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fde5cc05c74e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f8af9913f614010"/>
    <x:sheet xmlns:r="http://schemas.openxmlformats.org/officeDocument/2006/relationships" name="Results" sheetId="2" r:id="R86694f80388c4b96"/>
    <x:sheet xmlns:r="http://schemas.openxmlformats.org/officeDocument/2006/relationships" name="Charts" sheetId="3" r:id="Rdf4157b809364fb5"/>
    <x:sheet xmlns:r="http://schemas.openxmlformats.org/officeDocument/2006/relationships" name="Params" sheetId="4" r:id="Rce4508f34ed144f1"/>
    <x:sheet xmlns:r="http://schemas.openxmlformats.org/officeDocument/2006/relationships" name="Catalog" sheetId="5" r:id="R6d4ba8f4173845b8"/>
    <x:sheet xmlns:r="http://schemas.openxmlformats.org/officeDocument/2006/relationships" name="Learning" sheetId="6" r:id="Rf16d613bbd01448e"/>
    <x:sheet xmlns:r="http://schemas.openxmlformats.org/officeDocument/2006/relationships" name="Caps" sheetId="7" r:id="R14deab9d5f424096"/>
    <x:sheet xmlns:r="http://schemas.openxmlformats.org/officeDocument/2006/relationships" name="Derived_v01" sheetId="8" r:id="Racee35202f1e40c5"/>
    <x:sheet xmlns:r="http://schemas.openxmlformats.org/officeDocument/2006/relationships" name="Derived_tuned" sheetId="9" r:id="R4e727f3241d34b1b"/>
    <x:sheet xmlns:r="http://schemas.openxmlformats.org/officeDocument/2006/relationships" name="Sim_v01" sheetId="10" r:id="R39bc11008d1949cb"/>
    <x:sheet xmlns:r="http://schemas.openxmlformats.org/officeDocument/2006/relationships" name="Sim_tuned" sheetId="11" r:id="Rc0a1d3c2d99c4877"/>
    <x:sheet xmlns:r="http://schemas.openxmlformats.org/officeDocument/2006/relationships" name="Sweeps" sheetId="12" r:id="R1a745a5b4cdc422c"/>
  </x:sheets>
  <x:definedNames>
    <x:definedName name="SelPace">Params!$B$5</x:definedName>
    <x:definedName name="SelArch">Params!$B$6</x:definedName>
    <x:definedName name="v01_PaceCost">Params!$G$10</x:definedName>
    <x:definedName name="v01_SeasonSeconds">Params!$G$11</x:definedName>
    <x:definedName name="tun_PaceCost">Params!$G$12</x:definedName>
    <x:definedName name="tun_SeasonSeconds">Params!$G$13</x:definedName>
    <x:definedName name="Arch_Fertility">Params!$B$23</x:definedName>
    <x:definedName name="Arch_FoodCap">Params!$C$23</x:definedName>
    <x:definedName name="Arch_Territory">Params!$D$23</x:definedName>
    <x:definedName name="Arch_Insight">Params!$E$23</x:definedName>
    <x:definedName name="Arch_Roles">Params!$F$23</x:definedName>
    <x:definedName name="Arch_KH">Params!$G$23</x:definedName>
    <x:definedName name="Arch_AdultMort">Params!$H$23</x:definedName>
    <x:definedName name="Arch_Diffusion">Params!$I$23</x:definedName>
    <x:definedName name="v01_StartChildren">Params!$B$28</x:definedName>
    <x:definedName name="tun_StartChildren">Params!$C$28</x:definedName>
    <x:definedName name="v01_StartAdults">Params!$B$29</x:definedName>
    <x:definedName name="tun_StartAdults">Params!$C$29</x:definedName>
    <x:definedName name="v01_StartElders">Params!$B$30</x:definedName>
    <x:definedName name="tun_StartElders">Params!$C$30</x:definedName>
    <x:definedName name="v01_WomenShare">Params!$B$31</x:definedName>
    <x:definedName name="tun_WomenShare">Params!$C$31</x:definedName>
    <x:definedName name="v01_ChildYears">Params!$B$32</x:definedName>
    <x:definedName name="tun_ChildYears">Params!$C$32</x:definedName>
    <x:definedName name="v01_AdultYears">Params!$B$33</x:definedName>
    <x:definedName name="tun_AdultYears">Params!$C$33</x:definedName>
    <x:definedName name="v01_BaseFertility">Params!$B$34</x:definedName>
    <x:definedName name="tun_BaseFertility">Params!$C$34</x:definedName>
    <x:definedName name="v01_CrowdingExp">Params!$B$35</x:definedName>
    <x:definedName name="tun_CrowdingExp">Params!$C$35</x:definedName>
    <x:definedName name="v01_GroupInCrowding">Params!$B$36</x:definedName>
    <x:definedName name="tun_GroupInCrowding">Params!$C$36</x:definedName>
    <x:definedName name="v01_OvercapLoss">Params!$B$37</x:definedName>
    <x:definedName name="tun_OvercapLoss">Params!$C$37</x:definedName>
    <x:definedName name="v01_CohesionFactor">Params!$B$38</x:definedName>
    <x:definedName name="tun_CohesionFactor">Params!$C$38</x:definedName>
    <x:definedName name="v01_FissionTrigger">Params!$B$39</x:definedName>
    <x:definedName name="tun_FissionTrigger">Params!$C$39</x:definedName>
    <x:definedName name="v01_FissionRate">Params!$B$40</x:definedName>
    <x:definedName name="tun_FissionRate">Params!$C$40</x:definedName>
    <x:definedName name="v01_DaughterShare">Params!$B$41</x:definedName>
    <x:definedName name="tun_DaughterShare">Params!$C$41</x:definedName>
    <x:definedName name="v01_MinDaughter">Params!$B$42</x:definedName>
    <x:definedName name="tun_MinDaughter">Params!$C$42</x:definedName>
    <x:definedName name="v01_SettlementPacking">Params!$B$43</x:definedName>
    <x:definedName name="tun_SettlementPacking">Params!$C$43</x:definedName>
    <x:definedName name="v01_LowTiesShare">Params!$B$44</x:definedName>
    <x:definedName name="tun_LowTiesShare">Params!$C$44</x:definedName>
    <x:definedName name="v01_CommonsCoef">Params!$B$45</x:definedName>
    <x:definedName name="tun_CommonsCoef">Params!$C$45</x:definedName>
    <x:definedName name="v01_CommonsExp">Params!$B$46</x:definedName>
    <x:definedName name="tun_CommonsExp">Params!$C$46</x:definedName>
    <x:definedName name="v01_ElderCommons">Params!$B$47</x:definedName>
    <x:definedName name="tun_ElderCommons">Params!$C$47</x:definedName>
    <x:definedName name="v01_RoleScale">Params!$B$48</x:definedName>
    <x:definedName name="tun_RoleScale">Params!$C$48</x:definedName>
    <x:definedName name="v01_OutElder">Params!$B$49</x:definedName>
    <x:definedName name="tun_OutElder">Params!$C$49</x:definedName>
    <x:definedName name="v01_OutShaman">Params!$B$50</x:definedName>
    <x:definedName name="tun_OutShaman">Params!$C$50</x:definedName>
    <x:definedName name="v01_OutPriest">Params!$B$51</x:definedName>
    <x:definedName name="tun_OutPriest">Params!$C$51</x:definedName>
    <x:definedName name="v01_OutScribe">Params!$B$52</x:definedName>
    <x:definedName name="tun_OutScribe">Params!$C$52</x:definedName>
    <x:definedName name="v01_OutScholar">Params!$B$53</x:definedName>
    <x:definedName name="tun_OutScholar">Params!$C$53</x:definedName>
    <x:definedName name="v01_OutResearcher">Params!$B$54</x:definedName>
    <x:definedName name="tun_OutResearcher">Params!$C$54</x:definedName>
    <x:definedName name="v01_OutMonastery">Params!$B$55</x:definedName>
    <x:definedName name="tun_OutMonastery">Params!$C$55</x:definedName>
    <x:definedName name="v01_EraBoonPct">Params!$B$56</x:definedName>
    <x:definedName name="tun_EraBoonPct">Params!$C$56</x:definedName>
    <x:definedName name="v01_EraBoonTake">Params!$B$57</x:definedName>
    <x:definedName name="tun_EraBoonTake">Params!$C$57</x:definedName>
    <x:definedName name="v01_KHPerAdult">Params!$B$58</x:definedName>
    <x:definedName name="tun_KHPerAdult">Params!$C$58</x:definedName>
    <x:definedName name="v01_KHOfCommons">Params!$B$59</x:definedName>
    <x:definedName name="tun_KHOfCommons">Params!$C$59</x:definedName>
    <x:definedName name="v01_KHUsable">Params!$B$60</x:definedName>
    <x:definedName name="tun_KHUsable">Params!$C$60</x:definedName>
    <x:definedName name="v01_KHMaxRatio">Params!$B$61</x:definedName>
    <x:definedName name="tun_KHMaxRatio">Params!$C$61</x:definedName>
    <x:definedName name="v01_SlotPrimary">Params!$B$62</x:definedName>
    <x:definedName name="tun_SlotPrimary">Params!$C$62</x:definedName>
    <x:definedName name="v01_SlotSecondary">Params!$B$63</x:definedName>
    <x:definedName name="tun_SlotSecondary">Params!$C$63</x:definedName>
    <x:definedName name="v01_SlotTertiary">Params!$B$64</x:definedName>
    <x:definedName name="tun_SlotTertiary">Params!$C$64</x:definedName>
    <x:definedName name="v01_KeystoneMult">Params!$B$65</x:definedName>
    <x:definedName name="tun_KeystoneMult">Params!$C$65</x:definedName>
    <x:definedName name="v01_EraLag">Params!$B$66</x:definedName>
    <x:definedName name="tun_EraLag">Params!$C$66</x:definedName>
    <x:definedName name="v01_BackfillOverlap">Params!$B$67</x:definedName>
    <x:definedName name="tun_BackfillOverlap">Params!$C$67</x:definedName>
    <x:definedName name="v01_DiffusionMult">Params!$B$68</x:definedName>
    <x:definedName name="tun_DiffusionMult">Params!$C$68</x:definedName>
    <x:definedName name="v01_CapsByProject">Params!$B$69</x:definedName>
    <x:definedName name="tun_CapsByProject">Params!$C$69</x:definedName>
    <x:definedName name="v01_WinterTrigger">Params!$B$70</x:definedName>
    <x:definedName name="tun_WinterTrigger">Params!$C$70</x:definedName>
    <x:definedName name="v01_LeanBase">Params!$B$71</x:definedName>
    <x:definedName name="tun_LeanBase">Params!$C$71</x:definedName>
    <x:definedName name="v01_EraBase">Params!$B$76:$B$85</x:definedName>
    <x:definedName name="tun_EraBase">Params!$C$76:$C$85</x:definedName>
    <x:definedName name="v01_BreadthN">Params!$D$76:$D$85</x:definedName>
    <x:definedName name="tun_BreadthN">Params!$E$76:$E$85</x:definedName>
    <x:definedName name="v01_CostMod">Params!$F$76:$F$85</x:definedName>
    <x:definedName name="tun_CostMod">Params!$F$76:$F$85</x:definedName>
    <x:definedName name="v01_TargetMinLo">Params!$G$76:$G$85</x:definedName>
    <x:definedName name="tun_TargetMinLo">Params!$G$76:$G$85</x:definedName>
    <x:definedName name="v01_TargetMinHi">Params!$H$76:$H$85</x:definedName>
    <x:definedName name="tun_TargetMinHi">Params!$H$76:$H$85</x:definedName>
    <x:definedName name="v01_TargetDoneLo">Params!$I$76:$I$85</x:definedName>
    <x:definedName name="tun_TargetDoneLo">Params!$I$76:$I$85</x:definedName>
    <x:definedName name="v01_TargetDoneHi">Params!$J$76:$J$85</x:definedName>
    <x:definedName name="tun_TargetDoneHi">Params!$J$76:$J$85</x:definedName>
    <x:definedName name="v01_RepScale">Params!$K$76:$K$85</x:definedName>
    <x:definedName name="tun_RepScale">Params!$L$76:$L$85</x:definedName>
    <x:definedName name="v01_GroupCap">Params!$M$76:$M$85</x:definedName>
    <x:definedName name="tun_GroupCap">Params!$N$76:$N$85</x:definedName>
    <x:definedName name="v01_FoodCap">Params!$O$76:$O$85</x:definedName>
    <x:definedName name="tun_FoodCap">Params!$P$76:$P$85</x:definedName>
    <x:definedName name="v01_HousingCap">Params!$Q$76:$Q$85</x:definedName>
    <x:definedName name="tun_HousingCap">Params!$R$76:$R$85</x:definedName>
    <x:definedName name="v01_Territory">Params!$S$76:$S$85</x:definedName>
    <x:definedName name="tun_Territory">Params!$T$76:$T$85</x:definedName>
    <x:definedName name="v01_ClaimRadius">Params!$U$76:$U$85</x:definedName>
    <x:definedName name="tun_ClaimRadius">Params!$U$76:$U$85</x:definedName>
    <x:definedName name="v01_FertMult">Params!$V$76:$V$85</x:definedName>
    <x:definedName name="tun_FertMult">Params!$W$76:$W$85</x:definedName>
    <x:definedName name="v01_MortChild">Params!$X$76:$X$85</x:definedName>
    <x:definedName name="tun_MortChild">Params!$Y$76:$Y$85</x:definedName>
    <x:definedName name="v01_MortAdult">Params!$Z$76:$Z$85</x:definedName>
    <x:definedName name="tun_MortAdult">Params!$AA$76:$AA$85</x:definedName>
    <x:definedName name="v01_MortElder">Params!$AB$76:$AB$85</x:definedName>
    <x:definedName name="tun_MortElder">Params!$AC$76:$AC$85</x:definedName>
    <x:definedName name="v01_WinterMult">Params!$AD$76:$AD$85</x:definedName>
    <x:definedName name="tun_WinterMult">Params!$AE$76:$AE$85</x:definedName>
    <x:definedName name="v01_ElderRolePerSett">Params!$AF$76:$AF$85</x:definedName>
    <x:definedName name="tun_ElderRolePerSett">Params!$AF$76:$AF$85</x:definedName>
    <x:definedName name="v01_ShamanPerSett">Params!$AG$76:$AG$85</x:definedName>
    <x:definedName name="tun_ShamanPerSett">Params!$AG$76:$AG$85</x:definedName>
    <x:definedName name="v01_PriestShare">Params!$AH$76:$AH$85</x:definedName>
    <x:definedName name="tun_PriestShare">Params!$AH$76:$AH$85</x:definedName>
    <x:definedName name="v01_ScribeShare">Params!$AI$76:$AI$85</x:definedName>
    <x:definedName name="tun_ScribeShare">Params!$AI$76:$AI$85</x:definedName>
    <x:definedName name="v01_ScholarShare">Params!$AJ$76:$AJ$85</x:definedName>
    <x:definedName name="tun_ScholarShare">Params!$AJ$76:$AJ$85</x:definedName>
    <x:definedName name="v01_ResearcherShare">Params!$AK$76:$AK$85</x:definedName>
    <x:definedName name="tun_ResearcherShare">Params!$AK$76:$AK$85</x:definedName>
    <x:definedName name="v01_MonasteryPerSett">Params!$AL$76:$AL$85</x:definedName>
    <x:definedName name="tun_MonasteryPerSett">Params!$AL$76:$AL$85</x:definedName>
    <x:definedName name="Cat_CritN">Catalog!$K$5:$K$14</x:definedName>
    <x:definedName name="Cat_CritUnits">Catalog!$L$5:$L$14</x:definedName>
    <x:definedName name="Cat_FreeTM">Catalog!$M$5:$M$14</x:definedName>
    <x:definedName name="Cat_BackfillN">Catalog!$O$5:$O$14</x:definedName>
    <x:definedName name="Cat_BFUnits">Catalog!$P$5:$Y$14</x:definedName>
    <x:definedName name="LM_Commons">Learning!$B$39:$B$48</x:definedName>
    <x:definedName name="LM_All">Learning!$C$39:$C$48</x:definedName>
    <x:definedName name="LM_Elder">Learning!$D$39:$D$48</x:definedName>
    <x:definedName name="LM_Scribe">Learning!$E$39:$E$48</x:definedName>
    <x:definedName name="LM_Scholar">Learning!$F$39:$F$48</x:definedName>
    <x:definedName name="LM_Researcher">Learning!$G$39:$G$48</x:definedName>
    <x:definedName name="LM_Monastery">Learning!$H$39:$H$48</x:definedName>
    <x:definedName name="Cap_Point">Caps!$H$5:$H$104</x:definedName>
    <x:definedName name="Cap_Kind">Caps!$E$5:$E$104</x:definedName>
    <x:definedName name="Cap_Ln">Caps!$I$5:$I$104</x:definedName>
    <x:definedName name="v01_Unit">Derived_v01!$B$5:$B$14</x:definedName>
    <x:definedName name="v01_PickUnits">Derived_v01!$C$5:$C$14</x:definedName>
    <x:definedName name="v01_AvgCost">Derived_v01!$D$5:$D$14</x:definedName>
    <x:definedName name="v01_KeyCost">Derived_v01!$E$5:$E$14</x:definedName>
    <x:definedName name="v01_KeySpend">Derived_v01!$F$5:$F$14</x:definedName>
    <x:definedName name="v01_Backfill">Derived_v01!$G$5:$G$14</x:definedName>
    <x:definedName name="v01_Req">Derived_v01!$H$5:$H$14</x:definedName>
    <x:definedName name="v01_Smax">Derived_v01!$I$5:$I$14</x:definedName>
    <x:definedName name="v01_SettCap">Derived_v01!$J$5:$J$14</x:definedName>
    <x:definedName name="v01_Boon">Derived_v01!$K$5:$K$14</x:definedName>
    <x:definedName name="v01_Spill">Derived_v01!$L$5:$L$14</x:definedName>
    <x:definedName name="v01_BackfillN">Derived_v01!$M$5:$M$14</x:definedName>
    <x:definedName name="v01_Done">Derived_v01!$N$5:$N$14</x:definedName>
    <x:definedName name="tun_Unit">Derived_tuned!$B$5:$B$14</x:definedName>
    <x:definedName name="tun_PickUnits">Derived_tuned!$C$5:$C$14</x:definedName>
    <x:definedName name="tun_AvgCost">Derived_tuned!$D$5:$D$14</x:definedName>
    <x:definedName name="tun_KeyCost">Derived_tuned!$E$5:$E$14</x:definedName>
    <x:definedName name="tun_KeySpend">Derived_tuned!$F$5:$F$14</x:definedName>
    <x:definedName name="tun_Backfill">Derived_tuned!$G$5:$G$14</x:definedName>
    <x:definedName name="tun_Req">Derived_tuned!$H$5:$H$14</x:definedName>
    <x:definedName name="tun_Smax">Derived_tuned!$I$5:$I$14</x:definedName>
    <x:definedName name="tun_SettCap">Derived_tuned!$J$5:$J$14</x:definedName>
    <x:definedName name="tun_Boon">Derived_tuned!$K$5:$K$14</x:definedName>
    <x:definedName name="tun_Spill">Derived_tuned!$L$5:$L$14</x:definedName>
    <x:definedName name="tun_BackfillN">Derived_tuned!$M$5:$M$14</x:definedName>
    <x:definedName name="tun_Done">Derived_tuned!$N$5:$N$14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0.0%"/>
    <x:numFmt numFmtId="165" formatCode="0.000"/>
    <x:numFmt numFmtId="166" formatCode="0.0000"/>
    <x:numFmt numFmtId="167" formatCode="#,##0.0"/>
    <x:numFmt numFmtId="168" formatCode="0.0"/>
  </x:numFmts>
  <x:fonts count="9">
    <x:font>
      <x:sz val="11"/>
      <x:color theme="1"/>
      <x:name val="Calibri"/>
      <x:family val="2"/>
      <x:scheme val="minor"/>
    </x:font>
    <x:font>
      <x:b/>
      <x:sz val="14"/>
    </x:font>
    <x:font>
      <x:b/>
    </x:font>
    <x:font>
      <x:color rgb="FF1F4FBF"/>
    </x:font>
    <x:font>
      <x:b/>
      <x:color rgb="FFFFFFFF"/>
    </x:font>
    <x:font>
      <x:i/>
      <x:color rgb="FF6B6B6B"/>
    </x:font>
    <x:font>
      <x:i/>
      <x:color rgb="FF777777"/>
    </x:font>
    <x:font>
      <x:b/>
      <x:sz val="12"/>
    </x:font>
    <x:font>
      <x:b/>
      <x:sz val="16"/>
    </x:font>
  </x:fonts>
  <x:fills count="6">
    <x:fill>
      <x:patternFill patternType="none"/>
    </x:fill>
    <x:fill>
      <x:patternFill patternType="gray125"/>
    </x:fill>
    <x:fill>
      <x:patternFill patternType="solid">
        <x:fgColor rgb="FFFFF2A8"/>
      </x:patternFill>
    </x:fill>
    <x:fill>
      <x:patternFill patternType="solid">
        <x:fgColor rgb="FF2F3B4C"/>
      </x:patternFill>
    </x:fill>
    <x:fill>
      <x:patternFill patternType="solid">
        <x:fgColor rgb="FFF6E3C8"/>
      </x:patternFill>
    </x:fill>
    <x:fill>
      <x:patternFill patternType="solid">
        <x:fgColor rgb="FFCDE8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8" fillId="0" borderId="0" xfId="0"/>
    <x:xf numFmtId="0" fontId="2" fillId="0" borderId="0" xfId="0"/>
    <x:xf numFmtId="0" fontId="0" fillId="0" borderId="0" xfId="0" applyAlignment="1">
      <x:alignment vertical="top" wrapText="1"/>
    </x:xf>
    <x:xf numFmtId="0" fontId="7" fillId="0" borderId="0" xfId="0"/>
    <x:xf numFmtId="0" fontId="1" fillId="0" borderId="0" xfId="0"/>
    <x:xf numFmtId="0" fontId="2" fillId="4" borderId="0" xfId="0" applyAlignment="1">
      <x:alignment vertical="center" wrapText="1"/>
    </x:xf>
    <x:xf numFmtId="168" fontId="0" fillId="0" borderId="0" xfId="0"/>
    <x:xf numFmtId="1" fontId="0" fillId="0" borderId="0" xfId="0"/>
    <x:xf numFmtId="2" fontId="0" fillId="0" borderId="0" xfId="0"/>
    <x:xf numFmtId="3" fontId="0" fillId="0" borderId="0" xfId="0"/>
    <x:xf numFmtId="9" fontId="0" fillId="0" borderId="0" xfId="0"/>
    <x:xf numFmtId="168" fontId="2" fillId="0" borderId="0" xfId="0"/>
    <x:xf numFmtId="0" fontId="2" fillId="5" borderId="0" xfId="0" applyAlignment="1">
      <x:alignment vertical="center" wrapText="1"/>
    </x:xf>
    <x:xf numFmtId="0" fontId="4" fillId="3" borderId="0" xfId="0" applyAlignment="1">
      <x:alignment vertical="center" wrapText="1"/>
    </x:xf>
    <x:xf numFmtId="0" fontId="3" fillId="2" borderId="0" xfId="0"/>
    <x:xf numFmtId="0" fontId="3" fillId="0" borderId="0" xfId="0"/>
    <x:xf numFmtId="0" fontId="0" fillId="2" borderId="0" xfId="0"/>
    <x:xf numFmtId="0" fontId="3" fillId="4" borderId="0" xfId="0"/>
    <x:xf numFmtId="0" fontId="3" fillId="5" borderId="0" xfId="0"/>
    <x:xf numFmtId="164" fontId="3" fillId="4" borderId="0" xfId="0"/>
    <x:xf numFmtId="164" fontId="3" fillId="5" borderId="0" xfId="0"/>
    <x:xf numFmtId="2" fontId="3" fillId="0" borderId="0" xfId="0"/>
    <x:xf numFmtId="3" fontId="3" fillId="4" borderId="0" xfId="0"/>
    <x:xf numFmtId="164" fontId="3" fillId="0" borderId="0" xfId="0"/>
    <x:xf numFmtId="3" fontId="3" fillId="5" borderId="0" xfId="0"/>
    <x:xf numFmtId="2" fontId="3" fillId="4" borderId="0" xfId="0"/>
    <x:xf numFmtId="2" fontId="3" fillId="5" borderId="0" xfId="0"/>
    <x:xf numFmtId="0" fontId="5" fillId="0" borderId="0" xfId="0"/>
    <x:xf numFmtId="165" fontId="0" fillId="0" borderId="0" xfId="0"/>
    <x:xf numFmtId="165" fontId="3" fillId="0" borderId="0" xfId="0"/>
    <x:xf numFmtId="166" fontId="0" fillId="0" borderId="0" xfId="0"/>
    <x:xf numFmtId="167" fontId="0" fillId="0" borderId="0" xfId="0"/>
    <x:xf numFmtId="0" fontId="6" fillId="0" borderId="0" xfId="0"/>
    <x:xf numFmtId="168" fontId="5" fillId="0" borderId="0" xfId="0"/>
  </x:cellXfs>
  <x:cellStyles count="1">
    <x:cellStyle name="Normal" xfId="0"/>
  </x:cellStyles>
  <x:dxfs count="2">
    <x:dxf>
      <x:fill>
        <x:patternFill>
          <x:bgColor rgb="00C9E7C1"/>
        </x:patternFill>
      </x:fill>
    </x:dxf>
    <x:dxf>
      <x:fill>
        <x:patternFill>
          <x:bgColor rgb="00F4C7C3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5b49feaa20404d" /><Relationship Type="http://schemas.openxmlformats.org/officeDocument/2006/relationships/theme" Target="/xl/theme/theme1.xml" Id="R3177467853b24b61" /><Relationship Type="http://schemas.openxmlformats.org/officeDocument/2006/relationships/sharedStrings" Target="/xl/sharedStrings.xml" Id="R13e20a975d314f52" /><Relationship Type="http://schemas.openxmlformats.org/officeDocument/2006/relationships/worksheet" Target="/xl/worksheets/sheet1.xml" Id="Rcf8af9913f614010" /><Relationship Type="http://schemas.openxmlformats.org/officeDocument/2006/relationships/worksheet" Target="/xl/worksheets/sheet2.xml" Id="R86694f80388c4b96" /><Relationship Type="http://schemas.openxmlformats.org/officeDocument/2006/relationships/worksheet" Target="/xl/worksheets/sheet3.xml" Id="Rdf4157b809364fb5" /><Relationship Type="http://schemas.openxmlformats.org/officeDocument/2006/relationships/worksheet" Target="/xl/worksheets/sheet4.xml" Id="Rce4508f34ed144f1" /><Relationship Type="http://schemas.openxmlformats.org/officeDocument/2006/relationships/worksheet" Target="/xl/worksheets/sheet5.xml" Id="R6d4ba8f4173845b8" /><Relationship Type="http://schemas.openxmlformats.org/officeDocument/2006/relationships/worksheet" Target="/xl/worksheets/sheet6.xml" Id="Rf16d613bbd01448e" /><Relationship Type="http://schemas.openxmlformats.org/officeDocument/2006/relationships/worksheet" Target="/xl/worksheets/sheet7.xml" Id="R14deab9d5f424096" /><Relationship Type="http://schemas.openxmlformats.org/officeDocument/2006/relationships/worksheet" Target="/xl/worksheets/sheet8.xml" Id="Racee35202f1e40c5" /><Relationship Type="http://schemas.openxmlformats.org/officeDocument/2006/relationships/worksheet" Target="/xl/worksheets/sheet9.xml" Id="R4e727f3241d34b1b" /><Relationship Type="http://schemas.openxmlformats.org/officeDocument/2006/relationships/worksheet" Target="/xl/worksheets/sheet10.xml" Id="R39bc11008d1949cb" /><Relationship Type="http://schemas.openxmlformats.org/officeDocument/2006/relationships/worksheet" Target="/xl/worksheets/sheet11.xml" Id="Rc0a1d3c2d99c4877" /><Relationship Type="http://schemas.openxmlformats.org/officeDocument/2006/relationships/worksheet" Target="/xl/worksheets/sheet12.xml" Id="R1a745a5b4cdc422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7b0bca07b0348da" /><Relationship Type="http://schemas.openxmlformats.org/officeDocument/2006/relationships/chart" Target="/xl/drawings/charts/chart2.xml" Id="R5989c6deab6147a0" /><Relationship Type="http://schemas.openxmlformats.org/officeDocument/2006/relationships/chart" Target="/xl/drawings/charts/chart3.xml" Id="R09fac9f6427b4cce" /><Relationship Type="http://schemas.openxmlformats.org/officeDocument/2006/relationships/chart" Target="/xl/drawings/charts/chart4.xml" Id="R1e154cfdde0941ef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Era duration (minutes) vs target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strRef>
              <c:f>'Charts'!B3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'Charts'!$A$4:$A$13</c:f>
              <c:strCache>
                <c:ptCount val="0"/>
              </c:strCache>
            </c:strRef>
          </c:cat>
          <c:val>
            <c:numRef>
              <c:f>'Charts'!$B$4:$B$13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'Charts'!C3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'Charts'!$A$4:$A$13</c:f>
              <c:strCache>
                <c:ptCount val="0"/>
              </c:strCache>
            </c:strRef>
          </c:cat>
          <c:val>
            <c:numRef>
              <c:f>'Charts'!$C$4:$C$13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strRef>
              <c:f>'Charts'!D3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'Charts'!$A$4:$A$13</c:f>
              <c:strCache>
                <c:ptCount val="0"/>
              </c:strCache>
            </c:strRef>
          </c:cat>
          <c:val>
            <c:numRef>
              <c:f>'Charts'!$D$4:$D$13</c:f>
              <c:numCache>
                <c:formatCode>General</c:formatCode>
                <c:ptCount val="0"/>
              </c:numCache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buNone/>
                </a:pPr>
                <a:r>
                  <a:t>era</a:t>
                </a:r>
              </a:p>
            </c:rich>
          </c:tx>
        </c:title>
        <c:numFmt formatCode="General"/>
        <c:majorTickMark val="none"/>
        <c:minorTickMark val="none"/>
        <c:crossAx val="100"/>
        <c:lblOffset val="10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buNone/>
                </a:pPr>
                <a:r>
                  <a:t>minutes</a:t>
                </a:r>
              </a:p>
            </c:rich>
          </c:tx>
        </c:title>
        <c:numFmt formatCode="General"/>
        <c:majorTickMark val="none"/>
        <c:minorTickMark val="none"/>
        <c:crossAx val="10"/>
        <c:crossBetween val="between"/>
      </c:valAx>
    </c:plotArea>
    <c:legend>
      <c:legendPos val="r"/>
      <c:overlay val="0"/>
    </c:legend>
    <c:plotVisOnly val="1"/>
    <c:dispBlanksAs val="gap"/>
  </c:chart>
</c:chartSpace>
</file>

<file path=xl/drawings/charts/chart2.xml><?xml version="1.0" encoding="utf-8"?>
<c:chartSpace xmlns:c="http://schemas.openxmlformats.org/drawingml/2006/chart">
  <c:lang val="en-US"/>
  <c:style val="13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Era reached over time</a:t>
            </a:r>
          </a:p>
        </c:rich>
      </c:tx>
    </c:title>
    <c:plotArea>
      <c:scatterChart>
        <c:varyColors val="0"/>
        <c:ser>
          <c:idx val="0"/>
          <c:order val="0"/>
          <c:tx>
            <c:v>v0.1 (as written)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xVal>
            <c:numRef>
              <c:f>'Sim_v01'!$B$4:$B$2403</c:f>
              <c:numCache>
                <c:formatCode>General</c:formatCode>
                <c:ptCount val="0"/>
              </c:numCache>
            </c:numRef>
          </c:xVal>
          <c:yVal>
            <c:numRef>
              <c:f>'Sim_v01'!$F$4:$F$2403</c:f>
              <c:numCache>
                <c:formatCode>General</c:formatCode>
                <c:ptCount val="0"/>
              </c:numCache>
            </c:numRef>
          </c:yVal>
          <c:smooth val="0"/>
        </c:ser>
        <c:ser>
          <c:idx val="1"/>
          <c:order val="1"/>
          <c:tx>
            <c:v>Tuned (recommended)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xVal>
            <c:numRef>
              <c:f>'Sim_tuned'!$B$4:$B$1203</c:f>
              <c:numCache>
                <c:formatCode>General</c:formatCode>
                <c:ptCount val="0"/>
              </c:numCache>
            </c:numRef>
          </c:xVal>
          <c:yVal>
            <c:numRef>
              <c:f>'Sim_tuned'!$F$4:$F$1203</c:f>
              <c:numCache>
                <c:formatCode>General</c:formatCode>
                <c:ptCount val="0"/>
              </c:numCache>
            </c:numRef>
          </c:yVal>
          <c:smooth val="0"/>
        </c:ser>
        <c:axId val="20"/>
        <c:axId val="10"/>
      </c:scatterChart>
      <c:valAx>
        <c:axId val="10"/>
        <c:scaling>
          <c:orientation val="minMax"/>
          <c:max val="360"/>
          <c:min val="0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buNone/>
                </a:pPr>
                <a:r>
                  <a:t>minute</a:t>
                </a:r>
              </a:p>
            </c:rich>
          </c:tx>
        </c:title>
        <c:numFmt formatCode="General"/>
        <c:majorTickMark val="none"/>
        <c:minorTickMark val="none"/>
        <c:crossAx val="20"/>
      </c:valAx>
      <c:valAx>
        <c:axId val="2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buNone/>
                </a:pPr>
                <a:r>
                  <a:t>era</a:t>
                </a:r>
              </a:p>
            </c:rich>
          </c:tx>
        </c:title>
        <c:numFmt formatCode="General"/>
        <c:majorTickMark val="none"/>
        <c:minorTickMark val="none"/>
        <c:crossAx val="10"/>
      </c:valAx>
    </c:plotArea>
    <c:legend>
      <c:legendPos val="r"/>
      <c:overlay val="0"/>
    </c:legend>
    <c:plotVisOnly val="1"/>
    <c:dispBlanksAs val="gap"/>
  </c:chart>
</c:chartSpace>
</file>

<file path=xl/drawings/charts/chart3.xml><?xml version="1.0" encoding="utf-8"?>
<c:chartSpace xmlns:c="http://schemas.openxmlformats.org/drawingml/2006/chart">
  <c:lang val="en-US"/>
  <c:style val="13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Population</a:t>
            </a:r>
          </a:p>
        </c:rich>
      </c:tx>
    </c:title>
    <c:plotArea>
      <c:scatterChart>
        <c:varyColors val="0"/>
        <c:ser>
          <c:idx val="0"/>
          <c:order val="0"/>
          <c:tx>
            <c:v>v0.1 (as written)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xVal>
            <c:numRef>
              <c:f>'Sim_v01'!$B$4:$B$2403</c:f>
              <c:numCache>
                <c:formatCode>General</c:formatCode>
                <c:ptCount val="0"/>
              </c:numCache>
            </c:numRef>
          </c:xVal>
          <c:yVal>
            <c:numRef>
              <c:f>'Sim_v01'!$AB$4:$AB$2403</c:f>
              <c:numCache>
                <c:formatCode>General</c:formatCode>
                <c:ptCount val="0"/>
              </c:numCache>
            </c:numRef>
          </c:yVal>
          <c:smooth val="0"/>
        </c:ser>
        <c:ser>
          <c:idx val="1"/>
          <c:order val="1"/>
          <c:tx>
            <c:v>Tuned (recommended)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xVal>
            <c:numRef>
              <c:f>'Sim_tuned'!$B$4:$B$1203</c:f>
              <c:numCache>
                <c:formatCode>General</c:formatCode>
                <c:ptCount val="0"/>
              </c:numCache>
            </c:numRef>
          </c:xVal>
          <c:yVal>
            <c:numRef>
              <c:f>'Sim_tuned'!$AB$4:$AB$1203</c:f>
              <c:numCache>
                <c:formatCode>General</c:formatCode>
                <c:ptCount val="0"/>
              </c:numCache>
            </c:numRef>
          </c:yVal>
          <c:smooth val="0"/>
        </c:ser>
        <c:axId val="20"/>
        <c:axId val="10"/>
      </c:scatterChart>
      <c:valAx>
        <c:axId val="10"/>
        <c:scaling>
          <c:orientation val="minMax"/>
          <c:max val="360"/>
          <c:min val="0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buNone/>
                </a:pPr>
                <a:r>
                  <a:t>minute</a:t>
                </a:r>
              </a:p>
            </c:rich>
          </c:tx>
        </c:title>
        <c:numFmt formatCode="General"/>
        <c:majorTickMark val="none"/>
        <c:minorTickMark val="none"/>
        <c:crossAx val="20"/>
      </c:valAx>
      <c:valAx>
        <c:axId val="20"/>
        <c:scaling>
          <c:logBase val="10"/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buNone/>
                </a:pPr>
                <a:r>
                  <a:t>people (log)</a:t>
                </a:r>
              </a:p>
            </c:rich>
          </c:tx>
        </c:title>
        <c:numFmt formatCode="General"/>
        <c:majorTickMark val="none"/>
        <c:minorTickMark val="none"/>
        <c:crossAx val="10"/>
      </c:valAx>
    </c:plotArea>
    <c:legend>
      <c:legendPos val="r"/>
      <c:overlay val="0"/>
    </c:legend>
    <c:plotVisOnly val="1"/>
    <c:dispBlanksAs val="gap"/>
  </c:chart>
</c:chartSpace>
</file>

<file path=xl/drawings/charts/chart4.xml><?xml version="1.0" encoding="utf-8"?>
<c:chartSpace xmlns:c="http://schemas.openxmlformats.org/drawingml/2006/chart">
  <c:lang val="en-US"/>
  <c:style val="13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Insight per minute</a:t>
            </a:r>
          </a:p>
        </c:rich>
      </c:tx>
    </c:title>
    <c:plotArea>
      <c:scatterChart>
        <c:varyColors val="0"/>
        <c:ser>
          <c:idx val="0"/>
          <c:order val="0"/>
          <c:tx>
            <c:v>v0.1 (as written)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xVal>
            <c:numRef>
              <c:f>'Sim_v01'!$B$4:$B$2403</c:f>
              <c:numCache>
                <c:formatCode>General</c:formatCode>
                <c:ptCount val="0"/>
              </c:numCache>
            </c:numRef>
          </c:xVal>
          <c:yVal>
            <c:numRef>
              <c:f>'Sim_v01'!$AV$4:$AV$2403</c:f>
              <c:numCache>
                <c:formatCode>General</c:formatCode>
                <c:ptCount val="0"/>
              </c:numCache>
            </c:numRef>
          </c:yVal>
          <c:smooth val="0"/>
        </c:ser>
        <c:ser>
          <c:idx val="1"/>
          <c:order val="1"/>
          <c:tx>
            <c:v>Tuned (recommended)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xVal>
            <c:numRef>
              <c:f>'Sim_tuned'!$B$4:$B$1203</c:f>
              <c:numCache>
                <c:formatCode>General</c:formatCode>
                <c:ptCount val="0"/>
              </c:numCache>
            </c:numRef>
          </c:xVal>
          <c:yVal>
            <c:numRef>
              <c:f>'Sim_tuned'!$AV$4:$AV$1203</c:f>
              <c:numCache>
                <c:formatCode>General</c:formatCode>
                <c:ptCount val="0"/>
              </c:numCache>
            </c:numRef>
          </c:yVal>
          <c:smooth val="0"/>
        </c:ser>
        <c:axId val="20"/>
        <c:axId val="10"/>
      </c:scatterChart>
      <c:valAx>
        <c:axId val="10"/>
        <c:scaling>
          <c:orientation val="minMax"/>
          <c:max val="360"/>
          <c:min val="0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buNone/>
                </a:pPr>
                <a:r>
                  <a:t>minute</a:t>
                </a:r>
              </a:p>
            </c:rich>
          </c:tx>
        </c:title>
        <c:numFmt formatCode="General"/>
        <c:majorTickMark val="none"/>
        <c:minorTickMark val="none"/>
        <c:crossAx val="20"/>
      </c:valAx>
      <c:valAx>
        <c:axId val="20"/>
        <c:scaling>
          <c:logBase val="10"/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buNone/>
                </a:pPr>
                <a:r>
                  <a:t>Insight/min (log)</a:t>
                </a:r>
              </a:p>
            </c:rich>
          </c:tx>
        </c:title>
        <c:numFmt formatCode="General"/>
        <c:majorTickMark val="none"/>
        <c:minorTickMark val="none"/>
        <c:crossAx val="10"/>
      </c:valAx>
    </c:plotArea>
    <c:legend>
      <c:legendPos val="r"/>
      <c:overlay val="0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oneCellAnchor>
    <xdr:from>
      <xdr:col>5</xdr:col>
      <xdr:colOff>0</xdr:colOff>
      <xdr:row>2</xdr:row>
      <xdr:rowOff>0</xdr:rowOff>
    </xdr:from>
    <xdr:ext cx="6480000" cy="324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b0bca07b0348da"/>
        </a:graphicData>
      </a:graphic>
    </xdr:graphicFrame>
    <xdr:clientData/>
  </xdr:oneCellAnchor>
  <xdr:oneCellAnchor>
    <xdr:from>
      <xdr:col>5</xdr:col>
      <xdr:colOff>0</xdr:colOff>
      <xdr:row>21</xdr:row>
      <xdr:rowOff>0</xdr:rowOff>
    </xdr:from>
    <xdr:ext cx="6480000" cy="3240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89c6deab6147a0"/>
        </a:graphicData>
      </a:graphic>
    </xdr:graphicFrame>
    <xdr:clientData/>
  </xdr:oneCellAnchor>
  <xdr:oneCellAnchor>
    <xdr:from>
      <xdr:col>5</xdr:col>
      <xdr:colOff>0</xdr:colOff>
      <xdr:row>40</xdr:row>
      <xdr:rowOff>0</xdr:rowOff>
    </xdr:from>
    <xdr:ext cx="6480000" cy="32400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fac9f6427b4cce"/>
        </a:graphicData>
      </a:graphic>
    </xdr:graphicFrame>
    <xdr:clientData/>
  </xdr:oneCellAnchor>
  <xdr:oneCellAnchor>
    <xdr:from>
      <xdr:col>5</xdr:col>
      <xdr:colOff>0</xdr:colOff>
      <xdr:row>59</xdr:row>
      <xdr:rowOff>0</xdr:rowOff>
    </xdr:from>
    <xdr:ext cx="6480000" cy="3240000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154cfdde0941ef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318d58fea8694b53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50" customWidth="1"/>
  </x:cols>
  <x:sheetData>
    <x:row r="1">
      <x:c r="A1" s="1" t="inlineStr">
        <x:is>
          <x:t xml:space="preserve">CivSim balance model — WS-A (design only)</x:t>
        </x:is>
      </x:c>
    </x:row>
    <x:row r="3" ht="48" customHeight="1">
      <x:c r="A3" s="2" t="inlineStr">
        <x:is>
          <x:t xml:space="preserve">What</x:t>
        </x:is>
      </x:c>
      <x:c r="B3" s="3" t="inlineStr">
        <x:is>
          <x:t xml:space="preserve">A season-by-season model of one civilization from E0 Dawn to the KEY-10 Apex: cohorts, births, deaths, the three population caps and fission (05 §9), Insight (02 §8.1), the 4:2:1 slots (02 §8.2), project costs from EraBase × TypeMult (02 §8.3), Know-how (02 §9) and keystone breadth N (02 §13, 04 §2).</x:t>
        </x:is>
      </x:c>
    </x:row>
    <x:row r="4" ht="48" customHeight="1">
      <x:c r="A4" s="2" t="inlineStr">
        <x:is>
          <x:t xml:space="preserve">Why</x:t>
        </x:is>
      </x:c>
      <x:c r="B4" s="3" t="inlineStr">
        <x:is>
          <x:t xml:space="preserve">To check the pacing targets in 02 §8.3 (eras ≈ 8 → 30 min, ≈ 3 h total at Standard, 13–25 completions per era) and tune the constants. Findings: 07-balance-findings.md.</x:t>
        </x:is>
      </x:c>
    </x:row>
    <x:row r="5" ht="48" customHeight="1">
      <x:c r="A5" s="2" t="inlineStr">
        <x:is>
          <x:t xml:space="preserve">Two scenarios</x:t>
        </x:is>
      </x:c>
      <x:c r="B5" s="3" t="inlineStr">
        <x:is>
          <x:t xml:space="preserve">v0.1 = the numbers as written. Tuned = the recommended constants. Both run side by side (Sim_v01, Sim_tuned) from the same Params sheet.</x:t>
        </x:is>
      </x:c>
    </x:row>
    <x:row r="6" ht="48" customHeight="1">
      <x:c r="A6" s="2" t="inlineStr">
        <x:is>
          <x:t xml:space="preserve">How to use</x:t>
        </x:is>
      </x:c>
      <x:c r="B6" s="3" t="inlineStr">
        <x:is>
          <x:t xml:space="preserve">Edit blue cells on Params. Pick Pace and Archetype at the top of Params. Everything else is formulas; Results and Charts update. Open in Excel or Numbers (recalculation on open).</x:t>
        </x:is>
      </x:c>
    </x:row>
    <x:row r="7" ht="48" customHeight="1">
      <x:c r="A7" s="2" t="inlineStr">
        <x:is>
          <x:t xml:space="preserve">Sheets</x:t>
        </x:is>
      </x:c>
      <x:c r="B7" s="3" t="inlineStr">
        <x:is>
          <x:t xml:space="preserve">Results: pacing vs targets + acceptance checks · Charts · Params: all inputs · Catalog: per-era counts, critical paths, forced backfills parsed from 03a–c · Learning: Insight modifiers from the catalog · Caps: population caps by project · Derived_*: per-era costs and requirements · Sim_*: one row per season (15 s) · Sweeps: static archetype × pace table.</x:t>
        </x:is>
      </x:c>
    </x:row>
    <x:row r="8" ht="48" customHeight="1">
      <x:c r="A8" s="2" t="inlineStr">
        <x:is>
          <x:t xml:space="preserve">Research model</x:t>
        </x:is>
      </x:c>
      <x:c r="B8" s="3" t="inlineStr">
        <x:is>
          <x:t xml:space="preserve">Each era requires: N picks (in-era critical path at its exact TypeMult + free picks at the era's average) × EraBase, plus the keystone phase (keystone in Primary at 4/7; the other two slots keep completing projects, which is where completions above N come from), plus forced backfills of earlier-era closure projects at EraLag 0.7^Δ. Progress = Insight + Know-how; overflow carries into the next era.</x:t>
        </x:is>
      </x:c>
    </x:row>
    <x:row r="9" ht="48" customHeight="1">
      <x:c r="A9" s="2" t="inlineStr">
        <x:is>
          <x:t xml:space="preserve">Population model</x:t>
        </x:is>
      </x:c>
      <x:c r="B9" s="3" t="inlineStr">
        <x:is>
          <x:t xml:space="preserve">Three cohorts (children 0–13, adults 14–44, elders 45+), seasonal hazards with a winter multiplier (09-population-and-health.md). Caps per settlement rise project by project as research advances (Caps sheet): food, late-winter food, housing, group × Cohesion. Births are damped by crowding against food and housing. A settlement fissions when its average size passes 85% of MIN(food, housing, group), or when a late-winter check finds it larger than its lean-season food, and the daughter band would be viable, up to the territory limit. Mean-field: one 'average settlement', not a spatial sim.</x:t>
        </x:is>
      </x:c>
    </x:row>
    <x:row r="10" ht="48" customHeight="1">
      <x:c r="A10" s="2" t="inlineStr">
        <x:is>
          <x:t xml:space="preserve">Color code</x:t>
        </x:is>
      </x:c>
      <x:c r="B10" s="3" t="inlineStr">
        <x:is>
          <x:t xml:space="preserve">Blue = input · grey italic = data parsed from the catalog docs · black = formula · orange = v0.1 · teal = tuned · yellow = selector.</x:t>
        </x:is>
      </x:c>
    </x:row>
    <x:row r="11" ht="48" customHeight="1">
      <x:c r="A11" s="2" t="inlineStr">
        <x:is>
          <x:t xml:space="preserve">Regenerate</x:t>
        </x:is>
      </x:c>
      <x:c r="B11" s="3" t="inlineStr">
        <x:is>
          <x:t xml:space="preserve">docs/MVP/balance/tools/build_xlsx.py rebuilds this file from tools/params.py and the catalog docs; --verify re-evaluates it against the Python model.</x:t>
        </x:is>
      </x:c>
    </x:row>
    <x:row r="12" ht="48" customHeight="1">
      <x:c r="A12" s="2" t="inlineStr">
        <x:is>
          <x:t xml:space="preserve">Limits</x:t>
        </x:is>
      </x:c>
      <x:c r="B12" s="3" t="inlineStr">
        <x:is>
          <x:t xml:space="preserve">Single civilization (no diffusion from rivals, no war losses, no trade). Mean-field settlements. Epidemics enter as their expected loss inside the per-era hazards (09 §10), not as outbreaks. Effects of individual projects beyond Insight and caps are not modeled.</x:t>
        </x:is>
      </x:c>
    </x:row>
    <x:row r="14">
      <x:c r="A14" s="4" t="inlineStr">
        <x:is>
          <x:t xml:space="preserve">Headline (live)</x:t>
        </x:is>
      </x:c>
    </x:row>
    <x:row r="15">
      <x:c r="A15" t="inlineStr">
        <x:is>
          <x:t xml:space="preserve">v0.1 full arc</x:t>
        </x:is>
      </x:c>
      <x:c r="B15" t="str">
        <x:f>IF(ISNUMBER(Results!B16),TEXT(Results!B16,"0")&amp;" min","not finished")&amp;"   ·   E0 "&amp;TEXT(Results!C6,"0.0")&amp;" min, E9 "&amp;TEXT(Results!C15,"0.0")&amp;" min"</x:f>
        <x:v>350 min   ·   E0 58.5 min, E9 15.0 min</x:v>
      </x:c>
    </x:row>
    <x:row r="16">
      <x:c r="A16" t="inlineStr">
        <x:is>
          <x:t xml:space="preserve">Tuned full arc</x:t>
        </x:is>
      </x:c>
      <x:c r="B16" t="str">
        <x:f>IF(ISNUMBER(Results!B31),TEXT(Results!B31,"0")&amp;" min","not finished")&amp;"   ·   E0 "&amp;TEXT(Results!C21,"0.0")&amp;" min, E9 "&amp;TEXT(Results!C30,"0.0")&amp;" min"</x:f>
        <x:v>195 min   ·   E0 7.8 min, E9 39.3 min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baseColWidth="8" defaultRowHeight="15"/>
  <x:cols>
    <x:col min="1" max="1" width="26" customWidth="1"/>
    <x:col min="2" max="2" width="12" customWidth="1"/>
    <x:col min="3" max="3" width="11" customWidth="1"/>
    <x:col min="4" max="4" width="11" customWidth="1"/>
    <x:col min="5" max="5" width="11" customWidth="1"/>
    <x:col min="6" max="6" width="14" customWidth="1"/>
    <x:col min="7" max="7" width="11" customWidth="1"/>
    <x:col min="8" max="8" width="11" customWidth="1"/>
    <x:col min="9" max="9" width="11" customWidth="1"/>
    <x:col min="10" max="10" width="9" customWidth="1"/>
    <x:col min="11" max="11" width="11" customWidth="1"/>
    <x:col min="12" max="12" width="11" customWidth="1"/>
    <x:col min="13" max="13" width="11" customWidth="1"/>
    <x:col min="14" max="14" width="11" customWidth="1"/>
    <x:col min="15" max="15" width="11" customWidth="1"/>
    <x:col min="16" max="16" width="11" customWidth="1"/>
    <x:col min="17" max="17" width="7" customWidth="1"/>
    <x:col min="18" max="18" width="11" customWidth="1"/>
    <x:col min="19" max="19" width="11" customWidth="1"/>
    <x:col min="20" max="20" width="11" customWidth="1"/>
    <x:col min="21" max="21" width="11" customWidth="1"/>
  </x:cols>
  <x:sheetData>
    <x:row r="1">
      <x:c r="A1" s="5" t="inlineStr">
        <x:is>
          <x:t xml:space="preserve">Results — era pacing vs. 02 §8.3 targets (live)</x:t>
        </x:is>
      </x:c>
    </x:row>
    <x:row r="2">
      <x:c r="A2" t="str">
        <x:f>"Pace: "&amp;SelPace&amp;"   ·   Archetype: "&amp;SelArch&amp;"   (change on Params)"</x:f>
        <x:v>Pace: Standard   ·   Archetype: Balanced   (change on Params)</x:v>
      </x:c>
    </x:row>
    <x:row r="4">
      <x:c r="A4" s="4" t="inlineStr">
        <x:is>
          <x:t xml:space="preserve">v0.1 (as written)</x:t>
        </x:is>
      </x:c>
    </x:row>
    <x:row r="5" ht="45" customHeight="1">
      <x:c r="A5" s="6" t="inlineStr">
        <x:is>
          <x:t xml:space="preserve">Era</x:t>
        </x:is>
      </x:c>
      <x:c r="B5" s="6" t="inlineStr">
        <x:is>
          <x:t xml:space="preserve">Start (min)</x:t>
        </x:is>
      </x:c>
      <x:c r="C5" s="6" t="inlineStr">
        <x:is>
          <x:t xml:space="preserve">Minutes</x:t>
        </x:is>
      </x:c>
      <x:c r="D5" s="6" t="inlineStr">
        <x:is>
          <x:t xml:space="preserve">Target lo</x:t>
        </x:is>
      </x:c>
      <x:c r="E5" s="6" t="inlineStr">
        <x:is>
          <x:t xml:space="preserve">Target hi</x:t>
        </x:is>
      </x:c>
      <x:c r="F5" s="6" t="inlineStr">
        <x:is>
          <x:t xml:space="preserve">Duration OK?</x:t>
        </x:is>
      </x:c>
      <x:c r="G5" s="6" t="inlineStr">
        <x:is>
          <x:t xml:space="preserve">In-era done</x:t>
        </x:is>
      </x:c>
      <x:c r="H5" s="6" t="inlineStr">
        <x:is>
          <x:t xml:space="preserve">Target done lo</x:t>
        </x:is>
      </x:c>
      <x:c r="I5" s="6" t="inlineStr">
        <x:is>
          <x:t xml:space="preserve">Target done hi</x:t>
        </x:is>
      </x:c>
      <x:c r="J5" s="6" t="inlineStr">
        <x:is>
          <x:t xml:space="preserve">Done OK?</x:t>
        </x:is>
      </x:c>
      <x:c r="K5" s="6" t="inlineStr">
        <x:is>
          <x:t xml:space="preserve">Forced backfills</x:t>
        </x:is>
      </x:c>
      <x:c r="L5" s="6" t="inlineStr">
        <x:is>
          <x:t xml:space="preserve">Sec per completion</x:t>
        </x:is>
      </x:c>
      <x:c r="M5" s="6" t="inlineStr">
        <x:is>
          <x:t xml:space="preserve">Primary-slot project (min)</x:t>
        </x:is>
      </x:c>
      <x:c r="N5" s="6" t="inlineStr">
        <x:is>
          <x:t xml:space="preserve">Pop at end</x:t>
        </x:is>
      </x:c>
      <x:c r="O5" s="6" t="inlineStr">
        <x:is>
          <x:t xml:space="preserve">Settlements</x:t>
        </x:is>
      </x:c>
      <x:c r="P5" s="6" t="inlineStr">
        <x:is>
          <x:t xml:space="preserve">Rendered figures</x:t>
        </x:is>
      </x:c>
      <x:c r="Q5" s="6" t="inlineStr">
        <x:is>
          <x:t xml:space="preserve">≤600?</x:t>
        </x:is>
      </x:c>
      <x:c r="R5" s="6" t="inlineStr">
        <x:is>
          <x:t xml:space="preserve">Insight/min (avg)</x:t>
        </x:is>
      </x:c>
      <x:c r="S5" s="6" t="inlineStr">
        <x:is>
          <x:t xml:space="preserve">Know-how share</x:t>
        </x:is>
      </x:c>
      <x:c r="T5" s="6" t="inlineStr">
        <x:is>
          <x:t xml:space="preserve">Roles share</x:t>
        </x:is>
      </x:c>
      <x:c r="U5" s="6" t="inlineStr">
        <x:is>
          <x:t xml:space="preserve">Finished?</x:t>
        </x:is>
      </x:c>
    </x:row>
    <x:row r="6">
      <x:c r="A6" t="inlineStr">
        <x:is>
          <x:t xml:space="preserve">E0 Dawn</x:t>
        </x:is>
      </x:c>
      <x:c r="B6" s="7" t="n">
        <x:f>COUNTIF(Sim_v01!$F$4:$F$2403,"&lt;"&amp;0)*v01_SeasonSeconds/60</x:f>
        <x:v>0</x:v>
      </x:c>
      <x:c r="C6" s="7" t="n">
        <x:f>COUNTIF(Sim_v01!$F$4:$F$2403,0)*v01_SeasonSeconds/60</x:f>
        <x:v>58.5</x:v>
      </x:c>
      <x:c r="D6" t="n">
        <x:f>INDEX(v01_TargetMinLo,1)</x:f>
        <x:v>7</x:v>
      </x:c>
      <x:c r="E6" t="n">
        <x:f>INDEX(v01_TargetMinHi,1)</x:f>
        <x:v>9</x:v>
      </x:c>
      <x:c r="F6" t="str">
        <x:f>IF(U6&lt;&gt;"yes","unfinished",IF(AND(C6&gt;=D6,C6&lt;=E6),"✓",IF(C6&lt;D6,"too fast","too slow")))</x:f>
        <x:v>too slow</x:v>
      </x:c>
      <x:c r="G6" s="7" t="n">
        <x:f>INDEX(v01_Done,1)</x:f>
        <x:v>14.71341206242092</x:v>
      </x:c>
      <x:c r="H6" t="n">
        <x:f>INDEX(v01_TargetDoneLo,1)</x:f>
        <x:v>13</x:v>
      </x:c>
      <x:c r="I6" t="n">
        <x:f>INDEX(v01_TargetDoneHi,1)</x:f>
        <x:v>16</x:v>
      </x:c>
      <x:c r="J6" t="str">
        <x:f>IF(AND(G6&gt;=H6,G6&lt;=I6),"✓","✗")</x:f>
        <x:v>✓</x:v>
      </x:c>
      <x:c r="K6" s="7" t="n">
        <x:f>INDEX(v01_BackfillN,1)</x:f>
        <x:v>0</x:v>
      </x:c>
      <x:c r="L6" s="8" t="n">
        <x:f>IF(C6&gt;0,C6*60/(G6+K6),0)</x:f>
        <x:v>238.55785354946897</x:v>
      </x:c>
      <x:c r="M6" s="9" t="n">
        <x:f>IF(C6&gt;0,INDEX(v01_AvgCost,1)/(v01_SlotPrimary/(v01_SlotPrimary+v01_SlotSecondary+v01_SlotTertiary)*(SUMIF(Sim_v01!$F$4:$F$2403,0,Sim_v01!$AQ$4:$AQ$2403)/C6)),0)</x:f>
        <x:v>6.008173824993604</x:v>
      </x:c>
      <x:c r="N6" s="10" t="n">
        <x:f>IF(C6&gt;0,INDEX(Sim_v01!$AB$4:$AB$2403,COUNTIF(Sim_v01!$F$4:$F$2403,"&lt;"&amp;0)+COUNTIF(Sim_v01!$F$4:$F$2403,0)),0)</x:f>
        <x:v>17.627956941392117</x:v>
      </x:c>
      <x:c r="O6" s="8" t="n">
        <x:f>IF(C6&gt;0,INDEX(Sim_v01!$AE$4:$AE$2403,COUNTIF(Sim_v01!$F$4:$F$2403,"&lt;"&amp;0)+COUNTIF(Sim_v01!$F$4:$F$2403,0)),0)</x:f>
        <x:v>1</x:v>
      </x:c>
      <x:c r="P6" s="10" t="n">
        <x:f>N6/INDEX(v01_RepScale,1)</x:f>
        <x:v>17.627956941392117</x:v>
      </x:c>
      <x:c r="Q6" t="str">
        <x:f>IF(P6&lt;=600,"✓","✗")</x:f>
        <x:v>✓</x:v>
      </x:c>
      <x:c r="R6" s="10" t="n">
        <x:f>IF(C6&gt;0,SUMIF(Sim_v01!$F$4:$F$2403,0,Sim_v01!$AV$4:$AV$2403)*v01_SeasonSeconds/60/C6,0)</x:f>
        <x:v>5.248191751867629</x:v>
      </x:c>
      <x:c r="S6" s="11" t="n">
        <x:f>IF(C6&gt;0,SUMIF(Sim_v01!$F$4:$F$2403,0,Sim_v01!$AO$4:$AO$2403)/SUMIF(Sim_v01!$F$4:$F$2403,0,Sim_v01!$AQ$4:$AQ$2403),0)</x:f>
        <x:v>0.17672545629222308</x:v>
      </x:c>
      <x:c r="T6" s="11" t="n">
        <x:f>IF(C6&gt;0,(SUMIF(Sim_v01!$F$4:$F$2403,0,Sim_v01!$AK$4:$AK$2403)+SUMIF(Sim_v01!$F$4:$F$2403,0,Sim_v01!$AL$4:$AL$2403))/(SUMIF(Sim_v01!$F$4:$F$2403,0,Sim_v01!$AJ$4:$AJ$2403)+SUMIF(Sim_v01!$F$4:$F$2403,0,Sim_v01!$AK$4:$AK$2403)+SUMIF(Sim_v01!$F$4:$F$2403,0,Sim_v01!$AL$4:$AL$2403)),0)</x:f>
        <x:v>0</x:v>
      </x:c>
      <x:c r="U6" t="str">
        <x:f>IF(COUNTIF(Sim_v01!$F$4:$F$2403,"&gt;"&amp;0)&gt;0,"yes",IF(C6&gt;0,"running","not reached"))</x:f>
        <x:v>yes</x:v>
      </x:c>
    </x:row>
    <x:row r="7">
      <x:c r="A7" t="inlineStr">
        <x:is>
          <x:t xml:space="preserve">E1 Hunters</x:t>
        </x:is>
      </x:c>
      <x:c r="B7" s="7" t="n">
        <x:f>COUNTIF(Sim_v01!$F$4:$F$2403,"&lt;"&amp;1)*v01_SeasonSeconds/60</x:f>
        <x:v>58.5</x:v>
      </x:c>
      <x:c r="C7" s="7" t="n">
        <x:f>COUNTIF(Sim_v01!$F$4:$F$2403,1)*v01_SeasonSeconds/60</x:f>
        <x:v>62.5</x:v>
      </x:c>
      <x:c r="D7" t="n">
        <x:f>INDEX(v01_TargetMinLo,2)</x:f>
        <x:v>9</x:v>
      </x:c>
      <x:c r="E7" t="n">
        <x:f>INDEX(v01_TargetMinHi,2)</x:f>
        <x:v>11</x:v>
      </x:c>
      <x:c r="F7" t="str">
        <x:f>IF(U7&lt;&gt;"yes","unfinished",IF(AND(C7&gt;=D7,C7&lt;=E7),"✓",IF(C7&lt;D7,"too fast","too slow")))</x:f>
        <x:v>too slow</x:v>
      </x:c>
      <x:c r="G7" s="7" t="n">
        <x:f>INDEX(v01_Done,2)</x:f>
        <x:v>15.71288743882545</x:v>
      </x:c>
      <x:c r="H7" t="n">
        <x:f>INDEX(v01_TargetDoneLo,2)</x:f>
        <x:v>14</x:v>
      </x:c>
      <x:c r="I7" t="n">
        <x:f>INDEX(v01_TargetDoneHi,2)</x:f>
        <x:v>17</x:v>
      </x:c>
      <x:c r="J7" t="str">
        <x:f>IF(AND(G7&gt;=H7,G7&lt;=I7),"✓","✗")</x:f>
        <x:v>✓</x:v>
      </x:c>
      <x:c r="K7" s="7" t="n">
        <x:f>INDEX(v01_BackfillN,2)</x:f>
        <x:v>5.6</x:v>
      </x:c>
      <x:c r="L7" s="8" t="n">
        <x:f>IF(C7&gt;0,C7*60/(G7+K7),0)</x:f>
        <x:v>175.94988059518707</x:v>
      </x:c>
      <x:c r="M7" s="9" t="n">
        <x:f>IF(C7&gt;0,INDEX(v01_AvgCost,2)/(v01_SlotPrimary/(v01_SlotPrimary+v01_SlotSecondary+v01_SlotTertiary)*(SUMIF(Sim_v01!$F$4:$F$2403,1,Sim_v01!$AQ$4:$AQ$2403)/C7)),0)</x:f>
        <x:v>5.601488096303742</x:v>
      </x:c>
      <x:c r="N7" s="10" t="n">
        <x:f>IF(C7&gt;0,INDEX(Sim_v01!$AB$4:$AB$2403,COUNTIF(Sim_v01!$F$4:$F$2403,"&lt;"&amp;1)+COUNTIF(Sim_v01!$F$4:$F$2403,1)),0)</x:f>
        <x:v>70.21838245746203</x:v>
      </x:c>
      <x:c r="O7" s="8" t="n">
        <x:f>IF(C7&gt;0,INDEX(Sim_v01!$AE$4:$AE$2403,COUNTIF(Sim_v01!$F$4:$F$2403,"&lt;"&amp;1)+COUNTIF(Sim_v01!$F$4:$F$2403,1)),0)</x:f>
        <x:v>3</x:v>
      </x:c>
      <x:c r="P7" s="10" t="n">
        <x:f>N7/INDEX(v01_RepScale,2)</x:f>
        <x:v>70.21838245746203</x:v>
      </x:c>
      <x:c r="Q7" t="str">
        <x:f>IF(P7&lt;=600,"✓","✗")</x:f>
        <x:v>✓</x:v>
      </x:c>
      <x:c r="R7" s="10" t="n">
        <x:f>IF(C7&gt;0,SUMIF(Sim_v01!$F$4:$F$2403,1,Sim_v01!$AV$4:$AV$2403)*v01_SeasonSeconds/60/C7,0)</x:f>
        <x:v>14.648635061357886</x:v>
      </x:c>
      <x:c r="S7" s="11" t="n">
        <x:f>IF(C7&gt;0,SUMIF(Sim_v01!$F$4:$F$2403,1,Sim_v01!$AO$4:$AO$2403)/SUMIF(Sim_v01!$F$4:$F$2403,1,Sim_v01!$AQ$4:$AQ$2403),0)</x:f>
        <x:v>0.1433171427258067</x:v>
      </x:c>
      <x:c r="T7" s="11" t="n">
        <x:f>IF(C7&gt;0,(SUMIF(Sim_v01!$F$4:$F$2403,1,Sim_v01!$AK$4:$AK$2403)+SUMIF(Sim_v01!$F$4:$F$2403,1,Sim_v01!$AL$4:$AL$2403))/(SUMIF(Sim_v01!$F$4:$F$2403,1,Sim_v01!$AJ$4:$AJ$2403)+SUMIF(Sim_v01!$F$4:$F$2403,1,Sim_v01!$AK$4:$AK$2403)+SUMIF(Sim_v01!$F$4:$F$2403,1,Sim_v01!$AL$4:$AL$2403)),0)</x:f>
        <x:v>0.18379326102021537</x:v>
      </x:c>
      <x:c r="U7" t="str">
        <x:f>IF(COUNTIF(Sim_v01!$F$4:$F$2403,"&gt;"&amp;1)&gt;0,"yes",IF(C7&gt;0,"running","not reached"))</x:f>
        <x:v>yes</x:v>
      </x:c>
    </x:row>
    <x:row r="8">
      <x:c r="A8" t="inlineStr">
        <x:is>
          <x:t xml:space="preserve">E2 Roots</x:t>
        </x:is>
      </x:c>
      <x:c r="B8" s="7" t="n">
        <x:f>COUNTIF(Sim_v01!$F$4:$F$2403,"&lt;"&amp;2)*v01_SeasonSeconds/60</x:f>
        <x:v>121</x:v>
      </x:c>
      <x:c r="C8" s="7" t="n">
        <x:f>COUNTIF(Sim_v01!$F$4:$F$2403,2)*v01_SeasonSeconds/60</x:f>
        <x:v>56.25</x:v>
      </x:c>
      <x:c r="D8" t="n">
        <x:f>INDEX(v01_TargetMinLo,3)</x:f>
        <x:v>11</x:v>
      </x:c>
      <x:c r="E8" t="n">
        <x:f>INDEX(v01_TargetMinHi,3)</x:f>
        <x:v>13</x:v>
      </x:c>
      <x:c r="F8" t="str">
        <x:f>IF(U8&lt;&gt;"yes","unfinished",IF(AND(C8&gt;=D8,C8&lt;=E8),"✓",IF(C8&lt;D8,"too fast","too slow")))</x:f>
        <x:v>too slow</x:v>
      </x:c>
      <x:c r="G8" s="7" t="n">
        <x:f>INDEX(v01_Done,3)</x:f>
        <x:v>21.609842793485075</x:v>
      </x:c>
      <x:c r="H8" t="n">
        <x:f>INDEX(v01_TargetDoneLo,3)</x:f>
        <x:v>20</x:v>
      </x:c>
      <x:c r="I8" t="n">
        <x:f>INDEX(v01_TargetDoneHi,3)</x:f>
        <x:v>23</x:v>
      </x:c>
      <x:c r="J8" t="str">
        <x:f>IF(AND(G8&gt;=H8,G8&lt;=I8),"✓","✗")</x:f>
        <x:v>✓</x:v>
      </x:c>
      <x:c r="K8" s="7" t="n">
        <x:f>INDEX(v01_BackfillN,3)</x:f>
        <x:v>17.5</x:v>
      </x:c>
      <x:c r="L8" s="8" t="n">
        <x:f>IF(C8&gt;0,C8*60/(G8+K8),0)</x:f>
        <x:v>86.29541207366367</x:v>
      </x:c>
      <x:c r="M8" s="9" t="n">
        <x:f>IF(C8&gt;0,INDEX(v01_AvgCost,3)/(v01_SlotPrimary/(v01_SlotPrimary+v01_SlotSecondary+v01_SlotTertiary)*(SUMIF(Sim_v01!$F$4:$F$2403,2,Sim_v01!$AQ$4:$AQ$2403)/C8)),0)</x:f>
        <x:v>3.5712765946000498</x:v>
      </x:c>
      <x:c r="N8" s="10" t="n">
        <x:f>IF(C8&gt;0,INDEX(Sim_v01!$AB$4:$AB$2403,COUNTIF(Sim_v01!$F$4:$F$2403,"&lt;"&amp;2)+COUNTIF(Sim_v01!$F$4:$F$2403,2)),0)</x:f>
        <x:v>323.17859416896897</x:v>
      </x:c>
      <x:c r="O8" s="8" t="n">
        <x:f>IF(C8&gt;0,INDEX(Sim_v01!$AE$4:$AE$2403,COUNTIF(Sim_v01!$F$4:$F$2403,"&lt;"&amp;2)+COUNTIF(Sim_v01!$F$4:$F$2403,2)),0)</x:f>
        <x:v>7</x:v>
      </x:c>
      <x:c r="P8" s="10" t="n">
        <x:f>N8/INDEX(v01_RepScale,3)</x:f>
        <x:v>161.58929708448449</x:v>
      </x:c>
      <x:c r="Q8" t="str">
        <x:f>IF(P8&lt;=600,"✓","✗")</x:f>
        <x:v>✓</x:v>
      </x:c>
      <x:c r="R8" s="10" t="n">
        <x:f>IF(C8&gt;0,SUMIF(Sim_v01!$F$4:$F$2403,2,Sim_v01!$AV$4:$AV$2403)*v01_SeasonSeconds/60/C8,0)</x:f>
        <x:v>60.754045760640736</x:v>
      </x:c>
      <x:c r="S8" s="11" t="n">
        <x:f>IF(C8&gt;0,SUMIF(Sim_v01!$F$4:$F$2403,2,Sim_v01!$AO$4:$AO$2403)/SUMIF(Sim_v01!$F$4:$F$2403,2,Sim_v01!$AQ$4:$AQ$2403),0)</x:f>
        <x:v>0.1484055438850414</x:v>
      </x:c>
      <x:c r="T8" s="11" t="n">
        <x:f>IF(C8&gt;0,(SUMIF(Sim_v01!$F$4:$F$2403,2,Sim_v01!$AK$4:$AK$2403)+SUMIF(Sim_v01!$F$4:$F$2403,2,Sim_v01!$AL$4:$AL$2403))/(SUMIF(Sim_v01!$F$4:$F$2403,2,Sim_v01!$AJ$4:$AJ$2403)+SUMIF(Sim_v01!$F$4:$F$2403,2,Sim_v01!$AK$4:$AK$2403)+SUMIF(Sim_v01!$F$4:$F$2403,2,Sim_v01!$AL$4:$AL$2403)),0)</x:f>
        <x:v>0.21466485350976214</x:v>
      </x:c>
      <x:c r="U8" t="str">
        <x:f>IF(COUNTIF(Sim_v01!$F$4:$F$2403,"&gt;"&amp;2)&gt;0,"yes",IF(C8&gt;0,"running","not reached"))</x:f>
        <x:v>yes</x:v>
      </x:c>
    </x:row>
    <x:row r="9">
      <x:c r="A9" t="inlineStr">
        <x:is>
          <x:t xml:space="preserve">E3 Bronze</x:t>
        </x:is>
      </x:c>
      <x:c r="B9" s="7" t="n">
        <x:f>COUNTIF(Sim_v01!$F$4:$F$2403,"&lt;"&amp;3)*v01_SeasonSeconds/60</x:f>
        <x:v>177.25</x:v>
      </x:c>
      <x:c r="C9" s="7" t="n">
        <x:f>COUNTIF(Sim_v01!$F$4:$F$2403,3)*v01_SeasonSeconds/60</x:f>
        <x:v>43.25</x:v>
      </x:c>
      <x:c r="D9" t="n">
        <x:f>INDEX(v01_TargetMinLo,4)</x:f>
        <x:v>12</x:v>
      </x:c>
      <x:c r="E9" t="n">
        <x:f>INDEX(v01_TargetMinHi,4)</x:f>
        <x:v>14</x:v>
      </x:c>
      <x:c r="F9" t="str">
        <x:f>IF(U9&lt;&gt;"yes","unfinished",IF(AND(C9&gt;=D9,C9&lt;=E9),"✓",IF(C9&lt;D9,"too fast","too slow")))</x:f>
        <x:v>too slow</x:v>
      </x:c>
      <x:c r="G9" s="7" t="n">
        <x:f>INDEX(v01_Done,4)</x:f>
        <x:v>23.582084285780034</x:v>
      </x:c>
      <x:c r="H9" t="n">
        <x:f>INDEX(v01_TargetDoneLo,4)</x:f>
        <x:v>22</x:v>
      </x:c>
      <x:c r="I9" t="n">
        <x:f>INDEX(v01_TargetDoneHi,4)</x:f>
        <x:v>25</x:v>
      </x:c>
      <x:c r="J9" t="str">
        <x:f>IF(AND(G9&gt;=H9,G9&lt;=I9),"✓","✗")</x:f>
        <x:v>✓</x:v>
      </x:c>
      <x:c r="K9" s="7" t="n">
        <x:f>INDEX(v01_BackfillN,4)</x:f>
        <x:v>11.2</x:v>
      </x:c>
      <x:c r="L9" s="8" t="n">
        <x:f>IF(C9&gt;0,C9*60/(G9+K9),0)</x:f>
        <x:v>74.60737483926214</x:v>
      </x:c>
      <x:c r="M9" s="9" t="n">
        <x:f>IF(C9&gt;0,INDEX(v01_AvgCost,4)/(v01_SlotPrimary/(v01_SlotPrimary+v01_SlotSecondary+v01_SlotTertiary)*(SUMIF(Sim_v01!$F$4:$F$2403,3,Sim_v01!$AQ$4:$AQ$2403)/C9)),0)</x:f>
        <x:v>2.731134928194285</x:v>
      </x:c>
      <x:c r="N9" s="10" t="n">
        <x:f>IF(C9&gt;0,INDEX(Sim_v01!$AB$4:$AB$2403,COUNTIF(Sim_v01!$F$4:$F$2403,"&lt;"&amp;3)+COUNTIF(Sim_v01!$F$4:$F$2403,3)),0)</x:f>
        <x:v>1148.2970680560613</x:v>
      </x:c>
      <x:c r="O9" s="8" t="n">
        <x:f>IF(C9&gt;0,INDEX(Sim_v01!$AE$4:$AE$2403,COUNTIF(Sim_v01!$F$4:$F$2403,"&lt;"&amp;3)+COUNTIF(Sim_v01!$F$4:$F$2403,3)),0)</x:f>
        <x:v>12</x:v>
      </x:c>
      <x:c r="P9" s="10" t="n">
        <x:f>N9/INDEX(v01_RepScale,4)</x:f>
        <x:v>229.65941361121227</x:v>
      </x:c>
      <x:c r="Q9" t="str">
        <x:f>IF(P9&lt;=600,"✓","✗")</x:f>
        <x:v>✓</x:v>
      </x:c>
      <x:c r="R9" s="10" t="n">
        <x:f>IF(C9&gt;0,SUMIF(Sim_v01!$F$4:$F$2403,3,Sim_v01!$AV$4:$AV$2403)*v01_SeasonSeconds/60/C9,0)</x:f>
        <x:v>186.97713856445193</x:v>
      </x:c>
      <x:c r="S9" s="11" t="n">
        <x:f>IF(C9&gt;0,SUMIF(Sim_v01!$F$4:$F$2403,3,Sim_v01!$AO$4:$AO$2403)/SUMIF(Sim_v01!$F$4:$F$2403,3,Sim_v01!$AQ$4:$AQ$2403),0)</x:f>
        <x:v>0.17926924665879662</x:v>
      </x:c>
      <x:c r="T9" s="11" t="n">
        <x:f>IF(C9&gt;0,(SUMIF(Sim_v01!$F$4:$F$2403,3,Sim_v01!$AK$4:$AK$2403)+SUMIF(Sim_v01!$F$4:$F$2403,3,Sim_v01!$AL$4:$AL$2403))/(SUMIF(Sim_v01!$F$4:$F$2403,3,Sim_v01!$AJ$4:$AJ$2403)+SUMIF(Sim_v01!$F$4:$F$2403,3,Sim_v01!$AK$4:$AK$2403)+SUMIF(Sim_v01!$F$4:$F$2403,3,Sim_v01!$AL$4:$AL$2403)),0)</x:f>
        <x:v>0.156180796926617</x:v>
      </x:c>
      <x:c r="U9" t="str">
        <x:f>IF(COUNTIF(Sim_v01!$F$4:$F$2403,"&gt;"&amp;3)&gt;0,"yes",IF(C9&gt;0,"running","not reached"))</x:f>
        <x:v>yes</x:v>
      </x:c>
    </x:row>
    <x:row r="10">
      <x:c r="A10" t="inlineStr">
        <x:is>
          <x:t xml:space="preserve">E4 Iron</x:t>
        </x:is>
      </x:c>
      <x:c r="B10" s="7" t="n">
        <x:f>COUNTIF(Sim_v01!$F$4:$F$2403,"&lt;"&amp;4)*v01_SeasonSeconds/60</x:f>
        <x:v>220.5</x:v>
      </x:c>
      <x:c r="C10" s="7" t="n">
        <x:f>COUNTIF(Sim_v01!$F$4:$F$2403,4)*v01_SeasonSeconds/60</x:f>
        <x:v>34.75</x:v>
      </x:c>
      <x:c r="D10" t="n">
        <x:f>INDEX(v01_TargetMinLo,5)</x:f>
        <x:v>14</x:v>
      </x:c>
      <x:c r="E10" t="n">
        <x:f>INDEX(v01_TargetMinHi,5)</x:f>
        <x:v>16</x:v>
      </x:c>
      <x:c r="F10" t="str">
        <x:f>IF(U10&lt;&gt;"yes","unfinished",IF(AND(C10&gt;=D10,C10&lt;=E10),"✓",IF(C10&lt;D10,"too fast","too slow")))</x:f>
        <x:v>too slow</x:v>
      </x:c>
      <x:c r="G10" s="7" t="n">
        <x:f>INDEX(v01_Done,5)</x:f>
        <x:v>22.54487493869544</x:v>
      </x:c>
      <x:c r="H10" t="n">
        <x:f>INDEX(v01_TargetDoneLo,5)</x:f>
        <x:v>21</x:v>
      </x:c>
      <x:c r="I10" t="n">
        <x:f>INDEX(v01_TargetDoneHi,5)</x:f>
        <x:v>24</x:v>
      </x:c>
      <x:c r="J10" t="str">
        <x:f>IF(AND(G10&gt;=H10,G10&lt;=I10),"✓","✗")</x:f>
        <x:v>✓</x:v>
      </x:c>
      <x:c r="K10" s="7" t="n">
        <x:f>INDEX(v01_BackfillN,5)</x:f>
        <x:v>19.599999999999998</x:v>
      </x:c>
      <x:c r="L10" s="8" t="n">
        <x:f>IF(C10&gt;0,C10*60/(G10+K10),0)</x:f>
        <x:v>49.4722075467746</x:v>
      </x:c>
      <x:c r="M10" s="9" t="n">
        <x:f>IF(C10&gt;0,INDEX(v01_AvgCost,5)/(v01_SlotPrimary/(v01_SlotPrimary+v01_SlotSecondary+v01_SlotTertiary)*(SUMIF(Sim_v01!$F$4:$F$2403,4,Sim_v01!$AQ$4:$AQ$2403)/C10)),0)</x:f>
        <x:v>2.23350324168242</x:v>
      </x:c>
      <x:c r="N10" s="10" t="n">
        <x:f>IF(C10&gt;0,INDEX(Sim_v01!$AB$4:$AB$2403,COUNTIF(Sim_v01!$F$4:$F$2403,"&lt;"&amp;4)+COUNTIF(Sim_v01!$F$4:$F$2403,4)),0)</x:f>
        <x:v>3161.4166321755897</x:v>
      </x:c>
      <x:c r="O10" s="8" t="n">
        <x:f>IF(C10&gt;0,INDEX(Sim_v01!$AE$4:$AE$2403,COUNTIF(Sim_v01!$F$4:$F$2403,"&lt;"&amp;4)+COUNTIF(Sim_v01!$F$4:$F$2403,4)),0)</x:f>
        <x:v>16</x:v>
      </x:c>
      <x:c r="P10" s="10" t="n">
        <x:f>N10/INDEX(v01_RepScale,5)</x:f>
        <x:v>316.14166321755897</x:v>
      </x:c>
      <x:c r="Q10" t="str">
        <x:f>IF(P10&lt;=600,"✓","✗")</x:f>
        <x:v>✓</x:v>
      </x:c>
      <x:c r="R10" s="10" t="n">
        <x:f>IF(C10&gt;0,SUMIF(Sim_v01!$F$4:$F$2403,4,Sim_v01!$AV$4:$AV$2403)*v01_SeasonSeconds/60/C10,0)</x:f>
        <x:v>589.544588460618</x:v>
      </x:c>
      <x:c r="S10" s="11" t="n">
        <x:f>IF(C10&gt;0,SUMIF(Sim_v01!$F$4:$F$2403,4,Sim_v01!$AO$4:$AO$2403)/SUMIF(Sim_v01!$F$4:$F$2403,4,Sim_v01!$AQ$4:$AQ$2403),0)</x:f>
        <x:v>0.17339888215439295</x:v>
      </x:c>
      <x:c r="T10" s="11" t="n">
        <x:f>IF(C10&gt;0,(SUMIF(Sim_v01!$F$4:$F$2403,4,Sim_v01!$AK$4:$AK$2403)+SUMIF(Sim_v01!$F$4:$F$2403,4,Sim_v01!$AL$4:$AL$2403))/(SUMIF(Sim_v01!$F$4:$F$2403,4,Sim_v01!$AJ$4:$AJ$2403)+SUMIF(Sim_v01!$F$4:$F$2403,4,Sim_v01!$AK$4:$AK$2403)+SUMIF(Sim_v01!$F$4:$F$2403,4,Sim_v01!$AL$4:$AL$2403)),0)</x:f>
        <x:v>0.12986707276224077</x:v>
      </x:c>
      <x:c r="U10" t="str">
        <x:f>IF(COUNTIF(Sim_v01!$F$4:$F$2403,"&gt;"&amp;4)&gt;0,"yes",IF(C10&gt;0,"running","not reached"))</x:f>
        <x:v>yes</x:v>
      </x:c>
    </x:row>
    <x:row r="11">
      <x:c r="A11" t="inlineStr">
        <x:is>
          <x:t xml:space="preserve">E5 Faith &amp; Fief</x:t>
        </x:is>
      </x:c>
      <x:c r="B11" s="7" t="n">
        <x:f>COUNTIF(Sim_v01!$F$4:$F$2403,"&lt;"&amp;5)*v01_SeasonSeconds/60</x:f>
        <x:v>255.25</x:v>
      </x:c>
      <x:c r="C11" s="7" t="n">
        <x:f>COUNTIF(Sim_v01!$F$4:$F$2403,5)*v01_SeasonSeconds/60</x:f>
        <x:v>24.25</x:v>
      </x:c>
      <x:c r="D11" t="n">
        <x:f>INDEX(v01_TargetMinLo,6)</x:f>
        <x:v>16</x:v>
      </x:c>
      <x:c r="E11" t="n">
        <x:f>INDEX(v01_TargetMinHi,6)</x:f>
        <x:v>18</x:v>
      </x:c>
      <x:c r="F11" t="str">
        <x:f>IF(U11&lt;&gt;"yes","unfinished",IF(AND(C11&gt;=D11,C11&lt;=E11),"✓",IF(C11&lt;D11,"too fast","too slow")))</x:f>
        <x:v>too slow</x:v>
      </x:c>
      <x:c r="G11" s="7" t="n">
        <x:f>INDEX(v01_Done,6)</x:f>
        <x:v>17.65081880612784</x:v>
      </x:c>
      <x:c r="H11" t="n">
        <x:f>INDEX(v01_TargetDoneLo,6)</x:f>
        <x:v>16</x:v>
      </x:c>
      <x:c r="I11" t="n">
        <x:f>INDEX(v01_TargetDoneHi,6)</x:f>
        <x:v>19</x:v>
      </x:c>
      <x:c r="J11" t="str">
        <x:f>IF(AND(G11&gt;=H11,G11&lt;=I11),"✓","✗")</x:f>
        <x:v>✓</x:v>
      </x:c>
      <x:c r="K11" s="7" t="n">
        <x:f>INDEX(v01_BackfillN,6)</x:f>
        <x:v>16.799999999999997</x:v>
      </x:c>
      <x:c r="L11" s="8" t="n">
        <x:f>IF(C11&gt;0,C11*60/(G11+K11),0)</x:f>
        <x:v>42.23411954845021</x:v>
      </x:c>
      <x:c r="M11" s="9" t="n">
        <x:f>IF(C11&gt;0,INDEX(v01_AvgCost,6)/(v01_SlotPrimary/(v01_SlotPrimary+v01_SlotSecondary+v01_SlotTertiary)*(SUMIF(Sim_v01!$F$4:$F$2403,5,Sim_v01!$AQ$4:$AQ$2403)/C11)),0)</x:f>
        <x:v>1.8947014247112048</x:v>
      </x:c>
      <x:c r="N11" s="10" t="n">
        <x:f>IF(C11&gt;0,INDEX(Sim_v01!$AB$4:$AB$2403,COUNTIF(Sim_v01!$F$4:$F$2403,"&lt;"&amp;5)+COUNTIF(Sim_v01!$F$4:$F$2403,5)),0)</x:f>
        <x:v>6284.029247770542</x:v>
      </x:c>
      <x:c r="O11" s="8" t="n">
        <x:f>IF(C11&gt;0,INDEX(Sim_v01!$AE$4:$AE$2403,COUNTIF(Sim_v01!$F$4:$F$2403,"&lt;"&amp;5)+COUNTIF(Sim_v01!$F$4:$F$2403,5)),0)</x:f>
        <x:v>16</x:v>
      </x:c>
      <x:c r="P11" s="10" t="n">
        <x:f>N11/INDEX(v01_RepScale,6)</x:f>
        <x:v>251.36116991082167</x:v>
      </x:c>
      <x:c r="Q11" t="str">
        <x:f>IF(P11&lt;=600,"✓","✗")</x:f>
        <x:v>✓</x:v>
      </x:c>
      <x:c r="R11" s="10" t="n">
        <x:f>IF(C11&gt;0,SUMIF(Sim_v01!$F$4:$F$2403,5,Sim_v01!$AV$4:$AV$2403)*v01_SeasonSeconds/60/C11,0)</x:f>
        <x:v>1716.0931684632512</x:v>
      </x:c>
      <x:c r="S11" s="11" t="n">
        <x:f>IF(C11&gt;0,SUMIF(Sim_v01!$F$4:$F$2403,5,Sim_v01!$AO$4:$AO$2403)/SUMIF(Sim_v01!$F$4:$F$2403,5,Sim_v01!$AQ$4:$AQ$2403),0)</x:f>
        <x:v>0.13902977961954863</x:v>
      </x:c>
      <x:c r="T11" s="11" t="n">
        <x:f>IF(C11&gt;0,(SUMIF(Sim_v01!$F$4:$F$2403,5,Sim_v01!$AK$4:$AK$2403)+SUMIF(Sim_v01!$F$4:$F$2403,5,Sim_v01!$AL$4:$AL$2403))/(SUMIF(Sim_v01!$F$4:$F$2403,5,Sim_v01!$AJ$4:$AJ$2403)+SUMIF(Sim_v01!$F$4:$F$2403,5,Sim_v01!$AK$4:$AK$2403)+SUMIF(Sim_v01!$F$4:$F$2403,5,Sim_v01!$AL$4:$AL$2403)),0)</x:f>
        <x:v>0.16482113974652404</x:v>
      </x:c>
      <x:c r="U11" t="str">
        <x:f>IF(COUNTIF(Sim_v01!$F$4:$F$2403,"&gt;"&amp;5)&gt;0,"yes",IF(C11&gt;0,"running","not reached"))</x:f>
        <x:v>yes</x:v>
      </x:c>
    </x:row>
    <x:row r="12">
      <x:c r="A12" t="inlineStr">
        <x:is>
          <x:t xml:space="preserve">E6 Discovery</x:t>
        </x:is>
      </x:c>
      <x:c r="B12" s="7" t="n">
        <x:f>COUNTIF(Sim_v01!$F$4:$F$2403,"&lt;"&amp;6)*v01_SeasonSeconds/60</x:f>
        <x:v>279.5</x:v>
      </x:c>
      <x:c r="C12" s="7" t="n">
        <x:f>COUNTIF(Sim_v01!$F$4:$F$2403,6)*v01_SeasonSeconds/60</x:f>
        <x:v>21.75</x:v>
      </x:c>
      <x:c r="D12" t="n">
        <x:f>INDEX(v01_TargetMinLo,7)</x:f>
        <x:v>18</x:v>
      </x:c>
      <x:c r="E12" t="n">
        <x:f>INDEX(v01_TargetMinHi,7)</x:f>
        <x:v>20</x:v>
      </x:c>
      <x:c r="F12" t="str">
        <x:f>IF(U12&lt;&gt;"yes","unfinished",IF(AND(C12&gt;=D12,C12&lt;=E12),"✓",IF(C12&lt;D12,"too fast","too slow")))</x:f>
        <x:v>too slow</x:v>
      </x:c>
      <x:c r="G12" s="7" t="n">
        <x:f>INDEX(v01_Done,7)</x:f>
        <x:v>15.588098637562616</x:v>
      </x:c>
      <x:c r="H12" t="n">
        <x:f>INDEX(v01_TargetDoneLo,7)</x:f>
        <x:v>14</x:v>
      </x:c>
      <x:c r="I12" t="n">
        <x:f>INDEX(v01_TargetDoneHi,7)</x:f>
        <x:v>17</x:v>
      </x:c>
      <x:c r="J12" t="str">
        <x:f>IF(AND(G12&gt;=H12,G12&lt;=I12),"✓","✗")</x:f>
        <x:v>✓</x:v>
      </x:c>
      <x:c r="K12" s="7" t="n">
        <x:f>INDEX(v01_BackfillN,7)</x:f>
        <x:v>20.299999999999997</x:v>
      </x:c>
      <x:c r="L12" s="8" t="n">
        <x:f>IF(C12&gt;0,C12*60/(G12+K12),0)</x:f>
        <x:v>36.363029793785444</x:v>
      </x:c>
      <x:c r="M12" s="9" t="n">
        <x:f>IF(C12&gt;0,INDEX(v01_AvgCost,7)/(v01_SlotPrimary/(v01_SlotPrimary+v01_SlotSecondary+v01_SlotTertiary)*(SUMIF(Sim_v01!$F$4:$F$2403,6,Sim_v01!$AQ$4:$AQ$2403)/C12)),0)</x:f>
        <x:v>1.8554133954202707</x:v>
      </x:c>
      <x:c r="N12" s="10" t="n">
        <x:f>IF(C12&gt;0,INDEX(Sim_v01!$AB$4:$AB$2403,COUNTIF(Sim_v01!$F$4:$F$2403,"&lt;"&amp;6)+COUNTIF(Sim_v01!$F$4:$F$2403,6)),0)</x:f>
        <x:v>11859.703282255336</x:v>
      </x:c>
      <x:c r="O12" s="8" t="n">
        <x:f>IF(C12&gt;0,INDEX(Sim_v01!$AE$4:$AE$2403,COUNTIF(Sim_v01!$F$4:$F$2403,"&lt;"&amp;6)+COUNTIF(Sim_v01!$F$4:$F$2403,6)),0)</x:f>
        <x:v>16</x:v>
      </x:c>
      <x:c r="P12" s="10" t="n">
        <x:f>N12/INDEX(v01_RepScale,7)</x:f>
        <x:v>237.19406564510672</x:v>
      </x:c>
      <x:c r="Q12" t="str">
        <x:f>IF(P12&lt;=600,"✓","✗")</x:f>
        <x:v>✓</x:v>
      </x:c>
      <x:c r="R12" s="10" t="n">
        <x:f>IF(C12&gt;0,SUMIF(Sim_v01!$F$4:$F$2403,6,Sim_v01!$AV$4:$AV$2403)*v01_SeasonSeconds/60/C12,0)</x:f>
        <x:v>4702.76737708081</x:v>
      </x:c>
      <x:c r="S12" s="11" t="n">
        <x:f>IF(C12&gt;0,SUMIF(Sim_v01!$F$4:$F$2403,6,Sim_v01!$AO$4:$AO$2403)/SUMIF(Sim_v01!$F$4:$F$2403,6,Sim_v01!$AQ$4:$AQ$2403),0)</x:f>
        <x:v>0.10146607479105359</x:v>
      </x:c>
      <x:c r="T12" s="11" t="n">
        <x:f>IF(C12&gt;0,(SUMIF(Sim_v01!$F$4:$F$2403,6,Sim_v01!$AK$4:$AK$2403)+SUMIF(Sim_v01!$F$4:$F$2403,6,Sim_v01!$AL$4:$AL$2403))/(SUMIF(Sim_v01!$F$4:$F$2403,6,Sim_v01!$AJ$4:$AJ$2403)+SUMIF(Sim_v01!$F$4:$F$2403,6,Sim_v01!$AK$4:$AK$2403)+SUMIF(Sim_v01!$F$4:$F$2403,6,Sim_v01!$AL$4:$AL$2403)),0)</x:f>
        <x:v>0.21101058296055095</x:v>
      </x:c>
      <x:c r="U12" t="str">
        <x:f>IF(COUNTIF(Sim_v01!$F$4:$F$2403,"&gt;"&amp;6)&gt;0,"yes",IF(C12&gt;0,"running","not reached"))</x:f>
        <x:v>yes</x:v>
      </x:c>
    </x:row>
    <x:row r="13">
      <x:c r="A13" t="inlineStr">
        <x:is>
          <x:t xml:space="preserve">E7 Industry</x:t>
        </x:is>
      </x:c>
      <x:c r="B13" s="7" t="n">
        <x:f>COUNTIF(Sim_v01!$F$4:$F$2403,"&lt;"&amp;7)*v01_SeasonSeconds/60</x:f>
        <x:v>301.25</x:v>
      </x:c>
      <x:c r="C13" s="7" t="n">
        <x:f>COUNTIF(Sim_v01!$F$4:$F$2403,7)*v01_SeasonSeconds/60</x:f>
        <x:v>16.5</x:v>
      </x:c>
      <x:c r="D13" t="n">
        <x:f>INDEX(v01_TargetMinLo,8)</x:f>
        <x:v>22</x:v>
      </x:c>
      <x:c r="E13" t="n">
        <x:f>INDEX(v01_TargetMinHi,8)</x:f>
        <x:v>24</x:v>
      </x:c>
      <x:c r="F13" t="str">
        <x:f>IF(U13&lt;&gt;"yes","unfinished",IF(AND(C13&gt;=D13,C13&lt;=E13),"✓",IF(C13&lt;D13,"too fast","too slow")))</x:f>
        <x:v>too fast</x:v>
      </x:c>
      <x:c r="G13" s="7" t="n">
        <x:f>INDEX(v01_Done,8)</x:f>
        <x:v>15.777299317517063</x:v>
      </x:c>
      <x:c r="H13" t="n">
        <x:f>INDEX(v01_TargetDoneLo,8)</x:f>
        <x:v>14</x:v>
      </x:c>
      <x:c r="I13" t="n">
        <x:f>INDEX(v01_TargetDoneHi,8)</x:f>
        <x:v>17</x:v>
      </x:c>
      <x:c r="J13" t="str">
        <x:f>IF(AND(G13&gt;=H13,G13&lt;=I13),"✓","✗")</x:f>
        <x:v>✓</x:v>
      </x:c>
      <x:c r="K13" s="7" t="n">
        <x:f>INDEX(v01_BackfillN,8)</x:f>
        <x:v>18.9</x:v>
      </x:c>
      <x:c r="L13" s="8" t="n">
        <x:f>IF(C13&gt;0,C13*60/(G13+K13),0)</x:f>
        <x:v>28.548936032625427</x:v>
      </x:c>
      <x:c r="M13" s="9" t="n">
        <x:f>IF(C13&gt;0,INDEX(v01_AvgCost,8)/(v01_SlotPrimary/(v01_SlotPrimary+v01_SlotSecondary+v01_SlotTertiary)*(SUMIF(Sim_v01!$F$4:$F$2403,7,Sim_v01!$AQ$4:$AQ$2403)/C13)),0)</x:f>
        <x:v>1.3553724721298677</x:v>
      </x:c>
      <x:c r="N13" s="10" t="n">
        <x:f>IF(C13&gt;0,INDEX(Sim_v01!$AB$4:$AB$2403,COUNTIF(Sim_v01!$F$4:$F$2403,"&lt;"&amp;7)+COUNTIF(Sim_v01!$F$4:$F$2403,7)),0)</x:f>
        <x:v>20345.25146862932</x:v>
      </x:c>
      <x:c r="O13" s="8" t="n">
        <x:f>IF(C13&gt;0,INDEX(Sim_v01!$AE$4:$AE$2403,COUNTIF(Sim_v01!$F$4:$F$2403,"&lt;"&amp;7)+COUNTIF(Sim_v01!$F$4:$F$2403,7)),0)</x:f>
        <x:v>16</x:v>
      </x:c>
      <x:c r="P13" s="10" t="n">
        <x:f>N13/INDEX(v01_RepScale,8)</x:f>
        <x:v>203.45251468629323</x:v>
      </x:c>
      <x:c r="Q13" t="str">
        <x:f>IF(P13&lt;=600,"✓","✗")</x:f>
        <x:v>✓</x:v>
      </x:c>
      <x:c r="R13" s="10" t="n">
        <x:f>IF(C13&gt;0,SUMIF(Sim_v01!$F$4:$F$2403,7,Sim_v01!$AV$4:$AV$2403)*v01_SeasonSeconds/60/C13,0)</x:f>
        <x:v>13780.435843865725</x:v>
      </x:c>
      <x:c r="S13" s="11" t="n">
        <x:f>IF(C13&gt;0,SUMIF(Sim_v01!$F$4:$F$2403,7,Sim_v01!$AO$4:$AO$2403)/SUMIF(Sim_v01!$F$4:$F$2403,7,Sim_v01!$AQ$4:$AQ$2403),0)</x:f>
        <x:v>0.06325989937653129</x:v>
      </x:c>
      <x:c r="T13" s="11" t="n">
        <x:f>IF(C13&gt;0,(SUMIF(Sim_v01!$F$4:$F$2403,7,Sim_v01!$AK$4:$AK$2403)+SUMIF(Sim_v01!$F$4:$F$2403,7,Sim_v01!$AL$4:$AL$2403))/(SUMIF(Sim_v01!$F$4:$F$2403,7,Sim_v01!$AJ$4:$AJ$2403)+SUMIF(Sim_v01!$F$4:$F$2403,7,Sim_v01!$AK$4:$AK$2403)+SUMIF(Sim_v01!$F$4:$F$2403,7,Sim_v01!$AL$4:$AL$2403)),0)</x:f>
        <x:v>0.22003247356162536</x:v>
      </x:c>
      <x:c r="U13" t="str">
        <x:f>IF(COUNTIF(Sim_v01!$F$4:$F$2403,"&gt;"&amp;7)&gt;0,"yes",IF(C13&gt;0,"running","not reached"))</x:f>
        <x:v>yes</x:v>
      </x:c>
    </x:row>
    <x:row r="14">
      <x:c r="A14" t="inlineStr">
        <x:is>
          <x:t xml:space="preserve">E8 Modern</x:t>
        </x:is>
      </x:c>
      <x:c r="B14" s="7" t="n">
        <x:f>COUNTIF(Sim_v01!$F$4:$F$2403,"&lt;"&amp;8)*v01_SeasonSeconds/60</x:f>
        <x:v>317.75</x:v>
      </x:c>
      <x:c r="C14" s="7" t="n">
        <x:f>COUNTIF(Sim_v01!$F$4:$F$2403,8)*v01_SeasonSeconds/60</x:f>
        <x:v>17.5</x:v>
      </x:c>
      <x:c r="D14" t="n">
        <x:f>INDEX(v01_TargetMinLo,9)</x:f>
        <x:v>26</x:v>
      </x:c>
      <x:c r="E14" t="n">
        <x:f>INDEX(v01_TargetMinHi,9)</x:f>
        <x:v>28</x:v>
      </x:c>
      <x:c r="F14" t="str">
        <x:f>IF(U14&lt;&gt;"yes","unfinished",IF(AND(C14&gt;=D14,C14&lt;=E14),"✓",IF(C14&lt;D14,"too fast","too slow")))</x:f>
        <x:v>too fast</x:v>
      </x:c>
      <x:c r="G14" s="7" t="n">
        <x:f>INDEX(v01_Done,9)</x:f>
        <x:v>19.637649935949693</x:v>
      </x:c>
      <x:c r="H14" t="n">
        <x:f>INDEX(v01_TargetDoneLo,9)</x:f>
        <x:v>18</x:v>
      </x:c>
      <x:c r="I14" t="n">
        <x:f>INDEX(v01_TargetDoneHi,9)</x:f>
        <x:v>21</x:v>
      </x:c>
      <x:c r="J14" t="str">
        <x:f>IF(AND(G14&gt;=H14,G14&lt;=I14),"✓","✗")</x:f>
        <x:v>✓</x:v>
      </x:c>
      <x:c r="K14" s="7" t="n">
        <x:f>INDEX(v01_BackfillN,9)</x:f>
        <x:v>14.7</x:v>
      </x:c>
      <x:c r="L14" s="8" t="n">
        <x:f>IF(C14&gt;0,C14*60/(G14+K14),0)</x:f>
        <x:v>30.578679727895587</x:v>
      </x:c>
      <x:c r="M14" s="9" t="n">
        <x:f>IF(C14&gt;0,INDEX(v01_AvgCost,9)/(v01_SlotPrimary/(v01_SlotPrimary+v01_SlotSecondary+v01_SlotTertiary)*(SUMIF(Sim_v01!$F$4:$F$2403,8,Sim_v01!$AQ$4:$AQ$2403)/C14)),0)</x:f>
        <x:v>1.2574281270174275</x:v>
      </x:c>
      <x:c r="N14" s="10" t="n">
        <x:f>IF(C14&gt;0,INDEX(Sim_v01!$AB$4:$AB$2403,COUNTIF(Sim_v01!$F$4:$F$2403,"&lt;"&amp;8)+COUNTIF(Sim_v01!$F$4:$F$2403,8)),0)</x:f>
        <x:v>33053.675941949565</x:v>
      </x:c>
      <x:c r="O14" s="8" t="n">
        <x:f>IF(C14&gt;0,INDEX(Sim_v01!$AE$4:$AE$2403,COUNTIF(Sim_v01!$F$4:$F$2403,"&lt;"&amp;8)+COUNTIF(Sim_v01!$F$4:$F$2403,8)),0)</x:f>
        <x:v>15</x:v>
      </x:c>
      <x:c r="P14" s="10" t="n">
        <x:f>N14/INDEX(v01_RepScale,9)</x:f>
        <x:v>132.21470376779826</x:v>
      </x:c>
      <x:c r="Q14" t="str">
        <x:f>IF(P14&lt;=600,"✓","✗")</x:f>
        <x:v>✓</x:v>
      </x:c>
      <x:c r="R14" s="10" t="n">
        <x:f>IF(C14&gt;0,SUMIF(Sim_v01!$F$4:$F$2403,8,Sim_v01!$AV$4:$AV$2403)*v01_SeasonSeconds/60/C14,0)</x:f>
        <x:v>41451.78135071863</x:v>
      </x:c>
      <x:c r="S14" s="11" t="n">
        <x:f>IF(C14&gt;0,SUMIF(Sim_v01!$F$4:$F$2403,8,Sim_v01!$AO$4:$AO$2403)/SUMIF(Sim_v01!$F$4:$F$2403,8,Sim_v01!$AQ$4:$AQ$2403),0)</x:f>
        <x:v>0.03651633263700443</x:v>
      </x:c>
      <x:c r="T14" s="11" t="n">
        <x:f>IF(C14&gt;0,(SUMIF(Sim_v01!$F$4:$F$2403,8,Sim_v01!$AK$4:$AK$2403)+SUMIF(Sim_v01!$F$4:$F$2403,8,Sim_v01!$AL$4:$AL$2403))/(SUMIF(Sim_v01!$F$4:$F$2403,8,Sim_v01!$AJ$4:$AJ$2403)+SUMIF(Sim_v01!$F$4:$F$2403,8,Sim_v01!$AK$4:$AK$2403)+SUMIF(Sim_v01!$F$4:$F$2403,8,Sim_v01!$AL$4:$AL$2403)),0)</x:f>
        <x:v>0.20546508734326882</x:v>
      </x:c>
      <x:c r="U14" t="str">
        <x:f>IF(COUNTIF(Sim_v01!$F$4:$F$2403,"&gt;"&amp;8)&gt;0,"yes",IF(C14&gt;0,"running","not reached"))</x:f>
        <x:v>yes</x:v>
      </x:c>
    </x:row>
    <x:row r="15">
      <x:c r="A15" t="inlineStr">
        <x:is>
          <x:t xml:space="preserve">E9 Information</x:t>
        </x:is>
      </x:c>
      <x:c r="B15" s="7" t="n">
        <x:f>COUNTIF(Sim_v01!$F$4:$F$2403,"&lt;"&amp;9)*v01_SeasonSeconds/60</x:f>
        <x:v>335.25</x:v>
      </x:c>
      <x:c r="C15" s="7" t="n">
        <x:f>COUNTIF(Sim_v01!$F$4:$F$2403,9)*v01_SeasonSeconds/60</x:f>
        <x:v>15</x:v>
      </x:c>
      <x:c r="D15" t="n">
        <x:f>INDEX(v01_TargetMinLo,10)</x:f>
        <x:v>28</x:v>
      </x:c>
      <x:c r="E15" t="n">
        <x:f>INDEX(v01_TargetMinHi,10)</x:f>
        <x:v>32</x:v>
      </x:c>
      <x:c r="F15" t="str">
        <x:f>IF(U15&lt;&gt;"yes","unfinished",IF(AND(C15&gt;=D15,C15&lt;=E15),"✓",IF(C15&lt;D15,"too fast","too slow")))</x:f>
        <x:v>too fast</x:v>
      </x:c>
      <x:c r="G15" s="7" t="n">
        <x:f>INDEX(v01_Done,10)</x:f>
        <x:v>18.631903913497574</x:v>
      </x:c>
      <x:c r="H15" t="n">
        <x:f>INDEX(v01_TargetDoneLo,10)</x:f>
        <x:v>17</x:v>
      </x:c>
      <x:c r="I15" t="n">
        <x:f>INDEX(v01_TargetDoneHi,10)</x:f>
        <x:v>20</x:v>
      </x:c>
      <x:c r="J15" t="str">
        <x:f>IF(AND(G15&gt;=H15,G15&lt;=I15),"✓","✗")</x:f>
        <x:v>✓</x:v>
      </x:c>
      <x:c r="K15" s="7" t="n">
        <x:f>INDEX(v01_BackfillN,10)</x:f>
        <x:v>36.4</x:v>
      </x:c>
      <x:c r="L15" s="8" t="n">
        <x:f>IF(C15&gt;0,C15*60/(G15+K15),0)</x:f>
        <x:v>16.354149793085</x:v>
      </x:c>
      <x:c r="M15" s="9" t="n">
        <x:f>IF(C15&gt;0,INDEX(v01_AvgCost,10)/(v01_SlotPrimary/(v01_SlotPrimary+v01_SlotSecondary+v01_SlotTertiary)*(SUMIF(Sim_v01!$F$4:$F$2403,9,Sim_v01!$AQ$4:$AQ$2403)/C15)),0)</x:f>
        <x:v>1.0966503859259193</x:v>
      </x:c>
      <x:c r="N15" s="10" t="n">
        <x:f>IF(C15&gt;0,INDEX(Sim_v01!$AB$4:$AB$2403,COUNTIF(Sim_v01!$F$4:$F$2403,"&lt;"&amp;9)+COUNTIF(Sim_v01!$F$4:$F$2403,9)),0)</x:f>
        <x:v>45047.59802873172</x:v>
      </x:c>
      <x:c r="O15" s="8" t="n">
        <x:f>IF(C15&gt;0,INDEX(Sim_v01!$AE$4:$AE$2403,COUNTIF(Sim_v01!$F$4:$F$2403,"&lt;"&amp;9)+COUNTIF(Sim_v01!$F$4:$F$2403,9)),0)</x:f>
        <x:v>15</x:v>
      </x:c>
      <x:c r="P15" s="10" t="n">
        <x:f>N15/INDEX(v01_RepScale,10)</x:f>
        <x:v>90.09519605746344</x:v>
      </x:c>
      <x:c r="Q15" t="str">
        <x:f>IF(P15&lt;=600,"✓","✗")</x:f>
        <x:v>✓</x:v>
      </x:c>
      <x:c r="R15" s="10" t="n">
        <x:f>IF(C15&gt;0,SUMIF(Sim_v01!$F$4:$F$2403,9,Sim_v01!$AV$4:$AV$2403)*v01_SeasonSeconds/60/C15,0)</x:f>
        <x:v>121406.97241824548</x:v>
      </x:c>
      <x:c r="S15" s="11" t="n">
        <x:f>IF(C15&gt;0,SUMIF(Sim_v01!$F$4:$F$2403,9,Sim_v01!$AO$4:$AO$2403)/SUMIF(Sim_v01!$F$4:$F$2403,9,Sim_v01!$AQ$4:$AQ$2403),0)</x:f>
        <x:v>0.01901285768716907</x:v>
      </x:c>
      <x:c r="T15" s="11" t="n">
        <x:f>IF(C15&gt;0,(SUMIF(Sim_v01!$F$4:$F$2403,9,Sim_v01!$AK$4:$AK$2403)+SUMIF(Sim_v01!$F$4:$F$2403,9,Sim_v01!$AL$4:$AL$2403))/(SUMIF(Sim_v01!$F$4:$F$2403,9,Sim_v01!$AJ$4:$AJ$2403)+SUMIF(Sim_v01!$F$4:$F$2403,9,Sim_v01!$AK$4:$AK$2403)+SUMIF(Sim_v01!$F$4:$F$2403,9,Sim_v01!$AL$4:$AL$2403)),0)</x:f>
        <x:v>0.21745649490206234</x:v>
      </x:c>
      <x:c r="U15" t="str">
        <x:f>IF(COUNTIF(Sim_v01!$F$4:$F$2403,"&gt;"&amp;9)&gt;0,"yes",IF(C15&gt;0,"running","not reached"))</x:f>
        <x:v>yes</x:v>
      </x:c>
    </x:row>
    <x:row r="16">
      <x:c r="A16" s="2" t="inlineStr">
        <x:is>
          <x:t xml:space="preserve">Total / arc</x:t>
        </x:is>
      </x:c>
      <x:c r="B16" s="12" t="n">
        <x:f>IF(COUNTIF(Sim_v01!$F$4:$F$2403,10)&gt;0,COUNTIF(Sim_v01!$F$4:$F$2403,"&lt;10")*v01_SeasonSeconds/60,"not finished")</x:f>
        <x:v>350.25</x:v>
      </x:c>
      <x:c r="C16" s="12" t="n">
        <x:f>SUM(C6:C15)</x:f>
        <x:v>350.25</x:v>
      </x:c>
      <x:c r="D16" s="12" t="n">
        <x:f>SUM(D6:D15)</x:f>
        <x:v>163</x:v>
      </x:c>
      <x:c r="E16" s="12" t="n">
        <x:f>SUM(E6:E15)</x:f>
        <x:v>185</x:v>
      </x:c>
      <x:c r="F16" t="str">
        <x:f>IF(ISNUMBER(B16),"total "&amp;TEXT(B16,"0")&amp;" min (target ≈180 Standard)","")</x:f>
        <x:v>total 350 min (target ≈180 Standard)</x:v>
      </x:c>
      <x:c r="G16" s="12" t="n">
        <x:f>SUM(G6:G15)</x:f>
        <x:v>185.44887212986174</x:v>
      </x:c>
      <x:c r="K16" s="12" t="n">
        <x:f>SUM(K6:K15)</x:f>
        <x:v>160.99999999999997</x:v>
      </x:c>
    </x:row>
    <x:row r="19">
      <x:c r="A19" s="4" t="inlineStr">
        <x:is>
          <x:t xml:space="preserve">Tuned (recommended)</x:t>
        </x:is>
      </x:c>
    </x:row>
    <x:row r="20" ht="45" customHeight="1">
      <x:c r="A20" s="13" t="inlineStr">
        <x:is>
          <x:t xml:space="preserve">Era</x:t>
        </x:is>
      </x:c>
      <x:c r="B20" s="13" t="inlineStr">
        <x:is>
          <x:t xml:space="preserve">Start (min)</x:t>
        </x:is>
      </x:c>
      <x:c r="C20" s="13" t="inlineStr">
        <x:is>
          <x:t xml:space="preserve">Minutes</x:t>
        </x:is>
      </x:c>
      <x:c r="D20" s="13" t="inlineStr">
        <x:is>
          <x:t xml:space="preserve">Target lo</x:t>
        </x:is>
      </x:c>
      <x:c r="E20" s="13" t="inlineStr">
        <x:is>
          <x:t xml:space="preserve">Target hi</x:t>
        </x:is>
      </x:c>
      <x:c r="F20" s="13" t="inlineStr">
        <x:is>
          <x:t xml:space="preserve">Duration OK?</x:t>
        </x:is>
      </x:c>
      <x:c r="G20" s="13" t="inlineStr">
        <x:is>
          <x:t xml:space="preserve">In-era done</x:t>
        </x:is>
      </x:c>
      <x:c r="H20" s="13" t="inlineStr">
        <x:is>
          <x:t xml:space="preserve">Target done lo</x:t>
        </x:is>
      </x:c>
      <x:c r="I20" s="13" t="inlineStr">
        <x:is>
          <x:t xml:space="preserve">Target done hi</x:t>
        </x:is>
      </x:c>
      <x:c r="J20" s="13" t="inlineStr">
        <x:is>
          <x:t xml:space="preserve">Done OK?</x:t>
        </x:is>
      </x:c>
      <x:c r="K20" s="13" t="inlineStr">
        <x:is>
          <x:t xml:space="preserve">Forced backfills</x:t>
        </x:is>
      </x:c>
      <x:c r="L20" s="13" t="inlineStr">
        <x:is>
          <x:t xml:space="preserve">Sec per completion</x:t>
        </x:is>
      </x:c>
      <x:c r="M20" s="13" t="inlineStr">
        <x:is>
          <x:t xml:space="preserve">Primary-slot project (min)</x:t>
        </x:is>
      </x:c>
      <x:c r="N20" s="13" t="inlineStr">
        <x:is>
          <x:t xml:space="preserve">Pop at end</x:t>
        </x:is>
      </x:c>
      <x:c r="O20" s="13" t="inlineStr">
        <x:is>
          <x:t xml:space="preserve">Settlements</x:t>
        </x:is>
      </x:c>
      <x:c r="P20" s="13" t="inlineStr">
        <x:is>
          <x:t xml:space="preserve">Rendered figures</x:t>
        </x:is>
      </x:c>
      <x:c r="Q20" s="13" t="inlineStr">
        <x:is>
          <x:t xml:space="preserve">≤600?</x:t>
        </x:is>
      </x:c>
      <x:c r="R20" s="13" t="inlineStr">
        <x:is>
          <x:t xml:space="preserve">Insight/min (avg)</x:t>
        </x:is>
      </x:c>
      <x:c r="S20" s="13" t="inlineStr">
        <x:is>
          <x:t xml:space="preserve">Know-how share</x:t>
        </x:is>
      </x:c>
      <x:c r="T20" s="13" t="inlineStr">
        <x:is>
          <x:t xml:space="preserve">Roles share</x:t>
        </x:is>
      </x:c>
      <x:c r="U20" s="13" t="inlineStr">
        <x:is>
          <x:t xml:space="preserve">Finished?</x:t>
        </x:is>
      </x:c>
    </x:row>
    <x:row r="21">
      <x:c r="A21" t="inlineStr">
        <x:is>
          <x:t xml:space="preserve">E0 Dawn</x:t>
        </x:is>
      </x:c>
      <x:c r="B21" s="7" t="n">
        <x:f>COUNTIF(Sim_tuned!$F$4:$F$1203,"&lt;"&amp;0)*tun_SeasonSeconds/60</x:f>
        <x:v>0</x:v>
      </x:c>
      <x:c r="C21" s="7" t="n">
        <x:f>COUNTIF(Sim_tuned!$F$4:$F$1203,0)*tun_SeasonSeconds/60</x:f>
        <x:v>7.75</x:v>
      </x:c>
      <x:c r="D21" t="n">
        <x:f>INDEX(tun_TargetMinLo,1)</x:f>
        <x:v>7</x:v>
      </x:c>
      <x:c r="E21" t="n">
        <x:f>INDEX(tun_TargetMinHi,1)</x:f>
        <x:v>9</x:v>
      </x:c>
      <x:c r="F21" t="str">
        <x:f>IF(U21&lt;&gt;"yes","unfinished",IF(AND(C21&gt;=D21,C21&lt;=E21),"✓",IF(C21&lt;D21,"too fast","too slow")))</x:f>
        <x:v>✓</x:v>
      </x:c>
      <x:c r="G21" s="7" t="n">
        <x:f>INDEX(tun_Done,1)</x:f>
        <x:v>14.71341206242092</x:v>
      </x:c>
      <x:c r="H21" t="n">
        <x:f>INDEX(tun_TargetDoneLo,1)</x:f>
        <x:v>13</x:v>
      </x:c>
      <x:c r="I21" t="n">
        <x:f>INDEX(tun_TargetDoneHi,1)</x:f>
        <x:v>16</x:v>
      </x:c>
      <x:c r="J21" t="str">
        <x:f>IF(AND(G21&gt;=H21,G21&lt;=I21),"✓","✗")</x:f>
        <x:v>✓</x:v>
      </x:c>
      <x:c r="K21" s="7" t="n">
        <x:f>INDEX(tun_BackfillN,1)</x:f>
        <x:v>0</x:v>
      </x:c>
      <x:c r="L21" s="8" t="n">
        <x:f>IF(C21&gt;0,C21*60/(G21+K21),0)</x:f>
        <x:v>31.60381820527153</x:v>
      </x:c>
      <x:c r="M21" s="9" t="n">
        <x:f>IF(C21&gt;0,INDEX(tun_AvgCost,1)/(tun_SlotPrimary/(tun_SlotPrimary+tun_SlotSecondary+tun_SlotTertiary)*(SUMIF(Sim_tuned!$F$4:$F$1203,0,Sim_tuned!$AQ$4:$AQ$1203)/C21)),0)</x:f>
        <x:v>0.7881102018614601</x:v>
      </x:c>
      <x:c r="N21" s="10" t="n">
        <x:f>IF(C21&gt;0,INDEX(Sim_tuned!$AB$4:$AB$1203,COUNTIF(Sim_tuned!$F$4:$F$1203,"&lt;"&amp;0)+COUNTIF(Sim_tuned!$F$4:$F$1203,0)),0)</x:f>
        <x:v>22.293923263011546</x:v>
      </x:c>
      <x:c r="O21" s="8" t="n">
        <x:f>IF(C21&gt;0,INDEX(Sim_tuned!$AE$4:$AE$1203,COUNTIF(Sim_tuned!$F$4:$F$1203,"&lt;"&amp;0)+COUNTIF(Sim_tuned!$F$4:$F$1203,0)),0)</x:f>
        <x:v>2</x:v>
      </x:c>
      <x:c r="P21" s="10" t="n">
        <x:f>N21/INDEX(tun_RepScale,1)</x:f>
        <x:v>22.293923263011546</x:v>
      </x:c>
      <x:c r="Q21" t="str">
        <x:f>IF(P21&lt;=600,"✓","✗")</x:f>
        <x:v>✓</x:v>
      </x:c>
      <x:c r="R21" s="10" t="n">
        <x:f>IF(C21&gt;0,SUMIF(Sim_tuned!$F$4:$F$1203,0,Sim_tuned!$AV$4:$AV$1203)*tun_SeasonSeconds/60/C21,0)</x:f>
        <x:v>42.93820457016622</x:v>
      </x:c>
      <x:c r="S21" s="11" t="n">
        <x:f>IF(C21&gt;0,SUMIF(Sim_tuned!$F$4:$F$1203,0,Sim_tuned!$AO$4:$AO$1203)/SUMIF(Sim_tuned!$F$4:$F$1203,0,Sim_tuned!$AQ$4:$AQ$1203),0)</x:f>
        <x:v>0.1967871485943775</x:v>
      </x:c>
      <x:c r="T21" s="11" t="n">
        <x:f>IF(C21&gt;0,(SUMIF(Sim_tuned!$F$4:$F$1203,0,Sim_tuned!$AK$4:$AK$1203)+SUMIF(Sim_tuned!$F$4:$F$1203,0,Sim_tuned!$AL$4:$AL$1203))/(SUMIF(Sim_tuned!$F$4:$F$1203,0,Sim_tuned!$AJ$4:$AJ$1203)+SUMIF(Sim_tuned!$F$4:$F$1203,0,Sim_tuned!$AK$4:$AK$1203)+SUMIF(Sim_tuned!$F$4:$F$1203,0,Sim_tuned!$AL$4:$AL$1203)),0)</x:f>
        <x:v>0</x:v>
      </x:c>
      <x:c r="U21" t="str">
        <x:f>IF(COUNTIF(Sim_tuned!$F$4:$F$1203,"&gt;"&amp;0)&gt;0,"yes",IF(C21&gt;0,"running","not reached"))</x:f>
        <x:v>yes</x:v>
      </x:c>
    </x:row>
    <x:row r="22">
      <x:c r="A22" t="inlineStr">
        <x:is>
          <x:t xml:space="preserve">E1 Hunters</x:t>
        </x:is>
      </x:c>
      <x:c r="B22" s="7" t="n">
        <x:f>COUNTIF(Sim_tuned!$F$4:$F$1203,"&lt;"&amp;1)*tun_SeasonSeconds/60</x:f>
        <x:v>7.75</x:v>
      </x:c>
      <x:c r="C22" s="7" t="n">
        <x:f>COUNTIF(Sim_tuned!$F$4:$F$1203,1)*tun_SeasonSeconds/60</x:f>
        <x:v>10</x:v>
      </x:c>
      <x:c r="D22" t="n">
        <x:f>INDEX(tun_TargetMinLo,2)</x:f>
        <x:v>9</x:v>
      </x:c>
      <x:c r="E22" t="n">
        <x:f>INDEX(tun_TargetMinHi,2)</x:f>
        <x:v>11</x:v>
      </x:c>
      <x:c r="F22" t="str">
        <x:f>IF(U22&lt;&gt;"yes","unfinished",IF(AND(C22&gt;=D22,C22&lt;=E22),"✓",IF(C22&lt;D22,"too fast","too slow")))</x:f>
        <x:v>✓</x:v>
      </x:c>
      <x:c r="G22" s="7" t="n">
        <x:f>INDEX(tun_Done,2)</x:f>
        <x:v>15.71288743882545</x:v>
      </x:c>
      <x:c r="H22" t="n">
        <x:f>INDEX(tun_TargetDoneLo,2)</x:f>
        <x:v>14</x:v>
      </x:c>
      <x:c r="I22" t="n">
        <x:f>INDEX(tun_TargetDoneHi,2)</x:f>
        <x:v>17</x:v>
      </x:c>
      <x:c r="J22" t="str">
        <x:f>IF(AND(G22&gt;=H22,G22&lt;=I22),"✓","✗")</x:f>
        <x:v>✓</x:v>
      </x:c>
      <x:c r="K22" s="7" t="n">
        <x:f>INDEX(tun_BackfillN,2)</x:f>
        <x:v>5.6</x:v>
      </x:c>
      <x:c r="L22" s="8" t="n">
        <x:f>IF(C22&gt;0,C22*60/(G22+K22),0)</x:f>
        <x:v>28.15198089522993</x:v>
      </x:c>
      <x:c r="M22" s="9" t="n">
        <x:f>IF(C22&gt;0,INDEX(tun_AvgCost,2)/(tun_SlotPrimary/(tun_SlotPrimary+tun_SlotSecondary+tun_SlotTertiary)*(SUMIF(Sim_tuned!$F$4:$F$1203,1,Sim_tuned!$AQ$4:$AQ$1203)/C22)),0)</x:f>
        <x:v>0.8724514370818199</x:v>
      </x:c>
      <x:c r="N22" s="10" t="n">
        <x:f>IF(C22&gt;0,INDEX(Sim_tuned!$AB$4:$AB$1203,COUNTIF(Sim_tuned!$F$4:$F$1203,"&lt;"&amp;1)+COUNTIF(Sim_tuned!$F$4:$F$1203,1)),0)</x:f>
        <x:v>46.414125488940925</x:v>
      </x:c>
      <x:c r="O22" s="8" t="n">
        <x:f>IF(C22&gt;0,INDEX(Sim_tuned!$AE$4:$AE$1203,COUNTIF(Sim_tuned!$F$4:$F$1203,"&lt;"&amp;1)+COUNTIF(Sim_tuned!$F$4:$F$1203,1)),0)</x:f>
        <x:v>2</x:v>
      </x:c>
      <x:c r="P22" s="10" t="n">
        <x:f>N22/INDEX(tun_RepScale,2)</x:f>
        <x:v>46.414125488940925</x:v>
      </x:c>
      <x:c r="Q22" t="str">
        <x:f>IF(P22&lt;=600,"✓","✗")</x:f>
        <x:v>✓</x:v>
      </x:c>
      <x:c r="R22" s="10" t="n">
        <x:f>IF(C22&gt;0,SUMIF(Sim_tuned!$F$4:$F$1203,1,Sim_tuned!$AV$4:$AV$1203)*tun_SeasonSeconds/60/C22,0)</x:f>
        <x:v>92.915481198691</x:v>
      </x:c>
      <x:c r="S22" s="11" t="n">
        <x:f>IF(C22&gt;0,SUMIF(Sim_tuned!$F$4:$F$1203,1,Sim_tuned!$AO$4:$AO$1203)/SUMIF(Sim_tuned!$F$4:$F$1203,1,Sim_tuned!$AQ$4:$AQ$1203),0)</x:f>
        <x:v>0.15365225345308461</x:v>
      </x:c>
      <x:c r="T22" s="11" t="n">
        <x:f>IF(C22&gt;0,(SUMIF(Sim_tuned!$F$4:$F$1203,1,Sim_tuned!$AK$4:$AK$1203)+SUMIF(Sim_tuned!$F$4:$F$1203,1,Sim_tuned!$AL$4:$AL$1203))/(SUMIF(Sim_tuned!$F$4:$F$1203,1,Sim_tuned!$AJ$4:$AJ$1203)+SUMIF(Sim_tuned!$F$4:$F$1203,1,Sim_tuned!$AK$4:$AK$1203)+SUMIF(Sim_tuned!$F$4:$F$1203,1,Sim_tuned!$AL$4:$AL$1203)),0)</x:f>
        <x:v>0.2404648574937995</x:v>
      </x:c>
      <x:c r="U22" t="str">
        <x:f>IF(COUNTIF(Sim_tuned!$F$4:$F$1203,"&gt;"&amp;1)&gt;0,"yes",IF(C22&gt;0,"running","not reached"))</x:f>
        <x:v>yes</x:v>
      </x:c>
    </x:row>
    <x:row r="23">
      <x:c r="A23" t="inlineStr">
        <x:is>
          <x:t xml:space="preserve">E2 Roots</x:t>
        </x:is>
      </x:c>
      <x:c r="B23" s="7" t="n">
        <x:f>COUNTIF(Sim_tuned!$F$4:$F$1203,"&lt;"&amp;2)*tun_SeasonSeconds/60</x:f>
        <x:v>17.75</x:v>
      </x:c>
      <x:c r="C23" s="7" t="n">
        <x:f>COUNTIF(Sim_tuned!$F$4:$F$1203,2)*tun_SeasonSeconds/60</x:f>
        <x:v>14</x:v>
      </x:c>
      <x:c r="D23" t="n">
        <x:f>INDEX(tun_TargetMinLo,3)</x:f>
        <x:v>11</x:v>
      </x:c>
      <x:c r="E23" t="n">
        <x:f>INDEX(tun_TargetMinHi,3)</x:f>
        <x:v>13</x:v>
      </x:c>
      <x:c r="F23" t="str">
        <x:f>IF(U23&lt;&gt;"yes","unfinished",IF(AND(C23&gt;=D23,C23&lt;=E23),"✓",IF(C23&lt;D23,"too fast","too slow")))</x:f>
        <x:v>too slow</x:v>
      </x:c>
      <x:c r="G23" s="7" t="n">
        <x:f>INDEX(tun_Done,3)</x:f>
        <x:v>21.609842793485075</x:v>
      </x:c>
      <x:c r="H23" t="n">
        <x:f>INDEX(tun_TargetDoneLo,3)</x:f>
        <x:v>20</x:v>
      </x:c>
      <x:c r="I23" t="n">
        <x:f>INDEX(tun_TargetDoneHi,3)</x:f>
        <x:v>23</x:v>
      </x:c>
      <x:c r="J23" t="str">
        <x:f>IF(AND(G23&gt;=H23,G23&lt;=I23),"✓","✗")</x:f>
        <x:v>✓</x:v>
      </x:c>
      <x:c r="K23" s="7" t="n">
        <x:f>INDEX(tun_BackfillN,3)</x:f>
        <x:v>17.5</x:v>
      </x:c>
      <x:c r="L23" s="8" t="n">
        <x:f>IF(C23&gt;0,C23*60/(G23+K23),0)</x:f>
        <x:v>21.47796922722296</x:v>
      </x:c>
      <x:c r="M23" s="9" t="n">
        <x:f>IF(C23&gt;0,INDEX(tun_AvgCost,3)/(tun_SlotPrimary/(tun_SlotPrimary+tun_SlotSecondary+tun_SlotTertiary)*(SUMIF(Sim_tuned!$F$4:$F$1203,2,Sim_tuned!$AQ$4:$AQ$1203)/C23)),0)</x:f>
        <x:v>0.8541011436350437</x:v>
      </x:c>
      <x:c r="N23" s="10" t="n">
        <x:f>IF(C23&gt;0,INDEX(Sim_tuned!$AB$4:$AB$1203,COUNTIF(Sim_tuned!$F$4:$F$1203,"&lt;"&amp;2)+COUNTIF(Sim_tuned!$F$4:$F$1203,2)),0)</x:f>
        <x:v>132.35764392021684</x:v>
      </x:c>
      <x:c r="O23" s="8" t="n">
        <x:f>IF(C23&gt;0,INDEX(Sim_tuned!$AE$4:$AE$1203,COUNTIF(Sim_tuned!$F$4:$F$1203,"&lt;"&amp;2)+COUNTIF(Sim_tuned!$F$4:$F$1203,2)),0)</x:f>
        <x:v>2</x:v>
      </x:c>
      <x:c r="P23" s="10" t="n">
        <x:f>N23/INDEX(tun_RepScale,3)</x:f>
        <x:v>132.35764392021684</x:v>
      </x:c>
      <x:c r="Q23" t="str">
        <x:f>IF(P23&lt;=600,"✓","✗")</x:f>
        <x:v>✓</x:v>
      </x:c>
      <x:c r="R23" s="10" t="n">
        <x:f>IF(C23&gt;0,SUMIF(Sim_tuned!$F$4:$F$1203,2,Sim_tuned!$AV$4:$AV$1203)*tun_SeasonSeconds/60/C23,0)</x:f>
        <x:v>203.05135393231623</x:v>
      </x:c>
      <x:c r="S23" s="11" t="n">
        <x:f>IF(C23&gt;0,SUMIF(Sim_tuned!$F$4:$F$1203,2,Sim_tuned!$AO$4:$AO$1203)/SUMIF(Sim_tuned!$F$4:$F$1203,2,Sim_tuned!$AQ$4:$AQ$1203),0)</x:f>
        <x:v>0.14913758490348716</x:v>
      </x:c>
      <x:c r="T23" s="11" t="n">
        <x:f>IF(C23&gt;0,(SUMIF(Sim_tuned!$F$4:$F$1203,2,Sim_tuned!$AK$4:$AK$1203)+SUMIF(Sim_tuned!$F$4:$F$1203,2,Sim_tuned!$AL$4:$AL$1203))/(SUMIF(Sim_tuned!$F$4:$F$1203,2,Sim_tuned!$AJ$4:$AJ$1203)+SUMIF(Sim_tuned!$F$4:$F$1203,2,Sim_tuned!$AK$4:$AK$1203)+SUMIF(Sim_tuned!$F$4:$F$1203,2,Sim_tuned!$AL$4:$AL$1203)),0)</x:f>
        <x:v>0.24836081623375925</x:v>
      </x:c>
      <x:c r="U23" t="str">
        <x:f>IF(COUNTIF(Sim_tuned!$F$4:$F$1203,"&gt;"&amp;2)&gt;0,"yes",IF(C23&gt;0,"running","not reached"))</x:f>
        <x:v>yes</x:v>
      </x:c>
    </x:row>
    <x:row r="24">
      <x:c r="A24" t="inlineStr">
        <x:is>
          <x:t xml:space="preserve">E3 Bronze</x:t>
        </x:is>
      </x:c>
      <x:c r="B24" s="7" t="n">
        <x:f>COUNTIF(Sim_tuned!$F$4:$F$1203,"&lt;"&amp;3)*tun_SeasonSeconds/60</x:f>
        <x:v>31.75</x:v>
      </x:c>
      <x:c r="C24" s="7" t="n">
        <x:f>COUNTIF(Sim_tuned!$F$4:$F$1203,3)*tun_SeasonSeconds/60</x:f>
        <x:v>11.25</x:v>
      </x:c>
      <x:c r="D24" t="n">
        <x:f>INDEX(tun_TargetMinLo,4)</x:f>
        <x:v>12</x:v>
      </x:c>
      <x:c r="E24" t="n">
        <x:f>INDEX(tun_TargetMinHi,4)</x:f>
        <x:v>14</x:v>
      </x:c>
      <x:c r="F24" t="str">
        <x:f>IF(U24&lt;&gt;"yes","unfinished",IF(AND(C24&gt;=D24,C24&lt;=E24),"✓",IF(C24&lt;D24,"too fast","too slow")))</x:f>
        <x:v>too fast</x:v>
      </x:c>
      <x:c r="G24" s="7" t="n">
        <x:f>INDEX(tun_Done,4)</x:f>
        <x:v>22.5774608389087</x:v>
      </x:c>
      <x:c r="H24" t="n">
        <x:f>INDEX(tun_TargetDoneLo,4)</x:f>
        <x:v>22</x:v>
      </x:c>
      <x:c r="I24" t="n">
        <x:f>INDEX(tun_TargetDoneHi,4)</x:f>
        <x:v>25</x:v>
      </x:c>
      <x:c r="J24" t="str">
        <x:f>IF(AND(G24&gt;=H24,G24&lt;=I24),"✓","✗")</x:f>
        <x:v>✓</x:v>
      </x:c>
      <x:c r="K24" s="7" t="n">
        <x:f>INDEX(tun_BackfillN,4)</x:f>
        <x:v>11.2</x:v>
      </x:c>
      <x:c r="L24" s="8" t="n">
        <x:f>IF(C24&gt;0,C24*60/(G24+K24),0)</x:f>
        <x:v>19.983740140184214</x:v>
      </x:c>
      <x:c r="M24" s="9" t="n">
        <x:f>IF(C24&gt;0,INDEX(tun_AvgCost,4)/(tun_SlotPrimary/(tun_SlotPrimary+tun_SlotSecondary+tun_SlotTertiary)*(SUMIF(Sim_tuned!$F$4:$F$1203,3,Sim_tuned!$AQ$4:$AQ$1203)/C24)),0)</x:f>
        <x:v>0.7168300738382731</x:v>
      </x:c>
      <x:c r="N24" s="10" t="n">
        <x:f>IF(C24&gt;0,INDEX(Sim_tuned!$AB$4:$AB$1203,COUNTIF(Sim_tuned!$F$4:$F$1203,"&lt;"&amp;3)+COUNTIF(Sim_tuned!$F$4:$F$1203,3)),0)</x:f>
        <x:v>283.58315113681505</x:v>
      </x:c>
      <x:c r="O24" s="8" t="n">
        <x:f>IF(C24&gt;0,INDEX(Sim_tuned!$AE$4:$AE$1203,COUNTIF(Sim_tuned!$F$4:$F$1203,"&lt;"&amp;3)+COUNTIF(Sim_tuned!$F$4:$F$1203,3)),0)</x:f>
        <x:v>2</x:v>
      </x:c>
      <x:c r="P24" s="10" t="n">
        <x:f>N24/INDEX(tun_RepScale,4)</x:f>
        <x:v>283.58315113681505</x:v>
      </x:c>
      <x:c r="Q24" t="str">
        <x:f>IF(P24&lt;=600,"✓","✗")</x:f>
        <x:v>✓</x:v>
      </x:c>
      <x:c r="R24" s="10" t="n">
        <x:f>IF(C24&gt;0,SUMIF(Sim_tuned!$F$4:$F$1203,3,Sim_tuned!$AV$4:$AV$1203)*tun_SeasonSeconds/60/C24,0)</x:f>
        <x:v>388.58877049795717</x:v>
      </x:c>
      <x:c r="S24" s="11" t="n">
        <x:f>IF(C24&gt;0,SUMIF(Sim_tuned!$F$4:$F$1203,3,Sim_tuned!$AO$4:$AO$1203)/SUMIF(Sim_tuned!$F$4:$F$1203,3,Sim_tuned!$AQ$4:$AQ$1203),0)</x:f>
        <x:v>0.16303798811513637</x:v>
      </x:c>
      <x:c r="T24" s="11" t="n">
        <x:f>IF(C24&gt;0,(SUMIF(Sim_tuned!$F$4:$F$1203,3,Sim_tuned!$AK$4:$AK$1203)+SUMIF(Sim_tuned!$F$4:$F$1203,3,Sim_tuned!$AL$4:$AL$1203))/(SUMIF(Sim_tuned!$F$4:$F$1203,3,Sim_tuned!$AJ$4:$AJ$1203)+SUMIF(Sim_tuned!$F$4:$F$1203,3,Sim_tuned!$AK$4:$AK$1203)+SUMIF(Sim_tuned!$F$4:$F$1203,3,Sim_tuned!$AL$4:$AL$1203)),0)</x:f>
        <x:v>0.1437736820329189</x:v>
      </x:c>
      <x:c r="U24" t="str">
        <x:f>IF(COUNTIF(Sim_tuned!$F$4:$F$1203,"&gt;"&amp;3)&gt;0,"yes",IF(C24&gt;0,"running","not reached"))</x:f>
        <x:v>yes</x:v>
      </x:c>
    </x:row>
    <x:row r="25">
      <x:c r="A25" t="inlineStr">
        <x:is>
          <x:t xml:space="preserve">E4 Iron</x:t>
        </x:is>
      </x:c>
      <x:c r="B25" s="7" t="n">
        <x:f>COUNTIF(Sim_tuned!$F$4:$F$1203,"&lt;"&amp;4)*tun_SeasonSeconds/60</x:f>
        <x:v>43</x:v>
      </x:c>
      <x:c r="C25" s="7" t="n">
        <x:f>COUNTIF(Sim_tuned!$F$4:$F$1203,4)*tun_SeasonSeconds/60</x:f>
        <x:v>16.5</x:v>
      </x:c>
      <x:c r="D25" t="n">
        <x:f>INDEX(tun_TargetMinLo,5)</x:f>
        <x:v>14</x:v>
      </x:c>
      <x:c r="E25" t="n">
        <x:f>INDEX(tun_TargetMinHi,5)</x:f>
        <x:v>16</x:v>
      </x:c>
      <x:c r="F25" t="str">
        <x:f>IF(U25&lt;&gt;"yes","unfinished",IF(AND(C25&gt;=D25,C25&lt;=E25),"✓",IF(C25&lt;D25,"too fast","too slow")))</x:f>
        <x:v>too slow</x:v>
      </x:c>
      <x:c r="G25" s="7" t="n">
        <x:f>INDEX(tun_Done,5)</x:f>
        <x:v>22.54487493869544</x:v>
      </x:c>
      <x:c r="H25" t="n">
        <x:f>INDEX(tun_TargetDoneLo,5)</x:f>
        <x:v>21</x:v>
      </x:c>
      <x:c r="I25" t="n">
        <x:f>INDEX(tun_TargetDoneHi,5)</x:f>
        <x:v>24</x:v>
      </x:c>
      <x:c r="J25" t="str">
        <x:f>IF(AND(G25&gt;=H25,G25&lt;=I25),"✓","✗")</x:f>
        <x:v>✓</x:v>
      </x:c>
      <x:c r="K25" s="7" t="n">
        <x:f>INDEX(tun_BackfillN,5)</x:f>
        <x:v>19.599999999999998</x:v>
      </x:c>
      <x:c r="L25" s="8" t="n">
        <x:f>IF(C25&gt;0,C25*60/(G25+K25),0)</x:f>
        <x:v>23.490400705662758</x:v>
      </x:c>
      <x:c r="M25" s="9" t="n">
        <x:f>IF(C25&gt;0,INDEX(tun_AvgCost,5)/(tun_SlotPrimary/(tun_SlotPrimary+tun_SlotSecondary+tun_SlotTertiary)*(SUMIF(Sim_tuned!$F$4:$F$1203,4,Sim_tuned!$AQ$4:$AQ$1203)/C25)),0)</x:f>
        <x:v>1.088969318895808</x:v>
      </x:c>
      <x:c r="N25" s="10" t="n">
        <x:f>IF(C25&gt;0,INDEX(Sim_tuned!$AB$4:$AB$1203,COUNTIF(Sim_tuned!$F$4:$F$1203,"&lt;"&amp;4)+COUNTIF(Sim_tuned!$F$4:$F$1203,4)),0)</x:f>
        <x:v>858.1869367796164</x:v>
      </x:c>
      <x:c r="O25" s="8" t="n">
        <x:f>IF(C25&gt;0,INDEX(Sim_tuned!$AE$4:$AE$1203,COUNTIF(Sim_tuned!$F$4:$F$1203,"&lt;"&amp;4)+COUNTIF(Sim_tuned!$F$4:$F$1203,4)),0)</x:f>
        <x:v>3</x:v>
      </x:c>
      <x:c r="P25" s="10" t="n">
        <x:f>N25/INDEX(tun_RepScale,5)</x:f>
        <x:v>429.0934683898082</x:v>
      </x:c>
      <x:c r="Q25" t="str">
        <x:f>IF(P25&lt;=600,"✓","✗")</x:f>
        <x:v>✓</x:v>
      </x:c>
      <x:c r="R25" s="10" t="n">
        <x:f>IF(C25&gt;0,SUMIF(Sim_tuned!$F$4:$F$1203,4,Sim_tuned!$AV$4:$AV$1203)*tun_SeasonSeconds/60/C25,0)</x:f>
        <x:v>1077.4602637017272</x:v>
      </x:c>
      <x:c r="S25" s="11" t="n">
        <x:f>IF(C25&gt;0,SUMIF(Sim_tuned!$F$4:$F$1203,4,Sim_tuned!$AO$4:$AO$1203)/SUMIF(Sim_tuned!$F$4:$F$1203,4,Sim_tuned!$AQ$4:$AQ$1203),0)</x:f>
        <x:v>0.16299707022118276</x:v>
      </x:c>
      <x:c r="T25" s="11" t="n">
        <x:f>IF(C25&gt;0,(SUMIF(Sim_tuned!$F$4:$F$1203,4,Sim_tuned!$AK$4:$AK$1203)+SUMIF(Sim_tuned!$F$4:$F$1203,4,Sim_tuned!$AL$4:$AL$1203))/(SUMIF(Sim_tuned!$F$4:$F$1203,4,Sim_tuned!$AJ$4:$AJ$1203)+SUMIF(Sim_tuned!$F$4:$F$1203,4,Sim_tuned!$AK$4:$AK$1203)+SUMIF(Sim_tuned!$F$4:$F$1203,4,Sim_tuned!$AL$4:$AL$1203)),0)</x:f>
        <x:v>0.12263117805288343</x:v>
      </x:c>
      <x:c r="U25" t="str">
        <x:f>IF(COUNTIF(Sim_tuned!$F$4:$F$1203,"&gt;"&amp;4)&gt;0,"yes",IF(C25&gt;0,"running","not reached"))</x:f>
        <x:v>yes</x:v>
      </x:c>
    </x:row>
    <x:row r="26">
      <x:c r="A26" t="inlineStr">
        <x:is>
          <x:t xml:space="preserve">E5 Faith &amp; Fief</x:t>
        </x:is>
      </x:c>
      <x:c r="B26" s="7" t="n">
        <x:f>COUNTIF(Sim_tuned!$F$4:$F$1203,"&lt;"&amp;5)*tun_SeasonSeconds/60</x:f>
        <x:v>59.5</x:v>
      </x:c>
      <x:c r="C26" s="7" t="n">
        <x:f>COUNTIF(Sim_tuned!$F$4:$F$1203,5)*tun_SeasonSeconds/60</x:f>
        <x:v>18.5</x:v>
      </x:c>
      <x:c r="D26" t="n">
        <x:f>INDEX(tun_TargetMinLo,6)</x:f>
        <x:v>16</x:v>
      </x:c>
      <x:c r="E26" t="n">
        <x:f>INDEX(tun_TargetMinHi,6)</x:f>
        <x:v>18</x:v>
      </x:c>
      <x:c r="F26" t="str">
        <x:f>IF(U26&lt;&gt;"yes","unfinished",IF(AND(C26&gt;=D26,C26&lt;=E26),"✓",IF(C26&lt;D26,"too fast","too slow")))</x:f>
        <x:v>too slow</x:v>
      </x:c>
      <x:c r="G26" s="7" t="n">
        <x:f>INDEX(tun_Done,6)</x:f>
        <x:v>17.65081880612784</x:v>
      </x:c>
      <x:c r="H26" t="n">
        <x:f>INDEX(tun_TargetDoneLo,6)</x:f>
        <x:v>16</x:v>
      </x:c>
      <x:c r="I26" t="n">
        <x:f>INDEX(tun_TargetDoneHi,6)</x:f>
        <x:v>19</x:v>
      </x:c>
      <x:c r="J26" t="str">
        <x:f>IF(AND(G26&gt;=H26,G26&lt;=I26),"✓","✗")</x:f>
        <x:v>✓</x:v>
      </x:c>
      <x:c r="K26" s="7" t="n">
        <x:f>INDEX(tun_BackfillN,6)</x:f>
        <x:v>16.799999999999997</x:v>
      </x:c>
      <x:c r="L26" s="8" t="n">
        <x:f>IF(C26&gt;0,C26*60/(G26+K26),0)</x:f>
        <x:v>32.219843779230054</x:v>
      </x:c>
      <x:c r="M26" s="9" t="n">
        <x:f>IF(C26&gt;0,INDEX(tun_AvgCost,6)/(tun_SlotPrimary/(tun_SlotPrimary+tun_SlotSecondary+tun_SlotTertiary)*(SUMIF(Sim_tuned!$F$4:$F$1203,5,Sim_tuned!$AQ$4:$AQ$1203)/C26)),0)</x:f>
        <x:v>1.5270549898675536</x:v>
      </x:c>
      <x:c r="N26" s="10" t="n">
        <x:f>IF(C26&gt;0,INDEX(Sim_tuned!$AB$4:$AB$1203,COUNTIF(Sim_tuned!$F$4:$F$1203,"&lt;"&amp;5)+COUNTIF(Sim_tuned!$F$4:$F$1203,5)),0)</x:f>
        <x:v>2568.3763803711017</x:v>
      </x:c>
      <x:c r="O26" s="8" t="n">
        <x:f>IF(C26&gt;0,INDEX(Sim_tuned!$AE$4:$AE$1203,COUNTIF(Sim_tuned!$F$4:$F$1203,"&lt;"&amp;5)+COUNTIF(Sim_tuned!$F$4:$F$1203,5)),0)</x:f>
        <x:v>5</x:v>
      </x:c>
      <x:c r="P26" s="10" t="n">
        <x:f>N26/INDEX(tun_RepScale,6)</x:f>
        <x:v>513.6752760742204</x:v>
      </x:c>
      <x:c r="Q26" t="str">
        <x:f>IF(P26&lt;=600,"✓","✗")</x:f>
        <x:v>✓</x:v>
      </x:c>
      <x:c r="R26" s="10" t="n">
        <x:f>IF(C26&gt;0,SUMIF(Sim_tuned!$F$4:$F$1203,5,Sim_tuned!$AV$4:$AV$1203)*tun_SeasonSeconds/60/C26,0)</x:f>
        <x:v>4127.089894826524</x:v>
      </x:c>
      <x:c r="S26" s="11" t="n">
        <x:f>IF(C26&gt;0,SUMIF(Sim_tuned!$F$4:$F$1203,5,Sim_tuned!$AO$4:$AO$1203)/SUMIF(Sim_tuned!$F$4:$F$1203,5,Sim_tuned!$AQ$4:$AQ$1203),0)</x:f>
        <x:v>0.1544731091118588</x:v>
      </x:c>
      <x:c r="T26" s="11" t="n">
        <x:f>IF(C26&gt;0,(SUMIF(Sim_tuned!$F$4:$F$1203,5,Sim_tuned!$AK$4:$AK$1203)+SUMIF(Sim_tuned!$F$4:$F$1203,5,Sim_tuned!$AL$4:$AL$1203))/(SUMIF(Sim_tuned!$F$4:$F$1203,5,Sim_tuned!$AJ$4:$AJ$1203)+SUMIF(Sim_tuned!$F$4:$F$1203,5,Sim_tuned!$AK$4:$AK$1203)+SUMIF(Sim_tuned!$F$4:$F$1203,5,Sim_tuned!$AL$4:$AL$1203)),0)</x:f>
        <x:v>0.15631815050571457</x:v>
      </x:c>
      <x:c r="U26" t="str">
        <x:f>IF(COUNTIF(Sim_tuned!$F$4:$F$1203,"&gt;"&amp;5)&gt;0,"yes",IF(C26&gt;0,"running","not reached"))</x:f>
        <x:v>yes</x:v>
      </x:c>
    </x:row>
    <x:row r="27">
      <x:c r="A27" t="inlineStr">
        <x:is>
          <x:t xml:space="preserve">E6 Discovery</x:t>
        </x:is>
      </x:c>
      <x:c r="B27" s="7" t="n">
        <x:f>COUNTIF(Sim_tuned!$F$4:$F$1203,"&lt;"&amp;6)*tun_SeasonSeconds/60</x:f>
        <x:v>78</x:v>
      </x:c>
      <x:c r="C27" s="7" t="n">
        <x:f>COUNTIF(Sim_tuned!$F$4:$F$1203,6)*tun_SeasonSeconds/60</x:f>
        <x:v>20.25</x:v>
      </x:c>
      <x:c r="D27" t="n">
        <x:f>INDEX(tun_TargetMinLo,7)</x:f>
        <x:v>18</x:v>
      </x:c>
      <x:c r="E27" t="n">
        <x:f>INDEX(tun_TargetMinHi,7)</x:f>
        <x:v>20</x:v>
      </x:c>
      <x:c r="F27" t="str">
        <x:f>IF(U27&lt;&gt;"yes","unfinished",IF(AND(C27&gt;=D27,C27&lt;=E27),"✓",IF(C27&lt;D27,"too fast","too slow")))</x:f>
        <x:v>too slow</x:v>
      </x:c>
      <x:c r="G27" s="7" t="n">
        <x:f>INDEX(tun_Done,7)</x:f>
        <x:v>15.588098637562616</x:v>
      </x:c>
      <x:c r="H27" t="n">
        <x:f>INDEX(tun_TargetDoneLo,7)</x:f>
        <x:v>14</x:v>
      </x:c>
      <x:c r="I27" t="n">
        <x:f>INDEX(tun_TargetDoneHi,7)</x:f>
        <x:v>17</x:v>
      </x:c>
      <x:c r="J27" t="str">
        <x:f>IF(AND(G27&gt;=H27,G27&lt;=I27),"✓","✗")</x:f>
        <x:v>✓</x:v>
      </x:c>
      <x:c r="K27" s="7" t="n">
        <x:f>INDEX(tun_BackfillN,7)</x:f>
        <x:v>20.299999999999997</x:v>
      </x:c>
      <x:c r="L27" s="8" t="n">
        <x:f>IF(C27&gt;0,C27*60/(G27+K27),0)</x:f>
        <x:v>33.85523463559334</x:v>
      </x:c>
      <x:c r="M27" s="9" t="n">
        <x:f>IF(C27&gt;0,INDEX(tun_AvgCost,7)/(tun_SlotPrimary/(tun_SlotPrimary+tun_SlotSecondary+tun_SlotTertiary)*(SUMIF(Sim_tuned!$F$4:$F$1203,6,Sim_tuned!$AQ$4:$AQ$1203)/C27)),0)</x:f>
        <x:v>1.8763710603346735</x:v>
      </x:c>
      <x:c r="N27" s="10" t="n">
        <x:f>IF(C27&gt;0,INDEX(Sim_tuned!$AB$4:$AB$1203,COUNTIF(Sim_tuned!$F$4:$F$1203,"&lt;"&amp;6)+COUNTIF(Sim_tuned!$F$4:$F$1203,6)),0)</x:f>
        <x:v>9587.302214901121</x:v>
      </x:c>
      <x:c r="O27" s="8" t="n">
        <x:f>IF(C27&gt;0,INDEX(Sim_tuned!$AE$4:$AE$1203,COUNTIF(Sim_tuned!$F$4:$F$1203,"&lt;"&amp;6)+COUNTIF(Sim_tuned!$F$4:$F$1203,6)),0)</x:f>
        <x:v>12</x:v>
      </x:c>
      <x:c r="P27" s="10" t="n">
        <x:f>N27/INDEX(tun_RepScale,7)</x:f>
        <x:v>383.4920885960448</x:v>
      </x:c>
      <x:c r="Q27" t="str">
        <x:f>IF(P27&lt;=600,"✓","✗")</x:f>
        <x:v>✓</x:v>
      </x:c>
      <x:c r="R27" s="10" t="n">
        <x:f>IF(C27&gt;0,SUMIF(Sim_tuned!$F$4:$F$1203,6,Sim_tuned!$AV$4:$AV$1203)*tun_SeasonSeconds/60/C27,0)</x:f>
        <x:v>18441.27609156364</x:v>
      </x:c>
      <x:c r="S27" s="11" t="n">
        <x:f>IF(C27&gt;0,SUMIF(Sim_tuned!$F$4:$F$1203,6,Sim_tuned!$AO$4:$AO$1203)/SUMIF(Sim_tuned!$F$4:$F$1203,6,Sim_tuned!$AQ$4:$AQ$1203),0)</x:f>
        <x:v>0.14115807428651883</x:v>
      </x:c>
      <x:c r="T27" s="11" t="n">
        <x:f>IF(C27&gt;0,(SUMIF(Sim_tuned!$F$4:$F$1203,6,Sim_tuned!$AK$4:$AK$1203)+SUMIF(Sim_tuned!$F$4:$F$1203,6,Sim_tuned!$AL$4:$AL$1203))/(SUMIF(Sim_tuned!$F$4:$F$1203,6,Sim_tuned!$AJ$4:$AJ$1203)+SUMIF(Sim_tuned!$F$4:$F$1203,6,Sim_tuned!$AK$4:$AK$1203)+SUMIF(Sim_tuned!$F$4:$F$1203,6,Sim_tuned!$AL$4:$AL$1203)),0)</x:f>
        <x:v>0.2220179158319475</x:v>
      </x:c>
      <x:c r="U27" t="str">
        <x:f>IF(COUNTIF(Sim_tuned!$F$4:$F$1203,"&gt;"&amp;6)&gt;0,"yes",IF(C27&gt;0,"running","not reached"))</x:f>
        <x:v>yes</x:v>
      </x:c>
    </x:row>
    <x:row r="28">
      <x:c r="A28" t="inlineStr">
        <x:is>
          <x:t xml:space="preserve">E7 Industry</x:t>
        </x:is>
      </x:c>
      <x:c r="B28" s="7" t="n">
        <x:f>COUNTIF(Sim_tuned!$F$4:$F$1203,"&lt;"&amp;7)*tun_SeasonSeconds/60</x:f>
        <x:v>98.25</x:v>
      </x:c>
      <x:c r="C28" s="7" t="n">
        <x:f>COUNTIF(Sim_tuned!$F$4:$F$1203,7)*tun_SeasonSeconds/60</x:f>
        <x:v>24.75</x:v>
      </x:c>
      <x:c r="D28" t="n">
        <x:f>INDEX(tun_TargetMinLo,8)</x:f>
        <x:v>22</x:v>
      </x:c>
      <x:c r="E28" t="n">
        <x:f>INDEX(tun_TargetMinHi,8)</x:f>
        <x:v>24</x:v>
      </x:c>
      <x:c r="F28" t="str">
        <x:f>IF(U28&lt;&gt;"yes","unfinished",IF(AND(C28&gt;=D28,C28&lt;=E28),"✓",IF(C28&lt;D28,"too fast","too slow")))</x:f>
        <x:v>too slow</x:v>
      </x:c>
      <x:c r="G28" s="7" t="n">
        <x:f>INDEX(tun_Done,8)</x:f>
        <x:v>15.777299317517063</x:v>
      </x:c>
      <x:c r="H28" t="n">
        <x:f>INDEX(tun_TargetDoneLo,8)</x:f>
        <x:v>14</x:v>
      </x:c>
      <x:c r="I28" t="n">
        <x:f>INDEX(tun_TargetDoneHi,8)</x:f>
        <x:v>17</x:v>
      </x:c>
      <x:c r="J28" t="str">
        <x:f>IF(AND(G28&gt;=H28,G28&lt;=I28),"✓","✗")</x:f>
        <x:v>✓</x:v>
      </x:c>
      <x:c r="K28" s="7" t="n">
        <x:f>INDEX(tun_BackfillN,8)</x:f>
        <x:v>18.9</x:v>
      </x:c>
      <x:c r="L28" s="8" t="n">
        <x:f>IF(C28&gt;0,C28*60/(G28+K28),0)</x:f>
        <x:v>42.823404048938144</x:v>
      </x:c>
      <x:c r="M28" s="9" t="n">
        <x:f>IF(C28&gt;0,INDEX(tun_AvgCost,8)/(tun_SlotPrimary/(tun_SlotPrimary+tun_SlotSecondary+tun_SlotTertiary)*(SUMIF(Sim_tuned!$F$4:$F$1203,7,Sim_tuned!$AQ$4:$AQ$1203)/C28)),0)</x:f>
        <x:v>2.2572864040728082</x:v>
      </x:c>
      <x:c r="N28" s="10" t="n">
        <x:f>IF(C28&gt;0,INDEX(Sim_tuned!$AB$4:$AB$1203,COUNTIF(Sim_tuned!$F$4:$F$1203,"&lt;"&amp;7)+COUNTIF(Sim_tuned!$F$4:$F$1203,7)),0)</x:f>
        <x:v>41370.91245768379</x:v>
      </x:c>
      <x:c r="O28" s="8" t="n">
        <x:f>IF(C28&gt;0,INDEX(Sim_tuned!$AE$4:$AE$1203,COUNTIF(Sim_tuned!$F$4:$F$1203,"&lt;"&amp;7)+COUNTIF(Sim_tuned!$F$4:$F$1203,7)),0)</x:f>
        <x:v>15</x:v>
      </x:c>
      <x:c r="P28" s="10" t="n">
        <x:f>N28/INDEX(tun_RepScale,8)</x:f>
        <x:v>413.70912457683795</x:v>
      </x:c>
      <x:c r="Q28" t="str">
        <x:f>IF(P28&lt;=600,"✓","✗")</x:f>
        <x:v>✓</x:v>
      </x:c>
      <x:c r="R28" s="10" t="n">
        <x:f>IF(C28&gt;0,SUMIF(Sim_tuned!$F$4:$F$1203,7,Sim_tuned!$AV$4:$AV$1203)*tun_SeasonSeconds/60/C28,0)</x:f>
        <x:v>111434.37485799444</x:v>
      </x:c>
      <x:c r="S28" s="11" t="n">
        <x:f>IF(C28&gt;0,SUMIF(Sim_tuned!$F$4:$F$1203,7,Sim_tuned!$AO$4:$AO$1203)/SUMIF(Sim_tuned!$F$4:$F$1203,7,Sim_tuned!$AQ$4:$AQ$1203),0)</x:f>
        <x:v>0.1349393801999009</x:v>
      </x:c>
      <x:c r="T28" s="11" t="n">
        <x:f>IF(C28&gt;0,(SUMIF(Sim_tuned!$F$4:$F$1203,7,Sim_tuned!$AK$4:$AK$1203)+SUMIF(Sim_tuned!$F$4:$F$1203,7,Sim_tuned!$AL$4:$AL$1203))/(SUMIF(Sim_tuned!$F$4:$F$1203,7,Sim_tuned!$AJ$4:$AJ$1203)+SUMIF(Sim_tuned!$F$4:$F$1203,7,Sim_tuned!$AK$4:$AK$1203)+SUMIF(Sim_tuned!$F$4:$F$1203,7,Sim_tuned!$AL$4:$AL$1203)),0)</x:f>
        <x:v>0.24317905551246352</x:v>
      </x:c>
      <x:c r="U28" t="str">
        <x:f>IF(COUNTIF(Sim_tuned!$F$4:$F$1203,"&gt;"&amp;7)&gt;0,"yes",IF(C28&gt;0,"running","not reached"))</x:f>
        <x:v>yes</x:v>
      </x:c>
    </x:row>
    <x:row r="29">
      <x:c r="A29" t="inlineStr">
        <x:is>
          <x:t xml:space="preserve">E8 Modern</x:t>
        </x:is>
      </x:c>
      <x:c r="B29" s="7" t="n">
        <x:f>COUNTIF(Sim_tuned!$F$4:$F$1203,"&lt;"&amp;8)*tun_SeasonSeconds/60</x:f>
        <x:v>123</x:v>
      </x:c>
      <x:c r="C29" s="7" t="n">
        <x:f>COUNTIF(Sim_tuned!$F$4:$F$1203,8)*tun_SeasonSeconds/60</x:f>
        <x:v>33</x:v>
      </x:c>
      <x:c r="D29" t="n">
        <x:f>INDEX(tun_TargetMinLo,9)</x:f>
        <x:v>26</x:v>
      </x:c>
      <x:c r="E29" t="n">
        <x:f>INDEX(tun_TargetMinHi,9)</x:f>
        <x:v>28</x:v>
      </x:c>
      <x:c r="F29" t="str">
        <x:f>IF(U29&lt;&gt;"yes","unfinished",IF(AND(C29&gt;=D29,C29&lt;=E29),"✓",IF(C29&lt;D29,"too fast","too slow")))</x:f>
        <x:v>too slow</x:v>
      </x:c>
      <x:c r="G29" s="7" t="n">
        <x:f>INDEX(tun_Done,9)</x:f>
        <x:v>19.637649935949693</x:v>
      </x:c>
      <x:c r="H29" t="n">
        <x:f>INDEX(tun_TargetDoneLo,9)</x:f>
        <x:v>18</x:v>
      </x:c>
      <x:c r="I29" t="n">
        <x:f>INDEX(tun_TargetDoneHi,9)</x:f>
        <x:v>21</x:v>
      </x:c>
      <x:c r="J29" t="str">
        <x:f>IF(AND(G29&gt;=H29,G29&lt;=I29),"✓","✗")</x:f>
        <x:v>✓</x:v>
      </x:c>
      <x:c r="K29" s="7" t="n">
        <x:f>INDEX(tun_BackfillN,9)</x:f>
        <x:v>14.7</x:v>
      </x:c>
      <x:c r="L29" s="8" t="n">
        <x:f>IF(C29&gt;0,C29*60/(G29+K29),0)</x:f>
        <x:v>57.662653201174535</x:v>
      </x:c>
      <x:c r="M29" s="9" t="n">
        <x:f>IF(C29&gt;0,INDEX(tun_AvgCost,9)/(tun_SlotPrimary/(tun_SlotPrimary+tun_SlotSecondary+tun_SlotTertiary)*(SUMIF(Sim_tuned!$F$4:$F$1203,8,Sim_tuned!$AQ$4:$AQ$1203)/C29)),0)</x:f>
        <x:v>2.5363534895843514</x:v>
      </x:c>
      <x:c r="N29" s="10" t="n">
        <x:f>IF(C29&gt;0,INDEX(Sim_tuned!$AB$4:$AB$1203,COUNTIF(Sim_tuned!$F$4:$F$1203,"&lt;"&amp;8)+COUNTIF(Sim_tuned!$F$4:$F$1203,8)),0)</x:f>
        <x:v>92144.46846525394</x:v>
      </x:c>
      <x:c r="O29" s="8" t="n">
        <x:f>IF(C29&gt;0,INDEX(Sim_tuned!$AE$4:$AE$1203,COUNTIF(Sim_tuned!$F$4:$F$1203,"&lt;"&amp;8)+COUNTIF(Sim_tuned!$F$4:$F$1203,8)),0)</x:f>
        <x:v>9</x:v>
      </x:c>
      <x:c r="P29" s="10" t="n">
        <x:f>N29/INDEX(tun_RepScale,9)</x:f>
        <x:v>368.57787386101575</x:v>
      </x:c>
      <x:c r="Q29" t="str">
        <x:f>IF(P29&lt;=600,"✓","✗")</x:f>
        <x:v>✓</x:v>
      </x:c>
      <x:c r="R29" s="10" t="n">
        <x:f>IF(C29&gt;0,SUMIF(Sim_tuned!$F$4:$F$1203,8,Sim_tuned!$AV$4:$AV$1203)*tun_SeasonSeconds/60/C29,0)</x:f>
        <x:v>645413.9383368677</x:v>
      </x:c>
      <x:c r="S29" s="11" t="n">
        <x:f>IF(C29&gt;0,SUMIF(Sim_tuned!$F$4:$F$1203,8,Sim_tuned!$AO$4:$AO$1203)/SUMIF(Sim_tuned!$F$4:$F$1203,8,Sim_tuned!$AQ$4:$AQ$1203),0)</x:f>
        <x:v>0.13543417567762778</x:v>
      </x:c>
      <x:c r="T29" s="11" t="n">
        <x:f>IF(C29&gt;0,(SUMIF(Sim_tuned!$F$4:$F$1203,8,Sim_tuned!$AK$4:$AK$1203)+SUMIF(Sim_tuned!$F$4:$F$1203,8,Sim_tuned!$AL$4:$AL$1203))/(SUMIF(Sim_tuned!$F$4:$F$1203,8,Sim_tuned!$AJ$4:$AJ$1203)+SUMIF(Sim_tuned!$F$4:$F$1203,8,Sim_tuned!$AK$4:$AK$1203)+SUMIF(Sim_tuned!$F$4:$F$1203,8,Sim_tuned!$AL$4:$AL$1203)),0)</x:f>
        <x:v>0.22096845571827892</x:v>
      </x:c>
      <x:c r="U29" t="str">
        <x:f>IF(COUNTIF(Sim_tuned!$F$4:$F$1203,"&gt;"&amp;8)&gt;0,"yes",IF(C29&gt;0,"running","not reached"))</x:f>
        <x:v>yes</x:v>
      </x:c>
    </x:row>
    <x:row r="30">
      <x:c r="A30" t="inlineStr">
        <x:is>
          <x:t xml:space="preserve">E9 Information</x:t>
        </x:is>
      </x:c>
      <x:c r="B30" s="7" t="n">
        <x:f>COUNTIF(Sim_tuned!$F$4:$F$1203,"&lt;"&amp;9)*tun_SeasonSeconds/60</x:f>
        <x:v>156</x:v>
      </x:c>
      <x:c r="C30" s="7" t="n">
        <x:f>COUNTIF(Sim_tuned!$F$4:$F$1203,9)*tun_SeasonSeconds/60</x:f>
        <x:v>39.25</x:v>
      </x:c>
      <x:c r="D30" t="n">
        <x:f>INDEX(tun_TargetMinLo,10)</x:f>
        <x:v>28</x:v>
      </x:c>
      <x:c r="E30" t="n">
        <x:f>INDEX(tun_TargetMinHi,10)</x:f>
        <x:v>32</x:v>
      </x:c>
      <x:c r="F30" t="str">
        <x:f>IF(U30&lt;&gt;"yes","unfinished",IF(AND(C30&gt;=D30,C30&lt;=E30),"✓",IF(C30&lt;D30,"too fast","too slow")))</x:f>
        <x:v>too slow</x:v>
      </x:c>
      <x:c r="G30" s="7" t="n">
        <x:f>INDEX(tun_Done,10)</x:f>
        <x:v>18.631903913497574</x:v>
      </x:c>
      <x:c r="H30" t="n">
        <x:f>INDEX(tun_TargetDoneLo,10)</x:f>
        <x:v>17</x:v>
      </x:c>
      <x:c r="I30" t="n">
        <x:f>INDEX(tun_TargetDoneHi,10)</x:f>
        <x:v>20</x:v>
      </x:c>
      <x:c r="J30" t="str">
        <x:f>IF(AND(G30&gt;=H30,G30&lt;=I30),"✓","✗")</x:f>
        <x:v>✓</x:v>
      </x:c>
      <x:c r="K30" s="7" t="n">
        <x:f>INDEX(tun_BackfillN,10)</x:f>
        <x:v>36.4</x:v>
      </x:c>
      <x:c r="L30" s="8" t="n">
        <x:f>IF(C30&gt;0,C30*60/(G30+K30),0)</x:f>
        <x:v>42.79335862523909</x:v>
      </x:c>
      <x:c r="M30" s="9" t="n">
        <x:f>IF(C30&gt;0,INDEX(tun_AvgCost,10)/(tun_SlotPrimary/(tun_SlotPrimary+tun_SlotSecondary+tun_SlotTertiary)*(SUMIF(Sim_tuned!$F$4:$F$1203,9,Sim_tuned!$AQ$4:$AQ$1203)/C30)),0)</x:f>
        <x:v>3.1161205614770346</x:v>
      </x:c>
      <x:c r="N30" s="10" t="n">
        <x:f>IF(C30&gt;0,INDEX(Sim_tuned!$AB$4:$AB$1203,COUNTIF(Sim_tuned!$F$4:$F$1203,"&lt;"&amp;9)+COUNTIF(Sim_tuned!$F$4:$F$1203,9)),0)</x:f>
        <x:v>145168.44242831506</x:v>
      </x:c>
      <x:c r="O30" s="8" t="n">
        <x:f>IF(C30&gt;0,INDEX(Sim_tuned!$AE$4:$AE$1203,COUNTIF(Sim_tuned!$F$4:$F$1203,"&lt;"&amp;9)+COUNTIF(Sim_tuned!$F$4:$F$1203,9)),0)</x:f>
        <x:v>9</x:v>
      </x:c>
      <x:c r="P30" s="10" t="n">
        <x:f>N30/INDEX(tun_RepScale,10)</x:f>
        <x:v>290.3368848566301</x:v>
      </x:c>
      <x:c r="Q30" t="str">
        <x:f>IF(P30&lt;=600,"✓","✗")</x:f>
        <x:v>✓</x:v>
      </x:c>
      <x:c r="R30" s="10" t="n">
        <x:f>IF(C30&gt;0,SUMIF(Sim_tuned!$F$4:$F$1203,9,Sim_tuned!$AV$4:$AV$1203)*tun_SeasonSeconds/60/C30,0)</x:f>
        <x:v>2771638.254950254</x:v>
      </x:c>
      <x:c r="S30" s="11" t="n">
        <x:f>IF(C30&gt;0,SUMIF(Sim_tuned!$F$4:$F$1203,9,Sim_tuned!$AO$4:$AO$1203)/SUMIF(Sim_tuned!$F$4:$F$1203,9,Sim_tuned!$AQ$4:$AQ$1203),0)</x:f>
        <x:v>0.13223753026063478</x:v>
      </x:c>
      <x:c r="T30" s="11" t="n">
        <x:f>IF(C30&gt;0,(SUMIF(Sim_tuned!$F$4:$F$1203,9,Sim_tuned!$AK$4:$AK$1203)+SUMIF(Sim_tuned!$F$4:$F$1203,9,Sim_tuned!$AL$4:$AL$1203))/(SUMIF(Sim_tuned!$F$4:$F$1203,9,Sim_tuned!$AJ$4:$AJ$1203)+SUMIF(Sim_tuned!$F$4:$F$1203,9,Sim_tuned!$AK$4:$AK$1203)+SUMIF(Sim_tuned!$F$4:$F$1203,9,Sim_tuned!$AL$4:$AL$1203)),0)</x:f>
        <x:v>0.2232118880038459</x:v>
      </x:c>
      <x:c r="U30" t="str">
        <x:f>IF(COUNTIF(Sim_tuned!$F$4:$F$1203,"&gt;"&amp;9)&gt;0,"yes",IF(C30&gt;0,"running","not reached"))</x:f>
        <x:v>yes</x:v>
      </x:c>
    </x:row>
    <x:row r="31">
      <x:c r="A31" s="2" t="inlineStr">
        <x:is>
          <x:t xml:space="preserve">Total / arc</x:t>
        </x:is>
      </x:c>
      <x:c r="B31" s="12" t="n">
        <x:f>IF(COUNTIF(Sim_tuned!$F$4:$F$1203,10)&gt;0,COUNTIF(Sim_tuned!$F$4:$F$1203,"&lt;10")*tun_SeasonSeconds/60,"not finished")</x:f>
        <x:v>195.25</x:v>
      </x:c>
      <x:c r="C31" s="12" t="n">
        <x:f>SUM(C21:C30)</x:f>
        <x:v>195.25</x:v>
      </x:c>
      <x:c r="D31" s="12" t="n">
        <x:f>SUM(D21:D30)</x:f>
        <x:v>163</x:v>
      </x:c>
      <x:c r="E31" s="12" t="n">
        <x:f>SUM(E21:E30)</x:f>
        <x:v>185</x:v>
      </x:c>
      <x:c r="F31" t="str">
        <x:f>IF(ISNUMBER(B31),"total "&amp;TEXT(B31,"0")&amp;" min (target ≈180 Standard)","")</x:f>
        <x:v>total 195 min (target ≈180 Standard)</x:v>
      </x:c>
      <x:c r="G31" s="12" t="n">
        <x:f>SUM(G21:G30)</x:f>
        <x:v>184.4442486829904</x:v>
      </x:c>
      <x:c r="K31" s="12" t="n">
        <x:f>SUM(K21:K30)</x:f>
        <x:v>160.99999999999997</x:v>
      </x:c>
    </x:row>
    <x:row r="34">
      <x:c r="A34" s="4" t="inlineStr">
        <x:is>
          <x:t xml:space="preserve">Acceptance checks (06 §6 items 4 and 6; 01 §6 match length)</x:t>
        </x:is>
      </x:c>
    </x:row>
    <x:row r="35">
      <x:c r="A35" s="14" t="inlineStr">
        <x:is>
          <x:t xml:space="preserve">Check</x:t>
        </x:is>
      </x:c>
      <x:c r="B35" s="14" t="inlineStr">
        <x:is>
          <x:t xml:space="preserve">Target</x:t>
        </x:is>
      </x:c>
      <x:c r="C35" s="14" t="inlineStr">
        <x:is>
          <x:t xml:space="preserve">v0.1</x:t>
        </x:is>
      </x:c>
      <x:c r="D35" s="14" t="inlineStr">
        <x:is>
          <x:t xml:space="preserve">Tuned</x:t>
        </x:is>
      </x:c>
      <x:c r="E35" s="14" t="inlineStr">
        <x:is>
          <x:t xml:space="preserve">v0.1 OK?</x:t>
        </x:is>
      </x:c>
      <x:c r="F35" s="14" t="inlineStr">
        <x:is>
          <x:t xml:space="preserve">Tuned OK?</x:t>
        </x:is>
      </x:c>
    </x:row>
    <x:row r="36">
      <x:c r="A36" t="inlineStr">
        <x:is>
          <x:t xml:space="preserve">First fission (minute)</x:t>
        </x:is>
      </x:c>
      <x:c r="B36" t="inlineStr">
        <x:is>
          <x:t xml:space="preserve">6–10</x:t>
        </x:is>
      </x:c>
      <x:c r="C36" s="7" t="n">
        <x:f>IF(COUNT(Sim_v01!$AG$4:$AG$2403)=0,"none",MIN(Sim_v01!$AG$4:$AG$2403))</x:f>
        <x:v>76.75</x:v>
      </x:c>
      <x:c r="D36" s="7" t="n">
        <x:f>IF(COUNT(Sim_tuned!$AG$4:$AG$1203)=0,"none",MIN(Sim_tuned!$AG$4:$AG$1203))</x:f>
        <x:v>7</x:v>
      </x:c>
      <x:c r="E36" t="str">
        <x:f>IF(ISNUMBER(C36),IF(AND(C36&gt;=6,C36&lt;=10),"✓","✗"),"✗")</x:f>
        <x:v>✗</x:v>
      </x:c>
      <x:c r="F36" t="str">
        <x:f>IF(ISNUMBER(D36),IF(AND(D36&gt;=6,D36&lt;=10),"✓","✗"),"✗")</x:f>
        <x:v>✓</x:v>
      </x:c>
    </x:row>
    <x:row r="37">
      <x:c r="A37" t="inlineStr">
        <x:is>
          <x:t xml:space="preserve">KEY-1 reached (minute)</x:t>
        </x:is>
      </x:c>
      <x:c r="B37" t="inlineStr">
        <x:is>
          <x:t xml:space="preserve">7–9 (±25%)</x:t>
        </x:is>
      </x:c>
      <x:c r="C37" s="7" t="n">
        <x:f>B7</x:f>
        <x:v>58.5</x:v>
      </x:c>
      <x:c r="D37" s="7" t="n">
        <x:f>B22</x:f>
        <x:v>7.75</x:v>
      </x:c>
      <x:c r="E37" t="str">
        <x:f>IF(ISNUMBER(C37),IF(AND(C37&gt;=5.25,C37&lt;=11.25),"✓","✗"),"✗")</x:f>
        <x:v>✗</x:v>
      </x:c>
      <x:c r="F37" t="str">
        <x:f>IF(ISNUMBER(D37),IF(AND(D37&gt;=5.25,D37&lt;=11.25),"✓","✗"),"✗")</x:f>
        <x:v>✓</x:v>
      </x:c>
    </x:row>
    <x:row r="38">
      <x:c r="A38" t="inlineStr">
        <x:is>
          <x:t xml:space="preserve">KEY-2 reached (minute)</x:t>
        </x:is>
      </x:c>
      <x:c r="B38" t="inlineStr">
        <x:is>
          <x:t xml:space="preserve">16–20 (±25%)</x:t>
        </x:is>
      </x:c>
      <x:c r="C38" s="7" t="n">
        <x:f>B8</x:f>
        <x:v>121</x:v>
      </x:c>
      <x:c r="D38" s="7" t="n">
        <x:f>B23</x:f>
        <x:v>17.75</x:v>
      </x:c>
      <x:c r="E38" t="str">
        <x:f>IF(ISNUMBER(C38),IF(AND(C38&gt;=12.0,C38&lt;=25.0),"✓","✗"),"✗")</x:f>
        <x:v>✗</x:v>
      </x:c>
      <x:c r="F38" t="str">
        <x:f>IF(ISNUMBER(D38),IF(AND(D38&gt;=12.0,D38&lt;=25.0),"✓","✗"),"✗")</x:f>
        <x:v>✓</x:v>
      </x:c>
    </x:row>
    <x:row r="39">
      <x:c r="A39" t="inlineStr">
        <x:is>
          <x:t xml:space="preserve">Full arc (minutes)</x:t>
        </x:is>
      </x:c>
      <x:c r="B39" t="inlineStr">
        <x:is>
          <x:t xml:space="preserve">Standard ≈180 · Quick ≈90 · Epic ≈300 (±15%)</x:t>
        </x:is>
      </x:c>
      <x:c r="C39" s="7" t="n">
        <x:f>B16</x:f>
        <x:v>350.25</x:v>
      </x:c>
      <x:c r="D39" s="7" t="n">
        <x:f>B31</x:f>
        <x:v>195.25</x:v>
      </x:c>
      <x:c r="E39" t="str">
        <x:f>IF(ISNUMBER(C39),IF(ABS(C39/IF(SelPace="Quick",90,IF(SelPace="Epic",300,180))-1)&lt;=0.15,"✓","✗"),"✗")</x:f>
        <x:v>✗</x:v>
      </x:c>
      <x:c r="F39" t="str">
        <x:f>IF(ISNUMBER(D39),IF(ABS(D39/IF(SelPace="Quick",90,IF(SelPace="Epic",300,180))-1)&lt;=0.15,"✓","✗"),"✗")</x:f>
        <x:v>✓</x:v>
      </x:c>
    </x:row>
  </x:sheetData>
  <x:conditionalFormatting sqref="F6:F15">
    <x:cfRule type="expression" dxfId="0" priority="1">
      <x:formula>F6="✓"</x:formula>
    </x:cfRule>
    <x:cfRule type="expression" dxfId="1" priority="2">
      <x:formula>AND(F6&lt;&gt;"✓",F6&lt;&gt;"")</x:formula>
    </x:cfRule>
  </x:conditionalFormatting>
  <x:conditionalFormatting sqref="J6:J15">
    <x:cfRule type="expression" dxfId="0" priority="3">
      <x:formula>J6="✓"</x:formula>
    </x:cfRule>
    <x:cfRule type="expression" dxfId="1" priority="4">
      <x:formula>AND(J6&lt;&gt;"✓",J6&lt;&gt;"")</x:formula>
    </x:cfRule>
  </x:conditionalFormatting>
  <x:conditionalFormatting sqref="Q6:Q15">
    <x:cfRule type="expression" dxfId="0" priority="5">
      <x:formula>Q6="✓"</x:formula>
    </x:cfRule>
    <x:cfRule type="expression" dxfId="1" priority="6">
      <x:formula>AND(Q6&lt;&gt;"✓",Q6&lt;&gt;"")</x:formula>
    </x:cfRule>
  </x:conditionalFormatting>
  <x:conditionalFormatting sqref="F21:F30">
    <x:cfRule type="expression" dxfId="0" priority="7">
      <x:formula>F21="✓"</x:formula>
    </x:cfRule>
    <x:cfRule type="expression" dxfId="1" priority="8">
      <x:formula>AND(F21&lt;&gt;"✓",F21&lt;&gt;"")</x:formula>
    </x:cfRule>
  </x:conditionalFormatting>
  <x:conditionalFormatting sqref="J21:J30">
    <x:cfRule type="expression" dxfId="0" priority="9">
      <x:formula>J21="✓"</x:formula>
    </x:cfRule>
    <x:cfRule type="expression" dxfId="1" priority="10">
      <x:formula>AND(J21&lt;&gt;"✓",J21&lt;&gt;"")</x:formula>
    </x:cfRule>
  </x:conditionalFormatting>
  <x:conditionalFormatting sqref="Q21:Q30">
    <x:cfRule type="expression" dxfId="0" priority="11">
      <x:formula>Q21="✓"</x:formula>
    </x:cfRule>
    <x:cfRule type="expression" dxfId="1" priority="12">
      <x:formula>AND(Q21&lt;&gt;"✓",Q21&lt;&gt;"")</x:formula>
    </x:cfRule>
  </x:conditionalFormatting>
  <x:conditionalFormatting sqref="E36:F39">
    <x:cfRule type="expression" dxfId="0" priority="13">
      <x:formula>E36="✓"</x:formula>
    </x:cfRule>
    <x:cfRule type="expression" dxfId="1" priority="14">
      <x:formula>E36="✗"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13" customWidth="1"/>
    <x:col min="3" max="3" width="13" customWidth="1"/>
    <x:col min="4" max="4" width="13" customWidth="1"/>
  </x:cols>
  <x:sheetData>
    <x:row r="1">
      <x:c r="A1" s="5" t="inlineStr">
        <x:is>
          <x:t xml:space="preserve">Charts (live)</x:t>
        </x:is>
      </x:c>
    </x:row>
    <x:row r="3">
      <x:c r="A3" s="14" t="inlineStr">
        <x:is>
          <x:t xml:space="preserve">Era</x:t>
        </x:is>
      </x:c>
      <x:c r="B3" s="14" t="inlineStr">
        <x:is>
          <x:t xml:space="preserve">v0.1 minutes</x:t>
        </x:is>
      </x:c>
      <x:c r="C3" s="14" t="inlineStr">
        <x:is>
          <x:t xml:space="preserve">Tuned minutes</x:t>
        </x:is>
      </x:c>
      <x:c r="D3" s="14" t="inlineStr">
        <x:is>
          <x:t xml:space="preserve">Target midpoint</x:t>
        </x:is>
      </x:c>
    </x:row>
    <x:row r="4">
      <x:c r="A4" t="inlineStr">
        <x:is>
          <x:t xml:space="preserve">E0</x:t>
        </x:is>
      </x:c>
      <x:c r="B4" t="n">
        <x:f>Results!C6</x:f>
        <x:v>58.5</x:v>
      </x:c>
      <x:c r="C4" t="n">
        <x:f>Results!C21</x:f>
        <x:v>7.75</x:v>
      </x:c>
      <x:c r="D4" t="n">
        <x:f>(Results!D21+Results!E21)/2</x:f>
        <x:v>8</x:v>
      </x:c>
    </x:row>
    <x:row r="5">
      <x:c r="A5" t="inlineStr">
        <x:is>
          <x:t xml:space="preserve">E1</x:t>
        </x:is>
      </x:c>
      <x:c r="B5" t="n">
        <x:f>Results!C7</x:f>
        <x:v>62.5</x:v>
      </x:c>
      <x:c r="C5" t="n">
        <x:f>Results!C22</x:f>
        <x:v>10</x:v>
      </x:c>
      <x:c r="D5" t="n">
        <x:f>(Results!D22+Results!E22)/2</x:f>
        <x:v>10</x:v>
      </x:c>
    </x:row>
    <x:row r="6">
      <x:c r="A6" t="inlineStr">
        <x:is>
          <x:t xml:space="preserve">E2</x:t>
        </x:is>
      </x:c>
      <x:c r="B6" t="n">
        <x:f>Results!C8</x:f>
        <x:v>56.25</x:v>
      </x:c>
      <x:c r="C6" t="n">
        <x:f>Results!C23</x:f>
        <x:v>14</x:v>
      </x:c>
      <x:c r="D6" t="n">
        <x:f>(Results!D23+Results!E23)/2</x:f>
        <x:v>12</x:v>
      </x:c>
    </x:row>
    <x:row r="7">
      <x:c r="A7" t="inlineStr">
        <x:is>
          <x:t xml:space="preserve">E3</x:t>
        </x:is>
      </x:c>
      <x:c r="B7" t="n">
        <x:f>Results!C9</x:f>
        <x:v>43.25</x:v>
      </x:c>
      <x:c r="C7" t="n">
        <x:f>Results!C24</x:f>
        <x:v>11.25</x:v>
      </x:c>
      <x:c r="D7" t="n">
        <x:f>(Results!D24+Results!E24)/2</x:f>
        <x:v>13</x:v>
      </x:c>
    </x:row>
    <x:row r="8">
      <x:c r="A8" t="inlineStr">
        <x:is>
          <x:t xml:space="preserve">E4</x:t>
        </x:is>
      </x:c>
      <x:c r="B8" t="n">
        <x:f>Results!C10</x:f>
        <x:v>34.75</x:v>
      </x:c>
      <x:c r="C8" t="n">
        <x:f>Results!C25</x:f>
        <x:v>16.5</x:v>
      </x:c>
      <x:c r="D8" t="n">
        <x:f>(Results!D25+Results!E25)/2</x:f>
        <x:v>15</x:v>
      </x:c>
    </x:row>
    <x:row r="9">
      <x:c r="A9" t="inlineStr">
        <x:is>
          <x:t xml:space="preserve">E5</x:t>
        </x:is>
      </x:c>
      <x:c r="B9" t="n">
        <x:f>Results!C11</x:f>
        <x:v>24.25</x:v>
      </x:c>
      <x:c r="C9" t="n">
        <x:f>Results!C26</x:f>
        <x:v>18.5</x:v>
      </x:c>
      <x:c r="D9" t="n">
        <x:f>(Results!D26+Results!E26)/2</x:f>
        <x:v>17</x:v>
      </x:c>
    </x:row>
    <x:row r="10">
      <x:c r="A10" t="inlineStr">
        <x:is>
          <x:t xml:space="preserve">E6</x:t>
        </x:is>
      </x:c>
      <x:c r="B10" t="n">
        <x:f>Results!C12</x:f>
        <x:v>21.75</x:v>
      </x:c>
      <x:c r="C10" t="n">
        <x:f>Results!C27</x:f>
        <x:v>20.25</x:v>
      </x:c>
      <x:c r="D10" t="n">
        <x:f>(Results!D27+Results!E27)/2</x:f>
        <x:v>19</x:v>
      </x:c>
    </x:row>
    <x:row r="11">
      <x:c r="A11" t="inlineStr">
        <x:is>
          <x:t xml:space="preserve">E7</x:t>
        </x:is>
      </x:c>
      <x:c r="B11" t="n">
        <x:f>Results!C13</x:f>
        <x:v>16.5</x:v>
      </x:c>
      <x:c r="C11" t="n">
        <x:f>Results!C28</x:f>
        <x:v>24.75</x:v>
      </x:c>
      <x:c r="D11" t="n">
        <x:f>(Results!D28+Results!E28)/2</x:f>
        <x:v>23</x:v>
      </x:c>
    </x:row>
    <x:row r="12">
      <x:c r="A12" t="inlineStr">
        <x:is>
          <x:t xml:space="preserve">E8</x:t>
        </x:is>
      </x:c>
      <x:c r="B12" t="n">
        <x:f>Results!C14</x:f>
        <x:v>17.5</x:v>
      </x:c>
      <x:c r="C12" t="n">
        <x:f>Results!C29</x:f>
        <x:v>33</x:v>
      </x:c>
      <x:c r="D12" t="n">
        <x:f>(Results!D29+Results!E29)/2</x:f>
        <x:v>27</x:v>
      </x:c>
    </x:row>
    <x:row r="13">
      <x:c r="A13" t="inlineStr">
        <x:is>
          <x:t xml:space="preserve">E9</x:t>
        </x:is>
      </x:c>
      <x:c r="B13" t="n">
        <x:f>Results!C15</x:f>
        <x:v>15</x:v>
      </x:c>
      <x:c r="C13" t="n">
        <x:f>Results!C30</x:f>
        <x:v>39.25</x:v>
      </x:c>
      <x:c r="D13" t="n">
        <x:f>(Results!D30+Results!E30)/2</x:f>
        <x:v>30</x:v>
      </x:c>
    </x:row>
  </x:sheetData>
  <x:pageMargins left="0.7" right="0.7" top="0.75" bottom="0.75" header="0.3" footer="0.3"/>
  <x:drawing xmlns:r="http://schemas.openxmlformats.org/officeDocument/2006/relationships" r:id="R318d58fea8694b53"/>
</x:worksheet>
</file>

<file path=xl/worksheets/sheet4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baseColWidth="8" defaultRowHeight="15"/>
  <x:cols>
    <x:col min="1" max="1" width="22" customWidth="1"/>
    <x:col min="2" max="2" width="12" customWidth="1"/>
    <x:col min="3" max="3" width="12" customWidth="1"/>
    <x:col min="4" max="4" width="14" customWidth="1"/>
    <x:col min="5" max="5" width="60" customWidth="1"/>
    <x:col min="6" max="6" width="12" customWidth="1"/>
    <x:col min="7" max="7" width="13" customWidth="1"/>
    <x:col min="8" max="8" width="13" customWidth="1"/>
    <x:col min="9" max="9" width="13" customWidth="1"/>
    <x:col min="10" max="10" width="13" customWidth="1"/>
    <x:col min="11" max="11" width="13" customWidth="1"/>
    <x:col min="12" max="12" width="13" customWidth="1"/>
    <x:col min="13" max="13" width="13" customWidth="1"/>
    <x:col min="14" max="14" width="13" customWidth="1"/>
    <x:col min="15" max="15" width="13" customWidth="1"/>
    <x:col min="16" max="16" width="13" customWidth="1"/>
    <x:col min="17" max="17" width="13" customWidth="1"/>
    <x:col min="18" max="18" width="13" customWidth="1"/>
    <x:col min="19" max="19" width="13" customWidth="1"/>
    <x:col min="20" max="20" width="13" customWidth="1"/>
    <x:col min="21" max="21" width="13" customWidth="1"/>
    <x:col min="22" max="22" width="13" customWidth="1"/>
    <x:col min="23" max="23" width="13" customWidth="1"/>
    <x:col min="24" max="24" width="13" customWidth="1"/>
    <x:col min="25" max="25" width="13" customWidth="1"/>
    <x:col min="26" max="26" width="13" customWidth="1"/>
    <x:col min="27" max="27" width="13" customWidth="1"/>
    <x:col min="28" max="28" width="13" customWidth="1"/>
    <x:col min="29" max="29" width="13" customWidth="1"/>
    <x:col min="30" max="30" width="13" customWidth="1"/>
    <x:col min="31" max="31" width="13" customWidth="1"/>
    <x:col min="32" max="32" width="13" customWidth="1"/>
    <x:col min="33" max="33" width="13" customWidth="1"/>
    <x:col min="34" max="34" width="13" customWidth="1"/>
    <x:col min="35" max="35" width="13" customWidth="1"/>
    <x:col min="36" max="36" width="13" customWidth="1"/>
    <x:col min="37" max="37" width="13" customWidth="1"/>
    <x:col min="38" max="38" width="13" customWidth="1"/>
  </x:cols>
  <x:sheetData>
    <x:row r="1">
      <x:c r="A1" s="5" t="inlineStr">
        <x:is>
          <x:t xml:space="preserve">Params — every input of the balance model</x:t>
        </x:is>
      </x:c>
    </x:row>
    <x:row r="2" ht="45" customHeight="1">
      <x:c r="A2" s="3" t="inlineStr">
        <x:is>
          <x:t xml:space="preserve">Blue = input (edit freely). Both Sim sheets re-run on any change. v0.1 = numbers as written in docs 01/02/05; Tuned = recommendations in 07-balance-findings.md. ASSUMED = the docs are silent; the value is a modeling assumption for WS-H/WS-B to replace.</x:t>
        </x:is>
      </x:c>
    </x:row>
    <x:row r="4">
      <x:c r="A4" s="2" t="inlineStr">
        <x:is>
          <x:t xml:space="preserve">Selectors</x:t>
        </x:is>
      </x:c>
    </x:row>
    <x:row r="5">
      <x:c r="A5" t="inlineStr">
        <x:is>
          <x:t xml:space="preserve">Pace</x:t>
        </x:is>
      </x:c>
      <x:c r="B5" s="15" t="inlineStr">
        <x:is>
          <x:t xml:space="preserve">Standard</x:t>
        </x:is>
      </x:c>
      <x:c r="C5" t="inlineStr">
        <x:is>
          <x:t xml:space="preserve">Quick / Standard / Epic. v0.1 scales research costs (01 §6); Tuned scales the calendar (07 §F7).</x:t>
        </x:is>
      </x:c>
    </x:row>
    <x:row r="6">
      <x:c r="A6" t="inlineStr">
        <x:is>
          <x:t xml:space="preserve">Archetype</x:t>
        </x:is>
      </x:c>
      <x:c r="B6" s="15" t="inlineStr">
        <x:is>
          <x:t xml:space="preserve">Balanced</x:t>
        </x:is>
      </x:c>
      <x:c r="C6" t="inlineStr">
        <x:is>
          <x:t xml:space="preserve">Sensitivity multipliers applied on top of both scenarios (table below).</x:t>
        </x:is>
      </x:c>
    </x:row>
    <x:row r="8">
      <x:c r="A8" s="2" t="inlineStr">
        <x:is>
          <x:t xml:space="preserve">Pace table</x:t>
        </x:is>
      </x:c>
    </x:row>
    <x:row r="9">
      <x:c r="A9" s="14" t="inlineStr">
        <x:is>
          <x:t xml:space="preserve">Pace</x:t>
        </x:is>
      </x:c>
      <x:c r="B9" s="14" t="inlineStr">
        <x:is>
          <x:t xml:space="preserve">v0.1 cost ×</x:t>
        </x:is>
      </x:c>
      <x:c r="C9" s="14" t="inlineStr">
        <x:is>
          <x:t xml:space="preserve">v0.1 s/season</x:t>
        </x:is>
      </x:c>
      <x:c r="D9" s="14" t="inlineStr">
        <x:is>
          <x:t xml:space="preserve">Tuned cost ×</x:t>
        </x:is>
      </x:c>
      <x:c r="E9" s="14" t="inlineStr">
        <x:is>
          <x:t xml:space="preserve">Tuned s/season</x:t>
        </x:is>
      </x:c>
      <x:c r="F9" s="2" t="inlineStr">
        <x:is>
          <x:t xml:space="preserve">Selected pace →</x:t>
        </x:is>
      </x:c>
    </x:row>
    <x:row r="10">
      <x:c r="A10" t="inlineStr">
        <x:is>
          <x:t xml:space="preserve">Standard</x:t>
        </x:is>
      </x:c>
      <x:c r="B10" s="16" t="n">
        <x:v>1</x:v>
      </x:c>
      <x:c r="C10" s="16" t="n">
        <x:v>15</x:v>
      </x:c>
      <x:c r="D10" s="16" t="n">
        <x:v>1</x:v>
      </x:c>
      <x:c r="E10" s="16" t="n">
        <x:v>15</x:v>
      </x:c>
      <x:c r="F10" t="inlineStr">
        <x:is>
          <x:t xml:space="preserve">v0.1 cost ×</x:t>
        </x:is>
      </x:c>
      <x:c r="G10" t="n">
        <x:f>INDEX($B$10:$B$12,MATCH(SelPace,$A$10:$A$12,0))</x:f>
        <x:v>1</x:v>
      </x:c>
    </x:row>
    <x:row r="11">
      <x:c r="A11" t="inlineStr">
        <x:is>
          <x:t xml:space="preserve">Quick</x:t>
        </x:is>
      </x:c>
      <x:c r="B11" s="16" t="n">
        <x:v>0.5</x:v>
      </x:c>
      <x:c r="C11" s="16" t="n">
        <x:v>15</x:v>
      </x:c>
      <x:c r="D11" s="16" t="n">
        <x:v>1</x:v>
      </x:c>
      <x:c r="E11" s="16" t="n">
        <x:v>7.5</x:v>
      </x:c>
      <x:c r="F11" t="inlineStr">
        <x:is>
          <x:t xml:space="preserve">v0.1 s/season</x:t>
        </x:is>
      </x:c>
      <x:c r="G11" t="n">
        <x:f>INDEX($C$10:$C$12,MATCH(SelPace,$A$10:$A$12,0))</x:f>
        <x:v>15</x:v>
      </x:c>
    </x:row>
    <x:row r="12">
      <x:c r="A12" t="inlineStr">
        <x:is>
          <x:t xml:space="preserve">Epic</x:t>
        </x:is>
      </x:c>
      <x:c r="B12" s="16" t="n">
        <x:v>1.6</x:v>
      </x:c>
      <x:c r="C12" s="16" t="n">
        <x:v>15</x:v>
      </x:c>
      <x:c r="D12" s="16" t="n">
        <x:v>1</x:v>
      </x:c>
      <x:c r="E12" s="16" t="n">
        <x:v>26</x:v>
      </x:c>
      <x:c r="F12" t="inlineStr">
        <x:is>
          <x:t xml:space="preserve">Tuned cost ×</x:t>
        </x:is>
      </x:c>
      <x:c r="G12" t="n">
        <x:f>INDEX($D$10:$D$12,MATCH(SelPace,$A$10:$A$12,0))</x:f>
        <x:v>1</x:v>
      </x:c>
    </x:row>
    <x:row r="13">
      <x:c r="F13" t="inlineStr">
        <x:is>
          <x:t xml:space="preserve">Tuned s/season</x:t>
        </x:is>
      </x:c>
      <x:c r="G13" t="n">
        <x:f>INDEX($E$10:$E$12,MATCH(SelPace,$A$10:$A$12,0))</x:f>
        <x:v>15</x:v>
      </x:c>
    </x:row>
    <x:row r="15">
      <x:c r="A15" s="2" t="inlineStr">
        <x:is>
          <x:t xml:space="preserve">Archetype sensitivity multipliers (ASSUMED; 06 §8 asks for all five archetypes)</x:t>
        </x:is>
      </x:c>
    </x:row>
    <x:row r="16">
      <x:c r="A16" s="14" t="inlineStr">
        <x:is>
          <x:t xml:space="preserve">Archetype</x:t>
        </x:is>
      </x:c>
      <x:c r="B16" s="14" t="inlineStr">
        <x:is>
          <x:t xml:space="preserve">Fertility</x:t>
        </x:is>
      </x:c>
      <x:c r="C16" s="14" t="inlineStr">
        <x:is>
          <x:t xml:space="preserve">FoodCap</x:t>
        </x:is>
      </x:c>
      <x:c r="D16" s="14" t="inlineStr">
        <x:is>
          <x:t xml:space="preserve">Territory</x:t>
        </x:is>
      </x:c>
      <x:c r="E16" s="14" t="inlineStr">
        <x:is>
          <x:t xml:space="preserve">Insight</x:t>
        </x:is>
      </x:c>
      <x:c r="F16" s="14" t="inlineStr">
        <x:is>
          <x:t xml:space="preserve">Roles</x:t>
        </x:is>
      </x:c>
      <x:c r="G16" s="14" t="inlineStr">
        <x:is>
          <x:t xml:space="preserve">KH</x:t>
        </x:is>
      </x:c>
      <x:c r="H16" s="14" t="inlineStr">
        <x:is>
          <x:t xml:space="preserve">AdultMort</x:t>
        </x:is>
      </x:c>
      <x:c r="I16" s="14" t="inlineStr">
        <x:is>
          <x:t xml:space="preserve">Diffusion</x:t>
        </x:is>
      </x:c>
    </x:row>
    <x:row r="17">
      <x:c r="A17" t="inlineStr">
        <x:is>
          <x:t xml:space="preserve">Balanced</x:t>
        </x:is>
      </x:c>
      <x:c r="B17" s="16" t="n">
        <x:v>1</x:v>
      </x:c>
      <x:c r="C17" s="16" t="n">
        <x:v>1</x:v>
      </x:c>
      <x:c r="D17" s="16" t="n">
        <x:v>1</x:v>
      </x:c>
      <x:c r="E17" s="16" t="n">
        <x:v>1</x:v>
      </x:c>
      <x:c r="F17" s="16" t="n">
        <x:v>1</x:v>
      </x:c>
      <x:c r="G17" s="16" t="n">
        <x:v>1</x:v>
      </x:c>
      <x:c r="H17" s="16" t="n">
        <x:v>1</x:v>
      </x:c>
      <x:c r="I17" s="16" t="n">
        <x:v>1</x:v>
      </x:c>
    </x:row>
    <x:row r="18">
      <x:c r="A18" t="inlineStr">
        <x:is>
          <x:t xml:space="preserve">Grower</x:t>
        </x:is>
      </x:c>
      <x:c r="B18" s="16" t="n">
        <x:v>1.15</x:v>
      </x:c>
      <x:c r="C18" s="16" t="n">
        <x:v>1.2</x:v>
      </x:c>
      <x:c r="D18" s="16" t="n">
        <x:v>1.1</x:v>
      </x:c>
      <x:c r="E18" s="16" t="n">
        <x:v>1</x:v>
      </x:c>
      <x:c r="F18" s="16" t="n">
        <x:v>0.9</x:v>
      </x:c>
      <x:c r="G18" s="16" t="n">
        <x:v>0.95</x:v>
      </x:c>
      <x:c r="H18" s="16" t="n">
        <x:v>1</x:v>
      </x:c>
      <x:c r="I18" s="16" t="n">
        <x:v>1</x:v>
      </x:c>
    </x:row>
    <x:row r="19">
      <x:c r="A19" t="inlineStr">
        <x:is>
          <x:t xml:space="preserve">Builder</x:t>
        </x:is>
      </x:c>
      <x:c r="B19" s="16" t="n">
        <x:v>0.95</x:v>
      </x:c>
      <x:c r="C19" s="16" t="n">
        <x:v>1.05</x:v>
      </x:c>
      <x:c r="D19" s="16" t="n">
        <x:v>0.9</x:v>
      </x:c>
      <x:c r="E19" s="16" t="n">
        <x:v>1</x:v>
      </x:c>
      <x:c r="F19" s="16" t="n">
        <x:v>1</x:v>
      </x:c>
      <x:c r="G19" s="16" t="n">
        <x:v>1.3</x:v>
      </x:c>
      <x:c r="H19" s="16" t="n">
        <x:v>1</x:v>
      </x:c>
      <x:c r="I19" s="16" t="n">
        <x:v>1</x:v>
      </x:c>
    </x:row>
    <x:row r="20">
      <x:c r="A20" t="inlineStr">
        <x:is>
          <x:t xml:space="preserve">Wanderer</x:t>
        </x:is>
      </x:c>
      <x:c r="B20" s="16" t="n">
        <x:v>1</x:v>
      </x:c>
      <x:c r="C20" s="16" t="n">
        <x:v>0.95</x:v>
      </x:c>
      <x:c r="D20" s="16" t="n">
        <x:v>1.4</x:v>
      </x:c>
      <x:c r="E20" s="16" t="n">
        <x:v>0.95</x:v>
      </x:c>
      <x:c r="F20" s="16" t="n">
        <x:v>0.95</x:v>
      </x:c>
      <x:c r="G20" s="16" t="n">
        <x:v>1.1</x:v>
      </x:c>
      <x:c r="H20" s="16" t="n">
        <x:v>1.05</x:v>
      </x:c>
      <x:c r="I20" s="16" t="n">
        <x:v>0.9</x:v>
      </x:c>
    </x:row>
    <x:row r="21">
      <x:c r="A21" t="inlineStr">
        <x:is>
          <x:t xml:space="preserve">Warlord</x:t>
        </x:is>
      </x:c>
      <x:c r="B21" s="16" t="n">
        <x:v>1</x:v>
      </x:c>
      <x:c r="C21" s="16" t="n">
        <x:v>1</x:v>
      </x:c>
      <x:c r="D21" s="16" t="n">
        <x:v>1.3</x:v>
      </x:c>
      <x:c r="E21" s="16" t="n">
        <x:v>0.9</x:v>
      </x:c>
      <x:c r="F21" s="16" t="n">
        <x:v>0.9</x:v>
      </x:c>
      <x:c r="G21" s="16" t="n">
        <x:v>1</x:v>
      </x:c>
      <x:c r="H21" s="16" t="n">
        <x:v>1.3</x:v>
      </x:c>
      <x:c r="I21" s="16" t="n">
        <x:v>1</x:v>
      </x:c>
    </x:row>
    <x:row r="22">
      <x:c r="A22" t="inlineStr">
        <x:is>
          <x:t xml:space="preserve">Sage</x:t>
        </x:is>
      </x:c>
      <x:c r="B22" s="16" t="n">
        <x:v>0.95</x:v>
      </x:c>
      <x:c r="C22" s="16" t="n">
        <x:v>0.95</x:v>
      </x:c>
      <x:c r="D22" s="16" t="n">
        <x:v>0.9</x:v>
      </x:c>
      <x:c r="E22" s="16" t="n">
        <x:v>1.1</x:v>
      </x:c>
      <x:c r="F22" s="16" t="n">
        <x:v>1.4</x:v>
      </x:c>
      <x:c r="G22" s="16" t="n">
        <x:v>1</x:v>
      </x:c>
      <x:c r="H22" s="16" t="n">
        <x:v>0.95</x:v>
      </x:c>
      <x:c r="I22" s="16" t="n">
        <x:v>1</x:v>
      </x:c>
    </x:row>
    <x:row r="23">
      <x:c r="A23" s="2" t="inlineStr">
        <x:is>
          <x:t xml:space="preserve">Selected →</x:t>
        </x:is>
      </x:c>
      <x:c r="B23" s="17" t="n">
        <x:f>INDEX(B$17:B$22,MATCH(SelArch,$A$17:$A$22,0))</x:f>
        <x:v>1</x:v>
      </x:c>
      <x:c r="C23" s="17" t="n">
        <x:f>INDEX(C$17:C$22,MATCH(SelArch,$A$17:$A$22,0))</x:f>
        <x:v>1</x:v>
      </x:c>
      <x:c r="D23" s="17" t="n">
        <x:f>INDEX(D$17:D$22,MATCH(SelArch,$A$17:$A$22,0))</x:f>
        <x:v>1</x:v>
      </x:c>
      <x:c r="E23" s="17" t="n">
        <x:f>INDEX(E$17:E$22,MATCH(SelArch,$A$17:$A$22,0))</x:f>
        <x:v>1</x:v>
      </x:c>
      <x:c r="F23" s="17" t="n">
        <x:f>INDEX(F$17:F$22,MATCH(SelArch,$A$17:$A$22,0))</x:f>
        <x:v>1</x:v>
      </x:c>
      <x:c r="G23" s="17" t="n">
        <x:f>INDEX(G$17:G$22,MATCH(SelArch,$A$17:$A$22,0))</x:f>
        <x:v>1</x:v>
      </x:c>
      <x:c r="H23" s="17" t="n">
        <x:f>INDEX(H$17:H$22,MATCH(SelArch,$A$17:$A$22,0))</x:f>
        <x:v>1</x:v>
      </x:c>
      <x:c r="I23" s="17" t="n">
        <x:f>INDEX(I$17:I$22,MATCH(SelArch,$A$17:$A$22,0))</x:f>
        <x:v>1</x:v>
      </x:c>
    </x:row>
    <x:row r="25">
      <x:c r="A25" s="2" t="inlineStr">
        <x:is>
          <x:t xml:space="preserve">Scalars</x:t>
        </x:is>
      </x:c>
    </x:row>
    <x:row r="26">
      <x:c r="A26" s="14" t="inlineStr">
        <x:is>
          <x:t xml:space="preserve">Name</x:t>
        </x:is>
      </x:c>
      <x:c r="B26" s="14" t="inlineStr">
        <x:is>
          <x:t xml:space="preserve">v0.1</x:t>
        </x:is>
      </x:c>
      <x:c r="C26" s="14" t="inlineStr">
        <x:is>
          <x:t xml:space="preserve">Tuned</x:t>
        </x:is>
      </x:c>
      <x:c r="D26" s="14" t="inlineStr">
        <x:is>
          <x:t xml:space="preserve">Unit</x:t>
        </x:is>
      </x:c>
      <x:c r="E26" s="14" t="inlineStr">
        <x:is>
          <x:t xml:space="preserve">Source / note</x:t>
        </x:is>
      </x:c>
      <x:c r="F26" s="14" t="inlineStr">
        <x:is>
          <x:t xml:space="preserve">Changed?</x:t>
        </x:is>
      </x:c>
    </x:row>
    <x:row r="27">
      <x:c r="A27" t="inlineStr">
        <x:is>
          <x:t xml:space="preserve">SeasonSeconds</x:t>
        </x:is>
      </x:c>
      <x:c r="B27" s="18" t="n">
        <x:v>15</x:v>
      </x:c>
      <x:c r="C27" s="19" t="n">
        <x:v>15</x:v>
      </x:c>
      <x:c r="D27" t="inlineStr">
        <x:is>
          <x:t xml:space="preserve">s</x:t>
        </x:is>
      </x:c>
      <x:c r="E27" t="inlineStr">
        <x:is>
          <x:t xml:space="preserve">05 §3.1: 150 ticks at 10 Hz</x:t>
        </x:is>
      </x:c>
      <x:c r="F27" t="str">
        <x:f>IF(B27&lt;&gt;C27,"changed","")</x:f>
      </x:c>
    </x:row>
    <x:row r="28">
      <x:c r="A28" t="inlineStr">
        <x:is>
          <x:t xml:space="preserve">StartChildren</x:t>
        </x:is>
      </x:c>
      <x:c r="B28" s="18" t="n">
        <x:v>2</x:v>
      </x:c>
      <x:c r="C28" s="19" t="n">
        <x:v>2</x:v>
      </x:c>
      <x:c r="D28" t="inlineStr">
        <x:is>
          <x:t xml:space="preserve">people</x:t>
        </x:is>
      </x:c>
      <x:c r="E28" t="inlineStr">
        <x:is>
          <x:t xml:space="preserve">05 §20</x:t>
        </x:is>
      </x:c>
      <x:c r="F28" t="str">
        <x:f>IF(B28&lt;&gt;C28,"changed","")</x:f>
      </x:c>
    </x:row>
    <x:row r="29">
      <x:c r="A29" t="inlineStr">
        <x:is>
          <x:t xml:space="preserve">StartAdults</x:t>
        </x:is>
      </x:c>
      <x:c r="B29" s="18" t="n">
        <x:v>8</x:v>
      </x:c>
      <x:c r="C29" s="19" t="n">
        <x:v>8</x:v>
      </x:c>
      <x:c r="D29" t="inlineStr">
        <x:is>
          <x:t xml:space="preserve">people</x:t>
        </x:is>
      </x:c>
      <x:c r="E29" t="inlineStr">
        <x:is>
          <x:t xml:space="preserve">05 §20 (4 men, 4 women)</x:t>
        </x:is>
      </x:c>
      <x:c r="F29" t="str">
        <x:f>IF(B29&lt;&gt;C29,"changed","")</x:f>
      </x:c>
    </x:row>
    <x:row r="30">
      <x:c r="A30" t="inlineStr">
        <x:is>
          <x:t xml:space="preserve">StartElders</x:t>
        </x:is>
      </x:c>
      <x:c r="B30" s="18" t="n">
        <x:v>2</x:v>
      </x:c>
      <x:c r="C30" s="19" t="n">
        <x:v>2</x:v>
      </x:c>
      <x:c r="D30" t="inlineStr">
        <x:is>
          <x:t xml:space="preserve">people</x:t>
        </x:is>
      </x:c>
      <x:c r="E30" t="inlineStr">
        <x:is>
          <x:t xml:space="preserve">05 §20</x:t>
        </x:is>
      </x:c>
      <x:c r="F30" t="str">
        <x:f>IF(B30&lt;&gt;C30,"changed","")</x:f>
      </x:c>
    </x:row>
    <x:row r="31">
      <x:c r="A31" t="inlineStr">
        <x:is>
          <x:t xml:space="preserve">WomenShare</x:t>
        </x:is>
      </x:c>
      <x:c r="B31" s="18" t="n">
        <x:v>0.5</x:v>
      </x:c>
      <x:c r="C31" s="19" t="n">
        <x:v>0.5</x:v>
      </x:c>
      <x:c r="D31" t="inlineStr">
        <x:is>
          <x:t xml:space="preserve">share</x:t>
        </x:is>
      </x:c>
      <x:c r="E31" t="inlineStr">
        <x:is>
          <x:t xml:space="preserve">share of adults who are fertile women</x:t>
        </x:is>
      </x:c>
      <x:c r="F31" t="str">
        <x:f>IF(B31&lt;&gt;C31,"changed","")</x:f>
      </x:c>
    </x:row>
    <x:row r="32">
      <x:c r="A32" t="inlineStr">
        <x:is>
          <x:t xml:space="preserve">ChildYears</x:t>
        </x:is>
      </x:c>
      <x:c r="B32" s="18" t="n">
        <x:v>14</x:v>
      </x:c>
      <x:c r="C32" s="19" t="n">
        <x:v>14</x:v>
      </x:c>
      <x:c r="D32" t="inlineStr">
        <x:is>
          <x:t xml:space="preserve">years</x:t>
        </x:is>
      </x:c>
      <x:c r="E32" t="inlineStr">
        <x:is>
          <x:t xml:space="preserve">05 §5.3: adult at 14</x:t>
        </x:is>
      </x:c>
      <x:c r="F32" t="str">
        <x:f>IF(B32&lt;&gt;C32,"changed","")</x:f>
      </x:c>
    </x:row>
    <x:row r="33">
      <x:c r="A33" t="inlineStr">
        <x:is>
          <x:t xml:space="preserve">AdultYears</x:t>
        </x:is>
      </x:c>
      <x:c r="B33" s="18" t="n">
        <x:v>31</x:v>
      </x:c>
      <x:c r="C33" s="19" t="n">
        <x:v>31</x:v>
      </x:c>
      <x:c r="D33" t="inlineStr">
        <x:is>
          <x:t xml:space="preserve">years</x:t>
        </x:is>
      </x:c>
      <x:c r="E33" t="inlineStr">
        <x:is>
          <x:t xml:space="preserve">05 §5.3: elder at 45</x:t>
        </x:is>
      </x:c>
      <x:c r="F33" t="str">
        <x:f>IF(B33&lt;&gt;C33,"changed","")</x:f>
      </x:c>
    </x:row>
    <x:row r="34">
      <x:c r="A34" t="inlineStr">
        <x:is>
          <x:t xml:space="preserve">BaseFertility</x:t>
        </x:is>
      </x:c>
      <x:c r="B34" s="18" t="n">
        <x:v>0.06</x:v>
      </x:c>
      <x:c r="C34" s="19" t="n">
        <x:v>0.13</x:v>
      </x:c>
      <x:c r="D34" t="inlineStr">
        <x:is>
          <x:t xml:space="preserve">births/woman/season</x:t>
        </x:is>
      </x:c>
      <x:c r="E34" t="inlineStr">
        <x:is>
          <x:t xml:space="preserve">05 §9.2 (tuned: WS-H rec.)</x:t>
        </x:is>
      </x:c>
      <x:c r="F34" t="str">
        <x:f>IF(B34&lt;&gt;C34,"changed","")</x:f>
        <x:v>changed</x:v>
      </x:c>
    </x:row>
    <x:row r="35">
      <x:c r="A35" t="inlineStr">
        <x:is>
          <x:t xml:space="preserve">CrowdingExp</x:t>
        </x:is>
      </x:c>
      <x:c r="B35" s="18" t="n">
        <x:v>6</x:v>
      </x:c>
      <x:c r="C35" s="19" t="n">
        <x:v>6</x:v>
      </x:c>
      <x:c r="D35" t="inlineStr">
        <x:is>
          <x:t xml:space="preserve">exp</x:t>
        </x:is>
      </x:c>
      <x:c r="E35" t="inlineStr">
        <x:is>
          <x:t xml:space="preserve">09 §3.2: births × (1 − (Pop/Cap)^k)</x:t>
        </x:is>
      </x:c>
      <x:c r="F35" t="str">
        <x:f>IF(B35&lt;&gt;C35,"changed","")</x:f>
      </x:c>
    </x:row>
    <x:row r="36">
      <x:c r="A36" t="inlineStr">
        <x:is>
          <x:t xml:space="preserve">GroupInCrowding</x:t>
        </x:is>
      </x:c>
      <x:c r="B36" s="18" t="n">
        <x:v>1</x:v>
      </x:c>
      <x:c r="C36" s="19" t="n">
        <x:v>0</x:v>
      </x:c>
      <x:c r="D36" t="inlineStr">
        <x:is>
          <x:t xml:space="preserve">flag</x:t>
        </x:is>
      </x:c>
      <x:c r="E36" t="inlineStr">
        <x:is>
          <x:t xml:space="preserve">09 §3.2: 1 = crowding counts the group cap; tuned: food and housing only</x:t>
        </x:is>
      </x:c>
      <x:c r="F36" t="str">
        <x:f>IF(B36&lt;&gt;C36,"changed","")</x:f>
        <x:v>changed</x:v>
      </x:c>
    </x:row>
    <x:row r="37">
      <x:c r="A37" t="inlineStr">
        <x:is>
          <x:t xml:space="preserve">OvercapLoss</x:t>
        </x:is>
      </x:c>
      <x:c r="B37" s="18" t="n">
        <x:v>0.1</x:v>
      </x:c>
      <x:c r="C37" s="19" t="n">
        <x:v>0.1</x:v>
      </x:c>
      <x:c r="D37" t="inlineStr">
        <x:is>
          <x:t xml:space="preserve">share/season</x:t>
        </x:is>
      </x:c>
      <x:c r="E37" t="inlineStr">
        <x:is>
          <x:t xml:space="preserve">ASSUMED: people above cap who die or leave</x:t>
        </x:is>
      </x:c>
      <x:c r="F37" t="str">
        <x:f>IF(B37&lt;&gt;C37,"changed","")</x:f>
      </x:c>
    </x:row>
    <x:row r="38">
      <x:c r="A38" t="inlineStr">
        <x:is>
          <x:t xml:space="preserve">CohesionFactor</x:t>
        </x:is>
      </x:c>
      <x:c r="B38" s="18" t="n">
        <x:v>1</x:v>
      </x:c>
      <x:c r="C38" s="19" t="n">
        <x:v>1</x:v>
      </x:c>
      <x:c r="D38" t="inlineStr">
        <x:is>
          <x:t xml:space="preserve">×</x:t>
        </x:is>
      </x:c>
      <x:c r="E38" t="inlineStr">
        <x:is>
          <x:t xml:space="preserve">05 §10.1 (0.6–1.2); 1.0 = average</x:t>
        </x:is>
      </x:c>
      <x:c r="F38" t="str">
        <x:f>IF(B38&lt;&gt;C38,"changed","")</x:f>
      </x:c>
    </x:row>
    <x:row r="39">
      <x:c r="A39" t="inlineStr">
        <x:is>
          <x:t xml:space="preserve">FissionTrigger</x:t>
        </x:is>
      </x:c>
      <x:c r="B39" s="18" t="n">
        <x:v>0.85</x:v>
      </x:c>
      <x:c r="C39" s="19" t="n">
        <x:v>0.85</x:v>
      </x:c>
      <x:c r="D39" t="inlineStr">
        <x:is>
          <x:t xml:space="preserve">× settlement cap</x:t>
        </x:is>
      </x:c>
      <x:c r="E39" t="inlineStr">
        <x:is>
          <x:t xml:space="preserve">05 §9.4: over cap OR food/housing pressure high</x:t>
        </x:is>
      </x:c>
      <x:c r="F39" t="str">
        <x:f>IF(B39&lt;&gt;C39,"changed","")</x:f>
      </x:c>
    </x:row>
    <x:row r="40">
      <x:c r="A40" t="inlineStr">
        <x:is>
          <x:t xml:space="preserve">FissionRate</x:t>
        </x:is>
      </x:c>
      <x:c r="B40" s="18" t="n">
        <x:v>0.34</x:v>
      </x:c>
      <x:c r="C40" s="19" t="n">
        <x:v>0.34</x:v>
      </x:c>
      <x:c r="D40" t="inlineStr">
        <x:is>
          <x:t xml:space="preserve">share of settlements/season</x:t>
        </x:is>
      </x:c>
      <x:c r="E40" t="inlineStr">
        <x:is>
          <x:t xml:space="preserve">ASSUMED: over-cap settlements that split per season</x:t>
        </x:is>
      </x:c>
      <x:c r="F40" t="str">
        <x:f>IF(B40&lt;&gt;C40,"changed","")</x:f>
      </x:c>
    </x:row>
    <x:row r="41">
      <x:c r="A41" t="inlineStr">
        <x:is>
          <x:t xml:space="preserve">DaughterShare</x:t>
        </x:is>
      </x:c>
      <x:c r="B41" s="18" t="n">
        <x:v>0.4</x:v>
      </x:c>
      <x:c r="C41" s="19" t="n">
        <x:v>0.4</x:v>
      </x:c>
      <x:c r="D41" t="inlineStr">
        <x:is>
          <x:t xml:space="preserve">share</x:t>
        </x:is>
      </x:c>
      <x:c r="E41" t="inlineStr">
        <x:is>
          <x:t xml:space="preserve">05 §9.4: 30–45% of pop</x:t>
        </x:is>
      </x:c>
      <x:c r="F41" t="str">
        <x:f>IF(B41&lt;&gt;C41,"changed","")</x:f>
      </x:c>
    </x:row>
    <x:row r="42">
      <x:c r="A42" t="inlineStr">
        <x:is>
          <x:t xml:space="preserve">MinDaughter</x:t>
        </x:is>
      </x:c>
      <x:c r="B42" s="18" t="n">
        <x:v>6</x:v>
      </x:c>
      <x:c r="C42" s="19" t="n">
        <x:v>6</x:v>
      </x:c>
      <x:c r="D42" t="inlineStr">
        <x:is>
          <x:t xml:space="preserve">people</x:t>
        </x:is>
      </x:c>
      <x:c r="E42" t="inlineStr">
        <x:is>
          <x:t xml:space="preserve">ASSUMED: smallest viable daughter band</x:t>
        </x:is>
      </x:c>
      <x:c r="F42" t="str">
        <x:f>IF(B42&lt;&gt;C42,"changed","")</x:f>
      </x:c>
    </x:row>
    <x:row r="43">
      <x:c r="A43" t="inlineStr">
        <x:is>
          <x:t xml:space="preserve">SettlementPacking</x:t>
        </x:is>
      </x:c>
      <x:c r="B43" s="18" t="n">
        <x:v>0.6</x:v>
      </x:c>
      <x:c r="C43" s="19" t="n">
        <x:v>0.6</x:v>
      </x:c>
      <x:c r="D43" t="inlineStr">
        <x:is>
          <x:t xml:space="preserve">× claim area</x:t>
        </x:is>
      </x:c>
      <x:c r="E43" t="inlineStr">
        <x:is>
          <x:t xml:space="preserve">ASSUMED: tiles per settlement = hex area of claim radius × packing</x:t>
        </x:is>
      </x:c>
      <x:c r="F43" t="str">
        <x:f>IF(B43&lt;&gt;C43,"changed","")</x:f>
      </x:c>
    </x:row>
    <x:row r="44">
      <x:c r="A44" t="inlineStr">
        <x:is>
          <x:t xml:space="preserve">LowTiesShare</x:t>
        </x:is>
      </x:c>
      <x:c r="B44" s="18" t="n">
        <x:v>0.5</x:v>
      </x:c>
      <x:c r="C44" s="19" t="n">
        <x:v>0.5</x:v>
      </x:c>
      <x:c r="D44" t="inlineStr">
        <x:is>
          <x:t xml:space="preserve">×</x:t>
        </x:is>
      </x:c>
      <x:c r="E44" t="inlineStr">
        <x:is>
          <x:t xml:space="preserve">05 §9.4: daughter bands share Insight at 50% before SOC-03</x:t>
        </x:is>
      </x:c>
      <x:c r="F44" t="str">
        <x:f>IF(B44&lt;&gt;C44,"changed","")</x:f>
      </x:c>
    </x:row>
    <x:row r="45">
      <x:c r="A45" t="inlineStr">
        <x:is>
          <x:t xml:space="preserve">CommonsCoef</x:t>
        </x:is>
      </x:c>
      <x:c r="B45" s="18" t="n">
        <x:v>0.6</x:v>
      </x:c>
      <x:c r="C45" s="19" t="n">
        <x:v>4.8</x:v>
      </x:c>
      <x:c r="D45" t="inlineStr">
        <x:is>
          <x:t xml:space="preserve">Insight/yr</x:t>
        </x:is>
      </x:c>
      <x:c r="E45" t="inlineStr">
        <x:is>
          <x:t xml:space="preserve">02 §8.1 Commons coefficient</x:t>
        </x:is>
      </x:c>
      <x:c r="F45" t="str">
        <x:f>IF(B45&lt;&gt;C45,"changed","")</x:f>
        <x:v>changed</x:v>
      </x:c>
    </x:row>
    <x:row r="46">
      <x:c r="A46" t="inlineStr">
        <x:is>
          <x:t xml:space="preserve">CommonsExp</x:t>
        </x:is>
      </x:c>
      <x:c r="B46" s="18" t="n">
        <x:v>0.85</x:v>
      </x:c>
      <x:c r="C46" s="19" t="n">
        <x:v>0.85</x:v>
      </x:c>
      <x:c r="D46" t="inlineStr">
        <x:is>
          <x:t xml:space="preserve">exp</x:t>
        </x:is>
      </x:c>
      <x:c r="E46" t="inlineStr">
        <x:is>
          <x:t xml:space="preserve">02 §8.1</x:t>
        </x:is>
      </x:c>
      <x:c r="F46" t="str">
        <x:f>IF(B46&lt;&gt;C46,"changed","")</x:f>
      </x:c>
    </x:row>
    <x:row r="47">
      <x:c r="A47" t="inlineStr">
        <x:is>
          <x:t xml:space="preserve">ElderCommons</x:t>
        </x:is>
      </x:c>
      <x:c r="B47" s="18" t="n">
        <x:v>2</x:v>
      </x:c>
      <x:c r="C47" s="19" t="n">
        <x:v>2</x:v>
      </x:c>
      <x:c r="D47" t="inlineStr">
        <x:is>
          <x:t xml:space="preserve">×</x:t>
        </x:is>
      </x:c>
      <x:c r="E47" t="inlineStr">
        <x:is>
          <x:t xml:space="preserve">02 §8.1: elders count double</x:t>
        </x:is>
      </x:c>
      <x:c r="F47" t="str">
        <x:f>IF(B47&lt;&gt;C47,"changed","")</x:f>
      </x:c>
    </x:row>
    <x:row r="48">
      <x:c r="A48" t="inlineStr">
        <x:is>
          <x:t xml:space="preserve">RoleScale</x:t>
        </x:is>
      </x:c>
      <x:c r="B48" s="18" t="n">
        <x:v>1</x:v>
      </x:c>
      <x:c r="C48" s="19" t="n">
        <x:v>8</x:v>
      </x:c>
      <x:c r="D48" t="inlineStr">
        <x:is>
          <x:t xml:space="preserve">×</x:t>
        </x:is>
      </x:c>
      <x:c r="E48" t="inlineStr">
        <x:is>
          <x:t xml:space="preserve">multiplies every role and structure output in 02 §8.1</x:t>
        </x:is>
      </x:c>
      <x:c r="F48" t="str">
        <x:f>IF(B48&lt;&gt;C48,"changed","")</x:f>
        <x:v>changed</x:v>
      </x:c>
    </x:row>
    <x:row r="49">
      <x:c r="A49" t="inlineStr">
        <x:is>
          <x:t xml:space="preserve">OutElder</x:t>
        </x:is>
      </x:c>
      <x:c r="B49" s="18" t="n">
        <x:v>1</x:v>
      </x:c>
      <x:c r="C49" s="19" t="n">
        <x:v>1</x:v>
      </x:c>
      <x:c r="D49" t="inlineStr">
        <x:is>
          <x:t xml:space="preserve">Insight/yr</x:t>
        </x:is>
      </x:c>
      <x:c r="E49" t="inlineStr">
        <x:is>
          <x:t xml:space="preserve">GOV-01 (×RoleScale)</x:t>
        </x:is>
      </x:c>
      <x:c r="F49" t="str">
        <x:f>IF(B49&lt;&gt;C49,"changed","")</x:f>
      </x:c>
    </x:row>
    <x:row r="50">
      <x:c r="A50" t="inlineStr">
        <x:is>
          <x:t xml:space="preserve">OutShaman</x:t>
        </x:is>
      </x:c>
      <x:c r="B50" s="18" t="n">
        <x:v>1.5</x:v>
      </x:c>
      <x:c r="C50" s="19" t="n">
        <x:v>1.5</x:v>
      </x:c>
      <x:c r="D50" t="inlineStr">
        <x:is>
          <x:t xml:space="preserve">Insight/yr</x:t>
        </x:is>
      </x:c>
      <x:c r="E50" t="inlineStr">
        <x:is>
          <x:t xml:space="preserve">BEL-03</x:t>
        </x:is>
      </x:c>
      <x:c r="F50" t="str">
        <x:f>IF(B50&lt;&gt;C50,"changed","")</x:f>
      </x:c>
    </x:row>
    <x:row r="51">
      <x:c r="A51" t="inlineStr">
        <x:is>
          <x:t xml:space="preserve">OutPriest</x:t>
        </x:is>
      </x:c>
      <x:c r="B51" s="18" t="n">
        <x:v>2</x:v>
      </x:c>
      <x:c r="C51" s="19" t="n">
        <x:v>2</x:v>
      </x:c>
      <x:c r="D51" t="inlineStr">
        <x:is>
          <x:t xml:space="preserve">Insight/yr</x:t>
        </x:is>
      </x:c>
      <x:c r="E51" t="inlineStr">
        <x:is>
          <x:t xml:space="preserve">BEL-06</x:t>
        </x:is>
      </x:c>
      <x:c r="F51" t="str">
        <x:f>IF(B51&lt;&gt;C51,"changed","")</x:f>
      </x:c>
    </x:row>
    <x:row r="52">
      <x:c r="A52" t="inlineStr">
        <x:is>
          <x:t xml:space="preserve">OutScribe</x:t>
        </x:is>
      </x:c>
      <x:c r="B52" s="18" t="n">
        <x:v>3</x:v>
      </x:c>
      <x:c r="C52" s="19" t="n">
        <x:v>3</x:v>
      </x:c>
      <x:c r="D52" t="inlineStr">
        <x:is>
          <x:t xml:space="preserve">Insight/yr</x:t>
        </x:is>
      </x:c>
      <x:c r="E52" t="inlineStr">
        <x:is>
          <x:t xml:space="preserve">LRN-04 / COM-05</x:t>
        </x:is>
      </x:c>
      <x:c r="F52" t="str">
        <x:f>IF(B52&lt;&gt;C52,"changed","")</x:f>
      </x:c>
    </x:row>
    <x:row r="53">
      <x:c r="A53" t="inlineStr">
        <x:is>
          <x:t xml:space="preserve">OutScholar</x:t>
        </x:is>
      </x:c>
      <x:c r="B53" s="18" t="n">
        <x:v>6</x:v>
      </x:c>
      <x:c r="C53" s="19" t="n">
        <x:v>6</x:v>
      </x:c>
      <x:c r="D53" t="inlineStr">
        <x:is>
          <x:t xml:space="preserve">Insight/yr</x:t>
        </x:is>
      </x:c>
      <x:c r="E53" t="inlineStr">
        <x:is>
          <x:t xml:space="preserve">LRN-05</x:t>
        </x:is>
      </x:c>
      <x:c r="F53" t="str">
        <x:f>IF(B53&lt;&gt;C53,"changed","")</x:f>
      </x:c>
    </x:row>
    <x:row r="54">
      <x:c r="A54" t="inlineStr">
        <x:is>
          <x:t xml:space="preserve">OutResearcher</x:t>
        </x:is>
      </x:c>
      <x:c r="B54" s="18" t="n">
        <x:v>15</x:v>
      </x:c>
      <x:c r="C54" s="19" t="n">
        <x:v>15</x:v>
      </x:c>
      <x:c r="D54" t="inlineStr">
        <x:is>
          <x:t xml:space="preserve">Insight/yr</x:t>
        </x:is>
      </x:c>
      <x:c r="E54" t="inlineStr">
        <x:is>
          <x:t xml:space="preserve">LRN-12</x:t>
        </x:is>
      </x:c>
      <x:c r="F54" t="str">
        <x:f>IF(B54&lt;&gt;C54,"changed","")</x:f>
      </x:c>
    </x:row>
    <x:row r="55">
      <x:c r="A55" t="inlineStr">
        <x:is>
          <x:t xml:space="preserve">OutMonastery</x:t>
        </x:is>
      </x:c>
      <x:c r="B55" s="18" t="n">
        <x:v>2</x:v>
      </x:c>
      <x:c r="C55" s="19" t="n">
        <x:v>2</x:v>
      </x:c>
      <x:c r="D55" t="inlineStr">
        <x:is>
          <x:t xml:space="preserve">Insight/yr</x:t>
        </x:is>
      </x:c>
      <x:c r="E55" t="inlineStr">
        <x:is>
          <x:t xml:space="preserve">BEL-10 (per monastery)</x:t>
        </x:is>
      </x:c>
      <x:c r="F55" t="str">
        <x:f>IF(B55&lt;&gt;C55,"changed","")</x:f>
      </x:c>
    </x:row>
    <x:row r="56">
      <x:c r="A56" t="inlineStr">
        <x:is>
          <x:t xml:space="preserve">EraBoonPct</x:t>
        </x:is>
      </x:c>
      <x:c r="B56" s="18" t="n">
        <x:v>0.05</x:v>
      </x:c>
      <x:c r="C56" s="19" t="n">
        <x:v>0.05</x:v>
      </x:c>
      <x:c r="D56" t="inlineStr">
        <x:is>
          <x:t xml:space="preserve">share</x:t>
        </x:is>
      </x:c>
      <x:c r="E56" t="inlineStr">
        <x:is>
          <x:t xml:space="preserve">02 §13: +5% Insight Era Boon</x:t>
        </x:is>
      </x:c>
      <x:c r="F56" t="str">
        <x:f>IF(B56&lt;&gt;C56,"changed","")</x:f>
      </x:c>
    </x:row>
    <x:row r="57">
      <x:c r="A57" t="inlineStr">
        <x:is>
          <x:t xml:space="preserve">EraBoonTake</x:t>
        </x:is>
      </x:c>
      <x:c r="B57" s="18" t="n">
        <x:v>0.5</x:v>
      </x:c>
      <x:c r="C57" s="19" t="n">
        <x:v>0.5</x:v>
      </x:c>
      <x:c r="D57" t="inlineStr">
        <x:is>
          <x:t xml:space="preserve">prob</x:t>
        </x:is>
      </x:c>
      <x:c r="E57" t="inlineStr">
        <x:is>
          <x:t xml:space="preserve">ASSUMED: Leaning picks Insight boon half the time</x:t>
        </x:is>
      </x:c>
      <x:c r="F57" t="str">
        <x:f>IF(B57&lt;&gt;C57,"changed","")</x:f>
      </x:c>
    </x:row>
    <x:row r="58">
      <x:c r="A58" t="inlineStr">
        <x:is>
          <x:t xml:space="preserve">KHPerAdult</x:t>
        </x:is>
      </x:c>
      <x:c r="B58" s="18" t="n">
        <x:v>0.05</x:v>
      </x:c>
      <x:c r="C58" s="19" t="n">
        <x:v>0</x:v>
      </x:c>
      <x:c r="D58" t="inlineStr">
        <x:is>
          <x:t xml:space="preserve">KH/adult/season</x:t>
        </x:is>
      </x:c>
      <x:c r="E58" t="inlineStr">
        <x:is>
          <x:t xml:space="preserve">02 §9: 0.05 per figure-equivalent per season (linear)</x:t>
        </x:is>
      </x:c>
      <x:c r="F58" t="str">
        <x:f>IF(B58&lt;&gt;C58,"changed","")</x:f>
        <x:v>changed</x:v>
      </x:c>
    </x:row>
    <x:row r="59">
      <x:c r="A59" t="inlineStr">
        <x:is>
          <x:t xml:space="preserve">KHOfCommons</x:t>
        </x:is>
      </x:c>
      <x:c r="B59" s="18" t="n">
        <x:v>0</x:v>
      </x:c>
      <x:c r="C59" s="19" t="n">
        <x:v>0.35</x:v>
      </x:c>
      <x:c r="D59" t="inlineStr">
        <x:is>
          <x:t xml:space="preserve">× Commons</x:t>
        </x:is>
      </x:c>
      <x:c r="E59" t="inlineStr">
        <x:is>
          <x:t xml:space="preserve">tuned: Know-how = share of Commons Insight (after learning mults)</x:t>
        </x:is>
      </x:c>
      <x:c r="F59" t="str">
        <x:f>IF(B59&lt;&gt;C59,"changed","")</x:f>
        <x:v>changed</x:v>
      </x:c>
    </x:row>
    <x:row r="60">
      <x:c r="A60" t="inlineStr">
        <x:is>
          <x:t xml:space="preserve">KHUsable</x:t>
        </x:is>
      </x:c>
      <x:c r="B60" s="18" t="n">
        <x:v>0.7</x:v>
      </x:c>
      <x:c r="C60" s="19" t="n">
        <x:v>0.7</x:v>
      </x:c>
      <x:c r="D60" t="inlineStr">
        <x:is>
          <x:t xml:space="preserve">share</x:t>
        </x:is>
      </x:c>
      <x:c r="E60" t="inlineStr">
        <x:is>
          <x:t xml:space="preserve">ASSUMED: practice in lineages that get slotted</x:t>
        </x:is>
      </x:c>
      <x:c r="F60" t="str">
        <x:f>IF(B60&lt;&gt;C60,"changed","")</x:f>
      </x:c>
    </x:row>
    <x:row r="61">
      <x:c r="A61" t="inlineStr">
        <x:is>
          <x:t xml:space="preserve">KHMaxRatio</x:t>
        </x:is>
      </x:c>
      <x:c r="B61" s="18" t="n">
        <x:v>0.75</x:v>
      </x:c>
      <x:c r="C61" s="19" t="n">
        <x:v>0.75</x:v>
      </x:c>
      <x:c r="D61" t="inlineStr">
        <x:is>
          <x:t xml:space="preserve">× Insight</x:t>
        </x:is>
      </x:c>
      <x:c r="E61" t="inlineStr">
        <x:is>
          <x:t xml:space="preserve">02 §9 drain ≤ slot rate and ≤ 50% of cost; ~6/7 of slots practised</x:t>
        </x:is>
      </x:c>
      <x:c r="F61" t="str">
        <x:f>IF(B61&lt;&gt;C61,"changed","")</x:f>
      </x:c>
    </x:row>
    <x:row r="62">
      <x:c r="A62" t="inlineStr">
        <x:is>
          <x:t xml:space="preserve">SlotPrimary</x:t>
        </x:is>
      </x:c>
      <x:c r="B62" s="18" t="n">
        <x:v>4</x:v>
      </x:c>
      <x:c r="C62" s="19" t="n">
        <x:v>4</x:v>
      </x:c>
      <x:c r="D62" t="inlineStr">
        <x:is>
          <x:t xml:space="preserve">parts</x:t>
        </x:is>
      </x:c>
      <x:c r="E62" t="inlineStr">
        <x:is>
          <x:t xml:space="preserve">02 §8.2</x:t>
        </x:is>
      </x:c>
      <x:c r="F62" t="str">
        <x:f>IF(B62&lt;&gt;C62,"changed","")</x:f>
      </x:c>
    </x:row>
    <x:row r="63">
      <x:c r="A63" t="inlineStr">
        <x:is>
          <x:t xml:space="preserve">SlotSecondary</x:t>
        </x:is>
      </x:c>
      <x:c r="B63" s="18" t="n">
        <x:v>2</x:v>
      </x:c>
      <x:c r="C63" s="19" t="n">
        <x:v>2</x:v>
      </x:c>
      <x:c r="D63" t="inlineStr">
        <x:is>
          <x:t xml:space="preserve">parts</x:t>
        </x:is>
      </x:c>
      <x:c r="E63" t="inlineStr">
        <x:is>
          <x:t xml:space="preserve">02 §8.2</x:t>
        </x:is>
      </x:c>
      <x:c r="F63" t="str">
        <x:f>IF(B63&lt;&gt;C63,"changed","")</x:f>
      </x:c>
    </x:row>
    <x:row r="64">
      <x:c r="A64" t="inlineStr">
        <x:is>
          <x:t xml:space="preserve">SlotTertiary</x:t>
        </x:is>
      </x:c>
      <x:c r="B64" s="18" t="n">
        <x:v>1</x:v>
      </x:c>
      <x:c r="C64" s="19" t="n">
        <x:v>1</x:v>
      </x:c>
      <x:c r="D64" t="inlineStr">
        <x:is>
          <x:t xml:space="preserve">parts</x:t>
        </x:is>
      </x:c>
      <x:c r="E64" t="inlineStr">
        <x:is>
          <x:t xml:space="preserve">02 §8.2</x:t>
        </x:is>
      </x:c>
      <x:c r="F64" t="str">
        <x:f>IF(B64&lt;&gt;C64,"changed","")</x:f>
      </x:c>
    </x:row>
    <x:row r="65">
      <x:c r="A65" t="inlineStr">
        <x:is>
          <x:t xml:space="preserve">KeystoneMult</x:t>
        </x:is>
      </x:c>
      <x:c r="B65" s="18" t="n">
        <x:v>2.5</x:v>
      </x:c>
      <x:c r="C65" s="19" t="n">
        <x:v>2.5</x:v>
      </x:c>
      <x:c r="D65" t="inlineStr">
        <x:is>
          <x:t xml:space="preserve">×</x:t>
        </x:is>
      </x:c>
      <x:c r="E65" t="inlineStr">
        <x:is>
          <x:t xml:space="preserve">02 §4 type K</x:t>
        </x:is>
      </x:c>
      <x:c r="F65" t="str">
        <x:f>IF(B65&lt;&gt;C65,"changed","")</x:f>
      </x:c>
    </x:row>
    <x:row r="66">
      <x:c r="A66" t="inlineStr">
        <x:is>
          <x:t xml:space="preserve">EraLag</x:t>
        </x:is>
      </x:c>
      <x:c r="B66" s="18" t="n">
        <x:v>0.7</x:v>
      </x:c>
      <x:c r="C66" s="19" t="n">
        <x:v>0.7</x:v>
      </x:c>
      <x:c r="D66" t="inlineStr">
        <x:is>
          <x:t xml:space="preserve">× per era</x:t>
        </x:is>
      </x:c>
      <x:c r="E66" t="inlineStr">
        <x:is>
          <x:t xml:space="preserve">02 §8.3 EraLagMult</x:t>
        </x:is>
      </x:c>
      <x:c r="F66" t="str">
        <x:f>IF(B66&lt;&gt;C66,"changed","")</x:f>
      </x:c>
    </x:row>
    <x:row r="67">
      <x:c r="A67" t="inlineStr">
        <x:is>
          <x:t xml:space="preserve">BackfillOverlap</x:t>
        </x:is>
      </x:c>
      <x:c r="B67" s="18" t="n">
        <x:v>0.3</x:v>
      </x:c>
      <x:c r="C67" s="19" t="n">
        <x:v>0.3</x:v>
      </x:c>
      <x:c r="D67" t="inlineStr">
        <x:is>
          <x:t xml:space="preserve">share</x:t>
        </x:is>
      </x:c>
      <x:c r="E67" t="inlineStr">
        <x:is>
          <x:t xml:space="preserve">ASSUMED: forced backfills already taken as earlier free picks</x:t>
        </x:is>
      </x:c>
      <x:c r="F67" t="str">
        <x:f>IF(B67&lt;&gt;C67,"changed","")</x:f>
      </x:c>
    </x:row>
    <x:row r="68">
      <x:c r="A68" t="inlineStr">
        <x:is>
          <x:t xml:space="preserve">DiffusionMult</x:t>
        </x:is>
      </x:c>
      <x:c r="B68" s="18" t="n">
        <x:v>1</x:v>
      </x:c>
      <x:c r="C68" s="19" t="n">
        <x:v>1</x:v>
      </x:c>
      <x:c r="D68" t="inlineStr">
        <x:is>
          <x:t xml:space="preserve">×</x:t>
        </x:is>
      </x:c>
      <x:c r="E68" t="inlineStr">
        <x:is>
          <x:t xml:space="preserve">02 §8.3; 1.0 = the leader, no contacted civ knows it</x:t>
        </x:is>
      </x:c>
      <x:c r="F68" t="str">
        <x:f>IF(B68&lt;&gt;C68,"changed","")</x:f>
      </x:c>
    </x:row>
    <x:row r="69">
      <x:c r="A69" t="inlineStr">
        <x:is>
          <x:t xml:space="preserve">CapsByProject</x:t>
        </x:is>
      </x:c>
      <x:c r="B69" s="18" t="n">
        <x:v>0</x:v>
      </x:c>
      <x:c r="C69" s="19" t="n">
        <x:v>1</x:v>
      </x:c>
      <x:c r="D69" t="inlineStr">
        <x:is>
          <x:t xml:space="preserve">flag</x:t>
        </x:is>
      </x:c>
      <x:c r="E69" t="inlineStr">
        <x:is>
          <x:t xml:space="preserve">09 §5: caps rise project by project (Caps sheet); 0 = per-era tables only</x:t>
        </x:is>
      </x:c>
      <x:c r="F69" t="str">
        <x:f>IF(B69&lt;&gt;C69,"changed","")</x:f>
        <x:v>changed</x:v>
      </x:c>
    </x:row>
    <x:row r="70">
      <x:c r="A70" t="inlineStr">
        <x:is>
          <x:t xml:space="preserve">WinterTrigger</x:t>
        </x:is>
      </x:c>
      <x:c r="B70" s="18" t="n">
        <x:v>0</x:v>
      </x:c>
      <x:c r="C70" s="19" t="n">
        <x:v>1</x:v>
      </x:c>
      <x:c r="D70" t="inlineStr">
        <x:is>
          <x:t xml:space="preserve">flag</x:t>
        </x:is>
      </x:c>
      <x:c r="E70" t="inlineStr">
        <x:is>
          <x:t xml:space="preserve">09 §7.2: late-winter food-pressure fission trigger (0 = off)</x:t>
        </x:is>
      </x:c>
      <x:c r="F70" t="str">
        <x:f>IF(B70&lt;&gt;C70,"changed","")</x:f>
        <x:v>changed</x:v>
      </x:c>
    </x:row>
    <x:row r="71">
      <x:c r="A71" t="inlineStr">
        <x:is>
          <x:t xml:space="preserve">LeanBase</x:t>
        </x:is>
      </x:c>
      <x:c r="B71" s="18" t="n">
        <x:v>1</x:v>
      </x:c>
      <x:c r="C71" s="19" t="n">
        <x:v>0.77</x:v>
      </x:c>
      <x:c r="D71" t="inlineStr">
        <x:is>
          <x:t xml:space="preserve">× FoodCap</x:t>
        </x:is>
      </x:c>
      <x:c r="E71" t="inlineStr">
        <x:is>
          <x:t xml:space="preserve">09 §6.2: late-winter food a camp can count on, before any storage project</x:t>
        </x:is>
      </x:c>
      <x:c r="F71" t="str">
        <x:f>IF(B71&lt;&gt;C71,"changed","")</x:f>
        <x:v>changed</x:v>
      </x:c>
    </x:row>
    <x:row r="74">
      <x:c r="A74" s="2" t="inlineStr">
        <x:is>
          <x:t xml:space="preserve">Per-era tables (rows E0–E9). Two columns where v0.1 and Tuned differ.</x:t>
        </x:is>
      </x:c>
    </x:row>
    <x:row r="75" ht="32" customHeight="1">
      <x:c r="A75" s="14" t="inlineStr">
        <x:is>
          <x:t xml:space="preserve">Era</x:t>
        </x:is>
      </x:c>
      <x:c r="B75" s="14" t="inlineStr">
        <x:is>
          <x:t xml:space="preserve">EraBase
v0.1</x:t>
        </x:is>
      </x:c>
      <x:c r="C75" s="14" t="inlineStr">
        <x:is>
          <x:t xml:space="preserve">EraBase
Tuned</x:t>
        </x:is>
      </x:c>
      <x:c r="D75" s="14" t="inlineStr">
        <x:is>
          <x:t xml:space="preserve">BreadthN
v0.1</x:t>
        </x:is>
      </x:c>
      <x:c r="E75" s="14" t="inlineStr">
        <x:is>
          <x:t xml:space="preserve">BreadthN
Tuned</x:t>
        </x:is>
      </x:c>
      <x:c r="F75" s="14" t="inlineStr">
        <x:is>
          <x:t xml:space="preserve">CostMod
</x:t>
        </x:is>
      </x:c>
      <x:c r="G75" s="14" t="inlineStr">
        <x:is>
          <x:t xml:space="preserve">TargetMinLo
</x:t>
        </x:is>
      </x:c>
      <x:c r="H75" s="14" t="inlineStr">
        <x:is>
          <x:t xml:space="preserve">TargetMinHi
</x:t>
        </x:is>
      </x:c>
      <x:c r="I75" s="14" t="inlineStr">
        <x:is>
          <x:t xml:space="preserve">TargetDoneLo
</x:t>
        </x:is>
      </x:c>
      <x:c r="J75" s="14" t="inlineStr">
        <x:is>
          <x:t xml:space="preserve">TargetDoneHi
</x:t>
        </x:is>
      </x:c>
      <x:c r="K75" s="14" t="inlineStr">
        <x:is>
          <x:t xml:space="preserve">RepScale
v0.1</x:t>
        </x:is>
      </x:c>
      <x:c r="L75" s="14" t="inlineStr">
        <x:is>
          <x:t xml:space="preserve">RepScale
Tuned</x:t>
        </x:is>
      </x:c>
      <x:c r="M75" s="14" t="inlineStr">
        <x:is>
          <x:t xml:space="preserve">GroupCap
v0.1</x:t>
        </x:is>
      </x:c>
      <x:c r="N75" s="14" t="inlineStr">
        <x:is>
          <x:t xml:space="preserve">GroupCap
Tuned</x:t>
        </x:is>
      </x:c>
      <x:c r="O75" s="14" t="inlineStr">
        <x:is>
          <x:t xml:space="preserve">FoodCap
v0.1</x:t>
        </x:is>
      </x:c>
      <x:c r="P75" s="14" t="inlineStr">
        <x:is>
          <x:t xml:space="preserve">FoodCap
Tuned</x:t>
        </x:is>
      </x:c>
      <x:c r="Q75" s="14" t="inlineStr">
        <x:is>
          <x:t xml:space="preserve">HousingCap
v0.1</x:t>
        </x:is>
      </x:c>
      <x:c r="R75" s="14" t="inlineStr">
        <x:is>
          <x:t xml:space="preserve">HousingCap
Tuned</x:t>
        </x:is>
      </x:c>
      <x:c r="S75" s="14" t="inlineStr">
        <x:is>
          <x:t xml:space="preserve">Territory
v0.1</x:t>
        </x:is>
      </x:c>
      <x:c r="T75" s="14" t="inlineStr">
        <x:is>
          <x:t xml:space="preserve">Territory
Tuned</x:t>
        </x:is>
      </x:c>
      <x:c r="U75" s="14" t="inlineStr">
        <x:is>
          <x:t xml:space="preserve">ClaimRadius
</x:t>
        </x:is>
      </x:c>
      <x:c r="V75" s="14" t="inlineStr">
        <x:is>
          <x:t xml:space="preserve">FertMult
v0.1</x:t>
        </x:is>
      </x:c>
      <x:c r="W75" s="14" t="inlineStr">
        <x:is>
          <x:t xml:space="preserve">FertMult
Tuned</x:t>
        </x:is>
      </x:c>
      <x:c r="X75" s="14" t="inlineStr">
        <x:is>
          <x:t xml:space="preserve">MortChild
v0.1</x:t>
        </x:is>
      </x:c>
      <x:c r="Y75" s="14" t="inlineStr">
        <x:is>
          <x:t xml:space="preserve">MortChild
Tuned</x:t>
        </x:is>
      </x:c>
      <x:c r="Z75" s="14" t="inlineStr">
        <x:is>
          <x:t xml:space="preserve">MortAdult
v0.1</x:t>
        </x:is>
      </x:c>
      <x:c r="AA75" s="14" t="inlineStr">
        <x:is>
          <x:t xml:space="preserve">MortAdult
Tuned</x:t>
        </x:is>
      </x:c>
      <x:c r="AB75" s="14" t="inlineStr">
        <x:is>
          <x:t xml:space="preserve">MortElder
v0.1</x:t>
        </x:is>
      </x:c>
      <x:c r="AC75" s="14" t="inlineStr">
        <x:is>
          <x:t xml:space="preserve">MortElder
Tuned</x:t>
        </x:is>
      </x:c>
      <x:c r="AD75" s="14" t="inlineStr">
        <x:is>
          <x:t xml:space="preserve">WinterMult
v0.1</x:t>
        </x:is>
      </x:c>
      <x:c r="AE75" s="14" t="inlineStr">
        <x:is>
          <x:t xml:space="preserve">WinterMult
Tuned</x:t>
        </x:is>
      </x:c>
      <x:c r="AF75" s="14" t="inlineStr">
        <x:is>
          <x:t xml:space="preserve">ElderRolePerSett
</x:t>
        </x:is>
      </x:c>
      <x:c r="AG75" s="14" t="inlineStr">
        <x:is>
          <x:t xml:space="preserve">ShamanPerSett
</x:t>
        </x:is>
      </x:c>
      <x:c r="AH75" s="14" t="inlineStr">
        <x:is>
          <x:t xml:space="preserve">PriestShare
</x:t>
        </x:is>
      </x:c>
      <x:c r="AI75" s="14" t="inlineStr">
        <x:is>
          <x:t xml:space="preserve">ScribeShare
</x:t>
        </x:is>
      </x:c>
      <x:c r="AJ75" s="14" t="inlineStr">
        <x:is>
          <x:t xml:space="preserve">ScholarShare
</x:t>
        </x:is>
      </x:c>
      <x:c r="AK75" s="14" t="inlineStr">
        <x:is>
          <x:t xml:space="preserve">ResearcherShare
</x:t>
        </x:is>
      </x:c>
      <x:c r="AL75" s="14" t="inlineStr">
        <x:is>
          <x:t xml:space="preserve">MonasteryPerSett
</x:t>
        </x:is>
      </x:c>
    </x:row>
    <x:row r="76">
      <x:c r="A76" t="inlineStr">
        <x:is>
          <x:t xml:space="preserve">E0 Dawn</x:t>
        </x:is>
      </x:c>
      <x:c r="B76" s="18" t="n">
        <x:v>20</x:v>
      </x:c>
      <x:c r="C76" s="19" t="n">
        <x:v>22</x:v>
      </x:c>
      <x:c r="D76" s="18" t="n">
        <x:v>13</x:v>
      </x:c>
      <x:c r="E76" s="19" t="n">
        <x:v>13</x:v>
      </x:c>
      <x:c r="F76" s="16" t="n">
        <x:v>1</x:v>
      </x:c>
      <x:c r="G76" s="16" t="n">
        <x:v>7</x:v>
      </x:c>
      <x:c r="H76" s="16" t="n">
        <x:v>9</x:v>
      </x:c>
      <x:c r="I76" s="16" t="n">
        <x:v>13</x:v>
      </x:c>
      <x:c r="J76" s="16" t="n">
        <x:v>16</x:v>
      </x:c>
      <x:c r="K76" s="18" t="n">
        <x:v>1</x:v>
      </x:c>
      <x:c r="L76" s="19" t="n">
        <x:v>1</x:v>
      </x:c>
      <x:c r="M76" s="18" t="n">
        <x:v>35</x:v>
      </x:c>
      <x:c r="N76" s="19" t="n">
        <x:v>25</x:v>
      </x:c>
      <x:c r="O76" s="18" t="n">
        <x:v>22</x:v>
      </x:c>
      <x:c r="P76" s="19" t="n">
        <x:v>20</x:v>
      </x:c>
      <x:c r="Q76" s="18" t="n">
        <x:v>60</x:v>
      </x:c>
      <x:c r="R76" s="19" t="n">
        <x:v>40</x:v>
      </x:c>
      <x:c r="S76" s="18" t="n">
        <x:v>60</x:v>
      </x:c>
      <x:c r="T76" s="19" t="n">
        <x:v>60</x:v>
      </x:c>
      <x:c r="U76" s="16" t="n">
        <x:v>2</x:v>
      </x:c>
      <x:c r="V76" s="18" t="n">
        <x:v>1</x:v>
      </x:c>
      <x:c r="W76" s="19" t="n">
        <x:v>1</x:v>
      </x:c>
      <x:c r="X76" s="20" t="n">
        <x:v>0.04</x:v>
      </x:c>
      <x:c r="Y76" s="21" t="n">
        <x:v>0.036</x:v>
      </x:c>
      <x:c r="Z76" s="20" t="n">
        <x:v>0.015</x:v>
      </x:c>
      <x:c r="AA76" s="21" t="n">
        <x:v>0.012</x:v>
      </x:c>
      <x:c r="AB76" s="20" t="n">
        <x:v>0.1</x:v>
      </x:c>
      <x:c r="AC76" s="21" t="n">
        <x:v>0.053</x:v>
      </x:c>
      <x:c r="AD76" s="18" t="n">
        <x:v>2</x:v>
      </x:c>
      <x:c r="AE76" s="19" t="n">
        <x:v>2</x:v>
      </x:c>
      <x:c r="AF76" s="16" t="n">
        <x:v>0</x:v>
      </x:c>
      <x:c r="AG76" s="16" t="n">
        <x:v>0</x:v>
      </x:c>
      <x:c r="AH76" s="16" t="n">
        <x:v>0</x:v>
      </x:c>
      <x:c r="AI76" s="16" t="n">
        <x:v>0</x:v>
      </x:c>
      <x:c r="AJ76" s="16" t="n">
        <x:v>0</x:v>
      </x:c>
      <x:c r="AK76" s="16" t="n">
        <x:v>0</x:v>
      </x:c>
      <x:c r="AL76" s="16" t="n">
        <x:v>0</x:v>
      </x:c>
    </x:row>
    <x:row r="77">
      <x:c r="A77" t="inlineStr">
        <x:is>
          <x:t xml:space="preserve">E1 Hunters</x:t>
        </x:is>
      </x:c>
      <x:c r="B77" s="18" t="n">
        <x:v>50</x:v>
      </x:c>
      <x:c r="C77" s="19" t="n">
        <x:v>50</x:v>
      </x:c>
      <x:c r="D77" s="18" t="n">
        <x:v>14</x:v>
      </x:c>
      <x:c r="E77" s="19" t="n">
        <x:v>14</x:v>
      </x:c>
      <x:c r="F77" s="16" t="n">
        <x:v>1</x:v>
      </x:c>
      <x:c r="G77" s="16" t="n">
        <x:v>9</x:v>
      </x:c>
      <x:c r="H77" s="16" t="n">
        <x:v>11</x:v>
      </x:c>
      <x:c r="I77" s="16" t="n">
        <x:v>14</x:v>
      </x:c>
      <x:c r="J77" s="16" t="n">
        <x:v>17</x:v>
      </x:c>
      <x:c r="K77" s="18" t="n">
        <x:v>1</x:v>
      </x:c>
      <x:c r="L77" s="19" t="n">
        <x:v>1</x:v>
      </x:c>
      <x:c r="M77" s="18" t="n">
        <x:v>100</x:v>
      </x:c>
      <x:c r="N77" s="19" t="n">
        <x:v>25</x:v>
      </x:c>
      <x:c r="O77" s="18" t="n">
        <x:v>30</x:v>
      </x:c>
      <x:c r="P77" s="19" t="n">
        <x:v>20</x:v>
      </x:c>
      <x:c r="Q77" s="18" t="n">
        <x:v>60</x:v>
      </x:c>
      <x:c r="R77" s="19" t="n">
        <x:v>40</x:v>
      </x:c>
      <x:c r="S77" s="18" t="n">
        <x:v>200</x:v>
      </x:c>
      <x:c r="T77" s="19" t="n">
        <x:v>200</x:v>
      </x:c>
      <x:c r="U77" s="16" t="n">
        <x:v>3</x:v>
      </x:c>
      <x:c r="V77" s="18" t="n">
        <x:v>1.25</x:v>
      </x:c>
      <x:c r="W77" s="19" t="n">
        <x:v>1.15</x:v>
      </x:c>
      <x:c r="X77" s="20" t="n">
        <x:v>0.035</x:v>
      </x:c>
      <x:c r="Y77" s="21" t="n">
        <x:v>0.033</x:v>
      </x:c>
      <x:c r="Z77" s="20" t="n">
        <x:v>0.013</x:v>
      </x:c>
      <x:c r="AA77" s="21" t="n">
        <x:v>0.011</x:v>
      </x:c>
      <x:c r="AB77" s="20" t="n">
        <x:v>0.08</x:v>
      </x:c>
      <x:c r="AC77" s="21" t="n">
        <x:v>0.053</x:v>
      </x:c>
      <x:c r="AD77" s="18" t="n">
        <x:v>1.6</x:v>
      </x:c>
      <x:c r="AE77" s="19" t="n">
        <x:v>1.7</x:v>
      </x:c>
      <x:c r="AF77" s="22" t="n">
        <x:v>0.5</x:v>
      </x:c>
      <x:c r="AG77" s="22" t="n">
        <x:v>0.5</x:v>
      </x:c>
      <x:c r="AH77" s="16" t="n">
        <x:v>0</x:v>
      </x:c>
      <x:c r="AI77" s="16" t="n">
        <x:v>0</x:v>
      </x:c>
      <x:c r="AJ77" s="16" t="n">
        <x:v>0</x:v>
      </x:c>
      <x:c r="AK77" s="16" t="n">
        <x:v>0</x:v>
      </x:c>
      <x:c r="AL77" s="16" t="n">
        <x:v>0</x:v>
      </x:c>
    </x:row>
    <x:row r="78">
      <x:c r="A78" t="inlineStr">
        <x:is>
          <x:t xml:space="preserve">E2 Roots</x:t>
        </x:is>
      </x:c>
      <x:c r="B78" s="18" t="n">
        <x:v>125</x:v>
      </x:c>
      <x:c r="C78" s="19" t="n">
        <x:v>100</x:v>
      </x:c>
      <x:c r="D78" s="18" t="n">
        <x:v>20</x:v>
      </x:c>
      <x:c r="E78" s="19" t="n">
        <x:v>20</x:v>
      </x:c>
      <x:c r="F78" s="16" t="n">
        <x:v>1</x:v>
      </x:c>
      <x:c r="G78" s="16" t="n">
        <x:v>11</x:v>
      </x:c>
      <x:c r="H78" s="16" t="n">
        <x:v>13</x:v>
      </x:c>
      <x:c r="I78" s="16" t="n">
        <x:v>20</x:v>
      </x:c>
      <x:c r="J78" s="16" t="n">
        <x:v>23</x:v>
      </x:c>
      <x:c r="K78" s="18" t="n">
        <x:v>2</x:v>
      </x:c>
      <x:c r="L78" s="19" t="n">
        <x:v>1</x:v>
      </x:c>
      <x:c r="M78" s="18" t="n">
        <x:v>500</x:v>
      </x:c>
      <x:c r="N78" s="19" t="n">
        <x:v>25</x:v>
      </x:c>
      <x:c r="O78" s="18" t="n">
        <x:v>60</x:v>
      </x:c>
      <x:c r="P78" s="19" t="n">
        <x:v>20</x:v>
      </x:c>
      <x:c r="Q78" s="18" t="n">
        <x:v>100</x:v>
      </x:c>
      <x:c r="R78" s="19" t="n">
        <x:v>40</x:v>
      </x:c>
      <x:c r="S78" s="18" t="n">
        <x:v>500</x:v>
      </x:c>
      <x:c r="T78" s="19" t="n">
        <x:v>500</x:v>
      </x:c>
      <x:c r="U78" s="16" t="n">
        <x:v>3</x:v>
      </x:c>
      <x:c r="V78" s="18" t="n">
        <x:v>1.35</x:v>
      </x:c>
      <x:c r="W78" s="19" t="n">
        <x:v>1.3</x:v>
      </x:c>
      <x:c r="X78" s="20" t="n">
        <x:v>0.035</x:v>
      </x:c>
      <x:c r="Y78" s="21" t="n">
        <x:v>0.035</x:v>
      </x:c>
      <x:c r="Z78" s="20" t="n">
        <x:v>0.012</x:v>
      </x:c>
      <x:c r="AA78" s="21" t="n">
        <x:v>0.012</x:v>
      </x:c>
      <x:c r="AB78" s="20" t="n">
        <x:v>0.07000000000000001</x:v>
      </x:c>
      <x:c r="AC78" s="21" t="n">
        <x:v>0.057</x:v>
      </x:c>
      <x:c r="AD78" s="18" t="n">
        <x:v>1.3</x:v>
      </x:c>
      <x:c r="AE78" s="19" t="n">
        <x:v>1.4</x:v>
      </x:c>
      <x:c r="AF78" s="16" t="n">
        <x:v>1</x:v>
      </x:c>
      <x:c r="AG78" s="16" t="n">
        <x:v>1</x:v>
      </x:c>
      <x:c r="AH78" s="16" t="n">
        <x:v>0</x:v>
      </x:c>
      <x:c r="AI78" s="16" t="n">
        <x:v>0</x:v>
      </x:c>
      <x:c r="AJ78" s="16" t="n">
        <x:v>0</x:v>
      </x:c>
      <x:c r="AK78" s="16" t="n">
        <x:v>0</x:v>
      </x:c>
      <x:c r="AL78" s="16" t="n">
        <x:v>0</x:v>
      </x:c>
    </x:row>
    <x:row r="79">
      <x:c r="A79" t="inlineStr">
        <x:is>
          <x:t xml:space="preserve">E3 Bronze</x:t>
        </x:is>
      </x:c>
      <x:c r="B79" s="18" t="n">
        <x:v>300</x:v>
      </x:c>
      <x:c r="C79" s="19" t="n">
        <x:v>160</x:v>
      </x:c>
      <x:c r="D79" s="18" t="n">
        <x:v>22</x:v>
      </x:c>
      <x:c r="E79" s="19" t="n">
        <x:v>21</x:v>
      </x:c>
      <x:c r="F79" s="16" t="n">
        <x:v>1</x:v>
      </x:c>
      <x:c r="G79" s="16" t="n">
        <x:v>12</x:v>
      </x:c>
      <x:c r="H79" s="16" t="n">
        <x:v>14</x:v>
      </x:c>
      <x:c r="I79" s="16" t="n">
        <x:v>22</x:v>
      </x:c>
      <x:c r="J79" s="16" t="n">
        <x:v>25</x:v>
      </x:c>
      <x:c r="K79" s="18" t="n">
        <x:v>5</x:v>
      </x:c>
      <x:c r="L79" s="19" t="n">
        <x:v>1</x:v>
      </x:c>
      <x:c r="M79" s="23" t="n">
        <x:v>5000</x:v>
      </x:c>
      <x:c r="N79" s="19" t="n">
        <x:v>25</x:v>
      </x:c>
      <x:c r="O79" s="18" t="n">
        <x:v>120</x:v>
      </x:c>
      <x:c r="P79" s="19" t="n">
        <x:v>20</x:v>
      </x:c>
      <x:c r="Q79" s="18" t="n">
        <x:v>200</x:v>
      </x:c>
      <x:c r="R79" s="19" t="n">
        <x:v>40</x:v>
      </x:c>
      <x:c r="S79" s="18" t="n">
        <x:v>900</x:v>
      </x:c>
      <x:c r="T79" s="19" t="n">
        <x:v>900</x:v>
      </x:c>
      <x:c r="U79" s="16" t="n">
        <x:v>4</x:v>
      </x:c>
      <x:c r="V79" s="18" t="n">
        <x:v>1.3</x:v>
      </x:c>
      <x:c r="W79" s="19" t="n">
        <x:v>1.25</x:v>
      </x:c>
      <x:c r="X79" s="20" t="n">
        <x:v>0.03</x:v>
      </x:c>
      <x:c r="Y79" s="21" t="n">
        <x:v>0.034</x:v>
      </x:c>
      <x:c r="Z79" s="20" t="n">
        <x:v>0.011</x:v>
      </x:c>
      <x:c r="AA79" s="21" t="n">
        <x:v>0.011</x:v>
      </x:c>
      <x:c r="AB79" s="20" t="n">
        <x:v>0.065</x:v>
      </x:c>
      <x:c r="AC79" s="21" t="n">
        <x:v>0.055</x:v>
      </x:c>
      <x:c r="AD79" s="18" t="n">
        <x:v>1.15</x:v>
      </x:c>
      <x:c r="AE79" s="19" t="n">
        <x:v>1.25</x:v>
      </x:c>
      <x:c r="AF79" s="16" t="n">
        <x:v>1</x:v>
      </x:c>
      <x:c r="AG79" s="16" t="n">
        <x:v>1</x:v>
      </x:c>
      <x:c r="AH79" s="24" t="n">
        <x:v>0.002</x:v>
      </x:c>
      <x:c r="AI79" s="24" t="n">
        <x:v>0.001</x:v>
      </x:c>
      <x:c r="AJ79" s="16" t="n">
        <x:v>0</x:v>
      </x:c>
      <x:c r="AK79" s="16" t="n">
        <x:v>0</x:v>
      </x:c>
      <x:c r="AL79" s="16" t="n">
        <x:v>0</x:v>
      </x:c>
    </x:row>
    <x:row r="80">
      <x:c r="A80" t="inlineStr">
        <x:is>
          <x:t xml:space="preserve">E4 Iron</x:t>
        </x:is>
      </x:c>
      <x:c r="B80" s="18" t="n">
        <x:v>750</x:v>
      </x:c>
      <x:c r="C80" s="19" t="n">
        <x:v>660</x:v>
      </x:c>
      <x:c r="D80" s="18" t="n">
        <x:v>21</x:v>
      </x:c>
      <x:c r="E80" s="19" t="n">
        <x:v>21</x:v>
      </x:c>
      <x:c r="F80" s="16" t="n">
        <x:v>1</x:v>
      </x:c>
      <x:c r="G80" s="16" t="n">
        <x:v>14</x:v>
      </x:c>
      <x:c r="H80" s="16" t="n">
        <x:v>16</x:v>
      </x:c>
      <x:c r="I80" s="16" t="n">
        <x:v>21</x:v>
      </x:c>
      <x:c r="J80" s="16" t="n">
        <x:v>24</x:v>
      </x:c>
      <x:c r="K80" s="18" t="n">
        <x:v>10</x:v>
      </x:c>
      <x:c r="L80" s="19" t="n">
        <x:v>2</x:v>
      </x:c>
      <x:c r="M80" s="23" t="n">
        <x:v>10000</x:v>
      </x:c>
      <x:c r="N80" s="19" t="n">
        <x:v>25</x:v>
      </x:c>
      <x:c r="O80" s="18" t="n">
        <x:v>250</x:v>
      </x:c>
      <x:c r="P80" s="19" t="n">
        <x:v>20</x:v>
      </x:c>
      <x:c r="Q80" s="18" t="n">
        <x:v>400</x:v>
      </x:c>
      <x:c r="R80" s="19" t="n">
        <x:v>40</x:v>
      </x:c>
      <x:c r="S80" s="23" t="n">
        <x:v>1400</x:v>
      </x:c>
      <x:c r="T80" s="25" t="n">
        <x:v>1400</x:v>
      </x:c>
      <x:c r="U80" s="16" t="n">
        <x:v>5</x:v>
      </x:c>
      <x:c r="V80" s="18" t="n">
        <x:v>1.2</x:v>
      </x:c>
      <x:c r="W80" s="19" t="n">
        <x:v>1.2</x:v>
      </x:c>
      <x:c r="X80" s="20" t="n">
        <x:v>0.028</x:v>
      </x:c>
      <x:c r="Y80" s="21" t="n">
        <x:v>0.03</x:v>
      </x:c>
      <x:c r="Z80" s="20" t="n">
        <x:v>0.01</x:v>
      </x:c>
      <x:c r="AA80" s="21" t="n">
        <x:v>0.0105</x:v>
      </x:c>
      <x:c r="AB80" s="20" t="n">
        <x:v>0.06</x:v>
      </x:c>
      <x:c r="AC80" s="21" t="n">
        <x:v>0.053</x:v>
      </x:c>
      <x:c r="AD80" s="18" t="n">
        <x:v>1</x:v>
      </x:c>
      <x:c r="AE80" s="19" t="n">
        <x:v>1.2</x:v>
      </x:c>
      <x:c r="AF80" s="16" t="n">
        <x:v>1</x:v>
      </x:c>
      <x:c r="AG80" s="16" t="n">
        <x:v>1</x:v>
      </x:c>
      <x:c r="AH80" s="24" t="n">
        <x:v>0.004</x:v>
      </x:c>
      <x:c r="AI80" s="24" t="n">
        <x:v>0.004</x:v>
      </x:c>
      <x:c r="AJ80" s="24" t="n">
        <x:v>0.0005</x:v>
      </x:c>
      <x:c r="AK80" s="16" t="n">
        <x:v>0</x:v>
      </x:c>
      <x:c r="AL80" s="16" t="n">
        <x:v>0</x:v>
      </x:c>
    </x:row>
    <x:row r="81">
      <x:c r="A81" t="inlineStr">
        <x:is>
          <x:t xml:space="preserve">E5 Faith &amp; Fief</x:t>
        </x:is>
      </x:c>
      <x:c r="B81" s="23" t="n">
        <x:v>1900</x:v>
      </x:c>
      <x:c r="C81" s="25" t="n">
        <x:v>3750</x:v>
      </x:c>
      <x:c r="D81" s="18" t="n">
        <x:v>16</x:v>
      </x:c>
      <x:c r="E81" s="19" t="n">
        <x:v>16</x:v>
      </x:c>
      <x:c r="F81" s="16" t="n">
        <x:v>1</x:v>
      </x:c>
      <x:c r="G81" s="16" t="n">
        <x:v>16</x:v>
      </x:c>
      <x:c r="H81" s="16" t="n">
        <x:v>18</x:v>
      </x:c>
      <x:c r="I81" s="16" t="n">
        <x:v>16</x:v>
      </x:c>
      <x:c r="J81" s="16" t="n">
        <x:v>19</x:v>
      </x:c>
      <x:c r="K81" s="18" t="n">
        <x:v>25</x:v>
      </x:c>
      <x:c r="L81" s="19" t="n">
        <x:v>5</x:v>
      </x:c>
      <x:c r="M81" s="23" t="n">
        <x:v>10000</x:v>
      </x:c>
      <x:c r="N81" s="19" t="n">
        <x:v>25</x:v>
      </x:c>
      <x:c r="O81" s="18" t="n">
        <x:v>500</x:v>
      </x:c>
      <x:c r="P81" s="19" t="n">
        <x:v>20</x:v>
      </x:c>
      <x:c r="Q81" s="18" t="n">
        <x:v>800</x:v>
      </x:c>
      <x:c r="R81" s="19" t="n">
        <x:v>40</x:v>
      </x:c>
      <x:c r="S81" s="23" t="n">
        <x:v>1800</x:v>
      </x:c>
      <x:c r="T81" s="25" t="n">
        <x:v>1600</x:v>
      </x:c>
      <x:c r="U81" s="16" t="n">
        <x:v>5</x:v>
      </x:c>
      <x:c r="V81" s="18" t="n">
        <x:v>1.1</x:v>
      </x:c>
      <x:c r="W81" s="19" t="n">
        <x:v>1.1</x:v>
      </x:c>
      <x:c r="X81" s="20" t="n">
        <x:v>0.025</x:v>
      </x:c>
      <x:c r="Y81" s="21" t="n">
        <x:v>0.029</x:v>
      </x:c>
      <x:c r="Z81" s="20" t="n">
        <x:v>0.01</x:v>
      </x:c>
      <x:c r="AA81" s="21" t="n">
        <x:v>0.0105</x:v>
      </x:c>
      <x:c r="AB81" s="20" t="n">
        <x:v>0.06</x:v>
      </x:c>
      <x:c r="AC81" s="21" t="n">
        <x:v>0.051</x:v>
      </x:c>
      <x:c r="AD81" s="18" t="n">
        <x:v>1</x:v>
      </x:c>
      <x:c r="AE81" s="19" t="n">
        <x:v>1.15</x:v>
      </x:c>
      <x:c r="AF81" s="16" t="n">
        <x:v>1</x:v>
      </x:c>
      <x:c r="AG81" s="16" t="n">
        <x:v>1</x:v>
      </x:c>
      <x:c r="AH81" s="24" t="n">
        <x:v>0.005</x:v>
      </x:c>
      <x:c r="AI81" s="24" t="n">
        <x:v>0.007</x:v>
      </x:c>
      <x:c r="AJ81" s="24" t="n">
        <x:v>0.002</x:v>
      </x:c>
      <x:c r="AK81" s="16" t="n">
        <x:v>0</x:v>
      </x:c>
      <x:c r="AL81" s="22" t="n">
        <x:v>0.15</x:v>
      </x:c>
    </x:row>
    <x:row r="82">
      <x:c r="A82" t="inlineStr">
        <x:is>
          <x:t xml:space="preserve">E6 Discovery</x:t>
        </x:is>
      </x:c>
      <x:c r="B82" s="23" t="n">
        <x:v>4700</x:v>
      </x:c>
      <x:c r="C82" s="25" t="n">
        <x:v>19500</x:v>
      </x:c>
      <x:c r="D82" s="18" t="n">
        <x:v>14</x:v>
      </x:c>
      <x:c r="E82" s="19" t="n">
        <x:v>14</x:v>
      </x:c>
      <x:c r="F82" s="16" t="n">
        <x:v>1</x:v>
      </x:c>
      <x:c r="G82" s="16" t="n">
        <x:v>18</x:v>
      </x:c>
      <x:c r="H82" s="16" t="n">
        <x:v>20</x:v>
      </x:c>
      <x:c r="I82" s="16" t="n">
        <x:v>14</x:v>
      </x:c>
      <x:c r="J82" s="16" t="n">
        <x:v>17</x:v>
      </x:c>
      <x:c r="K82" s="18" t="n">
        <x:v>50</x:v>
      </x:c>
      <x:c r="L82" s="19" t="n">
        <x:v>25</x:v>
      </x:c>
      <x:c r="M82" s="23" t="n">
        <x:v>1000000</x:v>
      </x:c>
      <x:c r="N82" s="19" t="n">
        <x:v>25</x:v>
      </x:c>
      <x:c r="O82" s="23" t="n">
        <x:v>1000</x:v>
      </x:c>
      <x:c r="P82" s="19" t="n">
        <x:v>20</x:v>
      </x:c>
      <x:c r="Q82" s="23" t="n">
        <x:v>1600</x:v>
      </x:c>
      <x:c r="R82" s="19" t="n">
        <x:v>40</x:v>
      </x:c>
      <x:c r="S82" s="23" t="n">
        <x:v>2200</x:v>
      </x:c>
      <x:c r="T82" s="25" t="n">
        <x:v>1600</x:v>
      </x:c>
      <x:c r="U82" s="16" t="n">
        <x:v>5</x:v>
      </x:c>
      <x:c r="V82" s="18" t="n">
        <x:v>1.05</x:v>
      </x:c>
      <x:c r="W82" s="19" t="n">
        <x:v>1.1</x:v>
      </x:c>
      <x:c r="X82" s="20" t="n">
        <x:v>0.022</x:v>
      </x:c>
      <x:c r="Y82" s="21" t="n">
        <x:v>0.025</x:v>
      </x:c>
      <x:c r="Z82" s="20" t="n">
        <x:v>0.008999999999999999</x:v>
      </x:c>
      <x:c r="AA82" s="21" t="n">
        <x:v>0.0095</x:v>
      </x:c>
      <x:c r="AB82" s="20" t="n">
        <x:v>0.055</x:v>
      </x:c>
      <x:c r="AC82" s="21" t="n">
        <x:v>0.049</x:v>
      </x:c>
      <x:c r="AD82" s="18" t="n">
        <x:v>1</x:v>
      </x:c>
      <x:c r="AE82" s="19" t="n">
        <x:v>1.1</x:v>
      </x:c>
      <x:c r="AF82" s="16" t="n">
        <x:v>1</x:v>
      </x:c>
      <x:c r="AG82" s="16" t="n">
        <x:v>1</x:v>
      </x:c>
      <x:c r="AH82" s="24" t="n">
        <x:v>0.005</x:v>
      </x:c>
      <x:c r="AI82" s="24" t="n">
        <x:v>0.008999999999999999</x:v>
      </x:c>
      <x:c r="AJ82" s="24" t="n">
        <x:v>0.005</x:v>
      </x:c>
      <x:c r="AK82" s="16" t="n">
        <x:v>0</x:v>
      </x:c>
      <x:c r="AL82" s="22" t="n">
        <x:v>0.3</x:v>
      </x:c>
    </x:row>
    <x:row r="83">
      <x:c r="A83" t="inlineStr">
        <x:is>
          <x:t xml:space="preserve">E7 Industry</x:t>
        </x:is>
      </x:c>
      <x:c r="B83" s="23" t="n">
        <x:v>12000</x:v>
      </x:c>
      <x:c r="C83" s="25" t="n">
        <x:v>175000</x:v>
      </x:c>
      <x:c r="D83" s="18" t="n">
        <x:v>14</x:v>
      </x:c>
      <x:c r="E83" s="19" t="n">
        <x:v>14</x:v>
      </x:c>
      <x:c r="F83" s="22" t="n">
        <x:v>0.9</x:v>
      </x:c>
      <x:c r="G83" s="16" t="n">
        <x:v>22</x:v>
      </x:c>
      <x:c r="H83" s="16" t="n">
        <x:v>24</x:v>
      </x:c>
      <x:c r="I83" s="16" t="n">
        <x:v>14</x:v>
      </x:c>
      <x:c r="J83" s="16" t="n">
        <x:v>17</x:v>
      </x:c>
      <x:c r="K83" s="18" t="n">
        <x:v>100</x:v>
      </x:c>
      <x:c r="L83" s="19" t="n">
        <x:v>100</x:v>
      </x:c>
      <x:c r="M83" s="23" t="n">
        <x:v>1000000</x:v>
      </x:c>
      <x:c r="N83" s="19" t="n">
        <x:v>25</x:v>
      </x:c>
      <x:c r="O83" s="23" t="n">
        <x:v>2500</x:v>
      </x:c>
      <x:c r="P83" s="19" t="n">
        <x:v>20</x:v>
      </x:c>
      <x:c r="Q83" s="23" t="n">
        <x:v>4000</x:v>
      </x:c>
      <x:c r="R83" s="19" t="n">
        <x:v>40</x:v>
      </x:c>
      <x:c r="S83" s="23" t="n">
        <x:v>2400</x:v>
      </x:c>
      <x:c r="T83" s="25" t="n">
        <x:v>1600</x:v>
      </x:c>
      <x:c r="U83" s="16" t="n">
        <x:v>7</x:v>
      </x:c>
      <x:c r="V83" s="18" t="n">
        <x:v>1</x:v>
      </x:c>
      <x:c r="W83" s="19" t="n">
        <x:v>1</x:v>
      </x:c>
      <x:c r="X83" s="20" t="n">
        <x:v>0.015</x:v>
      </x:c>
      <x:c r="Y83" s="21" t="n">
        <x:v>0.017</x:v>
      </x:c>
      <x:c r="Z83" s="20" t="n">
        <x:v>0.007</x:v>
      </x:c>
      <x:c r="AA83" s="21" t="n">
        <x:v>0.0078</x:v>
      </x:c>
      <x:c r="AB83" s="20" t="n">
        <x:v>0.05</x:v>
      </x:c>
      <x:c r="AC83" s="21" t="n">
        <x:v>0.043</x:v>
      </x:c>
      <x:c r="AD83" s="18" t="n">
        <x:v>1</x:v>
      </x:c>
      <x:c r="AE83" s="19" t="n">
        <x:v>1.08</x:v>
      </x:c>
      <x:c r="AF83" s="16" t="n">
        <x:v>1</x:v>
      </x:c>
      <x:c r="AG83" s="16" t="n">
        <x:v>1</x:v>
      </x:c>
      <x:c r="AH83" s="24" t="n">
        <x:v>0.004</x:v>
      </x:c>
      <x:c r="AI83" s="24" t="n">
        <x:v>0.01</x:v>
      </x:c>
      <x:c r="AJ83" s="24" t="n">
        <x:v>0.008999999999999999</x:v>
      </x:c>
      <x:c r="AK83" s="16" t="n">
        <x:v>0</x:v>
      </x:c>
      <x:c r="AL83" s="22" t="n">
        <x:v>0.3</x:v>
      </x:c>
    </x:row>
    <x:row r="84">
      <x:c r="A84" t="inlineStr">
        <x:is>
          <x:t xml:space="preserve">E8 Modern</x:t>
        </x:is>
      </x:c>
      <x:c r="B84" s="23" t="n">
        <x:v>30000</x:v>
      </x:c>
      <x:c r="C84" s="25" t="n">
        <x:v>1050000</x:v>
      </x:c>
      <x:c r="D84" s="18" t="n">
        <x:v>18</x:v>
      </x:c>
      <x:c r="E84" s="19" t="n">
        <x:v>18</x:v>
      </x:c>
      <x:c r="F84" s="22" t="n">
        <x:v>0.9</x:v>
      </x:c>
      <x:c r="G84" s="16" t="n">
        <x:v>26</x:v>
      </x:c>
      <x:c r="H84" s="16" t="n">
        <x:v>28</x:v>
      </x:c>
      <x:c r="I84" s="16" t="n">
        <x:v>18</x:v>
      </x:c>
      <x:c r="J84" s="16" t="n">
        <x:v>21</x:v>
      </x:c>
      <x:c r="K84" s="18" t="n">
        <x:v>250</x:v>
      </x:c>
      <x:c r="L84" s="19" t="n">
        <x:v>250</x:v>
      </x:c>
      <x:c r="M84" s="23" t="n">
        <x:v>1000000</x:v>
      </x:c>
      <x:c r="N84" s="19" t="n">
        <x:v>25</x:v>
      </x:c>
      <x:c r="O84" s="23" t="n">
        <x:v>6000</x:v>
      </x:c>
      <x:c r="P84" s="19" t="n">
        <x:v>20</x:v>
      </x:c>
      <x:c r="Q84" s="23" t="n">
        <x:v>10000</x:v>
      </x:c>
      <x:c r="R84" s="19" t="n">
        <x:v>40</x:v>
      </x:c>
      <x:c r="S84" s="23" t="n">
        <x:v>2500</x:v>
      </x:c>
      <x:c r="T84" s="25" t="n">
        <x:v>1600</x:v>
      </x:c>
      <x:c r="U84" s="16" t="n">
        <x:v>9</x:v>
      </x:c>
      <x:c r="V84" s="26" t="n">
        <x:v>0.75</x:v>
      </x:c>
      <x:c r="W84" s="27" t="n">
        <x:v>0.55</x:v>
      </x:c>
      <x:c r="X84" s="20" t="n">
        <x:v>0.006</x:v>
      </x:c>
      <x:c r="Y84" s="21" t="n">
        <x:v>0.0045</x:v>
      </x:c>
      <x:c r="Z84" s="20" t="n">
        <x:v>0.004</x:v>
      </x:c>
      <x:c r="AA84" s="21" t="n">
        <x:v>0.003</x:v>
      </x:c>
      <x:c r="AB84" s="20" t="n">
        <x:v>0.035</x:v>
      </x:c>
      <x:c r="AC84" s="21" t="n">
        <x:v>0.033</x:v>
      </x:c>
      <x:c r="AD84" s="18" t="n">
        <x:v>1</x:v>
      </x:c>
      <x:c r="AE84" s="19" t="n">
        <x:v>1.05</x:v>
      </x:c>
      <x:c r="AF84" s="16" t="n">
        <x:v>1</x:v>
      </x:c>
      <x:c r="AG84" s="16" t="n">
        <x:v>1</x:v>
      </x:c>
      <x:c r="AH84" s="24" t="n">
        <x:v>0.003</x:v>
      </x:c>
      <x:c r="AI84" s="24" t="n">
        <x:v>0.01</x:v>
      </x:c>
      <x:c r="AJ84" s="24" t="n">
        <x:v>0.014</x:v>
      </x:c>
      <x:c r="AK84" s="24" t="n">
        <x:v>0.001</x:v>
      </x:c>
      <x:c r="AL84" s="22" t="n">
        <x:v>0.2</x:v>
      </x:c>
    </x:row>
    <x:row r="85">
      <x:c r="A85" t="inlineStr">
        <x:is>
          <x:t xml:space="preserve">E9 Information</x:t>
        </x:is>
      </x:c>
      <x:c r="B85" s="23" t="n">
        <x:v>75000</x:v>
      </x:c>
      <x:c r="C85" s="25" t="n">
        <x:v>5500000</x:v>
      </x:c>
      <x:c r="D85" s="18" t="n">
        <x:v>17</x:v>
      </x:c>
      <x:c r="E85" s="19" t="n">
        <x:v>17</x:v>
      </x:c>
      <x:c r="F85" s="22" t="n">
        <x:v>0.9</x:v>
      </x:c>
      <x:c r="G85" s="16" t="n">
        <x:v>28</x:v>
      </x:c>
      <x:c r="H85" s="16" t="n">
        <x:v>32</x:v>
      </x:c>
      <x:c r="I85" s="16" t="n">
        <x:v>17</x:v>
      </x:c>
      <x:c r="J85" s="16" t="n">
        <x:v>20</x:v>
      </x:c>
      <x:c r="K85" s="18" t="n">
        <x:v>500</x:v>
      </x:c>
      <x:c r="L85" s="19" t="n">
        <x:v>500</x:v>
      </x:c>
      <x:c r="M85" s="23" t="n">
        <x:v>1000000</x:v>
      </x:c>
      <x:c r="N85" s="19" t="n">
        <x:v>25</x:v>
      </x:c>
      <x:c r="O85" s="23" t="n">
        <x:v>12000</x:v>
      </x:c>
      <x:c r="P85" s="19" t="n">
        <x:v>20</x:v>
      </x:c>
      <x:c r="Q85" s="23" t="n">
        <x:v>20000</x:v>
      </x:c>
      <x:c r="R85" s="19" t="n">
        <x:v>40</x:v>
      </x:c>
      <x:c r="S85" s="23" t="n">
        <x:v>2500</x:v>
      </x:c>
      <x:c r="T85" s="25" t="n">
        <x:v>1600</x:v>
      </x:c>
      <x:c r="U85" s="16" t="n">
        <x:v>9</x:v>
      </x:c>
      <x:c r="V85" s="26" t="n">
        <x:v>0.55</x:v>
      </x:c>
      <x:c r="W85" s="27" t="n">
        <x:v>0.35</x:v>
      </x:c>
      <x:c r="X85" s="20" t="n">
        <x:v>0.003</x:v>
      </x:c>
      <x:c r="Y85" s="21" t="n">
        <x:v>0.0009</x:v>
      </x:c>
      <x:c r="Z85" s="20" t="n">
        <x:v>0.0025</x:v>
      </x:c>
      <x:c r="AA85" s="21" t="n">
        <x:v>0.0015</x:v>
      </x:c>
      <x:c r="AB85" s="20" t="n">
        <x:v>0.025</x:v>
      </x:c>
      <x:c r="AC85" s="21" t="n">
        <x:v>0.027</x:v>
      </x:c>
      <x:c r="AD85" s="18" t="n">
        <x:v>1</x:v>
      </x:c>
      <x:c r="AE85" s="19" t="n">
        <x:v>1.05</x:v>
      </x:c>
      <x:c r="AF85" s="16" t="n">
        <x:v>1</x:v>
      </x:c>
      <x:c r="AG85" s="16" t="n">
        <x:v>1</x:v>
      </x:c>
      <x:c r="AH85" s="24" t="n">
        <x:v>0.002</x:v>
      </x:c>
      <x:c r="AI85" s="24" t="n">
        <x:v>0.01</x:v>
      </x:c>
      <x:c r="AJ85" s="24" t="n">
        <x:v>0.02</x:v>
      </x:c>
      <x:c r="AK85" s="24" t="n">
        <x:v>0.005</x:v>
      </x:c>
      <x:c r="AL85" s="22" t="n">
        <x:v>0.1</x:v>
      </x:c>
    </x:row>
    <x:row r="87">
      <x:c r="A87" t="inlineStr">
        <x:is>
          <x:t xml:space="preserve">EraBase, BreadthN: 02 §8.3 / §13. CostMod: INQ-08 Scientific Method (all costs −10%) from E7. Targets: 02 §8.3 pacing table.</x:t>
        </x:is>
      </x:c>
    </x:row>
    <x:row r="88">
      <x:c r="A88" t="inlineStr">
        <x:is>
          <x:t xml:space="preserve">RepScale: representation scale (01 §8, 05 §5.2); Tuned follows modeled population so rendered figures stay ≤ 600 (07 §F6).</x:t>
        </x:is>
      </x:c>
    </x:row>
    <x:row r="89">
      <x:c r="A89" t="inlineStr">
        <x:is>
          <x:t xml:space="preserve">FoodCap / HousingCap / GroupCap: v0.1 = one value per era (WS-A placeholders). Tuned = the start value in every row; the Caps sheet raises it project by project (09 §5).</x:t>
        </x:is>
      </x:c>
    </x:row>
    <x:row r="90">
      <x:c r="A90" t="inlineStr">
        <x:is>
          <x:t xml:space="preserve">Territory: 09 §8.2 (leader's reachable land on the 160×100 map). ClaimRadius: WS-F (unchanged).</x:t>
        </x:is>
      </x:c>
    </x:row>
    <x:row r="91">
      <x:c r="A91" t="inlineStr">
        <x:is>
          <x:t xml:space="preserve">FertMult, MortChild/Adult/Elder (annual hazards outside winter) and WinterMult: tuned = 09 §3–4 (life-table anchors and catalog drivers).</x:t>
        </x:is>
      </x:c>
    </x:row>
    <x:row r="92">
      <x:c r="A92" t="inlineStr">
        <x:is>
          <x:t xml:space="preserve">Specialist shares: share of adults in each role (Elder, Shaman, Monastery per settlement); 09 §9.</x:t>
        </x:is>
      </x:c>
    </x:row>
  </x:sheetData>
  <x:mergeCells>
    <x:mergeCell ref="A2:H2"/>
  </x:mergeCells>
  <x:dataValidations count="2">
    <x:dataValidation type="list" allowBlank="0" showDropDown="0" showInputMessage="0" showErrorMessage="0" sqref="B5">
      <x:formula1>"Standard,Quick,Epic"</x:formula1>
    </x:dataValidation>
    <x:dataValidation type="list" allowBlank="0" showDropDown="0" showInputMessage="0" showErrorMessage="0" sqref="B6">
      <x:formula1>"Balanced,Grower,Builder,Wanderer,Warlord,Sage"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26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10" customWidth="1"/>
    <x:col min="13" max="13" width="10" customWidth="1"/>
    <x:col min="14" max="14" width="10" customWidth="1"/>
    <x:col min="15" max="15" width="10" customWidth="1"/>
    <x:col min="16" max="16" width="10" customWidth="1"/>
    <x:col min="17" max="17" width="10" customWidth="1"/>
    <x:col min="18" max="18" width="10" customWidth="1"/>
    <x:col min="19" max="19" width="10" customWidth="1"/>
    <x:col min="20" max="20" width="10" customWidth="1"/>
    <x:col min="21" max="21" width="10" customWidth="1"/>
    <x:col min="22" max="22" width="10" customWidth="1"/>
    <x:col min="23" max="23" width="10" customWidth="1"/>
    <x:col min="24" max="24" width="10" customWidth="1"/>
    <x:col min="25" max="25" width="10" customWidth="1"/>
    <x:col min="26" max="26" width="10" customWidth="1"/>
  </x:cols>
  <x:sheetData>
    <x:row r="1">
      <x:c r="A1" s="5" t="inlineStr">
        <x:is>
          <x:t xml:space="preserve">Catalog — parsed from 03a/03b/03c by tools/catalog_stats.py</x:t>
        </x:is>
      </x:c>
    </x:row>
    <x:row r="2" ht="32" customHeight="1">
      <x:c r="A2" s="3" t="inlineStr">
        <x:is>
          <x:t xml:space="preserve">Grey = data parsed from the catalog docs (regenerate, don't hand-edit). Critical path = keystone closure inside the era, cheapest side of each one-of. Backfill = earlier-era closure projects not already in a previous keystone's closure.</x:t>
        </x:is>
      </x:c>
    </x:row>
    <x:row r="4" ht="45" customHeight="1">
      <x:c r="A4" s="14" t="inlineStr">
        <x:is>
          <x:t xml:space="preserve">Era</x:t>
        </x:is>
      </x:c>
      <x:c r="B4" s="14" t="inlineStr">
        <x:is>
          <x:t xml:space="preserve">Keystone</x:t>
        </x:is>
      </x:c>
      <x:c r="C4" s="14" t="inlineStr">
        <x:is>
          <x:t xml:space="preserve">Projects</x:t>
        </x:is>
      </x:c>
      <x:c r="D4" s="14" t="inlineStr">
        <x:is>
          <x:t xml:space="preserve">D</x:t>
        </x:is>
      </x:c>
      <x:c r="E4" s="14" t="inlineStr">
        <x:is>
          <x:t xml:space="preserve">M</x:t>
        </x:is>
      </x:c>
      <x:c r="F4" s="14" t="inlineStr">
        <x:is>
          <x:t xml:space="preserve">S</x:t>
        </x:is>
      </x:c>
      <x:c r="G4" s="14" t="inlineStr">
        <x:is>
          <x:t xml:space="preserve">R</x:t>
        </x:is>
      </x:c>
      <x:c r="H4" s="14" t="inlineStr">
        <x:is>
          <x:t xml:space="preserve">I</x:t>
        </x:is>
      </x:c>
      <x:c r="I4" s="14" t="inlineStr">
        <x:is>
          <x:t xml:space="preserve">W</x:t>
        </x:is>
      </x:c>
      <x:c r="J4" s="14" t="inlineStr">
        <x:is>
          <x:t xml:space="preserve">Avg TypeMult</x:t>
        </x:is>
      </x:c>
      <x:c r="K4" s="14" t="inlineStr">
        <x:is>
          <x:t xml:space="preserve">Crit path n</x:t>
        </x:is>
      </x:c>
      <x:c r="L4" s="14" t="inlineStr">
        <x:is>
          <x:t xml:space="preserve">Crit path TypeMult Σ</x:t>
        </x:is>
      </x:c>
      <x:c r="M4" s="14" t="inlineStr">
        <x:is>
          <x:t xml:space="preserve">Free-pick avg TypeMult</x:t>
        </x:is>
      </x:c>
      <x:c r="N4" s="14" t="inlineStr">
        <x:is>
          <x:t xml:space="preserve">Closure n (all eras)</x:t>
        </x:is>
      </x:c>
      <x:c r="O4" s="14" t="inlineStr">
        <x:is>
          <x:t xml:space="preserve">Forced backfills n</x:t>
        </x:is>
      </x:c>
      <x:c r="P4" s="14" t="inlineStr">
        <x:is>
          <x:t xml:space="preserve">Backfill TypeMult Σ from E0</x:t>
        </x:is>
      </x:c>
      <x:c r="Q4" s="14" t="inlineStr">
        <x:is>
          <x:t xml:space="preserve">Backfill TypeMult Σ from E1</x:t>
        </x:is>
      </x:c>
      <x:c r="R4" s="14" t="inlineStr">
        <x:is>
          <x:t xml:space="preserve">Backfill TypeMult Σ from E2</x:t>
        </x:is>
      </x:c>
      <x:c r="S4" s="14" t="inlineStr">
        <x:is>
          <x:t xml:space="preserve">Backfill TypeMult Σ from E3</x:t>
        </x:is>
      </x:c>
      <x:c r="T4" s="14" t="inlineStr">
        <x:is>
          <x:t xml:space="preserve">Backfill TypeMult Σ from E4</x:t>
        </x:is>
      </x:c>
      <x:c r="U4" s="14" t="inlineStr">
        <x:is>
          <x:t xml:space="preserve">Backfill TypeMult Σ from E5</x:t>
        </x:is>
      </x:c>
      <x:c r="V4" s="14" t="inlineStr">
        <x:is>
          <x:t xml:space="preserve">Backfill TypeMult Σ from E6</x:t>
        </x:is>
      </x:c>
      <x:c r="W4" s="14" t="inlineStr">
        <x:is>
          <x:t xml:space="preserve">Backfill TypeMult Σ from E7</x:t>
        </x:is>
      </x:c>
      <x:c r="X4" s="14" t="inlineStr">
        <x:is>
          <x:t xml:space="preserve">Backfill TypeMult Σ from E8</x:t>
        </x:is>
      </x:c>
      <x:c r="Y4" s="14" t="inlineStr">
        <x:is>
          <x:t xml:space="preserve">Backfill TypeMult Σ from E9</x:t>
        </x:is>
      </x:c>
    </x:row>
    <x:row r="5">
      <x:c r="A5" s="28" t="inlineStr">
        <x:is>
          <x:t xml:space="preserve">E0 Dawn</x:t>
        </x:is>
      </x:c>
      <x:c r="B5" s="28" t="inlineStr">
        <x:is>
          <x:t xml:space="preserve">KEY-1 Symbolic Mind</x:t>
        </x:is>
      </x:c>
      <x:c r="C5" s="28" t="n">
        <x:v>34</x:v>
      </x:c>
      <x:c r="D5" s="28" t="n">
        <x:v>12</x:v>
      </x:c>
      <x:c r="E5" s="28" t="n">
        <x:v>13</x:v>
      </x:c>
      <x:c r="F5" s="28" t="n">
        <x:v>3</x:v>
      </x:c>
      <x:c r="G5" s="28" t="n">
        <x:v>0</x:v>
      </x:c>
      <x:c r="H5" s="28" t="n">
        <x:v>6</x:v>
      </x:c>
      <x:c r="I5" s="28" t="n">
        <x:v>0</x:v>
      </x:c>
      <x:c r="J5" s="28" t="n">
        <x:v>1.1059</x:v>
      </x:c>
      <x:c r="K5" s="28" t="n">
        <x:v>11</x:v>
      </x:c>
      <x:c r="L5" s="28" t="n">
        <x:v>12</x:v>
      </x:c>
      <x:c r="M5" s="28" t="n">
        <x:v>1.113</x:v>
      </x:c>
      <x:c r="N5" s="28" t="n">
        <x:v>11</x:v>
      </x:c>
      <x:c r="O5" s="28" t="n">
        <x:v>0</x:v>
      </x:c>
      <x:c r="P5" s="28" t="n">
        <x:v>0</x:v>
      </x:c>
      <x:c r="Q5" s="28" t="n">
        <x:v>0</x:v>
      </x:c>
      <x:c r="R5" s="28" t="n">
        <x:v>0</x:v>
      </x:c>
      <x:c r="S5" s="28" t="n">
        <x:v>0</x:v>
      </x:c>
      <x:c r="T5" s="28" t="n">
        <x:v>0</x:v>
      </x:c>
      <x:c r="U5" s="28" t="n">
        <x:v>0</x:v>
      </x:c>
      <x:c r="V5" s="28" t="n">
        <x:v>0</x:v>
      </x:c>
      <x:c r="W5" s="28" t="n">
        <x:v>0</x:v>
      </x:c>
      <x:c r="X5" s="28" t="n">
        <x:v>0</x:v>
      </x:c>
      <x:c r="Y5" s="28" t="n">
        <x:v>0</x:v>
      </x:c>
    </x:row>
    <x:row r="6">
      <x:c r="A6" s="28" t="inlineStr">
        <x:is>
          <x:t xml:space="preserve">E1 Hunters</x:t>
        </x:is>
      </x:c>
      <x:c r="B6" s="28" t="inlineStr">
        <x:is>
          <x:t xml:space="preserve">KEY-2 Sedentism</x:t>
        </x:is>
      </x:c>
      <x:c r="C6" s="28" t="n">
        <x:v>59</x:v>
      </x:c>
      <x:c r="D6" s="28" t="n">
        <x:v>14</x:v>
      </x:c>
      <x:c r="E6" s="28" t="n">
        <x:v>31</x:v>
      </x:c>
      <x:c r="F6" s="28" t="n">
        <x:v>3</x:v>
      </x:c>
      <x:c r="G6" s="28" t="n">
        <x:v>2</x:v>
      </x:c>
      <x:c r="H6" s="28" t="n">
        <x:v>9</x:v>
      </x:c>
      <x:c r="I6" s="28" t="n">
        <x:v>0</x:v>
      </x:c>
      <x:c r="J6" s="28" t="n">
        <x:v>1.0797</x:v>
      </x:c>
      <x:c r="K6" s="28" t="n">
        <x:v>11</x:v>
      </x:c>
      <x:c r="L6" s="28" t="n">
        <x:v>12.1</x:v>
      </x:c>
      <x:c r="M6" s="28" t="n">
        <x:v>1.075</x:v>
      </x:c>
      <x:c r="N6" s="28" t="n">
        <x:v>28</x:v>
      </x:c>
      <x:c r="O6" s="28" t="n">
        <x:v>8</x:v>
      </x:c>
      <x:c r="P6" s="28" t="n">
        <x:v>8.4</x:v>
      </x:c>
      <x:c r="Q6" s="28" t="n">
        <x:v>0</x:v>
      </x:c>
      <x:c r="R6" s="28" t="n">
        <x:v>0</x:v>
      </x:c>
      <x:c r="S6" s="28" t="n">
        <x:v>0</x:v>
      </x:c>
      <x:c r="T6" s="28" t="n">
        <x:v>0</x:v>
      </x:c>
      <x:c r="U6" s="28" t="n">
        <x:v>0</x:v>
      </x:c>
      <x:c r="V6" s="28" t="n">
        <x:v>0</x:v>
      </x:c>
      <x:c r="W6" s="28" t="n">
        <x:v>0</x:v>
      </x:c>
      <x:c r="X6" s="28" t="n">
        <x:v>0</x:v>
      </x:c>
      <x:c r="Y6" s="28" t="n">
        <x:v>0</x:v>
      </x:c>
    </x:row>
    <x:row r="7">
      <x:c r="A7" s="28" t="inlineStr">
        <x:is>
          <x:t xml:space="preserve">E2 Roots</x:t>
        </x:is>
      </x:c>
      <x:c r="B7" s="28" t="inlineStr">
        <x:is>
          <x:t xml:space="preserve">KEY-3 Age of Metal</x:t>
        </x:is>
      </x:c>
      <x:c r="C7" s="28" t="n">
        <x:v>52</x:v>
      </x:c>
      <x:c r="D7" s="28" t="n">
        <x:v>15</x:v>
      </x:c>
      <x:c r="E7" s="28" t="n">
        <x:v>16</x:v>
      </x:c>
      <x:c r="F7" s="28" t="n">
        <x:v>7</x:v>
      </x:c>
      <x:c r="G7" s="28" t="n">
        <x:v>2</x:v>
      </x:c>
      <x:c r="H7" s="28" t="n">
        <x:v>11</x:v>
      </x:c>
      <x:c r="I7" s="28" t="n">
        <x:v>1</x:v>
      </x:c>
      <x:c r="J7" s="28" t="n">
        <x:v>1.1442</x:v>
      </x:c>
      <x:c r="K7" s="28" t="n">
        <x:v>17</x:v>
      </x:c>
      <x:c r="L7" s="28" t="n">
        <x:v>19.9</x:v>
      </x:c>
      <x:c r="M7" s="28" t="n">
        <x:v>1.1314</x:v>
      </x:c>
      <x:c r="N7" s="28" t="n">
        <x:v>70</x:v>
      </x:c>
      <x:c r="O7" s="28" t="n">
        <x:v>25</x:v>
      </x:c>
      <x:c r="P7" s="28" t="n">
        <x:v>8.5</x:v>
      </x:c>
      <x:c r="Q7" s="28" t="n">
        <x:v>20</x:v>
      </x:c>
      <x:c r="R7" s="28" t="n">
        <x:v>0</x:v>
      </x:c>
      <x:c r="S7" s="28" t="n">
        <x:v>0</x:v>
      </x:c>
      <x:c r="T7" s="28" t="n">
        <x:v>0</x:v>
      </x:c>
      <x:c r="U7" s="28" t="n">
        <x:v>0</x:v>
      </x:c>
      <x:c r="V7" s="28" t="n">
        <x:v>0</x:v>
      </x:c>
      <x:c r="W7" s="28" t="n">
        <x:v>0</x:v>
      </x:c>
      <x:c r="X7" s="28" t="n">
        <x:v>0</x:v>
      </x:c>
      <x:c r="Y7" s="28" t="n">
        <x:v>0</x:v>
      </x:c>
    </x:row>
    <x:row r="8">
      <x:c r="A8" s="28" t="inlineStr">
        <x:is>
          <x:t xml:space="preserve">E3 Bronze</x:t>
        </x:is>
      </x:c>
      <x:c r="B8" s="28" t="inlineStr">
        <x:is>
          <x:t xml:space="preserve">KEY-4 Iron &amp; Law</x:t>
        </x:is>
      </x:c>
      <x:c r="C8" s="28" t="n">
        <x:v>65</x:v>
      </x:c>
      <x:c r="D8" s="28" t="n">
        <x:v>11</x:v>
      </x:c>
      <x:c r="E8" s="28" t="n">
        <x:v>33</x:v>
      </x:c>
      <x:c r="F8" s="28" t="n">
        <x:v>7</x:v>
      </x:c>
      <x:c r="G8" s="28" t="n">
        <x:v>0</x:v>
      </x:c>
      <x:c r="H8" s="28" t="n">
        <x:v>13</x:v>
      </x:c>
      <x:c r="I8" s="28" t="n">
        <x:v>1</x:v>
      </x:c>
      <x:c r="J8" s="28" t="n">
        <x:v>1.1369</x:v>
      </x:c>
      <x:c r="K8" s="28" t="n">
        <x:v>16</x:v>
      </x:c>
      <x:c r="L8" s="28" t="n">
        <x:v>19.4</x:v>
      </x:c>
      <x:c r="M8" s="28" t="n">
        <x:v>1.1122</x:v>
      </x:c>
      <x:c r="N8" s="28" t="n">
        <x:v>104</x:v>
      </x:c>
      <x:c r="O8" s="28" t="n">
        <x:v>16</x:v>
      </x:c>
      <x:c r="P8" s="28" t="n">
        <x:v>1</x:v>
      </x:c>
      <x:c r="Q8" s="28" t="n">
        <x:v>6</x:v>
      </x:c>
      <x:c r="R8" s="28" t="n">
        <x:v>9.199999999999999</x:v>
      </x:c>
      <x:c r="S8" s="28" t="n">
        <x:v>0</x:v>
      </x:c>
      <x:c r="T8" s="28" t="n">
        <x:v>0</x:v>
      </x:c>
      <x:c r="U8" s="28" t="n">
        <x:v>0</x:v>
      </x:c>
      <x:c r="V8" s="28" t="n">
        <x:v>0</x:v>
      </x:c>
      <x:c r="W8" s="28" t="n">
        <x:v>0</x:v>
      </x:c>
      <x:c r="X8" s="28" t="n">
        <x:v>0</x:v>
      </x:c>
      <x:c r="Y8" s="28" t="n">
        <x:v>0</x:v>
      </x:c>
    </x:row>
    <x:row r="9">
      <x:c r="A9" s="28" t="inlineStr">
        <x:is>
          <x:t xml:space="preserve">E4 Iron</x:t>
        </x:is>
      </x:c>
      <x:c r="B9" s="28" t="inlineStr">
        <x:is>
          <x:t xml:space="preserve">KEY-5 Feudal Order</x:t>
        </x:is>
      </x:c>
      <x:c r="C9" s="28" t="n">
        <x:v>56</x:v>
      </x:c>
      <x:c r="D9" s="28" t="n">
        <x:v>1</x:v>
      </x:c>
      <x:c r="E9" s="28" t="n">
        <x:v>25</x:v>
      </x:c>
      <x:c r="F9" s="28" t="n">
        <x:v>13</x:v>
      </x:c>
      <x:c r="G9" s="28" t="n">
        <x:v>0</x:v>
      </x:c>
      <x:c r="H9" s="28" t="n">
        <x:v>15</x:v>
      </x:c>
      <x:c r="I9" s="28" t="n">
        <x:v>2</x:v>
      </x:c>
      <x:c r="J9" s="28" t="n">
        <x:v>1.2161</x:v>
      </x:c>
      <x:c r="K9" s="28" t="n">
        <x:v>16</x:v>
      </x:c>
      <x:c r="L9" s="28" t="n">
        <x:v>19.4</x:v>
      </x:c>
      <x:c r="M9" s="28" t="n">
        <x:v>1.2175</x:v>
      </x:c>
      <x:c r="N9" s="28" t="n">
        <x:v>148</x:v>
      </x:c>
      <x:c r="O9" s="28" t="n">
        <x:v>28</x:v>
      </x:c>
      <x:c r="P9" s="28" t="n">
        <x:v>2.2</x:v>
      </x:c>
      <x:c r="Q9" s="28" t="n">
        <x:v>8.1</x:v>
      </x:c>
      <x:c r="R9" s="28" t="n">
        <x:v>6.7</x:v>
      </x:c>
      <x:c r="S9" s="28" t="n">
        <x:v>13.1</x:v>
      </x:c>
      <x:c r="T9" s="28" t="n">
        <x:v>0</x:v>
      </x:c>
      <x:c r="U9" s="28" t="n">
        <x:v>0</x:v>
      </x:c>
      <x:c r="V9" s="28" t="n">
        <x:v>0</x:v>
      </x:c>
      <x:c r="W9" s="28" t="n">
        <x:v>0</x:v>
      </x:c>
      <x:c r="X9" s="28" t="n">
        <x:v>0</x:v>
      </x:c>
      <x:c r="Y9" s="28" t="n">
        <x:v>0</x:v>
      </x:c>
    </x:row>
    <x:row r="10">
      <x:c r="A10" s="28" t="inlineStr">
        <x:is>
          <x:t xml:space="preserve">E5 Faith &amp; Fief</x:t>
        </x:is>
      </x:c>
      <x:c r="B10" s="28" t="inlineStr">
        <x:is>
          <x:t xml:space="preserve">KEY-6 Printing Revolution</x:t>
        </x:is>
      </x:c>
      <x:c r="C10" s="28" t="n">
        <x:v>49</x:v>
      </x:c>
      <x:c r="D10" s="28" t="n">
        <x:v>5</x:v>
      </x:c>
      <x:c r="E10" s="28" t="n">
        <x:v>25</x:v>
      </x:c>
      <x:c r="F10" s="28" t="n">
        <x:v>8</x:v>
      </x:c>
      <x:c r="G10" s="28" t="n">
        <x:v>1</x:v>
      </x:c>
      <x:c r="H10" s="28" t="n">
        <x:v>9</x:v>
      </x:c>
      <x:c r="I10" s="28" t="n">
        <x:v>1</x:v>
      </x:c>
      <x:c r="J10" s="28" t="n">
        <x:v>1.1408</x:v>
      </x:c>
      <x:c r="K10" s="28" t="n">
        <x:v>12</x:v>
      </x:c>
      <x:c r="L10" s="28" t="n">
        <x:v>13.6</x:v>
      </x:c>
      <x:c r="M10" s="28" t="n">
        <x:v>1.1432</x:v>
      </x:c>
      <x:c r="N10" s="28" t="n">
        <x:v>170</x:v>
      </x:c>
      <x:c r="O10" s="28" t="n">
        <x:v>24</x:v>
      </x:c>
      <x:c r="P10" s="28" t="n">
        <x:v>1</x:v>
      </x:c>
      <x:c r="Q10" s="28" t="n">
        <x:v>1.5</x:v>
      </x:c>
      <x:c r="R10" s="28" t="n">
        <x:v>5.5</x:v>
      </x:c>
      <x:c r="S10" s="28" t="n">
        <x:v>7.2</x:v>
      </x:c>
      <x:c r="T10" s="28" t="n">
        <x:v>11.4</x:v>
      </x:c>
      <x:c r="U10" s="28" t="n">
        <x:v>0</x:v>
      </x:c>
      <x:c r="V10" s="28" t="n">
        <x:v>0</x:v>
      </x:c>
      <x:c r="W10" s="28" t="n">
        <x:v>0</x:v>
      </x:c>
      <x:c r="X10" s="28" t="n">
        <x:v>0</x:v>
      </x:c>
      <x:c r="Y10" s="28" t="n">
        <x:v>0</x:v>
      </x:c>
    </x:row>
    <x:row r="11">
      <x:c r="A11" s="28" t="inlineStr">
        <x:is>
          <x:t xml:space="preserve">E6 Discovery</x:t>
        </x:is>
      </x:c>
      <x:c r="B11" s="28" t="inlineStr">
        <x:is>
          <x:t xml:space="preserve">KEY-7 Industrial Revolution</x:t>
        </x:is>
      </x:c>
      <x:c r="C11" s="28" t="n">
        <x:v>41</x:v>
      </x:c>
      <x:c r="D11" s="28" t="n">
        <x:v>3</x:v>
      </x:c>
      <x:c r="E11" s="28" t="n">
        <x:v>24</x:v>
      </x:c>
      <x:c r="F11" s="28" t="n">
        <x:v>3</x:v>
      </x:c>
      <x:c r="G11" s="28" t="n">
        <x:v>0</x:v>
      </x:c>
      <x:c r="H11" s="28" t="n">
        <x:v>11</x:v>
      </x:c>
      <x:c r="I11" s="28" t="n">
        <x:v>0</x:v>
      </x:c>
      <x:c r="J11" s="28" t="n">
        <x:v>1.1488</x:v>
      </x:c>
      <x:c r="K11" s="28" t="n">
        <x:v>10</x:v>
      </x:c>
      <x:c r="L11" s="28" t="n">
        <x:v>12</x:v>
      </x:c>
      <x:c r="M11" s="28" t="n">
        <x:v>1.1323</x:v>
      </x:c>
      <x:c r="N11" s="28" t="n">
        <x:v>207</x:v>
      </x:c>
      <x:c r="O11" s="28" t="n">
        <x:v>29</x:v>
      </x:c>
      <x:c r="P11" s="28" t="n">
        <x:v>1</x:v>
      </x:c>
      <x:c r="Q11" s="28" t="n">
        <x:v>1</x:v>
      </x:c>
      <x:c r="R11" s="28" t="n">
        <x:v>2</x:v>
      </x:c>
      <x:c r="S11" s="28" t="n">
        <x:v>6</x:v>
      </x:c>
      <x:c r="T11" s="28" t="n">
        <x:v>6.7</x:v>
      </x:c>
      <x:c r="U11" s="28" t="n">
        <x:v>13.9</x:v>
      </x:c>
      <x:c r="V11" s="28" t="n">
        <x:v>0</x:v>
      </x:c>
      <x:c r="W11" s="28" t="n">
        <x:v>0</x:v>
      </x:c>
      <x:c r="X11" s="28" t="n">
        <x:v>0</x:v>
      </x:c>
      <x:c r="Y11" s="28" t="n">
        <x:v>0</x:v>
      </x:c>
    </x:row>
    <x:row r="12">
      <x:c r="A12" s="28" t="inlineStr">
        <x:is>
          <x:t xml:space="preserve">E7 Industry</x:t>
        </x:is>
      </x:c>
      <x:c r="B12" s="28" t="inlineStr">
        <x:is>
          <x:t xml:space="preserve">KEY-8 Electrification</x:t>
        </x:is>
      </x:c>
      <x:c r="C12" s="28" t="n">
        <x:v>43</x:v>
      </x:c>
      <x:c r="D12" s="28" t="n">
        <x:v>4</x:v>
      </x:c>
      <x:c r="E12" s="28" t="n">
        <x:v>25</x:v>
      </x:c>
      <x:c r="F12" s="28" t="n">
        <x:v>7</x:v>
      </x:c>
      <x:c r="G12" s="28" t="n">
        <x:v>0</x:v>
      </x:c>
      <x:c r="H12" s="28" t="n">
        <x:v>7</x:v>
      </x:c>
      <x:c r="I12" s="28" t="n">
        <x:v>0</x:v>
      </x:c>
      <x:c r="J12" s="28" t="n">
        <x:v>1.114</x:v>
      </x:c>
      <x:c r="K12" s="28" t="n">
        <x:v>10</x:v>
      </x:c>
      <x:c r="L12" s="28" t="n">
        <x:v>10.2</x:v>
      </x:c>
      <x:c r="M12" s="28" t="n">
        <x:v>1.1424</x:v>
      </x:c>
      <x:c r="N12" s="28" t="n">
        <x:v>223</x:v>
      </x:c>
      <x:c r="O12" s="28" t="n">
        <x:v>27</x:v>
      </x:c>
      <x:c r="P12" s="28" t="n">
        <x:v>0</x:v>
      </x:c>
      <x:c r="Q12" s="28" t="n">
        <x:v>1</x:v>
      </x:c>
      <x:c r="R12" s="28" t="n">
        <x:v>0.8</x:v>
      </x:c>
      <x:c r="S12" s="28" t="n">
        <x:v>2</x:v>
      </x:c>
      <x:c r="T12" s="28" t="n">
        <x:v>4.6</x:v>
      </x:c>
      <x:c r="U12" s="28" t="n">
        <x:v>7.2</x:v>
      </x:c>
      <x:c r="V12" s="28" t="n">
        <x:v>13.7</x:v>
      </x:c>
      <x:c r="W12" s="28" t="n">
        <x:v>0</x:v>
      </x:c>
      <x:c r="X12" s="28" t="n">
        <x:v>0</x:v>
      </x:c>
      <x:c r="Y12" s="28" t="n">
        <x:v>0</x:v>
      </x:c>
    </x:row>
    <x:row r="13">
      <x:c r="A13" s="28" t="inlineStr">
        <x:is>
          <x:t xml:space="preserve">E8 Modern</x:t>
        </x:is>
      </x:c>
      <x:c r="B13" s="28" t="inlineStr">
        <x:is>
          <x:t xml:space="preserve">KEY-9 Digital Revolution</x:t>
        </x:is>
      </x:c>
      <x:c r="C13" s="28" t="n">
        <x:v>60</x:v>
      </x:c>
      <x:c r="D13" s="28" t="n">
        <x:v>15</x:v>
      </x:c>
      <x:c r="E13" s="28" t="n">
        <x:v>27</x:v>
      </x:c>
      <x:c r="F13" s="28" t="n">
        <x:v>7</x:v>
      </x:c>
      <x:c r="G13" s="28" t="n">
        <x:v>0</x:v>
      </x:c>
      <x:c r="H13" s="28" t="n">
        <x:v>11</x:v>
      </x:c>
      <x:c r="I13" s="28" t="n">
        <x:v>0</x:v>
      </x:c>
      <x:c r="J13" s="28" t="n">
        <x:v>1.115</x:v>
      </x:c>
      <x:c r="K13" s="28" t="n">
        <x:v>14</x:v>
      </x:c>
      <x:c r="L13" s="28" t="n">
        <x:v>16.2</x:v>
      </x:c>
      <x:c r="M13" s="28" t="n">
        <x:v>1.1022</x:v>
      </x:c>
      <x:c r="N13" s="28" t="n">
        <x:v>274</x:v>
      </x:c>
      <x:c r="O13" s="28" t="n">
        <x:v>21</x:v>
      </x:c>
      <x:c r="P13" s="28" t="n">
        <x:v>1</x:v>
      </x:c>
      <x:c r="Q13" s="28" t="n">
        <x:v>1.5</x:v>
      </x:c>
      <x:c r="R13" s="28" t="n">
        <x:v>1.5</x:v>
      </x:c>
      <x:c r="S13" s="28" t="n">
        <x:v>3</x:v>
      </x:c>
      <x:c r="T13" s="28" t="n">
        <x:v>3</x:v>
      </x:c>
      <x:c r="U13" s="28" t="n">
        <x:v>3</x:v>
      </x:c>
      <x:c r="V13" s="28" t="n">
        <x:v>6</x:v>
      </x:c>
      <x:c r="W13" s="28" t="n">
        <x:v>11</x:v>
      </x:c>
      <x:c r="X13" s="28" t="n">
        <x:v>0</x:v>
      </x:c>
      <x:c r="Y13" s="28" t="n">
        <x:v>0</x:v>
      </x:c>
    </x:row>
    <x:row r="14">
      <x:c r="A14" s="28" t="inlineStr">
        <x:is>
          <x:t xml:space="preserve">E9 Information</x:t>
        </x:is>
      </x:c>
      <x:c r="B14" s="28" t="inlineStr">
        <x:is>
          <x:t xml:space="preserve">KEY-10 Planetary Network</x:t>
        </x:is>
      </x:c>
      <x:c r="C14" s="28" t="n">
        <x:v>50</x:v>
      </x:c>
      <x:c r="D14" s="28" t="n">
        <x:v>3</x:v>
      </x:c>
      <x:c r="E14" s="28" t="n">
        <x:v>33</x:v>
      </x:c>
      <x:c r="F14" s="28" t="n">
        <x:v>3</x:v>
      </x:c>
      <x:c r="G14" s="28" t="n">
        <x:v>0</x:v>
      </x:c>
      <x:c r="H14" s="28" t="n">
        <x:v>11</x:v>
      </x:c>
      <x:c r="I14" s="28" t="n">
        <x:v>0</x:v>
      </x:c>
      <x:c r="J14" s="28" t="n">
        <x:v>1.122</x:v>
      </x:c>
      <x:c r="K14" s="28" t="n">
        <x:v>13</x:v>
      </x:c>
      <x:c r="L14" s="28" t="n">
        <x:v>15.1</x:v>
      </x:c>
      <x:c r="M14" s="28" t="n">
        <x:v>1.1081</x:v>
      </x:c>
      <x:c r="N14" s="28" t="n">
        <x:v>334</x:v>
      </x:c>
      <x:c r="O14" s="28" t="n">
        <x:v>52</x:v>
      </x:c>
      <x:c r="P14" s="28" t="n">
        <x:v>1.5</x:v>
      </x:c>
      <x:c r="Q14" s="28" t="n">
        <x:v>4</x:v>
      </x:c>
      <x:c r="R14" s="28" t="n">
        <x:v>6.5</x:v>
      </x:c>
      <x:c r="S14" s="28" t="n">
        <x:v>6.5</x:v>
      </x:c>
      <x:c r="T14" s="28" t="n">
        <x:v>3.7</x:v>
      </x:c>
      <x:c r="U14" s="28" t="n">
        <x:v>4.5</x:v>
      </x:c>
      <x:c r="V14" s="28" t="n">
        <x:v>6.7</x:v>
      </x:c>
      <x:c r="W14" s="28" t="n">
        <x:v>10.2</x:v>
      </x:c>
      <x:c r="X14" s="28" t="n">
        <x:v>14</x:v>
      </x:c>
      <x:c r="Y14" s="28" t="n">
        <x:v>0</x:v>
      </x:c>
    </x:row>
    <x:row r="16">
      <x:c r="A16" s="2" t="inlineStr">
        <x:is>
          <x:t xml:space="preserve">Validator cross-check vs 04 §2 (in-era critical path / closure):</x:t>
        </x:is>
      </x:c>
    </x:row>
    <x:row r="17">
      <x:c r="A17" s="14" t="inlineStr">
        <x:is>
          <x:t xml:space="preserve">Keystone</x:t>
        </x:is>
      </x:c>
      <x:c r="B17" s="14" t="inlineStr">
        <x:is>
          <x:t xml:space="preserve">04 §2 in-era</x:t>
        </x:is>
      </x:c>
      <x:c r="C17" s="14" t="inlineStr">
        <x:is>
          <x:t xml:space="preserve">Parsed in-era</x:t>
        </x:is>
      </x:c>
      <x:c r="D17" s="14" t="inlineStr">
        <x:is>
          <x:t xml:space="preserve">04 §2 closure</x:t>
        </x:is>
      </x:c>
      <x:c r="E17" s="14" t="inlineStr">
        <x:is>
          <x:t xml:space="preserve">Parsed closure</x:t>
        </x:is>
      </x:c>
      <x:c r="F17" s="14" t="inlineStr">
        <x:is>
          <x:t xml:space="preserve">Match?</x:t>
        </x:is>
      </x:c>
    </x:row>
    <x:row r="18">
      <x:c r="A18" s="28" t="inlineStr">
        <x:is>
          <x:t xml:space="preserve">KEY-1</x:t>
        </x:is>
      </x:c>
      <x:c r="B18" s="28" t="n">
        <x:v>11</x:v>
      </x:c>
      <x:c r="C18" s="28" t="n">
        <x:v>11</x:v>
      </x:c>
      <x:c r="D18" s="28" t="n">
        <x:v>11</x:v>
      </x:c>
      <x:c r="E18" s="28" t="n">
        <x:v>11</x:v>
      </x:c>
      <x:c r="F18" t="str">
        <x:f>IF(AND(B18=C18,D18=E18),"yes","differs")</x:f>
        <x:v>yes</x:v>
      </x:c>
    </x:row>
    <x:row r="19">
      <x:c r="A19" s="28" t="inlineStr">
        <x:is>
          <x:t xml:space="preserve">KEY-2</x:t>
        </x:is>
      </x:c>
      <x:c r="B19" s="28" t="n">
        <x:v>11</x:v>
      </x:c>
      <x:c r="C19" s="28" t="n">
        <x:v>11</x:v>
      </x:c>
      <x:c r="D19" s="28" t="n">
        <x:v>28</x:v>
      </x:c>
      <x:c r="E19" s="28" t="n">
        <x:v>28</x:v>
      </x:c>
      <x:c r="F19" t="str">
        <x:f>IF(AND(B19=C19,D19=E19),"yes","differs")</x:f>
        <x:v>yes</x:v>
      </x:c>
    </x:row>
    <x:row r="20">
      <x:c r="A20" s="28" t="inlineStr">
        <x:is>
          <x:t xml:space="preserve">KEY-3</x:t>
        </x:is>
      </x:c>
      <x:c r="B20" s="28" t="n">
        <x:v>17</x:v>
      </x:c>
      <x:c r="C20" s="28" t="n">
        <x:v>17</x:v>
      </x:c>
      <x:c r="D20" s="28" t="n">
        <x:v>70</x:v>
      </x:c>
      <x:c r="E20" s="28" t="n">
        <x:v>70</x:v>
      </x:c>
      <x:c r="F20" t="str">
        <x:f>IF(AND(B20=C20,D20=E20),"yes","differs")</x:f>
        <x:v>yes</x:v>
      </x:c>
    </x:row>
    <x:row r="21">
      <x:c r="A21" s="28" t="inlineStr">
        <x:is>
          <x:t xml:space="preserve">KEY-4</x:t>
        </x:is>
      </x:c>
      <x:c r="B21" s="28" t="n">
        <x:v>18</x:v>
      </x:c>
      <x:c r="C21" s="28" t="n">
        <x:v>16</x:v>
      </x:c>
      <x:c r="D21" s="28" t="n">
        <x:v>108</x:v>
      </x:c>
      <x:c r="E21" s="28" t="n">
        <x:v>104</x:v>
      </x:c>
      <x:c r="F21" t="str">
        <x:f>IF(AND(B21=C21,D21=E21),"yes","differs")</x:f>
        <x:v>differs</x:v>
      </x:c>
    </x:row>
    <x:row r="22">
      <x:c r="A22" s="28" t="inlineStr">
        <x:is>
          <x:t xml:space="preserve">KEY-5</x:t>
        </x:is>
      </x:c>
      <x:c r="B22" s="28" t="n">
        <x:v>17</x:v>
      </x:c>
      <x:c r="C22" s="28" t="n">
        <x:v>16</x:v>
      </x:c>
      <x:c r="D22" s="28" t="n">
        <x:v>153</x:v>
      </x:c>
      <x:c r="E22" s="28" t="n">
        <x:v>148</x:v>
      </x:c>
      <x:c r="F22" t="str">
        <x:f>IF(AND(B22=C22,D22=E22),"yes","differs")</x:f>
        <x:v>differs</x:v>
      </x:c>
    </x:row>
    <x:row r="23">
      <x:c r="A23" s="28" t="inlineStr">
        <x:is>
          <x:t xml:space="preserve">KEY-6</x:t>
        </x:is>
      </x:c>
      <x:c r="B23" s="28" t="n">
        <x:v>12</x:v>
      </x:c>
      <x:c r="C23" s="28" t="n">
        <x:v>12</x:v>
      </x:c>
      <x:c r="D23" s="28" t="n">
        <x:v>174</x:v>
      </x:c>
      <x:c r="E23" s="28" t="n">
        <x:v>170</x:v>
      </x:c>
      <x:c r="F23" t="str">
        <x:f>IF(AND(B23=C23,D23=E23),"yes","differs")</x:f>
        <x:v>differs</x:v>
      </x:c>
    </x:row>
    <x:row r="24">
      <x:c r="A24" s="28" t="inlineStr">
        <x:is>
          <x:t xml:space="preserve">KEY-7</x:t>
        </x:is>
      </x:c>
      <x:c r="B24" s="28" t="n">
        <x:v>10</x:v>
      </x:c>
      <x:c r="C24" s="28" t="n">
        <x:v>10</x:v>
      </x:c>
      <x:c r="D24" s="28" t="n">
        <x:v>210</x:v>
      </x:c>
      <x:c r="E24" s="28" t="n">
        <x:v>207</x:v>
      </x:c>
      <x:c r="F24" t="str">
        <x:f>IF(AND(B24=C24,D24=E24),"yes","differs")</x:f>
        <x:v>differs</x:v>
      </x:c>
    </x:row>
    <x:row r="25">
      <x:c r="A25" s="28" t="inlineStr">
        <x:is>
          <x:t xml:space="preserve">KEY-8</x:t>
        </x:is>
      </x:c>
      <x:c r="B25" s="28" t="n">
        <x:v>10</x:v>
      </x:c>
      <x:c r="C25" s="28" t="n">
        <x:v>10</x:v>
      </x:c>
      <x:c r="D25" s="28" t="n">
        <x:v>227</x:v>
      </x:c>
      <x:c r="E25" s="28" t="n">
        <x:v>223</x:v>
      </x:c>
      <x:c r="F25" t="str">
        <x:f>IF(AND(B25=C25,D25=E25),"yes","differs")</x:f>
        <x:v>differs</x:v>
      </x:c>
    </x:row>
    <x:row r="26">
      <x:c r="A26" s="28" t="inlineStr">
        <x:is>
          <x:t xml:space="preserve">KEY-9</x:t>
        </x:is>
      </x:c>
      <x:c r="B26" s="28" t="n">
        <x:v>14</x:v>
      </x:c>
      <x:c r="C26" s="28" t="n">
        <x:v>14</x:v>
      </x:c>
      <x:c r="D26" s="28" t="n">
        <x:v>278</x:v>
      </x:c>
      <x:c r="E26" s="28" t="n">
        <x:v>274</x:v>
      </x:c>
      <x:c r="F26" t="str">
        <x:f>IF(AND(B26=C26,D26=E26),"yes","differs")</x:f>
        <x:v>differs</x:v>
      </x:c>
    </x:row>
    <x:row r="27">
      <x:c r="A27" s="28" t="inlineStr">
        <x:is>
          <x:t xml:space="preserve">KEY-10</x:t>
        </x:is>
      </x:c>
      <x:c r="B27" s="28" t="n">
        <x:v>13</x:v>
      </x:c>
      <x:c r="C27" s="28" t="n">
        <x:v>13</x:v>
      </x:c>
      <x:c r="D27" s="28" t="n">
        <x:v>338</x:v>
      </x:c>
      <x:c r="E27" s="28" t="n">
        <x:v>334</x:v>
      </x:c>
      <x:c r="F27" t="str">
        <x:f>IF(AND(B27=C27,D27=E27),"yes","differs")</x:f>
        <x:v>differs</x:v>
      </x:c>
    </x:row>
    <x:row r="29">
      <x:c r="A29" s="2" t="inlineStr">
        <x:is>
          <x:t xml:space="preserve">Critical-path and backfill ids per keystone</x:t>
        </x:is>
      </x:c>
    </x:row>
    <x:row r="30">
      <x:c r="A30" s="14" t="inlineStr">
        <x:is>
          <x:t xml:space="preserve">Keystone</x:t>
        </x:is>
      </x:c>
      <x:c r="B30" s="14" t="inlineStr">
        <x:is>
          <x:t xml:space="preserve">In-era critical path ids</x:t>
        </x:is>
      </x:c>
      <x:c r="C30" s="14" t="inlineStr">
        <x:is>
          <x:t xml:space="preserve">Forced backfill ids</x:t>
        </x:is>
      </x:c>
    </x:row>
    <x:row r="31">
      <x:c r="A31" s="28" t="inlineStr">
        <x:is>
          <x:t xml:space="preserve">KEY-1</x:t>
        </x:is>
      </x:c>
      <x:c r="B31" s="28" t="inlineStr">
        <x:is>
          <x:t xml:space="preserve">COM-01, COM-02, FIB-01, FIR-01, FIR-02, FOR-01, SOC-01, STN-01, STN-02, STN-03, STN-04</x:t>
        </x:is>
      </x:c>
      <x:c r="C31" s="28" t="inlineStr">
        <x:is>
          <x:t xml:space="preserve"/>
        </x:is>
      </x:c>
    </x:row>
    <x:row r="32">
      <x:c r="A32" s="28" t="inlineStr">
        <x:is>
          <x:t xml:space="preserve">KEY-2</x:t>
        </x:is>
      </x:c>
      <x:c r="B32" s="28" t="inlineStr">
        <x:is>
          <x:t xml:space="preserve">BLD-02, BLD-03, FIB-05, FOD-02, FOD-03, FOR-03, FOR-04, STN-05, STN-06, WAY-02, WOD-02</x:t>
        </x:is>
      </x:c>
      <x:c r="C32" s="28" t="inlineStr">
        <x:is>
          <x:t xml:space="preserve">ART-01, BLD-01, FIB-02, FIR-03, FOD-01, FOR-02, WAY-01, WOD-01</x:t>
        </x:is>
      </x:c>
    </x:row>
    <x:row r="33">
      <x:c r="A33" s="28" t="inlineStr">
        <x:is>
          <x:t xml:space="preserve">KEY-3</x:t>
        </x:is>
      </x:c>
      <x:c r="B33" s="28" t="inlineStr">
        <x:is>
          <x:t xml:space="preserve">AGR-01, AGR-02, BLD-04, BLD-06, FIR-07, FOD-05, GOV-02, INQ-03, MET-01, MET-02, NUM-03, SOC-05, SOC-06, SOC-07, STN-08, TRD-03, WAY-04</x:t>
        </x:is>
      </x:c>
      <x:c r="C33" s="28" t="inlineStr">
        <x:is>
          <x:t xml:space="preserve">ART-02, ART-03, BEL-01, BEL-02, CER-01, CER-02, CHM-01, FOD-04, FOR-05, FOR-06, GOV-01, HNT-01, HNT-02, HNT-03, INQ-01, INQ-02, MIN-01, NUM-01, NUM-02, SOC-02, SOC-03, SOC-04, TRD-01, TRD-02, WAY-03</x:t>
        </x:is>
      </x:c>
    </x:row>
    <x:row r="34">
      <x:c r="A34" s="28" t="inlineStr">
        <x:is>
          <x:t xml:space="preserve">KEY-4</x:t>
        </x:is>
      </x:c>
      <x:c r="B34" s="28" t="inlineStr">
        <x:is>
          <x:t xml:space="preserve">AGR-05, AGR-06, COM-05, GOV-04, GOV-05, GOV-06, MEC-03, MET-03, MET-08, NUM-04, SOC-08, SOC-09, TRD-04, TRD-05, TRN-05, WOD-05</x:t>
        </x:is>
      </x:c>
      <x:c r="C34" s="28" t="inlineStr">
        <x:is>
          <x:t xml:space="preserve">BLD-05, CER-03, COM-03, FOD-06, HNT-04, HUS-01, HUS-02, HUS-03, HUS-04, MEC-01, MEC-02, NRG-01, TRN-01, TRN-02, TRN-04, WOD-03</x:t>
        </x:is>
      </x:c>
    </x:row>
    <x:row r="35">
      <x:c r="A35" s="28" t="inlineStr">
        <x:is>
          <x:t xml:space="preserve">KEY-5</x:t>
        </x:is>
      </x:c>
      <x:c r="B35" s="28" t="inlineStr">
        <x:is>
          <x:t xml:space="preserve">AGR-09, AGR-10, BEL-08, BEL-09, BLD-09, CER-08, COM-07, DEF-06, DEF-08, GOV-07, GOV-09, MEC-04, MET-09, TRD-06, TRD-07, WAR-07</x:t>
        </x:is>
      </x:c>
      <x:c r="C35" s="28" t="inlineStr">
        <x:is>
          <x:t xml:space="preserve">BEL-03, BEL-04, BEL-05, BEL-06, BEL-07, BLD-07, CER-04, COM-06, DEF-01, DEF-02, DEF-03, DEF-04, DEF-05, FIB-03, HNT-05, HNT-06, MED-01, MET-07, MIN-02, MIN-03, NRG-02, NUM-05, STN-11, WAR-01, WAR-02, WAR-03, WAR-04, WAR-05</x:t>
        </x:is>
      </x:c>
    </x:row>
    <x:row r="36">
      <x:c r="A36" s="28" t="inlineStr">
        <x:is>
          <x:t xml:space="preserve">KEY-6</x:t>
        </x:is>
      </x:c>
      <x:c r="B36" s="28" t="inlineStr">
        <x:is>
          <x:t xml:space="preserve">BEL-10, COM-09, COM-10, GOV-10, INQ-06, LRN-07, LRN-08, NUM-08, NUM-09, TRD-08, TRD-09, WAY-08</x:t>
        </x:is>
      </x:c>
      <x:c r="C36" s="28" t="inlineStr">
        <x:is>
          <x:t xml:space="preserve">CER-05, CER-06, CER-07, CHM-03, COM-08, FIB-06, FIB-07, FIR-08, FIR-09, INQ-04, INQ-05, LRN-01, LRN-02, LRN-03, LRN-04, LRN-05, MEC-05, MET-06, NUM-06, NUM-07, TRN-07, WAY-05, WAY-06, WAY-07</x:t>
        </x:is>
      </x:c>
    </x:row>
    <x:row r="37">
      <x:c r="A37" s="28" t="inlineStr">
        <x:is>
          <x:t xml:space="preserve">KEY-7</x:t>
        </x:is>
      </x:c>
      <x:c r="B37" s="28" t="inlineStr">
        <x:is>
          <x:t xml:space="preserve">FIB-12, INQ-07, INQ-08, MEC-09, MEC-10, MIN-09, NRG-06, SEA-12, SOC-12, TRD-10</x:t>
        </x:is>
      </x:c>
      <x:c r="C37" s="28" t="inlineStr">
        <x:is>
          <x:t xml:space="preserve">CER-10, CHM-04, FIB-08, FIB-10, FIB-11, MEC-07, MEC-08, MET-10, MET-12, MIN-04, MIN-05, MIN-07, MIN-08, NRG-03, NRG-05, SEA-01, SEA-02, SEA-03, SEA-04, SEA-05, SEA-06, SEA-10, SEA-11, SOC-10, SOC-11, WAY-09, WOD-07, WOD-08, WOD-10</x:t>
        </x:is>
      </x:c>
    </x:row>
    <x:row r="38">
      <x:c r="A38" s="28" t="inlineStr">
        <x:is>
          <x:t xml:space="preserve">KEY-8</x:t>
        </x:is>
      </x:c>
      <x:c r="B38" s="28" t="inlineStr">
        <x:is>
          <x:t xml:space="preserve">CER-12, COM-12, INQ-10, INQ-11, MED-10, MED-11, MET-14, NRG-07, NRG-08, TRN-12</x:t>
        </x:is>
      </x:c>
      <x:c r="C38" s="28" t="inlineStr">
        <x:is>
          <x:t xml:space="preserve">BLD-10, CER-11, CHM-05, CHM-06, CHM-07, CHM-08, COM-11, FIR-10, FIR-11, FIR-12, GOV-11, INQ-09, LRN-09, MED-02, MED-03, MED-04, MED-05, MED-06, MED-07, MED-08, MED-09, MET-13, NUM-10, NUM-11, TRN-08, TRN-10, TRN-11</x:t>
        </x:is>
      </x:c>
    </x:row>
    <x:row r="39">
      <x:c r="A39" s="28" t="inlineStr">
        <x:is>
          <x:t xml:space="preserve">KEY-9</x:t>
        </x:is>
      </x:c>
      <x:c r="B39" s="28" t="inlineStr">
        <x:is>
          <x:t xml:space="preserve">CER-13, CER-14, COM-13, COM-14, DIP-12, INQ-15, INQ-18, LRN-11, MEC-12, MEC-13, NRG-09, NUM-13, TRD-13, TRD-14</x:t>
        </x:is>
      </x:c>
      <x:c r="C39" s="28" t="inlineStr">
        <x:is>
          <x:t xml:space="preserve">BEL-11, BEL-12, BEL-13, DIP-01, DIP-02, DIP-03, DIP-04, DIP-05, DIP-07, DIP-08, DIP-09, DIP-10, DIP-11, GOV-08, GOV-12, GOV-13, LRN-10, MEC-11, NUM-12, TRD-11, TRD-12</x:t>
        </x:is>
      </x:c>
    </x:row>
    <x:row r="40">
      <x:c r="A40" s="28" t="inlineStr">
        <x:is>
          <x:t xml:space="preserve">KEY-10</x:t>
        </x:is>
      </x:c>
      <x:c r="B40" s="28" t="inlineStr">
        <x:is>
          <x:t xml:space="preserve">CER-15, COM-16, DIP-14, INQ-19, MEC-14, MEC-15, MIN-15, NRG-13, NRG-14, NRG-15, NRG-16, NUM-14, WAY-13</x:t>
        </x:is>
      </x:c>
      <x:c r="C40" s="28" t="inlineStr">
        <x:is>
          <x:t xml:space="preserve">AGR-03, AGR-07, AGR-11, AGR-12, AGR-13, ART-04, ART-07, ART-08, ART-09, ART-10, ART-11, ART-12, CHM-11, CHM-12, CHM-13, COM-15, FOR-07, FOR-08, FOR-09, FOR-10, FOR-11, GOV-03, HUS-06, HUS-10, INQ-12, INQ-13, INQ-14, INQ-17, MET-15, MET-16, MET-17, MIN-10, MIN-11, MIN-12, MIN-13, MIN-14, NRG-10, STN-07, TER-01, TER-02, TER-03, TER-04, TER-05, TER-06, TER-07, TER-08, TER-10, TRN-13, TRN-15, WAY-10, WAY-11, WAY-12</x:t>
        </x:is>
      </x:c>
    </x:row>
  </x:sheetData>
  <x:mergeCells>
    <x:mergeCell ref="A2:N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9" customWidth="1"/>
    <x:col min="2" max="2" width="26" customWidth="1"/>
    <x:col min="3" max="3" width="6" customWidth="1"/>
    <x:col min="4" max="4" width="11" customWidth="1"/>
    <x:col min="5" max="5" width="7" customWidth="1"/>
    <x:col min="6" max="6" width="7" customWidth="1"/>
    <x:col min="7" max="7" width="9" customWidth="1"/>
  </x:cols>
  <x:sheetData>
    <x:row r="1">
      <x:c r="A1" s="5" t="inlineStr">
        <x:is>
          <x:t xml:space="preserve">Learning — Insight modifiers from the catalog, cumulated per era</x:t>
        </x:is>
      </x:c>
    </x:row>
    <x:row r="2" ht="32" customHeight="1">
      <x:c r="A2" s="3" t="inlineStr">
        <x:is>
          <x:t xml:space="preserve">Each row is a catalog effect on Insight. Prob = chance an average civ has it (1.0 = on a keystone closure). A project counts at half strength in its own era (completed mid-era on average), full strength after. Multiplier(era, kind) = EXP(Σ weight × LN(1 + pct × prob)).</x:t>
        </x:is>
      </x:c>
    </x:row>
    <x:row r="4">
      <x:c r="A4" s="14" t="inlineStr">
        <x:is>
          <x:t xml:space="preserve">Id</x:t>
        </x:is>
      </x:c>
      <x:c r="B4" s="14" t="inlineStr">
        <x:is>
          <x:t xml:space="preserve">Project</x:t>
        </x:is>
      </x:c>
      <x:c r="C4" s="14" t="inlineStr">
        <x:is>
          <x:t xml:space="preserve">Era</x:t>
        </x:is>
      </x:c>
      <x:c r="D4" s="14" t="inlineStr">
        <x:is>
          <x:t xml:space="preserve">Kind</x:t>
        </x:is>
      </x:c>
      <x:c r="E4" s="14" t="inlineStr">
        <x:is>
          <x:t xml:space="preserve">Pct</x:t>
        </x:is>
      </x:c>
      <x:c r="F4" s="14" t="inlineStr">
        <x:is>
          <x:t xml:space="preserve">Prob</x:t>
        </x:is>
      </x:c>
      <x:c r="G4" s="14" t="inlineStr">
        <x:is>
          <x:t xml:space="preserve">LN(1+pct×prob)</x:t>
        </x:is>
      </x:c>
      <x:c r="H4" s="14" t="inlineStr">
        <x:is>
          <x:t xml:space="preserve">w·ln E0</x:t>
        </x:is>
      </x:c>
      <x:c r="I4" s="14" t="inlineStr">
        <x:is>
          <x:t xml:space="preserve">w·ln E1</x:t>
        </x:is>
      </x:c>
      <x:c r="J4" s="14" t="inlineStr">
        <x:is>
          <x:t xml:space="preserve">w·ln E2</x:t>
        </x:is>
      </x:c>
      <x:c r="K4" s="14" t="inlineStr">
        <x:is>
          <x:t xml:space="preserve">w·ln E3</x:t>
        </x:is>
      </x:c>
      <x:c r="L4" s="14" t="inlineStr">
        <x:is>
          <x:t xml:space="preserve">w·ln E4</x:t>
        </x:is>
      </x:c>
      <x:c r="M4" s="14" t="inlineStr">
        <x:is>
          <x:t xml:space="preserve">w·ln E5</x:t>
        </x:is>
      </x:c>
      <x:c r="N4" s="14" t="inlineStr">
        <x:is>
          <x:t xml:space="preserve">w·ln E6</x:t>
        </x:is>
      </x:c>
      <x:c r="O4" s="14" t="inlineStr">
        <x:is>
          <x:t xml:space="preserve">w·ln E7</x:t>
        </x:is>
      </x:c>
      <x:c r="P4" s="14" t="inlineStr">
        <x:is>
          <x:t xml:space="preserve">w·ln E8</x:t>
        </x:is>
      </x:c>
      <x:c r="Q4" s="14" t="inlineStr">
        <x:is>
          <x:t xml:space="preserve">w·ln E9</x:t>
        </x:is>
      </x:c>
    </x:row>
    <x:row r="5">
      <x:c r="A5" s="28" t="inlineStr">
        <x:is>
          <x:t xml:space="preserve">FIR-03</x:t>
        </x:is>
      </x:c>
      <x:c r="B5" s="28" t="inlineStr">
        <x:is>
          <x:t xml:space="preserve">Hearths</x:t>
        </x:is>
      </x:c>
      <x:c r="C5" s="28" t="n">
        <x:v>0</x:v>
      </x:c>
      <x:c r="D5" s="28" t="inlineStr">
        <x:is>
          <x:t xml:space="preserve">Commons</x:t>
        </x:is>
      </x:c>
      <x:c r="E5" s="16" t="n">
        <x:v>0.1</x:v>
      </x:c>
      <x:c r="F5" s="16" t="n">
        <x:v>1</x:v>
      </x:c>
      <x:c r="G5" t="n">
        <x:f>LN(1+E5*F5)</x:f>
        <x:v>0.09531017980432493</x:v>
      </x:c>
      <x:c r="H5" t="n">
        <x:f>IF(C5&lt;0,1,IF(C5=0,0.5,0))*G5</x:f>
        <x:v>0.04765508990216247</x:v>
      </x:c>
      <x:c r="I5" t="n">
        <x:f>IF(C5&lt;1,1,IF(C5=1,0.5,0))*G5</x:f>
        <x:v>0.09531017980432493</x:v>
      </x:c>
      <x:c r="J5" t="n">
        <x:f>IF(C5&lt;2,1,IF(C5=2,0.5,0))*G5</x:f>
        <x:v>0.09531017980432493</x:v>
      </x:c>
      <x:c r="K5" t="n">
        <x:f>IF(C5&lt;3,1,IF(C5=3,0.5,0))*G5</x:f>
        <x:v>0.09531017980432493</x:v>
      </x:c>
      <x:c r="L5" t="n">
        <x:f>IF(C5&lt;4,1,IF(C5=4,0.5,0))*G5</x:f>
        <x:v>0.09531017980432493</x:v>
      </x:c>
      <x:c r="M5" t="n">
        <x:f>IF(C5&lt;5,1,IF(C5=5,0.5,0))*G5</x:f>
        <x:v>0.09531017980432493</x:v>
      </x:c>
      <x:c r="N5" t="n">
        <x:f>IF(C5&lt;6,1,IF(C5=6,0.5,0))*G5</x:f>
        <x:v>0.09531017980432493</x:v>
      </x:c>
      <x:c r="O5" t="n">
        <x:f>IF(C5&lt;7,1,IF(C5=7,0.5,0))*G5</x:f>
        <x:v>0.09531017980432493</x:v>
      </x:c>
      <x:c r="P5" t="n">
        <x:f>IF(C5&lt;8,1,IF(C5=8,0.5,0))*G5</x:f>
        <x:v>0.09531017980432493</x:v>
      </x:c>
      <x:c r="Q5" t="n">
        <x:f>IF(C5&lt;9,1,IF(C5=9,0.5,0))*G5</x:f>
        <x:v>0.09531017980432493</x:v>
      </x:c>
    </x:row>
    <x:row r="6">
      <x:c r="A6" s="28" t="inlineStr">
        <x:is>
          <x:t xml:space="preserve">LRN-02</x:t>
        </x:is>
      </x:c>
      <x:c r="B6" s="28" t="inlineStr">
        <x:is>
          <x:t xml:space="preserve">Oral Tradition</x:t>
        </x:is>
      </x:c>
      <x:c r="C6" s="28" t="n">
        <x:v>1</x:v>
      </x:c>
      <x:c r="D6" s="28" t="inlineStr">
        <x:is>
          <x:t xml:space="preserve">Elder</x:t>
        </x:is>
      </x:c>
      <x:c r="E6" s="16" t="n">
        <x:v>0.5</x:v>
      </x:c>
      <x:c r="F6" s="16" t="n">
        <x:v>1</x:v>
      </x:c>
      <x:c r="G6" t="n">
        <x:f>LN(1+E6*F6)</x:f>
        <x:v>0.4054651081081644</x:v>
      </x:c>
      <x:c r="H6" t="n">
        <x:f>IF(C6&lt;0,1,IF(C6=0,0.5,0))*G6</x:f>
        <x:v>0</x:v>
      </x:c>
      <x:c r="I6" t="n">
        <x:f>IF(C6&lt;1,1,IF(C6=1,0.5,0))*G6</x:f>
        <x:v>0.2027325540540822</x:v>
      </x:c>
      <x:c r="J6" t="n">
        <x:f>IF(C6&lt;2,1,IF(C6=2,0.5,0))*G6</x:f>
        <x:v>0.4054651081081644</x:v>
      </x:c>
      <x:c r="K6" t="n">
        <x:f>IF(C6&lt;3,1,IF(C6=3,0.5,0))*G6</x:f>
        <x:v>0.4054651081081644</x:v>
      </x:c>
      <x:c r="L6" t="n">
        <x:f>IF(C6&lt;4,1,IF(C6=4,0.5,0))*G6</x:f>
        <x:v>0.4054651081081644</x:v>
      </x:c>
      <x:c r="M6" t="n">
        <x:f>IF(C6&lt;5,1,IF(C6=5,0.5,0))*G6</x:f>
        <x:v>0.4054651081081644</x:v>
      </x:c>
      <x:c r="N6" t="n">
        <x:f>IF(C6&lt;6,1,IF(C6=6,0.5,0))*G6</x:f>
        <x:v>0.4054651081081644</x:v>
      </x:c>
      <x:c r="O6" t="n">
        <x:f>IF(C6&lt;7,1,IF(C6=7,0.5,0))*G6</x:f>
        <x:v>0.4054651081081644</x:v>
      </x:c>
      <x:c r="P6" t="n">
        <x:f>IF(C6&lt;8,1,IF(C6=8,0.5,0))*G6</x:f>
        <x:v>0.4054651081081644</x:v>
      </x:c>
      <x:c r="Q6" t="n">
        <x:f>IF(C6&lt;9,1,IF(C6=9,0.5,0))*G6</x:f>
        <x:v>0.4054651081081644</x:v>
      </x:c>
    </x:row>
    <x:row r="7">
      <x:c r="A7" s="28" t="inlineStr">
        <x:is>
          <x:t xml:space="preserve">GOV-08</x:t>
        </x:is>
      </x:c>
      <x:c r="B7" s="28" t="inlineStr">
        <x:is>
          <x:t xml:space="preserve">Republic &amp; Assemblies</x:t>
        </x:is>
      </x:c>
      <x:c r="C7" s="28" t="n">
        <x:v>4</x:v>
      </x:c>
      <x:c r="D7" s="28" t="inlineStr">
        <x:is>
          <x:t xml:space="preserve">Commons</x:t>
        </x:is>
      </x:c>
      <x:c r="E7" s="16" t="n">
        <x:v>0.15</x:v>
      </x:c>
      <x:c r="F7" s="16" t="n">
        <x:v>1</x:v>
      </x:c>
      <x:c r="G7" t="n">
        <x:f>LN(1+E7*F7)</x:f>
        <x:v>0.13976194237515863</x:v>
      </x:c>
      <x:c r="H7" t="n">
        <x:f>IF(C7&lt;0,1,IF(C7=0,0.5,0))*G7</x:f>
        <x:v>0</x:v>
      </x:c>
      <x:c r="I7" t="n">
        <x:f>IF(C7&lt;1,1,IF(C7=1,0.5,0))*G7</x:f>
        <x:v>0</x:v>
      </x:c>
      <x:c r="J7" t="n">
        <x:f>IF(C7&lt;2,1,IF(C7=2,0.5,0))*G7</x:f>
        <x:v>0</x:v>
      </x:c>
      <x:c r="K7" t="n">
        <x:f>IF(C7&lt;3,1,IF(C7=3,0.5,0))*G7</x:f>
        <x:v>0</x:v>
      </x:c>
      <x:c r="L7" t="n">
        <x:f>IF(C7&lt;4,1,IF(C7=4,0.5,0))*G7</x:f>
        <x:v>0.06988097118757931</x:v>
      </x:c>
      <x:c r="M7" t="n">
        <x:f>IF(C7&lt;5,1,IF(C7=5,0.5,0))*G7</x:f>
        <x:v>0.13976194237515863</x:v>
      </x:c>
      <x:c r="N7" t="n">
        <x:f>IF(C7&lt;6,1,IF(C7=6,0.5,0))*G7</x:f>
        <x:v>0.13976194237515863</x:v>
      </x:c>
      <x:c r="O7" t="n">
        <x:f>IF(C7&lt;7,1,IF(C7=7,0.5,0))*G7</x:f>
        <x:v>0.13976194237515863</x:v>
      </x:c>
      <x:c r="P7" t="n">
        <x:f>IF(C7&lt;8,1,IF(C7=8,0.5,0))*G7</x:f>
        <x:v>0.13976194237515863</x:v>
      </x:c>
      <x:c r="Q7" t="n">
        <x:f>IF(C7&lt;9,1,IF(C7=9,0.5,0))*G7</x:f>
        <x:v>0.13976194237515863</x:v>
      </x:c>
    </x:row>
    <x:row r="8">
      <x:c r="A8" s="28" t="inlineStr">
        <x:is>
          <x:t xml:space="preserve">COM-07</x:t>
        </x:is>
      </x:c>
      <x:c r="B8" s="28" t="inlineStr">
        <x:is>
          <x:t xml:space="preserve">Alphabet</x:t>
        </x:is>
      </x:c>
      <x:c r="C8" s="28" t="n">
        <x:v>4</x:v>
      </x:c>
      <x:c r="D8" s="28" t="inlineStr">
        <x:is>
          <x:t xml:space="preserve">Commons</x:t>
        </x:is>
      </x:c>
      <x:c r="E8" s="16" t="n">
        <x:v>0.05</x:v>
      </x:c>
      <x:c r="F8" s="16" t="n">
        <x:v>1</x:v>
      </x:c>
      <x:c r="G8" t="n">
        <x:f>LN(1+E8*F8)</x:f>
        <x:v>0.04879016416943205</x:v>
      </x:c>
      <x:c r="H8" t="n">
        <x:f>IF(C8&lt;0,1,IF(C8=0,0.5,0))*G8</x:f>
        <x:v>0</x:v>
      </x:c>
      <x:c r="I8" t="n">
        <x:f>IF(C8&lt;1,1,IF(C8=1,0.5,0))*G8</x:f>
        <x:v>0</x:v>
      </x:c>
      <x:c r="J8" t="n">
        <x:f>IF(C8&lt;2,1,IF(C8=2,0.5,0))*G8</x:f>
        <x:v>0</x:v>
      </x:c>
      <x:c r="K8" t="n">
        <x:f>IF(C8&lt;3,1,IF(C8=3,0.5,0))*G8</x:f>
        <x:v>0</x:v>
      </x:c>
      <x:c r="L8" t="n">
        <x:f>IF(C8&lt;4,1,IF(C8=4,0.5,0))*G8</x:f>
        <x:v>0.024395082084716024</x:v>
      </x:c>
      <x:c r="M8" t="n">
        <x:f>IF(C8&lt;5,1,IF(C8=5,0.5,0))*G8</x:f>
        <x:v>0.04879016416943205</x:v>
      </x:c>
      <x:c r="N8" t="n">
        <x:f>IF(C8&lt;6,1,IF(C8=6,0.5,0))*G8</x:f>
        <x:v>0.04879016416943205</x:v>
      </x:c>
      <x:c r="O8" t="n">
        <x:f>IF(C8&lt;7,1,IF(C8=7,0.5,0))*G8</x:f>
        <x:v>0.04879016416943205</x:v>
      </x:c>
      <x:c r="P8" t="n">
        <x:f>IF(C8&lt;8,1,IF(C8=8,0.5,0))*G8</x:f>
        <x:v>0.04879016416943205</x:v>
      </x:c>
      <x:c r="Q8" t="n">
        <x:f>IF(C8&lt;9,1,IF(C8=9,0.5,0))*G8</x:f>
        <x:v>0.04879016416943205</x:v>
      </x:c>
    </x:row>
    <x:row r="9">
      <x:c r="A9" s="28" t="inlineStr">
        <x:is>
          <x:t xml:space="preserve">COM-07</x:t>
        </x:is>
      </x:c>
      <x:c r="B9" s="28" t="inlineStr">
        <x:is>
          <x:t xml:space="preserve">Alphabet (scribes ×2)</x:t>
        </x:is>
      </x:c>
      <x:c r="C9" s="28" t="n">
        <x:v>4</x:v>
      </x:c>
      <x:c r="D9" s="28" t="inlineStr">
        <x:is>
          <x:t xml:space="preserve">Scribe</x:t>
        </x:is>
      </x:c>
      <x:c r="E9" s="16" t="n">
        <x:v>1</x:v>
      </x:c>
      <x:c r="F9" s="16" t="n">
        <x:v>1</x:v>
      </x:c>
      <x:c r="G9" t="n">
        <x:f>LN(1+E9*F9)</x:f>
        <x:v>0.6931471805599453</x:v>
      </x:c>
      <x:c r="H9" t="n">
        <x:f>IF(C9&lt;0,1,IF(C9=0,0.5,0))*G9</x:f>
        <x:v>0</x:v>
      </x:c>
      <x:c r="I9" t="n">
        <x:f>IF(C9&lt;1,1,IF(C9=1,0.5,0))*G9</x:f>
        <x:v>0</x:v>
      </x:c>
      <x:c r="J9" t="n">
        <x:f>IF(C9&lt;2,1,IF(C9=2,0.5,0))*G9</x:f>
        <x:v>0</x:v>
      </x:c>
      <x:c r="K9" t="n">
        <x:f>IF(C9&lt;3,1,IF(C9=3,0.5,0))*G9</x:f>
        <x:v>0</x:v>
      </x:c>
      <x:c r="L9" t="n">
        <x:f>IF(C9&lt;4,1,IF(C9=4,0.5,0))*G9</x:f>
        <x:v>0.34657359027997264</x:v>
      </x:c>
      <x:c r="M9" t="n">
        <x:f>IF(C9&lt;5,1,IF(C9=5,0.5,0))*G9</x:f>
        <x:v>0.6931471805599453</x:v>
      </x:c>
      <x:c r="N9" t="n">
        <x:f>IF(C9&lt;6,1,IF(C9=6,0.5,0))*G9</x:f>
        <x:v>0.6931471805599453</x:v>
      </x:c>
      <x:c r="O9" t="n">
        <x:f>IF(C9&lt;7,1,IF(C9=7,0.5,0))*G9</x:f>
        <x:v>0.6931471805599453</x:v>
      </x:c>
      <x:c r="P9" t="n">
        <x:f>IF(C9&lt;8,1,IF(C9=8,0.5,0))*G9</x:f>
        <x:v>0.6931471805599453</x:v>
      </x:c>
      <x:c r="Q9" t="n">
        <x:f>IF(C9&lt;9,1,IF(C9=9,0.5,0))*G9</x:f>
        <x:v>0.6931471805599453</x:v>
      </x:c>
    </x:row>
    <x:row r="10">
      <x:c r="A10" s="28" t="inlineStr">
        <x:is>
          <x:t xml:space="preserve">BEL-08</x:t>
        </x:is>
      </x:c>
      <x:c r="B10" s="28" t="inlineStr">
        <x:is>
          <x:t xml:space="preserve">Philosophy &amp; Ethics</x:t>
        </x:is>
      </x:c>
      <x:c r="C10" s="28" t="n">
        <x:v>4</x:v>
      </x:c>
      <x:c r="D10" s="28" t="inlineStr">
        <x:is>
          <x:t xml:space="preserve">All</x:t>
        </x:is>
      </x:c>
      <x:c r="E10" s="16" t="n">
        <x:v>0.1</x:v>
      </x:c>
      <x:c r="F10" s="16" t="n">
        <x:v>1</x:v>
      </x:c>
      <x:c r="G10" t="n">
        <x:f>LN(1+E10*F10)</x:f>
        <x:v>0.09531017980432493</x:v>
      </x:c>
      <x:c r="H10" t="n">
        <x:f>IF(C10&lt;0,1,IF(C10=0,0.5,0))*G10</x:f>
        <x:v>0</x:v>
      </x:c>
      <x:c r="I10" t="n">
        <x:f>IF(C10&lt;1,1,IF(C10=1,0.5,0))*G10</x:f>
        <x:v>0</x:v>
      </x:c>
      <x:c r="J10" t="n">
        <x:f>IF(C10&lt;2,1,IF(C10=2,0.5,0))*G10</x:f>
        <x:v>0</x:v>
      </x:c>
      <x:c r="K10" t="n">
        <x:f>IF(C10&lt;3,1,IF(C10=3,0.5,0))*G10</x:f>
        <x:v>0</x:v>
      </x:c>
      <x:c r="L10" t="n">
        <x:f>IF(C10&lt;4,1,IF(C10=4,0.5,0))*G10</x:f>
        <x:v>0.04765508990216247</x:v>
      </x:c>
      <x:c r="M10" t="n">
        <x:f>IF(C10&lt;5,1,IF(C10=5,0.5,0))*G10</x:f>
        <x:v>0.09531017980432493</x:v>
      </x:c>
      <x:c r="N10" t="n">
        <x:f>IF(C10&lt;6,1,IF(C10=6,0.5,0))*G10</x:f>
        <x:v>0.09531017980432493</x:v>
      </x:c>
      <x:c r="O10" t="n">
        <x:f>IF(C10&lt;7,1,IF(C10=7,0.5,0))*G10</x:f>
        <x:v>0.09531017980432493</x:v>
      </x:c>
      <x:c r="P10" t="n">
        <x:f>IF(C10&lt;8,1,IF(C10=8,0.5,0))*G10</x:f>
        <x:v>0.09531017980432493</x:v>
      </x:c>
      <x:c r="Q10" t="n">
        <x:f>IF(C10&lt;9,1,IF(C10=9,0.5,0))*G10</x:f>
        <x:v>0.09531017980432493</x:v>
      </x:c>
    </x:row>
    <x:row r="11">
      <x:c r="A11" s="28" t="inlineStr">
        <x:is>
          <x:t xml:space="preserve">INQ-04</x:t>
        </x:is>
      </x:c>
      <x:c r="B11" s="28" t="inlineStr">
        <x:is>
          <x:t xml:space="preserve">Natural Philosophy</x:t>
        </x:is>
      </x:c>
      <x:c r="C11" s="28" t="n">
        <x:v>4</x:v>
      </x:c>
      <x:c r="D11" s="28" t="inlineStr">
        <x:is>
          <x:t xml:space="preserve">Scholar</x:t>
        </x:is>
      </x:c>
      <x:c r="E11" s="16" t="n">
        <x:v>0.2</x:v>
      </x:c>
      <x:c r="F11" s="16" t="n">
        <x:v>1</x:v>
      </x:c>
      <x:c r="G11" t="n">
        <x:f>LN(1+E11*F11)</x:f>
        <x:v>0.1823215567939546</x:v>
      </x:c>
      <x:c r="H11" t="n">
        <x:f>IF(C11&lt;0,1,IF(C11=0,0.5,0))*G11</x:f>
        <x:v>0</x:v>
      </x:c>
      <x:c r="I11" t="n">
        <x:f>IF(C11&lt;1,1,IF(C11=1,0.5,0))*G11</x:f>
        <x:v>0</x:v>
      </x:c>
      <x:c r="J11" t="n">
        <x:f>IF(C11&lt;2,1,IF(C11=2,0.5,0))*G11</x:f>
        <x:v>0</x:v>
      </x:c>
      <x:c r="K11" t="n">
        <x:f>IF(C11&lt;3,1,IF(C11=3,0.5,0))*G11</x:f>
        <x:v>0</x:v>
      </x:c>
      <x:c r="L11" t="n">
        <x:f>IF(C11&lt;4,1,IF(C11=4,0.5,0))*G11</x:f>
        <x:v>0.0911607783969773</x:v>
      </x:c>
      <x:c r="M11" t="n">
        <x:f>IF(C11&lt;5,1,IF(C11=5,0.5,0))*G11</x:f>
        <x:v>0.1823215567939546</x:v>
      </x:c>
      <x:c r="N11" t="n">
        <x:f>IF(C11&lt;6,1,IF(C11=6,0.5,0))*G11</x:f>
        <x:v>0.1823215567939546</x:v>
      </x:c>
      <x:c r="O11" t="n">
        <x:f>IF(C11&lt;7,1,IF(C11=7,0.5,0))*G11</x:f>
        <x:v>0.1823215567939546</x:v>
      </x:c>
      <x:c r="P11" t="n">
        <x:f>IF(C11&lt;8,1,IF(C11=8,0.5,0))*G11</x:f>
        <x:v>0.1823215567939546</x:v>
      </x:c>
      <x:c r="Q11" t="n">
        <x:f>IF(C11&lt;9,1,IF(C11=9,0.5,0))*G11</x:f>
        <x:v>0.1823215567939546</x:v>
      </x:c>
    </x:row>
    <x:row r="12">
      <x:c r="A12" s="28" t="inlineStr">
        <x:is>
          <x:t xml:space="preserve">LRN-06</x:t>
        </x:is>
      </x:c>
      <x:c r="B12" s="28" t="inlineStr">
        <x:is>
          <x:t xml:space="preserve">Great Library (Wonder)</x:t>
        </x:is>
      </x:c>
      <x:c r="C12" s="28" t="n">
        <x:v>4</x:v>
      </x:c>
      <x:c r="D12" s="28" t="inlineStr">
        <x:is>
          <x:t xml:space="preserve">All</x:t>
        </x:is>
      </x:c>
      <x:c r="E12" s="16" t="n">
        <x:v>0.2</x:v>
      </x:c>
      <x:c r="F12" s="16" t="n">
        <x:v>0.4</x:v>
      </x:c>
      <x:c r="G12" t="n">
        <x:f>LN(1+E12*F12)</x:f>
        <x:v>0.0769610411361284</x:v>
      </x:c>
      <x:c r="H12" t="n">
        <x:f>IF(C12&lt;0,1,IF(C12=0,0.5,0))*G12</x:f>
        <x:v>0</x:v>
      </x:c>
      <x:c r="I12" t="n">
        <x:f>IF(C12&lt;1,1,IF(C12=1,0.5,0))*G12</x:f>
        <x:v>0</x:v>
      </x:c>
      <x:c r="J12" t="n">
        <x:f>IF(C12&lt;2,1,IF(C12=2,0.5,0))*G12</x:f>
        <x:v>0</x:v>
      </x:c>
      <x:c r="K12" t="n">
        <x:f>IF(C12&lt;3,1,IF(C12=3,0.5,0))*G12</x:f>
        <x:v>0</x:v>
      </x:c>
      <x:c r="L12" t="n">
        <x:f>IF(C12&lt;4,1,IF(C12=4,0.5,0))*G12</x:f>
        <x:v>0.0384805205680642</x:v>
      </x:c>
      <x:c r="M12" t="n">
        <x:f>IF(C12&lt;5,1,IF(C12=5,0.5,0))*G12</x:f>
        <x:v>0.0769610411361284</x:v>
      </x:c>
      <x:c r="N12" t="n">
        <x:f>IF(C12&lt;6,1,IF(C12=6,0.5,0))*G12</x:f>
        <x:v>0.0769610411361284</x:v>
      </x:c>
      <x:c r="O12" t="n">
        <x:f>IF(C12&lt;7,1,IF(C12=7,0.5,0))*G12</x:f>
        <x:v>0.0769610411361284</x:v>
      </x:c>
      <x:c r="P12" t="n">
        <x:f>IF(C12&lt;8,1,IF(C12=8,0.5,0))*G12</x:f>
        <x:v>0.0769610411361284</x:v>
      </x:c>
      <x:c r="Q12" t="n">
        <x:f>IF(C12&lt;9,1,IF(C12=9,0.5,0))*G12</x:f>
        <x:v>0.0769610411361284</x:v>
      </x:c>
    </x:row>
    <x:row r="13">
      <x:c r="A13" s="28" t="inlineStr">
        <x:is>
          <x:t xml:space="preserve">CER-10</x:t>
        </x:is>
      </x:c>
      <x:c r="B13" s="28" t="inlineStr">
        <x:is>
          <x:t xml:space="preserve">Lens Grinding</x:t>
        </x:is>
      </x:c>
      <x:c r="C13" s="28" t="n">
        <x:v>5</x:v>
      </x:c>
      <x:c r="D13" s="28" t="inlineStr">
        <x:is>
          <x:t xml:space="preserve">Elder</x:t>
        </x:is>
      </x:c>
      <x:c r="E13" s="16" t="n">
        <x:v>0.25</x:v>
      </x:c>
      <x:c r="F13" s="16" t="n">
        <x:v>1</x:v>
      </x:c>
      <x:c r="G13" t="n">
        <x:f>LN(1+E13*F13)</x:f>
        <x:v>0.22314355131420976</x:v>
      </x:c>
      <x:c r="H13" t="n">
        <x:f>IF(C13&lt;0,1,IF(C13=0,0.5,0))*G13</x:f>
        <x:v>0</x:v>
      </x:c>
      <x:c r="I13" t="n">
        <x:f>IF(C13&lt;1,1,IF(C13=1,0.5,0))*G13</x:f>
        <x:v>0</x:v>
      </x:c>
      <x:c r="J13" t="n">
        <x:f>IF(C13&lt;2,1,IF(C13=2,0.5,0))*G13</x:f>
        <x:v>0</x:v>
      </x:c>
      <x:c r="K13" t="n">
        <x:f>IF(C13&lt;3,1,IF(C13=3,0.5,0))*G13</x:f>
        <x:v>0</x:v>
      </x:c>
      <x:c r="L13" t="n">
        <x:f>IF(C13&lt;4,1,IF(C13=4,0.5,0))*G13</x:f>
        <x:v>0</x:v>
      </x:c>
      <x:c r="M13" t="n">
        <x:f>IF(C13&lt;5,1,IF(C13=5,0.5,0))*G13</x:f>
        <x:v>0.11157177565710488</x:v>
      </x:c>
      <x:c r="N13" t="n">
        <x:f>IF(C13&lt;6,1,IF(C13=6,0.5,0))*G13</x:f>
        <x:v>0.22314355131420976</x:v>
      </x:c>
      <x:c r="O13" t="n">
        <x:f>IF(C13&lt;7,1,IF(C13=7,0.5,0))*G13</x:f>
        <x:v>0.22314355131420976</x:v>
      </x:c>
      <x:c r="P13" t="n">
        <x:f>IF(C13&lt;8,1,IF(C13=8,0.5,0))*G13</x:f>
        <x:v>0.22314355131420976</x:v>
      </x:c>
      <x:c r="Q13" t="n">
        <x:f>IF(C13&lt;9,1,IF(C13=9,0.5,0))*G13</x:f>
        <x:v>0.22314355131420976</x:v>
      </x:c>
    </x:row>
    <x:row r="14">
      <x:c r="A14" s="28" t="inlineStr">
        <x:is>
          <x:t xml:space="preserve">COM-10</x:t>
        </x:is>
      </x:c>
      <x:c r="B14" s="28" t="inlineStr">
        <x:is>
          <x:t xml:space="preserve">Movable Type</x:t>
        </x:is>
      </x:c>
      <x:c r="C14" s="28" t="n">
        <x:v>5</x:v>
      </x:c>
      <x:c r="D14" s="28" t="inlineStr">
        <x:is>
          <x:t xml:space="preserve">All</x:t>
        </x:is>
      </x:c>
      <x:c r="E14" s="16" t="n">
        <x:v>0.15</x:v>
      </x:c>
      <x:c r="F14" s="16" t="n">
        <x:v>1</x:v>
      </x:c>
      <x:c r="G14" t="n">
        <x:f>LN(1+E14*F14)</x:f>
        <x:v>0.13976194237515863</x:v>
      </x:c>
      <x:c r="H14" t="n">
        <x:f>IF(C14&lt;0,1,IF(C14=0,0.5,0))*G14</x:f>
        <x:v>0</x:v>
      </x:c>
      <x:c r="I14" t="n">
        <x:f>IF(C14&lt;1,1,IF(C14=1,0.5,0))*G14</x:f>
        <x:v>0</x:v>
      </x:c>
      <x:c r="J14" t="n">
        <x:f>IF(C14&lt;2,1,IF(C14=2,0.5,0))*G14</x:f>
        <x:v>0</x:v>
      </x:c>
      <x:c r="K14" t="n">
        <x:f>IF(C14&lt;3,1,IF(C14=3,0.5,0))*G14</x:f>
        <x:v>0</x:v>
      </x:c>
      <x:c r="L14" t="n">
        <x:f>IF(C14&lt;4,1,IF(C14=4,0.5,0))*G14</x:f>
        <x:v>0</x:v>
      </x:c>
      <x:c r="M14" t="n">
        <x:f>IF(C14&lt;5,1,IF(C14=5,0.5,0))*G14</x:f>
        <x:v>0.06988097118757931</x:v>
      </x:c>
      <x:c r="N14" t="n">
        <x:f>IF(C14&lt;6,1,IF(C14=6,0.5,0))*G14</x:f>
        <x:v>0.13976194237515863</x:v>
      </x:c>
      <x:c r="O14" t="n">
        <x:f>IF(C14&lt;7,1,IF(C14=7,0.5,0))*G14</x:f>
        <x:v>0.13976194237515863</x:v>
      </x:c>
      <x:c r="P14" t="n">
        <x:f>IF(C14&lt;8,1,IF(C14=8,0.5,0))*G14</x:f>
        <x:v>0.13976194237515863</x:v>
      </x:c>
      <x:c r="Q14" t="n">
        <x:f>IF(C14&lt;9,1,IF(C14=9,0.5,0))*G14</x:f>
        <x:v>0.13976194237515863</x:v>
      </x:c>
    </x:row>
    <x:row r="15">
      <x:c r="A15" s="28" t="inlineStr">
        <x:is>
          <x:t xml:space="preserve">NUM-09</x:t>
        </x:is>
      </x:c>
      <x:c r="B15" s="28" t="inlineStr">
        <x:is>
          <x:t xml:space="preserve">Algebra</x:t>
        </x:is>
      </x:c>
      <x:c r="C15" s="28" t="n">
        <x:v>5</x:v>
      </x:c>
      <x:c r="D15" s="28" t="inlineStr">
        <x:is>
          <x:t xml:space="preserve">Scholar</x:t>
        </x:is>
      </x:c>
      <x:c r="E15" s="16" t="n">
        <x:v>0.15</x:v>
      </x:c>
      <x:c r="F15" s="16" t="n">
        <x:v>1</x:v>
      </x:c>
      <x:c r="G15" t="n">
        <x:f>LN(1+E15*F15)</x:f>
        <x:v>0.13976194237515863</x:v>
      </x:c>
      <x:c r="H15" t="n">
        <x:f>IF(C15&lt;0,1,IF(C15=0,0.5,0))*G15</x:f>
        <x:v>0</x:v>
      </x:c>
      <x:c r="I15" t="n">
        <x:f>IF(C15&lt;1,1,IF(C15=1,0.5,0))*G15</x:f>
        <x:v>0</x:v>
      </x:c>
      <x:c r="J15" t="n">
        <x:f>IF(C15&lt;2,1,IF(C15=2,0.5,0))*G15</x:f>
        <x:v>0</x:v>
      </x:c>
      <x:c r="K15" t="n">
        <x:f>IF(C15&lt;3,1,IF(C15=3,0.5,0))*G15</x:f>
        <x:v>0</x:v>
      </x:c>
      <x:c r="L15" t="n">
        <x:f>IF(C15&lt;4,1,IF(C15=4,0.5,0))*G15</x:f>
        <x:v>0</x:v>
      </x:c>
      <x:c r="M15" t="n">
        <x:f>IF(C15&lt;5,1,IF(C15=5,0.5,0))*G15</x:f>
        <x:v>0.06988097118757931</x:v>
      </x:c>
      <x:c r="N15" t="n">
        <x:f>IF(C15&lt;6,1,IF(C15=6,0.5,0))*G15</x:f>
        <x:v>0.13976194237515863</x:v>
      </x:c>
      <x:c r="O15" t="n">
        <x:f>IF(C15&lt;7,1,IF(C15=7,0.5,0))*G15</x:f>
        <x:v>0.13976194237515863</x:v>
      </x:c>
      <x:c r="P15" t="n">
        <x:f>IF(C15&lt;8,1,IF(C15=8,0.5,0))*G15</x:f>
        <x:v>0.13976194237515863</x:v>
      </x:c>
      <x:c r="Q15" t="n">
        <x:f>IF(C15&lt;9,1,IF(C15=9,0.5,0))*G15</x:f>
        <x:v>0.13976194237515863</x:v>
      </x:c>
    </x:row>
    <x:row r="16">
      <x:c r="A16" s="28" t="inlineStr">
        <x:is>
          <x:t xml:space="preserve">LRN-08</x:t>
        </x:is>
      </x:c>
      <x:c r="B16" s="28" t="inlineStr">
        <x:is>
          <x:t xml:space="preserve">Universities</x:t>
        </x:is>
      </x:c>
      <x:c r="C16" s="28" t="n">
        <x:v>5</x:v>
      </x:c>
      <x:c r="D16" s="28" t="inlineStr">
        <x:is>
          <x:t xml:space="preserve">Scholar</x:t>
        </x:is>
      </x:c>
      <x:c r="E16" s="16" t="n">
        <x:v>0.5</x:v>
      </x:c>
      <x:c r="F16" s="16" t="n">
        <x:v>1</x:v>
      </x:c>
      <x:c r="G16" t="n">
        <x:f>LN(1+E16*F16)</x:f>
        <x:v>0.4054651081081644</x:v>
      </x:c>
      <x:c r="H16" t="n">
        <x:f>IF(C16&lt;0,1,IF(C16=0,0.5,0))*G16</x:f>
        <x:v>0</x:v>
      </x:c>
      <x:c r="I16" t="n">
        <x:f>IF(C16&lt;1,1,IF(C16=1,0.5,0))*G16</x:f>
        <x:v>0</x:v>
      </x:c>
      <x:c r="J16" t="n">
        <x:f>IF(C16&lt;2,1,IF(C16=2,0.5,0))*G16</x:f>
        <x:v>0</x:v>
      </x:c>
      <x:c r="K16" t="n">
        <x:f>IF(C16&lt;3,1,IF(C16=3,0.5,0))*G16</x:f>
        <x:v>0</x:v>
      </x:c>
      <x:c r="L16" t="n">
        <x:f>IF(C16&lt;4,1,IF(C16=4,0.5,0))*G16</x:f>
        <x:v>0</x:v>
      </x:c>
      <x:c r="M16" t="n">
        <x:f>IF(C16&lt;5,1,IF(C16=5,0.5,0))*G16</x:f>
        <x:v>0.2027325540540822</x:v>
      </x:c>
      <x:c r="N16" t="n">
        <x:f>IF(C16&lt;6,1,IF(C16=6,0.5,0))*G16</x:f>
        <x:v>0.4054651081081644</x:v>
      </x:c>
      <x:c r="O16" t="n">
        <x:f>IF(C16&lt;7,1,IF(C16=7,0.5,0))*G16</x:f>
        <x:v>0.4054651081081644</x:v>
      </x:c>
      <x:c r="P16" t="n">
        <x:f>IF(C16&lt;8,1,IF(C16=8,0.5,0))*G16</x:f>
        <x:v>0.4054651081081644</x:v>
      </x:c>
      <x:c r="Q16" t="n">
        <x:f>IF(C16&lt;9,1,IF(C16=9,0.5,0))*G16</x:f>
        <x:v>0.4054651081081644</x:v>
      </x:c>
    </x:row>
    <x:row r="17">
      <x:c r="A17" s="28" t="inlineStr">
        <x:is>
          <x:t xml:space="preserve">ART-09</x:t>
        </x:is>
      </x:c>
      <x:c r="B17" s="28" t="inlineStr">
        <x:is>
          <x:t xml:space="preserve">Illuminated Manuscripts</x:t>
        </x:is>
      </x:c>
      <x:c r="C17" s="28" t="n">
        <x:v>5</x:v>
      </x:c>
      <x:c r="D17" s="28" t="inlineStr">
        <x:is>
          <x:t xml:space="preserve">Monastery</x:t>
        </x:is>
      </x:c>
      <x:c r="E17" s="16" t="n">
        <x:v>0.1</x:v>
      </x:c>
      <x:c r="F17" s="16" t="n">
        <x:v>1</x:v>
      </x:c>
      <x:c r="G17" t="n">
        <x:f>LN(1+E17*F17)</x:f>
        <x:v>0.09531017980432493</x:v>
      </x:c>
      <x:c r="H17" t="n">
        <x:f>IF(C17&lt;0,1,IF(C17=0,0.5,0))*G17</x:f>
        <x:v>0</x:v>
      </x:c>
      <x:c r="I17" t="n">
        <x:f>IF(C17&lt;1,1,IF(C17=1,0.5,0))*G17</x:f>
        <x:v>0</x:v>
      </x:c>
      <x:c r="J17" t="n">
        <x:f>IF(C17&lt;2,1,IF(C17=2,0.5,0))*G17</x:f>
        <x:v>0</x:v>
      </x:c>
      <x:c r="K17" t="n">
        <x:f>IF(C17&lt;3,1,IF(C17=3,0.5,0))*G17</x:f>
        <x:v>0</x:v>
      </x:c>
      <x:c r="L17" t="n">
        <x:f>IF(C17&lt;4,1,IF(C17=4,0.5,0))*G17</x:f>
        <x:v>0</x:v>
      </x:c>
      <x:c r="M17" t="n">
        <x:f>IF(C17&lt;5,1,IF(C17=5,0.5,0))*G17</x:f>
        <x:v>0.04765508990216247</x:v>
      </x:c>
      <x:c r="N17" t="n">
        <x:f>IF(C17&lt;6,1,IF(C17=6,0.5,0))*G17</x:f>
        <x:v>0.09531017980432493</x:v>
      </x:c>
      <x:c r="O17" t="n">
        <x:f>IF(C17&lt;7,1,IF(C17=7,0.5,0))*G17</x:f>
        <x:v>0.09531017980432493</x:v>
      </x:c>
      <x:c r="P17" t="n">
        <x:f>IF(C17&lt;8,1,IF(C17=8,0.5,0))*G17</x:f>
        <x:v>0.09531017980432493</x:v>
      </x:c>
      <x:c r="Q17" t="n">
        <x:f>IF(C17&lt;9,1,IF(C17=9,0.5,0))*G17</x:f>
        <x:v>0.09531017980432493</x:v>
      </x:c>
    </x:row>
    <x:row r="18">
      <x:c r="A18" s="28" t="inlineStr">
        <x:is>
          <x:t xml:space="preserve">SOC-12</x:t>
        </x:is>
      </x:c>
      <x:c r="B18" s="28" t="inlineStr">
        <x:is>
          <x:t xml:space="preserve">Middle Class</x:t>
        </x:is>
      </x:c>
      <x:c r="C18" s="28" t="n">
        <x:v>6</x:v>
      </x:c>
      <x:c r="D18" s="28" t="inlineStr">
        <x:is>
          <x:t xml:space="preserve">Commons</x:t>
        </x:is>
      </x:c>
      <x:c r="E18" s="16" t="n">
        <x:v>0.2</x:v>
      </x:c>
      <x:c r="F18" s="16" t="n">
        <x:v>1</x:v>
      </x:c>
      <x:c r="G18" t="n">
        <x:f>LN(1+E18*F18)</x:f>
        <x:v>0.1823215567939546</x:v>
      </x:c>
      <x:c r="H18" t="n">
        <x:f>IF(C18&lt;0,1,IF(C18=0,0.5,0))*G18</x:f>
        <x:v>0</x:v>
      </x:c>
      <x:c r="I18" t="n">
        <x:f>IF(C18&lt;1,1,IF(C18=1,0.5,0))*G18</x:f>
        <x:v>0</x:v>
      </x:c>
      <x:c r="J18" t="n">
        <x:f>IF(C18&lt;2,1,IF(C18=2,0.5,0))*G18</x:f>
        <x:v>0</x:v>
      </x:c>
      <x:c r="K18" t="n">
        <x:f>IF(C18&lt;3,1,IF(C18=3,0.5,0))*G18</x:f>
        <x:v>0</x:v>
      </x:c>
      <x:c r="L18" t="n">
        <x:f>IF(C18&lt;4,1,IF(C18=4,0.5,0))*G18</x:f>
        <x:v>0</x:v>
      </x:c>
      <x:c r="M18" t="n">
        <x:f>IF(C18&lt;5,1,IF(C18=5,0.5,0))*G18</x:f>
        <x:v>0</x:v>
      </x:c>
      <x:c r="N18" t="n">
        <x:f>IF(C18&lt;6,1,IF(C18=6,0.5,0))*G18</x:f>
        <x:v>0.0911607783969773</x:v>
      </x:c>
      <x:c r="O18" t="n">
        <x:f>IF(C18&lt;7,1,IF(C18=7,0.5,0))*G18</x:f>
        <x:v>0.1823215567939546</x:v>
      </x:c>
      <x:c r="P18" t="n">
        <x:f>IF(C18&lt;8,1,IF(C18=8,0.5,0))*G18</x:f>
        <x:v>0.1823215567939546</x:v>
      </x:c>
      <x:c r="Q18" t="n">
        <x:f>IF(C18&lt;9,1,IF(C18=9,0.5,0))*G18</x:f>
        <x:v>0.1823215567939546</x:v>
      </x:c>
    </x:row>
    <x:row r="19">
      <x:c r="A19" s="28" t="inlineStr">
        <x:is>
          <x:t xml:space="preserve">BEL-12</x:t>
        </x:is>
      </x:c>
      <x:c r="B19" s="28" t="inlineStr">
        <x:is>
          <x:t xml:space="preserve">Reformation &amp; Tolerance</x:t>
        </x:is>
      </x:c>
      <x:c r="C19" s="28" t="n">
        <x:v>6</x:v>
      </x:c>
      <x:c r="D19" s="28" t="inlineStr">
        <x:is>
          <x:t xml:space="preserve">All</x:t>
        </x:is>
      </x:c>
      <x:c r="E19" s="16" t="n">
        <x:v>0.1</x:v>
      </x:c>
      <x:c r="F19" s="16" t="n">
        <x:v>1</x:v>
      </x:c>
      <x:c r="G19" t="n">
        <x:f>LN(1+E19*F19)</x:f>
        <x:v>0.09531017980432493</x:v>
      </x:c>
      <x:c r="H19" t="n">
        <x:f>IF(C19&lt;0,1,IF(C19=0,0.5,0))*G19</x:f>
        <x:v>0</x:v>
      </x:c>
      <x:c r="I19" t="n">
        <x:f>IF(C19&lt;1,1,IF(C19=1,0.5,0))*G19</x:f>
        <x:v>0</x:v>
      </x:c>
      <x:c r="J19" t="n">
        <x:f>IF(C19&lt;2,1,IF(C19=2,0.5,0))*G19</x:f>
        <x:v>0</x:v>
      </x:c>
      <x:c r="K19" t="n">
        <x:f>IF(C19&lt;3,1,IF(C19=3,0.5,0))*G19</x:f>
        <x:v>0</x:v>
      </x:c>
      <x:c r="L19" t="n">
        <x:f>IF(C19&lt;4,1,IF(C19=4,0.5,0))*G19</x:f>
        <x:v>0</x:v>
      </x:c>
      <x:c r="M19" t="n">
        <x:f>IF(C19&lt;5,1,IF(C19=5,0.5,0))*G19</x:f>
        <x:v>0</x:v>
      </x:c>
      <x:c r="N19" t="n">
        <x:f>IF(C19&lt;6,1,IF(C19=6,0.5,0))*G19</x:f>
        <x:v>0.04765508990216247</x:v>
      </x:c>
      <x:c r="O19" t="n">
        <x:f>IF(C19&lt;7,1,IF(C19=7,0.5,0))*G19</x:f>
        <x:v>0.09531017980432493</x:v>
      </x:c>
      <x:c r="P19" t="n">
        <x:f>IF(C19&lt;8,1,IF(C19=8,0.5,0))*G19</x:f>
        <x:v>0.09531017980432493</x:v>
      </x:c>
      <x:c r="Q19" t="n">
        <x:f>IF(C19&lt;9,1,IF(C19=9,0.5,0))*G19</x:f>
        <x:v>0.09531017980432493</x:v>
      </x:c>
    </x:row>
    <x:row r="20">
      <x:c r="A20" s="28" t="inlineStr">
        <x:is>
          <x:t xml:space="preserve">ART-10</x:t>
        </x:is>
      </x:c>
      <x:c r="B20" s="28" t="inlineStr">
        <x:is>
          <x:t xml:space="preserve">Renaissance Patronage</x:t>
        </x:is>
      </x:c>
      <x:c r="C20" s="28" t="n">
        <x:v>6</x:v>
      </x:c>
      <x:c r="D20" s="28" t="inlineStr">
        <x:is>
          <x:t xml:space="preserve">All</x:t>
        </x:is>
      </x:c>
      <x:c r="E20" s="16" t="n">
        <x:v>0.1</x:v>
      </x:c>
      <x:c r="F20" s="16" t="n">
        <x:v>1</x:v>
      </x:c>
      <x:c r="G20" t="n">
        <x:f>LN(1+E20*F20)</x:f>
        <x:v>0.09531017980432493</x:v>
      </x:c>
      <x:c r="H20" t="n">
        <x:f>IF(C20&lt;0,1,IF(C20=0,0.5,0))*G20</x:f>
        <x:v>0</x:v>
      </x:c>
      <x:c r="I20" t="n">
        <x:f>IF(C20&lt;1,1,IF(C20=1,0.5,0))*G20</x:f>
        <x:v>0</x:v>
      </x:c>
      <x:c r="J20" t="n">
        <x:f>IF(C20&lt;2,1,IF(C20=2,0.5,0))*G20</x:f>
        <x:v>0</x:v>
      </x:c>
      <x:c r="K20" t="n">
        <x:f>IF(C20&lt;3,1,IF(C20=3,0.5,0))*G20</x:f>
        <x:v>0</x:v>
      </x:c>
      <x:c r="L20" t="n">
        <x:f>IF(C20&lt;4,1,IF(C20=4,0.5,0))*G20</x:f>
        <x:v>0</x:v>
      </x:c>
      <x:c r="M20" t="n">
        <x:f>IF(C20&lt;5,1,IF(C20=5,0.5,0))*G20</x:f>
        <x:v>0</x:v>
      </x:c>
      <x:c r="N20" t="n">
        <x:f>IF(C20&lt;6,1,IF(C20=6,0.5,0))*G20</x:f>
        <x:v>0.04765508990216247</x:v>
      </x:c>
      <x:c r="O20" t="n">
        <x:f>IF(C20&lt;7,1,IF(C20=7,0.5,0))*G20</x:f>
        <x:v>0.09531017980432493</x:v>
      </x:c>
      <x:c r="P20" t="n">
        <x:f>IF(C20&lt;8,1,IF(C20=8,0.5,0))*G20</x:f>
        <x:v>0.09531017980432493</x:v>
      </x:c>
      <x:c r="Q20" t="n">
        <x:f>IF(C20&lt;9,1,IF(C20=9,0.5,0))*G20</x:f>
        <x:v>0.09531017980432493</x:v>
      </x:c>
    </x:row>
    <x:row r="21">
      <x:c r="A21" s="28" t="inlineStr">
        <x:is>
          <x:t xml:space="preserve">INQ-08</x:t>
        </x:is>
      </x:c>
      <x:c r="B21" s="28" t="inlineStr">
        <x:is>
          <x:t xml:space="preserve">Scientific Method</x:t>
        </x:is>
      </x:c>
      <x:c r="C21" s="28" t="n">
        <x:v>6</x:v>
      </x:c>
      <x:c r="D21" s="28" t="inlineStr">
        <x:is>
          <x:t xml:space="preserve">All</x:t>
        </x:is>
      </x:c>
      <x:c r="E21" s="16" t="n">
        <x:v>0.1</x:v>
      </x:c>
      <x:c r="F21" s="16" t="n">
        <x:v>1</x:v>
      </x:c>
      <x:c r="G21" t="n">
        <x:f>LN(1+E21*F21)</x:f>
        <x:v>0.09531017980432493</x:v>
      </x:c>
      <x:c r="H21" t="n">
        <x:f>IF(C21&lt;0,1,IF(C21=0,0.5,0))*G21</x:f>
        <x:v>0</x:v>
      </x:c>
      <x:c r="I21" t="n">
        <x:f>IF(C21&lt;1,1,IF(C21=1,0.5,0))*G21</x:f>
        <x:v>0</x:v>
      </x:c>
      <x:c r="J21" t="n">
        <x:f>IF(C21&lt;2,1,IF(C21=2,0.5,0))*G21</x:f>
        <x:v>0</x:v>
      </x:c>
      <x:c r="K21" t="n">
        <x:f>IF(C21&lt;3,1,IF(C21=3,0.5,0))*G21</x:f>
        <x:v>0</x:v>
      </x:c>
      <x:c r="L21" t="n">
        <x:f>IF(C21&lt;4,1,IF(C21=4,0.5,0))*G21</x:f>
        <x:v>0</x:v>
      </x:c>
      <x:c r="M21" t="n">
        <x:f>IF(C21&lt;5,1,IF(C21=5,0.5,0))*G21</x:f>
        <x:v>0</x:v>
      </x:c>
      <x:c r="N21" t="n">
        <x:f>IF(C21&lt;6,1,IF(C21=6,0.5,0))*G21</x:f>
        <x:v>0.04765508990216247</x:v>
      </x:c>
      <x:c r="O21" t="n">
        <x:f>IF(C21&lt;7,1,IF(C21=7,0.5,0))*G21</x:f>
        <x:v>0.09531017980432493</x:v>
      </x:c>
      <x:c r="P21" t="n">
        <x:f>IF(C21&lt;8,1,IF(C21=8,0.5,0))*G21</x:f>
        <x:v>0.09531017980432493</x:v>
      </x:c>
      <x:c r="Q21" t="n">
        <x:f>IF(C21&lt;9,1,IF(C21=9,0.5,0))*G21</x:f>
        <x:v>0.09531017980432493</x:v>
      </x:c>
    </x:row>
    <x:row r="22">
      <x:c r="A22" s="28" t="inlineStr">
        <x:is>
          <x:t xml:space="preserve">LRN-10</x:t>
        </x:is>
      </x:c>
      <x:c r="B22" s="28" t="inlineStr">
        <x:is>
          <x:t xml:space="preserve">Public Schooling</x:t>
        </x:is>
      </x:c>
      <x:c r="C22" s="28" t="n">
        <x:v>7</x:v>
      </x:c>
      <x:c r="D22" s="28" t="inlineStr">
        <x:is>
          <x:t xml:space="preserve">Commons</x:t>
        </x:is>
      </x:c>
      <x:c r="E22" s="16" t="n">
        <x:v>0.5</x:v>
      </x:c>
      <x:c r="F22" s="16" t="n">
        <x:v>1</x:v>
      </x:c>
      <x:c r="G22" t="n">
        <x:f>LN(1+E22*F22)</x:f>
        <x:v>0.4054651081081644</x:v>
      </x:c>
      <x:c r="H22" t="n">
        <x:f>IF(C22&lt;0,1,IF(C22=0,0.5,0))*G22</x:f>
        <x:v>0</x:v>
      </x:c>
      <x:c r="I22" t="n">
        <x:f>IF(C22&lt;1,1,IF(C22=1,0.5,0))*G22</x:f>
        <x:v>0</x:v>
      </x:c>
      <x:c r="J22" t="n">
        <x:f>IF(C22&lt;2,1,IF(C22=2,0.5,0))*G22</x:f>
        <x:v>0</x:v>
      </x:c>
      <x:c r="K22" t="n">
        <x:f>IF(C22&lt;3,1,IF(C22=3,0.5,0))*G22</x:f>
        <x:v>0</x:v>
      </x:c>
      <x:c r="L22" t="n">
        <x:f>IF(C22&lt;4,1,IF(C22=4,0.5,0))*G22</x:f>
        <x:v>0</x:v>
      </x:c>
      <x:c r="M22" t="n">
        <x:f>IF(C22&lt;5,1,IF(C22=5,0.5,0))*G22</x:f>
        <x:v>0</x:v>
      </x:c>
      <x:c r="N22" t="n">
        <x:f>IF(C22&lt;6,1,IF(C22=6,0.5,0))*G22</x:f>
        <x:v>0</x:v>
      </x:c>
      <x:c r="O22" t="n">
        <x:f>IF(C22&lt;7,1,IF(C22=7,0.5,0))*G22</x:f>
        <x:v>0.2027325540540822</x:v>
      </x:c>
      <x:c r="P22" t="n">
        <x:f>IF(C22&lt;8,1,IF(C22=8,0.5,0))*G22</x:f>
        <x:v>0.4054651081081644</x:v>
      </x:c>
      <x:c r="Q22" t="n">
        <x:f>IF(C22&lt;9,1,IF(C22=9,0.5,0))*G22</x:f>
        <x:v>0.4054651081081644</x:v>
      </x:c>
    </x:row>
    <x:row r="23">
      <x:c r="A23" s="28" t="inlineStr">
        <x:is>
          <x:t xml:space="preserve">GOV-13</x:t>
        </x:is>
      </x:c>
      <x:c r="B23" s="28" t="inlineStr">
        <x:is>
          <x:t xml:space="preserve">Constitutional Democracy</x:t>
        </x:is>
      </x:c>
      <x:c r="C23" s="28" t="n">
        <x:v>7</x:v>
      </x:c>
      <x:c r="D23" s="28" t="inlineStr">
        <x:is>
          <x:t xml:space="preserve">All</x:t>
        </x:is>
      </x:c>
      <x:c r="E23" s="16" t="n">
        <x:v>0.1</x:v>
      </x:c>
      <x:c r="F23" s="16" t="n">
        <x:v>1</x:v>
      </x:c>
      <x:c r="G23" t="n">
        <x:f>LN(1+E23*F23)</x:f>
        <x:v>0.09531017980432493</x:v>
      </x:c>
      <x:c r="H23" t="n">
        <x:f>IF(C23&lt;0,1,IF(C23=0,0.5,0))*G23</x:f>
        <x:v>0</x:v>
      </x:c>
      <x:c r="I23" t="n">
        <x:f>IF(C23&lt;1,1,IF(C23=1,0.5,0))*G23</x:f>
        <x:v>0</x:v>
      </x:c>
      <x:c r="J23" t="n">
        <x:f>IF(C23&lt;2,1,IF(C23=2,0.5,0))*G23</x:f>
        <x:v>0</x:v>
      </x:c>
      <x:c r="K23" t="n">
        <x:f>IF(C23&lt;3,1,IF(C23=3,0.5,0))*G23</x:f>
        <x:v>0</x:v>
      </x:c>
      <x:c r="L23" t="n">
        <x:f>IF(C23&lt;4,1,IF(C23=4,0.5,0))*G23</x:f>
        <x:v>0</x:v>
      </x:c>
      <x:c r="M23" t="n">
        <x:f>IF(C23&lt;5,1,IF(C23=5,0.5,0))*G23</x:f>
        <x:v>0</x:v>
      </x:c>
      <x:c r="N23" t="n">
        <x:f>IF(C23&lt;6,1,IF(C23=6,0.5,0))*G23</x:f>
        <x:v>0</x:v>
      </x:c>
      <x:c r="O23" t="n">
        <x:f>IF(C23&lt;7,1,IF(C23=7,0.5,0))*G23</x:f>
        <x:v>0.04765508990216247</x:v>
      </x:c>
      <x:c r="P23" t="n">
        <x:f>IF(C23&lt;8,1,IF(C23=8,0.5,0))*G23</x:f>
        <x:v>0.09531017980432493</x:v>
      </x:c>
      <x:c r="Q23" t="n">
        <x:f>IF(C23&lt;9,1,IF(C23=9,0.5,0))*G23</x:f>
        <x:v>0.09531017980432493</x:v>
      </x:c>
    </x:row>
    <x:row r="24">
      <x:c r="A24" s="28" t="inlineStr">
        <x:is>
          <x:t xml:space="preserve">BEL-13</x:t>
        </x:is>
      </x:c>
      <x:c r="B24" s="28" t="inlineStr">
        <x:is>
          <x:t xml:space="preserve">Secular Humanism</x:t>
        </x:is>
      </x:c>
      <x:c r="C24" s="28" t="n">
        <x:v>7</x:v>
      </x:c>
      <x:c r="D24" s="28" t="inlineStr">
        <x:is>
          <x:t xml:space="preserve">All</x:t>
        </x:is>
      </x:c>
      <x:c r="E24" s="16" t="n">
        <x:v>0.1</x:v>
      </x:c>
      <x:c r="F24" s="16" t="n">
        <x:v>1</x:v>
      </x:c>
      <x:c r="G24" t="n">
        <x:f>LN(1+E24*F24)</x:f>
        <x:v>0.09531017980432493</x:v>
      </x:c>
      <x:c r="H24" t="n">
        <x:f>IF(C24&lt;0,1,IF(C24=0,0.5,0))*G24</x:f>
        <x:v>0</x:v>
      </x:c>
      <x:c r="I24" t="n">
        <x:f>IF(C24&lt;1,1,IF(C24=1,0.5,0))*G24</x:f>
        <x:v>0</x:v>
      </x:c>
      <x:c r="J24" t="n">
        <x:f>IF(C24&lt;2,1,IF(C24=2,0.5,0))*G24</x:f>
        <x:v>0</x:v>
      </x:c>
      <x:c r="K24" t="n">
        <x:f>IF(C24&lt;3,1,IF(C24=3,0.5,0))*G24</x:f>
        <x:v>0</x:v>
      </x:c>
      <x:c r="L24" t="n">
        <x:f>IF(C24&lt;4,1,IF(C24=4,0.5,0))*G24</x:f>
        <x:v>0</x:v>
      </x:c>
      <x:c r="M24" t="n">
        <x:f>IF(C24&lt;5,1,IF(C24=5,0.5,0))*G24</x:f>
        <x:v>0</x:v>
      </x:c>
      <x:c r="N24" t="n">
        <x:f>IF(C24&lt;6,1,IF(C24=6,0.5,0))*G24</x:f>
        <x:v>0</x:v>
      </x:c>
      <x:c r="O24" t="n">
        <x:f>IF(C24&lt;7,1,IF(C24=7,0.5,0))*G24</x:f>
        <x:v>0.04765508990216247</x:v>
      </x:c>
      <x:c r="P24" t="n">
        <x:f>IF(C24&lt;8,1,IF(C24=8,0.5,0))*G24</x:f>
        <x:v>0.09531017980432493</x:v>
      </x:c>
      <x:c r="Q24" t="n">
        <x:f>IF(C24&lt;9,1,IF(C24=9,0.5,0))*G24</x:f>
        <x:v>0.09531017980432493</x:v>
      </x:c>
    </x:row>
    <x:row r="25">
      <x:c r="A25" s="28" t="inlineStr">
        <x:is>
          <x:t xml:space="preserve">FIR-13</x:t>
        </x:is>
      </x:c>
      <x:c r="B25" s="28" t="inlineStr">
        <x:is>
          <x:t xml:space="preserve">Gas Lighting (cities)</x:t>
        </x:is>
      </x:c>
      <x:c r="C25" s="28" t="n">
        <x:v>7</x:v>
      </x:c>
      <x:c r="D25" s="28" t="inlineStr">
        <x:is>
          <x:t xml:space="preserve">All</x:t>
        </x:is>
      </x:c>
      <x:c r="E25" s="16" t="n">
        <x:v>0.05</x:v>
      </x:c>
      <x:c r="F25" s="16" t="n">
        <x:v>0.5</x:v>
      </x:c>
      <x:c r="G25" t="n">
        <x:f>LN(1+E25*F25)</x:f>
        <x:v>0.024692612590371414</x:v>
      </x:c>
      <x:c r="H25" t="n">
        <x:f>IF(C25&lt;0,1,IF(C25=0,0.5,0))*G25</x:f>
        <x:v>0</x:v>
      </x:c>
      <x:c r="I25" t="n">
        <x:f>IF(C25&lt;1,1,IF(C25=1,0.5,0))*G25</x:f>
        <x:v>0</x:v>
      </x:c>
      <x:c r="J25" t="n">
        <x:f>IF(C25&lt;2,1,IF(C25=2,0.5,0))*G25</x:f>
        <x:v>0</x:v>
      </x:c>
      <x:c r="K25" t="n">
        <x:f>IF(C25&lt;3,1,IF(C25=3,0.5,0))*G25</x:f>
        <x:v>0</x:v>
      </x:c>
      <x:c r="L25" t="n">
        <x:f>IF(C25&lt;4,1,IF(C25=4,0.5,0))*G25</x:f>
        <x:v>0</x:v>
      </x:c>
      <x:c r="M25" t="n">
        <x:f>IF(C25&lt;5,1,IF(C25=5,0.5,0))*G25</x:f>
        <x:v>0</x:v>
      </x:c>
      <x:c r="N25" t="n">
        <x:f>IF(C25&lt;6,1,IF(C25=6,0.5,0))*G25</x:f>
        <x:v>0</x:v>
      </x:c>
      <x:c r="O25" t="n">
        <x:f>IF(C25&lt;7,1,IF(C25=7,0.5,0))*G25</x:f>
        <x:v>0.012346306295185707</x:v>
      </x:c>
      <x:c r="P25" t="n">
        <x:f>IF(C25&lt;8,1,IF(C25=8,0.5,0))*G25</x:f>
        <x:v>0.024692612590371414</x:v>
      </x:c>
      <x:c r="Q25" t="n">
        <x:f>IF(C25&lt;9,1,IF(C25=9,0.5,0))*G25</x:f>
        <x:v>0.024692612590371414</x:v>
      </x:c>
    </x:row>
    <x:row r="26">
      <x:c r="A26" s="28" t="inlineStr">
        <x:is>
          <x:t xml:space="preserve">LRN-11</x:t>
        </x:is>
      </x:c>
      <x:c r="B26" s="28" t="inlineStr">
        <x:is>
          <x:t xml:space="preserve">Mass Education</x:t>
        </x:is>
      </x:c>
      <x:c r="C26" s="28" t="n">
        <x:v>8</x:v>
      </x:c>
      <x:c r="D26" s="28" t="inlineStr">
        <x:is>
          <x:t xml:space="preserve">Commons</x:t>
        </x:is>
      </x:c>
      <x:c r="E26" s="16" t="n">
        <x:v>0.5</x:v>
      </x:c>
      <x:c r="F26" s="16" t="n">
        <x:v>1</x:v>
      </x:c>
      <x:c r="G26" t="n">
        <x:f>LN(1+E26*F26)</x:f>
        <x:v>0.4054651081081644</x:v>
      </x:c>
      <x:c r="H26" t="n">
        <x:f>IF(C26&lt;0,1,IF(C26=0,0.5,0))*G26</x:f>
        <x:v>0</x:v>
      </x:c>
      <x:c r="I26" t="n">
        <x:f>IF(C26&lt;1,1,IF(C26=1,0.5,0))*G26</x:f>
        <x:v>0</x:v>
      </x:c>
      <x:c r="J26" t="n">
        <x:f>IF(C26&lt;2,1,IF(C26=2,0.5,0))*G26</x:f>
        <x:v>0</x:v>
      </x:c>
      <x:c r="K26" t="n">
        <x:f>IF(C26&lt;3,1,IF(C26=3,0.5,0))*G26</x:f>
        <x:v>0</x:v>
      </x:c>
      <x:c r="L26" t="n">
        <x:f>IF(C26&lt;4,1,IF(C26=4,0.5,0))*G26</x:f>
        <x:v>0</x:v>
      </x:c>
      <x:c r="M26" t="n">
        <x:f>IF(C26&lt;5,1,IF(C26=5,0.5,0))*G26</x:f>
        <x:v>0</x:v>
      </x:c>
      <x:c r="N26" t="n">
        <x:f>IF(C26&lt;6,1,IF(C26=6,0.5,0))*G26</x:f>
        <x:v>0</x:v>
      </x:c>
      <x:c r="O26" t="n">
        <x:f>IF(C26&lt;7,1,IF(C26=7,0.5,0))*G26</x:f>
        <x:v>0</x:v>
      </x:c>
      <x:c r="P26" t="n">
        <x:f>IF(C26&lt;8,1,IF(C26=8,0.5,0))*G26</x:f>
        <x:v>0.2027325540540822</x:v>
      </x:c>
      <x:c r="Q26" t="n">
        <x:f>IF(C26&lt;9,1,IF(C26=9,0.5,0))*G26</x:f>
        <x:v>0.4054651081081644</x:v>
      </x:c>
    </x:row>
    <x:row r="27">
      <x:c r="A27" s="28" t="inlineStr">
        <x:is>
          <x:t xml:space="preserve">NRG-09</x:t>
        </x:is>
      </x:c>
      <x:c r="B27" s="28" t="inlineStr">
        <x:is>
          <x:t xml:space="preserve">Electric Grid</x:t>
        </x:is>
      </x:c>
      <x:c r="C27" s="28" t="n">
        <x:v>8</x:v>
      </x:c>
      <x:c r="D27" s="28" t="inlineStr">
        <x:is>
          <x:t xml:space="preserve">All</x:t>
        </x:is>
      </x:c>
      <x:c r="E27" s="16" t="n">
        <x:v>0.1</x:v>
      </x:c>
      <x:c r="F27" s="16" t="n">
        <x:v>1</x:v>
      </x:c>
      <x:c r="G27" t="n">
        <x:f>LN(1+E27*F27)</x:f>
        <x:v>0.09531017980432493</x:v>
      </x:c>
      <x:c r="H27" t="n">
        <x:f>IF(C27&lt;0,1,IF(C27=0,0.5,0))*G27</x:f>
        <x:v>0</x:v>
      </x:c>
      <x:c r="I27" t="n">
        <x:f>IF(C27&lt;1,1,IF(C27=1,0.5,0))*G27</x:f>
        <x:v>0</x:v>
      </x:c>
      <x:c r="J27" t="n">
        <x:f>IF(C27&lt;2,1,IF(C27=2,0.5,0))*G27</x:f>
        <x:v>0</x:v>
      </x:c>
      <x:c r="K27" t="n">
        <x:f>IF(C27&lt;3,1,IF(C27=3,0.5,0))*G27</x:f>
        <x:v>0</x:v>
      </x:c>
      <x:c r="L27" t="n">
        <x:f>IF(C27&lt;4,1,IF(C27=4,0.5,0))*G27</x:f>
        <x:v>0</x:v>
      </x:c>
      <x:c r="M27" t="n">
        <x:f>IF(C27&lt;5,1,IF(C27=5,0.5,0))*G27</x:f>
        <x:v>0</x:v>
      </x:c>
      <x:c r="N27" t="n">
        <x:f>IF(C27&lt;6,1,IF(C27=6,0.5,0))*G27</x:f>
        <x:v>0</x:v>
      </x:c>
      <x:c r="O27" t="n">
        <x:f>IF(C27&lt;7,1,IF(C27=7,0.5,0))*G27</x:f>
        <x:v>0</x:v>
      </x:c>
      <x:c r="P27" t="n">
        <x:f>IF(C27&lt;8,1,IF(C27=8,0.5,0))*G27</x:f>
        <x:v>0.04765508990216247</x:v>
      </x:c>
      <x:c r="Q27" t="n">
        <x:f>IF(C27&lt;9,1,IF(C27=9,0.5,0))*G27</x:f>
        <x:v>0.09531017980432493</x:v>
      </x:c>
    </x:row>
    <x:row r="28">
      <x:c r="A28" s="28" t="inlineStr">
        <x:is>
          <x:t xml:space="preserve">GOV-14</x:t>
        </x:is>
      </x:c>
      <x:c r="B28" s="28" t="inlineStr">
        <x:is>
          <x:t xml:space="preserve">Universal Suffrage</x:t>
        </x:is>
      </x:c>
      <x:c r="C28" s="28" t="n">
        <x:v>8</x:v>
      </x:c>
      <x:c r="D28" s="28" t="inlineStr">
        <x:is>
          <x:t xml:space="preserve">Commons</x:t>
        </x:is>
      </x:c>
      <x:c r="E28" s="16" t="n">
        <x:v>0.1</x:v>
      </x:c>
      <x:c r="F28" s="16" t="n">
        <x:v>0.6</x:v>
      </x:c>
      <x:c r="G28" t="n">
        <x:f>LN(1+E28*F28)</x:f>
        <x:v>0.058268908123975824</x:v>
      </x:c>
      <x:c r="H28" t="n">
        <x:f>IF(C28&lt;0,1,IF(C28=0,0.5,0))*G28</x:f>
        <x:v>0</x:v>
      </x:c>
      <x:c r="I28" t="n">
        <x:f>IF(C28&lt;1,1,IF(C28=1,0.5,0))*G28</x:f>
        <x:v>0</x:v>
      </x:c>
      <x:c r="J28" t="n">
        <x:f>IF(C28&lt;2,1,IF(C28=2,0.5,0))*G28</x:f>
        <x:v>0</x:v>
      </x:c>
      <x:c r="K28" t="n">
        <x:f>IF(C28&lt;3,1,IF(C28=3,0.5,0))*G28</x:f>
        <x:v>0</x:v>
      </x:c>
      <x:c r="L28" t="n">
        <x:f>IF(C28&lt;4,1,IF(C28=4,0.5,0))*G28</x:f>
        <x:v>0</x:v>
      </x:c>
      <x:c r="M28" t="n">
        <x:f>IF(C28&lt;5,1,IF(C28=5,0.5,0))*G28</x:f>
        <x:v>0</x:v>
      </x:c>
      <x:c r="N28" t="n">
        <x:f>IF(C28&lt;6,1,IF(C28=6,0.5,0))*G28</x:f>
        <x:v>0</x:v>
      </x:c>
      <x:c r="O28" t="n">
        <x:f>IF(C28&lt;7,1,IF(C28=7,0.5,0))*G28</x:f>
        <x:v>0</x:v>
      </x:c>
      <x:c r="P28" t="n">
        <x:f>IF(C28&lt;8,1,IF(C28=8,0.5,0))*G28</x:f>
        <x:v>0.029134454061987912</x:v>
      </x:c>
      <x:c r="Q28" t="n">
        <x:f>IF(C28&lt;9,1,IF(C28=9,0.5,0))*G28</x:f>
        <x:v>0.058268908123975824</x:v>
      </x:c>
    </x:row>
    <x:row r="29">
      <x:c r="A29" s="28" t="inlineStr">
        <x:is>
          <x:t xml:space="preserve">MEC-13</x:t>
        </x:is>
      </x:c>
      <x:c r="B29" s="28" t="inlineStr">
        <x:is>
          <x:t xml:space="preserve">Electronic Computer</x:t>
        </x:is>
      </x:c>
      <x:c r="C29" s="28" t="n">
        <x:v>8</x:v>
      </x:c>
      <x:c r="D29" s="28" t="inlineStr">
        <x:is>
          <x:t xml:space="preserve">Researcher</x:t>
        </x:is>
      </x:c>
      <x:c r="E29" s="16" t="n">
        <x:v>0.5</x:v>
      </x:c>
      <x:c r="F29" s="16" t="n">
        <x:v>1</x:v>
      </x:c>
      <x:c r="G29" t="n">
        <x:f>LN(1+E29*F29)</x:f>
        <x:v>0.4054651081081644</x:v>
      </x:c>
      <x:c r="H29" t="n">
        <x:f>IF(C29&lt;0,1,IF(C29=0,0.5,0))*G29</x:f>
        <x:v>0</x:v>
      </x:c>
      <x:c r="I29" t="n">
        <x:f>IF(C29&lt;1,1,IF(C29=1,0.5,0))*G29</x:f>
        <x:v>0</x:v>
      </x:c>
      <x:c r="J29" t="n">
        <x:f>IF(C29&lt;2,1,IF(C29=2,0.5,0))*G29</x:f>
        <x:v>0</x:v>
      </x:c>
      <x:c r="K29" t="n">
        <x:f>IF(C29&lt;3,1,IF(C29=3,0.5,0))*G29</x:f>
        <x:v>0</x:v>
      </x:c>
      <x:c r="L29" t="n">
        <x:f>IF(C29&lt;4,1,IF(C29=4,0.5,0))*G29</x:f>
        <x:v>0</x:v>
      </x:c>
      <x:c r="M29" t="n">
        <x:f>IF(C29&lt;5,1,IF(C29=5,0.5,0))*G29</x:f>
        <x:v>0</x:v>
      </x:c>
      <x:c r="N29" t="n">
        <x:f>IF(C29&lt;6,1,IF(C29=6,0.5,0))*G29</x:f>
        <x:v>0</x:v>
      </x:c>
      <x:c r="O29" t="n">
        <x:f>IF(C29&lt;7,1,IF(C29=7,0.5,0))*G29</x:f>
        <x:v>0</x:v>
      </x:c>
      <x:c r="P29" t="n">
        <x:f>IF(C29&lt;8,1,IF(C29=8,0.5,0))*G29</x:f>
        <x:v>0.2027325540540822</x:v>
      </x:c>
      <x:c r="Q29" t="n">
        <x:f>IF(C29&lt;9,1,IF(C29=9,0.5,0))*G29</x:f>
        <x:v>0.4054651081081644</x:v>
      </x:c>
    </x:row>
    <x:row r="30">
      <x:c r="A30" s="28" t="inlineStr">
        <x:is>
          <x:t xml:space="preserve">MEC-15</x:t>
        </x:is>
      </x:c>
      <x:c r="B30" s="28" t="inlineStr">
        <x:is>
          <x:t xml:space="preserve">Personal Computing</x:t>
        </x:is>
      </x:c>
      <x:c r="C30" s="28" t="n">
        <x:v>9</x:v>
      </x:c>
      <x:c r="D30" s="28" t="inlineStr">
        <x:is>
          <x:t xml:space="preserve">Commons</x:t>
        </x:is>
      </x:c>
      <x:c r="E30" s="16" t="n">
        <x:v>0.3</x:v>
      </x:c>
      <x:c r="F30" s="16" t="n">
        <x:v>1</x:v>
      </x:c>
      <x:c r="G30" t="n">
        <x:f>LN(1+E30*F30)</x:f>
        <x:v>0.26236426446749106</x:v>
      </x:c>
      <x:c r="H30" t="n">
        <x:f>IF(C30&lt;0,1,IF(C30=0,0.5,0))*G30</x:f>
        <x:v>0</x:v>
      </x:c>
      <x:c r="I30" t="n">
        <x:f>IF(C30&lt;1,1,IF(C30=1,0.5,0))*G30</x:f>
        <x:v>0</x:v>
      </x:c>
      <x:c r="J30" t="n">
        <x:f>IF(C30&lt;2,1,IF(C30=2,0.5,0))*G30</x:f>
        <x:v>0</x:v>
      </x:c>
      <x:c r="K30" t="n">
        <x:f>IF(C30&lt;3,1,IF(C30=3,0.5,0))*G30</x:f>
        <x:v>0</x:v>
      </x:c>
      <x:c r="L30" t="n">
        <x:f>IF(C30&lt;4,1,IF(C30=4,0.5,0))*G30</x:f>
        <x:v>0</x:v>
      </x:c>
      <x:c r="M30" t="n">
        <x:f>IF(C30&lt;5,1,IF(C30=5,0.5,0))*G30</x:f>
        <x:v>0</x:v>
      </x:c>
      <x:c r="N30" t="n">
        <x:f>IF(C30&lt;6,1,IF(C30=6,0.5,0))*G30</x:f>
        <x:v>0</x:v>
      </x:c>
      <x:c r="O30" t="n">
        <x:f>IF(C30&lt;7,1,IF(C30=7,0.5,0))*G30</x:f>
        <x:v>0</x:v>
      </x:c>
      <x:c r="P30" t="n">
        <x:f>IF(C30&lt;8,1,IF(C30=8,0.5,0))*G30</x:f>
        <x:v>0</x:v>
      </x:c>
      <x:c r="Q30" t="n">
        <x:f>IF(C30&lt;9,1,IF(C30=9,0.5,0))*G30</x:f>
        <x:v>0.13118213223374553</x:v>
      </x:c>
    </x:row>
    <x:row r="31">
      <x:c r="A31" s="28" t="inlineStr">
        <x:is>
          <x:t xml:space="preserve">COM-16</x:t>
        </x:is>
      </x:c>
      <x:c r="B31" s="28" t="inlineStr">
        <x:is>
          <x:t xml:space="preserve">Internet</x:t>
        </x:is>
      </x:c>
      <x:c r="C31" s="28" t="n">
        <x:v>9</x:v>
      </x:c>
      <x:c r="D31" s="28" t="inlineStr">
        <x:is>
          <x:t xml:space="preserve">All</x:t>
        </x:is>
      </x:c>
      <x:c r="E31" s="16" t="n">
        <x:v>0.25</x:v>
      </x:c>
      <x:c r="F31" s="16" t="n">
        <x:v>1</x:v>
      </x:c>
      <x:c r="G31" t="n">
        <x:f>LN(1+E31*F31)</x:f>
        <x:v>0.22314355131420976</x:v>
      </x:c>
      <x:c r="H31" t="n">
        <x:f>IF(C31&lt;0,1,IF(C31=0,0.5,0))*G31</x:f>
        <x:v>0</x:v>
      </x:c>
      <x:c r="I31" t="n">
        <x:f>IF(C31&lt;1,1,IF(C31=1,0.5,0))*G31</x:f>
        <x:v>0</x:v>
      </x:c>
      <x:c r="J31" t="n">
        <x:f>IF(C31&lt;2,1,IF(C31=2,0.5,0))*G31</x:f>
        <x:v>0</x:v>
      </x:c>
      <x:c r="K31" t="n">
        <x:f>IF(C31&lt;3,1,IF(C31=3,0.5,0))*G31</x:f>
        <x:v>0</x:v>
      </x:c>
      <x:c r="L31" t="n">
        <x:f>IF(C31&lt;4,1,IF(C31=4,0.5,0))*G31</x:f>
        <x:v>0</x:v>
      </x:c>
      <x:c r="M31" t="n">
        <x:f>IF(C31&lt;5,1,IF(C31=5,0.5,0))*G31</x:f>
        <x:v>0</x:v>
      </x:c>
      <x:c r="N31" t="n">
        <x:f>IF(C31&lt;6,1,IF(C31=6,0.5,0))*G31</x:f>
        <x:v>0</x:v>
      </x:c>
      <x:c r="O31" t="n">
        <x:f>IF(C31&lt;7,1,IF(C31=7,0.5,0))*G31</x:f>
        <x:v>0</x:v>
      </x:c>
      <x:c r="P31" t="n">
        <x:f>IF(C31&lt;8,1,IF(C31=8,0.5,0))*G31</x:f>
        <x:v>0</x:v>
      </x:c>
      <x:c r="Q31" t="n">
        <x:f>IF(C31&lt;9,1,IF(C31=9,0.5,0))*G31</x:f>
        <x:v>0.11157177565710488</x:v>
      </x:c>
    </x:row>
    <x:row r="32">
      <x:c r="A32" s="28" t="inlineStr">
        <x:is>
          <x:t xml:space="preserve">COM-17</x:t>
        </x:is>
      </x:c>
      <x:c r="B32" s="28" t="inlineStr">
        <x:is>
          <x:t xml:space="preserve">Mobile Networks</x:t>
        </x:is>
      </x:c>
      <x:c r="C32" s="28" t="n">
        <x:v>9</x:v>
      </x:c>
      <x:c r="D32" s="28" t="inlineStr">
        <x:is>
          <x:t xml:space="preserve">Commons</x:t>
        </x:is>
      </x:c>
      <x:c r="E32" s="16" t="n">
        <x:v>0.1</x:v>
      </x:c>
      <x:c r="F32" s="16" t="n">
        <x:v>0.5</x:v>
      </x:c>
      <x:c r="G32" t="n">
        <x:f>LN(1+E32*F32)</x:f>
        <x:v>0.04879016416943205</x:v>
      </x:c>
      <x:c r="H32" t="n">
        <x:f>IF(C32&lt;0,1,IF(C32=0,0.5,0))*G32</x:f>
        <x:v>0</x:v>
      </x:c>
      <x:c r="I32" t="n">
        <x:f>IF(C32&lt;1,1,IF(C32=1,0.5,0))*G32</x:f>
        <x:v>0</x:v>
      </x:c>
      <x:c r="J32" t="n">
        <x:f>IF(C32&lt;2,1,IF(C32=2,0.5,0))*G32</x:f>
        <x:v>0</x:v>
      </x:c>
      <x:c r="K32" t="n">
        <x:f>IF(C32&lt;3,1,IF(C32=3,0.5,0))*G32</x:f>
        <x:v>0</x:v>
      </x:c>
      <x:c r="L32" t="n">
        <x:f>IF(C32&lt;4,1,IF(C32=4,0.5,0))*G32</x:f>
        <x:v>0</x:v>
      </x:c>
      <x:c r="M32" t="n">
        <x:f>IF(C32&lt;5,1,IF(C32=5,0.5,0))*G32</x:f>
        <x:v>0</x:v>
      </x:c>
      <x:c r="N32" t="n">
        <x:f>IF(C32&lt;6,1,IF(C32=6,0.5,0))*G32</x:f>
        <x:v>0</x:v>
      </x:c>
      <x:c r="O32" t="n">
        <x:f>IF(C32&lt;7,1,IF(C32=7,0.5,0))*G32</x:f>
        <x:v>0</x:v>
      </x:c>
      <x:c r="P32" t="n">
        <x:f>IF(C32&lt;8,1,IF(C32=8,0.5,0))*G32</x:f>
        <x:v>0</x:v>
      </x:c>
      <x:c r="Q32" t="n">
        <x:f>IF(C32&lt;9,1,IF(C32=9,0.5,0))*G32</x:f>
        <x:v>0.024395082084716024</x:v>
      </x:c>
    </x:row>
    <x:row r="33">
      <x:c r="A33" s="28" t="inlineStr">
        <x:is>
          <x:t xml:space="preserve">LRN-14</x:t>
        </x:is>
      </x:c>
      <x:c r="B33" s="28" t="inlineStr">
        <x:is>
          <x:t xml:space="preserve">AI-Assisted Research</x:t>
        </x:is>
      </x:c>
      <x:c r="C33" s="28" t="n">
        <x:v>9</x:v>
      </x:c>
      <x:c r="D33" s="28" t="inlineStr">
        <x:is>
          <x:t xml:space="preserve">Researcher</x:t>
        </x:is>
      </x:c>
      <x:c r="E33" s="16" t="n">
        <x:v>1</x:v>
      </x:c>
      <x:c r="F33" s="16" t="n">
        <x:v>0.5</x:v>
      </x:c>
      <x:c r="G33" t="n">
        <x:f>LN(1+E33*F33)</x:f>
        <x:v>0.4054651081081644</x:v>
      </x:c>
      <x:c r="H33" t="n">
        <x:f>IF(C33&lt;0,1,IF(C33=0,0.5,0))*G33</x:f>
        <x:v>0</x:v>
      </x:c>
      <x:c r="I33" t="n">
        <x:f>IF(C33&lt;1,1,IF(C33=1,0.5,0))*G33</x:f>
        <x:v>0</x:v>
      </x:c>
      <x:c r="J33" t="n">
        <x:f>IF(C33&lt;2,1,IF(C33=2,0.5,0))*G33</x:f>
        <x:v>0</x:v>
      </x:c>
      <x:c r="K33" t="n">
        <x:f>IF(C33&lt;3,1,IF(C33=3,0.5,0))*G33</x:f>
        <x:v>0</x:v>
      </x:c>
      <x:c r="L33" t="n">
        <x:f>IF(C33&lt;4,1,IF(C33=4,0.5,0))*G33</x:f>
        <x:v>0</x:v>
      </x:c>
      <x:c r="M33" t="n">
        <x:f>IF(C33&lt;5,1,IF(C33=5,0.5,0))*G33</x:f>
        <x:v>0</x:v>
      </x:c>
      <x:c r="N33" t="n">
        <x:f>IF(C33&lt;6,1,IF(C33=6,0.5,0))*G33</x:f>
        <x:v>0</x:v>
      </x:c>
      <x:c r="O33" t="n">
        <x:f>IF(C33&lt;7,1,IF(C33=7,0.5,0))*G33</x:f>
        <x:v>0</x:v>
      </x:c>
      <x:c r="P33" t="n">
        <x:f>IF(C33&lt;8,1,IF(C33=8,0.5,0))*G33</x:f>
        <x:v>0</x:v>
      </x:c>
      <x:c r="Q33" t="n">
        <x:f>IF(C33&lt;9,1,IF(C33=9,0.5,0))*G33</x:f>
        <x:v>0.2027325540540822</x:v>
      </x:c>
    </x:row>
    <x:row r="34">
      <x:c r="A34" s="28" t="inlineStr">
        <x:is>
          <x:t xml:space="preserve">MED-15</x:t>
        </x:is>
      </x:c>
      <x:c r="B34" s="28" t="inlineStr">
        <x:is>
          <x:t xml:space="preserve">Genomic Medicine</x:t>
        </x:is>
      </x:c>
      <x:c r="C34" s="28" t="n">
        <x:v>9</x:v>
      </x:c>
      <x:c r="D34" s="28" t="inlineStr">
        <x:is>
          <x:t xml:space="preserve">Elder</x:t>
        </x:is>
      </x:c>
      <x:c r="E34" s="16" t="n">
        <x:v>0.25</x:v>
      </x:c>
      <x:c r="F34" s="16" t="n">
        <x:v>0.4</x:v>
      </x:c>
      <x:c r="G34" t="n">
        <x:f>LN(1+E34*F34)</x:f>
        <x:v>0.09531017980432493</x:v>
      </x:c>
      <x:c r="H34" t="n">
        <x:f>IF(C34&lt;0,1,IF(C34=0,0.5,0))*G34</x:f>
        <x:v>0</x:v>
      </x:c>
      <x:c r="I34" t="n">
        <x:f>IF(C34&lt;1,1,IF(C34=1,0.5,0))*G34</x:f>
        <x:v>0</x:v>
      </x:c>
      <x:c r="J34" t="n">
        <x:f>IF(C34&lt;2,1,IF(C34=2,0.5,0))*G34</x:f>
        <x:v>0</x:v>
      </x:c>
      <x:c r="K34" t="n">
        <x:f>IF(C34&lt;3,1,IF(C34=3,0.5,0))*G34</x:f>
        <x:v>0</x:v>
      </x:c>
      <x:c r="L34" t="n">
        <x:f>IF(C34&lt;4,1,IF(C34=4,0.5,0))*G34</x:f>
        <x:v>0</x:v>
      </x:c>
      <x:c r="M34" t="n">
        <x:f>IF(C34&lt;5,1,IF(C34=5,0.5,0))*G34</x:f>
        <x:v>0</x:v>
      </x:c>
      <x:c r="N34" t="n">
        <x:f>IF(C34&lt;6,1,IF(C34=6,0.5,0))*G34</x:f>
        <x:v>0</x:v>
      </x:c>
      <x:c r="O34" t="n">
        <x:f>IF(C34&lt;7,1,IF(C34=7,0.5,0))*G34</x:f>
        <x:v>0</x:v>
      </x:c>
      <x:c r="P34" t="n">
        <x:f>IF(C34&lt;8,1,IF(C34=8,0.5,0))*G34</x:f>
        <x:v>0</x:v>
      </x:c>
      <x:c r="Q34" t="n">
        <x:f>IF(C34&lt;9,1,IF(C34=9,0.5,0))*G34</x:f>
        <x:v>0.04765508990216247</x:v>
      </x:c>
    </x:row>
    <x:row r="35">
      <x:c r="A35" s="28" t="inlineStr">
        <x:is>
          <x:t xml:space="preserve">ART-15</x:t>
        </x:is>
      </x:c>
      <x:c r="B35" s="28" t="inlineStr">
        <x:is>
          <x:t xml:space="preserve">Interactive Media</x:t>
        </x:is>
      </x:c>
      <x:c r="C35" s="28" t="n">
        <x:v>9</x:v>
      </x:c>
      <x:c r="D35" s="28" t="inlineStr">
        <x:is>
          <x:t xml:space="preserve">Commons</x:t>
        </x:is>
      </x:c>
      <x:c r="E35" s="16" t="n">
        <x:v>0.05</x:v>
      </x:c>
      <x:c r="F35" s="16" t="n">
        <x:v>0.3</x:v>
      </x:c>
      <x:c r="G35" t="n">
        <x:f>LN(1+E35*F35)</x:f>
        <x:v>0.014888612493750559</x:v>
      </x:c>
      <x:c r="H35" t="n">
        <x:f>IF(C35&lt;0,1,IF(C35=0,0.5,0))*G35</x:f>
        <x:v>0</x:v>
      </x:c>
      <x:c r="I35" t="n">
        <x:f>IF(C35&lt;1,1,IF(C35=1,0.5,0))*G35</x:f>
        <x:v>0</x:v>
      </x:c>
      <x:c r="J35" t="n">
        <x:f>IF(C35&lt;2,1,IF(C35=2,0.5,0))*G35</x:f>
        <x:v>0</x:v>
      </x:c>
      <x:c r="K35" t="n">
        <x:f>IF(C35&lt;3,1,IF(C35=3,0.5,0))*G35</x:f>
        <x:v>0</x:v>
      </x:c>
      <x:c r="L35" t="n">
        <x:f>IF(C35&lt;4,1,IF(C35=4,0.5,0))*G35</x:f>
        <x:v>0</x:v>
      </x:c>
      <x:c r="M35" t="n">
        <x:f>IF(C35&lt;5,1,IF(C35=5,0.5,0))*G35</x:f>
        <x:v>0</x:v>
      </x:c>
      <x:c r="N35" t="n">
        <x:f>IF(C35&lt;6,1,IF(C35=6,0.5,0))*G35</x:f>
        <x:v>0</x:v>
      </x:c>
      <x:c r="O35" t="n">
        <x:f>IF(C35&lt;7,1,IF(C35=7,0.5,0))*G35</x:f>
        <x:v>0</x:v>
      </x:c>
      <x:c r="P35" t="n">
        <x:f>IF(C35&lt;8,1,IF(C35=8,0.5,0))*G35</x:f>
        <x:v>0</x:v>
      </x:c>
      <x:c r="Q35" t="n">
        <x:f>IF(C35&lt;9,1,IF(C35=9,0.5,0))*G35</x:f>
        <x:v>0.007444306246875279</x:v>
      </x:c>
    </x:row>
    <x:row r="37">
      <x:c r="A37" s="2" t="inlineStr">
        <x:is>
          <x:t xml:space="preserve">Cumulative multiplier by era and kind (used by both Sim sheets)</x:t>
        </x:is>
      </x:c>
    </x:row>
    <x:row r="38">
      <x:c r="A38" s="14" t="inlineStr">
        <x:is>
          <x:t xml:space="preserve">Era</x:t>
        </x:is>
      </x:c>
      <x:c r="B38" s="14" t="inlineStr">
        <x:is>
          <x:t xml:space="preserve">Commons</x:t>
        </x:is>
      </x:c>
      <x:c r="C38" s="14" t="inlineStr">
        <x:is>
          <x:t xml:space="preserve">All</x:t>
        </x:is>
      </x:c>
      <x:c r="D38" s="14" t="inlineStr">
        <x:is>
          <x:t xml:space="preserve">Elder</x:t>
        </x:is>
      </x:c>
      <x:c r="E38" s="14" t="inlineStr">
        <x:is>
          <x:t xml:space="preserve">Scribe</x:t>
        </x:is>
      </x:c>
      <x:c r="F38" s="14" t="inlineStr">
        <x:is>
          <x:t xml:space="preserve">Scholar</x:t>
        </x:is>
      </x:c>
      <x:c r="G38" s="14" t="inlineStr">
        <x:is>
          <x:t xml:space="preserve">Researcher</x:t>
        </x:is>
      </x:c>
      <x:c r="H38" s="14" t="inlineStr">
        <x:is>
          <x:t xml:space="preserve">Monastery</x:t>
        </x:is>
      </x:c>
    </x:row>
    <x:row r="39">
      <x:c r="A39" t="inlineStr">
        <x:is>
          <x:t xml:space="preserve">E0 Dawn</x:t>
        </x:is>
      </x:c>
      <x:c r="B39" s="29" t="n">
        <x:f>EXP(SUMIF($D$5:$D$35,"Commons",$H$5:$H$35))</x:f>
        <x:v>1.0488088481701516</x:v>
      </x:c>
      <x:c r="C39" s="29" t="n">
        <x:f>EXP(SUMIF($D$5:$D$35,"All",$H$5:$H$35))</x:f>
        <x:v>1</x:v>
      </x:c>
      <x:c r="D39" s="29" t="n">
        <x:f>EXP(SUMIF($D$5:$D$35,"Elder",$H$5:$H$35))</x:f>
        <x:v>1</x:v>
      </x:c>
      <x:c r="E39" s="29" t="n">
        <x:f>EXP(SUMIF($D$5:$D$35,"Scribe",$H$5:$H$35))</x:f>
        <x:v>1</x:v>
      </x:c>
      <x:c r="F39" s="29" t="n">
        <x:f>EXP(SUMIF($D$5:$D$35,"Scholar",$H$5:$H$35))</x:f>
        <x:v>1</x:v>
      </x:c>
      <x:c r="G39" s="29" t="n">
        <x:f>EXP(SUMIF($D$5:$D$35,"Researcher",$H$5:$H$35))</x:f>
        <x:v>1</x:v>
      </x:c>
      <x:c r="H39" s="29" t="n">
        <x:f>EXP(SUMIF($D$5:$D$35,"Monastery",$H$5:$H$35))</x:f>
        <x:v>1</x:v>
      </x:c>
    </x:row>
    <x:row r="40">
      <x:c r="A40" t="inlineStr">
        <x:is>
          <x:t xml:space="preserve">E1 Hunters</x:t>
        </x:is>
      </x:c>
      <x:c r="B40" s="29" t="n">
        <x:f>EXP(SUMIF($D$5:$D$35,"Commons",$I$5:$I$35))</x:f>
        <x:v>1.1</x:v>
      </x:c>
      <x:c r="C40" s="29" t="n">
        <x:f>EXP(SUMIF($D$5:$D$35,"All",$I$5:$I$35))</x:f>
        <x:v>1</x:v>
      </x:c>
      <x:c r="D40" s="29" t="n">
        <x:f>EXP(SUMIF($D$5:$D$35,"Elder",$I$5:$I$35))</x:f>
        <x:v>1.224744871391589</x:v>
      </x:c>
      <x:c r="E40" s="29" t="n">
        <x:f>EXP(SUMIF($D$5:$D$35,"Scribe",$I$5:$I$35))</x:f>
        <x:v>1</x:v>
      </x:c>
      <x:c r="F40" s="29" t="n">
        <x:f>EXP(SUMIF($D$5:$D$35,"Scholar",$I$5:$I$35))</x:f>
        <x:v>1</x:v>
      </x:c>
      <x:c r="G40" s="29" t="n">
        <x:f>EXP(SUMIF($D$5:$D$35,"Researcher",$I$5:$I$35))</x:f>
        <x:v>1</x:v>
      </x:c>
      <x:c r="H40" s="29" t="n">
        <x:f>EXP(SUMIF($D$5:$D$35,"Monastery",$I$5:$I$35))</x:f>
        <x:v>1</x:v>
      </x:c>
    </x:row>
    <x:row r="41">
      <x:c r="A41" t="inlineStr">
        <x:is>
          <x:t xml:space="preserve">E2 Roots</x:t>
        </x:is>
      </x:c>
      <x:c r="B41" s="29" t="n">
        <x:f>EXP(SUMIF($D$5:$D$35,"Commons",$J$5:$J$35))</x:f>
        <x:v>1.1</x:v>
      </x:c>
      <x:c r="C41" s="29" t="n">
        <x:f>EXP(SUMIF($D$5:$D$35,"All",$J$5:$J$35))</x:f>
        <x:v>1</x:v>
      </x:c>
      <x:c r="D41" s="29" t="n">
        <x:f>EXP(SUMIF($D$5:$D$35,"Elder",$J$5:$J$35))</x:f>
        <x:v>1.5</x:v>
      </x:c>
      <x:c r="E41" s="29" t="n">
        <x:f>EXP(SUMIF($D$5:$D$35,"Scribe",$J$5:$J$35))</x:f>
        <x:v>1</x:v>
      </x:c>
      <x:c r="F41" s="29" t="n">
        <x:f>EXP(SUMIF($D$5:$D$35,"Scholar",$J$5:$J$35))</x:f>
        <x:v>1</x:v>
      </x:c>
      <x:c r="G41" s="29" t="n">
        <x:f>EXP(SUMIF($D$5:$D$35,"Researcher",$J$5:$J$35))</x:f>
        <x:v>1</x:v>
      </x:c>
      <x:c r="H41" s="29" t="n">
        <x:f>EXP(SUMIF($D$5:$D$35,"Monastery",$J$5:$J$35))</x:f>
        <x:v>1</x:v>
      </x:c>
    </x:row>
    <x:row r="42">
      <x:c r="A42" t="inlineStr">
        <x:is>
          <x:t xml:space="preserve">E3 Bronze</x:t>
        </x:is>
      </x:c>
      <x:c r="B42" s="29" t="n">
        <x:f>EXP(SUMIF($D$5:$D$35,"Commons",$K$5:$K$35))</x:f>
        <x:v>1.1</x:v>
      </x:c>
      <x:c r="C42" s="29" t="n">
        <x:f>EXP(SUMIF($D$5:$D$35,"All",$K$5:$K$35))</x:f>
        <x:v>1</x:v>
      </x:c>
      <x:c r="D42" s="29" t="n">
        <x:f>EXP(SUMIF($D$5:$D$35,"Elder",$K$5:$K$35))</x:f>
        <x:v>1.5</x:v>
      </x:c>
      <x:c r="E42" s="29" t="n">
        <x:f>EXP(SUMIF($D$5:$D$35,"Scribe",$K$5:$K$35))</x:f>
        <x:v>1</x:v>
      </x:c>
      <x:c r="F42" s="29" t="n">
        <x:f>EXP(SUMIF($D$5:$D$35,"Scholar",$K$5:$K$35))</x:f>
        <x:v>1</x:v>
      </x:c>
      <x:c r="G42" s="29" t="n">
        <x:f>EXP(SUMIF($D$5:$D$35,"Researcher",$K$5:$K$35))</x:f>
        <x:v>1</x:v>
      </x:c>
      <x:c r="H42" s="29" t="n">
        <x:f>EXP(SUMIF($D$5:$D$35,"Monastery",$K$5:$K$35))</x:f>
        <x:v>1</x:v>
      </x:c>
    </x:row>
    <x:row r="43">
      <x:c r="A43" t="inlineStr">
        <x:is>
          <x:t xml:space="preserve">E4 Iron</x:t>
        </x:is>
      </x:c>
      <x:c r="B43" s="29" t="n">
        <x:f>EXP(SUMIF($D$5:$D$35,"Commons",$L$5:$L$35))</x:f>
        <x:v>1.2087493536709752</x:v>
      </x:c>
      <x:c r="C43" s="29" t="n">
        <x:f>EXP(SUMIF($D$5:$D$35,"All",$L$5:$L$35))</x:f>
        <x:v>1.089954127475097</x:v>
      </x:c>
      <x:c r="D43" s="29" t="n">
        <x:f>EXP(SUMIF($D$5:$D$35,"Elder",$L$5:$L$35))</x:f>
        <x:v>1.5</x:v>
      </x:c>
      <x:c r="E43" s="29" t="n">
        <x:f>EXP(SUMIF($D$5:$D$35,"Scribe",$L$5:$L$35))</x:f>
        <x:v>1.414213562373095</x:v>
      </x:c>
      <x:c r="F43" s="29" t="n">
        <x:f>EXP(SUMIF($D$5:$D$35,"Scholar",$L$5:$L$35))</x:f>
        <x:v>1.0954451150103321</x:v>
      </x:c>
      <x:c r="G43" s="29" t="n">
        <x:f>EXP(SUMIF($D$5:$D$35,"Researcher",$L$5:$L$35))</x:f>
        <x:v>1</x:v>
      </x:c>
      <x:c r="H43" s="29" t="n">
        <x:f>EXP(SUMIF($D$5:$D$35,"Monastery",$L$5:$L$35))</x:f>
        <x:v>1</x:v>
      </x:c>
    </x:row>
    <x:row r="44">
      <x:c r="A44" t="inlineStr">
        <x:is>
          <x:t xml:space="preserve">E5 Faith &amp; Fief</x:t>
        </x:is>
      </x:c>
      <x:c r="B44" s="29" t="n">
        <x:f>EXP(SUMIF($D$5:$D$35,"Commons",$M$5:$M$35))</x:f>
        <x:v>1.3282500000000002</x:v>
      </x:c>
      <x:c r="C44" s="29" t="n">
        <x:f>EXP(SUMIF($D$5:$D$35,"All",$M$5:$M$35))</x:f>
        <x:v>1.2739880690179168</x:v>
      </x:c>
      <x:c r="D44" s="29" t="n">
        <x:f>EXP(SUMIF($D$5:$D$35,"Elder",$M$5:$M$35))</x:f>
        <x:v>1.6770509831248424</x:v>
      </x:c>
      <x:c r="E44" s="29" t="n">
        <x:f>EXP(SUMIF($D$5:$D$35,"Scribe",$M$5:$M$35))</x:f>
        <x:v>2</x:v>
      </x:c>
      <x:c r="F44" s="29" t="n">
        <x:f>EXP(SUMIF($D$5:$D$35,"Scholar",$M$5:$M$35))</x:f>
        <x:v>1.5760710643876434</x:v>
      </x:c>
      <x:c r="G44" s="29" t="n">
        <x:f>EXP(SUMIF($D$5:$D$35,"Researcher",$M$5:$M$35))</x:f>
        <x:v>1</x:v>
      </x:c>
      <x:c r="H44" s="29" t="n">
        <x:f>EXP(SUMIF($D$5:$D$35,"Monastery",$M$5:$M$35))</x:f>
        <x:v>1.0488088481701516</x:v>
      </x:c>
    </x:row>
    <x:row r="45">
      <x:c r="A45" t="inlineStr">
        <x:is>
          <x:t xml:space="preserve">E6 Discovery</x:t>
        </x:is>
      </x:c>
      <x:c r="B45" s="29" t="n">
        <x:f>EXP(SUMIF($D$5:$D$35,"Commons",$N$5:$N$35))</x:f>
        <x:v>1.4550249740124739</x:v>
      </x:c>
      <x:c r="C45" s="29" t="n">
        <x:f>EXP(SUMIF($D$5:$D$35,"All",$N$5:$N$35))</x:f>
        <x:v>1.5761709132070676</x:v>
      </x:c>
      <x:c r="D45" s="29" t="n">
        <x:f>EXP(SUMIF($D$5:$D$35,"Elder",$N$5:$N$35))</x:f>
        <x:v>1.875</x:v>
      </x:c>
      <x:c r="E45" s="29" t="n">
        <x:f>EXP(SUMIF($D$5:$D$35,"Scribe",$N$5:$N$35))</x:f>
        <x:v>2</x:v>
      </x:c>
      <x:c r="F45" s="29" t="n">
        <x:f>EXP(SUMIF($D$5:$D$35,"Scholar",$N$5:$N$35))</x:f>
        <x:v>2.07</x:v>
      </x:c>
      <x:c r="G45" s="29" t="n">
        <x:f>EXP(SUMIF($D$5:$D$35,"Researcher",$N$5:$N$35))</x:f>
        <x:v>1</x:v>
      </x:c>
      <x:c r="H45" s="29" t="n">
        <x:f>EXP(SUMIF($D$5:$D$35,"Monastery",$N$5:$N$35))</x:f>
        <x:v>1.1</x:v>
      </x:c>
    </x:row>
    <x:row r="46">
      <x:c r="A46" t="inlineStr">
        <x:is>
          <x:t xml:space="preserve">E7 Industry</x:t>
        </x:is>
      </x:c>
      <x:c r="B46" s="29" t="n">
        <x:f>EXP(SUMIF($D$5:$D$35,"Commons",$O$5:$O$35))</x:f>
        <x:v>1.9521208505110539</x:v>
      </x:c>
      <x:c r="C46" s="29" t="n">
        <x:f>EXP(SUMIF($D$5:$D$35,"All",$O$5:$O$35))</x:f>
        <x:v>2.025102241326902</x:v>
      </x:c>
      <x:c r="D46" s="29" t="n">
        <x:f>EXP(SUMIF($D$5:$D$35,"Elder",$O$5:$O$35))</x:f>
        <x:v>1.875</x:v>
      </x:c>
      <x:c r="E46" s="29" t="n">
        <x:f>EXP(SUMIF($D$5:$D$35,"Scribe",$O$5:$O$35))</x:f>
        <x:v>2</x:v>
      </x:c>
      <x:c r="F46" s="29" t="n">
        <x:f>EXP(SUMIF($D$5:$D$35,"Scholar",$O$5:$O$35))</x:f>
        <x:v>2.07</x:v>
      </x:c>
      <x:c r="G46" s="29" t="n">
        <x:f>EXP(SUMIF($D$5:$D$35,"Researcher",$O$5:$O$35))</x:f>
        <x:v>1</x:v>
      </x:c>
      <x:c r="H46" s="29" t="n">
        <x:f>EXP(SUMIF($D$5:$D$35,"Monastery",$O$5:$O$35))</x:f>
        <x:v>1.1</x:v>
      </x:c>
    </x:row>
    <x:row r="47">
      <x:c r="A47" t="inlineStr">
        <x:is>
          <x:t xml:space="preserve">E8 Modern</x:t>
        </x:is>
      </x:c>
      <x:c r="B47" s="29" t="n">
        <x:f>EXP(SUMIF($D$5:$D$35,"Commons",$P$5:$P$35))</x:f>
        <x:v>3.0147471401056176</x:v>
      </x:c>
      <x:c r="C47" s="29" t="n">
        <x:f>EXP(SUMIF($D$5:$D$35,"All",$P$5:$P$35))</x:f>
        <x:v>2.3653636298771294</x:v>
      </x:c>
      <x:c r="D47" s="29" t="n">
        <x:f>EXP(SUMIF($D$5:$D$35,"Elder",$P$5:$P$35))</x:f>
        <x:v>1.875</x:v>
      </x:c>
      <x:c r="E47" s="29" t="n">
        <x:f>EXP(SUMIF($D$5:$D$35,"Scribe",$P$5:$P$35))</x:f>
        <x:v>2</x:v>
      </x:c>
      <x:c r="F47" s="29" t="n">
        <x:f>EXP(SUMIF($D$5:$D$35,"Scholar",$P$5:$P$35))</x:f>
        <x:v>2.07</x:v>
      </x:c>
      <x:c r="G47" s="29" t="n">
        <x:f>EXP(SUMIF($D$5:$D$35,"Researcher",$P$5:$P$35))</x:f>
        <x:v>1.224744871391589</x:v>
      </x:c>
      <x:c r="H47" s="29" t="n">
        <x:f>EXP(SUMIF($D$5:$D$35,"Monastery",$P$5:$P$35))</x:f>
        <x:v>1.1</x:v>
      </x:c>
    </x:row>
    <x:row r="48">
      <x:c r="A48" t="inlineStr">
        <x:is>
          <x:t xml:space="preserve">E9 Information</x:t>
        </x:is>
      </x:c>
      <x:c r="B48" s="29" t="n">
        <x:f>EXP(SUMIF($D$5:$D$35,"Commons",$Q$5:$Q$35))</x:f>
        <x:v>4.474544183255555</x:v>
      </x:c>
      <x:c r="C48" s="29" t="n">
        <x:f>EXP(SUMIF($D$5:$D$35,"All",$Q$5:$Q$35))</x:f>
        <x:v>2.7736347118222104</x:v>
      </x:c>
      <x:c r="D48" s="29" t="n">
        <x:f>EXP(SUMIF($D$5:$D$35,"Elder",$Q$5:$Q$35))</x:f>
        <x:v>1.9665165903190343</x:v>
      </x:c>
      <x:c r="E48" s="29" t="n">
        <x:f>EXP(SUMIF($D$5:$D$35,"Scribe",$Q$5:$Q$35))</x:f>
        <x:v>2</x:v>
      </x:c>
      <x:c r="F48" s="29" t="n">
        <x:f>EXP(SUMIF($D$5:$D$35,"Scholar",$Q$5:$Q$35))</x:f>
        <x:v>2.07</x:v>
      </x:c>
      <x:c r="G48" s="29" t="n">
        <x:f>EXP(SUMIF($D$5:$D$35,"Researcher",$Q$5:$Q$35))</x:f>
        <x:v>1.8371173070873836</x:v>
      </x:c>
      <x:c r="H48" s="29" t="n">
        <x:f>EXP(SUMIF($D$5:$D$35,"Monastery",$Q$5:$Q$35))</x:f>
        <x:v>1.1</x:v>
      </x:c>
    </x:row>
  </x:sheetData>
  <x:mergeCells>
    <x:mergeCell ref="A2:P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baseColWidth="8" defaultRowHeight="15"/>
  <x:cols>
    <x:col min="1" max="1" width="9" customWidth="1"/>
    <x:col min="2" max="2" width="32" customWidth="1"/>
    <x:col min="3" max="3" width="6" customWidth="1"/>
    <x:col min="4" max="4" width="7" customWidth="1"/>
    <x:col min="5" max="5" width="9" customWidth="1"/>
    <x:col min="6" max="6" width="8" customWidth="1"/>
    <x:col min="7" max="7" width="7" customWidth="1"/>
    <x:col min="8" max="8" width="8" customWidth="1"/>
    <x:col min="9" max="9" width="14" customWidth="1"/>
  </x:cols>
  <x:sheetData>
    <x:row r="1">
      <x:c r="A1" s="5" t="inlineStr">
        <x:is>
          <x:t xml:space="preserve">Caps — population caps raised project by project (09 §5)</x:t>
        </x:is>
      </x:c>
    </x:row>
    <x:row r="2" ht="58" customHeight="1">
      <x:c r="A2" s="3" t="inlineStr">
        <x:is>
          <x:t xml:space="preserve">Each row multiplies one settlement cap once research reaches Point = Era + At. Era = the era in which the project typically completes (a forced backfill completes in the era whose keystone forces it); At = share of that era's requirement done by then. Prob &lt; 1 for optional projects: the cap is × Mult^Prob. Food = sustainable food per settlement; Lean = late-winter food as a share of Food (× LeanBase, capped at 1); Housing = dwelling capacity; Group = social layer (× CohesionFactor). Used by both Sim sheets; CapsByProject = 0 (v0.1) switches every multiplier off.</x:t>
        </x:is>
      </x:c>
    </x:row>
    <x:row r="4">
      <x:c r="A4" s="14" t="inlineStr">
        <x:is>
          <x:t xml:space="preserve">Id</x:t>
        </x:is>
      </x:c>
      <x:c r="B4" s="14" t="inlineStr">
        <x:is>
          <x:t xml:space="preserve">Project</x:t>
        </x:is>
      </x:c>
      <x:c r="C4" s="14" t="inlineStr">
        <x:is>
          <x:t xml:space="preserve">Done in era</x:t>
        </x:is>
      </x:c>
      <x:c r="D4" s="14" t="inlineStr">
        <x:is>
          <x:t xml:space="preserve">At</x:t>
        </x:is>
      </x:c>
      <x:c r="E4" s="14" t="inlineStr">
        <x:is>
          <x:t xml:space="preserve">Cap</x:t>
        </x:is>
      </x:c>
      <x:c r="F4" s="14" t="inlineStr">
        <x:is>
          <x:t xml:space="preserve">Mult</x:t>
        </x:is>
      </x:c>
      <x:c r="G4" s="14" t="inlineStr">
        <x:is>
          <x:t xml:space="preserve">Prob</x:t>
        </x:is>
      </x:c>
      <x:c r="H4" s="14" t="inlineStr">
        <x:is>
          <x:t xml:space="preserve">Point</x:t>
        </x:is>
      </x:c>
      <x:c r="I4" s="14" t="inlineStr">
        <x:is>
          <x:t xml:space="preserve">Prob × LN(Mult)</x:t>
        </x:is>
      </x:c>
    </x:row>
    <x:row r="5">
      <x:c r="A5" s="28" t="inlineStr">
        <x:is>
          <x:t xml:space="preserve">FOR-01</x:t>
        </x:is>
      </x:c>
      <x:c r="B5" s="28" t="inlineStr">
        <x:is>
          <x:t xml:space="preserve">Plant Lore</x:t>
        </x:is>
      </x:c>
      <x:c r="C5" s="28" t="n">
        <x:v>0</x:v>
      </x:c>
      <x:c r="D5" s="16" t="n">
        <x:v>0.1</x:v>
      </x:c>
      <x:c r="E5" s="16" t="inlineStr">
        <x:is>
          <x:t xml:space="preserve">Food</x:t>
        </x:is>
      </x:c>
      <x:c r="F5" s="30" t="n">
        <x:v>1.1</x:v>
      </x:c>
      <x:c r="G5" s="16" t="n">
        <x:v>1</x:v>
      </x:c>
      <x:c r="H5" s="9" t="n">
        <x:f>C5+D5</x:f>
        <x:v>0.1</x:v>
      </x:c>
      <x:c r="I5" s="31" t="n">
        <x:f>G5*LN(F5)</x:f>
        <x:v>0.09531017980432493</x:v>
      </x:c>
    </x:row>
    <x:row r="6">
      <x:c r="A6" s="28" t="inlineStr">
        <x:is>
          <x:t xml:space="preserve">HNT-01</x:t>
        </x:is>
      </x:c>
      <x:c r="B6" s="28" t="inlineStr">
        <x:is>
          <x:t xml:space="preserve">Power Scavenging</x:t>
        </x:is>
      </x:c>
      <x:c r="C6" s="28" t="n">
        <x:v>0</x:v>
      </x:c>
      <x:c r="D6" s="16" t="n">
        <x:v>0.25</x:v>
      </x:c>
      <x:c r="E6" s="16" t="inlineStr">
        <x:is>
          <x:t xml:space="preserve">Food</x:t>
        </x:is>
      </x:c>
      <x:c r="F6" s="30" t="n">
        <x:v>1.12</x:v>
      </x:c>
      <x:c r="G6" s="16" t="n">
        <x:v>1</x:v>
      </x:c>
      <x:c r="H6" s="9" t="n">
        <x:f>C6+D6</x:f>
        <x:v>0.25</x:v>
      </x:c>
      <x:c r="I6" s="31" t="n">
        <x:f>G6*LN(F6)</x:f>
        <x:v>0.11332868530700327</x:v>
      </x:c>
    </x:row>
    <x:row r="7">
      <x:c r="A7" s="28" t="inlineStr">
        <x:is>
          <x:t xml:space="preserve">SOC-01</x:t>
        </x:is>
      </x:c>
      <x:c r="B7" s="28" t="inlineStr">
        <x:is>
          <x:t xml:space="preserve">Kin Bonds</x:t>
        </x:is>
      </x:c>
      <x:c r="C7" s="28" t="n">
        <x:v>0</x:v>
      </x:c>
      <x:c r="D7" s="16" t="n">
        <x:v>0.35</x:v>
      </x:c>
      <x:c r="E7" s="16" t="inlineStr">
        <x:is>
          <x:t xml:space="preserve">Group</x:t>
        </x:is>
      </x:c>
      <x:c r="F7" s="30" t="n">
        <x:v>1.4</x:v>
      </x:c>
      <x:c r="G7" s="16" t="n">
        <x:v>1</x:v>
      </x:c>
      <x:c r="H7" s="9" t="n">
        <x:f>C7+D7</x:f>
        <x:v>0.35</x:v>
      </x:c>
      <x:c r="I7" s="31" t="n">
        <x:f>G7*LN(F7)</x:f>
        <x:v>0.33647223662121284</x:v>
      </x:c>
    </x:row>
    <x:row r="8">
      <x:c r="A8" s="28" t="inlineStr">
        <x:is>
          <x:t xml:space="preserve">FOD-01</x:t>
        </x:is>
      </x:c>
      <x:c r="B8" s="28" t="inlineStr">
        <x:is>
          <x:t xml:space="preserve">Cooking</x:t>
        </x:is>
      </x:c>
      <x:c r="C8" s="28" t="n">
        <x:v>0</x:v>
      </x:c>
      <x:c r="D8" s="16" t="n">
        <x:v>0.45</x:v>
      </x:c>
      <x:c r="E8" s="16" t="inlineStr">
        <x:is>
          <x:t xml:space="preserve">Food</x:t>
        </x:is>
      </x:c>
      <x:c r="F8" s="30" t="n">
        <x:v>1.1</x:v>
      </x:c>
      <x:c r="G8" s="16" t="n">
        <x:v>1</x:v>
      </x:c>
      <x:c r="H8" s="9" t="n">
        <x:f>C8+D8</x:f>
        <x:v>0.45</x:v>
      </x:c>
      <x:c r="I8" s="31" t="n">
        <x:f>G8*LN(F8)</x:f>
        <x:v>0.09531017980432493</x:v>
      </x:c>
    </x:row>
    <x:row r="9">
      <x:c r="A9" s="28" t="inlineStr">
        <x:is>
          <x:t xml:space="preserve">BLD-01</x:t>
        </x:is>
      </x:c>
      <x:c r="B9" s="28" t="inlineStr">
        <x:is>
          <x:t xml:space="preserve">Windbreaks &amp; Lean-tos</x:t>
        </x:is>
      </x:c>
      <x:c r="C9" s="28" t="n">
        <x:v>0</x:v>
      </x:c>
      <x:c r="D9" s="16" t="n">
        <x:v>0.85</x:v>
      </x:c>
      <x:c r="E9" s="16" t="inlineStr">
        <x:is>
          <x:t xml:space="preserve">Housing</x:t>
        </x:is>
      </x:c>
      <x:c r="F9" s="30" t="n">
        <x:v>1.25</x:v>
      </x:c>
      <x:c r="G9" s="16" t="n">
        <x:v>1</x:v>
      </x:c>
      <x:c r="H9" s="9" t="n">
        <x:f>C9+D9</x:f>
        <x:v>0.85</x:v>
      </x:c>
      <x:c r="I9" s="31" t="n">
        <x:f>G9*LN(F9)</x:f>
        <x:v>0.22314355131420976</x:v>
      </x:c>
    </x:row>
    <x:row r="10">
      <x:c r="A10" s="28" t="inlineStr">
        <x:is>
          <x:t xml:space="preserve">FOR-02</x:t>
        </x:is>
      </x:c>
      <x:c r="B10" s="28" t="inlineStr">
        <x:is>
          <x:t xml:space="preserve">Roots &amp; Tubers</x:t>
        </x:is>
      </x:c>
      <x:c r="C10" s="28" t="n">
        <x:v>1</x:v>
      </x:c>
      <x:c r="D10" s="16" t="n">
        <x:v>0.4</x:v>
      </x:c>
      <x:c r="E10" s="16" t="inlineStr">
        <x:is>
          <x:t xml:space="preserve">Lean</x:t>
        </x:is>
      </x:c>
      <x:c r="F10" s="30" t="n">
        <x:v>1.1</x:v>
      </x:c>
      <x:c r="G10" s="16" t="n">
        <x:v>1</x:v>
      </x:c>
      <x:c r="H10" s="9" t="n">
        <x:f>C10+D10</x:f>
        <x:v>1.4</x:v>
      </x:c>
      <x:c r="I10" s="31" t="n">
        <x:f>G10*LN(F10)</x:f>
        <x:v>0.09531017980432493</x:v>
      </x:c>
    </x:row>
    <x:row r="11">
      <x:c r="A11" s="28" t="inlineStr">
        <x:is>
          <x:t xml:space="preserve">HNT-02</x:t>
        </x:is>
      </x:c>
      <x:c r="B11" s="28" t="inlineStr">
        <x:is>
          <x:t xml:space="preserve">Wooden Thrusting Spears</x:t>
        </x:is>
      </x:c>
      <x:c r="C11" s="28" t="n">
        <x:v>1</x:v>
      </x:c>
      <x:c r="D11" s="16" t="n">
        <x:v>0.2</x:v>
      </x:c>
      <x:c r="E11" s="16" t="inlineStr">
        <x:is>
          <x:t xml:space="preserve">Food</x:t>
        </x:is>
      </x:c>
      <x:c r="F11" s="30" t="n">
        <x:v>1.04</x:v>
      </x:c>
      <x:c r="G11" s="16" t="n">
        <x:v>1</x:v>
      </x:c>
      <x:c r="H11" s="9" t="n">
        <x:f>C11+D11</x:f>
        <x:v>1.2</x:v>
      </x:c>
      <x:c r="I11" s="31" t="n">
        <x:f>G11*LN(F11)</x:f>
        <x:v>0.03922071315328133</x:v>
      </x:c>
    </x:row>
    <x:row r="12">
      <x:c r="A12" s="28" t="inlineStr">
        <x:is>
          <x:t xml:space="preserve">BLD-02</x:t>
        </x:is>
      </x:c>
      <x:c r="B12" s="28" t="inlineStr">
        <x:is>
          <x:t xml:space="preserve">Hide Tents</x:t>
        </x:is>
      </x:c>
      <x:c r="C12" s="28" t="n">
        <x:v>1</x:v>
      </x:c>
      <x:c r="D12" s="16" t="n">
        <x:v>0.25</x:v>
      </x:c>
      <x:c r="E12" s="16" t="inlineStr">
        <x:is>
          <x:t xml:space="preserve">Housing</x:t>
        </x:is>
      </x:c>
      <x:c r="F12" s="30" t="n">
        <x:v>1.2</x:v>
      </x:c>
      <x:c r="G12" s="16" t="n">
        <x:v>1</x:v>
      </x:c>
      <x:c r="H12" s="9" t="n">
        <x:f>C12+D12</x:f>
        <x:v>1.25</x:v>
      </x:c>
      <x:c r="I12" s="31" t="n">
        <x:f>G12*LN(F12)</x:f>
        <x:v>0.1823215567939546</x:v>
      </x:c>
    </x:row>
    <x:row r="13">
      <x:c r="A13" s="28" t="inlineStr">
        <x:is>
          <x:t xml:space="preserve">FOR-03</x:t>
        </x:is>
      </x:c>
      <x:c r="B13" s="28" t="inlineStr">
        <x:is>
          <x:t xml:space="preserve">Nut &amp; Seed Gathering</x:t>
        </x:is>
      </x:c>
      <x:c r="C13" s="28" t="n">
        <x:v>1</x:v>
      </x:c>
      <x:c r="D13" s="16" t="n">
        <x:v>0.3</x:v>
      </x:c>
      <x:c r="E13" s="16" t="inlineStr">
        <x:is>
          <x:t xml:space="preserve">Food</x:t>
        </x:is>
      </x:c>
      <x:c r="F13" s="30" t="n">
        <x:v>1.08</x:v>
      </x:c>
      <x:c r="G13" s="16" t="n">
        <x:v>1</x:v>
      </x:c>
      <x:c r="H13" s="9" t="n">
        <x:f>C13+D13</x:f>
        <x:v>1.3</x:v>
      </x:c>
      <x:c r="I13" s="31" t="n">
        <x:f>G13*LN(F13)</x:f>
        <x:v>0.0769610411361284</x:v>
      </x:c>
    </x:row>
    <x:row r="14">
      <x:c r="A14" s="28" t="inlineStr">
        <x:is>
          <x:t xml:space="preserve">FOR-03</x:t>
        </x:is>
      </x:c>
      <x:c r="B14" s="28" t="inlineStr">
        <x:is>
          <x:t xml:space="preserve">Nut &amp; Seed Gathering (stores)</x:t>
        </x:is>
      </x:c>
      <x:c r="C14" s="28" t="n">
        <x:v>1</x:v>
      </x:c>
      <x:c r="D14" s="16" t="n">
        <x:v>0.3</x:v>
      </x:c>
      <x:c r="E14" s="16" t="inlineStr">
        <x:is>
          <x:t xml:space="preserve">Lean</x:t>
        </x:is>
      </x:c>
      <x:c r="F14" s="30" t="n">
        <x:v>1.25</x:v>
      </x:c>
      <x:c r="G14" s="16" t="n">
        <x:v>1</x:v>
      </x:c>
      <x:c r="H14" s="9" t="n">
        <x:f>C14+D14</x:f>
        <x:v>1.3</x:v>
      </x:c>
      <x:c r="I14" s="31" t="n">
        <x:f>G14*LN(F14)</x:f>
        <x:v>0.22314355131420976</x:v>
      </x:c>
    </x:row>
    <x:row r="15">
      <x:c r="A15" s="28" t="inlineStr">
        <x:is>
          <x:t xml:space="preserve">FOD-02</x:t>
        </x:is>
      </x:c>
      <x:c r="B15" s="28" t="inlineStr">
        <x:is>
          <x:t xml:space="preserve">Smoking &amp; Drying</x:t>
        </x:is>
      </x:c>
      <x:c r="C15" s="28" t="n">
        <x:v>1</x:v>
      </x:c>
      <x:c r="D15" s="16" t="n">
        <x:v>0.4</x:v>
      </x:c>
      <x:c r="E15" s="16" t="inlineStr">
        <x:is>
          <x:t xml:space="preserve">Lean</x:t>
        </x:is>
      </x:c>
      <x:c r="F15" s="30" t="n">
        <x:v>1.15</x:v>
      </x:c>
      <x:c r="G15" s="16" t="n">
        <x:v>1</x:v>
      </x:c>
      <x:c r="H15" s="9" t="n">
        <x:f>C15+D15</x:f>
        <x:v>1.4</x:v>
      </x:c>
      <x:c r="I15" s="31" t="n">
        <x:f>G15*LN(F15)</x:f>
        <x:v>0.13976194237515863</x:v>
      </x:c>
    </x:row>
    <x:row r="16">
      <x:c r="A16" s="28" t="inlineStr">
        <x:is>
          <x:t xml:space="preserve">HNT-03</x:t>
        </x:is>
      </x:c>
      <x:c r="B16" s="28" t="inlineStr">
        <x:is>
          <x:t xml:space="preserve">Stone-Tipped Spears</x:t>
        </x:is>
      </x:c>
      <x:c r="C16" s="28" t="n">
        <x:v>1</x:v>
      </x:c>
      <x:c r="D16" s="16" t="n">
        <x:v>0.45</x:v>
      </x:c>
      <x:c r="E16" s="16" t="inlineStr">
        <x:is>
          <x:t xml:space="preserve">Food</x:t>
        </x:is>
      </x:c>
      <x:c r="F16" s="30" t="n">
        <x:v>1.04</x:v>
      </x:c>
      <x:c r="G16" s="16" t="n">
        <x:v>1</x:v>
      </x:c>
      <x:c r="H16" s="9" t="n">
        <x:f>C16+D16</x:f>
        <x:v>1.45</x:v>
      </x:c>
      <x:c r="I16" s="31" t="n">
        <x:f>G16*LN(F16)</x:f>
        <x:v>0.03922071315328133</x:v>
      </x:c>
    </x:row>
    <x:row r="17">
      <x:c r="A17" s="28" t="inlineStr">
        <x:is>
          <x:t xml:space="preserve">WAY-02</x:t>
        </x:is>
      </x:c>
      <x:c r="B17" s="28" t="inlineStr">
        <x:is>
          <x:t xml:space="preserve">Seasonal Round</x:t>
        </x:is>
      </x:c>
      <x:c r="C17" s="28" t="n">
        <x:v>1</x:v>
      </x:c>
      <x:c r="D17" s="16" t="n">
        <x:v>0.5</x:v>
      </x:c>
      <x:c r="E17" s="16" t="inlineStr">
        <x:is>
          <x:t xml:space="preserve">Food</x:t>
        </x:is>
      </x:c>
      <x:c r="F17" s="30" t="n">
        <x:v>1.05</x:v>
      </x:c>
      <x:c r="G17" s="16" t="n">
        <x:v>1</x:v>
      </x:c>
      <x:c r="H17" s="9" t="n">
        <x:f>C17+D17</x:f>
        <x:v>1.5</x:v>
      </x:c>
      <x:c r="I17" s="31" t="n">
        <x:f>G17*LN(F17)</x:f>
        <x:v>0.04879016416943205</x:v>
      </x:c>
    </x:row>
    <x:row r="18">
      <x:c r="A18" s="28" t="inlineStr">
        <x:is>
          <x:t xml:space="preserve">HNT-07</x:t>
        </x:is>
      </x:c>
      <x:c r="B18" s="28" t="inlineStr">
        <x:is>
          <x:t xml:space="preserve">Harpoons &amp; Fish Spears</x:t>
        </x:is>
      </x:c>
      <x:c r="C18" s="28" t="n">
        <x:v>1</x:v>
      </x:c>
      <x:c r="D18" s="16" t="n">
        <x:v>0.5</x:v>
      </x:c>
      <x:c r="E18" s="16" t="inlineStr">
        <x:is>
          <x:t xml:space="preserve">Food</x:t>
        </x:is>
      </x:c>
      <x:c r="F18" s="30" t="n">
        <x:v>1.1</x:v>
      </x:c>
      <x:c r="G18" s="16" t="n">
        <x:v>0.6</x:v>
      </x:c>
      <x:c r="H18" s="9" t="n">
        <x:f>C18+D18</x:f>
        <x:v>1.5</x:v>
      </x:c>
      <x:c r="I18" s="31" t="n">
        <x:f>G18*LN(F18)</x:f>
        <x:v>0.057186107882594955</x:v>
      </x:c>
    </x:row>
    <x:row r="19">
      <x:c r="A19" s="28" t="inlineStr">
        <x:is>
          <x:t xml:space="preserve">BLD-03</x:t>
        </x:is>
      </x:c>
      <x:c r="B19" s="28" t="inlineStr">
        <x:is>
          <x:t xml:space="preserve">Pit House</x:t>
        </x:is>
      </x:c>
      <x:c r="C19" s="28" t="n">
        <x:v>1</x:v>
      </x:c>
      <x:c r="D19" s="16" t="n">
        <x:v>0.55</x:v>
      </x:c>
      <x:c r="E19" s="16" t="inlineStr">
        <x:is>
          <x:t xml:space="preserve">Housing</x:t>
        </x:is>
      </x:c>
      <x:c r="F19" s="30" t="n">
        <x:v>1.5</x:v>
      </x:c>
      <x:c r="G19" s="16" t="n">
        <x:v>1</x:v>
      </x:c>
      <x:c r="H19" s="9" t="n">
        <x:f>C19+D19</x:f>
        <x:v>1.55</x:v>
      </x:c>
      <x:c r="I19" s="31" t="n">
        <x:f>G19*LN(F19)</x:f>
        <x:v>0.4054651081081644</x:v>
      </x:c>
    </x:row>
    <x:row r="20">
      <x:c r="A20" s="28" t="inlineStr">
        <x:is>
          <x:t xml:space="preserve">FOR-04</x:t>
        </x:is>
      </x:c>
      <x:c r="B20" s="28" t="inlineStr">
        <x:is>
          <x:t xml:space="preserve">Wild Cereal Harvest</x:t>
        </x:is>
      </x:c>
      <x:c r="C20" s="28" t="n">
        <x:v>1</x:v>
      </x:c>
      <x:c r="D20" s="16" t="n">
        <x:v>0.6</x:v>
      </x:c>
      <x:c r="E20" s="16" t="inlineStr">
        <x:is>
          <x:t xml:space="preserve">Food</x:t>
        </x:is>
      </x:c>
      <x:c r="F20" s="30" t="n">
        <x:v>1.1</x:v>
      </x:c>
      <x:c r="G20" s="16" t="n">
        <x:v>1</x:v>
      </x:c>
      <x:c r="H20" s="9" t="n">
        <x:f>C20+D20</x:f>
        <x:v>1.6</x:v>
      </x:c>
      <x:c r="I20" s="31" t="n">
        <x:f>G20*LN(F20)</x:f>
        <x:v>0.09531017980432493</x:v>
      </x:c>
    </x:row>
    <x:row r="21">
      <x:c r="A21" s="28" t="inlineStr">
        <x:is>
          <x:t xml:space="preserve">FOD-03</x:t>
        </x:is>
      </x:c>
      <x:c r="B21" s="28" t="inlineStr">
        <x:is>
          <x:t xml:space="preserve">Storage Pits</x:t>
        </x:is>
      </x:c>
      <x:c r="C21" s="28" t="n">
        <x:v>1</x:v>
      </x:c>
      <x:c r="D21" s="16" t="n">
        <x:v>0.7</x:v>
      </x:c>
      <x:c r="E21" s="16" t="inlineStr">
        <x:is>
          <x:t xml:space="preserve">Lean</x:t>
        </x:is>
      </x:c>
      <x:c r="F21" s="30" t="n">
        <x:v>1.3</x:v>
      </x:c>
      <x:c r="G21" s="16" t="n">
        <x:v>1</x:v>
      </x:c>
      <x:c r="H21" s="9" t="n">
        <x:f>C21+D21</x:f>
        <x:v>1.7</x:v>
      </x:c>
      <x:c r="I21" s="31" t="n">
        <x:f>G21*LN(F21)</x:f>
        <x:v>0.26236426446749106</x:v>
      </x:c>
    </x:row>
    <x:row r="22">
      <x:c r="A22" s="28" t="inlineStr">
        <x:is>
          <x:t xml:space="preserve">SOC-03</x:t>
        </x:is>
      </x:c>
      <x:c r="B22" s="28" t="inlineStr">
        <x:is>
          <x:t xml:space="preserve">Band Alliances</x:t>
        </x:is>
      </x:c>
      <x:c r="C22" s="28" t="n">
        <x:v>1</x:v>
      </x:c>
      <x:c r="D22" s="16" t="n">
        <x:v>0.8</x:v>
      </x:c>
      <x:c r="E22" s="16" t="inlineStr">
        <x:is>
          <x:t xml:space="preserve">Group</x:t>
        </x:is>
      </x:c>
      <x:c r="F22" s="30" t="n">
        <x:v>1.428571428571429</x:v>
      </x:c>
      <x:c r="G22" s="16" t="n">
        <x:v>1</x:v>
      </x:c>
      <x:c r="H22" s="9" t="n">
        <x:f>C22+D22</x:f>
        <x:v>1.8</x:v>
      </x:c>
      <x:c r="I22" s="31" t="n">
        <x:f>G22*LN(F22)</x:f>
        <x:v>0.3566749439387327</x:v>
      </x:c>
    </x:row>
    <x:row r="23">
      <x:c r="A23" s="28" t="inlineStr">
        <x:is>
          <x:t xml:space="preserve">HNT-04</x:t>
        </x:is>
      </x:c>
      <x:c r="B23" s="28" t="inlineStr">
        <x:is>
          <x:t xml:space="preserve">Cooperative Drives</x:t>
        </x:is>
      </x:c>
      <x:c r="C23" s="28" t="n">
        <x:v>1</x:v>
      </x:c>
      <x:c r="D23" s="16" t="n">
        <x:v>0.85</x:v>
      </x:c>
      <x:c r="E23" s="16" t="inlineStr">
        <x:is>
          <x:t xml:space="preserve">Food</x:t>
        </x:is>
      </x:c>
      <x:c r="F23" s="30" t="n">
        <x:v>1.1</x:v>
      </x:c>
      <x:c r="G23" s="16" t="n">
        <x:v>0.7</x:v>
      </x:c>
      <x:c r="H23" s="9" t="n">
        <x:f>C23+D23</x:f>
        <x:v>1.85</x:v>
      </x:c>
      <x:c r="I23" s="31" t="n">
        <x:f>G23*LN(F23)</x:f>
        <x:v>0.06671712586302744</x:v>
      </x:c>
    </x:row>
    <x:row r="24">
      <x:c r="A24" s="28" t="inlineStr">
        <x:is>
          <x:t xml:space="preserve">SOC-04</x:t>
        </x:is>
      </x:c>
      <x:c r="B24" s="28" t="inlineStr">
        <x:is>
          <x:t xml:space="preserve">Clans &amp; Totems</x:t>
        </x:is>
      </x:c>
      <x:c r="C24" s="28" t="n">
        <x:v>2</x:v>
      </x:c>
      <x:c r="D24" s="16" t="n">
        <x:v>0.1</x:v>
      </x:c>
      <x:c r="E24" s="16" t="inlineStr">
        <x:is>
          <x:t xml:space="preserve">Group</x:t>
        </x:is>
      </x:c>
      <x:c r="F24" s="30" t="n">
        <x:v>3</x:v>
      </x:c>
      <x:c r="G24" s="16" t="n">
        <x:v>1</x:v>
      </x:c>
      <x:c r="H24" s="9" t="n">
        <x:f>C24+D24</x:f>
        <x:v>2.1</x:v>
      </x:c>
      <x:c r="I24" s="31" t="n">
        <x:f>G24*LN(F24)</x:f>
        <x:v>1.0986122886681096</x:v>
      </x:c>
    </x:row>
    <x:row r="25">
      <x:c r="A25" s="28" t="inlineStr">
        <x:is>
          <x:t xml:space="preserve">SOC-04</x:t>
        </x:is>
      </x:c>
      <x:c r="B25" s="28" t="inlineStr">
        <x:is>
          <x:t xml:space="preserve">Clans &amp; Totems (hamlet)</x:t>
        </x:is>
      </x:c>
      <x:c r="C25" s="28" t="n">
        <x:v>2</x:v>
      </x:c>
      <x:c r="D25" s="16" t="n">
        <x:v>0.1</x:v>
      </x:c>
      <x:c r="E25" s="16" t="inlineStr">
        <x:is>
          <x:t xml:space="preserve">Housing</x:t>
        </x:is>
      </x:c>
      <x:c r="F25" s="30" t="n">
        <x:v>1.3</x:v>
      </x:c>
      <x:c r="G25" s="16" t="n">
        <x:v>1</x:v>
      </x:c>
      <x:c r="H25" s="9" t="n">
        <x:f>C25+D25</x:f>
        <x:v>2.1</x:v>
      </x:c>
      <x:c r="I25" s="31" t="n">
        <x:f>G25*LN(F25)</x:f>
        <x:v>0.26236426446749106</x:v>
      </x:c>
    </x:row>
    <x:row r="26">
      <x:c r="A26" s="28" t="inlineStr">
        <x:is>
          <x:t xml:space="preserve">FOD-04</x:t>
        </x:is>
      </x:c>
      <x:c r="B26" s="28" t="inlineStr">
        <x:is>
          <x:t xml:space="preserve">Boiling &amp; Stews</x:t>
        </x:is>
      </x:c>
      <x:c r="C26" s="28" t="n">
        <x:v>2</x:v>
      </x:c>
      <x:c r="D26" s="16" t="n">
        <x:v>0.1</x:v>
      </x:c>
      <x:c r="E26" s="16" t="inlineStr">
        <x:is>
          <x:t xml:space="preserve">Food</x:t>
        </x:is>
      </x:c>
      <x:c r="F26" s="30" t="n">
        <x:v>1.05</x:v>
      </x:c>
      <x:c r="G26" s="16" t="n">
        <x:v>1</x:v>
      </x:c>
      <x:c r="H26" s="9" t="n">
        <x:f>C26+D26</x:f>
        <x:v>2.1</x:v>
      </x:c>
      <x:c r="I26" s="31" t="n">
        <x:f>G26*LN(F26)</x:f>
        <x:v>0.04879016416943205</x:v>
      </x:c>
    </x:row>
    <x:row r="27">
      <x:c r="A27" s="28" t="inlineStr">
        <x:is>
          <x:t xml:space="preserve">FOR-05</x:t>
        </x:is>
      </x:c>
      <x:c r="B27" s="28" t="inlineStr">
        <x:is>
          <x:t xml:space="preserve">Seed Grinding</x:t>
        </x:is>
      </x:c>
      <x:c r="C27" s="28" t="n">
        <x:v>2</x:v>
      </x:c>
      <x:c r="D27" s="16" t="n">
        <x:v>0.1</x:v>
      </x:c>
      <x:c r="E27" s="16" t="inlineStr">
        <x:is>
          <x:t xml:space="preserve">Food</x:t>
        </x:is>
      </x:c>
      <x:c r="F27" s="30" t="n">
        <x:v>1.04</x:v>
      </x:c>
      <x:c r="G27" s="16" t="n">
        <x:v>1</x:v>
      </x:c>
      <x:c r="H27" s="9" t="n">
        <x:f>C27+D27</x:f>
        <x:v>2.1</x:v>
      </x:c>
      <x:c r="I27" s="31" t="n">
        <x:f>G27*LN(F27)</x:f>
        <x:v>0.03922071315328133</x:v>
      </x:c>
    </x:row>
    <x:row r="28">
      <x:c r="A28" s="28" t="inlineStr">
        <x:is>
          <x:t xml:space="preserve">FOR-06</x:t>
        </x:is>
      </x:c>
      <x:c r="B28" s="28" t="inlineStr">
        <x:is>
          <x:t xml:space="preserve">Tending Wild Stands</x:t>
        </x:is>
      </x:c>
      <x:c r="C28" s="28" t="n">
        <x:v>2</x:v>
      </x:c>
      <x:c r="D28" s="16" t="n">
        <x:v>0.15</x:v>
      </x:c>
      <x:c r="E28" s="16" t="inlineStr">
        <x:is>
          <x:t xml:space="preserve">Food</x:t>
        </x:is>
      </x:c>
      <x:c r="F28" s="30" t="n">
        <x:v>1.06</x:v>
      </x:c>
      <x:c r="G28" s="16" t="n">
        <x:v>1</x:v>
      </x:c>
      <x:c r="H28" s="9" t="n">
        <x:f>C28+D28</x:f>
        <x:v>2.15</x:v>
      </x:c>
      <x:c r="I28" s="31" t="n">
        <x:f>G28*LN(F28)</x:f>
        <x:v>0.058268908123975824</x:v>
      </x:c>
    </x:row>
    <x:row r="29">
      <x:c r="A29" s="28" t="inlineStr">
        <x:is>
          <x:t xml:space="preserve">AGR-01</x:t>
        </x:is>
      </x:c>
      <x:c r="B29" s="28" t="inlineStr">
        <x:is>
          <x:t xml:space="preserve">Cultivation</x:t>
        </x:is>
      </x:c>
      <x:c r="C29" s="28" t="n">
        <x:v>2</x:v>
      </x:c>
      <x:c r="D29" s="16" t="n">
        <x:v>0.3</x:v>
      </x:c>
      <x:c r="E29" s="16" t="inlineStr">
        <x:is>
          <x:t xml:space="preserve">Food</x:t>
        </x:is>
      </x:c>
      <x:c r="F29" s="30" t="n">
        <x:v>1.3</x:v>
      </x:c>
      <x:c r="G29" s="16" t="n">
        <x:v>1</x:v>
      </x:c>
      <x:c r="H29" s="9" t="n">
        <x:f>C29+D29</x:f>
        <x:v>2.3</x:v>
      </x:c>
      <x:c r="I29" s="31" t="n">
        <x:f>G29*LN(F29)</x:f>
        <x:v>0.26236426446749106</x:v>
      </x:c>
    </x:row>
    <x:row r="30">
      <x:c r="A30" s="28" t="inlineStr">
        <x:is>
          <x:t xml:space="preserve">BLD-04</x:t>
        </x:is>
      </x:c>
      <x:c r="B30" s="28" t="inlineStr">
        <x:is>
          <x:t xml:space="preserve">Wattle &amp; Daub</x:t>
        </x:is>
      </x:c>
      <x:c r="C30" s="28" t="n">
        <x:v>2</x:v>
      </x:c>
      <x:c r="D30" s="16" t="n">
        <x:v>0.35</x:v>
      </x:c>
      <x:c r="E30" s="16" t="inlineStr">
        <x:is>
          <x:t xml:space="preserve">Housing</x:t>
        </x:is>
      </x:c>
      <x:c r="F30" s="30" t="n">
        <x:v>1.5</x:v>
      </x:c>
      <x:c r="G30" s="16" t="n">
        <x:v>1</x:v>
      </x:c>
      <x:c r="H30" s="9" t="n">
        <x:f>C30+D30</x:f>
        <x:v>2.35</x:v>
      </x:c>
      <x:c r="I30" s="31" t="n">
        <x:f>G30*LN(F30)</x:f>
        <x:v>0.4054651081081644</x:v>
      </x:c>
    </x:row>
    <x:row r="31">
      <x:c r="A31" s="28" t="inlineStr">
        <x:is>
          <x:t xml:space="preserve">AGR-02</x:t>
        </x:is>
      </x:c>
      <x:c r="B31" s="28" t="inlineStr">
        <x:is>
          <x:t xml:space="preserve">Domesticated Staples</x:t>
        </x:is>
      </x:c>
      <x:c r="C31" s="28" t="n">
        <x:v>2</x:v>
      </x:c>
      <x:c r="D31" s="16" t="n">
        <x:v>0.5</x:v>
      </x:c>
      <x:c r="E31" s="16" t="inlineStr">
        <x:is>
          <x:t xml:space="preserve">Food</x:t>
        </x:is>
      </x:c>
      <x:c r="F31" s="30" t="n">
        <x:v>1.22</x:v>
      </x:c>
      <x:c r="G31" s="16" t="n">
        <x:v>1</x:v>
      </x:c>
      <x:c r="H31" s="9" t="n">
        <x:f>C31+D31</x:f>
        <x:v>2.5</x:v>
      </x:c>
      <x:c r="I31" s="31" t="n">
        <x:f>G31*LN(F31)</x:f>
        <x:v>0.19885085874516517</x:v>
      </x:c>
    </x:row>
    <x:row r="32">
      <x:c r="A32" s="28" t="inlineStr">
        <x:is>
          <x:t xml:space="preserve">SOC-06</x:t>
        </x:is>
      </x:c>
      <x:c r="B32" s="28" t="inlineStr">
        <x:is>
          <x:t xml:space="preserve">Village Life</x:t>
        </x:is>
      </x:c>
      <x:c r="C32" s="28" t="n">
        <x:v>2</x:v>
      </x:c>
      <x:c r="D32" s="16" t="n">
        <x:v>0.5</x:v>
      </x:c>
      <x:c r="E32" s="16" t="inlineStr">
        <x:is>
          <x:t xml:space="preserve">Group</x:t>
        </x:is>
      </x:c>
      <x:c r="F32" s="30" t="n">
        <x:v>3.333333333333333</x:v>
      </x:c>
      <x:c r="G32" s="16" t="n">
        <x:v>1</x:v>
      </x:c>
      <x:c r="H32" s="9" t="n">
        <x:f>C32+D32</x:f>
        <x:v>2.5</x:v>
      </x:c>
      <x:c r="I32" s="31" t="n">
        <x:f>G32*LN(F32)</x:f>
        <x:v>1.203972804325936</x:v>
      </x:c>
    </x:row>
    <x:row r="33">
      <x:c r="A33" s="28" t="inlineStr">
        <x:is>
          <x:t xml:space="preserve">SOC-06</x:t>
        </x:is>
      </x:c>
      <x:c r="B33" s="28" t="inlineStr">
        <x:is>
          <x:t xml:space="preserve">Village Life (village)</x:t>
        </x:is>
      </x:c>
      <x:c r="C33" s="28" t="n">
        <x:v>2</x:v>
      </x:c>
      <x:c r="D33" s="16" t="n">
        <x:v>0.5</x:v>
      </x:c>
      <x:c r="E33" s="16" t="inlineStr">
        <x:is>
          <x:t xml:space="preserve">Housing</x:t>
        </x:is>
      </x:c>
      <x:c r="F33" s="30" t="n">
        <x:v>1.5</x:v>
      </x:c>
      <x:c r="G33" s="16" t="n">
        <x:v>1</x:v>
      </x:c>
      <x:c r="H33" s="9" t="n">
        <x:f>C33+D33</x:f>
        <x:v>2.5</x:v>
      </x:c>
      <x:c r="I33" s="31" t="n">
        <x:f>G33*LN(F33)</x:f>
        <x:v>0.4054651081081644</x:v>
      </x:c>
    </x:row>
    <x:row r="34">
      <x:c r="A34" s="28" t="inlineStr">
        <x:is>
          <x:t xml:space="preserve">BLD-06</x:t>
        </x:is>
      </x:c>
      <x:c r="B34" s="28" t="inlineStr">
        <x:is>
          <x:t xml:space="preserve">Longhouses</x:t>
        </x:is>
      </x:c>
      <x:c r="C34" s="28" t="n">
        <x:v>2</x:v>
      </x:c>
      <x:c r="D34" s="16" t="n">
        <x:v>0.6</x:v>
      </x:c>
      <x:c r="E34" s="16" t="inlineStr">
        <x:is>
          <x:t xml:space="preserve">Housing</x:t>
        </x:is>
      </x:c>
      <x:c r="F34" s="30" t="n">
        <x:v>1.5</x:v>
      </x:c>
      <x:c r="G34" s="16" t="n">
        <x:v>1</x:v>
      </x:c>
      <x:c r="H34" s="9" t="n">
        <x:f>C34+D34</x:f>
        <x:v>2.6</x:v>
      </x:c>
      <x:c r="I34" s="31" t="n">
        <x:f>G34*LN(F34)</x:f>
        <x:v>0.4054651081081644</x:v>
      </x:c>
    </x:row>
    <x:row r="35">
      <x:c r="A35" s="28" t="inlineStr">
        <x:is>
          <x:t xml:space="preserve">FOD-05</x:t>
        </x:is>
      </x:c>
      <x:c r="B35" s="28" t="inlineStr">
        <x:is>
          <x:t xml:space="preserve">Fermentation</x:t>
        </x:is>
      </x:c>
      <x:c r="C35" s="28" t="n">
        <x:v>2</x:v>
      </x:c>
      <x:c r="D35" s="16" t="n">
        <x:v>0.65</x:v>
      </x:c>
      <x:c r="E35" s="16" t="inlineStr">
        <x:is>
          <x:t xml:space="preserve">Food</x:t>
        </x:is>
      </x:c>
      <x:c r="F35" s="30" t="n">
        <x:v>1.05</x:v>
      </x:c>
      <x:c r="G35" s="16" t="n">
        <x:v>1</x:v>
      </x:c>
      <x:c r="H35" s="9" t="n">
        <x:f>C35+D35</x:f>
        <x:v>2.65</x:v>
      </x:c>
      <x:c r="I35" s="31" t="n">
        <x:f>G35*LN(F35)</x:f>
        <x:v>0.04879016416943205</x:v>
      </x:c>
    </x:row>
    <x:row r="36">
      <x:c r="A36" s="28" t="inlineStr">
        <x:is>
          <x:t xml:space="preserve">AGR-03</x:t>
        </x:is>
      </x:c>
      <x:c r="B36" s="28" t="inlineStr">
        <x:is>
          <x:t xml:space="preserve">Legume Pairing</x:t>
        </x:is>
      </x:c>
      <x:c r="C36" s="28" t="n">
        <x:v>2</x:v>
      </x:c>
      <x:c r="D36" s="16" t="n">
        <x:v>0.7</x:v>
      </x:c>
      <x:c r="E36" s="16" t="inlineStr">
        <x:is>
          <x:t xml:space="preserve">Food</x:t>
        </x:is>
      </x:c>
      <x:c r="F36" s="30" t="n">
        <x:v>1.08</x:v>
      </x:c>
      <x:c r="G36" s="16" t="n">
        <x:v>0.5</x:v>
      </x:c>
      <x:c r="H36" s="9" t="n">
        <x:f>C36+D36</x:f>
        <x:v>2.7</x:v>
      </x:c>
      <x:c r="I36" s="31" t="n">
        <x:f>G36*LN(F36)</x:f>
        <x:v>0.0384805205680642</x:v>
      </x:c>
    </x:row>
    <x:row r="37">
      <x:c r="A37" s="28" t="inlineStr">
        <x:is>
          <x:t xml:space="preserve">HNT-09</x:t>
        </x:is>
      </x:c>
      <x:c r="B37" s="28" t="inlineStr">
        <x:is>
          <x:t xml:space="preserve">Weirs &amp; Fish Traps</x:t>
        </x:is>
      </x:c>
      <x:c r="C37" s="28" t="n">
        <x:v>2</x:v>
      </x:c>
      <x:c r="D37" s="16" t="n">
        <x:v>0.7</x:v>
      </x:c>
      <x:c r="E37" s="16" t="inlineStr">
        <x:is>
          <x:t xml:space="preserve">Food</x:t>
        </x:is>
      </x:c>
      <x:c r="F37" s="30" t="n">
        <x:v>1.08</x:v>
      </x:c>
      <x:c r="G37" s="16" t="n">
        <x:v>0.4</x:v>
      </x:c>
      <x:c r="H37" s="9" t="n">
        <x:f>C37+D37</x:f>
        <x:v>2.7</x:v>
      </x:c>
      <x:c r="I37" s="31" t="n">
        <x:f>G37*LN(F37)</x:f>
        <x:v>0.03078441645445136</x:v>
      </x:c>
    </x:row>
    <x:row r="38">
      <x:c r="A38" s="28" t="inlineStr">
        <x:is>
          <x:t xml:space="preserve">FOR-07</x:t>
        </x:is>
      </x:c>
      <x:c r="B38" s="28" t="inlineStr">
        <x:is>
          <x:t xml:space="preserve">Orchards</x:t>
        </x:is>
      </x:c>
      <x:c r="C38" s="28" t="n">
        <x:v>2</x:v>
      </x:c>
      <x:c r="D38" s="16" t="n">
        <x:v>0.75</x:v>
      </x:c>
      <x:c r="E38" s="16" t="inlineStr">
        <x:is>
          <x:t xml:space="preserve">Food</x:t>
        </x:is>
      </x:c>
      <x:c r="F38" s="30" t="n">
        <x:v>1.08</x:v>
      </x:c>
      <x:c r="G38" s="16" t="n">
        <x:v>0.4</x:v>
      </x:c>
      <x:c r="H38" s="9" t="n">
        <x:f>C38+D38</x:f>
        <x:v>2.75</x:v>
      </x:c>
      <x:c r="I38" s="31" t="n">
        <x:f>G38*LN(F38)</x:f>
        <x:v>0.03078441645445136</x:v>
      </x:c>
    </x:row>
    <x:row r="39">
      <x:c r="A39" s="28" t="inlineStr">
        <x:is>
          <x:t xml:space="preserve">SOC-07</x:t>
        </x:is>
      </x:c>
      <x:c r="B39" s="28" t="inlineStr">
        <x:is>
          <x:t xml:space="preserve">Chiefdom</x:t>
        </x:is>
      </x:c>
      <x:c r="C39" s="28" t="n">
        <x:v>2</x:v>
      </x:c>
      <x:c r="D39" s="16" t="n">
        <x:v>0.8</x:v>
      </x:c>
      <x:c r="E39" s="16" t="inlineStr">
        <x:is>
          <x:t xml:space="preserve">Group</x:t>
        </x:is>
      </x:c>
      <x:c r="F39" s="30" t="n">
        <x:v>4</x:v>
      </x:c>
      <x:c r="G39" s="16" t="n">
        <x:v>1</x:v>
      </x:c>
      <x:c r="H39" s="9" t="n">
        <x:f>C39+D39</x:f>
        <x:v>2.8</x:v>
      </x:c>
      <x:c r="I39" s="31" t="n">
        <x:f>G39*LN(F39)</x:f>
        <x:v>1.3862943611198906</x:v>
      </x:c>
    </x:row>
    <x:row r="40">
      <x:c r="A40" s="28" t="inlineStr">
        <x:is>
          <x:t xml:space="preserve">HUS-03</x:t>
        </x:is>
      </x:c>
      <x:c r="B40" s="28" t="inlineStr">
        <x:is>
          <x:t xml:space="preserve">Goats &amp; Sheep</x:t>
        </x:is>
      </x:c>
      <x:c r="C40" s="28" t="n">
        <x:v>3</x:v>
      </x:c>
      <x:c r="D40" s="16" t="n">
        <x:v>0.15</x:v>
      </x:c>
      <x:c r="E40" s="16" t="inlineStr">
        <x:is>
          <x:t xml:space="preserve">Food</x:t>
        </x:is>
      </x:c>
      <x:c r="F40" s="30" t="n">
        <x:v>1.08</x:v>
      </x:c>
      <x:c r="G40" s="16" t="n">
        <x:v>1</x:v>
      </x:c>
      <x:c r="H40" s="9" t="n">
        <x:f>C40+D40</x:f>
        <x:v>3.15</x:v>
      </x:c>
      <x:c r="I40" s="31" t="n">
        <x:f>G40*LN(F40)</x:f>
        <x:v>0.0769610411361284</x:v>
      </x:c>
    </x:row>
    <x:row r="41">
      <x:c r="A41" s="28" t="inlineStr">
        <x:is>
          <x:t xml:space="preserve">HUS-04</x:t>
        </x:is>
      </x:c>
      <x:c r="B41" s="28" t="inlineStr">
        <x:is>
          <x:t xml:space="preserve">Cattle &amp; Pigs</x:t>
        </x:is>
      </x:c>
      <x:c r="C41" s="28" t="n">
        <x:v>3</x:v>
      </x:c>
      <x:c r="D41" s="16" t="n">
        <x:v>0.15</x:v>
      </x:c>
      <x:c r="E41" s="16" t="inlineStr">
        <x:is>
          <x:t xml:space="preserve">Food</x:t>
        </x:is>
      </x:c>
      <x:c r="F41" s="30" t="n">
        <x:v>1.05</x:v>
      </x:c>
      <x:c r="G41" s="16" t="n">
        <x:v>1</x:v>
      </x:c>
      <x:c r="H41" s="9" t="n">
        <x:f>C41+D41</x:f>
        <x:v>3.15</x:v>
      </x:c>
      <x:c r="I41" s="31" t="n">
        <x:f>G41*LN(F41)</x:f>
        <x:v>0.04879016416943205</x:v>
      </x:c>
    </x:row>
    <x:row r="42">
      <x:c r="A42" s="28" t="inlineStr">
        <x:is>
          <x:t xml:space="preserve">HUS-02</x:t>
        </x:is>
      </x:c>
      <x:c r="B42" s="28" t="inlineStr">
        <x:is>
          <x:t xml:space="preserve">Herd Following</x:t>
        </x:is>
      </x:c>
      <x:c r="C42" s="28" t="n">
        <x:v>3</x:v>
      </x:c>
      <x:c r="D42" s="16" t="n">
        <x:v>0.15</x:v>
      </x:c>
      <x:c r="E42" s="16" t="inlineStr">
        <x:is>
          <x:t xml:space="preserve">Food</x:t>
        </x:is>
      </x:c>
      <x:c r="F42" s="30" t="n">
        <x:v>1.04</x:v>
      </x:c>
      <x:c r="G42" s="16" t="n">
        <x:v>1</x:v>
      </x:c>
      <x:c r="H42" s="9" t="n">
        <x:f>C42+D42</x:f>
        <x:v>3.15</x:v>
      </x:c>
      <x:c r="I42" s="31" t="n">
        <x:f>G42*LN(F42)</x:f>
        <x:v>0.03922071315328133</x:v>
      </x:c>
    </x:row>
    <x:row r="43">
      <x:c r="A43" s="28" t="inlineStr">
        <x:is>
          <x:t xml:space="preserve">FOD-06</x:t>
        </x:is>
      </x:c>
      <x:c r="B43" s="28" t="inlineStr">
        <x:is>
          <x:t xml:space="preserve">Granaries</x:t>
        </x:is>
      </x:c>
      <x:c r="C43" s="28" t="n">
        <x:v>3</x:v>
      </x:c>
      <x:c r="D43" s="16" t="n">
        <x:v>0.15</x:v>
      </x:c>
      <x:c r="E43" s="16" t="inlineStr">
        <x:is>
          <x:t xml:space="preserve">Food</x:t>
        </x:is>
      </x:c>
      <x:c r="F43" s="30" t="n">
        <x:v>1.05</x:v>
      </x:c>
      <x:c r="G43" s="16" t="n">
        <x:v>1</x:v>
      </x:c>
      <x:c r="H43" s="9" t="n">
        <x:f>C43+D43</x:f>
        <x:v>3.15</x:v>
      </x:c>
      <x:c r="I43" s="31" t="n">
        <x:f>G43*LN(F43)</x:f>
        <x:v>0.04879016416943205</x:v>
      </x:c>
    </x:row>
    <x:row r="44">
      <x:c r="A44" s="28" t="inlineStr">
        <x:is>
          <x:t xml:space="preserve">BLD-05</x:t>
        </x:is>
      </x:c>
      <x:c r="B44" s="28" t="inlineStr">
        <x:is>
          <x:t xml:space="preserve">Mudbrick</x:t>
        </x:is>
      </x:c>
      <x:c r="C44" s="28" t="n">
        <x:v>3</x:v>
      </x:c>
      <x:c r="D44" s="16" t="n">
        <x:v>0.15</x:v>
      </x:c>
      <x:c r="E44" s="16" t="inlineStr">
        <x:is>
          <x:t xml:space="preserve">Housing</x:t>
        </x:is>
      </x:c>
      <x:c r="F44" s="30" t="n">
        <x:v>1.5</x:v>
      </x:c>
      <x:c r="G44" s="16" t="n">
        <x:v>1</x:v>
      </x:c>
      <x:c r="H44" s="9" t="n">
        <x:f>C44+D44</x:f>
        <x:v>3.15</x:v>
      </x:c>
      <x:c r="I44" s="31" t="n">
        <x:f>G44*LN(F44)</x:f>
        <x:v>0.4054651081081644</x:v>
      </x:c>
    </x:row>
    <x:row r="45">
      <x:c r="A45" s="28" t="inlineStr">
        <x:is>
          <x:t xml:space="preserve">AGR-05</x:t>
        </x:is>
      </x:c>
      <x:c r="B45" s="28" t="inlineStr">
        <x:is>
          <x:t xml:space="preserve">Ard Plough</x:t>
        </x:is>
      </x:c>
      <x:c r="C45" s="28" t="n">
        <x:v>3</x:v>
      </x:c>
      <x:c r="D45" s="16" t="n">
        <x:v>0.35</x:v>
      </x:c>
      <x:c r="E45" s="16" t="inlineStr">
        <x:is>
          <x:t xml:space="preserve">Food</x:t>
        </x:is>
      </x:c>
      <x:c r="F45" s="30" t="n">
        <x:v>1.17</x:v>
      </x:c>
      <x:c r="G45" s="16" t="n">
        <x:v>1</x:v>
      </x:c>
      <x:c r="H45" s="9" t="n">
        <x:f>C45+D45</x:f>
        <x:v>3.35</x:v>
      </x:c>
      <x:c r="I45" s="31" t="n">
        <x:f>G45*LN(F45)</x:f>
        <x:v>0.1570037488096647</x:v>
      </x:c>
    </x:row>
    <x:row r="46">
      <x:c r="A46" s="28" t="inlineStr">
        <x:is>
          <x:t xml:space="preserve">TRN-05</x:t>
        </x:is>
      </x:c>
      <x:c r="B46" s="28" t="inlineStr">
        <x:is>
          <x:t xml:space="preserve">Wheeled Carts</x:t>
        </x:is>
      </x:c>
      <x:c r="C46" s="28" t="n">
        <x:v>3</x:v>
      </x:c>
      <x:c r="D46" s="16" t="n">
        <x:v>0.4</x:v>
      </x:c>
      <x:c r="E46" s="16" t="inlineStr">
        <x:is>
          <x:t xml:space="preserve">Food</x:t>
        </x:is>
      </x:c>
      <x:c r="F46" s="30" t="n">
        <x:v>1.06</x:v>
      </x:c>
      <x:c r="G46" s="16" t="n">
        <x:v>1</x:v>
      </x:c>
      <x:c r="H46" s="9" t="n">
        <x:f>C46+D46</x:f>
        <x:v>3.4</x:v>
      </x:c>
      <x:c r="I46" s="31" t="n">
        <x:f>G46*LN(F46)</x:f>
        <x:v>0.058268908123975824</x:v>
      </x:c>
    </x:row>
    <x:row r="47">
      <x:c r="A47" s="28" t="inlineStr">
        <x:is>
          <x:t xml:space="preserve">HUS-05</x:t>
        </x:is>
      </x:c>
      <x:c r="B47" s="28" t="inlineStr">
        <x:is>
          <x:t xml:space="preserve">Dairying</x:t>
        </x:is>
      </x:c>
      <x:c r="C47" s="28" t="n">
        <x:v>3</x:v>
      </x:c>
      <x:c r="D47" s="16" t="n">
        <x:v>0.5</x:v>
      </x:c>
      <x:c r="E47" s="16" t="inlineStr">
        <x:is>
          <x:t xml:space="preserve">Food</x:t>
        </x:is>
      </x:c>
      <x:c r="F47" s="30" t="n">
        <x:v>1.08</x:v>
      </x:c>
      <x:c r="G47" s="16" t="n">
        <x:v>0.5</x:v>
      </x:c>
      <x:c r="H47" s="9" t="n">
        <x:f>C47+D47</x:f>
        <x:v>3.5</x:v>
      </x:c>
      <x:c r="I47" s="31" t="n">
        <x:f>G47*LN(F47)</x:f>
        <x:v>0.0384805205680642</x:v>
      </x:c>
    </x:row>
    <x:row r="48">
      <x:c r="A48" s="28" t="inlineStr">
        <x:is>
          <x:t xml:space="preserve">AGR-06</x:t>
        </x:is>
      </x:c>
      <x:c r="B48" s="28" t="inlineStr">
        <x:is>
          <x:t xml:space="preserve">Irrigation Canals</x:t>
        </x:is>
      </x:c>
      <x:c r="C48" s="28" t="n">
        <x:v>3</x:v>
      </x:c>
      <x:c r="D48" s="16" t="n">
        <x:v>0.55</x:v>
      </x:c>
      <x:c r="E48" s="16" t="inlineStr">
        <x:is>
          <x:t xml:space="preserve">Food</x:t>
        </x:is>
      </x:c>
      <x:c r="F48" s="30" t="n">
        <x:v>1.17</x:v>
      </x:c>
      <x:c r="G48" s="16" t="n">
        <x:v>1</x:v>
      </x:c>
      <x:c r="H48" s="9" t="n">
        <x:f>C48+D48</x:f>
        <x:v>3.55</x:v>
      </x:c>
      <x:c r="I48" s="31" t="n">
        <x:f>G48*LN(F48)</x:f>
        <x:v>0.1570037488096647</x:v>
      </x:c>
    </x:row>
    <x:row r="49">
      <x:c r="A49" s="28" t="inlineStr">
        <x:is>
          <x:t xml:space="preserve">TRD-05</x:t>
        </x:is>
      </x:c>
      <x:c r="B49" s="28" t="inlineStr">
        <x:is>
          <x:t xml:space="preserve">Market Towns</x:t>
        </x:is>
      </x:c>
      <x:c r="C49" s="28" t="n">
        <x:v>3</x:v>
      </x:c>
      <x:c r="D49" s="16" t="n">
        <x:v>0.6</x:v>
      </x:c>
      <x:c r="E49" s="16" t="inlineStr">
        <x:is>
          <x:t xml:space="preserve">Food</x:t>
        </x:is>
      </x:c>
      <x:c r="F49" s="30" t="n">
        <x:v>1.05</x:v>
      </x:c>
      <x:c r="G49" s="16" t="n">
        <x:v>1</x:v>
      </x:c>
      <x:c r="H49" s="9" t="n">
        <x:f>C49+D49</x:f>
        <x:v>3.6</x:v>
      </x:c>
      <x:c r="I49" s="31" t="n">
        <x:f>G49*LN(F49)</x:f>
        <x:v>0.04879016416943205</x:v>
      </x:c>
    </x:row>
    <x:row r="50">
      <x:c r="A50" s="28" t="inlineStr">
        <x:is>
          <x:t xml:space="preserve">AGR-07</x:t>
        </x:is>
      </x:c>
      <x:c r="B50" s="28" t="inlineStr">
        <x:is>
          <x:t xml:space="preserve">Fallow &amp; Manuring</x:t>
        </x:is>
      </x:c>
      <x:c r="C50" s="28" t="n">
        <x:v>3</x:v>
      </x:c>
      <x:c r="D50" s="16" t="n">
        <x:v>0.6</x:v>
      </x:c>
      <x:c r="E50" s="16" t="inlineStr">
        <x:is>
          <x:t xml:space="preserve">Food</x:t>
        </x:is>
      </x:c>
      <x:c r="F50" s="30" t="n">
        <x:v>1.1</x:v>
      </x:c>
      <x:c r="G50" s="16" t="n">
        <x:v>0.6</x:v>
      </x:c>
      <x:c r="H50" s="9" t="n">
        <x:f>C50+D50</x:f>
        <x:v>3.6</x:v>
      </x:c>
      <x:c r="I50" s="31" t="n">
        <x:f>G50*LN(F50)</x:f>
        <x:v>0.057186107882594955</x:v>
      </x:c>
    </x:row>
    <x:row r="51">
      <x:c r="A51" s="28" t="inlineStr">
        <x:is>
          <x:t xml:space="preserve">SOC-09</x:t>
        </x:is>
      </x:c>
      <x:c r="B51" s="28" t="inlineStr">
        <x:is>
          <x:t xml:space="preserve">Urbanism</x:t>
        </x:is>
      </x:c>
      <x:c r="C51" s="28" t="n">
        <x:v>3</x:v>
      </x:c>
      <x:c r="D51" s="16" t="n">
        <x:v>0.6</x:v>
      </x:c>
      <x:c r="E51" s="16" t="inlineStr">
        <x:is>
          <x:t xml:space="preserve">Group</x:t>
        </x:is>
      </x:c>
      <x:c r="F51" s="30" t="n">
        <x:v>5</x:v>
      </x:c>
      <x:c r="G51" s="16" t="n">
        <x:v>1</x:v>
      </x:c>
      <x:c r="H51" s="9" t="n">
        <x:f>C51+D51</x:f>
        <x:v>3.6</x:v>
      </x:c>
      <x:c r="I51" s="31" t="n">
        <x:f>G51*LN(F51)</x:f>
        <x:v>1.6094379124341003</x:v>
      </x:c>
    </x:row>
    <x:row r="52">
      <x:c r="A52" s="28" t="inlineStr">
        <x:is>
          <x:t xml:space="preserve">SOC-09</x:t>
        </x:is>
      </x:c>
      <x:c r="B52" s="28" t="inlineStr">
        <x:is>
          <x:t xml:space="preserve">Urbanism (city)</x:t>
        </x:is>
      </x:c>
      <x:c r="C52" s="28" t="n">
        <x:v>3</x:v>
      </x:c>
      <x:c r="D52" s="16" t="n">
        <x:v>0.6</x:v>
      </x:c>
      <x:c r="E52" s="16" t="inlineStr">
        <x:is>
          <x:t xml:space="preserve">Housing</x:t>
        </x:is>
      </x:c>
      <x:c r="F52" s="30" t="n">
        <x:v>1.6</x:v>
      </x:c>
      <x:c r="G52" s="16" t="n">
        <x:v>1</x:v>
      </x:c>
      <x:c r="H52" s="9" t="n">
        <x:f>C52+D52</x:f>
        <x:v>3.6</x:v>
      </x:c>
      <x:c r="I52" s="31" t="n">
        <x:f>G52*LN(F52)</x:f>
        <x:v>0.4700036292457356</x:v>
      </x:c>
    </x:row>
    <x:row r="53">
      <x:c r="A53" s="28" t="inlineStr">
        <x:is>
          <x:t xml:space="preserve">GOV-04</x:t>
        </x:is>
      </x:c>
      <x:c r="B53" s="28" t="inlineStr">
        <x:is>
          <x:t xml:space="preserve">Tribute &amp; Redistribution</x:t>
        </x:is>
      </x:c>
      <x:c r="C53" s="28" t="n">
        <x:v>3</x:v>
      </x:c>
      <x:c r="D53" s="16" t="n">
        <x:v>0.7</x:v>
      </x:c>
      <x:c r="E53" s="16" t="inlineStr">
        <x:is>
          <x:t xml:space="preserve">Food</x:t>
        </x:is>
      </x:c>
      <x:c r="F53" s="30" t="n">
        <x:v>1.04</x:v>
      </x:c>
      <x:c r="G53" s="16" t="n">
        <x:v>1</x:v>
      </x:c>
      <x:c r="H53" s="9" t="n">
        <x:f>C53+D53</x:f>
        <x:v>3.7</x:v>
      </x:c>
      <x:c r="I53" s="31" t="n">
        <x:f>G53*LN(F53)</x:f>
        <x:v>0.03922071315328133</x:v>
      </x:c>
    </x:row>
    <x:row r="54">
      <x:c r="A54" s="28" t="inlineStr">
        <x:is>
          <x:t xml:space="preserve">BLD-07</x:t>
        </x:is>
      </x:c>
      <x:c r="B54" s="28" t="inlineStr">
        <x:is>
          <x:t xml:space="preserve">Post-and-Lintel</x:t>
        </x:is>
      </x:c>
      <x:c r="C54" s="28" t="n">
        <x:v>4</x:v>
      </x:c>
      <x:c r="D54" s="16" t="n">
        <x:v>0.15</x:v>
      </x:c>
      <x:c r="E54" s="16" t="inlineStr">
        <x:is>
          <x:t xml:space="preserve">Housing</x:t>
        </x:is>
      </x:c>
      <x:c r="F54" s="30" t="n">
        <x:v>1.2</x:v>
      </x:c>
      <x:c r="G54" s="16" t="n">
        <x:v>1</x:v>
      </x:c>
      <x:c r="H54" s="9" t="n">
        <x:f>C54+D54</x:f>
        <x:v>4.15</x:v>
      </x:c>
      <x:c r="I54" s="31" t="n">
        <x:f>G54*LN(F54)</x:f>
        <x:v>0.1823215567939546</x:v>
      </x:c>
    </x:row>
    <x:row r="55">
      <x:c r="A55" s="28" t="inlineStr">
        <x:is>
          <x:t xml:space="preserve">HNT-06</x:t>
        </x:is>
      </x:c>
      <x:c r="B55" s="28" t="inlineStr">
        <x:is>
          <x:t xml:space="preserve">Bow &amp; Arrow</x:t>
        </x:is>
      </x:c>
      <x:c r="C55" s="28" t="n">
        <x:v>4</x:v>
      </x:c>
      <x:c r="D55" s="16" t="n">
        <x:v>0.15</x:v>
      </x:c>
      <x:c r="E55" s="16" t="inlineStr">
        <x:is>
          <x:t xml:space="preserve">Food</x:t>
        </x:is>
      </x:c>
      <x:c r="F55" s="30" t="n">
        <x:v>1.03</x:v>
      </x:c>
      <x:c r="G55" s="16" t="n">
        <x:v>1</x:v>
      </x:c>
      <x:c r="H55" s="9" t="n">
        <x:f>C55+D55</x:f>
        <x:v>4.15</x:v>
      </x:c>
      <x:c r="I55" s="31" t="n">
        <x:f>G55*LN(F55)</x:f>
        <x:v>0.02955880224154443</x:v>
      </x:c>
    </x:row>
    <x:row r="56">
      <x:c r="A56" s="28" t="inlineStr">
        <x:is>
          <x:t xml:space="preserve">AGR-09</x:t>
        </x:is>
      </x:c>
      <x:c r="B56" s="28" t="inlineStr">
        <x:is>
          <x:t xml:space="preserve">Iron Sickle &amp; Scythe</x:t>
        </x:is>
      </x:c>
      <x:c r="C56" s="28" t="n">
        <x:v>4</x:v>
      </x:c>
      <x:c r="D56" s="16" t="n">
        <x:v>0.4</x:v>
      </x:c>
      <x:c r="E56" s="16" t="inlineStr">
        <x:is>
          <x:t xml:space="preserve">Food</x:t>
        </x:is>
      </x:c>
      <x:c r="F56" s="30" t="n">
        <x:v>1.2</x:v>
      </x:c>
      <x:c r="G56" s="16" t="n">
        <x:v>1</x:v>
      </x:c>
      <x:c r="H56" s="9" t="n">
        <x:f>C56+D56</x:f>
        <x:v>4.4</x:v>
      </x:c>
      <x:c r="I56" s="31" t="n">
        <x:f>G56*LN(F56)</x:f>
        <x:v>0.1823215567939546</x:v>
      </x:c>
    </x:row>
    <x:row r="57">
      <x:c r="A57" s="28" t="inlineStr">
        <x:is>
          <x:t xml:space="preserve">BLD-09</x:t>
        </x:is>
      </x:c>
      <x:c r="B57" s="28" t="inlineStr">
        <x:is>
          <x:t xml:space="preserve">True Arch &amp; Vault</x:t>
        </x:is>
      </x:c>
      <x:c r="C57" s="28" t="n">
        <x:v>4</x:v>
      </x:c>
      <x:c r="D57" s="16" t="n">
        <x:v>0.4</x:v>
      </x:c>
      <x:c r="E57" s="16" t="inlineStr">
        <x:is>
          <x:t xml:space="preserve">Housing</x:t>
        </x:is>
      </x:c>
      <x:c r="F57" s="30" t="n">
        <x:v>1.3</x:v>
      </x:c>
      <x:c r="G57" s="16" t="n">
        <x:v>1</x:v>
      </x:c>
      <x:c r="H57" s="9" t="n">
        <x:f>C57+D57</x:f>
        <x:v>4.4</x:v>
      </x:c>
      <x:c r="I57" s="31" t="n">
        <x:f>G57*LN(F57)</x:f>
        <x:v>0.26236426446749106</x:v>
      </x:c>
    </x:row>
    <x:row r="58">
      <x:c r="A58" s="28" t="inlineStr">
        <x:is>
          <x:t xml:space="preserve">SOC-10</x:t>
        </x:is>
      </x:c>
      <x:c r="B58" s="28" t="inlineStr">
        <x:is>
          <x:t xml:space="preserve">Citizenship</x:t>
        </x:is>
      </x:c>
      <x:c r="C58" s="28" t="n">
        <x:v>4</x:v>
      </x:c>
      <x:c r="D58" s="16" t="n">
        <x:v>0.5</x:v>
      </x:c>
      <x:c r="E58" s="16" t="inlineStr">
        <x:is>
          <x:t xml:space="preserve">Group</x:t>
        </x:is>
      </x:c>
      <x:c r="F58" s="30" t="n">
        <x:v>5</x:v>
      </x:c>
      <x:c r="G58" s="16" t="n">
        <x:v>1</x:v>
      </x:c>
      <x:c r="H58" s="9" t="n">
        <x:f>C58+D58</x:f>
        <x:v>4.5</x:v>
      </x:c>
      <x:c r="I58" s="31" t="n">
        <x:f>G58*LN(F58)</x:f>
        <x:v>1.6094379124341003</x:v>
      </x:c>
    </x:row>
    <x:row r="59">
      <x:c r="A59" s="28" t="inlineStr">
        <x:is>
          <x:t xml:space="preserve">TRN-07</x:t>
        </x:is>
      </x:c>
      <x:c r="B59" s="28" t="inlineStr">
        <x:is>
          <x:t xml:space="preserve">Paved Roads</x:t>
        </x:is>
      </x:c>
      <x:c r="C59" s="28" t="n">
        <x:v>4</x:v>
      </x:c>
      <x:c r="D59" s="16" t="n">
        <x:v>0.5</x:v>
      </x:c>
      <x:c r="E59" s="16" t="inlineStr">
        <x:is>
          <x:t xml:space="preserve">Food</x:t>
        </x:is>
      </x:c>
      <x:c r="F59" s="30" t="n">
        <x:v>1.06</x:v>
      </x:c>
      <x:c r="G59" s="16" t="n">
        <x:v>0.7</x:v>
      </x:c>
      <x:c r="H59" s="9" t="n">
        <x:f>C59+D59</x:f>
        <x:v>4.5</x:v>
      </x:c>
      <x:c r="I59" s="31" t="n">
        <x:f>G59*LN(F59)</x:f>
        <x:v>0.040788235686783074</x:v>
      </x:c>
    </x:row>
    <x:row r="60">
      <x:c r="A60" s="28" t="inlineStr">
        <x:is>
          <x:t xml:space="preserve">AGR-08</x:t>
        </x:is>
      </x:c>
      <x:c r="B60" s="28" t="inlineStr">
        <x:is>
          <x:t xml:space="preserve">Terracing</x:t>
        </x:is>
      </x:c>
      <x:c r="C60" s="28" t="n">
        <x:v>4</x:v>
      </x:c>
      <x:c r="D60" s="16" t="n">
        <x:v>0.5</x:v>
      </x:c>
      <x:c r="E60" s="16" t="inlineStr">
        <x:is>
          <x:t xml:space="preserve">Food</x:t>
        </x:is>
      </x:c>
      <x:c r="F60" s="30" t="n">
        <x:v>1.1</x:v>
      </x:c>
      <x:c r="G60" s="16" t="n">
        <x:v>0.5</x:v>
      </x:c>
      <x:c r="H60" s="9" t="n">
        <x:f>C60+D60</x:f>
        <x:v>4.5</x:v>
      </x:c>
      <x:c r="I60" s="31" t="n">
        <x:f>G60*LN(F60)</x:f>
        <x:v>0.04765508990216247</x:v>
      </x:c>
    </x:row>
    <x:row r="61">
      <x:c r="A61" s="28" t="inlineStr">
        <x:is>
          <x:t xml:space="preserve">MEC-05</x:t>
        </x:is>
      </x:c>
      <x:c r="B61" s="28" t="inlineStr">
        <x:is>
          <x:t xml:space="preserve">Gears &amp; Screws</x:t>
        </x:is>
      </x:c>
      <x:c r="C61" s="28" t="n">
        <x:v>4</x:v>
      </x:c>
      <x:c r="D61" s="16" t="n">
        <x:v>0.5</x:v>
      </x:c>
      <x:c r="E61" s="16" t="inlineStr">
        <x:is>
          <x:t xml:space="preserve">Food</x:t>
        </x:is>
      </x:c>
      <x:c r="F61" s="30" t="n">
        <x:v>1.04</x:v>
      </x:c>
      <x:c r="G61" s="16" t="n">
        <x:v>0.6</x:v>
      </x:c>
      <x:c r="H61" s="9" t="n">
        <x:f>C61+D61</x:f>
        <x:v>4.5</x:v>
      </x:c>
      <x:c r="I61" s="31" t="n">
        <x:f>G61*LN(F61)</x:f>
        <x:v>0.023532427891968796</x:v>
      </x:c>
    </x:row>
    <x:row r="62">
      <x:c r="A62" s="28" t="inlineStr">
        <x:is>
          <x:t xml:space="preserve">FOR-08</x:t>
        </x:is>
      </x:c>
      <x:c r="B62" s="28" t="inlineStr">
        <x:is>
          <x:t xml:space="preserve">Grafting</x:t>
        </x:is>
      </x:c>
      <x:c r="C62" s="28" t="n">
        <x:v>4</x:v>
      </x:c>
      <x:c r="D62" s="16" t="n">
        <x:v>0.6</x:v>
      </x:c>
      <x:c r="E62" s="16" t="inlineStr">
        <x:is>
          <x:t xml:space="preserve">Food</x:t>
        </x:is>
      </x:c>
      <x:c r="F62" s="30" t="n">
        <x:v>1.08</x:v>
      </x:c>
      <x:c r="G62" s="16" t="n">
        <x:v>0.4</x:v>
      </x:c>
      <x:c r="H62" s="9" t="n">
        <x:f>C62+D62</x:f>
        <x:v>4.6</x:v>
      </x:c>
      <x:c r="I62" s="31" t="n">
        <x:f>G62*LN(F62)</x:f>
        <x:v>0.03078441645445136</x:v>
      </x:c>
    </x:row>
    <x:row r="63">
      <x:c r="A63" s="28" t="inlineStr">
        <x:is>
          <x:t xml:space="preserve">FOD-09</x:t>
        </x:is>
      </x:c>
      <x:c r="B63" s="28" t="inlineStr">
        <x:is>
          <x:t xml:space="preserve">Public Grain Supply</x:t>
        </x:is>
      </x:c>
      <x:c r="C63" s="28" t="n">
        <x:v>4</x:v>
      </x:c>
      <x:c r="D63" s="16" t="n">
        <x:v>0.6</x:v>
      </x:c>
      <x:c r="E63" s="16" t="inlineStr">
        <x:is>
          <x:t xml:space="preserve">Food</x:t>
        </x:is>
      </x:c>
      <x:c r="F63" s="30" t="n">
        <x:v>1.15</x:v>
      </x:c>
      <x:c r="G63" s="16" t="n">
        <x:v>0.4</x:v>
      </x:c>
      <x:c r="H63" s="9" t="n">
        <x:f>C63+D63</x:f>
        <x:v>4.6</x:v>
      </x:c>
      <x:c r="I63" s="31" t="n">
        <x:f>G63*LN(F63)</x:f>
        <x:v>0.055904776950063455</x:v>
      </x:c>
    </x:row>
    <x:row r="64">
      <x:c r="A64" s="28" t="inlineStr">
        <x:is>
          <x:t xml:space="preserve">SEA-07</x:t>
        </x:is>
      </x:c>
      <x:c r="B64" s="28" t="inlineStr">
        <x:is>
          <x:t xml:space="preserve">Harbors</x:t>
        </x:is>
      </x:c>
      <x:c r="C64" s="28" t="n">
        <x:v>4</x:v>
      </x:c>
      <x:c r="D64" s="16" t="n">
        <x:v>0.6</x:v>
      </x:c>
      <x:c r="E64" s="16" t="inlineStr">
        <x:is>
          <x:t xml:space="preserve">Food</x:t>
        </x:is>
      </x:c>
      <x:c r="F64" s="30" t="n">
        <x:v>1.08</x:v>
      </x:c>
      <x:c r="G64" s="16" t="n">
        <x:v>0.5</x:v>
      </x:c>
      <x:c r="H64" s="9" t="n">
        <x:f>C64+D64</x:f>
        <x:v>4.6</x:v>
      </x:c>
      <x:c r="I64" s="31" t="n">
        <x:f>G64*LN(F64)</x:f>
        <x:v>0.0384805205680642</x:v>
      </x:c>
    </x:row>
    <x:row r="65">
      <x:c r="A65" s="28" t="inlineStr">
        <x:is>
          <x:t xml:space="preserve">BLD-10</x:t>
        </x:is>
      </x:c>
      <x:c r="B65" s="28" t="inlineStr">
        <x:is>
          <x:t xml:space="preserve">Aqueducts</x:t>
        </x:is>
      </x:c>
      <x:c r="C65" s="28" t="n">
        <x:v>4</x:v>
      </x:c>
      <x:c r="D65" s="16" t="n">
        <x:v>0.6</x:v>
      </x:c>
      <x:c r="E65" s="16" t="inlineStr">
        <x:is>
          <x:t xml:space="preserve">Housing</x:t>
        </x:is>
      </x:c>
      <x:c r="F65" s="30" t="n">
        <x:v>1.4</x:v>
      </x:c>
      <x:c r="G65" s="16" t="n">
        <x:v>0.6</x:v>
      </x:c>
      <x:c r="H65" s="9" t="n">
        <x:f>C65+D65</x:f>
        <x:v>4.6</x:v>
      </x:c>
      <x:c r="I65" s="31" t="n">
        <x:f>G65*LN(F65)</x:f>
        <x:v>0.2018833419727277</x:v>
      </x:c>
    </x:row>
    <x:row r="66">
      <x:c r="A66" s="28" t="inlineStr">
        <x:is>
          <x:t xml:space="preserve">BLD-11</x:t>
        </x:is>
      </x:c>
      <x:c r="B66" s="28" t="inlineStr">
        <x:is>
          <x:t xml:space="preserve">Concrete &amp; Domes</x:t>
        </x:is>
      </x:c>
      <x:c r="C66" s="28" t="n">
        <x:v>4</x:v>
      </x:c>
      <x:c r="D66" s="16" t="n">
        <x:v>0.6</x:v>
      </x:c>
      <x:c r="E66" s="16" t="inlineStr">
        <x:is>
          <x:t xml:space="preserve">Housing</x:t>
        </x:is>
      </x:c>
      <x:c r="F66" s="30" t="n">
        <x:v>1.2</x:v>
      </x:c>
      <x:c r="G66" s="16" t="n">
        <x:v>0.5</x:v>
      </x:c>
      <x:c r="H66" s="9" t="n">
        <x:f>C66+D66</x:f>
        <x:v>4.6</x:v>
      </x:c>
      <x:c r="I66" s="31" t="n">
        <x:f>G66*LN(F66)</x:f>
        <x:v>0.0911607783969773</x:v>
      </x:c>
    </x:row>
    <x:row r="67">
      <x:c r="A67" s="28" t="inlineStr">
        <x:is>
          <x:t xml:space="preserve">AGR-10</x:t>
        </x:is>
      </x:c>
      <x:c r="B67" s="28" t="inlineStr">
        <x:is>
          <x:t xml:space="preserve">Heavy Plough</x:t>
        </x:is>
      </x:c>
      <x:c r="C67" s="28" t="n">
        <x:v>4</x:v>
      </x:c>
      <x:c r="D67" s="16" t="n">
        <x:v>0.7</x:v>
      </x:c>
      <x:c r="E67" s="16" t="inlineStr">
        <x:is>
          <x:t xml:space="preserve">Food</x:t>
        </x:is>
      </x:c>
      <x:c r="F67" s="30" t="n">
        <x:v>1.25</x:v>
      </x:c>
      <x:c r="G67" s="16" t="n">
        <x:v>1</x:v>
      </x:c>
      <x:c r="H67" s="9" t="n">
        <x:f>C67+D67</x:f>
        <x:v>4.7</x:v>
      </x:c>
      <x:c r="I67" s="31" t="n">
        <x:f>G67*LN(F67)</x:f>
        <x:v>0.22314355131420976</x:v>
      </x:c>
    </x:row>
    <x:row r="68">
      <x:c r="A68" s="28" t="inlineStr">
        <x:is>
          <x:t xml:space="preserve">BEL-10</x:t>
        </x:is>
      </x:c>
      <x:c r="B68" s="28" t="inlineStr">
        <x:is>
          <x:t xml:space="preserve">Monasticism</x:t>
        </x:is>
      </x:c>
      <x:c r="C68" s="28" t="n">
        <x:v>5</x:v>
      </x:c>
      <x:c r="D68" s="16" t="n">
        <x:v>0.3</x:v>
      </x:c>
      <x:c r="E68" s="16" t="inlineStr">
        <x:is>
          <x:t xml:space="preserve">Food</x:t>
        </x:is>
      </x:c>
      <x:c r="F68" s="30" t="n">
        <x:v>1.05</x:v>
      </x:c>
      <x:c r="G68" s="16" t="n">
        <x:v>1</x:v>
      </x:c>
      <x:c r="H68" s="9" t="n">
        <x:f>C68+D68</x:f>
        <x:v>5.3</x:v>
      </x:c>
      <x:c r="I68" s="31" t="n">
        <x:f>G68*LN(F68)</x:f>
        <x:v>0.04879016416943205</x:v>
      </x:c>
    </x:row>
    <x:row r="69">
      <x:c r="A69" s="28" t="inlineStr">
        <x:is>
          <x:t xml:space="preserve">AGR-11</x:t>
        </x:is>
      </x:c>
      <x:c r="B69" s="28" t="inlineStr">
        <x:is>
          <x:t xml:space="preserve">Three-Field Rotation</x:t>
        </x:is>
      </x:c>
      <x:c r="C69" s="28" t="n">
        <x:v>5</x:v>
      </x:c>
      <x:c r="D69" s="16" t="n">
        <x:v>0.5</x:v>
      </x:c>
      <x:c r="E69" s="16" t="inlineStr">
        <x:is>
          <x:t xml:space="preserve">Food</x:t>
        </x:is>
      </x:c>
      <x:c r="F69" s="30" t="n">
        <x:v>1.35</x:v>
      </x:c>
      <x:c r="G69" s="16" t="n">
        <x:v>0.9</x:v>
      </x:c>
      <x:c r="H69" s="9" t="n">
        <x:f>C69+D69</x:f>
        <x:v>5.5</x:v>
      </x:c>
      <x:c r="I69" s="31" t="n">
        <x:f>G69*LN(F69)</x:f>
        <x:v>0.27009413320530434</x:v>
      </x:c>
    </x:row>
    <x:row r="70">
      <x:c r="A70" s="28" t="inlineStr">
        <x:is>
          <x:t xml:space="preserve">NRG-05</x:t>
        </x:is>
      </x:c>
      <x:c r="B70" s="28" t="inlineStr">
        <x:is>
          <x:t xml:space="preserve">Windmill</x:t>
        </x:is>
      </x:c>
      <x:c r="C70" s="28" t="n">
        <x:v>5</x:v>
      </x:c>
      <x:c r="D70" s="16" t="n">
        <x:v>0.5</x:v>
      </x:c>
      <x:c r="E70" s="16" t="inlineStr">
        <x:is>
          <x:t xml:space="preserve">Food</x:t>
        </x:is>
      </x:c>
      <x:c r="F70" s="30" t="n">
        <x:v>1.08</x:v>
      </x:c>
      <x:c r="G70" s="16" t="n">
        <x:v>0.6</x:v>
      </x:c>
      <x:c r="H70" s="9" t="n">
        <x:f>C70+D70</x:f>
        <x:v>5.5</x:v>
      </x:c>
      <x:c r="I70" s="31" t="n">
        <x:f>G70*LN(F70)</x:f>
        <x:v>0.046176624681677034</x:v>
      </x:c>
    </x:row>
    <x:row r="71">
      <x:c r="A71" s="28" t="inlineStr">
        <x:is>
          <x:t xml:space="preserve">TER-10</x:t>
        </x:is>
      </x:c>
      <x:c r="B71" s="28" t="inlineStr">
        <x:is>
          <x:t xml:space="preserve">Manorial Estates</x:t>
        </x:is>
      </x:c>
      <x:c r="C71" s="28" t="n">
        <x:v>5</x:v>
      </x:c>
      <x:c r="D71" s="16" t="n">
        <x:v>0.5</x:v>
      </x:c>
      <x:c r="E71" s="16" t="inlineStr">
        <x:is>
          <x:t xml:space="preserve">Food</x:t>
        </x:is>
      </x:c>
      <x:c r="F71" s="30" t="n">
        <x:v>1.05</x:v>
      </x:c>
      <x:c r="G71" s="16" t="n">
        <x:v>0.6</x:v>
      </x:c>
      <x:c r="H71" s="9" t="n">
        <x:f>C71+D71</x:f>
        <x:v>5.5</x:v>
      </x:c>
      <x:c r="I71" s="31" t="n">
        <x:f>G71*LN(F71)</x:f>
        <x:v>0.029274098501659226</x:v>
      </x:c>
    </x:row>
    <x:row r="72">
      <x:c r="A72" s="28" t="inlineStr">
        <x:is>
          <x:t xml:space="preserve">HUS-10</x:t>
        </x:is>
      </x:c>
      <x:c r="B72" s="28" t="inlineStr">
        <x:is>
          <x:t xml:space="preserve">Selective Breeding</x:t>
        </x:is>
      </x:c>
      <x:c r="C72" s="28" t="n">
        <x:v>5</x:v>
      </x:c>
      <x:c r="D72" s="16" t="n">
        <x:v>0.6</x:v>
      </x:c>
      <x:c r="E72" s="16" t="inlineStr">
        <x:is>
          <x:t xml:space="preserve">Food</x:t>
        </x:is>
      </x:c>
      <x:c r="F72" s="30" t="n">
        <x:v>1.15</x:v>
      </x:c>
      <x:c r="G72" s="16" t="n">
        <x:v>0.7</x:v>
      </x:c>
      <x:c r="H72" s="9" t="n">
        <x:f>C72+D72</x:f>
        <x:v>5.6</x:v>
      </x:c>
      <x:c r="I72" s="31" t="n">
        <x:f>G72*LN(F72)</x:f>
        <x:v>0.09783335966261103</x:v>
      </x:c>
    </x:row>
    <x:row r="73">
      <x:c r="A73" s="28" t="inlineStr">
        <x:is>
          <x:t xml:space="preserve">FIR-10</x:t>
        </x:is>
      </x:c>
      <x:c r="B73" s="28" t="inlineStr">
        <x:is>
          <x:t xml:space="preserve">Chimneys &amp; Flues</x:t>
        </x:is>
      </x:c>
      <x:c r="C73" s="28" t="n">
        <x:v>5</x:v>
      </x:c>
      <x:c r="D73" s="16" t="n">
        <x:v>0.6</x:v>
      </x:c>
      <x:c r="E73" s="16" t="inlineStr">
        <x:is>
          <x:t xml:space="preserve">Housing</x:t>
        </x:is>
      </x:c>
      <x:c r="F73" s="30" t="n">
        <x:v>1.15</x:v>
      </x:c>
      <x:c r="G73" s="16" t="n">
        <x:v>0.5</x:v>
      </x:c>
      <x:c r="H73" s="9" t="n">
        <x:f>C73+D73</x:f>
        <x:v>5.6</x:v>
      </x:c>
      <x:c r="I73" s="31" t="n">
        <x:f>G73*LN(F73)</x:f>
        <x:v>0.06988097118757931</x:v>
      </x:c>
    </x:row>
    <x:row r="74">
      <x:c r="A74" s="28" t="inlineStr">
        <x:is>
          <x:t xml:space="preserve">AGR-12</x:t>
        </x:is>
      </x:c>
      <x:c r="B74" s="28" t="inlineStr">
        <x:is>
          <x:t xml:space="preserve">Four-Course Rotation &amp; Enclosure</x:t>
        </x:is>
      </x:c>
      <x:c r="C74" s="28" t="n">
        <x:v>6</x:v>
      </x:c>
      <x:c r="D74" s="16" t="n">
        <x:v>0.5</x:v>
      </x:c>
      <x:c r="E74" s="16" t="inlineStr">
        <x:is>
          <x:t xml:space="preserve">Food</x:t>
        </x:is>
      </x:c>
      <x:c r="F74" s="30" t="n">
        <x:v>1.35</x:v>
      </x:c>
      <x:c r="G74" s="16" t="n">
        <x:v>0.9</x:v>
      </x:c>
      <x:c r="H74" s="9" t="n">
        <x:f>C74+D74</x:f>
        <x:v>6.5</x:v>
      </x:c>
      <x:c r="I74" s="31" t="n">
        <x:f>G74*LN(F74)</x:f>
        <x:v>0.27009413320530434</x:v>
      </x:c>
    </x:row>
    <x:row r="75">
      <x:c r="A75" s="28" t="inlineStr">
        <x:is>
          <x:t xml:space="preserve">HUS-11</x:t>
        </x:is>
      </x:c>
      <x:c r="B75" s="28" t="inlineStr">
        <x:is>
          <x:t xml:space="preserve">Fodder Crops &amp; Stall-Feeding</x:t>
        </x:is>
      </x:c>
      <x:c r="C75" s="28" t="n">
        <x:v>6</x:v>
      </x:c>
      <x:c r="D75" s="16" t="n">
        <x:v>0.5</x:v>
      </x:c>
      <x:c r="E75" s="16" t="inlineStr">
        <x:is>
          <x:t xml:space="preserve">Food</x:t>
        </x:is>
      </x:c>
      <x:c r="F75" s="30" t="n">
        <x:v>1.1</x:v>
      </x:c>
      <x:c r="G75" s="16" t="n">
        <x:v>0.5</x:v>
      </x:c>
      <x:c r="H75" s="9" t="n">
        <x:f>C75+D75</x:f>
        <x:v>6.5</x:v>
      </x:c>
      <x:c r="I75" s="31" t="n">
        <x:f>G75*LN(F75)</x:f>
        <x:v>0.04765508990216247</x:v>
      </x:c>
    </x:row>
    <x:row r="76">
      <x:c r="A76" s="28" t="inlineStr">
        <x:is>
          <x:t xml:space="preserve">FOR-10</x:t>
        </x:is>
      </x:c>
      <x:c r="B76" s="28" t="inlineStr">
        <x:is>
          <x:t xml:space="preserve">Columbian Exchange</x:t>
        </x:is>
      </x:c>
      <x:c r="C76" s="28" t="n">
        <x:v>6</x:v>
      </x:c>
      <x:c r="D76" s="16" t="n">
        <x:v>0.6</x:v>
      </x:c>
      <x:c r="E76" s="16" t="inlineStr">
        <x:is>
          <x:t xml:space="preserve">Food</x:t>
        </x:is>
      </x:c>
      <x:c r="F76" s="30" t="n">
        <x:v>1.2</x:v>
      </x:c>
      <x:c r="G76" s="16" t="n">
        <x:v>0.6</x:v>
      </x:c>
      <x:c r="H76" s="9" t="n">
        <x:f>C76+D76</x:f>
        <x:v>6.6</x:v>
      </x:c>
      <x:c r="I76" s="31" t="n">
        <x:f>G76*LN(F76)</x:f>
        <x:v>0.10939293407637275</x:v>
      </x:c>
    </x:row>
    <x:row r="77">
      <x:c r="A77" s="28" t="inlineStr">
        <x:is>
          <x:t xml:space="preserve">TRN-11</x:t>
        </x:is>
      </x:c>
      <x:c r="B77" s="28" t="inlineStr">
        <x:is>
          <x:t xml:space="preserve">Canals &amp; Locks</x:t>
        </x:is>
      </x:c>
      <x:c r="C77" s="28" t="n">
        <x:v>6</x:v>
      </x:c>
      <x:c r="D77" s="16" t="n">
        <x:v>0.6</x:v>
      </x:c>
      <x:c r="E77" s="16" t="inlineStr">
        <x:is>
          <x:t xml:space="preserve">Food</x:t>
        </x:is>
      </x:c>
      <x:c r="F77" s="30" t="n">
        <x:v>1.1</x:v>
      </x:c>
      <x:c r="G77" s="16" t="n">
        <x:v>0.7</x:v>
      </x:c>
      <x:c r="H77" s="9" t="n">
        <x:f>C77+D77</x:f>
        <x:v>6.6</x:v>
      </x:c>
      <x:c r="I77" s="31" t="n">
        <x:f>G77*LN(F77)</x:f>
        <x:v>0.06671712586302744</x:v>
      </x:c>
    </x:row>
    <x:row r="78">
      <x:c r="A78" s="28" t="inlineStr">
        <x:is>
          <x:t xml:space="preserve">HNT-12</x:t>
        </x:is>
      </x:c>
      <x:c r="B78" s="28" t="inlineStr">
        <x:is>
          <x:t xml:space="preserve">Deep-Sea Fishing Fleets</x:t>
        </x:is>
      </x:c>
      <x:c r="C78" s="28" t="n">
        <x:v>6</x:v>
      </x:c>
      <x:c r="D78" s="16" t="n">
        <x:v>0.6</x:v>
      </x:c>
      <x:c r="E78" s="16" t="inlineStr">
        <x:is>
          <x:t xml:space="preserve">Food</x:t>
        </x:is>
      </x:c>
      <x:c r="F78" s="30" t="n">
        <x:v>1.08</x:v>
      </x:c>
      <x:c r="G78" s="16" t="n">
        <x:v>0.4</x:v>
      </x:c>
      <x:c r="H78" s="9" t="n">
        <x:f>C78+D78</x:f>
        <x:v>6.6</x:v>
      </x:c>
      <x:c r="I78" s="31" t="n">
        <x:f>G78*LN(F78)</x:f>
        <x:v>0.03078441645445136</x:v>
      </x:c>
    </x:row>
    <x:row r="79">
      <x:c r="A79" s="28" t="inlineStr">
        <x:is>
          <x:t xml:space="preserve">BLD-13</x:t>
        </x:is>
      </x:c>
      <x:c r="B79" s="28" t="inlineStr">
        <x:is>
          <x:t xml:space="preserve">Renaissance Architecture</x:t>
        </x:is>
      </x:c>
      <x:c r="C79" s="28" t="n">
        <x:v>6</x:v>
      </x:c>
      <x:c r="D79" s="16" t="n">
        <x:v>0.6</x:v>
      </x:c>
      <x:c r="E79" s="16" t="inlineStr">
        <x:is>
          <x:t xml:space="preserve">Housing</x:t>
        </x:is>
      </x:c>
      <x:c r="F79" s="30" t="n">
        <x:v>1.3</x:v>
      </x:c>
      <x:c r="G79" s="16" t="n">
        <x:v>0.5</x:v>
      </x:c>
      <x:c r="H79" s="9" t="n">
        <x:f>C79+D79</x:f>
        <x:v>6.6</x:v>
      </x:c>
      <x:c r="I79" s="31" t="n">
        <x:f>G79*LN(F79)</x:f>
        <x:v>0.13118213223374553</x:v>
      </x:c>
    </x:row>
    <x:row r="80">
      <x:c r="A80" s="28" t="inlineStr">
        <x:is>
          <x:t xml:space="preserve">GOV-12</x:t>
        </x:is>
      </x:c>
      <x:c r="B80" s="28" t="inlineStr">
        <x:is>
          <x:t xml:space="preserve">Nation-State</x:t>
        </x:is>
      </x:c>
      <x:c r="C80" s="28" t="n">
        <x:v>6</x:v>
      </x:c>
      <x:c r="D80" s="16" t="n">
        <x:v>0.6</x:v>
      </x:c>
      <x:c r="E80" s="16" t="inlineStr">
        <x:is>
          <x:t xml:space="preserve">Group</x:t>
        </x:is>
      </x:c>
      <x:c r="F80" s="30" t="n">
        <x:v>20</x:v>
      </x:c>
      <x:c r="G80" s="16" t="n">
        <x:v>1</x:v>
      </x:c>
      <x:c r="H80" s="9" t="n">
        <x:f>C80+D80</x:f>
        <x:v>6.6</x:v>
      </x:c>
      <x:c r="I80" s="31" t="n">
        <x:f>G80*LN(F80)</x:f>
        <x:v>2.995732273553991</x:v>
      </x:c>
    </x:row>
    <x:row r="81">
      <x:c r="A81" s="28" t="inlineStr">
        <x:is>
          <x:t xml:space="preserve">NRG-07</x:t>
        </x:is>
      </x:c>
      <x:c r="B81" s="28" t="inlineStr">
        <x:is>
          <x:t xml:space="preserve">Watt Engine (factory towns, 07b R6)</x:t>
        </x:is>
      </x:c>
      <x:c r="C81" s="28" t="n">
        <x:v>7</x:v>
      </x:c>
      <x:c r="D81" s="16" t="n">
        <x:v>0.25</x:v>
      </x:c>
      <x:c r="E81" s="16" t="inlineStr">
        <x:is>
          <x:t xml:space="preserve">Food</x:t>
        </x:is>
      </x:c>
      <x:c r="F81" s="30" t="n">
        <x:v>1.265</x:v>
      </x:c>
      <x:c r="G81" s="16" t="n">
        <x:v>1</x:v>
      </x:c>
      <x:c r="H81" s="9" t="n">
        <x:f>C81+D81</x:f>
        <x:v>7.25</x:v>
      </x:c>
      <x:c r="I81" s="31" t="n">
        <x:f>G81*LN(F81)</x:f>
        <x:v>0.23507212217948348</x:v>
      </x:c>
    </x:row>
    <x:row r="82">
      <x:c r="A82" s="28" t="inlineStr">
        <x:is>
          <x:t xml:space="preserve">NRG-07</x:t>
        </x:is>
      </x:c>
      <x:c r="B82" s="28" t="inlineStr">
        <x:is>
          <x:t xml:space="preserve">Watt Engine (factory towns, 07b R6)</x:t>
        </x:is>
      </x:c>
      <x:c r="C82" s="28" t="n">
        <x:v>7</x:v>
      </x:c>
      <x:c r="D82" s="16" t="n">
        <x:v>0.25</x:v>
      </x:c>
      <x:c r="E82" s="16" t="inlineStr">
        <x:is>
          <x:t xml:space="preserve">Housing</x:t>
        </x:is>
      </x:c>
      <x:c r="F82" s="30" t="n">
        <x:v>1.265</x:v>
      </x:c>
      <x:c r="G82" s="16" t="n">
        <x:v>1</x:v>
      </x:c>
      <x:c r="H82" s="9" t="n">
        <x:f>C82+D82</x:f>
        <x:v>7.25</x:v>
      </x:c>
      <x:c r="I82" s="31" t="n">
        <x:f>G82*LN(F82)</x:f>
        <x:v>0.23507212217948348</x:v>
      </x:c>
    </x:row>
    <x:row r="83">
      <x:c r="A83" s="28" t="inlineStr">
        <x:is>
          <x:t xml:space="preserve">TRN-12</x:t>
        </x:is>
      </x:c>
      <x:c r="B83" s="28" t="inlineStr">
        <x:is>
          <x:t xml:space="preserve">Railways</x:t>
        </x:is>
      </x:c>
      <x:c r="C83" s="28" t="n">
        <x:v>7</x:v>
      </x:c>
      <x:c r="D83" s="16" t="n">
        <x:v>0.4</x:v>
      </x:c>
      <x:c r="E83" s="16" t="inlineStr">
        <x:is>
          <x:t xml:space="preserve">Food</x:t>
        </x:is>
      </x:c>
      <x:c r="F83" s="30" t="n">
        <x:v>1.5</x:v>
      </x:c>
      <x:c r="G83" s="16" t="n">
        <x:v>1</x:v>
      </x:c>
      <x:c r="H83" s="9" t="n">
        <x:f>C83+D83</x:f>
        <x:v>7.4</x:v>
      </x:c>
      <x:c r="I83" s="31" t="n">
        <x:f>G83*LN(F83)</x:f>
        <x:v>0.4054651081081644</x:v>
      </x:c>
    </x:row>
    <x:row r="84">
      <x:c r="A84" s="28" t="inlineStr">
        <x:is>
          <x:t xml:space="preserve">TRN-12</x:t>
        </x:is>
      </x:c>
      <x:c r="B84" s="28" t="inlineStr">
        <x:is>
          <x:t xml:space="preserve">Railways (rail-fed cities, 07b R6)</x:t>
        </x:is>
      </x:c>
      <x:c r="C84" s="28" t="n">
        <x:v>7</x:v>
      </x:c>
      <x:c r="D84" s="16" t="n">
        <x:v>0.4</x:v>
      </x:c>
      <x:c r="E84" s="16" t="inlineStr">
        <x:is>
          <x:t xml:space="preserve">Food</x:t>
        </x:is>
      </x:c>
      <x:c r="F84" s="30" t="n">
        <x:v>1.265</x:v>
      </x:c>
      <x:c r="G84" s="16" t="n">
        <x:v>1</x:v>
      </x:c>
      <x:c r="H84" s="9" t="n">
        <x:f>C84+D84</x:f>
        <x:v>7.4</x:v>
      </x:c>
      <x:c r="I84" s="31" t="n">
        <x:f>G84*LN(F84)</x:f>
        <x:v>0.23507212217948348</x:v>
      </x:c>
    </x:row>
    <x:row r="85">
      <x:c r="A85" s="28" t="inlineStr">
        <x:is>
          <x:t xml:space="preserve">TRN-12</x:t>
        </x:is>
      </x:c>
      <x:c r="B85" s="28" t="inlineStr">
        <x:is>
          <x:t xml:space="preserve">Railways (rail-fed cities, 07b R6)</x:t>
        </x:is>
      </x:c>
      <x:c r="C85" s="28" t="n">
        <x:v>7</x:v>
      </x:c>
      <x:c r="D85" s="16" t="n">
        <x:v>0.4</x:v>
      </x:c>
      <x:c r="E85" s="16" t="inlineStr">
        <x:is>
          <x:t xml:space="preserve">Housing</x:t>
        </x:is>
      </x:c>
      <x:c r="F85" s="30" t="n">
        <x:v>1.265</x:v>
      </x:c>
      <x:c r="G85" s="16" t="n">
        <x:v>1</x:v>
      </x:c>
      <x:c r="H85" s="9" t="n">
        <x:f>C85+D85</x:f>
        <x:v>7.4</x:v>
      </x:c>
      <x:c r="I85" s="31" t="n">
        <x:f>G85*LN(F85)</x:f>
        <x:v>0.23507212217948348</x:v>
      </x:c>
    </x:row>
    <x:row r="86">
      <x:c r="A86" s="28" t="inlineStr">
        <x:is>
          <x:t xml:space="preserve">AGR-13</x:t>
        </x:is>
      </x:c>
      <x:c r="B86" s="28" t="inlineStr">
        <x:is>
          <x:t xml:space="preserve">Seed Drill &amp; Mechanical Reaper</x:t>
        </x:is>
      </x:c>
      <x:c r="C86" s="28" t="n">
        <x:v>7</x:v>
      </x:c>
      <x:c r="D86" s="16" t="n">
        <x:v>0.5</x:v>
      </x:c>
      <x:c r="E86" s="16" t="inlineStr">
        <x:is>
          <x:t xml:space="preserve">Food</x:t>
        </x:is>
      </x:c>
      <x:c r="F86" s="30" t="n">
        <x:v>1.4</x:v>
      </x:c>
      <x:c r="G86" s="16" t="n">
        <x:v>0.9</x:v>
      </x:c>
      <x:c r="H86" s="9" t="n">
        <x:f>C86+D86</x:f>
        <x:v>7.5</x:v>
      </x:c>
      <x:c r="I86" s="31" t="n">
        <x:f>G86*LN(F86)</x:f>
        <x:v>0.3028250129590916</x:v>
      </x:c>
    </x:row>
    <x:row r="87">
      <x:c r="A87" s="28" t="inlineStr">
        <x:is>
          <x:t xml:space="preserve">MED-12</x:t>
        </x:is>
      </x:c>
      <x:c r="B87" s="28" t="inlineStr">
        <x:is>
          <x:t xml:space="preserve">Sanitation &amp; Sewers</x:t>
        </x:is>
      </x:c>
      <x:c r="C87" s="28" t="n">
        <x:v>7</x:v>
      </x:c>
      <x:c r="D87" s="16" t="n">
        <x:v>0.5</x:v>
      </x:c>
      <x:c r="E87" s="16" t="inlineStr">
        <x:is>
          <x:t xml:space="preserve">Housing</x:t>
        </x:is>
      </x:c>
      <x:c r="F87" s="30" t="n">
        <x:v>1.5</x:v>
      </x:c>
      <x:c r="G87" s="16" t="n">
        <x:v>0.8</x:v>
      </x:c>
      <x:c r="H87" s="9" t="n">
        <x:f>C87+D87</x:f>
        <x:v>7.5</x:v>
      </x:c>
      <x:c r="I87" s="31" t="n">
        <x:f>G87*LN(F87)</x:f>
        <x:v>0.32437208648653154</x:v>
      </x:c>
    </x:row>
    <x:row r="88">
      <x:c r="A88" s="28" t="inlineStr">
        <x:is>
          <x:t xml:space="preserve">FOR-11</x:t>
        </x:is>
      </x:c>
      <x:c r="B88" s="28" t="inlineStr">
        <x:is>
          <x:t xml:space="preserve">Plant Breeding</x:t>
        </x:is>
      </x:c>
      <x:c r="C88" s="28" t="n">
        <x:v>7</x:v>
      </x:c>
      <x:c r="D88" s="16" t="n">
        <x:v>0.6</x:v>
      </x:c>
      <x:c r="E88" s="16" t="inlineStr">
        <x:is>
          <x:t xml:space="preserve">Food</x:t>
        </x:is>
      </x:c>
      <x:c r="F88" s="30" t="n">
        <x:v>1.4</x:v>
      </x:c>
      <x:c r="G88" s="16" t="n">
        <x:v>0.8</x:v>
      </x:c>
      <x:c r="H88" s="9" t="n">
        <x:f>C88+D88</x:f>
        <x:v>7.6</x:v>
      </x:c>
      <x:c r="I88" s="31" t="n">
        <x:f>G88*LN(F88)</x:f>
        <x:v>0.2691777892969703</x:v>
      </x:c>
    </x:row>
    <x:row r="89">
      <x:c r="A89" s="28" t="inlineStr">
        <x:is>
          <x:t xml:space="preserve">BLD-14</x:t>
        </x:is>
      </x:c>
      <x:c r="B89" s="28" t="inlineStr">
        <x:is>
          <x:t xml:space="preserve">Reinforced Concrete</x:t>
        </x:is>
      </x:c>
      <x:c r="C89" s="28" t="n">
        <x:v>7</x:v>
      </x:c>
      <x:c r="D89" s="16" t="n">
        <x:v>0.6</x:v>
      </x:c>
      <x:c r="E89" s="16" t="inlineStr">
        <x:is>
          <x:t xml:space="preserve">Housing</x:t>
        </x:is>
      </x:c>
      <x:c r="F89" s="30" t="n">
        <x:v>1.2</x:v>
      </x:c>
      <x:c r="G89" s="16" t="n">
        <x:v>0.6</x:v>
      </x:c>
      <x:c r="H89" s="9" t="n">
        <x:f>C89+D89</x:f>
        <x:v>7.6</x:v>
      </x:c>
      <x:c r="I89" s="31" t="n">
        <x:f>G89*LN(F89)</x:f>
        <x:v>0.10939293407637275</x:v>
      </x:c>
    </x:row>
    <x:row r="90">
      <x:c r="A90" s="28" t="inlineStr">
        <x:is>
          <x:t xml:space="preserve">FOD-11</x:t>
        </x:is>
      </x:c>
      <x:c r="B90" s="28" t="inlineStr">
        <x:is>
          <x:t xml:space="preserve">Canning</x:t>
        </x:is>
      </x:c>
      <x:c r="C90" s="28" t="n">
        <x:v>7</x:v>
      </x:c>
      <x:c r="D90" s="16" t="n">
        <x:v>0.6</x:v>
      </x:c>
      <x:c r="E90" s="16" t="inlineStr">
        <x:is>
          <x:t xml:space="preserve">Food</x:t>
        </x:is>
      </x:c>
      <x:c r="F90" s="30" t="n">
        <x:v>1.05</x:v>
      </x:c>
      <x:c r="G90" s="16" t="n">
        <x:v>0.6</x:v>
      </x:c>
      <x:c r="H90" s="9" t="n">
        <x:f>C90+D90</x:f>
        <x:v>7.6</x:v>
      </x:c>
      <x:c r="I90" s="31" t="n">
        <x:f>G90*LN(F90)</x:f>
        <x:v>0.029274098501659226</x:v>
      </x:c>
    </x:row>
    <x:row r="91">
      <x:c r="A91" s="28" t="inlineStr">
        <x:is>
          <x:t xml:space="preserve">TRN-13</x:t>
        </x:is>
      </x:c>
      <x:c r="B91" s="28" t="inlineStr">
        <x:is>
          <x:t xml:space="preserve">Automobiles &amp; Trucks</x:t>
        </x:is>
      </x:c>
      <x:c r="C91" s="28" t="n">
        <x:v>8</x:v>
      </x:c>
      <x:c r="D91" s="16" t="n">
        <x:v>0.15</x:v>
      </x:c>
      <x:c r="E91" s="16" t="inlineStr">
        <x:is>
          <x:t xml:space="preserve">Housing</x:t>
        </x:is>
      </x:c>
      <x:c r="F91" s="30" t="n">
        <x:v>1.1</x:v>
      </x:c>
      <x:c r="G91" s="16" t="n">
        <x:v>1</x:v>
      </x:c>
      <x:c r="H91" s="9" t="n">
        <x:f>C91+D91</x:f>
        <x:v>8.15</x:v>
      </x:c>
      <x:c r="I91" s="31" t="n">
        <x:f>G91*LN(F91)</x:f>
        <x:v>0.09531017980432493</x:v>
      </x:c>
    </x:row>
    <x:row r="92">
      <x:c r="A92" s="28" t="inlineStr">
        <x:is>
          <x:t xml:space="preserve">CHM-12</x:t>
        </x:is>
      </x:c>
      <x:c r="B92" s="28" t="inlineStr">
        <x:is>
          <x:t xml:space="preserve">Fertilizer Synthesis</x:t>
        </x:is>
      </x:c>
      <x:c r="C92" s="28" t="n">
        <x:v>8</x:v>
      </x:c>
      <x:c r="D92" s="16" t="n">
        <x:v>0.2</x:v>
      </x:c>
      <x:c r="E92" s="16" t="inlineStr">
        <x:is>
          <x:t xml:space="preserve">Food</x:t>
        </x:is>
      </x:c>
      <x:c r="F92" s="30" t="n">
        <x:v>1.5</x:v>
      </x:c>
      <x:c r="G92" s="16" t="n">
        <x:v>0.9</x:v>
      </x:c>
      <x:c r="H92" s="9" t="n">
        <x:f>C92+D92</x:f>
        <x:v>8.2</x:v>
      </x:c>
      <x:c r="I92" s="31" t="n">
        <x:f>G92*LN(F92)</x:f>
        <x:v>0.36491859729734794</x:v>
      </x:c>
    </x:row>
    <x:row r="93">
      <x:c r="A93" s="28" t="inlineStr">
        <x:is>
          <x:t xml:space="preserve">FOD-12</x:t>
        </x:is>
      </x:c>
      <x:c r="B93" s="28" t="inlineStr">
        <x:is>
          <x:t xml:space="preserve">Refrigeration</x:t>
        </x:is>
      </x:c>
      <x:c r="C93" s="28" t="n">
        <x:v>8</x:v>
      </x:c>
      <x:c r="D93" s="16" t="n">
        <x:v>0.4</x:v>
      </x:c>
      <x:c r="E93" s="16" t="inlineStr">
        <x:is>
          <x:t xml:space="preserve">Food</x:t>
        </x:is>
      </x:c>
      <x:c r="F93" s="30" t="n">
        <x:v>1.1</x:v>
      </x:c>
      <x:c r="G93" s="16" t="n">
        <x:v>0.8</x:v>
      </x:c>
      <x:c r="H93" s="9" t="n">
        <x:f>C93+D93</x:f>
        <x:v>8.4</x:v>
      </x:c>
      <x:c r="I93" s="31" t="n">
        <x:f>G93*LN(F93)</x:f>
        <x:v>0.07624814384345996</x:v>
      </x:c>
    </x:row>
    <x:row r="94">
      <x:c r="A94" s="28" t="inlineStr">
        <x:is>
          <x:t xml:space="preserve">AGR-14</x:t>
        </x:is>
      </x:c>
      <x:c r="B94" s="28" t="inlineStr">
        <x:is>
          <x:t xml:space="preserve">Tractors &amp; Combines</x:t>
        </x:is>
      </x:c>
      <x:c r="C94" s="28" t="n">
        <x:v>8</x:v>
      </x:c>
      <x:c r="D94" s="16" t="n">
        <x:v>0.5</x:v>
      </x:c>
      <x:c r="E94" s="16" t="inlineStr">
        <x:is>
          <x:t xml:space="preserve">Food</x:t>
        </x:is>
      </x:c>
      <x:c r="F94" s="30" t="n">
        <x:v>1.15</x:v>
      </x:c>
      <x:c r="G94" s="16" t="n">
        <x:v>0.8</x:v>
      </x:c>
      <x:c r="H94" s="9" t="n">
        <x:f>C94+D94</x:f>
        <x:v>8.5</x:v>
      </x:c>
      <x:c r="I94" s="31" t="n">
        <x:f>G94*LN(F94)</x:f>
        <x:v>0.11180955390012691</x:v>
      </x:c>
    </x:row>
    <x:row r="95">
      <x:c r="A95" s="28" t="inlineStr">
        <x:is>
          <x:t xml:space="preserve">BLD-15</x:t>
        </x:is>
      </x:c>
      <x:c r="B95" s="28" t="inlineStr">
        <x:is>
          <x:t xml:space="preserve">Steel-Frame Skyscrapers</x:t>
        </x:is>
      </x:c>
      <x:c r="C95" s="28" t="n">
        <x:v>8</x:v>
      </x:c>
      <x:c r="D95" s="16" t="n">
        <x:v>0.5</x:v>
      </x:c>
      <x:c r="E95" s="16" t="inlineStr">
        <x:is>
          <x:t xml:space="preserve">Housing</x:t>
        </x:is>
      </x:c>
      <x:c r="F95" s="30" t="n">
        <x:v>2</x:v>
      </x:c>
      <x:c r="G95" s="16" t="n">
        <x:v>0.7</x:v>
      </x:c>
      <x:c r="H95" s="9" t="n">
        <x:f>C95+D95</x:f>
        <x:v>8.5</x:v>
      </x:c>
      <x:c r="I95" s="31" t="n">
        <x:f>G95*LN(F95)</x:f>
        <x:v>0.48520302639196167</x:v>
      </x:c>
    </x:row>
    <x:row r="96">
      <x:c r="A96" s="28" t="inlineStr">
        <x:is>
          <x:t xml:space="preserve">AGR-15</x:t>
        </x:is>
      </x:c>
      <x:c r="B96" s="28" t="inlineStr">
        <x:is>
          <x:t xml:space="preserve">Green Revolution</x:t>
        </x:is>
      </x:c>
      <x:c r="C96" s="28" t="n">
        <x:v>8</x:v>
      </x:c>
      <x:c r="D96" s="16" t="n">
        <x:v>0.6</x:v>
      </x:c>
      <x:c r="E96" s="16" t="inlineStr">
        <x:is>
          <x:t xml:space="preserve">Food</x:t>
        </x:is>
      </x:c>
      <x:c r="F96" s="30" t="n">
        <x:v>2</x:v>
      </x:c>
      <x:c r="G96" s="16" t="n">
        <x:v>0.7</x:v>
      </x:c>
      <x:c r="H96" s="9" t="n">
        <x:f>C96+D96</x:f>
        <x:v>8.6</x:v>
      </x:c>
      <x:c r="I96" s="31" t="n">
        <x:f>G96*LN(F96)</x:f>
        <x:v>0.48520302639196167</x:v>
      </x:c>
    </x:row>
    <x:row r="97">
      <x:c r="A97" s="28" t="inlineStr">
        <x:is>
          <x:t xml:space="preserve">FOD-13</x:t>
        </x:is>
      </x:c>
      <x:c r="B97" s="28" t="inlineStr">
        <x:is>
          <x:t xml:space="preserve">Industrial Food Processing</x:t>
        </x:is>
      </x:c>
      <x:c r="C97" s="28" t="n">
        <x:v>8</x:v>
      </x:c>
      <x:c r="D97" s="16" t="n">
        <x:v>0.7</x:v>
      </x:c>
      <x:c r="E97" s="16" t="inlineStr">
        <x:is>
          <x:t xml:space="preserve">Food</x:t>
        </x:is>
      </x:c>
      <x:c r="F97" s="30" t="n">
        <x:v>1.15</x:v>
      </x:c>
      <x:c r="G97" s="16" t="n">
        <x:v>0.6</x:v>
      </x:c>
      <x:c r="H97" s="9" t="n">
        <x:f>C97+D97</x:f>
        <x:v>8.7</x:v>
      </x:c>
      <x:c r="I97" s="31" t="n">
        <x:f>G97*LN(F97)</x:f>
        <x:v>0.08385716542509518</x:v>
      </x:c>
    </x:row>
    <x:row r="98">
      <x:c r="A98" s="28" t="inlineStr">
        <x:is>
          <x:t xml:space="preserve">TER-13</x:t>
        </x:is>
      </x:c>
      <x:c r="B98" s="28" t="inlineStr">
        <x:is>
          <x:t xml:space="preserve">Urban Planning &amp; Suburbs</x:t>
        </x:is>
      </x:c>
      <x:c r="C98" s="28" t="n">
        <x:v>8</x:v>
      </x:c>
      <x:c r="D98" s="16" t="n">
        <x:v>0.6</x:v>
      </x:c>
      <x:c r="E98" s="16" t="inlineStr">
        <x:is>
          <x:t xml:space="preserve">Housing</x:t>
        </x:is>
      </x:c>
      <x:c r="F98" s="30" t="n">
        <x:v>1.3</x:v>
      </x:c>
      <x:c r="G98" s="16" t="n">
        <x:v>0.6</x:v>
      </x:c>
      <x:c r="H98" s="9" t="n">
        <x:f>C98+D98</x:f>
        <x:v>8.6</x:v>
      </x:c>
      <x:c r="I98" s="31" t="n">
        <x:f>G98*LN(F98)</x:f>
        <x:v>0.15741855868049462</x:v>
      </x:c>
    </x:row>
    <x:row r="99">
      <x:c r="A99" s="28" t="inlineStr">
        <x:is>
          <x:t xml:space="preserve">AGR-16</x:t>
        </x:is>
      </x:c>
      <x:c r="B99" s="28" t="inlineStr">
        <x:is>
          <x:t xml:space="preserve">Precision Farming</x:t>
        </x:is>
      </x:c>
      <x:c r="C99" s="28" t="n">
        <x:v>9</x:v>
      </x:c>
      <x:c r="D99" s="16" t="n">
        <x:v>0.5</x:v>
      </x:c>
      <x:c r="E99" s="16" t="inlineStr">
        <x:is>
          <x:t xml:space="preserve">Food</x:t>
        </x:is>
      </x:c>
      <x:c r="F99" s="30" t="n">
        <x:v>1.2</x:v>
      </x:c>
      <x:c r="G99" s="16" t="n">
        <x:v>0.7</x:v>
      </x:c>
      <x:c r="H99" s="9" t="n">
        <x:f>C99+D99</x:f>
        <x:v>9.5</x:v>
      </x:c>
      <x:c r="I99" s="31" t="n">
        <x:f>G99*LN(F99)</x:f>
        <x:v>0.1276250897557682</x:v>
      </x:c>
    </x:row>
    <x:row r="100">
      <x:c r="A100" s="28" t="inlineStr">
        <x:is>
          <x:t xml:space="preserve">TRN-17</x:t>
        </x:is>
      </x:c>
      <x:c r="B100" s="28" t="inlineStr">
        <x:is>
          <x:t xml:space="preserve">High-Speed Rail &amp; EVs</x:t>
        </x:is>
      </x:c>
      <x:c r="C100" s="28" t="n">
        <x:v>9</x:v>
      </x:c>
      <x:c r="D100" s="16" t="n">
        <x:v>0.5</x:v>
      </x:c>
      <x:c r="E100" s="16" t="inlineStr">
        <x:is>
          <x:t xml:space="preserve">Housing</x:t>
        </x:is>
      </x:c>
      <x:c r="F100" s="30" t="n">
        <x:v>1.2</x:v>
      </x:c>
      <x:c r="G100" s="16" t="n">
        <x:v>0.5</x:v>
      </x:c>
      <x:c r="H100" s="9" t="n">
        <x:f>C100+D100</x:f>
        <x:v>9.5</x:v>
      </x:c>
      <x:c r="I100" s="31" t="n">
        <x:f>G100*LN(F100)</x:f>
        <x:v>0.0911607783969773</x:v>
      </x:c>
    </x:row>
    <x:row r="101">
      <x:c r="A101" s="28" t="inlineStr">
        <x:is>
          <x:t xml:space="preserve">FOD-14</x:t>
        </x:is>
      </x:c>
      <x:c r="B101" s="28" t="inlineStr">
        <x:is>
          <x:t xml:space="preserve">Cold Chain &amp; Nutrition Science</x:t>
        </x:is>
      </x:c>
      <x:c r="C101" s="28" t="n">
        <x:v>9</x:v>
      </x:c>
      <x:c r="D101" s="16" t="n">
        <x:v>0.5</x:v>
      </x:c>
      <x:c r="E101" s="16" t="inlineStr">
        <x:is>
          <x:t xml:space="preserve">Food</x:t>
        </x:is>
      </x:c>
      <x:c r="F101" s="30" t="n">
        <x:v>1.15</x:v>
      </x:c>
      <x:c r="G101" s="16" t="n">
        <x:v>0.6</x:v>
      </x:c>
      <x:c r="H101" s="9" t="n">
        <x:f>C101+D101</x:f>
        <x:v>9.5</x:v>
      </x:c>
      <x:c r="I101" s="31" t="n">
        <x:f>G101*LN(F101)</x:f>
        <x:v>0.08385716542509518</x:v>
      </x:c>
    </x:row>
    <x:row r="102">
      <x:c r="A102" s="28" t="inlineStr">
        <x:is>
          <x:t xml:space="preserve">AGR-17</x:t>
        </x:is>
      </x:c>
      <x:c r="B102" s="28" t="inlineStr">
        <x:is>
          <x:t xml:space="preserve">Genetically Engineered Crops</x:t>
        </x:is>
      </x:c>
      <x:c r="C102" s="28" t="n">
        <x:v>9</x:v>
      </x:c>
      <x:c r="D102" s="16" t="n">
        <x:v>0.6</x:v>
      </x:c>
      <x:c r="E102" s="16" t="inlineStr">
        <x:is>
          <x:t xml:space="preserve">Food</x:t>
        </x:is>
      </x:c>
      <x:c r="F102" s="30" t="n">
        <x:v>1.15</x:v>
      </x:c>
      <x:c r="G102" s="16" t="n">
        <x:v>0.6</x:v>
      </x:c>
      <x:c r="H102" s="9" t="n">
        <x:f>C102+D102</x:f>
        <x:v>9.6</x:v>
      </x:c>
      <x:c r="I102" s="31" t="n">
        <x:f>G102*LN(F102)</x:f>
        <x:v>0.08385716542509518</x:v>
      </x:c>
    </x:row>
    <x:row r="103">
      <x:c r="A103" s="28" t="inlineStr">
        <x:is>
          <x:t xml:space="preserve">TER-15</x:t>
        </x:is>
      </x:c>
      <x:c r="B103" s="28" t="inlineStr">
        <x:is>
          <x:t xml:space="preserve">Smart Megacities</x:t>
        </x:is>
      </x:c>
      <x:c r="C103" s="28" t="n">
        <x:v>9</x:v>
      </x:c>
      <x:c r="D103" s="16" t="n">
        <x:v>0.6</x:v>
      </x:c>
      <x:c r="E103" s="16" t="inlineStr">
        <x:is>
          <x:t xml:space="preserve">Housing</x:t>
        </x:is>
      </x:c>
      <x:c r="F103" s="30" t="n">
        <x:v>2</x:v>
      </x:c>
      <x:c r="G103" s="16" t="n">
        <x:v>0.5</x:v>
      </x:c>
      <x:c r="H103" s="9" t="n">
        <x:f>C103+D103</x:f>
        <x:v>9.6</x:v>
      </x:c>
      <x:c r="I103" s="31" t="n">
        <x:f>G103*LN(F103)</x:f>
        <x:v>0.34657359027997264</x:v>
      </x:c>
    </x:row>
    <x:row r="104">
      <x:c r="A104" s="28" t="inlineStr">
        <x:is>
          <x:t xml:space="preserve">BLD-16</x:t>
        </x:is>
      </x:c>
      <x:c r="B104" s="28" t="inlineStr">
        <x:is>
          <x:t xml:space="preserve">Green &amp; Smart Buildings</x:t>
        </x:is>
      </x:c>
      <x:c r="C104" s="28" t="n">
        <x:v>9</x:v>
      </x:c>
      <x:c r="D104" s="16" t="n">
        <x:v>0.6</x:v>
      </x:c>
      <x:c r="E104" s="16" t="inlineStr">
        <x:is>
          <x:t xml:space="preserve">Housing</x:t>
        </x:is>
      </x:c>
      <x:c r="F104" s="30" t="n">
        <x:v>1.1</x:v>
      </x:c>
      <x:c r="G104" s="16" t="n">
        <x:v>0.6</x:v>
      </x:c>
      <x:c r="H104" s="9" t="n">
        <x:f>C104+D104</x:f>
        <x:v>9.6</x:v>
      </x:c>
      <x:c r="I104" s="31" t="n">
        <x:f>G104*LN(F104)</x:f>
        <x:v>0.057186107882594955</x:v>
      </x:c>
    </x:row>
  </x:sheetData>
  <x:mergeCells>
    <x:mergeCell ref="A2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xSplit="1" ySplit="4" topLeftCell="B5" activePane="bottomRight" state="frozen"/>
    </x:sheetView>
  </x:sheetViews>
  <x:sheetFormatPr baseColWidth="8" defaultRowHeight="15"/>
  <x:cols>
    <x:col min="1" max="1" width="16" customWidth="1"/>
    <x:col min="2" max="2" width="14" customWidth="1"/>
    <x:col min="3" max="3" width="14" customWidth="1"/>
    <x:col min="4" max="4" width="14" customWidth="1"/>
    <x:col min="5" max="5" width="14" customWidth="1"/>
    <x:col min="6" max="6" width="14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0" max="20" width="14" customWidth="1"/>
    <x:col min="21" max="21" width="14" customWidth="1"/>
    <x:col min="22" max="22" width="14" customWidth="1"/>
    <x:col min="23" max="23" width="14" customWidth="1"/>
    <x:col min="24" max="24" width="14" customWidth="1"/>
  </x:cols>
  <x:sheetData>
    <x:row r="1">
      <x:c r="A1" s="5" t="inlineStr">
        <x:is>
          <x:t xml:space="preserve">Derived per-era values — v0.1 (as written)</x:t>
        </x:is>
      </x:c>
    </x:row>
    <x:row r="2">
      <x:c r="A2" t="inlineStr">
        <x:is>
          <x:t xml:space="preserve">All formulas. Req = N picks at EraBase × TypeMult + keystone phase (all three slots) + forced backfills at EraLag.</x:t>
        </x:is>
      </x:c>
    </x:row>
    <x:row r="4" ht="48" customHeight="1">
      <x:c r="A4" s="6" t="inlineStr">
        <x:is>
          <x:t xml:space="preserve">Era</x:t>
        </x:is>
      </x:c>
      <x:c r="B4" s="6" t="inlineStr">
        <x:is>
          <x:t xml:space="preserve">Cost unit × (pace · CostMod · diffusion)</x:t>
        </x:is>
      </x:c>
      <x:c r="C4" s="6" t="inlineStr">
        <x:is>
          <x:t xml:space="preserve">TypeMult Σ of N picks (crit + free)</x:t>
        </x:is>
      </x:c>
      <x:c r="D4" s="6" t="inlineStr">
        <x:is>
          <x:t xml:space="preserve">Avg in-era project cost</x:t>
        </x:is>
      </x:c>
      <x:c r="E4" s="6" t="inlineStr">
        <x:is>
          <x:t xml:space="preserve">Keystone cost</x:t>
        </x:is>
      </x:c>
      <x:c r="F4" s="6" t="inlineStr">
        <x:is>
          <x:t xml:space="preserve">Insight spent while keystone runs (all slots)</x:t>
        </x:is>
      </x:c>
      <x:c r="G4" s="6" t="inlineStr">
        <x:is>
          <x:t xml:space="preserve">Forced backfill cost (EraLag)</x:t>
        </x:is>
      </x:c>
      <x:c r="H4" s="6" t="inlineStr">
        <x:is>
          <x:t xml:space="preserve">Era requirement (Insight + Know-how)</x:t>
        </x:is>
      </x:c>
      <x:c r="I4" s="6" t="inlineStr">
        <x:is>
          <x:t xml:space="preserve">Max settlements (territory ÷ claim area)</x:t>
        </x:is>
      </x:c>
      <x:c r="J4" s="6" t="inlineStr">
        <x:is>
          <x:t xml:space="preserve">Settlement cap at era start = MIN(food, housing, group×CF)</x:t>
        </x:is>
      </x:c>
      <x:c r="K4" s="6" t="inlineStr">
        <x:is>
          <x:t xml:space="preserve">Era Boon Insight ×</x:t>
        </x:is>
      </x:c>
      <x:c r="L4" s="6" t="inlineStr">
        <x:is>
          <x:t xml:space="preserve">Extra in-era completions during keystone</x:t>
        </x:is>
      </x:c>
      <x:c r="M4" s="6" t="inlineStr">
        <x:is>
          <x:t xml:space="preserve">Forced backfills completed</x:t>
        </x:is>
      </x:c>
      <x:c r="N4" s="6" t="inlineStr">
        <x:is>
          <x:t xml:space="preserve">In-era completions (N + spill)</x:t>
        </x:is>
      </x:c>
      <x:c r="O4" s="6" t="inlineStr">
        <x:is>
          <x:t xml:space="preserve">Backfill cost from E0</x:t>
        </x:is>
      </x:c>
      <x:c r="P4" s="6" t="inlineStr">
        <x:is>
          <x:t xml:space="preserve">Backfill cost from E1</x:t>
        </x:is>
      </x:c>
      <x:c r="Q4" s="6" t="inlineStr">
        <x:is>
          <x:t xml:space="preserve">Backfill cost from E2</x:t>
        </x:is>
      </x:c>
      <x:c r="R4" s="6" t="inlineStr">
        <x:is>
          <x:t xml:space="preserve">Backfill cost from E3</x:t>
        </x:is>
      </x:c>
      <x:c r="S4" s="6" t="inlineStr">
        <x:is>
          <x:t xml:space="preserve">Backfill cost from E4</x:t>
        </x:is>
      </x:c>
      <x:c r="T4" s="6" t="inlineStr">
        <x:is>
          <x:t xml:space="preserve">Backfill cost from E5</x:t>
        </x:is>
      </x:c>
      <x:c r="U4" s="6" t="inlineStr">
        <x:is>
          <x:t xml:space="preserve">Backfill cost from E6</x:t>
        </x:is>
      </x:c>
      <x:c r="V4" s="6" t="inlineStr">
        <x:is>
          <x:t xml:space="preserve">Backfill cost from E7</x:t>
        </x:is>
      </x:c>
      <x:c r="W4" s="6" t="inlineStr">
        <x:is>
          <x:t xml:space="preserve">Backfill cost from E8</x:t>
        </x:is>
      </x:c>
      <x:c r="X4" s="6" t="inlineStr">
        <x:is>
          <x:t xml:space="preserve">Backfill cost from E9</x:t>
        </x:is>
      </x:c>
    </x:row>
    <x:row r="5">
      <x:c r="A5" t="inlineStr">
        <x:is>
          <x:t xml:space="preserve">E0 Dawn</x:t>
        </x:is>
      </x:c>
      <x:c r="B5" s="9" t="n">
        <x:f>v01_PaceCost*INDEX(v01_CostMod,1)*v01_DiffusionMult*Arch_Diffusion</x:f>
        <x:v>1</x:v>
      </x:c>
      <x:c r="C5" s="9" t="n">
        <x:f>INDEX(Cat_CritUnits,1)+MAX(0,INDEX(v01_BreadthN,1)-INDEX(Cat_CritN,1))*INDEX(Cat_FreeTM,1)</x:f>
        <x:v>14.225999999999999</x:v>
      </x:c>
      <x:c r="D5" s="32" t="n">
        <x:f>B5*INDEX(v01_EraBase,1)*C5/INDEX(v01_BreadthN,1)</x:f>
        <x:v>21.886153846153846</x:v>
      </x:c>
      <x:c r="E5" s="10" t="n">
        <x:f>B5*INDEX(v01_EraBase,1)*v01_KeystoneMult</x:f>
        <x:v>50</x:v>
      </x:c>
      <x:c r="F5" s="10" t="n">
        <x:f>E5*(v01_SlotPrimary+v01_SlotSecondary+v01_SlotTertiary)/v01_SlotPrimary</x:f>
        <x:v>87.5</x:v>
      </x:c>
      <x:c r="G5" s="10" t="n">
        <x:f>(1-v01_BackfillOverlap)*B5*SUM(O5:X5)</x:f>
        <x:v>0</x:v>
      </x:c>
      <x:c r="H5" s="10" t="n">
        <x:f>B5*INDEX(v01_EraBase,1)*C5+F5+G5</x:f>
        <x:v>372.02</x:v>
      </x:c>
      <x:c r="I5" s="8" t="n">
        <x:f>MAX(1,INT(INDEX(v01_Territory,1)*Arch_Territory/((3*INDEX(v01_ClaimRadius,1)*(INDEX(v01_ClaimRadius,1)+1)+1)*v01_SettlementPacking)))</x:f>
        <x:v>5</x:v>
      </x:c>
      <x:c r="J5" s="10" t="n">
        <x:f>MIN(INDEX(v01_FoodCap,1)*Arch_FoodCap*EXP(v01_CapsByProject*SUMPRODUCT((Cap_Point&lt;=0)*(Cap_Kind="Food")*Cap_Ln)),INDEX(v01_HousingCap,1)*EXP(v01_CapsByProject*SUMPRODUCT((Cap_Point&lt;=0)*(Cap_Kind="Housing")*Cap_Ln)),INDEX(v01_GroupCap,1)*v01_CohesionFactor*EXP(v01_CapsByProject*SUMPRODUCT((Cap_Point&lt;=0)*(Cap_Kind="Group")*Cap_Ln)))</x:f>
        <x:v>22</x:v>
      </x:c>
      <x:c r="K5" s="29" t="n">
        <x:f>(1+v01_EraBoonPct*v01_EraBoonTake)^0</x:f>
        <x:v>1</x:v>
      </x:c>
      <x:c r="L5" s="7" t="n">
        <x:f>(F5-E5)/D5</x:f>
        <x:v>1.7134120624209195</x:v>
      </x:c>
      <x:c r="M5" s="7" t="n">
        <x:f>INDEX(Cat_BackfillN,1)*(1-v01_BackfillOverlap)</x:f>
        <x:v>0</x:v>
      </x:c>
      <x:c r="N5" s="7" t="n">
        <x:f>INDEX(v01_BreadthN,1)+L5</x:f>
        <x:v>14.71341206242092</x:v>
      </x:c>
      <x:c r="O5" s="10" t="n">
        <x:f>IF(0&lt;0,INDEX(Cat_BFUnits,1,1)*INDEX(v01_EraBase,1)*v01_EraLag^(0-0),0)</x:f>
        <x:v>0</x:v>
      </x:c>
      <x:c r="P5" s="10" t="n">
        <x:f>IF(1&lt;0,INDEX(Cat_BFUnits,1,2)*INDEX(v01_EraBase,2)*v01_EraLag^(0-1),0)</x:f>
        <x:v>0</x:v>
      </x:c>
      <x:c r="Q5" s="10" t="n">
        <x:f>IF(2&lt;0,INDEX(Cat_BFUnits,1,3)*INDEX(v01_EraBase,3)*v01_EraLag^(0-2),0)</x:f>
        <x:v>0</x:v>
      </x:c>
      <x:c r="R5" s="10" t="n">
        <x:f>IF(3&lt;0,INDEX(Cat_BFUnits,1,4)*INDEX(v01_EraBase,4)*v01_EraLag^(0-3),0)</x:f>
        <x:v>0</x:v>
      </x:c>
      <x:c r="S5" s="10" t="n">
        <x:f>IF(4&lt;0,INDEX(Cat_BFUnits,1,5)*INDEX(v01_EraBase,5)*v01_EraLag^(0-4),0)</x:f>
        <x:v>0</x:v>
      </x:c>
      <x:c r="T5" s="10" t="n">
        <x:f>IF(5&lt;0,INDEX(Cat_BFUnits,1,6)*INDEX(v01_EraBase,6)*v01_EraLag^(0-5),0)</x:f>
        <x:v>0</x:v>
      </x:c>
      <x:c r="U5" s="10" t="n">
        <x:f>IF(6&lt;0,INDEX(Cat_BFUnits,1,7)*INDEX(v01_EraBase,7)*v01_EraLag^(0-6),0)</x:f>
        <x:v>0</x:v>
      </x:c>
      <x:c r="V5" s="10" t="n">
        <x:f>IF(7&lt;0,INDEX(Cat_BFUnits,1,8)*INDEX(v01_EraBase,8)*v01_EraLag^(0-7),0)</x:f>
        <x:v>0</x:v>
      </x:c>
      <x:c r="W5" s="10" t="n">
        <x:f>IF(8&lt;0,INDEX(Cat_BFUnits,1,9)*INDEX(v01_EraBase,9)*v01_EraLag^(0-8),0)</x:f>
        <x:v>0</x:v>
      </x:c>
      <x:c r="X5" s="10" t="n">
        <x:f>IF(9&lt;0,INDEX(Cat_BFUnits,1,10)*INDEX(v01_EraBase,10)*v01_EraLag^(0-9),0)</x:f>
        <x:v>0</x:v>
      </x:c>
    </x:row>
    <x:row r="6">
      <x:c r="A6" t="inlineStr">
        <x:is>
          <x:t xml:space="preserve">E1 Hunters</x:t>
        </x:is>
      </x:c>
      <x:c r="B6" s="9" t="n">
        <x:f>v01_PaceCost*INDEX(v01_CostMod,2)*v01_DiffusionMult*Arch_Diffusion</x:f>
        <x:v>1</x:v>
      </x:c>
      <x:c r="C6" s="9" t="n">
        <x:f>INDEX(Cat_CritUnits,2)+MAX(0,INDEX(v01_BreadthN,2)-INDEX(Cat_CritN,2))*INDEX(Cat_FreeTM,2)</x:f>
        <x:v>15.325</x:v>
      </x:c>
      <x:c r="D6" s="32" t="n">
        <x:f>B6*INDEX(v01_EraBase,2)*C6/INDEX(v01_BreadthN,2)</x:f>
        <x:v>54.732142857142854</x:v>
      </x:c>
      <x:c r="E6" s="10" t="n">
        <x:f>B6*INDEX(v01_EraBase,2)*v01_KeystoneMult</x:f>
        <x:v>125</x:v>
      </x:c>
      <x:c r="F6" s="10" t="n">
        <x:f>E6*(v01_SlotPrimary+v01_SlotSecondary+v01_SlotTertiary)/v01_SlotPrimary</x:f>
        <x:v>218.75</x:v>
      </x:c>
      <x:c r="G6" s="10" t="n">
        <x:f>(1-v01_BackfillOverlap)*B6*SUM(O6:X6)</x:f>
        <x:v>82.32</x:v>
      </x:c>
      <x:c r="H6" s="10" t="n">
        <x:f>B6*INDEX(v01_EraBase,2)*C6+F6+G6</x:f>
        <x:v>1067.32</x:v>
      </x:c>
      <x:c r="I6" s="8" t="n">
        <x:f>MAX(1,INT(INDEX(v01_Territory,2)*Arch_Territory/((3*INDEX(v01_ClaimRadius,2)*(INDEX(v01_ClaimRadius,2)+1)+1)*v01_SettlementPacking)))</x:f>
        <x:v>9</x:v>
      </x:c>
      <x:c r="J6" s="10" t="n">
        <x:f>MIN(INDEX(v01_FoodCap,2)*Arch_FoodCap*EXP(v01_CapsByProject*SUMPRODUCT((Cap_Point&lt;=1)*(Cap_Kind="Food")*Cap_Ln)),INDEX(v01_HousingCap,2)*EXP(v01_CapsByProject*SUMPRODUCT((Cap_Point&lt;=1)*(Cap_Kind="Housing")*Cap_Ln)),INDEX(v01_GroupCap,2)*v01_CohesionFactor*EXP(v01_CapsByProject*SUMPRODUCT((Cap_Point&lt;=1)*(Cap_Kind="Group")*Cap_Ln)))</x:f>
        <x:v>30</x:v>
      </x:c>
      <x:c r="K6" s="29" t="n">
        <x:f>(1+v01_EraBoonPct*v01_EraBoonTake)^1</x:f>
        <x:v>1.025</x:v>
      </x:c>
      <x:c r="L6" s="7" t="n">
        <x:f>(F6-E6)/D6</x:f>
        <x:v>1.7128874388254487</x:v>
      </x:c>
      <x:c r="M6" s="7" t="n">
        <x:f>INDEX(Cat_BackfillN,2)*(1-v01_BackfillOverlap)</x:f>
        <x:v>5.6</x:v>
      </x:c>
      <x:c r="N6" s="7" t="n">
        <x:f>INDEX(v01_BreadthN,2)+L6</x:f>
        <x:v>15.71288743882545</x:v>
      </x:c>
      <x:c r="O6" s="10" t="n">
        <x:f>IF(0&lt;1,INDEX(Cat_BFUnits,2,1)*INDEX(v01_EraBase,1)*v01_EraLag^(1-0),0)</x:f>
        <x:v>117.6</x:v>
      </x:c>
      <x:c r="P6" s="10" t="n">
        <x:f>IF(1&lt;1,INDEX(Cat_BFUnits,2,2)*INDEX(v01_EraBase,2)*v01_EraLag^(1-1),0)</x:f>
        <x:v>0</x:v>
      </x:c>
      <x:c r="Q6" s="10" t="n">
        <x:f>IF(2&lt;1,INDEX(Cat_BFUnits,2,3)*INDEX(v01_EraBase,3)*v01_EraLag^(1-2),0)</x:f>
        <x:v>0</x:v>
      </x:c>
      <x:c r="R6" s="10" t="n">
        <x:f>IF(3&lt;1,INDEX(Cat_BFUnits,2,4)*INDEX(v01_EraBase,4)*v01_EraLag^(1-3),0)</x:f>
        <x:v>0</x:v>
      </x:c>
      <x:c r="S6" s="10" t="n">
        <x:f>IF(4&lt;1,INDEX(Cat_BFUnits,2,5)*INDEX(v01_EraBase,5)*v01_EraLag^(1-4),0)</x:f>
        <x:v>0</x:v>
      </x:c>
      <x:c r="T6" s="10" t="n">
        <x:f>IF(5&lt;1,INDEX(Cat_BFUnits,2,6)*INDEX(v01_EraBase,6)*v01_EraLag^(1-5),0)</x:f>
        <x:v>0</x:v>
      </x:c>
      <x:c r="U6" s="10" t="n">
        <x:f>IF(6&lt;1,INDEX(Cat_BFUnits,2,7)*INDEX(v01_EraBase,7)*v01_EraLag^(1-6),0)</x:f>
        <x:v>0</x:v>
      </x:c>
      <x:c r="V6" s="10" t="n">
        <x:f>IF(7&lt;1,INDEX(Cat_BFUnits,2,8)*INDEX(v01_EraBase,8)*v01_EraLag^(1-7),0)</x:f>
        <x:v>0</x:v>
      </x:c>
      <x:c r="W6" s="10" t="n">
        <x:f>IF(8&lt;1,INDEX(Cat_BFUnits,2,9)*INDEX(v01_EraBase,9)*v01_EraLag^(1-8),0)</x:f>
        <x:v>0</x:v>
      </x:c>
      <x:c r="X6" s="10" t="n">
        <x:f>IF(9&lt;1,INDEX(Cat_BFUnits,2,10)*INDEX(v01_EraBase,10)*v01_EraLag^(1-9),0)</x:f>
        <x:v>0</x:v>
      </x:c>
    </x:row>
    <x:row r="7">
      <x:c r="A7" t="inlineStr">
        <x:is>
          <x:t xml:space="preserve">E2 Roots</x:t>
        </x:is>
      </x:c>
      <x:c r="B7" s="9" t="n">
        <x:f>v01_PaceCost*INDEX(v01_CostMod,3)*v01_DiffusionMult*Arch_Diffusion</x:f>
        <x:v>1</x:v>
      </x:c>
      <x:c r="C7" s="9" t="n">
        <x:f>INDEX(Cat_CritUnits,3)+MAX(0,INDEX(v01_BreadthN,3)-INDEX(Cat_CritN,3))*INDEX(Cat_FreeTM,3)</x:f>
        <x:v>23.294199999999996</x:v>
      </x:c>
      <x:c r="D7" s="32" t="n">
        <x:f>B7*INDEX(v01_EraBase,3)*C7/INDEX(v01_BreadthN,3)</x:f>
        <x:v>145.58874999999998</x:v>
      </x:c>
      <x:c r="E7" s="10" t="n">
        <x:f>B7*INDEX(v01_EraBase,3)*v01_KeystoneMult</x:f>
        <x:v>312.5</x:v>
      </x:c>
      <x:c r="F7" s="10" t="n">
        <x:f>E7*(v01_SlotPrimary+v01_SlotSecondary+v01_SlotTertiary)/v01_SlotPrimary</x:f>
        <x:v>546.875</x:v>
      </x:c>
      <x:c r="G7" s="10" t="n">
        <x:f>(1-v01_BackfillOverlap)*B7*SUM(O7:X7)</x:f>
        <x:v>548.31</x:v>
      </x:c>
      <x:c r="H7" s="10" t="n">
        <x:f>B7*INDEX(v01_EraBase,3)*C7+F7+G7</x:f>
        <x:v>4006.9599999999996</x:v>
      </x:c>
      <x:c r="I7" s="8" t="n">
        <x:f>MAX(1,INT(INDEX(v01_Territory,3)*Arch_Territory/((3*INDEX(v01_ClaimRadius,3)*(INDEX(v01_ClaimRadius,3)+1)+1)*v01_SettlementPacking)))</x:f>
        <x:v>22</x:v>
      </x:c>
      <x:c r="J7" s="10" t="n">
        <x:f>MIN(INDEX(v01_FoodCap,3)*Arch_FoodCap*EXP(v01_CapsByProject*SUMPRODUCT((Cap_Point&lt;=2)*(Cap_Kind="Food")*Cap_Ln)),INDEX(v01_HousingCap,3)*EXP(v01_CapsByProject*SUMPRODUCT((Cap_Point&lt;=2)*(Cap_Kind="Housing")*Cap_Ln)),INDEX(v01_GroupCap,3)*v01_CohesionFactor*EXP(v01_CapsByProject*SUMPRODUCT((Cap_Point&lt;=2)*(Cap_Kind="Group")*Cap_Ln)))</x:f>
        <x:v>60</x:v>
      </x:c>
      <x:c r="K7" s="29" t="n">
        <x:f>(1+v01_EraBoonPct*v01_EraBoonTake)^2</x:f>
        <x:v>1.050625</x:v>
      </x:c>
      <x:c r="L7" s="7" t="n">
        <x:f>(F7-E7)/D7</x:f>
        <x:v>1.6098427934850739</x:v>
      </x:c>
      <x:c r="M7" s="7" t="n">
        <x:f>INDEX(Cat_BackfillN,3)*(1-v01_BackfillOverlap)</x:f>
        <x:v>17.5</x:v>
      </x:c>
      <x:c r="N7" s="7" t="n">
        <x:f>INDEX(v01_BreadthN,3)+L7</x:f>
        <x:v>21.609842793485075</x:v>
      </x:c>
      <x:c r="O7" s="10" t="n">
        <x:f>IF(0&lt;2,INDEX(Cat_BFUnits,3,1)*INDEX(v01_EraBase,1)*v01_EraLag^(2-0),0)</x:f>
        <x:v>83.29999999999998</x:v>
      </x:c>
      <x:c r="P7" s="10" t="n">
        <x:f>IF(1&lt;2,INDEX(Cat_BFUnits,3,2)*INDEX(v01_EraBase,2)*v01_EraLag^(2-1),0)</x:f>
        <x:v>700</x:v>
      </x:c>
      <x:c r="Q7" s="10" t="n">
        <x:f>IF(2&lt;2,INDEX(Cat_BFUnits,3,3)*INDEX(v01_EraBase,3)*v01_EraLag^(2-2),0)</x:f>
        <x:v>0</x:v>
      </x:c>
      <x:c r="R7" s="10" t="n">
        <x:f>IF(3&lt;2,INDEX(Cat_BFUnits,3,4)*INDEX(v01_EraBase,4)*v01_EraLag^(2-3),0)</x:f>
        <x:v>0</x:v>
      </x:c>
      <x:c r="S7" s="10" t="n">
        <x:f>IF(4&lt;2,INDEX(Cat_BFUnits,3,5)*INDEX(v01_EraBase,5)*v01_EraLag^(2-4),0)</x:f>
        <x:v>0</x:v>
      </x:c>
      <x:c r="T7" s="10" t="n">
        <x:f>IF(5&lt;2,INDEX(Cat_BFUnits,3,6)*INDEX(v01_EraBase,6)*v01_EraLag^(2-5),0)</x:f>
        <x:v>0</x:v>
      </x:c>
      <x:c r="U7" s="10" t="n">
        <x:f>IF(6&lt;2,INDEX(Cat_BFUnits,3,7)*INDEX(v01_EraBase,7)*v01_EraLag^(2-6),0)</x:f>
        <x:v>0</x:v>
      </x:c>
      <x:c r="V7" s="10" t="n">
        <x:f>IF(7&lt;2,INDEX(Cat_BFUnits,3,8)*INDEX(v01_EraBase,8)*v01_EraLag^(2-7),0)</x:f>
        <x:v>0</x:v>
      </x:c>
      <x:c r="W7" s="10" t="n">
        <x:f>IF(8&lt;2,INDEX(Cat_BFUnits,3,9)*INDEX(v01_EraBase,9)*v01_EraLag^(2-8),0)</x:f>
        <x:v>0</x:v>
      </x:c>
      <x:c r="X7" s="10" t="n">
        <x:f>IF(9&lt;2,INDEX(Cat_BFUnits,3,10)*INDEX(v01_EraBase,10)*v01_EraLag^(2-9),0)</x:f>
        <x:v>0</x:v>
      </x:c>
    </x:row>
    <x:row r="8">
      <x:c r="A8" t="inlineStr">
        <x:is>
          <x:t xml:space="preserve">E3 Bronze</x:t>
        </x:is>
      </x:c>
      <x:c r="B8" s="9" t="n">
        <x:f>v01_PaceCost*INDEX(v01_CostMod,4)*v01_DiffusionMult*Arch_Diffusion</x:f>
        <x:v>1</x:v>
      </x:c>
      <x:c r="C8" s="9" t="n">
        <x:f>INDEX(Cat_CritUnits,4)+MAX(0,INDEX(v01_BreadthN,4)-INDEX(Cat_CritN,4))*INDEX(Cat_FreeTM,4)</x:f>
        <x:v>26.0732</x:v>
      </x:c>
      <x:c r="D8" s="32" t="n">
        <x:f>B8*INDEX(v01_EraBase,4)*C8/INDEX(v01_BreadthN,4)</x:f>
        <x:v>355.5436363636364</x:v>
      </x:c>
      <x:c r="E8" s="10" t="n">
        <x:f>B8*INDEX(v01_EraBase,4)*v01_KeystoneMult</x:f>
        <x:v>750</x:v>
      </x:c>
      <x:c r="F8" s="10" t="n">
        <x:f>E8*(v01_SlotPrimary+v01_SlotSecondary+v01_SlotTertiary)/v01_SlotPrimary</x:f>
        <x:v>1312.5</x:v>
      </x:c>
      <x:c r="G8" s="10" t="n">
        <x:f>(1-v01_BackfillOverlap)*B8*SUM(O8:X8)</x:f>
        <x:v>671.2019999999999</x:v>
      </x:c>
      <x:c r="H8" s="10" t="n">
        <x:f>B8*INDEX(v01_EraBase,4)*C8+F8+G8</x:f>
        <x:v>9805.661999999998</x:v>
      </x:c>
      <x:c r="I8" s="8" t="n">
        <x:f>MAX(1,INT(INDEX(v01_Territory,4)*Arch_Territory/((3*INDEX(v01_ClaimRadius,4)*(INDEX(v01_ClaimRadius,4)+1)+1)*v01_SettlementPacking)))</x:f>
        <x:v>24</x:v>
      </x:c>
      <x:c r="J8" s="10" t="n">
        <x:f>MIN(INDEX(v01_FoodCap,4)*Arch_FoodCap*EXP(v01_CapsByProject*SUMPRODUCT((Cap_Point&lt;=3)*(Cap_Kind="Food")*Cap_Ln)),INDEX(v01_HousingCap,4)*EXP(v01_CapsByProject*SUMPRODUCT((Cap_Point&lt;=3)*(Cap_Kind="Housing")*Cap_Ln)),INDEX(v01_GroupCap,4)*v01_CohesionFactor*EXP(v01_CapsByProject*SUMPRODUCT((Cap_Point&lt;=3)*(Cap_Kind="Group")*Cap_Ln)))</x:f>
        <x:v>120</x:v>
      </x:c>
      <x:c r="K8" s="29" t="n">
        <x:f>(1+v01_EraBoonPct*v01_EraBoonTake)^3</x:f>
        <x:v>1.0768906249999997</x:v>
      </x:c>
      <x:c r="L8" s="7" t="n">
        <x:f>(F8-E8)/D8</x:f>
        <x:v>1.5820842857800346</x:v>
      </x:c>
      <x:c r="M8" s="7" t="n">
        <x:f>INDEX(Cat_BackfillN,4)*(1-v01_BackfillOverlap)</x:f>
        <x:v>11.2</x:v>
      </x:c>
      <x:c r="N8" s="7" t="n">
        <x:f>INDEX(v01_BreadthN,4)+L8</x:f>
        <x:v>23.582084285780034</x:v>
      </x:c>
      <x:c r="O8" s="10" t="n">
        <x:f>IF(0&lt;3,INDEX(Cat_BFUnits,4,1)*INDEX(v01_EraBase,1)*v01_EraLag^(3-0),0)</x:f>
        <x:v>6.8599999999999985</x:v>
      </x:c>
      <x:c r="P8" s="10" t="n">
        <x:f>IF(1&lt;3,INDEX(Cat_BFUnits,4,2)*INDEX(v01_EraBase,2)*v01_EraLag^(3-1),0)</x:f>
        <x:v>146.99999999999997</x:v>
      </x:c>
      <x:c r="Q8" s="10" t="n">
        <x:f>IF(2&lt;3,INDEX(Cat_BFUnits,4,3)*INDEX(v01_EraBase,3)*v01_EraLag^(3-2),0)</x:f>
        <x:v>805</x:v>
      </x:c>
      <x:c r="R8" s="10" t="n">
        <x:f>IF(3&lt;3,INDEX(Cat_BFUnits,4,4)*INDEX(v01_EraBase,4)*v01_EraLag^(3-3),0)</x:f>
        <x:v>0</x:v>
      </x:c>
      <x:c r="S8" s="10" t="n">
        <x:f>IF(4&lt;3,INDEX(Cat_BFUnits,4,5)*INDEX(v01_EraBase,5)*v01_EraLag^(3-4),0)</x:f>
        <x:v>0</x:v>
      </x:c>
      <x:c r="T8" s="10" t="n">
        <x:f>IF(5&lt;3,INDEX(Cat_BFUnits,4,6)*INDEX(v01_EraBase,6)*v01_EraLag^(3-5),0)</x:f>
        <x:v>0</x:v>
      </x:c>
      <x:c r="U8" s="10" t="n">
        <x:f>IF(6&lt;3,INDEX(Cat_BFUnits,4,7)*INDEX(v01_EraBase,7)*v01_EraLag^(3-6),0)</x:f>
        <x:v>0</x:v>
      </x:c>
      <x:c r="V8" s="10" t="n">
        <x:f>IF(7&lt;3,INDEX(Cat_BFUnits,4,8)*INDEX(v01_EraBase,8)*v01_EraLag^(3-7),0)</x:f>
        <x:v>0</x:v>
      </x:c>
      <x:c r="W8" s="10" t="n">
        <x:f>IF(8&lt;3,INDEX(Cat_BFUnits,4,9)*INDEX(v01_EraBase,9)*v01_EraLag^(3-8),0)</x:f>
        <x:v>0</x:v>
      </x:c>
      <x:c r="X8" s="10" t="n">
        <x:f>IF(9&lt;3,INDEX(Cat_BFUnits,4,10)*INDEX(v01_EraBase,10)*v01_EraLag^(3-9),0)</x:f>
        <x:v>0</x:v>
      </x:c>
    </x:row>
    <x:row r="9">
      <x:c r="A9" t="inlineStr">
        <x:is>
          <x:t xml:space="preserve">E4 Iron</x:t>
        </x:is>
      </x:c>
      <x:c r="B9" s="9" t="n">
        <x:f>v01_PaceCost*INDEX(v01_CostMod,5)*v01_DiffusionMult*Arch_Diffusion</x:f>
        <x:v>1</x:v>
      </x:c>
      <x:c r="C9" s="9" t="n">
        <x:f>INDEX(Cat_CritUnits,5)+MAX(0,INDEX(v01_BreadthN,5)-INDEX(Cat_CritN,5))*INDEX(Cat_FreeTM,5)</x:f>
        <x:v>25.487499999999997</x:v>
      </x:c>
      <x:c r="D9" s="32" t="n">
        <x:f>B9*INDEX(v01_EraBase,5)*C9/INDEX(v01_BreadthN,5)</x:f>
        <x:v>910.267857142857</x:v>
      </x:c>
      <x:c r="E9" s="10" t="n">
        <x:f>B9*INDEX(v01_EraBase,5)*v01_KeystoneMult</x:f>
        <x:v>1875</x:v>
      </x:c>
      <x:c r="F9" s="10" t="n">
        <x:f>E9*(v01_SlotPrimary+v01_SlotSecondary+v01_SlotTertiary)/v01_SlotPrimary</x:f>
        <x:v>3281.25</x:v>
      </x:c>
      <x:c r="G9" s="10" t="n">
        <x:f>(1-v01_BackfillOverlap)*B9*SUM(O9:X9)</x:f>
        <x:v>2317.5980799999998</x:v>
      </x:c>
      <x:c r="H9" s="10" t="n">
        <x:f>B9*INDEX(v01_EraBase,5)*C9+F9+G9</x:f>
        <x:v>24714.473079999996</x:v>
      </x:c>
      <x:c r="I9" s="8" t="n">
        <x:f>MAX(1,INT(INDEX(v01_Territory,5)*Arch_Territory/((3*INDEX(v01_ClaimRadius,5)*(INDEX(v01_ClaimRadius,5)+1)+1)*v01_SettlementPacking)))</x:f>
        <x:v>25</x:v>
      </x:c>
      <x:c r="J9" s="10" t="n">
        <x:f>MIN(INDEX(v01_FoodCap,5)*Arch_FoodCap*EXP(v01_CapsByProject*SUMPRODUCT((Cap_Point&lt;=4)*(Cap_Kind="Food")*Cap_Ln)),INDEX(v01_HousingCap,5)*EXP(v01_CapsByProject*SUMPRODUCT((Cap_Point&lt;=4)*(Cap_Kind="Housing")*Cap_Ln)),INDEX(v01_GroupCap,5)*v01_CohesionFactor*EXP(v01_CapsByProject*SUMPRODUCT((Cap_Point&lt;=4)*(Cap_Kind="Group")*Cap_Ln)))</x:f>
        <x:v>250</x:v>
      </x:c>
      <x:c r="K9" s="29" t="n">
        <x:f>(1+v01_EraBoonPct*v01_EraBoonTake)^4</x:f>
        <x:v>1.1038128906249995</x:v>
      </x:c>
      <x:c r="L9" s="7" t="n">
        <x:f>(F9-E9)/D9</x:f>
        <x:v>1.5448749386954392</x:v>
      </x:c>
      <x:c r="M9" s="7" t="n">
        <x:f>INDEX(Cat_BackfillN,5)*(1-v01_BackfillOverlap)</x:f>
        <x:v>19.599999999999998</x:v>
      </x:c>
      <x:c r="N9" s="7" t="n">
        <x:f>INDEX(v01_BreadthN,5)+L9</x:f>
        <x:v>22.54487493869544</x:v>
      </x:c>
      <x:c r="O9" s="10" t="n">
        <x:f>IF(0&lt;4,INDEX(Cat_BFUnits,5,1)*INDEX(v01_EraBase,1)*v01_EraLag^(4-0),0)</x:f>
        <x:v>10.564399999999997</x:v>
      </x:c>
      <x:c r="P9" s="10" t="n">
        <x:f>IF(1&lt;4,INDEX(Cat_BFUnits,5,2)*INDEX(v01_EraBase,2)*v01_EraLag^(4-1),0)</x:f>
        <x:v>138.91499999999996</x:v>
      </x:c>
      <x:c r="Q9" s="10" t="n">
        <x:f>IF(2&lt;4,INDEX(Cat_BFUnits,5,3)*INDEX(v01_EraBase,3)*v01_EraLag^(4-2),0)</x:f>
        <x:v>410.37499999999994</x:v>
      </x:c>
      <x:c r="R9" s="10" t="n">
        <x:f>IF(3&lt;4,INDEX(Cat_BFUnits,5,4)*INDEX(v01_EraBase,4)*v01_EraLag^(4-3),0)</x:f>
        <x:v>2751</x:v>
      </x:c>
      <x:c r="S9" s="10" t="n">
        <x:f>IF(4&lt;4,INDEX(Cat_BFUnits,5,5)*INDEX(v01_EraBase,5)*v01_EraLag^(4-4),0)</x:f>
        <x:v>0</x:v>
      </x:c>
      <x:c r="T9" s="10" t="n">
        <x:f>IF(5&lt;4,INDEX(Cat_BFUnits,5,6)*INDEX(v01_EraBase,6)*v01_EraLag^(4-5),0)</x:f>
        <x:v>0</x:v>
      </x:c>
      <x:c r="U9" s="10" t="n">
        <x:f>IF(6&lt;4,INDEX(Cat_BFUnits,5,7)*INDEX(v01_EraBase,7)*v01_EraLag^(4-6),0)</x:f>
        <x:v>0</x:v>
      </x:c>
      <x:c r="V9" s="10" t="n">
        <x:f>IF(7&lt;4,INDEX(Cat_BFUnits,5,8)*INDEX(v01_EraBase,8)*v01_EraLag^(4-7),0)</x:f>
        <x:v>0</x:v>
      </x:c>
      <x:c r="W9" s="10" t="n">
        <x:f>IF(8&lt;4,INDEX(Cat_BFUnits,5,9)*INDEX(v01_EraBase,9)*v01_EraLag^(4-8),0)</x:f>
        <x:v>0</x:v>
      </x:c>
      <x:c r="X9" s="10" t="n">
        <x:f>IF(9&lt;4,INDEX(Cat_BFUnits,5,10)*INDEX(v01_EraBase,10)*v01_EraLag^(4-9),0)</x:f>
        <x:v>0</x:v>
      </x:c>
    </x:row>
    <x:row r="10">
      <x:c r="A10" t="inlineStr">
        <x:is>
          <x:t xml:space="preserve">E5 Faith &amp; Fief</x:t>
        </x:is>
      </x:c>
      <x:c r="B10" s="9" t="n">
        <x:f>v01_PaceCost*INDEX(v01_CostMod,6)*v01_DiffusionMult*Arch_Diffusion</x:f>
        <x:v>1</x:v>
      </x:c>
      <x:c r="C10" s="9" t="n">
        <x:f>INDEX(Cat_CritUnits,6)+MAX(0,INDEX(v01_BreadthN,6)-INDEX(Cat_CritN,6))*INDEX(Cat_FreeTM,6)</x:f>
        <x:v>18.1728</x:v>
      </x:c>
      <x:c r="D10" s="32" t="n">
        <x:f>B10*INDEX(v01_EraBase,6)*C10/INDEX(v01_BreadthN,6)</x:f>
        <x:v>2158.02</x:v>
      </x:c>
      <x:c r="E10" s="10" t="n">
        <x:f>B10*INDEX(v01_EraBase,6)*v01_KeystoneMult</x:f>
        <x:v>4750</x:v>
      </x:c>
      <x:c r="F10" s="10" t="n">
        <x:f>E10*(v01_SlotPrimary+v01_SlotSecondary+v01_SlotTertiary)/v01_SlotPrimary</x:f>
        <x:v>8312.5</x:v>
      </x:c>
      <x:c r="G10" s="10" t="n">
        <x:f>(1-v01_BackfillOverlap)*B10*SUM(O10:X10)</x:f>
        <x:v>5110.40698</x:v>
      </x:c>
      <x:c r="H10" s="10" t="n">
        <x:f>B10*INDEX(v01_EraBase,6)*C10+F10+G10</x:f>
        <x:v>47951.22698</x:v>
      </x:c>
      <x:c r="I10" s="8" t="n">
        <x:f>MAX(1,INT(INDEX(v01_Territory,6)*Arch_Territory/((3*INDEX(v01_ClaimRadius,6)*(INDEX(v01_ClaimRadius,6)+1)+1)*v01_SettlementPacking)))</x:f>
        <x:v>32</x:v>
      </x:c>
      <x:c r="J10" s="10" t="n">
        <x:f>MIN(INDEX(v01_FoodCap,6)*Arch_FoodCap*EXP(v01_CapsByProject*SUMPRODUCT((Cap_Point&lt;=5)*(Cap_Kind="Food")*Cap_Ln)),INDEX(v01_HousingCap,6)*EXP(v01_CapsByProject*SUMPRODUCT((Cap_Point&lt;=5)*(Cap_Kind="Housing")*Cap_Ln)),INDEX(v01_GroupCap,6)*v01_CohesionFactor*EXP(v01_CapsByProject*SUMPRODUCT((Cap_Point&lt;=5)*(Cap_Kind="Group")*Cap_Ln)))</x:f>
        <x:v>500</x:v>
      </x:c>
      <x:c r="K10" s="29" t="n">
        <x:f>(1+v01_EraBoonPct*v01_EraBoonTake)^5</x:f>
        <x:v>1.1314082128906244</x:v>
      </x:c>
      <x:c r="L10" s="7" t="n">
        <x:f>(F10-E10)/D10</x:f>
        <x:v>1.6508188061278395</x:v>
      </x:c>
      <x:c r="M10" s="7" t="n">
        <x:f>INDEX(Cat_BackfillN,6)*(1-v01_BackfillOverlap)</x:f>
        <x:v>16.799999999999997</x:v>
      </x:c>
      <x:c r="N10" s="7" t="n">
        <x:f>INDEX(v01_BreadthN,6)+L10</x:f>
        <x:v>17.65081880612784</x:v>
      </x:c>
      <x:c r="O10" s="10" t="n">
        <x:f>IF(0&lt;5,INDEX(Cat_BFUnits,6,1)*INDEX(v01_EraBase,1)*v01_EraLag^(5-0),0)</x:f>
        <x:v>3.361399999999999</x:v>
      </x:c>
      <x:c r="P10" s="10" t="n">
        <x:f>IF(1&lt;5,INDEX(Cat_BFUnits,6,2)*INDEX(v01_EraBase,2)*v01_EraLag^(5-1),0)</x:f>
        <x:v>18.007499999999997</x:v>
      </x:c>
      <x:c r="Q10" s="10" t="n">
        <x:f>IF(2&lt;5,INDEX(Cat_BFUnits,6,3)*INDEX(v01_EraBase,3)*v01_EraLag^(5-2),0)</x:f>
        <x:v>235.81249999999994</x:v>
      </x:c>
      <x:c r="R10" s="10" t="n">
        <x:f>IF(3&lt;5,INDEX(Cat_BFUnits,6,4)*INDEX(v01_EraBase,4)*v01_EraLag^(5-3),0)</x:f>
        <x:v>1058.3999999999999</x:v>
      </x:c>
      <x:c r="S10" s="10" t="n">
        <x:f>IF(4&lt;5,INDEX(Cat_BFUnits,6,5)*INDEX(v01_EraBase,5)*v01_EraLag^(5-4),0)</x:f>
        <x:v>5985</x:v>
      </x:c>
      <x:c r="T10" s="10" t="n">
        <x:f>IF(5&lt;5,INDEX(Cat_BFUnits,6,6)*INDEX(v01_EraBase,6)*v01_EraLag^(5-5),0)</x:f>
        <x:v>0</x:v>
      </x:c>
      <x:c r="U10" s="10" t="n">
        <x:f>IF(6&lt;5,INDEX(Cat_BFUnits,6,7)*INDEX(v01_EraBase,7)*v01_EraLag^(5-6),0)</x:f>
        <x:v>0</x:v>
      </x:c>
      <x:c r="V10" s="10" t="n">
        <x:f>IF(7&lt;5,INDEX(Cat_BFUnits,6,8)*INDEX(v01_EraBase,8)*v01_EraLag^(5-7),0)</x:f>
        <x:v>0</x:v>
      </x:c>
      <x:c r="W10" s="10" t="n">
        <x:f>IF(8&lt;5,INDEX(Cat_BFUnits,6,9)*INDEX(v01_EraBase,9)*v01_EraLag^(5-8),0)</x:f>
        <x:v>0</x:v>
      </x:c>
      <x:c r="X10" s="10" t="n">
        <x:f>IF(9&lt;5,INDEX(Cat_BFUnits,6,10)*INDEX(v01_EraBase,10)*v01_EraLag^(5-9),0)</x:f>
        <x:v>0</x:v>
      </x:c>
    </x:row>
    <x:row r="11">
      <x:c r="A11" t="inlineStr">
        <x:is>
          <x:t xml:space="preserve">E6 Discovery</x:t>
        </x:is>
      </x:c>
      <x:c r="B11" s="9" t="n">
        <x:f>v01_PaceCost*INDEX(v01_CostMod,7)*v01_DiffusionMult*Arch_Diffusion</x:f>
        <x:v>1</x:v>
      </x:c>
      <x:c r="C11" s="9" t="n">
        <x:f>INDEX(Cat_CritUnits,7)+MAX(0,INDEX(v01_BreadthN,7)-INDEX(Cat_CritN,7))*INDEX(Cat_FreeTM,7)</x:f>
        <x:v>16.5292</x:v>
      </x:c>
      <x:c r="D11" s="32" t="n">
        <x:f>B11*INDEX(v01_EraBase,7)*C11/INDEX(v01_BreadthN,7)</x:f>
        <x:v>5549.0885714285705</x:v>
      </x:c>
      <x:c r="E11" s="10" t="n">
        <x:f>B11*INDEX(v01_EraBase,7)*v01_KeystoneMult</x:f>
        <x:v>11750</x:v>
      </x:c>
      <x:c r="F11" s="10" t="n">
        <x:f>E11*(v01_SlotPrimary+v01_SlotSecondary+v01_SlotTertiary)/v01_SlotPrimary</x:f>
        <x:v>20562.5</x:v>
      </x:c>
      <x:c r="G11" s="10" t="n">
        <x:f>(1-v01_BackfillOverlap)*B11*SUM(O11:X11)</x:f>
        <x:v>15146.202035999999</x:v>
      </x:c>
      <x:c r="H11" s="10" t="n">
        <x:f>B11*INDEX(v01_EraBase,7)*C11+F11+G11</x:f>
        <x:v>113395.942036</x:v>
      </x:c>
      <x:c r="I11" s="8" t="n">
        <x:f>MAX(1,INT(INDEX(v01_Territory,7)*Arch_Territory/((3*INDEX(v01_ClaimRadius,7)*(INDEX(v01_ClaimRadius,7)+1)+1)*v01_SettlementPacking)))</x:f>
        <x:v>40</x:v>
      </x:c>
      <x:c r="J11" s="10" t="n">
        <x:f>MIN(INDEX(v01_FoodCap,7)*Arch_FoodCap*EXP(v01_CapsByProject*SUMPRODUCT((Cap_Point&lt;=6)*(Cap_Kind="Food")*Cap_Ln)),INDEX(v01_HousingCap,7)*EXP(v01_CapsByProject*SUMPRODUCT((Cap_Point&lt;=6)*(Cap_Kind="Housing")*Cap_Ln)),INDEX(v01_GroupCap,7)*v01_CohesionFactor*EXP(v01_CapsByProject*SUMPRODUCT((Cap_Point&lt;=6)*(Cap_Kind="Group")*Cap_Ln)))</x:f>
        <x:v>1000</x:v>
      </x:c>
      <x:c r="K11" s="29" t="n">
        <x:f>(1+v01_EraBoonPct*v01_EraBoonTake)^6</x:f>
        <x:v>1.15969341821289</x:v>
      </x:c>
      <x:c r="L11" s="7" t="n">
        <x:f>(F11-E11)/D11</x:f>
        <x:v>1.5880986375626167</x:v>
      </x:c>
      <x:c r="M11" s="7" t="n">
        <x:f>INDEX(Cat_BackfillN,7)*(1-v01_BackfillOverlap)</x:f>
        <x:v>20.299999999999997</x:v>
      </x:c>
      <x:c r="N11" s="7" t="n">
        <x:f>INDEX(v01_BreadthN,7)+L11</x:f>
        <x:v>15.588098637562616</x:v>
      </x:c>
      <x:c r="O11" s="10" t="n">
        <x:f>IF(0&lt;6,INDEX(Cat_BFUnits,7,1)*INDEX(v01_EraBase,1)*v01_EraLag^(6-0),0)</x:f>
        <x:v>2.352979999999999</x:v>
      </x:c>
      <x:c r="P11" s="10" t="n">
        <x:f>IF(1&lt;6,INDEX(Cat_BFUnits,7,2)*INDEX(v01_EraBase,2)*v01_EraLag^(6-1),0)</x:f>
        <x:v>8.403499999999998</x:v>
      </x:c>
      <x:c r="Q11" s="10" t="n">
        <x:f>IF(2&lt;6,INDEX(Cat_BFUnits,7,3)*INDEX(v01_EraBase,3)*v01_EraLag^(6-2),0)</x:f>
        <x:v>60.02499999999999</x:v>
      </x:c>
      <x:c r="R11" s="10" t="n">
        <x:f>IF(3&lt;6,INDEX(Cat_BFUnits,7,4)*INDEX(v01_EraBase,4)*v01_EraLag^(6-3),0)</x:f>
        <x:v>617.3999999999999</x:v>
      </x:c>
      <x:c r="S11" s="10" t="n">
        <x:f>IF(4&lt;6,INDEX(Cat_BFUnits,7,5)*INDEX(v01_EraBase,5)*v01_EraLag^(6-4),0)</x:f>
        <x:v>2462.2499999999995</x:v>
      </x:c>
      <x:c r="T11" s="10" t="n">
        <x:f>IF(5&lt;6,INDEX(Cat_BFUnits,7,6)*INDEX(v01_EraBase,6)*v01_EraLag^(6-5),0)</x:f>
        <x:v>18487</x:v>
      </x:c>
      <x:c r="U11" s="10" t="n">
        <x:f>IF(6&lt;6,INDEX(Cat_BFUnits,7,7)*INDEX(v01_EraBase,7)*v01_EraLag^(6-6),0)</x:f>
        <x:v>0</x:v>
      </x:c>
      <x:c r="V11" s="10" t="n">
        <x:f>IF(7&lt;6,INDEX(Cat_BFUnits,7,8)*INDEX(v01_EraBase,8)*v01_EraLag^(6-7),0)</x:f>
        <x:v>0</x:v>
      </x:c>
      <x:c r="W11" s="10" t="n">
        <x:f>IF(8&lt;6,INDEX(Cat_BFUnits,7,9)*INDEX(v01_EraBase,9)*v01_EraLag^(6-8),0)</x:f>
        <x:v>0</x:v>
      </x:c>
      <x:c r="X11" s="10" t="n">
        <x:f>IF(9&lt;6,INDEX(Cat_BFUnits,7,10)*INDEX(v01_EraBase,10)*v01_EraLag^(6-9),0)</x:f>
        <x:v>0</x:v>
      </x:c>
    </x:row>
    <x:row r="12">
      <x:c r="A12" t="inlineStr">
        <x:is>
          <x:t xml:space="preserve">E7 Industry</x:t>
        </x:is>
      </x:c>
      <x:c r="B12" s="9" t="n">
        <x:f>v01_PaceCost*INDEX(v01_CostMod,8)*v01_DiffusionMult*Arch_Diffusion</x:f>
        <x:v>0.9</x:v>
      </x:c>
      <x:c r="C12" s="9" t="n">
        <x:f>INDEX(Cat_CritUnits,8)+MAX(0,INDEX(v01_BreadthN,8)-INDEX(Cat_CritN,8))*INDEX(Cat_FreeTM,8)</x:f>
        <x:v>14.7696</x:v>
      </x:c>
      <x:c r="D12" s="32" t="n">
        <x:f>B12*INDEX(v01_EraBase,8)*C12/INDEX(v01_BreadthN,8)</x:f>
        <x:v>11393.691428571428</x:v>
      </x:c>
      <x:c r="E12" s="10" t="n">
        <x:f>B12*INDEX(v01_EraBase,8)*v01_KeystoneMult</x:f>
        <x:v>27000</x:v>
      </x:c>
      <x:c r="F12" s="10" t="n">
        <x:f>E12*(v01_SlotPrimary+v01_SlotSecondary+v01_SlotTertiary)/v01_SlotPrimary</x:f>
        <x:v>47250</x:v>
      </x:c>
      <x:c r="G12" s="10" t="n">
        <x:f>(1-v01_BackfillOverlap)*B12*SUM(O12:X12)</x:f>
        <x:v>33469.5686535</x:v>
      </x:c>
      <x:c r="H12" s="10" t="n">
        <x:f>B12*INDEX(v01_EraBase,8)*C12+F12+G12</x:f>
        <x:v>240231.2486535</x:v>
      </x:c>
      <x:c r="I12" s="8" t="n">
        <x:f>MAX(1,INT(INDEX(v01_Territory,8)*Arch_Territory/((3*INDEX(v01_ClaimRadius,8)*(INDEX(v01_ClaimRadius,8)+1)+1)*v01_SettlementPacking)))</x:f>
        <x:v>23</x:v>
      </x:c>
      <x:c r="J12" s="10" t="n">
        <x:f>MIN(INDEX(v01_FoodCap,8)*Arch_FoodCap*EXP(v01_CapsByProject*SUMPRODUCT((Cap_Point&lt;=7)*(Cap_Kind="Food")*Cap_Ln)),INDEX(v01_HousingCap,8)*EXP(v01_CapsByProject*SUMPRODUCT((Cap_Point&lt;=7)*(Cap_Kind="Housing")*Cap_Ln)),INDEX(v01_GroupCap,8)*v01_CohesionFactor*EXP(v01_CapsByProject*SUMPRODUCT((Cap_Point&lt;=7)*(Cap_Kind="Group")*Cap_Ln)))</x:f>
        <x:v>2500</x:v>
      </x:c>
      <x:c r="K12" s="29" t="n">
        <x:f>(1+v01_EraBoonPct*v01_EraBoonTake)^7</x:f>
        <x:v>1.1886857536682123</x:v>
      </x:c>
      <x:c r="L12" s="7" t="n">
        <x:f>(F12-E12)/D12</x:f>
        <x:v>1.7772993175170622</x:v>
      </x:c>
      <x:c r="M12" s="7" t="n">
        <x:f>INDEX(Cat_BackfillN,8)*(1-v01_BackfillOverlap)</x:f>
        <x:v>18.9</x:v>
      </x:c>
      <x:c r="N12" s="7" t="n">
        <x:f>INDEX(v01_BreadthN,8)+L12</x:f>
        <x:v>15.777299317517063</x:v>
      </x:c>
      <x:c r="O12" s="10" t="n">
        <x:f>IF(0&lt;7,INDEX(Cat_BFUnits,8,1)*INDEX(v01_EraBase,1)*v01_EraLag^(7-0),0)</x:f>
        <x:v>0</x:v>
      </x:c>
      <x:c r="P12" s="10" t="n">
        <x:f>IF(1&lt;7,INDEX(Cat_BFUnits,8,2)*INDEX(v01_EraBase,2)*v01_EraLag^(7-1),0)</x:f>
        <x:v>5.882449999999998</x:v>
      </x:c>
      <x:c r="Q12" s="10" t="n">
        <x:f>IF(2&lt;7,INDEX(Cat_BFUnits,8,3)*INDEX(v01_EraBase,3)*v01_EraLag^(7-2),0)</x:f>
        <x:v>16.806999999999995</x:v>
      </x:c>
      <x:c r="R12" s="10" t="n">
        <x:f>IF(3&lt;7,INDEX(Cat_BFUnits,8,4)*INDEX(v01_EraBase,4)*v01_EraLag^(7-3),0)</x:f>
        <x:v>144.05999999999997</x:v>
      </x:c>
      <x:c r="S12" s="10" t="n">
        <x:f>IF(4&lt;7,INDEX(Cat_BFUnits,8,5)*INDEX(v01_EraBase,5)*v01_EraLag^(7-4),0)</x:f>
        <x:v>1183.3499999999995</x:v>
      </x:c>
      <x:c r="T12" s="10" t="n">
        <x:f>IF(5&lt;7,INDEX(Cat_BFUnits,8,6)*INDEX(v01_EraBase,6)*v01_EraLag^(7-5),0)</x:f>
        <x:v>6703.199999999999</x:v>
      </x:c>
      <x:c r="U12" s="10" t="n">
        <x:f>IF(6&lt;7,INDEX(Cat_BFUnits,8,7)*INDEX(v01_EraBase,7)*v01_EraLag^(7-6),0)</x:f>
        <x:v>45073</x:v>
      </x:c>
      <x:c r="V12" s="10" t="n">
        <x:f>IF(7&lt;7,INDEX(Cat_BFUnits,8,8)*INDEX(v01_EraBase,8)*v01_EraLag^(7-7),0)</x:f>
        <x:v>0</x:v>
      </x:c>
      <x:c r="W12" s="10" t="n">
        <x:f>IF(8&lt;7,INDEX(Cat_BFUnits,8,9)*INDEX(v01_EraBase,9)*v01_EraLag^(7-8),0)</x:f>
        <x:v>0</x:v>
      </x:c>
      <x:c r="X12" s="10" t="n">
        <x:f>IF(9&lt;7,INDEX(Cat_BFUnits,8,10)*INDEX(v01_EraBase,10)*v01_EraLag^(7-9),0)</x:f>
        <x:v>0</x:v>
      </x:c>
    </x:row>
    <x:row r="13">
      <x:c r="A13" t="inlineStr">
        <x:is>
          <x:t xml:space="preserve">E8 Modern</x:t>
        </x:is>
      </x:c>
      <x:c r="B13" s="9" t="n">
        <x:f>v01_PaceCost*INDEX(v01_CostMod,9)*v01_DiffusionMult*Arch_Diffusion</x:f>
        <x:v>0.9</x:v>
      </x:c>
      <x:c r="C13" s="9" t="n">
        <x:f>INDEX(Cat_CritUnits,9)+MAX(0,INDEX(v01_BreadthN,9)-INDEX(Cat_CritN,9))*INDEX(Cat_FreeTM,9)</x:f>
        <x:v>20.6088</x:v>
      </x:c>
      <x:c r="D13" s="32" t="n">
        <x:f>B13*INDEX(v01_EraBase,9)*C13/INDEX(v01_BreadthN,9)</x:f>
        <x:v>30913.199999999997</x:v>
      </x:c>
      <x:c r="E13" s="10" t="n">
        <x:f>B13*INDEX(v01_EraBase,9)*v01_KeystoneMult</x:f>
        <x:v>67500</x:v>
      </x:c>
      <x:c r="F13" s="10" t="n">
        <x:f>E13*(v01_SlotPrimary+v01_SlotSecondary+v01_SlotTertiary)/v01_SlotPrimary</x:f>
        <x:v>118125</x:v>
      </x:c>
      <x:c r="G13" s="10" t="n">
        <x:f>(1-v01_BackfillOverlap)*B13*SUM(O13:X13)</x:f>
        <x:v>68603.205333726</x:v>
      </x:c>
      <x:c r="H13" s="10" t="n">
        <x:f>B13*INDEX(v01_EraBase,9)*C13+F13+G13</x:f>
        <x:v>743165.805333726</x:v>
      </x:c>
      <x:c r="I13" s="8" t="n">
        <x:f>MAX(1,INT(INDEX(v01_Territory,9)*Arch_Territory/((3*INDEX(v01_ClaimRadius,9)*(INDEX(v01_ClaimRadius,9)+1)+1)*v01_SettlementPacking)))</x:f>
        <x:v>15</x:v>
      </x:c>
      <x:c r="J13" s="10" t="n">
        <x:f>MIN(INDEX(v01_FoodCap,9)*Arch_FoodCap*EXP(v01_CapsByProject*SUMPRODUCT((Cap_Point&lt;=8)*(Cap_Kind="Food")*Cap_Ln)),INDEX(v01_HousingCap,9)*EXP(v01_CapsByProject*SUMPRODUCT((Cap_Point&lt;=8)*(Cap_Kind="Housing")*Cap_Ln)),INDEX(v01_GroupCap,9)*v01_CohesionFactor*EXP(v01_CapsByProject*SUMPRODUCT((Cap_Point&lt;=8)*(Cap_Kind="Group")*Cap_Ln)))</x:f>
        <x:v>6000</x:v>
      </x:c>
      <x:c r="K13" s="29" t="n">
        <x:f>(1+v01_EraBoonPct*v01_EraBoonTake)^8</x:f>
        <x:v>1.2184028975099173</x:v>
      </x:c>
      <x:c r="L13" s="7" t="n">
        <x:f>(F13-E13)/D13</x:f>
        <x:v>1.6376499359496914</x:v>
      </x:c>
      <x:c r="M13" s="7" t="n">
        <x:f>INDEX(Cat_BackfillN,9)*(1-v01_BackfillOverlap)</x:f>
        <x:v>14.7</x:v>
      </x:c>
      <x:c r="N13" s="7" t="n">
        <x:f>INDEX(v01_BreadthN,9)+L13</x:f>
        <x:v>19.637649935949693</x:v>
      </x:c>
      <x:c r="O13" s="10" t="n">
        <x:f>IF(0&lt;8,INDEX(Cat_BFUnits,9,1)*INDEX(v01_EraBase,1)*v01_EraLag^(8-0),0)</x:f>
        <x:v>1.1529601999999994</x:v>
      </x:c>
      <x:c r="P13" s="10" t="n">
        <x:f>IF(1&lt;8,INDEX(Cat_BFUnits,9,2)*INDEX(v01_EraBase,2)*v01_EraLag^(8-1),0)</x:f>
        <x:v>6.176572499999997</x:v>
      </x:c>
      <x:c r="Q13" s="10" t="n">
        <x:f>IF(2&lt;8,INDEX(Cat_BFUnits,9,3)*INDEX(v01_EraBase,3)*v01_EraLag^(8-2),0)</x:f>
        <x:v>22.059187499999993</x:v>
      </x:c>
      <x:c r="R13" s="10" t="n">
        <x:f>IF(3&lt;8,INDEX(Cat_BFUnits,9,4)*INDEX(v01_EraBase,4)*v01_EraLag^(8-3),0)</x:f>
        <x:v>151.26299999999995</x:v>
      </x:c>
      <x:c r="S13" s="10" t="n">
        <x:f>IF(4&lt;8,INDEX(Cat_BFUnits,9,5)*INDEX(v01_EraBase,5)*v01_EraLag^(8-4),0)</x:f>
        <x:v>540.2249999999999</x:v>
      </x:c>
      <x:c r="T13" s="10" t="n">
        <x:f>IF(5&lt;8,INDEX(Cat_BFUnits,9,6)*INDEX(v01_EraBase,6)*v01_EraLag^(8-5),0)</x:f>
        <x:v>1955.0999999999995</x:v>
      </x:c>
      <x:c r="U13" s="10" t="n">
        <x:f>IF(6&lt;8,INDEX(Cat_BFUnits,9,7)*INDEX(v01_EraBase,7)*v01_EraLag^(8-6),0)</x:f>
        <x:v>13817.999999999998</x:v>
      </x:c>
      <x:c r="V13" s="10" t="n">
        <x:f>IF(7&lt;8,INDEX(Cat_BFUnits,9,8)*INDEX(v01_EraBase,8)*v01_EraLag^(8-7),0)</x:f>
        <x:v>92400</x:v>
      </x:c>
      <x:c r="W13" s="10" t="n">
        <x:f>IF(8&lt;8,INDEX(Cat_BFUnits,9,9)*INDEX(v01_EraBase,9)*v01_EraLag^(8-8),0)</x:f>
        <x:v>0</x:v>
      </x:c>
      <x:c r="X13" s="10" t="n">
        <x:f>IF(9&lt;8,INDEX(Cat_BFUnits,9,10)*INDEX(v01_EraBase,10)*v01_EraLag^(8-9),0)</x:f>
        <x:v>0</x:v>
      </x:c>
    </x:row>
    <x:row r="14">
      <x:c r="A14" t="inlineStr">
        <x:is>
          <x:t xml:space="preserve">E9 Information</x:t>
        </x:is>
      </x:c>
      <x:c r="B14" s="9" t="n">
        <x:f>v01_PaceCost*INDEX(v01_CostMod,10)*v01_DiffusionMult*Arch_Diffusion</x:f>
        <x:v>0.9</x:v>
      </x:c>
      <x:c r="C14" s="9" t="n">
        <x:f>INDEX(Cat_CritUnits,10)+MAX(0,INDEX(v01_BreadthN,10)-INDEX(Cat_CritN,10))*INDEX(Cat_FreeTM,10)</x:f>
        <x:v>19.5324</x:v>
      </x:c>
      <x:c r="D14" s="32" t="n">
        <x:f>B14*INDEX(v01_EraBase,10)*C14/INDEX(v01_BreadthN,10)</x:f>
        <x:v>77555.11764705883</x:v>
      </x:c>
      <x:c r="E14" s="10" t="n">
        <x:f>B14*INDEX(v01_EraBase,10)*v01_KeystoneMult</x:f>
        <x:v>168750</x:v>
      </x:c>
      <x:c r="F14" s="10" t="n">
        <x:f>E14*(v01_SlotPrimary+v01_SlotSecondary+v01_SlotTertiary)/v01_SlotPrimary</x:f>
        <x:v>295312.5</x:v>
      </x:c>
      <x:c r="G14" s="10" t="n">
        <x:f>(1-v01_BackfillOverlap)*B14*SUM(O14:X14)</x:f>
        <x:v>231591.3943637448</x:v>
      </x:c>
      <x:c r="H14" s="10" t="n">
        <x:f>B14*INDEX(v01_EraBase,10)*C14+F14+G14</x:f>
        <x:v>1845340.8943637449</x:v>
      </x:c>
      <x:c r="I14" s="8" t="n">
        <x:f>MAX(1,INT(INDEX(v01_Territory,10)*Arch_Territory/((3*INDEX(v01_ClaimRadius,10)*(INDEX(v01_ClaimRadius,10)+1)+1)*v01_SettlementPacking)))</x:f>
        <x:v>15</x:v>
      </x:c>
      <x:c r="J14" s="10" t="n">
        <x:f>MIN(INDEX(v01_FoodCap,10)*Arch_FoodCap*EXP(v01_CapsByProject*SUMPRODUCT((Cap_Point&lt;=9)*(Cap_Kind="Food")*Cap_Ln)),INDEX(v01_HousingCap,10)*EXP(v01_CapsByProject*SUMPRODUCT((Cap_Point&lt;=9)*(Cap_Kind="Housing")*Cap_Ln)),INDEX(v01_GroupCap,10)*v01_CohesionFactor*EXP(v01_CapsByProject*SUMPRODUCT((Cap_Point&lt;=9)*(Cap_Kind="Group")*Cap_Ln)))</x:f>
        <x:v>12000</x:v>
      </x:c>
      <x:c r="K14" s="29" t="n">
        <x:f>(1+v01_EraBoonPct*v01_EraBoonTake)^9</x:f>
        <x:v>1.2488629699476652</x:v>
      </x:c>
      <x:c r="L14" s="7" t="n">
        <x:f>(F14-E14)/D14</x:f>
        <x:v>1.6319039134975732</x:v>
      </x:c>
      <x:c r="M14" s="7" t="n">
        <x:f>INDEX(Cat_BackfillN,10)*(1-v01_BackfillOverlap)</x:f>
        <x:v>36.4</x:v>
      </x:c>
      <x:c r="N14" s="7" t="n">
        <x:f>INDEX(v01_BreadthN,10)+L14</x:f>
        <x:v>18.631903913497574</x:v>
      </x:c>
      <x:c r="O14" s="10" t="n">
        <x:f>IF(0&lt;9,INDEX(Cat_BFUnits,10,1)*INDEX(v01_EraBase,1)*v01_EraLag^(9-0),0)</x:f>
        <x:v>1.2106082099999993</x:v>
      </x:c>
      <x:c r="P14" s="10" t="n">
        <x:f>IF(1&lt;9,INDEX(Cat_BFUnits,10,2)*INDEX(v01_EraBase,2)*v01_EraLag^(9-1),0)</x:f>
        <x:v>11.529601999999993</x:v>
      </x:c>
      <x:c r="Q14" s="10" t="n">
        <x:f>IF(2&lt;9,INDEX(Cat_BFUnits,10,3)*INDEX(v01_EraBase,3)*v01_EraLag^(9-2),0)</x:f>
        <x:v>66.91286874999997</x:v>
      </x:c>
      <x:c r="R14" s="10" t="n">
        <x:f>IF(3&lt;9,INDEX(Cat_BFUnits,10,4)*INDEX(v01_EraBase,4)*v01_EraLag^(9-3),0)</x:f>
        <x:v>229.41554999999994</x:v>
      </x:c>
      <x:c r="S14" s="10" t="n">
        <x:f>IF(4&lt;9,INDEX(Cat_BFUnits,10,5)*INDEX(v01_EraBase,5)*v01_EraLag^(9-4),0)</x:f>
        <x:v>466.39424999999983</x:v>
      </x:c>
      <x:c r="T14" s="10" t="n">
        <x:f>IF(5&lt;9,INDEX(Cat_BFUnits,10,6)*INDEX(v01_EraBase,6)*v01_EraLag^(9-5),0)</x:f>
        <x:v>2052.8549999999996</x:v>
      </x:c>
      <x:c r="U14" s="10" t="n">
        <x:f>IF(6&lt;9,INDEX(Cat_BFUnits,10,7)*INDEX(v01_EraBase,7)*v01_EraLag^(9-6),0)</x:f>
        <x:v>10801.069999999998</x:v>
      </x:c>
      <x:c r="V14" s="10" t="n">
        <x:f>IF(7&lt;9,INDEX(Cat_BFUnits,10,8)*INDEX(v01_EraBase,8)*v01_EraLag^(9-7),0)</x:f>
        <x:v>59975.999999999985</x:v>
      </x:c>
      <x:c r="W14" s="10" t="n">
        <x:f>IF(8&lt;9,INDEX(Cat_BFUnits,10,9)*INDEX(v01_EraBase,9)*v01_EraLag^(9-8),0)</x:f>
        <x:v>294000</x:v>
      </x:c>
      <x:c r="X14" s="10" t="n">
        <x:f>IF(9&lt;9,INDEX(Cat_BFUnits,10,10)*INDEX(v01_EraBase,10)*v01_EraLag^(9-9),0)</x:f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xSplit="1" ySplit="4" topLeftCell="B5" activePane="bottomRight" state="frozen"/>
    </x:sheetView>
  </x:sheetViews>
  <x:sheetFormatPr baseColWidth="8" defaultRowHeight="15"/>
  <x:cols>
    <x:col min="1" max="1" width="16" customWidth="1"/>
    <x:col min="2" max="2" width="14" customWidth="1"/>
    <x:col min="3" max="3" width="14" customWidth="1"/>
    <x:col min="4" max="4" width="14" customWidth="1"/>
    <x:col min="5" max="5" width="14" customWidth="1"/>
    <x:col min="6" max="6" width="14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0" max="20" width="14" customWidth="1"/>
    <x:col min="21" max="21" width="14" customWidth="1"/>
    <x:col min="22" max="22" width="14" customWidth="1"/>
    <x:col min="23" max="23" width="14" customWidth="1"/>
    <x:col min="24" max="24" width="14" customWidth="1"/>
  </x:cols>
  <x:sheetData>
    <x:row r="1">
      <x:c r="A1" s="5" t="inlineStr">
        <x:is>
          <x:t xml:space="preserve">Derived per-era values — Tuned (recommended)</x:t>
        </x:is>
      </x:c>
    </x:row>
    <x:row r="2">
      <x:c r="A2" t="inlineStr">
        <x:is>
          <x:t xml:space="preserve">All formulas. Req = N picks at EraBase × TypeMult + keystone phase (all three slots) + forced backfills at EraLag.</x:t>
        </x:is>
      </x:c>
    </x:row>
    <x:row r="4" ht="48" customHeight="1">
      <x:c r="A4" s="13" t="inlineStr">
        <x:is>
          <x:t xml:space="preserve">Era</x:t>
        </x:is>
      </x:c>
      <x:c r="B4" s="13" t="inlineStr">
        <x:is>
          <x:t xml:space="preserve">Cost unit × (pace · CostMod · diffusion)</x:t>
        </x:is>
      </x:c>
      <x:c r="C4" s="13" t="inlineStr">
        <x:is>
          <x:t xml:space="preserve">TypeMult Σ of N picks (crit + free)</x:t>
        </x:is>
      </x:c>
      <x:c r="D4" s="13" t="inlineStr">
        <x:is>
          <x:t xml:space="preserve">Avg in-era project cost</x:t>
        </x:is>
      </x:c>
      <x:c r="E4" s="13" t="inlineStr">
        <x:is>
          <x:t xml:space="preserve">Keystone cost</x:t>
        </x:is>
      </x:c>
      <x:c r="F4" s="13" t="inlineStr">
        <x:is>
          <x:t xml:space="preserve">Insight spent while keystone runs (all slots)</x:t>
        </x:is>
      </x:c>
      <x:c r="G4" s="13" t="inlineStr">
        <x:is>
          <x:t xml:space="preserve">Forced backfill cost (EraLag)</x:t>
        </x:is>
      </x:c>
      <x:c r="H4" s="13" t="inlineStr">
        <x:is>
          <x:t xml:space="preserve">Era requirement (Insight + Know-how)</x:t>
        </x:is>
      </x:c>
      <x:c r="I4" s="13" t="inlineStr">
        <x:is>
          <x:t xml:space="preserve">Max settlements (territory ÷ claim area)</x:t>
        </x:is>
      </x:c>
      <x:c r="J4" s="13" t="inlineStr">
        <x:is>
          <x:t xml:space="preserve">Settlement cap at era start = MIN(food, housing, group×CF)</x:t>
        </x:is>
      </x:c>
      <x:c r="K4" s="13" t="inlineStr">
        <x:is>
          <x:t xml:space="preserve">Era Boon Insight ×</x:t>
        </x:is>
      </x:c>
      <x:c r="L4" s="13" t="inlineStr">
        <x:is>
          <x:t xml:space="preserve">Extra in-era completions during keystone</x:t>
        </x:is>
      </x:c>
      <x:c r="M4" s="13" t="inlineStr">
        <x:is>
          <x:t xml:space="preserve">Forced backfills completed</x:t>
        </x:is>
      </x:c>
      <x:c r="N4" s="13" t="inlineStr">
        <x:is>
          <x:t xml:space="preserve">In-era completions (N + spill)</x:t>
        </x:is>
      </x:c>
      <x:c r="O4" s="13" t="inlineStr">
        <x:is>
          <x:t xml:space="preserve">Backfill cost from E0</x:t>
        </x:is>
      </x:c>
      <x:c r="P4" s="13" t="inlineStr">
        <x:is>
          <x:t xml:space="preserve">Backfill cost from E1</x:t>
        </x:is>
      </x:c>
      <x:c r="Q4" s="13" t="inlineStr">
        <x:is>
          <x:t xml:space="preserve">Backfill cost from E2</x:t>
        </x:is>
      </x:c>
      <x:c r="R4" s="13" t="inlineStr">
        <x:is>
          <x:t xml:space="preserve">Backfill cost from E3</x:t>
        </x:is>
      </x:c>
      <x:c r="S4" s="13" t="inlineStr">
        <x:is>
          <x:t xml:space="preserve">Backfill cost from E4</x:t>
        </x:is>
      </x:c>
      <x:c r="T4" s="13" t="inlineStr">
        <x:is>
          <x:t xml:space="preserve">Backfill cost from E5</x:t>
        </x:is>
      </x:c>
      <x:c r="U4" s="13" t="inlineStr">
        <x:is>
          <x:t xml:space="preserve">Backfill cost from E6</x:t>
        </x:is>
      </x:c>
      <x:c r="V4" s="13" t="inlineStr">
        <x:is>
          <x:t xml:space="preserve">Backfill cost from E7</x:t>
        </x:is>
      </x:c>
      <x:c r="W4" s="13" t="inlineStr">
        <x:is>
          <x:t xml:space="preserve">Backfill cost from E8</x:t>
        </x:is>
      </x:c>
      <x:c r="X4" s="13" t="inlineStr">
        <x:is>
          <x:t xml:space="preserve">Backfill cost from E9</x:t>
        </x:is>
      </x:c>
    </x:row>
    <x:row r="5">
      <x:c r="A5" t="inlineStr">
        <x:is>
          <x:t xml:space="preserve">E0 Dawn</x:t>
        </x:is>
      </x:c>
      <x:c r="B5" s="9" t="n">
        <x:f>tun_PaceCost*INDEX(tun_CostMod,1)*tun_DiffusionMult*Arch_Diffusion</x:f>
        <x:v>1</x:v>
      </x:c>
      <x:c r="C5" s="9" t="n">
        <x:f>INDEX(Cat_CritUnits,1)+MAX(0,INDEX(tun_BreadthN,1)-INDEX(Cat_CritN,1))*INDEX(Cat_FreeTM,1)</x:f>
        <x:v>14.225999999999999</x:v>
      </x:c>
      <x:c r="D5" s="32" t="n">
        <x:f>B5*INDEX(tun_EraBase,1)*C5/INDEX(tun_BreadthN,1)</x:f>
        <x:v>24.074769230769228</x:v>
      </x:c>
      <x:c r="E5" s="10" t="n">
        <x:f>B5*INDEX(tun_EraBase,1)*tun_KeystoneMult</x:f>
        <x:v>55</x:v>
      </x:c>
      <x:c r="F5" s="10" t="n">
        <x:f>E5*(tun_SlotPrimary+tun_SlotSecondary+tun_SlotTertiary)/tun_SlotPrimary</x:f>
        <x:v>96.25</x:v>
      </x:c>
      <x:c r="G5" s="10" t="n">
        <x:f>(1-tun_BackfillOverlap)*B5*SUM(O5:X5)</x:f>
        <x:v>0</x:v>
      </x:c>
      <x:c r="H5" s="10" t="n">
        <x:f>B5*INDEX(tun_EraBase,1)*C5+F5+G5</x:f>
        <x:v>409.222</x:v>
      </x:c>
      <x:c r="I5" s="8" t="n">
        <x:f>MAX(1,INT(INDEX(tun_Territory,1)*Arch_Territory/((3*INDEX(tun_ClaimRadius,1)*(INDEX(tun_ClaimRadius,1)+1)+1)*tun_SettlementPacking)))</x:f>
        <x:v>5</x:v>
      </x:c>
      <x:c r="J5" s="10" t="n">
        <x:f>MIN(INDEX(tun_FoodCap,1)*Arch_FoodCap*EXP(tun_CapsByProject*SUMPRODUCT((Cap_Point&lt;=0)*(Cap_Kind="Food")*Cap_Ln)),INDEX(tun_HousingCap,1)*EXP(tun_CapsByProject*SUMPRODUCT((Cap_Point&lt;=0)*(Cap_Kind="Housing")*Cap_Ln)),INDEX(tun_GroupCap,1)*tun_CohesionFactor*EXP(tun_CapsByProject*SUMPRODUCT((Cap_Point&lt;=0)*(Cap_Kind="Group")*Cap_Ln)))</x:f>
        <x:v>20</x:v>
      </x:c>
      <x:c r="K5" s="29" t="n">
        <x:f>(1+tun_EraBoonPct*tun_EraBoonTake)^0</x:f>
        <x:v>1</x:v>
      </x:c>
      <x:c r="L5" s="7" t="n">
        <x:f>(F5-E5)/D5</x:f>
        <x:v>1.7134120624209197</x:v>
      </x:c>
      <x:c r="M5" s="7" t="n">
        <x:f>INDEX(Cat_BackfillN,1)*(1-tun_BackfillOverlap)</x:f>
        <x:v>0</x:v>
      </x:c>
      <x:c r="N5" s="7" t="n">
        <x:f>INDEX(tun_BreadthN,1)+L5</x:f>
        <x:v>14.71341206242092</x:v>
      </x:c>
      <x:c r="O5" s="10" t="n">
        <x:f>IF(0&lt;0,INDEX(Cat_BFUnits,1,1)*INDEX(tun_EraBase,1)*tun_EraLag^(0-0),0)</x:f>
        <x:v>0</x:v>
      </x:c>
      <x:c r="P5" s="10" t="n">
        <x:f>IF(1&lt;0,INDEX(Cat_BFUnits,1,2)*INDEX(tun_EraBase,2)*tun_EraLag^(0-1),0)</x:f>
        <x:v>0</x:v>
      </x:c>
      <x:c r="Q5" s="10" t="n">
        <x:f>IF(2&lt;0,INDEX(Cat_BFUnits,1,3)*INDEX(tun_EraBase,3)*tun_EraLag^(0-2),0)</x:f>
        <x:v>0</x:v>
      </x:c>
      <x:c r="R5" s="10" t="n">
        <x:f>IF(3&lt;0,INDEX(Cat_BFUnits,1,4)*INDEX(tun_EraBase,4)*tun_EraLag^(0-3),0)</x:f>
        <x:v>0</x:v>
      </x:c>
      <x:c r="S5" s="10" t="n">
        <x:f>IF(4&lt;0,INDEX(Cat_BFUnits,1,5)*INDEX(tun_EraBase,5)*tun_EraLag^(0-4),0)</x:f>
        <x:v>0</x:v>
      </x:c>
      <x:c r="T5" s="10" t="n">
        <x:f>IF(5&lt;0,INDEX(Cat_BFUnits,1,6)*INDEX(tun_EraBase,6)*tun_EraLag^(0-5),0)</x:f>
        <x:v>0</x:v>
      </x:c>
      <x:c r="U5" s="10" t="n">
        <x:f>IF(6&lt;0,INDEX(Cat_BFUnits,1,7)*INDEX(tun_EraBase,7)*tun_EraLag^(0-6),0)</x:f>
        <x:v>0</x:v>
      </x:c>
      <x:c r="V5" s="10" t="n">
        <x:f>IF(7&lt;0,INDEX(Cat_BFUnits,1,8)*INDEX(tun_EraBase,8)*tun_EraLag^(0-7),0)</x:f>
        <x:v>0</x:v>
      </x:c>
      <x:c r="W5" s="10" t="n">
        <x:f>IF(8&lt;0,INDEX(Cat_BFUnits,1,9)*INDEX(tun_EraBase,9)*tun_EraLag^(0-8),0)</x:f>
        <x:v>0</x:v>
      </x:c>
      <x:c r="X5" s="10" t="n">
        <x:f>IF(9&lt;0,INDEX(Cat_BFUnits,1,10)*INDEX(tun_EraBase,10)*tun_EraLag^(0-9),0)</x:f>
        <x:v>0</x:v>
      </x:c>
    </x:row>
    <x:row r="6">
      <x:c r="A6" t="inlineStr">
        <x:is>
          <x:t xml:space="preserve">E1 Hunters</x:t>
        </x:is>
      </x:c>
      <x:c r="B6" s="9" t="n">
        <x:f>tun_PaceCost*INDEX(tun_CostMod,2)*tun_DiffusionMult*Arch_Diffusion</x:f>
        <x:v>1</x:v>
      </x:c>
      <x:c r="C6" s="9" t="n">
        <x:f>INDEX(Cat_CritUnits,2)+MAX(0,INDEX(tun_BreadthN,2)-INDEX(Cat_CritN,2))*INDEX(Cat_FreeTM,2)</x:f>
        <x:v>15.325</x:v>
      </x:c>
      <x:c r="D6" s="32" t="n">
        <x:f>B6*INDEX(tun_EraBase,2)*C6/INDEX(tun_BreadthN,2)</x:f>
        <x:v>54.732142857142854</x:v>
      </x:c>
      <x:c r="E6" s="10" t="n">
        <x:f>B6*INDEX(tun_EraBase,2)*tun_KeystoneMult</x:f>
        <x:v>125</x:v>
      </x:c>
      <x:c r="F6" s="10" t="n">
        <x:f>E6*(tun_SlotPrimary+tun_SlotSecondary+tun_SlotTertiary)/tun_SlotPrimary</x:f>
        <x:v>218.75</x:v>
      </x:c>
      <x:c r="G6" s="10" t="n">
        <x:f>(1-tun_BackfillOverlap)*B6*SUM(O6:X6)</x:f>
        <x:v>90.552</x:v>
      </x:c>
      <x:c r="H6" s="10" t="n">
        <x:f>B6*INDEX(tun_EraBase,2)*C6+F6+G6</x:f>
        <x:v>1075.552</x:v>
      </x:c>
      <x:c r="I6" s="8" t="n">
        <x:f>MAX(1,INT(INDEX(tun_Territory,2)*Arch_Territory/((3*INDEX(tun_ClaimRadius,2)*(INDEX(tun_ClaimRadius,2)+1)+1)*tun_SettlementPacking)))</x:f>
        <x:v>9</x:v>
      </x:c>
      <x:c r="J6" s="10" t="n">
        <x:f>MIN(INDEX(tun_FoodCap,2)*Arch_FoodCap*EXP(tun_CapsByProject*SUMPRODUCT((Cap_Point&lt;=1)*(Cap_Kind="Food")*Cap_Ln)),INDEX(tun_HousingCap,2)*EXP(tun_CapsByProject*SUMPRODUCT((Cap_Point&lt;=1)*(Cap_Kind="Housing")*Cap_Ln)),INDEX(tun_GroupCap,2)*tun_CohesionFactor*EXP(tun_CapsByProject*SUMPRODUCT((Cap_Point&lt;=1)*(Cap_Kind="Group")*Cap_Ln)))</x:f>
        <x:v>27.104000000000006</x:v>
      </x:c>
      <x:c r="K6" s="29" t="n">
        <x:f>(1+tun_EraBoonPct*tun_EraBoonTake)^1</x:f>
        <x:v>1.025</x:v>
      </x:c>
      <x:c r="L6" s="7" t="n">
        <x:f>(F6-E6)/D6</x:f>
        <x:v>1.7128874388254487</x:v>
      </x:c>
      <x:c r="M6" s="7" t="n">
        <x:f>INDEX(Cat_BackfillN,2)*(1-tun_BackfillOverlap)</x:f>
        <x:v>5.6</x:v>
      </x:c>
      <x:c r="N6" s="7" t="n">
        <x:f>INDEX(tun_BreadthN,2)+L6</x:f>
        <x:v>15.71288743882545</x:v>
      </x:c>
      <x:c r="O6" s="10" t="n">
        <x:f>IF(0&lt;1,INDEX(Cat_BFUnits,2,1)*INDEX(tun_EraBase,1)*tun_EraLag^(1-0),0)</x:f>
        <x:v>129.36</x:v>
      </x:c>
      <x:c r="P6" s="10" t="n">
        <x:f>IF(1&lt;1,INDEX(Cat_BFUnits,2,2)*INDEX(tun_EraBase,2)*tun_EraLag^(1-1),0)</x:f>
        <x:v>0</x:v>
      </x:c>
      <x:c r="Q6" s="10" t="n">
        <x:f>IF(2&lt;1,INDEX(Cat_BFUnits,2,3)*INDEX(tun_EraBase,3)*tun_EraLag^(1-2),0)</x:f>
        <x:v>0</x:v>
      </x:c>
      <x:c r="R6" s="10" t="n">
        <x:f>IF(3&lt;1,INDEX(Cat_BFUnits,2,4)*INDEX(tun_EraBase,4)*tun_EraLag^(1-3),0)</x:f>
        <x:v>0</x:v>
      </x:c>
      <x:c r="S6" s="10" t="n">
        <x:f>IF(4&lt;1,INDEX(Cat_BFUnits,2,5)*INDEX(tun_EraBase,5)*tun_EraLag^(1-4),0)</x:f>
        <x:v>0</x:v>
      </x:c>
      <x:c r="T6" s="10" t="n">
        <x:f>IF(5&lt;1,INDEX(Cat_BFUnits,2,6)*INDEX(tun_EraBase,6)*tun_EraLag^(1-5),0)</x:f>
        <x:v>0</x:v>
      </x:c>
      <x:c r="U6" s="10" t="n">
        <x:f>IF(6&lt;1,INDEX(Cat_BFUnits,2,7)*INDEX(tun_EraBase,7)*tun_EraLag^(1-6),0)</x:f>
        <x:v>0</x:v>
      </x:c>
      <x:c r="V6" s="10" t="n">
        <x:f>IF(7&lt;1,INDEX(Cat_BFUnits,2,8)*INDEX(tun_EraBase,8)*tun_EraLag^(1-7),0)</x:f>
        <x:v>0</x:v>
      </x:c>
      <x:c r="W6" s="10" t="n">
        <x:f>IF(8&lt;1,INDEX(Cat_BFUnits,2,9)*INDEX(tun_EraBase,9)*tun_EraLag^(1-8),0)</x:f>
        <x:v>0</x:v>
      </x:c>
      <x:c r="X6" s="10" t="n">
        <x:f>IF(9&lt;1,INDEX(Cat_BFUnits,2,10)*INDEX(tun_EraBase,10)*tun_EraLag^(1-9),0)</x:f>
        <x:v>0</x:v>
      </x:c>
    </x:row>
    <x:row r="7">
      <x:c r="A7" t="inlineStr">
        <x:is>
          <x:t xml:space="preserve">E2 Roots</x:t>
        </x:is>
      </x:c>
      <x:c r="B7" s="9" t="n">
        <x:f>tun_PaceCost*INDEX(tun_CostMod,3)*tun_DiffusionMult*Arch_Diffusion</x:f>
        <x:v>1</x:v>
      </x:c>
      <x:c r="C7" s="9" t="n">
        <x:f>INDEX(Cat_CritUnits,3)+MAX(0,INDEX(tun_BreadthN,3)-INDEX(Cat_CritN,3))*INDEX(Cat_FreeTM,3)</x:f>
        <x:v>23.294199999999996</x:v>
      </x:c>
      <x:c r="D7" s="32" t="n">
        <x:f>B7*INDEX(tun_EraBase,3)*C7/INDEX(tun_BreadthN,3)</x:f>
        <x:v>116.47099999999998</x:v>
      </x:c>
      <x:c r="E7" s="10" t="n">
        <x:f>B7*INDEX(tun_EraBase,3)*tun_KeystoneMult</x:f>
        <x:v>250</x:v>
      </x:c>
      <x:c r="F7" s="10" t="n">
        <x:f>E7*(tun_SlotPrimary+tun_SlotSecondary+tun_SlotTertiary)/tun_SlotPrimary</x:f>
        <x:v>437.5</x:v>
      </x:c>
      <x:c r="G7" s="10" t="n">
        <x:f>(1-tun_BackfillOverlap)*B7*SUM(O7:X7)</x:f>
        <x:v>554.141</x:v>
      </x:c>
      <x:c r="H7" s="10" t="n">
        <x:f>B7*INDEX(tun_EraBase,3)*C7+F7+G7</x:f>
        <x:v>3321.0609999999997</x:v>
      </x:c>
      <x:c r="I7" s="8" t="n">
        <x:f>MAX(1,INT(INDEX(tun_Territory,3)*Arch_Territory/((3*INDEX(tun_ClaimRadius,3)*(INDEX(tun_ClaimRadius,3)+1)+1)*tun_SettlementPacking)))</x:f>
        <x:v>22</x:v>
      </x:c>
      <x:c r="J7" s="10" t="n">
        <x:f>MIN(INDEX(tun_FoodCap,3)*Arch_FoodCap*EXP(tun_CapsByProject*SUMPRODUCT((Cap_Point&lt;=2)*(Cap_Kind="Food")*Cap_Ln)),INDEX(tun_HousingCap,3)*EXP(tun_CapsByProject*SUMPRODUCT((Cap_Point&lt;=2)*(Cap_Kind="Housing")*Cap_Ln)),INDEX(tun_GroupCap,3)*tun_CohesionFactor*EXP(tun_CapsByProject*SUMPRODUCT((Cap_Point&lt;=2)*(Cap_Kind="Group")*Cap_Ln)))</x:f>
        <x:v>41.39198916308082</x:v>
      </x:c>
      <x:c r="K7" s="29" t="n">
        <x:f>(1+tun_EraBoonPct*tun_EraBoonTake)^2</x:f>
        <x:v>1.050625</x:v>
      </x:c>
      <x:c r="L7" s="7" t="n">
        <x:f>(F7-E7)/D7</x:f>
        <x:v>1.6098427934850739</x:v>
      </x:c>
      <x:c r="M7" s="7" t="n">
        <x:f>INDEX(Cat_BackfillN,3)*(1-tun_BackfillOverlap)</x:f>
        <x:v>17.5</x:v>
      </x:c>
      <x:c r="N7" s="7" t="n">
        <x:f>INDEX(tun_BreadthN,3)+L7</x:f>
        <x:v>21.609842793485075</x:v>
      </x:c>
      <x:c r="O7" s="10" t="n">
        <x:f>IF(0&lt;2,INDEX(Cat_BFUnits,3,1)*INDEX(tun_EraBase,1)*tun_EraLag^(2-0),0)</x:f>
        <x:v>91.62999999999998</x:v>
      </x:c>
      <x:c r="P7" s="10" t="n">
        <x:f>IF(1&lt;2,INDEX(Cat_BFUnits,3,2)*INDEX(tun_EraBase,2)*tun_EraLag^(2-1),0)</x:f>
        <x:v>700</x:v>
      </x:c>
      <x:c r="Q7" s="10" t="n">
        <x:f>IF(2&lt;2,INDEX(Cat_BFUnits,3,3)*INDEX(tun_EraBase,3)*tun_EraLag^(2-2),0)</x:f>
        <x:v>0</x:v>
      </x:c>
      <x:c r="R7" s="10" t="n">
        <x:f>IF(3&lt;2,INDEX(Cat_BFUnits,3,4)*INDEX(tun_EraBase,4)*tun_EraLag^(2-3),0)</x:f>
        <x:v>0</x:v>
      </x:c>
      <x:c r="S7" s="10" t="n">
        <x:f>IF(4&lt;2,INDEX(Cat_BFUnits,3,5)*INDEX(tun_EraBase,5)*tun_EraLag^(2-4),0)</x:f>
        <x:v>0</x:v>
      </x:c>
      <x:c r="T7" s="10" t="n">
        <x:f>IF(5&lt;2,INDEX(Cat_BFUnits,3,6)*INDEX(tun_EraBase,6)*tun_EraLag^(2-5),0)</x:f>
        <x:v>0</x:v>
      </x:c>
      <x:c r="U7" s="10" t="n">
        <x:f>IF(6&lt;2,INDEX(Cat_BFUnits,3,7)*INDEX(tun_EraBase,7)*tun_EraLag^(2-6),0)</x:f>
        <x:v>0</x:v>
      </x:c>
      <x:c r="V7" s="10" t="n">
        <x:f>IF(7&lt;2,INDEX(Cat_BFUnits,3,8)*INDEX(tun_EraBase,8)*tun_EraLag^(2-7),0)</x:f>
        <x:v>0</x:v>
      </x:c>
      <x:c r="W7" s="10" t="n">
        <x:f>IF(8&lt;2,INDEX(Cat_BFUnits,3,9)*INDEX(tun_EraBase,9)*tun_EraLag^(2-8),0)</x:f>
        <x:v>0</x:v>
      </x:c>
      <x:c r="X7" s="10" t="n">
        <x:f>IF(9&lt;2,INDEX(Cat_BFUnits,3,10)*INDEX(tun_EraBase,10)*tun_EraLag^(2-9),0)</x:f>
        <x:v>0</x:v>
      </x:c>
    </x:row>
    <x:row r="8">
      <x:c r="A8" t="inlineStr">
        <x:is>
          <x:t xml:space="preserve">E3 Bronze</x:t>
        </x:is>
      </x:c>
      <x:c r="B8" s="9" t="n">
        <x:f>tun_PaceCost*INDEX(tun_CostMod,4)*tun_DiffusionMult*Arch_Diffusion</x:f>
        <x:v>1</x:v>
      </x:c>
      <x:c r="C8" s="9" t="n">
        <x:f>INDEX(Cat_CritUnits,4)+MAX(0,INDEX(tun_BreadthN,4)-INDEX(Cat_CritN,4))*INDEX(Cat_FreeTM,4)</x:f>
        <x:v>24.961</x:v>
      </x:c>
      <x:c r="D8" s="32" t="n">
        <x:f>B8*INDEX(tun_EraBase,4)*C8/INDEX(tun_BreadthN,4)</x:f>
        <x:v>190.1790476190476</x:v>
      </x:c>
      <x:c r="E8" s="10" t="n">
        <x:f>B8*INDEX(tun_EraBase,4)*tun_KeystoneMult</x:f>
        <x:v>400</x:v>
      </x:c>
      <x:c r="F8" s="10" t="n">
        <x:f>E8*(tun_SlotPrimary+tun_SlotSecondary+tun_SlotTertiary)/tun_SlotPrimary</x:f>
        <x:v>700</x:v>
      </x:c>
      <x:c r="G8" s="10" t="n">
        <x:f>(1-tun_BackfillOverlap)*B8*SUM(O8:X8)</x:f>
        <x:v>558.9821999999998</x:v>
      </x:c>
      <x:c r="H8" s="10" t="n">
        <x:f>B8*INDEX(tun_EraBase,4)*C8+F8+G8</x:f>
        <x:v>5252.7422</x:v>
      </x:c>
      <x:c r="I8" s="8" t="n">
        <x:f>MAX(1,INT(INDEX(tun_Territory,4)*Arch_Territory/((3*INDEX(tun_ClaimRadius,4)*(INDEX(tun_ClaimRadius,4)+1)+1)*tun_SettlementPacking)))</x:f>
        <x:v>24</x:v>
      </x:c>
      <x:c r="J8" s="10" t="n">
        <x:f>MIN(INDEX(tun_FoodCap,4)*Arch_FoodCap*EXP(tun_CapsByProject*SUMPRODUCT((Cap_Point&lt;=3)*(Cap_Kind="Food")*Cap_Ln)),INDEX(tun_HousingCap,4)*EXP(tun_CapsByProject*SUMPRODUCT((Cap_Point&lt;=3)*(Cap_Kind="Housing")*Cap_Ln)),INDEX(tun_GroupCap,4)*tun_CohesionFactor*EXP(tun_CapsByProject*SUMPRODUCT((Cap_Point&lt;=3)*(Cap_Kind="Group")*Cap_Ln)))</x:f>
        <x:v>88.18366924681426</x:v>
      </x:c>
      <x:c r="K8" s="29" t="n">
        <x:f>(1+tun_EraBoonPct*tun_EraBoonTake)^3</x:f>
        <x:v>1.0768906249999997</x:v>
      </x:c>
      <x:c r="L8" s="7" t="n">
        <x:f>(F8-E8)/D8</x:f>
        <x:v>1.5774608389086977</x:v>
      </x:c>
      <x:c r="M8" s="7" t="n">
        <x:f>INDEX(Cat_BackfillN,4)*(1-tun_BackfillOverlap)</x:f>
        <x:v>11.2</x:v>
      </x:c>
      <x:c r="N8" s="7" t="n">
        <x:f>INDEX(tun_BreadthN,4)+L8</x:f>
        <x:v>22.5774608389087</x:v>
      </x:c>
      <x:c r="O8" s="10" t="n">
        <x:f>IF(0&lt;3,INDEX(Cat_BFUnits,4,1)*INDEX(tun_EraBase,1)*tun_EraLag^(3-0),0)</x:f>
        <x:v>7.5459999999999985</x:v>
      </x:c>
      <x:c r="P8" s="10" t="n">
        <x:f>IF(1&lt;3,INDEX(Cat_BFUnits,4,2)*INDEX(tun_EraBase,2)*tun_EraLag^(3-1),0)</x:f>
        <x:v>146.99999999999997</x:v>
      </x:c>
      <x:c r="Q8" s="10" t="n">
        <x:f>IF(2&lt;3,INDEX(Cat_BFUnits,4,3)*INDEX(tun_EraBase,3)*tun_EraLag^(3-2),0)</x:f>
        <x:v>643.9999999999999</x:v>
      </x:c>
      <x:c r="R8" s="10" t="n">
        <x:f>IF(3&lt;3,INDEX(Cat_BFUnits,4,4)*INDEX(tun_EraBase,4)*tun_EraLag^(3-3),0)</x:f>
        <x:v>0</x:v>
      </x:c>
      <x:c r="S8" s="10" t="n">
        <x:f>IF(4&lt;3,INDEX(Cat_BFUnits,4,5)*INDEX(tun_EraBase,5)*tun_EraLag^(3-4),0)</x:f>
        <x:v>0</x:v>
      </x:c>
      <x:c r="T8" s="10" t="n">
        <x:f>IF(5&lt;3,INDEX(Cat_BFUnits,4,6)*INDEX(tun_EraBase,6)*tun_EraLag^(3-5),0)</x:f>
        <x:v>0</x:v>
      </x:c>
      <x:c r="U8" s="10" t="n">
        <x:f>IF(6&lt;3,INDEX(Cat_BFUnits,4,7)*INDEX(tun_EraBase,7)*tun_EraLag^(3-6),0)</x:f>
        <x:v>0</x:v>
      </x:c>
      <x:c r="V8" s="10" t="n">
        <x:f>IF(7&lt;3,INDEX(Cat_BFUnits,4,8)*INDEX(tun_EraBase,8)*tun_EraLag^(3-7),0)</x:f>
        <x:v>0</x:v>
      </x:c>
      <x:c r="W8" s="10" t="n">
        <x:f>IF(8&lt;3,INDEX(Cat_BFUnits,4,9)*INDEX(tun_EraBase,9)*tun_EraLag^(3-8),0)</x:f>
        <x:v>0</x:v>
      </x:c>
      <x:c r="X8" s="10" t="n">
        <x:f>IF(9&lt;3,INDEX(Cat_BFUnits,4,10)*INDEX(tun_EraBase,10)*tun_EraLag^(3-9),0)</x:f>
        <x:v>0</x:v>
      </x:c>
    </x:row>
    <x:row r="9">
      <x:c r="A9" t="inlineStr">
        <x:is>
          <x:t xml:space="preserve">E4 Iron</x:t>
        </x:is>
      </x:c>
      <x:c r="B9" s="9" t="n">
        <x:f>tun_PaceCost*INDEX(tun_CostMod,5)*tun_DiffusionMult*Arch_Diffusion</x:f>
        <x:v>1</x:v>
      </x:c>
      <x:c r="C9" s="9" t="n">
        <x:f>INDEX(Cat_CritUnits,5)+MAX(0,INDEX(tun_BreadthN,5)-INDEX(Cat_CritN,5))*INDEX(Cat_FreeTM,5)</x:f>
        <x:v>25.487499999999997</x:v>
      </x:c>
      <x:c r="D9" s="32" t="n">
        <x:f>B9*INDEX(tun_EraBase,5)*C9/INDEX(tun_BreadthN,5)</x:f>
        <x:v>801.0357142857141</x:v>
      </x:c>
      <x:c r="E9" s="10" t="n">
        <x:f>B9*INDEX(tun_EraBase,5)*tun_KeystoneMult</x:f>
        <x:v>1650</x:v>
      </x:c>
      <x:c r="F9" s="10" t="n">
        <x:f>E9*(tun_SlotPrimary+tun_SlotSecondary+tun_SlotTertiary)/tun_SlotPrimary</x:f>
        <x:v>2887.5</x:v>
      </x:c>
      <x:c r="G9" s="10" t="n">
        <x:f>(1-tun_BackfillOverlap)*B9*SUM(O9:X9)</x:f>
        <x:v>1362.2250879999997</x:v>
      </x:c>
      <x:c r="H9" s="10" t="n">
        <x:f>B9*INDEX(tun_EraBase,5)*C9+F9+G9</x:f>
        <x:v>21071.475087999996</x:v>
      </x:c>
      <x:c r="I9" s="8" t="n">
        <x:f>MAX(1,INT(INDEX(tun_Territory,5)*Arch_Territory/((3*INDEX(tun_ClaimRadius,5)*(INDEX(tun_ClaimRadius,5)+1)+1)*tun_SettlementPacking)))</x:f>
        <x:v>25</x:v>
      </x:c>
      <x:c r="J9" s="10" t="n">
        <x:f>MIN(INDEX(tun_FoodCap,5)*Arch_FoodCap*EXP(tun_CapsByProject*SUMPRODUCT((Cap_Point&lt;=4)*(Cap_Kind="Food")*Cap_Ln)),INDEX(tun_HousingCap,5)*EXP(tun_CapsByProject*SUMPRODUCT((Cap_Point&lt;=4)*(Cap_Kind="Housing")*Cap_Ln)),INDEX(tun_GroupCap,5)*tun_CohesionFactor*EXP(tun_CapsByProject*SUMPRODUCT((Cap_Point&lt;=4)*(Cap_Kind="Group")*Cap_Ln)))</x:f>
        <x:v>190.40203000328933</x:v>
      </x:c>
      <x:c r="K9" s="29" t="n">
        <x:f>(1+tun_EraBoonPct*tun_EraBoonTake)^4</x:f>
        <x:v>1.1038128906249995</x:v>
      </x:c>
      <x:c r="L9" s="7" t="n">
        <x:f>(F9-E9)/D9</x:f>
        <x:v>1.5448749386954392</x:v>
      </x:c>
      <x:c r="M9" s="7" t="n">
        <x:f>INDEX(Cat_BackfillN,5)*(1-tun_BackfillOverlap)</x:f>
        <x:v>19.599999999999998</x:v>
      </x:c>
      <x:c r="N9" s="7" t="n">
        <x:f>INDEX(tun_BreadthN,5)+L9</x:f>
        <x:v>22.54487493869544</x:v>
      </x:c>
      <x:c r="O9" s="10" t="n">
        <x:f>IF(0&lt;4,INDEX(Cat_BFUnits,5,1)*INDEX(tun_EraBase,1)*tun_EraLag^(4-0),0)</x:f>
        <x:v>11.62084</x:v>
      </x:c>
      <x:c r="P9" s="10" t="n">
        <x:f>IF(1&lt;4,INDEX(Cat_BFUnits,5,2)*INDEX(tun_EraBase,2)*tun_EraLag^(4-1),0)</x:f>
        <x:v>138.91499999999996</x:v>
      </x:c>
      <x:c r="Q9" s="10" t="n">
        <x:f>IF(2&lt;4,INDEX(Cat_BFUnits,5,3)*INDEX(tun_EraBase,3)*tun_EraLag^(4-2),0)</x:f>
        <x:v>328.29999999999995</x:v>
      </x:c>
      <x:c r="R9" s="10" t="n">
        <x:f>IF(3&lt;4,INDEX(Cat_BFUnits,5,4)*INDEX(tun_EraBase,4)*tun_EraLag^(4-3),0)</x:f>
        <x:v>1467.1999999999998</x:v>
      </x:c>
      <x:c r="S9" s="10" t="n">
        <x:f>IF(4&lt;4,INDEX(Cat_BFUnits,5,5)*INDEX(tun_EraBase,5)*tun_EraLag^(4-4),0)</x:f>
        <x:v>0</x:v>
      </x:c>
      <x:c r="T9" s="10" t="n">
        <x:f>IF(5&lt;4,INDEX(Cat_BFUnits,5,6)*INDEX(tun_EraBase,6)*tun_EraLag^(4-5),0)</x:f>
        <x:v>0</x:v>
      </x:c>
      <x:c r="U9" s="10" t="n">
        <x:f>IF(6&lt;4,INDEX(Cat_BFUnits,5,7)*INDEX(tun_EraBase,7)*tun_EraLag^(4-6),0)</x:f>
        <x:v>0</x:v>
      </x:c>
      <x:c r="V9" s="10" t="n">
        <x:f>IF(7&lt;4,INDEX(Cat_BFUnits,5,8)*INDEX(tun_EraBase,8)*tun_EraLag^(4-7),0)</x:f>
        <x:v>0</x:v>
      </x:c>
      <x:c r="W9" s="10" t="n">
        <x:f>IF(8&lt;4,INDEX(Cat_BFUnits,5,9)*INDEX(tun_EraBase,9)*tun_EraLag^(4-8),0)</x:f>
        <x:v>0</x:v>
      </x:c>
      <x:c r="X9" s="10" t="n">
        <x:f>IF(9&lt;4,INDEX(Cat_BFUnits,5,10)*INDEX(tun_EraBase,10)*tun_EraLag^(4-9),0)</x:f>
        <x:v>0</x:v>
      </x:c>
    </x:row>
    <x:row r="10">
      <x:c r="A10" t="inlineStr">
        <x:is>
          <x:t xml:space="preserve">E5 Faith &amp; Fief</x:t>
        </x:is>
      </x:c>
      <x:c r="B10" s="9" t="n">
        <x:f>tun_PaceCost*INDEX(tun_CostMod,6)*tun_DiffusionMult*Arch_Diffusion</x:f>
        <x:v>1</x:v>
      </x:c>
      <x:c r="C10" s="9" t="n">
        <x:f>INDEX(Cat_CritUnits,6)+MAX(0,INDEX(tun_BreadthN,6)-INDEX(Cat_CritN,6))*INDEX(Cat_FreeTM,6)</x:f>
        <x:v>18.1728</x:v>
      </x:c>
      <x:c r="D10" s="32" t="n">
        <x:f>B10*INDEX(tun_EraBase,6)*C10/INDEX(tun_BreadthN,6)</x:f>
        <x:v>4259.25</x:v>
      </x:c>
      <x:c r="E10" s="10" t="n">
        <x:f>B10*INDEX(tun_EraBase,6)*tun_KeystoneMult</x:f>
        <x:v>9375</x:v>
      </x:c>
      <x:c r="F10" s="10" t="n">
        <x:f>E10*(tun_SlotPrimary+tun_SlotSecondary+tun_SlotTertiary)/tun_SlotPrimary</x:f>
        <x:v>16406.25</x:v>
      </x:c>
      <x:c r="G10" s="10" t="n">
        <x:f>(1-tun_BackfillOverlap)*B10*SUM(O10:X10)</x:f>
        <x:v>4229.144527999999</x:v>
      </x:c>
      <x:c r="H10" s="10" t="n">
        <x:f>B10*INDEX(tun_EraBase,6)*C10+F10+G10</x:f>
        <x:v>88783.394528</x:v>
      </x:c>
      <x:c r="I10" s="8" t="n">
        <x:f>MAX(1,INT(INDEX(tun_Territory,6)*Arch_Territory/((3*INDEX(tun_ClaimRadius,6)*(INDEX(tun_ClaimRadius,6)+1)+1)*tun_SettlementPacking)))</x:f>
        <x:v>29</x:v>
      </x:c>
      <x:c r="J10" s="10" t="n">
        <x:f>MIN(INDEX(tun_FoodCap,6)*Arch_FoodCap*EXP(tun_CapsByProject*SUMPRODUCT((Cap_Point&lt;=5)*(Cap_Kind="Food")*Cap_Ln)),INDEX(tun_HousingCap,6)*EXP(tun_CapsByProject*SUMPRODUCT((Cap_Point&lt;=5)*(Cap_Kind="Housing")*Cap_Ln)),INDEX(tun_GroupCap,6)*tun_CohesionFactor*EXP(tun_CapsByProject*SUMPRODUCT((Cap_Point&lt;=5)*(Cap_Kind="Group")*Cap_Ln)))</x:f>
        <x:v>372.89883457776335</x:v>
      </x:c>
      <x:c r="K10" s="29" t="n">
        <x:f>(1+tun_EraBoonPct*tun_EraBoonTake)^5</x:f>
        <x:v>1.1314082128906244</x:v>
      </x:c>
      <x:c r="L10" s="7" t="n">
        <x:f>(F10-E10)/D10</x:f>
        <x:v>1.6508188061278395</x:v>
      </x:c>
      <x:c r="M10" s="7" t="n">
        <x:f>INDEX(Cat_BackfillN,6)*(1-tun_BackfillOverlap)</x:f>
        <x:v>16.799999999999997</x:v>
      </x:c>
      <x:c r="N10" s="7" t="n">
        <x:f>INDEX(tun_BreadthN,6)+L10</x:f>
        <x:v>17.65081880612784</x:v>
      </x:c>
      <x:c r="O10" s="10" t="n">
        <x:f>IF(0&lt;5,INDEX(Cat_BFUnits,6,1)*INDEX(tun_EraBase,1)*tun_EraLag^(5-0),0)</x:f>
        <x:v>3.6975399999999987</x:v>
      </x:c>
      <x:c r="P10" s="10" t="n">
        <x:f>IF(1&lt;5,INDEX(Cat_BFUnits,6,2)*INDEX(tun_EraBase,2)*tun_EraLag^(5-1),0)</x:f>
        <x:v>18.007499999999997</x:v>
      </x:c>
      <x:c r="Q10" s="10" t="n">
        <x:f>IF(2&lt;5,INDEX(Cat_BFUnits,6,3)*INDEX(tun_EraBase,3)*tun_EraLag^(5-2),0)</x:f>
        <x:v>188.64999999999995</x:v>
      </x:c>
      <x:c r="R10" s="10" t="n">
        <x:f>IF(3&lt;5,INDEX(Cat_BFUnits,6,4)*INDEX(tun_EraBase,4)*tun_EraLag^(5-3),0)</x:f>
        <x:v>564.4799999999999</x:v>
      </x:c>
      <x:c r="S10" s="10" t="n">
        <x:f>IF(4&lt;5,INDEX(Cat_BFUnits,6,5)*INDEX(tun_EraBase,5)*tun_EraLag^(5-4),0)</x:f>
        <x:v>5266.799999999999</x:v>
      </x:c>
      <x:c r="T10" s="10" t="n">
        <x:f>IF(5&lt;5,INDEX(Cat_BFUnits,6,6)*INDEX(tun_EraBase,6)*tun_EraLag^(5-5),0)</x:f>
        <x:v>0</x:v>
      </x:c>
      <x:c r="U10" s="10" t="n">
        <x:f>IF(6&lt;5,INDEX(Cat_BFUnits,6,7)*INDEX(tun_EraBase,7)*tun_EraLag^(5-6),0)</x:f>
        <x:v>0</x:v>
      </x:c>
      <x:c r="V10" s="10" t="n">
        <x:f>IF(7&lt;5,INDEX(Cat_BFUnits,6,8)*INDEX(tun_EraBase,8)*tun_EraLag^(5-7),0)</x:f>
        <x:v>0</x:v>
      </x:c>
      <x:c r="W10" s="10" t="n">
        <x:f>IF(8&lt;5,INDEX(Cat_BFUnits,6,9)*INDEX(tun_EraBase,9)*tun_EraLag^(5-8),0)</x:f>
        <x:v>0</x:v>
      </x:c>
      <x:c r="X10" s="10" t="n">
        <x:f>IF(9&lt;5,INDEX(Cat_BFUnits,6,10)*INDEX(tun_EraBase,10)*tun_EraLag^(5-9),0)</x:f>
        <x:v>0</x:v>
      </x:c>
    </x:row>
    <x:row r="11">
      <x:c r="A11" t="inlineStr">
        <x:is>
          <x:t xml:space="preserve">E6 Discovery</x:t>
        </x:is>
      </x:c>
      <x:c r="B11" s="9" t="n">
        <x:f>tun_PaceCost*INDEX(tun_CostMod,7)*tun_DiffusionMult*Arch_Diffusion</x:f>
        <x:v>1</x:v>
      </x:c>
      <x:c r="C11" s="9" t="n">
        <x:f>INDEX(Cat_CritUnits,7)+MAX(0,INDEX(tun_BreadthN,7)-INDEX(Cat_CritN,7))*INDEX(Cat_FreeTM,7)</x:f>
        <x:v>16.5292</x:v>
      </x:c>
      <x:c r="D11" s="32" t="n">
        <x:f>B11*INDEX(tun_EraBase,7)*C11/INDEX(tun_BreadthN,7)</x:f>
        <x:v>23022.814285714285</x:v>
      </x:c>
      <x:c r="E11" s="10" t="n">
        <x:f>B11*INDEX(tun_EraBase,7)*tun_KeystoneMult</x:f>
        <x:v>48750</x:v>
      </x:c>
      <x:c r="F11" s="10" t="n">
        <x:f>E11*(tun_SlotPrimary+tun_SlotSecondary+tun_SlotTertiary)/tun_SlotPrimary</x:f>
        <x:v>85312.5</x:v>
      </x:c>
      <x:c r="G11" s="10" t="n">
        <x:f>(1-tun_BackfillOverlap)*B11*SUM(O11:X11)</x:f>
        <x:v>27329.800244599995</x:v>
      </x:c>
      <x:c r="H11" s="10" t="n">
        <x:f>B11*INDEX(tun_EraBase,7)*C11+F11+G11</x:f>
        <x:v>434961.70024459995</x:v>
      </x:c>
      <x:c r="I11" s="8" t="n">
        <x:f>MAX(1,INT(INDEX(tun_Territory,7)*Arch_Territory/((3*INDEX(tun_ClaimRadius,7)*(INDEX(tun_ClaimRadius,7)+1)+1)*tun_SettlementPacking)))</x:f>
        <x:v>29</x:v>
      </x:c>
      <x:c r="J11" s="10" t="n">
        <x:f>MIN(INDEX(tun_FoodCap,7)*Arch_FoodCap*EXP(tun_CapsByProject*SUMPRODUCT((Cap_Point&lt;=6)*(Cap_Kind="Food")*Cap_Ln)),INDEX(tun_HousingCap,7)*EXP(tun_CapsByProject*SUMPRODUCT((Cap_Point&lt;=6)*(Cap_Kind="Housing")*Cap_Ln)),INDEX(tun_GroupCap,7)*tun_CohesionFactor*EXP(tun_CapsByProject*SUMPRODUCT((Cap_Point&lt;=6)*(Cap_Kind="Group")*Cap_Ln)))</x:f>
        <x:v>610.0101168966467</x:v>
      </x:c>
      <x:c r="K11" s="29" t="n">
        <x:f>(1+tun_EraBoonPct*tun_EraBoonTake)^6</x:f>
        <x:v>1.15969341821289</x:v>
      </x:c>
      <x:c r="L11" s="7" t="n">
        <x:f>(F11-E11)/D11</x:f>
        <x:v>1.5880986375626165</x:v>
      </x:c>
      <x:c r="M11" s="7" t="n">
        <x:f>INDEX(Cat_BackfillN,7)*(1-tun_BackfillOverlap)</x:f>
        <x:v>20.299999999999997</x:v>
      </x:c>
      <x:c r="N11" s="7" t="n">
        <x:f>INDEX(tun_BreadthN,7)+L11</x:f>
        <x:v>15.588098637562616</x:v>
      </x:c>
      <x:c r="O11" s="10" t="n">
        <x:f>IF(0&lt;6,INDEX(Cat_BFUnits,7,1)*INDEX(tun_EraBase,1)*tun_EraLag^(6-0),0)</x:f>
        <x:v>2.588277999999999</x:v>
      </x:c>
      <x:c r="P11" s="10" t="n">
        <x:f>IF(1&lt;6,INDEX(Cat_BFUnits,7,2)*INDEX(tun_EraBase,2)*tun_EraLag^(6-1),0)</x:f>
        <x:v>8.403499999999998</x:v>
      </x:c>
      <x:c r="Q11" s="10" t="n">
        <x:f>IF(2&lt;6,INDEX(Cat_BFUnits,7,3)*INDEX(tun_EraBase,3)*tun_EraLag^(6-2),0)</x:f>
        <x:v>48.01999999999999</x:v>
      </x:c>
      <x:c r="R11" s="10" t="n">
        <x:f>IF(3&lt;6,INDEX(Cat_BFUnits,7,4)*INDEX(tun_EraBase,4)*tun_EraLag^(6-3),0)</x:f>
        <x:v>329.2799999999999</x:v>
      </x:c>
      <x:c r="S11" s="10" t="n">
        <x:f>IF(4&lt;6,INDEX(Cat_BFUnits,7,5)*INDEX(tun_EraBase,5)*tun_EraLag^(6-4),0)</x:f>
        <x:v>2166.7799999999997</x:v>
      </x:c>
      <x:c r="T11" s="10" t="n">
        <x:f>IF(5&lt;6,INDEX(Cat_BFUnits,7,6)*INDEX(tun_EraBase,6)*tun_EraLag^(6-5),0)</x:f>
        <x:v>36487.5</x:v>
      </x:c>
      <x:c r="U11" s="10" t="n">
        <x:f>IF(6&lt;6,INDEX(Cat_BFUnits,7,7)*INDEX(tun_EraBase,7)*tun_EraLag^(6-6),0)</x:f>
        <x:v>0</x:v>
      </x:c>
      <x:c r="V11" s="10" t="n">
        <x:f>IF(7&lt;6,INDEX(Cat_BFUnits,7,8)*INDEX(tun_EraBase,8)*tun_EraLag^(6-7),0)</x:f>
        <x:v>0</x:v>
      </x:c>
      <x:c r="W11" s="10" t="n">
        <x:f>IF(8&lt;6,INDEX(Cat_BFUnits,7,9)*INDEX(tun_EraBase,9)*tun_EraLag^(6-8),0)</x:f>
        <x:v>0</x:v>
      </x:c>
      <x:c r="X11" s="10" t="n">
        <x:f>IF(9&lt;6,INDEX(Cat_BFUnits,7,10)*INDEX(tun_EraBase,10)*tun_EraLag^(6-9),0)</x:f>
        <x:v>0</x:v>
      </x:c>
    </x:row>
    <x:row r="12">
      <x:c r="A12" t="inlineStr">
        <x:is>
          <x:t xml:space="preserve">E7 Industry</x:t>
        </x:is>
      </x:c>
      <x:c r="B12" s="9" t="n">
        <x:f>tun_PaceCost*INDEX(tun_CostMod,8)*tun_DiffusionMult*Arch_Diffusion</x:f>
        <x:v>0.9</x:v>
      </x:c>
      <x:c r="C12" s="9" t="n">
        <x:f>INDEX(Cat_CritUnits,8)+MAX(0,INDEX(tun_BreadthN,8)-INDEX(Cat_CritN,8))*INDEX(Cat_FreeTM,8)</x:f>
        <x:v>14.7696</x:v>
      </x:c>
      <x:c r="D12" s="32" t="n">
        <x:f>B12*INDEX(tun_EraBase,8)*C12/INDEX(tun_BreadthN,8)</x:f>
        <x:v>166158</x:v>
      </x:c>
      <x:c r="E12" s="10" t="n">
        <x:f>B12*INDEX(tun_EraBase,8)*tun_KeystoneMult</x:f>
        <x:v>393750</x:v>
      </x:c>
      <x:c r="F12" s="10" t="n">
        <x:f>E12*(tun_SlotPrimary+tun_SlotSecondary+tun_SlotTertiary)/tun_SlotPrimary</x:f>
        <x:v>689062.5</x:v>
      </x:c>
      <x:c r="G12" s="10" t="n">
        <x:f>(1-tun_BackfillOverlap)*B12*SUM(O12:X12)</x:f>
        <x:v>126864.6800715</x:v>
      </x:c>
      <x:c r="H12" s="10" t="n">
        <x:f>B12*INDEX(tun_EraBase,8)*C12+F12+G12</x:f>
        <x:v>3142139.1800715</x:v>
      </x:c>
      <x:c r="I12" s="8" t="n">
        <x:f>MAX(1,INT(INDEX(tun_Territory,8)*Arch_Territory/((3*INDEX(tun_ClaimRadius,8)*(INDEX(tun_ClaimRadius,8)+1)+1)*tun_SettlementPacking)))</x:f>
        <x:v>15</x:v>
      </x:c>
      <x:c r="J12" s="10" t="n">
        <x:f>MIN(INDEX(tun_FoodCap,8)*Arch_FoodCap*EXP(tun_CapsByProject*SUMPRODUCT((Cap_Point&lt;=7)*(Cap_Kind="Food")*Cap_Ln)),INDEX(tun_HousingCap,8)*EXP(tun_CapsByProject*SUMPRODUCT((Cap_Point&lt;=7)*(Cap_Kind="Housing")*Cap_Ln)),INDEX(tun_GroupCap,8)*tun_CohesionFactor*EXP(tun_CapsByProject*SUMPRODUCT((Cap_Point&lt;=7)*(Cap_Kind="Group")*Cap_Ln)))</x:f>
        <x:v>1030.8296491509448</x:v>
      </x:c>
      <x:c r="K12" s="29" t="n">
        <x:f>(1+tun_EraBoonPct*tun_EraBoonTake)^7</x:f>
        <x:v>1.1886857536682123</x:v>
      </x:c>
      <x:c r="L12" s="7" t="n">
        <x:f>(F12-E12)/D12</x:f>
        <x:v>1.7772993175170622</x:v>
      </x:c>
      <x:c r="M12" s="7" t="n">
        <x:f>INDEX(Cat_BackfillN,8)*(1-tun_BackfillOverlap)</x:f>
        <x:v>18.9</x:v>
      </x:c>
      <x:c r="N12" s="7" t="n">
        <x:f>INDEX(tun_BreadthN,8)+L12</x:f>
        <x:v>15.777299317517063</x:v>
      </x:c>
      <x:c r="O12" s="10" t="n">
        <x:f>IF(0&lt;7,INDEX(Cat_BFUnits,8,1)*INDEX(tun_EraBase,1)*tun_EraLag^(7-0),0)</x:f>
        <x:v>0</x:v>
      </x:c>
      <x:c r="P12" s="10" t="n">
        <x:f>IF(1&lt;7,INDEX(Cat_BFUnits,8,2)*INDEX(tun_EraBase,2)*tun_EraLag^(7-1),0)</x:f>
        <x:v>5.882449999999998</x:v>
      </x:c>
      <x:c r="Q12" s="10" t="n">
        <x:f>IF(2&lt;7,INDEX(Cat_BFUnits,8,3)*INDEX(tun_EraBase,3)*tun_EraLag^(7-2),0)</x:f>
        <x:v>13.445599999999995</x:v>
      </x:c>
      <x:c r="R12" s="10" t="n">
        <x:f>IF(3&lt;7,INDEX(Cat_BFUnits,8,4)*INDEX(tun_EraBase,4)*tun_EraLag^(7-3),0)</x:f>
        <x:v>76.83199999999998</x:v>
      </x:c>
      <x:c r="S12" s="10" t="n">
        <x:f>IF(4&lt;7,INDEX(Cat_BFUnits,8,5)*INDEX(tun_EraBase,5)*tun_EraLag^(7-4),0)</x:f>
        <x:v>1041.3479999999995</x:v>
      </x:c>
      <x:c r="T12" s="10" t="n">
        <x:f>IF(5&lt;7,INDEX(Cat_BFUnits,8,6)*INDEX(tun_EraBase,6)*tun_EraLag^(7-5),0)</x:f>
        <x:v>13229.999999999998</x:v>
      </x:c>
      <x:c r="U12" s="10" t="n">
        <x:f>IF(6&lt;7,INDEX(Cat_BFUnits,8,7)*INDEX(tun_EraBase,7)*tun_EraLag^(7-6),0)</x:f>
        <x:v>187005</x:v>
      </x:c>
      <x:c r="V12" s="10" t="n">
        <x:f>IF(7&lt;7,INDEX(Cat_BFUnits,8,8)*INDEX(tun_EraBase,8)*tun_EraLag^(7-7),0)</x:f>
        <x:v>0</x:v>
      </x:c>
      <x:c r="W12" s="10" t="n">
        <x:f>IF(8&lt;7,INDEX(Cat_BFUnits,8,9)*INDEX(tun_EraBase,9)*tun_EraLag^(7-8),0)</x:f>
        <x:v>0</x:v>
      </x:c>
      <x:c r="X12" s="10" t="n">
        <x:f>IF(9&lt;7,INDEX(Cat_BFUnits,8,10)*INDEX(tun_EraBase,10)*tun_EraLag^(7-9),0)</x:f>
        <x:v>0</x:v>
      </x:c>
    </x:row>
    <x:row r="13">
      <x:c r="A13" t="inlineStr">
        <x:is>
          <x:t xml:space="preserve">E8 Modern</x:t>
        </x:is>
      </x:c>
      <x:c r="B13" s="9" t="n">
        <x:f>tun_PaceCost*INDEX(tun_CostMod,9)*tun_DiffusionMult*Arch_Diffusion</x:f>
        <x:v>0.9</x:v>
      </x:c>
      <x:c r="C13" s="9" t="n">
        <x:f>INDEX(Cat_CritUnits,9)+MAX(0,INDEX(tun_BreadthN,9)-INDEX(Cat_CritN,9))*INDEX(Cat_FreeTM,9)</x:f>
        <x:v>20.6088</x:v>
      </x:c>
      <x:c r="D13" s="32" t="n">
        <x:f>B13*INDEX(tun_EraBase,9)*C13/INDEX(tun_BreadthN,9)</x:f>
        <x:v>1081962</x:v>
      </x:c>
      <x:c r="E13" s="10" t="n">
        <x:f>B13*INDEX(tun_EraBase,9)*tun_KeystoneMult</x:f>
        <x:v>2362500</x:v>
      </x:c>
      <x:c r="F13" s="10" t="n">
        <x:f>E13*(tun_SlotPrimary+tun_SlotSecondary+tun_SlotTertiary)/tun_SlotPrimary</x:f>
        <x:v>4134375</x:v>
      </x:c>
      <x:c r="G13" s="10" t="n">
        <x:f>(1-tun_BackfillOverlap)*B13*SUM(O13:X13)</x:f>
        <x:v>887840.0456805936</x:v>
      </x:c>
      <x:c r="H13" s="10" t="n">
        <x:f>B13*INDEX(tun_EraBase,9)*C13+F13+G13</x:f>
        <x:v>24497531.045680594</x:v>
      </x:c>
      <x:c r="I13" s="8" t="n">
        <x:f>MAX(1,INT(INDEX(tun_Territory,9)*Arch_Territory/((3*INDEX(tun_ClaimRadius,9)*(INDEX(tun_ClaimRadius,9)+1)+1)*tun_SettlementPacking)))</x:f>
        <x:v>9</x:v>
      </x:c>
      <x:c r="J13" s="10" t="n">
        <x:f>MIN(INDEX(tun_FoodCap,9)*Arch_FoodCap*EXP(tun_CapsByProject*SUMPRODUCT((Cap_Point&lt;=8)*(Cap_Kind="Food")*Cap_Ln)),INDEX(tun_HousingCap,9)*EXP(tun_CapsByProject*SUMPRODUCT((Cap_Point&lt;=8)*(Cap_Kind="Housing")*Cap_Ln)),INDEX(tun_GroupCap,9)*tun_CohesionFactor*EXP(tun_CapsByProject*SUMPRODUCT((Cap_Point&lt;=8)*(Cap_Kind="Group")*Cap_Ln)))</x:f>
        <x:v>4514.300360064293</x:v>
      </x:c>
      <x:c r="K13" s="29" t="n">
        <x:f>(1+tun_EraBoonPct*tun_EraBoonTake)^8</x:f>
        <x:v>1.2184028975099173</x:v>
      </x:c>
      <x:c r="L13" s="7" t="n">
        <x:f>(F13-E13)/D13</x:f>
        <x:v>1.6376499359496914</x:v>
      </x:c>
      <x:c r="M13" s="7" t="n">
        <x:f>INDEX(Cat_BackfillN,9)*(1-tun_BackfillOverlap)</x:f>
        <x:v>14.7</x:v>
      </x:c>
      <x:c r="N13" s="7" t="n">
        <x:f>INDEX(tun_BreadthN,9)+L13</x:f>
        <x:v>19.637649935949693</x:v>
      </x:c>
      <x:c r="O13" s="10" t="n">
        <x:f>IF(0&lt;8,INDEX(Cat_BFUnits,9,1)*INDEX(tun_EraBase,1)*tun_EraLag^(8-0),0)</x:f>
        <x:v>1.2682562199999994</x:v>
      </x:c>
      <x:c r="P13" s="10" t="n">
        <x:f>IF(1&lt;8,INDEX(Cat_BFUnits,9,2)*INDEX(tun_EraBase,2)*tun_EraLag^(8-1),0)</x:f>
        <x:v>6.176572499999997</x:v>
      </x:c>
      <x:c r="Q13" s="10" t="n">
        <x:f>IF(2&lt;8,INDEX(Cat_BFUnits,9,3)*INDEX(tun_EraBase,3)*tun_EraLag^(8-2),0)</x:f>
        <x:v>17.647349999999996</x:v>
      </x:c>
      <x:c r="R13" s="10" t="n">
        <x:f>IF(3&lt;8,INDEX(Cat_BFUnits,9,4)*INDEX(tun_EraBase,4)*tun_EraLag^(8-3),0)</x:f>
        <x:v>80.67359999999996</x:v>
      </x:c>
      <x:c r="S13" s="10" t="n">
        <x:f>IF(4&lt;8,INDEX(Cat_BFUnits,9,5)*INDEX(tun_EraBase,5)*tun_EraLag^(8-4),0)</x:f>
        <x:v>475.3979999999999</x:v>
      </x:c>
      <x:c r="T13" s="10" t="n">
        <x:f>IF(5&lt;8,INDEX(Cat_BFUnits,9,6)*INDEX(tun_EraBase,6)*tun_EraLag^(8-5),0)</x:f>
        <x:v>3858.749999999999</x:v>
      </x:c>
      <x:c r="U13" s="10" t="n">
        <x:f>IF(6&lt;8,INDEX(Cat_BFUnits,9,7)*INDEX(tun_EraBase,7)*tun_EraLag^(8-6),0)</x:f>
        <x:v>57329.99999999999</x:v>
      </x:c>
      <x:c r="V13" s="10" t="n">
        <x:f>IF(7&lt;8,INDEX(Cat_BFUnits,9,8)*INDEX(tun_EraBase,8)*tun_EraLag^(8-7),0)</x:f>
        <x:v>1347500</x:v>
      </x:c>
      <x:c r="W13" s="10" t="n">
        <x:f>IF(8&lt;8,INDEX(Cat_BFUnits,9,9)*INDEX(tun_EraBase,9)*tun_EraLag^(8-8),0)</x:f>
        <x:v>0</x:v>
      </x:c>
      <x:c r="X13" s="10" t="n">
        <x:f>IF(9&lt;8,INDEX(Cat_BFUnits,9,10)*INDEX(tun_EraBase,10)*tun_EraLag^(8-9),0)</x:f>
        <x:v>0</x:v>
      </x:c>
    </x:row>
    <x:row r="14">
      <x:c r="A14" t="inlineStr">
        <x:is>
          <x:t xml:space="preserve">E9 Information</x:t>
        </x:is>
      </x:c>
      <x:c r="B14" s="9" t="n">
        <x:f>tun_PaceCost*INDEX(tun_CostMod,10)*tun_DiffusionMult*Arch_Diffusion</x:f>
        <x:v>0.9</x:v>
      </x:c>
      <x:c r="C14" s="9" t="n">
        <x:f>INDEX(Cat_CritUnits,10)+MAX(0,INDEX(tun_BreadthN,10)-INDEX(Cat_CritN,10))*INDEX(Cat_FreeTM,10)</x:f>
        <x:v>19.5324</x:v>
      </x:c>
      <x:c r="D14" s="32" t="n">
        <x:f>B14*INDEX(tun_EraBase,10)*C14/INDEX(tun_BreadthN,10)</x:f>
        <x:v>5687375.294117647</x:v>
      </x:c>
      <x:c r="E14" s="10" t="n">
        <x:f>B14*INDEX(tun_EraBase,10)*tun_KeystoneMult</x:f>
        <x:v>12375000</x:v>
      </x:c>
      <x:c r="F14" s="10" t="n">
        <x:f>E14*(tun_SlotPrimary+tun_SlotSecondary+tun_SlotTertiary)/tun_SlotPrimary</x:f>
        <x:v>21656250</x:v>
      </x:c>
      <x:c r="G14" s="10" t="n">
        <x:f>(1-tun_BackfillOverlap)*B14*SUM(O14:X14)</x:f>
        <x:v>7064891.7009085985</x:v>
      </x:c>
      <x:c r="H14" s="10" t="n">
        <x:f>B14*INDEX(tun_EraBase,10)*C14+F14+G14</x:f>
        <x:v>125406521.7009086</x:v>
      </x:c>
      <x:c r="I14" s="8" t="n">
        <x:f>MAX(1,INT(INDEX(tun_Territory,10)*Arch_Territory/((3*INDEX(tun_ClaimRadius,10)*(INDEX(tun_ClaimRadius,10)+1)+1)*tun_SettlementPacking)))</x:f>
        <x:v>9</x:v>
      </x:c>
      <x:c r="J14" s="10" t="n">
        <x:f>MIN(INDEX(tun_FoodCap,10)*Arch_FoodCap*EXP(tun_CapsByProject*SUMPRODUCT((Cap_Point&lt;=9)*(Cap_Kind="Food")*Cap_Ln)),INDEX(tun_HousingCap,10)*EXP(tun_CapsByProject*SUMPRODUCT((Cap_Point&lt;=9)*(Cap_Kind="Housing")*Cap_Ln)),INDEX(tun_GroupCap,10)*tun_CohesionFactor*EXP(tun_CapsByProject*SUMPRODUCT((Cap_Point&lt;=9)*(Cap_Kind="Group")*Cap_Ln)))</x:f>
        <x:v>12514.86067705494</x:v>
      </x:c>
      <x:c r="K14" s="29" t="n">
        <x:f>(1+tun_EraBoonPct*tun_EraBoonTake)^9</x:f>
        <x:v>1.2488629699476652</x:v>
      </x:c>
      <x:c r="L14" s="7" t="n">
        <x:f>(F14-E14)/D14</x:f>
        <x:v>1.6319039134975732</x:v>
      </x:c>
      <x:c r="M14" s="7" t="n">
        <x:f>INDEX(Cat_BackfillN,10)*(1-tun_BackfillOverlap)</x:f>
        <x:v>36.4</x:v>
      </x:c>
      <x:c r="N14" s="7" t="n">
        <x:f>INDEX(tun_BreadthN,10)+L14</x:f>
        <x:v>18.631903913497574</x:v>
      </x:c>
      <x:c r="O14" s="10" t="n">
        <x:f>IF(0&lt;9,INDEX(Cat_BFUnits,10,1)*INDEX(tun_EraBase,1)*tun_EraLag^(9-0),0)</x:f>
        <x:v>1.3316690309999992</x:v>
      </x:c>
      <x:c r="P14" s="10" t="n">
        <x:f>IF(1&lt;9,INDEX(Cat_BFUnits,10,2)*INDEX(tun_EraBase,2)*tun_EraLag^(9-1),0)</x:f>
        <x:v>11.529601999999993</x:v>
      </x:c>
      <x:c r="Q14" s="10" t="n">
        <x:f>IF(2&lt;9,INDEX(Cat_BFUnits,10,3)*INDEX(tun_EraBase,3)*tun_EraLag^(9-2),0)</x:f>
        <x:v>53.530294999999974</x:v>
      </x:c>
      <x:c r="R14" s="10" t="n">
        <x:f>IF(3&lt;9,INDEX(Cat_BFUnits,10,4)*INDEX(tun_EraBase,4)*tun_EraLag^(9-3),0)</x:f>
        <x:v>122.35495999999996</x:v>
      </x:c>
      <x:c r="S14" s="10" t="n">
        <x:f>IF(4&lt;9,INDEX(Cat_BFUnits,10,5)*INDEX(tun_EraBase,5)*tun_EraLag^(9-4),0)</x:f>
        <x:v>410.42693999999983</x:v>
      </x:c>
      <x:c r="T14" s="10" t="n">
        <x:f>IF(5&lt;9,INDEX(Cat_BFUnits,10,6)*INDEX(tun_EraBase,6)*tun_EraLag^(9-5),0)</x:f>
        <x:v>4051.687499999999</x:v>
      </x:c>
      <x:c r="U14" s="10" t="n">
        <x:f>IF(6&lt;9,INDEX(Cat_BFUnits,10,7)*INDEX(tun_EraBase,7)*tun_EraLag^(9-6),0)</x:f>
        <x:v>44812.94999999999</x:v>
      </x:c>
      <x:c r="V14" s="10" t="n">
        <x:f>IF(7&lt;9,INDEX(Cat_BFUnits,10,8)*INDEX(tun_EraBase,8)*tun_EraLag^(9-7),0)</x:f>
        <x:v>874649.9999999998</x:v>
      </x:c>
      <x:c r="W14" s="10" t="n">
        <x:f>IF(8&lt;9,INDEX(Cat_BFUnits,10,9)*INDEX(tun_EraBase,9)*tun_EraLag^(9-8),0)</x:f>
        <x:v>10290000</x:v>
      </x:c>
      <x:c r="X14" s="10" t="n">
        <x:f>IF(9&lt;9,INDEX(Cat_BFUnits,10,10)*INDEX(tun_EraBase,10)*tun_EraLag^(9-9),0)</x:f>
        <x:v>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xSplit="2" ySplit="2" topLeftCell="C3" activePane="bottomRight" state="frozen"/>
    </x:sheetView>
  </x:sheetViews>
  <x:sheetFormatPr baseColWidth="8" defaultRowHeight="15"/>
  <x:cols>
    <x:col min="1" max="1" width="11" customWidth="1"/>
    <x:col min="2" max="2" width="11" customWidth="1"/>
    <x:col min="3" max="3" width="11" customWidth="1"/>
    <x:col min="4" max="4" width="11" customWidth="1"/>
    <x:col min="5" max="5" width="11" customWidth="1"/>
    <x:col min="6" max="6" width="11" customWidth="1"/>
    <x:col min="7" max="7" width="11" customWidth="1"/>
    <x:col min="8" max="8" width="11" customWidth="1"/>
    <x:col min="9" max="9" width="11" customWidth="1"/>
    <x:col min="10" max="10" width="11" customWidth="1"/>
    <x:col min="11" max="11" width="11" customWidth="1"/>
    <x:col min="12" max="12" width="11" customWidth="1"/>
    <x:col min="13" max="13" width="11" customWidth="1"/>
    <x:col min="14" max="14" width="11" customWidth="1"/>
    <x:col min="15" max="15" width="11" customWidth="1"/>
    <x:col min="16" max="16" width="11" customWidth="1"/>
    <x:col min="17" max="17" width="11" customWidth="1"/>
    <x:col min="18" max="18" width="11" customWidth="1"/>
    <x:col min="19" max="19" width="11" customWidth="1"/>
    <x:col min="20" max="20" width="11" customWidth="1"/>
    <x:col min="21" max="21" width="11" customWidth="1"/>
    <x:col min="22" max="22" width="11" customWidth="1"/>
    <x:col min="23" max="23" width="11" customWidth="1"/>
    <x:col min="24" max="24" width="11" customWidth="1"/>
    <x:col min="25" max="25" width="11" customWidth="1"/>
    <x:col min="26" max="26" width="11" customWidth="1"/>
    <x:col min="27" max="27" width="11" customWidth="1"/>
    <x:col min="28" max="28" width="11" customWidth="1"/>
    <x:col min="29" max="29" width="11" customWidth="1"/>
    <x:col min="30" max="30" width="11" customWidth="1"/>
    <x:col min="31" max="31" width="11" customWidth="1"/>
    <x:col min="32" max="32" width="11" customWidth="1"/>
    <x:col min="33" max="33" width="11" customWidth="1"/>
    <x:col min="34" max="34" width="11" customWidth="1"/>
    <x:col min="35" max="35" width="11" customWidth="1"/>
    <x:col min="36" max="36" width="11" customWidth="1"/>
    <x:col min="37" max="37" width="11" customWidth="1"/>
    <x:col min="38" max="38" width="11" customWidth="1"/>
    <x:col min="39" max="39" width="11" customWidth="1"/>
    <x:col min="40" max="40" width="11" customWidth="1"/>
    <x:col min="41" max="41" width="11" customWidth="1"/>
    <x:col min="42" max="42" width="11" customWidth="1"/>
    <x:col min="43" max="43" width="11" customWidth="1"/>
    <x:col min="44" max="44" width="11" customWidth="1"/>
    <x:col min="45" max="45" width="11" customWidth="1"/>
    <x:col min="46" max="46" width="11" customWidth="1"/>
    <x:col min="47" max="47" width="11" customWidth="1"/>
    <x:col min="48" max="48" width="11" customWidth="1"/>
  </x:cols>
  <x:sheetData>
    <x:row r="1" ht="45" customHeight="1">
      <x:c r="A1" s="6" t="inlineStr">
        <x:is>
          <x:t xml:space="preserve">Season</x:t>
        </x:is>
      </x:c>
      <x:c r="B1" s="6" t="inlineStr">
        <x:is>
          <x:t xml:space="preserve">Minute (end of season)</x:t>
        </x:is>
      </x:c>
      <x:c r="C1" s="6" t="inlineStr">
        <x:is>
          <x:t xml:space="preserve">Year</x:t>
        </x:is>
      </x:c>
      <x:c r="D1" s="6" t="inlineStr">
        <x:is>
          <x:t xml:space="preserve">Winter</x:t>
        </x:is>
      </x:c>
      <x:c r="E1" s="6" t="inlineStr">
        <x:is>
          <x:t xml:space="preserve">Era advance</x:t>
        </x:is>
      </x:c>
      <x:c r="F1" s="6" t="inlineStr">
        <x:is>
          <x:t xml:space="preserve">Era (10 = Apex done)</x:t>
        </x:is>
      </x:c>
      <x:c r="G1" s="6" t="inlineStr">
        <x:is>
          <x:t xml:space="preserve">Era row</x:t>
        </x:is>
      </x:c>
      <x:c r="H1" s="6" t="inlineStr">
        <x:is>
          <x:t xml:space="preserve">Active</x:t>
        </x:is>
      </x:c>
      <x:c r="I1" s="6" t="inlineStr">
        <x:is>
          <x:t xml:space="preserve">Research position (era + share done)</x:t>
        </x:is>
      </x:c>
      <x:c r="J1" s="6" t="inlineStr">
        <x:is>
          <x:t xml:space="preserve">Food cap / settlement</x:t>
        </x:is>
      </x:c>
      <x:c r="K1" s="6" t="inlineStr">
        <x:is>
          <x:t xml:space="preserve">Late-winter food cap</x:t>
        </x:is>
      </x:c>
      <x:c r="L1" s="6" t="inlineStr">
        <x:is>
          <x:t xml:space="preserve">Housing cap / settlement</x:t>
        </x:is>
      </x:c>
      <x:c r="M1" s="6" t="inlineStr">
        <x:is>
          <x:t xml:space="preserve">Group cap × CF</x:t>
        </x:is>
      </x:c>
      <x:c r="N1" s="6" t="inlineStr">
        <x:is>
          <x:t xml:space="preserve">Settlement cap = MIN(food, housing, group)</x:t>
        </x:is>
      </x:c>
      <x:c r="O1" s="6" t="inlineStr">
        <x:is>
          <x:t xml:space="preserve">Pop cap (settlements × cap)</x:t>
        </x:is>
      </x:c>
      <x:c r="P1" s="6" t="inlineStr">
        <x:is>
          <x:t xml:space="preserve">Crowding</x:t>
        </x:is>
      </x:c>
      <x:c r="Q1" s="6" t="inlineStr">
        <x:is>
          <x:t xml:space="preserve">Season hazard ×</x:t>
        </x:is>
      </x:c>
      <x:c r="R1" s="6" t="inlineStr">
        <x:is>
          <x:t xml:space="preserve">Births</x:t>
        </x:is>
      </x:c>
      <x:c r="S1" s="6" t="inlineStr">
        <x:is>
          <x:t xml:space="preserve">Deaths: children</x:t>
        </x:is>
      </x:c>
      <x:c r="T1" s="6" t="inlineStr">
        <x:is>
          <x:t xml:space="preserve">Deaths: adults</x:t>
        </x:is>
      </x:c>
      <x:c r="U1" s="6" t="inlineStr">
        <x:is>
          <x:t xml:space="preserve">Deaths: elders</x:t>
        </x:is>
      </x:c>
      <x:c r="V1" s="6" t="inlineStr">
        <x:is>
          <x:t xml:space="preserve">Over-cap loss</x:t>
        </x:is>
      </x:c>
      <x:c r="W1" s="6" t="inlineStr">
        <x:is>
          <x:t xml:space="preserve">Child → adult</x:t>
        </x:is>
      </x:c>
      <x:c r="X1" s="6" t="inlineStr">
        <x:is>
          <x:t xml:space="preserve">Adult → elder</x:t>
        </x:is>
      </x:c>
      <x:c r="Y1" s="6" t="inlineStr">
        <x:is>
          <x:t xml:space="preserve">Children 0–13</x:t>
        </x:is>
      </x:c>
      <x:c r="Z1" s="6" t="inlineStr">
        <x:is>
          <x:t xml:space="preserve">Adults 14–44</x:t>
        </x:is>
      </x:c>
      <x:c r="AA1" s="6" t="inlineStr">
        <x:is>
          <x:t xml:space="preserve">Elders 45+</x:t>
        </x:is>
      </x:c>
      <x:c r="AB1" s="6" t="inlineStr">
        <x:is>
          <x:t xml:space="preserve">Population</x:t>
        </x:is>
      </x:c>
      <x:c r="AC1" s="6" t="inlineStr">
        <x:is>
          <x:t xml:space="preserve">Late-winter food pressure</x:t>
        </x:is>
      </x:c>
      <x:c r="AD1" s="6" t="inlineStr">
        <x:is>
          <x:t xml:space="preserve">Fission requests</x:t>
        </x:is>
      </x:c>
      <x:c r="AE1" s="6" t="inlineStr">
        <x:is>
          <x:t xml:space="preserve">Settlements</x:t>
        </x:is>
      </x:c>
      <x:c r="AF1" s="6" t="inlineStr">
        <x:is>
          <x:t xml:space="preserve">New settlements</x:t>
        </x:is>
      </x:c>
      <x:c r="AG1" s="6" t="inlineStr">
        <x:is>
          <x:t xml:space="preserve">Fission minute</x:t>
        </x:is>
      </x:c>
      <x:c r="AH1" s="6" t="inlineStr">
        <x:is>
          <x:t xml:space="preserve">Insight ties ×</x:t>
        </x:is>
      </x:c>
      <x:c r="AI1" s="6" t="inlineStr">
        <x:is>
          <x:t xml:space="preserve">Insight-adults (elders ×2)</x:t>
        </x:is>
      </x:c>
      <x:c r="AJ1" s="6" t="inlineStr">
        <x:is>
          <x:t xml:space="preserve">Commons</x:t>
        </x:is>
      </x:c>
      <x:c r="AK1" s="6" t="inlineStr">
        <x:is>
          <x:t xml:space="preserve">Roles</x:t>
        </x:is>
      </x:c>
      <x:c r="AL1" s="6" t="inlineStr">
        <x:is>
          <x:t xml:space="preserve">Structures</x:t>
        </x:is>
      </x:c>
      <x:c r="AM1" s="6" t="inlineStr">
        <x:is>
          <x:t xml:space="preserve">Insight this season</x:t>
        </x:is>
      </x:c>
      <x:c r="AN1" s="6" t="inlineStr">
        <x:is>
          <x:t xml:space="preserve">Know-how generated</x:t>
        </x:is>
      </x:c>
      <x:c r="AO1" s="6" t="inlineStr">
        <x:is>
          <x:t xml:space="preserve">Know-how applied</x:t>
        </x:is>
      </x:c>
      <x:c r="AP1" s="6" t="inlineStr">
        <x:is>
          <x:t xml:space="preserve">Know-how pool</x:t>
        </x:is>
      </x:c>
      <x:c r="AQ1" s="6" t="inlineStr">
        <x:is>
          <x:t xml:space="preserve">Research progress</x:t>
        </x:is>
      </x:c>
      <x:c r="AR1" s="6" t="inlineStr">
        <x:is>
          <x:t xml:space="preserve">Era requirement</x:t>
        </x:is>
      </x:c>
      <x:c r="AS1" s="6" t="inlineStr">
        <x:is>
          <x:t xml:space="preserve">Era progress</x:t>
        </x:is>
      </x:c>
      <x:c r="AT1" s="6" t="inlineStr">
        <x:is>
          <x:t xml:space="preserve">Era progress %</x:t>
        </x:is>
      </x:c>
      <x:c r="AU1" s="6" t="inlineStr">
        <x:is>
          <x:t xml:space="preserve">Rendered figures</x:t>
        </x:is>
      </x:c>
      <x:c r="AV1" s="6" t="inlineStr">
        <x:is>
          <x:t xml:space="preserve">Insight per minute</x:t>
        </x:is>
      </x:c>
    </x:row>
    <x:row r="2">
      <x:c r="A2" s="33" t="inlineStr">
        <x:is>
          <x:t xml:space="preserve">#</x:t>
        </x:is>
      </x:c>
      <x:c r="B2" s="33" t="inlineStr">
        <x:is>
          <x:t xml:space="preserve">min</x:t>
        </x:is>
      </x:c>
      <x:c r="C2" s="33" t="inlineStr">
        <x:is>
          <x:t xml:space="preserve">yr</x:t>
        </x:is>
      </x:c>
      <x:c r="D2" s="33" t="inlineStr">
        <x:is>
          <x:t xml:space="preserve">flag</x:t>
        </x:is>
      </x:c>
      <x:c r="E2" s="33" t="inlineStr">
        <x:is>
          <x:t xml:space="preserve">flag</x:t>
        </x:is>
      </x:c>
      <x:c r="F2" s="33" t="inlineStr">
        <x:is>
          <x:t xml:space="preserve">#</x:t>
        </x:is>
      </x:c>
      <x:c r="G2" s="33" t="inlineStr">
        <x:is>
          <x:t xml:space="preserve">index</x:t>
        </x:is>
      </x:c>
      <x:c r="H2" s="33" t="inlineStr">
        <x:is>
          <x:t xml:space="preserve">flag</x:t>
        </x:is>
      </x:c>
      <x:c r="I2" s="33" t="inlineStr">
        <x:is>
          <x:t xml:space="preserve">era</x:t>
        </x:is>
      </x:c>
      <x:c r="J2" s="33" t="inlineStr">
        <x:is>
          <x:t xml:space="preserve">people</x:t>
        </x:is>
      </x:c>
      <x:c r="K2" s="33" t="inlineStr">
        <x:is>
          <x:t xml:space="preserve">people</x:t>
        </x:is>
      </x:c>
      <x:c r="L2" s="33" t="inlineStr">
        <x:is>
          <x:t xml:space="preserve">people</x:t>
        </x:is>
      </x:c>
      <x:c r="M2" s="33" t="inlineStr">
        <x:is>
          <x:t xml:space="preserve">people</x:t>
        </x:is>
      </x:c>
      <x:c r="N2" s="33" t="inlineStr">
        <x:is>
          <x:t xml:space="preserve">people</x:t>
        </x:is>
      </x:c>
      <x:c r="O2" s="33" t="inlineStr">
        <x:is>
          <x:t xml:space="preserve">people</x:t>
        </x:is>
      </x:c>
      <x:c r="P2" s="33" t="inlineStr">
        <x:is>
          <x:t xml:space="preserve">0–1</x:t>
        </x:is>
      </x:c>
      <x:c r="Q2" s="33" t="inlineStr">
        <x:is>
          <x:t xml:space="preserve">×</x:t>
        </x:is>
      </x:c>
      <x:c r="R2" s="33" t="inlineStr">
        <x:is>
          <x:t xml:space="preserve">people</x:t>
        </x:is>
      </x:c>
      <x:c r="S2" s="33" t="inlineStr">
        <x:is>
          <x:t xml:space="preserve">people</x:t>
        </x:is>
      </x:c>
      <x:c r="T2" s="33" t="inlineStr">
        <x:is>
          <x:t xml:space="preserve">people</x:t>
        </x:is>
      </x:c>
      <x:c r="U2" s="33" t="inlineStr">
        <x:is>
          <x:t xml:space="preserve">people</x:t>
        </x:is>
      </x:c>
      <x:c r="V2" s="33" t="inlineStr">
        <x:is>
          <x:t xml:space="preserve">people</x:t>
        </x:is>
      </x:c>
      <x:c r="W2" s="33" t="inlineStr">
        <x:is>
          <x:t xml:space="preserve">people</x:t>
        </x:is>
      </x:c>
      <x:c r="X2" s="33" t="inlineStr">
        <x:is>
          <x:t xml:space="preserve">people</x:t>
        </x:is>
      </x:c>
      <x:c r="Y2" s="33" t="inlineStr">
        <x:is>
          <x:t xml:space="preserve">people</x:t>
        </x:is>
      </x:c>
      <x:c r="Z2" s="33" t="inlineStr">
        <x:is>
          <x:t xml:space="preserve">people</x:t>
        </x:is>
      </x:c>
      <x:c r="AA2" s="33" t="inlineStr">
        <x:is>
          <x:t xml:space="preserve">people</x:t>
        </x:is>
      </x:c>
      <x:c r="AB2" s="33" t="inlineStr">
        <x:is>
          <x:t xml:space="preserve">people</x:t>
        </x:is>
      </x:c>
      <x:c r="AC2" s="33" t="inlineStr">
        <x:is>
          <x:t xml:space="preserve">flag</x:t>
        </x:is>
      </x:c>
      <x:c r="AD2" s="33" t="inlineStr">
        <x:is>
          <x:t xml:space="preserve">settlements</x:t>
        </x:is>
      </x:c>
      <x:c r="AE2" s="33" t="inlineStr">
        <x:is>
          <x:t xml:space="preserve">#</x:t>
        </x:is>
      </x:c>
      <x:c r="AF2" s="33" t="inlineStr">
        <x:is>
          <x:t xml:space="preserve">#</x:t>
        </x:is>
      </x:c>
      <x:c r="AG2" s="33" t="inlineStr">
        <x:is>
          <x:t xml:space="preserve">min</x:t>
        </x:is>
      </x:c>
      <x:c r="AH2" s="33" t="inlineStr">
        <x:is>
          <x:t xml:space="preserve">×</x:t>
        </x:is>
      </x:c>
      <x:c r="AI2" s="33" t="inlineStr">
        <x:is>
          <x:t xml:space="preserve">people</x:t>
        </x:is>
      </x:c>
      <x:c r="AJ2" s="33" t="inlineStr">
        <x:is>
          <x:t xml:space="preserve">Insight/yr</x:t>
        </x:is>
      </x:c>
      <x:c r="AK2" s="33" t="inlineStr">
        <x:is>
          <x:t xml:space="preserve">Insight/yr</x:t>
        </x:is>
      </x:c>
      <x:c r="AL2" s="33" t="inlineStr">
        <x:is>
          <x:t xml:space="preserve">Insight/yr</x:t>
        </x:is>
      </x:c>
      <x:c r="AM2" s="33" t="inlineStr">
        <x:is>
          <x:t xml:space="preserve">Insight</x:t>
        </x:is>
      </x:c>
      <x:c r="AN2" s="33" t="inlineStr">
        <x:is>
          <x:t xml:space="preserve">KH</x:t>
        </x:is>
      </x:c>
      <x:c r="AO2" s="33" t="inlineStr">
        <x:is>
          <x:t xml:space="preserve">KH</x:t>
        </x:is>
      </x:c>
      <x:c r="AP2" s="33" t="inlineStr">
        <x:is>
          <x:t xml:space="preserve">KH</x:t>
        </x:is>
      </x:c>
      <x:c r="AQ2" s="33" t="inlineStr">
        <x:is>
          <x:t xml:space="preserve">Insight</x:t>
        </x:is>
      </x:c>
      <x:c r="AR2" s="33" t="inlineStr">
        <x:is>
          <x:t xml:space="preserve">Insight</x:t>
        </x:is>
      </x:c>
      <x:c r="AS2" s="33" t="inlineStr">
        <x:is>
          <x:t xml:space="preserve">Insight</x:t>
        </x:is>
      </x:c>
      <x:c r="AT2" s="33" t="inlineStr">
        <x:is>
          <x:t xml:space="preserve">%</x:t>
        </x:is>
      </x:c>
      <x:c r="AU2" s="33" t="inlineStr">
        <x:is>
          <x:t xml:space="preserve">figures</x:t>
        </x:is>
      </x:c>
      <x:c r="AV2" s="33" t="inlineStr">
        <x:is>
          <x:t xml:space="preserve">Insight/min</x:t>
        </x:is>
      </x:c>
    </x:row>
    <x:row r="3">
      <x:c r="A3" s="8" t="n">
        <x:v>0</x:v>
      </x:c>
      <x:c r="B3" s="9" t="n">
        <x:v>0</x:v>
      </x:c>
      <x:c r="C3" s="9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1</x:v>
      </x:c>
      <x:c r="H3" s="8" t="n">
        <x:v>1</x:v>
      </x:c>
      <x:c r="I3" s="9" t="n">
        <x:v>0</x:v>
      </x:c>
      <x:c r="J3" s="32" t="n">
        <x:f>INDEX(v01_FoodCap,G3)*Arch_FoodCap*EXP(v01_CapsByProject*SUMPRODUCT((Cap_Point&lt;=I3)*(Cap_Kind="Food")*Cap_Ln))</x:f>
        <x:v>22</x:v>
      </x:c>
      <x:c r="K3" s="32" t="n">
        <x:f>J3*MIN(1,v01_LeanBase*EXP(v01_CapsByProject*SUMPRODUCT((Cap_Point&lt;=I3)*(Cap_Kind="Lean")*Cap_Ln)))</x:f>
        <x:v>22</x:v>
      </x:c>
      <x:c r="L3" s="10" t="n">
        <x:f>INDEX(v01_HousingCap,G3)*EXP(v01_CapsByProject*SUMPRODUCT((Cap_Point&lt;=I3)*(Cap_Kind="Housing")*Cap_Ln))</x:f>
        <x:v>60</x:v>
      </x:c>
      <x:c r="M3" s="10" t="n">
        <x:f>INDEX(v01_GroupCap,G3)*v01_CohesionFactor*EXP(v01_CapsByProject*SUMPRODUCT((Cap_Point&lt;=I3)*(Cap_Kind="Group")*Cap_Ln))</x:f>
        <x:v>35</x:v>
      </x:c>
      <x:c r="N3" s="32" t="n">
        <x:f>MIN(J3,L3,M3)</x:f>
        <x:v>22</x:v>
      </x:c>
      <x:c r="O3" s="10" t="n">
        <x:f>AE3*N3</x:f>
        <x:v>22</x:v>
      </x:c>
      <x:c r="P3" s="9" t="n">
        <x:v>0</x:v>
      </x:c>
      <x:c r="Q3" s="9" t="n">
        <x:v>1</x:v>
      </x:c>
      <x:c r="R3" s="9" t="n">
        <x:v>0</x:v>
      </x:c>
      <x:c r="S3" s="9" t="n">
        <x:v>0</x:v>
      </x:c>
      <x:c r="T3" s="9" t="n">
        <x:v>0</x:v>
      </x:c>
      <x:c r="U3" s="9" t="n">
        <x:v>0</x:v>
      </x:c>
      <x:c r="V3" s="9" t="n">
        <x:v>0</x:v>
      </x:c>
      <x:c r="W3" s="9" t="n">
        <x:v>0</x:v>
      </x:c>
      <x:c r="X3" s="9" t="n">
        <x:v>0</x:v>
      </x:c>
      <x:c r="Y3" s="32" t="n">
        <x:f>v01_StartChildren</x:f>
        <x:v>2</x:v>
      </x:c>
      <x:c r="Z3" s="32" t="n">
        <x:f>v01_StartAdults</x:f>
        <x:v>8</x:v>
      </x:c>
      <x:c r="AA3" s="32" t="n">
        <x:f>v01_StartElders</x:f>
        <x:v>2</x:v>
      </x:c>
      <x:c r="AB3" s="10" t="n">
        <x:f>Y3+Z3+AA3</x:f>
        <x:v>12</x:v>
      </x:c>
      <x:c r="AC3" s="8" t="n">
        <x:v>0</x:v>
      </x:c>
      <x:c r="AD3" s="8" t="n">
        <x:v>0</x:v>
      </x:c>
      <x:c r="AE3" s="8" t="n">
        <x:v>1</x:v>
      </x:c>
      <x:c r="AF3" s="8" t="n">
        <x:v>0</x:v>
      </x:c>
      <x:c r="AG3" s="9" t="str">
        <x:f>""</x:f>
      </x:c>
      <x:c r="AH3" s="9" t="n">
        <x:v>1</x:v>
      </x:c>
      <x:c r="AI3" s="32" t="n">
        <x:v>0</x:v>
      </x:c>
      <x:c r="AJ3" s="32" t="n">
        <x:v>0</x:v>
      </x:c>
      <x:c r="AK3" s="32" t="n">
        <x:v>0</x:v>
      </x:c>
      <x:c r="AL3" s="32" t="n">
        <x:v>0</x:v>
      </x:c>
      <x:c r="AM3" s="32" t="n">
        <x:v>0</x:v>
      </x:c>
      <x:c r="AN3" s="32" t="n">
        <x:v>0</x:v>
      </x:c>
      <x:c r="AO3" s="32" t="n">
        <x:v>0</x:v>
      </x:c>
      <x:c r="AP3" s="32" t="n">
        <x:v>0</x:v>
      </x:c>
      <x:c r="AQ3" s="32" t="n">
        <x:v>0</x:v>
      </x:c>
      <x:c r="AR3" s="10" t="n">
        <x:f>INDEX(v01_Req,1)</x:f>
        <x:v>372.02</x:v>
      </x:c>
      <x:c r="AS3" s="32" t="n">
        <x:v>0</x:v>
      </x:c>
      <x:c r="AT3" s="11" t="n">
        <x:v>0</x:v>
      </x:c>
      <x:c r="AU3" s="10" t="n">
        <x:f>AB3</x:f>
        <x:v>12</x:v>
      </x:c>
      <x:c r="AV3" s="32" t="n">
        <x:v>0</x:v>
      </x:c>
    </x:row>
    <x:row r="4">
      <x:c r="A4" s="8" t="n">
        <x:f>A3+1</x:f>
        <x:v>1</x:v>
      </x:c>
      <x:c r="B4" s="9" t="n">
        <x:f>A4*v01_SeasonSeconds/60</x:f>
        <x:v>0.25</x:v>
      </x:c>
      <x:c r="C4" s="9" t="n">
        <x:f>A4/4</x:f>
        <x:v>0.25</x:v>
      </x:c>
      <x:c r="D4" s="8" t="n">
        <x:f>IF(MOD(A4,4)=0,1,0)</x:f>
        <x:v>0</x:v>
      </x:c>
      <x:c r="E4" s="8" t="n">
        <x:f>IF(AND(F3&lt;=9,AS3&gt;=AR3),1,0)</x:f>
        <x:v>0</x:v>
      </x:c>
      <x:c r="F4" s="8" t="n">
        <x:f>MIN(10,F3+E4)</x:f>
        <x:v>0</x:v>
      </x:c>
      <x:c r="G4" s="8" t="n">
        <x:f>MIN(F4,9)+1</x:f>
        <x:v>1</x:v>
      </x:c>
      <x:c r="H4" s="8" t="n">
        <x:f>IF(F4&lt;=9,1,0)</x:f>
        <x:v>1</x:v>
      </x:c>
      <x:c r="I4" s="9" t="n">
        <x:f>MIN(10,F3+IF(AR3&gt;0,MIN(1,AS3/AR3),1))</x:f>
        <x:v>0</x:v>
      </x:c>
      <x:c r="J4" s="32" t="n">
        <x:f>INDEX(v01_FoodCap,G4)*Arch_FoodCap*EXP(v01_CapsByProject*SUMPRODUCT((Cap_Point&lt;=I4)*(Cap_Kind="Food")*Cap_Ln))</x:f>
        <x:v>22</x:v>
      </x:c>
      <x:c r="K4" s="32" t="n">
        <x:f>J4*MIN(1,v01_LeanBase*EXP(v01_CapsByProject*SUMPRODUCT((Cap_Point&lt;=I4)*(Cap_Kind="Lean")*Cap_Ln)))</x:f>
        <x:v>22</x:v>
      </x:c>
      <x:c r="L4" s="10" t="n">
        <x:f>INDEX(v01_HousingCap,G4)*EXP(v01_CapsByProject*SUMPRODUCT((Cap_Point&lt;=I4)*(Cap_Kind="Housing")*Cap_Ln))</x:f>
        <x:v>60</x:v>
      </x:c>
      <x:c r="M4" s="10" t="n">
        <x:f>INDEX(v01_GroupCap,G4)*v01_CohesionFactor*EXP(v01_CapsByProject*SUMPRODUCT((Cap_Point&lt;=I4)*(Cap_Kind="Group")*Cap_Ln))</x:f>
        <x:v>35</x:v>
      </x:c>
      <x:c r="N4" s="32" t="n">
        <x:f>MIN(J4,L4,M4)</x:f>
        <x:v>22</x:v>
      </x:c>
      <x:c r="O4" s="10" t="n">
        <x:f>AE3*N4</x:f>
        <x:v>22</x:v>
      </x:c>
      <x:c r="P4" s="9" t="n">
        <x:f>MIN(1,(AB3/(AE3*IF(v01_GroupInCrowding=1,N4,MIN(J4,L4))))^v01_CrowdingExp)</x:f>
        <x:v>0.026336095680589026</x:v>
      </x:c>
      <x:c r="Q4" s="9" t="n">
        <x:f>IF(D4=1,INDEX(v01_WinterMult,G4),1)</x:f>
        <x:v>1</x:v>
      </x:c>
      <x:c r="R4" s="9" t="n">
        <x:f>H4*Z3*v01_WomenShare*v01_BaseFertility*INDEX(v01_FertMult,G4)*Arch_Fertility*(1-P4)</x:f>
        <x:v>0.23367933703665864</x:v>
      </x:c>
      <x:c r="S4" s="9" t="n">
        <x:f>H4*Y3*INDEX(v01_MortChild,G4)/4*Q4</x:f>
        <x:v>0.02</x:v>
      </x:c>
      <x:c r="T4" s="9" t="n">
        <x:f>H4*Z3*INDEX(v01_MortAdult,G4)*Arch_AdultMort/4*Q4</x:f>
        <x:v>0.03</x:v>
      </x:c>
      <x:c r="U4" s="9" t="n">
        <x:f>H4*AA3*INDEX(v01_MortElder,G4)/4*Q4</x:f>
        <x:v>0.05</x:v>
      </x:c>
      <x:c r="V4" s="9" t="n">
        <x:f>H4*MAX(0,AB3-O4)*v01_OvercapLoss</x:f>
        <x:v>0</x:v>
      </x:c>
      <x:c r="W4" s="9" t="n">
        <x:f>H4*Y3/(v01_ChildYears*4)</x:f>
        <x:v>0.03571428571428571</x:v>
      </x:c>
      <x:c r="X4" s="9" t="n">
        <x:f>H4*Z3/(v01_AdultYears*4)</x:f>
        <x:v>0.06451612903225806</x:v>
      </x:c>
      <x:c r="Y4" s="32" t="n">
        <x:f>Y3+R4-S4-W4-Y3*V4/AB3</x:f>
        <x:v>2.177965051322373</x:v>
      </x:c>
      <x:c r="Z4" s="32" t="n">
        <x:f>Z3+W4-X4-T4-Z3*V4/AB3</x:f>
        <x:v>7.941198156682028</x:v>
      </x:c>
      <x:c r="AA4" s="32" t="n">
        <x:f>AA3+X4-U4-AA3*V4/AB3</x:f>
        <x:v>2.014516129032258</x:v>
      </x:c>
      <x:c r="AB4" s="10" t="n">
        <x:f>Y4+Z4+AA4</x:f>
        <x:v>12.13367933703666</x:v>
      </x:c>
      <x:c r="AC4" s="8" t="n">
        <x:f>IF(AND(v01_WinterTrigger=1,D4=1,AB3/AE3&gt;=K4),1,0)</x:f>
        <x:v>0</x:v>
      </x:c>
      <x:c r="AD4" s="8" t="n">
        <x:f>H4*IF(AND(OR(AB3/AE3&gt;=v01_FissionTrigger*N4,AC4=1),AB3/AE3*v01_DaughterShare&gt;=v01_MinDaughter),MAX(1,ROUND(AE3*v01_FissionRate,0)),0)</x:f>
        <x:v>0</x:v>
      </x:c>
      <x:c r="AE4" s="8" t="n">
        <x:f>IF(H4=1,MAX(1,MIN(INDEX(v01_Smax,G4),AE3+AD4)),AE3)</x:f>
        <x:v>1</x:v>
      </x:c>
      <x:c r="AF4" s="8" t="n">
        <x:f>MAX(0,AE4-AE3)</x:f>
        <x:v>0</x:v>
      </x:c>
      <x:c r="AG4" s="9" t="str">
        <x:f>IF(AF4&gt;0,B4,"")</x:f>
      </x:c>
      <x:c r="AH4" s="9" t="n">
        <x:f>IF(F4&gt;=1,1,(1+v01_LowTiesShare*(AE4-1))/AE4)</x:f>
        <x:v>1</x:v>
      </x:c>
      <x:c r="AI4" s="32" t="n">
        <x:f>(Z4+v01_ElderCommons*INDEX(LM_Elder,G4)*AA4)*AH4</x:f>
        <x:v>11.970230414746545</x:v>
      </x:c>
      <x:c r="AJ4" s="32" t="n">
        <x:f>H4*v01_CommonsCoef*AI4^v01_CommonsExp*INDEX(LM_Commons,G4)</x:f>
        <x:v>5.190805147623283</x:v>
      </x:c>
      <x:c r="AK4" s="32" t="n">
        <x:f>H4*v01_RoleScale*Arch_Roles*(AE4*(INDEX(v01_ElderRolePerSett,G4)*v01_OutElder*INDEX(LM_Elder,G4)+INDEX(v01_ShamanPerSett,G4)*v01_OutShaman)+Z4*(INDEX(v01_PriestShare,G4)*v01_OutPriest+INDEX(v01_ScribeShare,G4)*v01_OutScribe*INDEX(LM_Scribe,G4)+INDEX(v01_ScholarShare,G4)*v01_OutScholar*INDEX(LM_Scholar,G4)+INDEX(v01_ResearcherShare,G4)*v01_OutResearcher*INDEX(LM_Researcher,G4)))</x:f>
        <x:v>0</x:v>
      </x:c>
      <x:c r="AL4" s="32" t="n">
        <x:f>H4*v01_RoleScale*Arch_Roles*AE4*INDEX(v01_MonasteryPerSett,G4)*v01_OutMonastery*INDEX(LM_Monastery,G4)</x:f>
        <x:v>0</x:v>
      </x:c>
      <x:c r="AM4" s="32" t="n">
        <x:f>(AJ4+AK4+AL4)/4*INDEX(LM_All,G4)*INDEX(v01_Boon,G4)*Arch_Insight</x:f>
        <x:v>1.2977012869058207</x:v>
      </x:c>
      <x:c r="AN4" s="32" t="n">
        <x:f>H4*(v01_KHPerAdult*Z4+v01_KHOfCommons*AJ4/4*INDEX(LM_All,G4))*v01_KHUsable*Arch_KH</x:f>
        <x:v>0.27794193548387097</x:v>
      </x:c>
      <x:c r="AO4" s="32" t="n">
        <x:f>MIN(AP3+AN4,AM4*v01_KHMaxRatio)</x:f>
        <x:v>0.27794193548387097</x:v>
      </x:c>
      <x:c r="AP4" s="32" t="n">
        <x:f>AP3+AN4-AO4</x:f>
        <x:v>0</x:v>
      </x:c>
      <x:c r="AQ4" s="32" t="n">
        <x:f>AM4+AO4</x:f>
        <x:v>1.5756432223896917</x:v>
      </x:c>
      <x:c r="AR4" s="10" t="n">
        <x:f>IF(H4=1,INDEX(v01_Req,G4),0)</x:f>
        <x:v>372.02</x:v>
      </x:c>
      <x:c r="AS4" s="32" t="n">
        <x:f>IF(H4=1,IF(E4=1,AS3-AR3,AS3)+AQ4,0)</x:f>
        <x:v>1.5756432223896917</x:v>
      </x:c>
      <x:c r="AT4" s="11" t="n">
        <x:f>IF(AR4&gt;0,MIN(1,AS4/AR4),1)</x:f>
        <x:v>0.004235372351996376</x:v>
      </x:c>
      <x:c r="AU4" s="10" t="n">
        <x:f>AB4/INDEX(v01_RepScale,G4)</x:f>
        <x:v>12.13367933703666</x:v>
      </x:c>
      <x:c r="AV4" s="32" t="n">
        <x:f>AM4*60/v01_SeasonSeconds</x:f>
        <x:v>5.190805147623283</x:v>
      </x:c>
    </x:row>
    <x:row r="5">
      <x:c r="A5" s="8" t="n">
        <x:f>A4+1</x:f>
        <x:v>2</x:v>
      </x:c>
      <x:c r="B5" s="9" t="n">
        <x:f>A5*v01_SeasonSeconds/60</x:f>
        <x:v>0.5</x:v>
      </x:c>
      <x:c r="C5" s="9" t="n">
        <x:f>A5/4</x:f>
        <x:v>0.5</x:v>
      </x:c>
      <x:c r="D5" s="8" t="n">
        <x:f>IF(MOD(A5,4)=0,1,0)</x:f>
        <x:v>0</x:v>
      </x:c>
      <x:c r="E5" s="8" t="n">
        <x:f>IF(AND(F4&lt;=9,AS4&gt;=AR4),1,0)</x:f>
        <x:v>0</x:v>
      </x:c>
      <x:c r="F5" s="8" t="n">
        <x:f>MIN(10,F4+E5)</x:f>
        <x:v>0</x:v>
      </x:c>
      <x:c r="G5" s="8" t="n">
        <x:f>MIN(F5,9)+1</x:f>
        <x:v>1</x:v>
      </x:c>
      <x:c r="H5" s="8" t="n">
        <x:f>IF(F5&lt;=9,1,0)</x:f>
        <x:v>1</x:v>
      </x:c>
      <x:c r="I5" s="9" t="n">
        <x:f>MIN(10,F4+IF(AR4&gt;0,MIN(1,AS4/AR4),1))</x:f>
        <x:v>0.004235372351996376</x:v>
      </x:c>
      <x:c r="J5" s="32" t="n">
        <x:f>INDEX(v01_FoodCap,G5)*Arch_FoodCap*EXP(v01_CapsByProject*SUMPRODUCT((Cap_Point&lt;=I5)*(Cap_Kind="Food")*Cap_Ln))</x:f>
        <x:v>22</x:v>
      </x:c>
      <x:c r="K5" s="32" t="n">
        <x:f>J5*MIN(1,v01_LeanBase*EXP(v01_CapsByProject*SUMPRODUCT((Cap_Point&lt;=I5)*(Cap_Kind="Lean")*Cap_Ln)))</x:f>
        <x:v>22</x:v>
      </x:c>
      <x:c r="L5" s="10" t="n">
        <x:f>INDEX(v01_HousingCap,G5)*EXP(v01_CapsByProject*SUMPRODUCT((Cap_Point&lt;=I5)*(Cap_Kind="Housing")*Cap_Ln))</x:f>
        <x:v>60</x:v>
      </x:c>
      <x:c r="M5" s="10" t="n">
        <x:f>INDEX(v01_GroupCap,G5)*v01_CohesionFactor*EXP(v01_CapsByProject*SUMPRODUCT((Cap_Point&lt;=I5)*(Cap_Kind="Group")*Cap_Ln))</x:f>
        <x:v>35</x:v>
      </x:c>
      <x:c r="N5" s="32" t="n">
        <x:f>MIN(J5,L5,M5)</x:f>
        <x:v>22</x:v>
      </x:c>
      <x:c r="O5" s="10" t="n">
        <x:f>AE4*N5</x:f>
        <x:v>22</x:v>
      </x:c>
      <x:c r="P5" s="9" t="n">
        <x:f>MIN(1,(AB4/(AE4*IF(v01_GroupInCrowding=1,N5,MIN(J5,L5))))^v01_CrowdingExp)</x:f>
        <x:v>0.028146149860911185</x:v>
      </x:c>
      <x:c r="Q5" s="9" t="n">
        <x:f>IF(D5=1,INDEX(v01_WinterMult,G5),1)</x:f>
        <x:v>1</x:v>
      </x:c>
      <x:c r="R5" s="9" t="n">
        <x:f>H5*Z4*v01_WomenShare*v01_BaseFertility*INDEX(v01_FertMult,G5)*Arch_Fertility*(1-P5)</x:f>
        <x:v>0.2315305200986659</x:v>
      </x:c>
      <x:c r="S5" s="9" t="n">
        <x:f>H5*Y4*INDEX(v01_MortChild,G5)/4*Q5</x:f>
        <x:v>0.02177965051322373</x:v>
      </x:c>
      <x:c r="T5" s="9" t="n">
        <x:f>H5*Z4*INDEX(v01_MortAdult,G5)*Arch_AdultMort/4*Q5</x:f>
        <x:v>0.029779493087557604</x:v>
      </x:c>
      <x:c r="U5" s="9" t="n">
        <x:f>H5*AA4*INDEX(v01_MortElder,G5)/4*Q5</x:f>
        <x:v>0.05036290322580646</x:v>
      </x:c>
      <x:c r="V5" s="9" t="n">
        <x:f>H5*MAX(0,AB4-O5)*v01_OvercapLoss</x:f>
        <x:v>0</x:v>
      </x:c>
      <x:c r="W5" s="9" t="n">
        <x:f>H5*Y4/(v01_ChildYears*4)</x:f>
        <x:v>0.03889223305932809</x:v>
      </x:c>
      <x:c r="X5" s="9" t="n">
        <x:f>H5*Z4/(v01_AdultYears*4)</x:f>
        <x:v>0.06404192061840346</x:v>
      </x:c>
      <x:c r="Y5" s="32" t="n">
        <x:f>Y4+R5-S5-W5-Y4*V5/AB4</x:f>
        <x:v>2.348823687848487</x:v>
      </x:c>
      <x:c r="Z5" s="32" t="n">
        <x:f>Z4+W5-X5-T5-Z4*V5/AB4</x:f>
        <x:v>7.886268976035395</x:v>
      </x:c>
      <x:c r="AA5" s="32" t="n">
        <x:f>AA4+X5-U5-AA4*V5/AB4</x:f>
        <x:v>2.028195146424855</x:v>
      </x:c>
      <x:c r="AB5" s="10" t="n">
        <x:f>Y5+Z5+AA5</x:f>
        <x:v>12.263287810308737</x:v>
      </x:c>
      <x:c r="AC5" s="8" t="n">
        <x:f>IF(AND(v01_WinterTrigger=1,D5=1,AB4/AE4&gt;=K5),1,0)</x:f>
        <x:v>0</x:v>
      </x:c>
      <x:c r="AD5" s="8" t="n">
        <x:f>H5*IF(AND(OR(AB4/AE4&gt;=v01_FissionTrigger*N5,AC5=1),AB4/AE4*v01_DaughterShare&gt;=v01_MinDaughter),MAX(1,ROUND(AE4*v01_FissionRate,0)),0)</x:f>
        <x:v>0</x:v>
      </x:c>
      <x:c r="AE5" s="8" t="n">
        <x:f>IF(H5=1,MAX(1,MIN(INDEX(v01_Smax,G5),AE4+AD5)),AE4)</x:f>
        <x:v>1</x:v>
      </x:c>
      <x:c r="AF5" s="8" t="n">
        <x:f>MAX(0,AE5-AE4)</x:f>
        <x:v>0</x:v>
      </x:c>
      <x:c r="AG5" s="9" t="str">
        <x:f>IF(AF5&gt;0,B5,"")</x:f>
      </x:c>
      <x:c r="AH5" s="9" t="n">
        <x:f>IF(F5&gt;=1,1,(1+v01_LowTiesShare*(AE5-1))/AE5)</x:f>
        <x:v>1</x:v>
      </x:c>
      <x:c r="AI5" s="32" t="n">
        <x:f>(Z5+v01_ElderCommons*INDEX(LM_Elder,G5)*AA5)*AH5</x:f>
        <x:v>11.942659268885105</x:v>
      </x:c>
      <x:c r="AJ5" s="32" t="n">
        <x:f>H5*v01_CommonsCoef*AI5^v01_CommonsExp*INDEX(LM_Commons,G5)</x:f>
        <x:v>5.18064076414946</x:v>
      </x:c>
      <x:c r="AK5" s="32" t="n">
        <x:f>H5*v01_RoleScale*Arch_Roles*(AE5*(INDEX(v01_ElderRolePerSett,G5)*v01_OutElder*INDEX(LM_Elder,G5)+INDEX(v01_ShamanPerSett,G5)*v01_OutShaman)+Z5*(INDEX(v01_PriestShare,G5)*v01_OutPriest+INDEX(v01_ScribeShare,G5)*v01_OutScribe*INDEX(LM_Scribe,G5)+INDEX(v01_ScholarShare,G5)*v01_OutScholar*INDEX(LM_Scholar,G5)+INDEX(v01_ResearcherShare,G5)*v01_OutResearcher*INDEX(LM_Researcher,G5)))</x:f>
        <x:v>0</x:v>
      </x:c>
      <x:c r="AL5" s="32" t="n">
        <x:f>H5*v01_RoleScale*Arch_Roles*AE5*INDEX(v01_MonasteryPerSett,G5)*v01_OutMonastery*INDEX(LM_Monastery,G5)</x:f>
        <x:v>0</x:v>
      </x:c>
      <x:c r="AM5" s="32" t="n">
        <x:f>(AJ5+AK5+AL5)/4*INDEX(LM_All,G5)*INDEX(v01_Boon,G5)*Arch_Insight</x:f>
        <x:v>1.295160191037365</x:v>
      </x:c>
      <x:c r="AN5" s="32" t="n">
        <x:f>H5*(v01_KHPerAdult*Z5+v01_KHOfCommons*AJ5/4*INDEX(LM_All,G5))*v01_KHUsable*Arch_KH</x:f>
        <x:v>0.2760194141612388</x:v>
      </x:c>
      <x:c r="AO5" s="32" t="n">
        <x:f>MIN(AP4+AN5,AM5*v01_KHMaxRatio)</x:f>
        <x:v>0.2760194141612388</x:v>
      </x:c>
      <x:c r="AP5" s="32" t="n">
        <x:f>AP4+AN5-AO5</x:f>
        <x:v>0</x:v>
      </x:c>
      <x:c r="AQ5" s="32" t="n">
        <x:f>AM5+AO5</x:f>
        <x:v>1.5711796051986038</x:v>
      </x:c>
      <x:c r="AR5" s="10" t="n">
        <x:f>IF(H5=1,INDEX(v01_Req,G5),0)</x:f>
        <x:v>372.02</x:v>
      </x:c>
      <x:c r="AS5" s="32" t="n">
        <x:f>IF(H5=1,IF(E5=1,AS4-AR4,AS4)+AQ5,0)</x:f>
        <x:v>3.1468228275882955</x:v>
      </x:c>
      <x:c r="AT5" s="11" t="n">
        <x:f>IF(AR5&gt;0,MIN(1,AS5/AR5),1)</x:f>
        <x:v>0.00845874637812025</x:v>
      </x:c>
      <x:c r="AU5" s="10" t="n">
        <x:f>AB5/INDEX(v01_RepScale,G5)</x:f>
        <x:v>12.263287810308737</x:v>
      </x:c>
      <x:c r="AV5" s="32" t="n">
        <x:f>AM5*60/v01_SeasonSeconds</x:f>
        <x:v>5.18064076414946</x:v>
      </x:c>
    </x:row>
    <x:row r="6">
      <x:c r="A6" s="8" t="n">
        <x:f>A5+1</x:f>
        <x:v>3</x:v>
      </x:c>
      <x:c r="B6" s="9" t="n">
        <x:f>A6*v01_SeasonSeconds/60</x:f>
        <x:v>0.75</x:v>
      </x:c>
      <x:c r="C6" s="9" t="n">
        <x:f>A6/4</x:f>
        <x:v>0.75</x:v>
      </x:c>
      <x:c r="D6" s="8" t="n">
        <x:f>IF(MOD(A6,4)=0,1,0)</x:f>
        <x:v>0</x:v>
      </x:c>
      <x:c r="E6" s="8" t="n">
        <x:f>IF(AND(F5&lt;=9,AS5&gt;=AR5),1,0)</x:f>
        <x:v>0</x:v>
      </x:c>
      <x:c r="F6" s="8" t="n">
        <x:f>MIN(10,F5+E6)</x:f>
        <x:v>0</x:v>
      </x:c>
      <x:c r="G6" s="8" t="n">
        <x:f>MIN(F6,9)+1</x:f>
        <x:v>1</x:v>
      </x:c>
      <x:c r="H6" s="8" t="n">
        <x:f>IF(F6&lt;=9,1,0)</x:f>
        <x:v>1</x:v>
      </x:c>
      <x:c r="I6" s="9" t="n">
        <x:f>MIN(10,F5+IF(AR5&gt;0,MIN(1,AS5/AR5),1))</x:f>
        <x:v>0.00845874637812025</x:v>
      </x:c>
      <x:c r="J6" s="32" t="n">
        <x:f>INDEX(v01_FoodCap,G6)*Arch_FoodCap*EXP(v01_CapsByProject*SUMPRODUCT((Cap_Point&lt;=I6)*(Cap_Kind="Food")*Cap_Ln))</x:f>
        <x:v>22</x:v>
      </x:c>
      <x:c r="K6" s="32" t="n">
        <x:f>J6*MIN(1,v01_LeanBase*EXP(v01_CapsByProject*SUMPRODUCT((Cap_Point&lt;=I6)*(Cap_Kind="Lean")*Cap_Ln)))</x:f>
        <x:v>22</x:v>
      </x:c>
      <x:c r="L6" s="10" t="n">
        <x:f>INDEX(v01_HousingCap,G6)*EXP(v01_CapsByProject*SUMPRODUCT((Cap_Point&lt;=I6)*(Cap_Kind="Housing")*Cap_Ln))</x:f>
        <x:v>60</x:v>
      </x:c>
      <x:c r="M6" s="10" t="n">
        <x:f>INDEX(v01_GroupCap,G6)*v01_CohesionFactor*EXP(v01_CapsByProject*SUMPRODUCT((Cap_Point&lt;=I6)*(Cap_Kind="Group")*Cap_Ln))</x:f>
        <x:v>35</x:v>
      </x:c>
      <x:c r="N6" s="32" t="n">
        <x:f>MIN(J6,L6,M6)</x:f>
        <x:v>22</x:v>
      </x:c>
      <x:c r="O6" s="10" t="n">
        <x:f>AE5*N6</x:f>
        <x:v>22</x:v>
      </x:c>
      <x:c r="P6" s="9" t="n">
        <x:f>MIN(1,(AB5/(AE5*IF(v01_GroupInCrowding=1,N6,MIN(J6,L6))))^v01_CrowdingExp)</x:f>
        <x:v>0.029998907632018172</x:v>
      </x:c>
      <x:c r="Q6" s="9" t="n">
        <x:f>IF(D6=1,INDEX(v01_WinterMult,G6),1)</x:f>
        <x:v>1</x:v>
      </x:c>
      <x:c r="R6" s="9" t="n">
        <x:f>H6*Z5*v01_WomenShare*v01_BaseFertility*INDEX(v01_FertMult,G6)*Arch_Fertility*(1-P6)</x:f>
        <x:v>0.22949068564386177</x:v>
      </x:c>
      <x:c r="S6" s="9" t="n">
        <x:f>H6*Y5*INDEX(v01_MortChild,G6)/4*Q6</x:f>
        <x:v>0.02348823687848487</x:v>
      </x:c>
      <x:c r="T6" s="9" t="n">
        <x:f>H6*Z5*INDEX(v01_MortAdult,G6)*Arch_AdultMort/4*Q6</x:f>
        <x:v>0.02957350866013273</x:v>
      </x:c>
      <x:c r="U6" s="9" t="n">
        <x:f>H6*AA5*INDEX(v01_MortElder,G6)/4*Q6</x:f>
        <x:v>0.05070487866062138</x:v>
      </x:c>
      <x:c r="V6" s="9" t="n">
        <x:f>H6*MAX(0,AB5-O6)*v01_OvercapLoss</x:f>
        <x:v>0</x:v>
      </x:c>
      <x:c r="W6" s="9" t="n">
        <x:f>H6*Y5/(v01_ChildYears*4)</x:f>
        <x:v>0.04194328014015155</x:v>
      </x:c>
      <x:c r="X6" s="9" t="n">
        <x:f>H6*Z5/(v01_AdultYears*4)</x:f>
        <x:v>0.06359894335512416</x:v>
      </x:c>
      <x:c r="Y6" s="32" t="n">
        <x:f>Y5+R6-S6-W6-Y5*V6/AB5</x:f>
        <x:v>2.5128828564737127</x:v>
      </x:c>
      <x:c r="Z6" s="32" t="n">
        <x:f>Z5+W6-X6-T6-Z5*V6/AB5</x:f>
        <x:v>7.83503980416029</x:v>
      </x:c>
      <x:c r="AA6" s="32" t="n">
        <x:f>AA5+X6-U6-AA5*V6/AB5</x:f>
        <x:v>2.041089211119358</x:v>
      </x:c>
      <x:c r="AB6" s="10" t="n">
        <x:f>Y6+Z6+AA6</x:f>
        <x:v>12.38901187175336</x:v>
      </x:c>
      <x:c r="AC6" s="8" t="n">
        <x:f>IF(AND(v01_WinterTrigger=1,D6=1,AB5/AE5&gt;=K6),1,0)</x:f>
        <x:v>0</x:v>
      </x:c>
      <x:c r="AD6" s="8" t="n">
        <x:f>H6*IF(AND(OR(AB5/AE5&gt;=v01_FissionTrigger*N6,AC6=1),AB5/AE5*v01_DaughterShare&gt;=v01_MinDaughter),MAX(1,ROUND(AE5*v01_FissionRate,0)),0)</x:f>
        <x:v>0</x:v>
      </x:c>
      <x:c r="AE6" s="8" t="n">
        <x:f>IF(H6=1,MAX(1,MIN(INDEX(v01_Smax,G6),AE5+AD6)),AE5)</x:f>
        <x:v>1</x:v>
      </x:c>
      <x:c r="AF6" s="8" t="n">
        <x:f>MAX(0,AE6-AE5)</x:f>
        <x:v>0</x:v>
      </x:c>
      <x:c r="AG6" s="9" t="str">
        <x:f>IF(AF6&gt;0,B6,"")</x:f>
      </x:c>
      <x:c r="AH6" s="9" t="n">
        <x:f>IF(F6&gt;=1,1,(1+v01_LowTiesShare*(AE6-1))/AE6)</x:f>
        <x:v>1</x:v>
      </x:c>
      <x:c r="AI6" s="32" t="n">
        <x:f>(Z6+v01_ElderCommons*INDEX(LM_Elder,G6)*AA6)*AH6</x:f>
        <x:v>11.917218226399005</x:v>
      </x:c>
      <x:c r="AJ6" s="32" t="n">
        <x:f>H6*v01_CommonsCoef*AI6^v01_CommonsExp*INDEX(LM_Commons,G6)</x:f>
        <x:v>5.171258542168611</x:v>
      </x:c>
      <x:c r="AK6" s="32" t="n">
        <x:f>H6*v01_RoleScale*Arch_Roles*(AE6*(INDEX(v01_ElderRolePerSett,G6)*v01_OutElder*INDEX(LM_Elder,G6)+INDEX(v01_ShamanPerSett,G6)*v01_OutShaman)+Z6*(INDEX(v01_PriestShare,G6)*v01_OutPriest+INDEX(v01_ScribeShare,G6)*v01_OutScribe*INDEX(LM_Scribe,G6)+INDEX(v01_ScholarShare,G6)*v01_OutScholar*INDEX(LM_Scholar,G6)+INDEX(v01_ResearcherShare,G6)*v01_OutResearcher*INDEX(LM_Researcher,G6)))</x:f>
        <x:v>0</x:v>
      </x:c>
      <x:c r="AL6" s="32" t="n">
        <x:f>H6*v01_RoleScale*Arch_Roles*AE6*INDEX(v01_MonasteryPerSett,G6)*v01_OutMonastery*INDEX(LM_Monastery,G6)</x:f>
        <x:v>0</x:v>
      </x:c>
      <x:c r="AM6" s="32" t="n">
        <x:f>(AJ6+AK6+AL6)/4*INDEX(LM_All,G6)*INDEX(v01_Boon,G6)*Arch_Insight</x:f>
        <x:v>1.2928146355421528</x:v>
      </x:c>
      <x:c r="AN6" s="32" t="n">
        <x:f>H6*(v01_KHPerAdult*Z6+v01_KHOfCommons*AJ6/4*INDEX(LM_All,G6))*v01_KHUsable*Arch_KH</x:f>
        <x:v>0.27422639314561015</x:v>
      </x:c>
      <x:c r="AO6" s="32" t="n">
        <x:f>MIN(AP5+AN6,AM6*v01_KHMaxRatio)</x:f>
        <x:v>0.27422639314561015</x:v>
      </x:c>
      <x:c r="AP6" s="32" t="n">
        <x:f>AP5+AN6-AO6</x:f>
        <x:v>0</x:v>
      </x:c>
      <x:c r="AQ6" s="32" t="n">
        <x:f>AM6+AO6</x:f>
        <x:v>1.567041028687763</x:v>
      </x:c>
      <x:c r="AR6" s="10" t="n">
        <x:f>IF(H6=1,INDEX(v01_Req,G6),0)</x:f>
        <x:v>372.02</x:v>
      </x:c>
      <x:c r="AS6" s="32" t="n">
        <x:f>IF(H6=1,IF(E6=1,AS5-AR5,AS5)+AQ6,0)</x:f>
        <x:v>4.713863856276058</x:v>
      </x:c>
      <x:c r="AT6" s="11" t="n">
        <x:f>IF(AR6&gt;0,MIN(1,AS6/AR6),1)</x:f>
        <x:v>0.012670995796667002</x:v>
      </x:c>
      <x:c r="AU6" s="10" t="n">
        <x:f>AB6/INDEX(v01_RepScale,G6)</x:f>
        <x:v>12.38901187175336</x:v>
      </x:c>
      <x:c r="AV6" s="32" t="n">
        <x:f>AM6*60/v01_SeasonSeconds</x:f>
        <x:v>5.171258542168611</x:v>
      </x:c>
    </x:row>
    <x:row r="7">
      <x:c r="A7" s="8" t="n">
        <x:f>A6+1</x:f>
        <x:v>4</x:v>
      </x:c>
      <x:c r="B7" s="9" t="n">
        <x:f>A7*v01_SeasonSeconds/60</x:f>
        <x:v>1</x:v>
      </x:c>
      <x:c r="C7" s="9" t="n">
        <x:f>A7/4</x:f>
        <x:v>1</x:v>
      </x:c>
      <x:c r="D7" s="8" t="n">
        <x:f>IF(MOD(A7,4)=0,1,0)</x:f>
        <x:v>1</x:v>
      </x:c>
      <x:c r="E7" s="8" t="n">
        <x:f>IF(AND(F6&lt;=9,AS6&gt;=AR6),1,0)</x:f>
        <x:v>0</x:v>
      </x:c>
      <x:c r="F7" s="8" t="n">
        <x:f>MIN(10,F6+E7)</x:f>
        <x:v>0</x:v>
      </x:c>
      <x:c r="G7" s="8" t="n">
        <x:f>MIN(F7,9)+1</x:f>
        <x:v>1</x:v>
      </x:c>
      <x:c r="H7" s="8" t="n">
        <x:f>IF(F7&lt;=9,1,0)</x:f>
        <x:v>1</x:v>
      </x:c>
      <x:c r="I7" s="9" t="n">
        <x:f>MIN(10,F6+IF(AR6&gt;0,MIN(1,AS6/AR6),1))</x:f>
        <x:v>0.012670995796667002</x:v>
      </x:c>
      <x:c r="J7" s="32" t="n">
        <x:f>INDEX(v01_FoodCap,G7)*Arch_FoodCap*EXP(v01_CapsByProject*SUMPRODUCT((Cap_Point&lt;=I7)*(Cap_Kind="Food")*Cap_Ln))</x:f>
        <x:v>22</x:v>
      </x:c>
      <x:c r="K7" s="32" t="n">
        <x:f>J7*MIN(1,v01_LeanBase*EXP(v01_CapsByProject*SUMPRODUCT((Cap_Point&lt;=I7)*(Cap_Kind="Lean")*Cap_Ln)))</x:f>
        <x:v>22</x:v>
      </x:c>
      <x:c r="L7" s="10" t="n">
        <x:f>INDEX(v01_HousingCap,G7)*EXP(v01_CapsByProject*SUMPRODUCT((Cap_Point&lt;=I7)*(Cap_Kind="Housing")*Cap_Ln))</x:f>
        <x:v>60</x:v>
      </x:c>
      <x:c r="M7" s="10" t="n">
        <x:f>INDEX(v01_GroupCap,G7)*v01_CohesionFactor*EXP(v01_CapsByProject*SUMPRODUCT((Cap_Point&lt;=I7)*(Cap_Kind="Group")*Cap_Ln))</x:f>
        <x:v>35</x:v>
      </x:c>
      <x:c r="N7" s="32" t="n">
        <x:f>MIN(J7,L7,M7)</x:f>
        <x:v>22</x:v>
      </x:c>
      <x:c r="O7" s="10" t="n">
        <x:f>AE6*N7</x:f>
        <x:v>22</x:v>
      </x:c>
      <x:c r="P7" s="9" t="n">
        <x:f>MIN(1,(AB6/(AE6*IF(v01_GroupInCrowding=1,N7,MIN(J7,L7))))^v01_CrowdingExp)</x:f>
        <x:v>0.03189215966731486</x:v>
      </x:c>
      <x:c r="Q7" s="9" t="n">
        <x:f>IF(D7=1,INDEX(v01_WinterMult,G7),1)</x:f>
        <x:v>2</x:v>
      </x:c>
      <x:c r="R7" s="9" t="n">
        <x:f>H7*Z6*v01_WomenShare*v01_BaseFertility*INDEX(v01_FertMult,G7)*Arch_Fertility*(1-P7)</x:f>
        <x:v>0.22755490391178726</x:v>
      </x:c>
      <x:c r="S7" s="9" t="n">
        <x:f>H7*Y6*INDEX(v01_MortChild,G7)/4*Q7</x:f>
        <x:v>0.050257657129474255</x:v>
      </x:c>
      <x:c r="T7" s="9" t="n">
        <x:f>H7*Z6*INDEX(v01_MortAdult,G7)*Arch_AdultMort/4*Q7</x:f>
        <x:v>0.05876279853120217</x:v>
      </x:c>
      <x:c r="U7" s="9" t="n">
        <x:f>H7*AA6*INDEX(v01_MortElder,G7)/4*Q7</x:f>
        <x:v>0.1020544605559679</x:v>
      </x:c>
      <x:c r="V7" s="9" t="n">
        <x:f>H7*MAX(0,AB6-O7)*v01_OvercapLoss</x:f>
        <x:v>0</x:v>
      </x:c>
      <x:c r="W7" s="9" t="n">
        <x:f>H7*Y6/(v01_ChildYears*4)</x:f>
        <x:v>0.044872908151316296</x:v>
      </x:c>
      <x:c r="X7" s="9" t="n">
        <x:f>H7*Z6/(v01_AdultYears*4)</x:f>
        <x:v>0.0631858048722604</x:v>
      </x:c>
      <x:c r="Y7" s="32" t="n">
        <x:f>Y6+R7-S7-W7-Y6*V7/AB6</x:f>
        <x:v>2.6453071951047096</x:v>
      </x:c>
      <x:c r="Z7" s="32" t="n">
        <x:f>Z6+W7-X7-T7-Z6*V7/AB6</x:f>
        <x:v>7.757964108908144</x:v>
      </x:c>
      <x:c r="AA7" s="32" t="n">
        <x:f>AA6+X7-U7-AA6*V7/AB6</x:f>
        <x:v>2.0022205554356503</x:v>
      </x:c>
      <x:c r="AB7" s="10" t="n">
        <x:f>Y7+Z7+AA7</x:f>
        <x:v>12.405491859448505</x:v>
      </x:c>
      <x:c r="AC7" s="8" t="n">
        <x:f>IF(AND(v01_WinterTrigger=1,D7=1,AB6/AE6&gt;=K7),1,0)</x:f>
        <x:v>0</x:v>
      </x:c>
      <x:c r="AD7" s="8" t="n">
        <x:f>H7*IF(AND(OR(AB6/AE6&gt;=v01_FissionTrigger*N7,AC7=1),AB6/AE6*v01_DaughterShare&gt;=v01_MinDaughter),MAX(1,ROUND(AE6*v01_FissionRate,0)),0)</x:f>
        <x:v>0</x:v>
      </x:c>
      <x:c r="AE7" s="8" t="n">
        <x:f>IF(H7=1,MAX(1,MIN(INDEX(v01_Smax,G7),AE6+AD7)),AE6)</x:f>
        <x:v>1</x:v>
      </x:c>
      <x:c r="AF7" s="8" t="n">
        <x:f>MAX(0,AE7-AE6)</x:f>
        <x:v>0</x:v>
      </x:c>
      <x:c r="AG7" s="9" t="str">
        <x:f>IF(AF7&gt;0,B7,"")</x:f>
      </x:c>
      <x:c r="AH7" s="9" t="n">
        <x:f>IF(F7&gt;=1,1,(1+v01_LowTiesShare*(AE7-1))/AE7)</x:f>
        <x:v>1</x:v>
      </x:c>
      <x:c r="AI7" s="32" t="n">
        <x:f>(Z7+v01_ElderCommons*INDEX(LM_Elder,G7)*AA7)*AH7</x:f>
        <x:v>11.762405219779446</x:v>
      </x:c>
      <x:c r="AJ7" s="32" t="n">
        <x:f>H7*v01_CommonsCoef*AI7^v01_CommonsExp*INDEX(LM_Commons,G7)</x:f>
        <x:v>5.1141011009909105</x:v>
      </x:c>
      <x:c r="AK7" s="32" t="n">
        <x:f>H7*v01_RoleScale*Arch_Roles*(AE7*(INDEX(v01_ElderRolePerSett,G7)*v01_OutElder*INDEX(LM_Elder,G7)+INDEX(v01_ShamanPerSett,G7)*v01_OutShaman)+Z7*(INDEX(v01_PriestShare,G7)*v01_OutPriest+INDEX(v01_ScribeShare,G7)*v01_OutScribe*INDEX(LM_Scribe,G7)+INDEX(v01_ScholarShare,G7)*v01_OutScholar*INDEX(LM_Scholar,G7)+INDEX(v01_ResearcherShare,G7)*v01_OutResearcher*INDEX(LM_Researcher,G7)))</x:f>
        <x:v>0</x:v>
      </x:c>
      <x:c r="AL7" s="32" t="n">
        <x:f>H7*v01_RoleScale*Arch_Roles*AE7*INDEX(v01_MonasteryPerSett,G7)*v01_OutMonastery*INDEX(LM_Monastery,G7)</x:f>
        <x:v>0</x:v>
      </x:c>
      <x:c r="AM7" s="32" t="n">
        <x:f>(AJ7+AK7+AL7)/4*INDEX(LM_All,G7)*INDEX(v01_Boon,G7)*Arch_Insight</x:f>
        <x:v>1.2785252752477276</x:v>
      </x:c>
      <x:c r="AN7" s="32" t="n">
        <x:f>H7*(v01_KHPerAdult*Z7+v01_KHOfCommons*AJ7/4*INDEX(LM_All,G7))*v01_KHUsable*Arch_KH</x:f>
        <x:v>0.27152874381178504</x:v>
      </x:c>
      <x:c r="AO7" s="32" t="n">
        <x:f>MIN(AP6+AN7,AM7*v01_KHMaxRatio)</x:f>
        <x:v>0.27152874381178504</x:v>
      </x:c>
      <x:c r="AP7" s="32" t="n">
        <x:f>AP6+AN7-AO7</x:f>
        <x:v>0</x:v>
      </x:c>
      <x:c r="AQ7" s="32" t="n">
        <x:f>AM7+AO7</x:f>
        <x:v>1.5500540190595127</x:v>
      </x:c>
      <x:c r="AR7" s="10" t="n">
        <x:f>IF(H7=1,INDEX(v01_Req,G7),0)</x:f>
        <x:v>372.02</x:v>
      </x:c>
      <x:c r="AS7" s="32" t="n">
        <x:f>IF(H7=1,IF(E7=1,AS6-AR6,AS6)+AQ7,0)</x:f>
        <x:v>6.26391787533557</x:v>
      </x:c>
      <x:c r="AT7" s="11" t="n">
        <x:f>IF(AR7&gt;0,MIN(1,AS7/AR7),1)</x:f>
        <x:v>0.01683758366575875</x:v>
      </x:c>
      <x:c r="AU7" s="10" t="n">
        <x:f>AB7/INDEX(v01_RepScale,G7)</x:f>
        <x:v>12.405491859448505</x:v>
      </x:c>
      <x:c r="AV7" s="32" t="n">
        <x:f>AM7*60/v01_SeasonSeconds</x:f>
        <x:v>5.1141011009909105</x:v>
      </x:c>
    </x:row>
    <x:row r="8">
      <x:c r="A8" s="8" t="n">
        <x:f>A7+1</x:f>
        <x:v>5</x:v>
      </x:c>
      <x:c r="B8" s="9" t="n">
        <x:f>A8*v01_SeasonSeconds/60</x:f>
        <x:v>1.25</x:v>
      </x:c>
      <x:c r="C8" s="9" t="n">
        <x:f>A8/4</x:f>
        <x:v>1.25</x:v>
      </x:c>
      <x:c r="D8" s="8" t="n">
        <x:f>IF(MOD(A8,4)=0,1,0)</x:f>
        <x:v>0</x:v>
      </x:c>
      <x:c r="E8" s="8" t="n">
        <x:f>IF(AND(F7&lt;=9,AS7&gt;=AR7),1,0)</x:f>
        <x:v>0</x:v>
      </x:c>
      <x:c r="F8" s="8" t="n">
        <x:f>MIN(10,F7+E8)</x:f>
        <x:v>0</x:v>
      </x:c>
      <x:c r="G8" s="8" t="n">
        <x:f>MIN(F8,9)+1</x:f>
        <x:v>1</x:v>
      </x:c>
      <x:c r="H8" s="8" t="n">
        <x:f>IF(F8&lt;=9,1,0)</x:f>
        <x:v>1</x:v>
      </x:c>
      <x:c r="I8" s="9" t="n">
        <x:f>MIN(10,F7+IF(AR7&gt;0,MIN(1,AS7/AR7),1))</x:f>
        <x:v>0.01683758366575875</x:v>
      </x:c>
      <x:c r="J8" s="32" t="n">
        <x:f>INDEX(v01_FoodCap,G8)*Arch_FoodCap*EXP(v01_CapsByProject*SUMPRODUCT((Cap_Point&lt;=I8)*(Cap_Kind="Food")*Cap_Ln))</x:f>
        <x:v>22</x:v>
      </x:c>
      <x:c r="K8" s="32" t="n">
        <x:f>J8*MIN(1,v01_LeanBase*EXP(v01_CapsByProject*SUMPRODUCT((Cap_Point&lt;=I8)*(Cap_Kind="Lean")*Cap_Ln)))</x:f>
        <x:v>22</x:v>
      </x:c>
      <x:c r="L8" s="10" t="n">
        <x:f>INDEX(v01_HousingCap,G8)*EXP(v01_CapsByProject*SUMPRODUCT((Cap_Point&lt;=I8)*(Cap_Kind="Housing")*Cap_Ln))</x:f>
        <x:v>60</x:v>
      </x:c>
      <x:c r="M8" s="10" t="n">
        <x:f>INDEX(v01_GroupCap,G8)*v01_CohesionFactor*EXP(v01_CapsByProject*SUMPRODUCT((Cap_Point&lt;=I8)*(Cap_Kind="Group")*Cap_Ln))</x:f>
        <x:v>35</x:v>
      </x:c>
      <x:c r="N8" s="32" t="n">
        <x:f>MIN(J8,L8,M8)</x:f>
        <x:v>22</x:v>
      </x:c>
      <x:c r="O8" s="10" t="n">
        <x:f>AE7*N8</x:f>
        <x:v>22</x:v>
      </x:c>
      <x:c r="P8" s="9" t="n">
        <x:f>MIN(1,(AB7/(AE7*IF(v01_GroupInCrowding=1,N8,MIN(J8,L8))))^v01_CrowdingExp)</x:f>
        <x:v>0.03214754726958351</x:v>
      </x:c>
      <x:c r="Q8" s="9" t="n">
        <x:f>IF(D8=1,INDEX(v01_WinterMult,G8),1)</x:f>
        <x:v>1</x:v>
      </x:c>
      <x:c r="R8" s="9" t="n">
        <x:f>H8*Z7*v01_WomenShare*v01_BaseFertility*INDEX(v01_FertMult,G8)*Arch_Fertility*(1-P8)</x:f>
        <x:v>0.22525693773003863</x:v>
      </x:c>
      <x:c r="S8" s="9" t="n">
        <x:f>H8*Y7*INDEX(v01_MortChild,G8)/4*Q8</x:f>
        <x:v>0.026453071951047097</x:v>
      </x:c>
      <x:c r="T8" s="9" t="n">
        <x:f>H8*Z7*INDEX(v01_MortAdult,G8)*Arch_AdultMort/4*Q8</x:f>
        <x:v>0.02909236540840554</x:v>
      </x:c>
      <x:c r="U8" s="9" t="n">
        <x:f>H8*AA7*INDEX(v01_MortElder,G8)/4*Q8</x:f>
        <x:v>0.05005551388589126</x:v>
      </x:c>
      <x:c r="V8" s="9" t="n">
        <x:f>H8*MAX(0,AB7-O8)*v01_OvercapLoss</x:f>
        <x:v>0</x:v>
      </x:c>
      <x:c r="W8" s="9" t="n">
        <x:f>H8*Y7/(v01_ChildYears*4)</x:f>
        <x:v>0.047237628484012674</x:v>
      </x:c>
      <x:c r="X8" s="9" t="n">
        <x:f>H8*Z7/(v01_AdultYears*4)</x:f>
        <x:v>0.0625642266847431</x:v>
      </x:c>
      <x:c r="Y8" s="32" t="n">
        <x:f>Y7+R8-S8-W8-Y7*V8/AB7</x:f>
        <x:v>2.7968734323996887</x:v>
      </x:c>
      <x:c r="Z8" s="32" t="n">
        <x:f>Z7+W8-X8-T8-Z7*V8/AB7</x:f>
        <x:v>7.713545145299008</x:v>
      </x:c>
      <x:c r="AA8" s="32" t="n">
        <x:f>AA7+X8-U8-AA7*V8/AB7</x:f>
        <x:v>2.014729268234502</x:v>
      </x:c>
      <x:c r="AB8" s="10" t="n">
        <x:f>Y8+Z8+AA8</x:f>
        <x:v>12.5251478459332</x:v>
      </x:c>
      <x:c r="AC8" s="8" t="n">
        <x:f>IF(AND(v01_WinterTrigger=1,D8=1,AB7/AE7&gt;=K8),1,0)</x:f>
        <x:v>0</x:v>
      </x:c>
      <x:c r="AD8" s="8" t="n">
        <x:f>H8*IF(AND(OR(AB7/AE7&gt;=v01_FissionTrigger*N8,AC8=1),AB7/AE7*v01_DaughterShare&gt;=v01_MinDaughter),MAX(1,ROUND(AE7*v01_FissionRate,0)),0)</x:f>
        <x:v>0</x:v>
      </x:c>
      <x:c r="AE8" s="8" t="n">
        <x:f>IF(H8=1,MAX(1,MIN(INDEX(v01_Smax,G8),AE7+AD8)),AE7)</x:f>
        <x:v>1</x:v>
      </x:c>
      <x:c r="AF8" s="8" t="n">
        <x:f>MAX(0,AE8-AE7)</x:f>
        <x:v>0</x:v>
      </x:c>
      <x:c r="AG8" s="9" t="str">
        <x:f>IF(AF8&gt;0,B8,"")</x:f>
      </x:c>
      <x:c r="AH8" s="9" t="n">
        <x:f>IF(F8&gt;=1,1,(1+v01_LowTiesShare*(AE8-1))/AE8)</x:f>
        <x:v>1</x:v>
      </x:c>
      <x:c r="AI8" s="32" t="n">
        <x:f>(Z8+v01_ElderCommons*INDEX(LM_Elder,G8)*AA8)*AH8</x:f>
        <x:v>11.743003681768013</x:v>
      </x:c>
      <x:c r="AJ8" s="32" t="n">
        <x:f>H8*v01_CommonsCoef*AI8^v01_CommonsExp*INDEX(LM_Commons,G8)</x:f>
        <x:v>5.106930063155376</x:v>
      </x:c>
      <x:c r="AK8" s="32" t="n">
        <x:f>H8*v01_RoleScale*Arch_Roles*(AE8*(INDEX(v01_ElderRolePerSett,G8)*v01_OutElder*INDEX(LM_Elder,G8)+INDEX(v01_ShamanPerSett,G8)*v01_OutShaman)+Z8*(INDEX(v01_PriestShare,G8)*v01_OutPriest+INDEX(v01_ScribeShare,G8)*v01_OutScribe*INDEX(LM_Scribe,G8)+INDEX(v01_ScholarShare,G8)*v01_OutScholar*INDEX(LM_Scholar,G8)+INDEX(v01_ResearcherShare,G8)*v01_OutResearcher*INDEX(LM_Researcher,G8)))</x:f>
        <x:v>0</x:v>
      </x:c>
      <x:c r="AL8" s="32" t="n">
        <x:f>H8*v01_RoleScale*Arch_Roles*AE8*INDEX(v01_MonasteryPerSett,G8)*v01_OutMonastery*INDEX(LM_Monastery,G8)</x:f>
        <x:v>0</x:v>
      </x:c>
      <x:c r="AM8" s="32" t="n">
        <x:f>(AJ8+AK8+AL8)/4*INDEX(LM_All,G8)*INDEX(v01_Boon,G8)*Arch_Insight</x:f>
        <x:v>1.276732515788844</x:v>
      </x:c>
      <x:c r="AN8" s="32" t="n">
        <x:f>H8*(v01_KHPerAdult*Z8+v01_KHOfCommons*AJ8/4*INDEX(LM_All,G8))*v01_KHUsable*Arch_KH</x:f>
        <x:v>0.2699740800854653</x:v>
      </x:c>
      <x:c r="AO8" s="32" t="n">
        <x:f>MIN(AP7+AN8,AM8*v01_KHMaxRatio)</x:f>
        <x:v>0.2699740800854653</x:v>
      </x:c>
      <x:c r="AP8" s="32" t="n">
        <x:f>AP7+AN8-AO8</x:f>
        <x:v>0</x:v>
      </x:c>
      <x:c r="AQ8" s="32" t="n">
        <x:f>AM8+AO8</x:f>
        <x:v>1.5467065958743094</x:v>
      </x:c>
      <x:c r="AR8" s="10" t="n">
        <x:f>IF(H8=1,INDEX(v01_Req,G8),0)</x:f>
        <x:v>372.02</x:v>
      </x:c>
      <x:c r="AS8" s="32" t="n">
        <x:f>IF(H8=1,IF(E8=1,AS7-AR7,AS7)+AQ8,0)</x:f>
        <x:v>7.81062447120988</x:v>
      </x:c>
      <x:c r="AT8" s="11" t="n">
        <x:f>IF(AR8&gt;0,MIN(1,AS8/AR8),1)</x:f>
        <x:v>0.020995173569189507</x:v>
      </x:c>
      <x:c r="AU8" s="10" t="n">
        <x:f>AB8/INDEX(v01_RepScale,G8)</x:f>
        <x:v>12.5251478459332</x:v>
      </x:c>
      <x:c r="AV8" s="32" t="n">
        <x:f>AM8*60/v01_SeasonSeconds</x:f>
        <x:v>5.106930063155376</x:v>
      </x:c>
    </x:row>
    <x:row r="9">
      <x:c r="A9" s="8" t="n">
        <x:f>A8+1</x:f>
        <x:v>6</x:v>
      </x:c>
      <x:c r="B9" s="9" t="n">
        <x:f>A9*v01_SeasonSeconds/60</x:f>
        <x:v>1.5</x:v>
      </x:c>
      <x:c r="C9" s="9" t="n">
        <x:f>A9/4</x:f>
        <x:v>1.5</x:v>
      </x:c>
      <x:c r="D9" s="8" t="n">
        <x:f>IF(MOD(A9,4)=0,1,0)</x:f>
        <x:v>0</x:v>
      </x:c>
      <x:c r="E9" s="8" t="n">
        <x:f>IF(AND(F8&lt;=9,AS8&gt;=AR8),1,0)</x:f>
        <x:v>0</x:v>
      </x:c>
      <x:c r="F9" s="8" t="n">
        <x:f>MIN(10,F8+E9)</x:f>
        <x:v>0</x:v>
      </x:c>
      <x:c r="G9" s="8" t="n">
        <x:f>MIN(F9,9)+1</x:f>
        <x:v>1</x:v>
      </x:c>
      <x:c r="H9" s="8" t="n">
        <x:f>IF(F9&lt;=9,1,0)</x:f>
        <x:v>1</x:v>
      </x:c>
      <x:c r="I9" s="9" t="n">
        <x:f>MIN(10,F8+IF(AR8&gt;0,MIN(1,AS8/AR8),1))</x:f>
        <x:v>0.020995173569189507</x:v>
      </x:c>
      <x:c r="J9" s="32" t="n">
        <x:f>INDEX(v01_FoodCap,G9)*Arch_FoodCap*EXP(v01_CapsByProject*SUMPRODUCT((Cap_Point&lt;=I9)*(Cap_Kind="Food")*Cap_Ln))</x:f>
        <x:v>22</x:v>
      </x:c>
      <x:c r="K9" s="32" t="n">
        <x:f>J9*MIN(1,v01_LeanBase*EXP(v01_CapsByProject*SUMPRODUCT((Cap_Point&lt;=I9)*(Cap_Kind="Lean")*Cap_Ln)))</x:f>
        <x:v>22</x:v>
      </x:c>
      <x:c r="L9" s="10" t="n">
        <x:f>INDEX(v01_HousingCap,G9)*EXP(v01_CapsByProject*SUMPRODUCT((Cap_Point&lt;=I9)*(Cap_Kind="Housing")*Cap_Ln))</x:f>
        <x:v>60</x:v>
      </x:c>
      <x:c r="M9" s="10" t="n">
        <x:f>INDEX(v01_GroupCap,G9)*v01_CohesionFactor*EXP(v01_CapsByProject*SUMPRODUCT((Cap_Point&lt;=I9)*(Cap_Kind="Group")*Cap_Ln))</x:f>
        <x:v>35</x:v>
      </x:c>
      <x:c r="N9" s="32" t="n">
        <x:f>MIN(J9,L9,M9)</x:f>
        <x:v>22</x:v>
      </x:c>
      <x:c r="O9" s="10" t="n">
        <x:f>AE8*N9</x:f>
        <x:v>22</x:v>
      </x:c>
      <x:c r="P9" s="9" t="n">
        <x:f>MIN(1,(AB8/(AE8*IF(v01_GroupInCrowding=1,N9,MIN(J9,L9))))^v01_CrowdingExp)</x:f>
        <x:v>0.03405344712555543</x:v>
      </x:c>
      <x:c r="Q9" s="9" t="n">
        <x:f>IF(D9=1,INDEX(v01_WinterMult,G9),1)</x:f>
        <x:v>1</x:v>
      </x:c>
      <x:c r="R9" s="9" t="n">
        <x:f>H9*Z8*v01_WomenShare*v01_BaseFertility*INDEX(v01_FertMult,G9)*Arch_Fertility*(1-P9)</x:f>
        <x:v>0.22352617030628952</x:v>
      </x:c>
      <x:c r="S9" s="9" t="n">
        <x:f>H9*Y8*INDEX(v01_MortChild,G9)/4*Q9</x:f>
        <x:v>0.027968734323996887</x:v>
      </x:c>
      <x:c r="T9" s="9" t="n">
        <x:f>H9*Z8*INDEX(v01_MortAdult,G9)*Arch_AdultMort/4*Q9</x:f>
        <x:v>0.02892579429487128</x:v>
      </x:c>
      <x:c r="U9" s="9" t="n">
        <x:f>H9*AA8*INDEX(v01_MortElder,G9)/4*Q9</x:f>
        <x:v>0.050368231705862555</x:v>
      </x:c>
      <x:c r="V9" s="9" t="n">
        <x:f>H9*MAX(0,AB8-O9)*v01_OvercapLoss</x:f>
        <x:v>0</x:v>
      </x:c>
      <x:c r="W9" s="9" t="n">
        <x:f>H9*Y8/(v01_ChildYears*4)</x:f>
        <x:v>0.04994416843570872</x:v>
      </x:c>
      <x:c r="X9" s="9" t="n">
        <x:f>H9*Z8/(v01_AdultYears*4)</x:f>
        <x:v>0.06220600923628233</x:v>
      </x:c>
      <x:c r="Y9" s="32" t="n">
        <x:f>Y8+R9-S9-W9-Y8*V9/AB8</x:f>
        <x:v>2.9424866999462727</x:v>
      </x:c>
      <x:c r="Z9" s="32" t="n">
        <x:f>Z8+W9-X9-T9-Z8*V9/AB8</x:f>
        <x:v>7.672357510203564</x:v>
      </x:c>
      <x:c r="AA9" s="32" t="n">
        <x:f>AA8+X9-U9-AA8*V9/AB8</x:f>
        <x:v>2.0265670457649216</x:v>
      </x:c>
      <x:c r="AB9" s="10" t="n">
        <x:f>Y9+Z9+AA9</x:f>
        <x:v>12.641411255914758</x:v>
      </x:c>
      <x:c r="AC9" s="8" t="n">
        <x:f>IF(AND(v01_WinterTrigger=1,D9=1,AB8/AE8&gt;=K9),1,0)</x:f>
        <x:v>0</x:v>
      </x:c>
      <x:c r="AD9" s="8" t="n">
        <x:f>H9*IF(AND(OR(AB8/AE8&gt;=v01_FissionTrigger*N9,AC9=1),AB8/AE8*v01_DaughterShare&gt;=v01_MinDaughter),MAX(1,ROUND(AE8*v01_FissionRate,0)),0)</x:f>
        <x:v>0</x:v>
      </x:c>
      <x:c r="AE9" s="8" t="n">
        <x:f>IF(H9=1,MAX(1,MIN(INDEX(v01_Smax,G9),AE8+AD9)),AE8)</x:f>
        <x:v>1</x:v>
      </x:c>
      <x:c r="AF9" s="8" t="n">
        <x:f>MAX(0,AE9-AE8)</x:f>
        <x:v>0</x:v>
      </x:c>
      <x:c r="AG9" s="9" t="str">
        <x:f>IF(AF9&gt;0,B9,"")</x:f>
      </x:c>
      <x:c r="AH9" s="9" t="n">
        <x:f>IF(F9&gt;=1,1,(1+v01_LowTiesShare*(AE9-1))/AE9)</x:f>
        <x:v>1</x:v>
      </x:c>
      <x:c r="AI9" s="32" t="n">
        <x:f>(Z9+v01_ElderCommons*INDEX(LM_Elder,G9)*AA9)*AH9</x:f>
        <x:v>11.725491601733406</x:v>
      </x:c>
      <x:c r="AJ9" s="32" t="n">
        <x:f>H9*v01_CommonsCoef*AI9^v01_CommonsExp*INDEX(LM_Commons,G9)</x:f>
        <x:v>5.10045586523966</x:v>
      </x:c>
      <x:c r="AK9" s="32" t="n">
        <x:f>H9*v01_RoleScale*Arch_Roles*(AE9*(INDEX(v01_ElderRolePerSett,G9)*v01_OutElder*INDEX(LM_Elder,G9)+INDEX(v01_ShamanPerSett,G9)*v01_OutShaman)+Z9*(INDEX(v01_PriestShare,G9)*v01_OutPriest+INDEX(v01_ScribeShare,G9)*v01_OutScribe*INDEX(LM_Scribe,G9)+INDEX(v01_ScholarShare,G9)*v01_OutScholar*INDEX(LM_Scholar,G9)+INDEX(v01_ResearcherShare,G9)*v01_OutResearcher*INDEX(LM_Researcher,G9)))</x:f>
        <x:v>0</x:v>
      </x:c>
      <x:c r="AL9" s="32" t="n">
        <x:f>H9*v01_RoleScale*Arch_Roles*AE9*INDEX(v01_MonasteryPerSett,G9)*v01_OutMonastery*INDEX(LM_Monastery,G9)</x:f>
        <x:v>0</x:v>
      </x:c>
      <x:c r="AM9" s="32" t="n">
        <x:f>(AJ9+AK9+AL9)/4*INDEX(LM_All,G9)*INDEX(v01_Boon,G9)*Arch_Insight</x:f>
        <x:v>1.275113966309915</x:v>
      </x:c>
      <x:c r="AN9" s="32" t="n">
        <x:f>H9*(v01_KHPerAdult*Z9+v01_KHOfCommons*AJ9/4*INDEX(LM_All,G9))*v01_KHUsable*Arch_KH</x:f>
        <x:v>0.26853251285712476</x:v>
      </x:c>
      <x:c r="AO9" s="32" t="n">
        <x:f>MIN(AP8+AN9,AM9*v01_KHMaxRatio)</x:f>
        <x:v>0.26853251285712476</x:v>
      </x:c>
      <x:c r="AP9" s="32" t="n">
        <x:f>AP8+AN9-AO9</x:f>
        <x:v>0</x:v>
      </x:c>
      <x:c r="AQ9" s="32" t="n">
        <x:f>AM9+AO9</x:f>
        <x:v>1.5436464791670397</x:v>
      </x:c>
      <x:c r="AR9" s="10" t="n">
        <x:f>IF(H9=1,INDEX(v01_Req,G9),0)</x:f>
        <x:v>372.02</x:v>
      </x:c>
      <x:c r="AS9" s="32" t="n">
        <x:f>IF(H9=1,IF(E9=1,AS8-AR8,AS8)+AQ9,0)</x:f>
        <x:v>9.35427095037692</x:v>
      </x:c>
      <x:c r="AT9" s="11" t="n">
        <x:f>IF(AR9&gt;0,MIN(1,AS9/AR9),1)</x:f>
        <x:v>0.02514453779468018</x:v>
      </x:c>
      <x:c r="AU9" s="10" t="n">
        <x:f>AB9/INDEX(v01_RepScale,G9)</x:f>
        <x:v>12.641411255914758</x:v>
      </x:c>
      <x:c r="AV9" s="32" t="n">
        <x:f>AM9*60/v01_SeasonSeconds</x:f>
        <x:v>5.100455865239659</x:v>
      </x:c>
    </x:row>
    <x:row r="10">
      <x:c r="A10" s="8" t="n">
        <x:f>A9+1</x:f>
        <x:v>7</x:v>
      </x:c>
      <x:c r="B10" s="9" t="n">
        <x:f>A10*v01_SeasonSeconds/60</x:f>
        <x:v>1.75</x:v>
      </x:c>
      <x:c r="C10" s="9" t="n">
        <x:f>A10/4</x:f>
        <x:v>1.75</x:v>
      </x:c>
      <x:c r="D10" s="8" t="n">
        <x:f>IF(MOD(A10,4)=0,1,0)</x:f>
        <x:v>0</x:v>
      </x:c>
      <x:c r="E10" s="8" t="n">
        <x:f>IF(AND(F9&lt;=9,AS9&gt;=AR9),1,0)</x:f>
        <x:v>0</x:v>
      </x:c>
      <x:c r="F10" s="8" t="n">
        <x:f>MIN(10,F9+E10)</x:f>
        <x:v>0</x:v>
      </x:c>
      <x:c r="G10" s="8" t="n">
        <x:f>MIN(F10,9)+1</x:f>
        <x:v>1</x:v>
      </x:c>
      <x:c r="H10" s="8" t="n">
        <x:f>IF(F10&lt;=9,1,0)</x:f>
        <x:v>1</x:v>
      </x:c>
      <x:c r="I10" s="9" t="n">
        <x:f>MIN(10,F9+IF(AR9&gt;0,MIN(1,AS9/AR9),1))</x:f>
        <x:v>0.02514453779468018</x:v>
      </x:c>
      <x:c r="J10" s="32" t="n">
        <x:f>INDEX(v01_FoodCap,G10)*Arch_FoodCap*EXP(v01_CapsByProject*SUMPRODUCT((Cap_Point&lt;=I10)*(Cap_Kind="Food")*Cap_Ln))</x:f>
        <x:v>22</x:v>
      </x:c>
      <x:c r="K10" s="32" t="n">
        <x:f>J10*MIN(1,v01_LeanBase*EXP(v01_CapsByProject*SUMPRODUCT((Cap_Point&lt;=I10)*(Cap_Kind="Lean")*Cap_Ln)))</x:f>
        <x:v>22</x:v>
      </x:c>
      <x:c r="L10" s="10" t="n">
        <x:f>INDEX(v01_HousingCap,G10)*EXP(v01_CapsByProject*SUMPRODUCT((Cap_Point&lt;=I10)*(Cap_Kind="Housing")*Cap_Ln))</x:f>
        <x:v>60</x:v>
      </x:c>
      <x:c r="M10" s="10" t="n">
        <x:f>INDEX(v01_GroupCap,G10)*v01_CohesionFactor*EXP(v01_CapsByProject*SUMPRODUCT((Cap_Point&lt;=I10)*(Cap_Kind="Group")*Cap_Ln))</x:f>
        <x:v>35</x:v>
      </x:c>
      <x:c r="N10" s="32" t="n">
        <x:f>MIN(J10,L10,M10)</x:f>
        <x:v>22</x:v>
      </x:c>
      <x:c r="O10" s="10" t="n">
        <x:f>AE9*N10</x:f>
        <x:v>22</x:v>
      </x:c>
      <x:c r="P10" s="9" t="n">
        <x:f>MIN(1,(AB9/(AE9*IF(v01_GroupInCrowding=1,N10,MIN(J10,L10))))^v01_CrowdingExp)</x:f>
        <x:v>0.03599459375510598</x:v>
      </x:c>
      <x:c r="Q10" s="9" t="n">
        <x:f>IF(D10=1,INDEX(v01_WinterMult,G10),1)</x:f>
        <x:v>1</x:v>
      </x:c>
      <x:c r="R10" s="9" t="n">
        <x:f>H10*Z9*v01_WomenShare*v01_BaseFertility*INDEX(v01_FertMult,G10)*Arch_Fertility*(1-P10)</x:f>
        <x:v>0.2218858235543955</x:v>
      </x:c>
      <x:c r="S10" s="9" t="n">
        <x:f>H10*Y9*INDEX(v01_MortChild,G10)/4*Q10</x:f>
        <x:v>0.02942486699946273</x:v>
      </x:c>
      <x:c r="T10" s="9" t="n">
        <x:f>H10*Z9*INDEX(v01_MortAdult,G10)*Arch_AdultMort/4*Q10</x:f>
        <x:v>0.028771340663263364</x:v>
      </x:c>
      <x:c r="U10" s="9" t="n">
        <x:f>H10*AA9*INDEX(v01_MortElder,G10)/4*Q10</x:f>
        <x:v>0.050664176144123045</x:v>
      </x:c>
      <x:c r="V10" s="9" t="n">
        <x:f>H10*MAX(0,AB9-O10)*v01_OvercapLoss</x:f>
        <x:v>0</x:v>
      </x:c>
      <x:c r="W10" s="9" t="n">
        <x:f>H10*Y9/(v01_ChildYears*4)</x:f>
        <x:v>0.05254440535618344</x:v>
      </x:c>
      <x:c r="X10" s="9" t="n">
        <x:f>H10*Z9/(v01_AdultYears*4)</x:f>
        <x:v>0.06187385088873842</x:v>
      </x:c>
      <x:c r="Y10" s="32" t="n">
        <x:f>Y9+R10-S10-W10-Y9*V10/AB9</x:f>
        <x:v>3.0824032511450223</x:v>
      </x:c>
      <x:c r="Z10" s="32" t="n">
        <x:f>Z9+W10-X10-T10-Z9*V10/AB9</x:f>
        <x:v>7.634256724007745</x:v>
      </x:c>
      <x:c r="AA10" s="32" t="n">
        <x:f>AA9+X10-U10-AA9*V10/AB9</x:f>
        <x:v>2.037776720509537</x:v>
      </x:c>
      <x:c r="AB10" s="10" t="n">
        <x:f>Y10+Z10+AA10</x:f>
        <x:v>12.754436695662305</x:v>
      </x:c>
      <x:c r="AC10" s="8" t="n">
        <x:f>IF(AND(v01_WinterTrigger=1,D10=1,AB9/AE9&gt;=K10),1,0)</x:f>
        <x:v>0</x:v>
      </x:c>
      <x:c r="AD10" s="8" t="n">
        <x:f>H10*IF(AND(OR(AB9/AE9&gt;=v01_FissionTrigger*N10,AC10=1),AB9/AE9*v01_DaughterShare&gt;=v01_MinDaughter),MAX(1,ROUND(AE9*v01_FissionRate,0)),0)</x:f>
        <x:v>0</x:v>
      </x:c>
      <x:c r="AE10" s="8" t="n">
        <x:f>IF(H10=1,MAX(1,MIN(INDEX(v01_Smax,G10),AE9+AD10)),AE9)</x:f>
        <x:v>1</x:v>
      </x:c>
      <x:c r="AF10" s="8" t="n">
        <x:f>MAX(0,AE10-AE9)</x:f>
        <x:v>0</x:v>
      </x:c>
      <x:c r="AG10" s="9" t="str">
        <x:f>IF(AF10&gt;0,B10,"")</x:f>
      </x:c>
      <x:c r="AH10" s="9" t="n">
        <x:f>IF(F10&gt;=1,1,(1+v01_LowTiesShare*(AE10-1))/AE10)</x:f>
        <x:v>1</x:v>
      </x:c>
      <x:c r="AI10" s="32" t="n">
        <x:f>(Z10+v01_ElderCommons*INDEX(LM_Elder,G10)*AA10)*AH10</x:f>
        <x:v>11.70981016502682</x:v>
      </x:c>
      <x:c r="AJ10" s="32" t="n">
        <x:f>H10*v01_CommonsCoef*AI10^v01_CommonsExp*INDEX(LM_Commons,G10)</x:f>
        <x:v>5.094657223323153</x:v>
      </x:c>
      <x:c r="AK10" s="32" t="n">
        <x:f>H10*v01_RoleScale*Arch_Roles*(AE10*(INDEX(v01_ElderRolePerSett,G10)*v01_OutElder*INDEX(LM_Elder,G10)+INDEX(v01_ShamanPerSett,G10)*v01_OutShaman)+Z10*(INDEX(v01_PriestShare,G10)*v01_OutPriest+INDEX(v01_ScribeShare,G10)*v01_OutScribe*INDEX(LM_Scribe,G10)+INDEX(v01_ScholarShare,G10)*v01_OutScholar*INDEX(LM_Scholar,G10)+INDEX(v01_ResearcherShare,G10)*v01_OutResearcher*INDEX(LM_Researcher,G10)))</x:f>
        <x:v>0</x:v>
      </x:c>
      <x:c r="AL10" s="32" t="n">
        <x:f>H10*v01_RoleScale*Arch_Roles*AE10*INDEX(v01_MonasteryPerSett,G10)*v01_OutMonastery*INDEX(LM_Monastery,G10)</x:f>
        <x:v>0</x:v>
      </x:c>
      <x:c r="AM10" s="32" t="n">
        <x:f>(AJ10+AK10+AL10)/4*INDEX(LM_All,G10)*INDEX(v01_Boon,G10)*Arch_Insight</x:f>
        <x:v>1.2736643058307882</x:v>
      </x:c>
      <x:c r="AN10" s="32" t="n">
        <x:f>H10*(v01_KHPerAdult*Z10+v01_KHOfCommons*AJ10/4*INDEX(LM_All,G10))*v01_KHUsable*Arch_KH</x:f>
        <x:v>0.2671989853402711</x:v>
      </x:c>
      <x:c r="AO10" s="32" t="n">
        <x:f>MIN(AP9+AN10,AM10*v01_KHMaxRatio)</x:f>
        <x:v>0.2671989853402711</x:v>
      </x:c>
      <x:c r="AP10" s="32" t="n">
        <x:f>AP9+AN10-AO10</x:f>
        <x:v>0</x:v>
      </x:c>
      <x:c r="AQ10" s="32" t="n">
        <x:f>AM10+AO10</x:f>
        <x:v>1.5408632911710591</x:v>
      </x:c>
      <x:c r="AR10" s="10" t="n">
        <x:f>IF(H10=1,INDEX(v01_Req,G10),0)</x:f>
        <x:v>372.02</x:v>
      </x:c>
      <x:c r="AS10" s="32" t="n">
        <x:f>IF(H10=1,IF(E10=1,AS9-AR9,AS9)+AQ10,0)</x:f>
        <x:v>10.895134241547979</x:v>
      </x:c>
      <x:c r="AT10" s="11" t="n">
        <x:f>IF(AR10&gt;0,MIN(1,AS10/AR10),1)</x:f>
        <x:v>0.029286420734229286</x:v>
      </x:c>
      <x:c r="AU10" s="10" t="n">
        <x:f>AB10/INDEX(v01_RepScale,G10)</x:f>
        <x:v>12.754436695662305</x:v>
      </x:c>
      <x:c r="AV10" s="32" t="n">
        <x:f>AM10*60/v01_SeasonSeconds</x:f>
        <x:v>5.094657223323153</x:v>
      </x:c>
    </x:row>
    <x:row r="11">
      <x:c r="A11" s="8" t="n">
        <x:f>A10+1</x:f>
        <x:v>8</x:v>
      </x:c>
      <x:c r="B11" s="9" t="n">
        <x:f>A11*v01_SeasonSeconds/60</x:f>
        <x:v>2</x:v>
      </x:c>
      <x:c r="C11" s="9" t="n">
        <x:f>A11/4</x:f>
        <x:v>2</x:v>
      </x:c>
      <x:c r="D11" s="8" t="n">
        <x:f>IF(MOD(A11,4)=0,1,0)</x:f>
        <x:v>1</x:v>
      </x:c>
      <x:c r="E11" s="8" t="n">
        <x:f>IF(AND(F10&lt;=9,AS10&gt;=AR10),1,0)</x:f>
        <x:v>0</x:v>
      </x:c>
      <x:c r="F11" s="8" t="n">
        <x:f>MIN(10,F10+E11)</x:f>
        <x:v>0</x:v>
      </x:c>
      <x:c r="G11" s="8" t="n">
        <x:f>MIN(F11,9)+1</x:f>
        <x:v>1</x:v>
      </x:c>
      <x:c r="H11" s="8" t="n">
        <x:f>IF(F11&lt;=9,1,0)</x:f>
        <x:v>1</x:v>
      </x:c>
      <x:c r="I11" s="9" t="n">
        <x:f>MIN(10,F10+IF(AR10&gt;0,MIN(1,AS10/AR10),1))</x:f>
        <x:v>0.029286420734229286</x:v>
      </x:c>
      <x:c r="J11" s="32" t="n">
        <x:f>INDEX(v01_FoodCap,G11)*Arch_FoodCap*EXP(v01_CapsByProject*SUMPRODUCT((Cap_Point&lt;=I11)*(Cap_Kind="Food")*Cap_Ln))</x:f>
        <x:v>22</x:v>
      </x:c>
      <x:c r="K11" s="32" t="n">
        <x:f>J11*MIN(1,v01_LeanBase*EXP(v01_CapsByProject*SUMPRODUCT((Cap_Point&lt;=I11)*(Cap_Kind="Lean")*Cap_Ln)))</x:f>
        <x:v>22</x:v>
      </x:c>
      <x:c r="L11" s="10" t="n">
        <x:f>INDEX(v01_HousingCap,G11)*EXP(v01_CapsByProject*SUMPRODUCT((Cap_Point&lt;=I11)*(Cap_Kind="Housing")*Cap_Ln))</x:f>
        <x:v>60</x:v>
      </x:c>
      <x:c r="M11" s="10" t="n">
        <x:f>INDEX(v01_GroupCap,G11)*v01_CohesionFactor*EXP(v01_CapsByProject*SUMPRODUCT((Cap_Point&lt;=I11)*(Cap_Kind="Group")*Cap_Ln))</x:f>
        <x:v>35</x:v>
      </x:c>
      <x:c r="N11" s="32" t="n">
        <x:f>MIN(J11,L11,M11)</x:f>
        <x:v>22</x:v>
      </x:c>
      <x:c r="O11" s="10" t="n">
        <x:f>AE10*N11</x:f>
        <x:v>22</x:v>
      </x:c>
      <x:c r="P11" s="9" t="n">
        <x:f>MIN(1,(AB10/(AE10*IF(v01_GroupInCrowding=1,N11,MIN(J11,L11))))^v01_CrowdingExp)</x:f>
        <x:v>0.037969214326034714</x:v>
      </x:c>
      <x:c r="Q11" s="9" t="n">
        <x:f>IF(D11=1,INDEX(v01_WinterMult,G11),1)</x:f>
        <x:v>2</x:v>
      </x:c>
      <x:c r="R11" s="9" t="n">
        <x:f>H11*Z10*v01_WomenShare*v01_BaseFertility*INDEX(v01_FertMult,G11)*Arch_Fertility*(1-P11)</x:f>
        <x:v>0.2203316998270177</x:v>
      </x:c>
      <x:c r="S11" s="9" t="n">
        <x:f>H11*Y10*INDEX(v01_MortChild,G11)/4*Q11</x:f>
        <x:v>0.06164806502290045</x:v>
      </x:c>
      <x:c r="T11" s="9" t="n">
        <x:f>H11*Z10*INDEX(v01_MortAdult,G11)*Arch_AdultMort/4*Q11</x:f>
        <x:v>0.05725692543005809</x:v>
      </x:c>
      <x:c r="U11" s="9" t="n">
        <x:f>H11*AA10*INDEX(v01_MortElder,G11)/4*Q11</x:f>
        <x:v>0.10188883602547685</x:v>
      </x:c>
      <x:c r="V11" s="9" t="n">
        <x:f>H11*MAX(0,AB10-O11)*v01_OvercapLoss</x:f>
        <x:v>0</x:v>
      </x:c>
      <x:c r="W11" s="9" t="n">
        <x:f>H11*Y10/(v01_ChildYears*4)</x:f>
        <x:v>0.05504291519901826</x:v>
      </x:c>
      <x:c r="X11" s="9" t="n">
        <x:f>H11*Z10/(v01_AdultYears*4)</x:f>
        <x:v>0.06156658648393343</x:v>
      </x:c>
      <x:c r="Y11" s="32" t="n">
        <x:f>Y10+R11-S11-W11-Y10*V11/AB10</x:f>
        <x:v>3.1860439707501214</x:v>
      </x:c>
      <x:c r="Z11" s="32" t="n">
        <x:f>Z10+W11-X11-T11-Z10*V11/AB10</x:f>
        <x:v>7.570476127292772</x:v>
      </x:c>
      <x:c r="AA11" s="32" t="n">
        <x:f>AA10+X11-U11-AA10*V11/AB10</x:f>
        <x:v>1.9974544709679936</x:v>
      </x:c>
      <x:c r="AB11" s="10" t="n">
        <x:f>Y11+Z11+AA11</x:f>
        <x:v>12.753974569010886</x:v>
      </x:c>
      <x:c r="AC11" s="8" t="n">
        <x:f>IF(AND(v01_WinterTrigger=1,D11=1,AB10/AE10&gt;=K11),1,0)</x:f>
        <x:v>0</x:v>
      </x:c>
      <x:c r="AD11" s="8" t="n">
        <x:f>H11*IF(AND(OR(AB10/AE10&gt;=v01_FissionTrigger*N11,AC11=1),AB10/AE10*v01_DaughterShare&gt;=v01_MinDaughter),MAX(1,ROUND(AE10*v01_FissionRate,0)),0)</x:f>
        <x:v>0</x:v>
      </x:c>
      <x:c r="AE11" s="8" t="n">
        <x:f>IF(H11=1,MAX(1,MIN(INDEX(v01_Smax,G11),AE10+AD11)),AE10)</x:f>
        <x:v>1</x:v>
      </x:c>
      <x:c r="AF11" s="8" t="n">
        <x:f>MAX(0,AE11-AE10)</x:f>
        <x:v>0</x:v>
      </x:c>
      <x:c r="AG11" s="9" t="str">
        <x:f>IF(AF11&gt;0,B11,"")</x:f>
      </x:c>
      <x:c r="AH11" s="9" t="n">
        <x:f>IF(F11&gt;=1,1,(1+v01_LowTiesShare*(AE11-1))/AE11)</x:f>
        <x:v>1</x:v>
      </x:c>
      <x:c r="AI11" s="32" t="n">
        <x:f>(Z11+v01_ElderCommons*INDEX(LM_Elder,G11)*AA11)*AH11</x:f>
        <x:v>11.565385069228759</x:v>
      </x:c>
      <x:c r="AJ11" s="32" t="n">
        <x:f>H11*v01_CommonsCoef*AI11^v01_CommonsExp*INDEX(LM_Commons,G11)</x:f>
        <x:v>5.041197074528863</x:v>
      </x:c>
      <x:c r="AK11" s="32" t="n">
        <x:f>H11*v01_RoleScale*Arch_Roles*(AE11*(INDEX(v01_ElderRolePerSett,G11)*v01_OutElder*INDEX(LM_Elder,G11)+INDEX(v01_ShamanPerSett,G11)*v01_OutShaman)+Z11*(INDEX(v01_PriestShare,G11)*v01_OutPriest+INDEX(v01_ScribeShare,G11)*v01_OutScribe*INDEX(LM_Scribe,G11)+INDEX(v01_ScholarShare,G11)*v01_OutScholar*INDEX(LM_Scholar,G11)+INDEX(v01_ResearcherShare,G11)*v01_OutResearcher*INDEX(LM_Researcher,G11)))</x:f>
        <x:v>0</x:v>
      </x:c>
      <x:c r="AL11" s="32" t="n">
        <x:f>H11*v01_RoleScale*Arch_Roles*AE11*INDEX(v01_MonasteryPerSett,G11)*v01_OutMonastery*INDEX(LM_Monastery,G11)</x:f>
        <x:v>0</x:v>
      </x:c>
      <x:c r="AM11" s="32" t="n">
        <x:f>(AJ11+AK11+AL11)/4*INDEX(LM_All,G11)*INDEX(v01_Boon,G11)*Arch_Insight</x:f>
        <x:v>1.2602992686322156</x:v>
      </x:c>
      <x:c r="AN11" s="32" t="n">
        <x:f>H11*(v01_KHPerAdult*Z11+v01_KHOfCommons*AJ11/4*INDEX(LM_All,G11))*v01_KHUsable*Arch_KH</x:f>
        <x:v>0.264966664455247</x:v>
      </x:c>
      <x:c r="AO11" s="32" t="n">
        <x:f>MIN(AP10+AN11,AM11*v01_KHMaxRatio)</x:f>
        <x:v>0.264966664455247</x:v>
      </x:c>
      <x:c r="AP11" s="32" t="n">
        <x:f>AP10+AN11-AO11</x:f>
        <x:v>0</x:v>
      </x:c>
      <x:c r="AQ11" s="32" t="n">
        <x:f>AM11+AO11</x:f>
        <x:v>1.5252659330874627</x:v>
      </x:c>
      <x:c r="AR11" s="10" t="n">
        <x:f>IF(H11=1,INDEX(v01_Req,G11),0)</x:f>
        <x:v>372.02</x:v>
      </x:c>
      <x:c r="AS11" s="32" t="n">
        <x:f>IF(H11=1,IF(E11=1,AS10-AR10,AS10)+AQ11,0)</x:f>
        <x:v>12.420400174635441</x:v>
      </x:c>
      <x:c r="AT11" s="11" t="n">
        <x:f>IF(AR11&gt;0,MIN(1,AS11/AR11),1)</x:f>
        <x:v>0.03338637754592614</x:v>
      </x:c>
      <x:c r="AU11" s="10" t="n">
        <x:f>AB11/INDEX(v01_RepScale,G11)</x:f>
        <x:v>12.753974569010886</x:v>
      </x:c>
      <x:c r="AV11" s="32" t="n">
        <x:f>AM11*60/v01_SeasonSeconds</x:f>
        <x:v>5.041197074528863</x:v>
      </x:c>
    </x:row>
    <x:row r="12">
      <x:c r="A12" s="8" t="n">
        <x:f>A11+1</x:f>
        <x:v>9</x:v>
      </x:c>
      <x:c r="B12" s="9" t="n">
        <x:f>A12*v01_SeasonSeconds/60</x:f>
        <x:v>2.25</x:v>
      </x:c>
      <x:c r="C12" s="9" t="n">
        <x:f>A12/4</x:f>
        <x:v>2.25</x:v>
      </x:c>
      <x:c r="D12" s="8" t="n">
        <x:f>IF(MOD(A12,4)=0,1,0)</x:f>
        <x:v>0</x:v>
      </x:c>
      <x:c r="E12" s="8" t="n">
        <x:f>IF(AND(F11&lt;=9,AS11&gt;=AR11),1,0)</x:f>
        <x:v>0</x:v>
      </x:c>
      <x:c r="F12" s="8" t="n">
        <x:f>MIN(10,F11+E12)</x:f>
        <x:v>0</x:v>
      </x:c>
      <x:c r="G12" s="8" t="n">
        <x:f>MIN(F12,9)+1</x:f>
        <x:v>1</x:v>
      </x:c>
      <x:c r="H12" s="8" t="n">
        <x:f>IF(F12&lt;=9,1,0)</x:f>
        <x:v>1</x:v>
      </x:c>
      <x:c r="I12" s="9" t="n">
        <x:f>MIN(10,F11+IF(AR11&gt;0,MIN(1,AS11/AR11),1))</x:f>
        <x:v>0.03338637754592614</x:v>
      </x:c>
      <x:c r="J12" s="32" t="n">
        <x:f>INDEX(v01_FoodCap,G12)*Arch_FoodCap*EXP(v01_CapsByProject*SUMPRODUCT((Cap_Point&lt;=I12)*(Cap_Kind="Food")*Cap_Ln))</x:f>
        <x:v>22</x:v>
      </x:c>
      <x:c r="K12" s="32" t="n">
        <x:f>J12*MIN(1,v01_LeanBase*EXP(v01_CapsByProject*SUMPRODUCT((Cap_Point&lt;=I12)*(Cap_Kind="Lean")*Cap_Ln)))</x:f>
        <x:v>22</x:v>
      </x:c>
      <x:c r="L12" s="10" t="n">
        <x:f>INDEX(v01_HousingCap,G12)*EXP(v01_CapsByProject*SUMPRODUCT((Cap_Point&lt;=I12)*(Cap_Kind="Housing")*Cap_Ln))</x:f>
        <x:v>60</x:v>
      </x:c>
      <x:c r="M12" s="10" t="n">
        <x:f>INDEX(v01_GroupCap,G12)*v01_CohesionFactor*EXP(v01_CapsByProject*SUMPRODUCT((Cap_Point&lt;=I12)*(Cap_Kind="Group")*Cap_Ln))</x:f>
        <x:v>35</x:v>
      </x:c>
      <x:c r="N12" s="32" t="n">
        <x:f>MIN(J12,L12,M12)</x:f>
        <x:v>22</x:v>
      </x:c>
      <x:c r="O12" s="10" t="n">
        <x:f>AE11*N12</x:f>
        <x:v>22</x:v>
      </x:c>
      <x:c r="P12" s="9" t="n">
        <x:f>MIN(1,(AB11/(AE11*IF(v01_GroupInCrowding=1,N12,MIN(J12,L12))))^v01_CrowdingExp)</x:f>
        <x:v>0.03796096072912314</x:v>
      </x:c>
      <x:c r="Q12" s="9" t="n">
        <x:f>IF(D12=1,INDEX(v01_WinterMult,G12),1)</x:f>
        <x:v>1</x:v>
      </x:c>
      <x:c r="R12" s="9" t="n">
        <x:f>H12*Z11*v01_WomenShare*v01_BaseFertility*INDEX(v01_FertMult,G12)*Arch_Fertility*(1-P12)</x:f>
        <x:v>0.2184928074097154</x:v>
      </x:c>
      <x:c r="S12" s="9" t="n">
        <x:f>H12*Y11*INDEX(v01_MortChild,G12)/4*Q12</x:f>
        <x:v>0.031860439707501215</x:v>
      </x:c>
      <x:c r="T12" s="9" t="n">
        <x:f>H12*Z11*INDEX(v01_MortAdult,G12)*Arch_AdultMort/4*Q12</x:f>
        <x:v>0.028389285477347894</x:v>
      </x:c>
      <x:c r="U12" s="9" t="n">
        <x:f>H12*AA11*INDEX(v01_MortElder,G12)/4*Q12</x:f>
        <x:v>0.04993636177419984</x:v>
      </x:c>
      <x:c r="V12" s="9" t="n">
        <x:f>H12*MAX(0,AB11-O12)*v01_OvercapLoss</x:f>
        <x:v>0</x:v>
      </x:c>
      <x:c r="W12" s="9" t="n">
        <x:f>H12*Y11/(v01_ChildYears*4)</x:f>
        <x:v>0.056893642334823594</x:v>
      </x:c>
      <x:c r="X12" s="9" t="n">
        <x:f>H12*Z11/(v01_AdultYears*4)</x:f>
        <x:v>0.06105222683300623</x:v>
      </x:c>
      <x:c r="Y12" s="32" t="n">
        <x:f>Y11+R12-S12-W12-Y11*V12/AB11</x:f>
        <x:v>3.315782696117512</x:v>
      </x:c>
      <x:c r="Z12" s="32" t="n">
        <x:f>Z11+W12-X12-T12-Z11*V12/AB11</x:f>
        <x:v>7.537928257317241</x:v>
      </x:c>
      <x:c r="AA12" s="32" t="n">
        <x:f>AA11+X12-U12-AA11*V12/AB11</x:f>
        <x:v>2.0085703360268</x:v>
      </x:c>
      <x:c r="AB12" s="10" t="n">
        <x:f>Y12+Z12+AA12</x:f>
        <x:v>12.862281289461553</x:v>
      </x:c>
      <x:c r="AC12" s="8" t="n">
        <x:f>IF(AND(v01_WinterTrigger=1,D12=1,AB11/AE11&gt;=K12),1,0)</x:f>
        <x:v>0</x:v>
      </x:c>
      <x:c r="AD12" s="8" t="n">
        <x:f>H12*IF(AND(OR(AB11/AE11&gt;=v01_FissionTrigger*N12,AC12=1),AB11/AE11*v01_DaughterShare&gt;=v01_MinDaughter),MAX(1,ROUND(AE11*v01_FissionRate,0)),0)</x:f>
        <x:v>0</x:v>
      </x:c>
      <x:c r="AE12" s="8" t="n">
        <x:f>IF(H12=1,MAX(1,MIN(INDEX(v01_Smax,G12),AE11+AD12)),AE11)</x:f>
        <x:v>1</x:v>
      </x:c>
      <x:c r="AF12" s="8" t="n">
        <x:f>MAX(0,AE12-AE11)</x:f>
        <x:v>0</x:v>
      </x:c>
      <x:c r="AG12" s="9" t="str">
        <x:f>IF(AF12&gt;0,B12,"")</x:f>
      </x:c>
      <x:c r="AH12" s="9" t="n">
        <x:f>IF(F12&gt;=1,1,(1+v01_LowTiesShare*(AE12-1))/AE12)</x:f>
        <x:v>1</x:v>
      </x:c>
      <x:c r="AI12" s="32" t="n">
        <x:f>(Z12+v01_ElderCommons*INDEX(LM_Elder,G12)*AA12)*AH12</x:f>
        <x:v>11.55506892937084</x:v>
      </x:c>
      <x:c r="AJ12" s="32" t="n">
        <x:f>H12*v01_CommonsCoef*AI12^v01_CommonsExp*INDEX(LM_Commons,G12)</x:f>
        <x:v>5.037374651154324</x:v>
      </x:c>
      <x:c r="AK12" s="32" t="n">
        <x:f>H12*v01_RoleScale*Arch_Roles*(AE12*(INDEX(v01_ElderRolePerSett,G12)*v01_OutElder*INDEX(LM_Elder,G12)+INDEX(v01_ShamanPerSett,G12)*v01_OutShaman)+Z12*(INDEX(v01_PriestShare,G12)*v01_OutPriest+INDEX(v01_ScribeShare,G12)*v01_OutScribe*INDEX(LM_Scribe,G12)+INDEX(v01_ScholarShare,G12)*v01_OutScholar*INDEX(LM_Scholar,G12)+INDEX(v01_ResearcherShare,G12)*v01_OutResearcher*INDEX(LM_Researcher,G12)))</x:f>
        <x:v>0</x:v>
      </x:c>
      <x:c r="AL12" s="32" t="n">
        <x:f>H12*v01_RoleScale*Arch_Roles*AE12*INDEX(v01_MonasteryPerSett,G12)*v01_OutMonastery*INDEX(LM_Monastery,G12)</x:f>
        <x:v>0</x:v>
      </x:c>
      <x:c r="AM12" s="32" t="n">
        <x:f>(AJ12+AK12+AL12)/4*INDEX(LM_All,G12)*INDEX(v01_Boon,G12)*Arch_Insight</x:f>
        <x:v>1.259343662788581</x:v>
      </x:c>
      <x:c r="AN12" s="32" t="n">
        <x:f>H12*(v01_KHPerAdult*Z12+v01_KHOfCommons*AJ12/4*INDEX(LM_All,G12))*v01_KHUsable*Arch_KH</x:f>
        <x:v>0.2638274890061034</x:v>
      </x:c>
      <x:c r="AO12" s="32" t="n">
        <x:f>MIN(AP11+AN12,AM12*v01_KHMaxRatio)</x:f>
        <x:v>0.2638274890061034</x:v>
      </x:c>
      <x:c r="AP12" s="32" t="n">
        <x:f>AP11+AN12-AO12</x:f>
        <x:v>0</x:v>
      </x:c>
      <x:c r="AQ12" s="32" t="n">
        <x:f>AM12+AO12</x:f>
        <x:v>1.5231711517946844</x:v>
      </x:c>
      <x:c r="AR12" s="10" t="n">
        <x:f>IF(H12=1,INDEX(v01_Req,G12),0)</x:f>
        <x:v>372.02</x:v>
      </x:c>
      <x:c r="AS12" s="32" t="n">
        <x:f>IF(H12=1,IF(E12=1,AS11-AR11,AS11)+AQ12,0)</x:f>
        <x:v>13.943571326430126</x:v>
      </x:c>
      <x:c r="AT12" s="11" t="n">
        <x:f>IF(AR12&gt;0,MIN(1,AS12/AR12),1)</x:f>
        <x:v>0.037480703527848304</x:v>
      </x:c>
      <x:c r="AU12" s="10" t="n">
        <x:f>AB12/INDEX(v01_RepScale,G12)</x:f>
        <x:v>12.862281289461553</x:v>
      </x:c>
      <x:c r="AV12" s="32" t="n">
        <x:f>AM12*60/v01_SeasonSeconds</x:f>
        <x:v>5.037374651154324</x:v>
      </x:c>
    </x:row>
    <x:row r="13">
      <x:c r="A13" s="8" t="n">
        <x:f>A12+1</x:f>
        <x:v>10</x:v>
      </x:c>
      <x:c r="B13" s="9" t="n">
        <x:f>A13*v01_SeasonSeconds/60</x:f>
        <x:v>2.5</x:v>
      </x:c>
      <x:c r="C13" s="9" t="n">
        <x:f>A13/4</x:f>
        <x:v>2.5</x:v>
      </x:c>
      <x:c r="D13" s="8" t="n">
        <x:f>IF(MOD(A13,4)=0,1,0)</x:f>
        <x:v>0</x:v>
      </x:c>
      <x:c r="E13" s="8" t="n">
        <x:f>IF(AND(F12&lt;=9,AS12&gt;=AR12),1,0)</x:f>
        <x:v>0</x:v>
      </x:c>
      <x:c r="F13" s="8" t="n">
        <x:f>MIN(10,F12+E13)</x:f>
        <x:v>0</x:v>
      </x:c>
      <x:c r="G13" s="8" t="n">
        <x:f>MIN(F13,9)+1</x:f>
        <x:v>1</x:v>
      </x:c>
      <x:c r="H13" s="8" t="n">
        <x:f>IF(F13&lt;=9,1,0)</x:f>
        <x:v>1</x:v>
      </x:c>
      <x:c r="I13" s="9" t="n">
        <x:f>MIN(10,F12+IF(AR12&gt;0,MIN(1,AS12/AR12),1))</x:f>
        <x:v>0.037480703527848304</x:v>
      </x:c>
      <x:c r="J13" s="32" t="n">
        <x:f>INDEX(v01_FoodCap,G13)*Arch_FoodCap*EXP(v01_CapsByProject*SUMPRODUCT((Cap_Point&lt;=I13)*(Cap_Kind="Food")*Cap_Ln))</x:f>
        <x:v>22</x:v>
      </x:c>
      <x:c r="K13" s="32" t="n">
        <x:f>J13*MIN(1,v01_LeanBase*EXP(v01_CapsByProject*SUMPRODUCT((Cap_Point&lt;=I13)*(Cap_Kind="Lean")*Cap_Ln)))</x:f>
        <x:v>22</x:v>
      </x:c>
      <x:c r="L13" s="10" t="n">
        <x:f>INDEX(v01_HousingCap,G13)*EXP(v01_CapsByProject*SUMPRODUCT((Cap_Point&lt;=I13)*(Cap_Kind="Housing")*Cap_Ln))</x:f>
        <x:v>60</x:v>
      </x:c>
      <x:c r="M13" s="10" t="n">
        <x:f>INDEX(v01_GroupCap,G13)*v01_CohesionFactor*EXP(v01_CapsByProject*SUMPRODUCT((Cap_Point&lt;=I13)*(Cap_Kind="Group")*Cap_Ln))</x:f>
        <x:v>35</x:v>
      </x:c>
      <x:c r="N13" s="32" t="n">
        <x:f>MIN(J13,L13,M13)</x:f>
        <x:v>22</x:v>
      </x:c>
      <x:c r="O13" s="10" t="n">
        <x:f>AE12*N13</x:f>
        <x:v>22</x:v>
      </x:c>
      <x:c r="P13" s="9" t="n">
        <x:f>MIN(1,(AB12/(AE12*IF(v01_GroupInCrowding=1,N13,MIN(J13,L13))))^v01_CrowdingExp)</x:f>
        <x:v>0.039936677710496644</x:v>
      </x:c>
      <x:c r="Q13" s="9" t="n">
        <x:f>IF(D13=1,INDEX(v01_WinterMult,G13),1)</x:f>
        <x:v>1</x:v>
      </x:c>
      <x:c r="R13" s="9" t="n">
        <x:f>H13*Z12*v01_WomenShare*v01_BaseFertility*INDEX(v01_FertMult,G13)*Arch_Fertility*(1-P13)</x:f>
        <x:v>0.2171066533769975</x:v>
      </x:c>
      <x:c r="S13" s="9" t="n">
        <x:f>H13*Y12*INDEX(v01_MortChild,G13)/4*Q13</x:f>
        <x:v>0.03315782696117512</x:v>
      </x:c>
      <x:c r="T13" s="9" t="n">
        <x:f>H13*Z12*INDEX(v01_MortAdult,G13)*Arch_AdultMort/4*Q13</x:f>
        <x:v>0.028267230964939653</x:v>
      </x:c>
      <x:c r="U13" s="9" t="n">
        <x:f>H13*AA12*INDEX(v01_MortElder,G13)/4*Q13</x:f>
        <x:v>0.05021425840067</x:v>
      </x:c>
      <x:c r="V13" s="9" t="n">
        <x:f>H13*MAX(0,AB12-O13)*v01_OvercapLoss</x:f>
        <x:v>0</x:v>
      </x:c>
      <x:c r="W13" s="9" t="n">
        <x:f>H13*Y12/(v01_ChildYears*4)</x:f>
        <x:v>0.05921040528781272</x:v>
      </x:c>
      <x:c r="X13" s="9" t="n">
        <x:f>H13*Z12/(v01_AdultYears*4)</x:f>
        <x:v>0.06078974401062291</x:v>
      </x:c>
      <x:c r="Y13" s="32" t="n">
        <x:f>Y12+R13-S13-W13-Y12*V13/AB12</x:f>
        <x:v>3.4405211172455217</x:v>
      </x:c>
      <x:c r="Z13" s="32" t="n">
        <x:f>Z12+W13-X13-T13-Z12*V13/AB12</x:f>
        <x:v>7.508081687629492</x:v>
      </x:c>
      <x:c r="AA13" s="32" t="n">
        <x:f>AA12+X13-U13-AA12*V13/AB12</x:f>
        <x:v>2.019145821636753</x:v>
      </x:c>
      <x:c r="AB13" s="10" t="n">
        <x:f>Y13+Z13+AA13</x:f>
        <x:v>12.967748626511767</x:v>
      </x:c>
      <x:c r="AC13" s="8" t="n">
        <x:f>IF(AND(v01_WinterTrigger=1,D13=1,AB12/AE12&gt;=K13),1,0)</x:f>
        <x:v>0</x:v>
      </x:c>
      <x:c r="AD13" s="8" t="n">
        <x:f>H13*IF(AND(OR(AB12/AE12&gt;=v01_FissionTrigger*N13,AC13=1),AB12/AE12*v01_DaughterShare&gt;=v01_MinDaughter),MAX(1,ROUND(AE12*v01_FissionRate,0)),0)</x:f>
        <x:v>0</x:v>
      </x:c>
      <x:c r="AE13" s="8" t="n">
        <x:f>IF(H13=1,MAX(1,MIN(INDEX(v01_Smax,G13),AE12+AD13)),AE12)</x:f>
        <x:v>1</x:v>
      </x:c>
      <x:c r="AF13" s="8" t="n">
        <x:f>MAX(0,AE13-AE12)</x:f>
        <x:v>0</x:v>
      </x:c>
      <x:c r="AG13" s="9" t="str">
        <x:f>IF(AF13&gt;0,B13,"")</x:f>
      </x:c>
      <x:c r="AH13" s="9" t="n">
        <x:f>IF(F13&gt;=1,1,(1+v01_LowTiesShare*(AE13-1))/AE13)</x:f>
        <x:v>1</x:v>
      </x:c>
      <x:c r="AI13" s="32" t="n">
        <x:f>(Z13+v01_ElderCommons*INDEX(LM_Elder,G13)*AA13)*AH13</x:f>
        <x:v>11.546373330902998</x:v>
      </x:c>
      <x:c r="AJ13" s="32" t="n">
        <x:f>H13*v01_CommonsCoef*AI13^v01_CommonsExp*INDEX(LM_Commons,G13)</x:f>
        <x:v>5.034152286887346</x:v>
      </x:c>
      <x:c r="AK13" s="32" t="n">
        <x:f>H13*v01_RoleScale*Arch_Roles*(AE13*(INDEX(v01_ElderRolePerSett,G13)*v01_OutElder*INDEX(LM_Elder,G13)+INDEX(v01_ShamanPerSett,G13)*v01_OutShaman)+Z13*(INDEX(v01_PriestShare,G13)*v01_OutPriest+INDEX(v01_ScribeShare,G13)*v01_OutScribe*INDEX(LM_Scribe,G13)+INDEX(v01_ScholarShare,G13)*v01_OutScholar*INDEX(LM_Scholar,G13)+INDEX(v01_ResearcherShare,G13)*v01_OutResearcher*INDEX(LM_Researcher,G13)))</x:f>
        <x:v>0</x:v>
      </x:c>
      <x:c r="AL13" s="32" t="n">
        <x:f>H13*v01_RoleScale*Arch_Roles*AE13*INDEX(v01_MonasteryPerSett,G13)*v01_OutMonastery*INDEX(LM_Monastery,G13)</x:f>
        <x:v>0</x:v>
      </x:c>
      <x:c r="AM13" s="32" t="n">
        <x:f>(AJ13+AK13+AL13)/4*INDEX(LM_All,G13)*INDEX(v01_Boon,G13)*Arch_Insight</x:f>
        <x:v>1.2585380717218364</x:v>
      </x:c>
      <x:c r="AN13" s="32" t="n">
        <x:f>H13*(v01_KHPerAdult*Z13+v01_KHOfCommons*AJ13/4*INDEX(LM_All,G13))*v01_KHUsable*Arch_KH</x:f>
        <x:v>0.2627828590670322</x:v>
      </x:c>
      <x:c r="AO13" s="32" t="n">
        <x:f>MIN(AP12+AN13,AM13*v01_KHMaxRatio)</x:f>
        <x:v>0.2627828590670322</x:v>
      </x:c>
      <x:c r="AP13" s="32" t="n">
        <x:f>AP12+AN13-AO13</x:f>
        <x:v>0</x:v>
      </x:c>
      <x:c r="AQ13" s="32" t="n">
        <x:f>AM13+AO13</x:f>
        <x:v>1.5213209307888687</x:v>
      </x:c>
      <x:c r="AR13" s="10" t="n">
        <x:f>IF(H13=1,INDEX(v01_Req,G13),0)</x:f>
        <x:v>372.02</x:v>
      </x:c>
      <x:c r="AS13" s="32" t="n">
        <x:f>IF(H13=1,IF(E13=1,AS12-AR12,AS12)+AQ13,0)</x:f>
        <x:v>15.464892257218995</x:v>
      </x:c>
      <x:c r="AT13" s="11" t="n">
        <x:f>IF(AR13&gt;0,MIN(1,AS13/AR13),1)</x:f>
        <x:v>0.04157005606477877</x:v>
      </x:c>
      <x:c r="AU13" s="10" t="n">
        <x:f>AB13/INDEX(v01_RepScale,G13)</x:f>
        <x:v>12.967748626511767</x:v>
      </x:c>
      <x:c r="AV13" s="32" t="n">
        <x:f>AM13*60/v01_SeasonSeconds</x:f>
        <x:v>5.034152286887346</x:v>
      </x:c>
    </x:row>
    <x:row r="14">
      <x:c r="A14" s="8" t="n">
        <x:f>A13+1</x:f>
        <x:v>11</x:v>
      </x:c>
      <x:c r="B14" s="9" t="n">
        <x:f>A14*v01_SeasonSeconds/60</x:f>
        <x:v>2.75</x:v>
      </x:c>
      <x:c r="C14" s="9" t="n">
        <x:f>A14/4</x:f>
        <x:v>2.75</x:v>
      </x:c>
      <x:c r="D14" s="8" t="n">
        <x:f>IF(MOD(A14,4)=0,1,0)</x:f>
        <x:v>0</x:v>
      </x:c>
      <x:c r="E14" s="8" t="n">
        <x:f>IF(AND(F13&lt;=9,AS13&gt;=AR13),1,0)</x:f>
        <x:v>0</x:v>
      </x:c>
      <x:c r="F14" s="8" t="n">
        <x:f>MIN(10,F13+E14)</x:f>
        <x:v>0</x:v>
      </x:c>
      <x:c r="G14" s="8" t="n">
        <x:f>MIN(F14,9)+1</x:f>
        <x:v>1</x:v>
      </x:c>
      <x:c r="H14" s="8" t="n">
        <x:f>IF(F14&lt;=9,1,0)</x:f>
        <x:v>1</x:v>
      </x:c>
      <x:c r="I14" s="9" t="n">
        <x:f>MIN(10,F13+IF(AR13&gt;0,MIN(1,AS13/AR13),1))</x:f>
        <x:v>0.04157005606477877</x:v>
      </x:c>
      <x:c r="J14" s="32" t="n">
        <x:f>INDEX(v01_FoodCap,G14)*Arch_FoodCap*EXP(v01_CapsByProject*SUMPRODUCT((Cap_Point&lt;=I14)*(Cap_Kind="Food")*Cap_Ln))</x:f>
        <x:v>22</x:v>
      </x:c>
      <x:c r="K14" s="32" t="n">
        <x:f>J14*MIN(1,v01_LeanBase*EXP(v01_CapsByProject*SUMPRODUCT((Cap_Point&lt;=I14)*(Cap_Kind="Lean")*Cap_Ln)))</x:f>
        <x:v>22</x:v>
      </x:c>
      <x:c r="L14" s="10" t="n">
        <x:f>INDEX(v01_HousingCap,G14)*EXP(v01_CapsByProject*SUMPRODUCT((Cap_Point&lt;=I14)*(Cap_Kind="Housing")*Cap_Ln))</x:f>
        <x:v>60</x:v>
      </x:c>
      <x:c r="M14" s="10" t="n">
        <x:f>INDEX(v01_GroupCap,G14)*v01_CohesionFactor*EXP(v01_CapsByProject*SUMPRODUCT((Cap_Point&lt;=I14)*(Cap_Kind="Group")*Cap_Ln))</x:f>
        <x:v>35</x:v>
      </x:c>
      <x:c r="N14" s="32" t="n">
        <x:f>MIN(J14,L14,M14)</x:f>
        <x:v>22</x:v>
      </x:c>
      <x:c r="O14" s="10" t="n">
        <x:f>AE13*N14</x:f>
        <x:v>22</x:v>
      </x:c>
      <x:c r="P14" s="9" t="n">
        <x:f>MIN(1,(AB13/(AE13*IF(v01_GroupInCrowding=1,N14,MIN(J14,L14))))^v01_CrowdingExp)</x:f>
        <x:v>0.04194222011112375</x:v>
      </x:c>
      <x:c r="Q14" s="9" t="n">
        <x:f>IF(D14=1,INDEX(v01_WinterMult,G14),1)</x:f>
        <x:v>1</x:v>
      </x:c>
      <x:c r="R14" s="9" t="n">
        <x:f>H14*Z13*v01_WomenShare*v01_BaseFertility*INDEX(v01_FertMult,G14)*Arch_Fertility*(1-P14)</x:f>
        <x:v>0.21579528218623914</x:v>
      </x:c>
      <x:c r="S14" s="9" t="n">
        <x:f>H14*Y13*INDEX(v01_MortChild,G14)/4*Q14</x:f>
        <x:v>0.034405211172455215</x:v>
      </x:c>
      <x:c r="T14" s="9" t="n">
        <x:f>H14*Z13*INDEX(v01_MortAdult,G14)*Arch_AdultMort/4*Q14</x:f>
        <x:v>0.02815530632861059</x:v>
      </x:c>
      <x:c r="U14" s="9" t="n">
        <x:f>H14*AA13*INDEX(v01_MortElder,G14)/4*Q14</x:f>
        <x:v>0.050478645540918826</x:v>
      </x:c>
      <x:c r="V14" s="9" t="n">
        <x:f>H14*MAX(0,AB13-O14)*v01_OvercapLoss</x:f>
        <x:v>0</x:v>
      </x:c>
      <x:c r="W14" s="9" t="n">
        <x:f>H14*Y13/(v01_ChildYears*4)</x:f>
        <x:v>0.06143787709367003</x:v>
      </x:c>
      <x:c r="X14" s="9" t="n">
        <x:f>H14*Z13/(v01_AdultYears*4)</x:f>
        <x:v>0.060549045867979774</x:v>
      </x:c>
      <x:c r="Y14" s="32" t="n">
        <x:f>Y13+R14-S14-W14-Y13*V14/AB13</x:f>
        <x:v>3.560473311165636</x:v>
      </x:c>
      <x:c r="Z14" s="32" t="n">
        <x:f>Z13+W14-X14-T14-Z13*V14/AB13</x:f>
        <x:v>7.480815212526572</x:v>
      </x:c>
      <x:c r="AA14" s="32" t="n">
        <x:f>AA13+X14-U14-AA13*V14/AB13</x:f>
        <x:v>2.0292162219638135</x:v>
      </x:c>
      <x:c r="AB14" s="10" t="n">
        <x:f>Y14+Z14+AA14</x:f>
        <x:v>13.07050474565602</x:v>
      </x:c>
      <x:c r="AC14" s="8" t="n">
        <x:f>IF(AND(v01_WinterTrigger=1,D14=1,AB13/AE13&gt;=K14),1,0)</x:f>
        <x:v>0</x:v>
      </x:c>
      <x:c r="AD14" s="8" t="n">
        <x:f>H14*IF(AND(OR(AB13/AE13&gt;=v01_FissionTrigger*N14,AC14=1),AB13/AE13*v01_DaughterShare&gt;=v01_MinDaughter),MAX(1,ROUND(AE13*v01_FissionRate,0)),0)</x:f>
        <x:v>0</x:v>
      </x:c>
      <x:c r="AE14" s="8" t="n">
        <x:f>IF(H14=1,MAX(1,MIN(INDEX(v01_Smax,G14),AE13+AD14)),AE13)</x:f>
        <x:v>1</x:v>
      </x:c>
      <x:c r="AF14" s="8" t="n">
        <x:f>MAX(0,AE14-AE13)</x:f>
        <x:v>0</x:v>
      </x:c>
      <x:c r="AG14" s="9" t="str">
        <x:f>IF(AF14&gt;0,B14,"")</x:f>
      </x:c>
      <x:c r="AH14" s="9" t="n">
        <x:f>IF(F14&gt;=1,1,(1+v01_LowTiesShare*(AE14-1))/AE14)</x:f>
        <x:v>1</x:v>
      </x:c>
      <x:c r="AI14" s="32" t="n">
        <x:f>(Z14+v01_ElderCommons*INDEX(LM_Elder,G14)*AA14)*AH14</x:f>
        <x:v>11.539247656454199</x:v>
      </x:c>
      <x:c r="AJ14" s="32" t="n">
        <x:f>H14*v01_CommonsCoef*AI14^v01_CommonsExp*INDEX(LM_Commons,G14)</x:f>
        <x:v>5.031511424556561</x:v>
      </x:c>
      <x:c r="AK14" s="32" t="n">
        <x:f>H14*v01_RoleScale*Arch_Roles*(AE14*(INDEX(v01_ElderRolePerSett,G14)*v01_OutElder*INDEX(LM_Elder,G14)+INDEX(v01_ShamanPerSett,G14)*v01_OutShaman)+Z14*(INDEX(v01_PriestShare,G14)*v01_OutPriest+INDEX(v01_ScribeShare,G14)*v01_OutScribe*INDEX(LM_Scribe,G14)+INDEX(v01_ScholarShare,G14)*v01_OutScholar*INDEX(LM_Scholar,G14)+INDEX(v01_ResearcherShare,G14)*v01_OutResearcher*INDEX(LM_Researcher,G14)))</x:f>
        <x:v>0</x:v>
      </x:c>
      <x:c r="AL14" s="32" t="n">
        <x:f>H14*v01_RoleScale*Arch_Roles*AE14*INDEX(v01_MonasteryPerSett,G14)*v01_OutMonastery*INDEX(LM_Monastery,G14)</x:f>
        <x:v>0</x:v>
      </x:c>
      <x:c r="AM14" s="32" t="n">
        <x:f>(AJ14+AK14+AL14)/4*INDEX(LM_All,G14)*INDEX(v01_Boon,G14)*Arch_Insight</x:f>
        <x:v>1.2578778561391402</x:v>
      </x:c>
      <x:c r="AN14" s="32" t="n">
        <x:f>H14*(v01_KHPerAdult*Z14+v01_KHOfCommons*AJ14/4*INDEX(LM_All,G14))*v01_KHUsable*Arch_KH</x:f>
        <x:v>0.26182853243843</x:v>
      </x:c>
      <x:c r="AO14" s="32" t="n">
        <x:f>MIN(AP13+AN14,AM14*v01_KHMaxRatio)</x:f>
        <x:v>0.26182853243843</x:v>
      </x:c>
      <x:c r="AP14" s="32" t="n">
        <x:f>AP13+AN14-AO14</x:f>
        <x:v>0</x:v>
      </x:c>
      <x:c r="AQ14" s="32" t="n">
        <x:f>AM14+AO14</x:f>
        <x:v>1.5197063885775701</x:v>
      </x:c>
      <x:c r="AR14" s="10" t="n">
        <x:f>IF(H14=1,INDEX(v01_Req,G14),0)</x:f>
        <x:v>372.02</x:v>
      </x:c>
      <x:c r="AS14" s="32" t="n">
        <x:f>IF(H14=1,IF(E14=1,AS13-AR13,AS13)+AQ14,0)</x:f>
        <x:v>16.984598645796567</x:v>
      </x:c>
      <x:c r="AT14" s="11" t="n">
        <x:f>IF(AR14&gt;0,MIN(1,AS14/AR14),1)</x:f>
        <x:v>0.04565506866780433</x:v>
      </x:c>
      <x:c r="AU14" s="10" t="n">
        <x:f>AB14/INDEX(v01_RepScale,G14)</x:f>
        <x:v>13.07050474565602</x:v>
      </x:c>
      <x:c r="AV14" s="32" t="n">
        <x:f>AM14*60/v01_SeasonSeconds</x:f>
        <x:v>5.031511424556561</x:v>
      </x:c>
    </x:row>
    <x:row r="15">
      <x:c r="A15" s="8" t="n">
        <x:f>A14+1</x:f>
        <x:v>12</x:v>
      </x:c>
      <x:c r="B15" s="9" t="n">
        <x:f>A15*v01_SeasonSeconds/60</x:f>
        <x:v>3</x:v>
      </x:c>
      <x:c r="C15" s="9" t="n">
        <x:f>A15/4</x:f>
        <x:v>3</x:v>
      </x:c>
      <x:c r="D15" s="8" t="n">
        <x:f>IF(MOD(A15,4)=0,1,0)</x:f>
        <x:v>1</x:v>
      </x:c>
      <x:c r="E15" s="8" t="n">
        <x:f>IF(AND(F14&lt;=9,AS14&gt;=AR14),1,0)</x:f>
        <x:v>0</x:v>
      </x:c>
      <x:c r="F15" s="8" t="n">
        <x:f>MIN(10,F14+E15)</x:f>
        <x:v>0</x:v>
      </x:c>
      <x:c r="G15" s="8" t="n">
        <x:f>MIN(F15,9)+1</x:f>
        <x:v>1</x:v>
      </x:c>
      <x:c r="H15" s="8" t="n">
        <x:f>IF(F15&lt;=9,1,0)</x:f>
        <x:v>1</x:v>
      </x:c>
      <x:c r="I15" s="9" t="n">
        <x:f>MIN(10,F14+IF(AR14&gt;0,MIN(1,AS14/AR14),1))</x:f>
        <x:v>0.04565506866780433</x:v>
      </x:c>
      <x:c r="J15" s="32" t="n">
        <x:f>INDEX(v01_FoodCap,G15)*Arch_FoodCap*EXP(v01_CapsByProject*SUMPRODUCT((Cap_Point&lt;=I15)*(Cap_Kind="Food")*Cap_Ln))</x:f>
        <x:v>22</x:v>
      </x:c>
      <x:c r="K15" s="32" t="n">
        <x:f>J15*MIN(1,v01_LeanBase*EXP(v01_CapsByProject*SUMPRODUCT((Cap_Point&lt;=I15)*(Cap_Kind="Lean")*Cap_Ln)))</x:f>
        <x:v>22</x:v>
      </x:c>
      <x:c r="L15" s="10" t="n">
        <x:f>INDEX(v01_HousingCap,G15)*EXP(v01_CapsByProject*SUMPRODUCT((Cap_Point&lt;=I15)*(Cap_Kind="Housing")*Cap_Ln))</x:f>
        <x:v>60</x:v>
      </x:c>
      <x:c r="M15" s="10" t="n">
        <x:f>INDEX(v01_GroupCap,G15)*v01_CohesionFactor*EXP(v01_CapsByProject*SUMPRODUCT((Cap_Point&lt;=I15)*(Cap_Kind="Group")*Cap_Ln))</x:f>
        <x:v>35</x:v>
      </x:c>
      <x:c r="N15" s="32" t="n">
        <x:f>MIN(J15,L15,M15)</x:f>
        <x:v>22</x:v>
      </x:c>
      <x:c r="O15" s="10" t="n">
        <x:f>AE14*N15</x:f>
        <x:v>22</x:v>
      </x:c>
      <x:c r="P15" s="9" t="n">
        <x:f>MIN(1,(AB14/(AE14*IF(v01_GroupInCrowding=1,N15,MIN(J15,L15))))^v01_CrowdingExp)</x:f>
        <x:v>0.043976237535726485</x:v>
      </x:c>
      <x:c r="Q15" s="9" t="n">
        <x:f>IF(D15=1,INDEX(v01_WinterMult,G15),1)</x:f>
        <x:v>2</x:v>
      </x:c>
      <x:c r="R15" s="9" t="n">
        <x:f>H15*Z14*v01_WomenShare*v01_BaseFertility*INDEX(v01_FertMult,G15)*Arch_Fertility*(1-P15)</x:f>
        <x:v>0.21455511317338882</x:v>
      </x:c>
      <x:c r="S15" s="9" t="n">
        <x:f>H15*Y14*INDEX(v01_MortChild,G15)/4*Q15</x:f>
        <x:v>0.07120946622331271</x:v>
      </x:c>
      <x:c r="T15" s="9" t="n">
        <x:f>H15*Z14*INDEX(v01_MortAdult,G15)*Arch_AdultMort/4*Q15</x:f>
        <x:v>0.05610611409394929</x:v>
      </x:c>
      <x:c r="U15" s="9" t="n">
        <x:f>H15*AA14*INDEX(v01_MortElder,G15)/4*Q15</x:f>
        <x:v>0.10146081109819068</x:v>
      </x:c>
      <x:c r="V15" s="9" t="n">
        <x:f>H15*MAX(0,AB14-O15)*v01_OvercapLoss</x:f>
        <x:v>0</x:v>
      </x:c>
      <x:c r="W15" s="9" t="n">
        <x:f>H15*Y14/(v01_ChildYears*4)</x:f>
        <x:v>0.06357988055652922</x:v>
      </x:c>
      <x:c r="X15" s="9" t="n">
        <x:f>H15*Z14/(v01_AdultYears*4)</x:f>
        <x:v>0.06032915493973042</x:v>
      </x:c>
      <x:c r="Y15" s="32" t="n">
        <x:f>Y14+R15-S15-W15-Y14*V15/AB14</x:f>
        <x:v>3.6402390775591824</x:v>
      </x:c>
      <x:c r="Z15" s="32" t="n">
        <x:f>Z14+W15-X15-T15-Z14*V15/AB14</x:f>
        <x:v>7.427959824049421</x:v>
      </x:c>
      <x:c r="AA15" s="32" t="n">
        <x:f>AA14+X15-U15-AA14*V15/AB14</x:f>
        <x:v>1.988084565805353</x:v>
      </x:c>
      <x:c r="AB15" s="10" t="n">
        <x:f>Y15+Z15+AA15</x:f>
        <x:v>13.056283467413957</x:v>
      </x:c>
      <x:c r="AC15" s="8" t="n">
        <x:f>IF(AND(v01_WinterTrigger=1,D15=1,AB14/AE14&gt;=K15),1,0)</x:f>
        <x:v>0</x:v>
      </x:c>
      <x:c r="AD15" s="8" t="n">
        <x:f>H15*IF(AND(OR(AB14/AE14&gt;=v01_FissionTrigger*N15,AC15=1),AB14/AE14*v01_DaughterShare&gt;=v01_MinDaughter),MAX(1,ROUND(AE14*v01_FissionRate,0)),0)</x:f>
        <x:v>0</x:v>
      </x:c>
      <x:c r="AE15" s="8" t="n">
        <x:f>IF(H15=1,MAX(1,MIN(INDEX(v01_Smax,G15),AE14+AD15)),AE14)</x:f>
        <x:v>1</x:v>
      </x:c>
      <x:c r="AF15" s="8" t="n">
        <x:f>MAX(0,AE15-AE14)</x:f>
        <x:v>0</x:v>
      </x:c>
      <x:c r="AG15" s="9" t="str">
        <x:f>IF(AF15&gt;0,B15,"")</x:f>
      </x:c>
      <x:c r="AH15" s="9" t="n">
        <x:f>IF(F15&gt;=1,1,(1+v01_LowTiesShare*(AE15-1))/AE15)</x:f>
        <x:v>1</x:v>
      </x:c>
      <x:c r="AI15" s="32" t="n">
        <x:f>(Z15+v01_ElderCommons*INDEX(LM_Elder,G15)*AA15)*AH15</x:f>
        <x:v>11.404128955660127</x:v>
      </x:c>
      <x:c r="AJ15" s="32" t="n">
        <x:f>H15*v01_CommonsCoef*AI15^v01_CommonsExp*INDEX(LM_Commons,G15)</x:f>
        <x:v>4.981388279729499</x:v>
      </x:c>
      <x:c r="AK15" s="32" t="n">
        <x:f>H15*v01_RoleScale*Arch_Roles*(AE15*(INDEX(v01_ElderRolePerSett,G15)*v01_OutElder*INDEX(LM_Elder,G15)+INDEX(v01_ShamanPerSett,G15)*v01_OutShaman)+Z15*(INDEX(v01_PriestShare,G15)*v01_OutPriest+INDEX(v01_ScribeShare,G15)*v01_OutScribe*INDEX(LM_Scribe,G15)+INDEX(v01_ScholarShare,G15)*v01_OutScholar*INDEX(LM_Scholar,G15)+INDEX(v01_ResearcherShare,G15)*v01_OutResearcher*INDEX(LM_Researcher,G15)))</x:f>
        <x:v>0</x:v>
      </x:c>
      <x:c r="AL15" s="32" t="n">
        <x:f>H15*v01_RoleScale*Arch_Roles*AE15*INDEX(v01_MonasteryPerSett,G15)*v01_OutMonastery*INDEX(LM_Monastery,G15)</x:f>
        <x:v>0</x:v>
      </x:c>
      <x:c r="AM15" s="32" t="n">
        <x:f>(AJ15+AK15+AL15)/4*INDEX(LM_All,G15)*INDEX(v01_Boon,G15)*Arch_Insight</x:f>
        <x:v>1.2453470699323748</x:v>
      </x:c>
      <x:c r="AN15" s="32" t="n">
        <x:f>H15*(v01_KHPerAdult*Z15+v01_KHOfCommons*AJ15/4*INDEX(LM_All,G15))*v01_KHUsable*Arch_KH</x:f>
        <x:v>0.2599785938417297</x:v>
      </x:c>
      <x:c r="AO15" s="32" t="n">
        <x:f>MIN(AP14+AN15,AM15*v01_KHMaxRatio)</x:f>
        <x:v>0.2599785938417297</x:v>
      </x:c>
      <x:c r="AP15" s="32" t="n">
        <x:f>AP14+AN15-AO15</x:f>
        <x:v>0</x:v>
      </x:c>
      <x:c r="AQ15" s="32" t="n">
        <x:f>AM15+AO15</x:f>
        <x:v>1.5053256637741046</x:v>
      </x:c>
      <x:c r="AR15" s="10" t="n">
        <x:f>IF(H15=1,INDEX(v01_Req,G15),0)</x:f>
        <x:v>372.02</x:v>
      </x:c>
      <x:c r="AS15" s="32" t="n">
        <x:f>IF(H15=1,IF(E15=1,AS14-AR14,AS14)+AQ15,0)</x:f>
        <x:v>18.48992430957067</x:v>
      </x:c>
      <x:c r="AT15" s="11" t="n">
        <x:f>IF(AR15&gt;0,MIN(1,AS15/AR15),1)</x:f>
        <x:v>0.049701425486722954</x:v>
      </x:c>
      <x:c r="AU15" s="10" t="n">
        <x:f>AB15/INDEX(v01_RepScale,G15)</x:f>
        <x:v>13.056283467413957</x:v>
      </x:c>
      <x:c r="AV15" s="32" t="n">
        <x:f>AM15*60/v01_SeasonSeconds</x:f>
        <x:v>4.981388279729499</x:v>
      </x:c>
    </x:row>
    <x:row r="16">
      <x:c r="A16" s="8" t="n">
        <x:f>A15+1</x:f>
        <x:v>13</x:v>
      </x:c>
      <x:c r="B16" s="9" t="n">
        <x:f>A16*v01_SeasonSeconds/60</x:f>
        <x:v>3.25</x:v>
      </x:c>
      <x:c r="C16" s="9" t="n">
        <x:f>A16/4</x:f>
        <x:v>3.25</x:v>
      </x:c>
      <x:c r="D16" s="8" t="n">
        <x:f>IF(MOD(A16,4)=0,1,0)</x:f>
        <x:v>0</x:v>
      </x:c>
      <x:c r="E16" s="8" t="n">
        <x:f>IF(AND(F15&lt;=9,AS15&gt;=AR15),1,0)</x:f>
        <x:v>0</x:v>
      </x:c>
      <x:c r="F16" s="8" t="n">
        <x:f>MIN(10,F15+E16)</x:f>
        <x:v>0</x:v>
      </x:c>
      <x:c r="G16" s="8" t="n">
        <x:f>MIN(F16,9)+1</x:f>
        <x:v>1</x:v>
      </x:c>
      <x:c r="H16" s="8" t="n">
        <x:f>IF(F16&lt;=9,1,0)</x:f>
        <x:v>1</x:v>
      </x:c>
      <x:c r="I16" s="9" t="n">
        <x:f>MIN(10,F15+IF(AR15&gt;0,MIN(1,AS15/AR15),1))</x:f>
        <x:v>0.049701425486722954</x:v>
      </x:c>
      <x:c r="J16" s="32" t="n">
        <x:f>INDEX(v01_FoodCap,G16)*Arch_FoodCap*EXP(v01_CapsByProject*SUMPRODUCT((Cap_Point&lt;=I16)*(Cap_Kind="Food")*Cap_Ln))</x:f>
        <x:v>22</x:v>
      </x:c>
      <x:c r="K16" s="32" t="n">
        <x:f>J16*MIN(1,v01_LeanBase*EXP(v01_CapsByProject*SUMPRODUCT((Cap_Point&lt;=I16)*(Cap_Kind="Lean")*Cap_Ln)))</x:f>
        <x:v>22</x:v>
      </x:c>
      <x:c r="L16" s="10" t="n">
        <x:f>INDEX(v01_HousingCap,G16)*EXP(v01_CapsByProject*SUMPRODUCT((Cap_Point&lt;=I16)*(Cap_Kind="Housing")*Cap_Ln))</x:f>
        <x:v>60</x:v>
      </x:c>
      <x:c r="M16" s="10" t="n">
        <x:f>INDEX(v01_GroupCap,G16)*v01_CohesionFactor*EXP(v01_CapsByProject*SUMPRODUCT((Cap_Point&lt;=I16)*(Cap_Kind="Group")*Cap_Ln))</x:f>
        <x:v>35</x:v>
      </x:c>
      <x:c r="N16" s="32" t="n">
        <x:f>MIN(J16,L16,M16)</x:f>
        <x:v>22</x:v>
      </x:c>
      <x:c r="O16" s="10" t="n">
        <x:f>AE15*N16</x:f>
        <x:v>22</x:v>
      </x:c>
      <x:c r="P16" s="9" t="n">
        <x:f>MIN(1,(AB15/(AE15*IF(v01_GroupInCrowding=1,N16,MIN(J16,L16))))^v01_CrowdingExp)</x:f>
        <x:v>0.0436899289486056</x:v>
      </x:c>
      <x:c r="Q16" s="9" t="n">
        <x:f>IF(D16=1,INDEX(v01_WinterMult,G16),1)</x:f>
        <x:v>1</x:v>
      </x:c>
      <x:c r="R16" s="9" t="n">
        <x:f>H16*Z15*v01_WomenShare*v01_BaseFertility*INDEX(v01_FertMult,G16)*Arch_Fertility*(1-P16)</x:f>
        <x:v>0.21310298361310814</x:v>
      </x:c>
      <x:c r="S16" s="9" t="n">
        <x:f>H16*Y15*INDEX(v01_MortChild,G16)/4*Q16</x:f>
        <x:v>0.03640239077559183</x:v>
      </x:c>
      <x:c r="T16" s="9" t="n">
        <x:f>H16*Z15*INDEX(v01_MortAdult,G16)*Arch_AdultMort/4*Q16</x:f>
        <x:v>0.02785484934018533</x:v>
      </x:c>
      <x:c r="U16" s="9" t="n">
        <x:f>H16*AA15*INDEX(v01_MortElder,G16)/4*Q16</x:f>
        <x:v>0.04970211414513383</x:v>
      </x:c>
      <x:c r="V16" s="9" t="n">
        <x:f>H16*MAX(0,AB15-O16)*v01_OvercapLoss</x:f>
        <x:v>0</x:v>
      </x:c>
      <x:c r="W16" s="9" t="n">
        <x:f>H16*Y15/(v01_ChildYears*4)</x:f>
        <x:v>0.06500426924212825</x:v>
      </x:c>
      <x:c r="X16" s="9" t="n">
        <x:f>H16*Z15/(v01_AdultYears*4)</x:f>
        <x:v>0.05990290180685017</x:v>
      </x:c>
      <x:c r="Y16" s="32" t="n">
        <x:f>Y15+R16-S16-W16-Y15*V16/AB15</x:f>
        <x:v>3.7519354011545705</x:v>
      </x:c>
      <x:c r="Z16" s="32" t="n">
        <x:f>Z15+W16-X16-T16-Z15*V16/AB15</x:f>
        <x:v>7.405206342144514</x:v>
      </x:c>
      <x:c r="AA16" s="32" t="n">
        <x:f>AA15+X16-U16-AA15*V16/AB15</x:f>
        <x:v>1.9982853534670693</x:v>
      </x:c>
      <x:c r="AB16" s="10" t="n">
        <x:f>Y16+Z16+AA16</x:f>
        <x:v>13.155427096766156</x:v>
      </x:c>
      <x:c r="AC16" s="8" t="n">
        <x:f>IF(AND(v01_WinterTrigger=1,D16=1,AB15/AE15&gt;=K16),1,0)</x:f>
        <x:v>0</x:v>
      </x:c>
      <x:c r="AD16" s="8" t="n">
        <x:f>H16*IF(AND(OR(AB15/AE15&gt;=v01_FissionTrigger*N16,AC16=1),AB15/AE15*v01_DaughterShare&gt;=v01_MinDaughter),MAX(1,ROUND(AE15*v01_FissionRate,0)),0)</x:f>
        <x:v>0</x:v>
      </x:c>
      <x:c r="AE16" s="8" t="n">
        <x:f>IF(H16=1,MAX(1,MIN(INDEX(v01_Smax,G16),AE15+AD16)),AE15)</x:f>
        <x:v>1</x:v>
      </x:c>
      <x:c r="AF16" s="8" t="n">
        <x:f>MAX(0,AE16-AE15)</x:f>
        <x:v>0</x:v>
      </x:c>
      <x:c r="AG16" s="9" t="str">
        <x:f>IF(AF16&gt;0,B16,"")</x:f>
      </x:c>
      <x:c r="AH16" s="9" t="n">
        <x:f>IF(F16&gt;=1,1,(1+v01_LowTiesShare*(AE16-1))/AE16)</x:f>
        <x:v>1</x:v>
      </x:c>
      <x:c r="AI16" s="32" t="n">
        <x:f>(Z16+v01_ElderCommons*INDEX(LM_Elder,G16)*AA16)*AH16</x:f>
        <x:v>11.401777049078653</x:v>
      </x:c>
      <x:c r="AJ16" s="32" t="n">
        <x:f>H16*v01_CommonsCoef*AI16^v01_CommonsExp*INDEX(LM_Commons,G16)</x:f>
        <x:v>4.980515038995371</x:v>
      </x:c>
      <x:c r="AK16" s="32" t="n">
        <x:f>H16*v01_RoleScale*Arch_Roles*(AE16*(INDEX(v01_ElderRolePerSett,G16)*v01_OutElder*INDEX(LM_Elder,G16)+INDEX(v01_ShamanPerSett,G16)*v01_OutShaman)+Z16*(INDEX(v01_PriestShare,G16)*v01_OutPriest+INDEX(v01_ScribeShare,G16)*v01_OutScribe*INDEX(LM_Scribe,G16)+INDEX(v01_ScholarShare,G16)*v01_OutScholar*INDEX(LM_Scholar,G16)+INDEX(v01_ResearcherShare,G16)*v01_OutResearcher*INDEX(LM_Researcher,G16)))</x:f>
        <x:v>0</x:v>
      </x:c>
      <x:c r="AL16" s="32" t="n">
        <x:f>H16*v01_RoleScale*Arch_Roles*AE16*INDEX(v01_MonasteryPerSett,G16)*v01_OutMonastery*INDEX(LM_Monastery,G16)</x:f>
        <x:v>0</x:v>
      </x:c>
      <x:c r="AM16" s="32" t="n">
        <x:f>(AJ16+AK16+AL16)/4*INDEX(LM_All,G16)*INDEX(v01_Boon,G16)*Arch_Insight</x:f>
        <x:v>1.2451287597488427</x:v>
      </x:c>
      <x:c r="AN16" s="32" t="n">
        <x:f>H16*(v01_KHPerAdult*Z16+v01_KHOfCommons*AJ16/4*INDEX(LM_All,G16))*v01_KHUsable*Arch_KH</x:f>
        <x:v>0.259182221975058</x:v>
      </x:c>
      <x:c r="AO16" s="32" t="n">
        <x:f>MIN(AP15+AN16,AM16*v01_KHMaxRatio)</x:f>
        <x:v>0.259182221975058</x:v>
      </x:c>
      <x:c r="AP16" s="32" t="n">
        <x:f>AP15+AN16-AO16</x:f>
        <x:v>0</x:v>
      </x:c>
      <x:c r="AQ16" s="32" t="n">
        <x:f>AM16+AO16</x:f>
        <x:v>1.5043109817239007</x:v>
      </x:c>
      <x:c r="AR16" s="10" t="n">
        <x:f>IF(H16=1,INDEX(v01_Req,G16),0)</x:f>
        <x:v>372.02</x:v>
      </x:c>
      <x:c r="AS16" s="32" t="n">
        <x:f>IF(H16=1,IF(E16=1,AS15-AR15,AS15)+AQ16,0)</x:f>
        <x:v>19.994235291294572</x:v>
      </x:c>
      <x:c r="AT16" s="11" t="n">
        <x:f>IF(AR16&gt;0,MIN(1,AS16/AR16),1)</x:f>
        <x:v>0.05374505481236109</x:v>
      </x:c>
      <x:c r="AU16" s="10" t="n">
        <x:f>AB16/INDEX(v01_RepScale,G16)</x:f>
        <x:v>13.155427096766156</x:v>
      </x:c>
      <x:c r="AV16" s="32" t="n">
        <x:f>AM16*60/v01_SeasonSeconds</x:f>
        <x:v>4.98051503899537</x:v>
      </x:c>
    </x:row>
    <x:row r="17">
      <x:c r="A17" s="8" t="n">
        <x:f>A16+1</x:f>
        <x:v>14</x:v>
      </x:c>
      <x:c r="B17" s="9" t="n">
        <x:f>A17*v01_SeasonSeconds/60</x:f>
        <x:v>3.5</x:v>
      </x:c>
      <x:c r="C17" s="9" t="n">
        <x:f>A17/4</x:f>
        <x:v>3.5</x:v>
      </x:c>
      <x:c r="D17" s="8" t="n">
        <x:f>IF(MOD(A17,4)=0,1,0)</x:f>
        <x:v>0</x:v>
      </x:c>
      <x:c r="E17" s="8" t="n">
        <x:f>IF(AND(F16&lt;=9,AS16&gt;=AR16),1,0)</x:f>
        <x:v>0</x:v>
      </x:c>
      <x:c r="F17" s="8" t="n">
        <x:f>MIN(10,F16+E17)</x:f>
        <x:v>0</x:v>
      </x:c>
      <x:c r="G17" s="8" t="n">
        <x:f>MIN(F17,9)+1</x:f>
        <x:v>1</x:v>
      </x:c>
      <x:c r="H17" s="8" t="n">
        <x:f>IF(F17&lt;=9,1,0)</x:f>
        <x:v>1</x:v>
      </x:c>
      <x:c r="I17" s="9" t="n">
        <x:f>MIN(10,F16+IF(AR16&gt;0,MIN(1,AS16/AR16),1))</x:f>
        <x:v>0.05374505481236109</x:v>
      </x:c>
      <x:c r="J17" s="32" t="n">
        <x:f>INDEX(v01_FoodCap,G17)*Arch_FoodCap*EXP(v01_CapsByProject*SUMPRODUCT((Cap_Point&lt;=I17)*(Cap_Kind="Food")*Cap_Ln))</x:f>
        <x:v>22</x:v>
      </x:c>
      <x:c r="K17" s="32" t="n">
        <x:f>J17*MIN(1,v01_LeanBase*EXP(v01_CapsByProject*SUMPRODUCT((Cap_Point&lt;=I17)*(Cap_Kind="Lean")*Cap_Ln)))</x:f>
        <x:v>22</x:v>
      </x:c>
      <x:c r="L17" s="10" t="n">
        <x:f>INDEX(v01_HousingCap,G17)*EXP(v01_CapsByProject*SUMPRODUCT((Cap_Point&lt;=I17)*(Cap_Kind="Housing")*Cap_Ln))</x:f>
        <x:v>60</x:v>
      </x:c>
      <x:c r="M17" s="10" t="n">
        <x:f>INDEX(v01_GroupCap,G17)*v01_CohesionFactor*EXP(v01_CapsByProject*SUMPRODUCT((Cap_Point&lt;=I17)*(Cap_Kind="Group")*Cap_Ln))</x:f>
        <x:v>35</x:v>
      </x:c>
      <x:c r="N17" s="32" t="n">
        <x:f>MIN(J17,L17,M17)</x:f>
        <x:v>22</x:v>
      </x:c>
      <x:c r="O17" s="10" t="n">
        <x:f>AE16*N17</x:f>
        <x:v>22</x:v>
      </x:c>
      <x:c r="P17" s="9" t="n">
        <x:f>MIN(1,(AB16/(AE16*IF(v01_GroupInCrowding=1,N17,MIN(J17,L17))))^v01_CrowdingExp)</x:f>
        <x:v>0.04571867426166696</x:v>
      </x:c>
      <x:c r="Q17" s="9" t="n">
        <x:f>IF(D17=1,INDEX(v01_WinterMult,G17),1)</x:f>
        <x:v>1</x:v>
      </x:c>
      <x:c r="R17" s="9" t="n">
        <x:f>H17*Z16*v01_WomenShare*v01_BaseFertility*INDEX(v01_FertMult,G17)*Arch_Fertility*(1-P17)</x:f>
        <x:v>0.21199950376642734</x:v>
      </x:c>
      <x:c r="S17" s="9" t="n">
        <x:f>H17*Y16*INDEX(v01_MortChild,G17)/4*Q17</x:f>
        <x:v>0.03751935401154571</x:v>
      </x:c>
      <x:c r="T17" s="9" t="n">
        <x:f>H17*Z16*INDEX(v01_MortAdult,G17)*Arch_AdultMort/4*Q17</x:f>
        <x:v>0.027769523783041927</x:v>
      </x:c>
      <x:c r="U17" s="9" t="n">
        <x:f>H17*AA16*INDEX(v01_MortElder,G17)/4*Q17</x:f>
        <x:v>0.049957133836676736</x:v>
      </x:c>
      <x:c r="V17" s="9" t="n">
        <x:f>H17*MAX(0,AB16-O17)*v01_OvercapLoss</x:f>
        <x:v>0</x:v>
      </x:c>
      <x:c r="W17" s="9" t="n">
        <x:f>H17*Y16/(v01_ChildYears*4)</x:f>
        <x:v>0.06699884644918876</x:v>
      </x:c>
      <x:c r="X17" s="9" t="n">
        <x:f>H17*Z16/(v01_AdultYears*4)</x:f>
        <x:v>0.0597194059850364</x:v>
      </x:c>
      <x:c r="Y17" s="32" t="n">
        <x:f>Y16+R17-S17-W17-Y16*V17/AB16</x:f>
        <x:v>3.8594167044602634</x:v>
      </x:c>
      <x:c r="Z17" s="32" t="n">
        <x:f>Z16+W17-X17-T17-Z16*V17/AB16</x:f>
        <x:v>7.384716258825625</x:v>
      </x:c>
      <x:c r="AA17" s="32" t="n">
        <x:f>AA16+X17-U17-AA16*V17/AB16</x:f>
        <x:v>2.0080476256154287</x:v>
      </x:c>
      <x:c r="AB17" s="10" t="n">
        <x:f>Y17+Z17+AA17</x:f>
        <x:v>13.252180588901318</x:v>
      </x:c>
      <x:c r="AC17" s="8" t="n">
        <x:f>IF(AND(v01_WinterTrigger=1,D17=1,AB16/AE16&gt;=K17),1,0)</x:f>
        <x:v>0</x:v>
      </x:c>
      <x:c r="AD17" s="8" t="n">
        <x:f>H17*IF(AND(OR(AB16/AE16&gt;=v01_FissionTrigger*N17,AC17=1),AB16/AE16*v01_DaughterShare&gt;=v01_MinDaughter),MAX(1,ROUND(AE16*v01_FissionRate,0)),0)</x:f>
        <x:v>0</x:v>
      </x:c>
      <x:c r="AE17" s="8" t="n">
        <x:f>IF(H17=1,MAX(1,MIN(INDEX(v01_Smax,G17),AE16+AD17)),AE16)</x:f>
        <x:v>1</x:v>
      </x:c>
      <x:c r="AF17" s="8" t="n">
        <x:f>MAX(0,AE17-AE16)</x:f>
        <x:v>0</x:v>
      </x:c>
      <x:c r="AG17" s="9" t="str">
        <x:f>IF(AF17&gt;0,B17,"")</x:f>
      </x:c>
      <x:c r="AH17" s="9" t="n">
        <x:f>IF(F17&gt;=1,1,(1+v01_LowTiesShare*(AE17-1))/AE17)</x:f>
        <x:v>1</x:v>
      </x:c>
      <x:c r="AI17" s="32" t="n">
        <x:f>(Z17+v01_ElderCommons*INDEX(LM_Elder,G17)*AA17)*AH17</x:f>
        <x:v>11.400811510056482</x:v>
      </x:c>
      <x:c r="AJ17" s="32" t="n">
        <x:f>H17*v01_CommonsCoef*AI17^v01_CommonsExp*INDEX(LM_Commons,G17)</x:f>
        <x:v>4.980156535639113</x:v>
      </x:c>
      <x:c r="AK17" s="32" t="n">
        <x:f>H17*v01_RoleScale*Arch_Roles*(AE17*(INDEX(v01_ElderRolePerSett,G17)*v01_OutElder*INDEX(LM_Elder,G17)+INDEX(v01_ShamanPerSett,G17)*v01_OutShaman)+Z17*(INDEX(v01_PriestShare,G17)*v01_OutPriest+INDEX(v01_ScribeShare,G17)*v01_OutScribe*INDEX(LM_Scribe,G17)+INDEX(v01_ScholarShare,G17)*v01_OutScholar*INDEX(LM_Scholar,G17)+INDEX(v01_ResearcherShare,G17)*v01_OutResearcher*INDEX(LM_Researcher,G17)))</x:f>
        <x:v>0</x:v>
      </x:c>
      <x:c r="AL17" s="32" t="n">
        <x:f>H17*v01_RoleScale*Arch_Roles*AE17*INDEX(v01_MonasteryPerSett,G17)*v01_OutMonastery*INDEX(LM_Monastery,G17)</x:f>
        <x:v>0</x:v>
      </x:c>
      <x:c r="AM17" s="32" t="n">
        <x:f>(AJ17+AK17+AL17)/4*INDEX(LM_All,G17)*INDEX(v01_Boon,G17)*Arch_Insight</x:f>
        <x:v>1.2450391339097782</x:v>
      </x:c>
      <x:c r="AN17" s="32" t="n">
        <x:f>H17*(v01_KHPerAdult*Z17+v01_KHOfCommons*AJ17/4*INDEX(LM_All,G17))*v01_KHUsable*Arch_KH</x:f>
        <x:v>0.2584650690588969</x:v>
      </x:c>
      <x:c r="AO17" s="32" t="n">
        <x:f>MIN(AP16+AN17,AM17*v01_KHMaxRatio)</x:f>
        <x:v>0.2584650690588969</x:v>
      </x:c>
      <x:c r="AP17" s="32" t="n">
        <x:f>AP16+AN17-AO17</x:f>
        <x:v>0</x:v>
      </x:c>
      <x:c r="AQ17" s="32" t="n">
        <x:f>AM17+AO17</x:f>
        <x:v>1.5035042029686752</x:v>
      </x:c>
      <x:c r="AR17" s="10" t="n">
        <x:f>IF(H17=1,INDEX(v01_Req,G17),0)</x:f>
        <x:v>372.02</x:v>
      </x:c>
      <x:c r="AS17" s="32" t="n">
        <x:f>IF(H17=1,IF(E17=1,AS16-AR16,AS16)+AQ17,0)</x:f>
        <x:v>21.497739494263246</x:v>
      </x:c>
      <x:c r="AT17" s="11" t="n">
        <x:f>IF(AR17&gt;0,MIN(1,AS17/AR17),1)</x:f>
        <x:v>0.05778651549449827</x:v>
      </x:c>
      <x:c r="AU17" s="10" t="n">
        <x:f>AB17/INDEX(v01_RepScale,G17)</x:f>
        <x:v>13.252180588901318</x:v>
      </x:c>
      <x:c r="AV17" s="32" t="n">
        <x:f>AM17*60/v01_SeasonSeconds</x:f>
        <x:v>4.980156535639113</x:v>
      </x:c>
    </x:row>
    <x:row r="18">
      <x:c r="A18" s="8" t="n">
        <x:f>A17+1</x:f>
        <x:v>15</x:v>
      </x:c>
      <x:c r="B18" s="9" t="n">
        <x:f>A18*v01_SeasonSeconds/60</x:f>
        <x:v>3.75</x:v>
      </x:c>
      <x:c r="C18" s="9" t="n">
        <x:f>A18/4</x:f>
        <x:v>3.75</x:v>
      </x:c>
      <x:c r="D18" s="8" t="n">
        <x:f>IF(MOD(A18,4)=0,1,0)</x:f>
        <x:v>0</x:v>
      </x:c>
      <x:c r="E18" s="8" t="n">
        <x:f>IF(AND(F17&lt;=9,AS17&gt;=AR17),1,0)</x:f>
        <x:v>0</x:v>
      </x:c>
      <x:c r="F18" s="8" t="n">
        <x:f>MIN(10,F17+E18)</x:f>
        <x:v>0</x:v>
      </x:c>
      <x:c r="G18" s="8" t="n">
        <x:f>MIN(F18,9)+1</x:f>
        <x:v>1</x:v>
      </x:c>
      <x:c r="H18" s="8" t="n">
        <x:f>IF(F18&lt;=9,1,0)</x:f>
        <x:v>1</x:v>
      </x:c>
      <x:c r="I18" s="9" t="n">
        <x:f>MIN(10,F17+IF(AR17&gt;0,MIN(1,AS17/AR17),1))</x:f>
        <x:v>0.05778651549449827</x:v>
      </x:c>
      <x:c r="J18" s="32" t="n">
        <x:f>INDEX(v01_FoodCap,G18)*Arch_FoodCap*EXP(v01_CapsByProject*SUMPRODUCT((Cap_Point&lt;=I18)*(Cap_Kind="Food")*Cap_Ln))</x:f>
        <x:v>22</x:v>
      </x:c>
      <x:c r="K18" s="32" t="n">
        <x:f>J18*MIN(1,v01_LeanBase*EXP(v01_CapsByProject*SUMPRODUCT((Cap_Point&lt;=I18)*(Cap_Kind="Lean")*Cap_Ln)))</x:f>
        <x:v>22</x:v>
      </x:c>
      <x:c r="L18" s="10" t="n">
        <x:f>INDEX(v01_HousingCap,G18)*EXP(v01_CapsByProject*SUMPRODUCT((Cap_Point&lt;=I18)*(Cap_Kind="Housing")*Cap_Ln))</x:f>
        <x:v>60</x:v>
      </x:c>
      <x:c r="M18" s="10" t="n">
        <x:f>INDEX(v01_GroupCap,G18)*v01_CohesionFactor*EXP(v01_CapsByProject*SUMPRODUCT((Cap_Point&lt;=I18)*(Cap_Kind="Group")*Cap_Ln))</x:f>
        <x:v>35</x:v>
      </x:c>
      <x:c r="N18" s="32" t="n">
        <x:f>MIN(J18,L18,M18)</x:f>
        <x:v>22</x:v>
      </x:c>
      <x:c r="O18" s="10" t="n">
        <x:f>AE17*N18</x:f>
        <x:v>22</x:v>
      </x:c>
      <x:c r="P18" s="9" t="n">
        <x:f>MIN(1,(AB17/(AE17*IF(v01_GroupInCrowding=1,N18,MIN(J18,L18))))^v01_CrowdingExp)</x:f>
        <x:v>0.04777360205416594</x:v>
      </x:c>
      <x:c r="Q18" s="9" t="n">
        <x:f>IF(D18=1,INDEX(v01_WinterMult,G18),1)</x:f>
        <x:v>1</x:v>
      </x:c>
      <x:c r="R18" s="9" t="n">
        <x:f>H18*Z17*v01_WomenShare*v01_BaseFertility*INDEX(v01_FertMult,G18)*Arch_Fertility*(1-P18)</x:f>
        <x:v>0.2109576528898068</x:v>
      </x:c>
      <x:c r="S18" s="9" t="n">
        <x:f>H18*Y17*INDEX(v01_MortChild,G18)/4*Q18</x:f>
        <x:v>0.03859416704460263</x:v>
      </x:c>
      <x:c r="T18" s="9" t="n">
        <x:f>H18*Z17*INDEX(v01_MortAdult,G18)*Arch_AdultMort/4*Q18</x:f>
        <x:v>0.02769268597059609</x:v>
      </x:c>
      <x:c r="U18" s="9" t="n">
        <x:f>H18*AA17*INDEX(v01_MortElder,G18)/4*Q18</x:f>
        <x:v>0.05020119064038572</x:v>
      </x:c>
      <x:c r="V18" s="9" t="n">
        <x:f>H18*MAX(0,AB17-O18)*v01_OvercapLoss</x:f>
        <x:v>0</x:v>
      </x:c>
      <x:c r="W18" s="9" t="n">
        <x:f>H18*Y17/(v01_ChildYears*4)</x:f>
        <x:v>0.06891815543679042</x:v>
      </x:c>
      <x:c r="X18" s="9" t="n">
        <x:f>H18*Z17/(v01_AdultYears*4)</x:f>
        <x:v>0.05955416337762601</x:v>
      </x:c>
      <x:c r="Y18" s="32" t="n">
        <x:f>Y17+R18-S18-W18-Y17*V18/AB17</x:f>
        <x:v>3.962862034868677</x:v>
      </x:c>
      <x:c r="Z18" s="32" t="n">
        <x:f>Z17+W18-X18-T18-Z17*V18/AB17</x:f>
        <x:v>7.366387564914193</x:v>
      </x:c>
      <x:c r="AA18" s="32" t="n">
        <x:f>AA17+X18-U18-AA17*V18/AB17</x:f>
        <x:v>2.017400598352669</x:v>
      </x:c>
      <x:c r="AB18" s="10" t="n">
        <x:f>Y18+Z18+AA18</x:f>
        <x:v>13.346650198135539</x:v>
      </x:c>
      <x:c r="AC18" s="8" t="n">
        <x:f>IF(AND(v01_WinterTrigger=1,D18=1,AB17/AE17&gt;=K18),1,0)</x:f>
        <x:v>0</x:v>
      </x:c>
      <x:c r="AD18" s="8" t="n">
        <x:f>H18*IF(AND(OR(AB17/AE17&gt;=v01_FissionTrigger*N18,AC18=1),AB17/AE17*v01_DaughterShare&gt;=v01_MinDaughter),MAX(1,ROUND(AE17*v01_FissionRate,0)),0)</x:f>
        <x:v>0</x:v>
      </x:c>
      <x:c r="AE18" s="8" t="n">
        <x:f>IF(H18=1,MAX(1,MIN(INDEX(v01_Smax,G18),AE17+AD18)),AE17)</x:f>
        <x:v>1</x:v>
      </x:c>
      <x:c r="AF18" s="8" t="n">
        <x:f>MAX(0,AE18-AE17)</x:f>
        <x:v>0</x:v>
      </x:c>
      <x:c r="AG18" s="9" t="str">
        <x:f>IF(AF18&gt;0,B18,"")</x:f>
      </x:c>
      <x:c r="AH18" s="9" t="n">
        <x:f>IF(F18&gt;=1,1,(1+v01_LowTiesShare*(AE18-1))/AE18)</x:f>
        <x:v>1</x:v>
      </x:c>
      <x:c r="AI18" s="32" t="n">
        <x:f>(Z18+v01_ElderCommons*INDEX(LM_Elder,G18)*AA18)*AH18</x:f>
        <x:v>11.401188761619531</x:v>
      </x:c>
      <x:c r="AJ18" s="32" t="n">
        <x:f>H18*v01_CommonsCoef*AI18^v01_CommonsExp*INDEX(LM_Commons,G18)</x:f>
        <x:v>4.980296609185379</x:v>
      </x:c>
      <x:c r="AK18" s="32" t="n">
        <x:f>H18*v01_RoleScale*Arch_Roles*(AE18*(INDEX(v01_ElderRolePerSett,G18)*v01_OutElder*INDEX(LM_Elder,G18)+INDEX(v01_ShamanPerSett,G18)*v01_OutShaman)+Z18*(INDEX(v01_PriestShare,G18)*v01_OutPriest+INDEX(v01_ScribeShare,G18)*v01_OutScribe*INDEX(LM_Scribe,G18)+INDEX(v01_ScholarShare,G18)*v01_OutScholar*INDEX(LM_Scholar,G18)+INDEX(v01_ResearcherShare,G18)*v01_OutResearcher*INDEX(LM_Researcher,G18)))</x:f>
        <x:v>0</x:v>
      </x:c>
      <x:c r="AL18" s="32" t="n">
        <x:f>H18*v01_RoleScale*Arch_Roles*AE18*INDEX(v01_MonasteryPerSett,G18)*v01_OutMonastery*INDEX(LM_Monastery,G18)</x:f>
        <x:v>0</x:v>
      </x:c>
      <x:c r="AM18" s="32" t="n">
        <x:f>(AJ18+AK18+AL18)/4*INDEX(LM_All,G18)*INDEX(v01_Boon,G18)*Arch_Insight</x:f>
        <x:v>1.2450741522963447</x:v>
      </x:c>
      <x:c r="AN18" s="32" t="n">
        <x:f>H18*(v01_KHPerAdult*Z18+v01_KHOfCommons*AJ18/4*INDEX(LM_All,G18))*v01_KHUsable*Arch_KH</x:f>
        <x:v>0.2578235647719968</x:v>
      </x:c>
      <x:c r="AO18" s="32" t="n">
        <x:f>MIN(AP17+AN18,AM18*v01_KHMaxRatio)</x:f>
        <x:v>0.2578235647719968</x:v>
      </x:c>
      <x:c r="AP18" s="32" t="n">
        <x:f>AP17+AN18-AO18</x:f>
        <x:v>0</x:v>
      </x:c>
      <x:c r="AQ18" s="32" t="n">
        <x:f>AM18+AO18</x:f>
        <x:v>1.5028977170683415</x:v>
      </x:c>
      <x:c r="AR18" s="10" t="n">
        <x:f>IF(H18=1,INDEX(v01_Req,G18),0)</x:f>
        <x:v>372.02</x:v>
      </x:c>
      <x:c r="AS18" s="32" t="n">
        <x:f>IF(H18=1,IF(E18=1,AS17-AR17,AS17)+AQ18,0)</x:f>
        <x:v>23.000637211331586</x:v>
      </x:c>
      <x:c r="AT18" s="11" t="n">
        <x:f>IF(AR18&gt;0,MIN(1,AS18/AR18),1)</x:f>
        <x:v>0.06182634592584159</x:v>
      </x:c>
      <x:c r="AU18" s="10" t="n">
        <x:f>AB18/INDEX(v01_RepScale,G18)</x:f>
        <x:v>13.346650198135539</x:v>
      </x:c>
      <x:c r="AV18" s="32" t="n">
        <x:f>AM18*60/v01_SeasonSeconds</x:f>
        <x:v>4.980296609185379</x:v>
      </x:c>
    </x:row>
    <x:row r="19">
      <x:c r="A19" s="8" t="n">
        <x:f>A18+1</x:f>
        <x:v>16</x:v>
      </x:c>
      <x:c r="B19" s="9" t="n">
        <x:f>A19*v01_SeasonSeconds/60</x:f>
        <x:v>4</x:v>
      </x:c>
      <x:c r="C19" s="9" t="n">
        <x:f>A19/4</x:f>
        <x:v>4</x:v>
      </x:c>
      <x:c r="D19" s="8" t="n">
        <x:f>IF(MOD(A19,4)=0,1,0)</x:f>
        <x:v>1</x:v>
      </x:c>
      <x:c r="E19" s="8" t="n">
        <x:f>IF(AND(F18&lt;=9,AS18&gt;=AR18),1,0)</x:f>
        <x:v>0</x:v>
      </x:c>
      <x:c r="F19" s="8" t="n">
        <x:f>MIN(10,F18+E19)</x:f>
        <x:v>0</x:v>
      </x:c>
      <x:c r="G19" s="8" t="n">
        <x:f>MIN(F19,9)+1</x:f>
        <x:v>1</x:v>
      </x:c>
      <x:c r="H19" s="8" t="n">
        <x:f>IF(F19&lt;=9,1,0)</x:f>
        <x:v>1</x:v>
      </x:c>
      <x:c r="I19" s="9" t="n">
        <x:f>MIN(10,F18+IF(AR18&gt;0,MIN(1,AS18/AR18),1))</x:f>
        <x:v>0.06182634592584159</x:v>
      </x:c>
      <x:c r="J19" s="32" t="n">
        <x:f>INDEX(v01_FoodCap,G19)*Arch_FoodCap*EXP(v01_CapsByProject*SUMPRODUCT((Cap_Point&lt;=I19)*(Cap_Kind="Food")*Cap_Ln))</x:f>
        <x:v>22</x:v>
      </x:c>
      <x:c r="K19" s="32" t="n">
        <x:f>J19*MIN(1,v01_LeanBase*EXP(v01_CapsByProject*SUMPRODUCT((Cap_Point&lt;=I19)*(Cap_Kind="Lean")*Cap_Ln)))</x:f>
        <x:v>22</x:v>
      </x:c>
      <x:c r="L19" s="10" t="n">
        <x:f>INDEX(v01_HousingCap,G19)*EXP(v01_CapsByProject*SUMPRODUCT((Cap_Point&lt;=I19)*(Cap_Kind="Housing")*Cap_Ln))</x:f>
        <x:v>60</x:v>
      </x:c>
      <x:c r="M19" s="10" t="n">
        <x:f>INDEX(v01_GroupCap,G19)*v01_CohesionFactor*EXP(v01_CapsByProject*SUMPRODUCT((Cap_Point&lt;=I19)*(Cap_Kind="Group")*Cap_Ln))</x:f>
        <x:v>35</x:v>
      </x:c>
      <x:c r="N19" s="32" t="n">
        <x:f>MIN(J19,L19,M19)</x:f>
        <x:v>22</x:v>
      </x:c>
      <x:c r="O19" s="10" t="n">
        <x:f>AE18*N19</x:f>
        <x:v>22</x:v>
      </x:c>
      <x:c r="P19" s="9" t="n">
        <x:f>MIN(1,(AB18/(AE18*IF(v01_GroupInCrowding=1,N19,MIN(J19,L19))))^v01_CrowdingExp)</x:f>
        <x:v>0.04985372162375182</x:v>
      </x:c>
      <x:c r="Q19" s="9" t="n">
        <x:f>IF(D19=1,INDEX(v01_WinterMult,G19),1)</x:f>
        <x:v>2</x:v>
      </x:c>
      <x:c r="R19" s="9" t="n">
        <x:f>H19*Z18*v01_WomenShare*v01_BaseFertility*INDEX(v01_FertMult,G19)*Arch_Fertility*(1-P19)</x:f>
        <x:v>0.20997437189640883</x:v>
      </x:c>
      <x:c r="S19" s="9" t="n">
        <x:f>H19*Y18*INDEX(v01_MortChild,G19)/4*Q19</x:f>
        <x:v>0.07925724069737354</x:v>
      </x:c>
      <x:c r="T19" s="9" t="n">
        <x:f>H19*Z18*INDEX(v01_MortAdult,G19)*Arch_AdultMort/4*Q19</x:f>
        <x:v>0.05524790673685645</x:v>
      </x:c>
      <x:c r="U19" s="9" t="n">
        <x:f>H19*AA18*INDEX(v01_MortElder,G19)/4*Q19</x:f>
        <x:v>0.10087002991763346</x:v>
      </x:c>
      <x:c r="V19" s="9" t="n">
        <x:f>H19*MAX(0,AB18-O19)*v01_OvercapLoss</x:f>
        <x:v>0</x:v>
      </x:c>
      <x:c r="W19" s="9" t="n">
        <x:f>H19*Y18/(v01_ChildYears*4)</x:f>
        <x:v>0.07076539347979781</x:v>
      </x:c>
      <x:c r="X19" s="9" t="n">
        <x:f>H19*Z18/(v01_AdultYears*4)</x:f>
        <x:v>0.05940635132995317</x:v>
      </x:c>
      <x:c r="Y19" s="32" t="n">
        <x:f>Y18+R19-S19-W19-Y18*V19/AB18</x:f>
        <x:v>4.022813772587915</x:v>
      </x:c>
      <x:c r="Z19" s="32" t="n">
        <x:f>Z18+W19-X19-T19-Z18*V19/AB18</x:f>
        <x:v>7.3224987003271815</x:v>
      </x:c>
      <x:c r="AA19" s="32" t="n">
        <x:f>AA18+X19-U19-AA18*V19/AB18</x:f>
        <x:v>1.9759369197649888</x:v>
      </x:c>
      <x:c r="AB19" s="10" t="n">
        <x:f>Y19+Z19+AA19</x:f>
        <x:v>13.321249392680086</x:v>
      </x:c>
      <x:c r="AC19" s="8" t="n">
        <x:f>IF(AND(v01_WinterTrigger=1,D19=1,AB18/AE18&gt;=K19),1,0)</x:f>
        <x:v>0</x:v>
      </x:c>
      <x:c r="AD19" s="8" t="n">
        <x:f>H19*IF(AND(OR(AB18/AE18&gt;=v01_FissionTrigger*N19,AC19=1),AB18/AE18*v01_DaughterShare&gt;=v01_MinDaughter),MAX(1,ROUND(AE18*v01_FissionRate,0)),0)</x:f>
        <x:v>0</x:v>
      </x:c>
      <x:c r="AE19" s="8" t="n">
        <x:f>IF(H19=1,MAX(1,MIN(INDEX(v01_Smax,G19),AE18+AD19)),AE18)</x:f>
        <x:v>1</x:v>
      </x:c>
      <x:c r="AF19" s="8" t="n">
        <x:f>MAX(0,AE19-AE18)</x:f>
        <x:v>0</x:v>
      </x:c>
      <x:c r="AG19" s="9" t="str">
        <x:f>IF(AF19&gt;0,B19,"")</x:f>
      </x:c>
      <x:c r="AH19" s="9" t="n">
        <x:f>IF(F19&gt;=1,1,(1+v01_LowTiesShare*(AE19-1))/AE19)</x:f>
        <x:v>1</x:v>
      </x:c>
      <x:c r="AI19" s="32" t="n">
        <x:f>(Z19+v01_ElderCommons*INDEX(LM_Elder,G19)*AA19)*AH19</x:f>
        <x:v>11.27437253985716</x:v>
      </x:c>
      <x:c r="AJ19" s="32" t="n">
        <x:f>H19*v01_CommonsCoef*AI19^v01_CommonsExp*INDEX(LM_Commons,G19)</x:f>
        <x:v>4.9331703994517415</x:v>
      </x:c>
      <x:c r="AK19" s="32" t="n">
        <x:f>H19*v01_RoleScale*Arch_Roles*(AE19*(INDEX(v01_ElderRolePerSett,G19)*v01_OutElder*INDEX(LM_Elder,G19)+INDEX(v01_ShamanPerSett,G19)*v01_OutShaman)+Z19*(INDEX(v01_PriestShare,G19)*v01_OutPriest+INDEX(v01_ScribeShare,G19)*v01_OutScribe*INDEX(LM_Scribe,G19)+INDEX(v01_ScholarShare,G19)*v01_OutScholar*INDEX(LM_Scholar,G19)+INDEX(v01_ResearcherShare,G19)*v01_OutResearcher*INDEX(LM_Researcher,G19)))</x:f>
        <x:v>0</x:v>
      </x:c>
      <x:c r="AL19" s="32" t="n">
        <x:f>H19*v01_RoleScale*Arch_Roles*AE19*INDEX(v01_MonasteryPerSett,G19)*v01_OutMonastery*INDEX(LM_Monastery,G19)</x:f>
        <x:v>0</x:v>
      </x:c>
      <x:c r="AM19" s="32" t="n">
        <x:f>(AJ19+AK19+AL19)/4*INDEX(LM_All,G19)*INDEX(v01_Boon,G19)*Arch_Insight</x:f>
        <x:v>1.2332925998629354</x:v>
      </x:c>
      <x:c r="AN19" s="32" t="n">
        <x:f>H19*(v01_KHPerAdult*Z19+v01_KHOfCommons*AJ19/4*INDEX(LM_All,G19))*v01_KHUsable*Arch_KH</x:f>
        <x:v>0.25628745451145135</x:v>
      </x:c>
      <x:c r="AO19" s="32" t="n">
        <x:f>MIN(AP18+AN19,AM19*v01_KHMaxRatio)</x:f>
        <x:v>0.25628745451145135</x:v>
      </x:c>
      <x:c r="AP19" s="32" t="n">
        <x:f>AP18+AN19-AO19</x:f>
        <x:v>0</x:v>
      </x:c>
      <x:c r="AQ19" s="32" t="n">
        <x:f>AM19+AO19</x:f>
        <x:v>1.4895800543743867</x:v>
      </x:c>
      <x:c r="AR19" s="10" t="n">
        <x:f>IF(H19=1,INDEX(v01_Req,G19),0)</x:f>
        <x:v>372.02</x:v>
      </x:c>
      <x:c r="AS19" s="32" t="n">
        <x:f>IF(H19=1,IF(E19=1,AS18-AR18,AS18)+AQ19,0)</x:f>
        <x:v>24.490217265705972</x:v>
      </x:c>
      <x:c r="AT19" s="11" t="n">
        <x:f>IF(AR19&gt;0,MIN(1,AS19/AR19),1)</x:f>
        <x:v>0.06583037811328954</x:v>
      </x:c>
      <x:c r="AU19" s="10" t="n">
        <x:f>AB19/INDEX(v01_RepScale,G19)</x:f>
        <x:v>13.321249392680086</x:v>
      </x:c>
      <x:c r="AV19" s="32" t="n">
        <x:f>AM19*60/v01_SeasonSeconds</x:f>
        <x:v>4.9331703994517415</x:v>
      </x:c>
    </x:row>
    <x:row r="20">
      <x:c r="A20" s="8" t="n">
        <x:f>A19+1</x:f>
        <x:v>17</x:v>
      </x:c>
      <x:c r="B20" s="9" t="n">
        <x:f>A20*v01_SeasonSeconds/60</x:f>
        <x:v>4.25</x:v>
      </x:c>
      <x:c r="C20" s="9" t="n">
        <x:f>A20/4</x:f>
        <x:v>4.25</x:v>
      </x:c>
      <x:c r="D20" s="8" t="n">
        <x:f>IF(MOD(A20,4)=0,1,0)</x:f>
        <x:v>0</x:v>
      </x:c>
      <x:c r="E20" s="8" t="n">
        <x:f>IF(AND(F19&lt;=9,AS19&gt;=AR19),1,0)</x:f>
        <x:v>0</x:v>
      </x:c>
      <x:c r="F20" s="8" t="n">
        <x:f>MIN(10,F19+E20)</x:f>
        <x:v>0</x:v>
      </x:c>
      <x:c r="G20" s="8" t="n">
        <x:f>MIN(F20,9)+1</x:f>
        <x:v>1</x:v>
      </x:c>
      <x:c r="H20" s="8" t="n">
        <x:f>IF(F20&lt;=9,1,0)</x:f>
        <x:v>1</x:v>
      </x:c>
      <x:c r="I20" s="9" t="n">
        <x:f>MIN(10,F19+IF(AR19&gt;0,MIN(1,AS19/AR19),1))</x:f>
        <x:v>0.06583037811328954</x:v>
      </x:c>
      <x:c r="J20" s="32" t="n">
        <x:f>INDEX(v01_FoodCap,G20)*Arch_FoodCap*EXP(v01_CapsByProject*SUMPRODUCT((Cap_Point&lt;=I20)*(Cap_Kind="Food")*Cap_Ln))</x:f>
        <x:v>22</x:v>
      </x:c>
      <x:c r="K20" s="32" t="n">
        <x:f>J20*MIN(1,v01_LeanBase*EXP(v01_CapsByProject*SUMPRODUCT((Cap_Point&lt;=I20)*(Cap_Kind="Lean")*Cap_Ln)))</x:f>
        <x:v>22</x:v>
      </x:c>
      <x:c r="L20" s="10" t="n">
        <x:f>INDEX(v01_HousingCap,G20)*EXP(v01_CapsByProject*SUMPRODUCT((Cap_Point&lt;=I20)*(Cap_Kind="Housing")*Cap_Ln))</x:f>
        <x:v>60</x:v>
      </x:c>
      <x:c r="M20" s="10" t="n">
        <x:f>INDEX(v01_GroupCap,G20)*v01_CohesionFactor*EXP(v01_CapsByProject*SUMPRODUCT((Cap_Point&lt;=I20)*(Cap_Kind="Group")*Cap_Ln))</x:f>
        <x:v>35</x:v>
      </x:c>
      <x:c r="N20" s="32" t="n">
        <x:f>MIN(J20,L20,M20)</x:f>
        <x:v>22</x:v>
      </x:c>
      <x:c r="O20" s="10" t="n">
        <x:f>AE19*N20</x:f>
        <x:v>22</x:v>
      </x:c>
      <x:c r="P20" s="9" t="n">
        <x:f>MIN(1,(AB19/(AE19*IF(v01_GroupInCrowding=1,N20,MIN(J20,L20))))^v01_CrowdingExp)</x:f>
        <x:v>0.04928714579196209</x:v>
      </x:c>
      <x:c r="Q20" s="9" t="n">
        <x:f>IF(D20=1,INDEX(v01_WinterMult,G20),1)</x:f>
        <x:v>1</x:v>
      </x:c>
      <x:c r="R20" s="9" t="n">
        <x:f>H20*Z19*v01_WomenShare*v01_BaseFertility*INDEX(v01_FertMult,G20)*Arch_Fertility*(1-P20)</x:f>
        <x:v>0.20884780917968104</x:v>
      </x:c>
      <x:c r="S20" s="9" t="n">
        <x:f>H20*Y19*INDEX(v01_MortChild,G20)/4*Q20</x:f>
        <x:v>0.040228137725879146</x:v>
      </x:c>
      <x:c r="T20" s="9" t="n">
        <x:f>H20*Z19*INDEX(v01_MortAdult,G20)*Arch_AdultMort/4*Q20</x:f>
        <x:v>0.02745937012622693</x:v>
      </x:c>
      <x:c r="U20" s="9" t="n">
        <x:f>H20*AA19*INDEX(v01_MortElder,G20)/4*Q20</x:f>
        <x:v>0.049398422994124724</x:v>
      </x:c>
      <x:c r="V20" s="9" t="n">
        <x:f>H20*MAX(0,AB19-O20)*v01_OvercapLoss</x:f>
        <x:v>0</x:v>
      </x:c>
      <x:c r="W20" s="9" t="n">
        <x:f>H20*Y19/(v01_ChildYears*4)</x:f>
        <x:v>0.0718359602247842</x:v>
      </x:c>
      <x:c r="X20" s="9" t="n">
        <x:f>H20*Z19/(v01_AdultYears*4)</x:f>
        <x:v>0.059052408873606306</x:v>
      </x:c>
      <x:c r="Y20" s="32" t="n">
        <x:f>Y19+R20-S20-W20-Y19*V20/AB19</x:f>
        <x:v>4.119597483816932</x:v>
      </x:c>
      <x:c r="Z20" s="32" t="n">
        <x:f>Z19+W20-X20-T20-Z19*V20/AB19</x:f>
        <x:v>7.307822881552132</x:v>
      </x:c>
      <x:c r="AA20" s="32" t="n">
        <x:f>AA19+X20-U20-AA19*V20/AB19</x:f>
        <x:v>1.9855909056444703</x:v>
      </x:c>
      <x:c r="AB20" s="10" t="n">
        <x:f>Y20+Z20+AA20</x:f>
        <x:v>13.413011271013534</x:v>
      </x:c>
      <x:c r="AC20" s="8" t="n">
        <x:f>IF(AND(v01_WinterTrigger=1,D20=1,AB19/AE19&gt;=K20),1,0)</x:f>
        <x:v>0</x:v>
      </x:c>
      <x:c r="AD20" s="8" t="n">
        <x:f>H20*IF(AND(OR(AB19/AE19&gt;=v01_FissionTrigger*N20,AC20=1),AB19/AE19*v01_DaughterShare&gt;=v01_MinDaughter),MAX(1,ROUND(AE19*v01_FissionRate,0)),0)</x:f>
        <x:v>0</x:v>
      </x:c>
      <x:c r="AE20" s="8" t="n">
        <x:f>IF(H20=1,MAX(1,MIN(INDEX(v01_Smax,G20),AE19+AD20)),AE19)</x:f>
        <x:v>1</x:v>
      </x:c>
      <x:c r="AF20" s="8" t="n">
        <x:f>MAX(0,AE20-AE19)</x:f>
        <x:v>0</x:v>
      </x:c>
      <x:c r="AG20" s="9" t="str">
        <x:f>IF(AF20&gt;0,B20,"")</x:f>
      </x:c>
      <x:c r="AH20" s="9" t="n">
        <x:f>IF(F20&gt;=1,1,(1+v01_LowTiesShare*(AE20-1))/AE20)</x:f>
        <x:v>1</x:v>
      </x:c>
      <x:c r="AI20" s="32" t="n">
        <x:f>(Z20+v01_ElderCommons*INDEX(LM_Elder,G20)*AA20)*AH20</x:f>
        <x:v>11.279004692841074</x:v>
      </x:c>
      <x:c r="AJ20" s="32" t="n">
        <x:f>H20*v01_CommonsCoef*AI20^v01_CommonsExp*INDEX(LM_Commons,G20)</x:f>
        <x:v>4.934893149120711</x:v>
      </x:c>
      <x:c r="AK20" s="32" t="n">
        <x:f>H20*v01_RoleScale*Arch_Roles*(AE20*(INDEX(v01_ElderRolePerSett,G20)*v01_OutElder*INDEX(LM_Elder,G20)+INDEX(v01_ShamanPerSett,G20)*v01_OutShaman)+Z20*(INDEX(v01_PriestShare,G20)*v01_OutPriest+INDEX(v01_ScribeShare,G20)*v01_OutScribe*INDEX(LM_Scribe,G20)+INDEX(v01_ScholarShare,G20)*v01_OutScholar*INDEX(LM_Scholar,G20)+INDEX(v01_ResearcherShare,G20)*v01_OutResearcher*INDEX(LM_Researcher,G20)))</x:f>
        <x:v>0</x:v>
      </x:c>
      <x:c r="AL20" s="32" t="n">
        <x:f>H20*v01_RoleScale*Arch_Roles*AE20*INDEX(v01_MonasteryPerSett,G20)*v01_OutMonastery*INDEX(LM_Monastery,G20)</x:f>
        <x:v>0</x:v>
      </x:c>
      <x:c r="AM20" s="32" t="n">
        <x:f>(AJ20+AK20+AL20)/4*INDEX(LM_All,G20)*INDEX(v01_Boon,G20)*Arch_Insight</x:f>
        <x:v>1.2337232872801778</x:v>
      </x:c>
      <x:c r="AN20" s="32" t="n">
        <x:f>H20*(v01_KHPerAdult*Z20+v01_KHOfCommons*AJ20/4*INDEX(LM_All,G20))*v01_KHUsable*Arch_KH</x:f>
        <x:v>0.25577380085432466</x:v>
      </x:c>
      <x:c r="AO20" s="32" t="n">
        <x:f>MIN(AP19+AN20,AM20*v01_KHMaxRatio)</x:f>
        <x:v>0.25577380085432466</x:v>
      </x:c>
      <x:c r="AP20" s="32" t="n">
        <x:f>AP19+AN20-AO20</x:f>
        <x:v>0</x:v>
      </x:c>
      <x:c r="AQ20" s="32" t="n">
        <x:f>AM20+AO20</x:f>
        <x:v>1.4894970881345024</x:v>
      </x:c>
      <x:c r="AR20" s="10" t="n">
        <x:f>IF(H20=1,INDEX(v01_Req,G20),0)</x:f>
        <x:v>372.02</x:v>
      </x:c>
      <x:c r="AS20" s="32" t="n">
        <x:f>IF(H20=1,IF(E20=1,AS19-AR19,AS19)+AQ20,0)</x:f>
        <x:v>25.979714353840475</x:v>
      </x:c>
      <x:c r="AT20" s="11" t="n">
        <x:f>IF(AR20&gt;0,MIN(1,AS20/AR20),1)</x:f>
        <x:v>0.069834187285201</x:v>
      </x:c>
      <x:c r="AU20" s="10" t="n">
        <x:f>AB20/INDEX(v01_RepScale,G20)</x:f>
        <x:v>13.413011271013534</x:v>
      </x:c>
      <x:c r="AV20" s="32" t="n">
        <x:f>AM20*60/v01_SeasonSeconds</x:f>
        <x:v>4.934893149120711</x:v>
      </x:c>
    </x:row>
    <x:row r="21">
      <x:c r="A21" s="8" t="n">
        <x:f>A20+1</x:f>
        <x:v>18</x:v>
      </x:c>
      <x:c r="B21" s="9" t="n">
        <x:f>A21*v01_SeasonSeconds/60</x:f>
        <x:v>4.5</x:v>
      </x:c>
      <x:c r="C21" s="9" t="n">
        <x:f>A21/4</x:f>
        <x:v>4.5</x:v>
      </x:c>
      <x:c r="D21" s="8" t="n">
        <x:f>IF(MOD(A21,4)=0,1,0)</x:f>
        <x:v>0</x:v>
      </x:c>
      <x:c r="E21" s="8" t="n">
        <x:f>IF(AND(F20&lt;=9,AS20&gt;=AR20),1,0)</x:f>
        <x:v>0</x:v>
      </x:c>
      <x:c r="F21" s="8" t="n">
        <x:f>MIN(10,F20+E21)</x:f>
        <x:v>0</x:v>
      </x:c>
      <x:c r="G21" s="8" t="n">
        <x:f>MIN(F21,9)+1</x:f>
        <x:v>1</x:v>
      </x:c>
      <x:c r="H21" s="8" t="n">
        <x:f>IF(F21&lt;=9,1,0)</x:f>
        <x:v>1</x:v>
      </x:c>
      <x:c r="I21" s="9" t="n">
        <x:f>MIN(10,F20+IF(AR20&gt;0,MIN(1,AS20/AR20),1))</x:f>
        <x:v>0.069834187285201</x:v>
      </x:c>
      <x:c r="J21" s="32" t="n">
        <x:f>INDEX(v01_FoodCap,G21)*Arch_FoodCap*EXP(v01_CapsByProject*SUMPRODUCT((Cap_Point&lt;=I21)*(Cap_Kind="Food")*Cap_Ln))</x:f>
        <x:v>22</x:v>
      </x:c>
      <x:c r="K21" s="32" t="n">
        <x:f>J21*MIN(1,v01_LeanBase*EXP(v01_CapsByProject*SUMPRODUCT((Cap_Point&lt;=I21)*(Cap_Kind="Lean")*Cap_Ln)))</x:f>
        <x:v>22</x:v>
      </x:c>
      <x:c r="L21" s="10" t="n">
        <x:f>INDEX(v01_HousingCap,G21)*EXP(v01_CapsByProject*SUMPRODUCT((Cap_Point&lt;=I21)*(Cap_Kind="Housing")*Cap_Ln))</x:f>
        <x:v>60</x:v>
      </x:c>
      <x:c r="M21" s="10" t="n">
        <x:f>INDEX(v01_GroupCap,G21)*v01_CohesionFactor*EXP(v01_CapsByProject*SUMPRODUCT((Cap_Point&lt;=I21)*(Cap_Kind="Group")*Cap_Ln))</x:f>
        <x:v>35</x:v>
      </x:c>
      <x:c r="N21" s="32" t="n">
        <x:f>MIN(J21,L21,M21)</x:f>
        <x:v>22</x:v>
      </x:c>
      <x:c r="O21" s="10" t="n">
        <x:f>AE20*N21</x:f>
        <x:v>22</x:v>
      </x:c>
      <x:c r="P21" s="9" t="n">
        <x:f>MIN(1,(AB20/(AE20*IF(v01_GroupInCrowding=1,N21,MIN(J21,L21))))^v01_CrowdingExp)</x:f>
        <x:v>0.05135960231075105</x:v>
      </x:c>
      <x:c r="Q21" s="9" t="n">
        <x:f>IF(D21=1,INDEX(v01_WinterMult,G21),1)</x:f>
        <x:v>1</x:v>
      </x:c>
      <x:c r="R21" s="9" t="n">
        <x:f>H21*Z20*v01_WomenShare*v01_BaseFertility*INDEX(v01_FertMult,G21)*Arch_Fertility*(1-P21)</x:f>
        <x:v>0.20797488013794624</x:v>
      </x:c>
      <x:c r="S21" s="9" t="n">
        <x:f>H21*Y20*INDEX(v01_MortChild,G21)/4*Q21</x:f>
        <x:v>0.04119597483816932</x:v>
      </x:c>
      <x:c r="T21" s="9" t="n">
        <x:f>H21*Z20*INDEX(v01_MortAdult,G21)*Arch_AdultMort/4*Q21</x:f>
        <x:v>0.027404335805820496</x:v>
      </x:c>
      <x:c r="U21" s="9" t="n">
        <x:f>H21*AA20*INDEX(v01_MortElder,G21)/4*Q21</x:f>
        <x:v>0.04963977264111176</x:v>
      </x:c>
      <x:c r="V21" s="9" t="n">
        <x:f>H21*MAX(0,AB20-O21)*v01_OvercapLoss</x:f>
        <x:v>0</x:v>
      </x:c>
      <x:c r="W21" s="9" t="n">
        <x:f>H21*Y20/(v01_ChildYears*4)</x:f>
        <x:v>0.07356424078244521</x:v>
      </x:c>
      <x:c r="X21" s="9" t="n">
        <x:f>H21*Z20/(v01_AdultYears*4)</x:f>
        <x:v>0.058934055496388166</x:v>
      </x:c>
      <x:c r="Y21" s="32" t="n">
        <x:f>Y20+R21-S21-W21-Y20*V21/AB20</x:f>
        <x:v>4.212812148334264</x:v>
      </x:c>
      <x:c r="Z21" s="32" t="n">
        <x:f>Z20+W21-X21-T21-Z20*V21/AB20</x:f>
        <x:v>7.295048731032369</x:v>
      </x:c>
      <x:c r="AA21" s="32" t="n">
        <x:f>AA20+X21-U21-AA20*V21/AB20</x:f>
        <x:v>1.9948851884997467</x:v>
      </x:c>
      <x:c r="AB21" s="10" t="n">
        <x:f>Y21+Z21+AA21</x:f>
        <x:v>13.502746067866381</x:v>
      </x:c>
      <x:c r="AC21" s="8" t="n">
        <x:f>IF(AND(v01_WinterTrigger=1,D21=1,AB20/AE20&gt;=K21),1,0)</x:f>
        <x:v>0</x:v>
      </x:c>
      <x:c r="AD21" s="8" t="n">
        <x:f>H21*IF(AND(OR(AB20/AE20&gt;=v01_FissionTrigger*N21,AC21=1),AB20/AE20*v01_DaughterShare&gt;=v01_MinDaughter),MAX(1,ROUND(AE20*v01_FissionRate,0)),0)</x:f>
        <x:v>0</x:v>
      </x:c>
      <x:c r="AE21" s="8" t="n">
        <x:f>IF(H21=1,MAX(1,MIN(INDEX(v01_Smax,G21),AE20+AD21)),AE20)</x:f>
        <x:v>1</x:v>
      </x:c>
      <x:c r="AF21" s="8" t="n">
        <x:f>MAX(0,AE21-AE20)</x:f>
        <x:v>0</x:v>
      </x:c>
      <x:c r="AG21" s="9" t="str">
        <x:f>IF(AF21&gt;0,B21,"")</x:f>
      </x:c>
      <x:c r="AH21" s="9" t="n">
        <x:f>IF(F21&gt;=1,1,(1+v01_LowTiesShare*(AE21-1))/AE21)</x:f>
        <x:v>1</x:v>
      </x:c>
      <x:c r="AI21" s="32" t="n">
        <x:f>(Z21+v01_ElderCommons*INDEX(LM_Elder,G21)*AA21)*AH21</x:f>
        <x:v>11.284819108031863</x:v>
      </x:c>
      <x:c r="AJ21" s="32" t="n">
        <x:f>H21*v01_CommonsCoef*AI21^v01_CommonsExp*INDEX(LM_Commons,G21)</x:f>
        <x:v>4.93705544516677</x:v>
      </x:c>
      <x:c r="AK21" s="32" t="n">
        <x:f>H21*v01_RoleScale*Arch_Roles*(AE21*(INDEX(v01_ElderRolePerSett,G21)*v01_OutElder*INDEX(LM_Elder,G21)+INDEX(v01_ShamanPerSett,G21)*v01_OutShaman)+Z21*(INDEX(v01_PriestShare,G21)*v01_OutPriest+INDEX(v01_ScribeShare,G21)*v01_OutScribe*INDEX(LM_Scribe,G21)+INDEX(v01_ScholarShare,G21)*v01_OutScholar*INDEX(LM_Scholar,G21)+INDEX(v01_ResearcherShare,G21)*v01_OutResearcher*INDEX(LM_Researcher,G21)))</x:f>
        <x:v>0</x:v>
      </x:c>
      <x:c r="AL21" s="32" t="n">
        <x:f>H21*v01_RoleScale*Arch_Roles*AE21*INDEX(v01_MonasteryPerSett,G21)*v01_OutMonastery*INDEX(LM_Monastery,G21)</x:f>
        <x:v>0</x:v>
      </x:c>
      <x:c r="AM21" s="32" t="n">
        <x:f>(AJ21+AK21+AL21)/4*INDEX(LM_All,G21)*INDEX(v01_Boon,G21)*Arch_Insight</x:f>
        <x:v>1.2342638612916925</x:v>
      </x:c>
      <x:c r="AN21" s="32" t="n">
        <x:f>H21*(v01_KHPerAdult*Z21+v01_KHOfCommons*AJ21/4*INDEX(LM_All,G21))*v01_KHUsable*Arch_KH</x:f>
        <x:v>0.2553267055861329</x:v>
      </x:c>
      <x:c r="AO21" s="32" t="n">
        <x:f>MIN(AP20+AN21,AM21*v01_KHMaxRatio)</x:f>
        <x:v>0.2553267055861329</x:v>
      </x:c>
      <x:c r="AP21" s="32" t="n">
        <x:f>AP20+AN21-AO21</x:f>
        <x:v>0</x:v>
      </x:c>
      <x:c r="AQ21" s="32" t="n">
        <x:f>AM21+AO21</x:f>
        <x:v>1.4895905668778253</x:v>
      </x:c>
      <x:c r="AR21" s="10" t="n">
        <x:f>IF(H21=1,INDEX(v01_Req,G21),0)</x:f>
        <x:v>372.02</x:v>
      </x:c>
      <x:c r="AS21" s="32" t="n">
        <x:f>IF(H21=1,IF(E21=1,AS20-AR20,AS20)+AQ21,0)</x:f>
        <x:v>27.4693049207183</x:v>
      </x:c>
      <x:c r="AT21" s="11" t="n">
        <x:f>IF(AR21&gt;0,MIN(1,AS21/AR21),1)</x:f>
        <x:v>0.07383824773054756</x:v>
      </x:c>
      <x:c r="AU21" s="10" t="n">
        <x:f>AB21/INDEX(v01_RepScale,G21)</x:f>
        <x:v>13.502746067866381</x:v>
      </x:c>
      <x:c r="AV21" s="32" t="n">
        <x:f>AM21*60/v01_SeasonSeconds</x:f>
        <x:v>4.937055445166769</x:v>
      </x:c>
    </x:row>
    <x:row r="22">
      <x:c r="A22" s="8" t="n">
        <x:f>A21+1</x:f>
        <x:v>19</x:v>
      </x:c>
      <x:c r="B22" s="9" t="n">
        <x:f>A22*v01_SeasonSeconds/60</x:f>
        <x:v>4.75</x:v>
      </x:c>
      <x:c r="C22" s="9" t="n">
        <x:f>A22/4</x:f>
        <x:v>4.75</x:v>
      </x:c>
      <x:c r="D22" s="8" t="n">
        <x:f>IF(MOD(A22,4)=0,1,0)</x:f>
        <x:v>0</x:v>
      </x:c>
      <x:c r="E22" s="8" t="n">
        <x:f>IF(AND(F21&lt;=9,AS21&gt;=AR21),1,0)</x:f>
        <x:v>0</x:v>
      </x:c>
      <x:c r="F22" s="8" t="n">
        <x:f>MIN(10,F21+E22)</x:f>
        <x:v>0</x:v>
      </x:c>
      <x:c r="G22" s="8" t="n">
        <x:f>MIN(F22,9)+1</x:f>
        <x:v>1</x:v>
      </x:c>
      <x:c r="H22" s="8" t="n">
        <x:f>IF(F22&lt;=9,1,0)</x:f>
        <x:v>1</x:v>
      </x:c>
      <x:c r="I22" s="9" t="n">
        <x:f>MIN(10,F21+IF(AR21&gt;0,MIN(1,AS21/AR21),1))</x:f>
        <x:v>0.07383824773054756</x:v>
      </x:c>
      <x:c r="J22" s="32" t="n">
        <x:f>INDEX(v01_FoodCap,G22)*Arch_FoodCap*EXP(v01_CapsByProject*SUMPRODUCT((Cap_Point&lt;=I22)*(Cap_Kind="Food")*Cap_Ln))</x:f>
        <x:v>22</x:v>
      </x:c>
      <x:c r="K22" s="32" t="n">
        <x:f>J22*MIN(1,v01_LeanBase*EXP(v01_CapsByProject*SUMPRODUCT((Cap_Point&lt;=I22)*(Cap_Kind="Lean")*Cap_Ln)))</x:f>
        <x:v>22</x:v>
      </x:c>
      <x:c r="L22" s="10" t="n">
        <x:f>INDEX(v01_HousingCap,G22)*EXP(v01_CapsByProject*SUMPRODUCT((Cap_Point&lt;=I22)*(Cap_Kind="Housing")*Cap_Ln))</x:f>
        <x:v>60</x:v>
      </x:c>
      <x:c r="M22" s="10" t="n">
        <x:f>INDEX(v01_GroupCap,G22)*v01_CohesionFactor*EXP(v01_CapsByProject*SUMPRODUCT((Cap_Point&lt;=I22)*(Cap_Kind="Group")*Cap_Ln))</x:f>
        <x:v>35</x:v>
      </x:c>
      <x:c r="N22" s="32" t="n">
        <x:f>MIN(J22,L22,M22)</x:f>
        <x:v>22</x:v>
      </x:c>
      <x:c r="O22" s="10" t="n">
        <x:f>AE21*N22</x:f>
        <x:v>22</x:v>
      </x:c>
      <x:c r="P22" s="9" t="n">
        <x:f>MIN(1,(AB21/(AE21*IF(v01_GroupInCrowding=1,N22,MIN(J22,L22))))^v01_CrowdingExp)</x:f>
        <x:v>0.05345600729024421</x:v>
      </x:c>
      <x:c r="Q22" s="9" t="n">
        <x:f>IF(D22=1,INDEX(v01_WinterMult,G22),1)</x:f>
        <x:v>1</x:v>
      </x:c>
      <x:c r="R22" s="9" t="n">
        <x:f>H22*Z21*v01_WomenShare*v01_BaseFertility*INDEX(v01_FertMult,G22)*Arch_Fertility*(1-P22)</x:f>
        <x:v>0.20715253658650848</x:v>
      </x:c>
      <x:c r="S22" s="9" t="n">
        <x:f>H22*Y21*INDEX(v01_MortChild,G22)/4*Q22</x:f>
        <x:v>0.04212812148334265</x:v>
      </x:c>
      <x:c r="T22" s="9" t="n">
        <x:f>H22*Z21*INDEX(v01_MortAdult,G22)*Arch_AdultMort/4*Q22</x:f>
        <x:v>0.027356432741371384</x:v>
      </x:c>
      <x:c r="U22" s="9" t="n">
        <x:f>H22*AA21*INDEX(v01_MortElder,G22)/4*Q22</x:f>
        <x:v>0.04987212971249367</x:v>
      </x:c>
      <x:c r="V22" s="9" t="n">
        <x:f>H22*MAX(0,AB21-O22)*v01_OvercapLoss</x:f>
        <x:v>0</x:v>
      </x:c>
      <x:c r="W22" s="9" t="n">
        <x:f>H22*Y21/(v01_ChildYears*4)</x:f>
        <x:v>0.07522878836311186</x:v>
      </x:c>
      <x:c r="X22" s="9" t="n">
        <x:f>H22*Z21/(v01_AdultYears*4)</x:f>
        <x:v>0.05883103815348685</x:v>
      </x:c>
      <x:c r="Y22" s="32" t="n">
        <x:f>Y21+R22-S22-W22-Y21*V22/AB21</x:f>
        <x:v>4.302607775074319</x:v>
      </x:c>
      <x:c r="Z22" s="32" t="n">
        <x:f>Z21+W22-X22-T22-Z21*V22/AB21</x:f>
        <x:v>7.284090048500622</x:v>
      </x:c>
      <x:c r="AA22" s="32" t="n">
        <x:f>AA21+X22-U22-AA21*V22/AB21</x:f>
        <x:v>2.00384409694074</x:v>
      </x:c>
      <x:c r="AB22" s="10" t="n">
        <x:f>Y22+Z22+AA22</x:f>
        <x:v>13.59054192051568</x:v>
      </x:c>
      <x:c r="AC22" s="8" t="n">
        <x:f>IF(AND(v01_WinterTrigger=1,D22=1,AB21/AE21&gt;=K22),1,0)</x:f>
        <x:v>0</x:v>
      </x:c>
      <x:c r="AD22" s="8" t="n">
        <x:f>H22*IF(AND(OR(AB21/AE21&gt;=v01_FissionTrigger*N22,AC22=1),AB21/AE21*v01_DaughterShare&gt;=v01_MinDaughter),MAX(1,ROUND(AE21*v01_FissionRate,0)),0)</x:f>
        <x:v>0</x:v>
      </x:c>
      <x:c r="AE22" s="8" t="n">
        <x:f>IF(H22=1,MAX(1,MIN(INDEX(v01_Smax,G22),AE21+AD22)),AE21)</x:f>
        <x:v>1</x:v>
      </x:c>
      <x:c r="AF22" s="8" t="n">
        <x:f>MAX(0,AE22-AE21)</x:f>
        <x:v>0</x:v>
      </x:c>
      <x:c r="AG22" s="9" t="str">
        <x:f>IF(AF22&gt;0,B22,"")</x:f>
      </x:c>
      <x:c r="AH22" s="9" t="n">
        <x:f>IF(F22&gt;=1,1,(1+v01_LowTiesShare*(AE22-1))/AE22)</x:f>
        <x:v>1</x:v>
      </x:c>
      <x:c r="AI22" s="32" t="n">
        <x:f>(Z22+v01_ElderCommons*INDEX(LM_Elder,G22)*AA22)*AH22</x:f>
        <x:v>11.291778242382101</x:v>
      </x:c>
      <x:c r="AJ22" s="32" t="n">
        <x:f>H22*v01_CommonsCoef*AI22^v01_CommonsExp*INDEX(LM_Commons,G22)</x:f>
        <x:v>4.939643225851647</x:v>
      </x:c>
      <x:c r="AK22" s="32" t="n">
        <x:f>H22*v01_RoleScale*Arch_Roles*(AE22*(INDEX(v01_ElderRolePerSett,G22)*v01_OutElder*INDEX(LM_Elder,G22)+INDEX(v01_ShamanPerSett,G22)*v01_OutShaman)+Z22*(INDEX(v01_PriestShare,G22)*v01_OutPriest+INDEX(v01_ScribeShare,G22)*v01_OutScribe*INDEX(LM_Scribe,G22)+INDEX(v01_ScholarShare,G22)*v01_OutScholar*INDEX(LM_Scholar,G22)+INDEX(v01_ResearcherShare,G22)*v01_OutResearcher*INDEX(LM_Researcher,G22)))</x:f>
        <x:v>0</x:v>
      </x:c>
      <x:c r="AL22" s="32" t="n">
        <x:f>H22*v01_RoleScale*Arch_Roles*AE22*INDEX(v01_MonasteryPerSett,G22)*v01_OutMonastery*INDEX(LM_Monastery,G22)</x:f>
        <x:v>0</x:v>
      </x:c>
      <x:c r="AM22" s="32" t="n">
        <x:f>(AJ22+AK22+AL22)/4*INDEX(LM_All,G22)*INDEX(v01_Boon,G22)*Arch_Insight</x:f>
        <x:v>1.2349108064629117</x:v>
      </x:c>
      <x:c r="AN22" s="32" t="n">
        <x:f>H22*(v01_KHPerAdult*Z22+v01_KHOfCommons*AJ22/4*INDEX(LM_All,G22))*v01_KHUsable*Arch_KH</x:f>
        <x:v>0.25494315169752174</x:v>
      </x:c>
      <x:c r="AO22" s="32" t="n">
        <x:f>MIN(AP21+AN22,AM22*v01_KHMaxRatio)</x:f>
        <x:v>0.25494315169752174</x:v>
      </x:c>
      <x:c r="AP22" s="32" t="n">
        <x:f>AP21+AN22-AO22</x:f>
        <x:v>0</x:v>
      </x:c>
      <x:c r="AQ22" s="32" t="n">
        <x:f>AM22+AO22</x:f>
        <x:v>1.4898539581604335</x:v>
      </x:c>
      <x:c r="AR22" s="10" t="n">
        <x:f>IF(H22=1,INDEX(v01_Req,G22),0)</x:f>
        <x:v>372.02</x:v>
      </x:c>
      <x:c r="AS22" s="32" t="n">
        <x:f>IF(H22=1,IF(E22=1,AS21-AR21,AS21)+AQ22,0)</x:f>
        <x:v>28.959158878878736</x:v>
      </x:c>
      <x:c r="AT22" s="11" t="n">
        <x:f>IF(AR22&gt;0,MIN(1,AS22/AR22),1)</x:f>
        <x:v>0.07784301617891172</x:v>
      </x:c>
      <x:c r="AU22" s="10" t="n">
        <x:f>AB22/INDEX(v01_RepScale,G22)</x:f>
        <x:v>13.59054192051568</x:v>
      </x:c>
      <x:c r="AV22" s="32" t="n">
        <x:f>AM22*60/v01_SeasonSeconds</x:f>
        <x:v>4.939643225851646</x:v>
      </x:c>
    </x:row>
    <x:row r="23">
      <x:c r="A23" s="8" t="n">
        <x:f>A22+1</x:f>
        <x:v>20</x:v>
      </x:c>
      <x:c r="B23" s="9" t="n">
        <x:f>A23*v01_SeasonSeconds/60</x:f>
        <x:v>5</x:v>
      </x:c>
      <x:c r="C23" s="9" t="n">
        <x:f>A23/4</x:f>
        <x:v>5</x:v>
      </x:c>
      <x:c r="D23" s="8" t="n">
        <x:f>IF(MOD(A23,4)=0,1,0)</x:f>
        <x:v>1</x:v>
      </x:c>
      <x:c r="E23" s="8" t="n">
        <x:f>IF(AND(F22&lt;=9,AS22&gt;=AR22),1,0)</x:f>
        <x:v>0</x:v>
      </x:c>
      <x:c r="F23" s="8" t="n">
        <x:f>MIN(10,F22+E23)</x:f>
        <x:v>0</x:v>
      </x:c>
      <x:c r="G23" s="8" t="n">
        <x:f>MIN(F23,9)+1</x:f>
        <x:v>1</x:v>
      </x:c>
      <x:c r="H23" s="8" t="n">
        <x:f>IF(F23&lt;=9,1,0)</x:f>
        <x:v>1</x:v>
      </x:c>
      <x:c r="I23" s="9" t="n">
        <x:f>MIN(10,F22+IF(AR22&gt;0,MIN(1,AS22/AR22),1))</x:f>
        <x:v>0.07784301617891172</x:v>
      </x:c>
      <x:c r="J23" s="32" t="n">
        <x:f>INDEX(v01_FoodCap,G23)*Arch_FoodCap*EXP(v01_CapsByProject*SUMPRODUCT((Cap_Point&lt;=I23)*(Cap_Kind="Food")*Cap_Ln))</x:f>
        <x:v>22</x:v>
      </x:c>
      <x:c r="K23" s="32" t="n">
        <x:f>J23*MIN(1,v01_LeanBase*EXP(v01_CapsByProject*SUMPRODUCT((Cap_Point&lt;=I23)*(Cap_Kind="Lean")*Cap_Ln)))</x:f>
        <x:v>22</x:v>
      </x:c>
      <x:c r="L23" s="10" t="n">
        <x:f>INDEX(v01_HousingCap,G23)*EXP(v01_CapsByProject*SUMPRODUCT((Cap_Point&lt;=I23)*(Cap_Kind="Housing")*Cap_Ln))</x:f>
        <x:v>60</x:v>
      </x:c>
      <x:c r="M23" s="10" t="n">
        <x:f>INDEX(v01_GroupCap,G23)*v01_CohesionFactor*EXP(v01_CapsByProject*SUMPRODUCT((Cap_Point&lt;=I23)*(Cap_Kind="Group")*Cap_Ln))</x:f>
        <x:v>35</x:v>
      </x:c>
      <x:c r="N23" s="32" t="n">
        <x:f>MIN(J23,L23,M23)</x:f>
        <x:v>22</x:v>
      </x:c>
      <x:c r="O23" s="10" t="n">
        <x:f>AE22*N23</x:f>
        <x:v>22</x:v>
      </x:c>
      <x:c r="P23" s="9" t="n">
        <x:f>MIN(1,(AB22/(AE22*IF(v01_GroupInCrowding=1,N23,MIN(J23,L23))))^v01_CrowdingExp)</x:f>
        <x:v>0.05557565143706512</x:v>
      </x:c>
      <x:c r="Q23" s="9" t="n">
        <x:f>IF(D23=1,INDEX(v01_WinterMult,G23),1)</x:f>
        <x:v>2</x:v>
      </x:c>
      <x:c r="R23" s="9" t="n">
        <x:f>H23*Z22*v01_WomenShare*v01_BaseFertility*INDEX(v01_FertMult,G23)*Arch_Fertility*(1-P23)</x:f>
        <x:v>0.20637815996786868</x:v>
      </x:c>
      <x:c r="S23" s="9" t="n">
        <x:f>H23*Y22*INDEX(v01_MortChild,G23)/4*Q23</x:f>
        <x:v>0.08605215550148637</x:v>
      </x:c>
      <x:c r="T23" s="9" t="n">
        <x:f>H23*Z22*INDEX(v01_MortAdult,G23)*Arch_AdultMort/4*Q23</x:f>
        <x:v>0.05463067536375466</x:v>
      </x:c>
      <x:c r="U23" s="9" t="n">
        <x:f>H23*AA22*INDEX(v01_MortElder,G23)/4*Q23</x:f>
        <x:v>0.100192204847037</x:v>
      </x:c>
      <x:c r="V23" s="9" t="n">
        <x:f>H23*MAX(0,AB22-O23)*v01_OvercapLoss</x:f>
        <x:v>0</x:v>
      </x:c>
      <x:c r="W23" s="9" t="n">
        <x:f>H23*Y22/(v01_ChildYears*4)</x:f>
        <x:v>0.07683228169775569</x:v>
      </x:c>
      <x:c r="X23" s="9" t="n">
        <x:f>H23*Z22/(v01_AdultYears*4)</x:f>
        <x:v>0.05874266168145663</x:v>
      </x:c>
      <x:c r="Y23" s="32" t="n">
        <x:f>Y22+R23-S23-W23-Y22*V23/AB22</x:f>
        <x:v>4.3461014978429455</x:v>
      </x:c>
      <x:c r="Z23" s="32" t="n">
        <x:f>Z22+W23-X23-T23-Z22*V23/AB22</x:f>
        <x:v>7.247548993153166</x:v>
      </x:c>
      <x:c r="AA23" s="32" t="n">
        <x:f>AA22+X23-U23-AA22*V23/AB22</x:f>
        <x:v>1.9623945537751597</x:v>
      </x:c>
      <x:c r="AB23" s="10" t="n">
        <x:f>Y23+Z23+AA23</x:f>
        <x:v>13.55604504477127</x:v>
      </x:c>
      <x:c r="AC23" s="8" t="n">
        <x:f>IF(AND(v01_WinterTrigger=1,D23=1,AB22/AE22&gt;=K23),1,0)</x:f>
        <x:v>0</x:v>
      </x:c>
      <x:c r="AD23" s="8" t="n">
        <x:f>H23*IF(AND(OR(AB22/AE22&gt;=v01_FissionTrigger*N23,AC23=1),AB22/AE22*v01_DaughterShare&gt;=v01_MinDaughter),MAX(1,ROUND(AE22*v01_FissionRate,0)),0)</x:f>
        <x:v>0</x:v>
      </x:c>
      <x:c r="AE23" s="8" t="n">
        <x:f>IF(H23=1,MAX(1,MIN(INDEX(v01_Smax,G23),AE22+AD23)),AE22)</x:f>
        <x:v>1</x:v>
      </x:c>
      <x:c r="AF23" s="8" t="n">
        <x:f>MAX(0,AE23-AE22)</x:f>
        <x:v>0</x:v>
      </x:c>
      <x:c r="AG23" s="9" t="str">
        <x:f>IF(AF23&gt;0,B23,"")</x:f>
      </x:c>
      <x:c r="AH23" s="9" t="n">
        <x:f>IF(F23&gt;=1,1,(1+v01_LowTiesShare*(AE23-1))/AE23)</x:f>
        <x:v>1</x:v>
      </x:c>
      <x:c r="AI23" s="32" t="n">
        <x:f>(Z23+v01_ElderCommons*INDEX(LM_Elder,G23)*AA23)*AH23</x:f>
        <x:v>11.172338100703485</x:v>
      </x:c>
      <x:c r="AJ23" s="32" t="n">
        <x:f>H23*v01_CommonsCoef*AI23^v01_CommonsExp*INDEX(LM_Commons,G23)</x:f>
        <x:v>4.895195629513392</x:v>
      </x:c>
      <x:c r="AK23" s="32" t="n">
        <x:f>H23*v01_RoleScale*Arch_Roles*(AE23*(INDEX(v01_ElderRolePerSett,G23)*v01_OutElder*INDEX(LM_Elder,G23)+INDEX(v01_ShamanPerSett,G23)*v01_OutShaman)+Z23*(INDEX(v01_PriestShare,G23)*v01_OutPriest+INDEX(v01_ScribeShare,G23)*v01_OutScribe*INDEX(LM_Scribe,G23)+INDEX(v01_ScholarShare,G23)*v01_OutScholar*INDEX(LM_Scholar,G23)+INDEX(v01_ResearcherShare,G23)*v01_OutResearcher*INDEX(LM_Researcher,G23)))</x:f>
        <x:v>0</x:v>
      </x:c>
      <x:c r="AL23" s="32" t="n">
        <x:f>H23*v01_RoleScale*Arch_Roles*AE23*INDEX(v01_MonasteryPerSett,G23)*v01_OutMonastery*INDEX(LM_Monastery,G23)</x:f>
        <x:v>0</x:v>
      </x:c>
      <x:c r="AM23" s="32" t="n">
        <x:f>(AJ23+AK23+AL23)/4*INDEX(LM_All,G23)*INDEX(v01_Boon,G23)*Arch_Insight</x:f>
        <x:v>1.223798907378348</x:v>
      </x:c>
      <x:c r="AN23" s="32" t="n">
        <x:f>H23*(v01_KHPerAdult*Z23+v01_KHOfCommons*AJ23/4*INDEX(LM_All,G23))*v01_KHUsable*Arch_KH</x:f>
        <x:v>0.25366421476036083</x:v>
      </x:c>
      <x:c r="AO23" s="32" t="n">
        <x:f>MIN(AP22+AN23,AM23*v01_KHMaxRatio)</x:f>
        <x:v>0.25366421476036083</x:v>
      </x:c>
      <x:c r="AP23" s="32" t="n">
        <x:f>AP22+AN23-AO23</x:f>
        <x:v>0</x:v>
      </x:c>
      <x:c r="AQ23" s="32" t="n">
        <x:f>AM23+AO23</x:f>
        <x:v>1.4774631221387087</x:v>
      </x:c>
      <x:c r="AR23" s="10" t="n">
        <x:f>IF(H23=1,INDEX(v01_Req,G23),0)</x:f>
        <x:v>372.02</x:v>
      </x:c>
      <x:c r="AS23" s="32" t="n">
        <x:f>IF(H23=1,IF(E23=1,AS22-AR22,AS22)+AQ23,0)</x:f>
        <x:v>30.436622001017444</x:v>
      </x:c>
      <x:c r="AT23" s="11" t="n">
        <x:f>IF(AR23&gt;0,MIN(1,AS23/AR23),1)</x:f>
        <x:v>0.08181447771898674</x:v>
      </x:c>
      <x:c r="AU23" s="10" t="n">
        <x:f>AB23/INDEX(v01_RepScale,G23)</x:f>
        <x:v>13.55604504477127</x:v>
      </x:c>
      <x:c r="AV23" s="32" t="n">
        <x:f>AM23*60/v01_SeasonSeconds</x:f>
        <x:v>4.895195629513392</x:v>
      </x:c>
    </x:row>
    <x:row r="24">
      <x:c r="A24" s="8" t="n">
        <x:f>A23+1</x:f>
        <x:v>21</x:v>
      </x:c>
      <x:c r="B24" s="9" t="n">
        <x:f>A24*v01_SeasonSeconds/60</x:f>
        <x:v>5.25</x:v>
      </x:c>
      <x:c r="C24" s="9" t="n">
        <x:f>A24/4</x:f>
        <x:v>5.25</x:v>
      </x:c>
      <x:c r="D24" s="8" t="n">
        <x:f>IF(MOD(A24,4)=0,1,0)</x:f>
        <x:v>0</x:v>
      </x:c>
      <x:c r="E24" s="8" t="n">
        <x:f>IF(AND(F23&lt;=9,AS23&gt;=AR23),1,0)</x:f>
        <x:v>0</x:v>
      </x:c>
      <x:c r="F24" s="8" t="n">
        <x:f>MIN(10,F23+E24)</x:f>
        <x:v>0</x:v>
      </x:c>
      <x:c r="G24" s="8" t="n">
        <x:f>MIN(F24,9)+1</x:f>
        <x:v>1</x:v>
      </x:c>
      <x:c r="H24" s="8" t="n">
        <x:f>IF(F24&lt;=9,1,0)</x:f>
        <x:v>1</x:v>
      </x:c>
      <x:c r="I24" s="9" t="n">
        <x:f>MIN(10,F23+IF(AR23&gt;0,MIN(1,AS23/AR23),1))</x:f>
        <x:v>0.08181447771898674</x:v>
      </x:c>
      <x:c r="J24" s="32" t="n">
        <x:f>INDEX(v01_FoodCap,G24)*Arch_FoodCap*EXP(v01_CapsByProject*SUMPRODUCT((Cap_Point&lt;=I24)*(Cap_Kind="Food")*Cap_Ln))</x:f>
        <x:v>22</x:v>
      </x:c>
      <x:c r="K24" s="32" t="n">
        <x:f>J24*MIN(1,v01_LeanBase*EXP(v01_CapsByProject*SUMPRODUCT((Cap_Point&lt;=I24)*(Cap_Kind="Lean")*Cap_Ln)))</x:f>
        <x:v>22</x:v>
      </x:c>
      <x:c r="L24" s="10" t="n">
        <x:f>INDEX(v01_HousingCap,G24)*EXP(v01_CapsByProject*SUMPRODUCT((Cap_Point&lt;=I24)*(Cap_Kind="Housing")*Cap_Ln))</x:f>
        <x:v>60</x:v>
      </x:c>
      <x:c r="M24" s="10" t="n">
        <x:f>INDEX(v01_GroupCap,G24)*v01_CohesionFactor*EXP(v01_CapsByProject*SUMPRODUCT((Cap_Point&lt;=I24)*(Cap_Kind="Group")*Cap_Ln))</x:f>
        <x:v>35</x:v>
      </x:c>
      <x:c r="N24" s="32" t="n">
        <x:f>MIN(J24,L24,M24)</x:f>
        <x:v>22</x:v>
      </x:c>
      <x:c r="O24" s="10" t="n">
        <x:f>AE23*N24</x:f>
        <x:v>22</x:v>
      </x:c>
      <x:c r="P24" s="9" t="n">
        <x:f>MIN(1,(AB23/(AE23*IF(v01_GroupInCrowding=1,N24,MIN(J24,L24))))^v01_CrowdingExp)</x:f>
        <x:v>0.05473459824150199</x:v>
      </x:c>
      <x:c r="Q24" s="9" t="n">
        <x:f>IF(D24=1,INDEX(v01_WinterMult,G24),1)</x:f>
        <x:v>1</x:v>
      </x:c>
      <x:c r="R24" s="9" t="n">
        <x:f>H24*Z23*v01_WomenShare*v01_BaseFertility*INDEX(v01_FertMult,G24)*Arch_Fertility*(1-P24)</x:f>
        <x:v>0.20552571932331976</x:v>
      </x:c>
      <x:c r="S24" s="9" t="n">
        <x:f>H24*Y23*INDEX(v01_MortChild,G24)/4*Q24</x:f>
        <x:v>0.043461014978429455</x:v>
      </x:c>
      <x:c r="T24" s="9" t="n">
        <x:f>H24*Z23*INDEX(v01_MortAdult,G24)*Arch_AdultMort/4*Q24</x:f>
        <x:v>0.027178308724324373</x:v>
      </x:c>
      <x:c r="U24" s="9" t="n">
        <x:f>H24*AA23*INDEX(v01_MortElder,G24)/4*Q24</x:f>
        <x:v>0.04905986384437899</x:v>
      </x:c>
      <x:c r="V24" s="9" t="n">
        <x:f>H24*MAX(0,AB23-O24)*v01_OvercapLoss</x:f>
        <x:v>0</x:v>
      </x:c>
      <x:c r="W24" s="9" t="n">
        <x:f>H24*Y23/(v01_ChildYears*4)</x:f>
        <x:v>0.07760895531862402</x:v>
      </x:c>
      <x:c r="X24" s="9" t="n">
        <x:f>H24*Z23/(v01_AdultYears*4)</x:f>
        <x:v>0.05844797575123521</x:v>
      </x:c>
      <x:c r="Y24" s="32" t="n">
        <x:f>Y23+R24-S24-W24-Y23*V24/AB23</x:f>
        <x:v>4.430557246869212</x:v>
      </x:c>
      <x:c r="Z24" s="32" t="n">
        <x:f>Z23+W24-X24-T24-Z23*V24/AB23</x:f>
        <x:v>7.23953166399623</x:v>
      </x:c>
      <x:c r="AA24" s="32" t="n">
        <x:f>AA23+X24-U24-AA23*V24/AB23</x:f>
        <x:v>1.9717826656820159</x:v>
      </x:c>
      <x:c r="AB24" s="10" t="n">
        <x:f>Y24+Z24+AA24</x:f>
        <x:v>13.641871576547457</x:v>
      </x:c>
      <x:c r="AC24" s="8" t="n">
        <x:f>IF(AND(v01_WinterTrigger=1,D24=1,AB23/AE23&gt;=K24),1,0)</x:f>
        <x:v>0</x:v>
      </x:c>
      <x:c r="AD24" s="8" t="n">
        <x:f>H24*IF(AND(OR(AB23/AE23&gt;=v01_FissionTrigger*N24,AC24=1),AB23/AE23*v01_DaughterShare&gt;=v01_MinDaughter),MAX(1,ROUND(AE23*v01_FissionRate,0)),0)</x:f>
        <x:v>0</x:v>
      </x:c>
      <x:c r="AE24" s="8" t="n">
        <x:f>IF(H24=1,MAX(1,MIN(INDEX(v01_Smax,G24),AE23+AD24)),AE23)</x:f>
        <x:v>1</x:v>
      </x:c>
      <x:c r="AF24" s="8" t="n">
        <x:f>MAX(0,AE24-AE23)</x:f>
        <x:v>0</x:v>
      </x:c>
      <x:c r="AG24" s="9" t="str">
        <x:f>IF(AF24&gt;0,B24,"")</x:f>
      </x:c>
      <x:c r="AH24" s="9" t="n">
        <x:f>IF(F24&gt;=1,1,(1+v01_LowTiesShare*(AE24-1))/AE24)</x:f>
        <x:v>1</x:v>
      </x:c>
      <x:c r="AI24" s="32" t="n">
        <x:f>(Z24+v01_ElderCommons*INDEX(LM_Elder,G24)*AA24)*AH24</x:f>
        <x:v>11.183096995360263</x:v>
      </x:c>
      <x:c r="AJ24" s="32" t="n">
        <x:f>H24*v01_CommonsCoef*AI24^v01_CommonsExp*INDEX(LM_Commons,G24)</x:f>
        <x:v>4.89920227767513</x:v>
      </x:c>
      <x:c r="AK24" s="32" t="n">
        <x:f>H24*v01_RoleScale*Arch_Roles*(AE24*(INDEX(v01_ElderRolePerSett,G24)*v01_OutElder*INDEX(LM_Elder,G24)+INDEX(v01_ShamanPerSett,G24)*v01_OutShaman)+Z24*(INDEX(v01_PriestShare,G24)*v01_OutPriest+INDEX(v01_ScribeShare,G24)*v01_OutScribe*INDEX(LM_Scribe,G24)+INDEX(v01_ScholarShare,G24)*v01_OutScholar*INDEX(LM_Scholar,G24)+INDEX(v01_ResearcherShare,G24)*v01_OutResearcher*INDEX(LM_Researcher,G24)))</x:f>
        <x:v>0</x:v>
      </x:c>
      <x:c r="AL24" s="32" t="n">
        <x:f>H24*v01_RoleScale*Arch_Roles*AE24*INDEX(v01_MonasteryPerSett,G24)*v01_OutMonastery*INDEX(LM_Monastery,G24)</x:f>
        <x:v>0</x:v>
      </x:c>
      <x:c r="AM24" s="32" t="n">
        <x:f>(AJ24+AK24+AL24)/4*INDEX(LM_All,G24)*INDEX(v01_Boon,G24)*Arch_Insight</x:f>
        <x:v>1.2248005694187825</x:v>
      </x:c>
      <x:c r="AN24" s="32" t="n">
        <x:f>H24*(v01_KHPerAdult*Z24+v01_KHOfCommons*AJ24/4*INDEX(LM_All,G24))*v01_KHUsable*Arch_KH</x:f>
        <x:v>0.25338360823986805</x:v>
      </x:c>
      <x:c r="AO24" s="32" t="n">
        <x:f>MIN(AP23+AN24,AM24*v01_KHMaxRatio)</x:f>
        <x:v>0.25338360823986805</x:v>
      </x:c>
      <x:c r="AP24" s="32" t="n">
        <x:f>AP23+AN24-AO24</x:f>
        <x:v>0</x:v>
      </x:c>
      <x:c r="AQ24" s="32" t="n">
        <x:f>AM24+AO24</x:f>
        <x:v>1.4781841776586506</x:v>
      </x:c>
      <x:c r="AR24" s="10" t="n">
        <x:f>IF(H24=1,INDEX(v01_Req,G24),0)</x:f>
        <x:v>372.02</x:v>
      </x:c>
      <x:c r="AS24" s="32" t="n">
        <x:f>IF(H24=1,IF(E24=1,AS23-AR23,AS23)+AQ24,0)</x:f>
        <x:v>31.914806178676095</x:v>
      </x:c>
      <x:c r="AT24" s="11" t="n">
        <x:f>IF(AR24&gt;0,MIN(1,AS24/AR24),1)</x:f>
        <x:v>0.0857878774761467</x:v>
      </x:c>
      <x:c r="AU24" s="10" t="n">
        <x:f>AB24/INDEX(v01_RepScale,G24)</x:f>
        <x:v>13.641871576547457</x:v>
      </x:c>
      <x:c r="AV24" s="32" t="n">
        <x:f>AM24*60/v01_SeasonSeconds</x:f>
        <x:v>4.89920227767513</x:v>
      </x:c>
    </x:row>
    <x:row r="25">
      <x:c r="A25" s="8" t="n">
        <x:f>A24+1</x:f>
        <x:v>22</x:v>
      </x:c>
      <x:c r="B25" s="9" t="n">
        <x:f>A25*v01_SeasonSeconds/60</x:f>
        <x:v>5.5</x:v>
      </x:c>
      <x:c r="C25" s="9" t="n">
        <x:f>A25/4</x:f>
        <x:v>5.5</x:v>
      </x:c>
      <x:c r="D25" s="8" t="n">
        <x:f>IF(MOD(A25,4)=0,1,0)</x:f>
        <x:v>0</x:v>
      </x:c>
      <x:c r="E25" s="8" t="n">
        <x:f>IF(AND(F24&lt;=9,AS24&gt;=AR24),1,0)</x:f>
        <x:v>0</x:v>
      </x:c>
      <x:c r="F25" s="8" t="n">
        <x:f>MIN(10,F24+E25)</x:f>
        <x:v>0</x:v>
      </x:c>
      <x:c r="G25" s="8" t="n">
        <x:f>MIN(F25,9)+1</x:f>
        <x:v>1</x:v>
      </x:c>
      <x:c r="H25" s="8" t="n">
        <x:f>IF(F25&lt;=9,1,0)</x:f>
        <x:v>1</x:v>
      </x:c>
      <x:c r="I25" s="9" t="n">
        <x:f>MIN(10,F24+IF(AR24&gt;0,MIN(1,AS24/AR24),1))</x:f>
        <x:v>0.0857878774761467</x:v>
      </x:c>
      <x:c r="J25" s="32" t="n">
        <x:f>INDEX(v01_FoodCap,G25)*Arch_FoodCap*EXP(v01_CapsByProject*SUMPRODUCT((Cap_Point&lt;=I25)*(Cap_Kind="Food")*Cap_Ln))</x:f>
        <x:v>22</x:v>
      </x:c>
      <x:c r="K25" s="32" t="n">
        <x:f>J25*MIN(1,v01_LeanBase*EXP(v01_CapsByProject*SUMPRODUCT((Cap_Point&lt;=I25)*(Cap_Kind="Lean")*Cap_Ln)))</x:f>
        <x:v>22</x:v>
      </x:c>
      <x:c r="L25" s="10" t="n">
        <x:f>INDEX(v01_HousingCap,G25)*EXP(v01_CapsByProject*SUMPRODUCT((Cap_Point&lt;=I25)*(Cap_Kind="Housing")*Cap_Ln))</x:f>
        <x:v>60</x:v>
      </x:c>
      <x:c r="M25" s="10" t="n">
        <x:f>INDEX(v01_GroupCap,G25)*v01_CohesionFactor*EXP(v01_CapsByProject*SUMPRODUCT((Cap_Point&lt;=I25)*(Cap_Kind="Group")*Cap_Ln))</x:f>
        <x:v>35</x:v>
      </x:c>
      <x:c r="N25" s="32" t="n">
        <x:f>MIN(J25,L25,M25)</x:f>
        <x:v>22</x:v>
      </x:c>
      <x:c r="O25" s="10" t="n">
        <x:f>AE24*N25</x:f>
        <x:v>22</x:v>
      </x:c>
      <x:c r="P25" s="9" t="n">
        <x:f>MIN(1,(AB24/(AE24*IF(v01_GroupInCrowding=1,N25,MIN(J25,L25))))^v01_CrowdingExp)</x:f>
        <x:v>0.05684701379296748</x:v>
      </x:c>
      <x:c r="Q25" s="9" t="n">
        <x:f>IF(D25=1,INDEX(v01_WinterMult,G25),1)</x:f>
        <x:v>1</x:v>
      </x:c>
      <x:c r="R25" s="9" t="n">
        <x:f>H25*Z24*v01_WomenShare*v01_BaseFertility*INDEX(v01_FertMult,G25)*Arch_Fertility*(1-P25)</x:f>
        <x:v>0.2048395772291523</x:v>
      </x:c>
      <x:c r="S25" s="9" t="n">
        <x:f>H25*Y24*INDEX(v01_MortChild,G25)/4*Q25</x:f>
        <x:v>0.044305572468692114</x:v>
      </x:c>
      <x:c r="T25" s="9" t="n">
        <x:f>H25*Z24*INDEX(v01_MortAdult,G25)*Arch_AdultMort/4*Q25</x:f>
        <x:v>0.02714824373998586</x:v>
      </x:c>
      <x:c r="U25" s="9" t="n">
        <x:f>H25*AA24*INDEX(v01_MortElder,G25)/4*Q25</x:f>
        <x:v>0.0492945666420504</x:v>
      </x:c>
      <x:c r="V25" s="9" t="n">
        <x:f>H25*MAX(0,AB24-O25)*v01_OvercapLoss</x:f>
        <x:v>0</x:v>
      </x:c>
      <x:c r="W25" s="9" t="n">
        <x:f>H25*Y24/(v01_ChildYears*4)</x:f>
        <x:v>0.07911709369409306</x:v>
      </x:c>
      <x:c r="X25" s="9" t="n">
        <x:f>H25*Z24/(v01_AdultYears*4)</x:f>
        <x:v>0.05838331987093734</x:v>
      </x:c>
      <x:c r="Y25" s="32" t="n">
        <x:f>Y24+R25-S25-W25-Y24*V25/AB24</x:f>
        <x:v>4.511974157935578</x:v>
      </x:c>
      <x:c r="Z25" s="32" t="n">
        <x:f>Z24+W25-X25-T25-Z24*V25/AB24</x:f>
        <x:v>7.233117194079401</x:v>
      </x:c>
      <x:c r="AA25" s="32" t="n">
        <x:f>AA24+X25-U25-AA24*V25/AB24</x:f>
        <x:v>1.980871418910903</x:v>
      </x:c>
      <x:c r="AB25" s="10" t="n">
        <x:f>Y25+Z25+AA25</x:f>
        <x:v>13.72596277092588</x:v>
      </x:c>
      <x:c r="AC25" s="8" t="n">
        <x:f>IF(AND(v01_WinterTrigger=1,D25=1,AB24/AE24&gt;=K25),1,0)</x:f>
        <x:v>0</x:v>
      </x:c>
      <x:c r="AD25" s="8" t="n">
        <x:f>H25*IF(AND(OR(AB24/AE24&gt;=v01_FissionTrigger*N25,AC25=1),AB24/AE24*v01_DaughterShare&gt;=v01_MinDaughter),MAX(1,ROUND(AE24*v01_FissionRate,0)),0)</x:f>
        <x:v>0</x:v>
      </x:c>
      <x:c r="AE25" s="8" t="n">
        <x:f>IF(H25=1,MAX(1,MIN(INDEX(v01_Smax,G25),AE24+AD25)),AE24)</x:f>
        <x:v>1</x:v>
      </x:c>
      <x:c r="AF25" s="8" t="n">
        <x:f>MAX(0,AE25-AE24)</x:f>
        <x:v>0</x:v>
      </x:c>
      <x:c r="AG25" s="9" t="str">
        <x:f>IF(AF25&gt;0,B25,"")</x:f>
      </x:c>
      <x:c r="AH25" s="9" t="n">
        <x:f>IF(F25&gt;=1,1,(1+v01_LowTiesShare*(AE25-1))/AE25)</x:f>
        <x:v>1</x:v>
      </x:c>
      <x:c r="AI25" s="32" t="n">
        <x:f>(Z25+v01_ElderCommons*INDEX(LM_Elder,G25)*AA25)*AH25</x:f>
        <x:v>11.194860031901207</x:v>
      </x:c>
      <x:c r="AJ25" s="32" t="n">
        <x:f>H25*v01_CommonsCoef*AI25^v01_CommonsExp*INDEX(LM_Commons,G25)</x:f>
        <x:v>4.903582210020953</x:v>
      </x:c>
      <x:c r="AK25" s="32" t="n">
        <x:f>H25*v01_RoleScale*Arch_Roles*(AE25*(INDEX(v01_ElderRolePerSett,G25)*v01_OutElder*INDEX(LM_Elder,G25)+INDEX(v01_ShamanPerSett,G25)*v01_OutShaman)+Z25*(INDEX(v01_PriestShare,G25)*v01_OutPriest+INDEX(v01_ScribeShare,G25)*v01_OutScribe*INDEX(LM_Scribe,G25)+INDEX(v01_ScholarShare,G25)*v01_OutScholar*INDEX(LM_Scholar,G25)+INDEX(v01_ResearcherShare,G25)*v01_OutResearcher*INDEX(LM_Researcher,G25)))</x:f>
        <x:v>0</x:v>
      </x:c>
      <x:c r="AL25" s="32" t="n">
        <x:f>H25*v01_RoleScale*Arch_Roles*AE25*INDEX(v01_MonasteryPerSett,G25)*v01_OutMonastery*INDEX(LM_Monastery,G25)</x:f>
        <x:v>0</x:v>
      </x:c>
      <x:c r="AM25" s="32" t="n">
        <x:f>(AJ25+AK25+AL25)/4*INDEX(LM_All,G25)*INDEX(v01_Boon,G25)*Arch_Insight</x:f>
        <x:v>1.2258955525052382</x:v>
      </x:c>
      <x:c r="AN25" s="32" t="n">
        <x:f>H25*(v01_KHPerAdult*Z25+v01_KHOfCommons*AJ25/4*INDEX(LM_All,G25))*v01_KHUsable*Arch_KH</x:f>
        <x:v>0.25315910179277906</x:v>
      </x:c>
      <x:c r="AO25" s="32" t="n">
        <x:f>MIN(AP24+AN25,AM25*v01_KHMaxRatio)</x:f>
        <x:v>0.25315910179277906</x:v>
      </x:c>
      <x:c r="AP25" s="32" t="n">
        <x:f>AP24+AN25-AO25</x:f>
        <x:v>0</x:v>
      </x:c>
      <x:c r="AQ25" s="32" t="n">
        <x:f>AM25+AO25</x:f>
        <x:v>1.4790546542980172</x:v>
      </x:c>
      <x:c r="AR25" s="10" t="n">
        <x:f>IF(H25=1,INDEX(v01_Req,G25),0)</x:f>
        <x:v>372.02</x:v>
      </x:c>
      <x:c r="AS25" s="32" t="n">
        <x:f>IF(H25=1,IF(E25=1,AS24-AR24,AS24)+AQ25,0)</x:f>
        <x:v>33.39386083297411</x:v>
      </x:c>
      <x:c r="AT25" s="11" t="n">
        <x:f>IF(AR25&gt;0,MIN(1,AS25/AR25),1)</x:f>
        <x:v>0.08976361709847351</x:v>
      </x:c>
      <x:c r="AU25" s="10" t="n">
        <x:f>AB25/INDEX(v01_RepScale,G25)</x:f>
        <x:v>13.72596277092588</x:v>
      </x:c>
      <x:c r="AV25" s="32" t="n">
        <x:f>AM25*60/v01_SeasonSeconds</x:f>
        <x:v>4.903582210020953</x:v>
      </x:c>
    </x:row>
    <x:row r="26">
      <x:c r="A26" s="8" t="n">
        <x:f>A25+1</x:f>
        <x:v>23</x:v>
      </x:c>
      <x:c r="B26" s="9" t="n">
        <x:f>A26*v01_SeasonSeconds/60</x:f>
        <x:v>5.75</x:v>
      </x:c>
      <x:c r="C26" s="9" t="n">
        <x:f>A26/4</x:f>
        <x:v>5.75</x:v>
      </x:c>
      <x:c r="D26" s="8" t="n">
        <x:f>IF(MOD(A26,4)=0,1,0)</x:f>
        <x:v>0</x:v>
      </x:c>
      <x:c r="E26" s="8" t="n">
        <x:f>IF(AND(F25&lt;=9,AS25&gt;=AR25),1,0)</x:f>
        <x:v>0</x:v>
      </x:c>
      <x:c r="F26" s="8" t="n">
        <x:f>MIN(10,F25+E26)</x:f>
        <x:v>0</x:v>
      </x:c>
      <x:c r="G26" s="8" t="n">
        <x:f>MIN(F26,9)+1</x:f>
        <x:v>1</x:v>
      </x:c>
      <x:c r="H26" s="8" t="n">
        <x:f>IF(F26&lt;=9,1,0)</x:f>
        <x:v>1</x:v>
      </x:c>
      <x:c r="I26" s="9" t="n">
        <x:f>MIN(10,F25+IF(AR25&gt;0,MIN(1,AS25/AR25),1))</x:f>
        <x:v>0.08976361709847351</x:v>
      </x:c>
      <x:c r="J26" s="32" t="n">
        <x:f>INDEX(v01_FoodCap,G26)*Arch_FoodCap*EXP(v01_CapsByProject*SUMPRODUCT((Cap_Point&lt;=I26)*(Cap_Kind="Food")*Cap_Ln))</x:f>
        <x:v>22</x:v>
      </x:c>
      <x:c r="K26" s="32" t="n">
        <x:f>J26*MIN(1,v01_LeanBase*EXP(v01_CapsByProject*SUMPRODUCT((Cap_Point&lt;=I26)*(Cap_Kind="Lean")*Cap_Ln)))</x:f>
        <x:v>22</x:v>
      </x:c>
      <x:c r="L26" s="10" t="n">
        <x:f>INDEX(v01_HousingCap,G26)*EXP(v01_CapsByProject*SUMPRODUCT((Cap_Point&lt;=I26)*(Cap_Kind="Housing")*Cap_Ln))</x:f>
        <x:v>60</x:v>
      </x:c>
      <x:c r="M26" s="10" t="n">
        <x:f>INDEX(v01_GroupCap,G26)*v01_CohesionFactor*EXP(v01_CapsByProject*SUMPRODUCT((Cap_Point&lt;=I26)*(Cap_Kind="Group")*Cap_Ln))</x:f>
        <x:v>35</x:v>
      </x:c>
      <x:c r="N26" s="32" t="n">
        <x:f>MIN(J26,L26,M26)</x:f>
        <x:v>22</x:v>
      </x:c>
      <x:c r="O26" s="10" t="n">
        <x:f>AE25*N26</x:f>
        <x:v>22</x:v>
      </x:c>
      <x:c r="P26" s="9" t="n">
        <x:f>MIN(1,(AB25/(AE25*IF(v01_GroupInCrowding=1,N26,MIN(J26,L26))))^v01_CrowdingExp)</x:f>
        <x:v>0.05898217926410686</x:v>
      </x:c>
      <x:c r="Q26" s="9" t="n">
        <x:f>IF(D26=1,INDEX(v01_WinterMult,G26),1)</x:f>
        <x:v>1</x:v>
      </x:c>
      <x:c r="R26" s="9" t="n">
        <x:f>H26*Z25*v01_WomenShare*v01_BaseFertility*INDEX(v01_FertMult,G26)*Arch_Fertility*(1-P26)</x:f>
        <x:v>0.20419476537299747</x:v>
      </x:c>
      <x:c r="S26" s="9" t="n">
        <x:f>H26*Y25*INDEX(v01_MortChild,G26)/4*Q26</x:f>
        <x:v>0.04511974157935578</x:v>
      </x:c>
      <x:c r="T26" s="9" t="n">
        <x:f>H26*Z25*INDEX(v01_MortAdult,G26)*Arch_AdultMort/4*Q26</x:f>
        <x:v>0.027124189477797753</x:v>
      </x:c>
      <x:c r="U26" s="9" t="n">
        <x:f>H26*AA25*INDEX(v01_MortElder,G26)/4*Q26</x:f>
        <x:v>0.04952178547277258</x:v>
      </x:c>
      <x:c r="V26" s="9" t="n">
        <x:f>H26*MAX(0,AB25-O26)*v01_OvercapLoss</x:f>
        <x:v>0</x:v>
      </x:c>
      <x:c r="W26" s="9" t="n">
        <x:f>H26*Y25/(v01_ChildYears*4)</x:f>
        <x:v>0.08057096710599246</x:v>
      </x:c>
      <x:c r="X26" s="9" t="n">
        <x:f>H26*Z25/(v01_AdultYears*4)</x:f>
        <x:v>0.058331590274833874</x:v>
      </x:c>
      <x:c r="Y26" s="32" t="n">
        <x:f>Y25+R26-S26-W26-Y25*V26/AB25</x:f>
        <x:v>4.590478214623227</x:v>
      </x:c>
      <x:c r="Z26" s="32" t="n">
        <x:f>Z25+W26-X26-T26-Z25*V26/AB25</x:f>
        <x:v>7.228232381432761</x:v>
      </x:c>
      <x:c r="AA26" s="32" t="n">
        <x:f>AA25+X26-U26-AA25*V26/AB25</x:f>
        <x:v>1.9896812237129642</x:v>
      </x:c>
      <x:c r="AB26" s="10" t="n">
        <x:f>Y26+Z26+AA26</x:f>
        <x:v>13.808391819768952</x:v>
      </x:c>
      <x:c r="AC26" s="8" t="n">
        <x:f>IF(AND(v01_WinterTrigger=1,D26=1,AB25/AE25&gt;=K26),1,0)</x:f>
        <x:v>0</x:v>
      </x:c>
      <x:c r="AD26" s="8" t="n">
        <x:f>H26*IF(AND(OR(AB25/AE25&gt;=v01_FissionTrigger*N26,AC26=1),AB25/AE25*v01_DaughterShare&gt;=v01_MinDaughter),MAX(1,ROUND(AE25*v01_FissionRate,0)),0)</x:f>
        <x:v>0</x:v>
      </x:c>
      <x:c r="AE26" s="8" t="n">
        <x:f>IF(H26=1,MAX(1,MIN(INDEX(v01_Smax,G26),AE25+AD26)),AE25)</x:f>
        <x:v>1</x:v>
      </x:c>
      <x:c r="AF26" s="8" t="n">
        <x:f>MAX(0,AE26-AE25)</x:f>
        <x:v>0</x:v>
      </x:c>
      <x:c r="AG26" s="9" t="str">
        <x:f>IF(AF26&gt;0,B26,"")</x:f>
      </x:c>
      <x:c r="AH26" s="9" t="n">
        <x:f>IF(F26&gt;=1,1,(1+v01_LowTiesShare*(AE26-1))/AE26)</x:f>
        <x:v>1</x:v>
      </x:c>
      <x:c r="AI26" s="32" t="n">
        <x:f>(Z26+v01_ElderCommons*INDEX(LM_Elder,G26)*AA26)*AH26</x:f>
        <x:v>11.207594828858689</x:v>
      </x:c>
      <x:c r="AJ26" s="32" t="n">
        <x:f>H26*v01_CommonsCoef*AI26^v01_CommonsExp*INDEX(LM_Commons,G26)</x:f>
        <x:v>4.908323196376412</x:v>
      </x:c>
      <x:c r="AK26" s="32" t="n">
        <x:f>H26*v01_RoleScale*Arch_Roles*(AE26*(INDEX(v01_ElderRolePerSett,G26)*v01_OutElder*INDEX(LM_Elder,G26)+INDEX(v01_ShamanPerSett,G26)*v01_OutShaman)+Z26*(INDEX(v01_PriestShare,G26)*v01_OutPriest+INDEX(v01_ScribeShare,G26)*v01_OutScribe*INDEX(LM_Scribe,G26)+INDEX(v01_ScholarShare,G26)*v01_OutScholar*INDEX(LM_Scholar,G26)+INDEX(v01_ResearcherShare,G26)*v01_OutResearcher*INDEX(LM_Researcher,G26)))</x:f>
        <x:v>0</x:v>
      </x:c>
      <x:c r="AL26" s="32" t="n">
        <x:f>H26*v01_RoleScale*Arch_Roles*AE26*INDEX(v01_MonasteryPerSett,G26)*v01_OutMonastery*INDEX(LM_Monastery,G26)</x:f>
        <x:v>0</x:v>
      </x:c>
      <x:c r="AM26" s="32" t="n">
        <x:f>(AJ26+AK26+AL26)/4*INDEX(LM_All,G26)*INDEX(v01_Boon,G26)*Arch_Insight</x:f>
        <x:v>1.227080799094103</x:v>
      </x:c>
      <x:c r="AN26" s="32" t="n">
        <x:f>H26*(v01_KHPerAdult*Z26+v01_KHOfCommons*AJ26/4*INDEX(LM_All,G26))*v01_KHUsable*Arch_KH</x:f>
        <x:v>0.25298813335014664</x:v>
      </x:c>
      <x:c r="AO26" s="32" t="n">
        <x:f>MIN(AP25+AN26,AM26*v01_KHMaxRatio)</x:f>
        <x:v>0.25298813335014664</x:v>
      </x:c>
      <x:c r="AP26" s="32" t="n">
        <x:f>AP25+AN26-AO26</x:f>
        <x:v>0</x:v>
      </x:c>
      <x:c r="AQ26" s="32" t="n">
        <x:f>AM26+AO26</x:f>
        <x:v>1.4800689324442498</x:v>
      </x:c>
      <x:c r="AR26" s="10" t="n">
        <x:f>IF(H26=1,INDEX(v01_Req,G26),0)</x:f>
        <x:v>372.02</x:v>
      </x:c>
      <x:c r="AS26" s="32" t="n">
        <x:f>IF(H26=1,IF(E26=1,AS25-AR25,AS25)+AQ26,0)</x:f>
        <x:v>34.87392976541836</x:v>
      </x:c>
      <x:c r="AT26" s="11" t="n">
        <x:f>IF(AR26&gt;0,MIN(1,AS26/AR26),1)</x:f>
        <x:v>0.09374208312837579</x:v>
      </x:c>
      <x:c r="AU26" s="10" t="n">
        <x:f>AB26/INDEX(v01_RepScale,G26)</x:f>
        <x:v>13.808391819768952</x:v>
      </x:c>
      <x:c r="AV26" s="32" t="n">
        <x:f>AM26*60/v01_SeasonSeconds</x:f>
        <x:v>4.908323196376412</x:v>
      </x:c>
    </x:row>
    <x:row r="27">
      <x:c r="A27" s="8" t="n">
        <x:f>A26+1</x:f>
        <x:v>24</x:v>
      </x:c>
      <x:c r="B27" s="9" t="n">
        <x:f>A27*v01_SeasonSeconds/60</x:f>
        <x:v>6</x:v>
      </x:c>
      <x:c r="C27" s="9" t="n">
        <x:f>A27/4</x:f>
        <x:v>6</x:v>
      </x:c>
      <x:c r="D27" s="8" t="n">
        <x:f>IF(MOD(A27,4)=0,1,0)</x:f>
        <x:v>1</x:v>
      </x:c>
      <x:c r="E27" s="8" t="n">
        <x:f>IF(AND(F26&lt;=9,AS26&gt;=AR26),1,0)</x:f>
        <x:v>0</x:v>
      </x:c>
      <x:c r="F27" s="8" t="n">
        <x:f>MIN(10,F26+E27)</x:f>
        <x:v>0</x:v>
      </x:c>
      <x:c r="G27" s="8" t="n">
        <x:f>MIN(F27,9)+1</x:f>
        <x:v>1</x:v>
      </x:c>
      <x:c r="H27" s="8" t="n">
        <x:f>IF(F27&lt;=9,1,0)</x:f>
        <x:v>1</x:v>
      </x:c>
      <x:c r="I27" s="9" t="n">
        <x:f>MIN(10,F26+IF(AR26&gt;0,MIN(1,AS26/AR26),1))</x:f>
        <x:v>0.09374208312837579</x:v>
      </x:c>
      <x:c r="J27" s="32" t="n">
        <x:f>INDEX(v01_FoodCap,G27)*Arch_FoodCap*EXP(v01_CapsByProject*SUMPRODUCT((Cap_Point&lt;=I27)*(Cap_Kind="Food")*Cap_Ln))</x:f>
        <x:v>22</x:v>
      </x:c>
      <x:c r="K27" s="32" t="n">
        <x:f>J27*MIN(1,v01_LeanBase*EXP(v01_CapsByProject*SUMPRODUCT((Cap_Point&lt;=I27)*(Cap_Kind="Lean")*Cap_Ln)))</x:f>
        <x:v>22</x:v>
      </x:c>
      <x:c r="L27" s="10" t="n">
        <x:f>INDEX(v01_HousingCap,G27)*EXP(v01_CapsByProject*SUMPRODUCT((Cap_Point&lt;=I27)*(Cap_Kind="Housing")*Cap_Ln))</x:f>
        <x:v>60</x:v>
      </x:c>
      <x:c r="M27" s="10" t="n">
        <x:f>INDEX(v01_GroupCap,G27)*v01_CohesionFactor*EXP(v01_CapsByProject*SUMPRODUCT((Cap_Point&lt;=I27)*(Cap_Kind="Group")*Cap_Ln))</x:f>
        <x:v>35</x:v>
      </x:c>
      <x:c r="N27" s="32" t="n">
        <x:f>MIN(J27,L27,M27)</x:f>
        <x:v>22</x:v>
      </x:c>
      <x:c r="O27" s="10" t="n">
        <x:f>AE26*N27</x:f>
        <x:v>22</x:v>
      </x:c>
      <x:c r="P27" s="9" t="n">
        <x:f>MIN(1,(AB26/(AE26*IF(v01_GroupInCrowding=1,N27,MIN(J27,L27))))^v01_CrowdingExp)</x:f>
        <x:v>0.06113959059090607</x:v>
      </x:c>
      <x:c r="Q27" s="9" t="n">
        <x:f>IF(D27=1,INDEX(v01_WinterMult,G27),1)</x:f>
        <x:v>2</x:v>
      </x:c>
      <x:c r="R27" s="9" t="n">
        <x:f>H27*Z26*v01_WomenShare*v01_BaseFertility*INDEX(v01_FertMult,G27)*Arch_Fertility*(1-P27)</x:f>
        <x:v>0.20358903638808096</x:v>
      </x:c>
      <x:c r="S27" s="9" t="n">
        <x:f>H27*Y26*INDEX(v01_MortChild,G27)/4*Q27</x:f>
        <x:v>0.09180956429246453</x:v>
      </x:c>
      <x:c r="T27" s="9" t="n">
        <x:f>H27*Z26*INDEX(v01_MortAdult,G27)*Arch_AdultMort/4*Q27</x:f>
        <x:v>0.054211742860745704</x:v>
      </x:c>
      <x:c r="U27" s="9" t="n">
        <x:f>H27*AA26*INDEX(v01_MortElder,G27)/4*Q27</x:f>
        <x:v>0.09948406118564822</x:v>
      </x:c>
      <x:c r="V27" s="9" t="n">
        <x:f>H27*MAX(0,AB26-O27)*v01_OvercapLoss</x:f>
        <x:v>0</x:v>
      </x:c>
      <x:c r="W27" s="9" t="n">
        <x:f>H27*Y26/(v01_ChildYears*4)</x:f>
        <x:v>0.08197282526112905</x:v>
      </x:c>
      <x:c r="X27" s="9" t="n">
        <x:f>H27*Z26/(v01_AdultYears*4)</x:f>
        <x:v>0.058292196624457754</x:v>
      </x:c>
      <x:c r="Y27" s="32" t="n">
        <x:f>Y26+R27-S27-W27-Y26*V27/AB26</x:f>
        <x:v>4.620284861457714</x:v>
      </x:c>
      <x:c r="Z27" s="32" t="n">
        <x:f>Z26+W27-X27-T27-Z26*V27/AB26</x:f>
        <x:v>7.197701267208687</x:v>
      </x:c>
      <x:c r="AA27" s="32" t="n">
        <x:f>AA26+X27-U27-AA26*V27/AB26</x:f>
        <x:v>1.9484893591517738</x:v>
      </x:c>
      <x:c r="AB27" s="10" t="n">
        <x:f>Y27+Z27+AA27</x:f>
        <x:v>13.766475487818175</x:v>
      </x:c>
      <x:c r="AC27" s="8" t="n">
        <x:f>IF(AND(v01_WinterTrigger=1,D27=1,AB26/AE26&gt;=K27),1,0)</x:f>
        <x:v>0</x:v>
      </x:c>
      <x:c r="AD27" s="8" t="n">
        <x:f>H27*IF(AND(OR(AB26/AE26&gt;=v01_FissionTrigger*N27,AC27=1),AB26/AE26*v01_DaughterShare&gt;=v01_MinDaughter),MAX(1,ROUND(AE26*v01_FissionRate,0)),0)</x:f>
        <x:v>0</x:v>
      </x:c>
      <x:c r="AE27" s="8" t="n">
        <x:f>IF(H27=1,MAX(1,MIN(INDEX(v01_Smax,G27),AE26+AD27)),AE26)</x:f>
        <x:v>1</x:v>
      </x:c>
      <x:c r="AF27" s="8" t="n">
        <x:f>MAX(0,AE27-AE26)</x:f>
        <x:v>0</x:v>
      </x:c>
      <x:c r="AG27" s="9" t="str">
        <x:f>IF(AF27&gt;0,B27,"")</x:f>
      </x:c>
      <x:c r="AH27" s="9" t="n">
        <x:f>IF(F27&gt;=1,1,(1+v01_LowTiesShare*(AE27-1))/AE27)</x:f>
        <x:v>1</x:v>
      </x:c>
      <x:c r="AI27" s="32" t="n">
        <x:f>(Z27+v01_ElderCommons*INDEX(LM_Elder,G27)*AA27)*AH27</x:f>
        <x:v>11.094679985512235</x:v>
      </x:c>
      <x:c r="AJ27" s="32" t="n">
        <x:f>H27*v01_CommonsCoef*AI27^v01_CommonsExp*INDEX(LM_Commons,G27)</x:f>
        <x:v>4.866258282897278</x:v>
      </x:c>
      <x:c r="AK27" s="32" t="n">
        <x:f>H27*v01_RoleScale*Arch_Roles*(AE27*(INDEX(v01_ElderRolePerSett,G27)*v01_OutElder*INDEX(LM_Elder,G27)+INDEX(v01_ShamanPerSett,G27)*v01_OutShaman)+Z27*(INDEX(v01_PriestShare,G27)*v01_OutPriest+INDEX(v01_ScribeShare,G27)*v01_OutScribe*INDEX(LM_Scribe,G27)+INDEX(v01_ScholarShare,G27)*v01_OutScholar*INDEX(LM_Scholar,G27)+INDEX(v01_ResearcherShare,G27)*v01_OutResearcher*INDEX(LM_Researcher,G27)))</x:f>
        <x:v>0</x:v>
      </x:c>
      <x:c r="AL27" s="32" t="n">
        <x:f>H27*v01_RoleScale*Arch_Roles*AE27*INDEX(v01_MonasteryPerSett,G27)*v01_OutMonastery*INDEX(LM_Monastery,G27)</x:f>
        <x:v>0</x:v>
      </x:c>
      <x:c r="AM27" s="32" t="n">
        <x:f>(AJ27+AK27+AL27)/4*INDEX(LM_All,G27)*INDEX(v01_Boon,G27)*Arch_Insight</x:f>
        <x:v>1.2165645707243196</x:v>
      </x:c>
      <x:c r="AN27" s="32" t="n">
        <x:f>H27*(v01_KHPerAdult*Z27+v01_KHOfCommons*AJ27/4*INDEX(LM_All,G27))*v01_KHUsable*Arch_KH</x:f>
        <x:v>0.251919544352304</x:v>
      </x:c>
      <x:c r="AO27" s="32" t="n">
        <x:f>MIN(AP26+AN27,AM27*v01_KHMaxRatio)</x:f>
        <x:v>0.251919544352304</x:v>
      </x:c>
      <x:c r="AP27" s="32" t="n">
        <x:f>AP26+AN27-AO27</x:f>
        <x:v>0</x:v>
      </x:c>
      <x:c r="AQ27" s="32" t="n">
        <x:f>AM27+AO27</x:f>
        <x:v>1.4684841150766235</x:v>
      </x:c>
      <x:c r="AR27" s="10" t="n">
        <x:f>IF(H27=1,INDEX(v01_Req,G27),0)</x:f>
        <x:v>372.02</x:v>
      </x:c>
      <x:c r="AS27" s="32" t="n">
        <x:f>IF(H27=1,IF(E27=1,AS26-AR26,AS26)+AQ27,0)</x:f>
        <x:v>36.34241388049498</x:v>
      </x:c>
      <x:c r="AT27" s="11" t="n">
        <x:f>IF(AR27&gt;0,MIN(1,AS27/AR27),1)</x:f>
        <x:v>0.09768940885031714</x:v>
      </x:c>
      <x:c r="AU27" s="10" t="n">
        <x:f>AB27/INDEX(v01_RepScale,G27)</x:f>
        <x:v>13.766475487818175</x:v>
      </x:c>
      <x:c r="AV27" s="32" t="n">
        <x:f>AM27*60/v01_SeasonSeconds</x:f>
        <x:v>4.866258282897278</x:v>
      </x:c>
    </x:row>
    <x:row r="28">
      <x:c r="A28" s="8" t="n">
        <x:f>A27+1</x:f>
        <x:v>25</x:v>
      </x:c>
      <x:c r="B28" s="9" t="n">
        <x:f>A28*v01_SeasonSeconds/60</x:f>
        <x:v>6.25</x:v>
      </x:c>
      <x:c r="C28" s="9" t="n">
        <x:f>A28/4</x:f>
        <x:v>6.25</x:v>
      </x:c>
      <x:c r="D28" s="8" t="n">
        <x:f>IF(MOD(A28,4)=0,1,0)</x:f>
        <x:v>0</x:v>
      </x:c>
      <x:c r="E28" s="8" t="n">
        <x:f>IF(AND(F27&lt;=9,AS27&gt;=AR27),1,0)</x:f>
        <x:v>0</x:v>
      </x:c>
      <x:c r="F28" s="8" t="n">
        <x:f>MIN(10,F27+E28)</x:f>
        <x:v>0</x:v>
      </x:c>
      <x:c r="G28" s="8" t="n">
        <x:f>MIN(F28,9)+1</x:f>
        <x:v>1</x:v>
      </x:c>
      <x:c r="H28" s="8" t="n">
        <x:f>IF(F28&lt;=9,1,0)</x:f>
        <x:v>1</x:v>
      </x:c>
      <x:c r="I28" s="9" t="n">
        <x:f>MIN(10,F27+IF(AR27&gt;0,MIN(1,AS27/AR27),1))</x:f>
        <x:v>0.09768940885031714</x:v>
      </x:c>
      <x:c r="J28" s="32" t="n">
        <x:f>INDEX(v01_FoodCap,G28)*Arch_FoodCap*EXP(v01_CapsByProject*SUMPRODUCT((Cap_Point&lt;=I28)*(Cap_Kind="Food")*Cap_Ln))</x:f>
        <x:v>22</x:v>
      </x:c>
      <x:c r="K28" s="32" t="n">
        <x:f>J28*MIN(1,v01_LeanBase*EXP(v01_CapsByProject*SUMPRODUCT((Cap_Point&lt;=I28)*(Cap_Kind="Lean")*Cap_Ln)))</x:f>
        <x:v>22</x:v>
      </x:c>
      <x:c r="L28" s="10" t="n">
        <x:f>INDEX(v01_HousingCap,G28)*EXP(v01_CapsByProject*SUMPRODUCT((Cap_Point&lt;=I28)*(Cap_Kind="Housing")*Cap_Ln))</x:f>
        <x:v>60</x:v>
      </x:c>
      <x:c r="M28" s="10" t="n">
        <x:f>INDEX(v01_GroupCap,G28)*v01_CohesionFactor*EXP(v01_CapsByProject*SUMPRODUCT((Cap_Point&lt;=I28)*(Cap_Kind="Group")*Cap_Ln))</x:f>
        <x:v>35</x:v>
      </x:c>
      <x:c r="N28" s="32" t="n">
        <x:f>MIN(J28,L28,M28)</x:f>
        <x:v>22</x:v>
      </x:c>
      <x:c r="O28" s="10" t="n">
        <x:f>AE27*N28</x:f>
        <x:v>22</x:v>
      </x:c>
      <x:c r="P28" s="9" t="n">
        <x:f>MIN(1,(AB27/(AE27*IF(v01_GroupInCrowding=1,N28,MIN(J28,L28))))^v01_CrowdingExp)</x:f>
        <x:v>0.06003444636360782</x:v>
      </x:c>
      <x:c r="Q28" s="9" t="n">
        <x:f>IF(D28=1,INDEX(v01_WinterMult,G28),1)</x:f>
        <x:v>1</x:v>
      </x:c>
      <x:c r="R28" s="9" t="n">
        <x:f>H28*Z27*v01_WomenShare*v01_BaseFertility*INDEX(v01_FertMult,G28)*Arch_Fertility*(1-P28)</x:f>
        <x:v>0.20296773769623525</x:v>
      </x:c>
      <x:c r="S28" s="9" t="n">
        <x:f>H28*Y27*INDEX(v01_MortChild,G28)/4*Q28</x:f>
        <x:v>0.04620284861457714</x:v>
      </x:c>
      <x:c r="T28" s="9" t="n">
        <x:f>H28*Z27*INDEX(v01_MortAdult,G28)*Arch_AdultMort/4*Q28</x:f>
        <x:v>0.026991379752032574</x:v>
      </x:c>
      <x:c r="U28" s="9" t="n">
        <x:f>H28*AA27*INDEX(v01_MortElder,G28)/4*Q28</x:f>
        <x:v>0.048712233978794345</x:v>
      </x:c>
      <x:c r="V28" s="9" t="n">
        <x:f>H28*MAX(0,AB27-O28)*v01_OvercapLoss</x:f>
        <x:v>0</x:v>
      </x:c>
      <x:c r="W28" s="9" t="n">
        <x:f>H28*Y27/(v01_ChildYears*4)</x:f>
        <x:v>0.08250508681174488</x:v>
      </x:c>
      <x:c r="X28" s="9" t="n">
        <x:f>H28*Z27/(v01_AdultYears*4)</x:f>
        <x:v>0.05804597796136038</x:v>
      </x:c>
      <x:c r="Y28" s="32" t="n">
        <x:f>Y27+R28-S28-W28-Y27*V28/AB27</x:f>
        <x:v>4.694544663727627</x:v>
      </x:c>
      <x:c r="Z28" s="32" t="n">
        <x:f>Z27+W28-X28-T28-Z27*V28/AB27</x:f>
        <x:v>7.195168996307038</x:v>
      </x:c>
      <x:c r="AA28" s="32" t="n">
        <x:f>AA27+X28-U28-AA27*V28/AB27</x:f>
        <x:v>1.9578231031343398</x:v>
      </x:c>
      <x:c r="AB28" s="10" t="n">
        <x:f>Y28+Z28+AA28</x:f>
        <x:v>13.847536763169005</x:v>
      </x:c>
      <x:c r="AC28" s="8" t="n">
        <x:f>IF(AND(v01_WinterTrigger=1,D28=1,AB27/AE27&gt;=K28),1,0)</x:f>
        <x:v>0</x:v>
      </x:c>
      <x:c r="AD28" s="8" t="n">
        <x:f>H28*IF(AND(OR(AB27/AE27&gt;=v01_FissionTrigger*N28,AC28=1),AB27/AE27*v01_DaughterShare&gt;=v01_MinDaughter),MAX(1,ROUND(AE27*v01_FissionRate,0)),0)</x:f>
        <x:v>0</x:v>
      </x:c>
      <x:c r="AE28" s="8" t="n">
        <x:f>IF(H28=1,MAX(1,MIN(INDEX(v01_Smax,G28),AE27+AD28)),AE27)</x:f>
        <x:v>1</x:v>
      </x:c>
      <x:c r="AF28" s="8" t="n">
        <x:f>MAX(0,AE28-AE27)</x:f>
        <x:v>0</x:v>
      </x:c>
      <x:c r="AG28" s="9" t="str">
        <x:f>IF(AF28&gt;0,B28,"")</x:f>
      </x:c>
      <x:c r="AH28" s="9" t="n">
        <x:f>IF(F28&gt;=1,1,(1+v01_LowTiesShare*(AE28-1))/AE28)</x:f>
        <x:v>1</x:v>
      </x:c>
      <x:c r="AI28" s="32" t="n">
        <x:f>(Z28+v01_ElderCommons*INDEX(LM_Elder,G28)*AA28)*AH28</x:f>
        <x:v>11.110815202575719</x:v>
      </x:c>
      <x:c r="AJ28" s="32" t="n">
        <x:f>H28*v01_CommonsCoef*AI28^v01_CommonsExp*INDEX(LM_Commons,G28)</x:f>
        <x:v>4.87227316012914</x:v>
      </x:c>
      <x:c r="AK28" s="32" t="n">
        <x:f>H28*v01_RoleScale*Arch_Roles*(AE28*(INDEX(v01_ElderRolePerSett,G28)*v01_OutElder*INDEX(LM_Elder,G28)+INDEX(v01_ShamanPerSett,G28)*v01_OutShaman)+Z28*(INDEX(v01_PriestShare,G28)*v01_OutPriest+INDEX(v01_ScribeShare,G28)*v01_OutScribe*INDEX(LM_Scribe,G28)+INDEX(v01_ScholarShare,G28)*v01_OutScholar*INDEX(LM_Scholar,G28)+INDEX(v01_ResearcherShare,G28)*v01_OutResearcher*INDEX(LM_Researcher,G28)))</x:f>
        <x:v>0</x:v>
      </x:c>
      <x:c r="AL28" s="32" t="n">
        <x:f>H28*v01_RoleScale*Arch_Roles*AE28*INDEX(v01_MonasteryPerSett,G28)*v01_OutMonastery*INDEX(LM_Monastery,G28)</x:f>
        <x:v>0</x:v>
      </x:c>
      <x:c r="AM28" s="32" t="n">
        <x:f>(AJ28+AK28+AL28)/4*INDEX(LM_All,G28)*INDEX(v01_Boon,G28)*Arch_Insight</x:f>
        <x:v>1.218068290032285</x:v>
      </x:c>
      <x:c r="AN28" s="32" t="n">
        <x:f>H28*(v01_KHPerAdult*Z28+v01_KHOfCommons*AJ28/4*INDEX(LM_All,G28))*v01_KHUsable*Arch_KH</x:f>
        <x:v>0.2518309148707463</x:v>
      </x:c>
      <x:c r="AO28" s="32" t="n">
        <x:f>MIN(AP27+AN28,AM28*v01_KHMaxRatio)</x:f>
        <x:v>0.2518309148707463</x:v>
      </x:c>
      <x:c r="AP28" s="32" t="n">
        <x:f>AP27+AN28-AO28</x:f>
        <x:v>0</x:v>
      </x:c>
      <x:c r="AQ28" s="32" t="n">
        <x:f>AM28+AO28</x:f>
        <x:v>1.4698992049030313</x:v>
      </x:c>
      <x:c r="AR28" s="10" t="n">
        <x:f>IF(H28=1,INDEX(v01_Req,G28),0)</x:f>
        <x:v>372.02</x:v>
      </x:c>
      <x:c r="AS28" s="32" t="n">
        <x:f>IF(H28=1,IF(E28=1,AS27-AR27,AS27)+AQ28,0)</x:f>
        <x:v>37.81231308539801</x:v>
      </x:c>
      <x:c r="AT28" s="11" t="n">
        <x:f>IF(AR28&gt;0,MIN(1,AS28/AR28),1)</x:f>
        <x:v>0.10164053837266279</x:v>
      </x:c>
      <x:c r="AU28" s="10" t="n">
        <x:f>AB28/INDEX(v01_RepScale,G28)</x:f>
        <x:v>13.847536763169005</x:v>
      </x:c>
      <x:c r="AV28" s="32" t="n">
        <x:f>AM28*60/v01_SeasonSeconds</x:f>
        <x:v>4.87227316012914</x:v>
      </x:c>
    </x:row>
    <x:row r="29">
      <x:c r="A29" s="8" t="n">
        <x:f>A28+1</x:f>
        <x:v>26</x:v>
      </x:c>
      <x:c r="B29" s="9" t="n">
        <x:f>A29*v01_SeasonSeconds/60</x:f>
        <x:v>6.5</x:v>
      </x:c>
      <x:c r="C29" s="9" t="n">
        <x:f>A29/4</x:f>
        <x:v>6.5</x:v>
      </x:c>
      <x:c r="D29" s="8" t="n">
        <x:f>IF(MOD(A29,4)=0,1,0)</x:f>
        <x:v>0</x:v>
      </x:c>
      <x:c r="E29" s="8" t="n">
        <x:f>IF(AND(F28&lt;=9,AS28&gt;=AR28),1,0)</x:f>
        <x:v>0</x:v>
      </x:c>
      <x:c r="F29" s="8" t="n">
        <x:f>MIN(10,F28+E29)</x:f>
        <x:v>0</x:v>
      </x:c>
      <x:c r="G29" s="8" t="n">
        <x:f>MIN(F29,9)+1</x:f>
        <x:v>1</x:v>
      </x:c>
      <x:c r="H29" s="8" t="n">
        <x:f>IF(F29&lt;=9,1,0)</x:f>
        <x:v>1</x:v>
      </x:c>
      <x:c r="I29" s="9" t="n">
        <x:f>MIN(10,F28+IF(AR28&gt;0,MIN(1,AS28/AR28),1))</x:f>
        <x:v>0.10164053837266279</x:v>
      </x:c>
      <x:c r="J29" s="32" t="n">
        <x:f>INDEX(v01_FoodCap,G29)*Arch_FoodCap*EXP(v01_CapsByProject*SUMPRODUCT((Cap_Point&lt;=I29)*(Cap_Kind="Food")*Cap_Ln))</x:f>
        <x:v>22</x:v>
      </x:c>
      <x:c r="K29" s="32" t="n">
        <x:f>J29*MIN(1,v01_LeanBase*EXP(v01_CapsByProject*SUMPRODUCT((Cap_Point&lt;=I29)*(Cap_Kind="Lean")*Cap_Ln)))</x:f>
        <x:v>22</x:v>
      </x:c>
      <x:c r="L29" s="10" t="n">
        <x:f>INDEX(v01_HousingCap,G29)*EXP(v01_CapsByProject*SUMPRODUCT((Cap_Point&lt;=I29)*(Cap_Kind="Housing")*Cap_Ln))</x:f>
        <x:v>60</x:v>
      </x:c>
      <x:c r="M29" s="10" t="n">
        <x:f>INDEX(v01_GroupCap,G29)*v01_CohesionFactor*EXP(v01_CapsByProject*SUMPRODUCT((Cap_Point&lt;=I29)*(Cap_Kind="Group")*Cap_Ln))</x:f>
        <x:v>35</x:v>
      </x:c>
      <x:c r="N29" s="32" t="n">
        <x:f>MIN(J29,L29,M29)</x:f>
        <x:v>22</x:v>
      </x:c>
      <x:c r="O29" s="10" t="n">
        <x:f>AE28*N29</x:f>
        <x:v>22</x:v>
      </x:c>
      <x:c r="P29" s="9" t="n">
        <x:f>MIN(1,(AB28/(AE28*IF(v01_GroupInCrowding=1,N29,MIN(J29,L29))))^v01_CrowdingExp)</x:f>
        <x:v>0.0621869240594116</x:v>
      </x:c>
      <x:c r="Q29" s="9" t="n">
        <x:f>IF(D29=1,INDEX(v01_WinterMult,G29),1)</x:f>
        <x:v>1</x:v>
      </x:c>
      <x:c r="R29" s="9" t="n">
        <x:f>H29*Z28*v01_WomenShare*v01_BaseFertility*INDEX(v01_FertMult,G29)*Arch_Fertility*(1-P29)</x:f>
        <x:v>0.20243170705017177</x:v>
      </x:c>
      <x:c r="S29" s="9" t="n">
        <x:f>H29*Y28*INDEX(v01_MortChild,G29)/4*Q29</x:f>
        <x:v>0.046945446637276275</x:v>
      </x:c>
      <x:c r="T29" s="9" t="n">
        <x:f>H29*Z28*INDEX(v01_MortAdult,G29)*Arch_AdultMort/4*Q29</x:f>
        <x:v>0.02698188373615139</x:v>
      </x:c>
      <x:c r="U29" s="9" t="n">
        <x:f>H29*AA28*INDEX(v01_MortElder,G29)/4*Q29</x:f>
        <x:v>0.0489455775783585</x:v>
      </x:c>
      <x:c r="V29" s="9" t="n">
        <x:f>H29*MAX(0,AB28-O29)*v01_OvercapLoss</x:f>
        <x:v>0</x:v>
      </x:c>
      <x:c r="W29" s="9" t="n">
        <x:f>H29*Y28/(v01_ChildYears*4)</x:f>
        <x:v>0.08383115470942192</x:v>
      </x:c>
      <x:c r="X29" s="9" t="n">
        <x:f>H29*Z28/(v01_AdultYears*4)</x:f>
        <x:v>0.05802555642183096</x:v>
      </x:c>
      <x:c r="Y29" s="32" t="n">
        <x:f>Y28+R29-S29-W29-Y28*V29/AB28</x:f>
        <x:v>4.7661997694311005</x:v>
      </x:c>
      <x:c r="Z29" s="32" t="n">
        <x:f>Z28+W29-X29-T29-Z28*V29/AB28</x:f>
        <x:v>7.1939927108584785</x:v>
      </x:c>
      <x:c r="AA29" s="32" t="n">
        <x:f>AA28+X29-U29-AA28*V29/AB28</x:f>
        <x:v>1.9669030819778122</x:v>
      </x:c>
      <x:c r="AB29" s="10" t="n">
        <x:f>Y29+Z29+AA29</x:f>
        <x:v>13.92709556226739</x:v>
      </x:c>
      <x:c r="AC29" s="8" t="n">
        <x:f>IF(AND(v01_WinterTrigger=1,D29=1,AB28/AE28&gt;=K29),1,0)</x:f>
        <x:v>0</x:v>
      </x:c>
      <x:c r="AD29" s="8" t="n">
        <x:f>H29*IF(AND(OR(AB28/AE28&gt;=v01_FissionTrigger*N29,AC29=1),AB28/AE28*v01_DaughterShare&gt;=v01_MinDaughter),MAX(1,ROUND(AE28*v01_FissionRate,0)),0)</x:f>
        <x:v>0</x:v>
      </x:c>
      <x:c r="AE29" s="8" t="n">
        <x:f>IF(H29=1,MAX(1,MIN(INDEX(v01_Smax,G29),AE28+AD29)),AE28)</x:f>
        <x:v>1</x:v>
      </x:c>
      <x:c r="AF29" s="8" t="n">
        <x:f>MAX(0,AE29-AE28)</x:f>
        <x:v>0</x:v>
      </x:c>
      <x:c r="AG29" s="9" t="str">
        <x:f>IF(AF29&gt;0,B29,"")</x:f>
      </x:c>
      <x:c r="AH29" s="9" t="n">
        <x:f>IF(F29&gt;=1,1,(1+v01_LowTiesShare*(AE29-1))/AE29)</x:f>
        <x:v>1</x:v>
      </x:c>
      <x:c r="AI29" s="32" t="n">
        <x:f>(Z29+v01_ElderCommons*INDEX(LM_Elder,G29)*AA29)*AH29</x:f>
        <x:v>11.127798874814102</x:v>
      </x:c>
      <x:c r="AJ29" s="32" t="n">
        <x:f>H29*v01_CommonsCoef*AI29^v01_CommonsExp*INDEX(LM_Commons,G29)</x:f>
        <x:v>4.878602908818409</x:v>
      </x:c>
      <x:c r="AK29" s="32" t="n">
        <x:f>H29*v01_RoleScale*Arch_Roles*(AE29*(INDEX(v01_ElderRolePerSett,G29)*v01_OutElder*INDEX(LM_Elder,G29)+INDEX(v01_ShamanPerSett,G29)*v01_OutShaman)+Z29*(INDEX(v01_PriestShare,G29)*v01_OutPriest+INDEX(v01_ScribeShare,G29)*v01_OutScribe*INDEX(LM_Scribe,G29)+INDEX(v01_ScholarShare,G29)*v01_OutScholar*INDEX(LM_Scholar,G29)+INDEX(v01_ResearcherShare,G29)*v01_OutResearcher*INDEX(LM_Researcher,G29)))</x:f>
        <x:v>0</x:v>
      </x:c>
      <x:c r="AL29" s="32" t="n">
        <x:f>H29*v01_RoleScale*Arch_Roles*AE29*INDEX(v01_MonasteryPerSett,G29)*v01_OutMonastery*INDEX(LM_Monastery,G29)</x:f>
        <x:v>0</x:v>
      </x:c>
      <x:c r="AM29" s="32" t="n">
        <x:f>(AJ29+AK29+AL29)/4*INDEX(LM_All,G29)*INDEX(v01_Boon,G29)*Arch_Insight</x:f>
        <x:v>1.2196507272046022</x:v>
      </x:c>
      <x:c r="AN29" s="32" t="n">
        <x:f>H29*(v01_KHPerAdult*Z29+v01_KHOfCommons*AJ29/4*INDEX(LM_All,G29))*v01_KHUsable*Arch_KH</x:f>
        <x:v>0.25178974488004674</x:v>
      </x:c>
      <x:c r="AO29" s="32" t="n">
        <x:f>MIN(AP28+AN29,AM29*v01_KHMaxRatio)</x:f>
        <x:v>0.25178974488004674</x:v>
      </x:c>
      <x:c r="AP29" s="32" t="n">
        <x:f>AP28+AN29-AO29</x:f>
        <x:v>0</x:v>
      </x:c>
      <x:c r="AQ29" s="32" t="n">
        <x:f>AM29+AO29</x:f>
        <x:v>1.471440472084649</x:v>
      </x:c>
      <x:c r="AR29" s="10" t="n">
        <x:f>IF(H29=1,INDEX(v01_Req,G29),0)</x:f>
        <x:v>372.02</x:v>
      </x:c>
      <x:c r="AS29" s="32" t="n">
        <x:f>IF(H29=1,IF(E29=1,AS28-AR28,AS28)+AQ29,0)</x:f>
        <x:v>39.28375355748266</x:v>
      </x:c>
      <x:c r="AT29" s="11" t="n">
        <x:f>IF(AR29&gt;0,MIN(1,AS29/AR29),1)</x:f>
        <x:v>0.10559581086361665</x:v>
      </x:c>
      <x:c r="AU29" s="10" t="n">
        <x:f>AB29/INDEX(v01_RepScale,G29)</x:f>
        <x:v>13.92709556226739</x:v>
      </x:c>
      <x:c r="AV29" s="32" t="n">
        <x:f>AM29*60/v01_SeasonSeconds</x:f>
        <x:v>4.878602908818409</x:v>
      </x:c>
    </x:row>
    <x:row r="30">
      <x:c r="A30" s="8" t="n">
        <x:f>A29+1</x:f>
        <x:v>27</x:v>
      </x:c>
      <x:c r="B30" s="9" t="n">
        <x:f>A30*v01_SeasonSeconds/60</x:f>
        <x:v>6.75</x:v>
      </x:c>
      <x:c r="C30" s="9" t="n">
        <x:f>A30/4</x:f>
        <x:v>6.75</x:v>
      </x:c>
      <x:c r="D30" s="8" t="n">
        <x:f>IF(MOD(A30,4)=0,1,0)</x:f>
        <x:v>0</x:v>
      </x:c>
      <x:c r="E30" s="8" t="n">
        <x:f>IF(AND(F29&lt;=9,AS29&gt;=AR29),1,0)</x:f>
        <x:v>0</x:v>
      </x:c>
      <x:c r="F30" s="8" t="n">
        <x:f>MIN(10,F29+E30)</x:f>
        <x:v>0</x:v>
      </x:c>
      <x:c r="G30" s="8" t="n">
        <x:f>MIN(F30,9)+1</x:f>
        <x:v>1</x:v>
      </x:c>
      <x:c r="H30" s="8" t="n">
        <x:f>IF(F30&lt;=9,1,0)</x:f>
        <x:v>1</x:v>
      </x:c>
      <x:c r="I30" s="9" t="n">
        <x:f>MIN(10,F29+IF(AR29&gt;0,MIN(1,AS29/AR29),1))</x:f>
        <x:v>0.10559581086361665</x:v>
      </x:c>
      <x:c r="J30" s="32" t="n">
        <x:f>INDEX(v01_FoodCap,G30)*Arch_FoodCap*EXP(v01_CapsByProject*SUMPRODUCT((Cap_Point&lt;=I30)*(Cap_Kind="Food")*Cap_Ln))</x:f>
        <x:v>22</x:v>
      </x:c>
      <x:c r="K30" s="32" t="n">
        <x:f>J30*MIN(1,v01_LeanBase*EXP(v01_CapsByProject*SUMPRODUCT((Cap_Point&lt;=I30)*(Cap_Kind="Lean")*Cap_Ln)))</x:f>
        <x:v>22</x:v>
      </x:c>
      <x:c r="L30" s="10" t="n">
        <x:f>INDEX(v01_HousingCap,G30)*EXP(v01_CapsByProject*SUMPRODUCT((Cap_Point&lt;=I30)*(Cap_Kind="Housing")*Cap_Ln))</x:f>
        <x:v>60</x:v>
      </x:c>
      <x:c r="M30" s="10" t="n">
        <x:f>INDEX(v01_GroupCap,G30)*v01_CohesionFactor*EXP(v01_CapsByProject*SUMPRODUCT((Cap_Point&lt;=I30)*(Cap_Kind="Group")*Cap_Ln))</x:f>
        <x:v>35</x:v>
      </x:c>
      <x:c r="N30" s="32" t="n">
        <x:f>MIN(J30,L30,M30)</x:f>
        <x:v>22</x:v>
      </x:c>
      <x:c r="O30" s="10" t="n">
        <x:f>AE29*N30</x:f>
        <x:v>22</x:v>
      </x:c>
      <x:c r="P30" s="9" t="n">
        <x:f>MIN(1,(AB29/(AE29*IF(v01_GroupInCrowding=1,N30,MIN(J30,L30))))^v01_CrowdingExp)</x:f>
        <x:v>0.064361661727257</x:v>
      </x:c>
      <x:c r="Q30" s="9" t="n">
        <x:f>IF(D30=1,INDEX(v01_WinterMult,G30),1)</x:f>
        <x:v>1</x:v>
      </x:c>
      <x:c r="R30" s="9" t="n">
        <x:f>H30*Z29*v01_WomenShare*v01_BaseFertility*INDEX(v01_FertMult,G30)*Arch_Fertility*(1-P30)</x:f>
        <x:v>0.20192926156601557</x:v>
      </x:c>
      <x:c r="S30" s="9" t="n">
        <x:f>H30*Y29*INDEX(v01_MortChild,G30)/4*Q30</x:f>
        <x:v>0.04766199769431101</x:v>
      </x:c>
      <x:c r="T30" s="9" t="n">
        <x:f>H30*Z29*INDEX(v01_MortAdult,G30)*Arch_AdultMort/4*Q30</x:f>
        <x:v>0.026977472665719295</x:v>
      </x:c>
      <x:c r="U30" s="9" t="n">
        <x:f>H30*AA29*INDEX(v01_MortElder,G30)/4*Q30</x:f>
        <x:v>0.049172577049445304</x:v>
      </x:c>
      <x:c r="V30" s="9" t="n">
        <x:f>H30*MAX(0,AB29-O30)*v01_OvercapLoss</x:f>
        <x:v>0</x:v>
      </x:c>
      <x:c r="W30" s="9" t="n">
        <x:f>H30*Y29/(v01_ChildYears*4)</x:f>
        <x:v>0.08511071016841251</x:v>
      </x:c>
      <x:c r="X30" s="9" t="n">
        <x:f>H30*Z29/(v01_AdultYears*4)</x:f>
        <x:v>0.0580160702488587</x:v>
      </x:c>
      <x:c r="Y30" s="32" t="n">
        <x:f>Y29+R30-S30-W30-Y29*V30/AB29</x:f>
        <x:v>4.835356323134393</x:v>
      </x:c>
      <x:c r="Z30" s="32" t="n">
        <x:f>Z29+W30-X30-T30-Z29*V30/AB29</x:f>
        <x:v>7.194109878112313</x:v>
      </x:c>
      <x:c r="AA30" s="32" t="n">
        <x:f>AA29+X30-U30-AA29*V30/AB29</x:f>
        <x:v>1.9757465751772256</x:v>
      </x:c>
      <x:c r="AB30" s="10" t="n">
        <x:f>Y30+Z30+AA30</x:f>
        <x:v>14.005212776423932</x:v>
      </x:c>
      <x:c r="AC30" s="8" t="n">
        <x:f>IF(AND(v01_WinterTrigger=1,D30=1,AB29/AE29&gt;=K30),1,0)</x:f>
        <x:v>0</x:v>
      </x:c>
      <x:c r="AD30" s="8" t="n">
        <x:f>H30*IF(AND(OR(AB29/AE29&gt;=v01_FissionTrigger*N30,AC30=1),AB29/AE29*v01_DaughterShare&gt;=v01_MinDaughter),MAX(1,ROUND(AE29*v01_FissionRate,0)),0)</x:f>
        <x:v>0</x:v>
      </x:c>
      <x:c r="AE30" s="8" t="n">
        <x:f>IF(H30=1,MAX(1,MIN(INDEX(v01_Smax,G30),AE29+AD30)),AE29)</x:f>
        <x:v>1</x:v>
      </x:c>
      <x:c r="AF30" s="8" t="n">
        <x:f>MAX(0,AE30-AE29)</x:f>
        <x:v>0</x:v>
      </x:c>
      <x:c r="AG30" s="9" t="str">
        <x:f>IF(AF30&gt;0,B30,"")</x:f>
      </x:c>
      <x:c r="AH30" s="9" t="n">
        <x:f>IF(F30&gt;=1,1,(1+v01_LowTiesShare*(AE30-1))/AE30)</x:f>
        <x:v>1</x:v>
      </x:c>
      <x:c r="AI30" s="32" t="n">
        <x:f>(Z30+v01_ElderCommons*INDEX(LM_Elder,G30)*AA30)*AH30</x:f>
        <x:v>11.145603028466764</x:v>
      </x:c>
      <x:c r="AJ30" s="32" t="n">
        <x:f>H30*v01_CommonsCoef*AI30^v01_CommonsExp*INDEX(LM_Commons,G30)</x:f>
        <x:v>4.885236892159746</x:v>
      </x:c>
      <x:c r="AK30" s="32" t="n">
        <x:f>H30*v01_RoleScale*Arch_Roles*(AE30*(INDEX(v01_ElderRolePerSett,G30)*v01_OutElder*INDEX(LM_Elder,G30)+INDEX(v01_ShamanPerSett,G30)*v01_OutShaman)+Z30*(INDEX(v01_PriestShare,G30)*v01_OutPriest+INDEX(v01_ScribeShare,G30)*v01_OutScribe*INDEX(LM_Scribe,G30)+INDEX(v01_ScholarShare,G30)*v01_OutScholar*INDEX(LM_Scholar,G30)+INDEX(v01_ResearcherShare,G30)*v01_OutResearcher*INDEX(LM_Researcher,G30)))</x:f>
        <x:v>0</x:v>
      </x:c>
      <x:c r="AL30" s="32" t="n">
        <x:f>H30*v01_RoleScale*Arch_Roles*AE30*INDEX(v01_MonasteryPerSett,G30)*v01_OutMonastery*INDEX(LM_Monastery,G30)</x:f>
        <x:v>0</x:v>
      </x:c>
      <x:c r="AM30" s="32" t="n">
        <x:f>(AJ30+AK30+AL30)/4*INDEX(LM_All,G30)*INDEX(v01_Boon,G30)*Arch_Insight</x:f>
        <x:v>1.2213092230399365</x:v>
      </x:c>
      <x:c r="AN30" s="32" t="n">
        <x:f>H30*(v01_KHPerAdult*Z30+v01_KHOfCommons*AJ30/4*INDEX(LM_All,G30))*v01_KHUsable*Arch_KH</x:f>
        <x:v>0.251793845733931</x:v>
      </x:c>
      <x:c r="AO30" s="32" t="n">
        <x:f>MIN(AP29+AN30,AM30*v01_KHMaxRatio)</x:f>
        <x:v>0.251793845733931</x:v>
      </x:c>
      <x:c r="AP30" s="32" t="n">
        <x:f>AP29+AN30-AO30</x:f>
        <x:v>0</x:v>
      </x:c>
      <x:c r="AQ30" s="32" t="n">
        <x:f>AM30+AO30</x:f>
        <x:v>1.4731030687738675</x:v>
      </x:c>
      <x:c r="AR30" s="10" t="n">
        <x:f>IF(H30=1,INDEX(v01_Req,G30),0)</x:f>
        <x:v>372.02</x:v>
      </x:c>
      <x:c r="AS30" s="32" t="n">
        <x:f>IF(H30=1,IF(E30=1,AS29-AR29,AS29)+AQ30,0)</x:f>
        <x:v>40.75685662625653</x:v>
      </x:c>
      <x:c r="AT30" s="11" t="n">
        <x:f>IF(AR30&gt;0,MIN(1,AS30/AR30),1)</x:f>
        <x:v>0.10955555246023474</x:v>
      </x:c>
      <x:c r="AU30" s="10" t="n">
        <x:f>AB30/INDEX(v01_RepScale,G30)</x:f>
        <x:v>14.005212776423932</x:v>
      </x:c>
      <x:c r="AV30" s="32" t="n">
        <x:f>AM30*60/v01_SeasonSeconds</x:f>
        <x:v>4.885236892159745</x:v>
      </x:c>
    </x:row>
    <x:row r="31">
      <x:c r="A31" s="8" t="n">
        <x:f>A30+1</x:f>
        <x:v>28</x:v>
      </x:c>
      <x:c r="B31" s="9" t="n">
        <x:f>A31*v01_SeasonSeconds/60</x:f>
        <x:v>7</x:v>
      </x:c>
      <x:c r="C31" s="9" t="n">
        <x:f>A31/4</x:f>
        <x:v>7</x:v>
      </x:c>
      <x:c r="D31" s="8" t="n">
        <x:f>IF(MOD(A31,4)=0,1,0)</x:f>
        <x:v>1</x:v>
      </x:c>
      <x:c r="E31" s="8" t="n">
        <x:f>IF(AND(F30&lt;=9,AS30&gt;=AR30),1,0)</x:f>
        <x:v>0</x:v>
      </x:c>
      <x:c r="F31" s="8" t="n">
        <x:f>MIN(10,F30+E31)</x:f>
        <x:v>0</x:v>
      </x:c>
      <x:c r="G31" s="8" t="n">
        <x:f>MIN(F31,9)+1</x:f>
        <x:v>1</x:v>
      </x:c>
      <x:c r="H31" s="8" t="n">
        <x:f>IF(F31&lt;=9,1,0)</x:f>
        <x:v>1</x:v>
      </x:c>
      <x:c r="I31" s="9" t="n">
        <x:f>MIN(10,F30+IF(AR30&gt;0,MIN(1,AS30/AR30),1))</x:f>
        <x:v>0.10955555246023474</x:v>
      </x:c>
      <x:c r="J31" s="32" t="n">
        <x:f>INDEX(v01_FoodCap,G31)*Arch_FoodCap*EXP(v01_CapsByProject*SUMPRODUCT((Cap_Point&lt;=I31)*(Cap_Kind="Food")*Cap_Ln))</x:f>
        <x:v>22</x:v>
      </x:c>
      <x:c r="K31" s="32" t="n">
        <x:f>J31*MIN(1,v01_LeanBase*EXP(v01_CapsByProject*SUMPRODUCT((Cap_Point&lt;=I31)*(Cap_Kind="Lean")*Cap_Ln)))</x:f>
        <x:v>22</x:v>
      </x:c>
      <x:c r="L31" s="10" t="n">
        <x:f>INDEX(v01_HousingCap,G31)*EXP(v01_CapsByProject*SUMPRODUCT((Cap_Point&lt;=I31)*(Cap_Kind="Housing")*Cap_Ln))</x:f>
        <x:v>60</x:v>
      </x:c>
      <x:c r="M31" s="10" t="n">
        <x:f>INDEX(v01_GroupCap,G31)*v01_CohesionFactor*EXP(v01_CapsByProject*SUMPRODUCT((Cap_Point&lt;=I31)*(Cap_Kind="Group")*Cap_Ln))</x:f>
        <x:v>35</x:v>
      </x:c>
      <x:c r="N31" s="32" t="n">
        <x:f>MIN(J31,L31,M31)</x:f>
        <x:v>22</x:v>
      </x:c>
      <x:c r="O31" s="10" t="n">
        <x:f>AE30*N31</x:f>
        <x:v>22</x:v>
      </x:c>
      <x:c r="P31" s="9" t="n">
        <x:f>MIN(1,(AB30/(AE30*IF(v01_GroupInCrowding=1,N31,MIN(J31,L31))))^v01_CrowdingExp)</x:f>
        <x:v>0.06655829417152928</x:v>
      </x:c>
      <x:c r="Q31" s="9" t="n">
        <x:f>IF(D31=1,INDEX(v01_WinterMult,G31),1)</x:f>
        <x:v>2</x:v>
      </x:c>
      <x:c r="R31" s="9" t="n">
        <x:f>H31*Z30*v01_WomenShare*v01_BaseFertility*INDEX(v01_FertMult,G31)*Arch_Fertility*(1-P31)</x:f>
        <x:v>0.20145846589627828</x:v>
      </x:c>
      <x:c r="S31" s="9" t="n">
        <x:f>H31*Y30*INDEX(v01_MortChild,G31)/4*Q31</x:f>
        <x:v>0.09670712646268786</x:v>
      </x:c>
      <x:c r="T31" s="9" t="n">
        <x:f>H31*Z30*INDEX(v01_MortAdult,G31)*Arch_AdultMort/4*Q31</x:f>
        <x:v>0.05395582408584235</x:v>
      </x:c>
      <x:c r="U31" s="9" t="n">
        <x:f>H31*AA30*INDEX(v01_MortElder,G31)/4*Q31</x:f>
        <x:v>0.09878732875886129</x:v>
      </x:c>
      <x:c r="V31" s="9" t="n">
        <x:f>H31*MAX(0,AB30-O31)*v01_OvercapLoss</x:f>
        <x:v>0</x:v>
      </x:c>
      <x:c r="W31" s="9" t="n">
        <x:f>H31*Y30/(v01_ChildYears*4)</x:f>
        <x:v>0.08634564862739988</x:v>
      </x:c>
      <x:c r="X31" s="9" t="n">
        <x:f>H31*Z30/(v01_AdultYears*4)</x:f>
        <x:v>0.05801701514606704</x:v>
      </x:c>
      <x:c r="Y31" s="32" t="n">
        <x:f>Y30+R31-S31-W31-Y30*V31/AB30</x:f>
        <x:v>4.853762013940584</x:v>
      </x:c>
      <x:c r="Z31" s="32" t="n">
        <x:f>Z30+W31-X31-T31-Z30*V31/AB30</x:f>
        <x:v>7.168482687507803</x:v>
      </x:c>
      <x:c r="AA31" s="32" t="n">
        <x:f>AA30+X31-U31-AA30*V31/AB30</x:f>
        <x:v>1.9349762615644313</x:v>
      </x:c>
      <x:c r="AB31" s="10" t="n">
        <x:f>Y31+Z31+AA31</x:f>
        <x:v>13.957220963012817</x:v>
      </x:c>
      <x:c r="AC31" s="8" t="n">
        <x:f>IF(AND(v01_WinterTrigger=1,D31=1,AB30/AE30&gt;=K31),1,0)</x:f>
        <x:v>0</x:v>
      </x:c>
      <x:c r="AD31" s="8" t="n">
        <x:f>H31*IF(AND(OR(AB30/AE30&gt;=v01_FissionTrigger*N31,AC31=1),AB30/AE30*v01_DaughterShare&gt;=v01_MinDaughter),MAX(1,ROUND(AE30*v01_FissionRate,0)),0)</x:f>
        <x:v>0</x:v>
      </x:c>
      <x:c r="AE31" s="8" t="n">
        <x:f>IF(H31=1,MAX(1,MIN(INDEX(v01_Smax,G31),AE30+AD31)),AE30)</x:f>
        <x:v>1</x:v>
      </x:c>
      <x:c r="AF31" s="8" t="n">
        <x:f>MAX(0,AE31-AE30)</x:f>
        <x:v>0</x:v>
      </x:c>
      <x:c r="AG31" s="9" t="str">
        <x:f>IF(AF31&gt;0,B31,"")</x:f>
      </x:c>
      <x:c r="AH31" s="9" t="n">
        <x:f>IF(F31&gt;=1,1,(1+v01_LowTiesShare*(AE31-1))/AE31)</x:f>
        <x:v>1</x:v>
      </x:c>
      <x:c r="AI31" s="32" t="n">
        <x:f>(Z31+v01_ElderCommons*INDEX(LM_Elder,G31)*AA31)*AH31</x:f>
        <x:v>11.038435210636665</x:v>
      </x:c>
      <x:c r="AJ31" s="32" t="n">
        <x:f>H31*v01_CommonsCoef*AI31^v01_CommonsExp*INDEX(LM_Commons,G31)</x:f>
        <x:v>4.845281112798102</x:v>
      </x:c>
      <x:c r="AK31" s="32" t="n">
        <x:f>H31*v01_RoleScale*Arch_Roles*(AE31*(INDEX(v01_ElderRolePerSett,G31)*v01_OutElder*INDEX(LM_Elder,G31)+INDEX(v01_ShamanPerSett,G31)*v01_OutShaman)+Z31*(INDEX(v01_PriestShare,G31)*v01_OutPriest+INDEX(v01_ScribeShare,G31)*v01_OutScribe*INDEX(LM_Scribe,G31)+INDEX(v01_ScholarShare,G31)*v01_OutScholar*INDEX(LM_Scholar,G31)+INDEX(v01_ResearcherShare,G31)*v01_OutResearcher*INDEX(LM_Researcher,G31)))</x:f>
        <x:v>0</x:v>
      </x:c>
      <x:c r="AL31" s="32" t="n">
        <x:f>H31*v01_RoleScale*Arch_Roles*AE31*INDEX(v01_MonasteryPerSett,G31)*v01_OutMonastery*INDEX(LM_Monastery,G31)</x:f>
        <x:v>0</x:v>
      </x:c>
      <x:c r="AM31" s="32" t="n">
        <x:f>(AJ31+AK31+AL31)/4*INDEX(LM_All,G31)*INDEX(v01_Boon,G31)*Arch_Insight</x:f>
        <x:v>1.2113202781995256</x:v>
      </x:c>
      <x:c r="AN31" s="32" t="n">
        <x:f>H31*(v01_KHPerAdult*Z31+v01_KHOfCommons*AJ31/4*INDEX(LM_All,G31))*v01_KHUsable*Arch_KH</x:f>
        <x:v>0.2508968940627731</x:v>
      </x:c>
      <x:c r="AO31" s="32" t="n">
        <x:f>MIN(AP30+AN31,AM31*v01_KHMaxRatio)</x:f>
        <x:v>0.2508968940627731</x:v>
      </x:c>
      <x:c r="AP31" s="32" t="n">
        <x:f>AP30+AN31-AO31</x:f>
        <x:v>0</x:v>
      </x:c>
      <x:c r="AQ31" s="32" t="n">
        <x:f>AM31+AO31</x:f>
        <x:v>1.4622171722622987</x:v>
      </x:c>
      <x:c r="AR31" s="10" t="n">
        <x:f>IF(H31=1,INDEX(v01_Req,G31),0)</x:f>
        <x:v>372.02</x:v>
      </x:c>
      <x:c r="AS31" s="32" t="n">
        <x:f>IF(H31=1,IF(E31=1,AS30-AR30,AS30)+AQ31,0)</x:f>
        <x:v>42.21907379851883</x:v>
      </x:c>
      <x:c r="AT31" s="11" t="n">
        <x:f>IF(AR31&gt;0,MIN(1,AS31/AR31),1)</x:f>
        <x:v>0.11348603246739108</x:v>
      </x:c>
      <x:c r="AU31" s="10" t="n">
        <x:f>AB31/INDEX(v01_RepScale,G31)</x:f>
        <x:v>13.957220963012817</x:v>
      </x:c>
      <x:c r="AV31" s="32" t="n">
        <x:f>AM31*60/v01_SeasonSeconds</x:f>
        <x:v>4.845281112798102</x:v>
      </x:c>
    </x:row>
    <x:row r="32">
      <x:c r="A32" s="8" t="n">
        <x:f>A31+1</x:f>
        <x:v>29</x:v>
      </x:c>
      <x:c r="B32" s="9" t="n">
        <x:f>A32*v01_SeasonSeconds/60</x:f>
        <x:v>7.25</x:v>
      </x:c>
      <x:c r="C32" s="9" t="n">
        <x:f>A32/4</x:f>
        <x:v>7.25</x:v>
      </x:c>
      <x:c r="D32" s="8" t="n">
        <x:f>IF(MOD(A32,4)=0,1,0)</x:f>
        <x:v>0</x:v>
      </x:c>
      <x:c r="E32" s="8" t="n">
        <x:f>IF(AND(F31&lt;=9,AS31&gt;=AR31),1,0)</x:f>
        <x:v>0</x:v>
      </x:c>
      <x:c r="F32" s="8" t="n">
        <x:f>MIN(10,F31+E32)</x:f>
        <x:v>0</x:v>
      </x:c>
      <x:c r="G32" s="8" t="n">
        <x:f>MIN(F32,9)+1</x:f>
        <x:v>1</x:v>
      </x:c>
      <x:c r="H32" s="8" t="n">
        <x:f>IF(F32&lt;=9,1,0)</x:f>
        <x:v>1</x:v>
      </x:c>
      <x:c r="I32" s="9" t="n">
        <x:f>MIN(10,F31+IF(AR31&gt;0,MIN(1,AS31/AR31),1))</x:f>
        <x:v>0.11348603246739108</x:v>
      </x:c>
      <x:c r="J32" s="32" t="n">
        <x:f>INDEX(v01_FoodCap,G32)*Arch_FoodCap*EXP(v01_CapsByProject*SUMPRODUCT((Cap_Point&lt;=I32)*(Cap_Kind="Food")*Cap_Ln))</x:f>
        <x:v>22</x:v>
      </x:c>
      <x:c r="K32" s="32" t="n">
        <x:f>J32*MIN(1,v01_LeanBase*EXP(v01_CapsByProject*SUMPRODUCT((Cap_Point&lt;=I32)*(Cap_Kind="Lean")*Cap_Ln)))</x:f>
        <x:v>22</x:v>
      </x:c>
      <x:c r="L32" s="10" t="n">
        <x:f>INDEX(v01_HousingCap,G32)*EXP(v01_CapsByProject*SUMPRODUCT((Cap_Point&lt;=I32)*(Cap_Kind="Housing")*Cap_Ln))</x:f>
        <x:v>60</x:v>
      </x:c>
      <x:c r="M32" s="10" t="n">
        <x:f>INDEX(v01_GroupCap,G32)*v01_CohesionFactor*EXP(v01_CapsByProject*SUMPRODUCT((Cap_Point&lt;=I32)*(Cap_Kind="Group")*Cap_Ln))</x:f>
        <x:v>35</x:v>
      </x:c>
      <x:c r="N32" s="32" t="n">
        <x:f>MIN(J32,L32,M32)</x:f>
        <x:v>22</x:v>
      </x:c>
      <x:c r="O32" s="10" t="n">
        <x:f>AE31*N32</x:f>
        <x:v>22</x:v>
      </x:c>
      <x:c r="P32" s="9" t="n">
        <x:f>MIN(1,(AB31/(AE31*IF(v01_GroupInCrowding=1,N32,MIN(J32,L32))))^v01_CrowdingExp)</x:f>
        <x:v>0.06520150786500134</x:v>
      </x:c>
      <x:c r="Q32" s="9" t="n">
        <x:f>IF(D32=1,INDEX(v01_WinterMult,G32),1)</x:f>
        <x:v>1</x:v>
      </x:c>
      <x:c r="R32" s="9" t="n">
        <x:f>H32*Z31*v01_WomenShare*v01_BaseFertility*INDEX(v01_FertMult,G32)*Arch_Fertility*(1-P32)</x:f>
        <x:v>0.2010326042153441</x:v>
      </x:c>
      <x:c r="S32" s="9" t="n">
        <x:f>H32*Y31*INDEX(v01_MortChild,G32)/4*Q32</x:f>
        <x:v>0.048537620139405845</x:v>
      </x:c>
      <x:c r="T32" s="9" t="n">
        <x:f>H32*Z31*INDEX(v01_MortAdult,G32)*Arch_AdultMort/4*Q32</x:f>
        <x:v>0.02688181007815426</x:v>
      </x:c>
      <x:c r="U32" s="9" t="n">
        <x:f>H32*AA31*INDEX(v01_MortElder,G32)/4*Q32</x:f>
        <x:v>0.048374406539110786</x:v>
      </x:c>
      <x:c r="V32" s="9" t="n">
        <x:f>H32*MAX(0,AB31-O32)*v01_OvercapLoss</x:f>
        <x:v>0</x:v>
      </x:c>
      <x:c r="W32" s="9" t="n">
        <x:f>H32*Y31/(v01_ChildYears*4)</x:f>
        <x:v>0.08667432167751044</x:v>
      </x:c>
      <x:c r="X32" s="9" t="n">
        <x:f>H32*Z31/(v01_AdultYears*4)</x:f>
        <x:v>0.05781034425409518</x:v>
      </x:c>
      <x:c r="Y32" s="32" t="n">
        <x:f>Y31+R32-S32-W32-Y31*V32/AB31</x:f>
        <x:v>4.919582676339012</x:v>
      </x:c>
      <x:c r="Z32" s="32" t="n">
        <x:f>Z31+W32-X32-T32-Z31*V32/AB31</x:f>
        <x:v>7.170464854853064</x:v>
      </x:c>
      <x:c r="AA32" s="32" t="n">
        <x:f>AA31+X32-U32-AA31*V32/AB31</x:f>
        <x:v>1.9444121992794157</x:v>
      </x:c>
      <x:c r="AB32" s="10" t="n">
        <x:f>Y32+Z32+AA32</x:f>
        <x:v>14.034459730471491</x:v>
      </x:c>
      <x:c r="AC32" s="8" t="n">
        <x:f>IF(AND(v01_WinterTrigger=1,D32=1,AB31/AE31&gt;=K32),1,0)</x:f>
        <x:v>0</x:v>
      </x:c>
      <x:c r="AD32" s="8" t="n">
        <x:f>H32*IF(AND(OR(AB31/AE31&gt;=v01_FissionTrigger*N32,AC32=1),AB31/AE31*v01_DaughterShare&gt;=v01_MinDaughter),MAX(1,ROUND(AE31*v01_FissionRate,0)),0)</x:f>
        <x:v>0</x:v>
      </x:c>
      <x:c r="AE32" s="8" t="n">
        <x:f>IF(H32=1,MAX(1,MIN(INDEX(v01_Smax,G32),AE31+AD32)),AE31)</x:f>
        <x:v>1</x:v>
      </x:c>
      <x:c r="AF32" s="8" t="n">
        <x:f>MAX(0,AE32-AE31)</x:f>
        <x:v>0</x:v>
      </x:c>
      <x:c r="AG32" s="9" t="str">
        <x:f>IF(AF32&gt;0,B32,"")</x:f>
      </x:c>
      <x:c r="AH32" s="9" t="n">
        <x:f>IF(F32&gt;=1,1,(1+v01_LowTiesShare*(AE32-1))/AE32)</x:f>
        <x:v>1</x:v>
      </x:c>
      <x:c r="AI32" s="32" t="n">
        <x:f>(Z32+v01_ElderCommons*INDEX(LM_Elder,G32)*AA32)*AH32</x:f>
        <x:v>11.059289253411896</x:v>
      </x:c>
      <x:c r="AJ32" s="32" t="n">
        <x:f>H32*v01_CommonsCoef*AI32^v01_CommonsExp*INDEX(LM_Commons,G32)</x:f>
        <x:v>4.853060746625532</x:v>
      </x:c>
      <x:c r="AK32" s="32" t="n">
        <x:f>H32*v01_RoleScale*Arch_Roles*(AE32*(INDEX(v01_ElderRolePerSett,G32)*v01_OutElder*INDEX(LM_Elder,G32)+INDEX(v01_ShamanPerSett,G32)*v01_OutShaman)+Z32*(INDEX(v01_PriestShare,G32)*v01_OutPriest+INDEX(v01_ScribeShare,G32)*v01_OutScribe*INDEX(LM_Scribe,G32)+INDEX(v01_ScholarShare,G32)*v01_OutScholar*INDEX(LM_Scholar,G32)+INDEX(v01_ResearcherShare,G32)*v01_OutResearcher*INDEX(LM_Researcher,G32)))</x:f>
        <x:v>0</x:v>
      </x:c>
      <x:c r="AL32" s="32" t="n">
        <x:f>H32*v01_RoleScale*Arch_Roles*AE32*INDEX(v01_MonasteryPerSett,G32)*v01_OutMonastery*INDEX(LM_Monastery,G32)</x:f>
        <x:v>0</x:v>
      </x:c>
      <x:c r="AM32" s="32" t="n">
        <x:f>(AJ32+AK32+AL32)/4*INDEX(LM_All,G32)*INDEX(v01_Boon,G32)*Arch_Insight</x:f>
        <x:v>1.213265186656383</x:v>
      </x:c>
      <x:c r="AN32" s="32" t="n">
        <x:f>H32*(v01_KHPerAdult*Z32+v01_KHOfCommons*AJ32/4*INDEX(LM_All,G32))*v01_KHUsable*Arch_KH</x:f>
        <x:v>0.25096626991985727</x:v>
      </x:c>
      <x:c r="AO32" s="32" t="n">
        <x:f>MIN(AP31+AN32,AM32*v01_KHMaxRatio)</x:f>
        <x:v>0.25096626991985727</x:v>
      </x:c>
      <x:c r="AP32" s="32" t="n">
        <x:f>AP31+AN32-AO32</x:f>
        <x:v>0</x:v>
      </x:c>
      <x:c r="AQ32" s="32" t="n">
        <x:f>AM32+AO32</x:f>
        <x:v>1.4642314565762402</x:v>
      </x:c>
      <x:c r="AR32" s="10" t="n">
        <x:f>IF(H32=1,INDEX(v01_Req,G32),0)</x:f>
        <x:v>372.02</x:v>
      </x:c>
      <x:c r="AS32" s="32" t="n">
        <x:f>IF(H32=1,IF(E32=1,AS31-AR31,AS31)+AQ32,0)</x:f>
        <x:v>43.68330525509507</x:v>
      </x:c>
      <x:c r="AT32" s="11" t="n">
        <x:f>IF(AR32&gt;0,MIN(1,AS32/AR32),1)</x:f>
        <x:v>0.11742192692622729</x:v>
      </x:c>
      <x:c r="AU32" s="10" t="n">
        <x:f>AB32/INDEX(v01_RepScale,G32)</x:f>
        <x:v>14.034459730471491</x:v>
      </x:c>
      <x:c r="AV32" s="32" t="n">
        <x:f>AM32*60/v01_SeasonSeconds</x:f>
        <x:v>4.853060746625532</x:v>
      </x:c>
    </x:row>
    <x:row r="33">
      <x:c r="A33" s="8" t="n">
        <x:f>A32+1</x:f>
        <x:v>30</x:v>
      </x:c>
      <x:c r="B33" s="9" t="n">
        <x:f>A33*v01_SeasonSeconds/60</x:f>
        <x:v>7.5</x:v>
      </x:c>
      <x:c r="C33" s="9" t="n">
        <x:f>A33/4</x:f>
        <x:v>7.5</x:v>
      </x:c>
      <x:c r="D33" s="8" t="n">
        <x:f>IF(MOD(A33,4)=0,1,0)</x:f>
        <x:v>0</x:v>
      </x:c>
      <x:c r="E33" s="8" t="n">
        <x:f>IF(AND(F32&lt;=9,AS32&gt;=AR32),1,0)</x:f>
        <x:v>0</x:v>
      </x:c>
      <x:c r="F33" s="8" t="n">
        <x:f>MIN(10,F32+E33)</x:f>
        <x:v>0</x:v>
      </x:c>
      <x:c r="G33" s="8" t="n">
        <x:f>MIN(F33,9)+1</x:f>
        <x:v>1</x:v>
      </x:c>
      <x:c r="H33" s="8" t="n">
        <x:f>IF(F33&lt;=9,1,0)</x:f>
        <x:v>1</x:v>
      </x:c>
      <x:c r="I33" s="9" t="n">
        <x:f>MIN(10,F32+IF(AR32&gt;0,MIN(1,AS32/AR32),1))</x:f>
        <x:v>0.11742192692622729</x:v>
      </x:c>
      <x:c r="J33" s="32" t="n">
        <x:f>INDEX(v01_FoodCap,G33)*Arch_FoodCap*EXP(v01_CapsByProject*SUMPRODUCT((Cap_Point&lt;=I33)*(Cap_Kind="Food")*Cap_Ln))</x:f>
        <x:v>22</x:v>
      </x:c>
      <x:c r="K33" s="32" t="n">
        <x:f>J33*MIN(1,v01_LeanBase*EXP(v01_CapsByProject*SUMPRODUCT((Cap_Point&lt;=I33)*(Cap_Kind="Lean")*Cap_Ln)))</x:f>
        <x:v>22</x:v>
      </x:c>
      <x:c r="L33" s="10" t="n">
        <x:f>INDEX(v01_HousingCap,G33)*EXP(v01_CapsByProject*SUMPRODUCT((Cap_Point&lt;=I33)*(Cap_Kind="Housing")*Cap_Ln))</x:f>
        <x:v>60</x:v>
      </x:c>
      <x:c r="M33" s="10" t="n">
        <x:f>INDEX(v01_GroupCap,G33)*v01_CohesionFactor*EXP(v01_CapsByProject*SUMPRODUCT((Cap_Point&lt;=I33)*(Cap_Kind="Group")*Cap_Ln))</x:f>
        <x:v>35</x:v>
      </x:c>
      <x:c r="N33" s="32" t="n">
        <x:f>MIN(J33,L33,M33)</x:f>
        <x:v>22</x:v>
      </x:c>
      <x:c r="O33" s="10" t="n">
        <x:f>AE32*N33</x:f>
        <x:v>22</x:v>
      </x:c>
      <x:c r="P33" s="9" t="n">
        <x:f>MIN(1,(AB32/(AE32*IF(v01_GroupInCrowding=1,N33,MIN(J33,L33))))^v01_CrowdingExp)</x:f>
        <x:v>0.06739661853816188</x:v>
      </x:c>
      <x:c r="Q33" s="9" t="n">
        <x:f>IF(D33=1,INDEX(v01_WinterMult,G33),1)</x:f>
        <x:v>1</x:v>
      </x:c>
      <x:c r="R33" s="9" t="n">
        <x:f>H33*Z32*v01_WomenShare*v01_BaseFertility*INDEX(v01_FertMult,G33)*Arch_Fertility*(1-P33)</x:f>
        <x:v>0.20061599310867706</x:v>
      </x:c>
      <x:c r="S33" s="9" t="n">
        <x:f>H33*Y32*INDEX(v01_MortChild,G33)/4*Q33</x:f>
        <x:v>0.04919582676339012</x:v>
      </x:c>
      <x:c r="T33" s="9" t="n">
        <x:f>H33*Z32*INDEX(v01_MortAdult,G33)*Arch_AdultMort/4*Q33</x:f>
        <x:v>0.02688924320569899</x:v>
      </x:c>
      <x:c r="U33" s="9" t="n">
        <x:f>H33*AA32*INDEX(v01_MortElder,G33)/4*Q33</x:f>
        <x:v>0.048610304981985396</x:v>
      </x:c>
      <x:c r="V33" s="9" t="n">
        <x:f>H33*MAX(0,AB32-O33)*v01_OvercapLoss</x:f>
        <x:v>0</x:v>
      </x:c>
      <x:c r="W33" s="9" t="n">
        <x:f>H33*Y32/(v01_ChildYears*4)</x:f>
        <x:v>0.08784969064891092</x:v>
      </x:c>
      <x:c r="X33" s="9" t="n">
        <x:f>H33*Z32/(v01_AdultYears*4)</x:f>
        <x:v>0.057826329474621484</x:v>
      </x:c>
      <x:c r="Y33" s="32" t="n">
        <x:f>Y32+R33-S33-W33-Y32*V33/AB32</x:f>
        <x:v>4.983153152035388</x:v>
      </x:c>
      <x:c r="Z33" s="32" t="n">
        <x:f>Z32+W33-X33-T33-Z32*V33/AB32</x:f>
        <x:v>7.1735989728216545</x:v>
      </x:c>
      <x:c r="AA33" s="32" t="n">
        <x:f>AA32+X33-U33-AA32*V33/AB32</x:f>
        <x:v>1.9536282237720517</x:v>
      </x:c>
      <x:c r="AB33" s="10" t="n">
        <x:f>Y33+Z33+AA33</x:f>
        <x:v>14.110380348629095</x:v>
      </x:c>
      <x:c r="AC33" s="8" t="n">
        <x:f>IF(AND(v01_WinterTrigger=1,D33=1,AB32/AE32&gt;=K33),1,0)</x:f>
        <x:v>0</x:v>
      </x:c>
      <x:c r="AD33" s="8" t="n">
        <x:f>H33*IF(AND(OR(AB32/AE32&gt;=v01_FissionTrigger*N33,AC33=1),AB32/AE32*v01_DaughterShare&gt;=v01_MinDaughter),MAX(1,ROUND(AE32*v01_FissionRate,0)),0)</x:f>
        <x:v>0</x:v>
      </x:c>
      <x:c r="AE33" s="8" t="n">
        <x:f>IF(H33=1,MAX(1,MIN(INDEX(v01_Smax,G33),AE32+AD33)),AE32)</x:f>
        <x:v>1</x:v>
      </x:c>
      <x:c r="AF33" s="8" t="n">
        <x:f>MAX(0,AE33-AE32)</x:f>
        <x:v>0</x:v>
      </x:c>
      <x:c r="AG33" s="9" t="str">
        <x:f>IF(AF33&gt;0,B33,"")</x:f>
      </x:c>
      <x:c r="AH33" s="9" t="n">
        <x:f>IF(F33&gt;=1,1,(1+v01_LowTiesShare*(AE33-1))/AE33)</x:f>
        <x:v>1</x:v>
      </x:c>
      <x:c r="AI33" s="32" t="n">
        <x:f>(Z33+v01_ElderCommons*INDEX(LM_Elder,G33)*AA33)*AH33</x:f>
        <x:v>11.080855420365758</x:v>
      </x:c>
      <x:c r="AJ33" s="32" t="n">
        <x:f>H33*v01_CommonsCoef*AI33^v01_CommonsExp*INDEX(LM_Commons,G33)</x:f>
        <x:v>4.861103725438503</x:v>
      </x:c>
      <x:c r="AK33" s="32" t="n">
        <x:f>H33*v01_RoleScale*Arch_Roles*(AE33*(INDEX(v01_ElderRolePerSett,G33)*v01_OutElder*INDEX(LM_Elder,G33)+INDEX(v01_ShamanPerSett,G33)*v01_OutShaman)+Z33*(INDEX(v01_PriestShare,G33)*v01_OutPriest+INDEX(v01_ScribeShare,G33)*v01_OutScribe*INDEX(LM_Scribe,G33)+INDEX(v01_ScholarShare,G33)*v01_OutScholar*INDEX(LM_Scholar,G33)+INDEX(v01_ResearcherShare,G33)*v01_OutResearcher*INDEX(LM_Researcher,G33)))</x:f>
        <x:v>0</x:v>
      </x:c>
      <x:c r="AL33" s="32" t="n">
        <x:f>H33*v01_RoleScale*Arch_Roles*AE33*INDEX(v01_MonasteryPerSett,G33)*v01_OutMonastery*INDEX(LM_Monastery,G33)</x:f>
        <x:v>0</x:v>
      </x:c>
      <x:c r="AM33" s="32" t="n">
        <x:f>(AJ33+AK33+AL33)/4*INDEX(LM_All,G33)*INDEX(v01_Boon,G33)*Arch_Insight</x:f>
        <x:v>1.2152759313596257</x:v>
      </x:c>
      <x:c r="AN33" s="32" t="n">
        <x:f>H33*(v01_KHPerAdult*Z33+v01_KHOfCommons*AJ33/4*INDEX(LM_All,G33))*v01_KHUsable*Arch_KH</x:f>
        <x:v>0.2510759640487579</x:v>
      </x:c>
      <x:c r="AO33" s="32" t="n">
        <x:f>MIN(AP32+AN33,AM33*v01_KHMaxRatio)</x:f>
        <x:v>0.2510759640487579</x:v>
      </x:c>
      <x:c r="AP33" s="32" t="n">
        <x:f>AP32+AN33-AO33</x:f>
        <x:v>0</x:v>
      </x:c>
      <x:c r="AQ33" s="32" t="n">
        <x:f>AM33+AO33</x:f>
        <x:v>1.4663518954083836</x:v>
      </x:c>
      <x:c r="AR33" s="10" t="n">
        <x:f>IF(H33=1,INDEX(v01_Req,G33),0)</x:f>
        <x:v>372.02</x:v>
      </x:c>
      <x:c r="AS33" s="32" t="n">
        <x:f>IF(H33=1,IF(E33=1,AS32-AR32,AS32)+AQ33,0)</x:f>
        <x:v>45.14965715050346</x:v>
      </x:c>
      <x:c r="AT33" s="11" t="n">
        <x:f>IF(AR33&gt;0,MIN(1,AS33/AR33),1)</x:f>
        <x:v>0.12136352118301022</x:v>
      </x:c>
      <x:c r="AU33" s="10" t="n">
        <x:f>AB33/INDEX(v01_RepScale,G33)</x:f>
        <x:v>14.110380348629095</x:v>
      </x:c>
      <x:c r="AV33" s="32" t="n">
        <x:f>AM33*60/v01_SeasonSeconds</x:f>
        <x:v>4.861103725438503</x:v>
      </x:c>
    </x:row>
    <x:row r="34">
      <x:c r="A34" s="8" t="n">
        <x:f>A33+1</x:f>
        <x:v>31</x:v>
      </x:c>
      <x:c r="B34" s="9" t="n">
        <x:f>A34*v01_SeasonSeconds/60</x:f>
        <x:v>7.75</x:v>
      </x:c>
      <x:c r="C34" s="9" t="n">
        <x:f>A34/4</x:f>
        <x:v>7.75</x:v>
      </x:c>
      <x:c r="D34" s="8" t="n">
        <x:f>IF(MOD(A34,4)=0,1,0)</x:f>
        <x:v>0</x:v>
      </x:c>
      <x:c r="E34" s="8" t="n">
        <x:f>IF(AND(F33&lt;=9,AS33&gt;=AR33),1,0)</x:f>
        <x:v>0</x:v>
      </x:c>
      <x:c r="F34" s="8" t="n">
        <x:f>MIN(10,F33+E34)</x:f>
        <x:v>0</x:v>
      </x:c>
      <x:c r="G34" s="8" t="n">
        <x:f>MIN(F34,9)+1</x:f>
        <x:v>1</x:v>
      </x:c>
      <x:c r="H34" s="8" t="n">
        <x:f>IF(F34&lt;=9,1,0)</x:f>
        <x:v>1</x:v>
      </x:c>
      <x:c r="I34" s="9" t="n">
        <x:f>MIN(10,F33+IF(AR33&gt;0,MIN(1,AS33/AR33),1))</x:f>
        <x:v>0.12136352118301022</x:v>
      </x:c>
      <x:c r="J34" s="32" t="n">
        <x:f>INDEX(v01_FoodCap,G34)*Arch_FoodCap*EXP(v01_CapsByProject*SUMPRODUCT((Cap_Point&lt;=I34)*(Cap_Kind="Food")*Cap_Ln))</x:f>
        <x:v>22</x:v>
      </x:c>
      <x:c r="K34" s="32" t="n">
        <x:f>J34*MIN(1,v01_LeanBase*EXP(v01_CapsByProject*SUMPRODUCT((Cap_Point&lt;=I34)*(Cap_Kind="Lean")*Cap_Ln)))</x:f>
        <x:v>22</x:v>
      </x:c>
      <x:c r="L34" s="10" t="n">
        <x:f>INDEX(v01_HousingCap,G34)*EXP(v01_CapsByProject*SUMPRODUCT((Cap_Point&lt;=I34)*(Cap_Kind="Housing")*Cap_Ln))</x:f>
        <x:v>60</x:v>
      </x:c>
      <x:c r="M34" s="10" t="n">
        <x:f>INDEX(v01_GroupCap,G34)*v01_CohesionFactor*EXP(v01_CapsByProject*SUMPRODUCT((Cap_Point&lt;=I34)*(Cap_Kind="Group")*Cap_Ln))</x:f>
        <x:v>35</x:v>
      </x:c>
      <x:c r="N34" s="32" t="n">
        <x:f>MIN(J34,L34,M34)</x:f>
        <x:v>22</x:v>
      </x:c>
      <x:c r="O34" s="10" t="n">
        <x:f>AE33*N34</x:f>
        <x:v>22</x:v>
      </x:c>
      <x:c r="P34" s="9" t="n">
        <x:f>MIN(1,(AB33/(AE33*IF(v01_GroupInCrowding=1,N34,MIN(J34,L34))))^v01_CrowdingExp)</x:f>
        <x:v>0.06961394368766823</x:v>
      </x:c>
      <x:c r="Q34" s="9" t="n">
        <x:f>IF(D34=1,INDEX(v01_WinterMult,G34),1)</x:f>
        <x:v>1</x:v>
      </x:c>
      <x:c r="R34" s="9" t="n">
        <x:f>H34*Z33*v01_WomenShare*v01_BaseFertility*INDEX(v01_FertMult,G34)*Arch_Fertility*(1-P34)</x:f>
        <x:v>0.200226493736692</x:v>
      </x:c>
      <x:c r="S34" s="9" t="n">
        <x:f>H34*Y33*INDEX(v01_MortChild,G34)/4*Q34</x:f>
        <x:v>0.049831531520353876</x:v>
      </x:c>
      <x:c r="T34" s="9" t="n">
        <x:f>H34*Z33*INDEX(v01_MortAdult,G34)*Arch_AdultMort/4*Q34</x:f>
        <x:v>0.026900996148081203</x:v>
      </x:c>
      <x:c r="U34" s="9" t="n">
        <x:f>H34*AA33*INDEX(v01_MortElder,G34)/4*Q34</x:f>
        <x:v>0.048840705594301294</x:v>
      </x:c>
      <x:c r="V34" s="9" t="n">
        <x:f>H34*MAX(0,AB33-O34)*v01_OvercapLoss</x:f>
        <x:v>0</x:v>
      </x:c>
      <x:c r="W34" s="9" t="n">
        <x:f>H34*Y33/(v01_ChildYears*4)</x:f>
        <x:v>0.08898487771491763</x:v>
      </x:c>
      <x:c r="X34" s="9" t="n">
        <x:f>H34*Z33/(v01_AdultYears*4)</x:f>
        <x:v>0.05785160461952947</x:v>
      </x:c>
      <x:c r="Y34" s="32" t="n">
        <x:f>Y33+R34-S34-W34-Y33*V34/AB33</x:f>
        <x:v>5.044563236536808</x:v>
      </x:c>
      <x:c r="Z34" s="32" t="n">
        <x:f>Z33+W34-X34-T34-Z33*V34/AB33</x:f>
        <x:v>7.177831249768961</x:v>
      </x:c>
      <x:c r="AA34" s="32" t="n">
        <x:f>AA33+X34-U34-AA33*V34/AB33</x:f>
        <x:v>1.96263912279728</x:v>
      </x:c>
      <x:c r="AB34" s="10" t="n">
        <x:f>Y34+Z34+AA34</x:f>
        <x:v>14.18503360910305</x:v>
      </x:c>
      <x:c r="AC34" s="8" t="n">
        <x:f>IF(AND(v01_WinterTrigger=1,D34=1,AB33/AE33&gt;=K34),1,0)</x:f>
        <x:v>0</x:v>
      </x:c>
      <x:c r="AD34" s="8" t="n">
        <x:f>H34*IF(AND(OR(AB33/AE33&gt;=v01_FissionTrigger*N34,AC34=1),AB33/AE33*v01_DaughterShare&gt;=v01_MinDaughter),MAX(1,ROUND(AE33*v01_FissionRate,0)),0)</x:f>
        <x:v>0</x:v>
      </x:c>
      <x:c r="AE34" s="8" t="n">
        <x:f>IF(H34=1,MAX(1,MIN(INDEX(v01_Smax,G34),AE33+AD34)),AE33)</x:f>
        <x:v>1</x:v>
      </x:c>
      <x:c r="AF34" s="8" t="n">
        <x:f>MAX(0,AE34-AE33)</x:f>
        <x:v>0</x:v>
      </x:c>
      <x:c r="AG34" s="9" t="str">
        <x:f>IF(AF34&gt;0,B34,"")</x:f>
      </x:c>
      <x:c r="AH34" s="9" t="n">
        <x:f>IF(F34&gt;=1,1,(1+v01_LowTiesShare*(AE34-1))/AE34)</x:f>
        <x:v>1</x:v>
      </x:c>
      <x:c r="AI34" s="32" t="n">
        <x:f>(Z34+v01_ElderCommons*INDEX(LM_Elder,G34)*AA34)*AH34</x:f>
        <x:v>11.10310949536352</x:v>
      </x:c>
      <x:c r="AJ34" s="32" t="n">
        <x:f>H34*v01_CommonsCoef*AI34^v01_CommonsExp*INDEX(LM_Commons,G34)</x:f>
        <x:v>4.869400794451263</x:v>
      </x:c>
      <x:c r="AK34" s="32" t="n">
        <x:f>H34*v01_RoleScale*Arch_Roles*(AE34*(INDEX(v01_ElderRolePerSett,G34)*v01_OutElder*INDEX(LM_Elder,G34)+INDEX(v01_ShamanPerSett,G34)*v01_OutShaman)+Z34*(INDEX(v01_PriestShare,G34)*v01_OutPriest+INDEX(v01_ScribeShare,G34)*v01_OutScribe*INDEX(LM_Scribe,G34)+INDEX(v01_ScholarShare,G34)*v01_OutScholar*INDEX(LM_Scholar,G34)+INDEX(v01_ResearcherShare,G34)*v01_OutResearcher*INDEX(LM_Researcher,G34)))</x:f>
        <x:v>0</x:v>
      </x:c>
      <x:c r="AL34" s="32" t="n">
        <x:f>H34*v01_RoleScale*Arch_Roles*AE34*INDEX(v01_MonasteryPerSett,G34)*v01_OutMonastery*INDEX(LM_Monastery,G34)</x:f>
        <x:v>0</x:v>
      </x:c>
      <x:c r="AM34" s="32" t="n">
        <x:f>(AJ34+AK34+AL34)/4*INDEX(LM_All,G34)*INDEX(v01_Boon,G34)*Arch_Insight</x:f>
        <x:v>1.2173501986128157</x:v>
      </x:c>
      <x:c r="AN34" s="32" t="n">
        <x:f>H34*(v01_KHPerAdult*Z34+v01_KHOfCommons*AJ34/4*INDEX(LM_All,G34))*v01_KHUsable*Arch_KH</x:f>
        <x:v>0.2512240937419137</x:v>
      </x:c>
      <x:c r="AO34" s="32" t="n">
        <x:f>MIN(AP33+AN34,AM34*v01_KHMaxRatio)</x:f>
        <x:v>0.2512240937419137</x:v>
      </x:c>
      <x:c r="AP34" s="32" t="n">
        <x:f>AP33+AN34-AO34</x:f>
        <x:v>0</x:v>
      </x:c>
      <x:c r="AQ34" s="32" t="n">
        <x:f>AM34+AO34</x:f>
        <x:v>1.4685742923547294</x:v>
      </x:c>
      <x:c r="AR34" s="10" t="n">
        <x:f>IF(H34=1,INDEX(v01_Req,G34),0)</x:f>
        <x:v>372.02</x:v>
      </x:c>
      <x:c r="AS34" s="32" t="n">
        <x:f>IF(H34=1,IF(E34=1,AS33-AR33,AS33)+AQ34,0)</x:f>
        <x:v>46.61823144285819</x:v>
      </x:c>
      <x:c r="AT34" s="11" t="n">
        <x:f>IF(AR34&gt;0,MIN(1,AS34/AR34),1)</x:f>
        <x:v>0.1253110893039573</x:v>
      </x:c>
      <x:c r="AU34" s="10" t="n">
        <x:f>AB34/INDEX(v01_RepScale,G34)</x:f>
        <x:v>14.18503360910305</x:v>
      </x:c>
      <x:c r="AV34" s="32" t="n">
        <x:f>AM34*60/v01_SeasonSeconds</x:f>
        <x:v>4.869400794451263</x:v>
      </x:c>
    </x:row>
    <x:row r="35">
      <x:c r="A35" s="8" t="n">
        <x:f>A34+1</x:f>
        <x:v>32</x:v>
      </x:c>
      <x:c r="B35" s="9" t="n">
        <x:f>A35*v01_SeasonSeconds/60</x:f>
        <x:v>8</x:v>
      </x:c>
      <x:c r="C35" s="9" t="n">
        <x:f>A35/4</x:f>
        <x:v>8</x:v>
      </x:c>
      <x:c r="D35" s="8" t="n">
        <x:f>IF(MOD(A35,4)=0,1,0)</x:f>
        <x:v>1</x:v>
      </x:c>
      <x:c r="E35" s="8" t="n">
        <x:f>IF(AND(F34&lt;=9,AS34&gt;=AR34),1,0)</x:f>
        <x:v>0</x:v>
      </x:c>
      <x:c r="F35" s="8" t="n">
        <x:f>MIN(10,F34+E35)</x:f>
        <x:v>0</x:v>
      </x:c>
      <x:c r="G35" s="8" t="n">
        <x:f>MIN(F35,9)+1</x:f>
        <x:v>1</x:v>
      </x:c>
      <x:c r="H35" s="8" t="n">
        <x:f>IF(F35&lt;=9,1,0)</x:f>
        <x:v>1</x:v>
      </x:c>
      <x:c r="I35" s="9" t="n">
        <x:f>MIN(10,F34+IF(AR34&gt;0,MIN(1,AS34/AR34),1))</x:f>
        <x:v>0.1253110893039573</x:v>
      </x:c>
      <x:c r="J35" s="32" t="n">
        <x:f>INDEX(v01_FoodCap,G35)*Arch_FoodCap*EXP(v01_CapsByProject*SUMPRODUCT((Cap_Point&lt;=I35)*(Cap_Kind="Food")*Cap_Ln))</x:f>
        <x:v>22</x:v>
      </x:c>
      <x:c r="K35" s="32" t="n">
        <x:f>J35*MIN(1,v01_LeanBase*EXP(v01_CapsByProject*SUMPRODUCT((Cap_Point&lt;=I35)*(Cap_Kind="Lean")*Cap_Ln)))</x:f>
        <x:v>22</x:v>
      </x:c>
      <x:c r="L35" s="10" t="n">
        <x:f>INDEX(v01_HousingCap,G35)*EXP(v01_CapsByProject*SUMPRODUCT((Cap_Point&lt;=I35)*(Cap_Kind="Housing")*Cap_Ln))</x:f>
        <x:v>60</x:v>
      </x:c>
      <x:c r="M35" s="10" t="n">
        <x:f>INDEX(v01_GroupCap,G35)*v01_CohesionFactor*EXP(v01_CapsByProject*SUMPRODUCT((Cap_Point&lt;=I35)*(Cap_Kind="Group")*Cap_Ln))</x:f>
        <x:v>35</x:v>
      </x:c>
      <x:c r="N35" s="32" t="n">
        <x:f>MIN(J35,L35,M35)</x:f>
        <x:v>22</x:v>
      </x:c>
      <x:c r="O35" s="10" t="n">
        <x:f>AE34*N35</x:f>
        <x:v>22</x:v>
      </x:c>
      <x:c r="P35" s="9" t="n">
        <x:f>MIN(1,(AB34/(AE34*IF(v01_GroupInCrowding=1,N35,MIN(J35,L35))))^v01_CrowdingExp)</x:f>
        <x:v>0.07185320256250612</x:v>
      </x:c>
      <x:c r="Q35" s="9" t="n">
        <x:f>IF(D35=1,INDEX(v01_WinterMult,G35),1)</x:f>
        <x:v>2</x:v>
      </x:c>
      <x:c r="R35" s="9" t="n">
        <x:f>H35*Z34*v01_WomenShare*v01_BaseFertility*INDEX(v01_FertMult,G35)*Arch_Fertility*(1-P35)</x:f>
        <x:v>0.19986243261059478</x:v>
      </x:c>
      <x:c r="S35" s="9" t="n">
        <x:f>H35*Y34*INDEX(v01_MortChild,G35)/4*Q35</x:f>
        <x:v>0.10089126473073616</x:v>
      </x:c>
      <x:c r="T35" s="9" t="n">
        <x:f>H35*Z34*INDEX(v01_MortAdult,G35)*Arch_AdultMort/4*Q35</x:f>
        <x:v>0.05383373437326721</x:v>
      </x:c>
      <x:c r="U35" s="9" t="n">
        <x:f>H35*AA34*INDEX(v01_MortElder,G35)/4*Q35</x:f>
        <x:v>0.098131956139864</x:v>
      </x:c>
      <x:c r="V35" s="9" t="n">
        <x:f>H35*MAX(0,AB34-O35)*v01_OvercapLoss</x:f>
        <x:v>0</x:v>
      </x:c>
      <x:c r="W35" s="9" t="n">
        <x:f>H35*Y34/(v01_ChildYears*4)</x:f>
        <x:v>0.09008148636672872</x:v>
      </x:c>
      <x:c r="X35" s="9" t="n">
        <x:f>H35*Z34/(v01_AdultYears*4)</x:f>
        <x:v>0.05788573588523356</x:v>
      </x:c>
      <x:c r="Y35" s="32" t="n">
        <x:f>Y34+R35-S35-W35-Y34*V35/AB34</x:f>
        <x:v>5.053452918049938</x:v>
      </x:c>
      <x:c r="Z35" s="32" t="n">
        <x:f>Z34+W35-X35-T35-Z34*V35/AB34</x:f>
        <x:v>7.15619326587719</x:v>
      </x:c>
      <x:c r="AA35" s="32" t="n">
        <x:f>AA34+X35-U35-AA34*V35/AB34</x:f>
        <x:v>1.9223929025426496</x:v>
      </x:c>
      <x:c r="AB35" s="10" t="n">
        <x:f>Y35+Z35+AA35</x:f>
        <x:v>14.132039086469776</x:v>
      </x:c>
      <x:c r="AC35" s="8" t="n">
        <x:f>IF(AND(v01_WinterTrigger=1,D35=1,AB34/AE34&gt;=K35),1,0)</x:f>
        <x:v>0</x:v>
      </x:c>
      <x:c r="AD35" s="8" t="n">
        <x:f>H35*IF(AND(OR(AB34/AE34&gt;=v01_FissionTrigger*N35,AC35=1),AB34/AE34*v01_DaughterShare&gt;=v01_MinDaughter),MAX(1,ROUND(AE34*v01_FissionRate,0)),0)</x:f>
        <x:v>0</x:v>
      </x:c>
      <x:c r="AE35" s="8" t="n">
        <x:f>IF(H35=1,MAX(1,MIN(INDEX(v01_Smax,G35),AE34+AD35)),AE34)</x:f>
        <x:v>1</x:v>
      </x:c>
      <x:c r="AF35" s="8" t="n">
        <x:f>MAX(0,AE35-AE34)</x:f>
        <x:v>0</x:v>
      </x:c>
      <x:c r="AG35" s="9" t="str">
        <x:f>IF(AF35&gt;0,B35,"")</x:f>
      </x:c>
      <x:c r="AH35" s="9" t="n">
        <x:f>IF(F35&gt;=1,1,(1+v01_LowTiesShare*(AE35-1))/AE35)</x:f>
        <x:v>1</x:v>
      </x:c>
      <x:c r="AI35" s="32" t="n">
        <x:f>(Z35+v01_ElderCommons*INDEX(LM_Elder,G35)*AA35)*AH35</x:f>
        <x:v>11.000979070962488</x:v>
      </x:c>
      <x:c r="AJ35" s="32" t="n">
        <x:f>H35*v01_CommonsCoef*AI35^v01_CommonsExp*INDEX(LM_Commons,G35)</x:f>
        <x:v>4.831302500406194</x:v>
      </x:c>
      <x:c r="AK35" s="32" t="n">
        <x:f>H35*v01_RoleScale*Arch_Roles*(AE35*(INDEX(v01_ElderRolePerSett,G35)*v01_OutElder*INDEX(LM_Elder,G35)+INDEX(v01_ShamanPerSett,G35)*v01_OutShaman)+Z35*(INDEX(v01_PriestShare,G35)*v01_OutPriest+INDEX(v01_ScribeShare,G35)*v01_OutScribe*INDEX(LM_Scribe,G35)+INDEX(v01_ScholarShare,G35)*v01_OutScholar*INDEX(LM_Scholar,G35)+INDEX(v01_ResearcherShare,G35)*v01_OutResearcher*INDEX(LM_Researcher,G35)))</x:f>
        <x:v>0</x:v>
      </x:c>
      <x:c r="AL35" s="32" t="n">
        <x:f>H35*v01_RoleScale*Arch_Roles*AE35*INDEX(v01_MonasteryPerSett,G35)*v01_OutMonastery*INDEX(LM_Monastery,G35)</x:f>
        <x:v>0</x:v>
      </x:c>
      <x:c r="AM35" s="32" t="n">
        <x:f>(AJ35+AK35+AL35)/4*INDEX(LM_All,G35)*INDEX(v01_Boon,G35)*Arch_Insight</x:f>
        <x:v>1.2078256251015485</x:v>
      </x:c>
      <x:c r="AN35" s="32" t="n">
        <x:f>H35*(v01_KHPerAdult*Z35+v01_KHOfCommons*AJ35/4*INDEX(LM_All,G35))*v01_KHUsable*Arch_KH</x:f>
        <x:v>0.25046676430570164</x:v>
      </x:c>
      <x:c r="AO35" s="32" t="n">
        <x:f>MIN(AP34+AN35,AM35*v01_KHMaxRatio)</x:f>
        <x:v>0.25046676430570164</x:v>
      </x:c>
      <x:c r="AP35" s="32" t="n">
        <x:f>AP34+AN35-AO35</x:f>
        <x:v>0</x:v>
      </x:c>
      <x:c r="AQ35" s="32" t="n">
        <x:f>AM35+AO35</x:f>
        <x:v>1.4582923894072501</x:v>
      </x:c>
      <x:c r="AR35" s="10" t="n">
        <x:f>IF(H35=1,INDEX(v01_Req,G35),0)</x:f>
        <x:v>372.02</x:v>
      </x:c>
      <x:c r="AS35" s="32" t="n">
        <x:f>IF(H35=1,IF(E35=1,AS34-AR34,AS34)+AQ35,0)</x:f>
        <x:v>48.07652383226544</x:v>
      </x:c>
      <x:c r="AT35" s="11" t="n">
        <x:f>IF(AR35&gt;0,MIN(1,AS35/AR35),1)</x:f>
        <x:v>0.129231019386768</x:v>
      </x:c>
      <x:c r="AU35" s="10" t="n">
        <x:f>AB35/INDEX(v01_RepScale,G35)</x:f>
        <x:v>14.132039086469776</x:v>
      </x:c>
      <x:c r="AV35" s="32" t="n">
        <x:f>AM35*60/v01_SeasonSeconds</x:f>
        <x:v>4.831302500406194</x:v>
      </x:c>
    </x:row>
    <x:row r="36">
      <x:c r="A36" s="8" t="n">
        <x:f>A35+1</x:f>
        <x:v>33</x:v>
      </x:c>
      <x:c r="B36" s="9" t="n">
        <x:f>A36*v01_SeasonSeconds/60</x:f>
        <x:v>8.25</x:v>
      </x:c>
      <x:c r="C36" s="9" t="n">
        <x:f>A36/4</x:f>
        <x:v>8.25</x:v>
      </x:c>
      <x:c r="D36" s="8" t="n">
        <x:f>IF(MOD(A36,4)=0,1,0)</x:f>
        <x:v>0</x:v>
      </x:c>
      <x:c r="E36" s="8" t="n">
        <x:f>IF(AND(F35&lt;=9,AS35&gt;=AR35),1,0)</x:f>
        <x:v>0</x:v>
      </x:c>
      <x:c r="F36" s="8" t="n">
        <x:f>MIN(10,F35+E36)</x:f>
        <x:v>0</x:v>
      </x:c>
      <x:c r="G36" s="8" t="n">
        <x:f>MIN(F36,9)+1</x:f>
        <x:v>1</x:v>
      </x:c>
      <x:c r="H36" s="8" t="n">
        <x:f>IF(F36&lt;=9,1,0)</x:f>
        <x:v>1</x:v>
      </x:c>
      <x:c r="I36" s="9" t="n">
        <x:f>MIN(10,F35+IF(AR35&gt;0,MIN(1,AS35/AR35),1))</x:f>
        <x:v>0.129231019386768</x:v>
      </x:c>
      <x:c r="J36" s="32" t="n">
        <x:f>INDEX(v01_FoodCap,G36)*Arch_FoodCap*EXP(v01_CapsByProject*SUMPRODUCT((Cap_Point&lt;=I36)*(Cap_Kind="Food")*Cap_Ln))</x:f>
        <x:v>22</x:v>
      </x:c>
      <x:c r="K36" s="32" t="n">
        <x:f>J36*MIN(1,v01_LeanBase*EXP(v01_CapsByProject*SUMPRODUCT((Cap_Point&lt;=I36)*(Cap_Kind="Lean")*Cap_Ln)))</x:f>
        <x:v>22</x:v>
      </x:c>
      <x:c r="L36" s="10" t="n">
        <x:f>INDEX(v01_HousingCap,G36)*EXP(v01_CapsByProject*SUMPRODUCT((Cap_Point&lt;=I36)*(Cap_Kind="Housing")*Cap_Ln))</x:f>
        <x:v>60</x:v>
      </x:c>
      <x:c r="M36" s="10" t="n">
        <x:f>INDEX(v01_GroupCap,G36)*v01_CohesionFactor*EXP(v01_CapsByProject*SUMPRODUCT((Cap_Point&lt;=I36)*(Cap_Kind="Group")*Cap_Ln))</x:f>
        <x:v>35</x:v>
      </x:c>
      <x:c r="N36" s="32" t="n">
        <x:f>MIN(J36,L36,M36)</x:f>
        <x:v>22</x:v>
      </x:c>
      <x:c r="O36" s="10" t="n">
        <x:f>AE35*N36</x:f>
        <x:v>22</x:v>
      </x:c>
      <x:c r="P36" s="9" t="n">
        <x:f>MIN(1,(AB35/(AE35*IF(v01_GroupInCrowding=1,N36,MIN(J36,L36))))^v01_CrowdingExp)</x:f>
        <x:v>0.07025753278129997</x:v>
      </x:c>
      <x:c r="Q36" s="9" t="n">
        <x:f>IF(D36=1,INDEX(v01_WinterMult,G36),1)</x:f>
        <x:v>1</x:v>
      </x:c>
      <x:c r="R36" s="9" t="n">
        <x:f>H36*Z35*v01_WomenShare*v01_BaseFertility*INDEX(v01_FertMult,G36)*Arch_Fertility*(1-P36)</x:f>
        <x:v>0.19960250348731515</x:v>
      </x:c>
      <x:c r="S36" s="9" t="n">
        <x:f>H36*Y35*INDEX(v01_MortChild,G36)/4*Q36</x:f>
        <x:v>0.05053452918049939</x:v>
      </x:c>
      <x:c r="T36" s="9" t="n">
        <x:f>H36*Z35*INDEX(v01_MortAdult,G36)*Arch_AdultMort/4*Q36</x:f>
        <x:v>0.02683572474703946</x:v>
      </x:c>
      <x:c r="U36" s="9" t="n">
        <x:f>H36*AA35*INDEX(v01_MortElder,G36)/4*Q36</x:f>
        <x:v>0.048059822563566244</x:v>
      </x:c>
      <x:c r="V36" s="9" t="n">
        <x:f>H36*MAX(0,AB35-O36)*v01_OvercapLoss</x:f>
        <x:v>0</x:v>
      </x:c>
      <x:c r="W36" s="9" t="n">
        <x:f>H36*Y35/(v01_ChildYears*4)</x:f>
        <x:v>0.09024023067946318</x:v>
      </x:c>
      <x:c r="X36" s="9" t="n">
        <x:f>H36*Z35/(v01_AdultYears*4)</x:f>
        <x:v>0.057711236015138626</x:v>
      </x:c>
      <x:c r="Y36" s="32" t="n">
        <x:f>Y35+R36-S36-W36-Y35*V36/AB35</x:f>
        <x:v>5.112280661677291</x:v>
      </x:c>
      <x:c r="Z36" s="32" t="n">
        <x:f>Z35+W36-X36-T36-Z35*V36/AB35</x:f>
        <x:v>7.161886535794475</x:v>
      </x:c>
      <x:c r="AA36" s="32" t="n">
        <x:f>AA35+X36-U36-AA35*V36/AB35</x:f>
        <x:v>1.932044315994222</x:v>
      </x:c>
      <x:c r="AB36" s="10" t="n">
        <x:f>Y36+Z36+AA36</x:f>
        <x:v>14.206211513465988</x:v>
      </x:c>
      <x:c r="AC36" s="8" t="n">
        <x:f>IF(AND(v01_WinterTrigger=1,D36=1,AB35/AE35&gt;=K36),1,0)</x:f>
        <x:v>0</x:v>
      </x:c>
      <x:c r="AD36" s="8" t="n">
        <x:f>H36*IF(AND(OR(AB35/AE35&gt;=v01_FissionTrigger*N36,AC36=1),AB35/AE35*v01_DaughterShare&gt;=v01_MinDaughter),MAX(1,ROUND(AE35*v01_FissionRate,0)),0)</x:f>
        <x:v>0</x:v>
      </x:c>
      <x:c r="AE36" s="8" t="n">
        <x:f>IF(H36=1,MAX(1,MIN(INDEX(v01_Smax,G36),AE35+AD36)),AE35)</x:f>
        <x:v>1</x:v>
      </x:c>
      <x:c r="AF36" s="8" t="n">
        <x:f>MAX(0,AE36-AE35)</x:f>
        <x:v>0</x:v>
      </x:c>
      <x:c r="AG36" s="9" t="str">
        <x:f>IF(AF36&gt;0,B36,"")</x:f>
      </x:c>
      <x:c r="AH36" s="9" t="n">
        <x:f>IF(F36&gt;=1,1,(1+v01_LowTiesShare*(AE36-1))/AE36)</x:f>
        <x:v>1</x:v>
      </x:c>
      <x:c r="AI36" s="32" t="n">
        <x:f>(Z36+v01_ElderCommons*INDEX(LM_Elder,G36)*AA36)*AH36</x:f>
        <x:v>11.025975167782919</x:v>
      </x:c>
      <x:c r="AJ36" s="32" t="n">
        <x:f>H36*v01_CommonsCoef*AI36^v01_CommonsExp*INDEX(LM_Commons,G36)</x:f>
        <x:v>4.840631822018276</x:v>
      </x:c>
      <x:c r="AK36" s="32" t="n">
        <x:f>H36*v01_RoleScale*Arch_Roles*(AE36*(INDEX(v01_ElderRolePerSett,G36)*v01_OutElder*INDEX(LM_Elder,G36)+INDEX(v01_ShamanPerSett,G36)*v01_OutShaman)+Z36*(INDEX(v01_PriestShare,G36)*v01_OutPriest+INDEX(v01_ScribeShare,G36)*v01_OutScribe*INDEX(LM_Scribe,G36)+INDEX(v01_ScholarShare,G36)*v01_OutScholar*INDEX(LM_Scholar,G36)+INDEX(v01_ResearcherShare,G36)*v01_OutResearcher*INDEX(LM_Researcher,G36)))</x:f>
        <x:v>0</x:v>
      </x:c>
      <x:c r="AL36" s="32" t="n">
        <x:f>H36*v01_RoleScale*Arch_Roles*AE36*INDEX(v01_MonasteryPerSett,G36)*v01_OutMonastery*INDEX(LM_Monastery,G36)</x:f>
        <x:v>0</x:v>
      </x:c>
      <x:c r="AM36" s="32" t="n">
        <x:f>(AJ36+AK36+AL36)/4*INDEX(LM_All,G36)*INDEX(v01_Boon,G36)*Arch_Insight</x:f>
        <x:v>1.210157955504569</x:v>
      </x:c>
      <x:c r="AN36" s="32" t="n">
        <x:f>H36*(v01_KHPerAdult*Z36+v01_KHOfCommons*AJ36/4*INDEX(LM_All,G36))*v01_KHUsable*Arch_KH</x:f>
        <x:v>0.25066602875280664</x:v>
      </x:c>
      <x:c r="AO36" s="32" t="n">
        <x:f>MIN(AP35+AN36,AM36*v01_KHMaxRatio)</x:f>
        <x:v>0.25066602875280664</x:v>
      </x:c>
      <x:c r="AP36" s="32" t="n">
        <x:f>AP35+AN36-AO36</x:f>
        <x:v>0</x:v>
      </x:c>
      <x:c r="AQ36" s="32" t="n">
        <x:f>AM36+AO36</x:f>
        <x:v>1.4608239842573756</x:v>
      </x:c>
      <x:c r="AR36" s="10" t="n">
        <x:f>IF(H36=1,INDEX(v01_Req,G36),0)</x:f>
        <x:v>372.02</x:v>
      </x:c>
      <x:c r="AS36" s="32" t="n">
        <x:f>IF(H36=1,IF(E36=1,AS35-AR35,AS35)+AQ36,0)</x:f>
        <x:v>49.53734781652281</x:v>
      </x:c>
      <x:c r="AT36" s="11" t="n">
        <x:f>IF(AR36&gt;0,MIN(1,AS36/AR36),1)</x:f>
        <x:v>0.13315775446621905</x:v>
      </x:c>
      <x:c r="AU36" s="10" t="n">
        <x:f>AB36/INDEX(v01_RepScale,G36)</x:f>
        <x:v>14.206211513465988</x:v>
      </x:c>
      <x:c r="AV36" s="32" t="n">
        <x:f>AM36*60/v01_SeasonSeconds</x:f>
        <x:v>4.840631822018276</x:v>
      </x:c>
    </x:row>
    <x:row r="37">
      <x:c r="A37" s="8" t="n">
        <x:f>A36+1</x:f>
        <x:v>34</x:v>
      </x:c>
      <x:c r="B37" s="9" t="n">
        <x:f>A37*v01_SeasonSeconds/60</x:f>
        <x:v>8.5</x:v>
      </x:c>
      <x:c r="C37" s="9" t="n">
        <x:f>A37/4</x:f>
        <x:v>8.5</x:v>
      </x:c>
      <x:c r="D37" s="8" t="n">
        <x:f>IF(MOD(A37,4)=0,1,0)</x:f>
        <x:v>0</x:v>
      </x:c>
      <x:c r="E37" s="8" t="n">
        <x:f>IF(AND(F36&lt;=9,AS36&gt;=AR36),1,0)</x:f>
        <x:v>0</x:v>
      </x:c>
      <x:c r="F37" s="8" t="n">
        <x:f>MIN(10,F36+E37)</x:f>
        <x:v>0</x:v>
      </x:c>
      <x:c r="G37" s="8" t="n">
        <x:f>MIN(F37,9)+1</x:f>
        <x:v>1</x:v>
      </x:c>
      <x:c r="H37" s="8" t="n">
        <x:f>IF(F37&lt;=9,1,0)</x:f>
        <x:v>1</x:v>
      </x:c>
      <x:c r="I37" s="9" t="n">
        <x:f>MIN(10,F36+IF(AR36&gt;0,MIN(1,AS36/AR36),1))</x:f>
        <x:v>0.13315775446621905</x:v>
      </x:c>
      <x:c r="J37" s="32" t="n">
        <x:f>INDEX(v01_FoodCap,G37)*Arch_FoodCap*EXP(v01_CapsByProject*SUMPRODUCT((Cap_Point&lt;=I37)*(Cap_Kind="Food")*Cap_Ln))</x:f>
        <x:v>22</x:v>
      </x:c>
      <x:c r="K37" s="32" t="n">
        <x:f>J37*MIN(1,v01_LeanBase*EXP(v01_CapsByProject*SUMPRODUCT((Cap_Point&lt;=I37)*(Cap_Kind="Lean")*Cap_Ln)))</x:f>
        <x:v>22</x:v>
      </x:c>
      <x:c r="L37" s="10" t="n">
        <x:f>INDEX(v01_HousingCap,G37)*EXP(v01_CapsByProject*SUMPRODUCT((Cap_Point&lt;=I37)*(Cap_Kind="Housing")*Cap_Ln))</x:f>
        <x:v>60</x:v>
      </x:c>
      <x:c r="M37" s="10" t="n">
        <x:f>INDEX(v01_GroupCap,G37)*v01_CohesionFactor*EXP(v01_CapsByProject*SUMPRODUCT((Cap_Point&lt;=I37)*(Cap_Kind="Group")*Cap_Ln))</x:f>
        <x:v>35</x:v>
      </x:c>
      <x:c r="N37" s="32" t="n">
        <x:f>MIN(J37,L37,M37)</x:f>
        <x:v>22</x:v>
      </x:c>
      <x:c r="O37" s="10" t="n">
        <x:f>AE36*N37</x:f>
        <x:v>22</x:v>
      </x:c>
      <x:c r="P37" s="9" t="n">
        <x:f>MIN(1,(AB36/(AE36*IF(v01_GroupInCrowding=1,N37,MIN(J37,L37))))^v01_CrowdingExp)</x:f>
        <x:v>0.07249926006156199</x:v>
      </x:c>
      <x:c r="Q37" s="9" t="n">
        <x:f>IF(D37=1,INDEX(v01_WinterMult,G37),1)</x:f>
        <x:v>1</x:v>
      </x:c>
      <x:c r="R37" s="9" t="n">
        <x:f>H37*Z36*v01_WomenShare*v01_BaseFertility*INDEX(v01_FertMult,G37)*Arch_Fertility*(1-P37)</x:f>
        <x:v>0.19927965183913537</x:v>
      </x:c>
      <x:c r="S37" s="9" t="n">
        <x:f>H37*Y36*INDEX(v01_MortChild,G37)/4*Q37</x:f>
        <x:v>0.05112280661677291</x:v>
      </x:c>
      <x:c r="T37" s="9" t="n">
        <x:f>H37*Z36*INDEX(v01_MortAdult,G37)*Arch_AdultMort/4*Q37</x:f>
        <x:v>0.026857074509229282</x:v>
      </x:c>
      <x:c r="U37" s="9" t="n">
        <x:f>H37*AA36*INDEX(v01_MortElder,G37)/4*Q37</x:f>
        <x:v>0.048301107899855554</x:v>
      </x:c>
      <x:c r="V37" s="9" t="n">
        <x:f>H37*MAX(0,AB36-O37)*v01_OvercapLoss</x:f>
        <x:v>0</x:v>
      </x:c>
      <x:c r="W37" s="9" t="n">
        <x:f>H37*Y36/(v01_ChildYears*4)</x:f>
        <x:v>0.0912907261013802</x:v>
      </x:c>
      <x:c r="X37" s="9" t="n">
        <x:f>H37*Z36/(v01_AdultYears*4)</x:f>
        <x:v>0.05775714948221351</x:v>
      </x:c>
      <x:c r="Y37" s="32" t="n">
        <x:f>Y36+R37-S37-W37-Y36*V37/AB36</x:f>
        <x:v>5.169146780798274</x:v>
      </x:c>
      <x:c r="Z37" s="32" t="n">
        <x:f>Z36+W37-X37-T37-Z36*V37/AB36</x:f>
        <x:v>7.168563037904412</x:v>
      </x:c>
      <x:c r="AA37" s="32" t="n">
        <x:f>AA36+X37-U37-AA36*V37/AB36</x:f>
        <x:v>1.94150035757658</x:v>
      </x:c>
      <x:c r="AB37" s="10" t="n">
        <x:f>Y37+Z37+AA37</x:f>
        <x:v>14.279210176279264</x:v>
      </x:c>
      <x:c r="AC37" s="8" t="n">
        <x:f>IF(AND(v01_WinterTrigger=1,D37=1,AB36/AE36&gt;=K37),1,0)</x:f>
        <x:v>0</x:v>
      </x:c>
      <x:c r="AD37" s="8" t="n">
        <x:f>H37*IF(AND(OR(AB36/AE36&gt;=v01_FissionTrigger*N37,AC37=1),AB36/AE36*v01_DaughterShare&gt;=v01_MinDaughter),MAX(1,ROUND(AE36*v01_FissionRate,0)),0)</x:f>
        <x:v>0</x:v>
      </x:c>
      <x:c r="AE37" s="8" t="n">
        <x:f>IF(H37=1,MAX(1,MIN(INDEX(v01_Smax,G37),AE36+AD37)),AE36)</x:f>
        <x:v>1</x:v>
      </x:c>
      <x:c r="AF37" s="8" t="n">
        <x:f>MAX(0,AE37-AE36)</x:f>
        <x:v>0</x:v>
      </x:c>
      <x:c r="AG37" s="9" t="str">
        <x:f>IF(AF37&gt;0,B37,"")</x:f>
      </x:c>
      <x:c r="AH37" s="9" t="n">
        <x:f>IF(F37&gt;=1,1,(1+v01_LowTiesShare*(AE37-1))/AE37)</x:f>
        <x:v>1</x:v>
      </x:c>
      <x:c r="AI37" s="32" t="n">
        <x:f>(Z37+v01_ElderCommons*INDEX(LM_Elder,G37)*AA37)*AH37</x:f>
        <x:v>11.051563753057572</x:v>
      </x:c>
      <x:c r="AJ37" s="32" t="n">
        <x:f>H37*v01_CommonsCoef*AI37^v01_CommonsExp*INDEX(LM_Commons,G37)</x:f>
        <x:v>4.8501789932421575</x:v>
      </x:c>
      <x:c r="AK37" s="32" t="n">
        <x:f>H37*v01_RoleScale*Arch_Roles*(AE37*(INDEX(v01_ElderRolePerSett,G37)*v01_OutElder*INDEX(LM_Elder,G37)+INDEX(v01_ShamanPerSett,G37)*v01_OutShaman)+Z37*(INDEX(v01_PriestShare,G37)*v01_OutPriest+INDEX(v01_ScribeShare,G37)*v01_OutScribe*INDEX(LM_Scribe,G37)+INDEX(v01_ScholarShare,G37)*v01_OutScholar*INDEX(LM_Scholar,G37)+INDEX(v01_ResearcherShare,G37)*v01_OutResearcher*INDEX(LM_Researcher,G37)))</x:f>
        <x:v>0</x:v>
      </x:c>
      <x:c r="AL37" s="32" t="n">
        <x:f>H37*v01_RoleScale*Arch_Roles*AE37*INDEX(v01_MonasteryPerSett,G37)*v01_OutMonastery*INDEX(LM_Monastery,G37)</x:f>
        <x:v>0</x:v>
      </x:c>
      <x:c r="AM37" s="32" t="n">
        <x:f>(AJ37+AK37+AL37)/4*INDEX(LM_All,G37)*INDEX(v01_Boon,G37)*Arch_Insight</x:f>
        <x:v>1.2125447483105394</x:v>
      </x:c>
      <x:c r="AN37" s="32" t="n">
        <x:f>H37*(v01_KHPerAdult*Z37+v01_KHOfCommons*AJ37/4*INDEX(LM_All,G37))*v01_KHUsable*Arch_KH</x:f>
        <x:v>0.2508997063266544</x:v>
      </x:c>
      <x:c r="AO37" s="32" t="n">
        <x:f>MIN(AP36+AN37,AM37*v01_KHMaxRatio)</x:f>
        <x:v>0.2508997063266544</x:v>
      </x:c>
      <x:c r="AP37" s="32" t="n">
        <x:f>AP36+AN37-AO37</x:f>
        <x:v>0</x:v>
      </x:c>
      <x:c r="AQ37" s="32" t="n">
        <x:f>AM37+AO37</x:f>
        <x:v>1.4634444546371939</x:v>
      </x:c>
      <x:c r="AR37" s="10" t="n">
        <x:f>IF(H37=1,INDEX(v01_Req,G37),0)</x:f>
        <x:v>372.02</x:v>
      </x:c>
      <x:c r="AS37" s="32" t="n">
        <x:f>IF(H37=1,IF(E37=1,AS36-AR36,AS36)+AQ37,0)</x:f>
        <x:v>51.00079227116</x:v>
      </x:c>
      <x:c r="AT37" s="11" t="n">
        <x:f>IF(AR37&gt;0,MIN(1,AS37/AR37),1)</x:f>
        <x:v>0.13709153344218053</x:v>
      </x:c>
      <x:c r="AU37" s="10" t="n">
        <x:f>AB37/INDEX(v01_RepScale,G37)</x:f>
        <x:v>14.279210176279264</x:v>
      </x:c>
      <x:c r="AV37" s="32" t="n">
        <x:f>AM37*60/v01_SeasonSeconds</x:f>
        <x:v>4.8501789932421575</x:v>
      </x:c>
    </x:row>
    <x:row r="38">
      <x:c r="A38" s="8" t="n">
        <x:f>A37+1</x:f>
        <x:v>35</x:v>
      </x:c>
      <x:c r="B38" s="9" t="n">
        <x:f>A38*v01_SeasonSeconds/60</x:f>
        <x:v>8.75</x:v>
      </x:c>
      <x:c r="C38" s="9" t="n">
        <x:f>A38/4</x:f>
        <x:v>8.75</x:v>
      </x:c>
      <x:c r="D38" s="8" t="n">
        <x:f>IF(MOD(A38,4)=0,1,0)</x:f>
        <x:v>0</x:v>
      </x:c>
      <x:c r="E38" s="8" t="n">
        <x:f>IF(AND(F37&lt;=9,AS37&gt;=AR37),1,0)</x:f>
        <x:v>0</x:v>
      </x:c>
      <x:c r="F38" s="8" t="n">
        <x:f>MIN(10,F37+E38)</x:f>
        <x:v>0</x:v>
      </x:c>
      <x:c r="G38" s="8" t="n">
        <x:f>MIN(F38,9)+1</x:f>
        <x:v>1</x:v>
      </x:c>
      <x:c r="H38" s="8" t="n">
        <x:f>IF(F38&lt;=9,1,0)</x:f>
        <x:v>1</x:v>
      </x:c>
      <x:c r="I38" s="9" t="n">
        <x:f>MIN(10,F37+IF(AR37&gt;0,MIN(1,AS37/AR37),1))</x:f>
        <x:v>0.13709153344218053</x:v>
      </x:c>
      <x:c r="J38" s="32" t="n">
        <x:f>INDEX(v01_FoodCap,G38)*Arch_FoodCap*EXP(v01_CapsByProject*SUMPRODUCT((Cap_Point&lt;=I38)*(Cap_Kind="Food")*Cap_Ln))</x:f>
        <x:v>22</x:v>
      </x:c>
      <x:c r="K38" s="32" t="n">
        <x:f>J38*MIN(1,v01_LeanBase*EXP(v01_CapsByProject*SUMPRODUCT((Cap_Point&lt;=I38)*(Cap_Kind="Lean")*Cap_Ln)))</x:f>
        <x:v>22</x:v>
      </x:c>
      <x:c r="L38" s="10" t="n">
        <x:f>INDEX(v01_HousingCap,G38)*EXP(v01_CapsByProject*SUMPRODUCT((Cap_Point&lt;=I38)*(Cap_Kind="Housing")*Cap_Ln))</x:f>
        <x:v>60</x:v>
      </x:c>
      <x:c r="M38" s="10" t="n">
        <x:f>INDEX(v01_GroupCap,G38)*v01_CohesionFactor*EXP(v01_CapsByProject*SUMPRODUCT((Cap_Point&lt;=I38)*(Cap_Kind="Group")*Cap_Ln))</x:f>
        <x:v>35</x:v>
      </x:c>
      <x:c r="N38" s="32" t="n">
        <x:f>MIN(J38,L38,M38)</x:f>
        <x:v>22</x:v>
      </x:c>
      <x:c r="O38" s="10" t="n">
        <x:f>AE37*N38</x:f>
        <x:v>22</x:v>
      </x:c>
      <x:c r="P38" s="9" t="n">
        <x:f>MIN(1,(AB37/(AE37*IF(v01_GroupInCrowding=1,N38,MIN(J38,L38))))^v01_CrowdingExp)</x:f>
        <x:v>0.07476339790646717</x:v>
      </x:c>
      <x:c r="Q38" s="9" t="n">
        <x:f>IF(D38=1,INDEX(v01_WinterMult,G38),1)</x:f>
        <x:v>1</x:v>
      </x:c>
      <x:c r="R38" s="9" t="n">
        <x:f>H38*Z37*v01_WomenShare*v01_BaseFertility*INDEX(v01_FertMult,G38)*Arch_Fertility*(1-P38)</x:f>
        <x:v>0.19897850721251914</x:v>
      </x:c>
      <x:c r="S38" s="9" t="n">
        <x:f>H38*Y37*INDEX(v01_MortChild,G38)/4*Q38</x:f>
        <x:v>0.051691467807982734</x:v>
      </x:c>
      <x:c r="T38" s="9" t="n">
        <x:f>H38*Z37*INDEX(v01_MortAdult,G38)*Arch_AdultMort/4*Q38</x:f>
        <x:v>0.026882111392141545</x:v>
      </x:c>
      <x:c r="U38" s="9" t="n">
        <x:f>H38*AA37*INDEX(v01_MortElder,G38)/4*Q38</x:f>
        <x:v>0.0485375089394145</x:v>
      </x:c>
      <x:c r="V38" s="9" t="n">
        <x:f>H38*MAX(0,AB37-O38)*v01_OvercapLoss</x:f>
        <x:v>0</x:v>
      </x:c>
      <x:c r="W38" s="9" t="n">
        <x:f>H38*Y37/(v01_ChildYears*4)</x:f>
        <x:v>0.09230619251425488</x:v>
      </x:c>
      <x:c r="X38" s="9" t="n">
        <x:f>H38*Z37/(v01_AdultYears*4)</x:f>
        <x:v>0.057810992241164615</x:v>
      </x:c>
      <x:c r="Y38" s="32" t="n">
        <x:f>Y37+R38-S38-W38-Y37*V38/AB37</x:f>
        <x:v>5.2241276276885555</x:v>
      </x:c>
      <x:c r="Z38" s="32" t="n">
        <x:f>Z37+W38-X38-T38-Z37*V38/AB37</x:f>
        <x:v>7.176176126785361</x:v>
      </x:c>
      <x:c r="AA38" s="32" t="n">
        <x:f>AA37+X38-U38-AA37*V38/AB37</x:f>
        <x:v>1.9507738408783302</x:v>
      </x:c>
      <x:c r="AB38" s="10" t="n">
        <x:f>Y38+Z38+AA38</x:f>
        <x:v>14.351077595352248</x:v>
      </x:c>
      <x:c r="AC38" s="8" t="n">
        <x:f>IF(AND(v01_WinterTrigger=1,D38=1,AB37/AE37&gt;=K38),1,0)</x:f>
        <x:v>0</x:v>
      </x:c>
      <x:c r="AD38" s="8" t="n">
        <x:f>H38*IF(AND(OR(AB37/AE37&gt;=v01_FissionTrigger*N38,AC38=1),AB37/AE37*v01_DaughterShare&gt;=v01_MinDaughter),MAX(1,ROUND(AE37*v01_FissionRate,0)),0)</x:f>
        <x:v>0</x:v>
      </x:c>
      <x:c r="AE38" s="8" t="n">
        <x:f>IF(H38=1,MAX(1,MIN(INDEX(v01_Smax,G38),AE37+AD38)),AE37)</x:f>
        <x:v>1</x:v>
      </x:c>
      <x:c r="AF38" s="8" t="n">
        <x:f>MAX(0,AE38-AE37)</x:f>
        <x:v>0</x:v>
      </x:c>
      <x:c r="AG38" s="9" t="str">
        <x:f>IF(AF38&gt;0,B38,"")</x:f>
      </x:c>
      <x:c r="AH38" s="9" t="n">
        <x:f>IF(F38&gt;=1,1,(1+v01_LowTiesShare*(AE38-1))/AE38)</x:f>
        <x:v>1</x:v>
      </x:c>
      <x:c r="AI38" s="32" t="n">
        <x:f>(Z38+v01_ElderCommons*INDEX(LM_Elder,G38)*AA38)*AH38</x:f>
        <x:v>11.077723808542022</x:v>
      </x:c>
      <x:c r="AJ38" s="32" t="n">
        <x:f>H38*v01_CommonsCoef*AI38^v01_CommonsExp*INDEX(LM_Commons,G38)</x:f>
        <x:v>4.8599359545195675</x:v>
      </x:c>
      <x:c r="AK38" s="32" t="n">
        <x:f>H38*v01_RoleScale*Arch_Roles*(AE38*(INDEX(v01_ElderRolePerSett,G38)*v01_OutElder*INDEX(LM_Elder,G38)+INDEX(v01_ShamanPerSett,G38)*v01_OutShaman)+Z38*(INDEX(v01_PriestShare,G38)*v01_OutPriest+INDEX(v01_ScribeShare,G38)*v01_OutScribe*INDEX(LM_Scribe,G38)+INDEX(v01_ScholarShare,G38)*v01_OutScholar*INDEX(LM_Scholar,G38)+INDEX(v01_ResearcherShare,G38)*v01_OutResearcher*INDEX(LM_Researcher,G38)))</x:f>
        <x:v>0</x:v>
      </x:c>
      <x:c r="AL38" s="32" t="n">
        <x:f>H38*v01_RoleScale*Arch_Roles*AE38*INDEX(v01_MonasteryPerSett,G38)*v01_OutMonastery*INDEX(LM_Monastery,G38)</x:f>
        <x:v>0</x:v>
      </x:c>
      <x:c r="AM38" s="32" t="n">
        <x:f>(AJ38+AK38+AL38)/4*INDEX(LM_All,G38)*INDEX(v01_Boon,G38)*Arch_Insight</x:f>
        <x:v>1.2149839886298919</x:v>
      </x:c>
      <x:c r="AN38" s="32" t="n">
        <x:f>H38*(v01_KHPerAdult*Z38+v01_KHOfCommons*AJ38/4*INDEX(LM_All,G38))*v01_KHUsable*Arch_KH</x:f>
        <x:v>0.2511661644374876</x:v>
      </x:c>
      <x:c r="AO38" s="32" t="n">
        <x:f>MIN(AP37+AN38,AM38*v01_KHMaxRatio)</x:f>
        <x:v>0.2511661644374876</x:v>
      </x:c>
      <x:c r="AP38" s="32" t="n">
        <x:f>AP37+AN38-AO38</x:f>
        <x:v>0</x:v>
      </x:c>
      <x:c r="AQ38" s="32" t="n">
        <x:f>AM38+AO38</x:f>
        <x:v>1.4661501530673795</x:v>
      </x:c>
      <x:c r="AR38" s="10" t="n">
        <x:f>IF(H38=1,INDEX(v01_Req,G38),0)</x:f>
        <x:v>372.02</x:v>
      </x:c>
      <x:c r="AS38" s="32" t="n">
        <x:f>IF(H38=1,IF(E38=1,AS37-AR37,AS37)+AQ38,0)</x:f>
        <x:v>52.46694242422738</x:v>
      </x:c>
      <x:c r="AT38" s="11" t="n">
        <x:f>IF(AR38&gt;0,MIN(1,AS38/AR38),1)</x:f>
        <x:v>0.1410325854099978</x:v>
      </x:c>
      <x:c r="AU38" s="10" t="n">
        <x:f>AB38/INDEX(v01_RepScale,G38)</x:f>
        <x:v>14.351077595352248</x:v>
      </x:c>
      <x:c r="AV38" s="32" t="n">
        <x:f>AM38*60/v01_SeasonSeconds</x:f>
        <x:v>4.8599359545195675</x:v>
      </x:c>
    </x:row>
    <x:row r="39">
      <x:c r="A39" s="8" t="n">
        <x:f>A38+1</x:f>
        <x:v>36</x:v>
      </x:c>
      <x:c r="B39" s="9" t="n">
        <x:f>A39*v01_SeasonSeconds/60</x:f>
        <x:v>9</x:v>
      </x:c>
      <x:c r="C39" s="9" t="n">
        <x:f>A39/4</x:f>
        <x:v>9</x:v>
      </x:c>
      <x:c r="D39" s="8" t="n">
        <x:f>IF(MOD(A39,4)=0,1,0)</x:f>
        <x:v>1</x:v>
      </x:c>
      <x:c r="E39" s="8" t="n">
        <x:f>IF(AND(F38&lt;=9,AS38&gt;=AR38),1,0)</x:f>
        <x:v>0</x:v>
      </x:c>
      <x:c r="F39" s="8" t="n">
        <x:f>MIN(10,F38+E39)</x:f>
        <x:v>0</x:v>
      </x:c>
      <x:c r="G39" s="8" t="n">
        <x:f>MIN(F39,9)+1</x:f>
        <x:v>1</x:v>
      </x:c>
      <x:c r="H39" s="8" t="n">
        <x:f>IF(F39&lt;=9,1,0)</x:f>
        <x:v>1</x:v>
      </x:c>
      <x:c r="I39" s="9" t="n">
        <x:f>MIN(10,F38+IF(AR38&gt;0,MIN(1,AS38/AR38),1))</x:f>
        <x:v>0.1410325854099978</x:v>
      </x:c>
      <x:c r="J39" s="32" t="n">
        <x:f>INDEX(v01_FoodCap,G39)*Arch_FoodCap*EXP(v01_CapsByProject*SUMPRODUCT((Cap_Point&lt;=I39)*(Cap_Kind="Food")*Cap_Ln))</x:f>
        <x:v>22</x:v>
      </x:c>
      <x:c r="K39" s="32" t="n">
        <x:f>J39*MIN(1,v01_LeanBase*EXP(v01_CapsByProject*SUMPRODUCT((Cap_Point&lt;=I39)*(Cap_Kind="Lean")*Cap_Ln)))</x:f>
        <x:v>22</x:v>
      </x:c>
      <x:c r="L39" s="10" t="n">
        <x:f>INDEX(v01_HousingCap,G39)*EXP(v01_CapsByProject*SUMPRODUCT((Cap_Point&lt;=I39)*(Cap_Kind="Housing")*Cap_Ln))</x:f>
        <x:v>60</x:v>
      </x:c>
      <x:c r="M39" s="10" t="n">
        <x:f>INDEX(v01_GroupCap,G39)*v01_CohesionFactor*EXP(v01_CapsByProject*SUMPRODUCT((Cap_Point&lt;=I39)*(Cap_Kind="Group")*Cap_Ln))</x:f>
        <x:v>35</x:v>
      </x:c>
      <x:c r="N39" s="32" t="n">
        <x:f>MIN(J39,L39,M39)</x:f>
        <x:v>22</x:v>
      </x:c>
      <x:c r="O39" s="10" t="n">
        <x:f>AE38*N39</x:f>
        <x:v>22</x:v>
      </x:c>
      <x:c r="P39" s="9" t="n">
        <x:f>MIN(1,(AB38/(AE38*IF(v01_GroupInCrowding=1,N39,MIN(J39,L39))))^v01_CrowdingExp)</x:f>
        <x:v>0.07704970689466394</x:v>
      </x:c>
      <x:c r="Q39" s="9" t="n">
        <x:f>IF(D39=1,INDEX(v01_WinterMult,G39),1)</x:f>
        <x:v>2</x:v>
      </x:c>
      <x:c r="R39" s="9" t="n">
        <x:f>H39*Z38*v01_WomenShare*v01_BaseFertility*INDEX(v01_FertMult,G39)*Arch_Fertility*(1-P39)</x:f>
        <x:v>0.1986976157877619</x:v>
      </x:c>
      <x:c r="S39" s="9" t="n">
        <x:f>H39*Y38*INDEX(v01_MortChild,G39)/4*Q39</x:f>
        <x:v>0.10448255255377112</x:v>
      </x:c>
      <x:c r="T39" s="9" t="n">
        <x:f>H39*Z38*INDEX(v01_MortAdult,G39)*Arch_AdultMort/4*Q39</x:f>
        <x:v>0.053821320950890206</x:v>
      </x:c>
      <x:c r="U39" s="9" t="n">
        <x:f>H39*AA38*INDEX(v01_MortElder,G39)/4*Q39</x:f>
        <x:v>0.09753869204391652</x:v>
      </x:c>
      <x:c r="V39" s="9" t="n">
        <x:f>H39*MAX(0,AB38-O39)*v01_OvercapLoss</x:f>
        <x:v>0</x:v>
      </x:c>
      <x:c r="W39" s="9" t="n">
        <x:f>H39*Y38/(v01_ChildYears*4)</x:f>
        <x:v>0.09328799335158135</x:v>
      </x:c>
      <x:c r="X39" s="9" t="n">
        <x:f>H39*Z38/(v01_AdultYears*4)</x:f>
        <x:v>0.05787238811923678</x:v>
      </x:c>
      <x:c r="Y39" s="32" t="n">
        <x:f>Y38+R39-S39-W39-Y38*V39/AB38</x:f>
        <x:v>5.2250546975709655</x:v>
      </x:c>
      <x:c r="Z39" s="32" t="n">
        <x:f>Z38+W39-X39-T39-Z38*V39/AB38</x:f>
        <x:v>7.157770411066815</x:v>
      </x:c>
      <x:c r="AA39" s="32" t="n">
        <x:f>AA38+X39-U39-AA38*V39/AB38</x:f>
        <x:v>1.9111075369536503</x:v>
      </x:c>
      <x:c r="AB39" s="10" t="n">
        <x:f>Y39+Z39+AA39</x:f>
        <x:v>14.293932645591433</x:v>
      </x:c>
      <x:c r="AC39" s="8" t="n">
        <x:f>IF(AND(v01_WinterTrigger=1,D39=1,AB38/AE38&gt;=K39),1,0)</x:f>
        <x:v>0</x:v>
      </x:c>
      <x:c r="AD39" s="8" t="n">
        <x:f>H39*IF(AND(OR(AB38/AE38&gt;=v01_FissionTrigger*N39,AC39=1),AB38/AE38*v01_DaughterShare&gt;=v01_MinDaughter),MAX(1,ROUND(AE38*v01_FissionRate,0)),0)</x:f>
        <x:v>0</x:v>
      </x:c>
      <x:c r="AE39" s="8" t="n">
        <x:f>IF(H39=1,MAX(1,MIN(INDEX(v01_Smax,G39),AE38+AD39)),AE38)</x:f>
        <x:v>1</x:v>
      </x:c>
      <x:c r="AF39" s="8" t="n">
        <x:f>MAX(0,AE39-AE38)</x:f>
        <x:v>0</x:v>
      </x:c>
      <x:c r="AG39" s="9" t="str">
        <x:f>IF(AF39&gt;0,B39,"")</x:f>
      </x:c>
      <x:c r="AH39" s="9" t="n">
        <x:f>IF(F39&gt;=1,1,(1+v01_LowTiesShare*(AE39-1))/AE39)</x:f>
        <x:v>1</x:v>
      </x:c>
      <x:c r="AI39" s="32" t="n">
        <x:f>(Z39+v01_ElderCommons*INDEX(LM_Elder,G39)*AA39)*AH39</x:f>
        <x:v>10.979985484974115</x:v>
      </x:c>
      <x:c r="AJ39" s="32" t="n">
        <x:f>H39*v01_CommonsCoef*AI39^v01_CommonsExp*INDEX(LM_Commons,G39)</x:f>
        <x:v>4.823464583665598</x:v>
      </x:c>
      <x:c r="AK39" s="32" t="n">
        <x:f>H39*v01_RoleScale*Arch_Roles*(AE39*(INDEX(v01_ElderRolePerSett,G39)*v01_OutElder*INDEX(LM_Elder,G39)+INDEX(v01_ShamanPerSett,G39)*v01_OutShaman)+Z39*(INDEX(v01_PriestShare,G39)*v01_OutPriest+INDEX(v01_ScribeShare,G39)*v01_OutScribe*INDEX(LM_Scribe,G39)+INDEX(v01_ScholarShare,G39)*v01_OutScholar*INDEX(LM_Scholar,G39)+INDEX(v01_ResearcherShare,G39)*v01_OutResearcher*INDEX(LM_Researcher,G39)))</x:f>
        <x:v>0</x:v>
      </x:c>
      <x:c r="AL39" s="32" t="n">
        <x:f>H39*v01_RoleScale*Arch_Roles*AE39*INDEX(v01_MonasteryPerSett,G39)*v01_OutMonastery*INDEX(LM_Monastery,G39)</x:f>
        <x:v>0</x:v>
      </x:c>
      <x:c r="AM39" s="32" t="n">
        <x:f>(AJ39+AK39+AL39)/4*INDEX(LM_All,G39)*INDEX(v01_Boon,G39)*Arch_Insight</x:f>
        <x:v>1.2058661459163995</x:v>
      </x:c>
      <x:c r="AN39" s="32" t="n">
        <x:f>H39*(v01_KHPerAdult*Z39+v01_KHOfCommons*AJ39/4*INDEX(LM_All,G39))*v01_KHUsable*Arch_KH</x:f>
        <x:v>0.25052196438733854</x:v>
      </x:c>
      <x:c r="AO39" s="32" t="n">
        <x:f>MIN(AP38+AN39,AM39*v01_KHMaxRatio)</x:f>
        <x:v>0.25052196438733854</x:v>
      </x:c>
      <x:c r="AP39" s="32" t="n">
        <x:f>AP38+AN39-AO39</x:f>
        <x:v>0</x:v>
      </x:c>
      <x:c r="AQ39" s="32" t="n">
        <x:f>AM39+AO39</x:f>
        <x:v>1.4563881103037382</x:v>
      </x:c>
      <x:c r="AR39" s="10" t="n">
        <x:f>IF(H39=1,INDEX(v01_Req,G39),0)</x:f>
        <x:v>372.02</x:v>
      </x:c>
      <x:c r="AS39" s="32" t="n">
        <x:f>IF(H39=1,IF(E39=1,AS38-AR38,AS38)+AQ39,0)</x:f>
        <x:v>53.92333053453112</x:v>
      </x:c>
      <x:c r="AT39" s="11" t="n">
        <x:f>IF(AR39&gt;0,MIN(1,AS39/AR39),1)</x:f>
        <x:v>0.14494739673816226</x:v>
      </x:c>
      <x:c r="AU39" s="10" t="n">
        <x:f>AB39/INDEX(v01_RepScale,G39)</x:f>
        <x:v>14.293932645591433</x:v>
      </x:c>
      <x:c r="AV39" s="32" t="n">
        <x:f>AM39*60/v01_SeasonSeconds</x:f>
        <x:v>4.823464583665598</x:v>
      </x:c>
    </x:row>
    <x:row r="40">
      <x:c r="A40" s="8" t="n">
        <x:f>A39+1</x:f>
        <x:v>37</x:v>
      </x:c>
      <x:c r="B40" s="9" t="n">
        <x:f>A40*v01_SeasonSeconds/60</x:f>
        <x:v>9.25</x:v>
      </x:c>
      <x:c r="C40" s="9" t="n">
        <x:f>A40/4</x:f>
        <x:v>9.25</x:v>
      </x:c>
      <x:c r="D40" s="8" t="n">
        <x:f>IF(MOD(A40,4)=0,1,0)</x:f>
        <x:v>0</x:v>
      </x:c>
      <x:c r="E40" s="8" t="n">
        <x:f>IF(AND(F39&lt;=9,AS39&gt;=AR39),1,0)</x:f>
        <x:v>0</x:v>
      </x:c>
      <x:c r="F40" s="8" t="n">
        <x:f>MIN(10,F39+E40)</x:f>
        <x:v>0</x:v>
      </x:c>
      <x:c r="G40" s="8" t="n">
        <x:f>MIN(F40,9)+1</x:f>
        <x:v>1</x:v>
      </x:c>
      <x:c r="H40" s="8" t="n">
        <x:f>IF(F40&lt;=9,1,0)</x:f>
        <x:v>1</x:v>
      </x:c>
      <x:c r="I40" s="9" t="n">
        <x:f>MIN(10,F39+IF(AR39&gt;0,MIN(1,AS39/AR39),1))</x:f>
        <x:v>0.14494739673816226</x:v>
      </x:c>
      <x:c r="J40" s="32" t="n">
        <x:f>INDEX(v01_FoodCap,G40)*Arch_FoodCap*EXP(v01_CapsByProject*SUMPRODUCT((Cap_Point&lt;=I40)*(Cap_Kind="Food")*Cap_Ln))</x:f>
        <x:v>22</x:v>
      </x:c>
      <x:c r="K40" s="32" t="n">
        <x:f>J40*MIN(1,v01_LeanBase*EXP(v01_CapsByProject*SUMPRODUCT((Cap_Point&lt;=I40)*(Cap_Kind="Lean")*Cap_Ln)))</x:f>
        <x:v>22</x:v>
      </x:c>
      <x:c r="L40" s="10" t="n">
        <x:f>INDEX(v01_HousingCap,G40)*EXP(v01_CapsByProject*SUMPRODUCT((Cap_Point&lt;=I40)*(Cap_Kind="Housing")*Cap_Ln))</x:f>
        <x:v>60</x:v>
      </x:c>
      <x:c r="M40" s="10" t="n">
        <x:f>INDEX(v01_GroupCap,G40)*v01_CohesionFactor*EXP(v01_CapsByProject*SUMPRODUCT((Cap_Point&lt;=I40)*(Cap_Kind="Group")*Cap_Ln))</x:f>
        <x:v>35</x:v>
      </x:c>
      <x:c r="N40" s="32" t="n">
        <x:f>MIN(J40,L40,M40)</x:f>
        <x:v>22</x:v>
      </x:c>
      <x:c r="O40" s="10" t="n">
        <x:f>AE39*N40</x:f>
        <x:v>22</x:v>
      </x:c>
      <x:c r="P40" s="9" t="n">
        <x:f>MIN(1,(AB39/(AE39*IF(v01_GroupInCrowding=1,N40,MIN(J40,L40))))^v01_CrowdingExp)</x:f>
        <x:v>0.07522709704516041</x:v>
      </x:c>
      <x:c r="Q40" s="9" t="n">
        <x:f>IF(D40=1,INDEX(v01_WinterMult,G40),1)</x:f>
        <x:v>1</x:v>
      </x:c>
      <x:c r="R40" s="9" t="n">
        <x:f>H40*Z39*v01_WomenShare*v01_BaseFertility*INDEX(v01_FertMult,G40)*Arch_Fertility*(1-P40)</x:f>
        <x:v>0.19857936365179543</x:v>
      </x:c>
      <x:c r="S40" s="9" t="n">
        <x:f>H40*Y39*INDEX(v01_MortChild,G40)/4*Q40</x:f>
        <x:v>0.052250546975709654</x:v>
      </x:c>
      <x:c r="T40" s="9" t="n">
        <x:f>H40*Z39*INDEX(v01_MortAdult,G40)*Arch_AdultMort/4*Q40</x:f>
        <x:v>0.026841639041500557</x:v>
      </x:c>
      <x:c r="U40" s="9" t="n">
        <x:f>H40*AA39*INDEX(v01_MortElder,G40)/4*Q40</x:f>
        <x:v>0.04777768842384126</x:v>
      </x:c>
      <x:c r="V40" s="9" t="n">
        <x:f>H40*MAX(0,AB39-O40)*v01_OvercapLoss</x:f>
        <x:v>0</x:v>
      </x:c>
      <x:c r="W40" s="9" t="n">
        <x:f>H40*Y39/(v01_ChildYears*4)</x:f>
        <x:v>0.09330454817091009</x:v>
      </x:c>
      <x:c r="X40" s="9" t="n">
        <x:f>H40*Z39/(v01_AdultYears*4)</x:f>
        <x:v>0.05772395492795819</x:v>
      </x:c>
      <x:c r="Y40" s="32" t="n">
        <x:f>Y39+R40-S40-W40-Y39*V40/AB39</x:f>
        <x:v>5.278078966076141</x:v>
      </x:c>
      <x:c r="Z40" s="32" t="n">
        <x:f>Z39+W40-X40-T40-Z39*V40/AB39</x:f>
        <x:v>7.166509365268267</x:v>
      </x:c>
      <x:c r="AA40" s="32" t="n">
        <x:f>AA39+X40-U40-AA39*V40/AB39</x:f>
        <x:v>1.9210538034577673</x:v>
      </x:c>
      <x:c r="AB40" s="10" t="n">
        <x:f>Y40+Z40+AA40</x:f>
        <x:v>14.365642134802174</x:v>
      </x:c>
      <x:c r="AC40" s="8" t="n">
        <x:f>IF(AND(v01_WinterTrigger=1,D40=1,AB39/AE39&gt;=K40),1,0)</x:f>
        <x:v>0</x:v>
      </x:c>
      <x:c r="AD40" s="8" t="n">
        <x:f>H40*IF(AND(OR(AB39/AE39&gt;=v01_FissionTrigger*N40,AC40=1),AB39/AE39*v01_DaughterShare&gt;=v01_MinDaughter),MAX(1,ROUND(AE39*v01_FissionRate,0)),0)</x:f>
        <x:v>0</x:v>
      </x:c>
      <x:c r="AE40" s="8" t="n">
        <x:f>IF(H40=1,MAX(1,MIN(INDEX(v01_Smax,G40),AE39+AD40)),AE39)</x:f>
        <x:v>1</x:v>
      </x:c>
      <x:c r="AF40" s="8" t="n">
        <x:f>MAX(0,AE40-AE39)</x:f>
        <x:v>0</x:v>
      </x:c>
      <x:c r="AG40" s="9" t="str">
        <x:f>IF(AF40&gt;0,B40,"")</x:f>
      </x:c>
      <x:c r="AH40" s="9" t="n">
        <x:f>IF(F40&gt;=1,1,(1+v01_LowTiesShare*(AE40-1))/AE40)</x:f>
        <x:v>1</x:v>
      </x:c>
      <x:c r="AI40" s="32" t="n">
        <x:f>(Z40+v01_ElderCommons*INDEX(LM_Elder,G40)*AA40)*AH40</x:f>
        <x:v>11.008616972183802</x:v>
      </x:c>
      <x:c r="AJ40" s="32" t="n">
        <x:f>H40*v01_CommonsCoef*AI40^v01_CommonsExp*INDEX(LM_Commons,G40)</x:f>
        <x:v>4.834153539984436</x:v>
      </x:c>
      <x:c r="AK40" s="32" t="n">
        <x:f>H40*v01_RoleScale*Arch_Roles*(AE40*(INDEX(v01_ElderRolePerSett,G40)*v01_OutElder*INDEX(LM_Elder,G40)+INDEX(v01_ShamanPerSett,G40)*v01_OutShaman)+Z40*(INDEX(v01_PriestShare,G40)*v01_OutPriest+INDEX(v01_ScribeShare,G40)*v01_OutScribe*INDEX(LM_Scribe,G40)+INDEX(v01_ScholarShare,G40)*v01_OutScholar*INDEX(LM_Scholar,G40)+INDEX(v01_ResearcherShare,G40)*v01_OutResearcher*INDEX(LM_Researcher,G40)))</x:f>
        <x:v>0</x:v>
      </x:c>
      <x:c r="AL40" s="32" t="n">
        <x:f>H40*v01_RoleScale*Arch_Roles*AE40*INDEX(v01_MonasteryPerSett,G40)*v01_OutMonastery*INDEX(LM_Monastery,G40)</x:f>
        <x:v>0</x:v>
      </x:c>
      <x:c r="AM40" s="32" t="n">
        <x:f>(AJ40+AK40+AL40)/4*INDEX(LM_All,G40)*INDEX(v01_Boon,G40)*Arch_Insight</x:f>
        <x:v>1.208538384996109</x:v>
      </x:c>
      <x:c r="AN40" s="32" t="n">
        <x:f>H40*(v01_KHPerAdult*Z40+v01_KHOfCommons*AJ40/4*INDEX(LM_All,G40))*v01_KHUsable*Arch_KH</x:f>
        <x:v>0.25082782778438933</x:v>
      </x:c>
      <x:c r="AO40" s="32" t="n">
        <x:f>MIN(AP39+AN40,AM40*v01_KHMaxRatio)</x:f>
        <x:v>0.25082782778438933</x:v>
      </x:c>
      <x:c r="AP40" s="32" t="n">
        <x:f>AP39+AN40-AO40</x:f>
        <x:v>0</x:v>
      </x:c>
      <x:c r="AQ40" s="32" t="n">
        <x:f>AM40+AO40</x:f>
        <x:v>1.4593662127804985</x:v>
      </x:c>
      <x:c r="AR40" s="10" t="n">
        <x:f>IF(H40=1,INDEX(v01_Req,G40),0)</x:f>
        <x:v>372.02</x:v>
      </x:c>
      <x:c r="AS40" s="32" t="n">
        <x:f>IF(H40=1,IF(E40=1,AS39-AR39,AS39)+AQ40,0)</x:f>
        <x:v>55.38269674731162</x:v>
      </x:c>
      <x:c r="AT40" s="11" t="n">
        <x:f>IF(AR40&gt;0,MIN(1,AS40/AR40),1)</x:f>
        <x:v>0.1488702132877577</x:v>
      </x:c>
      <x:c r="AU40" s="10" t="n">
        <x:f>AB40/INDEX(v01_RepScale,G40)</x:f>
        <x:v>14.365642134802174</x:v>
      </x:c>
      <x:c r="AV40" s="32" t="n">
        <x:f>AM40*60/v01_SeasonSeconds</x:f>
        <x:v>4.834153539984436</x:v>
      </x:c>
    </x:row>
    <x:row r="41">
      <x:c r="A41" s="8" t="n">
        <x:f>A40+1</x:f>
        <x:v>38</x:v>
      </x:c>
      <x:c r="B41" s="9" t="n">
        <x:f>A41*v01_SeasonSeconds/60</x:f>
        <x:v>9.5</x:v>
      </x:c>
      <x:c r="C41" s="9" t="n">
        <x:f>A41/4</x:f>
        <x:v>9.5</x:v>
      </x:c>
      <x:c r="D41" s="8" t="n">
        <x:f>IF(MOD(A41,4)=0,1,0)</x:f>
        <x:v>0</x:v>
      </x:c>
      <x:c r="E41" s="8" t="n">
        <x:f>IF(AND(F40&lt;=9,AS40&gt;=AR40),1,0)</x:f>
        <x:v>0</x:v>
      </x:c>
      <x:c r="F41" s="8" t="n">
        <x:f>MIN(10,F40+E41)</x:f>
        <x:v>0</x:v>
      </x:c>
      <x:c r="G41" s="8" t="n">
        <x:f>MIN(F41,9)+1</x:f>
        <x:v>1</x:v>
      </x:c>
      <x:c r="H41" s="8" t="n">
        <x:f>IF(F41&lt;=9,1,0)</x:f>
        <x:v>1</x:v>
      </x:c>
      <x:c r="I41" s="9" t="n">
        <x:f>MIN(10,F40+IF(AR40&gt;0,MIN(1,AS40/AR40),1))</x:f>
        <x:v>0.1488702132877577</x:v>
      </x:c>
      <x:c r="J41" s="32" t="n">
        <x:f>INDEX(v01_FoodCap,G41)*Arch_FoodCap*EXP(v01_CapsByProject*SUMPRODUCT((Cap_Point&lt;=I41)*(Cap_Kind="Food")*Cap_Ln))</x:f>
        <x:v>22</x:v>
      </x:c>
      <x:c r="K41" s="32" t="n">
        <x:f>J41*MIN(1,v01_LeanBase*EXP(v01_CapsByProject*SUMPRODUCT((Cap_Point&lt;=I41)*(Cap_Kind="Lean")*Cap_Ln)))</x:f>
        <x:v>22</x:v>
      </x:c>
      <x:c r="L41" s="10" t="n">
        <x:f>INDEX(v01_HousingCap,G41)*EXP(v01_CapsByProject*SUMPRODUCT((Cap_Point&lt;=I41)*(Cap_Kind="Housing")*Cap_Ln))</x:f>
        <x:v>60</x:v>
      </x:c>
      <x:c r="M41" s="10" t="n">
        <x:f>INDEX(v01_GroupCap,G41)*v01_CohesionFactor*EXP(v01_CapsByProject*SUMPRODUCT((Cap_Point&lt;=I41)*(Cap_Kind="Group")*Cap_Ln))</x:f>
        <x:v>35</x:v>
      </x:c>
      <x:c r="N41" s="32" t="n">
        <x:f>MIN(J41,L41,M41)</x:f>
        <x:v>22</x:v>
      </x:c>
      <x:c r="O41" s="10" t="n">
        <x:f>AE40*N41</x:f>
        <x:v>22</x:v>
      </x:c>
      <x:c r="P41" s="9" t="n">
        <x:f>MIN(1,(AB40/(AE40*IF(v01_GroupInCrowding=1,N41,MIN(J41,L41))))^v01_CrowdingExp)</x:f>
        <x:v>0.07752007348162772</x:v>
      </x:c>
      <x:c r="Q41" s="9" t="n">
        <x:f>IF(D41=1,INDEX(v01_WinterMult,G41),1)</x:f>
        <x:v>1</x:v>
      </x:c>
      <x:c r="R41" s="9" t="n">
        <x:f>H41*Z40*v01_WomenShare*v01_BaseFertility*INDEX(v01_FertMult,G41)*Arch_Fertility*(1-P41)</x:f>
        <x:v>0.19832883097997692</x:v>
      </x:c>
      <x:c r="S41" s="9" t="n">
        <x:f>H41*Y40*INDEX(v01_MortChild,G41)/4*Q41</x:f>
        <x:v>0.052780789660761405</x:v>
      </x:c>
      <x:c r="T41" s="9" t="n">
        <x:f>H41*Z40*INDEX(v01_MortAdult,G41)*Arch_AdultMort/4*Q41</x:f>
        <x:v>0.026874410119755998</x:v>
      </x:c>
      <x:c r="U41" s="9" t="n">
        <x:f>H41*AA40*INDEX(v01_MortElder,G41)/4*Q41</x:f>
        <x:v>0.04802634508644418</x:v>
      </x:c>
      <x:c r="V41" s="9" t="n">
        <x:f>H41*MAX(0,AB40-O41)*v01_OvercapLoss</x:f>
        <x:v>0</x:v>
      </x:c>
      <x:c r="W41" s="9" t="n">
        <x:f>H41*Y40/(v01_ChildYears*4)</x:f>
        <x:v>0.0942514101085025</x:v>
      </x:c>
      <x:c r="X41" s="9" t="n">
        <x:f>H41*Z40/(v01_AdultYears*4)</x:f>
        <x:v>0.057794430365066665</x:v>
      </x:c>
      <x:c r="Y41" s="32" t="n">
        <x:f>Y40+R41-S41-W41-Y40*V41/AB40</x:f>
        <x:v>5.329375597286854</x:v>
      </x:c>
      <x:c r="Z41" s="32" t="n">
        <x:f>Z40+W41-X41-T41-Z40*V41/AB40</x:f>
        <x:v>7.1760919348919465</x:v>
      </x:c>
      <x:c r="AA41" s="32" t="n">
        <x:f>AA40+X41-U41-AA40*V41/AB40</x:f>
        <x:v>1.9308218887363897</x:v>
      </x:c>
      <x:c r="AB41" s="10" t="n">
        <x:f>Y41+Z41+AA41</x:f>
        <x:v>14.436289420915191</x:v>
      </x:c>
      <x:c r="AC41" s="8" t="n">
        <x:f>IF(AND(v01_WinterTrigger=1,D41=1,AB40/AE40&gt;=K41),1,0)</x:f>
        <x:v>0</x:v>
      </x:c>
      <x:c r="AD41" s="8" t="n">
        <x:f>H41*IF(AND(OR(AB40/AE40&gt;=v01_FissionTrigger*N41,AC41=1),AB40/AE40*v01_DaughterShare&gt;=v01_MinDaughter),MAX(1,ROUND(AE40*v01_FissionRate,0)),0)</x:f>
        <x:v>0</x:v>
      </x:c>
      <x:c r="AE41" s="8" t="n">
        <x:f>IF(H41=1,MAX(1,MIN(INDEX(v01_Smax,G41),AE40+AD41)),AE40)</x:f>
        <x:v>1</x:v>
      </x:c>
      <x:c r="AF41" s="8" t="n">
        <x:f>MAX(0,AE41-AE40)</x:f>
        <x:v>0</x:v>
      </x:c>
      <x:c r="AG41" s="9" t="str">
        <x:f>IF(AF41&gt;0,B41,"")</x:f>
      </x:c>
      <x:c r="AH41" s="9" t="n">
        <x:f>IF(F41&gt;=1,1,(1+v01_LowTiesShare*(AE41-1))/AE41)</x:f>
        <x:v>1</x:v>
      </x:c>
      <x:c r="AI41" s="32" t="n">
        <x:f>(Z41+v01_ElderCommons*INDEX(LM_Elder,G41)*AA41)*AH41</x:f>
        <x:v>11.037735712364725</x:v>
      </x:c>
      <x:c r="AJ41" s="32" t="n">
        <x:f>H41*v01_CommonsCoef*AI41^v01_CommonsExp*INDEX(LM_Commons,G41)</x:f>
        <x:v>4.845020125661978</x:v>
      </x:c>
      <x:c r="AK41" s="32" t="n">
        <x:f>H41*v01_RoleScale*Arch_Roles*(AE41*(INDEX(v01_ElderRolePerSett,G41)*v01_OutElder*INDEX(LM_Elder,G41)+INDEX(v01_ShamanPerSett,G41)*v01_OutShaman)+Z41*(INDEX(v01_PriestShare,G41)*v01_OutPriest+INDEX(v01_ScribeShare,G41)*v01_OutScribe*INDEX(LM_Scribe,G41)+INDEX(v01_ScholarShare,G41)*v01_OutScholar*INDEX(LM_Scholar,G41)+INDEX(v01_ResearcherShare,G41)*v01_OutResearcher*INDEX(LM_Researcher,G41)))</x:f>
        <x:v>0</x:v>
      </x:c>
      <x:c r="AL41" s="32" t="n">
        <x:f>H41*v01_RoleScale*Arch_Roles*AE41*INDEX(v01_MonasteryPerSett,G41)*v01_OutMonastery*INDEX(LM_Monastery,G41)</x:f>
        <x:v>0</x:v>
      </x:c>
      <x:c r="AM41" s="32" t="n">
        <x:f>(AJ41+AK41+AL41)/4*INDEX(LM_All,G41)*INDEX(v01_Boon,G41)*Arch_Insight</x:f>
        <x:v>1.2112550314154944</x:v>
      </x:c>
      <x:c r="AN41" s="32" t="n">
        <x:f>H41*(v01_KHPerAdult*Z41+v01_KHOfCommons*AJ41/4*INDEX(LM_All,G41))*v01_KHUsable*Arch_KH</x:f>
        <x:v>0.25116321772121813</x:v>
      </x:c>
      <x:c r="AO41" s="32" t="n">
        <x:f>MIN(AP40+AN41,AM41*v01_KHMaxRatio)</x:f>
        <x:v>0.25116321772121813</x:v>
      </x:c>
      <x:c r="AP41" s="32" t="n">
        <x:f>AP40+AN41-AO41</x:f>
        <x:v>0</x:v>
      </x:c>
      <x:c r="AQ41" s="32" t="n">
        <x:f>AM41+AO41</x:f>
        <x:v>1.4624182491367126</x:v>
      </x:c>
      <x:c r="AR41" s="10" t="n">
        <x:f>IF(H41=1,INDEX(v01_Req,G41),0)</x:f>
        <x:v>372.02</x:v>
      </x:c>
      <x:c r="AS41" s="32" t="n">
        <x:f>IF(H41=1,IF(E41=1,AS40-AR40,AS40)+AQ41,0)</x:f>
        <x:v>56.84511499644833</x:v>
      </x:c>
      <x:c r="AT41" s="11" t="n">
        <x:f>IF(AR41&gt;0,MIN(1,AS41/AR41),1)</x:f>
        <x:v>0.15280123379508717</x:v>
      </x:c>
      <x:c r="AU41" s="10" t="n">
        <x:f>AB41/INDEX(v01_RepScale,G41)</x:f>
        <x:v>14.436289420915191</x:v>
      </x:c>
      <x:c r="AV41" s="32" t="n">
        <x:f>AM41*60/v01_SeasonSeconds</x:f>
        <x:v>4.845020125661978</x:v>
      </x:c>
    </x:row>
    <x:row r="42">
      <x:c r="A42" s="8" t="n">
        <x:f>A41+1</x:f>
        <x:v>39</x:v>
      </x:c>
      <x:c r="B42" s="9" t="n">
        <x:f>A42*v01_SeasonSeconds/60</x:f>
        <x:v>9.75</x:v>
      </x:c>
      <x:c r="C42" s="9" t="n">
        <x:f>A42/4</x:f>
        <x:v>9.75</x:v>
      </x:c>
      <x:c r="D42" s="8" t="n">
        <x:f>IF(MOD(A42,4)=0,1,0)</x:f>
        <x:v>0</x:v>
      </x:c>
      <x:c r="E42" s="8" t="n">
        <x:f>IF(AND(F41&lt;=9,AS41&gt;=AR41),1,0)</x:f>
        <x:v>0</x:v>
      </x:c>
      <x:c r="F42" s="8" t="n">
        <x:f>MIN(10,F41+E42)</x:f>
        <x:v>0</x:v>
      </x:c>
      <x:c r="G42" s="8" t="n">
        <x:f>MIN(F42,9)+1</x:f>
        <x:v>1</x:v>
      </x:c>
      <x:c r="H42" s="8" t="n">
        <x:f>IF(F42&lt;=9,1,0)</x:f>
        <x:v>1</x:v>
      </x:c>
      <x:c r="I42" s="9" t="n">
        <x:f>MIN(10,F41+IF(AR41&gt;0,MIN(1,AS41/AR41),1))</x:f>
        <x:v>0.15280123379508717</x:v>
      </x:c>
      <x:c r="J42" s="32" t="n">
        <x:f>INDEX(v01_FoodCap,G42)*Arch_FoodCap*EXP(v01_CapsByProject*SUMPRODUCT((Cap_Point&lt;=I42)*(Cap_Kind="Food")*Cap_Ln))</x:f>
        <x:v>22</x:v>
      </x:c>
      <x:c r="K42" s="32" t="n">
        <x:f>J42*MIN(1,v01_LeanBase*EXP(v01_CapsByProject*SUMPRODUCT((Cap_Point&lt;=I42)*(Cap_Kind="Lean")*Cap_Ln)))</x:f>
        <x:v>22</x:v>
      </x:c>
      <x:c r="L42" s="10" t="n">
        <x:f>INDEX(v01_HousingCap,G42)*EXP(v01_CapsByProject*SUMPRODUCT((Cap_Point&lt;=I42)*(Cap_Kind="Housing")*Cap_Ln))</x:f>
        <x:v>60</x:v>
      </x:c>
      <x:c r="M42" s="10" t="n">
        <x:f>INDEX(v01_GroupCap,G42)*v01_CohesionFactor*EXP(v01_CapsByProject*SUMPRODUCT((Cap_Point&lt;=I42)*(Cap_Kind="Group")*Cap_Ln))</x:f>
        <x:v>35</x:v>
      </x:c>
      <x:c r="N42" s="32" t="n">
        <x:f>MIN(J42,L42,M42)</x:f>
        <x:v>22</x:v>
      </x:c>
      <x:c r="O42" s="10" t="n">
        <x:f>AE41*N42</x:f>
        <x:v>22</x:v>
      </x:c>
      <x:c r="P42" s="9" t="n">
        <x:f>MIN(1,(AB41/(AE41*IF(v01_GroupInCrowding=1,N42,MIN(J42,L42))))^v01_CrowdingExp)</x:f>
        <x:v>0.07983574764531932</x:v>
      </x:c>
      <x:c r="Q42" s="9" t="n">
        <x:f>IF(D42=1,INDEX(v01_WinterMult,G42),1)</x:f>
        <x:v>1</x:v>
      </x:c>
      <x:c r="R42" s="9" t="n">
        <x:f>H42*Z41*v01_WomenShare*v01_BaseFertility*INDEX(v01_FertMult,G42)*Arch_Fertility*(1-P42)</x:f>
        <x:v>0.19809549810294905</x:v>
      </x:c>
      <x:c r="S42" s="9" t="n">
        <x:f>H42*Y41*INDEX(v01_MortChild,G42)/4*Q42</x:f>
        <x:v>0.05329375597286855</x:v>
      </x:c>
      <x:c r="T42" s="9" t="n">
        <x:f>H42*Z41*INDEX(v01_MortAdult,G42)*Arch_AdultMort/4*Q42</x:f>
        <x:v>0.0269103447558448</x:v>
      </x:c>
      <x:c r="U42" s="9" t="n">
        <x:f>H42*AA41*INDEX(v01_MortElder,G42)/4*Q42</x:f>
        <x:v>0.048270547218409746</x:v>
      </x:c>
      <x:c r="V42" s="9" t="n">
        <x:f>H42*MAX(0,AB41-O42)*v01_OvercapLoss</x:f>
        <x:v>0</x:v>
      </x:c>
      <x:c r="W42" s="9" t="n">
        <x:f>H42*Y41/(v01_ChildYears*4)</x:f>
        <x:v>0.0951674213801224</x:v>
      </x:c>
      <x:c r="X42" s="9" t="n">
        <x:f>H42*Z41/(v01_AdultYears*4)</x:f>
        <x:v>0.05787170915235441</x:v>
      </x:c>
      <x:c r="Y42" s="32" t="n">
        <x:f>Y41+R42-S42-W42-Y41*V42/AB41</x:f>
        <x:v>5.379009918036813</x:v>
      </x:c>
      <x:c r="Z42" s="32" t="n">
        <x:f>Z41+W42-X42-T42-Z41*V42/AB41</x:f>
        <x:v>7.18647730236387</x:v>
      </x:c>
      <x:c r="AA42" s="32" t="n">
        <x:f>AA41+X42-U42-AA41*V42/AB41</x:f>
        <x:v>1.9404230506703344</x:v>
      </x:c>
      <x:c r="AB42" s="10" t="n">
        <x:f>Y42+Z42+AA42</x:f>
        <x:v>14.505910271071018</x:v>
      </x:c>
      <x:c r="AC42" s="8" t="n">
        <x:f>IF(AND(v01_WinterTrigger=1,D42=1,AB41/AE41&gt;=K42),1,0)</x:f>
        <x:v>0</x:v>
      </x:c>
      <x:c r="AD42" s="8" t="n">
        <x:f>H42*IF(AND(OR(AB41/AE41&gt;=v01_FissionTrigger*N42,AC42=1),AB41/AE41*v01_DaughterShare&gt;=v01_MinDaughter),MAX(1,ROUND(AE41*v01_FissionRate,0)),0)</x:f>
        <x:v>0</x:v>
      </x:c>
      <x:c r="AE42" s="8" t="n">
        <x:f>IF(H42=1,MAX(1,MIN(INDEX(v01_Smax,G42),AE41+AD42)),AE41)</x:f>
        <x:v>1</x:v>
      </x:c>
      <x:c r="AF42" s="8" t="n">
        <x:f>MAX(0,AE42-AE41)</x:f>
        <x:v>0</x:v>
      </x:c>
      <x:c r="AG42" s="9" t="str">
        <x:f>IF(AF42&gt;0,B42,"")</x:f>
      </x:c>
      <x:c r="AH42" s="9" t="n">
        <x:f>IF(F42&gt;=1,1,(1+v01_LowTiesShare*(AE42-1))/AE42)</x:f>
        <x:v>1</x:v>
      </x:c>
      <x:c r="AI42" s="32" t="n">
        <x:f>(Z42+v01_ElderCommons*INDEX(LM_Elder,G42)*AA42)*AH42</x:f>
        <x:v>11.067323403704538</x:v>
      </x:c>
      <x:c r="AJ42" s="32" t="n">
        <x:f>H42*v01_CommonsCoef*AI42^v01_CommonsExp*INDEX(LM_Commons,G42)</x:f>
        <x:v>4.856057311823879</x:v>
      </x:c>
      <x:c r="AK42" s="32" t="n">
        <x:f>H42*v01_RoleScale*Arch_Roles*(AE42*(INDEX(v01_ElderRolePerSett,G42)*v01_OutElder*INDEX(LM_Elder,G42)+INDEX(v01_ShamanPerSett,G42)*v01_OutShaman)+Z42*(INDEX(v01_PriestShare,G42)*v01_OutPriest+INDEX(v01_ScribeShare,G42)*v01_OutScribe*INDEX(LM_Scribe,G42)+INDEX(v01_ScholarShare,G42)*v01_OutScholar*INDEX(LM_Scholar,G42)+INDEX(v01_ResearcherShare,G42)*v01_OutResearcher*INDEX(LM_Researcher,G42)))</x:f>
        <x:v>0</x:v>
      </x:c>
      <x:c r="AL42" s="32" t="n">
        <x:f>H42*v01_RoleScale*Arch_Roles*AE42*INDEX(v01_MonasteryPerSett,G42)*v01_OutMonastery*INDEX(LM_Monastery,G42)</x:f>
        <x:v>0</x:v>
      </x:c>
      <x:c r="AM42" s="32" t="n">
        <x:f>(AJ42+AK42+AL42)/4*INDEX(LM_All,G42)*INDEX(v01_Boon,G42)*Arch_Insight</x:f>
        <x:v>1.2140143279559696</x:v>
      </x:c>
      <x:c r="AN42" s="32" t="n">
        <x:f>H42*(v01_KHPerAdult*Z42+v01_KHOfCommons*AJ42/4*INDEX(LM_All,G42))*v01_KHUsable*Arch_KH</x:f>
        <x:v>0.25152670558273543</x:v>
      </x:c>
      <x:c r="AO42" s="32" t="n">
        <x:f>MIN(AP41+AN42,AM42*v01_KHMaxRatio)</x:f>
        <x:v>0.25152670558273543</x:v>
      </x:c>
      <x:c r="AP42" s="32" t="n">
        <x:f>AP41+AN42-AO42</x:f>
        <x:v>0</x:v>
      </x:c>
      <x:c r="AQ42" s="32" t="n">
        <x:f>AM42+AO42</x:f>
        <x:v>1.4655410335387051</x:v>
      </x:c>
      <x:c r="AR42" s="10" t="n">
        <x:f>IF(H42=1,INDEX(v01_Req,G42),0)</x:f>
        <x:v>372.02</x:v>
      </x:c>
      <x:c r="AS42" s="32" t="n">
        <x:f>IF(H42=1,IF(E42=1,AS41-AR41,AS41)+AQ42,0)</x:f>
        <x:v>58.31065602998704</x:v>
      </x:c>
      <x:c r="AT42" s="11" t="n">
        <x:f>IF(AR42&gt;0,MIN(1,AS42/AR42),1)</x:f>
        <x:v>0.1567406484328451</x:v>
      </x:c>
      <x:c r="AU42" s="10" t="n">
        <x:f>AB42/INDEX(v01_RepScale,G42)</x:f>
        <x:v>14.505910271071018</x:v>
      </x:c>
      <x:c r="AV42" s="32" t="n">
        <x:f>AM42*60/v01_SeasonSeconds</x:f>
        <x:v>4.856057311823879</x:v>
      </x:c>
    </x:row>
    <x:row r="43">
      <x:c r="A43" s="8" t="n">
        <x:f>A42+1</x:f>
        <x:v>40</x:v>
      </x:c>
      <x:c r="B43" s="9" t="n">
        <x:f>A43*v01_SeasonSeconds/60</x:f>
        <x:v>10</x:v>
      </x:c>
      <x:c r="C43" s="9" t="n">
        <x:f>A43/4</x:f>
        <x:v>10</x:v>
      </x:c>
      <x:c r="D43" s="8" t="n">
        <x:f>IF(MOD(A43,4)=0,1,0)</x:f>
        <x:v>1</x:v>
      </x:c>
      <x:c r="E43" s="8" t="n">
        <x:f>IF(AND(F42&lt;=9,AS42&gt;=AR42),1,0)</x:f>
        <x:v>0</x:v>
      </x:c>
      <x:c r="F43" s="8" t="n">
        <x:f>MIN(10,F42+E43)</x:f>
        <x:v>0</x:v>
      </x:c>
      <x:c r="G43" s="8" t="n">
        <x:f>MIN(F43,9)+1</x:f>
        <x:v>1</x:v>
      </x:c>
      <x:c r="H43" s="8" t="n">
        <x:f>IF(F43&lt;=9,1,0)</x:f>
        <x:v>1</x:v>
      </x:c>
      <x:c r="I43" s="9" t="n">
        <x:f>MIN(10,F42+IF(AR42&gt;0,MIN(1,AS42/AR42),1))</x:f>
        <x:v>0.1567406484328451</x:v>
      </x:c>
      <x:c r="J43" s="32" t="n">
        <x:f>INDEX(v01_FoodCap,G43)*Arch_FoodCap*EXP(v01_CapsByProject*SUMPRODUCT((Cap_Point&lt;=I43)*(Cap_Kind="Food")*Cap_Ln))</x:f>
        <x:v>22</x:v>
      </x:c>
      <x:c r="K43" s="32" t="n">
        <x:f>J43*MIN(1,v01_LeanBase*EXP(v01_CapsByProject*SUMPRODUCT((Cap_Point&lt;=I43)*(Cap_Kind="Lean")*Cap_Ln)))</x:f>
        <x:v>22</x:v>
      </x:c>
      <x:c r="L43" s="10" t="n">
        <x:f>INDEX(v01_HousingCap,G43)*EXP(v01_CapsByProject*SUMPRODUCT((Cap_Point&lt;=I43)*(Cap_Kind="Housing")*Cap_Ln))</x:f>
        <x:v>60</x:v>
      </x:c>
      <x:c r="M43" s="10" t="n">
        <x:f>INDEX(v01_GroupCap,G43)*v01_CohesionFactor*EXP(v01_CapsByProject*SUMPRODUCT((Cap_Point&lt;=I43)*(Cap_Kind="Group")*Cap_Ln))</x:f>
        <x:v>35</x:v>
      </x:c>
      <x:c r="N43" s="32" t="n">
        <x:f>MIN(J43,L43,M43)</x:f>
        <x:v>22</x:v>
      </x:c>
      <x:c r="O43" s="10" t="n">
        <x:f>AE42*N43</x:f>
        <x:v>22</x:v>
      </x:c>
      <x:c r="P43" s="9" t="n">
        <x:f>MIN(1,(AB42/(AE42*IF(v01_GroupInCrowding=1,N43,MIN(J43,L43))))^v01_CrowdingExp)</x:f>
        <x:v>0.08217388792995957</x:v>
      </x:c>
      <x:c r="Q43" s="9" t="n">
        <x:f>IF(D43=1,INDEX(v01_WinterMult,G43),1)</x:f>
        <x:v>2</x:v>
      </x:c>
      <x:c r="R43" s="9" t="n">
        <x:f>H43*Z42*v01_WomenShare*v01_BaseFertility*INDEX(v01_FertMult,G43)*Arch_Fertility*(1-P43)</x:f>
        <x:v>0.19787809565724668</x:v>
      </x:c>
      <x:c r="S43" s="9" t="n">
        <x:f>H43*Y42*INDEX(v01_MortChild,G43)/4*Q43</x:f>
        <x:v>0.10758019836073626</x:v>
      </x:c>
      <x:c r="T43" s="9" t="n">
        <x:f>H43*Z42*INDEX(v01_MortAdult,G43)*Arch_AdultMort/4*Q43</x:f>
        <x:v>0.05389857976772902</x:v>
      </x:c>
      <x:c r="U43" s="9" t="n">
        <x:f>H43*AA42*INDEX(v01_MortElder,G43)/4*Q43</x:f>
        <x:v>0.09702115253351673</x:v>
      </x:c>
      <x:c r="V43" s="9" t="n">
        <x:f>H43*MAX(0,AB42-O43)*v01_OvercapLoss</x:f>
        <x:v>0</x:v>
      </x:c>
      <x:c r="W43" s="9" t="n">
        <x:f>H43*Y42/(v01_ChildYears*4)</x:f>
        <x:v>0.09605374853637165</x:v>
      </x:c>
      <x:c r="X43" s="9" t="n">
        <x:f>H43*Z42/(v01_AdultYears*4)</x:f>
        <x:v>0.05795546211583766</x:v>
      </x:c>
      <x:c r="Y43" s="32" t="n">
        <x:f>Y42+R43-S43-W43-Y42*V43/AB42</x:f>
        <x:v>5.373254066796951</x:v>
      </x:c>
      <x:c r="Z43" s="32" t="n">
        <x:f>Z42+W43-X43-T43-Z42*V43/AB42</x:f>
        <x:v>7.170677009016675</x:v>
      </x:c>
      <x:c r="AA43" s="32" t="n">
        <x:f>AA42+X43-U43-AA42*V43/AB42</x:f>
        <x:v>1.9013573602526552</x:v>
      </x:c>
      <x:c r="AB43" s="10" t="n">
        <x:f>Y43+Z43+AA43</x:f>
        <x:v>14.445288436066281</x:v>
      </x:c>
      <x:c r="AC43" s="8" t="n">
        <x:f>IF(AND(v01_WinterTrigger=1,D43=1,AB42/AE42&gt;=K43),1,0)</x:f>
        <x:v>0</x:v>
      </x:c>
      <x:c r="AD43" s="8" t="n">
        <x:f>H43*IF(AND(OR(AB42/AE42&gt;=v01_FissionTrigger*N43,AC43=1),AB42/AE42*v01_DaughterShare&gt;=v01_MinDaughter),MAX(1,ROUND(AE42*v01_FissionRate,0)),0)</x:f>
        <x:v>0</x:v>
      </x:c>
      <x:c r="AE43" s="8" t="n">
        <x:f>IF(H43=1,MAX(1,MIN(INDEX(v01_Smax,G43),AE42+AD43)),AE42)</x:f>
        <x:v>1</x:v>
      </x:c>
      <x:c r="AF43" s="8" t="n">
        <x:f>MAX(0,AE43-AE42)</x:f>
        <x:v>0</x:v>
      </x:c>
      <x:c r="AG43" s="9" t="str">
        <x:f>IF(AF43&gt;0,B43,"")</x:f>
      </x:c>
      <x:c r="AH43" s="9" t="n">
        <x:f>IF(F43&gt;=1,1,(1+v01_LowTiesShare*(AE43-1))/AE43)</x:f>
        <x:v>1</x:v>
      </x:c>
      <x:c r="AI43" s="32" t="n">
        <x:f>(Z43+v01_ElderCommons*INDEX(LM_Elder,G43)*AA43)*AH43</x:f>
        <x:v>10.973391729521985</x:v>
      </x:c>
      <x:c r="AJ43" s="32" t="n">
        <x:f>H43*v01_CommonsCoef*AI43^v01_CommonsExp*INDEX(LM_Commons,G43)</x:f>
        <x:v>4.821002353462697</x:v>
      </x:c>
      <x:c r="AK43" s="32" t="n">
        <x:f>H43*v01_RoleScale*Arch_Roles*(AE43*(INDEX(v01_ElderRolePerSett,G43)*v01_OutElder*INDEX(LM_Elder,G43)+INDEX(v01_ShamanPerSett,G43)*v01_OutShaman)+Z43*(INDEX(v01_PriestShare,G43)*v01_OutPriest+INDEX(v01_ScribeShare,G43)*v01_OutScribe*INDEX(LM_Scribe,G43)+INDEX(v01_ScholarShare,G43)*v01_OutScholar*INDEX(LM_Scholar,G43)+INDEX(v01_ResearcherShare,G43)*v01_OutResearcher*INDEX(LM_Researcher,G43)))</x:f>
        <x:v>0</x:v>
      </x:c>
      <x:c r="AL43" s="32" t="n">
        <x:f>H43*v01_RoleScale*Arch_Roles*AE43*INDEX(v01_MonasteryPerSett,G43)*v01_OutMonastery*INDEX(LM_Monastery,G43)</x:f>
        <x:v>0</x:v>
      </x:c>
      <x:c r="AM43" s="32" t="n">
        <x:f>(AJ43+AK43+AL43)/4*INDEX(LM_All,G43)*INDEX(v01_Boon,G43)*Arch_Insight</x:f>
        <x:v>1.2052505883656743</x:v>
      </x:c>
      <x:c r="AN43" s="32" t="n">
        <x:f>H43*(v01_KHPerAdult*Z43+v01_KHOfCommons*AJ43/4*INDEX(LM_All,G43))*v01_KHUsable*Arch_KH</x:f>
        <x:v>0.2509736953155836</x:v>
      </x:c>
      <x:c r="AO43" s="32" t="n">
        <x:f>MIN(AP42+AN43,AM43*v01_KHMaxRatio)</x:f>
        <x:v>0.2509736953155836</x:v>
      </x:c>
      <x:c r="AP43" s="32" t="n">
        <x:f>AP42+AN43-AO43</x:f>
        <x:v>0</x:v>
      </x:c>
      <x:c r="AQ43" s="32" t="n">
        <x:f>AM43+AO43</x:f>
        <x:v>1.456224283681258</x:v>
      </x:c>
      <x:c r="AR43" s="10" t="n">
        <x:f>IF(H43=1,INDEX(v01_Req,G43),0)</x:f>
        <x:v>372.02</x:v>
      </x:c>
      <x:c r="AS43" s="32" t="n">
        <x:f>IF(H43=1,IF(E43=1,AS42-AR42,AS42)+AQ43,0)</x:f>
        <x:v>59.766880313668295</x:v>
      </x:c>
      <x:c r="AT43" s="11" t="n">
        <x:f>IF(AR43&gt;0,MIN(1,AS43/AR43),1)</x:f>
        <x:v>0.16065501939053894</x:v>
      </x:c>
      <x:c r="AU43" s="10" t="n">
        <x:f>AB43/INDEX(v01_RepScale,G43)</x:f>
        <x:v>14.445288436066281</x:v>
      </x:c>
      <x:c r="AV43" s="32" t="n">
        <x:f>AM43*60/v01_SeasonSeconds</x:f>
        <x:v>4.821002353462697</x:v>
      </x:c>
    </x:row>
    <x:row r="44">
      <x:c r="A44" s="8" t="n">
        <x:f>A43+1</x:f>
        <x:v>41</x:v>
      </x:c>
      <x:c r="B44" s="9" t="n">
        <x:f>A44*v01_SeasonSeconds/60</x:f>
        <x:v>10.25</x:v>
      </x:c>
      <x:c r="C44" s="9" t="n">
        <x:f>A44/4</x:f>
        <x:v>10.25</x:v>
      </x:c>
      <x:c r="D44" s="8" t="n">
        <x:f>IF(MOD(A44,4)=0,1,0)</x:f>
        <x:v>0</x:v>
      </x:c>
      <x:c r="E44" s="8" t="n">
        <x:f>IF(AND(F43&lt;=9,AS43&gt;=AR43),1,0)</x:f>
        <x:v>0</x:v>
      </x:c>
      <x:c r="F44" s="8" t="n">
        <x:f>MIN(10,F43+E44)</x:f>
        <x:v>0</x:v>
      </x:c>
      <x:c r="G44" s="8" t="n">
        <x:f>MIN(F44,9)+1</x:f>
        <x:v>1</x:v>
      </x:c>
      <x:c r="H44" s="8" t="n">
        <x:f>IF(F44&lt;=9,1,0)</x:f>
        <x:v>1</x:v>
      </x:c>
      <x:c r="I44" s="9" t="n">
        <x:f>MIN(10,F43+IF(AR43&gt;0,MIN(1,AS43/AR43),1))</x:f>
        <x:v>0.16065501939053894</x:v>
      </x:c>
      <x:c r="J44" s="32" t="n">
        <x:f>INDEX(v01_FoodCap,G44)*Arch_FoodCap*EXP(v01_CapsByProject*SUMPRODUCT((Cap_Point&lt;=I44)*(Cap_Kind="Food")*Cap_Ln))</x:f>
        <x:v>22</x:v>
      </x:c>
      <x:c r="K44" s="32" t="n">
        <x:f>J44*MIN(1,v01_LeanBase*EXP(v01_CapsByProject*SUMPRODUCT((Cap_Point&lt;=I44)*(Cap_Kind="Lean")*Cap_Ln)))</x:f>
        <x:v>22</x:v>
      </x:c>
      <x:c r="L44" s="10" t="n">
        <x:f>INDEX(v01_HousingCap,G44)*EXP(v01_CapsByProject*SUMPRODUCT((Cap_Point&lt;=I44)*(Cap_Kind="Housing")*Cap_Ln))</x:f>
        <x:v>60</x:v>
      </x:c>
      <x:c r="M44" s="10" t="n">
        <x:f>INDEX(v01_GroupCap,G44)*v01_CohesionFactor*EXP(v01_CapsByProject*SUMPRODUCT((Cap_Point&lt;=I44)*(Cap_Kind="Group")*Cap_Ln))</x:f>
        <x:v>35</x:v>
      </x:c>
      <x:c r="N44" s="32" t="n">
        <x:f>MIN(J44,L44,M44)</x:f>
        <x:v>22</x:v>
      </x:c>
      <x:c r="O44" s="10" t="n">
        <x:f>AE43*N44</x:f>
        <x:v>22</x:v>
      </x:c>
      <x:c r="P44" s="9" t="n">
        <x:f>MIN(1,(AB43/(AE43*IF(v01_GroupInCrowding=1,N44,MIN(J44,L44))))^v01_CrowdingExp)</x:f>
        <x:v>0.08013481216347919</x:v>
      </x:c>
      <x:c r="Q44" s="9" t="n">
        <x:f>IF(D44=1,INDEX(v01_WinterMult,G44),1)</x:f>
        <x:v>1</x:v>
      </x:c>
      <x:c r="R44" s="9" t="n">
        <x:f>H44*Z43*v01_WomenShare*v01_BaseFertility*INDEX(v01_FertMult,G44)*Arch_Fertility*(1-P44)</x:f>
        <x:v>0.19788168461442435</x:v>
      </x:c>
      <x:c r="S44" s="9" t="n">
        <x:f>H44*Y43*INDEX(v01_MortChild,G44)/4*Q44</x:f>
        <x:v>0.053732540667969515</x:v>
      </x:c>
      <x:c r="T44" s="9" t="n">
        <x:f>H44*Z43*INDEX(v01_MortAdult,G44)*Arch_AdultMort/4*Q44</x:f>
        <x:v>0.02689003878381253</x:v>
      </x:c>
      <x:c r="U44" s="9" t="n">
        <x:f>H44*AA43*INDEX(v01_MortElder,G44)/4*Q44</x:f>
        <x:v>0.047533934006316385</x:v>
      </x:c>
      <x:c r="V44" s="9" t="n">
        <x:f>H44*MAX(0,AB43-O44)*v01_OvercapLoss</x:f>
        <x:v>0</x:v>
      </x:c>
      <x:c r="W44" s="9" t="n">
        <x:f>H44*Y43/(v01_ChildYears*4)</x:f>
        <x:v>0.09595096547851699</x:v>
      </x:c>
      <x:c r="X44" s="9" t="n">
        <x:f>H44*Z43/(v01_AdultYears*4)</x:f>
        <x:v>0.057828040395295766</x:v>
      </x:c>
      <x:c r="Y44" s="32" t="n">
        <x:f>Y43+R44-S44-W44-Y43*V44/AB43</x:f>
        <x:v>5.42145224526489</x:v>
      </x:c>
      <x:c r="Z44" s="32" t="n">
        <x:f>Z43+W44-X44-T44-Z43*V44/AB43</x:f>
        <x:v>7.181909895316084</x:v>
      </x:c>
      <x:c r="AA44" s="32" t="n">
        <x:f>AA43+X44-U44-AA43*V44/AB43</x:f>
        <x:v>1.9116514666416347</x:v>
      </x:c>
      <x:c r="AB44" s="10" t="n">
        <x:f>Y44+Z44+AA44</x:f>
        <x:v>14.515013607222608</x:v>
      </x:c>
      <x:c r="AC44" s="8" t="n">
        <x:f>IF(AND(v01_WinterTrigger=1,D44=1,AB43/AE43&gt;=K44),1,0)</x:f>
        <x:v>0</x:v>
      </x:c>
      <x:c r="AD44" s="8" t="n">
        <x:f>H44*IF(AND(OR(AB43/AE43&gt;=v01_FissionTrigger*N44,AC44=1),AB43/AE43*v01_DaughterShare&gt;=v01_MinDaughter),MAX(1,ROUND(AE43*v01_FissionRate,0)),0)</x:f>
        <x:v>0</x:v>
      </x:c>
      <x:c r="AE44" s="8" t="n">
        <x:f>IF(H44=1,MAX(1,MIN(INDEX(v01_Smax,G44),AE43+AD44)),AE43)</x:f>
        <x:v>1</x:v>
      </x:c>
      <x:c r="AF44" s="8" t="n">
        <x:f>MAX(0,AE44-AE43)</x:f>
        <x:v>0</x:v>
      </x:c>
      <x:c r="AG44" s="9" t="str">
        <x:f>IF(AF44&gt;0,B44,"")</x:f>
      </x:c>
      <x:c r="AH44" s="9" t="n">
        <x:f>IF(F44&gt;=1,1,(1+v01_LowTiesShare*(AE44-1))/AE44)</x:f>
        <x:v>1</x:v>
      </x:c>
      <x:c r="AI44" s="32" t="n">
        <x:f>(Z44+v01_ElderCommons*INDEX(LM_Elder,G44)*AA44)*AH44</x:f>
        <x:v>11.005212828599353</x:v>
      </x:c>
      <x:c r="AJ44" s="32" t="n">
        <x:f>H44*v01_CommonsCoef*AI44^v01_CommonsExp*INDEX(LM_Commons,G44)</x:f>
        <x:v>4.832882894060308</x:v>
      </x:c>
      <x:c r="AK44" s="32" t="n">
        <x:f>H44*v01_RoleScale*Arch_Roles*(AE44*(INDEX(v01_ElderRolePerSett,G44)*v01_OutElder*INDEX(LM_Elder,G44)+INDEX(v01_ShamanPerSett,G44)*v01_OutShaman)+Z44*(INDEX(v01_PriestShare,G44)*v01_OutPriest+INDEX(v01_ScribeShare,G44)*v01_OutScribe*INDEX(LM_Scribe,G44)+INDEX(v01_ScholarShare,G44)*v01_OutScholar*INDEX(LM_Scholar,G44)+INDEX(v01_ResearcherShare,G44)*v01_OutResearcher*INDEX(LM_Researcher,G44)))</x:f>
        <x:v>0</x:v>
      </x:c>
      <x:c r="AL44" s="32" t="n">
        <x:f>H44*v01_RoleScale*Arch_Roles*AE44*INDEX(v01_MonasteryPerSett,G44)*v01_OutMonastery*INDEX(LM_Monastery,G44)</x:f>
        <x:v>0</x:v>
      </x:c>
      <x:c r="AM44" s="32" t="n">
        <x:f>(AJ44+AK44+AL44)/4*INDEX(LM_All,G44)*INDEX(v01_Boon,G44)*Arch_Insight</x:f>
        <x:v>1.208220723515077</x:v>
      </x:c>
      <x:c r="AN44" s="32" t="n">
        <x:f>H44*(v01_KHPerAdult*Z44+v01_KHOfCommons*AJ44/4*INDEX(LM_All,G44))*v01_KHUsable*Arch_KH</x:f>
        <x:v>0.25136684633606293</x:v>
      </x:c>
      <x:c r="AO44" s="32" t="n">
        <x:f>MIN(AP43+AN44,AM44*v01_KHMaxRatio)</x:f>
        <x:v>0.25136684633606293</x:v>
      </x:c>
      <x:c r="AP44" s="32" t="n">
        <x:f>AP43+AN44-AO44</x:f>
        <x:v>0</x:v>
      </x:c>
      <x:c r="AQ44" s="32" t="n">
        <x:f>AM44+AO44</x:f>
        <x:v>1.45958756985114</x:v>
      </x:c>
      <x:c r="AR44" s="10" t="n">
        <x:f>IF(H44=1,INDEX(v01_Req,G44),0)</x:f>
        <x:v>372.02</x:v>
      </x:c>
      <x:c r="AS44" s="32" t="n">
        <x:f>IF(H44=1,IF(E44=1,AS43-AR43,AS43)+AQ44,0)</x:f>
        <x:v>61.22646788351943</x:v>
      </x:c>
      <x:c r="AT44" s="11" t="n">
        <x:f>IF(AR44&gt;0,MIN(1,AS44/AR44),1)</x:f>
        <x:v>0.1645784309540332</x:v>
      </x:c>
      <x:c r="AU44" s="10" t="n">
        <x:f>AB44/INDEX(v01_RepScale,G44)</x:f>
        <x:v>14.515013607222608</x:v>
      </x:c>
      <x:c r="AV44" s="32" t="n">
        <x:f>AM44*60/v01_SeasonSeconds</x:f>
        <x:v>4.832882894060308</x:v>
      </x:c>
    </x:row>
    <x:row r="45">
      <x:c r="A45" s="8" t="n">
        <x:f>A44+1</x:f>
        <x:v>42</x:v>
      </x:c>
      <x:c r="B45" s="9" t="n">
        <x:f>A45*v01_SeasonSeconds/60</x:f>
        <x:v>10.5</x:v>
      </x:c>
      <x:c r="C45" s="9" t="n">
        <x:f>A45/4</x:f>
        <x:v>10.5</x:v>
      </x:c>
      <x:c r="D45" s="8" t="n">
        <x:f>IF(MOD(A45,4)=0,1,0)</x:f>
        <x:v>0</x:v>
      </x:c>
      <x:c r="E45" s="8" t="n">
        <x:f>IF(AND(F44&lt;=9,AS44&gt;=AR44),1,0)</x:f>
        <x:v>0</x:v>
      </x:c>
      <x:c r="F45" s="8" t="n">
        <x:f>MIN(10,F44+E45)</x:f>
        <x:v>0</x:v>
      </x:c>
      <x:c r="G45" s="8" t="n">
        <x:f>MIN(F45,9)+1</x:f>
        <x:v>1</x:v>
      </x:c>
      <x:c r="H45" s="8" t="n">
        <x:f>IF(F45&lt;=9,1,0)</x:f>
        <x:v>1</x:v>
      </x:c>
      <x:c r="I45" s="9" t="n">
        <x:f>MIN(10,F44+IF(AR44&gt;0,MIN(1,AS44/AR44),1))</x:f>
        <x:v>0.1645784309540332</x:v>
      </x:c>
      <x:c r="J45" s="32" t="n">
        <x:f>INDEX(v01_FoodCap,G45)*Arch_FoodCap*EXP(v01_CapsByProject*SUMPRODUCT((Cap_Point&lt;=I45)*(Cap_Kind="Food")*Cap_Ln))</x:f>
        <x:v>22</x:v>
      </x:c>
      <x:c r="K45" s="32" t="n">
        <x:f>J45*MIN(1,v01_LeanBase*EXP(v01_CapsByProject*SUMPRODUCT((Cap_Point&lt;=I45)*(Cap_Kind="Lean")*Cap_Ln)))</x:f>
        <x:v>22</x:v>
      </x:c>
      <x:c r="L45" s="10" t="n">
        <x:f>INDEX(v01_HousingCap,G45)*EXP(v01_CapsByProject*SUMPRODUCT((Cap_Point&lt;=I45)*(Cap_Kind="Housing")*Cap_Ln))</x:f>
        <x:v>60</x:v>
      </x:c>
      <x:c r="M45" s="10" t="n">
        <x:f>INDEX(v01_GroupCap,G45)*v01_CohesionFactor*EXP(v01_CapsByProject*SUMPRODUCT((Cap_Point&lt;=I45)*(Cap_Kind="Group")*Cap_Ln))</x:f>
        <x:v>35</x:v>
      </x:c>
      <x:c r="N45" s="32" t="n">
        <x:f>MIN(J45,L45,M45)</x:f>
        <x:v>22</x:v>
      </x:c>
      <x:c r="O45" s="10" t="n">
        <x:f>AE44*N45</x:f>
        <x:v>22</x:v>
      </x:c>
      <x:c r="P45" s="9" t="n">
        <x:f>MIN(1,(AB44/(AE44*IF(v01_GroupInCrowding=1,N45,MIN(J45,L45))))^v01_CrowdingExp)</x:f>
        <x:v>0.08248378828919138</x:v>
      </x:c>
      <x:c r="Q45" s="9" t="n">
        <x:f>IF(D45=1,INDEX(v01_WinterMult,G45),1)</x:f>
        <x:v>1</x:v>
      </x:c>
      <x:c r="R45" s="9" t="n">
        <x:f>H45*Z44*v01_WomenShare*v01_BaseFertility*INDEX(v01_FertMult,G45)*Arch_Fertility*(1-P45)</x:f>
        <x:v>0.1976855627999635</x:v>
      </x:c>
      <x:c r="S45" s="9" t="n">
        <x:f>H45*Y44*INDEX(v01_MortChild,G45)/4*Q45</x:f>
        <x:v>0.0542145224526489</x:v>
      </x:c>
      <x:c r="T45" s="9" t="n">
        <x:f>H45*Z44*INDEX(v01_MortAdult,G45)*Arch_AdultMort/4*Q45</x:f>
        <x:v>0.026932162107435313</x:v>
      </x:c>
      <x:c r="U45" s="9" t="n">
        <x:f>H45*AA44*INDEX(v01_MortElder,G45)/4*Q45</x:f>
        <x:v>0.04779128666604087</x:v>
      </x:c>
      <x:c r="V45" s="9" t="n">
        <x:f>H45*MAX(0,AB44-O45)*v01_OvercapLoss</x:f>
        <x:v>0</x:v>
      </x:c>
      <x:c r="W45" s="9" t="n">
        <x:f>H45*Y44/(v01_ChildYears*4)</x:f>
        <x:v>0.09681164723687304</x:v>
      </x:c>
      <x:c r="X45" s="9" t="n">
        <x:f>H45*Z44/(v01_AdultYears*4)</x:f>
        <x:v>0.05791862818803293</x:v>
      </x:c>
      <x:c r="Y45" s="32" t="n">
        <x:f>Y44+R45-S45-W45-Y44*V45/AB44</x:f>
        <x:v>5.468111638375332</x:v>
      </x:c>
      <x:c r="Z45" s="32" t="n">
        <x:f>Z44+W45-X45-T45-Z44*V45/AB44</x:f>
        <x:v>7.193870752257488</x:v>
      </x:c>
      <x:c r="AA45" s="32" t="n">
        <x:f>AA44+X45-U45-AA44*V45/AB44</x:f>
        <x:v>1.9217788081636267</x:v>
      </x:c>
      <x:c r="AB45" s="10" t="n">
        <x:f>Y45+Z45+AA45</x:f>
        <x:v>14.583761198796445</x:v>
      </x:c>
      <x:c r="AC45" s="8" t="n">
        <x:f>IF(AND(v01_WinterTrigger=1,D45=1,AB44/AE44&gt;=K45),1,0)</x:f>
        <x:v>0</x:v>
      </x:c>
      <x:c r="AD45" s="8" t="n">
        <x:f>H45*IF(AND(OR(AB44/AE44&gt;=v01_FissionTrigger*N45,AC45=1),AB44/AE44*v01_DaughterShare&gt;=v01_MinDaughter),MAX(1,ROUND(AE44*v01_FissionRate,0)),0)</x:f>
        <x:v>0</x:v>
      </x:c>
      <x:c r="AE45" s="8" t="n">
        <x:f>IF(H45=1,MAX(1,MIN(INDEX(v01_Smax,G45),AE44+AD45)),AE44)</x:f>
        <x:v>1</x:v>
      </x:c>
      <x:c r="AF45" s="8" t="n">
        <x:f>MAX(0,AE45-AE44)</x:f>
        <x:v>0</x:v>
      </x:c>
      <x:c r="AG45" s="9" t="str">
        <x:f>IF(AF45&gt;0,B45,"")</x:f>
      </x:c>
      <x:c r="AH45" s="9" t="n">
        <x:f>IF(F45&gt;=1,1,(1+v01_LowTiesShare*(AE45-1))/AE45)</x:f>
        <x:v>1</x:v>
      </x:c>
      <x:c r="AI45" s="32" t="n">
        <x:f>(Z45+v01_ElderCommons*INDEX(LM_Elder,G45)*AA45)*AH45</x:f>
        <x:v>11.037428368584742</x:v>
      </x:c>
      <x:c r="AJ45" s="32" t="n">
        <x:f>H45*v01_CommonsCoef*AI45^v01_CommonsExp*INDEX(LM_Commons,G45)</x:f>
        <x:v>4.844905453010278</x:v>
      </x:c>
      <x:c r="AK45" s="32" t="n">
        <x:f>H45*v01_RoleScale*Arch_Roles*(AE45*(INDEX(v01_ElderRolePerSett,G45)*v01_OutElder*INDEX(LM_Elder,G45)+INDEX(v01_ShamanPerSett,G45)*v01_OutShaman)+Z45*(INDEX(v01_PriestShare,G45)*v01_OutPriest+INDEX(v01_ScribeShare,G45)*v01_OutScribe*INDEX(LM_Scribe,G45)+INDEX(v01_ScholarShare,G45)*v01_OutScholar*INDEX(LM_Scholar,G45)+INDEX(v01_ResearcherShare,G45)*v01_OutResearcher*INDEX(LM_Researcher,G45)))</x:f>
        <x:v>0</x:v>
      </x:c>
      <x:c r="AL45" s="32" t="n">
        <x:f>H45*v01_RoleScale*Arch_Roles*AE45*INDEX(v01_MonasteryPerSett,G45)*v01_OutMonastery*INDEX(LM_Monastery,G45)</x:f>
        <x:v>0</x:v>
      </x:c>
      <x:c r="AM45" s="32" t="n">
        <x:f>(AJ45+AK45+AL45)/4*INDEX(LM_All,G45)*INDEX(v01_Boon,G45)*Arch_Insight</x:f>
        <x:v>1.2112263632525695</x:v>
      </x:c>
      <x:c r="AN45" s="32" t="n">
        <x:f>H45*(v01_KHPerAdult*Z45+v01_KHOfCommons*AJ45/4*INDEX(LM_All,G45))*v01_KHUsable*Arch_KH</x:f>
        <x:v>0.2517854763290121</x:v>
      </x:c>
      <x:c r="AO45" s="32" t="n">
        <x:f>MIN(AP44+AN45,AM45*v01_KHMaxRatio)</x:f>
        <x:v>0.2517854763290121</x:v>
      </x:c>
      <x:c r="AP45" s="32" t="n">
        <x:f>AP44+AN45-AO45</x:f>
        <x:v>0</x:v>
      </x:c>
      <x:c r="AQ45" s="32" t="n">
        <x:f>AM45+AO45</x:f>
        <x:v>1.4630118395815817</x:v>
      </x:c>
      <x:c r="AR45" s="10" t="n">
        <x:f>IF(H45=1,INDEX(v01_Req,G45),0)</x:f>
        <x:v>372.02</x:v>
      </x:c>
      <x:c r="AS45" s="32" t="n">
        <x:f>IF(H45=1,IF(E45=1,AS44-AR44,AS44)+AQ45,0)</x:f>
        <x:v>62.689479723101016</x:v>
      </x:c>
      <x:c r="AT45" s="11" t="n">
        <x:f>IF(AR45&gt;0,MIN(1,AS45/AR45),1)</x:f>
        <x:v>0.1685110470488173</x:v>
      </x:c>
      <x:c r="AU45" s="10" t="n">
        <x:f>AB45/INDEX(v01_RepScale,G45)</x:f>
        <x:v>14.583761198796445</x:v>
      </x:c>
      <x:c r="AV45" s="32" t="n">
        <x:f>AM45*60/v01_SeasonSeconds</x:f>
        <x:v>4.844905453010278</x:v>
      </x:c>
    </x:row>
    <x:row r="46">
      <x:c r="A46" s="8" t="n">
        <x:f>A45+1</x:f>
        <x:v>43</x:v>
      </x:c>
      <x:c r="B46" s="9" t="n">
        <x:f>A46*v01_SeasonSeconds/60</x:f>
        <x:v>10.75</x:v>
      </x:c>
      <x:c r="C46" s="9" t="n">
        <x:f>A46/4</x:f>
        <x:v>10.75</x:v>
      </x:c>
      <x:c r="D46" s="8" t="n">
        <x:f>IF(MOD(A46,4)=0,1,0)</x:f>
        <x:v>0</x:v>
      </x:c>
      <x:c r="E46" s="8" t="n">
        <x:f>IF(AND(F45&lt;=9,AS45&gt;=AR45),1,0)</x:f>
        <x:v>0</x:v>
      </x:c>
      <x:c r="F46" s="8" t="n">
        <x:f>MIN(10,F45+E46)</x:f>
        <x:v>0</x:v>
      </x:c>
      <x:c r="G46" s="8" t="n">
        <x:f>MIN(F46,9)+1</x:f>
        <x:v>1</x:v>
      </x:c>
      <x:c r="H46" s="8" t="n">
        <x:f>IF(F46&lt;=9,1,0)</x:f>
        <x:v>1</x:v>
      </x:c>
      <x:c r="I46" s="9" t="n">
        <x:f>MIN(10,F45+IF(AR45&gt;0,MIN(1,AS45/AR45),1))</x:f>
        <x:v>0.1685110470488173</x:v>
      </x:c>
      <x:c r="J46" s="32" t="n">
        <x:f>INDEX(v01_FoodCap,G46)*Arch_FoodCap*EXP(v01_CapsByProject*SUMPRODUCT((Cap_Point&lt;=I46)*(Cap_Kind="Food")*Cap_Ln))</x:f>
        <x:v>22</x:v>
      </x:c>
      <x:c r="K46" s="32" t="n">
        <x:f>J46*MIN(1,v01_LeanBase*EXP(v01_CapsByProject*SUMPRODUCT((Cap_Point&lt;=I46)*(Cap_Kind="Lean")*Cap_Ln)))</x:f>
        <x:v>22</x:v>
      </x:c>
      <x:c r="L46" s="10" t="n">
        <x:f>INDEX(v01_HousingCap,G46)*EXP(v01_CapsByProject*SUMPRODUCT((Cap_Point&lt;=I46)*(Cap_Kind="Housing")*Cap_Ln))</x:f>
        <x:v>60</x:v>
      </x:c>
      <x:c r="M46" s="10" t="n">
        <x:f>INDEX(v01_GroupCap,G46)*v01_CohesionFactor*EXP(v01_CapsByProject*SUMPRODUCT((Cap_Point&lt;=I46)*(Cap_Kind="Group")*Cap_Ln))</x:f>
        <x:v>35</x:v>
      </x:c>
      <x:c r="N46" s="32" t="n">
        <x:f>MIN(J46,L46,M46)</x:f>
        <x:v>22</x:v>
      </x:c>
      <x:c r="O46" s="10" t="n">
        <x:f>AE45*N46</x:f>
        <x:v>22</x:v>
      </x:c>
      <x:c r="P46" s="9" t="n">
        <x:f>MIN(1,(AB45/(AE45*IF(v01_GroupInCrowding=1,N46,MIN(J46,L46))))^v01_CrowdingExp)</x:f>
        <x:v>0.0848557314257598</x:v>
      </x:c>
      <x:c r="Q46" s="9" t="n">
        <x:f>IF(D46=1,INDEX(v01_WinterMult,G46),1)</x:f>
        <x:v>1</x:v>
      </x:c>
      <x:c r="R46" s="9" t="n">
        <x:f>H46*Z45*v01_WomenShare*v01_BaseFertility*INDEX(v01_FertMult,G46)*Arch_Fertility*(1-P46)</x:f>
        <x:v>0.19750288763376891</x:v>
      </x:c>
      <x:c r="S46" s="9" t="n">
        <x:f>H46*Y45*INDEX(v01_MortChild,G46)/4*Q46</x:f>
        <x:v>0.054681116383753316</x:v>
      </x:c>
      <x:c r="T46" s="9" t="n">
        <x:f>H46*Z45*INDEX(v01_MortAdult,G46)*Arch_AdultMort/4*Q46</x:f>
        <x:v>0.026977015320965577</x:v>
      </x:c>
      <x:c r="U46" s="9" t="n">
        <x:f>H46*AA45*INDEX(v01_MortElder,G46)/4*Q46</x:f>
        <x:v>0.04804447020409067</x:v>
      </x:c>
      <x:c r="V46" s="9" t="n">
        <x:f>H46*MAX(0,AB45-O46)*v01_OvercapLoss</x:f>
        <x:v>0</x:v>
      </x:c>
      <x:c r="W46" s="9" t="n">
        <x:f>H46*Y45/(v01_ChildYears*4)</x:f>
        <x:v>0.09764485068527377</x:v>
      </x:c>
      <x:c r="X46" s="9" t="n">
        <x:f>H46*Z45/(v01_AdultYears*4)</x:f>
        <x:v>0.058015086711753934</x:v>
      </x:c>
      <x:c r="Y46" s="32" t="n">
        <x:f>Y45+R46-S46-W46-Y45*V46/AB45</x:f>
        <x:v>5.513288558940073</x:v>
      </x:c>
      <x:c r="Z46" s="32" t="n">
        <x:f>Z45+W46-X46-T46-Z45*V46/AB45</x:f>
        <x:v>7.206523500910042</x:v>
      </x:c>
      <x:c r="AA46" s="32" t="n">
        <x:f>AA45+X46-U46-AA45*V46/AB45</x:f>
        <x:v>1.9317494246712898</x:v>
      </x:c>
      <x:c r="AB46" s="10" t="n">
        <x:f>Y46+Z46+AA46</x:f>
        <x:v>14.651561484521405</x:v>
      </x:c>
      <x:c r="AC46" s="8" t="n">
        <x:f>IF(AND(v01_WinterTrigger=1,D46=1,AB45/AE45&gt;=K46),1,0)</x:f>
        <x:v>0</x:v>
      </x:c>
      <x:c r="AD46" s="8" t="n">
        <x:f>H46*IF(AND(OR(AB45/AE45&gt;=v01_FissionTrigger*N46,AC46=1),AB45/AE45*v01_DaughterShare&gt;=v01_MinDaughter),MAX(1,ROUND(AE45*v01_FissionRate,0)),0)</x:f>
        <x:v>0</x:v>
      </x:c>
      <x:c r="AE46" s="8" t="n">
        <x:f>IF(H46=1,MAX(1,MIN(INDEX(v01_Smax,G46),AE45+AD46)),AE45)</x:f>
        <x:v>1</x:v>
      </x:c>
      <x:c r="AF46" s="8" t="n">
        <x:f>MAX(0,AE46-AE45)</x:f>
        <x:v>0</x:v>
      </x:c>
      <x:c r="AG46" s="9" t="str">
        <x:f>IF(AF46&gt;0,B46,"")</x:f>
      </x:c>
      <x:c r="AH46" s="9" t="n">
        <x:f>IF(F46&gt;=1,1,(1+v01_LowTiesShare*(AE46-1))/AE46)</x:f>
        <x:v>1</x:v>
      </x:c>
      <x:c r="AI46" s="32" t="n">
        <x:f>(Z46+v01_ElderCommons*INDEX(LM_Elder,G46)*AA46)*AH46</x:f>
        <x:v>11.070022350252621</x:v>
      </x:c>
      <x:c r="AJ46" s="32" t="n">
        <x:f>H46*v01_CommonsCoef*AI46^v01_CommonsExp*INDEX(LM_Commons,G46)</x:f>
        <x:v>4.857063887588232</x:v>
      </x:c>
      <x:c r="AK46" s="32" t="n">
        <x:f>H46*v01_RoleScale*Arch_Roles*(AE46*(INDEX(v01_ElderRolePerSett,G46)*v01_OutElder*INDEX(LM_Elder,G46)+INDEX(v01_ShamanPerSett,G46)*v01_OutShaman)+Z46*(INDEX(v01_PriestShare,G46)*v01_OutPriest+INDEX(v01_ScribeShare,G46)*v01_OutScribe*INDEX(LM_Scribe,G46)+INDEX(v01_ScholarShare,G46)*v01_OutScholar*INDEX(LM_Scholar,G46)+INDEX(v01_ResearcherShare,G46)*v01_OutResearcher*INDEX(LM_Researcher,G46)))</x:f>
        <x:v>0</x:v>
      </x:c>
      <x:c r="AL46" s="32" t="n">
        <x:f>H46*v01_RoleScale*Arch_Roles*AE46*INDEX(v01_MonasteryPerSett,G46)*v01_OutMonastery*INDEX(LM_Monastery,G46)</x:f>
        <x:v>0</x:v>
      </x:c>
      <x:c r="AM46" s="32" t="n">
        <x:f>(AJ46+AK46+AL46)/4*INDEX(LM_All,G46)*INDEX(v01_Boon,G46)*Arch_Insight</x:f>
        <x:v>1.214265971897058</x:v>
      </x:c>
      <x:c r="AN46" s="32" t="n">
        <x:f>H46*(v01_KHPerAdult*Z46+v01_KHOfCommons*AJ46/4*INDEX(LM_All,G46))*v01_KHUsable*Arch_KH</x:f>
        <x:v>0.25222832253185146</x:v>
      </x:c>
      <x:c r="AO46" s="32" t="n">
        <x:f>MIN(AP45+AN46,AM46*v01_KHMaxRatio)</x:f>
        <x:v>0.25222832253185146</x:v>
      </x:c>
      <x:c r="AP46" s="32" t="n">
        <x:f>AP45+AN46-AO46</x:f>
        <x:v>0</x:v>
      </x:c>
      <x:c r="AQ46" s="32" t="n">
        <x:f>AM46+AO46</x:f>
        <x:v>1.4664942944289097</x:v>
      </x:c>
      <x:c r="AR46" s="10" t="n">
        <x:f>IF(H46=1,INDEX(v01_Req,G46),0)</x:f>
        <x:v>372.02</x:v>
      </x:c>
      <x:c r="AS46" s="32" t="n">
        <x:f>IF(H46=1,IF(E46=1,AS45-AR45,AS45)+AQ46,0)</x:f>
        <x:v>64.15597401752993</x:v>
      </x:c>
      <x:c r="AT46" s="11" t="n">
        <x:f>IF(AR46&gt;0,MIN(1,AS46/AR46),1)</x:f>
        <x:v>0.17245302407808702</x:v>
      </x:c>
      <x:c r="AU46" s="10" t="n">
        <x:f>AB46/INDEX(v01_RepScale,G46)</x:f>
        <x:v>14.651561484521405</x:v>
      </x:c>
      <x:c r="AV46" s="32" t="n">
        <x:f>AM46*60/v01_SeasonSeconds</x:f>
        <x:v>4.857063887588233</x:v>
      </x:c>
    </x:row>
    <x:row r="47">
      <x:c r="A47" s="8" t="n">
        <x:f>A46+1</x:f>
        <x:v>44</x:v>
      </x:c>
      <x:c r="B47" s="9" t="n">
        <x:f>A47*v01_SeasonSeconds/60</x:f>
        <x:v>11</x:v>
      </x:c>
      <x:c r="C47" s="9" t="n">
        <x:f>A47/4</x:f>
        <x:v>11</x:v>
      </x:c>
      <x:c r="D47" s="8" t="n">
        <x:f>IF(MOD(A47,4)=0,1,0)</x:f>
        <x:v>1</x:v>
      </x:c>
      <x:c r="E47" s="8" t="n">
        <x:f>IF(AND(F46&lt;=9,AS46&gt;=AR46),1,0)</x:f>
        <x:v>0</x:v>
      </x:c>
      <x:c r="F47" s="8" t="n">
        <x:f>MIN(10,F46+E47)</x:f>
        <x:v>0</x:v>
      </x:c>
      <x:c r="G47" s="8" t="n">
        <x:f>MIN(F47,9)+1</x:f>
        <x:v>1</x:v>
      </x:c>
      <x:c r="H47" s="8" t="n">
        <x:f>IF(F47&lt;=9,1,0)</x:f>
        <x:v>1</x:v>
      </x:c>
      <x:c r="I47" s="9" t="n">
        <x:f>MIN(10,F46+IF(AR46&gt;0,MIN(1,AS46/AR46),1))</x:f>
        <x:v>0.17245302407808702</x:v>
      </x:c>
      <x:c r="J47" s="32" t="n">
        <x:f>INDEX(v01_FoodCap,G47)*Arch_FoodCap*EXP(v01_CapsByProject*SUMPRODUCT((Cap_Point&lt;=I47)*(Cap_Kind="Food")*Cap_Ln))</x:f>
        <x:v>22</x:v>
      </x:c>
      <x:c r="K47" s="32" t="n">
        <x:f>J47*MIN(1,v01_LeanBase*EXP(v01_CapsByProject*SUMPRODUCT((Cap_Point&lt;=I47)*(Cap_Kind="Lean")*Cap_Ln)))</x:f>
        <x:v>22</x:v>
      </x:c>
      <x:c r="L47" s="10" t="n">
        <x:f>INDEX(v01_HousingCap,G47)*EXP(v01_CapsByProject*SUMPRODUCT((Cap_Point&lt;=I47)*(Cap_Kind="Housing")*Cap_Ln))</x:f>
        <x:v>60</x:v>
      </x:c>
      <x:c r="M47" s="10" t="n">
        <x:f>INDEX(v01_GroupCap,G47)*v01_CohesionFactor*EXP(v01_CapsByProject*SUMPRODUCT((Cap_Point&lt;=I47)*(Cap_Kind="Group")*Cap_Ln))</x:f>
        <x:v>35</x:v>
      </x:c>
      <x:c r="N47" s="32" t="n">
        <x:f>MIN(J47,L47,M47)</x:f>
        <x:v>22</x:v>
      </x:c>
      <x:c r="O47" s="10" t="n">
        <x:f>AE46*N47</x:f>
        <x:v>22</x:v>
      </x:c>
      <x:c r="P47" s="9" t="n">
        <x:f>MIN(1,(AB46/(AE46*IF(v01_GroupInCrowding=1,N47,MIN(J47,L47))))^v01_CrowdingExp)</x:f>
        <x:v>0.0872503919535161</x:v>
      </x:c>
      <x:c r="Q47" s="9" t="n">
        <x:f>IF(D47=1,INDEX(v01_WinterMult,G47),1)</x:f>
        <x:v>2</x:v>
      </x:c>
      <x:c r="R47" s="9" t="n">
        <x:f>H47*Z46*v01_WomenShare*v01_BaseFertility*INDEX(v01_FertMult,G47)*Arch_Fertility*(1-P47)</x:f>
        <x:v>0.19733254502500247</x:v>
      </x:c>
      <x:c r="S47" s="9" t="n">
        <x:f>H47*Y46*INDEX(v01_MortChild,G47)/4*Q47</x:f>
        <x:v>0.11026577117880146</x:v>
      </x:c>
      <x:c r="T47" s="9" t="n">
        <x:f>H47*Z46*INDEX(v01_MortAdult,G47)*Arch_AdultMort/4*Q47</x:f>
        <x:v>0.054048926256825315</x:v>
      </x:c>
      <x:c r="U47" s="9" t="n">
        <x:f>H47*AA46*INDEX(v01_MortElder,G47)/4*Q47</x:f>
        <x:v>0.0965874712335645</x:v>
      </x:c>
      <x:c r="V47" s="9" t="n">
        <x:f>H47*MAX(0,AB46-O47)*v01_OvercapLoss</x:f>
        <x:v>0</x:v>
      </x:c>
      <x:c r="W47" s="9" t="n">
        <x:f>H47*Y46/(v01_ChildYears*4)</x:f>
        <x:v>0.09845158140964416</x:v>
      </x:c>
      <x:c r="X47" s="9" t="n">
        <x:f>H47*Z46/(v01_AdultYears*4)</x:f>
        <x:v>0.05811712500733905</x:v>
      </x:c>
      <x:c r="Y47" s="32" t="n">
        <x:f>Y46+R47-S47-W47-Y46*V47/AB46</x:f>
        <x:v>5.50190375137663</x:v>
      </x:c>
      <x:c r="Z47" s="32" t="n">
        <x:f>Z46+W47-X47-T47-Z46*V47/AB46</x:f>
        <x:v>7.192809031055522</x:v>
      </x:c>
      <x:c r="AA47" s="32" t="n">
        <x:f>AA46+X47-U47-AA46*V47/AB46</x:f>
        <x:v>1.8932790784450644</x:v>
      </x:c>
      <x:c r="AB47" s="10" t="n">
        <x:f>Y47+Z47+AA47</x:f>
        <x:v>14.587991860877217</x:v>
      </x:c>
      <x:c r="AC47" s="8" t="n">
        <x:f>IF(AND(v01_WinterTrigger=1,D47=1,AB46/AE46&gt;=K47),1,0)</x:f>
        <x:v>0</x:v>
      </x:c>
      <x:c r="AD47" s="8" t="n">
        <x:f>H47*IF(AND(OR(AB46/AE46&gt;=v01_FissionTrigger*N47,AC47=1),AB46/AE46*v01_DaughterShare&gt;=v01_MinDaughter),MAX(1,ROUND(AE46*v01_FissionRate,0)),0)</x:f>
        <x:v>0</x:v>
      </x:c>
      <x:c r="AE47" s="8" t="n">
        <x:f>IF(H47=1,MAX(1,MIN(INDEX(v01_Smax,G47),AE46+AD47)),AE46)</x:f>
        <x:v>1</x:v>
      </x:c>
      <x:c r="AF47" s="8" t="n">
        <x:f>MAX(0,AE47-AE46)</x:f>
        <x:v>0</x:v>
      </x:c>
      <x:c r="AG47" s="9" t="str">
        <x:f>IF(AF47&gt;0,B47,"")</x:f>
      </x:c>
      <x:c r="AH47" s="9" t="n">
        <x:f>IF(F47&gt;=1,1,(1+v01_LowTiesShare*(AE47-1))/AE47)</x:f>
        <x:v>1</x:v>
      </x:c>
      <x:c r="AI47" s="32" t="n">
        <x:f>(Z47+v01_ElderCommons*INDEX(LM_Elder,G47)*AA47)*AH47</x:f>
        <x:v>10.979367187945652</x:v>
      </x:c>
      <x:c r="AJ47" s="32" t="n">
        <x:f>H47*v01_CommonsCoef*AI47^v01_CommonsExp*INDEX(LM_Commons,G47)</x:f>
        <x:v>4.823233709548693</x:v>
      </x:c>
      <x:c r="AK47" s="32" t="n">
        <x:f>H47*v01_RoleScale*Arch_Roles*(AE47*(INDEX(v01_ElderRolePerSett,G47)*v01_OutElder*INDEX(LM_Elder,G47)+INDEX(v01_ShamanPerSett,G47)*v01_OutShaman)+Z47*(INDEX(v01_PriestShare,G47)*v01_OutPriest+INDEX(v01_ScribeShare,G47)*v01_OutScribe*INDEX(LM_Scribe,G47)+INDEX(v01_ScholarShare,G47)*v01_OutScholar*INDEX(LM_Scholar,G47)+INDEX(v01_ResearcherShare,G47)*v01_OutResearcher*INDEX(LM_Researcher,G47)))</x:f>
        <x:v>0</x:v>
      </x:c>
      <x:c r="AL47" s="32" t="n">
        <x:f>H47*v01_RoleScale*Arch_Roles*AE47*INDEX(v01_MonasteryPerSett,G47)*v01_OutMonastery*INDEX(LM_Monastery,G47)</x:f>
        <x:v>0</x:v>
      </x:c>
      <x:c r="AM47" s="32" t="n">
        <x:f>(AJ47+AK47+AL47)/4*INDEX(LM_All,G47)*INDEX(v01_Boon,G47)*Arch_Insight</x:f>
        <x:v>1.2058084273871732</x:v>
      </x:c>
      <x:c r="AN47" s="32" t="n">
        <x:f>H47*(v01_KHPerAdult*Z47+v01_KHOfCommons*AJ47/4*INDEX(LM_All,G47))*v01_KHUsable*Arch_KH</x:f>
        <x:v>0.25174831608694326</x:v>
      </x:c>
      <x:c r="AO47" s="32" t="n">
        <x:f>MIN(AP46+AN47,AM47*v01_KHMaxRatio)</x:f>
        <x:v>0.25174831608694326</x:v>
      </x:c>
      <x:c r="AP47" s="32" t="n">
        <x:f>AP46+AN47-AO47</x:f>
        <x:v>0</x:v>
      </x:c>
      <x:c r="AQ47" s="32" t="n">
        <x:f>AM47+AO47</x:f>
        <x:v>1.4575567434741163</x:v>
      </x:c>
      <x:c r="AR47" s="10" t="n">
        <x:f>IF(H47=1,INDEX(v01_Req,G47),0)</x:f>
        <x:v>372.02</x:v>
      </x:c>
      <x:c r="AS47" s="32" t="n">
        <x:f>IF(H47=1,IF(E47=1,AS46-AR46,AS46)+AQ47,0)</x:f>
        <x:v>65.61353076100404</x:v>
      </x:c>
      <x:c r="AT47" s="11" t="n">
        <x:f>IF(AR47&gt;0,MIN(1,AS47/AR47),1)</x:f>
        <x:v>0.17637097672438054</x:v>
      </x:c>
      <x:c r="AU47" s="10" t="n">
        <x:f>AB47/INDEX(v01_RepScale,G47)</x:f>
        <x:v>14.587991860877217</x:v>
      </x:c>
      <x:c r="AV47" s="32" t="n">
        <x:f>AM47*60/v01_SeasonSeconds</x:f>
        <x:v>4.823233709548693</x:v>
      </x:c>
    </x:row>
    <x:row r="48">
      <x:c r="A48" s="8" t="n">
        <x:f>A47+1</x:f>
        <x:v>45</x:v>
      </x:c>
      <x:c r="B48" s="9" t="n">
        <x:f>A48*v01_SeasonSeconds/60</x:f>
        <x:v>11.25</x:v>
      </x:c>
      <x:c r="C48" s="9" t="n">
        <x:f>A48/4</x:f>
        <x:v>11.25</x:v>
      </x:c>
      <x:c r="D48" s="8" t="n">
        <x:f>IF(MOD(A48,4)=0,1,0)</x:f>
        <x:v>0</x:v>
      </x:c>
      <x:c r="E48" s="8" t="n">
        <x:f>IF(AND(F47&lt;=9,AS47&gt;=AR47),1,0)</x:f>
        <x:v>0</x:v>
      </x:c>
      <x:c r="F48" s="8" t="n">
        <x:f>MIN(10,F47+E48)</x:f>
        <x:v>0</x:v>
      </x:c>
      <x:c r="G48" s="8" t="n">
        <x:f>MIN(F48,9)+1</x:f>
        <x:v>1</x:v>
      </x:c>
      <x:c r="H48" s="8" t="n">
        <x:f>IF(F48&lt;=9,1,0)</x:f>
        <x:v>1</x:v>
      </x:c>
      <x:c r="I48" s="9" t="n">
        <x:f>MIN(10,F47+IF(AR47&gt;0,MIN(1,AS47/AR47),1))</x:f>
        <x:v>0.17637097672438054</x:v>
      </x:c>
      <x:c r="J48" s="32" t="n">
        <x:f>INDEX(v01_FoodCap,G48)*Arch_FoodCap*EXP(v01_CapsByProject*SUMPRODUCT((Cap_Point&lt;=I48)*(Cap_Kind="Food")*Cap_Ln))</x:f>
        <x:v>22</x:v>
      </x:c>
      <x:c r="K48" s="32" t="n">
        <x:f>J48*MIN(1,v01_LeanBase*EXP(v01_CapsByProject*SUMPRODUCT((Cap_Point&lt;=I48)*(Cap_Kind="Lean")*Cap_Ln)))</x:f>
        <x:v>22</x:v>
      </x:c>
      <x:c r="L48" s="10" t="n">
        <x:f>INDEX(v01_HousingCap,G48)*EXP(v01_CapsByProject*SUMPRODUCT((Cap_Point&lt;=I48)*(Cap_Kind="Housing")*Cap_Ln))</x:f>
        <x:v>60</x:v>
      </x:c>
      <x:c r="M48" s="10" t="n">
        <x:f>INDEX(v01_GroupCap,G48)*v01_CohesionFactor*EXP(v01_CapsByProject*SUMPRODUCT((Cap_Point&lt;=I48)*(Cap_Kind="Group")*Cap_Ln))</x:f>
        <x:v>35</x:v>
      </x:c>
      <x:c r="N48" s="32" t="n">
        <x:f>MIN(J48,L48,M48)</x:f>
        <x:v>22</x:v>
      </x:c>
      <x:c r="O48" s="10" t="n">
        <x:f>AE47*N48</x:f>
        <x:v>22</x:v>
      </x:c>
      <x:c r="P48" s="9" t="n">
        <x:f>MIN(1,(AB47/(AE47*IF(v01_GroupInCrowding=1,N48,MIN(J48,L48))))^v01_CrowdingExp)</x:f>
        <x:v>0.08500353542949217</x:v>
      </x:c>
      <x:c r="Q48" s="9" t="n">
        <x:f>IF(D48=1,INDEX(v01_WinterMult,G48),1)</x:f>
        <x:v>1</x:v>
      </x:c>
      <x:c r="R48" s="9" t="n">
        <x:f>H48*Z47*v01_WomenShare*v01_BaseFertility*INDEX(v01_FertMult,G48)*Arch_Fertility*(1-P48)</x:f>
        <x:v>0.1974418450123987</x:v>
      </x:c>
      <x:c r="S48" s="9" t="n">
        <x:f>H48*Y47*INDEX(v01_MortChild,G48)/4*Q48</x:f>
        <x:v>0.0550190375137663</x:v>
      </x:c>
      <x:c r="T48" s="9" t="n">
        <x:f>H48*Z47*INDEX(v01_MortAdult,G48)*Arch_AdultMort/4*Q48</x:f>
        <x:v>0.026973033866458208</x:v>
      </x:c>
      <x:c r="U48" s="9" t="n">
        <x:f>H48*AA47*INDEX(v01_MortElder,G48)/4*Q48</x:f>
        <x:v>0.047331976961126614</x:v>
      </x:c>
      <x:c r="V48" s="9" t="n">
        <x:f>H48*MAX(0,AB47-O48)*v01_OvercapLoss</x:f>
        <x:v>0</x:v>
      </x:c>
      <x:c r="W48" s="9" t="n">
        <x:f>H48*Y47/(v01_ChildYears*4)</x:f>
        <x:v>0.09824828127458267</x:v>
      </x:c>
      <x:c r="X48" s="9" t="n">
        <x:f>H48*Z47/(v01_AdultYears*4)</x:f>
        <x:v>0.05800652444399615</x:v>
      </x:c>
      <x:c r="Y48" s="32" t="n">
        <x:f>Y47+R48-S48-W48-Y47*V48/AB47</x:f>
        <x:v>5.546078277600679</x:v>
      </x:c>
      <x:c r="Z48" s="32" t="n">
        <x:f>Z47+W48-X48-T48-Z47*V48/AB47</x:f>
        <x:v>7.206077754019651</x:v>
      </x:c>
      <x:c r="AA48" s="32" t="n">
        <x:f>AA47+X48-U48-AA47*V48/AB47</x:f>
        <x:v>1.903953625927934</x:v>
      </x:c>
      <x:c r="AB48" s="10" t="n">
        <x:f>Y48+Z48+AA48</x:f>
        <x:v>14.656109657548264</x:v>
      </x:c>
      <x:c r="AC48" s="8" t="n">
        <x:f>IF(AND(v01_WinterTrigger=1,D48=1,AB47/AE47&gt;=K48),1,0)</x:f>
        <x:v>0</x:v>
      </x:c>
      <x:c r="AD48" s="8" t="n">
        <x:f>H48*IF(AND(OR(AB47/AE47&gt;=v01_FissionTrigger*N48,AC48=1),AB47/AE47*v01_DaughterShare&gt;=v01_MinDaughter),MAX(1,ROUND(AE47*v01_FissionRate,0)),0)</x:f>
        <x:v>0</x:v>
      </x:c>
      <x:c r="AE48" s="8" t="n">
        <x:f>IF(H48=1,MAX(1,MIN(INDEX(v01_Smax,G48),AE47+AD48)),AE47)</x:f>
        <x:v>1</x:v>
      </x:c>
      <x:c r="AF48" s="8" t="n">
        <x:f>MAX(0,AE48-AE47)</x:f>
        <x:v>0</x:v>
      </x:c>
      <x:c r="AG48" s="9" t="str">
        <x:f>IF(AF48&gt;0,B48,"")</x:f>
      </x:c>
      <x:c r="AH48" s="9" t="n">
        <x:f>IF(F48&gt;=1,1,(1+v01_LowTiesShare*(AE48-1))/AE48)</x:f>
        <x:v>1</x:v>
      </x:c>
      <x:c r="AI48" s="32" t="n">
        <x:f>(Z48+v01_ElderCommons*INDEX(LM_Elder,G48)*AA48)*AH48</x:f>
        <x:v>11.013985005875519</x:v>
      </x:c>
      <x:c r="AJ48" s="32" t="n">
        <x:f>H48*v01_CommonsCoef*AI48^v01_CommonsExp*INDEX(LM_Commons,G48)</x:f>
        <x:v>4.836157116613952</x:v>
      </x:c>
      <x:c r="AK48" s="32" t="n">
        <x:f>H48*v01_RoleScale*Arch_Roles*(AE48*(INDEX(v01_ElderRolePerSett,G48)*v01_OutElder*INDEX(LM_Elder,G48)+INDEX(v01_ShamanPerSett,G48)*v01_OutShaman)+Z48*(INDEX(v01_PriestShare,G48)*v01_OutPriest+INDEX(v01_ScribeShare,G48)*v01_OutScribe*INDEX(LM_Scribe,G48)+INDEX(v01_ScholarShare,G48)*v01_OutScholar*INDEX(LM_Scholar,G48)+INDEX(v01_ResearcherShare,G48)*v01_OutResearcher*INDEX(LM_Researcher,G48)))</x:f>
        <x:v>0</x:v>
      </x:c>
      <x:c r="AL48" s="32" t="n">
        <x:f>H48*v01_RoleScale*Arch_Roles*AE48*INDEX(v01_MonasteryPerSett,G48)*v01_OutMonastery*INDEX(LM_Monastery,G48)</x:f>
        <x:v>0</x:v>
      </x:c>
      <x:c r="AM48" s="32" t="n">
        <x:f>(AJ48+AK48+AL48)/4*INDEX(LM_All,G48)*INDEX(v01_Boon,G48)*Arch_Insight</x:f>
        <x:v>1.209039279153488</x:v>
      </x:c>
      <x:c r="AN48" s="32" t="n">
        <x:f>H48*(v01_KHPerAdult*Z48+v01_KHOfCommons*AJ48/4*INDEX(LM_All,G48))*v01_KHUsable*Arch_KH</x:f>
        <x:v>0.2522127213906878</x:v>
      </x:c>
      <x:c r="AO48" s="32" t="n">
        <x:f>MIN(AP47+AN48,AM48*v01_KHMaxRatio)</x:f>
        <x:v>0.2522127213906878</x:v>
      </x:c>
      <x:c r="AP48" s="32" t="n">
        <x:f>AP47+AN48-AO48</x:f>
        <x:v>0</x:v>
      </x:c>
      <x:c r="AQ48" s="32" t="n">
        <x:f>AM48+AO48</x:f>
        <x:v>1.4612520005441758</x:v>
      </x:c>
      <x:c r="AR48" s="10" t="n">
        <x:f>IF(H48=1,INDEX(v01_Req,G48),0)</x:f>
        <x:v>372.02</x:v>
      </x:c>
      <x:c r="AS48" s="32" t="n">
        <x:f>IF(H48=1,IF(E48=1,AS47-AR47,AS47)+AQ48,0)</x:f>
        <x:v>67.07478276154822</x:v>
      </x:c>
      <x:c r="AT48" s="11" t="n">
        <x:f>IF(AR48&gt;0,MIN(1,AS48/AR48),1)</x:f>
        <x:v>0.18029886232339182</x:v>
      </x:c>
      <x:c r="AU48" s="10" t="n">
        <x:f>AB48/INDEX(v01_RepScale,G48)</x:f>
        <x:v>14.656109657548264</x:v>
      </x:c>
      <x:c r="AV48" s="32" t="n">
        <x:f>AM48*60/v01_SeasonSeconds</x:f>
        <x:v>4.836157116613952</x:v>
      </x:c>
    </x:row>
    <x:row r="49">
      <x:c r="A49" s="8" t="n">
        <x:f>A48+1</x:f>
        <x:v>46</x:v>
      </x:c>
      <x:c r="B49" s="9" t="n">
        <x:f>A49*v01_SeasonSeconds/60</x:f>
        <x:v>11.5</x:v>
      </x:c>
      <x:c r="C49" s="9" t="n">
        <x:f>A49/4</x:f>
        <x:v>11.5</x:v>
      </x:c>
      <x:c r="D49" s="8" t="n">
        <x:f>IF(MOD(A49,4)=0,1,0)</x:f>
        <x:v>0</x:v>
      </x:c>
      <x:c r="E49" s="8" t="n">
        <x:f>IF(AND(F48&lt;=9,AS48&gt;=AR48),1,0)</x:f>
        <x:v>0</x:v>
      </x:c>
      <x:c r="F49" s="8" t="n">
        <x:f>MIN(10,F48+E49)</x:f>
        <x:v>0</x:v>
      </x:c>
      <x:c r="G49" s="8" t="n">
        <x:f>MIN(F49,9)+1</x:f>
        <x:v>1</x:v>
      </x:c>
      <x:c r="H49" s="8" t="n">
        <x:f>IF(F49&lt;=9,1,0)</x:f>
        <x:v>1</x:v>
      </x:c>
      <x:c r="I49" s="9" t="n">
        <x:f>MIN(10,F48+IF(AR48&gt;0,MIN(1,AS48/AR48),1))</x:f>
        <x:v>0.18029886232339182</x:v>
      </x:c>
      <x:c r="J49" s="32" t="n">
        <x:f>INDEX(v01_FoodCap,G49)*Arch_FoodCap*EXP(v01_CapsByProject*SUMPRODUCT((Cap_Point&lt;=I49)*(Cap_Kind="Food")*Cap_Ln))</x:f>
        <x:v>22</x:v>
      </x:c>
      <x:c r="K49" s="32" t="n">
        <x:f>J49*MIN(1,v01_LeanBase*EXP(v01_CapsByProject*SUMPRODUCT((Cap_Point&lt;=I49)*(Cap_Kind="Lean")*Cap_Ln)))</x:f>
        <x:v>22</x:v>
      </x:c>
      <x:c r="L49" s="10" t="n">
        <x:f>INDEX(v01_HousingCap,G49)*EXP(v01_CapsByProject*SUMPRODUCT((Cap_Point&lt;=I49)*(Cap_Kind="Housing")*Cap_Ln))</x:f>
        <x:v>60</x:v>
      </x:c>
      <x:c r="M49" s="10" t="n">
        <x:f>INDEX(v01_GroupCap,G49)*v01_CohesionFactor*EXP(v01_CapsByProject*SUMPRODUCT((Cap_Point&lt;=I49)*(Cap_Kind="Group")*Cap_Ln))</x:f>
        <x:v>35</x:v>
      </x:c>
      <x:c r="N49" s="32" t="n">
        <x:f>MIN(J49,L49,M49)</x:f>
        <x:v>22</x:v>
      </x:c>
      <x:c r="O49" s="10" t="n">
        <x:f>AE48*N49</x:f>
        <x:v>22</x:v>
      </x:c>
      <x:c r="P49" s="9" t="n">
        <x:f>MIN(1,(AB48/(AE48*IF(v01_GroupInCrowding=1,N49,MIN(J49,L49))))^v01_CrowdingExp)</x:f>
        <x:v>0.08741302498183805</x:v>
      </x:c>
      <x:c r="Q49" s="9" t="n">
        <x:f>IF(D49=1,INDEX(v01_WinterMult,G49),1)</x:f>
        <x:v>1</x:v>
      </x:c>
      <x:c r="R49" s="9" t="n">
        <x:f>H49*Z48*v01_WomenShare*v01_BaseFertility*INDEX(v01_FertMult,G49)*Arch_Fertility*(1-P49)</x:f>
        <x:v>0.19728518097859393</x:v>
      </x:c>
      <x:c r="S49" s="9" t="n">
        <x:f>H49*Y48*INDEX(v01_MortChild,G49)/4*Q49</x:f>
        <x:v>0.055460782776006794</x:v>
      </x:c>
      <x:c r="T49" s="9" t="n">
        <x:f>H49*Z48*INDEX(v01_MortAdult,G49)*Arch_AdultMort/4*Q49</x:f>
        <x:v>0.02702279157757369</x:v>
      </x:c>
      <x:c r="U49" s="9" t="n">
        <x:f>H49*AA48*INDEX(v01_MortElder,G49)/4*Q49</x:f>
        <x:v>0.04759884064819835</x:v>
      </x:c>
      <x:c r="V49" s="9" t="n">
        <x:f>H49*MAX(0,AB48-O49)*v01_OvercapLoss</x:f>
        <x:v>0</x:v>
      </x:c>
      <x:c r="W49" s="9" t="n">
        <x:f>H49*Y48/(v01_ChildYears*4)</x:f>
        <x:v>0.09903711210001212</x:v>
      </x:c>
      <x:c r="X49" s="9" t="n">
        <x:f>H49*Z48/(v01_AdultYears*4)</x:f>
        <x:v>0.058113530274352024</x:v>
      </x:c>
      <x:c r="Y49" s="32" t="n">
        <x:f>Y48+R49-S49-W49-Y48*V49/AB48</x:f>
        <x:v>5.588865563703254</x:v>
      </x:c>
      <x:c r="Z49" s="32" t="n">
        <x:f>Z48+W49-X49-T49-Z48*V49/AB48</x:f>
        <x:v>7.219978544267737</x:v>
      </x:c>
      <x:c r="AA49" s="32" t="n">
        <x:f>AA48+X49-U49-AA48*V49/AB48</x:f>
        <x:v>1.9144683155540876</x:v>
      </x:c>
      <x:c r="AB49" s="10" t="n">
        <x:f>Y49+Z49+AA49</x:f>
        <x:v>14.723312423525078</x:v>
      </x:c>
      <x:c r="AC49" s="8" t="n">
        <x:f>IF(AND(v01_WinterTrigger=1,D49=1,AB48/AE48&gt;=K49),1,0)</x:f>
        <x:v>0</x:v>
      </x:c>
      <x:c r="AD49" s="8" t="n">
        <x:f>H49*IF(AND(OR(AB48/AE48&gt;=v01_FissionTrigger*N49,AC49=1),AB48/AE48*v01_DaughterShare&gt;=v01_MinDaughter),MAX(1,ROUND(AE48*v01_FissionRate,0)),0)</x:f>
        <x:v>0</x:v>
      </x:c>
      <x:c r="AE49" s="8" t="n">
        <x:f>IF(H49=1,MAX(1,MIN(INDEX(v01_Smax,G49),AE48+AD49)),AE48)</x:f>
        <x:v>1</x:v>
      </x:c>
      <x:c r="AF49" s="8" t="n">
        <x:f>MAX(0,AE49-AE48)</x:f>
        <x:v>0</x:v>
      </x:c>
      <x:c r="AG49" s="9" t="str">
        <x:f>IF(AF49&gt;0,B49,"")</x:f>
      </x:c>
      <x:c r="AH49" s="9" t="n">
        <x:f>IF(F49&gt;=1,1,(1+v01_LowTiesShare*(AE49-1))/AE49)</x:f>
        <x:v>1</x:v>
      </x:c>
      <x:c r="AI49" s="32" t="n">
        <x:f>(Z49+v01_ElderCommons*INDEX(LM_Elder,G49)*AA49)*AH49</x:f>
        <x:v>11.048915175375912</x:v>
      </x:c>
      <x:c r="AJ49" s="32" t="n">
        <x:f>H49*v01_CommonsCoef*AI49^v01_CommonsExp*INDEX(LM_Commons,G49)</x:f>
        <x:v>4.849190955622859</x:v>
      </x:c>
      <x:c r="AK49" s="32" t="n">
        <x:f>H49*v01_RoleScale*Arch_Roles*(AE49*(INDEX(v01_ElderRolePerSett,G49)*v01_OutElder*INDEX(LM_Elder,G49)+INDEX(v01_ShamanPerSett,G49)*v01_OutShaman)+Z49*(INDEX(v01_PriestShare,G49)*v01_OutPriest+INDEX(v01_ScribeShare,G49)*v01_OutScribe*INDEX(LM_Scribe,G49)+INDEX(v01_ScholarShare,G49)*v01_OutScholar*INDEX(LM_Scholar,G49)+INDEX(v01_ResearcherShare,G49)*v01_OutResearcher*INDEX(LM_Researcher,G49)))</x:f>
        <x:v>0</x:v>
      </x:c>
      <x:c r="AL49" s="32" t="n">
        <x:f>H49*v01_RoleScale*Arch_Roles*AE49*INDEX(v01_MonasteryPerSett,G49)*v01_OutMonastery*INDEX(LM_Monastery,G49)</x:f>
        <x:v>0</x:v>
      </x:c>
      <x:c r="AM49" s="32" t="n">
        <x:f>(AJ49+AK49+AL49)/4*INDEX(LM_All,G49)*INDEX(v01_Boon,G49)*Arch_Insight</x:f>
        <x:v>1.2122977389057148</x:v>
      </x:c>
      <x:c r="AN49" s="32" t="n">
        <x:f>H49*(v01_KHPerAdult*Z49+v01_KHOfCommons*AJ49/4*INDEX(LM_All,G49))*v01_KHUsable*Arch_KH</x:f>
        <x:v>0.2526992490493708</x:v>
      </x:c>
      <x:c r="AO49" s="32" t="n">
        <x:f>MIN(AP48+AN49,AM49*v01_KHMaxRatio)</x:f>
        <x:v>0.2526992490493708</x:v>
      </x:c>
      <x:c r="AP49" s="32" t="n">
        <x:f>AP48+AN49-AO49</x:f>
        <x:v>0</x:v>
      </x:c>
      <x:c r="AQ49" s="32" t="n">
        <x:f>AM49+AO49</x:f>
        <x:v>1.4649969879550855</x:v>
      </x:c>
      <x:c r="AR49" s="10" t="n">
        <x:f>IF(H49=1,INDEX(v01_Req,G49),0)</x:f>
        <x:v>372.02</x:v>
      </x:c>
      <x:c r="AS49" s="32" t="n">
        <x:f>IF(H49=1,IF(E49=1,AS48-AR48,AS48)+AQ49,0)</x:f>
        <x:v>68.53977974950331</x:v>
      </x:c>
      <x:c r="AT49" s="11" t="n">
        <x:f>IF(AR49&gt;0,MIN(1,AS49/AR49),1)</x:f>
        <x:v>0.18423681455164592</x:v>
      </x:c>
      <x:c r="AU49" s="10" t="n">
        <x:f>AB49/INDEX(v01_RepScale,G49)</x:f>
        <x:v>14.723312423525078</x:v>
      </x:c>
      <x:c r="AV49" s="32" t="n">
        <x:f>AM49*60/v01_SeasonSeconds</x:f>
        <x:v>4.849190955622859</x:v>
      </x:c>
    </x:row>
    <x:row r="50">
      <x:c r="A50" s="8" t="n">
        <x:f>A49+1</x:f>
        <x:v>47</x:v>
      </x:c>
      <x:c r="B50" s="9" t="n">
        <x:f>A50*v01_SeasonSeconds/60</x:f>
        <x:v>11.75</x:v>
      </x:c>
      <x:c r="C50" s="9" t="n">
        <x:f>A50/4</x:f>
        <x:v>11.75</x:v>
      </x:c>
      <x:c r="D50" s="8" t="n">
        <x:f>IF(MOD(A50,4)=0,1,0)</x:f>
        <x:v>0</x:v>
      </x:c>
      <x:c r="E50" s="8" t="n">
        <x:f>IF(AND(F49&lt;=9,AS49&gt;=AR49),1,0)</x:f>
        <x:v>0</x:v>
      </x:c>
      <x:c r="F50" s="8" t="n">
        <x:f>MIN(10,F49+E50)</x:f>
        <x:v>0</x:v>
      </x:c>
      <x:c r="G50" s="8" t="n">
        <x:f>MIN(F50,9)+1</x:f>
        <x:v>1</x:v>
      </x:c>
      <x:c r="H50" s="8" t="n">
        <x:f>IF(F50&lt;=9,1,0)</x:f>
        <x:v>1</x:v>
      </x:c>
      <x:c r="I50" s="9" t="n">
        <x:f>MIN(10,F49+IF(AR49&gt;0,MIN(1,AS49/AR49),1))</x:f>
        <x:v>0.18423681455164592</x:v>
      </x:c>
      <x:c r="J50" s="32" t="n">
        <x:f>INDEX(v01_FoodCap,G50)*Arch_FoodCap*EXP(v01_CapsByProject*SUMPRODUCT((Cap_Point&lt;=I50)*(Cap_Kind="Food")*Cap_Ln))</x:f>
        <x:v>22</x:v>
      </x:c>
      <x:c r="K50" s="32" t="n">
        <x:f>J50*MIN(1,v01_LeanBase*EXP(v01_CapsByProject*SUMPRODUCT((Cap_Point&lt;=I50)*(Cap_Kind="Lean")*Cap_Ln)))</x:f>
        <x:v>22</x:v>
      </x:c>
      <x:c r="L50" s="10" t="n">
        <x:f>INDEX(v01_HousingCap,G50)*EXP(v01_CapsByProject*SUMPRODUCT((Cap_Point&lt;=I50)*(Cap_Kind="Housing")*Cap_Ln))</x:f>
        <x:v>60</x:v>
      </x:c>
      <x:c r="M50" s="10" t="n">
        <x:f>INDEX(v01_GroupCap,G50)*v01_CohesionFactor*EXP(v01_CapsByProject*SUMPRODUCT((Cap_Point&lt;=I50)*(Cap_Kind="Group")*Cap_Ln))</x:f>
        <x:v>35</x:v>
      </x:c>
      <x:c r="N50" s="32" t="n">
        <x:f>MIN(J50,L50,M50)</x:f>
        <x:v>22</x:v>
      </x:c>
      <x:c r="O50" s="10" t="n">
        <x:f>AE49*N50</x:f>
        <x:v>22</x:v>
      </x:c>
      <x:c r="P50" s="9" t="n">
        <x:f>MIN(1,(AB49/(AE49*IF(v01_GroupInCrowding=1,N50,MIN(J50,L50))))^v01_CrowdingExp)</x:f>
        <x:v>0.08984565551148006</x:v>
      </x:c>
      <x:c r="Q50" s="9" t="n">
        <x:f>IF(D50=1,INDEX(v01_WinterMult,G50),1)</x:f>
        <x:v>1</x:v>
      </x:c>
      <x:c r="R50" s="9" t="n">
        <x:f>H50*Z49*v01_WomenShare*v01_BaseFertility*INDEX(v01_FertMult,G50)*Arch_Fertility*(1-P50)</x:f>
        <x:v>0.19713884517537542</x:v>
      </x:c>
      <x:c r="S50" s="9" t="n">
        <x:f>H50*Y49*INDEX(v01_MortChild,G50)/4*Q50</x:f>
        <x:v>0.05588865563703254</x:v>
      </x:c>
      <x:c r="T50" s="9" t="n">
        <x:f>H50*Z49*INDEX(v01_MortAdult,G50)*Arch_AdultMort/4*Q50</x:f>
        <x:v>0.027074919541004012</x:v>
      </x:c>
      <x:c r="U50" s="9" t="n">
        <x:f>H50*AA49*INDEX(v01_MortElder,G50)/4*Q50</x:f>
        <x:v>0.04786170788885219</x:v>
      </x:c>
      <x:c r="V50" s="9" t="n">
        <x:f>H50*MAX(0,AB49-O50)*v01_OvercapLoss</x:f>
        <x:v>0</x:v>
      </x:c>
      <x:c r="W50" s="9" t="n">
        <x:f>H50*Y49/(v01_ChildYears*4)</x:f>
        <x:v>0.09980117078041525</x:v>
      </x:c>
      <x:c r="X50" s="9" t="n">
        <x:f>H50*Z49/(v01_AdultYears*4)</x:f>
        <x:v>0.05822563342151401</x:v>
      </x:c>
      <x:c r="Y50" s="32" t="n">
        <x:f>Y49+R50-S50-W50-Y49*V50/AB49</x:f>
        <x:v>5.630314582461183</x:v>
      </x:c>
      <x:c r="Z50" s="32" t="n">
        <x:f>Z49+W50-X50-T50-Z49*V50/AB49</x:f>
        <x:v>7.234479162085634</x:v>
      </x:c>
      <x:c r="AA50" s="32" t="n">
        <x:f>AA49+X50-U50-AA49*V50/AB49</x:f>
        <x:v>1.9248322410867496</x:v>
      </x:c>
      <x:c r="AB50" s="10" t="n">
        <x:f>Y50+Z50+AA50</x:f>
        <x:v>14.789625985633565</x:v>
      </x:c>
      <x:c r="AC50" s="8" t="n">
        <x:f>IF(AND(v01_WinterTrigger=1,D50=1,AB49/AE49&gt;=K50),1,0)</x:f>
        <x:v>0</x:v>
      </x:c>
      <x:c r="AD50" s="8" t="n">
        <x:f>H50*IF(AND(OR(AB49/AE49&gt;=v01_FissionTrigger*N50,AC50=1),AB49/AE49*v01_DaughterShare&gt;=v01_MinDaughter),MAX(1,ROUND(AE49*v01_FissionRate,0)),0)</x:f>
        <x:v>0</x:v>
      </x:c>
      <x:c r="AE50" s="8" t="n">
        <x:f>IF(H50=1,MAX(1,MIN(INDEX(v01_Smax,G50),AE49+AD50)),AE49)</x:f>
        <x:v>1</x:v>
      </x:c>
      <x:c r="AF50" s="8" t="n">
        <x:f>MAX(0,AE50-AE49)</x:f>
        <x:v>0</x:v>
      </x:c>
      <x:c r="AG50" s="9" t="str">
        <x:f>IF(AF50&gt;0,B50,"")</x:f>
      </x:c>
      <x:c r="AH50" s="9" t="n">
        <x:f>IF(F50&gt;=1,1,(1+v01_LowTiesShare*(AE50-1))/AE50)</x:f>
        <x:v>1</x:v>
      </x:c>
      <x:c r="AI50" s="32" t="n">
        <x:f>(Z50+v01_ElderCommons*INDEX(LM_Elder,G50)*AA50)*AH50</x:f>
        <x:v>11.084143644259132</x:v>
      </x:c>
      <x:c r="AJ50" s="32" t="n">
        <x:f>H50*v01_CommonsCoef*AI50^v01_CommonsExp*INDEX(LM_Commons,G50)</x:f>
        <x:v>4.862329843363194</x:v>
      </x:c>
      <x:c r="AK50" s="32" t="n">
        <x:f>H50*v01_RoleScale*Arch_Roles*(AE50*(INDEX(v01_ElderRolePerSett,G50)*v01_OutElder*INDEX(LM_Elder,G50)+INDEX(v01_ShamanPerSett,G50)*v01_OutShaman)+Z50*(INDEX(v01_PriestShare,G50)*v01_OutPriest+INDEX(v01_ScribeShare,G50)*v01_OutScribe*INDEX(LM_Scribe,G50)+INDEX(v01_ScholarShare,G50)*v01_OutScholar*INDEX(LM_Scholar,G50)+INDEX(v01_ResearcherShare,G50)*v01_OutResearcher*INDEX(LM_Researcher,G50)))</x:f>
        <x:v>0</x:v>
      </x:c>
      <x:c r="AL50" s="32" t="n">
        <x:f>H50*v01_RoleScale*Arch_Roles*AE50*INDEX(v01_MonasteryPerSett,G50)*v01_OutMonastery*INDEX(LM_Monastery,G50)</x:f>
        <x:v>0</x:v>
      </x:c>
      <x:c r="AM50" s="32" t="n">
        <x:f>(AJ50+AK50+AL50)/4*INDEX(LM_All,G50)*INDEX(v01_Boon,G50)*Arch_Insight</x:f>
        <x:v>1.2155824608407986</x:v>
      </x:c>
      <x:c r="AN50" s="32" t="n">
        <x:f>H50*(v01_KHPerAdult*Z50+v01_KHOfCommons*AJ50/4*INDEX(LM_All,G50))*v01_KHUsable*Arch_KH</x:f>
        <x:v>0.2532067706729972</x:v>
      </x:c>
      <x:c r="AO50" s="32" t="n">
        <x:f>MIN(AP49+AN50,AM50*v01_KHMaxRatio)</x:f>
        <x:v>0.2532067706729972</x:v>
      </x:c>
      <x:c r="AP50" s="32" t="n">
        <x:f>AP49+AN50-AO50</x:f>
        <x:v>0</x:v>
      </x:c>
      <x:c r="AQ50" s="32" t="n">
        <x:f>AM50+AO50</x:f>
        <x:v>1.4687892315137958</x:v>
      </x:c>
      <x:c r="AR50" s="10" t="n">
        <x:f>IF(H50=1,INDEX(v01_Req,G50),0)</x:f>
        <x:v>372.02</x:v>
      </x:c>
      <x:c r="AS50" s="32" t="n">
        <x:f>IF(H50=1,IF(E50=1,AS49-AR49,AS49)+AQ50,0)</x:f>
        <x:v>70.0085689810171</x:v>
      </x:c>
      <x:c r="AT50" s="11" t="n">
        <x:f>IF(AR50&gt;0,MIN(1,AS50/AR50),1)</x:f>
        <x:v>0.18818496043496885</x:v>
      </x:c>
      <x:c r="AU50" s="10" t="n">
        <x:f>AB50/INDEX(v01_RepScale,G50)</x:f>
        <x:v>14.789625985633565</x:v>
      </x:c>
      <x:c r="AV50" s="32" t="n">
        <x:f>AM50*60/v01_SeasonSeconds</x:f>
        <x:v>4.862329843363194</x:v>
      </x:c>
    </x:row>
    <x:row r="51">
      <x:c r="A51" s="8" t="n">
        <x:f>A50+1</x:f>
        <x:v>48</x:v>
      </x:c>
      <x:c r="B51" s="9" t="n">
        <x:f>A51*v01_SeasonSeconds/60</x:f>
        <x:v>12</x:v>
      </x:c>
      <x:c r="C51" s="9" t="n">
        <x:f>A51/4</x:f>
        <x:v>12</x:v>
      </x:c>
      <x:c r="D51" s="8" t="n">
        <x:f>IF(MOD(A51,4)=0,1,0)</x:f>
        <x:v>1</x:v>
      </x:c>
      <x:c r="E51" s="8" t="n">
        <x:f>IF(AND(F50&lt;=9,AS50&gt;=AR50),1,0)</x:f>
        <x:v>0</x:v>
      </x:c>
      <x:c r="F51" s="8" t="n">
        <x:f>MIN(10,F50+E51)</x:f>
        <x:v>0</x:v>
      </x:c>
      <x:c r="G51" s="8" t="n">
        <x:f>MIN(F51,9)+1</x:f>
        <x:v>1</x:v>
      </x:c>
      <x:c r="H51" s="8" t="n">
        <x:f>IF(F51&lt;=9,1,0)</x:f>
        <x:v>1</x:v>
      </x:c>
      <x:c r="I51" s="9" t="n">
        <x:f>MIN(10,F50+IF(AR50&gt;0,MIN(1,AS50/AR50),1))</x:f>
        <x:v>0.18818496043496885</x:v>
      </x:c>
      <x:c r="J51" s="32" t="n">
        <x:f>INDEX(v01_FoodCap,G51)*Arch_FoodCap*EXP(v01_CapsByProject*SUMPRODUCT((Cap_Point&lt;=I51)*(Cap_Kind="Food")*Cap_Ln))</x:f>
        <x:v>22</x:v>
      </x:c>
      <x:c r="K51" s="32" t="n">
        <x:f>J51*MIN(1,v01_LeanBase*EXP(v01_CapsByProject*SUMPRODUCT((Cap_Point&lt;=I51)*(Cap_Kind="Lean")*Cap_Ln)))</x:f>
        <x:v>22</x:v>
      </x:c>
      <x:c r="L51" s="10" t="n">
        <x:f>INDEX(v01_HousingCap,G51)*EXP(v01_CapsByProject*SUMPRODUCT((Cap_Point&lt;=I51)*(Cap_Kind="Housing")*Cap_Ln))</x:f>
        <x:v>60</x:v>
      </x:c>
      <x:c r="M51" s="10" t="n">
        <x:f>INDEX(v01_GroupCap,G51)*v01_CohesionFactor*EXP(v01_CapsByProject*SUMPRODUCT((Cap_Point&lt;=I51)*(Cap_Kind="Group")*Cap_Ln))</x:f>
        <x:v>35</x:v>
      </x:c>
      <x:c r="N51" s="32" t="n">
        <x:f>MIN(J51,L51,M51)</x:f>
        <x:v>22</x:v>
      </x:c>
      <x:c r="O51" s="10" t="n">
        <x:f>AE50*N51</x:f>
        <x:v>22</x:v>
      </x:c>
      <x:c r="P51" s="9" t="n">
        <x:f>MIN(1,(AB50/(AE50*IF(v01_GroupInCrowding=1,N51,MIN(J51,L51))))^v01_CrowdingExp)</x:f>
        <x:v>0.09230113952207174</x:v>
      </x:c>
      <x:c r="Q51" s="9" t="n">
        <x:f>IF(D51=1,INDEX(v01_WinterMult,G51),1)</x:f>
        <x:v>2</x:v>
      </x:c>
      <x:c r="R51" s="9" t="n">
        <x:f>H51*Z50*v01_WomenShare*v01_BaseFertility*INDEX(v01_FertMult,G51)*Arch_Fertility*(1-P51)</x:f>
        <x:v>0.19700185474729343</x:v>
      </x:c>
      <x:c r="S51" s="9" t="n">
        <x:f>H51*Y50*INDEX(v01_MortChild,G51)/4*Q51</x:f>
        <x:v>0.11260629164922366</x:v>
      </x:c>
      <x:c r="T51" s="9" t="n">
        <x:f>H51*Z50*INDEX(v01_MortAdult,G51)*Arch_AdultMort/4*Q51</x:f>
        <x:v>0.054258593715642255</x:v>
      </x:c>
      <x:c r="U51" s="9" t="n">
        <x:f>H51*AA50*INDEX(v01_MortElder,G51)/4*Q51</x:f>
        <x:v>0.09624161205433748</x:v>
      </x:c>
      <x:c r="V51" s="9" t="n">
        <x:f>H51*MAX(0,AB50-O51)*v01_OvercapLoss</x:f>
        <x:v>0</x:v>
      </x:c>
      <x:c r="W51" s="9" t="n">
        <x:f>H51*Y50/(v01_ChildYears*4)</x:f>
        <x:v>0.10054133182966397</x:v>
      </x:c>
      <x:c r="X51" s="9" t="n">
        <x:f>H51*Z50/(v01_AdultYears*4)</x:f>
        <x:v>0.05834257388778737</x:v>
      </x:c>
      <x:c r="Y51" s="32" t="n">
        <x:f>Y50+R51-S51-W51-Y50*V51/AB50</x:f>
        <x:v>5.614168813729589</x:v>
      </x:c>
      <x:c r="Z51" s="32" t="n">
        <x:f>Z50+W51-X51-T51-Z50*V51/AB50</x:f>
        <x:v>7.222419326311869</x:v>
      </x:c>
      <x:c r="AA51" s="32" t="n">
        <x:f>AA50+X51-U51-AA50*V51/AB50</x:f>
        <x:v>1.8869332029201995</x:v>
      </x:c>
      <x:c r="AB51" s="10" t="n">
        <x:f>Y51+Z51+AA51</x:f>
        <x:v>14.723521342961655</x:v>
      </x:c>
      <x:c r="AC51" s="8" t="n">
        <x:f>IF(AND(v01_WinterTrigger=1,D51=1,AB50/AE50&gt;=K51),1,0)</x:f>
        <x:v>0</x:v>
      </x:c>
      <x:c r="AD51" s="8" t="n">
        <x:f>H51*IF(AND(OR(AB50/AE50&gt;=v01_FissionTrigger*N51,AC51=1),AB50/AE50*v01_DaughterShare&gt;=v01_MinDaughter),MAX(1,ROUND(AE50*v01_FissionRate,0)),0)</x:f>
        <x:v>0</x:v>
      </x:c>
      <x:c r="AE51" s="8" t="n">
        <x:f>IF(H51=1,MAX(1,MIN(INDEX(v01_Smax,G51),AE50+AD51)),AE50)</x:f>
        <x:v>1</x:v>
      </x:c>
      <x:c r="AF51" s="8" t="n">
        <x:f>MAX(0,AE51-AE50)</x:f>
        <x:v>0</x:v>
      </x:c>
      <x:c r="AG51" s="9" t="str">
        <x:f>IF(AF51&gt;0,B51,"")</x:f>
      </x:c>
      <x:c r="AH51" s="9" t="n">
        <x:f>IF(F51&gt;=1,1,(1+v01_LowTiesShare*(AE51-1))/AE51)</x:f>
        <x:v>1</x:v>
      </x:c>
      <x:c r="AI51" s="32" t="n">
        <x:f>(Z51+v01_ElderCommons*INDEX(LM_Elder,G51)*AA51)*AH51</x:f>
        <x:v>10.996285732152268</x:v>
      </x:c>
      <x:c r="AJ51" s="32" t="n">
        <x:f>H51*v01_CommonsCoef*AI51^v01_CommonsExp*INDEX(LM_Commons,G51)</x:f>
        <x:v>4.829550445859008</x:v>
      </x:c>
      <x:c r="AK51" s="32" t="n">
        <x:f>H51*v01_RoleScale*Arch_Roles*(AE51*(INDEX(v01_ElderRolePerSett,G51)*v01_OutElder*INDEX(LM_Elder,G51)+INDEX(v01_ShamanPerSett,G51)*v01_OutShaman)+Z51*(INDEX(v01_PriestShare,G51)*v01_OutPriest+INDEX(v01_ScribeShare,G51)*v01_OutScribe*INDEX(LM_Scribe,G51)+INDEX(v01_ScholarShare,G51)*v01_OutScholar*INDEX(LM_Scholar,G51)+INDEX(v01_ResearcherShare,G51)*v01_OutResearcher*INDEX(LM_Researcher,G51)))</x:f>
        <x:v>0</x:v>
      </x:c>
      <x:c r="AL51" s="32" t="n">
        <x:f>H51*v01_RoleScale*Arch_Roles*AE51*INDEX(v01_MonasteryPerSett,G51)*v01_OutMonastery*INDEX(LM_Monastery,G51)</x:f>
        <x:v>0</x:v>
      </x:c>
      <x:c r="AM51" s="32" t="n">
        <x:f>(AJ51+AK51+AL51)/4*INDEX(LM_All,G51)*INDEX(v01_Boon,G51)*Arch_Insight</x:f>
        <x:v>1.207387611464752</x:v>
      </x:c>
      <x:c r="AN51" s="32" t="n">
        <x:f>H51*(v01_KHPerAdult*Z51+v01_KHOfCommons*AJ51/4*INDEX(LM_All,G51))*v01_KHUsable*Arch_KH</x:f>
        <x:v>0.2527846764209154</x:v>
      </x:c>
      <x:c r="AO51" s="32" t="n">
        <x:f>MIN(AP50+AN51,AM51*v01_KHMaxRatio)</x:f>
        <x:v>0.2527846764209154</x:v>
      </x:c>
      <x:c r="AP51" s="32" t="n">
        <x:f>AP50+AN51-AO51</x:f>
        <x:v>0</x:v>
      </x:c>
      <x:c r="AQ51" s="32" t="n">
        <x:f>AM51+AO51</x:f>
        <x:v>1.4601722878856673</x:v>
      </x:c>
      <x:c r="AR51" s="10" t="n">
        <x:f>IF(H51=1,INDEX(v01_Req,G51),0)</x:f>
        <x:v>372.02</x:v>
      </x:c>
      <x:c r="AS51" s="32" t="n">
        <x:f>IF(H51=1,IF(E51=1,AS50-AR50,AS50)+AQ51,0)</x:f>
        <x:v>71.46874126890278</x:v>
      </x:c>
      <x:c r="AT51" s="11" t="n">
        <x:f>IF(AR51&gt;0,MIN(1,AS51/AR51),1)</x:f>
        <x:v>0.19210994373663454</x:v>
      </x:c>
      <x:c r="AU51" s="10" t="n">
        <x:f>AB51/INDEX(v01_RepScale,G51)</x:f>
        <x:v>14.723521342961655</x:v>
      </x:c>
      <x:c r="AV51" s="32" t="n">
        <x:f>AM51*60/v01_SeasonSeconds</x:f>
        <x:v>4.829550445859008</x:v>
      </x:c>
    </x:row>
    <x:row r="52">
      <x:c r="A52" s="8" t="n">
        <x:f>A51+1</x:f>
        <x:v>49</x:v>
      </x:c>
      <x:c r="B52" s="9" t="n">
        <x:f>A52*v01_SeasonSeconds/60</x:f>
        <x:v>12.25</x:v>
      </x:c>
      <x:c r="C52" s="9" t="n">
        <x:f>A52/4</x:f>
        <x:v>12.25</x:v>
      </x:c>
      <x:c r="D52" s="8" t="n">
        <x:f>IF(MOD(A52,4)=0,1,0)</x:f>
        <x:v>0</x:v>
      </x:c>
      <x:c r="E52" s="8" t="n">
        <x:f>IF(AND(F51&lt;=9,AS51&gt;=AR51),1,0)</x:f>
        <x:v>0</x:v>
      </x:c>
      <x:c r="F52" s="8" t="n">
        <x:f>MIN(10,F51+E52)</x:f>
        <x:v>0</x:v>
      </x:c>
      <x:c r="G52" s="8" t="n">
        <x:f>MIN(F52,9)+1</x:f>
        <x:v>1</x:v>
      </x:c>
      <x:c r="H52" s="8" t="n">
        <x:f>IF(F52&lt;=9,1,0)</x:f>
        <x:v>1</x:v>
      </x:c>
      <x:c r="I52" s="9" t="n">
        <x:f>MIN(10,F51+IF(AR51&gt;0,MIN(1,AS51/AR51),1))</x:f>
        <x:v>0.19210994373663454</x:v>
      </x:c>
      <x:c r="J52" s="32" t="n">
        <x:f>INDEX(v01_FoodCap,G52)*Arch_FoodCap*EXP(v01_CapsByProject*SUMPRODUCT((Cap_Point&lt;=I52)*(Cap_Kind="Food")*Cap_Ln))</x:f>
        <x:v>22</x:v>
      </x:c>
      <x:c r="K52" s="32" t="n">
        <x:f>J52*MIN(1,v01_LeanBase*EXP(v01_CapsByProject*SUMPRODUCT((Cap_Point&lt;=I52)*(Cap_Kind="Lean")*Cap_Ln)))</x:f>
        <x:v>22</x:v>
      </x:c>
      <x:c r="L52" s="10" t="n">
        <x:f>INDEX(v01_HousingCap,G52)*EXP(v01_CapsByProject*SUMPRODUCT((Cap_Point&lt;=I52)*(Cap_Kind="Housing")*Cap_Ln))</x:f>
        <x:v>60</x:v>
      </x:c>
      <x:c r="M52" s="10" t="n">
        <x:f>INDEX(v01_GroupCap,G52)*v01_CohesionFactor*EXP(v01_CapsByProject*SUMPRODUCT((Cap_Point&lt;=I52)*(Cap_Kind="Group")*Cap_Ln))</x:f>
        <x:v>35</x:v>
      </x:c>
      <x:c r="N52" s="32" t="n">
        <x:f>MIN(J52,L52,M52)</x:f>
        <x:v>22</x:v>
      </x:c>
      <x:c r="O52" s="10" t="n">
        <x:f>AE51*N52</x:f>
        <x:v>22</x:v>
      </x:c>
      <x:c r="P52" s="9" t="n">
        <x:f>MIN(1,(AB51/(AE51*IF(v01_GroupInCrowding=1,N52,MIN(J52,L52))))^v01_CrowdingExp)</x:f>
        <x:v>0.08985330508206739</x:v>
      </x:c>
      <x:c r="Q52" s="9" t="n">
        <x:f>IF(D52=1,INDEX(v01_WinterMult,G52),1)</x:f>
        <x:v>1</x:v>
      </x:c>
      <x:c r="R52" s="9" t="n">
        <x:f>H52*Z51*v01_WomenShare*v01_BaseFertility*INDEX(v01_FertMult,G52)*Arch_Fertility*(1-P52)</x:f>
        <x:v>0.19720383237462447</x:v>
      </x:c>
      <x:c r="S52" s="9" t="n">
        <x:f>H52*Y51*INDEX(v01_MortChild,G52)/4*Q52</x:f>
        <x:v>0.05614168813729589</x:v>
      </x:c>
      <x:c r="T52" s="9" t="n">
        <x:f>H52*Z51*INDEX(v01_MortAdult,G52)*Arch_AdultMort/4*Q52</x:f>
        <x:v>0.027084072473669507</x:v>
      </x:c>
      <x:c r="U52" s="9" t="n">
        <x:f>H52*AA51*INDEX(v01_MortElder,G52)/4*Q52</x:f>
        <x:v>0.04717333007300499</x:v>
      </x:c>
      <x:c r="V52" s="9" t="n">
        <x:f>H52*MAX(0,AB51-O52)*v01_OvercapLoss</x:f>
        <x:v>0</x:v>
      </x:c>
      <x:c r="W52" s="9" t="n">
        <x:f>H52*Y51/(v01_ChildYears*4)</x:f>
        <x:v>0.10025301453088552</x:v>
      </x:c>
      <x:c r="X52" s="9" t="n">
        <x:f>H52*Z51/(v01_AdultYears*4)</x:f>
        <x:v>0.05824531714767636</x:v>
      </x:c>
      <x:c r="Y52" s="32" t="n">
        <x:f>Y51+R52-S52-W52-Y51*V52/AB51</x:f>
        <x:v>5.654977943436032</x:v>
      </x:c>
      <x:c r="Z52" s="32" t="n">
        <x:f>Z51+W52-X52-T52-Z51*V52/AB51</x:f>
        <x:v>7.237342951221408</x:v>
      </x:c>
      <x:c r="AA52" s="32" t="n">
        <x:f>AA51+X52-U52-AA51*V52/AB51</x:f>
        <x:v>1.898005189994871</x:v>
      </x:c>
      <x:c r="AB52" s="10" t="n">
        <x:f>Y52+Z52+AA52</x:f>
        <x:v>14.790326084652312</x:v>
      </x:c>
      <x:c r="AC52" s="8" t="n">
        <x:f>IF(AND(v01_WinterTrigger=1,D52=1,AB51/AE51&gt;=K52),1,0)</x:f>
        <x:v>0</x:v>
      </x:c>
      <x:c r="AD52" s="8" t="n">
        <x:f>H52*IF(AND(OR(AB51/AE51&gt;=v01_FissionTrigger*N52,AC52=1),AB51/AE51*v01_DaughterShare&gt;=v01_MinDaughter),MAX(1,ROUND(AE51*v01_FissionRate,0)),0)</x:f>
        <x:v>0</x:v>
      </x:c>
      <x:c r="AE52" s="8" t="n">
        <x:f>IF(H52=1,MAX(1,MIN(INDEX(v01_Smax,G52),AE51+AD52)),AE51)</x:f>
        <x:v>1</x:v>
      </x:c>
      <x:c r="AF52" s="8" t="n">
        <x:f>MAX(0,AE52-AE51)</x:f>
        <x:v>0</x:v>
      </x:c>
      <x:c r="AG52" s="9" t="str">
        <x:f>IF(AF52&gt;0,B52,"")</x:f>
      </x:c>
      <x:c r="AH52" s="9" t="n">
        <x:f>IF(F52&gt;=1,1,(1+v01_LowTiesShare*(AE52-1))/AE52)</x:f>
        <x:v>1</x:v>
      </x:c>
      <x:c r="AI52" s="32" t="n">
        <x:f>(Z52+v01_ElderCommons*INDEX(LM_Elder,G52)*AA52)*AH52</x:f>
        <x:v>11.03335333121115</x:v>
      </x:c>
      <x:c r="AJ52" s="32" t="n">
        <x:f>H52*v01_CommonsCoef*AI52^v01_CommonsExp*INDEX(LM_Commons,G52)</x:f>
        <x:v>4.84338497565212</x:v>
      </x:c>
      <x:c r="AK52" s="32" t="n">
        <x:f>H52*v01_RoleScale*Arch_Roles*(AE52*(INDEX(v01_ElderRolePerSett,G52)*v01_OutElder*INDEX(LM_Elder,G52)+INDEX(v01_ShamanPerSett,G52)*v01_OutShaman)+Z52*(INDEX(v01_PriestShare,G52)*v01_OutPriest+INDEX(v01_ScribeShare,G52)*v01_OutScribe*INDEX(LM_Scribe,G52)+INDEX(v01_ScholarShare,G52)*v01_OutScholar*INDEX(LM_Scholar,G52)+INDEX(v01_ResearcherShare,G52)*v01_OutResearcher*INDEX(LM_Researcher,G52)))</x:f>
        <x:v>0</x:v>
      </x:c>
      <x:c r="AL52" s="32" t="n">
        <x:f>H52*v01_RoleScale*Arch_Roles*AE52*INDEX(v01_MonasteryPerSett,G52)*v01_OutMonastery*INDEX(LM_Monastery,G52)</x:f>
        <x:v>0</x:v>
      </x:c>
      <x:c r="AM52" s="32" t="n">
        <x:f>(AJ52+AK52+AL52)/4*INDEX(LM_All,G52)*INDEX(v01_Boon,G52)*Arch_Insight</x:f>
        <x:v>1.21084624391303</x:v>
      </x:c>
      <x:c r="AN52" s="32" t="n">
        <x:f>H52*(v01_KHPerAdult*Z52+v01_KHOfCommons*AJ52/4*INDEX(LM_All,G52))*v01_KHUsable*Arch_KH</x:f>
        <x:v>0.2533070032927493</x:v>
      </x:c>
      <x:c r="AO52" s="32" t="n">
        <x:f>MIN(AP51+AN52,AM52*v01_KHMaxRatio)</x:f>
        <x:v>0.2533070032927493</x:v>
      </x:c>
      <x:c r="AP52" s="32" t="n">
        <x:f>AP51+AN52-AO52</x:f>
        <x:v>0</x:v>
      </x:c>
      <x:c r="AQ52" s="32" t="n">
        <x:f>AM52+AO52</x:f>
        <x:v>1.4641532472057794</x:v>
      </x:c>
      <x:c r="AR52" s="10" t="n">
        <x:f>IF(H52=1,INDEX(v01_Req,G52),0)</x:f>
        <x:v>372.02</x:v>
      </x:c>
      <x:c r="AS52" s="32" t="n">
        <x:f>IF(H52=1,IF(E52=1,AS51-AR51,AS51)+AQ52,0)</x:f>
        <x:v>72.93289451610856</x:v>
      </x:c>
      <x:c r="AT52" s="11" t="n">
        <x:f>IF(AR52&gt;0,MIN(1,AS52/AR52),1)</x:f>
        <x:v>0.1960456279665302</x:v>
      </x:c>
      <x:c r="AU52" s="10" t="n">
        <x:f>AB52/INDEX(v01_RepScale,G52)</x:f>
        <x:v>14.790326084652312</x:v>
      </x:c>
      <x:c r="AV52" s="32" t="n">
        <x:f>AM52*60/v01_SeasonSeconds</x:f>
        <x:v>4.84338497565212</x:v>
      </x:c>
    </x:row>
    <x:row r="53">
      <x:c r="A53" s="8" t="n">
        <x:f>A52+1</x:f>
        <x:v>50</x:v>
      </x:c>
      <x:c r="B53" s="9" t="n">
        <x:f>A53*v01_SeasonSeconds/60</x:f>
        <x:v>12.5</x:v>
      </x:c>
      <x:c r="C53" s="9" t="n">
        <x:f>A53/4</x:f>
        <x:v>12.5</x:v>
      </x:c>
      <x:c r="D53" s="8" t="n">
        <x:f>IF(MOD(A53,4)=0,1,0)</x:f>
        <x:v>0</x:v>
      </x:c>
      <x:c r="E53" s="8" t="n">
        <x:f>IF(AND(F52&lt;=9,AS52&gt;=AR52),1,0)</x:f>
        <x:v>0</x:v>
      </x:c>
      <x:c r="F53" s="8" t="n">
        <x:f>MIN(10,F52+E53)</x:f>
        <x:v>0</x:v>
      </x:c>
      <x:c r="G53" s="8" t="n">
        <x:f>MIN(F53,9)+1</x:f>
        <x:v>1</x:v>
      </x:c>
      <x:c r="H53" s="8" t="n">
        <x:f>IF(F53&lt;=9,1,0)</x:f>
        <x:v>1</x:v>
      </x:c>
      <x:c r="I53" s="9" t="n">
        <x:f>MIN(10,F52+IF(AR52&gt;0,MIN(1,AS52/AR52),1))</x:f>
        <x:v>0.1960456279665302</x:v>
      </x:c>
      <x:c r="J53" s="32" t="n">
        <x:f>INDEX(v01_FoodCap,G53)*Arch_FoodCap*EXP(v01_CapsByProject*SUMPRODUCT((Cap_Point&lt;=I53)*(Cap_Kind="Food")*Cap_Ln))</x:f>
        <x:v>22</x:v>
      </x:c>
      <x:c r="K53" s="32" t="n">
        <x:f>J53*MIN(1,v01_LeanBase*EXP(v01_CapsByProject*SUMPRODUCT((Cap_Point&lt;=I53)*(Cap_Kind="Lean")*Cap_Ln)))</x:f>
        <x:v>22</x:v>
      </x:c>
      <x:c r="L53" s="10" t="n">
        <x:f>INDEX(v01_HousingCap,G53)*EXP(v01_CapsByProject*SUMPRODUCT((Cap_Point&lt;=I53)*(Cap_Kind="Housing")*Cap_Ln))</x:f>
        <x:v>60</x:v>
      </x:c>
      <x:c r="M53" s="10" t="n">
        <x:f>INDEX(v01_GroupCap,G53)*v01_CohesionFactor*EXP(v01_CapsByProject*SUMPRODUCT((Cap_Point&lt;=I53)*(Cap_Kind="Group")*Cap_Ln))</x:f>
        <x:v>35</x:v>
      </x:c>
      <x:c r="N53" s="32" t="n">
        <x:f>MIN(J53,L53,M53)</x:f>
        <x:v>22</x:v>
      </x:c>
      <x:c r="O53" s="10" t="n">
        <x:f>AE52*N53</x:f>
        <x:v>22</x:v>
      </x:c>
      <x:c r="P53" s="9" t="n">
        <x:f>MIN(1,(AB52/(AE52*IF(v01_GroupInCrowding=1,N53,MIN(J53,L53))))^v01_CrowdingExp)</x:f>
        <x:v>0.0923273582723226</x:v>
      </x:c>
      <x:c r="Q53" s="9" t="n">
        <x:f>IF(D53=1,INDEX(v01_WinterMult,G53),1)</x:f>
        <x:v>1</x:v>
      </x:c>
      <x:c r="R53" s="9" t="n">
        <x:f>H53*Z52*v01_WomenShare*v01_BaseFertility*INDEX(v01_FertMult,G53)*Arch_Fertility*(1-P53)</x:f>
        <x:v>0.19707414586872962</x:v>
      </x:c>
      <x:c r="S53" s="9" t="n">
        <x:f>H53*Y52*INDEX(v01_MortChild,G53)/4*Q53</x:f>
        <x:v>0.05654977943436032</x:v>
      </x:c>
      <x:c r="T53" s="9" t="n">
        <x:f>H53*Z52*INDEX(v01_MortAdult,G53)*Arch_AdultMort/4*Q53</x:f>
        <x:v>0.02714003606708028</x:v>
      </x:c>
      <x:c r="U53" s="9" t="n">
        <x:f>H53*AA52*INDEX(v01_MortElder,G53)/4*Q53</x:f>
        <x:v>0.047450129749871776</x:v>
      </x:c>
      <x:c r="V53" s="9" t="n">
        <x:f>H53*MAX(0,AB52-O53)*v01_OvercapLoss</x:f>
        <x:v>0</x:v>
      </x:c>
      <x:c r="W53" s="9" t="n">
        <x:f>H53*Y52/(v01_ChildYears*4)</x:f>
        <x:v>0.10098174898992915</x:v>
      </x:c>
      <x:c r="X53" s="9" t="n">
        <x:f>H53*Z52/(v01_AdultYears*4)</x:f>
        <x:v>0.05836566896146297</x:v>
      </x:c>
      <x:c r="Y53" s="32" t="n">
        <x:f>Y52+R53-S53-W53-Y52*V53/AB52</x:f>
        <x:v>5.6945205608804725</x:v>
      </x:c>
      <x:c r="Z53" s="32" t="n">
        <x:f>Z52+W53-X53-T53-Z52*V53/AB52</x:f>
        <x:v>7.2528189951827935</x:v>
      </x:c>
      <x:c r="AA53" s="32" t="n">
        <x:f>AA52+X53-U53-AA52*V53/AB52</x:f>
        <x:v>1.908920729206462</x:v>
      </x:c>
      <x:c r="AB53" s="10" t="n">
        <x:f>Y53+Z53+AA53</x:f>
        <x:v>14.856260285269729</x:v>
      </x:c>
      <x:c r="AC53" s="8" t="n">
        <x:f>IF(AND(v01_WinterTrigger=1,D53=1,AB52/AE52&gt;=K53),1,0)</x:f>
        <x:v>0</x:v>
      </x:c>
      <x:c r="AD53" s="8" t="n">
        <x:f>H53*IF(AND(OR(AB52/AE52&gt;=v01_FissionTrigger*N53,AC53=1),AB52/AE52*v01_DaughterShare&gt;=v01_MinDaughter),MAX(1,ROUND(AE52*v01_FissionRate,0)),0)</x:f>
        <x:v>0</x:v>
      </x:c>
      <x:c r="AE53" s="8" t="n">
        <x:f>IF(H53=1,MAX(1,MIN(INDEX(v01_Smax,G53),AE52+AD53)),AE52)</x:f>
        <x:v>1</x:v>
      </x:c>
      <x:c r="AF53" s="8" t="n">
        <x:f>MAX(0,AE53-AE52)</x:f>
        <x:v>0</x:v>
      </x:c>
      <x:c r="AG53" s="9" t="str">
        <x:f>IF(AF53&gt;0,B53,"")</x:f>
      </x:c>
      <x:c r="AH53" s="9" t="n">
        <x:f>IF(F53&gt;=1,1,(1+v01_LowTiesShare*(AE53-1))/AE53)</x:f>
        <x:v>1</x:v>
      </x:c>
      <x:c r="AI53" s="32" t="n">
        <x:f>(Z53+v01_ElderCommons*INDEX(LM_Elder,G53)*AA53)*AH53</x:f>
        <x:v>11.070660453595718</x:v>
      </x:c>
      <x:c r="AJ53" s="32" t="n">
        <x:f>H53*v01_CommonsCoef*AI53^v01_CommonsExp*INDEX(LM_Commons,G53)</x:f>
        <x:v>4.857301863712085</x:v>
      </x:c>
      <x:c r="AK53" s="32" t="n">
        <x:f>H53*v01_RoleScale*Arch_Roles*(AE53*(INDEX(v01_ElderRolePerSett,G53)*v01_OutElder*INDEX(LM_Elder,G53)+INDEX(v01_ShamanPerSett,G53)*v01_OutShaman)+Z53*(INDEX(v01_PriestShare,G53)*v01_OutPriest+INDEX(v01_ScribeShare,G53)*v01_OutScribe*INDEX(LM_Scribe,G53)+INDEX(v01_ScholarShare,G53)*v01_OutScholar*INDEX(LM_Scholar,G53)+INDEX(v01_ResearcherShare,G53)*v01_OutResearcher*INDEX(LM_Researcher,G53)))</x:f>
        <x:v>0</x:v>
      </x:c>
      <x:c r="AL53" s="32" t="n">
        <x:f>H53*v01_RoleScale*Arch_Roles*AE53*INDEX(v01_MonasteryPerSett,G53)*v01_OutMonastery*INDEX(LM_Monastery,G53)</x:f>
        <x:v>0</x:v>
      </x:c>
      <x:c r="AM53" s="32" t="n">
        <x:f>(AJ53+AK53+AL53)/4*INDEX(LM_All,G53)*INDEX(v01_Boon,G53)*Arch_Insight</x:f>
        <x:v>1.2143254659280212</x:v>
      </x:c>
      <x:c r="AN53" s="32" t="n">
        <x:f>H53*(v01_KHPerAdult*Z53+v01_KHOfCommons*AJ53/4*INDEX(LM_All,G53))*v01_KHUsable*Arch_KH</x:f>
        <x:v>0.2538486648313978</x:v>
      </x:c>
      <x:c r="AO53" s="32" t="n">
        <x:f>MIN(AP52+AN53,AM53*v01_KHMaxRatio)</x:f>
        <x:v>0.2538486648313978</x:v>
      </x:c>
      <x:c r="AP53" s="32" t="n">
        <x:f>AP52+AN53-AO53</x:f>
        <x:v>0</x:v>
      </x:c>
      <x:c r="AQ53" s="32" t="n">
        <x:f>AM53+AO53</x:f>
        <x:v>1.468174130759419</x:v>
      </x:c>
      <x:c r="AR53" s="10" t="n">
        <x:f>IF(H53=1,INDEX(v01_Req,G53),0)</x:f>
        <x:v>372.02</x:v>
      </x:c>
      <x:c r="AS53" s="32" t="n">
        <x:f>IF(H53=1,IF(E53=1,AS52-AR52,AS52)+AQ53,0)</x:f>
        <x:v>74.40106864686798</x:v>
      </x:c>
      <x:c r="AT53" s="11" t="n">
        <x:f>IF(AR53&gt;0,MIN(1,AS53/AR53),1)</x:f>
        <x:v>0.19999212044209447</x:v>
      </x:c>
      <x:c r="AU53" s="10" t="n">
        <x:f>AB53/INDEX(v01_RepScale,G53)</x:f>
        <x:v>14.856260285269729</x:v>
      </x:c>
      <x:c r="AV53" s="32" t="n">
        <x:f>AM53*60/v01_SeasonSeconds</x:f>
        <x:v>4.857301863712085</x:v>
      </x:c>
    </x:row>
    <x:row r="54">
      <x:c r="A54" s="8" t="n">
        <x:f>A53+1</x:f>
        <x:v>51</x:v>
      </x:c>
      <x:c r="B54" s="9" t="n">
        <x:f>A54*v01_SeasonSeconds/60</x:f>
        <x:v>12.75</x:v>
      </x:c>
      <x:c r="C54" s="9" t="n">
        <x:f>A54/4</x:f>
        <x:v>12.75</x:v>
      </x:c>
      <x:c r="D54" s="8" t="n">
        <x:f>IF(MOD(A54,4)=0,1,0)</x:f>
        <x:v>0</x:v>
      </x:c>
      <x:c r="E54" s="8" t="n">
        <x:f>IF(AND(F53&lt;=9,AS53&gt;=AR53),1,0)</x:f>
        <x:v>0</x:v>
      </x:c>
      <x:c r="F54" s="8" t="n">
        <x:f>MIN(10,F53+E54)</x:f>
        <x:v>0</x:v>
      </x:c>
      <x:c r="G54" s="8" t="n">
        <x:f>MIN(F54,9)+1</x:f>
        <x:v>1</x:v>
      </x:c>
      <x:c r="H54" s="8" t="n">
        <x:f>IF(F54&lt;=9,1,0)</x:f>
        <x:v>1</x:v>
      </x:c>
      <x:c r="I54" s="9" t="n">
        <x:f>MIN(10,F53+IF(AR53&gt;0,MIN(1,AS53/AR53),1))</x:f>
        <x:v>0.19999212044209447</x:v>
      </x:c>
      <x:c r="J54" s="32" t="n">
        <x:f>INDEX(v01_FoodCap,G54)*Arch_FoodCap*EXP(v01_CapsByProject*SUMPRODUCT((Cap_Point&lt;=I54)*(Cap_Kind="Food")*Cap_Ln))</x:f>
        <x:v>22</x:v>
      </x:c>
      <x:c r="K54" s="32" t="n">
        <x:f>J54*MIN(1,v01_LeanBase*EXP(v01_CapsByProject*SUMPRODUCT((Cap_Point&lt;=I54)*(Cap_Kind="Lean")*Cap_Ln)))</x:f>
        <x:v>22</x:v>
      </x:c>
      <x:c r="L54" s="10" t="n">
        <x:f>INDEX(v01_HousingCap,G54)*EXP(v01_CapsByProject*SUMPRODUCT((Cap_Point&lt;=I54)*(Cap_Kind="Housing")*Cap_Ln))</x:f>
        <x:v>60</x:v>
      </x:c>
      <x:c r="M54" s="10" t="n">
        <x:f>INDEX(v01_GroupCap,G54)*v01_CohesionFactor*EXP(v01_CapsByProject*SUMPRODUCT((Cap_Point&lt;=I54)*(Cap_Kind="Group")*Cap_Ln))</x:f>
        <x:v>35</x:v>
      </x:c>
      <x:c r="N54" s="32" t="n">
        <x:f>MIN(J54,L54,M54)</x:f>
        <x:v>22</x:v>
      </x:c>
      <x:c r="O54" s="10" t="n">
        <x:f>AE53*N54</x:f>
        <x:v>22</x:v>
      </x:c>
      <x:c r="P54" s="9" t="n">
        <x:f>MIN(1,(AB53/(AE53*IF(v01_GroupInCrowding=1,N54,MIN(J54,L54))))^v01_CrowdingExp)</x:f>
        <x:v>0.09482457688518456</x:v>
      </x:c>
      <x:c r="Q54" s="9" t="n">
        <x:f>IF(D54=1,INDEX(v01_WinterMult,G54),1)</x:f>
        <x:v>1</x:v>
      </x:c>
      <x:c r="R54" s="9" t="n">
        <x:f>H54*Z53*v01_WomenShare*v01_BaseFertility*INDEX(v01_FertMult,G54)*Arch_Fertility*(1-P54)</x:f>
        <x:v>0.19695220508219266</x:v>
      </x:c>
      <x:c r="S54" s="9" t="n">
        <x:f>H54*Y53*INDEX(v01_MortChild,G54)/4*Q54</x:f>
        <x:v>0.05694520560880473</x:v>
      </x:c>
      <x:c r="T54" s="9" t="n">
        <x:f>H54*Z53*INDEX(v01_MortAdult,G54)*Arch_AdultMort/4*Q54</x:f>
        <x:v>0.027198071231935475</x:v>
      </x:c>
      <x:c r="U54" s="9" t="n">
        <x:f>H54*AA53*INDEX(v01_MortElder,G54)/4*Q54</x:f>
        <x:v>0.047723018230161555</x:v>
      </x:c>
      <x:c r="V54" s="9" t="n">
        <x:f>H54*MAX(0,AB53-O54)*v01_OvercapLoss</x:f>
        <x:v>0</x:v>
      </x:c>
      <x:c r="W54" s="9" t="n">
        <x:f>H54*Y53/(v01_ChildYears*4)</x:f>
        <x:v>0.10168786715857987</x:v>
      </x:c>
      <x:c r="X54" s="9" t="n">
        <x:f>H54*Z53/(v01_AdultYears*4)</x:f>
        <x:v>0.058490475767603176</x:v>
      </x:c>
      <x:c r="Y54" s="32" t="n">
        <x:f>Y53+R54-S54-W54-Y53*V54/AB53</x:f>
        <x:v>5.732839693195281</x:v>
      </x:c>
      <x:c r="Z54" s="32" t="n">
        <x:f>Z53+W54-X54-T54-Z53*V54/AB53</x:f>
        <x:v>7.268818315341835</x:v>
      </x:c>
      <x:c r="AA54" s="32" t="n">
        <x:f>AA53+X54-U54-AA53*V54/AB53</x:f>
        <x:v>1.9196881867439037</x:v>
      </x:c>
      <x:c r="AB54" s="10" t="n">
        <x:f>Y54+Z54+AA54</x:f>
        <x:v>14.921346195281021</x:v>
      </x:c>
      <x:c r="AC54" s="8" t="n">
        <x:f>IF(AND(v01_WinterTrigger=1,D54=1,AB53/AE53&gt;=K54),1,0)</x:f>
        <x:v>0</x:v>
      </x:c>
      <x:c r="AD54" s="8" t="n">
        <x:f>H54*IF(AND(OR(AB53/AE53&gt;=v01_FissionTrigger*N54,AC54=1),AB53/AE53*v01_DaughterShare&gt;=v01_MinDaughter),MAX(1,ROUND(AE53*v01_FissionRate,0)),0)</x:f>
        <x:v>0</x:v>
      </x:c>
      <x:c r="AE54" s="8" t="n">
        <x:f>IF(H54=1,MAX(1,MIN(INDEX(v01_Smax,G54),AE53+AD54)),AE53)</x:f>
        <x:v>1</x:v>
      </x:c>
      <x:c r="AF54" s="8" t="n">
        <x:f>MAX(0,AE54-AE53)</x:f>
        <x:v>0</x:v>
      </x:c>
      <x:c r="AG54" s="9" t="str">
        <x:f>IF(AF54&gt;0,B54,"")</x:f>
      </x:c>
      <x:c r="AH54" s="9" t="n">
        <x:f>IF(F54&gt;=1,1,(1+v01_LowTiesShare*(AE54-1))/AE54)</x:f>
        <x:v>1</x:v>
      </x:c>
      <x:c r="AI54" s="32" t="n">
        <x:f>(Z54+v01_ElderCommons*INDEX(LM_Elder,G54)*AA54)*AH54</x:f>
        <x:v>11.108194688829641</x:v>
      </x:c>
      <x:c r="AJ54" s="32" t="n">
        <x:f>H54*v01_CommonsCoef*AI54^v01_CommonsExp*INDEX(LM_Commons,G54)</x:f>
        <x:v>4.87129637563907</x:v>
      </x:c>
      <x:c r="AK54" s="32" t="n">
        <x:f>H54*v01_RoleScale*Arch_Roles*(AE54*(INDEX(v01_ElderRolePerSett,G54)*v01_OutElder*INDEX(LM_Elder,G54)+INDEX(v01_ShamanPerSett,G54)*v01_OutShaman)+Z54*(INDEX(v01_PriestShare,G54)*v01_OutPriest+INDEX(v01_ScribeShare,G54)*v01_OutScribe*INDEX(LM_Scribe,G54)+INDEX(v01_ScholarShare,G54)*v01_OutScholar*INDEX(LM_Scholar,G54)+INDEX(v01_ResearcherShare,G54)*v01_OutResearcher*INDEX(LM_Researcher,G54)))</x:f>
        <x:v>0</x:v>
      </x:c>
      <x:c r="AL54" s="32" t="n">
        <x:f>H54*v01_RoleScale*Arch_Roles*AE54*INDEX(v01_MonasteryPerSett,G54)*v01_OutMonastery*INDEX(LM_Monastery,G54)</x:f>
        <x:v>0</x:v>
      </x:c>
      <x:c r="AM54" s="32" t="n">
        <x:f>(AJ54+AK54+AL54)/4*INDEX(LM_All,G54)*INDEX(v01_Boon,G54)*Arch_Insight</x:f>
        <x:v>1.2178240939097675</x:v>
      </x:c>
      <x:c r="AN54" s="32" t="n">
        <x:f>H54*(v01_KHPerAdult*Z54+v01_KHOfCommons*AJ54/4*INDEX(LM_All,G54))*v01_KHUsable*Arch_KH</x:f>
        <x:v>0.2544086410369642</x:v>
      </x:c>
      <x:c r="AO54" s="32" t="n">
        <x:f>MIN(AP53+AN54,AM54*v01_KHMaxRatio)</x:f>
        <x:v>0.2544086410369642</x:v>
      </x:c>
      <x:c r="AP54" s="32" t="n">
        <x:f>AP53+AN54-AO54</x:f>
        <x:v>0</x:v>
      </x:c>
      <x:c r="AQ54" s="32" t="n">
        <x:f>AM54+AO54</x:f>
        <x:v>1.4722327349467317</x:v>
      </x:c>
      <x:c r="AR54" s="10" t="n">
        <x:f>IF(H54=1,INDEX(v01_Req,G54),0)</x:f>
        <x:v>372.02</x:v>
      </x:c>
      <x:c r="AS54" s="32" t="n">
        <x:f>IF(H54=1,IF(E54=1,AS53-AR53,AS53)+AQ54,0)</x:f>
        <x:v>75.87330138181471</x:v>
      </x:c>
      <x:c r="AT54" s="11" t="n">
        <x:f>IF(AR54&gt;0,MIN(1,AS54/AR54),1)</x:f>
        <x:v>0.20394952255742896</x:v>
      </x:c>
      <x:c r="AU54" s="10" t="n">
        <x:f>AB54/INDEX(v01_RepScale,G54)</x:f>
        <x:v>14.921346195281021</x:v>
      </x:c>
      <x:c r="AV54" s="32" t="n">
        <x:f>AM54*60/v01_SeasonSeconds</x:f>
        <x:v>4.87129637563907</x:v>
      </x:c>
    </x:row>
    <x:row r="55">
      <x:c r="A55" s="8" t="n">
        <x:f>A54+1</x:f>
        <x:v>52</x:v>
      </x:c>
      <x:c r="B55" s="9" t="n">
        <x:f>A55*v01_SeasonSeconds/60</x:f>
        <x:v>13</x:v>
      </x:c>
      <x:c r="C55" s="9" t="n">
        <x:f>A55/4</x:f>
        <x:v>13</x:v>
      </x:c>
      <x:c r="D55" s="8" t="n">
        <x:f>IF(MOD(A55,4)=0,1,0)</x:f>
        <x:v>1</x:v>
      </x:c>
      <x:c r="E55" s="8" t="n">
        <x:f>IF(AND(F54&lt;=9,AS54&gt;=AR54),1,0)</x:f>
        <x:v>0</x:v>
      </x:c>
      <x:c r="F55" s="8" t="n">
        <x:f>MIN(10,F54+E55)</x:f>
        <x:v>0</x:v>
      </x:c>
      <x:c r="G55" s="8" t="n">
        <x:f>MIN(F55,9)+1</x:f>
        <x:v>1</x:v>
      </x:c>
      <x:c r="H55" s="8" t="n">
        <x:f>IF(F55&lt;=9,1,0)</x:f>
        <x:v>1</x:v>
      </x:c>
      <x:c r="I55" s="9" t="n">
        <x:f>MIN(10,F54+IF(AR54&gt;0,MIN(1,AS54/AR54),1))</x:f>
        <x:v>0.20394952255742896</x:v>
      </x:c>
      <x:c r="J55" s="32" t="n">
        <x:f>INDEX(v01_FoodCap,G55)*Arch_FoodCap*EXP(v01_CapsByProject*SUMPRODUCT((Cap_Point&lt;=I55)*(Cap_Kind="Food")*Cap_Ln))</x:f>
        <x:v>22</x:v>
      </x:c>
      <x:c r="K55" s="32" t="n">
        <x:f>J55*MIN(1,v01_LeanBase*EXP(v01_CapsByProject*SUMPRODUCT((Cap_Point&lt;=I55)*(Cap_Kind="Lean")*Cap_Ln)))</x:f>
        <x:v>22</x:v>
      </x:c>
      <x:c r="L55" s="10" t="n">
        <x:f>INDEX(v01_HousingCap,G55)*EXP(v01_CapsByProject*SUMPRODUCT((Cap_Point&lt;=I55)*(Cap_Kind="Housing")*Cap_Ln))</x:f>
        <x:v>60</x:v>
      </x:c>
      <x:c r="M55" s="10" t="n">
        <x:f>INDEX(v01_GroupCap,G55)*v01_CohesionFactor*EXP(v01_CapsByProject*SUMPRODUCT((Cap_Point&lt;=I55)*(Cap_Kind="Group")*Cap_Ln))</x:f>
        <x:v>35</x:v>
      </x:c>
      <x:c r="N55" s="32" t="n">
        <x:f>MIN(J55,L55,M55)</x:f>
        <x:v>22</x:v>
      </x:c>
      <x:c r="O55" s="10" t="n">
        <x:f>AE54*N55</x:f>
        <x:v>22</x:v>
      </x:c>
      <x:c r="P55" s="9" t="n">
        <x:f>MIN(1,(AB54/(AE54*IF(v01_GroupInCrowding=1,N55,MIN(J55,L55))))^v01_CrowdingExp)</x:f>
        <x:v>0.09734462026062114</x:v>
      </x:c>
      <x:c r="Q55" s="9" t="n">
        <x:f>IF(D55=1,INDEX(v01_WinterMult,G55),1)</x:f>
        <x:v>2</x:v>
      </x:c>
      <x:c r="R55" s="9" t="n">
        <x:f>H55*Z54*v01_WomenShare*v01_BaseFertility*INDEX(v01_FertMult,G55)*Arch_Fertility*(1-P55)</x:f>
        <x:v>0.19683713870074304</x:v>
      </x:c>
      <x:c r="S55" s="9" t="n">
        <x:f>H55*Y54*INDEX(v01_MortChild,G55)/4*Q55</x:f>
        <x:v>0.11465679386390562</x:v>
      </x:c>
      <x:c r="T55" s="9" t="n">
        <x:f>H55*Z54*INDEX(v01_MortAdult,G55)*Arch_AdultMort/4*Q55</x:f>
        <x:v>0.054516137365063756</x:v>
      </x:c>
      <x:c r="U55" s="9" t="n">
        <x:f>H55*AA54*INDEX(v01_MortElder,G55)/4*Q55</x:f>
        <x:v>0.0959844093371952</x:v>
      </x:c>
      <x:c r="V55" s="9" t="n">
        <x:f>H55*MAX(0,AB54-O55)*v01_OvercapLoss</x:f>
        <x:v>0</x:v>
      </x:c>
      <x:c r="W55" s="9" t="n">
        <x:f>H55*Y54/(v01_ChildYears*4)</x:f>
        <x:v>0.10237213737848716</x:v>
      </x:c>
      <x:c r="X55" s="9" t="n">
        <x:f>H55*Z54/(v01_AdultYears*4)</x:f>
        <x:v>0.058619502543079315</x:v>
      </x:c>
      <x:c r="Y55" s="32" t="n">
        <x:f>Y54+R55-S55-W55-Y54*V55/AB54</x:f>
        <x:v>5.712647900653631</x:v>
      </x:c>
      <x:c r="Z55" s="32" t="n">
        <x:f>Z54+W55-X55-T55-Z54*V55/AB54</x:f>
        <x:v>7.258054812812179</x:v>
      </x:c>
      <x:c r="AA55" s="32" t="n">
        <x:f>AA54+X55-U55-AA54*V55/AB54</x:f>
        <x:v>1.882323279949788</x:v>
      </x:c>
      <x:c r="AB55" s="10" t="n">
        <x:f>Y55+Z55+AA55</x:f>
        <x:v>14.853025993415597</x:v>
      </x:c>
      <x:c r="AC55" s="8" t="n">
        <x:f>IF(AND(v01_WinterTrigger=1,D55=1,AB54/AE54&gt;=K55),1,0)</x:f>
        <x:v>0</x:v>
      </x:c>
      <x:c r="AD55" s="8" t="n">
        <x:f>H55*IF(AND(OR(AB54/AE54&gt;=v01_FissionTrigger*N55,AC55=1),AB54/AE54*v01_DaughterShare&gt;=v01_MinDaughter),MAX(1,ROUND(AE54*v01_FissionRate,0)),0)</x:f>
        <x:v>0</x:v>
      </x:c>
      <x:c r="AE55" s="8" t="n">
        <x:f>IF(H55=1,MAX(1,MIN(INDEX(v01_Smax,G55),AE54+AD55)),AE54)</x:f>
        <x:v>1</x:v>
      </x:c>
      <x:c r="AF55" s="8" t="n">
        <x:f>MAX(0,AE55-AE54)</x:f>
        <x:v>0</x:v>
      </x:c>
      <x:c r="AG55" s="9" t="str">
        <x:f>IF(AF55&gt;0,B55,"")</x:f>
      </x:c>
      <x:c r="AH55" s="9" t="n">
        <x:f>IF(F55&gt;=1,1,(1+v01_LowTiesShare*(AE55-1))/AE55)</x:f>
        <x:v>1</x:v>
      </x:c>
      <x:c r="AI55" s="32" t="n">
        <x:f>(Z55+v01_ElderCommons*INDEX(LM_Elder,G55)*AA55)*AH55</x:f>
        <x:v>11.022701372711754</x:v>
      </x:c>
      <x:c r="AJ55" s="32" t="n">
        <x:f>H55*v01_CommonsCoef*AI55^v01_CommonsExp*INDEX(LM_Commons,G55)</x:f>
        <x:v>4.839410120454221</x:v>
      </x:c>
      <x:c r="AK55" s="32" t="n">
        <x:f>H55*v01_RoleScale*Arch_Roles*(AE55*(INDEX(v01_ElderRolePerSett,G55)*v01_OutElder*INDEX(LM_Elder,G55)+INDEX(v01_ShamanPerSett,G55)*v01_OutShaman)+Z55*(INDEX(v01_PriestShare,G55)*v01_OutPriest+INDEX(v01_ScribeShare,G55)*v01_OutScribe*INDEX(LM_Scribe,G55)+INDEX(v01_ScholarShare,G55)*v01_OutScholar*INDEX(LM_Scholar,G55)+INDEX(v01_ResearcherShare,G55)*v01_OutResearcher*INDEX(LM_Researcher,G55)))</x:f>
        <x:v>0</x:v>
      </x:c>
      <x:c r="AL55" s="32" t="n">
        <x:f>H55*v01_RoleScale*Arch_Roles*AE55*INDEX(v01_MonasteryPerSett,G55)*v01_OutMonastery*INDEX(LM_Monastery,G55)</x:f>
        <x:v>0</x:v>
      </x:c>
      <x:c r="AM55" s="32" t="n">
        <x:f>(AJ55+AK55+AL55)/4*INDEX(LM_All,G55)*INDEX(v01_Boon,G55)*Arch_Insight</x:f>
        <x:v>1.2098525301135552</x:v>
      </x:c>
      <x:c r="AN55" s="32" t="n">
        <x:f>H55*(v01_KHPerAdult*Z55+v01_KHOfCommons*AJ55/4*INDEX(LM_All,G55))*v01_KHUsable*Arch_KH</x:f>
        <x:v>0.25403191844842626</x:v>
      </x:c>
      <x:c r="AO55" s="32" t="n">
        <x:f>MIN(AP54+AN55,AM55*v01_KHMaxRatio)</x:f>
        <x:v>0.25403191844842626</x:v>
      </x:c>
      <x:c r="AP55" s="32" t="n">
        <x:f>AP54+AN55-AO55</x:f>
        <x:v>0</x:v>
      </x:c>
      <x:c r="AQ55" s="32" t="n">
        <x:f>AM55+AO55</x:f>
        <x:v>1.4638844485619815</x:v>
      </x:c>
      <x:c r="AR55" s="10" t="n">
        <x:f>IF(H55=1,INDEX(v01_Req,G55),0)</x:f>
        <x:v>372.02</x:v>
      </x:c>
      <x:c r="AS55" s="32" t="n">
        <x:f>IF(H55=1,IF(E55=1,AS54-AR54,AS54)+AQ55,0)</x:f>
        <x:v>77.3371858303767</x:v>
      </x:c>
      <x:c r="AT55" s="11" t="n">
        <x:f>IF(AR55&gt;0,MIN(1,AS55/AR55),1)</x:f>
        <x:v>0.20788448424917128</x:v>
      </x:c>
      <x:c r="AU55" s="10" t="n">
        <x:f>AB55/INDEX(v01_RepScale,G55)</x:f>
        <x:v>14.853025993415597</x:v>
      </x:c>
      <x:c r="AV55" s="32" t="n">
        <x:f>AM55*60/v01_SeasonSeconds</x:f>
        <x:v>4.839410120454221</x:v>
      </x:c>
    </x:row>
    <x:row r="56">
      <x:c r="A56" s="8" t="n">
        <x:f>A55+1</x:f>
        <x:v>53</x:v>
      </x:c>
      <x:c r="B56" s="9" t="n">
        <x:f>A56*v01_SeasonSeconds/60</x:f>
        <x:v>13.25</x:v>
      </x:c>
      <x:c r="C56" s="9" t="n">
        <x:f>A56/4</x:f>
        <x:v>13.25</x:v>
      </x:c>
      <x:c r="D56" s="8" t="n">
        <x:f>IF(MOD(A56,4)=0,1,0)</x:f>
        <x:v>0</x:v>
      </x:c>
      <x:c r="E56" s="8" t="n">
        <x:f>IF(AND(F55&lt;=9,AS55&gt;=AR55),1,0)</x:f>
        <x:v>0</x:v>
      </x:c>
      <x:c r="F56" s="8" t="n">
        <x:f>MIN(10,F55+E56)</x:f>
        <x:v>0</x:v>
      </x:c>
      <x:c r="G56" s="8" t="n">
        <x:f>MIN(F56,9)+1</x:f>
        <x:v>1</x:v>
      </x:c>
      <x:c r="H56" s="8" t="n">
        <x:f>IF(F56&lt;=9,1,0)</x:f>
        <x:v>1</x:v>
      </x:c>
      <x:c r="I56" s="9" t="n">
        <x:f>MIN(10,F55+IF(AR55&gt;0,MIN(1,AS55/AR55),1))</x:f>
        <x:v>0.20788448424917128</x:v>
      </x:c>
      <x:c r="J56" s="32" t="n">
        <x:f>INDEX(v01_FoodCap,G56)*Arch_FoodCap*EXP(v01_CapsByProject*SUMPRODUCT((Cap_Point&lt;=I56)*(Cap_Kind="Food")*Cap_Ln))</x:f>
        <x:v>22</x:v>
      </x:c>
      <x:c r="K56" s="32" t="n">
        <x:f>J56*MIN(1,v01_LeanBase*EXP(v01_CapsByProject*SUMPRODUCT((Cap_Point&lt;=I56)*(Cap_Kind="Lean")*Cap_Ln)))</x:f>
        <x:v>22</x:v>
      </x:c>
      <x:c r="L56" s="10" t="n">
        <x:f>INDEX(v01_HousingCap,G56)*EXP(v01_CapsByProject*SUMPRODUCT((Cap_Point&lt;=I56)*(Cap_Kind="Housing")*Cap_Ln))</x:f>
        <x:v>60</x:v>
      </x:c>
      <x:c r="M56" s="10" t="n">
        <x:f>INDEX(v01_GroupCap,G56)*v01_CohesionFactor*EXP(v01_CapsByProject*SUMPRODUCT((Cap_Point&lt;=I56)*(Cap_Kind="Group")*Cap_Ln))</x:f>
        <x:v>35</x:v>
      </x:c>
      <x:c r="N56" s="32" t="n">
        <x:f>MIN(J56,L56,M56)</x:f>
        <x:v>22</x:v>
      </x:c>
      <x:c r="O56" s="10" t="n">
        <x:f>AE55*N56</x:f>
        <x:v>22</x:v>
      </x:c>
      <x:c r="P56" s="9" t="n">
        <x:f>MIN(1,(AB55/(AE55*IF(v01_GroupInCrowding=1,N56,MIN(J56,L56))))^v01_CrowdingExp)</x:f>
        <x:v>0.0947007812009725</x:v>
      </x:c>
      <x:c r="Q56" s="9" t="n">
        <x:f>IF(D56=1,INDEX(v01_WinterMult,G56),1)</x:f>
        <x:v>1</x:v>
      </x:c>
      <x:c r="R56" s="9" t="n">
        <x:f>H56*Z55*v01_WomenShare*v01_BaseFertility*INDEX(v01_FertMult,G56)*Arch_Fertility*(1-P56)</x:f>
        <x:v>0.1971213405611816</x:v>
      </x:c>
      <x:c r="S56" s="9" t="n">
        <x:f>H56*Y55*INDEX(v01_MortChild,G56)/4*Q56</x:f>
        <x:v>0.057126479006536314</x:v>
      </x:c>
      <x:c r="T56" s="9" t="n">
        <x:f>H56*Z55*INDEX(v01_MortAdult,G56)*Arch_AdultMort/4*Q56</x:f>
        <x:v>0.02721770554804567</x:v>
      </x:c>
      <x:c r="U56" s="9" t="n">
        <x:f>H56*AA55*INDEX(v01_MortElder,G56)/4*Q56</x:f>
        <x:v>0.0470580819987447</x:v>
      </x:c>
      <x:c r="V56" s="9" t="n">
        <x:f>H56*MAX(0,AB55-O56)*v01_OvercapLoss</x:f>
        <x:v>0</x:v>
      </x:c>
      <x:c r="W56" s="9" t="n">
        <x:f>H56*Y55/(v01_ChildYears*4)</x:f>
        <x:v>0.10201156965452914</x:v>
      </x:c>
      <x:c r="X56" s="9" t="n">
        <x:f>H56*Z55/(v01_AdultYears*4)</x:f>
        <x:v>0.05853270010332402</x:v>
      </x:c>
      <x:c r="Y56" s="32" t="n">
        <x:f>Y55+R56-S56-W56-Y55*V56/AB55</x:f>
        <x:v>5.750631192553748</x:v>
      </x:c>
      <x:c r="Z56" s="32" t="n">
        <x:f>Z55+W56-X56-T56-Z55*V56/AB55</x:f>
        <x:v>7.274315976815338</x:v>
      </x:c>
      <x:c r="AA56" s="32" t="n">
        <x:f>AA55+X56-U56-AA55*V56/AB55</x:f>
        <x:v>1.8937978980543673</x:v>
      </x:c>
      <x:c r="AB56" s="10" t="n">
        <x:f>Y56+Z56+AA56</x:f>
        <x:v>14.918745067423453</x:v>
      </x:c>
      <x:c r="AC56" s="8" t="n">
        <x:f>IF(AND(v01_WinterTrigger=1,D56=1,AB55/AE55&gt;=K56),1,0)</x:f>
        <x:v>0</x:v>
      </x:c>
      <x:c r="AD56" s="8" t="n">
        <x:f>H56*IF(AND(OR(AB55/AE55&gt;=v01_FissionTrigger*N56,AC56=1),AB55/AE55*v01_DaughterShare&gt;=v01_MinDaughter),MAX(1,ROUND(AE55*v01_FissionRate,0)),0)</x:f>
        <x:v>0</x:v>
      </x:c>
      <x:c r="AE56" s="8" t="n">
        <x:f>IF(H56=1,MAX(1,MIN(INDEX(v01_Smax,G56),AE55+AD56)),AE55)</x:f>
        <x:v>1</x:v>
      </x:c>
      <x:c r="AF56" s="8" t="n">
        <x:f>MAX(0,AE56-AE55)</x:f>
        <x:v>0</x:v>
      </x:c>
      <x:c r="AG56" s="9" t="str">
        <x:f>IF(AF56&gt;0,B56,"")</x:f>
      </x:c>
      <x:c r="AH56" s="9" t="n">
        <x:f>IF(F56&gt;=1,1,(1+v01_LowTiesShare*(AE56-1))/AE56)</x:f>
        <x:v>1</x:v>
      </x:c>
      <x:c r="AI56" s="32" t="n">
        <x:f>(Z56+v01_ElderCommons*INDEX(LM_Elder,G56)*AA56)*AH56</x:f>
        <x:v>11.061911772924072</x:v>
      </x:c>
      <x:c r="AJ56" s="32" t="n">
        <x:f>H56*v01_CommonsCoef*AI56^v01_CommonsExp*INDEX(LM_Commons,G56)</x:f>
        <x:v>4.85403892586433</x:v>
      </x:c>
      <x:c r="AK56" s="32" t="n">
        <x:f>H56*v01_RoleScale*Arch_Roles*(AE56*(INDEX(v01_ElderRolePerSett,G56)*v01_OutElder*INDEX(LM_Elder,G56)+INDEX(v01_ShamanPerSett,G56)*v01_OutShaman)+Z56*(INDEX(v01_PriestShare,G56)*v01_OutPriest+INDEX(v01_ScribeShare,G56)*v01_OutScribe*INDEX(LM_Scribe,G56)+INDEX(v01_ScholarShare,G56)*v01_OutScholar*INDEX(LM_Scholar,G56)+INDEX(v01_ResearcherShare,G56)*v01_OutResearcher*INDEX(LM_Researcher,G56)))</x:f>
        <x:v>0</x:v>
      </x:c>
      <x:c r="AL56" s="32" t="n">
        <x:f>H56*v01_RoleScale*Arch_Roles*AE56*INDEX(v01_MonasteryPerSett,G56)*v01_OutMonastery*INDEX(LM_Monastery,G56)</x:f>
        <x:v>0</x:v>
      </x:c>
      <x:c r="AM56" s="32" t="n">
        <x:f>(AJ56+AK56+AL56)/4*INDEX(LM_All,G56)*INDEX(v01_Boon,G56)*Arch_Insight</x:f>
        <x:v>1.2135097314660825</x:v>
      </x:c>
      <x:c r="AN56" s="32" t="n">
        <x:f>H56*(v01_KHPerAdult*Z56+v01_KHOfCommons*AJ56/4*INDEX(LM_All,G56))*v01_KHUsable*Arch_KH</x:f>
        <x:v>0.2546010591885368</x:v>
      </x:c>
      <x:c r="AO56" s="32" t="n">
        <x:f>MIN(AP55+AN56,AM56*v01_KHMaxRatio)</x:f>
        <x:v>0.2546010591885368</x:v>
      </x:c>
      <x:c r="AP56" s="32" t="n">
        <x:f>AP55+AN56-AO56</x:f>
        <x:v>0</x:v>
      </x:c>
      <x:c r="AQ56" s="32" t="n">
        <x:f>AM56+AO56</x:f>
        <x:v>1.4681107906546194</x:v>
      </x:c>
      <x:c r="AR56" s="10" t="n">
        <x:f>IF(H56=1,INDEX(v01_Req,G56),0)</x:f>
        <x:v>372.02</x:v>
      </x:c>
      <x:c r="AS56" s="32" t="n">
        <x:f>IF(H56=1,IF(E56=1,AS55-AR55,AS55)+AQ56,0)</x:f>
        <x:v>78.80529662103132</x:v>
      </x:c>
      <x:c r="AT56" s="11" t="n">
        <x:f>IF(AR56&gt;0,MIN(1,AS56/AR56),1)</x:f>
        <x:v>0.21183080646479038</x:v>
      </x:c>
      <x:c r="AU56" s="10" t="n">
        <x:f>AB56/INDEX(v01_RepScale,G56)</x:f>
        <x:v>14.918745067423453</x:v>
      </x:c>
      <x:c r="AV56" s="32" t="n">
        <x:f>AM56*60/v01_SeasonSeconds</x:f>
        <x:v>4.85403892586433</x:v>
      </x:c>
    </x:row>
    <x:row r="57">
      <x:c r="A57" s="8" t="n">
        <x:f>A56+1</x:f>
        <x:v>54</x:v>
      </x:c>
      <x:c r="B57" s="9" t="n">
        <x:f>A57*v01_SeasonSeconds/60</x:f>
        <x:v>13.5</x:v>
      </x:c>
      <x:c r="C57" s="9" t="n">
        <x:f>A57/4</x:f>
        <x:v>13.5</x:v>
      </x:c>
      <x:c r="D57" s="8" t="n">
        <x:f>IF(MOD(A57,4)=0,1,0)</x:f>
        <x:v>0</x:v>
      </x:c>
      <x:c r="E57" s="8" t="n">
        <x:f>IF(AND(F56&lt;=9,AS56&gt;=AR56),1,0)</x:f>
        <x:v>0</x:v>
      </x:c>
      <x:c r="F57" s="8" t="n">
        <x:f>MIN(10,F56+E57)</x:f>
        <x:v>0</x:v>
      </x:c>
      <x:c r="G57" s="8" t="n">
        <x:f>MIN(F57,9)+1</x:f>
        <x:v>1</x:v>
      </x:c>
      <x:c r="H57" s="8" t="n">
        <x:f>IF(F57&lt;=9,1,0)</x:f>
        <x:v>1</x:v>
      </x:c>
      <x:c r="I57" s="9" t="n">
        <x:f>MIN(10,F56+IF(AR56&gt;0,MIN(1,AS56/AR56),1))</x:f>
        <x:v>0.21183080646479038</x:v>
      </x:c>
      <x:c r="J57" s="32" t="n">
        <x:f>INDEX(v01_FoodCap,G57)*Arch_FoodCap*EXP(v01_CapsByProject*SUMPRODUCT((Cap_Point&lt;=I57)*(Cap_Kind="Food")*Cap_Ln))</x:f>
        <x:v>22</x:v>
      </x:c>
      <x:c r="K57" s="32" t="n">
        <x:f>J57*MIN(1,v01_LeanBase*EXP(v01_CapsByProject*SUMPRODUCT((Cap_Point&lt;=I57)*(Cap_Kind="Lean")*Cap_Ln)))</x:f>
        <x:v>22</x:v>
      </x:c>
      <x:c r="L57" s="10" t="n">
        <x:f>INDEX(v01_HousingCap,G57)*EXP(v01_CapsByProject*SUMPRODUCT((Cap_Point&lt;=I57)*(Cap_Kind="Housing")*Cap_Ln))</x:f>
        <x:v>60</x:v>
      </x:c>
      <x:c r="M57" s="10" t="n">
        <x:f>INDEX(v01_GroupCap,G57)*v01_CohesionFactor*EXP(v01_CapsByProject*SUMPRODUCT((Cap_Point&lt;=I57)*(Cap_Kind="Group")*Cap_Ln))</x:f>
        <x:v>35</x:v>
      </x:c>
      <x:c r="N57" s="32" t="n">
        <x:f>MIN(J57,L57,M57)</x:f>
        <x:v>22</x:v>
      </x:c>
      <x:c r="O57" s="10" t="n">
        <x:f>AE56*N57</x:f>
        <x:v>22</x:v>
      </x:c>
      <x:c r="P57" s="9" t="n">
        <x:f>MIN(1,(AB56/(AE56*IF(v01_GroupInCrowding=1,N57,MIN(J57,L57))))^v01_CrowdingExp)</x:f>
        <x:v>0.09724284841893518</x:v>
      </x:c>
      <x:c r="Q57" s="9" t="n">
        <x:f>IF(D57=1,INDEX(v01_WinterMult,G57),1)</x:f>
        <x:v>1</x:v>
      </x:c>
      <x:c r="R57" s="9" t="n">
        <x:f>H57*Z56*v01_WomenShare*v01_BaseFertility*INDEX(v01_FertMult,G57)*Arch_Fertility*(1-P57)</x:f>
        <x:v>0.19700822312791336</x:v>
      </x:c>
      <x:c r="S57" s="9" t="n">
        <x:f>H57*Y56*INDEX(v01_MortChild,G57)/4*Q57</x:f>
        <x:v>0.057506311925537484</x:v>
      </x:c>
      <x:c r="T57" s="9" t="n">
        <x:f>H57*Z56*INDEX(v01_MortAdult,G57)*Arch_AdultMort/4*Q57</x:f>
        <x:v>0.027278684913057516</x:v>
      </x:c>
      <x:c r="U57" s="9" t="n">
        <x:f>H57*AA56*INDEX(v01_MortElder,G57)/4*Q57</x:f>
        <x:v>0.047344947451359184</x:v>
      </x:c>
      <x:c r="V57" s="9" t="n">
        <x:f>H57*MAX(0,AB56-O57)*v01_OvercapLoss</x:f>
        <x:v>0</x:v>
      </x:c>
      <x:c r="W57" s="9" t="n">
        <x:f>H57*Y56/(v01_ChildYears*4)</x:f>
        <x:v>0.10268984272417407</x:v>
      </x:c>
      <x:c r="X57" s="9" t="n">
        <x:f>H57*Z56/(v01_AdultYears*4)</x:f>
        <x:v>0.058663838522704334</x:v>
      </x:c>
      <x:c r="Y57" s="32" t="n">
        <x:f>Y56+R57-S57-W57-Y56*V57/AB56</x:f>
        <x:v>5.78744326103195</x:v>
      </x:c>
      <x:c r="Z57" s="32" t="n">
        <x:f>Z56+W57-X57-T57-Z56*V57/AB56</x:f>
        <x:v>7.291063296103749</x:v>
      </x:c>
      <x:c r="AA57" s="32" t="n">
        <x:f>AA56+X57-U57-AA56*V57/AB56</x:f>
        <x:v>1.9051167891257124</x:v>
      </x:c>
      <x:c r="AB57" s="10" t="n">
        <x:f>Y57+Z57+AA57</x:f>
        <x:v>14.983623346261412</x:v>
      </x:c>
      <x:c r="AC57" s="8" t="n">
        <x:f>IF(AND(v01_WinterTrigger=1,D57=1,AB56/AE56&gt;=K57),1,0)</x:f>
        <x:v>0</x:v>
      </x:c>
      <x:c r="AD57" s="8" t="n">
        <x:f>H57*IF(AND(OR(AB56/AE56&gt;=v01_FissionTrigger*N57,AC57=1),AB56/AE56*v01_DaughterShare&gt;=v01_MinDaughter),MAX(1,ROUND(AE56*v01_FissionRate,0)),0)</x:f>
        <x:v>0</x:v>
      </x:c>
      <x:c r="AE57" s="8" t="n">
        <x:f>IF(H57=1,MAX(1,MIN(INDEX(v01_Smax,G57),AE56+AD57)),AE56)</x:f>
        <x:v>1</x:v>
      </x:c>
      <x:c r="AF57" s="8" t="n">
        <x:f>MAX(0,AE57-AE56)</x:f>
        <x:v>0</x:v>
      </x:c>
      <x:c r="AG57" s="9" t="str">
        <x:f>IF(AF57&gt;0,B57,"")</x:f>
      </x:c>
      <x:c r="AH57" s="9" t="n">
        <x:f>IF(F57&gt;=1,1,(1+v01_LowTiesShare*(AE57-1))/AE57)</x:f>
        <x:v>1</x:v>
      </x:c>
      <x:c r="AI57" s="32" t="n">
        <x:f>(Z57+v01_ElderCommons*INDEX(LM_Elder,G57)*AA57)*AH57</x:f>
        <x:v>11.101296874355175</x:v>
      </x:c>
      <x:c r="AJ57" s="32" t="n">
        <x:f>H57*v01_CommonsCoef*AI57^v01_CommonsExp*INDEX(LM_Commons,G57)</x:f>
        <x:v>4.868725081641265</x:v>
      </x:c>
      <x:c r="AK57" s="32" t="n">
        <x:f>H57*v01_RoleScale*Arch_Roles*(AE57*(INDEX(v01_ElderRolePerSett,G57)*v01_OutElder*INDEX(LM_Elder,G57)+INDEX(v01_ShamanPerSett,G57)*v01_OutShaman)+Z57*(INDEX(v01_PriestShare,G57)*v01_OutPriest+INDEX(v01_ScribeShare,G57)*v01_OutScribe*INDEX(LM_Scribe,G57)+INDEX(v01_ScholarShare,G57)*v01_OutScholar*INDEX(LM_Scholar,G57)+INDEX(v01_ResearcherShare,G57)*v01_OutResearcher*INDEX(LM_Researcher,G57)))</x:f>
        <x:v>0</x:v>
      </x:c>
      <x:c r="AL57" s="32" t="n">
        <x:f>H57*v01_RoleScale*Arch_Roles*AE57*INDEX(v01_MonasteryPerSett,G57)*v01_OutMonastery*INDEX(LM_Monastery,G57)</x:f>
        <x:v>0</x:v>
      </x:c>
      <x:c r="AM57" s="32" t="n">
        <x:f>(AJ57+AK57+AL57)/4*INDEX(LM_All,G57)*INDEX(v01_Boon,G57)*Arch_Insight</x:f>
        <x:v>1.2171812704103162</x:v>
      </x:c>
      <x:c r="AN57" s="32" t="n">
        <x:f>H57*(v01_KHPerAdult*Z57+v01_KHOfCommons*AJ57/4*INDEX(LM_All,G57))*v01_KHUsable*Arch_KH</x:f>
        <x:v>0.2551872153636312</x:v>
      </x:c>
      <x:c r="AO57" s="32" t="n">
        <x:f>MIN(AP56+AN57,AM57*v01_KHMaxRatio)</x:f>
        <x:v>0.2551872153636312</x:v>
      </x:c>
      <x:c r="AP57" s="32" t="n">
        <x:f>AP56+AN57-AO57</x:f>
        <x:v>0</x:v>
      </x:c>
      <x:c r="AQ57" s="32" t="n">
        <x:f>AM57+AO57</x:f>
        <x:v>1.4723684857739474</x:v>
      </x:c>
      <x:c r="AR57" s="10" t="n">
        <x:f>IF(H57=1,INDEX(v01_Req,G57),0)</x:f>
        <x:v>372.02</x:v>
      </x:c>
      <x:c r="AS57" s="32" t="n">
        <x:f>IF(H57=1,IF(E57=1,AS56-AR56,AS56)+AQ57,0)</x:f>
        <x:v>80.27766510680526</x:v>
      </x:c>
      <x:c r="AT57" s="11" t="n">
        <x:f>IF(AR57&gt;0,MIN(1,AS57/AR57),1)</x:f>
        <x:v>0.215788573482085</x:v>
      </x:c>
      <x:c r="AU57" s="10" t="n">
        <x:f>AB57/INDEX(v01_RepScale,G57)</x:f>
        <x:v>14.983623346261412</x:v>
      </x:c>
      <x:c r="AV57" s="32" t="n">
        <x:f>AM57*60/v01_SeasonSeconds</x:f>
        <x:v>4.868725081641265</x:v>
      </x:c>
    </x:row>
    <x:row r="58">
      <x:c r="A58" s="8" t="n">
        <x:f>A57+1</x:f>
        <x:v>55</x:v>
      </x:c>
      <x:c r="B58" s="9" t="n">
        <x:f>A58*v01_SeasonSeconds/60</x:f>
        <x:v>13.75</x:v>
      </x:c>
      <x:c r="C58" s="9" t="n">
        <x:f>A58/4</x:f>
        <x:v>13.75</x:v>
      </x:c>
      <x:c r="D58" s="8" t="n">
        <x:f>IF(MOD(A58,4)=0,1,0)</x:f>
        <x:v>0</x:v>
      </x:c>
      <x:c r="E58" s="8" t="n">
        <x:f>IF(AND(F57&lt;=9,AS57&gt;=AR57),1,0)</x:f>
        <x:v>0</x:v>
      </x:c>
      <x:c r="F58" s="8" t="n">
        <x:f>MIN(10,F57+E58)</x:f>
        <x:v>0</x:v>
      </x:c>
      <x:c r="G58" s="8" t="n">
        <x:f>MIN(F58,9)+1</x:f>
        <x:v>1</x:v>
      </x:c>
      <x:c r="H58" s="8" t="n">
        <x:f>IF(F58&lt;=9,1,0)</x:f>
        <x:v>1</x:v>
      </x:c>
      <x:c r="I58" s="9" t="n">
        <x:f>MIN(10,F57+IF(AR57&gt;0,MIN(1,AS57/AR57),1))</x:f>
        <x:v>0.215788573482085</x:v>
      </x:c>
      <x:c r="J58" s="32" t="n">
        <x:f>INDEX(v01_FoodCap,G58)*Arch_FoodCap*EXP(v01_CapsByProject*SUMPRODUCT((Cap_Point&lt;=I58)*(Cap_Kind="Food")*Cap_Ln))</x:f>
        <x:v>22</x:v>
      </x:c>
      <x:c r="K58" s="32" t="n">
        <x:f>J58*MIN(1,v01_LeanBase*EXP(v01_CapsByProject*SUMPRODUCT((Cap_Point&lt;=I58)*(Cap_Kind="Lean")*Cap_Ln)))</x:f>
        <x:v>22</x:v>
      </x:c>
      <x:c r="L58" s="10" t="n">
        <x:f>INDEX(v01_HousingCap,G58)*EXP(v01_CapsByProject*SUMPRODUCT((Cap_Point&lt;=I58)*(Cap_Kind="Housing")*Cap_Ln))</x:f>
        <x:v>60</x:v>
      </x:c>
      <x:c r="M58" s="10" t="n">
        <x:f>INDEX(v01_GroupCap,G58)*v01_CohesionFactor*EXP(v01_CapsByProject*SUMPRODUCT((Cap_Point&lt;=I58)*(Cap_Kind="Group")*Cap_Ln))</x:f>
        <x:v>35</x:v>
      </x:c>
      <x:c r="N58" s="32" t="n">
        <x:f>MIN(J58,L58,M58)</x:f>
        <x:v>22</x:v>
      </x:c>
      <x:c r="O58" s="10" t="n">
        <x:f>AE57*N58</x:f>
        <x:v>22</x:v>
      </x:c>
      <x:c r="P58" s="9" t="n">
        <x:f>MIN(1,(AB57/(AE57*IF(v01_GroupInCrowding=1,N58,MIN(J58,L58))))^v01_CrowdingExp)</x:f>
        <x:v>0.09980791865544457</x:v>
      </x:c>
      <x:c r="Q58" s="9" t="n">
        <x:f>IF(D58=1,INDEX(v01_WinterMult,G58),1)</x:f>
        <x:v>1</x:v>
      </x:c>
      <x:c r="R58" s="9" t="n">
        <x:f>H58*Z57*v01_WomenShare*v01_BaseFertility*INDEX(v01_FertMult,G58)*Arch_Fertility*(1-P58)</x:f>
        <x:v>0.19690072331203584</x:v>
      </x:c>
      <x:c r="S58" s="9" t="n">
        <x:f>H58*Y57*INDEX(v01_MortChild,G58)/4*Q58</x:f>
        <x:v>0.05787443261031951</x:v>
      </x:c>
      <x:c r="T58" s="9" t="n">
        <x:f>H58*Z57*INDEX(v01_MortAdult,G58)*Arch_AdultMort/4*Q58</x:f>
        <x:v>0.027341487360389057</x:v>
      </x:c>
      <x:c r="U58" s="9" t="n">
        <x:f>H58*AA57*INDEX(v01_MortElder,G58)/4*Q58</x:f>
        <x:v>0.047627919728142815</x:v>
      </x:c>
      <x:c r="V58" s="9" t="n">
        <x:f>H58*MAX(0,AB57-O58)*v01_OvercapLoss</x:f>
        <x:v>0</x:v>
      </x:c>
      <x:c r="W58" s="9" t="n">
        <x:f>H58*Y57/(v01_ChildYears*4)</x:f>
        <x:v>0.10334720108985626</x:v>
      </x:c>
      <x:c r="X58" s="9" t="n">
        <x:f>H58*Z57/(v01_AdultYears*4)</x:f>
        <x:v>0.05879889754922378</x:v>
      </x:c>
      <x:c r="Y58" s="32" t="n">
        <x:f>Y57+R58-S58-W58-Y57*V58/AB57</x:f>
        <x:v>5.823122350643811</x:v>
      </x:c>
      <x:c r="Z58" s="32" t="n">
        <x:f>Z57+W58-X58-T58-Z57*V58/AB57</x:f>
        <x:v>7.308270112283992</x:v>
      </x:c>
      <x:c r="AA58" s="32" t="n">
        <x:f>AA57+X58-U58-AA57*V58/AB57</x:f>
        <x:v>1.9162877669467933</x:v>
      </x:c>
      <x:c r="AB58" s="10" t="n">
        <x:f>Y58+Z58+AA58</x:f>
        <x:v>15.047680229874596</x:v>
      </x:c>
      <x:c r="AC58" s="8" t="n">
        <x:f>IF(AND(v01_WinterTrigger=1,D58=1,AB57/AE57&gt;=K58),1,0)</x:f>
        <x:v>0</x:v>
      </x:c>
      <x:c r="AD58" s="8" t="n">
        <x:f>H58*IF(AND(OR(AB57/AE57&gt;=v01_FissionTrigger*N58,AC58=1),AB57/AE57*v01_DaughterShare&gt;=v01_MinDaughter),MAX(1,ROUND(AE57*v01_FissionRate,0)),0)</x:f>
        <x:v>0</x:v>
      </x:c>
      <x:c r="AE58" s="8" t="n">
        <x:f>IF(H58=1,MAX(1,MIN(INDEX(v01_Smax,G58),AE57+AD58)),AE57)</x:f>
        <x:v>1</x:v>
      </x:c>
      <x:c r="AF58" s="8" t="n">
        <x:f>MAX(0,AE58-AE57)</x:f>
        <x:v>0</x:v>
      </x:c>
      <x:c r="AG58" s="9" t="str">
        <x:f>IF(AF58&gt;0,B58,"")</x:f>
      </x:c>
      <x:c r="AH58" s="9" t="n">
        <x:f>IF(F58&gt;=1,1,(1+v01_LowTiesShare*(AE58-1))/AE58)</x:f>
        <x:v>1</x:v>
      </x:c>
      <x:c r="AI58" s="32" t="n">
        <x:f>(Z58+v01_ElderCommons*INDEX(LM_Elder,G58)*AA58)*AH58</x:f>
        <x:v>11.140845646177578</x:v>
      </x:c>
      <x:c r="AJ58" s="32" t="n">
        <x:f>H58*v01_CommonsCoef*AI58^v01_CommonsExp*INDEX(LM_Commons,G58)</x:f>
        <x:v>4.883464405645437</x:v>
      </x:c>
      <x:c r="AK58" s="32" t="n">
        <x:f>H58*v01_RoleScale*Arch_Roles*(AE58*(INDEX(v01_ElderRolePerSett,G58)*v01_OutElder*INDEX(LM_Elder,G58)+INDEX(v01_ShamanPerSett,G58)*v01_OutShaman)+Z58*(INDEX(v01_PriestShare,G58)*v01_OutPriest+INDEX(v01_ScribeShare,G58)*v01_OutScribe*INDEX(LM_Scribe,G58)+INDEX(v01_ScholarShare,G58)*v01_OutScholar*INDEX(LM_Scholar,G58)+INDEX(v01_ResearcherShare,G58)*v01_OutResearcher*INDEX(LM_Researcher,G58)))</x:f>
        <x:v>0</x:v>
      </x:c>
      <x:c r="AL58" s="32" t="n">
        <x:f>H58*v01_RoleScale*Arch_Roles*AE58*INDEX(v01_MonasteryPerSett,G58)*v01_OutMonastery*INDEX(LM_Monastery,G58)</x:f>
        <x:v>0</x:v>
      </x:c>
      <x:c r="AM58" s="32" t="n">
        <x:f>(AJ58+AK58+AL58)/4*INDEX(LM_All,G58)*INDEX(v01_Boon,G58)*Arch_Insight</x:f>
        <x:v>1.2208661014113593</x:v>
      </x:c>
      <x:c r="AN58" s="32" t="n">
        <x:f>H58*(v01_KHPerAdult*Z58+v01_KHOfCommons*AJ58/4*INDEX(LM_All,G58))*v01_KHUsable*Arch_KH</x:f>
        <x:v>0.25578945392993974</x:v>
      </x:c>
      <x:c r="AO58" s="32" t="n">
        <x:f>MIN(AP57+AN58,AM58*v01_KHMaxRatio)</x:f>
        <x:v>0.25578945392993974</x:v>
      </x:c>
      <x:c r="AP58" s="32" t="n">
        <x:f>AP57+AN58-AO58</x:f>
        <x:v>0</x:v>
      </x:c>
      <x:c r="AQ58" s="32" t="n">
        <x:f>AM58+AO58</x:f>
        <x:v>1.476655555341299</x:v>
      </x:c>
      <x:c r="AR58" s="10" t="n">
        <x:f>IF(H58=1,INDEX(v01_Req,G58),0)</x:f>
        <x:v>372.02</x:v>
      </x:c>
      <x:c r="AS58" s="32" t="n">
        <x:f>IF(H58=1,IF(E58=1,AS57-AR57,AS57)+AQ58,0)</x:f>
        <x:v>81.75432066214655</x:v>
      </x:c>
      <x:c r="AT58" s="11" t="n">
        <x:f>IF(AR58&gt;0,MIN(1,AS58/AR58),1)</x:f>
        <x:v>0.21975786426037996</x:v>
      </x:c>
      <x:c r="AU58" s="10" t="n">
        <x:f>AB58/INDEX(v01_RepScale,G58)</x:f>
        <x:v>15.047680229874596</x:v>
      </x:c>
      <x:c r="AV58" s="32" t="n">
        <x:f>AM58*60/v01_SeasonSeconds</x:f>
        <x:v>4.883464405645437</x:v>
      </x:c>
    </x:row>
    <x:row r="59">
      <x:c r="A59" s="8" t="n">
        <x:f>A58+1</x:f>
        <x:v>56</x:v>
      </x:c>
      <x:c r="B59" s="9" t="n">
        <x:f>A59*v01_SeasonSeconds/60</x:f>
        <x:v>14</x:v>
      </x:c>
      <x:c r="C59" s="9" t="n">
        <x:f>A59/4</x:f>
        <x:v>14</x:v>
      </x:c>
      <x:c r="D59" s="8" t="n">
        <x:f>IF(MOD(A59,4)=0,1,0)</x:f>
        <x:v>1</x:v>
      </x:c>
      <x:c r="E59" s="8" t="n">
        <x:f>IF(AND(F58&lt;=9,AS58&gt;=AR58),1,0)</x:f>
        <x:v>0</x:v>
      </x:c>
      <x:c r="F59" s="8" t="n">
        <x:f>MIN(10,F58+E59)</x:f>
        <x:v>0</x:v>
      </x:c>
      <x:c r="G59" s="8" t="n">
        <x:f>MIN(F59,9)+1</x:f>
        <x:v>1</x:v>
      </x:c>
      <x:c r="H59" s="8" t="n">
        <x:f>IF(F59&lt;=9,1,0)</x:f>
        <x:v>1</x:v>
      </x:c>
      <x:c r="I59" s="9" t="n">
        <x:f>MIN(10,F58+IF(AR58&gt;0,MIN(1,AS58/AR58),1))</x:f>
        <x:v>0.21975786426037996</x:v>
      </x:c>
      <x:c r="J59" s="32" t="n">
        <x:f>INDEX(v01_FoodCap,G59)*Arch_FoodCap*EXP(v01_CapsByProject*SUMPRODUCT((Cap_Point&lt;=I59)*(Cap_Kind="Food")*Cap_Ln))</x:f>
        <x:v>22</x:v>
      </x:c>
      <x:c r="K59" s="32" t="n">
        <x:f>J59*MIN(1,v01_LeanBase*EXP(v01_CapsByProject*SUMPRODUCT((Cap_Point&lt;=I59)*(Cap_Kind="Lean")*Cap_Ln)))</x:f>
        <x:v>22</x:v>
      </x:c>
      <x:c r="L59" s="10" t="n">
        <x:f>INDEX(v01_HousingCap,G59)*EXP(v01_CapsByProject*SUMPRODUCT((Cap_Point&lt;=I59)*(Cap_Kind="Housing")*Cap_Ln))</x:f>
        <x:v>60</x:v>
      </x:c>
      <x:c r="M59" s="10" t="n">
        <x:f>INDEX(v01_GroupCap,G59)*v01_CohesionFactor*EXP(v01_CapsByProject*SUMPRODUCT((Cap_Point&lt;=I59)*(Cap_Kind="Group")*Cap_Ln))</x:f>
        <x:v>35</x:v>
      </x:c>
      <x:c r="N59" s="32" t="n">
        <x:f>MIN(J59,L59,M59)</x:f>
        <x:v>22</x:v>
      </x:c>
      <x:c r="O59" s="10" t="n">
        <x:f>AE58*N59</x:f>
        <x:v>22</x:v>
      </x:c>
      <x:c r="P59" s="9" t="n">
        <x:f>MIN(1,(AB58/(AE58*IF(v01_GroupInCrowding=1,N59,MIN(J59,L59))))^v01_CrowdingExp)</x:f>
        <x:v>0.10239558632892719</x:v>
      </x:c>
      <x:c r="Q59" s="9" t="n">
        <x:f>IF(D59=1,INDEX(v01_WinterMult,G59),1)</x:f>
        <x:v>2</x:v>
      </x:c>
      <x:c r="R59" s="9" t="n">
        <x:f>H59*Z58*v01_WomenShare*v01_BaseFertility*INDEX(v01_FertMult,G59)*Arch_Fertility*(1-P59)</x:f>
        <x:v>0.19679806527259494</x:v>
      </x:c>
      <x:c r="S59" s="9" t="n">
        <x:f>H59*Y58*INDEX(v01_MortChild,G59)/4*Q59</x:f>
        <x:v>0.11646244701287621</x:v>
      </x:c>
      <x:c r="T59" s="9" t="n">
        <x:f>H59*Z58*INDEX(v01_MortAdult,G59)*Arch_AdultMort/4*Q59</x:f>
        <x:v>0.05481202584212994</x:v>
      </x:c>
      <x:c r="U59" s="9" t="n">
        <x:f>H59*AA58*INDEX(v01_MortElder,G59)/4*Q59</x:f>
        <x:v>0.09581438834733967</x:v>
      </x:c>
      <x:c r="V59" s="9" t="n">
        <x:f>H59*MAX(0,AB58-O59)*v01_OvercapLoss</x:f>
        <x:v>0</x:v>
      </x:c>
      <x:c r="W59" s="9" t="n">
        <x:f>H59*Y58/(v01_ChildYears*4)</x:f>
        <x:v>0.10398432769006805</x:v>
      </x:c>
      <x:c r="X59" s="9" t="n">
        <x:f>H59*Z58/(v01_AdultYears*4)</x:f>
        <x:v>0.058937662195838646</x:v>
      </x:c>
      <x:c r="Y59" s="32" t="n">
        <x:f>Y58+R59-S59-W59-Y58*V59/AB58</x:f>
        <x:v>5.799473641213462</x:v>
      </x:c>
      <x:c r="Z59" s="32" t="n">
        <x:f>Z58+W59-X59-T59-Z58*V59/AB58</x:f>
        <x:v>7.298504751936091</x:v>
      </x:c>
      <x:c r="AA59" s="32" t="n">
        <x:f>AA58+X59-U59-AA58*V59/AB58</x:f>
        <x:v>1.8794110407952922</x:v>
      </x:c>
      <x:c r="AB59" s="10" t="n">
        <x:f>Y59+Z59+AA59</x:f>
        <x:v>14.977389433944845</x:v>
      </x:c>
      <x:c r="AC59" s="8" t="n">
        <x:f>IF(AND(v01_WinterTrigger=1,D59=1,AB58/AE58&gt;=K59),1,0)</x:f>
        <x:v>0</x:v>
      </x:c>
      <x:c r="AD59" s="8" t="n">
        <x:f>H59*IF(AND(OR(AB58/AE58&gt;=v01_FissionTrigger*N59,AC59=1),AB58/AE58*v01_DaughterShare&gt;=v01_MinDaughter),MAX(1,ROUND(AE58*v01_FissionRate,0)),0)</x:f>
        <x:v>0</x:v>
      </x:c>
      <x:c r="AE59" s="8" t="n">
        <x:f>IF(H59=1,MAX(1,MIN(INDEX(v01_Smax,G59),AE58+AD59)),AE58)</x:f>
        <x:v>1</x:v>
      </x:c>
      <x:c r="AF59" s="8" t="n">
        <x:f>MAX(0,AE59-AE58)</x:f>
        <x:v>0</x:v>
      </x:c>
      <x:c r="AG59" s="9" t="str">
        <x:f>IF(AF59&gt;0,B59,"")</x:f>
      </x:c>
      <x:c r="AH59" s="9" t="n">
        <x:f>IF(F59&gt;=1,1,(1+v01_LowTiesShare*(AE59-1))/AE59)</x:f>
        <x:v>1</x:v>
      </x:c>
      <x:c r="AI59" s="32" t="n">
        <x:f>(Z59+v01_ElderCommons*INDEX(LM_Elder,G59)*AA59)*AH59</x:f>
        <x:v>11.057326833526675</x:v>
      </x:c>
      <x:c r="AJ59" s="32" t="n">
        <x:f>H59*v01_CommonsCoef*AI59^v01_CommonsExp*INDEX(LM_Commons,G59)</x:f>
        <x:v>4.852328756618568</x:v>
      </x:c>
      <x:c r="AK59" s="32" t="n">
        <x:f>H59*v01_RoleScale*Arch_Roles*(AE59*(INDEX(v01_ElderRolePerSett,G59)*v01_OutElder*INDEX(LM_Elder,G59)+INDEX(v01_ShamanPerSett,G59)*v01_OutShaman)+Z59*(INDEX(v01_PriestShare,G59)*v01_OutPriest+INDEX(v01_ScribeShare,G59)*v01_OutScribe*INDEX(LM_Scribe,G59)+INDEX(v01_ScholarShare,G59)*v01_OutScholar*INDEX(LM_Scholar,G59)+INDEX(v01_ResearcherShare,G59)*v01_OutResearcher*INDEX(LM_Researcher,G59)))</x:f>
        <x:v>0</x:v>
      </x:c>
      <x:c r="AL59" s="32" t="n">
        <x:f>H59*v01_RoleScale*Arch_Roles*AE59*INDEX(v01_MonasteryPerSett,G59)*v01_OutMonastery*INDEX(LM_Monastery,G59)</x:f>
        <x:v>0</x:v>
      </x:c>
      <x:c r="AM59" s="32" t="n">
        <x:f>(AJ59+AK59+AL59)/4*INDEX(LM_All,G59)*INDEX(v01_Boon,G59)*Arch_Insight</x:f>
        <x:v>1.213082189154642</x:v>
      </x:c>
      <x:c r="AN59" s="32" t="n">
        <x:f>H59*(v01_KHPerAdult*Z59+v01_KHOfCommons*AJ59/4*INDEX(LM_All,G59))*v01_KHUsable*Arch_KH</x:f>
        <x:v>0.25544766631776317</x:v>
      </x:c>
      <x:c r="AO59" s="32" t="n">
        <x:f>MIN(AP58+AN59,AM59*v01_KHMaxRatio)</x:f>
        <x:v>0.25544766631776317</x:v>
      </x:c>
      <x:c r="AP59" s="32" t="n">
        <x:f>AP58+AN59-AO59</x:f>
        <x:v>0</x:v>
      </x:c>
      <x:c r="AQ59" s="32" t="n">
        <x:f>AM59+AO59</x:f>
        <x:v>1.468529855472405</x:v>
      </x:c>
      <x:c r="AR59" s="10" t="n">
        <x:f>IF(H59=1,INDEX(v01_Req,G59),0)</x:f>
        <x:v>372.02</x:v>
      </x:c>
      <x:c r="AS59" s="32" t="n">
        <x:f>IF(H59=1,IF(E59=1,AS58-AR58,AS58)+AQ59,0)</x:f>
        <x:v>83.22285051761897</x:v>
      </x:c>
      <x:c r="AT59" s="11" t="n">
        <x:f>IF(AR59&gt;0,MIN(1,AS59/AR59),1)</x:f>
        <x:v>0.22370531293376422</x:v>
      </x:c>
      <x:c r="AU59" s="10" t="n">
        <x:f>AB59/INDEX(v01_RepScale,G59)</x:f>
        <x:v>14.977389433944845</x:v>
      </x:c>
      <x:c r="AV59" s="32" t="n">
        <x:f>AM59*60/v01_SeasonSeconds</x:f>
        <x:v>4.852328756618568</x:v>
      </x:c>
    </x:row>
    <x:row r="60">
      <x:c r="A60" s="8" t="n">
        <x:f>A59+1</x:f>
        <x:v>57</x:v>
      </x:c>
      <x:c r="B60" s="9" t="n">
        <x:f>A60*v01_SeasonSeconds/60</x:f>
        <x:v>14.25</x:v>
      </x:c>
      <x:c r="C60" s="9" t="n">
        <x:f>A60/4</x:f>
        <x:v>14.25</x:v>
      </x:c>
      <x:c r="D60" s="8" t="n">
        <x:f>IF(MOD(A60,4)=0,1,0)</x:f>
        <x:v>0</x:v>
      </x:c>
      <x:c r="E60" s="8" t="n">
        <x:f>IF(AND(F59&lt;=9,AS59&gt;=AR59),1,0)</x:f>
        <x:v>0</x:v>
      </x:c>
      <x:c r="F60" s="8" t="n">
        <x:f>MIN(10,F59+E60)</x:f>
        <x:v>0</x:v>
      </x:c>
      <x:c r="G60" s="8" t="n">
        <x:f>MIN(F60,9)+1</x:f>
        <x:v>1</x:v>
      </x:c>
      <x:c r="H60" s="8" t="n">
        <x:f>IF(F60&lt;=9,1,0)</x:f>
        <x:v>1</x:v>
      </x:c>
      <x:c r="I60" s="9" t="n">
        <x:f>MIN(10,F59+IF(AR59&gt;0,MIN(1,AS59/AR59),1))</x:f>
        <x:v>0.22370531293376422</x:v>
      </x:c>
      <x:c r="J60" s="32" t="n">
        <x:f>INDEX(v01_FoodCap,G60)*Arch_FoodCap*EXP(v01_CapsByProject*SUMPRODUCT((Cap_Point&lt;=I60)*(Cap_Kind="Food")*Cap_Ln))</x:f>
        <x:v>22</x:v>
      </x:c>
      <x:c r="K60" s="32" t="n">
        <x:f>J60*MIN(1,v01_LeanBase*EXP(v01_CapsByProject*SUMPRODUCT((Cap_Point&lt;=I60)*(Cap_Kind="Lean")*Cap_Ln)))</x:f>
        <x:v>22</x:v>
      </x:c>
      <x:c r="L60" s="10" t="n">
        <x:f>INDEX(v01_HousingCap,G60)*EXP(v01_CapsByProject*SUMPRODUCT((Cap_Point&lt;=I60)*(Cap_Kind="Housing")*Cap_Ln))</x:f>
        <x:v>60</x:v>
      </x:c>
      <x:c r="M60" s="10" t="n">
        <x:f>INDEX(v01_GroupCap,G60)*v01_CohesionFactor*EXP(v01_CapsByProject*SUMPRODUCT((Cap_Point&lt;=I60)*(Cap_Kind="Group")*Cap_Ln))</x:f>
        <x:v>35</x:v>
      </x:c>
      <x:c r="N60" s="32" t="n">
        <x:f>MIN(J60,L60,M60)</x:f>
        <x:v>22</x:v>
      </x:c>
      <x:c r="O60" s="10" t="n">
        <x:f>AE59*N60</x:f>
        <x:v>22</x:v>
      </x:c>
      <x:c r="P60" s="9" t="n">
        <x:f>MIN(1,(AB59/(AE59*IF(v01_GroupInCrowding=1,N60,MIN(J60,L60))))^v01_CrowdingExp)</x:f>
        <x:v>0.09955902811631819</x:v>
      </x:c>
      <x:c r="Q60" s="9" t="n">
        <x:f>IF(D60=1,INDEX(v01_WinterMult,G60),1)</x:f>
        <x:v>1</x:v>
      </x:c>
      <x:c r="R60" s="9" t="n">
        <x:f>H60*Z59*v01_WomenShare*v01_BaseFertility*INDEX(v01_FertMult,G60)*Arch_Fertility*(1-P60)</x:f>
        <x:v>0.1971561813639301</x:v>
      </x:c>
      <x:c r="S60" s="9" t="n">
        <x:f>H60*Y59*INDEX(v01_MortChild,G60)/4*Q60</x:f>
        <x:v>0.057994736412134616</x:v>
      </x:c>
      <x:c r="T60" s="9" t="n">
        <x:f>H60*Z59*INDEX(v01_MortAdult,G60)*Arch_AdultMort/4*Q60</x:f>
        <x:v>0.02736939281976034</x:v>
      </x:c>
      <x:c r="U60" s="9" t="n">
        <x:f>H60*AA59*INDEX(v01_MortElder,G60)/4*Q60</x:f>
        <x:v>0.04698527601988231</x:v>
      </x:c>
      <x:c r="V60" s="9" t="n">
        <x:f>H60*MAX(0,AB59-O60)*v01_OvercapLoss</x:f>
        <x:v>0</x:v>
      </x:c>
      <x:c r="W60" s="9" t="n">
        <x:f>H60*Y59/(v01_ChildYears*4)</x:f>
        <x:v>0.10356202930738324</x:v>
      </x:c>
      <x:c r="X60" s="9" t="n">
        <x:f>H60*Z59/(v01_AdultYears*4)</x:f>
        <x:v>0.05885890928980718</x:v>
      </x:c>
      <x:c r="Y60" s="32" t="n">
        <x:f>Y59+R60-S60-W60-Y59*V60/AB59</x:f>
        <x:v>5.8350730568578735</x:v>
      </x:c>
      <x:c r="Z60" s="32" t="n">
        <x:f>Z59+W60-X60-T60-Z59*V60/AB59</x:f>
        <x:v>7.315838479133907</x:v>
      </x:c>
      <x:c r="AA60" s="32" t="n">
        <x:f>AA59+X60-U60-AA59*V60/AB59</x:f>
        <x:v>1.891284674065217</x:v>
      </x:c>
      <x:c r="AB60" s="10" t="n">
        <x:f>Y60+Z60+AA60</x:f>
        <x:v>15.042196210056998</x:v>
      </x:c>
      <x:c r="AC60" s="8" t="n">
        <x:f>IF(AND(v01_WinterTrigger=1,D60=1,AB59/AE59&gt;=K60),1,0)</x:f>
        <x:v>0</x:v>
      </x:c>
      <x:c r="AD60" s="8" t="n">
        <x:f>H60*IF(AND(OR(AB59/AE59&gt;=v01_FissionTrigger*N60,AC60=1),AB59/AE59*v01_DaughterShare&gt;=v01_MinDaughter),MAX(1,ROUND(AE59*v01_FissionRate,0)),0)</x:f>
        <x:v>0</x:v>
      </x:c>
      <x:c r="AE60" s="8" t="n">
        <x:f>IF(H60=1,MAX(1,MIN(INDEX(v01_Smax,G60),AE59+AD60)),AE59)</x:f>
        <x:v>1</x:v>
      </x:c>
      <x:c r="AF60" s="8" t="n">
        <x:f>MAX(0,AE60-AE59)</x:f>
        <x:v>0</x:v>
      </x:c>
      <x:c r="AG60" s="9" t="str">
        <x:f>IF(AF60&gt;0,B60,"")</x:f>
      </x:c>
      <x:c r="AH60" s="9" t="n">
        <x:f>IF(F60&gt;=1,1,(1+v01_LowTiesShare*(AE60-1))/AE60)</x:f>
        <x:v>1</x:v>
      </x:c>
      <x:c r="AI60" s="32" t="n">
        <x:f>(Z60+v01_ElderCommons*INDEX(LM_Elder,G60)*AA60)*AH60</x:f>
        <x:v>11.09840782726434</x:v>
      </x:c>
      <x:c r="AJ60" s="32" t="n">
        <x:f>H60*v01_CommonsCoef*AI60^v01_CommonsExp*INDEX(LM_Commons,G60)</x:f>
        <x:v>4.867648062158834</x:v>
      </x:c>
      <x:c r="AK60" s="32" t="n">
        <x:f>H60*v01_RoleScale*Arch_Roles*(AE60*(INDEX(v01_ElderRolePerSett,G60)*v01_OutElder*INDEX(LM_Elder,G60)+INDEX(v01_ShamanPerSett,G60)*v01_OutShaman)+Z60*(INDEX(v01_PriestShare,G60)*v01_OutPriest+INDEX(v01_ScribeShare,G60)*v01_OutScribe*INDEX(LM_Scribe,G60)+INDEX(v01_ScholarShare,G60)*v01_OutScholar*INDEX(LM_Scholar,G60)+INDEX(v01_ResearcherShare,G60)*v01_OutResearcher*INDEX(LM_Researcher,G60)))</x:f>
        <x:v>0</x:v>
      </x:c>
      <x:c r="AL60" s="32" t="n">
        <x:f>H60*v01_RoleScale*Arch_Roles*AE60*INDEX(v01_MonasteryPerSett,G60)*v01_OutMonastery*INDEX(LM_Monastery,G60)</x:f>
        <x:v>0</x:v>
      </x:c>
      <x:c r="AM60" s="32" t="n">
        <x:f>(AJ60+AK60+AL60)/4*INDEX(LM_All,G60)*INDEX(v01_Boon,G60)*Arch_Insight</x:f>
        <x:v>1.2169120155397084</x:v>
      </x:c>
      <x:c r="AN60" s="32" t="n">
        <x:f>H60*(v01_KHPerAdult*Z60+v01_KHOfCommons*AJ60/4*INDEX(LM_All,G60))*v01_KHUsable*Arch_KH</x:f>
        <x:v>0.25605434676968675</x:v>
      </x:c>
      <x:c r="AO60" s="32" t="n">
        <x:f>MIN(AP59+AN60,AM60*v01_KHMaxRatio)</x:f>
        <x:v>0.25605434676968675</x:v>
      </x:c>
      <x:c r="AP60" s="32" t="n">
        <x:f>AP59+AN60-AO60</x:f>
        <x:v>0</x:v>
      </x:c>
      <x:c r="AQ60" s="32" t="n">
        <x:f>AM60+AO60</x:f>
        <x:v>1.4729663623093951</x:v>
      </x:c>
      <x:c r="AR60" s="10" t="n">
        <x:f>IF(H60=1,INDEX(v01_Req,G60),0)</x:f>
        <x:v>372.02</x:v>
      </x:c>
      <x:c r="AS60" s="32" t="n">
        <x:f>IF(H60=1,IF(E60=1,AS59-AR59,AS59)+AQ60,0)</x:f>
        <x:v>84.69581687992836</x:v>
      </x:c>
      <x:c r="AT60" s="11" t="n">
        <x:f>IF(AR60&gt;0,MIN(1,AS60/AR60),1)</x:f>
        <x:v>0.22766468705964293</x:v>
      </x:c>
      <x:c r="AU60" s="10" t="n">
        <x:f>AB60/INDEX(v01_RepScale,G60)</x:f>
        <x:v>15.042196210056998</x:v>
      </x:c>
      <x:c r="AV60" s="32" t="n">
        <x:f>AM60*60/v01_SeasonSeconds</x:f>
        <x:v>4.867648062158834</x:v>
      </x:c>
    </x:row>
    <x:row r="61">
      <x:c r="A61" s="8" t="n">
        <x:f>A60+1</x:f>
        <x:v>58</x:v>
      </x:c>
      <x:c r="B61" s="9" t="n">
        <x:f>A61*v01_SeasonSeconds/60</x:f>
        <x:v>14.5</x:v>
      </x:c>
      <x:c r="C61" s="9" t="n">
        <x:f>A61/4</x:f>
        <x:v>14.5</x:v>
      </x:c>
      <x:c r="D61" s="8" t="n">
        <x:f>IF(MOD(A61,4)=0,1,0)</x:f>
        <x:v>0</x:v>
      </x:c>
      <x:c r="E61" s="8" t="n">
        <x:f>IF(AND(F60&lt;=9,AS60&gt;=AR60),1,0)</x:f>
        <x:v>0</x:v>
      </x:c>
      <x:c r="F61" s="8" t="n">
        <x:f>MIN(10,F60+E61)</x:f>
        <x:v>0</x:v>
      </x:c>
      <x:c r="G61" s="8" t="n">
        <x:f>MIN(F61,9)+1</x:f>
        <x:v>1</x:v>
      </x:c>
      <x:c r="H61" s="8" t="n">
        <x:f>IF(F61&lt;=9,1,0)</x:f>
        <x:v>1</x:v>
      </x:c>
      <x:c r="I61" s="9" t="n">
        <x:f>MIN(10,F60+IF(AR60&gt;0,MIN(1,AS60/AR60),1))</x:f>
        <x:v>0.22766468705964293</x:v>
      </x:c>
      <x:c r="J61" s="32" t="n">
        <x:f>INDEX(v01_FoodCap,G61)*Arch_FoodCap*EXP(v01_CapsByProject*SUMPRODUCT((Cap_Point&lt;=I61)*(Cap_Kind="Food")*Cap_Ln))</x:f>
        <x:v>22</x:v>
      </x:c>
      <x:c r="K61" s="32" t="n">
        <x:f>J61*MIN(1,v01_LeanBase*EXP(v01_CapsByProject*SUMPRODUCT((Cap_Point&lt;=I61)*(Cap_Kind="Lean")*Cap_Ln)))</x:f>
        <x:v>22</x:v>
      </x:c>
      <x:c r="L61" s="10" t="n">
        <x:f>INDEX(v01_HousingCap,G61)*EXP(v01_CapsByProject*SUMPRODUCT((Cap_Point&lt;=I61)*(Cap_Kind="Housing")*Cap_Ln))</x:f>
        <x:v>60</x:v>
      </x:c>
      <x:c r="M61" s="10" t="n">
        <x:f>INDEX(v01_GroupCap,G61)*v01_CohesionFactor*EXP(v01_CapsByProject*SUMPRODUCT((Cap_Point&lt;=I61)*(Cap_Kind="Group")*Cap_Ln))</x:f>
        <x:v>35</x:v>
      </x:c>
      <x:c r="N61" s="32" t="n">
        <x:f>MIN(J61,L61,M61)</x:f>
        <x:v>22</x:v>
      </x:c>
      <x:c r="O61" s="10" t="n">
        <x:f>AE60*N61</x:f>
        <x:v>22</x:v>
      </x:c>
      <x:c r="P61" s="9" t="n">
        <x:f>MIN(1,(AB60/(AE60*IF(v01_GroupInCrowding=1,N61,MIN(J61,L61))))^v01_CrowdingExp)</x:f>
        <x:v>0.10217188618032082</x:v>
      </x:c>
      <x:c r="Q61" s="9" t="n">
        <x:f>IF(D61=1,INDEX(v01_WinterMult,G61),1)</x:f>
        <x:v>1</x:v>
      </x:c>
      <x:c r="R61" s="9" t="n">
        <x:f>H61*Z60*v01_WomenShare*v01_BaseFertility*INDEX(v01_FertMult,G61)*Arch_Fertility*(1-P61)</x:f>
        <x:v>0.1970509638819068</x:v>
      </x:c>
      <x:c r="S61" s="9" t="n">
        <x:f>H61*Y60*INDEX(v01_MortChild,G61)/4*Q61</x:f>
        <x:v>0.058350730568578736</x:v>
      </x:c>
      <x:c r="T61" s="9" t="n">
        <x:f>H61*Z60*INDEX(v01_MortAdult,G61)*Arch_AdultMort/4*Q61</x:f>
        <x:v>0.02743439429675215</x:v>
      </x:c>
      <x:c r="U61" s="9" t="n">
        <x:f>H61*AA60*INDEX(v01_MortElder,G61)/4*Q61</x:f>
        <x:v>0.047282116851630425</x:v>
      </x:c>
      <x:c r="V61" s="9" t="n">
        <x:f>H61*MAX(0,AB60-O61)*v01_OvercapLoss</x:f>
        <x:v>0</x:v>
      </x:c>
      <x:c r="W61" s="9" t="n">
        <x:f>H61*Y60/(v01_ChildYears*4)</x:f>
        <x:v>0.1041977331581763</x:v>
      </x:c>
      <x:c r="X61" s="9" t="n">
        <x:f>H61*Z60/(v01_AdultYears*4)</x:f>
        <x:v>0.05899869741237022</x:v>
      </x:c>
      <x:c r="Y61" s="32" t="n">
        <x:f>Y60+R61-S61-W61-Y60*V61/AB60</x:f>
        <x:v>5.869575557013025</x:v>
      </x:c>
      <x:c r="Z61" s="32" t="n">
        <x:f>Z60+W61-X61-T61-Z60*V61/AB60</x:f>
        <x:v>7.333603120582961</x:v>
      </x:c>
      <x:c r="AA61" s="32" t="n">
        <x:f>AA60+X61-U61-AA60*V61/AB60</x:f>
        <x:v>1.9030012546259567</x:v>
      </x:c>
      <x:c r="AB61" s="10" t="n">
        <x:f>Y61+Z61+AA61</x:f>
        <x:v>15.106179932221943</x:v>
      </x:c>
      <x:c r="AC61" s="8" t="n">
        <x:f>IF(AND(v01_WinterTrigger=1,D61=1,AB60/AE60&gt;=K61),1,0)</x:f>
        <x:v>0</x:v>
      </x:c>
      <x:c r="AD61" s="8" t="n">
        <x:f>H61*IF(AND(OR(AB60/AE60&gt;=v01_FissionTrigger*N61,AC61=1),AB60/AE60*v01_DaughterShare&gt;=v01_MinDaughter),MAX(1,ROUND(AE60*v01_FissionRate,0)),0)</x:f>
        <x:v>0</x:v>
      </x:c>
      <x:c r="AE61" s="8" t="n">
        <x:f>IF(H61=1,MAX(1,MIN(INDEX(v01_Smax,G61),AE60+AD61)),AE60)</x:f>
        <x:v>1</x:v>
      </x:c>
      <x:c r="AF61" s="8" t="n">
        <x:f>MAX(0,AE61-AE60)</x:f>
        <x:v>0</x:v>
      </x:c>
      <x:c r="AG61" s="9" t="str">
        <x:f>IF(AF61&gt;0,B61,"")</x:f>
      </x:c>
      <x:c r="AH61" s="9" t="n">
        <x:f>IF(F61&gt;=1,1,(1+v01_LowTiesShare*(AE61-1))/AE61)</x:f>
        <x:v>1</x:v>
      </x:c>
      <x:c r="AI61" s="32" t="n">
        <x:f>(Z61+v01_ElderCommons*INDEX(LM_Elder,G61)*AA61)*AH61</x:f>
        <x:v>11.139605629834874</x:v>
      </x:c>
      <x:c r="AJ61" s="32" t="n">
        <x:f>H61*v01_CommonsCoef*AI61^v01_CommonsExp*INDEX(LM_Commons,G61)</x:f>
        <x:v>4.883002386652041</x:v>
      </x:c>
      <x:c r="AK61" s="32" t="n">
        <x:f>H61*v01_RoleScale*Arch_Roles*(AE61*(INDEX(v01_ElderRolePerSett,G61)*v01_OutElder*INDEX(LM_Elder,G61)+INDEX(v01_ShamanPerSett,G61)*v01_OutShaman)+Z61*(INDEX(v01_PriestShare,G61)*v01_OutPriest+INDEX(v01_ScribeShare,G61)*v01_OutScribe*INDEX(LM_Scribe,G61)+INDEX(v01_ScholarShare,G61)*v01_OutScholar*INDEX(LM_Scholar,G61)+INDEX(v01_ResearcherShare,G61)*v01_OutResearcher*INDEX(LM_Researcher,G61)))</x:f>
        <x:v>0</x:v>
      </x:c>
      <x:c r="AL61" s="32" t="n">
        <x:f>H61*v01_RoleScale*Arch_Roles*AE61*INDEX(v01_MonasteryPerSett,G61)*v01_OutMonastery*INDEX(LM_Monastery,G61)</x:f>
        <x:v>0</x:v>
      </x:c>
      <x:c r="AM61" s="32" t="n">
        <x:f>(AJ61+AK61+AL61)/4*INDEX(LM_All,G61)*INDEX(v01_Boon,G61)*Arch_Insight</x:f>
        <x:v>1.2207505966630103</x:v>
      </x:c>
      <x:c r="AN61" s="32" t="n">
        <x:f>H61*(v01_KHPerAdult*Z61+v01_KHOfCommons*AJ61/4*INDEX(LM_All,G61))*v01_KHUsable*Arch_KH</x:f>
        <x:v>0.2566761092204036</x:v>
      </x:c>
      <x:c r="AO61" s="32" t="n">
        <x:f>MIN(AP60+AN61,AM61*v01_KHMaxRatio)</x:f>
        <x:v>0.2566761092204036</x:v>
      </x:c>
      <x:c r="AP61" s="32" t="n">
        <x:f>AP60+AN61-AO61</x:f>
        <x:v>0</x:v>
      </x:c>
      <x:c r="AQ61" s="32" t="n">
        <x:f>AM61+AO61</x:f>
        <x:v>1.4774267058834138</x:v>
      </x:c>
      <x:c r="AR61" s="10" t="n">
        <x:f>IF(H61=1,INDEX(v01_Req,G61),0)</x:f>
        <x:v>372.02</x:v>
      </x:c>
      <x:c r="AS61" s="32" t="n">
        <x:f>IF(H61=1,IF(E61=1,AS60-AR60,AS60)+AQ61,0)</x:f>
        <x:v>86.17324358581178</x:v>
      </x:c>
      <x:c r="AT61" s="11" t="n">
        <x:f>IF(AR61&gt;0,MIN(1,AS61/AR61),1)</x:f>
        <x:v>0.23163605071182136</x:v>
      </x:c>
      <x:c r="AU61" s="10" t="n">
        <x:f>AB61/INDEX(v01_RepScale,G61)</x:f>
        <x:v>15.106179932221943</x:v>
      </x:c>
      <x:c r="AV61" s="32" t="n">
        <x:f>AM61*60/v01_SeasonSeconds</x:f>
        <x:v>4.883002386652041</x:v>
      </x:c>
    </x:row>
    <x:row r="62">
      <x:c r="A62" s="8" t="n">
        <x:f>A61+1</x:f>
        <x:v>59</x:v>
      </x:c>
      <x:c r="B62" s="9" t="n">
        <x:f>A62*v01_SeasonSeconds/60</x:f>
        <x:v>14.75</x:v>
      </x:c>
      <x:c r="C62" s="9" t="n">
        <x:f>A62/4</x:f>
        <x:v>14.75</x:v>
      </x:c>
      <x:c r="D62" s="8" t="n">
        <x:f>IF(MOD(A62,4)=0,1,0)</x:f>
        <x:v>0</x:v>
      </x:c>
      <x:c r="E62" s="8" t="n">
        <x:f>IF(AND(F61&lt;=9,AS61&gt;=AR61),1,0)</x:f>
        <x:v>0</x:v>
      </x:c>
      <x:c r="F62" s="8" t="n">
        <x:f>MIN(10,F61+E62)</x:f>
        <x:v>0</x:v>
      </x:c>
      <x:c r="G62" s="8" t="n">
        <x:f>MIN(F62,9)+1</x:f>
        <x:v>1</x:v>
      </x:c>
      <x:c r="H62" s="8" t="n">
        <x:f>IF(F62&lt;=9,1,0)</x:f>
        <x:v>1</x:v>
      </x:c>
      <x:c r="I62" s="9" t="n">
        <x:f>MIN(10,F61+IF(AR61&gt;0,MIN(1,AS61/AR61),1))</x:f>
        <x:v>0.23163605071182136</x:v>
      </x:c>
      <x:c r="J62" s="32" t="n">
        <x:f>INDEX(v01_FoodCap,G62)*Arch_FoodCap*EXP(v01_CapsByProject*SUMPRODUCT((Cap_Point&lt;=I62)*(Cap_Kind="Food")*Cap_Ln))</x:f>
        <x:v>22</x:v>
      </x:c>
      <x:c r="K62" s="32" t="n">
        <x:f>J62*MIN(1,v01_LeanBase*EXP(v01_CapsByProject*SUMPRODUCT((Cap_Point&lt;=I62)*(Cap_Kind="Lean")*Cap_Ln)))</x:f>
        <x:v>22</x:v>
      </x:c>
      <x:c r="L62" s="10" t="n">
        <x:f>INDEX(v01_HousingCap,G62)*EXP(v01_CapsByProject*SUMPRODUCT((Cap_Point&lt;=I62)*(Cap_Kind="Housing")*Cap_Ln))</x:f>
        <x:v>60</x:v>
      </x:c>
      <x:c r="M62" s="10" t="n">
        <x:f>INDEX(v01_GroupCap,G62)*v01_CohesionFactor*EXP(v01_CapsByProject*SUMPRODUCT((Cap_Point&lt;=I62)*(Cap_Kind="Group")*Cap_Ln))</x:f>
        <x:v>35</x:v>
      </x:c>
      <x:c r="N62" s="32" t="n">
        <x:f>MIN(J62,L62,M62)</x:f>
        <x:v>22</x:v>
      </x:c>
      <x:c r="O62" s="10" t="n">
        <x:f>AE61*N62</x:f>
        <x:v>22</x:v>
      </x:c>
      <x:c r="P62" s="9" t="n">
        <x:f>MIN(1,(AB61/(AE61*IF(v01_GroupInCrowding=1,N62,MIN(J62,L62))))^v01_CrowdingExp)</x:f>
        <x:v>0.10480737290962851</x:v>
      </x:c>
      <x:c r="Q62" s="9" t="n">
        <x:f>IF(D62=1,INDEX(v01_WinterMult,G62),1)</x:f>
        <x:v>1</x:v>
      </x:c>
      <x:c r="R62" s="9" t="n">
        <x:f>H62*Z61*v01_WomenShare*v01_BaseFertility*INDEX(v01_FertMult,G62)*Arch_Fertility*(1-P62)</x:f>
        <x:v>0.1969496233065842</x:v>
      </x:c>
      <x:c r="S62" s="9" t="n">
        <x:f>H62*Y61*INDEX(v01_MortChild,G62)/4*Q62</x:f>
        <x:v>0.05869575557013025</x:v>
      </x:c>
      <x:c r="T62" s="9" t="n">
        <x:f>H62*Z61*INDEX(v01_MortAdult,G62)*Arch_AdultMort/4*Q62</x:f>
        <x:v>0.0275010117021861</x:v>
      </x:c>
      <x:c r="U62" s="9" t="n">
        <x:f>H62*AA61*INDEX(v01_MortElder,G62)/4*Q62</x:f>
        <x:v>0.04757503136564892</x:v>
      </x:c>
      <x:c r="V62" s="9" t="n">
        <x:f>H62*MAX(0,AB61-O62)*v01_OvercapLoss</x:f>
        <x:v>0</x:v>
      </x:c>
      <x:c r="W62" s="9" t="n">
        <x:f>H62*Y61/(v01_ChildYears*4)</x:f>
        <x:v>0.10481384923237545</x:v>
      </x:c>
      <x:c r="X62" s="9" t="n">
        <x:f>H62*Z61/(v01_AdultYears*4)</x:f>
        <x:v>0.05914196064986259</x:v>
      </x:c>
      <x:c r="Y62" s="32" t="n">
        <x:f>Y61+R62-S62-W62-Y61*V62/AB61</x:f>
        <x:v>5.903015575517104</x:v>
      </x:c>
      <x:c r="Z62" s="32" t="n">
        <x:f>Z61+W62-X62-T62-Z61*V62/AB61</x:f>
        <x:v>7.351773997463288</x:v>
      </x:c>
      <x:c r="AA62" s="32" t="n">
        <x:f>AA61+X62-U62-AA61*V62/AB61</x:f>
        <x:v>1.9145681839101705</x:v>
      </x:c>
      <x:c r="AB62" s="10" t="n">
        <x:f>Y62+Z62+AA62</x:f>
        <x:v>15.169357756890562</x:v>
      </x:c>
      <x:c r="AC62" s="8" t="n">
        <x:f>IF(AND(v01_WinterTrigger=1,D62=1,AB61/AE61&gt;=K62),1,0)</x:f>
        <x:v>0</x:v>
      </x:c>
      <x:c r="AD62" s="8" t="n">
        <x:f>H62*IF(AND(OR(AB61/AE61&gt;=v01_FissionTrigger*N62,AC62=1),AB61/AE61*v01_DaughterShare&gt;=v01_MinDaughter),MAX(1,ROUND(AE61*v01_FissionRate,0)),0)</x:f>
        <x:v>0</x:v>
      </x:c>
      <x:c r="AE62" s="8" t="n">
        <x:f>IF(H62=1,MAX(1,MIN(INDEX(v01_Smax,G62),AE61+AD62)),AE61)</x:f>
        <x:v>1</x:v>
      </x:c>
      <x:c r="AF62" s="8" t="n">
        <x:f>MAX(0,AE62-AE61)</x:f>
        <x:v>0</x:v>
      </x:c>
      <x:c r="AG62" s="9" t="str">
        <x:f>IF(AF62&gt;0,B62,"")</x:f>
      </x:c>
      <x:c r="AH62" s="9" t="n">
        <x:f>IF(F62&gt;=1,1,(1+v01_LowTiesShare*(AE62-1))/AE62)</x:f>
        <x:v>1</x:v>
      </x:c>
      <x:c r="AI62" s="32" t="n">
        <x:f>(Z62+v01_ElderCommons*INDEX(LM_Elder,G62)*AA62)*AH62</x:f>
        <x:v>11.180910365283628</x:v>
      </x:c>
      <x:c r="AJ62" s="32" t="n">
        <x:f>H62*v01_CommonsCoef*AI62^v01_CommonsExp*INDEX(LM_Commons,G62)</x:f>
        <x:v>4.898388016192593</x:v>
      </x:c>
      <x:c r="AK62" s="32" t="n">
        <x:f>H62*v01_RoleScale*Arch_Roles*(AE62*(INDEX(v01_ElderRolePerSett,G62)*v01_OutElder*INDEX(LM_Elder,G62)+INDEX(v01_ShamanPerSett,G62)*v01_OutShaman)+Z62*(INDEX(v01_PriestShare,G62)*v01_OutPriest+INDEX(v01_ScribeShare,G62)*v01_OutScribe*INDEX(LM_Scribe,G62)+INDEX(v01_ScholarShare,G62)*v01_OutScholar*INDEX(LM_Scholar,G62)+INDEX(v01_ResearcherShare,G62)*v01_OutResearcher*INDEX(LM_Researcher,G62)))</x:f>
        <x:v>0</x:v>
      </x:c>
      <x:c r="AL62" s="32" t="n">
        <x:f>H62*v01_RoleScale*Arch_Roles*AE62*INDEX(v01_MonasteryPerSett,G62)*v01_OutMonastery*INDEX(LM_Monastery,G62)</x:f>
        <x:v>0</x:v>
      </x:c>
      <x:c r="AM62" s="32" t="n">
        <x:f>(AJ62+AK62+AL62)/4*INDEX(LM_All,G62)*INDEX(v01_Boon,G62)*Arch_Insight</x:f>
        <x:v>1.2245970040481482</x:v>
      </x:c>
      <x:c r="AN62" s="32" t="n">
        <x:f>H62*(v01_KHPerAdult*Z62+v01_KHOfCommons*AJ62/4*INDEX(LM_All,G62))*v01_KHUsable*Arch_KH</x:f>
        <x:v>0.25731208991121507</x:v>
      </x:c>
      <x:c r="AO62" s="32" t="n">
        <x:f>MIN(AP61+AN62,AM62*v01_KHMaxRatio)</x:f>
        <x:v>0.25731208991121507</x:v>
      </x:c>
      <x:c r="AP62" s="32" t="n">
        <x:f>AP61+AN62-AO62</x:f>
        <x:v>0</x:v>
      </x:c>
      <x:c r="AQ62" s="32" t="n">
        <x:f>AM62+AO62</x:f>
        <x:v>1.4819090939593633</x:v>
      </x:c>
      <x:c r="AR62" s="10" t="n">
        <x:f>IF(H62=1,INDEX(v01_Req,G62),0)</x:f>
        <x:v>372.02</x:v>
      </x:c>
      <x:c r="AS62" s="32" t="n">
        <x:f>IF(H62=1,IF(E62=1,AS61-AR61,AS61)+AQ62,0)</x:f>
        <x:v>87.65515267977113</x:v>
      </x:c>
      <x:c r="AT62" s="11" t="n">
        <x:f>IF(AR62&gt;0,MIN(1,AS62/AR62),1)</x:f>
        <x:v>0.23561946314652743</x:v>
      </x:c>
      <x:c r="AU62" s="10" t="n">
        <x:f>AB62/INDEX(v01_RepScale,G62)</x:f>
        <x:v>15.169357756890562</x:v>
      </x:c>
      <x:c r="AV62" s="32" t="n">
        <x:f>AM62*60/v01_SeasonSeconds</x:f>
        <x:v>4.898388016192593</x:v>
      </x:c>
    </x:row>
    <x:row r="63">
      <x:c r="A63" s="8" t="n">
        <x:f>A62+1</x:f>
        <x:v>60</x:v>
      </x:c>
      <x:c r="B63" s="9" t="n">
        <x:f>A63*v01_SeasonSeconds/60</x:f>
        <x:v>15</x:v>
      </x:c>
      <x:c r="C63" s="9" t="n">
        <x:f>A63/4</x:f>
        <x:v>15</x:v>
      </x:c>
      <x:c r="D63" s="8" t="n">
        <x:f>IF(MOD(A63,4)=0,1,0)</x:f>
        <x:v>1</x:v>
      </x:c>
      <x:c r="E63" s="8" t="n">
        <x:f>IF(AND(F62&lt;=9,AS62&gt;=AR62),1,0)</x:f>
        <x:v>0</x:v>
      </x:c>
      <x:c r="F63" s="8" t="n">
        <x:f>MIN(10,F62+E63)</x:f>
        <x:v>0</x:v>
      </x:c>
      <x:c r="G63" s="8" t="n">
        <x:f>MIN(F63,9)+1</x:f>
        <x:v>1</x:v>
      </x:c>
      <x:c r="H63" s="8" t="n">
        <x:f>IF(F63&lt;=9,1,0)</x:f>
        <x:v>1</x:v>
      </x:c>
      <x:c r="I63" s="9" t="n">
        <x:f>MIN(10,F62+IF(AR62&gt;0,MIN(1,AS62/AR62),1))</x:f>
        <x:v>0.23561946314652743</x:v>
      </x:c>
      <x:c r="J63" s="32" t="n">
        <x:f>INDEX(v01_FoodCap,G63)*Arch_FoodCap*EXP(v01_CapsByProject*SUMPRODUCT((Cap_Point&lt;=I63)*(Cap_Kind="Food")*Cap_Ln))</x:f>
        <x:v>22</x:v>
      </x:c>
      <x:c r="K63" s="32" t="n">
        <x:f>J63*MIN(1,v01_LeanBase*EXP(v01_CapsByProject*SUMPRODUCT((Cap_Point&lt;=I63)*(Cap_Kind="Lean")*Cap_Ln)))</x:f>
        <x:v>22</x:v>
      </x:c>
      <x:c r="L63" s="10" t="n">
        <x:f>INDEX(v01_HousingCap,G63)*EXP(v01_CapsByProject*SUMPRODUCT((Cap_Point&lt;=I63)*(Cap_Kind="Housing")*Cap_Ln))</x:f>
        <x:v>60</x:v>
      </x:c>
      <x:c r="M63" s="10" t="n">
        <x:f>INDEX(v01_GroupCap,G63)*v01_CohesionFactor*EXP(v01_CapsByProject*SUMPRODUCT((Cap_Point&lt;=I63)*(Cap_Kind="Group")*Cap_Ln))</x:f>
        <x:v>35</x:v>
      </x:c>
      <x:c r="N63" s="32" t="n">
        <x:f>MIN(J63,L63,M63)</x:f>
        <x:v>22</x:v>
      </x:c>
      <x:c r="O63" s="10" t="n">
        <x:f>AE62*N63</x:f>
        <x:v>22</x:v>
      </x:c>
      <x:c r="P63" s="9" t="n">
        <x:f>MIN(1,(AB62/(AE62*IF(v01_GroupInCrowding=1,N63,MIN(J63,L63))))^v01_CrowdingExp)</x:f>
        <x:v>0.107465008821744</x:v>
      </x:c>
      <x:c r="Q63" s="9" t="n">
        <x:f>IF(D63=1,INDEX(v01_WinterMult,G63),1)</x:f>
        <x:v>2</x:v>
      </x:c>
      <x:c r="R63" s="9" t="n">
        <x:f>H63*Z62*v01_WomenShare*v01_BaseFertility*INDEX(v01_FertMult,G63)*Arch_Fertility*(1-P63)</x:f>
        <x:v>0.1968514661991128</x:v>
      </x:c>
      <x:c r="S63" s="9" t="n">
        <x:f>H63*Y62*INDEX(v01_MortChild,G63)/4*Q63</x:f>
        <x:v>0.11806031151034209</x:v>
      </x:c>
      <x:c r="T63" s="9" t="n">
        <x:f>H63*Z62*INDEX(v01_MortAdult,G63)*Arch_AdultMort/4*Q63</x:f>
        <x:v>0.055138304980974655</x:v>
      </x:c>
      <x:c r="U63" s="9" t="n">
        <x:f>H63*AA62*INDEX(v01_MortElder,G63)/4*Q63</x:f>
        <x:v>0.09572840919550853</x:v>
      </x:c>
      <x:c r="V63" s="9" t="n">
        <x:f>H63*MAX(0,AB62-O63)*v01_OvercapLoss</x:f>
        <x:v>0</x:v>
      </x:c>
      <x:c r="W63" s="9" t="n">
        <x:f>H63*Y62/(v01_ChildYears*4)</x:f>
        <x:v>0.1054109924199483</x:v>
      </x:c>
      <x:c r="X63" s="9" t="n">
        <x:f>H63*Z62/(v01_AdultYears*4)</x:f>
        <x:v>0.05928849997954264</x:v>
      </x:c>
      <x:c r="Y63" s="32" t="n">
        <x:f>Y62+R63-S63-W63-Y62*V63/AB62</x:f>
        <x:v>5.876395737785927</x:v>
      </x:c>
      <x:c r="Z63" s="32" t="n">
        <x:f>Z62+W63-X63-T63-Z62*V63/AB62</x:f>
        <x:v>7.342758184922718</x:v>
      </x:c>
      <x:c r="AA63" s="32" t="n">
        <x:f>AA62+X63-U63-AA62*V63/AB62</x:f>
        <x:v>1.8781282746942045</x:v>
      </x:c>
      <x:c r="AB63" s="10" t="n">
        <x:f>Y63+Z63+AA63</x:f>
        <x:v>15.097282197402851</x:v>
      </x:c>
      <x:c r="AC63" s="8" t="n">
        <x:f>IF(AND(v01_WinterTrigger=1,D63=1,AB62/AE62&gt;=K63),1,0)</x:f>
        <x:v>0</x:v>
      </x:c>
      <x:c r="AD63" s="8" t="n">
        <x:f>H63*IF(AND(OR(AB62/AE62&gt;=v01_FissionTrigger*N63,AC63=1),AB62/AE62*v01_DaughterShare&gt;=v01_MinDaughter),MAX(1,ROUND(AE62*v01_FissionRate,0)),0)</x:f>
        <x:v>0</x:v>
      </x:c>
      <x:c r="AE63" s="8" t="n">
        <x:f>IF(H63=1,MAX(1,MIN(INDEX(v01_Smax,G63),AE62+AD63)),AE62)</x:f>
        <x:v>1</x:v>
      </x:c>
      <x:c r="AF63" s="8" t="n">
        <x:f>MAX(0,AE63-AE62)</x:f>
        <x:v>0</x:v>
      </x:c>
      <x:c r="AG63" s="9" t="str">
        <x:f>IF(AF63&gt;0,B63,"")</x:f>
      </x:c>
      <x:c r="AH63" s="9" t="n">
        <x:f>IF(F63&gt;=1,1,(1+v01_LowTiesShare*(AE63-1))/AE63)</x:f>
        <x:v>1</x:v>
      </x:c>
      <x:c r="AI63" s="32" t="n">
        <x:f>(Z63+v01_ElderCommons*INDEX(LM_Elder,G63)*AA63)*AH63</x:f>
        <x:v>11.099014734311126</x:v>
      </x:c>
      <x:c r="AJ63" s="32" t="n">
        <x:f>H63*v01_CommonsCoef*AI63^v01_CommonsExp*INDEX(LM_Commons,G63)</x:f>
        <x:v>4.867874316966212</x:v>
      </x:c>
      <x:c r="AK63" s="32" t="n">
        <x:f>H63*v01_RoleScale*Arch_Roles*(AE63*(INDEX(v01_ElderRolePerSett,G63)*v01_OutElder*INDEX(LM_Elder,G63)+INDEX(v01_ShamanPerSett,G63)*v01_OutShaman)+Z63*(INDEX(v01_PriestShare,G63)*v01_OutPriest+INDEX(v01_ScribeShare,G63)*v01_OutScribe*INDEX(LM_Scribe,G63)+INDEX(v01_ScholarShare,G63)*v01_OutScholar*INDEX(LM_Scholar,G63)+INDEX(v01_ResearcherShare,G63)*v01_OutResearcher*INDEX(LM_Researcher,G63)))</x:f>
        <x:v>0</x:v>
      </x:c>
      <x:c r="AL63" s="32" t="n">
        <x:f>H63*v01_RoleScale*Arch_Roles*AE63*INDEX(v01_MonasteryPerSett,G63)*v01_OutMonastery*INDEX(LM_Monastery,G63)</x:f>
        <x:v>0</x:v>
      </x:c>
      <x:c r="AM63" s="32" t="n">
        <x:f>(AJ63+AK63+AL63)/4*INDEX(LM_All,G63)*INDEX(v01_Boon,G63)*Arch_Insight</x:f>
        <x:v>1.216968579241553</x:v>
      </x:c>
      <x:c r="AN63" s="32" t="n">
        <x:f>H63*(v01_KHPerAdult*Z63+v01_KHOfCommons*AJ63/4*INDEX(LM_All,G63))*v01_KHUsable*Arch_KH</x:f>
        <x:v>0.25699653647229515</x:v>
      </x:c>
      <x:c r="AO63" s="32" t="n">
        <x:f>MIN(AP62+AN63,AM63*v01_KHMaxRatio)</x:f>
        <x:v>0.25699653647229515</x:v>
      </x:c>
      <x:c r="AP63" s="32" t="n">
        <x:f>AP62+AN63-AO63</x:f>
        <x:v>0</x:v>
      </x:c>
      <x:c r="AQ63" s="32" t="n">
        <x:f>AM63+AO63</x:f>
        <x:v>1.473965115713848</x:v>
      </x:c>
      <x:c r="AR63" s="10" t="n">
        <x:f>IF(H63=1,INDEX(v01_Req,G63),0)</x:f>
        <x:v>372.02</x:v>
      </x:c>
      <x:c r="AS63" s="32" t="n">
        <x:f>IF(H63=1,IF(E63=1,AS62-AR62,AS62)+AQ63,0)</x:f>
        <x:v>89.12911779548499</x:v>
      </x:c>
      <x:c r="AT63" s="11" t="n">
        <x:f>IF(AR63&gt;0,MIN(1,AS63/AR63),1)</x:f>
        <x:v>0.23958152194904841</x:v>
      </x:c>
      <x:c r="AU63" s="10" t="n">
        <x:f>AB63/INDEX(v01_RepScale,G63)</x:f>
        <x:v>15.097282197402851</x:v>
      </x:c>
      <x:c r="AV63" s="32" t="n">
        <x:f>AM63*60/v01_SeasonSeconds</x:f>
        <x:v>4.867874316966212</x:v>
      </x:c>
    </x:row>
    <x:row r="64">
      <x:c r="A64" s="8" t="n">
        <x:f>A63+1</x:f>
        <x:v>61</x:v>
      </x:c>
      <x:c r="B64" s="9" t="n">
        <x:f>A64*v01_SeasonSeconds/60</x:f>
        <x:v>15.25</x:v>
      </x:c>
      <x:c r="C64" s="9" t="n">
        <x:f>A64/4</x:f>
        <x:v>15.25</x:v>
      </x:c>
      <x:c r="D64" s="8" t="n">
        <x:f>IF(MOD(A64,4)=0,1,0)</x:f>
        <x:v>0</x:v>
      </x:c>
      <x:c r="E64" s="8" t="n">
        <x:f>IF(AND(F63&lt;=9,AS63&gt;=AR63),1,0)</x:f>
        <x:v>0</x:v>
      </x:c>
      <x:c r="F64" s="8" t="n">
        <x:f>MIN(10,F63+E64)</x:f>
        <x:v>0</x:v>
      </x:c>
      <x:c r="G64" s="8" t="n">
        <x:f>MIN(F64,9)+1</x:f>
        <x:v>1</x:v>
      </x:c>
      <x:c r="H64" s="8" t="n">
        <x:f>IF(F64&lt;=9,1,0)</x:f>
        <x:v>1</x:v>
      </x:c>
      <x:c r="I64" s="9" t="n">
        <x:f>MIN(10,F63+IF(AR63&gt;0,MIN(1,AS63/AR63),1))</x:f>
        <x:v>0.23958152194904841</x:v>
      </x:c>
      <x:c r="J64" s="32" t="n">
        <x:f>INDEX(v01_FoodCap,G64)*Arch_FoodCap*EXP(v01_CapsByProject*SUMPRODUCT((Cap_Point&lt;=I64)*(Cap_Kind="Food")*Cap_Ln))</x:f>
        <x:v>22</x:v>
      </x:c>
      <x:c r="K64" s="32" t="n">
        <x:f>J64*MIN(1,v01_LeanBase*EXP(v01_CapsByProject*SUMPRODUCT((Cap_Point&lt;=I64)*(Cap_Kind="Lean")*Cap_Ln)))</x:f>
        <x:v>22</x:v>
      </x:c>
      <x:c r="L64" s="10" t="n">
        <x:f>INDEX(v01_HousingCap,G64)*EXP(v01_CapsByProject*SUMPRODUCT((Cap_Point&lt;=I64)*(Cap_Kind="Housing")*Cap_Ln))</x:f>
        <x:v>60</x:v>
      </x:c>
      <x:c r="M64" s="10" t="n">
        <x:f>INDEX(v01_GroupCap,G64)*v01_CohesionFactor*EXP(v01_CapsByProject*SUMPRODUCT((Cap_Point&lt;=I64)*(Cap_Kind="Group")*Cap_Ln))</x:f>
        <x:v>35</x:v>
      </x:c>
      <x:c r="N64" s="32" t="n">
        <x:f>MIN(J64,L64,M64)</x:f>
        <x:v>22</x:v>
      </x:c>
      <x:c r="O64" s="10" t="n">
        <x:f>AE63*N64</x:f>
        <x:v>22</x:v>
      </x:c>
      <x:c r="P64" s="9" t="n">
        <x:f>MIN(1,(AB63/(AE63*IF(v01_GroupInCrowding=1,N64,MIN(J64,L64))))^v01_CrowdingExp)</x:f>
        <x:v>0.10443752053686102</x:v>
      </x:c>
      <x:c r="Q64" s="9" t="n">
        <x:f>IF(D64=1,INDEX(v01_WinterMult,G64),1)</x:f>
        <x:v>1</x:v>
      </x:c>
      <x:c r="R64" s="9" t="n">
        <x:f>H64*Z63*v01_WomenShare*v01_BaseFertility*INDEX(v01_FertMult,G64)*Arch_Fertility*(1-P64)</x:f>
        <x:v>0.19727696178562942</x:v>
      </x:c>
      <x:c r="S64" s="9" t="n">
        <x:f>H64*Y63*INDEX(v01_MortChild,G64)/4*Q64</x:f>
        <x:v>0.05876395737785927</x:v>
      </x:c>
      <x:c r="T64" s="9" t="n">
        <x:f>H64*Z63*INDEX(v01_MortAdult,G64)*Arch_AdultMort/4*Q64</x:f>
        <x:v>0.027535343193460193</x:v>
      </x:c>
      <x:c r="U64" s="9" t="n">
        <x:f>H64*AA63*INDEX(v01_MortElder,G64)/4*Q64</x:f>
        <x:v>0.046953206867355116</x:v>
      </x:c>
      <x:c r="V64" s="9" t="n">
        <x:f>H64*MAX(0,AB63-O64)*v01_OvercapLoss</x:f>
        <x:v>0</x:v>
      </x:c>
      <x:c r="W64" s="9" t="n">
        <x:f>H64*Y63/(v01_ChildYears*4)</x:f>
        <x:v>0.1049356381747487</x:v>
      </x:c>
      <x:c r="X64" s="9" t="n">
        <x:f>H64*Z63/(v01_AdultYears*4)</x:f>
        <x:v>0.05921579181389289</x:v>
      </x:c>
      <x:c r="Y64" s="32" t="n">
        <x:f>Y63+R64-S64-W64-Y63*V64/AB63</x:f>
        <x:v>5.909973104018948</x:v>
      </x:c>
      <x:c r="Z64" s="32" t="n">
        <x:f>Z63+W64-X64-T64-Z63*V64/AB63</x:f>
        <x:v>7.360942688090113</x:v>
      </x:c>
      <x:c r="AA64" s="32" t="n">
        <x:f>AA63+X64-U64-AA63*V64/AB63</x:f>
        <x:v>1.8903908596407424</x:v>
      </x:c>
      <x:c r="AB64" s="10" t="n">
        <x:f>Y64+Z64+AA64</x:f>
        <x:v>15.161306651749804</x:v>
      </x:c>
      <x:c r="AC64" s="8" t="n">
        <x:f>IF(AND(v01_WinterTrigger=1,D64=1,AB63/AE63&gt;=K64),1,0)</x:f>
        <x:v>0</x:v>
      </x:c>
      <x:c r="AD64" s="8" t="n">
        <x:f>H64*IF(AND(OR(AB63/AE63&gt;=v01_FissionTrigger*N64,AC64=1),AB63/AE63*v01_DaughterShare&gt;=v01_MinDaughter),MAX(1,ROUND(AE63*v01_FissionRate,0)),0)</x:f>
        <x:v>0</x:v>
      </x:c>
      <x:c r="AE64" s="8" t="n">
        <x:f>IF(H64=1,MAX(1,MIN(INDEX(v01_Smax,G64),AE63+AD64)),AE63)</x:f>
        <x:v>1</x:v>
      </x:c>
      <x:c r="AF64" s="8" t="n">
        <x:f>MAX(0,AE64-AE63)</x:f>
        <x:v>0</x:v>
      </x:c>
      <x:c r="AG64" s="9" t="str">
        <x:f>IF(AF64&gt;0,B64,"")</x:f>
      </x:c>
      <x:c r="AH64" s="9" t="n">
        <x:f>IF(F64&gt;=1,1,(1+v01_LowTiesShare*(AE64-1))/AE64)</x:f>
        <x:v>1</x:v>
      </x:c>
      <x:c r="AI64" s="32" t="n">
        <x:f>(Z64+v01_ElderCommons*INDEX(LM_Elder,G64)*AA64)*AH64</x:f>
        <x:v>11.141724407371598</x:v>
      </x:c>
      <x:c r="AJ64" s="32" t="n">
        <x:f>H64*v01_CommonsCoef*AI64^v01_CommonsExp*INDEX(LM_Commons,G64)</x:f>
        <x:v>4.8837918195328305</x:v>
      </x:c>
      <x:c r="AK64" s="32" t="n">
        <x:f>H64*v01_RoleScale*Arch_Roles*(AE64*(INDEX(v01_ElderRolePerSett,G64)*v01_OutElder*INDEX(LM_Elder,G64)+INDEX(v01_ShamanPerSett,G64)*v01_OutShaman)+Z64*(INDEX(v01_PriestShare,G64)*v01_OutPriest+INDEX(v01_ScribeShare,G64)*v01_OutScribe*INDEX(LM_Scribe,G64)+INDEX(v01_ScholarShare,G64)*v01_OutScholar*INDEX(LM_Scholar,G64)+INDEX(v01_ResearcherShare,G64)*v01_OutResearcher*INDEX(LM_Researcher,G64)))</x:f>
        <x:v>0</x:v>
      </x:c>
      <x:c r="AL64" s="32" t="n">
        <x:f>H64*v01_RoleScale*Arch_Roles*AE64*INDEX(v01_MonasteryPerSett,G64)*v01_OutMonastery*INDEX(LM_Monastery,G64)</x:f>
        <x:v>0</x:v>
      </x:c>
      <x:c r="AM64" s="32" t="n">
        <x:f>(AJ64+AK64+AL64)/4*INDEX(LM_All,G64)*INDEX(v01_Boon,G64)*Arch_Insight</x:f>
        <x:v>1.2209479548832076</x:v>
      </x:c>
      <x:c r="AN64" s="32" t="n">
        <x:f>H64*(v01_KHPerAdult*Z64+v01_KHOfCommons*AJ64/4*INDEX(LM_All,G64))*v01_KHUsable*Arch_KH</x:f>
        <x:v>0.257632994083154</x:v>
      </x:c>
      <x:c r="AO64" s="32" t="n">
        <x:f>MIN(AP63+AN64,AM64*v01_KHMaxRatio)</x:f>
        <x:v>0.257632994083154</x:v>
      </x:c>
      <x:c r="AP64" s="32" t="n">
        <x:f>AP63+AN64-AO64</x:f>
        <x:v>0</x:v>
      </x:c>
      <x:c r="AQ64" s="32" t="n">
        <x:f>AM64+AO64</x:f>
        <x:v>1.4785809489663615</x:v>
      </x:c>
      <x:c r="AR64" s="10" t="n">
        <x:f>IF(H64=1,INDEX(v01_Req,G64),0)</x:f>
        <x:v>372.02</x:v>
      </x:c>
      <x:c r="AS64" s="32" t="n">
        <x:f>IF(H64=1,IF(E64=1,AS63-AR63,AS63)+AQ64,0)</x:f>
        <x:v>90.60769874445135</x:v>
      </x:c>
      <x:c r="AT64" s="11" t="n">
        <x:f>IF(AR64&gt;0,MIN(1,AS64/AR64),1)</x:f>
        <x:v>0.24355598823840482</x:v>
      </x:c>
      <x:c r="AU64" s="10" t="n">
        <x:f>AB64/INDEX(v01_RepScale,G64)</x:f>
        <x:v>15.161306651749804</x:v>
      </x:c>
      <x:c r="AV64" s="32" t="n">
        <x:f>AM64*60/v01_SeasonSeconds</x:f>
        <x:v>4.8837918195328305</x:v>
      </x:c>
    </x:row>
    <x:row r="65">
      <x:c r="A65" s="8" t="n">
        <x:f>A64+1</x:f>
        <x:v>62</x:v>
      </x:c>
      <x:c r="B65" s="9" t="n">
        <x:f>A65*v01_SeasonSeconds/60</x:f>
        <x:v>15.5</x:v>
      </x:c>
      <x:c r="C65" s="9" t="n">
        <x:f>A65/4</x:f>
        <x:v>15.5</x:v>
      </x:c>
      <x:c r="D65" s="8" t="n">
        <x:f>IF(MOD(A65,4)=0,1,0)</x:f>
        <x:v>0</x:v>
      </x:c>
      <x:c r="E65" s="8" t="n">
        <x:f>IF(AND(F64&lt;=9,AS64&gt;=AR64),1,0)</x:f>
        <x:v>0</x:v>
      </x:c>
      <x:c r="F65" s="8" t="n">
        <x:f>MIN(10,F64+E65)</x:f>
        <x:v>0</x:v>
      </x:c>
      <x:c r="G65" s="8" t="n">
        <x:f>MIN(F65,9)+1</x:f>
        <x:v>1</x:v>
      </x:c>
      <x:c r="H65" s="8" t="n">
        <x:f>IF(F65&lt;=9,1,0)</x:f>
        <x:v>1</x:v>
      </x:c>
      <x:c r="I65" s="9" t="n">
        <x:f>MIN(10,F64+IF(AR64&gt;0,MIN(1,AS64/AR64),1))</x:f>
        <x:v>0.24355598823840482</x:v>
      </x:c>
      <x:c r="J65" s="32" t="n">
        <x:f>INDEX(v01_FoodCap,G65)*Arch_FoodCap*EXP(v01_CapsByProject*SUMPRODUCT((Cap_Point&lt;=I65)*(Cap_Kind="Food")*Cap_Ln))</x:f>
        <x:v>22</x:v>
      </x:c>
      <x:c r="K65" s="32" t="n">
        <x:f>J65*MIN(1,v01_LeanBase*EXP(v01_CapsByProject*SUMPRODUCT((Cap_Point&lt;=I65)*(Cap_Kind="Lean")*Cap_Ln)))</x:f>
        <x:v>22</x:v>
      </x:c>
      <x:c r="L65" s="10" t="n">
        <x:f>INDEX(v01_HousingCap,G65)*EXP(v01_CapsByProject*SUMPRODUCT((Cap_Point&lt;=I65)*(Cap_Kind="Housing")*Cap_Ln))</x:f>
        <x:v>60</x:v>
      </x:c>
      <x:c r="M65" s="10" t="n">
        <x:f>INDEX(v01_GroupCap,G65)*v01_CohesionFactor*EXP(v01_CapsByProject*SUMPRODUCT((Cap_Point&lt;=I65)*(Cap_Kind="Group")*Cap_Ln))</x:f>
        <x:v>35</x:v>
      </x:c>
      <x:c r="N65" s="32" t="n">
        <x:f>MIN(J65,L65,M65)</x:f>
        <x:v>22</x:v>
      </x:c>
      <x:c r="O65" s="10" t="n">
        <x:f>AE64*N65</x:f>
        <x:v>22</x:v>
      </x:c>
      <x:c r="P65" s="9" t="n">
        <x:f>MIN(1,(AB64/(AE64*IF(v01_GroupInCrowding=1,N65,MIN(J65,L65))))^v01_CrowdingExp)</x:f>
        <x:v>0.10712324160109273</x:v>
      </x:c>
      <x:c r="Q65" s="9" t="n">
        <x:f>IF(D65=1,INDEX(v01_WinterMult,G65),1)</x:f>
        <x:v>1</x:v>
      </x:c>
      <x:c r="R65" s="9" t="n">
        <x:f>H65*Z64*v01_WomenShare*v01_BaseFertility*INDEX(v01_FertMult,G65)*Arch_Fertility*(1-P65)</x:f>
        <x:v>0.19717243938306117</x:v>
      </x:c>
      <x:c r="S65" s="9" t="n">
        <x:f>H65*Y64*INDEX(v01_MortChild,G65)/4*Q65</x:f>
        <x:v>0.05909973104018948</x:v>
      </x:c>
      <x:c r="T65" s="9" t="n">
        <x:f>H65*Z64*INDEX(v01_MortAdult,G65)*Arch_AdultMort/4*Q65</x:f>
        <x:v>0.027603535080337926</x:v>
      </x:c>
      <x:c r="U65" s="9" t="n">
        <x:f>H65*AA64*INDEX(v01_MortElder,G65)/4*Q65</x:f>
        <x:v>0.047259771491018565</x:v>
      </x:c>
      <x:c r="V65" s="9" t="n">
        <x:f>H65*MAX(0,AB64-O65)*v01_OvercapLoss</x:f>
        <x:v>0</x:v>
      </x:c>
      <x:c r="W65" s="9" t="n">
        <x:f>H65*Y64/(v01_ChildYears*4)</x:f>
        <x:v>0.10553523400033836</x:v>
      </x:c>
      <x:c r="X65" s="9" t="n">
        <x:f>H65*Z64/(v01_AdultYears*4)</x:f>
        <x:v>0.059362441032984783</x:v>
      </x:c>
      <x:c r="Y65" s="32" t="n">
        <x:f>Y64+R65-S65-W65-Y64*V65/AB64</x:f>
        <x:v>5.942510578361482</x:v>
      </x:c>
      <x:c r="Z65" s="32" t="n">
        <x:f>Z64+W65-X65-T65-Z64*V65/AB64</x:f>
        <x:v>7.379511945977129</x:v>
      </x:c>
      <x:c r="AA65" s="32" t="n">
        <x:f>AA64+X65-U65-AA64*V65/AB64</x:f>
        <x:v>1.9024935291827085</x:v>
      </x:c>
      <x:c r="AB65" s="10" t="n">
        <x:f>Y65+Z65+AA65</x:f>
        <x:v>15.224516053521318</x:v>
      </x:c>
      <x:c r="AC65" s="8" t="n">
        <x:f>IF(AND(v01_WinterTrigger=1,D65=1,AB64/AE64&gt;=K65),1,0)</x:f>
        <x:v>0</x:v>
      </x:c>
      <x:c r="AD65" s="8" t="n">
        <x:f>H65*IF(AND(OR(AB64/AE64&gt;=v01_FissionTrigger*N65,AC65=1),AB64/AE64*v01_DaughterShare&gt;=v01_MinDaughter),MAX(1,ROUND(AE64*v01_FissionRate,0)),0)</x:f>
        <x:v>0</x:v>
      </x:c>
      <x:c r="AE65" s="8" t="n">
        <x:f>IF(H65=1,MAX(1,MIN(INDEX(v01_Smax,G65),AE64+AD65)),AE64)</x:f>
        <x:v>1</x:v>
      </x:c>
      <x:c r="AF65" s="8" t="n">
        <x:f>MAX(0,AE65-AE64)</x:f>
        <x:v>0</x:v>
      </x:c>
      <x:c r="AG65" s="9" t="str">
        <x:f>IF(AF65&gt;0,B65,"")</x:f>
      </x:c>
      <x:c r="AH65" s="9" t="n">
        <x:f>IF(F65&gt;=1,1,(1+v01_LowTiesShare*(AE65-1))/AE65)</x:f>
        <x:v>1</x:v>
      </x:c>
      <x:c r="AI65" s="32" t="n">
        <x:f>(Z65+v01_ElderCommons*INDEX(LM_Elder,G65)*AA65)*AH65</x:f>
        <x:v>11.184499004342545</x:v>
      </x:c>
      <x:c r="AJ65" s="32" t="n">
        <x:f>H65*v01_CommonsCoef*AI65^v01_CommonsExp*INDEX(LM_Commons,G65)</x:f>
        <x:v>4.899724347891271</x:v>
      </x:c>
      <x:c r="AK65" s="32" t="n">
        <x:f>H65*v01_RoleScale*Arch_Roles*(AE65*(INDEX(v01_ElderRolePerSett,G65)*v01_OutElder*INDEX(LM_Elder,G65)+INDEX(v01_ShamanPerSett,G65)*v01_OutShaman)+Z65*(INDEX(v01_PriestShare,G65)*v01_OutPriest+INDEX(v01_ScribeShare,G65)*v01_OutScribe*INDEX(LM_Scribe,G65)+INDEX(v01_ScholarShare,G65)*v01_OutScholar*INDEX(LM_Scholar,G65)+INDEX(v01_ResearcherShare,G65)*v01_OutResearcher*INDEX(LM_Researcher,G65)))</x:f>
        <x:v>0</x:v>
      </x:c>
      <x:c r="AL65" s="32" t="n">
        <x:f>H65*v01_RoleScale*Arch_Roles*AE65*INDEX(v01_MonasteryPerSett,G65)*v01_OutMonastery*INDEX(LM_Monastery,G65)</x:f>
        <x:v>0</x:v>
      </x:c>
      <x:c r="AM65" s="32" t="n">
        <x:f>(AJ65+AK65+AL65)/4*INDEX(LM_All,G65)*INDEX(v01_Boon,G65)*Arch_Insight</x:f>
        <x:v>1.2249310869728178</x:v>
      </x:c>
      <x:c r="AN65" s="32" t="n">
        <x:f>H65*(v01_KHPerAdult*Z65+v01_KHOfCommons*AJ65/4*INDEX(LM_All,G65))*v01_KHUsable*Arch_KH</x:f>
        <x:v>0.2582829181091995</x:v>
      </x:c>
      <x:c r="AO65" s="32" t="n">
        <x:f>MIN(AP64+AN65,AM65*v01_KHMaxRatio)</x:f>
        <x:v>0.2582829181091995</x:v>
      </x:c>
      <x:c r="AP65" s="32" t="n">
        <x:f>AP64+AN65-AO65</x:f>
        <x:v>0</x:v>
      </x:c>
      <x:c r="AQ65" s="32" t="n">
        <x:f>AM65+AO65</x:f>
        <x:v>1.4832140050820173</x:v>
      </x:c>
      <x:c r="AR65" s="10" t="n">
        <x:f>IF(H65=1,INDEX(v01_Req,G65),0)</x:f>
        <x:v>372.02</x:v>
      </x:c>
      <x:c r="AS65" s="32" t="n">
        <x:f>IF(H65=1,IF(E65=1,AS64-AR64,AS64)+AQ65,0)</x:f>
        <x:v>92.09091274953337</x:v>
      </x:c>
      <x:c r="AT65" s="11" t="n">
        <x:f>IF(AR65&gt;0,MIN(1,AS65/AR65),1)</x:f>
        <x:v>0.24754290831012682</x:v>
      </x:c>
      <x:c r="AU65" s="10" t="n">
        <x:f>AB65/INDEX(v01_RepScale,G65)</x:f>
        <x:v>15.224516053521318</x:v>
      </x:c>
      <x:c r="AV65" s="32" t="n">
        <x:f>AM65*60/v01_SeasonSeconds</x:f>
        <x:v>4.899724347891271</x:v>
      </x:c>
    </x:row>
    <x:row r="66">
      <x:c r="A66" s="8" t="n">
        <x:f>A65+1</x:f>
        <x:v>63</x:v>
      </x:c>
      <x:c r="B66" s="9" t="n">
        <x:f>A66*v01_SeasonSeconds/60</x:f>
        <x:v>15.75</x:v>
      </x:c>
      <x:c r="C66" s="9" t="n">
        <x:f>A66/4</x:f>
        <x:v>15.75</x:v>
      </x:c>
      <x:c r="D66" s="8" t="n">
        <x:f>IF(MOD(A66,4)=0,1,0)</x:f>
        <x:v>0</x:v>
      </x:c>
      <x:c r="E66" s="8" t="n">
        <x:f>IF(AND(F65&lt;=9,AS65&gt;=AR65),1,0)</x:f>
        <x:v>0</x:v>
      </x:c>
      <x:c r="F66" s="8" t="n">
        <x:f>MIN(10,F65+E66)</x:f>
        <x:v>0</x:v>
      </x:c>
      <x:c r="G66" s="8" t="n">
        <x:f>MIN(F66,9)+1</x:f>
        <x:v>1</x:v>
      </x:c>
      <x:c r="H66" s="8" t="n">
        <x:f>IF(F66&lt;=9,1,0)</x:f>
        <x:v>1</x:v>
      </x:c>
      <x:c r="I66" s="9" t="n">
        <x:f>MIN(10,F65+IF(AR65&gt;0,MIN(1,AS65/AR65),1))</x:f>
        <x:v>0.24754290831012682</x:v>
      </x:c>
      <x:c r="J66" s="32" t="n">
        <x:f>INDEX(v01_FoodCap,G66)*Arch_FoodCap*EXP(v01_CapsByProject*SUMPRODUCT((Cap_Point&lt;=I66)*(Cap_Kind="Food")*Cap_Ln))</x:f>
        <x:v>22</x:v>
      </x:c>
      <x:c r="K66" s="32" t="n">
        <x:f>J66*MIN(1,v01_LeanBase*EXP(v01_CapsByProject*SUMPRODUCT((Cap_Point&lt;=I66)*(Cap_Kind="Lean")*Cap_Ln)))</x:f>
        <x:v>22</x:v>
      </x:c>
      <x:c r="L66" s="10" t="n">
        <x:f>INDEX(v01_HousingCap,G66)*EXP(v01_CapsByProject*SUMPRODUCT((Cap_Point&lt;=I66)*(Cap_Kind="Housing")*Cap_Ln))</x:f>
        <x:v>60</x:v>
      </x:c>
      <x:c r="M66" s="10" t="n">
        <x:f>INDEX(v01_GroupCap,G66)*v01_CohesionFactor*EXP(v01_CapsByProject*SUMPRODUCT((Cap_Point&lt;=I66)*(Cap_Kind="Group")*Cap_Ln))</x:f>
        <x:v>35</x:v>
      </x:c>
      <x:c r="N66" s="32" t="n">
        <x:f>MIN(J66,L66,M66)</x:f>
        <x:v>22</x:v>
      </x:c>
      <x:c r="O66" s="10" t="n">
        <x:f>AE65*N66</x:f>
        <x:v>22</x:v>
      </x:c>
      <x:c r="P66" s="9" t="n">
        <x:f>MIN(1,(AB65/(AE65*IF(v01_GroupInCrowding=1,N66,MIN(J66,L66))))^v01_CrowdingExp)</x:f>
        <x:v>0.10983098888658553</x:v>
      </x:c>
      <x:c r="Q66" s="9" t="n">
        <x:f>IF(D66=1,INDEX(v01_WinterMult,G66),1)</x:f>
        <x:v>1</x:v>
      </x:c>
      <x:c r="R66" s="9" t="n">
        <x:f>H66*Z65*v01_WomenShare*v01_BaseFertility*INDEX(v01_FertMult,G66)*Arch_Fertility*(1-P66)</x:f>
        <x:v>0.1970703855435027</x:v>
      </x:c>
      <x:c r="S66" s="9" t="n">
        <x:f>H66*Y65*INDEX(v01_MortChild,G66)/4*Q66</x:f>
        <x:v>0.05942510578361482</x:v>
      </x:c>
      <x:c r="T66" s="9" t="n">
        <x:f>H66*Z65*INDEX(v01_MortAdult,G66)*Arch_AdultMort/4*Q66</x:f>
        <x:v>0.027673169797414233</x:v>
      </x:c>
      <x:c r="U66" s="9" t="n">
        <x:f>H66*AA65*INDEX(v01_MortElder,G66)/4*Q66</x:f>
        <x:v>0.047562338229567715</x:v>
      </x:c>
      <x:c r="V66" s="9" t="n">
        <x:f>H66*MAX(0,AB65-O66)*v01_OvercapLoss</x:f>
        <x:v>0</x:v>
      </x:c>
      <x:c r="W66" s="9" t="n">
        <x:f>H66*Y65/(v01_ChildYears*4)</x:f>
        <x:v>0.1061162603278836</x:v>
      </x:c>
      <x:c r="X66" s="9" t="n">
        <x:f>H66*Z65/(v01_AdultYears*4)</x:f>
        <x:v>0.05951219311271878</x:v>
      </x:c>
      <x:c r="Y66" s="32" t="n">
        <x:f>Y65+R66-S66-W66-Y65*V66/AB65</x:f>
        <x:v>5.974039597793486</x:v>
      </x:c>
      <x:c r="Z66" s="32" t="n">
        <x:f>Z65+W66-X66-T66-Z65*V66/AB65</x:f>
        <x:v>7.3984428433948795</x:v>
      </x:c>
      <x:c r="AA66" s="32" t="n">
        <x:f>AA65+X66-U66-AA65*V66/AB65</x:f>
        <x:v>1.9144433840658595</x:v>
      </x:c>
      <x:c r="AB66" s="10" t="n">
        <x:f>Y66+Z66+AA66</x:f>
        <x:v>15.286925825254226</x:v>
      </x:c>
      <x:c r="AC66" s="8" t="n">
        <x:f>IF(AND(v01_WinterTrigger=1,D66=1,AB65/AE65&gt;=K66),1,0)</x:f>
        <x:v>0</x:v>
      </x:c>
      <x:c r="AD66" s="8" t="n">
        <x:f>H66*IF(AND(OR(AB65/AE65&gt;=v01_FissionTrigger*N66,AC66=1),AB65/AE65*v01_DaughterShare&gt;=v01_MinDaughter),MAX(1,ROUND(AE65*v01_FissionRate,0)),0)</x:f>
        <x:v>0</x:v>
      </x:c>
      <x:c r="AE66" s="8" t="n">
        <x:f>IF(H66=1,MAX(1,MIN(INDEX(v01_Smax,G66),AE65+AD66)),AE65)</x:f>
        <x:v>1</x:v>
      </x:c>
      <x:c r="AF66" s="8" t="n">
        <x:f>MAX(0,AE66-AE65)</x:f>
        <x:v>0</x:v>
      </x:c>
      <x:c r="AG66" s="9" t="str">
        <x:f>IF(AF66&gt;0,B66,"")</x:f>
      </x:c>
      <x:c r="AH66" s="9" t="n">
        <x:f>IF(F66&gt;=1,1,(1+v01_LowTiesShare*(AE66-1))/AE66)</x:f>
        <x:v>1</x:v>
      </x:c>
      <x:c r="AI66" s="32" t="n">
        <x:f>(Z66+v01_ElderCommons*INDEX(LM_Elder,G66)*AA66)*AH66</x:f>
        <x:v>11.2273296115266</x:v>
      </x:c>
      <x:c r="AJ66" s="32" t="n">
        <x:f>H66*v01_CommonsCoef*AI66^v01_CommonsExp*INDEX(LM_Commons,G66)</x:f>
        <x:v>4.915668583410476</x:v>
      </x:c>
      <x:c r="AK66" s="32" t="n">
        <x:f>H66*v01_RoleScale*Arch_Roles*(AE66*(INDEX(v01_ElderRolePerSett,G66)*v01_OutElder*INDEX(LM_Elder,G66)+INDEX(v01_ShamanPerSett,G66)*v01_OutShaman)+Z66*(INDEX(v01_PriestShare,G66)*v01_OutPriest+INDEX(v01_ScribeShare,G66)*v01_OutScribe*INDEX(LM_Scribe,G66)+INDEX(v01_ScholarShare,G66)*v01_OutScholar*INDEX(LM_Scholar,G66)+INDEX(v01_ResearcherShare,G66)*v01_OutResearcher*INDEX(LM_Researcher,G66)))</x:f>
        <x:v>0</x:v>
      </x:c>
      <x:c r="AL66" s="32" t="n">
        <x:f>H66*v01_RoleScale*Arch_Roles*AE66*INDEX(v01_MonasteryPerSett,G66)*v01_OutMonastery*INDEX(LM_Monastery,G66)</x:f>
        <x:v>0</x:v>
      </x:c>
      <x:c r="AM66" s="32" t="n">
        <x:f>(AJ66+AK66+AL66)/4*INDEX(LM_All,G66)*INDEX(v01_Boon,G66)*Arch_Insight</x:f>
        <x:v>1.228917145852619</x:v>
      </x:c>
      <x:c r="AN66" s="32" t="n">
        <x:f>H66*(v01_KHPerAdult*Z66+v01_KHOfCommons*AJ66/4*INDEX(LM_All,G66))*v01_KHUsable*Arch_KH</x:f>
        <x:v>0.2589454995188208</x:v>
      </x:c>
      <x:c r="AO66" s="32" t="n">
        <x:f>MIN(AP65+AN66,AM66*v01_KHMaxRatio)</x:f>
        <x:v>0.2589454995188208</x:v>
      </x:c>
      <x:c r="AP66" s="32" t="n">
        <x:f>AP65+AN66-AO66</x:f>
        <x:v>0</x:v>
      </x:c>
      <x:c r="AQ66" s="32" t="n">
        <x:f>AM66+AO66</x:f>
        <x:v>1.4878626453714396</x:v>
      </x:c>
      <x:c r="AR66" s="10" t="n">
        <x:f>IF(H66=1,INDEX(v01_Req,G66),0)</x:f>
        <x:v>372.02</x:v>
      </x:c>
      <x:c r="AS66" s="32" t="n">
        <x:f>IF(H66=1,IF(E66=1,AS65-AR65,AS65)+AQ66,0)</x:f>
        <x:v>93.57877539490481</x:v>
      </x:c>
      <x:c r="AT66" s="11" t="n">
        <x:f>IF(AR66&gt;0,MIN(1,AS66/AR66),1)</x:f>
        <x:v>0.25154232405490246</x:v>
      </x:c>
      <x:c r="AU66" s="10" t="n">
        <x:f>AB66/INDEX(v01_RepScale,G66)</x:f>
        <x:v>15.286925825254226</x:v>
      </x:c>
      <x:c r="AV66" s="32" t="n">
        <x:f>AM66*60/v01_SeasonSeconds</x:f>
        <x:v>4.915668583410476</x:v>
      </x:c>
    </x:row>
    <x:row r="67">
      <x:c r="A67" s="8" t="n">
        <x:f>A66+1</x:f>
        <x:v>64</x:v>
      </x:c>
      <x:c r="B67" s="9" t="n">
        <x:f>A67*v01_SeasonSeconds/60</x:f>
        <x:v>16</x:v>
      </x:c>
      <x:c r="C67" s="9" t="n">
        <x:f>A67/4</x:f>
        <x:v>16</x:v>
      </x:c>
      <x:c r="D67" s="8" t="n">
        <x:f>IF(MOD(A67,4)=0,1,0)</x:f>
        <x:v>1</x:v>
      </x:c>
      <x:c r="E67" s="8" t="n">
        <x:f>IF(AND(F66&lt;=9,AS66&gt;=AR66),1,0)</x:f>
        <x:v>0</x:v>
      </x:c>
      <x:c r="F67" s="8" t="n">
        <x:f>MIN(10,F66+E67)</x:f>
        <x:v>0</x:v>
      </x:c>
      <x:c r="G67" s="8" t="n">
        <x:f>MIN(F67,9)+1</x:f>
        <x:v>1</x:v>
      </x:c>
      <x:c r="H67" s="8" t="n">
        <x:f>IF(F67&lt;=9,1,0)</x:f>
        <x:v>1</x:v>
      </x:c>
      <x:c r="I67" s="9" t="n">
        <x:f>MIN(10,F66+IF(AR66&gt;0,MIN(1,AS66/AR66),1))</x:f>
        <x:v>0.25154232405490246</x:v>
      </x:c>
      <x:c r="J67" s="32" t="n">
        <x:f>INDEX(v01_FoodCap,G67)*Arch_FoodCap*EXP(v01_CapsByProject*SUMPRODUCT((Cap_Point&lt;=I67)*(Cap_Kind="Food")*Cap_Ln))</x:f>
        <x:v>22</x:v>
      </x:c>
      <x:c r="K67" s="32" t="n">
        <x:f>J67*MIN(1,v01_LeanBase*EXP(v01_CapsByProject*SUMPRODUCT((Cap_Point&lt;=I67)*(Cap_Kind="Lean")*Cap_Ln)))</x:f>
        <x:v>22</x:v>
      </x:c>
      <x:c r="L67" s="10" t="n">
        <x:f>INDEX(v01_HousingCap,G67)*EXP(v01_CapsByProject*SUMPRODUCT((Cap_Point&lt;=I67)*(Cap_Kind="Housing")*Cap_Ln))</x:f>
        <x:v>60</x:v>
      </x:c>
      <x:c r="M67" s="10" t="n">
        <x:f>INDEX(v01_GroupCap,G67)*v01_CohesionFactor*EXP(v01_CapsByProject*SUMPRODUCT((Cap_Point&lt;=I67)*(Cap_Kind="Group")*Cap_Ln))</x:f>
        <x:v>35</x:v>
      </x:c>
      <x:c r="N67" s="32" t="n">
        <x:f>MIN(J67,L67,M67)</x:f>
        <x:v>22</x:v>
      </x:c>
      <x:c r="O67" s="10" t="n">
        <x:f>AE66*N67</x:f>
        <x:v>22</x:v>
      </x:c>
      <x:c r="P67" s="9" t="n">
        <x:f>MIN(1,(AB66/(AE66*IF(v01_GroupInCrowding=1,N67,MIN(J67,L67))))^v01_CrowdingExp)</x:f>
        <x:v>0.11256020229265759</x:v>
      </x:c>
      <x:c r="Q67" s="9" t="n">
        <x:f>IF(D67=1,INDEX(v01_WinterMult,G67),1)</x:f>
        <x:v>2</x:v>
      </x:c>
      <x:c r="R67" s="9" t="n">
        <x:f>H67*Z66*v01_WomenShare*v01_BaseFertility*INDEX(v01_FertMult,G67)*Arch_Fertility*(1-P67)</x:f>
        <x:v>0.1969701786087506</x:v>
      </x:c>
      <x:c r="S67" s="9" t="n">
        <x:f>H67*Y66*INDEX(v01_MortChild,G67)/4*Q67</x:f>
        <x:v>0.11948079195586972</x:v>
      </x:c>
      <x:c r="T67" s="9" t="n">
        <x:f>H67*Z66*INDEX(v01_MortAdult,G67)*Arch_AdultMort/4*Q67</x:f>
        <x:v>0.055488321325461595</x:v>
      </x:c>
      <x:c r="U67" s="9" t="n">
        <x:f>H67*AA66*INDEX(v01_MortElder,G67)/4*Q67</x:f>
        <x:v>0.09572216920329298</x:v>
      </x:c>
      <x:c r="V67" s="9" t="n">
        <x:f>H67*MAX(0,AB66-O67)*v01_OvercapLoss</x:f>
        <x:v>0</x:v>
      </x:c>
      <x:c r="W67" s="9" t="n">
        <x:f>H67*Y66/(v01_ChildYears*4)</x:f>
        <x:v>0.10667927853202654</x:v>
      </x:c>
      <x:c r="X67" s="9" t="n">
        <x:f>H67*Z66/(v01_AdultYears*4)</x:f>
        <x:v>0.059664861640281286</x:v>
      </x:c>
      <x:c r="Y67" s="32" t="n">
        <x:f>Y66+R67-S67-W67-Y66*V67/AB66</x:f>
        <x:v>5.94484970591434</x:v>
      </x:c>
      <x:c r="Z67" s="32" t="n">
        <x:f>Z66+W67-X67-T67-Z66*V67/AB66</x:f>
        <x:v>7.389968938961163</x:v>
      </x:c>
      <x:c r="AA67" s="32" t="n">
        <x:f>AA66+X67-U67-AA66*V67/AB66</x:f>
        <x:v>1.8783860765028477</x:v>
      </x:c>
      <x:c r="AB67" s="10" t="n">
        <x:f>Y67+Z67+AA67</x:f>
        <x:v>15.21320472137835</x:v>
      </x:c>
      <x:c r="AC67" s="8" t="n">
        <x:f>IF(AND(v01_WinterTrigger=1,D67=1,AB66/AE66&gt;=K67),1,0)</x:f>
        <x:v>0</x:v>
      </x:c>
      <x:c r="AD67" s="8" t="n">
        <x:f>H67*IF(AND(OR(AB66/AE66&gt;=v01_FissionTrigger*N67,AC67=1),AB66/AE66*v01_DaughterShare&gt;=v01_MinDaughter),MAX(1,ROUND(AE66*v01_FissionRate,0)),0)</x:f>
        <x:v>0</x:v>
      </x:c>
      <x:c r="AE67" s="8" t="n">
        <x:f>IF(H67=1,MAX(1,MIN(INDEX(v01_Smax,G67),AE66+AD67)),AE66)</x:f>
        <x:v>1</x:v>
      </x:c>
      <x:c r="AF67" s="8" t="n">
        <x:f>MAX(0,AE67-AE66)</x:f>
        <x:v>0</x:v>
      </x:c>
      <x:c r="AG67" s="9" t="str">
        <x:f>IF(AF67&gt;0,B67,"")</x:f>
      </x:c>
      <x:c r="AH67" s="9" t="n">
        <x:f>IF(F67&gt;=1,1,(1+v01_LowTiesShare*(AE67-1))/AE67)</x:f>
        <x:v>1</x:v>
      </x:c>
      <x:c r="AI67" s="32" t="n">
        <x:f>(Z67+v01_ElderCommons*INDEX(LM_Elder,G67)*AA67)*AH67</x:f>
        <x:v>11.146741091966858</x:v>
      </x:c>
      <x:c r="AJ67" s="32" t="n">
        <x:f>H67*v01_CommonsCoef*AI67^v01_CommonsExp*INDEX(LM_Commons,G67)</x:f>
        <x:v>4.885660890495737</x:v>
      </x:c>
      <x:c r="AK67" s="32" t="n">
        <x:f>H67*v01_RoleScale*Arch_Roles*(AE67*(INDEX(v01_ElderRolePerSett,G67)*v01_OutElder*INDEX(LM_Elder,G67)+INDEX(v01_ShamanPerSett,G67)*v01_OutShaman)+Z67*(INDEX(v01_PriestShare,G67)*v01_OutPriest+INDEX(v01_ScribeShare,G67)*v01_OutScribe*INDEX(LM_Scribe,G67)+INDEX(v01_ScholarShare,G67)*v01_OutScholar*INDEX(LM_Scholar,G67)+INDEX(v01_ResearcherShare,G67)*v01_OutResearcher*INDEX(LM_Researcher,G67)))</x:f>
        <x:v>0</x:v>
      </x:c>
      <x:c r="AL67" s="32" t="n">
        <x:f>H67*v01_RoleScale*Arch_Roles*AE67*INDEX(v01_MonasteryPerSett,G67)*v01_OutMonastery*INDEX(LM_Monastery,G67)</x:f>
        <x:v>0</x:v>
      </x:c>
      <x:c r="AM67" s="32" t="n">
        <x:f>(AJ67+AK67+AL67)/4*INDEX(LM_All,G67)*INDEX(v01_Boon,G67)*Arch_Insight</x:f>
        <x:v>1.2214152226239343</x:v>
      </x:c>
      <x:c r="AN67" s="32" t="n">
        <x:f>H67*(v01_KHPerAdult*Z67+v01_KHOfCommons*AJ67/4*INDEX(LM_All,G67))*v01_KHUsable*Arch_KH</x:f>
        <x:v>0.2586489128636407</x:v>
      </x:c>
      <x:c r="AO67" s="32" t="n">
        <x:f>MIN(AP66+AN67,AM67*v01_KHMaxRatio)</x:f>
        <x:v>0.2586489128636407</x:v>
      </x:c>
      <x:c r="AP67" s="32" t="n">
        <x:f>AP66+AN67-AO67</x:f>
        <x:v>0</x:v>
      </x:c>
      <x:c r="AQ67" s="32" t="n">
        <x:f>AM67+AO67</x:f>
        <x:v>1.480064135487575</x:v>
      </x:c>
      <x:c r="AR67" s="10" t="n">
        <x:f>IF(H67=1,INDEX(v01_Req,G67),0)</x:f>
        <x:v>372.02</x:v>
      </x:c>
      <x:c r="AS67" s="32" t="n">
        <x:f>IF(H67=1,IF(E67=1,AS66-AR66,AS66)+AQ67,0)</x:f>
        <x:v>95.05883953039239</x:v>
      </x:c>
      <x:c r="AT67" s="11" t="n">
        <x:f>IF(AR67&gt;0,MIN(1,AS67/AR67),1)</x:f>
        <x:v>0.2555207771904532</x:v>
      </x:c>
      <x:c r="AU67" s="10" t="n">
        <x:f>AB67/INDEX(v01_RepScale,G67)</x:f>
        <x:v>15.21320472137835</x:v>
      </x:c>
      <x:c r="AV67" s="32" t="n">
        <x:f>AM67*60/v01_SeasonSeconds</x:f>
        <x:v>4.885660890495737</x:v>
      </x:c>
    </x:row>
    <x:row r="68">
      <x:c r="A68" s="8" t="n">
        <x:f>A67+1</x:f>
        <x:v>65</x:v>
      </x:c>
      <x:c r="B68" s="9" t="n">
        <x:f>A68*v01_SeasonSeconds/60</x:f>
        <x:v>16.25</x:v>
      </x:c>
      <x:c r="C68" s="9" t="n">
        <x:f>A68/4</x:f>
        <x:v>16.25</x:v>
      </x:c>
      <x:c r="D68" s="8" t="n">
        <x:f>IF(MOD(A68,4)=0,1,0)</x:f>
        <x:v>0</x:v>
      </x:c>
      <x:c r="E68" s="8" t="n">
        <x:f>IF(AND(F67&lt;=9,AS67&gt;=AR67),1,0)</x:f>
        <x:v>0</x:v>
      </x:c>
      <x:c r="F68" s="8" t="n">
        <x:f>MIN(10,F67+E68)</x:f>
        <x:v>0</x:v>
      </x:c>
      <x:c r="G68" s="8" t="n">
        <x:f>MIN(F68,9)+1</x:f>
        <x:v>1</x:v>
      </x:c>
      <x:c r="H68" s="8" t="n">
        <x:f>IF(F68&lt;=9,1,0)</x:f>
        <x:v>1</x:v>
      </x:c>
      <x:c r="I68" s="9" t="n">
        <x:f>MIN(10,F67+IF(AR67&gt;0,MIN(1,AS67/AR67),1))</x:f>
        <x:v>0.2555207771904532</x:v>
      </x:c>
      <x:c r="J68" s="32" t="n">
        <x:f>INDEX(v01_FoodCap,G68)*Arch_FoodCap*EXP(v01_CapsByProject*SUMPRODUCT((Cap_Point&lt;=I68)*(Cap_Kind="Food")*Cap_Ln))</x:f>
        <x:v>22</x:v>
      </x:c>
      <x:c r="K68" s="32" t="n">
        <x:f>J68*MIN(1,v01_LeanBase*EXP(v01_CapsByProject*SUMPRODUCT((Cap_Point&lt;=I68)*(Cap_Kind="Lean")*Cap_Ln)))</x:f>
        <x:v>22</x:v>
      </x:c>
      <x:c r="L68" s="10" t="n">
        <x:f>INDEX(v01_HousingCap,G68)*EXP(v01_CapsByProject*SUMPRODUCT((Cap_Point&lt;=I68)*(Cap_Kind="Housing")*Cap_Ln))</x:f>
        <x:v>60</x:v>
      </x:c>
      <x:c r="M68" s="10" t="n">
        <x:f>INDEX(v01_GroupCap,G68)*v01_CohesionFactor*EXP(v01_CapsByProject*SUMPRODUCT((Cap_Point&lt;=I68)*(Cap_Kind="Group")*Cap_Ln))</x:f>
        <x:v>35</x:v>
      </x:c>
      <x:c r="N68" s="32" t="n">
        <x:f>MIN(J68,L68,M68)</x:f>
        <x:v>22</x:v>
      </x:c>
      <x:c r="O68" s="10" t="n">
        <x:f>AE67*N68</x:f>
        <x:v>22</x:v>
      </x:c>
      <x:c r="P68" s="9" t="n">
        <x:f>MIN(1,(AB67/(AE67*IF(v01_GroupInCrowding=1,N68,MIN(J68,L68))))^v01_CrowdingExp)</x:f>
        <x:v>0.10934229176010837</x:v>
      </x:c>
      <x:c r="Q68" s="9" t="n">
        <x:f>IF(D68=1,INDEX(v01_WinterMult,G68),1)</x:f>
        <x:v>1</x:v>
      </x:c>
      <x:c r="R68" s="9" t="n">
        <x:f>H68*Z67*v01_WomenShare*v01_BaseFertility*INDEX(v01_FertMult,G68)*Arch_Fertility*(1-P68)</x:f>
        <x:v>0.19745798397417397</x:v>
      </x:c>
      <x:c r="S68" s="9" t="n">
        <x:f>H68*Y67*INDEX(v01_MortChild,G68)/4*Q68</x:f>
        <x:v>0.0594484970591434</x:v>
      </x:c>
      <x:c r="T68" s="9" t="n">
        <x:f>H68*Z67*INDEX(v01_MortAdult,G68)*Arch_AdultMort/4*Q68</x:f>
        <x:v>0.027712383521104358</x:v>
      </x:c>
      <x:c r="U68" s="9" t="n">
        <x:f>H68*AA67*INDEX(v01_MortElder,G68)/4*Q68</x:f>
        <x:v>0.0469596519125712</x:v>
      </x:c>
      <x:c r="V68" s="9" t="n">
        <x:f>H68*MAX(0,AB67-O68)*v01_OvercapLoss</x:f>
        <x:v>0</x:v>
      </x:c>
      <x:c r="W68" s="9" t="n">
        <x:f>H68*Y67/(v01_ChildYears*4)</x:f>
        <x:v>0.10615803046275607</x:v>
      </x:c>
      <x:c r="X68" s="9" t="n">
        <x:f>H68*Z67/(v01_AdultYears*4)</x:f>
        <x:v>0.0595965237012997</x:v>
      </x:c>
      <x:c r="Y68" s="32" t="n">
        <x:f>Y67+R68-S68-W68-Y67*V68/AB67</x:f>
        <x:v>5.976701162366615</x:v>
      </x:c>
      <x:c r="Z68" s="32" t="n">
        <x:f>Z67+W68-X68-T68-Z67*V68/AB67</x:f>
        <x:v>7.408818062201515</x:v>
      </x:c>
      <x:c r="AA68" s="32" t="n">
        <x:f>AA67+X68-U68-AA67*V68/AB67</x:f>
        <x:v>1.8910229482915761</x:v>
      </x:c>
      <x:c r="AB68" s="10" t="n">
        <x:f>Y68+Z68+AA68</x:f>
        <x:v>15.276542172859706</x:v>
      </x:c>
      <x:c r="AC68" s="8" t="n">
        <x:f>IF(AND(v01_WinterTrigger=1,D68=1,AB67/AE67&gt;=K68),1,0)</x:f>
        <x:v>0</x:v>
      </x:c>
      <x:c r="AD68" s="8" t="n">
        <x:f>H68*IF(AND(OR(AB67/AE67&gt;=v01_FissionTrigger*N68,AC68=1),AB67/AE67*v01_DaughterShare&gt;=v01_MinDaughter),MAX(1,ROUND(AE67*v01_FissionRate,0)),0)</x:f>
        <x:v>0</x:v>
      </x:c>
      <x:c r="AE68" s="8" t="n">
        <x:f>IF(H68=1,MAX(1,MIN(INDEX(v01_Smax,G68),AE67+AD68)),AE67)</x:f>
        <x:v>1</x:v>
      </x:c>
      <x:c r="AF68" s="8" t="n">
        <x:f>MAX(0,AE68-AE67)</x:f>
        <x:v>0</x:v>
      </x:c>
      <x:c r="AG68" s="9" t="str">
        <x:f>IF(AF68&gt;0,B68,"")</x:f>
      </x:c>
      <x:c r="AH68" s="9" t="n">
        <x:f>IF(F68&gt;=1,1,(1+v01_LowTiesShare*(AE68-1))/AE68)</x:f>
        <x:v>1</x:v>
      </x:c>
      <x:c r="AI68" s="32" t="n">
        <x:f>(Z68+v01_ElderCommons*INDEX(LM_Elder,G68)*AA68)*AH68</x:f>
        <x:v>11.190863958784668</x:v>
      </x:c>
      <x:c r="AJ68" s="32" t="n">
        <x:f>H68*v01_CommonsCoef*AI68^v01_CommonsExp*INDEX(LM_Commons,G68)</x:f>
        <x:v>4.9020943613113115</x:v>
      </x:c>
      <x:c r="AK68" s="32" t="n">
        <x:f>H68*v01_RoleScale*Arch_Roles*(AE68*(INDEX(v01_ElderRolePerSett,G68)*v01_OutElder*INDEX(LM_Elder,G68)+INDEX(v01_ShamanPerSett,G68)*v01_OutShaman)+Z68*(INDEX(v01_PriestShare,G68)*v01_OutPriest+INDEX(v01_ScribeShare,G68)*v01_OutScribe*INDEX(LM_Scribe,G68)+INDEX(v01_ScholarShare,G68)*v01_OutScholar*INDEX(LM_Scholar,G68)+INDEX(v01_ResearcherShare,G68)*v01_OutResearcher*INDEX(LM_Researcher,G68)))</x:f>
        <x:v>0</x:v>
      </x:c>
      <x:c r="AL68" s="32" t="n">
        <x:f>H68*v01_RoleScale*Arch_Roles*AE68*INDEX(v01_MonasteryPerSett,G68)*v01_OutMonastery*INDEX(LM_Monastery,G68)</x:f>
        <x:v>0</x:v>
      </x:c>
      <x:c r="AM68" s="32" t="n">
        <x:f>(AJ68+AK68+AL68)/4*INDEX(LM_All,G68)*INDEX(v01_Boon,G68)*Arch_Insight</x:f>
        <x:v>1.2255235903278279</x:v>
      </x:c>
      <x:c r="AN68" s="32" t="n">
        <x:f>H68*(v01_KHPerAdult*Z68+v01_KHOfCommons*AJ68/4*INDEX(LM_All,G68))*v01_KHUsable*Arch_KH</x:f>
        <x:v>0.259308632177053</x:v>
      </x:c>
      <x:c r="AO68" s="32" t="n">
        <x:f>MIN(AP67+AN68,AM68*v01_KHMaxRatio)</x:f>
        <x:v>0.259308632177053</x:v>
      </x:c>
      <x:c r="AP68" s="32" t="n">
        <x:f>AP67+AN68-AO68</x:f>
        <x:v>0</x:v>
      </x:c>
      <x:c r="AQ68" s="32" t="n">
        <x:f>AM68+AO68</x:f>
        <x:v>1.484832222504881</x:v>
      </x:c>
      <x:c r="AR68" s="10" t="n">
        <x:f>IF(H68=1,INDEX(v01_Req,G68),0)</x:f>
        <x:v>372.02</x:v>
      </x:c>
      <x:c r="AS68" s="32" t="n">
        <x:f>IF(H68=1,IF(E68=1,AS67-AR67,AS67)+AQ68,0)</x:f>
        <x:v>96.54367175289727</x:v>
      </x:c>
      <x:c r="AT68" s="11" t="n">
        <x:f>IF(AR68&gt;0,MIN(1,AS68/AR68),1)</x:f>
        <x:v>0.2595120470751499</x:v>
      </x:c>
      <x:c r="AU68" s="10" t="n">
        <x:f>AB68/INDEX(v01_RepScale,G68)</x:f>
        <x:v>15.276542172859706</x:v>
      </x:c>
      <x:c r="AV68" s="32" t="n">
        <x:f>AM68*60/v01_SeasonSeconds</x:f>
        <x:v>4.9020943613113115</x:v>
      </x:c>
    </x:row>
    <x:row r="69">
      <x:c r="A69" s="8" t="n">
        <x:f>A68+1</x:f>
        <x:v>66</x:v>
      </x:c>
      <x:c r="B69" s="9" t="n">
        <x:f>A69*v01_SeasonSeconds/60</x:f>
        <x:v>16.5</x:v>
      </x:c>
      <x:c r="C69" s="9" t="n">
        <x:f>A69/4</x:f>
        <x:v>16.5</x:v>
      </x:c>
      <x:c r="D69" s="8" t="n">
        <x:f>IF(MOD(A69,4)=0,1,0)</x:f>
        <x:v>0</x:v>
      </x:c>
      <x:c r="E69" s="8" t="n">
        <x:f>IF(AND(F68&lt;=9,AS68&gt;=AR68),1,0)</x:f>
        <x:v>0</x:v>
      </x:c>
      <x:c r="F69" s="8" t="n">
        <x:f>MIN(10,F68+E69)</x:f>
        <x:v>0</x:v>
      </x:c>
      <x:c r="G69" s="8" t="n">
        <x:f>MIN(F69,9)+1</x:f>
        <x:v>1</x:v>
      </x:c>
      <x:c r="H69" s="8" t="n">
        <x:f>IF(F69&lt;=9,1,0)</x:f>
        <x:v>1</x:v>
      </x:c>
      <x:c r="I69" s="9" t="n">
        <x:f>MIN(10,F68+IF(AR68&gt;0,MIN(1,AS68/AR68),1))</x:f>
        <x:v>0.2595120470751499</x:v>
      </x:c>
      <x:c r="J69" s="32" t="n">
        <x:f>INDEX(v01_FoodCap,G69)*Arch_FoodCap*EXP(v01_CapsByProject*SUMPRODUCT((Cap_Point&lt;=I69)*(Cap_Kind="Food")*Cap_Ln))</x:f>
        <x:v>22</x:v>
      </x:c>
      <x:c r="K69" s="32" t="n">
        <x:f>J69*MIN(1,v01_LeanBase*EXP(v01_CapsByProject*SUMPRODUCT((Cap_Point&lt;=I69)*(Cap_Kind="Lean")*Cap_Ln)))</x:f>
        <x:v>22</x:v>
      </x:c>
      <x:c r="L69" s="10" t="n">
        <x:f>INDEX(v01_HousingCap,G69)*EXP(v01_CapsByProject*SUMPRODUCT((Cap_Point&lt;=I69)*(Cap_Kind="Housing")*Cap_Ln))</x:f>
        <x:v>60</x:v>
      </x:c>
      <x:c r="M69" s="10" t="n">
        <x:f>INDEX(v01_GroupCap,G69)*v01_CohesionFactor*EXP(v01_CapsByProject*SUMPRODUCT((Cap_Point&lt;=I69)*(Cap_Kind="Group")*Cap_Ln))</x:f>
        <x:v>35</x:v>
      </x:c>
      <x:c r="N69" s="32" t="n">
        <x:f>MIN(J69,L69,M69)</x:f>
        <x:v>22</x:v>
      </x:c>
      <x:c r="O69" s="10" t="n">
        <x:f>AE68*N69</x:f>
        <x:v>22</x:v>
      </x:c>
      <x:c r="P69" s="9" t="n">
        <x:f>MIN(1,(AB68/(AE68*IF(v01_GroupInCrowding=1,N69,MIN(J69,L69))))^v01_CrowdingExp)</x:f>
        <x:v>0.11210224112595021</x:v>
      </x:c>
      <x:c r="Q69" s="9" t="n">
        <x:f>IF(D69=1,INDEX(v01_WinterMult,G69),1)</x:f>
        <x:v>1</x:v>
      </x:c>
      <x:c r="R69" s="9" t="n">
        <x:f>H69*Z68*v01_WomenShare*v01_BaseFertility*INDEX(v01_FertMult,G69)*Arch_Fertility*(1-P69)</x:f>
        <x:v>0.19734818860002915</x:v>
      </x:c>
      <x:c r="S69" s="9" t="n">
        <x:f>H69*Y68*INDEX(v01_MortChild,G69)/4*Q69</x:f>
        <x:v>0.05976701162366615</x:v>
      </x:c>
      <x:c r="T69" s="9" t="n">
        <x:f>H69*Z68*INDEX(v01_MortAdult,G69)*Arch_AdultMort/4*Q69</x:f>
        <x:v>0.02778306773325568</x:v>
      </x:c>
      <x:c r="U69" s="9" t="n">
        <x:f>H69*AA68*INDEX(v01_MortElder,G69)/4*Q69</x:f>
        <x:v>0.04727557370728941</x:v>
      </x:c>
      <x:c r="V69" s="9" t="n">
        <x:f>H69*MAX(0,AB68-O69)*v01_OvercapLoss</x:f>
        <x:v>0</x:v>
      </x:c>
      <x:c r="W69" s="9" t="n">
        <x:f>H69*Y68/(v01_ChildYears*4)</x:f>
        <x:v>0.10672680647083241</x:v>
      </x:c>
      <x:c r="X69" s="9" t="n">
        <x:f>H69*Z68/(v01_AdultYears*4)</x:f>
        <x:v>0.05974853275968964</x:v>
      </x:c>
      <x:c r="Y69" s="32" t="n">
        <x:f>Y68+R69-S69-W69-Y68*V69/AB68</x:f>
        <x:v>6.007555532872145</x:v>
      </x:c>
      <x:c r="Z69" s="32" t="n">
        <x:f>Z68+W69-X69-T69-Z68*V69/AB68</x:f>
        <x:v>7.428013268179402</x:v>
      </x:c>
      <x:c r="AA69" s="32" t="n">
        <x:f>AA68+X69-U69-AA68*V69/AB68</x:f>
        <x:v>1.9034959073439763</x:v>
      </x:c>
      <x:c r="AB69" s="10" t="n">
        <x:f>Y69+Z69+AA69</x:f>
        <x:v>15.339064708395522</x:v>
      </x:c>
      <x:c r="AC69" s="8" t="n">
        <x:f>IF(AND(v01_WinterTrigger=1,D69=1,AB68/AE68&gt;=K69),1,0)</x:f>
        <x:v>0</x:v>
      </x:c>
      <x:c r="AD69" s="8" t="n">
        <x:f>H69*IF(AND(OR(AB68/AE68&gt;=v01_FissionTrigger*N69,AC69=1),AB68/AE68*v01_DaughterShare&gt;=v01_MinDaughter),MAX(1,ROUND(AE68*v01_FissionRate,0)),0)</x:f>
        <x:v>0</x:v>
      </x:c>
      <x:c r="AE69" s="8" t="n">
        <x:f>IF(H69=1,MAX(1,MIN(INDEX(v01_Smax,G69),AE68+AD69)),AE68)</x:f>
        <x:v>1</x:v>
      </x:c>
      <x:c r="AF69" s="8" t="n">
        <x:f>MAX(0,AE69-AE68)</x:f>
        <x:v>0</x:v>
      </x:c>
      <x:c r="AG69" s="9" t="str">
        <x:f>IF(AF69&gt;0,B69,"")</x:f>
      </x:c>
      <x:c r="AH69" s="9" t="n">
        <x:f>IF(F69&gt;=1,1,(1+v01_LowTiesShare*(AE69-1))/AE69)</x:f>
        <x:v>1</x:v>
      </x:c>
      <x:c r="AI69" s="32" t="n">
        <x:f>(Z69+v01_ElderCommons*INDEX(LM_Elder,G69)*AA69)*AH69</x:f>
        <x:v>11.235005082867355</x:v>
      </x:c>
      <x:c r="AJ69" s="32" t="n">
        <x:f>H69*v01_CommonsCoef*AI69^v01_CommonsExp*INDEX(LM_Commons,G69)</x:f>
        <x:v>4.918524909849169</x:v>
      </x:c>
      <x:c r="AK69" s="32" t="n">
        <x:f>H69*v01_RoleScale*Arch_Roles*(AE69*(INDEX(v01_ElderRolePerSett,G69)*v01_OutElder*INDEX(LM_Elder,G69)+INDEX(v01_ShamanPerSett,G69)*v01_OutShaman)+Z69*(INDEX(v01_PriestShare,G69)*v01_OutPriest+INDEX(v01_ScribeShare,G69)*v01_OutScribe*INDEX(LM_Scribe,G69)+INDEX(v01_ScholarShare,G69)*v01_OutScholar*INDEX(LM_Scholar,G69)+INDEX(v01_ResearcherShare,G69)*v01_OutResearcher*INDEX(LM_Researcher,G69)))</x:f>
        <x:v>0</x:v>
      </x:c>
      <x:c r="AL69" s="32" t="n">
        <x:f>H69*v01_RoleScale*Arch_Roles*AE69*INDEX(v01_MonasteryPerSett,G69)*v01_OutMonastery*INDEX(LM_Monastery,G69)</x:f>
        <x:v>0</x:v>
      </x:c>
      <x:c r="AM69" s="32" t="n">
        <x:f>(AJ69+AK69+AL69)/4*INDEX(LM_All,G69)*INDEX(v01_Boon,G69)*Arch_Insight</x:f>
        <x:v>1.2296312274622923</x:v>
      </x:c>
      <x:c r="AN69" s="32" t="n">
        <x:f>H69*(v01_KHPerAdult*Z69+v01_KHOfCommons*AJ69/4*INDEX(LM_All,G69))*v01_KHUsable*Arch_KH</x:f>
        <x:v>0.2599804643862791</x:v>
      </x:c>
      <x:c r="AO69" s="32" t="n">
        <x:f>MIN(AP68+AN69,AM69*v01_KHMaxRatio)</x:f>
        <x:v>0.2599804643862791</x:v>
      </x:c>
      <x:c r="AP69" s="32" t="n">
        <x:f>AP68+AN69-AO69</x:f>
        <x:v>0</x:v>
      </x:c>
      <x:c r="AQ69" s="32" t="n">
        <x:f>AM69+AO69</x:f>
        <x:v>1.4896116918485713</x:v>
      </x:c>
      <x:c r="AR69" s="10" t="n">
        <x:f>IF(H69=1,INDEX(v01_Req,G69),0)</x:f>
        <x:v>372.02</x:v>
      </x:c>
      <x:c r="AS69" s="32" t="n">
        <x:f>IF(H69=1,IF(E69=1,AS68-AR68,AS68)+AQ69,0)</x:f>
        <x:v>98.03328344474583</x:v>
      </x:c>
      <x:c r="AT69" s="11" t="n">
        <x:f>IF(AR69&gt;0,MIN(1,AS69/AR69),1)</x:f>
        <x:v>0.2635161643049993</x:v>
      </x:c>
      <x:c r="AU69" s="10" t="n">
        <x:f>AB69/INDEX(v01_RepScale,G69)</x:f>
        <x:v>15.339064708395522</x:v>
      </x:c>
      <x:c r="AV69" s="32" t="n">
        <x:f>AM69*60/v01_SeasonSeconds</x:f>
        <x:v>4.918524909849169</x:v>
      </x:c>
    </x:row>
    <x:row r="70">
      <x:c r="A70" s="8" t="n">
        <x:f>A69+1</x:f>
        <x:v>67</x:v>
      </x:c>
      <x:c r="B70" s="9" t="n">
        <x:f>A70*v01_SeasonSeconds/60</x:f>
        <x:v>16.75</x:v>
      </x:c>
      <x:c r="C70" s="9" t="n">
        <x:f>A70/4</x:f>
        <x:v>16.75</x:v>
      </x:c>
      <x:c r="D70" s="8" t="n">
        <x:f>IF(MOD(A70,4)=0,1,0)</x:f>
        <x:v>0</x:v>
      </x:c>
      <x:c r="E70" s="8" t="n">
        <x:f>IF(AND(F69&lt;=9,AS69&gt;=AR69),1,0)</x:f>
        <x:v>0</x:v>
      </x:c>
      <x:c r="F70" s="8" t="n">
        <x:f>MIN(10,F69+E70)</x:f>
        <x:v>0</x:v>
      </x:c>
      <x:c r="G70" s="8" t="n">
        <x:f>MIN(F70,9)+1</x:f>
        <x:v>1</x:v>
      </x:c>
      <x:c r="H70" s="8" t="n">
        <x:f>IF(F70&lt;=9,1,0)</x:f>
        <x:v>1</x:v>
      </x:c>
      <x:c r="I70" s="9" t="n">
        <x:f>MIN(10,F69+IF(AR69&gt;0,MIN(1,AS69/AR69),1))</x:f>
        <x:v>0.2635161643049993</x:v>
      </x:c>
      <x:c r="J70" s="32" t="n">
        <x:f>INDEX(v01_FoodCap,G70)*Arch_FoodCap*EXP(v01_CapsByProject*SUMPRODUCT((Cap_Point&lt;=I70)*(Cap_Kind="Food")*Cap_Ln))</x:f>
        <x:v>22</x:v>
      </x:c>
      <x:c r="K70" s="32" t="n">
        <x:f>J70*MIN(1,v01_LeanBase*EXP(v01_CapsByProject*SUMPRODUCT((Cap_Point&lt;=I70)*(Cap_Kind="Lean")*Cap_Ln)))</x:f>
        <x:v>22</x:v>
      </x:c>
      <x:c r="L70" s="10" t="n">
        <x:f>INDEX(v01_HousingCap,G70)*EXP(v01_CapsByProject*SUMPRODUCT((Cap_Point&lt;=I70)*(Cap_Kind="Housing")*Cap_Ln))</x:f>
        <x:v>60</x:v>
      </x:c>
      <x:c r="M70" s="10" t="n">
        <x:f>INDEX(v01_GroupCap,G70)*v01_CohesionFactor*EXP(v01_CapsByProject*SUMPRODUCT((Cap_Point&lt;=I70)*(Cap_Kind="Group")*Cap_Ln))</x:f>
        <x:v>35</x:v>
      </x:c>
      <x:c r="N70" s="32" t="n">
        <x:f>MIN(J70,L70,M70)</x:f>
        <x:v>22</x:v>
      </x:c>
      <x:c r="O70" s="10" t="n">
        <x:f>AE69*N70</x:f>
        <x:v>22</x:v>
      </x:c>
      <x:c r="P70" s="9" t="n">
        <x:f>MIN(1,(AB69/(AE69*IF(v01_GroupInCrowding=1,N70,MIN(J70,L70))))^v01_CrowdingExp)</x:f>
        <x:v>0.11488337676308527</x:v>
      </x:c>
      <x:c r="Q70" s="9" t="n">
        <x:f>IF(D70=1,INDEX(v01_WinterMult,G70),1)</x:f>
        <x:v>1</x:v>
      </x:c>
      <x:c r="R70" s="9" t="n">
        <x:f>H70*Z69*v01_WomenShare*v01_BaseFertility*INDEX(v01_FertMult,G70)*Arch_Fertility*(1-P70)</x:f>
        <x:v>0.19723974063869854</x:v>
      </x:c>
      <x:c r="S70" s="9" t="n">
        <x:f>H70*Y69*INDEX(v01_MortChild,G70)/4*Q70</x:f>
        <x:v>0.06007555532872145</x:v>
      </x:c>
      <x:c r="T70" s="9" t="n">
        <x:f>H70*Z69*INDEX(v01_MortAdult,G70)*Arch_AdultMort/4*Q70</x:f>
        <x:v>0.027855049755672757</x:v>
      </x:c>
      <x:c r="U70" s="9" t="n">
        <x:f>H70*AA69*INDEX(v01_MortElder,G70)/4*Q70</x:f>
        <x:v>0.04758739768359941</x:v>
      </x:c>
      <x:c r="V70" s="9" t="n">
        <x:f>H70*MAX(0,AB69-O70)*v01_OvercapLoss</x:f>
        <x:v>0</x:v>
      </x:c>
      <x:c r="W70" s="9" t="n">
        <x:f>H70*Y69/(v01_ChildYears*4)</x:f>
        <x:v>0.10727777737271686</x:v>
      </x:c>
      <x:c r="X70" s="9" t="n">
        <x:f>H70*Z69/(v01_AdultYears*4)</x:f>
        <x:v>0.059903332807898405</x:v>
      </x:c>
      <x:c r="Y70" s="32" t="n">
        <x:f>Y69+R70-S70-W70-Y69*V70/AB69</x:f>
        <x:v>6.037441940809405</x:v>
      </x:c>
      <x:c r="Z70" s="32" t="n">
        <x:f>Z69+W70-X70-T70-Z69*V70/AB69</x:f>
        <x:v>7.447532662988547</x:v>
      </x:c>
      <x:c r="AA70" s="32" t="n">
        <x:f>AA69+X70-U70-AA69*V70/AB69</x:f>
        <x:v>1.9158118424682753</x:v>
      </x:c>
      <x:c r="AB70" s="10" t="n">
        <x:f>Y70+Z70+AA70</x:f>
        <x:v>15.400786446266228</x:v>
      </x:c>
      <x:c r="AC70" s="8" t="n">
        <x:f>IF(AND(v01_WinterTrigger=1,D70=1,AB69/AE69&gt;=K70),1,0)</x:f>
        <x:v>0</x:v>
      </x:c>
      <x:c r="AD70" s="8" t="n">
        <x:f>H70*IF(AND(OR(AB69/AE69&gt;=v01_FissionTrigger*N70,AC70=1),AB69/AE69*v01_DaughterShare&gt;=v01_MinDaughter),MAX(1,ROUND(AE69*v01_FissionRate,0)),0)</x:f>
        <x:v>0</x:v>
      </x:c>
      <x:c r="AE70" s="8" t="n">
        <x:f>IF(H70=1,MAX(1,MIN(INDEX(v01_Smax,G70),AE69+AD70)),AE69)</x:f>
        <x:v>1</x:v>
      </x:c>
      <x:c r="AF70" s="8" t="n">
        <x:f>MAX(0,AE70-AE69)</x:f>
        <x:v>0</x:v>
      </x:c>
      <x:c r="AG70" s="9" t="str">
        <x:f>IF(AF70&gt;0,B70,"")</x:f>
      </x:c>
      <x:c r="AH70" s="9" t="n">
        <x:f>IF(F70&gt;=1,1,(1+v01_LowTiesShare*(AE70-1))/AE70)</x:f>
        <x:v>1</x:v>
      </x:c>
      <x:c r="AI70" s="32" t="n">
        <x:f>(Z70+v01_ElderCommons*INDEX(LM_Elder,G70)*AA70)*AH70</x:f>
        <x:v>11.279156347925099</x:v>
      </x:c>
      <x:c r="AJ70" s="32" t="n">
        <x:f>H70*v01_CommonsCoef*AI70^v01_CommonsExp*INDEX(LM_Commons,G70)</x:f>
        <x:v>4.9349495495537035</x:v>
      </x:c>
      <x:c r="AK70" s="32" t="n">
        <x:f>H70*v01_RoleScale*Arch_Roles*(AE70*(INDEX(v01_ElderRolePerSett,G70)*v01_OutElder*INDEX(LM_Elder,G70)+INDEX(v01_ShamanPerSett,G70)*v01_OutShaman)+Z70*(INDEX(v01_PriestShare,G70)*v01_OutPriest+INDEX(v01_ScribeShare,G70)*v01_OutScribe*INDEX(LM_Scribe,G70)+INDEX(v01_ScholarShare,G70)*v01_OutScholar*INDEX(LM_Scholar,G70)+INDEX(v01_ResearcherShare,G70)*v01_OutResearcher*INDEX(LM_Researcher,G70)))</x:f>
        <x:v>0</x:v>
      </x:c>
      <x:c r="AL70" s="32" t="n">
        <x:f>H70*v01_RoleScale*Arch_Roles*AE70*INDEX(v01_MonasteryPerSett,G70)*v01_OutMonastery*INDEX(LM_Monastery,G70)</x:f>
        <x:v>0</x:v>
      </x:c>
      <x:c r="AM70" s="32" t="n">
        <x:f>(AJ70+AK70+AL70)/4*INDEX(LM_All,G70)*INDEX(v01_Boon,G70)*Arch_Insight</x:f>
        <x:v>1.2337373873884259</x:v>
      </x:c>
      <x:c r="AN70" s="32" t="n">
        <x:f>H70*(v01_KHPerAdult*Z70+v01_KHOfCommons*AJ70/4*INDEX(LM_All,G70))*v01_KHUsable*Arch_KH</x:f>
        <x:v>0.26066364320459917</x:v>
      </x:c>
      <x:c r="AO70" s="32" t="n">
        <x:f>MIN(AP69+AN70,AM70*v01_KHMaxRatio)</x:f>
        <x:v>0.26066364320459917</x:v>
      </x:c>
      <x:c r="AP70" s="32" t="n">
        <x:f>AP69+AN70-AO70</x:f>
        <x:v>0</x:v>
      </x:c>
      <x:c r="AQ70" s="32" t="n">
        <x:f>AM70+AO70</x:f>
        <x:v>1.494401030593025</x:v>
      </x:c>
      <x:c r="AR70" s="10" t="n">
        <x:f>IF(H70=1,INDEX(v01_Req,G70),0)</x:f>
        <x:v>372.02</x:v>
      </x:c>
      <x:c r="AS70" s="32" t="n">
        <x:f>IF(H70=1,IF(E70=1,AS69-AR69,AS69)+AQ70,0)</x:f>
        <x:v>99.52768447533886</x:v>
      </x:c>
      <x:c r="AT70" s="11" t="n">
        <x:f>IF(AR70&gt;0,MIN(1,AS70/AR70),1)</x:f>
        <x:v>0.26753315540922223</x:v>
      </x:c>
      <x:c r="AU70" s="10" t="n">
        <x:f>AB70/INDEX(v01_RepScale,G70)</x:f>
        <x:v>15.400786446266228</x:v>
      </x:c>
      <x:c r="AV70" s="32" t="n">
        <x:f>AM70*60/v01_SeasonSeconds</x:f>
        <x:v>4.9349495495537035</x:v>
      </x:c>
    </x:row>
    <x:row r="71">
      <x:c r="A71" s="8" t="n">
        <x:f>A70+1</x:f>
        <x:v>68</x:v>
      </x:c>
      <x:c r="B71" s="9" t="n">
        <x:f>A71*v01_SeasonSeconds/60</x:f>
        <x:v>17</x:v>
      </x:c>
      <x:c r="C71" s="9" t="n">
        <x:f>A71/4</x:f>
        <x:v>17</x:v>
      </x:c>
      <x:c r="D71" s="8" t="n">
        <x:f>IF(MOD(A71,4)=0,1,0)</x:f>
        <x:v>1</x:v>
      </x:c>
      <x:c r="E71" s="8" t="n">
        <x:f>IF(AND(F70&lt;=9,AS70&gt;=AR70),1,0)</x:f>
        <x:v>0</x:v>
      </x:c>
      <x:c r="F71" s="8" t="n">
        <x:f>MIN(10,F70+E71)</x:f>
        <x:v>0</x:v>
      </x:c>
      <x:c r="G71" s="8" t="n">
        <x:f>MIN(F71,9)+1</x:f>
        <x:v>1</x:v>
      </x:c>
      <x:c r="H71" s="8" t="n">
        <x:f>IF(F71&lt;=9,1,0)</x:f>
        <x:v>1</x:v>
      </x:c>
      <x:c r="I71" s="9" t="n">
        <x:f>MIN(10,F70+IF(AR70&gt;0,MIN(1,AS70/AR70),1))</x:f>
        <x:v>0.26753315540922223</x:v>
      </x:c>
      <x:c r="J71" s="32" t="n">
        <x:f>INDEX(v01_FoodCap,G71)*Arch_FoodCap*EXP(v01_CapsByProject*SUMPRODUCT((Cap_Point&lt;=I71)*(Cap_Kind="Food")*Cap_Ln))</x:f>
        <x:v>22</x:v>
      </x:c>
      <x:c r="K71" s="32" t="n">
        <x:f>J71*MIN(1,v01_LeanBase*EXP(v01_CapsByProject*SUMPRODUCT((Cap_Point&lt;=I71)*(Cap_Kind="Lean")*Cap_Ln)))</x:f>
        <x:v>22</x:v>
      </x:c>
      <x:c r="L71" s="10" t="n">
        <x:f>INDEX(v01_HousingCap,G71)*EXP(v01_CapsByProject*SUMPRODUCT((Cap_Point&lt;=I71)*(Cap_Kind="Housing")*Cap_Ln))</x:f>
        <x:v>60</x:v>
      </x:c>
      <x:c r="M71" s="10" t="n">
        <x:f>INDEX(v01_GroupCap,G71)*v01_CohesionFactor*EXP(v01_CapsByProject*SUMPRODUCT((Cap_Point&lt;=I71)*(Cap_Kind="Group")*Cap_Ln))</x:f>
        <x:v>35</x:v>
      </x:c>
      <x:c r="N71" s="32" t="n">
        <x:f>MIN(J71,L71,M71)</x:f>
        <x:v>22</x:v>
      </x:c>
      <x:c r="O71" s="10" t="n">
        <x:f>AE70*N71</x:f>
        <x:v>22</x:v>
      </x:c>
      <x:c r="P71" s="9" t="n">
        <x:f>MIN(1,(AB70/(AE70*IF(v01_GroupInCrowding=1,N71,MIN(J71,L71))))^v01_CrowdingExp)</x:f>
        <x:v>0.117685053154617</x:v>
      </x:c>
      <x:c r="Q71" s="9" t="n">
        <x:f>IF(D71=1,INDEX(v01_WinterMult,G71),1)</x:f>
        <x:v>2</x:v>
      </x:c>
      <x:c r="R71" s="9" t="n">
        <x:f>H71*Z70*v01_WomenShare*v01_BaseFertility*INDEX(v01_FertMult,G71)*Arch_Fertility*(1-P71)</x:f>
        <x:v>0.19713208157021983</x:v>
      </x:c>
      <x:c r="S71" s="9" t="n">
        <x:f>H71*Y70*INDEX(v01_MortChild,G71)/4*Q71</x:f>
        <x:v>0.1207488388161881</x:v>
      </x:c>
      <x:c r="T71" s="9" t="n">
        <x:f>H71*Z70*INDEX(v01_MortAdult,G71)*Arch_AdultMort/4*Q71</x:f>
        <x:v>0.05585649497241411</x:v>
      </x:c>
      <x:c r="U71" s="9" t="n">
        <x:f>H71*AA70*INDEX(v01_MortElder,G71)/4*Q71</x:f>
        <x:v>0.09579059212341377</x:v>
      </x:c>
      <x:c r="V71" s="9" t="n">
        <x:f>H71*MAX(0,AB70-O71)*v01_OvercapLoss</x:f>
        <x:v>0</x:v>
      </x:c>
      <x:c r="W71" s="9" t="n">
        <x:f>H71*Y70/(v01_ChildYears*4)</x:f>
        <x:v>0.10781146322873937</x:v>
      </x:c>
      <x:c r="X71" s="9" t="n">
        <x:f>H71*Z70/(v01_AdultYears*4)</x:f>
        <x:v>0.060060747282165705</x:v>
      </x:c>
      <x:c r="Y71" s="32" t="n">
        <x:f>Y70+R71-S71-W71-Y70*V71/AB70</x:f>
        <x:v>6.006013720334697</x:v>
      </x:c>
      <x:c r="Z71" s="32" t="n">
        <x:f>Z70+W71-X71-T71-Z70*V71/AB70</x:f>
        <x:v>7.439426883962707</x:v>
      </x:c>
      <x:c r="AA71" s="32" t="n">
        <x:f>AA70+X71-U71-AA70*V71/AB70</x:f>
        <x:v>1.8800819976270273</x:v>
      </x:c>
      <x:c r="AB71" s="10" t="n">
        <x:f>Y71+Z71+AA71</x:f>
        <x:v>15.32552260192443</x:v>
      </x:c>
      <x:c r="AC71" s="8" t="n">
        <x:f>IF(AND(v01_WinterTrigger=1,D71=1,AB70/AE70&gt;=K71),1,0)</x:f>
        <x:v>0</x:v>
      </x:c>
      <x:c r="AD71" s="8" t="n">
        <x:f>H71*IF(AND(OR(AB70/AE70&gt;=v01_FissionTrigger*N71,AC71=1),AB70/AE70*v01_DaughterShare&gt;=v01_MinDaughter),MAX(1,ROUND(AE70*v01_FissionRate,0)),0)</x:f>
        <x:v>0</x:v>
      </x:c>
      <x:c r="AE71" s="8" t="n">
        <x:f>IF(H71=1,MAX(1,MIN(INDEX(v01_Smax,G71),AE70+AD71)),AE70)</x:f>
        <x:v>1</x:v>
      </x:c>
      <x:c r="AF71" s="8" t="n">
        <x:f>MAX(0,AE71-AE70)</x:f>
        <x:v>0</x:v>
      </x:c>
      <x:c r="AG71" s="9" t="str">
        <x:f>IF(AF71&gt;0,B71,"")</x:f>
      </x:c>
      <x:c r="AH71" s="9" t="n">
        <x:f>IF(F71&gt;=1,1,(1+v01_LowTiesShare*(AE71-1))/AE71)</x:f>
        <x:v>1</x:v>
      </x:c>
      <x:c r="AI71" s="32" t="n">
        <x:f>(Z71+v01_ElderCommons*INDEX(LM_Elder,G71)*AA71)*AH71</x:f>
        <x:v>11.19959087921676</x:v>
      </x:c>
      <x:c r="AJ71" s="32" t="n">
        <x:f>H71*v01_CommonsCoef*AI71^v01_CommonsExp*INDEX(LM_Commons,G71)</x:f>
        <x:v>4.9053435325393915</x:v>
      </x:c>
      <x:c r="AK71" s="32" t="n">
        <x:f>H71*v01_RoleScale*Arch_Roles*(AE71*(INDEX(v01_ElderRolePerSett,G71)*v01_OutElder*INDEX(LM_Elder,G71)+INDEX(v01_ShamanPerSett,G71)*v01_OutShaman)+Z71*(INDEX(v01_PriestShare,G71)*v01_OutPriest+INDEX(v01_ScribeShare,G71)*v01_OutScribe*INDEX(LM_Scribe,G71)+INDEX(v01_ScholarShare,G71)*v01_OutScholar*INDEX(LM_Scholar,G71)+INDEX(v01_ResearcherShare,G71)*v01_OutResearcher*INDEX(LM_Researcher,G71)))</x:f>
        <x:v>0</x:v>
      </x:c>
      <x:c r="AL71" s="32" t="n">
        <x:f>H71*v01_RoleScale*Arch_Roles*AE71*INDEX(v01_MonasteryPerSett,G71)*v01_OutMonastery*INDEX(LM_Monastery,G71)</x:f>
        <x:v>0</x:v>
      </x:c>
      <x:c r="AM71" s="32" t="n">
        <x:f>(AJ71+AK71+AL71)/4*INDEX(LM_All,G71)*INDEX(v01_Boon,G71)*Arch_Insight</x:f>
        <x:v>1.2263358831348479</x:v>
      </x:c>
      <x:c r="AN71" s="32" t="n">
        <x:f>H71*(v01_KHPerAdult*Z71+v01_KHOfCommons*AJ71/4*INDEX(LM_All,G71))*v01_KHUsable*Arch_KH</x:f>
        <x:v>0.26037994093869476</x:v>
      </x:c>
      <x:c r="AO71" s="32" t="n">
        <x:f>MIN(AP70+AN71,AM71*v01_KHMaxRatio)</x:f>
        <x:v>0.26037994093869476</x:v>
      </x:c>
      <x:c r="AP71" s="32" t="n">
        <x:f>AP70+AN71-AO71</x:f>
        <x:v>0</x:v>
      </x:c>
      <x:c r="AQ71" s="32" t="n">
        <x:f>AM71+AO71</x:f>
        <x:v>1.4867158240735425</x:v>
      </x:c>
      <x:c r="AR71" s="10" t="n">
        <x:f>IF(H71=1,INDEX(v01_Req,G71),0)</x:f>
        <x:v>372.02</x:v>
      </x:c>
      <x:c r="AS71" s="32" t="n">
        <x:f>IF(H71=1,IF(E71=1,AS70-AR70,AS70)+AQ71,0)</x:f>
        <x:v>101.0144002994124</x:v>
      </x:c>
      <x:c r="AT71" s="11" t="n">
        <x:f>IF(AR71&gt;0,MIN(1,AS71/AR71),1)</x:f>
        <x:v>0.27152948846678243</x:v>
      </x:c>
      <x:c r="AU71" s="10" t="n">
        <x:f>AB71/INDEX(v01_RepScale,G71)</x:f>
        <x:v>15.32552260192443</x:v>
      </x:c>
      <x:c r="AV71" s="32" t="n">
        <x:f>AM71*60/v01_SeasonSeconds</x:f>
        <x:v>4.9053435325393915</x:v>
      </x:c>
    </x:row>
    <x:row r="72">
      <x:c r="A72" s="8" t="n">
        <x:f>A71+1</x:f>
        <x:v>69</x:v>
      </x:c>
      <x:c r="B72" s="9" t="n">
        <x:f>A72*v01_SeasonSeconds/60</x:f>
        <x:v>17.25</x:v>
      </x:c>
      <x:c r="C72" s="9" t="n">
        <x:f>A72/4</x:f>
        <x:v>17.25</x:v>
      </x:c>
      <x:c r="D72" s="8" t="n">
        <x:f>IF(MOD(A72,4)=0,1,0)</x:f>
        <x:v>0</x:v>
      </x:c>
      <x:c r="E72" s="8" t="n">
        <x:f>IF(AND(F71&lt;=9,AS71&gt;=AR71),1,0)</x:f>
        <x:v>0</x:v>
      </x:c>
      <x:c r="F72" s="8" t="n">
        <x:f>MIN(10,F71+E72)</x:f>
        <x:v>0</x:v>
      </x:c>
      <x:c r="G72" s="8" t="n">
        <x:f>MIN(F72,9)+1</x:f>
        <x:v>1</x:v>
      </x:c>
      <x:c r="H72" s="8" t="n">
        <x:f>IF(F72&lt;=9,1,0)</x:f>
        <x:v>1</x:v>
      </x:c>
      <x:c r="I72" s="9" t="n">
        <x:f>MIN(10,F71+IF(AR71&gt;0,MIN(1,AS71/AR71),1))</x:f>
        <x:v>0.27152948846678243</x:v>
      </x:c>
      <x:c r="J72" s="32" t="n">
        <x:f>INDEX(v01_FoodCap,G72)*Arch_FoodCap*EXP(v01_CapsByProject*SUMPRODUCT((Cap_Point&lt;=I72)*(Cap_Kind="Food")*Cap_Ln))</x:f>
        <x:v>22</x:v>
      </x:c>
      <x:c r="K72" s="32" t="n">
        <x:f>J72*MIN(1,v01_LeanBase*EXP(v01_CapsByProject*SUMPRODUCT((Cap_Point&lt;=I72)*(Cap_Kind="Lean")*Cap_Ln)))</x:f>
        <x:v>22</x:v>
      </x:c>
      <x:c r="L72" s="10" t="n">
        <x:f>INDEX(v01_HousingCap,G72)*EXP(v01_CapsByProject*SUMPRODUCT((Cap_Point&lt;=I72)*(Cap_Kind="Housing")*Cap_Ln))</x:f>
        <x:v>60</x:v>
      </x:c>
      <x:c r="M72" s="10" t="n">
        <x:f>INDEX(v01_GroupCap,G72)*v01_CohesionFactor*EXP(v01_CapsByProject*SUMPRODUCT((Cap_Point&lt;=I72)*(Cap_Kind="Group")*Cap_Ln))</x:f>
        <x:v>35</x:v>
      </x:c>
      <x:c r="N72" s="32" t="n">
        <x:f>MIN(J72,L72,M72)</x:f>
        <x:v>22</x:v>
      </x:c>
      <x:c r="O72" s="10" t="n">
        <x:f>AE71*N72</x:f>
        <x:v>22</x:v>
      </x:c>
      <x:c r="P72" s="9" t="n">
        <x:f>MIN(1,(AB71/(AE71*IF(v01_GroupInCrowding=1,N72,MIN(J72,L72))))^v01_CrowdingExp)</x:f>
        <x:v>0.11427616900088672</x:v>
      </x:c>
      <x:c r="Q72" s="9" t="n">
        <x:f>IF(D72=1,INDEX(v01_WinterMult,G72),1)</x:f>
        <x:v>1</x:v>
      </x:c>
      <x:c r="R72" s="9" t="n">
        <x:f>H72*Z71*v01_WomenShare*v01_BaseFertility*INDEX(v01_FertMult,G72)*Arch_Fertility*(1-P72)</x:f>
        <x:v>0.19767833040303734</x:v>
      </x:c>
      <x:c r="S72" s="9" t="n">
        <x:f>H72*Y71*INDEX(v01_MortChild,G72)/4*Q72</x:f>
        <x:v>0.06006013720334697</x:v>
      </x:c>
      <x:c r="T72" s="9" t="n">
        <x:f>H72*Z71*INDEX(v01_MortAdult,G72)*Arch_AdultMort/4*Q72</x:f>
        <x:v>0.02789785081486015</x:v>
      </x:c>
      <x:c r="U72" s="9" t="n">
        <x:f>H72*AA71*INDEX(v01_MortElder,G72)/4*Q72</x:f>
        <x:v>0.04700204994067569</x:v>
      </x:c>
      <x:c r="V72" s="9" t="n">
        <x:f>H72*MAX(0,AB71-O72)*v01_OvercapLoss</x:f>
        <x:v>0</x:v>
      </x:c>
      <x:c r="W72" s="9" t="n">
        <x:f>H72*Y71/(v01_ChildYears*4)</x:f>
        <x:v>0.10725024500597673</x:v>
      </x:c>
      <x:c r="X72" s="9" t="n">
        <x:f>H72*Z71/(v01_AdultYears*4)</x:f>
        <x:v>0.05999537809647344</x:v>
      </x:c>
      <x:c r="Y72" s="32" t="n">
        <x:f>Y71+R72-S72-W72-Y71*V72/AB71</x:f>
        <x:v>6.03638166852841</x:v>
      </x:c>
      <x:c r="Z72" s="32" t="n">
        <x:f>Z71+W72-X72-T72-Z71*V72/AB71</x:f>
        <x:v>7.458783900057351</x:v>
      </x:c>
      <x:c r="AA72" s="32" t="n">
        <x:f>AA71+X72-U72-AA71*V72/AB71</x:f>
        <x:v>1.8930753257828252</x:v>
      </x:c>
      <x:c r="AB72" s="10" t="n">
        <x:f>Y72+Z72+AA72</x:f>
        <x:v>15.388240894368586</x:v>
      </x:c>
      <x:c r="AC72" s="8" t="n">
        <x:f>IF(AND(v01_WinterTrigger=1,D72=1,AB71/AE71&gt;=K72),1,0)</x:f>
        <x:v>0</x:v>
      </x:c>
      <x:c r="AD72" s="8" t="n">
        <x:f>H72*IF(AND(OR(AB71/AE71&gt;=v01_FissionTrigger*N72,AC72=1),AB71/AE71*v01_DaughterShare&gt;=v01_MinDaughter),MAX(1,ROUND(AE71*v01_FissionRate,0)),0)</x:f>
        <x:v>0</x:v>
      </x:c>
      <x:c r="AE72" s="8" t="n">
        <x:f>IF(H72=1,MAX(1,MIN(INDEX(v01_Smax,G72),AE71+AD72)),AE71)</x:f>
        <x:v>1</x:v>
      </x:c>
      <x:c r="AF72" s="8" t="n">
        <x:f>MAX(0,AE72-AE71)</x:f>
        <x:v>0</x:v>
      </x:c>
      <x:c r="AG72" s="9" t="str">
        <x:f>IF(AF72&gt;0,B72,"")</x:f>
      </x:c>
      <x:c r="AH72" s="9" t="n">
        <x:f>IF(F72&gt;=1,1,(1+v01_LowTiesShare*(AE72-1))/AE72)</x:f>
        <x:v>1</x:v>
      </x:c>
      <x:c r="AI72" s="32" t="n">
        <x:f>(Z72+v01_ElderCommons*INDEX(LM_Elder,G72)*AA72)*AH72</x:f>
        <x:v>11.244934551623</x:v>
      </x:c>
      <x:c r="AJ72" s="32" t="n">
        <x:f>H72*v01_CommonsCoef*AI72^v01_CommonsExp*INDEX(LM_Commons,G72)</x:f>
        <x:v>4.92221959778882</x:v>
      </x:c>
      <x:c r="AK72" s="32" t="n">
        <x:f>H72*v01_RoleScale*Arch_Roles*(AE72*(INDEX(v01_ElderRolePerSett,G72)*v01_OutElder*INDEX(LM_Elder,G72)+INDEX(v01_ShamanPerSett,G72)*v01_OutShaman)+Z72*(INDEX(v01_PriestShare,G72)*v01_OutPriest+INDEX(v01_ScribeShare,G72)*v01_OutScribe*INDEX(LM_Scribe,G72)+INDEX(v01_ScholarShare,G72)*v01_OutScholar*INDEX(LM_Scholar,G72)+INDEX(v01_ResearcherShare,G72)*v01_OutResearcher*INDEX(LM_Researcher,G72)))</x:f>
        <x:v>0</x:v>
      </x:c>
      <x:c r="AL72" s="32" t="n">
        <x:f>H72*v01_RoleScale*Arch_Roles*AE72*INDEX(v01_MonasteryPerSett,G72)*v01_OutMonastery*INDEX(LM_Monastery,G72)</x:f>
        <x:v>0</x:v>
      </x:c>
      <x:c r="AM72" s="32" t="n">
        <x:f>(AJ72+AK72+AL72)/4*INDEX(LM_All,G72)*INDEX(v01_Boon,G72)*Arch_Insight</x:f>
        <x:v>1.230554899447205</x:v>
      </x:c>
      <x:c r="AN72" s="32" t="n">
        <x:f>H72*(v01_KHPerAdult*Z72+v01_KHOfCommons*AJ72/4*INDEX(LM_All,G72))*v01_KHUsable*Arch_KH</x:f>
        <x:v>0.26105743650200725</x:v>
      </x:c>
      <x:c r="AO72" s="32" t="n">
        <x:f>MIN(AP71+AN72,AM72*v01_KHMaxRatio)</x:f>
        <x:v>0.26105743650200725</x:v>
      </x:c>
      <x:c r="AP72" s="32" t="n">
        <x:f>AP71+AN72-AO72</x:f>
        <x:v>0</x:v>
      </x:c>
      <x:c r="AQ72" s="32" t="n">
        <x:f>AM72+AO72</x:f>
        <x:v>1.4916123359492124</x:v>
      </x:c>
      <x:c r="AR72" s="10" t="n">
        <x:f>IF(H72=1,INDEX(v01_Req,G72),0)</x:f>
        <x:v>372.02</x:v>
      </x:c>
      <x:c r="AS72" s="32" t="n">
        <x:f>IF(H72=1,IF(E72=1,AS71-AR71,AS71)+AQ72,0)</x:f>
        <x:v>102.50601263536161</x:v>
      </x:c>
      <x:c r="AT72" s="11" t="n">
        <x:f>IF(AR72&gt;0,MIN(1,AS72/AR72),1)</x:f>
        <x:v>0.2755389834830429</x:v>
      </x:c>
      <x:c r="AU72" s="10" t="n">
        <x:f>AB72/INDEX(v01_RepScale,G72)</x:f>
        <x:v>15.388240894368586</x:v>
      </x:c>
      <x:c r="AV72" s="32" t="n">
        <x:f>AM72*60/v01_SeasonSeconds</x:f>
        <x:v>4.92221959778882</x:v>
      </x:c>
    </x:row>
    <x:row r="73">
      <x:c r="A73" s="8" t="n">
        <x:f>A72+1</x:f>
        <x:v>70</x:v>
      </x:c>
      <x:c r="B73" s="9" t="n">
        <x:f>A73*v01_SeasonSeconds/60</x:f>
        <x:v>17.5</x:v>
      </x:c>
      <x:c r="C73" s="9" t="n">
        <x:f>A73/4</x:f>
        <x:v>17.5</x:v>
      </x:c>
      <x:c r="D73" s="8" t="n">
        <x:f>IF(MOD(A73,4)=0,1,0)</x:f>
        <x:v>0</x:v>
      </x:c>
      <x:c r="E73" s="8" t="n">
        <x:f>IF(AND(F72&lt;=9,AS72&gt;=AR72),1,0)</x:f>
        <x:v>0</x:v>
      </x:c>
      <x:c r="F73" s="8" t="n">
        <x:f>MIN(10,F72+E73)</x:f>
        <x:v>0</x:v>
      </x:c>
      <x:c r="G73" s="8" t="n">
        <x:f>MIN(F73,9)+1</x:f>
        <x:v>1</x:v>
      </x:c>
      <x:c r="H73" s="8" t="n">
        <x:f>IF(F73&lt;=9,1,0)</x:f>
        <x:v>1</x:v>
      </x:c>
      <x:c r="I73" s="9" t="n">
        <x:f>MIN(10,F72+IF(AR72&gt;0,MIN(1,AS72/AR72),1))</x:f>
        <x:v>0.2755389834830429</x:v>
      </x:c>
      <x:c r="J73" s="32" t="n">
        <x:f>INDEX(v01_FoodCap,G73)*Arch_FoodCap*EXP(v01_CapsByProject*SUMPRODUCT((Cap_Point&lt;=I73)*(Cap_Kind="Food")*Cap_Ln))</x:f>
        <x:v>22</x:v>
      </x:c>
      <x:c r="K73" s="32" t="n">
        <x:f>J73*MIN(1,v01_LeanBase*EXP(v01_CapsByProject*SUMPRODUCT((Cap_Point&lt;=I73)*(Cap_Kind="Lean")*Cap_Ln)))</x:f>
        <x:v>22</x:v>
      </x:c>
      <x:c r="L73" s="10" t="n">
        <x:f>INDEX(v01_HousingCap,G73)*EXP(v01_CapsByProject*SUMPRODUCT((Cap_Point&lt;=I73)*(Cap_Kind="Housing")*Cap_Ln))</x:f>
        <x:v>60</x:v>
      </x:c>
      <x:c r="M73" s="10" t="n">
        <x:f>INDEX(v01_GroupCap,G73)*v01_CohesionFactor*EXP(v01_CapsByProject*SUMPRODUCT((Cap_Point&lt;=I73)*(Cap_Kind="Group")*Cap_Ln))</x:f>
        <x:v>35</x:v>
      </x:c>
      <x:c r="N73" s="32" t="n">
        <x:f>MIN(J73,L73,M73)</x:f>
        <x:v>22</x:v>
      </x:c>
      <x:c r="O73" s="10" t="n">
        <x:f>AE72*N73</x:f>
        <x:v>22</x:v>
      </x:c>
      <x:c r="P73" s="9" t="n">
        <x:f>MIN(1,(AB72/(AE72*IF(v01_GroupInCrowding=1,N73,MIN(J73,L73))))^v01_CrowdingExp)</x:f>
        <x:v>0.11711102255310463</x:v>
      </x:c>
      <x:c r="Q73" s="9" t="n">
        <x:f>IF(D73=1,INDEX(v01_WinterMult,G73),1)</x:f>
        <x:v>1</x:v>
      </x:c>
      <x:c r="R73" s="9" t="n">
        <x:f>H73*Z72*v01_WomenShare*v01_BaseFertility*INDEX(v01_FertMult,G73)*Arch_Fertility*(1-P73)</x:f>
        <x:v>0.19755834271557</x:v>
      </x:c>
      <x:c r="S73" s="9" t="n">
        <x:f>H73*Y72*INDEX(v01_MortChild,G73)/4*Q73</x:f>
        <x:v>0.0603638166852841</x:v>
      </x:c>
      <x:c r="T73" s="9" t="n">
        <x:f>H73*Z72*INDEX(v01_MortAdult,G73)*Arch_AdultMort/4*Q73</x:f>
        <x:v>0.027970439625215063</x:v>
      </x:c>
      <x:c r="U73" s="9" t="n">
        <x:f>H73*AA72*INDEX(v01_MortElder,G73)/4*Q73</x:f>
        <x:v>0.04732688314457063</x:v>
      </x:c>
      <x:c r="V73" s="9" t="n">
        <x:f>H73*MAX(0,AB72-O73)*v01_OvercapLoss</x:f>
        <x:v>0</x:v>
      </x:c>
      <x:c r="W73" s="9" t="n">
        <x:f>H73*Y72/(v01_ChildYears*4)</x:f>
        <x:v>0.10779252979515018</x:v>
      </x:c>
      <x:c r="X73" s="9" t="n">
        <x:f>H73*Z72/(v01_AdultYears*4)</x:f>
        <x:v>0.06015148306497863</x:v>
      </x:c>
      <x:c r="Y73" s="32" t="n">
        <x:f>Y72+R73-S73-W73-Y72*V73/AB72</x:f>
        <x:v>6.065783664763545</x:v>
      </x:c>
      <x:c r="Z73" s="32" t="n">
        <x:f>Z72+W73-X73-T73-Z72*V73/AB72</x:f>
        <x:v>7.478454507162307</x:v>
      </x:c>
      <x:c r="AA73" s="32" t="n">
        <x:f>AA72+X73-U73-AA72*V73/AB72</x:f>
        <x:v>1.9058999257032332</x:v>
      </x:c>
      <x:c r="AB73" s="10" t="n">
        <x:f>Y73+Z73+AA73</x:f>
        <x:v>15.450138097629084</x:v>
      </x:c>
      <x:c r="AC73" s="8" t="n">
        <x:f>IF(AND(v01_WinterTrigger=1,D73=1,AB72/AE72&gt;=K73),1,0)</x:f>
        <x:v>0</x:v>
      </x:c>
      <x:c r="AD73" s="8" t="n">
        <x:f>H73*IF(AND(OR(AB72/AE72&gt;=v01_FissionTrigger*N73,AC73=1),AB72/AE72*v01_DaughterShare&gt;=v01_MinDaughter),MAX(1,ROUND(AE72*v01_FissionRate,0)),0)</x:f>
        <x:v>0</x:v>
      </x:c>
      <x:c r="AE73" s="8" t="n">
        <x:f>IF(H73=1,MAX(1,MIN(INDEX(v01_Smax,G73),AE72+AD73)),AE72)</x:f>
        <x:v>1</x:v>
      </x:c>
      <x:c r="AF73" s="8" t="n">
        <x:f>MAX(0,AE73-AE72)</x:f>
        <x:v>0</x:v>
      </x:c>
      <x:c r="AG73" s="9" t="str">
        <x:f>IF(AF73&gt;0,B73,"")</x:f>
      </x:c>
      <x:c r="AH73" s="9" t="n">
        <x:f>IF(F73&gt;=1,1,(1+v01_LowTiesShare*(AE73-1))/AE73)</x:f>
        <x:v>1</x:v>
      </x:c>
      <x:c r="AI73" s="32" t="n">
        <x:f>(Z73+v01_ElderCommons*INDEX(LM_Elder,G73)*AA73)*AH73</x:f>
        <x:v>11.290254358568774</x:v>
      </x:c>
      <x:c r="AJ73" s="32" t="n">
        <x:f>H73*v01_CommonsCoef*AI73^v01_CommonsExp*INDEX(LM_Commons,G73)</x:f>
        <x:v>4.939076584297969</x:v>
      </x:c>
      <x:c r="AK73" s="32" t="n">
        <x:f>H73*v01_RoleScale*Arch_Roles*(AE73*(INDEX(v01_ElderRolePerSett,G73)*v01_OutElder*INDEX(LM_Elder,G73)+INDEX(v01_ShamanPerSett,G73)*v01_OutShaman)+Z73*(INDEX(v01_PriestShare,G73)*v01_OutPriest+INDEX(v01_ScribeShare,G73)*v01_OutScribe*INDEX(LM_Scribe,G73)+INDEX(v01_ScholarShare,G73)*v01_OutScholar*INDEX(LM_Scholar,G73)+INDEX(v01_ResearcherShare,G73)*v01_OutResearcher*INDEX(LM_Researcher,G73)))</x:f>
        <x:v>0</x:v>
      </x:c>
      <x:c r="AL73" s="32" t="n">
        <x:f>H73*v01_RoleScale*Arch_Roles*AE73*INDEX(v01_MonasteryPerSett,G73)*v01_OutMonastery*INDEX(LM_Monastery,G73)</x:f>
        <x:v>0</x:v>
      </x:c>
      <x:c r="AM73" s="32" t="n">
        <x:f>(AJ73+AK73+AL73)/4*INDEX(LM_All,G73)*INDEX(v01_Boon,G73)*Arch_Insight</x:f>
        <x:v>1.2347691460744923</x:v>
      </x:c>
      <x:c r="AN73" s="32" t="n">
        <x:f>H73*(v01_KHPerAdult*Z73+v01_KHOfCommons*AJ73/4*INDEX(LM_All,G73))*v01_KHUsable*Arch_KH</x:f>
        <x:v>0.26174590775068074</x:v>
      </x:c>
      <x:c r="AO73" s="32" t="n">
        <x:f>MIN(AP72+AN73,AM73*v01_KHMaxRatio)</x:f>
        <x:v>0.26174590775068074</x:v>
      </x:c>
      <x:c r="AP73" s="32" t="n">
        <x:f>AP72+AN73-AO73</x:f>
        <x:v>0</x:v>
      </x:c>
      <x:c r="AQ73" s="32" t="n">
        <x:f>AM73+AO73</x:f>
        <x:v>1.496515053825173</x:v>
      </x:c>
      <x:c r="AR73" s="10" t="n">
        <x:f>IF(H73=1,INDEX(v01_Req,G73),0)</x:f>
        <x:v>372.02</x:v>
      </x:c>
      <x:c r="AS73" s="32" t="n">
        <x:f>IF(H73=1,IF(E73=1,AS72-AR72,AS72)+AQ73,0)</x:f>
        <x:v>104.00252768918679</x:v>
      </x:c>
      <x:c r="AT73" s="11" t="n">
        <x:f>IF(AR73&gt;0,MIN(1,AS73/AR73),1)</x:f>
        <x:v>0.2795616571399032</x:v>
      </x:c>
      <x:c r="AU73" s="10" t="n">
        <x:f>AB73/INDEX(v01_RepScale,G73)</x:f>
        <x:v>15.450138097629084</x:v>
      </x:c>
      <x:c r="AV73" s="32" t="n">
        <x:f>AM73*60/v01_SeasonSeconds</x:f>
        <x:v>4.939076584297969</x:v>
      </x:c>
    </x:row>
    <x:row r="74">
      <x:c r="A74" s="8" t="n">
        <x:f>A73+1</x:f>
        <x:v>71</x:v>
      </x:c>
      <x:c r="B74" s="9" t="n">
        <x:f>A74*v01_SeasonSeconds/60</x:f>
        <x:v>17.75</x:v>
      </x:c>
      <x:c r="C74" s="9" t="n">
        <x:f>A74/4</x:f>
        <x:v>17.75</x:v>
      </x:c>
      <x:c r="D74" s="8" t="n">
        <x:f>IF(MOD(A74,4)=0,1,0)</x:f>
        <x:v>0</x:v>
      </x:c>
      <x:c r="E74" s="8" t="n">
        <x:f>IF(AND(F73&lt;=9,AS73&gt;=AR73),1,0)</x:f>
        <x:v>0</x:v>
      </x:c>
      <x:c r="F74" s="8" t="n">
        <x:f>MIN(10,F73+E74)</x:f>
        <x:v>0</x:v>
      </x:c>
      <x:c r="G74" s="8" t="n">
        <x:f>MIN(F74,9)+1</x:f>
        <x:v>1</x:v>
      </x:c>
      <x:c r="H74" s="8" t="n">
        <x:f>IF(F74&lt;=9,1,0)</x:f>
        <x:v>1</x:v>
      </x:c>
      <x:c r="I74" s="9" t="n">
        <x:f>MIN(10,F73+IF(AR73&gt;0,MIN(1,AS73/AR73),1))</x:f>
        <x:v>0.2795616571399032</x:v>
      </x:c>
      <x:c r="J74" s="32" t="n">
        <x:f>INDEX(v01_FoodCap,G74)*Arch_FoodCap*EXP(v01_CapsByProject*SUMPRODUCT((Cap_Point&lt;=I74)*(Cap_Kind="Food")*Cap_Ln))</x:f>
        <x:v>22</x:v>
      </x:c>
      <x:c r="K74" s="32" t="n">
        <x:f>J74*MIN(1,v01_LeanBase*EXP(v01_CapsByProject*SUMPRODUCT((Cap_Point&lt;=I74)*(Cap_Kind="Lean")*Cap_Ln)))</x:f>
        <x:v>22</x:v>
      </x:c>
      <x:c r="L74" s="10" t="n">
        <x:f>INDEX(v01_HousingCap,G74)*EXP(v01_CapsByProject*SUMPRODUCT((Cap_Point&lt;=I74)*(Cap_Kind="Housing")*Cap_Ln))</x:f>
        <x:v>60</x:v>
      </x:c>
      <x:c r="M74" s="10" t="n">
        <x:f>INDEX(v01_GroupCap,G74)*v01_CohesionFactor*EXP(v01_CapsByProject*SUMPRODUCT((Cap_Point&lt;=I74)*(Cap_Kind="Group")*Cap_Ln))</x:f>
        <x:v>35</x:v>
      </x:c>
      <x:c r="N74" s="32" t="n">
        <x:f>MIN(J74,L74,M74)</x:f>
        <x:v>22</x:v>
      </x:c>
      <x:c r="O74" s="10" t="n">
        <x:f>AE73*N74</x:f>
        <x:v>22</x:v>
      </x:c>
      <x:c r="P74" s="9" t="n">
        <x:f>MIN(1,(AB73/(AE73*IF(v01_GroupInCrowding=1,N74,MIN(J74,L74))))^v01_CrowdingExp)</x:f>
        <x:v>0.11996598074546626</x:v>
      </x:c>
      <x:c r="Q74" s="9" t="n">
        <x:f>IF(D74=1,INDEX(v01_WinterMult,G74),1)</x:f>
        <x:v>1</x:v>
      </x:c>
      <x:c r="R74" s="9" t="n">
        <x:f>H74*Z73*v01_WomenShare*v01_BaseFertility*INDEX(v01_FertMult,G74)*Arch_Fertility*(1-P74)</x:f>
        <x:v>0.19743883133250684</x:v>
      </x:c>
      <x:c r="S74" s="9" t="n">
        <x:f>H74*Y73*INDEX(v01_MortChild,G74)/4*Q74</x:f>
        <x:v>0.06065783664763545</x:v>
      </x:c>
      <x:c r="T74" s="9" t="n">
        <x:f>H74*Z73*INDEX(v01_MortAdult,G74)*Arch_AdultMort/4*Q74</x:f>
        <x:v>0.02804420440185865</x:v>
      </x:c>
      <x:c r="U74" s="9" t="n">
        <x:f>H74*AA73*INDEX(v01_MortElder,G74)/4*Q74</x:f>
        <x:v>0.04764749814258083</x:v>
      </x:c>
      <x:c r="V74" s="9" t="n">
        <x:f>H74*MAX(0,AB73-O74)*v01_OvercapLoss</x:f>
        <x:v>0</x:v>
      </x:c>
      <x:c r="W74" s="9" t="n">
        <x:f>H74*Y73/(v01_ChildYears*4)</x:f>
        <x:v>0.10831756544220617</x:v>
      </x:c>
      <x:c r="X74" s="9" t="n">
        <x:f>H74*Z73/(v01_AdultYears*4)</x:f>
        <x:v>0.060310116993244414</x:v>
      </x:c>
      <x:c r="Y74" s="32" t="n">
        <x:f>Y73+R74-S74-W74-Y73*V74/AB73</x:f>
        <x:v>6.09424709400621</x:v>
      </x:c>
      <x:c r="Z74" s="32" t="n">
        <x:f>Z73+W74-X74-T74-Z73*V74/AB73</x:f>
        <x:v>7.49841775120941</x:v>
      </x:c>
      <x:c r="AA74" s="32" t="n">
        <x:f>AA73+X74-U74-AA73*V74/AB73</x:f>
        <x:v>1.918562544553897</x:v>
      </x:c>
      <x:c r="AB74" s="10" t="n">
        <x:f>Y74+Z74+AA74</x:f>
        <x:v>15.511227389769516</x:v>
      </x:c>
      <x:c r="AC74" s="8" t="n">
        <x:f>IF(AND(v01_WinterTrigger=1,D74=1,AB73/AE73&gt;=K74),1,0)</x:f>
        <x:v>0</x:v>
      </x:c>
      <x:c r="AD74" s="8" t="n">
        <x:f>H74*IF(AND(OR(AB73/AE73&gt;=v01_FissionTrigger*N74,AC74=1),AB73/AE73*v01_DaughterShare&gt;=v01_MinDaughter),MAX(1,ROUND(AE73*v01_FissionRate,0)),0)</x:f>
        <x:v>0</x:v>
      </x:c>
      <x:c r="AE74" s="8" t="n">
        <x:f>IF(H74=1,MAX(1,MIN(INDEX(v01_Smax,G74),AE73+AD74)),AE73)</x:f>
        <x:v>1</x:v>
      </x:c>
      <x:c r="AF74" s="8" t="n">
        <x:f>MAX(0,AE74-AE73)</x:f>
        <x:v>0</x:v>
      </x:c>
      <x:c r="AG74" s="9" t="str">
        <x:f>IF(AF74&gt;0,B74,"")</x:f>
      </x:c>
      <x:c r="AH74" s="9" t="n">
        <x:f>IF(F74&gt;=1,1,(1+v01_LowTiesShare*(AE74-1))/AE74)</x:f>
        <x:v>1</x:v>
      </x:c>
      <x:c r="AI74" s="32" t="n">
        <x:f>(Z74+v01_ElderCommons*INDEX(LM_Elder,G74)*AA74)*AH74</x:f>
        <x:v>11.335542840317204</x:v>
      </x:c>
      <x:c r="AJ74" s="32" t="n">
        <x:f>H74*v01_CommonsCoef*AI74^v01_CommonsExp*INDEX(LM_Commons,G74)</x:f>
        <x:v>4.955911782982017</x:v>
      </x:c>
      <x:c r="AK74" s="32" t="n">
        <x:f>H74*v01_RoleScale*Arch_Roles*(AE74*(INDEX(v01_ElderRolePerSett,G74)*v01_OutElder*INDEX(LM_Elder,G74)+INDEX(v01_ShamanPerSett,G74)*v01_OutShaman)+Z74*(INDEX(v01_PriestShare,G74)*v01_OutPriest+INDEX(v01_ScribeShare,G74)*v01_OutScribe*INDEX(LM_Scribe,G74)+INDEX(v01_ScholarShare,G74)*v01_OutScholar*INDEX(LM_Scholar,G74)+INDEX(v01_ResearcherShare,G74)*v01_OutResearcher*INDEX(LM_Researcher,G74)))</x:f>
        <x:v>0</x:v>
      </x:c>
      <x:c r="AL74" s="32" t="n">
        <x:f>H74*v01_RoleScale*Arch_Roles*AE74*INDEX(v01_MonasteryPerSett,G74)*v01_OutMonastery*INDEX(LM_Monastery,G74)</x:f>
        <x:v>0</x:v>
      </x:c>
      <x:c r="AM74" s="32" t="n">
        <x:f>(AJ74+AK74+AL74)/4*INDEX(LM_All,G74)*INDEX(v01_Boon,G74)*Arch_Insight</x:f>
        <x:v>1.2389779457455043</x:v>
      </x:c>
      <x:c r="AN74" s="32" t="n">
        <x:f>H74*(v01_KHPerAdult*Z74+v01_KHOfCommons*AJ74/4*INDEX(LM_All,G74))*v01_KHUsable*Arch_KH</x:f>
        <x:v>0.26244462129232937</x:v>
      </x:c>
      <x:c r="AO74" s="32" t="n">
        <x:f>MIN(AP73+AN74,AM74*v01_KHMaxRatio)</x:f>
        <x:v>0.26244462129232937</x:v>
      </x:c>
      <x:c r="AP74" s="32" t="n">
        <x:f>AP73+AN74-AO74</x:f>
        <x:v>0</x:v>
      </x:c>
      <x:c r="AQ74" s="32" t="n">
        <x:f>AM74+AO74</x:f>
        <x:v>1.5014225670378338</x:v>
      </x:c>
      <x:c r="AR74" s="10" t="n">
        <x:f>IF(H74=1,INDEX(v01_Req,G74),0)</x:f>
        <x:v>372.02</x:v>
      </x:c>
      <x:c r="AS74" s="32" t="n">
        <x:f>IF(H74=1,IF(E74=1,AS73-AR73,AS73)+AQ74,0)</x:f>
        <x:v>105.50395025622463</x:v>
      </x:c>
      <x:c r="AT74" s="11" t="n">
        <x:f>IF(AR74&gt;0,MIN(1,AS74/AR74),1)</x:f>
        <x:v>0.28359752232736046</x:v>
      </x:c>
      <x:c r="AU74" s="10" t="n">
        <x:f>AB74/INDEX(v01_RepScale,G74)</x:f>
        <x:v>15.511227389769516</x:v>
      </x:c>
      <x:c r="AV74" s="32" t="n">
        <x:f>AM74*60/v01_SeasonSeconds</x:f>
        <x:v>4.955911782982017</x:v>
      </x:c>
    </x:row>
    <x:row r="75">
      <x:c r="A75" s="8" t="n">
        <x:f>A74+1</x:f>
        <x:v>72</x:v>
      </x:c>
      <x:c r="B75" s="9" t="n">
        <x:f>A75*v01_SeasonSeconds/60</x:f>
        <x:v>18</x:v>
      </x:c>
      <x:c r="C75" s="9" t="n">
        <x:f>A75/4</x:f>
        <x:v>18</x:v>
      </x:c>
      <x:c r="D75" s="8" t="n">
        <x:f>IF(MOD(A75,4)=0,1,0)</x:f>
        <x:v>1</x:v>
      </x:c>
      <x:c r="E75" s="8" t="n">
        <x:f>IF(AND(F74&lt;=9,AS74&gt;=AR74),1,0)</x:f>
        <x:v>0</x:v>
      </x:c>
      <x:c r="F75" s="8" t="n">
        <x:f>MIN(10,F74+E75)</x:f>
        <x:v>0</x:v>
      </x:c>
      <x:c r="G75" s="8" t="n">
        <x:f>MIN(F75,9)+1</x:f>
        <x:v>1</x:v>
      </x:c>
      <x:c r="H75" s="8" t="n">
        <x:f>IF(F75&lt;=9,1,0)</x:f>
        <x:v>1</x:v>
      </x:c>
      <x:c r="I75" s="9" t="n">
        <x:f>MIN(10,F74+IF(AR74&gt;0,MIN(1,AS74/AR74),1))</x:f>
        <x:v>0.28359752232736046</x:v>
      </x:c>
      <x:c r="J75" s="32" t="n">
        <x:f>INDEX(v01_FoodCap,G75)*Arch_FoodCap*EXP(v01_CapsByProject*SUMPRODUCT((Cap_Point&lt;=I75)*(Cap_Kind="Food")*Cap_Ln))</x:f>
        <x:v>22</x:v>
      </x:c>
      <x:c r="K75" s="32" t="n">
        <x:f>J75*MIN(1,v01_LeanBase*EXP(v01_CapsByProject*SUMPRODUCT((Cap_Point&lt;=I75)*(Cap_Kind="Lean")*Cap_Ln)))</x:f>
        <x:v>22</x:v>
      </x:c>
      <x:c r="L75" s="10" t="n">
        <x:f>INDEX(v01_HousingCap,G75)*EXP(v01_CapsByProject*SUMPRODUCT((Cap_Point&lt;=I75)*(Cap_Kind="Housing")*Cap_Ln))</x:f>
        <x:v>60</x:v>
      </x:c>
      <x:c r="M75" s="10" t="n">
        <x:f>INDEX(v01_GroupCap,G75)*v01_CohesionFactor*EXP(v01_CapsByProject*SUMPRODUCT((Cap_Point&lt;=I75)*(Cap_Kind="Group")*Cap_Ln))</x:f>
        <x:v>35</x:v>
      </x:c>
      <x:c r="N75" s="32" t="n">
        <x:f>MIN(J75,L75,M75)</x:f>
        <x:v>22</x:v>
      </x:c>
      <x:c r="O75" s="10" t="n">
        <x:f>AE74*N75</x:f>
        <x:v>22</x:v>
      </x:c>
      <x:c r="P75" s="9" t="n">
        <x:f>MIN(1,(AB74/(AE74*IF(v01_GroupInCrowding=1,N75,MIN(J75,L75))))^v01_CrowdingExp)</x:f>
        <x:v>0.12284030954417129</x:v>
      </x:c>
      <x:c r="Q75" s="9" t="n">
        <x:f>IF(D75=1,INDEX(v01_WinterMult,G75),1)</x:f>
        <x:v>2</x:v>
      </x:c>
      <x:c r="R75" s="9" t="n">
        <x:f>H75*Z74*v01_WomenShare*v01_BaseFertility*INDEX(v01_FertMult,G75)*Arch_Fertility*(1-P75)</x:f>
        <x:v>0.19731929380678012</x:v>
      </x:c>
      <x:c r="S75" s="9" t="n">
        <x:f>H75*Y74*INDEX(v01_MortChild,G75)/4*Q75</x:f>
        <x:v>0.1218849418801242</x:v>
      </x:c>
      <x:c r="T75" s="9" t="n">
        <x:f>H75*Z74*INDEX(v01_MortAdult,G75)*Arch_AdultMort/4*Q75</x:f>
        <x:v>0.05623813313407058</x:v>
      </x:c>
      <x:c r="U75" s="9" t="n">
        <x:f>H75*AA74*INDEX(v01_MortElder,G75)/4*Q75</x:f>
        <x:v>0.09592812722769485</x:v>
      </x:c>
      <x:c r="V75" s="9" t="n">
        <x:f>H75*MAX(0,AB74-O75)*v01_OvercapLoss</x:f>
        <x:v>0</x:v>
      </x:c>
      <x:c r="W75" s="9" t="n">
        <x:f>H75*Y74/(v01_ChildYears*4)</x:f>
        <x:v>0.10882584096439661</x:v>
      </x:c>
      <x:c r="X75" s="9" t="n">
        <x:f>H75*Z74/(v01_AdultYears*4)</x:f>
        <x:v>0.06047111089685008</x:v>
      </x:c>
      <x:c r="Y75" s="32" t="n">
        <x:f>Y74+R75-S75-W75-Y74*V75/AB74</x:f>
        <x:v>6.06085560496847</x:v>
      </x:c>
      <x:c r="Z75" s="32" t="n">
        <x:f>Z74+W75-X75-T75-Z74*V75/AB74</x:f>
        <x:v>7.490534348142886</x:v>
      </x:c>
      <x:c r="AA75" s="32" t="n">
        <x:f>AA74+X75-U75-AA74*V75/AB74</x:f>
        <x:v>1.8831055282230522</x:v>
      </x:c>
      <x:c r="AB75" s="10" t="n">
        <x:f>Y75+Z75+AA75</x:f>
        <x:v>15.434495481334409</x:v>
      </x:c>
      <x:c r="AC75" s="8" t="n">
        <x:f>IF(AND(v01_WinterTrigger=1,D75=1,AB74/AE74&gt;=K75),1,0)</x:f>
        <x:v>0</x:v>
      </x:c>
      <x:c r="AD75" s="8" t="n">
        <x:f>H75*IF(AND(OR(AB74/AE74&gt;=v01_FissionTrigger*N75,AC75=1),AB74/AE74*v01_DaughterShare&gt;=v01_MinDaughter),MAX(1,ROUND(AE74*v01_FissionRate,0)),0)</x:f>
        <x:v>0</x:v>
      </x:c>
      <x:c r="AE75" s="8" t="n">
        <x:f>IF(H75=1,MAX(1,MIN(INDEX(v01_Smax,G75),AE74+AD75)),AE74)</x:f>
        <x:v>1</x:v>
      </x:c>
      <x:c r="AF75" s="8" t="n">
        <x:f>MAX(0,AE75-AE74)</x:f>
        <x:v>0</x:v>
      </x:c>
      <x:c r="AG75" s="9" t="str">
        <x:f>IF(AF75&gt;0,B75,"")</x:f>
      </x:c>
      <x:c r="AH75" s="9" t="n">
        <x:f>IF(F75&gt;=1,1,(1+v01_LowTiesShare*(AE75-1))/AE75)</x:f>
        <x:v>1</x:v>
      </x:c>
      <x:c r="AI75" s="32" t="n">
        <x:f>(Z75+v01_ElderCommons*INDEX(LM_Elder,G75)*AA75)*AH75</x:f>
        <x:v>11.25674540458899</x:v>
      </x:c>
      <x:c r="AJ75" s="32" t="n">
        <x:f>H75*v01_CommonsCoef*AI75^v01_CommonsExp*INDEX(LM_Commons,G75)</x:f>
        <x:v>4.926613698868053</x:v>
      </x:c>
      <x:c r="AK75" s="32" t="n">
        <x:f>H75*v01_RoleScale*Arch_Roles*(AE75*(INDEX(v01_ElderRolePerSett,G75)*v01_OutElder*INDEX(LM_Elder,G75)+INDEX(v01_ShamanPerSett,G75)*v01_OutShaman)+Z75*(INDEX(v01_PriestShare,G75)*v01_OutPriest+INDEX(v01_ScribeShare,G75)*v01_OutScribe*INDEX(LM_Scribe,G75)+INDEX(v01_ScholarShare,G75)*v01_OutScholar*INDEX(LM_Scholar,G75)+INDEX(v01_ResearcherShare,G75)*v01_OutResearcher*INDEX(LM_Researcher,G75)))</x:f>
        <x:v>0</x:v>
      </x:c>
      <x:c r="AL75" s="32" t="n">
        <x:f>H75*v01_RoleScale*Arch_Roles*AE75*INDEX(v01_MonasteryPerSett,G75)*v01_OutMonastery*INDEX(LM_Monastery,G75)</x:f>
        <x:v>0</x:v>
      </x:c>
      <x:c r="AM75" s="32" t="n">
        <x:f>(AJ75+AK75+AL75)/4*INDEX(LM_All,G75)*INDEX(v01_Boon,G75)*Arch_Insight</x:f>
        <x:v>1.2316534247170132</x:v>
      </x:c>
      <x:c r="AN75" s="32" t="n">
        <x:f>H75*(v01_KHPerAdult*Z75+v01_KHOfCommons*AJ75/4*INDEX(LM_All,G75))*v01_KHUsable*Arch_KH</x:f>
        <x:v>0.262168702185001</x:v>
      </x:c>
      <x:c r="AO75" s="32" t="n">
        <x:f>MIN(AP74+AN75,AM75*v01_KHMaxRatio)</x:f>
        <x:v>0.262168702185001</x:v>
      </x:c>
      <x:c r="AP75" s="32" t="n">
        <x:f>AP74+AN75-AO75</x:f>
        <x:v>0</x:v>
      </x:c>
      <x:c r="AQ75" s="32" t="n">
        <x:f>AM75+AO75</x:f>
        <x:v>1.4938221269020142</x:v>
      </x:c>
      <x:c r="AR75" s="10" t="n">
        <x:f>IF(H75=1,INDEX(v01_Req,G75),0)</x:f>
        <x:v>372.02</x:v>
      </x:c>
      <x:c r="AS75" s="32" t="n">
        <x:f>IF(H75=1,IF(E75=1,AS74-AR74,AS74)+AQ75,0)</x:f>
        <x:v>106.99777238312664</x:v>
      </x:c>
      <x:c r="AT75" s="11" t="n">
        <x:f>IF(AR75&gt;0,MIN(1,AS75/AR75),1)</x:f>
        <x:v>0.2876129573225274</x:v>
      </x:c>
      <x:c r="AU75" s="10" t="n">
        <x:f>AB75/INDEX(v01_RepScale,G75)</x:f>
        <x:v>15.434495481334409</x:v>
      </x:c>
      <x:c r="AV75" s="32" t="n">
        <x:f>AM75*60/v01_SeasonSeconds</x:f>
        <x:v>4.926613698868053</x:v>
      </x:c>
    </x:row>
    <x:row r="76">
      <x:c r="A76" s="8" t="n">
        <x:f>A75+1</x:f>
        <x:v>73</x:v>
      </x:c>
      <x:c r="B76" s="9" t="n">
        <x:f>A76*v01_SeasonSeconds/60</x:f>
        <x:v>18.25</x:v>
      </x:c>
      <x:c r="C76" s="9" t="n">
        <x:f>A76/4</x:f>
        <x:v>18.25</x:v>
      </x:c>
      <x:c r="D76" s="8" t="n">
        <x:f>IF(MOD(A76,4)=0,1,0)</x:f>
        <x:v>0</x:v>
      </x:c>
      <x:c r="E76" s="8" t="n">
        <x:f>IF(AND(F75&lt;=9,AS75&gt;=AR75),1,0)</x:f>
        <x:v>0</x:v>
      </x:c>
      <x:c r="F76" s="8" t="n">
        <x:f>MIN(10,F75+E76)</x:f>
        <x:v>0</x:v>
      </x:c>
      <x:c r="G76" s="8" t="n">
        <x:f>MIN(F76,9)+1</x:f>
        <x:v>1</x:v>
      </x:c>
      <x:c r="H76" s="8" t="n">
        <x:f>IF(F76&lt;=9,1,0)</x:f>
        <x:v>1</x:v>
      </x:c>
      <x:c r="I76" s="9" t="n">
        <x:f>MIN(10,F75+IF(AR75&gt;0,MIN(1,AS75/AR75),1))</x:f>
        <x:v>0.2876129573225274</x:v>
      </x:c>
      <x:c r="J76" s="32" t="n">
        <x:f>INDEX(v01_FoodCap,G76)*Arch_FoodCap*EXP(v01_CapsByProject*SUMPRODUCT((Cap_Point&lt;=I76)*(Cap_Kind="Food")*Cap_Ln))</x:f>
        <x:v>22</x:v>
      </x:c>
      <x:c r="K76" s="32" t="n">
        <x:f>J76*MIN(1,v01_LeanBase*EXP(v01_CapsByProject*SUMPRODUCT((Cap_Point&lt;=I76)*(Cap_Kind="Lean")*Cap_Ln)))</x:f>
        <x:v>22</x:v>
      </x:c>
      <x:c r="L76" s="10" t="n">
        <x:f>INDEX(v01_HousingCap,G76)*EXP(v01_CapsByProject*SUMPRODUCT((Cap_Point&lt;=I76)*(Cap_Kind="Housing")*Cap_Ln))</x:f>
        <x:v>60</x:v>
      </x:c>
      <x:c r="M76" s="10" t="n">
        <x:f>INDEX(v01_GroupCap,G76)*v01_CohesionFactor*EXP(v01_CapsByProject*SUMPRODUCT((Cap_Point&lt;=I76)*(Cap_Kind="Group")*Cap_Ln))</x:f>
        <x:v>35</x:v>
      </x:c>
      <x:c r="N76" s="32" t="n">
        <x:f>MIN(J76,L76,M76)</x:f>
        <x:v>22</x:v>
      </x:c>
      <x:c r="O76" s="10" t="n">
        <x:f>AE75*N76</x:f>
        <x:v>22</x:v>
      </x:c>
      <x:c r="P76" s="9" t="n">
        <x:f>MIN(1,(AB75/(AE75*IF(v01_GroupInCrowding=1,N76,MIN(J76,L76))))^v01_CrowdingExp)</x:f>
        <x:v>0.11923905974326435</x:v>
      </x:c>
      <x:c r="Q76" s="9" t="n">
        <x:f>IF(D76=1,INDEX(v01_WinterMult,G76),1)</x:f>
        <x:v>1</x:v>
      </x:c>
      <x:c r="R76" s="9" t="n">
        <x:f>H76*Z75*v01_WomenShare*v01_BaseFertility*INDEX(v01_FertMult,G76)*Arch_Fertility*(1-P76)</x:f>
        <x:v>0.19792110226487108</x:v>
      </x:c>
      <x:c r="S76" s="9" t="n">
        <x:f>H76*Y75*INDEX(v01_MortChild,G76)/4*Q76</x:f>
        <x:v>0.0606085560496847</x:v>
      </x:c>
      <x:c r="T76" s="9" t="n">
        <x:f>H76*Z75*INDEX(v01_MortAdult,G76)*Arch_AdultMort/4*Q76</x:f>
        <x:v>0.028089503805535824</x:v>
      </x:c>
      <x:c r="U76" s="9" t="n">
        <x:f>H76*AA75*INDEX(v01_MortElder,G76)/4*Q76</x:f>
        <x:v>0.04707763820557631</x:v>
      </x:c>
      <x:c r="V76" s="9" t="n">
        <x:f>H76*MAX(0,AB75-O76)*v01_OvercapLoss</x:f>
        <x:v>0</x:v>
      </x:c>
      <x:c r="W76" s="9" t="n">
        <x:f>H76*Y75/(v01_ChildYears*4)</x:f>
        <x:v>0.10822956437443697</x:v>
      </x:c>
      <x:c r="X76" s="9" t="n">
        <x:f>H76*Z75/(v01_AdultYears*4)</x:f>
        <x:v>0.06040753506566844</x:v>
      </x:c>
      <x:c r="Y76" s="32" t="n">
        <x:f>Y75+R76-S76-W76-Y75*V76/AB75</x:f>
        <x:v>6.08993858680922</x:v>
      </x:c>
      <x:c r="Z76" s="32" t="n">
        <x:f>Z75+W76-X76-T76-Z75*V76/AB75</x:f>
        <x:v>7.510266873646119</x:v>
      </x:c>
      <x:c r="AA76" s="32" t="n">
        <x:f>AA75+X76-U76-AA75*V76/AB75</x:f>
        <x:v>1.8964354250831446</x:v>
      </x:c>
      <x:c r="AB76" s="10" t="n">
        <x:f>Y76+Z76+AA76</x:f>
        <x:v>15.496640885538483</x:v>
      </x:c>
      <x:c r="AC76" s="8" t="n">
        <x:f>IF(AND(v01_WinterTrigger=1,D76=1,AB75/AE75&gt;=K76),1,0)</x:f>
        <x:v>0</x:v>
      </x:c>
      <x:c r="AD76" s="8" t="n">
        <x:f>H76*IF(AND(OR(AB75/AE75&gt;=v01_FissionTrigger*N76,AC76=1),AB75/AE75*v01_DaughterShare&gt;=v01_MinDaughter),MAX(1,ROUND(AE75*v01_FissionRate,0)),0)</x:f>
        <x:v>0</x:v>
      </x:c>
      <x:c r="AE76" s="8" t="n">
        <x:f>IF(H76=1,MAX(1,MIN(INDEX(v01_Smax,G76),AE75+AD76)),AE75)</x:f>
        <x:v>1</x:v>
      </x:c>
      <x:c r="AF76" s="8" t="n">
        <x:f>MAX(0,AE76-AE75)</x:f>
        <x:v>0</x:v>
      </x:c>
      <x:c r="AG76" s="9" t="str">
        <x:f>IF(AF76&gt;0,B76,"")</x:f>
      </x:c>
      <x:c r="AH76" s="9" t="n">
        <x:f>IF(F76&gt;=1,1,(1+v01_LowTiesShare*(AE76-1))/AE76)</x:f>
        <x:v>1</x:v>
      </x:c>
      <x:c r="AI76" s="32" t="n">
        <x:f>(Z76+v01_ElderCommons*INDEX(LM_Elder,G76)*AA76)*AH76</x:f>
        <x:v>11.303137723812409</x:v>
      </x:c>
      <x:c r="AJ76" s="32" t="n">
        <x:f>H76*v01_CommonsCoef*AI76^v01_CommonsExp*INDEX(LM_Commons,G76)</x:f>
        <x:v>4.943866778551776</x:v>
      </x:c>
      <x:c r="AK76" s="32" t="n">
        <x:f>H76*v01_RoleScale*Arch_Roles*(AE76*(INDEX(v01_ElderRolePerSett,G76)*v01_OutElder*INDEX(LM_Elder,G76)+INDEX(v01_ShamanPerSett,G76)*v01_OutShaman)+Z76*(INDEX(v01_PriestShare,G76)*v01_OutPriest+INDEX(v01_ScribeShare,G76)*v01_OutScribe*INDEX(LM_Scribe,G76)+INDEX(v01_ScholarShare,G76)*v01_OutScholar*INDEX(LM_Scholar,G76)+INDEX(v01_ResearcherShare,G76)*v01_OutResearcher*INDEX(LM_Researcher,G76)))</x:f>
        <x:v>0</x:v>
      </x:c>
      <x:c r="AL76" s="32" t="n">
        <x:f>H76*v01_RoleScale*Arch_Roles*AE76*INDEX(v01_MonasteryPerSett,G76)*v01_OutMonastery*INDEX(LM_Monastery,G76)</x:f>
        <x:v>0</x:v>
      </x:c>
      <x:c r="AM76" s="32" t="n">
        <x:f>(AJ76+AK76+AL76)/4*INDEX(LM_All,G76)*INDEX(v01_Boon,G76)*Arch_Insight</x:f>
        <x:v>1.235966694637944</x:v>
      </x:c>
      <x:c r="AN76" s="32" t="n">
        <x:f>H76*(v01_KHPerAdult*Z76+v01_KHOfCommons*AJ76/4*INDEX(LM_All,G76))*v01_KHUsable*Arch_KH</x:f>
        <x:v>0.2628593405776141</x:v>
      </x:c>
      <x:c r="AO76" s="32" t="n">
        <x:f>MIN(AP75+AN76,AM76*v01_KHMaxRatio)</x:f>
        <x:v>0.2628593405776141</x:v>
      </x:c>
      <x:c r="AP76" s="32" t="n">
        <x:f>AP75+AN76-AO76</x:f>
        <x:v>0</x:v>
      </x:c>
      <x:c r="AQ76" s="32" t="n">
        <x:f>AM76+AO76</x:f>
        <x:v>1.498826035215558</x:v>
      </x:c>
      <x:c r="AR76" s="10" t="n">
        <x:f>IF(H76=1,INDEX(v01_Req,G76),0)</x:f>
        <x:v>372.02</x:v>
      </x:c>
      <x:c r="AS76" s="32" t="n">
        <x:f>IF(H76=1,IF(E76=1,AS75-AR75,AS75)+AQ76,0)</x:f>
        <x:v>108.4965984183422</x:v>
      </x:c>
      <x:c r="AT76" s="11" t="n">
        <x:f>IF(AR76&gt;0,MIN(1,AS76/AR76),1)</x:f>
        <x:v>0.2916418429609758</x:v>
      </x:c>
      <x:c r="AU76" s="10" t="n">
        <x:f>AB76/INDEX(v01_RepScale,G76)</x:f>
        <x:v>15.496640885538483</x:v>
      </x:c>
      <x:c r="AV76" s="32" t="n">
        <x:f>AM76*60/v01_SeasonSeconds</x:f>
        <x:v>4.943866778551776</x:v>
      </x:c>
    </x:row>
    <x:row r="77">
      <x:c r="A77" s="8" t="n">
        <x:f>A76+1</x:f>
        <x:v>74</x:v>
      </x:c>
      <x:c r="B77" s="9" t="n">
        <x:f>A77*v01_SeasonSeconds/60</x:f>
        <x:v>18.5</x:v>
      </x:c>
      <x:c r="C77" s="9" t="n">
        <x:f>A77/4</x:f>
        <x:v>18.5</x:v>
      </x:c>
      <x:c r="D77" s="8" t="n">
        <x:f>IF(MOD(A77,4)=0,1,0)</x:f>
        <x:v>0</x:v>
      </x:c>
      <x:c r="E77" s="8" t="n">
        <x:f>IF(AND(F76&lt;=9,AS76&gt;=AR76),1,0)</x:f>
        <x:v>0</x:v>
      </x:c>
      <x:c r="F77" s="8" t="n">
        <x:f>MIN(10,F76+E77)</x:f>
        <x:v>0</x:v>
      </x:c>
      <x:c r="G77" s="8" t="n">
        <x:f>MIN(F77,9)+1</x:f>
        <x:v>1</x:v>
      </x:c>
      <x:c r="H77" s="8" t="n">
        <x:f>IF(F77&lt;=9,1,0)</x:f>
        <x:v>1</x:v>
      </x:c>
      <x:c r="I77" s="9" t="n">
        <x:f>MIN(10,F76+IF(AR76&gt;0,MIN(1,AS76/AR76),1))</x:f>
        <x:v>0.2916418429609758</x:v>
      </x:c>
      <x:c r="J77" s="32" t="n">
        <x:f>INDEX(v01_FoodCap,G77)*Arch_FoodCap*EXP(v01_CapsByProject*SUMPRODUCT((Cap_Point&lt;=I77)*(Cap_Kind="Food")*Cap_Ln))</x:f>
        <x:v>22</x:v>
      </x:c>
      <x:c r="K77" s="32" t="n">
        <x:f>J77*MIN(1,v01_LeanBase*EXP(v01_CapsByProject*SUMPRODUCT((Cap_Point&lt;=I77)*(Cap_Kind="Lean")*Cap_Ln)))</x:f>
        <x:v>22</x:v>
      </x:c>
      <x:c r="L77" s="10" t="n">
        <x:f>INDEX(v01_HousingCap,G77)*EXP(v01_CapsByProject*SUMPRODUCT((Cap_Point&lt;=I77)*(Cap_Kind="Housing")*Cap_Ln))</x:f>
        <x:v>60</x:v>
      </x:c>
      <x:c r="M77" s="10" t="n">
        <x:f>INDEX(v01_GroupCap,G77)*v01_CohesionFactor*EXP(v01_CapsByProject*SUMPRODUCT((Cap_Point&lt;=I77)*(Cap_Kind="Group")*Cap_Ln))</x:f>
        <x:v>35</x:v>
      </x:c>
      <x:c r="N77" s="32" t="n">
        <x:f>MIN(J77,L77,M77)</x:f>
        <x:v>22</x:v>
      </x:c>
      <x:c r="O77" s="10" t="n">
        <x:f>AE76*N77</x:f>
        <x:v>22</x:v>
      </x:c>
      <x:c r="P77" s="9" t="n">
        <x:f>MIN(1,(AB76/(AE76*IF(v01_GroupInCrowding=1,N77,MIN(J77,L77))))^v01_CrowdingExp)</x:f>
        <x:v>0.1221488348641356</x:v>
      </x:c>
      <x:c r="Q77" s="9" t="n">
        <x:f>IF(D77=1,INDEX(v01_WinterMult,G77),1)</x:f>
        <x:v>1</x:v>
      </x:c>
      <x:c r="R77" s="9" t="n">
        <x:f>H77*Z76*v01_WomenShare*v01_BaseFertility*INDEX(v01_FertMult,G77)*Arch_Fertility*(1-P77)</x:f>
        <x:v>0.19778689576534592</x:v>
      </x:c>
      <x:c r="S77" s="9" t="n">
        <x:f>H77*Y76*INDEX(v01_MortChild,G77)/4*Q77</x:f>
        <x:v>0.0608993858680922</x:v>
      </x:c>
      <x:c r="T77" s="9" t="n">
        <x:f>H77*Z76*INDEX(v01_MortAdult,G77)*Arch_AdultMort/4*Q77</x:f>
        <x:v>0.028163500776172943</x:v>
      </x:c>
      <x:c r="U77" s="9" t="n">
        <x:f>H77*AA76*INDEX(v01_MortElder,G77)/4*Q77</x:f>
        <x:v>0.04741088562707862</x:v>
      </x:c>
      <x:c r="V77" s="9" t="n">
        <x:f>H77*MAX(0,AB76-O77)*v01_OvercapLoss</x:f>
        <x:v>0</x:v>
      </x:c>
      <x:c r="W77" s="9" t="n">
        <x:f>H77*Y76/(v01_ChildYears*4)</x:f>
        <x:v>0.10874890333587893</x:v>
      </x:c>
      <x:c r="X77" s="9" t="n">
        <x:f>H77*Z76/(v01_AdultYears*4)</x:f>
        <x:v>0.0605666683358558</x:v>
      </x:c>
      <x:c r="Y77" s="32" t="n">
        <x:f>Y76+R77-S77-W77-Y76*V77/AB76</x:f>
        <x:v>6.118077193370595</x:v>
      </x:c>
      <x:c r="Z77" s="32" t="n">
        <x:f>Z76+W77-X77-T77-Z76*V77/AB76</x:f>
        <x:v>7.53028560786997</x:v>
      </x:c>
      <x:c r="AA77" s="32" t="n">
        <x:f>AA76+X77-U77-AA76*V77/AB76</x:f>
        <x:v>1.909591207791922</x:v>
      </x:c>
      <x:c r="AB77" s="10" t="n">
        <x:f>Y77+Z77+AA77</x:f>
        <x:v>15.557954009032485</x:v>
      </x:c>
      <x:c r="AC77" s="8" t="n">
        <x:f>IF(AND(v01_WinterTrigger=1,D77=1,AB76/AE76&gt;=K77),1,0)</x:f>
        <x:v>0</x:v>
      </x:c>
      <x:c r="AD77" s="8" t="n">
        <x:f>H77*IF(AND(OR(AB76/AE76&gt;=v01_FissionTrigger*N77,AC77=1),AB76/AE76*v01_DaughterShare&gt;=v01_MinDaughter),MAX(1,ROUND(AE76*v01_FissionRate,0)),0)</x:f>
        <x:v>0</x:v>
      </x:c>
      <x:c r="AE77" s="8" t="n">
        <x:f>IF(H77=1,MAX(1,MIN(INDEX(v01_Smax,G77),AE76+AD77)),AE76)</x:f>
        <x:v>1</x:v>
      </x:c>
      <x:c r="AF77" s="8" t="n">
        <x:f>MAX(0,AE77-AE76)</x:f>
        <x:v>0</x:v>
      </x:c>
      <x:c r="AG77" s="9" t="str">
        <x:f>IF(AF77&gt;0,B77,"")</x:f>
      </x:c>
      <x:c r="AH77" s="9" t="n">
        <x:f>IF(F77&gt;=1,1,(1+v01_LowTiesShare*(AE77-1))/AE77)</x:f>
        <x:v>1</x:v>
      </x:c>
      <x:c r="AI77" s="32" t="n">
        <x:f>(Z77+v01_ElderCommons*INDEX(LM_Elder,G77)*AA77)*AH77</x:f>
        <x:v>11.349468023453813</x:v>
      </x:c>
      <x:c r="AJ77" s="32" t="n">
        <x:f>H77*v01_CommonsCoef*AI77^v01_CommonsExp*INDEX(LM_Commons,G77)</x:f>
        <x:v>4.96108619598386</x:v>
      </x:c>
      <x:c r="AK77" s="32" t="n">
        <x:f>H77*v01_RoleScale*Arch_Roles*(AE77*(INDEX(v01_ElderRolePerSett,G77)*v01_OutElder*INDEX(LM_Elder,G77)+INDEX(v01_ShamanPerSett,G77)*v01_OutShaman)+Z77*(INDEX(v01_PriestShare,G77)*v01_OutPriest+INDEX(v01_ScribeShare,G77)*v01_OutScribe*INDEX(LM_Scribe,G77)+INDEX(v01_ScholarShare,G77)*v01_OutScholar*INDEX(LM_Scholar,G77)+INDEX(v01_ResearcherShare,G77)*v01_OutResearcher*INDEX(LM_Researcher,G77)))</x:f>
        <x:v>0</x:v>
      </x:c>
      <x:c r="AL77" s="32" t="n">
        <x:f>H77*v01_RoleScale*Arch_Roles*AE77*INDEX(v01_MonasteryPerSett,G77)*v01_OutMonastery*INDEX(LM_Monastery,G77)</x:f>
        <x:v>0</x:v>
      </x:c>
      <x:c r="AM77" s="32" t="n">
        <x:f>(AJ77+AK77+AL77)/4*INDEX(LM_All,G77)*INDEX(v01_Boon,G77)*Arch_Insight</x:f>
        <x:v>1.240271548995965</x:v>
      </x:c>
      <x:c r="AN77" s="32" t="n">
        <x:f>H77*(v01_KHPerAdult*Z77+v01_KHOfCommons*AJ77/4*INDEX(LM_All,G77))*v01_KHUsable*Arch_KH</x:f>
        <x:v>0.2635599962754489</x:v>
      </x:c>
      <x:c r="AO77" s="32" t="n">
        <x:f>MIN(AP76+AN77,AM77*v01_KHMaxRatio)</x:f>
        <x:v>0.2635599962754489</x:v>
      </x:c>
      <x:c r="AP77" s="32" t="n">
        <x:f>AP76+AN77-AO77</x:f>
        <x:v>0</x:v>
      </x:c>
      <x:c r="AQ77" s="32" t="n">
        <x:f>AM77+AO77</x:f>
        <x:v>1.503831545271414</x:v>
      </x:c>
      <x:c r="AR77" s="10" t="n">
        <x:f>IF(H77=1,INDEX(v01_Req,G77),0)</x:f>
        <x:v>372.02</x:v>
      </x:c>
      <x:c r="AS77" s="32" t="n">
        <x:f>IF(H77=1,IF(E77=1,AS76-AR76,AS76)+AQ77,0)</x:f>
        <x:v>110.00042996361361</x:v>
      </x:c>
      <x:c r="AT77" s="11" t="n">
        <x:f>IF(AR77&gt;0,MIN(1,AS77/AR77),1)</x:f>
        <x:v>0.29568418354823295</x:v>
      </x:c>
      <x:c r="AU77" s="10" t="n">
        <x:f>AB77/INDEX(v01_RepScale,G77)</x:f>
        <x:v>15.557954009032485</x:v>
      </x:c>
      <x:c r="AV77" s="32" t="n">
        <x:f>AM77*60/v01_SeasonSeconds</x:f>
        <x:v>4.961086195983861</x:v>
      </x:c>
    </x:row>
    <x:row r="78">
      <x:c r="A78" s="8" t="n">
        <x:f>A77+1</x:f>
        <x:v>75</x:v>
      </x:c>
      <x:c r="B78" s="9" t="n">
        <x:f>A78*v01_SeasonSeconds/60</x:f>
        <x:v>18.75</x:v>
      </x:c>
      <x:c r="C78" s="9" t="n">
        <x:f>A78/4</x:f>
        <x:v>18.75</x:v>
      </x:c>
      <x:c r="D78" s="8" t="n">
        <x:f>IF(MOD(A78,4)=0,1,0)</x:f>
        <x:v>0</x:v>
      </x:c>
      <x:c r="E78" s="8" t="n">
        <x:f>IF(AND(F77&lt;=9,AS77&gt;=AR77),1,0)</x:f>
        <x:v>0</x:v>
      </x:c>
      <x:c r="F78" s="8" t="n">
        <x:f>MIN(10,F77+E78)</x:f>
        <x:v>0</x:v>
      </x:c>
      <x:c r="G78" s="8" t="n">
        <x:f>MIN(F78,9)+1</x:f>
        <x:v>1</x:v>
      </x:c>
      <x:c r="H78" s="8" t="n">
        <x:f>IF(F78&lt;=9,1,0)</x:f>
        <x:v>1</x:v>
      </x:c>
      <x:c r="I78" s="9" t="n">
        <x:f>MIN(10,F77+IF(AR77&gt;0,MIN(1,AS77/AR77),1))</x:f>
        <x:v>0.29568418354823295</x:v>
      </x:c>
      <x:c r="J78" s="32" t="n">
        <x:f>INDEX(v01_FoodCap,G78)*Arch_FoodCap*EXP(v01_CapsByProject*SUMPRODUCT((Cap_Point&lt;=I78)*(Cap_Kind="Food")*Cap_Ln))</x:f>
        <x:v>22</x:v>
      </x:c>
      <x:c r="K78" s="32" t="n">
        <x:f>J78*MIN(1,v01_LeanBase*EXP(v01_CapsByProject*SUMPRODUCT((Cap_Point&lt;=I78)*(Cap_Kind="Lean")*Cap_Ln)))</x:f>
        <x:v>22</x:v>
      </x:c>
      <x:c r="L78" s="10" t="n">
        <x:f>INDEX(v01_HousingCap,G78)*EXP(v01_CapsByProject*SUMPRODUCT((Cap_Point&lt;=I78)*(Cap_Kind="Housing")*Cap_Ln))</x:f>
        <x:v>60</x:v>
      </x:c>
      <x:c r="M78" s="10" t="n">
        <x:f>INDEX(v01_GroupCap,G78)*v01_CohesionFactor*EXP(v01_CapsByProject*SUMPRODUCT((Cap_Point&lt;=I78)*(Cap_Kind="Group")*Cap_Ln))</x:f>
        <x:v>35</x:v>
      </x:c>
      <x:c r="N78" s="32" t="n">
        <x:f>MIN(J78,L78,M78)</x:f>
        <x:v>22</x:v>
      </x:c>
      <x:c r="O78" s="10" t="n">
        <x:f>AE77*N78</x:f>
        <x:v>22</x:v>
      </x:c>
      <x:c r="P78" s="9" t="n">
        <x:f>MIN(1,(AB77/(AE77*IF(v01_GroupInCrowding=1,N78,MIN(J78,L78))))^v01_CrowdingExp)</x:f>
        <x:v>0.1250773914009834</x:v>
      </x:c>
      <x:c r="Q78" s="9" t="n">
        <x:f>IF(D78=1,INDEX(v01_WinterMult,G78),1)</x:f>
        <x:v>1</x:v>
      </x:c>
      <x:c r="R78" s="9" t="n">
        <x:f>H78*Z77*v01_WomenShare*v01_BaseFertility*INDEX(v01_FertMult,G78)*Arch_Fertility*(1-P78)</x:f>
        <x:v>0.19765251382599675</x:v>
      </x:c>
      <x:c r="S78" s="9" t="n">
        <x:f>H78*Y77*INDEX(v01_MortChild,G78)/4*Q78</x:f>
        <x:v>0.06118077193370595</x:v>
      </x:c>
      <x:c r="T78" s="9" t="n">
        <x:f>H78*Z77*INDEX(v01_MortAdult,G78)*Arch_AdultMort/4*Q78</x:f>
        <x:v>0.028238571029512386</x:v>
      </x:c>
      <x:c r="U78" s="9" t="n">
        <x:f>H78*AA77*INDEX(v01_MortElder,G78)/4*Q78</x:f>
        <x:v>0.04773978019479805</x:v>
      </x:c>
      <x:c r="V78" s="9" t="n">
        <x:f>H78*MAX(0,AB77-O78)*v01_OvercapLoss</x:f>
        <x:v>0</x:v>
      </x:c>
      <x:c r="W78" s="9" t="n">
        <x:f>H78*Y77/(v01_ChildYears*4)</x:f>
        <x:v>0.10925137845304633</x:v>
      </x:c>
      <x:c r="X78" s="9" t="n">
        <x:f>H78*Z77/(v01_AdultYears*4)</x:f>
        <x:v>0.060728109740886854</x:v>
      </x:c>
      <x:c r="Y78" s="32" t="n">
        <x:f>Y77+R78-S78-W78-Y77*V78/AB77</x:f>
        <x:v>6.145297556809839</x:v>
      </x:c>
      <x:c r="Z78" s="32" t="n">
        <x:f>Z77+W78-X78-T78-Z77*V78/AB77</x:f>
        <x:v>7.5505703055526165</x:v>
      </x:c>
      <x:c r="AA78" s="32" t="n">
        <x:f>AA77+X78-U78-AA77*V78/AB77</x:f>
        <x:v>1.9225795373380108</x:v>
      </x:c>
      <x:c r="AB78" s="10" t="n">
        <x:f>Y78+Z78+AA78</x:f>
        <x:v>15.618447399700466</x:v>
      </x:c>
      <x:c r="AC78" s="8" t="n">
        <x:f>IF(AND(v01_WinterTrigger=1,D78=1,AB77/AE77&gt;=K78),1,0)</x:f>
        <x:v>0</x:v>
      </x:c>
      <x:c r="AD78" s="8" t="n">
        <x:f>H78*IF(AND(OR(AB77/AE77&gt;=v01_FissionTrigger*N78,AC78=1),AB77/AE77*v01_DaughterShare&gt;=v01_MinDaughter),MAX(1,ROUND(AE77*v01_FissionRate,0)),0)</x:f>
        <x:v>0</x:v>
      </x:c>
      <x:c r="AE78" s="8" t="n">
        <x:f>IF(H78=1,MAX(1,MIN(INDEX(v01_Smax,G78),AE77+AD78)),AE77)</x:f>
        <x:v>1</x:v>
      </x:c>
      <x:c r="AF78" s="8" t="n">
        <x:f>MAX(0,AE78-AE77)</x:f>
        <x:v>0</x:v>
      </x:c>
      <x:c r="AG78" s="9" t="str">
        <x:f>IF(AF78&gt;0,B78,"")</x:f>
      </x:c>
      <x:c r="AH78" s="9" t="n">
        <x:f>IF(F78&gt;=1,1,(1+v01_LowTiesShare*(AE78-1))/AE78)</x:f>
        <x:v>1</x:v>
      </x:c>
      <x:c r="AI78" s="32" t="n">
        <x:f>(Z78+v01_ElderCommons*INDEX(LM_Elder,G78)*AA78)*AH78</x:f>
        <x:v>11.395729380228637</x:v>
      </x:c>
      <x:c r="AJ78" s="32" t="n">
        <x:f>H78*v01_CommonsCoef*AI78^v01_CommonsExp*INDEX(LM_Commons,G78)</x:f>
        <x:v>4.978269472501727</x:v>
      </x:c>
      <x:c r="AK78" s="32" t="n">
        <x:f>H78*v01_RoleScale*Arch_Roles*(AE78*(INDEX(v01_ElderRolePerSett,G78)*v01_OutElder*INDEX(LM_Elder,G78)+INDEX(v01_ShamanPerSett,G78)*v01_OutShaman)+Z78*(INDEX(v01_PriestShare,G78)*v01_OutPriest+INDEX(v01_ScribeShare,G78)*v01_OutScribe*INDEX(LM_Scribe,G78)+INDEX(v01_ScholarShare,G78)*v01_OutScholar*INDEX(LM_Scholar,G78)+INDEX(v01_ResearcherShare,G78)*v01_OutResearcher*INDEX(LM_Researcher,G78)))</x:f>
        <x:v>0</x:v>
      </x:c>
      <x:c r="AL78" s="32" t="n">
        <x:f>H78*v01_RoleScale*Arch_Roles*AE78*INDEX(v01_MonasteryPerSett,G78)*v01_OutMonastery*INDEX(LM_Monastery,G78)</x:f>
        <x:v>0</x:v>
      </x:c>
      <x:c r="AM78" s="32" t="n">
        <x:f>(AJ78+AK78+AL78)/4*INDEX(LM_All,G78)*INDEX(v01_Boon,G78)*Arch_Insight</x:f>
        <x:v>1.2445673681254317</x:v>
      </x:c>
      <x:c r="AN78" s="32" t="n">
        <x:f>H78*(v01_KHPerAdult*Z78+v01_KHOfCommons*AJ78/4*INDEX(LM_All,G78))*v01_KHUsable*Arch_KH</x:f>
        <x:v>0.2642699606943416</x:v>
      </x:c>
      <x:c r="AO78" s="32" t="n">
        <x:f>MIN(AP77+AN78,AM78*v01_KHMaxRatio)</x:f>
        <x:v>0.2642699606943416</x:v>
      </x:c>
      <x:c r="AP78" s="32" t="n">
        <x:f>AP77+AN78-AO78</x:f>
        <x:v>0</x:v>
      </x:c>
      <x:c r="AQ78" s="32" t="n">
        <x:f>AM78+AO78</x:f>
        <x:v>1.5088373288197734</x:v>
      </x:c>
      <x:c r="AR78" s="10" t="n">
        <x:f>IF(H78=1,INDEX(v01_Req,G78),0)</x:f>
        <x:v>372.02</x:v>
      </x:c>
      <x:c r="AS78" s="32" t="n">
        <x:f>IF(H78=1,IF(E78=1,AS77-AR77,AS77)+AQ78,0)</x:f>
        <x:v>111.50926729243339</x:v>
      </x:c>
      <x:c r="AT78" s="11" t="n">
        <x:f>IF(AR78&gt;0,MIN(1,AS78/AR78),1)</x:f>
        <x:v>0.2997399798194543</x:v>
      </x:c>
      <x:c r="AU78" s="10" t="n">
        <x:f>AB78/INDEX(v01_RepScale,G78)</x:f>
        <x:v>15.618447399700466</x:v>
      </x:c>
      <x:c r="AV78" s="32" t="n">
        <x:f>AM78*60/v01_SeasonSeconds</x:f>
        <x:v>4.978269472501727</x:v>
      </x:c>
    </x:row>
    <x:row r="79">
      <x:c r="A79" s="8" t="n">
        <x:f>A78+1</x:f>
        <x:v>76</x:v>
      </x:c>
      <x:c r="B79" s="9" t="n">
        <x:f>A79*v01_SeasonSeconds/60</x:f>
        <x:v>19</x:v>
      </x:c>
      <x:c r="C79" s="9" t="n">
        <x:f>A79/4</x:f>
        <x:v>19</x:v>
      </x:c>
      <x:c r="D79" s="8" t="n">
        <x:f>IF(MOD(A79,4)=0,1,0)</x:f>
        <x:v>1</x:v>
      </x:c>
      <x:c r="E79" s="8" t="n">
        <x:f>IF(AND(F78&lt;=9,AS78&gt;=AR78),1,0)</x:f>
        <x:v>0</x:v>
      </x:c>
      <x:c r="F79" s="8" t="n">
        <x:f>MIN(10,F78+E79)</x:f>
        <x:v>0</x:v>
      </x:c>
      <x:c r="G79" s="8" t="n">
        <x:f>MIN(F79,9)+1</x:f>
        <x:v>1</x:v>
      </x:c>
      <x:c r="H79" s="8" t="n">
        <x:f>IF(F79&lt;=9,1,0)</x:f>
        <x:v>1</x:v>
      </x:c>
      <x:c r="I79" s="9" t="n">
        <x:f>MIN(10,F78+IF(AR78&gt;0,MIN(1,AS78/AR78),1))</x:f>
        <x:v>0.2997399798194543</x:v>
      </x:c>
      <x:c r="J79" s="32" t="n">
        <x:f>INDEX(v01_FoodCap,G79)*Arch_FoodCap*EXP(v01_CapsByProject*SUMPRODUCT((Cap_Point&lt;=I79)*(Cap_Kind="Food")*Cap_Ln))</x:f>
        <x:v>22</x:v>
      </x:c>
      <x:c r="K79" s="32" t="n">
        <x:f>J79*MIN(1,v01_LeanBase*EXP(v01_CapsByProject*SUMPRODUCT((Cap_Point&lt;=I79)*(Cap_Kind="Lean")*Cap_Ln)))</x:f>
        <x:v>22</x:v>
      </x:c>
      <x:c r="L79" s="10" t="n">
        <x:f>INDEX(v01_HousingCap,G79)*EXP(v01_CapsByProject*SUMPRODUCT((Cap_Point&lt;=I79)*(Cap_Kind="Housing")*Cap_Ln))</x:f>
        <x:v>60</x:v>
      </x:c>
      <x:c r="M79" s="10" t="n">
        <x:f>INDEX(v01_GroupCap,G79)*v01_CohesionFactor*EXP(v01_CapsByProject*SUMPRODUCT((Cap_Point&lt;=I79)*(Cap_Kind="Group")*Cap_Ln))</x:f>
        <x:v>35</x:v>
      </x:c>
      <x:c r="N79" s="32" t="n">
        <x:f>MIN(J79,L79,M79)</x:f>
        <x:v>22</x:v>
      </x:c>
      <x:c r="O79" s="10" t="n">
        <x:f>AE78*N79</x:f>
        <x:v>22</x:v>
      </x:c>
      <x:c r="P79" s="9" t="n">
        <x:f>MIN(1,(AB78/(AE78*IF(v01_GroupInCrowding=1,N79,MIN(J79,L79))))^v01_CrowdingExp)</x:f>
        <x:v>0.1280239052566663</x:v>
      </x:c>
      <x:c r="Q79" s="9" t="n">
        <x:f>IF(D79=1,INDEX(v01_WinterMult,G79),1)</x:f>
        <x:v>2</x:v>
      </x:c>
      <x:c r="R79" s="9" t="n">
        <x:f>H79*Z78*v01_WomenShare*v01_BaseFertility*INDEX(v01_FertMult,G79)*Arch_Fertility*(1-P79)</x:f>
        <x:v>0.19751750424362252</x:v>
      </x:c>
      <x:c r="S79" s="9" t="n">
        <x:f>H79*Y78*INDEX(v01_MortChild,G79)/4*Q79</x:f>
        <x:v>0.12290595113619679</x:v>
      </x:c>
      <x:c r="T79" s="9" t="n">
        <x:f>H79*Z78*INDEX(v01_MortAdult,G79)*Arch_AdultMort/4*Q79</x:f>
        <x:v>0.056629277291644624</x:v>
      </x:c>
      <x:c r="U79" s="9" t="n">
        <x:f>H79*AA78*INDEX(v01_MortElder,G79)/4*Q79</x:f>
        <x:v>0.09612897686690054</x:v>
      </x:c>
      <x:c r="V79" s="9" t="n">
        <x:f>H79*MAX(0,AB78-O79)*v01_OvercapLoss</x:f>
        <x:v>0</x:v>
      </x:c>
      <x:c r="W79" s="9" t="n">
        <x:f>H79*Y78/(v01_ChildYears*4)</x:f>
        <x:v>0.10973745637160427</x:v>
      </x:c>
      <x:c r="X79" s="9" t="n">
        <x:f>H79*Z78/(v01_AdultYears*4)</x:f>
        <x:v>0.060891696012521104</x:v>
      </x:c>
      <x:c r="Y79" s="32" t="n">
        <x:f>Y78+R79-S79-W79-Y78*V79/AB78</x:f>
        <x:v>6.1101716535456605</x:v>
      </x:c>
      <x:c r="Z79" s="32" t="n">
        <x:f>Z78+W79-X79-T79-Z78*V79/AB78</x:f>
        <x:v>7.542786788620055</x:v>
      </x:c>
      <x:c r="AA79" s="32" t="n">
        <x:f>AA78+X79-U79-AA78*V79/AB78</x:f>
        <x:v>1.8873422564836315</x:v>
      </x:c>
      <x:c r="AB79" s="10" t="n">
        <x:f>Y79+Z79+AA79</x:f>
        <x:v>15.540300698649347</x:v>
      </x:c>
      <x:c r="AC79" s="8" t="n">
        <x:f>IF(AND(v01_WinterTrigger=1,D79=1,AB78/AE78&gt;=K79),1,0)</x:f>
        <x:v>0</x:v>
      </x:c>
      <x:c r="AD79" s="8" t="n">
        <x:f>H79*IF(AND(OR(AB78/AE78&gt;=v01_FissionTrigger*N79,AC79=1),AB78/AE78*v01_DaughterShare&gt;=v01_MinDaughter),MAX(1,ROUND(AE78*v01_FissionRate,0)),0)</x:f>
        <x:v>0</x:v>
      </x:c>
      <x:c r="AE79" s="8" t="n">
        <x:f>IF(H79=1,MAX(1,MIN(INDEX(v01_Smax,G79),AE78+AD79)),AE78)</x:f>
        <x:v>1</x:v>
      </x:c>
      <x:c r="AF79" s="8" t="n">
        <x:f>MAX(0,AE79-AE78)</x:f>
        <x:v>0</x:v>
      </x:c>
      <x:c r="AG79" s="9" t="str">
        <x:f>IF(AF79&gt;0,B79,"")</x:f>
      </x:c>
      <x:c r="AH79" s="9" t="n">
        <x:f>IF(F79&gt;=1,1,(1+v01_LowTiesShare*(AE79-1))/AE79)</x:f>
        <x:v>1</x:v>
      </x:c>
      <x:c r="AI79" s="32" t="n">
        <x:f>(Z79+v01_ElderCommons*INDEX(LM_Elder,G79)*AA79)*AH79</x:f>
        <x:v>11.317471301587318</x:v>
      </x:c>
      <x:c r="AJ79" s="32" t="n">
        <x:f>H79*v01_CommonsCoef*AI79^v01_CommonsExp*INDEX(LM_Commons,G79)</x:f>
        <x:v>4.949195217404136</x:v>
      </x:c>
      <x:c r="AK79" s="32" t="n">
        <x:f>H79*v01_RoleScale*Arch_Roles*(AE79*(INDEX(v01_ElderRolePerSett,G79)*v01_OutElder*INDEX(LM_Elder,G79)+INDEX(v01_ShamanPerSett,G79)*v01_OutShaman)+Z79*(INDEX(v01_PriestShare,G79)*v01_OutPriest+INDEX(v01_ScribeShare,G79)*v01_OutScribe*INDEX(LM_Scribe,G79)+INDEX(v01_ScholarShare,G79)*v01_OutScholar*INDEX(LM_Scholar,G79)+INDEX(v01_ResearcherShare,G79)*v01_OutResearcher*INDEX(LM_Researcher,G79)))</x:f>
        <x:v>0</x:v>
      </x:c>
      <x:c r="AL79" s="32" t="n">
        <x:f>H79*v01_RoleScale*Arch_Roles*AE79*INDEX(v01_MonasteryPerSett,G79)*v01_OutMonastery*INDEX(LM_Monastery,G79)</x:f>
        <x:v>0</x:v>
      </x:c>
      <x:c r="AM79" s="32" t="n">
        <x:f>(AJ79+AK79+AL79)/4*INDEX(LM_All,G79)*INDEX(v01_Boon,G79)*Arch_Insight</x:f>
        <x:v>1.237298804351034</x:v>
      </x:c>
      <x:c r="AN79" s="32" t="n">
        <x:f>H79*(v01_KHPerAdult*Z79+v01_KHOfCommons*AJ79/4*INDEX(LM_All,G79))*v01_KHUsable*Arch_KH</x:f>
        <x:v>0.2639975376017019</x:v>
      </x:c>
      <x:c r="AO79" s="32" t="n">
        <x:f>MIN(AP78+AN79,AM79*v01_KHMaxRatio)</x:f>
        <x:v>0.2639975376017019</x:v>
      </x:c>
      <x:c r="AP79" s="32" t="n">
        <x:f>AP78+AN79-AO79</x:f>
        <x:v>0</x:v>
      </x:c>
      <x:c r="AQ79" s="32" t="n">
        <x:f>AM79+AO79</x:f>
        <x:v>1.5012963419527359</x:v>
      </x:c>
      <x:c r="AR79" s="10" t="n">
        <x:f>IF(H79=1,INDEX(v01_Req,G79),0)</x:f>
        <x:v>372.02</x:v>
      </x:c>
      <x:c r="AS79" s="32" t="n">
        <x:f>IF(H79=1,IF(E79=1,AS78-AR78,AS78)+AQ79,0)</x:f>
        <x:v>113.01056363438613</x:v>
      </x:c>
      <x:c r="AT79" s="11" t="n">
        <x:f>IF(AR79&gt;0,MIN(1,AS79/AR79),1)</x:f>
        <x:v>0.3037755057104084</x:v>
      </x:c>
      <x:c r="AU79" s="10" t="n">
        <x:f>AB79/INDEX(v01_RepScale,G79)</x:f>
        <x:v>15.540300698649347</x:v>
      </x:c>
      <x:c r="AV79" s="32" t="n">
        <x:f>AM79*60/v01_SeasonSeconds</x:f>
        <x:v>4.949195217404136</x:v>
      </x:c>
    </x:row>
    <x:row r="80">
      <x:c r="A80" s="8" t="n">
        <x:f>A79+1</x:f>
        <x:v>77</x:v>
      </x:c>
      <x:c r="B80" s="9" t="n">
        <x:f>A80*v01_SeasonSeconds/60</x:f>
        <x:v>19.25</x:v>
      </x:c>
      <x:c r="C80" s="9" t="n">
        <x:f>A80/4</x:f>
        <x:v>19.25</x:v>
      </x:c>
      <x:c r="D80" s="8" t="n">
        <x:f>IF(MOD(A80,4)=0,1,0)</x:f>
        <x:v>0</x:v>
      </x:c>
      <x:c r="E80" s="8" t="n">
        <x:f>IF(AND(F79&lt;=9,AS79&gt;=AR79),1,0)</x:f>
        <x:v>0</x:v>
      </x:c>
      <x:c r="F80" s="8" t="n">
        <x:f>MIN(10,F79+E80)</x:f>
        <x:v>0</x:v>
      </x:c>
      <x:c r="G80" s="8" t="n">
        <x:f>MIN(F80,9)+1</x:f>
        <x:v>1</x:v>
      </x:c>
      <x:c r="H80" s="8" t="n">
        <x:f>IF(F80&lt;=9,1,0)</x:f>
        <x:v>1</x:v>
      </x:c>
      <x:c r="I80" s="9" t="n">
        <x:f>MIN(10,F79+IF(AR79&gt;0,MIN(1,AS79/AR79),1))</x:f>
        <x:v>0.3037755057104084</x:v>
      </x:c>
      <x:c r="J80" s="32" t="n">
        <x:f>INDEX(v01_FoodCap,G80)*Arch_FoodCap*EXP(v01_CapsByProject*SUMPRODUCT((Cap_Point&lt;=I80)*(Cap_Kind="Food")*Cap_Ln))</x:f>
        <x:v>22</x:v>
      </x:c>
      <x:c r="K80" s="32" t="n">
        <x:f>J80*MIN(1,v01_LeanBase*EXP(v01_CapsByProject*SUMPRODUCT((Cap_Point&lt;=I80)*(Cap_Kind="Lean")*Cap_Ln)))</x:f>
        <x:v>22</x:v>
      </x:c>
      <x:c r="L80" s="10" t="n">
        <x:f>INDEX(v01_HousingCap,G80)*EXP(v01_CapsByProject*SUMPRODUCT((Cap_Point&lt;=I80)*(Cap_Kind="Housing")*Cap_Ln))</x:f>
        <x:v>60</x:v>
      </x:c>
      <x:c r="M80" s="10" t="n">
        <x:f>INDEX(v01_GroupCap,G80)*v01_CohesionFactor*EXP(v01_CapsByProject*SUMPRODUCT((Cap_Point&lt;=I80)*(Cap_Kind="Group")*Cap_Ln))</x:f>
        <x:v>35</x:v>
      </x:c>
      <x:c r="N80" s="32" t="n">
        <x:f>MIN(J80,L80,M80)</x:f>
        <x:v>22</x:v>
      </x:c>
      <x:c r="O80" s="10" t="n">
        <x:f>AE79*N80</x:f>
        <x:v>22</x:v>
      </x:c>
      <x:c r="P80" s="9" t="n">
        <x:f>MIN(1,(AB79/(AE79*IF(v01_GroupInCrowding=1,N80,MIN(J80,L80))))^v01_CrowdingExp)</x:f>
        <x:v>0.1242282658836732</x:v>
      </x:c>
      <x:c r="Q80" s="9" t="n">
        <x:f>IF(D80=1,INDEX(v01_WinterMult,G80),1)</x:f>
        <x:v>1</x:v>
      </x:c>
      <x:c r="R80" s="9" t="n">
        <x:f>H80*Z79*v01_WomenShare*v01_BaseFertility*INDEX(v01_FertMult,G80)*Arch_Fertility*(1-P80)</x:f>
        <x:v>0.19817278397818516</x:v>
      </x:c>
      <x:c r="S80" s="9" t="n">
        <x:f>H80*Y79*INDEX(v01_MortChild,G80)/4*Q80</x:f>
        <x:v>0.0611017165354566</x:v>
      </x:c>
      <x:c r="T80" s="9" t="n">
        <x:f>H80*Z79*INDEX(v01_MortAdult,G80)*Arch_AdultMort/4*Q80</x:f>
        <x:v>0.028285450457325206</x:v>
      </x:c>
      <x:c r="U80" s="9" t="n">
        <x:f>H80*AA79*INDEX(v01_MortElder,G80)/4*Q80</x:f>
        <x:v>0.047183556412090794</x:v>
      </x:c>
      <x:c r="V80" s="9" t="n">
        <x:f>H80*MAX(0,AB79-O80)*v01_OvercapLoss</x:f>
        <x:v>0</x:v>
      </x:c>
      <x:c r="W80" s="9" t="n">
        <x:f>H80*Y79/(v01_ChildYears*4)</x:f>
        <x:v>0.10911020809902965</x:v>
      </x:c>
      <x:c r="X80" s="9" t="n">
        <x:f>H80*Z79/(v01_AdultYears*4)</x:f>
        <x:v>0.060828925714677864</x:v>
      </x:c>
      <x:c r="Y80" s="32" t="n">
        <x:f>Y79+R80-S80-W80-Y79*V80/AB79</x:f>
        <x:v>6.138132512889359</x:v>
      </x:c>
      <x:c r="Z80" s="32" t="n">
        <x:f>Z79+W80-X80-T80-Z79*V80/AB79</x:f>
        <x:v>7.562782620547082</x:v>
      </x:c>
      <x:c r="AA80" s="32" t="n">
        <x:f>AA79+X80-U80-AA79*V80/AB79</x:f>
        <x:v>1.9009876257862186</x:v>
      </x:c>
      <x:c r="AB80" s="10" t="n">
        <x:f>Y80+Z80+AA80</x:f>
        <x:v>15.601902759222659</x:v>
      </x:c>
      <x:c r="AC80" s="8" t="n">
        <x:f>IF(AND(v01_WinterTrigger=1,D80=1,AB79/AE79&gt;=K80),1,0)</x:f>
        <x:v>0</x:v>
      </x:c>
      <x:c r="AD80" s="8" t="n">
        <x:f>H80*IF(AND(OR(AB79/AE79&gt;=v01_FissionTrigger*N80,AC80=1),AB79/AE79*v01_DaughterShare&gt;=v01_MinDaughter),MAX(1,ROUND(AE79*v01_FissionRate,0)),0)</x:f>
        <x:v>0</x:v>
      </x:c>
      <x:c r="AE80" s="8" t="n">
        <x:f>IF(H80=1,MAX(1,MIN(INDEX(v01_Smax,G80),AE79+AD80)),AE79)</x:f>
        <x:v>1</x:v>
      </x:c>
      <x:c r="AF80" s="8" t="n">
        <x:f>MAX(0,AE80-AE79)</x:f>
        <x:v>0</x:v>
      </x:c>
      <x:c r="AG80" s="9" t="str">
        <x:f>IF(AF80&gt;0,B80,"")</x:f>
      </x:c>
      <x:c r="AH80" s="9" t="n">
        <x:f>IF(F80&gt;=1,1,(1+v01_LowTiesShare*(AE80-1))/AE80)</x:f>
        <x:v>1</x:v>
      </x:c>
      <x:c r="AI80" s="32" t="n">
        <x:f>(Z80+v01_ElderCommons*INDEX(LM_Elder,G80)*AA80)*AH80</x:f>
        <x:v>11.364757872119519</x:v>
      </x:c>
      <x:c r="AJ80" s="32" t="n">
        <x:f>H80*v01_CommonsCoef*AI80^v01_CommonsExp*INDEX(LM_Commons,G80)</x:f>
        <x:v>4.966766603841611</x:v>
      </x:c>
      <x:c r="AK80" s="32" t="n">
        <x:f>H80*v01_RoleScale*Arch_Roles*(AE80*(INDEX(v01_ElderRolePerSett,G80)*v01_OutElder*INDEX(LM_Elder,G80)+INDEX(v01_ShamanPerSett,G80)*v01_OutShaman)+Z80*(INDEX(v01_PriestShare,G80)*v01_OutPriest+INDEX(v01_ScribeShare,G80)*v01_OutScribe*INDEX(LM_Scribe,G80)+INDEX(v01_ScholarShare,G80)*v01_OutScholar*INDEX(LM_Scholar,G80)+INDEX(v01_ResearcherShare,G80)*v01_OutResearcher*INDEX(LM_Researcher,G80)))</x:f>
        <x:v>0</x:v>
      </x:c>
      <x:c r="AL80" s="32" t="n">
        <x:f>H80*v01_RoleScale*Arch_Roles*AE80*INDEX(v01_MonasteryPerSett,G80)*v01_OutMonastery*INDEX(LM_Monastery,G80)</x:f>
        <x:v>0</x:v>
      </x:c>
      <x:c r="AM80" s="32" t="n">
        <x:f>(AJ80+AK80+AL80)/4*INDEX(LM_All,G80)*INDEX(v01_Boon,G80)*Arch_Insight</x:f>
        <x:v>1.2416916509604028</x:v>
      </x:c>
      <x:c r="AN80" s="32" t="n">
        <x:f>H80*(v01_KHPerAdult*Z80+v01_KHOfCommons*AJ80/4*INDEX(LM_All,G80))*v01_KHUsable*Arch_KH</x:f>
        <x:v>0.26469739171914786</x:v>
      </x:c>
      <x:c r="AO80" s="32" t="n">
        <x:f>MIN(AP79+AN80,AM80*v01_KHMaxRatio)</x:f>
        <x:v>0.26469739171914786</x:v>
      </x:c>
      <x:c r="AP80" s="32" t="n">
        <x:f>AP79+AN80-AO80</x:f>
        <x:v>0</x:v>
      </x:c>
      <x:c r="AQ80" s="32" t="n">
        <x:f>AM80+AO80</x:f>
        <x:v>1.5063890426795505</x:v>
      </x:c>
      <x:c r="AR80" s="10" t="n">
        <x:f>IF(H80=1,INDEX(v01_Req,G80),0)</x:f>
        <x:v>372.02</x:v>
      </x:c>
      <x:c r="AS80" s="32" t="n">
        <x:f>IF(H80=1,IF(E80=1,AS79-AR79,AS79)+AQ80,0)</x:f>
        <x:v>114.51695267706567</x:v>
      </x:c>
      <x:c r="AT80" s="11" t="n">
        <x:f>IF(AR80&gt;0,MIN(1,AS80/AR80),1)</x:f>
        <x:v>0.3078247209210948</x:v>
      </x:c>
      <x:c r="AU80" s="10" t="n">
        <x:f>AB80/INDEX(v01_RepScale,G80)</x:f>
        <x:v>15.601902759222659</x:v>
      </x:c>
      <x:c r="AV80" s="32" t="n">
        <x:f>AM80*60/v01_SeasonSeconds</x:f>
        <x:v>4.966766603841611</x:v>
      </x:c>
    </x:row>
    <x:row r="81">
      <x:c r="A81" s="8" t="n">
        <x:f>A80+1</x:f>
        <x:v>78</x:v>
      </x:c>
      <x:c r="B81" s="9" t="n">
        <x:f>A81*v01_SeasonSeconds/60</x:f>
        <x:v>19.5</x:v>
      </x:c>
      <x:c r="C81" s="9" t="n">
        <x:f>A81/4</x:f>
        <x:v>19.5</x:v>
      </x:c>
      <x:c r="D81" s="8" t="n">
        <x:f>IF(MOD(A81,4)=0,1,0)</x:f>
        <x:v>0</x:v>
      </x:c>
      <x:c r="E81" s="8" t="n">
        <x:f>IF(AND(F80&lt;=9,AS80&gt;=AR80),1,0)</x:f>
        <x:v>0</x:v>
      </x:c>
      <x:c r="F81" s="8" t="n">
        <x:f>MIN(10,F80+E81)</x:f>
        <x:v>0</x:v>
      </x:c>
      <x:c r="G81" s="8" t="n">
        <x:f>MIN(F81,9)+1</x:f>
        <x:v>1</x:v>
      </x:c>
      <x:c r="H81" s="8" t="n">
        <x:f>IF(F81&lt;=9,1,0)</x:f>
        <x:v>1</x:v>
      </x:c>
      <x:c r="I81" s="9" t="n">
        <x:f>MIN(10,F80+IF(AR80&gt;0,MIN(1,AS80/AR80),1))</x:f>
        <x:v>0.3078247209210948</x:v>
      </x:c>
      <x:c r="J81" s="32" t="n">
        <x:f>INDEX(v01_FoodCap,G81)*Arch_FoodCap*EXP(v01_CapsByProject*SUMPRODUCT((Cap_Point&lt;=I81)*(Cap_Kind="Food")*Cap_Ln))</x:f>
        <x:v>22</x:v>
      </x:c>
      <x:c r="K81" s="32" t="n">
        <x:f>J81*MIN(1,v01_LeanBase*EXP(v01_CapsByProject*SUMPRODUCT((Cap_Point&lt;=I81)*(Cap_Kind="Lean")*Cap_Ln)))</x:f>
        <x:v>22</x:v>
      </x:c>
      <x:c r="L81" s="10" t="n">
        <x:f>INDEX(v01_HousingCap,G81)*EXP(v01_CapsByProject*SUMPRODUCT((Cap_Point&lt;=I81)*(Cap_Kind="Housing")*Cap_Ln))</x:f>
        <x:v>60</x:v>
      </x:c>
      <x:c r="M81" s="10" t="n">
        <x:f>INDEX(v01_GroupCap,G81)*v01_CohesionFactor*EXP(v01_CapsByProject*SUMPRODUCT((Cap_Point&lt;=I81)*(Cap_Kind="Group")*Cap_Ln))</x:f>
        <x:v>35</x:v>
      </x:c>
      <x:c r="N81" s="32" t="n">
        <x:f>MIN(J81,L81,M81)</x:f>
        <x:v>22</x:v>
      </x:c>
      <x:c r="O81" s="10" t="n">
        <x:f>AE80*N81</x:f>
        <x:v>22</x:v>
      </x:c>
      <x:c r="P81" s="9" t="n">
        <x:f>MIN(1,(AB80/(AE80*IF(v01_GroupInCrowding=1,N81,MIN(J81,L81))))^v01_CrowdingExp)</x:f>
        <x:v>0.12721236180782636</x:v>
      </x:c>
      <x:c r="Q81" s="9" t="n">
        <x:f>IF(D81=1,INDEX(v01_WinterMult,G81),1)</x:f>
        <x:v>1</x:v>
      </x:c>
      <x:c r="R81" s="9" t="n">
        <x:f>H81*Z80*v01_WomenShare*v01_BaseFertility*INDEX(v01_FertMult,G81)*Arch_Fertility*(1-P81)</x:f>
        <x:v>0.19802109544644314</x:v>
      </x:c>
      <x:c r="S81" s="9" t="n">
        <x:f>H81*Y80*INDEX(v01_MortChild,G81)/4*Q81</x:f>
        <x:v>0.06138132512889359</x:v>
      </x:c>
      <x:c r="T81" s="9" t="n">
        <x:f>H81*Z80*INDEX(v01_MortAdult,G81)*Arch_AdultMort/4*Q81</x:f>
        <x:v>0.028360434827051556</x:v>
      </x:c>
      <x:c r="U81" s="9" t="n">
        <x:f>H81*AA80*INDEX(v01_MortElder,G81)/4*Q81</x:f>
        <x:v>0.04752469064465547</x:v>
      </x:c>
      <x:c r="V81" s="9" t="n">
        <x:f>H81*MAX(0,AB80-O81)*v01_OvercapLoss</x:f>
        <x:v>0</x:v>
      </x:c>
      <x:c r="W81" s="9" t="n">
        <x:f>H81*Y80/(v01_ChildYears*4)</x:f>
        <x:v>0.10960950915873856</x:v>
      </x:c>
      <x:c r="X81" s="9" t="n">
        <x:f>H81*Z80/(v01_AdultYears*4)</x:f>
        <x:v>0.06099018242376679</x:v>
      </x:c>
      <x:c r="Y81" s="32" t="n">
        <x:f>Y80+R81-S81-W81-Y80*V81/AB80</x:f>
        <x:v>6.165162774048171</x:v>
      </x:c>
      <x:c r="Z81" s="32" t="n">
        <x:f>Z80+W81-X81-T81-Z80*V81/AB80</x:f>
        <x:v>7.583041512455001</x:v>
      </x:c>
      <x:c r="AA81" s="32" t="n">
        <x:f>AA80+X81-U81-AA80*V81/AB80</x:f>
        <x:v>1.91445311756533</x:v>
      </x:c>
      <x:c r="AB81" s="10" t="n">
        <x:f>Y81+Z81+AA81</x:f>
        <x:v>15.6626574040685</x:v>
      </x:c>
      <x:c r="AC81" s="8" t="n">
        <x:f>IF(AND(v01_WinterTrigger=1,D81=1,AB80/AE80&gt;=K81),1,0)</x:f>
        <x:v>0</x:v>
      </x:c>
      <x:c r="AD81" s="8" t="n">
        <x:f>H81*IF(AND(OR(AB80/AE80&gt;=v01_FissionTrigger*N81,AC81=1),AB80/AE80*v01_DaughterShare&gt;=v01_MinDaughter),MAX(1,ROUND(AE80*v01_FissionRate,0)),0)</x:f>
        <x:v>0</x:v>
      </x:c>
      <x:c r="AE81" s="8" t="n">
        <x:f>IF(H81=1,MAX(1,MIN(INDEX(v01_Smax,G81),AE80+AD81)),AE80)</x:f>
        <x:v>1</x:v>
      </x:c>
      <x:c r="AF81" s="8" t="n">
        <x:f>MAX(0,AE81-AE80)</x:f>
        <x:v>0</x:v>
      </x:c>
      <x:c r="AG81" s="9" t="str">
        <x:f>IF(AF81&gt;0,B81,"")</x:f>
      </x:c>
      <x:c r="AH81" s="9" t="n">
        <x:f>IF(F81&gt;=1,1,(1+v01_LowTiesShare*(AE81-1))/AE81)</x:f>
        <x:v>1</x:v>
      </x:c>
      <x:c r="AI81" s="32" t="n">
        <x:f>(Z81+v01_ElderCommons*INDEX(LM_Elder,G81)*AA81)*AH81</x:f>
        <x:v>11.41194774758566</x:v>
      </x:c>
      <x:c r="AJ81" s="32" t="n">
        <x:f>H81*v01_CommonsCoef*AI81^v01_CommonsExp*INDEX(LM_Commons,G81)</x:f>
        <x:v>4.984291129295718</x:v>
      </x:c>
      <x:c r="AK81" s="32" t="n">
        <x:f>H81*v01_RoleScale*Arch_Roles*(AE81*(INDEX(v01_ElderRolePerSett,G81)*v01_OutElder*INDEX(LM_Elder,G81)+INDEX(v01_ShamanPerSett,G81)*v01_OutShaman)+Z81*(INDEX(v01_PriestShare,G81)*v01_OutPriest+INDEX(v01_ScribeShare,G81)*v01_OutScribe*INDEX(LM_Scribe,G81)+INDEX(v01_ScholarShare,G81)*v01_OutScholar*INDEX(LM_Scholar,G81)+INDEX(v01_ResearcherShare,G81)*v01_OutResearcher*INDEX(LM_Researcher,G81)))</x:f>
        <x:v>0</x:v>
      </x:c>
      <x:c r="AL81" s="32" t="n">
        <x:f>H81*v01_RoleScale*Arch_Roles*AE81*INDEX(v01_MonasteryPerSett,G81)*v01_OutMonastery*INDEX(LM_Monastery,G81)</x:f>
        <x:v>0</x:v>
      </x:c>
      <x:c r="AM81" s="32" t="n">
        <x:f>(AJ81+AK81+AL81)/4*INDEX(LM_All,G81)*INDEX(v01_Boon,G81)*Arch_Insight</x:f>
        <x:v>1.2460727823239295</x:v>
      </x:c>
      <x:c r="AN81" s="32" t="n">
        <x:f>H81*(v01_KHPerAdult*Z81+v01_KHOfCommons*AJ81/4*INDEX(LM_All,G81))*v01_KHUsable*Arch_KH</x:f>
        <x:v>0.265406452935925</x:v>
      </x:c>
      <x:c r="AO81" s="32" t="n">
        <x:f>MIN(AP80+AN81,AM81*v01_KHMaxRatio)</x:f>
        <x:v>0.265406452935925</x:v>
      </x:c>
      <x:c r="AP81" s="32" t="n">
        <x:f>AP80+AN81-AO81</x:f>
        <x:v>0</x:v>
      </x:c>
      <x:c r="AQ81" s="32" t="n">
        <x:f>AM81+AO81</x:f>
        <x:v>1.5114792352598545</x:v>
      </x:c>
      <x:c r="AR81" s="10" t="n">
        <x:f>IF(H81=1,INDEX(v01_Req,G81),0)</x:f>
        <x:v>372.02</x:v>
      </x:c>
      <x:c r="AS81" s="32" t="n">
        <x:f>IF(H81=1,IF(E81=1,AS80-AR80,AS80)+AQ81,0)</x:f>
        <x:v>116.02843191232553</x:v>
      </x:c>
      <x:c r="AT81" s="11" t="n">
        <x:f>IF(AR81&gt;0,MIN(1,AS81/AR81),1)</x:f>
        <x:v>0.3118876187095466</x:v>
      </x:c>
      <x:c r="AU81" s="10" t="n">
        <x:f>AB81/INDEX(v01_RepScale,G81)</x:f>
        <x:v>15.6626574040685</x:v>
      </x:c>
      <x:c r="AV81" s="32" t="n">
        <x:f>AM81*60/v01_SeasonSeconds</x:f>
        <x:v>4.984291129295718</x:v>
      </x:c>
    </x:row>
    <x:row r="82">
      <x:c r="A82" s="8" t="n">
        <x:f>A81+1</x:f>
        <x:v>79</x:v>
      </x:c>
      <x:c r="B82" s="9" t="n">
        <x:f>A82*v01_SeasonSeconds/60</x:f>
        <x:v>19.75</x:v>
      </x:c>
      <x:c r="C82" s="9" t="n">
        <x:f>A82/4</x:f>
        <x:v>19.75</x:v>
      </x:c>
      <x:c r="D82" s="8" t="n">
        <x:f>IF(MOD(A82,4)=0,1,0)</x:f>
        <x:v>0</x:v>
      </x:c>
      <x:c r="E82" s="8" t="n">
        <x:f>IF(AND(F81&lt;=9,AS81&gt;=AR81),1,0)</x:f>
        <x:v>0</x:v>
      </x:c>
      <x:c r="F82" s="8" t="n">
        <x:f>MIN(10,F81+E82)</x:f>
        <x:v>0</x:v>
      </x:c>
      <x:c r="G82" s="8" t="n">
        <x:f>MIN(F82,9)+1</x:f>
        <x:v>1</x:v>
      </x:c>
      <x:c r="H82" s="8" t="n">
        <x:f>IF(F82&lt;=9,1,0)</x:f>
        <x:v>1</x:v>
      </x:c>
      <x:c r="I82" s="9" t="n">
        <x:f>MIN(10,F81+IF(AR81&gt;0,MIN(1,AS81/AR81),1))</x:f>
        <x:v>0.3118876187095466</x:v>
      </x:c>
      <x:c r="J82" s="32" t="n">
        <x:f>INDEX(v01_FoodCap,G82)*Arch_FoodCap*EXP(v01_CapsByProject*SUMPRODUCT((Cap_Point&lt;=I82)*(Cap_Kind="Food")*Cap_Ln))</x:f>
        <x:v>22</x:v>
      </x:c>
      <x:c r="K82" s="32" t="n">
        <x:f>J82*MIN(1,v01_LeanBase*EXP(v01_CapsByProject*SUMPRODUCT((Cap_Point&lt;=I82)*(Cap_Kind="Lean")*Cap_Ln)))</x:f>
        <x:v>22</x:v>
      </x:c>
      <x:c r="L82" s="10" t="n">
        <x:f>INDEX(v01_HousingCap,G82)*EXP(v01_CapsByProject*SUMPRODUCT((Cap_Point&lt;=I82)*(Cap_Kind="Housing")*Cap_Ln))</x:f>
        <x:v>60</x:v>
      </x:c>
      <x:c r="M82" s="10" t="n">
        <x:f>INDEX(v01_GroupCap,G82)*v01_CohesionFactor*EXP(v01_CapsByProject*SUMPRODUCT((Cap_Point&lt;=I82)*(Cap_Kind="Group")*Cap_Ln))</x:f>
        <x:v>35</x:v>
      </x:c>
      <x:c r="N82" s="32" t="n">
        <x:f>MIN(J82,L82,M82)</x:f>
        <x:v>22</x:v>
      </x:c>
      <x:c r="O82" s="10" t="n">
        <x:f>AE81*N82</x:f>
        <x:v>22</x:v>
      </x:c>
      <x:c r="P82" s="9" t="n">
        <x:f>MIN(1,(AB81/(AE81*IF(v01_GroupInCrowding=1,N82,MIN(J82,L82))))^v01_CrowdingExp)</x:f>
        <x:v>0.1302136780375349</x:v>
      </x:c>
      <x:c r="Q82" s="9" t="n">
        <x:f>IF(D82=1,INDEX(v01_WinterMult,G82),1)</x:f>
        <x:v>1</x:v>
      </x:c>
      <x:c r="R82" s="9" t="n">
        <x:f>H82*Z81*v01_WomenShare*v01_BaseFertility*INDEX(v01_FertMult,G82)*Arch_Fertility*(1-P82)</x:f>
        <x:v>0.1978687735922077</x:v>
      </x:c>
      <x:c r="S82" s="9" t="n">
        <x:f>H82*Y81*INDEX(v01_MortChild,G82)/4*Q82</x:f>
        <x:v>0.06165162774048171</x:v>
      </x:c>
      <x:c r="T82" s="9" t="n">
        <x:f>H82*Z81*INDEX(v01_MortAdult,G82)*Arch_AdultMort/4*Q82</x:f>
        <x:v>0.02843640567170625</x:v>
      </x:c>
      <x:c r="U82" s="9" t="n">
        <x:f>H82*AA81*INDEX(v01_MortElder,G82)/4*Q82</x:f>
        <x:v>0.04786132793913325</x:v>
      </x:c>
      <x:c r="V82" s="9" t="n">
        <x:f>H82*MAX(0,AB81-O82)*v01_OvercapLoss</x:f>
        <x:v>0</x:v>
      </x:c>
      <x:c r="W82" s="9" t="n">
        <x:f>H82*Y81/(v01_ChildYears*4)</x:f>
        <x:v>0.11009219239371734</x:v>
      </x:c>
      <x:c r="X82" s="9" t="n">
        <x:f>H82*Z81/(v01_AdultYears*4)</x:f>
        <x:v>0.06115356058431452</x:v>
      </x:c>
      <x:c r="Y82" s="32" t="n">
        <x:f>Y81+R82-S82-W82-Y81*V82/AB81</x:f>
        <x:v>6.19128772750618</x:v>
      </x:c>
      <x:c r="Z82" s="32" t="n">
        <x:f>Z81+W82-X82-T82-Z81*V82/AB81</x:f>
        <x:v>7.603543738592698</x:v>
      </x:c>
      <x:c r="AA82" s="32" t="n">
        <x:f>AA81+X82-U82-AA81*V82/AB81</x:f>
        <x:v>1.9277453502105113</x:v>
      </x:c>
      <x:c r="AB82" s="10" t="n">
        <x:f>Y82+Z82+AA82</x:f>
        <x:v>15.722576816309388</x:v>
      </x:c>
      <x:c r="AC82" s="8" t="n">
        <x:f>IF(AND(v01_WinterTrigger=1,D82=1,AB81/AE81&gt;=K82),1,0)</x:f>
        <x:v>0</x:v>
      </x:c>
      <x:c r="AD82" s="8" t="n">
        <x:f>H82*IF(AND(OR(AB81/AE81&gt;=v01_FissionTrigger*N82,AC82=1),AB81/AE81*v01_DaughterShare&gt;=v01_MinDaughter),MAX(1,ROUND(AE81*v01_FissionRate,0)),0)</x:f>
        <x:v>0</x:v>
      </x:c>
      <x:c r="AE82" s="8" t="n">
        <x:f>IF(H82=1,MAX(1,MIN(INDEX(v01_Smax,G82),AE81+AD82)),AE81)</x:f>
        <x:v>1</x:v>
      </x:c>
      <x:c r="AF82" s="8" t="n">
        <x:f>MAX(0,AE82-AE81)</x:f>
        <x:v>0</x:v>
      </x:c>
      <x:c r="AG82" s="9" t="str">
        <x:f>IF(AF82&gt;0,B82,"")</x:f>
      </x:c>
      <x:c r="AH82" s="9" t="n">
        <x:f>IF(F82&gt;=1,1,(1+v01_LowTiesShare*(AE82-1))/AE82)</x:f>
        <x:v>1</x:v>
      </x:c>
      <x:c r="AI82" s="32" t="n">
        <x:f>(Z82+v01_ElderCommons*INDEX(LM_Elder,G82)*AA82)*AH82</x:f>
        <x:v>11.45903443901372</x:v>
      </x:c>
      <x:c r="AJ82" s="32" t="n">
        <x:f>H82*v01_CommonsCoef*AI82^v01_CommonsExp*INDEX(LM_Commons,G82)</x:f>
        <x:v>5.00176650511015</x:v>
      </x:c>
      <x:c r="AK82" s="32" t="n">
        <x:f>H82*v01_RoleScale*Arch_Roles*(AE82*(INDEX(v01_ElderRolePerSett,G82)*v01_OutElder*INDEX(LM_Elder,G82)+INDEX(v01_ShamanPerSett,G82)*v01_OutShaman)+Z82*(INDEX(v01_PriestShare,G82)*v01_OutPriest+INDEX(v01_ScribeShare,G82)*v01_OutScribe*INDEX(LM_Scribe,G82)+INDEX(v01_ScholarShare,G82)*v01_OutScholar*INDEX(LM_Scholar,G82)+INDEX(v01_ResearcherShare,G82)*v01_OutResearcher*INDEX(LM_Researcher,G82)))</x:f>
        <x:v>0</x:v>
      </x:c>
      <x:c r="AL82" s="32" t="n">
        <x:f>H82*v01_RoleScale*Arch_Roles*AE82*INDEX(v01_MonasteryPerSett,G82)*v01_OutMonastery*INDEX(LM_Monastery,G82)</x:f>
        <x:v>0</x:v>
      </x:c>
      <x:c r="AM82" s="32" t="n">
        <x:f>(AJ82+AK82+AL82)/4*INDEX(LM_All,G82)*INDEX(v01_Boon,G82)*Arch_Insight</x:f>
        <x:v>1.2504416262775375</x:v>
      </x:c>
      <x:c r="AN82" s="32" t="n">
        <x:f>H82*(v01_KHPerAdult*Z82+v01_KHOfCommons*AJ82/4*INDEX(LM_All,G82))*v01_KHUsable*Arch_KH</x:f>
        <x:v>0.26612403085074443</x:v>
      </x:c>
      <x:c r="AO82" s="32" t="n">
        <x:f>MIN(AP81+AN82,AM82*v01_KHMaxRatio)</x:f>
        <x:v>0.26612403085074443</x:v>
      </x:c>
      <x:c r="AP82" s="32" t="n">
        <x:f>AP81+AN82-AO82</x:f>
        <x:v>0</x:v>
      </x:c>
      <x:c r="AQ82" s="32" t="n">
        <x:f>AM82+AO82</x:f>
        <x:v>1.516565657128282</x:v>
      </x:c>
      <x:c r="AR82" s="10" t="n">
        <x:f>IF(H82=1,INDEX(v01_Req,G82),0)</x:f>
        <x:v>372.02</x:v>
      </x:c>
      <x:c r="AS82" s="32" t="n">
        <x:f>IF(H82=1,IF(E82=1,AS81-AR81,AS81)+AQ82,0)</x:f>
        <x:v>117.54499756945381</x:v>
      </x:c>
      <x:c r="AT82" s="11" t="n">
        <x:f>IF(AR82&gt;0,MIN(1,AS82/AR82),1)</x:f>
        <x:v>0.3159641889399866</x:v>
      </x:c>
      <x:c r="AU82" s="10" t="n">
        <x:f>AB82/INDEX(v01_RepScale,G82)</x:f>
        <x:v>15.722576816309388</x:v>
      </x:c>
      <x:c r="AV82" s="32" t="n">
        <x:f>AM82*60/v01_SeasonSeconds</x:f>
        <x:v>5.00176650511015</x:v>
      </x:c>
    </x:row>
    <x:row r="83">
      <x:c r="A83" s="8" t="n">
        <x:f>A82+1</x:f>
        <x:v>80</x:v>
      </x:c>
      <x:c r="B83" s="9" t="n">
        <x:f>A83*v01_SeasonSeconds/60</x:f>
        <x:v>20</x:v>
      </x:c>
      <x:c r="C83" s="9" t="n">
        <x:f>A83/4</x:f>
        <x:v>20</x:v>
      </x:c>
      <x:c r="D83" s="8" t="n">
        <x:f>IF(MOD(A83,4)=0,1,0)</x:f>
        <x:v>1</x:v>
      </x:c>
      <x:c r="E83" s="8" t="n">
        <x:f>IF(AND(F82&lt;=9,AS82&gt;=AR82),1,0)</x:f>
        <x:v>0</x:v>
      </x:c>
      <x:c r="F83" s="8" t="n">
        <x:f>MIN(10,F82+E83)</x:f>
        <x:v>0</x:v>
      </x:c>
      <x:c r="G83" s="8" t="n">
        <x:f>MIN(F83,9)+1</x:f>
        <x:v>1</x:v>
      </x:c>
      <x:c r="H83" s="8" t="n">
        <x:f>IF(F83&lt;=9,1,0)</x:f>
        <x:v>1</x:v>
      </x:c>
      <x:c r="I83" s="9" t="n">
        <x:f>MIN(10,F82+IF(AR82&gt;0,MIN(1,AS82/AR82),1))</x:f>
        <x:v>0.3159641889399866</x:v>
      </x:c>
      <x:c r="J83" s="32" t="n">
        <x:f>INDEX(v01_FoodCap,G83)*Arch_FoodCap*EXP(v01_CapsByProject*SUMPRODUCT((Cap_Point&lt;=I83)*(Cap_Kind="Food")*Cap_Ln))</x:f>
        <x:v>22</x:v>
      </x:c>
      <x:c r="K83" s="32" t="n">
        <x:f>J83*MIN(1,v01_LeanBase*EXP(v01_CapsByProject*SUMPRODUCT((Cap_Point&lt;=I83)*(Cap_Kind="Lean")*Cap_Ln)))</x:f>
        <x:v>22</x:v>
      </x:c>
      <x:c r="L83" s="10" t="n">
        <x:f>INDEX(v01_HousingCap,G83)*EXP(v01_CapsByProject*SUMPRODUCT((Cap_Point&lt;=I83)*(Cap_Kind="Housing")*Cap_Ln))</x:f>
        <x:v>60</x:v>
      </x:c>
      <x:c r="M83" s="10" t="n">
        <x:f>INDEX(v01_GroupCap,G83)*v01_CohesionFactor*EXP(v01_CapsByProject*SUMPRODUCT((Cap_Point&lt;=I83)*(Cap_Kind="Group")*Cap_Ln))</x:f>
        <x:v>35</x:v>
      </x:c>
      <x:c r="N83" s="32" t="n">
        <x:f>MIN(J83,L83,M83)</x:f>
        <x:v>22</x:v>
      </x:c>
      <x:c r="O83" s="10" t="n">
        <x:f>AE82*N83</x:f>
        <x:v>22</x:v>
      </x:c>
      <x:c r="P83" s="9" t="n">
        <x:f>MIN(1,(AB82/(AE82*IF(v01_GroupInCrowding=1,N83,MIN(J83,L83))))^v01_CrowdingExp)</x:f>
        <x:v>0.13323130032337996</x:v>
      </x:c>
      <x:c r="Q83" s="9" t="n">
        <x:f>IF(D83=1,INDEX(v01_WinterMult,G83),1)</x:f>
        <x:v>2</x:v>
      </x:c>
      <x:c r="R83" s="9" t="n">
        <x:f>H83*Z82*v01_WomenShare*v01_BaseFertility*INDEX(v01_FertMult,G83)*Arch_Fertility*(1-P83)</x:f>
        <x:v>0.19771541157702896</x:v>
      </x:c>
      <x:c r="S83" s="9" t="n">
        <x:f>H83*Y82*INDEX(v01_MortChild,G83)/4*Q83</x:f>
        <x:v>0.1238257545501236</x:v>
      </x:c>
      <x:c r="T83" s="9" t="n">
        <x:f>H83*Z82*INDEX(v01_MortAdult,G83)*Arch_AdultMort/4*Q83</x:f>
        <x:v>0.05702657803944523</x:v>
      </x:c>
      <x:c r="U83" s="9" t="n">
        <x:f>H83*AA82*INDEX(v01_MortElder,G83)/4*Q83</x:f>
        <x:v>0.09638726751052556</x:v>
      </x:c>
      <x:c r="V83" s="9" t="n">
        <x:f>H83*MAX(0,AB82-O83)*v01_OvercapLoss</x:f>
        <x:v>0</x:v>
      </x:c>
      <x:c r="W83" s="9" t="n">
        <x:f>H83*Y82/(v01_ChildYears*4)</x:f>
        <x:v>0.11055870941975321</x:v>
      </x:c>
      <x:c r="X83" s="9" t="n">
        <x:f>H83*Z82/(v01_AdultYears*4)</x:f>
        <x:v>0.06131890111768305</x:v>
      </x:c>
      <x:c r="Y83" s="32" t="n">
        <x:f>Y82+R83-S83-W83-Y82*V83/AB82</x:f>
        <x:v>6.154618675113332</x:v>
      </x:c>
      <x:c r="Z83" s="32" t="n">
        <x:f>Z82+W83-X83-T83-Z82*V83/AB82</x:f>
        <x:v>7.595756968855324</x:v>
      </x:c>
      <x:c r="AA83" s="32" t="n">
        <x:f>AA82+X83-U83-AA82*V83/AB82</x:f>
        <x:v>1.892676983817669</x:v>
      </x:c>
      <x:c r="AB83" s="10" t="n">
        <x:f>Y83+Z83+AA83</x:f>
        <x:v>15.643052627786325</x:v>
      </x:c>
      <x:c r="AC83" s="8" t="n">
        <x:f>IF(AND(v01_WinterTrigger=1,D83=1,AB82/AE82&gt;=K83),1,0)</x:f>
        <x:v>0</x:v>
      </x:c>
      <x:c r="AD83" s="8" t="n">
        <x:f>H83*IF(AND(OR(AB82/AE82&gt;=v01_FissionTrigger*N83,AC83=1),AB82/AE82*v01_DaughterShare&gt;=v01_MinDaughter),MAX(1,ROUND(AE82*v01_FissionRate,0)),0)</x:f>
        <x:v>0</x:v>
      </x:c>
      <x:c r="AE83" s="8" t="n">
        <x:f>IF(H83=1,MAX(1,MIN(INDEX(v01_Smax,G83),AE82+AD83)),AE82)</x:f>
        <x:v>1</x:v>
      </x:c>
      <x:c r="AF83" s="8" t="n">
        <x:f>MAX(0,AE83-AE82)</x:f>
        <x:v>0</x:v>
      </x:c>
      <x:c r="AG83" s="9" t="str">
        <x:f>IF(AF83&gt;0,B83,"")</x:f>
      </x:c>
      <x:c r="AH83" s="9" t="n">
        <x:f>IF(F83&gt;=1,1,(1+v01_LowTiesShare*(AE83-1))/AE83)</x:f>
        <x:v>1</x:v>
      </x:c>
      <x:c r="AI83" s="32" t="n">
        <x:f>(Z83+v01_ElderCommons*INDEX(LM_Elder,G83)*AA83)*AH83</x:f>
        <x:v>11.38111093649066</x:v>
      </x:c>
      <x:c r="AJ83" s="32" t="n">
        <x:f>H83*v01_CommonsCoef*AI83^v01_CommonsExp*INDEX(LM_Commons,G83)</x:f>
        <x:v>4.9728407437538085</x:v>
      </x:c>
      <x:c r="AK83" s="32" t="n">
        <x:f>H83*v01_RoleScale*Arch_Roles*(AE83*(INDEX(v01_ElderRolePerSett,G83)*v01_OutElder*INDEX(LM_Elder,G83)+INDEX(v01_ShamanPerSett,G83)*v01_OutShaman)+Z83*(INDEX(v01_PriestShare,G83)*v01_OutPriest+INDEX(v01_ScribeShare,G83)*v01_OutScribe*INDEX(LM_Scribe,G83)+INDEX(v01_ScholarShare,G83)*v01_OutScholar*INDEX(LM_Scholar,G83)+INDEX(v01_ResearcherShare,G83)*v01_OutResearcher*INDEX(LM_Researcher,G83)))</x:f>
        <x:v>0</x:v>
      </x:c>
      <x:c r="AL83" s="32" t="n">
        <x:f>H83*v01_RoleScale*Arch_Roles*AE83*INDEX(v01_MonasteryPerSett,G83)*v01_OutMonastery*INDEX(LM_Monastery,G83)</x:f>
        <x:v>0</x:v>
      </x:c>
      <x:c r="AM83" s="32" t="n">
        <x:f>(AJ83+AK83+AL83)/4*INDEX(LM_All,G83)*INDEX(v01_Boon,G83)*Arch_Insight</x:f>
        <x:v>1.2432101859384521</x:v>
      </x:c>
      <x:c r="AN83" s="32" t="n">
        <x:f>H83*(v01_KHPerAdult*Z83+v01_KHOfCommons*AJ83/4*INDEX(LM_All,G83))*v01_KHUsable*Arch_KH</x:f>
        <x:v>0.26585149390993634</x:v>
      </x:c>
      <x:c r="AO83" s="32" t="n">
        <x:f>MIN(AP82+AN83,AM83*v01_KHMaxRatio)</x:f>
        <x:v>0.26585149390993634</x:v>
      </x:c>
      <x:c r="AP83" s="32" t="n">
        <x:f>AP82+AN83-AO83</x:f>
        <x:v>0</x:v>
      </x:c>
      <x:c r="AQ83" s="32" t="n">
        <x:f>AM83+AO83</x:f>
        <x:v>1.5090616798483885</x:v>
      </x:c>
      <x:c r="AR83" s="10" t="n">
        <x:f>IF(H83=1,INDEX(v01_Req,G83),0)</x:f>
        <x:v>372.02</x:v>
      </x:c>
      <x:c r="AS83" s="32" t="n">
        <x:f>IF(H83=1,IF(E83=1,AS82-AR82,AS82)+AQ83,0)</x:f>
        <x:v>119.0540592493022</x:v>
      </x:c>
      <x:c r="AT83" s="11" t="n">
        <x:f>IF(AR83&gt;0,MIN(1,AS83/AR83),1)</x:f>
        <x:v>0.3200205882729482</x:v>
      </x:c>
      <x:c r="AU83" s="10" t="n">
        <x:f>AB83/INDEX(v01_RepScale,G83)</x:f>
        <x:v>15.643052627786325</x:v>
      </x:c>
      <x:c r="AV83" s="32" t="n">
        <x:f>AM83*60/v01_SeasonSeconds</x:f>
        <x:v>4.9728407437538085</x:v>
      </x:c>
    </x:row>
    <x:row r="84">
      <x:c r="A84" s="8" t="n">
        <x:f>A83+1</x:f>
        <x:v>81</x:v>
      </x:c>
      <x:c r="B84" s="9" t="n">
        <x:f>A84*v01_SeasonSeconds/60</x:f>
        <x:v>20.25</x:v>
      </x:c>
      <x:c r="C84" s="9" t="n">
        <x:f>A84/4</x:f>
        <x:v>20.25</x:v>
      </x:c>
      <x:c r="D84" s="8" t="n">
        <x:f>IF(MOD(A84,4)=0,1,0)</x:f>
        <x:v>0</x:v>
      </x:c>
      <x:c r="E84" s="8" t="n">
        <x:f>IF(AND(F83&lt;=9,AS83&gt;=AR83),1,0)</x:f>
        <x:v>0</x:v>
      </x:c>
      <x:c r="F84" s="8" t="n">
        <x:f>MIN(10,F83+E84)</x:f>
        <x:v>0</x:v>
      </x:c>
      <x:c r="G84" s="8" t="n">
        <x:f>MIN(F84,9)+1</x:f>
        <x:v>1</x:v>
      </x:c>
      <x:c r="H84" s="8" t="n">
        <x:f>IF(F84&lt;=9,1,0)</x:f>
        <x:v>1</x:v>
      </x:c>
      <x:c r="I84" s="9" t="n">
        <x:f>MIN(10,F83+IF(AR83&gt;0,MIN(1,AS83/AR83),1))</x:f>
        <x:v>0.3200205882729482</x:v>
      </x:c>
      <x:c r="J84" s="32" t="n">
        <x:f>INDEX(v01_FoodCap,G84)*Arch_FoodCap*EXP(v01_CapsByProject*SUMPRODUCT((Cap_Point&lt;=I84)*(Cap_Kind="Food")*Cap_Ln))</x:f>
        <x:v>22</x:v>
      </x:c>
      <x:c r="K84" s="32" t="n">
        <x:f>J84*MIN(1,v01_LeanBase*EXP(v01_CapsByProject*SUMPRODUCT((Cap_Point&lt;=I84)*(Cap_Kind="Lean")*Cap_Ln)))</x:f>
        <x:v>22</x:v>
      </x:c>
      <x:c r="L84" s="10" t="n">
        <x:f>INDEX(v01_HousingCap,G84)*EXP(v01_CapsByProject*SUMPRODUCT((Cap_Point&lt;=I84)*(Cap_Kind="Housing")*Cap_Ln))</x:f>
        <x:v>60</x:v>
      </x:c>
      <x:c r="M84" s="10" t="n">
        <x:f>INDEX(v01_GroupCap,G84)*v01_CohesionFactor*EXP(v01_CapsByProject*SUMPRODUCT((Cap_Point&lt;=I84)*(Cap_Kind="Group")*Cap_Ln))</x:f>
        <x:v>35</x:v>
      </x:c>
      <x:c r="N84" s="32" t="n">
        <x:f>MIN(J84,L84,M84)</x:f>
        <x:v>22</x:v>
      </x:c>
      <x:c r="O84" s="10" t="n">
        <x:f>AE83*N84</x:f>
        <x:v>22</x:v>
      </x:c>
      <x:c r="P84" s="9" t="n">
        <x:f>MIN(1,(AB83/(AE83*IF(v01_GroupInCrowding=1,N84,MIN(J84,L84))))^v01_CrowdingExp)</x:f>
        <x:v>0.12923881088576541</x:v>
      </x:c>
      <x:c r="Q84" s="9" t="n">
        <x:f>IF(D84=1,INDEX(v01_WinterMult,G84),1)</x:f>
        <x:v>1</x:v>
      </x:c>
      <x:c r="R84" s="9" t="n">
        <x:f>H84*Z83*v01_WomenShare*v01_BaseFertility*INDEX(v01_FertMult,G84)*Arch_Fertility*(1-P84)</x:f>
        <x:v>0.19842271111269588</x:v>
      </x:c>
      <x:c r="S84" s="9" t="n">
        <x:f>H84*Y83*INDEX(v01_MortChild,G84)/4*Q84</x:f>
        <x:v>0.06154618675113332</x:v>
      </x:c>
      <x:c r="T84" s="9" t="n">
        <x:f>H84*Z83*INDEX(v01_MortAdult,G84)*Arch_AdultMort/4*Q84</x:f>
        <x:v>0.028484088633207463</x:v>
      </x:c>
      <x:c r="U84" s="9" t="n">
        <x:f>H84*AA83*INDEX(v01_MortElder,G84)/4*Q84</x:f>
        <x:v>0.04731692459544173</x:v>
      </x:c>
      <x:c r="V84" s="9" t="n">
        <x:f>H84*MAX(0,AB83-O84)*v01_OvercapLoss</x:f>
        <x:v>0</x:v>
      </x:c>
      <x:c r="W84" s="9" t="n">
        <x:f>H84*Y83/(v01_ChildYears*4)</x:f>
        <x:v>0.10990390491273806</x:v>
      </x:c>
      <x:c r="X84" s="9" t="n">
        <x:f>H84*Z83/(v01_AdultYears*4)</x:f>
        <x:v>0.06125610458754293</x:v>
      </x:c>
      <x:c r="Y84" s="32" t="n">
        <x:f>Y83+R84-S84-W84-Y83*V84/AB83</x:f>
        <x:v>6.181591294562156</x:v>
      </x:c>
      <x:c r="Z84" s="32" t="n">
        <x:f>Z83+W84-X84-T84-Z83*V84/AB83</x:f>
        <x:v>7.615920680547311</x:v>
      </x:c>
      <x:c r="AA84" s="32" t="n">
        <x:f>AA83+X84-U84-AA83*V84/AB83</x:f>
        <x:v>1.90661616380977</x:v>
      </x:c>
      <x:c r="AB84" s="10" t="n">
        <x:f>Y84+Z84+AA84</x:f>
        <x:v>15.704128138919238</x:v>
      </x:c>
      <x:c r="AC84" s="8" t="n">
        <x:f>IF(AND(v01_WinterTrigger=1,D84=1,AB83/AE83&gt;=K84),1,0)</x:f>
        <x:v>0</x:v>
      </x:c>
      <x:c r="AD84" s="8" t="n">
        <x:f>H84*IF(AND(OR(AB83/AE83&gt;=v01_FissionTrigger*N84,AC84=1),AB83/AE83*v01_DaughterShare&gt;=v01_MinDaughter),MAX(1,ROUND(AE83*v01_FissionRate,0)),0)</x:f>
        <x:v>0</x:v>
      </x:c>
      <x:c r="AE84" s="8" t="n">
        <x:f>IF(H84=1,MAX(1,MIN(INDEX(v01_Smax,G84),AE83+AD84)),AE83)</x:f>
        <x:v>1</x:v>
      </x:c>
      <x:c r="AF84" s="8" t="n">
        <x:f>MAX(0,AE84-AE83)</x:f>
        <x:v>0</x:v>
      </x:c>
      <x:c r="AG84" s="9" t="str">
        <x:f>IF(AF84&gt;0,B84,"")</x:f>
      </x:c>
      <x:c r="AH84" s="9" t="n">
        <x:f>IF(F84&gt;=1,1,(1+v01_LowTiesShare*(AE84-1))/AE84)</x:f>
        <x:v>1</x:v>
      </x:c>
      <x:c r="AI84" s="32" t="n">
        <x:f>(Z84+v01_ElderCommons*INDEX(LM_Elder,G84)*AA84)*AH84</x:f>
        <x:v>11.429153008166852</x:v>
      </x:c>
      <x:c r="AJ84" s="32" t="n">
        <x:f>H84*v01_CommonsCoef*AI84^v01_CommonsExp*INDEX(LM_Commons,G84)</x:f>
        <x:v>4.99067780295123</x:v>
      </x:c>
      <x:c r="AK84" s="32" t="n">
        <x:f>H84*v01_RoleScale*Arch_Roles*(AE84*(INDEX(v01_ElderRolePerSett,G84)*v01_OutElder*INDEX(LM_Elder,G84)+INDEX(v01_ShamanPerSett,G84)*v01_OutShaman)+Z84*(INDEX(v01_PriestShare,G84)*v01_OutPriest+INDEX(v01_ScribeShare,G84)*v01_OutScribe*INDEX(LM_Scribe,G84)+INDEX(v01_ScholarShare,G84)*v01_OutScholar*INDEX(LM_Scholar,G84)+INDEX(v01_ResearcherShare,G84)*v01_OutResearcher*INDEX(LM_Researcher,G84)))</x:f>
        <x:v>0</x:v>
      </x:c>
      <x:c r="AL84" s="32" t="n">
        <x:f>H84*v01_RoleScale*Arch_Roles*AE84*INDEX(v01_MonasteryPerSett,G84)*v01_OutMonastery*INDEX(LM_Monastery,G84)</x:f>
        <x:v>0</x:v>
      </x:c>
      <x:c r="AM84" s="32" t="n">
        <x:f>(AJ84+AK84+AL84)/4*INDEX(LM_All,G84)*INDEX(v01_Boon,G84)*Arch_Insight</x:f>
        <x:v>1.2476694507378074</x:v>
      </x:c>
      <x:c r="AN84" s="32" t="n">
        <x:f>H84*(v01_KHPerAdult*Z84+v01_KHOfCommons*AJ84/4*INDEX(LM_All,G84))*v01_KHUsable*Arch_KH</x:f>
        <x:v>0.26655722381915586</x:v>
      </x:c>
      <x:c r="AO84" s="32" t="n">
        <x:f>MIN(AP83+AN84,AM84*v01_KHMaxRatio)</x:f>
        <x:v>0.26655722381915586</x:v>
      </x:c>
      <x:c r="AP84" s="32" t="n">
        <x:f>AP83+AN84-AO84</x:f>
        <x:v>0</x:v>
      </x:c>
      <x:c r="AQ84" s="32" t="n">
        <x:f>AM84+AO84</x:f>
        <x:v>1.5142266745569632</x:v>
      </x:c>
      <x:c r="AR84" s="10" t="n">
        <x:f>IF(H84=1,INDEX(v01_Req,G84),0)</x:f>
        <x:v>372.02</x:v>
      </x:c>
      <x:c r="AS84" s="32" t="n">
        <x:f>IF(H84=1,IF(E84=1,AS83-AR83,AS83)+AQ84,0)</x:f>
        <x:v>120.56828592385916</x:v>
      </x:c>
      <x:c r="AT84" s="11" t="n">
        <x:f>IF(AR84&gt;0,MIN(1,AS84/AR84),1)</x:f>
        <x:v>0.3240908712538551</x:v>
      </x:c>
      <x:c r="AU84" s="10" t="n">
        <x:f>AB84/INDEX(v01_RepScale,G84)</x:f>
        <x:v>15.704128138919238</x:v>
      </x:c>
      <x:c r="AV84" s="32" t="n">
        <x:f>AM84*60/v01_SeasonSeconds</x:f>
        <x:v>4.99067780295123</x:v>
      </x:c>
    </x:row>
    <x:row r="85">
      <x:c r="A85" s="8" t="n">
        <x:f>A84+1</x:f>
        <x:v>82</x:v>
      </x:c>
      <x:c r="B85" s="9" t="n">
        <x:f>A85*v01_SeasonSeconds/60</x:f>
        <x:v>20.5</x:v>
      </x:c>
      <x:c r="C85" s="9" t="n">
        <x:f>A85/4</x:f>
        <x:v>20.5</x:v>
      </x:c>
      <x:c r="D85" s="8" t="n">
        <x:f>IF(MOD(A85,4)=0,1,0)</x:f>
        <x:v>0</x:v>
      </x:c>
      <x:c r="E85" s="8" t="n">
        <x:f>IF(AND(F84&lt;=9,AS84&gt;=AR84),1,0)</x:f>
        <x:v>0</x:v>
      </x:c>
      <x:c r="F85" s="8" t="n">
        <x:f>MIN(10,F84+E85)</x:f>
        <x:v>0</x:v>
      </x:c>
      <x:c r="G85" s="8" t="n">
        <x:f>MIN(F85,9)+1</x:f>
        <x:v>1</x:v>
      </x:c>
      <x:c r="H85" s="8" t="n">
        <x:f>IF(F85&lt;=9,1,0)</x:f>
        <x:v>1</x:v>
      </x:c>
      <x:c r="I85" s="9" t="n">
        <x:f>MIN(10,F84+IF(AR84&gt;0,MIN(1,AS84/AR84),1))</x:f>
        <x:v>0.3240908712538551</x:v>
      </x:c>
      <x:c r="J85" s="32" t="n">
        <x:f>INDEX(v01_FoodCap,G85)*Arch_FoodCap*EXP(v01_CapsByProject*SUMPRODUCT((Cap_Point&lt;=I85)*(Cap_Kind="Food")*Cap_Ln))</x:f>
        <x:v>22</x:v>
      </x:c>
      <x:c r="K85" s="32" t="n">
        <x:f>J85*MIN(1,v01_LeanBase*EXP(v01_CapsByProject*SUMPRODUCT((Cap_Point&lt;=I85)*(Cap_Kind="Lean")*Cap_Ln)))</x:f>
        <x:v>22</x:v>
      </x:c>
      <x:c r="L85" s="10" t="n">
        <x:f>INDEX(v01_HousingCap,G85)*EXP(v01_CapsByProject*SUMPRODUCT((Cap_Point&lt;=I85)*(Cap_Kind="Housing")*Cap_Ln))</x:f>
        <x:v>60</x:v>
      </x:c>
      <x:c r="M85" s="10" t="n">
        <x:f>INDEX(v01_GroupCap,G85)*v01_CohesionFactor*EXP(v01_CapsByProject*SUMPRODUCT((Cap_Point&lt;=I85)*(Cap_Kind="Group")*Cap_Ln))</x:f>
        <x:v>35</x:v>
      </x:c>
      <x:c r="N85" s="32" t="n">
        <x:f>MIN(J85,L85,M85)</x:f>
        <x:v>22</x:v>
      </x:c>
      <x:c r="O85" s="10" t="n">
        <x:f>AE84*N85</x:f>
        <x:v>22</x:v>
      </x:c>
      <x:c r="P85" s="9" t="n">
        <x:f>MIN(1,(AB84/(AE84*IF(v01_GroupInCrowding=1,N85,MIN(J85,L85))))^v01_CrowdingExp)</x:f>
        <x:v>0.13229605582149495</x:v>
      </x:c>
      <x:c r="Q85" s="9" t="n">
        <x:f>IF(D85=1,INDEX(v01_WinterMult,G85),1)</x:f>
        <x:v>1</x:v>
      </x:c>
      <x:c r="R85" s="9" t="n">
        <x:f>H85*Z84*v01_WomenShare*v01_BaseFertility*INDEX(v01_FertMult,G85)*Arch_Fertility*(1-P85)</x:f>
        <x:v>0.19825093239184635</x:v>
      </x:c>
      <x:c r="S85" s="9" t="n">
        <x:f>H85*Y84*INDEX(v01_MortChild,G85)/4*Q85</x:f>
        <x:v>0.06181591294562156</x:v>
      </x:c>
      <x:c r="T85" s="9" t="n">
        <x:f>H85*Z84*INDEX(v01_MortAdult,G85)*Arch_AdultMort/4*Q85</x:f>
        <x:v>0.028559702552052414</x:v>
      </x:c>
      <x:c r="U85" s="9" t="n">
        <x:f>H85*AA84*INDEX(v01_MortElder,G85)/4*Q85</x:f>
        <x:v>0.04766540409524425</x:v>
      </x:c>
      <x:c r="V85" s="9" t="n">
        <x:f>H85*MAX(0,AB84-O85)*v01_OvercapLoss</x:f>
        <x:v>0</x:v>
      </x:c>
      <x:c r="W85" s="9" t="n">
        <x:f>H85*Y84/(v01_ChildYears*4)</x:f>
        <x:v>0.11038555883146707</x:v>
      </x:c>
      <x:c r="X85" s="9" t="n">
        <x:f>H85*Z84/(v01_AdultYears*4)</x:f>
        <x:v>0.06141871516570412</x:v>
      </x:c>
      <x:c r="Y85" s="32" t="n">
        <x:f>Y84+R85-S85-W85-Y84*V85/AB84</x:f>
        <x:v>6.2076407551769135</x:v>
      </x:c>
      <x:c r="Z85" s="32" t="n">
        <x:f>Z84+W85-X85-T85-Z84*V85/AB84</x:f>
        <x:v>7.6363278216610215</x:v>
      </x:c>
      <x:c r="AA85" s="32" t="n">
        <x:f>AA84+X85-U85-AA84*V85/AB84</x:f>
        <x:v>1.92036947488023</x:v>
      </x:c>
      <x:c r="AB85" s="10" t="n">
        <x:f>Y85+Z85+AA85</x:f>
        <x:v>15.764338051718164</x:v>
      </x:c>
      <x:c r="AC85" s="8" t="n">
        <x:f>IF(AND(v01_WinterTrigger=1,D85=1,AB84/AE84&gt;=K85),1,0)</x:f>
        <x:v>0</x:v>
      </x:c>
      <x:c r="AD85" s="8" t="n">
        <x:f>H85*IF(AND(OR(AB84/AE84&gt;=v01_FissionTrigger*N85,AC85=1),AB84/AE84*v01_DaughterShare&gt;=v01_MinDaughter),MAX(1,ROUND(AE84*v01_FissionRate,0)),0)</x:f>
        <x:v>0</x:v>
      </x:c>
      <x:c r="AE85" s="8" t="n">
        <x:f>IF(H85=1,MAX(1,MIN(INDEX(v01_Smax,G85),AE84+AD85)),AE84)</x:f>
        <x:v>1</x:v>
      </x:c>
      <x:c r="AF85" s="8" t="n">
        <x:f>MAX(0,AE85-AE84)</x:f>
        <x:v>0</x:v>
      </x:c>
      <x:c r="AG85" s="9" t="str">
        <x:f>IF(AF85&gt;0,B85,"")</x:f>
      </x:c>
      <x:c r="AH85" s="9" t="n">
        <x:f>IF(F85&gt;=1,1,(1+v01_LowTiesShare*(AE85-1))/AE85)</x:f>
        <x:v>1</x:v>
      </x:c>
      <x:c r="AI85" s="32" t="n">
        <x:f>(Z85+v01_ElderCommons*INDEX(LM_Elder,G85)*AA85)*AH85</x:f>
        <x:v>11.477066771421482</x:v>
      </x:c>
      <x:c r="AJ85" s="32" t="n">
        <x:f>H85*v01_CommonsCoef*AI85^v01_CommonsExp*INDEX(LM_Commons,G85)</x:f>
        <x:v>5.008456025639047</x:v>
      </x:c>
      <x:c r="AK85" s="32" t="n">
        <x:f>H85*v01_RoleScale*Arch_Roles*(AE85*(INDEX(v01_ElderRolePerSett,G85)*v01_OutElder*INDEX(LM_Elder,G85)+INDEX(v01_ShamanPerSett,G85)*v01_OutShaman)+Z85*(INDEX(v01_PriestShare,G85)*v01_OutPriest+INDEX(v01_ScribeShare,G85)*v01_OutScribe*INDEX(LM_Scribe,G85)+INDEX(v01_ScholarShare,G85)*v01_OutScholar*INDEX(LM_Scholar,G85)+INDEX(v01_ResearcherShare,G85)*v01_OutResearcher*INDEX(LM_Researcher,G85)))</x:f>
        <x:v>0</x:v>
      </x:c>
      <x:c r="AL85" s="32" t="n">
        <x:f>H85*v01_RoleScale*Arch_Roles*AE85*INDEX(v01_MonasteryPerSett,G85)*v01_OutMonastery*INDEX(LM_Monastery,G85)</x:f>
        <x:v>0</x:v>
      </x:c>
      <x:c r="AM85" s="32" t="n">
        <x:f>(AJ85+AK85+AL85)/4*INDEX(LM_All,G85)*INDEX(v01_Boon,G85)*Arch_Insight</x:f>
        <x:v>1.2521140064097618</x:v>
      </x:c>
      <x:c r="AN85" s="32" t="n">
        <x:f>H85*(v01_KHPerAdult*Z85+v01_KHOfCommons*AJ85/4*INDEX(LM_All,G85))*v01_KHUsable*Arch_KH</x:f>
        <x:v>0.26727147375813576</x:v>
      </x:c>
      <x:c r="AO85" s="32" t="n">
        <x:f>MIN(AP84+AN85,AM85*v01_KHMaxRatio)</x:f>
        <x:v>0.26727147375813576</x:v>
      </x:c>
      <x:c r="AP85" s="32" t="n">
        <x:f>AP84+AN85-AO85</x:f>
        <x:v>0</x:v>
      </x:c>
      <x:c r="AQ85" s="32" t="n">
        <x:f>AM85+AO85</x:f>
        <x:v>1.5193854801678977</x:v>
      </x:c>
      <x:c r="AR85" s="10" t="n">
        <x:f>IF(H85=1,INDEX(v01_Req,G85),0)</x:f>
        <x:v>372.02</x:v>
      </x:c>
      <x:c r="AS85" s="32" t="n">
        <x:f>IF(H85=1,IF(E85=1,AS84-AR84,AS84)+AQ85,0)</x:f>
        <x:v>122.08767140402706</x:v>
      </x:c>
      <x:c r="AT85" s="11" t="n">
        <x:f>IF(AR85&gt;0,MIN(1,AS85/AR85),1)</x:f>
        <x:v>0.3281750212462423</x:v>
      </x:c>
      <x:c r="AU85" s="10" t="n">
        <x:f>AB85/INDEX(v01_RepScale,G85)</x:f>
        <x:v>15.764338051718164</x:v>
      </x:c>
      <x:c r="AV85" s="32" t="n">
        <x:f>AM85*60/v01_SeasonSeconds</x:f>
        <x:v>5.008456025639047</x:v>
      </x:c>
    </x:row>
    <x:row r="86">
      <x:c r="A86" s="8" t="n">
        <x:f>A85+1</x:f>
        <x:v>83</x:v>
      </x:c>
      <x:c r="B86" s="9" t="n">
        <x:f>A86*v01_SeasonSeconds/60</x:f>
        <x:v>20.75</x:v>
      </x:c>
      <x:c r="C86" s="9" t="n">
        <x:f>A86/4</x:f>
        <x:v>20.75</x:v>
      </x:c>
      <x:c r="D86" s="8" t="n">
        <x:f>IF(MOD(A86,4)=0,1,0)</x:f>
        <x:v>0</x:v>
      </x:c>
      <x:c r="E86" s="8" t="n">
        <x:f>IF(AND(F85&lt;=9,AS85&gt;=AR85),1,0)</x:f>
        <x:v>0</x:v>
      </x:c>
      <x:c r="F86" s="8" t="n">
        <x:f>MIN(10,F85+E86)</x:f>
        <x:v>0</x:v>
      </x:c>
      <x:c r="G86" s="8" t="n">
        <x:f>MIN(F86,9)+1</x:f>
        <x:v>1</x:v>
      </x:c>
      <x:c r="H86" s="8" t="n">
        <x:f>IF(F86&lt;=9,1,0)</x:f>
        <x:v>1</x:v>
      </x:c>
      <x:c r="I86" s="9" t="n">
        <x:f>MIN(10,F85+IF(AR85&gt;0,MIN(1,AS85/AR85),1))</x:f>
        <x:v>0.3281750212462423</x:v>
      </x:c>
      <x:c r="J86" s="32" t="n">
        <x:f>INDEX(v01_FoodCap,G86)*Arch_FoodCap*EXP(v01_CapsByProject*SUMPRODUCT((Cap_Point&lt;=I86)*(Cap_Kind="Food")*Cap_Ln))</x:f>
        <x:v>22</x:v>
      </x:c>
      <x:c r="K86" s="32" t="n">
        <x:f>J86*MIN(1,v01_LeanBase*EXP(v01_CapsByProject*SUMPRODUCT((Cap_Point&lt;=I86)*(Cap_Kind="Lean")*Cap_Ln)))</x:f>
        <x:v>22</x:v>
      </x:c>
      <x:c r="L86" s="10" t="n">
        <x:f>INDEX(v01_HousingCap,G86)*EXP(v01_CapsByProject*SUMPRODUCT((Cap_Point&lt;=I86)*(Cap_Kind="Housing")*Cap_Ln))</x:f>
        <x:v>60</x:v>
      </x:c>
      <x:c r="M86" s="10" t="n">
        <x:f>INDEX(v01_GroupCap,G86)*v01_CohesionFactor*EXP(v01_CapsByProject*SUMPRODUCT((Cap_Point&lt;=I86)*(Cap_Kind="Group")*Cap_Ln))</x:f>
        <x:v>35</x:v>
      </x:c>
      <x:c r="N86" s="32" t="n">
        <x:f>MIN(J86,L86,M86)</x:f>
        <x:v>22</x:v>
      </x:c>
      <x:c r="O86" s="10" t="n">
        <x:f>AE85*N86</x:f>
        <x:v>22</x:v>
      </x:c>
      <x:c r="P86" s="9" t="n">
        <x:f>MIN(1,(AB85/(AE85*IF(v01_GroupInCrowding=1,N86,MIN(J86,L86))))^v01_CrowdingExp)</x:f>
        <x:v>0.13536872894766674</x:v>
      </x:c>
      <x:c r="Q86" s="9" t="n">
        <x:f>IF(D86=1,INDEX(v01_WinterMult,G86),1)</x:f>
        <x:v>1</x:v>
      </x:c>
      <x:c r="R86" s="9" t="n">
        <x:f>H86*Z85*v01_WomenShare*v01_BaseFertility*INDEX(v01_FertMult,G86)*Arch_Fertility*(1-P86)</x:f>
        <x:v>0.19807823491845192</x:v>
      </x:c>
      <x:c r="S86" s="9" t="n">
        <x:f>H86*Y85*INDEX(v01_MortChild,G86)/4*Q86</x:f>
        <x:v>0.06207640755176914</x:v>
      </x:c>
      <x:c r="T86" s="9" t="n">
        <x:f>H86*Z85*INDEX(v01_MortAdult,G86)*Arch_AdultMort/4*Q86</x:f>
        <x:v>0.028636229331228828</x:v>
      </x:c>
      <x:c r="U86" s="9" t="n">
        <x:f>H86*AA85*INDEX(v01_MortElder,G86)/4*Q86</x:f>
        <x:v>0.048009236872005756</x:v>
      </x:c>
      <x:c r="V86" s="9" t="n">
        <x:f>H86*MAX(0,AB85-O86)*v01_OvercapLoss</x:f>
        <x:v>0</x:v>
      </x:c>
      <x:c r="W86" s="9" t="n">
        <x:f>H86*Y85/(v01_ChildYears*4)</x:f>
        <x:v>0.11085072777101632</x:v>
      </x:c>
      <x:c r="X86" s="9" t="n">
        <x:f>H86*Z85/(v01_AdultYears*4)</x:f>
        <x:v>0.061583288884363076</x:v>
      </x:c>
      <x:c r="Y86" s="32" t="n">
        <x:f>Y85+R86-S86-W86-Y85*V86/AB85</x:f>
        <x:v>6.23279185477258</x:v>
      </x:c>
      <x:c r="Z86" s="32" t="n">
        <x:f>Z85+W86-X86-T86-Z85*V86/AB85</x:f>
        <x:v>7.656959031216445</x:v>
      </x:c>
      <x:c r="AA86" s="32" t="n">
        <x:f>AA85+X86-U86-AA85*V86/AB85</x:f>
        <x:v>1.9339435268925873</x:v>
      </x:c>
      <x:c r="AB86" s="10" t="n">
        <x:f>Y86+Z86+AA86</x:f>
        <x:v>15.823694412881611</x:v>
      </x:c>
      <x:c r="AC86" s="8" t="n">
        <x:f>IF(AND(v01_WinterTrigger=1,D86=1,AB85/AE85&gt;=K86),1,0)</x:f>
        <x:v>0</x:v>
      </x:c>
      <x:c r="AD86" s="8" t="n">
        <x:f>H86*IF(AND(OR(AB85/AE85&gt;=v01_FissionTrigger*N86,AC86=1),AB85/AE85*v01_DaughterShare&gt;=v01_MinDaughter),MAX(1,ROUND(AE85*v01_FissionRate,0)),0)</x:f>
        <x:v>0</x:v>
      </x:c>
      <x:c r="AE86" s="8" t="n">
        <x:f>IF(H86=1,MAX(1,MIN(INDEX(v01_Smax,G86),AE85+AD86)),AE85)</x:f>
        <x:v>1</x:v>
      </x:c>
      <x:c r="AF86" s="8" t="n">
        <x:f>MAX(0,AE86-AE85)</x:f>
        <x:v>0</x:v>
      </x:c>
      <x:c r="AG86" s="9" t="str">
        <x:f>IF(AF86&gt;0,B86,"")</x:f>
      </x:c>
      <x:c r="AH86" s="9" t="n">
        <x:f>IF(F86&gt;=1,1,(1+v01_LowTiesShare*(AE86-1))/AE86)</x:f>
        <x:v>1</x:v>
      </x:c>
      <x:c r="AI86" s="32" t="n">
        <x:f>(Z86+v01_ElderCommons*INDEX(LM_Elder,G86)*AA86)*AH86</x:f>
        <x:v>11.52484608500162</x:v>
      </x:c>
      <x:c r="AJ86" s="32" t="n">
        <x:f>H86*v01_CommonsCoef*AI86^v01_CommonsExp*INDEX(LM_Commons,G86)</x:f>
        <x:v>5.026173278562833</x:v>
      </x:c>
      <x:c r="AK86" s="32" t="n">
        <x:f>H86*v01_RoleScale*Arch_Roles*(AE86*(INDEX(v01_ElderRolePerSett,G86)*v01_OutElder*INDEX(LM_Elder,G86)+INDEX(v01_ShamanPerSett,G86)*v01_OutShaman)+Z86*(INDEX(v01_PriestShare,G86)*v01_OutPriest+INDEX(v01_ScribeShare,G86)*v01_OutScribe*INDEX(LM_Scribe,G86)+INDEX(v01_ScholarShare,G86)*v01_OutScholar*INDEX(LM_Scholar,G86)+INDEX(v01_ResearcherShare,G86)*v01_OutResearcher*INDEX(LM_Researcher,G86)))</x:f>
        <x:v>0</x:v>
      </x:c>
      <x:c r="AL86" s="32" t="n">
        <x:f>H86*v01_RoleScale*Arch_Roles*AE86*INDEX(v01_MonasteryPerSett,G86)*v01_OutMonastery*INDEX(LM_Monastery,G86)</x:f>
        <x:v>0</x:v>
      </x:c>
      <x:c r="AM86" s="32" t="n">
        <x:f>(AJ86+AK86+AL86)/4*INDEX(LM_All,G86)*INDEX(v01_Boon,G86)*Arch_Insight</x:f>
        <x:v>1.2565433196407083</x:v>
      </x:c>
      <x:c r="AN86" s="32" t="n">
        <x:f>H86*(v01_KHPerAdult*Z86+v01_KHOfCommons*AJ86/4*INDEX(LM_All,G86))*v01_KHUsable*Arch_KH</x:f>
        <x:v>0.2679935660925756</x:v>
      </x:c>
      <x:c r="AO86" s="32" t="n">
        <x:f>MIN(AP85+AN86,AM86*v01_KHMaxRatio)</x:f>
        <x:v>0.2679935660925756</x:v>
      </x:c>
      <x:c r="AP86" s="32" t="n">
        <x:f>AP85+AN86-AO86</x:f>
        <x:v>0</x:v>
      </x:c>
      <x:c r="AQ86" s="32" t="n">
        <x:f>AM86+AO86</x:f>
        <x:v>1.524536885733284</x:v>
      </x:c>
      <x:c r="AR86" s="10" t="n">
        <x:f>IF(H86=1,INDEX(v01_Req,G86),0)</x:f>
        <x:v>372.02</x:v>
      </x:c>
      <x:c r="AS86" s="32" t="n">
        <x:f>IF(H86=1,IF(E86=1,AS85-AR85,AS85)+AQ86,0)</x:f>
        <x:v>123.61220828976035</x:v>
      </x:c>
      <x:c r="AT86" s="11" t="n">
        <x:f>IF(AR86&gt;0,MIN(1,AS86/AR86),1)</x:f>
        <x:v>0.3322730183585838</x:v>
      </x:c>
      <x:c r="AU86" s="10" t="n">
        <x:f>AB86/INDEX(v01_RepScale,G86)</x:f>
        <x:v>15.823694412881611</x:v>
      </x:c>
      <x:c r="AV86" s="32" t="n">
        <x:f>AM86*60/v01_SeasonSeconds</x:f>
        <x:v>5.026173278562833</x:v>
      </x:c>
    </x:row>
    <x:row r="87">
      <x:c r="A87" s="8" t="n">
        <x:f>A86+1</x:f>
        <x:v>84</x:v>
      </x:c>
      <x:c r="B87" s="9" t="n">
        <x:f>A87*v01_SeasonSeconds/60</x:f>
        <x:v>21</x:v>
      </x:c>
      <x:c r="C87" s="9" t="n">
        <x:f>A87/4</x:f>
        <x:v>21</x:v>
      </x:c>
      <x:c r="D87" s="8" t="n">
        <x:f>IF(MOD(A87,4)=0,1,0)</x:f>
        <x:v>1</x:v>
      </x:c>
      <x:c r="E87" s="8" t="n">
        <x:f>IF(AND(F86&lt;=9,AS86&gt;=AR86),1,0)</x:f>
        <x:v>0</x:v>
      </x:c>
      <x:c r="F87" s="8" t="n">
        <x:f>MIN(10,F86+E87)</x:f>
        <x:v>0</x:v>
      </x:c>
      <x:c r="G87" s="8" t="n">
        <x:f>MIN(F87,9)+1</x:f>
        <x:v>1</x:v>
      </x:c>
      <x:c r="H87" s="8" t="n">
        <x:f>IF(F87&lt;=9,1,0)</x:f>
        <x:v>1</x:v>
      </x:c>
      <x:c r="I87" s="9" t="n">
        <x:f>MIN(10,F86+IF(AR86&gt;0,MIN(1,AS86/AR86),1))</x:f>
        <x:v>0.3322730183585838</x:v>
      </x:c>
      <x:c r="J87" s="32" t="n">
        <x:f>INDEX(v01_FoodCap,G87)*Arch_FoodCap*EXP(v01_CapsByProject*SUMPRODUCT((Cap_Point&lt;=I87)*(Cap_Kind="Food")*Cap_Ln))</x:f>
        <x:v>22</x:v>
      </x:c>
      <x:c r="K87" s="32" t="n">
        <x:f>J87*MIN(1,v01_LeanBase*EXP(v01_CapsByProject*SUMPRODUCT((Cap_Point&lt;=I87)*(Cap_Kind="Lean")*Cap_Ln)))</x:f>
        <x:v>22</x:v>
      </x:c>
      <x:c r="L87" s="10" t="n">
        <x:f>INDEX(v01_HousingCap,G87)*EXP(v01_CapsByProject*SUMPRODUCT((Cap_Point&lt;=I87)*(Cap_Kind="Housing")*Cap_Ln))</x:f>
        <x:v>60</x:v>
      </x:c>
      <x:c r="M87" s="10" t="n">
        <x:f>INDEX(v01_GroupCap,G87)*v01_CohesionFactor*EXP(v01_CapsByProject*SUMPRODUCT((Cap_Point&lt;=I87)*(Cap_Kind="Group")*Cap_Ln))</x:f>
        <x:v>35</x:v>
      </x:c>
      <x:c r="N87" s="32" t="n">
        <x:f>MIN(J87,L87,M87)</x:f>
        <x:v>22</x:v>
      </x:c>
      <x:c r="O87" s="10" t="n">
        <x:f>AE86*N87</x:f>
        <x:v>22</x:v>
      </x:c>
      <x:c r="P87" s="9" t="n">
        <x:f>MIN(1,(AB86/(AE86*IF(v01_GroupInCrowding=1,N87,MIN(J87,L87))))^v01_CrowdingExp)</x:f>
        <x:v>0.13845582715667087</x:v>
      </x:c>
      <x:c r="Q87" s="9" t="n">
        <x:f>IF(D87=1,INDEX(v01_WinterMult,G87),1)</x:f>
        <x:v>2</x:v>
      </x:c>
      <x:c r="R87" s="9" t="n">
        <x:f>H87*Z86*v01_WomenShare*v01_BaseFertility*INDEX(v01_FertMult,G87)*Arch_Fertility*(1-P87)</x:f>
        <x:v>0.1979042530513389</x:v>
      </x:c>
      <x:c r="S87" s="9" t="n">
        <x:f>H87*Y86*INDEX(v01_MortChild,G87)/4*Q87</x:f>
        <x:v>0.1246558370954516</x:v>
      </x:c>
      <x:c r="T87" s="9" t="n">
        <x:f>H87*Z86*INDEX(v01_MortAdult,G87)*Arch_AdultMort/4*Q87</x:f>
        <x:v>0.057427192734123333</x:v>
      </x:c>
      <x:c r="U87" s="9" t="n">
        <x:f>H87*AA86*INDEX(v01_MortElder,G87)/4*Q87</x:f>
        <x:v>0.09669717634462938</x:v>
      </x:c>
      <x:c r="V87" s="9" t="n">
        <x:f>H87*MAX(0,AB86-O87)*v01_OvercapLoss</x:f>
        <x:v>0</x:v>
      </x:c>
      <x:c r="W87" s="9" t="n">
        <x:f>H87*Y86/(v01_ChildYears*4)</x:f>
        <x:v>0.11129985454951034</x:v>
      </x:c>
      <x:c r="X87" s="9" t="n">
        <x:f>H87*Z86/(v01_AdultYears*4)</x:f>
        <x:v>0.061749669606584234</x:v>
      </x:c>
      <x:c r="Y87" s="32" t="n">
        <x:f>Y86+R87-S87-W87-Y86*V87/AB86</x:f>
        <x:v>6.194740416178957</x:v>
      </x:c>
      <x:c r="Z87" s="32" t="n">
        <x:f>Z86+W87-X87-T87-Z86*V87/AB86</x:f>
        <x:v>7.6490820234252475</x:v>
      </x:c>
      <x:c r="AA87" s="32" t="n">
        <x:f>AA86+X87-U87-AA86*V87/AB86</x:f>
        <x:v>1.8989960201545422</x:v>
      </x:c>
      <x:c r="AB87" s="10" t="n">
        <x:f>Y87+Z87+AA87</x:f>
        <x:v>15.742818459758746</x:v>
      </x:c>
      <x:c r="AC87" s="8" t="n">
        <x:f>IF(AND(v01_WinterTrigger=1,D87=1,AB86/AE86&gt;=K87),1,0)</x:f>
        <x:v>0</x:v>
      </x:c>
      <x:c r="AD87" s="8" t="n">
        <x:f>H87*IF(AND(OR(AB86/AE86&gt;=v01_FissionTrigger*N87,AC87=1),AB86/AE86*v01_DaughterShare&gt;=v01_MinDaughter),MAX(1,ROUND(AE86*v01_FissionRate,0)),0)</x:f>
        <x:v>0</x:v>
      </x:c>
      <x:c r="AE87" s="8" t="n">
        <x:f>IF(H87=1,MAX(1,MIN(INDEX(v01_Smax,G87),AE86+AD87)),AE86)</x:f>
        <x:v>1</x:v>
      </x:c>
      <x:c r="AF87" s="8" t="n">
        <x:f>MAX(0,AE87-AE86)</x:f>
        <x:v>0</x:v>
      </x:c>
      <x:c r="AG87" s="9" t="str">
        <x:f>IF(AF87&gt;0,B87,"")</x:f>
      </x:c>
      <x:c r="AH87" s="9" t="n">
        <x:f>IF(F87&gt;=1,1,(1+v01_LowTiesShare*(AE87-1))/AE87)</x:f>
        <x:v>1</x:v>
      </x:c>
      <x:c r="AI87" s="32" t="n">
        <x:f>(Z87+v01_ElderCommons*INDEX(LM_Elder,G87)*AA87)*AH87</x:f>
        <x:v>11.447074063734332</x:v>
      </x:c>
      <x:c r="AJ87" s="32" t="n">
        <x:f>H87*v01_CommonsCoef*AI87^v01_CommonsExp*INDEX(LM_Commons,G87)</x:f>
        <x:v>4.997328649876766</x:v>
      </x:c>
      <x:c r="AK87" s="32" t="n">
        <x:f>H87*v01_RoleScale*Arch_Roles*(AE87*(INDEX(v01_ElderRolePerSett,G87)*v01_OutElder*INDEX(LM_Elder,G87)+INDEX(v01_ShamanPerSett,G87)*v01_OutShaman)+Z87*(INDEX(v01_PriestShare,G87)*v01_OutPriest+INDEX(v01_ScribeShare,G87)*v01_OutScribe*INDEX(LM_Scribe,G87)+INDEX(v01_ScholarShare,G87)*v01_OutScholar*INDEX(LM_Scholar,G87)+INDEX(v01_ResearcherShare,G87)*v01_OutResearcher*INDEX(LM_Researcher,G87)))</x:f>
        <x:v>0</x:v>
      </x:c>
      <x:c r="AL87" s="32" t="n">
        <x:f>H87*v01_RoleScale*Arch_Roles*AE87*INDEX(v01_MonasteryPerSett,G87)*v01_OutMonastery*INDEX(LM_Monastery,G87)</x:f>
        <x:v>0</x:v>
      </x:c>
      <x:c r="AM87" s="32" t="n">
        <x:f>(AJ87+AK87+AL87)/4*INDEX(LM_All,G87)*INDEX(v01_Boon,G87)*Arch_Insight</x:f>
        <x:v>1.2493321624691915</x:v>
      </x:c>
      <x:c r="AN87" s="32" t="n">
        <x:f>H87*(v01_KHPerAdult*Z87+v01_KHOfCommons*AJ87/4*INDEX(LM_All,G87))*v01_KHUsable*Arch_KH</x:f>
        <x:v>0.26771787081988363</x:v>
      </x:c>
      <x:c r="AO87" s="32" t="n">
        <x:f>MIN(AP86+AN87,AM87*v01_KHMaxRatio)</x:f>
        <x:v>0.26771787081988363</x:v>
      </x:c>
      <x:c r="AP87" s="32" t="n">
        <x:f>AP86+AN87-AO87</x:f>
        <x:v>0</x:v>
      </x:c>
      <x:c r="AQ87" s="32" t="n">
        <x:f>AM87+AO87</x:f>
        <x:v>1.5170500332890753</x:v>
      </x:c>
      <x:c r="AR87" s="10" t="n">
        <x:f>IF(H87=1,INDEX(v01_Req,G87),0)</x:f>
        <x:v>372.02</x:v>
      </x:c>
      <x:c r="AS87" s="32" t="n">
        <x:f>IF(H87=1,IF(E87=1,AS86-AR86,AS86)+AQ87,0)</x:f>
        <x:v>125.12925832304943</x:v>
      </x:c>
      <x:c r="AT87" s="11" t="n">
        <x:f>IF(AR87&gt;0,MIN(1,AS87/AR87),1)</x:f>
        <x:v>0.3363508906054767</x:v>
      </x:c>
      <x:c r="AU87" s="10" t="n">
        <x:f>AB87/INDEX(v01_RepScale,G87)</x:f>
        <x:v>15.742818459758746</x:v>
      </x:c>
      <x:c r="AV87" s="32" t="n">
        <x:f>AM87*60/v01_SeasonSeconds</x:f>
        <x:v>4.997328649876766</x:v>
      </x:c>
    </x:row>
    <x:row r="88">
      <x:c r="A88" s="8" t="n">
        <x:f>A87+1</x:f>
        <x:v>85</x:v>
      </x:c>
      <x:c r="B88" s="9" t="n">
        <x:f>A88*v01_SeasonSeconds/60</x:f>
        <x:v>21.25</x:v>
      </x:c>
      <x:c r="C88" s="9" t="n">
        <x:f>A88/4</x:f>
        <x:v>21.25</x:v>
      </x:c>
      <x:c r="D88" s="8" t="n">
        <x:f>IF(MOD(A88,4)=0,1,0)</x:f>
        <x:v>0</x:v>
      </x:c>
      <x:c r="E88" s="8" t="n">
        <x:f>IF(AND(F87&lt;=9,AS87&gt;=AR87),1,0)</x:f>
        <x:v>0</x:v>
      </x:c>
      <x:c r="F88" s="8" t="n">
        <x:f>MIN(10,F87+E88)</x:f>
        <x:v>0</x:v>
      </x:c>
      <x:c r="G88" s="8" t="n">
        <x:f>MIN(F88,9)+1</x:f>
        <x:v>1</x:v>
      </x:c>
      <x:c r="H88" s="8" t="n">
        <x:f>IF(F88&lt;=9,1,0)</x:f>
        <x:v>1</x:v>
      </x:c>
      <x:c r="I88" s="9" t="n">
        <x:f>MIN(10,F87+IF(AR87&gt;0,MIN(1,AS87/AR87),1))</x:f>
        <x:v>0.3363508906054767</x:v>
      </x:c>
      <x:c r="J88" s="32" t="n">
        <x:f>INDEX(v01_FoodCap,G88)*Arch_FoodCap*EXP(v01_CapsByProject*SUMPRODUCT((Cap_Point&lt;=I88)*(Cap_Kind="Food")*Cap_Ln))</x:f>
        <x:v>22</x:v>
      </x:c>
      <x:c r="K88" s="32" t="n">
        <x:f>J88*MIN(1,v01_LeanBase*EXP(v01_CapsByProject*SUMPRODUCT((Cap_Point&lt;=I88)*(Cap_Kind="Lean")*Cap_Ln)))</x:f>
        <x:v>22</x:v>
      </x:c>
      <x:c r="L88" s="10" t="n">
        <x:f>INDEX(v01_HousingCap,G88)*EXP(v01_CapsByProject*SUMPRODUCT((Cap_Point&lt;=I88)*(Cap_Kind="Housing")*Cap_Ln))</x:f>
        <x:v>60</x:v>
      </x:c>
      <x:c r="M88" s="10" t="n">
        <x:f>INDEX(v01_GroupCap,G88)*v01_CohesionFactor*EXP(v01_CapsByProject*SUMPRODUCT((Cap_Point&lt;=I88)*(Cap_Kind="Group")*Cap_Ln))</x:f>
        <x:v>35</x:v>
      </x:c>
      <x:c r="N88" s="32" t="n">
        <x:f>MIN(J88,L88,M88)</x:f>
        <x:v>22</x:v>
      </x:c>
      <x:c r="O88" s="10" t="n">
        <x:f>AE87*N88</x:f>
        <x:v>22</x:v>
      </x:c>
      <x:c r="P88" s="9" t="n">
        <x:f>MIN(1,(AB87/(AE87*IF(v01_GroupInCrowding=1,N88,MIN(J88,L88))))^v01_CrowdingExp)</x:f>
        <x:v>0.1342637705006737</x:v>
      </x:c>
      <x:c r="Q88" s="9" t="n">
        <x:f>IF(D88=1,INDEX(v01_WinterMult,G88),1)</x:f>
        <x:v>1</x:v>
      </x:c>
      <x:c r="R88" s="9" t="n">
        <x:f>H88*Z87*v01_WomenShare*v01_BaseFertility*INDEX(v01_FertMult,G88)*Arch_Fertility*(1-P88)</x:f>
        <x:v>0.19866262290273753</x:v>
      </x:c>
      <x:c r="S88" s="9" t="n">
        <x:f>H88*Y87*INDEX(v01_MortChild,G88)/4*Q88</x:f>
        <x:v>0.06194740416178957</x:v>
      </x:c>
      <x:c r="T88" s="9" t="n">
        <x:f>H88*Z87*INDEX(v01_MortAdult,G88)*Arch_AdultMort/4*Q88</x:f>
        <x:v>0.028684057587844678</x:v>
      </x:c>
      <x:c r="U88" s="9" t="n">
        <x:f>H88*AA87*INDEX(v01_MortElder,G88)/4*Q88</x:f>
        <x:v>0.047474900503863555</x:v>
      </x:c>
      <x:c r="V88" s="9" t="n">
        <x:f>H88*MAX(0,AB87-O88)*v01_OvercapLoss</x:f>
        <x:v>0</x:v>
      </x:c>
      <x:c r="W88" s="9" t="n">
        <x:f>H88*Y87/(v01_ChildYears*4)</x:f>
        <x:v>0.11062036457462424</x:v>
      </x:c>
      <x:c r="X88" s="9" t="n">
        <x:f>H88*Z87/(v01_AdultYears*4)</x:f>
        <x:v>0.06168614535020361</x:v>
      </x:c>
      <x:c r="Y88" s="32" t="n">
        <x:f>Y87+R88-S88-W88-Y87*V88/AB87</x:f>
        <x:v>6.220835270345281</x:v>
      </x:c>
      <x:c r="Z88" s="32" t="n">
        <x:f>Z87+W88-X88-T88-Z87*V88/AB87</x:f>
        <x:v>7.6693321850618235</x:v>
      </x:c>
      <x:c r="AA88" s="32" t="n">
        <x:f>AA87+X88-U88-AA87*V88/AB87</x:f>
        <x:v>1.9132072650008822</x:v>
      </x:c>
      <x:c r="AB88" s="10" t="n">
        <x:f>Y88+Z88+AA88</x:f>
        <x:v>15.803374720407987</x:v>
      </x:c>
      <x:c r="AC88" s="8" t="n">
        <x:f>IF(AND(v01_WinterTrigger=1,D88=1,AB87/AE87&gt;=K88),1,0)</x:f>
        <x:v>0</x:v>
      </x:c>
      <x:c r="AD88" s="8" t="n">
        <x:f>H88*IF(AND(OR(AB87/AE87&gt;=v01_FissionTrigger*N88,AC88=1),AB87/AE87*v01_DaughterShare&gt;=v01_MinDaughter),MAX(1,ROUND(AE87*v01_FissionRate,0)),0)</x:f>
        <x:v>0</x:v>
      </x:c>
      <x:c r="AE88" s="8" t="n">
        <x:f>IF(H88=1,MAX(1,MIN(INDEX(v01_Smax,G88),AE87+AD88)),AE87)</x:f>
        <x:v>1</x:v>
      </x:c>
      <x:c r="AF88" s="8" t="n">
        <x:f>MAX(0,AE88-AE87)</x:f>
        <x:v>0</x:v>
      </x:c>
      <x:c r="AG88" s="9" t="str">
        <x:f>IF(AF88&gt;0,B88,"")</x:f>
      </x:c>
      <x:c r="AH88" s="9" t="n">
        <x:f>IF(F88&gt;=1,1,(1+v01_LowTiesShare*(AE88-1))/AE88)</x:f>
        <x:v>1</x:v>
      </x:c>
      <x:c r="AI88" s="32" t="n">
        <x:f>(Z88+v01_ElderCommons*INDEX(LM_Elder,G88)*AA88)*AH88</x:f>
        <x:v>11.495746715063587</x:v>
      </x:c>
      <x:c r="AJ88" s="32" t="n">
        <x:f>H88*v01_CommonsCoef*AI88^v01_CommonsExp*INDEX(LM_Commons,G88)</x:f>
        <x:v>5.015384130620381</x:v>
      </x:c>
      <x:c r="AK88" s="32" t="n">
        <x:f>H88*v01_RoleScale*Arch_Roles*(AE88*(INDEX(v01_ElderRolePerSett,G88)*v01_OutElder*INDEX(LM_Elder,G88)+INDEX(v01_ShamanPerSett,G88)*v01_OutShaman)+Z88*(INDEX(v01_PriestShare,G88)*v01_OutPriest+INDEX(v01_ScribeShare,G88)*v01_OutScribe*INDEX(LM_Scribe,G88)+INDEX(v01_ScholarShare,G88)*v01_OutScholar*INDEX(LM_Scholar,G88)+INDEX(v01_ResearcherShare,G88)*v01_OutResearcher*INDEX(LM_Researcher,G88)))</x:f>
        <x:v>0</x:v>
      </x:c>
      <x:c r="AL88" s="32" t="n">
        <x:f>H88*v01_RoleScale*Arch_Roles*AE88*INDEX(v01_MonasteryPerSett,G88)*v01_OutMonastery*INDEX(LM_Monastery,G88)</x:f>
        <x:v>0</x:v>
      </x:c>
      <x:c r="AM88" s="32" t="n">
        <x:f>(AJ88+AK88+AL88)/4*INDEX(LM_All,G88)*INDEX(v01_Boon,G88)*Arch_Insight</x:f>
        <x:v>1.2538460326550953</x:v>
      </x:c>
      <x:c r="AN88" s="32" t="n">
        <x:f>H88*(v01_KHPerAdult*Z88+v01_KHOfCommons*AJ88/4*INDEX(LM_All,G88))*v01_KHUsable*Arch_KH</x:f>
        <x:v>0.2684266264771638</x:v>
      </x:c>
      <x:c r="AO88" s="32" t="n">
        <x:f>MIN(AP87+AN88,AM88*v01_KHMaxRatio)</x:f>
        <x:v>0.2684266264771638</x:v>
      </x:c>
      <x:c r="AP88" s="32" t="n">
        <x:f>AP87+AN88-AO88</x:f>
        <x:v>0</x:v>
      </x:c>
      <x:c r="AQ88" s="32" t="n">
        <x:f>AM88+AO88</x:f>
        <x:v>1.522272659132259</x:v>
      </x:c>
      <x:c r="AR88" s="10" t="n">
        <x:f>IF(H88=1,INDEX(v01_Req,G88),0)</x:f>
        <x:v>372.02</x:v>
      </x:c>
      <x:c r="AS88" s="32" t="n">
        <x:f>IF(H88=1,IF(E88=1,AS87-AR87,AS87)+AQ88,0)</x:f>
        <x:v>126.65153098218168</x:v>
      </x:c>
      <x:c r="AT88" s="11" t="n">
        <x:f>IF(AR88&gt;0,MIN(1,AS88/AR88),1)</x:f>
        <x:v>0.34044280141439087</x:v>
      </x:c>
      <x:c r="AU88" s="10" t="n">
        <x:f>AB88/INDEX(v01_RepScale,G88)</x:f>
        <x:v>15.803374720407987</x:v>
      </x:c>
      <x:c r="AV88" s="32" t="n">
        <x:f>AM88*60/v01_SeasonSeconds</x:f>
        <x:v>5.015384130620381</x:v>
      </x:c>
    </x:row>
    <x:row r="89">
      <x:c r="A89" s="8" t="n">
        <x:f>A88+1</x:f>
        <x:v>86</x:v>
      </x:c>
      <x:c r="B89" s="9" t="n">
        <x:f>A89*v01_SeasonSeconds/60</x:f>
        <x:v>21.5</x:v>
      </x:c>
      <x:c r="C89" s="9" t="n">
        <x:f>A89/4</x:f>
        <x:v>21.5</x:v>
      </x:c>
      <x:c r="D89" s="8" t="n">
        <x:f>IF(MOD(A89,4)=0,1,0)</x:f>
        <x:v>0</x:v>
      </x:c>
      <x:c r="E89" s="8" t="n">
        <x:f>IF(AND(F88&lt;=9,AS88&gt;=AR88),1,0)</x:f>
        <x:v>0</x:v>
      </x:c>
      <x:c r="F89" s="8" t="n">
        <x:f>MIN(10,F88+E89)</x:f>
        <x:v>0</x:v>
      </x:c>
      <x:c r="G89" s="8" t="n">
        <x:f>MIN(F89,9)+1</x:f>
        <x:v>1</x:v>
      </x:c>
      <x:c r="H89" s="8" t="n">
        <x:f>IF(F89&lt;=9,1,0)</x:f>
        <x:v>1</x:v>
      </x:c>
      <x:c r="I89" s="9" t="n">
        <x:f>MIN(10,F88+IF(AR88&gt;0,MIN(1,AS88/AR88),1))</x:f>
        <x:v>0.34044280141439087</x:v>
      </x:c>
      <x:c r="J89" s="32" t="n">
        <x:f>INDEX(v01_FoodCap,G89)*Arch_FoodCap*EXP(v01_CapsByProject*SUMPRODUCT((Cap_Point&lt;=I89)*(Cap_Kind="Food")*Cap_Ln))</x:f>
        <x:v>22</x:v>
      </x:c>
      <x:c r="K89" s="32" t="n">
        <x:f>J89*MIN(1,v01_LeanBase*EXP(v01_CapsByProject*SUMPRODUCT((Cap_Point&lt;=I89)*(Cap_Kind="Lean")*Cap_Ln)))</x:f>
        <x:v>22</x:v>
      </x:c>
      <x:c r="L89" s="10" t="n">
        <x:f>INDEX(v01_HousingCap,G89)*EXP(v01_CapsByProject*SUMPRODUCT((Cap_Point&lt;=I89)*(Cap_Kind="Housing")*Cap_Ln))</x:f>
        <x:v>60</x:v>
      </x:c>
      <x:c r="M89" s="10" t="n">
        <x:f>INDEX(v01_GroupCap,G89)*v01_CohesionFactor*EXP(v01_CapsByProject*SUMPRODUCT((Cap_Point&lt;=I89)*(Cap_Kind="Group")*Cap_Ln))</x:f>
        <x:v>35</x:v>
      </x:c>
      <x:c r="N89" s="32" t="n">
        <x:f>MIN(J89,L89,M89)</x:f>
        <x:v>22</x:v>
      </x:c>
      <x:c r="O89" s="10" t="n">
        <x:f>AE88*N89</x:f>
        <x:v>22</x:v>
      </x:c>
      <x:c r="P89" s="9" t="n">
        <x:f>MIN(1,(AB88/(AE88*IF(v01_GroupInCrowding=1,N89,MIN(J89,L89))))^v01_CrowdingExp)</x:f>
        <x:v>0.13739247368070637</x:v>
      </x:c>
      <x:c r="Q89" s="9" t="n">
        <x:f>IF(D89=1,INDEX(v01_WinterMult,G89),1)</x:f>
        <x:v>1</x:v>
      </x:c>
      <x:c r="R89" s="9" t="n">
        <x:f>H89*Z88*v01_WomenShare*v01_BaseFertility*INDEX(v01_FertMult,G89)*Arch_Fertility*(1-P89)</x:f>
        <x:v>0.19846870994031368</x:v>
      </x:c>
      <x:c r="S89" s="9" t="n">
        <x:f>H89*Y88*INDEX(v01_MortChild,G89)/4*Q89</x:f>
        <x:v>0.06220835270345282</x:v>
      </x:c>
      <x:c r="T89" s="9" t="n">
        <x:f>H89*Z88*INDEX(v01_MortAdult,G89)*Arch_AdultMort/4*Q89</x:f>
        <x:v>0.028759995693981837</x:v>
      </x:c>
      <x:c r="U89" s="9" t="n">
        <x:f>H89*AA88*INDEX(v01_MortElder,G89)/4*Q89</x:f>
        <x:v>0.04783018162502206</x:v>
      </x:c>
      <x:c r="V89" s="9" t="n">
        <x:f>H89*MAX(0,AB88-O89)*v01_OvercapLoss</x:f>
        <x:v>0</x:v>
      </x:c>
      <x:c r="W89" s="9" t="n">
        <x:f>H89*Y88/(v01_ChildYears*4)</x:f>
        <x:v>0.1110863441133086</x:v>
      </x:c>
      <x:c r="X89" s="9" t="n">
        <x:f>H89*Z88/(v01_AdultYears*4)</x:f>
        <x:v>0.061849453105337286</x:v>
      </x:c>
      <x:c r="Y89" s="32" t="n">
        <x:f>Y88+R89-S89-W89-Y88*V89/AB88</x:f>
        <x:v>6.246009283468833</x:v>
      </x:c>
      <x:c r="Z89" s="32" t="n">
        <x:f>Z88+W89-X89-T89-Z88*V89/AB88</x:f>
        <x:v>7.689809080375814</x:v>
      </x:c>
      <x:c r="AA89" s="32" t="n">
        <x:f>AA88+X89-U89-AA88*V89/AB88</x:f>
        <x:v>1.9272265364811973</x:v>
      </x:c>
      <x:c r="AB89" s="10" t="n">
        <x:f>Y89+Z89+AA89</x:f>
        <x:v>15.863044900325843</x:v>
      </x:c>
      <x:c r="AC89" s="8" t="n">
        <x:f>IF(AND(v01_WinterTrigger=1,D89=1,AB88/AE88&gt;=K89),1,0)</x:f>
        <x:v>0</x:v>
      </x:c>
      <x:c r="AD89" s="8" t="n">
        <x:f>H89*IF(AND(OR(AB88/AE88&gt;=v01_FissionTrigger*N89,AC89=1),AB88/AE88*v01_DaughterShare&gt;=v01_MinDaughter),MAX(1,ROUND(AE88*v01_FissionRate,0)),0)</x:f>
        <x:v>0</x:v>
      </x:c>
      <x:c r="AE89" s="8" t="n">
        <x:f>IF(H89=1,MAX(1,MIN(INDEX(v01_Smax,G89),AE88+AD89)),AE88)</x:f>
        <x:v>1</x:v>
      </x:c>
      <x:c r="AF89" s="8" t="n">
        <x:f>MAX(0,AE89-AE88)</x:f>
        <x:v>0</x:v>
      </x:c>
      <x:c r="AG89" s="9" t="str">
        <x:f>IF(AF89&gt;0,B89,"")</x:f>
      </x:c>
      <x:c r="AH89" s="9" t="n">
        <x:f>IF(F89&gt;=1,1,(1+v01_LowTiesShare*(AE89-1))/AE89)</x:f>
        <x:v>1</x:v>
      </x:c>
      <x:c r="AI89" s="32" t="n">
        <x:f>(Z89+v01_ElderCommons*INDEX(LM_Elder,G89)*AA89)*AH89</x:f>
        <x:v>11.54426215333821</x:v>
      </x:c>
      <x:c r="AJ89" s="32" t="n">
        <x:f>H89*v01_CommonsCoef*AI89^v01_CommonsExp*INDEX(LM_Commons,G89)</x:f>
        <x:v>5.033369884084893</x:v>
      </x:c>
      <x:c r="AK89" s="32" t="n">
        <x:f>H89*v01_RoleScale*Arch_Roles*(AE89*(INDEX(v01_ElderRolePerSett,G89)*v01_OutElder*INDEX(LM_Elder,G89)+INDEX(v01_ShamanPerSett,G89)*v01_OutShaman)+Z89*(INDEX(v01_PriestShare,G89)*v01_OutPriest+INDEX(v01_ScribeShare,G89)*v01_OutScribe*INDEX(LM_Scribe,G89)+INDEX(v01_ScholarShare,G89)*v01_OutScholar*INDEX(LM_Scholar,G89)+INDEX(v01_ResearcherShare,G89)*v01_OutResearcher*INDEX(LM_Researcher,G89)))</x:f>
        <x:v>0</x:v>
      </x:c>
      <x:c r="AL89" s="32" t="n">
        <x:f>H89*v01_RoleScale*Arch_Roles*AE89*INDEX(v01_MonasteryPerSett,G89)*v01_OutMonastery*INDEX(LM_Monastery,G89)</x:f>
        <x:v>0</x:v>
      </x:c>
      <x:c r="AM89" s="32" t="n">
        <x:f>(AJ89+AK89+AL89)/4*INDEX(LM_All,G89)*INDEX(v01_Boon,G89)*Arch_Insight</x:f>
        <x:v>1.2583424710212232</x:v>
      </x:c>
      <x:c r="AN89" s="32" t="n">
        <x:f>H89*(v01_KHPerAdult*Z89+v01_KHOfCommons*AJ89/4*INDEX(LM_All,G89))*v01_KHUsable*Arch_KH</x:f>
        <x:v>0.2691433178131535</x:v>
      </x:c>
      <x:c r="AO89" s="32" t="n">
        <x:f>MIN(AP88+AN89,AM89*v01_KHMaxRatio)</x:f>
        <x:v>0.2691433178131535</x:v>
      </x:c>
      <x:c r="AP89" s="32" t="n">
        <x:f>AP88+AN89-AO89</x:f>
        <x:v>0</x:v>
      </x:c>
      <x:c r="AQ89" s="32" t="n">
        <x:f>AM89+AO89</x:f>
        <x:v>1.5274857888343767</x:v>
      </x:c>
      <x:c r="AR89" s="10" t="n">
        <x:f>IF(H89=1,INDEX(v01_Req,G89),0)</x:f>
        <x:v>372.02</x:v>
      </x:c>
      <x:c r="AS89" s="32" t="n">
        <x:f>IF(H89=1,IF(E89=1,AS88-AR88,AS88)+AQ89,0)</x:f>
        <x:v>128.17901677101605</x:v>
      </x:c>
      <x:c r="AT89" s="11" t="n">
        <x:f>IF(AR89&gt;0,MIN(1,AS89/AR89),1)</x:f>
        <x:v>0.3445487252594378</x:v>
      </x:c>
      <x:c r="AU89" s="10" t="n">
        <x:f>AB89/INDEX(v01_RepScale,G89)</x:f>
        <x:v>15.863044900325843</x:v>
      </x:c>
      <x:c r="AV89" s="32" t="n">
        <x:f>AM89*60/v01_SeasonSeconds</x:f>
        <x:v>5.033369884084893</x:v>
      </x:c>
    </x:row>
    <x:row r="90">
      <x:c r="A90" s="8" t="n">
        <x:f>A89+1</x:f>
        <x:v>87</x:v>
      </x:c>
      <x:c r="B90" s="9" t="n">
        <x:f>A90*v01_SeasonSeconds/60</x:f>
        <x:v>21.75</x:v>
      </x:c>
      <x:c r="C90" s="9" t="n">
        <x:f>A90/4</x:f>
        <x:v>21.75</x:v>
      </x:c>
      <x:c r="D90" s="8" t="n">
        <x:f>IF(MOD(A90,4)=0,1,0)</x:f>
        <x:v>0</x:v>
      </x:c>
      <x:c r="E90" s="8" t="n">
        <x:f>IF(AND(F89&lt;=9,AS89&gt;=AR89),1,0)</x:f>
        <x:v>0</x:v>
      </x:c>
      <x:c r="F90" s="8" t="n">
        <x:f>MIN(10,F89+E90)</x:f>
        <x:v>0</x:v>
      </x:c>
      <x:c r="G90" s="8" t="n">
        <x:f>MIN(F90,9)+1</x:f>
        <x:v>1</x:v>
      </x:c>
      <x:c r="H90" s="8" t="n">
        <x:f>IF(F90&lt;=9,1,0)</x:f>
        <x:v>1</x:v>
      </x:c>
      <x:c r="I90" s="9" t="n">
        <x:f>MIN(10,F89+IF(AR89&gt;0,MIN(1,AS89/AR89),1))</x:f>
        <x:v>0.3445487252594378</x:v>
      </x:c>
      <x:c r="J90" s="32" t="n">
        <x:f>INDEX(v01_FoodCap,G90)*Arch_FoodCap*EXP(v01_CapsByProject*SUMPRODUCT((Cap_Point&lt;=I90)*(Cap_Kind="Food")*Cap_Ln))</x:f>
        <x:v>22</x:v>
      </x:c>
      <x:c r="K90" s="32" t="n">
        <x:f>J90*MIN(1,v01_LeanBase*EXP(v01_CapsByProject*SUMPRODUCT((Cap_Point&lt;=I90)*(Cap_Kind="Lean")*Cap_Ln)))</x:f>
        <x:v>22</x:v>
      </x:c>
      <x:c r="L90" s="10" t="n">
        <x:f>INDEX(v01_HousingCap,G90)*EXP(v01_CapsByProject*SUMPRODUCT((Cap_Point&lt;=I90)*(Cap_Kind="Housing")*Cap_Ln))</x:f>
        <x:v>60</x:v>
      </x:c>
      <x:c r="M90" s="10" t="n">
        <x:f>INDEX(v01_GroupCap,G90)*v01_CohesionFactor*EXP(v01_CapsByProject*SUMPRODUCT((Cap_Point&lt;=I90)*(Cap_Kind="Group")*Cap_Ln))</x:f>
        <x:v>35</x:v>
      </x:c>
      <x:c r="N90" s="32" t="n">
        <x:f>MIN(J90,L90,M90)</x:f>
        <x:v>22</x:v>
      </x:c>
      <x:c r="O90" s="10" t="n">
        <x:f>AE89*N90</x:f>
        <x:v>22</x:v>
      </x:c>
      <x:c r="P90" s="9" t="n">
        <x:f>MIN(1,(AB89/(AE89*IF(v01_GroupInCrowding=1,N90,MIN(J90,L90))))^v01_CrowdingExp)</x:f>
        <x:v>0.1405345916528671</x:v>
      </x:c>
      <x:c r="Q90" s="9" t="n">
        <x:f>IF(D90=1,INDEX(v01_WinterMult,G90),1)</x:f>
        <x:v>1</x:v>
      </x:c>
      <x:c r="R90" s="9" t="n">
        <x:f>H90*Z89*v01_WomenShare*v01_BaseFertility*INDEX(v01_FertMult,G90)*Arch_Fertility*(1-P90)</x:f>
        <x:v>0.19827374704130069</x:v>
      </x:c>
      <x:c r="S90" s="9" t="n">
        <x:f>H90*Y89*INDEX(v01_MortChild,G90)/4*Q90</x:f>
        <x:v>0.062460092834688334</x:v>
      </x:c>
      <x:c r="T90" s="9" t="n">
        <x:f>H90*Z89*INDEX(v01_MortAdult,G90)*Arch_AdultMort/4*Q90</x:f>
        <x:v>0.0288367840514093</x:v>
      </x:c>
      <x:c r="U90" s="9" t="n">
        <x:f>H90*AA89*INDEX(v01_MortElder,G90)/4*Q90</x:f>
        <x:v>0.048180663412029937</x:v>
      </x:c>
      <x:c r="V90" s="9" t="n">
        <x:f>H90*MAX(0,AB89-O90)*v01_OvercapLoss</x:f>
        <x:v>0</x:v>
      </x:c>
      <x:c r="W90" s="9" t="n">
        <x:f>H90*Y89/(v01_ChildYears*4)</x:f>
        <x:v>0.11153588006194345</x:v>
      </x:c>
      <x:c r="X90" s="9" t="n">
        <x:f>H90*Z89/(v01_AdultYears*4)</x:f>
        <x:v>0.062014589357869465</x:v>
      </x:c>
      <x:c r="Y90" s="32" t="n">
        <x:f>Y89+R90-S90-W90-Y89*V90/AB89</x:f>
        <x:v>6.270287057613502</x:v>
      </x:c>
      <x:c r="Z90" s="32" t="n">
        <x:f>Z89+W90-X90-T90-Z89*V90/AB89</x:f>
        <x:v>7.710493587028478</x:v>
      </x:c>
      <x:c r="AA90" s="32" t="n">
        <x:f>AA89+X90-U90-AA89*V90/AB89</x:f>
        <x:v>1.941060462427037</x:v>
      </x:c>
      <x:c r="AB90" s="10" t="n">
        <x:f>Y90+Z90+AA90</x:f>
        <x:v>15.921841107069017</x:v>
      </x:c>
      <x:c r="AC90" s="8" t="n">
        <x:f>IF(AND(v01_WinterTrigger=1,D90=1,AB89/AE89&gt;=K90),1,0)</x:f>
        <x:v>0</x:v>
      </x:c>
      <x:c r="AD90" s="8" t="n">
        <x:f>H90*IF(AND(OR(AB89/AE89&gt;=v01_FissionTrigger*N90,AC90=1),AB89/AE89*v01_DaughterShare&gt;=v01_MinDaughter),MAX(1,ROUND(AE89*v01_FissionRate,0)),0)</x:f>
        <x:v>0</x:v>
      </x:c>
      <x:c r="AE90" s="8" t="n">
        <x:f>IF(H90=1,MAX(1,MIN(INDEX(v01_Smax,G90),AE89+AD90)),AE89)</x:f>
        <x:v>1</x:v>
      </x:c>
      <x:c r="AF90" s="8" t="n">
        <x:f>MAX(0,AE90-AE89)</x:f>
        <x:v>0</x:v>
      </x:c>
      <x:c r="AG90" s="9" t="str">
        <x:f>IF(AF90&gt;0,B90,"")</x:f>
      </x:c>
      <x:c r="AH90" s="9" t="n">
        <x:f>IF(F90&gt;=1,1,(1+v01_LowTiesShare*(AE90-1))/AE90)</x:f>
        <x:v>1</x:v>
      </x:c>
      <x:c r="AI90" s="32" t="n">
        <x:f>(Z90+v01_ElderCommons*INDEX(LM_Elder,G90)*AA90)*AH90</x:f>
        <x:v>11.592614511882552</x:v>
      </x:c>
      <x:c r="AJ90" s="32" t="n">
        <x:f>H90*v01_CommonsCoef*AI90^v01_CommonsExp*INDEX(LM_Commons,G90)</x:f>
        <x:v>5.051283902895117</x:v>
      </x:c>
      <x:c r="AK90" s="32" t="n">
        <x:f>H90*v01_RoleScale*Arch_Roles*(AE90*(INDEX(v01_ElderRolePerSett,G90)*v01_OutElder*INDEX(LM_Elder,G90)+INDEX(v01_ShamanPerSett,G90)*v01_OutShaman)+Z90*(INDEX(v01_PriestShare,G90)*v01_OutPriest+INDEX(v01_ScribeShare,G90)*v01_OutScribe*INDEX(LM_Scribe,G90)+INDEX(v01_ScholarShare,G90)*v01_OutScholar*INDEX(LM_Scholar,G90)+INDEX(v01_ResearcherShare,G90)*v01_OutResearcher*INDEX(LM_Researcher,G90)))</x:f>
        <x:v>0</x:v>
      </x:c>
      <x:c r="AL90" s="32" t="n">
        <x:f>H90*v01_RoleScale*Arch_Roles*AE90*INDEX(v01_MonasteryPerSett,G90)*v01_OutMonastery*INDEX(LM_Monastery,G90)</x:f>
        <x:v>0</x:v>
      </x:c>
      <x:c r="AM90" s="32" t="n">
        <x:f>(AJ90+AK90+AL90)/4*INDEX(LM_All,G90)*INDEX(v01_Boon,G90)*Arch_Insight</x:f>
        <x:v>1.2628209757237792</x:v>
      </x:c>
      <x:c r="AN90" s="32" t="n">
        <x:f>H90*(v01_KHPerAdult*Z90+v01_KHOfCommons*AJ90/4*INDEX(LM_All,G90))*v01_KHUsable*Arch_KH</x:f>
        <x:v>0.2698672755459967</x:v>
      </x:c>
      <x:c r="AO90" s="32" t="n">
        <x:f>MIN(AP89+AN90,AM90*v01_KHMaxRatio)</x:f>
        <x:v>0.2698672755459967</x:v>
      </x:c>
      <x:c r="AP90" s="32" t="n">
        <x:f>AP89+AN90-AO90</x:f>
        <x:v>0</x:v>
      </x:c>
      <x:c r="AQ90" s="32" t="n">
        <x:f>AM90+AO90</x:f>
        <x:v>1.532688251269776</x:v>
      </x:c>
      <x:c r="AR90" s="10" t="n">
        <x:f>IF(H90=1,INDEX(v01_Req,G90),0)</x:f>
        <x:v>372.02</x:v>
      </x:c>
      <x:c r="AS90" s="32" t="n">
        <x:f>IF(H90=1,IF(E90=1,AS89-AR89,AS89)+AQ90,0)</x:f>
        <x:v>129.71170502228583</x:v>
      </x:c>
      <x:c r="AT90" s="11" t="n">
        <x:f>IF(AR90&gt;0,MIN(1,AS90/AR90),1)</x:f>
        <x:v>0.348668633466711</x:v>
      </x:c>
      <x:c r="AU90" s="10" t="n">
        <x:f>AB90/INDEX(v01_RepScale,G90)</x:f>
        <x:v>15.921841107069017</x:v>
      </x:c>
      <x:c r="AV90" s="32" t="n">
        <x:f>AM90*60/v01_SeasonSeconds</x:f>
        <x:v>5.051283902895117</x:v>
      </x:c>
    </x:row>
    <x:row r="91">
      <x:c r="A91" s="8" t="n">
        <x:f>A90+1</x:f>
        <x:v>88</x:v>
      </x:c>
      <x:c r="B91" s="9" t="n">
        <x:f>A91*v01_SeasonSeconds/60</x:f>
        <x:v>22</x:v>
      </x:c>
      <x:c r="C91" s="9" t="n">
        <x:f>A91/4</x:f>
        <x:v>22</x:v>
      </x:c>
      <x:c r="D91" s="8" t="n">
        <x:f>IF(MOD(A91,4)=0,1,0)</x:f>
        <x:v>1</x:v>
      </x:c>
      <x:c r="E91" s="8" t="n">
        <x:f>IF(AND(F90&lt;=9,AS90&gt;=AR90),1,0)</x:f>
        <x:v>0</x:v>
      </x:c>
      <x:c r="F91" s="8" t="n">
        <x:f>MIN(10,F90+E91)</x:f>
        <x:v>0</x:v>
      </x:c>
      <x:c r="G91" s="8" t="n">
        <x:f>MIN(F91,9)+1</x:f>
        <x:v>1</x:v>
      </x:c>
      <x:c r="H91" s="8" t="n">
        <x:f>IF(F91&lt;=9,1,0)</x:f>
        <x:v>1</x:v>
      </x:c>
      <x:c r="I91" s="9" t="n">
        <x:f>MIN(10,F90+IF(AR90&gt;0,MIN(1,AS90/AR90),1))</x:f>
        <x:v>0.348668633466711</x:v>
      </x:c>
      <x:c r="J91" s="32" t="n">
        <x:f>INDEX(v01_FoodCap,G91)*Arch_FoodCap*EXP(v01_CapsByProject*SUMPRODUCT((Cap_Point&lt;=I91)*(Cap_Kind="Food")*Cap_Ln))</x:f>
        <x:v>22</x:v>
      </x:c>
      <x:c r="K91" s="32" t="n">
        <x:f>J91*MIN(1,v01_LeanBase*EXP(v01_CapsByProject*SUMPRODUCT((Cap_Point&lt;=I91)*(Cap_Kind="Lean")*Cap_Ln)))</x:f>
        <x:v>22</x:v>
      </x:c>
      <x:c r="L91" s="10" t="n">
        <x:f>INDEX(v01_HousingCap,G91)*EXP(v01_CapsByProject*SUMPRODUCT((Cap_Point&lt;=I91)*(Cap_Kind="Housing")*Cap_Ln))</x:f>
        <x:v>60</x:v>
      </x:c>
      <x:c r="M91" s="10" t="n">
        <x:f>INDEX(v01_GroupCap,G91)*v01_CohesionFactor*EXP(v01_CapsByProject*SUMPRODUCT((Cap_Point&lt;=I91)*(Cap_Kind="Group")*Cap_Ln))</x:f>
        <x:v>35</x:v>
      </x:c>
      <x:c r="N91" s="32" t="n">
        <x:f>MIN(J91,L91,M91)</x:f>
        <x:v>22</x:v>
      </x:c>
      <x:c r="O91" s="10" t="n">
        <x:f>AE90*N91</x:f>
        <x:v>22</x:v>
      </x:c>
      <x:c r="P91" s="9" t="n">
        <x:f>MIN(1,(AB90/(AE90*IF(v01_GroupInCrowding=1,N91,MIN(J91,L91))))^v01_CrowdingExp)</x:f>
        <x:v>0.1436890350591386</x:v>
      </x:c>
      <x:c r="Q91" s="9" t="n">
        <x:f>IF(D91=1,INDEX(v01_WinterMult,G91),1)</x:f>
        <x:v>2</x:v>
      </x:c>
      <x:c r="R91" s="9" t="n">
        <x:f>H91*Z90*v01_WomenShare*v01_BaseFertility*INDEX(v01_FertMult,G91)*Arch_Fertility*(1-P91)</x:f>
        <x:v>0.19807740611036037</x:v>
      </x:c>
      <x:c r="S91" s="9" t="n">
        <x:f>H91*Y90*INDEX(v01_MortChild,G91)/4*Q91</x:f>
        <x:v>0.12540574115227004</x:v>
      </x:c>
      <x:c r="T91" s="9" t="n">
        <x:f>H91*Z90*INDEX(v01_MortAdult,G91)*Arch_AdultMort/4*Q91</x:f>
        <x:v>0.05782870190271358</x:v>
      </x:c>
      <x:c r="U91" s="9" t="n">
        <x:f>H91*AA90*INDEX(v01_MortElder,G91)/4*Q91</x:f>
        <x:v>0.09705302312135185</x:v>
      </x:c>
      <x:c r="V91" s="9" t="n">
        <x:f>H91*MAX(0,AB90-O91)*v01_OvercapLoss</x:f>
        <x:v>0</x:v>
      </x:c>
      <x:c r="W91" s="9" t="n">
        <x:f>H91*Y90/(v01_ChildYears*4)</x:f>
        <x:v>0.11196941174309825</x:v>
      </x:c>
      <x:c r="X91" s="9" t="n">
        <x:f>H91*Z90/(v01_AdultYears*4)</x:f>
        <x:v>0.06218139989539095</x:v>
      </x:c>
      <x:c r="Y91" s="32" t="n">
        <x:f>Y90+R91-S91-W91-Y90*V91/AB90</x:f>
        <x:v>6.230989310828494</x:v>
      </x:c>
      <x:c r="Z91" s="32" t="n">
        <x:f>Z90+W91-X91-T91-Z90*V91/AB90</x:f>
        <x:v>7.702452896973472</x:v>
      </x:c>
      <x:c r="AA91" s="32" t="n">
        <x:f>AA90+X91-U91-AA90*V91/AB90</x:f>
        <x:v>1.906188839201076</x:v>
      </x:c>
      <x:c r="AB91" s="10" t="n">
        <x:f>Y91+Z91+AA91</x:f>
        <x:v>15.839631047003042</x:v>
      </x:c>
      <x:c r="AC91" s="8" t="n">
        <x:f>IF(AND(v01_WinterTrigger=1,D91=1,AB90/AE90&gt;=K91),1,0)</x:f>
        <x:v>0</x:v>
      </x:c>
      <x:c r="AD91" s="8" t="n">
        <x:f>H91*IF(AND(OR(AB90/AE90&gt;=v01_FissionTrigger*N91,AC91=1),AB90/AE90*v01_DaughterShare&gt;=v01_MinDaughter),MAX(1,ROUND(AE90*v01_FissionRate,0)),0)</x:f>
        <x:v>0</x:v>
      </x:c>
      <x:c r="AE91" s="8" t="n">
        <x:f>IF(H91=1,MAX(1,MIN(INDEX(v01_Smax,G91),AE90+AD91)),AE90)</x:f>
        <x:v>1</x:v>
      </x:c>
      <x:c r="AF91" s="8" t="n">
        <x:f>MAX(0,AE91-AE90)</x:f>
        <x:v>0</x:v>
      </x:c>
      <x:c r="AG91" s="9" t="str">
        <x:f>IF(AF91&gt;0,B91,"")</x:f>
      </x:c>
      <x:c r="AH91" s="9" t="n">
        <x:f>IF(F91&gt;=1,1,(1+v01_LowTiesShare*(AE91-1))/AE91)</x:f>
        <x:v>1</x:v>
      </x:c>
      <x:c r="AI91" s="32" t="n">
        <x:f>(Z91+v01_ElderCommons*INDEX(LM_Elder,G91)*AA91)*AH91</x:f>
        <x:v>11.514830575375623</x:v>
      </x:c>
      <x:c r="AJ91" s="32" t="n">
        <x:f>H91*v01_CommonsCoef*AI91^v01_CommonsExp*INDEX(LM_Commons,G91)</x:f>
        <x:v>5.02246029850987</x:v>
      </x:c>
      <x:c r="AK91" s="32" t="n">
        <x:f>H91*v01_RoleScale*Arch_Roles*(AE91*(INDEX(v01_ElderRolePerSett,G91)*v01_OutElder*INDEX(LM_Elder,G91)+INDEX(v01_ShamanPerSett,G91)*v01_OutShaman)+Z91*(INDEX(v01_PriestShare,G91)*v01_OutPriest+INDEX(v01_ScribeShare,G91)*v01_OutScribe*INDEX(LM_Scribe,G91)+INDEX(v01_ScholarShare,G91)*v01_OutScholar*INDEX(LM_Scholar,G91)+INDEX(v01_ResearcherShare,G91)*v01_OutResearcher*INDEX(LM_Researcher,G91)))</x:f>
        <x:v>0</x:v>
      </x:c>
      <x:c r="AL91" s="32" t="n">
        <x:f>H91*v01_RoleScale*Arch_Roles*AE91*INDEX(v01_MonasteryPerSett,G91)*v01_OutMonastery*INDEX(LM_Monastery,G91)</x:f>
        <x:v>0</x:v>
      </x:c>
      <x:c r="AM91" s="32" t="n">
        <x:f>(AJ91+AK91+AL91)/4*INDEX(LM_All,G91)*INDEX(v01_Boon,G91)*Arch_Insight</x:f>
        <x:v>1.2556150746274675</x:v>
      </x:c>
      <x:c r="AN91" s="32" t="n">
        <x:f>H91*(v01_KHPerAdult*Z91+v01_KHOfCommons*AJ91/4*INDEX(LM_All,G91))*v01_KHUsable*Arch_KH</x:f>
        <x:v>0.2695858513940715</x:v>
      </x:c>
      <x:c r="AO91" s="32" t="n">
        <x:f>MIN(AP90+AN91,AM91*v01_KHMaxRatio)</x:f>
        <x:v>0.2695858513940715</x:v>
      </x:c>
      <x:c r="AP91" s="32" t="n">
        <x:f>AP90+AN91-AO91</x:f>
        <x:v>0</x:v>
      </x:c>
      <x:c r="AQ91" s="32" t="n">
        <x:f>AM91+AO91</x:f>
        <x:v>1.525200926021539</x:v>
      </x:c>
      <x:c r="AR91" s="10" t="n">
        <x:f>IF(H91=1,INDEX(v01_Req,G91),0)</x:f>
        <x:v>372.02</x:v>
      </x:c>
      <x:c r="AS91" s="32" t="n">
        <x:f>IF(H91=1,IF(E91=1,AS90-AR90,AS90)+AQ91,0)</x:f>
        <x:v>131.23690594830737</x:v>
      </x:c>
      <x:c r="AT91" s="11" t="n">
        <x:f>IF(AR91&gt;0,MIN(1,AS91/AR91),1)</x:f>
        <x:v>0.35276841553762533</x:v>
      </x:c>
      <x:c r="AU91" s="10" t="n">
        <x:f>AB91/INDEX(v01_RepScale,G91)</x:f>
        <x:v>15.839631047003042</x:v>
      </x:c>
      <x:c r="AV91" s="32" t="n">
        <x:f>AM91*60/v01_SeasonSeconds</x:f>
        <x:v>5.02246029850987</x:v>
      </x:c>
    </x:row>
    <x:row r="92">
      <x:c r="A92" s="8" t="n">
        <x:f>A91+1</x:f>
        <x:v>89</x:v>
      </x:c>
      <x:c r="B92" s="9" t="n">
        <x:f>A92*v01_SeasonSeconds/60</x:f>
        <x:v>22.25</x:v>
      </x:c>
      <x:c r="C92" s="9" t="n">
        <x:f>A92/4</x:f>
        <x:v>22.25</x:v>
      </x:c>
      <x:c r="D92" s="8" t="n">
        <x:f>IF(MOD(A92,4)=0,1,0)</x:f>
        <x:v>0</x:v>
      </x:c>
      <x:c r="E92" s="8" t="n">
        <x:f>IF(AND(F91&lt;=9,AS91&gt;=AR91),1,0)</x:f>
        <x:v>0</x:v>
      </x:c>
      <x:c r="F92" s="8" t="n">
        <x:f>MIN(10,F91+E92)</x:f>
        <x:v>0</x:v>
      </x:c>
      <x:c r="G92" s="8" t="n">
        <x:f>MIN(F92,9)+1</x:f>
        <x:v>1</x:v>
      </x:c>
      <x:c r="H92" s="8" t="n">
        <x:f>IF(F92&lt;=9,1,0)</x:f>
        <x:v>1</x:v>
      </x:c>
      <x:c r="I92" s="9" t="n">
        <x:f>MIN(10,F91+IF(AR91&gt;0,MIN(1,AS91/AR91),1))</x:f>
        <x:v>0.35276841553762533</x:v>
      </x:c>
      <x:c r="J92" s="32" t="n">
        <x:f>INDEX(v01_FoodCap,G92)*Arch_FoodCap*EXP(v01_CapsByProject*SUMPRODUCT((Cap_Point&lt;=I92)*(Cap_Kind="Food")*Cap_Ln))</x:f>
        <x:v>22</x:v>
      </x:c>
      <x:c r="K92" s="32" t="n">
        <x:f>J92*MIN(1,v01_LeanBase*EXP(v01_CapsByProject*SUMPRODUCT((Cap_Point&lt;=I92)*(Cap_Kind="Lean")*Cap_Ln)))</x:f>
        <x:v>22</x:v>
      </x:c>
      <x:c r="L92" s="10" t="n">
        <x:f>INDEX(v01_HousingCap,G92)*EXP(v01_CapsByProject*SUMPRODUCT((Cap_Point&lt;=I92)*(Cap_Kind="Housing")*Cap_Ln))</x:f>
        <x:v>60</x:v>
      </x:c>
      <x:c r="M92" s="10" t="n">
        <x:f>INDEX(v01_GroupCap,G92)*v01_CohesionFactor*EXP(v01_CapsByProject*SUMPRODUCT((Cap_Point&lt;=I92)*(Cap_Kind="Group")*Cap_Ln))</x:f>
        <x:v>35</x:v>
      </x:c>
      <x:c r="N92" s="32" t="n">
        <x:f>MIN(J92,L92,M92)</x:f>
        <x:v>22</x:v>
      </x:c>
      <x:c r="O92" s="10" t="n">
        <x:f>AE91*N92</x:f>
        <x:v>22</x:v>
      </x:c>
      <x:c r="P92" s="9" t="n">
        <x:f>MIN(1,(AB91/(AE91*IF(v01_GroupInCrowding=1,N92,MIN(J92,L92))))^v01_CrowdingExp)</x:f>
        <x:v>0.13929460081064765</x:v>
      </x:c>
      <x:c r="Q92" s="9" t="n">
        <x:f>IF(D92=1,INDEX(v01_WinterMult,G92),1)</x:f>
        <x:v>1</x:v>
      </x:c>
      <x:c r="R92" s="9" t="n">
        <x:f>H92*Z91*v01_WomenShare*v01_BaseFertility*INDEX(v01_FertMult,G92)*Arch_Fertility*(1-P92)</x:f>
        <x:v>0.19888628386280202</x:v>
      </x:c>
      <x:c r="S92" s="9" t="n">
        <x:f>H92*Y91*INDEX(v01_MortChild,G92)/4*Q92</x:f>
        <x:v>0.06230989310828494</x:v>
      </x:c>
      <x:c r="T92" s="9" t="n">
        <x:f>H92*Z91*INDEX(v01_MortAdult,G92)*Arch_AdultMort/4*Q92</x:f>
        <x:v>0.028884198363650516</x:v>
      </x:c>
      <x:c r="U92" s="9" t="n">
        <x:f>H92*AA91*INDEX(v01_MortElder,G92)/4*Q92</x:f>
        <x:v>0.047654720980026904</x:v>
      </x:c>
      <x:c r="V92" s="9" t="n">
        <x:f>H92*MAX(0,AB91-O92)*v01_OvercapLoss</x:f>
        <x:v>0</x:v>
      </x:c>
      <x:c r="W92" s="9" t="n">
        <x:f>H92*Y91/(v01_ChildYears*4)</x:f>
        <x:v>0.11126766626479453</x:v>
      </x:c>
      <x:c r="X92" s="9" t="n">
        <x:f>H92*Z91/(v01_AdultYears*4)</x:f>
        <x:v>0.062116555620753806</x:v>
      </x:c>
      <x:c r="Y92" s="32" t="n">
        <x:f>Y91+R92-S92-W92-Y91*V92/AB91</x:f>
        <x:v>6.256298035318216</x:v>
      </x:c>
      <x:c r="Z92" s="32" t="n">
        <x:f>Z91+W92-X92-T92-Z91*V92/AB91</x:f>
        <x:v>7.722719809253862</x:v>
      </x:c>
      <x:c r="AA92" s="32" t="n">
        <x:f>AA91+X92-U92-AA91*V92/AB91</x:f>
        <x:v>1.920650673841803</x:v>
      </x:c>
      <x:c r="AB92" s="10" t="n">
        <x:f>Y92+Z92+AA92</x:f>
        <x:v>15.899668518413879</x:v>
      </x:c>
      <x:c r="AC92" s="8" t="n">
        <x:f>IF(AND(v01_WinterTrigger=1,D92=1,AB91/AE91&gt;=K92),1,0)</x:f>
        <x:v>0</x:v>
      </x:c>
      <x:c r="AD92" s="8" t="n">
        <x:f>H92*IF(AND(OR(AB91/AE91&gt;=v01_FissionTrigger*N92,AC92=1),AB91/AE91*v01_DaughterShare&gt;=v01_MinDaughter),MAX(1,ROUND(AE91*v01_FissionRate,0)),0)</x:f>
        <x:v>0</x:v>
      </x:c>
      <x:c r="AE92" s="8" t="n">
        <x:f>IF(H92=1,MAX(1,MIN(INDEX(v01_Smax,G92),AE91+AD92)),AE91)</x:f>
        <x:v>1</x:v>
      </x:c>
      <x:c r="AF92" s="8" t="n">
        <x:f>MAX(0,AE92-AE91)</x:f>
        <x:v>0</x:v>
      </x:c>
      <x:c r="AG92" s="9" t="str">
        <x:f>IF(AF92&gt;0,B92,"")</x:f>
      </x:c>
      <x:c r="AH92" s="9" t="n">
        <x:f>IF(F92&gt;=1,1,(1+v01_LowTiesShare*(AE92-1))/AE92)</x:f>
        <x:v>1</x:v>
      </x:c>
      <x:c r="AI92" s="32" t="n">
        <x:f>(Z92+v01_ElderCommons*INDEX(LM_Elder,G92)*AA92)*AH92</x:f>
        <x:v>11.564021156937468</x:v>
      </x:c>
      <x:c r="AJ92" s="32" t="n">
        <x:f>H92*v01_CommonsCoef*AI92^v01_CommonsExp*INDEX(LM_Commons,G92)</x:f>
        <x:v>5.0406917355613645</x:v>
      </x:c>
      <x:c r="AK92" s="32" t="n">
        <x:f>H92*v01_RoleScale*Arch_Roles*(AE92*(INDEX(v01_ElderRolePerSett,G92)*v01_OutElder*INDEX(LM_Elder,G92)+INDEX(v01_ShamanPerSett,G92)*v01_OutShaman)+Z92*(INDEX(v01_PriestShare,G92)*v01_OutPriest+INDEX(v01_ScribeShare,G92)*v01_OutScribe*INDEX(LM_Scribe,G92)+INDEX(v01_ScholarShare,G92)*v01_OutScholar*INDEX(LM_Scholar,G92)+INDEX(v01_ResearcherShare,G92)*v01_OutResearcher*INDEX(LM_Researcher,G92)))</x:f>
        <x:v>0</x:v>
      </x:c>
      <x:c r="AL92" s="32" t="n">
        <x:f>H92*v01_RoleScale*Arch_Roles*AE92*INDEX(v01_MonasteryPerSett,G92)*v01_OutMonastery*INDEX(LM_Monastery,G92)</x:f>
        <x:v>0</x:v>
      </x:c>
      <x:c r="AM92" s="32" t="n">
        <x:f>(AJ92+AK92+AL92)/4*INDEX(LM_All,G92)*INDEX(v01_Boon,G92)*Arch_Insight</x:f>
        <x:v>1.2601729338903411</x:v>
      </x:c>
      <x:c r="AN92" s="32" t="n">
        <x:f>H92*(v01_KHPerAdult*Z92+v01_KHOfCommons*AJ92/4*INDEX(LM_All,G92))*v01_KHUsable*Arch_KH</x:f>
        <x:v>0.27029519332388513</x:v>
      </x:c>
      <x:c r="AO92" s="32" t="n">
        <x:f>MIN(AP91+AN92,AM92*v01_KHMaxRatio)</x:f>
        <x:v>0.27029519332388513</x:v>
      </x:c>
      <x:c r="AP92" s="32" t="n">
        <x:f>AP91+AN92-AO92</x:f>
        <x:v>0</x:v>
      </x:c>
      <x:c r="AQ92" s="32" t="n">
        <x:f>AM92+AO92</x:f>
        <x:v>1.5304681272142262</x:v>
      </x:c>
      <x:c r="AR92" s="10" t="n">
        <x:f>IF(H92=1,INDEX(v01_Req,G92),0)</x:f>
        <x:v>372.02</x:v>
      </x:c>
      <x:c r="AS92" s="32" t="n">
        <x:f>IF(H92=1,IF(E92=1,AS91-AR91,AS91)+AQ92,0)</x:f>
        <x:v>132.7673740755216</x:v>
      </x:c>
      <x:c r="AT92" s="11" t="n">
        <x:f>IF(AR92&gt;0,MIN(1,AS92/AR92),1)</x:f>
        <x:v>0.35688235599032736</x:v>
      </x:c>
      <x:c r="AU92" s="10" t="n">
        <x:f>AB92/INDEX(v01_RepScale,G92)</x:f>
        <x:v>15.899668518413879</x:v>
      </x:c>
      <x:c r="AV92" s="32" t="n">
        <x:f>AM92*60/v01_SeasonSeconds</x:f>
        <x:v>5.0406917355613645</x:v>
      </x:c>
    </x:row>
    <x:row r="93">
      <x:c r="A93" s="8" t="n">
        <x:f>A92+1</x:f>
        <x:v>90</x:v>
      </x:c>
      <x:c r="B93" s="9" t="n">
        <x:f>A93*v01_SeasonSeconds/60</x:f>
        <x:v>22.5</x:v>
      </x:c>
      <x:c r="C93" s="9" t="n">
        <x:f>A93/4</x:f>
        <x:v>22.5</x:v>
      </x:c>
      <x:c r="D93" s="8" t="n">
        <x:f>IF(MOD(A93,4)=0,1,0)</x:f>
        <x:v>0</x:v>
      </x:c>
      <x:c r="E93" s="8" t="n">
        <x:f>IF(AND(F92&lt;=9,AS92&gt;=AR92),1,0)</x:f>
        <x:v>0</x:v>
      </x:c>
      <x:c r="F93" s="8" t="n">
        <x:f>MIN(10,F92+E93)</x:f>
        <x:v>0</x:v>
      </x:c>
      <x:c r="G93" s="8" t="n">
        <x:f>MIN(F93,9)+1</x:f>
        <x:v>1</x:v>
      </x:c>
      <x:c r="H93" s="8" t="n">
        <x:f>IF(F93&lt;=9,1,0)</x:f>
        <x:v>1</x:v>
      </x:c>
      <x:c r="I93" s="9" t="n">
        <x:f>MIN(10,F92+IF(AR92&gt;0,MIN(1,AS92/AR92),1))</x:f>
        <x:v>0.35688235599032736</x:v>
      </x:c>
      <x:c r="J93" s="32" t="n">
        <x:f>INDEX(v01_FoodCap,G93)*Arch_FoodCap*EXP(v01_CapsByProject*SUMPRODUCT((Cap_Point&lt;=I93)*(Cap_Kind="Food")*Cap_Ln))</x:f>
        <x:v>22</x:v>
      </x:c>
      <x:c r="K93" s="32" t="n">
        <x:f>J93*MIN(1,v01_LeanBase*EXP(v01_CapsByProject*SUMPRODUCT((Cap_Point&lt;=I93)*(Cap_Kind="Lean")*Cap_Ln)))</x:f>
        <x:v>22</x:v>
      </x:c>
      <x:c r="L93" s="10" t="n">
        <x:f>INDEX(v01_HousingCap,G93)*EXP(v01_CapsByProject*SUMPRODUCT((Cap_Point&lt;=I93)*(Cap_Kind="Housing")*Cap_Ln))</x:f>
        <x:v>60</x:v>
      </x:c>
      <x:c r="M93" s="10" t="n">
        <x:f>INDEX(v01_GroupCap,G93)*v01_CohesionFactor*EXP(v01_CapsByProject*SUMPRODUCT((Cap_Point&lt;=I93)*(Cap_Kind="Group")*Cap_Ln))</x:f>
        <x:v>35</x:v>
      </x:c>
      <x:c r="N93" s="32" t="n">
        <x:f>MIN(J93,L93,M93)</x:f>
        <x:v>22</x:v>
      </x:c>
      <x:c r="O93" s="10" t="n">
        <x:f>AE92*N93</x:f>
        <x:v>22</x:v>
      </x:c>
      <x:c r="P93" s="9" t="n">
        <x:f>MIN(1,(AB92/(AE92*IF(v01_GroupInCrowding=1,N93,MIN(J93,L93))))^v01_CrowdingExp)</x:f>
        <x:v>0.14249260811619371</x:v>
      </x:c>
      <x:c r="Q93" s="9" t="n">
        <x:f>IF(D93=1,INDEX(v01_WinterMult,G93),1)</x:f>
        <x:v>1</x:v>
      </x:c>
      <x:c r="R93" s="9" t="n">
        <x:f>H93*Z92*v01_WomenShare*v01_BaseFertility*INDEX(v01_FertMult,G93)*Arch_Fertility*(1-P93)</x:f>
        <x:v>0.19866867965648055</x:v>
      </x:c>
      <x:c r="S93" s="9" t="n">
        <x:f>H93*Y92*INDEX(v01_MortChild,G93)/4*Q93</x:f>
        <x:v>0.06256298035318217</x:v>
      </x:c>
      <x:c r="T93" s="9" t="n">
        <x:f>H93*Z92*INDEX(v01_MortAdult,G93)*Arch_AdultMort/4*Q93</x:f>
        <x:v>0.02896019928470198</x:v>
      </x:c>
      <x:c r="U93" s="9" t="n">
        <x:f>H93*AA92*INDEX(v01_MortElder,G93)/4*Q93</x:f>
        <x:v>0.048016266846045076</x:v>
      </x:c>
      <x:c r="V93" s="9" t="n">
        <x:f>H93*MAX(0,AB92-O93)*v01_OvercapLoss</x:f>
        <x:v>0</x:v>
      </x:c>
      <x:c r="W93" s="9" t="n">
        <x:f>H93*Y92/(v01_ChildYears*4)</x:f>
        <x:v>0.11171960777353958</x:v>
      </x:c>
      <x:c r="X93" s="9" t="n">
        <x:f>H93*Z92/(v01_AdultYears*4)</x:f>
        <x:v>0.06227999846172469</x:v>
      </x:c>
      <x:c r="Y93" s="32" t="n">
        <x:f>Y92+R93-S93-W93-Y92*V93/AB92</x:f>
        <x:v>6.280684126847975</x:v>
      </x:c>
      <x:c r="Z93" s="32" t="n">
        <x:f>Z92+W93-X93-T93-Z92*V93/AB92</x:f>
        <x:v>7.743199219280974</x:v>
      </x:c>
      <x:c r="AA93" s="32" t="n">
        <x:f>AA92+X93-U93-AA92*V93/AB92</x:f>
        <x:v>1.9349144054574825</x:v>
      </x:c>
      <x:c r="AB93" s="10" t="n">
        <x:f>Y93+Z93+AA93</x:f>
        <x:v>15.958797751586431</x:v>
      </x:c>
      <x:c r="AC93" s="8" t="n">
        <x:f>IF(AND(v01_WinterTrigger=1,D93=1,AB92/AE92&gt;=K93),1,0)</x:f>
        <x:v>0</x:v>
      </x:c>
      <x:c r="AD93" s="8" t="n">
        <x:f>H93*IF(AND(OR(AB92/AE92&gt;=v01_FissionTrigger*N93,AC93=1),AB92/AE92*v01_DaughterShare&gt;=v01_MinDaughter),MAX(1,ROUND(AE92*v01_FissionRate,0)),0)</x:f>
        <x:v>0</x:v>
      </x:c>
      <x:c r="AE93" s="8" t="n">
        <x:f>IF(H93=1,MAX(1,MIN(INDEX(v01_Smax,G93),AE92+AD93)),AE92)</x:f>
        <x:v>1</x:v>
      </x:c>
      <x:c r="AF93" s="8" t="n">
        <x:f>MAX(0,AE93-AE92)</x:f>
        <x:v>0</x:v>
      </x:c>
      <x:c r="AG93" s="9" t="str">
        <x:f>IF(AF93&gt;0,B93,"")</x:f>
      </x:c>
      <x:c r="AH93" s="9" t="n">
        <x:f>IF(F93&gt;=1,1,(1+v01_LowTiesShare*(AE93-1))/AE93)</x:f>
        <x:v>1</x:v>
      </x:c>
      <x:c r="AI93" s="32" t="n">
        <x:f>(Z93+v01_ElderCommons*INDEX(LM_Elder,G93)*AA93)*AH93</x:f>
        <x:v>11.61302803019594</x:v>
      </x:c>
      <x:c r="AJ93" s="32" t="n">
        <x:f>H93*v01_CommonsCoef*AI93^v01_CommonsExp*INDEX(LM_Commons,G93)</x:f>
        <x:v>5.058843520899993</x:v>
      </x:c>
      <x:c r="AK93" s="32" t="n">
        <x:f>H93*v01_RoleScale*Arch_Roles*(AE93*(INDEX(v01_ElderRolePerSett,G93)*v01_OutElder*INDEX(LM_Elder,G93)+INDEX(v01_ShamanPerSett,G93)*v01_OutShaman)+Z93*(INDEX(v01_PriestShare,G93)*v01_OutPriest+INDEX(v01_ScribeShare,G93)*v01_OutScribe*INDEX(LM_Scribe,G93)+INDEX(v01_ScholarShare,G93)*v01_OutScholar*INDEX(LM_Scholar,G93)+INDEX(v01_ResearcherShare,G93)*v01_OutResearcher*INDEX(LM_Researcher,G93)))</x:f>
        <x:v>0</x:v>
      </x:c>
      <x:c r="AL93" s="32" t="n">
        <x:f>H93*v01_RoleScale*Arch_Roles*AE93*INDEX(v01_MonasteryPerSett,G93)*v01_OutMonastery*INDEX(LM_Monastery,G93)</x:f>
        <x:v>0</x:v>
      </x:c>
      <x:c r="AM93" s="32" t="n">
        <x:f>(AJ93+AK93+AL93)/4*INDEX(LM_All,G93)*INDEX(v01_Boon,G93)*Arch_Insight</x:f>
        <x:v>1.2647108802249982</x:v>
      </x:c>
      <x:c r="AN93" s="32" t="n">
        <x:f>H93*(v01_KHPerAdult*Z93+v01_KHOfCommons*AJ93/4*INDEX(LM_All,G93))*v01_KHUsable*Arch_KH</x:f>
        <x:v>0.2710119726748341</x:v>
      </x:c>
      <x:c r="AO93" s="32" t="n">
        <x:f>MIN(AP92+AN93,AM93*v01_KHMaxRatio)</x:f>
        <x:v>0.2710119726748341</x:v>
      </x:c>
      <x:c r="AP93" s="32" t="n">
        <x:f>AP92+AN93-AO93</x:f>
        <x:v>0</x:v>
      </x:c>
      <x:c r="AQ93" s="32" t="n">
        <x:f>AM93+AO93</x:f>
        <x:v>1.5357228528998323</x:v>
      </x:c>
      <x:c r="AR93" s="10" t="n">
        <x:f>IF(H93=1,INDEX(v01_Req,G93),0)</x:f>
        <x:v>372.02</x:v>
      </x:c>
      <x:c r="AS93" s="32" t="n">
        <x:f>IF(H93=1,IF(E93=1,AS92-AR92,AS92)+AQ93,0)</x:f>
        <x:v>134.3030969284214</x:v>
      </x:c>
      <x:c r="AT93" s="11" t="n">
        <x:f>IF(AR93&gt;0,MIN(1,AS93/AR93),1)</x:f>
        <x:v>0.3610104212903108</x:v>
      </x:c>
      <x:c r="AU93" s="10" t="n">
        <x:f>AB93/INDEX(v01_RepScale,G93)</x:f>
        <x:v>15.958797751586431</x:v>
      </x:c>
      <x:c r="AV93" s="32" t="n">
        <x:f>AM93*60/v01_SeasonSeconds</x:f>
        <x:v>5.058843520899993</x:v>
      </x:c>
    </x:row>
    <x:row r="94">
      <x:c r="A94" s="8" t="n">
        <x:f>A93+1</x:f>
        <x:v>91</x:v>
      </x:c>
      <x:c r="B94" s="9" t="n">
        <x:f>A94*v01_SeasonSeconds/60</x:f>
        <x:v>22.75</x:v>
      </x:c>
      <x:c r="C94" s="9" t="n">
        <x:f>A94/4</x:f>
        <x:v>22.75</x:v>
      </x:c>
      <x:c r="D94" s="8" t="n">
        <x:f>IF(MOD(A94,4)=0,1,0)</x:f>
        <x:v>0</x:v>
      </x:c>
      <x:c r="E94" s="8" t="n">
        <x:f>IF(AND(F93&lt;=9,AS93&gt;=AR93),1,0)</x:f>
        <x:v>0</x:v>
      </x:c>
      <x:c r="F94" s="8" t="n">
        <x:f>MIN(10,F93+E94)</x:f>
        <x:v>0</x:v>
      </x:c>
      <x:c r="G94" s="8" t="n">
        <x:f>MIN(F94,9)+1</x:f>
        <x:v>1</x:v>
      </x:c>
      <x:c r="H94" s="8" t="n">
        <x:f>IF(F94&lt;=9,1,0)</x:f>
        <x:v>1</x:v>
      </x:c>
      <x:c r="I94" s="9" t="n">
        <x:f>MIN(10,F93+IF(AR93&gt;0,MIN(1,AS93/AR93),1))</x:f>
        <x:v>0.3610104212903108</x:v>
      </x:c>
      <x:c r="J94" s="32" t="n">
        <x:f>INDEX(v01_FoodCap,G94)*Arch_FoodCap*EXP(v01_CapsByProject*SUMPRODUCT((Cap_Point&lt;=I94)*(Cap_Kind="Food")*Cap_Ln))</x:f>
        <x:v>22</x:v>
      </x:c>
      <x:c r="K94" s="32" t="n">
        <x:f>J94*MIN(1,v01_LeanBase*EXP(v01_CapsByProject*SUMPRODUCT((Cap_Point&lt;=I94)*(Cap_Kind="Lean")*Cap_Ln)))</x:f>
        <x:v>22</x:v>
      </x:c>
      <x:c r="L94" s="10" t="n">
        <x:f>INDEX(v01_HousingCap,G94)*EXP(v01_CapsByProject*SUMPRODUCT((Cap_Point&lt;=I94)*(Cap_Kind="Housing")*Cap_Ln))</x:f>
        <x:v>60</x:v>
      </x:c>
      <x:c r="M94" s="10" t="n">
        <x:f>INDEX(v01_GroupCap,G94)*v01_CohesionFactor*EXP(v01_CapsByProject*SUMPRODUCT((Cap_Point&lt;=I94)*(Cap_Kind="Group")*Cap_Ln))</x:f>
        <x:v>35</x:v>
      </x:c>
      <x:c r="N94" s="32" t="n">
        <x:f>MIN(J94,L94,M94)</x:f>
        <x:v>22</x:v>
      </x:c>
      <x:c r="O94" s="10" t="n">
        <x:f>AE93*N94</x:f>
        <x:v>22</x:v>
      </x:c>
      <x:c r="P94" s="9" t="n">
        <x:f>MIN(1,(AB93/(AE93*IF(v01_GroupInCrowding=1,N94,MIN(J94,L94))))^v01_CrowdingExp)</x:f>
        <x:v>0.14570180780568767</x:v>
      </x:c>
      <x:c r="Q94" s="9" t="n">
        <x:f>IF(D94=1,INDEX(v01_WinterMult,G94),1)</x:f>
        <x:v>1</x:v>
      </x:c>
      <x:c r="R94" s="9" t="n">
        <x:f>H94*Z93*v01_WomenShare*v01_BaseFertility*INDEX(v01_FertMult,G94)*Arch_Fertility*(1-P94)</x:f>
        <x:v>0.19845003284496443</x:v>
      </x:c>
      <x:c r="S94" s="9" t="n">
        <x:f>H94*Y93*INDEX(v01_MortChild,G94)/4*Q94</x:f>
        <x:v>0.06280684126847975</x:v>
      </x:c>
      <x:c r="T94" s="9" t="n">
        <x:f>H94*Z93*INDEX(v01_MortAdult,G94)*Arch_AdultMort/4*Q94</x:f>
        <x:v>0.029036997072303655</x:v>
      </x:c>
      <x:c r="U94" s="9" t="n">
        <x:f>H94*AA93*INDEX(v01_MortElder,G94)/4*Q94</x:f>
        <x:v>0.04837286013643707</x:v>
      </x:c>
      <x:c r="V94" s="9" t="n">
        <x:f>H94*MAX(0,AB93-O94)*v01_OvercapLoss</x:f>
        <x:v>0</x:v>
      </x:c>
      <x:c r="W94" s="9" t="n">
        <x:f>H94*Y93/(v01_ChildYears*4)</x:f>
        <x:v>0.11215507369371383</x:v>
      </x:c>
      <x:c r="X94" s="9" t="n">
        <x:f>H94*Z93/(v01_AdultYears*4)</x:f>
        <x:v>0.062445154994201404</x:v>
      </x:c>
      <x:c r="Y94" s="32" t="n">
        <x:f>Y93+R94-S94-W94-Y93*V94/AB93</x:f>
        <x:v>6.304172244730745</x:v>
      </x:c>
      <x:c r="Z94" s="32" t="n">
        <x:f>Z93+W94-X94-T94-Z93*V94/AB93</x:f>
        <x:v>7.763872140908183</x:v>
      </x:c>
      <x:c r="AA94" s="32" t="n">
        <x:f>AA93+X94-U94-AA93*V94/AB93</x:f>
        <x:v>1.9489867003152468</x:v>
      </x:c>
      <x:c r="AB94" s="10" t="n">
        <x:f>Y94+Z94+AA94</x:f>
        <x:v>16.017031085954173</x:v>
      </x:c>
      <x:c r="AC94" s="8" t="n">
        <x:f>IF(AND(v01_WinterTrigger=1,D94=1,AB93/AE93&gt;=K94),1,0)</x:f>
        <x:v>0</x:v>
      </x:c>
      <x:c r="AD94" s="8" t="n">
        <x:f>H94*IF(AND(OR(AB93/AE93&gt;=v01_FissionTrigger*N94,AC94=1),AB93/AE93*v01_DaughterShare&gt;=v01_MinDaughter),MAX(1,ROUND(AE93*v01_FissionRate,0)),0)</x:f>
        <x:v>0</x:v>
      </x:c>
      <x:c r="AE94" s="8" t="n">
        <x:f>IF(H94=1,MAX(1,MIN(INDEX(v01_Smax,G94),AE93+AD94)),AE93)</x:f>
        <x:v>1</x:v>
      </x:c>
      <x:c r="AF94" s="8" t="n">
        <x:f>MAX(0,AE94-AE93)</x:f>
        <x:v>0</x:v>
      </x:c>
      <x:c r="AG94" s="9" t="str">
        <x:f>IF(AF94&gt;0,B94,"")</x:f>
      </x:c>
      <x:c r="AH94" s="9" t="n">
        <x:f>IF(F94&gt;=1,1,(1+v01_LowTiesShare*(AE94-1))/AE94)</x:f>
        <x:v>1</x:v>
      </x:c>
      <x:c r="AI94" s="32" t="n">
        <x:f>(Z94+v01_ElderCommons*INDEX(LM_Elder,G94)*AA94)*AH94</x:f>
        <x:v>11.661845541538677</x:v>
      </x:c>
      <x:c r="AJ94" s="32" t="n">
        <x:f>H94*v01_CommonsCoef*AI94^v01_CommonsExp*INDEX(LM_Commons,G94)</x:f>
        <x:v>5.076913747940062</x:v>
      </x:c>
      <x:c r="AK94" s="32" t="n">
        <x:f>H94*v01_RoleScale*Arch_Roles*(AE94*(INDEX(v01_ElderRolePerSett,G94)*v01_OutElder*INDEX(LM_Elder,G94)+INDEX(v01_ShamanPerSett,G94)*v01_OutShaman)+Z94*(INDEX(v01_PriestShare,G94)*v01_OutPriest+INDEX(v01_ScribeShare,G94)*v01_OutScribe*INDEX(LM_Scribe,G94)+INDEX(v01_ScholarShare,G94)*v01_OutScholar*INDEX(LM_Scholar,G94)+INDEX(v01_ResearcherShare,G94)*v01_OutResearcher*INDEX(LM_Researcher,G94)))</x:f>
        <x:v>0</x:v>
      </x:c>
      <x:c r="AL94" s="32" t="n">
        <x:f>H94*v01_RoleScale*Arch_Roles*AE94*INDEX(v01_MonasteryPerSett,G94)*v01_OutMonastery*INDEX(LM_Monastery,G94)</x:f>
        <x:v>0</x:v>
      </x:c>
      <x:c r="AM94" s="32" t="n">
        <x:f>(AJ94+AK94+AL94)/4*INDEX(LM_All,G94)*INDEX(v01_Boon,G94)*Arch_Insight</x:f>
        <x:v>1.2692284369850155</x:v>
      </x:c>
      <x:c r="AN94" s="32" t="n">
        <x:f>H94*(v01_KHPerAdult*Z94+v01_KHOfCommons*AJ94/4*INDEX(LM_All,G94))*v01_KHUsable*Arch_KH</x:f>
        <x:v>0.2717355249317864</x:v>
      </x:c>
      <x:c r="AO94" s="32" t="n">
        <x:f>MIN(AP93+AN94,AM94*v01_KHMaxRatio)</x:f>
        <x:v>0.2717355249317864</x:v>
      </x:c>
      <x:c r="AP94" s="32" t="n">
        <x:f>AP93+AN94-AO94</x:f>
        <x:v>0</x:v>
      </x:c>
      <x:c r="AQ94" s="32" t="n">
        <x:f>AM94+AO94</x:f>
        <x:v>1.5409639619168018</x:v>
      </x:c>
      <x:c r="AR94" s="10" t="n">
        <x:f>IF(H94=1,INDEX(v01_Req,G94),0)</x:f>
        <x:v>372.02</x:v>
      </x:c>
      <x:c r="AS94" s="32" t="n">
        <x:f>IF(H94=1,IF(E94=1,AS93-AR93,AS93)+AQ94,0)</x:f>
        <x:v>135.8440608903382</x:v>
      </x:c>
      <x:c r="AT94" s="11" t="n">
        <x:f>IF(AR94&gt;0,MIN(1,AS94/AR94),1)</x:f>
        <x:v>0.36515257483559543</x:v>
      </x:c>
      <x:c r="AU94" s="10" t="n">
        <x:f>AB94/INDEX(v01_RepScale,G94)</x:f>
        <x:v>16.017031085954173</x:v>
      </x:c>
      <x:c r="AV94" s="32" t="n">
        <x:f>AM94*60/v01_SeasonSeconds</x:f>
        <x:v>5.076913747940062</x:v>
      </x:c>
    </x:row>
    <x:row r="95">
      <x:c r="A95" s="8" t="n">
        <x:f>A94+1</x:f>
        <x:v>92</x:v>
      </x:c>
      <x:c r="B95" s="9" t="n">
        <x:f>A95*v01_SeasonSeconds/60</x:f>
        <x:v>23</x:v>
      </x:c>
      <x:c r="C95" s="9" t="n">
        <x:f>A95/4</x:f>
        <x:v>23</x:v>
      </x:c>
      <x:c r="D95" s="8" t="n">
        <x:f>IF(MOD(A95,4)=0,1,0)</x:f>
        <x:v>1</x:v>
      </x:c>
      <x:c r="E95" s="8" t="n">
        <x:f>IF(AND(F94&lt;=9,AS94&gt;=AR94),1,0)</x:f>
        <x:v>0</x:v>
      </x:c>
      <x:c r="F95" s="8" t="n">
        <x:f>MIN(10,F94+E95)</x:f>
        <x:v>0</x:v>
      </x:c>
      <x:c r="G95" s="8" t="n">
        <x:f>MIN(F95,9)+1</x:f>
        <x:v>1</x:v>
      </x:c>
      <x:c r="H95" s="8" t="n">
        <x:f>IF(F95&lt;=9,1,0)</x:f>
        <x:v>1</x:v>
      </x:c>
      <x:c r="I95" s="9" t="n">
        <x:f>MIN(10,F94+IF(AR94&gt;0,MIN(1,AS94/AR94),1))</x:f>
        <x:v>0.36515257483559543</x:v>
      </x:c>
      <x:c r="J95" s="32" t="n">
        <x:f>INDEX(v01_FoodCap,G95)*Arch_FoodCap*EXP(v01_CapsByProject*SUMPRODUCT((Cap_Point&lt;=I95)*(Cap_Kind="Food")*Cap_Ln))</x:f>
        <x:v>22</x:v>
      </x:c>
      <x:c r="K95" s="32" t="n">
        <x:f>J95*MIN(1,v01_LeanBase*EXP(v01_CapsByProject*SUMPRODUCT((Cap_Point&lt;=I95)*(Cap_Kind="Lean")*Cap_Ln)))</x:f>
        <x:v>22</x:v>
      </x:c>
      <x:c r="L95" s="10" t="n">
        <x:f>INDEX(v01_HousingCap,G95)*EXP(v01_CapsByProject*SUMPRODUCT((Cap_Point&lt;=I95)*(Cap_Kind="Housing")*Cap_Ln))</x:f>
        <x:v>60</x:v>
      </x:c>
      <x:c r="M95" s="10" t="n">
        <x:f>INDEX(v01_GroupCap,G95)*v01_CohesionFactor*EXP(v01_CapsByProject*SUMPRODUCT((Cap_Point&lt;=I95)*(Cap_Kind="Group")*Cap_Ln))</x:f>
        <x:v>35</x:v>
      </x:c>
      <x:c r="N95" s="32" t="n">
        <x:f>MIN(J95,L95,M95)</x:f>
        <x:v>22</x:v>
      </x:c>
      <x:c r="O95" s="10" t="n">
        <x:f>AE94*N95</x:f>
        <x:v>22</x:v>
      </x:c>
      <x:c r="P95" s="9" t="n">
        <x:f>MIN(1,(AB94/(AE94*IF(v01_GroupInCrowding=1,N95,MIN(J95,L95))))^v01_CrowdingExp)</x:f>
        <x:v>0.14892102811648134</x:v>
      </x:c>
      <x:c r="Q95" s="9" t="n">
        <x:f>IF(D95=1,INDEX(v01_WinterMult,G95),1)</x:f>
        <x:v>2</x:v>
      </x:c>
      <x:c r="R95" s="9" t="n">
        <x:f>H95*Z94*v01_WomenShare*v01_BaseFertility*INDEX(v01_FertMult,G95)*Arch_Fertility*(1-P95)</x:f>
        <x:v>0.19823004958557688</x:v>
      </x:c>
      <x:c r="S95" s="9" t="n">
        <x:f>H95*Y94*INDEX(v01_MortChild,G95)/4*Q95</x:f>
        <x:v>0.1260834448946149</x:v>
      </x:c>
      <x:c r="T95" s="9" t="n">
        <x:f>H95*Z94*INDEX(v01_MortAdult,G95)*Arch_AdultMort/4*Q95</x:f>
        <x:v>0.05822904105681137</x:v>
      </x:c>
      <x:c r="U95" s="9" t="n">
        <x:f>H95*AA94*INDEX(v01_MortElder,G95)/4*Q95</x:f>
        <x:v>0.09744933501576235</x:v>
      </x:c>
      <x:c r="V95" s="9" t="n">
        <x:f>H95*MAX(0,AB94-O95)*v01_OvercapLoss</x:f>
        <x:v>0</x:v>
      </x:c>
      <x:c r="W95" s="9" t="n">
        <x:f>H95*Y94/(v01_ChildYears*4)</x:f>
        <x:v>0.11257450437019188</x:v>
      </x:c>
      <x:c r="X95" s="9" t="n">
        <x:f>H95*Z94/(v01_AdultYears*4)</x:f>
        <x:v>0.06261187210409826</x:v>
      </x:c>
      <x:c r="Y95" s="32" t="n">
        <x:f>Y94+R95-S95-W95-Y94*V95/AB94</x:f>
        <x:v>6.263744345051515</x:v>
      </x:c>
      <x:c r="Z95" s="32" t="n">
        <x:f>Z94+W95-X95-T95-Z94*V95/AB94</x:f>
        <x:v>7.755605732117465</x:v>
      </x:c>
      <x:c r="AA95" s="32" t="n">
        <x:f>AA94+X95-U95-AA94*V95/AB94</x:f>
        <x:v>1.9141492374035827</x:v>
      </x:c>
      <x:c r="AB95" s="10" t="n">
        <x:f>Y95+Z95+AA95</x:f>
        <x:v>15.933499314572563</x:v>
      </x:c>
      <x:c r="AC95" s="8" t="n">
        <x:f>IF(AND(v01_WinterTrigger=1,D95=1,AB94/AE94&gt;=K95),1,0)</x:f>
        <x:v>0</x:v>
      </x:c>
      <x:c r="AD95" s="8" t="n">
        <x:f>H95*IF(AND(OR(AB94/AE94&gt;=v01_FissionTrigger*N95,AC95=1),AB94/AE94*v01_DaughterShare&gt;=v01_MinDaughter),MAX(1,ROUND(AE94*v01_FissionRate,0)),0)</x:f>
        <x:v>0</x:v>
      </x:c>
      <x:c r="AE95" s="8" t="n">
        <x:f>IF(H95=1,MAX(1,MIN(INDEX(v01_Smax,G95),AE94+AD95)),AE94)</x:f>
        <x:v>1</x:v>
      </x:c>
      <x:c r="AF95" s="8" t="n">
        <x:f>MAX(0,AE95-AE94)</x:f>
        <x:v>0</x:v>
      </x:c>
      <x:c r="AG95" s="9" t="str">
        <x:f>IF(AF95&gt;0,B95,"")</x:f>
      </x:c>
      <x:c r="AH95" s="9" t="n">
        <x:f>IF(F95&gt;=1,1,(1+v01_LowTiesShare*(AE95-1))/AE95)</x:f>
        <x:v>1</x:v>
      </x:c>
      <x:c r="AI95" s="32" t="n">
        <x:f>(Z95+v01_ElderCommons*INDEX(LM_Elder,G95)*AA95)*AH95</x:f>
        <x:v>11.58390420692463</x:v>
      </x:c>
      <x:c r="AJ95" s="32" t="n">
        <x:f>H95*v01_CommonsCoef*AI95^v01_CommonsExp*INDEX(LM_Commons,G95)</x:f>
        <x:v>5.048057659340889</x:v>
      </x:c>
      <x:c r="AK95" s="32" t="n">
        <x:f>H95*v01_RoleScale*Arch_Roles*(AE95*(INDEX(v01_ElderRolePerSett,G95)*v01_OutElder*INDEX(LM_Elder,G95)+INDEX(v01_ShamanPerSett,G95)*v01_OutShaman)+Z95*(INDEX(v01_PriestShare,G95)*v01_OutPriest+INDEX(v01_ScribeShare,G95)*v01_OutScribe*INDEX(LM_Scribe,G95)+INDEX(v01_ScholarShare,G95)*v01_OutScholar*INDEX(LM_Scholar,G95)+INDEX(v01_ResearcherShare,G95)*v01_OutResearcher*INDEX(LM_Researcher,G95)))</x:f>
        <x:v>0</x:v>
      </x:c>
      <x:c r="AL95" s="32" t="n">
        <x:f>H95*v01_RoleScale*Arch_Roles*AE95*INDEX(v01_MonasteryPerSett,G95)*v01_OutMonastery*INDEX(LM_Monastery,G95)</x:f>
        <x:v>0</x:v>
      </x:c>
      <x:c r="AM95" s="32" t="n">
        <x:f>(AJ95+AK95+AL95)/4*INDEX(LM_All,G95)*INDEX(v01_Boon,G95)*Arch_Insight</x:f>
        <x:v>1.2620144148352221</x:v>
      </x:c>
      <x:c r="AN95" s="32" t="n">
        <x:f>H95*(v01_KHPerAdult*Z95+v01_KHOfCommons*AJ95/4*INDEX(LM_All,G95))*v01_KHUsable*Arch_KH</x:f>
        <x:v>0.2714462006241113</x:v>
      </x:c>
      <x:c r="AO95" s="32" t="n">
        <x:f>MIN(AP94+AN95,AM95*v01_KHMaxRatio)</x:f>
        <x:v>0.2714462006241113</x:v>
      </x:c>
      <x:c r="AP95" s="32" t="n">
        <x:f>AP94+AN95-AO95</x:f>
        <x:v>0</x:v>
      </x:c>
      <x:c r="AQ95" s="32" t="n">
        <x:f>AM95+AO95</x:f>
        <x:v>1.5334606154593335</x:v>
      </x:c>
      <x:c r="AR95" s="10" t="n">
        <x:f>IF(H95=1,INDEX(v01_Req,G95),0)</x:f>
        <x:v>372.02</x:v>
      </x:c>
      <x:c r="AS95" s="32" t="n">
        <x:f>IF(H95=1,IF(E95=1,AS94-AR94,AS94)+AQ95,0)</x:f>
        <x:v>137.37752150579755</x:v>
      </x:c>
      <x:c r="AT95" s="11" t="n">
        <x:f>IF(AR95&gt;0,MIN(1,AS95/AR95),1)</x:f>
        <x:v>0.3692745591790698</x:v>
      </x:c>
      <x:c r="AU95" s="10" t="n">
        <x:f>AB95/INDEX(v01_RepScale,G95)</x:f>
        <x:v>15.933499314572563</x:v>
      </x:c>
      <x:c r="AV95" s="32" t="n">
        <x:f>AM95*60/v01_SeasonSeconds</x:f>
        <x:v>5.048057659340889</x:v>
      </x:c>
    </x:row>
    <x:row r="96">
      <x:c r="A96" s="8" t="n">
        <x:f>A95+1</x:f>
        <x:v>93</x:v>
      </x:c>
      <x:c r="B96" s="9" t="n">
        <x:f>A96*v01_SeasonSeconds/60</x:f>
        <x:v>23.25</x:v>
      </x:c>
      <x:c r="C96" s="9" t="n">
        <x:f>A96/4</x:f>
        <x:v>23.25</x:v>
      </x:c>
      <x:c r="D96" s="8" t="n">
        <x:f>IF(MOD(A96,4)=0,1,0)</x:f>
        <x:v>0</x:v>
      </x:c>
      <x:c r="E96" s="8" t="n">
        <x:f>IF(AND(F95&lt;=9,AS95&gt;=AR95),1,0)</x:f>
        <x:v>0</x:v>
      </x:c>
      <x:c r="F96" s="8" t="n">
        <x:f>MIN(10,F95+E96)</x:f>
        <x:v>0</x:v>
      </x:c>
      <x:c r="G96" s="8" t="n">
        <x:f>MIN(F96,9)+1</x:f>
        <x:v>1</x:v>
      </x:c>
      <x:c r="H96" s="8" t="n">
        <x:f>IF(F96&lt;=9,1,0)</x:f>
        <x:v>1</x:v>
      </x:c>
      <x:c r="I96" s="9" t="n">
        <x:f>MIN(10,F95+IF(AR95&gt;0,MIN(1,AS95/AR95),1))</x:f>
        <x:v>0.3692745591790698</x:v>
      </x:c>
      <x:c r="J96" s="32" t="n">
        <x:f>INDEX(v01_FoodCap,G96)*Arch_FoodCap*EXP(v01_CapsByProject*SUMPRODUCT((Cap_Point&lt;=I96)*(Cap_Kind="Food")*Cap_Ln))</x:f>
        <x:v>22</x:v>
      </x:c>
      <x:c r="K96" s="32" t="n">
        <x:f>J96*MIN(1,v01_LeanBase*EXP(v01_CapsByProject*SUMPRODUCT((Cap_Point&lt;=I96)*(Cap_Kind="Lean")*Cap_Ln)))</x:f>
        <x:v>22</x:v>
      </x:c>
      <x:c r="L96" s="10" t="n">
        <x:f>INDEX(v01_HousingCap,G96)*EXP(v01_CapsByProject*SUMPRODUCT((Cap_Point&lt;=I96)*(Cap_Kind="Housing")*Cap_Ln))</x:f>
        <x:v>60</x:v>
      </x:c>
      <x:c r="M96" s="10" t="n">
        <x:f>INDEX(v01_GroupCap,G96)*v01_CohesionFactor*EXP(v01_CapsByProject*SUMPRODUCT((Cap_Point&lt;=I96)*(Cap_Kind="Group")*Cap_Ln))</x:f>
        <x:v>35</x:v>
      </x:c>
      <x:c r="N96" s="32" t="n">
        <x:f>MIN(J96,L96,M96)</x:f>
        <x:v>22</x:v>
      </x:c>
      <x:c r="O96" s="10" t="n">
        <x:f>AE95*N96</x:f>
        <x:v>22</x:v>
      </x:c>
      <x:c r="P96" s="9" t="n">
        <x:f>MIN(1,(AB95/(AE95*IF(v01_GroupInCrowding=1,N96,MIN(J96,L96))))^v01_CrowdingExp)</x:f>
        <x:v>0.14432145916393027</x:v>
      </x:c>
      <x:c r="Q96" s="9" t="n">
        <x:f>IF(D96=1,INDEX(v01_WinterMult,G96),1)</x:f>
        <x:v>1</x:v>
      </x:c>
      <x:c r="R96" s="9" t="n">
        <x:f>H96*Z95*v01_WomenShare*v01_BaseFertility*INDEX(v01_FertMult,G96)*Arch_Fertility*(1-P96)</x:f>
        <x:v>0.19908916188474393</x:v>
      </x:c>
      <x:c r="S96" s="9" t="n">
        <x:f>H96*Y95*INDEX(v01_MortChild,G96)/4*Q96</x:f>
        <x:v>0.06263744345051515</x:v>
      </x:c>
      <x:c r="T96" s="9" t="n">
        <x:f>H96*Z95*INDEX(v01_MortAdult,G96)*Arch_AdultMort/4*Q96</x:f>
        <x:v>0.029083521495440495</x:v>
      </x:c>
      <x:c r="U96" s="9" t="n">
        <x:f>H96*AA95*INDEX(v01_MortElder,G96)/4*Q96</x:f>
        <x:v>0.04785373093508957</x:v>
      </x:c>
      <x:c r="V96" s="9" t="n">
        <x:f>H96*MAX(0,AB95-O96)*v01_OvercapLoss</x:f>
        <x:v>0</x:v>
      </x:c>
      <x:c r="W96" s="9" t="n">
        <x:f>H96*Y95/(v01_ChildYears*4)</x:f>
        <x:v>0.11185257759020563</x:v>
      </x:c>
      <x:c r="X96" s="9" t="n">
        <x:f>H96*Z95/(v01_AdultYears*4)</x:f>
        <x:v>0.06254520751707633</x:v>
      </x:c>
      <x:c r="Y96" s="32" t="n">
        <x:f>Y95+R96-S96-W96-Y95*V96/AB95</x:f>
        <x:v>6.288343485895538</x:v>
      </x:c>
      <x:c r="Z96" s="32" t="n">
        <x:f>Z95+W96-X96-T96-Z95*V96/AB95</x:f>
        <x:v>7.775829580695154</x:v>
      </x:c>
      <x:c r="AA96" s="32" t="n">
        <x:f>AA95+X96-U96-AA95*V96/AB95</x:f>
        <x:v>1.9288407139855694</x:v>
      </x:c>
      <x:c r="AB96" s="10" t="n">
        <x:f>Y96+Z96+AA96</x:f>
        <x:v>15.993013780576263</x:v>
      </x:c>
      <x:c r="AC96" s="8" t="n">
        <x:f>IF(AND(v01_WinterTrigger=1,D96=1,AB95/AE95&gt;=K96),1,0)</x:f>
        <x:v>0</x:v>
      </x:c>
      <x:c r="AD96" s="8" t="n">
        <x:f>H96*IF(AND(OR(AB95/AE95&gt;=v01_FissionTrigger*N96,AC96=1),AB95/AE95*v01_DaughterShare&gt;=v01_MinDaughter),MAX(1,ROUND(AE95*v01_FissionRate,0)),0)</x:f>
        <x:v>0</x:v>
      </x:c>
      <x:c r="AE96" s="8" t="n">
        <x:f>IF(H96=1,MAX(1,MIN(INDEX(v01_Smax,G96),AE95+AD96)),AE95)</x:f>
        <x:v>1</x:v>
      </x:c>
      <x:c r="AF96" s="8" t="n">
        <x:f>MAX(0,AE96-AE95)</x:f>
        <x:v>0</x:v>
      </x:c>
      <x:c r="AG96" s="9" t="str">
        <x:f>IF(AF96&gt;0,B96,"")</x:f>
      </x:c>
      <x:c r="AH96" s="9" t="n">
        <x:f>IF(F96&gt;=1,1,(1+v01_LowTiesShare*(AE96-1))/AE96)</x:f>
        <x:v>1</x:v>
      </x:c>
      <x:c r="AI96" s="32" t="n">
        <x:f>(Z96+v01_ElderCommons*INDEX(LM_Elder,G96)*AA96)*AH96</x:f>
        <x:v>11.633511008666293</x:v>
      </x:c>
      <x:c r="AJ96" s="32" t="n">
        <x:f>H96*v01_CommonsCoef*AI96^v01_CommonsExp*INDEX(LM_Commons,G96)</x:f>
        <x:v>5.06642685850026</x:v>
      </x:c>
      <x:c r="AK96" s="32" t="n">
        <x:f>H96*v01_RoleScale*Arch_Roles*(AE96*(INDEX(v01_ElderRolePerSett,G96)*v01_OutElder*INDEX(LM_Elder,G96)+INDEX(v01_ShamanPerSett,G96)*v01_OutShaman)+Z96*(INDEX(v01_PriestShare,G96)*v01_OutPriest+INDEX(v01_ScribeShare,G96)*v01_OutScribe*INDEX(LM_Scribe,G96)+INDEX(v01_ScholarShare,G96)*v01_OutScholar*INDEX(LM_Scholar,G96)+INDEX(v01_ResearcherShare,G96)*v01_OutResearcher*INDEX(LM_Researcher,G96)))</x:f>
        <x:v>0</x:v>
      </x:c>
      <x:c r="AL96" s="32" t="n">
        <x:f>H96*v01_RoleScale*Arch_Roles*AE96*INDEX(v01_MonasteryPerSett,G96)*v01_OutMonastery*INDEX(LM_Monastery,G96)</x:f>
        <x:v>0</x:v>
      </x:c>
      <x:c r="AM96" s="32" t="n">
        <x:f>(AJ96+AK96+AL96)/4*INDEX(LM_All,G96)*INDEX(v01_Boon,G96)*Arch_Insight</x:f>
        <x:v>1.266606714625065</x:v>
      </x:c>
      <x:c r="AN96" s="32" t="n">
        <x:f>H96*(v01_KHPerAdult*Z96+v01_KHOfCommons*AJ96/4*INDEX(LM_All,G96))*v01_KHUsable*Arch_KH</x:f>
        <x:v>0.2721540353243304</x:v>
      </x:c>
      <x:c r="AO96" s="32" t="n">
        <x:f>MIN(AP95+AN96,AM96*v01_KHMaxRatio)</x:f>
        <x:v>0.2721540353243304</x:v>
      </x:c>
      <x:c r="AP96" s="32" t="n">
        <x:f>AP95+AN96-AO96</x:f>
        <x:v>0</x:v>
      </x:c>
      <x:c r="AQ96" s="32" t="n">
        <x:f>AM96+AO96</x:f>
        <x:v>1.5387607499493954</x:v>
      </x:c>
      <x:c r="AR96" s="10" t="n">
        <x:f>IF(H96=1,INDEX(v01_Req,G96),0)</x:f>
        <x:v>372.02</x:v>
      </x:c>
      <x:c r="AS96" s="32" t="n">
        <x:f>IF(H96=1,IF(E96=1,AS95-AR95,AS95)+AQ96,0)</x:f>
        <x:v>138.91628225574695</x:v>
      </x:c>
      <x:c r="AT96" s="11" t="n">
        <x:f>IF(AR96&gt;0,MIN(1,AS96/AR96),1)</x:f>
        <x:v>0.3734107904299418</x:v>
      </x:c>
      <x:c r="AU96" s="10" t="n">
        <x:f>AB96/INDEX(v01_RepScale,G96)</x:f>
        <x:v>15.993013780576263</x:v>
      </x:c>
      <x:c r="AV96" s="32" t="n">
        <x:f>AM96*60/v01_SeasonSeconds</x:f>
        <x:v>5.06642685850026</x:v>
      </x:c>
    </x:row>
    <x:row r="97">
      <x:c r="A97" s="8" t="n">
        <x:f>A96+1</x:f>
        <x:v>94</x:v>
      </x:c>
      <x:c r="B97" s="9" t="n">
        <x:f>A97*v01_SeasonSeconds/60</x:f>
        <x:v>23.5</x:v>
      </x:c>
      <x:c r="C97" s="9" t="n">
        <x:f>A97/4</x:f>
        <x:v>23.5</x:v>
      </x:c>
      <x:c r="D97" s="8" t="n">
        <x:f>IF(MOD(A97,4)=0,1,0)</x:f>
        <x:v>0</x:v>
      </x:c>
      <x:c r="E97" s="8" t="n">
        <x:f>IF(AND(F96&lt;=9,AS96&gt;=AR96),1,0)</x:f>
        <x:v>0</x:v>
      </x:c>
      <x:c r="F97" s="8" t="n">
        <x:f>MIN(10,F96+E97)</x:f>
        <x:v>0</x:v>
      </x:c>
      <x:c r="G97" s="8" t="n">
        <x:f>MIN(F97,9)+1</x:f>
        <x:v>1</x:v>
      </x:c>
      <x:c r="H97" s="8" t="n">
        <x:f>IF(F97&lt;=9,1,0)</x:f>
        <x:v>1</x:v>
      </x:c>
      <x:c r="I97" s="9" t="n">
        <x:f>MIN(10,F96+IF(AR96&gt;0,MIN(1,AS96/AR96),1))</x:f>
        <x:v>0.3734107904299418</x:v>
      </x:c>
      <x:c r="J97" s="32" t="n">
        <x:f>INDEX(v01_FoodCap,G97)*Arch_FoodCap*EXP(v01_CapsByProject*SUMPRODUCT((Cap_Point&lt;=I97)*(Cap_Kind="Food")*Cap_Ln))</x:f>
        <x:v>22</x:v>
      </x:c>
      <x:c r="K97" s="32" t="n">
        <x:f>J97*MIN(1,v01_LeanBase*EXP(v01_CapsByProject*SUMPRODUCT((Cap_Point&lt;=I97)*(Cap_Kind="Lean")*Cap_Ln)))</x:f>
        <x:v>22</x:v>
      </x:c>
      <x:c r="L97" s="10" t="n">
        <x:f>INDEX(v01_HousingCap,G97)*EXP(v01_CapsByProject*SUMPRODUCT((Cap_Point&lt;=I97)*(Cap_Kind="Housing")*Cap_Ln))</x:f>
        <x:v>60</x:v>
      </x:c>
      <x:c r="M97" s="10" t="n">
        <x:f>INDEX(v01_GroupCap,G97)*v01_CohesionFactor*EXP(v01_CapsByProject*SUMPRODUCT((Cap_Point&lt;=I97)*(Cap_Kind="Group")*Cap_Ln))</x:f>
        <x:v>35</x:v>
      </x:c>
      <x:c r="N97" s="32" t="n">
        <x:f>MIN(J97,L97,M97)</x:f>
        <x:v>22</x:v>
      </x:c>
      <x:c r="O97" s="10" t="n">
        <x:f>AE96*N97</x:f>
        <x:v>22</x:v>
      </x:c>
      <x:c r="P97" s="9" t="n">
        <x:f>MIN(1,(AB96/(AE96*IF(v01_GroupInCrowding=1,N97,MIN(J97,L97))))^v01_CrowdingExp)</x:f>
        <x:v>0.14758621121654936</x:v>
      </x:c>
      <x:c r="Q97" s="9" t="n">
        <x:f>IF(D97=1,INDEX(v01_WinterMult,G97),1)</x:f>
        <x:v>1</x:v>
      </x:c>
      <x:c r="R97" s="9" t="n">
        <x:f>H97*Z96*v01_WomenShare*v01_BaseFertility*INDEX(v01_FertMult,G97)*Arch_Fertility*(1-P97)</x:f>
        <x:v>0.1988467306144436</x:v>
      </x:c>
      <x:c r="S97" s="9" t="n">
        <x:f>H97*Y96*INDEX(v01_MortChild,G97)/4*Q97</x:f>
        <x:v>0.06288343485895538</x:v>
      </x:c>
      <x:c r="T97" s="9" t="n">
        <x:f>H97*Z96*INDEX(v01_MortAdult,G97)*Arch_AdultMort/4*Q97</x:f>
        <x:v>0.029159360927606827</x:v>
      </x:c>
      <x:c r="U97" s="9" t="n">
        <x:f>H97*AA96*INDEX(v01_MortElder,G97)/4*Q97</x:f>
        <x:v>0.04822101784963924</x:v>
      </x:c>
      <x:c r="V97" s="9" t="n">
        <x:f>H97*MAX(0,AB96-O97)*v01_OvercapLoss</x:f>
        <x:v>0</x:v>
      </x:c>
      <x:c r="W97" s="9" t="n">
        <x:f>H97*Y96/(v01_ChildYears*4)</x:f>
        <x:v>0.11229184796242032</x:v>
      </x:c>
      <x:c r="X97" s="9" t="n">
        <x:f>H97*Z96/(v01_AdultYears*4)</x:f>
        <x:v>0.0627083030701222</x:v>
      </x:c>
      <x:c r="Y97" s="32" t="n">
        <x:f>Y96+R97-S97-W97-Y96*V97/AB96</x:f>
        <x:v>6.312014933688606</x:v>
      </x:c>
      <x:c r="Z97" s="32" t="n">
        <x:f>Z96+W97-X97-T97-Z96*V97/AB96</x:f>
        <x:v>7.796253764659845</x:v>
      </x:c>
      <x:c r="AA97" s="32" t="n">
        <x:f>AA96+X97-U97-AA96*V97/AB96</x:f>
        <x:v>1.9433279992060524</x:v>
      </x:c>
      <x:c r="AB97" s="10" t="n">
        <x:f>Y97+Z97+AA97</x:f>
        <x:v>16.0515966975545</x:v>
      </x:c>
      <x:c r="AC97" s="8" t="n">
        <x:f>IF(AND(v01_WinterTrigger=1,D97=1,AB96/AE96&gt;=K97),1,0)</x:f>
        <x:v>0</x:v>
      </x:c>
      <x:c r="AD97" s="8" t="n">
        <x:f>H97*IF(AND(OR(AB96/AE96&gt;=v01_FissionTrigger*N97,AC97=1),AB96/AE96*v01_DaughterShare&gt;=v01_MinDaughter),MAX(1,ROUND(AE96*v01_FissionRate,0)),0)</x:f>
        <x:v>0</x:v>
      </x:c>
      <x:c r="AE97" s="8" t="n">
        <x:f>IF(H97=1,MAX(1,MIN(INDEX(v01_Smax,G97),AE96+AD97)),AE96)</x:f>
        <x:v>1</x:v>
      </x:c>
      <x:c r="AF97" s="8" t="n">
        <x:f>MAX(0,AE97-AE96)</x:f>
        <x:v>0</x:v>
      </x:c>
      <x:c r="AG97" s="9" t="str">
        <x:f>IF(AF97&gt;0,B97,"")</x:f>
      </x:c>
      <x:c r="AH97" s="9" t="n">
        <x:f>IF(F97&gt;=1,1,(1+v01_LowTiesShare*(AE97-1))/AE97)</x:f>
        <x:v>1</x:v>
      </x:c>
      <x:c r="AI97" s="32" t="n">
        <x:f>(Z97+v01_ElderCommons*INDEX(LM_Elder,G97)*AA97)*AH97</x:f>
        <x:v>11.68290976307195</x:v>
      </x:c>
      <x:c r="AJ97" s="32" t="n">
        <x:f>H97*v01_CommonsCoef*AI97^v01_CommonsExp*INDEX(LM_Commons,G97)</x:f>
        <x:v>5.084707346695814</x:v>
      </x:c>
      <x:c r="AK97" s="32" t="n">
        <x:f>H97*v01_RoleScale*Arch_Roles*(AE97*(INDEX(v01_ElderRolePerSett,G97)*v01_OutElder*INDEX(LM_Elder,G97)+INDEX(v01_ShamanPerSett,G97)*v01_OutShaman)+Z97*(INDEX(v01_PriestShare,G97)*v01_OutPriest+INDEX(v01_ScribeShare,G97)*v01_OutScribe*INDEX(LM_Scribe,G97)+INDEX(v01_ScholarShare,G97)*v01_OutScholar*INDEX(LM_Scholar,G97)+INDEX(v01_ResearcherShare,G97)*v01_OutResearcher*INDEX(LM_Researcher,G97)))</x:f>
        <x:v>0</x:v>
      </x:c>
      <x:c r="AL97" s="32" t="n">
        <x:f>H97*v01_RoleScale*Arch_Roles*AE97*INDEX(v01_MonasteryPerSett,G97)*v01_OutMonastery*INDEX(LM_Monastery,G97)</x:f>
        <x:v>0</x:v>
      </x:c>
      <x:c r="AM97" s="32" t="n">
        <x:f>(AJ97+AK97+AL97)/4*INDEX(LM_All,G97)*INDEX(v01_Boon,G97)*Arch_Insight</x:f>
        <x:v>1.2711768366739535</x:v>
      </x:c>
      <x:c r="AN97" s="32" t="n">
        <x:f>H97*(v01_KHPerAdult*Z97+v01_KHOfCommons*AJ97/4*INDEX(LM_All,G97))*v01_KHUsable*Arch_KH</x:f>
        <x:v>0.27286888176309454</x:v>
      </x:c>
      <x:c r="AO97" s="32" t="n">
        <x:f>MIN(AP96+AN97,AM97*v01_KHMaxRatio)</x:f>
        <x:v>0.27286888176309454</x:v>
      </x:c>
      <x:c r="AP97" s="32" t="n">
        <x:f>AP96+AN97-AO97</x:f>
        <x:v>0</x:v>
      </x:c>
      <x:c r="AQ97" s="32" t="n">
        <x:f>AM97+AO97</x:f>
        <x:v>1.5440457184370482</x:v>
      </x:c>
      <x:c r="AR97" s="10" t="n">
        <x:f>IF(H97=1,INDEX(v01_Req,G97),0)</x:f>
        <x:v>372.02</x:v>
      </x:c>
      <x:c r="AS97" s="32" t="n">
        <x:f>IF(H97=1,IF(E97=1,AS96-AR96,AS96)+AQ97,0)</x:f>
        <x:v>140.460327974184</x:v>
      </x:c>
      <x:c r="AT97" s="11" t="n">
        <x:f>IF(AR97&gt;0,MIN(1,AS97/AR97),1)</x:f>
        <x:v>0.37756122782157947</x:v>
      </x:c>
      <x:c r="AU97" s="10" t="n">
        <x:f>AB97/INDEX(v01_RepScale,G97)</x:f>
        <x:v>16.0515966975545</x:v>
      </x:c>
      <x:c r="AV97" s="32" t="n">
        <x:f>AM97*60/v01_SeasonSeconds</x:f>
        <x:v>5.084707346695814</x:v>
      </x:c>
    </x:row>
    <x:row r="98">
      <x:c r="A98" s="8" t="n">
        <x:f>A97+1</x:f>
        <x:v>95</x:v>
      </x:c>
      <x:c r="B98" s="9" t="n">
        <x:f>A98*v01_SeasonSeconds/60</x:f>
        <x:v>23.75</x:v>
      </x:c>
      <x:c r="C98" s="9" t="n">
        <x:f>A98/4</x:f>
        <x:v>23.75</x:v>
      </x:c>
      <x:c r="D98" s="8" t="n">
        <x:f>IF(MOD(A98,4)=0,1,0)</x:f>
        <x:v>0</x:v>
      </x:c>
      <x:c r="E98" s="8" t="n">
        <x:f>IF(AND(F97&lt;=9,AS97&gt;=AR97),1,0)</x:f>
        <x:v>0</x:v>
      </x:c>
      <x:c r="F98" s="8" t="n">
        <x:f>MIN(10,F97+E98)</x:f>
        <x:v>0</x:v>
      </x:c>
      <x:c r="G98" s="8" t="n">
        <x:f>MIN(F98,9)+1</x:f>
        <x:v>1</x:v>
      </x:c>
      <x:c r="H98" s="8" t="n">
        <x:f>IF(F98&lt;=9,1,0)</x:f>
        <x:v>1</x:v>
      </x:c>
      <x:c r="I98" s="9" t="n">
        <x:f>MIN(10,F97+IF(AR97&gt;0,MIN(1,AS97/AR97),1))</x:f>
        <x:v>0.37756122782157947</x:v>
      </x:c>
      <x:c r="J98" s="32" t="n">
        <x:f>INDEX(v01_FoodCap,G98)*Arch_FoodCap*EXP(v01_CapsByProject*SUMPRODUCT((Cap_Point&lt;=I98)*(Cap_Kind="Food")*Cap_Ln))</x:f>
        <x:v>22</x:v>
      </x:c>
      <x:c r="K98" s="32" t="n">
        <x:f>J98*MIN(1,v01_LeanBase*EXP(v01_CapsByProject*SUMPRODUCT((Cap_Point&lt;=I98)*(Cap_Kind="Lean")*Cap_Ln)))</x:f>
        <x:v>22</x:v>
      </x:c>
      <x:c r="L98" s="10" t="n">
        <x:f>INDEX(v01_HousingCap,G98)*EXP(v01_CapsByProject*SUMPRODUCT((Cap_Point&lt;=I98)*(Cap_Kind="Housing")*Cap_Ln))</x:f>
        <x:v>60</x:v>
      </x:c>
      <x:c r="M98" s="10" t="n">
        <x:f>INDEX(v01_GroupCap,G98)*v01_CohesionFactor*EXP(v01_CapsByProject*SUMPRODUCT((Cap_Point&lt;=I98)*(Cap_Kind="Group")*Cap_Ln))</x:f>
        <x:v>35</x:v>
      </x:c>
      <x:c r="N98" s="32" t="n">
        <x:f>MIN(J98,L98,M98)</x:f>
        <x:v>22</x:v>
      </x:c>
      <x:c r="O98" s="10" t="n">
        <x:f>AE97*N98</x:f>
        <x:v>22</x:v>
      </x:c>
      <x:c r="P98" s="9" t="n">
        <x:f>MIN(1,(AB97/(AE97*IF(v01_GroupInCrowding=1,N98,MIN(J98,L98))))^v01_CrowdingExp)</x:f>
        <x:v>0.15085973877957387</x:v>
      </x:c>
      <x:c r="Q98" s="9" t="n">
        <x:f>IF(D98=1,INDEX(v01_WinterMult,G98),1)</x:f>
        <x:v>1</x:v>
      </x:c>
      <x:c r="R98" s="9" t="n">
        <x:f>H98*Z97*v01_WomenShare*v01_BaseFertility*INDEX(v01_FertMult,G98)*Arch_Fertility*(1-P98)</x:f>
        <x:v>0.19860338874791975</x:v>
      </x:c>
      <x:c r="S98" s="9" t="n">
        <x:f>H98*Y97*INDEX(v01_MortChild,G98)/4*Q98</x:f>
        <x:v>0.06312014933688606</x:v>
      </x:c>
      <x:c r="T98" s="9" t="n">
        <x:f>H98*Z97*INDEX(v01_MortAdult,G98)*Arch_AdultMort/4*Q98</x:f>
        <x:v>0.02923595161747442</x:v>
      </x:c>
      <x:c r="U98" s="9" t="n">
        <x:f>H98*AA97*INDEX(v01_MortElder,G98)/4*Q98</x:f>
        <x:v>0.048583199980151315</x:v>
      </x:c>
      <x:c r="V98" s="9" t="n">
        <x:f>H98*MAX(0,AB97-O98)*v01_OvercapLoss</x:f>
        <x:v>0</x:v>
      </x:c>
      <x:c r="W98" s="9" t="n">
        <x:f>H98*Y97/(v01_ChildYears*4)</x:f>
        <x:v>0.11271455238729654</x:v>
      </x:c>
      <x:c r="X98" s="9" t="n">
        <x:f>H98*Z97/(v01_AdultYears*4)</x:f>
        <x:v>0.06287301423112777</x:v>
      </x:c>
      <x:c r="Y98" s="32" t="n">
        <x:f>Y97+R98-S98-W98-Y97*V98/AB97</x:f>
        <x:v>6.334783620712343</x:v>
      </x:c>
      <x:c r="Z98" s="32" t="n">
        <x:f>Z97+W98-X98-T98-Z97*V98/AB97</x:f>
        <x:v>7.816859351198539</x:v>
      </x:c>
      <x:c r="AA98" s="32" t="n">
        <x:f>AA97+X98-U98-AA97*V98/AB97</x:f>
        <x:v>1.9576178134570288</x:v>
      </x:c>
      <x:c r="AB98" s="10" t="n">
        <x:f>Y98+Z98+AA98</x:f>
        <x:v>16.10926078536791</x:v>
      </x:c>
      <x:c r="AC98" s="8" t="n">
        <x:f>IF(AND(v01_WinterTrigger=1,D98=1,AB97/AE97&gt;=K98),1,0)</x:f>
        <x:v>0</x:v>
      </x:c>
      <x:c r="AD98" s="8" t="n">
        <x:f>H98*IF(AND(OR(AB97/AE97&gt;=v01_FissionTrigger*N98,AC98=1),AB97/AE97*v01_DaughterShare&gt;=v01_MinDaughter),MAX(1,ROUND(AE97*v01_FissionRate,0)),0)</x:f>
        <x:v>0</x:v>
      </x:c>
      <x:c r="AE98" s="8" t="n">
        <x:f>IF(H98=1,MAX(1,MIN(INDEX(v01_Smax,G98),AE97+AD98)),AE97)</x:f>
        <x:v>1</x:v>
      </x:c>
      <x:c r="AF98" s="8" t="n">
        <x:f>MAX(0,AE98-AE97)</x:f>
        <x:v>0</x:v>
      </x:c>
      <x:c r="AG98" s="9" t="str">
        <x:f>IF(AF98&gt;0,B98,"")</x:f>
      </x:c>
      <x:c r="AH98" s="9" t="n">
        <x:f>IF(F98&gt;=1,1,(1+v01_LowTiesShare*(AE98-1))/AE98)</x:f>
        <x:v>1</x:v>
      </x:c>
      <x:c r="AI98" s="32" t="n">
        <x:f>(Z98+v01_ElderCommons*INDEX(LM_Elder,G98)*AA98)*AH98</x:f>
        <x:v>11.732094978112595</x:v>
      </x:c>
      <x:c r="AJ98" s="32" t="n">
        <x:f>H98*v01_CommonsCoef*AI98^v01_CommonsExp*INDEX(LM_Commons,G98)</x:f>
        <x:v>5.102897296897403</x:v>
      </x:c>
      <x:c r="AK98" s="32" t="n">
        <x:f>H98*v01_RoleScale*Arch_Roles*(AE98*(INDEX(v01_ElderRolePerSett,G98)*v01_OutElder*INDEX(LM_Elder,G98)+INDEX(v01_ShamanPerSett,G98)*v01_OutShaman)+Z98*(INDEX(v01_PriestShare,G98)*v01_OutPriest+INDEX(v01_ScribeShare,G98)*v01_OutScribe*INDEX(LM_Scribe,G98)+INDEX(v01_ScholarShare,G98)*v01_OutScholar*INDEX(LM_Scholar,G98)+INDEX(v01_ResearcherShare,G98)*v01_OutResearcher*INDEX(LM_Researcher,G98)))</x:f>
        <x:v>0</x:v>
      </x:c>
      <x:c r="AL98" s="32" t="n">
        <x:f>H98*v01_RoleScale*Arch_Roles*AE98*INDEX(v01_MonasteryPerSett,G98)*v01_OutMonastery*INDEX(LM_Monastery,G98)</x:f>
        <x:v>0</x:v>
      </x:c>
      <x:c r="AM98" s="32" t="n">
        <x:f>(AJ98+AK98+AL98)/4*INDEX(LM_All,G98)*INDEX(v01_Boon,G98)*Arch_Insight</x:f>
        <x:v>1.2757243242243508</x:v>
      </x:c>
      <x:c r="AN98" s="32" t="n">
        <x:f>H98*(v01_KHPerAdult*Z98+v01_KHOfCommons*AJ98/4*INDEX(LM_All,G98))*v01_KHUsable*Arch_KH</x:f>
        <x:v>0.27359007729194884</x:v>
      </x:c>
      <x:c r="AO98" s="32" t="n">
        <x:f>MIN(AP97+AN98,AM98*v01_KHMaxRatio)</x:f>
        <x:v>0.27359007729194884</x:v>
      </x:c>
      <x:c r="AP98" s="32" t="n">
        <x:f>AP97+AN98-AO98</x:f>
        <x:v>0</x:v>
      </x:c>
      <x:c r="AQ98" s="32" t="n">
        <x:f>AM98+AO98</x:f>
        <x:v>1.5493144015162996</x:v>
      </x:c>
      <x:c r="AR98" s="10" t="n">
        <x:f>IF(H98=1,INDEX(v01_Req,G98),0)</x:f>
        <x:v>372.02</x:v>
      </x:c>
      <x:c r="AS98" s="32" t="n">
        <x:f>IF(H98=1,IF(E98=1,AS97-AR97,AS97)+AQ98,0)</x:f>
        <x:v>142.0096423757003</x:v>
      </x:c>
      <x:c r="AT98" s="11" t="n">
        <x:f>IF(AR98&gt;0,MIN(1,AS98/AR98),1)</x:f>
        <x:v>0.3817258275783569</x:v>
      </x:c>
      <x:c r="AU98" s="10" t="n">
        <x:f>AB98/INDEX(v01_RepScale,G98)</x:f>
        <x:v>16.10926078536791</x:v>
      </x:c>
      <x:c r="AV98" s="32" t="n">
        <x:f>AM98*60/v01_SeasonSeconds</x:f>
        <x:v>5.102897296897404</x:v>
      </x:c>
    </x:row>
    <x:row r="99">
      <x:c r="A99" s="8" t="n">
        <x:f>A98+1</x:f>
        <x:v>96</x:v>
      </x:c>
      <x:c r="B99" s="9" t="n">
        <x:f>A99*v01_SeasonSeconds/60</x:f>
        <x:v>24</x:v>
      </x:c>
      <x:c r="C99" s="9" t="n">
        <x:f>A99/4</x:f>
        <x:v>24</x:v>
      </x:c>
      <x:c r="D99" s="8" t="n">
        <x:f>IF(MOD(A99,4)=0,1,0)</x:f>
        <x:v>1</x:v>
      </x:c>
      <x:c r="E99" s="8" t="n">
        <x:f>IF(AND(F98&lt;=9,AS98&gt;=AR98),1,0)</x:f>
        <x:v>0</x:v>
      </x:c>
      <x:c r="F99" s="8" t="n">
        <x:f>MIN(10,F98+E99)</x:f>
        <x:v>0</x:v>
      </x:c>
      <x:c r="G99" s="8" t="n">
        <x:f>MIN(F99,9)+1</x:f>
        <x:v>1</x:v>
      </x:c>
      <x:c r="H99" s="8" t="n">
        <x:f>IF(F99&lt;=9,1,0)</x:f>
        <x:v>1</x:v>
      </x:c>
      <x:c r="I99" s="9" t="n">
        <x:f>MIN(10,F98+IF(AR98&gt;0,MIN(1,AS98/AR98),1))</x:f>
        <x:v>0.3817258275783569</x:v>
      </x:c>
      <x:c r="J99" s="32" t="n">
        <x:f>INDEX(v01_FoodCap,G99)*Arch_FoodCap*EXP(v01_CapsByProject*SUMPRODUCT((Cap_Point&lt;=I99)*(Cap_Kind="Food")*Cap_Ln))</x:f>
        <x:v>22</x:v>
      </x:c>
      <x:c r="K99" s="32" t="n">
        <x:f>J99*MIN(1,v01_LeanBase*EXP(v01_CapsByProject*SUMPRODUCT((Cap_Point&lt;=I99)*(Cap_Kind="Lean")*Cap_Ln)))</x:f>
        <x:v>22</x:v>
      </x:c>
      <x:c r="L99" s="10" t="n">
        <x:f>INDEX(v01_HousingCap,G99)*EXP(v01_CapsByProject*SUMPRODUCT((Cap_Point&lt;=I99)*(Cap_Kind="Housing")*Cap_Ln))</x:f>
        <x:v>60</x:v>
      </x:c>
      <x:c r="M99" s="10" t="n">
        <x:f>INDEX(v01_GroupCap,G99)*v01_CohesionFactor*EXP(v01_CapsByProject*SUMPRODUCT((Cap_Point&lt;=I99)*(Cap_Kind="Group")*Cap_Ln))</x:f>
        <x:v>35</x:v>
      </x:c>
      <x:c r="N99" s="32" t="n">
        <x:f>MIN(J99,L99,M99)</x:f>
        <x:v>22</x:v>
      </x:c>
      <x:c r="O99" s="10" t="n">
        <x:f>AE98*N99</x:f>
        <x:v>22</x:v>
      </x:c>
      <x:c r="P99" s="9" t="n">
        <x:f>MIN(1,(AB98/(AE98*IF(v01_GroupInCrowding=1,N99,MIN(J99,L99))))^v01_CrowdingExp)</x:f>
        <x:v>0.15414079268038874</x:v>
      </x:c>
      <x:c r="Q99" s="9" t="n">
        <x:f>IF(D99=1,INDEX(v01_WinterMult,G99),1)</x:f>
        <x:v>2</x:v>
      </x:c>
      <x:c r="R99" s="9" t="n">
        <x:f>H99*Z98*v01_WomenShare*v01_BaseFertility*INDEX(v01_FertMult,G99)*Arch_Fertility*(1-P99)</x:f>
        <x:v>0.19835887363601062</x:v>
      </x:c>
      <x:c r="S99" s="9" t="n">
        <x:f>H99*Y98*INDEX(v01_MortChild,G99)/4*Q99</x:f>
        <x:v>0.12669567241424687</x:v>
      </x:c>
      <x:c r="T99" s="9" t="n">
        <x:f>H99*Z98*INDEX(v01_MortAdult,G99)*Arch_AdultMort/4*Q99</x:f>
        <x:v>0.05862644513398904</x:v>
      </x:c>
      <x:c r="U99" s="9" t="n">
        <x:f>H99*AA98*INDEX(v01_MortElder,G99)/4*Q99</x:f>
        <x:v>0.09788089067285144</x:v>
      </x:c>
      <x:c r="V99" s="9" t="n">
        <x:f>H99*MAX(0,AB98-O99)*v01_OvercapLoss</x:f>
        <x:v>0</x:v>
      </x:c>
      <x:c r="W99" s="9" t="n">
        <x:f>H99*Y98/(v01_ChildYears*4)</x:f>
        <x:v>0.11312113608414898</x:v>
      </x:c>
      <x:c r="X99" s="9" t="n">
        <x:f>H99*Z98/(v01_AdultYears*4)</x:f>
        <x:v>0.06303918831611725</x:v>
      </x:c>
      <x:c r="Y99" s="32" t="n">
        <x:f>Y98+R99-S99-W99-Y98*V99/AB98</x:f>
        <x:v>6.2933256858499576</x:v>
      </x:c>
      <x:c r="Z99" s="32" t="n">
        <x:f>Z98+W99-X99-T99-Z98*V99/AB98</x:f>
        <x:v>7.808314853832582</x:v>
      </x:c>
      <x:c r="AA99" s="32" t="n">
        <x:f>AA98+X99-U99-AA98*V99/AB98</x:f>
        <x:v>1.9227761111002946</x:v>
      </x:c>
      <x:c r="AB99" s="10" t="n">
        <x:f>Y99+Z99+AA99</x:f>
        <x:v>16.024416650782833</x:v>
      </x:c>
      <x:c r="AC99" s="8" t="n">
        <x:f>IF(AND(v01_WinterTrigger=1,D99=1,AB98/AE98&gt;=K99),1,0)</x:f>
        <x:v>0</x:v>
      </x:c>
      <x:c r="AD99" s="8" t="n">
        <x:f>H99*IF(AND(OR(AB98/AE98&gt;=v01_FissionTrigger*N99,AC99=1),AB98/AE98*v01_DaughterShare&gt;=v01_MinDaughter),MAX(1,ROUND(AE98*v01_FissionRate,0)),0)</x:f>
        <x:v>0</x:v>
      </x:c>
      <x:c r="AE99" s="8" t="n">
        <x:f>IF(H99=1,MAX(1,MIN(INDEX(v01_Smax,G99),AE98+AD99)),AE98)</x:f>
        <x:v>1</x:v>
      </x:c>
      <x:c r="AF99" s="8" t="n">
        <x:f>MAX(0,AE99-AE98)</x:f>
        <x:v>0</x:v>
      </x:c>
      <x:c r="AG99" s="9" t="str">
        <x:f>IF(AF99&gt;0,B99,"")</x:f>
      </x:c>
      <x:c r="AH99" s="9" t="n">
        <x:f>IF(F99&gt;=1,1,(1+v01_LowTiesShare*(AE99-1))/AE99)</x:f>
        <x:v>1</x:v>
      </x:c>
      <x:c r="AI99" s="32" t="n">
        <x:f>(Z99+v01_ElderCommons*INDEX(LM_Elder,G99)*AA99)*AH99</x:f>
        <x:v>11.65386707603317</x:v>
      </x:c>
      <x:c r="AJ99" s="32" t="n">
        <x:f>H99*v01_CommonsCoef*AI99^v01_CommonsExp*INDEX(LM_Commons,G99)</x:f>
        <x:v>5.073961226315156</x:v>
      </x:c>
      <x:c r="AK99" s="32" t="n">
        <x:f>H99*v01_RoleScale*Arch_Roles*(AE99*(INDEX(v01_ElderRolePerSett,G99)*v01_OutElder*INDEX(LM_Elder,G99)+INDEX(v01_ShamanPerSett,G99)*v01_OutShaman)+Z99*(INDEX(v01_PriestShare,G99)*v01_OutPriest+INDEX(v01_ScribeShare,G99)*v01_OutScribe*INDEX(LM_Scribe,G99)+INDEX(v01_ScholarShare,G99)*v01_OutScholar*INDEX(LM_Scholar,G99)+INDEX(v01_ResearcherShare,G99)*v01_OutResearcher*INDEX(LM_Researcher,G99)))</x:f>
        <x:v>0</x:v>
      </x:c>
      <x:c r="AL99" s="32" t="n">
        <x:f>H99*v01_RoleScale*Arch_Roles*AE99*INDEX(v01_MonasteryPerSett,G99)*v01_OutMonastery*INDEX(LM_Monastery,G99)</x:f>
        <x:v>0</x:v>
      </x:c>
      <x:c r="AM99" s="32" t="n">
        <x:f>(AJ99+AK99+AL99)/4*INDEX(LM_All,G99)*INDEX(v01_Boon,G99)*Arch_Insight</x:f>
        <x:v>1.268490306578789</x:v>
      </x:c>
      <x:c r="AN99" s="32" t="n">
        <x:f>H99*(v01_KHPerAdult*Z99+v01_KHOfCommons*AJ99/4*INDEX(LM_All,G99))*v01_KHUsable*Arch_KH</x:f>
        <x:v>0.27329101988414034</x:v>
      </x:c>
      <x:c r="AO99" s="32" t="n">
        <x:f>MIN(AP98+AN99,AM99*v01_KHMaxRatio)</x:f>
        <x:v>0.27329101988414034</x:v>
      </x:c>
      <x:c r="AP99" s="32" t="n">
        <x:f>AP98+AN99-AO99</x:f>
        <x:v>0</x:v>
      </x:c>
      <x:c r="AQ99" s="32" t="n">
        <x:f>AM99+AO99</x:f>
        <x:v>1.5417813264629292</x:v>
      </x:c>
      <x:c r="AR99" s="10" t="n">
        <x:f>IF(H99=1,INDEX(v01_Req,G99),0)</x:f>
        <x:v>372.02</x:v>
      </x:c>
      <x:c r="AS99" s="32" t="n">
        <x:f>IF(H99=1,IF(E99=1,AS98-AR98,AS98)+AQ99,0)</x:f>
        <x:v>143.55142370216325</x:v>
      </x:c>
      <x:c r="AT99" s="11" t="n">
        <x:f>IF(AR99&gt;0,MIN(1,AS99/AR99),1)</x:f>
        <x:v>0.38587017822203984</x:v>
      </x:c>
      <x:c r="AU99" s="10" t="n">
        <x:f>AB99/INDEX(v01_RepScale,G99)</x:f>
        <x:v>16.024416650782833</x:v>
      </x:c>
      <x:c r="AV99" s="32" t="n">
        <x:f>AM99*60/v01_SeasonSeconds</x:f>
        <x:v>5.073961226315155</x:v>
      </x:c>
    </x:row>
    <x:row r="100">
      <x:c r="A100" s="8" t="n">
        <x:f>A99+1</x:f>
        <x:v>97</x:v>
      </x:c>
      <x:c r="B100" s="9" t="n">
        <x:f>A100*v01_SeasonSeconds/60</x:f>
        <x:v>24.25</x:v>
      </x:c>
      <x:c r="C100" s="9" t="n">
        <x:f>A100/4</x:f>
        <x:v>24.25</x:v>
      </x:c>
      <x:c r="D100" s="8" t="n">
        <x:f>IF(MOD(A100,4)=0,1,0)</x:f>
        <x:v>0</x:v>
      </x:c>
      <x:c r="E100" s="8" t="n">
        <x:f>IF(AND(F99&lt;=9,AS99&gt;=AR99),1,0)</x:f>
        <x:v>0</x:v>
      </x:c>
      <x:c r="F100" s="8" t="n">
        <x:f>MIN(10,F99+E100)</x:f>
        <x:v>0</x:v>
      </x:c>
      <x:c r="G100" s="8" t="n">
        <x:f>MIN(F100,9)+1</x:f>
        <x:v>1</x:v>
      </x:c>
      <x:c r="H100" s="8" t="n">
        <x:f>IF(F100&lt;=9,1,0)</x:f>
        <x:v>1</x:v>
      </x:c>
      <x:c r="I100" s="9" t="n">
        <x:f>MIN(10,F99+IF(AR99&gt;0,MIN(1,AS99/AR99),1))</x:f>
        <x:v>0.38587017822203984</x:v>
      </x:c>
      <x:c r="J100" s="32" t="n">
        <x:f>INDEX(v01_FoodCap,G100)*Arch_FoodCap*EXP(v01_CapsByProject*SUMPRODUCT((Cap_Point&lt;=I100)*(Cap_Kind="Food")*Cap_Ln))</x:f>
        <x:v>22</x:v>
      </x:c>
      <x:c r="K100" s="32" t="n">
        <x:f>J100*MIN(1,v01_LeanBase*EXP(v01_CapsByProject*SUMPRODUCT((Cap_Point&lt;=I100)*(Cap_Kind="Lean")*Cap_Ln)))</x:f>
        <x:v>22</x:v>
      </x:c>
      <x:c r="L100" s="10" t="n">
        <x:f>INDEX(v01_HousingCap,G100)*EXP(v01_CapsByProject*SUMPRODUCT((Cap_Point&lt;=I100)*(Cap_Kind="Housing")*Cap_Ln))</x:f>
        <x:v>60</x:v>
      </x:c>
      <x:c r="M100" s="10" t="n">
        <x:f>INDEX(v01_GroupCap,G100)*v01_CohesionFactor*EXP(v01_CapsByProject*SUMPRODUCT((Cap_Point&lt;=I100)*(Cap_Kind="Group")*Cap_Ln))</x:f>
        <x:v>35</x:v>
      </x:c>
      <x:c r="N100" s="32" t="n">
        <x:f>MIN(J100,L100,M100)</x:f>
        <x:v>22</x:v>
      </x:c>
      <x:c r="O100" s="10" t="n">
        <x:f>AE99*N100</x:f>
        <x:v>22</x:v>
      </x:c>
      <x:c r="P100" s="9" t="n">
        <x:f>MIN(1,(AB99/(AE99*IF(v01_GroupInCrowding=1,N100,MIN(J100,L100))))^v01_CrowdingExp)</x:f>
        <x:v>0.14933351451461327</x:v>
      </x:c>
      <x:c r="Q100" s="9" t="n">
        <x:f>IF(D100=1,INDEX(v01_WinterMult,G100),1)</x:f>
        <x:v>1</x:v>
      </x:c>
      <x:c r="R100" s="9" t="n">
        <x:f>H100*Z99*v01_WomenShare*v01_BaseFertility*INDEX(v01_FertMult,G100)*Arch_Fertility*(1-P100)</x:f>
        <x:v>0.19926815262819308</x:v>
      </x:c>
      <x:c r="S100" s="9" t="n">
        <x:f>H100*Y99*INDEX(v01_MortChild,G100)/4*Q100</x:f>
        <x:v>0.06293325685849957</x:v>
      </x:c>
      <x:c r="T100" s="9" t="n">
        <x:f>H100*Z99*INDEX(v01_MortAdult,G100)*Arch_AdultMort/4*Q100</x:f>
        <x:v>0.02928118070187218</x:v>
      </x:c>
      <x:c r="U100" s="9" t="n">
        <x:f>H100*AA99*INDEX(v01_MortElder,G100)/4*Q100</x:f>
        <x:v>0.04806940277750737</x:v>
      </x:c>
      <x:c r="V100" s="9" t="n">
        <x:f>H100*MAX(0,AB99-O100)*v01_OvercapLoss</x:f>
        <x:v>0</x:v>
      </x:c>
      <x:c r="W100" s="9" t="n">
        <x:f>H100*Y99/(v01_ChildYears*4)</x:f>
        <x:v>0.11238081581874924</x:v>
      </x:c>
      <x:c r="X100" s="9" t="n">
        <x:f>H100*Z99/(v01_AdultYears*4)</x:f>
        <x:v>0.06297028107929502</x:v>
      </x:c>
      <x:c r="Y100" s="32" t="n">
        <x:f>Y99+R100-S100-W100-Y99*V100/AB99</x:f>
        <x:v>6.317279765800901</x:v>
      </x:c>
      <x:c r="Z100" s="32" t="n">
        <x:f>Z99+W100-X100-T100-Z99*V100/AB99</x:f>
        <x:v>7.828444207870164</x:v>
      </x:c>
      <x:c r="AA100" s="32" t="n">
        <x:f>AA99+X100-U100-AA99*V100/AB99</x:f>
        <x:v>1.9376769894020822</x:v>
      </x:c>
      <x:c r="AB100" s="10" t="n">
        <x:f>Y100+Z100+AA100</x:f>
        <x:v>16.083400963073146</x:v>
      </x:c>
      <x:c r="AC100" s="8" t="n">
        <x:f>IF(AND(v01_WinterTrigger=1,D100=1,AB99/AE99&gt;=K100),1,0)</x:f>
        <x:v>0</x:v>
      </x:c>
      <x:c r="AD100" s="8" t="n">
        <x:f>H100*IF(AND(OR(AB99/AE99&gt;=v01_FissionTrigger*N100,AC100=1),AB99/AE99*v01_DaughterShare&gt;=v01_MinDaughter),MAX(1,ROUND(AE99*v01_FissionRate,0)),0)</x:f>
        <x:v>0</x:v>
      </x:c>
      <x:c r="AE100" s="8" t="n">
        <x:f>IF(H100=1,MAX(1,MIN(INDEX(v01_Smax,G100),AE99+AD100)),AE99)</x:f>
        <x:v>1</x:v>
      </x:c>
      <x:c r="AF100" s="8" t="n">
        <x:f>MAX(0,AE100-AE99)</x:f>
        <x:v>0</x:v>
      </x:c>
      <x:c r="AG100" s="9" t="str">
        <x:f>IF(AF100&gt;0,B100,"")</x:f>
      </x:c>
      <x:c r="AH100" s="9" t="n">
        <x:f>IF(F100&gt;=1,1,(1+v01_LowTiesShare*(AE100-1))/AE100)</x:f>
        <x:v>1</x:v>
      </x:c>
      <x:c r="AI100" s="32" t="n">
        <x:f>(Z100+v01_ElderCommons*INDEX(LM_Elder,G100)*AA100)*AH100</x:f>
        <x:v>11.703798186674328</x:v>
      </x:c>
      <x:c r="AJ100" s="32" t="n">
        <x:f>H100*v01_CommonsCoef*AI100^v01_CommonsExp*INDEX(LM_Commons,G100)</x:f>
        <x:v>5.092433820388384</x:v>
      </x:c>
      <x:c r="AK100" s="32" t="n">
        <x:f>H100*v01_RoleScale*Arch_Roles*(AE100*(INDEX(v01_ElderRolePerSett,G100)*v01_OutElder*INDEX(LM_Elder,G100)+INDEX(v01_ShamanPerSett,G100)*v01_OutShaman)+Z100*(INDEX(v01_PriestShare,G100)*v01_OutPriest+INDEX(v01_ScribeShare,G100)*v01_OutScribe*INDEX(LM_Scribe,G100)+INDEX(v01_ScholarShare,G100)*v01_OutScholar*INDEX(LM_Scholar,G100)+INDEX(v01_ResearcherShare,G100)*v01_OutResearcher*INDEX(LM_Researcher,G100)))</x:f>
        <x:v>0</x:v>
      </x:c>
      <x:c r="AL100" s="32" t="n">
        <x:f>H100*v01_RoleScale*Arch_Roles*AE100*INDEX(v01_MonasteryPerSett,G100)*v01_OutMonastery*INDEX(LM_Monastery,G100)</x:f>
        <x:v>0</x:v>
      </x:c>
      <x:c r="AM100" s="32" t="n">
        <x:f>(AJ100+AK100+AL100)/4*INDEX(LM_All,G100)*INDEX(v01_Boon,G100)*Arch_Insight</x:f>
        <x:v>1.273108455097096</x:v>
      </x:c>
      <x:c r="AN100" s="32" t="n">
        <x:f>H100*(v01_KHPerAdult*Z100+v01_KHOfCommons*AJ100/4*INDEX(LM_All,G100))*v01_KHUsable*Arch_KH</x:f>
        <x:v>0.2739955472754557</x:v>
      </x:c>
      <x:c r="AO100" s="32" t="n">
        <x:f>MIN(AP99+AN100,AM100*v01_KHMaxRatio)</x:f>
        <x:v>0.2739955472754557</x:v>
      </x:c>
      <x:c r="AP100" s="32" t="n">
        <x:f>AP99+AN100-AO100</x:f>
        <x:v>0</x:v>
      </x:c>
      <x:c r="AQ100" s="32" t="n">
        <x:f>AM100+AO100</x:f>
        <x:v>1.5471040023725515</x:v>
      </x:c>
      <x:c r="AR100" s="10" t="n">
        <x:f>IF(H100=1,INDEX(v01_Req,G100),0)</x:f>
        <x:v>372.02</x:v>
      </x:c>
      <x:c r="AS100" s="32" t="n">
        <x:f>IF(H100=1,IF(E100=1,AS99-AR99,AS99)+AQ100,0)</x:f>
        <x:v>145.0985277045358</x:v>
      </x:c>
      <x:c r="AT100" s="11" t="n">
        <x:f>IF(AR100&gt;0,MIN(1,AS100/AR100),1)</x:f>
        <x:v>0.3900288363650766</x:v>
      </x:c>
      <x:c r="AU100" s="10" t="n">
        <x:f>AB100/INDEX(v01_RepScale,G100)</x:f>
        <x:v>16.083400963073146</x:v>
      </x:c>
      <x:c r="AV100" s="32" t="n">
        <x:f>AM100*60/v01_SeasonSeconds</x:f>
        <x:v>5.092433820388384</x:v>
      </x:c>
    </x:row>
    <x:row r="101">
      <x:c r="A101" s="8" t="n">
        <x:f>A100+1</x:f>
        <x:v>98</x:v>
      </x:c>
      <x:c r="B101" s="9" t="n">
        <x:f>A101*v01_SeasonSeconds/60</x:f>
        <x:v>24.5</x:v>
      </x:c>
      <x:c r="C101" s="9" t="n">
        <x:f>A101/4</x:f>
        <x:v>24.5</x:v>
      </x:c>
      <x:c r="D101" s="8" t="n">
        <x:f>IF(MOD(A101,4)=0,1,0)</x:f>
        <x:v>0</x:v>
      </x:c>
      <x:c r="E101" s="8" t="n">
        <x:f>IF(AND(F100&lt;=9,AS100&gt;=AR100),1,0)</x:f>
        <x:v>0</x:v>
      </x:c>
      <x:c r="F101" s="8" t="n">
        <x:f>MIN(10,F100+E101)</x:f>
        <x:v>0</x:v>
      </x:c>
      <x:c r="G101" s="8" t="n">
        <x:f>MIN(F101,9)+1</x:f>
        <x:v>1</x:v>
      </x:c>
      <x:c r="H101" s="8" t="n">
        <x:f>IF(F101&lt;=9,1,0)</x:f>
        <x:v>1</x:v>
      </x:c>
      <x:c r="I101" s="9" t="n">
        <x:f>MIN(10,F100+IF(AR100&gt;0,MIN(1,AS100/AR100),1))</x:f>
        <x:v>0.3900288363650766</x:v>
      </x:c>
      <x:c r="J101" s="32" t="n">
        <x:f>INDEX(v01_FoodCap,G101)*Arch_FoodCap*EXP(v01_CapsByProject*SUMPRODUCT((Cap_Point&lt;=I101)*(Cap_Kind="Food")*Cap_Ln))</x:f>
        <x:v>22</x:v>
      </x:c>
      <x:c r="K101" s="32" t="n">
        <x:f>J101*MIN(1,v01_LeanBase*EXP(v01_CapsByProject*SUMPRODUCT((Cap_Point&lt;=I101)*(Cap_Kind="Lean")*Cap_Ln)))</x:f>
        <x:v>22</x:v>
      </x:c>
      <x:c r="L101" s="10" t="n">
        <x:f>INDEX(v01_HousingCap,G101)*EXP(v01_CapsByProject*SUMPRODUCT((Cap_Point&lt;=I101)*(Cap_Kind="Housing")*Cap_Ln))</x:f>
        <x:v>60</x:v>
      </x:c>
      <x:c r="M101" s="10" t="n">
        <x:f>INDEX(v01_GroupCap,G101)*v01_CohesionFactor*EXP(v01_CapsByProject*SUMPRODUCT((Cap_Point&lt;=I101)*(Cap_Kind="Group")*Cap_Ln))</x:f>
        <x:v>35</x:v>
      </x:c>
      <x:c r="N101" s="32" t="n">
        <x:f>MIN(J101,L101,M101)</x:f>
        <x:v>22</x:v>
      </x:c>
      <x:c r="O101" s="10" t="n">
        <x:f>AE100*N101</x:f>
        <x:v>22</x:v>
      </x:c>
      <x:c r="P101" s="9" t="n">
        <x:f>MIN(1,(AB100/(AE100*IF(v01_GroupInCrowding=1,N101,MIN(J101,L101))))^v01_CrowdingExp)</x:f>
        <x:v>0.15266210624282306</x:v>
      </x:c>
      <x:c r="Q101" s="9" t="n">
        <x:f>IF(D101=1,INDEX(v01_WinterMult,G101),1)</x:f>
        <x:v>1</x:v>
      </x:c>
      <x:c r="R101" s="9" t="n">
        <x:f>H101*Z100*v01_WomenShare*v01_BaseFertility*INDEX(v01_FertMult,G101)*Arch_Fertility*(1-P101)</x:f>
        <x:v>0.19900012279476828</x:v>
      </x:c>
      <x:c r="S101" s="9" t="n">
        <x:f>H101*Y100*INDEX(v01_MortChild,G101)/4*Q101</x:f>
        <x:v>0.06317279765800901</x:v>
      </x:c>
      <x:c r="T101" s="9" t="n">
        <x:f>H101*Z100*INDEX(v01_MortAdult,G101)*Arch_AdultMort/4*Q101</x:f>
        <x:v>0.029356665779513114</x:v>
      </x:c>
      <x:c r="U101" s="9" t="n">
        <x:f>H101*AA100*INDEX(v01_MortElder,G101)/4*Q101</x:f>
        <x:v>0.04844192473505206</x:v>
      </x:c>
      <x:c r="V101" s="9" t="n">
        <x:f>H101*MAX(0,AB100-O101)*v01_OvercapLoss</x:f>
        <x:v>0</x:v>
      </x:c>
      <x:c r="W101" s="9" t="n">
        <x:f>H101*Y100/(v01_ChildYears*4)</x:f>
        <x:v>0.11280856724644465</x:v>
      </x:c>
      <x:c r="X101" s="9" t="n">
        <x:f>H101*Z100/(v01_AdultYears*4)</x:f>
        <x:v>0.0631326145795981</x:v>
      </x:c>
      <x:c r="Y101" s="32" t="n">
        <x:f>Y100+R101-S101-W101-Y100*V101/AB100</x:f>
        <x:v>6.3402985236912155</x:v>
      </x:c>
      <x:c r="Z101" s="32" t="n">
        <x:f>Z100+W101-X101-T101-Z100*V101/AB100</x:f>
        <x:v>7.848763494757497</x:v>
      </x:c>
      <x:c r="AA101" s="32" t="n">
        <x:f>AA100+X101-U101-AA100*V101/AB100</x:f>
        <x:v>1.9523676792466285</x:v>
      </x:c>
      <x:c r="AB101" s="10" t="n">
        <x:f>Y101+Z101+AA101</x:f>
        <x:v>16.14142969769534</x:v>
      </x:c>
      <x:c r="AC101" s="8" t="n">
        <x:f>IF(AND(v01_WinterTrigger=1,D101=1,AB100/AE100&gt;=K101),1,0)</x:f>
        <x:v>0</x:v>
      </x:c>
      <x:c r="AD101" s="8" t="n">
        <x:f>H101*IF(AND(OR(AB100/AE100&gt;=v01_FissionTrigger*N101,AC101=1),AB100/AE100*v01_DaughterShare&gt;=v01_MinDaughter),MAX(1,ROUND(AE100*v01_FissionRate,0)),0)</x:f>
        <x:v>0</x:v>
      </x:c>
      <x:c r="AE101" s="8" t="n">
        <x:f>IF(H101=1,MAX(1,MIN(INDEX(v01_Smax,G101),AE100+AD101)),AE100)</x:f>
        <x:v>1</x:v>
      </x:c>
      <x:c r="AF101" s="8" t="n">
        <x:f>MAX(0,AE101-AE100)</x:f>
        <x:v>0</x:v>
      </x:c>
      <x:c r="AG101" s="9" t="str">
        <x:f>IF(AF101&gt;0,B101,"")</x:f>
      </x:c>
      <x:c r="AH101" s="9" t="n">
        <x:f>IF(F101&gt;=1,1,(1+v01_LowTiesShare*(AE101-1))/AE101)</x:f>
        <x:v>1</x:v>
      </x:c>
      <x:c r="AI101" s="32" t="n">
        <x:f>(Z101+v01_ElderCommons*INDEX(LM_Elder,G101)*AA101)*AH101</x:f>
        <x:v>11.753498853250754</x:v>
      </x:c>
      <x:c r="AJ101" s="32" t="n">
        <x:f>H101*v01_CommonsCoef*AI101^v01_CommonsExp*INDEX(LM_Commons,G101)</x:f>
        <x:v>5.110809423090302</x:v>
      </x:c>
      <x:c r="AK101" s="32" t="n">
        <x:f>H101*v01_RoleScale*Arch_Roles*(AE101*(INDEX(v01_ElderRolePerSett,G101)*v01_OutElder*INDEX(LM_Elder,G101)+INDEX(v01_ShamanPerSett,G101)*v01_OutShaman)+Z101*(INDEX(v01_PriestShare,G101)*v01_OutPriest+INDEX(v01_ScribeShare,G101)*v01_OutScribe*INDEX(LM_Scribe,G101)+INDEX(v01_ScholarShare,G101)*v01_OutScholar*INDEX(LM_Scholar,G101)+INDEX(v01_ResearcherShare,G101)*v01_OutResearcher*INDEX(LM_Researcher,G101)))</x:f>
        <x:v>0</x:v>
      </x:c>
      <x:c r="AL101" s="32" t="n">
        <x:f>H101*v01_RoleScale*Arch_Roles*AE101*INDEX(v01_MonasteryPerSett,G101)*v01_OutMonastery*INDEX(LM_Monastery,G101)</x:f>
        <x:v>0</x:v>
      </x:c>
      <x:c r="AM101" s="32" t="n">
        <x:f>(AJ101+AK101+AL101)/4*INDEX(LM_All,G101)*INDEX(v01_Boon,G101)*Arch_Insight</x:f>
        <x:v>1.2777023557725755</x:v>
      </x:c>
      <x:c r="AN101" s="32" t="n">
        <x:f>H101*(v01_KHPerAdult*Z101+v01_KHOfCommons*AJ101/4*INDEX(LM_All,G101))*v01_KHUsable*Arch_KH</x:f>
        <x:v>0.2747067223165124</x:v>
      </x:c>
      <x:c r="AO101" s="32" t="n">
        <x:f>MIN(AP100+AN101,AM101*v01_KHMaxRatio)</x:f>
        <x:v>0.2747067223165124</x:v>
      </x:c>
      <x:c r="AP101" s="32" t="n">
        <x:f>AP100+AN101-AO101</x:f>
        <x:v>0</x:v>
      </x:c>
      <x:c r="AQ101" s="32" t="n">
        <x:f>AM101+AO101</x:f>
        <x:v>1.552409078089088</x:v>
      </x:c>
      <x:c r="AR101" s="10" t="n">
        <x:f>IF(H101=1,INDEX(v01_Req,G101),0)</x:f>
        <x:v>372.02</x:v>
      </x:c>
      <x:c r="AS101" s="32" t="n">
        <x:f>IF(H101=1,IF(E101=1,AS100-AR100,AS100)+AQ101,0)</x:f>
        <x:v>146.65093678262488</x:v>
      </x:c>
      <x:c r="AT101" s="11" t="n">
        <x:f>IF(AR101&gt;0,MIN(1,AS101/AR101),1)</x:f>
        <x:v>0.39420175469766383</x:v>
      </x:c>
      <x:c r="AU101" s="10" t="n">
        <x:f>AB101/INDEX(v01_RepScale,G101)</x:f>
        <x:v>16.14142969769534</x:v>
      </x:c>
      <x:c r="AV101" s="32" t="n">
        <x:f>AM101*60/v01_SeasonSeconds</x:f>
        <x:v>5.110809423090302</x:v>
      </x:c>
    </x:row>
    <x:row r="102">
      <x:c r="A102" s="8" t="n">
        <x:f>A101+1</x:f>
        <x:v>99</x:v>
      </x:c>
      <x:c r="B102" s="9" t="n">
        <x:f>A102*v01_SeasonSeconds/60</x:f>
        <x:v>24.75</x:v>
      </x:c>
      <x:c r="C102" s="9" t="n">
        <x:f>A102/4</x:f>
        <x:v>24.75</x:v>
      </x:c>
      <x:c r="D102" s="8" t="n">
        <x:f>IF(MOD(A102,4)=0,1,0)</x:f>
        <x:v>0</x:v>
      </x:c>
      <x:c r="E102" s="8" t="n">
        <x:f>IF(AND(F101&lt;=9,AS101&gt;=AR101),1,0)</x:f>
        <x:v>0</x:v>
      </x:c>
      <x:c r="F102" s="8" t="n">
        <x:f>MIN(10,F101+E102)</x:f>
        <x:v>0</x:v>
      </x:c>
      <x:c r="G102" s="8" t="n">
        <x:f>MIN(F102,9)+1</x:f>
        <x:v>1</x:v>
      </x:c>
      <x:c r="H102" s="8" t="n">
        <x:f>IF(F102&lt;=9,1,0)</x:f>
        <x:v>1</x:v>
      </x:c>
      <x:c r="I102" s="9" t="n">
        <x:f>MIN(10,F101+IF(AR101&gt;0,MIN(1,AS101/AR101),1))</x:f>
        <x:v>0.39420175469766383</x:v>
      </x:c>
      <x:c r="J102" s="32" t="n">
        <x:f>INDEX(v01_FoodCap,G102)*Arch_FoodCap*EXP(v01_CapsByProject*SUMPRODUCT((Cap_Point&lt;=I102)*(Cap_Kind="Food")*Cap_Ln))</x:f>
        <x:v>22</x:v>
      </x:c>
      <x:c r="K102" s="32" t="n">
        <x:f>J102*MIN(1,v01_LeanBase*EXP(v01_CapsByProject*SUMPRODUCT((Cap_Point&lt;=I102)*(Cap_Kind="Lean")*Cap_Ln)))</x:f>
        <x:v>22</x:v>
      </x:c>
      <x:c r="L102" s="10" t="n">
        <x:f>INDEX(v01_HousingCap,G102)*EXP(v01_CapsByProject*SUMPRODUCT((Cap_Point&lt;=I102)*(Cap_Kind="Housing")*Cap_Ln))</x:f>
        <x:v>60</x:v>
      </x:c>
      <x:c r="M102" s="10" t="n">
        <x:f>INDEX(v01_GroupCap,G102)*v01_CohesionFactor*EXP(v01_CapsByProject*SUMPRODUCT((Cap_Point&lt;=I102)*(Cap_Kind="Group")*Cap_Ln))</x:f>
        <x:v>35</x:v>
      </x:c>
      <x:c r="N102" s="32" t="n">
        <x:f>MIN(J102,L102,M102)</x:f>
        <x:v>22</x:v>
      </x:c>
      <x:c r="O102" s="10" t="n">
        <x:f>AE101*N102</x:f>
        <x:v>22</x:v>
      </x:c>
      <x:c r="P102" s="9" t="n">
        <x:f>MIN(1,(AB101/(AE101*IF(v01_GroupInCrowding=1,N102,MIN(J102,L102))))^v01_CrowdingExp)</x:f>
        <x:v>0.15599687866267278</x:v>
      </x:c>
      <x:c r="Q102" s="9" t="n">
        <x:f>IF(D102=1,INDEX(v01_WinterMult,G102),1)</x:f>
        <x:v>1</x:v>
      </x:c>
      <x:c r="R102" s="9" t="n">
        <x:f>H102*Z101*v01_WomenShare*v01_BaseFertility*INDEX(v01_FertMult,G102)*Arch_Fertility*(1-P102)</x:f>
        <x:v>0.1987314266464139</x:v>
      </x:c>
      <x:c r="S102" s="9" t="n">
        <x:f>H102*Y101*INDEX(v01_MortChild,G102)/4*Q102</x:f>
        <x:v>0.06340298523691215</x:v>
      </x:c>
      <x:c r="T102" s="9" t="n">
        <x:f>H102*Z101*INDEX(v01_MortAdult,G102)*Arch_AdultMort/4*Q102</x:f>
        <x:v>0.029432863105340615</x:v>
      </x:c>
      <x:c r="U102" s="9" t="n">
        <x:f>H102*AA101*INDEX(v01_MortElder,G102)/4*Q102</x:f>
        <x:v>0.04880919198116571</x:v>
      </x:c>
      <x:c r="V102" s="9" t="n">
        <x:f>H102*MAX(0,AB101-O102)*v01_OvercapLoss</x:f>
        <x:v>0</x:v>
      </x:c>
      <x:c r="W102" s="9" t="n">
        <x:f>H102*Y101/(v01_ChildYears*4)</x:f>
        <x:v>0.11321961649448599</x:v>
      </x:c>
      <x:c r="X102" s="9" t="n">
        <x:f>H102*Z101/(v01_AdultYears*4)</x:f>
        <x:v>0.06329647979643142</x:v>
      </x:c>
      <x:c r="Y102" s="32" t="n">
        <x:f>Y101+R102-S102-W102-Y101*V102/AB101</x:f>
        <x:v>6.362407348606231</x:v>
      </x:c>
      <x:c r="Z102" s="32" t="n">
        <x:f>Z101+W102-X102-T102-Z101*V102/AB101</x:f>
        <x:v>7.869253768350211</x:v>
      </x:c>
      <x:c r="AA102" s="32" t="n">
        <x:f>AA101+X102-U102-AA101*V102/AB101</x:f>
        <x:v>1.966854967061894</x:v>
      </x:c>
      <x:c r="AB102" s="10" t="n">
        <x:f>Y102+Z102+AA102</x:f>
        <x:v>16.198516084018337</x:v>
      </x:c>
      <x:c r="AC102" s="8" t="n">
        <x:f>IF(AND(v01_WinterTrigger=1,D102=1,AB101/AE101&gt;=K102),1,0)</x:f>
        <x:v>0</x:v>
      </x:c>
      <x:c r="AD102" s="8" t="n">
        <x:f>H102*IF(AND(OR(AB101/AE101&gt;=v01_FissionTrigger*N102,AC102=1),AB101/AE101*v01_DaughterShare&gt;=v01_MinDaughter),MAX(1,ROUND(AE101*v01_FissionRate,0)),0)</x:f>
        <x:v>0</x:v>
      </x:c>
      <x:c r="AE102" s="8" t="n">
        <x:f>IF(H102=1,MAX(1,MIN(INDEX(v01_Smax,G102),AE101+AD102)),AE101)</x:f>
        <x:v>1</x:v>
      </x:c>
      <x:c r="AF102" s="8" t="n">
        <x:f>MAX(0,AE102-AE101)</x:f>
        <x:v>0</x:v>
      </x:c>
      <x:c r="AG102" s="9" t="str">
        <x:f>IF(AF102&gt;0,B102,"")</x:f>
      </x:c>
      <x:c r="AH102" s="9" t="n">
        <x:f>IF(F102&gt;=1,1,(1+v01_LowTiesShare*(AE102-1))/AE102)</x:f>
        <x:v>1</x:v>
      </x:c>
      <x:c r="AI102" s="32" t="n">
        <x:f>(Z102+v01_ElderCommons*INDEX(LM_Elder,G102)*AA102)*AH102</x:f>
        <x:v>11.802963702473999</x:v>
      </x:c>
      <x:c r="AJ102" s="32" t="n">
        <x:f>H102*v01_CommonsCoef*AI102^v01_CommonsExp*INDEX(LM_Commons,G102)</x:f>
        <x:v>5.129086269054974</x:v>
      </x:c>
      <x:c r="AK102" s="32" t="n">
        <x:f>H102*v01_RoleScale*Arch_Roles*(AE102*(INDEX(v01_ElderRolePerSett,G102)*v01_OutElder*INDEX(LM_Elder,G102)+INDEX(v01_ShamanPerSett,G102)*v01_OutShaman)+Z102*(INDEX(v01_PriestShare,G102)*v01_OutPriest+INDEX(v01_ScribeShare,G102)*v01_OutScribe*INDEX(LM_Scribe,G102)+INDEX(v01_ScholarShare,G102)*v01_OutScholar*INDEX(LM_Scholar,G102)+INDEX(v01_ResearcherShare,G102)*v01_OutResearcher*INDEX(LM_Researcher,G102)))</x:f>
        <x:v>0</x:v>
      </x:c>
      <x:c r="AL102" s="32" t="n">
        <x:f>H102*v01_RoleScale*Arch_Roles*AE102*INDEX(v01_MonasteryPerSett,G102)*v01_OutMonastery*INDEX(LM_Monastery,G102)</x:f>
        <x:v>0</x:v>
      </x:c>
      <x:c r="AM102" s="32" t="n">
        <x:f>(AJ102+AK102+AL102)/4*INDEX(LM_All,G102)*INDEX(v01_Boon,G102)*Arch_Insight</x:f>
        <x:v>1.2822715672637435</x:v>
      </x:c>
      <x:c r="AN102" s="32" t="n">
        <x:f>H102*(v01_KHPerAdult*Z102+v01_KHOfCommons*AJ102/4*INDEX(LM_All,G102))*v01_KHUsable*Arch_KH</x:f>
        <x:v>0.27542388189225736</x:v>
      </x:c>
      <x:c r="AO102" s="32" t="n">
        <x:f>MIN(AP101+AN102,AM102*v01_KHMaxRatio)</x:f>
        <x:v>0.27542388189225736</x:v>
      </x:c>
      <x:c r="AP102" s="32" t="n">
        <x:f>AP101+AN102-AO102</x:f>
        <x:v>0</x:v>
      </x:c>
      <x:c r="AQ102" s="32" t="n">
        <x:f>AM102+AO102</x:f>
        <x:v>1.5576954491560009</x:v>
      </x:c>
      <x:c r="AR102" s="10" t="n">
        <x:f>IF(H102=1,INDEX(v01_Req,G102),0)</x:f>
        <x:v>372.02</x:v>
      </x:c>
      <x:c r="AS102" s="32" t="n">
        <x:f>IF(H102=1,IF(E102=1,AS101-AR101,AS101)+AQ102,0)</x:f>
        <x:v>148.20863223178088</x:v>
      </x:c>
      <x:c r="AT102" s="11" t="n">
        <x:f>IF(AR102&gt;0,MIN(1,AS102/AR102),1)</x:f>
        <x:v>0.39838888294118835</x:v>
      </x:c>
      <x:c r="AU102" s="10" t="n">
        <x:f>AB102/INDEX(v01_RepScale,G102)</x:f>
        <x:v>16.198516084018337</x:v>
      </x:c>
      <x:c r="AV102" s="32" t="n">
        <x:f>AM102*60/v01_SeasonSeconds</x:f>
        <x:v>5.129086269054974</x:v>
      </x:c>
    </x:row>
    <x:row r="103">
      <x:c r="A103" s="8" t="n">
        <x:f>A102+1</x:f>
        <x:v>100</x:v>
      </x:c>
      <x:c r="B103" s="9" t="n">
        <x:f>A103*v01_SeasonSeconds/60</x:f>
        <x:v>25</x:v>
      </x:c>
      <x:c r="C103" s="9" t="n">
        <x:f>A103/4</x:f>
        <x:v>25</x:v>
      </x:c>
      <x:c r="D103" s="8" t="n">
        <x:f>IF(MOD(A103,4)=0,1,0)</x:f>
        <x:v>1</x:v>
      </x:c>
      <x:c r="E103" s="8" t="n">
        <x:f>IF(AND(F102&lt;=9,AS102&gt;=AR102),1,0)</x:f>
        <x:v>0</x:v>
      </x:c>
      <x:c r="F103" s="8" t="n">
        <x:f>MIN(10,F102+E103)</x:f>
        <x:v>0</x:v>
      </x:c>
      <x:c r="G103" s="8" t="n">
        <x:f>MIN(F103,9)+1</x:f>
        <x:v>1</x:v>
      </x:c>
      <x:c r="H103" s="8" t="n">
        <x:f>IF(F103&lt;=9,1,0)</x:f>
        <x:v>1</x:v>
      </x:c>
      <x:c r="I103" s="9" t="n">
        <x:f>MIN(10,F102+IF(AR102&gt;0,MIN(1,AS102/AR102),1))</x:f>
        <x:v>0.39838888294118835</x:v>
      </x:c>
      <x:c r="J103" s="32" t="n">
        <x:f>INDEX(v01_FoodCap,G103)*Arch_FoodCap*EXP(v01_CapsByProject*SUMPRODUCT((Cap_Point&lt;=I103)*(Cap_Kind="Food")*Cap_Ln))</x:f>
        <x:v>22</x:v>
      </x:c>
      <x:c r="K103" s="32" t="n">
        <x:f>J103*MIN(1,v01_LeanBase*EXP(v01_CapsByProject*SUMPRODUCT((Cap_Point&lt;=I103)*(Cap_Kind="Lean")*Cap_Ln)))</x:f>
        <x:v>22</x:v>
      </x:c>
      <x:c r="L103" s="10" t="n">
        <x:f>INDEX(v01_HousingCap,G103)*EXP(v01_CapsByProject*SUMPRODUCT((Cap_Point&lt;=I103)*(Cap_Kind="Housing")*Cap_Ln))</x:f>
        <x:v>60</x:v>
      </x:c>
      <x:c r="M103" s="10" t="n">
        <x:f>INDEX(v01_GroupCap,G103)*v01_CohesionFactor*EXP(v01_CapsByProject*SUMPRODUCT((Cap_Point&lt;=I103)*(Cap_Kind="Group")*Cap_Ln))</x:f>
        <x:v>35</x:v>
      </x:c>
      <x:c r="N103" s="32" t="n">
        <x:f>MIN(J103,L103,M103)</x:f>
        <x:v>22</x:v>
      </x:c>
      <x:c r="O103" s="10" t="n">
        <x:f>AE102*N103</x:f>
        <x:v>22</x:v>
      </x:c>
      <x:c r="P103" s="9" t="n">
        <x:f>MIN(1,(AB102/(AE102*IF(v01_GroupInCrowding=1,N103,MIN(J103,L103))))^v01_CrowdingExp)</x:f>
        <x:v>0.15933651122918052</x:v>
      </x:c>
      <x:c r="Q103" s="9" t="n">
        <x:f>IF(D103=1,INDEX(v01_WinterMult,G103),1)</x:f>
        <x:v>2</x:v>
      </x:c>
      <x:c r="R103" s="9" t="n">
        <x:f>H103*Z102*v01_WomenShare*v01_BaseFertility*INDEX(v01_FertMult,G103)*Arch_Fertility*(1-P103)</x:f>
        <x:v>0.1984618298077262</x:v>
      </x:c>
      <x:c r="S103" s="9" t="n">
        <x:f>H103*Y102*INDEX(v01_MortChild,G103)/4*Q103</x:f>
        <x:v>0.12724814697212464</x:v>
      </x:c>
      <x:c r="T103" s="9" t="n">
        <x:f>H103*Z102*INDEX(v01_MortAdult,G103)*Arch_AdultMort/4*Q103</x:f>
        <x:v>0.05901940326262658</x:v>
      </x:c>
      <x:c r="U103" s="9" t="n">
        <x:f>H103*AA102*INDEX(v01_MortElder,G103)/4*Q103</x:f>
        <x:v>0.0983427483530947</x:v>
      </x:c>
      <x:c r="V103" s="9" t="n">
        <x:f>H103*MAX(0,AB102-O103)*v01_OvercapLoss</x:f>
        <x:v>0</x:v>
      </x:c>
      <x:c r="W103" s="9" t="n">
        <x:f>H103*Y102/(v01_ChildYears*4)</x:f>
        <x:v>0.11361441693939699</x:v>
      </x:c>
      <x:c r="X103" s="9" t="n">
        <x:f>H103*Z102/(v01_AdultYears*4)</x:f>
        <x:v>0.06346172393830815</x:v>
      </x:c>
      <x:c r="Y103" s="32" t="n">
        <x:f>Y102+R103-S103-W103-Y102*V103/AB102</x:f>
        <x:v>6.320006614502436</x:v>
      </x:c>
      <x:c r="Z103" s="32" t="n">
        <x:f>Z102+W103-X103-T103-Z102*V103/AB102</x:f>
        <x:v>7.860387058088673</x:v>
      </x:c>
      <x:c r="AA103" s="32" t="n">
        <x:f>AA102+X103-U103-AA102*V103/AB102</x:f>
        <x:v>1.9319739426471072</x:v>
      </x:c>
      <x:c r="AB103" s="10" t="n">
        <x:f>Y103+Z103+AA103</x:f>
        <x:v>16.112367615238217</x:v>
      </x:c>
      <x:c r="AC103" s="8" t="n">
        <x:f>IF(AND(v01_WinterTrigger=1,D103=1,AB102/AE102&gt;=K103),1,0)</x:f>
        <x:v>0</x:v>
      </x:c>
      <x:c r="AD103" s="8" t="n">
        <x:f>H103*IF(AND(OR(AB102/AE102&gt;=v01_FissionTrigger*N103,AC103=1),AB102/AE102*v01_DaughterShare&gt;=v01_MinDaughter),MAX(1,ROUND(AE102*v01_FissionRate,0)),0)</x:f>
        <x:v>0</x:v>
      </x:c>
      <x:c r="AE103" s="8" t="n">
        <x:f>IF(H103=1,MAX(1,MIN(INDEX(v01_Smax,G103),AE102+AD103)),AE102)</x:f>
        <x:v>1</x:v>
      </x:c>
      <x:c r="AF103" s="8" t="n">
        <x:f>MAX(0,AE103-AE102)</x:f>
        <x:v>0</x:v>
      </x:c>
      <x:c r="AG103" s="9" t="str">
        <x:f>IF(AF103&gt;0,B103,"")</x:f>
      </x:c>
      <x:c r="AH103" s="9" t="n">
        <x:f>IF(F103&gt;=1,1,(1+v01_LowTiesShare*(AE103-1))/AE103)</x:f>
        <x:v>1</x:v>
      </x:c>
      <x:c r="AI103" s="32" t="n">
        <x:f>(Z103+v01_ElderCommons*INDEX(LM_Elder,G103)*AA103)*AH103</x:f>
        <x:v>11.724334943382887</x:v>
      </x:c>
      <x:c r="AJ103" s="32" t="n">
        <x:f>H103*v01_CommonsCoef*AI103^v01_CommonsExp*INDEX(LM_Commons,G103)</x:f>
        <x:v>5.100028198800671</x:v>
      </x:c>
      <x:c r="AK103" s="32" t="n">
        <x:f>H103*v01_RoleScale*Arch_Roles*(AE103*(INDEX(v01_ElderRolePerSett,G103)*v01_OutElder*INDEX(LM_Elder,G103)+INDEX(v01_ShamanPerSett,G103)*v01_OutShaman)+Z103*(INDEX(v01_PriestShare,G103)*v01_OutPriest+INDEX(v01_ScribeShare,G103)*v01_OutScribe*INDEX(LM_Scribe,G103)+INDEX(v01_ScholarShare,G103)*v01_OutScholar*INDEX(LM_Scholar,G103)+INDEX(v01_ResearcherShare,G103)*v01_OutResearcher*INDEX(LM_Researcher,G103)))</x:f>
        <x:v>0</x:v>
      </x:c>
      <x:c r="AL103" s="32" t="n">
        <x:f>H103*v01_RoleScale*Arch_Roles*AE103*INDEX(v01_MonasteryPerSett,G103)*v01_OutMonastery*INDEX(LM_Monastery,G103)</x:f>
        <x:v>0</x:v>
      </x:c>
      <x:c r="AM103" s="32" t="n">
        <x:f>(AJ103+AK103+AL103)/4*INDEX(LM_All,G103)*INDEX(v01_Boon,G103)*Arch_Insight</x:f>
        <x:v>1.2750070497001678</x:v>
      </x:c>
      <x:c r="AN103" s="32" t="n">
        <x:f>H103*(v01_KHPerAdult*Z103+v01_KHOfCommons*AJ103/4*INDEX(LM_All,G103))*v01_KHUsable*Arch_KH</x:f>
        <x:v>0.27511354703310353</x:v>
      </x:c>
      <x:c r="AO103" s="32" t="n">
        <x:f>MIN(AP102+AN103,AM103*v01_KHMaxRatio)</x:f>
        <x:v>0.27511354703310353</x:v>
      </x:c>
      <x:c r="AP103" s="32" t="n">
        <x:f>AP102+AN103-AO103</x:f>
        <x:v>0</x:v>
      </x:c>
      <x:c r="AQ103" s="32" t="n">
        <x:f>AM103+AO103</x:f>
        <x:v>1.5501205967332714</x:v>
      </x:c>
      <x:c r="AR103" s="10" t="n">
        <x:f>IF(H103=1,INDEX(v01_Req,G103),0)</x:f>
        <x:v>372.02</x:v>
      </x:c>
      <x:c r="AS103" s="32" t="n">
        <x:f>IF(H103=1,IF(E103=1,AS102-AR102,AS102)+AQ103,0)</x:f>
        <x:v>149.75875282851416</x:v>
      </x:c>
      <x:c r="AT103" s="11" t="n">
        <x:f>IF(AR103&gt;0,MIN(1,AS103/AR103),1)</x:f>
        <x:v>0.40255564977289976</x:v>
      </x:c>
      <x:c r="AU103" s="10" t="n">
        <x:f>AB103/INDEX(v01_RepScale,G103)</x:f>
        <x:v>16.112367615238217</x:v>
      </x:c>
      <x:c r="AV103" s="32" t="n">
        <x:f>AM103*60/v01_SeasonSeconds</x:f>
        <x:v>5.100028198800671</x:v>
      </x:c>
    </x:row>
    <x:row r="104">
      <x:c r="A104" s="8" t="n">
        <x:f>A103+1</x:f>
        <x:v>101</x:v>
      </x:c>
      <x:c r="B104" s="9" t="n">
        <x:f>A104*v01_SeasonSeconds/60</x:f>
        <x:v>25.25</x:v>
      </x:c>
      <x:c r="C104" s="9" t="n">
        <x:f>A104/4</x:f>
        <x:v>25.25</x:v>
      </x:c>
      <x:c r="D104" s="8" t="n">
        <x:f>IF(MOD(A104,4)=0,1,0)</x:f>
        <x:v>0</x:v>
      </x:c>
      <x:c r="E104" s="8" t="n">
        <x:f>IF(AND(F103&lt;=9,AS103&gt;=AR103),1,0)</x:f>
        <x:v>0</x:v>
      </x:c>
      <x:c r="F104" s="8" t="n">
        <x:f>MIN(10,F103+E104)</x:f>
        <x:v>0</x:v>
      </x:c>
      <x:c r="G104" s="8" t="n">
        <x:f>MIN(F104,9)+1</x:f>
        <x:v>1</x:v>
      </x:c>
      <x:c r="H104" s="8" t="n">
        <x:f>IF(F104&lt;=9,1,0)</x:f>
        <x:v>1</x:v>
      </x:c>
      <x:c r="I104" s="9" t="n">
        <x:f>MIN(10,F103+IF(AR103&gt;0,MIN(1,AS103/AR103),1))</x:f>
        <x:v>0.40255564977289976</x:v>
      </x:c>
      <x:c r="J104" s="32" t="n">
        <x:f>INDEX(v01_FoodCap,G104)*Arch_FoodCap*EXP(v01_CapsByProject*SUMPRODUCT((Cap_Point&lt;=I104)*(Cap_Kind="Food")*Cap_Ln))</x:f>
        <x:v>22</x:v>
      </x:c>
      <x:c r="K104" s="32" t="n">
        <x:f>J104*MIN(1,v01_LeanBase*EXP(v01_CapsByProject*SUMPRODUCT((Cap_Point&lt;=I104)*(Cap_Kind="Lean")*Cap_Ln)))</x:f>
        <x:v>22</x:v>
      </x:c>
      <x:c r="L104" s="10" t="n">
        <x:f>INDEX(v01_HousingCap,G104)*EXP(v01_CapsByProject*SUMPRODUCT((Cap_Point&lt;=I104)*(Cap_Kind="Housing")*Cap_Ln))</x:f>
        <x:v>60</x:v>
      </x:c>
      <x:c r="M104" s="10" t="n">
        <x:f>INDEX(v01_GroupCap,G104)*v01_CohesionFactor*EXP(v01_CapsByProject*SUMPRODUCT((Cap_Point&lt;=I104)*(Cap_Kind="Group")*Cap_Ln))</x:f>
        <x:v>35</x:v>
      </x:c>
      <x:c r="N104" s="32" t="n">
        <x:f>MIN(J104,L104,M104)</x:f>
        <x:v>22</x:v>
      </x:c>
      <x:c r="O104" s="10" t="n">
        <x:f>AE103*N104</x:f>
        <x:v>22</x:v>
      </x:c>
      <x:c r="P104" s="9" t="n">
        <x:f>MIN(1,(AB103/(AE103*IF(v01_GroupInCrowding=1,N104,MIN(J104,L104))))^v01_CrowdingExp)</x:f>
        <x:v>0.15431924413671866</x:v>
      </x:c>
      <x:c r="Q104" s="9" t="n">
        <x:f>IF(D104=1,INDEX(v01_WinterMult,G104),1)</x:f>
        <x:v>1</x:v>
      </x:c>
      <x:c r="R104" s="9" t="n">
        <x:f>H104*Z103*v01_WomenShare*v01_BaseFertility*INDEX(v01_FertMult,G104)*Arch_Fertility*(1-P104)</x:f>
        <x:v>0.1994213420598715</x:v>
      </x:c>
      <x:c r="S104" s="9" t="n">
        <x:f>H104*Y103*INDEX(v01_MortChild,G104)/4*Q104</x:f>
        <x:v>0.06320006614502435</x:v>
      </x:c>
      <x:c r="T104" s="9" t="n">
        <x:f>H104*Z103*INDEX(v01_MortAdult,G104)*Arch_AdultMort/4*Q104</x:f>
        <x:v>0.029476451467832523</x:v>
      </x:c>
      <x:c r="U104" s="9" t="n">
        <x:f>H104*AA103*INDEX(v01_MortElder,G104)/4*Q104</x:f>
        <x:v>0.04829934856617768</x:v>
      </x:c>
      <x:c r="V104" s="9" t="n">
        <x:f>H104*MAX(0,AB103-O104)*v01_OvercapLoss</x:f>
        <x:v>0</x:v>
      </x:c>
      <x:c r="W104" s="9" t="n">
        <x:f>H104*Y103/(v01_ChildYears*4)</x:f>
        <x:v>0.11285726097325778</x:v>
      </x:c>
      <x:c r="X104" s="9" t="n">
        <x:f>H104*Z103/(v01_AdultYears*4)</x:f>
        <x:v>0.06339021821039252</x:v>
      </x:c>
      <x:c r="Y104" s="32" t="n">
        <x:f>Y103+R104-S104-W104-Y103*V104/AB103</x:f>
        <x:v>6.343370629444024</x:v>
      </x:c>
      <x:c r="Z104" s="32" t="n">
        <x:f>Z103+W104-X104-T104-Z103*V104/AB103</x:f>
        <x:v>7.880377649383705</x:v>
      </x:c>
      <x:c r="AA104" s="32" t="n">
        <x:f>AA103+X104-U104-AA103*V104/AB103</x:f>
        <x:v>1.947064812291322</x:v>
      </x:c>
      <x:c r="AB104" s="10" t="n">
        <x:f>Y104+Z104+AA104</x:f>
        <x:v>16.17081309111905</x:v>
      </x:c>
      <x:c r="AC104" s="8" t="n">
        <x:f>IF(AND(v01_WinterTrigger=1,D104=1,AB103/AE103&gt;=K104),1,0)</x:f>
        <x:v>0</x:v>
      </x:c>
      <x:c r="AD104" s="8" t="n">
        <x:f>H104*IF(AND(OR(AB103/AE103&gt;=v01_FissionTrigger*N104,AC104=1),AB103/AE103*v01_DaughterShare&gt;=v01_MinDaughter),MAX(1,ROUND(AE103*v01_FissionRate,0)),0)</x:f>
        <x:v>0</x:v>
      </x:c>
      <x:c r="AE104" s="8" t="n">
        <x:f>IF(H104=1,MAX(1,MIN(INDEX(v01_Smax,G104),AE103+AD104)),AE103)</x:f>
        <x:v>1</x:v>
      </x:c>
      <x:c r="AF104" s="8" t="n">
        <x:f>MAX(0,AE104-AE103)</x:f>
        <x:v>0</x:v>
      </x:c>
      <x:c r="AG104" s="9" t="str">
        <x:f>IF(AF104&gt;0,B104,"")</x:f>
      </x:c>
      <x:c r="AH104" s="9" t="n">
        <x:f>IF(F104&gt;=1,1,(1+v01_LowTiesShare*(AE104-1))/AE104)</x:f>
        <x:v>1</x:v>
      </x:c>
      <x:c r="AI104" s="32" t="n">
        <x:f>(Z104+v01_ElderCommons*INDEX(LM_Elder,G104)*AA104)*AH104</x:f>
        <x:v>11.77450727396635</x:v>
      </x:c>
      <x:c r="AJ104" s="32" t="n">
        <x:f>H104*v01_CommonsCoef*AI104^v01_CommonsExp*INDEX(LM_Commons,G104)</x:f>
        <x:v>5.118573264674434</x:v>
      </x:c>
      <x:c r="AK104" s="32" t="n">
        <x:f>H104*v01_RoleScale*Arch_Roles*(AE104*(INDEX(v01_ElderRolePerSett,G104)*v01_OutElder*INDEX(LM_Elder,G104)+INDEX(v01_ShamanPerSett,G104)*v01_OutShaman)+Z104*(INDEX(v01_PriestShare,G104)*v01_OutPriest+INDEX(v01_ScribeShare,G104)*v01_OutScribe*INDEX(LM_Scribe,G104)+INDEX(v01_ScholarShare,G104)*v01_OutScholar*INDEX(LM_Scholar,G104)+INDEX(v01_ResearcherShare,G104)*v01_OutResearcher*INDEX(LM_Researcher,G104)))</x:f>
        <x:v>0</x:v>
      </x:c>
      <x:c r="AL104" s="32" t="n">
        <x:f>H104*v01_RoleScale*Arch_Roles*AE104*INDEX(v01_MonasteryPerSett,G104)*v01_OutMonastery*INDEX(LM_Monastery,G104)</x:f>
        <x:v>0</x:v>
      </x:c>
      <x:c r="AM104" s="32" t="n">
        <x:f>(AJ104+AK104+AL104)/4*INDEX(LM_All,G104)*INDEX(v01_Boon,G104)*Arch_Insight</x:f>
        <x:v>1.2796433161686085</x:v>
      </x:c>
      <x:c r="AN104" s="32" t="n">
        <x:f>H104*(v01_KHPerAdult*Z104+v01_KHOfCommons*AJ104/4*INDEX(LM_All,G104))*v01_KHUsable*Arch_KH</x:f>
        <x:v>0.27581321772842965</x:v>
      </x:c>
      <x:c r="AO104" s="32" t="n">
        <x:f>MIN(AP103+AN104,AM104*v01_KHMaxRatio)</x:f>
        <x:v>0.27581321772842965</x:v>
      </x:c>
      <x:c r="AP104" s="32" t="n">
        <x:f>AP103+AN104-AO104</x:f>
        <x:v>0</x:v>
      </x:c>
      <x:c r="AQ104" s="32" t="n">
        <x:f>AM104+AO104</x:f>
        <x:v>1.555456533897038</x:v>
      </x:c>
      <x:c r="AR104" s="10" t="n">
        <x:f>IF(H104=1,INDEX(v01_Req,G104),0)</x:f>
        <x:v>372.02</x:v>
      </x:c>
      <x:c r="AS104" s="32" t="n">
        <x:f>IF(H104=1,IF(E104=1,AS103-AR103,AS103)+AQ104,0)</x:f>
        <x:v>151.3142093624112</x:v>
      </x:c>
      <x:c r="AT104" s="11" t="n">
        <x:f>IF(AR104&gt;0,MIN(1,AS104/AR104),1)</x:f>
        <x:v>0.40673675975058116</x:v>
      </x:c>
      <x:c r="AU104" s="10" t="n">
        <x:f>AB104/INDEX(v01_RepScale,G104)</x:f>
        <x:v>16.17081309111905</x:v>
      </x:c>
      <x:c r="AV104" s="32" t="n">
        <x:f>AM104*60/v01_SeasonSeconds</x:f>
        <x:v>5.118573264674434</x:v>
      </x:c>
    </x:row>
    <x:row r="105">
      <x:c r="A105" s="8" t="n">
        <x:f>A104+1</x:f>
        <x:v>102</x:v>
      </x:c>
      <x:c r="B105" s="9" t="n">
        <x:f>A105*v01_SeasonSeconds/60</x:f>
        <x:v>25.5</x:v>
      </x:c>
      <x:c r="C105" s="9" t="n">
        <x:f>A105/4</x:f>
        <x:v>25.5</x:v>
      </x:c>
      <x:c r="D105" s="8" t="n">
        <x:f>IF(MOD(A105,4)=0,1,0)</x:f>
        <x:v>0</x:v>
      </x:c>
      <x:c r="E105" s="8" t="n">
        <x:f>IF(AND(F104&lt;=9,AS104&gt;=AR104),1,0)</x:f>
        <x:v>0</x:v>
      </x:c>
      <x:c r="F105" s="8" t="n">
        <x:f>MIN(10,F104+E105)</x:f>
        <x:v>0</x:v>
      </x:c>
      <x:c r="G105" s="8" t="n">
        <x:f>MIN(F105,9)+1</x:f>
        <x:v>1</x:v>
      </x:c>
      <x:c r="H105" s="8" t="n">
        <x:f>IF(F105&lt;=9,1,0)</x:f>
        <x:v>1</x:v>
      </x:c>
      <x:c r="I105" s="9" t="n">
        <x:f>MIN(10,F104+IF(AR104&gt;0,MIN(1,AS104/AR104),1))</x:f>
        <x:v>0.40673675975058116</x:v>
      </x:c>
      <x:c r="J105" s="32" t="n">
        <x:f>INDEX(v01_FoodCap,G105)*Arch_FoodCap*EXP(v01_CapsByProject*SUMPRODUCT((Cap_Point&lt;=I105)*(Cap_Kind="Food")*Cap_Ln))</x:f>
        <x:v>22</x:v>
      </x:c>
      <x:c r="K105" s="32" t="n">
        <x:f>J105*MIN(1,v01_LeanBase*EXP(v01_CapsByProject*SUMPRODUCT((Cap_Point&lt;=I105)*(Cap_Kind="Lean")*Cap_Ln)))</x:f>
        <x:v>22</x:v>
      </x:c>
      <x:c r="L105" s="10" t="n">
        <x:f>INDEX(v01_HousingCap,G105)*EXP(v01_CapsByProject*SUMPRODUCT((Cap_Point&lt;=I105)*(Cap_Kind="Housing")*Cap_Ln))</x:f>
        <x:v>60</x:v>
      </x:c>
      <x:c r="M105" s="10" t="n">
        <x:f>INDEX(v01_GroupCap,G105)*v01_CohesionFactor*EXP(v01_CapsByProject*SUMPRODUCT((Cap_Point&lt;=I105)*(Cap_Kind="Group")*Cap_Ln))</x:f>
        <x:v>35</x:v>
      </x:c>
      <x:c r="N105" s="32" t="n">
        <x:f>MIN(J105,L105,M105)</x:f>
        <x:v>22</x:v>
      </x:c>
      <x:c r="O105" s="10" t="n">
        <x:f>AE104*N105</x:f>
        <x:v>22</x:v>
      </x:c>
      <x:c r="P105" s="9" t="n">
        <x:f>MIN(1,(AB104/(AE104*IF(v01_GroupInCrowding=1,N105,MIN(J105,L105))))^v01_CrowdingExp)</x:f>
        <x:v>0.15770848486379727</x:v>
      </x:c>
      <x:c r="Q105" s="9" t="n">
        <x:f>IF(D105=1,INDEX(v01_WinterMult,G105),1)</x:f>
        <x:v>1</x:v>
      </x:c>
      <x:c r="R105" s="9" t="n">
        <x:f>H105*Z104*v01_WomenShare*v01_BaseFertility*INDEX(v01_FertMult,G105)*Arch_Fertility*(1-P105)</x:f>
        <x:v>0.19912725690434604</x:v>
      </x:c>
      <x:c r="S105" s="9" t="n">
        <x:f>H105*Y104*INDEX(v01_MortChild,G105)/4*Q105</x:f>
        <x:v>0.06343370629444024</x:v>
      </x:c>
      <x:c r="T105" s="9" t="n">
        <x:f>H105*Z104*INDEX(v01_MortAdult,G105)*Arch_AdultMort/4*Q105</x:f>
        <x:v>0.029551416185188892</x:v>
      </x:c>
      <x:c r="U105" s="9" t="n">
        <x:f>H105*AA104*INDEX(v01_MortElder,G105)/4*Q105</x:f>
        <x:v>0.04867662030728305</x:v>
      </x:c>
      <x:c r="V105" s="9" t="n">
        <x:f>H105*MAX(0,AB104-O105)*v01_OvercapLoss</x:f>
        <x:v>0</x:v>
      </x:c>
      <x:c r="W105" s="9" t="n">
        <x:f>H105*Y104/(v01_ChildYears*4)</x:f>
        <x:v>0.11327447552578615</x:v>
      </x:c>
      <x:c r="X105" s="9" t="n">
        <x:f>H105*Z104/(v01_AdultYears*4)</x:f>
        <x:v>0.0635514326563202</x:v>
      </x:c>
      <x:c r="Y105" s="32" t="n">
        <x:f>Y104+R105-S105-W105-Y104*V105/AB104</x:f>
        <x:v>6.365789704528143</x:v>
      </x:c>
      <x:c r="Z105" s="32" t="n">
        <x:f>Z104+W105-X105-T105-Z104*V105/AB104</x:f>
        <x:v>7.9005492760679825</x:v>
      </x:c>
      <x:c r="AA105" s="32" t="n">
        <x:f>AA104+X105-U105-AA104*V105/AB104</x:f>
        <x:v>1.9619396246403589</x:v>
      </x:c>
      <x:c r="AB105" s="10" t="n">
        <x:f>Y105+Z105+AA105</x:f>
        <x:v>16.228278605236483</x:v>
      </x:c>
      <x:c r="AC105" s="8" t="n">
        <x:f>IF(AND(v01_WinterTrigger=1,D105=1,AB104/AE104&gt;=K105),1,0)</x:f>
        <x:v>0</x:v>
      </x:c>
      <x:c r="AD105" s="8" t="n">
        <x:f>H105*IF(AND(OR(AB104/AE104&gt;=v01_FissionTrigger*N105,AC105=1),AB104/AE104*v01_DaughterShare&gt;=v01_MinDaughter),MAX(1,ROUND(AE104*v01_FissionRate,0)),0)</x:f>
        <x:v>0</x:v>
      </x:c>
      <x:c r="AE105" s="8" t="n">
        <x:f>IF(H105=1,MAX(1,MIN(INDEX(v01_Smax,G105),AE104+AD105)),AE104)</x:f>
        <x:v>1</x:v>
      </x:c>
      <x:c r="AF105" s="8" t="n">
        <x:f>MAX(0,AE105-AE104)</x:f>
        <x:v>0</x:v>
      </x:c>
      <x:c r="AG105" s="9" t="str">
        <x:f>IF(AF105&gt;0,B105,"")</x:f>
      </x:c>
      <x:c r="AH105" s="9" t="n">
        <x:f>IF(F105&gt;=1,1,(1+v01_LowTiesShare*(AE105-1))/AE105)</x:f>
        <x:v>1</x:v>
      </x:c>
      <x:c r="AI105" s="32" t="n">
        <x:f>(Z105+v01_ElderCommons*INDEX(LM_Elder,G105)*AA105)*AH105</x:f>
        <x:v>11.8244285253487</x:v>
      </x:c>
      <x:c r="AJ105" s="32" t="n">
        <x:f>H105*v01_CommonsCoef*AI105^v01_CommonsExp*INDEX(LM_Commons,G105)</x:f>
        <x:v>5.137013763908896</x:v>
      </x:c>
      <x:c r="AK105" s="32" t="n">
        <x:f>H105*v01_RoleScale*Arch_Roles*(AE105*(INDEX(v01_ElderRolePerSett,G105)*v01_OutElder*INDEX(LM_Elder,G105)+INDEX(v01_ShamanPerSett,G105)*v01_OutShaman)+Z105*(INDEX(v01_PriestShare,G105)*v01_OutPriest+INDEX(v01_ScribeShare,G105)*v01_OutScribe*INDEX(LM_Scribe,G105)+INDEX(v01_ScholarShare,G105)*v01_OutScholar*INDEX(LM_Scholar,G105)+INDEX(v01_ResearcherShare,G105)*v01_OutResearcher*INDEX(LM_Researcher,G105)))</x:f>
        <x:v>0</x:v>
      </x:c>
      <x:c r="AL105" s="32" t="n">
        <x:f>H105*v01_RoleScale*Arch_Roles*AE105*INDEX(v01_MonasteryPerSett,G105)*v01_OutMonastery*INDEX(LM_Monastery,G105)</x:f>
        <x:v>0</x:v>
      </x:c>
      <x:c r="AM105" s="32" t="n">
        <x:f>(AJ105+AK105+AL105)/4*INDEX(LM_All,G105)*INDEX(v01_Boon,G105)*Arch_Insight</x:f>
        <x:v>1.284253440977224</x:v>
      </x:c>
      <x:c r="AN105" s="32" t="n">
        <x:f>H105*(v01_KHPerAdult*Z105+v01_KHOfCommons*AJ105/4*INDEX(LM_All,G105))*v01_KHUsable*Arch_KH</x:f>
        <x:v>0.2765192246623794</x:v>
      </x:c>
      <x:c r="AO105" s="32" t="n">
        <x:f>MIN(AP104+AN105,AM105*v01_KHMaxRatio)</x:f>
        <x:v>0.2765192246623794</x:v>
      </x:c>
      <x:c r="AP105" s="32" t="n">
        <x:f>AP104+AN105-AO105</x:f>
        <x:v>0</x:v>
      </x:c>
      <x:c r="AQ105" s="32" t="n">
        <x:f>AM105+AO105</x:f>
        <x:v>1.5607726656396033</x:v>
      </x:c>
      <x:c r="AR105" s="10" t="n">
        <x:f>IF(H105=1,INDEX(v01_Req,G105),0)</x:f>
        <x:v>372.02</x:v>
      </x:c>
      <x:c r="AS105" s="32" t="n">
        <x:f>IF(H105=1,IF(E105=1,AS104-AR104,AS104)+AQ105,0)</x:f>
        <x:v>152.8749820280508</x:v>
      </x:c>
      <x:c r="AT105" s="11" t="n">
        <x:f>IF(AR105&gt;0,MIN(1,AS105/AR105),1)</x:f>
        <x:v>0.41093215963671526</x:v>
      </x:c>
      <x:c r="AU105" s="10" t="n">
        <x:f>AB105/INDEX(v01_RepScale,G105)</x:f>
        <x:v>16.228278605236483</x:v>
      </x:c>
      <x:c r="AV105" s="32" t="n">
        <x:f>AM105*60/v01_SeasonSeconds</x:f>
        <x:v>5.137013763908896</x:v>
      </x:c>
    </x:row>
    <x:row r="106">
      <x:c r="A106" s="8" t="n">
        <x:f>A105+1</x:f>
        <x:v>103</x:v>
      </x:c>
      <x:c r="B106" s="9" t="n">
        <x:f>A106*v01_SeasonSeconds/60</x:f>
        <x:v>25.75</x:v>
      </x:c>
      <x:c r="C106" s="9" t="n">
        <x:f>A106/4</x:f>
        <x:v>25.75</x:v>
      </x:c>
      <x:c r="D106" s="8" t="n">
        <x:f>IF(MOD(A106,4)=0,1,0)</x:f>
        <x:v>0</x:v>
      </x:c>
      <x:c r="E106" s="8" t="n">
        <x:f>IF(AND(F105&lt;=9,AS105&gt;=AR105),1,0)</x:f>
        <x:v>0</x:v>
      </x:c>
      <x:c r="F106" s="8" t="n">
        <x:f>MIN(10,F105+E106)</x:f>
        <x:v>0</x:v>
      </x:c>
      <x:c r="G106" s="8" t="n">
        <x:f>MIN(F106,9)+1</x:f>
        <x:v>1</x:v>
      </x:c>
      <x:c r="H106" s="8" t="n">
        <x:f>IF(F106&lt;=9,1,0)</x:f>
        <x:v>1</x:v>
      </x:c>
      <x:c r="I106" s="9" t="n">
        <x:f>MIN(10,F105+IF(AR105&gt;0,MIN(1,AS105/AR105),1))</x:f>
        <x:v>0.41093215963671526</x:v>
      </x:c>
      <x:c r="J106" s="32" t="n">
        <x:f>INDEX(v01_FoodCap,G106)*Arch_FoodCap*EXP(v01_CapsByProject*SUMPRODUCT((Cap_Point&lt;=I106)*(Cap_Kind="Food")*Cap_Ln))</x:f>
        <x:v>22</x:v>
      </x:c>
      <x:c r="K106" s="32" t="n">
        <x:f>J106*MIN(1,v01_LeanBase*EXP(v01_CapsByProject*SUMPRODUCT((Cap_Point&lt;=I106)*(Cap_Kind="Lean")*Cap_Ln)))</x:f>
        <x:v>22</x:v>
      </x:c>
      <x:c r="L106" s="10" t="n">
        <x:f>INDEX(v01_HousingCap,G106)*EXP(v01_CapsByProject*SUMPRODUCT((Cap_Point&lt;=I106)*(Cap_Kind="Housing")*Cap_Ln))</x:f>
        <x:v>60</x:v>
      </x:c>
      <x:c r="M106" s="10" t="n">
        <x:f>INDEX(v01_GroupCap,G106)*v01_CohesionFactor*EXP(v01_CapsByProject*SUMPRODUCT((Cap_Point&lt;=I106)*(Cap_Kind="Group")*Cap_Ln))</x:f>
        <x:v>35</x:v>
      </x:c>
      <x:c r="N106" s="32" t="n">
        <x:f>MIN(J106,L106,M106)</x:f>
        <x:v>22</x:v>
      </x:c>
      <x:c r="O106" s="10" t="n">
        <x:f>AE105*N106</x:f>
        <x:v>22</x:v>
      </x:c>
      <x:c r="P106" s="9" t="n">
        <x:f>MIN(1,(AB105/(AE105*IF(v01_GroupInCrowding=1,N106,MIN(J106,L106))))^v01_CrowdingExp)</x:f>
        <x:v>0.1611011516942458</x:v>
      </x:c>
      <x:c r="Q106" s="9" t="n">
        <x:f>IF(D106=1,INDEX(v01_WinterMult,G106),1)</x:f>
        <x:v>1</x:v>
      </x:c>
      <x:c r="R106" s="9" t="n">
        <x:f>H106*Z105*v01_WomenShare*v01_BaseFertility*INDEX(v01_FertMult,G106)*Arch_Fertility*(1-P106)</x:f>
        <x:v>0.19883285066028872</x:v>
      </x:c>
      <x:c r="S106" s="9" t="n">
        <x:f>H106*Y105*INDEX(v01_MortChild,G106)/4*Q106</x:f>
        <x:v>0.06365789704528144</x:v>
      </x:c>
      <x:c r="T106" s="9" t="n">
        <x:f>H106*Z105*INDEX(v01_MortAdult,G106)*Arch_AdultMort/4*Q106</x:f>
        <x:v>0.029627059785254935</x:v>
      </x:c>
      <x:c r="U106" s="9" t="n">
        <x:f>H106*AA105*INDEX(v01_MortElder,G106)/4*Q106</x:f>
        <x:v>0.04904849061600897</x:v>
      </x:c>
      <x:c r="V106" s="9" t="n">
        <x:f>H106*MAX(0,AB105-O106)*v01_OvercapLoss</x:f>
        <x:v>0</x:v>
      </x:c>
      <x:c r="W106" s="9" t="n">
        <x:f>H106*Y105/(v01_ChildYears*4)</x:f>
        <x:v>0.11367481615228826</x:v>
      </x:c>
      <x:c r="X106" s="9" t="n">
        <x:f>H106*Z105/(v01_AdultYears*4)</x:f>
        <x:v>0.06371410706506438</x:v>
      </x:c>
      <x:c r="Y106" s="32" t="n">
        <x:f>Y105+R106-S106-W106-Y105*V106/AB105</x:f>
        <x:v>6.387289841990861</x:v>
      </x:c>
      <x:c r="Z106" s="32" t="n">
        <x:f>Z105+W106-X106-T106-Z105*V106/AB105</x:f>
        <x:v>7.920882925369952</x:v>
      </x:c>
      <x:c r="AA106" s="32" t="n">
        <x:f>AA105+X106-U106-AA105*V106/AB105</x:f>
        <x:v>1.9766052410894142</x:v>
      </x:c>
      <x:c r="AB106" s="10" t="n">
        <x:f>Y106+Z106+AA106</x:f>
        <x:v>16.284778008450225</x:v>
      </x:c>
      <x:c r="AC106" s="8" t="n">
        <x:f>IF(AND(v01_WinterTrigger=1,D106=1,AB105/AE105&gt;=K106),1,0)</x:f>
        <x:v>0</x:v>
      </x:c>
      <x:c r="AD106" s="8" t="n">
        <x:f>H106*IF(AND(OR(AB105/AE105&gt;=v01_FissionTrigger*N106,AC106=1),AB105/AE105*v01_DaughterShare&gt;=v01_MinDaughter),MAX(1,ROUND(AE105*v01_FissionRate,0)),0)</x:f>
        <x:v>0</x:v>
      </x:c>
      <x:c r="AE106" s="8" t="n">
        <x:f>IF(H106=1,MAX(1,MIN(INDEX(v01_Smax,G106),AE105+AD106)),AE105)</x:f>
        <x:v>1</x:v>
      </x:c>
      <x:c r="AF106" s="8" t="n">
        <x:f>MAX(0,AE106-AE105)</x:f>
        <x:v>0</x:v>
      </x:c>
      <x:c r="AG106" s="9" t="str">
        <x:f>IF(AF106&gt;0,B106,"")</x:f>
      </x:c>
      <x:c r="AH106" s="9" t="n">
        <x:f>IF(F106&gt;=1,1,(1+v01_LowTiesShare*(AE106-1))/AE106)</x:f>
        <x:v>1</x:v>
      </x:c>
      <x:c r="AI106" s="32" t="n">
        <x:f>(Z106+v01_ElderCommons*INDEX(LM_Elder,G106)*AA106)*AH106</x:f>
        <x:v>11.87409340754878</x:v>
      </x:c>
      <x:c r="AJ106" s="32" t="n">
        <x:f>H106*v01_CommonsCoef*AI106^v01_CommonsExp*INDEX(LM_Commons,G106)</x:f>
        <x:v>5.155347977797361</x:v>
      </x:c>
      <x:c r="AK106" s="32" t="n">
        <x:f>H106*v01_RoleScale*Arch_Roles*(AE106*(INDEX(v01_ElderRolePerSett,G106)*v01_OutElder*INDEX(LM_Elder,G106)+INDEX(v01_ShamanPerSett,G106)*v01_OutShaman)+Z106*(INDEX(v01_PriestShare,G106)*v01_OutPriest+INDEX(v01_ScribeShare,G106)*v01_OutScribe*INDEX(LM_Scribe,G106)+INDEX(v01_ScholarShare,G106)*v01_OutScholar*INDEX(LM_Scholar,G106)+INDEX(v01_ResearcherShare,G106)*v01_OutResearcher*INDEX(LM_Researcher,G106)))</x:f>
        <x:v>0</x:v>
      </x:c>
      <x:c r="AL106" s="32" t="n">
        <x:f>H106*v01_RoleScale*Arch_Roles*AE106*INDEX(v01_MonasteryPerSett,G106)*v01_OutMonastery*INDEX(LM_Monastery,G106)</x:f>
        <x:v>0</x:v>
      </x:c>
      <x:c r="AM106" s="32" t="n">
        <x:f>(AJ106+AK106+AL106)/4*INDEX(LM_All,G106)*INDEX(v01_Boon,G106)*Arch_Insight</x:f>
        <x:v>1.2888369944493403</x:v>
      </x:c>
      <x:c r="AN106" s="32" t="n">
        <x:f>H106*(v01_KHPerAdult*Z106+v01_KHOfCommons*AJ106/4*INDEX(LM_All,G106))*v01_KHUsable*Arch_KH</x:f>
        <x:v>0.2772309023879483</x:v>
      </x:c>
      <x:c r="AO106" s="32" t="n">
        <x:f>MIN(AP105+AN106,AM106*v01_KHMaxRatio)</x:f>
        <x:v>0.2772309023879483</x:v>
      </x:c>
      <x:c r="AP106" s="32" t="n">
        <x:f>AP105+AN106-AO106</x:f>
        <x:v>0</x:v>
      </x:c>
      <x:c r="AQ106" s="32" t="n">
        <x:f>AM106+AO106</x:f>
        <x:v>1.5660678968372885</x:v>
      </x:c>
      <x:c r="AR106" s="10" t="n">
        <x:f>IF(H106=1,INDEX(v01_Req,G106),0)</x:f>
        <x:v>372.02</x:v>
      </x:c>
      <x:c r="AS106" s="32" t="n">
        <x:f>IF(H106=1,IF(E106=1,AS105-AR105,AS105)+AQ106,0)</x:f>
        <x:v>154.4410499248881</x:v>
      </x:c>
      <x:c r="AT106" s="11" t="n">
        <x:f>IF(AR106&gt;0,MIN(1,AS106/AR106),1)</x:f>
        <x:v>0.41514179325006206</x:v>
      </x:c>
      <x:c r="AU106" s="10" t="n">
        <x:f>AB106/INDEX(v01_RepScale,G106)</x:f>
        <x:v>16.284778008450225</x:v>
      </x:c>
      <x:c r="AV106" s="32" t="n">
        <x:f>AM106*60/v01_SeasonSeconds</x:f>
        <x:v>5.155347977797361</x:v>
      </x:c>
    </x:row>
    <x:row r="107">
      <x:c r="A107" s="8" t="n">
        <x:f>A106+1</x:f>
        <x:v>104</x:v>
      </x:c>
      <x:c r="B107" s="9" t="n">
        <x:f>A107*v01_SeasonSeconds/60</x:f>
        <x:v>26</x:v>
      </x:c>
      <x:c r="C107" s="9" t="n">
        <x:f>A107/4</x:f>
        <x:v>26</x:v>
      </x:c>
      <x:c r="D107" s="8" t="n">
        <x:f>IF(MOD(A107,4)=0,1,0)</x:f>
        <x:v>1</x:v>
      </x:c>
      <x:c r="E107" s="8" t="n">
        <x:f>IF(AND(F106&lt;=9,AS106&gt;=AR106),1,0)</x:f>
        <x:v>0</x:v>
      </x:c>
      <x:c r="F107" s="8" t="n">
        <x:f>MIN(10,F106+E107)</x:f>
        <x:v>0</x:v>
      </x:c>
      <x:c r="G107" s="8" t="n">
        <x:f>MIN(F107,9)+1</x:f>
        <x:v>1</x:v>
      </x:c>
      <x:c r="H107" s="8" t="n">
        <x:f>IF(F107&lt;=9,1,0)</x:f>
        <x:v>1</x:v>
      </x:c>
      <x:c r="I107" s="9" t="n">
        <x:f>MIN(10,F106+IF(AR106&gt;0,MIN(1,AS106/AR106),1))</x:f>
        <x:v>0.41514179325006206</x:v>
      </x:c>
      <x:c r="J107" s="32" t="n">
        <x:f>INDEX(v01_FoodCap,G107)*Arch_FoodCap*EXP(v01_CapsByProject*SUMPRODUCT((Cap_Point&lt;=I107)*(Cap_Kind="Food")*Cap_Ln))</x:f>
        <x:v>22</x:v>
      </x:c>
      <x:c r="K107" s="32" t="n">
        <x:f>J107*MIN(1,v01_LeanBase*EXP(v01_CapsByProject*SUMPRODUCT((Cap_Point&lt;=I107)*(Cap_Kind="Lean")*Cap_Ln)))</x:f>
        <x:v>22</x:v>
      </x:c>
      <x:c r="L107" s="10" t="n">
        <x:f>INDEX(v01_HousingCap,G107)*EXP(v01_CapsByProject*SUMPRODUCT((Cap_Point&lt;=I107)*(Cap_Kind="Housing")*Cap_Ln))</x:f>
        <x:v>60</x:v>
      </x:c>
      <x:c r="M107" s="10" t="n">
        <x:f>INDEX(v01_GroupCap,G107)*v01_CohesionFactor*EXP(v01_CapsByProject*SUMPRODUCT((Cap_Point&lt;=I107)*(Cap_Kind="Group")*Cap_Ln))</x:f>
        <x:v>35</x:v>
      </x:c>
      <x:c r="N107" s="32" t="n">
        <x:f>MIN(J107,L107,M107)</x:f>
        <x:v>22</x:v>
      </x:c>
      <x:c r="O107" s="10" t="n">
        <x:f>AE106*N107</x:f>
        <x:v>22</x:v>
      </x:c>
      <x:c r="P107" s="9" t="n">
        <x:f>MIN(1,(AB106/(AE106*IF(v01_GroupInCrowding=1,N107,MIN(J107,L107))))^v01_CrowdingExp)</x:f>
        <x:v>0.16449585966784236</x:v>
      </x:c>
      <x:c r="Q107" s="9" t="n">
        <x:f>IF(D107=1,INDEX(v01_WinterMult,G107),1)</x:f>
        <x:v>2</x:v>
      </x:c>
      <x:c r="R107" s="9" t="n">
        <x:f>H107*Z106*v01_WomenShare*v01_BaseFertility*INDEX(v01_FertMult,G107)*Arch_Fertility*(1-P107)</x:f>
        <x:v>0.19853791437698662</x:v>
      </x:c>
      <x:c r="S107" s="9" t="n">
        <x:f>H107*Y106*INDEX(v01_MortChild,G107)/4*Q107</x:f>
        <x:v>0.1277457968398172</x:v>
      </x:c>
      <x:c r="T107" s="9" t="n">
        <x:f>H107*Z106*INDEX(v01_MortAdult,G107)*Arch_AdultMort/4*Q107</x:f>
        <x:v>0.059406621940274636</x:v>
      </x:c>
      <x:c r="U107" s="9" t="n">
        <x:f>H107*AA106*INDEX(v01_MortElder,G107)/4*Q107</x:f>
        <x:v>0.09883026205447071</x:v>
      </x:c>
      <x:c r="V107" s="9" t="n">
        <x:f>H107*MAX(0,AB106-O107)*v01_OvercapLoss</x:f>
        <x:v>0</x:v>
      </x:c>
      <x:c r="W107" s="9" t="n">
        <x:f>H107*Y106/(v01_ChildYears*4)</x:f>
        <x:v>0.11405874717840823</x:v>
      </x:c>
      <x:c r="X107" s="9" t="n">
        <x:f>H107*Z106/(v01_AdultYears*4)</x:f>
        <x:v>0.0638780881078222</x:v>
      </x:c>
      <x:c r="Y107" s="32" t="n">
        <x:f>Y106+R107-S107-W107-Y106*V107/AB106</x:f>
        <x:v>6.344023212349622</x:v>
      </x:c>
      <x:c r="Z107" s="32" t="n">
        <x:f>Z106+W107-X107-T107-Z106*V107/AB106</x:f>
        <x:v>7.911656962500263</x:v>
      </x:c>
      <x:c r="AA107" s="32" t="n">
        <x:f>AA106+X107-U107-AA106*V107/AB106</x:f>
        <x:v>1.9416530671427654</x:v>
      </x:c>
      <x:c r="AB107" s="10" t="n">
        <x:f>Y107+Z107+AA107</x:f>
        <x:v>16.197333241992652</x:v>
      </x:c>
      <x:c r="AC107" s="8" t="n">
        <x:f>IF(AND(v01_WinterTrigger=1,D107=1,AB106/AE106&gt;=K107),1,0)</x:f>
        <x:v>0</x:v>
      </x:c>
      <x:c r="AD107" s="8" t="n">
        <x:f>H107*IF(AND(OR(AB106/AE106&gt;=v01_FissionTrigger*N107,AC107=1),AB106/AE106*v01_DaughterShare&gt;=v01_MinDaughter),MAX(1,ROUND(AE106*v01_FissionRate,0)),0)</x:f>
        <x:v>0</x:v>
      </x:c>
      <x:c r="AE107" s="8" t="n">
        <x:f>IF(H107=1,MAX(1,MIN(INDEX(v01_Smax,G107),AE106+AD107)),AE106)</x:f>
        <x:v>1</x:v>
      </x:c>
      <x:c r="AF107" s="8" t="n">
        <x:f>MAX(0,AE107-AE106)</x:f>
        <x:v>0</x:v>
      </x:c>
      <x:c r="AG107" s="9" t="str">
        <x:f>IF(AF107&gt;0,B107,"")</x:f>
      </x:c>
      <x:c r="AH107" s="9" t="n">
        <x:f>IF(F107&gt;=1,1,(1+v01_LowTiesShare*(AE107-1))/AE107)</x:f>
        <x:v>1</x:v>
      </x:c>
      <x:c r="AI107" s="32" t="n">
        <x:f>(Z107+v01_ElderCommons*INDEX(LM_Elder,G107)*AA107)*AH107</x:f>
        <x:v>11.794963096785795</x:v>
      </x:c>
      <x:c r="AJ107" s="32" t="n">
        <x:f>H107*v01_CommonsCoef*AI107^v01_CommonsExp*INDEX(LM_Commons,G107)</x:f>
        <x:v>5.12613089260269</x:v>
      </x:c>
      <x:c r="AK107" s="32" t="n">
        <x:f>H107*v01_RoleScale*Arch_Roles*(AE107*(INDEX(v01_ElderRolePerSett,G107)*v01_OutElder*INDEX(LM_Elder,G107)+INDEX(v01_ShamanPerSett,G107)*v01_OutShaman)+Z107*(INDEX(v01_PriestShare,G107)*v01_OutPriest+INDEX(v01_ScribeShare,G107)*v01_OutScribe*INDEX(LM_Scribe,G107)+INDEX(v01_ScholarShare,G107)*v01_OutScholar*INDEX(LM_Scholar,G107)+INDEX(v01_ResearcherShare,G107)*v01_OutResearcher*INDEX(LM_Researcher,G107)))</x:f>
        <x:v>0</x:v>
      </x:c>
      <x:c r="AL107" s="32" t="n">
        <x:f>H107*v01_RoleScale*Arch_Roles*AE107*INDEX(v01_MonasteryPerSett,G107)*v01_OutMonastery*INDEX(LM_Monastery,G107)</x:f>
        <x:v>0</x:v>
      </x:c>
      <x:c r="AM107" s="32" t="n">
        <x:f>(AJ107+AK107+AL107)/4*INDEX(LM_All,G107)*INDEX(v01_Boon,G107)*Arch_Insight</x:f>
        <x:v>1.2815327231506726</x:v>
      </x:c>
      <x:c r="AN107" s="32" t="n">
        <x:f>H107*(v01_KHPerAdult*Z107+v01_KHOfCommons*AJ107/4*INDEX(LM_All,G107))*v01_KHUsable*Arch_KH</x:f>
        <x:v>0.27690799368750924</x:v>
      </x:c>
      <x:c r="AO107" s="32" t="n">
        <x:f>MIN(AP106+AN107,AM107*v01_KHMaxRatio)</x:f>
        <x:v>0.27690799368750924</x:v>
      </x:c>
      <x:c r="AP107" s="32" t="n">
        <x:f>AP106+AN107-AO107</x:f>
        <x:v>0</x:v>
      </x:c>
      <x:c r="AQ107" s="32" t="n">
        <x:f>AM107+AO107</x:f>
        <x:v>1.5584407168381817</x:v>
      </x:c>
      <x:c r="AR107" s="10" t="n">
        <x:f>IF(H107=1,INDEX(v01_Req,G107),0)</x:f>
        <x:v>372.02</x:v>
      </x:c>
      <x:c r="AS107" s="32" t="n">
        <x:f>IF(H107=1,IF(E107=1,AS106-AR106,AS106)+AQ107,0)</x:f>
        <x:v>155.99949064172628</x:v>
      </x:c>
      <x:c r="AT107" s="11" t="n">
        <x:f>IF(AR107&gt;0,MIN(1,AS107/AR107),1)</x:f>
        <x:v>0.41933092479363016</x:v>
      </x:c>
      <x:c r="AU107" s="10" t="n">
        <x:f>AB107/INDEX(v01_RepScale,G107)</x:f>
        <x:v>16.197333241992652</x:v>
      </x:c>
      <x:c r="AV107" s="32" t="n">
        <x:f>AM107*60/v01_SeasonSeconds</x:f>
        <x:v>5.12613089260269</x:v>
      </x:c>
    </x:row>
    <x:row r="108">
      <x:c r="A108" s="8" t="n">
        <x:f>A107+1</x:f>
        <x:v>105</x:v>
      </x:c>
      <x:c r="B108" s="9" t="n">
        <x:f>A108*v01_SeasonSeconds/60</x:f>
        <x:v>26.25</x:v>
      </x:c>
      <x:c r="C108" s="9" t="n">
        <x:f>A108/4</x:f>
        <x:v>26.25</x:v>
      </x:c>
      <x:c r="D108" s="8" t="n">
        <x:f>IF(MOD(A108,4)=0,1,0)</x:f>
        <x:v>0</x:v>
      </x:c>
      <x:c r="E108" s="8" t="n">
        <x:f>IF(AND(F107&lt;=9,AS107&gt;=AR107),1,0)</x:f>
        <x:v>0</x:v>
      </x:c>
      <x:c r="F108" s="8" t="n">
        <x:f>MIN(10,F107+E108)</x:f>
        <x:v>0</x:v>
      </x:c>
      <x:c r="G108" s="8" t="n">
        <x:f>MIN(F108,9)+1</x:f>
        <x:v>1</x:v>
      </x:c>
      <x:c r="H108" s="8" t="n">
        <x:f>IF(F108&lt;=9,1,0)</x:f>
        <x:v>1</x:v>
      </x:c>
      <x:c r="I108" s="9" t="n">
        <x:f>MIN(10,F107+IF(AR107&gt;0,MIN(1,AS107/AR107),1))</x:f>
        <x:v>0.41933092479363016</x:v>
      </x:c>
      <x:c r="J108" s="32" t="n">
        <x:f>INDEX(v01_FoodCap,G108)*Arch_FoodCap*EXP(v01_CapsByProject*SUMPRODUCT((Cap_Point&lt;=I108)*(Cap_Kind="Food")*Cap_Ln))</x:f>
        <x:v>22</x:v>
      </x:c>
      <x:c r="K108" s="32" t="n">
        <x:f>J108*MIN(1,v01_LeanBase*EXP(v01_CapsByProject*SUMPRODUCT((Cap_Point&lt;=I108)*(Cap_Kind="Lean")*Cap_Ln)))</x:f>
        <x:v>22</x:v>
      </x:c>
      <x:c r="L108" s="10" t="n">
        <x:f>INDEX(v01_HousingCap,G108)*EXP(v01_CapsByProject*SUMPRODUCT((Cap_Point&lt;=I108)*(Cap_Kind="Housing")*Cap_Ln))</x:f>
        <x:v>60</x:v>
      </x:c>
      <x:c r="M108" s="10" t="n">
        <x:f>INDEX(v01_GroupCap,G108)*v01_CohesionFactor*EXP(v01_CapsByProject*SUMPRODUCT((Cap_Point&lt;=I108)*(Cap_Kind="Group")*Cap_Ln))</x:f>
        <x:v>35</x:v>
      </x:c>
      <x:c r="N108" s="32" t="n">
        <x:f>MIN(J108,L108,M108)</x:f>
        <x:v>22</x:v>
      </x:c>
      <x:c r="O108" s="10" t="n">
        <x:f>AE107*N108</x:f>
        <x:v>22</x:v>
      </x:c>
      <x:c r="P108" s="9" t="n">
        <x:f>MIN(1,(AB107/(AE107*IF(v01_GroupInCrowding=1,N108,MIN(J108,L108))))^v01_CrowdingExp)</x:f>
        <x:v>0.15926671390276048</x:v>
      </x:c>
      <x:c r="Q108" s="9" t="n">
        <x:f>IF(D108=1,INDEX(v01_WinterMult,G108),1)</x:f>
        <x:v>1</x:v>
      </x:c>
      <x:c r="R108" s="9" t="n">
        <x:f>H108*Z107*v01_WomenShare*v01_BaseFertility*INDEX(v01_FertMult,G108)*Arch_Fertility*(1-P108)</x:f>
        <x:v>0.19954780069670852</x:v>
      </x:c>
      <x:c r="S108" s="9" t="n">
        <x:f>H108*Y107*INDEX(v01_MortChild,G108)/4*Q108</x:f>
        <x:v>0.06344023212349623</x:v>
      </x:c>
      <x:c r="T108" s="9" t="n">
        <x:f>H108*Z107*INDEX(v01_MortAdult,G108)*Arch_AdultMort/4*Q108</x:f>
        <x:v>0.029668713609375987</x:v>
      </x:c>
      <x:c r="U108" s="9" t="n">
        <x:f>H108*AA107*INDEX(v01_MortElder,G108)/4*Q108</x:f>
        <x:v>0.04854132667856914</x:v>
      </x:c>
      <x:c r="V108" s="9" t="n">
        <x:f>H108*MAX(0,AB107-O108)*v01_OvercapLoss</x:f>
        <x:v>0</x:v>
      </x:c>
      <x:c r="W108" s="9" t="n">
        <x:f>H108*Y107/(v01_ChildYears*4)</x:f>
        <x:v>0.11328612879195754</x:v>
      </x:c>
      <x:c r="X108" s="9" t="n">
        <x:f>H108*Z107/(v01_AdultYears*4)</x:f>
        <x:v>0.06380368518145374</x:v>
      </x:c>
      <x:c r="Y108" s="32" t="n">
        <x:f>Y107+R108-S108-W108-Y107*V108/AB107</x:f>
        <x:v>6.366844652130878</x:v>
      </x:c>
      <x:c r="Z108" s="32" t="n">
        <x:f>Z107+W108-X108-T108-Z107*V108/AB107</x:f>
        <x:v>7.9314706925013905</x:v>
      </x:c>
      <x:c r="AA108" s="32" t="n">
        <x:f>AA107+X108-U108-AA107*V108/AB107</x:f>
        <x:v>1.9569154256456498</x:v>
      </x:c>
      <x:c r="AB108" s="10" t="n">
        <x:f>Y108+Z108+AA108</x:f>
        <x:v>16.25523077027792</x:v>
      </x:c>
      <x:c r="AC108" s="8" t="n">
        <x:f>IF(AND(v01_WinterTrigger=1,D108=1,AB107/AE107&gt;=K108),1,0)</x:f>
        <x:v>0</x:v>
      </x:c>
      <x:c r="AD108" s="8" t="n">
        <x:f>H108*IF(AND(OR(AB107/AE107&gt;=v01_FissionTrigger*N108,AC108=1),AB107/AE107*v01_DaughterShare&gt;=v01_MinDaughter),MAX(1,ROUND(AE107*v01_FissionRate,0)),0)</x:f>
        <x:v>0</x:v>
      </x:c>
      <x:c r="AE108" s="8" t="n">
        <x:f>IF(H108=1,MAX(1,MIN(INDEX(v01_Smax,G108),AE107+AD108)),AE107)</x:f>
        <x:v>1</x:v>
      </x:c>
      <x:c r="AF108" s="8" t="n">
        <x:f>MAX(0,AE108-AE107)</x:f>
        <x:v>0</x:v>
      </x:c>
      <x:c r="AG108" s="9" t="str">
        <x:f>IF(AF108&gt;0,B108,"")</x:f>
      </x:c>
      <x:c r="AH108" s="9" t="n">
        <x:f>IF(F108&gt;=1,1,(1+v01_LowTiesShare*(AE108-1))/AE108)</x:f>
        <x:v>1</x:v>
      </x:c>
      <x:c r="AI108" s="32" t="n">
        <x:f>(Z108+v01_ElderCommons*INDEX(LM_Elder,G108)*AA108)*AH108</x:f>
        <x:v>11.84530154379269</x:v>
      </x:c>
      <x:c r="AJ108" s="32" t="n">
        <x:f>H108*v01_CommonsCoef*AI108^v01_CommonsExp*INDEX(LM_Commons,G108)</x:f>
        <x:v>5.144720620696793</x:v>
      </x:c>
      <x:c r="AK108" s="32" t="n">
        <x:f>H108*v01_RoleScale*Arch_Roles*(AE108*(INDEX(v01_ElderRolePerSett,G108)*v01_OutElder*INDEX(LM_Elder,G108)+INDEX(v01_ShamanPerSett,G108)*v01_OutShaman)+Z108*(INDEX(v01_PriestShare,G108)*v01_OutPriest+INDEX(v01_ScribeShare,G108)*v01_OutScribe*INDEX(LM_Scribe,G108)+INDEX(v01_ScholarShare,G108)*v01_OutScholar*INDEX(LM_Scholar,G108)+INDEX(v01_ResearcherShare,G108)*v01_OutResearcher*INDEX(LM_Researcher,G108)))</x:f>
        <x:v>0</x:v>
      </x:c>
      <x:c r="AL108" s="32" t="n">
        <x:f>H108*v01_RoleScale*Arch_Roles*AE108*INDEX(v01_MonasteryPerSett,G108)*v01_OutMonastery*INDEX(LM_Monastery,G108)</x:f>
        <x:v>0</x:v>
      </x:c>
      <x:c r="AM108" s="32" t="n">
        <x:f>(AJ108+AK108+AL108)/4*INDEX(LM_All,G108)*INDEX(v01_Boon,G108)*Arch_Insight</x:f>
        <x:v>1.2861801551741983</x:v>
      </x:c>
      <x:c r="AN108" s="32" t="n">
        <x:f>H108*(v01_KHPerAdult*Z108+v01_KHOfCommons*AJ108/4*INDEX(LM_All,G108))*v01_KHUsable*Arch_KH</x:f>
        <x:v>0.27760147423754866</x:v>
      </x:c>
      <x:c r="AO108" s="32" t="n">
        <x:f>MIN(AP107+AN108,AM108*v01_KHMaxRatio)</x:f>
        <x:v>0.27760147423754866</x:v>
      </x:c>
      <x:c r="AP108" s="32" t="n">
        <x:f>AP107+AN108-AO108</x:f>
        <x:v>0</x:v>
      </x:c>
      <x:c r="AQ108" s="32" t="n">
        <x:f>AM108+AO108</x:f>
        <x:v>1.5637816294117468</x:v>
      </x:c>
      <x:c r="AR108" s="10" t="n">
        <x:f>IF(H108=1,INDEX(v01_Req,G108),0)</x:f>
        <x:v>372.02</x:v>
      </x:c>
      <x:c r="AS108" s="32" t="n">
        <x:f>IF(H108=1,IF(E108=1,AS107-AR107,AS107)+AQ108,0)</x:f>
        <x:v>157.56327227113803</x:v>
      </x:c>
      <x:c r="AT108" s="11" t="n">
        <x:f>IF(AR108&gt;0,MIN(1,AS108/AR108),1)</x:f>
        <x:v>0.4235344128572067</x:v>
      </x:c>
      <x:c r="AU108" s="10" t="n">
        <x:f>AB108/INDEX(v01_RepScale,G108)</x:f>
        <x:v>16.25523077027792</x:v>
      </x:c>
      <x:c r="AV108" s="32" t="n">
        <x:f>AM108*60/v01_SeasonSeconds</x:f>
        <x:v>5.144720620696793</x:v>
      </x:c>
    </x:row>
    <x:row r="109">
      <x:c r="A109" s="8" t="n">
        <x:f>A108+1</x:f>
        <x:v>106</x:v>
      </x:c>
      <x:c r="B109" s="9" t="n">
        <x:f>A109*v01_SeasonSeconds/60</x:f>
        <x:v>26.5</x:v>
      </x:c>
      <x:c r="C109" s="9" t="n">
        <x:f>A109/4</x:f>
        <x:v>26.5</x:v>
      </x:c>
      <x:c r="D109" s="8" t="n">
        <x:f>IF(MOD(A109,4)=0,1,0)</x:f>
        <x:v>0</x:v>
      </x:c>
      <x:c r="E109" s="8" t="n">
        <x:f>IF(AND(F108&lt;=9,AS108&gt;=AR108),1,0)</x:f>
        <x:v>0</x:v>
      </x:c>
      <x:c r="F109" s="8" t="n">
        <x:f>MIN(10,F108+E109)</x:f>
        <x:v>0</x:v>
      </x:c>
      <x:c r="G109" s="8" t="n">
        <x:f>MIN(F109,9)+1</x:f>
        <x:v>1</x:v>
      </x:c>
      <x:c r="H109" s="8" t="n">
        <x:f>IF(F109&lt;=9,1,0)</x:f>
        <x:v>1</x:v>
      </x:c>
      <x:c r="I109" s="9" t="n">
        <x:f>MIN(10,F108+IF(AR108&gt;0,MIN(1,AS108/AR108),1))</x:f>
        <x:v>0.4235344128572067</x:v>
      </x:c>
      <x:c r="J109" s="32" t="n">
        <x:f>INDEX(v01_FoodCap,G109)*Arch_FoodCap*EXP(v01_CapsByProject*SUMPRODUCT((Cap_Point&lt;=I109)*(Cap_Kind="Food")*Cap_Ln))</x:f>
        <x:v>22</x:v>
      </x:c>
      <x:c r="K109" s="32" t="n">
        <x:f>J109*MIN(1,v01_LeanBase*EXP(v01_CapsByProject*SUMPRODUCT((Cap_Point&lt;=I109)*(Cap_Kind="Lean")*Cap_Ln)))</x:f>
        <x:v>22</x:v>
      </x:c>
      <x:c r="L109" s="10" t="n">
        <x:f>INDEX(v01_HousingCap,G109)*EXP(v01_CapsByProject*SUMPRODUCT((Cap_Point&lt;=I109)*(Cap_Kind="Housing")*Cap_Ln))</x:f>
        <x:v>60</x:v>
      </x:c>
      <x:c r="M109" s="10" t="n">
        <x:f>INDEX(v01_GroupCap,G109)*v01_CohesionFactor*EXP(v01_CapsByProject*SUMPRODUCT((Cap_Point&lt;=I109)*(Cap_Kind="Group")*Cap_Ln))</x:f>
        <x:v>35</x:v>
      </x:c>
      <x:c r="N109" s="32" t="n">
        <x:f>MIN(J109,L109,M109)</x:f>
        <x:v>22</x:v>
      </x:c>
      <x:c r="O109" s="10" t="n">
        <x:f>AE108*N109</x:f>
        <x:v>22</x:v>
      </x:c>
      <x:c r="P109" s="9" t="n">
        <x:f>MIN(1,(AB108/(AE108*IF(v01_GroupInCrowding=1,N109,MIN(J109,L109))))^v01_CrowdingExp)</x:f>
        <x:v>0.16271318701395118</x:v>
      </x:c>
      <x:c r="Q109" s="9" t="n">
        <x:f>IF(D109=1,INDEX(v01_WinterMult,G109),1)</x:f>
        <x:v>1</x:v>
      </x:c>
      <x:c r="R109" s="9" t="n">
        <x:f>H109*Z108*v01_WomenShare*v01_BaseFertility*INDEX(v01_FertMult,G109)*Arch_Fertility*(1-P109)</x:f>
        <x:v>0.19922747455250214</x:v>
      </x:c>
      <x:c r="S109" s="9" t="n">
        <x:f>H109*Y108*INDEX(v01_MortChild,G109)/4*Q109</x:f>
        <x:v>0.06366844652130878</x:v>
      </x:c>
      <x:c r="T109" s="9" t="n">
        <x:f>H109*Z108*INDEX(v01_MortAdult,G109)*Arch_AdultMort/4*Q109</x:f>
        <x:v>0.029743015096880213</x:v>
      </x:c>
      <x:c r="U109" s="9" t="n">
        <x:f>H109*AA108*INDEX(v01_MortElder,G109)/4*Q109</x:f>
        <x:v>0.04892288564114125</x:v>
      </x:c>
      <x:c r="V109" s="9" t="n">
        <x:f>H109*MAX(0,AB108-O109)*v01_OvercapLoss</x:f>
        <x:v>0</x:v>
      </x:c>
      <x:c r="W109" s="9" t="n">
        <x:f>H109*Y108/(v01_ChildYears*4)</x:f>
        <x:v>0.11369365450233711</x:v>
      </x:c>
      <x:c r="X109" s="9" t="n">
        <x:f>H109*Z108/(v01_AdultYears*4)</x:f>
        <x:v>0.06396347332662412</x:v>
      </x:c>
      <x:c r="Y109" s="32" t="n">
        <x:f>Y108+R109-S109-W109-Y108*V109/AB108</x:f>
        <x:v>6.388710025659734</x:v>
      </x:c>
      <x:c r="Z109" s="32" t="n">
        <x:f>Z108+W109-X109-T109-Z108*V109/AB108</x:f>
        <x:v>7.9514578585802225</x:v>
      </x:c>
      <x:c r="AA109" s="32" t="n">
        <x:f>AA108+X109-U109-AA108*V109/AB108</x:f>
        <x:v>1.971956013331133</x:v>
      </x:c>
      <x:c r="AB109" s="10" t="n">
        <x:f>Y109+Z109+AA109</x:f>
        <x:v>16.31212389757109</x:v>
      </x:c>
      <x:c r="AC109" s="8" t="n">
        <x:f>IF(AND(v01_WinterTrigger=1,D109=1,AB108/AE108&gt;=K109),1,0)</x:f>
        <x:v>0</x:v>
      </x:c>
      <x:c r="AD109" s="8" t="n">
        <x:f>H109*IF(AND(OR(AB108/AE108&gt;=v01_FissionTrigger*N109,AC109=1),AB108/AE108*v01_DaughterShare&gt;=v01_MinDaughter),MAX(1,ROUND(AE108*v01_FissionRate,0)),0)</x:f>
        <x:v>0</x:v>
      </x:c>
      <x:c r="AE109" s="8" t="n">
        <x:f>IF(H109=1,MAX(1,MIN(INDEX(v01_Smax,G109),AE108+AD109)),AE108)</x:f>
        <x:v>1</x:v>
      </x:c>
      <x:c r="AF109" s="8" t="n">
        <x:f>MAX(0,AE109-AE108)</x:f>
        <x:v>0</x:v>
      </x:c>
      <x:c r="AG109" s="9" t="str">
        <x:f>IF(AF109&gt;0,B109,"")</x:f>
      </x:c>
      <x:c r="AH109" s="9" t="n">
        <x:f>IF(F109&gt;=1,1,(1+v01_LowTiesShare*(AE109-1))/AE109)</x:f>
        <x:v>1</x:v>
      </x:c>
      <x:c r="AI109" s="32" t="n">
        <x:f>(Z109+v01_ElderCommons*INDEX(LM_Elder,G109)*AA109)*AH109</x:f>
        <x:v>11.895369885242488</x:v>
      </x:c>
      <x:c r="AJ109" s="32" t="n">
        <x:f>H109*v01_CommonsCoef*AI109^v01_CommonsExp*INDEX(LM_Commons,G109)</x:f>
        <x:v>5.163198849027202</x:v>
      </x:c>
      <x:c r="AK109" s="32" t="n">
        <x:f>H109*v01_RoleScale*Arch_Roles*(AE109*(INDEX(v01_ElderRolePerSett,G109)*v01_OutElder*INDEX(LM_Elder,G109)+INDEX(v01_ShamanPerSett,G109)*v01_OutShaman)+Z109*(INDEX(v01_PriestShare,G109)*v01_OutPriest+INDEX(v01_ScribeShare,G109)*v01_OutScribe*INDEX(LM_Scribe,G109)+INDEX(v01_ScholarShare,G109)*v01_OutScholar*INDEX(LM_Scholar,G109)+INDEX(v01_ResearcherShare,G109)*v01_OutResearcher*INDEX(LM_Researcher,G109)))</x:f>
        <x:v>0</x:v>
      </x:c>
      <x:c r="AL109" s="32" t="n">
        <x:f>H109*v01_RoleScale*Arch_Roles*AE109*INDEX(v01_MonasteryPerSett,G109)*v01_OutMonastery*INDEX(LM_Monastery,G109)</x:f>
        <x:v>0</x:v>
      </x:c>
      <x:c r="AM109" s="32" t="n">
        <x:f>(AJ109+AK109+AL109)/4*INDEX(LM_All,G109)*INDEX(v01_Boon,G109)*Arch_Insight</x:f>
        <x:v>1.2907997122568005</x:v>
      </x:c>
      <x:c r="AN109" s="32" t="n">
        <x:f>H109*(v01_KHPerAdult*Z109+v01_KHOfCommons*AJ109/4*INDEX(LM_All,G109))*v01_KHUsable*Arch_KH</x:f>
        <x:v>0.2783010250503078</x:v>
      </x:c>
      <x:c r="AO109" s="32" t="n">
        <x:f>MIN(AP108+AN109,AM109*v01_KHMaxRatio)</x:f>
        <x:v>0.2783010250503078</x:v>
      </x:c>
      <x:c r="AP109" s="32" t="n">
        <x:f>AP108+AN109-AO109</x:f>
        <x:v>0</x:v>
      </x:c>
      <x:c r="AQ109" s="32" t="n">
        <x:f>AM109+AO109</x:f>
        <x:v>1.5691007373071082</x:v>
      </x:c>
      <x:c r="AR109" s="10" t="n">
        <x:f>IF(H109=1,INDEX(v01_Req,G109),0)</x:f>
        <x:v>372.02</x:v>
      </x:c>
      <x:c r="AS109" s="32" t="n">
        <x:f>IF(H109=1,IF(E109=1,AS108-AR108,AS108)+AQ109,0)</x:f>
        <x:v>159.13237300844514</x:v>
      </x:c>
      <x:c r="AT109" s="11" t="n">
        <x:f>IF(AR109&gt;0,MIN(1,AS109/AR109),1)</x:f>
        <x:v>0.42775219882921656</x:v>
      </x:c>
      <x:c r="AU109" s="10" t="n">
        <x:f>AB109/INDEX(v01_RepScale,G109)</x:f>
        <x:v>16.31212389757109</x:v>
      </x:c>
      <x:c r="AV109" s="32" t="n">
        <x:f>AM109*60/v01_SeasonSeconds</x:f>
        <x:v>5.163198849027202</x:v>
      </x:c>
    </x:row>
    <x:row r="110">
      <x:c r="A110" s="8" t="n">
        <x:f>A109+1</x:f>
        <x:v>107</x:v>
      </x:c>
      <x:c r="B110" s="9" t="n">
        <x:f>A110*v01_SeasonSeconds/60</x:f>
        <x:v>26.75</x:v>
      </x:c>
      <x:c r="C110" s="9" t="n">
        <x:f>A110/4</x:f>
        <x:v>26.75</x:v>
      </x:c>
      <x:c r="D110" s="8" t="n">
        <x:f>IF(MOD(A110,4)=0,1,0)</x:f>
        <x:v>0</x:v>
      </x:c>
      <x:c r="E110" s="8" t="n">
        <x:f>IF(AND(F109&lt;=9,AS109&gt;=AR109),1,0)</x:f>
        <x:v>0</x:v>
      </x:c>
      <x:c r="F110" s="8" t="n">
        <x:f>MIN(10,F109+E110)</x:f>
        <x:v>0</x:v>
      </x:c>
      <x:c r="G110" s="8" t="n">
        <x:f>MIN(F110,9)+1</x:f>
        <x:v>1</x:v>
      </x:c>
      <x:c r="H110" s="8" t="n">
        <x:f>IF(F110&lt;=9,1,0)</x:f>
        <x:v>1</x:v>
      </x:c>
      <x:c r="I110" s="9" t="n">
        <x:f>MIN(10,F109+IF(AR109&gt;0,MIN(1,AS109/AR109),1))</x:f>
        <x:v>0.42775219882921656</x:v>
      </x:c>
      <x:c r="J110" s="32" t="n">
        <x:f>INDEX(v01_FoodCap,G110)*Arch_FoodCap*EXP(v01_CapsByProject*SUMPRODUCT((Cap_Point&lt;=I110)*(Cap_Kind="Food")*Cap_Ln))</x:f>
        <x:v>22</x:v>
      </x:c>
      <x:c r="K110" s="32" t="n">
        <x:f>J110*MIN(1,v01_LeanBase*EXP(v01_CapsByProject*SUMPRODUCT((Cap_Point&lt;=I110)*(Cap_Kind="Lean")*Cap_Ln)))</x:f>
        <x:v>22</x:v>
      </x:c>
      <x:c r="L110" s="10" t="n">
        <x:f>INDEX(v01_HousingCap,G110)*EXP(v01_CapsByProject*SUMPRODUCT((Cap_Point&lt;=I110)*(Cap_Kind="Housing")*Cap_Ln))</x:f>
        <x:v>60</x:v>
      </x:c>
      <x:c r="M110" s="10" t="n">
        <x:f>INDEX(v01_GroupCap,G110)*v01_CohesionFactor*EXP(v01_CapsByProject*SUMPRODUCT((Cap_Point&lt;=I110)*(Cap_Kind="Group")*Cap_Ln))</x:f>
        <x:v>35</x:v>
      </x:c>
      <x:c r="N110" s="32" t="n">
        <x:f>MIN(J110,L110,M110)</x:f>
        <x:v>22</x:v>
      </x:c>
      <x:c r="O110" s="10" t="n">
        <x:f>AE109*N110</x:f>
        <x:v>22</x:v>
      </x:c>
      <x:c r="P110" s="9" t="n">
        <x:f>MIN(1,(AB109/(AE109*IF(v01_GroupInCrowding=1,N110,MIN(J110,L110))))^v01_CrowdingExp)</x:f>
        <x:v>0.16616019135686314</x:v>
      </x:c>
      <x:c r="Q110" s="9" t="n">
        <x:f>IF(D110=1,INDEX(v01_WinterMult,G110),1)</x:f>
        <x:v>1</x:v>
      </x:c>
      <x:c r="R110" s="9" t="n">
        <x:f>H110*Z109*v01_WomenShare*v01_BaseFertility*INDEX(v01_FertMult,G110)*Arch_Fertility*(1-P110)</x:f>
        <x:v>0.198907262976975</x:v>
      </x:c>
      <x:c r="S110" s="9" t="n">
        <x:f>H110*Y109*INDEX(v01_MortChild,G110)/4*Q110</x:f>
        <x:v>0.06388710025659734</x:v>
      </x:c>
      <x:c r="T110" s="9" t="n">
        <x:f>H110*Z109*INDEX(v01_MortAdult,G110)*Arch_AdultMort/4*Q110</x:f>
        <x:v>0.029817966969675834</x:v>
      </x:c>
      <x:c r="U110" s="9" t="n">
        <x:f>H110*AA109*INDEX(v01_MortElder,G110)/4*Q110</x:f>
        <x:v>0.04929890033327833</x:v>
      </x:c>
      <x:c r="V110" s="9" t="n">
        <x:f>H110*MAX(0,AB109-O110)*v01_OvercapLoss</x:f>
        <x:v>0</x:v>
      </x:c>
      <x:c r="W110" s="9" t="n">
        <x:f>H110*Y109/(v01_ChildYears*4)</x:f>
        <x:v>0.11408410760106667</x:v>
      </x:c>
      <x:c r="X110" s="9" t="n">
        <x:f>H110*Z109/(v01_AdultYears*4)</x:f>
        <x:v>0.0641246601498405</x:v>
      </x:c>
      <x:c r="Y110" s="32" t="n">
        <x:f>Y109+R110-S110-W110-Y109*V110/AB109</x:f>
        <x:v>6.409646080779044</x:v>
      </x:c>
      <x:c r="Z110" s="32" t="n">
        <x:f>Z109+W110-X110-T110-Z109*V110/AB109</x:f>
        <x:v>7.971599339061774</x:v>
      </x:c>
      <x:c r="AA110" s="32" t="n">
        <x:f>AA109+X110-U110-AA109*V110/AB109</x:f>
        <x:v>1.9867817731476949</x:v>
      </x:c>
      <x:c r="AB110" s="10" t="n">
        <x:f>Y110+Z110+AA110</x:f>
        <x:v>16.368027192988514</x:v>
      </x:c>
      <x:c r="AC110" s="8" t="n">
        <x:f>IF(AND(v01_WinterTrigger=1,D110=1,AB109/AE109&gt;=K110),1,0)</x:f>
        <x:v>0</x:v>
      </x:c>
      <x:c r="AD110" s="8" t="n">
        <x:f>H110*IF(AND(OR(AB109/AE109&gt;=v01_FissionTrigger*N110,AC110=1),AB109/AE109*v01_DaughterShare&gt;=v01_MinDaughter),MAX(1,ROUND(AE109*v01_FissionRate,0)),0)</x:f>
        <x:v>0</x:v>
      </x:c>
      <x:c r="AE110" s="8" t="n">
        <x:f>IF(H110=1,MAX(1,MIN(INDEX(v01_Smax,G110),AE109+AD110)),AE109)</x:f>
        <x:v>1</x:v>
      </x:c>
      <x:c r="AF110" s="8" t="n">
        <x:f>MAX(0,AE110-AE109)</x:f>
        <x:v>0</x:v>
      </x:c>
      <x:c r="AG110" s="9" t="str">
        <x:f>IF(AF110&gt;0,B110,"")</x:f>
      </x:c>
      <x:c r="AH110" s="9" t="n">
        <x:f>IF(F110&gt;=1,1,(1+v01_LowTiesShare*(AE110-1))/AE110)</x:f>
        <x:v>1</x:v>
      </x:c>
      <x:c r="AI110" s="32" t="n">
        <x:f>(Z110+v01_ElderCommons*INDEX(LM_Elder,G110)*AA110)*AH110</x:f>
        <x:v>11.945162885357163</x:v>
      </x:c>
      <x:c r="AJ110" s="32" t="n">
        <x:f>H110*v01_CommonsCoef*AI110^v01_CommonsExp*INDEX(LM_Commons,G110)</x:f>
        <x:v>5.18156389302268</x:v>
      </x:c>
      <x:c r="AK110" s="32" t="n">
        <x:f>H110*v01_RoleScale*Arch_Roles*(AE110*(INDEX(v01_ElderRolePerSett,G110)*v01_OutElder*INDEX(LM_Elder,G110)+INDEX(v01_ShamanPerSett,G110)*v01_OutShaman)+Z110*(INDEX(v01_PriestShare,G110)*v01_OutPriest+INDEX(v01_ScribeShare,G110)*v01_OutScribe*INDEX(LM_Scribe,G110)+INDEX(v01_ScholarShare,G110)*v01_OutScholar*INDEX(LM_Scholar,G110)+INDEX(v01_ResearcherShare,G110)*v01_OutResearcher*INDEX(LM_Researcher,G110)))</x:f>
        <x:v>0</x:v>
      </x:c>
      <x:c r="AL110" s="32" t="n">
        <x:f>H110*v01_RoleScale*Arch_Roles*AE110*INDEX(v01_MonasteryPerSett,G110)*v01_OutMonastery*INDEX(LM_Monastery,G110)</x:f>
        <x:v>0</x:v>
      </x:c>
      <x:c r="AM110" s="32" t="n">
        <x:f>(AJ110+AK110+AL110)/4*INDEX(LM_All,G110)*INDEX(v01_Boon,G110)*Arch_Insight</x:f>
        <x:v>1.29539097325567</x:v>
      </x:c>
      <x:c r="AN110" s="32" t="n">
        <x:f>H110*(v01_KHPerAdult*Z110+v01_KHOfCommons*AJ110/4*INDEX(LM_All,G110))*v01_KHUsable*Arch_KH</x:f>
        <x:v>0.2790059768671621</x:v>
      </x:c>
      <x:c r="AO110" s="32" t="n">
        <x:f>MIN(AP109+AN110,AM110*v01_KHMaxRatio)</x:f>
        <x:v>0.2790059768671621</x:v>
      </x:c>
      <x:c r="AP110" s="32" t="n">
        <x:f>AP109+AN110-AO110</x:f>
        <x:v>0</x:v>
      </x:c>
      <x:c r="AQ110" s="32" t="n">
        <x:f>AM110+AO110</x:f>
        <x:v>1.574396950122832</x:v>
      </x:c>
      <x:c r="AR110" s="10" t="n">
        <x:f>IF(H110=1,INDEX(v01_Req,G110),0)</x:f>
        <x:v>372.02</x:v>
      </x:c>
      <x:c r="AS110" s="32" t="n">
        <x:f>IF(H110=1,IF(E110=1,AS109-AR109,AS109)+AQ110,0)</x:f>
        <x:v>160.70676995856797</x:v>
      </x:c>
      <x:c r="AT110" s="11" t="n">
        <x:f>IF(AR110&gt;0,MIN(1,AS110/AR110),1)</x:f>
        <x:v>0.4319842211670555</x:v>
      </x:c>
      <x:c r="AU110" s="10" t="n">
        <x:f>AB110/INDEX(v01_RepScale,G110)</x:f>
        <x:v>16.368027192988514</x:v>
      </x:c>
      <x:c r="AV110" s="32" t="n">
        <x:f>AM110*60/v01_SeasonSeconds</x:f>
        <x:v>5.18156389302268</x:v>
      </x:c>
    </x:row>
    <x:row r="111">
      <x:c r="A111" s="8" t="n">
        <x:f>A110+1</x:f>
        <x:v>108</x:v>
      </x:c>
      <x:c r="B111" s="9" t="n">
        <x:f>A111*v01_SeasonSeconds/60</x:f>
        <x:v>27</x:v>
      </x:c>
      <x:c r="C111" s="9" t="n">
        <x:f>A111/4</x:f>
        <x:v>27</x:v>
      </x:c>
      <x:c r="D111" s="8" t="n">
        <x:f>IF(MOD(A111,4)=0,1,0)</x:f>
        <x:v>1</x:v>
      </x:c>
      <x:c r="E111" s="8" t="n">
        <x:f>IF(AND(F110&lt;=9,AS110&gt;=AR110),1,0)</x:f>
        <x:v>0</x:v>
      </x:c>
      <x:c r="F111" s="8" t="n">
        <x:f>MIN(10,F110+E111)</x:f>
        <x:v>0</x:v>
      </x:c>
      <x:c r="G111" s="8" t="n">
        <x:f>MIN(F111,9)+1</x:f>
        <x:v>1</x:v>
      </x:c>
      <x:c r="H111" s="8" t="n">
        <x:f>IF(F111&lt;=9,1,0)</x:f>
        <x:v>1</x:v>
      </x:c>
      <x:c r="I111" s="9" t="n">
        <x:f>MIN(10,F110+IF(AR110&gt;0,MIN(1,AS110/AR110),1))</x:f>
        <x:v>0.4319842211670555</x:v>
      </x:c>
      <x:c r="J111" s="32" t="n">
        <x:f>INDEX(v01_FoodCap,G111)*Arch_FoodCap*EXP(v01_CapsByProject*SUMPRODUCT((Cap_Point&lt;=I111)*(Cap_Kind="Food")*Cap_Ln))</x:f>
        <x:v>22</x:v>
      </x:c>
      <x:c r="K111" s="32" t="n">
        <x:f>J111*MIN(1,v01_LeanBase*EXP(v01_CapsByProject*SUMPRODUCT((Cap_Point&lt;=I111)*(Cap_Kind="Lean")*Cap_Ln)))</x:f>
        <x:v>22</x:v>
      </x:c>
      <x:c r="L111" s="10" t="n">
        <x:f>INDEX(v01_HousingCap,G111)*EXP(v01_CapsByProject*SUMPRODUCT((Cap_Point&lt;=I111)*(Cap_Kind="Housing")*Cap_Ln))</x:f>
        <x:v>60</x:v>
      </x:c>
      <x:c r="M111" s="10" t="n">
        <x:f>INDEX(v01_GroupCap,G111)*v01_CohesionFactor*EXP(v01_CapsByProject*SUMPRODUCT((Cap_Point&lt;=I111)*(Cap_Kind="Group")*Cap_Ln))</x:f>
        <x:v>35</x:v>
      </x:c>
      <x:c r="N111" s="32" t="n">
        <x:f>MIN(J111,L111,M111)</x:f>
        <x:v>22</x:v>
      </x:c>
      <x:c r="O111" s="10" t="n">
        <x:f>AE110*N111</x:f>
        <x:v>22</x:v>
      </x:c>
      <x:c r="P111" s="9" t="n">
        <x:f>MIN(1,(AB110/(AE110*IF(v01_GroupInCrowding=1,N111,MIN(J111,L111))))^v01_CrowdingExp)</x:f>
        <x:v>0.16960628529336466</x:v>
      </x:c>
      <x:c r="Q111" s="9" t="n">
        <x:f>IF(D111=1,INDEX(v01_WinterMult,G111),1)</x:f>
        <x:v>2</x:v>
      </x:c>
      <x:c r="R111" s="9" t="n">
        <x:f>H111*Z110*v01_WomenShare*v01_BaseFertility*INDEX(v01_FertMult,G111)*Arch_Fertility*(1-P111)</x:f>
        <x:v>0.19858697961949395</x:v>
      </x:c>
      <x:c r="S111" s="9" t="n">
        <x:f>H111*Y110*INDEX(v01_MortChild,G111)/4*Q111</x:f>
        <x:v>0.12819292161558088</x:v>
      </x:c>
      <x:c r="T111" s="9" t="n">
        <x:f>H111*Z110*INDEX(v01_MortAdult,G111)*Arch_AdultMort/4*Q111</x:f>
        <x:v>0.0597869950429633</x:v>
      </x:c>
      <x:c r="U111" s="9" t="n">
        <x:f>H111*AA110*INDEX(v01_MortElder,G111)/4*Q111</x:f>
        <x:v>0.09933908865738475</x:v>
      </x:c>
      <x:c r="V111" s="9" t="n">
        <x:f>H111*MAX(0,AB110-O111)*v01_OvercapLoss</x:f>
        <x:v>0</x:v>
      </x:c>
      <x:c r="W111" s="9" t="n">
        <x:f>H111*Y110/(v01_ChildYears*4)</x:f>
        <x:v>0.11445796572819722</x:v>
      </x:c>
      <x:c r="X111" s="9" t="n">
        <x:f>H111*Z110/(v01_AdultYears*4)</x:f>
        <x:v>0.06428709144404657</x:v>
      </x:c>
      <x:c r="Y111" s="32" t="n">
        <x:f>Y110+R111-S111-W111-Y110*V111/AB110</x:f>
        <x:v>6.36558217305476</x:v>
      </x:c>
      <x:c r="Z111" s="32" t="n">
        <x:f>Z110+W111-X111-T111-Z110*V111/AB110</x:f>
        <x:v>7.961983218302961</x:v>
      </x:c>
      <x:c r="AA111" s="32" t="n">
        <x:f>AA110+X111-U111-AA110*V111/AB110</x:f>
        <x:v>1.9517297759343568</x:v>
      </x:c>
      <x:c r="AB111" s="10" t="n">
        <x:f>Y111+Z111+AA111</x:f>
        <x:v>16.279295167292076</x:v>
      </x:c>
      <x:c r="AC111" s="8" t="n">
        <x:f>IF(AND(v01_WinterTrigger=1,D111=1,AB110/AE110&gt;=K111),1,0)</x:f>
        <x:v>0</x:v>
      </x:c>
      <x:c r="AD111" s="8" t="n">
        <x:f>H111*IF(AND(OR(AB110/AE110&gt;=v01_FissionTrigger*N111,AC111=1),AB110/AE110*v01_DaughterShare&gt;=v01_MinDaughter),MAX(1,ROUND(AE110*v01_FissionRate,0)),0)</x:f>
        <x:v>0</x:v>
      </x:c>
      <x:c r="AE111" s="8" t="n">
        <x:f>IF(H111=1,MAX(1,MIN(INDEX(v01_Smax,G111),AE110+AD111)),AE110)</x:f>
        <x:v>1</x:v>
      </x:c>
      <x:c r="AF111" s="8" t="n">
        <x:f>MAX(0,AE111-AE110)</x:f>
        <x:v>0</x:v>
      </x:c>
      <x:c r="AG111" s="9" t="str">
        <x:f>IF(AF111&gt;0,B111,"")</x:f>
      </x:c>
      <x:c r="AH111" s="9" t="n">
        <x:f>IF(F111&gt;=1,1,(1+v01_LowTiesShare*(AE111-1))/AE111)</x:f>
        <x:v>1</x:v>
      </x:c>
      <x:c r="AI111" s="32" t="n">
        <x:f>(Z111+v01_ElderCommons*INDEX(LM_Elder,G111)*AA111)*AH111</x:f>
        <x:v>11.865442770171674</x:v>
      </x:c>
      <x:c r="AJ111" s="32" t="n">
        <x:f>H111*v01_CommonsCoef*AI111^v01_CommonsExp*INDEX(LM_Commons,G111)</x:f>
        <x:v>5.152155349985146</x:v>
      </x:c>
      <x:c r="AK111" s="32" t="n">
        <x:f>H111*v01_RoleScale*Arch_Roles*(AE111*(INDEX(v01_ElderRolePerSett,G111)*v01_OutElder*INDEX(LM_Elder,G111)+INDEX(v01_ShamanPerSett,G111)*v01_OutShaman)+Z111*(INDEX(v01_PriestShare,G111)*v01_OutPriest+INDEX(v01_ScribeShare,G111)*v01_OutScribe*INDEX(LM_Scribe,G111)+INDEX(v01_ScholarShare,G111)*v01_OutScholar*INDEX(LM_Scholar,G111)+INDEX(v01_ResearcherShare,G111)*v01_OutResearcher*INDEX(LM_Researcher,G111)))</x:f>
        <x:v>0</x:v>
      </x:c>
      <x:c r="AL111" s="32" t="n">
        <x:f>H111*v01_RoleScale*Arch_Roles*AE111*INDEX(v01_MonasteryPerSett,G111)*v01_OutMonastery*INDEX(LM_Monastery,G111)</x:f>
        <x:v>0</x:v>
      </x:c>
      <x:c r="AM111" s="32" t="n">
        <x:f>(AJ111+AK111+AL111)/4*INDEX(LM_All,G111)*INDEX(v01_Boon,G111)*Arch_Insight</x:f>
        <x:v>1.2880388374962866</x:v>
      </x:c>
      <x:c r="AN111" s="32" t="n">
        <x:f>H111*(v01_KHPerAdult*Z111+v01_KHOfCommons*AJ111/4*INDEX(LM_All,G111))*v01_KHUsable*Arch_KH</x:f>
        <x:v>0.27866941264060363</x:v>
      </x:c>
      <x:c r="AO111" s="32" t="n">
        <x:f>MIN(AP110+AN111,AM111*v01_KHMaxRatio)</x:f>
        <x:v>0.27866941264060363</x:v>
      </x:c>
      <x:c r="AP111" s="32" t="n">
        <x:f>AP110+AN111-AO111</x:f>
        <x:v>0</x:v>
      </x:c>
      <x:c r="AQ111" s="32" t="n">
        <x:f>AM111+AO111</x:f>
        <x:v>1.56670825013689</x:v>
      </x:c>
      <x:c r="AR111" s="10" t="n">
        <x:f>IF(H111=1,INDEX(v01_Req,G111),0)</x:f>
        <x:v>372.02</x:v>
      </x:c>
      <x:c r="AS111" s="32" t="n">
        <x:f>IF(H111=1,IF(E111=1,AS110-AR110,AS110)+AQ111,0)</x:f>
        <x:v>162.27347820870486</x:v>
      </x:c>
      <x:c r="AT111" s="11" t="n">
        <x:f>IF(AR111&gt;0,MIN(1,AS111/AR111),1)</x:f>
        <x:v>0.4361955760676976</x:v>
      </x:c>
      <x:c r="AU111" s="10" t="n">
        <x:f>AB111/INDEX(v01_RepScale,G111)</x:f>
        <x:v>16.279295167292076</x:v>
      </x:c>
      <x:c r="AV111" s="32" t="n">
        <x:f>AM111*60/v01_SeasonSeconds</x:f>
        <x:v>5.152155349985146</x:v>
      </x:c>
    </x:row>
    <x:row r="112">
      <x:c r="A112" s="8" t="n">
        <x:f>A111+1</x:f>
        <x:v>109</x:v>
      </x:c>
      <x:c r="B112" s="9" t="n">
        <x:f>A112*v01_SeasonSeconds/60</x:f>
        <x:v>27.25</x:v>
      </x:c>
      <x:c r="C112" s="9" t="n">
        <x:f>A112/4</x:f>
        <x:v>27.25</x:v>
      </x:c>
      <x:c r="D112" s="8" t="n">
        <x:f>IF(MOD(A112,4)=0,1,0)</x:f>
        <x:v>0</x:v>
      </x:c>
      <x:c r="E112" s="8" t="n">
        <x:f>IF(AND(F111&lt;=9,AS111&gt;=AR111),1,0)</x:f>
        <x:v>0</x:v>
      </x:c>
      <x:c r="F112" s="8" t="n">
        <x:f>MIN(10,F111+E112)</x:f>
        <x:v>0</x:v>
      </x:c>
      <x:c r="G112" s="8" t="n">
        <x:f>MIN(F112,9)+1</x:f>
        <x:v>1</x:v>
      </x:c>
      <x:c r="H112" s="8" t="n">
        <x:f>IF(F112&lt;=9,1,0)</x:f>
        <x:v>1</x:v>
      </x:c>
      <x:c r="I112" s="9" t="n">
        <x:f>MIN(10,F111+IF(AR111&gt;0,MIN(1,AS111/AR111),1))</x:f>
        <x:v>0.4361955760676976</x:v>
      </x:c>
      <x:c r="J112" s="32" t="n">
        <x:f>INDEX(v01_FoodCap,G112)*Arch_FoodCap*EXP(v01_CapsByProject*SUMPRODUCT((Cap_Point&lt;=I112)*(Cap_Kind="Food")*Cap_Ln))</x:f>
        <x:v>22</x:v>
      </x:c>
      <x:c r="K112" s="32" t="n">
        <x:f>J112*MIN(1,v01_LeanBase*EXP(v01_CapsByProject*SUMPRODUCT((Cap_Point&lt;=I112)*(Cap_Kind="Lean")*Cap_Ln)))</x:f>
        <x:v>22</x:v>
      </x:c>
      <x:c r="L112" s="10" t="n">
        <x:f>INDEX(v01_HousingCap,G112)*EXP(v01_CapsByProject*SUMPRODUCT((Cap_Point&lt;=I112)*(Cap_Kind="Housing")*Cap_Ln))</x:f>
        <x:v>60</x:v>
      </x:c>
      <x:c r="M112" s="10" t="n">
        <x:f>INDEX(v01_GroupCap,G112)*v01_CohesionFactor*EXP(v01_CapsByProject*SUMPRODUCT((Cap_Point&lt;=I112)*(Cap_Kind="Group")*Cap_Ln))</x:f>
        <x:v>35</x:v>
      </x:c>
      <x:c r="N112" s="32" t="n">
        <x:f>MIN(J112,L112,M112)</x:f>
        <x:v>22</x:v>
      </x:c>
      <x:c r="O112" s="10" t="n">
        <x:f>AE111*N112</x:f>
        <x:v>22</x:v>
      </x:c>
      <x:c r="P112" s="9" t="n">
        <x:f>MIN(1,(AB111/(AE111*IF(v01_GroupInCrowding=1,N112,MIN(J112,L112))))^v01_CrowdingExp)</x:f>
        <x:v>0.16416383947127336</x:v>
      </x:c>
      <x:c r="Q112" s="9" t="n">
        <x:f>IF(D112=1,INDEX(v01_WinterMult,G112),1)</x:f>
        <x:v>1</x:v>
      </x:c>
      <x:c r="R112" s="9" t="n">
        <x:f>H112*Z111*v01_WomenShare*v01_BaseFertility*INDEX(v01_FertMult,G112)*Arch_Fertility*(1-P112)</x:f>
        <x:v>0.19964740450141502</x:v>
      </x:c>
      <x:c r="S112" s="9" t="n">
        <x:f>H112*Y111*INDEX(v01_MortChild,G112)/4*Q112</x:f>
        <x:v>0.0636558217305476</x:v>
      </x:c>
      <x:c r="T112" s="9" t="n">
        <x:f>H112*Z111*INDEX(v01_MortAdult,G112)*Arch_AdultMort/4*Q112</x:f>
        <x:v>0.0298574370686361</x:v>
      </x:c>
      <x:c r="U112" s="9" t="n">
        <x:f>H112*AA111*INDEX(v01_MortElder,G112)/4*Q112</x:f>
        <x:v>0.04879324439835892</x:v>
      </x:c>
      <x:c r="V112" s="9" t="n">
        <x:f>H112*MAX(0,AB111-O112)*v01_OvercapLoss</x:f>
        <x:v>0</x:v>
      </x:c>
      <x:c r="W112" s="9" t="n">
        <x:f>H112*Y111/(v01_ChildYears*4)</x:f>
        <x:v>0.11367111023312071</x:v>
      </x:c>
      <x:c r="X112" s="9" t="n">
        <x:f>H112*Z111/(v01_AdultYears*4)</x:f>
        <x:v>0.06420954208308839</x:v>
      </x:c>
      <x:c r="Y112" s="32" t="n">
        <x:f>Y111+R112-S112-W112-Y111*V112/AB111</x:f>
        <x:v>6.387902645592507</x:v>
      </x:c>
      <x:c r="Z112" s="32" t="n">
        <x:f>Z111+W112-X112-T112-Z111*V112/AB111</x:f>
        <x:v>7.981587349384358</x:v>
      </x:c>
      <x:c r="AA112" s="32" t="n">
        <x:f>AA111+X112-U112-AA111*V112/AB111</x:f>
        <x:v>1.9671460736190862</x:v>
      </x:c>
      <x:c r="AB112" s="10" t="n">
        <x:f>Y112+Z112+AA112</x:f>
        <x:v>16.33663606859595</x:v>
      </x:c>
      <x:c r="AC112" s="8" t="n">
        <x:f>IF(AND(v01_WinterTrigger=1,D112=1,AB111/AE111&gt;=K112),1,0)</x:f>
        <x:v>0</x:v>
      </x:c>
      <x:c r="AD112" s="8" t="n">
        <x:f>H112*IF(AND(OR(AB111/AE111&gt;=v01_FissionTrigger*N112,AC112=1),AB111/AE111*v01_DaughterShare&gt;=v01_MinDaughter),MAX(1,ROUND(AE111*v01_FissionRate,0)),0)</x:f>
        <x:v>0</x:v>
      </x:c>
      <x:c r="AE112" s="8" t="n">
        <x:f>IF(H112=1,MAX(1,MIN(INDEX(v01_Smax,G112),AE111+AD112)),AE111)</x:f>
        <x:v>1</x:v>
      </x:c>
      <x:c r="AF112" s="8" t="n">
        <x:f>MAX(0,AE112-AE111)</x:f>
        <x:v>0</x:v>
      </x:c>
      <x:c r="AG112" s="9" t="str">
        <x:f>IF(AF112&gt;0,B112,"")</x:f>
      </x:c>
      <x:c r="AH112" s="9" t="n">
        <x:f>IF(F112&gt;=1,1,(1+v01_LowTiesShare*(AE112-1))/AE112)</x:f>
        <x:v>1</x:v>
      </x:c>
      <x:c r="AI112" s="32" t="n">
        <x:f>(Z112+v01_ElderCommons*INDEX(LM_Elder,G112)*AA112)*AH112</x:f>
        <x:v>11.91587949662253</x:v>
      </x:c>
      <x:c r="AJ112" s="32" t="n">
        <x:f>H112*v01_CommonsCoef*AI112^v01_CommonsExp*INDEX(LM_Commons,G112)</x:f>
        <x:v>5.17076475833487</x:v>
      </x:c>
      <x:c r="AK112" s="32" t="n">
        <x:f>H112*v01_RoleScale*Arch_Roles*(AE112*(INDEX(v01_ElderRolePerSett,G112)*v01_OutElder*INDEX(LM_Elder,G112)+INDEX(v01_ShamanPerSett,G112)*v01_OutShaman)+Z112*(INDEX(v01_PriestShare,G112)*v01_OutPriest+INDEX(v01_ScribeShare,G112)*v01_OutScribe*INDEX(LM_Scribe,G112)+INDEX(v01_ScholarShare,G112)*v01_OutScholar*INDEX(LM_Scholar,G112)+INDEX(v01_ResearcherShare,G112)*v01_OutResearcher*INDEX(LM_Researcher,G112)))</x:f>
        <x:v>0</x:v>
      </x:c>
      <x:c r="AL112" s="32" t="n">
        <x:f>H112*v01_RoleScale*Arch_Roles*AE112*INDEX(v01_MonasteryPerSett,G112)*v01_OutMonastery*INDEX(LM_Monastery,G112)</x:f>
        <x:v>0</x:v>
      </x:c>
      <x:c r="AM112" s="32" t="n">
        <x:f>(AJ112+AK112+AL112)/4*INDEX(LM_All,G112)*INDEX(v01_Boon,G112)*Arch_Insight</x:f>
        <x:v>1.2926911895837174</x:v>
      </x:c>
      <x:c r="AN112" s="32" t="n">
        <x:f>H112*(v01_KHPerAdult*Z112+v01_KHOfCommons*AJ112/4*INDEX(LM_All,G112))*v01_KHUsable*Arch_KH</x:f>
        <x:v>0.2793555572284525</x:v>
      </x:c>
      <x:c r="AO112" s="32" t="n">
        <x:f>MIN(AP111+AN112,AM112*v01_KHMaxRatio)</x:f>
        <x:v>0.2793555572284525</x:v>
      </x:c>
      <x:c r="AP112" s="32" t="n">
        <x:f>AP111+AN112-AO112</x:f>
        <x:v>0</x:v>
      </x:c>
      <x:c r="AQ112" s="32" t="n">
        <x:f>AM112+AO112</x:f>
        <x:v>1.57204674681217</x:v>
      </x:c>
      <x:c r="AR112" s="10" t="n">
        <x:f>IF(H112=1,INDEX(v01_Req,G112),0)</x:f>
        <x:v>372.02</x:v>
      </x:c>
      <x:c r="AS112" s="32" t="n">
        <x:f>IF(H112=1,IF(E112=1,AS111-AR111,AS111)+AQ112,0)</x:f>
        <x:v>163.84552495551702</x:v>
      </x:c>
      <x:c r="AT112" s="11" t="n">
        <x:f>IF(AR112&gt;0,MIN(1,AS112/AR112),1)</x:f>
        <x:v>0.44042128099434713</x:v>
      </x:c>
      <x:c r="AU112" s="10" t="n">
        <x:f>AB112/INDEX(v01_RepScale,G112)</x:f>
        <x:v>16.33663606859595</x:v>
      </x:c>
      <x:c r="AV112" s="32" t="n">
        <x:f>AM112*60/v01_SeasonSeconds</x:f>
        <x:v>5.17076475833487</x:v>
      </x:c>
    </x:row>
    <x:row r="113">
      <x:c r="A113" s="8" t="n">
        <x:f>A112+1</x:f>
        <x:v>110</x:v>
      </x:c>
      <x:c r="B113" s="9" t="n">
        <x:f>A113*v01_SeasonSeconds/60</x:f>
        <x:v>27.5</x:v>
      </x:c>
      <x:c r="C113" s="9" t="n">
        <x:f>A113/4</x:f>
        <x:v>27.5</x:v>
      </x:c>
      <x:c r="D113" s="8" t="n">
        <x:f>IF(MOD(A113,4)=0,1,0)</x:f>
        <x:v>0</x:v>
      </x:c>
      <x:c r="E113" s="8" t="n">
        <x:f>IF(AND(F112&lt;=9,AS112&gt;=AR112),1,0)</x:f>
        <x:v>0</x:v>
      </x:c>
      <x:c r="F113" s="8" t="n">
        <x:f>MIN(10,F112+E113)</x:f>
        <x:v>0</x:v>
      </x:c>
      <x:c r="G113" s="8" t="n">
        <x:f>MIN(F113,9)+1</x:f>
        <x:v>1</x:v>
      </x:c>
      <x:c r="H113" s="8" t="n">
        <x:f>IF(F113&lt;=9,1,0)</x:f>
        <x:v>1</x:v>
      </x:c>
      <x:c r="I113" s="9" t="n">
        <x:f>MIN(10,F112+IF(AR112&gt;0,MIN(1,AS112/AR112),1))</x:f>
        <x:v>0.44042128099434713</x:v>
      </x:c>
      <x:c r="J113" s="32" t="n">
        <x:f>INDEX(v01_FoodCap,G113)*Arch_FoodCap*EXP(v01_CapsByProject*SUMPRODUCT((Cap_Point&lt;=I113)*(Cap_Kind="Food")*Cap_Ln))</x:f>
        <x:v>22</x:v>
      </x:c>
      <x:c r="K113" s="32" t="n">
        <x:f>J113*MIN(1,v01_LeanBase*EXP(v01_CapsByProject*SUMPRODUCT((Cap_Point&lt;=I113)*(Cap_Kind="Lean")*Cap_Ln)))</x:f>
        <x:v>22</x:v>
      </x:c>
      <x:c r="L113" s="10" t="n">
        <x:f>INDEX(v01_HousingCap,G113)*EXP(v01_CapsByProject*SUMPRODUCT((Cap_Point&lt;=I113)*(Cap_Kind="Housing")*Cap_Ln))</x:f>
        <x:v>60</x:v>
      </x:c>
      <x:c r="M113" s="10" t="n">
        <x:f>INDEX(v01_GroupCap,G113)*v01_CohesionFactor*EXP(v01_CapsByProject*SUMPRODUCT((Cap_Point&lt;=I113)*(Cap_Kind="Group")*Cap_Ln))</x:f>
        <x:v>35</x:v>
      </x:c>
      <x:c r="N113" s="32" t="n">
        <x:f>MIN(J113,L113,M113)</x:f>
        <x:v>22</x:v>
      </x:c>
      <x:c r="O113" s="10" t="n">
        <x:f>AE112*N113</x:f>
        <x:v>22</x:v>
      </x:c>
      <x:c r="P113" s="9" t="n">
        <x:f>MIN(1,(AB112/(AE112*IF(v01_GroupInCrowding=1,N113,MIN(J113,L113))))^v01_CrowdingExp)</x:f>
        <x:v>0.16766396073226286</x:v>
      </x:c>
      <x:c r="Q113" s="9" t="n">
        <x:f>IF(D113=1,INDEX(v01_WinterMult,G113),1)</x:f>
        <x:v>1</x:v>
      </x:c>
      <x:c r="R113" s="9" t="n">
        <x:f>H113*Z112*v01_WomenShare*v01_BaseFertility*INDEX(v01_FertMult,G113)*Arch_Fertility*(1-P113)</x:f>
        <x:v>0.19930088404368157</x:v>
      </x:c>
      <x:c r="S113" s="9" t="n">
        <x:f>H113*Y112*INDEX(v01_MortChild,G113)/4*Q113</x:f>
        <x:v>0.06387902645592507</x:v>
      </x:c>
      <x:c r="T113" s="9" t="n">
        <x:f>H113*Z112*INDEX(v01_MortAdult,G113)*Arch_AdultMort/4*Q113</x:f>
        <x:v>0.02993095256019134</x:v>
      </x:c>
      <x:c r="U113" s="9" t="n">
        <x:f>H113*AA112*INDEX(v01_MortElder,G113)/4*Q113</x:f>
        <x:v>0.04917865184047716</x:v>
      </x:c>
      <x:c r="V113" s="9" t="n">
        <x:f>H113*MAX(0,AB112-O113)*v01_OvercapLoss</x:f>
        <x:v>0</x:v>
      </x:c>
      <x:c r="W113" s="9" t="n">
        <x:f>H113*Y112/(v01_ChildYears*4)</x:f>
        <x:v>0.1140696900998662</x:v>
      </x:c>
      <x:c r="X113" s="9" t="n">
        <x:f>H113*Z112/(v01_AdultYears*4)</x:f>
        <x:v>0.06436763991438998</x:v>
      </x:c>
      <x:c r="Y113" s="32" t="n">
        <x:f>Y112+R113-S113-W113-Y112*V113/AB112</x:f>
        <x:v>6.4092548130803975</x:v>
      </x:c>
      <x:c r="Z113" s="32" t="n">
        <x:f>Z112+W113-X113-T113-Z112*V113/AB112</x:f>
        <x:v>8.001358447009643</x:v>
      </x:c>
      <x:c r="AA113" s="32" t="n">
        <x:f>AA112+X113-U113-AA112*V113/AB112</x:f>
        <x:v>1.9823350616929991</x:v>
      </x:c>
      <x:c r="AB113" s="10" t="n">
        <x:f>Y113+Z113+AA113</x:f>
        <x:v>16.39294832178304</x:v>
      </x:c>
      <x:c r="AC113" s="8" t="n">
        <x:f>IF(AND(v01_WinterTrigger=1,D113=1,AB112/AE112&gt;=K113),1,0)</x:f>
        <x:v>0</x:v>
      </x:c>
      <x:c r="AD113" s="8" t="n">
        <x:f>H113*IF(AND(OR(AB112/AE112&gt;=v01_FissionTrigger*N113,AC113=1),AB112/AE112*v01_DaughterShare&gt;=v01_MinDaughter),MAX(1,ROUND(AE112*v01_FissionRate,0)),0)</x:f>
        <x:v>0</x:v>
      </x:c>
      <x:c r="AE113" s="8" t="n">
        <x:f>IF(H113=1,MAX(1,MIN(INDEX(v01_Smax,G113),AE112+AD113)),AE112)</x:f>
        <x:v>1</x:v>
      </x:c>
      <x:c r="AF113" s="8" t="n">
        <x:f>MAX(0,AE113-AE112)</x:f>
        <x:v>0</x:v>
      </x:c>
      <x:c r="AG113" s="9" t="str">
        <x:f>IF(AF113&gt;0,B113,"")</x:f>
      </x:c>
      <x:c r="AH113" s="9" t="n">
        <x:f>IF(F113&gt;=1,1,(1+v01_LowTiesShare*(AE113-1))/AE113)</x:f>
        <x:v>1</x:v>
      </x:c>
      <x:c r="AI113" s="32" t="n">
        <x:f>(Z113+v01_ElderCommons*INDEX(LM_Elder,G113)*AA113)*AH113</x:f>
        <x:v>11.966028570395641</x:v>
      </x:c>
      <x:c r="AJ113" s="32" t="n">
        <x:f>H113*v01_CommonsCoef*AI113^v01_CommonsExp*INDEX(LM_Commons,G113)</x:f>
        <x:v>5.189256321953428</x:v>
      </x:c>
      <x:c r="AK113" s="32" t="n">
        <x:f>H113*v01_RoleScale*Arch_Roles*(AE113*(INDEX(v01_ElderRolePerSett,G113)*v01_OutElder*INDEX(LM_Elder,G113)+INDEX(v01_ShamanPerSett,G113)*v01_OutShaman)+Z113*(INDEX(v01_PriestShare,G113)*v01_OutPriest+INDEX(v01_ScribeShare,G113)*v01_OutScribe*INDEX(LM_Scribe,G113)+INDEX(v01_ScholarShare,G113)*v01_OutScholar*INDEX(LM_Scholar,G113)+INDEX(v01_ResearcherShare,G113)*v01_OutResearcher*INDEX(LM_Researcher,G113)))</x:f>
        <x:v>0</x:v>
      </x:c>
      <x:c r="AL113" s="32" t="n">
        <x:f>H113*v01_RoleScale*Arch_Roles*AE113*INDEX(v01_MonasteryPerSett,G113)*v01_OutMonastery*INDEX(LM_Monastery,G113)</x:f>
        <x:v>0</x:v>
      </x:c>
      <x:c r="AM113" s="32" t="n">
        <x:f>(AJ113+AK113+AL113)/4*INDEX(LM_All,G113)*INDEX(v01_Boon,G113)*Arch_Insight</x:f>
        <x:v>1.297314080488357</x:v>
      </x:c>
      <x:c r="AN113" s="32" t="n">
        <x:f>H113*(v01_KHPerAdult*Z113+v01_KHOfCommons*AJ113/4*INDEX(LM_All,G113))*v01_KHUsable*Arch_KH</x:f>
        <x:v>0.2800475456453375</x:v>
      </x:c>
      <x:c r="AO113" s="32" t="n">
        <x:f>MIN(AP112+AN113,AM113*v01_KHMaxRatio)</x:f>
        <x:v>0.2800475456453375</x:v>
      </x:c>
      <x:c r="AP113" s="32" t="n">
        <x:f>AP112+AN113-AO113</x:f>
        <x:v>0</x:v>
      </x:c>
      <x:c r="AQ113" s="32" t="n">
        <x:f>AM113+AO113</x:f>
        <x:v>1.5773616261336945</x:v>
      </x:c>
      <x:c r="AR113" s="10" t="n">
        <x:f>IF(H113=1,INDEX(v01_Req,G113),0)</x:f>
        <x:v>372.02</x:v>
      </x:c>
      <x:c r="AS113" s="32" t="n">
        <x:f>IF(H113=1,IF(E113=1,AS112-AR112,AS112)+AQ113,0)</x:f>
        <x:v>165.42288658165072</x:v>
      </x:c>
      <x:c r="AT113" s="11" t="n">
        <x:f>IF(AR113&gt;0,MIN(1,AS113/AR113),1)</x:f>
        <x:v>0.44466127246290715</x:v>
      </x:c>
      <x:c r="AU113" s="10" t="n">
        <x:f>AB113/INDEX(v01_RepScale,G113)</x:f>
        <x:v>16.39294832178304</x:v>
      </x:c>
      <x:c r="AV113" s="32" t="n">
        <x:f>AM113*60/v01_SeasonSeconds</x:f>
        <x:v>5.189256321953428</x:v>
      </x:c>
    </x:row>
    <x:row r="114">
      <x:c r="A114" s="8" t="n">
        <x:f>A113+1</x:f>
        <x:v>111</x:v>
      </x:c>
      <x:c r="B114" s="9" t="n">
        <x:f>A114*v01_SeasonSeconds/60</x:f>
        <x:v>27.75</x:v>
      </x:c>
      <x:c r="C114" s="9" t="n">
        <x:f>A114/4</x:f>
        <x:v>27.75</x:v>
      </x:c>
      <x:c r="D114" s="8" t="n">
        <x:f>IF(MOD(A114,4)=0,1,0)</x:f>
        <x:v>0</x:v>
      </x:c>
      <x:c r="E114" s="8" t="n">
        <x:f>IF(AND(F113&lt;=9,AS113&gt;=AR113),1,0)</x:f>
        <x:v>0</x:v>
      </x:c>
      <x:c r="F114" s="8" t="n">
        <x:f>MIN(10,F113+E114)</x:f>
        <x:v>0</x:v>
      </x:c>
      <x:c r="G114" s="8" t="n">
        <x:f>MIN(F114,9)+1</x:f>
        <x:v>1</x:v>
      </x:c>
      <x:c r="H114" s="8" t="n">
        <x:f>IF(F114&lt;=9,1,0)</x:f>
        <x:v>1</x:v>
      </x:c>
      <x:c r="I114" s="9" t="n">
        <x:f>MIN(10,F113+IF(AR113&gt;0,MIN(1,AS113/AR113),1))</x:f>
        <x:v>0.44466127246290715</x:v>
      </x:c>
      <x:c r="J114" s="32" t="n">
        <x:f>INDEX(v01_FoodCap,G114)*Arch_FoodCap*EXP(v01_CapsByProject*SUMPRODUCT((Cap_Point&lt;=I114)*(Cap_Kind="Food")*Cap_Ln))</x:f>
        <x:v>22</x:v>
      </x:c>
      <x:c r="K114" s="32" t="n">
        <x:f>J114*MIN(1,v01_LeanBase*EXP(v01_CapsByProject*SUMPRODUCT((Cap_Point&lt;=I114)*(Cap_Kind="Lean")*Cap_Ln)))</x:f>
        <x:v>22</x:v>
      </x:c>
      <x:c r="L114" s="10" t="n">
        <x:f>INDEX(v01_HousingCap,G114)*EXP(v01_CapsByProject*SUMPRODUCT((Cap_Point&lt;=I114)*(Cap_Kind="Housing")*Cap_Ln))</x:f>
        <x:v>60</x:v>
      </x:c>
      <x:c r="M114" s="10" t="n">
        <x:f>INDEX(v01_GroupCap,G114)*v01_CohesionFactor*EXP(v01_CapsByProject*SUMPRODUCT((Cap_Point&lt;=I114)*(Cap_Kind="Group")*Cap_Ln))</x:f>
        <x:v>35</x:v>
      </x:c>
      <x:c r="N114" s="32" t="n">
        <x:f>MIN(J114,L114,M114)</x:f>
        <x:v>22</x:v>
      </x:c>
      <x:c r="O114" s="10" t="n">
        <x:f>AE113*N114</x:f>
        <x:v>22</x:v>
      </x:c>
      <x:c r="P114" s="9" t="n">
        <x:f>MIN(1,(AB113/(AE113*IF(v01_GroupInCrowding=1,N114,MIN(J114,L114))))^v01_CrowdingExp)</x:f>
        <x:v>0.17116159850179083</x:v>
      </x:c>
      <x:c r="Q114" s="9" t="n">
        <x:f>IF(D114=1,INDEX(v01_WinterMult,G114),1)</x:f>
        <x:v>1</x:v>
      </x:c>
      <x:c r="R114" s="9" t="n">
        <x:f>H114*Z113*v01_WomenShare*v01_BaseFertility*INDEX(v01_FertMult,G114)*Arch_Fertility*(1-P114)</x:f>
        <x:v>0.19895499435101</x:v>
      </x:c>
      <x:c r="S114" s="9" t="n">
        <x:f>H114*Y113*INDEX(v01_MortChild,G114)/4*Q114</x:f>
        <x:v>0.06409254813080398</x:v>
      </x:c>
      <x:c r="T114" s="9" t="n">
        <x:f>H114*Z113*INDEX(v01_MortAdult,G114)*Arch_AdultMort/4*Q114</x:f>
        <x:v>0.030005094176286162</x:v>
      </x:c>
      <x:c r="U114" s="9" t="n">
        <x:f>H114*AA113*INDEX(v01_MortElder,G114)/4*Q114</x:f>
        <x:v>0.04955837654232498</x:v>
      </x:c>
      <x:c r="V114" s="9" t="n">
        <x:f>H114*MAX(0,AB113-O114)*v01_OvercapLoss</x:f>
        <x:v>0</x:v>
      </x:c>
      <x:c r="W114" s="9" t="n">
        <x:f>H114*Y113/(v01_ChildYears*4)</x:f>
        <x:v>0.1144509788050071</x:v>
      </x:c>
      <x:c r="X114" s="9" t="n">
        <x:f>H114*Z113/(v01_AdultYears*4)</x:f>
        <x:v>0.06452708425007776</x:v>
      </x:c>
      <x:c r="Y114" s="32" t="n">
        <x:f>Y113+R114-S114-W114-Y113*V114/AB113</x:f>
        <x:v>6.429666280495596</x:v>
      </x:c>
      <x:c r="Z114" s="32" t="n">
        <x:f>Z113+W114-X114-T114-Z113*V114/AB113</x:f>
        <x:v>8.021277247388287</x:v>
      </x:c>
      <x:c r="AA114" s="32" t="n">
        <x:f>AA113+X114-U114-AA113*V114/AB113</x:f>
        <x:v>1.9973037694007516</x:v>
      </x:c>
      <x:c r="AB114" s="10" t="n">
        <x:f>Y114+Z114+AA114</x:f>
        <x:v>16.448247297284635</x:v>
      </x:c>
      <x:c r="AC114" s="8" t="n">
        <x:f>IF(AND(v01_WinterTrigger=1,D114=1,AB113/AE113&gt;=K114),1,0)</x:f>
        <x:v>0</x:v>
      </x:c>
      <x:c r="AD114" s="8" t="n">
        <x:f>H114*IF(AND(OR(AB113/AE113&gt;=v01_FissionTrigger*N114,AC114=1),AB113/AE113*v01_DaughterShare&gt;=v01_MinDaughter),MAX(1,ROUND(AE113*v01_FissionRate,0)),0)</x:f>
        <x:v>0</x:v>
      </x:c>
      <x:c r="AE114" s="8" t="n">
        <x:f>IF(H114=1,MAX(1,MIN(INDEX(v01_Smax,G114),AE113+AD114)),AE113)</x:f>
        <x:v>1</x:v>
      </x:c>
      <x:c r="AF114" s="8" t="n">
        <x:f>MAX(0,AE114-AE113)</x:f>
        <x:v>0</x:v>
      </x:c>
      <x:c r="AG114" s="9" t="str">
        <x:f>IF(AF114&gt;0,B114,"")</x:f>
      </x:c>
      <x:c r="AH114" s="9" t="n">
        <x:f>IF(F114&gt;=1,1,(1+v01_LowTiesShare*(AE114-1))/AE114)</x:f>
        <x:v>1</x:v>
      </x:c>
      <x:c r="AI114" s="32" t="n">
        <x:f>(Z114+v01_ElderCommons*INDEX(LM_Elder,G114)*AA114)*AH114</x:f>
        <x:v>12.01588478618979</x:v>
      </x:c>
      <x:c r="AJ114" s="32" t="n">
        <x:f>H114*v01_CommonsCoef*AI114^v01_CommonsExp*INDEX(LM_Commons,G114)</x:f>
        <x:v>5.207628380003259</x:v>
      </x:c>
      <x:c r="AK114" s="32" t="n">
        <x:f>H114*v01_RoleScale*Arch_Roles*(AE114*(INDEX(v01_ElderRolePerSett,G114)*v01_OutElder*INDEX(LM_Elder,G114)+INDEX(v01_ShamanPerSett,G114)*v01_OutShaman)+Z114*(INDEX(v01_PriestShare,G114)*v01_OutPriest+INDEX(v01_ScribeShare,G114)*v01_OutScribe*INDEX(LM_Scribe,G114)+INDEX(v01_ScholarShare,G114)*v01_OutScholar*INDEX(LM_Scholar,G114)+INDEX(v01_ResearcherShare,G114)*v01_OutResearcher*INDEX(LM_Researcher,G114)))</x:f>
        <x:v>0</x:v>
      </x:c>
      <x:c r="AL114" s="32" t="n">
        <x:f>H114*v01_RoleScale*Arch_Roles*AE114*INDEX(v01_MonasteryPerSett,G114)*v01_OutMonastery*INDEX(LM_Monastery,G114)</x:f>
        <x:v>0</x:v>
      </x:c>
      <x:c r="AM114" s="32" t="n">
        <x:f>(AJ114+AK114+AL114)/4*INDEX(LM_All,G114)*INDEX(v01_Boon,G114)*Arch_Insight</x:f>
        <x:v>1.3019070950008147</x:v>
      </x:c>
      <x:c r="AN114" s="32" t="n">
        <x:f>H114*(v01_KHPerAdult*Z114+v01_KHOfCommons*AJ114/4*INDEX(LM_All,G114))*v01_KHUsable*Arch_KH</x:f>
        <x:v>0.28074470365859006</x:v>
      </x:c>
      <x:c r="AO114" s="32" t="n">
        <x:f>MIN(AP113+AN114,AM114*v01_KHMaxRatio)</x:f>
        <x:v>0.28074470365859006</x:v>
      </x:c>
      <x:c r="AP114" s="32" t="n">
        <x:f>AP113+AN114-AO114</x:f>
        <x:v>0</x:v>
      </x:c>
      <x:c r="AQ114" s="32" t="n">
        <x:f>AM114+AO114</x:f>
        <x:v>1.5826517986594046</x:v>
      </x:c>
      <x:c r="AR114" s="10" t="n">
        <x:f>IF(H114=1,INDEX(v01_Req,G114),0)</x:f>
        <x:v>372.02</x:v>
      </x:c>
      <x:c r="AS114" s="32" t="n">
        <x:f>IF(H114=1,IF(E114=1,AS113-AR113,AS113)+AQ114,0)</x:f>
        <x:v>167.00553838031013</x:v>
      </x:c>
      <x:c r="AT114" s="11" t="n">
        <x:f>IF(AR114&gt;0,MIN(1,AS114/AR114),1)</x:f>
        <x:v>0.4489154840608304</x:v>
      </x:c>
      <x:c r="AU114" s="10" t="n">
        <x:f>AB114/INDEX(v01_RepScale,G114)</x:f>
        <x:v>16.448247297284635</x:v>
      </x:c>
      <x:c r="AV114" s="32" t="n">
        <x:f>AM114*60/v01_SeasonSeconds</x:f>
        <x:v>5.207628380003259</x:v>
      </x:c>
    </x:row>
    <x:row r="115">
      <x:c r="A115" s="8" t="n">
        <x:f>A114+1</x:f>
        <x:v>112</x:v>
      </x:c>
      <x:c r="B115" s="9" t="n">
        <x:f>A115*v01_SeasonSeconds/60</x:f>
        <x:v>28</x:v>
      </x:c>
      <x:c r="C115" s="9" t="n">
        <x:f>A115/4</x:f>
        <x:v>28</x:v>
      </x:c>
      <x:c r="D115" s="8" t="n">
        <x:f>IF(MOD(A115,4)=0,1,0)</x:f>
        <x:v>1</x:v>
      </x:c>
      <x:c r="E115" s="8" t="n">
        <x:f>IF(AND(F114&lt;=9,AS114&gt;=AR114),1,0)</x:f>
        <x:v>0</x:v>
      </x:c>
      <x:c r="F115" s="8" t="n">
        <x:f>MIN(10,F114+E115)</x:f>
        <x:v>0</x:v>
      </x:c>
      <x:c r="G115" s="8" t="n">
        <x:f>MIN(F115,9)+1</x:f>
        <x:v>1</x:v>
      </x:c>
      <x:c r="H115" s="8" t="n">
        <x:f>IF(F115&lt;=9,1,0)</x:f>
        <x:v>1</x:v>
      </x:c>
      <x:c r="I115" s="9" t="n">
        <x:f>MIN(10,F114+IF(AR114&gt;0,MIN(1,AS114/AR114),1))</x:f>
        <x:v>0.4489154840608304</x:v>
      </x:c>
      <x:c r="J115" s="32" t="n">
        <x:f>INDEX(v01_FoodCap,G115)*Arch_FoodCap*EXP(v01_CapsByProject*SUMPRODUCT((Cap_Point&lt;=I115)*(Cap_Kind="Food")*Cap_Ln))</x:f>
        <x:v>22</x:v>
      </x:c>
      <x:c r="K115" s="32" t="n">
        <x:f>J115*MIN(1,v01_LeanBase*EXP(v01_CapsByProject*SUMPRODUCT((Cap_Point&lt;=I115)*(Cap_Kind="Lean")*Cap_Ln)))</x:f>
        <x:v>22</x:v>
      </x:c>
      <x:c r="L115" s="10" t="n">
        <x:f>INDEX(v01_HousingCap,G115)*EXP(v01_CapsByProject*SUMPRODUCT((Cap_Point&lt;=I115)*(Cap_Kind="Housing")*Cap_Ln))</x:f>
        <x:v>60</x:v>
      </x:c>
      <x:c r="M115" s="10" t="n">
        <x:f>INDEX(v01_GroupCap,G115)*v01_CohesionFactor*EXP(v01_CapsByProject*SUMPRODUCT((Cap_Point&lt;=I115)*(Cap_Kind="Group")*Cap_Ln))</x:f>
        <x:v>35</x:v>
      </x:c>
      <x:c r="N115" s="32" t="n">
        <x:f>MIN(J115,L115,M115)</x:f>
        <x:v>22</x:v>
      </x:c>
      <x:c r="O115" s="10" t="n">
        <x:f>AE114*N115</x:f>
        <x:v>22</x:v>
      </x:c>
      <x:c r="P115" s="9" t="n">
        <x:f>MIN(1,(AB114/(AE114*IF(v01_GroupInCrowding=1,N115,MIN(J115,L115))))^v01_CrowdingExp)</x:f>
        <x:v>0.1746552628292454</x:v>
      </x:c>
      <x:c r="Q115" s="9" t="n">
        <x:f>IF(D115=1,INDEX(v01_WinterMult,G115),1)</x:f>
        <x:v>2</x:v>
      </x:c>
      <x:c r="R115" s="9" t="n">
        <x:f>H115*Z114*v01_WomenShare*v01_BaseFertility*INDEX(v01_FertMult,G115)*Arch_Fertility*(1-P115)</x:f>
        <x:v>0.19860956884558317</x:v>
      </x:c>
      <x:c r="S115" s="9" t="n">
        <x:f>H115*Y114*INDEX(v01_MortChild,G115)/4*Q115</x:f>
        <x:v>0.1285933256099119</x:v>
      </x:c>
      <x:c r="T115" s="9" t="n">
        <x:f>H115*Z114*INDEX(v01_MortAdult,G115)*Arch_AdultMort/4*Q115</x:f>
        <x:v>0.06015957935541215</x:v>
      </x:c>
      <x:c r="U115" s="9" t="n">
        <x:f>H115*AA114*INDEX(v01_MortElder,G115)/4*Q115</x:f>
        <x:v>0.09986518847003759</x:v>
      </x:c>
      <x:c r="V115" s="9" t="n">
        <x:f>H115*MAX(0,AB114-O115)*v01_OvercapLoss</x:f>
        <x:v>0</x:v>
      </x:c>
      <x:c r="W115" s="9" t="n">
        <x:f>H115*Y114/(v01_ChildYears*4)</x:f>
        <x:v>0.11481546929456421</x:v>
      </x:c>
      <x:c r="X115" s="9" t="n">
        <x:f>H115*Z114/(v01_AdultYears*4)</x:f>
        <x:v>0.06468771973700231</x:v>
      </x:c>
      <x:c r="Y115" s="32" t="n">
        <x:f>Y114+R115-S115-W115-Y114*V115/AB114</x:f>
        <x:v>6.384867054436703</x:v>
      </x:c>
      <x:c r="Z115" s="32" t="n">
        <x:f>Z114+W115-X115-T115-Z114*V115/AB114</x:f>
        <x:v>8.011245417590438</x:v>
      </x:c>
      <x:c r="AA115" s="32" t="n">
        <x:f>AA114+X115-U115-AA114*V115/AB114</x:f>
        <x:v>1.962126300667716</x:v>
      </x:c>
      <x:c r="AB115" s="10" t="n">
        <x:f>Y115+Z115+AA115</x:f>
        <x:v>16.358238772694857</x:v>
      </x:c>
      <x:c r="AC115" s="8" t="n">
        <x:f>IF(AND(v01_WinterTrigger=1,D115=1,AB114/AE114&gt;=K115),1,0)</x:f>
        <x:v>0</x:v>
      </x:c>
      <x:c r="AD115" s="8" t="n">
        <x:f>H115*IF(AND(OR(AB114/AE114&gt;=v01_FissionTrigger*N115,AC115=1),AB114/AE114*v01_DaughterShare&gt;=v01_MinDaughter),MAX(1,ROUND(AE114*v01_FissionRate,0)),0)</x:f>
        <x:v>0</x:v>
      </x:c>
      <x:c r="AE115" s="8" t="n">
        <x:f>IF(H115=1,MAX(1,MIN(INDEX(v01_Smax,G115),AE114+AD115)),AE114)</x:f>
        <x:v>1</x:v>
      </x:c>
      <x:c r="AF115" s="8" t="n">
        <x:f>MAX(0,AE115-AE114)</x:f>
        <x:v>0</x:v>
      </x:c>
      <x:c r="AG115" s="9" t="str">
        <x:f>IF(AF115&gt;0,B115,"")</x:f>
      </x:c>
      <x:c r="AH115" s="9" t="n">
        <x:f>IF(F115&gt;=1,1,(1+v01_LowTiesShare*(AE115-1))/AE115)</x:f>
        <x:v>1</x:v>
      </x:c>
      <x:c r="AI115" s="32" t="n">
        <x:f>(Z115+v01_ElderCommons*INDEX(LM_Elder,G115)*AA115)*AH115</x:f>
        <x:v>11.93549801892587</x:v>
      </x:c>
      <x:c r="AJ115" s="32" t="n">
        <x:f>H115*v01_CommonsCoef*AI115^v01_CommonsExp*INDEX(LM_Commons,G115)</x:f>
        <x:v>5.178000120908524</x:v>
      </x:c>
      <x:c r="AK115" s="32" t="n">
        <x:f>H115*v01_RoleScale*Arch_Roles*(AE115*(INDEX(v01_ElderRolePerSett,G115)*v01_OutElder*INDEX(LM_Elder,G115)+INDEX(v01_ShamanPerSett,G115)*v01_OutShaman)+Z115*(INDEX(v01_PriestShare,G115)*v01_OutPriest+INDEX(v01_ScribeShare,G115)*v01_OutScribe*INDEX(LM_Scribe,G115)+INDEX(v01_ScholarShare,G115)*v01_OutScholar*INDEX(LM_Scholar,G115)+INDEX(v01_ResearcherShare,G115)*v01_OutResearcher*INDEX(LM_Researcher,G115)))</x:f>
        <x:v>0</x:v>
      </x:c>
      <x:c r="AL115" s="32" t="n">
        <x:f>H115*v01_RoleScale*Arch_Roles*AE115*INDEX(v01_MonasteryPerSett,G115)*v01_OutMonastery*INDEX(LM_Monastery,G115)</x:f>
        <x:v>0</x:v>
      </x:c>
      <x:c r="AM115" s="32" t="n">
        <x:f>(AJ115+AK115+AL115)/4*INDEX(LM_All,G115)*INDEX(v01_Boon,G115)*Arch_Insight</x:f>
        <x:v>1.294500030227131</x:v>
      </x:c>
      <x:c r="AN115" s="32" t="n">
        <x:f>H115*(v01_KHPerAdult*Z115+v01_KHOfCommons*AJ115/4*INDEX(LM_All,G115))*v01_KHUsable*Arch_KH</x:f>
        <x:v>0.2803935896156653</x:v>
      </x:c>
      <x:c r="AO115" s="32" t="n">
        <x:f>MIN(AP114+AN115,AM115*v01_KHMaxRatio)</x:f>
        <x:v>0.2803935896156653</x:v>
      </x:c>
      <x:c r="AP115" s="32" t="n">
        <x:f>AP114+AN115-AO115</x:f>
        <x:v>0</x:v>
      </x:c>
      <x:c r="AQ115" s="32" t="n">
        <x:f>AM115+AO115</x:f>
        <x:v>1.5748936198427963</x:v>
      </x:c>
      <x:c r="AR115" s="10" t="n">
        <x:f>IF(H115=1,INDEX(v01_Req,G115),0)</x:f>
        <x:v>372.02</x:v>
      </x:c>
      <x:c r="AS115" s="32" t="n">
        <x:f>IF(H115=1,IF(E115=1,AS114-AR114,AS114)+AQ115,0)</x:f>
        <x:v>168.5804320001529</x:v>
      </x:c>
      <x:c r="AT115" s="11" t="n">
        <x:f>IF(AR115&gt;0,MIN(1,AS115/AR115),1)</x:f>
        <x:v>0.4531488414605476</x:v>
      </x:c>
      <x:c r="AU115" s="10" t="n">
        <x:f>AB115/INDEX(v01_RepScale,G115)</x:f>
        <x:v>16.358238772694857</x:v>
      </x:c>
      <x:c r="AV115" s="32" t="n">
        <x:f>AM115*60/v01_SeasonSeconds</x:f>
        <x:v>5.178000120908524</x:v>
      </x:c>
    </x:row>
    <x:row r="116">
      <x:c r="A116" s="8" t="n">
        <x:f>A115+1</x:f>
        <x:v>113</x:v>
      </x:c>
      <x:c r="B116" s="9" t="n">
        <x:f>A116*v01_SeasonSeconds/60</x:f>
        <x:v>28.25</x:v>
      </x:c>
      <x:c r="C116" s="9" t="n">
        <x:f>A116/4</x:f>
        <x:v>28.25</x:v>
      </x:c>
      <x:c r="D116" s="8" t="n">
        <x:f>IF(MOD(A116,4)=0,1,0)</x:f>
        <x:v>0</x:v>
      </x:c>
      <x:c r="E116" s="8" t="n">
        <x:f>IF(AND(F115&lt;=9,AS115&gt;=AR115),1,0)</x:f>
        <x:v>0</x:v>
      </x:c>
      <x:c r="F116" s="8" t="n">
        <x:f>MIN(10,F115+E116)</x:f>
        <x:v>0</x:v>
      </x:c>
      <x:c r="G116" s="8" t="n">
        <x:f>MIN(F116,9)+1</x:f>
        <x:v>1</x:v>
      </x:c>
      <x:c r="H116" s="8" t="n">
        <x:f>IF(F116&lt;=9,1,0)</x:f>
        <x:v>1</x:v>
      </x:c>
      <x:c r="I116" s="9" t="n">
        <x:f>MIN(10,F115+IF(AR115&gt;0,MIN(1,AS115/AR115),1))</x:f>
        <x:v>0.4531488414605476</x:v>
      </x:c>
      <x:c r="J116" s="32" t="n">
        <x:f>INDEX(v01_FoodCap,G116)*Arch_FoodCap*EXP(v01_CapsByProject*SUMPRODUCT((Cap_Point&lt;=I116)*(Cap_Kind="Food")*Cap_Ln))</x:f>
        <x:v>22</x:v>
      </x:c>
      <x:c r="K116" s="32" t="n">
        <x:f>J116*MIN(1,v01_LeanBase*EXP(v01_CapsByProject*SUMPRODUCT((Cap_Point&lt;=I116)*(Cap_Kind="Lean")*Cap_Ln)))</x:f>
        <x:v>22</x:v>
      </x:c>
      <x:c r="L116" s="10" t="n">
        <x:f>INDEX(v01_HousingCap,G116)*EXP(v01_CapsByProject*SUMPRODUCT((Cap_Point&lt;=I116)*(Cap_Kind="Housing")*Cap_Ln))</x:f>
        <x:v>60</x:v>
      </x:c>
      <x:c r="M116" s="10" t="n">
        <x:f>INDEX(v01_GroupCap,G116)*v01_CohesionFactor*EXP(v01_CapsByProject*SUMPRODUCT((Cap_Point&lt;=I116)*(Cap_Kind="Group")*Cap_Ln))</x:f>
        <x:v>35</x:v>
      </x:c>
      <x:c r="N116" s="32" t="n">
        <x:f>MIN(J116,L116,M116)</x:f>
        <x:v>22</x:v>
      </x:c>
      <x:c r="O116" s="10" t="n">
        <x:f>AE115*N116</x:f>
        <x:v>22</x:v>
      </x:c>
      <x:c r="P116" s="9" t="n">
        <x:f>MIN(1,(AB115/(AE115*IF(v01_GroupInCrowding=1,N116,MIN(J116,L116))))^v01_CrowdingExp)</x:f>
        <x:v>0.16899862591750422</x:v>
      </x:c>
      <x:c r="Q116" s="9" t="n">
        <x:f>IF(D116=1,INDEX(v01_WinterMult,G116),1)</x:f>
        <x:v>1</x:v>
      </x:c>
      <x:c r="R116" s="9" t="n">
        <x:f>H116*Z115*v01_WomenShare*v01_BaseFertility*INDEX(v01_FertMult,G116)*Arch_Fertility*(1-P116)</x:f>
        <x:v>0.19972067850389252</x:v>
      </x:c>
      <x:c r="S116" s="9" t="n">
        <x:f>H116*Y115*INDEX(v01_MortChild,G116)/4*Q116</x:f>
        <x:v>0.06384867054436703</x:v>
      </x:c>
      <x:c r="T116" s="9" t="n">
        <x:f>H116*Z115*INDEX(v01_MortAdult,G116)*Arch_AdultMort/4*Q116</x:f>
        <x:v>0.03004217031596414</x:v>
      </x:c>
      <x:c r="U116" s="9" t="n">
        <x:f>H116*AA115*INDEX(v01_MortElder,G116)/4*Q116</x:f>
        <x:v>0.049053157516692904</x:v>
      </x:c>
      <x:c r="V116" s="9" t="n">
        <x:f>H116*MAX(0,AB115-O116)*v01_OvercapLoss</x:f>
        <x:v>0</x:v>
      </x:c>
      <x:c r="W116" s="9" t="n">
        <x:f>H116*Y115/(v01_ChildYears*4)</x:f>
        <x:v>0.11401548311494113</x:v>
      </x:c>
      <x:c r="X116" s="9" t="n">
        <x:f>H116*Z115/(v01_AdultYears*4)</x:f>
        <x:v>0.06460681788379385</x:v>
      </x:c>
      <x:c r="Y116" s="32" t="n">
        <x:f>Y115+R116-S116-W116-Y115*V116/AB115</x:f>
        <x:v>6.406723579281287</x:v>
      </x:c>
      <x:c r="Z116" s="32" t="n">
        <x:f>Z115+W116-X116-T116-Z115*V116/AB115</x:f>
        <x:v>8.03061191250562</x:v>
      </x:c>
      <x:c r="AA116" s="32" t="n">
        <x:f>AA115+X116-U116-AA115*V116/AB115</x:f>
        <x:v>1.9776799610348172</x:v>
      </x:c>
      <x:c r="AB116" s="10" t="n">
        <x:f>Y116+Z116+AA116</x:f>
        <x:v>16.415015452821724</x:v>
      </x:c>
      <x:c r="AC116" s="8" t="n">
        <x:f>IF(AND(v01_WinterTrigger=1,D116=1,AB115/AE115&gt;=K116),1,0)</x:f>
        <x:v>0</x:v>
      </x:c>
      <x:c r="AD116" s="8" t="n">
        <x:f>H116*IF(AND(OR(AB115/AE115&gt;=v01_FissionTrigger*N116,AC116=1),AB115/AE115*v01_DaughterShare&gt;=v01_MinDaughter),MAX(1,ROUND(AE115*v01_FissionRate,0)),0)</x:f>
        <x:v>0</x:v>
      </x:c>
      <x:c r="AE116" s="8" t="n">
        <x:f>IF(H116=1,MAX(1,MIN(INDEX(v01_Smax,G116),AE115+AD116)),AE115)</x:f>
        <x:v>1</x:v>
      </x:c>
      <x:c r="AF116" s="8" t="n">
        <x:f>MAX(0,AE116-AE115)</x:f>
        <x:v>0</x:v>
      </x:c>
      <x:c r="AG116" s="9" t="str">
        <x:f>IF(AF116&gt;0,B116,"")</x:f>
      </x:c>
      <x:c r="AH116" s="9" t="n">
        <x:f>IF(F116&gt;=1,1,(1+v01_LowTiesShare*(AE116-1))/AE116)</x:f>
        <x:v>1</x:v>
      </x:c>
      <x:c r="AI116" s="32" t="n">
        <x:f>(Z116+v01_ElderCommons*INDEX(LM_Elder,G116)*AA116)*AH116</x:f>
        <x:v>11.985971834575254</x:v>
      </x:c>
      <x:c r="AJ116" s="32" t="n">
        <x:f>H116*v01_CommonsCoef*AI116^v01_CommonsExp*INDEX(LM_Commons,G116)</x:f>
        <x:v>5.196606807032382</x:v>
      </x:c>
      <x:c r="AK116" s="32" t="n">
        <x:f>H116*v01_RoleScale*Arch_Roles*(AE116*(INDEX(v01_ElderRolePerSett,G116)*v01_OutElder*INDEX(LM_Elder,G116)+INDEX(v01_ShamanPerSett,G116)*v01_OutShaman)+Z116*(INDEX(v01_PriestShare,G116)*v01_OutPriest+INDEX(v01_ScribeShare,G116)*v01_OutScribe*INDEX(LM_Scribe,G116)+INDEX(v01_ScholarShare,G116)*v01_OutScholar*INDEX(LM_Scholar,G116)+INDEX(v01_ResearcherShare,G116)*v01_OutResearcher*INDEX(LM_Researcher,G116)))</x:f>
        <x:v>0</x:v>
      </x:c>
      <x:c r="AL116" s="32" t="n">
        <x:f>H116*v01_RoleScale*Arch_Roles*AE116*INDEX(v01_MonasteryPerSett,G116)*v01_OutMonastery*INDEX(LM_Monastery,G116)</x:f>
        <x:v>0</x:v>
      </x:c>
      <x:c r="AM116" s="32" t="n">
        <x:f>(AJ116+AK116+AL116)/4*INDEX(LM_All,G116)*INDEX(v01_Boon,G116)*Arch_Insight</x:f>
        <x:v>1.2991517017580956</x:v>
      </x:c>
      <x:c r="AN116" s="32" t="n">
        <x:f>H116*(v01_KHPerAdult*Z116+v01_KHOfCommons*AJ116/4*INDEX(LM_All,G116))*v01_KHUsable*Arch_KH</x:f>
        <x:v>0.2810714169376967</x:v>
      </x:c>
      <x:c r="AO116" s="32" t="n">
        <x:f>MIN(AP115+AN116,AM116*v01_KHMaxRatio)</x:f>
        <x:v>0.2810714169376967</x:v>
      </x:c>
      <x:c r="AP116" s="32" t="n">
        <x:f>AP115+AN116-AO116</x:f>
        <x:v>0</x:v>
      </x:c>
      <x:c r="AQ116" s="32" t="n">
        <x:f>AM116+AO116</x:f>
        <x:v>1.5802231186957922</x:v>
      </x:c>
      <x:c r="AR116" s="10" t="n">
        <x:f>IF(H116=1,INDEX(v01_Req,G116),0)</x:f>
        <x:v>372.02</x:v>
      </x:c>
      <x:c r="AS116" s="32" t="n">
        <x:f>IF(H116=1,IF(E116=1,AS115-AR115,AS115)+AQ116,0)</x:f>
        <x:v>170.1606551188487</x:v>
      </x:c>
      <x:c r="AT116" s="11" t="n">
        <x:f>IF(AR116&gt;0,MIN(1,AS116/AR116),1)</x:f>
        <x:v>0.45739652469987824</x:v>
      </x:c>
      <x:c r="AU116" s="10" t="n">
        <x:f>AB116/INDEX(v01_RepScale,G116)</x:f>
        <x:v>16.415015452821724</x:v>
      </x:c>
      <x:c r="AV116" s="32" t="n">
        <x:f>AM116*60/v01_SeasonSeconds</x:f>
        <x:v>5.196606807032382</x:v>
      </x:c>
    </x:row>
    <x:row r="117">
      <x:c r="A117" s="8" t="n">
        <x:f>A116+1</x:f>
        <x:v>114</x:v>
      </x:c>
      <x:c r="B117" s="9" t="n">
        <x:f>A117*v01_SeasonSeconds/60</x:f>
        <x:v>28.5</x:v>
      </x:c>
      <x:c r="C117" s="9" t="n">
        <x:f>A117/4</x:f>
        <x:v>28.5</x:v>
      </x:c>
      <x:c r="D117" s="8" t="n">
        <x:f>IF(MOD(A117,4)=0,1,0)</x:f>
        <x:v>0</x:v>
      </x:c>
      <x:c r="E117" s="8" t="n">
        <x:f>IF(AND(F116&lt;=9,AS116&gt;=AR116),1,0)</x:f>
        <x:v>0</x:v>
      </x:c>
      <x:c r="F117" s="8" t="n">
        <x:f>MIN(10,F116+E117)</x:f>
        <x:v>0</x:v>
      </x:c>
      <x:c r="G117" s="8" t="n">
        <x:f>MIN(F117,9)+1</x:f>
        <x:v>1</x:v>
      </x:c>
      <x:c r="H117" s="8" t="n">
        <x:f>IF(F117&lt;=9,1,0)</x:f>
        <x:v>1</x:v>
      </x:c>
      <x:c r="I117" s="9" t="n">
        <x:f>MIN(10,F116+IF(AR116&gt;0,MIN(1,AS116/AR116),1))</x:f>
        <x:v>0.45739652469987824</x:v>
      </x:c>
      <x:c r="J117" s="32" t="n">
        <x:f>INDEX(v01_FoodCap,G117)*Arch_FoodCap*EXP(v01_CapsByProject*SUMPRODUCT((Cap_Point&lt;=I117)*(Cap_Kind="Food")*Cap_Ln))</x:f>
        <x:v>22</x:v>
      </x:c>
      <x:c r="K117" s="32" t="n">
        <x:f>J117*MIN(1,v01_LeanBase*EXP(v01_CapsByProject*SUMPRODUCT((Cap_Point&lt;=I117)*(Cap_Kind="Lean")*Cap_Ln)))</x:f>
        <x:v>22</x:v>
      </x:c>
      <x:c r="L117" s="10" t="n">
        <x:f>INDEX(v01_HousingCap,G117)*EXP(v01_CapsByProject*SUMPRODUCT((Cap_Point&lt;=I117)*(Cap_Kind="Housing")*Cap_Ln))</x:f>
        <x:v>60</x:v>
      </x:c>
      <x:c r="M117" s="10" t="n">
        <x:f>INDEX(v01_GroupCap,G117)*v01_CohesionFactor*EXP(v01_CapsByProject*SUMPRODUCT((Cap_Point&lt;=I117)*(Cap_Kind="Group")*Cap_Ln))</x:f>
        <x:v>35</x:v>
      </x:c>
      <x:c r="N117" s="32" t="n">
        <x:f>MIN(J117,L117,M117)</x:f>
        <x:v>22</x:v>
      </x:c>
      <x:c r="O117" s="10" t="n">
        <x:f>AE116*N117</x:f>
        <x:v>22</x:v>
      </x:c>
      <x:c r="P117" s="9" t="n">
        <x:f>MIN(1,(AB116/(AE116*IF(v01_GroupInCrowding=1,N117,MIN(J117,L117))))^v01_CrowdingExp)</x:f>
        <x:v>0.17254869954940968</x:v>
      </x:c>
      <x:c r="Q117" s="9" t="n">
        <x:f>IF(D117=1,INDEX(v01_WinterMult,G117),1)</x:f>
        <x:v>1</x:v>
      </x:c>
      <x:c r="R117" s="9" t="n">
        <x:f>H117*Z116*v01_WomenShare*v01_BaseFertility*INDEX(v01_FertMult,G117)*Arch_Fertility*(1-P117)</x:f>
        <x:v>0.1993482081125033</x:v>
      </x:c>
      <x:c r="S117" s="9" t="n">
        <x:f>H117*Y116*INDEX(v01_MortChild,G117)/4*Q117</x:f>
        <x:v>0.06406723579281287</x:v>
      </x:c>
      <x:c r="T117" s="9" t="n">
        <x:f>H117*Z116*INDEX(v01_MortAdult,G117)*Arch_AdultMort/4*Q117</x:f>
        <x:v>0.030114794671896074</x:v>
      </x:c>
      <x:c r="U117" s="9" t="n">
        <x:f>H117*AA116*INDEX(v01_MortElder,G117)/4*Q117</x:f>
        <x:v>0.04944199902587043</x:v>
      </x:c>
      <x:c r="V117" s="9" t="n">
        <x:f>H117*MAX(0,AB116-O117)*v01_OvercapLoss</x:f>
        <x:v>0</x:v>
      </x:c>
      <x:c r="W117" s="9" t="n">
        <x:f>H117*Y116/(v01_ChildYears*4)</x:f>
        <x:v>0.11440577820145156</x:v>
      </x:c>
      <x:c r="X117" s="9" t="n">
        <x:f>H117*Z116/(v01_AdultYears*4)</x:f>
        <x:v>0.06476299929440016</x:v>
      </x:c>
      <x:c r="Y117" s="32" t="n">
        <x:f>Y116+R117-S117-W117-Y116*V117/AB116</x:f>
        <x:v>6.427598773399527</x:v>
      </x:c>
      <x:c r="Z117" s="32" t="n">
        <x:f>Z116+W117-X117-T117-Z116*V117/AB116</x:f>
        <x:v>8.050139896740776</x:v>
      </x:c>
      <x:c r="AA117" s="32" t="n">
        <x:f>AA116+X117-U117-AA116*V117/AB116</x:f>
        <x:v>1.993000961303347</x:v>
      </x:c>
      <x:c r="AB117" s="10" t="n">
        <x:f>Y117+Z117+AA117</x:f>
        <x:v>16.47073963144365</x:v>
      </x:c>
      <x:c r="AC117" s="8" t="n">
        <x:f>IF(AND(v01_WinterTrigger=1,D117=1,AB116/AE116&gt;=K117),1,0)</x:f>
        <x:v>0</x:v>
      </x:c>
      <x:c r="AD117" s="8" t="n">
        <x:f>H117*IF(AND(OR(AB116/AE116&gt;=v01_FissionTrigger*N117,AC117=1),AB116/AE116*v01_DaughterShare&gt;=v01_MinDaughter),MAX(1,ROUND(AE116*v01_FissionRate,0)),0)</x:f>
        <x:v>0</x:v>
      </x:c>
      <x:c r="AE117" s="8" t="n">
        <x:f>IF(H117=1,MAX(1,MIN(INDEX(v01_Smax,G117),AE116+AD117)),AE116)</x:f>
        <x:v>1</x:v>
      </x:c>
      <x:c r="AF117" s="8" t="n">
        <x:f>MAX(0,AE117-AE116)</x:f>
        <x:v>0</x:v>
      </x:c>
      <x:c r="AG117" s="9" t="str">
        <x:f>IF(AF117&gt;0,B117,"")</x:f>
      </x:c>
      <x:c r="AH117" s="9" t="n">
        <x:f>IF(F117&gt;=1,1,(1+v01_LowTiesShare*(AE117-1))/AE117)</x:f>
        <x:v>1</x:v>
      </x:c>
      <x:c r="AI117" s="32" t="n">
        <x:f>(Z117+v01_ElderCommons*INDEX(LM_Elder,G117)*AA117)*AH117</x:f>
        <x:v>12.03614181934747</x:v>
      </x:c>
      <x:c r="AJ117" s="32" t="n">
        <x:f>H117*v01_CommonsCoef*AI117^v01_CommonsExp*INDEX(LM_Commons,G117)</x:f>
        <x:v>5.215089845146982</x:v>
      </x:c>
      <x:c r="AK117" s="32" t="n">
        <x:f>H117*v01_RoleScale*Arch_Roles*(AE117*(INDEX(v01_ElderRolePerSett,G117)*v01_OutElder*INDEX(LM_Elder,G117)+INDEX(v01_ShamanPerSett,G117)*v01_OutShaman)+Z117*(INDEX(v01_PriestShare,G117)*v01_OutPriest+INDEX(v01_ScribeShare,G117)*v01_OutScribe*INDEX(LM_Scribe,G117)+INDEX(v01_ScholarShare,G117)*v01_OutScholar*INDEX(LM_Scholar,G117)+INDEX(v01_ResearcherShare,G117)*v01_OutResearcher*INDEX(LM_Researcher,G117)))</x:f>
        <x:v>0</x:v>
      </x:c>
      <x:c r="AL117" s="32" t="n">
        <x:f>H117*v01_RoleScale*Arch_Roles*AE117*INDEX(v01_MonasteryPerSett,G117)*v01_OutMonastery*INDEX(LM_Monastery,G117)</x:f>
        <x:v>0</x:v>
      </x:c>
      <x:c r="AM117" s="32" t="n">
        <x:f>(AJ117+AK117+AL117)/4*INDEX(LM_All,G117)*INDEX(v01_Boon,G117)*Arch_Insight</x:f>
        <x:v>1.3037724612867454</x:v>
      </x:c>
      <x:c r="AN117" s="32" t="n">
        <x:f>H117*(v01_KHPerAdult*Z117+v01_KHOfCommons*AJ117/4*INDEX(LM_All,G117))*v01_KHUsable*Arch_KH</x:f>
        <x:v>0.2817548963859271</x:v>
      </x:c>
      <x:c r="AO117" s="32" t="n">
        <x:f>MIN(AP116+AN117,AM117*v01_KHMaxRatio)</x:f>
        <x:v>0.2817548963859271</x:v>
      </x:c>
      <x:c r="AP117" s="32" t="n">
        <x:f>AP116+AN117-AO117</x:f>
        <x:v>0</x:v>
      </x:c>
      <x:c r="AQ117" s="32" t="n">
        <x:f>AM117+AO117</x:f>
        <x:v>1.5855273576726725</x:v>
      </x:c>
      <x:c r="AR117" s="10" t="n">
        <x:f>IF(H117=1,INDEX(v01_Req,G117),0)</x:f>
        <x:v>372.02</x:v>
      </x:c>
      <x:c r="AS117" s="32" t="n">
        <x:f>IF(H117=1,IF(E117=1,AS116-AR116,AS116)+AQ117,0)</x:f>
        <x:v>171.74618247652137</x:v>
      </x:c>
      <x:c r="AT117" s="11" t="n">
        <x:f>IF(AR117&gt;0,MIN(1,AS117/AR117),1)</x:f>
        <x:v>0.4616584658795801</x:v>
      </x:c>
      <x:c r="AU117" s="10" t="n">
        <x:f>AB117/INDEX(v01_RepScale,G117)</x:f>
        <x:v>16.47073963144365</x:v>
      </x:c>
      <x:c r="AV117" s="32" t="n">
        <x:f>AM117*60/v01_SeasonSeconds</x:f>
        <x:v>5.215089845146982</x:v>
      </x:c>
    </x:row>
    <x:row r="118">
      <x:c r="A118" s="8" t="n">
        <x:f>A117+1</x:f>
        <x:v>115</x:v>
      </x:c>
      <x:c r="B118" s="9" t="n">
        <x:f>A118*v01_SeasonSeconds/60</x:f>
        <x:v>28.75</x:v>
      </x:c>
      <x:c r="C118" s="9" t="n">
        <x:f>A118/4</x:f>
        <x:v>28.75</x:v>
      </x:c>
      <x:c r="D118" s="8" t="n">
        <x:f>IF(MOD(A118,4)=0,1,0)</x:f>
        <x:v>0</x:v>
      </x:c>
      <x:c r="E118" s="8" t="n">
        <x:f>IF(AND(F117&lt;=9,AS117&gt;=AR117),1,0)</x:f>
        <x:v>0</x:v>
      </x:c>
      <x:c r="F118" s="8" t="n">
        <x:f>MIN(10,F117+E118)</x:f>
        <x:v>0</x:v>
      </x:c>
      <x:c r="G118" s="8" t="n">
        <x:f>MIN(F118,9)+1</x:f>
        <x:v>1</x:v>
      </x:c>
      <x:c r="H118" s="8" t="n">
        <x:f>IF(F118&lt;=9,1,0)</x:f>
        <x:v>1</x:v>
      </x:c>
      <x:c r="I118" s="9" t="n">
        <x:f>MIN(10,F117+IF(AR117&gt;0,MIN(1,AS117/AR117),1))</x:f>
        <x:v>0.4616584658795801</x:v>
      </x:c>
      <x:c r="J118" s="32" t="n">
        <x:f>INDEX(v01_FoodCap,G118)*Arch_FoodCap*EXP(v01_CapsByProject*SUMPRODUCT((Cap_Point&lt;=I118)*(Cap_Kind="Food")*Cap_Ln))</x:f>
        <x:v>22</x:v>
      </x:c>
      <x:c r="K118" s="32" t="n">
        <x:f>J118*MIN(1,v01_LeanBase*EXP(v01_CapsByProject*SUMPRODUCT((Cap_Point&lt;=I118)*(Cap_Kind="Lean")*Cap_Ln)))</x:f>
        <x:v>22</x:v>
      </x:c>
      <x:c r="L118" s="10" t="n">
        <x:f>INDEX(v01_HousingCap,G118)*EXP(v01_CapsByProject*SUMPRODUCT((Cap_Point&lt;=I118)*(Cap_Kind="Housing")*Cap_Ln))</x:f>
        <x:v>60</x:v>
      </x:c>
      <x:c r="M118" s="10" t="n">
        <x:f>INDEX(v01_GroupCap,G118)*v01_CohesionFactor*EXP(v01_CapsByProject*SUMPRODUCT((Cap_Point&lt;=I118)*(Cap_Kind="Group")*Cap_Ln))</x:f>
        <x:v>35</x:v>
      </x:c>
      <x:c r="N118" s="32" t="n">
        <x:f>MIN(J118,L118,M118)</x:f>
        <x:v>22</x:v>
      </x:c>
      <x:c r="O118" s="10" t="n">
        <x:f>AE117*N118</x:f>
        <x:v>22</x:v>
      </x:c>
      <x:c r="P118" s="9" t="n">
        <x:f>MIN(1,(AB117/(AE117*IF(v01_GroupInCrowding=1,N118,MIN(J118,L118))))^v01_CrowdingExp)</x:f>
        <x:v>0.17609317611797098</x:v>
      </x:c>
      <x:c r="Q118" s="9" t="n">
        <x:f>IF(D118=1,INDEX(v01_WinterMult,G118),1)</x:f>
        <x:v>1</x:v>
      </x:c>
      <x:c r="R118" s="9" t="n">
        <x:f>H118*Z117*v01_WomenShare*v01_BaseFertility*INDEX(v01_FertMult,G118)*Arch_Fertility*(1-P118)</x:f>
        <x:v>0.1989769558238909</x:v>
      </x:c>
      <x:c r="S118" s="9" t="n">
        <x:f>H118*Y117*INDEX(v01_MortChild,G118)/4*Q118</x:f>
        <x:v>0.06427598773399527</x:v>
      </x:c>
      <x:c r="T118" s="9" t="n">
        <x:f>H118*Z117*INDEX(v01_MortAdult,G118)*Arch_AdultMort/4*Q118</x:f>
        <x:v>0.030188024612777906</x:v>
      </x:c>
      <x:c r="U118" s="9" t="n">
        <x:f>H118*AA117*INDEX(v01_MortElder,G118)/4*Q118</x:f>
        <x:v>0.04982502403258368</x:v>
      </x:c>
      <x:c r="V118" s="9" t="n">
        <x:f>H118*MAX(0,AB117-O118)*v01_OvercapLoss</x:f>
        <x:v>0</x:v>
      </x:c>
      <x:c r="W118" s="9" t="n">
        <x:f>H118*Y117/(v01_ChildYears*4)</x:f>
        <x:v>0.11477854952499156</x:v>
      </x:c>
      <x:c r="X118" s="9" t="n">
        <x:f>H118*Z117/(v01_AdultYears*4)</x:f>
        <x:v>0.06492048303823206</x:v>
      </x:c>
      <x:c r="Y118" s="32" t="n">
        <x:f>Y117+R118-S118-W118-Y117*V118/AB117</x:f>
        <x:v>6.447521191964432</x:v>
      </x:c>
      <x:c r="Z118" s="32" t="n">
        <x:f>Z117+W118-X118-T118-Z117*V118/AB117</x:f>
        <x:v>8.069809938614757</x:v>
      </x:c>
      <x:c r="AA118" s="32" t="n">
        <x:f>AA117+X118-U118-AA117*V118/AB117</x:f>
        <x:v>2.0080964203089953</x:v>
      </x:c>
      <x:c r="AB118" s="10" t="n">
        <x:f>Y118+Z118+AA118</x:f>
        <x:v>16.525427550888185</x:v>
      </x:c>
      <x:c r="AC118" s="8" t="n">
        <x:f>IF(AND(v01_WinterTrigger=1,D118=1,AB117/AE117&gt;=K118),1,0)</x:f>
        <x:v>0</x:v>
      </x:c>
      <x:c r="AD118" s="8" t="n">
        <x:f>H118*IF(AND(OR(AB117/AE117&gt;=v01_FissionTrigger*N118,AC118=1),AB117/AE117*v01_DaughterShare&gt;=v01_MinDaughter),MAX(1,ROUND(AE117*v01_FissionRate,0)),0)</x:f>
        <x:v>0</x:v>
      </x:c>
      <x:c r="AE118" s="8" t="n">
        <x:f>IF(H118=1,MAX(1,MIN(INDEX(v01_Smax,G118),AE117+AD118)),AE117)</x:f>
        <x:v>1</x:v>
      </x:c>
      <x:c r="AF118" s="8" t="n">
        <x:f>MAX(0,AE118-AE117)</x:f>
        <x:v>0</x:v>
      </x:c>
      <x:c r="AG118" s="9" t="str">
        <x:f>IF(AF118&gt;0,B118,"")</x:f>
      </x:c>
      <x:c r="AH118" s="9" t="n">
        <x:f>IF(F118&gt;=1,1,(1+v01_LowTiesShare*(AE118-1))/AE118)</x:f>
        <x:v>1</x:v>
      </x:c>
      <x:c r="AI118" s="32" t="n">
        <x:f>(Z118+v01_ElderCommons*INDEX(LM_Elder,G118)*AA118)*AH118</x:f>
        <x:v>12.086002779232746</x:v>
      </x:c>
      <x:c r="AJ118" s="32" t="n">
        <x:f>H118*v01_CommonsCoef*AI118^v01_CommonsExp*INDEX(LM_Commons,G118)</x:f>
        <x:v>5.23344758955107</x:v>
      </x:c>
      <x:c r="AK118" s="32" t="n">
        <x:f>H118*v01_RoleScale*Arch_Roles*(AE118*(INDEX(v01_ElderRolePerSett,G118)*v01_OutElder*INDEX(LM_Elder,G118)+INDEX(v01_ShamanPerSett,G118)*v01_OutShaman)+Z118*(INDEX(v01_PriestShare,G118)*v01_OutPriest+INDEX(v01_ScribeShare,G118)*v01_OutScribe*INDEX(LM_Scribe,G118)+INDEX(v01_ScholarShare,G118)*v01_OutScholar*INDEX(LM_Scholar,G118)+INDEX(v01_ResearcherShare,G118)*v01_OutResearcher*INDEX(LM_Researcher,G118)))</x:f>
        <x:v>0</x:v>
      </x:c>
      <x:c r="AL118" s="32" t="n">
        <x:f>H118*v01_RoleScale*Arch_Roles*AE118*INDEX(v01_MonasteryPerSett,G118)*v01_OutMonastery*INDEX(LM_Monastery,G118)</x:f>
        <x:v>0</x:v>
      </x:c>
      <x:c r="AM118" s="32" t="n">
        <x:f>(AJ118+AK118+AL118)/4*INDEX(LM_All,G118)*INDEX(v01_Boon,G118)*Arch_Insight</x:f>
        <x:v>1.3083618973877675</x:v>
      </x:c>
      <x:c r="AN118" s="32" t="n">
        <x:f>H118*(v01_KHPerAdult*Z118+v01_KHOfCommons*AJ118/4*INDEX(LM_All,G118))*v01_KHUsable*Arch_KH</x:f>
        <x:v>0.2824433478515165</x:v>
      </x:c>
      <x:c r="AO118" s="32" t="n">
        <x:f>MIN(AP117+AN118,AM118*v01_KHMaxRatio)</x:f>
        <x:v>0.2824433478515165</x:v>
      </x:c>
      <x:c r="AP118" s="32" t="n">
        <x:f>AP117+AN118-AO118</x:f>
        <x:v>0</x:v>
      </x:c>
      <x:c r="AQ118" s="32" t="n">
        <x:f>AM118+AO118</x:f>
        <x:v>1.590805245239284</x:v>
      </x:c>
      <x:c r="AR118" s="10" t="n">
        <x:f>IF(H118=1,INDEX(v01_Req,G118),0)</x:f>
        <x:v>372.02</x:v>
      </x:c>
      <x:c r="AS118" s="32" t="n">
        <x:f>IF(H118=1,IF(E118=1,AS117-AR117,AS117)+AQ118,0)</x:f>
        <x:v>173.33698772176066</x:v>
      </x:c>
      <x:c r="AT118" s="11" t="n">
        <x:f>IF(AR118&gt;0,MIN(1,AS118/AR118),1)</x:f>
        <x:v>0.4659345941663369</x:v>
      </x:c>
      <x:c r="AU118" s="10" t="n">
        <x:f>AB118/INDEX(v01_RepScale,G118)</x:f>
        <x:v>16.525427550888185</x:v>
      </x:c>
      <x:c r="AV118" s="32" t="n">
        <x:f>AM118*60/v01_SeasonSeconds</x:f>
        <x:v>5.23344758955107</x:v>
      </x:c>
    </x:row>
    <x:row r="119">
      <x:c r="A119" s="8" t="n">
        <x:f>A118+1</x:f>
        <x:v>116</x:v>
      </x:c>
      <x:c r="B119" s="9" t="n">
        <x:f>A119*v01_SeasonSeconds/60</x:f>
        <x:v>29</x:v>
      </x:c>
      <x:c r="C119" s="9" t="n">
        <x:f>A119/4</x:f>
        <x:v>29</x:v>
      </x:c>
      <x:c r="D119" s="8" t="n">
        <x:f>IF(MOD(A119,4)=0,1,0)</x:f>
        <x:v>1</x:v>
      </x:c>
      <x:c r="E119" s="8" t="n">
        <x:f>IF(AND(F118&lt;=9,AS118&gt;=AR118),1,0)</x:f>
        <x:v>0</x:v>
      </x:c>
      <x:c r="F119" s="8" t="n">
        <x:f>MIN(10,F118+E119)</x:f>
        <x:v>0</x:v>
      </x:c>
      <x:c r="G119" s="8" t="n">
        <x:f>MIN(F119,9)+1</x:f>
        <x:v>1</x:v>
      </x:c>
      <x:c r="H119" s="8" t="n">
        <x:f>IF(F119&lt;=9,1,0)</x:f>
        <x:v>1</x:v>
      </x:c>
      <x:c r="I119" s="9" t="n">
        <x:f>MIN(10,F118+IF(AR118&gt;0,MIN(1,AS118/AR118),1))</x:f>
        <x:v>0.4659345941663369</x:v>
      </x:c>
      <x:c r="J119" s="32" t="n">
        <x:f>INDEX(v01_FoodCap,G119)*Arch_FoodCap*EXP(v01_CapsByProject*SUMPRODUCT((Cap_Point&lt;=I119)*(Cap_Kind="Food")*Cap_Ln))</x:f>
        <x:v>22</x:v>
      </x:c>
      <x:c r="K119" s="32" t="n">
        <x:f>J119*MIN(1,v01_LeanBase*EXP(v01_CapsByProject*SUMPRODUCT((Cap_Point&lt;=I119)*(Cap_Kind="Lean")*Cap_Ln)))</x:f>
        <x:v>22</x:v>
      </x:c>
      <x:c r="L119" s="10" t="n">
        <x:f>INDEX(v01_HousingCap,G119)*EXP(v01_CapsByProject*SUMPRODUCT((Cap_Point&lt;=I119)*(Cap_Kind="Housing")*Cap_Ln))</x:f>
        <x:v>60</x:v>
      </x:c>
      <x:c r="M119" s="10" t="n">
        <x:f>INDEX(v01_GroupCap,G119)*v01_CohesionFactor*EXP(v01_CapsByProject*SUMPRODUCT((Cap_Point&lt;=I119)*(Cap_Kind="Group")*Cap_Ln))</x:f>
        <x:v>35</x:v>
      </x:c>
      <x:c r="N119" s="32" t="n">
        <x:f>MIN(J119,L119,M119)</x:f>
        <x:v>22</x:v>
      </x:c>
      <x:c r="O119" s="10" t="n">
        <x:f>AE118*N119</x:f>
        <x:v>22</x:v>
      </x:c>
      <x:c r="P119" s="9" t="n">
        <x:f>MIN(1,(AB118/(AE118*IF(v01_GroupInCrowding=1,N119,MIN(J119,L119))))^v01_CrowdingExp)</x:f>
        <x:v>0.1796305261929412</x:v>
      </x:c>
      <x:c r="Q119" s="9" t="n">
        <x:f>IF(D119=1,INDEX(v01_WinterMult,G119),1)</x:f>
        <x:v>2</x:v>
      </x:c>
      <x:c r="R119" s="9" t="n">
        <x:f>H119*Z118*v01_WomenShare*v01_BaseFertility*INDEX(v01_FertMult,G119)*Arch_Fertility*(1-P119)</x:f>
        <x:v>0.19860677199193083</x:v>
      </x:c>
      <x:c r="S119" s="9" t="n">
        <x:f>H119*Y118*INDEX(v01_MortChild,G119)/4*Q119</x:f>
        <x:v>0.12895042383928865</x:v>
      </x:c>
      <x:c r="T119" s="9" t="n">
        <x:f>H119*Z118*INDEX(v01_MortAdult,G119)*Arch_AdultMort/4*Q119</x:f>
        <x:v>0.06052357453961067</x:v>
      </x:c>
      <x:c r="U119" s="9" t="n">
        <x:f>H119*AA118*INDEX(v01_MortElder,G119)/4*Q119</x:f>
        <x:v>0.10040482101544977</x:v>
      </x:c>
      <x:c r="V119" s="9" t="n">
        <x:f>H119*MAX(0,AB118-O119)*v01_OvercapLoss</x:f>
        <x:v>0</x:v>
      </x:c>
      <x:c r="W119" s="9" t="n">
        <x:f>H119*Y118/(v01_ChildYears*4)</x:f>
        <x:v>0.11513430699936486</x:v>
      </x:c>
      <x:c r="X119" s="9" t="n">
        <x:f>H119*Z118/(v01_AdultYears*4)</x:f>
        <x:v>0.06507911240818352</x:v>
      </x:c>
      <x:c r="Y119" s="32" t="n">
        <x:f>Y118+R119-S119-W119-Y118*V119/AB118</x:f>
        <x:v>6.402043233117709</x:v>
      </x:c>
      <x:c r="Z119" s="32" t="n">
        <x:f>Z118+W119-X119-T119-Z118*V119/AB118</x:f>
        <x:v>8.059341558666327</x:v>
      </x:c>
      <x:c r="AA119" s="32" t="n">
        <x:f>AA118+X119-U119-AA118*V119/AB118</x:f>
        <x:v>1.972770711701729</x:v>
      </x:c>
      <x:c r="AB119" s="10" t="n">
        <x:f>Y119+Z119+AA119</x:f>
        <x:v>16.434155503485766</x:v>
      </x:c>
      <x:c r="AC119" s="8" t="n">
        <x:f>IF(AND(v01_WinterTrigger=1,D119=1,AB118/AE118&gt;=K119),1,0)</x:f>
        <x:v>0</x:v>
      </x:c>
      <x:c r="AD119" s="8" t="n">
        <x:f>H119*IF(AND(OR(AB118/AE118&gt;=v01_FissionTrigger*N119,AC119=1),AB118/AE118*v01_DaughterShare&gt;=v01_MinDaughter),MAX(1,ROUND(AE118*v01_FissionRate,0)),0)</x:f>
        <x:v>0</x:v>
      </x:c>
      <x:c r="AE119" s="8" t="n">
        <x:f>IF(H119=1,MAX(1,MIN(INDEX(v01_Smax,G119),AE118+AD119)),AE118)</x:f>
        <x:v>1</x:v>
      </x:c>
      <x:c r="AF119" s="8" t="n">
        <x:f>MAX(0,AE119-AE118)</x:f>
        <x:v>0</x:v>
      </x:c>
      <x:c r="AG119" s="9" t="str">
        <x:f>IF(AF119&gt;0,B119,"")</x:f>
      </x:c>
      <x:c r="AH119" s="9" t="n">
        <x:f>IF(F119&gt;=1,1,(1+v01_LowTiesShare*(AE119-1))/AE119)</x:f>
        <x:v>1</x:v>
      </x:c>
      <x:c r="AI119" s="32" t="n">
        <x:f>(Z119+v01_ElderCommons*INDEX(LM_Elder,G119)*AA119)*AH119</x:f>
        <x:v>12.004882982069786</x:v>
      </x:c>
      <x:c r="AJ119" s="32" t="n">
        <x:f>H119*v01_CommonsCoef*AI119^v01_CommonsExp*INDEX(LM_Commons,G119)</x:f>
        <x:v>5.20357519062083</x:v>
      </x:c>
      <x:c r="AK119" s="32" t="n">
        <x:f>H119*v01_RoleScale*Arch_Roles*(AE119*(INDEX(v01_ElderRolePerSett,G119)*v01_OutElder*INDEX(LM_Elder,G119)+INDEX(v01_ShamanPerSett,G119)*v01_OutShaman)+Z119*(INDEX(v01_PriestShare,G119)*v01_OutPriest+INDEX(v01_ScribeShare,G119)*v01_OutScribe*INDEX(LM_Scribe,G119)+INDEX(v01_ScholarShare,G119)*v01_OutScholar*INDEX(LM_Scholar,G119)+INDEX(v01_ResearcherShare,G119)*v01_OutResearcher*INDEX(LM_Researcher,G119)))</x:f>
        <x:v>0</x:v>
      </x:c>
      <x:c r="AL119" s="32" t="n">
        <x:f>H119*v01_RoleScale*Arch_Roles*AE119*INDEX(v01_MonasteryPerSett,G119)*v01_OutMonastery*INDEX(LM_Monastery,G119)</x:f>
        <x:v>0</x:v>
      </x:c>
      <x:c r="AM119" s="32" t="n">
        <x:f>(AJ119+AK119+AL119)/4*INDEX(LM_All,G119)*INDEX(v01_Boon,G119)*Arch_Insight</x:f>
        <x:v>1.3008937976552075</x:v>
      </x:c>
      <x:c r="AN119" s="32" t="n">
        <x:f>H119*(v01_KHPerAdult*Z119+v01_KHOfCommons*AJ119/4*INDEX(LM_All,G119))*v01_KHUsable*Arch_KH</x:f>
        <x:v>0.28207695455332144</x:v>
      </x:c>
      <x:c r="AO119" s="32" t="n">
        <x:f>MIN(AP118+AN119,AM119*v01_KHMaxRatio)</x:f>
        <x:v>0.28207695455332144</x:v>
      </x:c>
      <x:c r="AP119" s="32" t="n">
        <x:f>AP118+AN119-AO119</x:f>
        <x:v>0</x:v>
      </x:c>
      <x:c r="AQ119" s="32" t="n">
        <x:f>AM119+AO119</x:f>
        <x:v>1.582970752208529</x:v>
      </x:c>
      <x:c r="AR119" s="10" t="n">
        <x:f>IF(H119=1,INDEX(v01_Req,G119),0)</x:f>
        <x:v>372.02</x:v>
      </x:c>
      <x:c r="AS119" s="32" t="n">
        <x:f>IF(H119=1,IF(E119=1,AS118-AR118,AS118)+AQ119,0)</x:f>
        <x:v>174.9199584739692</x:v>
      </x:c>
      <x:c r="AT119" s="11" t="n">
        <x:f>IF(AR119&gt;0,MIN(1,AS119/AR119),1)</x:f>
        <x:v>0.47018966312017957</x:v>
      </x:c>
      <x:c r="AU119" s="10" t="n">
        <x:f>AB119/INDEX(v01_RepScale,G119)</x:f>
        <x:v>16.434155503485766</x:v>
      </x:c>
      <x:c r="AV119" s="32" t="n">
        <x:f>AM119*60/v01_SeasonSeconds</x:f>
        <x:v>5.20357519062083</x:v>
      </x:c>
    </x:row>
    <x:row r="120">
      <x:c r="A120" s="8" t="n">
        <x:f>A119+1</x:f>
        <x:v>117</x:v>
      </x:c>
      <x:c r="B120" s="9" t="n">
        <x:f>A120*v01_SeasonSeconds/60</x:f>
        <x:v>29.25</x:v>
      </x:c>
      <x:c r="C120" s="9" t="n">
        <x:f>A120/4</x:f>
        <x:v>29.25</x:v>
      </x:c>
      <x:c r="D120" s="8" t="n">
        <x:f>IF(MOD(A120,4)=0,1,0)</x:f>
        <x:v>0</x:v>
      </x:c>
      <x:c r="E120" s="8" t="n">
        <x:f>IF(AND(F119&lt;=9,AS119&gt;=AR119),1,0)</x:f>
        <x:v>0</x:v>
      </x:c>
      <x:c r="F120" s="8" t="n">
        <x:f>MIN(10,F119+E120)</x:f>
        <x:v>0</x:v>
      </x:c>
      <x:c r="G120" s="8" t="n">
        <x:f>MIN(F120,9)+1</x:f>
        <x:v>1</x:v>
      </x:c>
      <x:c r="H120" s="8" t="n">
        <x:f>IF(F120&lt;=9,1,0)</x:f>
        <x:v>1</x:v>
      </x:c>
      <x:c r="I120" s="9" t="n">
        <x:f>MIN(10,F119+IF(AR119&gt;0,MIN(1,AS119/AR119),1))</x:f>
        <x:v>0.47018966312017957</x:v>
      </x:c>
      <x:c r="J120" s="32" t="n">
        <x:f>INDEX(v01_FoodCap,G120)*Arch_FoodCap*EXP(v01_CapsByProject*SUMPRODUCT((Cap_Point&lt;=I120)*(Cap_Kind="Food")*Cap_Ln))</x:f>
        <x:v>22</x:v>
      </x:c>
      <x:c r="K120" s="32" t="n">
        <x:f>J120*MIN(1,v01_LeanBase*EXP(v01_CapsByProject*SUMPRODUCT((Cap_Point&lt;=I120)*(Cap_Kind="Lean")*Cap_Ln)))</x:f>
        <x:v>22</x:v>
      </x:c>
      <x:c r="L120" s="10" t="n">
        <x:f>INDEX(v01_HousingCap,G120)*EXP(v01_CapsByProject*SUMPRODUCT((Cap_Point&lt;=I120)*(Cap_Kind="Housing")*Cap_Ln))</x:f>
        <x:v>60</x:v>
      </x:c>
      <x:c r="M120" s="10" t="n">
        <x:f>INDEX(v01_GroupCap,G120)*v01_CohesionFactor*EXP(v01_CapsByProject*SUMPRODUCT((Cap_Point&lt;=I120)*(Cap_Kind="Group")*Cap_Ln))</x:f>
        <x:v>35</x:v>
      </x:c>
      <x:c r="N120" s="32" t="n">
        <x:f>MIN(J120,L120,M120)</x:f>
        <x:v>22</x:v>
      </x:c>
      <x:c r="O120" s="10" t="n">
        <x:f>AE119*N120</x:f>
        <x:v>22</x:v>
      </x:c>
      <x:c r="P120" s="9" t="n">
        <x:f>MIN(1,(AB119/(AE119*IF(v01_GroupInCrowding=1,N120,MIN(J120,L120))))^v01_CrowdingExp)</x:f>
        <x:v>0.1737593836204052</x:v>
      </x:c>
      <x:c r="Q120" s="9" t="n">
        <x:f>IF(D120=1,INDEX(v01_WinterMult,G120),1)</x:f>
        <x:v>1</x:v>
      </x:c>
      <x:c r="R120" s="9" t="n">
        <x:f>H120*Z119*v01_WomenShare*v01_BaseFertility*INDEX(v01_FertMult,G120)*Arch_Fertility*(1-P120)</x:f>
        <x:v>0.1997686601113845</x:v>
      </x:c>
      <x:c r="S120" s="9" t="n">
        <x:f>H120*Y119*INDEX(v01_MortChild,G120)/4*Q120</x:f>
        <x:v>0.06402043233117709</x:v>
      </x:c>
      <x:c r="T120" s="9" t="n">
        <x:f>H120*Z119*INDEX(v01_MortAdult,G120)*Arch_AdultMort/4*Q120</x:f>
        <x:v>0.030222530844998725</x:v>
      </x:c>
      <x:c r="U120" s="9" t="n">
        <x:f>H120*AA119*INDEX(v01_MortElder,G120)/4*Q120</x:f>
        <x:v>0.049319267792543225</x:v>
      </x:c>
      <x:c r="V120" s="9" t="n">
        <x:f>H120*MAX(0,AB119-O120)*v01_OvercapLoss</x:f>
        <x:v>0</x:v>
      </x:c>
      <x:c r="W120" s="9" t="n">
        <x:f>H120*Y119/(v01_ChildYears*4)</x:f>
        <x:v>0.11432220059138766</x:v>
      </x:c>
      <x:c r="X120" s="9" t="n">
        <x:f>H120*Z119/(v01_AdultYears*4)</x:f>
        <x:v>0.06499468998924457</x:v>
      </x:c>
      <x:c r="Y120" s="32" t="n">
        <x:f>Y119+R120-S120-W120-Y119*V120/AB119</x:f>
        <x:v>6.423469260306529</x:v>
      </x:c>
      <x:c r="Z120" s="32" t="n">
        <x:f>Z119+W120-X120-T120-Z119*V120/AB119</x:f>
        <x:v>8.078446538423472</x:v>
      </x:c>
      <x:c r="AA120" s="32" t="n">
        <x:f>AA119+X120-U120-AA119*V120/AB119</x:f>
        <x:v>1.9884461338984305</x:v>
      </x:c>
      <x:c r="AB120" s="10" t="n">
        <x:f>Y120+Z120+AA120</x:f>
        <x:v>16.49036193262843</x:v>
      </x:c>
      <x:c r="AC120" s="8" t="n">
        <x:f>IF(AND(v01_WinterTrigger=1,D120=1,AB119/AE119&gt;=K120),1,0)</x:f>
        <x:v>0</x:v>
      </x:c>
      <x:c r="AD120" s="8" t="n">
        <x:f>H120*IF(AND(OR(AB119/AE119&gt;=v01_FissionTrigger*N120,AC120=1),AB119/AE119*v01_DaughterShare&gt;=v01_MinDaughter),MAX(1,ROUND(AE119*v01_FissionRate,0)),0)</x:f>
        <x:v>0</x:v>
      </x:c>
      <x:c r="AE120" s="8" t="n">
        <x:f>IF(H120=1,MAX(1,MIN(INDEX(v01_Smax,G120),AE119+AD120)),AE119)</x:f>
        <x:v>1</x:v>
      </x:c>
      <x:c r="AF120" s="8" t="n">
        <x:f>MAX(0,AE120-AE119)</x:f>
        <x:v>0</x:v>
      </x:c>
      <x:c r="AG120" s="9" t="str">
        <x:f>IF(AF120&gt;0,B120,"")</x:f>
      </x:c>
      <x:c r="AH120" s="9" t="n">
        <x:f>IF(F120&gt;=1,1,(1+v01_LowTiesShare*(AE120-1))/AE120)</x:f>
        <x:v>1</x:v>
      </x:c>
      <x:c r="AI120" s="32" t="n">
        <x:f>(Z120+v01_ElderCommons*INDEX(LM_Elder,G120)*AA120)*AH120</x:f>
        <x:v>12.055338806220334</x:v>
      </x:c>
      <x:c r="AJ120" s="32" t="n">
        <x:f>H120*v01_CommonsCoef*AI120^v01_CommonsExp*INDEX(LM_Commons,G120)</x:f>
        <x:v>5.222159115161456</x:v>
      </x:c>
      <x:c r="AK120" s="32" t="n">
        <x:f>H120*v01_RoleScale*Arch_Roles*(AE120*(INDEX(v01_ElderRolePerSett,G120)*v01_OutElder*INDEX(LM_Elder,G120)+INDEX(v01_ShamanPerSett,G120)*v01_OutShaman)+Z120*(INDEX(v01_PriestShare,G120)*v01_OutPriest+INDEX(v01_ScribeShare,G120)*v01_OutScribe*INDEX(LM_Scribe,G120)+INDEX(v01_ScholarShare,G120)*v01_OutScholar*INDEX(LM_Scholar,G120)+INDEX(v01_ResearcherShare,G120)*v01_OutResearcher*INDEX(LM_Researcher,G120)))</x:f>
        <x:v>0</x:v>
      </x:c>
      <x:c r="AL120" s="32" t="n">
        <x:f>H120*v01_RoleScale*Arch_Roles*AE120*INDEX(v01_MonasteryPerSett,G120)*v01_OutMonastery*INDEX(LM_Monastery,G120)</x:f>
        <x:v>0</x:v>
      </x:c>
      <x:c r="AM120" s="32" t="n">
        <x:f>(AJ120+AK120+AL120)/4*INDEX(LM_All,G120)*INDEX(v01_Boon,G120)*Arch_Insight</x:f>
        <x:v>1.305539778790364</x:v>
      </x:c>
      <x:c r="AN120" s="32" t="n">
        <x:f>H120*(v01_KHPerAdult*Z120+v01_KHOfCommons*AJ120/4*INDEX(LM_All,G120))*v01_KHUsable*Arch_KH</x:f>
        <x:v>0.2827456288448215</x:v>
      </x:c>
      <x:c r="AO120" s="32" t="n">
        <x:f>MIN(AP119+AN120,AM120*v01_KHMaxRatio)</x:f>
        <x:v>0.2827456288448215</x:v>
      </x:c>
      <x:c r="AP120" s="32" t="n">
        <x:f>AP119+AN120-AO120</x:f>
        <x:v>0</x:v>
      </x:c>
      <x:c r="AQ120" s="32" t="n">
        <x:f>AM120+AO120</x:f>
        <x:v>1.5882854076351856</x:v>
      </x:c>
      <x:c r="AR120" s="10" t="n">
        <x:f>IF(H120=1,INDEX(v01_Req,G120),0)</x:f>
        <x:v>372.02</x:v>
      </x:c>
      <x:c r="AS120" s="32" t="n">
        <x:f>IF(H120=1,IF(E120=1,AS119-AR119,AS119)+AQ120,0)</x:f>
        <x:v>176.5082438816044</x:v>
      </x:c>
      <x:c r="AT120" s="11" t="n">
        <x:f>IF(AR120&gt;0,MIN(1,AS120/AR120),1)</x:f>
        <x:v>0.47445901801409707</x:v>
      </x:c>
      <x:c r="AU120" s="10" t="n">
        <x:f>AB120/INDEX(v01_RepScale,G120)</x:f>
        <x:v>16.49036193262843</x:v>
      </x:c>
      <x:c r="AV120" s="32" t="n">
        <x:f>AM120*60/v01_SeasonSeconds</x:f>
        <x:v>5.222159115161456</x:v>
      </x:c>
    </x:row>
    <x:row r="121">
      <x:c r="A121" s="8" t="n">
        <x:f>A120+1</x:f>
        <x:v>118</x:v>
      </x:c>
      <x:c r="B121" s="9" t="n">
        <x:f>A121*v01_SeasonSeconds/60</x:f>
        <x:v>29.5</x:v>
      </x:c>
      <x:c r="C121" s="9" t="n">
        <x:f>A121/4</x:f>
        <x:v>29.5</x:v>
      </x:c>
      <x:c r="D121" s="8" t="n">
        <x:f>IF(MOD(A121,4)=0,1,0)</x:f>
        <x:v>0</x:v>
      </x:c>
      <x:c r="E121" s="8" t="n">
        <x:f>IF(AND(F120&lt;=9,AS120&gt;=AR120),1,0)</x:f>
        <x:v>0</x:v>
      </x:c>
      <x:c r="F121" s="8" t="n">
        <x:f>MIN(10,F120+E121)</x:f>
        <x:v>0</x:v>
      </x:c>
      <x:c r="G121" s="8" t="n">
        <x:f>MIN(F121,9)+1</x:f>
        <x:v>1</x:v>
      </x:c>
      <x:c r="H121" s="8" t="n">
        <x:f>IF(F121&lt;=9,1,0)</x:f>
        <x:v>1</x:v>
      </x:c>
      <x:c r="I121" s="9" t="n">
        <x:f>MIN(10,F120+IF(AR120&gt;0,MIN(1,AS120/AR120),1))</x:f>
        <x:v>0.47445901801409707</x:v>
      </x:c>
      <x:c r="J121" s="32" t="n">
        <x:f>INDEX(v01_FoodCap,G121)*Arch_FoodCap*EXP(v01_CapsByProject*SUMPRODUCT((Cap_Point&lt;=I121)*(Cap_Kind="Food")*Cap_Ln))</x:f>
        <x:v>22</x:v>
      </x:c>
      <x:c r="K121" s="32" t="n">
        <x:f>J121*MIN(1,v01_LeanBase*EXP(v01_CapsByProject*SUMPRODUCT((Cap_Point&lt;=I121)*(Cap_Kind="Lean")*Cap_Ln)))</x:f>
        <x:v>22</x:v>
      </x:c>
      <x:c r="L121" s="10" t="n">
        <x:f>INDEX(v01_HousingCap,G121)*EXP(v01_CapsByProject*SUMPRODUCT((Cap_Point&lt;=I121)*(Cap_Kind="Housing")*Cap_Ln))</x:f>
        <x:v>60</x:v>
      </x:c>
      <x:c r="M121" s="10" t="n">
        <x:f>INDEX(v01_GroupCap,G121)*v01_CohesionFactor*EXP(v01_CapsByProject*SUMPRODUCT((Cap_Point&lt;=I121)*(Cap_Kind="Group")*Cap_Ln))</x:f>
        <x:v>35</x:v>
      </x:c>
      <x:c r="N121" s="32" t="n">
        <x:f>MIN(J121,L121,M121)</x:f>
        <x:v>22</x:v>
      </x:c>
      <x:c r="O121" s="10" t="n">
        <x:f>AE120*N121</x:f>
        <x:v>22</x:v>
      </x:c>
      <x:c r="P121" s="9" t="n">
        <x:f>MIN(1,(AB120/(AE120*IF(v01_GroupInCrowding=1,N121,MIN(J121,L121))))^v01_CrowdingExp)</x:f>
        <x:v>0.17735565529829372</x:v>
      </x:c>
      <x:c r="Q121" s="9" t="n">
        <x:f>IF(D121=1,INDEX(v01_WinterMult,G121),1)</x:f>
        <x:v>1</x:v>
      </x:c>
      <x:c r="R121" s="9" t="n">
        <x:f>H121*Z120*v01_WomenShare*v01_BaseFertility*INDEX(v01_FertMult,G121)*Arch_Fertility*(1-P121)</x:f>
        <x:v>0.19937065076427432</x:v>
      </x:c>
      <x:c r="S121" s="9" t="n">
        <x:f>H121*Y120*INDEX(v01_MortChild,G121)/4*Q121</x:f>
        <x:v>0.06423469260306529</x:v>
      </x:c>
      <x:c r="T121" s="9" t="n">
        <x:f>H121*Z120*INDEX(v01_MortAdult,G121)*Arch_AdultMort/4*Q121</x:f>
        <x:v>0.03029417451908802</x:v>
      </x:c>
      <x:c r="U121" s="9" t="n">
        <x:f>H121*AA120*INDEX(v01_MortElder,G121)/4*Q121</x:f>
        <x:v>0.04971115334746076</x:v>
      </x:c>
      <x:c r="V121" s="9" t="n">
        <x:f>H121*MAX(0,AB120-O121)*v01_OvercapLoss</x:f>
        <x:v>0</x:v>
      </x:c>
      <x:c r="W121" s="9" t="n">
        <x:f>H121*Y120/(v01_ChildYears*4)</x:f>
        <x:v>0.11470480821975945</x:v>
      </x:c>
      <x:c r="X121" s="9" t="n">
        <x:f>H121*Z120/(v01_AdultYears*4)</x:f>
        <x:v>0.0651487624066409</x:v>
      </x:c>
      <x:c r="Y121" s="32" t="n">
        <x:f>Y120+R121-S121-W121-Y120*V121/AB120</x:f>
        <x:v>6.443900410247979</x:v>
      </x:c>
      <x:c r="Z121" s="32" t="n">
        <x:f>Z120+W121-X121-T121-Z120*V121/AB120</x:f>
        <x:v>8.097708409717502</x:v>
      </x:c>
      <x:c r="AA121" s="32" t="n">
        <x:f>AA120+X121-U121-AA120*V121/AB120</x:f>
        <x:v>2.0038837429576106</x:v>
      </x:c>
      <x:c r="AB121" s="10" t="n">
        <x:f>Y121+Z121+AA121</x:f>
        <x:v>16.54549256292309</x:v>
      </x:c>
      <x:c r="AC121" s="8" t="n">
        <x:f>IF(AND(v01_WinterTrigger=1,D121=1,AB120/AE120&gt;=K121),1,0)</x:f>
        <x:v>0</x:v>
      </x:c>
      <x:c r="AD121" s="8" t="n">
        <x:f>H121*IF(AND(OR(AB120/AE120&gt;=v01_FissionTrigger*N121,AC121=1),AB120/AE120*v01_DaughterShare&gt;=v01_MinDaughter),MAX(1,ROUND(AE120*v01_FissionRate,0)),0)</x:f>
        <x:v>0</x:v>
      </x:c>
      <x:c r="AE121" s="8" t="n">
        <x:f>IF(H121=1,MAX(1,MIN(INDEX(v01_Smax,G121),AE120+AD121)),AE120)</x:f>
        <x:v>1</x:v>
      </x:c>
      <x:c r="AF121" s="8" t="n">
        <x:f>MAX(0,AE121-AE120)</x:f>
        <x:v>0</x:v>
      </x:c>
      <x:c r="AG121" s="9" t="str">
        <x:f>IF(AF121&gt;0,B121,"")</x:f>
      </x:c>
      <x:c r="AH121" s="9" t="n">
        <x:f>IF(F121&gt;=1,1,(1+v01_LowTiesShare*(AE121-1))/AE121)</x:f>
        <x:v>1</x:v>
      </x:c>
      <x:c r="AI121" s="32" t="n">
        <x:f>(Z121+v01_ElderCommons*INDEX(LM_Elder,G121)*AA121)*AH121</x:f>
        <x:v>12.105475895632722</x:v>
      </x:c>
      <x:c r="AJ121" s="32" t="n">
        <x:f>H121*v01_CommonsCoef*AI121^v01_CommonsExp*INDEX(LM_Commons,G121)</x:f>
        <x:v>5.240614089856619</x:v>
      </x:c>
      <x:c r="AK121" s="32" t="n">
        <x:f>H121*v01_RoleScale*Arch_Roles*(AE121*(INDEX(v01_ElderRolePerSett,G121)*v01_OutElder*INDEX(LM_Elder,G121)+INDEX(v01_ShamanPerSett,G121)*v01_OutShaman)+Z121*(INDEX(v01_PriestShare,G121)*v01_OutPriest+INDEX(v01_ScribeShare,G121)*v01_OutScribe*INDEX(LM_Scribe,G121)+INDEX(v01_ScholarShare,G121)*v01_OutScholar*INDEX(LM_Scholar,G121)+INDEX(v01_ResearcherShare,G121)*v01_OutResearcher*INDEX(LM_Researcher,G121)))</x:f>
        <x:v>0</x:v>
      </x:c>
      <x:c r="AL121" s="32" t="n">
        <x:f>H121*v01_RoleScale*Arch_Roles*AE121*INDEX(v01_MonasteryPerSett,G121)*v01_OutMonastery*INDEX(LM_Monastery,G121)</x:f>
        <x:v>0</x:v>
      </x:c>
      <x:c r="AM121" s="32" t="n">
        <x:f>(AJ121+AK121+AL121)/4*INDEX(LM_All,G121)*INDEX(v01_Boon,G121)*Arch_Insight</x:f>
        <x:v>1.3101535224641547</x:v>
      </x:c>
      <x:c r="AN121" s="32" t="n">
        <x:f>H121*(v01_KHPerAdult*Z121+v01_KHOfCommons*AJ121/4*INDEX(LM_All,G121))*v01_KHUsable*Arch_KH</x:f>
        <x:v>0.28341979434011255</x:v>
      </x:c>
      <x:c r="AO121" s="32" t="n">
        <x:f>MIN(AP120+AN121,AM121*v01_KHMaxRatio)</x:f>
        <x:v>0.28341979434011255</x:v>
      </x:c>
      <x:c r="AP121" s="32" t="n">
        <x:f>AP120+AN121-AO121</x:f>
        <x:v>0</x:v>
      </x:c>
      <x:c r="AQ121" s="32" t="n">
        <x:f>AM121+AO121</x:f>
        <x:v>1.5935733168042674</x:v>
      </x:c>
      <x:c r="AR121" s="10" t="n">
        <x:f>IF(H121=1,INDEX(v01_Req,G121),0)</x:f>
        <x:v>372.02</x:v>
      </x:c>
      <x:c r="AS121" s="32" t="n">
        <x:f>IF(H121=1,IF(E121=1,AS120-AR120,AS120)+AQ121,0)</x:f>
        <x:v>178.10181719840864</x:v>
      </x:c>
      <x:c r="AT121" s="11" t="n">
        <x:f>IF(AR121&gt;0,MIN(1,AS121/AR121),1)</x:f>
        <x:v>0.4787425869534129</x:v>
      </x:c>
      <x:c r="AU121" s="10" t="n">
        <x:f>AB121/INDEX(v01_RepScale,G121)</x:f>
        <x:v>16.54549256292309</x:v>
      </x:c>
      <x:c r="AV121" s="32" t="n">
        <x:f>AM121*60/v01_SeasonSeconds</x:f>
        <x:v>5.240614089856619</x:v>
      </x:c>
    </x:row>
    <x:row r="122">
      <x:c r="A122" s="8" t="n">
        <x:f>A121+1</x:f>
        <x:v>119</x:v>
      </x:c>
      <x:c r="B122" s="9" t="n">
        <x:f>A122*v01_SeasonSeconds/60</x:f>
        <x:v>29.75</x:v>
      </x:c>
      <x:c r="C122" s="9" t="n">
        <x:f>A122/4</x:f>
        <x:v>29.75</x:v>
      </x:c>
      <x:c r="D122" s="8" t="n">
        <x:f>IF(MOD(A122,4)=0,1,0)</x:f>
        <x:v>0</x:v>
      </x:c>
      <x:c r="E122" s="8" t="n">
        <x:f>IF(AND(F121&lt;=9,AS121&gt;=AR121),1,0)</x:f>
        <x:v>0</x:v>
      </x:c>
      <x:c r="F122" s="8" t="n">
        <x:f>MIN(10,F121+E122)</x:f>
        <x:v>0</x:v>
      </x:c>
      <x:c r="G122" s="8" t="n">
        <x:f>MIN(F122,9)+1</x:f>
        <x:v>1</x:v>
      </x:c>
      <x:c r="H122" s="8" t="n">
        <x:f>IF(F122&lt;=9,1,0)</x:f>
        <x:v>1</x:v>
      </x:c>
      <x:c r="I122" s="9" t="n">
        <x:f>MIN(10,F121+IF(AR121&gt;0,MIN(1,AS121/AR121),1))</x:f>
        <x:v>0.4787425869534129</x:v>
      </x:c>
      <x:c r="J122" s="32" t="n">
        <x:f>INDEX(v01_FoodCap,G122)*Arch_FoodCap*EXP(v01_CapsByProject*SUMPRODUCT((Cap_Point&lt;=I122)*(Cap_Kind="Food")*Cap_Ln))</x:f>
        <x:v>22</x:v>
      </x:c>
      <x:c r="K122" s="32" t="n">
        <x:f>J122*MIN(1,v01_LeanBase*EXP(v01_CapsByProject*SUMPRODUCT((Cap_Point&lt;=I122)*(Cap_Kind="Lean")*Cap_Ln)))</x:f>
        <x:v>22</x:v>
      </x:c>
      <x:c r="L122" s="10" t="n">
        <x:f>INDEX(v01_HousingCap,G122)*EXP(v01_CapsByProject*SUMPRODUCT((Cap_Point&lt;=I122)*(Cap_Kind="Housing")*Cap_Ln))</x:f>
        <x:v>60</x:v>
      </x:c>
      <x:c r="M122" s="10" t="n">
        <x:f>INDEX(v01_GroupCap,G122)*v01_CohesionFactor*EXP(v01_CapsByProject*SUMPRODUCT((Cap_Point&lt;=I122)*(Cap_Kind="Group")*Cap_Ln))</x:f>
        <x:v>35</x:v>
      </x:c>
      <x:c r="N122" s="32" t="n">
        <x:f>MIN(J122,L122,M122)</x:f>
        <x:v>22</x:v>
      </x:c>
      <x:c r="O122" s="10" t="n">
        <x:f>AE121*N122</x:f>
        <x:v>22</x:v>
      </x:c>
      <x:c r="P122" s="9" t="n">
        <x:f>MIN(1,(AB121/(AE121*IF(v01_GroupInCrowding=1,N122,MIN(J122,L122))))^v01_CrowdingExp)</x:f>
        <x:v>0.1809431386927788</x:v>
      </x:c>
      <x:c r="Q122" s="9" t="n">
        <x:f>IF(D122=1,INDEX(v01_WinterMult,G122),1)</x:f>
        <x:v>1</x:v>
      </x:c>
      <x:c r="R122" s="9" t="n">
        <x:f>H122*Z121*v01_WomenShare*v01_BaseFertility*INDEX(v01_FertMult,G122)*Arch_Fertility*(1-P122)</x:f>
        <x:v>0.1989745090153292</x:v>
      </x:c>
      <x:c r="S122" s="9" t="n">
        <x:f>H122*Y121*INDEX(v01_MortChild,G122)/4*Q122</x:f>
        <x:v>0.0644390041024798</x:v>
      </x:c>
      <x:c r="T122" s="9" t="n">
        <x:f>H122*Z121*INDEX(v01_MortAdult,G122)*Arch_AdultMort/4*Q122</x:f>
        <x:v>0.03036640653644063</x:v>
      </x:c>
      <x:c r="U122" s="9" t="n">
        <x:f>H122*AA121*INDEX(v01_MortElder,G122)/4*Q122</x:f>
        <x:v>0.050097093573940266</x:v>
      </x:c>
      <x:c r="V122" s="9" t="n">
        <x:f>H122*MAX(0,AB121-O122)*v01_OvercapLoss</x:f>
        <x:v>0</x:v>
      </x:c>
      <x:c r="W122" s="9" t="n">
        <x:f>H122*Y121/(v01_ChildYears*4)</x:f>
        <x:v>0.11506965018299962</x:v>
      </x:c>
      <x:c r="X122" s="9" t="n">
        <x:f>H122*Z121/(v01_AdultYears*4)</x:f>
        <x:v>0.06530410007836694</x:v>
      </x:c>
      <x:c r="Y122" s="32" t="n">
        <x:f>Y121+R122-S122-W122-Y121*V122/AB121</x:f>
        <x:v>6.463366264977829</x:v>
      </x:c>
      <x:c r="Z122" s="32" t="n">
        <x:f>Z121+W122-X122-T122-Z121*V122/AB121</x:f>
        <x:v>8.117107553285694</x:v>
      </x:c>
      <x:c r="AA122" s="32" t="n">
        <x:f>AA121+X122-U122-AA121*V122/AB121</x:f>
        <x:v>2.019090749462037</x:v>
      </x:c>
      <x:c r="AB122" s="10" t="n">
        <x:f>Y122+Z122+AA122</x:f>
        <x:v>16.599564567725558</x:v>
      </x:c>
      <x:c r="AC122" s="8" t="n">
        <x:f>IF(AND(v01_WinterTrigger=1,D122=1,AB121/AE121&gt;=K122),1,0)</x:f>
        <x:v>0</x:v>
      </x:c>
      <x:c r="AD122" s="8" t="n">
        <x:f>H122*IF(AND(OR(AB121/AE121&gt;=v01_FissionTrigger*N122,AC122=1),AB121/AE121*v01_DaughterShare&gt;=v01_MinDaughter),MAX(1,ROUND(AE121*v01_FissionRate,0)),0)</x:f>
        <x:v>0</x:v>
      </x:c>
      <x:c r="AE122" s="8" t="n">
        <x:f>IF(H122=1,MAX(1,MIN(INDEX(v01_Smax,G122),AE121+AD122)),AE121)</x:f>
        <x:v>1</x:v>
      </x:c>
      <x:c r="AF122" s="8" t="n">
        <x:f>MAX(0,AE122-AE121)</x:f>
        <x:v>0</x:v>
      </x:c>
      <x:c r="AG122" s="9" t="str">
        <x:f>IF(AF122&gt;0,B122,"")</x:f>
      </x:c>
      <x:c r="AH122" s="9" t="n">
        <x:f>IF(F122&gt;=1,1,(1+v01_LowTiesShare*(AE122-1))/AE122)</x:f>
        <x:v>1</x:v>
      </x:c>
      <x:c r="AI122" s="32" t="n">
        <x:f>(Z122+v01_ElderCommons*INDEX(LM_Elder,G122)*AA122)*AH122</x:f>
        <x:v>12.155289052209767</x:v>
      </x:c>
      <x:c r="AJ122" s="32" t="n">
        <x:f>H122*v01_CommonsCoef*AI122^v01_CommonsExp*INDEX(LM_Commons,G122)</x:f>
        <x:v>5.258938477068756</x:v>
      </x:c>
      <x:c r="AK122" s="32" t="n">
        <x:f>H122*v01_RoleScale*Arch_Roles*(AE122*(INDEX(v01_ElderRolePerSett,G122)*v01_OutElder*INDEX(LM_Elder,G122)+INDEX(v01_ShamanPerSett,G122)*v01_OutShaman)+Z122*(INDEX(v01_PriestShare,G122)*v01_OutPriest+INDEX(v01_ScribeShare,G122)*v01_OutScribe*INDEX(LM_Scribe,G122)+INDEX(v01_ScholarShare,G122)*v01_OutScholar*INDEX(LM_Scholar,G122)+INDEX(v01_ResearcherShare,G122)*v01_OutResearcher*INDEX(LM_Researcher,G122)))</x:f>
        <x:v>0</x:v>
      </x:c>
      <x:c r="AL122" s="32" t="n">
        <x:f>H122*v01_RoleScale*Arch_Roles*AE122*INDEX(v01_MonasteryPerSett,G122)*v01_OutMonastery*INDEX(LM_Monastery,G122)</x:f>
        <x:v>0</x:v>
      </x:c>
      <x:c r="AM122" s="32" t="n">
        <x:f>(AJ122+AK122+AL122)/4*INDEX(LM_All,G122)*INDEX(v01_Boon,G122)*Arch_Insight</x:f>
        <x:v>1.314734619267189</x:v>
      </x:c>
      <x:c r="AN122" s="32" t="n">
        <x:f>H122*(v01_KHPerAdult*Z122+v01_KHOfCommons*AJ122/4*INDEX(LM_All,G122))*v01_KHUsable*Arch_KH</x:f>
        <x:v>0.28409876436499926</x:v>
      </x:c>
      <x:c r="AO122" s="32" t="n">
        <x:f>MIN(AP121+AN122,AM122*v01_KHMaxRatio)</x:f>
        <x:v>0.28409876436499926</x:v>
      </x:c>
      <x:c r="AP122" s="32" t="n">
        <x:f>AP121+AN122-AO122</x:f>
        <x:v>0</x:v>
      </x:c>
      <x:c r="AQ122" s="32" t="n">
        <x:f>AM122+AO122</x:f>
        <x:v>1.5988333836321882</x:v>
      </x:c>
      <x:c r="AR122" s="10" t="n">
        <x:f>IF(H122=1,INDEX(v01_Req,G122),0)</x:f>
        <x:v>372.02</x:v>
      </x:c>
      <x:c r="AS122" s="32" t="n">
        <x:f>IF(H122=1,IF(E122=1,AS121-AR121,AS121)+AQ122,0)</x:f>
        <x:v>179.70065058204082</x:v>
      </x:c>
      <x:c r="AT122" s="11" t="n">
        <x:f>IF(AR122&gt;0,MIN(1,AS122/AR122),1)</x:f>
        <x:v>0.4830402950971476</x:v>
      </x:c>
      <x:c r="AU122" s="10" t="n">
        <x:f>AB122/INDEX(v01_RepScale,G122)</x:f>
        <x:v>16.599564567725558</x:v>
      </x:c>
      <x:c r="AV122" s="32" t="n">
        <x:f>AM122*60/v01_SeasonSeconds</x:f>
        <x:v>5.258938477068756</x:v>
      </x:c>
    </x:row>
    <x:row r="123">
      <x:c r="A123" s="8" t="n">
        <x:f>A122+1</x:f>
        <x:v>120</x:v>
      </x:c>
      <x:c r="B123" s="9" t="n">
        <x:f>A123*v01_SeasonSeconds/60</x:f>
        <x:v>30</x:v>
      </x:c>
      <x:c r="C123" s="9" t="n">
        <x:f>A123/4</x:f>
        <x:v>30</x:v>
      </x:c>
      <x:c r="D123" s="8" t="n">
        <x:f>IF(MOD(A123,4)=0,1,0)</x:f>
        <x:v>1</x:v>
      </x:c>
      <x:c r="E123" s="8" t="n">
        <x:f>IF(AND(F122&lt;=9,AS122&gt;=AR122),1,0)</x:f>
        <x:v>0</x:v>
      </x:c>
      <x:c r="F123" s="8" t="n">
        <x:f>MIN(10,F122+E123)</x:f>
        <x:v>0</x:v>
      </x:c>
      <x:c r="G123" s="8" t="n">
        <x:f>MIN(F123,9)+1</x:f>
        <x:v>1</x:v>
      </x:c>
      <x:c r="H123" s="8" t="n">
        <x:f>IF(F123&lt;=9,1,0)</x:f>
        <x:v>1</x:v>
      </x:c>
      <x:c r="I123" s="9" t="n">
        <x:f>MIN(10,F122+IF(AR122&gt;0,MIN(1,AS122/AR122),1))</x:f>
        <x:v>0.4830402950971476</x:v>
      </x:c>
      <x:c r="J123" s="32" t="n">
        <x:f>INDEX(v01_FoodCap,G123)*Arch_FoodCap*EXP(v01_CapsByProject*SUMPRODUCT((Cap_Point&lt;=I123)*(Cap_Kind="Food")*Cap_Ln))</x:f>
        <x:v>22</x:v>
      </x:c>
      <x:c r="K123" s="32" t="n">
        <x:f>J123*MIN(1,v01_LeanBase*EXP(v01_CapsByProject*SUMPRODUCT((Cap_Point&lt;=I123)*(Cap_Kind="Lean")*Cap_Ln)))</x:f>
        <x:v>22</x:v>
      </x:c>
      <x:c r="L123" s="10" t="n">
        <x:f>INDEX(v01_HousingCap,G123)*EXP(v01_CapsByProject*SUMPRODUCT((Cap_Point&lt;=I123)*(Cap_Kind="Housing")*Cap_Ln))</x:f>
        <x:v>60</x:v>
      </x:c>
      <x:c r="M123" s="10" t="n">
        <x:f>INDEX(v01_GroupCap,G123)*v01_CohesionFactor*EXP(v01_CapsByProject*SUMPRODUCT((Cap_Point&lt;=I123)*(Cap_Kind="Group")*Cap_Ln))</x:f>
        <x:v>35</x:v>
      </x:c>
      <x:c r="N123" s="32" t="n">
        <x:f>MIN(J123,L123,M123)</x:f>
        <x:v>22</x:v>
      </x:c>
      <x:c r="O123" s="10" t="n">
        <x:f>AE122*N123</x:f>
        <x:v>22</x:v>
      </x:c>
      <x:c r="P123" s="9" t="n">
        <x:f>MIN(1,(AB122/(AE122*IF(v01_GroupInCrowding=1,N123,MIN(J123,L123))))^v01_CrowdingExp)</x:f>
        <x:v>0.1845202740297411</x:v>
      </x:c>
      <x:c r="Q123" s="9" t="n">
        <x:f>IF(D123=1,INDEX(v01_WinterMult,G123),1)</x:f>
        <x:v>2</x:v>
      </x:c>
      <x:c r="R123" s="9" t="n">
        <x:f>H123*Z122*v01_WomenShare*v01_BaseFertility*INDEX(v01_FertMult,G123)*Arch_Fertility*(1-P123)</x:f>
        <x:v>0.19858009929673606</x:v>
      </x:c>
      <x:c r="S123" s="9" t="n">
        <x:f>H123*Y122*INDEX(v01_MortChild,G123)/4*Q123</x:f>
        <x:v>0.1292673252995566</x:v>
      </x:c>
      <x:c r="T123" s="9" t="n">
        <x:f>H123*Z122*INDEX(v01_MortAdult,G123)*Arch_AdultMort/4*Q123</x:f>
        <x:v>0.0608783066496427</x:v>
      </x:c>
      <x:c r="U123" s="9" t="n">
        <x:f>H123*AA122*INDEX(v01_MortElder,G123)/4*Q123</x:f>
        <x:v>0.10095453747310186</x:v>
      </x:c>
      <x:c r="V123" s="9" t="n">
        <x:f>H123*MAX(0,AB122-O123)*v01_OvercapLoss</x:f>
        <x:v>0</x:v>
      </x:c>
      <x:c r="W123" s="9" t="n">
        <x:f>H123*Y122/(v01_ChildYears*4)</x:f>
        <x:v>0.11541725473174694</x:v>
      </x:c>
      <x:c r="X123" s="9" t="n">
        <x:f>H123*Z122/(v01_AdultYears*4)</x:f>
        <x:v>0.06546054478456205</x:v>
      </x:c>
      <x:c r="Y123" s="32" t="n">
        <x:f>Y122+R123-S123-W123-Y122*V123/AB122</x:f>
        <x:v>6.417261784243261</x:v>
      </x:c>
      <x:c r="Z123" s="32" t="n">
        <x:f>Z122+W123-X123-T123-Z122*V123/AB122</x:f>
        <x:v>8.106185956583236</x:v>
      </x:c>
      <x:c r="AA123" s="32" t="n">
        <x:f>AA122+X123-U123-AA122*V123/AB122</x:f>
        <x:v>1.9835967567734976</x:v>
      </x:c>
      <x:c r="AB123" s="10" t="n">
        <x:f>Y123+Z123+AA123</x:f>
        <x:v>16.507044497599995</x:v>
      </x:c>
      <x:c r="AC123" s="8" t="n">
        <x:f>IF(AND(v01_WinterTrigger=1,D123=1,AB122/AE122&gt;=K123),1,0)</x:f>
        <x:v>0</x:v>
      </x:c>
      <x:c r="AD123" s="8" t="n">
        <x:f>H123*IF(AND(OR(AB122/AE122&gt;=v01_FissionTrigger*N123,AC123=1),AB122/AE122*v01_DaughterShare&gt;=v01_MinDaughter),MAX(1,ROUND(AE122*v01_FissionRate,0)),0)</x:f>
        <x:v>0</x:v>
      </x:c>
      <x:c r="AE123" s="8" t="n">
        <x:f>IF(H123=1,MAX(1,MIN(INDEX(v01_Smax,G123),AE122+AD123)),AE122)</x:f>
        <x:v>1</x:v>
      </x:c>
      <x:c r="AF123" s="8" t="n">
        <x:f>MAX(0,AE123-AE122)</x:f>
        <x:v>0</x:v>
      </x:c>
      <x:c r="AG123" s="9" t="str">
        <x:f>IF(AF123&gt;0,B123,"")</x:f>
      </x:c>
      <x:c r="AH123" s="9" t="n">
        <x:f>IF(F123&gt;=1,1,(1+v01_LowTiesShare*(AE123-1))/AE123)</x:f>
        <x:v>1</x:v>
      </x:c>
      <x:c r="AI123" s="32" t="n">
        <x:f>(Z123+v01_ElderCommons*INDEX(LM_Elder,G123)*AA123)*AH123</x:f>
        <x:v>12.07337947013023</x:v>
      </x:c>
      <x:c r="AJ123" s="32" t="n">
        <x:f>H123*v01_CommonsCoef*AI123^v01_CommonsExp*INDEX(LM_Commons,G123)</x:f>
        <x:v>5.228801031531093</x:v>
      </x:c>
      <x:c r="AK123" s="32" t="n">
        <x:f>H123*v01_RoleScale*Arch_Roles*(AE123*(INDEX(v01_ElderRolePerSett,G123)*v01_OutElder*INDEX(LM_Elder,G123)+INDEX(v01_ShamanPerSett,G123)*v01_OutShaman)+Z123*(INDEX(v01_PriestShare,G123)*v01_OutPriest+INDEX(v01_ScribeShare,G123)*v01_OutScribe*INDEX(LM_Scribe,G123)+INDEX(v01_ScholarShare,G123)*v01_OutScholar*INDEX(LM_Scholar,G123)+INDEX(v01_ResearcherShare,G123)*v01_OutResearcher*INDEX(LM_Researcher,G123)))</x:f>
        <x:v>0</x:v>
      </x:c>
      <x:c r="AL123" s="32" t="n">
        <x:f>H123*v01_RoleScale*Arch_Roles*AE123*INDEX(v01_MonasteryPerSett,G123)*v01_OutMonastery*INDEX(LM_Monastery,G123)</x:f>
        <x:v>0</x:v>
      </x:c>
      <x:c r="AM123" s="32" t="n">
        <x:f>(AJ123+AK123+AL123)/4*INDEX(LM_All,G123)*INDEX(v01_Boon,G123)*Arch_Insight</x:f>
        <x:v>1.3072002578827733</x:v>
      </x:c>
      <x:c r="AN123" s="32" t="n">
        <x:f>H123*(v01_KHPerAdult*Z123+v01_KHOfCommons*AJ123/4*INDEX(LM_All,G123))*v01_KHUsable*Arch_KH</x:f>
        <x:v>0.28371650848041324</x:v>
      </x:c>
      <x:c r="AO123" s="32" t="n">
        <x:f>MIN(AP122+AN123,AM123*v01_KHMaxRatio)</x:f>
        <x:v>0.28371650848041324</x:v>
      </x:c>
      <x:c r="AP123" s="32" t="n">
        <x:f>AP122+AN123-AO123</x:f>
        <x:v>0</x:v>
      </x:c>
      <x:c r="AQ123" s="32" t="n">
        <x:f>AM123+AO123</x:f>
        <x:v>1.5909167663631865</x:v>
      </x:c>
      <x:c r="AR123" s="10" t="n">
        <x:f>IF(H123=1,INDEX(v01_Req,G123),0)</x:f>
        <x:v>372.02</x:v>
      </x:c>
      <x:c r="AS123" s="32" t="n">
        <x:f>IF(H123=1,IF(E123=1,AS122-AR122,AS122)+AQ123,0)</x:f>
        <x:v>181.29156734840402</x:v>
      </x:c>
      <x:c r="AT123" s="11" t="n">
        <x:f>IF(AR123&gt;0,MIN(1,AS123/AR123),1)</x:f>
        <x:v>0.48731672315575514</x:v>
      </x:c>
      <x:c r="AU123" s="10" t="n">
        <x:f>AB123/INDEX(v01_RepScale,G123)</x:f>
        <x:v>16.507044497599995</x:v>
      </x:c>
      <x:c r="AV123" s="32" t="n">
        <x:f>AM123*60/v01_SeasonSeconds</x:f>
        <x:v>5.228801031531093</x:v>
      </x:c>
    </x:row>
    <x:row r="124">
      <x:c r="A124" s="8" t="n">
        <x:f>A123+1</x:f>
        <x:v>121</x:v>
      </x:c>
      <x:c r="B124" s="9" t="n">
        <x:f>A124*v01_SeasonSeconds/60</x:f>
        <x:v>30.25</x:v>
      </x:c>
      <x:c r="C124" s="9" t="n">
        <x:f>A124/4</x:f>
        <x:v>30.25</x:v>
      </x:c>
      <x:c r="D124" s="8" t="n">
        <x:f>IF(MOD(A124,4)=0,1,0)</x:f>
        <x:v>0</x:v>
      </x:c>
      <x:c r="E124" s="8" t="n">
        <x:f>IF(AND(F123&lt;=9,AS123&gt;=AR123),1,0)</x:f>
        <x:v>0</x:v>
      </x:c>
      <x:c r="F124" s="8" t="n">
        <x:f>MIN(10,F123+E124)</x:f>
        <x:v>0</x:v>
      </x:c>
      <x:c r="G124" s="8" t="n">
        <x:f>MIN(F124,9)+1</x:f>
        <x:v>1</x:v>
      </x:c>
      <x:c r="H124" s="8" t="n">
        <x:f>IF(F124&lt;=9,1,0)</x:f>
        <x:v>1</x:v>
      </x:c>
      <x:c r="I124" s="9" t="n">
        <x:f>MIN(10,F123+IF(AR123&gt;0,MIN(1,AS123/AR123),1))</x:f>
        <x:v>0.48731672315575514</x:v>
      </x:c>
      <x:c r="J124" s="32" t="n">
        <x:f>INDEX(v01_FoodCap,G124)*Arch_FoodCap*EXP(v01_CapsByProject*SUMPRODUCT((Cap_Point&lt;=I124)*(Cap_Kind="Food")*Cap_Ln))</x:f>
        <x:v>22</x:v>
      </x:c>
      <x:c r="K124" s="32" t="n">
        <x:f>J124*MIN(1,v01_LeanBase*EXP(v01_CapsByProject*SUMPRODUCT((Cap_Point&lt;=I124)*(Cap_Kind="Lean")*Cap_Ln)))</x:f>
        <x:v>22</x:v>
      </x:c>
      <x:c r="L124" s="10" t="n">
        <x:f>INDEX(v01_HousingCap,G124)*EXP(v01_CapsByProject*SUMPRODUCT((Cap_Point&lt;=I124)*(Cap_Kind="Housing")*Cap_Ln))</x:f>
        <x:v>60</x:v>
      </x:c>
      <x:c r="M124" s="10" t="n">
        <x:f>INDEX(v01_GroupCap,G124)*v01_CohesionFactor*EXP(v01_CapsByProject*SUMPRODUCT((Cap_Point&lt;=I124)*(Cap_Kind="Group")*Cap_Ln))</x:f>
        <x:v>35</x:v>
      </x:c>
      <x:c r="N124" s="32" t="n">
        <x:f>MIN(J124,L124,M124)</x:f>
        <x:v>22</x:v>
      </x:c>
      <x:c r="O124" s="10" t="n">
        <x:f>AE123*N124</x:f>
        <x:v>22</x:v>
      </x:c>
      <x:c r="P124" s="9" t="n">
        <x:f>MIN(1,(AB123/(AE123*IF(v01_GroupInCrowding=1,N124,MIN(J124,L124))))^v01_CrowdingExp)</x:f>
        <x:v>0.17843491860551672</x:v>
      </x:c>
      <x:c r="Q124" s="9" t="n">
        <x:f>IF(D124=1,INDEX(v01_WinterMult,G124),1)</x:f>
        <x:v>1</x:v>
      </x:c>
      <x:c r="R124" s="9" t="n">
        <x:f>H124*Z123*v01_WomenShare*v01_BaseFertility*INDEX(v01_FertMult,G124)*Arch_Fertility*(1-P124)</x:f>
        <x:v>0.1997927797565737</x:v>
      </x:c>
      <x:c r="S124" s="9" t="n">
        <x:f>H124*Y123*INDEX(v01_MortChild,G124)/4*Q124</x:f>
        <x:v>0.06417261784243261</x:v>
      </x:c>
      <x:c r="T124" s="9" t="n">
        <x:f>H124*Z123*INDEX(v01_MortAdult,G124)*Arch_AdultMort/4*Q124</x:f>
        <x:v>0.030398197337187134</x:v>
      </x:c>
      <x:c r="U124" s="9" t="n">
        <x:f>H124*AA123*INDEX(v01_MortElder,G124)/4*Q124</x:f>
        <x:v>0.04958991891933744</x:v>
      </x:c>
      <x:c r="V124" s="9" t="n">
        <x:f>H124*MAX(0,AB123-O124)*v01_OvercapLoss</x:f>
        <x:v>0</x:v>
      </x:c>
      <x:c r="W124" s="9" t="n">
        <x:f>H124*Y123/(v01_ChildYears*4)</x:f>
        <x:v>0.11459396043291538</x:v>
      </x:c>
      <x:c r="X124" s="9" t="n">
        <x:f>H124*Z123/(v01_AdultYears*4)</x:f>
        <x:v>0.06537246739180029</x:v>
      </x:c>
      <x:c r="Y124" s="32" t="n">
        <x:f>Y123+R124-S124-W124-Y123*V124/AB123</x:f>
        <x:v>6.438287985724487</x:v>
      </x:c>
      <x:c r="Z124" s="32" t="n">
        <x:f>Z123+W124-X124-T124-Z123*V124/AB123</x:f>
        <x:v>8.125009252287164</x:v>
      </x:c>
      <x:c r="AA124" s="32" t="n">
        <x:f>AA123+X124-U124-AA123*V124/AB123</x:f>
        <x:v>1.9993793052459605</x:v>
      </x:c>
      <x:c r="AB124" s="10" t="n">
        <x:f>Y124+Z124+AA124</x:f>
        <x:v>16.56267654325761</x:v>
      </x:c>
      <x:c r="AC124" s="8" t="n">
        <x:f>IF(AND(v01_WinterTrigger=1,D124=1,AB123/AE123&gt;=K124),1,0)</x:f>
        <x:v>0</x:v>
      </x:c>
      <x:c r="AD124" s="8" t="n">
        <x:f>H124*IF(AND(OR(AB123/AE123&gt;=v01_FissionTrigger*N124,AC124=1),AB123/AE123*v01_DaughterShare&gt;=v01_MinDaughter),MAX(1,ROUND(AE123*v01_FissionRate,0)),0)</x:f>
        <x:v>0</x:v>
      </x:c>
      <x:c r="AE124" s="8" t="n">
        <x:f>IF(H124=1,MAX(1,MIN(INDEX(v01_Smax,G124),AE123+AD124)),AE123)</x:f>
        <x:v>1</x:v>
      </x:c>
      <x:c r="AF124" s="8" t="n">
        <x:f>MAX(0,AE124-AE123)</x:f>
        <x:v>0</x:v>
      </x:c>
      <x:c r="AG124" s="9" t="str">
        <x:f>IF(AF124&gt;0,B124,"")</x:f>
      </x:c>
      <x:c r="AH124" s="9" t="n">
        <x:f>IF(F124&gt;=1,1,(1+v01_LowTiesShare*(AE124-1))/AE124)</x:f>
        <x:v>1</x:v>
      </x:c>
      <x:c r="AI124" s="32" t="n">
        <x:f>(Z124+v01_ElderCommons*INDEX(LM_Elder,G124)*AA124)*AH124</x:f>
        <x:v>12.123767862779085</x:v>
      </x:c>
      <x:c r="AJ124" s="32" t="n">
        <x:f>H124*v01_CommonsCoef*AI124^v01_CommonsExp*INDEX(LM_Commons,G124)</x:f>
        <x:v>5.247344328423688</x:v>
      </x:c>
      <x:c r="AK124" s="32" t="n">
        <x:f>H124*v01_RoleScale*Arch_Roles*(AE124*(INDEX(v01_ElderRolePerSett,G124)*v01_OutElder*INDEX(LM_Elder,G124)+INDEX(v01_ShamanPerSett,G124)*v01_OutShaman)+Z124*(INDEX(v01_PriestShare,G124)*v01_OutPriest+INDEX(v01_ScribeShare,G124)*v01_OutScribe*INDEX(LM_Scribe,G124)+INDEX(v01_ScholarShare,G124)*v01_OutScholar*INDEX(LM_Scholar,G124)+INDEX(v01_ResearcherShare,G124)*v01_OutResearcher*INDEX(LM_Researcher,G124)))</x:f>
        <x:v>0</x:v>
      </x:c>
      <x:c r="AL124" s="32" t="n">
        <x:f>H124*v01_RoleScale*Arch_Roles*AE124*INDEX(v01_MonasteryPerSett,G124)*v01_OutMonastery*INDEX(LM_Monastery,G124)</x:f>
        <x:v>0</x:v>
      </x:c>
      <x:c r="AM124" s="32" t="n">
        <x:f>(AJ124+AK124+AL124)/4*INDEX(LM_All,G124)*INDEX(v01_Boon,G124)*Arch_Insight</x:f>
        <x:v>1.311836082105922</x:v>
      </x:c>
      <x:c r="AN124" s="32" t="n">
        <x:f>H124*(v01_KHPerAdult*Z124+v01_KHOfCommons*AJ124/4*INDEX(LM_All,G124))*v01_KHUsable*Arch_KH</x:f>
        <x:v>0.2843753238300507</x:v>
      </x:c>
      <x:c r="AO124" s="32" t="n">
        <x:f>MIN(AP123+AN124,AM124*v01_KHMaxRatio)</x:f>
        <x:v>0.2843753238300507</x:v>
      </x:c>
      <x:c r="AP124" s="32" t="n">
        <x:f>AP123+AN124-AO124</x:f>
        <x:v>0</x:v>
      </x:c>
      <x:c r="AQ124" s="32" t="n">
        <x:f>AM124+AO124</x:f>
        <x:v>1.5962114059359727</x:v>
      </x:c>
      <x:c r="AR124" s="10" t="n">
        <x:f>IF(H124=1,INDEX(v01_Req,G124),0)</x:f>
        <x:v>372.02</x:v>
      </x:c>
      <x:c r="AS124" s="32" t="n">
        <x:f>IF(H124=1,IF(E124=1,AS123-AR123,AS123)+AQ124,0)</x:f>
        <x:v>182.88777875434</x:v>
      </x:c>
      <x:c r="AT124" s="11" t="n">
        <x:f>IF(AR124&gt;0,MIN(1,AS124/AR124),1)</x:f>
        <x:v>0.4916073833512714</x:v>
      </x:c>
      <x:c r="AU124" s="10" t="n">
        <x:f>AB124/INDEX(v01_RepScale,G124)</x:f>
        <x:v>16.56267654325761</x:v>
      </x:c>
      <x:c r="AV124" s="32" t="n">
        <x:f>AM124*60/v01_SeasonSeconds</x:f>
        <x:v>5.247344328423688</x:v>
      </x:c>
    </x:row>
    <x:row r="125">
      <x:c r="A125" s="8" t="n">
        <x:f>A124+1</x:f>
        <x:v>122</x:v>
      </x:c>
      <x:c r="B125" s="9" t="n">
        <x:f>A125*v01_SeasonSeconds/60</x:f>
        <x:v>30.5</x:v>
      </x:c>
      <x:c r="C125" s="9" t="n">
        <x:f>A125/4</x:f>
        <x:v>30.5</x:v>
      </x:c>
      <x:c r="D125" s="8" t="n">
        <x:f>IF(MOD(A125,4)=0,1,0)</x:f>
        <x:v>0</x:v>
      </x:c>
      <x:c r="E125" s="8" t="n">
        <x:f>IF(AND(F124&lt;=9,AS124&gt;=AR124),1,0)</x:f>
        <x:v>0</x:v>
      </x:c>
      <x:c r="F125" s="8" t="n">
        <x:f>MIN(10,F124+E125)</x:f>
        <x:v>0</x:v>
      </x:c>
      <x:c r="G125" s="8" t="n">
        <x:f>MIN(F125,9)+1</x:f>
        <x:v>1</x:v>
      </x:c>
      <x:c r="H125" s="8" t="n">
        <x:f>IF(F125&lt;=9,1,0)</x:f>
        <x:v>1</x:v>
      </x:c>
      <x:c r="I125" s="9" t="n">
        <x:f>MIN(10,F124+IF(AR124&gt;0,MIN(1,AS124/AR124),1))</x:f>
        <x:v>0.4916073833512714</x:v>
      </x:c>
      <x:c r="J125" s="32" t="n">
        <x:f>INDEX(v01_FoodCap,G125)*Arch_FoodCap*EXP(v01_CapsByProject*SUMPRODUCT((Cap_Point&lt;=I125)*(Cap_Kind="Food")*Cap_Ln))</x:f>
        <x:v>22</x:v>
      </x:c>
      <x:c r="K125" s="32" t="n">
        <x:f>J125*MIN(1,v01_LeanBase*EXP(v01_CapsByProject*SUMPRODUCT((Cap_Point&lt;=I125)*(Cap_Kind="Lean")*Cap_Ln)))</x:f>
        <x:v>22</x:v>
      </x:c>
      <x:c r="L125" s="10" t="n">
        <x:f>INDEX(v01_HousingCap,G125)*EXP(v01_CapsByProject*SUMPRODUCT((Cap_Point&lt;=I125)*(Cap_Kind="Housing")*Cap_Ln))</x:f>
        <x:v>60</x:v>
      </x:c>
      <x:c r="M125" s="10" t="n">
        <x:f>INDEX(v01_GroupCap,G125)*v01_CohesionFactor*EXP(v01_CapsByProject*SUMPRODUCT((Cap_Point&lt;=I125)*(Cap_Kind="Group")*Cap_Ln))</x:f>
        <x:v>35</x:v>
      </x:c>
      <x:c r="N125" s="32" t="n">
        <x:f>MIN(J125,L125,M125)</x:f>
        <x:v>22</x:v>
      </x:c>
      <x:c r="O125" s="10" t="n">
        <x:f>AE124*N125</x:f>
        <x:v>22</x:v>
      </x:c>
      <x:c r="P125" s="9" t="n">
        <x:f>MIN(1,(AB124/(AE124*IF(v01_GroupInCrowding=1,N125,MIN(J125,L125))))^v01_CrowdingExp)</x:f>
        <x:v>0.18207362463966317</x:v>
      </x:c>
      <x:c r="Q125" s="9" t="n">
        <x:f>IF(D125=1,INDEX(v01_WinterMult,G125),1)</x:f>
        <x:v>1</x:v>
      </x:c>
      <x:c r="R125" s="9" t="n">
        <x:f>H125*Z124*v01_WomenShare*v01_BaseFertility*INDEX(v01_FertMult,G125)*Arch_Fertility*(1-P125)</x:f>
        <x:v>0.19936978102477323</x:v>
      </x:c>
      <x:c r="S125" s="9" t="n">
        <x:f>H125*Y124*INDEX(v01_MortChild,G125)/4*Q125</x:f>
        <x:v>0.06438287985724486</x:v>
      </x:c>
      <x:c r="T125" s="9" t="n">
        <x:f>H125*Z124*INDEX(v01_MortAdult,G125)*Arch_AdultMort/4*Q125</x:f>
        <x:v>0.030468784696076865</x:v>
      </x:c>
      <x:c r="U125" s="9" t="n">
        <x:f>H125*AA124*INDEX(v01_MortElder,G125)/4*Q125</x:f>
        <x:v>0.04998448263114902</x:v>
      </x:c>
      <x:c r="V125" s="9" t="n">
        <x:f>H125*MAX(0,AB124-O125)*v01_OvercapLoss</x:f>
        <x:v>0</x:v>
      </x:c>
      <x:c r="W125" s="9" t="n">
        <x:f>H125*Y124/(v01_ChildYears*4)</x:f>
        <x:v>0.11496942831650869</x:v>
      </x:c>
      <x:c r="X125" s="9" t="n">
        <x:f>H125*Z124/(v01_AdultYears*4)</x:f>
        <x:v>0.06552426816360617</x:v>
      </x:c>
      <x:c r="Y125" s="32" t="n">
        <x:f>Y124+R125-S125-W125-Y124*V125/AB124</x:f>
        <x:v>6.458305458575507</x:v>
      </x:c>
      <x:c r="Z125" s="32" t="n">
        <x:f>Z124+W125-X125-T125-Z124*V125/AB124</x:f>
        <x:v>8.143985627743989</x:v>
      </x:c>
      <x:c r="AA125" s="32" t="n">
        <x:f>AA124+X125-U125-AA124*V125/AB124</x:f>
        <x:v>2.0149190907784176</x:v>
      </x:c>
      <x:c r="AB125" s="10" t="n">
        <x:f>Y125+Z125+AA125</x:f>
        <x:v>16.617210177097913</x:v>
      </x:c>
      <x:c r="AC125" s="8" t="n">
        <x:f>IF(AND(v01_WinterTrigger=1,D125=1,AB124/AE124&gt;=K125),1,0)</x:f>
        <x:v>0</x:v>
      </x:c>
      <x:c r="AD125" s="8" t="n">
        <x:f>H125*IF(AND(OR(AB124/AE124&gt;=v01_FissionTrigger*N125,AC125=1),AB124/AE124*v01_DaughterShare&gt;=v01_MinDaughter),MAX(1,ROUND(AE124*v01_FissionRate,0)),0)</x:f>
        <x:v>0</x:v>
      </x:c>
      <x:c r="AE125" s="8" t="n">
        <x:f>IF(H125=1,MAX(1,MIN(INDEX(v01_Smax,G125),AE124+AD125)),AE124)</x:f>
        <x:v>1</x:v>
      </x:c>
      <x:c r="AF125" s="8" t="n">
        <x:f>MAX(0,AE125-AE124)</x:f>
        <x:v>0</x:v>
      </x:c>
      <x:c r="AG125" s="9" t="str">
        <x:f>IF(AF125&gt;0,B125,"")</x:f>
      </x:c>
      <x:c r="AH125" s="9" t="n">
        <x:f>IF(F125&gt;=1,1,(1+v01_LowTiesShare*(AE125-1))/AE125)</x:f>
        <x:v>1</x:v>
      </x:c>
      <x:c r="AI125" s="32" t="n">
        <x:f>(Z125+v01_ElderCommons*INDEX(LM_Elder,G125)*AA125)*AH125</x:f>
        <x:v>12.173823809300824</x:v>
      </x:c>
      <x:c r="AJ125" s="32" t="n">
        <x:f>H125*v01_CommonsCoef*AI125^v01_CommonsExp*INDEX(LM_Commons,G125)</x:f>
        <x:v>5.265753839925027</x:v>
      </x:c>
      <x:c r="AK125" s="32" t="n">
        <x:f>H125*v01_RoleScale*Arch_Roles*(AE125*(INDEX(v01_ElderRolePerSett,G125)*v01_OutElder*INDEX(LM_Elder,G125)+INDEX(v01_ShamanPerSett,G125)*v01_OutShaman)+Z125*(INDEX(v01_PriestShare,G125)*v01_OutPriest+INDEX(v01_ScribeShare,G125)*v01_OutScribe*INDEX(LM_Scribe,G125)+INDEX(v01_ScholarShare,G125)*v01_OutScholar*INDEX(LM_Scholar,G125)+INDEX(v01_ResearcherShare,G125)*v01_OutResearcher*INDEX(LM_Researcher,G125)))</x:f>
        <x:v>0</x:v>
      </x:c>
      <x:c r="AL125" s="32" t="n">
        <x:f>H125*v01_RoleScale*Arch_Roles*AE125*INDEX(v01_MonasteryPerSett,G125)*v01_OutMonastery*INDEX(LM_Monastery,G125)</x:f>
        <x:v>0</x:v>
      </x:c>
      <x:c r="AM125" s="32" t="n">
        <x:f>(AJ125+AK125+AL125)/4*INDEX(LM_All,G125)*INDEX(v01_Boon,G125)*Arch_Insight</x:f>
        <x:v>1.3164384599812569</x:v>
      </x:c>
      <x:c r="AN125" s="32" t="n">
        <x:f>H125*(v01_KHPerAdult*Z125+v01_KHOfCommons*AJ125/4*INDEX(LM_All,G125))*v01_KHUsable*Arch_KH</x:f>
        <x:v>0.2850394969710396</x:v>
      </x:c>
      <x:c r="AO125" s="32" t="n">
        <x:f>MIN(AP124+AN125,AM125*v01_KHMaxRatio)</x:f>
        <x:v>0.2850394969710396</x:v>
      </x:c>
      <x:c r="AP125" s="32" t="n">
        <x:f>AP124+AN125-AO125</x:f>
        <x:v>0</x:v>
      </x:c>
      <x:c r="AQ125" s="32" t="n">
        <x:f>AM125+AO125</x:f>
        <x:v>1.6014779569522966</x:v>
      </x:c>
      <x:c r="AR125" s="10" t="n">
        <x:f>IF(H125=1,INDEX(v01_Req,G125),0)</x:f>
        <x:v>372.02</x:v>
      </x:c>
      <x:c r="AS125" s="32" t="n">
        <x:f>IF(H125=1,IF(E125=1,AS124-AR124,AS124)+AQ125,0)</x:f>
        <x:v>184.48925671129228</x:v>
      </x:c>
      <x:c r="AT125" s="11" t="n">
        <x:f>IF(AR125&gt;0,MIN(1,AS125/AR125),1)</x:f>
        <x:v>0.49591220018088356</x:v>
      </x:c>
      <x:c r="AU125" s="10" t="n">
        <x:f>AB125/INDEX(v01_RepScale,G125)</x:f>
        <x:v>16.617210177097913</x:v>
      </x:c>
      <x:c r="AV125" s="32" t="n">
        <x:f>AM125*60/v01_SeasonSeconds</x:f>
        <x:v>5.265753839925027</x:v>
      </x:c>
    </x:row>
    <x:row r="126">
      <x:c r="A126" s="8" t="n">
        <x:f>A125+1</x:f>
        <x:v>123</x:v>
      </x:c>
      <x:c r="B126" s="9" t="n">
        <x:f>A126*v01_SeasonSeconds/60</x:f>
        <x:v>30.75</x:v>
      </x:c>
      <x:c r="C126" s="9" t="n">
        <x:f>A126/4</x:f>
        <x:v>30.75</x:v>
      </x:c>
      <x:c r="D126" s="8" t="n">
        <x:f>IF(MOD(A126,4)=0,1,0)</x:f>
        <x:v>0</x:v>
      </x:c>
      <x:c r="E126" s="8" t="n">
        <x:f>IF(AND(F125&lt;=9,AS125&gt;=AR125),1,0)</x:f>
        <x:v>0</x:v>
      </x:c>
      <x:c r="F126" s="8" t="n">
        <x:f>MIN(10,F125+E126)</x:f>
        <x:v>0</x:v>
      </x:c>
      <x:c r="G126" s="8" t="n">
        <x:f>MIN(F126,9)+1</x:f>
        <x:v>1</x:v>
      </x:c>
      <x:c r="H126" s="8" t="n">
        <x:f>IF(F126&lt;=9,1,0)</x:f>
        <x:v>1</x:v>
      </x:c>
      <x:c r="I126" s="9" t="n">
        <x:f>MIN(10,F125+IF(AR125&gt;0,MIN(1,AS125/AR125),1))</x:f>
        <x:v>0.49591220018088356</x:v>
      </x:c>
      <x:c r="J126" s="32" t="n">
        <x:f>INDEX(v01_FoodCap,G126)*Arch_FoodCap*EXP(v01_CapsByProject*SUMPRODUCT((Cap_Point&lt;=I126)*(Cap_Kind="Food")*Cap_Ln))</x:f>
        <x:v>22</x:v>
      </x:c>
      <x:c r="K126" s="32" t="n">
        <x:f>J126*MIN(1,v01_LeanBase*EXP(v01_CapsByProject*SUMPRODUCT((Cap_Point&lt;=I126)*(Cap_Kind="Lean")*Cap_Ln)))</x:f>
        <x:v>22</x:v>
      </x:c>
      <x:c r="L126" s="10" t="n">
        <x:f>INDEX(v01_HousingCap,G126)*EXP(v01_CapsByProject*SUMPRODUCT((Cap_Point&lt;=I126)*(Cap_Kind="Housing")*Cap_Ln))</x:f>
        <x:v>60</x:v>
      </x:c>
      <x:c r="M126" s="10" t="n">
        <x:f>INDEX(v01_GroupCap,G126)*v01_CohesionFactor*EXP(v01_CapsByProject*SUMPRODUCT((Cap_Point&lt;=I126)*(Cap_Kind="Group")*Cap_Ln))</x:f>
        <x:v>35</x:v>
      </x:c>
      <x:c r="N126" s="32" t="n">
        <x:f>MIN(J126,L126,M126)</x:f>
        <x:v>22</x:v>
      </x:c>
      <x:c r="O126" s="10" t="n">
        <x:f>AE125*N126</x:f>
        <x:v>22</x:v>
      </x:c>
      <x:c r="P126" s="9" t="n">
        <x:f>MIN(1,(AB125/(AE125*IF(v01_GroupInCrowding=1,N126,MIN(J126,L126))))^v01_CrowdingExp)</x:f>
        <x:v>0.18570029456041062</x:v>
      </x:c>
      <x:c r="Q126" s="9" t="n">
        <x:f>IF(D126=1,INDEX(v01_WinterMult,G126),1)</x:f>
        <x:v>1</x:v>
      </x:c>
      <x:c r="R126" s="9" t="n">
        <x:f>H126*Z125*v01_WomenShare*v01_BaseFertility*INDEX(v01_FertMult,G126)*Arch_Fertility*(1-P126)</x:f>
        <x:v>0.1989493529332854</x:v>
      </x:c>
      <x:c r="S126" s="9" t="n">
        <x:f>H126*Y125*INDEX(v01_MortChild,G126)/4*Q126</x:f>
        <x:v>0.06458305458575507</x:v>
      </x:c>
      <x:c r="T126" s="9" t="n">
        <x:f>H126*Z125*INDEX(v01_MortAdult,G126)*Arch_AdultMort/4*Q126</x:f>
        <x:v>0.03053994610403996</x:v>
      </x:c>
      <x:c r="U126" s="9" t="n">
        <x:f>H126*AA125*INDEX(v01_MortElder,G126)/4*Q126</x:f>
        <x:v>0.05037297726946044</x:v>
      </x:c>
      <x:c r="V126" s="9" t="n">
        <x:f>H126*MAX(0,AB125-O126)*v01_OvercapLoss</x:f>
        <x:v>0</x:v>
      </x:c>
      <x:c r="W126" s="9" t="n">
        <x:f>H126*Y125/(v01_ChildYears*4)</x:f>
        <x:v>0.11532688318884833</x:v>
      </x:c>
      <x:c r="X126" s="9" t="n">
        <x:f>H126*Z125/(v01_AdultYears*4)</x:f>
        <x:v>0.0656773034495483</x:v>
      </x:c>
      <x:c r="Y126" s="32" t="n">
        <x:f>Y125+R126-S126-W126-Y125*V126/AB125</x:f>
        <x:v>6.477344873734188</x:v>
      </x:c>
      <x:c r="Z126" s="32" t="n">
        <x:f>Z125+W126-X126-T126-Z125*V126/AB125</x:f>
        <x:v>8.163095261379247</x:v>
      </x:c>
      <x:c r="AA126" s="32" t="n">
        <x:f>AA125+X126-U126-AA125*V126/AB125</x:f>
        <x:v>2.0302234169585054</x:v>
      </x:c>
      <x:c r="AB126" s="10" t="n">
        <x:f>Y126+Z126+AA126</x:f>
        <x:v>16.67066355207194</x:v>
      </x:c>
      <x:c r="AC126" s="8" t="n">
        <x:f>IF(AND(v01_WinterTrigger=1,D126=1,AB125/AE125&gt;=K126),1,0)</x:f>
        <x:v>0</x:v>
      </x:c>
      <x:c r="AD126" s="8" t="n">
        <x:f>H126*IF(AND(OR(AB125/AE125&gt;=v01_FissionTrigger*N126,AC126=1),AB125/AE125*v01_DaughterShare&gt;=v01_MinDaughter),MAX(1,ROUND(AE125*v01_FissionRate,0)),0)</x:f>
        <x:v>0</x:v>
      </x:c>
      <x:c r="AE126" s="8" t="n">
        <x:f>IF(H126=1,MAX(1,MIN(INDEX(v01_Smax,G126),AE125+AD126)),AE125)</x:f>
        <x:v>1</x:v>
      </x:c>
      <x:c r="AF126" s="8" t="n">
        <x:f>MAX(0,AE126-AE125)</x:f>
        <x:v>0</x:v>
      </x:c>
      <x:c r="AG126" s="9" t="str">
        <x:f>IF(AF126&gt;0,B126,"")</x:f>
      </x:c>
      <x:c r="AH126" s="9" t="n">
        <x:f>IF(F126&gt;=1,1,(1+v01_LowTiesShare*(AE126-1))/AE126)</x:f>
        <x:v>1</x:v>
      </x:c>
      <x:c r="AI126" s="32" t="n">
        <x:f>(Z126+v01_ElderCommons*INDEX(LM_Elder,G126)*AA126)*AH126</x:f>
        <x:v>12.223542095296258</x:v>
      </x:c>
      <x:c r="AJ126" s="32" t="n">
        <x:f>H126*v01_CommonsCoef*AI126^v01_CommonsExp*INDEX(LM_Commons,G126)</x:f>
        <x:v>5.284027930668212</x:v>
      </x:c>
      <x:c r="AK126" s="32" t="n">
        <x:f>H126*v01_RoleScale*Arch_Roles*(AE126*(INDEX(v01_ElderRolePerSett,G126)*v01_OutElder*INDEX(LM_Elder,G126)+INDEX(v01_ShamanPerSett,G126)*v01_OutShaman)+Z126*(INDEX(v01_PriestShare,G126)*v01_OutPriest+INDEX(v01_ScribeShare,G126)*v01_OutScribe*INDEX(LM_Scribe,G126)+INDEX(v01_ScholarShare,G126)*v01_OutScholar*INDEX(LM_Scholar,G126)+INDEX(v01_ResearcherShare,G126)*v01_OutResearcher*INDEX(LM_Researcher,G126)))</x:f>
        <x:v>0</x:v>
      </x:c>
      <x:c r="AL126" s="32" t="n">
        <x:f>H126*v01_RoleScale*Arch_Roles*AE126*INDEX(v01_MonasteryPerSett,G126)*v01_OutMonastery*INDEX(LM_Monastery,G126)</x:f>
        <x:v>0</x:v>
      </x:c>
      <x:c r="AM126" s="32" t="n">
        <x:f>(AJ126+AK126+AL126)/4*INDEX(LM_All,G126)*INDEX(v01_Boon,G126)*Arch_Insight</x:f>
        <x:v>1.321006982667053</x:v>
      </x:c>
      <x:c r="AN126" s="32" t="n">
        <x:f>H126*(v01_KHPerAdult*Z126+v01_KHOfCommons*AJ126/4*INDEX(LM_All,G126))*v01_KHUsable*Arch_KH</x:f>
        <x:v>0.2857083341482736</x:v>
      </x:c>
      <x:c r="AO126" s="32" t="n">
        <x:f>MIN(AP125+AN126,AM126*v01_KHMaxRatio)</x:f>
        <x:v>0.2857083341482736</x:v>
      </x:c>
      <x:c r="AP126" s="32" t="n">
        <x:f>AP125+AN126-AO126</x:f>
        <x:v>0</x:v>
      </x:c>
      <x:c r="AQ126" s="32" t="n">
        <x:f>AM126+AO126</x:f>
        <x:v>1.6067153168153265</x:v>
      </x:c>
      <x:c r="AR126" s="10" t="n">
        <x:f>IF(H126=1,INDEX(v01_Req,G126),0)</x:f>
        <x:v>372.02</x:v>
      </x:c>
      <x:c r="AS126" s="32" t="n">
        <x:f>IF(H126=1,IF(E126=1,AS125-AR125,AS125)+AQ126,0)</x:f>
        <x:v>186.0959720281076</x:v>
      </x:c>
      <x:c r="AT126" s="11" t="n">
        <x:f>IF(AR126&gt;0,MIN(1,AS126/AR126),1)</x:f>
        <x:v>0.5002310951779679</x:v>
      </x:c>
      <x:c r="AU126" s="10" t="n">
        <x:f>AB126/INDEX(v01_RepScale,G126)</x:f>
        <x:v>16.67066355207194</x:v>
      </x:c>
      <x:c r="AV126" s="32" t="n">
        <x:f>AM126*60/v01_SeasonSeconds</x:f>
        <x:v>5.284027930668212</x:v>
      </x:c>
    </x:row>
    <x:row r="127">
      <x:c r="A127" s="8" t="n">
        <x:f>A126+1</x:f>
        <x:v>124</x:v>
      </x:c>
      <x:c r="B127" s="9" t="n">
        <x:f>A127*v01_SeasonSeconds/60</x:f>
        <x:v>31</x:v>
      </x:c>
      <x:c r="C127" s="9" t="n">
        <x:f>A127/4</x:f>
        <x:v>31</x:v>
      </x:c>
      <x:c r="D127" s="8" t="n">
        <x:f>IF(MOD(A127,4)=0,1,0)</x:f>
        <x:v>1</x:v>
      </x:c>
      <x:c r="E127" s="8" t="n">
        <x:f>IF(AND(F126&lt;=9,AS126&gt;=AR126),1,0)</x:f>
        <x:v>0</x:v>
      </x:c>
      <x:c r="F127" s="8" t="n">
        <x:f>MIN(10,F126+E127)</x:f>
        <x:v>0</x:v>
      </x:c>
      <x:c r="G127" s="8" t="n">
        <x:f>MIN(F127,9)+1</x:f>
        <x:v>1</x:v>
      </x:c>
      <x:c r="H127" s="8" t="n">
        <x:f>IF(F127&lt;=9,1,0)</x:f>
        <x:v>1</x:v>
      </x:c>
      <x:c r="I127" s="9" t="n">
        <x:f>MIN(10,F126+IF(AR126&gt;0,MIN(1,AS126/AR126),1))</x:f>
        <x:v>0.5002310951779679</x:v>
      </x:c>
      <x:c r="J127" s="32" t="n">
        <x:f>INDEX(v01_FoodCap,G127)*Arch_FoodCap*EXP(v01_CapsByProject*SUMPRODUCT((Cap_Point&lt;=I127)*(Cap_Kind="Food")*Cap_Ln))</x:f>
        <x:v>22</x:v>
      </x:c>
      <x:c r="K127" s="32" t="n">
        <x:f>J127*MIN(1,v01_LeanBase*EXP(v01_CapsByProject*SUMPRODUCT((Cap_Point&lt;=I127)*(Cap_Kind="Lean")*Cap_Ln)))</x:f>
        <x:v>22</x:v>
      </x:c>
      <x:c r="L127" s="10" t="n">
        <x:f>INDEX(v01_HousingCap,G127)*EXP(v01_CapsByProject*SUMPRODUCT((Cap_Point&lt;=I127)*(Cap_Kind="Housing")*Cap_Ln))</x:f>
        <x:v>60</x:v>
      </x:c>
      <x:c r="M127" s="10" t="n">
        <x:f>INDEX(v01_GroupCap,G127)*v01_CohesionFactor*EXP(v01_CapsByProject*SUMPRODUCT((Cap_Point&lt;=I127)*(Cap_Kind="Group")*Cap_Ln))</x:f>
        <x:v>35</x:v>
      </x:c>
      <x:c r="N127" s="32" t="n">
        <x:f>MIN(J127,L127,M127)</x:f>
        <x:v>22</x:v>
      </x:c>
      <x:c r="O127" s="10" t="n">
        <x:f>AE126*N127</x:f>
        <x:v>22</x:v>
      </x:c>
      <x:c r="P127" s="9" t="n">
        <x:f>MIN(1,(AB126/(AE126*IF(v01_GroupInCrowding=1,N127,MIN(J127,L127))))^v01_CrowdingExp)</x:f>
        <x:v>0.18931334752508505</x:v>
      </x:c>
      <x:c r="Q127" s="9" t="n">
        <x:f>IF(D127=1,INDEX(v01_WinterMult,G127),1)</x:f>
        <x:v>2</x:v>
      </x:c>
      <x:c r="R127" s="9" t="n">
        <x:f>H127*Z126*v01_WomenShare*v01_BaseFertility*INDEX(v01_FertMult,G127)*Arch_Fertility*(1-P127)</x:f>
        <x:v>0.1985313711384415</x:v>
      </x:c>
      <x:c r="S127" s="9" t="n">
        <x:f>H127*Y126*INDEX(v01_MortChild,G127)/4*Q127</x:f>
        <x:v>0.12954689747468376</x:v>
      </x:c>
      <x:c r="T127" s="9" t="n">
        <x:f>H127*Z126*INDEX(v01_MortAdult,G127)*Arch_AdultMort/4*Q127</x:f>
        <x:v>0.06122321446034435</x:v>
      </x:c>
      <x:c r="U127" s="9" t="n">
        <x:f>H127*AA126*INDEX(v01_MortElder,G127)/4*Q127</x:f>
        <x:v>0.10151117084792527</x:v>
      </x:c>
      <x:c r="V127" s="9" t="n">
        <x:f>H127*MAX(0,AB126-O127)*v01_OvercapLoss</x:f>
        <x:v>0</x:v>
      </x:c>
      <x:c r="W127" s="9" t="n">
        <x:f>H127*Y126/(v01_ChildYears*4)</x:f>
        <x:v>0.11566687274525335</x:v>
      </x:c>
      <x:c r="X127" s="9" t="n">
        <x:f>H127*Z126/(v01_AdultYears*4)</x:f>
        <x:v>0.06583141339821974</x:v>
      </x:c>
      <x:c r="Y127" s="32" t="n">
        <x:f>Y126+R127-S127-W127-Y126*V127/AB126</x:f>
        <x:v>6.430662474652693</x:v>
      </x:c>
      <x:c r="Z127" s="32" t="n">
        <x:f>Z126+W127-X127-T127-Z126*V127/AB126</x:f>
        <x:v>8.151707506265936</x:v>
      </x:c>
      <x:c r="AA127" s="32" t="n">
        <x:f>AA126+X127-U127-AA126*V127/AB126</x:f>
        <x:v>1.9945436595088</x:v>
      </x:c>
      <x:c r="AB127" s="10" t="n">
        <x:f>Y127+Z127+AA127</x:f>
        <x:v>16.576913640427428</x:v>
      </x:c>
      <x:c r="AC127" s="8" t="n">
        <x:f>IF(AND(v01_WinterTrigger=1,D127=1,AB126/AE126&gt;=K127),1,0)</x:f>
        <x:v>0</x:v>
      </x:c>
      <x:c r="AD127" s="8" t="n">
        <x:f>H127*IF(AND(OR(AB126/AE126&gt;=v01_FissionTrigger*N127,AC127=1),AB126/AE126*v01_DaughterShare&gt;=v01_MinDaughter),MAX(1,ROUND(AE126*v01_FissionRate,0)),0)</x:f>
        <x:v>0</x:v>
      </x:c>
      <x:c r="AE127" s="8" t="n">
        <x:f>IF(H127=1,MAX(1,MIN(INDEX(v01_Smax,G127),AE126+AD127)),AE126)</x:f>
        <x:v>1</x:v>
      </x:c>
      <x:c r="AF127" s="8" t="n">
        <x:f>MAX(0,AE127-AE126)</x:f>
        <x:v>0</x:v>
      </x:c>
      <x:c r="AG127" s="9" t="str">
        <x:f>IF(AF127&gt;0,B127,"")</x:f>
      </x:c>
      <x:c r="AH127" s="9" t="n">
        <x:f>IF(F127&gt;=1,1,(1+v01_LowTiesShare*(AE127-1))/AE127)</x:f>
        <x:v>1</x:v>
      </x:c>
      <x:c r="AI127" s="32" t="n">
        <x:f>(Z127+v01_ElderCommons*INDEX(LM_Elder,G127)*AA127)*AH127</x:f>
        <x:v>12.140794825283535</x:v>
      </x:c>
      <x:c r="AJ127" s="32" t="n">
        <x:f>H127*v01_CommonsCoef*AI127^v01_CommonsExp*INDEX(LM_Commons,G127)</x:f>
        <x:v>5.25360775994419</x:v>
      </x:c>
      <x:c r="AK127" s="32" t="n">
        <x:f>H127*v01_RoleScale*Arch_Roles*(AE127*(INDEX(v01_ElderRolePerSett,G127)*v01_OutElder*INDEX(LM_Elder,G127)+INDEX(v01_ShamanPerSett,G127)*v01_OutShaman)+Z127*(INDEX(v01_PriestShare,G127)*v01_OutPriest+INDEX(v01_ScribeShare,G127)*v01_OutScribe*INDEX(LM_Scribe,G127)+INDEX(v01_ScholarShare,G127)*v01_OutScholar*INDEX(LM_Scholar,G127)+INDEX(v01_ResearcherShare,G127)*v01_OutResearcher*INDEX(LM_Researcher,G127)))</x:f>
        <x:v>0</x:v>
      </x:c>
      <x:c r="AL127" s="32" t="n">
        <x:f>H127*v01_RoleScale*Arch_Roles*AE127*INDEX(v01_MonasteryPerSett,G127)*v01_OutMonastery*INDEX(LM_Monastery,G127)</x:f>
        <x:v>0</x:v>
      </x:c>
      <x:c r="AM127" s="32" t="n">
        <x:f>(AJ127+AK127+AL127)/4*INDEX(LM_All,G127)*INDEX(v01_Boon,G127)*Arch_Insight</x:f>
        <x:v>1.3134019399860475</x:v>
      </x:c>
      <x:c r="AN127" s="32" t="n">
        <x:f>H127*(v01_KHPerAdult*Z127+v01_KHOfCommons*AJ127/4*INDEX(LM_All,G127))*v01_KHUsable*Arch_KH</x:f>
        <x:v>0.28530976271930775</x:v>
      </x:c>
      <x:c r="AO127" s="32" t="n">
        <x:f>MIN(AP126+AN127,AM127*v01_KHMaxRatio)</x:f>
        <x:v>0.28530976271930775</x:v>
      </x:c>
      <x:c r="AP127" s="32" t="n">
        <x:f>AP126+AN127-AO127</x:f>
        <x:v>0</x:v>
      </x:c>
      <x:c r="AQ127" s="32" t="n">
        <x:f>AM127+AO127</x:f>
        <x:v>1.5987117027053552</x:v>
      </x:c>
      <x:c r="AR127" s="10" t="n">
        <x:f>IF(H127=1,INDEX(v01_Req,G127),0)</x:f>
        <x:v>372.02</x:v>
      </x:c>
      <x:c r="AS127" s="32" t="n">
        <x:f>IF(H127=1,IF(E127=1,AS126-AR126,AS126)+AQ127,0)</x:f>
        <x:v>187.69468373081295</x:v>
      </x:c>
      <x:c r="AT127" s="11" t="n">
        <x:f>IF(AR127&gt;0,MIN(1,AS127/AR127),1)</x:f>
        <x:v>0.504528476240022</x:v>
      </x:c>
      <x:c r="AU127" s="10" t="n">
        <x:f>AB127/INDEX(v01_RepScale,G127)</x:f>
        <x:v>16.576913640427428</x:v>
      </x:c>
      <x:c r="AV127" s="32" t="n">
        <x:f>AM127*60/v01_SeasonSeconds</x:f>
        <x:v>5.25360775994419</x:v>
      </x:c>
    </x:row>
    <x:row r="128">
      <x:c r="A128" s="8" t="n">
        <x:f>A127+1</x:f>
        <x:v>125</x:v>
      </x:c>
      <x:c r="B128" s="9" t="n">
        <x:f>A128*v01_SeasonSeconds/60</x:f>
        <x:v>31.25</x:v>
      </x:c>
      <x:c r="C128" s="9" t="n">
        <x:f>A128/4</x:f>
        <x:v>31.25</x:v>
      </x:c>
      <x:c r="D128" s="8" t="n">
        <x:f>IF(MOD(A128,4)=0,1,0)</x:f>
        <x:v>0</x:v>
      </x:c>
      <x:c r="E128" s="8" t="n">
        <x:f>IF(AND(F127&lt;=9,AS127&gt;=AR127),1,0)</x:f>
        <x:v>0</x:v>
      </x:c>
      <x:c r="F128" s="8" t="n">
        <x:f>MIN(10,F127+E128)</x:f>
        <x:v>0</x:v>
      </x:c>
      <x:c r="G128" s="8" t="n">
        <x:f>MIN(F128,9)+1</x:f>
        <x:v>1</x:v>
      </x:c>
      <x:c r="H128" s="8" t="n">
        <x:f>IF(F128&lt;=9,1,0)</x:f>
        <x:v>1</x:v>
      </x:c>
      <x:c r="I128" s="9" t="n">
        <x:f>MIN(10,F127+IF(AR127&gt;0,MIN(1,AS127/AR127),1))</x:f>
        <x:v>0.504528476240022</x:v>
      </x:c>
      <x:c r="J128" s="32" t="n">
        <x:f>INDEX(v01_FoodCap,G128)*Arch_FoodCap*EXP(v01_CapsByProject*SUMPRODUCT((Cap_Point&lt;=I128)*(Cap_Kind="Food")*Cap_Ln))</x:f>
        <x:v>22</x:v>
      </x:c>
      <x:c r="K128" s="32" t="n">
        <x:f>J128*MIN(1,v01_LeanBase*EXP(v01_CapsByProject*SUMPRODUCT((Cap_Point&lt;=I128)*(Cap_Kind="Lean")*Cap_Ln)))</x:f>
        <x:v>22</x:v>
      </x:c>
      <x:c r="L128" s="10" t="n">
        <x:f>INDEX(v01_HousingCap,G128)*EXP(v01_CapsByProject*SUMPRODUCT((Cap_Point&lt;=I128)*(Cap_Kind="Housing")*Cap_Ln))</x:f>
        <x:v>60</x:v>
      </x:c>
      <x:c r="M128" s="10" t="n">
        <x:f>INDEX(v01_GroupCap,G128)*v01_CohesionFactor*EXP(v01_CapsByProject*SUMPRODUCT((Cap_Point&lt;=I128)*(Cap_Kind="Group")*Cap_Ln))</x:f>
        <x:v>35</x:v>
      </x:c>
      <x:c r="N128" s="32" t="n">
        <x:f>MIN(J128,L128,M128)</x:f>
        <x:v>22</x:v>
      </x:c>
      <x:c r="O128" s="10" t="n">
        <x:f>AE127*N128</x:f>
        <x:v>22</x:v>
      </x:c>
      <x:c r="P128" s="9" t="n">
        <x:f>MIN(1,(AB127/(AE127*IF(v01_GroupInCrowding=1,N128,MIN(J128,L128))))^v01_CrowdingExp)</x:f>
        <x:v>0.18301469603058576</x:v>
      </x:c>
      <x:c r="Q128" s="9" t="n">
        <x:f>IF(D128=1,INDEX(v01_WinterMult,G128),1)</x:f>
        <x:v>1</x:v>
      </x:c>
      <x:c r="R128" s="9" t="n">
        <x:f>H128*Z127*v01_WomenShare*v01_BaseFertility*INDEX(v01_FertMult,G128)*Arch_Fertility*(1-P128)</x:f>
        <x:v>0.19979475704629293</x:v>
      </x:c>
      <x:c r="S128" s="9" t="n">
        <x:f>H128*Y127*INDEX(v01_MortChild,G128)/4*Q128</x:f>
        <x:v>0.06430662474652693</x:v>
      </x:c>
      <x:c r="T128" s="9" t="n">
        <x:f>H128*Z127*INDEX(v01_MortAdult,G128)*Arch_AdultMort/4*Q128</x:f>
        <x:v>0.030568903148497258</x:v>
      </x:c>
      <x:c r="U128" s="9" t="n">
        <x:f>H128*AA127*INDEX(v01_MortElder,G128)/4*Q128</x:f>
        <x:v>0.04986359148772</x:v>
      </x:c>
      <x:c r="V128" s="9" t="n">
        <x:f>H128*MAX(0,AB127-O128)*v01_OvercapLoss</x:f>
        <x:v>0</x:v>
      </x:c>
      <x:c r="W128" s="9" t="n">
        <x:f>H128*Y127/(v01_ChildYears*4)</x:f>
        <x:v>0.11483325847594095</x:v>
      </x:c>
      <x:c r="X128" s="9" t="n">
        <x:f>H128*Z127/(v01_AdultYears*4)</x:f>
        <x:v>0.06573957666343497</x:v>
      </x:c>
      <x:c r="Y128" s="32" t="n">
        <x:f>Y127+R128-S128-W128-Y127*V128/AB127</x:f>
        <x:v>6.451317348476518</x:v>
      </x:c>
      <x:c r="Z128" s="32" t="n">
        <x:f>Z127+W128-X128-T128-Z127*V128/AB127</x:f>
        <x:v>8.170232284929945</x:v>
      </x:c>
      <x:c r="AA128" s="32" t="n">
        <x:f>AA127+X128-U128-AA127*V128/AB127</x:f>
        <x:v>2.010419644684515</x:v>
      </x:c>
      <x:c r="AB128" s="10" t="n">
        <x:f>Y128+Z128+AA128</x:f>
        <x:v>16.631969278090978</x:v>
      </x:c>
      <x:c r="AC128" s="8" t="n">
        <x:f>IF(AND(v01_WinterTrigger=1,D128=1,AB127/AE127&gt;=K128),1,0)</x:f>
        <x:v>0</x:v>
      </x:c>
      <x:c r="AD128" s="8" t="n">
        <x:f>H128*IF(AND(OR(AB127/AE127&gt;=v01_FissionTrigger*N128,AC128=1),AB127/AE127*v01_DaughterShare&gt;=v01_MinDaughter),MAX(1,ROUND(AE127*v01_FissionRate,0)),0)</x:f>
        <x:v>0</x:v>
      </x:c>
      <x:c r="AE128" s="8" t="n">
        <x:f>IF(H128=1,MAX(1,MIN(INDEX(v01_Smax,G128),AE127+AD128)),AE127)</x:f>
        <x:v>1</x:v>
      </x:c>
      <x:c r="AF128" s="8" t="n">
        <x:f>MAX(0,AE128-AE127)</x:f>
        <x:v>0</x:v>
      </x:c>
      <x:c r="AG128" s="9" t="str">
        <x:f>IF(AF128&gt;0,B128,"")</x:f>
      </x:c>
      <x:c r="AH128" s="9" t="n">
        <x:f>IF(F128&gt;=1,1,(1+v01_LowTiesShare*(AE128-1))/AE128)</x:f>
        <x:v>1</x:v>
      </x:c>
      <x:c r="AI128" s="32" t="n">
        <x:f>(Z128+v01_ElderCommons*INDEX(LM_Elder,G128)*AA128)*AH128</x:f>
        <x:v>12.191071574298974</x:v>
      </x:c>
      <x:c r="AJ128" s="32" t="n">
        <x:f>H128*v01_CommonsCoef*AI128^v01_CommonsExp*INDEX(LM_Commons,G128)</x:f>
        <x:v>5.2720945685727125</x:v>
      </x:c>
      <x:c r="AK128" s="32" t="n">
        <x:f>H128*v01_RoleScale*Arch_Roles*(AE128*(INDEX(v01_ElderRolePerSett,G128)*v01_OutElder*INDEX(LM_Elder,G128)+INDEX(v01_ShamanPerSett,G128)*v01_OutShaman)+Z128*(INDEX(v01_PriestShare,G128)*v01_OutPriest+INDEX(v01_ScribeShare,G128)*v01_OutScribe*INDEX(LM_Scribe,G128)+INDEX(v01_ScholarShare,G128)*v01_OutScholar*INDEX(LM_Scholar,G128)+INDEX(v01_ResearcherShare,G128)*v01_OutResearcher*INDEX(LM_Researcher,G128)))</x:f>
        <x:v>0</x:v>
      </x:c>
      <x:c r="AL128" s="32" t="n">
        <x:f>H128*v01_RoleScale*Arch_Roles*AE128*INDEX(v01_MonasteryPerSett,G128)*v01_OutMonastery*INDEX(LM_Monastery,G128)</x:f>
        <x:v>0</x:v>
      </x:c>
      <x:c r="AM128" s="32" t="n">
        <x:f>(AJ128+AK128+AL128)/4*INDEX(LM_All,G128)*INDEX(v01_Boon,G128)*Arch_Insight</x:f>
        <x:v>1.3180236421431781</x:v>
      </x:c>
      <x:c r="AN128" s="32" t="n">
        <x:f>H128*(v01_KHPerAdult*Z128+v01_KHOfCommons*AJ128/4*INDEX(LM_All,G128))*v01_KHUsable*Arch_KH</x:f>
        <x:v>0.2859581299725481</x:v>
      </x:c>
      <x:c r="AO128" s="32" t="n">
        <x:f>MIN(AP127+AN128,AM128*v01_KHMaxRatio)</x:f>
        <x:v>0.2859581299725481</x:v>
      </x:c>
      <x:c r="AP128" s="32" t="n">
        <x:f>AP127+AN128-AO128</x:f>
        <x:v>0</x:v>
      </x:c>
      <x:c r="AQ128" s="32" t="n">
        <x:f>AM128+AO128</x:f>
        <x:v>1.6039817721157261</x:v>
      </x:c>
      <x:c r="AR128" s="10" t="n">
        <x:f>IF(H128=1,INDEX(v01_Req,G128),0)</x:f>
        <x:v>372.02</x:v>
      </x:c>
      <x:c r="AS128" s="32" t="n">
        <x:f>IF(H128=1,IF(E128=1,AS127-AR127,AS127)+AQ128,0)</x:f>
        <x:v>189.29866550292869</x:v>
      </x:c>
      <x:c r="AT128" s="11" t="n">
        <x:f>IF(AR128&gt;0,MIN(1,AS128/AR128),1)</x:f>
        <x:v>0.5088400233937119</x:v>
      </x:c>
      <x:c r="AU128" s="10" t="n">
        <x:f>AB128/INDEX(v01_RepScale,G128)</x:f>
        <x:v>16.631969278090978</x:v>
      </x:c>
      <x:c r="AV128" s="32" t="n">
        <x:f>AM128*60/v01_SeasonSeconds</x:f>
        <x:v>5.2720945685727125</x:v>
      </x:c>
    </x:row>
    <x:row r="129">
      <x:c r="A129" s="8" t="n">
        <x:f>A128+1</x:f>
        <x:v>126</x:v>
      </x:c>
      <x:c r="B129" s="9" t="n">
        <x:f>A129*v01_SeasonSeconds/60</x:f>
        <x:v>31.5</x:v>
      </x:c>
      <x:c r="C129" s="9" t="n">
        <x:f>A129/4</x:f>
        <x:v>31.5</x:v>
      </x:c>
      <x:c r="D129" s="8" t="n">
        <x:f>IF(MOD(A129,4)=0,1,0)</x:f>
        <x:v>0</x:v>
      </x:c>
      <x:c r="E129" s="8" t="n">
        <x:f>IF(AND(F128&lt;=9,AS128&gt;=AR128),1,0)</x:f>
        <x:v>0</x:v>
      </x:c>
      <x:c r="F129" s="8" t="n">
        <x:f>MIN(10,F128+E129)</x:f>
        <x:v>0</x:v>
      </x:c>
      <x:c r="G129" s="8" t="n">
        <x:f>MIN(F129,9)+1</x:f>
        <x:v>1</x:v>
      </x:c>
      <x:c r="H129" s="8" t="n">
        <x:f>IF(F129&lt;=9,1,0)</x:f>
        <x:v>1</x:v>
      </x:c>
      <x:c r="I129" s="9" t="n">
        <x:f>MIN(10,F128+IF(AR128&gt;0,MIN(1,AS128/AR128),1))</x:f>
        <x:v>0.5088400233937119</x:v>
      </x:c>
      <x:c r="J129" s="32" t="n">
        <x:f>INDEX(v01_FoodCap,G129)*Arch_FoodCap*EXP(v01_CapsByProject*SUMPRODUCT((Cap_Point&lt;=I129)*(Cap_Kind="Food")*Cap_Ln))</x:f>
        <x:v>22</x:v>
      </x:c>
      <x:c r="K129" s="32" t="n">
        <x:f>J129*MIN(1,v01_LeanBase*EXP(v01_CapsByProject*SUMPRODUCT((Cap_Point&lt;=I129)*(Cap_Kind="Lean")*Cap_Ln)))</x:f>
        <x:v>22</x:v>
      </x:c>
      <x:c r="L129" s="10" t="n">
        <x:f>INDEX(v01_HousingCap,G129)*EXP(v01_CapsByProject*SUMPRODUCT((Cap_Point&lt;=I129)*(Cap_Kind="Housing")*Cap_Ln))</x:f>
        <x:v>60</x:v>
      </x:c>
      <x:c r="M129" s="10" t="n">
        <x:f>INDEX(v01_GroupCap,G129)*v01_CohesionFactor*EXP(v01_CapsByProject*SUMPRODUCT((Cap_Point&lt;=I129)*(Cap_Kind="Group")*Cap_Ln))</x:f>
        <x:v>35</x:v>
      </x:c>
      <x:c r="N129" s="32" t="n">
        <x:f>MIN(J129,L129,M129)</x:f>
        <x:v>22</x:v>
      </x:c>
      <x:c r="O129" s="10" t="n">
        <x:f>AE128*N129</x:f>
        <x:v>22</x:v>
      </x:c>
      <x:c r="P129" s="9" t="n">
        <x:f>MIN(1,(AB128/(AE128*IF(v01_GroupInCrowding=1,N129,MIN(J129,L129))))^v01_CrowdingExp)</x:f>
        <x:v>0.18669210810927345</x:v>
      </x:c>
      <x:c r="Q129" s="9" t="n">
        <x:f>IF(D129=1,INDEX(v01_WinterMult,G129),1)</x:f>
        <x:v>1</x:v>
      </x:c>
      <x:c r="R129" s="9" t="n">
        <x:f>H129*Z128*v01_WomenShare*v01_BaseFertility*INDEX(v01_FertMult,G129)*Arch_Fertility*(1-P129)</x:f>
        <x:v>0.19934743187741782</x:v>
      </x:c>
      <x:c r="S129" s="9" t="n">
        <x:f>H129*Y128*INDEX(v01_MortChild,G129)/4*Q129</x:f>
        <x:v>0.06451317348476518</x:v>
      </x:c>
      <x:c r="T129" s="9" t="n">
        <x:f>H129*Z128*INDEX(v01_MortAdult,G129)*Arch_AdultMort/4*Q129</x:f>
        <x:v>0.030638371068487293</x:v>
      </x:c>
      <x:c r="U129" s="9" t="n">
        <x:f>H129*AA128*INDEX(v01_MortElder,G129)/4*Q129</x:f>
        <x:v>0.05026049111711287</x:v>
      </x:c>
      <x:c r="V129" s="9" t="n">
        <x:f>H129*MAX(0,AB128-O129)*v01_OvercapLoss</x:f>
        <x:v>0</x:v>
      </x:c>
      <x:c r="W129" s="9" t="n">
        <x:f>H129*Y128/(v01_ChildYears*4)</x:f>
        <x:v>0.11520209550850925</x:v>
      </x:c>
      <x:c r="X129" s="9" t="n">
        <x:f>H129*Z128/(v01_AdultYears*4)</x:f>
        <x:v>0.06588897003975762</x:v>
      </x:c>
      <x:c r="Y129" s="32" t="n">
        <x:f>Y128+R129-S129-W129-Y128*V129/AB128</x:f>
        <x:v>6.470949511360661</x:v>
      </x:c>
      <x:c r="Z129" s="32" t="n">
        <x:f>Z128+W129-X129-T129-Z128*V129/AB128</x:f>
        <x:v>8.188907039330209</x:v>
      </x:c>
      <x:c r="AA129" s="32" t="n">
        <x:f>AA128+X129-U129-AA128*V129/AB128</x:f>
        <x:v>2.0260481236071595</x:v>
      </x:c>
      <x:c r="AB129" s="10" t="n">
        <x:f>Y129+Z129+AA129</x:f>
        <x:v>16.68590467429803</x:v>
      </x:c>
      <x:c r="AC129" s="8" t="n">
        <x:f>IF(AND(v01_WinterTrigger=1,D129=1,AB128/AE128&gt;=K129),1,0)</x:f>
        <x:v>0</x:v>
      </x:c>
      <x:c r="AD129" s="8" t="n">
        <x:f>H129*IF(AND(OR(AB128/AE128&gt;=v01_FissionTrigger*N129,AC129=1),AB128/AE128*v01_DaughterShare&gt;=v01_MinDaughter),MAX(1,ROUND(AE128*v01_FissionRate,0)),0)</x:f>
        <x:v>0</x:v>
      </x:c>
      <x:c r="AE129" s="8" t="n">
        <x:f>IF(H129=1,MAX(1,MIN(INDEX(v01_Smax,G129),AE128+AD129)),AE128)</x:f>
        <x:v>1</x:v>
      </x:c>
      <x:c r="AF129" s="8" t="n">
        <x:f>MAX(0,AE129-AE128)</x:f>
        <x:v>0</x:v>
      </x:c>
      <x:c r="AG129" s="9" t="str">
        <x:f>IF(AF129&gt;0,B129,"")</x:f>
      </x:c>
      <x:c r="AH129" s="9" t="n">
        <x:f>IF(F129&gt;=1,1,(1+v01_LowTiesShare*(AE129-1))/AE129)</x:f>
        <x:v>1</x:v>
      </x:c>
      <x:c r="AI129" s="32" t="n">
        <x:f>(Z129+v01_ElderCommons*INDEX(LM_Elder,G129)*AA129)*AH129</x:f>
        <x:v>12.241003286544528</x:v>
      </x:c>
      <x:c r="AJ129" s="32" t="n">
        <x:f>H129*v01_CommonsCoef*AI129^v01_CommonsExp*INDEX(LM_Commons,G129)</x:f>
        <x:v>5.290443191535228</x:v>
      </x:c>
      <x:c r="AK129" s="32" t="n">
        <x:f>H129*v01_RoleScale*Arch_Roles*(AE129*(INDEX(v01_ElderRolePerSett,G129)*v01_OutElder*INDEX(LM_Elder,G129)+INDEX(v01_ShamanPerSett,G129)*v01_OutShaman)+Z129*(INDEX(v01_PriestShare,G129)*v01_OutPriest+INDEX(v01_ScribeShare,G129)*v01_OutScribe*INDEX(LM_Scribe,G129)+INDEX(v01_ScholarShare,G129)*v01_OutScholar*INDEX(LM_Scholar,G129)+INDEX(v01_ResearcherShare,G129)*v01_OutResearcher*INDEX(LM_Researcher,G129)))</x:f>
        <x:v>0</x:v>
      </x:c>
      <x:c r="AL129" s="32" t="n">
        <x:f>H129*v01_RoleScale*Arch_Roles*AE129*INDEX(v01_MonasteryPerSett,G129)*v01_OutMonastery*INDEX(LM_Monastery,G129)</x:f>
        <x:v>0</x:v>
      </x:c>
      <x:c r="AM129" s="32" t="n">
        <x:f>(AJ129+AK129+AL129)/4*INDEX(LM_All,G129)*INDEX(v01_Boon,G129)*Arch_Insight</x:f>
        <x:v>1.322610797883807</x:v>
      </x:c>
      <x:c r="AN129" s="32" t="n">
        <x:f>H129*(v01_KHPerAdult*Z129+v01_KHOfCommons*AJ129/4*INDEX(LM_All,G129))*v01_KHUsable*Arch_KH</x:f>
        <x:v>0.2866117463765573</x:v>
      </x:c>
      <x:c r="AO129" s="32" t="n">
        <x:f>MIN(AP128+AN129,AM129*v01_KHMaxRatio)</x:f>
        <x:v>0.2866117463765573</x:v>
      </x:c>
      <x:c r="AP129" s="32" t="n">
        <x:f>AP128+AN129-AO129</x:f>
        <x:v>0</x:v>
      </x:c>
      <x:c r="AQ129" s="32" t="n">
        <x:f>AM129+AO129</x:f>
        <x:v>1.6092225442603643</x:v>
      </x:c>
      <x:c r="AR129" s="10" t="n">
        <x:f>IF(H129=1,INDEX(v01_Req,G129),0)</x:f>
        <x:v>372.02</x:v>
      </x:c>
      <x:c r="AS129" s="32" t="n">
        <x:f>IF(H129=1,IF(E129=1,AS128-AR128,AS128)+AQ129,0)</x:f>
        <x:v>190.90788804718906</x:v>
      </x:c>
      <x:c r="AT129" s="11" t="n">
        <x:f>IF(AR129&gt;0,MIN(1,AS129/AR129),1)</x:f>
        <x:v>0.5131656578871809</x:v>
      </x:c>
      <x:c r="AU129" s="10" t="n">
        <x:f>AB129/INDEX(v01_RepScale,G129)</x:f>
        <x:v>16.68590467429803</x:v>
      </x:c>
      <x:c r="AV129" s="32" t="n">
        <x:f>AM129*60/v01_SeasonSeconds</x:f>
        <x:v>5.290443191535228</x:v>
      </x:c>
    </x:row>
    <x:row r="130">
      <x:c r="A130" s="8" t="n">
        <x:f>A129+1</x:f>
        <x:v>127</x:v>
      </x:c>
      <x:c r="B130" s="9" t="n">
        <x:f>A130*v01_SeasonSeconds/60</x:f>
        <x:v>31.75</x:v>
      </x:c>
      <x:c r="C130" s="9" t="n">
        <x:f>A130/4</x:f>
        <x:v>31.75</x:v>
      </x:c>
      <x:c r="D130" s="8" t="n">
        <x:f>IF(MOD(A130,4)=0,1,0)</x:f>
        <x:v>0</x:v>
      </x:c>
      <x:c r="E130" s="8" t="n">
        <x:f>IF(AND(F129&lt;=9,AS129&gt;=AR129),1,0)</x:f>
        <x:v>0</x:v>
      </x:c>
      <x:c r="F130" s="8" t="n">
        <x:f>MIN(10,F129+E130)</x:f>
        <x:v>0</x:v>
      </x:c>
      <x:c r="G130" s="8" t="n">
        <x:f>MIN(F130,9)+1</x:f>
        <x:v>1</x:v>
      </x:c>
      <x:c r="H130" s="8" t="n">
        <x:f>IF(F130&lt;=9,1,0)</x:f>
        <x:v>1</x:v>
      </x:c>
      <x:c r="I130" s="9" t="n">
        <x:f>MIN(10,F129+IF(AR129&gt;0,MIN(1,AS129/AR129),1))</x:f>
        <x:v>0.5131656578871809</x:v>
      </x:c>
      <x:c r="J130" s="32" t="n">
        <x:f>INDEX(v01_FoodCap,G130)*Arch_FoodCap*EXP(v01_CapsByProject*SUMPRODUCT((Cap_Point&lt;=I130)*(Cap_Kind="Food")*Cap_Ln))</x:f>
        <x:v>22</x:v>
      </x:c>
      <x:c r="K130" s="32" t="n">
        <x:f>J130*MIN(1,v01_LeanBase*EXP(v01_CapsByProject*SUMPRODUCT((Cap_Point&lt;=I130)*(Cap_Kind="Lean")*Cap_Ln)))</x:f>
        <x:v>22</x:v>
      </x:c>
      <x:c r="L130" s="10" t="n">
        <x:f>INDEX(v01_HousingCap,G130)*EXP(v01_CapsByProject*SUMPRODUCT((Cap_Point&lt;=I130)*(Cap_Kind="Housing")*Cap_Ln))</x:f>
        <x:v>60</x:v>
      </x:c>
      <x:c r="M130" s="10" t="n">
        <x:f>INDEX(v01_GroupCap,G130)*v01_CohesionFactor*EXP(v01_CapsByProject*SUMPRODUCT((Cap_Point&lt;=I130)*(Cap_Kind="Group")*Cap_Ln))</x:f>
        <x:v>35</x:v>
      </x:c>
      <x:c r="N130" s="32" t="n">
        <x:f>MIN(J130,L130,M130)</x:f>
        <x:v>22</x:v>
      </x:c>
      <x:c r="O130" s="10" t="n">
        <x:f>AE129*N130</x:f>
        <x:v>22</x:v>
      </x:c>
      <x:c r="P130" s="9" t="n">
        <x:f>MIN(1,(AB129/(AE129*IF(v01_GroupInCrowding=1,N130,MIN(J130,L130))))^v01_CrowdingExp)</x:f>
        <x:v>0.1903542001751089</x:v>
      </x:c>
      <x:c r="Q130" s="9" t="n">
        <x:f>IF(D130=1,INDEX(v01_WinterMult,G130),1)</x:f>
        <x:v>1</x:v>
      </x:c>
      <x:c r="R130" s="9" t="n">
        <x:f>H130*Z129*v01_WomenShare*v01_BaseFertility*INDEX(v01_FertMult,G130)*Arch_Fertility*(1-P130)</x:f>
        <x:v>0.19890342568650565</x:v>
      </x:c>
      <x:c r="S130" s="9" t="n">
        <x:f>H130*Y129*INDEX(v01_MortChild,G130)/4*Q130</x:f>
        <x:v>0.06470949511360662</x:v>
      </x:c>
      <x:c r="T130" s="9" t="n">
        <x:f>H130*Z129*INDEX(v01_MortAdult,G130)*Arch_AdultMort/4*Q130</x:f>
        <x:v>0.03070840139748828</x:v>
      </x:c>
      <x:c r="U130" s="9" t="n">
        <x:f>H130*AA129*INDEX(v01_MortElder,G130)/4*Q130</x:f>
        <x:v>0.05065120309017899</x:v>
      </x:c>
      <x:c r="V130" s="9" t="n">
        <x:f>H130*MAX(0,AB129-O130)*v01_OvercapLoss</x:f>
        <x:v>0</x:v>
      </x:c>
      <x:c r="W130" s="9" t="n">
        <x:f>H130*Y129/(v01_ChildYears*4)</x:f>
        <x:v>0.1155526698457261</x:v>
      </x:c>
      <x:c r="X130" s="9" t="n">
        <x:f>H130*Z129/(v01_AdultYears*4)</x:f>
        <x:v>0.06603957289782426</x:v>
      </x:c>
      <x:c r="Y130" s="32" t="n">
        <x:f>Y129+R130-S130-W130-Y129*V130/AB129</x:f>
        <x:v>6.489590772087835</x:v>
      </x:c>
      <x:c r="Z130" s="32" t="n">
        <x:f>Z129+W130-X130-T130-Z129*V130/AB129</x:f>
        <x:v>8.207711734880622</x:v>
      </x:c>
      <x:c r="AA130" s="32" t="n">
        <x:f>AA129+X130-U130-AA129*V130/AB129</x:f>
        <x:v>2.0414364934148046</x:v>
      </x:c>
      <x:c r="AB130" s="10" t="n">
        <x:f>Y130+Z130+AA130</x:f>
        <x:v>16.738739000383262</x:v>
      </x:c>
      <x:c r="AC130" s="8" t="n">
        <x:f>IF(AND(v01_WinterTrigger=1,D130=1,AB129/AE129&gt;=K130),1,0)</x:f>
        <x:v>0</x:v>
      </x:c>
      <x:c r="AD130" s="8" t="n">
        <x:f>H130*IF(AND(OR(AB129/AE129&gt;=v01_FissionTrigger*N130,AC130=1),AB129/AE129*v01_DaughterShare&gt;=v01_MinDaughter),MAX(1,ROUND(AE129*v01_FissionRate,0)),0)</x:f>
        <x:v>0</x:v>
      </x:c>
      <x:c r="AE130" s="8" t="n">
        <x:f>IF(H130=1,MAX(1,MIN(INDEX(v01_Smax,G130),AE129+AD130)),AE129)</x:f>
        <x:v>1</x:v>
      </x:c>
      <x:c r="AF130" s="8" t="n">
        <x:f>MAX(0,AE130-AE129)</x:f>
        <x:v>0</x:v>
      </x:c>
      <x:c r="AG130" s="9" t="str">
        <x:f>IF(AF130&gt;0,B130,"")</x:f>
      </x:c>
      <x:c r="AH130" s="9" t="n">
        <x:f>IF(F130&gt;=1,1,(1+v01_LowTiesShare*(AE130-1))/AE130)</x:f>
        <x:v>1</x:v>
      </x:c>
      <x:c r="AI130" s="32" t="n">
        <x:f>(Z130+v01_ElderCommons*INDEX(LM_Elder,G130)*AA130)*AH130</x:f>
        <x:v>12.290584721710232</x:v>
      </x:c>
      <x:c r="AJ130" s="32" t="n">
        <x:f>H130*v01_CommonsCoef*AI130^v01_CommonsExp*INDEX(LM_Commons,G130)</x:f>
        <x:v>5.308651991008489</x:v>
      </x:c>
      <x:c r="AK130" s="32" t="n">
        <x:f>H130*v01_RoleScale*Arch_Roles*(AE130*(INDEX(v01_ElderRolePerSett,G130)*v01_OutElder*INDEX(LM_Elder,G130)+INDEX(v01_ShamanPerSett,G130)*v01_OutShaman)+Z130*(INDEX(v01_PriestShare,G130)*v01_OutPriest+INDEX(v01_ScribeShare,G130)*v01_OutScribe*INDEX(LM_Scribe,G130)+INDEX(v01_ScholarShare,G130)*v01_OutScholar*INDEX(LM_Scholar,G130)+INDEX(v01_ResearcherShare,G130)*v01_OutResearcher*INDEX(LM_Researcher,G130)))</x:f>
        <x:v>0</x:v>
      </x:c>
      <x:c r="AL130" s="32" t="n">
        <x:f>H130*v01_RoleScale*Arch_Roles*AE130*INDEX(v01_MonasteryPerSett,G130)*v01_OutMonastery*INDEX(LM_Monastery,G130)</x:f>
        <x:v>0</x:v>
      </x:c>
      <x:c r="AM130" s="32" t="n">
        <x:f>(AJ130+AK130+AL130)/4*INDEX(LM_All,G130)*INDEX(v01_Boon,G130)*Arch_Insight</x:f>
        <x:v>1.3271629977521222</x:v>
      </x:c>
      <x:c r="AN130" s="32" t="n">
        <x:f>H130*(v01_KHPerAdult*Z130+v01_KHOfCommons*AJ130/4*INDEX(LM_All,G130))*v01_KHUsable*Arch_KH</x:f>
        <x:v>0.28726991072082175</x:v>
      </x:c>
      <x:c r="AO130" s="32" t="n">
        <x:f>MIN(AP129+AN130,AM130*v01_KHMaxRatio)</x:f>
        <x:v>0.28726991072082175</x:v>
      </x:c>
      <x:c r="AP130" s="32" t="n">
        <x:f>AP129+AN130-AO130</x:f>
        <x:v>0</x:v>
      </x:c>
      <x:c r="AQ130" s="32" t="n">
        <x:f>AM130+AO130</x:f>
        <x:v>1.6144329084729439</x:v>
      </x:c>
      <x:c r="AR130" s="10" t="n">
        <x:f>IF(H130=1,INDEX(v01_Req,G130),0)</x:f>
        <x:v>372.02</x:v>
      </x:c>
      <x:c r="AS130" s="32" t="n">
        <x:f>IF(H130=1,IF(E130=1,AS129-AR129,AS129)+AQ130,0)</x:f>
        <x:v>192.522320955662</x:v>
      </x:c>
      <x:c r="AT130" s="11" t="n">
        <x:f>IF(AR130&gt;0,MIN(1,AS130/AR130),1)</x:f>
        <x:v>0.5175052979830708</x:v>
      </x:c>
      <x:c r="AU130" s="10" t="n">
        <x:f>AB130/INDEX(v01_RepScale,G130)</x:f>
        <x:v>16.738739000383262</x:v>
      </x:c>
      <x:c r="AV130" s="32" t="n">
        <x:f>AM130*60/v01_SeasonSeconds</x:f>
        <x:v>5.308651991008489</x:v>
      </x:c>
    </x:row>
    <x:row r="131">
      <x:c r="A131" s="8" t="n">
        <x:f>A130+1</x:f>
        <x:v>128</x:v>
      </x:c>
      <x:c r="B131" s="9" t="n">
        <x:f>A131*v01_SeasonSeconds/60</x:f>
        <x:v>32</x:v>
      </x:c>
      <x:c r="C131" s="9" t="n">
        <x:f>A131/4</x:f>
        <x:v>32</x:v>
      </x:c>
      <x:c r="D131" s="8" t="n">
        <x:f>IF(MOD(A131,4)=0,1,0)</x:f>
        <x:v>1</x:v>
      </x:c>
      <x:c r="E131" s="8" t="n">
        <x:f>IF(AND(F130&lt;=9,AS130&gt;=AR130),1,0)</x:f>
        <x:v>0</x:v>
      </x:c>
      <x:c r="F131" s="8" t="n">
        <x:f>MIN(10,F130+E131)</x:f>
        <x:v>0</x:v>
      </x:c>
      <x:c r="G131" s="8" t="n">
        <x:f>MIN(F131,9)+1</x:f>
        <x:v>1</x:v>
      </x:c>
      <x:c r="H131" s="8" t="n">
        <x:f>IF(F131&lt;=9,1,0)</x:f>
        <x:v>1</x:v>
      </x:c>
      <x:c r="I131" s="9" t="n">
        <x:f>MIN(10,F130+IF(AR130&gt;0,MIN(1,AS130/AR130),1))</x:f>
        <x:v>0.5175052979830708</x:v>
      </x:c>
      <x:c r="J131" s="32" t="n">
        <x:f>INDEX(v01_FoodCap,G131)*Arch_FoodCap*EXP(v01_CapsByProject*SUMPRODUCT((Cap_Point&lt;=I131)*(Cap_Kind="Food")*Cap_Ln))</x:f>
        <x:v>22</x:v>
      </x:c>
      <x:c r="K131" s="32" t="n">
        <x:f>J131*MIN(1,v01_LeanBase*EXP(v01_CapsByProject*SUMPRODUCT((Cap_Point&lt;=I131)*(Cap_Kind="Lean")*Cap_Ln)))</x:f>
        <x:v>22</x:v>
      </x:c>
      <x:c r="L131" s="10" t="n">
        <x:f>INDEX(v01_HousingCap,G131)*EXP(v01_CapsByProject*SUMPRODUCT((Cap_Point&lt;=I131)*(Cap_Kind="Housing")*Cap_Ln))</x:f>
        <x:v>60</x:v>
      </x:c>
      <x:c r="M131" s="10" t="n">
        <x:f>INDEX(v01_GroupCap,G131)*v01_CohesionFactor*EXP(v01_CapsByProject*SUMPRODUCT((Cap_Point&lt;=I131)*(Cap_Kind="Group")*Cap_Ln))</x:f>
        <x:v>35</x:v>
      </x:c>
      <x:c r="N131" s="32" t="n">
        <x:f>MIN(J131,L131,M131)</x:f>
        <x:v>22</x:v>
      </x:c>
      <x:c r="O131" s="10" t="n">
        <x:f>AE130*N131</x:f>
        <x:v>22</x:v>
      </x:c>
      <x:c r="P131" s="9" t="n">
        <x:f>MIN(1,(AB130/(AE130*IF(v01_GroupInCrowding=1,N131,MIN(J131,L131))))^v01_CrowdingExp)</x:f>
        <x:v>0.19399937957426294</x:v>
      </x:c>
      <x:c r="Q131" s="9" t="n">
        <x:f>IF(D131=1,INDEX(v01_WinterMult,G131),1)</x:f>
        <x:v>2</x:v>
      </x:c>
      <x:c r="R131" s="9" t="n">
        <x:f>H131*Z130*v01_WomenShare*v01_BaseFertility*INDEX(v01_FertMult,G131)*Arch_Fertility*(1-P131)</x:f>
        <x:v>0.19846262251768151</x:v>
      </x:c>
      <x:c r="S131" s="9" t="n">
        <x:f>H131*Y130*INDEX(v01_MortChild,G131)/4*Q131</x:f>
        <x:v>0.12979181544175672</x:v>
      </x:c>
      <x:c r="T131" s="9" t="n">
        <x:f>H131*Z130*INDEX(v01_MortAdult,G131)*Arch_AdultMort/4*Q131</x:f>
        <x:v>0.061557838011604665</x:v>
      </x:c>
      <x:c r="U131" s="9" t="n">
        <x:f>H131*AA130*INDEX(v01_MortElder,G131)/4*Q131</x:f>
        <x:v>0.10207182467074023</x:v>
      </x:c>
      <x:c r="V131" s="9" t="n">
        <x:f>H131*MAX(0,AB130-O131)*v01_OvercapLoss</x:f>
        <x:v>0</x:v>
      </x:c>
      <x:c r="W131" s="9" t="n">
        <x:f>H131*Y130/(v01_ChildYears*4)</x:f>
        <x:v>0.11588554950156849</x:v>
      </x:c>
      <x:c r="X131" s="9" t="n">
        <x:f>H131*Z130/(v01_AdultYears*4)</x:f>
        <x:v>0.06619122366839211</x:v>
      </x:c>
      <x:c r="Y131" s="32" t="n">
        <x:f>Y130+R131-S131-W131-Y130*V131/AB130</x:f>
        <x:v>6.442376029662191</x:v>
      </x:c>
      <x:c r="Z131" s="32" t="n">
        <x:f>Z130+W131-X131-T131-Z130*V131/AB130</x:f>
        <x:v>8.195848222702192</x:v>
      </x:c>
      <x:c r="AA131" s="32" t="n">
        <x:f>AA130+X131-U131-AA130*V131/AB130</x:f>
        <x:v>2.0055558924124566</x:v>
      </x:c>
      <x:c r="AB131" s="10" t="n">
        <x:f>Y131+Z131+AA131</x:f>
        <x:v>16.64378014477684</x:v>
      </x:c>
      <x:c r="AC131" s="8" t="n">
        <x:f>IF(AND(v01_WinterTrigger=1,D131=1,AB130/AE130&gt;=K131),1,0)</x:f>
        <x:v>0</x:v>
      </x:c>
      <x:c r="AD131" s="8" t="n">
        <x:f>H131*IF(AND(OR(AB130/AE130&gt;=v01_FissionTrigger*N131,AC131=1),AB130/AE130*v01_DaughterShare&gt;=v01_MinDaughter),MAX(1,ROUND(AE130*v01_FissionRate,0)),0)</x:f>
        <x:v>0</x:v>
      </x:c>
      <x:c r="AE131" s="8" t="n">
        <x:f>IF(H131=1,MAX(1,MIN(INDEX(v01_Smax,G131),AE130+AD131)),AE130)</x:f>
        <x:v>1</x:v>
      </x:c>
      <x:c r="AF131" s="8" t="n">
        <x:f>MAX(0,AE131-AE130)</x:f>
        <x:v>0</x:v>
      </x:c>
      <x:c r="AG131" s="9" t="str">
        <x:f>IF(AF131&gt;0,B131,"")</x:f>
      </x:c>
      <x:c r="AH131" s="9" t="n">
        <x:f>IF(F131&gt;=1,1,(1+v01_LowTiesShare*(AE131-1))/AE131)</x:f>
        <x:v>1</x:v>
      </x:c>
      <x:c r="AI131" s="32" t="n">
        <x:f>(Z131+v01_ElderCommons*INDEX(LM_Elder,G131)*AA131)*AH131</x:f>
        <x:v>12.206960007527105</x:v>
      </x:c>
      <x:c r="AJ131" s="32" t="n">
        <x:f>H131*v01_CommonsCoef*AI131^v01_CommonsExp*INDEX(LM_Commons,G131)</x:f>
        <x:v>5.277934380733372</x:v>
      </x:c>
      <x:c r="AK131" s="32" t="n">
        <x:f>H131*v01_RoleScale*Arch_Roles*(AE131*(INDEX(v01_ElderRolePerSett,G131)*v01_OutElder*INDEX(LM_Elder,G131)+INDEX(v01_ShamanPerSett,G131)*v01_OutShaman)+Z131*(INDEX(v01_PriestShare,G131)*v01_OutPriest+INDEX(v01_ScribeShare,G131)*v01_OutScribe*INDEX(LM_Scribe,G131)+INDEX(v01_ScholarShare,G131)*v01_OutScholar*INDEX(LM_Scholar,G131)+INDEX(v01_ResearcherShare,G131)*v01_OutResearcher*INDEX(LM_Researcher,G131)))</x:f>
        <x:v>0</x:v>
      </x:c>
      <x:c r="AL131" s="32" t="n">
        <x:f>H131*v01_RoleScale*Arch_Roles*AE131*INDEX(v01_MonasteryPerSett,G131)*v01_OutMonastery*INDEX(LM_Monastery,G131)</x:f>
        <x:v>0</x:v>
      </x:c>
      <x:c r="AM131" s="32" t="n">
        <x:f>(AJ131+AK131+AL131)/4*INDEX(LM_All,G131)*INDEX(v01_Boon,G131)*Arch_Insight</x:f>
        <x:v>1.319483595183343</x:v>
      </x:c>
      <x:c r="AN131" s="32" t="n">
        <x:f>H131*(v01_KHPerAdult*Z131+v01_KHOfCommons*AJ131/4*INDEX(LM_All,G131))*v01_KHUsable*Arch_KH</x:f>
        <x:v>0.28685468779457673</x:v>
      </x:c>
      <x:c r="AO131" s="32" t="n">
        <x:f>MIN(AP130+AN131,AM131*v01_KHMaxRatio)</x:f>
        <x:v>0.28685468779457673</x:v>
      </x:c>
      <x:c r="AP131" s="32" t="n">
        <x:f>AP130+AN131-AO131</x:f>
        <x:v>0</x:v>
      </x:c>
      <x:c r="AQ131" s="32" t="n">
        <x:f>AM131+AO131</x:f>
        <x:v>1.6063382829779198</x:v>
      </x:c>
      <x:c r="AR131" s="10" t="n">
        <x:f>IF(H131=1,INDEX(v01_Req,G131),0)</x:f>
        <x:v>372.02</x:v>
      </x:c>
      <x:c r="AS131" s="32" t="n">
        <x:f>IF(H131=1,IF(E131=1,AS130-AR130,AS130)+AQ131,0)</x:f>
        <x:v>194.12865923863993</x:v>
      </x:c>
      <x:c r="AT131" s="11" t="n">
        <x:f>IF(AR131&gt;0,MIN(1,AS131/AR131),1)</x:f>
        <x:v>0.5218231795028223</x:v>
      </x:c>
      <x:c r="AU131" s="10" t="n">
        <x:f>AB131/INDEX(v01_RepScale,G131)</x:f>
        <x:v>16.64378014477684</x:v>
      </x:c>
      <x:c r="AV131" s="32" t="n">
        <x:f>AM131*60/v01_SeasonSeconds</x:f>
        <x:v>5.277934380733372</x:v>
      </x:c>
    </x:row>
    <x:row r="132">
      <x:c r="A132" s="8" t="n">
        <x:f>A131+1</x:f>
        <x:v>129</x:v>
      </x:c>
      <x:c r="B132" s="9" t="n">
        <x:f>A132*v01_SeasonSeconds/60</x:f>
        <x:v>32.25</x:v>
      </x:c>
      <x:c r="C132" s="9" t="n">
        <x:f>A132/4</x:f>
        <x:v>32.25</x:v>
      </x:c>
      <x:c r="D132" s="8" t="n">
        <x:f>IF(MOD(A132,4)=0,1,0)</x:f>
        <x:v>0</x:v>
      </x:c>
      <x:c r="E132" s="8" t="n">
        <x:f>IF(AND(F131&lt;=9,AS131&gt;=AR131),1,0)</x:f>
        <x:v>0</x:v>
      </x:c>
      <x:c r="F132" s="8" t="n">
        <x:f>MIN(10,F131+E132)</x:f>
        <x:v>0</x:v>
      </x:c>
      <x:c r="G132" s="8" t="n">
        <x:f>MIN(F132,9)+1</x:f>
        <x:v>1</x:v>
      </x:c>
      <x:c r="H132" s="8" t="n">
        <x:f>IF(F132&lt;=9,1,0)</x:f>
        <x:v>1</x:v>
      </x:c>
      <x:c r="I132" s="9" t="n">
        <x:f>MIN(10,F131+IF(AR131&gt;0,MIN(1,AS131/AR131),1))</x:f>
        <x:v>0.5218231795028223</x:v>
      </x:c>
      <x:c r="J132" s="32" t="n">
        <x:f>INDEX(v01_FoodCap,G132)*Arch_FoodCap*EXP(v01_CapsByProject*SUMPRODUCT((Cap_Point&lt;=I132)*(Cap_Kind="Food")*Cap_Ln))</x:f>
        <x:v>22</x:v>
      </x:c>
      <x:c r="K132" s="32" t="n">
        <x:f>J132*MIN(1,v01_LeanBase*EXP(v01_CapsByProject*SUMPRODUCT((Cap_Point&lt;=I132)*(Cap_Kind="Lean")*Cap_Ln)))</x:f>
        <x:v>22</x:v>
      </x:c>
      <x:c r="L132" s="10" t="n">
        <x:f>INDEX(v01_HousingCap,G132)*EXP(v01_CapsByProject*SUMPRODUCT((Cap_Point&lt;=I132)*(Cap_Kind="Housing")*Cap_Ln))</x:f>
        <x:v>60</x:v>
      </x:c>
      <x:c r="M132" s="10" t="n">
        <x:f>INDEX(v01_GroupCap,G132)*v01_CohesionFactor*EXP(v01_CapsByProject*SUMPRODUCT((Cap_Point&lt;=I132)*(Cap_Kind="Group")*Cap_Ln))</x:f>
        <x:v>35</x:v>
      </x:c>
      <x:c r="N132" s="32" t="n">
        <x:f>MIN(J132,L132,M132)</x:f>
        <x:v>22</x:v>
      </x:c>
      <x:c r="O132" s="10" t="n">
        <x:f>AE131*N132</x:f>
        <x:v>22</x:v>
      </x:c>
      <x:c r="P132" s="9" t="n">
        <x:f>MIN(1,(AB131/(AE131*IF(v01_GroupInCrowding=1,N132,MIN(J132,L132))))^v01_CrowdingExp)</x:f>
        <x:v>0.18748897606554257</x:v>
      </x:c>
      <x:c r="Q132" s="9" t="n">
        <x:f>IF(D132=1,INDEX(v01_WinterMult,G132),1)</x:f>
        <x:v>1</x:v>
      </x:c>
      <x:c r="R132" s="9" t="n">
        <x:f>H132*Z131*v01_WomenShare*v01_BaseFertility*INDEX(v01_FertMult,G132)*Arch_Fertility*(1-P132)</x:f>
        <x:v>0.19977651094317483</x:v>
      </x:c>
      <x:c r="S132" s="9" t="n">
        <x:f>H132*Y131*INDEX(v01_MortChild,G132)/4*Q132</x:f>
        <x:v>0.06442376029662192</x:v>
      </x:c>
      <x:c r="T132" s="9" t="n">
        <x:f>H132*Z131*INDEX(v01_MortAdult,G132)*Arch_AdultMort/4*Q132</x:f>
        <x:v>0.03073443083513322</x:v>
      </x:c>
      <x:c r="U132" s="9" t="n">
        <x:f>H132*AA131*INDEX(v01_MortElder,G132)/4*Q132</x:f>
        <x:v>0.05013889731031142</x:v>
      </x:c>
      <x:c r="V132" s="9" t="n">
        <x:f>H132*MAX(0,AB131-O132)*v01_OvercapLoss</x:f>
        <x:v>0</x:v>
      </x:c>
      <x:c r="W132" s="9" t="n">
        <x:f>H132*Y131/(v01_ChildYears*4)</x:f>
        <x:v>0.11504242910111055</x:v>
      </x:c>
      <x:c r="X132" s="9" t="n">
        <x:f>H132*Z131/(v01_AdultYears*4)</x:f>
        <x:v>0.06609555018308219</x:v>
      </x:c>
      <x:c r="Y132" s="32" t="n">
        <x:f>Y131+R132-S132-W132-Y131*V132/AB131</x:f>
        <x:v>6.462686351207633</x:v>
      </x:c>
      <x:c r="Z132" s="32" t="n">
        <x:f>Z131+W132-X132-T132-Z131*V132/AB131</x:f>
        <x:v>8.214060670785088</x:v>
      </x:c>
      <x:c r="AA132" s="32" t="n">
        <x:f>AA131+X132-U132-AA131*V132/AB131</x:f>
        <x:v>2.021512545285227</x:v>
      </x:c>
      <x:c r="AB132" s="10" t="n">
        <x:f>Y132+Z132+AA132</x:f>
        <x:v>16.698259567277947</x:v>
      </x:c>
      <x:c r="AC132" s="8" t="n">
        <x:f>IF(AND(v01_WinterTrigger=1,D132=1,AB131/AE131&gt;=K132),1,0)</x:f>
        <x:v>0</x:v>
      </x:c>
      <x:c r="AD132" s="8" t="n">
        <x:f>H132*IF(AND(OR(AB131/AE131&gt;=v01_FissionTrigger*N132,AC132=1),AB131/AE131*v01_DaughterShare&gt;=v01_MinDaughter),MAX(1,ROUND(AE131*v01_FissionRate,0)),0)</x:f>
        <x:v>0</x:v>
      </x:c>
      <x:c r="AE132" s="8" t="n">
        <x:f>IF(H132=1,MAX(1,MIN(INDEX(v01_Smax,G132),AE131+AD132)),AE131)</x:f>
        <x:v>1</x:v>
      </x:c>
      <x:c r="AF132" s="8" t="n">
        <x:f>MAX(0,AE132-AE131)</x:f>
        <x:v>0</x:v>
      </x:c>
      <x:c r="AG132" s="9" t="str">
        <x:f>IF(AF132&gt;0,B132,"")</x:f>
      </x:c>
      <x:c r="AH132" s="9" t="n">
        <x:f>IF(F132&gt;=1,1,(1+v01_LowTiesShare*(AE132-1))/AE132)</x:f>
        <x:v>1</x:v>
      </x:c>
      <x:c r="AI132" s="32" t="n">
        <x:f>(Z132+v01_ElderCommons*INDEX(LM_Elder,G132)*AA132)*AH132</x:f>
        <x:v>12.257085761355542</x:v>
      </x:c>
      <x:c r="AJ132" s="32" t="n">
        <x:f>H132*v01_CommonsCoef*AI132^v01_CommonsExp*INDEX(LM_Commons,G132)</x:f>
        <x:v>5.296350696182248</x:v>
      </x:c>
      <x:c r="AK132" s="32" t="n">
        <x:f>H132*v01_RoleScale*Arch_Roles*(AE132*(INDEX(v01_ElderRolePerSett,G132)*v01_OutElder*INDEX(LM_Elder,G132)+INDEX(v01_ShamanPerSett,G132)*v01_OutShaman)+Z132*(INDEX(v01_PriestShare,G132)*v01_OutPriest+INDEX(v01_ScribeShare,G132)*v01_OutScribe*INDEX(LM_Scribe,G132)+INDEX(v01_ScholarShare,G132)*v01_OutScholar*INDEX(LM_Scholar,G132)+INDEX(v01_ResearcherShare,G132)*v01_OutResearcher*INDEX(LM_Researcher,G132)))</x:f>
        <x:v>0</x:v>
      </x:c>
      <x:c r="AL132" s="32" t="n">
        <x:f>H132*v01_RoleScale*Arch_Roles*AE132*INDEX(v01_MonasteryPerSett,G132)*v01_OutMonastery*INDEX(LM_Monastery,G132)</x:f>
        <x:v>0</x:v>
      </x:c>
      <x:c r="AM132" s="32" t="n">
        <x:f>(AJ132+AK132+AL132)/4*INDEX(LM_All,G132)*INDEX(v01_Boon,G132)*Arch_Insight</x:f>
        <x:v>1.324087674045562</x:v>
      </x:c>
      <x:c r="AN132" s="32" t="n">
        <x:f>H132*(v01_KHPerAdult*Z132+v01_KHOfCommons*AJ132/4*INDEX(LM_All,G132))*v01_KHUsable*Arch_KH</x:f>
        <x:v>0.28749212347747805</x:v>
      </x:c>
      <x:c r="AO132" s="32" t="n">
        <x:f>MIN(AP131+AN132,AM132*v01_KHMaxRatio)</x:f>
        <x:v>0.28749212347747805</x:v>
      </x:c>
      <x:c r="AP132" s="32" t="n">
        <x:f>AP131+AN132-AO132</x:f>
        <x:v>0</x:v>
      </x:c>
      <x:c r="AQ132" s="32" t="n">
        <x:f>AM132+AO132</x:f>
        <x:v>1.6115797975230401</x:v>
      </x:c>
      <x:c r="AR132" s="10" t="n">
        <x:f>IF(H132=1,INDEX(v01_Req,G132),0)</x:f>
        <x:v>372.02</x:v>
      </x:c>
      <x:c r="AS132" s="32" t="n">
        <x:f>IF(H132=1,IF(E132=1,AS131-AR131,AS131)+AQ132,0)</x:f>
        <x:v>195.74023903616296</x:v>
      </x:c>
      <x:c r="AT132" s="11" t="n">
        <x:f>IF(AR132&gt;0,MIN(1,AS132/AR132),1)</x:f>
        <x:v>0.5261551503579457</x:v>
      </x:c>
      <x:c r="AU132" s="10" t="n">
        <x:f>AB132/INDEX(v01_RepScale,G132)</x:f>
        <x:v>16.698259567277947</x:v>
      </x:c>
      <x:c r="AV132" s="32" t="n">
        <x:f>AM132*60/v01_SeasonSeconds</x:f>
        <x:v>5.296350696182248</x:v>
      </x:c>
    </x:row>
    <x:row r="133">
      <x:c r="A133" s="8" t="n">
        <x:f>A132+1</x:f>
        <x:v>130</x:v>
      </x:c>
      <x:c r="B133" s="9" t="n">
        <x:f>A133*v01_SeasonSeconds/60</x:f>
        <x:v>32.5</x:v>
      </x:c>
      <x:c r="C133" s="9" t="n">
        <x:f>A133/4</x:f>
        <x:v>32.5</x:v>
      </x:c>
      <x:c r="D133" s="8" t="n">
        <x:f>IF(MOD(A133,4)=0,1,0)</x:f>
        <x:v>0</x:v>
      </x:c>
      <x:c r="E133" s="8" t="n">
        <x:f>IF(AND(F132&lt;=9,AS132&gt;=AR132),1,0)</x:f>
        <x:v>0</x:v>
      </x:c>
      <x:c r="F133" s="8" t="n">
        <x:f>MIN(10,F132+E133)</x:f>
        <x:v>0</x:v>
      </x:c>
      <x:c r="G133" s="8" t="n">
        <x:f>MIN(F133,9)+1</x:f>
        <x:v>1</x:v>
      </x:c>
      <x:c r="H133" s="8" t="n">
        <x:f>IF(F133&lt;=9,1,0)</x:f>
        <x:v>1</x:v>
      </x:c>
      <x:c r="I133" s="9" t="n">
        <x:f>MIN(10,F132+IF(AR132&gt;0,MIN(1,AS132/AR132),1))</x:f>
        <x:v>0.5261551503579457</x:v>
      </x:c>
      <x:c r="J133" s="32" t="n">
        <x:f>INDEX(v01_FoodCap,G133)*Arch_FoodCap*EXP(v01_CapsByProject*SUMPRODUCT((Cap_Point&lt;=I133)*(Cap_Kind="Food")*Cap_Ln))</x:f>
        <x:v>22</x:v>
      </x:c>
      <x:c r="K133" s="32" t="n">
        <x:f>J133*MIN(1,v01_LeanBase*EXP(v01_CapsByProject*SUMPRODUCT((Cap_Point&lt;=I133)*(Cap_Kind="Lean")*Cap_Ln)))</x:f>
        <x:v>22</x:v>
      </x:c>
      <x:c r="L133" s="10" t="n">
        <x:f>INDEX(v01_HousingCap,G133)*EXP(v01_CapsByProject*SUMPRODUCT((Cap_Point&lt;=I133)*(Cap_Kind="Housing")*Cap_Ln))</x:f>
        <x:v>60</x:v>
      </x:c>
      <x:c r="M133" s="10" t="n">
        <x:f>INDEX(v01_GroupCap,G133)*v01_CohesionFactor*EXP(v01_CapsByProject*SUMPRODUCT((Cap_Point&lt;=I133)*(Cap_Kind="Group")*Cap_Ln))</x:f>
        <x:v>35</x:v>
      </x:c>
      <x:c r="N133" s="32" t="n">
        <x:f>MIN(J133,L133,M133)</x:f>
        <x:v>22</x:v>
      </x:c>
      <x:c r="O133" s="10" t="n">
        <x:f>AE132*N133</x:f>
        <x:v>22</x:v>
      </x:c>
      <x:c r="P133" s="9" t="n">
        <x:f>MIN(1,(AB132/(AE132*IF(v01_GroupInCrowding=1,N133,MIN(J133,L133))))^v01_CrowdingExp)</x:f>
        <x:v>0.1912014410789616</x:v>
      </x:c>
      <x:c r="Q133" s="9" t="n">
        <x:f>IF(D133=1,INDEX(v01_WinterMult,G133),1)</x:f>
        <x:v>1</x:v>
      </x:c>
      <x:c r="R133" s="9" t="n">
        <x:f>H133*Z132*v01_WomenShare*v01_BaseFertility*INDEX(v01_FertMult,G133)*Arch_Fertility*(1-P133)</x:f>
        <x:v>0.19930561300262872</x:v>
      </x:c>
      <x:c r="S133" s="9" t="n">
        <x:f>H133*Y132*INDEX(v01_MortChild,G133)/4*Q133</x:f>
        <x:v>0.06462686351207633</x:v>
      </x:c>
      <x:c r="T133" s="9" t="n">
        <x:f>H133*Z132*INDEX(v01_MortAdult,G133)*Arch_AdultMort/4*Q133</x:f>
        <x:v>0.03080272751544408</x:v>
      </x:c>
      <x:c r="U133" s="9" t="n">
        <x:f>H133*AA132*INDEX(v01_MortElder,G133)/4*Q133</x:f>
        <x:v>0.05053781363213068</x:v>
      </x:c>
      <x:c r="V133" s="9" t="n">
        <x:f>H133*MAX(0,AB132-O133)*v01_OvercapLoss</x:f>
        <x:v>0</x:v>
      </x:c>
      <x:c r="W133" s="9" t="n">
        <x:f>H133*Y132/(v01_ChildYears*4)</x:f>
        <x:v>0.11540511341442203</x:v>
      </x:c>
      <x:c r="X133" s="9" t="n">
        <x:f>H133*Z132/(v01_AdultYears*4)</x:f>
        <x:v>0.06624242476439587</x:v>
      </x:c>
      <x:c r="Y133" s="32" t="n">
        <x:f>Y132+R133-S133-W133-Y132*V133/AB132</x:f>
        <x:v>6.481959987283764</x:v>
      </x:c>
      <x:c r="Z133" s="32" t="n">
        <x:f>Z132+W133-X133-T133-Z132*V133/AB132</x:f>
        <x:v>8.23242063191967</x:v>
      </x:c>
      <x:c r="AA133" s="32" t="n">
        <x:f>AA132+X133-U133-AA132*V133/AB132</x:f>
        <x:v>2.0372171564174923</x:v>
      </x:c>
      <x:c r="AB133" s="10" t="n">
        <x:f>Y133+Z133+AA133</x:f>
        <x:v>16.751597775620926</x:v>
      </x:c>
      <x:c r="AC133" s="8" t="n">
        <x:f>IF(AND(v01_WinterTrigger=1,D133=1,AB132/AE132&gt;=K133),1,0)</x:f>
        <x:v>0</x:v>
      </x:c>
      <x:c r="AD133" s="8" t="n">
        <x:f>H133*IF(AND(OR(AB132/AE132&gt;=v01_FissionTrigger*N133,AC133=1),AB132/AE132*v01_DaughterShare&gt;=v01_MinDaughter),MAX(1,ROUND(AE132*v01_FissionRate,0)),0)</x:f>
        <x:v>0</x:v>
      </x:c>
      <x:c r="AE133" s="8" t="n">
        <x:f>IF(H133=1,MAX(1,MIN(INDEX(v01_Smax,G133),AE132+AD133)),AE132)</x:f>
        <x:v>1</x:v>
      </x:c>
      <x:c r="AF133" s="8" t="n">
        <x:f>MAX(0,AE133-AE132)</x:f>
        <x:v>0</x:v>
      </x:c>
      <x:c r="AG133" s="9" t="str">
        <x:f>IF(AF133&gt;0,B133,"")</x:f>
      </x:c>
      <x:c r="AH133" s="9" t="n">
        <x:f>IF(F133&gt;=1,1,(1+v01_LowTiesShare*(AE133-1))/AE133)</x:f>
        <x:v>1</x:v>
      </x:c>
      <x:c r="AI133" s="32" t="n">
        <x:f>(Z133+v01_ElderCommons*INDEX(LM_Elder,G133)*AA133)*AH133</x:f>
        <x:v>12.306854944754654</x:v>
      </x:c>
      <x:c r="AJ133" s="32" t="n">
        <x:f>H133*v01_CommonsCoef*AI133^v01_CommonsExp*INDEX(LM_Commons,G133)</x:f>
        <x:v>5.314624833256403</x:v>
      </x:c>
      <x:c r="AK133" s="32" t="n">
        <x:f>H133*v01_RoleScale*Arch_Roles*(AE133*(INDEX(v01_ElderRolePerSett,G133)*v01_OutElder*INDEX(LM_Elder,G133)+INDEX(v01_ShamanPerSett,G133)*v01_OutShaman)+Z133*(INDEX(v01_PriestShare,G133)*v01_OutPriest+INDEX(v01_ScribeShare,G133)*v01_OutScribe*INDEX(LM_Scribe,G133)+INDEX(v01_ScholarShare,G133)*v01_OutScholar*INDEX(LM_Scholar,G133)+INDEX(v01_ResearcherShare,G133)*v01_OutResearcher*INDEX(LM_Researcher,G133)))</x:f>
        <x:v>0</x:v>
      </x:c>
      <x:c r="AL133" s="32" t="n">
        <x:f>H133*v01_RoleScale*Arch_Roles*AE133*INDEX(v01_MonasteryPerSett,G133)*v01_OutMonastery*INDEX(LM_Monastery,G133)</x:f>
        <x:v>0</x:v>
      </x:c>
      <x:c r="AM133" s="32" t="n">
        <x:f>(AJ133+AK133+AL133)/4*INDEX(LM_All,G133)*INDEX(v01_Boon,G133)*Arch_Insight</x:f>
        <x:v>1.3286562083141007</x:v>
      </x:c>
      <x:c r="AN133" s="32" t="n">
        <x:f>H133*(v01_KHPerAdult*Z133+v01_KHOfCommons*AJ133/4*INDEX(LM_All,G133))*v01_KHUsable*Arch_KH</x:f>
        <x:v>0.28813472211718844</x:v>
      </x:c>
      <x:c r="AO133" s="32" t="n">
        <x:f>MIN(AP132+AN133,AM133*v01_KHMaxRatio)</x:f>
        <x:v>0.28813472211718844</x:v>
      </x:c>
      <x:c r="AP133" s="32" t="n">
        <x:f>AP132+AN133-AO133</x:f>
        <x:v>0</x:v>
      </x:c>
      <x:c r="AQ133" s="32" t="n">
        <x:f>AM133+AO133</x:f>
        <x:v>1.616790930431289</x:v>
      </x:c>
      <x:c r="AR133" s="10" t="n">
        <x:f>IF(H133=1,INDEX(v01_Req,G133),0)</x:f>
        <x:v>372.02</x:v>
      </x:c>
      <x:c r="AS133" s="32" t="n">
        <x:f>IF(H133=1,IF(E133=1,AS132-AR132,AS132)+AQ133,0)</x:f>
        <x:v>197.35702996659424</x:v>
      </x:c>
      <x:c r="AT133" s="11" t="n">
        <x:f>IF(AR133&gt;0,MIN(1,AS133/AR133),1)</x:f>
        <x:v>0.530501128881765</x:v>
      </x:c>
      <x:c r="AU133" s="10" t="n">
        <x:f>AB133/INDEX(v01_RepScale,G133)</x:f>
        <x:v>16.751597775620926</x:v>
      </x:c>
      <x:c r="AV133" s="32" t="n">
        <x:f>AM133*60/v01_SeasonSeconds</x:f>
        <x:v>5.314624833256403</x:v>
      </x:c>
    </x:row>
    <x:row r="134">
      <x:c r="A134" s="8" t="n">
        <x:f>A133+1</x:f>
        <x:v>131</x:v>
      </x:c>
      <x:c r="B134" s="9" t="n">
        <x:f>A134*v01_SeasonSeconds/60</x:f>
        <x:v>32.75</x:v>
      </x:c>
      <x:c r="C134" s="9" t="n">
        <x:f>A134/4</x:f>
        <x:v>32.75</x:v>
      </x:c>
      <x:c r="D134" s="8" t="n">
        <x:f>IF(MOD(A134,4)=0,1,0)</x:f>
        <x:v>0</x:v>
      </x:c>
      <x:c r="E134" s="8" t="n">
        <x:f>IF(AND(F133&lt;=9,AS133&gt;=AR133),1,0)</x:f>
        <x:v>0</x:v>
      </x:c>
      <x:c r="F134" s="8" t="n">
        <x:f>MIN(10,F133+E134)</x:f>
        <x:v>0</x:v>
      </x:c>
      <x:c r="G134" s="8" t="n">
        <x:f>MIN(F134,9)+1</x:f>
        <x:v>1</x:v>
      </x:c>
      <x:c r="H134" s="8" t="n">
        <x:f>IF(F134&lt;=9,1,0)</x:f>
        <x:v>1</x:v>
      </x:c>
      <x:c r="I134" s="9" t="n">
        <x:f>MIN(10,F133+IF(AR133&gt;0,MIN(1,AS133/AR133),1))</x:f>
        <x:v>0.530501128881765</x:v>
      </x:c>
      <x:c r="J134" s="32" t="n">
        <x:f>INDEX(v01_FoodCap,G134)*Arch_FoodCap*EXP(v01_CapsByProject*SUMPRODUCT((Cap_Point&lt;=I134)*(Cap_Kind="Food")*Cap_Ln))</x:f>
        <x:v>22</x:v>
      </x:c>
      <x:c r="K134" s="32" t="n">
        <x:f>J134*MIN(1,v01_LeanBase*EXP(v01_CapsByProject*SUMPRODUCT((Cap_Point&lt;=I134)*(Cap_Kind="Lean")*Cap_Ln)))</x:f>
        <x:v>22</x:v>
      </x:c>
      <x:c r="L134" s="10" t="n">
        <x:f>INDEX(v01_HousingCap,G134)*EXP(v01_CapsByProject*SUMPRODUCT((Cap_Point&lt;=I134)*(Cap_Kind="Housing")*Cap_Ln))</x:f>
        <x:v>60</x:v>
      </x:c>
      <x:c r="M134" s="10" t="n">
        <x:f>INDEX(v01_GroupCap,G134)*v01_CohesionFactor*EXP(v01_CapsByProject*SUMPRODUCT((Cap_Point&lt;=I134)*(Cap_Kind="Group")*Cap_Ln))</x:f>
        <x:v>35</x:v>
      </x:c>
      <x:c r="N134" s="32" t="n">
        <x:f>MIN(J134,L134,M134)</x:f>
        <x:v>22</x:v>
      </x:c>
      <x:c r="O134" s="10" t="n">
        <x:f>AE133*N134</x:f>
        <x:v>22</x:v>
      </x:c>
      <x:c r="P134" s="9" t="n">
        <x:f>MIN(1,(AB133/(AE133*IF(v01_GroupInCrowding=1,N134,MIN(J134,L134))))^v01_CrowdingExp)</x:f>
        <x:v>0.1948952858519176</x:v>
      </x:c>
      <x:c r="Q134" s="9" t="n">
        <x:f>IF(D134=1,INDEX(v01_WinterMult,G134),1)</x:f>
        <x:v>1</x:v>
      </x:c>
      <x:c r="R134" s="9" t="n">
        <x:f>H134*Z133*v01_WomenShare*v01_BaseFertility*INDEX(v01_FertMult,G134)*Arch_Fertility*(1-P134)</x:f>
        <x:v>0.19883881978825385</x:v>
      </x:c>
      <x:c r="S134" s="9" t="n">
        <x:f>H134*Y133*INDEX(v01_MortChild,G134)/4*Q134</x:f>
        <x:v>0.06481959987283764</x:v>
      </x:c>
      <x:c r="T134" s="9" t="n">
        <x:f>H134*Z133*INDEX(v01_MortAdult,G134)*Arch_AdultMort/4*Q134</x:f>
        <x:v>0.030871577369698762</x:v>
      </x:c>
      <x:c r="U134" s="9" t="n">
        <x:f>H134*AA133*INDEX(v01_MortElder,G134)/4*Q134</x:f>
        <x:v>0.05093042891043731</x:v>
      </x:c>
      <x:c r="V134" s="9" t="n">
        <x:f>H134*MAX(0,AB133-O134)*v01_OvercapLoss</x:f>
        <x:v>0</x:v>
      </x:c>
      <x:c r="W134" s="9" t="n">
        <x:f>H134*Y133/(v01_ChildYears*4)</x:f>
        <x:v>0.11574928548721007</x:v>
      </x:c>
      <x:c r="X134" s="9" t="n">
        <x:f>H134*Z133/(v01_AdultYears*4)</x:f>
        <x:v>0.06639048896709411</x:v>
      </x:c>
      <x:c r="Y134" s="32" t="n">
        <x:f>Y133+R134-S134-W134-Y133*V134/AB133</x:f>
        <x:v>6.50022992171197</x:v>
      </x:c>
      <x:c r="Z134" s="32" t="n">
        <x:f>Z133+W134-X134-T134-Z133*V134/AB133</x:f>
        <x:v>8.250907851070087</x:v>
      </x:c>
      <x:c r="AA134" s="32" t="n">
        <x:f>AA133+X134-U134-AA133*V134/AB133</x:f>
        <x:v>2.052677216474149</x:v>
      </x:c>
      <x:c r="AB134" s="10" t="n">
        <x:f>Y134+Z134+AA134</x:f>
        <x:v>16.803814989256207</x:v>
      </x:c>
      <x:c r="AC134" s="8" t="n">
        <x:f>IF(AND(v01_WinterTrigger=1,D134=1,AB133/AE133&gt;=K134),1,0)</x:f>
        <x:v>0</x:v>
      </x:c>
      <x:c r="AD134" s="8" t="n">
        <x:f>H134*IF(AND(OR(AB133/AE133&gt;=v01_FissionTrigger*N134,AC134=1),AB133/AE133*v01_DaughterShare&gt;=v01_MinDaughter),MAX(1,ROUND(AE133*v01_FissionRate,0)),0)</x:f>
        <x:v>0</x:v>
      </x:c>
      <x:c r="AE134" s="8" t="n">
        <x:f>IF(H134=1,MAX(1,MIN(INDEX(v01_Smax,G134),AE133+AD134)),AE133)</x:f>
        <x:v>1</x:v>
      </x:c>
      <x:c r="AF134" s="8" t="n">
        <x:f>MAX(0,AE134-AE133)</x:f>
        <x:v>0</x:v>
      </x:c>
      <x:c r="AG134" s="9" t="str">
        <x:f>IF(AF134&gt;0,B134,"")</x:f>
      </x:c>
      <x:c r="AH134" s="9" t="n">
        <x:f>IF(F134&gt;=1,1,(1+v01_LowTiesShare*(AE134-1))/AE134)</x:f>
        <x:v>1</x:v>
      </x:c>
      <x:c r="AI134" s="32" t="n">
        <x:f>(Z134+v01_ElderCommons*INDEX(LM_Elder,G134)*AA134)*AH134</x:f>
        <x:v>12.356262284018385</x:v>
      </x:c>
      <x:c r="AJ134" s="32" t="n">
        <x:f>H134*v01_CommonsCoef*AI134^v01_CommonsExp*INDEX(LM_Commons,G134)</x:f>
        <x:v>5.3327551478305315</x:v>
      </x:c>
      <x:c r="AK134" s="32" t="n">
        <x:f>H134*v01_RoleScale*Arch_Roles*(AE134*(INDEX(v01_ElderRolePerSett,G134)*v01_OutElder*INDEX(LM_Elder,G134)+INDEX(v01_ShamanPerSett,G134)*v01_OutShaman)+Z134*(INDEX(v01_PriestShare,G134)*v01_OutPriest+INDEX(v01_ScribeShare,G134)*v01_OutScribe*INDEX(LM_Scribe,G134)+INDEX(v01_ScholarShare,G134)*v01_OutScholar*INDEX(LM_Scholar,G134)+INDEX(v01_ResearcherShare,G134)*v01_OutResearcher*INDEX(LM_Researcher,G134)))</x:f>
        <x:v>0</x:v>
      </x:c>
      <x:c r="AL134" s="32" t="n">
        <x:f>H134*v01_RoleScale*Arch_Roles*AE134*INDEX(v01_MonasteryPerSett,G134)*v01_OutMonastery*INDEX(LM_Monastery,G134)</x:f>
        <x:v>0</x:v>
      </x:c>
      <x:c r="AM134" s="32" t="n">
        <x:f>(AJ134+AK134+AL134)/4*INDEX(LM_All,G134)*INDEX(v01_Boon,G134)*Arch_Insight</x:f>
        <x:v>1.3331887869576329</x:v>
      </x:c>
      <x:c r="AN134" s="32" t="n">
        <x:f>H134*(v01_KHPerAdult*Z134+v01_KHOfCommons*AJ134/4*INDEX(LM_All,G134))*v01_KHUsable*Arch_KH</x:f>
        <x:v>0.28878177478745304</x:v>
      </x:c>
      <x:c r="AO134" s="32" t="n">
        <x:f>MIN(AP133+AN134,AM134*v01_KHMaxRatio)</x:f>
        <x:v>0.28878177478745304</x:v>
      </x:c>
      <x:c r="AP134" s="32" t="n">
        <x:f>AP133+AN134-AO134</x:f>
        <x:v>0</x:v>
      </x:c>
      <x:c r="AQ134" s="32" t="n">
        <x:f>AM134+AO134</x:f>
        <x:v>1.621970561745086</x:v>
      </x:c>
      <x:c r="AR134" s="10" t="n">
        <x:f>IF(H134=1,INDEX(v01_Req,G134),0)</x:f>
        <x:v>372.02</x:v>
      </x:c>
      <x:c r="AS134" s="32" t="n">
        <x:f>IF(H134=1,IF(E134=1,AS133-AR133,AS133)+AQ134,0)</x:f>
        <x:v>198.97900052833933</x:v>
      </x:c>
      <x:c r="AT134" s="11" t="n">
        <x:f>IF(AR134&gt;0,MIN(1,AS134/AR134),1)</x:f>
        <x:v>0.5348610303971274</x:v>
      </x:c>
      <x:c r="AU134" s="10" t="n">
        <x:f>AB134/INDEX(v01_RepScale,G134)</x:f>
        <x:v>16.803814989256207</x:v>
      </x:c>
      <x:c r="AV134" s="32" t="n">
        <x:f>AM134*60/v01_SeasonSeconds</x:f>
        <x:v>5.3327551478305315</x:v>
      </x:c>
    </x:row>
    <x:row r="135">
      <x:c r="A135" s="8" t="n">
        <x:f>A134+1</x:f>
        <x:v>132</x:v>
      </x:c>
      <x:c r="B135" s="9" t="n">
        <x:f>A135*v01_SeasonSeconds/60</x:f>
        <x:v>33</x:v>
      </x:c>
      <x:c r="C135" s="9" t="n">
        <x:f>A135/4</x:f>
        <x:v>33</x:v>
      </x:c>
      <x:c r="D135" s="8" t="n">
        <x:f>IF(MOD(A135,4)=0,1,0)</x:f>
        <x:v>1</x:v>
      </x:c>
      <x:c r="E135" s="8" t="n">
        <x:f>IF(AND(F134&lt;=9,AS134&gt;=AR134),1,0)</x:f>
        <x:v>0</x:v>
      </x:c>
      <x:c r="F135" s="8" t="n">
        <x:f>MIN(10,F134+E135)</x:f>
        <x:v>0</x:v>
      </x:c>
      <x:c r="G135" s="8" t="n">
        <x:f>MIN(F135,9)+1</x:f>
        <x:v>1</x:v>
      </x:c>
      <x:c r="H135" s="8" t="n">
        <x:f>IF(F135&lt;=9,1,0)</x:f>
        <x:v>1</x:v>
      </x:c>
      <x:c r="I135" s="9" t="n">
        <x:f>MIN(10,F134+IF(AR134&gt;0,MIN(1,AS134/AR134),1))</x:f>
        <x:v>0.5348610303971274</x:v>
      </x:c>
      <x:c r="J135" s="32" t="n">
        <x:f>INDEX(v01_FoodCap,G135)*Arch_FoodCap*EXP(v01_CapsByProject*SUMPRODUCT((Cap_Point&lt;=I135)*(Cap_Kind="Food")*Cap_Ln))</x:f>
        <x:v>22</x:v>
      </x:c>
      <x:c r="K135" s="32" t="n">
        <x:f>J135*MIN(1,v01_LeanBase*EXP(v01_CapsByProject*SUMPRODUCT((Cap_Point&lt;=I135)*(Cap_Kind="Lean")*Cap_Ln)))</x:f>
        <x:v>22</x:v>
      </x:c>
      <x:c r="L135" s="10" t="n">
        <x:f>INDEX(v01_HousingCap,G135)*EXP(v01_CapsByProject*SUMPRODUCT((Cap_Point&lt;=I135)*(Cap_Kind="Housing")*Cap_Ln))</x:f>
        <x:v>60</x:v>
      </x:c>
      <x:c r="M135" s="10" t="n">
        <x:f>INDEX(v01_GroupCap,G135)*v01_CohesionFactor*EXP(v01_CapsByProject*SUMPRODUCT((Cap_Point&lt;=I135)*(Cap_Kind="Group")*Cap_Ln))</x:f>
        <x:v>35</x:v>
      </x:c>
      <x:c r="N135" s="32" t="n">
        <x:f>MIN(J135,L135,M135)</x:f>
        <x:v>22</x:v>
      </x:c>
      <x:c r="O135" s="10" t="n">
        <x:f>AE134*N135</x:f>
        <x:v>22</x:v>
      </x:c>
      <x:c r="P135" s="9" t="n">
        <x:f>MIN(1,(AB134/(AE134*IF(v01_GroupInCrowding=1,N135,MIN(J135,L135))))^v01_CrowdingExp)</x:f>
        <x:v>0.19856891501157498</x:v>
      </x:c>
      <x:c r="Q135" s="9" t="n">
        <x:f>IF(D135=1,INDEX(v01_WinterMult,G135),1)</x:f>
        <x:v>2</x:v>
      </x:c>
      <x:c r="R135" s="9" t="n">
        <x:f>H135*Z134*v01_WomenShare*v01_BaseFertility*INDEX(v01_FertMult,G135)*Arch_Fertility*(1-P135)</x:f>
        <x:v>0.1983760209366784</x:v>
      </x:c>
      <x:c r="S135" s="9" t="n">
        <x:f>H135*Y134*INDEX(v01_MortChild,G135)/4*Q135</x:f>
        <x:v>0.1300045984342394</x:v>
      </x:c>
      <x:c r="T135" s="9" t="n">
        <x:f>H135*Z134*INDEX(v01_MortAdult,G135)*Arch_AdultMort/4*Q135</x:f>
        <x:v>0.06188180888302565</x:v>
      </x:c>
      <x:c r="U135" s="9" t="n">
        <x:f>H135*AA134*INDEX(v01_MortElder,G135)/4*Q135</x:f>
        <x:v>0.10263386082370746</x:v>
      </x:c>
      <x:c r="V135" s="9" t="n">
        <x:f>H135*MAX(0,AB134-O135)*v01_OvercapLoss</x:f>
        <x:v>0</x:v>
      </x:c>
      <x:c r="W135" s="9" t="n">
        <x:f>H135*Y134/(v01_ChildYears*4)</x:f>
        <x:v>0.11607553431628517</x:v>
      </x:c>
      <x:c r="X135" s="9" t="n">
        <x:f>H135*Z134/(v01_AdultYears*4)</x:f>
        <x:v>0.06653957944411361</x:v>
      </x:c>
      <x:c r="Y135" s="32" t="n">
        <x:f>Y134+R135-S135-W135-Y134*V135/AB134</x:f>
        <x:v>6.452525809898124</x:v>
      </x:c>
      <x:c r="Z135" s="32" t="n">
        <x:f>Z134+W135-X135-T135-Z134*V135/AB134</x:f>
        <x:v>8.238561997059234</x:v>
      </x:c>
      <x:c r="AA135" s="32" t="n">
        <x:f>AA134+X135-U135-AA134*V135/AB134</x:f>
        <x:v>2.016582935094555</x:v>
      </x:c>
      <x:c r="AB135" s="10" t="n">
        <x:f>Y135+Z135+AA135</x:f>
        <x:v>16.707670742051913</x:v>
      </x:c>
      <x:c r="AC135" s="8" t="n">
        <x:f>IF(AND(v01_WinterTrigger=1,D135=1,AB134/AE134&gt;=K135),1,0)</x:f>
        <x:v>0</x:v>
      </x:c>
      <x:c r="AD135" s="8" t="n">
        <x:f>H135*IF(AND(OR(AB134/AE134&gt;=v01_FissionTrigger*N135,AC135=1),AB134/AE134*v01_DaughterShare&gt;=v01_MinDaughter),MAX(1,ROUND(AE134*v01_FissionRate,0)),0)</x:f>
        <x:v>0</x:v>
      </x:c>
      <x:c r="AE135" s="8" t="n">
        <x:f>IF(H135=1,MAX(1,MIN(INDEX(v01_Smax,G135),AE134+AD135)),AE134)</x:f>
        <x:v>1</x:v>
      </x:c>
      <x:c r="AF135" s="8" t="n">
        <x:f>MAX(0,AE135-AE134)</x:f>
        <x:v>0</x:v>
      </x:c>
      <x:c r="AG135" s="9" t="str">
        <x:f>IF(AF135&gt;0,B135,"")</x:f>
      </x:c>
      <x:c r="AH135" s="9" t="n">
        <x:f>IF(F135&gt;=1,1,(1+v01_LowTiesShare*(AE135-1))/AE135)</x:f>
        <x:v>1</x:v>
      </x:c>
      <x:c r="AI135" s="32" t="n">
        <x:f>(Z135+v01_ElderCommons*INDEX(LM_Elder,G135)*AA135)*AH135</x:f>
        <x:v>12.271727867248345</x:v>
      </x:c>
      <x:c r="AJ135" s="32" t="n">
        <x:f>H135*v01_CommonsCoef*AI135^v01_CommonsExp*INDEX(LM_Commons,G135)</x:f>
        <x:v>5.301728105363398</x:v>
      </x:c>
      <x:c r="AK135" s="32" t="n">
        <x:f>H135*v01_RoleScale*Arch_Roles*(AE135*(INDEX(v01_ElderRolePerSett,G135)*v01_OutElder*INDEX(LM_Elder,G135)+INDEX(v01_ShamanPerSett,G135)*v01_OutShaman)+Z135*(INDEX(v01_PriestShare,G135)*v01_OutPriest+INDEX(v01_ScribeShare,G135)*v01_OutScribe*INDEX(LM_Scribe,G135)+INDEX(v01_ScholarShare,G135)*v01_OutScholar*INDEX(LM_Scholar,G135)+INDEX(v01_ResearcherShare,G135)*v01_OutResearcher*INDEX(LM_Researcher,G135)))</x:f>
        <x:v>0</x:v>
      </x:c>
      <x:c r="AL135" s="32" t="n">
        <x:f>H135*v01_RoleScale*Arch_Roles*AE135*INDEX(v01_MonasteryPerSett,G135)*v01_OutMonastery*INDEX(LM_Monastery,G135)</x:f>
        <x:v>0</x:v>
      </x:c>
      <x:c r="AM135" s="32" t="n">
        <x:f>(AJ135+AK135+AL135)/4*INDEX(LM_All,G135)*INDEX(v01_Boon,G135)*Arch_Insight</x:f>
        <x:v>1.3254320263408494</x:v>
      </x:c>
      <x:c r="AN135" s="32" t="n">
        <x:f>H135*(v01_KHPerAdult*Z135+v01_KHOfCommons*AJ135/4*INDEX(LM_All,G135))*v01_KHUsable*Arch_KH</x:f>
        <x:v>0.2883496698970732</x:v>
      </x:c>
      <x:c r="AO135" s="32" t="n">
        <x:f>MIN(AP134+AN135,AM135*v01_KHMaxRatio)</x:f>
        <x:v>0.2883496698970732</x:v>
      </x:c>
      <x:c r="AP135" s="32" t="n">
        <x:f>AP134+AN135-AO135</x:f>
        <x:v>0</x:v>
      </x:c>
      <x:c r="AQ135" s="32" t="n">
        <x:f>AM135+AO135</x:f>
        <x:v>1.6137816962379228</x:v>
      </x:c>
      <x:c r="AR135" s="10" t="n">
        <x:f>IF(H135=1,INDEX(v01_Req,G135),0)</x:f>
        <x:v>372.02</x:v>
      </x:c>
      <x:c r="AS135" s="32" t="n">
        <x:f>IF(H135=1,IF(E135=1,AS134-AR134,AS134)+AQ135,0)</x:f>
        <x:v>200.59278222457726</x:v>
      </x:c>
      <x:c r="AT135" s="11" t="n">
        <x:f>IF(AR135&gt;0,MIN(1,AS135/AR135),1)</x:f>
        <x:v>0.5391989200166046</x:v>
      </x:c>
      <x:c r="AU135" s="10" t="n">
        <x:f>AB135/INDEX(v01_RepScale,G135)</x:f>
        <x:v>16.707670742051913</x:v>
      </x:c>
      <x:c r="AV135" s="32" t="n">
        <x:f>AM135*60/v01_SeasonSeconds</x:f>
        <x:v>5.301728105363398</x:v>
      </x:c>
    </x:row>
    <x:row r="136">
      <x:c r="A136" s="8" t="n">
        <x:f>A135+1</x:f>
        <x:v>133</x:v>
      </x:c>
      <x:c r="B136" s="9" t="n">
        <x:f>A136*v01_SeasonSeconds/60</x:f>
        <x:v>33.25</x:v>
      </x:c>
      <x:c r="C136" s="9" t="n">
        <x:f>A136/4</x:f>
        <x:v>33.25</x:v>
      </x:c>
      <x:c r="D136" s="8" t="n">
        <x:f>IF(MOD(A136,4)=0,1,0)</x:f>
        <x:v>0</x:v>
      </x:c>
      <x:c r="E136" s="8" t="n">
        <x:f>IF(AND(F135&lt;=9,AS135&gt;=AR135),1,0)</x:f>
        <x:v>0</x:v>
      </x:c>
      <x:c r="F136" s="8" t="n">
        <x:f>MIN(10,F135+E136)</x:f>
        <x:v>0</x:v>
      </x:c>
      <x:c r="G136" s="8" t="n">
        <x:f>MIN(F136,9)+1</x:f>
        <x:v>1</x:v>
      </x:c>
      <x:c r="H136" s="8" t="n">
        <x:f>IF(F136&lt;=9,1,0)</x:f>
        <x:v>1</x:v>
      </x:c>
      <x:c r="I136" s="9" t="n">
        <x:f>MIN(10,F135+IF(AR135&gt;0,MIN(1,AS135/AR135),1))</x:f>
        <x:v>0.5391989200166046</x:v>
      </x:c>
      <x:c r="J136" s="32" t="n">
        <x:f>INDEX(v01_FoodCap,G136)*Arch_FoodCap*EXP(v01_CapsByProject*SUMPRODUCT((Cap_Point&lt;=I136)*(Cap_Kind="Food")*Cap_Ln))</x:f>
        <x:v>22</x:v>
      </x:c>
      <x:c r="K136" s="32" t="n">
        <x:f>J136*MIN(1,v01_LeanBase*EXP(v01_CapsByProject*SUMPRODUCT((Cap_Point&lt;=I136)*(Cap_Kind="Lean")*Cap_Ln)))</x:f>
        <x:v>22</x:v>
      </x:c>
      <x:c r="L136" s="10" t="n">
        <x:f>INDEX(v01_HousingCap,G136)*EXP(v01_CapsByProject*SUMPRODUCT((Cap_Point&lt;=I136)*(Cap_Kind="Housing")*Cap_Ln))</x:f>
        <x:v>60</x:v>
      </x:c>
      <x:c r="M136" s="10" t="n">
        <x:f>INDEX(v01_GroupCap,G136)*v01_CohesionFactor*EXP(v01_CapsByProject*SUMPRODUCT((Cap_Point&lt;=I136)*(Cap_Kind="Group")*Cap_Ln))</x:f>
        <x:v>35</x:v>
      </x:c>
      <x:c r="N136" s="32" t="n">
        <x:f>MIN(J136,L136,M136)</x:f>
        <x:v>22</x:v>
      </x:c>
      <x:c r="O136" s="10" t="n">
        <x:f>AE135*N136</x:f>
        <x:v>22</x:v>
      </x:c>
      <x:c r="P136" s="9" t="n">
        <x:f>MIN(1,(AB135/(AE135*IF(v01_GroupInCrowding=1,N136,MIN(J136,L136))))^v01_CrowdingExp)</x:f>
        <x:v>0.19184892202795137</x:v>
      </x:c>
      <x:c r="Q136" s="9" t="n">
        <x:f>IF(D136=1,INDEX(v01_WinterMult,G136),1)</x:f>
        <x:v>1</x:v>
      </x:c>
      <x:c r="R136" s="9" t="n">
        <x:f>H136*Z135*v01_WomenShare*v01_BaseFertility*INDEX(v01_FertMult,G136)*Arch_Fertility*(1-P136)</x:f>
        <x:v>0.19974008276588923</x:v>
      </x:c>
      <x:c r="S136" s="9" t="n">
        <x:f>H136*Y135*INDEX(v01_MortChild,G136)/4*Q136</x:f>
        <x:v>0.06452525809898124</x:v>
      </x:c>
      <x:c r="T136" s="9" t="n">
        <x:f>H136*Z135*INDEX(v01_MortAdult,G136)*Arch_AdultMort/4*Q136</x:f>
        <x:v>0.030894607488972128</x:v>
      </x:c>
      <x:c r="U136" s="9" t="n">
        <x:f>H136*AA135*INDEX(v01_MortElder,G136)/4*Q136</x:f>
        <x:v>0.05041457337736388</x:v>
      </x:c>
      <x:c r="V136" s="9" t="n">
        <x:f>H136*MAX(0,AB135-O136)*v01_OvercapLoss</x:f>
        <x:v>0</x:v>
      </x:c>
      <x:c r="W136" s="9" t="n">
        <x:f>H136*Y135/(v01_ChildYears*4)</x:f>
        <x:v>0.11522367517675222</x:v>
      </x:c>
      <x:c r="X136" s="9" t="n">
        <x:f>H136*Z135/(v01_AdultYears*4)</x:f>
        <x:v>0.0664400161053164</x:v>
      </x:c>
      <x:c r="Y136" s="32" t="n">
        <x:f>Y135+R136-S136-W136-Y135*V136/AB135</x:f>
        <x:v>6.4725169593882805</x:v>
      </x:c>
      <x:c r="Z136" s="32" t="n">
        <x:f>Z135+W136-X136-T136-Z135*V136/AB135</x:f>
        <x:v>8.256451048641697</x:v>
      </x:c>
      <x:c r="AA136" s="32" t="n">
        <x:f>AA135+X136-U136-AA135*V136/AB135</x:f>
        <x:v>2.0326083778225077</x:v>
      </x:c>
      <x:c r="AB136" s="10" t="n">
        <x:f>Y136+Z136+AA136</x:f>
        <x:v>16.761576385852486</x:v>
      </x:c>
      <x:c r="AC136" s="8" t="n">
        <x:f>IF(AND(v01_WinterTrigger=1,D136=1,AB135/AE135&gt;=K136),1,0)</x:f>
        <x:v>0</x:v>
      </x:c>
      <x:c r="AD136" s="8" t="n">
        <x:f>H136*IF(AND(OR(AB135/AE135&gt;=v01_FissionTrigger*N136,AC136=1),AB135/AE135*v01_DaughterShare&gt;=v01_MinDaughter),MAX(1,ROUND(AE135*v01_FissionRate,0)),0)</x:f>
        <x:v>0</x:v>
      </x:c>
      <x:c r="AE136" s="8" t="n">
        <x:f>IF(H136=1,MAX(1,MIN(INDEX(v01_Smax,G136),AE135+AD136)),AE135)</x:f>
        <x:v>1</x:v>
      </x:c>
      <x:c r="AF136" s="8" t="n">
        <x:f>MAX(0,AE136-AE135)</x:f>
        <x:v>0</x:v>
      </x:c>
      <x:c r="AG136" s="9" t="str">
        <x:f>IF(AF136&gt;0,B136,"")</x:f>
      </x:c>
      <x:c r="AH136" s="9" t="n">
        <x:f>IF(F136&gt;=1,1,(1+v01_LowTiesShare*(AE136-1))/AE136)</x:f>
        <x:v>1</x:v>
      </x:c>
      <x:c r="AI136" s="32" t="n">
        <x:f>(Z136+v01_ElderCommons*INDEX(LM_Elder,G136)*AA136)*AH136</x:f>
        <x:v>12.321667804286712</x:v>
      </x:c>
      <x:c r="AJ136" s="32" t="n">
        <x:f>H136*v01_CommonsCoef*AI136^v01_CommonsExp*INDEX(LM_Commons,G136)</x:f>
        <x:v>5.320061643464223</x:v>
      </x:c>
      <x:c r="AK136" s="32" t="n">
        <x:f>H136*v01_RoleScale*Arch_Roles*(AE136*(INDEX(v01_ElderRolePerSett,G136)*v01_OutElder*INDEX(LM_Elder,G136)+INDEX(v01_ShamanPerSett,G136)*v01_OutShaman)+Z136*(INDEX(v01_PriestShare,G136)*v01_OutPriest+INDEX(v01_ScribeShare,G136)*v01_OutScribe*INDEX(LM_Scribe,G136)+INDEX(v01_ScholarShare,G136)*v01_OutScholar*INDEX(LM_Scholar,G136)+INDEX(v01_ResearcherShare,G136)*v01_OutResearcher*INDEX(LM_Researcher,G136)))</x:f>
        <x:v>0</x:v>
      </x:c>
      <x:c r="AL136" s="32" t="n">
        <x:f>H136*v01_RoleScale*Arch_Roles*AE136*INDEX(v01_MonasteryPerSett,G136)*v01_OutMonastery*INDEX(LM_Monastery,G136)</x:f>
        <x:v>0</x:v>
      </x:c>
      <x:c r="AM136" s="32" t="n">
        <x:f>(AJ136+AK136+AL136)/4*INDEX(LM_All,G136)*INDEX(v01_Boon,G136)*Arch_Insight</x:f>
        <x:v>1.3300154108660558</x:v>
      </x:c>
      <x:c r="AN136" s="32" t="n">
        <x:f>H136*(v01_KHPerAdult*Z136+v01_KHOfCommons*AJ136/4*INDEX(LM_All,G136))*v01_KHUsable*Arch_KH</x:f>
        <x:v>0.2889757867024594</x:v>
      </x:c>
      <x:c r="AO136" s="32" t="n">
        <x:f>MIN(AP135+AN136,AM136*v01_KHMaxRatio)</x:f>
        <x:v>0.2889757867024594</x:v>
      </x:c>
      <x:c r="AP136" s="32" t="n">
        <x:f>AP135+AN136-AO136</x:f>
        <x:v>0</x:v>
      </x:c>
      <x:c r="AQ136" s="32" t="n">
        <x:f>AM136+AO136</x:f>
        <x:v>1.6189911975685152</x:v>
      </x:c>
      <x:c r="AR136" s="10" t="n">
        <x:f>IF(H136=1,INDEX(v01_Req,G136),0)</x:f>
        <x:v>372.02</x:v>
      </x:c>
      <x:c r="AS136" s="32" t="n">
        <x:f>IF(H136=1,IF(E136=1,AS135-AR135,AS135)+AQ136,0)</x:f>
        <x:v>202.21177342214577</x:v>
      </x:c>
      <x:c r="AT136" s="11" t="n">
        <x:f>IF(AR136&gt;0,MIN(1,AS136/AR136),1)</x:f>
        <x:v>0.5435508129190522</x:v>
      </x:c>
      <x:c r="AU136" s="10" t="n">
        <x:f>AB136/INDEX(v01_RepScale,G136)</x:f>
        <x:v>16.761576385852486</x:v>
      </x:c>
      <x:c r="AV136" s="32" t="n">
        <x:f>AM136*60/v01_SeasonSeconds</x:f>
        <x:v>5.320061643464223</x:v>
      </x:c>
    </x:row>
    <x:row r="137">
      <x:c r="A137" s="8" t="n">
        <x:f>A136+1</x:f>
        <x:v>134</x:v>
      </x:c>
      <x:c r="B137" s="9" t="n">
        <x:f>A137*v01_SeasonSeconds/60</x:f>
        <x:v>33.5</x:v>
      </x:c>
      <x:c r="C137" s="9" t="n">
        <x:f>A137/4</x:f>
        <x:v>33.5</x:v>
      </x:c>
      <x:c r="D137" s="8" t="n">
        <x:f>IF(MOD(A137,4)=0,1,0)</x:f>
        <x:v>0</x:v>
      </x:c>
      <x:c r="E137" s="8" t="n">
        <x:f>IF(AND(F136&lt;=9,AS136&gt;=AR136),1,0)</x:f>
        <x:v>0</x:v>
      </x:c>
      <x:c r="F137" s="8" t="n">
        <x:f>MIN(10,F136+E137)</x:f>
        <x:v>0</x:v>
      </x:c>
      <x:c r="G137" s="8" t="n">
        <x:f>MIN(F137,9)+1</x:f>
        <x:v>1</x:v>
      </x:c>
      <x:c r="H137" s="8" t="n">
        <x:f>IF(F137&lt;=9,1,0)</x:f>
        <x:v>1</x:v>
      </x:c>
      <x:c r="I137" s="9" t="n">
        <x:f>MIN(10,F136+IF(AR136&gt;0,MIN(1,AS136/AR136),1))</x:f>
        <x:v>0.5435508129190522</x:v>
      </x:c>
      <x:c r="J137" s="32" t="n">
        <x:f>INDEX(v01_FoodCap,G137)*Arch_FoodCap*EXP(v01_CapsByProject*SUMPRODUCT((Cap_Point&lt;=I137)*(Cap_Kind="Food")*Cap_Ln))</x:f>
        <x:v>22</x:v>
      </x:c>
      <x:c r="K137" s="32" t="n">
        <x:f>J137*MIN(1,v01_LeanBase*EXP(v01_CapsByProject*SUMPRODUCT((Cap_Point&lt;=I137)*(Cap_Kind="Lean")*Cap_Ln)))</x:f>
        <x:v>22</x:v>
      </x:c>
      <x:c r="L137" s="10" t="n">
        <x:f>INDEX(v01_HousingCap,G137)*EXP(v01_CapsByProject*SUMPRODUCT((Cap_Point&lt;=I137)*(Cap_Kind="Housing")*Cap_Ln))</x:f>
        <x:v>60</x:v>
      </x:c>
      <x:c r="M137" s="10" t="n">
        <x:f>INDEX(v01_GroupCap,G137)*v01_CohesionFactor*EXP(v01_CapsByProject*SUMPRODUCT((Cap_Point&lt;=I137)*(Cap_Kind="Group")*Cap_Ln))</x:f>
        <x:v>35</x:v>
      </x:c>
      <x:c r="N137" s="32" t="n">
        <x:f>MIN(J137,L137,M137)</x:f>
        <x:v>22</x:v>
      </x:c>
      <x:c r="O137" s="10" t="n">
        <x:f>AE136*N137</x:f>
        <x:v>22</x:v>
      </x:c>
      <x:c r="P137" s="9" t="n">
        <x:f>MIN(1,(AB136/(AE136*IF(v01_GroupInCrowding=1,N137,MIN(J137,L137))))^v01_CrowdingExp)</x:f>
        <x:v>0.1955928966465526</x:v>
      </x:c>
      <x:c r="Q137" s="9" t="n">
        <x:f>IF(D137=1,INDEX(v01_WinterMult,G137),1)</x:f>
        <x:v>1</x:v>
      </x:c>
      <x:c r="R137" s="9" t="n">
        <x:f>H137*Z136*v01_WomenShare*v01_BaseFertility*INDEX(v01_FertMult,G137)*Arch_Fertility*(1-P137)</x:f>
        <x:v>0.19924643616052204</x:v>
      </x:c>
      <x:c r="S137" s="9" t="n">
        <x:f>H137*Y136*INDEX(v01_MortChild,G137)/4*Q137</x:f>
        <x:v>0.0647251695938828</x:v>
      </x:c>
      <x:c r="T137" s="9" t="n">
        <x:f>H137*Z136*INDEX(v01_MortAdult,G137)*Arch_AdultMort/4*Q137</x:f>
        <x:v>0.030961691432406364</x:v>
      </x:c>
      <x:c r="U137" s="9" t="n">
        <x:f>H137*AA136*INDEX(v01_MortElder,G137)/4*Q137</x:f>
        <x:v>0.0508152094455627</x:v>
      </x:c>
      <x:c r="V137" s="9" t="n">
        <x:f>H137*MAX(0,AB136-O137)*v01_OvercapLoss</x:f>
        <x:v>0</x:v>
      </x:c>
      <x:c r="W137" s="9" t="n">
        <x:f>H137*Y136/(v01_ChildYears*4)</x:f>
        <x:v>0.11558065998907643</x:v>
      </x:c>
      <x:c r="X137" s="9" t="n">
        <x:f>H137*Z136/(v01_AdultYears*4)</x:f>
        <x:v>0.06658428265033627</x:v>
      </x:c>
      <x:c r="Y137" s="32" t="n">
        <x:f>Y136+R137-S137-W137-Y136*V137/AB136</x:f>
        <x:v>6.491457565965844</x:v>
      </x:c>
      <x:c r="Z137" s="32" t="n">
        <x:f>Z136+W137-X137-T137-Z136*V137/AB136</x:f>
        <x:v>8.274485734548032</x:v>
      </x:c>
      <x:c r="AA137" s="32" t="n">
        <x:f>AA136+X137-U137-AA136*V137/AB136</x:f>
        <x:v>2.048377451027281</x:v>
      </x:c>
      <x:c r="AB137" s="10" t="n">
        <x:f>Y137+Z137+AA137</x:f>
        <x:v>16.814320751541157</x:v>
      </x:c>
      <x:c r="AC137" s="8" t="n">
        <x:f>IF(AND(v01_WinterTrigger=1,D137=1,AB136/AE136&gt;=K137),1,0)</x:f>
        <x:v>0</x:v>
      </x:c>
      <x:c r="AD137" s="8" t="n">
        <x:f>H137*IF(AND(OR(AB136/AE136&gt;=v01_FissionTrigger*N137,AC137=1),AB136/AE136*v01_DaughterShare&gt;=v01_MinDaughter),MAX(1,ROUND(AE136*v01_FissionRate,0)),0)</x:f>
        <x:v>0</x:v>
      </x:c>
      <x:c r="AE137" s="8" t="n">
        <x:f>IF(H137=1,MAX(1,MIN(INDEX(v01_Smax,G137),AE136+AD137)),AE136)</x:f>
        <x:v>1</x:v>
      </x:c>
      <x:c r="AF137" s="8" t="n">
        <x:f>MAX(0,AE137-AE136)</x:f>
        <x:v>0</x:v>
      </x:c>
      <x:c r="AG137" s="9" t="str">
        <x:f>IF(AF137&gt;0,B137,"")</x:f>
      </x:c>
      <x:c r="AH137" s="9" t="n">
        <x:f>IF(F137&gt;=1,1,(1+v01_LowTiesShare*(AE137-1))/AE137)</x:f>
        <x:v>1</x:v>
      </x:c>
      <x:c r="AI137" s="32" t="n">
        <x:f>(Z137+v01_ElderCommons*INDEX(LM_Elder,G137)*AA137)*AH137</x:f>
        <x:v>12.371240636602593</x:v>
      </x:c>
      <x:c r="AJ137" s="32" t="n">
        <x:f>H137*v01_CommonsCoef*AI137^v01_CommonsExp*INDEX(LM_Commons,G137)</x:f>
        <x:v>5.338249392972106</x:v>
      </x:c>
      <x:c r="AK137" s="32" t="n">
        <x:f>H137*v01_RoleScale*Arch_Roles*(AE137*(INDEX(v01_ElderRolePerSett,G137)*v01_OutElder*INDEX(LM_Elder,G137)+INDEX(v01_ShamanPerSett,G137)*v01_OutShaman)+Z137*(INDEX(v01_PriestShare,G137)*v01_OutPriest+INDEX(v01_ScribeShare,G137)*v01_OutScribe*INDEX(LM_Scribe,G137)+INDEX(v01_ScholarShare,G137)*v01_OutScholar*INDEX(LM_Scholar,G137)+INDEX(v01_ResearcherShare,G137)*v01_OutResearcher*INDEX(LM_Researcher,G137)))</x:f>
        <x:v>0</x:v>
      </x:c>
      <x:c r="AL137" s="32" t="n">
        <x:f>H137*v01_RoleScale*Arch_Roles*AE137*INDEX(v01_MonasteryPerSett,G137)*v01_OutMonastery*INDEX(LM_Monastery,G137)</x:f>
        <x:v>0</x:v>
      </x:c>
      <x:c r="AM137" s="32" t="n">
        <x:f>(AJ137+AK137+AL137)/4*INDEX(LM_All,G137)*INDEX(v01_Boon,G137)*Arch_Insight</x:f>
        <x:v>1.3345623482430264</x:v>
      </x:c>
      <x:c r="AN137" s="32" t="n">
        <x:f>H137*(v01_KHPerAdult*Z137+v01_KHOfCommons*AJ137/4*INDEX(LM_All,G137))*v01_KHUsable*Arch_KH</x:f>
        <x:v>0.2896070007091811</x:v>
      </x:c>
      <x:c r="AO137" s="32" t="n">
        <x:f>MIN(AP136+AN137,AM137*v01_KHMaxRatio)</x:f>
        <x:v>0.2896070007091811</x:v>
      </x:c>
      <x:c r="AP137" s="32" t="n">
        <x:f>AP136+AN137-AO137</x:f>
        <x:v>0</x:v>
      </x:c>
      <x:c r="AQ137" s="32" t="n">
        <x:f>AM137+AO137</x:f>
        <x:v>1.6241693489522075</x:v>
      </x:c>
      <x:c r="AR137" s="10" t="n">
        <x:f>IF(H137=1,INDEX(v01_Req,G137),0)</x:f>
        <x:v>372.02</x:v>
      </x:c>
      <x:c r="AS137" s="32" t="n">
        <x:f>IF(H137=1,IF(E137=1,AS136-AR136,AS136)+AQ137,0)</x:f>
        <x:v>203.83594277109796</x:v>
      </x:c>
      <x:c r="AT137" s="11" t="n">
        <x:f>IF(AR137&gt;0,MIN(1,AS137/AR137),1)</x:f>
        <x:v>0.5479166248349496</x:v>
      </x:c>
      <x:c r="AU137" s="10" t="n">
        <x:f>AB137/INDEX(v01_RepScale,G137)</x:f>
        <x:v>16.814320751541157</x:v>
      </x:c>
      <x:c r="AV137" s="32" t="n">
        <x:f>AM137*60/v01_SeasonSeconds</x:f>
        <x:v>5.338249392972106</x:v>
      </x:c>
    </x:row>
    <x:row r="138">
      <x:c r="A138" s="8" t="n">
        <x:f>A137+1</x:f>
        <x:v>135</x:v>
      </x:c>
      <x:c r="B138" s="9" t="n">
        <x:f>A138*v01_SeasonSeconds/60</x:f>
        <x:v>33.75</x:v>
      </x:c>
      <x:c r="C138" s="9" t="n">
        <x:f>A138/4</x:f>
        <x:v>33.75</x:v>
      </x:c>
      <x:c r="D138" s="8" t="n">
        <x:f>IF(MOD(A138,4)=0,1,0)</x:f>
        <x:v>0</x:v>
      </x:c>
      <x:c r="E138" s="8" t="n">
        <x:f>IF(AND(F137&lt;=9,AS137&gt;=AR137),1,0)</x:f>
        <x:v>0</x:v>
      </x:c>
      <x:c r="F138" s="8" t="n">
        <x:f>MIN(10,F137+E138)</x:f>
        <x:v>0</x:v>
      </x:c>
      <x:c r="G138" s="8" t="n">
        <x:f>MIN(F138,9)+1</x:f>
        <x:v>1</x:v>
      </x:c>
      <x:c r="H138" s="8" t="n">
        <x:f>IF(F138&lt;=9,1,0)</x:f>
        <x:v>1</x:v>
      </x:c>
      <x:c r="I138" s="9" t="n">
        <x:f>MIN(10,F137+IF(AR137&gt;0,MIN(1,AS137/AR137),1))</x:f>
        <x:v>0.5479166248349496</x:v>
      </x:c>
      <x:c r="J138" s="32" t="n">
        <x:f>INDEX(v01_FoodCap,G138)*Arch_FoodCap*EXP(v01_CapsByProject*SUMPRODUCT((Cap_Point&lt;=I138)*(Cap_Kind="Food")*Cap_Ln))</x:f>
        <x:v>22</x:v>
      </x:c>
      <x:c r="K138" s="32" t="n">
        <x:f>J138*MIN(1,v01_LeanBase*EXP(v01_CapsByProject*SUMPRODUCT((Cap_Point&lt;=I138)*(Cap_Kind="Lean")*Cap_Ln)))</x:f>
        <x:v>22</x:v>
      </x:c>
      <x:c r="L138" s="10" t="n">
        <x:f>INDEX(v01_HousingCap,G138)*EXP(v01_CapsByProject*SUMPRODUCT((Cap_Point&lt;=I138)*(Cap_Kind="Housing")*Cap_Ln))</x:f>
        <x:v>60</x:v>
      </x:c>
      <x:c r="M138" s="10" t="n">
        <x:f>INDEX(v01_GroupCap,G138)*v01_CohesionFactor*EXP(v01_CapsByProject*SUMPRODUCT((Cap_Point&lt;=I138)*(Cap_Kind="Group")*Cap_Ln))</x:f>
        <x:v>35</x:v>
      </x:c>
      <x:c r="N138" s="32" t="n">
        <x:f>MIN(J138,L138,M138)</x:f>
        <x:v>22</x:v>
      </x:c>
      <x:c r="O138" s="10" t="n">
        <x:f>AE137*N138</x:f>
        <x:v>22</x:v>
      </x:c>
      <x:c r="P138" s="9" t="n">
        <x:f>MIN(1,(AB137/(AE137*IF(v01_GroupInCrowding=1,N138,MIN(J138,L138))))^v01_CrowdingExp)</x:f>
        <x:v>0.1993149531510417</x:v>
      </x:c>
      <x:c r="Q138" s="9" t="n">
        <x:f>IF(D138=1,INDEX(v01_WinterMult,G138),1)</x:f>
        <x:v>1</x:v>
      </x:c>
      <x:c r="R138" s="9" t="n">
        <x:f>H138*Z137*v01_WomenShare*v01_BaseFertility*INDEX(v01_FertMult,G138)*Arch_Fertility*(1-P138)</x:f>
        <x:v>0.19875770994052885</x:v>
      </x:c>
      <x:c r="S138" s="9" t="n">
        <x:f>H138*Y137*INDEX(v01_MortChild,G138)/4*Q138</x:f>
        <x:v>0.06491457565965844</x:v>
      </x:c>
      <x:c r="T138" s="9" t="n">
        <x:f>H138*Z137*INDEX(v01_MortAdult,G138)*Arch_AdultMort/4*Q138</x:f>
        <x:v>0.03102932150455512</x:v>
      </x:c>
      <x:c r="U138" s="9" t="n">
        <x:f>H138*AA137*INDEX(v01_MortElder,G138)/4*Q138</x:f>
        <x:v>0.05120943627568203</x:v>
      </x:c>
      <x:c r="V138" s="9" t="n">
        <x:f>H138*MAX(0,AB137-O138)*v01_OvercapLoss</x:f>
        <x:v>0</x:v>
      </x:c>
      <x:c r="W138" s="9" t="n">
        <x:f>H138*Y137/(v01_ChildYears*4)</x:f>
        <x:v>0.11591888510653292</x:v>
      </x:c>
      <x:c r="X138" s="9" t="n">
        <x:f>H138*Z137/(v01_AdultYears*4)</x:f>
        <x:v>0.06672972366570994</x:v>
      </x:c>
      <x:c r="Y138" s="32" t="n">
        <x:f>Y137+R138-S138-W138-Y137*V138/AB137</x:f>
        <x:v>6.509381815140181</x:v>
      </x:c>
      <x:c r="Z138" s="32" t="n">
        <x:f>Z137+W138-X138-T138-Z137*V138/AB137</x:f>
        <x:v>8.2926455744843</x:v>
      </x:c>
      <x:c r="AA138" s="32" t="n">
        <x:f>AA137+X138-U138-AA137*V138/AB137</x:f>
        <x:v>2.0638977384173094</x:v>
      </x:c>
      <x:c r="AB138" s="10" t="n">
        <x:f>Y138+Z138+AA138</x:f>
        <x:v>16.86592512804179</x:v>
      </x:c>
      <x:c r="AC138" s="8" t="n">
        <x:f>IF(AND(v01_WinterTrigger=1,D138=1,AB137/AE137&gt;=K138),1,0)</x:f>
        <x:v>0</x:v>
      </x:c>
      <x:c r="AD138" s="8" t="n">
        <x:f>H138*IF(AND(OR(AB137/AE137&gt;=v01_FissionTrigger*N138,AC138=1),AB137/AE137*v01_DaughterShare&gt;=v01_MinDaughter),MAX(1,ROUND(AE137*v01_FissionRate,0)),0)</x:f>
        <x:v>0</x:v>
      </x:c>
      <x:c r="AE138" s="8" t="n">
        <x:f>IF(H138=1,MAX(1,MIN(INDEX(v01_Smax,G138),AE137+AD138)),AE137)</x:f>
        <x:v>1</x:v>
      </x:c>
      <x:c r="AF138" s="8" t="n">
        <x:f>MAX(0,AE138-AE137)</x:f>
        <x:v>0</x:v>
      </x:c>
      <x:c r="AG138" s="9" t="str">
        <x:f>IF(AF138&gt;0,B138,"")</x:f>
      </x:c>
      <x:c r="AH138" s="9" t="n">
        <x:f>IF(F138&gt;=1,1,(1+v01_LowTiesShare*(AE138-1))/AE138)</x:f>
        <x:v>1</x:v>
      </x:c>
      <x:c r="AI138" s="32" t="n">
        <x:f>(Z138+v01_ElderCommons*INDEX(LM_Elder,G138)*AA138)*AH138</x:f>
        <x:v>12.42044105131892</x:v>
      </x:c>
      <x:c r="AJ138" s="32" t="n">
        <x:f>H138*v01_CommonsCoef*AI138^v01_CommonsExp*INDEX(LM_Commons,G138)</x:f>
        <x:v>5.356289700336823</x:v>
      </x:c>
      <x:c r="AK138" s="32" t="n">
        <x:f>H138*v01_RoleScale*Arch_Roles*(AE138*(INDEX(v01_ElderRolePerSett,G138)*v01_OutElder*INDEX(LM_Elder,G138)+INDEX(v01_ShamanPerSett,G138)*v01_OutShaman)+Z138*(INDEX(v01_PriestShare,G138)*v01_OutPriest+INDEX(v01_ScribeShare,G138)*v01_OutScribe*INDEX(LM_Scribe,G138)+INDEX(v01_ScholarShare,G138)*v01_OutScholar*INDEX(LM_Scholar,G138)+INDEX(v01_ResearcherShare,G138)*v01_OutResearcher*INDEX(LM_Researcher,G138)))</x:f>
        <x:v>0</x:v>
      </x:c>
      <x:c r="AL138" s="32" t="n">
        <x:f>H138*v01_RoleScale*Arch_Roles*AE138*INDEX(v01_MonasteryPerSett,G138)*v01_OutMonastery*INDEX(LM_Monastery,G138)</x:f>
        <x:v>0</x:v>
      </x:c>
      <x:c r="AM138" s="32" t="n">
        <x:f>(AJ138+AK138+AL138)/4*INDEX(LM_All,G138)*INDEX(v01_Boon,G138)*Arch_Insight</x:f>
        <x:v>1.3390724250842057</x:v>
      </x:c>
      <x:c r="AN138" s="32" t="n">
        <x:f>H138*(v01_KHPerAdult*Z138+v01_KHOfCommons*AJ138/4*INDEX(LM_All,G138))*v01_KHUsable*Arch_KH</x:f>
        <x:v>0.2902425951069505</x:v>
      </x:c>
      <x:c r="AO138" s="32" t="n">
        <x:f>MIN(AP137+AN138,AM138*v01_KHMaxRatio)</x:f>
        <x:v>0.2902425951069505</x:v>
      </x:c>
      <x:c r="AP138" s="32" t="n">
        <x:f>AP137+AN138-AO138</x:f>
        <x:v>0</x:v>
      </x:c>
      <x:c r="AQ138" s="32" t="n">
        <x:f>AM138+AO138</x:f>
        <x:v>1.6293150201911561</x:v>
      </x:c>
      <x:c r="AR138" s="10" t="n">
        <x:f>IF(H138=1,INDEX(v01_Req,G138),0)</x:f>
        <x:v>372.02</x:v>
      </x:c>
      <x:c r="AS138" s="32" t="n">
        <x:f>IF(H138=1,IF(E138=1,AS137-AR137,AS137)+AQ138,0)</x:f>
        <x:v>205.4652577912891</x:v>
      </x:c>
      <x:c r="AT138" s="11" t="n">
        <x:f>IF(AR138&gt;0,MIN(1,AS138/AR138),1)</x:f>
        <x:v>0.5522962684567742</x:v>
      </x:c>
      <x:c r="AU138" s="10" t="n">
        <x:f>AB138/INDEX(v01_RepScale,G138)</x:f>
        <x:v>16.86592512804179</x:v>
      </x:c>
      <x:c r="AV138" s="32" t="n">
        <x:f>AM138*60/v01_SeasonSeconds</x:f>
        <x:v>5.356289700336823</x:v>
      </x:c>
    </x:row>
    <x:row r="139">
      <x:c r="A139" s="8" t="n">
        <x:f>A138+1</x:f>
        <x:v>136</x:v>
      </x:c>
      <x:c r="B139" s="9" t="n">
        <x:f>A139*v01_SeasonSeconds/60</x:f>
        <x:v>34</x:v>
      </x:c>
      <x:c r="C139" s="9" t="n">
        <x:f>A139/4</x:f>
        <x:v>34</x:v>
      </x:c>
      <x:c r="D139" s="8" t="n">
        <x:f>IF(MOD(A139,4)=0,1,0)</x:f>
        <x:v>1</x:v>
      </x:c>
      <x:c r="E139" s="8" t="n">
        <x:f>IF(AND(F138&lt;=9,AS138&gt;=AR138),1,0)</x:f>
        <x:v>0</x:v>
      </x:c>
      <x:c r="F139" s="8" t="n">
        <x:f>MIN(10,F138+E139)</x:f>
        <x:v>0</x:v>
      </x:c>
      <x:c r="G139" s="8" t="n">
        <x:f>MIN(F139,9)+1</x:f>
        <x:v>1</x:v>
      </x:c>
      <x:c r="H139" s="8" t="n">
        <x:f>IF(F139&lt;=9,1,0)</x:f>
        <x:v>1</x:v>
      </x:c>
      <x:c r="I139" s="9" t="n">
        <x:f>MIN(10,F138+IF(AR138&gt;0,MIN(1,AS138/AR138),1))</x:f>
        <x:v>0.5522962684567742</x:v>
      </x:c>
      <x:c r="J139" s="32" t="n">
        <x:f>INDEX(v01_FoodCap,G139)*Arch_FoodCap*EXP(v01_CapsByProject*SUMPRODUCT((Cap_Point&lt;=I139)*(Cap_Kind="Food")*Cap_Ln))</x:f>
        <x:v>22</x:v>
      </x:c>
      <x:c r="K139" s="32" t="n">
        <x:f>J139*MIN(1,v01_LeanBase*EXP(v01_CapsByProject*SUMPRODUCT((Cap_Point&lt;=I139)*(Cap_Kind="Lean")*Cap_Ln)))</x:f>
        <x:v>22</x:v>
      </x:c>
      <x:c r="L139" s="10" t="n">
        <x:f>INDEX(v01_HousingCap,G139)*EXP(v01_CapsByProject*SUMPRODUCT((Cap_Point&lt;=I139)*(Cap_Kind="Housing")*Cap_Ln))</x:f>
        <x:v>60</x:v>
      </x:c>
      <x:c r="M139" s="10" t="n">
        <x:f>INDEX(v01_GroupCap,G139)*v01_CohesionFactor*EXP(v01_CapsByProject*SUMPRODUCT((Cap_Point&lt;=I139)*(Cap_Kind="Group")*Cap_Ln))</x:f>
        <x:v>35</x:v>
      </x:c>
      <x:c r="N139" s="32" t="n">
        <x:f>MIN(J139,L139,M139)</x:f>
        <x:v>22</x:v>
      </x:c>
      <x:c r="O139" s="10" t="n">
        <x:f>AE138*N139</x:f>
        <x:v>22</x:v>
      </x:c>
      <x:c r="P139" s="9" t="n">
        <x:f>MIN(1,(AB138/(AE138*IF(v01_GroupInCrowding=1,N139,MIN(J139,L139))))^v01_CrowdingExp)</x:f>
        <x:v>0.20301350224288411</x:v>
      </x:c>
      <x:c r="Q139" s="9" t="n">
        <x:f>IF(D139=1,INDEX(v01_WinterMult,G139),1)</x:f>
        <x:v>2</x:v>
      </x:c>
      <x:c r="R139" s="9" t="n">
        <x:f>H139*Z138*v01_WomenShare*v01_BaseFertility*INDEX(v01_FertMult,G139)*Arch_Fertility*(1-P139)</x:f>
        <x:v>0.19827379660647867</x:v>
      </x:c>
      <x:c r="S139" s="9" t="n">
        <x:f>H139*Y138*INDEX(v01_MortChild,G139)/4*Q139</x:f>
        <x:v>0.13018763630280364</x:v>
      </x:c>
      <x:c r="T139" s="9" t="n">
        <x:f>H139*Z138*INDEX(v01_MortAdult,G139)*Arch_AdultMort/4*Q139</x:f>
        <x:v>0.06219484180863225</x:v>
      </x:c>
      <x:c r="U139" s="9" t="n">
        <x:f>H139*AA138*INDEX(v01_MortElder,G139)/4*Q139</x:f>
        <x:v>0.10319488692086548</x:v>
      </x:c>
      <x:c r="V139" s="9" t="n">
        <x:f>H139*MAX(0,AB138-O139)*v01_OvercapLoss</x:f>
        <x:v>0</x:v>
      </x:c>
      <x:c r="W139" s="9" t="n">
        <x:f>H139*Y138/(v01_ChildYears*4)</x:f>
        <x:v>0.1162389609846461</x:v>
      </x:c>
      <x:c r="X139" s="9" t="n">
        <x:f>H139*Z138/(v01_AdultYears*4)</x:f>
        <x:v>0.06687617398777662</x:v>
      </x:c>
      <x:c r="Y139" s="32" t="n">
        <x:f>Y138+R139-S139-W139-Y138*V139/AB138</x:f>
        <x:v>6.461229014459211</x:v>
      </x:c>
      <x:c r="Z139" s="32" t="n">
        <x:f>Z138+W139-X139-T139-Z138*V139/AB138</x:f>
        <x:v>8.279813519672539</x:v>
      </x:c>
      <x:c r="AA139" s="32" t="n">
        <x:f>AA138+X139-U139-AA138*V139/AB138</x:f>
        <x:v>2.0275790254842208</x:v>
      </x:c>
      <x:c r="AB139" s="10" t="n">
        <x:f>Y139+Z139+AA139</x:f>
        <x:v>16.768621559615973</x:v>
      </x:c>
      <x:c r="AC139" s="8" t="n">
        <x:f>IF(AND(v01_WinterTrigger=1,D139=1,AB138/AE138&gt;=K139),1,0)</x:f>
        <x:v>0</x:v>
      </x:c>
      <x:c r="AD139" s="8" t="n">
        <x:f>H139*IF(AND(OR(AB138/AE138&gt;=v01_FissionTrigger*N139,AC139=1),AB138/AE138*v01_DaughterShare&gt;=v01_MinDaughter),MAX(1,ROUND(AE138*v01_FissionRate,0)),0)</x:f>
        <x:v>0</x:v>
      </x:c>
      <x:c r="AE139" s="8" t="n">
        <x:f>IF(H139=1,MAX(1,MIN(INDEX(v01_Smax,G139),AE138+AD139)),AE138)</x:f>
        <x:v>1</x:v>
      </x:c>
      <x:c r="AF139" s="8" t="n">
        <x:f>MAX(0,AE139-AE138)</x:f>
        <x:v>0</x:v>
      </x:c>
      <x:c r="AG139" s="9" t="str">
        <x:f>IF(AF139&gt;0,B139,"")</x:f>
      </x:c>
      <x:c r="AH139" s="9" t="n">
        <x:f>IF(F139&gt;=1,1,(1+v01_LowTiesShare*(AE139-1))/AE139)</x:f>
        <x:v>1</x:v>
      </x:c>
      <x:c r="AI139" s="32" t="n">
        <x:f>(Z139+v01_ElderCommons*INDEX(LM_Elder,G139)*AA139)*AH139</x:f>
        <x:v>12.334971570640981</x:v>
      </x:c>
      <x:c r="AJ139" s="32" t="n">
        <x:f>H139*v01_CommonsCoef*AI139^v01_CommonsExp*INDEX(LM_Commons,G139)</x:f>
        <x:v>5.324943730844421</x:v>
      </x:c>
      <x:c r="AK139" s="32" t="n">
        <x:f>H139*v01_RoleScale*Arch_Roles*(AE139*(INDEX(v01_ElderRolePerSett,G139)*v01_OutElder*INDEX(LM_Elder,G139)+INDEX(v01_ShamanPerSett,G139)*v01_OutShaman)+Z139*(INDEX(v01_PriestShare,G139)*v01_OutPriest+INDEX(v01_ScribeShare,G139)*v01_OutScribe*INDEX(LM_Scribe,G139)+INDEX(v01_ScholarShare,G139)*v01_OutScholar*INDEX(LM_Scholar,G139)+INDEX(v01_ResearcherShare,G139)*v01_OutResearcher*INDEX(LM_Researcher,G139)))</x:f>
        <x:v>0</x:v>
      </x:c>
      <x:c r="AL139" s="32" t="n">
        <x:f>H139*v01_RoleScale*Arch_Roles*AE139*INDEX(v01_MonasteryPerSett,G139)*v01_OutMonastery*INDEX(LM_Monastery,G139)</x:f>
        <x:v>0</x:v>
      </x:c>
      <x:c r="AM139" s="32" t="n">
        <x:f>(AJ139+AK139+AL139)/4*INDEX(LM_All,G139)*INDEX(v01_Boon,G139)*Arch_Insight</x:f>
        <x:v>1.3312359327111052</x:v>
      </x:c>
      <x:c r="AN139" s="32" t="n">
        <x:f>H139*(v01_KHPerAdult*Z139+v01_KHOfCommons*AJ139/4*INDEX(LM_All,G139))*v01_KHUsable*Arch_KH</x:f>
        <x:v>0.2897934731885388</x:v>
      </x:c>
      <x:c r="AO139" s="32" t="n">
        <x:f>MIN(AP138+AN139,AM139*v01_KHMaxRatio)</x:f>
        <x:v>0.2897934731885388</x:v>
      </x:c>
      <x:c r="AP139" s="32" t="n">
        <x:f>AP138+AN139-AO139</x:f>
        <x:v>0</x:v>
      </x:c>
      <x:c r="AQ139" s="32" t="n">
        <x:f>AM139+AO139</x:f>
        <x:v>1.621029405899644</x:v>
      </x:c>
      <x:c r="AR139" s="10" t="n">
        <x:f>IF(H139=1,INDEX(v01_Req,G139),0)</x:f>
        <x:v>372.02</x:v>
      </x:c>
      <x:c r="AS139" s="32" t="n">
        <x:f>IF(H139=1,IF(E139=1,AS138-AR138,AS138)+AQ139,0)</x:f>
        <x:v>207.08628719718874</x:v>
      </x:c>
      <x:c r="AT139" s="11" t="n">
        <x:f>IF(AR139&gt;0,MIN(1,AS139/AR139),1)</x:f>
        <x:v>0.5566536401193182</x:v>
      </x:c>
      <x:c r="AU139" s="10" t="n">
        <x:f>AB139/INDEX(v01_RepScale,G139)</x:f>
        <x:v>16.768621559615973</x:v>
      </x:c>
      <x:c r="AV139" s="32" t="n">
        <x:f>AM139*60/v01_SeasonSeconds</x:f>
        <x:v>5.324943730844421</x:v>
      </x:c>
    </x:row>
    <x:row r="140">
      <x:c r="A140" s="8" t="n">
        <x:f>A139+1</x:f>
        <x:v>137</x:v>
      </x:c>
      <x:c r="B140" s="9" t="n">
        <x:f>A140*v01_SeasonSeconds/60</x:f>
        <x:v>34.25</x:v>
      </x:c>
      <x:c r="C140" s="9" t="n">
        <x:f>A140/4</x:f>
        <x:v>34.25</x:v>
      </x:c>
      <x:c r="D140" s="8" t="n">
        <x:f>IF(MOD(A140,4)=0,1,0)</x:f>
        <x:v>0</x:v>
      </x:c>
      <x:c r="E140" s="8" t="n">
        <x:f>IF(AND(F139&lt;=9,AS139&gt;=AR139),1,0)</x:f>
        <x:v>0</x:v>
      </x:c>
      <x:c r="F140" s="8" t="n">
        <x:f>MIN(10,F139+E140)</x:f>
        <x:v>0</x:v>
      </x:c>
      <x:c r="G140" s="8" t="n">
        <x:f>MIN(F140,9)+1</x:f>
        <x:v>1</x:v>
      </x:c>
      <x:c r="H140" s="8" t="n">
        <x:f>IF(F140&lt;=9,1,0)</x:f>
        <x:v>1</x:v>
      </x:c>
      <x:c r="I140" s="9" t="n">
        <x:f>MIN(10,F139+IF(AR139&gt;0,MIN(1,AS139/AR139),1))</x:f>
        <x:v>0.5566536401193182</x:v>
      </x:c>
      <x:c r="J140" s="32" t="n">
        <x:f>INDEX(v01_FoodCap,G140)*Arch_FoodCap*EXP(v01_CapsByProject*SUMPRODUCT((Cap_Point&lt;=I140)*(Cap_Kind="Food")*Cap_Ln))</x:f>
        <x:v>22</x:v>
      </x:c>
      <x:c r="K140" s="32" t="n">
        <x:f>J140*MIN(1,v01_LeanBase*EXP(v01_CapsByProject*SUMPRODUCT((Cap_Point&lt;=I140)*(Cap_Kind="Lean")*Cap_Ln)))</x:f>
        <x:v>22</x:v>
      </x:c>
      <x:c r="L140" s="10" t="n">
        <x:f>INDEX(v01_HousingCap,G140)*EXP(v01_CapsByProject*SUMPRODUCT((Cap_Point&lt;=I140)*(Cap_Kind="Housing")*Cap_Ln))</x:f>
        <x:v>60</x:v>
      </x:c>
      <x:c r="M140" s="10" t="n">
        <x:f>INDEX(v01_GroupCap,G140)*v01_CohesionFactor*EXP(v01_CapsByProject*SUMPRODUCT((Cap_Point&lt;=I140)*(Cap_Kind="Group")*Cap_Ln))</x:f>
        <x:v>35</x:v>
      </x:c>
      <x:c r="N140" s="32" t="n">
        <x:f>MIN(J140,L140,M140)</x:f>
        <x:v>22</x:v>
      </x:c>
      <x:c r="O140" s="10" t="n">
        <x:f>AE139*N140</x:f>
        <x:v>22</x:v>
      </x:c>
      <x:c r="P140" s="9" t="n">
        <x:f>MIN(1,(AB139/(AE139*IF(v01_GroupInCrowding=1,N140,MIN(J140,L140))))^v01_CrowdingExp)</x:f>
        <x:v>0.19608668125273632</x:v>
      </x:c>
      <x:c r="Q140" s="9" t="n">
        <x:f>IF(D140=1,INDEX(v01_WinterMult,G140),1)</x:f>
        <x:v>1</x:v>
      </x:c>
      <x:c r="R140" s="9" t="n">
        <x:f>H140*Z139*v01_WomenShare*v01_BaseFertility*INDEX(v01_FertMult,G140)*Arch_Fertility*(1-P140)</x:f>
        <x:v>0.19968757095625236</x:v>
      </x:c>
      <x:c r="S140" s="9" t="n">
        <x:f>H140*Y139*INDEX(v01_MortChild,G140)/4*Q140</x:f>
        <x:v>0.0646122901445921</x:v>
      </x:c>
      <x:c r="T140" s="9" t="n">
        <x:f>H140*Z139*INDEX(v01_MortAdult,G140)*Arch_AdultMort/4*Q140</x:f>
        <x:v>0.031049300698772018</x:v>
      </x:c>
      <x:c r="U140" s="9" t="n">
        <x:f>H140*AA139*INDEX(v01_MortElder,G140)/4*Q140</x:f>
        <x:v>0.05068947563710552</x:v>
      </x:c>
      <x:c r="V140" s="9" t="n">
        <x:f>H140*MAX(0,AB139-O140)*v01_OvercapLoss</x:f>
        <x:v>0</x:v>
      </x:c>
      <x:c r="W140" s="9" t="n">
        <x:f>H140*Y139/(v01_ChildYears*4)</x:f>
        <x:v>0.11537908954391449</x:v>
      </x:c>
      <x:c r="X140" s="9" t="n">
        <x:f>H140*Z139/(v01_AdultYears*4)</x:f>
        <x:v>0.06677268967477853</x:v>
      </x:c>
      <x:c r="Y140" s="32" t="n">
        <x:f>Y139+R140-S140-W140-Y139*V140/AB139</x:f>
        <x:v>6.480925205726956</x:v>
      </x:c>
      <x:c r="Z140" s="32" t="n">
        <x:f>Z139+W140-X140-T140-Z139*V140/AB139</x:f>
        <x:v>8.297370618842903</x:v>
      </x:c>
      <x:c r="AA140" s="32" t="n">
        <x:f>AA139+X140-U140-AA139*V140/AB139</x:f>
        <x:v>2.0436622395218937</x:v>
      </x:c>
      <x:c r="AB140" s="10" t="n">
        <x:f>Y140+Z140+AA140</x:f>
        <x:v>16.821958064091753</x:v>
      </x:c>
      <x:c r="AC140" s="8" t="n">
        <x:f>IF(AND(v01_WinterTrigger=1,D140=1,AB139/AE139&gt;=K140),1,0)</x:f>
        <x:v>0</x:v>
      </x:c>
      <x:c r="AD140" s="8" t="n">
        <x:f>H140*IF(AND(OR(AB139/AE139&gt;=v01_FissionTrigger*N140,AC140=1),AB139/AE139*v01_DaughterShare&gt;=v01_MinDaughter),MAX(1,ROUND(AE139*v01_FissionRate,0)),0)</x:f>
        <x:v>0</x:v>
      </x:c>
      <x:c r="AE140" s="8" t="n">
        <x:f>IF(H140=1,MAX(1,MIN(INDEX(v01_Smax,G140),AE139+AD140)),AE139)</x:f>
        <x:v>1</x:v>
      </x:c>
      <x:c r="AF140" s="8" t="n">
        <x:f>MAX(0,AE140-AE139)</x:f>
        <x:v>0</x:v>
      </x:c>
      <x:c r="AG140" s="9" t="str">
        <x:f>IF(AF140&gt;0,B140,"")</x:f>
      </x:c>
      <x:c r="AH140" s="9" t="n">
        <x:f>IF(F140&gt;=1,1,(1+v01_LowTiesShare*(AE140-1))/AE140)</x:f>
        <x:v>1</x:v>
      </x:c>
      <x:c r="AI140" s="32" t="n">
        <x:f>(Z140+v01_ElderCommons*INDEX(LM_Elder,G140)*AA140)*AH140</x:f>
        <x:v>12.384695097886691</x:v>
      </x:c>
      <x:c r="AJ140" s="32" t="n">
        <x:f>H140*v01_CommonsCoef*AI140^v01_CommonsExp*INDEX(LM_Commons,G140)</x:f>
        <x:v>5.343183805254408</x:v>
      </x:c>
      <x:c r="AK140" s="32" t="n">
        <x:f>H140*v01_RoleScale*Arch_Roles*(AE140*(INDEX(v01_ElderRolePerSett,G140)*v01_OutElder*INDEX(LM_Elder,G140)+INDEX(v01_ShamanPerSett,G140)*v01_OutShaman)+Z140*(INDEX(v01_PriestShare,G140)*v01_OutPriest+INDEX(v01_ScribeShare,G140)*v01_OutScribe*INDEX(LM_Scribe,G140)+INDEX(v01_ScholarShare,G140)*v01_OutScholar*INDEX(LM_Scholar,G140)+INDEX(v01_ResearcherShare,G140)*v01_OutResearcher*INDEX(LM_Researcher,G140)))</x:f>
        <x:v>0</x:v>
      </x:c>
      <x:c r="AL140" s="32" t="n">
        <x:f>H140*v01_RoleScale*Arch_Roles*AE140*INDEX(v01_MonasteryPerSett,G140)*v01_OutMonastery*INDEX(LM_Monastery,G140)</x:f>
        <x:v>0</x:v>
      </x:c>
      <x:c r="AM140" s="32" t="n">
        <x:f>(AJ140+AK140+AL140)/4*INDEX(LM_All,G140)*INDEX(v01_Boon,G140)*Arch_Insight</x:f>
        <x:v>1.335795951313602</x:v>
      </x:c>
      <x:c r="AN140" s="32" t="n">
        <x:f>H140*(v01_KHPerAdult*Z140+v01_KHOfCommons*AJ140/4*INDEX(LM_All,G140))*v01_KHUsable*Arch_KH</x:f>
        <x:v>0.2904079716595016</x:v>
      </x:c>
      <x:c r="AO140" s="32" t="n">
        <x:f>MIN(AP139+AN140,AM140*v01_KHMaxRatio)</x:f>
        <x:v>0.2904079716595016</x:v>
      </x:c>
      <x:c r="AP140" s="32" t="n">
        <x:f>AP139+AN140-AO140</x:f>
        <x:v>0</x:v>
      </x:c>
      <x:c r="AQ140" s="32" t="n">
        <x:f>AM140+AO140</x:f>
        <x:v>1.6262039229731036</x:v>
      </x:c>
      <x:c r="AR140" s="10" t="n">
        <x:f>IF(H140=1,INDEX(v01_Req,G140),0)</x:f>
        <x:v>372.02</x:v>
      </x:c>
      <x:c r="AS140" s="32" t="n">
        <x:f>IF(H140=1,IF(E140=1,AS139-AR139,AS139)+AQ140,0)</x:f>
        <x:v>208.71249112016184</x:v>
      </x:c>
      <x:c r="AT140" s="11" t="n">
        <x:f>IF(AR140&gt;0,MIN(1,AS140/AR140),1)</x:f>
        <x:v>0.5610249210261864</x:v>
      </x:c>
      <x:c r="AU140" s="10" t="n">
        <x:f>AB140/INDEX(v01_RepScale,G140)</x:f>
        <x:v>16.821958064091753</x:v>
      </x:c>
      <x:c r="AV140" s="32" t="n">
        <x:f>AM140*60/v01_SeasonSeconds</x:f>
        <x:v>5.343183805254408</x:v>
      </x:c>
    </x:row>
    <x:row r="141">
      <x:c r="A141" s="8" t="n">
        <x:f>A140+1</x:f>
        <x:v>138</x:v>
      </x:c>
      <x:c r="B141" s="9" t="n">
        <x:f>A141*v01_SeasonSeconds/60</x:f>
        <x:v>34.5</x:v>
      </x:c>
      <x:c r="C141" s="9" t="n">
        <x:f>A141/4</x:f>
        <x:v>34.5</x:v>
      </x:c>
      <x:c r="D141" s="8" t="n">
        <x:f>IF(MOD(A141,4)=0,1,0)</x:f>
        <x:v>0</x:v>
      </x:c>
      <x:c r="E141" s="8" t="n">
        <x:f>IF(AND(F140&lt;=9,AS140&gt;=AR140),1,0)</x:f>
        <x:v>0</x:v>
      </x:c>
      <x:c r="F141" s="8" t="n">
        <x:f>MIN(10,F140+E141)</x:f>
        <x:v>0</x:v>
      </x:c>
      <x:c r="G141" s="8" t="n">
        <x:f>MIN(F141,9)+1</x:f>
        <x:v>1</x:v>
      </x:c>
      <x:c r="H141" s="8" t="n">
        <x:f>IF(F141&lt;=9,1,0)</x:f>
        <x:v>1</x:v>
      </x:c>
      <x:c r="I141" s="9" t="n">
        <x:f>MIN(10,F140+IF(AR140&gt;0,MIN(1,AS140/AR140),1))</x:f>
        <x:v>0.5610249210261864</x:v>
      </x:c>
      <x:c r="J141" s="32" t="n">
        <x:f>INDEX(v01_FoodCap,G141)*Arch_FoodCap*EXP(v01_CapsByProject*SUMPRODUCT((Cap_Point&lt;=I141)*(Cap_Kind="Food")*Cap_Ln))</x:f>
        <x:v>22</x:v>
      </x:c>
      <x:c r="K141" s="32" t="n">
        <x:f>J141*MIN(1,v01_LeanBase*EXP(v01_CapsByProject*SUMPRODUCT((Cap_Point&lt;=I141)*(Cap_Kind="Lean")*Cap_Ln)))</x:f>
        <x:v>22</x:v>
      </x:c>
      <x:c r="L141" s="10" t="n">
        <x:f>INDEX(v01_HousingCap,G141)*EXP(v01_CapsByProject*SUMPRODUCT((Cap_Point&lt;=I141)*(Cap_Kind="Housing")*Cap_Ln))</x:f>
        <x:v>60</x:v>
      </x:c>
      <x:c r="M141" s="10" t="n">
        <x:f>INDEX(v01_GroupCap,G141)*v01_CohesionFactor*EXP(v01_CapsByProject*SUMPRODUCT((Cap_Point&lt;=I141)*(Cap_Kind="Group")*Cap_Ln))</x:f>
        <x:v>35</x:v>
      </x:c>
      <x:c r="N141" s="32" t="n">
        <x:f>MIN(J141,L141,M141)</x:f>
        <x:v>22</x:v>
      </x:c>
      <x:c r="O141" s="10" t="n">
        <x:f>AE140*N141</x:f>
        <x:v>22</x:v>
      </x:c>
      <x:c r="P141" s="9" t="n">
        <x:f>MIN(1,(AB140/(AE140*IF(v01_GroupInCrowding=1,N141,MIN(J141,L141))))^v01_CrowdingExp)</x:f>
        <x:v>0.19985876109140058</x:v>
      </x:c>
      <x:c r="Q141" s="9" t="n">
        <x:f>IF(D141=1,INDEX(v01_WinterMult,G141),1)</x:f>
        <x:v>1</x:v>
      </x:c>
      <x:c r="R141" s="9" t="n">
        <x:f>H141*Z140*v01_WomenShare*v01_BaseFertility*INDEX(v01_FertMult,G141)*Arch_Fertility*(1-P141)</x:f>
        <x:v>0.1991720521993432</x:v>
      </x:c>
      <x:c r="S141" s="9" t="n">
        <x:f>H141*Y140*INDEX(v01_MortChild,G141)/4*Q141</x:f>
        <x:v>0.06480925205726956</x:v>
      </x:c>
      <x:c r="T141" s="9" t="n">
        <x:f>H141*Z140*INDEX(v01_MortAdult,G141)*Arch_AdultMort/4*Q141</x:f>
        <x:v>0.031115139820660886</x:v>
      </x:c>
      <x:c r="U141" s="9" t="n">
        <x:f>H141*AA140*INDEX(v01_MortElder,G141)/4*Q141</x:f>
        <x:v>0.05109155598804735</x:v>
      </x:c>
      <x:c r="V141" s="9" t="n">
        <x:f>H141*MAX(0,AB140-O141)*v01_OvercapLoss</x:f>
        <x:v>0</x:v>
      </x:c>
      <x:c r="W141" s="9" t="n">
        <x:f>H141*Y140/(v01_ChildYears*4)</x:f>
        <x:v>0.11573080724512422</x:v>
      </x:c>
      <x:c r="X141" s="9" t="n">
        <x:f>H141*Z140/(v01_AdultYears*4)</x:f>
        <x:v>0.06691427918421695</x:v>
      </x:c>
      <x:c r="Y141" s="32" t="n">
        <x:f>Y140+R141-S141-W141-Y140*V141/AB140</x:f>
        <x:v>6.499557198623906</x:v>
      </x:c>
      <x:c r="Z141" s="32" t="n">
        <x:f>Z140+W141-X141-T141-Z140*V141/AB140</x:f>
        <x:v>8.315072007083149</x:v>
      </x:c>
      <x:c r="AA141" s="32" t="n">
        <x:f>AA140+X141-U141-AA140*V141/AB140</x:f>
        <x:v>2.0594849627180634</x:v>
      </x:c>
      <x:c r="AB141" s="10" t="n">
        <x:f>Y141+Z141+AA141</x:f>
        <x:v>16.87411416842512</x:v>
      </x:c>
      <x:c r="AC141" s="8" t="n">
        <x:f>IF(AND(v01_WinterTrigger=1,D141=1,AB140/AE140&gt;=K141),1,0)</x:f>
        <x:v>0</x:v>
      </x:c>
      <x:c r="AD141" s="8" t="n">
        <x:f>H141*IF(AND(OR(AB140/AE140&gt;=v01_FissionTrigger*N141,AC141=1),AB140/AE140*v01_DaughterShare&gt;=v01_MinDaughter),MAX(1,ROUND(AE140*v01_FissionRate,0)),0)</x:f>
        <x:v>0</x:v>
      </x:c>
      <x:c r="AE141" s="8" t="n">
        <x:f>IF(H141=1,MAX(1,MIN(INDEX(v01_Smax,G141),AE140+AD141)),AE140)</x:f>
        <x:v>1</x:v>
      </x:c>
      <x:c r="AF141" s="8" t="n">
        <x:f>MAX(0,AE141-AE140)</x:f>
        <x:v>0</x:v>
      </x:c>
      <x:c r="AG141" s="9" t="str">
        <x:f>IF(AF141&gt;0,B141,"")</x:f>
      </x:c>
      <x:c r="AH141" s="9" t="n">
        <x:f>IF(F141&gt;=1,1,(1+v01_LowTiesShare*(AE141-1))/AE141)</x:f>
        <x:v>1</x:v>
      </x:c>
      <x:c r="AI141" s="32" t="n">
        <x:f>(Z141+v01_ElderCommons*INDEX(LM_Elder,G141)*AA141)*AH141</x:f>
        <x:v>12.434041932519275</x:v>
      </x:c>
      <x:c r="AJ141" s="32" t="n">
        <x:f>H141*v01_CommonsCoef*AI141^v01_CommonsExp*INDEX(LM_Commons,G141)</x:f>
        <x:v>5.361274840332539</x:v>
      </x:c>
      <x:c r="AK141" s="32" t="n">
        <x:f>H141*v01_RoleScale*Arch_Roles*(AE141*(INDEX(v01_ElderRolePerSett,G141)*v01_OutElder*INDEX(LM_Elder,G141)+INDEX(v01_ShamanPerSett,G141)*v01_OutShaman)+Z141*(INDEX(v01_PriestShare,G141)*v01_OutPriest+INDEX(v01_ScribeShare,G141)*v01_OutScribe*INDEX(LM_Scribe,G141)+INDEX(v01_ScholarShare,G141)*v01_OutScholar*INDEX(LM_Scholar,G141)+INDEX(v01_ResearcherShare,G141)*v01_OutResearcher*INDEX(LM_Researcher,G141)))</x:f>
        <x:v>0</x:v>
      </x:c>
      <x:c r="AL141" s="32" t="n">
        <x:f>H141*v01_RoleScale*Arch_Roles*AE141*INDEX(v01_MonasteryPerSett,G141)*v01_OutMonastery*INDEX(LM_Monastery,G141)</x:f>
        <x:v>0</x:v>
      </x:c>
      <x:c r="AM141" s="32" t="n">
        <x:f>(AJ141+AK141+AL141)/4*INDEX(LM_All,G141)*INDEX(v01_Boon,G141)*Arch_Insight</x:f>
        <x:v>1.3403187100831349</x:v>
      </x:c>
      <x:c r="AN141" s="32" t="n">
        <x:f>H141*(v01_KHPerAdult*Z141+v01_KHOfCommons*AJ141/4*INDEX(LM_All,G141))*v01_KHUsable*Arch_KH</x:f>
        <x:v>0.29102752024791023</x:v>
      </x:c>
      <x:c r="AO141" s="32" t="n">
        <x:f>MIN(AP140+AN141,AM141*v01_KHMaxRatio)</x:f>
        <x:v>0.29102752024791023</x:v>
      </x:c>
      <x:c r="AP141" s="32" t="n">
        <x:f>AP140+AN141-AO141</x:f>
        <x:v>0</x:v>
      </x:c>
      <x:c r="AQ141" s="32" t="n">
        <x:f>AM141+AO141</x:f>
        <x:v>1.631346230331045</x:v>
      </x:c>
      <x:c r="AR141" s="10" t="n">
        <x:f>IF(H141=1,INDEX(v01_Req,G141),0)</x:f>
        <x:v>372.02</x:v>
      </x:c>
      <x:c r="AS141" s="32" t="n">
        <x:f>IF(H141=1,IF(E141=1,AS140-AR140,AS140)+AQ141,0)</x:f>
        <x:v>210.3438373504929</x:v>
      </x:c>
      <x:c r="AT141" s="11" t="n">
        <x:f>IF(AR141&gt;0,MIN(1,AS141/AR141),1)</x:f>
        <x:v>0.5654100245967768</x:v>
      </x:c>
      <x:c r="AU141" s="10" t="n">
        <x:f>AB141/INDEX(v01_RepScale,G141)</x:f>
        <x:v>16.87411416842512</x:v>
      </x:c>
      <x:c r="AV141" s="32" t="n">
        <x:f>AM141*60/v01_SeasonSeconds</x:f>
        <x:v>5.361274840332539</x:v>
      </x:c>
    </x:row>
    <x:row r="142">
      <x:c r="A142" s="8" t="n">
        <x:f>A141+1</x:f>
        <x:v>139</x:v>
      </x:c>
      <x:c r="B142" s="9" t="n">
        <x:f>A142*v01_SeasonSeconds/60</x:f>
        <x:v>34.75</x:v>
      </x:c>
      <x:c r="C142" s="9" t="n">
        <x:f>A142/4</x:f>
        <x:v>34.75</x:v>
      </x:c>
      <x:c r="D142" s="8" t="n">
        <x:f>IF(MOD(A142,4)=0,1,0)</x:f>
        <x:v>0</x:v>
      </x:c>
      <x:c r="E142" s="8" t="n">
        <x:f>IF(AND(F141&lt;=9,AS141&gt;=AR141),1,0)</x:f>
        <x:v>0</x:v>
      </x:c>
      <x:c r="F142" s="8" t="n">
        <x:f>MIN(10,F141+E142)</x:f>
        <x:v>0</x:v>
      </x:c>
      <x:c r="G142" s="8" t="n">
        <x:f>MIN(F142,9)+1</x:f>
        <x:v>1</x:v>
      </x:c>
      <x:c r="H142" s="8" t="n">
        <x:f>IF(F142&lt;=9,1,0)</x:f>
        <x:v>1</x:v>
      </x:c>
      <x:c r="I142" s="9" t="n">
        <x:f>MIN(10,F141+IF(AR141&gt;0,MIN(1,AS141/AR141),1))</x:f>
        <x:v>0.5654100245967768</x:v>
      </x:c>
      <x:c r="J142" s="32" t="n">
        <x:f>INDEX(v01_FoodCap,G142)*Arch_FoodCap*EXP(v01_CapsByProject*SUMPRODUCT((Cap_Point&lt;=I142)*(Cap_Kind="Food")*Cap_Ln))</x:f>
        <x:v>22</x:v>
      </x:c>
      <x:c r="K142" s="32" t="n">
        <x:f>J142*MIN(1,v01_LeanBase*EXP(v01_CapsByProject*SUMPRODUCT((Cap_Point&lt;=I142)*(Cap_Kind="Lean")*Cap_Ln)))</x:f>
        <x:v>22</x:v>
      </x:c>
      <x:c r="L142" s="10" t="n">
        <x:f>INDEX(v01_HousingCap,G142)*EXP(v01_CapsByProject*SUMPRODUCT((Cap_Point&lt;=I142)*(Cap_Kind="Housing")*Cap_Ln))</x:f>
        <x:v>60</x:v>
      </x:c>
      <x:c r="M142" s="10" t="n">
        <x:f>INDEX(v01_GroupCap,G142)*v01_CohesionFactor*EXP(v01_CapsByProject*SUMPRODUCT((Cap_Point&lt;=I142)*(Cap_Kind="Group")*Cap_Ln))</x:f>
        <x:v>35</x:v>
      </x:c>
      <x:c r="N142" s="32" t="n">
        <x:f>MIN(J142,L142,M142)</x:f>
        <x:v>22</x:v>
      </x:c>
      <x:c r="O142" s="10" t="n">
        <x:f>AE141*N142</x:f>
        <x:v>22</x:v>
      </x:c>
      <x:c r="P142" s="9" t="n">
        <x:f>MIN(1,(AB141/(AE141*IF(v01_GroupInCrowding=1,N142,MIN(J142,L142))))^v01_CrowdingExp)</x:f>
        <x:v>0.20360564470554396</x:v>
      </x:c>
      <x:c r="Q142" s="9" t="n">
        <x:f>IF(D142=1,INDEX(v01_WinterMult,G142),1)</x:f>
        <x:v>1</x:v>
      </x:c>
      <x:c r="R142" s="9" t="n">
        <x:f>H142*Z141*v01_WomenShare*v01_BaseFertility*INDEX(v01_FertMult,G142)*Arch_Fertility*(1-P142)</x:f>
        <x:v>0.19866229230923887</x:v>
      </x:c>
      <x:c r="S142" s="9" t="n">
        <x:f>H142*Y141*INDEX(v01_MortChild,G142)/4*Q142</x:f>
        <x:v>0.06499557198623906</x:v>
      </x:c>
      <x:c r="T142" s="9" t="n">
        <x:f>H142*Z141*INDEX(v01_MortAdult,G142)*Arch_AdultMort/4*Q142</x:f>
        <x:v>0.03118152002656181</x:v>
      </x:c>
      <x:c r="U142" s="9" t="n">
        <x:f>H142*AA141*INDEX(v01_MortElder,G142)/4*Q142</x:f>
        <x:v>0.051487124067951584</x:v>
      </x:c>
      <x:c r="V142" s="9" t="n">
        <x:f>H142*MAX(0,AB141-O142)*v01_OvercapLoss</x:f>
        <x:v>0</x:v>
      </x:c>
      <x:c r="W142" s="9" t="n">
        <x:f>H142*Y141/(v01_ChildYears*4)</x:f>
        <x:v>0.11606352140399832</x:v>
      </x:c>
      <x:c r="X142" s="9" t="n">
        <x:f>H142*Z141/(v01_AdultYears*4)</x:f>
        <x:v>0.06705703231518668</x:v>
      </x:c>
      <x:c r="Y142" s="32" t="n">
        <x:f>Y141+R142-S142-W142-Y141*V142/AB141</x:f>
        <x:v>6.517160397542907</x:v>
      </x:c>
      <x:c r="Z142" s="32" t="n">
        <x:f>Z141+W142-X142-T142-Z141*V142/AB141</x:f>
        <x:v>8.332896976145397</x:v>
      </x:c>
      <x:c r="AA142" s="32" t="n">
        <x:f>AA141+X142-U142-AA141*V142/AB141</x:f>
        <x:v>2.0750548709652983</x:v>
      </x:c>
      <x:c r="AB142" s="10" t="n">
        <x:f>Y142+Z142+AA142</x:f>
        <x:v>16.925112244653604</x:v>
      </x:c>
      <x:c r="AC142" s="8" t="n">
        <x:f>IF(AND(v01_WinterTrigger=1,D142=1,AB141/AE141&gt;=K142),1,0)</x:f>
        <x:v>0</x:v>
      </x:c>
      <x:c r="AD142" s="8" t="n">
        <x:f>H142*IF(AND(OR(AB141/AE141&gt;=v01_FissionTrigger*N142,AC142=1),AB141/AE141*v01_DaughterShare&gt;=v01_MinDaughter),MAX(1,ROUND(AE141*v01_FissionRate,0)),0)</x:f>
        <x:v>0</x:v>
      </x:c>
      <x:c r="AE142" s="8" t="n">
        <x:f>IF(H142=1,MAX(1,MIN(INDEX(v01_Smax,G142),AE141+AD142)),AE141)</x:f>
        <x:v>1</x:v>
      </x:c>
      <x:c r="AF142" s="8" t="n">
        <x:f>MAX(0,AE142-AE141)</x:f>
        <x:v>0</x:v>
      </x:c>
      <x:c r="AG142" s="9" t="str">
        <x:f>IF(AF142&gt;0,B142,"")</x:f>
      </x:c>
      <x:c r="AH142" s="9" t="n">
        <x:f>IF(F142&gt;=1,1,(1+v01_LowTiesShare*(AE142-1))/AE142)</x:f>
        <x:v>1</x:v>
      </x:c>
      <x:c r="AI142" s="32" t="n">
        <x:f>(Z142+v01_ElderCommons*INDEX(LM_Elder,G142)*AA142)*AH142</x:f>
        <x:v>12.483006718075995</x:v>
      </x:c>
      <x:c r="AJ142" s="32" t="n">
        <x:f>H142*v01_CommonsCoef*AI142^v01_CommonsExp*INDEX(LM_Commons,G142)</x:f>
        <x:v>5.379215170569083</x:v>
      </x:c>
      <x:c r="AK142" s="32" t="n">
        <x:f>H142*v01_RoleScale*Arch_Roles*(AE142*(INDEX(v01_ElderRolePerSett,G142)*v01_OutElder*INDEX(LM_Elder,G142)+INDEX(v01_ShamanPerSett,G142)*v01_OutShaman)+Z142*(INDEX(v01_PriestShare,G142)*v01_OutPriest+INDEX(v01_ScribeShare,G142)*v01_OutScribe*INDEX(LM_Scribe,G142)+INDEX(v01_ScholarShare,G142)*v01_OutScholar*INDEX(LM_Scholar,G142)+INDEX(v01_ResearcherShare,G142)*v01_OutResearcher*INDEX(LM_Researcher,G142)))</x:f>
        <x:v>0</x:v>
      </x:c>
      <x:c r="AL142" s="32" t="n">
        <x:f>H142*v01_RoleScale*Arch_Roles*AE142*INDEX(v01_MonasteryPerSett,G142)*v01_OutMonastery*INDEX(LM_Monastery,G142)</x:f>
        <x:v>0</x:v>
      </x:c>
      <x:c r="AM142" s="32" t="n">
        <x:f>(AJ142+AK142+AL142)/4*INDEX(LM_All,G142)*INDEX(v01_Boon,G142)*Arch_Insight</x:f>
        <x:v>1.3448037926422707</x:v>
      </x:c>
      <x:c r="AN142" s="32" t="n">
        <x:f>H142*(v01_KHPerAdult*Z142+v01_KHOfCommons*AJ142/4*INDEX(LM_All,G142))*v01_KHUsable*Arch_KH</x:f>
        <x:v>0.2916513941650889</x:v>
      </x:c>
      <x:c r="AO142" s="32" t="n">
        <x:f>MIN(AP141+AN142,AM142*v01_KHMaxRatio)</x:f>
        <x:v>0.2916513941650889</x:v>
      </x:c>
      <x:c r="AP142" s="32" t="n">
        <x:f>AP141+AN142-AO142</x:f>
        <x:v>0</x:v>
      </x:c>
      <x:c r="AQ142" s="32" t="n">
        <x:f>AM142+AO142</x:f>
        <x:v>1.6364551868073596</x:v>
      </x:c>
      <x:c r="AR142" s="10" t="n">
        <x:f>IF(H142=1,INDEX(v01_Req,G142),0)</x:f>
        <x:v>372.02</x:v>
      </x:c>
      <x:c r="AS142" s="32" t="n">
        <x:f>IF(H142=1,IF(E142=1,AS141-AR141,AS141)+AQ142,0)</x:f>
        <x:v>211.98029253730024</x:v>
      </x:c>
      <x:c r="AT142" s="11" t="n">
        <x:f>IF(AR142&gt;0,MIN(1,AS142/AR142),1)</x:f>
        <x:v>0.5698088611830016</x:v>
      </x:c>
      <x:c r="AU142" s="10" t="n">
        <x:f>AB142/INDEX(v01_RepScale,G142)</x:f>
        <x:v>16.925112244653604</x:v>
      </x:c>
      <x:c r="AV142" s="32" t="n">
        <x:f>AM142*60/v01_SeasonSeconds</x:f>
        <x:v>5.379215170569083</x:v>
      </x:c>
    </x:row>
    <x:row r="143">
      <x:c r="A143" s="8" t="n">
        <x:f>A142+1</x:f>
        <x:v>140</x:v>
      </x:c>
      <x:c r="B143" s="9" t="n">
        <x:f>A143*v01_SeasonSeconds/60</x:f>
        <x:v>35</x:v>
      </x:c>
      <x:c r="C143" s="9" t="n">
        <x:f>A143/4</x:f>
        <x:v>35</x:v>
      </x:c>
      <x:c r="D143" s="8" t="n">
        <x:f>IF(MOD(A143,4)=0,1,0)</x:f>
        <x:v>1</x:v>
      </x:c>
      <x:c r="E143" s="8" t="n">
        <x:f>IF(AND(F142&lt;=9,AS142&gt;=AR142),1,0)</x:f>
        <x:v>0</x:v>
      </x:c>
      <x:c r="F143" s="8" t="n">
        <x:f>MIN(10,F142+E143)</x:f>
        <x:v>0</x:v>
      </x:c>
      <x:c r="G143" s="8" t="n">
        <x:f>MIN(F143,9)+1</x:f>
        <x:v>1</x:v>
      </x:c>
      <x:c r="H143" s="8" t="n">
        <x:f>IF(F143&lt;=9,1,0)</x:f>
        <x:v>1</x:v>
      </x:c>
      <x:c r="I143" s="9" t="n">
        <x:f>MIN(10,F142+IF(AR142&gt;0,MIN(1,AS142/AR142),1))</x:f>
        <x:v>0.5698088611830016</x:v>
      </x:c>
      <x:c r="J143" s="32" t="n">
        <x:f>INDEX(v01_FoodCap,G143)*Arch_FoodCap*EXP(v01_CapsByProject*SUMPRODUCT((Cap_Point&lt;=I143)*(Cap_Kind="Food")*Cap_Ln))</x:f>
        <x:v>22</x:v>
      </x:c>
      <x:c r="K143" s="32" t="n">
        <x:f>J143*MIN(1,v01_LeanBase*EXP(v01_CapsByProject*SUMPRODUCT((Cap_Point&lt;=I143)*(Cap_Kind="Lean")*Cap_Ln)))</x:f>
        <x:v>22</x:v>
      </x:c>
      <x:c r="L143" s="10" t="n">
        <x:f>INDEX(v01_HousingCap,G143)*EXP(v01_CapsByProject*SUMPRODUCT((Cap_Point&lt;=I143)*(Cap_Kind="Housing")*Cap_Ln))</x:f>
        <x:v>60</x:v>
      </x:c>
      <x:c r="M143" s="10" t="n">
        <x:f>INDEX(v01_GroupCap,G143)*v01_CohesionFactor*EXP(v01_CapsByProject*SUMPRODUCT((Cap_Point&lt;=I143)*(Cap_Kind="Group")*Cap_Ln))</x:f>
        <x:v>35</x:v>
      </x:c>
      <x:c r="N143" s="32" t="n">
        <x:f>MIN(J143,L143,M143)</x:f>
        <x:v>22</x:v>
      </x:c>
      <x:c r="O143" s="10" t="n">
        <x:f>AE142*N143</x:f>
        <x:v>22</x:v>
      </x:c>
      <x:c r="P143" s="9" t="n">
        <x:f>MIN(1,(AB142/(AE142*IF(v01_GroupInCrowding=1,N143,MIN(J143,L143))))^v01_CrowdingExp)</x:f>
        <x:v>0.20732575724828556</x:v>
      </x:c>
      <x:c r="Q143" s="9" t="n">
        <x:f>IF(D143=1,INDEX(v01_WinterMult,G143),1)</x:f>
        <x:v>2</x:v>
      </x:c>
      <x:c r="R143" s="9" t="n">
        <x:f>H143*Z142*v01_WomenShare*v01_BaseFertility*INDEX(v01_FertMult,G143)*Arch_Fertility*(1-P143)</x:f>
        <x:v>0.1981581840148231</x:v>
      </x:c>
      <x:c r="S143" s="9" t="n">
        <x:f>H143*Y142*INDEX(v01_MortChild,G143)/4*Q143</x:f>
        <x:v>0.13034320795085813</x:v>
      </x:c>
      <x:c r="T143" s="9" t="n">
        <x:f>H143*Z142*INDEX(v01_MortAdult,G143)*Arch_AdultMort/4*Q143</x:f>
        <x:v>0.062496727321090476</x:v>
      </x:c>
      <x:c r="U143" s="9" t="n">
        <x:f>H143*AA142*INDEX(v01_MortElder,G143)/4*Q143</x:f>
        <x:v>0.10375274354826491</x:v>
      </x:c>
      <x:c r="V143" s="9" t="n">
        <x:f>H143*MAX(0,AB142-O143)*v01_OvercapLoss</x:f>
        <x:v>0</x:v>
      </x:c>
      <x:c r="W143" s="9" t="n">
        <x:f>H143*Y142/(v01_ChildYears*4)</x:f>
        <x:v>0.11637786424183762</x:v>
      </x:c>
      <x:c r="X143" s="9" t="n">
        <x:f>H143*Z142/(v01_AdultYears*4)</x:f>
        <x:v>0.06720078206568869</x:v>
      </x:c>
      <x:c r="Y143" s="32" t="n">
        <x:f>Y142+R143-S143-W143-Y142*V143/AB142</x:f>
        <x:v>6.468597509365034</x:v>
      </x:c>
      <x:c r="Z143" s="32" t="n">
        <x:f>Z142+W143-X143-T143-Z142*V143/AB142</x:f>
        <x:v>8.319577331000456</x:v>
      </x:c>
      <x:c r="AA143" s="32" t="n">
        <x:f>AA142+X143-U143-AA142*V143/AB142</x:f>
        <x:v>2.0385029094827223</x:v>
      </x:c>
      <x:c r="AB143" s="10" t="n">
        <x:f>Y143+Z143+AA143</x:f>
        <x:v>16.826677749848212</x:v>
      </x:c>
      <x:c r="AC143" s="8" t="n">
        <x:f>IF(AND(v01_WinterTrigger=1,D143=1,AB142/AE142&gt;=K143),1,0)</x:f>
        <x:v>0</x:v>
      </x:c>
      <x:c r="AD143" s="8" t="n">
        <x:f>H143*IF(AND(OR(AB142/AE142&gt;=v01_FissionTrigger*N143,AC143=1),AB142/AE142*v01_DaughterShare&gt;=v01_MinDaughter),MAX(1,ROUND(AE142*v01_FissionRate,0)),0)</x:f>
        <x:v>0</x:v>
      </x:c>
      <x:c r="AE143" s="8" t="n">
        <x:f>IF(H143=1,MAX(1,MIN(INDEX(v01_Smax,G143),AE142+AD143)),AE142)</x:f>
        <x:v>1</x:v>
      </x:c>
      <x:c r="AF143" s="8" t="n">
        <x:f>MAX(0,AE143-AE142)</x:f>
        <x:v>0</x:v>
      </x:c>
      <x:c r="AG143" s="9" t="str">
        <x:f>IF(AF143&gt;0,B143,"")</x:f>
      </x:c>
      <x:c r="AH143" s="9" t="n">
        <x:f>IF(F143&gt;=1,1,(1+v01_LowTiesShare*(AE143-1))/AE143)</x:f>
        <x:v>1</x:v>
      </x:c>
      <x:c r="AI143" s="32" t="n">
        <x:f>(Z143+v01_ElderCommons*INDEX(LM_Elder,G143)*AA143)*AH143</x:f>
        <x:v>12.3965831499659</x:v>
      </x:c>
      <x:c r="AJ143" s="32" t="n">
        <x:f>H143*v01_CommonsCoef*AI143^v01_CommonsExp*INDEX(LM_Commons,G143)</x:f>
        <x:v>5.34754306918704</x:v>
      </x:c>
      <x:c r="AK143" s="32" t="n">
        <x:f>H143*v01_RoleScale*Arch_Roles*(AE143*(INDEX(v01_ElderRolePerSett,G143)*v01_OutElder*INDEX(LM_Elder,G143)+INDEX(v01_ShamanPerSett,G143)*v01_OutShaman)+Z143*(INDEX(v01_PriestShare,G143)*v01_OutPriest+INDEX(v01_ScribeShare,G143)*v01_OutScribe*INDEX(LM_Scribe,G143)+INDEX(v01_ScholarShare,G143)*v01_OutScholar*INDEX(LM_Scholar,G143)+INDEX(v01_ResearcherShare,G143)*v01_OutResearcher*INDEX(LM_Researcher,G143)))</x:f>
        <x:v>0</x:v>
      </x:c>
      <x:c r="AL143" s="32" t="n">
        <x:f>H143*v01_RoleScale*Arch_Roles*AE143*INDEX(v01_MonasteryPerSett,G143)*v01_OutMonastery*INDEX(LM_Monastery,G143)</x:f>
        <x:v>0</x:v>
      </x:c>
      <x:c r="AM143" s="32" t="n">
        <x:f>(AJ143+AK143+AL143)/4*INDEX(LM_All,G143)*INDEX(v01_Boon,G143)*Arch_Insight</x:f>
        <x:v>1.33688576729676</x:v>
      </x:c>
      <x:c r="AN143" s="32" t="n">
        <x:f>H143*(v01_KHPerAdult*Z143+v01_KHOfCommons*AJ143/4*INDEX(LM_All,G143))*v01_KHUsable*Arch_KH</x:f>
        <x:v>0.29118520658501595</x:v>
      </x:c>
      <x:c r="AO143" s="32" t="n">
        <x:f>MIN(AP142+AN143,AM143*v01_KHMaxRatio)</x:f>
        <x:v>0.29118520658501595</x:v>
      </x:c>
      <x:c r="AP143" s="32" t="n">
        <x:f>AP142+AN143-AO143</x:f>
        <x:v>0</x:v>
      </x:c>
      <x:c r="AQ143" s="32" t="n">
        <x:f>AM143+AO143</x:f>
        <x:v>1.628070973881776</x:v>
      </x:c>
      <x:c r="AR143" s="10" t="n">
        <x:f>IF(H143=1,INDEX(v01_Req,G143),0)</x:f>
        <x:v>372.02</x:v>
      </x:c>
      <x:c r="AS143" s="32" t="n">
        <x:f>IF(H143=1,IF(E143=1,AS142-AR142,AS142)+AQ143,0)</x:f>
        <x:v>213.608363511182</x:v>
      </x:c>
      <x:c r="AT143" s="11" t="n">
        <x:f>IF(AR143&gt;0,MIN(1,AS143/AR143),1)</x:f>
        <x:v>0.5741851607741035</x:v>
      </x:c>
      <x:c r="AU143" s="10" t="n">
        <x:f>AB143/INDEX(v01_RepScale,G143)</x:f>
        <x:v>16.826677749848212</x:v>
      </x:c>
      <x:c r="AV143" s="32" t="n">
        <x:f>AM143*60/v01_SeasonSeconds</x:f>
        <x:v>5.34754306918704</x:v>
      </x:c>
    </x:row>
    <x:row r="144">
      <x:c r="A144" s="8" t="n">
        <x:f>A143+1</x:f>
        <x:v>141</x:v>
      </x:c>
      <x:c r="B144" s="9" t="n">
        <x:f>A144*v01_SeasonSeconds/60</x:f>
        <x:v>35.25</x:v>
      </x:c>
      <x:c r="C144" s="9" t="n">
        <x:f>A144/4</x:f>
        <x:v>35.25</x:v>
      </x:c>
      <x:c r="D144" s="8" t="n">
        <x:f>IF(MOD(A144,4)=0,1,0)</x:f>
        <x:v>0</x:v>
      </x:c>
      <x:c r="E144" s="8" t="n">
        <x:f>IF(AND(F143&lt;=9,AS143&gt;=AR143),1,0)</x:f>
        <x:v>0</x:v>
      </x:c>
      <x:c r="F144" s="8" t="n">
        <x:f>MIN(10,F143+E144)</x:f>
        <x:v>0</x:v>
      </x:c>
      <x:c r="G144" s="8" t="n">
        <x:f>MIN(F144,9)+1</x:f>
        <x:v>1</x:v>
      </x:c>
      <x:c r="H144" s="8" t="n">
        <x:f>IF(F144&lt;=9,1,0)</x:f>
        <x:v>1</x:v>
      </x:c>
      <x:c r="I144" s="9" t="n">
        <x:f>MIN(10,F143+IF(AR143&gt;0,MIN(1,AS143/AR143),1))</x:f>
        <x:v>0.5741851607741035</x:v>
      </x:c>
      <x:c r="J144" s="32" t="n">
        <x:f>INDEX(v01_FoodCap,G144)*Arch_FoodCap*EXP(v01_CapsByProject*SUMPRODUCT((Cap_Point&lt;=I144)*(Cap_Kind="Food")*Cap_Ln))</x:f>
        <x:v>22</x:v>
      </x:c>
      <x:c r="K144" s="32" t="n">
        <x:f>J144*MIN(1,v01_LeanBase*EXP(v01_CapsByProject*SUMPRODUCT((Cap_Point&lt;=I144)*(Cap_Kind="Lean")*Cap_Ln)))</x:f>
        <x:v>22</x:v>
      </x:c>
      <x:c r="L144" s="10" t="n">
        <x:f>INDEX(v01_HousingCap,G144)*EXP(v01_CapsByProject*SUMPRODUCT((Cap_Point&lt;=I144)*(Cap_Kind="Housing")*Cap_Ln))</x:f>
        <x:v>60</x:v>
      </x:c>
      <x:c r="M144" s="10" t="n">
        <x:f>INDEX(v01_GroupCap,G144)*v01_CohesionFactor*EXP(v01_CapsByProject*SUMPRODUCT((Cap_Point&lt;=I144)*(Cap_Kind="Group")*Cap_Ln))</x:f>
        <x:v>35</x:v>
      </x:c>
      <x:c r="N144" s="32" t="n">
        <x:f>MIN(J144,L144,M144)</x:f>
        <x:v>22</x:v>
      </x:c>
      <x:c r="O144" s="10" t="n">
        <x:f>AE143*N144</x:f>
        <x:v>22</x:v>
      </x:c>
      <x:c r="P144" s="9" t="n">
        <x:f>MIN(1,(AB143/(AE143*IF(v01_GroupInCrowding=1,N144,MIN(J144,L144))))^v01_CrowdingExp)</x:f>
        <x:v>0.2001954397652084</x:v>
      </x:c>
      <x:c r="Q144" s="9" t="n">
        <x:f>IF(D144=1,INDEX(v01_WinterMult,G144),1)</x:f>
        <x:v>1</x:v>
      </x:c>
      <x:c r="R144" s="9" t="n">
        <x:f>H144*Z143*v01_WomenShare*v01_BaseFertility*INDEX(v01_FertMult,G144)*Arch_Fertility*(1-P144)</x:f>
        <x:v>0.19962107665680484</x:v>
      </x:c>
      <x:c r="S144" s="9" t="n">
        <x:f>H144*Y143*INDEX(v01_MortChild,G144)/4*Q144</x:f>
        <x:v>0.06468597509365034</x:v>
      </x:c>
      <x:c r="T144" s="9" t="n">
        <x:f>H144*Z143*INDEX(v01_MortAdult,G144)*Arch_AdultMort/4*Q144</x:f>
        <x:v>0.03119841499125171</x:v>
      </x:c>
      <x:c r="U144" s="9" t="n">
        <x:f>H144*AA143*INDEX(v01_MortElder,G144)/4*Q144</x:f>
        <x:v>0.05096257273706806</x:v>
      </x:c>
      <x:c r="V144" s="9" t="n">
        <x:f>H144*MAX(0,AB143-O144)*v01_OvercapLoss</x:f>
        <x:v>0</x:v>
      </x:c>
      <x:c r="W144" s="9" t="n">
        <x:f>H144*Y143/(v01_ChildYears*4)</x:f>
        <x:v>0.11551066981008988</x:v>
      </x:c>
      <x:c r="X144" s="9" t="n">
        <x:f>H144*Z143/(v01_AdultYears*4)</x:f>
        <x:v>0.06709336557258433</x:v>
      </x:c>
      <x:c r="Y144" s="32" t="n">
        <x:f>Y143+R144-S144-W144-Y143*V144/AB143</x:f>
        <x:v>6.488021941118099</x:v>
      </x:c>
      <x:c r="Z144" s="32" t="n">
        <x:f>Z143+W144-X144-T144-Z143*V144/AB143</x:f>
        <x:v>8.336796220246711</x:v>
      </x:c>
      <x:c r="AA144" s="32" t="n">
        <x:f>AA143+X144-U144-AA143*V144/AB143</x:f>
        <x:v>2.0546337023182386</x:v>
      </x:c>
      <x:c r="AB144" s="10" t="n">
        <x:f>Y144+Z144+AA144</x:f>
        <x:v>16.879451863683048</x:v>
      </x:c>
      <x:c r="AC144" s="8" t="n">
        <x:f>IF(AND(v01_WinterTrigger=1,D144=1,AB143/AE143&gt;=K144),1,0)</x:f>
        <x:v>0</x:v>
      </x:c>
      <x:c r="AD144" s="8" t="n">
        <x:f>H144*IF(AND(OR(AB143/AE143&gt;=v01_FissionTrigger*N144,AC144=1),AB143/AE143*v01_DaughterShare&gt;=v01_MinDaughter),MAX(1,ROUND(AE143*v01_FissionRate,0)),0)</x:f>
        <x:v>0</x:v>
      </x:c>
      <x:c r="AE144" s="8" t="n">
        <x:f>IF(H144=1,MAX(1,MIN(INDEX(v01_Smax,G144),AE143+AD144)),AE143)</x:f>
        <x:v>1</x:v>
      </x:c>
      <x:c r="AF144" s="8" t="n">
        <x:f>MAX(0,AE144-AE143)</x:f>
        <x:v>0</x:v>
      </x:c>
      <x:c r="AG144" s="9" t="str">
        <x:f>IF(AF144&gt;0,B144,"")</x:f>
      </x:c>
      <x:c r="AH144" s="9" t="n">
        <x:f>IF(F144&gt;=1,1,(1+v01_LowTiesShare*(AE144-1))/AE144)</x:f>
        <x:v>1</x:v>
      </x:c>
      <x:c r="AI144" s="32" t="n">
        <x:f>(Z144+v01_ElderCommons*INDEX(LM_Elder,G144)*AA144)*AH144</x:f>
        <x:v>12.446063624883188</x:v>
      </x:c>
      <x:c r="AJ144" s="32" t="n">
        <x:f>H144*v01_CommonsCoef*AI144^v01_CommonsExp*INDEX(LM_Commons,G144)</x:f>
        <x:v>5.365680478219774</x:v>
      </x:c>
      <x:c r="AK144" s="32" t="n">
        <x:f>H144*v01_RoleScale*Arch_Roles*(AE144*(INDEX(v01_ElderRolePerSett,G144)*v01_OutElder*INDEX(LM_Elder,G144)+INDEX(v01_ShamanPerSett,G144)*v01_OutShaman)+Z144*(INDEX(v01_PriestShare,G144)*v01_OutPriest+INDEX(v01_ScribeShare,G144)*v01_OutScribe*INDEX(LM_Scribe,G144)+INDEX(v01_ScholarShare,G144)*v01_OutScholar*INDEX(LM_Scholar,G144)+INDEX(v01_ResearcherShare,G144)*v01_OutResearcher*INDEX(LM_Researcher,G144)))</x:f>
        <x:v>0</x:v>
      </x:c>
      <x:c r="AL144" s="32" t="n">
        <x:f>H144*v01_RoleScale*Arch_Roles*AE144*INDEX(v01_MonasteryPerSett,G144)*v01_OutMonastery*INDEX(LM_Monastery,G144)</x:f>
        <x:v>0</x:v>
      </x:c>
      <x:c r="AM144" s="32" t="n">
        <x:f>(AJ144+AK144+AL144)/4*INDEX(LM_All,G144)*INDEX(v01_Boon,G144)*Arch_Insight</x:f>
        <x:v>1.3414201195549436</x:v>
      </x:c>
      <x:c r="AN144" s="32" t="n">
        <x:f>H144*(v01_KHPerAdult*Z144+v01_KHOfCommons*AJ144/4*INDEX(LM_All,G144))*v01_KHUsable*Arch_KH</x:f>
        <x:v>0.2917878677086349</x:v>
      </x:c>
      <x:c r="AO144" s="32" t="n">
        <x:f>MIN(AP143+AN144,AM144*v01_KHMaxRatio)</x:f>
        <x:v>0.2917878677086349</x:v>
      </x:c>
      <x:c r="AP144" s="32" t="n">
        <x:f>AP143+AN144-AO144</x:f>
        <x:v>0</x:v>
      </x:c>
      <x:c r="AQ144" s="32" t="n">
        <x:f>AM144+AO144</x:f>
        <x:v>1.6332079872635785</x:v>
      </x:c>
      <x:c r="AR144" s="10" t="n">
        <x:f>IF(H144=1,INDEX(v01_Req,G144),0)</x:f>
        <x:v>372.02</x:v>
      </x:c>
      <x:c r="AS144" s="32" t="n">
        <x:f>IF(H144=1,IF(E144=1,AS143-AR143,AS143)+AQ144,0)</x:f>
        <x:v>215.24157149844558</x:v>
      </x:c>
      <x:c r="AT144" s="11" t="n">
        <x:f>IF(AR144&gt;0,MIN(1,AS144/AR144),1)</x:f>
        <x:v>0.5785752687985742</x:v>
      </x:c>
      <x:c r="AU144" s="10" t="n">
        <x:f>AB144/INDEX(v01_RepScale,G144)</x:f>
        <x:v>16.879451863683048</x:v>
      </x:c>
      <x:c r="AV144" s="32" t="n">
        <x:f>AM144*60/v01_SeasonSeconds</x:f>
        <x:v>5.365680478219774</x:v>
      </x:c>
    </x:row>
    <x:row r="145">
      <x:c r="A145" s="8" t="n">
        <x:f>A144+1</x:f>
        <x:v>142</x:v>
      </x:c>
      <x:c r="B145" s="9" t="n">
        <x:f>A145*v01_SeasonSeconds/60</x:f>
        <x:v>35.5</x:v>
      </x:c>
      <x:c r="C145" s="9" t="n">
        <x:f>A145/4</x:f>
        <x:v>35.5</x:v>
      </x:c>
      <x:c r="D145" s="8" t="n">
        <x:f>IF(MOD(A145,4)=0,1,0)</x:f>
        <x:v>0</x:v>
      </x:c>
      <x:c r="E145" s="8" t="n">
        <x:f>IF(AND(F144&lt;=9,AS144&gt;=AR144),1,0)</x:f>
        <x:v>0</x:v>
      </x:c>
      <x:c r="F145" s="8" t="n">
        <x:f>MIN(10,F144+E145)</x:f>
        <x:v>0</x:v>
      </x:c>
      <x:c r="G145" s="8" t="n">
        <x:f>MIN(F145,9)+1</x:f>
        <x:v>1</x:v>
      </x:c>
      <x:c r="H145" s="8" t="n">
        <x:f>IF(F145&lt;=9,1,0)</x:f>
        <x:v>1</x:v>
      </x:c>
      <x:c r="I145" s="9" t="n">
        <x:f>MIN(10,F144+IF(AR144&gt;0,MIN(1,AS144/AR144),1))</x:f>
        <x:v>0.5785752687985742</x:v>
      </x:c>
      <x:c r="J145" s="32" t="n">
        <x:f>INDEX(v01_FoodCap,G145)*Arch_FoodCap*EXP(v01_CapsByProject*SUMPRODUCT((Cap_Point&lt;=I145)*(Cap_Kind="Food")*Cap_Ln))</x:f>
        <x:v>22</x:v>
      </x:c>
      <x:c r="K145" s="32" t="n">
        <x:f>J145*MIN(1,v01_LeanBase*EXP(v01_CapsByProject*SUMPRODUCT((Cap_Point&lt;=I145)*(Cap_Kind="Lean")*Cap_Ln)))</x:f>
        <x:v>22</x:v>
      </x:c>
      <x:c r="L145" s="10" t="n">
        <x:f>INDEX(v01_HousingCap,G145)*EXP(v01_CapsByProject*SUMPRODUCT((Cap_Point&lt;=I145)*(Cap_Kind="Housing")*Cap_Ln))</x:f>
        <x:v>60</x:v>
      </x:c>
      <x:c r="M145" s="10" t="n">
        <x:f>INDEX(v01_GroupCap,G145)*v01_CohesionFactor*EXP(v01_CapsByProject*SUMPRODUCT((Cap_Point&lt;=I145)*(Cap_Kind="Group")*Cap_Ln))</x:f>
        <x:v>35</x:v>
      </x:c>
      <x:c r="N145" s="32" t="n">
        <x:f>MIN(J145,L145,M145)</x:f>
        <x:v>22</x:v>
      </x:c>
      <x:c r="O145" s="10" t="n">
        <x:f>AE144*N145</x:f>
        <x:v>22</x:v>
      </x:c>
      <x:c r="P145" s="9" t="n">
        <x:f>MIN(1,(AB144/(AE144*IF(v01_GroupInCrowding=1,N145,MIN(J145,L145))))^v01_CrowdingExp)</x:f>
        <x:v>0.20399238311832793</x:v>
      </x:c>
      <x:c r="Q145" s="9" t="n">
        <x:f>IF(D145=1,INDEX(v01_WinterMult,G145),1)</x:f>
        <x:v>1</x:v>
      </x:c>
      <x:c r="R145" s="9" t="n">
        <x:f>H145*Z144*v01_WomenShare*v01_BaseFertility*INDEX(v01_FertMult,G145)*Arch_Fertility*(1-P145)</x:f>
        <x:v>0.1990845987512015</x:v>
      </x:c>
      <x:c r="S145" s="9" t="n">
        <x:f>H145*Y144*INDEX(v01_MortChild,G145)/4*Q145</x:f>
        <x:v>0.064880219411181</x:v>
      </x:c>
      <x:c r="T145" s="9" t="n">
        <x:f>H145*Z144*INDEX(v01_MortAdult,G145)*Arch_AdultMort/4*Q145</x:f>
        <x:v>0.03126298582592517</x:v>
      </x:c>
      <x:c r="U145" s="9" t="n">
        <x:f>H145*AA144*INDEX(v01_MortElder,G145)/4*Q145</x:f>
        <x:v>0.05136584255795597</x:v>
      </x:c>
      <x:c r="V145" s="9" t="n">
        <x:f>H145*MAX(0,AB144-O145)*v01_OvercapLoss</x:f>
        <x:v>0</x:v>
      </x:c>
      <x:c r="W145" s="9" t="n">
        <x:f>H145*Y144/(v01_ChildYears*4)</x:f>
        <x:v>0.1158575346628232</x:v>
      </x:c>
      <x:c r="X145" s="9" t="n">
        <x:f>H145*Z144/(v01_AdultYears*4)</x:f>
        <x:v>0.06723222758263477</x:v>
      </x:c>
      <x:c r="Y145" s="32" t="n">
        <x:f>Y144+R145-S145-W145-Y144*V145/AB144</x:f>
        <x:v>6.506368785795296</x:v>
      </x:c>
      <x:c r="Z145" s="32" t="n">
        <x:f>Z144+W145-X145-T145-Z144*V145/AB144</x:f>
        <x:v>8.354158541500974</x:v>
      </x:c>
      <x:c r="AA145" s="32" t="n">
        <x:f>AA144+X145-U145-AA144*V145/AB144</x:f>
        <x:v>2.0705000873429174</x:v>
      </x:c>
      <x:c r="AB145" s="10" t="n">
        <x:f>Y145+Z145+AA145</x:f>
        <x:v>16.931027414639185</x:v>
      </x:c>
      <x:c r="AC145" s="8" t="n">
        <x:f>IF(AND(v01_WinterTrigger=1,D145=1,AB144/AE144&gt;=K145),1,0)</x:f>
        <x:v>0</x:v>
      </x:c>
      <x:c r="AD145" s="8" t="n">
        <x:f>H145*IF(AND(OR(AB144/AE144&gt;=v01_FissionTrigger*N145,AC145=1),AB144/AE144*v01_DaughterShare&gt;=v01_MinDaughter),MAX(1,ROUND(AE144*v01_FissionRate,0)),0)</x:f>
        <x:v>0</x:v>
      </x:c>
      <x:c r="AE145" s="8" t="n">
        <x:f>IF(H145=1,MAX(1,MIN(INDEX(v01_Smax,G145),AE144+AD145)),AE144)</x:f>
        <x:v>1</x:v>
      </x:c>
      <x:c r="AF145" s="8" t="n">
        <x:f>MAX(0,AE145-AE144)</x:f>
        <x:v>0</x:v>
      </x:c>
      <x:c r="AG145" s="9" t="str">
        <x:f>IF(AF145&gt;0,B145,"")</x:f>
      </x:c>
      <x:c r="AH145" s="9" t="n">
        <x:f>IF(F145&gt;=1,1,(1+v01_LowTiesShare*(AE145-1))/AE145)</x:f>
        <x:v>1</x:v>
      </x:c>
      <x:c r="AI145" s="32" t="n">
        <x:f>(Z145+v01_ElderCommons*INDEX(LM_Elder,G145)*AA145)*AH145</x:f>
        <x:v>12.495158716186808</x:v>
      </x:c>
      <x:c r="AJ145" s="32" t="n">
        <x:f>H145*v01_CommonsCoef*AI145^v01_CommonsExp*INDEX(LM_Commons,G145)</x:f>
        <x:v>5.3836659352564125</x:v>
      </x:c>
      <x:c r="AK145" s="32" t="n">
        <x:f>H145*v01_RoleScale*Arch_Roles*(AE145*(INDEX(v01_ElderRolePerSett,G145)*v01_OutElder*INDEX(LM_Elder,G145)+INDEX(v01_ShamanPerSett,G145)*v01_OutShaman)+Z145*(INDEX(v01_PriestShare,G145)*v01_OutPriest+INDEX(v01_ScribeShare,G145)*v01_OutScribe*INDEX(LM_Scribe,G145)+INDEX(v01_ScholarShare,G145)*v01_OutScholar*INDEX(LM_Scholar,G145)+INDEX(v01_ResearcherShare,G145)*v01_OutResearcher*INDEX(LM_Researcher,G145)))</x:f>
        <x:v>0</x:v>
      </x:c>
      <x:c r="AL145" s="32" t="n">
        <x:f>H145*v01_RoleScale*Arch_Roles*AE145*INDEX(v01_MonasteryPerSett,G145)*v01_OutMonastery*INDEX(LM_Monastery,G145)</x:f>
        <x:v>0</x:v>
      </x:c>
      <x:c r="AM145" s="32" t="n">
        <x:f>(AJ145+AK145+AL145)/4*INDEX(LM_All,G145)*INDEX(v01_Boon,G145)*Arch_Insight</x:f>
        <x:v>1.3459164838141031</x:v>
      </x:c>
      <x:c r="AN145" s="32" t="n">
        <x:f>H145*(v01_KHPerAdult*Z145+v01_KHOfCommons*AJ145/4*INDEX(LM_All,G145))*v01_KHUsable*Arch_KH</x:f>
        <x:v>0.2923955489525341</x:v>
      </x:c>
      <x:c r="AO145" s="32" t="n">
        <x:f>MIN(AP144+AN145,AM145*v01_KHMaxRatio)</x:f>
        <x:v>0.2923955489525341</x:v>
      </x:c>
      <x:c r="AP145" s="32" t="n">
        <x:f>AP144+AN145-AO145</x:f>
        <x:v>0</x:v>
      </x:c>
      <x:c r="AQ145" s="32" t="n">
        <x:f>AM145+AO145</x:f>
        <x:v>1.6383120327666372</x:v>
      </x:c>
      <x:c r="AR145" s="10" t="n">
        <x:f>IF(H145=1,INDEX(v01_Req,G145),0)</x:f>
        <x:v>372.02</x:v>
      </x:c>
      <x:c r="AS145" s="32" t="n">
        <x:f>IF(H145=1,IF(E145=1,AS144-AR144,AS144)+AQ145,0)</x:f>
        <x:v>216.87988353121222</x:v>
      </x:c>
      <x:c r="AT145" s="11" t="n">
        <x:f>IF(AR145&gt;0,MIN(1,AS145/AR145),1)</x:f>
        <x:v>0.5829790966378481</x:v>
      </x:c>
      <x:c r="AU145" s="10" t="n">
        <x:f>AB145/INDEX(v01_RepScale,G145)</x:f>
        <x:v>16.931027414639185</x:v>
      </x:c>
      <x:c r="AV145" s="32" t="n">
        <x:f>AM145*60/v01_SeasonSeconds</x:f>
        <x:v>5.3836659352564125</x:v>
      </x:c>
    </x:row>
    <x:row r="146">
      <x:c r="A146" s="8" t="n">
        <x:f>A145+1</x:f>
        <x:v>143</x:v>
      </x:c>
      <x:c r="B146" s="9" t="n">
        <x:f>A146*v01_SeasonSeconds/60</x:f>
        <x:v>35.75</x:v>
      </x:c>
      <x:c r="C146" s="9" t="n">
        <x:f>A146/4</x:f>
        <x:v>35.75</x:v>
      </x:c>
      <x:c r="D146" s="8" t="n">
        <x:f>IF(MOD(A146,4)=0,1,0)</x:f>
        <x:v>0</x:v>
      </x:c>
      <x:c r="E146" s="8" t="n">
        <x:f>IF(AND(F145&lt;=9,AS145&gt;=AR145),1,0)</x:f>
        <x:v>0</x:v>
      </x:c>
      <x:c r="F146" s="8" t="n">
        <x:f>MIN(10,F145+E146)</x:f>
        <x:v>0</x:v>
      </x:c>
      <x:c r="G146" s="8" t="n">
        <x:f>MIN(F146,9)+1</x:f>
        <x:v>1</x:v>
      </x:c>
      <x:c r="H146" s="8" t="n">
        <x:f>IF(F146&lt;=9,1,0)</x:f>
        <x:v>1</x:v>
      </x:c>
      <x:c r="I146" s="9" t="n">
        <x:f>MIN(10,F145+IF(AR145&gt;0,MIN(1,AS145/AR145),1))</x:f>
        <x:v>0.5829790966378481</x:v>
      </x:c>
      <x:c r="J146" s="32" t="n">
        <x:f>INDEX(v01_FoodCap,G146)*Arch_FoodCap*EXP(v01_CapsByProject*SUMPRODUCT((Cap_Point&lt;=I146)*(Cap_Kind="Food")*Cap_Ln))</x:f>
        <x:v>22</x:v>
      </x:c>
      <x:c r="K146" s="32" t="n">
        <x:f>J146*MIN(1,v01_LeanBase*EXP(v01_CapsByProject*SUMPRODUCT((Cap_Point&lt;=I146)*(Cap_Kind="Lean")*Cap_Ln)))</x:f>
        <x:v>22</x:v>
      </x:c>
      <x:c r="L146" s="10" t="n">
        <x:f>INDEX(v01_HousingCap,G146)*EXP(v01_CapsByProject*SUMPRODUCT((Cap_Point&lt;=I146)*(Cap_Kind="Housing")*Cap_Ln))</x:f>
        <x:v>60</x:v>
      </x:c>
      <x:c r="M146" s="10" t="n">
        <x:f>INDEX(v01_GroupCap,G146)*v01_CohesionFactor*EXP(v01_CapsByProject*SUMPRODUCT((Cap_Point&lt;=I146)*(Cap_Kind="Group")*Cap_Ln))</x:f>
        <x:v>35</x:v>
      </x:c>
      <x:c r="N146" s="32" t="n">
        <x:f>MIN(J146,L146,M146)</x:f>
        <x:v>22</x:v>
      </x:c>
      <x:c r="O146" s="10" t="n">
        <x:f>AE145*N146</x:f>
        <x:v>22</x:v>
      </x:c>
      <x:c r="P146" s="9" t="n">
        <x:f>MIN(1,(AB145/(AE145*IF(v01_GroupInCrowding=1,N146,MIN(J146,L146))))^v01_CrowdingExp)</x:f>
        <x:v>0.2077608878712565</x:v>
      </x:c>
      <x:c r="Q146" s="9" t="n">
        <x:f>IF(D146=1,INDEX(v01_WinterMult,G146),1)</x:f>
        <x:v>1</x:v>
      </x:c>
      <x:c r="R146" s="9" t="n">
        <x:f>H146*Z145*v01_WomenShare*v01_BaseFertility*INDEX(v01_FertMult,G146)*Arch_Fertility*(1-P146)</x:f>
        <x:v>0.19855473436504473</x:v>
      </x:c>
      <x:c r="S146" s="9" t="n">
        <x:f>H146*Y145*INDEX(v01_MortChild,G146)/4*Q146</x:f>
        <x:v>0.06506368785795295</x:v>
      </x:c>
      <x:c r="T146" s="9" t="n">
        <x:f>H146*Z145*INDEX(v01_MortAdult,G146)*Arch_AdultMort/4*Q146</x:f>
        <x:v>0.03132809453062865</x:v>
      </x:c>
      <x:c r="U146" s="9" t="n">
        <x:f>H146*AA145*INDEX(v01_MortElder,G146)/4*Q146</x:f>
        <x:v>0.05176250218357294</x:v>
      </x:c>
      <x:c r="V146" s="9" t="n">
        <x:f>H146*MAX(0,AB145-O146)*v01_OvercapLoss</x:f>
        <x:v>0</x:v>
      </x:c>
      <x:c r="W146" s="9" t="n">
        <x:f>H146*Y145/(v01_ChildYears*4)</x:f>
        <x:v>0.11618515688920171</x:v>
      </x:c>
      <x:c r="X146" s="9" t="n">
        <x:f>H146*Z145/(v01_AdultYears*4)</x:f>
        <x:v>0.0673722463024272</x:v>
      </x:c>
      <x:c r="Y146" s="32" t="n">
        <x:f>Y145+R146-S146-W146-Y145*V146/AB145</x:f>
        <x:v>6.523674675413186</x:v>
      </x:c>
      <x:c r="Z146" s="32" t="n">
        <x:f>Z145+W146-X146-T146-Z145*V146/AB145</x:f>
        <x:v>8.371643357557119</x:v>
      </x:c>
      <x:c r="AA146" s="32" t="n">
        <x:f>AA145+X146-U146-AA145*V146/AB145</x:f>
        <x:v>2.0861098314617714</x:v>
      </x:c>
      <x:c r="AB146" s="10" t="n">
        <x:f>Y146+Z146+AA146</x:f>
        <x:v>16.981427864432078</x:v>
      </x:c>
      <x:c r="AC146" s="8" t="n">
        <x:f>IF(AND(v01_WinterTrigger=1,D146=1,AB145/AE145&gt;=K146),1,0)</x:f>
        <x:v>0</x:v>
      </x:c>
      <x:c r="AD146" s="8" t="n">
        <x:f>H146*IF(AND(OR(AB145/AE145&gt;=v01_FissionTrigger*N146,AC146=1),AB145/AE145*v01_DaughterShare&gt;=v01_MinDaughter),MAX(1,ROUND(AE145*v01_FissionRate,0)),0)</x:f>
        <x:v>0</x:v>
      </x:c>
      <x:c r="AE146" s="8" t="n">
        <x:f>IF(H146=1,MAX(1,MIN(INDEX(v01_Smax,G146),AE145+AD146)),AE145)</x:f>
        <x:v>1</x:v>
      </x:c>
      <x:c r="AF146" s="8" t="n">
        <x:f>MAX(0,AE146-AE145)</x:f>
        <x:v>0</x:v>
      </x:c>
      <x:c r="AG146" s="9" t="str">
        <x:f>IF(AF146&gt;0,B146,"")</x:f>
      </x:c>
      <x:c r="AH146" s="9" t="n">
        <x:f>IF(F146&gt;=1,1,(1+v01_LowTiesShare*(AE146-1))/AE146)</x:f>
        <x:v>1</x:v>
      </x:c>
      <x:c r="AI146" s="32" t="n">
        <x:f>(Z146+v01_ElderCommons*INDEX(LM_Elder,G146)*AA146)*AH146</x:f>
        <x:v>12.54386302048066</x:v>
      </x:c>
      <x:c r="AJ146" s="32" t="n">
        <x:f>H146*v01_CommonsCoef*AI146^v01_CommonsExp*INDEX(LM_Commons,G146)</x:f>
        <x:v>5.401497760768288</x:v>
      </x:c>
      <x:c r="AK146" s="32" t="n">
        <x:f>H146*v01_RoleScale*Arch_Roles*(AE146*(INDEX(v01_ElderRolePerSett,G146)*v01_OutElder*INDEX(LM_Elder,G146)+INDEX(v01_ShamanPerSett,G146)*v01_OutShaman)+Z146*(INDEX(v01_PriestShare,G146)*v01_OutPriest+INDEX(v01_ScribeShare,G146)*v01_OutScribe*INDEX(LM_Scribe,G146)+INDEX(v01_ScholarShare,G146)*v01_OutScholar*INDEX(LM_Scholar,G146)+INDEX(v01_ResearcherShare,G146)*v01_OutResearcher*INDEX(LM_Researcher,G146)))</x:f>
        <x:v>0</x:v>
      </x:c>
      <x:c r="AL146" s="32" t="n">
        <x:f>H146*v01_RoleScale*Arch_Roles*AE146*INDEX(v01_MonasteryPerSett,G146)*v01_OutMonastery*INDEX(LM_Monastery,G146)</x:f>
        <x:v>0</x:v>
      </x:c>
      <x:c r="AM146" s="32" t="n">
        <x:f>(AJ146+AK146+AL146)/4*INDEX(LM_All,G146)*INDEX(v01_Boon,G146)*Arch_Insight</x:f>
        <x:v>1.350374440192072</x:v>
      </x:c>
      <x:c r="AN146" s="32" t="n">
        <x:f>H146*(v01_KHPerAdult*Z146+v01_KHOfCommons*AJ146/4*INDEX(LM_All,G146))*v01_KHUsable*Arch_KH</x:f>
        <x:v>0.29300751751449916</x:v>
      </x:c>
      <x:c r="AO146" s="32" t="n">
        <x:f>MIN(AP145+AN146,AM146*v01_KHMaxRatio)</x:f>
        <x:v>0.29300751751449916</x:v>
      </x:c>
      <x:c r="AP146" s="32" t="n">
        <x:f>AP145+AN146-AO146</x:f>
        <x:v>0</x:v>
      </x:c>
      <x:c r="AQ146" s="32" t="n">
        <x:f>AM146+AO146</x:f>
        <x:v>1.6433819577065711</x:v>
      </x:c>
      <x:c r="AR146" s="10" t="n">
        <x:f>IF(H146=1,INDEX(v01_Req,G146),0)</x:f>
        <x:v>372.02</x:v>
      </x:c>
      <x:c r="AS146" s="32" t="n">
        <x:f>IF(H146=1,IF(E146=1,AS145-AR145,AS145)+AQ146,0)</x:f>
        <x:v>218.52326548891878</x:v>
      </x:c>
      <x:c r="AT146" s="11" t="n">
        <x:f>IF(AR146&gt;0,MIN(1,AS146/AR146),1)</x:f>
        <x:v>0.5873965525749121</x:v>
      </x:c>
      <x:c r="AU146" s="10" t="n">
        <x:f>AB146/INDEX(v01_RepScale,G146)</x:f>
        <x:v>16.981427864432078</x:v>
      </x:c>
      <x:c r="AV146" s="32" t="n">
        <x:f>AM146*60/v01_SeasonSeconds</x:f>
        <x:v>5.401497760768288</x:v>
      </x:c>
    </x:row>
    <x:row r="147">
      <x:c r="A147" s="8" t="n">
        <x:f>A146+1</x:f>
        <x:v>144</x:v>
      </x:c>
      <x:c r="B147" s="9" t="n">
        <x:f>A147*v01_SeasonSeconds/60</x:f>
        <x:v>36</x:v>
      </x:c>
      <x:c r="C147" s="9" t="n">
        <x:f>A147/4</x:f>
        <x:v>36</x:v>
      </x:c>
      <x:c r="D147" s="8" t="n">
        <x:f>IF(MOD(A147,4)=0,1,0)</x:f>
        <x:v>1</x:v>
      </x:c>
      <x:c r="E147" s="8" t="n">
        <x:f>IF(AND(F146&lt;=9,AS146&gt;=AR146),1,0)</x:f>
        <x:v>0</x:v>
      </x:c>
      <x:c r="F147" s="8" t="n">
        <x:f>MIN(10,F146+E147)</x:f>
        <x:v>0</x:v>
      </x:c>
      <x:c r="G147" s="8" t="n">
        <x:f>MIN(F147,9)+1</x:f>
        <x:v>1</x:v>
      </x:c>
      <x:c r="H147" s="8" t="n">
        <x:f>IF(F147&lt;=9,1,0)</x:f>
        <x:v>1</x:v>
      </x:c>
      <x:c r="I147" s="9" t="n">
        <x:f>MIN(10,F146+IF(AR146&gt;0,MIN(1,AS146/AR146),1))</x:f>
        <x:v>0.5873965525749121</x:v>
      </x:c>
      <x:c r="J147" s="32" t="n">
        <x:f>INDEX(v01_FoodCap,G147)*Arch_FoodCap*EXP(v01_CapsByProject*SUMPRODUCT((Cap_Point&lt;=I147)*(Cap_Kind="Food")*Cap_Ln))</x:f>
        <x:v>22</x:v>
      </x:c>
      <x:c r="K147" s="32" t="n">
        <x:f>J147*MIN(1,v01_LeanBase*EXP(v01_CapsByProject*SUMPRODUCT((Cap_Point&lt;=I147)*(Cap_Kind="Lean")*Cap_Ln)))</x:f>
        <x:v>22</x:v>
      </x:c>
      <x:c r="L147" s="10" t="n">
        <x:f>INDEX(v01_HousingCap,G147)*EXP(v01_CapsByProject*SUMPRODUCT((Cap_Point&lt;=I147)*(Cap_Kind="Housing")*Cap_Ln))</x:f>
        <x:v>60</x:v>
      </x:c>
      <x:c r="M147" s="10" t="n">
        <x:f>INDEX(v01_GroupCap,G147)*v01_CohesionFactor*EXP(v01_CapsByProject*SUMPRODUCT((Cap_Point&lt;=I147)*(Cap_Kind="Group")*Cap_Ln))</x:f>
        <x:v>35</x:v>
      </x:c>
      <x:c r="N147" s="32" t="n">
        <x:f>MIN(J147,L147,M147)</x:f>
        <x:v>22</x:v>
      </x:c>
      <x:c r="O147" s="10" t="n">
        <x:f>AE146*N147</x:f>
        <x:v>22</x:v>
      </x:c>
      <x:c r="P147" s="9" t="n">
        <x:f>MIN(1,(AB146/(AE146*IF(v01_GroupInCrowding=1,N147,MIN(J147,L147))))^v01_CrowdingExp)</x:f>
        <x:v>0.21149940149141175</x:v>
      </x:c>
      <x:c r="Q147" s="9" t="n">
        <x:f>IF(D147=1,INDEX(v01_WinterMult,G147),1)</x:f>
        <x:v>2</x:v>
      </x:c>
      <x:c r="R147" s="9" t="n">
        <x:f>H147*Z146*v01_WomenShare*v01_BaseFertility*INDEX(v01_FertMult,G147)*Arch_Fertility*(1-P147)</x:f>
        <x:v>0.19803137393802703</x:v>
      </x:c>
      <x:c r="S147" s="9" t="n">
        <x:f>H147*Y146*INDEX(v01_MortChild,G147)/4*Q147</x:f>
        <x:v>0.1304734935082637</x:v>
      </x:c>
      <x:c r="T147" s="9" t="n">
        <x:f>H147*Z146*INDEX(v01_MortAdult,G147)*Arch_AdultMort/4*Q147</x:f>
        <x:v>0.06278732518167839</x:v>
      </x:c>
      <x:c r="U147" s="9" t="n">
        <x:f>H147*AA146*INDEX(v01_MortElder,G147)/4*Q147</x:f>
        <x:v>0.10430549157308858</x:v>
      </x:c>
      <x:c r="V147" s="9" t="n">
        <x:f>H147*MAX(0,AB146-O147)*v01_OvercapLoss</x:f>
        <x:v>0</x:v>
      </x:c>
      <x:c r="W147" s="9" t="n">
        <x:f>H147*Y146/(v01_ChildYears*4)</x:f>
        <x:v>0.11649419063237831</x:v>
      </x:c>
      <x:c r="X147" s="9" t="n">
        <x:f>H147*Z146/(v01_AdultYears*4)</x:f>
        <x:v>0.06751325288352515</x:v>
      </x:c>
      <x:c r="Y147" s="32" t="n">
        <x:f>Y146+R147-S147-W147-Y146*V147/AB146</x:f>
        <x:v>6.47473836521057</x:v>
      </x:c>
      <x:c r="Z147" s="32" t="n">
        <x:f>Z146+W147-X147-T147-Z146*V147/AB146</x:f>
        <x:v>8.357836970124293</x:v>
      </x:c>
      <x:c r="AA147" s="32" t="n">
        <x:f>AA146+X147-U147-AA146*V147/AB146</x:f>
        <x:v>2.049317592772208</x:v>
      </x:c>
      <x:c r="AB147" s="10" t="n">
        <x:f>Y147+Z147+AA147</x:f>
        <x:v>16.88189292810707</x:v>
      </x:c>
      <x:c r="AC147" s="8" t="n">
        <x:f>IF(AND(v01_WinterTrigger=1,D147=1,AB146/AE146&gt;=K147),1,0)</x:f>
        <x:v>0</x:v>
      </x:c>
      <x:c r="AD147" s="8" t="n">
        <x:f>H147*IF(AND(OR(AB146/AE146&gt;=v01_FissionTrigger*N147,AC147=1),AB146/AE146*v01_DaughterShare&gt;=v01_MinDaughter),MAX(1,ROUND(AE146*v01_FissionRate,0)),0)</x:f>
        <x:v>0</x:v>
      </x:c>
      <x:c r="AE147" s="8" t="n">
        <x:f>IF(H147=1,MAX(1,MIN(INDEX(v01_Smax,G147),AE146+AD147)),AE146)</x:f>
        <x:v>1</x:v>
      </x:c>
      <x:c r="AF147" s="8" t="n">
        <x:f>MAX(0,AE147-AE146)</x:f>
        <x:v>0</x:v>
      </x:c>
      <x:c r="AG147" s="9" t="str">
        <x:f>IF(AF147&gt;0,B147,"")</x:f>
      </x:c>
      <x:c r="AH147" s="9" t="n">
        <x:f>IF(F147&gt;=1,1,(1+v01_LowTiesShare*(AE147-1))/AE147)</x:f>
        <x:v>1</x:v>
      </x:c>
      <x:c r="AI147" s="32" t="n">
        <x:f>(Z147+v01_ElderCommons*INDEX(LM_Elder,G147)*AA147)*AH147</x:f>
        <x:v>12.45647215566871</x:v>
      </x:c>
      <x:c r="AJ147" s="32" t="n">
        <x:f>H147*v01_CommonsCoef*AI147^v01_CommonsExp*INDEX(LM_Commons,G147)</x:f>
        <x:v>5.369494418736283</x:v>
      </x:c>
      <x:c r="AK147" s="32" t="n">
        <x:f>H147*v01_RoleScale*Arch_Roles*(AE147*(INDEX(v01_ElderRolePerSett,G147)*v01_OutElder*INDEX(LM_Elder,G147)+INDEX(v01_ShamanPerSett,G147)*v01_OutShaman)+Z147*(INDEX(v01_PriestShare,G147)*v01_OutPriest+INDEX(v01_ScribeShare,G147)*v01_OutScribe*INDEX(LM_Scribe,G147)+INDEX(v01_ScholarShare,G147)*v01_OutScholar*INDEX(LM_Scholar,G147)+INDEX(v01_ResearcherShare,G147)*v01_OutResearcher*INDEX(LM_Researcher,G147)))</x:f>
        <x:v>0</x:v>
      </x:c>
      <x:c r="AL147" s="32" t="n">
        <x:f>H147*v01_RoleScale*Arch_Roles*AE147*INDEX(v01_MonasteryPerSett,G147)*v01_OutMonastery*INDEX(LM_Monastery,G147)</x:f>
        <x:v>0</x:v>
      </x:c>
      <x:c r="AM147" s="32" t="n">
        <x:f>(AJ147+AK147+AL147)/4*INDEX(LM_All,G147)*INDEX(v01_Boon,G147)*Arch_Insight</x:f>
        <x:v>1.3423736046840709</x:v>
      </x:c>
      <x:c r="AN147" s="32" t="n">
        <x:f>H147*(v01_KHPerAdult*Z147+v01_KHOfCommons*AJ147/4*INDEX(LM_All,G147))*v01_KHUsable*Arch_KH</x:f>
        <x:v>0.2925242939543502</x:v>
      </x:c>
      <x:c r="AO147" s="32" t="n">
        <x:f>MIN(AP146+AN147,AM147*v01_KHMaxRatio)</x:f>
        <x:v>0.2925242939543502</x:v>
      </x:c>
      <x:c r="AP147" s="32" t="n">
        <x:f>AP146+AN147-AO147</x:f>
        <x:v>0</x:v>
      </x:c>
      <x:c r="AQ147" s="32" t="n">
        <x:f>AM147+AO147</x:f>
        <x:v>1.634897898638421</x:v>
      </x:c>
      <x:c r="AR147" s="10" t="n">
        <x:f>IF(H147=1,INDEX(v01_Req,G147),0)</x:f>
        <x:v>372.02</x:v>
      </x:c>
      <x:c r="AS147" s="32" t="n">
        <x:f>IF(H147=1,IF(E147=1,AS146-AR146,AS146)+AQ147,0)</x:f>
        <x:v>220.1581633875572</x:v>
      </x:c>
      <x:c r="AT147" s="11" t="n">
        <x:f>IF(AR147&gt;0,MIN(1,AS147/AR147),1)</x:f>
        <x:v>0.5917912031276739</x:v>
      </x:c>
      <x:c r="AU147" s="10" t="n">
        <x:f>AB147/INDEX(v01_RepScale,G147)</x:f>
        <x:v>16.88189292810707</x:v>
      </x:c>
      <x:c r="AV147" s="32" t="n">
        <x:f>AM147*60/v01_SeasonSeconds</x:f>
        <x:v>5.369494418736283</x:v>
      </x:c>
    </x:row>
    <x:row r="148">
      <x:c r="A148" s="8" t="n">
        <x:f>A147+1</x:f>
        <x:v>145</x:v>
      </x:c>
      <x:c r="B148" s="9" t="n">
        <x:f>A148*v01_SeasonSeconds/60</x:f>
        <x:v>36.25</x:v>
      </x:c>
      <x:c r="C148" s="9" t="n">
        <x:f>A148/4</x:f>
        <x:v>36.25</x:v>
      </x:c>
      <x:c r="D148" s="8" t="n">
        <x:f>IF(MOD(A148,4)=0,1,0)</x:f>
        <x:v>0</x:v>
      </x:c>
      <x:c r="E148" s="8" t="n">
        <x:f>IF(AND(F147&lt;=9,AS147&gt;=AR147),1,0)</x:f>
        <x:v>0</x:v>
      </x:c>
      <x:c r="F148" s="8" t="n">
        <x:f>MIN(10,F147+E148)</x:f>
        <x:v>0</x:v>
      </x:c>
      <x:c r="G148" s="8" t="n">
        <x:f>MIN(F148,9)+1</x:f>
        <x:v>1</x:v>
      </x:c>
      <x:c r="H148" s="8" t="n">
        <x:f>IF(F148&lt;=9,1,0)</x:f>
        <x:v>1</x:v>
      </x:c>
      <x:c r="I148" s="9" t="n">
        <x:f>MIN(10,F147+IF(AR147&gt;0,MIN(1,AS147/AR147),1))</x:f>
        <x:v>0.5917912031276739</x:v>
      </x:c>
      <x:c r="J148" s="32" t="n">
        <x:f>INDEX(v01_FoodCap,G148)*Arch_FoodCap*EXP(v01_CapsByProject*SUMPRODUCT((Cap_Point&lt;=I148)*(Cap_Kind="Food")*Cap_Ln))</x:f>
        <x:v>22</x:v>
      </x:c>
      <x:c r="K148" s="32" t="n">
        <x:f>J148*MIN(1,v01_LeanBase*EXP(v01_CapsByProject*SUMPRODUCT((Cap_Point&lt;=I148)*(Cap_Kind="Lean")*Cap_Ln)))</x:f>
        <x:v>22</x:v>
      </x:c>
      <x:c r="L148" s="10" t="n">
        <x:f>INDEX(v01_HousingCap,G148)*EXP(v01_CapsByProject*SUMPRODUCT((Cap_Point&lt;=I148)*(Cap_Kind="Housing")*Cap_Ln))</x:f>
        <x:v>60</x:v>
      </x:c>
      <x:c r="M148" s="10" t="n">
        <x:f>INDEX(v01_GroupCap,G148)*v01_CohesionFactor*EXP(v01_CapsByProject*SUMPRODUCT((Cap_Point&lt;=I148)*(Cap_Kind="Group")*Cap_Ln))</x:f>
        <x:v>35</x:v>
      </x:c>
      <x:c r="N148" s="32" t="n">
        <x:f>MIN(J148,L148,M148)</x:f>
        <x:v>22</x:v>
      </x:c>
      <x:c r="O148" s="10" t="n">
        <x:f>AE147*N148</x:f>
        <x:v>22</x:v>
      </x:c>
      <x:c r="P148" s="9" t="n">
        <x:f>MIN(1,(AB147/(AE147*IF(v01_GroupInCrowding=1,N148,MIN(J148,L148))))^v01_CrowdingExp)</x:f>
        <x:v>0.2041694523579333</x:v>
      </x:c>
      <x:c r="Q148" s="9" t="n">
        <x:f>IF(D148=1,INDEX(v01_WinterMult,G148),1)</x:f>
        <x:v>1</x:v>
      </x:c>
      <x:c r="R148" s="9" t="n">
        <x:f>H148*Z147*v01_WomenShare*v01_BaseFertility*INDEX(v01_FertMult,G148)*Arch_Fertility*(1-P148)</x:f>
        <x:v>0.1995426591911138</x:v>
      </x:c>
      <x:c r="S148" s="9" t="n">
        <x:f>H148*Y147*INDEX(v01_MortChild,G148)/4*Q148</x:f>
        <x:v>0.0647473836521057</x:v>
      </x:c>
      <x:c r="T148" s="9" t="n">
        <x:f>H148*Z147*INDEX(v01_MortAdult,G148)*Arch_AdultMort/4*Q148</x:f>
        <x:v>0.031341888637966095</x:v>
      </x:c>
      <x:c r="U148" s="9" t="n">
        <x:f>H148*AA147*INDEX(v01_MortElder,G148)/4*Q148</x:f>
        <x:v>0.051232939819305205</x:v>
      </x:c>
      <x:c r="V148" s="9" t="n">
        <x:f>H148*MAX(0,AB147-O148)*v01_OvercapLoss</x:f>
        <x:v>0</x:v>
      </x:c>
      <x:c r="W148" s="9" t="n">
        <x:f>H148*Y147/(v01_ChildYears*4)</x:f>
        <x:v>0.11562032795018874</x:v>
      </x:c>
      <x:c r="X148" s="9" t="n">
        <x:f>H148*Z147/(v01_AdultYears*4)</x:f>
        <x:v>0.06740191104938946</x:v>
      </x:c>
      <x:c r="Y148" s="32" t="n">
        <x:f>Y147+R148-S148-W148-Y147*V148/AB147</x:f>
        <x:v>6.493913312799389</x:v>
      </x:c>
      <x:c r="Z148" s="32" t="n">
        <x:f>Z147+W148-X148-T148-Z147*V148/AB147</x:f>
        <x:v>8.374713498387127</x:v>
      </x:c>
      <x:c r="AA148" s="32" t="n">
        <x:f>AA147+X148-U148-AA147*V148/AB147</x:f>
        <x:v>2.0654865640022924</x:v>
      </x:c>
      <x:c r="AB148" s="10" t="n">
        <x:f>Y148+Z148+AA148</x:f>
        <x:v>16.934113375188808</x:v>
      </x:c>
      <x:c r="AC148" s="8" t="n">
        <x:f>IF(AND(v01_WinterTrigger=1,D148=1,AB147/AE147&gt;=K148),1,0)</x:f>
        <x:v>0</x:v>
      </x:c>
      <x:c r="AD148" s="8" t="n">
        <x:f>H148*IF(AND(OR(AB147/AE147&gt;=v01_FissionTrigger*N148,AC148=1),AB147/AE147*v01_DaughterShare&gt;=v01_MinDaughter),MAX(1,ROUND(AE147*v01_FissionRate,0)),0)</x:f>
        <x:v>0</x:v>
      </x:c>
      <x:c r="AE148" s="8" t="n">
        <x:f>IF(H148=1,MAX(1,MIN(INDEX(v01_Smax,G148),AE147+AD148)),AE147)</x:f>
        <x:v>1</x:v>
      </x:c>
      <x:c r="AF148" s="8" t="n">
        <x:f>MAX(0,AE148-AE147)</x:f>
        <x:v>0</x:v>
      </x:c>
      <x:c r="AG148" s="9" t="str">
        <x:f>IF(AF148&gt;0,B148,"")</x:f>
      </x:c>
      <x:c r="AH148" s="9" t="n">
        <x:f>IF(F148&gt;=1,1,(1+v01_LowTiesShare*(AE148-1))/AE148)</x:f>
        <x:v>1</x:v>
      </x:c>
      <x:c r="AI148" s="32" t="n">
        <x:f>(Z148+v01_ElderCommons*INDEX(LM_Elder,G148)*AA148)*AH148</x:f>
        <x:v>12.50568662639171</x:v>
      </x:c>
      <x:c r="AJ148" s="32" t="n">
        <x:f>H148*v01_CommonsCoef*AI148^v01_CommonsExp*INDEX(LM_Commons,G148)</x:f>
        <x:v>5.387521340096932</x:v>
      </x:c>
      <x:c r="AK148" s="32" t="n">
        <x:f>H148*v01_RoleScale*Arch_Roles*(AE148*(INDEX(v01_ElderRolePerSett,G148)*v01_OutElder*INDEX(LM_Elder,G148)+INDEX(v01_ShamanPerSett,G148)*v01_OutShaman)+Z148*(INDEX(v01_PriestShare,G148)*v01_OutPriest+INDEX(v01_ScribeShare,G148)*v01_OutScribe*INDEX(LM_Scribe,G148)+INDEX(v01_ScholarShare,G148)*v01_OutScholar*INDEX(LM_Scholar,G148)+INDEX(v01_ResearcherShare,G148)*v01_OutResearcher*INDEX(LM_Researcher,G148)))</x:f>
        <x:v>0</x:v>
      </x:c>
      <x:c r="AL148" s="32" t="n">
        <x:f>H148*v01_RoleScale*Arch_Roles*AE148*INDEX(v01_MonasteryPerSett,G148)*v01_OutMonastery*INDEX(LM_Monastery,G148)</x:f>
        <x:v>0</x:v>
      </x:c>
      <x:c r="AM148" s="32" t="n">
        <x:f>(AJ148+AK148+AL148)/4*INDEX(LM_All,G148)*INDEX(v01_Boon,G148)*Arch_Insight</x:f>
        <x:v>1.346880335024233</x:v>
      </x:c>
      <x:c r="AN148" s="32" t="n">
        <x:f>H148*(v01_KHPerAdult*Z148+v01_KHOfCommons*AJ148/4*INDEX(LM_All,G148))*v01_KHUsable*Arch_KH</x:f>
        <x:v>0.29311497244354945</x:v>
      </x:c>
      <x:c r="AO148" s="32" t="n">
        <x:f>MIN(AP147+AN148,AM148*v01_KHMaxRatio)</x:f>
        <x:v>0.29311497244354945</x:v>
      </x:c>
      <x:c r="AP148" s="32" t="n">
        <x:f>AP147+AN148-AO148</x:f>
        <x:v>0</x:v>
      </x:c>
      <x:c r="AQ148" s="32" t="n">
        <x:f>AM148+AO148</x:f>
        <x:v>1.6399953074677827</x:v>
      </x:c>
      <x:c r="AR148" s="10" t="n">
        <x:f>IF(H148=1,INDEX(v01_Req,G148),0)</x:f>
        <x:v>372.02</x:v>
      </x:c>
      <x:c r="AS148" s="32" t="n">
        <x:f>IF(H148=1,IF(E148=1,AS147-AR147,AS147)+AQ148,0)</x:f>
        <x:v>221.798158695025</x:v>
      </x:c>
      <x:c r="AT148" s="11" t="n">
        <x:f>IF(AR148&gt;0,MIN(1,AS148/AR148),1)</x:f>
        <x:v>0.5961995556556772</x:v>
      </x:c>
      <x:c r="AU148" s="10" t="n">
        <x:f>AB148/INDEX(v01_RepScale,G148)</x:f>
        <x:v>16.934113375188808</x:v>
      </x:c>
      <x:c r="AV148" s="32" t="n">
        <x:f>AM148*60/v01_SeasonSeconds</x:f>
        <x:v>5.387521340096932</x:v>
      </x:c>
    </x:row>
    <x:row r="149">
      <x:c r="A149" s="8" t="n">
        <x:f>A148+1</x:f>
        <x:v>146</x:v>
      </x:c>
      <x:c r="B149" s="9" t="n">
        <x:f>A149*v01_SeasonSeconds/60</x:f>
        <x:v>36.5</x:v>
      </x:c>
      <x:c r="C149" s="9" t="n">
        <x:f>A149/4</x:f>
        <x:v>36.5</x:v>
      </x:c>
      <x:c r="D149" s="8" t="n">
        <x:f>IF(MOD(A149,4)=0,1,0)</x:f>
        <x:v>0</x:v>
      </x:c>
      <x:c r="E149" s="8" t="n">
        <x:f>IF(AND(F148&lt;=9,AS148&gt;=AR148),1,0)</x:f>
        <x:v>0</x:v>
      </x:c>
      <x:c r="F149" s="8" t="n">
        <x:f>MIN(10,F148+E149)</x:f>
        <x:v>0</x:v>
      </x:c>
      <x:c r="G149" s="8" t="n">
        <x:f>MIN(F149,9)+1</x:f>
        <x:v>1</x:v>
      </x:c>
      <x:c r="H149" s="8" t="n">
        <x:f>IF(F149&lt;=9,1,0)</x:f>
        <x:v>1</x:v>
      </x:c>
      <x:c r="I149" s="9" t="n">
        <x:f>MIN(10,F148+IF(AR148&gt;0,MIN(1,AS148/AR148),1))</x:f>
        <x:v>0.5961995556556772</x:v>
      </x:c>
      <x:c r="J149" s="32" t="n">
        <x:f>INDEX(v01_FoodCap,G149)*Arch_FoodCap*EXP(v01_CapsByProject*SUMPRODUCT((Cap_Point&lt;=I149)*(Cap_Kind="Food")*Cap_Ln))</x:f>
        <x:v>22</x:v>
      </x:c>
      <x:c r="K149" s="32" t="n">
        <x:f>J149*MIN(1,v01_LeanBase*EXP(v01_CapsByProject*SUMPRODUCT((Cap_Point&lt;=I149)*(Cap_Kind="Lean")*Cap_Ln)))</x:f>
        <x:v>22</x:v>
      </x:c>
      <x:c r="L149" s="10" t="n">
        <x:f>INDEX(v01_HousingCap,G149)*EXP(v01_CapsByProject*SUMPRODUCT((Cap_Point&lt;=I149)*(Cap_Kind="Housing")*Cap_Ln))</x:f>
        <x:v>60</x:v>
      </x:c>
      <x:c r="M149" s="10" t="n">
        <x:f>INDEX(v01_GroupCap,G149)*v01_CohesionFactor*EXP(v01_CapsByProject*SUMPRODUCT((Cap_Point&lt;=I149)*(Cap_Kind="Group")*Cap_Ln))</x:f>
        <x:v>35</x:v>
      </x:c>
      <x:c r="N149" s="32" t="n">
        <x:f>MIN(J149,L149,M149)</x:f>
        <x:v>22</x:v>
      </x:c>
      <x:c r="O149" s="10" t="n">
        <x:f>AE148*N149</x:f>
        <x:v>22</x:v>
      </x:c>
      <x:c r="P149" s="9" t="n">
        <x:f>MIN(1,(AB148/(AE148*IF(v01_GroupInCrowding=1,N149,MIN(J149,L149))))^v01_CrowdingExp)</x:f>
        <x:v>0.20798819863246004</x:v>
      </x:c>
      <x:c r="Q149" s="9" t="n">
        <x:f>IF(D149=1,INDEX(v01_WinterMult,G149),1)</x:f>
        <x:v>1</x:v>
      </x:c>
      <x:c r="R149" s="9" t="n">
        <x:f>H149*Z148*v01_WomenShare*v01_BaseFertility*INDEX(v01_FertMult,G149)*Arch_Fertility*(1-P149)</x:f>
        <x:v>0.1989861577138392</x:v>
      </x:c>
      <x:c r="S149" s="9" t="n">
        <x:f>H149*Y148*INDEX(v01_MortChild,G149)/4*Q149</x:f>
        <x:v>0.06493913312799389</x:v>
      </x:c>
      <x:c r="T149" s="9" t="n">
        <x:f>H149*Z148*INDEX(v01_MortAdult,G149)*Arch_AdultMort/4*Q149</x:f>
        <x:v>0.031405175618951724</x:v>
      </x:c>
      <x:c r="U149" s="9" t="n">
        <x:f>H149*AA148*INDEX(v01_MortElder,G149)/4*Q149</x:f>
        <x:v>0.05163716410005731</x:v>
      </x:c>
      <x:c r="V149" s="9" t="n">
        <x:f>H149*MAX(0,AB148-O149)*v01_OvercapLoss</x:f>
        <x:v>0</x:v>
      </x:c>
      <x:c r="W149" s="9" t="n">
        <x:f>H149*Y148/(v01_ChildYears*4)</x:f>
        <x:v>0.11596273772856051</x:v>
      </x:c>
      <x:c r="X149" s="9" t="n">
        <x:f>H149*Z148/(v01_AdultYears*4)</x:f>
        <x:v>0.06753801208376715</x:v>
      </x:c>
      <x:c r="Y149" s="32" t="n">
        <x:f>Y148+R149-S149-W149-Y148*V149/AB148</x:f>
        <x:v>6.511997599656674</x:v>
      </x:c>
      <x:c r="Z149" s="32" t="n">
        <x:f>Z148+W149-X149-T149-Z148*V149/AB148</x:f>
        <x:v>8.391733048412968</x:v>
      </x:c>
      <x:c r="AA149" s="32" t="n">
        <x:f>AA148+X149-U149-AA148*V149/AB148</x:f>
        <x:v>2.081387411986002</x:v>
      </x:c>
      <x:c r="AB149" s="10" t="n">
        <x:f>Y149+Z149+AA149</x:f>
        <x:v>16.985118060055644</x:v>
      </x:c>
      <x:c r="AC149" s="8" t="n">
        <x:f>IF(AND(v01_WinterTrigger=1,D149=1,AB148/AE148&gt;=K149),1,0)</x:f>
        <x:v>0</x:v>
      </x:c>
      <x:c r="AD149" s="8" t="n">
        <x:f>H149*IF(AND(OR(AB148/AE148&gt;=v01_FissionTrigger*N149,AC149=1),AB148/AE148*v01_DaughterShare&gt;=v01_MinDaughter),MAX(1,ROUND(AE148*v01_FissionRate,0)),0)</x:f>
        <x:v>0</x:v>
      </x:c>
      <x:c r="AE149" s="8" t="n">
        <x:f>IF(H149=1,MAX(1,MIN(INDEX(v01_Smax,G149),AE148+AD149)),AE148)</x:f>
        <x:v>1</x:v>
      </x:c>
      <x:c r="AF149" s="8" t="n">
        <x:f>MAX(0,AE149-AE148)</x:f>
        <x:v>0</x:v>
      </x:c>
      <x:c r="AG149" s="9" t="str">
        <x:f>IF(AF149&gt;0,B149,"")</x:f>
      </x:c>
      <x:c r="AH149" s="9" t="n">
        <x:f>IF(F149&gt;=1,1,(1+v01_LowTiesShare*(AE149-1))/AE149)</x:f>
        <x:v>1</x:v>
      </x:c>
      <x:c r="AI149" s="32" t="n">
        <x:f>(Z149+v01_ElderCommons*INDEX(LM_Elder,G149)*AA149)*AH149</x:f>
        <x:v>12.554507872384972</x:v>
      </x:c>
      <x:c r="AJ149" s="32" t="n">
        <x:f>H149*v01_CommonsCoef*AI149^v01_CommonsExp*INDEX(LM_Commons,G149)</x:f>
        <x:v>5.405393714710937</x:v>
      </x:c>
      <x:c r="AK149" s="32" t="n">
        <x:f>H149*v01_RoleScale*Arch_Roles*(AE149*(INDEX(v01_ElderRolePerSett,G149)*v01_OutElder*INDEX(LM_Elder,G149)+INDEX(v01_ShamanPerSett,G149)*v01_OutShaman)+Z149*(INDEX(v01_PriestShare,G149)*v01_OutPriest+INDEX(v01_ScribeShare,G149)*v01_OutScribe*INDEX(LM_Scribe,G149)+INDEX(v01_ScholarShare,G149)*v01_OutScholar*INDEX(LM_Scholar,G149)+INDEX(v01_ResearcherShare,G149)*v01_OutResearcher*INDEX(LM_Researcher,G149)))</x:f>
        <x:v>0</x:v>
      </x:c>
      <x:c r="AL149" s="32" t="n">
        <x:f>H149*v01_RoleScale*Arch_Roles*AE149*INDEX(v01_MonasteryPerSett,G149)*v01_OutMonastery*INDEX(LM_Monastery,G149)</x:f>
        <x:v>0</x:v>
      </x:c>
      <x:c r="AM149" s="32" t="n">
        <x:f>(AJ149+AK149+AL149)/4*INDEX(LM_All,G149)*INDEX(v01_Boon,G149)*Arch_Insight</x:f>
        <x:v>1.3513484286777342</x:v>
      </x:c>
      <x:c r="AN149" s="32" t="n">
        <x:f>H149*(v01_KHPerAdult*Z149+v01_KHOfCommons*AJ149/4*INDEX(LM_All,G149))*v01_KHUsable*Arch_KH</x:f>
        <x:v>0.29371065669445384</x:v>
      </x:c>
      <x:c r="AO149" s="32" t="n">
        <x:f>MIN(AP148+AN149,AM149*v01_KHMaxRatio)</x:f>
        <x:v>0.29371065669445384</x:v>
      </x:c>
      <x:c r="AP149" s="32" t="n">
        <x:f>AP148+AN149-AO149</x:f>
        <x:v>0</x:v>
      </x:c>
      <x:c r="AQ149" s="32" t="n">
        <x:f>AM149+AO149</x:f>
        <x:v>1.645059085372188</x:v>
      </x:c>
      <x:c r="AR149" s="10" t="n">
        <x:f>IF(H149=1,INDEX(v01_Req,G149),0)</x:f>
        <x:v>372.02</x:v>
      </x:c>
      <x:c r="AS149" s="32" t="n">
        <x:f>IF(H149=1,IF(E149=1,AS148-AR148,AS148)+AQ149,0)</x:f>
        <x:v>223.4432177803972</x:v>
      </x:c>
      <x:c r="AT149" s="11" t="n">
        <x:f>IF(AR149&gt;0,MIN(1,AS149/AR149),1)</x:f>
        <x:v>0.60062151975807</x:v>
      </x:c>
      <x:c r="AU149" s="10" t="n">
        <x:f>AB149/INDEX(v01_RepScale,G149)</x:f>
        <x:v>16.985118060055644</x:v>
      </x:c>
      <x:c r="AV149" s="32" t="n">
        <x:f>AM149*60/v01_SeasonSeconds</x:f>
        <x:v>5.405393714710937</x:v>
      </x:c>
    </x:row>
    <x:row r="150">
      <x:c r="A150" s="8" t="n">
        <x:f>A149+1</x:f>
        <x:v>147</x:v>
      </x:c>
      <x:c r="B150" s="9" t="n">
        <x:f>A150*v01_SeasonSeconds/60</x:f>
        <x:v>36.75</x:v>
      </x:c>
      <x:c r="C150" s="9" t="n">
        <x:f>A150/4</x:f>
        <x:v>36.75</x:v>
      </x:c>
      <x:c r="D150" s="8" t="n">
        <x:f>IF(MOD(A150,4)=0,1,0)</x:f>
        <x:v>0</x:v>
      </x:c>
      <x:c r="E150" s="8" t="n">
        <x:f>IF(AND(F149&lt;=9,AS149&gt;=AR149),1,0)</x:f>
        <x:v>0</x:v>
      </x:c>
      <x:c r="F150" s="8" t="n">
        <x:f>MIN(10,F149+E150)</x:f>
        <x:v>0</x:v>
      </x:c>
      <x:c r="G150" s="8" t="n">
        <x:f>MIN(F150,9)+1</x:f>
        <x:v>1</x:v>
      </x:c>
      <x:c r="H150" s="8" t="n">
        <x:f>IF(F150&lt;=9,1,0)</x:f>
        <x:v>1</x:v>
      </x:c>
      <x:c r="I150" s="9" t="n">
        <x:f>MIN(10,F149+IF(AR149&gt;0,MIN(1,AS149/AR149),1))</x:f>
        <x:v>0.60062151975807</x:v>
      </x:c>
      <x:c r="J150" s="32" t="n">
        <x:f>INDEX(v01_FoodCap,G150)*Arch_FoodCap*EXP(v01_CapsByProject*SUMPRODUCT((Cap_Point&lt;=I150)*(Cap_Kind="Food")*Cap_Ln))</x:f>
        <x:v>22</x:v>
      </x:c>
      <x:c r="K150" s="32" t="n">
        <x:f>J150*MIN(1,v01_LeanBase*EXP(v01_CapsByProject*SUMPRODUCT((Cap_Point&lt;=I150)*(Cap_Kind="Lean")*Cap_Ln)))</x:f>
        <x:v>22</x:v>
      </x:c>
      <x:c r="L150" s="10" t="n">
        <x:f>INDEX(v01_HousingCap,G150)*EXP(v01_CapsByProject*SUMPRODUCT((Cap_Point&lt;=I150)*(Cap_Kind="Housing")*Cap_Ln))</x:f>
        <x:v>60</x:v>
      </x:c>
      <x:c r="M150" s="10" t="n">
        <x:f>INDEX(v01_GroupCap,G150)*v01_CohesionFactor*EXP(v01_CapsByProject*SUMPRODUCT((Cap_Point&lt;=I150)*(Cap_Kind="Group")*Cap_Ln))</x:f>
        <x:v>35</x:v>
      </x:c>
      <x:c r="N150" s="32" t="n">
        <x:f>MIN(J150,L150,M150)</x:f>
        <x:v>22</x:v>
      </x:c>
      <x:c r="O150" s="10" t="n">
        <x:f>AE149*N150</x:f>
        <x:v>22</x:v>
      </x:c>
      <x:c r="P150" s="9" t="n">
        <x:f>MIN(1,(AB149/(AE149*IF(v01_GroupInCrowding=1,N150,MIN(J150,L150))))^v01_CrowdingExp)</x:f>
        <x:v>0.21177531408341313</x:v>
      </x:c>
      <x:c r="Q150" s="9" t="n">
        <x:f>IF(D150=1,INDEX(v01_WinterMult,G150),1)</x:f>
        <x:v>1</x:v>
      </x:c>
      <x:c r="R150" s="9" t="n">
        <x:f>H150*Z149*v01_WomenShare*v01_BaseFertility*INDEX(v01_FertMult,G150)*Arch_Fertility*(1-P150)</x:f>
        <x:v>0.1984371343914346</x:v>
      </x:c>
      <x:c r="S150" s="9" t="n">
        <x:f>H150*Y149*INDEX(v01_MortChild,G150)/4*Q150</x:f>
        <x:v>0.06511997599656674</x:v>
      </x:c>
      <x:c r="T150" s="9" t="n">
        <x:f>H150*Z149*INDEX(v01_MortAdult,G150)*Arch_AdultMort/4*Q150</x:f>
        <x:v>0.03146899893154863</x:v>
      </x:c>
      <x:c r="U150" s="9" t="n">
        <x:f>H150*AA149*INDEX(v01_MortElder,G150)/4*Q150</x:f>
        <x:v>0.05203468529965005</x:v>
      </x:c>
      <x:c r="V150" s="9" t="n">
        <x:f>H150*MAX(0,AB149-O150)*v01_OvercapLoss</x:f>
        <x:v>0</x:v>
      </x:c>
      <x:c r="W150" s="9" t="n">
        <x:f>H150*Y149/(v01_ChildYears*4)</x:f>
        <x:v>0.1162856714224406</x:v>
      </x:c>
      <x:c r="X150" s="9" t="n">
        <x:f>H150*Z149/(v01_AdultYears*4)</x:f>
        <x:v>0.06767526651945942</x:v>
      </x:c>
      <x:c r="Y150" s="32" t="n">
        <x:f>Y149+R150-S150-W150-Y149*V150/AB149</x:f>
        <x:v>6.529029086629101</x:v>
      </x:c>
      <x:c r="Z150" s="32" t="n">
        <x:f>Z149+W150-X150-T150-Z149*V150/AB149</x:f>
        <x:v>8.4088744543844</x:v>
      </x:c>
      <x:c r="AA150" s="32" t="n">
        <x:f>AA149+X150-U150-AA149*V150/AB149</x:f>
        <x:v>2.0970279932058116</x:v>
      </x:c>
      <x:c r="AB150" s="10" t="n">
        <x:f>Y150+Z150+AA150</x:f>
        <x:v>17.03493153421931</x:v>
      </x:c>
      <x:c r="AC150" s="8" t="n">
        <x:f>IF(AND(v01_WinterTrigger=1,D150=1,AB149/AE149&gt;=K150),1,0)</x:f>
        <x:v>0</x:v>
      </x:c>
      <x:c r="AD150" s="8" t="n">
        <x:f>H150*IF(AND(OR(AB149/AE149&gt;=v01_FissionTrigger*N150,AC150=1),AB149/AE149*v01_DaughterShare&gt;=v01_MinDaughter),MAX(1,ROUND(AE149*v01_FissionRate,0)),0)</x:f>
        <x:v>0</x:v>
      </x:c>
      <x:c r="AE150" s="8" t="n">
        <x:f>IF(H150=1,MAX(1,MIN(INDEX(v01_Smax,G150),AE149+AD150)),AE149)</x:f>
        <x:v>1</x:v>
      </x:c>
      <x:c r="AF150" s="8" t="n">
        <x:f>MAX(0,AE150-AE149)</x:f>
        <x:v>0</x:v>
      </x:c>
      <x:c r="AG150" s="9" t="str">
        <x:f>IF(AF150&gt;0,B150,"")</x:f>
      </x:c>
      <x:c r="AH150" s="9" t="n">
        <x:f>IF(F150&gt;=1,1,(1+v01_LowTiesShare*(AE150-1))/AE150)</x:f>
        <x:v>1</x:v>
      </x:c>
      <x:c r="AI150" s="32" t="n">
        <x:f>(Z150+v01_ElderCommons*INDEX(LM_Elder,G150)*AA150)*AH150</x:f>
        <x:v>12.602930440796023</x:v>
      </x:c>
      <x:c r="AJ150" s="32" t="n">
        <x:f>H150*v01_CommonsCoef*AI150^v01_CommonsExp*INDEX(LM_Commons,G150)</x:f>
        <x:v>5.423109847352584</x:v>
      </x:c>
      <x:c r="AK150" s="32" t="n">
        <x:f>H150*v01_RoleScale*Arch_Roles*(AE150*(INDEX(v01_ElderRolePerSett,G150)*v01_OutElder*INDEX(LM_Elder,G150)+INDEX(v01_ShamanPerSett,G150)*v01_OutShaman)+Z150*(INDEX(v01_PriestShare,G150)*v01_OutPriest+INDEX(v01_ScribeShare,G150)*v01_OutScribe*INDEX(LM_Scribe,G150)+INDEX(v01_ScholarShare,G150)*v01_OutScholar*INDEX(LM_Scholar,G150)+INDEX(v01_ResearcherShare,G150)*v01_OutResearcher*INDEX(LM_Researcher,G150)))</x:f>
        <x:v>0</x:v>
      </x:c>
      <x:c r="AL150" s="32" t="n">
        <x:f>H150*v01_RoleScale*Arch_Roles*AE150*INDEX(v01_MonasteryPerSett,G150)*v01_OutMonastery*INDEX(LM_Monastery,G150)</x:f>
        <x:v>0</x:v>
      </x:c>
      <x:c r="AM150" s="32" t="n">
        <x:f>(AJ150+AK150+AL150)/4*INDEX(LM_All,G150)*INDEX(v01_Boon,G150)*Arch_Insight</x:f>
        <x:v>1.355777461838146</x:v>
      </x:c>
      <x:c r="AN150" s="32" t="n">
        <x:f>H150*(v01_KHPerAdult*Z150+v01_KHOfCommons*AJ150/4*INDEX(LM_All,G150))*v01_KHUsable*Arch_KH</x:f>
        <x:v>0.294310605903454</x:v>
      </x:c>
      <x:c r="AO150" s="32" t="n">
        <x:f>MIN(AP149+AN150,AM150*v01_KHMaxRatio)</x:f>
        <x:v>0.294310605903454</x:v>
      </x:c>
      <x:c r="AP150" s="32" t="n">
        <x:f>AP149+AN150-AO150</x:f>
        <x:v>0</x:v>
      </x:c>
      <x:c r="AQ150" s="32" t="n">
        <x:f>AM150+AO150</x:f>
        <x:v>1.6500880677415999</x:v>
      </x:c>
      <x:c r="AR150" s="10" t="n">
        <x:f>IF(H150=1,INDEX(v01_Req,G150),0)</x:f>
        <x:v>372.02</x:v>
      </x:c>
      <x:c r="AS150" s="32" t="n">
        <x:f>IF(H150=1,IF(E150=1,AS149-AR149,AS149)+AQ150,0)</x:f>
        <x:v>225.09330584813878</x:v>
      </x:c>
      <x:c r="AT150" s="11" t="n">
        <x:f>IF(AR150&gt;0,MIN(1,AS150/AR150),1)</x:f>
        <x:v>0.6050570019034965</x:v>
      </x:c>
      <x:c r="AU150" s="10" t="n">
        <x:f>AB150/INDEX(v01_RepScale,G150)</x:f>
        <x:v>17.03493153421931</x:v>
      </x:c>
      <x:c r="AV150" s="32" t="n">
        <x:f>AM150*60/v01_SeasonSeconds</x:f>
        <x:v>5.423109847352584</x:v>
      </x:c>
    </x:row>
    <x:row r="151">
      <x:c r="A151" s="8" t="n">
        <x:f>A150+1</x:f>
        <x:v>148</x:v>
      </x:c>
      <x:c r="B151" s="9" t="n">
        <x:f>A151*v01_SeasonSeconds/60</x:f>
        <x:v>37</x:v>
      </x:c>
      <x:c r="C151" s="9" t="n">
        <x:f>A151/4</x:f>
        <x:v>37</x:v>
      </x:c>
      <x:c r="D151" s="8" t="n">
        <x:f>IF(MOD(A151,4)=0,1,0)</x:f>
        <x:v>1</x:v>
      </x:c>
      <x:c r="E151" s="8" t="n">
        <x:f>IF(AND(F150&lt;=9,AS150&gt;=AR150),1,0)</x:f>
        <x:v>0</x:v>
      </x:c>
      <x:c r="F151" s="8" t="n">
        <x:f>MIN(10,F150+E151)</x:f>
        <x:v>0</x:v>
      </x:c>
      <x:c r="G151" s="8" t="n">
        <x:f>MIN(F151,9)+1</x:f>
        <x:v>1</x:v>
      </x:c>
      <x:c r="H151" s="8" t="n">
        <x:f>IF(F151&lt;=9,1,0)</x:f>
        <x:v>1</x:v>
      </x:c>
      <x:c r="I151" s="9" t="n">
        <x:f>MIN(10,F150+IF(AR150&gt;0,MIN(1,AS150/AR150),1))</x:f>
        <x:v>0.6050570019034965</x:v>
      </x:c>
      <x:c r="J151" s="32" t="n">
        <x:f>INDEX(v01_FoodCap,G151)*Arch_FoodCap*EXP(v01_CapsByProject*SUMPRODUCT((Cap_Point&lt;=I151)*(Cap_Kind="Food")*Cap_Ln))</x:f>
        <x:v>22</x:v>
      </x:c>
      <x:c r="K151" s="32" t="n">
        <x:f>J151*MIN(1,v01_LeanBase*EXP(v01_CapsByProject*SUMPRODUCT((Cap_Point&lt;=I151)*(Cap_Kind="Lean")*Cap_Ln)))</x:f>
        <x:v>22</x:v>
      </x:c>
      <x:c r="L151" s="10" t="n">
        <x:f>INDEX(v01_HousingCap,G151)*EXP(v01_CapsByProject*SUMPRODUCT((Cap_Point&lt;=I151)*(Cap_Kind="Housing")*Cap_Ln))</x:f>
        <x:v>60</x:v>
      </x:c>
      <x:c r="M151" s="10" t="n">
        <x:f>INDEX(v01_GroupCap,G151)*v01_CohesionFactor*EXP(v01_CapsByProject*SUMPRODUCT((Cap_Point&lt;=I151)*(Cap_Kind="Group")*Cap_Ln))</x:f>
        <x:v>35</x:v>
      </x:c>
      <x:c r="N151" s="32" t="n">
        <x:f>MIN(J151,L151,M151)</x:f>
        <x:v>22</x:v>
      </x:c>
      <x:c r="O151" s="10" t="n">
        <x:f>AE150*N151</x:f>
        <x:v>22</x:v>
      </x:c>
      <x:c r="P151" s="9" t="n">
        <x:f>MIN(1,(AB150/(AE150*IF(v01_GroupInCrowding=1,N151,MIN(J151,L151))))^v01_CrowdingExp)</x:f>
        <x:v>0.21552927576102948</x:v>
      </x:c>
      <x:c r="Q151" s="9" t="n">
        <x:f>IF(D151=1,INDEX(v01_WinterMult,G151),1)</x:f>
        <x:v>2</x:v>
      </x:c>
      <x:c r="R151" s="9" t="n">
        <x:f>H151*Z150*v01_WomenShare*v01_BaseFertility*INDEX(v01_FertMult,G151)*Arch_Fertility*(1-P151)</x:f>
        <x:v>0.19789547499796525</x:v>
      </x:c>
      <x:c r="S151" s="9" t="n">
        <x:f>H151*Y150*INDEX(v01_MortChild,G151)/4*Q151</x:f>
        <x:v>0.13058058173258202</x:v>
      </x:c>
      <x:c r="T151" s="9" t="n">
        <x:f>H151*Z150*INDEX(v01_MortAdult,G151)*Arch_AdultMort/4*Q151</x:f>
        <x:v>0.063066558407883</x:v>
      </x:c>
      <x:c r="U151" s="9" t="n">
        <x:f>H151*AA150*INDEX(v01_MortElder,G151)/4*Q151</x:f>
        <x:v>0.10485139966029058</x:v>
      </x:c>
      <x:c r="V151" s="9" t="n">
        <x:f>H151*MAX(0,AB150-O151)*v01_OvercapLoss</x:f>
        <x:v>0</x:v>
      </x:c>
      <x:c r="W151" s="9" t="n">
        <x:f>H151*Y150/(v01_ChildYears*4)</x:f>
        <x:v>0.1165898051183768</x:v>
      </x:c>
      <x:c r="X151" s="9" t="n">
        <x:f>H151*Z150/(v01_AdultYears*4)</x:f>
        <x:v>0.06781350366439032</x:v>
      </x:c>
      <x:c r="Y151" s="32" t="n">
        <x:f>Y150+R151-S151-W151-Y150*V151/AB150</x:f>
        <x:v>6.479754174776107</x:v>
      </x:c>
      <x:c r="Z151" s="32" t="n">
        <x:f>Z150+W151-X151-T151-Z150*V151/AB150</x:f>
        <x:v>8.394584197430504</x:v>
      </x:c>
      <x:c r="AA151" s="32" t="n">
        <x:f>AA150+X151-U151-AA150*V151/AB150</x:f>
        <x:v>2.059990097209911</x:v>
      </x:c>
      <x:c r="AB151" s="10" t="n">
        <x:f>Y151+Z151+AA151</x:f>
        <x:v>16.934328469416524</x:v>
      </x:c>
      <x:c r="AC151" s="8" t="n">
        <x:f>IF(AND(v01_WinterTrigger=1,D151=1,AB150/AE150&gt;=K151),1,0)</x:f>
        <x:v>0</x:v>
      </x:c>
      <x:c r="AD151" s="8" t="n">
        <x:f>H151*IF(AND(OR(AB150/AE150&gt;=v01_FissionTrigger*N151,AC151=1),AB150/AE150*v01_DaughterShare&gt;=v01_MinDaughter),MAX(1,ROUND(AE150*v01_FissionRate,0)),0)</x:f>
        <x:v>0</x:v>
      </x:c>
      <x:c r="AE151" s="8" t="n">
        <x:f>IF(H151=1,MAX(1,MIN(INDEX(v01_Smax,G151),AE150+AD151)),AE150)</x:f>
        <x:v>1</x:v>
      </x:c>
      <x:c r="AF151" s="8" t="n">
        <x:f>MAX(0,AE151-AE150)</x:f>
        <x:v>0</x:v>
      </x:c>
      <x:c r="AG151" s="9" t="str">
        <x:f>IF(AF151&gt;0,B151,"")</x:f>
      </x:c>
      <x:c r="AH151" s="9" t="n">
        <x:f>IF(F151&gt;=1,1,(1+v01_LowTiesShare*(AE151-1))/AE151)</x:f>
        <x:v>1</x:v>
      </x:c>
      <x:c r="AI151" s="32" t="n">
        <x:f>(Z151+v01_ElderCommons*INDEX(LM_Elder,G151)*AA151)*AH151</x:f>
        <x:v>12.514564391850326</x:v>
      </x:c>
      <x:c r="AJ151" s="32" t="n">
        <x:f>H151*v01_CommonsCoef*AI151^v01_CommonsExp*INDEX(LM_Commons,G151)</x:f>
        <x:v>5.390772070382929</x:v>
      </x:c>
      <x:c r="AK151" s="32" t="n">
        <x:f>H151*v01_RoleScale*Arch_Roles*(AE151*(INDEX(v01_ElderRolePerSett,G151)*v01_OutElder*INDEX(LM_Elder,G151)+INDEX(v01_ShamanPerSett,G151)*v01_OutShaman)+Z151*(INDEX(v01_PriestShare,G151)*v01_OutPriest+INDEX(v01_ScribeShare,G151)*v01_OutScribe*INDEX(LM_Scribe,G151)+INDEX(v01_ScholarShare,G151)*v01_OutScholar*INDEX(LM_Scholar,G151)+INDEX(v01_ResearcherShare,G151)*v01_OutResearcher*INDEX(LM_Researcher,G151)))</x:f>
        <x:v>0</x:v>
      </x:c>
      <x:c r="AL151" s="32" t="n">
        <x:f>H151*v01_RoleScale*Arch_Roles*AE151*INDEX(v01_MonasteryPerSett,G151)*v01_OutMonastery*INDEX(LM_Monastery,G151)</x:f>
        <x:v>0</x:v>
      </x:c>
      <x:c r="AM151" s="32" t="n">
        <x:f>(AJ151+AK151+AL151)/4*INDEX(LM_All,G151)*INDEX(v01_Boon,G151)*Arch_Insight</x:f>
        <x:v>1.3476930175957322</x:v>
      </x:c>
      <x:c r="AN151" s="32" t="n">
        <x:f>H151*(v01_KHPerAdult*Z151+v01_KHOfCommons*AJ151/4*INDEX(LM_All,G151))*v01_KHUsable*Arch_KH</x:f>
        <x:v>0.29381044691006764</x:v>
      </x:c>
      <x:c r="AO151" s="32" t="n">
        <x:f>MIN(AP150+AN151,AM151*v01_KHMaxRatio)</x:f>
        <x:v>0.29381044691006764</x:v>
      </x:c>
      <x:c r="AP151" s="32" t="n">
        <x:f>AP150+AN151-AO151</x:f>
        <x:v>0</x:v>
      </x:c>
      <x:c r="AQ151" s="32" t="n">
        <x:f>AM151+AO151</x:f>
        <x:v>1.6415034645057998</x:v>
      </x:c>
      <x:c r="AR151" s="10" t="n">
        <x:f>IF(H151=1,INDEX(v01_Req,G151),0)</x:f>
        <x:v>372.02</x:v>
      </x:c>
      <x:c r="AS151" s="32" t="n">
        <x:f>IF(H151=1,IF(E151=1,AS150-AR150,AS150)+AQ151,0)</x:f>
        <x:v>226.7348093126446</x:v>
      </x:c>
      <x:c r="AT151" s="11" t="n">
        <x:f>IF(AR151&gt;0,MIN(1,AS151/AR151),1)</x:f>
        <x:v>0.6094694083991307</x:v>
      </x:c>
      <x:c r="AU151" s="10" t="n">
        <x:f>AB151/INDEX(v01_RepScale,G151)</x:f>
        <x:v>16.934328469416524</x:v>
      </x:c>
      <x:c r="AV151" s="32" t="n">
        <x:f>AM151*60/v01_SeasonSeconds</x:f>
        <x:v>5.390772070382929</x:v>
      </x:c>
    </x:row>
    <x:row r="152">
      <x:c r="A152" s="8" t="n">
        <x:f>A151+1</x:f>
        <x:v>149</x:v>
      </x:c>
      <x:c r="B152" s="9" t="n">
        <x:f>A152*v01_SeasonSeconds/60</x:f>
        <x:v>37.25</x:v>
      </x:c>
      <x:c r="C152" s="9" t="n">
        <x:f>A152/4</x:f>
        <x:v>37.25</x:v>
      </x:c>
      <x:c r="D152" s="8" t="n">
        <x:f>IF(MOD(A152,4)=0,1,0)</x:f>
        <x:v>0</x:v>
      </x:c>
      <x:c r="E152" s="8" t="n">
        <x:f>IF(AND(F151&lt;=9,AS151&gt;=AR151),1,0)</x:f>
        <x:v>0</x:v>
      </x:c>
      <x:c r="F152" s="8" t="n">
        <x:f>MIN(10,F151+E152)</x:f>
        <x:v>0</x:v>
      </x:c>
      <x:c r="G152" s="8" t="n">
        <x:f>MIN(F152,9)+1</x:f>
        <x:v>1</x:v>
      </x:c>
      <x:c r="H152" s="8" t="n">
        <x:f>IF(F152&lt;=9,1,0)</x:f>
        <x:v>1</x:v>
      </x:c>
      <x:c r="I152" s="9" t="n">
        <x:f>MIN(10,F151+IF(AR151&gt;0,MIN(1,AS151/AR151),1))</x:f>
        <x:v>0.6094694083991307</x:v>
      </x:c>
      <x:c r="J152" s="32" t="n">
        <x:f>INDEX(v01_FoodCap,G152)*Arch_FoodCap*EXP(v01_CapsByProject*SUMPRODUCT((Cap_Point&lt;=I152)*(Cap_Kind="Food")*Cap_Ln))</x:f>
        <x:v>22</x:v>
      </x:c>
      <x:c r="K152" s="32" t="n">
        <x:f>J152*MIN(1,v01_LeanBase*EXP(v01_CapsByProject*SUMPRODUCT((Cap_Point&lt;=I152)*(Cap_Kind="Lean")*Cap_Ln)))</x:f>
        <x:v>22</x:v>
      </x:c>
      <x:c r="L152" s="10" t="n">
        <x:f>INDEX(v01_HousingCap,G152)*EXP(v01_CapsByProject*SUMPRODUCT((Cap_Point&lt;=I152)*(Cap_Kind="Housing")*Cap_Ln))</x:f>
        <x:v>60</x:v>
      </x:c>
      <x:c r="M152" s="10" t="n">
        <x:f>INDEX(v01_GroupCap,G152)*v01_CohesionFactor*EXP(v01_CapsByProject*SUMPRODUCT((Cap_Point&lt;=I152)*(Cap_Kind="Group")*Cap_Ln))</x:f>
        <x:v>35</x:v>
      </x:c>
      <x:c r="N152" s="32" t="n">
        <x:f>MIN(J152,L152,M152)</x:f>
        <x:v>22</x:v>
      </x:c>
      <x:c r="O152" s="10" t="n">
        <x:f>AE151*N152</x:f>
        <x:v>22</x:v>
      </x:c>
      <x:c r="P152" s="9" t="n">
        <x:f>MIN(1,(AB151/(AE151*IF(v01_GroupInCrowding=1,N152,MIN(J152,L152))))^v01_CrowdingExp)</x:f>
        <x:v>0.20800405012013976</x:v>
      </x:c>
      <x:c r="Q152" s="9" t="n">
        <x:f>IF(D152=1,INDEX(v01_WinterMult,G152),1)</x:f>
        <x:v>1</x:v>
      </x:c>
      <x:c r="R152" s="9" t="n">
        <x:f>H152*Z151*v01_WomenShare*v01_BaseFertility*INDEX(v01_FertMult,G152)*Arch_Fertility*(1-P152)</x:f>
        <x:v>0.19945430055871305</x:v>
      </x:c>
      <x:c r="S152" s="9" t="n">
        <x:f>H152*Y151*INDEX(v01_MortChild,G152)/4*Q152</x:f>
        <x:v>0.06479754174776108</x:v>
      </x:c>
      <x:c r="T152" s="9" t="n">
        <x:f>H152*Z151*INDEX(v01_MortAdult,G152)*Arch_AdultMort/4*Q152</x:f>
        <x:v>0.031479690740364386</x:v>
      </x:c>
      <x:c r="U152" s="9" t="n">
        <x:f>H152*AA151*INDEX(v01_MortElder,G152)/4*Q152</x:f>
        <x:v>0.051499752430247785</x:v>
      </x:c>
      <x:c r="V152" s="9" t="n">
        <x:f>H152*MAX(0,AB151-O152)*v01_OvercapLoss</x:f>
        <x:v>0</x:v>
      </x:c>
      <x:c r="W152" s="9" t="n">
        <x:f>H152*Y151/(v01_ChildYears*4)</x:f>
        <x:v>0.11570989597814477</x:v>
      </x:c>
      <x:c r="X152" s="9" t="n">
        <x:f>H152*Z151/(v01_AdultYears*4)</x:f>
        <x:v>0.06769825965669761</x:v>
      </x:c>
      <x:c r="Y152" s="32" t="n">
        <x:f>Y151+R152-S152-W152-Y151*V152/AB151</x:f>
        <x:v>6.498701037608915</x:v>
      </x:c>
      <x:c r="Z152" s="32" t="n">
        <x:f>Z151+W152-X152-T152-Z151*V152/AB151</x:f>
        <x:v>8.411116143011586</x:v>
      </x:c>
      <x:c r="AA152" s="32" t="n">
        <x:f>AA151+X152-U152-AA151*V152/AB151</x:f>
        <x:v>2.076188604436361</x:v>
      </x:c>
      <x:c r="AB152" s="10" t="n">
        <x:f>Y152+Z152+AA152</x:f>
        <x:v>16.98600578505686</x:v>
      </x:c>
      <x:c r="AC152" s="8" t="n">
        <x:f>IF(AND(v01_WinterTrigger=1,D152=1,AB151/AE151&gt;=K152),1,0)</x:f>
        <x:v>0</x:v>
      </x:c>
      <x:c r="AD152" s="8" t="n">
        <x:f>H152*IF(AND(OR(AB151/AE151&gt;=v01_FissionTrigger*N152,AC152=1),AB151/AE151*v01_DaughterShare&gt;=v01_MinDaughter),MAX(1,ROUND(AE151*v01_FissionRate,0)),0)</x:f>
        <x:v>0</x:v>
      </x:c>
      <x:c r="AE152" s="8" t="n">
        <x:f>IF(H152=1,MAX(1,MIN(INDEX(v01_Smax,G152),AE151+AD152)),AE151)</x:f>
        <x:v>1</x:v>
      </x:c>
      <x:c r="AF152" s="8" t="n">
        <x:f>MAX(0,AE152-AE151)</x:f>
        <x:v>0</x:v>
      </x:c>
      <x:c r="AG152" s="9" t="str">
        <x:f>IF(AF152&gt;0,B152,"")</x:f>
      </x:c>
      <x:c r="AH152" s="9" t="n">
        <x:f>IF(F152&gt;=1,1,(1+v01_LowTiesShare*(AE152-1))/AE152)</x:f>
        <x:v>1</x:v>
      </x:c>
      <x:c r="AI152" s="32" t="n">
        <x:f>(Z152+v01_ElderCommons*INDEX(LM_Elder,G152)*AA152)*AH152</x:f>
        <x:v>12.563493351884308</x:v>
      </x:c>
      <x:c r="AJ152" s="32" t="n">
        <x:f>H152*v01_CommonsCoef*AI152^v01_CommonsExp*INDEX(LM_Commons,G152)</x:f>
        <x:v>5.408681962340419</x:v>
      </x:c>
      <x:c r="AK152" s="32" t="n">
        <x:f>H152*v01_RoleScale*Arch_Roles*(AE152*(INDEX(v01_ElderRolePerSett,G152)*v01_OutElder*INDEX(LM_Elder,G152)+INDEX(v01_ShamanPerSett,G152)*v01_OutShaman)+Z152*(INDEX(v01_PriestShare,G152)*v01_OutPriest+INDEX(v01_ScribeShare,G152)*v01_OutScribe*INDEX(LM_Scribe,G152)+INDEX(v01_ScholarShare,G152)*v01_OutScholar*INDEX(LM_Scholar,G152)+INDEX(v01_ResearcherShare,G152)*v01_OutResearcher*INDEX(LM_Researcher,G152)))</x:f>
        <x:v>0</x:v>
      </x:c>
      <x:c r="AL152" s="32" t="n">
        <x:f>H152*v01_RoleScale*Arch_Roles*AE152*INDEX(v01_MonasteryPerSett,G152)*v01_OutMonastery*INDEX(LM_Monastery,G152)</x:f>
        <x:v>0</x:v>
      </x:c>
      <x:c r="AM152" s="32" t="n">
        <x:f>(AJ152+AK152+AL152)/4*INDEX(LM_All,G152)*INDEX(v01_Boon,G152)*Arch_Insight</x:f>
        <x:v>1.3521704905851049</x:v>
      </x:c>
      <x:c r="AN152" s="32" t="n">
        <x:f>H152*(v01_KHPerAdult*Z152+v01_KHOfCommons*AJ152/4*INDEX(LM_All,G152))*v01_KHUsable*Arch_KH</x:f>
        <x:v>0.2943890650054055</x:v>
      </x:c>
      <x:c r="AO152" s="32" t="n">
        <x:f>MIN(AP151+AN152,AM152*v01_KHMaxRatio)</x:f>
        <x:v>0.2943890650054055</x:v>
      </x:c>
      <x:c r="AP152" s="32" t="n">
        <x:f>AP151+AN152-AO152</x:f>
        <x:v>0</x:v>
      </x:c>
      <x:c r="AQ152" s="32" t="n">
        <x:f>AM152+AO152</x:f>
        <x:v>1.6465595555905104</x:v>
      </x:c>
      <x:c r="AR152" s="10" t="n">
        <x:f>IF(H152=1,INDEX(v01_Req,G152),0)</x:f>
        <x:v>372.02</x:v>
      </x:c>
      <x:c r="AS152" s="32" t="n">
        <x:f>IF(H152=1,IF(E152=1,AS151-AR151,AS151)+AQ152,0)</x:f>
        <x:v>228.38136886823509</x:v>
      </x:c>
      <x:c r="AT152" s="11" t="n">
        <x:f>IF(AR152&gt;0,MIN(1,AS152/AR152),1)</x:f>
        <x:v>0.6138954058067714</x:v>
      </x:c>
      <x:c r="AU152" s="10" t="n">
        <x:f>AB152/INDEX(v01_RepScale,G152)</x:f>
        <x:v>16.98600578505686</x:v>
      </x:c>
      <x:c r="AV152" s="32" t="n">
        <x:f>AM152*60/v01_SeasonSeconds</x:f>
        <x:v>5.408681962340419</x:v>
      </x:c>
    </x:row>
    <x:row r="153">
      <x:c r="A153" s="8" t="n">
        <x:f>A152+1</x:f>
        <x:v>150</x:v>
      </x:c>
      <x:c r="B153" s="9" t="n">
        <x:f>A153*v01_SeasonSeconds/60</x:f>
        <x:v>37.5</x:v>
      </x:c>
      <x:c r="C153" s="9" t="n">
        <x:f>A153/4</x:f>
        <x:v>37.5</x:v>
      </x:c>
      <x:c r="D153" s="8" t="n">
        <x:f>IF(MOD(A153,4)=0,1,0)</x:f>
        <x:v>0</x:v>
      </x:c>
      <x:c r="E153" s="8" t="n">
        <x:f>IF(AND(F152&lt;=9,AS152&gt;=AR152),1,0)</x:f>
        <x:v>0</x:v>
      </x:c>
      <x:c r="F153" s="8" t="n">
        <x:f>MIN(10,F152+E153)</x:f>
        <x:v>0</x:v>
      </x:c>
      <x:c r="G153" s="8" t="n">
        <x:f>MIN(F153,9)+1</x:f>
        <x:v>1</x:v>
      </x:c>
      <x:c r="H153" s="8" t="n">
        <x:f>IF(F153&lt;=9,1,0)</x:f>
        <x:v>1</x:v>
      </x:c>
      <x:c r="I153" s="9" t="n">
        <x:f>MIN(10,F152+IF(AR152&gt;0,MIN(1,AS152/AR152),1))</x:f>
        <x:v>0.6138954058067714</x:v>
      </x:c>
      <x:c r="J153" s="32" t="n">
        <x:f>INDEX(v01_FoodCap,G153)*Arch_FoodCap*EXP(v01_CapsByProject*SUMPRODUCT((Cap_Point&lt;=I153)*(Cap_Kind="Food")*Cap_Ln))</x:f>
        <x:v>22</x:v>
      </x:c>
      <x:c r="K153" s="32" t="n">
        <x:f>J153*MIN(1,v01_LeanBase*EXP(v01_CapsByProject*SUMPRODUCT((Cap_Point&lt;=I153)*(Cap_Kind="Lean")*Cap_Ln)))</x:f>
        <x:v>22</x:v>
      </x:c>
      <x:c r="L153" s="10" t="n">
        <x:f>INDEX(v01_HousingCap,G153)*EXP(v01_CapsByProject*SUMPRODUCT((Cap_Point&lt;=I153)*(Cap_Kind="Housing")*Cap_Ln))</x:f>
        <x:v>60</x:v>
      </x:c>
      <x:c r="M153" s="10" t="n">
        <x:f>INDEX(v01_GroupCap,G153)*v01_CohesionFactor*EXP(v01_CapsByProject*SUMPRODUCT((Cap_Point&lt;=I153)*(Cap_Kind="Group")*Cap_Ln))</x:f>
        <x:v>35</x:v>
      </x:c>
      <x:c r="N153" s="32" t="n">
        <x:f>MIN(J153,L153,M153)</x:f>
        <x:v>22</x:v>
      </x:c>
      <x:c r="O153" s="10" t="n">
        <x:f>AE152*N153</x:f>
        <x:v>22</x:v>
      </x:c>
      <x:c r="P153" s="9" t="n">
        <x:f>MIN(1,(AB152/(AE152*IF(v01_GroupInCrowding=1,N153,MIN(J153,L153))))^v01_CrowdingExp)</x:f>
        <x:v>0.2118417332179493</x:v>
      </x:c>
      <x:c r="Q153" s="9" t="n">
        <x:f>IF(D153=1,INDEX(v01_WinterMult,G153),1)</x:f>
        <x:v>1</x:v>
      </x:c>
      <x:c r="R153" s="9" t="n">
        <x:f>H153*Z152*v01_WomenShare*v01_BaseFertility*INDEX(v01_FertMult,G153)*Arch_Fertility*(1-P153)</x:f>
        <x:v>0.19887872162935616</x:v>
      </x:c>
      <x:c r="S153" s="9" t="n">
        <x:f>H153*Y152*INDEX(v01_MortChild,G153)/4*Q153</x:f>
        <x:v>0.06498701037608914</x:v>
      </x:c>
      <x:c r="T153" s="9" t="n">
        <x:f>H153*Z152*INDEX(v01_MortAdult,G153)*Arch_AdultMort/4*Q153</x:f>
        <x:v>0.03154168553629345</x:v>
      </x:c>
      <x:c r="U153" s="9" t="n">
        <x:f>H153*AA152*INDEX(v01_MortElder,G153)/4*Q153</x:f>
        <x:v>0.05190471511090903</x:v>
      </x:c>
      <x:c r="V153" s="9" t="n">
        <x:f>H153*MAX(0,AB152-O153)*v01_OvercapLoss</x:f>
        <x:v>0</x:v>
      </x:c>
      <x:c r="W153" s="9" t="n">
        <x:f>H153*Y152/(v01_ChildYears*4)</x:f>
        <x:v>0.1160482328144449</x:v>
      </x:c>
      <x:c r="X153" s="9" t="n">
        <x:f>H153*Z152/(v01_AdultYears*4)</x:f>
        <x:v>0.06783158179848053</x:v>
      </x:c>
      <x:c r="Y153" s="32" t="n">
        <x:f>Y152+R153-S153-W153-Y152*V153/AB152</x:f>
        <x:v>6.516544516047737</x:v>
      </x:c>
      <x:c r="Z153" s="32" t="n">
        <x:f>Z152+W153-X153-T153-Z152*V153/AB152</x:f>
        <x:v>8.427791108491256</x:v>
      </x:c>
      <x:c r="AA153" s="32" t="n">
        <x:f>AA152+X153-U153-AA152*V153/AB152</x:f>
        <x:v>2.0921154711239325</x:v>
      </x:c>
      <x:c r="AB153" s="10" t="n">
        <x:f>Y153+Z153+AA153</x:f>
        <x:v>17.036451095662926</x:v>
      </x:c>
      <x:c r="AC153" s="8" t="n">
        <x:f>IF(AND(v01_WinterTrigger=1,D153=1,AB152/AE152&gt;=K153),1,0)</x:f>
        <x:v>0</x:v>
      </x:c>
      <x:c r="AD153" s="8" t="n">
        <x:f>H153*IF(AND(OR(AB152/AE152&gt;=v01_FissionTrigger*N153,AC153=1),AB152/AE152*v01_DaughterShare&gt;=v01_MinDaughter),MAX(1,ROUND(AE152*v01_FissionRate,0)),0)</x:f>
        <x:v>0</x:v>
      </x:c>
      <x:c r="AE153" s="8" t="n">
        <x:f>IF(H153=1,MAX(1,MIN(INDEX(v01_Smax,G153),AE152+AD153)),AE152)</x:f>
        <x:v>1</x:v>
      </x:c>
      <x:c r="AF153" s="8" t="n">
        <x:f>MAX(0,AE153-AE152)</x:f>
        <x:v>0</x:v>
      </x:c>
      <x:c r="AG153" s="9" t="str">
        <x:f>IF(AF153&gt;0,B153,"")</x:f>
      </x:c>
      <x:c r="AH153" s="9" t="n">
        <x:f>IF(F153&gt;=1,1,(1+v01_LowTiesShare*(AE153-1))/AE153)</x:f>
        <x:v>1</x:v>
      </x:c>
      <x:c r="AI153" s="32" t="n">
        <x:f>(Z153+v01_ElderCommons*INDEX(LM_Elder,G153)*AA153)*AH153</x:f>
        <x:v>12.612022050739121</x:v>
      </x:c>
      <x:c r="AJ153" s="32" t="n">
        <x:f>H153*v01_CommonsCoef*AI153^v01_CommonsExp*INDEX(LM_Commons,G153)</x:f>
        <x:v>5.426435011517215</x:v>
      </x:c>
      <x:c r="AK153" s="32" t="n">
        <x:f>H153*v01_RoleScale*Arch_Roles*(AE153*(INDEX(v01_ElderRolePerSett,G153)*v01_OutElder*INDEX(LM_Elder,G153)+INDEX(v01_ShamanPerSett,G153)*v01_OutShaman)+Z153*(INDEX(v01_PriestShare,G153)*v01_OutPriest+INDEX(v01_ScribeShare,G153)*v01_OutScribe*INDEX(LM_Scribe,G153)+INDEX(v01_ScholarShare,G153)*v01_OutScholar*INDEX(LM_Scholar,G153)+INDEX(v01_ResearcherShare,G153)*v01_OutResearcher*INDEX(LM_Researcher,G153)))</x:f>
        <x:v>0</x:v>
      </x:c>
      <x:c r="AL153" s="32" t="n">
        <x:f>H153*v01_RoleScale*Arch_Roles*AE153*INDEX(v01_MonasteryPerSett,G153)*v01_OutMonastery*INDEX(LM_Monastery,G153)</x:f>
        <x:v>0</x:v>
      </x:c>
      <x:c r="AM153" s="32" t="n">
        <x:f>(AJ153+AK153+AL153)/4*INDEX(LM_All,G153)*INDEX(v01_Boon,G153)*Arch_Insight</x:f>
        <x:v>1.3566087528793038</x:v>
      </x:c>
      <x:c r="AN153" s="32" t="n">
        <x:f>H153*(v01_KHPerAdult*Z153+v01_KHOfCommons*AJ153/4*INDEX(LM_All,G153))*v01_KHUsable*Arch_KH</x:f>
        <x:v>0.29497268879719396</x:v>
      </x:c>
      <x:c r="AO153" s="32" t="n">
        <x:f>MIN(AP152+AN153,AM153*v01_KHMaxRatio)</x:f>
        <x:v>0.29497268879719396</x:v>
      </x:c>
      <x:c r="AP153" s="32" t="n">
        <x:f>AP152+AN153-AO153</x:f>
        <x:v>0</x:v>
      </x:c>
      <x:c r="AQ153" s="32" t="n">
        <x:f>AM153+AO153</x:f>
        <x:v>1.6515814416764978</x:v>
      </x:c>
      <x:c r="AR153" s="10" t="n">
        <x:f>IF(H153=1,INDEX(v01_Req,G153),0)</x:f>
        <x:v>372.02</x:v>
      </x:c>
      <x:c r="AS153" s="32" t="n">
        <x:f>IF(H153=1,IF(E153=1,AS152-AR152,AS152)+AQ153,0)</x:f>
        <x:v>230.03295030991157</x:v>
      </x:c>
      <x:c r="AT153" s="11" t="n">
        <x:f>IF(AR153&gt;0,MIN(1,AS153/AR153),1)</x:f>
        <x:v>0.6183349021824407</x:v>
      </x:c>
      <x:c r="AU153" s="10" t="n">
        <x:f>AB153/INDEX(v01_RepScale,G153)</x:f>
        <x:v>17.036451095662926</x:v>
      </x:c>
      <x:c r="AV153" s="32" t="n">
        <x:f>AM153*60/v01_SeasonSeconds</x:f>
        <x:v>5.426435011517215</x:v>
      </x:c>
    </x:row>
    <x:row r="154">
      <x:c r="A154" s="8" t="n">
        <x:f>A153+1</x:f>
        <x:v>151</x:v>
      </x:c>
      <x:c r="B154" s="9" t="n">
        <x:f>A154*v01_SeasonSeconds/60</x:f>
        <x:v>37.75</x:v>
      </x:c>
      <x:c r="C154" s="9" t="n">
        <x:f>A154/4</x:f>
        <x:v>37.75</x:v>
      </x:c>
      <x:c r="D154" s="8" t="n">
        <x:f>IF(MOD(A154,4)=0,1,0)</x:f>
        <x:v>0</x:v>
      </x:c>
      <x:c r="E154" s="8" t="n">
        <x:f>IF(AND(F153&lt;=9,AS153&gt;=AR153),1,0)</x:f>
        <x:v>0</x:v>
      </x:c>
      <x:c r="F154" s="8" t="n">
        <x:f>MIN(10,F153+E154)</x:f>
        <x:v>0</x:v>
      </x:c>
      <x:c r="G154" s="8" t="n">
        <x:f>MIN(F154,9)+1</x:f>
        <x:v>1</x:v>
      </x:c>
      <x:c r="H154" s="8" t="n">
        <x:f>IF(F154&lt;=9,1,0)</x:f>
        <x:v>1</x:v>
      </x:c>
      <x:c r="I154" s="9" t="n">
        <x:f>MIN(10,F153+IF(AR153&gt;0,MIN(1,AS153/AR153),1))</x:f>
        <x:v>0.6183349021824407</x:v>
      </x:c>
      <x:c r="J154" s="32" t="n">
        <x:f>INDEX(v01_FoodCap,G154)*Arch_FoodCap*EXP(v01_CapsByProject*SUMPRODUCT((Cap_Point&lt;=I154)*(Cap_Kind="Food")*Cap_Ln))</x:f>
        <x:v>22</x:v>
      </x:c>
      <x:c r="K154" s="32" t="n">
        <x:f>J154*MIN(1,v01_LeanBase*EXP(v01_CapsByProject*SUMPRODUCT((Cap_Point&lt;=I154)*(Cap_Kind="Lean")*Cap_Ln)))</x:f>
        <x:v>22</x:v>
      </x:c>
      <x:c r="L154" s="10" t="n">
        <x:f>INDEX(v01_HousingCap,G154)*EXP(v01_CapsByProject*SUMPRODUCT((Cap_Point&lt;=I154)*(Cap_Kind="Housing")*Cap_Ln))</x:f>
        <x:v>60</x:v>
      </x:c>
      <x:c r="M154" s="10" t="n">
        <x:f>INDEX(v01_GroupCap,G154)*v01_CohesionFactor*EXP(v01_CapsByProject*SUMPRODUCT((Cap_Point&lt;=I154)*(Cap_Kind="Group")*Cap_Ln))</x:f>
        <x:v>35</x:v>
      </x:c>
      <x:c r="N154" s="32" t="n">
        <x:f>MIN(J154,L154,M154)</x:f>
        <x:v>22</x:v>
      </x:c>
      <x:c r="O154" s="10" t="n">
        <x:f>AE153*N154</x:f>
        <x:v>22</x:v>
      </x:c>
      <x:c r="P154" s="9" t="n">
        <x:f>MIN(1,(AB153/(AE153*IF(v01_GroupInCrowding=1,N154,MIN(J154,L154))))^v01_CrowdingExp)</x:f>
        <x:v>0.2156446562152545</x:v>
      </x:c>
      <x:c r="Q154" s="9" t="n">
        <x:f>IF(D154=1,INDEX(v01_WinterMult,G154),1)</x:f>
        <x:v>1</x:v>
      </x:c>
      <x:c r="R154" s="9" t="n">
        <x:f>H154*Z153*v01_WomenShare*v01_BaseFertility*INDEX(v01_FertMult,G154)*Arch_Fertility*(1-P154)</x:f>
        <x:v>0.1983114897674004</x:v>
      </x:c>
      <x:c r="S154" s="9" t="n">
        <x:f>H154*Y153*INDEX(v01_MortChild,G154)/4*Q154</x:f>
        <x:v>0.06516544516047737</x:v>
      </x:c>
      <x:c r="T154" s="9" t="n">
        <x:f>H154*Z153*INDEX(v01_MortAdult,G154)*Arch_AdultMort/4*Q154</x:f>
        <x:v>0.03160421665684221</x:v>
      </x:c>
      <x:c r="U154" s="9" t="n">
        <x:f>H154*AA153*INDEX(v01_MortElder,G154)/4*Q154</x:f>
        <x:v>0.052302886778098315</x:v>
      </x:c>
      <x:c r="V154" s="9" t="n">
        <x:f>H154*MAX(0,AB153-O154)*v01_OvercapLoss</x:f>
        <x:v>0</x:v>
      </x:c>
      <x:c r="W154" s="9" t="n">
        <x:f>H154*Y153/(v01_ChildYears*4)</x:f>
        <x:v>0.1163668663579953</x:v>
      </x:c>
      <x:c r="X154" s="9" t="n">
        <x:f>H154*Z153/(v01_AdultYears*4)</x:f>
        <x:v>0.06796605732654239</x:v>
      </x:c>
      <x:c r="Y154" s="32" t="n">
        <x:f>Y153+R154-S154-W154-Y153*V154/AB153</x:f>
        <x:v>6.533323694296664</x:v>
      </x:c>
      <x:c r="Z154" s="32" t="n">
        <x:f>Z153+W154-X154-T154-Z153*V154/AB153</x:f>
        <x:v>8.444587700865867</x:v>
      </x:c>
      <x:c r="AA154" s="32" t="n">
        <x:f>AA153+X154-U154-AA153*V154/AB153</x:f>
        <x:v>2.1077786416723767</x:v>
      </x:c>
      <x:c r="AB154" s="10" t="n">
        <x:f>Y154+Z154+AA154</x:f>
        <x:v>17.085690036834908</x:v>
      </x:c>
      <x:c r="AC154" s="8" t="n">
        <x:f>IF(AND(v01_WinterTrigger=1,D154=1,AB153/AE153&gt;=K154),1,0)</x:f>
        <x:v>0</x:v>
      </x:c>
      <x:c r="AD154" s="8" t="n">
        <x:f>H154*IF(AND(OR(AB153/AE153&gt;=v01_FissionTrigger*N154,AC154=1),AB153/AE153*v01_DaughterShare&gt;=v01_MinDaughter),MAX(1,ROUND(AE153*v01_FissionRate,0)),0)</x:f>
        <x:v>0</x:v>
      </x:c>
      <x:c r="AE154" s="8" t="n">
        <x:f>IF(H154=1,MAX(1,MIN(INDEX(v01_Smax,G154),AE153+AD154)),AE153)</x:f>
        <x:v>1</x:v>
      </x:c>
      <x:c r="AF154" s="8" t="n">
        <x:f>MAX(0,AE154-AE153)</x:f>
        <x:v>0</x:v>
      </x:c>
      <x:c r="AG154" s="9" t="str">
        <x:f>IF(AF154&gt;0,B154,"")</x:f>
      </x:c>
      <x:c r="AH154" s="9" t="n">
        <x:f>IF(F154&gt;=1,1,(1+v01_LowTiesShare*(AE154-1))/AE154)</x:f>
        <x:v>1</x:v>
      </x:c>
      <x:c r="AI154" s="32" t="n">
        <x:f>(Z154+v01_ElderCommons*INDEX(LM_Elder,G154)*AA154)*AH154</x:f>
        <x:v>12.660144984210621</x:v>
      </x:c>
      <x:c r="AJ154" s="32" t="n">
        <x:f>H154*v01_CommonsCoef*AI154^v01_CommonsExp*INDEX(LM_Commons,G154)</x:f>
        <x:v>5.4440295056169274</x:v>
      </x:c>
      <x:c r="AK154" s="32" t="n">
        <x:f>H154*v01_RoleScale*Arch_Roles*(AE154*(INDEX(v01_ElderRolePerSett,G154)*v01_OutElder*INDEX(LM_Elder,G154)+INDEX(v01_ShamanPerSett,G154)*v01_OutShaman)+Z154*(INDEX(v01_PriestShare,G154)*v01_OutPriest+INDEX(v01_ScribeShare,G154)*v01_OutScribe*INDEX(LM_Scribe,G154)+INDEX(v01_ScholarShare,G154)*v01_OutScholar*INDEX(LM_Scholar,G154)+INDEX(v01_ResearcherShare,G154)*v01_OutResearcher*INDEX(LM_Researcher,G154)))</x:f>
        <x:v>0</x:v>
      </x:c>
      <x:c r="AL154" s="32" t="n">
        <x:f>H154*v01_RoleScale*Arch_Roles*AE154*INDEX(v01_MonasteryPerSett,G154)*v01_OutMonastery*INDEX(LM_Monastery,G154)</x:f>
        <x:v>0</x:v>
      </x:c>
      <x:c r="AM154" s="32" t="n">
        <x:f>(AJ154+AK154+AL154)/4*INDEX(LM_All,G154)*INDEX(v01_Boon,G154)*Arch_Insight</x:f>
        <x:v>1.3610073764042319</x:v>
      </x:c>
      <x:c r="AN154" s="32" t="n">
        <x:f>H154*(v01_KHPerAdult*Z154+v01_KHOfCommons*AJ154/4*INDEX(LM_All,G154))*v01_KHUsable*Arch_KH</x:f>
        <x:v>0.29556056953030535</x:v>
      </x:c>
      <x:c r="AO154" s="32" t="n">
        <x:f>MIN(AP153+AN154,AM154*v01_KHMaxRatio)</x:f>
        <x:v>0.29556056953030535</x:v>
      </x:c>
      <x:c r="AP154" s="32" t="n">
        <x:f>AP153+AN154-AO154</x:f>
        <x:v>0</x:v>
      </x:c>
      <x:c r="AQ154" s="32" t="n">
        <x:f>AM154+AO154</x:f>
        <x:v>1.6565679459345373</x:v>
      </x:c>
      <x:c r="AR154" s="10" t="n">
        <x:f>IF(H154=1,INDEX(v01_Req,G154),0)</x:f>
        <x:v>372.02</x:v>
      </x:c>
      <x:c r="AS154" s="32" t="n">
        <x:f>IF(H154=1,IF(E154=1,AS153-AR153,AS153)+AQ154,0)</x:f>
        <x:v>231.6895182558461</x:v>
      </x:c>
      <x:c r="AT154" s="11" t="n">
        <x:f>IF(AR154&gt;0,MIN(1,AS154/AR154),1)</x:f>
        <x:v>0.6227878024188112</x:v>
      </x:c>
      <x:c r="AU154" s="10" t="n">
        <x:f>AB154/INDEX(v01_RepScale,G154)</x:f>
        <x:v>17.085690036834908</x:v>
      </x:c>
      <x:c r="AV154" s="32" t="n">
        <x:f>AM154*60/v01_SeasonSeconds</x:f>
        <x:v>5.4440295056169274</x:v>
      </x:c>
    </x:row>
    <x:row r="155">
      <x:c r="A155" s="8" t="n">
        <x:f>A154+1</x:f>
        <x:v>152</x:v>
      </x:c>
      <x:c r="B155" s="9" t="n">
        <x:f>A155*v01_SeasonSeconds/60</x:f>
        <x:v>38</x:v>
      </x:c>
      <x:c r="C155" s="9" t="n">
        <x:f>A155/4</x:f>
        <x:v>38</x:v>
      </x:c>
      <x:c r="D155" s="8" t="n">
        <x:f>IF(MOD(A155,4)=0,1,0)</x:f>
        <x:v>1</x:v>
      </x:c>
      <x:c r="E155" s="8" t="n">
        <x:f>IF(AND(F154&lt;=9,AS154&gt;=AR154),1,0)</x:f>
        <x:v>0</x:v>
      </x:c>
      <x:c r="F155" s="8" t="n">
        <x:f>MIN(10,F154+E155)</x:f>
        <x:v>0</x:v>
      </x:c>
      <x:c r="G155" s="8" t="n">
        <x:f>MIN(F155,9)+1</x:f>
        <x:v>1</x:v>
      </x:c>
      <x:c r="H155" s="8" t="n">
        <x:f>IF(F155&lt;=9,1,0)</x:f>
        <x:v>1</x:v>
      </x:c>
      <x:c r="I155" s="9" t="n">
        <x:f>MIN(10,F154+IF(AR154&gt;0,MIN(1,AS154/AR154),1))</x:f>
        <x:v>0.6227878024188112</x:v>
      </x:c>
      <x:c r="J155" s="32" t="n">
        <x:f>INDEX(v01_FoodCap,G155)*Arch_FoodCap*EXP(v01_CapsByProject*SUMPRODUCT((Cap_Point&lt;=I155)*(Cap_Kind="Food")*Cap_Ln))</x:f>
        <x:v>22</x:v>
      </x:c>
      <x:c r="K155" s="32" t="n">
        <x:f>J155*MIN(1,v01_LeanBase*EXP(v01_CapsByProject*SUMPRODUCT((Cap_Point&lt;=I155)*(Cap_Kind="Lean")*Cap_Ln)))</x:f>
        <x:v>22</x:v>
      </x:c>
      <x:c r="L155" s="10" t="n">
        <x:f>INDEX(v01_HousingCap,G155)*EXP(v01_CapsByProject*SUMPRODUCT((Cap_Point&lt;=I155)*(Cap_Kind="Housing")*Cap_Ln))</x:f>
        <x:v>60</x:v>
      </x:c>
      <x:c r="M155" s="10" t="n">
        <x:f>INDEX(v01_GroupCap,G155)*v01_CohesionFactor*EXP(v01_CapsByProject*SUMPRODUCT((Cap_Point&lt;=I155)*(Cap_Kind="Group")*Cap_Ln))</x:f>
        <x:v>35</x:v>
      </x:c>
      <x:c r="N155" s="32" t="n">
        <x:f>MIN(J155,L155,M155)</x:f>
        <x:v>22</x:v>
      </x:c>
      <x:c r="O155" s="10" t="n">
        <x:f>AE154*N155</x:f>
        <x:v>22</x:v>
      </x:c>
      <x:c r="P155" s="9" t="n">
        <x:f>MIN(1,(AB154/(AE154*IF(v01_GroupInCrowding=1,N155,MIN(J155,L155))))^v01_CrowdingExp)</x:f>
        <x:v>0.21941133235961763</x:v>
      </x:c>
      <x:c r="Q155" s="9" t="n">
        <x:f>IF(D155=1,INDEX(v01_WinterMult,G155),1)</x:f>
        <x:v>2</x:v>
      </x:c>
      <x:c r="R155" s="9" t="n">
        <x:f>H155*Z154*v01_WomenShare*v01_BaseFertility*INDEX(v01_FertMult,G155)*Arch_Fertility*(1-P155)</x:f>
        <x:v>0.1977524838657374</x:v>
      </x:c>
      <x:c r="S155" s="9" t="n">
        <x:f>H155*Y154*INDEX(v01_MortChild,G155)/4*Q155</x:f>
        <x:v>0.13066647388593328</x:v>
      </x:c>
      <x:c r="T155" s="9" t="n">
        <x:f>H155*Z154*INDEX(v01_MortAdult,G155)*Arch_AdultMort/4*Q155</x:f>
        <x:v>0.063334407756494</x:v>
      </x:c>
      <x:c r="U155" s="9" t="n">
        <x:f>H155*AA154*INDEX(v01_MortElder,G155)/4*Q155</x:f>
        <x:v>0.10538893208361884</x:v>
      </x:c>
      <x:c r="V155" s="9" t="n">
        <x:f>H155*MAX(0,AB154-O155)*v01_OvercapLoss</x:f>
        <x:v>0</x:v>
      </x:c>
      <x:c r="W155" s="9" t="n">
        <x:f>H155*Y154/(v01_ChildYears*4)</x:f>
        <x:v>0.11666649454101186</x:v>
      </x:c>
      <x:c r="X155" s="9" t="n">
        <x:f>H155*Z154/(v01_AdultYears*4)</x:f>
        <x:v>0.06810151371666022</x:v>
      </x:c>
      <x:c r="Y155" s="32" t="n">
        <x:f>Y154+R155-S155-W155-Y154*V155/AB154</x:f>
        <x:v>6.483743209735456</x:v>
      </x:c>
      <x:c r="Z155" s="32" t="n">
        <x:f>Z154+W155-X155-T155-Z154*V155/AB154</x:f>
        <x:v>8.429818273933723</x:v>
      </x:c>
      <x:c r="AA155" s="32" t="n">
        <x:f>AA154+X155-U155-AA154*V155/AB154</x:f>
        <x:v>2.0704912233054182</x:v>
      </x:c>
      <x:c r="AB155" s="10" t="n">
        <x:f>Y155+Z155+AA155</x:f>
        <x:v>16.984052706974598</x:v>
      </x:c>
      <x:c r="AC155" s="8" t="n">
        <x:f>IF(AND(v01_WinterTrigger=1,D155=1,AB154/AE154&gt;=K155),1,0)</x:f>
        <x:v>0</x:v>
      </x:c>
      <x:c r="AD155" s="8" t="n">
        <x:f>H155*IF(AND(OR(AB154/AE154&gt;=v01_FissionTrigger*N155,AC155=1),AB154/AE154*v01_DaughterShare&gt;=v01_MinDaughter),MAX(1,ROUND(AE154*v01_FissionRate,0)),0)</x:f>
        <x:v>0</x:v>
      </x:c>
      <x:c r="AE155" s="8" t="n">
        <x:f>IF(H155=1,MAX(1,MIN(INDEX(v01_Smax,G155),AE154+AD155)),AE154)</x:f>
        <x:v>1</x:v>
      </x:c>
      <x:c r="AF155" s="8" t="n">
        <x:f>MAX(0,AE155-AE154)</x:f>
        <x:v>0</x:v>
      </x:c>
      <x:c r="AG155" s="9" t="str">
        <x:f>IF(AF155&gt;0,B155,"")</x:f>
      </x:c>
      <x:c r="AH155" s="9" t="n">
        <x:f>IF(F155&gt;=1,1,(1+v01_LowTiesShare*(AE155-1))/AE155)</x:f>
        <x:v>1</x:v>
      </x:c>
      <x:c r="AI155" s="32" t="n">
        <x:f>(Z155+v01_ElderCommons*INDEX(LM_Elder,G155)*AA155)*AH155</x:f>
        <x:v>12.57080072054456</x:v>
      </x:c>
      <x:c r="AJ155" s="32" t="n">
        <x:f>H155*v01_CommonsCoef*AI155^v01_CommonsExp*INDEX(LM_Commons,G155)</x:f>
        <x:v>5.411355843083581</x:v>
      </x:c>
      <x:c r="AK155" s="32" t="n">
        <x:f>H155*v01_RoleScale*Arch_Roles*(AE155*(INDEX(v01_ElderRolePerSett,G155)*v01_OutElder*INDEX(LM_Elder,G155)+INDEX(v01_ShamanPerSett,G155)*v01_OutShaman)+Z155*(INDEX(v01_PriestShare,G155)*v01_OutPriest+INDEX(v01_ScribeShare,G155)*v01_OutScribe*INDEX(LM_Scribe,G155)+INDEX(v01_ScholarShare,G155)*v01_OutScholar*INDEX(LM_Scholar,G155)+INDEX(v01_ResearcherShare,G155)*v01_OutResearcher*INDEX(LM_Researcher,G155)))</x:f>
        <x:v>0</x:v>
      </x:c>
      <x:c r="AL155" s="32" t="n">
        <x:f>H155*v01_RoleScale*Arch_Roles*AE155*INDEX(v01_MonasteryPerSett,G155)*v01_OutMonastery*INDEX(LM_Monastery,G155)</x:f>
        <x:v>0</x:v>
      </x:c>
      <x:c r="AM155" s="32" t="n">
        <x:f>(AJ155+AK155+AL155)/4*INDEX(LM_All,G155)*INDEX(v01_Boon,G155)*Arch_Insight</x:f>
        <x:v>1.3528389607708953</x:v>
      </x:c>
      <x:c r="AN155" s="32" t="n">
        <x:f>H155*(v01_KHPerAdult*Z155+v01_KHOfCommons*AJ155/4*INDEX(LM_All,G155))*v01_KHUsable*Arch_KH</x:f>
        <x:v>0.2950436395876803</x:v>
      </x:c>
      <x:c r="AO155" s="32" t="n">
        <x:f>MIN(AP154+AN155,AM155*v01_KHMaxRatio)</x:f>
        <x:v>0.2950436395876803</x:v>
      </x:c>
      <x:c r="AP155" s="32" t="n">
        <x:f>AP154+AN155-AO155</x:f>
        <x:v>0</x:v>
      </x:c>
      <x:c r="AQ155" s="32" t="n">
        <x:f>AM155+AO155</x:f>
        <x:v>1.6478826003585756</x:v>
      </x:c>
      <x:c r="AR155" s="10" t="n">
        <x:f>IF(H155=1,INDEX(v01_Req,G155),0)</x:f>
        <x:v>372.02</x:v>
      </x:c>
      <x:c r="AS155" s="32" t="n">
        <x:f>IF(H155=1,IF(E155=1,AS154-AR154,AS154)+AQ155,0)</x:f>
        <x:v>233.33740085620468</x:v>
      </x:c>
      <x:c r="AT155" s="11" t="n">
        <x:f>IF(AR155&gt;0,MIN(1,AS155/AR155),1)</x:f>
        <x:v>0.6272173562072058</x:v>
      </x:c>
      <x:c r="AU155" s="10" t="n">
        <x:f>AB155/INDEX(v01_RepScale,G155)</x:f>
        <x:v>16.984052706974598</x:v>
      </x:c>
      <x:c r="AV155" s="32" t="n">
        <x:f>AM155*60/v01_SeasonSeconds</x:f>
        <x:v>5.411355843083581</x:v>
      </x:c>
    </x:row>
    <x:row r="156">
      <x:c r="A156" s="8" t="n">
        <x:f>A155+1</x:f>
        <x:v>153</x:v>
      </x:c>
      <x:c r="B156" s="9" t="n">
        <x:f>A156*v01_SeasonSeconds/60</x:f>
        <x:v>38.25</x:v>
      </x:c>
      <x:c r="C156" s="9" t="n">
        <x:f>A156/4</x:f>
        <x:v>38.25</x:v>
      </x:c>
      <x:c r="D156" s="8" t="n">
        <x:f>IF(MOD(A156,4)=0,1,0)</x:f>
        <x:v>0</x:v>
      </x:c>
      <x:c r="E156" s="8" t="n">
        <x:f>IF(AND(F155&lt;=9,AS155&gt;=AR155),1,0)</x:f>
        <x:v>0</x:v>
      </x:c>
      <x:c r="F156" s="8" t="n">
        <x:f>MIN(10,F155+E156)</x:f>
        <x:v>0</x:v>
      </x:c>
      <x:c r="G156" s="8" t="n">
        <x:f>MIN(F156,9)+1</x:f>
        <x:v>1</x:v>
      </x:c>
      <x:c r="H156" s="8" t="n">
        <x:f>IF(F156&lt;=9,1,0)</x:f>
        <x:v>1</x:v>
      </x:c>
      <x:c r="I156" s="9" t="n">
        <x:f>MIN(10,F155+IF(AR155&gt;0,MIN(1,AS155/AR155),1))</x:f>
        <x:v>0.6272173562072058</x:v>
      </x:c>
      <x:c r="J156" s="32" t="n">
        <x:f>INDEX(v01_FoodCap,G156)*Arch_FoodCap*EXP(v01_CapsByProject*SUMPRODUCT((Cap_Point&lt;=I156)*(Cap_Kind="Food")*Cap_Ln))</x:f>
        <x:v>22</x:v>
      </x:c>
      <x:c r="K156" s="32" t="n">
        <x:f>J156*MIN(1,v01_LeanBase*EXP(v01_CapsByProject*SUMPRODUCT((Cap_Point&lt;=I156)*(Cap_Kind="Lean")*Cap_Ln)))</x:f>
        <x:v>22</x:v>
      </x:c>
      <x:c r="L156" s="10" t="n">
        <x:f>INDEX(v01_HousingCap,G156)*EXP(v01_CapsByProject*SUMPRODUCT((Cap_Point&lt;=I156)*(Cap_Kind="Housing")*Cap_Ln))</x:f>
        <x:v>60</x:v>
      </x:c>
      <x:c r="M156" s="10" t="n">
        <x:f>INDEX(v01_GroupCap,G156)*v01_CohesionFactor*EXP(v01_CapsByProject*SUMPRODUCT((Cap_Point&lt;=I156)*(Cap_Kind="Group")*Cap_Ln))</x:f>
        <x:v>35</x:v>
      </x:c>
      <x:c r="N156" s="32" t="n">
        <x:f>MIN(J156,L156,M156)</x:f>
        <x:v>22</x:v>
      </x:c>
      <x:c r="O156" s="10" t="n">
        <x:f>AE155*N156</x:f>
        <x:v>22</x:v>
      </x:c>
      <x:c r="P156" s="9" t="n">
        <x:f>MIN(1,(AB155/(AE155*IF(v01_GroupInCrowding=1,N156,MIN(J156,L156))))^v01_CrowdingExp)</x:f>
        <x:v>0.2116956278166031</x:v>
      </x:c>
      <x:c r="Q156" s="9" t="n">
        <x:f>IF(D156=1,INDEX(v01_WinterMult,G156),1)</x:f>
        <x:v>1</x:v>
      </x:c>
      <x:c r="R156" s="9" t="n">
        <x:f>H156*Z155*v01_WomenShare*v01_BaseFertility*INDEX(v01_FertMult,G156)*Arch_Fertility*(1-P156)</x:f>
        <x:v>0.19935787806160346</x:v>
      </x:c>
      <x:c r="S156" s="9" t="n">
        <x:f>H156*Y155*INDEX(v01_MortChild,G156)/4*Q156</x:f>
        <x:v>0.06483743209735457</x:v>
      </x:c>
      <x:c r="T156" s="9" t="n">
        <x:f>H156*Z155*INDEX(v01_MortAdult,G156)*Arch_AdultMort/4*Q156</x:f>
        <x:v>0.03161181852725146</x:v>
      </x:c>
      <x:c r="U156" s="9" t="n">
        <x:f>H156*AA155*INDEX(v01_MortElder,G156)/4*Q156</x:f>
        <x:v>0.05176228058263546</x:v>
      </x:c>
      <x:c r="V156" s="9" t="n">
        <x:f>H156*MAX(0,AB155-O156)*v01_OvercapLoss</x:f>
        <x:v>0</x:v>
      </x:c>
      <x:c r="W156" s="9" t="n">
        <x:f>H156*Y155/(v01_ChildYears*4)</x:f>
        <x:v>0.115781128745276</x:v>
      </x:c>
      <x:c r="X156" s="9" t="n">
        <x:f>H156*Z155/(v01_AdultYears*4)</x:f>
        <x:v>0.06798240543494938</x:v>
      </x:c>
      <x:c r="Y156" s="32" t="n">
        <x:f>Y155+R156-S156-W156-Y155*V156/AB155</x:f>
        <x:v>6.50248252695443</x:v>
      </x:c>
      <x:c r="Z156" s="32" t="n">
        <x:f>Z155+W156-X156-T156-Z155*V156/AB155</x:f>
        <x:v>8.446005178716797</x:v>
      </x:c>
      <x:c r="AA156" s="32" t="n">
        <x:f>AA155+X156-U156-AA155*V156/AB155</x:f>
        <x:v>2.086711348157732</x:v>
      </x:c>
      <x:c r="AB156" s="10" t="n">
        <x:f>Y156+Z156+AA156</x:f>
        <x:v>17.035199053828958</x:v>
      </x:c>
      <x:c r="AC156" s="8" t="n">
        <x:f>IF(AND(v01_WinterTrigger=1,D156=1,AB155/AE155&gt;=K156),1,0)</x:f>
        <x:v>0</x:v>
      </x:c>
      <x:c r="AD156" s="8" t="n">
        <x:f>H156*IF(AND(OR(AB155/AE155&gt;=v01_FissionTrigger*N156,AC156=1),AB155/AE155*v01_DaughterShare&gt;=v01_MinDaughter),MAX(1,ROUND(AE155*v01_FissionRate,0)),0)</x:f>
        <x:v>0</x:v>
      </x:c>
      <x:c r="AE156" s="8" t="n">
        <x:f>IF(H156=1,MAX(1,MIN(INDEX(v01_Smax,G156),AE155+AD156)),AE155)</x:f>
        <x:v>1</x:v>
      </x:c>
      <x:c r="AF156" s="8" t="n">
        <x:f>MAX(0,AE156-AE155)</x:f>
        <x:v>0</x:v>
      </x:c>
      <x:c r="AG156" s="9" t="str">
        <x:f>IF(AF156&gt;0,B156,"")</x:f>
      </x:c>
      <x:c r="AH156" s="9" t="n">
        <x:f>IF(F156&gt;=1,1,(1+v01_LowTiesShare*(AE156-1))/AE156)</x:f>
        <x:v>1</x:v>
      </x:c>
      <x:c r="AI156" s="32" t="n">
        <x:f>(Z156+v01_ElderCommons*INDEX(LM_Elder,G156)*AA156)*AH156</x:f>
        <x:v>12.619427875032262</x:v>
      </x:c>
      <x:c r="AJ156" s="32" t="n">
        <x:f>H156*v01_CommonsCoef*AI156^v01_CommonsExp*INDEX(LM_Commons,G156)</x:f>
        <x:v>5.429143350943031</x:v>
      </x:c>
      <x:c r="AK156" s="32" t="n">
        <x:f>H156*v01_RoleScale*Arch_Roles*(AE156*(INDEX(v01_ElderRolePerSett,G156)*v01_OutElder*INDEX(LM_Elder,G156)+INDEX(v01_ShamanPerSett,G156)*v01_OutShaman)+Z156*(INDEX(v01_PriestShare,G156)*v01_OutPriest+INDEX(v01_ScribeShare,G156)*v01_OutScribe*INDEX(LM_Scribe,G156)+INDEX(v01_ScholarShare,G156)*v01_OutScholar*INDEX(LM_Scholar,G156)+INDEX(v01_ResearcherShare,G156)*v01_OutResearcher*INDEX(LM_Researcher,G156)))</x:f>
        <x:v>0</x:v>
      </x:c>
      <x:c r="AL156" s="32" t="n">
        <x:f>H156*v01_RoleScale*Arch_Roles*AE156*INDEX(v01_MonasteryPerSett,G156)*v01_OutMonastery*INDEX(LM_Monastery,G156)</x:f>
        <x:v>0</x:v>
      </x:c>
      <x:c r="AM156" s="32" t="n">
        <x:f>(AJ156+AK156+AL156)/4*INDEX(LM_All,G156)*INDEX(v01_Boon,G156)*Arch_Insight</x:f>
        <x:v>1.3572858377357577</x:v>
      </x:c>
      <x:c r="AN156" s="32" t="n">
        <x:f>H156*(v01_KHPerAdult*Z156+v01_KHOfCommons*AJ156/4*INDEX(LM_All,G156))*v01_KHUsable*Arch_KH</x:f>
        <x:v>0.2956101812550879</x:v>
      </x:c>
      <x:c r="AO156" s="32" t="n">
        <x:f>MIN(AP155+AN156,AM156*v01_KHMaxRatio)</x:f>
        <x:v>0.2956101812550879</x:v>
      </x:c>
      <x:c r="AP156" s="32" t="n">
        <x:f>AP155+AN156-AO156</x:f>
        <x:v>0</x:v>
      </x:c>
      <x:c r="AQ156" s="32" t="n">
        <x:f>AM156+AO156</x:f>
        <x:v>1.6528960189908457</x:v>
      </x:c>
      <x:c r="AR156" s="10" t="n">
        <x:f>IF(H156=1,INDEX(v01_Req,G156),0)</x:f>
        <x:v>372.02</x:v>
      </x:c>
      <x:c r="AS156" s="32" t="n">
        <x:f>IF(H156=1,IF(E156=1,AS155-AR155,AS155)+AQ156,0)</x:f>
        <x:v>234.99029687519553</x:v>
      </x:c>
      <x:c r="AT156" s="11" t="n">
        <x:f>IF(AR156&gt;0,MIN(1,AS156/AR156),1)</x:f>
        <x:v>0.6316603862028803</x:v>
      </x:c>
      <x:c r="AU156" s="10" t="n">
        <x:f>AB156/INDEX(v01_RepScale,G156)</x:f>
        <x:v>17.035199053828958</x:v>
      </x:c>
      <x:c r="AV156" s="32" t="n">
        <x:f>AM156*60/v01_SeasonSeconds</x:f>
        <x:v>5.429143350943031</x:v>
      </x:c>
    </x:row>
    <x:row r="157">
      <x:c r="A157" s="8" t="n">
        <x:f>A156+1</x:f>
        <x:v>154</x:v>
      </x:c>
      <x:c r="B157" s="9" t="n">
        <x:f>A157*v01_SeasonSeconds/60</x:f>
        <x:v>38.5</x:v>
      </x:c>
      <x:c r="C157" s="9" t="n">
        <x:f>A157/4</x:f>
        <x:v>38.5</x:v>
      </x:c>
      <x:c r="D157" s="8" t="n">
        <x:f>IF(MOD(A157,4)=0,1,0)</x:f>
        <x:v>0</x:v>
      </x:c>
      <x:c r="E157" s="8" t="n">
        <x:f>IF(AND(F156&lt;=9,AS156&gt;=AR156),1,0)</x:f>
        <x:v>0</x:v>
      </x:c>
      <x:c r="F157" s="8" t="n">
        <x:f>MIN(10,F156+E157)</x:f>
        <x:v>0</x:v>
      </x:c>
      <x:c r="G157" s="8" t="n">
        <x:f>MIN(F157,9)+1</x:f>
        <x:v>1</x:v>
      </x:c>
      <x:c r="H157" s="8" t="n">
        <x:f>IF(F157&lt;=9,1,0)</x:f>
        <x:v>1</x:v>
      </x:c>
      <x:c r="I157" s="9" t="n">
        <x:f>MIN(10,F156+IF(AR156&gt;0,MIN(1,AS156/AR156),1))</x:f>
        <x:v>0.6316603862028803</x:v>
      </x:c>
      <x:c r="J157" s="32" t="n">
        <x:f>INDEX(v01_FoodCap,G157)*Arch_FoodCap*EXP(v01_CapsByProject*SUMPRODUCT((Cap_Point&lt;=I157)*(Cap_Kind="Food")*Cap_Ln))</x:f>
        <x:v>22</x:v>
      </x:c>
      <x:c r="K157" s="32" t="n">
        <x:f>J157*MIN(1,v01_LeanBase*EXP(v01_CapsByProject*SUMPRODUCT((Cap_Point&lt;=I157)*(Cap_Kind="Lean")*Cap_Ln)))</x:f>
        <x:v>22</x:v>
      </x:c>
      <x:c r="L157" s="10" t="n">
        <x:f>INDEX(v01_HousingCap,G157)*EXP(v01_CapsByProject*SUMPRODUCT((Cap_Point&lt;=I157)*(Cap_Kind="Housing")*Cap_Ln))</x:f>
        <x:v>60</x:v>
      </x:c>
      <x:c r="M157" s="10" t="n">
        <x:f>INDEX(v01_GroupCap,G157)*v01_CohesionFactor*EXP(v01_CapsByProject*SUMPRODUCT((Cap_Point&lt;=I157)*(Cap_Kind="Group")*Cap_Ln))</x:f>
        <x:v>35</x:v>
      </x:c>
      <x:c r="N157" s="32" t="n">
        <x:f>MIN(J157,L157,M157)</x:f>
        <x:v>22</x:v>
      </x:c>
      <x:c r="O157" s="10" t="n">
        <x:f>AE156*N157</x:f>
        <x:v>22</x:v>
      </x:c>
      <x:c r="P157" s="9" t="n">
        <x:f>MIN(1,(AB156/(AE156*IF(v01_GroupInCrowding=1,N157,MIN(J157,L157))))^v01_CrowdingExp)</x:f>
        <x:v>0.21554958481997988</x:v>
      </x:c>
      <x:c r="Q157" s="9" t="n">
        <x:f>IF(D157=1,INDEX(v01_WinterMult,G157),1)</x:f>
        <x:v>1</x:v>
      </x:c>
      <x:c r="R157" s="9" t="n">
        <x:f>H157*Z156*v01_WomenShare*v01_BaseFertility*INDEX(v01_FertMult,G157)*Arch_Fertility*(1-P157)</x:f>
        <x:v>0.19876416807170977</x:v>
      </x:c>
      <x:c r="S157" s="9" t="n">
        <x:f>H157*Y156*INDEX(v01_MortChild,G157)/4*Q157</x:f>
        <x:v>0.0650248252695443</x:v>
      </x:c>
      <x:c r="T157" s="9" t="n">
        <x:f>H157*Z156*INDEX(v01_MortAdult,G157)*Arch_AdultMort/4*Q157</x:f>
        <x:v>0.03167251942018799</x:v>
      </x:c>
      <x:c r="U157" s="9" t="n">
        <x:f>H157*AA156*INDEX(v01_MortElder,G157)/4*Q157</x:f>
        <x:v>0.05216778370394331</x:v>
      </x:c>
      <x:c r="V157" s="9" t="n">
        <x:f>H157*MAX(0,AB156-O157)*v01_OvercapLoss</x:f>
        <x:v>0</x:v>
      </x:c>
      <x:c r="W157" s="9" t="n">
        <x:f>H157*Y156/(v01_ChildYears*4)</x:f>
        <x:v>0.11611575940990053</x:v>
      </x:c>
      <x:c r="X157" s="9" t="n">
        <x:f>H157*Z156/(v01_AdultYears*4)</x:f>
        <x:v>0.06811294498965159</x:v>
      </x:c>
      <x:c r="Y157" s="32" t="n">
        <x:f>Y156+R157-S157-W157-Y156*V157/AB156</x:f>
        <x:v>6.520106110346695</x:v>
      </x:c>
      <x:c r="Z157" s="32" t="n">
        <x:f>Z156+W157-X157-T157-Z156*V157/AB156</x:f>
        <x:v>8.462335473716859</x:v>
      </x:c>
      <x:c r="AA157" s="32" t="n">
        <x:f>AA156+X157-U157-AA156*V157/AB156</x:f>
        <x:v>2.1026565094434404</x:v>
      </x:c>
      <x:c r="AB157" s="10" t="n">
        <x:f>Y157+Z157+AA157</x:f>
        <x:v>17.085098093506996</x:v>
      </x:c>
      <x:c r="AC157" s="8" t="n">
        <x:f>IF(AND(v01_WinterTrigger=1,D157=1,AB156/AE156&gt;=K157),1,0)</x:f>
        <x:v>0</x:v>
      </x:c>
      <x:c r="AD157" s="8" t="n">
        <x:f>H157*IF(AND(OR(AB156/AE156&gt;=v01_FissionTrigger*N157,AC157=1),AB156/AE156*v01_DaughterShare&gt;=v01_MinDaughter),MAX(1,ROUND(AE156*v01_FissionRate,0)),0)</x:f>
        <x:v>0</x:v>
      </x:c>
      <x:c r="AE157" s="8" t="n">
        <x:f>IF(H157=1,MAX(1,MIN(INDEX(v01_Smax,G157),AE156+AD157)),AE156)</x:f>
        <x:v>1</x:v>
      </x:c>
      <x:c r="AF157" s="8" t="n">
        <x:f>MAX(0,AE157-AE156)</x:f>
        <x:v>0</x:v>
      </x:c>
      <x:c r="AG157" s="9" t="str">
        <x:f>IF(AF157&gt;0,B157,"")</x:f>
      </x:c>
      <x:c r="AH157" s="9" t="n">
        <x:f>IF(F157&gt;=1,1,(1+v01_LowTiesShare*(AE157-1))/AE157)</x:f>
        <x:v>1</x:v>
      </x:c>
      <x:c r="AI157" s="32" t="n">
        <x:f>(Z157+v01_ElderCommons*INDEX(LM_Elder,G157)*AA157)*AH157</x:f>
        <x:v>12.667648492603739</x:v>
      </x:c>
      <x:c r="AJ157" s="32" t="n">
        <x:f>H157*v01_CommonsCoef*AI157^v01_CommonsExp*INDEX(LM_Commons,G157)</x:f>
        <x:v>5.446772000262525</x:v>
      </x:c>
      <x:c r="AK157" s="32" t="n">
        <x:f>H157*v01_RoleScale*Arch_Roles*(AE157*(INDEX(v01_ElderRolePerSett,G157)*v01_OutElder*INDEX(LM_Elder,G157)+INDEX(v01_ShamanPerSett,G157)*v01_OutShaman)+Z157*(INDEX(v01_PriestShare,G157)*v01_OutPriest+INDEX(v01_ScribeShare,G157)*v01_OutScribe*INDEX(LM_Scribe,G157)+INDEX(v01_ScholarShare,G157)*v01_OutScholar*INDEX(LM_Scholar,G157)+INDEX(v01_ResearcherShare,G157)*v01_OutResearcher*INDEX(LM_Researcher,G157)))</x:f>
        <x:v>0</x:v>
      </x:c>
      <x:c r="AL157" s="32" t="n">
        <x:f>H157*v01_RoleScale*Arch_Roles*AE157*INDEX(v01_MonasteryPerSett,G157)*v01_OutMonastery*INDEX(LM_Monastery,G157)</x:f>
        <x:v>0</x:v>
      </x:c>
      <x:c r="AM157" s="32" t="n">
        <x:f>(AJ157+AK157+AL157)/4*INDEX(LM_All,G157)*INDEX(v01_Boon,G157)*Arch_Insight</x:f>
        <x:v>1.3616930000656313</x:v>
      </x:c>
      <x:c r="AN157" s="32" t="n">
        <x:f>H157*(v01_KHPerAdult*Z157+v01_KHOfCommons*AJ157/4*INDEX(LM_All,G157))*v01_KHUsable*Arch_KH</x:f>
        <x:v>0.2961817415800901</x:v>
      </x:c>
      <x:c r="AO157" s="32" t="n">
        <x:f>MIN(AP156+AN157,AM157*v01_KHMaxRatio)</x:f>
        <x:v>0.2961817415800901</x:v>
      </x:c>
      <x:c r="AP157" s="32" t="n">
        <x:f>AP156+AN157-AO157</x:f>
        <x:v>0</x:v>
      </x:c>
      <x:c r="AQ157" s="32" t="n">
        <x:f>AM157+AO157</x:f>
        <x:v>1.6578747416457214</x:v>
      </x:c>
      <x:c r="AR157" s="10" t="n">
        <x:f>IF(H157=1,INDEX(v01_Req,G157),0)</x:f>
        <x:v>372.02</x:v>
      </x:c>
      <x:c r="AS157" s="32" t="n">
        <x:f>IF(H157=1,IF(E157=1,AS156-AR156,AS156)+AQ157,0)</x:f>
        <x:v>236.64817161684124</x:v>
      </x:c>
      <x:c r="AT157" s="11" t="n">
        <x:f>IF(AR157&gt;0,MIN(1,AS157/AR157),1)</x:f>
        <x:v>0.6361167991420925</x:v>
      </x:c>
      <x:c r="AU157" s="10" t="n">
        <x:f>AB157/INDEX(v01_RepScale,G157)</x:f>
        <x:v>17.085098093506996</x:v>
      </x:c>
      <x:c r="AV157" s="32" t="n">
        <x:f>AM157*60/v01_SeasonSeconds</x:f>
        <x:v>5.446772000262525</x:v>
      </x:c>
    </x:row>
    <x:row r="158">
      <x:c r="A158" s="8" t="n">
        <x:f>A157+1</x:f>
        <x:v>155</x:v>
      </x:c>
      <x:c r="B158" s="9" t="n">
        <x:f>A158*v01_SeasonSeconds/60</x:f>
        <x:v>38.75</x:v>
      </x:c>
      <x:c r="C158" s="9" t="n">
        <x:f>A158/4</x:f>
        <x:v>38.75</x:v>
      </x:c>
      <x:c r="D158" s="8" t="n">
        <x:f>IF(MOD(A158,4)=0,1,0)</x:f>
        <x:v>0</x:v>
      </x:c>
      <x:c r="E158" s="8" t="n">
        <x:f>IF(AND(F157&lt;=9,AS157&gt;=AR157),1,0)</x:f>
        <x:v>0</x:v>
      </x:c>
      <x:c r="F158" s="8" t="n">
        <x:f>MIN(10,F157+E158)</x:f>
        <x:v>0</x:v>
      </x:c>
      <x:c r="G158" s="8" t="n">
        <x:f>MIN(F158,9)+1</x:f>
        <x:v>1</x:v>
      </x:c>
      <x:c r="H158" s="8" t="n">
        <x:f>IF(F158&lt;=9,1,0)</x:f>
        <x:v>1</x:v>
      </x:c>
      <x:c r="I158" s="9" t="n">
        <x:f>MIN(10,F157+IF(AR157&gt;0,MIN(1,AS157/AR157),1))</x:f>
        <x:v>0.6361167991420925</x:v>
      </x:c>
      <x:c r="J158" s="32" t="n">
        <x:f>INDEX(v01_FoodCap,G158)*Arch_FoodCap*EXP(v01_CapsByProject*SUMPRODUCT((Cap_Point&lt;=I158)*(Cap_Kind="Food")*Cap_Ln))</x:f>
        <x:v>22</x:v>
      </x:c>
      <x:c r="K158" s="32" t="n">
        <x:f>J158*MIN(1,v01_LeanBase*EXP(v01_CapsByProject*SUMPRODUCT((Cap_Point&lt;=I158)*(Cap_Kind="Lean")*Cap_Ln)))</x:f>
        <x:v>22</x:v>
      </x:c>
      <x:c r="L158" s="10" t="n">
        <x:f>INDEX(v01_HousingCap,G158)*EXP(v01_CapsByProject*SUMPRODUCT((Cap_Point&lt;=I158)*(Cap_Kind="Housing")*Cap_Ln))</x:f>
        <x:v>60</x:v>
      </x:c>
      <x:c r="M158" s="10" t="n">
        <x:f>INDEX(v01_GroupCap,G158)*v01_CohesionFactor*EXP(v01_CapsByProject*SUMPRODUCT((Cap_Point&lt;=I158)*(Cap_Kind="Group")*Cap_Ln))</x:f>
        <x:v>35</x:v>
      </x:c>
      <x:c r="N158" s="32" t="n">
        <x:f>MIN(J158,L158,M158)</x:f>
        <x:v>22</x:v>
      </x:c>
      <x:c r="O158" s="10" t="n">
        <x:f>AE157*N158</x:f>
        <x:v>22</x:v>
      </x:c>
      <x:c r="P158" s="9" t="n">
        <x:f>MIN(1,(AB157/(AE157*IF(v01_GroupInCrowding=1,N158,MIN(J158,L158))))^v01_CrowdingExp)</x:f>
        <x:v>0.21936572653679234</x:v>
      </x:c>
      <x:c r="Q158" s="9" t="n">
        <x:f>IF(D158=1,INDEX(v01_WinterMult,G158),1)</x:f>
        <x:v>1</x:v>
      </x:c>
      <x:c r="R158" s="9" t="n">
        <x:f>H158*Z157*v01_WomenShare*v01_BaseFertility*INDEX(v01_FertMult,G158)*Arch_Fertility*(1-P158)</x:f>
        <x:v>0.1981796731298067</x:v>
      </x:c>
      <x:c r="S158" s="9" t="n">
        <x:f>H158*Y157*INDEX(v01_MortChild,G158)/4*Q158</x:f>
        <x:v>0.06520106110346695</x:v>
      </x:c>
      <x:c r="T158" s="9" t="n">
        <x:f>H158*Z157*INDEX(v01_MortAdult,G158)*Arch_AdultMort/4*Q158</x:f>
        <x:v>0.03173375802643822</x:v>
      </x:c>
      <x:c r="U158" s="9" t="n">
        <x:f>H158*AA157*INDEX(v01_MortElder,G158)/4*Q158</x:f>
        <x:v>0.05256641273608601</x:v>
      </x:c>
      <x:c r="V158" s="9" t="n">
        <x:f>H158*MAX(0,AB157-O158)*v01_OvercapLoss</x:f>
        <x:v>0</x:v>
      </x:c>
      <x:c r="W158" s="9" t="n">
        <x:f>H158*Y157/(v01_ChildYears*4)</x:f>
        <x:v>0.11643046625619098</x:v>
      </x:c>
      <x:c r="X158" s="9" t="n">
        <x:f>H158*Z157/(v01_AdultYears*4)</x:f>
        <x:v>0.06824464091707144</x:v>
      </x:c>
      <x:c r="Y158" s="32" t="n">
        <x:f>Y157+R158-S158-W158-Y157*V158/AB157</x:f>
        <x:v>6.536654256116843</x:v>
      </x:c>
      <x:c r="Z158" s="32" t="n">
        <x:f>Z157+W158-X158-T158-Z157*V158/AB157</x:f>
        <x:v>8.478787541029538</x:v>
      </x:c>
      <x:c r="AA158" s="32" t="n">
        <x:f>AA157+X158-U158-AA157*V158/AB157</x:f>
        <x:v>2.118334737624426</x:v>
      </x:c>
      <x:c r="AB158" s="10" t="n">
        <x:f>Y158+Z158+AA158</x:f>
        <x:v>17.133776534770806</x:v>
      </x:c>
      <x:c r="AC158" s="8" t="n">
        <x:f>IF(AND(v01_WinterTrigger=1,D158=1,AB157/AE157&gt;=K158),1,0)</x:f>
        <x:v>0</x:v>
      </x:c>
      <x:c r="AD158" s="8" t="n">
        <x:f>H158*IF(AND(OR(AB157/AE157&gt;=v01_FissionTrigger*N158,AC158=1),AB157/AE157*v01_DaughterShare&gt;=v01_MinDaughter),MAX(1,ROUND(AE157*v01_FissionRate,0)),0)</x:f>
        <x:v>0</x:v>
      </x:c>
      <x:c r="AE158" s="8" t="n">
        <x:f>IF(H158=1,MAX(1,MIN(INDEX(v01_Smax,G158),AE157+AD158)),AE157)</x:f>
        <x:v>1</x:v>
      </x:c>
      <x:c r="AF158" s="8" t="n">
        <x:f>MAX(0,AE158-AE157)</x:f>
        <x:v>0</x:v>
      </x:c>
      <x:c r="AG158" s="9" t="str">
        <x:f>IF(AF158&gt;0,B158,"")</x:f>
      </x:c>
      <x:c r="AH158" s="9" t="n">
        <x:f>IF(F158&gt;=1,1,(1+v01_LowTiesShare*(AE158-1))/AE158)</x:f>
        <x:v>1</x:v>
      </x:c>
      <x:c r="AI158" s="32" t="n">
        <x:f>(Z158+v01_ElderCommons*INDEX(LM_Elder,G158)*AA158)*AH158</x:f>
        <x:v>12.715457016278389</x:v>
      </x:c>
      <x:c r="AJ158" s="32" t="n">
        <x:f>H158*v01_CommonsCoef*AI158^v01_CommonsExp*INDEX(LM_Commons,G158)</x:f>
        <x:v>5.464240060543854</x:v>
      </x:c>
      <x:c r="AK158" s="32" t="n">
        <x:f>H158*v01_RoleScale*Arch_Roles*(AE158*(INDEX(v01_ElderRolePerSett,G158)*v01_OutElder*INDEX(LM_Elder,G158)+INDEX(v01_ShamanPerSett,G158)*v01_OutShaman)+Z158*(INDEX(v01_PriestShare,G158)*v01_OutPriest+INDEX(v01_ScribeShare,G158)*v01_OutScribe*INDEX(LM_Scribe,G158)+INDEX(v01_ScholarShare,G158)*v01_OutScholar*INDEX(LM_Scholar,G158)+INDEX(v01_ResearcherShare,G158)*v01_OutResearcher*INDEX(LM_Researcher,G158)))</x:f>
        <x:v>0</x:v>
      </x:c>
      <x:c r="AL158" s="32" t="n">
        <x:f>H158*v01_RoleScale*Arch_Roles*AE158*INDEX(v01_MonasteryPerSett,G158)*v01_OutMonastery*INDEX(LM_Monastery,G158)</x:f>
        <x:v>0</x:v>
      </x:c>
      <x:c r="AM158" s="32" t="n">
        <x:f>(AJ158+AK158+AL158)/4*INDEX(LM_All,G158)*INDEX(v01_Boon,G158)*Arch_Insight</x:f>
        <x:v>1.3660600151359634</x:v>
      </x:c>
      <x:c r="AN158" s="32" t="n">
        <x:f>H158*(v01_KHPerAdult*Z158+v01_KHOfCommons*AJ158/4*INDEX(LM_All,G158))*v01_KHUsable*Arch_KH</x:f>
        <x:v>0.29675756393603386</x:v>
      </x:c>
      <x:c r="AO158" s="32" t="n">
        <x:f>MIN(AP157+AN158,AM158*v01_KHMaxRatio)</x:f>
        <x:v>0.29675756393603386</x:v>
      </x:c>
      <x:c r="AP158" s="32" t="n">
        <x:f>AP157+AN158-AO158</x:f>
        <x:v>0</x:v>
      </x:c>
      <x:c r="AQ158" s="32" t="n">
        <x:f>AM158+AO158</x:f>
        <x:v>1.6628175790719972</x:v>
      </x:c>
      <x:c r="AR158" s="10" t="n">
        <x:f>IF(H158=1,INDEX(v01_Req,G158),0)</x:f>
        <x:v>372.02</x:v>
      </x:c>
      <x:c r="AS158" s="32" t="n">
        <x:f>IF(H158=1,IF(E158=1,AS157-AR157,AS157)+AQ158,0)</x:f>
        <x:v>238.31098919591324</x:v>
      </x:c>
      <x:c r="AT158" s="11" t="n">
        <x:f>IF(AR158&gt;0,MIN(1,AS158/AR158),1)</x:f>
        <x:v>0.6405864985643601</x:v>
      </x:c>
      <x:c r="AU158" s="10" t="n">
        <x:f>AB158/INDEX(v01_RepScale,G158)</x:f>
        <x:v>17.133776534770806</x:v>
      </x:c>
      <x:c r="AV158" s="32" t="n">
        <x:f>AM158*60/v01_SeasonSeconds</x:f>
        <x:v>5.464240060543854</x:v>
      </x:c>
    </x:row>
    <x:row r="159">
      <x:c r="A159" s="8" t="n">
        <x:f>A158+1</x:f>
        <x:v>156</x:v>
      </x:c>
      <x:c r="B159" s="9" t="n">
        <x:f>A159*v01_SeasonSeconds/60</x:f>
        <x:v>39</x:v>
      </x:c>
      <x:c r="C159" s="9" t="n">
        <x:f>A159/4</x:f>
        <x:v>39</x:v>
      </x:c>
      <x:c r="D159" s="8" t="n">
        <x:f>IF(MOD(A159,4)=0,1,0)</x:f>
        <x:v>1</x:v>
      </x:c>
      <x:c r="E159" s="8" t="n">
        <x:f>IF(AND(F158&lt;=9,AS158&gt;=AR158),1,0)</x:f>
        <x:v>0</x:v>
      </x:c>
      <x:c r="F159" s="8" t="n">
        <x:f>MIN(10,F158+E159)</x:f>
        <x:v>0</x:v>
      </x:c>
      <x:c r="G159" s="8" t="n">
        <x:f>MIN(F159,9)+1</x:f>
        <x:v>1</x:v>
      </x:c>
      <x:c r="H159" s="8" t="n">
        <x:f>IF(F159&lt;=9,1,0)</x:f>
        <x:v>1</x:v>
      </x:c>
      <x:c r="I159" s="9" t="n">
        <x:f>MIN(10,F158+IF(AR158&gt;0,MIN(1,AS158/AR158),1))</x:f>
        <x:v>0.6405864985643601</x:v>
      </x:c>
      <x:c r="J159" s="32" t="n">
        <x:f>INDEX(v01_FoodCap,G159)*Arch_FoodCap*EXP(v01_CapsByProject*SUMPRODUCT((Cap_Point&lt;=I159)*(Cap_Kind="Food")*Cap_Ln))</x:f>
        <x:v>22</x:v>
      </x:c>
      <x:c r="K159" s="32" t="n">
        <x:f>J159*MIN(1,v01_LeanBase*EXP(v01_CapsByProject*SUMPRODUCT((Cap_Point&lt;=I159)*(Cap_Kind="Lean")*Cap_Ln)))</x:f>
        <x:v>22</x:v>
      </x:c>
      <x:c r="L159" s="10" t="n">
        <x:f>INDEX(v01_HousingCap,G159)*EXP(v01_CapsByProject*SUMPRODUCT((Cap_Point&lt;=I159)*(Cap_Kind="Housing")*Cap_Ln))</x:f>
        <x:v>60</x:v>
      </x:c>
      <x:c r="M159" s="10" t="n">
        <x:f>INDEX(v01_GroupCap,G159)*v01_CohesionFactor*EXP(v01_CapsByProject*SUMPRODUCT((Cap_Point&lt;=I159)*(Cap_Kind="Group")*Cap_Ln))</x:f>
        <x:v>35</x:v>
      </x:c>
      <x:c r="N159" s="32" t="n">
        <x:f>MIN(J159,L159,M159)</x:f>
        <x:v>22</x:v>
      </x:c>
      <x:c r="O159" s="10" t="n">
        <x:f>AE158*N159</x:f>
        <x:v>22</x:v>
      </x:c>
      <x:c r="P159" s="9" t="n">
        <x:f>MIN(1,(AB158/(AE158*IF(v01_GroupInCrowding=1,N159,MIN(J159,L159))))^v01_CrowdingExp)</x:f>
        <x:v>0.22314260833149505</x:v>
      </x:c>
      <x:c r="Q159" s="9" t="n">
        <x:f>IF(D159=1,INDEX(v01_WinterMult,G159),1)</x:f>
        <x:v>2</x:v>
      </x:c>
      <x:c r="R159" s="9" t="n">
        <x:f>H159*Z158*v01_WomenShare*v01_BaseFertility*INDEX(v01_FertMult,G159)*Arch_Fertility*(1-P159)</x:f>
        <x:v>0.19760426320906874</x:v>
      </x:c>
      <x:c r="S159" s="9" t="n">
        <x:f>H159*Y158*INDEX(v01_MortChild,G159)/4*Q159</x:f>
        <x:v>0.13073308512233686</x:v>
      </x:c>
      <x:c r="T159" s="9" t="n">
        <x:f>H159*Z158*INDEX(v01_MortAdult,G159)*Arch_AdultMort/4*Q159</x:f>
        <x:v>0.06359090655772154</x:v>
      </x:c>
      <x:c r="U159" s="9" t="n">
        <x:f>H159*AA158*INDEX(v01_MortElder,G159)/4*Q159</x:f>
        <x:v>0.1059167368812213</x:v>
      </x:c>
      <x:c r="V159" s="9" t="n">
        <x:f>H159*MAX(0,AB158-O159)*v01_OvercapLoss</x:f>
        <x:v>0</x:v>
      </x:c>
      <x:c r="W159" s="9" t="n">
        <x:f>H159*Y158/(v01_ChildYears*4)</x:f>
        <x:v>0.11672596885922934</x:v>
      </x:c>
      <x:c r="X159" s="9" t="n">
        <x:f>H159*Z158/(v01_AdultYears*4)</x:f>
        <x:v>0.06837731887927047</x:v>
      </x:c>
      <x:c r="Y159" s="32" t="n">
        <x:f>Y158+R159-S159-W159-Y158*V159/AB158</x:f>
        <x:v>6.486799465344346</x:v>
      </x:c>
      <x:c r="Z159" s="32" t="n">
        <x:f>Z158+W159-X159-T159-Z158*V159/AB158</x:f>
        <x:v>8.463545284451776</x:v>
      </x:c>
      <x:c r="AA159" s="32" t="n">
        <x:f>AA158+X159-U159-AA158*V159/AB158</x:f>
        <x:v>2.080795319622475</x:v>
      </x:c>
      <x:c r="AB159" s="10" t="n">
        <x:f>Y159+Z159+AA159</x:f>
        <x:v>17.031140069418598</x:v>
      </x:c>
      <x:c r="AC159" s="8" t="n">
        <x:f>IF(AND(v01_WinterTrigger=1,D159=1,AB158/AE158&gt;=K159),1,0)</x:f>
        <x:v>0</x:v>
      </x:c>
      <x:c r="AD159" s="8" t="n">
        <x:f>H159*IF(AND(OR(AB158/AE158&gt;=v01_FissionTrigger*N159,AC159=1),AB158/AE158*v01_DaughterShare&gt;=v01_MinDaughter),MAX(1,ROUND(AE158*v01_FissionRate,0)),0)</x:f>
        <x:v>0</x:v>
      </x:c>
      <x:c r="AE159" s="8" t="n">
        <x:f>IF(H159=1,MAX(1,MIN(INDEX(v01_Smax,G159),AE158+AD159)),AE158)</x:f>
        <x:v>1</x:v>
      </x:c>
      <x:c r="AF159" s="8" t="n">
        <x:f>MAX(0,AE159-AE158)</x:f>
        <x:v>0</x:v>
      </x:c>
      <x:c r="AG159" s="9" t="str">
        <x:f>IF(AF159&gt;0,B159,"")</x:f>
      </x:c>
      <x:c r="AH159" s="9" t="n">
        <x:f>IF(F159&gt;=1,1,(1+v01_LowTiesShare*(AE159-1))/AE159)</x:f>
        <x:v>1</x:v>
      </x:c>
      <x:c r="AI159" s="32" t="n">
        <x:f>(Z159+v01_ElderCommons*INDEX(LM_Elder,G159)*AA159)*AH159</x:f>
        <x:v>12.625135923696725</x:v>
      </x:c>
      <x:c r="AJ159" s="32" t="n">
        <x:f>H159*v01_CommonsCoef*AI159^v01_CommonsExp*INDEX(LM_Commons,G159)</x:f>
        <x:v>5.431230644368138</x:v>
      </x:c>
      <x:c r="AK159" s="32" t="n">
        <x:f>H159*v01_RoleScale*Arch_Roles*(AE159*(INDEX(v01_ElderRolePerSett,G159)*v01_OutElder*INDEX(LM_Elder,G159)+INDEX(v01_ShamanPerSett,G159)*v01_OutShaman)+Z159*(INDEX(v01_PriestShare,G159)*v01_OutPriest+INDEX(v01_ScribeShare,G159)*v01_OutScribe*INDEX(LM_Scribe,G159)+INDEX(v01_ScholarShare,G159)*v01_OutScholar*INDEX(LM_Scholar,G159)+INDEX(v01_ResearcherShare,G159)*v01_OutResearcher*INDEX(LM_Researcher,G159)))</x:f>
        <x:v>0</x:v>
      </x:c>
      <x:c r="AL159" s="32" t="n">
        <x:f>H159*v01_RoleScale*Arch_Roles*AE159*INDEX(v01_MonasteryPerSett,G159)*v01_OutMonastery*INDEX(LM_Monastery,G159)</x:f>
        <x:v>0</x:v>
      </x:c>
      <x:c r="AM159" s="32" t="n">
        <x:f>(AJ159+AK159+AL159)/4*INDEX(LM_All,G159)*INDEX(v01_Boon,G159)*Arch_Insight</x:f>
        <x:v>1.3578076610920344</x:v>
      </x:c>
      <x:c r="AN159" s="32" t="n">
        <x:f>H159*(v01_KHPerAdult*Z159+v01_KHOfCommons*AJ159/4*INDEX(LM_All,G159))*v01_KHUsable*Arch_KH</x:f>
        <x:v>0.29622408495581215</x:v>
      </x:c>
      <x:c r="AO159" s="32" t="n">
        <x:f>MIN(AP158+AN159,AM159*v01_KHMaxRatio)</x:f>
        <x:v>0.29622408495581215</x:v>
      </x:c>
      <x:c r="AP159" s="32" t="n">
        <x:f>AP158+AN159-AO159</x:f>
        <x:v>0</x:v>
      </x:c>
      <x:c r="AQ159" s="32" t="n">
        <x:f>AM159+AO159</x:f>
        <x:v>1.6540317460478466</x:v>
      </x:c>
      <x:c r="AR159" s="10" t="n">
        <x:f>IF(H159=1,INDEX(v01_Req,G159),0)</x:f>
        <x:v>372.02</x:v>
      </x:c>
      <x:c r="AS159" s="32" t="n">
        <x:f>IF(H159=1,IF(E159=1,AS158-AR158,AS158)+AQ159,0)</x:f>
        <x:v>239.9650209419611</x:v>
      </x:c>
      <x:c r="AT159" s="11" t="n">
        <x:f>IF(AR159&gt;0,MIN(1,AS159/AR159),1)</x:f>
        <x:v>0.6450325814256253</x:v>
      </x:c>
      <x:c r="AU159" s="10" t="n">
        <x:f>AB159/INDEX(v01_RepScale,G159)</x:f>
        <x:v>17.031140069418598</x:v>
      </x:c>
      <x:c r="AV159" s="32" t="n">
        <x:f>AM159*60/v01_SeasonSeconds</x:f>
        <x:v>5.431230644368138</x:v>
      </x:c>
    </x:row>
    <x:row r="160">
      <x:c r="A160" s="8" t="n">
        <x:f>A159+1</x:f>
        <x:v>157</x:v>
      </x:c>
      <x:c r="B160" s="9" t="n">
        <x:f>A160*v01_SeasonSeconds/60</x:f>
        <x:v>39.25</x:v>
      </x:c>
      <x:c r="C160" s="9" t="n">
        <x:f>A160/4</x:f>
        <x:v>39.25</x:v>
      </x:c>
      <x:c r="D160" s="8" t="n">
        <x:f>IF(MOD(A160,4)=0,1,0)</x:f>
        <x:v>0</x:v>
      </x:c>
      <x:c r="E160" s="8" t="n">
        <x:f>IF(AND(F159&lt;=9,AS159&gt;=AR159),1,0)</x:f>
        <x:v>0</x:v>
      </x:c>
      <x:c r="F160" s="8" t="n">
        <x:f>MIN(10,F159+E160)</x:f>
        <x:v>0</x:v>
      </x:c>
      <x:c r="G160" s="8" t="n">
        <x:f>MIN(F160,9)+1</x:f>
        <x:v>1</x:v>
      </x:c>
      <x:c r="H160" s="8" t="n">
        <x:f>IF(F160&lt;=9,1,0)</x:f>
        <x:v>1</x:v>
      </x:c>
      <x:c r="I160" s="9" t="n">
        <x:f>MIN(10,F159+IF(AR159&gt;0,MIN(1,AS159/AR159),1))</x:f>
        <x:v>0.6450325814256253</x:v>
      </x:c>
      <x:c r="J160" s="32" t="n">
        <x:f>INDEX(v01_FoodCap,G160)*Arch_FoodCap*EXP(v01_CapsByProject*SUMPRODUCT((Cap_Point&lt;=I160)*(Cap_Kind="Food")*Cap_Ln))</x:f>
        <x:v>22</x:v>
      </x:c>
      <x:c r="K160" s="32" t="n">
        <x:f>J160*MIN(1,v01_LeanBase*EXP(v01_CapsByProject*SUMPRODUCT((Cap_Point&lt;=I160)*(Cap_Kind="Lean")*Cap_Ln)))</x:f>
        <x:v>22</x:v>
      </x:c>
      <x:c r="L160" s="10" t="n">
        <x:f>INDEX(v01_HousingCap,G160)*EXP(v01_CapsByProject*SUMPRODUCT((Cap_Point&lt;=I160)*(Cap_Kind="Housing")*Cap_Ln))</x:f>
        <x:v>60</x:v>
      </x:c>
      <x:c r="M160" s="10" t="n">
        <x:f>INDEX(v01_GroupCap,G160)*v01_CohesionFactor*EXP(v01_CapsByProject*SUMPRODUCT((Cap_Point&lt;=I160)*(Cap_Kind="Group")*Cap_Ln))</x:f>
        <x:v>35</x:v>
      </x:c>
      <x:c r="N160" s="32" t="n">
        <x:f>MIN(J160,L160,M160)</x:f>
        <x:v>22</x:v>
      </x:c>
      <x:c r="O160" s="10" t="n">
        <x:f>AE159*N160</x:f>
        <x:v>22</x:v>
      </x:c>
      <x:c r="P160" s="9" t="n">
        <x:f>MIN(1,(AB159/(AE159*IF(v01_GroupInCrowding=1,N160,MIN(J160,L160))))^v01_CrowdingExp)</x:f>
        <x:v>0.21524161375272963</x:v>
      </x:c>
      <x:c r="Q160" s="9" t="n">
        <x:f>IF(D160=1,INDEX(v01_WinterMult,G160),1)</x:f>
        <x:v>1</x:v>
      </x:c>
      <x:c r="R160" s="9" t="n">
        <x:f>H160*Z159*v01_WomenShare*v01_BaseFertility*INDEX(v01_FertMult,G160)*Arch_Fertility*(1-P160)</x:f>
        <x:v>0.19925514418071208</x:v>
      </x:c>
      <x:c r="S160" s="9" t="n">
        <x:f>H160*Y159*INDEX(v01_MortChild,G160)/4*Q160</x:f>
        <x:v>0.06486799465344346</x:v>
      </x:c>
      <x:c r="T160" s="9" t="n">
        <x:f>H160*Z159*INDEX(v01_MortAdult,G160)*Arch_AdultMort/4*Q160</x:f>
        <x:v>0.03173829481669416</x:v>
      </x:c>
      <x:c r="U160" s="9" t="n">
        <x:f>H160*AA159*INDEX(v01_MortElder,G160)/4*Q160</x:f>
        <x:v>0.05201988299056187</x:v>
      </x:c>
      <x:c r="V160" s="9" t="n">
        <x:f>H160*MAX(0,AB159-O160)*v01_OvercapLoss</x:f>
        <x:v>0</x:v>
      </x:c>
      <x:c r="W160" s="9" t="n">
        <x:f>H160*Y159/(v01_ChildYears*4)</x:f>
        <x:v>0.11583570473829188</x:v>
      </x:c>
      <x:c r="X160" s="9" t="n">
        <x:f>H160*Z159/(v01_AdultYears*4)</x:f>
        <x:v>0.06825439745525626</x:v>
      </x:c>
      <x:c r="Y160" s="32" t="n">
        <x:f>Y159+R160-S160-W160-Y159*V160/AB159</x:f>
        <x:v>6.505350910133322</x:v>
      </x:c>
      <x:c r="Z160" s="32" t="n">
        <x:f>Z159+W160-X160-T160-Z159*V160/AB159</x:f>
        <x:v>8.479388296918117</x:v>
      </x:c>
      <x:c r="AA160" s="32" t="n">
        <x:f>AA159+X160-U160-AA159*V160/AB159</x:f>
        <x:v>2.097029834087169</x:v>
      </x:c>
      <x:c r="AB160" s="10" t="n">
        <x:f>Y160+Z160+AA160</x:f>
        <x:v>17.081769041138607</x:v>
      </x:c>
      <x:c r="AC160" s="8" t="n">
        <x:f>IF(AND(v01_WinterTrigger=1,D160=1,AB159/AE159&gt;=K160),1,0)</x:f>
        <x:v>0</x:v>
      </x:c>
      <x:c r="AD160" s="8" t="n">
        <x:f>H160*IF(AND(OR(AB159/AE159&gt;=v01_FissionTrigger*N160,AC160=1),AB159/AE159*v01_DaughterShare&gt;=v01_MinDaughter),MAX(1,ROUND(AE159*v01_FissionRate,0)),0)</x:f>
        <x:v>0</x:v>
      </x:c>
      <x:c r="AE160" s="8" t="n">
        <x:f>IF(H160=1,MAX(1,MIN(INDEX(v01_Smax,G160),AE159+AD160)),AE159)</x:f>
        <x:v>1</x:v>
      </x:c>
      <x:c r="AF160" s="8" t="n">
        <x:f>MAX(0,AE160-AE159)</x:f>
        <x:v>0</x:v>
      </x:c>
      <x:c r="AG160" s="9" t="str">
        <x:f>IF(AF160&gt;0,B160,"")</x:f>
      </x:c>
      <x:c r="AH160" s="9" t="n">
        <x:f>IF(F160&gt;=1,1,(1+v01_LowTiesShare*(AE160-1))/AE160)</x:f>
        <x:v>1</x:v>
      </x:c>
      <x:c r="AI160" s="32" t="n">
        <x:f>(Z160+v01_ElderCommons*INDEX(LM_Elder,G160)*AA160)*AH160</x:f>
        <x:v>12.673447965092455</x:v>
      </x:c>
      <x:c r="AJ160" s="32" t="n">
        <x:f>H160*v01_CommonsCoef*AI160^v01_CommonsExp*INDEX(LM_Commons,G160)</x:f>
        <x:v>5.448891511390022</x:v>
      </x:c>
      <x:c r="AK160" s="32" t="n">
        <x:f>H160*v01_RoleScale*Arch_Roles*(AE160*(INDEX(v01_ElderRolePerSett,G160)*v01_OutElder*INDEX(LM_Elder,G160)+INDEX(v01_ShamanPerSett,G160)*v01_OutShaman)+Z160*(INDEX(v01_PriestShare,G160)*v01_OutPriest+INDEX(v01_ScribeShare,G160)*v01_OutScribe*INDEX(LM_Scribe,G160)+INDEX(v01_ScholarShare,G160)*v01_OutScholar*INDEX(LM_Scholar,G160)+INDEX(v01_ResearcherShare,G160)*v01_OutResearcher*INDEX(LM_Researcher,G160)))</x:f>
        <x:v>0</x:v>
      </x:c>
      <x:c r="AL160" s="32" t="n">
        <x:f>H160*v01_RoleScale*Arch_Roles*AE160*INDEX(v01_MonasteryPerSett,G160)*v01_OutMonastery*INDEX(LM_Monastery,G160)</x:f>
        <x:v>0</x:v>
      </x:c>
      <x:c r="AM160" s="32" t="n">
        <x:f>(AJ160+AK160+AL160)/4*INDEX(LM_All,G160)*INDEX(v01_Boon,G160)*Arch_Insight</x:f>
        <x:v>1.3622228778475054</x:v>
      </x:c>
      <x:c r="AN160" s="32" t="n">
        <x:f>H160*(v01_KHPerAdult*Z160+v01_KHOfCommons*AJ160/4*INDEX(LM_All,G160))*v01_KHUsable*Arch_KH</x:f>
        <x:v>0.2967785903921341</x:v>
      </x:c>
      <x:c r="AO160" s="32" t="n">
        <x:f>MIN(AP159+AN160,AM160*v01_KHMaxRatio)</x:f>
        <x:v>0.2967785903921341</x:v>
      </x:c>
      <x:c r="AP160" s="32" t="n">
        <x:f>AP159+AN160-AO160</x:f>
        <x:v>0</x:v>
      </x:c>
      <x:c r="AQ160" s="32" t="n">
        <x:f>AM160+AO160</x:f>
        <x:v>1.6590014682396395</x:v>
      </x:c>
      <x:c r="AR160" s="10" t="n">
        <x:f>IF(H160=1,INDEX(v01_Req,G160),0)</x:f>
        <x:v>372.02</x:v>
      </x:c>
      <x:c r="AS160" s="32" t="n">
        <x:f>IF(H160=1,IF(E160=1,AS159-AR159,AS159)+AQ160,0)</x:f>
        <x:v>241.62402241020072</x:v>
      </x:c>
      <x:c r="AT160" s="11" t="n">
        <x:f>IF(AR160&gt;0,MIN(1,AS160/AR160),1)</x:f>
        <x:v>0.6494920230369354</x:v>
      </x:c>
      <x:c r="AU160" s="10" t="n">
        <x:f>AB160/INDEX(v01_RepScale,G160)</x:f>
        <x:v>17.081769041138607</x:v>
      </x:c>
      <x:c r="AV160" s="32" t="n">
        <x:f>AM160*60/v01_SeasonSeconds</x:f>
        <x:v>5.448891511390022</x:v>
      </x:c>
    </x:row>
    <x:row r="161">
      <x:c r="A161" s="8" t="n">
        <x:f>A160+1</x:f>
        <x:v>158</x:v>
      </x:c>
      <x:c r="B161" s="9" t="n">
        <x:f>A161*v01_SeasonSeconds/60</x:f>
        <x:v>39.5</x:v>
      </x:c>
      <x:c r="C161" s="9" t="n">
        <x:f>A161/4</x:f>
        <x:v>39.5</x:v>
      </x:c>
      <x:c r="D161" s="8" t="n">
        <x:f>IF(MOD(A161,4)=0,1,0)</x:f>
        <x:v>0</x:v>
      </x:c>
      <x:c r="E161" s="8" t="n">
        <x:f>IF(AND(F160&lt;=9,AS160&gt;=AR160),1,0)</x:f>
        <x:v>0</x:v>
      </x:c>
      <x:c r="F161" s="8" t="n">
        <x:f>MIN(10,F160+E161)</x:f>
        <x:v>0</x:v>
      </x:c>
      <x:c r="G161" s="8" t="n">
        <x:f>MIN(F161,9)+1</x:f>
        <x:v>1</x:v>
      </x:c>
      <x:c r="H161" s="8" t="n">
        <x:f>IF(F161&lt;=9,1,0)</x:f>
        <x:v>1</x:v>
      </x:c>
      <x:c r="I161" s="9" t="n">
        <x:f>MIN(10,F160+IF(AR160&gt;0,MIN(1,AS160/AR160),1))</x:f>
        <x:v>0.6494920230369354</x:v>
      </x:c>
      <x:c r="J161" s="32" t="n">
        <x:f>INDEX(v01_FoodCap,G161)*Arch_FoodCap*EXP(v01_CapsByProject*SUMPRODUCT((Cap_Point&lt;=I161)*(Cap_Kind="Food")*Cap_Ln))</x:f>
        <x:v>22</x:v>
      </x:c>
      <x:c r="K161" s="32" t="n">
        <x:f>J161*MIN(1,v01_LeanBase*EXP(v01_CapsByProject*SUMPRODUCT((Cap_Point&lt;=I161)*(Cap_Kind="Lean")*Cap_Ln)))</x:f>
        <x:v>22</x:v>
      </x:c>
      <x:c r="L161" s="10" t="n">
        <x:f>INDEX(v01_HousingCap,G161)*EXP(v01_CapsByProject*SUMPRODUCT((Cap_Point&lt;=I161)*(Cap_Kind="Housing")*Cap_Ln))</x:f>
        <x:v>60</x:v>
      </x:c>
      <x:c r="M161" s="10" t="n">
        <x:f>INDEX(v01_GroupCap,G161)*v01_CohesionFactor*EXP(v01_CapsByProject*SUMPRODUCT((Cap_Point&lt;=I161)*(Cap_Kind="Group")*Cap_Ln))</x:f>
        <x:v>35</x:v>
      </x:c>
      <x:c r="N161" s="32" t="n">
        <x:f>MIN(J161,L161,M161)</x:f>
        <x:v>22</x:v>
      </x:c>
      <x:c r="O161" s="10" t="n">
        <x:f>AE160*N161</x:f>
        <x:v>22</x:v>
      </x:c>
      <x:c r="P161" s="9" t="n">
        <x:f>MIN(1,(AB160/(AE160*IF(v01_GroupInCrowding=1,N161,MIN(J161,L161))))^v01_CrowdingExp)</x:f>
        <x:v>0.2191093893451654</x:v>
      </x:c>
      <x:c r="Q161" s="9" t="n">
        <x:f>IF(D161=1,INDEX(v01_WinterMult,G161),1)</x:f>
        <x:v>1</x:v>
      </x:c>
      <x:c r="R161" s="9" t="n">
        <x:f>H161*Z160*v01_WomenShare*v01_BaseFertility*INDEX(v01_FertMult,G161)*Arch_Fertility*(1-P161)</x:f>
        <x:v>0.19864424115479537</x:v>
      </x:c>
      <x:c r="S161" s="9" t="n">
        <x:f>H161*Y160*INDEX(v01_MortChild,G161)/4*Q161</x:f>
        <x:v>0.06505350910133322</x:v>
      </x:c>
      <x:c r="T161" s="9" t="n">
        <x:f>H161*Z160*INDEX(v01_MortAdult,G161)*Arch_AdultMort/4*Q161</x:f>
        <x:v>0.03179770611344294</x:v>
      </x:c>
      <x:c r="U161" s="9" t="n">
        <x:f>H161*AA160*INDEX(v01_MortElder,G161)/4*Q161</x:f>
        <x:v>0.05242574585217923</x:v>
      </x:c>
      <x:c r="V161" s="9" t="n">
        <x:f>H161*MAX(0,AB160-O161)*v01_OvercapLoss</x:f>
        <x:v>0</x:v>
      </x:c>
      <x:c r="W161" s="9" t="n">
        <x:f>H161*Y160/(v01_ChildYears*4)</x:f>
        <x:v>0.11616698053809503</x:v>
      </x:c>
      <x:c r="X161" s="9" t="n">
        <x:f>H161*Z160/(v01_AdultYears*4)</x:f>
        <x:v>0.06838216368482353</x:v>
      </x:c>
      <x:c r="Y161" s="32" t="n">
        <x:f>Y160+R161-S161-W161-Y160*V161/AB160</x:f>
        <x:v>6.522774661648689</x:v>
      </x:c>
      <x:c r="Z161" s="32" t="n">
        <x:f>Z160+W161-X161-T161-Z160*V161/AB160</x:f>
        <x:v>8.495375407657946</x:v>
      </x:c>
      <x:c r="AA161" s="32" t="n">
        <x:f>AA160+X161-U161-AA160*V161/AB160</x:f>
        <x:v>2.1129862519198137</x:v>
      </x:c>
      <x:c r="AB161" s="10" t="n">
        <x:f>Y161+Z161+AA161</x:f>
        <x:v>17.13113632122645</x:v>
      </x:c>
      <x:c r="AC161" s="8" t="n">
        <x:f>IF(AND(v01_WinterTrigger=1,D161=1,AB160/AE160&gt;=K161),1,0)</x:f>
        <x:v>0</x:v>
      </x:c>
      <x:c r="AD161" s="8" t="n">
        <x:f>H161*IF(AND(OR(AB160/AE160&gt;=v01_FissionTrigger*N161,AC161=1),AB160/AE160*v01_DaughterShare&gt;=v01_MinDaughter),MAX(1,ROUND(AE160*v01_FissionRate,0)),0)</x:f>
        <x:v>0</x:v>
      </x:c>
      <x:c r="AE161" s="8" t="n">
        <x:f>IF(H161=1,MAX(1,MIN(INDEX(v01_Smax,G161),AE160+AD161)),AE160)</x:f>
        <x:v>1</x:v>
      </x:c>
      <x:c r="AF161" s="8" t="n">
        <x:f>MAX(0,AE161-AE160)</x:f>
        <x:v>0</x:v>
      </x:c>
      <x:c r="AG161" s="9" t="str">
        <x:f>IF(AF161&gt;0,B161,"")</x:f>
      </x:c>
      <x:c r="AH161" s="9" t="n">
        <x:f>IF(F161&gt;=1,1,(1+v01_LowTiesShare*(AE161-1))/AE161)</x:f>
        <x:v>1</x:v>
      </x:c>
      <x:c r="AI161" s="32" t="n">
        <x:f>(Z161+v01_ElderCommons*INDEX(LM_Elder,G161)*AA161)*AH161</x:f>
        <x:v>12.721347911497574</x:v>
      </x:c>
      <x:c r="AJ161" s="32" t="n">
        <x:f>H161*v01_CommonsCoef*AI161^v01_CommonsExp*INDEX(LM_Commons,G161)</x:f>
        <x:v>5.466391766553469</x:v>
      </x:c>
      <x:c r="AK161" s="32" t="n">
        <x:f>H161*v01_RoleScale*Arch_Roles*(AE161*(INDEX(v01_ElderRolePerSett,G161)*v01_OutElder*INDEX(LM_Elder,G161)+INDEX(v01_ShamanPerSett,G161)*v01_OutShaman)+Z161*(INDEX(v01_PriestShare,G161)*v01_OutPriest+INDEX(v01_ScribeShare,G161)*v01_OutScribe*INDEX(LM_Scribe,G161)+INDEX(v01_ScholarShare,G161)*v01_OutScholar*INDEX(LM_Scholar,G161)+INDEX(v01_ResearcherShare,G161)*v01_OutResearcher*INDEX(LM_Researcher,G161)))</x:f>
        <x:v>0</x:v>
      </x:c>
      <x:c r="AL161" s="32" t="n">
        <x:f>H161*v01_RoleScale*Arch_Roles*AE161*INDEX(v01_MonasteryPerSett,G161)*v01_OutMonastery*INDEX(LM_Monastery,G161)</x:f>
        <x:v>0</x:v>
      </x:c>
      <x:c r="AM161" s="32" t="n">
        <x:f>(AJ161+AK161+AL161)/4*INDEX(LM_All,G161)*INDEX(v01_Boon,G161)*Arch_Insight</x:f>
        <x:v>1.3665979416383673</x:v>
      </x:c>
      <x:c r="AN161" s="32" t="n">
        <x:f>H161*(v01_KHPerAdult*Z161+v01_KHOfCommons*AJ161/4*INDEX(LM_All,G161))*v01_KHUsable*Arch_KH</x:f>
        <x:v>0.2973381392680281</x:v>
      </x:c>
      <x:c r="AO161" s="32" t="n">
        <x:f>MIN(AP160+AN161,AM161*v01_KHMaxRatio)</x:f>
        <x:v>0.2973381392680281</x:v>
      </x:c>
      <x:c r="AP161" s="32" t="n">
        <x:f>AP160+AN161-AO161</x:f>
        <x:v>0</x:v>
      </x:c>
      <x:c r="AQ161" s="32" t="n">
        <x:f>AM161+AO161</x:f>
        <x:v>1.6639360809063954</x:v>
      </x:c>
      <x:c r="AR161" s="10" t="n">
        <x:f>IF(H161=1,INDEX(v01_Req,G161),0)</x:f>
        <x:v>372.02</x:v>
      </x:c>
      <x:c r="AS161" s="32" t="n">
        <x:f>IF(H161=1,IF(E161=1,AS160-AR160,AS160)+AQ161,0)</x:f>
        <x:v>243.2879584911071</x:v>
      </x:c>
      <x:c r="AT161" s="11" t="n">
        <x:f>IF(AR161&gt;0,MIN(1,AS161/AR161),1)</x:f>
        <x:v>0.6539647290229211</x:v>
      </x:c>
      <x:c r="AU161" s="10" t="n">
        <x:f>AB161/INDEX(v01_RepScale,G161)</x:f>
        <x:v>17.13113632122645</x:v>
      </x:c>
      <x:c r="AV161" s="32" t="n">
        <x:f>AM161*60/v01_SeasonSeconds</x:f>
        <x:v>5.466391766553469</x:v>
      </x:c>
    </x:row>
    <x:row r="162">
      <x:c r="A162" s="8" t="n">
        <x:f>A161+1</x:f>
        <x:v>159</x:v>
      </x:c>
      <x:c r="B162" s="9" t="n">
        <x:f>A162*v01_SeasonSeconds/60</x:f>
        <x:v>39.75</x:v>
      </x:c>
      <x:c r="C162" s="9" t="n">
        <x:f>A162/4</x:f>
        <x:v>39.75</x:v>
      </x:c>
      <x:c r="D162" s="8" t="n">
        <x:f>IF(MOD(A162,4)=0,1,0)</x:f>
        <x:v>0</x:v>
      </x:c>
      <x:c r="E162" s="8" t="n">
        <x:f>IF(AND(F161&lt;=9,AS161&gt;=AR161),1,0)</x:f>
        <x:v>0</x:v>
      </x:c>
      <x:c r="F162" s="8" t="n">
        <x:f>MIN(10,F161+E162)</x:f>
        <x:v>0</x:v>
      </x:c>
      <x:c r="G162" s="8" t="n">
        <x:f>MIN(F162,9)+1</x:f>
        <x:v>1</x:v>
      </x:c>
      <x:c r="H162" s="8" t="n">
        <x:f>IF(F162&lt;=9,1,0)</x:f>
        <x:v>1</x:v>
      </x:c>
      <x:c r="I162" s="9" t="n">
        <x:f>MIN(10,F161+IF(AR161&gt;0,MIN(1,AS161/AR161),1))</x:f>
        <x:v>0.6539647290229211</x:v>
      </x:c>
      <x:c r="J162" s="32" t="n">
        <x:f>INDEX(v01_FoodCap,G162)*Arch_FoodCap*EXP(v01_CapsByProject*SUMPRODUCT((Cap_Point&lt;=I162)*(Cap_Kind="Food")*Cap_Ln))</x:f>
        <x:v>22</x:v>
      </x:c>
      <x:c r="K162" s="32" t="n">
        <x:f>J162*MIN(1,v01_LeanBase*EXP(v01_CapsByProject*SUMPRODUCT((Cap_Point&lt;=I162)*(Cap_Kind="Lean")*Cap_Ln)))</x:f>
        <x:v>22</x:v>
      </x:c>
      <x:c r="L162" s="10" t="n">
        <x:f>INDEX(v01_HousingCap,G162)*EXP(v01_CapsByProject*SUMPRODUCT((Cap_Point&lt;=I162)*(Cap_Kind="Housing")*Cap_Ln))</x:f>
        <x:v>60</x:v>
      </x:c>
      <x:c r="M162" s="10" t="n">
        <x:f>INDEX(v01_GroupCap,G162)*v01_CohesionFactor*EXP(v01_CapsByProject*SUMPRODUCT((Cap_Point&lt;=I162)*(Cap_Kind="Group")*Cap_Ln))</x:f>
        <x:v>35</x:v>
      </x:c>
      <x:c r="N162" s="32" t="n">
        <x:f>MIN(J162,L162,M162)</x:f>
        <x:v>22</x:v>
      </x:c>
      <x:c r="O162" s="10" t="n">
        <x:f>AE161*N162</x:f>
        <x:v>22</x:v>
      </x:c>
      <x:c r="P162" s="9" t="n">
        <x:f>MIN(1,(AB161/(AE161*IF(v01_GroupInCrowding=1,N162,MIN(J162,L162))))^v01_CrowdingExp)</x:f>
        <x:v>0.2229363780623388</x:v>
      </x:c>
      <x:c r="Q162" s="9" t="n">
        <x:f>IF(D162=1,INDEX(v01_WinterMult,G162),1)</x:f>
        <x:v>1</x:v>
      </x:c>
      <x:c r="R162" s="9" t="n">
        <x:f>H162*Z161*v01_WomenShare*v01_BaseFertility*INDEX(v01_FertMult,G162)*Arch_Fertility*(1-P162)</x:f>
        <x:v>0.19804341551984456</x:v>
      </x:c>
      <x:c r="S162" s="9" t="n">
        <x:f>H162*Y161*INDEX(v01_MortChild,G162)/4*Q162</x:f>
        <x:v>0.06522774661648689</x:v>
      </x:c>
      <x:c r="T162" s="9" t="n">
        <x:f>H162*Z161*INDEX(v01_MortAdult,G162)*Arch_AdultMort/4*Q162</x:f>
        <x:v>0.0318576577787173</x:v>
      </x:c>
      <x:c r="U162" s="9" t="n">
        <x:f>H162*AA161*INDEX(v01_MortElder,G162)/4*Q162</x:f>
        <x:v>0.05282465629799535</x:v>
      </x:c>
      <x:c r="V162" s="9" t="n">
        <x:f>H162*MAX(0,AB161-O162)*v01_OvercapLoss</x:f>
        <x:v>0</x:v>
      </x:c>
      <x:c r="W162" s="9" t="n">
        <x:f>H162*Y161/(v01_ChildYears*4)</x:f>
        <x:v>0.1164781189580123</x:v>
      </x:c>
      <x:c r="X162" s="9" t="n">
        <x:f>H162*Z161/(v01_AdultYears*4)</x:f>
        <x:v>0.0685110919972415</x:v>
      </x:c>
      <x:c r="Y162" s="32" t="n">
        <x:f>Y161+R162-S162-W162-Y161*V162/AB161</x:f>
        <x:v>6.539112211594034</x:v>
      </x:c>
      <x:c r="Z162" s="32" t="n">
        <x:f>Z161+W162-X162-T162-Z161*V162/AB161</x:f>
        <x:v>8.51148477684</x:v>
      </x:c>
      <x:c r="AA162" s="32" t="n">
        <x:f>AA161+X162-U162-AA161*V162/AB161</x:f>
        <x:v>2.12867268761906</x:v>
      </x:c>
      <x:c r="AB162" s="10" t="n">
        <x:f>Y162+Z162+AA162</x:f>
        <x:v>17.179269676053092</x:v>
      </x:c>
      <x:c r="AC162" s="8" t="n">
        <x:f>IF(AND(v01_WinterTrigger=1,D162=1,AB161/AE161&gt;=K162),1,0)</x:f>
        <x:v>0</x:v>
      </x:c>
      <x:c r="AD162" s="8" t="n">
        <x:f>H162*IF(AND(OR(AB161/AE161&gt;=v01_FissionTrigger*N162,AC162=1),AB161/AE161*v01_DaughterShare&gt;=v01_MinDaughter),MAX(1,ROUND(AE161*v01_FissionRate,0)),0)</x:f>
        <x:v>0</x:v>
      </x:c>
      <x:c r="AE162" s="8" t="n">
        <x:f>IF(H162=1,MAX(1,MIN(INDEX(v01_Smax,G162),AE161+AD162)),AE161)</x:f>
        <x:v>1</x:v>
      </x:c>
      <x:c r="AF162" s="8" t="n">
        <x:f>MAX(0,AE162-AE161)</x:f>
        <x:v>0</x:v>
      </x:c>
      <x:c r="AG162" s="9" t="str">
        <x:f>IF(AF162&gt;0,B162,"")</x:f>
      </x:c>
      <x:c r="AH162" s="9" t="n">
        <x:f>IF(F162&gt;=1,1,(1+v01_LowTiesShare*(AE162-1))/AE162)</x:f>
        <x:v>1</x:v>
      </x:c>
      <x:c r="AI162" s="32" t="n">
        <x:f>(Z162+v01_ElderCommons*INDEX(LM_Elder,G162)*AA162)*AH162</x:f>
        <x:v>12.76883015207812</x:v>
      </x:c>
      <x:c r="AJ162" s="32" t="n">
        <x:f>H162*v01_CommonsCoef*AI162^v01_CommonsExp*INDEX(LM_Commons,G162)</x:f>
        <x:v>5.483729660220736</x:v>
      </x:c>
      <x:c r="AK162" s="32" t="n">
        <x:f>H162*v01_RoleScale*Arch_Roles*(AE162*(INDEX(v01_ElderRolePerSett,G162)*v01_OutElder*INDEX(LM_Elder,G162)+INDEX(v01_ShamanPerSett,G162)*v01_OutShaman)+Z162*(INDEX(v01_PriestShare,G162)*v01_OutPriest+INDEX(v01_ScribeShare,G162)*v01_OutScribe*INDEX(LM_Scribe,G162)+INDEX(v01_ScholarShare,G162)*v01_OutScholar*INDEX(LM_Scholar,G162)+INDEX(v01_ResearcherShare,G162)*v01_OutResearcher*INDEX(LM_Researcher,G162)))</x:f>
        <x:v>0</x:v>
      </x:c>
      <x:c r="AL162" s="32" t="n">
        <x:f>H162*v01_RoleScale*Arch_Roles*AE162*INDEX(v01_MonasteryPerSett,G162)*v01_OutMonastery*INDEX(LM_Monastery,G162)</x:f>
        <x:v>0</x:v>
      </x:c>
      <x:c r="AM162" s="32" t="n">
        <x:f>(AJ162+AK162+AL162)/4*INDEX(LM_All,G162)*INDEX(v01_Boon,G162)*Arch_Insight</x:f>
        <x:v>1.370932415055184</x:v>
      </x:c>
      <x:c r="AN162" s="32" t="n">
        <x:f>H162*(v01_KHPerAdult*Z162+v01_KHOfCommons*AJ162/4*INDEX(LM_All,G162))*v01_KHUsable*Arch_KH</x:f>
        <x:v>0.2979019671894</x:v>
      </x:c>
      <x:c r="AO162" s="32" t="n">
        <x:f>MIN(AP161+AN162,AM162*v01_KHMaxRatio)</x:f>
        <x:v>0.2979019671894</x:v>
      </x:c>
      <x:c r="AP162" s="32" t="n">
        <x:f>AP161+AN162-AO162</x:f>
        <x:v>0</x:v>
      </x:c>
      <x:c r="AQ162" s="32" t="n">
        <x:f>AM162+AO162</x:f>
        <x:v>1.668834382244584</x:v>
      </x:c>
      <x:c r="AR162" s="10" t="n">
        <x:f>IF(H162=1,INDEX(v01_Req,G162),0)</x:f>
        <x:v>372.02</x:v>
      </x:c>
      <x:c r="AS162" s="32" t="n">
        <x:f>IF(H162=1,IF(E162=1,AS161-AR161,AS161)+AQ162,0)</x:f>
        <x:v>244.9567928733517</x:v>
      </x:c>
      <x:c r="AT162" s="11" t="n">
        <x:f>IF(AR162&gt;0,MIN(1,AS162/AR162),1)</x:f>
        <x:v>0.6584506017777316</x:v>
      </x:c>
      <x:c r="AU162" s="10" t="n">
        <x:f>AB162/INDEX(v01_RepScale,G162)</x:f>
        <x:v>17.179269676053092</x:v>
      </x:c>
      <x:c r="AV162" s="32" t="n">
        <x:f>AM162*60/v01_SeasonSeconds</x:f>
        <x:v>5.483729660220736</x:v>
      </x:c>
    </x:row>
    <x:row r="163">
      <x:c r="A163" s="8" t="n">
        <x:f>A162+1</x:f>
        <x:v>160</x:v>
      </x:c>
      <x:c r="B163" s="9" t="n">
        <x:f>A163*v01_SeasonSeconds/60</x:f>
        <x:v>40</x:v>
      </x:c>
      <x:c r="C163" s="9" t="n">
        <x:f>A163/4</x:f>
        <x:v>40</x:v>
      </x:c>
      <x:c r="D163" s="8" t="n">
        <x:f>IF(MOD(A163,4)=0,1,0)</x:f>
        <x:v>1</x:v>
      </x:c>
      <x:c r="E163" s="8" t="n">
        <x:f>IF(AND(F162&lt;=9,AS162&gt;=AR162),1,0)</x:f>
        <x:v>0</x:v>
      </x:c>
      <x:c r="F163" s="8" t="n">
        <x:f>MIN(10,F162+E163)</x:f>
        <x:v>0</x:v>
      </x:c>
      <x:c r="G163" s="8" t="n">
        <x:f>MIN(F163,9)+1</x:f>
        <x:v>1</x:v>
      </x:c>
      <x:c r="H163" s="8" t="n">
        <x:f>IF(F163&lt;=9,1,0)</x:f>
        <x:v>1</x:v>
      </x:c>
      <x:c r="I163" s="9" t="n">
        <x:f>MIN(10,F162+IF(AR162&gt;0,MIN(1,AS162/AR162),1))</x:f>
        <x:v>0.6584506017777316</x:v>
      </x:c>
      <x:c r="J163" s="32" t="n">
        <x:f>INDEX(v01_FoodCap,G163)*Arch_FoodCap*EXP(v01_CapsByProject*SUMPRODUCT((Cap_Point&lt;=I163)*(Cap_Kind="Food")*Cap_Ln))</x:f>
        <x:v>22</x:v>
      </x:c>
      <x:c r="K163" s="32" t="n">
        <x:f>J163*MIN(1,v01_LeanBase*EXP(v01_CapsByProject*SUMPRODUCT((Cap_Point&lt;=I163)*(Cap_Kind="Lean")*Cap_Ln)))</x:f>
        <x:v>22</x:v>
      </x:c>
      <x:c r="L163" s="10" t="n">
        <x:f>INDEX(v01_HousingCap,G163)*EXP(v01_CapsByProject*SUMPRODUCT((Cap_Point&lt;=I163)*(Cap_Kind="Housing")*Cap_Ln))</x:f>
        <x:v>60</x:v>
      </x:c>
      <x:c r="M163" s="10" t="n">
        <x:f>INDEX(v01_GroupCap,G163)*v01_CohesionFactor*EXP(v01_CapsByProject*SUMPRODUCT((Cap_Point&lt;=I163)*(Cap_Kind="Group")*Cap_Ln))</x:f>
        <x:v>35</x:v>
      </x:c>
      <x:c r="N163" s="32" t="n">
        <x:f>MIN(J163,L163,M163)</x:f>
        <x:v>22</x:v>
      </x:c>
      <x:c r="O163" s="10" t="n">
        <x:f>AE162*N163</x:f>
        <x:v>22</x:v>
      </x:c>
      <x:c r="P163" s="9" t="n">
        <x:f>MIN(1,(AB162/(AE162*IF(v01_GroupInCrowding=1,N163,MIN(J163,L163))))^v01_CrowdingExp)</x:f>
        <x:v>0.22672118258713017</x:v>
      </x:c>
      <x:c r="Q163" s="9" t="n">
        <x:f>IF(D163=1,INDEX(v01_WinterMult,G163),1)</x:f>
        <x:v>2</x:v>
      </x:c>
      <x:c r="R163" s="9" t="n">
        <x:f>H163*Z162*v01_WomenShare*v01_BaseFertility*INDEX(v01_FertMult,G163)*Arch_Fertility*(1-P163)</x:f>
        <x:v>0.19745252647987435</x:v>
      </x:c>
      <x:c r="S163" s="9" t="n">
        <x:f>H163*Y162*INDEX(v01_MortChild,G163)/4*Q163</x:f>
        <x:v>0.13078224423188067</x:v>
      </x:c>
      <x:c r="T163" s="9" t="n">
        <x:f>H163*Z162*INDEX(v01_MortAdult,G163)*Arch_AdultMort/4*Q163</x:f>
        <x:v>0.06383613582629999</x:v>
      </x:c>
      <x:c r="U163" s="9" t="n">
        <x:f>H163*AA162*INDEX(v01_MortElder,G163)/4*Q163</x:f>
        <x:v>0.10643363438095299</x:v>
      </x:c>
      <x:c r="V163" s="9" t="n">
        <x:f>H163*MAX(0,AB162-O163)*v01_OvercapLoss</x:f>
        <x:v>0</x:v>
      </x:c>
      <x:c r="W163" s="9" t="n">
        <x:f>H163*Y162/(v01_ChildYears*4)</x:f>
        <x:v>0.11676986092132204</x:v>
      </x:c>
      <x:c r="X163" s="9" t="n">
        <x:f>H163*Z162/(v01_AdultYears*4)</x:f>
        <x:v>0.06864100626483871</x:v>
      </x:c>
      <x:c r="Y163" s="32" t="n">
        <x:f>Y162+R163-S163-W163-Y162*V163/AB162</x:f>
        <x:v>6.489012632920705</x:v>
      </x:c>
      <x:c r="Z163" s="32" t="n">
        <x:f>Z162+W163-X163-T163-Z162*V163/AB162</x:f>
        <x:v>8.495777495670183</x:v>
      </x:c>
      <x:c r="AA163" s="32" t="n">
        <x:f>AA162+X163-U163-AA162*V163/AB162</x:f>
        <x:v>2.0908800595029455</x:v>
      </x:c>
      <x:c r="AB163" s="10" t="n">
        <x:f>Y163+Z163+AA163</x:f>
        <x:v>17.075670188093834</x:v>
      </x:c>
      <x:c r="AC163" s="8" t="n">
        <x:f>IF(AND(v01_WinterTrigger=1,D163=1,AB162/AE162&gt;=K163),1,0)</x:f>
        <x:v>0</x:v>
      </x:c>
      <x:c r="AD163" s="8" t="n">
        <x:f>H163*IF(AND(OR(AB162/AE162&gt;=v01_FissionTrigger*N163,AC163=1),AB162/AE162*v01_DaughterShare&gt;=v01_MinDaughter),MAX(1,ROUND(AE162*v01_FissionRate,0)),0)</x:f>
        <x:v>0</x:v>
      </x:c>
      <x:c r="AE163" s="8" t="n">
        <x:f>IF(H163=1,MAX(1,MIN(INDEX(v01_Smax,G163),AE162+AD163)),AE162)</x:f>
        <x:v>1</x:v>
      </x:c>
      <x:c r="AF163" s="8" t="n">
        <x:f>MAX(0,AE163-AE162)</x:f>
        <x:v>0</x:v>
      </x:c>
      <x:c r="AG163" s="9" t="str">
        <x:f>IF(AF163&gt;0,B163,"")</x:f>
      </x:c>
      <x:c r="AH163" s="9" t="n">
        <x:f>IF(F163&gt;=1,1,(1+v01_LowTiesShare*(AE163-1))/AE163)</x:f>
        <x:v>1</x:v>
      </x:c>
      <x:c r="AI163" s="32" t="n">
        <x:f>(Z163+v01_ElderCommons*INDEX(LM_Elder,G163)*AA163)*AH163</x:f>
        <x:v>12.677537614676073</x:v>
      </x:c>
      <x:c r="AJ163" s="32" t="n">
        <x:f>H163*v01_CommonsCoef*AI163^v01_CommonsExp*INDEX(LM_Commons,G163)</x:f>
        <x:v>5.4503860525797725</x:v>
      </x:c>
      <x:c r="AK163" s="32" t="n">
        <x:f>H163*v01_RoleScale*Arch_Roles*(AE163*(INDEX(v01_ElderRolePerSett,G163)*v01_OutElder*INDEX(LM_Elder,G163)+INDEX(v01_ShamanPerSett,G163)*v01_OutShaman)+Z163*(INDEX(v01_PriestShare,G163)*v01_OutPriest+INDEX(v01_ScribeShare,G163)*v01_OutScribe*INDEX(LM_Scribe,G163)+INDEX(v01_ScholarShare,G163)*v01_OutScholar*INDEX(LM_Scholar,G163)+INDEX(v01_ResearcherShare,G163)*v01_OutResearcher*INDEX(LM_Researcher,G163)))</x:f>
        <x:v>0</x:v>
      </x:c>
      <x:c r="AL163" s="32" t="n">
        <x:f>H163*v01_RoleScale*Arch_Roles*AE163*INDEX(v01_MonasteryPerSett,G163)*v01_OutMonastery*INDEX(LM_Monastery,G163)</x:f>
        <x:v>0</x:v>
      </x:c>
      <x:c r="AM163" s="32" t="n">
        <x:f>(AJ163+AK163+AL163)/4*INDEX(LM_All,G163)*INDEX(v01_Boon,G163)*Arch_Insight</x:f>
        <x:v>1.3625965131449431</x:v>
      </x:c>
      <x:c r="AN163" s="32" t="n">
        <x:f>H163*(v01_KHPerAdult*Z163+v01_KHOfCommons*AJ163/4*INDEX(LM_All,G163))*v01_KHUsable*Arch_KH</x:f>
        <x:v>0.2973522123484564</x:v>
      </x:c>
      <x:c r="AO163" s="32" t="n">
        <x:f>MIN(AP162+AN163,AM163*v01_KHMaxRatio)</x:f>
        <x:v>0.2973522123484564</x:v>
      </x:c>
      <x:c r="AP163" s="32" t="n">
        <x:f>AP162+AN163-AO163</x:f>
        <x:v>0</x:v>
      </x:c>
      <x:c r="AQ163" s="32" t="n">
        <x:f>AM163+AO163</x:f>
        <x:v>1.6599487254933996</x:v>
      </x:c>
      <x:c r="AR163" s="10" t="n">
        <x:f>IF(H163=1,INDEX(v01_Req,G163),0)</x:f>
        <x:v>372.02</x:v>
      </x:c>
      <x:c r="AS163" s="32" t="n">
        <x:f>IF(H163=1,IF(E163=1,AS162-AR162,AS162)+AQ163,0)</x:f>
        <x:v>246.6167415988451</x:v>
      </x:c>
      <x:c r="AT163" s="11" t="n">
        <x:f>IF(AR163&gt;0,MIN(1,AS163/AR163),1)</x:f>
        <x:v>0.6629125896426136</x:v>
      </x:c>
      <x:c r="AU163" s="10" t="n">
        <x:f>AB163/INDEX(v01_RepScale,G163)</x:f>
        <x:v>17.075670188093834</x:v>
      </x:c>
      <x:c r="AV163" s="32" t="n">
        <x:f>AM163*60/v01_SeasonSeconds</x:f>
        <x:v>5.4503860525797725</x:v>
      </x:c>
    </x:row>
    <x:row r="164">
      <x:c r="A164" s="8" t="n">
        <x:f>A163+1</x:f>
        <x:v>161</x:v>
      </x:c>
      <x:c r="B164" s="9" t="n">
        <x:f>A164*v01_SeasonSeconds/60</x:f>
        <x:v>40.25</x:v>
      </x:c>
      <x:c r="C164" s="9" t="n">
        <x:f>A164/4</x:f>
        <x:v>40.25</x:v>
      </x:c>
      <x:c r="D164" s="8" t="n">
        <x:f>IF(MOD(A164,4)=0,1,0)</x:f>
        <x:v>0</x:v>
      </x:c>
      <x:c r="E164" s="8" t="n">
        <x:f>IF(AND(F163&lt;=9,AS163&gt;=AR163),1,0)</x:f>
        <x:v>0</x:v>
      </x:c>
      <x:c r="F164" s="8" t="n">
        <x:f>MIN(10,F163+E164)</x:f>
        <x:v>0</x:v>
      </x:c>
      <x:c r="G164" s="8" t="n">
        <x:f>MIN(F164,9)+1</x:f>
        <x:v>1</x:v>
      </x:c>
      <x:c r="H164" s="8" t="n">
        <x:f>IF(F164&lt;=9,1,0)</x:f>
        <x:v>1</x:v>
      </x:c>
      <x:c r="I164" s="9" t="n">
        <x:f>MIN(10,F163+IF(AR163&gt;0,MIN(1,AS163/AR163),1))</x:f>
        <x:v>0.6629125896426136</x:v>
      </x:c>
      <x:c r="J164" s="32" t="n">
        <x:f>INDEX(v01_FoodCap,G164)*Arch_FoodCap*EXP(v01_CapsByProject*SUMPRODUCT((Cap_Point&lt;=I164)*(Cap_Kind="Food")*Cap_Ln))</x:f>
        <x:v>22</x:v>
      </x:c>
      <x:c r="K164" s="32" t="n">
        <x:f>J164*MIN(1,v01_LeanBase*EXP(v01_CapsByProject*SUMPRODUCT((Cap_Point&lt;=I164)*(Cap_Kind="Lean")*Cap_Ln)))</x:f>
        <x:v>22</x:v>
      </x:c>
      <x:c r="L164" s="10" t="n">
        <x:f>INDEX(v01_HousingCap,G164)*EXP(v01_CapsByProject*SUMPRODUCT((Cap_Point&lt;=I164)*(Cap_Kind="Housing")*Cap_Ln))</x:f>
        <x:v>60</x:v>
      </x:c>
      <x:c r="M164" s="10" t="n">
        <x:f>INDEX(v01_GroupCap,G164)*v01_CohesionFactor*EXP(v01_CapsByProject*SUMPRODUCT((Cap_Point&lt;=I164)*(Cap_Kind="Group")*Cap_Ln))</x:f>
        <x:v>35</x:v>
      </x:c>
      <x:c r="N164" s="32" t="n">
        <x:f>MIN(J164,L164,M164)</x:f>
        <x:v>22</x:v>
      </x:c>
      <x:c r="O164" s="10" t="n">
        <x:f>AE163*N164</x:f>
        <x:v>22</x:v>
      </x:c>
      <x:c r="P164" s="9" t="n">
        <x:f>MIN(1,(AB163/(AE163*IF(v01_GroupInCrowding=1,N164,MIN(J164,L164))))^v01_CrowdingExp)</x:f>
        <x:v>0.21864042489326266</x:v>
      </x:c>
      <x:c r="Q164" s="9" t="n">
        <x:f>IF(D164=1,INDEX(v01_WinterMult,G164),1)</x:f>
        <x:v>1</x:v>
      </x:c>
      <x:c r="R164" s="9" t="n">
        <x:f>H164*Z163*v01_WomenShare*v01_BaseFertility*INDEX(v01_FertMult,G164)*Arch_Fertility*(1-P164)</x:f>
        <x:v>0.19914771282654703</x:v>
      </x:c>
      <x:c r="S164" s="9" t="n">
        <x:f>H164*Y163*INDEX(v01_MortChild,G164)/4*Q164</x:f>
        <x:v>0.06489012632920706</x:v>
      </x:c>
      <x:c r="T164" s="9" t="n">
        <x:f>H164*Z163*INDEX(v01_MortAdult,G164)*Arch_AdultMort/4*Q164</x:f>
        <x:v>0.03185916560876318</x:v>
      </x:c>
      <x:c r="U164" s="9" t="n">
        <x:f>H164*AA163*INDEX(v01_MortElder,G164)/4*Q164</x:f>
        <x:v>0.05227200148757364</x:v>
      </x:c>
      <x:c r="V164" s="9" t="n">
        <x:f>H164*MAX(0,AB163-O164)*v01_OvercapLoss</x:f>
        <x:v>0</x:v>
      </x:c>
      <x:c r="W164" s="9" t="n">
        <x:f>H164*Y163/(v01_ChildYears*4)</x:f>
        <x:v>0.11587522558786974</x:v>
      </x:c>
      <x:c r="X164" s="9" t="n">
        <x:f>H164*Z163/(v01_AdultYears*4)</x:f>
        <x:v>0.06851433464250148</x:v>
      </x:c>
      <x:c r="Y164" s="32" t="n">
        <x:f>Y163+R164-S164-W164-Y163*V164/AB163</x:f>
        <x:v>6.507394993830175</x:v>
      </x:c>
      <x:c r="Z164" s="32" t="n">
        <x:f>Z163+W164-X164-T164-Z163*V164/AB163</x:f>
        <x:v>8.511279221006788</x:v>
      </x:c>
      <x:c r="AA164" s="32" t="n">
        <x:f>AA163+X164-U164-AA163*V164/AB163</x:f>
        <x:v>2.1071223926578737</x:v>
      </x:c>
      <x:c r="AB164" s="10" t="n">
        <x:f>Y164+Z164+AA164</x:f>
        <x:v>17.125796607494838</x:v>
      </x:c>
      <x:c r="AC164" s="8" t="n">
        <x:f>IF(AND(v01_WinterTrigger=1,D164=1,AB163/AE163&gt;=K164),1,0)</x:f>
        <x:v>0</x:v>
      </x:c>
      <x:c r="AD164" s="8" t="n">
        <x:f>H164*IF(AND(OR(AB163/AE163&gt;=v01_FissionTrigger*N164,AC164=1),AB163/AE163*v01_DaughterShare&gt;=v01_MinDaughter),MAX(1,ROUND(AE163*v01_FissionRate,0)),0)</x:f>
        <x:v>0</x:v>
      </x:c>
      <x:c r="AE164" s="8" t="n">
        <x:f>IF(H164=1,MAX(1,MIN(INDEX(v01_Smax,G164),AE163+AD164)),AE163)</x:f>
        <x:v>1</x:v>
      </x:c>
      <x:c r="AF164" s="8" t="n">
        <x:f>MAX(0,AE164-AE163)</x:f>
        <x:v>0</x:v>
      </x:c>
      <x:c r="AG164" s="9" t="str">
        <x:f>IF(AF164&gt;0,B164,"")</x:f>
      </x:c>
      <x:c r="AH164" s="9" t="n">
        <x:f>IF(F164&gt;=1,1,(1+v01_LowTiesShare*(AE164-1))/AE164)</x:f>
        <x:v>1</x:v>
      </x:c>
      <x:c r="AI164" s="32" t="n">
        <x:f>(Z164+v01_ElderCommons*INDEX(LM_Elder,G164)*AA164)*AH164</x:f>
        <x:v>12.725524006322535</x:v>
      </x:c>
      <x:c r="AJ164" s="32" t="n">
        <x:f>H164*v01_CommonsCoef*AI164^v01_CommonsExp*INDEX(LM_Commons,G164)</x:f>
        <x:v>5.467917034730307</x:v>
      </x:c>
      <x:c r="AK164" s="32" t="n">
        <x:f>H164*v01_RoleScale*Arch_Roles*(AE164*(INDEX(v01_ElderRolePerSett,G164)*v01_OutElder*INDEX(LM_Elder,G164)+INDEX(v01_ShamanPerSett,G164)*v01_OutShaman)+Z164*(INDEX(v01_PriestShare,G164)*v01_OutPriest+INDEX(v01_ScribeShare,G164)*v01_OutScribe*INDEX(LM_Scribe,G164)+INDEX(v01_ScholarShare,G164)*v01_OutScholar*INDEX(LM_Scholar,G164)+INDEX(v01_ResearcherShare,G164)*v01_OutResearcher*INDEX(LM_Researcher,G164)))</x:f>
        <x:v>0</x:v>
      </x:c>
      <x:c r="AL164" s="32" t="n">
        <x:f>H164*v01_RoleScale*Arch_Roles*AE164*INDEX(v01_MonasteryPerSett,G164)*v01_OutMonastery*INDEX(LM_Monastery,G164)</x:f>
        <x:v>0</x:v>
      </x:c>
      <x:c r="AM164" s="32" t="n">
        <x:f>(AJ164+AK164+AL164)/4*INDEX(LM_All,G164)*INDEX(v01_Boon,G164)*Arch_Insight</x:f>
        <x:v>1.3669792586825769</x:v>
      </x:c>
      <x:c r="AN164" s="32" t="n">
        <x:f>H164*(v01_KHPerAdult*Z164+v01_KHOfCommons*AJ164/4*INDEX(LM_All,G164))*v01_KHUsable*Arch_KH</x:f>
        <x:v>0.29789477273523757</x:v>
      </x:c>
      <x:c r="AO164" s="32" t="n">
        <x:f>MIN(AP163+AN164,AM164*v01_KHMaxRatio)</x:f>
        <x:v>0.29789477273523757</x:v>
      </x:c>
      <x:c r="AP164" s="32" t="n">
        <x:f>AP163+AN164-AO164</x:f>
        <x:v>0</x:v>
      </x:c>
      <x:c r="AQ164" s="32" t="n">
        <x:f>AM164+AO164</x:f>
        <x:v>1.6648740314178143</x:v>
      </x:c>
      <x:c r="AR164" s="10" t="n">
        <x:f>IF(H164=1,INDEX(v01_Req,G164),0)</x:f>
        <x:v>372.02</x:v>
      </x:c>
      <x:c r="AS164" s="32" t="n">
        <x:f>IF(H164=1,IF(E164=1,AS163-AR163,AS163)+AQ164,0)</x:f>
        <x:v>248.2816156302629</x:v>
      </x:c>
      <x:c r="AT164" s="11" t="n">
        <x:f>IF(AR164&gt;0,MIN(1,AS164/AR164),1)</x:f>
        <x:v>0.6673878168653914</x:v>
      </x:c>
      <x:c r="AU164" s="10" t="n">
        <x:f>AB164/INDEX(v01_RepScale,G164)</x:f>
        <x:v>17.125796607494838</x:v>
      </x:c>
      <x:c r="AV164" s="32" t="n">
        <x:f>AM164*60/v01_SeasonSeconds</x:f>
        <x:v>5.467917034730307</x:v>
      </x:c>
    </x:row>
    <x:row r="165">
      <x:c r="A165" s="8" t="n">
        <x:f>A164+1</x:f>
        <x:v>162</x:v>
      </x:c>
      <x:c r="B165" s="9" t="n">
        <x:f>A165*v01_SeasonSeconds/60</x:f>
        <x:v>40.5</x:v>
      </x:c>
      <x:c r="C165" s="9" t="n">
        <x:f>A165/4</x:f>
        <x:v>40.5</x:v>
      </x:c>
      <x:c r="D165" s="8" t="n">
        <x:f>IF(MOD(A165,4)=0,1,0)</x:f>
        <x:v>0</x:v>
      </x:c>
      <x:c r="E165" s="8" t="n">
        <x:f>IF(AND(F164&lt;=9,AS164&gt;=AR164),1,0)</x:f>
        <x:v>0</x:v>
      </x:c>
      <x:c r="F165" s="8" t="n">
        <x:f>MIN(10,F164+E165)</x:f>
        <x:v>0</x:v>
      </x:c>
      <x:c r="G165" s="8" t="n">
        <x:f>MIN(F165,9)+1</x:f>
        <x:v>1</x:v>
      </x:c>
      <x:c r="H165" s="8" t="n">
        <x:f>IF(F165&lt;=9,1,0)</x:f>
        <x:v>1</x:v>
      </x:c>
      <x:c r="I165" s="9" t="n">
        <x:f>MIN(10,F164+IF(AR164&gt;0,MIN(1,AS164/AR164),1))</x:f>
        <x:v>0.6673878168653914</x:v>
      </x:c>
      <x:c r="J165" s="32" t="n">
        <x:f>INDEX(v01_FoodCap,G165)*Arch_FoodCap*EXP(v01_CapsByProject*SUMPRODUCT((Cap_Point&lt;=I165)*(Cap_Kind="Food")*Cap_Ln))</x:f>
        <x:v>22</x:v>
      </x:c>
      <x:c r="K165" s="32" t="n">
        <x:f>J165*MIN(1,v01_LeanBase*EXP(v01_CapsByProject*SUMPRODUCT((Cap_Point&lt;=I165)*(Cap_Kind="Lean")*Cap_Ln)))</x:f>
        <x:v>22</x:v>
      </x:c>
      <x:c r="L165" s="10" t="n">
        <x:f>INDEX(v01_HousingCap,G165)*EXP(v01_CapsByProject*SUMPRODUCT((Cap_Point&lt;=I165)*(Cap_Kind="Housing")*Cap_Ln))</x:f>
        <x:v>60</x:v>
      </x:c>
      <x:c r="M165" s="10" t="n">
        <x:f>INDEX(v01_GroupCap,G165)*v01_CohesionFactor*EXP(v01_CapsByProject*SUMPRODUCT((Cap_Point&lt;=I165)*(Cap_Kind="Group")*Cap_Ln))</x:f>
        <x:v>35</x:v>
      </x:c>
      <x:c r="N165" s="32" t="n">
        <x:f>MIN(J165,L165,M165)</x:f>
        <x:v>22</x:v>
      </x:c>
      <x:c r="O165" s="10" t="n">
        <x:f>AE164*N165</x:f>
        <x:v>22</x:v>
      </x:c>
      <x:c r="P165" s="9" t="n">
        <x:f>MIN(1,(AB164/(AE164*IF(v01_GroupInCrowding=1,N165,MIN(J165,L165))))^v01_CrowdingExp)</x:f>
        <x:v>0.22251977200153727</x:v>
      </x:c>
      <x:c r="Q165" s="9" t="n">
        <x:f>IF(D165=1,INDEX(v01_WinterMult,G165),1)</x:f>
        <x:v>1</x:v>
      </x:c>
      <x:c r="R165" s="9" t="n">
        <x:f>H165*Z164*v01_WomenShare*v01_BaseFertility*INDEX(v01_FertMult,G165)*Arch_Fertility*(1-P165)</x:f>
        <x:v>0.19852053927920807</x:v>
      </x:c>
      <x:c r="S165" s="9" t="n">
        <x:f>H165*Y164*INDEX(v01_MortChild,G165)/4*Q165</x:f>
        <x:v>0.06507394993830175</x:v>
      </x:c>
      <x:c r="T165" s="9" t="n">
        <x:f>H165*Z164*INDEX(v01_MortAdult,G165)*Arch_AdultMort/4*Q165</x:f>
        <x:v>0.031917297078775456</x:v>
      </x:c>
      <x:c r="U165" s="9" t="n">
        <x:f>H165*AA164*INDEX(v01_MortElder,G165)/4*Q165</x:f>
        <x:v>0.05267805981644685</x:v>
      </x:c>
      <x:c r="V165" s="9" t="n">
        <x:f>H165*MAX(0,AB164-O165)*v01_OvercapLoss</x:f>
        <x:v>0</x:v>
      </x:c>
      <x:c r="W165" s="9" t="n">
        <x:f>H165*Y164/(v01_ChildYears*4)</x:f>
        <x:v>0.1162034820326817</x:v>
      </x:c>
      <x:c r="X165" s="9" t="n">
        <x:f>H165*Z164/(v01_AdultYears*4)</x:f>
        <x:v>0.06863934855650636</x:v>
      </x:c>
      <x:c r="Y165" s="32" t="n">
        <x:f>Y164+R165-S165-W165-Y164*V165/AB164</x:f>
        <x:v>6.524638101138399</x:v>
      </x:c>
      <x:c r="Z165" s="32" t="n">
        <x:f>Z164+W165-X165-T165-Z164*V165/AB164</x:f>
        <x:v>8.526926057404188</x:v>
      </x:c>
      <x:c r="AA165" s="32" t="n">
        <x:f>AA164+X165-U165-AA164*V165/AB164</x:f>
        <x:v>2.1230836813979335</x:v>
      </x:c>
      <x:c r="AB165" s="10" t="n">
        <x:f>Y165+Z165+AA165</x:f>
        <x:v>17.17464783994052</x:v>
      </x:c>
      <x:c r="AC165" s="8" t="n">
        <x:f>IF(AND(v01_WinterTrigger=1,D165=1,AB164/AE164&gt;=K165),1,0)</x:f>
        <x:v>0</x:v>
      </x:c>
      <x:c r="AD165" s="8" t="n">
        <x:f>H165*IF(AND(OR(AB164/AE164&gt;=v01_FissionTrigger*N165,AC165=1),AB164/AE164*v01_DaughterShare&gt;=v01_MinDaughter),MAX(1,ROUND(AE164*v01_FissionRate,0)),0)</x:f>
        <x:v>0</x:v>
      </x:c>
      <x:c r="AE165" s="8" t="n">
        <x:f>IF(H165=1,MAX(1,MIN(INDEX(v01_Smax,G165),AE164+AD165)),AE164)</x:f>
        <x:v>1</x:v>
      </x:c>
      <x:c r="AF165" s="8" t="n">
        <x:f>MAX(0,AE165-AE164)</x:f>
        <x:v>0</x:v>
      </x:c>
      <x:c r="AG165" s="9" t="str">
        <x:f>IF(AF165&gt;0,B165,"")</x:f>
      </x:c>
      <x:c r="AH165" s="9" t="n">
        <x:f>IF(F165&gt;=1,1,(1+v01_LowTiesShare*(AE165-1))/AE165)</x:f>
        <x:v>1</x:v>
      </x:c>
      <x:c r="AI165" s="32" t="n">
        <x:f>(Z165+v01_ElderCommons*INDEX(LM_Elder,G165)*AA165)*AH165</x:f>
        <x:v>12.773093420200055</x:v>
      </x:c>
      <x:c r="AJ165" s="32" t="n">
        <x:f>H165*v01_CommonsCoef*AI165^v01_CommonsExp*INDEX(LM_Commons,G165)</x:f>
        <x:v>5.48528589682094</x:v>
      </x:c>
      <x:c r="AK165" s="32" t="n">
        <x:f>H165*v01_RoleScale*Arch_Roles*(AE165*(INDEX(v01_ElderRolePerSett,G165)*v01_OutElder*INDEX(LM_Elder,G165)+INDEX(v01_ShamanPerSett,G165)*v01_OutShaman)+Z165*(INDEX(v01_PriestShare,G165)*v01_OutPriest+INDEX(v01_ScribeShare,G165)*v01_OutScribe*INDEX(LM_Scribe,G165)+INDEX(v01_ScholarShare,G165)*v01_OutScholar*INDEX(LM_Scholar,G165)+INDEX(v01_ResearcherShare,G165)*v01_OutResearcher*INDEX(LM_Researcher,G165)))</x:f>
        <x:v>0</x:v>
      </x:c>
      <x:c r="AL165" s="32" t="n">
        <x:f>H165*v01_RoleScale*Arch_Roles*AE165*INDEX(v01_MonasteryPerSett,G165)*v01_OutMonastery*INDEX(LM_Monastery,G165)</x:f>
        <x:v>0</x:v>
      </x:c>
      <x:c r="AM165" s="32" t="n">
        <x:f>(AJ165+AK165+AL165)/4*INDEX(LM_All,G165)*INDEX(v01_Boon,G165)*Arch_Insight</x:f>
        <x:v>1.371321474205235</x:v>
      </x:c>
      <x:c r="AN165" s="32" t="n">
        <x:f>H165*(v01_KHPerAdult*Z165+v01_KHOfCommons*AJ165/4*INDEX(LM_All,G165))*v01_KHUsable*Arch_KH</x:f>
        <x:v>0.29844241200914656</x:v>
      </x:c>
      <x:c r="AO165" s="32" t="n">
        <x:f>MIN(AP164+AN165,AM165*v01_KHMaxRatio)</x:f>
        <x:v>0.29844241200914656</x:v>
      </x:c>
      <x:c r="AP165" s="32" t="n">
        <x:f>AP164+AN165-AO165</x:f>
        <x:v>0</x:v>
      </x:c>
      <x:c r="AQ165" s="32" t="n">
        <x:f>AM165+AO165</x:f>
        <x:v>1.6697638862143815</x:v>
      </x:c>
      <x:c r="AR165" s="10" t="n">
        <x:f>IF(H165=1,INDEX(v01_Req,G165),0)</x:f>
        <x:v>372.02</x:v>
      </x:c>
      <x:c r="AS165" s="32" t="n">
        <x:f>IF(H165=1,IF(E165=1,AS164-AR164,AS164)+AQ165,0)</x:f>
        <x:v>249.9513795164773</x:v>
      </x:c>
      <x:c r="AT165" s="11" t="n">
        <x:f>IF(AR165&gt;0,MIN(1,AS165/AR165),1)</x:f>
        <x:v>0.6718761881524576</x:v>
      </x:c>
      <x:c r="AU165" s="10" t="n">
        <x:f>AB165/INDEX(v01_RepScale,G165)</x:f>
        <x:v>17.17464783994052</x:v>
      </x:c>
      <x:c r="AV165" s="32" t="n">
        <x:f>AM165*60/v01_SeasonSeconds</x:f>
        <x:v>5.48528589682094</x:v>
      </x:c>
    </x:row>
    <x:row r="166">
      <x:c r="A166" s="8" t="n">
        <x:f>A165+1</x:f>
        <x:v>163</x:v>
      </x:c>
      <x:c r="B166" s="9" t="n">
        <x:f>A166*v01_SeasonSeconds/60</x:f>
        <x:v>40.75</x:v>
      </x:c>
      <x:c r="C166" s="9" t="n">
        <x:f>A166/4</x:f>
        <x:v>40.75</x:v>
      </x:c>
      <x:c r="D166" s="8" t="n">
        <x:f>IF(MOD(A166,4)=0,1,0)</x:f>
        <x:v>0</x:v>
      </x:c>
      <x:c r="E166" s="8" t="n">
        <x:f>IF(AND(F165&lt;=9,AS165&gt;=AR165),1,0)</x:f>
        <x:v>0</x:v>
      </x:c>
      <x:c r="F166" s="8" t="n">
        <x:f>MIN(10,F165+E166)</x:f>
        <x:v>0</x:v>
      </x:c>
      <x:c r="G166" s="8" t="n">
        <x:f>MIN(F166,9)+1</x:f>
        <x:v>1</x:v>
      </x:c>
      <x:c r="H166" s="8" t="n">
        <x:f>IF(F166&lt;=9,1,0)</x:f>
        <x:v>1</x:v>
      </x:c>
      <x:c r="I166" s="9" t="n">
        <x:f>MIN(10,F165+IF(AR165&gt;0,MIN(1,AS165/AR165),1))</x:f>
        <x:v>0.6718761881524576</x:v>
      </x:c>
      <x:c r="J166" s="32" t="n">
        <x:f>INDEX(v01_FoodCap,G166)*Arch_FoodCap*EXP(v01_CapsByProject*SUMPRODUCT((Cap_Point&lt;=I166)*(Cap_Kind="Food")*Cap_Ln))</x:f>
        <x:v>22</x:v>
      </x:c>
      <x:c r="K166" s="32" t="n">
        <x:f>J166*MIN(1,v01_LeanBase*EXP(v01_CapsByProject*SUMPRODUCT((Cap_Point&lt;=I166)*(Cap_Kind="Lean")*Cap_Ln)))</x:f>
        <x:v>22</x:v>
      </x:c>
      <x:c r="L166" s="10" t="n">
        <x:f>INDEX(v01_HousingCap,G166)*EXP(v01_CapsByProject*SUMPRODUCT((Cap_Point&lt;=I166)*(Cap_Kind="Housing")*Cap_Ln))</x:f>
        <x:v>60</x:v>
      </x:c>
      <x:c r="M166" s="10" t="n">
        <x:f>INDEX(v01_GroupCap,G166)*v01_CohesionFactor*EXP(v01_CapsByProject*SUMPRODUCT((Cap_Point&lt;=I166)*(Cap_Kind="Group")*Cap_Ln))</x:f>
        <x:v>35</x:v>
      </x:c>
      <x:c r="N166" s="32" t="n">
        <x:f>MIN(J166,L166,M166)</x:f>
        <x:v>22</x:v>
      </x:c>
      <x:c r="O166" s="10" t="n">
        <x:f>AE165*N166</x:f>
        <x:v>22</x:v>
      </x:c>
      <x:c r="P166" s="9" t="n">
        <x:f>MIN(1,(AB165/(AE165*IF(v01_GroupInCrowding=1,N166,MIN(J166,L166))))^v01_CrowdingExp)</x:f>
        <x:v>0.22635545215611524</x:v>
      </x:c>
      <x:c r="Q166" s="9" t="n">
        <x:f>IF(D166=1,INDEX(v01_WinterMult,G166),1)</x:f>
        <x:v>1</x:v>
      </x:c>
      <x:c r="R166" s="9" t="n">
        <x:f>H166*Z165*v01_WomenShare*v01_BaseFertility*INDEX(v01_FertMult,G166)*Arch_Fertility*(1-P166)</x:f>
        <x:v>0.19790429562536102</x:v>
      </x:c>
      <x:c r="S166" s="9" t="n">
        <x:f>H166*Y165*INDEX(v01_MortChild,G166)/4*Q166</x:f>
        <x:v>0.065246381011384</x:v>
      </x:c>
      <x:c r="T166" s="9" t="n">
        <x:f>H166*Z165*INDEX(v01_MortAdult,G166)*Arch_AdultMort/4*Q166</x:f>
        <x:v>0.0319759727152657</x:v>
      </x:c>
      <x:c r="U166" s="9" t="n">
        <x:f>H166*AA165*INDEX(v01_MortElder,G166)/4*Q166</x:f>
        <x:v>0.05307709203494834</x:v>
      </x:c>
      <x:c r="V166" s="9" t="n">
        <x:f>H166*MAX(0,AB165-O166)*v01_OvercapLoss</x:f>
        <x:v>0</x:v>
      </x:c>
      <x:c r="W166" s="9" t="n">
        <x:f>H166*Y165/(v01_ChildYears*4)</x:f>
        <x:v>0.1165113946631857</x:v>
      </x:c>
      <x:c r="X166" s="9" t="n">
        <x:f>H166*Z165/(v01_AdultYears*4)</x:f>
        <x:v>0.06876553272100151</x:v>
      </x:c>
      <x:c r="Y166" s="32" t="n">
        <x:f>Y165+R166-S166-W166-Y165*V166/AB165</x:f>
        <x:v>6.54078462108919</x:v>
      </x:c>
      <x:c r="Z166" s="32" t="n">
        <x:f>Z165+W166-X166-T166-Z165*V166/AB165</x:f>
        <x:v>8.542695946631104</x:v>
      </x:c>
      <x:c r="AA166" s="32" t="n">
        <x:f>AA165+X166-U166-AA165*V166/AB165</x:f>
        <x:v>2.138772122083987</x:v>
      </x:c>
      <x:c r="AB166" s="10" t="n">
        <x:f>Y166+Z166+AA166</x:f>
        <x:v>17.22225268980428</x:v>
      </x:c>
      <x:c r="AC166" s="8" t="n">
        <x:f>IF(AND(v01_WinterTrigger=1,D166=1,AB165/AE165&gt;=K166),1,0)</x:f>
        <x:v>0</x:v>
      </x:c>
      <x:c r="AD166" s="8" t="n">
        <x:f>H166*IF(AND(OR(AB165/AE165&gt;=v01_FissionTrigger*N166,AC166=1),AB165/AE165*v01_DaughterShare&gt;=v01_MinDaughter),MAX(1,ROUND(AE165*v01_FissionRate,0)),0)</x:f>
        <x:v>0</x:v>
      </x:c>
      <x:c r="AE166" s="8" t="n">
        <x:f>IF(H166=1,MAX(1,MIN(INDEX(v01_Smax,G166),AE165+AD166)),AE165)</x:f>
        <x:v>1</x:v>
      </x:c>
      <x:c r="AF166" s="8" t="n">
        <x:f>MAX(0,AE166-AE165)</x:f>
        <x:v>0</x:v>
      </x:c>
      <x:c r="AG166" s="9" t="str">
        <x:f>IF(AF166&gt;0,B166,"")</x:f>
      </x:c>
      <x:c r="AH166" s="9" t="n">
        <x:f>IF(F166&gt;=1,1,(1+v01_LowTiesShare*(AE166-1))/AE166)</x:f>
        <x:v>1</x:v>
      </x:c>
      <x:c r="AI166" s="32" t="n">
        <x:f>(Z166+v01_ElderCommons*INDEX(LM_Elder,G166)*AA166)*AH166</x:f>
        <x:v>12.820240190799078</x:v>
      </x:c>
      <x:c r="AJ166" s="32" t="n">
        <x:f>H166*v01_CommonsCoef*AI166^v01_CommonsExp*INDEX(LM_Commons,G166)</x:f>
        <x:v>5.502490869291931</x:v>
      </x:c>
      <x:c r="AK166" s="32" t="n">
        <x:f>H166*v01_RoleScale*Arch_Roles*(AE166*(INDEX(v01_ElderRolePerSett,G166)*v01_OutElder*INDEX(LM_Elder,G166)+INDEX(v01_ShamanPerSett,G166)*v01_OutShaman)+Z166*(INDEX(v01_PriestShare,G166)*v01_OutPriest+INDEX(v01_ScribeShare,G166)*v01_OutScribe*INDEX(LM_Scribe,G166)+INDEX(v01_ScholarShare,G166)*v01_OutScholar*INDEX(LM_Scholar,G166)+INDEX(v01_ResearcherShare,G166)*v01_OutResearcher*INDEX(LM_Researcher,G166)))</x:f>
        <x:v>0</x:v>
      </x:c>
      <x:c r="AL166" s="32" t="n">
        <x:f>H166*v01_RoleScale*Arch_Roles*AE166*INDEX(v01_MonasteryPerSett,G166)*v01_OutMonastery*INDEX(LM_Monastery,G166)</x:f>
        <x:v>0</x:v>
      </x:c>
      <x:c r="AM166" s="32" t="n">
        <x:f>(AJ166+AK166+AL166)/4*INDEX(LM_All,G166)*INDEX(v01_Boon,G166)*Arch_Insight</x:f>
        <x:v>1.3756227173229827</x:v>
      </x:c>
      <x:c r="AN166" s="32" t="n">
        <x:f>H166*(v01_KHPerAdult*Z166+v01_KHOfCommons*AJ166/4*INDEX(LM_All,G166))*v01_KHUsable*Arch_KH</x:f>
        <x:v>0.29899435813208863</x:v>
      </x:c>
      <x:c r="AO166" s="32" t="n">
        <x:f>MIN(AP165+AN166,AM166*v01_KHMaxRatio)</x:f>
        <x:v>0.29899435813208863</x:v>
      </x:c>
      <x:c r="AP166" s="32" t="n">
        <x:f>AP165+AN166-AO166</x:f>
        <x:v>0</x:v>
      </x:c>
      <x:c r="AQ166" s="32" t="n">
        <x:f>AM166+AO166</x:f>
        <x:v>1.6746170754550713</x:v>
      </x:c>
      <x:c r="AR166" s="10" t="n">
        <x:f>IF(H166=1,INDEX(v01_Req,G166),0)</x:f>
        <x:v>372.02</x:v>
      </x:c>
      <x:c r="AS166" s="32" t="n">
        <x:f>IF(H166=1,IF(E166=1,AS165-AR165,AS165)+AQ166,0)</x:f>
        <x:v>251.62599659193236</x:v>
      </x:c>
      <x:c r="AT166" s="11" t="n">
        <x:f>IF(AR166&gt;0,MIN(1,AS166/AR166),1)</x:f>
        <x:v>0.6763776049457889</x:v>
      </x:c>
      <x:c r="AU166" s="10" t="n">
        <x:f>AB166/INDEX(v01_RepScale,G166)</x:f>
        <x:v>17.22225268980428</x:v>
      </x:c>
      <x:c r="AV166" s="32" t="n">
        <x:f>AM166*60/v01_SeasonSeconds</x:f>
        <x:v>5.502490869291931</x:v>
      </x:c>
    </x:row>
    <x:row r="167">
      <x:c r="A167" s="8" t="n">
        <x:f>A166+1</x:f>
        <x:v>164</x:v>
      </x:c>
      <x:c r="B167" s="9" t="n">
        <x:f>A167*v01_SeasonSeconds/60</x:f>
        <x:v>41</x:v>
      </x:c>
      <x:c r="C167" s="9" t="n">
        <x:f>A167/4</x:f>
        <x:v>41</x:v>
      </x:c>
      <x:c r="D167" s="8" t="n">
        <x:f>IF(MOD(A167,4)=0,1,0)</x:f>
        <x:v>1</x:v>
      </x:c>
      <x:c r="E167" s="8" t="n">
        <x:f>IF(AND(F166&lt;=9,AS166&gt;=AR166),1,0)</x:f>
        <x:v>0</x:v>
      </x:c>
      <x:c r="F167" s="8" t="n">
        <x:f>MIN(10,F166+E167)</x:f>
        <x:v>0</x:v>
      </x:c>
      <x:c r="G167" s="8" t="n">
        <x:f>MIN(F167,9)+1</x:f>
        <x:v>1</x:v>
      </x:c>
      <x:c r="H167" s="8" t="n">
        <x:f>IF(F167&lt;=9,1,0)</x:f>
        <x:v>1</x:v>
      </x:c>
      <x:c r="I167" s="9" t="n">
        <x:f>MIN(10,F166+IF(AR166&gt;0,MIN(1,AS166/AR166),1))</x:f>
        <x:v>0.6763776049457889</x:v>
      </x:c>
      <x:c r="J167" s="32" t="n">
        <x:f>INDEX(v01_FoodCap,G167)*Arch_FoodCap*EXP(v01_CapsByProject*SUMPRODUCT((Cap_Point&lt;=I167)*(Cap_Kind="Food")*Cap_Ln))</x:f>
        <x:v>22</x:v>
      </x:c>
      <x:c r="K167" s="32" t="n">
        <x:f>J167*MIN(1,v01_LeanBase*EXP(v01_CapsByProject*SUMPRODUCT((Cap_Point&lt;=I167)*(Cap_Kind="Lean")*Cap_Ln)))</x:f>
        <x:v>22</x:v>
      </x:c>
      <x:c r="L167" s="10" t="n">
        <x:f>INDEX(v01_HousingCap,G167)*EXP(v01_CapsByProject*SUMPRODUCT((Cap_Point&lt;=I167)*(Cap_Kind="Housing")*Cap_Ln))</x:f>
        <x:v>60</x:v>
      </x:c>
      <x:c r="M167" s="10" t="n">
        <x:f>INDEX(v01_GroupCap,G167)*v01_CohesionFactor*EXP(v01_CapsByProject*SUMPRODUCT((Cap_Point&lt;=I167)*(Cap_Kind="Group")*Cap_Ln))</x:f>
        <x:v>35</x:v>
      </x:c>
      <x:c r="N167" s="32" t="n">
        <x:f>MIN(J167,L167,M167)</x:f>
        <x:v>22</x:v>
      </x:c>
      <x:c r="O167" s="10" t="n">
        <x:f>AE166*N167</x:f>
        <x:v>22</x:v>
      </x:c>
      <x:c r="P167" s="9" t="n">
        <x:f>MIN(1,(AB166/(AE166*IF(v01_GroupInCrowding=1,N167,MIN(J167,L167))))^v01_CrowdingExp)</x:f>
        <x:v>0.23014611983494582</x:v>
      </x:c>
      <x:c r="Q167" s="9" t="n">
        <x:f>IF(D167=1,INDEX(v01_WinterMult,G167),1)</x:f>
        <x:v>2</x:v>
      </x:c>
      <x:c r="R167" s="9" t="n">
        <x:f>H167*Z166*v01_WomenShare*v01_BaseFertility*INDEX(v01_FertMult,G167)*Arch_Fertility*(1-P167)</x:f>
        <x:v>0.19729882864752707</x:v>
      </x:c>
      <x:c r="S167" s="9" t="n">
        <x:f>H167*Y166*INDEX(v01_MortChild,G167)/4*Q167</x:f>
        <x:v>0.1308156924217838</x:v>
      </x:c>
      <x:c r="T167" s="9" t="n">
        <x:f>H167*Z166*INDEX(v01_MortAdult,G167)*Arch_AdultMort/4*Q167</x:f>
        <x:v>0.06407021959973327</x:v>
      </x:c>
      <x:c r="U167" s="9" t="n">
        <x:f>H167*AA166*INDEX(v01_MortElder,G167)/4*Q167</x:f>
        <x:v>0.10693860610419935</x:v>
      </x:c>
      <x:c r="V167" s="9" t="n">
        <x:f>H167*MAX(0,AB166-O167)*v01_OvercapLoss</x:f>
        <x:v>0</x:v>
      </x:c>
      <x:c r="W167" s="9" t="n">
        <x:f>H167*Y166/(v01_ChildYears*4)</x:f>
        <x:v>0.11679972537659268</x:v>
      </x:c>
      <x:c r="X167" s="9" t="n">
        <x:f>H167*Z166/(v01_AdultYears*4)</x:f>
        <x:v>0.06889270924702504</x:v>
      </x:c>
      <x:c r="Y167" s="32" t="n">
        <x:f>Y166+R167-S167-W167-Y166*V167/AB166</x:f>
        <x:v>6.490468031938341</x:v>
      </x:c>
      <x:c r="Z167" s="32" t="n">
        <x:f>Z166+W167-X167-T167-Z166*V167/AB166</x:f>
        <x:v>8.526532743160939</x:v>
      </x:c>
      <x:c r="AA167" s="32" t="n">
        <x:f>AA166+X167-U167-AA166*V167/AB166</x:f>
        <x:v>2.1007262252268126</x:v>
      </x:c>
      <x:c r="AB167" s="10" t="n">
        <x:f>Y167+Z167+AA167</x:f>
        <x:v>17.11772700032609</x:v>
      </x:c>
      <x:c r="AC167" s="8" t="n">
        <x:f>IF(AND(v01_WinterTrigger=1,D167=1,AB166/AE166&gt;=K167),1,0)</x:f>
        <x:v>0</x:v>
      </x:c>
      <x:c r="AD167" s="8" t="n">
        <x:f>H167*IF(AND(OR(AB166/AE166&gt;=v01_FissionTrigger*N167,AC167=1),AB166/AE166*v01_DaughterShare&gt;=v01_MinDaughter),MAX(1,ROUND(AE166*v01_FissionRate,0)),0)</x:f>
        <x:v>0</x:v>
      </x:c>
      <x:c r="AE167" s="8" t="n">
        <x:f>IF(H167=1,MAX(1,MIN(INDEX(v01_Smax,G167),AE166+AD167)),AE166)</x:f>
        <x:v>1</x:v>
      </x:c>
      <x:c r="AF167" s="8" t="n">
        <x:f>MAX(0,AE167-AE166)</x:f>
        <x:v>0</x:v>
      </x:c>
      <x:c r="AG167" s="9" t="str">
        <x:f>IF(AF167&gt;0,B167,"")</x:f>
      </x:c>
      <x:c r="AH167" s="9" t="n">
        <x:f>IF(F167&gt;=1,1,(1+v01_LowTiesShare*(AE167-1))/AE167)</x:f>
        <x:v>1</x:v>
      </x:c>
      <x:c r="AI167" s="32" t="n">
        <x:f>(Z167+v01_ElderCommons*INDEX(LM_Elder,G167)*AA167)*AH167</x:f>
        <x:v>12.727985193614565</x:v>
      </x:c>
      <x:c r="AJ167" s="32" t="n">
        <x:f>H167*v01_CommonsCoef*AI167^v01_CommonsExp*INDEX(LM_Commons,G167)</x:f>
        <x:v>5.468815918486443</x:v>
      </x:c>
      <x:c r="AK167" s="32" t="n">
        <x:f>H167*v01_RoleScale*Arch_Roles*(AE167*(INDEX(v01_ElderRolePerSett,G167)*v01_OutElder*INDEX(LM_Elder,G167)+INDEX(v01_ShamanPerSett,G167)*v01_OutShaman)+Z167*(INDEX(v01_PriestShare,G167)*v01_OutPriest+INDEX(v01_ScribeShare,G167)*v01_OutScribe*INDEX(LM_Scribe,G167)+INDEX(v01_ScholarShare,G167)*v01_OutScholar*INDEX(LM_Scholar,G167)+INDEX(v01_ResearcherShare,G167)*v01_OutResearcher*INDEX(LM_Researcher,G167)))</x:f>
        <x:v>0</x:v>
      </x:c>
      <x:c r="AL167" s="32" t="n">
        <x:f>H167*v01_RoleScale*Arch_Roles*AE167*INDEX(v01_MonasteryPerSett,G167)*v01_OutMonastery*INDEX(LM_Monastery,G167)</x:f>
        <x:v>0</x:v>
      </x:c>
      <x:c r="AM167" s="32" t="n">
        <x:f>(AJ167+AK167+AL167)/4*INDEX(LM_All,G167)*INDEX(v01_Boon,G167)*Arch_Insight</x:f>
        <x:v>1.3672039796216107</x:v>
      </x:c>
      <x:c r="AN167" s="32" t="n">
        <x:f>H167*(v01_KHPerAdult*Z167+v01_KHOfCommons*AJ167/4*INDEX(LM_All,G167))*v01_KHUsable*Arch_KH</x:f>
        <x:v>0.29842864601063285</x:v>
      </x:c>
      <x:c r="AO167" s="32" t="n">
        <x:f>MIN(AP166+AN167,AM167*v01_KHMaxRatio)</x:f>
        <x:v>0.29842864601063285</x:v>
      </x:c>
      <x:c r="AP167" s="32" t="n">
        <x:f>AP166+AN167-AO167</x:f>
        <x:v>0</x:v>
      </x:c>
      <x:c r="AQ167" s="32" t="n">
        <x:f>AM167+AO167</x:f>
        <x:v>1.6656326256322436</x:v>
      </x:c>
      <x:c r="AR167" s="10" t="n">
        <x:f>IF(H167=1,INDEX(v01_Req,G167),0)</x:f>
        <x:v>372.02</x:v>
      </x:c>
      <x:c r="AS167" s="32" t="n">
        <x:f>IF(H167=1,IF(E167=1,AS166-AR166,AS166)+AQ167,0)</x:f>
        <x:v>253.2916292175646</x:v>
      </x:c>
      <x:c r="AT167" s="11" t="n">
        <x:f>IF(AR167&gt;0,MIN(1,AS167/AR167),1)</x:f>
        <x:v>0.6808548712906957</x:v>
      </x:c>
      <x:c r="AU167" s="10" t="n">
        <x:f>AB167/INDEX(v01_RepScale,G167)</x:f>
        <x:v>17.11772700032609</x:v>
      </x:c>
      <x:c r="AV167" s="32" t="n">
        <x:f>AM167*60/v01_SeasonSeconds</x:f>
        <x:v>5.468815918486443</x:v>
      </x:c>
    </x:row>
    <x:row r="168">
      <x:c r="A168" s="8" t="n">
        <x:f>A167+1</x:f>
        <x:v>165</x:v>
      </x:c>
      <x:c r="B168" s="9" t="n">
        <x:f>A168*v01_SeasonSeconds/60</x:f>
        <x:v>41.25</x:v>
      </x:c>
      <x:c r="C168" s="9" t="n">
        <x:f>A168/4</x:f>
        <x:v>41.25</x:v>
      </x:c>
      <x:c r="D168" s="8" t="n">
        <x:f>IF(MOD(A168,4)=0,1,0)</x:f>
        <x:v>0</x:v>
      </x:c>
      <x:c r="E168" s="8" t="n">
        <x:f>IF(AND(F167&lt;=9,AS167&gt;=AR167),1,0)</x:f>
        <x:v>0</x:v>
      </x:c>
      <x:c r="F168" s="8" t="n">
        <x:f>MIN(10,F167+E168)</x:f>
        <x:v>0</x:v>
      </x:c>
      <x:c r="G168" s="8" t="n">
        <x:f>MIN(F168,9)+1</x:f>
        <x:v>1</x:v>
      </x:c>
      <x:c r="H168" s="8" t="n">
        <x:f>IF(F168&lt;=9,1,0)</x:f>
        <x:v>1</x:v>
      </x:c>
      <x:c r="I168" s="9" t="n">
        <x:f>MIN(10,F167+IF(AR167&gt;0,MIN(1,AS167/AR167),1))</x:f>
        <x:v>0.6808548712906957</x:v>
      </x:c>
      <x:c r="J168" s="32" t="n">
        <x:f>INDEX(v01_FoodCap,G168)*Arch_FoodCap*EXP(v01_CapsByProject*SUMPRODUCT((Cap_Point&lt;=I168)*(Cap_Kind="Food")*Cap_Ln))</x:f>
        <x:v>22</x:v>
      </x:c>
      <x:c r="K168" s="32" t="n">
        <x:f>J168*MIN(1,v01_LeanBase*EXP(v01_CapsByProject*SUMPRODUCT((Cap_Point&lt;=I168)*(Cap_Kind="Lean")*Cap_Ln)))</x:f>
        <x:v>22</x:v>
      </x:c>
      <x:c r="L168" s="10" t="n">
        <x:f>INDEX(v01_HousingCap,G168)*EXP(v01_CapsByProject*SUMPRODUCT((Cap_Point&lt;=I168)*(Cap_Kind="Housing")*Cap_Ln))</x:f>
        <x:v>60</x:v>
      </x:c>
      <x:c r="M168" s="10" t="n">
        <x:f>INDEX(v01_GroupCap,G168)*v01_CohesionFactor*EXP(v01_CapsByProject*SUMPRODUCT((Cap_Point&lt;=I168)*(Cap_Kind="Group")*Cap_Ln))</x:f>
        <x:v>35</x:v>
      </x:c>
      <x:c r="N168" s="32" t="n">
        <x:f>MIN(J168,L168,M168)</x:f>
        <x:v>22</x:v>
      </x:c>
      <x:c r="O168" s="10" t="n">
        <x:f>AE167*N168</x:f>
        <x:v>22</x:v>
      </x:c>
      <x:c r="P168" s="9" t="n">
        <x:f>MIN(1,(AB167/(AE167*IF(v01_GroupInCrowding=1,N168,MIN(J168,L168))))^v01_CrowdingExp)</x:f>
        <x:v>0.2218914100295592</x:v>
      </x:c>
      <x:c r="Q168" s="9" t="n">
        <x:f>IF(D168=1,INDEX(v01_WinterMult,G168),1)</x:f>
        <x:v>1</x:v>
      </x:c>
      <x:c r="R168" s="9" t="n">
        <x:f>H168*Z167*v01_WomenShare*v01_BaseFertility*INDEX(v01_FertMult,G168)*Arch_Fertility*(1-P168)</x:f>
        <x:v>0.19903705110353254</x:v>
      </x:c>
      <x:c r="S168" s="9" t="n">
        <x:f>H168*Y167*INDEX(v01_MortChild,G168)/4*Q168</x:f>
        <x:v>0.06490468031938341</x:v>
      </x:c>
      <x:c r="T168" s="9" t="n">
        <x:f>H168*Z167*INDEX(v01_MortAdult,G168)*Arch_AdultMort/4*Q168</x:f>
        <x:v>0.03197449778685352</x:v>
      </x:c>
      <x:c r="U168" s="9" t="n">
        <x:f>H168*AA167*INDEX(v01_MortElder,G168)/4*Q168</x:f>
        <x:v>0.05251815563067032</x:v>
      </x:c>
      <x:c r="V168" s="9" t="n">
        <x:f>H168*MAX(0,AB167-O168)*v01_OvercapLoss</x:f>
        <x:v>0</x:v>
      </x:c>
      <x:c r="W168" s="9" t="n">
        <x:f>H168*Y167/(v01_ChildYears*4)</x:f>
        <x:v>0.1159012148560418</x:v>
      </x:c>
      <x:c r="X168" s="9" t="n">
        <x:f>H168*Z167/(v01_AdultYears*4)</x:f>
        <x:v>0.06876236083194305</x:v>
      </x:c>
      <x:c r="Y168" s="32" t="n">
        <x:f>Y167+R168-S168-W168-Y167*V168/AB167</x:f>
        <x:v>6.508699187866449</x:v>
      </x:c>
      <x:c r="Z168" s="32" t="n">
        <x:f>Z167+W168-X168-T168-Z167*V168/AB167</x:f>
        <x:v>8.541697099398183</x:v>
      </x:c>
      <x:c r="AA168" s="32" t="n">
        <x:f>AA167+X168-U168-AA167*V168/AB167</x:f>
        <x:v>2.1169704304280854</x:v>
      </x:c>
      <x:c r="AB168" s="10" t="n">
        <x:f>Y168+Z168+AA168</x:f>
        <x:v>17.16736671769272</x:v>
      </x:c>
      <x:c r="AC168" s="8" t="n">
        <x:f>IF(AND(v01_WinterTrigger=1,D168=1,AB167/AE167&gt;=K168),1,0)</x:f>
        <x:v>0</x:v>
      </x:c>
      <x:c r="AD168" s="8" t="n">
        <x:f>H168*IF(AND(OR(AB167/AE167&gt;=v01_FissionTrigger*N168,AC168=1),AB167/AE167*v01_DaughterShare&gt;=v01_MinDaughter),MAX(1,ROUND(AE167*v01_FissionRate,0)),0)</x:f>
        <x:v>0</x:v>
      </x:c>
      <x:c r="AE168" s="8" t="n">
        <x:f>IF(H168=1,MAX(1,MIN(INDEX(v01_Smax,G168),AE167+AD168)),AE167)</x:f>
        <x:v>1</x:v>
      </x:c>
      <x:c r="AF168" s="8" t="n">
        <x:f>MAX(0,AE168-AE167)</x:f>
        <x:v>0</x:v>
      </x:c>
      <x:c r="AG168" s="9" t="str">
        <x:f>IF(AF168&gt;0,B168,"")</x:f>
      </x:c>
      <x:c r="AH168" s="9" t="n">
        <x:f>IF(F168&gt;=1,1,(1+v01_LowTiesShare*(AE168-1))/AE168)</x:f>
        <x:v>1</x:v>
      </x:c>
      <x:c r="AI168" s="32" t="n">
        <x:f>(Z168+v01_ElderCommons*INDEX(LM_Elder,G168)*AA168)*AH168</x:f>
        <x:v>12.775637960254354</x:v>
      </x:c>
      <x:c r="AJ168" s="32" t="n">
        <x:f>H168*v01_CommonsCoef*AI168^v01_CommonsExp*INDEX(LM_Commons,G168)</x:f>
        <x:v>5.4862147025995815</x:v>
      </x:c>
      <x:c r="AK168" s="32" t="n">
        <x:f>H168*v01_RoleScale*Arch_Roles*(AE168*(INDEX(v01_ElderRolePerSett,G168)*v01_OutElder*INDEX(LM_Elder,G168)+INDEX(v01_ShamanPerSett,G168)*v01_OutShaman)+Z168*(INDEX(v01_PriestShare,G168)*v01_OutPriest+INDEX(v01_ScribeShare,G168)*v01_OutScribe*INDEX(LM_Scribe,G168)+INDEX(v01_ScholarShare,G168)*v01_OutScholar*INDEX(LM_Scholar,G168)+INDEX(v01_ResearcherShare,G168)*v01_OutResearcher*INDEX(LM_Researcher,G168)))</x:f>
        <x:v>0</x:v>
      </x:c>
      <x:c r="AL168" s="32" t="n">
        <x:f>H168*v01_RoleScale*Arch_Roles*AE168*INDEX(v01_MonasteryPerSett,G168)*v01_OutMonastery*INDEX(LM_Monastery,G168)</x:f>
        <x:v>0</x:v>
      </x:c>
      <x:c r="AM168" s="32" t="n">
        <x:f>(AJ168+AK168+AL168)/4*INDEX(LM_All,G168)*INDEX(v01_Boon,G168)*Arch_Insight</x:f>
        <x:v>1.3715536756498954</x:v>
      </x:c>
      <x:c r="AN168" s="32" t="n">
        <x:f>H168*(v01_KHPerAdult*Z168+v01_KHOfCommons*AJ168/4*INDEX(LM_All,G168))*v01_KHUsable*Arch_KH</x:f>
        <x:v>0.2989593984789364</x:v>
      </x:c>
      <x:c r="AO168" s="32" t="n">
        <x:f>MIN(AP167+AN168,AM168*v01_KHMaxRatio)</x:f>
        <x:v>0.2989593984789364</x:v>
      </x:c>
      <x:c r="AP168" s="32" t="n">
        <x:f>AP167+AN168-AO168</x:f>
        <x:v>0</x:v>
      </x:c>
      <x:c r="AQ168" s="32" t="n">
        <x:f>AM168+AO168</x:f>
        <x:v>1.6705130741288317</x:v>
      </x:c>
      <x:c r="AR168" s="10" t="n">
        <x:f>IF(H168=1,INDEX(v01_Req,G168),0)</x:f>
        <x:v>372.02</x:v>
      </x:c>
      <x:c r="AS168" s="32" t="n">
        <x:f>IF(H168=1,IF(E168=1,AS167-AR167,AS167)+AQ168,0)</x:f>
        <x:v>254.96214229169343</x:v>
      </x:c>
      <x:c r="AT168" s="11" t="n">
        <x:f>IF(AR168&gt;0,MIN(1,AS168/AR168),1)</x:f>
        <x:v>0.6853452564154977</x:v>
      </x:c>
      <x:c r="AU168" s="10" t="n">
        <x:f>AB168/INDEX(v01_RepScale,G168)</x:f>
        <x:v>17.16736671769272</x:v>
      </x:c>
      <x:c r="AV168" s="32" t="n">
        <x:f>AM168*60/v01_SeasonSeconds</x:f>
        <x:v>5.4862147025995815</x:v>
      </x:c>
    </x:row>
    <x:row r="169">
      <x:c r="A169" s="8" t="n">
        <x:f>A168+1</x:f>
        <x:v>166</x:v>
      </x:c>
      <x:c r="B169" s="9" t="n">
        <x:f>A169*v01_SeasonSeconds/60</x:f>
        <x:v>41.5</x:v>
      </x:c>
      <x:c r="C169" s="9" t="n">
        <x:f>A169/4</x:f>
        <x:v>41.5</x:v>
      </x:c>
      <x:c r="D169" s="8" t="n">
        <x:f>IF(MOD(A169,4)=0,1,0)</x:f>
        <x:v>0</x:v>
      </x:c>
      <x:c r="E169" s="8" t="n">
        <x:f>IF(AND(F168&lt;=9,AS168&gt;=AR168),1,0)</x:f>
        <x:v>0</x:v>
      </x:c>
      <x:c r="F169" s="8" t="n">
        <x:f>MIN(10,F168+E169)</x:f>
        <x:v>0</x:v>
      </x:c>
      <x:c r="G169" s="8" t="n">
        <x:f>MIN(F169,9)+1</x:f>
        <x:v>1</x:v>
      </x:c>
      <x:c r="H169" s="8" t="n">
        <x:f>IF(F169&lt;=9,1,0)</x:f>
        <x:v>1</x:v>
      </x:c>
      <x:c r="I169" s="9" t="n">
        <x:f>MIN(10,F168+IF(AR168&gt;0,MIN(1,AS168/AR168),1))</x:f>
        <x:v>0.6853452564154977</x:v>
      </x:c>
      <x:c r="J169" s="32" t="n">
        <x:f>INDEX(v01_FoodCap,G169)*Arch_FoodCap*EXP(v01_CapsByProject*SUMPRODUCT((Cap_Point&lt;=I169)*(Cap_Kind="Food")*Cap_Ln))</x:f>
        <x:v>22</x:v>
      </x:c>
      <x:c r="K169" s="32" t="n">
        <x:f>J169*MIN(1,v01_LeanBase*EXP(v01_CapsByProject*SUMPRODUCT((Cap_Point&lt;=I169)*(Cap_Kind="Lean")*Cap_Ln)))</x:f>
        <x:v>22</x:v>
      </x:c>
      <x:c r="L169" s="10" t="n">
        <x:f>INDEX(v01_HousingCap,G169)*EXP(v01_CapsByProject*SUMPRODUCT((Cap_Point&lt;=I169)*(Cap_Kind="Housing")*Cap_Ln))</x:f>
        <x:v>60</x:v>
      </x:c>
      <x:c r="M169" s="10" t="n">
        <x:f>INDEX(v01_GroupCap,G169)*v01_CohesionFactor*EXP(v01_CapsByProject*SUMPRODUCT((Cap_Point&lt;=I169)*(Cap_Kind="Group")*Cap_Ln))</x:f>
        <x:v>35</x:v>
      </x:c>
      <x:c r="N169" s="32" t="n">
        <x:f>MIN(J169,L169,M169)</x:f>
        <x:v>22</x:v>
      </x:c>
      <x:c r="O169" s="10" t="n">
        <x:f>AE168*N169</x:f>
        <x:v>22</x:v>
      </x:c>
      <x:c r="P169" s="9" t="n">
        <x:f>MIN(1,(AB168/(AE168*IF(v01_GroupInCrowding=1,N169,MIN(J169,L169))))^v01_CrowdingExp)</x:f>
        <x:v>0.22578028720318905</x:v>
      </x:c>
      <x:c r="Q169" s="9" t="n">
        <x:f>IF(D169=1,INDEX(v01_WinterMult,G169),1)</x:f>
        <x:v>1</x:v>
      </x:c>
      <x:c r="R169" s="9" t="n">
        <x:f>H169*Z168*v01_WomenShare*v01_BaseFertility*INDEX(v01_FertMult,G169)*Arch_Fertility*(1-P169)</x:f>
        <x:v>0.1983945082528024</x:v>
      </x:c>
      <x:c r="S169" s="9" t="n">
        <x:f>H169*Y168*INDEX(v01_MortChild,G169)/4*Q169</x:f>
        <x:v>0.06508699187866449</x:v>
      </x:c>
      <x:c r="T169" s="9" t="n">
        <x:f>H169*Z168*INDEX(v01_MortAdult,G169)*Arch_AdultMort/4*Q169</x:f>
        <x:v>0.03203136412274318</x:v>
      </x:c>
      <x:c r="U169" s="9" t="n">
        <x:f>H169*AA168*INDEX(v01_MortElder,G169)/4*Q169</x:f>
        <x:v>0.05292426076070214</x:v>
      </x:c>
      <x:c r="V169" s="9" t="n">
        <x:f>H169*MAX(0,AB168-O169)*v01_OvercapLoss</x:f>
        <x:v>0</x:v>
      </x:c>
      <x:c r="W169" s="9" t="n">
        <x:f>H169*Y168/(v01_ChildYears*4)</x:f>
        <x:v>0.11622677121190086</x:v>
      </x:c>
      <x:c r="X169" s="9" t="n">
        <x:f>H169*Z168/(v01_AdultYears*4)</x:f>
        <x:v>0.06888465402740471</x:v>
      </x:c>
      <x:c r="Y169" s="32" t="n">
        <x:f>Y168+R169-S169-W169-Y168*V169/AB168</x:f>
        <x:v>6.525779933028685</x:v>
      </x:c>
      <x:c r="Z169" s="32" t="n">
        <x:f>Z168+W169-X169-T169-Z168*V169/AB168</x:f>
        <x:v>8.557007852459936</x:v>
      </x:c>
      <x:c r="AA169" s="32" t="n">
        <x:f>AA168+X169-U169-AA168*V169/AB168</x:f>
        <x:v>2.132930823694788</x:v>
      </x:c>
      <x:c r="AB169" s="10" t="n">
        <x:f>Y169+Z169+AA169</x:f>
        <x:v>17.21571860918341</x:v>
      </x:c>
      <x:c r="AC169" s="8" t="n">
        <x:f>IF(AND(v01_WinterTrigger=1,D169=1,AB168/AE168&gt;=K169),1,0)</x:f>
        <x:v>0</x:v>
      </x:c>
      <x:c r="AD169" s="8" t="n">
        <x:f>H169*IF(AND(OR(AB168/AE168&gt;=v01_FissionTrigger*N169,AC169=1),AB168/AE168*v01_DaughterShare&gt;=v01_MinDaughter),MAX(1,ROUND(AE168*v01_FissionRate,0)),0)</x:f>
        <x:v>0</x:v>
      </x:c>
      <x:c r="AE169" s="8" t="n">
        <x:f>IF(H169=1,MAX(1,MIN(INDEX(v01_Smax,G169),AE168+AD169)),AE168)</x:f>
        <x:v>1</x:v>
      </x:c>
      <x:c r="AF169" s="8" t="n">
        <x:f>MAX(0,AE169-AE168)</x:f>
        <x:v>0</x:v>
      </x:c>
      <x:c r="AG169" s="9" t="str">
        <x:f>IF(AF169&gt;0,B169,"")</x:f>
      </x:c>
      <x:c r="AH169" s="9" t="n">
        <x:f>IF(F169&gt;=1,1,(1+v01_LowTiesShare*(AE169-1))/AE169)</x:f>
        <x:v>1</x:v>
      </x:c>
      <x:c r="AI169" s="32" t="n">
        <x:f>(Z169+v01_ElderCommons*INDEX(LM_Elder,G169)*AA169)*AH169</x:f>
        <x:v>12.822869499849512</x:v>
      </x:c>
      <x:c r="AJ169" s="32" t="n">
        <x:f>H169*v01_CommonsCoef*AI169^v01_CommonsExp*INDEX(LM_Commons,G169)</x:f>
        <x:v>5.503450086698094</x:v>
      </x:c>
      <x:c r="AK169" s="32" t="n">
        <x:f>H169*v01_RoleScale*Arch_Roles*(AE169*(INDEX(v01_ElderRolePerSett,G169)*v01_OutElder*INDEX(LM_Elder,G169)+INDEX(v01_ShamanPerSett,G169)*v01_OutShaman)+Z169*(INDEX(v01_PriestShare,G169)*v01_OutPriest+INDEX(v01_ScribeShare,G169)*v01_OutScribe*INDEX(LM_Scribe,G169)+INDEX(v01_ScholarShare,G169)*v01_OutScholar*INDEX(LM_Scholar,G169)+INDEX(v01_ResearcherShare,G169)*v01_OutResearcher*INDEX(LM_Researcher,G169)))</x:f>
        <x:v>0</x:v>
      </x:c>
      <x:c r="AL169" s="32" t="n">
        <x:f>H169*v01_RoleScale*Arch_Roles*AE169*INDEX(v01_MonasteryPerSett,G169)*v01_OutMonastery*INDEX(LM_Monastery,G169)</x:f>
        <x:v>0</x:v>
      </x:c>
      <x:c r="AM169" s="32" t="n">
        <x:f>(AJ169+AK169+AL169)/4*INDEX(LM_All,G169)*INDEX(v01_Boon,G169)*Arch_Insight</x:f>
        <x:v>1.3758625216745235</x:v>
      </x:c>
      <x:c r="AN169" s="32" t="n">
        <x:f>H169*(v01_KHPerAdult*Z169+v01_KHOfCommons*AJ169/4*INDEX(LM_All,G169))*v01_KHUsable*Arch_KH</x:f>
        <x:v>0.2994952748360978</x:v>
      </x:c>
      <x:c r="AO169" s="32" t="n">
        <x:f>MIN(AP168+AN169,AM169*v01_KHMaxRatio)</x:f>
        <x:v>0.2994952748360978</x:v>
      </x:c>
      <x:c r="AP169" s="32" t="n">
        <x:f>AP168+AN169-AO169</x:f>
        <x:v>0</x:v>
      </x:c>
      <x:c r="AQ169" s="32" t="n">
        <x:f>AM169+AO169</x:f>
        <x:v>1.6753577965106212</x:v>
      </x:c>
      <x:c r="AR169" s="10" t="n">
        <x:f>IF(H169=1,INDEX(v01_Req,G169),0)</x:f>
        <x:v>372.02</x:v>
      </x:c>
      <x:c r="AS169" s="32" t="n">
        <x:f>IF(H169=1,IF(E169=1,AS168-AR168,AS168)+AQ169,0)</x:f>
        <x:v>256.63750008820404</x:v>
      </x:c>
      <x:c r="AT169" s="11" t="n">
        <x:f>IF(AR169&gt;0,MIN(1,AS169/AR169),1)</x:f>
        <x:v>0.6898486642874148</x:v>
      </x:c>
      <x:c r="AU169" s="10" t="n">
        <x:f>AB169/INDEX(v01_RepScale,G169)</x:f>
        <x:v>17.21571860918341</x:v>
      </x:c>
      <x:c r="AV169" s="32" t="n">
        <x:f>AM169*60/v01_SeasonSeconds</x:f>
        <x:v>5.503450086698094</x:v>
      </x:c>
    </x:row>
    <x:row r="170">
      <x:c r="A170" s="8" t="n">
        <x:f>A169+1</x:f>
        <x:v>167</x:v>
      </x:c>
      <x:c r="B170" s="9" t="n">
        <x:f>A170*v01_SeasonSeconds/60</x:f>
        <x:v>41.75</x:v>
      </x:c>
      <x:c r="C170" s="9" t="n">
        <x:f>A170/4</x:f>
        <x:v>41.75</x:v>
      </x:c>
      <x:c r="D170" s="8" t="n">
        <x:f>IF(MOD(A170,4)=0,1,0)</x:f>
        <x:v>0</x:v>
      </x:c>
      <x:c r="E170" s="8" t="n">
        <x:f>IF(AND(F169&lt;=9,AS169&gt;=AR169),1,0)</x:f>
        <x:v>0</x:v>
      </x:c>
      <x:c r="F170" s="8" t="n">
        <x:f>MIN(10,F169+E170)</x:f>
        <x:v>0</x:v>
      </x:c>
      <x:c r="G170" s="8" t="n">
        <x:f>MIN(F170,9)+1</x:f>
        <x:v>1</x:v>
      </x:c>
      <x:c r="H170" s="8" t="n">
        <x:f>IF(F170&lt;=9,1,0)</x:f>
        <x:v>1</x:v>
      </x:c>
      <x:c r="I170" s="9" t="n">
        <x:f>MIN(10,F169+IF(AR169&gt;0,MIN(1,AS169/AR169),1))</x:f>
        <x:v>0.6898486642874148</x:v>
      </x:c>
      <x:c r="J170" s="32" t="n">
        <x:f>INDEX(v01_FoodCap,G170)*Arch_FoodCap*EXP(v01_CapsByProject*SUMPRODUCT((Cap_Point&lt;=I170)*(Cap_Kind="Food")*Cap_Ln))</x:f>
        <x:v>22</x:v>
      </x:c>
      <x:c r="K170" s="32" t="n">
        <x:f>J170*MIN(1,v01_LeanBase*EXP(v01_CapsByProject*SUMPRODUCT((Cap_Point&lt;=I170)*(Cap_Kind="Lean")*Cap_Ln)))</x:f>
        <x:v>22</x:v>
      </x:c>
      <x:c r="L170" s="10" t="n">
        <x:f>INDEX(v01_HousingCap,G170)*EXP(v01_CapsByProject*SUMPRODUCT((Cap_Point&lt;=I170)*(Cap_Kind="Housing")*Cap_Ln))</x:f>
        <x:v>60</x:v>
      </x:c>
      <x:c r="M170" s="10" t="n">
        <x:f>INDEX(v01_GroupCap,G170)*v01_CohesionFactor*EXP(v01_CapsByProject*SUMPRODUCT((Cap_Point&lt;=I170)*(Cap_Kind="Group")*Cap_Ln))</x:f>
        <x:v>35</x:v>
      </x:c>
      <x:c r="N170" s="32" t="n">
        <x:f>MIN(J170,L170,M170)</x:f>
        <x:v>22</x:v>
      </x:c>
      <x:c r="O170" s="10" t="n">
        <x:f>AE169*N170</x:f>
        <x:v>22</x:v>
      </x:c>
      <x:c r="P170" s="9" t="n">
        <x:f>MIN(1,(AB169/(AE169*IF(v01_GroupInCrowding=1,N170,MIN(J170,L170))))^v01_CrowdingExp)</x:f>
        <x:v>0.22962271524512778</x:v>
      </x:c>
      <x:c r="Q170" s="9" t="n">
        <x:f>IF(D170=1,INDEX(v01_WinterMult,G170),1)</x:f>
        <x:v>1</x:v>
      </x:c>
      <x:c r="R170" s="9" t="n">
        <x:f>H170*Z169*v01_WomenShare*v01_BaseFertility*INDEX(v01_FertMult,G170)*Arch_Fertility*(1-P170)</x:f>
        <x:v>0.19776373425012617</x:v>
      </x:c>
      <x:c r="S170" s="9" t="n">
        <x:f>H170*Y169*INDEX(v01_MortChild,G170)/4*Q170</x:f>
        <x:v>0.06525779933028686</x:v>
      </x:c>
      <x:c r="T170" s="9" t="n">
        <x:f>H170*Z169*INDEX(v01_MortAdult,G170)*Arch_AdultMort/4*Q170</x:f>
        <x:v>0.03208877944672476</x:v>
      </x:c>
      <x:c r="U170" s="9" t="n">
        <x:f>H170*AA169*INDEX(v01_MortElder,G170)/4*Q170</x:f>
        <x:v>0.0533232705923697</x:v>
      </x:c>
      <x:c r="V170" s="9" t="n">
        <x:f>H170*MAX(0,AB169-O170)*v01_OvercapLoss</x:f>
        <x:v>0</x:v>
      </x:c>
      <x:c r="W170" s="9" t="n">
        <x:f>H170*Y169/(v01_ChildYears*4)</x:f>
        <x:v>0.11653178451836939</x:v>
      </x:c>
      <x:c r="X170" s="9" t="n">
        <x:f>H170*Z169/(v01_AdultYears*4)</x:f>
        <x:v>0.06900812784241885</x:v>
      </x:c>
      <x:c r="Y170" s="32" t="n">
        <x:f>Y169+R170-S170-W170-Y169*V170/AB169</x:f>
        <x:v>6.541754083430154</x:v>
      </x:c>
      <x:c r="Z170" s="32" t="n">
        <x:f>Z169+W170-X170-T170-Z169*V170/AB169</x:f>
        <x:v>8.572442729689161</x:v>
      </x:c>
      <x:c r="AA170" s="32" t="n">
        <x:f>AA169+X170-U170-AA169*V170/AB169</x:f>
        <x:v>2.1486156809448373</x:v>
      </x:c>
      <x:c r="AB170" s="10" t="n">
        <x:f>Y170+Z170+AA170</x:f>
        <x:v>17.262812494064153</x:v>
      </x:c>
      <x:c r="AC170" s="8" t="n">
        <x:f>IF(AND(v01_WinterTrigger=1,D170=1,AB169/AE169&gt;=K170),1,0)</x:f>
        <x:v>0</x:v>
      </x:c>
      <x:c r="AD170" s="8" t="n">
        <x:f>H170*IF(AND(OR(AB169/AE169&gt;=v01_FissionTrigger*N170,AC170=1),AB169/AE169*v01_DaughterShare&gt;=v01_MinDaughter),MAX(1,ROUND(AE169*v01_FissionRate,0)),0)</x:f>
        <x:v>0</x:v>
      </x:c>
      <x:c r="AE170" s="8" t="n">
        <x:f>IF(H170=1,MAX(1,MIN(INDEX(v01_Smax,G170),AE169+AD170)),AE169)</x:f>
        <x:v>1</x:v>
      </x:c>
      <x:c r="AF170" s="8" t="n">
        <x:f>MAX(0,AE170-AE169)</x:f>
        <x:v>0</x:v>
      </x:c>
      <x:c r="AG170" s="9" t="str">
        <x:f>IF(AF170&gt;0,B170,"")</x:f>
      </x:c>
      <x:c r="AH170" s="9" t="n">
        <x:f>IF(F170&gt;=1,1,(1+v01_LowTiesShare*(AE170-1))/AE170)</x:f>
        <x:v>1</x:v>
      </x:c>
      <x:c r="AI170" s="32" t="n">
        <x:f>(Z170+v01_ElderCommons*INDEX(LM_Elder,G170)*AA170)*AH170</x:f>
        <x:v>12.869674091578837</x:v>
      </x:c>
      <x:c r="AJ170" s="32" t="n">
        <x:f>H170*v01_CommonsCoef*AI170^v01_CommonsExp*INDEX(LM_Commons,G170)</x:f>
        <x:v>5.520520280644038</x:v>
      </x:c>
      <x:c r="AK170" s="32" t="n">
        <x:f>H170*v01_RoleScale*Arch_Roles*(AE170*(INDEX(v01_ElderRolePerSett,G170)*v01_OutElder*INDEX(LM_Elder,G170)+INDEX(v01_ShamanPerSett,G170)*v01_OutShaman)+Z170*(INDEX(v01_PriestShare,G170)*v01_OutPriest+INDEX(v01_ScribeShare,G170)*v01_OutScribe*INDEX(LM_Scribe,G170)+INDEX(v01_ScholarShare,G170)*v01_OutScholar*INDEX(LM_Scholar,G170)+INDEX(v01_ResearcherShare,G170)*v01_OutResearcher*INDEX(LM_Researcher,G170)))</x:f>
        <x:v>0</x:v>
      </x:c>
      <x:c r="AL170" s="32" t="n">
        <x:f>H170*v01_RoleScale*Arch_Roles*AE170*INDEX(v01_MonasteryPerSett,G170)*v01_OutMonastery*INDEX(LM_Monastery,G170)</x:f>
        <x:v>0</x:v>
      </x:c>
      <x:c r="AM170" s="32" t="n">
        <x:f>(AJ170+AK170+AL170)/4*INDEX(LM_All,G170)*INDEX(v01_Boon,G170)*Arch_Insight</x:f>
        <x:v>1.3801300701610095</x:v>
      </x:c>
      <x:c r="AN170" s="32" t="n">
        <x:f>H170*(v01_KHPerAdult*Z170+v01_KHOfCommons*AJ170/4*INDEX(LM_All,G170))*v01_KHUsable*Arch_KH</x:f>
        <x:v>0.3000354955391206</x:v>
      </x:c>
      <x:c r="AO170" s="32" t="n">
        <x:f>MIN(AP169+AN170,AM170*v01_KHMaxRatio)</x:f>
        <x:v>0.3000354955391206</x:v>
      </x:c>
      <x:c r="AP170" s="32" t="n">
        <x:f>AP169+AN170-AO170</x:f>
        <x:v>0</x:v>
      </x:c>
      <x:c r="AQ170" s="32" t="n">
        <x:f>AM170+AO170</x:f>
        <x:v>1.6801655657001302</x:v>
      </x:c>
      <x:c r="AR170" s="10" t="n">
        <x:f>IF(H170=1,INDEX(v01_Req,G170),0)</x:f>
        <x:v>372.02</x:v>
      </x:c>
      <x:c r="AS170" s="32" t="n">
        <x:f>IF(H170=1,IF(E170=1,AS169-AR169,AS169)+AQ170,0)</x:f>
        <x:v>258.31766565390416</x:v>
      </x:c>
      <x:c r="AT170" s="11" t="n">
        <x:f>IF(AR170&gt;0,MIN(1,AS170/AR170),1)</x:f>
        <x:v>0.6943649955752491</x:v>
      </x:c>
      <x:c r="AU170" s="10" t="n">
        <x:f>AB170/INDEX(v01_RepScale,G170)</x:f>
        <x:v>17.262812494064153</x:v>
      </x:c>
      <x:c r="AV170" s="32" t="n">
        <x:f>AM170*60/v01_SeasonSeconds</x:f>
        <x:v>5.520520280644038</x:v>
      </x:c>
    </x:row>
    <x:row r="171">
      <x:c r="A171" s="8" t="n">
        <x:f>A170+1</x:f>
        <x:v>168</x:v>
      </x:c>
      <x:c r="B171" s="9" t="n">
        <x:f>A171*v01_SeasonSeconds/60</x:f>
        <x:v>42</x:v>
      </x:c>
      <x:c r="C171" s="9" t="n">
        <x:f>A171/4</x:f>
        <x:v>42</x:v>
      </x:c>
      <x:c r="D171" s="8" t="n">
        <x:f>IF(MOD(A171,4)=0,1,0)</x:f>
        <x:v>1</x:v>
      </x:c>
      <x:c r="E171" s="8" t="n">
        <x:f>IF(AND(F170&lt;=9,AS170&gt;=AR170),1,0)</x:f>
        <x:v>0</x:v>
      </x:c>
      <x:c r="F171" s="8" t="n">
        <x:f>MIN(10,F170+E171)</x:f>
        <x:v>0</x:v>
      </x:c>
      <x:c r="G171" s="8" t="n">
        <x:f>MIN(F171,9)+1</x:f>
        <x:v>1</x:v>
      </x:c>
      <x:c r="H171" s="8" t="n">
        <x:f>IF(F171&lt;=9,1,0)</x:f>
        <x:v>1</x:v>
      </x:c>
      <x:c r="I171" s="9" t="n">
        <x:f>MIN(10,F170+IF(AR170&gt;0,MIN(1,AS170/AR170),1))</x:f>
        <x:v>0.6943649955752491</x:v>
      </x:c>
      <x:c r="J171" s="32" t="n">
        <x:f>INDEX(v01_FoodCap,G171)*Arch_FoodCap*EXP(v01_CapsByProject*SUMPRODUCT((Cap_Point&lt;=I171)*(Cap_Kind="Food")*Cap_Ln))</x:f>
        <x:v>22</x:v>
      </x:c>
      <x:c r="K171" s="32" t="n">
        <x:f>J171*MIN(1,v01_LeanBase*EXP(v01_CapsByProject*SUMPRODUCT((Cap_Point&lt;=I171)*(Cap_Kind="Lean")*Cap_Ln)))</x:f>
        <x:v>22</x:v>
      </x:c>
      <x:c r="L171" s="10" t="n">
        <x:f>INDEX(v01_HousingCap,G171)*EXP(v01_CapsByProject*SUMPRODUCT((Cap_Point&lt;=I171)*(Cap_Kind="Housing")*Cap_Ln))</x:f>
        <x:v>60</x:v>
      </x:c>
      <x:c r="M171" s="10" t="n">
        <x:f>INDEX(v01_GroupCap,G171)*v01_CohesionFactor*EXP(v01_CapsByProject*SUMPRODUCT((Cap_Point&lt;=I171)*(Cap_Kind="Group")*Cap_Ln))</x:f>
        <x:v>35</x:v>
      </x:c>
      <x:c r="N171" s="32" t="n">
        <x:f>MIN(J171,L171,M171)</x:f>
        <x:v>22</x:v>
      </x:c>
      <x:c r="O171" s="10" t="n">
        <x:f>AE170*N171</x:f>
        <x:v>22</x:v>
      </x:c>
      <x:c r="P171" s="9" t="n">
        <x:f>MIN(1,(AB170/(AE170*IF(v01_GroupInCrowding=1,N171,MIN(J171,L171))))^v01_CrowdingExp)</x:f>
        <x:v>0.23341740418761234</x:v>
      </x:c>
      <x:c r="Q171" s="9" t="n">
        <x:f>IF(D171=1,INDEX(v01_WinterMult,G171),1)</x:f>
        <x:v>2</x:v>
      </x:c>
      <x:c r="R171" s="9" t="n">
        <x:f>H171*Z170*v01_WomenShare*v01_BaseFertility*INDEX(v01_FertMult,G171)*Arch_Fertility*(1-P171)</x:f>
        <x:v>0.19714456200534441</x:v>
      </x:c>
      <x:c r="S171" s="9" t="n">
        <x:f>H171*Y170*INDEX(v01_MortChild,G171)/4*Q171</x:f>
        <x:v>0.13083508166860308</x:v>
      </x:c>
      <x:c r="T171" s="9" t="n">
        <x:f>H171*Z170*INDEX(v01_MortAdult,G171)*Arch_AdultMort/4*Q171</x:f>
        <x:v>0.06429332047266871</x:v>
      </x:c>
      <x:c r="U171" s="9" t="n">
        <x:f>H171*AA170*INDEX(v01_MortElder,G171)/4*Q171</x:f>
        <x:v>0.10743078404724188</x:v>
      </x:c>
      <x:c r="V171" s="9" t="n">
        <x:f>H171*MAX(0,AB170-O171)*v01_OvercapLoss</x:f>
        <x:v>0</x:v>
      </x:c>
      <x:c r="W171" s="9" t="n">
        <x:f>H171*Y170/(v01_ChildYears*4)</x:f>
        <x:v>0.1168170372041099</x:v>
      </x:c>
      <x:c r="X171" s="9" t="n">
        <x:f>H171*Z170/(v01_AdultYears*4)</x:f>
        <x:v>0.06913260265878356</x:v>
      </x:c>
      <x:c r="Y171" s="32" t="n">
        <x:f>Y170+R171-S171-W171-Y170*V171/AB170</x:f>
        <x:v>6.491246526562786</x:v>
      </x:c>
      <x:c r="Z171" s="32" t="n">
        <x:f>Z170+W171-X171-T171-Z170*V171/AB170</x:f>
        <x:v>8.55583384376182</x:v>
      </x:c>
      <x:c r="AA171" s="32" t="n">
        <x:f>AA170+X171-U171-AA170*V171/AB170</x:f>
        <x:v>2.110317499556379</x:v>
      </x:c>
      <x:c r="AB171" s="10" t="n">
        <x:f>Y171+Z171+AA171</x:f>
        <x:v>17.157397869880985</x:v>
      </x:c>
      <x:c r="AC171" s="8" t="n">
        <x:f>IF(AND(v01_WinterTrigger=1,D171=1,AB170/AE170&gt;=K171),1,0)</x:f>
        <x:v>0</x:v>
      </x:c>
      <x:c r="AD171" s="8" t="n">
        <x:f>H171*IF(AND(OR(AB170/AE170&gt;=v01_FissionTrigger*N171,AC171=1),AB170/AE170*v01_DaughterShare&gt;=v01_MinDaughter),MAX(1,ROUND(AE170*v01_FissionRate,0)),0)</x:f>
        <x:v>0</x:v>
      </x:c>
      <x:c r="AE171" s="8" t="n">
        <x:f>IF(H171=1,MAX(1,MIN(INDEX(v01_Smax,G171),AE170+AD171)),AE170)</x:f>
        <x:v>1</x:v>
      </x:c>
      <x:c r="AF171" s="8" t="n">
        <x:f>MAX(0,AE171-AE170)</x:f>
        <x:v>0</x:v>
      </x:c>
      <x:c r="AG171" s="9" t="str">
        <x:f>IF(AF171&gt;0,B171,"")</x:f>
      </x:c>
      <x:c r="AH171" s="9" t="n">
        <x:f>IF(F171&gt;=1,1,(1+v01_LowTiesShare*(AE171-1))/AE171)</x:f>
        <x:v>1</x:v>
      </x:c>
      <x:c r="AI171" s="32" t="n">
        <x:f>(Z171+v01_ElderCommons*INDEX(LM_Elder,G171)*AA171)*AH171</x:f>
        <x:v>12.776468842874579</x:v>
      </x:c>
      <x:c r="AJ171" s="32" t="n">
        <x:f>H171*v01_CommonsCoef*AI171^v01_CommonsExp*INDEX(LM_Commons,G171)</x:f>
        <x:v>5.486517984634747</x:v>
      </x:c>
      <x:c r="AK171" s="32" t="n">
        <x:f>H171*v01_RoleScale*Arch_Roles*(AE171*(INDEX(v01_ElderRolePerSett,G171)*v01_OutElder*INDEX(LM_Elder,G171)+INDEX(v01_ShamanPerSett,G171)*v01_OutShaman)+Z171*(INDEX(v01_PriestShare,G171)*v01_OutPriest+INDEX(v01_ScribeShare,G171)*v01_OutScribe*INDEX(LM_Scribe,G171)+INDEX(v01_ScholarShare,G171)*v01_OutScholar*INDEX(LM_Scholar,G171)+INDEX(v01_ResearcherShare,G171)*v01_OutResearcher*INDEX(LM_Researcher,G171)))</x:f>
        <x:v>0</x:v>
      </x:c>
      <x:c r="AL171" s="32" t="n">
        <x:f>H171*v01_RoleScale*Arch_Roles*AE171*INDEX(v01_MonasteryPerSett,G171)*v01_OutMonastery*INDEX(LM_Monastery,G171)</x:f>
        <x:v>0</x:v>
      </x:c>
      <x:c r="AM171" s="32" t="n">
        <x:f>(AJ171+AK171+AL171)/4*INDEX(LM_All,G171)*INDEX(v01_Boon,G171)*Arch_Insight</x:f>
        <x:v>1.3716294961586868</x:v>
      </x:c>
      <x:c r="AN171" s="32" t="n">
        <x:f>H171*(v01_KHPerAdult*Z171+v01_KHOfCommons*AJ171/4*INDEX(LM_All,G171))*v01_KHUsable*Arch_KH</x:f>
        <x:v>0.29945418453166367</x:v>
      </x:c>
      <x:c r="AO171" s="32" t="n">
        <x:f>MIN(AP170+AN171,AM171*v01_KHMaxRatio)</x:f>
        <x:v>0.29945418453166367</x:v>
      </x:c>
      <x:c r="AP171" s="32" t="n">
        <x:f>AP170+AN171-AO171</x:f>
        <x:v>0</x:v>
      </x:c>
      <x:c r="AQ171" s="32" t="n">
        <x:f>AM171+AO171</x:f>
        <x:v>1.6710836806903504</x:v>
      </x:c>
      <x:c r="AR171" s="10" t="n">
        <x:f>IF(H171=1,INDEX(v01_Req,G171),0)</x:f>
        <x:v>372.02</x:v>
      </x:c>
      <x:c r="AS171" s="32" t="n">
        <x:f>IF(H171=1,IF(E171=1,AS170-AR170,AS170)+AQ171,0)</x:f>
        <x:v>259.9887493345945</x:v>
      </x:c>
      <x:c r="AT171" s="11" t="n">
        <x:f>IF(AR171&gt;0,MIN(1,AS171/AR171),1)</x:f>
        <x:v>0.6988569145061946</x:v>
      </x:c>
      <x:c r="AU171" s="10" t="n">
        <x:f>AB171/INDEX(v01_RepScale,G171)</x:f>
        <x:v>17.157397869880985</x:v>
      </x:c>
      <x:c r="AV171" s="32" t="n">
        <x:f>AM171*60/v01_SeasonSeconds</x:f>
        <x:v>5.486517984634747</x:v>
      </x:c>
    </x:row>
    <x:row r="172">
      <x:c r="A172" s="8" t="n">
        <x:f>A171+1</x:f>
        <x:v>169</x:v>
      </x:c>
      <x:c r="B172" s="9" t="n">
        <x:f>A172*v01_SeasonSeconds/60</x:f>
        <x:v>42.25</x:v>
      </x:c>
      <x:c r="C172" s="9" t="n">
        <x:f>A172/4</x:f>
        <x:v>42.25</x:v>
      </x:c>
      <x:c r="D172" s="8" t="n">
        <x:f>IF(MOD(A172,4)=0,1,0)</x:f>
        <x:v>0</x:v>
      </x:c>
      <x:c r="E172" s="8" t="n">
        <x:f>IF(AND(F171&lt;=9,AS171&gt;=AR171),1,0)</x:f>
        <x:v>0</x:v>
      </x:c>
      <x:c r="F172" s="8" t="n">
        <x:f>MIN(10,F171+E172)</x:f>
        <x:v>0</x:v>
      </x:c>
      <x:c r="G172" s="8" t="n">
        <x:f>MIN(F172,9)+1</x:f>
        <x:v>1</x:v>
      </x:c>
      <x:c r="H172" s="8" t="n">
        <x:f>IF(F172&lt;=9,1,0)</x:f>
        <x:v>1</x:v>
      </x:c>
      <x:c r="I172" s="9" t="n">
        <x:f>MIN(10,F171+IF(AR171&gt;0,MIN(1,AS171/AR171),1))</x:f>
        <x:v>0.6988569145061946</x:v>
      </x:c>
      <x:c r="J172" s="32" t="n">
        <x:f>INDEX(v01_FoodCap,G172)*Arch_FoodCap*EXP(v01_CapsByProject*SUMPRODUCT((Cap_Point&lt;=I172)*(Cap_Kind="Food")*Cap_Ln))</x:f>
        <x:v>22</x:v>
      </x:c>
      <x:c r="K172" s="32" t="n">
        <x:f>J172*MIN(1,v01_LeanBase*EXP(v01_CapsByProject*SUMPRODUCT((Cap_Point&lt;=I172)*(Cap_Kind="Lean")*Cap_Ln)))</x:f>
        <x:v>22</x:v>
      </x:c>
      <x:c r="L172" s="10" t="n">
        <x:f>INDEX(v01_HousingCap,G172)*EXP(v01_CapsByProject*SUMPRODUCT((Cap_Point&lt;=I172)*(Cap_Kind="Housing")*Cap_Ln))</x:f>
        <x:v>60</x:v>
      </x:c>
      <x:c r="M172" s="10" t="n">
        <x:f>INDEX(v01_GroupCap,G172)*v01_CohesionFactor*EXP(v01_CapsByProject*SUMPRODUCT((Cap_Point&lt;=I172)*(Cap_Kind="Group")*Cap_Ln))</x:f>
        <x:v>35</x:v>
      </x:c>
      <x:c r="N172" s="32" t="n">
        <x:f>MIN(J172,L172,M172)</x:f>
        <x:v>22</x:v>
      </x:c>
      <x:c r="O172" s="10" t="n">
        <x:f>AE171*N172</x:f>
        <x:v>22</x:v>
      </x:c>
      <x:c r="P172" s="9" t="n">
        <x:f>MIN(1,(AB171/(AE171*IF(v01_GroupInCrowding=1,N172,MIN(J172,L172))))^v01_CrowdingExp)</x:f>
        <x:v>0.2249947837258014</x:v>
      </x:c>
      <x:c r="Q172" s="9" t="n">
        <x:f>IF(D172=1,INDEX(v01_WinterMult,G172),1)</x:f>
        <x:v>1</x:v>
      </x:c>
      <x:c r="R172" s="9" t="n">
        <x:f>H172*Z171*v01_WomenShare*v01_BaseFertility*INDEX(v01_FertMult,G172)*Arch_Fertility*(1-P172)</x:f>
        <x:v>0.1989244757547221</x:v>
      </x:c>
      <x:c r="S172" s="9" t="n">
        <x:f>H172*Y171*INDEX(v01_MortChild,G172)/4*Q172</x:f>
        <x:v>0.06491246526562786</x:v>
      </x:c>
      <x:c r="T172" s="9" t="n">
        <x:f>H172*Z171*INDEX(v01_MortAdult,G172)*Arch_AdultMort/4*Q172</x:f>
        <x:v>0.03208437691410682</x:v>
      </x:c>
      <x:c r="U172" s="9" t="n">
        <x:f>H172*AA171*INDEX(v01_MortElder,G172)/4*Q172</x:f>
        <x:v>0.05275793748890948</x:v>
      </x:c>
      <x:c r="V172" s="9" t="n">
        <x:f>H172*MAX(0,AB171-O172)*v01_OvercapLoss</x:f>
        <x:v>0</x:v>
      </x:c>
      <x:c r="W172" s="9" t="n">
        <x:f>H172*Y171/(v01_ChildYears*4)</x:f>
        <x:v>0.11591511654576403</x:v>
      </x:c>
      <x:c r="X172" s="9" t="n">
        <x:f>H172*Z171/(v01_AdultYears*4)</x:f>
        <x:v>0.06899866003033725</x:v>
      </x:c>
      <x:c r="Y172" s="32" t="n">
        <x:f>Y171+R172-S172-W172-Y171*V172/AB171</x:f>
        <x:v>6.509343420506116</x:v>
      </x:c>
      <x:c r="Z172" s="32" t="n">
        <x:f>Z171+W172-X172-T172-Z171*V172/AB171</x:f>
        <x:v>8.57066592336314</x:v>
      </x:c>
      <x:c r="AA172" s="32" t="n">
        <x:f>AA171+X172-U172-AA171*V172/AB171</x:f>
        <x:v>2.126558222097807</x:v>
      </x:c>
      <x:c r="AB172" s="10" t="n">
        <x:f>Y172+Z172+AA172</x:f>
        <x:v>17.206567565967063</x:v>
      </x:c>
      <x:c r="AC172" s="8" t="n">
        <x:f>IF(AND(v01_WinterTrigger=1,D172=1,AB171/AE171&gt;=K172),1,0)</x:f>
        <x:v>0</x:v>
      </x:c>
      <x:c r="AD172" s="8" t="n">
        <x:f>H172*IF(AND(OR(AB171/AE171&gt;=v01_FissionTrigger*N172,AC172=1),AB171/AE171*v01_DaughterShare&gt;=v01_MinDaughter),MAX(1,ROUND(AE171*v01_FissionRate,0)),0)</x:f>
        <x:v>0</x:v>
      </x:c>
      <x:c r="AE172" s="8" t="n">
        <x:f>IF(H172=1,MAX(1,MIN(INDEX(v01_Smax,G172),AE171+AD172)),AE171)</x:f>
        <x:v>1</x:v>
      </x:c>
      <x:c r="AF172" s="8" t="n">
        <x:f>MAX(0,AE172-AE171)</x:f>
        <x:v>0</x:v>
      </x:c>
      <x:c r="AG172" s="9" t="str">
        <x:f>IF(AF172&gt;0,B172,"")</x:f>
      </x:c>
      <x:c r="AH172" s="9" t="n">
        <x:f>IF(F172&gt;=1,1,(1+v01_LowTiesShare*(AE172-1))/AE172)</x:f>
        <x:v>1</x:v>
      </x:c>
      <x:c r="AI172" s="32" t="n">
        <x:f>(Z172+v01_ElderCommons*INDEX(LM_Elder,G172)*AA172)*AH172</x:f>
        <x:v>12.823782367558755</x:v>
      </x:c>
      <x:c r="AJ172" s="32" t="n">
        <x:f>H172*v01_CommonsCoef*AI172^v01_CommonsExp*INDEX(LM_Commons,G172)</x:f>
        <x:v>5.503783109723295</x:v>
      </x:c>
      <x:c r="AK172" s="32" t="n">
        <x:f>H172*v01_RoleScale*Arch_Roles*(AE172*(INDEX(v01_ElderRolePerSett,G172)*v01_OutElder*INDEX(LM_Elder,G172)+INDEX(v01_ShamanPerSett,G172)*v01_OutShaman)+Z172*(INDEX(v01_PriestShare,G172)*v01_OutPriest+INDEX(v01_ScribeShare,G172)*v01_OutScribe*INDEX(LM_Scribe,G172)+INDEX(v01_ScholarShare,G172)*v01_OutScholar*INDEX(LM_Scholar,G172)+INDEX(v01_ResearcherShare,G172)*v01_OutResearcher*INDEX(LM_Researcher,G172)))</x:f>
        <x:v>0</x:v>
      </x:c>
      <x:c r="AL172" s="32" t="n">
        <x:f>H172*v01_RoleScale*Arch_Roles*AE172*INDEX(v01_MonasteryPerSett,G172)*v01_OutMonastery*INDEX(LM_Monastery,G172)</x:f>
        <x:v>0</x:v>
      </x:c>
      <x:c r="AM172" s="32" t="n">
        <x:f>(AJ172+AK172+AL172)/4*INDEX(LM_All,G172)*INDEX(v01_Boon,G172)*Arch_Insight</x:f>
        <x:v>1.3759457774308237</x:v>
      </x:c>
      <x:c r="AN172" s="32" t="n">
        <x:f>H172*(v01_KHPerAdult*Z172+v01_KHOfCommons*AJ172/4*INDEX(LM_All,G172))*v01_KHUsable*Arch_KH</x:f>
        <x:v>0.29997330731770994</x:v>
      </x:c>
      <x:c r="AO172" s="32" t="n">
        <x:f>MIN(AP171+AN172,AM172*v01_KHMaxRatio)</x:f>
        <x:v>0.29997330731770994</x:v>
      </x:c>
      <x:c r="AP172" s="32" t="n">
        <x:f>AP171+AN172-AO172</x:f>
        <x:v>0</x:v>
      </x:c>
      <x:c r="AQ172" s="32" t="n">
        <x:f>AM172+AO172</x:f>
        <x:v>1.6759190847485337</x:v>
      </x:c>
      <x:c r="AR172" s="10" t="n">
        <x:f>IF(H172=1,INDEX(v01_Req,G172),0)</x:f>
        <x:v>372.02</x:v>
      </x:c>
      <x:c r="AS172" s="32" t="n">
        <x:f>IF(H172=1,IF(E172=1,AS171-AR171,AS171)+AQ172,0)</x:f>
        <x:v>261.66466841934306</x:v>
      </x:c>
      <x:c r="AT172" s="11" t="n">
        <x:f>IF(AR172&gt;0,MIN(1,AS172/AR172),1)</x:f>
        <x:v>0.703361831136345</x:v>
      </x:c>
      <x:c r="AU172" s="10" t="n">
        <x:f>AB172/INDEX(v01_RepScale,G172)</x:f>
        <x:v>17.206567565967063</x:v>
      </x:c>
      <x:c r="AV172" s="32" t="n">
        <x:f>AM172*60/v01_SeasonSeconds</x:f>
        <x:v>5.503783109723295</x:v>
      </x:c>
    </x:row>
    <x:row r="173">
      <x:c r="A173" s="8" t="n">
        <x:f>A172+1</x:f>
        <x:v>170</x:v>
      </x:c>
      <x:c r="B173" s="9" t="n">
        <x:f>A173*v01_SeasonSeconds/60</x:f>
        <x:v>42.5</x:v>
      </x:c>
      <x:c r="C173" s="9" t="n">
        <x:f>A173/4</x:f>
        <x:v>42.5</x:v>
      </x:c>
      <x:c r="D173" s="8" t="n">
        <x:f>IF(MOD(A173,4)=0,1,0)</x:f>
        <x:v>0</x:v>
      </x:c>
      <x:c r="E173" s="8" t="n">
        <x:f>IF(AND(F172&lt;=9,AS172&gt;=AR172),1,0)</x:f>
        <x:v>0</x:v>
      </x:c>
      <x:c r="F173" s="8" t="n">
        <x:f>MIN(10,F172+E173)</x:f>
        <x:v>0</x:v>
      </x:c>
      <x:c r="G173" s="8" t="n">
        <x:f>MIN(F173,9)+1</x:f>
        <x:v>1</x:v>
      </x:c>
      <x:c r="H173" s="8" t="n">
        <x:f>IF(F173&lt;=9,1,0)</x:f>
        <x:v>1</x:v>
      </x:c>
      <x:c r="I173" s="9" t="n">
        <x:f>MIN(10,F172+IF(AR172&gt;0,MIN(1,AS172/AR172),1))</x:f>
        <x:v>0.703361831136345</x:v>
      </x:c>
      <x:c r="J173" s="32" t="n">
        <x:f>INDEX(v01_FoodCap,G173)*Arch_FoodCap*EXP(v01_CapsByProject*SUMPRODUCT((Cap_Point&lt;=I173)*(Cap_Kind="Food")*Cap_Ln))</x:f>
        <x:v>22</x:v>
      </x:c>
      <x:c r="K173" s="32" t="n">
        <x:f>J173*MIN(1,v01_LeanBase*EXP(v01_CapsByProject*SUMPRODUCT((Cap_Point&lt;=I173)*(Cap_Kind="Lean")*Cap_Ln)))</x:f>
        <x:v>22</x:v>
      </x:c>
      <x:c r="L173" s="10" t="n">
        <x:f>INDEX(v01_HousingCap,G173)*EXP(v01_CapsByProject*SUMPRODUCT((Cap_Point&lt;=I173)*(Cap_Kind="Housing")*Cap_Ln))</x:f>
        <x:v>60</x:v>
      </x:c>
      <x:c r="M173" s="10" t="n">
        <x:f>INDEX(v01_GroupCap,G173)*v01_CohesionFactor*EXP(v01_CapsByProject*SUMPRODUCT((Cap_Point&lt;=I173)*(Cap_Kind="Group")*Cap_Ln))</x:f>
        <x:v>35</x:v>
      </x:c>
      <x:c r="N173" s="32" t="n">
        <x:f>MIN(J173,L173,M173)</x:f>
        <x:v>22</x:v>
      </x:c>
      <x:c r="O173" s="10" t="n">
        <x:f>AE172*N173</x:f>
        <x:v>22</x:v>
      </x:c>
      <x:c r="P173" s="9" t="n">
        <x:f>MIN(1,(AB172/(AE172*IF(v01_GroupInCrowding=1,N173,MIN(J173,L173))))^v01_CrowdingExp)</x:f>
        <x:v>0.22889134977857978</x:v>
      </x:c>
      <x:c r="Q173" s="9" t="n">
        <x:f>IF(D173=1,INDEX(v01_WinterMult,G173),1)</x:f>
        <x:v>1</x:v>
      </x:c>
      <x:c r="R173" s="9" t="n">
        <x:f>H173*Z172*v01_WomenShare*v01_BaseFertility*INDEX(v01_FertMult,G173)*Arch_Fertility*(1-P173)</x:f>
        <x:v>0.1982674389498982</x:v>
      </x:c>
      <x:c r="S173" s="9" t="n">
        <x:f>H173*Y172*INDEX(v01_MortChild,G173)/4*Q173</x:f>
        <x:v>0.06509343420506115</x:v>
      </x:c>
      <x:c r="T173" s="9" t="n">
        <x:f>H173*Z172*INDEX(v01_MortAdult,G173)*Arch_AdultMort/4*Q173</x:f>
        <x:v>0.03213999721261178</x:v>
      </x:c>
      <x:c r="U173" s="9" t="n">
        <x:f>H173*AA172*INDEX(v01_MortElder,G173)/4*Q173</x:f>
        <x:v>0.05316395555244518</x:v>
      </x:c>
      <x:c r="V173" s="9" t="n">
        <x:f>H173*MAX(0,AB172-O173)*v01_OvercapLoss</x:f>
        <x:v>0</x:v>
      </x:c>
      <x:c r="W173" s="9" t="n">
        <x:f>H173*Y172/(v01_ChildYears*4)</x:f>
        <x:v>0.11623827536618063</x:v>
      </x:c>
      <x:c r="X173" s="9" t="n">
        <x:f>H173*Z172/(v01_AdultYears*4)</x:f>
        <x:v>0.0691182735755092</x:v>
      </x:c>
      <x:c r="Y173" s="32" t="n">
        <x:f>Y172+R173-S173-W173-Y172*V173/AB172</x:f>
        <x:v>6.526279149884772</x:v>
      </x:c>
      <x:c r="Z173" s="32" t="n">
        <x:f>Z172+W173-X173-T173-Z172*V173/AB172</x:f>
        <x:v>8.5856459279412</x:v>
      </x:c>
      <x:c r="AA173" s="32" t="n">
        <x:f>AA172+X173-U173-AA172*V173/AB172</x:f>
        <x:v>2.142512540120871</x:v>
      </x:c>
      <x:c r="AB173" s="10" t="n">
        <x:f>Y173+Z173+AA173</x:f>
        <x:v>17.254437617946845</x:v>
      </x:c>
      <x:c r="AC173" s="8" t="n">
        <x:f>IF(AND(v01_WinterTrigger=1,D173=1,AB172/AE172&gt;=K173),1,0)</x:f>
        <x:v>0</x:v>
      </x:c>
      <x:c r="AD173" s="8" t="n">
        <x:f>H173*IF(AND(OR(AB172/AE172&gt;=v01_FissionTrigger*N173,AC173=1),AB172/AE172*v01_DaughterShare&gt;=v01_MinDaughter),MAX(1,ROUND(AE172*v01_FissionRate,0)),0)</x:f>
        <x:v>0</x:v>
      </x:c>
      <x:c r="AE173" s="8" t="n">
        <x:f>IF(H173=1,MAX(1,MIN(INDEX(v01_Smax,G173),AE172+AD173)),AE172)</x:f>
        <x:v>1</x:v>
      </x:c>
      <x:c r="AF173" s="8" t="n">
        <x:f>MAX(0,AE173-AE172)</x:f>
        <x:v>0</x:v>
      </x:c>
      <x:c r="AG173" s="9" t="str">
        <x:f>IF(AF173&gt;0,B173,"")</x:f>
      </x:c>
      <x:c r="AH173" s="9" t="n">
        <x:f>IF(F173&gt;=1,1,(1+v01_LowTiesShare*(AE173-1))/AE173)</x:f>
        <x:v>1</x:v>
      </x:c>
      <x:c r="AI173" s="32" t="n">
        <x:f>(Z173+v01_ElderCommons*INDEX(LM_Elder,G173)*AA173)*AH173</x:f>
        <x:v>12.870671008182942</x:v>
      </x:c>
      <x:c r="AJ173" s="32" t="n">
        <x:f>H173*v01_CommonsCoef*AI173^v01_CommonsExp*INDEX(LM_Commons,G173)</x:f>
        <x:v>5.520883766647755</x:v>
      </x:c>
      <x:c r="AK173" s="32" t="n">
        <x:f>H173*v01_RoleScale*Arch_Roles*(AE173*(INDEX(v01_ElderRolePerSett,G173)*v01_OutElder*INDEX(LM_Elder,G173)+INDEX(v01_ShamanPerSett,G173)*v01_OutShaman)+Z173*(INDEX(v01_PriestShare,G173)*v01_OutPriest+INDEX(v01_ScribeShare,G173)*v01_OutScribe*INDEX(LM_Scribe,G173)+INDEX(v01_ScholarShare,G173)*v01_OutScholar*INDEX(LM_Scholar,G173)+INDEX(v01_ResearcherShare,G173)*v01_OutResearcher*INDEX(LM_Researcher,G173)))</x:f>
        <x:v>0</x:v>
      </x:c>
      <x:c r="AL173" s="32" t="n">
        <x:f>H173*v01_RoleScale*Arch_Roles*AE173*INDEX(v01_MonasteryPerSett,G173)*v01_OutMonastery*INDEX(LM_Monastery,G173)</x:f>
        <x:v>0</x:v>
      </x:c>
      <x:c r="AM173" s="32" t="n">
        <x:f>(AJ173+AK173+AL173)/4*INDEX(LM_All,G173)*INDEX(v01_Boon,G173)*Arch_Insight</x:f>
        <x:v>1.3802209416619386</x:v>
      </x:c>
      <x:c r="AN173" s="32" t="n">
        <x:f>H173*(v01_KHPerAdult*Z173+v01_KHOfCommons*AJ173/4*INDEX(LM_All,G173))*v01_KHUsable*Arch_KH</x:f>
        <x:v>0.300497607477942</x:v>
      </x:c>
      <x:c r="AO173" s="32" t="n">
        <x:f>MIN(AP172+AN173,AM173*v01_KHMaxRatio)</x:f>
        <x:v>0.300497607477942</x:v>
      </x:c>
      <x:c r="AP173" s="32" t="n">
        <x:f>AP172+AN173-AO173</x:f>
        <x:v>0</x:v>
      </x:c>
      <x:c r="AQ173" s="32" t="n">
        <x:f>AM173+AO173</x:f>
        <x:v>1.6807185491398806</x:v>
      </x:c>
      <x:c r="AR173" s="10" t="n">
        <x:f>IF(H173=1,INDEX(v01_Req,G173),0)</x:f>
        <x:v>372.02</x:v>
      </x:c>
      <x:c r="AS173" s="32" t="n">
        <x:f>IF(H173=1,IF(E173=1,AS172-AR172,AS172)+AQ173,0)</x:f>
        <x:v>263.34538696848296</x:v>
      </x:c>
      <x:c r="AT173" s="11" t="n">
        <x:f>IF(AR173&gt;0,MIN(1,AS173/AR173),1)</x:f>
        <x:v>0.7078796488588865</x:v>
      </x:c>
      <x:c r="AU173" s="10" t="n">
        <x:f>AB173/INDEX(v01_RepScale,G173)</x:f>
        <x:v>17.254437617946845</x:v>
      </x:c>
      <x:c r="AV173" s="32" t="n">
        <x:f>AM173*60/v01_SeasonSeconds</x:f>
        <x:v>5.520883766647755</x:v>
      </x:c>
    </x:row>
    <x:row r="174">
      <x:c r="A174" s="8" t="n">
        <x:f>A173+1</x:f>
        <x:v>171</x:v>
      </x:c>
      <x:c r="B174" s="9" t="n">
        <x:f>A174*v01_SeasonSeconds/60</x:f>
        <x:v>42.75</x:v>
      </x:c>
      <x:c r="C174" s="9" t="n">
        <x:f>A174/4</x:f>
        <x:v>42.75</x:v>
      </x:c>
      <x:c r="D174" s="8" t="n">
        <x:f>IF(MOD(A174,4)=0,1,0)</x:f>
        <x:v>0</x:v>
      </x:c>
      <x:c r="E174" s="8" t="n">
        <x:f>IF(AND(F173&lt;=9,AS173&gt;=AR173),1,0)</x:f>
        <x:v>0</x:v>
      </x:c>
      <x:c r="F174" s="8" t="n">
        <x:f>MIN(10,F173+E174)</x:f>
        <x:v>0</x:v>
      </x:c>
      <x:c r="G174" s="8" t="n">
        <x:f>MIN(F174,9)+1</x:f>
        <x:v>1</x:v>
      </x:c>
      <x:c r="H174" s="8" t="n">
        <x:f>IF(F174&lt;=9,1,0)</x:f>
        <x:v>1</x:v>
      </x:c>
      <x:c r="I174" s="9" t="n">
        <x:f>MIN(10,F173+IF(AR173&gt;0,MIN(1,AS173/AR173),1))</x:f>
        <x:v>0.7078796488588865</x:v>
      </x:c>
      <x:c r="J174" s="32" t="n">
        <x:f>INDEX(v01_FoodCap,G174)*Arch_FoodCap*EXP(v01_CapsByProject*SUMPRODUCT((Cap_Point&lt;=I174)*(Cap_Kind="Food")*Cap_Ln))</x:f>
        <x:v>22</x:v>
      </x:c>
      <x:c r="K174" s="32" t="n">
        <x:f>J174*MIN(1,v01_LeanBase*EXP(v01_CapsByProject*SUMPRODUCT((Cap_Point&lt;=I174)*(Cap_Kind="Lean")*Cap_Ln)))</x:f>
        <x:v>22</x:v>
      </x:c>
      <x:c r="L174" s="10" t="n">
        <x:f>INDEX(v01_HousingCap,G174)*EXP(v01_CapsByProject*SUMPRODUCT((Cap_Point&lt;=I174)*(Cap_Kind="Housing")*Cap_Ln))</x:f>
        <x:v>60</x:v>
      </x:c>
      <x:c r="M174" s="10" t="n">
        <x:f>INDEX(v01_GroupCap,G174)*v01_CohesionFactor*EXP(v01_CapsByProject*SUMPRODUCT((Cap_Point&lt;=I174)*(Cap_Kind="Group")*Cap_Ln))</x:f>
        <x:v>35</x:v>
      </x:c>
      <x:c r="N174" s="32" t="n">
        <x:f>MIN(J174,L174,M174)</x:f>
        <x:v>22</x:v>
      </x:c>
      <x:c r="O174" s="10" t="n">
        <x:f>AE173*N174</x:f>
        <x:v>22</x:v>
      </x:c>
      <x:c r="P174" s="9" t="n">
        <x:f>MIN(1,(AB173/(AE173*IF(v01_GroupInCrowding=1,N174,MIN(J174,L174))))^v01_CrowdingExp)</x:f>
        <x:v>0.23273878738092635</x:v>
      </x:c>
      <x:c r="Q174" s="9" t="n">
        <x:f>IF(D174=1,INDEX(v01_WinterMult,G174),1)</x:f>
        <x:v>1</x:v>
      </x:c>
      <x:c r="R174" s="9" t="n">
        <x:f>H174*Z173*v01_WomenShare*v01_BaseFertility*INDEX(v01_FertMult,G174)*Arch_Fertility*(1-P174)</x:f>
        <x:v>0.19762299317370532</x:v>
      </x:c>
      <x:c r="S174" s="9" t="n">
        <x:f>H174*Y173*INDEX(v01_MortChild,G174)/4*Q174</x:f>
        <x:v>0.06526279149884771</x:v>
      </x:c>
      <x:c r="T174" s="9" t="n">
        <x:f>H174*Z173*INDEX(v01_MortAdult,G174)*Arch_AdultMort/4*Q174</x:f>
        <x:v>0.0321961722297795</x:v>
      </x:c>
      <x:c r="U174" s="9" t="n">
        <x:f>H174*AA173*INDEX(v01_MortElder,G174)/4*Q174</x:f>
        <x:v>0.05356281350302178</x:v>
      </x:c>
      <x:c r="V174" s="9" t="n">
        <x:f>H174*MAX(0,AB173-O174)*v01_OvercapLoss</x:f>
        <x:v>0</x:v>
      </x:c>
      <x:c r="W174" s="9" t="n">
        <x:f>H174*Y173/(v01_ChildYears*4)</x:f>
        <x:v>0.11654069910508522</x:v>
      </x:c>
      <x:c r="X174" s="9" t="n">
        <x:f>H174*Z173/(v01_AdultYears*4)</x:f>
        <x:v>0.06923908006404195</x:v>
      </x:c>
      <x:c r="Y174" s="32" t="n">
        <x:f>Y173+R174-S174-W174-Y173*V174/AB173</x:f>
        <x:v>6.542098652454544</x:v>
      </x:c>
      <x:c r="Z174" s="32" t="n">
        <x:f>Z173+W174-X174-T174-Z173*V174/AB173</x:f>
        <x:v>8.600751374752464</x:v>
      </x:c>
      <x:c r="AA174" s="32" t="n">
        <x:f>AA173+X174-U174-AA173*V174/AB173</x:f>
        <x:v>2.1581888066818915</x:v>
      </x:c>
      <x:c r="AB174" s="10" t="n">
        <x:f>Y174+Z174+AA174</x:f>
        <x:v>17.3010388338889</x:v>
      </x:c>
      <x:c r="AC174" s="8" t="n">
        <x:f>IF(AND(v01_WinterTrigger=1,D174=1,AB173/AE173&gt;=K174),1,0)</x:f>
        <x:v>0</x:v>
      </x:c>
      <x:c r="AD174" s="8" t="n">
        <x:f>H174*IF(AND(OR(AB173/AE173&gt;=v01_FissionTrigger*N174,AC174=1),AB173/AE173*v01_DaughterShare&gt;=v01_MinDaughter),MAX(1,ROUND(AE173*v01_FissionRate,0)),0)</x:f>
        <x:v>0</x:v>
      </x:c>
      <x:c r="AE174" s="8" t="n">
        <x:f>IF(H174=1,MAX(1,MIN(INDEX(v01_Smax,G174),AE173+AD174)),AE173)</x:f>
        <x:v>1</x:v>
      </x:c>
      <x:c r="AF174" s="8" t="n">
        <x:f>MAX(0,AE174-AE173)</x:f>
        <x:v>0</x:v>
      </x:c>
      <x:c r="AG174" s="9" t="str">
        <x:f>IF(AF174&gt;0,B174,"")</x:f>
      </x:c>
      <x:c r="AH174" s="9" t="n">
        <x:f>IF(F174&gt;=1,1,(1+v01_LowTiesShare*(AE174-1))/AE174)</x:f>
        <x:v>1</x:v>
      </x:c>
      <x:c r="AI174" s="32" t="n">
        <x:f>(Z174+v01_ElderCommons*INDEX(LM_Elder,G174)*AA174)*AH174</x:f>
        <x:v>12.917128988116247</x:v>
      </x:c>
      <x:c r="AJ174" s="32" t="n">
        <x:f>H174*v01_CommonsCoef*AI174^v01_CommonsExp*INDEX(LM_Commons,G174)</x:f>
        <x:v>5.537818144140522</x:v>
      </x:c>
      <x:c r="AK174" s="32" t="n">
        <x:f>H174*v01_RoleScale*Arch_Roles*(AE174*(INDEX(v01_ElderRolePerSett,G174)*v01_OutElder*INDEX(LM_Elder,G174)+INDEX(v01_ShamanPerSett,G174)*v01_OutShaman)+Z174*(INDEX(v01_PriestShare,G174)*v01_OutPriest+INDEX(v01_ScribeShare,G174)*v01_OutScribe*INDEX(LM_Scribe,G174)+INDEX(v01_ScholarShare,G174)*v01_OutScholar*INDEX(LM_Scholar,G174)+INDEX(v01_ResearcherShare,G174)*v01_OutResearcher*INDEX(LM_Researcher,G174)))</x:f>
        <x:v>0</x:v>
      </x:c>
      <x:c r="AL174" s="32" t="n">
        <x:f>H174*v01_RoleScale*Arch_Roles*AE174*INDEX(v01_MonasteryPerSett,G174)*v01_OutMonastery*INDEX(LM_Monastery,G174)</x:f>
        <x:v>0</x:v>
      </x:c>
      <x:c r="AM174" s="32" t="n">
        <x:f>(AJ174+AK174+AL174)/4*INDEX(LM_All,G174)*INDEX(v01_Boon,G174)*Arch_Insight</x:f>
        <x:v>1.3844545360351306</x:v>
      </x:c>
      <x:c r="AN174" s="32" t="n">
        <x:f>H174*(v01_KHPerAdult*Z174+v01_KHOfCommons*AJ174/4*INDEX(LM_All,G174))*v01_KHUsable*Arch_KH</x:f>
        <x:v>0.30102629811633624</x:v>
      </x:c>
      <x:c r="AO174" s="32" t="n">
        <x:f>MIN(AP173+AN174,AM174*v01_KHMaxRatio)</x:f>
        <x:v>0.30102629811633624</x:v>
      </x:c>
      <x:c r="AP174" s="32" t="n">
        <x:f>AP173+AN174-AO174</x:f>
        <x:v>0</x:v>
      </x:c>
      <x:c r="AQ174" s="32" t="n">
        <x:f>AM174+AO174</x:f>
        <x:v>1.6854808341514669</x:v>
      </x:c>
      <x:c r="AR174" s="10" t="n">
        <x:f>IF(H174=1,INDEX(v01_Req,G174),0)</x:f>
        <x:v>372.02</x:v>
      </x:c>
      <x:c r="AS174" s="32" t="n">
        <x:f>IF(H174=1,IF(E174=1,AS173-AR173,AS173)+AQ174,0)</x:f>
        <x:v>265.0308678026344</x:v>
      </x:c>
      <x:c r="AT174" s="11" t="n">
        <x:f>IF(AR174&gt;0,MIN(1,AS174/AR174),1)</x:f>
        <x:v>0.7124102677346229</x:v>
      </x:c>
      <x:c r="AU174" s="10" t="n">
        <x:f>AB174/INDEX(v01_RepScale,G174)</x:f>
        <x:v>17.3010388338889</x:v>
      </x:c>
      <x:c r="AV174" s="32" t="n">
        <x:f>AM174*60/v01_SeasonSeconds</x:f>
        <x:v>5.537818144140522</x:v>
      </x:c>
    </x:row>
    <x:row r="175">
      <x:c r="A175" s="8" t="n">
        <x:f>A174+1</x:f>
        <x:v>172</x:v>
      </x:c>
      <x:c r="B175" s="9" t="n">
        <x:f>A175*v01_SeasonSeconds/60</x:f>
        <x:v>43</x:v>
      </x:c>
      <x:c r="C175" s="9" t="n">
        <x:f>A175/4</x:f>
        <x:v>43</x:v>
      </x:c>
      <x:c r="D175" s="8" t="n">
        <x:f>IF(MOD(A175,4)=0,1,0)</x:f>
        <x:v>1</x:v>
      </x:c>
      <x:c r="E175" s="8" t="n">
        <x:f>IF(AND(F174&lt;=9,AS174&gt;=AR174),1,0)</x:f>
        <x:v>0</x:v>
      </x:c>
      <x:c r="F175" s="8" t="n">
        <x:f>MIN(10,F174+E175)</x:f>
        <x:v>0</x:v>
      </x:c>
      <x:c r="G175" s="8" t="n">
        <x:f>MIN(F175,9)+1</x:f>
        <x:v>1</x:v>
      </x:c>
      <x:c r="H175" s="8" t="n">
        <x:f>IF(F175&lt;=9,1,0)</x:f>
        <x:v>1</x:v>
      </x:c>
      <x:c r="I175" s="9" t="n">
        <x:f>MIN(10,F174+IF(AR174&gt;0,MIN(1,AS174/AR174),1))</x:f>
        <x:v>0.7124102677346229</x:v>
      </x:c>
      <x:c r="J175" s="32" t="n">
        <x:f>INDEX(v01_FoodCap,G175)*Arch_FoodCap*EXP(v01_CapsByProject*SUMPRODUCT((Cap_Point&lt;=I175)*(Cap_Kind="Food")*Cap_Ln))</x:f>
        <x:v>22</x:v>
      </x:c>
      <x:c r="K175" s="32" t="n">
        <x:f>J175*MIN(1,v01_LeanBase*EXP(v01_CapsByProject*SUMPRODUCT((Cap_Point&lt;=I175)*(Cap_Kind="Lean")*Cap_Ln)))</x:f>
        <x:v>22</x:v>
      </x:c>
      <x:c r="L175" s="10" t="n">
        <x:f>INDEX(v01_HousingCap,G175)*EXP(v01_CapsByProject*SUMPRODUCT((Cap_Point&lt;=I175)*(Cap_Kind="Housing")*Cap_Ln))</x:f>
        <x:v>60</x:v>
      </x:c>
      <x:c r="M175" s="10" t="n">
        <x:f>INDEX(v01_GroupCap,G175)*v01_CohesionFactor*EXP(v01_CapsByProject*SUMPRODUCT((Cap_Point&lt;=I175)*(Cap_Kind="Group")*Cap_Ln))</x:f>
        <x:v>35</x:v>
      </x:c>
      <x:c r="N175" s="32" t="n">
        <x:f>MIN(J175,L175,M175)</x:f>
        <x:v>22</x:v>
      </x:c>
      <x:c r="O175" s="10" t="n">
        <x:f>AE174*N175</x:f>
        <x:v>22</x:v>
      </x:c>
      <x:c r="P175" s="9" t="n">
        <x:f>MIN(1,(AB174/(AE174*IF(v01_GroupInCrowding=1,N175,MIN(J175,L175))))^v01_CrowdingExp)</x:f>
        <x:v>0.23653586518087397</x:v>
      </x:c>
      <x:c r="Q175" s="9" t="n">
        <x:f>IF(D175=1,INDEX(v01_WinterMult,G175),1)</x:f>
        <x:v>2</x:v>
      </x:c>
      <x:c r="R175" s="9" t="n">
        <x:f>H175*Z174*v01_WomenShare*v01_BaseFertility*INDEX(v01_FertMult,G175)*Arch_Fertility*(1-P175)</x:f>
        <x:v>0.19699095621359394</x:v>
      </x:c>
      <x:c r="S175" s="9" t="n">
        <x:f>H175*Y174*INDEX(v01_MortChild,G175)/4*Q175</x:f>
        <x:v>0.13084197304909087</x:v>
      </x:c>
      <x:c r="T175" s="9" t="n">
        <x:f>H175*Z174*INDEX(v01_MortAdult,G175)*Arch_AdultMort/4*Q175</x:f>
        <x:v>0.06450563531064347</x:v>
      </x:c>
      <x:c r="U175" s="9" t="n">
        <x:f>H175*AA174*INDEX(v01_MortElder,G175)/4*Q175</x:f>
        <x:v>0.10790944033409458</x:v>
      </x:c>
      <x:c r="V175" s="9" t="n">
        <x:f>H175*MAX(0,AB174-O175)*v01_OvercapLoss</x:f>
        <x:v>0</x:v>
      </x:c>
      <x:c r="W175" s="9" t="n">
        <x:f>H175*Y174/(v01_ChildYears*4)</x:f>
        <x:v>0.11682319022240258</x:v>
      </x:c>
      <x:c r="X175" s="9" t="n">
        <x:f>H175*Z174/(v01_AdultYears*4)</x:f>
        <x:v>0.06936089818348762</x:v>
      </x:c>
      <x:c r="Y175" s="32" t="n">
        <x:f>Y174+R175-S175-W175-Y174*V175/AB174</x:f>
        <x:v>6.491424445396644</x:v>
      </x:c>
      <x:c r="Z175" s="32" t="n">
        <x:f>Z174+W175-X175-T175-Z174*V175/AB174</x:f>
        <x:v>8.583708031480736</x:v>
      </x:c>
      <x:c r="AA175" s="32" t="n">
        <x:f>AA174+X175-U175-AA174*V175/AB174</x:f>
        <x:v>2.1196402645312844</x:v>
      </x:c>
      <x:c r="AB175" s="10" t="n">
        <x:f>Y175+Z175+AA175</x:f>
        <x:v>17.194772741408663</x:v>
      </x:c>
      <x:c r="AC175" s="8" t="n">
        <x:f>IF(AND(v01_WinterTrigger=1,D175=1,AB174/AE174&gt;=K175),1,0)</x:f>
        <x:v>0</x:v>
      </x:c>
      <x:c r="AD175" s="8" t="n">
        <x:f>H175*IF(AND(OR(AB174/AE174&gt;=v01_FissionTrigger*N175,AC175=1),AB174/AE174*v01_DaughterShare&gt;=v01_MinDaughter),MAX(1,ROUND(AE174*v01_FissionRate,0)),0)</x:f>
        <x:v>0</x:v>
      </x:c>
      <x:c r="AE175" s="8" t="n">
        <x:f>IF(H175=1,MAX(1,MIN(INDEX(v01_Smax,G175),AE174+AD175)),AE174)</x:f>
        <x:v>1</x:v>
      </x:c>
      <x:c r="AF175" s="8" t="n">
        <x:f>MAX(0,AE175-AE174)</x:f>
        <x:v>0</x:v>
      </x:c>
      <x:c r="AG175" s="9" t="str">
        <x:f>IF(AF175&gt;0,B175,"")</x:f>
      </x:c>
      <x:c r="AH175" s="9" t="n">
        <x:f>IF(F175&gt;=1,1,(1+v01_LowTiesShare*(AE175-1))/AE175)</x:f>
        <x:v>1</x:v>
      </x:c>
      <x:c r="AI175" s="32" t="n">
        <x:f>(Z175+v01_ElderCommons*INDEX(LM_Elder,G175)*AA175)*AH175</x:f>
        <x:v>12.822988560543305</x:v>
      </x:c>
      <x:c r="AJ175" s="32" t="n">
        <x:f>H175*v01_CommonsCoef*AI175^v01_CommonsExp*INDEX(LM_Commons,G175)</x:f>
        <x:v>5.5034935213996565</x:v>
      </x:c>
      <x:c r="AK175" s="32" t="n">
        <x:f>H175*v01_RoleScale*Arch_Roles*(AE175*(INDEX(v01_ElderRolePerSett,G175)*v01_OutElder*INDEX(LM_Elder,G175)+INDEX(v01_ShamanPerSett,G175)*v01_OutShaman)+Z175*(INDEX(v01_PriestShare,G175)*v01_OutPriest+INDEX(v01_ScribeShare,G175)*v01_OutScribe*INDEX(LM_Scribe,G175)+INDEX(v01_ScholarShare,G175)*v01_OutScholar*INDEX(LM_Scholar,G175)+INDEX(v01_ResearcherShare,G175)*v01_OutResearcher*INDEX(LM_Researcher,G175)))</x:f>
        <x:v>0</x:v>
      </x:c>
      <x:c r="AL175" s="32" t="n">
        <x:f>H175*v01_RoleScale*Arch_Roles*AE175*INDEX(v01_MonasteryPerSett,G175)*v01_OutMonastery*INDEX(LM_Monastery,G175)</x:f>
        <x:v>0</x:v>
      </x:c>
      <x:c r="AM175" s="32" t="n">
        <x:f>(AJ175+AK175+AL175)/4*INDEX(LM_All,G175)*INDEX(v01_Boon,G175)*Arch_Insight</x:f>
        <x:v>1.3758733803499141</x:v>
      </x:c>
      <x:c r="AN175" s="32" t="n">
        <x:f>H175*(v01_KHPerAdult*Z175+v01_KHOfCommons*AJ175/4*INDEX(LM_All,G175))*v01_KHUsable*Arch_KH</x:f>
        <x:v>0.3004297811018258</x:v>
      </x:c>
      <x:c r="AO175" s="32" t="n">
        <x:f>MIN(AP174+AN175,AM175*v01_KHMaxRatio)</x:f>
        <x:v>0.3004297811018258</x:v>
      </x:c>
      <x:c r="AP175" s="32" t="n">
        <x:f>AP174+AN175-AO175</x:f>
        <x:v>0</x:v>
      </x:c>
      <x:c r="AQ175" s="32" t="n">
        <x:f>AM175+AO175</x:f>
        <x:v>1.6763031614517399</x:v>
      </x:c>
      <x:c r="AR175" s="10" t="n">
        <x:f>IF(H175=1,INDEX(v01_Req,G175),0)</x:f>
        <x:v>372.02</x:v>
      </x:c>
      <x:c r="AS175" s="32" t="n">
        <x:f>IF(H175=1,IF(E175=1,AS174-AR174,AS174)+AQ175,0)</x:f>
        <x:v>266.7071709640862</x:v>
      </x:c>
      <x:c r="AT175" s="11" t="n">
        <x:f>IF(AR175&gt;0,MIN(1,AS175/AR175),1)</x:f>
        <x:v>0.7169162167735235</x:v>
      </x:c>
      <x:c r="AU175" s="10" t="n">
        <x:f>AB175/INDEX(v01_RepScale,G175)</x:f>
        <x:v>17.194772741408663</x:v>
      </x:c>
      <x:c r="AV175" s="32" t="n">
        <x:f>AM175*60/v01_SeasonSeconds</x:f>
        <x:v>5.5034935213996565</x:v>
      </x:c>
    </x:row>
    <x:row r="176">
      <x:c r="A176" s="8" t="n">
        <x:f>A175+1</x:f>
        <x:v>173</x:v>
      </x:c>
      <x:c r="B176" s="9" t="n">
        <x:f>A176*v01_SeasonSeconds/60</x:f>
        <x:v>43.25</x:v>
      </x:c>
      <x:c r="C176" s="9" t="n">
        <x:f>A176/4</x:f>
        <x:v>43.25</x:v>
      </x:c>
      <x:c r="D176" s="8" t="n">
        <x:f>IF(MOD(A176,4)=0,1,0)</x:f>
        <x:v>0</x:v>
      </x:c>
      <x:c r="E176" s="8" t="n">
        <x:f>IF(AND(F175&lt;=9,AS175&gt;=AR175),1,0)</x:f>
        <x:v>0</x:v>
      </x:c>
      <x:c r="F176" s="8" t="n">
        <x:f>MIN(10,F175+E176)</x:f>
        <x:v>0</x:v>
      </x:c>
      <x:c r="G176" s="8" t="n">
        <x:f>MIN(F176,9)+1</x:f>
        <x:v>1</x:v>
      </x:c>
      <x:c r="H176" s="8" t="n">
        <x:f>IF(F176&lt;=9,1,0)</x:f>
        <x:v>1</x:v>
      </x:c>
      <x:c r="I176" s="9" t="n">
        <x:f>MIN(10,F175+IF(AR175&gt;0,MIN(1,AS175/AR175),1))</x:f>
        <x:v>0.7169162167735235</x:v>
      </x:c>
      <x:c r="J176" s="32" t="n">
        <x:f>INDEX(v01_FoodCap,G176)*Arch_FoodCap*EXP(v01_CapsByProject*SUMPRODUCT((Cap_Point&lt;=I176)*(Cap_Kind="Food")*Cap_Ln))</x:f>
        <x:v>22</x:v>
      </x:c>
      <x:c r="K176" s="32" t="n">
        <x:f>J176*MIN(1,v01_LeanBase*EXP(v01_CapsByProject*SUMPRODUCT((Cap_Point&lt;=I176)*(Cap_Kind="Lean")*Cap_Ln)))</x:f>
        <x:v>22</x:v>
      </x:c>
      <x:c r="L176" s="10" t="n">
        <x:f>INDEX(v01_HousingCap,G176)*EXP(v01_CapsByProject*SUMPRODUCT((Cap_Point&lt;=I176)*(Cap_Kind="Housing")*Cap_Ln))</x:f>
        <x:v>60</x:v>
      </x:c>
      <x:c r="M176" s="10" t="n">
        <x:f>INDEX(v01_GroupCap,G176)*v01_CohesionFactor*EXP(v01_CapsByProject*SUMPRODUCT((Cap_Point&lt;=I176)*(Cap_Kind="Group")*Cap_Ln))</x:f>
        <x:v>35</x:v>
      </x:c>
      <x:c r="N176" s="32" t="n">
        <x:f>MIN(J176,L176,M176)</x:f>
        <x:v>22</x:v>
      </x:c>
      <x:c r="O176" s="10" t="n">
        <x:f>AE175*N176</x:f>
        <x:v>22</x:v>
      </x:c>
      <x:c r="P176" s="9" t="n">
        <x:f>MIN(1,(AB175/(AE175*IF(v01_GroupInCrowding=1,N176,MIN(J176,L176))))^v01_CrowdingExp)</x:f>
        <x:v>0.2279515536325334</x:v>
      </x:c>
      <x:c r="Q176" s="9" t="n">
        <x:f>IF(D176=1,INDEX(v01_WinterMult,G176),1)</x:f>
        <x:v>1</x:v>
      </x:c>
      <x:c r="R176" s="9" t="n">
        <x:f>H176*Z175*v01_WomenShare*v01_BaseFertility*INDEX(v01_FertMult,G176)*Arch_Fertility*(1-P176)</x:f>
        <x:v>0.19881115349329942</x:v>
      </x:c>
      <x:c r="S176" s="9" t="n">
        <x:f>H176*Y175*INDEX(v01_MortChild,G176)/4*Q176</x:f>
        <x:v>0.06491424445396644</x:v>
      </x:c>
      <x:c r="T176" s="9" t="n">
        <x:f>H176*Z175*INDEX(v01_MortAdult,G176)*Arch_AdultMort/4*Q176</x:f>
        <x:v>0.03218890511805276</x:v>
      </x:c>
      <x:c r="U176" s="9" t="n">
        <x:f>H176*AA175*INDEX(v01_MortElder,G176)/4*Q176</x:f>
        <x:v>0.05299100661328211</x:v>
      </x:c>
      <x:c r="V176" s="9" t="n">
        <x:f>H176*MAX(0,AB175-O176)*v01_OvercapLoss</x:f>
        <x:v>0</x:v>
      </x:c>
      <x:c r="W176" s="9" t="n">
        <x:f>H176*Y175/(v01_ChildYears*4)</x:f>
        <x:v>0.11591829366779723</x:v>
      </x:c>
      <x:c r="X176" s="9" t="n">
        <x:f>H176*Z175/(v01_AdultYears*4)</x:f>
        <x:v>0.06922345186678013</x:v>
      </x:c>
      <x:c r="Y176" s="32" t="n">
        <x:f>Y175+R176-S176-W176-Y175*V176/AB175</x:f>
        <x:v>6.50940306076818</x:v>
      </x:c>
      <x:c r="Z176" s="32" t="n">
        <x:f>Z175+W176-X176-T176-Z175*V176/AB175</x:f>
        <x:v>8.5982139681637</x:v>
      </x:c>
      <x:c r="AA176" s="32" t="n">
        <x:f>AA175+X176-U176-AA175*V176/AB175</x:f>
        <x:v>2.1358727097847825</x:v>
      </x:c>
      <x:c r="AB176" s="10" t="n">
        <x:f>Y176+Z176+AA176</x:f>
        <x:v>17.24348973871666</x:v>
      </x:c>
      <x:c r="AC176" s="8" t="n">
        <x:f>IF(AND(v01_WinterTrigger=1,D176=1,AB175/AE175&gt;=K176),1,0)</x:f>
        <x:v>0</x:v>
      </x:c>
      <x:c r="AD176" s="8" t="n">
        <x:f>H176*IF(AND(OR(AB175/AE175&gt;=v01_FissionTrigger*N176,AC176=1),AB175/AE175*v01_DaughterShare&gt;=v01_MinDaughter),MAX(1,ROUND(AE175*v01_FissionRate,0)),0)</x:f>
        <x:v>0</x:v>
      </x:c>
      <x:c r="AE176" s="8" t="n">
        <x:f>IF(H176=1,MAX(1,MIN(INDEX(v01_Smax,G176),AE175+AD176)),AE175)</x:f>
        <x:v>1</x:v>
      </x:c>
      <x:c r="AF176" s="8" t="n">
        <x:f>MAX(0,AE176-AE175)</x:f>
        <x:v>0</x:v>
      </x:c>
      <x:c r="AG176" s="9" t="str">
        <x:f>IF(AF176&gt;0,B176,"")</x:f>
      </x:c>
      <x:c r="AH176" s="9" t="n">
        <x:f>IF(F176&gt;=1,1,(1+v01_LowTiesShare*(AE176-1))/AE176)</x:f>
        <x:v>1</x:v>
      </x:c>
      <x:c r="AI176" s="32" t="n">
        <x:f>(Z176+v01_ElderCommons*INDEX(LM_Elder,G176)*AA176)*AH176</x:f>
        <x:v>12.869959387733264</x:v>
      </x:c>
      <x:c r="AJ176" s="32" t="n">
        <x:f>H176*v01_CommonsCoef*AI176^v01_CommonsExp*INDEX(LM_Commons,G176)</x:f>
        <x:v>5.5206243029751585</x:v>
      </x:c>
      <x:c r="AK176" s="32" t="n">
        <x:f>H176*v01_RoleScale*Arch_Roles*(AE176*(INDEX(v01_ElderRolePerSett,G176)*v01_OutElder*INDEX(LM_Elder,G176)+INDEX(v01_ShamanPerSett,G176)*v01_OutShaman)+Z176*(INDEX(v01_PriestShare,G176)*v01_OutPriest+INDEX(v01_ScribeShare,G176)*v01_OutScribe*INDEX(LM_Scribe,G176)+INDEX(v01_ScholarShare,G176)*v01_OutScholar*INDEX(LM_Scholar,G176)+INDEX(v01_ResearcherShare,G176)*v01_OutResearcher*INDEX(LM_Researcher,G176)))</x:f>
        <x:v>0</x:v>
      </x:c>
      <x:c r="AL176" s="32" t="n">
        <x:f>H176*v01_RoleScale*Arch_Roles*AE176*INDEX(v01_MonasteryPerSett,G176)*v01_OutMonastery*INDEX(LM_Monastery,G176)</x:f>
        <x:v>0</x:v>
      </x:c>
      <x:c r="AM176" s="32" t="n">
        <x:f>(AJ176+AK176+AL176)/4*INDEX(LM_All,G176)*INDEX(v01_Boon,G176)*Arch_Insight</x:f>
        <x:v>1.3801560757437896</x:v>
      </x:c>
      <x:c r="AN176" s="32" t="n">
        <x:f>H176*(v01_KHPerAdult*Z176+v01_KHOfCommons*AJ176/4*INDEX(LM_All,G176))*v01_KHUsable*Arch_KH</x:f>
        <x:v>0.3009374888857295</x:v>
      </x:c>
      <x:c r="AO176" s="32" t="n">
        <x:f>MIN(AP175+AN176,AM176*v01_KHMaxRatio)</x:f>
        <x:v>0.3009374888857295</x:v>
      </x:c>
      <x:c r="AP176" s="32" t="n">
        <x:f>AP175+AN176-AO176</x:f>
        <x:v>0</x:v>
      </x:c>
      <x:c r="AQ176" s="32" t="n">
        <x:f>AM176+AO176</x:f>
        <x:v>1.681093564629519</x:v>
      </x:c>
      <x:c r="AR176" s="10" t="n">
        <x:f>IF(H176=1,INDEX(v01_Req,G176),0)</x:f>
        <x:v>372.02</x:v>
      </x:c>
      <x:c r="AS176" s="32" t="n">
        <x:f>IF(H176=1,IF(E176=1,AS175-AR175,AS175)+AQ176,0)</x:f>
        <x:v>268.3882645287157</x:v>
      </x:c>
      <x:c r="AT176" s="11" t="n">
        <x:f>IF(AR176&gt;0,MIN(1,AS176/AR176),1)</x:f>
        <x:v>0.7214350425480235</x:v>
      </x:c>
      <x:c r="AU176" s="10" t="n">
        <x:f>AB176/INDEX(v01_RepScale,G176)</x:f>
        <x:v>17.24348973871666</x:v>
      </x:c>
      <x:c r="AV176" s="32" t="n">
        <x:f>AM176*60/v01_SeasonSeconds</x:f>
        <x:v>5.5206243029751585</x:v>
      </x:c>
    </x:row>
    <x:row r="177">
      <x:c r="A177" s="8" t="n">
        <x:f>A176+1</x:f>
        <x:v>174</x:v>
      </x:c>
      <x:c r="B177" s="9" t="n">
        <x:f>A177*v01_SeasonSeconds/60</x:f>
        <x:v>43.5</x:v>
      </x:c>
      <x:c r="C177" s="9" t="n">
        <x:f>A177/4</x:f>
        <x:v>43.5</x:v>
      </x:c>
      <x:c r="D177" s="8" t="n">
        <x:f>IF(MOD(A177,4)=0,1,0)</x:f>
        <x:v>0</x:v>
      </x:c>
      <x:c r="E177" s="8" t="n">
        <x:f>IF(AND(F176&lt;=9,AS176&gt;=AR176),1,0)</x:f>
        <x:v>0</x:v>
      </x:c>
      <x:c r="F177" s="8" t="n">
        <x:f>MIN(10,F176+E177)</x:f>
        <x:v>0</x:v>
      </x:c>
      <x:c r="G177" s="8" t="n">
        <x:f>MIN(F177,9)+1</x:f>
        <x:v>1</x:v>
      </x:c>
      <x:c r="H177" s="8" t="n">
        <x:f>IF(F177&lt;=9,1,0)</x:f>
        <x:v>1</x:v>
      </x:c>
      <x:c r="I177" s="9" t="n">
        <x:f>MIN(10,F176+IF(AR176&gt;0,MIN(1,AS176/AR176),1))</x:f>
        <x:v>0.7214350425480235</x:v>
      </x:c>
      <x:c r="J177" s="32" t="n">
        <x:f>INDEX(v01_FoodCap,G177)*Arch_FoodCap*EXP(v01_CapsByProject*SUMPRODUCT((Cap_Point&lt;=I177)*(Cap_Kind="Food")*Cap_Ln))</x:f>
        <x:v>22</x:v>
      </x:c>
      <x:c r="K177" s="32" t="n">
        <x:f>J177*MIN(1,v01_LeanBase*EXP(v01_CapsByProject*SUMPRODUCT((Cap_Point&lt;=I177)*(Cap_Kind="Lean")*Cap_Ln)))</x:f>
        <x:v>22</x:v>
      </x:c>
      <x:c r="L177" s="10" t="n">
        <x:f>INDEX(v01_HousingCap,G177)*EXP(v01_CapsByProject*SUMPRODUCT((Cap_Point&lt;=I177)*(Cap_Kind="Housing")*Cap_Ln))</x:f>
        <x:v>60</x:v>
      </x:c>
      <x:c r="M177" s="10" t="n">
        <x:f>INDEX(v01_GroupCap,G177)*v01_CohesionFactor*EXP(v01_CapsByProject*SUMPRODUCT((Cap_Point&lt;=I177)*(Cap_Kind="Group")*Cap_Ln))</x:f>
        <x:v>35</x:v>
      </x:c>
      <x:c r="N177" s="32" t="n">
        <x:f>MIN(J177,L177,M177)</x:f>
        <x:v>22</x:v>
      </x:c>
      <x:c r="O177" s="10" t="n">
        <x:f>AE176*N177</x:f>
        <x:v>22</x:v>
      </x:c>
      <x:c r="P177" s="9" t="n">
        <x:f>MIN(1,(AB176/(AE176*IF(v01_GroupInCrowding=1,N177,MIN(J177,L177))))^v01_CrowdingExp)</x:f>
        <x:v>0.23185416006096557</x:v>
      </x:c>
      <x:c r="Q177" s="9" t="n">
        <x:f>IF(D177=1,INDEX(v01_WinterMult,G177),1)</x:f>
        <x:v>1</x:v>
      </x:c>
      <x:c r="R177" s="9" t="n">
        <x:f>H177*Z176*v01_WomenShare*v01_BaseFertility*INDEX(v01_FertMult,G177)*Arch_Fertility*(1-P177)</x:f>
        <x:v>0.1981404687165193</x:v>
      </x:c>
      <x:c r="S177" s="9" t="n">
        <x:f>H177*Y176*INDEX(v01_MortChild,G177)/4*Q177</x:f>
        <x:v>0.06509403060768179</x:v>
      </x:c>
      <x:c r="T177" s="9" t="n">
        <x:f>H177*Z176*INDEX(v01_MortAdult,G177)*Arch_AdultMort/4*Q177</x:f>
        <x:v>0.032243302380613875</x:v>
      </x:c>
      <x:c r="U177" s="9" t="n">
        <x:f>H177*AA176*INDEX(v01_MortElder,G177)/4*Q177</x:f>
        <x:v>0.05339681774461957</x:v>
      </x:c>
      <x:c r="V177" s="9" t="n">
        <x:f>H177*MAX(0,AB176-O177)*v01_OvercapLoss</x:f>
        <x:v>0</x:v>
      </x:c>
      <x:c r="W177" s="9" t="n">
        <x:f>H177*Y176/(v01_ChildYears*4)</x:f>
        <x:v>0.11623934037086035</x:v>
      </x:c>
      <x:c r="X177" s="9" t="n">
        <x:f>H177*Z176/(v01_AdultYears*4)</x:f>
        <x:v>0.06934043522712662</x:v>
      </x:c>
      <x:c r="Y177" s="32" t="n">
        <x:f>Y176+R177-S177-W177-Y176*V177/AB176</x:f>
        <x:v>6.5262101585061565</x:v>
      </x:c>
      <x:c r="Z177" s="32" t="n">
        <x:f>Z176+W177-X177-T177-Z176*V177/AB176</x:f>
        <x:v>8.61286957092682</x:v>
      </x:c>
      <x:c r="AA177" s="32" t="n">
        <x:f>AA176+X177-U177-AA176*V177/AB176</x:f>
        <x:v>2.15181632726729</x:v>
      </x:c>
      <x:c r="AB177" s="10" t="n">
        <x:f>Y177+Z177+AA177</x:f>
        <x:v>17.290896056700266</x:v>
      </x:c>
      <x:c r="AC177" s="8" t="n">
        <x:f>IF(AND(v01_WinterTrigger=1,D177=1,AB176/AE176&gt;=K177),1,0)</x:f>
        <x:v>0</x:v>
      </x:c>
      <x:c r="AD177" s="8" t="n">
        <x:f>H177*IF(AND(OR(AB176/AE176&gt;=v01_FissionTrigger*N177,AC177=1),AB176/AE176*v01_DaughterShare&gt;=v01_MinDaughter),MAX(1,ROUND(AE176*v01_FissionRate,0)),0)</x:f>
        <x:v>0</x:v>
      </x:c>
      <x:c r="AE177" s="8" t="n">
        <x:f>IF(H177=1,MAX(1,MIN(INDEX(v01_Smax,G177),AE176+AD177)),AE176)</x:f>
        <x:v>1</x:v>
      </x:c>
      <x:c r="AF177" s="8" t="n">
        <x:f>MAX(0,AE177-AE176)</x:f>
        <x:v>0</x:v>
      </x:c>
      <x:c r="AG177" s="9" t="str">
        <x:f>IF(AF177&gt;0,B177,"")</x:f>
      </x:c>
      <x:c r="AH177" s="9" t="n">
        <x:f>IF(F177&gt;=1,1,(1+v01_LowTiesShare*(AE177-1))/AE177)</x:f>
        <x:v>1</x:v>
      </x:c>
      <x:c r="AI177" s="32" t="n">
        <x:f>(Z177+v01_ElderCommons*INDEX(LM_Elder,G177)*AA177)*AH177</x:f>
        <x:v>12.9165022254614</x:v>
      </x:c>
      <x:c r="AJ177" s="32" t="n">
        <x:f>H177*v01_CommonsCoef*AI177^v01_CommonsExp*INDEX(LM_Commons,G177)</x:f>
        <x:v>5.537589744029237</x:v>
      </x:c>
      <x:c r="AK177" s="32" t="n">
        <x:f>H177*v01_RoleScale*Arch_Roles*(AE177*(INDEX(v01_ElderRolePerSett,G177)*v01_OutElder*INDEX(LM_Elder,G177)+INDEX(v01_ShamanPerSett,G177)*v01_OutShaman)+Z177*(INDEX(v01_PriestShare,G177)*v01_OutPriest+INDEX(v01_ScribeShare,G177)*v01_OutScribe*INDEX(LM_Scribe,G177)+INDEX(v01_ScholarShare,G177)*v01_OutScholar*INDEX(LM_Scholar,G177)+INDEX(v01_ResearcherShare,G177)*v01_OutResearcher*INDEX(LM_Researcher,G177)))</x:f>
        <x:v>0</x:v>
      </x:c>
      <x:c r="AL177" s="32" t="n">
        <x:f>H177*v01_RoleScale*Arch_Roles*AE177*INDEX(v01_MonasteryPerSett,G177)*v01_OutMonastery*INDEX(LM_Monastery,G177)</x:f>
        <x:v>0</x:v>
      </x:c>
      <x:c r="AM177" s="32" t="n">
        <x:f>(AJ177+AK177+AL177)/4*INDEX(LM_All,G177)*INDEX(v01_Boon,G177)*Arch_Insight</x:f>
        <x:v>1.3843974360073092</x:v>
      </x:c>
      <x:c r="AN177" s="32" t="n">
        <x:f>H177*(v01_KHPerAdult*Z177+v01_KHOfCommons*AJ177/4*INDEX(LM_All,G177))*v01_KHUsable*Arch_KH</x:f>
        <x:v>0.30145043498243873</x:v>
      </x:c>
      <x:c r="AO177" s="32" t="n">
        <x:f>MIN(AP176+AN177,AM177*v01_KHMaxRatio)</x:f>
        <x:v>0.30145043498243873</x:v>
      </x:c>
      <x:c r="AP177" s="32" t="n">
        <x:f>AP176+AN177-AO177</x:f>
        <x:v>0</x:v>
      </x:c>
      <x:c r="AQ177" s="32" t="n">
        <x:f>AM177+AO177</x:f>
        <x:v>1.685847870989748</x:v>
      </x:c>
      <x:c r="AR177" s="10" t="n">
        <x:f>IF(H177=1,INDEX(v01_Req,G177),0)</x:f>
        <x:v>372.02</x:v>
      </x:c>
      <x:c r="AS177" s="32" t="n">
        <x:f>IF(H177=1,IF(E177=1,AS176-AR176,AS176)+AQ177,0)</x:f>
        <x:v>270.0741123997054</x:v>
      </x:c>
      <x:c r="AT177" s="11" t="n">
        <x:f>IF(AR177&gt;0,MIN(1,AS177/AR177),1)</x:f>
        <x:v>0.725966648028884</x:v>
      </x:c>
      <x:c r="AU177" s="10" t="n">
        <x:f>AB177/INDEX(v01_RepScale,G177)</x:f>
        <x:v>17.290896056700266</x:v>
      </x:c>
      <x:c r="AV177" s="32" t="n">
        <x:f>AM177*60/v01_SeasonSeconds</x:f>
        <x:v>5.537589744029237</x:v>
      </x:c>
    </x:row>
    <x:row r="178">
      <x:c r="A178" s="8" t="n">
        <x:f>A177+1</x:f>
        <x:v>175</x:v>
      </x:c>
      <x:c r="B178" s="9" t="n">
        <x:f>A178*v01_SeasonSeconds/60</x:f>
        <x:v>43.75</x:v>
      </x:c>
      <x:c r="C178" s="9" t="n">
        <x:f>A178/4</x:f>
        <x:v>43.75</x:v>
      </x:c>
      <x:c r="D178" s="8" t="n">
        <x:f>IF(MOD(A178,4)=0,1,0)</x:f>
        <x:v>0</x:v>
      </x:c>
      <x:c r="E178" s="8" t="n">
        <x:f>IF(AND(F177&lt;=9,AS177&gt;=AR177),1,0)</x:f>
        <x:v>0</x:v>
      </x:c>
      <x:c r="F178" s="8" t="n">
        <x:f>MIN(10,F177+E178)</x:f>
        <x:v>0</x:v>
      </x:c>
      <x:c r="G178" s="8" t="n">
        <x:f>MIN(F178,9)+1</x:f>
        <x:v>1</x:v>
      </x:c>
      <x:c r="H178" s="8" t="n">
        <x:f>IF(F178&lt;=9,1,0)</x:f>
        <x:v>1</x:v>
      </x:c>
      <x:c r="I178" s="9" t="n">
        <x:f>MIN(10,F177+IF(AR177&gt;0,MIN(1,AS177/AR177),1))</x:f>
        <x:v>0.725966648028884</x:v>
      </x:c>
      <x:c r="J178" s="32" t="n">
        <x:f>INDEX(v01_FoodCap,G178)*Arch_FoodCap*EXP(v01_CapsByProject*SUMPRODUCT((Cap_Point&lt;=I178)*(Cap_Kind="Food")*Cap_Ln))</x:f>
        <x:v>22</x:v>
      </x:c>
      <x:c r="K178" s="32" t="n">
        <x:f>J178*MIN(1,v01_LeanBase*EXP(v01_CapsByProject*SUMPRODUCT((Cap_Point&lt;=I178)*(Cap_Kind="Lean")*Cap_Ln)))</x:f>
        <x:v>22</x:v>
      </x:c>
      <x:c r="L178" s="10" t="n">
        <x:f>INDEX(v01_HousingCap,G178)*EXP(v01_CapsByProject*SUMPRODUCT((Cap_Point&lt;=I178)*(Cap_Kind="Housing")*Cap_Ln))</x:f>
        <x:v>60</x:v>
      </x:c>
      <x:c r="M178" s="10" t="n">
        <x:f>INDEX(v01_GroupCap,G178)*v01_CohesionFactor*EXP(v01_CapsByProject*SUMPRODUCT((Cap_Point&lt;=I178)*(Cap_Kind="Group")*Cap_Ln))</x:f>
        <x:v>35</x:v>
      </x:c>
      <x:c r="N178" s="32" t="n">
        <x:f>MIN(J178,L178,M178)</x:f>
        <x:v>22</x:v>
      </x:c>
      <x:c r="O178" s="10" t="n">
        <x:f>AE177*N178</x:f>
        <x:v>22</x:v>
      </x:c>
      <x:c r="P178" s="9" t="n">
        <x:f>MIN(1,(AB177/(AE177*IF(v01_GroupInCrowding=1,N178,MIN(J178,L178))))^v01_CrowdingExp)</x:f>
        <x:v>0.23570506521310455</x:v>
      </x:c>
      <x:c r="Q178" s="9" t="n">
        <x:f>IF(D178=1,INDEX(v01_WinterMult,G178),1)</x:f>
        <x:v>1</x:v>
      </x:c>
      <x:c r="R178" s="9" t="n">
        <x:f>H178*Z177*v01_WomenShare*v01_BaseFertility*INDEX(v01_FertMult,G178)*Arch_Fertility*(1-P178)</x:f>
        <x:v>0.1974831776111865</x:v>
      </x:c>
      <x:c r="S178" s="9" t="n">
        <x:f>H178*Y177*INDEX(v01_MortChild,G178)/4*Q178</x:f>
        <x:v>0.06526210158506157</x:v>
      </x:c>
      <x:c r="T178" s="9" t="n">
        <x:f>H178*Z177*INDEX(v01_MortAdult,G178)*Arch_AdultMort/4*Q178</x:f>
        <x:v>0.03229826089097557</x:v>
      </x:c>
      <x:c r="U178" s="9" t="n">
        <x:f>H178*AA177*INDEX(v01_MortElder,G178)/4*Q178</x:f>
        <x:v>0.05379540818168225</x:v>
      </x:c>
      <x:c r="V178" s="9" t="n">
        <x:f>H178*MAX(0,AB177-O178)*v01_OvercapLoss</x:f>
        <x:v>0</x:v>
      </x:c>
      <x:c r="W178" s="9" t="n">
        <x:f>H178*Y177/(v01_ChildYears*4)</x:f>
        <x:v>0.11653946711618136</x:v>
      </x:c>
      <x:c r="X178" s="9" t="n">
        <x:f>H178*Z177/(v01_AdultYears*4)</x:f>
        <x:v>0.06945862557199049</x:v>
      </x:c>
      <x:c r="Y178" s="32" t="n">
        <x:f>Y177+R178-S178-W178-Y177*V178/AB177</x:f>
        <x:v>6.541891767416099</x:v>
      </x:c>
      <x:c r="Z178" s="32" t="n">
        <x:f>Z177+W178-X178-T178-Z177*V178/AB177</x:f>
        <x:v>8.627652151580037</x:v>
      </x:c>
      <x:c r="AA178" s="32" t="n">
        <x:f>AA177+X178-U178-AA177*V178/AB177</x:f>
        <x:v>2.1674795446575983</x:v>
      </x:c>
      <x:c r="AB178" s="10" t="n">
        <x:f>Y178+Z178+AA178</x:f>
        <x:v>17.337023463653736</x:v>
      </x:c>
      <x:c r="AC178" s="8" t="n">
        <x:f>IF(AND(v01_WinterTrigger=1,D178=1,AB177/AE177&gt;=K178),1,0)</x:f>
        <x:v>0</x:v>
      </x:c>
      <x:c r="AD178" s="8" t="n">
        <x:f>H178*IF(AND(OR(AB177/AE177&gt;=v01_FissionTrigger*N178,AC178=1),AB177/AE177*v01_DaughterShare&gt;=v01_MinDaughter),MAX(1,ROUND(AE177*v01_FissionRate,0)),0)</x:f>
        <x:v>0</x:v>
      </x:c>
      <x:c r="AE178" s="8" t="n">
        <x:f>IF(H178=1,MAX(1,MIN(INDEX(v01_Smax,G178),AE177+AD178)),AE177)</x:f>
        <x:v>1</x:v>
      </x:c>
      <x:c r="AF178" s="8" t="n">
        <x:f>MAX(0,AE178-AE177)</x:f>
        <x:v>0</x:v>
      </x:c>
      <x:c r="AG178" s="9" t="str">
        <x:f>IF(AF178&gt;0,B178,"")</x:f>
      </x:c>
      <x:c r="AH178" s="9" t="n">
        <x:f>IF(F178&gt;=1,1,(1+v01_LowTiesShare*(AE178-1))/AE178)</x:f>
        <x:v>1</x:v>
      </x:c>
      <x:c r="AI178" s="32" t="n">
        <x:f>(Z178+v01_ElderCommons*INDEX(LM_Elder,G178)*AA178)*AH178</x:f>
        <x:v>12.962611240895233</x:v>
      </x:c>
      <x:c r="AJ178" s="32" t="n">
        <x:f>H178*v01_CommonsCoef*AI178^v01_CommonsExp*INDEX(LM_Commons,G178)</x:f>
        <x:v>5.554388011702457</x:v>
      </x:c>
      <x:c r="AK178" s="32" t="n">
        <x:f>H178*v01_RoleScale*Arch_Roles*(AE178*(INDEX(v01_ElderRolePerSett,G178)*v01_OutElder*INDEX(LM_Elder,G178)+INDEX(v01_ShamanPerSett,G178)*v01_OutShaman)+Z178*(INDEX(v01_PriestShare,G178)*v01_OutPriest+INDEX(v01_ScribeShare,G178)*v01_OutScribe*INDEX(LM_Scribe,G178)+INDEX(v01_ScholarShare,G178)*v01_OutScholar*INDEX(LM_Scholar,G178)+INDEX(v01_ResearcherShare,G178)*v01_OutResearcher*INDEX(LM_Researcher,G178)))</x:f>
        <x:v>0</x:v>
      </x:c>
      <x:c r="AL178" s="32" t="n">
        <x:f>H178*v01_RoleScale*Arch_Roles*AE178*INDEX(v01_MonasteryPerSett,G178)*v01_OutMonastery*INDEX(LM_Monastery,G178)</x:f>
        <x:v>0</x:v>
      </x:c>
      <x:c r="AM178" s="32" t="n">
        <x:f>(AJ178+AK178+AL178)/4*INDEX(LM_All,G178)*INDEX(v01_Boon,G178)*Arch_Insight</x:f>
        <x:v>1.3885970029256143</x:v>
      </x:c>
      <x:c r="AN178" s="32" t="n">
        <x:f>H178*(v01_KHPerAdult*Z178+v01_KHOfCommons*AJ178/4*INDEX(LM_All,G178))*v01_KHUsable*Arch_KH</x:f>
        <x:v>0.3019678253053013</x:v>
      </x:c>
      <x:c r="AO178" s="32" t="n">
        <x:f>MIN(AP177+AN178,AM178*v01_KHMaxRatio)</x:f>
        <x:v>0.3019678253053013</x:v>
      </x:c>
      <x:c r="AP178" s="32" t="n">
        <x:f>AP177+AN178-AO178</x:f>
        <x:v>0</x:v>
      </x:c>
      <x:c r="AQ178" s="32" t="n">
        <x:f>AM178+AO178</x:f>
        <x:v>1.6905648282309156</x:v>
      </x:c>
      <x:c r="AR178" s="10" t="n">
        <x:f>IF(H178=1,INDEX(v01_Req,G178),0)</x:f>
        <x:v>372.02</x:v>
      </x:c>
      <x:c r="AS178" s="32" t="n">
        <x:f>IF(H178=1,IF(E178=1,AS177-AR177,AS177)+AQ178,0)</x:f>
        <x:v>271.7646772279363</x:v>
      </x:c>
      <x:c r="AT178" s="11" t="n">
        <x:f>IF(AR178&gt;0,MIN(1,AS178/AR178),1)</x:f>
        <x:v>0.7305109328206449</x:v>
      </x:c>
      <x:c r="AU178" s="10" t="n">
        <x:f>AB178/INDEX(v01_RepScale,G178)</x:f>
        <x:v>17.337023463653736</x:v>
      </x:c>
      <x:c r="AV178" s="32" t="n">
        <x:f>AM178*60/v01_SeasonSeconds</x:f>
        <x:v>5.554388011702457</x:v>
      </x:c>
    </x:row>
    <x:row r="179">
      <x:c r="A179" s="8" t="n">
        <x:f>A178+1</x:f>
        <x:v>176</x:v>
      </x:c>
      <x:c r="B179" s="9" t="n">
        <x:f>A179*v01_SeasonSeconds/60</x:f>
        <x:v>44</x:v>
      </x:c>
      <x:c r="C179" s="9" t="n">
        <x:f>A179/4</x:f>
        <x:v>44</x:v>
      </x:c>
      <x:c r="D179" s="8" t="n">
        <x:f>IF(MOD(A179,4)=0,1,0)</x:f>
        <x:v>1</x:v>
      </x:c>
      <x:c r="E179" s="8" t="n">
        <x:f>IF(AND(F178&lt;=9,AS178&gt;=AR178),1,0)</x:f>
        <x:v>0</x:v>
      </x:c>
      <x:c r="F179" s="8" t="n">
        <x:f>MIN(10,F178+E179)</x:f>
        <x:v>0</x:v>
      </x:c>
      <x:c r="G179" s="8" t="n">
        <x:f>MIN(F179,9)+1</x:f>
        <x:v>1</x:v>
      </x:c>
      <x:c r="H179" s="8" t="n">
        <x:f>IF(F179&lt;=9,1,0)</x:f>
        <x:v>1</x:v>
      </x:c>
      <x:c r="I179" s="9" t="n">
        <x:f>MIN(10,F178+IF(AR178&gt;0,MIN(1,AS178/AR178),1))</x:f>
        <x:v>0.7305109328206449</x:v>
      </x:c>
      <x:c r="J179" s="32" t="n">
        <x:f>INDEX(v01_FoodCap,G179)*Arch_FoodCap*EXP(v01_CapsByProject*SUMPRODUCT((Cap_Point&lt;=I179)*(Cap_Kind="Food")*Cap_Ln))</x:f>
        <x:v>22</x:v>
      </x:c>
      <x:c r="K179" s="32" t="n">
        <x:f>J179*MIN(1,v01_LeanBase*EXP(v01_CapsByProject*SUMPRODUCT((Cap_Point&lt;=I179)*(Cap_Kind="Lean")*Cap_Ln)))</x:f>
        <x:v>22</x:v>
      </x:c>
      <x:c r="L179" s="10" t="n">
        <x:f>INDEX(v01_HousingCap,G179)*EXP(v01_CapsByProject*SUMPRODUCT((Cap_Point&lt;=I179)*(Cap_Kind="Housing")*Cap_Ln))</x:f>
        <x:v>60</x:v>
      </x:c>
      <x:c r="M179" s="10" t="n">
        <x:f>INDEX(v01_GroupCap,G179)*v01_CohesionFactor*EXP(v01_CapsByProject*SUMPRODUCT((Cap_Point&lt;=I179)*(Cap_Kind="Group")*Cap_Ln))</x:f>
        <x:v>35</x:v>
      </x:c>
      <x:c r="N179" s="32" t="n">
        <x:f>MIN(J179,L179,M179)</x:f>
        <x:v>22</x:v>
      </x:c>
      <x:c r="O179" s="10" t="n">
        <x:f>AE178*N179</x:f>
        <x:v>22</x:v>
      </x:c>
      <x:c r="P179" s="9" t="n">
        <x:f>MIN(1,(AB178/(AE178*IF(v01_GroupInCrowding=1,N179,MIN(J179,L179))))^v01_CrowdingExp)</x:f>
        <x:v>0.23950309874637066</x:v>
      </x:c>
      <x:c r="Q179" s="9" t="n">
        <x:f>IF(D179=1,INDEX(v01_WinterMult,G179),1)</x:f>
        <x:v>2</x:v>
      </x:c>
      <x:c r="R179" s="9" t="n">
        <x:f>H179*Z178*v01_WomenShare*v01_BaseFertility*INDEX(v01_FertMult,G179)*Arch_Fertility*(1-P179)</x:f>
        <x:v>0.19683908179112475</x:v>
      </x:c>
      <x:c r="S179" s="9" t="n">
        <x:f>H179*Y178*INDEX(v01_MortChild,G179)/4*Q179</x:f>
        <x:v>0.130837835348322</x:v>
      </x:c>
      <x:c r="T179" s="9" t="n">
        <x:f>H179*Z178*INDEX(v01_MortAdult,G179)*Arch_AdultMort/4*Q179</x:f>
        <x:v>0.06470739113685027</x:v>
      </x:c>
      <x:c r="U179" s="9" t="n">
        <x:f>H179*AA178*INDEX(v01_MortElder,G179)/4*Q179</x:f>
        <x:v>0.10837397723287992</x:v>
      </x:c>
      <x:c r="V179" s="9" t="n">
        <x:f>H179*MAX(0,AB178-O179)*v01_OvercapLoss</x:f>
        <x:v>0</x:v>
      </x:c>
      <x:c r="W179" s="9" t="n">
        <x:f>H179*Y178/(v01_ChildYears*4)</x:f>
        <x:v>0.11681949584671605</x:v>
      </x:c>
      <x:c r="X179" s="9" t="n">
        <x:f>H179*Z178/(v01_AdultYears*4)</x:f>
        <x:v>0.06957783993209707</x:v>
      </x:c>
      <x:c r="Y179" s="32" t="n">
        <x:f>Y178+R179-S179-W179-Y178*V179/AB178</x:f>
        <x:v>6.491073518012186</x:v>
      </x:c>
      <x:c r="Z179" s="32" t="n">
        <x:f>Z178+W179-X179-T179-Z178*V179/AB178</x:f>
        <x:v>8.610186416357806</x:v>
      </x:c>
      <x:c r="AA179" s="32" t="n">
        <x:f>AA178+X179-U179-AA178*V179/AB178</x:f>
        <x:v>2.1286834073568155</x:v>
      </x:c>
      <x:c r="AB179" s="10" t="n">
        <x:f>Y179+Z179+AA179</x:f>
        <x:v>17.22994334172681</x:v>
      </x:c>
      <x:c r="AC179" s="8" t="n">
        <x:f>IF(AND(v01_WinterTrigger=1,D179=1,AB178/AE178&gt;=K179),1,0)</x:f>
        <x:v>0</x:v>
      </x:c>
      <x:c r="AD179" s="8" t="n">
        <x:f>H179*IF(AND(OR(AB178/AE178&gt;=v01_FissionTrigger*N179,AC179=1),AB178/AE178*v01_DaughterShare&gt;=v01_MinDaughter),MAX(1,ROUND(AE178*v01_FissionRate,0)),0)</x:f>
        <x:v>0</x:v>
      </x:c>
      <x:c r="AE179" s="8" t="n">
        <x:f>IF(H179=1,MAX(1,MIN(INDEX(v01_Smax,G179),AE178+AD179)),AE178)</x:f>
        <x:v>1</x:v>
      </x:c>
      <x:c r="AF179" s="8" t="n">
        <x:f>MAX(0,AE179-AE178)</x:f>
        <x:v>0</x:v>
      </x:c>
      <x:c r="AG179" s="9" t="str">
        <x:f>IF(AF179&gt;0,B179,"")</x:f>
      </x:c>
      <x:c r="AH179" s="9" t="n">
        <x:f>IF(F179&gt;=1,1,(1+v01_LowTiesShare*(AE179-1))/AE179)</x:f>
        <x:v>1</x:v>
      </x:c>
      <x:c r="AI179" s="32" t="n">
        <x:f>(Z179+v01_ElderCommons*INDEX(LM_Elder,G179)*AA179)*AH179</x:f>
        <x:v>12.867553231071437</x:v>
      </x:c>
      <x:c r="AJ179" s="32" t="n">
        <x:f>H179*v01_CommonsCoef*AI179^v01_CommonsExp*INDEX(LM_Commons,G179)</x:f>
        <x:v>5.5197469791317175</x:v>
      </x:c>
      <x:c r="AK179" s="32" t="n">
        <x:f>H179*v01_RoleScale*Arch_Roles*(AE179*(INDEX(v01_ElderRolePerSett,G179)*v01_OutElder*INDEX(LM_Elder,G179)+INDEX(v01_ShamanPerSett,G179)*v01_OutShaman)+Z179*(INDEX(v01_PriestShare,G179)*v01_OutPriest+INDEX(v01_ScribeShare,G179)*v01_OutScribe*INDEX(LM_Scribe,G179)+INDEX(v01_ScholarShare,G179)*v01_OutScholar*INDEX(LM_Scholar,G179)+INDEX(v01_ResearcherShare,G179)*v01_OutResearcher*INDEX(LM_Researcher,G179)))</x:f>
        <x:v>0</x:v>
      </x:c>
      <x:c r="AL179" s="32" t="n">
        <x:f>H179*v01_RoleScale*Arch_Roles*AE179*INDEX(v01_MonasteryPerSett,G179)*v01_OutMonastery*INDEX(LM_Monastery,G179)</x:f>
        <x:v>0</x:v>
      </x:c>
      <x:c r="AM179" s="32" t="n">
        <x:f>(AJ179+AK179+AL179)/4*INDEX(LM_All,G179)*INDEX(v01_Boon,G179)*Arch_Insight</x:f>
        <x:v>1.3799367447829294</x:v>
      </x:c>
      <x:c r="AN179" s="32" t="n">
        <x:f>H179*(v01_KHPerAdult*Z179+v01_KHOfCommons*AJ179/4*INDEX(LM_All,G179))*v01_KHUsable*Arch_KH</x:f>
        <x:v>0.30135652457252315</x:v>
      </x:c>
      <x:c r="AO179" s="32" t="n">
        <x:f>MIN(AP178+AN179,AM179*v01_KHMaxRatio)</x:f>
        <x:v>0.30135652457252315</x:v>
      </x:c>
      <x:c r="AP179" s="32" t="n">
        <x:f>AP178+AN179-AO179</x:f>
        <x:v>0</x:v>
      </x:c>
      <x:c r="AQ179" s="32" t="n">
        <x:f>AM179+AO179</x:f>
        <x:v>1.6812932693554525</x:v>
      </x:c>
      <x:c r="AR179" s="10" t="n">
        <x:f>IF(H179=1,INDEX(v01_Req,G179),0)</x:f>
        <x:v>372.02</x:v>
      </x:c>
      <x:c r="AS179" s="32" t="n">
        <x:f>IF(H179=1,IF(E179=1,AS178-AR178,AS178)+AQ179,0)</x:f>
        <x:v>273.4459704972918</x:v>
      </x:c>
      <x:c r="AT179" s="11" t="n">
        <x:f>IF(AR179&gt;0,MIN(1,AS179/AR179),1)</x:f>
        <x:v>0.7350302954069453</x:v>
      </x:c>
      <x:c r="AU179" s="10" t="n">
        <x:f>AB179/INDEX(v01_RepScale,G179)</x:f>
        <x:v>17.22994334172681</x:v>
      </x:c>
      <x:c r="AV179" s="32" t="n">
        <x:f>AM179*60/v01_SeasonSeconds</x:f>
        <x:v>5.519746979131717</x:v>
      </x:c>
    </x:row>
    <x:row r="180">
      <x:c r="A180" s="8" t="n">
        <x:f>A179+1</x:f>
        <x:v>177</x:v>
      </x:c>
      <x:c r="B180" s="9" t="n">
        <x:f>A180*v01_SeasonSeconds/60</x:f>
        <x:v>44.25</x:v>
      </x:c>
      <x:c r="C180" s="9" t="n">
        <x:f>A180/4</x:f>
        <x:v>44.25</x:v>
      </x:c>
      <x:c r="D180" s="8" t="n">
        <x:f>IF(MOD(A180,4)=0,1,0)</x:f>
        <x:v>0</x:v>
      </x:c>
      <x:c r="E180" s="8" t="n">
        <x:f>IF(AND(F179&lt;=9,AS179&gt;=AR179),1,0)</x:f>
        <x:v>0</x:v>
      </x:c>
      <x:c r="F180" s="8" t="n">
        <x:f>MIN(10,F179+E180)</x:f>
        <x:v>0</x:v>
      </x:c>
      <x:c r="G180" s="8" t="n">
        <x:f>MIN(F180,9)+1</x:f>
        <x:v>1</x:v>
      </x:c>
      <x:c r="H180" s="8" t="n">
        <x:f>IF(F180&lt;=9,1,0)</x:f>
        <x:v>1</x:v>
      </x:c>
      <x:c r="I180" s="9" t="n">
        <x:f>MIN(10,F179+IF(AR179&gt;0,MIN(1,AS179/AR179),1))</x:f>
        <x:v>0.7350302954069453</x:v>
      </x:c>
      <x:c r="J180" s="32" t="n">
        <x:f>INDEX(v01_FoodCap,G180)*Arch_FoodCap*EXP(v01_CapsByProject*SUMPRODUCT((Cap_Point&lt;=I180)*(Cap_Kind="Food")*Cap_Ln))</x:f>
        <x:v>22</x:v>
      </x:c>
      <x:c r="K180" s="32" t="n">
        <x:f>J180*MIN(1,v01_LeanBase*EXP(v01_CapsByProject*SUMPRODUCT((Cap_Point&lt;=I180)*(Cap_Kind="Lean")*Cap_Ln)))</x:f>
        <x:v>22</x:v>
      </x:c>
      <x:c r="L180" s="10" t="n">
        <x:f>INDEX(v01_HousingCap,G180)*EXP(v01_CapsByProject*SUMPRODUCT((Cap_Point&lt;=I180)*(Cap_Kind="Housing")*Cap_Ln))</x:f>
        <x:v>60</x:v>
      </x:c>
      <x:c r="M180" s="10" t="n">
        <x:f>INDEX(v01_GroupCap,G180)*v01_CohesionFactor*EXP(v01_CapsByProject*SUMPRODUCT((Cap_Point&lt;=I180)*(Cap_Kind="Group")*Cap_Ln))</x:f>
        <x:v>35</x:v>
      </x:c>
      <x:c r="N180" s="32" t="n">
        <x:f>MIN(J180,L180,M180)</x:f>
        <x:v>22</x:v>
      </x:c>
      <x:c r="O180" s="10" t="n">
        <x:f>AE179*N180</x:f>
        <x:v>22</x:v>
      </x:c>
      <x:c r="P180" s="9" t="n">
        <x:f>MIN(1,(AB179/(AE179*IF(v01_GroupInCrowding=1,N180,MIN(J180,L180))))^v01_CrowdingExp)</x:f>
        <x:v>0.23076344355314793</x:v>
      </x:c>
      <x:c r="Q180" s="9" t="n">
        <x:f>IF(D180=1,INDEX(v01_WinterMult,G180),1)</x:f>
        <x:v>1</x:v>
      </x:c>
      <x:c r="R180" s="9" t="n">
        <x:f>H180*Z179*v01_WomenShare*v01_BaseFertility*INDEX(v01_FertMult,G180)*Arch_Fertility*(1-P180)</x:f>
        <x:v>0.1986981044785362</x:v>
      </x:c>
      <x:c r="S180" s="9" t="n">
        <x:f>H180*Y179*INDEX(v01_MortChild,G180)/4*Q180</x:f>
        <x:v>0.06491073518012186</x:v>
      </x:c>
      <x:c r="T180" s="9" t="n">
        <x:f>H180*Z179*INDEX(v01_MortAdult,G180)*Arch_AdultMort/4*Q180</x:f>
        <x:v>0.03228819906134177</x:v>
      </x:c>
      <x:c r="U180" s="9" t="n">
        <x:f>H180*AA179*INDEX(v01_MortElder,G180)/4*Q180</x:f>
        <x:v>0.05321708518392039</x:v>
      </x:c>
      <x:c r="V180" s="9" t="n">
        <x:f>H180*MAX(0,AB179-O180)*v01_OvercapLoss</x:f>
        <x:v>0</x:v>
      </x:c>
      <x:c r="W180" s="9" t="n">
        <x:f>H180*Y179/(v01_ChildYears*4)</x:f>
        <x:v>0.11591202710736047</x:v>
      </x:c>
      <x:c r="X180" s="9" t="n">
        <x:f>H180*Z179/(v01_AdultYears*4)</x:f>
        <x:v>0.06943698722869199</x:v>
      </x:c>
      <x:c r="Y180" s="32" t="n">
        <x:f>Y179+R180-S180-W180-Y179*V180/AB179</x:f>
        <x:v>6.50894886020324</x:v>
      </x:c>
      <x:c r="Z180" s="32" t="n">
        <x:f>Z179+W180-X180-T180-Z179*V180/AB179</x:f>
        <x:v>8.624373257175133</x:v>
      </x:c>
      <x:c r="AA180" s="32" t="n">
        <x:f>AA179+X180-U180-AA179*V180/AB179</x:f>
        <x:v>2.1449033094015872</x:v>
      </x:c>
      <x:c r="AB180" s="10" t="n">
        <x:f>Y180+Z180+AA180</x:f>
        <x:v>17.27822542677996</x:v>
      </x:c>
      <x:c r="AC180" s="8" t="n">
        <x:f>IF(AND(v01_WinterTrigger=1,D180=1,AB179/AE179&gt;=K180),1,0)</x:f>
        <x:v>0</x:v>
      </x:c>
      <x:c r="AD180" s="8" t="n">
        <x:f>H180*IF(AND(OR(AB179/AE179&gt;=v01_FissionTrigger*N180,AC180=1),AB179/AE179*v01_DaughterShare&gt;=v01_MinDaughter),MAX(1,ROUND(AE179*v01_FissionRate,0)),0)</x:f>
        <x:v>0</x:v>
      </x:c>
      <x:c r="AE180" s="8" t="n">
        <x:f>IF(H180=1,MAX(1,MIN(INDEX(v01_Smax,G180),AE179+AD180)),AE179)</x:f>
        <x:v>1</x:v>
      </x:c>
      <x:c r="AF180" s="8" t="n">
        <x:f>MAX(0,AE180-AE179)</x:f>
        <x:v>0</x:v>
      </x:c>
      <x:c r="AG180" s="9" t="str">
        <x:f>IF(AF180&gt;0,B180,"")</x:f>
      </x:c>
      <x:c r="AH180" s="9" t="n">
        <x:f>IF(F180&gt;=1,1,(1+v01_LowTiesShare*(AE180-1))/AE180)</x:f>
        <x:v>1</x:v>
      </x:c>
      <x:c r="AI180" s="32" t="n">
        <x:f>(Z180+v01_ElderCommons*INDEX(LM_Elder,G180)*AA180)*AH180</x:f>
        <x:v>12.914179875978308</x:v>
      </x:c>
      <x:c r="AJ180" s="32" t="n">
        <x:f>H180*v01_CommonsCoef*AI180^v01_CommonsExp*INDEX(LM_Commons,G180)</x:f>
        <x:v>5.5367434364839205</x:v>
      </x:c>
      <x:c r="AK180" s="32" t="n">
        <x:f>H180*v01_RoleScale*Arch_Roles*(AE180*(INDEX(v01_ElderRolePerSett,G180)*v01_OutElder*INDEX(LM_Elder,G180)+INDEX(v01_ShamanPerSett,G180)*v01_OutShaman)+Z180*(INDEX(v01_PriestShare,G180)*v01_OutPriest+INDEX(v01_ScribeShare,G180)*v01_OutScribe*INDEX(LM_Scribe,G180)+INDEX(v01_ScholarShare,G180)*v01_OutScholar*INDEX(LM_Scholar,G180)+INDEX(v01_ResearcherShare,G180)*v01_OutResearcher*INDEX(LM_Researcher,G180)))</x:f>
        <x:v>0</x:v>
      </x:c>
      <x:c r="AL180" s="32" t="n">
        <x:f>H180*v01_RoleScale*Arch_Roles*AE180*INDEX(v01_MonasteryPerSett,G180)*v01_OutMonastery*INDEX(LM_Monastery,G180)</x:f>
        <x:v>0</x:v>
      </x:c>
      <x:c r="AM180" s="32" t="n">
        <x:f>(AJ180+AK180+AL180)/4*INDEX(LM_All,G180)*INDEX(v01_Boon,G180)*Arch_Insight</x:f>
        <x:v>1.3841858591209801</x:v>
      </x:c>
      <x:c r="AN180" s="32" t="n">
        <x:f>H180*(v01_KHPerAdult*Z180+v01_KHOfCommons*AJ180/4*INDEX(LM_All,G180))*v01_KHUsable*Arch_KH</x:f>
        <x:v>0.30185306400112966</x:v>
      </x:c>
      <x:c r="AO180" s="32" t="n">
        <x:f>MIN(AP179+AN180,AM180*v01_KHMaxRatio)</x:f>
        <x:v>0.30185306400112966</x:v>
      </x:c>
      <x:c r="AP180" s="32" t="n">
        <x:f>AP179+AN180-AO180</x:f>
        <x:v>0</x:v>
      </x:c>
      <x:c r="AQ180" s="32" t="n">
        <x:f>AM180+AO180</x:f>
        <x:v>1.6860389231221098</x:v>
      </x:c>
      <x:c r="AR180" s="10" t="n">
        <x:f>IF(H180=1,INDEX(v01_Req,G180),0)</x:f>
        <x:v>372.02</x:v>
      </x:c>
      <x:c r="AS180" s="32" t="n">
        <x:f>IF(H180=1,IF(E180=1,AS179-AR179,AS179)+AQ180,0)</x:f>
        <x:v>275.1320094204139</x:v>
      </x:c>
      <x:c r="AT180" s="11" t="n">
        <x:f>IF(AR180&gt;0,MIN(1,AS180/AR180),1)</x:f>
        <x:v>0.7395624144411965</x:v>
      </x:c>
      <x:c r="AU180" s="10" t="n">
        <x:f>AB180/INDEX(v01_RepScale,G180)</x:f>
        <x:v>17.27822542677996</x:v>
      </x:c>
      <x:c r="AV180" s="32" t="n">
        <x:f>AM180*60/v01_SeasonSeconds</x:f>
        <x:v>5.5367434364839205</x:v>
      </x:c>
    </x:row>
    <x:row r="181">
      <x:c r="A181" s="8" t="n">
        <x:f>A180+1</x:f>
        <x:v>178</x:v>
      </x:c>
      <x:c r="B181" s="9" t="n">
        <x:f>A181*v01_SeasonSeconds/60</x:f>
        <x:v>44.5</x:v>
      </x:c>
      <x:c r="C181" s="9" t="n">
        <x:f>A181/4</x:f>
        <x:v>44.5</x:v>
      </x:c>
      <x:c r="D181" s="8" t="n">
        <x:f>IF(MOD(A181,4)=0,1,0)</x:f>
        <x:v>0</x:v>
      </x:c>
      <x:c r="E181" s="8" t="n">
        <x:f>IF(AND(F180&lt;=9,AS180&gt;=AR180),1,0)</x:f>
        <x:v>0</x:v>
      </x:c>
      <x:c r="F181" s="8" t="n">
        <x:f>MIN(10,F180+E181)</x:f>
        <x:v>0</x:v>
      </x:c>
      <x:c r="G181" s="8" t="n">
        <x:f>MIN(F181,9)+1</x:f>
        <x:v>1</x:v>
      </x:c>
      <x:c r="H181" s="8" t="n">
        <x:f>IF(F181&lt;=9,1,0)</x:f>
        <x:v>1</x:v>
      </x:c>
      <x:c r="I181" s="9" t="n">
        <x:f>MIN(10,F180+IF(AR180&gt;0,MIN(1,AS180/AR180),1))</x:f>
        <x:v>0.7395624144411965</x:v>
      </x:c>
      <x:c r="J181" s="32" t="n">
        <x:f>INDEX(v01_FoodCap,G181)*Arch_FoodCap*EXP(v01_CapsByProject*SUMPRODUCT((Cap_Point&lt;=I181)*(Cap_Kind="Food")*Cap_Ln))</x:f>
        <x:v>22</x:v>
      </x:c>
      <x:c r="K181" s="32" t="n">
        <x:f>J181*MIN(1,v01_LeanBase*EXP(v01_CapsByProject*SUMPRODUCT((Cap_Point&lt;=I181)*(Cap_Kind="Lean")*Cap_Ln)))</x:f>
        <x:v>22</x:v>
      </x:c>
      <x:c r="L181" s="10" t="n">
        <x:f>INDEX(v01_HousingCap,G181)*EXP(v01_CapsByProject*SUMPRODUCT((Cap_Point&lt;=I181)*(Cap_Kind="Housing")*Cap_Ln))</x:f>
        <x:v>60</x:v>
      </x:c>
      <x:c r="M181" s="10" t="n">
        <x:f>INDEX(v01_GroupCap,G181)*v01_CohesionFactor*EXP(v01_CapsByProject*SUMPRODUCT((Cap_Point&lt;=I181)*(Cap_Kind="Group")*Cap_Ln))</x:f>
        <x:v>35</x:v>
      </x:c>
      <x:c r="N181" s="32" t="n">
        <x:f>MIN(J181,L181,M181)</x:f>
        <x:v>22</x:v>
      </x:c>
      <x:c r="O181" s="10" t="n">
        <x:f>AE180*N181</x:f>
        <x:v>22</x:v>
      </x:c>
      <x:c r="P181" s="9" t="n">
        <x:f>MIN(1,(AB180/(AE180*IF(v01_GroupInCrowding=1,N181,MIN(J181,L181))))^v01_CrowdingExp)</x:f>
        <x:v>0.23467062522158963</x:v>
      </x:c>
      <x:c r="Q181" s="9" t="n">
        <x:f>IF(D181=1,INDEX(v01_WinterMult,G181),1)</x:f>
        <x:v>1</x:v>
      </x:c>
      <x:c r="R181" s="9" t="n">
        <x:f>H181*Z180*v01_WomenShare*v01_BaseFertility*INDEX(v01_FertMult,G181)*Arch_Fertility*(1-P181)</x:f>
        <x:v>0.19801458578308462</x:v>
      </x:c>
      <x:c r="S181" s="9" t="n">
        <x:f>H181*Y180*INDEX(v01_MortChild,G181)/4*Q181</x:f>
        <x:v>0.06508948860203241</x:v>
      </x:c>
      <x:c r="T181" s="9" t="n">
        <x:f>H181*Z180*INDEX(v01_MortAdult,G181)*Arch_AdultMort/4*Q181</x:f>
        <x:v>0.03234139971440675</x:v>
      </x:c>
      <x:c r="U181" s="9" t="n">
        <x:f>H181*AA180*INDEX(v01_MortElder,G181)/4*Q181</x:f>
        <x:v>0.053622582735039684</x:v>
      </x:c>
      <x:c r="V181" s="9" t="n">
        <x:f>H181*MAX(0,AB180-O181)*v01_OvercapLoss</x:f>
        <x:v>0</x:v>
      </x:c>
      <x:c r="W181" s="9" t="n">
        <x:f>H181*Y180/(v01_ChildYears*4)</x:f>
        <x:v>0.11623122964648644</x:v>
      </x:c>
      <x:c r="X181" s="9" t="n">
        <x:f>H181*Z180/(v01_AdultYears*4)</x:f>
        <x:v>0.06955139723528334</x:v>
      </x:c>
      <x:c r="Y181" s="32" t="n">
        <x:f>Y180+R181-S181-W181-Y180*V181/AB180</x:f>
        <x:v>6.525642727737806</x:v>
      </x:c>
      <x:c r="Z181" s="32" t="n">
        <x:f>Z180+W181-X181-T181-Z180*V181/AB180</x:f>
        <x:v>8.63871168987193</x:v>
      </x:c>
      <x:c r="AA181" s="32" t="n">
        <x:f>AA180+X181-U181-AA180*V181/AB180</x:f>
        <x:v>2.160832123901831</x:v>
      </x:c>
      <x:c r="AB181" s="10" t="n">
        <x:f>Y181+Z181+AA181</x:f>
        <x:v>17.325186541511567</x:v>
      </x:c>
      <x:c r="AC181" s="8" t="n">
        <x:f>IF(AND(v01_WinterTrigger=1,D181=1,AB180/AE180&gt;=K181),1,0)</x:f>
        <x:v>0</x:v>
      </x:c>
      <x:c r="AD181" s="8" t="n">
        <x:f>H181*IF(AND(OR(AB180/AE180&gt;=v01_FissionTrigger*N181,AC181=1),AB180/AE180*v01_DaughterShare&gt;=v01_MinDaughter),MAX(1,ROUND(AE180*v01_FissionRate,0)),0)</x:f>
        <x:v>0</x:v>
      </x:c>
      <x:c r="AE181" s="8" t="n">
        <x:f>IF(H181=1,MAX(1,MIN(INDEX(v01_Smax,G181),AE180+AD181)),AE180)</x:f>
        <x:v>1</x:v>
      </x:c>
      <x:c r="AF181" s="8" t="n">
        <x:f>MAX(0,AE181-AE180)</x:f>
        <x:v>0</x:v>
      </x:c>
      <x:c r="AG181" s="9" t="str">
        <x:f>IF(AF181&gt;0,B181,"")</x:f>
      </x:c>
      <x:c r="AH181" s="9" t="n">
        <x:f>IF(F181&gt;=1,1,(1+v01_LowTiesShare*(AE181-1))/AE181)</x:f>
        <x:v>1</x:v>
      </x:c>
      <x:c r="AI181" s="32" t="n">
        <x:f>(Z181+v01_ElderCommons*INDEX(LM_Elder,G181)*AA181)*AH181</x:f>
        <x:v>12.960375937675591</x:v>
      </x:c>
      <x:c r="AJ181" s="32" t="n">
        <x:f>H181*v01_CommonsCoef*AI181^v01_CommonsExp*INDEX(LM_Commons,G181)</x:f>
        <x:v>5.553573861181665</x:v>
      </x:c>
      <x:c r="AK181" s="32" t="n">
        <x:f>H181*v01_RoleScale*Arch_Roles*(AE181*(INDEX(v01_ElderRolePerSett,G181)*v01_OutElder*INDEX(LM_Elder,G181)+INDEX(v01_ShamanPerSett,G181)*v01_OutShaman)+Z181*(INDEX(v01_PriestShare,G181)*v01_OutPriest+INDEX(v01_ScribeShare,G181)*v01_OutScribe*INDEX(LM_Scribe,G181)+INDEX(v01_ScholarShare,G181)*v01_OutScholar*INDEX(LM_Scholar,G181)+INDEX(v01_ResearcherShare,G181)*v01_OutResearcher*INDEX(LM_Researcher,G181)))</x:f>
        <x:v>0</x:v>
      </x:c>
      <x:c r="AL181" s="32" t="n">
        <x:f>H181*v01_RoleScale*Arch_Roles*AE181*INDEX(v01_MonasteryPerSett,G181)*v01_OutMonastery*INDEX(LM_Monastery,G181)</x:f>
        <x:v>0</x:v>
      </x:c>
      <x:c r="AM181" s="32" t="n">
        <x:f>(AJ181+AK181+AL181)/4*INDEX(LM_All,G181)*INDEX(v01_Boon,G181)*Arch_Insight</x:f>
        <x:v>1.3883934652954162</x:v>
      </x:c>
      <x:c r="AN181" s="32" t="n">
        <x:f>H181*(v01_KHPerAdult*Z181+v01_KHOfCommons*AJ181/4*INDEX(LM_All,G181))*v01_KHUsable*Arch_KH</x:f>
        <x:v>0.3023549091455175</x:v>
      </x:c>
      <x:c r="AO181" s="32" t="n">
        <x:f>MIN(AP180+AN181,AM181*v01_KHMaxRatio)</x:f>
        <x:v>0.3023549091455175</x:v>
      </x:c>
      <x:c r="AP181" s="32" t="n">
        <x:f>AP180+AN181-AO181</x:f>
        <x:v>0</x:v>
      </x:c>
      <x:c r="AQ181" s="32" t="n">
        <x:f>AM181+AO181</x:f>
        <x:v>1.6907483744409337</x:v>
      </x:c>
      <x:c r="AR181" s="10" t="n">
        <x:f>IF(H181=1,INDEX(v01_Req,G181),0)</x:f>
        <x:v>372.02</x:v>
      </x:c>
      <x:c r="AS181" s="32" t="n">
        <x:f>IF(H181=1,IF(E181=1,AS180-AR180,AS180)+AQ181,0)</x:f>
        <x:v>276.82275779485485</x:v>
      </x:c>
      <x:c r="AT181" s="11" t="n">
        <x:f>IF(AR181&gt;0,MIN(1,AS181/AR181),1)</x:f>
        <x:v>0.7441071926102222</x:v>
      </x:c>
      <x:c r="AU181" s="10" t="n">
        <x:f>AB181/INDEX(v01_RepScale,G181)</x:f>
        <x:v>17.325186541511567</x:v>
      </x:c>
      <x:c r="AV181" s="32" t="n">
        <x:f>AM181*60/v01_SeasonSeconds</x:f>
        <x:v>5.553573861181665</x:v>
      </x:c>
    </x:row>
    <x:row r="182">
      <x:c r="A182" s="8" t="n">
        <x:f>A181+1</x:f>
        <x:v>179</x:v>
      </x:c>
      <x:c r="B182" s="9" t="n">
        <x:f>A182*v01_SeasonSeconds/60</x:f>
        <x:v>44.75</x:v>
      </x:c>
      <x:c r="C182" s="9" t="n">
        <x:f>A182/4</x:f>
        <x:v>44.75</x:v>
      </x:c>
      <x:c r="D182" s="8" t="n">
        <x:f>IF(MOD(A182,4)=0,1,0)</x:f>
        <x:v>0</x:v>
      </x:c>
      <x:c r="E182" s="8" t="n">
        <x:f>IF(AND(F181&lt;=9,AS181&gt;=AR181),1,0)</x:f>
        <x:v>0</x:v>
      </x:c>
      <x:c r="F182" s="8" t="n">
        <x:f>MIN(10,F181+E182)</x:f>
        <x:v>0</x:v>
      </x:c>
      <x:c r="G182" s="8" t="n">
        <x:f>MIN(F182,9)+1</x:f>
        <x:v>1</x:v>
      </x:c>
      <x:c r="H182" s="8" t="n">
        <x:f>IF(F182&lt;=9,1,0)</x:f>
        <x:v>1</x:v>
      </x:c>
      <x:c r="I182" s="9" t="n">
        <x:f>MIN(10,F181+IF(AR181&gt;0,MIN(1,AS181/AR181),1))</x:f>
        <x:v>0.7441071926102222</x:v>
      </x:c>
      <x:c r="J182" s="32" t="n">
        <x:f>INDEX(v01_FoodCap,G182)*Arch_FoodCap*EXP(v01_CapsByProject*SUMPRODUCT((Cap_Point&lt;=I182)*(Cap_Kind="Food")*Cap_Ln))</x:f>
        <x:v>22</x:v>
      </x:c>
      <x:c r="K182" s="32" t="n">
        <x:f>J182*MIN(1,v01_LeanBase*EXP(v01_CapsByProject*SUMPRODUCT((Cap_Point&lt;=I182)*(Cap_Kind="Lean")*Cap_Ln)))</x:f>
        <x:v>22</x:v>
      </x:c>
      <x:c r="L182" s="10" t="n">
        <x:f>INDEX(v01_HousingCap,G182)*EXP(v01_CapsByProject*SUMPRODUCT((Cap_Point&lt;=I182)*(Cap_Kind="Housing")*Cap_Ln))</x:f>
        <x:v>60</x:v>
      </x:c>
      <x:c r="M182" s="10" t="n">
        <x:f>INDEX(v01_GroupCap,G182)*v01_CohesionFactor*EXP(v01_CapsByProject*SUMPRODUCT((Cap_Point&lt;=I182)*(Cap_Kind="Group")*Cap_Ln))</x:f>
        <x:v>35</x:v>
      </x:c>
      <x:c r="N182" s="32" t="n">
        <x:f>MIN(J182,L182,M182)</x:f>
        <x:v>22</x:v>
      </x:c>
      <x:c r="O182" s="10" t="n">
        <x:f>AE181*N182</x:f>
        <x:v>22</x:v>
      </x:c>
      <x:c r="P182" s="9" t="n">
        <x:f>MIN(1,(AB181/(AE181*IF(v01_GroupInCrowding=1,N182,MIN(J182,L182))))^v01_CrowdingExp)</x:f>
        <x:v>0.23852364170494295</x:v>
      </x:c>
      <x:c r="Q182" s="9" t="n">
        <x:f>IF(D182=1,INDEX(v01_WinterMult,G182),1)</x:f>
        <x:v>1</x:v>
      </x:c>
      <x:c r="R182" s="9" t="n">
        <x:f>H182*Z181*v01_WomenShare*v01_BaseFertility*INDEX(v01_FertMult,G182)*Arch_Fertility*(1-P182)</x:f>
        <x:v>0.19734524153893843</x:v>
      </x:c>
      <x:c r="S182" s="9" t="n">
        <x:f>H182*Y181*INDEX(v01_MortChild,G182)/4*Q182</x:f>
        <x:v>0.06525642727737807</x:v>
      </x:c>
      <x:c r="T182" s="9" t="n">
        <x:f>H182*Z181*INDEX(v01_MortAdult,G182)*Arch_AdultMort/4*Q182</x:f>
        <x:v>0.03239516883701973</x:v>
      </x:c>
      <x:c r="U182" s="9" t="n">
        <x:f>H182*AA181*INDEX(v01_MortElder,G182)/4*Q182</x:f>
        <x:v>0.05402080309754578</x:v>
      </x:c>
      <x:c r="V182" s="9" t="n">
        <x:f>H182*MAX(0,AB181-O182)*v01_OvercapLoss</x:f>
        <x:v>0</x:v>
      </x:c>
      <x:c r="W182" s="9" t="n">
        <x:f>H182*Y181/(v01_ChildYears*4)</x:f>
        <x:v>0.1165293344238894</x:v>
      </x:c>
      <x:c r="X182" s="9" t="n">
        <x:f>H182*Z181/(v01_AdultYears*4)</x:f>
        <x:v>0.06966702975703169</x:v>
      </x:c>
      <x:c r="Y182" s="32" t="n">
        <x:f>Y181+R182-S182-W182-Y181*V182/AB181</x:f>
        <x:v>6.541202207575478</x:v>
      </x:c>
      <x:c r="Z182" s="32" t="n">
        <x:f>Z181+W182-X182-T182-Z181*V182/AB181</x:f>
        <x:v>8.653178825701767</x:v>
      </x:c>
      <x:c r="AA182" s="32" t="n">
        <x:f>AA181+X182-U182-AA181*V182/AB181</x:f>
        <x:v>2.176478350561317</x:v>
      </x:c>
      <x:c r="AB182" s="10" t="n">
        <x:f>Y182+Z182+AA182</x:f>
        <x:v>17.370859383838564</x:v>
      </x:c>
      <x:c r="AC182" s="8" t="n">
        <x:f>IF(AND(v01_WinterTrigger=1,D182=1,AB181/AE181&gt;=K182),1,0)</x:f>
        <x:v>0</x:v>
      </x:c>
      <x:c r="AD182" s="8" t="n">
        <x:f>H182*IF(AND(OR(AB181/AE181&gt;=v01_FissionTrigger*N182,AC182=1),AB181/AE181*v01_DaughterShare&gt;=v01_MinDaughter),MAX(1,ROUND(AE181*v01_FissionRate,0)),0)</x:f>
        <x:v>0</x:v>
      </x:c>
      <x:c r="AE182" s="8" t="n">
        <x:f>IF(H182=1,MAX(1,MIN(INDEX(v01_Smax,G182),AE181+AD182)),AE181)</x:f>
        <x:v>1</x:v>
      </x:c>
      <x:c r="AF182" s="8" t="n">
        <x:f>MAX(0,AE182-AE181)</x:f>
        <x:v>0</x:v>
      </x:c>
      <x:c r="AG182" s="9" t="str">
        <x:f>IF(AF182&gt;0,B182,"")</x:f>
      </x:c>
      <x:c r="AH182" s="9" t="n">
        <x:f>IF(F182&gt;=1,1,(1+v01_LowTiesShare*(AE182-1))/AE182)</x:f>
        <x:v>1</x:v>
      </x:c>
      <x:c r="AI182" s="32" t="n">
        <x:f>(Z182+v01_ElderCommons*INDEX(LM_Elder,G182)*AA182)*AH182</x:f>
        <x:v>13.006135526824401</x:v>
      </x:c>
      <x:c r="AJ182" s="32" t="n">
        <x:f>H182*v01_CommonsCoef*AI182^v01_CommonsExp*INDEX(LM_Commons,G182)</x:f>
        <x:v>5.570236398390064</x:v>
      </x:c>
      <x:c r="AK182" s="32" t="n">
        <x:f>H182*v01_RoleScale*Arch_Roles*(AE182*(INDEX(v01_ElderRolePerSett,G182)*v01_OutElder*INDEX(LM_Elder,G182)+INDEX(v01_ShamanPerSett,G182)*v01_OutShaman)+Z182*(INDEX(v01_PriestShare,G182)*v01_OutPriest+INDEX(v01_ScribeShare,G182)*v01_OutScribe*INDEX(LM_Scribe,G182)+INDEX(v01_ScholarShare,G182)*v01_OutScholar*INDEX(LM_Scholar,G182)+INDEX(v01_ResearcherShare,G182)*v01_OutResearcher*INDEX(LM_Researcher,G182)))</x:f>
        <x:v>0</x:v>
      </x:c>
      <x:c r="AL182" s="32" t="n">
        <x:f>H182*v01_RoleScale*Arch_Roles*AE182*INDEX(v01_MonasteryPerSett,G182)*v01_OutMonastery*INDEX(LM_Monastery,G182)</x:f>
        <x:v>0</x:v>
      </x:c>
      <x:c r="AM182" s="32" t="n">
        <x:f>(AJ182+AK182+AL182)/4*INDEX(LM_All,G182)*INDEX(v01_Boon,G182)*Arch_Insight</x:f>
        <x:v>1.392559099597516</x:v>
      </x:c>
      <x:c r="AN182" s="32" t="n">
        <x:f>H182*(v01_KHPerAdult*Z182+v01_KHOfCommons*AJ182/4*INDEX(LM_All,G182))*v01_KHUsable*Arch_KH</x:f>
        <x:v>0.30286125889956184</x:v>
      </x:c>
      <x:c r="AO182" s="32" t="n">
        <x:f>MIN(AP181+AN182,AM182*v01_KHMaxRatio)</x:f>
        <x:v>0.30286125889956184</x:v>
      </x:c>
      <x:c r="AP182" s="32" t="n">
        <x:f>AP181+AN182-AO182</x:f>
        <x:v>0</x:v>
      </x:c>
      <x:c r="AQ182" s="32" t="n">
        <x:f>AM182+AO182</x:f>
        <x:v>1.6954203584970777</x:v>
      </x:c>
      <x:c r="AR182" s="10" t="n">
        <x:f>IF(H182=1,INDEX(v01_Req,G182),0)</x:f>
        <x:v>372.02</x:v>
      </x:c>
      <x:c r="AS182" s="32" t="n">
        <x:f>IF(H182=1,IF(E182=1,AS181-AR181,AS181)+AQ182,0)</x:f>
        <x:v>278.5181781533519</x:v>
      </x:c>
      <x:c r="AT182" s="11" t="n">
        <x:f>IF(AR182&gt;0,MIN(1,AS182/AR182),1)</x:f>
        <x:v>0.748664529200989</x:v>
      </x:c>
      <x:c r="AU182" s="10" t="n">
        <x:f>AB182/INDEX(v01_RepScale,G182)</x:f>
        <x:v>17.370859383838564</x:v>
      </x:c>
      <x:c r="AV182" s="32" t="n">
        <x:f>AM182*60/v01_SeasonSeconds</x:f>
        <x:v>5.570236398390064</x:v>
      </x:c>
    </x:row>
    <x:row r="183">
      <x:c r="A183" s="8" t="n">
        <x:f>A182+1</x:f>
        <x:v>180</x:v>
      </x:c>
      <x:c r="B183" s="9" t="n">
        <x:f>A183*v01_SeasonSeconds/60</x:f>
        <x:v>45</x:v>
      </x:c>
      <x:c r="C183" s="9" t="n">
        <x:f>A183/4</x:f>
        <x:v>45</x:v>
      </x:c>
      <x:c r="D183" s="8" t="n">
        <x:f>IF(MOD(A183,4)=0,1,0)</x:f>
        <x:v>1</x:v>
      </x:c>
      <x:c r="E183" s="8" t="n">
        <x:f>IF(AND(F182&lt;=9,AS182&gt;=AR182),1,0)</x:f>
        <x:v>0</x:v>
      </x:c>
      <x:c r="F183" s="8" t="n">
        <x:f>MIN(10,F182+E183)</x:f>
        <x:v>0</x:v>
      </x:c>
      <x:c r="G183" s="8" t="n">
        <x:f>MIN(F183,9)+1</x:f>
        <x:v>1</x:v>
      </x:c>
      <x:c r="H183" s="8" t="n">
        <x:f>IF(F183&lt;=9,1,0)</x:f>
        <x:v>1</x:v>
      </x:c>
      <x:c r="I183" s="9" t="n">
        <x:f>MIN(10,F182+IF(AR182&gt;0,MIN(1,AS182/AR182),1))</x:f>
        <x:v>0.748664529200989</x:v>
      </x:c>
      <x:c r="J183" s="32" t="n">
        <x:f>INDEX(v01_FoodCap,G183)*Arch_FoodCap*EXP(v01_CapsByProject*SUMPRODUCT((Cap_Point&lt;=I183)*(Cap_Kind="Food")*Cap_Ln))</x:f>
        <x:v>22</x:v>
      </x:c>
      <x:c r="K183" s="32" t="n">
        <x:f>J183*MIN(1,v01_LeanBase*EXP(v01_CapsByProject*SUMPRODUCT((Cap_Point&lt;=I183)*(Cap_Kind="Lean")*Cap_Ln)))</x:f>
        <x:v>22</x:v>
      </x:c>
      <x:c r="L183" s="10" t="n">
        <x:f>INDEX(v01_HousingCap,G183)*EXP(v01_CapsByProject*SUMPRODUCT((Cap_Point&lt;=I183)*(Cap_Kind="Housing")*Cap_Ln))</x:f>
        <x:v>60</x:v>
      </x:c>
      <x:c r="M183" s="10" t="n">
        <x:f>INDEX(v01_GroupCap,G183)*v01_CohesionFactor*EXP(v01_CapsByProject*SUMPRODUCT((Cap_Point&lt;=I183)*(Cap_Kind="Group")*Cap_Ln))</x:f>
        <x:v>35</x:v>
      </x:c>
      <x:c r="N183" s="32" t="n">
        <x:f>MIN(J183,L183,M183)</x:f>
        <x:v>22</x:v>
      </x:c>
      <x:c r="O183" s="10" t="n">
        <x:f>AE182*N183</x:f>
        <x:v>22</x:v>
      </x:c>
      <x:c r="P183" s="9" t="n">
        <x:f>MIN(1,(AB182/(AE182*IF(v01_GroupInCrowding=1,N183,MIN(J183,L183))))^v01_CrowdingExp)</x:f>
        <x:v>0.24232138543344</x:v>
      </x:c>
      <x:c r="Q183" s="9" t="n">
        <x:f>IF(D183=1,INDEX(v01_WinterMult,G183),1)</x:f>
        <x:v>2</x:v>
      </x:c>
      <x:c r="R183" s="9" t="n">
        <x:f>H183*Z182*v01_WomenShare*v01_BaseFertility*INDEX(v01_FertMult,G183)*Arch_Fertility*(1-P183)</x:f>
        <x:v>0.1966898563276322</x:v>
      </x:c>
      <x:c r="S183" s="9" t="n">
        <x:f>H183*Y182*INDEX(v01_MortChild,G183)/4*Q183</x:f>
        <x:v>0.13082404415150956</x:v>
      </x:c>
      <x:c r="T183" s="9" t="n">
        <x:f>H183*Z182*INDEX(v01_MortAdult,G183)*Arch_AdultMort/4*Q183</x:f>
        <x:v>0.06489884119276325</x:v>
      </x:c>
      <x:c r="U183" s="9" t="n">
        <x:f>H183*AA182*INDEX(v01_MortElder,G183)/4*Q183</x:f>
        <x:v>0.10882391752806586</x:v>
      </x:c>
      <x:c r="V183" s="9" t="n">
        <x:f>H183*MAX(0,AB182-O183)*v01_OvercapLoss</x:f>
        <x:v>0</x:v>
      </x:c>
      <x:c r="W183" s="9" t="n">
        <x:f>H183*Y182/(v01_ChildYears*4)</x:f>
        <x:v>0.11680718227813354</x:v>
      </x:c>
      <x:c r="X183" s="9" t="n">
        <x:f>H183*Z182/(v01_AdultYears*4)</x:f>
        <x:v>0.06978370020727231</x:v>
      </x:c>
      <x:c r="Y183" s="32" t="n">
        <x:f>Y182+R183-S183-W183-Y182*V183/AB182</x:f>
        <x:v>6.490260837473467</x:v>
      </x:c>
      <x:c r="Z183" s="32" t="n">
        <x:f>Z182+W183-X183-T183-Z182*V183/AB182</x:f>
        <x:v>8.635303466579865</x:v>
      </x:c>
      <x:c r="AA183" s="32" t="n">
        <x:f>AA182+X183-U183-AA182*V183/AB182</x:f>
        <x:v>2.137438133240524</x:v>
      </x:c>
      <x:c r="AB183" s="10" t="n">
        <x:f>Y183+Z183+AA183</x:f>
        <x:v>17.263002437293856</x:v>
      </x:c>
      <x:c r="AC183" s="8" t="n">
        <x:f>IF(AND(v01_WinterTrigger=1,D183=1,AB182/AE182&gt;=K183),1,0)</x:f>
        <x:v>0</x:v>
      </x:c>
      <x:c r="AD183" s="8" t="n">
        <x:f>H183*IF(AND(OR(AB182/AE182&gt;=v01_FissionTrigger*N183,AC183=1),AB182/AE182*v01_DaughterShare&gt;=v01_MinDaughter),MAX(1,ROUND(AE182*v01_FissionRate,0)),0)</x:f>
        <x:v>0</x:v>
      </x:c>
      <x:c r="AE183" s="8" t="n">
        <x:f>IF(H183=1,MAX(1,MIN(INDEX(v01_Smax,G183),AE182+AD183)),AE182)</x:f>
        <x:v>1</x:v>
      </x:c>
      <x:c r="AF183" s="8" t="n">
        <x:f>MAX(0,AE183-AE182)</x:f>
        <x:v>0</x:v>
      </x:c>
      <x:c r="AG183" s="9" t="str">
        <x:f>IF(AF183&gt;0,B183,"")</x:f>
      </x:c>
      <x:c r="AH183" s="9" t="n">
        <x:f>IF(F183&gt;=1,1,(1+v01_LowTiesShare*(AE183-1))/AE183)</x:f>
        <x:v>1</x:v>
      </x:c>
      <x:c r="AI183" s="32" t="n">
        <x:f>(Z183+v01_ElderCommons*INDEX(LM_Elder,G183)*AA183)*AH183</x:f>
        <x:v>12.910179733060913</x:v>
      </x:c>
      <x:c r="AJ183" s="32" t="n">
        <x:f>H183*v01_CommonsCoef*AI183^v01_CommonsExp*INDEX(LM_Commons,G183)</x:f>
        <x:v>5.535285656132497</x:v>
      </x:c>
      <x:c r="AK183" s="32" t="n">
        <x:f>H183*v01_RoleScale*Arch_Roles*(AE183*(INDEX(v01_ElderRolePerSett,G183)*v01_OutElder*INDEX(LM_Elder,G183)+INDEX(v01_ShamanPerSett,G183)*v01_OutShaman)+Z183*(INDEX(v01_PriestShare,G183)*v01_OutPriest+INDEX(v01_ScribeShare,G183)*v01_OutScribe*INDEX(LM_Scribe,G183)+INDEX(v01_ScholarShare,G183)*v01_OutScholar*INDEX(LM_Scholar,G183)+INDEX(v01_ResearcherShare,G183)*v01_OutResearcher*INDEX(LM_Researcher,G183)))</x:f>
        <x:v>0</x:v>
      </x:c>
      <x:c r="AL183" s="32" t="n">
        <x:f>H183*v01_RoleScale*Arch_Roles*AE183*INDEX(v01_MonasteryPerSett,G183)*v01_OutMonastery*INDEX(LM_Monastery,G183)</x:f>
        <x:v>0</x:v>
      </x:c>
      <x:c r="AM183" s="32" t="n">
        <x:f>(AJ183+AK183+AL183)/4*INDEX(LM_All,G183)*INDEX(v01_Boon,G183)*Arch_Insight</x:f>
        <x:v>1.3838214140331242</x:v>
      </x:c>
      <x:c r="AN183" s="32" t="n">
        <x:f>H183*(v01_KHPerAdult*Z183+v01_KHOfCommons*AJ183/4*INDEX(LM_All,G183))*v01_KHUsable*Arch_KH</x:f>
        <x:v>0.3022356213302953</x:v>
      </x:c>
      <x:c r="AO183" s="32" t="n">
        <x:f>MIN(AP182+AN183,AM183*v01_KHMaxRatio)</x:f>
        <x:v>0.3022356213302953</x:v>
      </x:c>
      <x:c r="AP183" s="32" t="n">
        <x:f>AP182+AN183-AO183</x:f>
        <x:v>0</x:v>
      </x:c>
      <x:c r="AQ183" s="32" t="n">
        <x:f>AM183+AO183</x:f>
        <x:v>1.6860570353634194</x:v>
      </x:c>
      <x:c r="AR183" s="10" t="n">
        <x:f>IF(H183=1,INDEX(v01_Req,G183),0)</x:f>
        <x:v>372.02</x:v>
      </x:c>
      <x:c r="AS183" s="32" t="n">
        <x:f>IF(H183=1,IF(E183=1,AS182-AR182,AS182)+AQ183,0)</x:f>
        <x:v>280.20423518871536</x:v>
      </x:c>
      <x:c r="AT183" s="11" t="n">
        <x:f>IF(AR183&gt;0,MIN(1,AS183/AR183),1)</x:f>
        <x:v>0.7531966969214434</x:v>
      </x:c>
      <x:c r="AU183" s="10" t="n">
        <x:f>AB183/INDEX(v01_RepScale,G183)</x:f>
        <x:v>17.263002437293856</x:v>
      </x:c>
      <x:c r="AV183" s="32" t="n">
        <x:f>AM183*60/v01_SeasonSeconds</x:f>
        <x:v>5.535285656132497</x:v>
      </x:c>
    </x:row>
    <x:row r="184">
      <x:c r="A184" s="8" t="n">
        <x:f>A183+1</x:f>
        <x:v>181</x:v>
      </x:c>
      <x:c r="B184" s="9" t="n">
        <x:f>A184*v01_SeasonSeconds/60</x:f>
        <x:v>45.25</x:v>
      </x:c>
      <x:c r="C184" s="9" t="n">
        <x:f>A184/4</x:f>
        <x:v>45.25</x:v>
      </x:c>
      <x:c r="D184" s="8" t="n">
        <x:f>IF(MOD(A184,4)=0,1,0)</x:f>
        <x:v>0</x:v>
      </x:c>
      <x:c r="E184" s="8" t="n">
        <x:f>IF(AND(F183&lt;=9,AS183&gt;=AR183),1,0)</x:f>
        <x:v>0</x:v>
      </x:c>
      <x:c r="F184" s="8" t="n">
        <x:f>MIN(10,F183+E184)</x:f>
        <x:v>0</x:v>
      </x:c>
      <x:c r="G184" s="8" t="n">
        <x:f>MIN(F184,9)+1</x:f>
        <x:v>1</x:v>
      </x:c>
      <x:c r="H184" s="8" t="n">
        <x:f>IF(F184&lt;=9,1,0)</x:f>
        <x:v>1</x:v>
      </x:c>
      <x:c r="I184" s="9" t="n">
        <x:f>MIN(10,F183+IF(AR183&gt;0,MIN(1,AS183/AR183),1))</x:f>
        <x:v>0.7531966969214434</x:v>
      </x:c>
      <x:c r="J184" s="32" t="n">
        <x:f>INDEX(v01_FoodCap,G184)*Arch_FoodCap*EXP(v01_CapsByProject*SUMPRODUCT((Cap_Point&lt;=I184)*(Cap_Kind="Food")*Cap_Ln))</x:f>
        <x:v>22</x:v>
      </x:c>
      <x:c r="K184" s="32" t="n">
        <x:f>J184*MIN(1,v01_LeanBase*EXP(v01_CapsByProject*SUMPRODUCT((Cap_Point&lt;=I184)*(Cap_Kind="Lean")*Cap_Ln)))</x:f>
        <x:v>22</x:v>
      </x:c>
      <x:c r="L184" s="10" t="n">
        <x:f>INDEX(v01_HousingCap,G184)*EXP(v01_CapsByProject*SUMPRODUCT((Cap_Point&lt;=I184)*(Cap_Kind="Housing")*Cap_Ln))</x:f>
        <x:v>60</x:v>
      </x:c>
      <x:c r="M184" s="10" t="n">
        <x:f>INDEX(v01_GroupCap,G184)*v01_CohesionFactor*EXP(v01_CapsByProject*SUMPRODUCT((Cap_Point&lt;=I184)*(Cap_Kind="Group")*Cap_Ln))</x:f>
        <x:v>35</x:v>
      </x:c>
      <x:c r="N184" s="32" t="n">
        <x:f>MIN(J184,L184,M184)</x:f>
        <x:v>22</x:v>
      </x:c>
      <x:c r="O184" s="10" t="n">
        <x:f>AE183*N184</x:f>
        <x:v>22</x:v>
      </x:c>
      <x:c r="P184" s="9" t="n">
        <x:f>MIN(1,(AB183/(AE183*IF(v01_GroupInCrowding=1,N184,MIN(J184,L184))))^v01_CrowdingExp)</x:f>
        <x:v>0.2334328144025691</x:v>
      </x:c>
      <x:c r="Q184" s="9" t="n">
        <x:f>IF(D184=1,INDEX(v01_WinterMult,G184),1)</x:f>
        <x:v>1</x:v>
      </x:c>
      <x:c r="R184" s="9" t="n">
        <x:f>H184*Z183*v01_WomenShare*v01_BaseFertility*INDEX(v01_FertMult,G184)*Arch_Fertility*(1-P184)</x:f>
        <x:v>0.19858620825467596</x:v>
      </x:c>
      <x:c r="S184" s="9" t="n">
        <x:f>H184*Y183*INDEX(v01_MortChild,G184)/4*Q184</x:f>
        <x:v>0.06490260837473467</x:v>
      </x:c>
      <x:c r="T184" s="9" t="n">
        <x:f>H184*Z183*INDEX(v01_MortAdult,G184)*Arch_AdultMort/4*Q184</x:f>
        <x:v>0.032382387999674495</x:v>
      </x:c>
      <x:c r="U184" s="9" t="n">
        <x:f>H184*AA183*INDEX(v01_MortElder,G184)/4*Q184</x:f>
        <x:v>0.0534359533310131</x:v>
      </x:c>
      <x:c r="V184" s="9" t="n">
        <x:f>H184*MAX(0,AB183-O184)*v01_OvercapLoss</x:f>
        <x:v>0</x:v>
      </x:c>
      <x:c r="W184" s="9" t="n">
        <x:f>H184*Y183/(v01_ChildYears*4)</x:f>
        <x:v>0.11589751495488333</x:v>
      </x:c>
      <x:c r="X184" s="9" t="n">
        <x:f>H184*Z183/(v01_AdultYears*4)</x:f>
        <x:v>0.0696395440853215</x:v>
      </x:c>
      <x:c r="Y184" s="32" t="n">
        <x:f>Y183+R184-S184-W184-Y183*V184/AB183</x:f>
        <x:v>6.508046922398525</x:v>
      </x:c>
      <x:c r="Z184" s="32" t="n">
        <x:f>Z183+W184-X184-T184-Z183*V184/AB183</x:f>
        <x:v>8.649179049449751</x:v>
      </x:c>
      <x:c r="AA184" s="32" t="n">
        <x:f>AA183+X184-U184-AA183*V184/AB183</x:f>
        <x:v>2.1536417239948324</x:v>
      </x:c>
      <x:c r="AB184" s="10" t="n">
        <x:f>Y184+Z184+AA184</x:f>
        <x:v>17.310867695843108</x:v>
      </x:c>
      <x:c r="AC184" s="8" t="n">
        <x:f>IF(AND(v01_WinterTrigger=1,D184=1,AB183/AE183&gt;=K184),1,0)</x:f>
        <x:v>0</x:v>
      </x:c>
      <x:c r="AD184" s="8" t="n">
        <x:f>H184*IF(AND(OR(AB183/AE183&gt;=v01_FissionTrigger*N184,AC184=1),AB183/AE183*v01_DaughterShare&gt;=v01_MinDaughter),MAX(1,ROUND(AE183*v01_FissionRate,0)),0)</x:f>
        <x:v>0</x:v>
      </x:c>
      <x:c r="AE184" s="8" t="n">
        <x:f>IF(H184=1,MAX(1,MIN(INDEX(v01_Smax,G184),AE183+AD184)),AE183)</x:f>
        <x:v>1</x:v>
      </x:c>
      <x:c r="AF184" s="8" t="n">
        <x:f>MAX(0,AE184-AE183)</x:f>
        <x:v>0</x:v>
      </x:c>
      <x:c r="AG184" s="9" t="str">
        <x:f>IF(AF184&gt;0,B184,"")</x:f>
      </x:c>
      <x:c r="AH184" s="9" t="n">
        <x:f>IF(F184&gt;=1,1,(1+v01_LowTiesShare*(AE184-1))/AE184)</x:f>
        <x:v>1</x:v>
      </x:c>
      <x:c r="AI184" s="32" t="n">
        <x:f>(Z184+v01_ElderCommons*INDEX(LM_Elder,G184)*AA184)*AH184</x:f>
        <x:v>12.956462497439416</x:v>
      </x:c>
      <x:c r="AJ184" s="32" t="n">
        <x:f>H184*v01_CommonsCoef*AI184^v01_CommonsExp*INDEX(LM_Commons,G184)</x:f>
        <x:v>5.552148442583311</x:v>
      </x:c>
      <x:c r="AK184" s="32" t="n">
        <x:f>H184*v01_RoleScale*Arch_Roles*(AE184*(INDEX(v01_ElderRolePerSett,G184)*v01_OutElder*INDEX(LM_Elder,G184)+INDEX(v01_ShamanPerSett,G184)*v01_OutShaman)+Z184*(INDEX(v01_PriestShare,G184)*v01_OutPriest+INDEX(v01_ScribeShare,G184)*v01_OutScribe*INDEX(LM_Scribe,G184)+INDEX(v01_ScholarShare,G184)*v01_OutScholar*INDEX(LM_Scholar,G184)+INDEX(v01_ResearcherShare,G184)*v01_OutResearcher*INDEX(LM_Researcher,G184)))</x:f>
        <x:v>0</x:v>
      </x:c>
      <x:c r="AL184" s="32" t="n">
        <x:f>H184*v01_RoleScale*Arch_Roles*AE184*INDEX(v01_MonasteryPerSett,G184)*v01_OutMonastery*INDEX(LM_Monastery,G184)</x:f>
        <x:v>0</x:v>
      </x:c>
      <x:c r="AM184" s="32" t="n">
        <x:f>(AJ184+AK184+AL184)/4*INDEX(LM_All,G184)*INDEX(v01_Boon,G184)*Arch_Insight</x:f>
        <x:v>1.3880371106458278</x:v>
      </x:c>
      <x:c r="AN184" s="32" t="n">
        <x:f>H184*(v01_KHPerAdult*Z184+v01_KHOfCommons*AJ184/4*INDEX(LM_All,G184))*v01_KHUsable*Arch_KH</x:f>
        <x:v>0.3027212667307413</x:v>
      </x:c>
      <x:c r="AO184" s="32" t="n">
        <x:f>MIN(AP183+AN184,AM184*v01_KHMaxRatio)</x:f>
        <x:v>0.3027212667307413</x:v>
      </x:c>
      <x:c r="AP184" s="32" t="n">
        <x:f>AP183+AN184-AO184</x:f>
        <x:v>0</x:v>
      </x:c>
      <x:c r="AQ184" s="32" t="n">
        <x:f>AM184+AO184</x:f>
        <x:v>1.690758377376569</x:v>
      </x:c>
      <x:c r="AR184" s="10" t="n">
        <x:f>IF(H184=1,INDEX(v01_Req,G184),0)</x:f>
        <x:v>372.02</x:v>
      </x:c>
      <x:c r="AS184" s="32" t="n">
        <x:f>IF(H184=1,IF(E184=1,AS183-AR183,AS183)+AQ184,0)</x:f>
        <x:v>281.89499356609196</x:v>
      </x:c>
      <x:c r="AT184" s="11" t="n">
        <x:f>IF(AR184&gt;0,MIN(1,AS184/AR184),1)</x:f>
        <x:v>0.7577415019786354</x:v>
      </x:c>
      <x:c r="AU184" s="10" t="n">
        <x:f>AB184/INDEX(v01_RepScale,G184)</x:f>
        <x:v>17.310867695843108</x:v>
      </x:c>
      <x:c r="AV184" s="32" t="n">
        <x:f>AM184*60/v01_SeasonSeconds</x:f>
        <x:v>5.552148442583311</x:v>
      </x:c>
    </x:row>
    <x:row r="185">
      <x:c r="A185" s="8" t="n">
        <x:f>A184+1</x:f>
        <x:v>182</x:v>
      </x:c>
      <x:c r="B185" s="9" t="n">
        <x:f>A185*v01_SeasonSeconds/60</x:f>
        <x:v>45.5</x:v>
      </x:c>
      <x:c r="C185" s="9" t="n">
        <x:f>A185/4</x:f>
        <x:v>45.5</x:v>
      </x:c>
      <x:c r="D185" s="8" t="n">
        <x:f>IF(MOD(A185,4)=0,1,0)</x:f>
        <x:v>0</x:v>
      </x:c>
      <x:c r="E185" s="8" t="n">
        <x:f>IF(AND(F184&lt;=9,AS184&gt;=AR184),1,0)</x:f>
        <x:v>0</x:v>
      </x:c>
      <x:c r="F185" s="8" t="n">
        <x:f>MIN(10,F184+E185)</x:f>
        <x:v>0</x:v>
      </x:c>
      <x:c r="G185" s="8" t="n">
        <x:f>MIN(F185,9)+1</x:f>
        <x:v>1</x:v>
      </x:c>
      <x:c r="H185" s="8" t="n">
        <x:f>IF(F185&lt;=9,1,0)</x:f>
        <x:v>1</x:v>
      </x:c>
      <x:c r="I185" s="9" t="n">
        <x:f>MIN(10,F184+IF(AR184&gt;0,MIN(1,AS184/AR184),1))</x:f>
        <x:v>0.7577415019786354</x:v>
      </x:c>
      <x:c r="J185" s="32" t="n">
        <x:f>INDEX(v01_FoodCap,G185)*Arch_FoodCap*EXP(v01_CapsByProject*SUMPRODUCT((Cap_Point&lt;=I185)*(Cap_Kind="Food")*Cap_Ln))</x:f>
        <x:v>22</x:v>
      </x:c>
      <x:c r="K185" s="32" t="n">
        <x:f>J185*MIN(1,v01_LeanBase*EXP(v01_CapsByProject*SUMPRODUCT((Cap_Point&lt;=I185)*(Cap_Kind="Lean")*Cap_Ln)))</x:f>
        <x:v>22</x:v>
      </x:c>
      <x:c r="L185" s="10" t="n">
        <x:f>INDEX(v01_HousingCap,G185)*EXP(v01_CapsByProject*SUMPRODUCT((Cap_Point&lt;=I185)*(Cap_Kind="Housing")*Cap_Ln))</x:f>
        <x:v>60</x:v>
      </x:c>
      <x:c r="M185" s="10" t="n">
        <x:f>INDEX(v01_GroupCap,G185)*v01_CohesionFactor*EXP(v01_CapsByProject*SUMPRODUCT((Cap_Point&lt;=I185)*(Cap_Kind="Group")*Cap_Ln))</x:f>
        <x:v>35</x:v>
      </x:c>
      <x:c r="N185" s="32" t="n">
        <x:f>MIN(J185,L185,M185)</x:f>
        <x:v>22</x:v>
      </x:c>
      <x:c r="O185" s="10" t="n">
        <x:f>AE184*N185</x:f>
        <x:v>22</x:v>
      </x:c>
      <x:c r="P185" s="9" t="n">
        <x:f>MIN(1,(AB184/(AE184*IF(v01_GroupInCrowding=1,N185,MIN(J185,L185))))^v01_CrowdingExp)</x:f>
        <x:v>0.23734327894837995</x:v>
      </x:c>
      <x:c r="Q185" s="9" t="n">
        <x:f>IF(D185=1,INDEX(v01_WinterMult,G185),1)</x:f>
        <x:v>1</x:v>
      </x:c>
      <x:c r="R185" s="9" t="n">
        <x:f>H185*Z184*v01_WomenShare*v01_BaseFertility*INDEX(v01_FertMult,G185)*Arch_Fertility*(1-P185)</x:f>
        <x:v>0.19789063600925147</x:v>
      </x:c>
      <x:c r="S185" s="9" t="n">
        <x:f>H185*Y184*INDEX(v01_MortChild,G185)/4*Q185</x:f>
        <x:v>0.06508046922398525</x:v>
      </x:c>
      <x:c r="T185" s="9" t="n">
        <x:f>H185*Z184*INDEX(v01_MortAdult,G185)*Arch_AdultMort/4*Q185</x:f>
        <x:v>0.03243442143543657</x:v>
      </x:c>
      <x:c r="U185" s="9" t="n">
        <x:f>H185*AA184*INDEX(v01_MortElder,G185)/4*Q185</x:f>
        <x:v>0.05384104309987081</x:v>
      </x:c>
      <x:c r="V185" s="9" t="n">
        <x:f>H185*MAX(0,AB184-O185)*v01_OvercapLoss</x:f>
        <x:v>0</x:v>
      </x:c>
      <x:c r="W185" s="9" t="n">
        <x:f>H185*Y184/(v01_ChildYears*4)</x:f>
        <x:v>0.11621512361425937</x:v>
      </x:c>
      <x:c r="X185" s="9" t="n">
        <x:f>H185*Z184/(v01_AdultYears*4)</x:f>
        <x:v>0.06975144394717542</x:v>
      </x:c>
      <x:c r="Y185" s="32" t="n">
        <x:f>Y184+R185-S185-W185-Y184*V185/AB184</x:f>
        <x:v>6.524641965569532</x:v>
      </x:c>
      <x:c r="Z185" s="32" t="n">
        <x:f>Z184+W185-X185-T185-Z184*V185/AB184</x:f>
        <x:v>8.663208307681398</x:v>
      </x:c>
      <x:c r="AA185" s="32" t="n">
        <x:f>AA184+X185-U185-AA184*V185/AB184</x:f>
        <x:v>2.169552124842137</x:v>
      </x:c>
      <x:c r="AB185" s="10" t="n">
        <x:f>Y185+Z185+AA185</x:f>
        <x:v>17.35740239809307</x:v>
      </x:c>
      <x:c r="AC185" s="8" t="n">
        <x:f>IF(AND(v01_WinterTrigger=1,D185=1,AB184/AE184&gt;=K185),1,0)</x:f>
        <x:v>0</x:v>
      </x:c>
      <x:c r="AD185" s="8" t="n">
        <x:f>H185*IF(AND(OR(AB184/AE184&gt;=v01_FissionTrigger*N185,AC185=1),AB184/AE184*v01_DaughterShare&gt;=v01_MinDaughter),MAX(1,ROUND(AE184*v01_FissionRate,0)),0)</x:f>
        <x:v>0</x:v>
      </x:c>
      <x:c r="AE185" s="8" t="n">
        <x:f>IF(H185=1,MAX(1,MIN(INDEX(v01_Smax,G185),AE184+AD185)),AE184)</x:f>
        <x:v>1</x:v>
      </x:c>
      <x:c r="AF185" s="8" t="n">
        <x:f>MAX(0,AE185-AE184)</x:f>
        <x:v>0</x:v>
      </x:c>
      <x:c r="AG185" s="9" t="str">
        <x:f>IF(AF185&gt;0,B185,"")</x:f>
      </x:c>
      <x:c r="AH185" s="9" t="n">
        <x:f>IF(F185&gt;=1,1,(1+v01_LowTiesShare*(AE185-1))/AE185)</x:f>
        <x:v>1</x:v>
      </x:c>
      <x:c r="AI185" s="32" t="n">
        <x:f>(Z185+v01_ElderCommons*INDEX(LM_Elder,G185)*AA185)*AH185</x:f>
        <x:v>13.002312557365672</x:v>
      </x:c>
      <x:c r="AJ185" s="32" t="n">
        <x:f>H185*v01_CommonsCoef*AI185^v01_CommonsExp*INDEX(LM_Commons,G185)</x:f>
        <x:v>5.568844669376957</x:v>
      </x:c>
      <x:c r="AK185" s="32" t="n">
        <x:f>H185*v01_RoleScale*Arch_Roles*(AE185*(INDEX(v01_ElderRolePerSett,G185)*v01_OutElder*INDEX(LM_Elder,G185)+INDEX(v01_ShamanPerSett,G185)*v01_OutShaman)+Z185*(INDEX(v01_PriestShare,G185)*v01_OutPriest+INDEX(v01_ScribeShare,G185)*v01_OutScribe*INDEX(LM_Scribe,G185)+INDEX(v01_ScholarShare,G185)*v01_OutScholar*INDEX(LM_Scholar,G185)+INDEX(v01_ResearcherShare,G185)*v01_OutResearcher*INDEX(LM_Researcher,G185)))</x:f>
        <x:v>0</x:v>
      </x:c>
      <x:c r="AL185" s="32" t="n">
        <x:f>H185*v01_RoleScale*Arch_Roles*AE185*INDEX(v01_MonasteryPerSett,G185)*v01_OutMonastery*INDEX(LM_Monastery,G185)</x:f>
        <x:v>0</x:v>
      </x:c>
      <x:c r="AM185" s="32" t="n">
        <x:f>(AJ185+AK185+AL185)/4*INDEX(LM_All,G185)*INDEX(v01_Boon,G185)*Arch_Insight</x:f>
        <x:v>1.3922111673442392</x:v>
      </x:c>
      <x:c r="AN185" s="32" t="n">
        <x:f>H185*(v01_KHPerAdult*Z185+v01_KHOfCommons*AJ185/4*INDEX(LM_All,G185))*v01_KHUsable*Arch_KH</x:f>
        <x:v>0.3032122907688489</x:v>
      </x:c>
      <x:c r="AO185" s="32" t="n">
        <x:f>MIN(AP184+AN185,AM185*v01_KHMaxRatio)</x:f>
        <x:v>0.3032122907688489</x:v>
      </x:c>
      <x:c r="AP185" s="32" t="n">
        <x:f>AP184+AN185-AO185</x:f>
        <x:v>0</x:v>
      </x:c>
      <x:c r="AQ185" s="32" t="n">
        <x:f>AM185+AO185</x:f>
        <x:v>1.6954234581130883</x:v>
      </x:c>
      <x:c r="AR185" s="10" t="n">
        <x:f>IF(H185=1,INDEX(v01_Req,G185),0)</x:f>
        <x:v>372.02</x:v>
      </x:c>
      <x:c r="AS185" s="32" t="n">
        <x:f>IF(H185=1,IF(E185=1,AS184-AR184,AS184)+AQ185,0)</x:f>
        <x:v>283.59041702420507</x:v>
      </x:c>
      <x:c r="AT185" s="11" t="n">
        <x:f>IF(AR185&gt;0,MIN(1,AS185/AR185),1)</x:f>
        <x:v>0.7622988469012555</x:v>
      </x:c>
      <x:c r="AU185" s="10" t="n">
        <x:f>AB185/INDEX(v01_RepScale,G185)</x:f>
        <x:v>17.35740239809307</x:v>
      </x:c>
      <x:c r="AV185" s="32" t="n">
        <x:f>AM185*60/v01_SeasonSeconds</x:f>
        <x:v>5.568844669376957</x:v>
      </x:c>
    </x:row>
    <x:row r="186">
      <x:c r="A186" s="8" t="n">
        <x:f>A185+1</x:f>
        <x:v>183</x:v>
      </x:c>
      <x:c r="B186" s="9" t="n">
        <x:f>A186*v01_SeasonSeconds/60</x:f>
        <x:v>45.75</x:v>
      </x:c>
      <x:c r="C186" s="9" t="n">
        <x:f>A186/4</x:f>
        <x:v>45.75</x:v>
      </x:c>
      <x:c r="D186" s="8" t="n">
        <x:f>IF(MOD(A186,4)=0,1,0)</x:f>
        <x:v>0</x:v>
      </x:c>
      <x:c r="E186" s="8" t="n">
        <x:f>IF(AND(F185&lt;=9,AS185&gt;=AR185),1,0)</x:f>
        <x:v>0</x:v>
      </x:c>
      <x:c r="F186" s="8" t="n">
        <x:f>MIN(10,F185+E186)</x:f>
        <x:v>0</x:v>
      </x:c>
      <x:c r="G186" s="8" t="n">
        <x:f>MIN(F186,9)+1</x:f>
        <x:v>1</x:v>
      </x:c>
      <x:c r="H186" s="8" t="n">
        <x:f>IF(F186&lt;=9,1,0)</x:f>
        <x:v>1</x:v>
      </x:c>
      <x:c r="I186" s="9" t="n">
        <x:f>MIN(10,F185+IF(AR185&gt;0,MIN(1,AS185/AR185),1))</x:f>
        <x:v>0.7622988469012555</x:v>
      </x:c>
      <x:c r="J186" s="32" t="n">
        <x:f>INDEX(v01_FoodCap,G186)*Arch_FoodCap*EXP(v01_CapsByProject*SUMPRODUCT((Cap_Point&lt;=I186)*(Cap_Kind="Food")*Cap_Ln))</x:f>
        <x:v>22</x:v>
      </x:c>
      <x:c r="K186" s="32" t="n">
        <x:f>J186*MIN(1,v01_LeanBase*EXP(v01_CapsByProject*SUMPRODUCT((Cap_Point&lt;=I186)*(Cap_Kind="Lean")*Cap_Ln)))</x:f>
        <x:v>22</x:v>
      </x:c>
      <x:c r="L186" s="10" t="n">
        <x:f>INDEX(v01_HousingCap,G186)*EXP(v01_CapsByProject*SUMPRODUCT((Cap_Point&lt;=I186)*(Cap_Kind="Housing")*Cap_Ln))</x:f>
        <x:v>60</x:v>
      </x:c>
      <x:c r="M186" s="10" t="n">
        <x:f>INDEX(v01_GroupCap,G186)*v01_CohesionFactor*EXP(v01_CapsByProject*SUMPRODUCT((Cap_Point&lt;=I186)*(Cap_Kind="Group")*Cap_Ln))</x:f>
        <x:v>35</x:v>
      </x:c>
      <x:c r="N186" s="32" t="n">
        <x:f>MIN(J186,L186,M186)</x:f>
        <x:v>22</x:v>
      </x:c>
      <x:c r="O186" s="10" t="n">
        <x:f>AE185*N186</x:f>
        <x:v>22</x:v>
      </x:c>
      <x:c r="P186" s="9" t="n">
        <x:f>MIN(1,(AB185/(AE185*IF(v01_GroupInCrowding=1,N186,MIN(J186,L186))))^v01_CrowdingExp)</x:f>
        <x:v>0.24119722465287435</x:v>
      </x:c>
      <x:c r="Q186" s="9" t="n">
        <x:f>IF(D186=1,INDEX(v01_WinterMult,G186),1)</x:f>
        <x:v>1</x:v>
      </x:c>
      <x:c r="R186" s="9" t="n">
        <x:f>H186*Z185*v01_WomenShare*v01_BaseFertility*INDEX(v01_FertMult,G186)*Arch_Fertility*(1-P186)</x:f>
        <x:v>0.19720999521836757</x:v>
      </x:c>
      <x:c r="S186" s="9" t="n">
        <x:f>H186*Y185*INDEX(v01_MortChild,G186)/4*Q186</x:f>
        <x:v>0.06524641965569532</x:v>
      </x:c>
      <x:c r="T186" s="9" t="n">
        <x:f>H186*Z185*INDEX(v01_MortAdult,G186)*Arch_AdultMort/4*Q186</x:f>
        <x:v>0.03248703115380524</x:v>
      </x:c>
      <x:c r="U186" s="9" t="n">
        <x:f>H186*AA185*INDEX(v01_MortElder,G186)/4*Q186</x:f>
        <x:v>0.054238803121053426</x:v>
      </x:c>
      <x:c r="V186" s="9" t="n">
        <x:f>H186*MAX(0,AB185-O186)*v01_OvercapLoss</x:f>
        <x:v>0</x:v>
      </x:c>
      <x:c r="W186" s="9" t="n">
        <x:f>H186*Y185/(v01_ChildYears*4)</x:f>
        <x:v>0.1165114636708845</x:v>
      </x:c>
      <x:c r="X186" s="9" t="n">
        <x:f>H186*Z185/(v01_AdultYears*4)</x:f>
        <x:v>0.06986458312646289</x:v>
      </x:c>
      <x:c r="Y186" s="32" t="n">
        <x:f>Y185+R186-S186-W186-Y185*V186/AB185</x:f>
        <x:v>6.540094077461319</x:v>
      </x:c>
      <x:c r="Z186" s="32" t="n">
        <x:f>Z185+W186-X186-T186-Z185*V186/AB185</x:f>
        <x:v>8.677368157072014</x:v>
      </x:c>
      <x:c r="AA186" s="32" t="n">
        <x:f>AA185+X186-U186-AA185*V186/AB185</x:f>
        <x:v>2.1851779048475466</x:v>
      </x:c>
      <x:c r="AB186" s="10" t="n">
        <x:f>Y186+Z186+AA186</x:f>
        <x:v>17.40264013938088</x:v>
      </x:c>
      <x:c r="AC186" s="8" t="n">
        <x:f>IF(AND(v01_WinterTrigger=1,D186=1,AB185/AE185&gt;=K186),1,0)</x:f>
        <x:v>0</x:v>
      </x:c>
      <x:c r="AD186" s="8" t="n">
        <x:f>H186*IF(AND(OR(AB185/AE185&gt;=v01_FissionTrigger*N186,AC186=1),AB185/AE185*v01_DaughterShare&gt;=v01_MinDaughter),MAX(1,ROUND(AE185*v01_FissionRate,0)),0)</x:f>
        <x:v>0</x:v>
      </x:c>
      <x:c r="AE186" s="8" t="n">
        <x:f>IF(H186=1,MAX(1,MIN(INDEX(v01_Smax,G186),AE185+AD186)),AE185)</x:f>
        <x:v>1</x:v>
      </x:c>
      <x:c r="AF186" s="8" t="n">
        <x:f>MAX(0,AE186-AE185)</x:f>
        <x:v>0</x:v>
      </x:c>
      <x:c r="AG186" s="9" t="str">
        <x:f>IF(AF186&gt;0,B186,"")</x:f>
      </x:c>
      <x:c r="AH186" s="9" t="n">
        <x:f>IF(F186&gt;=1,1,(1+v01_LowTiesShare*(AE186-1))/AE186)</x:f>
        <x:v>1</x:v>
      </x:c>
      <x:c r="AI186" s="32" t="n">
        <x:f>(Z186+v01_ElderCommons*INDEX(LM_Elder,G186)*AA186)*AH186</x:f>
        <x:v>13.047723966767107</x:v>
      </x:c>
      <x:c r="AJ186" s="32" t="n">
        <x:f>H186*v01_CommonsCoef*AI186^v01_CommonsExp*INDEX(LM_Commons,G186)</x:f>
        <x:v>5.585372459390839</x:v>
      </x:c>
      <x:c r="AK186" s="32" t="n">
        <x:f>H186*v01_RoleScale*Arch_Roles*(AE186*(INDEX(v01_ElderRolePerSett,G186)*v01_OutElder*INDEX(LM_Elder,G186)+INDEX(v01_ShamanPerSett,G186)*v01_OutShaman)+Z186*(INDEX(v01_PriestShare,G186)*v01_OutPriest+INDEX(v01_ScribeShare,G186)*v01_OutScribe*INDEX(LM_Scribe,G186)+INDEX(v01_ScholarShare,G186)*v01_OutScholar*INDEX(LM_Scholar,G186)+INDEX(v01_ResearcherShare,G186)*v01_OutResearcher*INDEX(LM_Researcher,G186)))</x:f>
        <x:v>0</x:v>
      </x:c>
      <x:c r="AL186" s="32" t="n">
        <x:f>H186*v01_RoleScale*Arch_Roles*AE186*INDEX(v01_MonasteryPerSett,G186)*v01_OutMonastery*INDEX(LM_Monastery,G186)</x:f>
        <x:v>0</x:v>
      </x:c>
      <x:c r="AM186" s="32" t="n">
        <x:f>(AJ186+AK186+AL186)/4*INDEX(LM_All,G186)*INDEX(v01_Boon,G186)*Arch_Insight</x:f>
        <x:v>1.3963431148477097</x:v>
      </x:c>
      <x:c r="AN186" s="32" t="n">
        <x:f>H186*(v01_KHPerAdult*Z186+v01_KHOfCommons*AJ186/4*INDEX(LM_All,G186))*v01_KHUsable*Arch_KH</x:f>
        <x:v>0.3037078854975205</x:v>
      </x:c>
      <x:c r="AO186" s="32" t="n">
        <x:f>MIN(AP185+AN186,AM186*v01_KHMaxRatio)</x:f>
        <x:v>0.3037078854975205</x:v>
      </x:c>
      <x:c r="AP186" s="32" t="n">
        <x:f>AP185+AN186-AO186</x:f>
        <x:v>0</x:v>
      </x:c>
      <x:c r="AQ186" s="32" t="n">
        <x:f>AM186+AO186</x:f>
        <x:v>1.7000510003452303</x:v>
      </x:c>
      <x:c r="AR186" s="10" t="n">
        <x:f>IF(H186=1,INDEX(v01_Req,G186),0)</x:f>
        <x:v>372.02</x:v>
      </x:c>
      <x:c r="AS186" s="32" t="n">
        <x:f>IF(H186=1,IF(E186=1,AS185-AR185,AS185)+AQ186,0)</x:f>
        <x:v>285.2904680245503</x:v>
      </x:c>
      <x:c r="AT186" s="11" t="n">
        <x:f>IF(AR186&gt;0,MIN(1,AS186/AR186),1)</x:f>
        <x:v>0.7668686307847705</x:v>
      </x:c>
      <x:c r="AU186" s="10" t="n">
        <x:f>AB186/INDEX(v01_RepScale,G186)</x:f>
        <x:v>17.40264013938088</x:v>
      </x:c>
      <x:c r="AV186" s="32" t="n">
        <x:f>AM186*60/v01_SeasonSeconds</x:f>
        <x:v>5.585372459390839</x:v>
      </x:c>
    </x:row>
    <x:row r="187">
      <x:c r="A187" s="8" t="n">
        <x:f>A186+1</x:f>
        <x:v>184</x:v>
      </x:c>
      <x:c r="B187" s="9" t="n">
        <x:f>A187*v01_SeasonSeconds/60</x:f>
        <x:v>46</x:v>
      </x:c>
      <x:c r="C187" s="9" t="n">
        <x:f>A187/4</x:f>
        <x:v>46</x:v>
      </x:c>
      <x:c r="D187" s="8" t="n">
        <x:f>IF(MOD(A187,4)=0,1,0)</x:f>
        <x:v>1</x:v>
      </x:c>
      <x:c r="E187" s="8" t="n">
        <x:f>IF(AND(F186&lt;=9,AS186&gt;=AR186),1,0)</x:f>
        <x:v>0</x:v>
      </x:c>
      <x:c r="F187" s="8" t="n">
        <x:f>MIN(10,F186+E187)</x:f>
        <x:v>0</x:v>
      </x:c>
      <x:c r="G187" s="8" t="n">
        <x:f>MIN(F187,9)+1</x:f>
        <x:v>1</x:v>
      </x:c>
      <x:c r="H187" s="8" t="n">
        <x:f>IF(F187&lt;=9,1,0)</x:f>
        <x:v>1</x:v>
      </x:c>
      <x:c r="I187" s="9" t="n">
        <x:f>MIN(10,F186+IF(AR186&gt;0,MIN(1,AS186/AR186),1))</x:f>
        <x:v>0.7668686307847705</x:v>
      </x:c>
      <x:c r="J187" s="32" t="n">
        <x:f>INDEX(v01_FoodCap,G187)*Arch_FoodCap*EXP(v01_CapsByProject*SUMPRODUCT((Cap_Point&lt;=I187)*(Cap_Kind="Food")*Cap_Ln))</x:f>
        <x:v>22</x:v>
      </x:c>
      <x:c r="K187" s="32" t="n">
        <x:f>J187*MIN(1,v01_LeanBase*EXP(v01_CapsByProject*SUMPRODUCT((Cap_Point&lt;=I187)*(Cap_Kind="Lean")*Cap_Ln)))</x:f>
        <x:v>22</x:v>
      </x:c>
      <x:c r="L187" s="10" t="n">
        <x:f>INDEX(v01_HousingCap,G187)*EXP(v01_CapsByProject*SUMPRODUCT((Cap_Point&lt;=I187)*(Cap_Kind="Housing")*Cap_Ln))</x:f>
        <x:v>60</x:v>
      </x:c>
      <x:c r="M187" s="10" t="n">
        <x:f>INDEX(v01_GroupCap,G187)*v01_CohesionFactor*EXP(v01_CapsByProject*SUMPRODUCT((Cap_Point&lt;=I187)*(Cap_Kind="Group")*Cap_Ln))</x:f>
        <x:v>35</x:v>
      </x:c>
      <x:c r="N187" s="32" t="n">
        <x:f>MIN(J187,L187,M187)</x:f>
        <x:v>22</x:v>
      </x:c>
      <x:c r="O187" s="10" t="n">
        <x:f>AE186*N187</x:f>
        <x:v>22</x:v>
      </x:c>
      <x:c r="P187" s="9" t="n">
        <x:f>MIN(1,(AB186/(AE186*IF(v01_GroupInCrowding=1,N187,MIN(J187,L187))))^v01_CrowdingExp)</x:f>
        <x:v>0.24499360789604607</x:v>
      </x:c>
      <x:c r="Q187" s="9" t="n">
        <x:f>IF(D187=1,INDEX(v01_WinterMult,G187),1)</x:f>
        <x:v>2</x:v>
      </x:c>
      <x:c r="R187" s="9" t="n">
        <x:f>H187*Z186*v01_WomenShare*v01_BaseFertility*INDEX(v01_FertMult,G187)*Arch_Fertility*(1-P187)</x:f>
        <x:v>0.1965440527568603</x:v>
      </x:c>
      <x:c r="S187" s="9" t="n">
        <x:f>H187*Y186*INDEX(v01_MortChild,G187)/4*Q187</x:f>
        <x:v>0.1308018815492264</x:v>
      </x:c>
      <x:c r="T187" s="9" t="n">
        <x:f>H187*Z186*INDEX(v01_MortAdult,G187)*Arch_AdultMort/4*Q187</x:f>
        <x:v>0.0650802611780401</x:v>
      </x:c>
      <x:c r="U187" s="9" t="n">
        <x:f>H187*AA186*INDEX(v01_MortElder,G187)/4*Q187</x:f>
        <x:v>0.10925889524237734</x:v>
      </x:c>
      <x:c r="V187" s="9" t="n">
        <x:f>H187*MAX(0,AB186-O187)*v01_OvercapLoss</x:f>
        <x:v>0</x:v>
      </x:c>
      <x:c r="W187" s="9" t="n">
        <x:f>H187*Y186/(v01_ChildYears*4)</x:f>
        <x:v>0.11678739424038069</x:v>
      </x:c>
      <x:c r="X187" s="9" t="n">
        <x:f>H187*Z186/(v01_AdultYears*4)</x:f>
        <x:v>0.06997877546025817</x:v>
      </x:c>
      <x:c r="Y187" s="32" t="n">
        <x:f>Y186+R187-S187-W187-Y186*V187/AB186</x:f>
        <x:v>6.489048854428573</x:v>
      </x:c>
      <x:c r="Z187" s="32" t="n">
        <x:f>Z186+W187-X187-T187-Z186*V187/AB186</x:f>
        <x:v>8.659096514674097</x:v>
      </x:c>
      <x:c r="AA187" s="32" t="n">
        <x:f>AA186+X187-U187-AA186*V187/AB186</x:f>
        <x:v>2.1458977850654275</x:v>
      </x:c>
      <x:c r="AB187" s="10" t="n">
        <x:f>Y187+Z187+AA187</x:f>
        <x:v>17.294043154168097</x:v>
      </x:c>
      <x:c r="AC187" s="8" t="n">
        <x:f>IF(AND(v01_WinterTrigger=1,D187=1,AB186/AE186&gt;=K187),1,0)</x:f>
        <x:v>0</x:v>
      </x:c>
      <x:c r="AD187" s="8" t="n">
        <x:f>H187*IF(AND(OR(AB186/AE186&gt;=v01_FissionTrigger*N187,AC187=1),AB186/AE186*v01_DaughterShare&gt;=v01_MinDaughter),MAX(1,ROUND(AE186*v01_FissionRate,0)),0)</x:f>
        <x:v>0</x:v>
      </x:c>
      <x:c r="AE187" s="8" t="n">
        <x:f>IF(H187=1,MAX(1,MIN(INDEX(v01_Smax,G187),AE186+AD187)),AE186)</x:f>
        <x:v>1</x:v>
      </x:c>
      <x:c r="AF187" s="8" t="n">
        <x:f>MAX(0,AE187-AE186)</x:f>
        <x:v>0</x:v>
      </x:c>
      <x:c r="AG187" s="9" t="str">
        <x:f>IF(AF187&gt;0,B187,"")</x:f>
      </x:c>
      <x:c r="AH187" s="9" t="n">
        <x:f>IF(F187&gt;=1,1,(1+v01_LowTiesShare*(AE187-1))/AE187)</x:f>
        <x:v>1</x:v>
      </x:c>
      <x:c r="AI187" s="32" t="n">
        <x:f>(Z187+v01_ElderCommons*INDEX(LM_Elder,G187)*AA187)*AH187</x:f>
        <x:v>12.950892084804952</x:v>
      </x:c>
      <x:c r="AJ187" s="32" t="n">
        <x:f>H187*v01_CommonsCoef*AI187^v01_CommonsExp*INDEX(LM_Commons,G187)</x:f>
        <x:v>5.550119382415205</x:v>
      </x:c>
      <x:c r="AK187" s="32" t="n">
        <x:f>H187*v01_RoleScale*Arch_Roles*(AE187*(INDEX(v01_ElderRolePerSett,G187)*v01_OutElder*INDEX(LM_Elder,G187)+INDEX(v01_ShamanPerSett,G187)*v01_OutShaman)+Z187*(INDEX(v01_PriestShare,G187)*v01_OutPriest+INDEX(v01_ScribeShare,G187)*v01_OutScribe*INDEX(LM_Scribe,G187)+INDEX(v01_ScholarShare,G187)*v01_OutScholar*INDEX(LM_Scholar,G187)+INDEX(v01_ResearcherShare,G187)*v01_OutResearcher*INDEX(LM_Researcher,G187)))</x:f>
        <x:v>0</x:v>
      </x:c>
      <x:c r="AL187" s="32" t="n">
        <x:f>H187*v01_RoleScale*Arch_Roles*AE187*INDEX(v01_MonasteryPerSett,G187)*v01_OutMonastery*INDEX(LM_Monastery,G187)</x:f>
        <x:v>0</x:v>
      </x:c>
      <x:c r="AM187" s="32" t="n">
        <x:f>(AJ187+AK187+AL187)/4*INDEX(LM_All,G187)*INDEX(v01_Boon,G187)*Arch_Insight</x:f>
        <x:v>1.3875298456038012</x:v>
      </x:c>
      <x:c r="AN187" s="32" t="n">
        <x:f>H187*(v01_KHPerAdult*Z187+v01_KHOfCommons*AJ187/4*INDEX(LM_All,G187))*v01_KHUsable*Arch_KH</x:f>
        <x:v>0.3030683780135934</x:v>
      </x:c>
      <x:c r="AO187" s="32" t="n">
        <x:f>MIN(AP186+AN187,AM187*v01_KHMaxRatio)</x:f>
        <x:v>0.3030683780135934</x:v>
      </x:c>
      <x:c r="AP187" s="32" t="n">
        <x:f>AP186+AN187-AO187</x:f>
        <x:v>0</x:v>
      </x:c>
      <x:c r="AQ187" s="32" t="n">
        <x:f>AM187+AO187</x:f>
        <x:v>1.6905982236173946</x:v>
      </x:c>
      <x:c r="AR187" s="10" t="n">
        <x:f>IF(H187=1,INDEX(v01_Req,G187),0)</x:f>
        <x:v>372.02</x:v>
      </x:c>
      <x:c r="AS187" s="32" t="n">
        <x:f>IF(H187=1,IF(E187=1,AS186-AR186,AS186)+AQ187,0)</x:f>
        <x:v>286.9810662481677</x:v>
      </x:c>
      <x:c r="AT187" s="11" t="n">
        <x:f>IF(AR187&gt;0,MIN(1,AS187/AR187),1)</x:f>
        <x:v>0.7714130053442495</x:v>
      </x:c>
      <x:c r="AU187" s="10" t="n">
        <x:f>AB187/INDEX(v01_RepScale,G187)</x:f>
        <x:v>17.294043154168097</x:v>
      </x:c>
      <x:c r="AV187" s="32" t="n">
        <x:f>AM187*60/v01_SeasonSeconds</x:f>
        <x:v>5.550119382415205</x:v>
      </x:c>
    </x:row>
    <x:row r="188">
      <x:c r="A188" s="8" t="n">
        <x:f>A187+1</x:f>
        <x:v>185</x:v>
      </x:c>
      <x:c r="B188" s="9" t="n">
        <x:f>A188*v01_SeasonSeconds/60</x:f>
        <x:v>46.25</x:v>
      </x:c>
      <x:c r="C188" s="9" t="n">
        <x:f>A188/4</x:f>
        <x:v>46.25</x:v>
      </x:c>
      <x:c r="D188" s="8" t="n">
        <x:f>IF(MOD(A188,4)=0,1,0)</x:f>
        <x:v>0</x:v>
      </x:c>
      <x:c r="E188" s="8" t="n">
        <x:f>IF(AND(F187&lt;=9,AS187&gt;=AR187),1,0)</x:f>
        <x:v>0</x:v>
      </x:c>
      <x:c r="F188" s="8" t="n">
        <x:f>MIN(10,F187+E188)</x:f>
        <x:v>0</x:v>
      </x:c>
      <x:c r="G188" s="8" t="n">
        <x:f>MIN(F188,9)+1</x:f>
        <x:v>1</x:v>
      </x:c>
      <x:c r="H188" s="8" t="n">
        <x:f>IF(F188&lt;=9,1,0)</x:f>
        <x:v>1</x:v>
      </x:c>
      <x:c r="I188" s="9" t="n">
        <x:f>MIN(10,F187+IF(AR187&gt;0,MIN(1,AS187/AR187),1))</x:f>
        <x:v>0.7714130053442495</x:v>
      </x:c>
      <x:c r="J188" s="32" t="n">
        <x:f>INDEX(v01_FoodCap,G188)*Arch_FoodCap*EXP(v01_CapsByProject*SUMPRODUCT((Cap_Point&lt;=I188)*(Cap_Kind="Food")*Cap_Ln))</x:f>
        <x:v>22</x:v>
      </x:c>
      <x:c r="K188" s="32" t="n">
        <x:f>J188*MIN(1,v01_LeanBase*EXP(v01_CapsByProject*SUMPRODUCT((Cap_Point&lt;=I188)*(Cap_Kind="Lean")*Cap_Ln)))</x:f>
        <x:v>22</x:v>
      </x:c>
      <x:c r="L188" s="10" t="n">
        <x:f>INDEX(v01_HousingCap,G188)*EXP(v01_CapsByProject*SUMPRODUCT((Cap_Point&lt;=I188)*(Cap_Kind="Housing")*Cap_Ln))</x:f>
        <x:v>60</x:v>
      </x:c>
      <x:c r="M188" s="10" t="n">
        <x:f>INDEX(v01_GroupCap,G188)*v01_CohesionFactor*EXP(v01_CapsByProject*SUMPRODUCT((Cap_Point&lt;=I188)*(Cap_Kind="Group")*Cap_Ln))</x:f>
        <x:v>35</x:v>
      </x:c>
      <x:c r="N188" s="32" t="n">
        <x:f>MIN(J188,L188,M188)</x:f>
        <x:v>22</x:v>
      </x:c>
      <x:c r="O188" s="10" t="n">
        <x:f>AE187*N188</x:f>
        <x:v>22</x:v>
      </x:c>
      <x:c r="P188" s="9" t="n">
        <x:f>MIN(1,(AB187/(AE187*IF(v01_GroupInCrowding=1,N188,MIN(J188,L188))))^v01_CrowdingExp)</x:f>
        <x:v>0.2359625849239169</x:v>
      </x:c>
      <x:c r="Q188" s="9" t="n">
        <x:f>IF(D188=1,INDEX(v01_WinterMult,G188),1)</x:f>
        <x:v>1</x:v>
      </x:c>
      <x:c r="R188" s="9" t="n">
        <x:f>H188*Z187*v01_WomenShare*v01_BaseFertility*INDEX(v01_FertMult,G188)*Arch_Fertility*(1-P188)</x:f>
        <x:v>0.19847621153897754</x:v>
      </x:c>
      <x:c r="S188" s="9" t="n">
        <x:f>H188*Y187*INDEX(v01_MortChild,G188)/4*Q188</x:f>
        <x:v>0.06489048854428572</x:v>
      </x:c>
      <x:c r="T188" s="9" t="n">
        <x:f>H188*Z187*INDEX(v01_MortAdult,G188)*Arch_AdultMort/4*Q188</x:f>
        <x:v>0.032471611930027865</x:v>
      </x:c>
      <x:c r="U188" s="9" t="n">
        <x:f>H188*AA187*INDEX(v01_MortElder,G188)/4*Q188</x:f>
        <x:v>0.05364744462663569</x:v>
      </x:c>
      <x:c r="V188" s="9" t="n">
        <x:f>H188*MAX(0,AB187-O188)*v01_OvercapLoss</x:f>
        <x:v>0</x:v>
      </x:c>
      <x:c r="W188" s="9" t="n">
        <x:f>H188*Y187/(v01_ChildYears*4)</x:f>
        <x:v>0.11587587240051023</x:v>
      </x:c>
      <x:c r="X188" s="9" t="n">
        <x:f>H188*Z187/(v01_AdultYears*4)</x:f>
        <x:v>0.06983142350543627</x:v>
      </x:c>
      <x:c r="Y188" s="32" t="n">
        <x:f>Y187+R188-S188-W188-Y187*V188/AB187</x:f>
        <x:v>6.506758705022754</x:v>
      </x:c>
      <x:c r="Z188" s="32" t="n">
        <x:f>Z187+W188-X188-T188-Z187*V188/AB187</x:f>
        <x:v>8.672669351639144</x:v>
      </x:c>
      <x:c r="AA188" s="32" t="n">
        <x:f>AA187+X188-U188-AA187*V188/AB187</x:f>
        <x:v>2.162081763944228</x:v>
      </x:c>
      <x:c r="AB188" s="10" t="n">
        <x:f>Y188+Z188+AA188</x:f>
        <x:v>17.341509820606127</x:v>
      </x:c>
      <x:c r="AC188" s="8" t="n">
        <x:f>IF(AND(v01_WinterTrigger=1,D188=1,AB187/AE187&gt;=K188),1,0)</x:f>
        <x:v>0</x:v>
      </x:c>
      <x:c r="AD188" s="8" t="n">
        <x:f>H188*IF(AND(OR(AB187/AE187&gt;=v01_FissionTrigger*N188,AC188=1),AB187/AE187*v01_DaughterShare&gt;=v01_MinDaughter),MAX(1,ROUND(AE187*v01_FissionRate,0)),0)</x:f>
        <x:v>0</x:v>
      </x:c>
      <x:c r="AE188" s="8" t="n">
        <x:f>IF(H188=1,MAX(1,MIN(INDEX(v01_Smax,G188),AE187+AD188)),AE187)</x:f>
        <x:v>1</x:v>
      </x:c>
      <x:c r="AF188" s="8" t="n">
        <x:f>MAX(0,AE188-AE187)</x:f>
        <x:v>0</x:v>
      </x:c>
      <x:c r="AG188" s="9" t="str">
        <x:f>IF(AF188&gt;0,B188,"")</x:f>
      </x:c>
      <x:c r="AH188" s="9" t="n">
        <x:f>IF(F188&gt;=1,1,(1+v01_LowTiesShare*(AE188-1))/AE188)</x:f>
        <x:v>1</x:v>
      </x:c>
      <x:c r="AI188" s="32" t="n">
        <x:f>(Z188+v01_ElderCommons*INDEX(LM_Elder,G188)*AA188)*AH188</x:f>
        <x:v>12.996832879527599</x:v>
      </x:c>
      <x:c r="AJ188" s="32" t="n">
        <x:f>H188*v01_CommonsCoef*AI188^v01_CommonsExp*INDEX(LM_Commons,G188)</x:f>
        <x:v>5.56684971860344</x:v>
      </x:c>
      <x:c r="AK188" s="32" t="n">
        <x:f>H188*v01_RoleScale*Arch_Roles*(AE188*(INDEX(v01_ElderRolePerSett,G188)*v01_OutElder*INDEX(LM_Elder,G188)+INDEX(v01_ShamanPerSett,G188)*v01_OutShaman)+Z188*(INDEX(v01_PriestShare,G188)*v01_OutPriest+INDEX(v01_ScribeShare,G188)*v01_OutScribe*INDEX(LM_Scribe,G188)+INDEX(v01_ScholarShare,G188)*v01_OutScholar*INDEX(LM_Scholar,G188)+INDEX(v01_ResearcherShare,G188)*v01_OutResearcher*INDEX(LM_Researcher,G188)))</x:f>
        <x:v>0</x:v>
      </x:c>
      <x:c r="AL188" s="32" t="n">
        <x:f>H188*v01_RoleScale*Arch_Roles*AE188*INDEX(v01_MonasteryPerSett,G188)*v01_OutMonastery*INDEX(LM_Monastery,G188)</x:f>
        <x:v>0</x:v>
      </x:c>
      <x:c r="AM188" s="32" t="n">
        <x:f>(AJ188+AK188+AL188)/4*INDEX(LM_All,G188)*INDEX(v01_Boon,G188)*Arch_Insight</x:f>
        <x:v>1.39171242965086</x:v>
      </x:c>
      <x:c r="AN188" s="32" t="n">
        <x:f>H188*(v01_KHPerAdult*Z188+v01_KHOfCommons*AJ188/4*INDEX(LM_All,G188))*v01_KHUsable*Arch_KH</x:f>
        <x:v>0.30354342730737</x:v>
      </x:c>
      <x:c r="AO188" s="32" t="n">
        <x:f>MIN(AP187+AN188,AM188*v01_KHMaxRatio)</x:f>
        <x:v>0.30354342730737</x:v>
      </x:c>
      <x:c r="AP188" s="32" t="n">
        <x:f>AP187+AN188-AO188</x:f>
        <x:v>0</x:v>
      </x:c>
      <x:c r="AQ188" s="32" t="n">
        <x:f>AM188+AO188</x:f>
        <x:v>1.6952558569582301</x:v>
      </x:c>
      <x:c r="AR188" s="10" t="n">
        <x:f>IF(H188=1,INDEX(v01_Req,G188),0)</x:f>
        <x:v>372.02</x:v>
      </x:c>
      <x:c r="AS188" s="32" t="n">
        <x:f>IF(H188=1,IF(E188=1,AS187-AR187,AS187)+AQ188,0)</x:f>
        <x:v>288.6763221051259</x:v>
      </x:c>
      <x:c r="AT188" s="11" t="n">
        <x:f>IF(AR188&gt;0,MIN(1,AS188/AR188),1)</x:f>
        <x:v>0.7759698997503519</x:v>
      </x:c>
      <x:c r="AU188" s="10" t="n">
        <x:f>AB188/INDEX(v01_RepScale,G188)</x:f>
        <x:v>17.341509820606127</x:v>
      </x:c>
      <x:c r="AV188" s="32" t="n">
        <x:f>AM188*60/v01_SeasonSeconds</x:f>
        <x:v>5.56684971860344</x:v>
      </x:c>
    </x:row>
    <x:row r="189">
      <x:c r="A189" s="8" t="n">
        <x:f>A188+1</x:f>
        <x:v>186</x:v>
      </x:c>
      <x:c r="B189" s="9" t="n">
        <x:f>A189*v01_SeasonSeconds/60</x:f>
        <x:v>46.5</x:v>
      </x:c>
      <x:c r="C189" s="9" t="n">
        <x:f>A189/4</x:f>
        <x:v>46.5</x:v>
      </x:c>
      <x:c r="D189" s="8" t="n">
        <x:f>IF(MOD(A189,4)=0,1,0)</x:f>
        <x:v>0</x:v>
      </x:c>
      <x:c r="E189" s="8" t="n">
        <x:f>IF(AND(F188&lt;=9,AS188&gt;=AR188),1,0)</x:f>
        <x:v>0</x:v>
      </x:c>
      <x:c r="F189" s="8" t="n">
        <x:f>MIN(10,F188+E189)</x:f>
        <x:v>0</x:v>
      </x:c>
      <x:c r="G189" s="8" t="n">
        <x:f>MIN(F189,9)+1</x:f>
        <x:v>1</x:v>
      </x:c>
      <x:c r="H189" s="8" t="n">
        <x:f>IF(F189&lt;=9,1,0)</x:f>
        <x:v>1</x:v>
      </x:c>
      <x:c r="I189" s="9" t="n">
        <x:f>MIN(10,F188+IF(AR188&gt;0,MIN(1,AS188/AR188),1))</x:f>
        <x:v>0.7759698997503519</x:v>
      </x:c>
      <x:c r="J189" s="32" t="n">
        <x:f>INDEX(v01_FoodCap,G189)*Arch_FoodCap*EXP(v01_CapsByProject*SUMPRODUCT((Cap_Point&lt;=I189)*(Cap_Kind="Food")*Cap_Ln))</x:f>
        <x:v>22</x:v>
      </x:c>
      <x:c r="K189" s="32" t="n">
        <x:f>J189*MIN(1,v01_LeanBase*EXP(v01_CapsByProject*SUMPRODUCT((Cap_Point&lt;=I189)*(Cap_Kind="Lean")*Cap_Ln)))</x:f>
        <x:v>22</x:v>
      </x:c>
      <x:c r="L189" s="10" t="n">
        <x:f>INDEX(v01_HousingCap,G189)*EXP(v01_CapsByProject*SUMPRODUCT((Cap_Point&lt;=I189)*(Cap_Kind="Housing")*Cap_Ln))</x:f>
        <x:v>60</x:v>
      </x:c>
      <x:c r="M189" s="10" t="n">
        <x:f>INDEX(v01_GroupCap,G189)*v01_CohesionFactor*EXP(v01_CapsByProject*SUMPRODUCT((Cap_Point&lt;=I189)*(Cap_Kind="Group")*Cap_Ln))</x:f>
        <x:v>35</x:v>
      </x:c>
      <x:c r="N189" s="32" t="n">
        <x:f>MIN(J189,L189,M189)</x:f>
        <x:v>22</x:v>
      </x:c>
      <x:c r="O189" s="10" t="n">
        <x:f>AE188*N189</x:f>
        <x:v>22</x:v>
      </x:c>
      <x:c r="P189" s="9" t="n">
        <x:f>MIN(1,(AB188/(AE188*IF(v01_GroupInCrowding=1,N189,MIN(J189,L189))))^v01_CrowdingExp)</x:f>
        <x:v>0.2398752012914754</x:v>
      </x:c>
      <x:c r="Q189" s="9" t="n">
        <x:f>IF(D189=1,INDEX(v01_WinterMult,G189),1)</x:f>
        <x:v>1</x:v>
      </x:c>
      <x:c r="R189" s="9" t="n">
        <x:f>H189*Z188*v01_WomenShare*v01_BaseFertility*INDEX(v01_FertMult,G189)*Arch_Fertility*(1-P189)</x:f>
        <x:v>0.1977693313554088</x:v>
      </x:c>
      <x:c r="S189" s="9" t="n">
        <x:f>H189*Y188*INDEX(v01_MortChild,G189)/4*Q189</x:f>
        <x:v>0.06506758705022754</x:v>
      </x:c>
      <x:c r="T189" s="9" t="n">
        <x:f>H189*Z188*INDEX(v01_MortAdult,G189)*Arch_AdultMort/4*Q189</x:f>
        <x:v>0.03252251006864679</x:v>
      </x:c>
      <x:c r="U189" s="9" t="n">
        <x:f>H189*AA188*INDEX(v01_MortElder,G189)/4*Q189</x:f>
        <x:v>0.0540520440986057</x:v>
      </x:c>
      <x:c r="V189" s="9" t="n">
        <x:f>H189*MAX(0,AB188-O189)*v01_OvercapLoss</x:f>
        <x:v>0</x:v>
      </x:c>
      <x:c r="W189" s="9" t="n">
        <x:f>H189*Y188/(v01_ChildYears*4)</x:f>
        <x:v>0.11619211973254918</x:v>
      </x:c>
      <x:c r="X189" s="9" t="n">
        <x:f>H189*Z188/(v01_AdultYears*4)</x:f>
        <x:v>0.06994088186805761</x:v>
      </x:c>
      <x:c r="Y189" s="32" t="n">
        <x:f>Y188+R189-S189-W189-Y188*V189/AB188</x:f>
        <x:v>6.523268329595386</x:v>
      </x:c>
      <x:c r="Z189" s="32" t="n">
        <x:f>Z188+W189-X189-T189-Z188*V189/AB188</x:f>
        <x:v>8.686398079434987</x:v>
      </x:c>
      <x:c r="AA189" s="32" t="n">
        <x:f>AA188+X189-U189-AA188*V189/AB188</x:f>
        <x:v>2.17797060171368</x:v>
      </x:c>
      <x:c r="AB189" s="10" t="n">
        <x:f>Y189+Z189+AA189</x:f>
        <x:v>17.38763701074405</x:v>
      </x:c>
      <x:c r="AC189" s="8" t="n">
        <x:f>IF(AND(v01_WinterTrigger=1,D189=1,AB188/AE188&gt;=K189),1,0)</x:f>
        <x:v>0</x:v>
      </x:c>
      <x:c r="AD189" s="8" t="n">
        <x:f>H189*IF(AND(OR(AB188/AE188&gt;=v01_FissionTrigger*N189,AC189=1),AB188/AE188*v01_DaughterShare&gt;=v01_MinDaughter),MAX(1,ROUND(AE188*v01_FissionRate,0)),0)</x:f>
        <x:v>0</x:v>
      </x:c>
      <x:c r="AE189" s="8" t="n">
        <x:f>IF(H189=1,MAX(1,MIN(INDEX(v01_Smax,G189),AE188+AD189)),AE188)</x:f>
        <x:v>1</x:v>
      </x:c>
      <x:c r="AF189" s="8" t="n">
        <x:f>MAX(0,AE189-AE188)</x:f>
        <x:v>0</x:v>
      </x:c>
      <x:c r="AG189" s="9" t="str">
        <x:f>IF(AF189&gt;0,B189,"")</x:f>
      </x:c>
      <x:c r="AH189" s="9" t="n">
        <x:f>IF(F189&gt;=1,1,(1+v01_LowTiesShare*(AE189-1))/AE189)</x:f>
        <x:v>1</x:v>
      </x:c>
      <x:c r="AI189" s="32" t="n">
        <x:f>(Z189+v01_ElderCommons*INDEX(LM_Elder,G189)*AA189)*AH189</x:f>
        <x:v>13.042339282862347</x:v>
      </x:c>
      <x:c r="AJ189" s="32" t="n">
        <x:f>H189*v01_CommonsCoef*AI189^v01_CommonsExp*INDEX(LM_Commons,G189)</x:f>
        <x:v>5.5834131186771145</x:v>
      </x:c>
      <x:c r="AK189" s="32" t="n">
        <x:f>H189*v01_RoleScale*Arch_Roles*(AE189*(INDEX(v01_ElderRolePerSett,G189)*v01_OutElder*INDEX(LM_Elder,G189)+INDEX(v01_ShamanPerSett,G189)*v01_OutShaman)+Z189*(INDEX(v01_PriestShare,G189)*v01_OutPriest+INDEX(v01_ScribeShare,G189)*v01_OutScribe*INDEX(LM_Scribe,G189)+INDEX(v01_ScholarShare,G189)*v01_OutScholar*INDEX(LM_Scholar,G189)+INDEX(v01_ResearcherShare,G189)*v01_OutResearcher*INDEX(LM_Researcher,G189)))</x:f>
        <x:v>0</x:v>
      </x:c>
      <x:c r="AL189" s="32" t="n">
        <x:f>H189*v01_RoleScale*Arch_Roles*AE189*INDEX(v01_MonasteryPerSett,G189)*v01_OutMonastery*INDEX(LM_Monastery,G189)</x:f>
        <x:v>0</x:v>
      </x:c>
      <x:c r="AM189" s="32" t="n">
        <x:f>(AJ189+AK189+AL189)/4*INDEX(LM_All,G189)*INDEX(v01_Boon,G189)*Arch_Insight</x:f>
        <x:v>1.3958532796692786</x:v>
      </x:c>
      <x:c r="AN189" s="32" t="n">
        <x:f>H189*(v01_KHPerAdult*Z189+v01_KHOfCommons*AJ189/4*INDEX(LM_All,G189))*v01_KHUsable*Arch_KH</x:f>
        <x:v>0.30402393278022455</x:v>
      </x:c>
      <x:c r="AO189" s="32" t="n">
        <x:f>MIN(AP188+AN189,AM189*v01_KHMaxRatio)</x:f>
        <x:v>0.30402393278022455</x:v>
      </x:c>
      <x:c r="AP189" s="32" t="n">
        <x:f>AP188+AN189-AO189</x:f>
        <x:v>0</x:v>
      </x:c>
      <x:c r="AQ189" s="32" t="n">
        <x:f>AM189+AO189</x:f>
        <x:v>1.6998772124495032</x:v>
      </x:c>
      <x:c r="AR189" s="10" t="n">
        <x:f>IF(H189=1,INDEX(v01_Req,G189),0)</x:f>
        <x:v>372.02</x:v>
      </x:c>
      <x:c r="AS189" s="32" t="n">
        <x:f>IF(H189=1,IF(E189=1,AS188-AR188,AS188)+AQ189,0)</x:f>
        <x:v>290.3761993175754</x:v>
      </x:c>
      <x:c r="AT189" s="11" t="n">
        <x:f>IF(AR189&gt;0,MIN(1,AS189/AR189),1)</x:f>
        <x:v>0.7805392164872196</x:v>
      </x:c>
      <x:c r="AU189" s="10" t="n">
        <x:f>AB189/INDEX(v01_RepScale,G189)</x:f>
        <x:v>17.38763701074405</x:v>
      </x:c>
      <x:c r="AV189" s="32" t="n">
        <x:f>AM189*60/v01_SeasonSeconds</x:f>
        <x:v>5.5834131186771145</x:v>
      </x:c>
    </x:row>
    <x:row r="190">
      <x:c r="A190" s="8" t="n">
        <x:f>A189+1</x:f>
        <x:v>187</x:v>
      </x:c>
      <x:c r="B190" s="9" t="n">
        <x:f>A190*v01_SeasonSeconds/60</x:f>
        <x:v>46.75</x:v>
      </x:c>
      <x:c r="C190" s="9" t="n">
        <x:f>A190/4</x:f>
        <x:v>46.75</x:v>
      </x:c>
      <x:c r="D190" s="8" t="n">
        <x:f>IF(MOD(A190,4)=0,1,0)</x:f>
        <x:v>0</x:v>
      </x:c>
      <x:c r="E190" s="8" t="n">
        <x:f>IF(AND(F189&lt;=9,AS189&gt;=AR189),1,0)</x:f>
        <x:v>0</x:v>
      </x:c>
      <x:c r="F190" s="8" t="n">
        <x:f>MIN(10,F189+E190)</x:f>
        <x:v>0</x:v>
      </x:c>
      <x:c r="G190" s="8" t="n">
        <x:f>MIN(F190,9)+1</x:f>
        <x:v>1</x:v>
      </x:c>
      <x:c r="H190" s="8" t="n">
        <x:f>IF(F190&lt;=9,1,0)</x:f>
        <x:v>1</x:v>
      </x:c>
      <x:c r="I190" s="9" t="n">
        <x:f>MIN(10,F189+IF(AR189&gt;0,MIN(1,AS189/AR189),1))</x:f>
        <x:v>0.7805392164872196</x:v>
      </x:c>
      <x:c r="J190" s="32" t="n">
        <x:f>INDEX(v01_FoodCap,G190)*Arch_FoodCap*EXP(v01_CapsByProject*SUMPRODUCT((Cap_Point&lt;=I190)*(Cap_Kind="Food")*Cap_Ln))</x:f>
        <x:v>22</x:v>
      </x:c>
      <x:c r="K190" s="32" t="n">
        <x:f>J190*MIN(1,v01_LeanBase*EXP(v01_CapsByProject*SUMPRODUCT((Cap_Point&lt;=I190)*(Cap_Kind="Lean")*Cap_Ln)))</x:f>
        <x:v>22</x:v>
      </x:c>
      <x:c r="L190" s="10" t="n">
        <x:f>INDEX(v01_HousingCap,G190)*EXP(v01_CapsByProject*SUMPRODUCT((Cap_Point&lt;=I190)*(Cap_Kind="Housing")*Cap_Ln))</x:f>
        <x:v>60</x:v>
      </x:c>
      <x:c r="M190" s="10" t="n">
        <x:f>INDEX(v01_GroupCap,G190)*v01_CohesionFactor*EXP(v01_CapsByProject*SUMPRODUCT((Cap_Point&lt;=I190)*(Cap_Kind="Group")*Cap_Ln))</x:f>
        <x:v>35</x:v>
      </x:c>
      <x:c r="N190" s="32" t="n">
        <x:f>MIN(J190,L190,M190)</x:f>
        <x:v>22</x:v>
      </x:c>
      <x:c r="O190" s="10" t="n">
        <x:f>AE189*N190</x:f>
        <x:v>22</x:v>
      </x:c>
      <x:c r="P190" s="9" t="n">
        <x:f>MIN(1,(AB189/(AE189*IF(v01_GroupInCrowding=1,N190,MIN(J190,L190))))^v01_CrowdingExp)</x:f>
        <x:v>0.2437290557827446</x:v>
      </x:c>
      <x:c r="Q190" s="9" t="n">
        <x:f>IF(D190=1,INDEX(v01_WinterMult,G190),1)</x:f>
        <x:v>1</x:v>
      </x:c>
      <x:c r="R190" s="9" t="n">
        <x:f>H190*Z189*v01_WomenShare*v01_BaseFertility*INDEX(v01_FertMult,G190)*Arch_Fertility*(1-P190)</x:f>
        <x:v>0.19707811432143754</x:v>
      </x:c>
      <x:c r="S190" s="9" t="n">
        <x:f>H190*Y189*INDEX(v01_MortChild,G190)/4*Q190</x:f>
        <x:v>0.06523268329595386</x:v>
      </x:c>
      <x:c r="T190" s="9" t="n">
        <x:f>H190*Z189*INDEX(v01_MortAdult,G190)*Arch_AdultMort/4*Q190</x:f>
        <x:v>0.0325739927978812</x:v>
      </x:c>
      <x:c r="U190" s="9" t="n">
        <x:f>H190*AA189*INDEX(v01_MortElder,G190)/4*Q190</x:f>
        <x:v>0.054449265042842004</x:v>
      </x:c>
      <x:c r="V190" s="9" t="n">
        <x:f>H190*MAX(0,AB189-O190)*v01_OvercapLoss</x:f>
        <x:v>0</x:v>
      </x:c>
      <x:c r="W190" s="9" t="n">
        <x:f>H190*Y189/(v01_ChildYears*4)</x:f>
        <x:v>0.11648693445706047</x:v>
      </x:c>
      <x:c r="X190" s="9" t="n">
        <x:f>H190*Z189/(v01_AdultYears*4)</x:f>
        <x:v>0.07005159741479829</x:v>
      </x:c>
      <x:c r="Y190" s="32" t="n">
        <x:f>Y189+R190-S190-W190-Y189*V190/AB189</x:f>
        <x:v>6.53862682616381</x:v>
      </x:c>
      <x:c r="Z190" s="32" t="n">
        <x:f>Z189+W190-X190-T190-Z189*V190/AB189</x:f>
        <x:v>8.70025942367937</x:v>
      </x:c>
      <x:c r="AA190" s="32" t="n">
        <x:f>AA189+X190-U190-AA189*V190/AB189</x:f>
        <x:v>2.1935729340856365</x:v>
      </x:c>
      <x:c r="AB190" s="10" t="n">
        <x:f>Y190+Z190+AA190</x:f>
        <x:v>17.432459183928817</x:v>
      </x:c>
      <x:c r="AC190" s="8" t="n">
        <x:f>IF(AND(v01_WinterTrigger=1,D190=1,AB189/AE189&gt;=K190),1,0)</x:f>
        <x:v>0</x:v>
      </x:c>
      <x:c r="AD190" s="8" t="n">
        <x:f>H190*IF(AND(OR(AB189/AE189&gt;=v01_FissionTrigger*N190,AC190=1),AB189/AE189*v01_DaughterShare&gt;=v01_MinDaughter),MAX(1,ROUND(AE189*v01_FissionRate,0)),0)</x:f>
        <x:v>0</x:v>
      </x:c>
      <x:c r="AE190" s="8" t="n">
        <x:f>IF(H190=1,MAX(1,MIN(INDEX(v01_Smax,G190),AE189+AD190)),AE189)</x:f>
        <x:v>1</x:v>
      </x:c>
      <x:c r="AF190" s="8" t="n">
        <x:f>MAX(0,AE190-AE189)</x:f>
        <x:v>0</x:v>
      </x:c>
      <x:c r="AG190" s="9" t="str">
        <x:f>IF(AF190&gt;0,B190,"")</x:f>
      </x:c>
      <x:c r="AH190" s="9" t="n">
        <x:f>IF(F190&gt;=1,1,(1+v01_LowTiesShare*(AE190-1))/AE190)</x:f>
        <x:v>1</x:v>
      </x:c>
      <x:c r="AI190" s="32" t="n">
        <x:f>(Z190+v01_ElderCommons*INDEX(LM_Elder,G190)*AA190)*AH190</x:f>
        <x:v>13.087405291850644</x:v>
      </x:c>
      <x:c r="AJ190" s="32" t="n">
        <x:f>H190*v01_CommonsCoef*AI190^v01_CommonsExp*INDEX(LM_Commons,G190)</x:f>
        <x:v>5.599807682980502</x:v>
      </x:c>
      <x:c r="AK190" s="32" t="n">
        <x:f>H190*v01_RoleScale*Arch_Roles*(AE190*(INDEX(v01_ElderRolePerSett,G190)*v01_OutElder*INDEX(LM_Elder,G190)+INDEX(v01_ShamanPerSett,G190)*v01_OutShaman)+Z190*(INDEX(v01_PriestShare,G190)*v01_OutPriest+INDEX(v01_ScribeShare,G190)*v01_OutScribe*INDEX(LM_Scribe,G190)+INDEX(v01_ScholarShare,G190)*v01_OutScholar*INDEX(LM_Scholar,G190)+INDEX(v01_ResearcherShare,G190)*v01_OutResearcher*INDEX(LM_Researcher,G190)))</x:f>
        <x:v>0</x:v>
      </x:c>
      <x:c r="AL190" s="32" t="n">
        <x:f>H190*v01_RoleScale*Arch_Roles*AE190*INDEX(v01_MonasteryPerSett,G190)*v01_OutMonastery*INDEX(LM_Monastery,G190)</x:f>
        <x:v>0</x:v>
      </x:c>
      <x:c r="AM190" s="32" t="n">
        <x:f>(AJ190+AK190+AL190)/4*INDEX(LM_All,G190)*INDEX(v01_Boon,G190)*Arch_Insight</x:f>
        <x:v>1.3999519207451254</x:v>
      </x:c>
      <x:c r="AN190" s="32" t="n">
        <x:f>H190*(v01_KHPerAdult*Z190+v01_KHOfCommons*AJ190/4*INDEX(LM_All,G190))*v01_KHUsable*Arch_KH</x:f>
        <x:v>0.30450907982877795</x:v>
      </x:c>
      <x:c r="AO190" s="32" t="n">
        <x:f>MIN(AP189+AN190,AM190*v01_KHMaxRatio)</x:f>
        <x:v>0.30450907982877795</x:v>
      </x:c>
      <x:c r="AP190" s="32" t="n">
        <x:f>AP189+AN190-AO190</x:f>
        <x:v>0</x:v>
      </x:c>
      <x:c r="AQ190" s="32" t="n">
        <x:f>AM190+AO190</x:f>
        <x:v>1.7044610005739034</x:v>
      </x:c>
      <x:c r="AR190" s="10" t="n">
        <x:f>IF(H190=1,INDEX(v01_Req,G190),0)</x:f>
        <x:v>372.02</x:v>
      </x:c>
      <x:c r="AS190" s="32" t="n">
        <x:f>IF(H190=1,IF(E190=1,AS189-AR189,AS189)+AQ190,0)</x:f>
        <x:v>292.08066031814934</x:v>
      </x:c>
      <x:c r="AT190" s="11" t="n">
        <x:f>IF(AR190&gt;0,MIN(1,AS190/AR190),1)</x:f>
        <x:v>0.7851208545727363</x:v>
      </x:c>
      <x:c r="AU190" s="10" t="n">
        <x:f>AB190/INDEX(v01_RepScale,G190)</x:f>
        <x:v>17.432459183928817</x:v>
      </x:c>
      <x:c r="AV190" s="32" t="n">
        <x:f>AM190*60/v01_SeasonSeconds</x:f>
        <x:v>5.599807682980502</x:v>
      </x:c>
    </x:row>
    <x:row r="191">
      <x:c r="A191" s="8" t="n">
        <x:f>A190+1</x:f>
        <x:v>188</x:v>
      </x:c>
      <x:c r="B191" s="9" t="n">
        <x:f>A191*v01_SeasonSeconds/60</x:f>
        <x:v>47</x:v>
      </x:c>
      <x:c r="C191" s="9" t="n">
        <x:f>A191/4</x:f>
        <x:v>47</x:v>
      </x:c>
      <x:c r="D191" s="8" t="n">
        <x:f>IF(MOD(A191,4)=0,1,0)</x:f>
        <x:v>1</x:v>
      </x:c>
      <x:c r="E191" s="8" t="n">
        <x:f>IF(AND(F190&lt;=9,AS190&gt;=AR190),1,0)</x:f>
        <x:v>0</x:v>
      </x:c>
      <x:c r="F191" s="8" t="n">
        <x:f>MIN(10,F190+E191)</x:f>
        <x:v>0</x:v>
      </x:c>
      <x:c r="G191" s="8" t="n">
        <x:f>MIN(F191,9)+1</x:f>
        <x:v>1</x:v>
      </x:c>
      <x:c r="H191" s="8" t="n">
        <x:f>IF(F191&lt;=9,1,0)</x:f>
        <x:v>1</x:v>
      </x:c>
      <x:c r="I191" s="9" t="n">
        <x:f>MIN(10,F190+IF(AR190&gt;0,MIN(1,AS190/AR190),1))</x:f>
        <x:v>0.7851208545727363</x:v>
      </x:c>
      <x:c r="J191" s="32" t="n">
        <x:f>INDEX(v01_FoodCap,G191)*Arch_FoodCap*EXP(v01_CapsByProject*SUMPRODUCT((Cap_Point&lt;=I191)*(Cap_Kind="Food")*Cap_Ln))</x:f>
        <x:v>22</x:v>
      </x:c>
      <x:c r="K191" s="32" t="n">
        <x:f>J191*MIN(1,v01_LeanBase*EXP(v01_CapsByProject*SUMPRODUCT((Cap_Point&lt;=I191)*(Cap_Kind="Lean")*Cap_Ln)))</x:f>
        <x:v>22</x:v>
      </x:c>
      <x:c r="L191" s="10" t="n">
        <x:f>INDEX(v01_HousingCap,G191)*EXP(v01_CapsByProject*SUMPRODUCT((Cap_Point&lt;=I191)*(Cap_Kind="Housing")*Cap_Ln))</x:f>
        <x:v>60</x:v>
      </x:c>
      <x:c r="M191" s="10" t="n">
        <x:f>INDEX(v01_GroupCap,G191)*v01_CohesionFactor*EXP(v01_CapsByProject*SUMPRODUCT((Cap_Point&lt;=I191)*(Cap_Kind="Group")*Cap_Ln))</x:f>
        <x:v>35</x:v>
      </x:c>
      <x:c r="N191" s="32" t="n">
        <x:f>MIN(J191,L191,M191)</x:f>
        <x:v>22</x:v>
      </x:c>
      <x:c r="O191" s="10" t="n">
        <x:f>AE190*N191</x:f>
        <x:v>22</x:v>
      </x:c>
      <x:c r="P191" s="9" t="n">
        <x:f>MIN(1,(AB190/(AE190*IF(v01_GroupInCrowding=1,N191,MIN(J191,L191))))^v01_CrowdingExp)</x:f>
        <x:v>0.2475231693657472</x:v>
      </x:c>
      <x:c r="Q191" s="9" t="n">
        <x:f>IF(D191=1,INDEX(v01_WinterMult,G191),1)</x:f>
        <x:v>2</x:v>
      </x:c>
      <x:c r="R191" s="9" t="n">
        <x:f>H191*Z190*v01_WomenShare*v01_BaseFertility*INDEX(v01_FertMult,G191)*Arch_Fertility*(1-P191)</x:f>
        <x:v>0.19640230910478132</x:v>
      </x:c>
      <x:c r="S191" s="9" t="n">
        <x:f>H191*Y190*INDEX(v01_MortChild,G191)/4*Q191</x:f>
        <x:v>0.1307725365232762</x:v>
      </x:c>
      <x:c r="T191" s="9" t="n">
        <x:f>H191*Z190*INDEX(v01_MortAdult,G191)*Arch_AdultMort/4*Q191</x:f>
        <x:v>0.06525194567759528</x:v>
      </x:c>
      <x:c r="U191" s="9" t="n">
        <x:f>H191*AA190*INDEX(v01_MortElder,G191)/4*Q191</x:f>
        <x:v>0.10967864670428183</x:v>
      </x:c>
      <x:c r="V191" s="9" t="n">
        <x:f>H191*MAX(0,AB190-O191)*v01_OvercapLoss</x:f>
        <x:v>0</x:v>
      </x:c>
      <x:c r="W191" s="9" t="n">
        <x:f>H191*Y190/(v01_ChildYears*4)</x:f>
        <x:v>0.11676119332435375</x:v>
      </x:c>
      <x:c r="X191" s="9" t="n">
        <x:f>H191*Z190/(v01_AdultYears*4)</x:f>
        <x:v>0.07016338244902717</x:v>
      </x:c>
      <x:c r="Y191" s="32" t="n">
        <x:f>Y190+R191-S191-W191-Y190*V191/AB190</x:f>
        <x:v>6.487495405420962</x:v>
      </x:c>
      <x:c r="Z191" s="32" t="n">
        <x:f>Z190+W191-X191-T191-Z190*V191/AB190</x:f>
        <x:v>8.681605288877101</x:v>
      </x:c>
      <x:c r="AA191" s="32" t="n">
        <x:f>AA190+X191-U191-AA190*V191/AB190</x:f>
        <x:v>2.1540576698303817</x:v>
      </x:c>
      <x:c r="AB191" s="10" t="n">
        <x:f>Y191+Z191+AA191</x:f>
        <x:v>17.323158364128446</x:v>
      </x:c>
      <x:c r="AC191" s="8" t="n">
        <x:f>IF(AND(v01_WinterTrigger=1,D191=1,AB190/AE190&gt;=K191),1,0)</x:f>
        <x:v>0</x:v>
      </x:c>
      <x:c r="AD191" s="8" t="n">
        <x:f>H191*IF(AND(OR(AB190/AE190&gt;=v01_FissionTrigger*N191,AC191=1),AB190/AE190*v01_DaughterShare&gt;=v01_MinDaughter),MAX(1,ROUND(AE190*v01_FissionRate,0)),0)</x:f>
        <x:v>0</x:v>
      </x:c>
      <x:c r="AE191" s="8" t="n">
        <x:f>IF(H191=1,MAX(1,MIN(INDEX(v01_Smax,G191),AE190+AD191)),AE190)</x:f>
        <x:v>1</x:v>
      </x:c>
      <x:c r="AF191" s="8" t="n">
        <x:f>MAX(0,AE191-AE190)</x:f>
        <x:v>0</x:v>
      </x:c>
      <x:c r="AG191" s="9" t="str">
        <x:f>IF(AF191&gt;0,B191,"")</x:f>
      </x:c>
      <x:c r="AH191" s="9" t="n">
        <x:f>IF(F191&gt;=1,1,(1+v01_LowTiesShare*(AE191-1))/AE191)</x:f>
        <x:v>1</x:v>
      </x:c>
      <x:c r="AI191" s="32" t="n">
        <x:f>(Z191+v01_ElderCommons*INDEX(LM_Elder,G191)*AA191)*AH191</x:f>
        <x:v>12.989720628537864</x:v>
      </x:c>
      <x:c r="AJ191" s="32" t="n">
        <x:f>H191*v01_CommonsCoef*AI191^v01_CommonsExp*INDEX(LM_Commons,G191)</x:f>
        <x:v>5.564260219346933</x:v>
      </x:c>
      <x:c r="AK191" s="32" t="n">
        <x:f>H191*v01_RoleScale*Arch_Roles*(AE191*(INDEX(v01_ElderRolePerSett,G191)*v01_OutElder*INDEX(LM_Elder,G191)+INDEX(v01_ShamanPerSett,G191)*v01_OutShaman)+Z191*(INDEX(v01_PriestShare,G191)*v01_OutPriest+INDEX(v01_ScribeShare,G191)*v01_OutScribe*INDEX(LM_Scribe,G191)+INDEX(v01_ScholarShare,G191)*v01_OutScholar*INDEX(LM_Scholar,G191)+INDEX(v01_ResearcherShare,G191)*v01_OutResearcher*INDEX(LM_Researcher,G191)))</x:f>
        <x:v>0</x:v>
      </x:c>
      <x:c r="AL191" s="32" t="n">
        <x:f>H191*v01_RoleScale*Arch_Roles*AE191*INDEX(v01_MonasteryPerSett,G191)*v01_OutMonastery*INDEX(LM_Monastery,G191)</x:f>
        <x:v>0</x:v>
      </x:c>
      <x:c r="AM191" s="32" t="n">
        <x:f>(AJ191+AK191+AL191)/4*INDEX(LM_All,G191)*INDEX(v01_Boon,G191)*Arch_Insight</x:f>
        <x:v>1.3910650548367332</x:v>
      </x:c>
      <x:c r="AN191" s="32" t="n">
        <x:f>H191*(v01_KHPerAdult*Z191+v01_KHOfCommons*AJ191/4*INDEX(LM_All,G191))*v01_KHUsable*Arch_KH</x:f>
        <x:v>0.3038561851106985</x:v>
      </x:c>
      <x:c r="AO191" s="32" t="n">
        <x:f>MIN(AP190+AN191,AM191*v01_KHMaxRatio)</x:f>
        <x:v>0.3038561851106985</x:v>
      </x:c>
      <x:c r="AP191" s="32" t="n">
        <x:f>AP190+AN191-AO191</x:f>
        <x:v>0</x:v>
      </x:c>
      <x:c r="AQ191" s="32" t="n">
        <x:f>AM191+AO191</x:f>
        <x:v>1.6949212399474316</x:v>
      </x:c>
      <x:c r="AR191" s="10" t="n">
        <x:f>IF(H191=1,INDEX(v01_Req,G191),0)</x:f>
        <x:v>372.02</x:v>
      </x:c>
      <x:c r="AS191" s="32" t="n">
        <x:f>IF(H191=1,IF(E191=1,AS190-AR190,AS190)+AQ191,0)</x:f>
        <x:v>293.77558155809675</x:v>
      </x:c>
      <x:c r="AT191" s="11" t="n">
        <x:f>IF(AR191&gt;0,MIN(1,AS191/AR191),1)</x:f>
        <x:v>0.7896768495191032</x:v>
      </x:c>
      <x:c r="AU191" s="10" t="n">
        <x:f>AB191/INDEX(v01_RepScale,G191)</x:f>
        <x:v>17.323158364128446</x:v>
      </x:c>
      <x:c r="AV191" s="32" t="n">
        <x:f>AM191*60/v01_SeasonSeconds</x:f>
        <x:v>5.564260219346933</x:v>
      </x:c>
    </x:row>
    <x:row r="192">
      <x:c r="A192" s="8" t="n">
        <x:f>A191+1</x:f>
        <x:v>189</x:v>
      </x:c>
      <x:c r="B192" s="9" t="n">
        <x:f>A192*v01_SeasonSeconds/60</x:f>
        <x:v>47.25</x:v>
      </x:c>
      <x:c r="C192" s="9" t="n">
        <x:f>A192/4</x:f>
        <x:v>47.25</x:v>
      </x:c>
      <x:c r="D192" s="8" t="n">
        <x:f>IF(MOD(A192,4)=0,1,0)</x:f>
        <x:v>0</x:v>
      </x:c>
      <x:c r="E192" s="8" t="n">
        <x:f>IF(AND(F191&lt;=9,AS191&gt;=AR191),1,0)</x:f>
        <x:v>0</x:v>
      </x:c>
      <x:c r="F192" s="8" t="n">
        <x:f>MIN(10,F191+E192)</x:f>
        <x:v>0</x:v>
      </x:c>
      <x:c r="G192" s="8" t="n">
        <x:f>MIN(F192,9)+1</x:f>
        <x:v>1</x:v>
      </x:c>
      <x:c r="H192" s="8" t="n">
        <x:f>IF(F192&lt;=9,1,0)</x:f>
        <x:v>1</x:v>
      </x:c>
      <x:c r="I192" s="9" t="n">
        <x:f>MIN(10,F191+IF(AR191&gt;0,MIN(1,AS191/AR191),1))</x:f>
        <x:v>0.7896768495191032</x:v>
      </x:c>
      <x:c r="J192" s="32" t="n">
        <x:f>INDEX(v01_FoodCap,G192)*Arch_FoodCap*EXP(v01_CapsByProject*SUMPRODUCT((Cap_Point&lt;=I192)*(Cap_Kind="Food")*Cap_Ln))</x:f>
        <x:v>22</x:v>
      </x:c>
      <x:c r="K192" s="32" t="n">
        <x:f>J192*MIN(1,v01_LeanBase*EXP(v01_CapsByProject*SUMPRODUCT((Cap_Point&lt;=I192)*(Cap_Kind="Lean")*Cap_Ln)))</x:f>
        <x:v>22</x:v>
      </x:c>
      <x:c r="L192" s="10" t="n">
        <x:f>INDEX(v01_HousingCap,G192)*EXP(v01_CapsByProject*SUMPRODUCT((Cap_Point&lt;=I192)*(Cap_Kind="Housing")*Cap_Ln))</x:f>
        <x:v>60</x:v>
      </x:c>
      <x:c r="M192" s="10" t="n">
        <x:f>INDEX(v01_GroupCap,G192)*v01_CohesionFactor*EXP(v01_CapsByProject*SUMPRODUCT((Cap_Point&lt;=I192)*(Cap_Kind="Group")*Cap_Ln))</x:f>
        <x:v>35</x:v>
      </x:c>
      <x:c r="N192" s="32" t="n">
        <x:f>MIN(J192,L192,M192)</x:f>
        <x:v>22</x:v>
      </x:c>
      <x:c r="O192" s="10" t="n">
        <x:f>AE191*N192</x:f>
        <x:v>22</x:v>
      </x:c>
      <x:c r="P192" s="9" t="n">
        <x:f>MIN(1,(AB191/(AE191*IF(v01_GroupInCrowding=1,N192,MIN(J192,L192))))^v01_CrowdingExp)</x:f>
        <x:v>0.23835615374332783</x:v>
      </x:c>
      <x:c r="Q192" s="9" t="n">
        <x:f>IF(D192=1,INDEX(v01_WinterMult,G192),1)</x:f>
        <x:v>1</x:v>
      </x:c>
      <x:c r="R192" s="9" t="n">
        <x:f>H192*Z191*v01_WomenShare*v01_BaseFertility*INDEX(v01_FertMult,G192)*Arch_Fertility*(1-P192)</x:f>
        <x:v>0.19836873731707869</x:v>
      </x:c>
      <x:c r="S192" s="9" t="n">
        <x:f>H192*Y191*INDEX(v01_MortChild,G192)/4*Q192</x:f>
        <x:v>0.06487495405420962</x:v>
      </x:c>
      <x:c r="T192" s="9" t="n">
        <x:f>H192*Z191*INDEX(v01_MortAdult,G192)*Arch_AdultMort/4*Q192</x:f>
        <x:v>0.03255601983328913</x:v>
      </x:c>
      <x:c r="U192" s="9" t="n">
        <x:f>H192*AA191*INDEX(v01_MortElder,G192)/4*Q192</x:f>
        <x:v>0.053851441745759544</x:v>
      </x:c>
      <x:c r="V192" s="9" t="n">
        <x:f>H192*MAX(0,AB191-O192)*v01_OvercapLoss</x:f>
        <x:v>0</x:v>
      </x:c>
      <x:c r="W192" s="9" t="n">
        <x:f>H192*Y191/(v01_ChildYears*4)</x:f>
        <x:v>0.11584813223966003</x:v>
      </x:c>
      <x:c r="X192" s="9" t="n">
        <x:f>H192*Z191/(v01_AdultYears*4)</x:f>
        <x:v>0.07001294587804113</x:v>
      </x:c>
      <x:c r="Y192" s="32" t="n">
        <x:f>Y191+R192-S192-W192-Y191*V192/AB191</x:f>
        <x:v>6.505141056444171</x:v>
      </x:c>
      <x:c r="Z192" s="32" t="n">
        <x:f>Z191+W192-X192-T192-Z191*V192/AB191</x:f>
        <x:v>8.694884455405433</x:v>
      </x:c>
      <x:c r="AA192" s="32" t="n">
        <x:f>AA191+X192-U192-AA191*V192/AB191</x:f>
        <x:v>2.1702191739626633</x:v>
      </x:c>
      <x:c r="AB192" s="10" t="n">
        <x:f>Y192+Z192+AA192</x:f>
        <x:v>17.370244685812267</x:v>
      </x:c>
      <x:c r="AC192" s="8" t="n">
        <x:f>IF(AND(v01_WinterTrigger=1,D192=1,AB191/AE191&gt;=K192),1,0)</x:f>
        <x:v>0</x:v>
      </x:c>
      <x:c r="AD192" s="8" t="n">
        <x:f>H192*IF(AND(OR(AB191/AE191&gt;=v01_FissionTrigger*N192,AC192=1),AB191/AE191*v01_DaughterShare&gt;=v01_MinDaughter),MAX(1,ROUND(AE191*v01_FissionRate,0)),0)</x:f>
        <x:v>0</x:v>
      </x:c>
      <x:c r="AE192" s="8" t="n">
        <x:f>IF(H192=1,MAX(1,MIN(INDEX(v01_Smax,G192),AE191+AD192)),AE191)</x:f>
        <x:v>1</x:v>
      </x:c>
      <x:c r="AF192" s="8" t="n">
        <x:f>MAX(0,AE192-AE191)</x:f>
        <x:v>0</x:v>
      </x:c>
      <x:c r="AG192" s="9" t="str">
        <x:f>IF(AF192&gt;0,B192,"")</x:f>
      </x:c>
      <x:c r="AH192" s="9" t="n">
        <x:f>IF(F192&gt;=1,1,(1+v01_LowTiesShare*(AE192-1))/AE192)</x:f>
        <x:v>1</x:v>
      </x:c>
      <x:c r="AI192" s="32" t="n">
        <x:f>(Z192+v01_ElderCommons*INDEX(LM_Elder,G192)*AA192)*AH192</x:f>
        <x:v>13.035322803330759</x:v>
      </x:c>
      <x:c r="AJ192" s="32" t="n">
        <x:f>H192*v01_CommonsCoef*AI192^v01_CommonsExp*INDEX(LM_Commons,G192)</x:f>
        <x:v>5.580859829622344</x:v>
      </x:c>
      <x:c r="AK192" s="32" t="n">
        <x:f>H192*v01_RoleScale*Arch_Roles*(AE192*(INDEX(v01_ElderRolePerSett,G192)*v01_OutElder*INDEX(LM_Elder,G192)+INDEX(v01_ShamanPerSett,G192)*v01_OutShaman)+Z192*(INDEX(v01_PriestShare,G192)*v01_OutPriest+INDEX(v01_ScribeShare,G192)*v01_OutScribe*INDEX(LM_Scribe,G192)+INDEX(v01_ScholarShare,G192)*v01_OutScholar*INDEX(LM_Scholar,G192)+INDEX(v01_ResearcherShare,G192)*v01_OutResearcher*INDEX(LM_Researcher,G192)))</x:f>
        <x:v>0</x:v>
      </x:c>
      <x:c r="AL192" s="32" t="n">
        <x:f>H192*v01_RoleScale*Arch_Roles*AE192*INDEX(v01_MonasteryPerSett,G192)*v01_OutMonastery*INDEX(LM_Monastery,G192)</x:f>
        <x:v>0</x:v>
      </x:c>
      <x:c r="AM192" s="32" t="n">
        <x:f>(AJ192+AK192+AL192)/4*INDEX(LM_All,G192)*INDEX(v01_Boon,G192)*Arch_Insight</x:f>
        <x:v>1.395214957405586</x:v>
      </x:c>
      <x:c r="AN192" s="32" t="n">
        <x:f>H192*(v01_KHPerAdult*Z192+v01_KHOfCommons*AJ192/4*INDEX(LM_All,G192))*v01_KHUsable*Arch_KH</x:f>
        <x:v>0.3043209559391901</x:v>
      </x:c>
      <x:c r="AO192" s="32" t="n">
        <x:f>MIN(AP191+AN192,AM192*v01_KHMaxRatio)</x:f>
        <x:v>0.3043209559391901</x:v>
      </x:c>
      <x:c r="AP192" s="32" t="n">
        <x:f>AP191+AN192-AO192</x:f>
        <x:v>0</x:v>
      </x:c>
      <x:c r="AQ192" s="32" t="n">
        <x:f>AM192+AO192</x:f>
        <x:v>1.6995359133447763</x:v>
      </x:c>
      <x:c r="AR192" s="10" t="n">
        <x:f>IF(H192=1,INDEX(v01_Req,G192),0)</x:f>
        <x:v>372.02</x:v>
      </x:c>
      <x:c r="AS192" s="32" t="n">
        <x:f>IF(H192=1,IF(E192=1,AS191-AR191,AS191)+AQ192,0)</x:f>
        <x:v>295.47511747144154</x:v>
      </x:c>
      <x:c r="AT192" s="11" t="n">
        <x:f>IF(AR192&gt;0,MIN(1,AS192/AR192),1)</x:f>
        <x:v>0.7942452488345829</x:v>
      </x:c>
      <x:c r="AU192" s="10" t="n">
        <x:f>AB192/INDEX(v01_RepScale,G192)</x:f>
        <x:v>17.370244685812267</x:v>
      </x:c>
      <x:c r="AV192" s="32" t="n">
        <x:f>AM192*60/v01_SeasonSeconds</x:f>
        <x:v>5.580859829622344</x:v>
      </x:c>
    </x:row>
    <x:row r="193">
      <x:c r="A193" s="8" t="n">
        <x:f>A192+1</x:f>
        <x:v>190</x:v>
      </x:c>
      <x:c r="B193" s="9" t="n">
        <x:f>A193*v01_SeasonSeconds/60</x:f>
        <x:v>47.5</x:v>
      </x:c>
      <x:c r="C193" s="9" t="n">
        <x:f>A193/4</x:f>
        <x:v>47.5</x:v>
      </x:c>
      <x:c r="D193" s="8" t="n">
        <x:f>IF(MOD(A193,4)=0,1,0)</x:f>
        <x:v>0</x:v>
      </x:c>
      <x:c r="E193" s="8" t="n">
        <x:f>IF(AND(F192&lt;=9,AS192&gt;=AR192),1,0)</x:f>
        <x:v>0</x:v>
      </x:c>
      <x:c r="F193" s="8" t="n">
        <x:f>MIN(10,F192+E193)</x:f>
        <x:v>0</x:v>
      </x:c>
      <x:c r="G193" s="8" t="n">
        <x:f>MIN(F193,9)+1</x:f>
        <x:v>1</x:v>
      </x:c>
      <x:c r="H193" s="8" t="n">
        <x:f>IF(F193&lt;=9,1,0)</x:f>
        <x:v>1</x:v>
      </x:c>
      <x:c r="I193" s="9" t="n">
        <x:f>MIN(10,F192+IF(AR192&gt;0,MIN(1,AS192/AR192),1))</x:f>
        <x:v>0.7942452488345829</x:v>
      </x:c>
      <x:c r="J193" s="32" t="n">
        <x:f>INDEX(v01_FoodCap,G193)*Arch_FoodCap*EXP(v01_CapsByProject*SUMPRODUCT((Cap_Point&lt;=I193)*(Cap_Kind="Food")*Cap_Ln))</x:f>
        <x:v>22</x:v>
      </x:c>
      <x:c r="K193" s="32" t="n">
        <x:f>J193*MIN(1,v01_LeanBase*EXP(v01_CapsByProject*SUMPRODUCT((Cap_Point&lt;=I193)*(Cap_Kind="Lean")*Cap_Ln)))</x:f>
        <x:v>22</x:v>
      </x:c>
      <x:c r="L193" s="10" t="n">
        <x:f>INDEX(v01_HousingCap,G193)*EXP(v01_CapsByProject*SUMPRODUCT((Cap_Point&lt;=I193)*(Cap_Kind="Housing")*Cap_Ln))</x:f>
        <x:v>60</x:v>
      </x:c>
      <x:c r="M193" s="10" t="n">
        <x:f>INDEX(v01_GroupCap,G193)*v01_CohesionFactor*EXP(v01_CapsByProject*SUMPRODUCT((Cap_Point&lt;=I193)*(Cap_Kind="Group")*Cap_Ln))</x:f>
        <x:v>35</x:v>
      </x:c>
      <x:c r="N193" s="32" t="n">
        <x:f>MIN(J193,L193,M193)</x:f>
        <x:v>22</x:v>
      </x:c>
      <x:c r="O193" s="10" t="n">
        <x:f>AE192*N193</x:f>
        <x:v>22</x:v>
      </x:c>
      <x:c r="P193" s="9" t="n">
        <x:f>MIN(1,(AB192/(AE192*IF(v01_GroupInCrowding=1,N193,MIN(J193,L193))))^v01_CrowdingExp)</x:f>
        <x:v>0.24226994020652723</x:v>
      </x:c>
      <x:c r="Q193" s="9" t="n">
        <x:f>IF(D193=1,INDEX(v01_WinterMult,G193),1)</x:f>
        <x:v>1</x:v>
      </x:c>
      <x:c r="R193" s="9" t="n">
        <x:f>H193*Z192*v01_WomenShare*v01_BaseFertility*INDEX(v01_FertMult,G193)*Arch_Fertility*(1-P193)</x:f>
        <x:v>0.19765125954875085</x:v>
      </x:c>
      <x:c r="S193" s="9" t="n">
        <x:f>H193*Y192*INDEX(v01_MortChild,G193)/4*Q193</x:f>
        <x:v>0.06505141056444172</x:v>
      </x:c>
      <x:c r="T193" s="9" t="n">
        <x:f>H193*Z192*INDEX(v01_MortAdult,G193)*Arch_AdultMort/4*Q193</x:f>
        <x:v>0.03260581670777037</x:v>
      </x:c>
      <x:c r="U193" s="9" t="n">
        <x:f>H193*AA192*INDEX(v01_MortElder,G193)/4*Q193</x:f>
        <x:v>0.054255479349066583</x:v>
      </x:c>
      <x:c r="V193" s="9" t="n">
        <x:f>H193*MAX(0,AB192-O193)*v01_OvercapLoss</x:f>
        <x:v>0</x:v>
      </x:c>
      <x:c r="W193" s="9" t="n">
        <x:f>H193*Y192/(v01_ChildYears*4)</x:f>
        <x:v>0.11616323315078877</x:v>
      </x:c>
      <x:c r="X193" s="9" t="n">
        <x:f>H193*Z192/(v01_AdultYears*4)</x:f>
        <x:v>0.07012003593068897</x:v>
      </x:c>
      <x:c r="Y193" s="32" t="n">
        <x:f>Y192+R193-S193-W193-Y192*V193/AB192</x:f>
        <x:v>6.521577672277692</x:v>
      </x:c>
      <x:c r="Z193" s="32" t="n">
        <x:f>Z192+W193-X193-T193-Z192*V193/AB192</x:f>
        <x:v>8.708321835917763</x:v>
      </x:c>
      <x:c r="AA193" s="32" t="n">
        <x:f>AA192+X193-U193-AA192*V193/AB192</x:f>
        <x:v>2.1860837305442855</x:v>
      </x:c>
      <x:c r="AB193" s="10" t="n">
        <x:f>Y193+Z193+AA193</x:f>
        <x:v>17.41598323873974</x:v>
      </x:c>
      <x:c r="AC193" s="8" t="n">
        <x:f>IF(AND(v01_WinterTrigger=1,D193=1,AB192/AE192&gt;=K193),1,0)</x:f>
        <x:v>0</x:v>
      </x:c>
      <x:c r="AD193" s="8" t="n">
        <x:f>H193*IF(AND(OR(AB192/AE192&gt;=v01_FissionTrigger*N193,AC193=1),AB192/AE192*v01_DaughterShare&gt;=v01_MinDaughter),MAX(1,ROUND(AE192*v01_FissionRate,0)),0)</x:f>
        <x:v>0</x:v>
      </x:c>
      <x:c r="AE193" s="8" t="n">
        <x:f>IF(H193=1,MAX(1,MIN(INDEX(v01_Smax,G193),AE192+AD193)),AE192)</x:f>
        <x:v>1</x:v>
      </x:c>
      <x:c r="AF193" s="8" t="n">
        <x:f>MAX(0,AE193-AE192)</x:f>
        <x:v>0</x:v>
      </x:c>
      <x:c r="AG193" s="9" t="str">
        <x:f>IF(AF193&gt;0,B193,"")</x:f>
      </x:c>
      <x:c r="AH193" s="9" t="n">
        <x:f>IF(F193&gt;=1,1,(1+v01_LowTiesShare*(AE193-1))/AE193)</x:f>
        <x:v>1</x:v>
      </x:c>
      <x:c r="AI193" s="32" t="n">
        <x:f>(Z193+v01_ElderCommons*INDEX(LM_Elder,G193)*AA193)*AH193</x:f>
        <x:v>13.080489297006334</x:v>
      </x:c>
      <x:c r="AJ193" s="32" t="n">
        <x:f>H193*v01_CommonsCoef*AI193^v01_CommonsExp*INDEX(LM_Commons,G193)</x:f>
        <x:v>5.597292263832826</x:v>
      </x:c>
      <x:c r="AK193" s="32" t="n">
        <x:f>H193*v01_RoleScale*Arch_Roles*(AE193*(INDEX(v01_ElderRolePerSett,G193)*v01_OutElder*INDEX(LM_Elder,G193)+INDEX(v01_ShamanPerSett,G193)*v01_OutShaman)+Z193*(INDEX(v01_PriestShare,G193)*v01_OutPriest+INDEX(v01_ScribeShare,G193)*v01_OutScribe*INDEX(LM_Scribe,G193)+INDEX(v01_ScholarShare,G193)*v01_OutScholar*INDEX(LM_Scholar,G193)+INDEX(v01_ResearcherShare,G193)*v01_OutResearcher*INDEX(LM_Researcher,G193)))</x:f>
        <x:v>0</x:v>
      </x:c>
      <x:c r="AL193" s="32" t="n">
        <x:f>H193*v01_RoleScale*Arch_Roles*AE193*INDEX(v01_MonasteryPerSett,G193)*v01_OutMonastery*INDEX(LM_Monastery,G193)</x:f>
        <x:v>0</x:v>
      </x:c>
      <x:c r="AM193" s="32" t="n">
        <x:f>(AJ193+AK193+AL193)/4*INDEX(LM_All,G193)*INDEX(v01_Boon,G193)*Arch_Insight</x:f>
        <x:v>1.3993230659582065</x:v>
      </x:c>
      <x:c r="AN193" s="32" t="n">
        <x:f>H193*(v01_KHPerAdult*Z193+v01_KHOfCommons*AJ193/4*INDEX(LM_All,G193))*v01_KHUsable*Arch_KH</x:f>
        <x:v>0.3047912642571217</x:v>
      </x:c>
      <x:c r="AO193" s="32" t="n">
        <x:f>MIN(AP192+AN193,AM193*v01_KHMaxRatio)</x:f>
        <x:v>0.3047912642571217</x:v>
      </x:c>
      <x:c r="AP193" s="32" t="n">
        <x:f>AP192+AN193-AO193</x:f>
        <x:v>0</x:v>
      </x:c>
      <x:c r="AQ193" s="32" t="n">
        <x:f>AM193+AO193</x:f>
        <x:v>1.7041143302153283</x:v>
      </x:c>
      <x:c r="AR193" s="10" t="n">
        <x:f>IF(H193=1,INDEX(v01_Req,G193),0)</x:f>
        <x:v>372.02</x:v>
      </x:c>
      <x:c r="AS193" s="32" t="n">
        <x:f>IF(H193=1,IF(E193=1,AS192-AR192,AS192)+AQ193,0)</x:f>
        <x:v>297.17923180165684</x:v>
      </x:c>
      <x:c r="AT193" s="11" t="n">
        <x:f>IF(AR193&gt;0,MIN(1,AS193/AR193),1)</x:f>
        <x:v>0.7988259550606335</x:v>
      </x:c>
      <x:c r="AU193" s="10" t="n">
        <x:f>AB193/INDEX(v01_RepScale,G193)</x:f>
        <x:v>17.41598323873974</x:v>
      </x:c>
      <x:c r="AV193" s="32" t="n">
        <x:f>AM193*60/v01_SeasonSeconds</x:f>
        <x:v>5.597292263832826</x:v>
      </x:c>
    </x:row>
    <x:row r="194">
      <x:c r="A194" s="8" t="n">
        <x:f>A193+1</x:f>
        <x:v>191</x:v>
      </x:c>
      <x:c r="B194" s="9" t="n">
        <x:f>A194*v01_SeasonSeconds/60</x:f>
        <x:v>47.75</x:v>
      </x:c>
      <x:c r="C194" s="9" t="n">
        <x:f>A194/4</x:f>
        <x:v>47.75</x:v>
      </x:c>
      <x:c r="D194" s="8" t="n">
        <x:f>IF(MOD(A194,4)=0,1,0)</x:f>
        <x:v>0</x:v>
      </x:c>
      <x:c r="E194" s="8" t="n">
        <x:f>IF(AND(F193&lt;=9,AS193&gt;=AR193),1,0)</x:f>
        <x:v>0</x:v>
      </x:c>
      <x:c r="F194" s="8" t="n">
        <x:f>MIN(10,F193+E194)</x:f>
        <x:v>0</x:v>
      </x:c>
      <x:c r="G194" s="8" t="n">
        <x:f>MIN(F194,9)+1</x:f>
        <x:v>1</x:v>
      </x:c>
      <x:c r="H194" s="8" t="n">
        <x:f>IF(F194&lt;=9,1,0)</x:f>
        <x:v>1</x:v>
      </x:c>
      <x:c r="I194" s="9" t="n">
        <x:f>MIN(10,F193+IF(AR193&gt;0,MIN(1,AS193/AR193),1))</x:f>
        <x:v>0.7988259550606335</x:v>
      </x:c>
      <x:c r="J194" s="32" t="n">
        <x:f>INDEX(v01_FoodCap,G194)*Arch_FoodCap*EXP(v01_CapsByProject*SUMPRODUCT((Cap_Point&lt;=I194)*(Cap_Kind="Food")*Cap_Ln))</x:f>
        <x:v>22</x:v>
      </x:c>
      <x:c r="K194" s="32" t="n">
        <x:f>J194*MIN(1,v01_LeanBase*EXP(v01_CapsByProject*SUMPRODUCT((Cap_Point&lt;=I194)*(Cap_Kind="Lean")*Cap_Ln)))</x:f>
        <x:v>22</x:v>
      </x:c>
      <x:c r="L194" s="10" t="n">
        <x:f>INDEX(v01_HousingCap,G194)*EXP(v01_CapsByProject*SUMPRODUCT((Cap_Point&lt;=I194)*(Cap_Kind="Housing")*Cap_Ln))</x:f>
        <x:v>60</x:v>
      </x:c>
      <x:c r="M194" s="10" t="n">
        <x:f>INDEX(v01_GroupCap,G194)*v01_CohesionFactor*EXP(v01_CapsByProject*SUMPRODUCT((Cap_Point&lt;=I194)*(Cap_Kind="Group")*Cap_Ln))</x:f>
        <x:v>35</x:v>
      </x:c>
      <x:c r="N194" s="32" t="n">
        <x:f>MIN(J194,L194,M194)</x:f>
        <x:v>22</x:v>
      </x:c>
      <x:c r="O194" s="10" t="n">
        <x:f>AE193*N194</x:f>
        <x:v>22</x:v>
      </x:c>
      <x:c r="P194" s="9" t="n">
        <x:f>MIN(1,(AB193/(AE193*IF(v01_GroupInCrowding=1,N194,MIN(J194,L194))))^v01_CrowdingExp)</x:f>
        <x:v>0.2461228319014537</x:v>
      </x:c>
      <x:c r="Q194" s="9" t="n">
        <x:f>IF(D194=1,INDEX(v01_WinterMult,G194),1)</x:f>
        <x:v>1</x:v>
      </x:c>
      <x:c r="R194" s="9" t="n">
        <x:f>H194*Z193*v01_WomenShare*v01_BaseFertility*INDEX(v01_FertMult,G194)*Arch_Fertility*(1-P194)</x:f>
        <x:v>0.19695015013657252</x:v>
      </x:c>
      <x:c r="S194" s="9" t="n">
        <x:f>H194*Y193*INDEX(v01_MortChild,G194)/4*Q194</x:f>
        <x:v>0.06521577672277692</x:v>
      </x:c>
      <x:c r="T194" s="9" t="n">
        <x:f>H194*Z193*INDEX(v01_MortAdult,G194)*Arch_AdultMort/4*Q194</x:f>
        <x:v>0.03265620688469161</x:v>
      </x:c>
      <x:c r="U194" s="9" t="n">
        <x:f>H194*AA193*INDEX(v01_MortElder,G194)/4*Q194</x:f>
        <x:v>0.05465209326360714</x:v>
      </x:c>
      <x:c r="V194" s="9" t="n">
        <x:f>H194*MAX(0,AB193-O194)*v01_OvercapLoss</x:f>
        <x:v>0</x:v>
      </x:c>
      <x:c r="W194" s="9" t="n">
        <x:f>H194*Y193/(v01_ChildYears*4)</x:f>
        <x:v>0.11645674414781593</x:v>
      </x:c>
      <x:c r="X194" s="9" t="n">
        <x:f>H194*Z193/(v01_AdultYears*4)</x:f>
        <x:v>0.0702284019025626</x:v>
      </x:c>
      <x:c r="Y194" s="32" t="n">
        <x:f>Y193+R194-S194-W194-Y193*V194/AB193</x:f>
        <x:v>6.536855301543672</x:v>
      </x:c>
      <x:c r="Z194" s="32" t="n">
        <x:f>Z193+W194-X194-T194-Z193*V194/AB193</x:f>
        <x:v>8.721893971278325</x:v>
      </x:c>
      <x:c r="AA194" s="32" t="n">
        <x:f>AA193+X194-U194-AA193*V194/AB193</x:f>
        <x:v>2.201660039183241</x:v>
      </x:c>
      <x:c r="AB194" s="10" t="n">
        <x:f>Y194+Z194+AA194</x:f>
        <x:v>17.46040931200524</x:v>
      </x:c>
      <x:c r="AC194" s="8" t="n">
        <x:f>IF(AND(v01_WinterTrigger=1,D194=1,AB193/AE193&gt;=K194),1,0)</x:f>
        <x:v>0</x:v>
      </x:c>
      <x:c r="AD194" s="8" t="n">
        <x:f>H194*IF(AND(OR(AB193/AE193&gt;=v01_FissionTrigger*N194,AC194=1),AB193/AE193*v01_DaughterShare&gt;=v01_MinDaughter),MAX(1,ROUND(AE193*v01_FissionRate,0)),0)</x:f>
        <x:v>0</x:v>
      </x:c>
      <x:c r="AE194" s="8" t="n">
        <x:f>IF(H194=1,MAX(1,MIN(INDEX(v01_Smax,G194),AE193+AD194)),AE193)</x:f>
        <x:v>1</x:v>
      </x:c>
      <x:c r="AF194" s="8" t="n">
        <x:f>MAX(0,AE194-AE193)</x:f>
        <x:v>0</x:v>
      </x:c>
      <x:c r="AG194" s="9" t="str">
        <x:f>IF(AF194&gt;0,B194,"")</x:f>
      </x:c>
      <x:c r="AH194" s="9" t="n">
        <x:f>IF(F194&gt;=1,1,(1+v01_LowTiesShare*(AE194-1))/AE194)</x:f>
        <x:v>1</x:v>
      </x:c>
      <x:c r="AI194" s="32" t="n">
        <x:f>(Z194+v01_ElderCommons*INDEX(LM_Elder,G194)*AA194)*AH194</x:f>
        <x:v>13.125214049644807</x:v>
      </x:c>
      <x:c r="AJ194" s="32" t="n">
        <x:f>H194*v01_CommonsCoef*AI194^v01_CommonsExp*INDEX(LM_Commons,G194)</x:f>
        <x:v>5.613555599608144</x:v>
      </x:c>
      <x:c r="AK194" s="32" t="n">
        <x:f>H194*v01_RoleScale*Arch_Roles*(AE194*(INDEX(v01_ElderRolePerSett,G194)*v01_OutElder*INDEX(LM_Elder,G194)+INDEX(v01_ShamanPerSett,G194)*v01_OutShaman)+Z194*(INDEX(v01_PriestShare,G194)*v01_OutPriest+INDEX(v01_ScribeShare,G194)*v01_OutScribe*INDEX(LM_Scribe,G194)+INDEX(v01_ScholarShare,G194)*v01_OutScholar*INDEX(LM_Scholar,G194)+INDEX(v01_ResearcherShare,G194)*v01_OutResearcher*INDEX(LM_Researcher,G194)))</x:f>
        <x:v>0</x:v>
      </x:c>
      <x:c r="AL194" s="32" t="n">
        <x:f>H194*v01_RoleScale*Arch_Roles*AE194*INDEX(v01_MonasteryPerSett,G194)*v01_OutMonastery*INDEX(LM_Monastery,G194)</x:f>
        <x:v>0</x:v>
      </x:c>
      <x:c r="AM194" s="32" t="n">
        <x:f>(AJ194+AK194+AL194)/4*INDEX(LM_All,G194)*INDEX(v01_Boon,G194)*Arch_Insight</x:f>
        <x:v>1.403388899902036</x:v>
      </x:c>
      <x:c r="AN194" s="32" t="n">
        <x:f>H194*(v01_KHPerAdult*Z194+v01_KHOfCommons*AJ194/4*INDEX(LM_All,G194))*v01_KHUsable*Arch_KH</x:f>
        <x:v>0.30526628899474134</x:v>
      </x:c>
      <x:c r="AO194" s="32" t="n">
        <x:f>MIN(AP193+AN194,AM194*v01_KHMaxRatio)</x:f>
        <x:v>0.30526628899474134</x:v>
      </x:c>
      <x:c r="AP194" s="32" t="n">
        <x:f>AP193+AN194-AO194</x:f>
        <x:v>0</x:v>
      </x:c>
      <x:c r="AQ194" s="32" t="n">
        <x:f>AM194+AO194</x:f>
        <x:v>1.7086551888967774</x:v>
      </x:c>
      <x:c r="AR194" s="10" t="n">
        <x:f>IF(H194=1,INDEX(v01_Req,G194),0)</x:f>
        <x:v>372.02</x:v>
      </x:c>
      <x:c r="AS194" s="32" t="n">
        <x:f>IF(H194=1,IF(E194=1,AS193-AR193,AS193)+AQ194,0)</x:f>
        <x:v>298.8878869905536</x:v>
      </x:c>
      <x:c r="AT194" s="11" t="n">
        <x:f>IF(AR194&gt;0,MIN(1,AS194/AR194),1)</x:f>
        <x:v>0.8034188672398087</x:v>
      </x:c>
      <x:c r="AU194" s="10" t="n">
        <x:f>AB194/INDEX(v01_RepScale,G194)</x:f>
        <x:v>17.46040931200524</x:v>
      </x:c>
      <x:c r="AV194" s="32" t="n">
        <x:f>AM194*60/v01_SeasonSeconds</x:f>
        <x:v>5.613555599608144</x:v>
      </x:c>
    </x:row>
    <x:row r="195">
      <x:c r="A195" s="8" t="n">
        <x:f>A194+1</x:f>
        <x:v>192</x:v>
      </x:c>
      <x:c r="B195" s="9" t="n">
        <x:f>A195*v01_SeasonSeconds/60</x:f>
        <x:v>48</x:v>
      </x:c>
      <x:c r="C195" s="9" t="n">
        <x:f>A195/4</x:f>
        <x:v>48</x:v>
      </x:c>
      <x:c r="D195" s="8" t="n">
        <x:f>IF(MOD(A195,4)=0,1,0)</x:f>
        <x:v>1</x:v>
      </x:c>
      <x:c r="E195" s="8" t="n">
        <x:f>IF(AND(F194&lt;=9,AS194&gt;=AR194),1,0)</x:f>
        <x:v>0</x:v>
      </x:c>
      <x:c r="F195" s="8" t="n">
        <x:f>MIN(10,F194+E195)</x:f>
        <x:v>0</x:v>
      </x:c>
      <x:c r="G195" s="8" t="n">
        <x:f>MIN(F195,9)+1</x:f>
        <x:v>1</x:v>
      </x:c>
      <x:c r="H195" s="8" t="n">
        <x:f>IF(F195&lt;=9,1,0)</x:f>
        <x:v>1</x:v>
      </x:c>
      <x:c r="I195" s="9" t="n">
        <x:f>MIN(10,F194+IF(AR194&gt;0,MIN(1,AS194/AR194),1))</x:f>
        <x:v>0.8034188672398087</x:v>
      </x:c>
      <x:c r="J195" s="32" t="n">
        <x:f>INDEX(v01_FoodCap,G195)*Arch_FoodCap*EXP(v01_CapsByProject*SUMPRODUCT((Cap_Point&lt;=I195)*(Cap_Kind="Food")*Cap_Ln))</x:f>
        <x:v>22</x:v>
      </x:c>
      <x:c r="K195" s="32" t="n">
        <x:f>J195*MIN(1,v01_LeanBase*EXP(v01_CapsByProject*SUMPRODUCT((Cap_Point&lt;=I195)*(Cap_Kind="Lean")*Cap_Ln)))</x:f>
        <x:v>22</x:v>
      </x:c>
      <x:c r="L195" s="10" t="n">
        <x:f>INDEX(v01_HousingCap,G195)*EXP(v01_CapsByProject*SUMPRODUCT((Cap_Point&lt;=I195)*(Cap_Kind="Housing")*Cap_Ln))</x:f>
        <x:v>60</x:v>
      </x:c>
      <x:c r="M195" s="10" t="n">
        <x:f>INDEX(v01_GroupCap,G195)*v01_CohesionFactor*EXP(v01_CapsByProject*SUMPRODUCT((Cap_Point&lt;=I195)*(Cap_Kind="Group")*Cap_Ln))</x:f>
        <x:v>35</x:v>
      </x:c>
      <x:c r="N195" s="32" t="n">
        <x:f>MIN(J195,L195,M195)</x:f>
        <x:v>22</x:v>
      </x:c>
      <x:c r="O195" s="10" t="n">
        <x:f>AE194*N195</x:f>
        <x:v>22</x:v>
      </x:c>
      <x:c r="P195" s="9" t="n">
        <x:f>MIN(1,(AB194/(AE194*IF(v01_GroupInCrowding=1,N195,MIN(J195,L195))))^v01_CrowdingExp)</x:f>
        <x:v>0.2499139145339511</x:v>
      </x:c>
      <x:c r="Q195" s="9" t="n">
        <x:f>IF(D195=1,INDEX(v01_WinterMult,G195),1)</x:f>
        <x:v>2</x:v>
      </x:c>
      <x:c r="R195" s="9" t="n">
        <x:f>H195*Z194*v01_WomenShare*v01_BaseFertility*INDEX(v01_FertMult,G195)*Arch_Fertility*(1-P195)</x:f>
        <x:v>0.19626513920298272</x:v>
      </x:c>
      <x:c r="S195" s="9" t="n">
        <x:f>H195*Y194*INDEX(v01_MortChild,G195)/4*Q195</x:f>
        <x:v>0.13073710603087343</x:v>
      </x:c>
      <x:c r="T195" s="9" t="n">
        <x:f>H195*Z194*INDEX(v01_MortAdult,G195)*Arch_AdultMort/4*Q195</x:f>
        <x:v>0.06541420478458744</x:v>
      </x:c>
      <x:c r="U195" s="9" t="n">
        <x:f>H195*AA194*INDEX(v01_MortElder,G195)/4*Q195</x:f>
        <x:v>0.11008300195916206</x:v>
      </x:c>
      <x:c r="V195" s="9" t="n">
        <x:f>H195*MAX(0,AB194-O195)*v01_OvercapLoss</x:f>
        <x:v>0</x:v>
      </x:c>
      <x:c r="W195" s="9" t="n">
        <x:f>H195*Y194/(v01_ChildYears*4)</x:f>
        <x:v>0.116729558956137</x:v>
      </x:c>
      <x:c r="X195" s="9" t="n">
        <x:f>H195*Z194/(v01_AdultYears*4)</x:f>
        <x:v>0.07033785460708326</x:v>
      </x:c>
      <x:c r="Y195" s="32" t="n">
        <x:f>Y194+R195-S195-W195-Y194*V195/AB194</x:f>
        <x:v>6.485653775759644</x:v>
      </x:c>
      <x:c r="Z195" s="32" t="n">
        <x:f>Z194+W195-X195-T195-Z194*V195/AB194</x:f>
        <x:v>8.70287147084279</x:v>
      </x:c>
      <x:c r="AA195" s="32" t="n">
        <x:f>AA194+X195-U195-AA194*V195/AB194</x:f>
        <x:v>2.161914891831162</x:v>
      </x:c>
      <x:c r="AB195" s="10" t="n">
        <x:f>Y195+Z195+AA195</x:f>
        <x:v>17.350440138433598</x:v>
      </x:c>
      <x:c r="AC195" s="8" t="n">
        <x:f>IF(AND(v01_WinterTrigger=1,D195=1,AB194/AE194&gt;=K195),1,0)</x:f>
        <x:v>0</x:v>
      </x:c>
      <x:c r="AD195" s="8" t="n">
        <x:f>H195*IF(AND(OR(AB194/AE194&gt;=v01_FissionTrigger*N195,AC195=1),AB194/AE194*v01_DaughterShare&gt;=v01_MinDaughter),MAX(1,ROUND(AE194*v01_FissionRate,0)),0)</x:f>
        <x:v>0</x:v>
      </x:c>
      <x:c r="AE195" s="8" t="n">
        <x:f>IF(H195=1,MAX(1,MIN(INDEX(v01_Smax,G195),AE194+AD195)),AE194)</x:f>
        <x:v>1</x:v>
      </x:c>
      <x:c r="AF195" s="8" t="n">
        <x:f>MAX(0,AE195-AE194)</x:f>
        <x:v>0</x:v>
      </x:c>
      <x:c r="AG195" s="9" t="str">
        <x:f>IF(AF195&gt;0,B195,"")</x:f>
      </x:c>
      <x:c r="AH195" s="9" t="n">
        <x:f>IF(F195&gt;=1,1,(1+v01_LowTiesShare*(AE195-1))/AE195)</x:f>
        <x:v>1</x:v>
      </x:c>
      <x:c r="AI195" s="32" t="n">
        <x:f>(Z195+v01_ElderCommons*INDEX(LM_Elder,G195)*AA195)*AH195</x:f>
        <x:v>13.026701254505115</x:v>
      </x:c>
      <x:c r="AJ195" s="32" t="n">
        <x:f>H195*v01_CommonsCoef*AI195^v01_CommonsExp*INDEX(LM_Commons,G195)</x:f>
        <x:v>5.57772217533694</x:v>
      </x:c>
      <x:c r="AK195" s="32" t="n">
        <x:f>H195*v01_RoleScale*Arch_Roles*(AE195*(INDEX(v01_ElderRolePerSett,G195)*v01_OutElder*INDEX(LM_Elder,G195)+INDEX(v01_ShamanPerSett,G195)*v01_OutShaman)+Z195*(INDEX(v01_PriestShare,G195)*v01_OutPriest+INDEX(v01_ScribeShare,G195)*v01_OutScribe*INDEX(LM_Scribe,G195)+INDEX(v01_ScholarShare,G195)*v01_OutScholar*INDEX(LM_Scholar,G195)+INDEX(v01_ResearcherShare,G195)*v01_OutResearcher*INDEX(LM_Researcher,G195)))</x:f>
        <x:v>0</x:v>
      </x:c>
      <x:c r="AL195" s="32" t="n">
        <x:f>H195*v01_RoleScale*Arch_Roles*AE195*INDEX(v01_MonasteryPerSett,G195)*v01_OutMonastery*INDEX(LM_Monastery,G195)</x:f>
        <x:v>0</x:v>
      </x:c>
      <x:c r="AM195" s="32" t="n">
        <x:f>(AJ195+AK195+AL195)/4*INDEX(LM_All,G195)*INDEX(v01_Boon,G195)*Arch_Insight</x:f>
        <x:v>1.394430543834235</x:v>
      </x:c>
      <x:c r="AN195" s="32" t="n">
        <x:f>H195*(v01_KHPerAdult*Z195+v01_KHOfCommons*AJ195/4*INDEX(LM_All,G195))*v01_KHUsable*Arch_KH</x:f>
        <x:v>0.3046005014794977</x:v>
      </x:c>
      <x:c r="AO195" s="32" t="n">
        <x:f>MIN(AP194+AN195,AM195*v01_KHMaxRatio)</x:f>
        <x:v>0.3046005014794977</x:v>
      </x:c>
      <x:c r="AP195" s="32" t="n">
        <x:f>AP194+AN195-AO195</x:f>
        <x:v>0</x:v>
      </x:c>
      <x:c r="AQ195" s="32" t="n">
        <x:f>AM195+AO195</x:f>
        <x:v>1.6990310453137327</x:v>
      </x:c>
      <x:c r="AR195" s="10" t="n">
        <x:f>IF(H195=1,INDEX(v01_Req,G195),0)</x:f>
        <x:v>372.02</x:v>
      </x:c>
      <x:c r="AS195" s="32" t="n">
        <x:f>IF(H195=1,IF(E195=1,AS194-AR194,AS194)+AQ195,0)</x:f>
        <x:v>300.58691803586737</x:v>
      </x:c>
      <x:c r="AT195" s="11" t="n">
        <x:f>IF(AR195&gt;0,MIN(1,AS195/AR195),1)</x:f>
        <x:v>0.8079859094561244</x:v>
      </x:c>
      <x:c r="AU195" s="10" t="n">
        <x:f>AB195/INDEX(v01_RepScale,G195)</x:f>
        <x:v>17.350440138433598</x:v>
      </x:c>
      <x:c r="AV195" s="32" t="n">
        <x:f>AM195*60/v01_SeasonSeconds</x:f>
        <x:v>5.57772217533694</x:v>
      </x:c>
    </x:row>
    <x:row r="196">
      <x:c r="A196" s="8" t="n">
        <x:f>A195+1</x:f>
        <x:v>193</x:v>
      </x:c>
      <x:c r="B196" s="9" t="n">
        <x:f>A196*v01_SeasonSeconds/60</x:f>
        <x:v>48.25</x:v>
      </x:c>
      <x:c r="C196" s="9" t="n">
        <x:f>A196/4</x:f>
        <x:v>48.25</x:v>
      </x:c>
      <x:c r="D196" s="8" t="n">
        <x:f>IF(MOD(A196,4)=0,1,0)</x:f>
        <x:v>0</x:v>
      </x:c>
      <x:c r="E196" s="8" t="n">
        <x:f>IF(AND(F195&lt;=9,AS195&gt;=AR195),1,0)</x:f>
        <x:v>0</x:v>
      </x:c>
      <x:c r="F196" s="8" t="n">
        <x:f>MIN(10,F195+E196)</x:f>
        <x:v>0</x:v>
      </x:c>
      <x:c r="G196" s="8" t="n">
        <x:f>MIN(F196,9)+1</x:f>
        <x:v>1</x:v>
      </x:c>
      <x:c r="H196" s="8" t="n">
        <x:f>IF(F196&lt;=9,1,0)</x:f>
        <x:v>1</x:v>
      </x:c>
      <x:c r="I196" s="9" t="n">
        <x:f>MIN(10,F195+IF(AR195&gt;0,MIN(1,AS195/AR195),1))</x:f>
        <x:v>0.8079859094561244</x:v>
      </x:c>
      <x:c r="J196" s="32" t="n">
        <x:f>INDEX(v01_FoodCap,G196)*Arch_FoodCap*EXP(v01_CapsByProject*SUMPRODUCT((Cap_Point&lt;=I196)*(Cap_Kind="Food")*Cap_Ln))</x:f>
        <x:v>22</x:v>
      </x:c>
      <x:c r="K196" s="32" t="n">
        <x:f>J196*MIN(1,v01_LeanBase*EXP(v01_CapsByProject*SUMPRODUCT((Cap_Point&lt;=I196)*(Cap_Kind="Lean")*Cap_Ln)))</x:f>
        <x:v>22</x:v>
      </x:c>
      <x:c r="L196" s="10" t="n">
        <x:f>INDEX(v01_HousingCap,G196)*EXP(v01_CapsByProject*SUMPRODUCT((Cap_Point&lt;=I196)*(Cap_Kind="Housing")*Cap_Ln))</x:f>
        <x:v>60</x:v>
      </x:c>
      <x:c r="M196" s="10" t="n">
        <x:f>INDEX(v01_GroupCap,G196)*v01_CohesionFactor*EXP(v01_CapsByProject*SUMPRODUCT((Cap_Point&lt;=I196)*(Cap_Kind="Group")*Cap_Ln))</x:f>
        <x:v>35</x:v>
      </x:c>
      <x:c r="N196" s="32" t="n">
        <x:f>MIN(J196,L196,M196)</x:f>
        <x:v>22</x:v>
      </x:c>
      <x:c r="O196" s="10" t="n">
        <x:f>AE195*N196</x:f>
        <x:v>22</x:v>
      </x:c>
      <x:c r="P196" s="9" t="n">
        <x:f>MIN(1,(AB195/(AE195*IF(v01_GroupInCrowding=1,N196,MIN(J196,L196))))^v01_CrowdingExp)</x:f>
        <x:v>0.24061732405821432</x:v>
      </x:c>
      <x:c r="Q196" s="9" t="n">
        <x:f>IF(D196=1,INDEX(v01_WinterMult,G196),1)</x:f>
        <x:v>1</x:v>
      </x:c>
      <x:c r="R196" s="9" t="n">
        <x:f>H196*Z195*v01_WomenShare*v01_BaseFertility*INDEX(v01_FertMult,G196)*Arch_Fertility*(1-P196)</x:f>
        <x:v>0.19826429477718066</x:v>
      </x:c>
      <x:c r="S196" s="9" t="n">
        <x:f>H196*Y195*INDEX(v01_MortChild,G196)/4*Q196</x:f>
        <x:v>0.06485653775759645</x:v>
      </x:c>
      <x:c r="T196" s="9" t="n">
        <x:f>H196*Z195*INDEX(v01_MortAdult,G196)*Arch_AdultMort/4*Q196</x:f>
        <x:v>0.03263576801566046</x:v>
      </x:c>
      <x:c r="U196" s="9" t="n">
        <x:f>H196*AA195*INDEX(v01_MortElder,G196)/4*Q196</x:f>
        <x:v>0.05404787229577906</x:v>
      </x:c>
      <x:c r="V196" s="9" t="n">
        <x:f>H196*MAX(0,AB195-O196)*v01_OvercapLoss</x:f>
        <x:v>0</x:v>
      </x:c>
      <x:c r="W196" s="9" t="n">
        <x:f>H196*Y195/(v01_ChildYears*4)</x:f>
        <x:v>0.11581524599570793</x:v>
      </x:c>
      <x:c r="X196" s="9" t="n">
        <x:f>H196*Z195/(v01_AdultYears*4)</x:f>
        <x:v>0.07018444734550637</x:v>
      </x:c>
      <x:c r="Y196" s="32" t="n">
        <x:f>Y195+R196-S196-W196-Y195*V196/AB195</x:f>
        <x:v>6.50324628678352</x:v>
      </x:c>
      <x:c r="Z196" s="32" t="n">
        <x:f>Z195+W196-X196-T196-Z195*V196/AB195</x:f>
        <x:v>8.715866501477333</x:v>
      </x:c>
      <x:c r="AA196" s="32" t="n">
        <x:f>AA195+X196-U196-AA195*V196/AB195</x:f>
        <x:v>2.1780514668808895</x:v>
      </x:c>
      <x:c r="AB196" s="10" t="n">
        <x:f>Y196+Z196+AA196</x:f>
        <x:v>17.397164255141742</x:v>
      </x:c>
      <x:c r="AC196" s="8" t="n">
        <x:f>IF(AND(v01_WinterTrigger=1,D196=1,AB195/AE195&gt;=K196),1,0)</x:f>
        <x:v>0</x:v>
      </x:c>
      <x:c r="AD196" s="8" t="n">
        <x:f>H196*IF(AND(OR(AB195/AE195&gt;=v01_FissionTrigger*N196,AC196=1),AB195/AE195*v01_DaughterShare&gt;=v01_MinDaughter),MAX(1,ROUND(AE195*v01_FissionRate,0)),0)</x:f>
        <x:v>0</x:v>
      </x:c>
      <x:c r="AE196" s="8" t="n">
        <x:f>IF(H196=1,MAX(1,MIN(INDEX(v01_Smax,G196),AE195+AD196)),AE195)</x:f>
        <x:v>1</x:v>
      </x:c>
      <x:c r="AF196" s="8" t="n">
        <x:f>MAX(0,AE196-AE195)</x:f>
        <x:v>0</x:v>
      </x:c>
      <x:c r="AG196" s="9" t="str">
        <x:f>IF(AF196&gt;0,B196,"")</x:f>
      </x:c>
      <x:c r="AH196" s="9" t="n">
        <x:f>IF(F196&gt;=1,1,(1+v01_LowTiesShare*(AE196-1))/AE196)</x:f>
        <x:v>1</x:v>
      </x:c>
      <x:c r="AI196" s="32" t="n">
        <x:f>(Z196+v01_ElderCommons*INDEX(LM_Elder,G196)*AA196)*AH196</x:f>
        <x:v>13.071969435239112</x:v>
      </x:c>
      <x:c r="AJ196" s="32" t="n">
        <x:f>H196*v01_CommonsCoef*AI196^v01_CommonsExp*INDEX(LM_Commons,G196)</x:f>
        <x:v>5.594193227349221</x:v>
      </x:c>
      <x:c r="AK196" s="32" t="n">
        <x:f>H196*v01_RoleScale*Arch_Roles*(AE196*(INDEX(v01_ElderRolePerSett,G196)*v01_OutElder*INDEX(LM_Elder,G196)+INDEX(v01_ShamanPerSett,G196)*v01_OutShaman)+Z196*(INDEX(v01_PriestShare,G196)*v01_OutPriest+INDEX(v01_ScribeShare,G196)*v01_OutScribe*INDEX(LM_Scribe,G196)+INDEX(v01_ScholarShare,G196)*v01_OutScholar*INDEX(LM_Scholar,G196)+INDEX(v01_ResearcherShare,G196)*v01_OutResearcher*INDEX(LM_Researcher,G196)))</x:f>
        <x:v>0</x:v>
      </x:c>
      <x:c r="AL196" s="32" t="n">
        <x:f>H196*v01_RoleScale*Arch_Roles*AE196*INDEX(v01_MonasteryPerSett,G196)*v01_OutMonastery*INDEX(LM_Monastery,G196)</x:f>
        <x:v>0</x:v>
      </x:c>
      <x:c r="AM196" s="32" t="n">
        <x:f>(AJ196+AK196+AL196)/4*INDEX(LM_All,G196)*INDEX(v01_Boon,G196)*Arch_Insight</x:f>
        <x:v>1.3985483068373052</x:v>
      </x:c>
      <x:c r="AN196" s="32" t="n">
        <x:f>H196*(v01_KHPerAdult*Z196+v01_KHOfCommons*AJ196/4*INDEX(LM_All,G196))*v01_KHUsable*Arch_KH</x:f>
        <x:v>0.3050553275517066</x:v>
      </x:c>
      <x:c r="AO196" s="32" t="n">
        <x:f>MIN(AP195+AN196,AM196*v01_KHMaxRatio)</x:f>
        <x:v>0.3050553275517066</x:v>
      </x:c>
      <x:c r="AP196" s="32" t="n">
        <x:f>AP195+AN196-AO196</x:f>
        <x:v>0</x:v>
      </x:c>
      <x:c r="AQ196" s="32" t="n">
        <x:f>AM196+AO196</x:f>
        <x:v>1.7036036343890117</x:v>
      </x:c>
      <x:c r="AR196" s="10" t="n">
        <x:f>IF(H196=1,INDEX(v01_Req,G196),0)</x:f>
        <x:v>372.02</x:v>
      </x:c>
      <x:c r="AS196" s="32" t="n">
        <x:f>IF(H196=1,IF(E196=1,AS195-AR195,AS195)+AQ196,0)</x:f>
        <x:v>302.2905216702564</x:v>
      </x:c>
      <x:c r="AT196" s="11" t="n">
        <x:f>IF(AR196&gt;0,MIN(1,AS196/AR196),1)</x:f>
        <x:v>0.8125652429177367</x:v>
      </x:c>
      <x:c r="AU196" s="10" t="n">
        <x:f>AB196/INDEX(v01_RepScale,G196)</x:f>
        <x:v>17.397164255141742</x:v>
      </x:c>
      <x:c r="AV196" s="32" t="n">
        <x:f>AM196*60/v01_SeasonSeconds</x:f>
        <x:v>5.594193227349221</x:v>
      </x:c>
    </x:row>
    <x:row r="197">
      <x:c r="A197" s="8" t="n">
        <x:f>A196+1</x:f>
        <x:v>194</x:v>
      </x:c>
      <x:c r="B197" s="9" t="n">
        <x:f>A197*v01_SeasonSeconds/60</x:f>
        <x:v>48.5</x:v>
      </x:c>
      <x:c r="C197" s="9" t="n">
        <x:f>A197/4</x:f>
        <x:v>48.5</x:v>
      </x:c>
      <x:c r="D197" s="8" t="n">
        <x:f>IF(MOD(A197,4)=0,1,0)</x:f>
        <x:v>0</x:v>
      </x:c>
      <x:c r="E197" s="8" t="n">
        <x:f>IF(AND(F196&lt;=9,AS196&gt;=AR196),1,0)</x:f>
        <x:v>0</x:v>
      </x:c>
      <x:c r="F197" s="8" t="n">
        <x:f>MIN(10,F196+E197)</x:f>
        <x:v>0</x:v>
      </x:c>
      <x:c r="G197" s="8" t="n">
        <x:f>MIN(F197,9)+1</x:f>
        <x:v>1</x:v>
      </x:c>
      <x:c r="H197" s="8" t="n">
        <x:f>IF(F197&lt;=9,1,0)</x:f>
        <x:v>1</x:v>
      </x:c>
      <x:c r="I197" s="9" t="n">
        <x:f>MIN(10,F196+IF(AR196&gt;0,MIN(1,AS196/AR196),1))</x:f>
        <x:v>0.8125652429177367</x:v>
      </x:c>
      <x:c r="J197" s="32" t="n">
        <x:f>INDEX(v01_FoodCap,G197)*Arch_FoodCap*EXP(v01_CapsByProject*SUMPRODUCT((Cap_Point&lt;=I197)*(Cap_Kind="Food")*Cap_Ln))</x:f>
        <x:v>22</x:v>
      </x:c>
      <x:c r="K197" s="32" t="n">
        <x:f>J197*MIN(1,v01_LeanBase*EXP(v01_CapsByProject*SUMPRODUCT((Cap_Point&lt;=I197)*(Cap_Kind="Lean")*Cap_Ln)))</x:f>
        <x:v>22</x:v>
      </x:c>
      <x:c r="L197" s="10" t="n">
        <x:f>INDEX(v01_HousingCap,G197)*EXP(v01_CapsByProject*SUMPRODUCT((Cap_Point&lt;=I197)*(Cap_Kind="Housing")*Cap_Ln))</x:f>
        <x:v>60</x:v>
      </x:c>
      <x:c r="M197" s="10" t="n">
        <x:f>INDEX(v01_GroupCap,G197)*v01_CohesionFactor*EXP(v01_CapsByProject*SUMPRODUCT((Cap_Point&lt;=I197)*(Cap_Kind="Group")*Cap_Ln))</x:f>
        <x:v>35</x:v>
      </x:c>
      <x:c r="N197" s="32" t="n">
        <x:f>MIN(J197,L197,M197)</x:f>
        <x:v>22</x:v>
      </x:c>
      <x:c r="O197" s="10" t="n">
        <x:f>AE196*N197</x:f>
        <x:v>22</x:v>
      </x:c>
      <x:c r="P197" s="9" t="n">
        <x:f>MIN(1,(AB196/(AE196*IF(v01_GroupInCrowding=1,N197,MIN(J197,L197))))^v01_CrowdingExp)</x:f>
        <x:v>0.2445314360399017</x:v>
      </x:c>
      <x:c r="Q197" s="9" t="n">
        <x:f>IF(D197=1,INDEX(v01_WinterMult,G197),1)</x:f>
        <x:v>1</x:v>
      </x:c>
      <x:c r="R197" s="9" t="n">
        <x:f>H197*Z196*v01_WomenShare*v01_BaseFertility*INDEX(v01_FertMult,G197)*Arch_Fertility*(1-P197)</x:f>
        <x:v>0.19753689448617018</x:v>
      </x:c>
      <x:c r="S197" s="9" t="n">
        <x:f>H197*Y196*INDEX(v01_MortChild,G197)/4*Q197</x:f>
        <x:v>0.0650324628678352</x:v>
      </x:c>
      <x:c r="T197" s="9" t="n">
        <x:f>H197*Z196*INDEX(v01_MortAdult,G197)*Arch_AdultMort/4*Q197</x:f>
        <x:v>0.032684499380539994</x:v>
      </x:c>
      <x:c r="U197" s="9" t="n">
        <x:f>H197*AA196*INDEX(v01_MortElder,G197)/4*Q197</x:f>
        <x:v>0.05445128667202224</x:v>
      </x:c>
      <x:c r="V197" s="9" t="n">
        <x:f>H197*MAX(0,AB196-O197)*v01_OvercapLoss</x:f>
        <x:v>0</x:v>
      </x:c>
      <x:c r="W197" s="9" t="n">
        <x:f>H197*Y196/(v01_ChildYears*4)</x:f>
        <x:v>0.11612939797827715</x:v>
      </x:c>
      <x:c r="X197" s="9" t="n">
        <x:f>H197*Z196/(v01_AdultYears*4)</x:f>
        <x:v>0.07028924597965591</x:v>
      </x:c>
      <x:c r="Y197" s="32" t="n">
        <x:f>Y196+R197-S197-W197-Y196*V197/AB196</x:f>
        <x:v>6.519621320423578</x:v>
      </x:c>
      <x:c r="Z197" s="32" t="n">
        <x:f>Z196+W197-X197-T197-Z196*V197/AB196</x:f>
        <x:v>8.729022154095414</x:v>
      </x:c>
      <x:c r="AA197" s="32" t="n">
        <x:f>AA196+X197-U197-AA196*V197/AB196</x:f>
        <x:v>2.193889426188523</x:v>
      </x:c>
      <x:c r="AB197" s="10" t="n">
        <x:f>Y197+Z197+AA197</x:f>
        <x:v>17.442532900707516</x:v>
      </x:c>
      <x:c r="AC197" s="8" t="n">
        <x:f>IF(AND(v01_WinterTrigger=1,D197=1,AB196/AE196&gt;=K197),1,0)</x:f>
        <x:v>0</x:v>
      </x:c>
      <x:c r="AD197" s="8" t="n">
        <x:f>H197*IF(AND(OR(AB196/AE196&gt;=v01_FissionTrigger*N197,AC197=1),AB196/AE196*v01_DaughterShare&gt;=v01_MinDaughter),MAX(1,ROUND(AE196*v01_FissionRate,0)),0)</x:f>
        <x:v>0</x:v>
      </x:c>
      <x:c r="AE197" s="8" t="n">
        <x:f>IF(H197=1,MAX(1,MIN(INDEX(v01_Smax,G197),AE196+AD197)),AE196)</x:f>
        <x:v>1</x:v>
      </x:c>
      <x:c r="AF197" s="8" t="n">
        <x:f>MAX(0,AE197-AE196)</x:f>
        <x:v>0</x:v>
      </x:c>
      <x:c r="AG197" s="9" t="str">
        <x:f>IF(AF197&gt;0,B197,"")</x:f>
      </x:c>
      <x:c r="AH197" s="9" t="n">
        <x:f>IF(F197&gt;=1,1,(1+v01_LowTiesShare*(AE197-1))/AE197)</x:f>
        <x:v>1</x:v>
      </x:c>
      <x:c r="AI197" s="32" t="n">
        <x:f>(Z197+v01_ElderCommons*INDEX(LM_Elder,G197)*AA197)*AH197</x:f>
        <x:v>13.11680100647246</x:v>
      </x:c>
      <x:c r="AJ197" s="32" t="n">
        <x:f>H197*v01_CommonsCoef*AI197^v01_CommonsExp*INDEX(LM_Commons,G197)</x:f>
        <x:v>5.610496986398756</x:v>
      </x:c>
      <x:c r="AK197" s="32" t="n">
        <x:f>H197*v01_RoleScale*Arch_Roles*(AE197*(INDEX(v01_ElderRolePerSett,G197)*v01_OutElder*INDEX(LM_Elder,G197)+INDEX(v01_ShamanPerSett,G197)*v01_OutShaman)+Z197*(INDEX(v01_PriestShare,G197)*v01_OutPriest+INDEX(v01_ScribeShare,G197)*v01_OutScribe*INDEX(LM_Scribe,G197)+INDEX(v01_ScholarShare,G197)*v01_OutScholar*INDEX(LM_Scholar,G197)+INDEX(v01_ResearcherShare,G197)*v01_OutResearcher*INDEX(LM_Researcher,G197)))</x:f>
        <x:v>0</x:v>
      </x:c>
      <x:c r="AL197" s="32" t="n">
        <x:f>H197*v01_RoleScale*Arch_Roles*AE197*INDEX(v01_MonasteryPerSett,G197)*v01_OutMonastery*INDEX(LM_Monastery,G197)</x:f>
        <x:v>0</x:v>
      </x:c>
      <x:c r="AM197" s="32" t="n">
        <x:f>(AJ197+AK197+AL197)/4*INDEX(LM_All,G197)*INDEX(v01_Boon,G197)*Arch_Insight</x:f>
        <x:v>1.402624246599689</x:v>
      </x:c>
      <x:c r="AN197" s="32" t="n">
        <x:f>H197*(v01_KHPerAdult*Z197+v01_KHOfCommons*AJ197/4*INDEX(LM_All,G197))*v01_KHUsable*Arch_KH</x:f>
        <x:v>0.3055157753933395</x:v>
      </x:c>
      <x:c r="AO197" s="32" t="n">
        <x:f>MIN(AP196+AN197,AM197*v01_KHMaxRatio)</x:f>
        <x:v>0.3055157753933395</x:v>
      </x:c>
      <x:c r="AP197" s="32" t="n">
        <x:f>AP196+AN197-AO197</x:f>
        <x:v>0</x:v>
      </x:c>
      <x:c r="AQ197" s="32" t="n">
        <x:f>AM197+AO197</x:f>
        <x:v>1.7081400219930285</x:v>
      </x:c>
      <x:c r="AR197" s="10" t="n">
        <x:f>IF(H197=1,INDEX(v01_Req,G197),0)</x:f>
        <x:v>372.02</x:v>
      </x:c>
      <x:c r="AS197" s="32" t="n">
        <x:f>IF(H197=1,IF(E197=1,AS196-AR196,AS196)+AQ197,0)</x:f>
        <x:v>303.9986616922494</x:v>
      </x:c>
      <x:c r="AT197" s="11" t="n">
        <x:f>IF(AR197&gt;0,MIN(1,AS197/AR197),1)</x:f>
        <x:v>0.8171567703140945</x:v>
      </x:c>
      <x:c r="AU197" s="10" t="n">
        <x:f>AB197/INDEX(v01_RepScale,G197)</x:f>
        <x:v>17.442532900707516</x:v>
      </x:c>
      <x:c r="AV197" s="32" t="n">
        <x:f>AM197*60/v01_SeasonSeconds</x:f>
        <x:v>5.610496986398756</x:v>
      </x:c>
    </x:row>
    <x:row r="198">
      <x:c r="A198" s="8" t="n">
        <x:f>A197+1</x:f>
        <x:v>195</x:v>
      </x:c>
      <x:c r="B198" s="9" t="n">
        <x:f>A198*v01_SeasonSeconds/60</x:f>
        <x:v>48.75</x:v>
      </x:c>
      <x:c r="C198" s="9" t="n">
        <x:f>A198/4</x:f>
        <x:v>48.75</x:v>
      </x:c>
      <x:c r="D198" s="8" t="n">
        <x:f>IF(MOD(A198,4)=0,1,0)</x:f>
        <x:v>0</x:v>
      </x:c>
      <x:c r="E198" s="8" t="n">
        <x:f>IF(AND(F197&lt;=9,AS197&gt;=AR197),1,0)</x:f>
        <x:v>0</x:v>
      </x:c>
      <x:c r="F198" s="8" t="n">
        <x:f>MIN(10,F197+E198)</x:f>
        <x:v>0</x:v>
      </x:c>
      <x:c r="G198" s="8" t="n">
        <x:f>MIN(F198,9)+1</x:f>
        <x:v>1</x:v>
      </x:c>
      <x:c r="H198" s="8" t="n">
        <x:f>IF(F198&lt;=9,1,0)</x:f>
        <x:v>1</x:v>
      </x:c>
      <x:c r="I198" s="9" t="n">
        <x:f>MIN(10,F197+IF(AR197&gt;0,MIN(1,AS197/AR197),1))</x:f>
        <x:v>0.8171567703140945</x:v>
      </x:c>
      <x:c r="J198" s="32" t="n">
        <x:f>INDEX(v01_FoodCap,G198)*Arch_FoodCap*EXP(v01_CapsByProject*SUMPRODUCT((Cap_Point&lt;=I198)*(Cap_Kind="Food")*Cap_Ln))</x:f>
        <x:v>22</x:v>
      </x:c>
      <x:c r="K198" s="32" t="n">
        <x:f>J198*MIN(1,v01_LeanBase*EXP(v01_CapsByProject*SUMPRODUCT((Cap_Point&lt;=I198)*(Cap_Kind="Lean")*Cap_Ln)))</x:f>
        <x:v>22</x:v>
      </x:c>
      <x:c r="L198" s="10" t="n">
        <x:f>INDEX(v01_HousingCap,G198)*EXP(v01_CapsByProject*SUMPRODUCT((Cap_Point&lt;=I198)*(Cap_Kind="Housing")*Cap_Ln))</x:f>
        <x:v>60</x:v>
      </x:c>
      <x:c r="M198" s="10" t="n">
        <x:f>INDEX(v01_GroupCap,G198)*v01_CohesionFactor*EXP(v01_CapsByProject*SUMPRODUCT((Cap_Point&lt;=I198)*(Cap_Kind="Group")*Cap_Ln))</x:f>
        <x:v>35</x:v>
      </x:c>
      <x:c r="N198" s="32" t="n">
        <x:f>MIN(J198,L198,M198)</x:f>
        <x:v>22</x:v>
      </x:c>
      <x:c r="O198" s="10" t="n">
        <x:f>AE197*N198</x:f>
        <x:v>22</x:v>
      </x:c>
      <x:c r="P198" s="9" t="n">
        <x:f>MIN(1,(AB197/(AE197*IF(v01_GroupInCrowding=1,N198,MIN(J198,L198))))^v01_CrowdingExp)</x:f>
        <x:v>0.24838262929445948</x:v>
      </x:c>
      <x:c r="Q198" s="9" t="n">
        <x:f>IF(D198=1,INDEX(v01_WinterMult,G198),1)</x:f>
        <x:v>1</x:v>
      </x:c>
      <x:c r="R198" s="9" t="n">
        <x:f>H198*Z197*v01_WomenShare*v01_BaseFertility*INDEX(v01_FertMult,G198)*Arch_Fertility*(1-P198)</x:f>
        <x:v>0.19682654040874822</x:v>
      </x:c>
      <x:c r="S198" s="9" t="n">
        <x:f>H198*Y197*INDEX(v01_MortChild,G198)/4*Q198</x:f>
        <x:v>0.06519621320423578</x:v>
      </x:c>
      <x:c r="T198" s="9" t="n">
        <x:f>H198*Z197*INDEX(v01_MortAdult,G198)*Arch_AdultMort/4*Q198</x:f>
        <x:v>0.0327338330778578</x:v>
      </x:c>
      <x:c r="U198" s="9" t="n">
        <x:f>H198*AA197*INDEX(v01_MortElder,G198)/4*Q198</x:f>
        <x:v>0.054847235654713083</x:v>
      </x:c>
      <x:c r="V198" s="9" t="n">
        <x:f>H198*MAX(0,AB197-O198)*v01_OvercapLoss</x:f>
        <x:v>0</x:v>
      </x:c>
      <x:c r="W198" s="9" t="n">
        <x:f>H198*Y197/(v01_ChildYears*4)</x:f>
        <x:v>0.11642180929327818</x:v>
      </x:c>
      <x:c r="X198" s="9" t="n">
        <x:f>H198*Z197/(v01_AdultYears*4)</x:f>
        <x:v>0.07039533995238237</x:v>
      </x:c>
      <x:c r="Y198" s="32" t="n">
        <x:f>Y197+R198-S198-W198-Y197*V198/AB197</x:f>
        <x:v>6.5348298383348125</x:v>
      </x:c>
      <x:c r="Z198" s="32" t="n">
        <x:f>Z197+W198-X198-T198-Z197*V198/AB197</x:f>
        <x:v>8.742314790358453</x:v>
      </x:c>
      <x:c r="AA198" s="32" t="n">
        <x:f>AA197+X198-U198-AA197*V198/AB197</x:f>
        <x:v>2.209437530486192</x:v>
      </x:c>
      <x:c r="AB198" s="10" t="n">
        <x:f>Y198+Z198+AA198</x:f>
        <x:v>17.486582159179456</x:v>
      </x:c>
      <x:c r="AC198" s="8" t="n">
        <x:f>IF(AND(v01_WinterTrigger=1,D198=1,AB197/AE197&gt;=K198),1,0)</x:f>
        <x:v>0</x:v>
      </x:c>
      <x:c r="AD198" s="8" t="n">
        <x:f>H198*IF(AND(OR(AB197/AE197&gt;=v01_FissionTrigger*N198,AC198=1),AB197/AE197*v01_DaughterShare&gt;=v01_MinDaughter),MAX(1,ROUND(AE197*v01_FissionRate,0)),0)</x:f>
        <x:v>0</x:v>
      </x:c>
      <x:c r="AE198" s="8" t="n">
        <x:f>IF(H198=1,MAX(1,MIN(INDEX(v01_Smax,G198),AE197+AD198)),AE197)</x:f>
        <x:v>1</x:v>
      </x:c>
      <x:c r="AF198" s="8" t="n">
        <x:f>MAX(0,AE198-AE197)</x:f>
        <x:v>0</x:v>
      </x:c>
      <x:c r="AG198" s="9" t="str">
        <x:f>IF(AF198&gt;0,B198,"")</x:f>
      </x:c>
      <x:c r="AH198" s="9" t="n">
        <x:f>IF(F198&gt;=1,1,(1+v01_LowTiesShare*(AE198-1))/AE198)</x:f>
        <x:v>1</x:v>
      </x:c>
      <x:c r="AI198" s="32" t="n">
        <x:f>(Z198+v01_ElderCommons*INDEX(LM_Elder,G198)*AA198)*AH198</x:f>
        <x:v>13.161189851330837</x:v>
      </x:c>
      <x:c r="AJ198" s="32" t="n">
        <x:f>H198*v01_CommonsCoef*AI198^v01_CommonsExp*INDEX(LM_Commons,G198)</x:f>
        <x:v>5.626631507281878</x:v>
      </x:c>
      <x:c r="AK198" s="32" t="n">
        <x:f>H198*v01_RoleScale*Arch_Roles*(AE198*(INDEX(v01_ElderRolePerSett,G198)*v01_OutElder*INDEX(LM_Elder,G198)+INDEX(v01_ShamanPerSett,G198)*v01_OutShaman)+Z198*(INDEX(v01_PriestShare,G198)*v01_OutPriest+INDEX(v01_ScribeShare,G198)*v01_OutScribe*INDEX(LM_Scribe,G198)+INDEX(v01_ScholarShare,G198)*v01_OutScholar*INDEX(LM_Scholar,G198)+INDEX(v01_ResearcherShare,G198)*v01_OutResearcher*INDEX(LM_Researcher,G198)))</x:f>
        <x:v>0</x:v>
      </x:c>
      <x:c r="AL198" s="32" t="n">
        <x:f>H198*v01_RoleScale*Arch_Roles*AE198*INDEX(v01_MonasteryPerSett,G198)*v01_OutMonastery*INDEX(LM_Monastery,G198)</x:f>
        <x:v>0</x:v>
      </x:c>
      <x:c r="AM198" s="32" t="n">
        <x:f>(AJ198+AK198+AL198)/4*INDEX(LM_All,G198)*INDEX(v01_Boon,G198)*Arch_Insight</x:f>
        <x:v>1.4066578768204696</x:v>
      </x:c>
      <x:c r="AN198" s="32" t="n">
        <x:f>H198*(v01_KHPerAdult*Z198+v01_KHOfCommons*AJ198/4*INDEX(LM_All,G198))*v01_KHUsable*Arch_KH</x:f>
        <x:v>0.3059810176625458</x:v>
      </x:c>
      <x:c r="AO198" s="32" t="n">
        <x:f>MIN(AP197+AN198,AM198*v01_KHMaxRatio)</x:f>
        <x:v>0.3059810176625458</x:v>
      </x:c>
      <x:c r="AP198" s="32" t="n">
        <x:f>AP197+AN198-AO198</x:f>
        <x:v>0</x:v>
      </x:c>
      <x:c r="AQ198" s="32" t="n">
        <x:f>AM198+AO198</x:f>
        <x:v>1.7126388944830153</x:v>
      </x:c>
      <x:c r="AR198" s="10" t="n">
        <x:f>IF(H198=1,INDEX(v01_Req,G198),0)</x:f>
        <x:v>372.02</x:v>
      </x:c>
      <x:c r="AS198" s="32" t="n">
        <x:f>IF(H198=1,IF(E198=1,AS197-AR197,AS197)+AQ198,0)</x:f>
        <x:v>305.7113005867324</x:v>
      </x:c>
      <x:c r="AT198" s="11" t="n">
        <x:f>IF(AR198&gt;0,MIN(1,AS198/AR198),1)</x:f>
        <x:v>0.8217603908035386</x:v>
      </x:c>
      <x:c r="AU198" s="10" t="n">
        <x:f>AB198/INDEX(v01_RepScale,G198)</x:f>
        <x:v>17.486582159179456</x:v>
      </x:c>
      <x:c r="AV198" s="32" t="n">
        <x:f>AM198*60/v01_SeasonSeconds</x:f>
        <x:v>5.626631507281879</x:v>
      </x:c>
    </x:row>
    <x:row r="199">
      <x:c r="A199" s="8" t="n">
        <x:f>A198+1</x:f>
        <x:v>196</x:v>
      </x:c>
      <x:c r="B199" s="9" t="n">
        <x:f>A199*v01_SeasonSeconds/60</x:f>
        <x:v>49</x:v>
      </x:c>
      <x:c r="C199" s="9" t="n">
        <x:f>A199/4</x:f>
        <x:v>49</x:v>
      </x:c>
      <x:c r="D199" s="8" t="n">
        <x:f>IF(MOD(A199,4)=0,1,0)</x:f>
        <x:v>1</x:v>
      </x:c>
      <x:c r="E199" s="8" t="n">
        <x:f>IF(AND(F198&lt;=9,AS198&gt;=AR198),1,0)</x:f>
        <x:v>0</x:v>
      </x:c>
      <x:c r="F199" s="8" t="n">
        <x:f>MIN(10,F198+E199)</x:f>
        <x:v>0</x:v>
      </x:c>
      <x:c r="G199" s="8" t="n">
        <x:f>MIN(F199,9)+1</x:f>
        <x:v>1</x:v>
      </x:c>
      <x:c r="H199" s="8" t="n">
        <x:f>IF(F199&lt;=9,1,0)</x:f>
        <x:v>1</x:v>
      </x:c>
      <x:c r="I199" s="9" t="n">
        <x:f>MIN(10,F198+IF(AR198&gt;0,MIN(1,AS198/AR198),1))</x:f>
        <x:v>0.8217603908035386</x:v>
      </x:c>
      <x:c r="J199" s="32" t="n">
        <x:f>INDEX(v01_FoodCap,G199)*Arch_FoodCap*EXP(v01_CapsByProject*SUMPRODUCT((Cap_Point&lt;=I199)*(Cap_Kind="Food")*Cap_Ln))</x:f>
        <x:v>22</x:v>
      </x:c>
      <x:c r="K199" s="32" t="n">
        <x:f>J199*MIN(1,v01_LeanBase*EXP(v01_CapsByProject*SUMPRODUCT((Cap_Point&lt;=I199)*(Cap_Kind="Lean")*Cap_Ln)))</x:f>
        <x:v>22</x:v>
      </x:c>
      <x:c r="L199" s="10" t="n">
        <x:f>INDEX(v01_HousingCap,G199)*EXP(v01_CapsByProject*SUMPRODUCT((Cap_Point&lt;=I199)*(Cap_Kind="Housing")*Cap_Ln))</x:f>
        <x:v>60</x:v>
      </x:c>
      <x:c r="M199" s="10" t="n">
        <x:f>INDEX(v01_GroupCap,G199)*v01_CohesionFactor*EXP(v01_CapsByProject*SUMPRODUCT((Cap_Point&lt;=I199)*(Cap_Kind="Group")*Cap_Ln))</x:f>
        <x:v>35</x:v>
      </x:c>
      <x:c r="N199" s="32" t="n">
        <x:f>MIN(J199,L199,M199)</x:f>
        <x:v>22</x:v>
      </x:c>
      <x:c r="O199" s="10" t="n">
        <x:f>AE198*N199</x:f>
        <x:v>22</x:v>
      </x:c>
      <x:c r="P199" s="9" t="n">
        <x:f>MIN(1,(AB198/(AE198*IF(v01_GroupInCrowding=1,N199,MIN(J199,L199))))^v01_CrowdingExp)</x:f>
        <x:v>0.2521700539781099</x:v>
      </x:c>
      <x:c r="Q199" s="9" t="n">
        <x:f>IF(D199=1,INDEX(v01_WinterMult,G199),1)</x:f>
        <x:v>2</x:v>
      </x:c>
      <x:c r="R199" s="9" t="n">
        <x:f>H199*Z198*v01_WomenShare*v01_BaseFertility*INDEX(v01_FertMult,G199)*Arch_Fertility*(1-P199)</x:f>
        <x:v>0.196132943933404</x:v>
      </x:c>
      <x:c r="S199" s="9" t="n">
        <x:f>H199*Y198*INDEX(v01_MortChild,G199)/4*Q199</x:f>
        <x:v>0.13069659676669626</x:v>
      </x:c>
      <x:c r="T199" s="9" t="n">
        <x:f>H199*Z198*INDEX(v01_MortAdult,G199)*Arch_AdultMort/4*Q199</x:f>
        <x:v>0.06556736092768839</x:v>
      </x:c>
      <x:c r="U199" s="9" t="n">
        <x:f>H199*AA198*INDEX(v01_MortElder,G199)/4*Q199</x:f>
        <x:v>0.11047187652430962</x:v>
      </x:c>
      <x:c r="V199" s="9" t="n">
        <x:f>H199*MAX(0,AB198-O199)*v01_OvercapLoss</x:f>
        <x:v>0</x:v>
      </x:c>
      <x:c r="W199" s="9" t="n">
        <x:f>H199*Y198/(v01_ChildYears*4)</x:f>
        <x:v>0.1166933899702645</x:v>
      </x:c>
      <x:c r="X199" s="9" t="n">
        <x:f>H199*Z198/(v01_AdultYears*4)</x:f>
        <x:v>0.070502538631923</x:v>
      </x:c>
      <x:c r="Y199" s="32" t="n">
        <x:f>Y198+R199-S199-W199-Y198*V199/AB198</x:f>
        <x:v>6.483572795531256</x:v>
      </x:c>
      <x:c r="Z199" s="32" t="n">
        <x:f>Z198+W199-X199-T199-Z198*V199/AB198</x:f>
        <x:v>8.722938280769105</x:v>
      </x:c>
      <x:c r="AA199" s="32" t="n">
        <x:f>AA198+X199-U199-AA198*V199/AB198</x:f>
        <x:v>2.1694681925938055</x:v>
      </x:c>
      <x:c r="AB199" s="10" t="n">
        <x:f>Y199+Z199+AA199</x:f>
        <x:v>17.375979268894167</x:v>
      </x:c>
      <x:c r="AC199" s="8" t="n">
        <x:f>IF(AND(v01_WinterTrigger=1,D199=1,AB198/AE198&gt;=K199),1,0)</x:f>
        <x:v>0</x:v>
      </x:c>
      <x:c r="AD199" s="8" t="n">
        <x:f>H199*IF(AND(OR(AB198/AE198&gt;=v01_FissionTrigger*N199,AC199=1),AB198/AE198*v01_DaughterShare&gt;=v01_MinDaughter),MAX(1,ROUND(AE198*v01_FissionRate,0)),0)</x:f>
        <x:v>0</x:v>
      </x:c>
      <x:c r="AE199" s="8" t="n">
        <x:f>IF(H199=1,MAX(1,MIN(INDEX(v01_Smax,G199),AE198+AD199)),AE198)</x:f>
        <x:v>1</x:v>
      </x:c>
      <x:c r="AF199" s="8" t="n">
        <x:f>MAX(0,AE199-AE198)</x:f>
        <x:v>0</x:v>
      </x:c>
      <x:c r="AG199" s="9" t="str">
        <x:f>IF(AF199&gt;0,B199,"")</x:f>
      </x:c>
      <x:c r="AH199" s="9" t="n">
        <x:f>IF(F199&gt;=1,1,(1+v01_LowTiesShare*(AE199-1))/AE199)</x:f>
        <x:v>1</x:v>
      </x:c>
      <x:c r="AI199" s="32" t="n">
        <x:f>(Z199+v01_ElderCommons*INDEX(LM_Elder,G199)*AA199)*AH199</x:f>
        <x:v>13.061874665956715</x:v>
      </x:c>
      <x:c r="AJ199" s="32" t="n">
        <x:f>H199*v01_CommonsCoef*AI199^v01_CommonsExp*INDEX(LM_Commons,G199)</x:f>
        <x:v>5.5905209377468505</x:v>
      </x:c>
      <x:c r="AK199" s="32" t="n">
        <x:f>H199*v01_RoleScale*Arch_Roles*(AE199*(INDEX(v01_ElderRolePerSett,G199)*v01_OutElder*INDEX(LM_Elder,G199)+INDEX(v01_ShamanPerSett,G199)*v01_OutShaman)+Z199*(INDEX(v01_PriestShare,G199)*v01_OutPriest+INDEX(v01_ScribeShare,G199)*v01_OutScribe*INDEX(LM_Scribe,G199)+INDEX(v01_ScholarShare,G199)*v01_OutScholar*INDEX(LM_Scholar,G199)+INDEX(v01_ResearcherShare,G199)*v01_OutResearcher*INDEX(LM_Researcher,G199)))</x:f>
        <x:v>0</x:v>
      </x:c>
      <x:c r="AL199" s="32" t="n">
        <x:f>H199*v01_RoleScale*Arch_Roles*AE199*INDEX(v01_MonasteryPerSett,G199)*v01_OutMonastery*INDEX(LM_Monastery,G199)</x:f>
        <x:v>0</x:v>
      </x:c>
      <x:c r="AM199" s="32" t="n">
        <x:f>(AJ199+AK199+AL199)/4*INDEX(LM_All,G199)*INDEX(v01_Boon,G199)*Arch_Insight</x:f>
        <x:v>1.3976302344367126</x:v>
      </x:c>
      <x:c r="AN199" s="32" t="n">
        <x:f>H199*(v01_KHPerAdult*Z199+v01_KHOfCommons*AJ199/4*INDEX(LM_All,G199))*v01_KHUsable*Arch_KH</x:f>
        <x:v>0.3053028398269187</x:v>
      </x:c>
      <x:c r="AO199" s="32" t="n">
        <x:f>MIN(AP198+AN199,AM199*v01_KHMaxRatio)</x:f>
        <x:v>0.3053028398269187</x:v>
      </x:c>
      <x:c r="AP199" s="32" t="n">
        <x:f>AP198+AN199-AO199</x:f>
        <x:v>0</x:v>
      </x:c>
      <x:c r="AQ199" s="32" t="n">
        <x:f>AM199+AO199</x:f>
        <x:v>1.7029330742636313</x:v>
      </x:c>
      <x:c r="AR199" s="10" t="n">
        <x:f>IF(H199=1,INDEX(v01_Req,G199),0)</x:f>
        <x:v>372.02</x:v>
      </x:c>
      <x:c r="AS199" s="32" t="n">
        <x:f>IF(H199=1,IF(E199=1,AS198-AR198,AS198)+AQ199,0)</x:f>
        <x:v>307.41423366099605</x:v>
      </x:c>
      <x:c r="AT199" s="11" t="n">
        <x:f>IF(AR199&gt;0,MIN(1,AS199/AR199),1)</x:f>
        <x:v>0.8263379217810765</x:v>
      </x:c>
      <x:c r="AU199" s="10" t="n">
        <x:f>AB199/INDEX(v01_RepScale,G199)</x:f>
        <x:v>17.375979268894167</x:v>
      </x:c>
      <x:c r="AV199" s="32" t="n">
        <x:f>AM199*60/v01_SeasonSeconds</x:f>
        <x:v>5.5905209377468505</x:v>
      </x:c>
    </x:row>
    <x:row r="200">
      <x:c r="A200" s="8" t="n">
        <x:f>A199+1</x:f>
        <x:v>197</x:v>
      </x:c>
      <x:c r="B200" s="9" t="n">
        <x:f>A200*v01_SeasonSeconds/60</x:f>
        <x:v>49.25</x:v>
      </x:c>
      <x:c r="C200" s="9" t="n">
        <x:f>A200/4</x:f>
        <x:v>49.25</x:v>
      </x:c>
      <x:c r="D200" s="8" t="n">
        <x:f>IF(MOD(A200,4)=0,1,0)</x:f>
        <x:v>0</x:v>
      </x:c>
      <x:c r="E200" s="8" t="n">
        <x:f>IF(AND(F199&lt;=9,AS199&gt;=AR199),1,0)</x:f>
        <x:v>0</x:v>
      </x:c>
      <x:c r="F200" s="8" t="n">
        <x:f>MIN(10,F199+E200)</x:f>
        <x:v>0</x:v>
      </x:c>
      <x:c r="G200" s="8" t="n">
        <x:f>MIN(F200,9)+1</x:f>
        <x:v>1</x:v>
      </x:c>
      <x:c r="H200" s="8" t="n">
        <x:f>IF(F200&lt;=9,1,0)</x:f>
        <x:v>1</x:v>
      </x:c>
      <x:c r="I200" s="9" t="n">
        <x:f>MIN(10,F199+IF(AR199&gt;0,MIN(1,AS199/AR199),1))</x:f>
        <x:v>0.8263379217810765</x:v>
      </x:c>
      <x:c r="J200" s="32" t="n">
        <x:f>INDEX(v01_FoodCap,G200)*Arch_FoodCap*EXP(v01_CapsByProject*SUMPRODUCT((Cap_Point&lt;=I200)*(Cap_Kind="Food")*Cap_Ln))</x:f>
        <x:v>22</x:v>
      </x:c>
      <x:c r="K200" s="32" t="n">
        <x:f>J200*MIN(1,v01_LeanBase*EXP(v01_CapsByProject*SUMPRODUCT((Cap_Point&lt;=I200)*(Cap_Kind="Lean")*Cap_Ln)))</x:f>
        <x:v>22</x:v>
      </x:c>
      <x:c r="L200" s="10" t="n">
        <x:f>INDEX(v01_HousingCap,G200)*EXP(v01_CapsByProject*SUMPRODUCT((Cap_Point&lt;=I200)*(Cap_Kind="Housing")*Cap_Ln))</x:f>
        <x:v>60</x:v>
      </x:c>
      <x:c r="M200" s="10" t="n">
        <x:f>INDEX(v01_GroupCap,G200)*v01_CohesionFactor*EXP(v01_CapsByProject*SUMPRODUCT((Cap_Point&lt;=I200)*(Cap_Kind="Group")*Cap_Ln))</x:f>
        <x:v>35</x:v>
      </x:c>
      <x:c r="N200" s="32" t="n">
        <x:f>MIN(J200,L200,M200)</x:f>
        <x:v>22</x:v>
      </x:c>
      <x:c r="O200" s="10" t="n">
        <x:f>AE199*N200</x:f>
        <x:v>22</x:v>
      </x:c>
      <x:c r="P200" s="9" t="n">
        <x:f>MIN(1,(AB199/(AE199*IF(v01_GroupInCrowding=1,N200,MIN(J200,L200))))^v01_CrowdingExp)</x:f>
        <x:v>0.24275023198042617</x:v>
      </x:c>
      <x:c r="Q200" s="9" t="n">
        <x:f>IF(D200=1,INDEX(v01_WinterMult,G200),1)</x:f>
        <x:v>1</x:v>
      </x:c>
      <x:c r="R200" s="9" t="n">
        <x:f>H200*Z199*v01_WomenShare*v01_BaseFertility*INDEX(v01_FertMult,G200)*Arch_Fertility*(1-P200)</x:f>
        <x:v>0.19816328968684394</x:v>
      </x:c>
      <x:c r="S200" s="9" t="n">
        <x:f>H200*Y199*INDEX(v01_MortChild,G200)/4*Q200</x:f>
        <x:v>0.06483572795531256</x:v>
      </x:c>
      <x:c r="T200" s="9" t="n">
        <x:f>H200*Z199*INDEX(v01_MortAdult,G200)*Arch_AdultMort/4*Q200</x:f>
        <x:v>0.03271101855288414</x:v>
      </x:c>
      <x:c r="U200" s="9" t="n">
        <x:f>H200*AA199*INDEX(v01_MortElder,G200)/4*Q200</x:f>
        <x:v>0.05423670481484514</x:v>
      </x:c>
      <x:c r="V200" s="9" t="n">
        <x:f>H200*MAX(0,AB199-O200)*v01_OvercapLoss</x:f>
        <x:v>0</x:v>
      </x:c>
      <x:c r="W200" s="9" t="n">
        <x:f>H200*Y199/(v01_ChildYears*4)</x:f>
        <x:v>0.1157780856344867</x:v>
      </x:c>
      <x:c r="X200" s="9" t="n">
        <x:f>H200*Z199/(v01_AdultYears*4)</x:f>
        <x:v>0.07034627645781537</x:v>
      </x:c>
      <x:c r="Y200" s="32" t="n">
        <x:f>Y199+R200-S200-W200-Y199*V200/AB199</x:f>
        <x:v>6.501122271628301</x:v>
      </x:c>
      <x:c r="Z200" s="32" t="n">
        <x:f>Z199+W200-X200-T200-Z199*V200/AB199</x:f>
        <x:v>8.735659071392892</x:v>
      </x:c>
      <x:c r="AA200" s="32" t="n">
        <x:f>AA199+X200-U200-AA199*V200/AB199</x:f>
        <x:v>2.185577764236776</x:v>
      </x:c>
      <x:c r="AB200" s="10" t="n">
        <x:f>Y200+Z200+AA200</x:f>
        <x:v>17.422359107257968</x:v>
      </x:c>
      <x:c r="AC200" s="8" t="n">
        <x:f>IF(AND(v01_WinterTrigger=1,D200=1,AB199/AE199&gt;=K200),1,0)</x:f>
        <x:v>0</x:v>
      </x:c>
      <x:c r="AD200" s="8" t="n">
        <x:f>H200*IF(AND(OR(AB199/AE199&gt;=v01_FissionTrigger*N200,AC200=1),AB199/AE199*v01_DaughterShare&gt;=v01_MinDaughter),MAX(1,ROUND(AE199*v01_FissionRate,0)),0)</x:f>
        <x:v>0</x:v>
      </x:c>
      <x:c r="AE200" s="8" t="n">
        <x:f>IF(H200=1,MAX(1,MIN(INDEX(v01_Smax,G200),AE199+AD200)),AE199)</x:f>
        <x:v>1</x:v>
      </x:c>
      <x:c r="AF200" s="8" t="n">
        <x:f>MAX(0,AE200-AE199)</x:f>
        <x:v>0</x:v>
      </x:c>
      <x:c r="AG200" s="9" t="str">
        <x:f>IF(AF200&gt;0,B200,"")</x:f>
      </x:c>
      <x:c r="AH200" s="9" t="n">
        <x:f>IF(F200&gt;=1,1,(1+v01_LowTiesShare*(AE200-1))/AE200)</x:f>
        <x:v>1</x:v>
      </x:c>
      <x:c r="AI200" s="32" t="n">
        <x:f>(Z200+v01_ElderCommons*INDEX(LM_Elder,G200)*AA200)*AH200</x:f>
        <x:v>13.106814599866443</x:v>
      </x:c>
      <x:c r="AJ200" s="32" t="n">
        <x:f>H200*v01_CommonsCoef*AI200^v01_CommonsExp*INDEX(LM_Commons,G200)</x:f>
        <x:v>5.6068659853103835</x:v>
      </x:c>
      <x:c r="AK200" s="32" t="n">
        <x:f>H200*v01_RoleScale*Arch_Roles*(AE200*(INDEX(v01_ElderRolePerSett,G200)*v01_OutElder*INDEX(LM_Elder,G200)+INDEX(v01_ShamanPerSett,G200)*v01_OutShaman)+Z200*(INDEX(v01_PriestShare,G200)*v01_OutPriest+INDEX(v01_ScribeShare,G200)*v01_OutScribe*INDEX(LM_Scribe,G200)+INDEX(v01_ScholarShare,G200)*v01_OutScholar*INDEX(LM_Scholar,G200)+INDEX(v01_ResearcherShare,G200)*v01_OutResearcher*INDEX(LM_Researcher,G200)))</x:f>
        <x:v>0</x:v>
      </x:c>
      <x:c r="AL200" s="32" t="n">
        <x:f>H200*v01_RoleScale*Arch_Roles*AE200*INDEX(v01_MonasteryPerSett,G200)*v01_OutMonastery*INDEX(LM_Monastery,G200)</x:f>
        <x:v>0</x:v>
      </x:c>
      <x:c r="AM200" s="32" t="n">
        <x:f>(AJ200+AK200+AL200)/4*INDEX(LM_All,G200)*INDEX(v01_Boon,G200)*Arch_Insight</x:f>
        <x:v>1.4017164963275959</x:v>
      </x:c>
      <x:c r="AN200" s="32" t="n">
        <x:f>H200*(v01_KHPerAdult*Z200+v01_KHOfCommons*AJ200/4*INDEX(LM_All,G200))*v01_KHUsable*Arch_KH</x:f>
        <x:v>0.30574806749875116</x:v>
      </x:c>
      <x:c r="AO200" s="32" t="n">
        <x:f>MIN(AP199+AN200,AM200*v01_KHMaxRatio)</x:f>
        <x:v>0.30574806749875116</x:v>
      </x:c>
      <x:c r="AP200" s="32" t="n">
        <x:f>AP199+AN200-AO200</x:f>
        <x:v>0</x:v>
      </x:c>
      <x:c r="AQ200" s="32" t="n">
        <x:f>AM200+AO200</x:f>
        <x:v>1.707464563826347</x:v>
      </x:c>
      <x:c r="AR200" s="10" t="n">
        <x:f>IF(H200=1,INDEX(v01_Req,G200),0)</x:f>
        <x:v>372.02</x:v>
      </x:c>
      <x:c r="AS200" s="32" t="n">
        <x:f>IF(H200=1,IF(E200=1,AS199-AR199,AS199)+AQ200,0)</x:f>
        <x:v>309.1216982248224</x:v>
      </x:c>
      <x:c r="AT200" s="11" t="n">
        <x:f>IF(AR200&gt;0,MIN(1,AS200/AR200),1)</x:f>
        <x:v>0.83092763352729</x:v>
      </x:c>
      <x:c r="AU200" s="10" t="n">
        <x:f>AB200/INDEX(v01_RepScale,G200)</x:f>
        <x:v>17.422359107257968</x:v>
      </x:c>
      <x:c r="AV200" s="32" t="n">
        <x:f>AM200*60/v01_SeasonSeconds</x:f>
        <x:v>5.6068659853103835</x:v>
      </x:c>
    </x:row>
    <x:row r="201">
      <x:c r="A201" s="8" t="n">
        <x:f>A200+1</x:f>
        <x:v>198</x:v>
      </x:c>
      <x:c r="B201" s="9" t="n">
        <x:f>A201*v01_SeasonSeconds/60</x:f>
        <x:v>49.5</x:v>
      </x:c>
      <x:c r="C201" s="9" t="n">
        <x:f>A201/4</x:f>
        <x:v>49.5</x:v>
      </x:c>
      <x:c r="D201" s="8" t="n">
        <x:f>IF(MOD(A201,4)=0,1,0)</x:f>
        <x:v>0</x:v>
      </x:c>
      <x:c r="E201" s="8" t="n">
        <x:f>IF(AND(F200&lt;=9,AS200&gt;=AR200),1,0)</x:f>
        <x:v>0</x:v>
      </x:c>
      <x:c r="F201" s="8" t="n">
        <x:f>MIN(10,F200+E201)</x:f>
        <x:v>0</x:v>
      </x:c>
      <x:c r="G201" s="8" t="n">
        <x:f>MIN(F201,9)+1</x:f>
        <x:v>1</x:v>
      </x:c>
      <x:c r="H201" s="8" t="n">
        <x:f>IF(F201&lt;=9,1,0)</x:f>
        <x:v>1</x:v>
      </x:c>
      <x:c r="I201" s="9" t="n">
        <x:f>MIN(10,F200+IF(AR200&gt;0,MIN(1,AS200/AR200),1))</x:f>
        <x:v>0.83092763352729</x:v>
      </x:c>
      <x:c r="J201" s="32" t="n">
        <x:f>INDEX(v01_FoodCap,G201)*Arch_FoodCap*EXP(v01_CapsByProject*SUMPRODUCT((Cap_Point&lt;=I201)*(Cap_Kind="Food")*Cap_Ln))</x:f>
        <x:v>22</x:v>
      </x:c>
      <x:c r="K201" s="32" t="n">
        <x:f>J201*MIN(1,v01_LeanBase*EXP(v01_CapsByProject*SUMPRODUCT((Cap_Point&lt;=I201)*(Cap_Kind="Lean")*Cap_Ln)))</x:f>
        <x:v>22</x:v>
      </x:c>
      <x:c r="L201" s="10" t="n">
        <x:f>INDEX(v01_HousingCap,G201)*EXP(v01_CapsByProject*SUMPRODUCT((Cap_Point&lt;=I201)*(Cap_Kind="Housing")*Cap_Ln))</x:f>
        <x:v>60</x:v>
      </x:c>
      <x:c r="M201" s="10" t="n">
        <x:f>INDEX(v01_GroupCap,G201)*v01_CohesionFactor*EXP(v01_CapsByProject*SUMPRODUCT((Cap_Point&lt;=I201)*(Cap_Kind="Group")*Cap_Ln))</x:f>
        <x:v>35</x:v>
      </x:c>
      <x:c r="N201" s="32" t="n">
        <x:f>MIN(J201,L201,M201)</x:f>
        <x:v>22</x:v>
      </x:c>
      <x:c r="O201" s="10" t="n">
        <x:f>AE200*N201</x:f>
        <x:v>22</x:v>
      </x:c>
      <x:c r="P201" s="9" t="n">
        <x:f>MIN(1,(AB200/(AE200*IF(v01_GroupInCrowding=1,N201,MIN(J201,L201))))^v01_CrowdingExp)</x:f>
        <x:v>0.24666394992644533</x:v>
      </x:c>
      <x:c r="Q201" s="9" t="n">
        <x:f>IF(D201=1,INDEX(v01_WinterMult,G201),1)</x:f>
        <x:v>1</x:v>
      </x:c>
      <x:c r="R201" s="9" t="n">
        <x:f>H201*Z200*v01_WomenShare*v01_BaseFertility*INDEX(v01_FertMult,G201)*Arch_Fertility*(1-P201)</x:f>
        <x:v>0.1974266069889701</x:v>
      </x:c>
      <x:c r="S201" s="9" t="n">
        <x:f>H201*Y200*INDEX(v01_MortChild,G201)/4*Q201</x:f>
        <x:v>0.06501122271628301</x:v>
      </x:c>
      <x:c r="T201" s="9" t="n">
        <x:f>H201*Z200*INDEX(v01_MortAdult,G201)*Arch_AdultMort/4*Q201</x:f>
        <x:v>0.03275872151772334</x:v>
      </x:c>
      <x:c r="U201" s="9" t="n">
        <x:f>H201*AA200*INDEX(v01_MortElder,G201)/4*Q201</x:f>
        <x:v>0.0546394441059194</x:v>
      </x:c>
      <x:c r="V201" s="9" t="n">
        <x:f>H201*MAX(0,AB200-O201)*v01_OvercapLoss</x:f>
        <x:v>0</x:v>
      </x:c>
      <x:c r="W201" s="9" t="n">
        <x:f>H201*Y200/(v01_ChildYears*4)</x:f>
        <x:v>0.11609146913621966</x:v>
      </x:c>
      <x:c r="X201" s="9" t="n">
        <x:f>H201*Z200/(v01_AdultYears*4)</x:f>
        <x:v>0.07044886347897493</x:v>
      </x:c>
      <x:c r="Y201" s="32" t="n">
        <x:f>Y200+R201-S201-W201-Y200*V201/AB200</x:f>
        <x:v>6.517446186764769</x:v>
      </x:c>
      <x:c r="Z201" s="32" t="n">
        <x:f>Z200+W201-X201-T201-Z200*V201/AB200</x:f>
        <x:v>8.748542955532415</x:v>
      </x:c>
      <x:c r="AA201" s="32" t="n">
        <x:f>AA200+X201-U201-AA200*V201/AB200</x:f>
        <x:v>2.2013871836098313</x:v>
      </x:c>
      <x:c r="AB201" s="10" t="n">
        <x:f>Y201+Z201+AA201</x:f>
        <x:v>17.467376325907015</x:v>
      </x:c>
      <x:c r="AC201" s="8" t="n">
        <x:f>IF(AND(v01_WinterTrigger=1,D201=1,AB200/AE200&gt;=K201),1,0)</x:f>
        <x:v>0</x:v>
      </x:c>
      <x:c r="AD201" s="8" t="n">
        <x:f>H201*IF(AND(OR(AB200/AE200&gt;=v01_FissionTrigger*N201,AC201=1),AB200/AE200*v01_DaughterShare&gt;=v01_MinDaughter),MAX(1,ROUND(AE200*v01_FissionRate,0)),0)</x:f>
        <x:v>0</x:v>
      </x:c>
      <x:c r="AE201" s="8" t="n">
        <x:f>IF(H201=1,MAX(1,MIN(INDEX(v01_Smax,G201),AE200+AD201)),AE200)</x:f>
        <x:v>1</x:v>
      </x:c>
      <x:c r="AF201" s="8" t="n">
        <x:f>MAX(0,AE201-AE200)</x:f>
        <x:v>0</x:v>
      </x:c>
      <x:c r="AG201" s="9" t="str">
        <x:f>IF(AF201&gt;0,B201,"")</x:f>
      </x:c>
      <x:c r="AH201" s="9" t="n">
        <x:f>IF(F201&gt;=1,1,(1+v01_LowTiesShare*(AE201-1))/AE201)</x:f>
        <x:v>1</x:v>
      </x:c>
      <x:c r="AI201" s="32" t="n">
        <x:f>(Z201+v01_ElderCommons*INDEX(LM_Elder,G201)*AA201)*AH201</x:f>
        <x:v>13.151317322752078</x:v>
      </x:c>
      <x:c r="AJ201" s="32" t="n">
        <x:f>H201*v01_CommonsCoef*AI201^v01_CommonsExp*INDEX(LM_Commons,G201)</x:f>
        <x:v>5.623043733229357</x:v>
      </x:c>
      <x:c r="AK201" s="32" t="n">
        <x:f>H201*v01_RoleScale*Arch_Roles*(AE201*(INDEX(v01_ElderRolePerSett,G201)*v01_OutElder*INDEX(LM_Elder,G201)+INDEX(v01_ShamanPerSett,G201)*v01_OutShaman)+Z201*(INDEX(v01_PriestShare,G201)*v01_OutPriest+INDEX(v01_ScribeShare,G201)*v01_OutScribe*INDEX(LM_Scribe,G201)+INDEX(v01_ScholarShare,G201)*v01_OutScholar*INDEX(LM_Scholar,G201)+INDEX(v01_ResearcherShare,G201)*v01_OutResearcher*INDEX(LM_Researcher,G201)))</x:f>
        <x:v>0</x:v>
      </x:c>
      <x:c r="AL201" s="32" t="n">
        <x:f>H201*v01_RoleScale*Arch_Roles*AE201*INDEX(v01_MonasteryPerSett,G201)*v01_OutMonastery*INDEX(LM_Monastery,G201)</x:f>
        <x:v>0</x:v>
      </x:c>
      <x:c r="AM201" s="32" t="n">
        <x:f>(AJ201+AK201+AL201)/4*INDEX(LM_All,G201)*INDEX(v01_Boon,G201)*Arch_Insight</x:f>
        <x:v>1.4057609333073393</x:v>
      </x:c>
      <x:c r="AN201" s="32" t="n">
        <x:f>H201*(v01_KHPerAdult*Z201+v01_KHOfCommons*AJ201/4*INDEX(LM_All,G201))*v01_KHUsable*Arch_KH</x:f>
        <x:v>0.3061990034436345</x:v>
      </x:c>
      <x:c r="AO201" s="32" t="n">
        <x:f>MIN(AP200+AN201,AM201*v01_KHMaxRatio)</x:f>
        <x:v>0.3061990034436345</x:v>
      </x:c>
      <x:c r="AP201" s="32" t="n">
        <x:f>AP200+AN201-AO201</x:f>
        <x:v>0</x:v>
      </x:c>
      <x:c r="AQ201" s="32" t="n">
        <x:f>AM201+AO201</x:f>
        <x:v>1.711959936750974</x:v>
      </x:c>
      <x:c r="AR201" s="10" t="n">
        <x:f>IF(H201=1,INDEX(v01_Req,G201),0)</x:f>
        <x:v>372.02</x:v>
      </x:c>
      <x:c r="AS201" s="32" t="n">
        <x:f>IF(H201=1,IF(E201=1,AS200-AR200,AS200)+AQ201,0)</x:f>
        <x:v>310.8336581615734</x:v>
      </x:c>
      <x:c r="AT201" s="11" t="n">
        <x:f>IF(AR201&gt;0,MIN(1,AS201/AR201),1)</x:f>
        <x:v>0.8355294289596619</x:v>
      </x:c>
      <x:c r="AU201" s="10" t="n">
        <x:f>AB201/INDEX(v01_RepScale,G201)</x:f>
        <x:v>17.467376325907015</x:v>
      </x:c>
      <x:c r="AV201" s="32" t="n">
        <x:f>AM201*60/v01_SeasonSeconds</x:f>
        <x:v>5.623043733229357</x:v>
      </x:c>
    </x:row>
    <x:row r="202">
      <x:c r="A202" s="8" t="n">
        <x:f>A201+1</x:f>
        <x:v>199</x:v>
      </x:c>
      <x:c r="B202" s="9" t="n">
        <x:f>A202*v01_SeasonSeconds/60</x:f>
        <x:v>49.75</x:v>
      </x:c>
      <x:c r="C202" s="9" t="n">
        <x:f>A202/4</x:f>
        <x:v>49.75</x:v>
      </x:c>
      <x:c r="D202" s="8" t="n">
        <x:f>IF(MOD(A202,4)=0,1,0)</x:f>
        <x:v>0</x:v>
      </x:c>
      <x:c r="E202" s="8" t="n">
        <x:f>IF(AND(F201&lt;=9,AS201&gt;=AR201),1,0)</x:f>
        <x:v>0</x:v>
      </x:c>
      <x:c r="F202" s="8" t="n">
        <x:f>MIN(10,F201+E202)</x:f>
        <x:v>0</x:v>
      </x:c>
      <x:c r="G202" s="8" t="n">
        <x:f>MIN(F202,9)+1</x:f>
        <x:v>1</x:v>
      </x:c>
      <x:c r="H202" s="8" t="n">
        <x:f>IF(F202&lt;=9,1,0)</x:f>
        <x:v>1</x:v>
      </x:c>
      <x:c r="I202" s="9" t="n">
        <x:f>MIN(10,F201+IF(AR201&gt;0,MIN(1,AS201/AR201),1))</x:f>
        <x:v>0.8355294289596619</x:v>
      </x:c>
      <x:c r="J202" s="32" t="n">
        <x:f>INDEX(v01_FoodCap,G202)*Arch_FoodCap*EXP(v01_CapsByProject*SUMPRODUCT((Cap_Point&lt;=I202)*(Cap_Kind="Food")*Cap_Ln))</x:f>
        <x:v>22</x:v>
      </x:c>
      <x:c r="K202" s="32" t="n">
        <x:f>J202*MIN(1,v01_LeanBase*EXP(v01_CapsByProject*SUMPRODUCT((Cap_Point&lt;=I202)*(Cap_Kind="Lean")*Cap_Ln)))</x:f>
        <x:v>22</x:v>
      </x:c>
      <x:c r="L202" s="10" t="n">
        <x:f>INDEX(v01_HousingCap,G202)*EXP(v01_CapsByProject*SUMPRODUCT((Cap_Point&lt;=I202)*(Cap_Kind="Housing")*Cap_Ln))</x:f>
        <x:v>60</x:v>
      </x:c>
      <x:c r="M202" s="10" t="n">
        <x:f>INDEX(v01_GroupCap,G202)*v01_CohesionFactor*EXP(v01_CapsByProject*SUMPRODUCT((Cap_Point&lt;=I202)*(Cap_Kind="Group")*Cap_Ln))</x:f>
        <x:v>35</x:v>
      </x:c>
      <x:c r="N202" s="32" t="n">
        <x:f>MIN(J202,L202,M202)</x:f>
        <x:v>22</x:v>
      </x:c>
      <x:c r="O202" s="10" t="n">
        <x:f>AE201*N202</x:f>
        <x:v>22</x:v>
      </x:c>
      <x:c r="P202" s="9" t="n">
        <x:f>MIN(1,(AB201/(AE201*IF(v01_GroupInCrowding=1,N202,MIN(J202,L202))))^v01_CrowdingExp)</x:f>
        <x:v>0.2505128322872271</x:v>
      </x:c>
      <x:c r="Q202" s="9" t="n">
        <x:f>IF(D202=1,INDEX(v01_WinterMult,G202),1)</x:f>
        <x:v>1</x:v>
      </x:c>
      <x:c r="R202" s="9" t="n">
        <x:f>H202*Z201*v01_WomenShare*v01_BaseFertility*INDEX(v01_FertMult,G202)*Arch_Fertility*(1-P202)</x:f>
        <x:v>0.19670762044066561</x:v>
      </x:c>
      <x:c r="S202" s="9" t="n">
        <x:f>H202*Y201*INDEX(v01_MortChild,G202)/4*Q202</x:f>
        <x:v>0.06517446186764769</x:v>
      </x:c>
      <x:c r="T202" s="9" t="n">
        <x:f>H202*Z201*INDEX(v01_MortAdult,G202)*Arch_AdultMort/4*Q202</x:f>
        <x:v>0.03280703608324655</x:v>
      </x:c>
      <x:c r="U202" s="9" t="n">
        <x:f>H202*AA201*INDEX(v01_MortElder,G202)/4*Q202</x:f>
        <x:v>0.055034679590245786</x:v>
      </x:c>
      <x:c r="V202" s="9" t="n">
        <x:f>H202*MAX(0,AB201-O202)*v01_OvercapLoss</x:f>
        <x:v>0</x:v>
      </x:c>
      <x:c r="W202" s="9" t="n">
        <x:f>H202*Y201/(v01_ChildYears*4)</x:f>
        <x:v>0.11638296762079944</x:v>
      </x:c>
      <x:c r="X202" s="9" t="n">
        <x:f>H202*Z201/(v01_AdultYears*4)</x:f>
        <x:v>0.0705527657704227</x:v>
      </x:c>
      <x:c r="Y202" s="32" t="n">
        <x:f>Y201+R202-S202-W202-Y201*V202/AB201</x:f>
        <x:v>6.532596377716987</x:v>
      </x:c>
      <x:c r="Z202" s="32" t="n">
        <x:f>Z201+W202-X202-T202-Z201*V202/AB201</x:f>
        <x:v>8.761566121299545</x:v>
      </x:c>
      <x:c r="AA202" s="32" t="n">
        <x:f>AA201+X202-U202-AA201*V202/AB201</x:f>
        <x:v>2.2169052697900082</x:v>
      </x:c>
      <x:c r="AB202" s="10" t="n">
        <x:f>Y202+Z202+AA202</x:f>
        <x:v>17.51106776880654</x:v>
      </x:c>
      <x:c r="AC202" s="8" t="n">
        <x:f>IF(AND(v01_WinterTrigger=1,D202=1,AB201/AE201&gt;=K202),1,0)</x:f>
        <x:v>0</x:v>
      </x:c>
      <x:c r="AD202" s="8" t="n">
        <x:f>H202*IF(AND(OR(AB201/AE201&gt;=v01_FissionTrigger*N202,AC202=1),AB201/AE201*v01_DaughterShare&gt;=v01_MinDaughter),MAX(1,ROUND(AE201*v01_FissionRate,0)),0)</x:f>
        <x:v>0</x:v>
      </x:c>
      <x:c r="AE202" s="8" t="n">
        <x:f>IF(H202=1,MAX(1,MIN(INDEX(v01_Smax,G202),AE201+AD202)),AE201)</x:f>
        <x:v>1</x:v>
      </x:c>
      <x:c r="AF202" s="8" t="n">
        <x:f>MAX(0,AE202-AE201)</x:f>
        <x:v>0</x:v>
      </x:c>
      <x:c r="AG202" s="9" t="str">
        <x:f>IF(AF202&gt;0,B202,"")</x:f>
      </x:c>
      <x:c r="AH202" s="9" t="n">
        <x:f>IF(F202&gt;=1,1,(1+v01_LowTiesShare*(AE202-1))/AE202)</x:f>
        <x:v>1</x:v>
      </x:c>
      <x:c r="AI202" s="32" t="n">
        <x:f>(Z202+v01_ElderCommons*INDEX(LM_Elder,G202)*AA202)*AH202</x:f>
        <x:v>13.19537666087956</x:v>
      </x:c>
      <x:c r="AJ202" s="32" t="n">
        <x:f>H202*v01_CommonsCoef*AI202^v01_CommonsExp*INDEX(LM_Commons,G202)</x:f>
        <x:v>5.639052213409181</x:v>
      </x:c>
      <x:c r="AK202" s="32" t="n">
        <x:f>H202*v01_RoleScale*Arch_Roles*(AE202*(INDEX(v01_ElderRolePerSett,G202)*v01_OutElder*INDEX(LM_Elder,G202)+INDEX(v01_ShamanPerSett,G202)*v01_OutShaman)+Z202*(INDEX(v01_PriestShare,G202)*v01_OutPriest+INDEX(v01_ScribeShare,G202)*v01_OutScribe*INDEX(LM_Scribe,G202)+INDEX(v01_ScholarShare,G202)*v01_OutScholar*INDEX(LM_Scholar,G202)+INDEX(v01_ResearcherShare,G202)*v01_OutResearcher*INDEX(LM_Researcher,G202)))</x:f>
        <x:v>0</x:v>
      </x:c>
      <x:c r="AL202" s="32" t="n">
        <x:f>H202*v01_RoleScale*Arch_Roles*AE202*INDEX(v01_MonasteryPerSett,G202)*v01_OutMonastery*INDEX(LM_Monastery,G202)</x:f>
        <x:v>0</x:v>
      </x:c>
      <x:c r="AM202" s="32" t="n">
        <x:f>(AJ202+AK202+AL202)/4*INDEX(LM_All,G202)*INDEX(v01_Boon,G202)*Arch_Insight</x:f>
        <x:v>1.4097630533522953</x:v>
      </x:c>
      <x:c r="AN202" s="32" t="n">
        <x:f>H202*(v01_KHPerAdult*Z202+v01_KHOfCommons*AJ202/4*INDEX(LM_All,G202))*v01_KHUsable*Arch_KH</x:f>
        <x:v>0.3066548142454841</x:v>
      </x:c>
      <x:c r="AO202" s="32" t="n">
        <x:f>MIN(AP201+AN202,AM202*v01_KHMaxRatio)</x:f>
        <x:v>0.3066548142454841</x:v>
      </x:c>
      <x:c r="AP202" s="32" t="n">
        <x:f>AP201+AN202-AO202</x:f>
        <x:v>0</x:v>
      </x:c>
      <x:c r="AQ202" s="32" t="n">
        <x:f>AM202+AO202</x:f>
        <x:v>1.7164178675977795</x:v>
      </x:c>
      <x:c r="AR202" s="10" t="n">
        <x:f>IF(H202=1,INDEX(v01_Req,G202),0)</x:f>
        <x:v>372.02</x:v>
      </x:c>
      <x:c r="AS202" s="32" t="n">
        <x:f>IF(H202=1,IF(E202=1,AS201-AR201,AS201)+AQ202,0)</x:f>
        <x:v>312.5500760291712</x:v>
      </x:c>
      <x:c r="AT202" s="11" t="n">
        <x:f>IF(AR202&gt;0,MIN(1,AS202/AR202),1)</x:f>
        <x:v>0.8401432074328563</x:v>
      </x:c>
      <x:c r="AU202" s="10" t="n">
        <x:f>AB202/INDEX(v01_RepScale,G202)</x:f>
        <x:v>17.51106776880654</x:v>
      </x:c>
      <x:c r="AV202" s="32" t="n">
        <x:f>AM202*60/v01_SeasonSeconds</x:f>
        <x:v>5.639052213409181</x:v>
      </x:c>
    </x:row>
    <x:row r="203">
      <x:c r="A203" s="8" t="n">
        <x:f>A202+1</x:f>
        <x:v>200</x:v>
      </x:c>
      <x:c r="B203" s="9" t="n">
        <x:f>A203*v01_SeasonSeconds/60</x:f>
        <x:v>50</x:v>
      </x:c>
      <x:c r="C203" s="9" t="n">
        <x:f>A203/4</x:f>
        <x:v>50</x:v>
      </x:c>
      <x:c r="D203" s="8" t="n">
        <x:f>IF(MOD(A203,4)=0,1,0)</x:f>
        <x:v>1</x:v>
      </x:c>
      <x:c r="E203" s="8" t="n">
        <x:f>IF(AND(F202&lt;=9,AS202&gt;=AR202),1,0)</x:f>
        <x:v>0</x:v>
      </x:c>
      <x:c r="F203" s="8" t="n">
        <x:f>MIN(10,F202+E203)</x:f>
        <x:v>0</x:v>
      </x:c>
      <x:c r="G203" s="8" t="n">
        <x:f>MIN(F203,9)+1</x:f>
        <x:v>1</x:v>
      </x:c>
      <x:c r="H203" s="8" t="n">
        <x:f>IF(F203&lt;=9,1,0)</x:f>
        <x:v>1</x:v>
      </x:c>
      <x:c r="I203" s="9" t="n">
        <x:f>MIN(10,F202+IF(AR202&gt;0,MIN(1,AS202/AR202),1))</x:f>
        <x:v>0.8401432074328563</x:v>
      </x:c>
      <x:c r="J203" s="32" t="n">
        <x:f>INDEX(v01_FoodCap,G203)*Arch_FoodCap*EXP(v01_CapsByProject*SUMPRODUCT((Cap_Point&lt;=I203)*(Cap_Kind="Food")*Cap_Ln))</x:f>
        <x:v>22</x:v>
      </x:c>
      <x:c r="K203" s="32" t="n">
        <x:f>J203*MIN(1,v01_LeanBase*EXP(v01_CapsByProject*SUMPRODUCT((Cap_Point&lt;=I203)*(Cap_Kind="Lean")*Cap_Ln)))</x:f>
        <x:v>22</x:v>
      </x:c>
      <x:c r="L203" s="10" t="n">
        <x:f>INDEX(v01_HousingCap,G203)*EXP(v01_CapsByProject*SUMPRODUCT((Cap_Point&lt;=I203)*(Cap_Kind="Housing")*Cap_Ln))</x:f>
        <x:v>60</x:v>
      </x:c>
      <x:c r="M203" s="10" t="n">
        <x:f>INDEX(v01_GroupCap,G203)*v01_CohesionFactor*EXP(v01_CapsByProject*SUMPRODUCT((Cap_Point&lt;=I203)*(Cap_Kind="Group")*Cap_Ln))</x:f>
        <x:v>35</x:v>
      </x:c>
      <x:c r="N203" s="32" t="n">
        <x:f>MIN(J203,L203,M203)</x:f>
        <x:v>22</x:v>
      </x:c>
      <x:c r="O203" s="10" t="n">
        <x:f>AE202*N203</x:f>
        <x:v>22</x:v>
      </x:c>
      <x:c r="P203" s="9" t="n">
        <x:f>MIN(1,(AB202/(AE202*IF(v01_GroupInCrowding=1,N203,MIN(J203,L203))))^v01_CrowdingExp)</x:f>
        <x:v>0.254296092995713</x:v>
      </x:c>
      <x:c r="Q203" s="9" t="n">
        <x:f>IF(D203=1,INDEX(v01_WinterMult,G203),1)</x:f>
        <x:v>2</x:v>
      </x:c>
      <x:c r="R203" s="9" t="n">
        <x:f>H203*Z202*v01_WomenShare*v01_BaseFertility*INDEX(v01_FertMult,G203)*Arch_Fertility*(1-P203)</x:f>
        <x:v>0.19600602264388403</x:v>
      </x:c>
      <x:c r="S203" s="9" t="n">
        <x:f>H203*Y202*INDEX(v01_MortChild,G203)/4*Q203</x:f>
        <x:v>0.13065192755433974</x:v>
      </x:c>
      <x:c r="T203" s="9" t="n">
        <x:f>H203*Z202*INDEX(v01_MortAdult,G203)*Arch_AdultMort/4*Q203</x:f>
        <x:v>0.06571174590974659</x:v>
      </x:c>
      <x:c r="U203" s="9" t="n">
        <x:f>H203*AA202*INDEX(v01_MortElder,G203)/4*Q203</x:f>
        <x:v>0.11084526348950041</x:v>
      </x:c>
      <x:c r="V203" s="9" t="n">
        <x:f>H203*MAX(0,AB202-O203)*v01_OvercapLoss</x:f>
        <x:v>0</x:v>
      </x:c>
      <x:c r="W203" s="9" t="n">
        <x:f>H203*Y202/(v01_ChildYears*4)</x:f>
        <x:v>0.1166535067449462</x:v>
      </x:c>
      <x:c r="X203" s="9" t="n">
        <x:f>H203*Z202/(v01_AdultYears*4)</x:f>
        <x:v>0.07065779130080278</x:v>
      </x:c>
      <x:c r="Y203" s="32" t="n">
        <x:f>Y202+R203-S203-W203-Y202*V203/AB202</x:f>
        <x:v>6.481296966061586</x:v>
      </x:c>
      <x:c r="Z203" s="32" t="n">
        <x:f>Z202+W203-X203-T203-Z202*V203/AB202</x:f>
        <x:v>8.74185009083394</x:v>
      </x:c>
      <x:c r="AA203" s="32" t="n">
        <x:f>AA202+X203-U203-AA202*V203/AB202</x:f>
        <x:v>2.176717797601311</x:v>
      </x:c>
      <x:c r="AB203" s="10" t="n">
        <x:f>Y203+Z203+AA203</x:f>
        <x:v>17.399864854496837</x:v>
      </x:c>
      <x:c r="AC203" s="8" t="n">
        <x:f>IF(AND(v01_WinterTrigger=1,D203=1,AB202/AE202&gt;=K203),1,0)</x:f>
        <x:v>0</x:v>
      </x:c>
      <x:c r="AD203" s="8" t="n">
        <x:f>H203*IF(AND(OR(AB202/AE202&gt;=v01_FissionTrigger*N203,AC203=1),AB202/AE202*v01_DaughterShare&gt;=v01_MinDaughter),MAX(1,ROUND(AE202*v01_FissionRate,0)),0)</x:f>
        <x:v>0</x:v>
      </x:c>
      <x:c r="AE203" s="8" t="n">
        <x:f>IF(H203=1,MAX(1,MIN(INDEX(v01_Smax,G203),AE202+AD203)),AE202)</x:f>
        <x:v>1</x:v>
      </x:c>
      <x:c r="AF203" s="8" t="n">
        <x:f>MAX(0,AE203-AE202)</x:f>
        <x:v>0</x:v>
      </x:c>
      <x:c r="AG203" s="9" t="str">
        <x:f>IF(AF203&gt;0,B203,"")</x:f>
      </x:c>
      <x:c r="AH203" s="9" t="n">
        <x:f>IF(F203&gt;=1,1,(1+v01_LowTiesShare*(AE203-1))/AE203)</x:f>
        <x:v>1</x:v>
      </x:c>
      <x:c r="AI203" s="32" t="n">
        <x:f>(Z203+v01_ElderCommons*INDEX(LM_Elder,G203)*AA203)*AH203</x:f>
        <x:v>13.095285686036561</x:v>
      </x:c>
      <x:c r="AJ203" s="32" t="n">
        <x:f>H203*v01_CommonsCoef*AI203^v01_CommonsExp*INDEX(LM_Commons,G203)</x:f>
        <x:v>5.602673621166482</x:v>
      </x:c>
      <x:c r="AK203" s="32" t="n">
        <x:f>H203*v01_RoleScale*Arch_Roles*(AE203*(INDEX(v01_ElderRolePerSett,G203)*v01_OutElder*INDEX(LM_Elder,G203)+INDEX(v01_ShamanPerSett,G203)*v01_OutShaman)+Z203*(INDEX(v01_PriestShare,G203)*v01_OutPriest+INDEX(v01_ScribeShare,G203)*v01_OutScribe*INDEX(LM_Scribe,G203)+INDEX(v01_ScholarShare,G203)*v01_OutScholar*INDEX(LM_Scholar,G203)+INDEX(v01_ResearcherShare,G203)*v01_OutResearcher*INDEX(LM_Researcher,G203)))</x:f>
        <x:v>0</x:v>
      </x:c>
      <x:c r="AL203" s="32" t="n">
        <x:f>H203*v01_RoleScale*Arch_Roles*AE203*INDEX(v01_MonasteryPerSett,G203)*v01_OutMonastery*INDEX(LM_Monastery,G203)</x:f>
        <x:v>0</x:v>
      </x:c>
      <x:c r="AM203" s="32" t="n">
        <x:f>(AJ203+AK203+AL203)/4*INDEX(LM_All,G203)*INDEX(v01_Boon,G203)*Arch_Insight</x:f>
        <x:v>1.4006684052916205</x:v>
      </x:c>
      <x:c r="AN203" s="32" t="n">
        <x:f>H203*(v01_KHPerAdult*Z203+v01_KHOfCommons*AJ203/4*INDEX(LM_All,G203))*v01_KHUsable*Arch_KH</x:f>
        <x:v>0.3059647531791879</x:v>
      </x:c>
      <x:c r="AO203" s="32" t="n">
        <x:f>MIN(AP202+AN203,AM203*v01_KHMaxRatio)</x:f>
        <x:v>0.3059647531791879</x:v>
      </x:c>
      <x:c r="AP203" s="32" t="n">
        <x:f>AP202+AN203-AO203</x:f>
        <x:v>0</x:v>
      </x:c>
      <x:c r="AQ203" s="32" t="n">
        <x:f>AM203+AO203</x:f>
        <x:v>1.7066331584708085</x:v>
      </x:c>
      <x:c r="AR203" s="10" t="n">
        <x:f>IF(H203=1,INDEX(v01_Req,G203),0)</x:f>
        <x:v>372.02</x:v>
      </x:c>
      <x:c r="AS203" s="32" t="n">
        <x:f>IF(H203=1,IF(E203=1,AS202-AR202,AS202)+AQ203,0)</x:f>
        <x:v>314.256709187642</x:v>
      </x:c>
      <x:c r="AT203" s="11" t="n">
        <x:f>IF(AR203&gt;0,MIN(1,AS203/AR203),1)</x:f>
        <x:v>0.8447306843385893</x:v>
      </x:c>
      <x:c r="AU203" s="10" t="n">
        <x:f>AB203/INDEX(v01_RepScale,G203)</x:f>
        <x:v>17.399864854496837</x:v>
      </x:c>
      <x:c r="AV203" s="32" t="n">
        <x:f>AM203*60/v01_SeasonSeconds</x:f>
        <x:v>5.602673621166482</x:v>
      </x:c>
    </x:row>
    <x:row r="204">
      <x:c r="A204" s="8" t="n">
        <x:f>A203+1</x:f>
        <x:v>201</x:v>
      </x:c>
      <x:c r="B204" s="9" t="n">
        <x:f>A204*v01_SeasonSeconds/60</x:f>
        <x:v>50.25</x:v>
      </x:c>
      <x:c r="C204" s="9" t="n">
        <x:f>A204/4</x:f>
        <x:v>50.25</x:v>
      </x:c>
      <x:c r="D204" s="8" t="n">
        <x:f>IF(MOD(A204,4)=0,1,0)</x:f>
        <x:v>0</x:v>
      </x:c>
      <x:c r="E204" s="8" t="n">
        <x:f>IF(AND(F203&lt;=9,AS203&gt;=AR203),1,0)</x:f>
        <x:v>0</x:v>
      </x:c>
      <x:c r="F204" s="8" t="n">
        <x:f>MIN(10,F203+E204)</x:f>
        <x:v>0</x:v>
      </x:c>
      <x:c r="G204" s="8" t="n">
        <x:f>MIN(F204,9)+1</x:f>
        <x:v>1</x:v>
      </x:c>
      <x:c r="H204" s="8" t="n">
        <x:f>IF(F204&lt;=9,1,0)</x:f>
        <x:v>1</x:v>
      </x:c>
      <x:c r="I204" s="9" t="n">
        <x:f>MIN(10,F203+IF(AR203&gt;0,MIN(1,AS203/AR203),1))</x:f>
        <x:v>0.8447306843385893</x:v>
      </x:c>
      <x:c r="J204" s="32" t="n">
        <x:f>INDEX(v01_FoodCap,G204)*Arch_FoodCap*EXP(v01_CapsByProject*SUMPRODUCT((Cap_Point&lt;=I204)*(Cap_Kind="Food")*Cap_Ln))</x:f>
        <x:v>22</x:v>
      </x:c>
      <x:c r="K204" s="32" t="n">
        <x:f>J204*MIN(1,v01_LeanBase*EXP(v01_CapsByProject*SUMPRODUCT((Cap_Point&lt;=I204)*(Cap_Kind="Lean")*Cap_Ln)))</x:f>
        <x:v>22</x:v>
      </x:c>
      <x:c r="L204" s="10" t="n">
        <x:f>INDEX(v01_HousingCap,G204)*EXP(v01_CapsByProject*SUMPRODUCT((Cap_Point&lt;=I204)*(Cap_Kind="Housing")*Cap_Ln))</x:f>
        <x:v>60</x:v>
      </x:c>
      <x:c r="M204" s="10" t="n">
        <x:f>INDEX(v01_GroupCap,G204)*v01_CohesionFactor*EXP(v01_CapsByProject*SUMPRODUCT((Cap_Point&lt;=I204)*(Cap_Kind="Group")*Cap_Ln))</x:f>
        <x:v>35</x:v>
      </x:c>
      <x:c r="N204" s="32" t="n">
        <x:f>MIN(J204,L204,M204)</x:f>
        <x:v>22</x:v>
      </x:c>
      <x:c r="O204" s="10" t="n">
        <x:f>AE203*N204</x:f>
        <x:v>22</x:v>
      </x:c>
      <x:c r="P204" s="9" t="n">
        <x:f>MIN(1,(AB203/(AE203*IF(v01_GroupInCrowding=1,N204,MIN(J204,L204))))^v01_CrowdingExp)</x:f>
        <x:v>0.24475927930087957</x:v>
      </x:c>
      <x:c r="Q204" s="9" t="n">
        <x:f>IF(D204=1,INDEX(v01_WinterMult,G204),1)</x:f>
        <x:v>1</x:v>
      </x:c>
      <x:c r="R204" s="9" t="n">
        <x:f>H204*Z203*v01_WomenShare*v01_BaseFertility*INDEX(v01_FertMult,G204)*Arch_Fertility*(1-P204)</x:f>
        <x:v>0.19806603488535288</x:v>
      </x:c>
      <x:c r="S204" s="9" t="n">
        <x:f>H204*Y203*INDEX(v01_MortChild,G204)/4*Q204</x:f>
        <x:v>0.06481296966061587</x:v>
      </x:c>
      <x:c r="T204" s="9" t="n">
        <x:f>H204*Z203*INDEX(v01_MortAdult,G204)*Arch_AdultMort/4*Q204</x:f>
        <x:v>0.03278193784062727</x:v>
      </x:c>
      <x:c r="U204" s="9" t="n">
        <x:f>H204*AA203*INDEX(v01_MortElder,G204)/4*Q204</x:f>
        <x:v>0.05441794494003277</x:v>
      </x:c>
      <x:c r="V204" s="9" t="n">
        <x:f>H204*MAX(0,AB203-O204)*v01_OvercapLoss</x:f>
        <x:v>0</x:v>
      </x:c>
      <x:c r="W204" s="9" t="n">
        <x:f>H204*Y203/(v01_ChildYears*4)</x:f>
        <x:v>0.11573744582252832</x:v>
      </x:c>
      <x:c r="X204" s="9" t="n">
        <x:f>H204*Z203/(v01_AdultYears*4)</x:f>
        <x:v>0.07049879105511242</x:v>
      </x:c>
      <x:c r="Y204" s="32" t="n">
        <x:f>Y203+R204-S204-W204-Y203*V204/AB203</x:f>
        <x:v>6.498812585463795</x:v>
      </x:c>
      <x:c r="Z204" s="32" t="n">
        <x:f>Z203+W204-X204-T204-Z203*V204/AB203</x:f>
        <x:v>8.754306807760731</x:v>
      </x:c>
      <x:c r="AA204" s="32" t="n">
        <x:f>AA203+X204-U204-AA203*V204/AB203</x:f>
        <x:v>2.19279864371639</x:v>
      </x:c>
      <x:c r="AB204" s="10" t="n">
        <x:f>Y204+Z204+AA204</x:f>
        <x:v>17.445918036940917</x:v>
      </x:c>
      <x:c r="AC204" s="8" t="n">
        <x:f>IF(AND(v01_WinterTrigger=1,D204=1,AB203/AE203&gt;=K204),1,0)</x:f>
        <x:v>0</x:v>
      </x:c>
      <x:c r="AD204" s="8" t="n">
        <x:f>H204*IF(AND(OR(AB203/AE203&gt;=v01_FissionTrigger*N204,AC204=1),AB203/AE203*v01_DaughterShare&gt;=v01_MinDaughter),MAX(1,ROUND(AE203*v01_FissionRate,0)),0)</x:f>
        <x:v>0</x:v>
      </x:c>
      <x:c r="AE204" s="8" t="n">
        <x:f>IF(H204=1,MAX(1,MIN(INDEX(v01_Smax,G204),AE203+AD204)),AE203)</x:f>
        <x:v>1</x:v>
      </x:c>
      <x:c r="AF204" s="8" t="n">
        <x:f>MAX(0,AE204-AE203)</x:f>
        <x:v>0</x:v>
      </x:c>
      <x:c r="AG204" s="9" t="str">
        <x:f>IF(AF204&gt;0,B204,"")</x:f>
      </x:c>
      <x:c r="AH204" s="9" t="n">
        <x:f>IF(F204&gt;=1,1,(1+v01_LowTiesShare*(AE204-1))/AE204)</x:f>
        <x:v>1</x:v>
      </x:c>
      <x:c r="AI204" s="32" t="n">
        <x:f>(Z204+v01_ElderCommons*INDEX(LM_Elder,G204)*AA204)*AH204</x:f>
        <x:v>13.139904095193511</x:v>
      </x:c>
      <x:c r="AJ204" s="32" t="n">
        <x:f>H204*v01_CommonsCoef*AI204^v01_CommonsExp*INDEX(LM_Commons,G204)</x:f>
        <x:v>5.618895550468079</x:v>
      </x:c>
      <x:c r="AK204" s="32" t="n">
        <x:f>H204*v01_RoleScale*Arch_Roles*(AE204*(INDEX(v01_ElderRolePerSett,G204)*v01_OutElder*INDEX(LM_Elder,G204)+INDEX(v01_ShamanPerSett,G204)*v01_OutShaman)+Z204*(INDEX(v01_PriestShare,G204)*v01_OutPriest+INDEX(v01_ScribeShare,G204)*v01_OutScribe*INDEX(LM_Scribe,G204)+INDEX(v01_ScholarShare,G204)*v01_OutScholar*INDEX(LM_Scholar,G204)+INDEX(v01_ResearcherShare,G204)*v01_OutResearcher*INDEX(LM_Researcher,G204)))</x:f>
        <x:v>0</x:v>
      </x:c>
      <x:c r="AL204" s="32" t="n">
        <x:f>H204*v01_RoleScale*Arch_Roles*AE204*INDEX(v01_MonasteryPerSett,G204)*v01_OutMonastery*INDEX(LM_Monastery,G204)</x:f>
        <x:v>0</x:v>
      </x:c>
      <x:c r="AM204" s="32" t="n">
        <x:f>(AJ204+AK204+AL204)/4*INDEX(LM_All,G204)*INDEX(v01_Boon,G204)*Arch_Insight</x:f>
        <x:v>1.4047238876170198</x:v>
      </x:c>
      <x:c r="AN204" s="32" t="n">
        <x:f>H204*(v01_KHPerAdult*Z204+v01_KHOfCommons*AJ204/4*INDEX(LM_All,G204))*v01_KHUsable*Arch_KH</x:f>
        <x:v>0.30640073827162556</x:v>
      </x:c>
      <x:c r="AO204" s="32" t="n">
        <x:f>MIN(AP203+AN204,AM204*v01_KHMaxRatio)</x:f>
        <x:v>0.30640073827162556</x:v>
      </x:c>
      <x:c r="AP204" s="32" t="n">
        <x:f>AP203+AN204-AO204</x:f>
        <x:v>0</x:v>
      </x:c>
      <x:c r="AQ204" s="32" t="n">
        <x:f>AM204+AO204</x:f>
        <x:v>1.7111246258886454</x:v>
      </x:c>
      <x:c r="AR204" s="10" t="n">
        <x:f>IF(H204=1,INDEX(v01_Req,G204),0)</x:f>
        <x:v>372.02</x:v>
      </x:c>
      <x:c r="AS204" s="32" t="n">
        <x:f>IF(H204=1,IF(E204=1,AS203-AR203,AS203)+AQ204,0)</x:f>
        <x:v>315.96783381353066</x:v>
      </x:c>
      <x:c r="AT204" s="11" t="n">
        <x:f>IF(AR204&gt;0,MIN(1,AS204/AR204),1)</x:f>
        <x:v>0.849330234432371</x:v>
      </x:c>
      <x:c r="AU204" s="10" t="n">
        <x:f>AB204/INDEX(v01_RepScale,G204)</x:f>
        <x:v>17.445918036940917</x:v>
      </x:c>
      <x:c r="AV204" s="32" t="n">
        <x:f>AM204*60/v01_SeasonSeconds</x:f>
        <x:v>5.618895550468079</x:v>
      </x:c>
    </x:row>
    <x:row r="205">
      <x:c r="A205" s="8" t="n">
        <x:f>A204+1</x:f>
        <x:v>202</x:v>
      </x:c>
      <x:c r="B205" s="9" t="n">
        <x:f>A205*v01_SeasonSeconds/60</x:f>
        <x:v>50.5</x:v>
      </x:c>
      <x:c r="C205" s="9" t="n">
        <x:f>A205/4</x:f>
        <x:v>50.5</x:v>
      </x:c>
      <x:c r="D205" s="8" t="n">
        <x:f>IF(MOD(A205,4)=0,1,0)</x:f>
        <x:v>0</x:v>
      </x:c>
      <x:c r="E205" s="8" t="n">
        <x:f>IF(AND(F204&lt;=9,AS204&gt;=AR204),1,0)</x:f>
        <x:v>0</x:v>
      </x:c>
      <x:c r="F205" s="8" t="n">
        <x:f>MIN(10,F204+E205)</x:f>
        <x:v>0</x:v>
      </x:c>
      <x:c r="G205" s="8" t="n">
        <x:f>MIN(F205,9)+1</x:f>
        <x:v>1</x:v>
      </x:c>
      <x:c r="H205" s="8" t="n">
        <x:f>IF(F205&lt;=9,1,0)</x:f>
        <x:v>1</x:v>
      </x:c>
      <x:c r="I205" s="9" t="n">
        <x:f>MIN(10,F204+IF(AR204&gt;0,MIN(1,AS204/AR204),1))</x:f>
        <x:v>0.849330234432371</x:v>
      </x:c>
      <x:c r="J205" s="32" t="n">
        <x:f>INDEX(v01_FoodCap,G205)*Arch_FoodCap*EXP(v01_CapsByProject*SUMPRODUCT((Cap_Point&lt;=I205)*(Cap_Kind="Food")*Cap_Ln))</x:f>
        <x:v>22</x:v>
      </x:c>
      <x:c r="K205" s="32" t="n">
        <x:f>J205*MIN(1,v01_LeanBase*EXP(v01_CapsByProject*SUMPRODUCT((Cap_Point&lt;=I205)*(Cap_Kind="Lean")*Cap_Ln)))</x:f>
        <x:v>22</x:v>
      </x:c>
      <x:c r="L205" s="10" t="n">
        <x:f>INDEX(v01_HousingCap,G205)*EXP(v01_CapsByProject*SUMPRODUCT((Cap_Point&lt;=I205)*(Cap_Kind="Housing")*Cap_Ln))</x:f>
        <x:v>60</x:v>
      </x:c>
      <x:c r="M205" s="10" t="n">
        <x:f>INDEX(v01_GroupCap,G205)*v01_CohesionFactor*EXP(v01_CapsByProject*SUMPRODUCT((Cap_Point&lt;=I205)*(Cap_Kind="Group")*Cap_Ln))</x:f>
        <x:v>35</x:v>
      </x:c>
      <x:c r="N205" s="32" t="n">
        <x:f>MIN(J205,L205,M205)</x:f>
        <x:v>22</x:v>
      </x:c>
      <x:c r="O205" s="10" t="n">
        <x:f>AE204*N205</x:f>
        <x:v>22</x:v>
      </x:c>
      <x:c r="P205" s="9" t="n">
        <x:f>MIN(1,(AB204/(AE204*IF(v01_GroupInCrowding=1,N205,MIN(J205,L205))))^v01_CrowdingExp)</x:f>
        <x:v>0.2486719968177754</x:v>
      </x:c>
      <x:c r="Q205" s="9" t="n">
        <x:f>IF(D205=1,INDEX(v01_WinterMult,G205),1)</x:f>
        <x:v>1</x:v>
      </x:c>
      <x:c r="R205" s="9" t="n">
        <x:f>H205*Z204*v01_WomenShare*v01_BaseFertility*INDEX(v01_FertMult,G205)*Arch_Fertility*(1-P205)</x:f>
        <x:v>0.19732067559358274</x:v>
      </x:c>
      <x:c r="S205" s="9" t="n">
        <x:f>H205*Y204*INDEX(v01_MortChild,G205)/4*Q205</x:f>
        <x:v>0.06498812585463795</x:v>
      </x:c>
      <x:c r="T205" s="9" t="n">
        <x:f>H205*Z204*INDEX(v01_MortAdult,G205)*Arch_AdultMort/4*Q205</x:f>
        <x:v>0.03282865052910274</x:v>
      </x:c>
      <x:c r="U205" s="9" t="n">
        <x:f>H205*AA204*INDEX(v01_MortElder,G205)/4*Q205</x:f>
        <x:v>0.05481996609290976</x:v>
      </x:c>
      <x:c r="V205" s="9" t="n">
        <x:f>H205*MAX(0,AB204-O205)*v01_OvercapLoss</x:f>
        <x:v>0</x:v>
      </x:c>
      <x:c r="W205" s="9" t="n">
        <x:f>H205*Y204/(v01_ChildYears*4)</x:f>
        <x:v>0.11605022474042491</x:v>
      </x:c>
      <x:c r="X205" s="9" t="n">
        <x:f>H205*Z204/(v01_AdultYears*4)</x:f>
        <x:v>0.07059924844968331</x:v>
      </x:c>
      <x:c r="Y205" s="32" t="n">
        <x:f>Y204+R205-S205-W205-Y204*V205/AB204</x:f>
        <x:v>6.515094910462314</x:v>
      </x:c>
      <x:c r="Z205" s="32" t="n">
        <x:f>Z204+W205-X205-T205-Z204*V205/AB204</x:f>
        <x:v>8.76692913352237</x:v>
      </x:c>
      <x:c r="AA205" s="32" t="n">
        <x:f>AA204+X205-U205-AA204*V205/AB204</x:f>
        <x:v>2.2085779260731635</x:v>
      </x:c>
      <x:c r="AB205" s="10" t="n">
        <x:f>Y205+Z205+AA205</x:f>
        <x:v>17.49060197005785</x:v>
      </x:c>
      <x:c r="AC205" s="8" t="n">
        <x:f>IF(AND(v01_WinterTrigger=1,D205=1,AB204/AE204&gt;=K205),1,0)</x:f>
        <x:v>0</x:v>
      </x:c>
      <x:c r="AD205" s="8" t="n">
        <x:f>H205*IF(AND(OR(AB204/AE204&gt;=v01_FissionTrigger*N205,AC205=1),AB204/AE204*v01_DaughterShare&gt;=v01_MinDaughter),MAX(1,ROUND(AE204*v01_FissionRate,0)),0)</x:f>
        <x:v>0</x:v>
      </x:c>
      <x:c r="AE205" s="8" t="n">
        <x:f>IF(H205=1,MAX(1,MIN(INDEX(v01_Smax,G205),AE204+AD205)),AE204)</x:f>
        <x:v>1</x:v>
      </x:c>
      <x:c r="AF205" s="8" t="n">
        <x:f>MAX(0,AE205-AE204)</x:f>
        <x:v>0</x:v>
      </x:c>
      <x:c r="AG205" s="9" t="str">
        <x:f>IF(AF205&gt;0,B205,"")</x:f>
      </x:c>
      <x:c r="AH205" s="9" t="n">
        <x:f>IF(F205&gt;=1,1,(1+v01_LowTiesShare*(AE205-1))/AE205)</x:f>
        <x:v>1</x:v>
      </x:c>
      <x:c r="AI205" s="32" t="n">
        <x:f>(Z205+v01_ElderCommons*INDEX(LM_Elder,G205)*AA205)*AH205</x:f>
        <x:v>13.184084985668697</x:v>
      </x:c>
      <x:c r="AJ205" s="32" t="n">
        <x:f>H205*v01_CommonsCoef*AI205^v01_CommonsExp*INDEX(LM_Commons,G205)</x:f>
        <x:v>5.634950271469969</x:v>
      </x:c>
      <x:c r="AK205" s="32" t="n">
        <x:f>H205*v01_RoleScale*Arch_Roles*(AE205*(INDEX(v01_ElderRolePerSett,G205)*v01_OutElder*INDEX(LM_Elder,G205)+INDEX(v01_ShamanPerSett,G205)*v01_OutShaman)+Z205*(INDEX(v01_PriestShare,G205)*v01_OutPriest+INDEX(v01_ScribeShare,G205)*v01_OutScribe*INDEX(LM_Scribe,G205)+INDEX(v01_ScholarShare,G205)*v01_OutScholar*INDEX(LM_Scholar,G205)+INDEX(v01_ResearcherShare,G205)*v01_OutResearcher*INDEX(LM_Researcher,G205)))</x:f>
        <x:v>0</x:v>
      </x:c>
      <x:c r="AL205" s="32" t="n">
        <x:f>H205*v01_RoleScale*Arch_Roles*AE205*INDEX(v01_MonasteryPerSett,G205)*v01_OutMonastery*INDEX(LM_Monastery,G205)</x:f>
        <x:v>0</x:v>
      </x:c>
      <x:c r="AM205" s="32" t="n">
        <x:f>(AJ205+AK205+AL205)/4*INDEX(LM_All,G205)*INDEX(v01_Boon,G205)*Arch_Insight</x:f>
        <x:v>1.4087375678674923</x:v>
      </x:c>
      <x:c r="AN205" s="32" t="n">
        <x:f>H205*(v01_KHPerAdult*Z205+v01_KHOfCommons*AJ205/4*INDEX(LM_All,G205))*v01_KHUsable*Arch_KH</x:f>
        <x:v>0.3068425196732829</x:v>
      </x:c>
      <x:c r="AO205" s="32" t="n">
        <x:f>MIN(AP204+AN205,AM205*v01_KHMaxRatio)</x:f>
        <x:v>0.3068425196732829</x:v>
      </x:c>
      <x:c r="AP205" s="32" t="n">
        <x:f>AP204+AN205-AO205</x:f>
        <x:v>0</x:v>
      </x:c>
      <x:c r="AQ205" s="32" t="n">
        <x:f>AM205+AO205</x:f>
        <x:v>1.7155800875407752</x:v>
      </x:c>
      <x:c r="AR205" s="10" t="n">
        <x:f>IF(H205=1,INDEX(v01_Req,G205),0)</x:f>
        <x:v>372.02</x:v>
      </x:c>
      <x:c r="AS205" s="32" t="n">
        <x:f>IF(H205=1,IF(E205=1,AS204-AR204,AS204)+AQ205,0)</x:f>
        <x:v>317.68341390107145</x:v>
      </x:c>
      <x:c r="AT205" s="11" t="n">
        <x:f>IF(AR205&gt;0,MIN(1,AS205/AR205),1)</x:f>
        <x:v>0.853941760929712</x:v>
      </x:c>
      <x:c r="AU205" s="10" t="n">
        <x:f>AB205/INDEX(v01_RepScale,G205)</x:f>
        <x:v>17.49060197005785</x:v>
      </x:c>
      <x:c r="AV205" s="32" t="n">
        <x:f>AM205*60/v01_SeasonSeconds</x:f>
        <x:v>5.634950271469969</x:v>
      </x:c>
    </x:row>
    <x:row r="206">
      <x:c r="A206" s="8" t="n">
        <x:f>A205+1</x:f>
        <x:v>203</x:v>
      </x:c>
      <x:c r="B206" s="9" t="n">
        <x:f>A206*v01_SeasonSeconds/60</x:f>
        <x:v>50.75</x:v>
      </x:c>
      <x:c r="C206" s="9" t="n">
        <x:f>A206/4</x:f>
        <x:v>50.75</x:v>
      </x:c>
      <x:c r="D206" s="8" t="n">
        <x:f>IF(MOD(A206,4)=0,1,0)</x:f>
        <x:v>0</x:v>
      </x:c>
      <x:c r="E206" s="8" t="n">
        <x:f>IF(AND(F205&lt;=9,AS205&gt;=AR205),1,0)</x:f>
        <x:v>0</x:v>
      </x:c>
      <x:c r="F206" s="8" t="n">
        <x:f>MIN(10,F205+E206)</x:f>
        <x:v>0</x:v>
      </x:c>
      <x:c r="G206" s="8" t="n">
        <x:f>MIN(F206,9)+1</x:f>
        <x:v>1</x:v>
      </x:c>
      <x:c r="H206" s="8" t="n">
        <x:f>IF(F206&lt;=9,1,0)</x:f>
        <x:v>1</x:v>
      </x:c>
      <x:c r="I206" s="9" t="n">
        <x:f>MIN(10,F205+IF(AR205&gt;0,MIN(1,AS205/AR205),1))</x:f>
        <x:v>0.853941760929712</x:v>
      </x:c>
      <x:c r="J206" s="32" t="n">
        <x:f>INDEX(v01_FoodCap,G206)*Arch_FoodCap*EXP(v01_CapsByProject*SUMPRODUCT((Cap_Point&lt;=I206)*(Cap_Kind="Food")*Cap_Ln))</x:f>
        <x:v>22</x:v>
      </x:c>
      <x:c r="K206" s="32" t="n">
        <x:f>J206*MIN(1,v01_LeanBase*EXP(v01_CapsByProject*SUMPRODUCT((Cap_Point&lt;=I206)*(Cap_Kind="Lean")*Cap_Ln)))</x:f>
        <x:v>22</x:v>
      </x:c>
      <x:c r="L206" s="10" t="n">
        <x:f>INDEX(v01_HousingCap,G206)*EXP(v01_CapsByProject*SUMPRODUCT((Cap_Point&lt;=I206)*(Cap_Kind="Housing")*Cap_Ln))</x:f>
        <x:v>60</x:v>
      </x:c>
      <x:c r="M206" s="10" t="n">
        <x:f>INDEX(v01_GroupCap,G206)*v01_CohesionFactor*EXP(v01_CapsByProject*SUMPRODUCT((Cap_Point&lt;=I206)*(Cap_Kind="Group")*Cap_Ln))</x:f>
        <x:v>35</x:v>
      </x:c>
      <x:c r="N206" s="32" t="n">
        <x:f>MIN(J206,L206,M206)</x:f>
        <x:v>22</x:v>
      </x:c>
      <x:c r="O206" s="10" t="n">
        <x:f>AE205*N206</x:f>
        <x:v>22</x:v>
      </x:c>
      <x:c r="P206" s="9" t="n">
        <x:f>MIN(1,(AB205/(AE205*IF(v01_GroupInCrowding=1,N206,MIN(J206,L206))))^v01_CrowdingExp)</x:f>
        <x:v>0.2525180666387063</x:v>
      </x:c>
      <x:c r="Q206" s="9" t="n">
        <x:f>IF(D206=1,INDEX(v01_WinterMult,G206),1)</x:f>
        <x:v>1</x:v>
      </x:c>
      <x:c r="R206" s="9" t="n">
        <x:f>H206*Z205*v01_WomenShare*v01_BaseFertility*INDEX(v01_FertMult,G206)*Arch_Fertility*(1-P206)</x:f>
        <x:v>0.19659363415100253</x:v>
      </x:c>
      <x:c r="S206" s="9" t="n">
        <x:f>H206*Y205*INDEX(v01_MortChild,G206)/4*Q206</x:f>
        <x:v>0.06515094910462314</x:v>
      </x:c>
      <x:c r="T206" s="9" t="n">
        <x:f>H206*Z205*INDEX(v01_MortAdult,G206)*Arch_AdultMort/4*Q206</x:f>
        <x:v>0.03287598425070888</x:v>
      </x:c>
      <x:c r="U206" s="9" t="n">
        <x:f>H206*AA205*INDEX(v01_MortElder,G206)/4*Q206</x:f>
        <x:v>0.05521444815182909</x:v>
      </x:c>
      <x:c r="V206" s="9" t="n">
        <x:f>H206*MAX(0,AB205-O206)*v01_OvercapLoss</x:f>
        <x:v>0</x:v>
      </x:c>
      <x:c r="W206" s="9" t="n">
        <x:f>H206*Y205/(v01_ChildYears*4)</x:f>
        <x:v>0.1163409805439699</x:v>
      </x:c>
      <x:c r="X206" s="9" t="n">
        <x:f>H206*Z205/(v01_AdultYears*4)</x:f>
        <x:v>0.07070104139937394</x:v>
      </x:c>
      <x:c r="Y206" s="32" t="n">
        <x:f>Y205+R206-S206-W206-Y205*V206/AB205</x:f>
        <x:v>6.530196614964724</x:v>
      </x:c>
      <x:c r="Z206" s="32" t="n">
        <x:f>Z205+W206-X206-T206-Z205*V206/AB205</x:f>
        <x:v>8.779693088416257</x:v>
      </x:c>
      <x:c r="AA206" s="32" t="n">
        <x:f>AA205+X206-U206-AA205*V206/AB205</x:f>
        <x:v>2.224064519320708</x:v>
      </x:c>
      <x:c r="AB206" s="10" t="n">
        <x:f>Y206+Z206+AA206</x:f>
        <x:v>17.53395422270169</x:v>
      </x:c>
      <x:c r="AC206" s="8" t="n">
        <x:f>IF(AND(v01_WinterTrigger=1,D206=1,AB205/AE205&gt;=K206),1,0)</x:f>
        <x:v>0</x:v>
      </x:c>
      <x:c r="AD206" s="8" t="n">
        <x:f>H206*IF(AND(OR(AB205/AE205&gt;=v01_FissionTrigger*N206,AC206=1),AB205/AE205*v01_DaughterShare&gt;=v01_MinDaughter),MAX(1,ROUND(AE205*v01_FissionRate,0)),0)</x:f>
        <x:v>0</x:v>
      </x:c>
      <x:c r="AE206" s="8" t="n">
        <x:f>IF(H206=1,MAX(1,MIN(INDEX(v01_Smax,G206),AE205+AD206)),AE205)</x:f>
        <x:v>1</x:v>
      </x:c>
      <x:c r="AF206" s="8" t="n">
        <x:f>MAX(0,AE206-AE205)</x:f>
        <x:v>0</x:v>
      </x:c>
      <x:c r="AG206" s="9" t="str">
        <x:f>IF(AF206&gt;0,B206,"")</x:f>
      </x:c>
      <x:c r="AH206" s="9" t="n">
        <x:f>IF(F206&gt;=1,1,(1+v01_LowTiesShare*(AE206-1))/AE206)</x:f>
        <x:v>1</x:v>
      </x:c>
      <x:c r="AI206" s="32" t="n">
        <x:f>(Z206+v01_ElderCommons*INDEX(LM_Elder,G206)*AA206)*AH206</x:f>
        <x:v>13.227822127057674</x:v>
      </x:c>
      <x:c r="AJ206" s="32" t="n">
        <x:f>H206*v01_CommonsCoef*AI206^v01_CommonsExp*INDEX(LM_Commons,G206)</x:f>
        <x:v>5.65083579318981</x:v>
      </x:c>
      <x:c r="AK206" s="32" t="n">
        <x:f>H206*v01_RoleScale*Arch_Roles*(AE206*(INDEX(v01_ElderRolePerSett,G206)*v01_OutElder*INDEX(LM_Elder,G206)+INDEX(v01_ShamanPerSett,G206)*v01_OutShaman)+Z206*(INDEX(v01_PriestShare,G206)*v01_OutPriest+INDEX(v01_ScribeShare,G206)*v01_OutScribe*INDEX(LM_Scribe,G206)+INDEX(v01_ScholarShare,G206)*v01_OutScholar*INDEX(LM_Scholar,G206)+INDEX(v01_ResearcherShare,G206)*v01_OutResearcher*INDEX(LM_Researcher,G206)))</x:f>
        <x:v>0</x:v>
      </x:c>
      <x:c r="AL206" s="32" t="n">
        <x:f>H206*v01_RoleScale*Arch_Roles*AE206*INDEX(v01_MonasteryPerSett,G206)*v01_OutMonastery*INDEX(LM_Monastery,G206)</x:f>
        <x:v>0</x:v>
      </x:c>
      <x:c r="AM206" s="32" t="n">
        <x:f>(AJ206+AK206+AL206)/4*INDEX(LM_All,G206)*INDEX(v01_Boon,G206)*Arch_Insight</x:f>
        <x:v>1.4127089482974524</x:v>
      </x:c>
      <x:c r="AN206" s="32" t="n">
        <x:f>H206*(v01_KHPerAdult*Z206+v01_KHOfCommons*AJ206/4*INDEX(LM_All,G206))*v01_KHUsable*Arch_KH</x:f>
        <x:v>0.30728925809456903</x:v>
      </x:c>
      <x:c r="AO206" s="32" t="n">
        <x:f>MIN(AP205+AN206,AM206*v01_KHMaxRatio)</x:f>
        <x:v>0.30728925809456903</x:v>
      </x:c>
      <x:c r="AP206" s="32" t="n">
        <x:f>AP205+AN206-AO206</x:f>
        <x:v>0</x:v>
      </x:c>
      <x:c r="AQ206" s="32" t="n">
        <x:f>AM206+AO206</x:f>
        <x:v>1.7199982063920214</x:v>
      </x:c>
      <x:c r="AR206" s="10" t="n">
        <x:f>IF(H206=1,INDEX(v01_Req,G206),0)</x:f>
        <x:v>372.02</x:v>
      </x:c>
      <x:c r="AS206" s="32" t="n">
        <x:f>IF(H206=1,IF(E206=1,AS205-AR205,AS205)+AQ206,0)</x:f>
        <x:v>319.40341210746345</x:v>
      </x:c>
      <x:c r="AT206" s="11" t="n">
        <x:f>IF(AR206&gt;0,MIN(1,AS206/AR206),1)</x:f>
        <x:v>0.8585651634521355</x:v>
      </x:c>
      <x:c r="AU206" s="10" t="n">
        <x:f>AB206/INDEX(v01_RepScale,G206)</x:f>
        <x:v>17.53395422270169</x:v>
      </x:c>
      <x:c r="AV206" s="32" t="n">
        <x:f>AM206*60/v01_SeasonSeconds</x:f>
        <x:v>5.65083579318981</x:v>
      </x:c>
    </x:row>
    <x:row r="207">
      <x:c r="A207" s="8" t="n">
        <x:f>A206+1</x:f>
        <x:v>204</x:v>
      </x:c>
      <x:c r="B207" s="9" t="n">
        <x:f>A207*v01_SeasonSeconds/60</x:f>
        <x:v>51</x:v>
      </x:c>
      <x:c r="C207" s="9" t="n">
        <x:f>A207/4</x:f>
        <x:v>51</x:v>
      </x:c>
      <x:c r="D207" s="8" t="n">
        <x:f>IF(MOD(A207,4)=0,1,0)</x:f>
        <x:v>1</x:v>
      </x:c>
      <x:c r="E207" s="8" t="n">
        <x:f>IF(AND(F206&lt;=9,AS206&gt;=AR206),1,0)</x:f>
        <x:v>0</x:v>
      </x:c>
      <x:c r="F207" s="8" t="n">
        <x:f>MIN(10,F206+E207)</x:f>
        <x:v>0</x:v>
      </x:c>
      <x:c r="G207" s="8" t="n">
        <x:f>MIN(F207,9)+1</x:f>
        <x:v>1</x:v>
      </x:c>
      <x:c r="H207" s="8" t="n">
        <x:f>IF(F207&lt;=9,1,0)</x:f>
        <x:v>1</x:v>
      </x:c>
      <x:c r="I207" s="9" t="n">
        <x:f>MIN(10,F206+IF(AR206&gt;0,MIN(1,AS206/AR206),1))</x:f>
        <x:v>0.8585651634521355</x:v>
      </x:c>
      <x:c r="J207" s="32" t="n">
        <x:f>INDEX(v01_FoodCap,G207)*Arch_FoodCap*EXP(v01_CapsByProject*SUMPRODUCT((Cap_Point&lt;=I207)*(Cap_Kind="Food")*Cap_Ln))</x:f>
        <x:v>22</x:v>
      </x:c>
      <x:c r="K207" s="32" t="n">
        <x:f>J207*MIN(1,v01_LeanBase*EXP(v01_CapsByProject*SUMPRODUCT((Cap_Point&lt;=I207)*(Cap_Kind="Lean")*Cap_Ln)))</x:f>
        <x:v>22</x:v>
      </x:c>
      <x:c r="L207" s="10" t="n">
        <x:f>INDEX(v01_HousingCap,G207)*EXP(v01_CapsByProject*SUMPRODUCT((Cap_Point&lt;=I207)*(Cap_Kind="Housing")*Cap_Ln))</x:f>
        <x:v>60</x:v>
      </x:c>
      <x:c r="M207" s="10" t="n">
        <x:f>INDEX(v01_GroupCap,G207)*v01_CohesionFactor*EXP(v01_CapsByProject*SUMPRODUCT((Cap_Point&lt;=I207)*(Cap_Kind="Group")*Cap_Ln))</x:f>
        <x:v>35</x:v>
      </x:c>
      <x:c r="N207" s="32" t="n">
        <x:f>MIN(J207,L207,M207)</x:f>
        <x:v>22</x:v>
      </x:c>
      <x:c r="O207" s="10" t="n">
        <x:f>AE206*N207</x:f>
        <x:v>22</x:v>
      </x:c>
      <x:c r="P207" s="9" t="n">
        <x:f>MIN(1,(AB206/(AE206*IF(v01_GroupInCrowding=1,N207,MIN(J207,L207))))^v01_CrowdingExp)</x:f>
        <x:v>0.25629676546329944</x:v>
      </x:c>
      <x:c r="Q207" s="9" t="n">
        <x:f>IF(D207=1,INDEX(v01_WinterMult,G207),1)</x:f>
        <x:v>2</x:v>
      </x:c>
      <x:c r="R207" s="9" t="n">
        <x:f>H207*Z206*v01_WomenShare*v01_BaseFertility*INDEX(v01_FertMult,G207)*Arch_Fertility*(1-P207)</x:f>
        <x:v>0.19588458444284051</x:v>
      </x:c>
      <x:c r="S207" s="9" t="n">
        <x:f>H207*Y206*INDEX(v01_MortChild,G207)/4*Q207</x:f>
        <x:v>0.13060393229929448</x:v>
      </x:c>
      <x:c r="T207" s="9" t="n">
        <x:f>H207*Z206*INDEX(v01_MortAdult,G207)*Arch_AdultMort/4*Q207</x:f>
        <x:v>0.06584769816312193</x:v>
      </x:c>
      <x:c r="U207" s="9" t="n">
        <x:f>H207*AA206*INDEX(v01_MortElder,G207)/4*Q207</x:f>
        <x:v>0.11120322596603541</x:v>
      </x:c>
      <x:c r="V207" s="9" t="n">
        <x:f>H207*MAX(0,AB206-O207)*v01_OvercapLoss</x:f>
        <x:v>0</x:v>
      </x:c>
      <x:c r="W207" s="9" t="n">
        <x:f>H207*Y206/(v01_ChildYears*4)</x:f>
        <x:v>0.11661065383865578</x:v>
      </x:c>
      <x:c r="X207" s="9" t="n">
        <x:f>H207*Z206/(v01_AdultYears*4)</x:f>
        <x:v>0.07080397651948594</x:v>
      </x:c>
      <x:c r="Y207" s="32" t="n">
        <x:f>Y206+R207-S207-W207-Y206*V207/AB206</x:f>
        <x:v>6.478866613269614</x:v>
      </x:c>
      <x:c r="Z207" s="32" t="n">
        <x:f>Z206+W207-X207-T207-Z206*V207/AB206</x:f>
        <x:v>8.759652067572306</x:v>
      </x:c>
      <x:c r="AA207" s="32" t="n">
        <x:f>AA206+X207-U207-AA206*V207/AB206</x:f>
        <x:v>2.1836652698741585</x:v>
      </x:c>
      <x:c r="AB207" s="10" t="n">
        <x:f>Y207+Z207+AA207</x:f>
        <x:v>17.42218395071608</x:v>
      </x:c>
      <x:c r="AC207" s="8" t="n">
        <x:f>IF(AND(v01_WinterTrigger=1,D207=1,AB206/AE206&gt;=K207),1,0)</x:f>
        <x:v>0</x:v>
      </x:c>
      <x:c r="AD207" s="8" t="n">
        <x:f>H207*IF(AND(OR(AB206/AE206&gt;=v01_FissionTrigger*N207,AC207=1),AB206/AE206*v01_DaughterShare&gt;=v01_MinDaughter),MAX(1,ROUND(AE206*v01_FissionRate,0)),0)</x:f>
        <x:v>0</x:v>
      </x:c>
      <x:c r="AE207" s="8" t="n">
        <x:f>IF(H207=1,MAX(1,MIN(INDEX(v01_Smax,G207),AE206+AD207)),AE206)</x:f>
        <x:v>1</x:v>
      </x:c>
      <x:c r="AF207" s="8" t="n">
        <x:f>MAX(0,AE207-AE206)</x:f>
        <x:v>0</x:v>
      </x:c>
      <x:c r="AG207" s="9" t="str">
        <x:f>IF(AF207&gt;0,B207,"")</x:f>
      </x:c>
      <x:c r="AH207" s="9" t="n">
        <x:f>IF(F207&gt;=1,1,(1+v01_LowTiesShare*(AE207-1))/AE207)</x:f>
        <x:v>1</x:v>
      </x:c>
      <x:c r="AI207" s="32" t="n">
        <x:f>(Z207+v01_ElderCommons*INDEX(LM_Elder,G207)*AA207)*AH207</x:f>
        <x:v>13.126982607320624</x:v>
      </x:c>
      <x:c r="AJ207" s="32" t="n">
        <x:f>H207*v01_CommonsCoef*AI207^v01_CommonsExp*INDEX(LM_Commons,G207)</x:f>
        <x:v>5.614198532135535</x:v>
      </x:c>
      <x:c r="AK207" s="32" t="n">
        <x:f>H207*v01_RoleScale*Arch_Roles*(AE207*(INDEX(v01_ElderRolePerSett,G207)*v01_OutElder*INDEX(LM_Elder,G207)+INDEX(v01_ShamanPerSett,G207)*v01_OutShaman)+Z207*(INDEX(v01_PriestShare,G207)*v01_OutPriest+INDEX(v01_ScribeShare,G207)*v01_OutScribe*INDEX(LM_Scribe,G207)+INDEX(v01_ScholarShare,G207)*v01_OutScholar*INDEX(LM_Scholar,G207)+INDEX(v01_ResearcherShare,G207)*v01_OutResearcher*INDEX(LM_Researcher,G207)))</x:f>
        <x:v>0</x:v>
      </x:c>
      <x:c r="AL207" s="32" t="n">
        <x:f>H207*v01_RoleScale*Arch_Roles*AE207*INDEX(v01_MonasteryPerSett,G207)*v01_OutMonastery*INDEX(LM_Monastery,G207)</x:f>
        <x:v>0</x:v>
      </x:c>
      <x:c r="AM207" s="32" t="n">
        <x:f>(AJ207+AK207+AL207)/4*INDEX(LM_All,G207)*INDEX(v01_Boon,G207)*Arch_Insight</x:f>
        <x:v>1.4035496330338837</x:v>
      </x:c>
      <x:c r="AN207" s="32" t="n">
        <x:f>H207*(v01_KHPerAdult*Z207+v01_KHOfCommons*AJ207/4*INDEX(LM_All,G207))*v01_KHUsable*Arch_KH</x:f>
        <x:v>0.30658782236503074</x:v>
      </x:c>
      <x:c r="AO207" s="32" t="n">
        <x:f>MIN(AP206+AN207,AM207*v01_KHMaxRatio)</x:f>
        <x:v>0.30658782236503074</x:v>
      </x:c>
      <x:c r="AP207" s="32" t="n">
        <x:f>AP206+AN207-AO207</x:f>
        <x:v>0</x:v>
      </x:c>
      <x:c r="AQ207" s="32" t="n">
        <x:f>AM207+AO207</x:f>
        <x:v>1.7101374553989144</x:v>
      </x:c>
      <x:c r="AR207" s="10" t="n">
        <x:f>IF(H207=1,INDEX(v01_Req,G207),0)</x:f>
        <x:v>372.02</x:v>
      </x:c>
      <x:c r="AS207" s="32" t="n">
        <x:f>IF(H207=1,IF(E207=1,AS206-AR206,AS206)+AQ207,0)</x:f>
        <x:v>321.1135495628624</x:v>
      </x:c>
      <x:c r="AT207" s="11" t="n">
        <x:f>IF(AR207&gt;0,MIN(1,AS207/AR207),1)</x:f>
        <x:v>0.8631620600044686</x:v>
      </x:c>
      <x:c r="AU207" s="10" t="n">
        <x:f>AB207/INDEX(v01_RepScale,G207)</x:f>
        <x:v>17.42218395071608</x:v>
      </x:c>
      <x:c r="AV207" s="32" t="n">
        <x:f>AM207*60/v01_SeasonSeconds</x:f>
        <x:v>5.614198532135535</x:v>
      </x:c>
    </x:row>
    <x:row r="208">
      <x:c r="A208" s="8" t="n">
        <x:f>A207+1</x:f>
        <x:v>205</x:v>
      </x:c>
      <x:c r="B208" s="9" t="n">
        <x:f>A208*v01_SeasonSeconds/60</x:f>
        <x:v>51.25</x:v>
      </x:c>
      <x:c r="C208" s="9" t="n">
        <x:f>A208/4</x:f>
        <x:v>51.25</x:v>
      </x:c>
      <x:c r="D208" s="8" t="n">
        <x:f>IF(MOD(A208,4)=0,1,0)</x:f>
        <x:v>0</x:v>
      </x:c>
      <x:c r="E208" s="8" t="n">
        <x:f>IF(AND(F207&lt;=9,AS207&gt;=AR207),1,0)</x:f>
        <x:v>0</x:v>
      </x:c>
      <x:c r="F208" s="8" t="n">
        <x:f>MIN(10,F207+E208)</x:f>
        <x:v>0</x:v>
      </x:c>
      <x:c r="G208" s="8" t="n">
        <x:f>MIN(F208,9)+1</x:f>
        <x:v>1</x:v>
      </x:c>
      <x:c r="H208" s="8" t="n">
        <x:f>IF(F208&lt;=9,1,0)</x:f>
        <x:v>1</x:v>
      </x:c>
      <x:c r="I208" s="9" t="n">
        <x:f>MIN(10,F207+IF(AR207&gt;0,MIN(1,AS207/AR207),1))</x:f>
        <x:v>0.8631620600044686</x:v>
      </x:c>
      <x:c r="J208" s="32" t="n">
        <x:f>INDEX(v01_FoodCap,G208)*Arch_FoodCap*EXP(v01_CapsByProject*SUMPRODUCT((Cap_Point&lt;=I208)*(Cap_Kind="Food")*Cap_Ln))</x:f>
        <x:v>22</x:v>
      </x:c>
      <x:c r="K208" s="32" t="n">
        <x:f>J208*MIN(1,v01_LeanBase*EXP(v01_CapsByProject*SUMPRODUCT((Cap_Point&lt;=I208)*(Cap_Kind="Lean")*Cap_Ln)))</x:f>
        <x:v>22</x:v>
      </x:c>
      <x:c r="L208" s="10" t="n">
        <x:f>INDEX(v01_HousingCap,G208)*EXP(v01_CapsByProject*SUMPRODUCT((Cap_Point&lt;=I208)*(Cap_Kind="Housing")*Cap_Ln))</x:f>
        <x:v>60</x:v>
      </x:c>
      <x:c r="M208" s="10" t="n">
        <x:f>INDEX(v01_GroupCap,G208)*v01_CohesionFactor*EXP(v01_CapsByProject*SUMPRODUCT((Cap_Point&lt;=I208)*(Cap_Kind="Group")*Cap_Ln))</x:f>
        <x:v>35</x:v>
      </x:c>
      <x:c r="N208" s="32" t="n">
        <x:f>MIN(J208,L208,M208)</x:f>
        <x:v>22</x:v>
      </x:c>
      <x:c r="O208" s="10" t="n">
        <x:f>AE207*N208</x:f>
        <x:v>22</x:v>
      </x:c>
      <x:c r="P208" s="9" t="n">
        <x:f>MIN(1,(AB207/(AE207*IF(v01_GroupInCrowding=1,N208,MIN(J208,L208))))^v01_CrowdingExp)</x:f>
        <x:v>0.2466490712116896</x:v>
      </x:c>
      <x:c r="Q208" s="9" t="n">
        <x:f>IF(D208=1,INDEX(v01_WinterMult,G208),1)</x:f>
        <x:v>1</x:v>
      </x:c>
      <x:c r="R208" s="9" t="n">
        <x:f>H208*Z207*v01_WomenShare*v01_BaseFertility*INDEX(v01_FertMult,G208)*Arch_Fertility*(1-P208)</x:f>
        <x:v>0.19797276062904123</x:v>
      </x:c>
      <x:c r="S208" s="9" t="n">
        <x:f>H208*Y207*INDEX(v01_MortChild,G208)/4*Q208</x:f>
        <x:v>0.06478866613269614</x:v>
      </x:c>
      <x:c r="T208" s="9" t="n">
        <x:f>H208*Z207*INDEX(v01_MortAdult,G208)*Arch_AdultMort/4*Q208</x:f>
        <x:v>0.03284869525339615</x:v>
      </x:c>
      <x:c r="U208" s="9" t="n">
        <x:f>H208*AA207*INDEX(v01_MortElder,G208)/4*Q208</x:f>
        <x:v>0.05459163174685397</x:v>
      </x:c>
      <x:c r="V208" s="9" t="n">
        <x:f>H208*MAX(0,AB207-O208)*v01_OvercapLoss</x:f>
        <x:v>0</x:v>
      </x:c>
      <x:c r="W208" s="9" t="n">
        <x:f>H208*Y207/(v01_ChildYears*4)</x:f>
        <x:v>0.11569404666552882</x:v>
      </x:c>
      <x:c r="X208" s="9" t="n">
        <x:f>H208*Z207/(v01_AdultYears*4)</x:f>
        <x:v>0.07064235538364763</x:v>
      </x:c>
      <x:c r="Y208" s="32" t="n">
        <x:f>Y207+R208-S208-W208-Y207*V208/AB207</x:f>
        <x:v>6.496356661100431</x:v>
      </x:c>
      <x:c r="Z208" s="32" t="n">
        <x:f>Z207+W208-X208-T208-Z207*V208/AB207</x:f>
        <x:v>8.771855063600793</x:v>
      </x:c>
      <x:c r="AA208" s="32" t="n">
        <x:f>AA207+X208-U208-AA207*V208/AB207</x:f>
        <x:v>2.1997159935109525</x:v>
      </x:c>
      <x:c r="AB208" s="10" t="n">
        <x:f>Y208+Z208+AA208</x:f>
        <x:v>17.467927718212177</x:v>
      </x:c>
      <x:c r="AC208" s="8" t="n">
        <x:f>IF(AND(v01_WinterTrigger=1,D208=1,AB207/AE207&gt;=K208),1,0)</x:f>
        <x:v>0</x:v>
      </x:c>
      <x:c r="AD208" s="8" t="n">
        <x:f>H208*IF(AND(OR(AB207/AE207&gt;=v01_FissionTrigger*N208,AC208=1),AB207/AE207*v01_DaughterShare&gt;=v01_MinDaughter),MAX(1,ROUND(AE207*v01_FissionRate,0)),0)</x:f>
        <x:v>0</x:v>
      </x:c>
      <x:c r="AE208" s="8" t="n">
        <x:f>IF(H208=1,MAX(1,MIN(INDEX(v01_Smax,G208),AE207+AD208)),AE207)</x:f>
        <x:v>1</x:v>
      </x:c>
      <x:c r="AF208" s="8" t="n">
        <x:f>MAX(0,AE208-AE207)</x:f>
        <x:v>0</x:v>
      </x:c>
      <x:c r="AG208" s="9" t="str">
        <x:f>IF(AF208&gt;0,B208,"")</x:f>
      </x:c>
      <x:c r="AH208" s="9" t="n">
        <x:f>IF(F208&gt;=1,1,(1+v01_LowTiesShare*(AE208-1))/AE208)</x:f>
        <x:v>1</x:v>
      </x:c>
      <x:c r="AI208" s="32" t="n">
        <x:f>(Z208+v01_ElderCommons*INDEX(LM_Elder,G208)*AA208)*AH208</x:f>
        <x:v>13.171287050622698</x:v>
      </x:c>
      <x:c r="AJ208" s="32" t="n">
        <x:f>H208*v01_CommonsCoef*AI208^v01_CommonsExp*INDEX(LM_Commons,G208)</x:f>
        <x:v>5.630300511332641</x:v>
      </x:c>
      <x:c r="AK208" s="32" t="n">
        <x:f>H208*v01_RoleScale*Arch_Roles*(AE208*(INDEX(v01_ElderRolePerSett,G208)*v01_OutElder*INDEX(LM_Elder,G208)+INDEX(v01_ShamanPerSett,G208)*v01_OutShaman)+Z208*(INDEX(v01_PriestShare,G208)*v01_OutPriest+INDEX(v01_ScribeShare,G208)*v01_OutScribe*INDEX(LM_Scribe,G208)+INDEX(v01_ScholarShare,G208)*v01_OutScholar*INDEX(LM_Scholar,G208)+INDEX(v01_ResearcherShare,G208)*v01_OutResearcher*INDEX(LM_Researcher,G208)))</x:f>
        <x:v>0</x:v>
      </x:c>
      <x:c r="AL208" s="32" t="n">
        <x:f>H208*v01_RoleScale*Arch_Roles*AE208*INDEX(v01_MonasteryPerSett,G208)*v01_OutMonastery*INDEX(LM_Monastery,G208)</x:f>
        <x:v>0</x:v>
      </x:c>
      <x:c r="AM208" s="32" t="n">
        <x:f>(AJ208+AK208+AL208)/4*INDEX(LM_All,G208)*INDEX(v01_Boon,G208)*Arch_Insight</x:f>
        <x:v>1.4075751278331603</x:v>
      </x:c>
      <x:c r="AN208" s="32" t="n">
        <x:f>H208*(v01_KHPerAdult*Z208+v01_KHOfCommons*AJ208/4*INDEX(LM_All,G208))*v01_KHUsable*Arch_KH</x:f>
        <x:v>0.30701492722602775</x:v>
      </x:c>
      <x:c r="AO208" s="32" t="n">
        <x:f>MIN(AP207+AN208,AM208*v01_KHMaxRatio)</x:f>
        <x:v>0.30701492722602775</x:v>
      </x:c>
      <x:c r="AP208" s="32" t="n">
        <x:f>AP207+AN208-AO208</x:f>
        <x:v>0</x:v>
      </x:c>
      <x:c r="AQ208" s="32" t="n">
        <x:f>AM208+AO208</x:f>
        <x:v>1.7145900550591882</x:v>
      </x:c>
      <x:c r="AR208" s="10" t="n">
        <x:f>IF(H208=1,INDEX(v01_Req,G208),0)</x:f>
        <x:v>372.02</x:v>
      </x:c>
      <x:c r="AS208" s="32" t="n">
        <x:f>IF(H208=1,IF(E208=1,AS207-AR207,AS207)+AQ208,0)</x:f>
        <x:v>322.8281396179216</x:v>
      </x:c>
      <x:c r="AT208" s="11" t="n">
        <x:f>IF(AR208&gt;0,MIN(1,AS208/AR208),1)</x:f>
        <x:v>0.867770925267248</x:v>
      </x:c>
      <x:c r="AU208" s="10" t="n">
        <x:f>AB208/INDEX(v01_RepScale,G208)</x:f>
        <x:v>17.467927718212177</x:v>
      </x:c>
      <x:c r="AV208" s="32" t="n">
        <x:f>AM208*60/v01_SeasonSeconds</x:f>
        <x:v>5.630300511332641</x:v>
      </x:c>
    </x:row>
    <x:row r="209">
      <x:c r="A209" s="8" t="n">
        <x:f>A208+1</x:f>
        <x:v>206</x:v>
      </x:c>
      <x:c r="B209" s="9" t="n">
        <x:f>A209*v01_SeasonSeconds/60</x:f>
        <x:v>51.5</x:v>
      </x:c>
      <x:c r="C209" s="9" t="n">
        <x:f>A209/4</x:f>
        <x:v>51.5</x:v>
      </x:c>
      <x:c r="D209" s="8" t="n">
        <x:f>IF(MOD(A209,4)=0,1,0)</x:f>
        <x:v>0</x:v>
      </x:c>
      <x:c r="E209" s="8" t="n">
        <x:f>IF(AND(F208&lt;=9,AS208&gt;=AR208),1,0)</x:f>
        <x:v>0</x:v>
      </x:c>
      <x:c r="F209" s="8" t="n">
        <x:f>MIN(10,F208+E209)</x:f>
        <x:v>0</x:v>
      </x:c>
      <x:c r="G209" s="8" t="n">
        <x:f>MIN(F209,9)+1</x:f>
        <x:v>1</x:v>
      </x:c>
      <x:c r="H209" s="8" t="n">
        <x:f>IF(F209&lt;=9,1,0)</x:f>
        <x:v>1</x:v>
      </x:c>
      <x:c r="I209" s="9" t="n">
        <x:f>MIN(10,F208+IF(AR208&gt;0,MIN(1,AS208/AR208),1))</x:f>
        <x:v>0.867770925267248</x:v>
      </x:c>
      <x:c r="J209" s="32" t="n">
        <x:f>INDEX(v01_FoodCap,G209)*Arch_FoodCap*EXP(v01_CapsByProject*SUMPRODUCT((Cap_Point&lt;=I209)*(Cap_Kind="Food")*Cap_Ln))</x:f>
        <x:v>22</x:v>
      </x:c>
      <x:c r="K209" s="32" t="n">
        <x:f>J209*MIN(1,v01_LeanBase*EXP(v01_CapsByProject*SUMPRODUCT((Cap_Point&lt;=I209)*(Cap_Kind="Lean")*Cap_Ln)))</x:f>
        <x:v>22</x:v>
      </x:c>
      <x:c r="L209" s="10" t="n">
        <x:f>INDEX(v01_HousingCap,G209)*EXP(v01_CapsByProject*SUMPRODUCT((Cap_Point&lt;=I209)*(Cap_Kind="Housing")*Cap_Ln))</x:f>
        <x:v>60</x:v>
      </x:c>
      <x:c r="M209" s="10" t="n">
        <x:f>INDEX(v01_GroupCap,G209)*v01_CohesionFactor*EXP(v01_CapsByProject*SUMPRODUCT((Cap_Point&lt;=I209)*(Cap_Kind="Group")*Cap_Ln))</x:f>
        <x:v>35</x:v>
      </x:c>
      <x:c r="N209" s="32" t="n">
        <x:f>MIN(J209,L209,M209)</x:f>
        <x:v>22</x:v>
      </x:c>
      <x:c r="O209" s="10" t="n">
        <x:f>AE208*N209</x:f>
        <x:v>22</x:v>
      </x:c>
      <x:c r="P209" s="9" t="n">
        <x:f>MIN(1,(AB208/(AE208*IF(v01_GroupInCrowding=1,N209,MIN(J209,L209))))^v01_CrowdingExp)</x:f>
        <x:v>0.2505602836320253</x:v>
      </x:c>
      <x:c r="Q209" s="9" t="n">
        <x:f>IF(D209=1,INDEX(v01_WinterMult,G209),1)</x:f>
        <x:v>1</x:v>
      </x:c>
      <x:c r="R209" s="9" t="n">
        <x:f>H209*Z208*v01_WomenShare*v01_BaseFertility*INDEX(v01_FertMult,G209)*Arch_Fertility*(1-P209)</x:f>
        <x:v>0.1972192971265788</x:v>
      </x:c>
      <x:c r="S209" s="9" t="n">
        <x:f>H209*Y208*INDEX(v01_MortChild,G209)/4*Q209</x:f>
        <x:v>0.0649635666110043</x:v>
      </x:c>
      <x:c r="T209" s="9" t="n">
        <x:f>H209*Z208*INDEX(v01_MortAdult,G209)*Arch_AdultMort/4*Q209</x:f>
        <x:v>0.03289445648850297</x:v>
      </x:c>
      <x:c r="U209" s="9" t="n">
        <x:f>H209*AA208*INDEX(v01_MortElder,G209)/4*Q209</x:f>
        <x:v>0.05499289983777381</x:v>
      </x:c>
      <x:c r="V209" s="9" t="n">
        <x:f>H209*MAX(0,AB208-O209)*v01_OvercapLoss</x:f>
        <x:v>0</x:v>
      </x:c>
      <x:c r="W209" s="9" t="n">
        <x:f>H209*Y208/(v01_ChildYears*4)</x:f>
        <x:v>0.11600636894822199</x:v>
      </x:c>
      <x:c r="X209" s="9" t="n">
        <x:f>H209*Z208/(v01_AdultYears*4)</x:f>
        <x:v>0.07074076664194187</x:v>
      </x:c>
      <x:c r="Y209" s="32" t="n">
        <x:f>Y208+R209-S209-W209-Y208*V209/AB208</x:f>
        <x:v>6.512606022667784</x:v>
      </x:c>
      <x:c r="Z209" s="32" t="n">
        <x:f>Z208+W209-X209-T209-Z208*V209/AB208</x:f>
        <x:v>8.78422620941857</x:v>
      </x:c>
      <x:c r="AA209" s="32" t="n">
        <x:f>AA208+X209-U209-AA208*V209/AB208</x:f>
        <x:v>2.21546386031512</x:v>
      </x:c>
      <x:c r="AB209" s="10" t="n">
        <x:f>Y209+Z209+AA209</x:f>
        <x:v>17.512296092401474</x:v>
      </x:c>
      <x:c r="AC209" s="8" t="n">
        <x:f>IF(AND(v01_WinterTrigger=1,D209=1,AB208/AE208&gt;=K209),1,0)</x:f>
        <x:v>0</x:v>
      </x:c>
      <x:c r="AD209" s="8" t="n">
        <x:f>H209*IF(AND(OR(AB208/AE208&gt;=v01_FissionTrigger*N209,AC209=1),AB208/AE208*v01_DaughterShare&gt;=v01_MinDaughter),MAX(1,ROUND(AE208*v01_FissionRate,0)),0)</x:f>
        <x:v>0</x:v>
      </x:c>
      <x:c r="AE209" s="8" t="n">
        <x:f>IF(H209=1,MAX(1,MIN(INDEX(v01_Smax,G209),AE208+AD209)),AE208)</x:f>
        <x:v>1</x:v>
      </x:c>
      <x:c r="AF209" s="8" t="n">
        <x:f>MAX(0,AE209-AE208)</x:f>
        <x:v>0</x:v>
      </x:c>
      <x:c r="AG209" s="9" t="str">
        <x:f>IF(AF209&gt;0,B209,"")</x:f>
      </x:c>
      <x:c r="AH209" s="9" t="n">
        <x:f>IF(F209&gt;=1,1,(1+v01_LowTiesShare*(AE209-1))/AE209)</x:f>
        <x:v>1</x:v>
      </x:c>
      <x:c r="AI209" s="32" t="n">
        <x:f>(Z209+v01_ElderCommons*INDEX(LM_Elder,G209)*AA209)*AH209</x:f>
        <x:v>13.21515393004881</x:v>
      </x:c>
      <x:c r="AJ209" s="32" t="n">
        <x:f>H209*v01_CommonsCoef*AI209^v01_CommonsExp*INDEX(LM_Commons,G209)</x:f>
        <x:v>5.646235460082805</x:v>
      </x:c>
      <x:c r="AK209" s="32" t="n">
        <x:f>H209*v01_RoleScale*Arch_Roles*(AE209*(INDEX(v01_ElderRolePerSett,G209)*v01_OutElder*INDEX(LM_Elder,G209)+INDEX(v01_ShamanPerSett,G209)*v01_OutShaman)+Z209*(INDEX(v01_PriestShare,G209)*v01_OutPriest+INDEX(v01_ScribeShare,G209)*v01_OutScribe*INDEX(LM_Scribe,G209)+INDEX(v01_ScholarShare,G209)*v01_OutScholar*INDEX(LM_Scholar,G209)+INDEX(v01_ResearcherShare,G209)*v01_OutResearcher*INDEX(LM_Researcher,G209)))</x:f>
        <x:v>0</x:v>
      </x:c>
      <x:c r="AL209" s="32" t="n">
        <x:f>H209*v01_RoleScale*Arch_Roles*AE209*INDEX(v01_MonasteryPerSett,G209)*v01_OutMonastery*INDEX(LM_Monastery,G209)</x:f>
        <x:v>0</x:v>
      </x:c>
      <x:c r="AM209" s="32" t="n">
        <x:f>(AJ209+AK209+AL209)/4*INDEX(LM_All,G209)*INDEX(v01_Boon,G209)*Arch_Insight</x:f>
        <x:v>1.4115588650207012</x:v>
      </x:c>
      <x:c r="AN209" s="32" t="n">
        <x:f>H209*(v01_KHPerAdult*Z209+v01_KHOfCommons*AJ209/4*INDEX(LM_All,G209))*v01_KHUsable*Arch_KH</x:f>
        <x:v>0.30744791732964993</x:v>
      </x:c>
      <x:c r="AO209" s="32" t="n">
        <x:f>MIN(AP208+AN209,AM209*v01_KHMaxRatio)</x:f>
        <x:v>0.30744791732964993</x:v>
      </x:c>
      <x:c r="AP209" s="32" t="n">
        <x:f>AP208+AN209-AO209</x:f>
        <x:v>0</x:v>
      </x:c>
      <x:c r="AQ209" s="32" t="n">
        <x:f>AM209+AO209</x:f>
        <x:v>1.719006782350351</x:v>
      </x:c>
      <x:c r="AR209" s="10" t="n">
        <x:f>IF(H209=1,INDEX(v01_Req,G209),0)</x:f>
        <x:v>372.02</x:v>
      </x:c>
      <x:c r="AS209" s="32" t="n">
        <x:f>IF(H209=1,IF(E209=1,AS208-AR208,AS208)+AQ209,0)</x:f>
        <x:v>324.5471464002719</x:v>
      </x:c>
      <x:c r="AT209" s="11" t="n">
        <x:f>IF(AR209&gt;0,MIN(1,AS209/AR209),1)</x:f>
        <x:v>0.8723916628145582</x:v>
      </x:c>
      <x:c r="AU209" s="10" t="n">
        <x:f>AB209/INDEX(v01_RepScale,G209)</x:f>
        <x:v>17.512296092401474</x:v>
      </x:c>
      <x:c r="AV209" s="32" t="n">
        <x:f>AM209*60/v01_SeasonSeconds</x:f>
        <x:v>5.646235460082805</x:v>
      </x:c>
    </x:row>
    <x:row r="210">
      <x:c r="A210" s="8" t="n">
        <x:f>A209+1</x:f>
        <x:v>207</x:v>
      </x:c>
      <x:c r="B210" s="9" t="n">
        <x:f>A210*v01_SeasonSeconds/60</x:f>
        <x:v>51.75</x:v>
      </x:c>
      <x:c r="C210" s="9" t="n">
        <x:f>A210/4</x:f>
        <x:v>51.75</x:v>
      </x:c>
      <x:c r="D210" s="8" t="n">
        <x:f>IF(MOD(A210,4)=0,1,0)</x:f>
        <x:v>0</x:v>
      </x:c>
      <x:c r="E210" s="8" t="n">
        <x:f>IF(AND(F209&lt;=9,AS209&gt;=AR209),1,0)</x:f>
        <x:v>0</x:v>
      </x:c>
      <x:c r="F210" s="8" t="n">
        <x:f>MIN(10,F209+E210)</x:f>
        <x:v>0</x:v>
      </x:c>
      <x:c r="G210" s="8" t="n">
        <x:f>MIN(F210,9)+1</x:f>
        <x:v>1</x:v>
      </x:c>
      <x:c r="H210" s="8" t="n">
        <x:f>IF(F210&lt;=9,1,0)</x:f>
        <x:v>1</x:v>
      </x:c>
      <x:c r="I210" s="9" t="n">
        <x:f>MIN(10,F209+IF(AR209&gt;0,MIN(1,AS209/AR209),1))</x:f>
        <x:v>0.8723916628145582</x:v>
      </x:c>
      <x:c r="J210" s="32" t="n">
        <x:f>INDEX(v01_FoodCap,G210)*Arch_FoodCap*EXP(v01_CapsByProject*SUMPRODUCT((Cap_Point&lt;=I210)*(Cap_Kind="Food")*Cap_Ln))</x:f>
        <x:v>22</x:v>
      </x:c>
      <x:c r="K210" s="32" t="n">
        <x:f>J210*MIN(1,v01_LeanBase*EXP(v01_CapsByProject*SUMPRODUCT((Cap_Point&lt;=I210)*(Cap_Kind="Lean")*Cap_Ln)))</x:f>
        <x:v>22</x:v>
      </x:c>
      <x:c r="L210" s="10" t="n">
        <x:f>INDEX(v01_HousingCap,G210)*EXP(v01_CapsByProject*SUMPRODUCT((Cap_Point&lt;=I210)*(Cap_Kind="Housing")*Cap_Ln))</x:f>
        <x:v>60</x:v>
      </x:c>
      <x:c r="M210" s="10" t="n">
        <x:f>INDEX(v01_GroupCap,G210)*v01_CohesionFactor*EXP(v01_CapsByProject*SUMPRODUCT((Cap_Point&lt;=I210)*(Cap_Kind="Group")*Cap_Ln))</x:f>
        <x:v>35</x:v>
      </x:c>
      <x:c r="N210" s="32" t="n">
        <x:f>MIN(J210,L210,M210)</x:f>
        <x:v>22</x:v>
      </x:c>
      <x:c r="O210" s="10" t="n">
        <x:f>AE209*N210</x:f>
        <x:v>22</x:v>
      </x:c>
      <x:c r="P210" s="9" t="n">
        <x:f>MIN(1,(AB209/(AE209*IF(v01_GroupInCrowding=1,N210,MIN(J210,L210))))^v01_CrowdingExp)</x:f>
        <x:v>0.25440313821191657</x:v>
      </x:c>
      <x:c r="Q210" s="9" t="n">
        <x:f>IF(D210=1,INDEX(v01_WinterMult,G210),1)</x:f>
        <x:v>1</x:v>
      </x:c>
      <x:c r="R210" s="9" t="n">
        <x:f>H210*Z209*v01_WomenShare*v01_BaseFertility*INDEX(v01_FertMult,G210)*Arch_Fertility*(1-P210)</x:f>
        <x:v>0.19648474484937353</x:v>
      </x:c>
      <x:c r="S210" s="9" t="n">
        <x:f>H210*Y209*INDEX(v01_MortChild,G210)/4*Q210</x:f>
        <x:v>0.06512606022667784</x:v>
      </x:c>
      <x:c r="T210" s="9" t="n">
        <x:f>H210*Z209*INDEX(v01_MortAdult,G210)*Arch_AdultMort/4*Q210</x:f>
        <x:v>0.03294084828531964</x:v>
      </x:c>
      <x:c r="U210" s="9" t="n">
        <x:f>H210*AA209*INDEX(v01_MortElder,G210)/4*Q210</x:f>
        <x:v>0.05538659650787801</x:v>
      </x:c>
      <x:c r="V210" s="9" t="n">
        <x:f>H210*MAX(0,AB209-O210)*v01_OvercapLoss</x:f>
        <x:v>0</x:v>
      </x:c>
      <x:c r="W210" s="9" t="n">
        <x:f>H210*Y209/(v01_ChildYears*4)</x:f>
        <x:v>0.11629653611906757</x:v>
      </x:c>
      <x:c r="X210" s="9" t="n">
        <x:f>H210*Z209/(v01_AdultYears*4)</x:f>
        <x:v>0.07084053394692395</x:v>
      </x:c>
      <x:c r="Y210" s="32" t="n">
        <x:f>Y209+R210-S210-W210-Y209*V210/AB209</x:f>
        <x:v>6.5276681711714115</x:v>
      </x:c>
      <x:c r="Z210" s="32" t="n">
        <x:f>Z209+W210-X210-T210-Z209*V210/AB209</x:f>
        <x:v>8.796741363305394</x:v>
      </x:c>
      <x:c r="AA210" s="32" t="n">
        <x:f>AA209+X210-U210-AA209*V210/AB209</x:f>
        <x:v>2.230917797754166</x:v>
      </x:c>
      <x:c r="AB210" s="10" t="n">
        <x:f>Y210+Z210+AA210</x:f>
        <x:v>17.55532733223097</x:v>
      </x:c>
      <x:c r="AC210" s="8" t="n">
        <x:f>IF(AND(v01_WinterTrigger=1,D210=1,AB209/AE209&gt;=K210),1,0)</x:f>
        <x:v>0</x:v>
      </x:c>
      <x:c r="AD210" s="8" t="n">
        <x:f>H210*IF(AND(OR(AB209/AE209&gt;=v01_FissionTrigger*N210,AC210=1),AB209/AE209*v01_DaughterShare&gt;=v01_MinDaughter),MAX(1,ROUND(AE209*v01_FissionRate,0)),0)</x:f>
        <x:v>0</x:v>
      </x:c>
      <x:c r="AE210" s="8" t="n">
        <x:f>IF(H210=1,MAX(1,MIN(INDEX(v01_Smax,G210),AE209+AD210)),AE209)</x:f>
        <x:v>1</x:v>
      </x:c>
      <x:c r="AF210" s="8" t="n">
        <x:f>MAX(0,AE210-AE209)</x:f>
        <x:v>0</x:v>
      </x:c>
      <x:c r="AG210" s="9" t="str">
        <x:f>IF(AF210&gt;0,B210,"")</x:f>
      </x:c>
      <x:c r="AH210" s="9" t="n">
        <x:f>IF(F210&gt;=1,1,(1+v01_LowTiesShare*(AE210-1))/AE210)</x:f>
        <x:v>1</x:v>
      </x:c>
      <x:c r="AI210" s="32" t="n">
        <x:f>(Z210+v01_ElderCommons*INDEX(LM_Elder,G210)*AA210)*AH210</x:f>
        <x:v>13.258576958813727</x:v>
      </x:c>
      <x:c r="AJ210" s="32" t="n">
        <x:f>H210*v01_CommonsCoef*AI210^v01_CommonsExp*INDEX(LM_Commons,G210)</x:f>
        <x:v>5.6620013645789</x:v>
      </x:c>
      <x:c r="AK210" s="32" t="n">
        <x:f>H210*v01_RoleScale*Arch_Roles*(AE210*(INDEX(v01_ElderRolePerSett,G210)*v01_OutElder*INDEX(LM_Elder,G210)+INDEX(v01_ShamanPerSett,G210)*v01_OutShaman)+Z210*(INDEX(v01_PriestShare,G210)*v01_OutPriest+INDEX(v01_ScribeShare,G210)*v01_OutScribe*INDEX(LM_Scribe,G210)+INDEX(v01_ScholarShare,G210)*v01_OutScholar*INDEX(LM_Scholar,G210)+INDEX(v01_ResearcherShare,G210)*v01_OutResearcher*INDEX(LM_Researcher,G210)))</x:f>
        <x:v>0</x:v>
      </x:c>
      <x:c r="AL210" s="32" t="n">
        <x:f>H210*v01_RoleScale*Arch_Roles*AE210*INDEX(v01_MonasteryPerSett,G210)*v01_OutMonastery*INDEX(LM_Monastery,G210)</x:f>
        <x:v>0</x:v>
      </x:c>
      <x:c r="AM210" s="32" t="n">
        <x:f>(AJ210+AK210+AL210)/4*INDEX(LM_All,G210)*INDEX(v01_Boon,G210)*Arch_Insight</x:f>
        <x:v>1.415500341144725</x:v>
      </x:c>
      <x:c r="AN210" s="32" t="n">
        <x:f>H210*(v01_KHPerAdult*Z210+v01_KHOfCommons*AJ210/4*INDEX(LM_All,G210))*v01_KHUsable*Arch_KH</x:f>
        <x:v>0.3078859477156888</x:v>
      </x:c>
      <x:c r="AO210" s="32" t="n">
        <x:f>MIN(AP209+AN210,AM210*v01_KHMaxRatio)</x:f>
        <x:v>0.3078859477156888</x:v>
      </x:c>
      <x:c r="AP210" s="32" t="n">
        <x:f>AP209+AN210-AO210</x:f>
        <x:v>0</x:v>
      </x:c>
      <x:c r="AQ210" s="32" t="n">
        <x:f>AM210+AO210</x:f>
        <x:v>1.7233862888604137</x:v>
      </x:c>
      <x:c r="AR210" s="10" t="n">
        <x:f>IF(H210=1,INDEX(v01_Req,G210),0)</x:f>
        <x:v>372.02</x:v>
      </x:c>
      <x:c r="AS210" s="32" t="n">
        <x:f>IF(H210=1,IF(E210=1,AS209-AR209,AS209)+AQ210,0)</x:f>
        <x:v>326.2705326891323</x:v>
      </x:c>
      <x:c r="AT210" s="11" t="n">
        <x:f>IF(AR210&gt;0,MIN(1,AS210/AR210),1)</x:f>
        <x:v>0.8770241725959151</x:v>
      </x:c>
      <x:c r="AU210" s="10" t="n">
        <x:f>AB210/INDEX(v01_RepScale,G210)</x:f>
        <x:v>17.55532733223097</x:v>
      </x:c>
      <x:c r="AV210" s="32" t="n">
        <x:f>AM210*60/v01_SeasonSeconds</x:f>
        <x:v>5.6620013645789</x:v>
      </x:c>
    </x:row>
    <x:row r="211">
      <x:c r="A211" s="8" t="n">
        <x:f>A210+1</x:f>
        <x:v>208</x:v>
      </x:c>
      <x:c r="B211" s="9" t="n">
        <x:f>A211*v01_SeasonSeconds/60</x:f>
        <x:v>52</x:v>
      </x:c>
      <x:c r="C211" s="9" t="n">
        <x:f>A211/4</x:f>
        <x:v>52</x:v>
      </x:c>
      <x:c r="D211" s="8" t="n">
        <x:f>IF(MOD(A211,4)=0,1,0)</x:f>
        <x:v>1</x:v>
      </x:c>
      <x:c r="E211" s="8" t="n">
        <x:f>IF(AND(F210&lt;=9,AS210&gt;=AR210),1,0)</x:f>
        <x:v>0</x:v>
      </x:c>
      <x:c r="F211" s="8" t="n">
        <x:f>MIN(10,F210+E211)</x:f>
        <x:v>0</x:v>
      </x:c>
      <x:c r="G211" s="8" t="n">
        <x:f>MIN(F211,9)+1</x:f>
        <x:v>1</x:v>
      </x:c>
      <x:c r="H211" s="8" t="n">
        <x:f>IF(F211&lt;=9,1,0)</x:f>
        <x:v>1</x:v>
      </x:c>
      <x:c r="I211" s="9" t="n">
        <x:f>MIN(10,F210+IF(AR210&gt;0,MIN(1,AS210/AR210),1))</x:f>
        <x:v>0.8770241725959151</x:v>
      </x:c>
      <x:c r="J211" s="32" t="n">
        <x:f>INDEX(v01_FoodCap,G211)*Arch_FoodCap*EXP(v01_CapsByProject*SUMPRODUCT((Cap_Point&lt;=I211)*(Cap_Kind="Food")*Cap_Ln))</x:f>
        <x:v>22</x:v>
      </x:c>
      <x:c r="K211" s="32" t="n">
        <x:f>J211*MIN(1,v01_LeanBase*EXP(v01_CapsByProject*SUMPRODUCT((Cap_Point&lt;=I211)*(Cap_Kind="Lean")*Cap_Ln)))</x:f>
        <x:v>22</x:v>
      </x:c>
      <x:c r="L211" s="10" t="n">
        <x:f>INDEX(v01_HousingCap,G211)*EXP(v01_CapsByProject*SUMPRODUCT((Cap_Point&lt;=I211)*(Cap_Kind="Housing")*Cap_Ln))</x:f>
        <x:v>60</x:v>
      </x:c>
      <x:c r="M211" s="10" t="n">
        <x:f>INDEX(v01_GroupCap,G211)*v01_CohesionFactor*EXP(v01_CapsByProject*SUMPRODUCT((Cap_Point&lt;=I211)*(Cap_Kind="Group")*Cap_Ln))</x:f>
        <x:v>35</x:v>
      </x:c>
      <x:c r="N211" s="32" t="n">
        <x:f>MIN(J211,L211,M211)</x:f>
        <x:v>22</x:v>
      </x:c>
      <x:c r="O211" s="10" t="n">
        <x:f>AE210*N211</x:f>
        <x:v>22</x:v>
      </x:c>
      <x:c r="P211" s="9" t="n">
        <x:f>MIN(1,(AB210/(AE210*IF(v01_GroupInCrowding=1,N211,MIN(J211,L211))))^v01_CrowdingExp)</x:f>
        <x:v>0.2581769731191407</x:v>
      </x:c>
      <x:c r="Q211" s="9" t="n">
        <x:f>IF(D211=1,INDEX(v01_WinterMult,G211),1)</x:f>
        <x:v>2</x:v>
      </x:c>
      <x:c r="R211" s="9" t="n">
        <x:f>H211*Z210*v01_WomenShare*v01_BaseFertility*INDEX(v01_FertMult,G211)*Arch_Fertility*(1-P211)</x:f>
        <x:v>0.19576875914445793</x:v>
      </x:c>
      <x:c r="S211" s="9" t="n">
        <x:f>H211*Y210*INDEX(v01_MortChild,G211)/4*Q211</x:f>
        <x:v>0.13055336342342824</x:v>
      </x:c>
      <x:c r="T211" s="9" t="n">
        <x:f>H211*Z210*INDEX(v01_MortAdult,G211)*Arch_AdultMort/4*Q211</x:f>
        <x:v>0.06597556022479045</x:v>
      </x:c>
      <x:c r="U211" s="9" t="n">
        <x:f>H211*AA210*INDEX(v01_MortElder,G211)/4*Q211</x:f>
        <x:v>0.1115458898877083</x:v>
      </x:c>
      <x:c r="V211" s="9" t="n">
        <x:f>H211*MAX(0,AB210-O211)*v01_OvercapLoss</x:f>
        <x:v>0</x:v>
      </x:c>
      <x:c r="W211" s="9" t="n">
        <x:f>H211*Y210/(v01_ChildYears*4)</x:f>
        <x:v>0.11656550305663235</x:v>
      </x:c>
      <x:c r="X211" s="9" t="n">
        <x:f>H211*Z210/(v01_AdultYears*4)</x:f>
        <x:v>0.07094146260730157</x:v>
      </x:c>
      <x:c r="Y211" s="32" t="n">
        <x:f>Y210+R211-S211-W211-Y210*V211/AB210</x:f>
        <x:v>6.476318063835809</x:v>
      </x:c>
      <x:c r="Z211" s="32" t="n">
        <x:f>Z210+W211-X211-T211-Z210*V211/AB210</x:f>
        <x:v>8.776389843529934</x:v>
      </x:c>
      <x:c r="AA211" s="32" t="n">
        <x:f>AA210+X211-U211-AA210*V211/AB210</x:f>
        <x:v>2.1903133704737594</x:v>
      </x:c>
      <x:c r="AB211" s="10" t="n">
        <x:f>Y211+Z211+AA211</x:f>
        <x:v>17.443021277839502</x:v>
      </x:c>
      <x:c r="AC211" s="8" t="n">
        <x:f>IF(AND(v01_WinterTrigger=1,D211=1,AB210/AE210&gt;=K211),1,0)</x:f>
        <x:v>0</x:v>
      </x:c>
      <x:c r="AD211" s="8" t="n">
        <x:f>H211*IF(AND(OR(AB210/AE210&gt;=v01_FissionTrigger*N211,AC211=1),AB210/AE210*v01_DaughterShare&gt;=v01_MinDaughter),MAX(1,ROUND(AE210*v01_FissionRate,0)),0)</x:f>
        <x:v>0</x:v>
      </x:c>
      <x:c r="AE211" s="8" t="n">
        <x:f>IF(H211=1,MAX(1,MIN(INDEX(v01_Smax,G211),AE210+AD211)),AE210)</x:f>
        <x:v>1</x:v>
      </x:c>
      <x:c r="AF211" s="8" t="n">
        <x:f>MAX(0,AE211-AE210)</x:f>
        <x:v>0</x:v>
      </x:c>
      <x:c r="AG211" s="9" t="str">
        <x:f>IF(AF211&gt;0,B211,"")</x:f>
      </x:c>
      <x:c r="AH211" s="9" t="n">
        <x:f>IF(F211&gt;=1,1,(1+v01_LowTiesShare*(AE211-1))/AE211)</x:f>
        <x:v>1</x:v>
      </x:c>
      <x:c r="AI211" s="32" t="n">
        <x:f>(Z211+v01_ElderCommons*INDEX(LM_Elder,G211)*AA211)*AH211</x:f>
        <x:v>13.157016584477454</x:v>
      </x:c>
      <x:c r="AJ211" s="32" t="n">
        <x:f>H211*v01_CommonsCoef*AI211^v01_CommonsExp*INDEX(LM_Commons,G211)</x:f>
        <x:v>5.625114950306608</x:v>
      </x:c>
      <x:c r="AK211" s="32" t="n">
        <x:f>H211*v01_RoleScale*Arch_Roles*(AE211*(INDEX(v01_ElderRolePerSett,G211)*v01_OutElder*INDEX(LM_Elder,G211)+INDEX(v01_ShamanPerSett,G211)*v01_OutShaman)+Z211*(INDEX(v01_PriestShare,G211)*v01_OutPriest+INDEX(v01_ScribeShare,G211)*v01_OutScribe*INDEX(LM_Scribe,G211)+INDEX(v01_ScholarShare,G211)*v01_OutScholar*INDEX(LM_Scholar,G211)+INDEX(v01_ResearcherShare,G211)*v01_OutResearcher*INDEX(LM_Researcher,G211)))</x:f>
        <x:v>0</x:v>
      </x:c>
      <x:c r="AL211" s="32" t="n">
        <x:f>H211*v01_RoleScale*Arch_Roles*AE211*INDEX(v01_MonasteryPerSett,G211)*v01_OutMonastery*INDEX(LM_Monastery,G211)</x:f>
        <x:v>0</x:v>
      </x:c>
      <x:c r="AM211" s="32" t="n">
        <x:f>(AJ211+AK211+AL211)/4*INDEX(LM_All,G211)*INDEX(v01_Boon,G211)*Arch_Insight</x:f>
        <x:v>1.406278737576652</x:v>
      </x:c>
      <x:c r="AN211" s="32" t="n">
        <x:f>H211*(v01_KHPerAdult*Z211+v01_KHOfCommons*AJ211/4*INDEX(LM_All,G211))*v01_KHUsable*Arch_KH</x:f>
        <x:v>0.3071736445235477</x:v>
      </x:c>
      <x:c r="AO211" s="32" t="n">
        <x:f>MIN(AP210+AN211,AM211*v01_KHMaxRatio)</x:f>
        <x:v>0.3071736445235477</x:v>
      </x:c>
      <x:c r="AP211" s="32" t="n">
        <x:f>AP210+AN211-AO211</x:f>
        <x:v>0</x:v>
      </x:c>
      <x:c r="AQ211" s="32" t="n">
        <x:f>AM211+AO211</x:f>
        <x:v>1.7134523821001997</x:v>
      </x:c>
      <x:c r="AR211" s="10" t="n">
        <x:f>IF(H211=1,INDEX(v01_Req,G211),0)</x:f>
        <x:v>372.02</x:v>
      </x:c>
      <x:c r="AS211" s="32" t="n">
        <x:f>IF(H211=1,IF(E211=1,AS210-AR210,AS210)+AQ211,0)</x:f>
        <x:v>327.9839850712325</x:v>
      </x:c>
      <x:c r="AT211" s="11" t="n">
        <x:f>IF(AR211&gt;0,MIN(1,AS211/AR211),1)</x:f>
        <x:v>0.8816299797624657</x:v>
      </x:c>
      <x:c r="AU211" s="10" t="n">
        <x:f>AB211/INDEX(v01_RepScale,G211)</x:f>
        <x:v>17.443021277839502</x:v>
      </x:c>
      <x:c r="AV211" s="32" t="n">
        <x:f>AM211*60/v01_SeasonSeconds</x:f>
        <x:v>5.625114950306608</x:v>
      </x:c>
    </x:row>
    <x:row r="212">
      <x:c r="A212" s="8" t="n">
        <x:f>A211+1</x:f>
        <x:v>209</x:v>
      </x:c>
      <x:c r="B212" s="9" t="n">
        <x:f>A212*v01_SeasonSeconds/60</x:f>
        <x:v>52.25</x:v>
      </x:c>
      <x:c r="C212" s="9" t="n">
        <x:f>A212/4</x:f>
        <x:v>52.25</x:v>
      </x:c>
      <x:c r="D212" s="8" t="n">
        <x:f>IF(MOD(A212,4)=0,1,0)</x:f>
        <x:v>0</x:v>
      </x:c>
      <x:c r="E212" s="8" t="n">
        <x:f>IF(AND(F211&lt;=9,AS211&gt;=AR211),1,0)</x:f>
        <x:v>0</x:v>
      </x:c>
      <x:c r="F212" s="8" t="n">
        <x:f>MIN(10,F211+E212)</x:f>
        <x:v>0</x:v>
      </x:c>
      <x:c r="G212" s="8" t="n">
        <x:f>MIN(F212,9)+1</x:f>
        <x:v>1</x:v>
      </x:c>
      <x:c r="H212" s="8" t="n">
        <x:f>IF(F212&lt;=9,1,0)</x:f>
        <x:v>1</x:v>
      </x:c>
      <x:c r="I212" s="9" t="n">
        <x:f>MIN(10,F211+IF(AR211&gt;0,MIN(1,AS211/AR211),1))</x:f>
        <x:v>0.8816299797624657</x:v>
      </x:c>
      <x:c r="J212" s="32" t="n">
        <x:f>INDEX(v01_FoodCap,G212)*Arch_FoodCap*EXP(v01_CapsByProject*SUMPRODUCT((Cap_Point&lt;=I212)*(Cap_Kind="Food")*Cap_Ln))</x:f>
        <x:v>22</x:v>
      </x:c>
      <x:c r="K212" s="32" t="n">
        <x:f>J212*MIN(1,v01_LeanBase*EXP(v01_CapsByProject*SUMPRODUCT((Cap_Point&lt;=I212)*(Cap_Kind="Lean")*Cap_Ln)))</x:f>
        <x:v>22</x:v>
      </x:c>
      <x:c r="L212" s="10" t="n">
        <x:f>INDEX(v01_HousingCap,G212)*EXP(v01_CapsByProject*SUMPRODUCT((Cap_Point&lt;=I212)*(Cap_Kind="Housing")*Cap_Ln))</x:f>
        <x:v>60</x:v>
      </x:c>
      <x:c r="M212" s="10" t="n">
        <x:f>INDEX(v01_GroupCap,G212)*v01_CohesionFactor*EXP(v01_CapsByProject*SUMPRODUCT((Cap_Point&lt;=I212)*(Cap_Kind="Group")*Cap_Ln))</x:f>
        <x:v>35</x:v>
      </x:c>
      <x:c r="N212" s="32" t="n">
        <x:f>MIN(J212,L212,M212)</x:f>
        <x:v>22</x:v>
      </x:c>
      <x:c r="O212" s="10" t="n">
        <x:f>AE211*N212</x:f>
        <x:v>22</x:v>
      </x:c>
      <x:c r="P212" s="9" t="n">
        <x:f>MIN(1,(AB211/(AE211*IF(v01_GroupInCrowding=1,N212,MIN(J212,L212))))^v01_CrowdingExp)</x:f>
        <x:v>0.2484243593189482</x:v>
      </x:c>
      <x:c r="Q212" s="9" t="n">
        <x:f>IF(D212=1,INDEX(v01_WinterMult,G212),1)</x:f>
        <x:v>1</x:v>
      </x:c>
      <x:c r="R212" s="9" t="n">
        <x:f>H212*Z211*v01_WomenShare*v01_BaseFertility*INDEX(v01_FertMult,G212)*Arch_Fertility*(1-P212)</x:f>
        <x:v>0.19788362458553058</x:v>
      </x:c>
      <x:c r="S212" s="9" t="n">
        <x:f>H212*Y211*INDEX(v01_MortChild,G212)/4*Q212</x:f>
        <x:v>0.06476318063835809</x:v>
      </x:c>
      <x:c r="T212" s="9" t="n">
        <x:f>H212*Z211*INDEX(v01_MortAdult,G212)*Arch_AdultMort/4*Q212</x:f>
        <x:v>0.03291146191323725</x:v>
      </x:c>
      <x:c r="U212" s="9" t="n">
        <x:f>H212*AA211*INDEX(v01_MortElder,G212)/4*Q212</x:f>
        <x:v>0.05475783426184399</x:v>
      </x:c>
      <x:c r="V212" s="9" t="n">
        <x:f>H212*MAX(0,AB211-O212)*v01_OvercapLoss</x:f>
        <x:v>0</x:v>
      </x:c>
      <x:c r="W212" s="9" t="n">
        <x:f>H212*Y211/(v01_ChildYears*4)</x:f>
        <x:v>0.11564853685421086</x:v>
      </x:c>
      <x:c r="X212" s="9" t="n">
        <x:f>H212*Z211/(v01_AdultYears*4)</x:f>
        <x:v>0.07077733744782205</x:v>
      </x:c>
      <x:c r="Y212" s="32" t="n">
        <x:f>Y211+R212-S212-W212-Y211*V212/AB211</x:f>
        <x:v>6.493789970928771</x:v>
      </x:c>
      <x:c r="Z212" s="32" t="n">
        <x:f>Z211+W212-X212-T212-Z211*V212/AB211</x:f>
        <x:v>8.788349581023086</x:v>
      </x:c>
      <x:c r="AA212" s="32" t="n">
        <x:f>AA211+X212-U212-AA211*V212/AB211</x:f>
        <x:v>2.2063328736597376</x:v>
      </x:c>
      <x:c r="AB212" s="10" t="n">
        <x:f>Y212+Z212+AA212</x:f>
        <x:v>17.488472425611594</x:v>
      </x:c>
      <x:c r="AC212" s="8" t="n">
        <x:f>IF(AND(v01_WinterTrigger=1,D212=1,AB211/AE211&gt;=K212),1,0)</x:f>
        <x:v>0</x:v>
      </x:c>
      <x:c r="AD212" s="8" t="n">
        <x:f>H212*IF(AND(OR(AB211/AE211&gt;=v01_FissionTrigger*N212,AC212=1),AB211/AE211*v01_DaughterShare&gt;=v01_MinDaughter),MAX(1,ROUND(AE211*v01_FissionRate,0)),0)</x:f>
        <x:v>0</x:v>
      </x:c>
      <x:c r="AE212" s="8" t="n">
        <x:f>IF(H212=1,MAX(1,MIN(INDEX(v01_Smax,G212),AE211+AD212)),AE211)</x:f>
        <x:v>1</x:v>
      </x:c>
      <x:c r="AF212" s="8" t="n">
        <x:f>MAX(0,AE212-AE211)</x:f>
        <x:v>0</x:v>
      </x:c>
      <x:c r="AG212" s="9" t="str">
        <x:f>IF(AF212&gt;0,B212,"")</x:f>
      </x:c>
      <x:c r="AH212" s="9" t="n">
        <x:f>IF(F212&gt;=1,1,(1+v01_LowTiesShare*(AE212-1))/AE212)</x:f>
        <x:v>1</x:v>
      </x:c>
      <x:c r="AI212" s="32" t="n">
        <x:f>(Z212+v01_ElderCommons*INDEX(LM_Elder,G212)*AA212)*AH212</x:f>
        <x:v>13.20101532834256</x:v>
      </x:c>
      <x:c r="AJ212" s="32" t="n">
        <x:f>H212*v01_CommonsCoef*AI212^v01_CommonsExp*INDEX(LM_Commons,G212)</x:f>
        <x:v>5.641100382539933</x:v>
      </x:c>
      <x:c r="AK212" s="32" t="n">
        <x:f>H212*v01_RoleScale*Arch_Roles*(AE212*(INDEX(v01_ElderRolePerSett,G212)*v01_OutElder*INDEX(LM_Elder,G212)+INDEX(v01_ShamanPerSett,G212)*v01_OutShaman)+Z212*(INDEX(v01_PriestShare,G212)*v01_OutPriest+INDEX(v01_ScribeShare,G212)*v01_OutScribe*INDEX(LM_Scribe,G212)+INDEX(v01_ScholarShare,G212)*v01_OutScholar*INDEX(LM_Scholar,G212)+INDEX(v01_ResearcherShare,G212)*v01_OutResearcher*INDEX(LM_Researcher,G212)))</x:f>
        <x:v>0</x:v>
      </x:c>
      <x:c r="AL212" s="32" t="n">
        <x:f>H212*v01_RoleScale*Arch_Roles*AE212*INDEX(v01_MonasteryPerSett,G212)*v01_OutMonastery*INDEX(LM_Monastery,G212)</x:f>
        <x:v>0</x:v>
      </x:c>
      <x:c r="AM212" s="32" t="n">
        <x:f>(AJ212+AK212+AL212)/4*INDEX(LM_All,G212)*INDEX(v01_Boon,G212)*Arch_Insight</x:f>
        <x:v>1.4102750956349832</x:v>
      </x:c>
      <x:c r="AN212" s="32" t="n">
        <x:f>H212*(v01_KHPerAdult*Z212+v01_KHOfCommons*AJ212/4*INDEX(LM_All,G212))*v01_KHUsable*Arch_KH</x:f>
        <x:v>0.307592235335808</x:v>
      </x:c>
      <x:c r="AO212" s="32" t="n">
        <x:f>MIN(AP211+AN212,AM212*v01_KHMaxRatio)</x:f>
        <x:v>0.307592235335808</x:v>
      </x:c>
      <x:c r="AP212" s="32" t="n">
        <x:f>AP211+AN212-AO212</x:f>
        <x:v>0</x:v>
      </x:c>
      <x:c r="AQ212" s="32" t="n">
        <x:f>AM212+AO212</x:f>
        <x:v>1.7178673309707913</x:v>
      </x:c>
      <x:c r="AR212" s="10" t="n">
        <x:f>IF(H212=1,INDEX(v01_Req,G212),0)</x:f>
        <x:v>372.02</x:v>
      </x:c>
      <x:c r="AS212" s="32" t="n">
        <x:f>IF(H212=1,IF(E212=1,AS211-AR211,AS211)+AQ212,0)</x:f>
        <x:v>329.7018524022033</x:v>
      </x:c>
      <x:c r="AT212" s="11" t="n">
        <x:f>IF(AR212&gt;0,MIN(1,AS212/AR212),1)</x:f>
        <x:v>0.8862476544331039</x:v>
      </x:c>
      <x:c r="AU212" s="10" t="n">
        <x:f>AB212/INDEX(v01_RepScale,G212)</x:f>
        <x:v>17.488472425611594</x:v>
      </x:c>
      <x:c r="AV212" s="32" t="n">
        <x:f>AM212*60/v01_SeasonSeconds</x:f>
        <x:v>5.641100382539933</x:v>
      </x:c>
    </x:row>
    <x:row r="213">
      <x:c r="A213" s="8" t="n">
        <x:f>A212+1</x:f>
        <x:v>210</x:v>
      </x:c>
      <x:c r="B213" s="9" t="n">
        <x:f>A213*v01_SeasonSeconds/60</x:f>
        <x:v>52.5</x:v>
      </x:c>
      <x:c r="C213" s="9" t="n">
        <x:f>A213/4</x:f>
        <x:v>52.5</x:v>
      </x:c>
      <x:c r="D213" s="8" t="n">
        <x:f>IF(MOD(A213,4)=0,1,0)</x:f>
        <x:v>0</x:v>
      </x:c>
      <x:c r="E213" s="8" t="n">
        <x:f>IF(AND(F212&lt;=9,AS212&gt;=AR212),1,0)</x:f>
        <x:v>0</x:v>
      </x:c>
      <x:c r="F213" s="8" t="n">
        <x:f>MIN(10,F212+E213)</x:f>
        <x:v>0</x:v>
      </x:c>
      <x:c r="G213" s="8" t="n">
        <x:f>MIN(F213,9)+1</x:f>
        <x:v>1</x:v>
      </x:c>
      <x:c r="H213" s="8" t="n">
        <x:f>IF(F213&lt;=9,1,0)</x:f>
        <x:v>1</x:v>
      </x:c>
      <x:c r="I213" s="9" t="n">
        <x:f>MIN(10,F212+IF(AR212&gt;0,MIN(1,AS212/AR212),1))</x:f>
        <x:v>0.8862476544331039</x:v>
      </x:c>
      <x:c r="J213" s="32" t="n">
        <x:f>INDEX(v01_FoodCap,G213)*Arch_FoodCap*EXP(v01_CapsByProject*SUMPRODUCT((Cap_Point&lt;=I213)*(Cap_Kind="Food")*Cap_Ln))</x:f>
        <x:v>22</x:v>
      </x:c>
      <x:c r="K213" s="32" t="n">
        <x:f>J213*MIN(1,v01_LeanBase*EXP(v01_CapsByProject*SUMPRODUCT((Cap_Point&lt;=I213)*(Cap_Kind="Lean")*Cap_Ln)))</x:f>
        <x:v>22</x:v>
      </x:c>
      <x:c r="L213" s="10" t="n">
        <x:f>INDEX(v01_HousingCap,G213)*EXP(v01_CapsByProject*SUMPRODUCT((Cap_Point&lt;=I213)*(Cap_Kind="Housing")*Cap_Ln))</x:f>
        <x:v>60</x:v>
      </x:c>
      <x:c r="M213" s="10" t="n">
        <x:f>INDEX(v01_GroupCap,G213)*v01_CohesionFactor*EXP(v01_CapsByProject*SUMPRODUCT((Cap_Point&lt;=I213)*(Cap_Kind="Group")*Cap_Ln))</x:f>
        <x:v>35</x:v>
      </x:c>
      <x:c r="N213" s="32" t="n">
        <x:f>MIN(J213,L213,M213)</x:f>
        <x:v>22</x:v>
      </x:c>
      <x:c r="O213" s="10" t="n">
        <x:f>AE212*N213</x:f>
        <x:v>22</x:v>
      </x:c>
      <x:c r="P213" s="9" t="n">
        <x:f>MIN(1,(AB212/(AE212*IF(v01_GroupInCrowding=1,N213,MIN(J213,L213))))^v01_CrowdingExp)</x:f>
        <x:v>0.2523336528174544</x:v>
      </x:c>
      <x:c r="Q213" s="9" t="n">
        <x:f>IF(D213=1,INDEX(v01_WinterMult,G213),1)</x:f>
        <x:v>1</x:v>
      </x:c>
      <x:c r="R213" s="9" t="n">
        <x:f>H213*Z212*v01_WomenShare*v01_BaseFertility*INDEX(v01_FertMult,G213)*Arch_Fertility*(1-P213)</x:f>
        <x:v>0.19712259687020356</x:v>
      </x:c>
      <x:c r="S213" s="9" t="n">
        <x:f>H213*Y212*INDEX(v01_MortChild,G213)/4*Q213</x:f>
        <x:v>0.0649378997092877</x:v>
      </x:c>
      <x:c r="T213" s="9" t="n">
        <x:f>H213*Z212*INDEX(v01_MortAdult,G213)*Arch_AdultMort/4*Q213</x:f>
        <x:v>0.03295631092883657</x:v>
      </x:c>
      <x:c r="U213" s="9" t="n">
        <x:f>H213*AA212*INDEX(v01_MortElder,G213)/4*Q213</x:f>
        <x:v>0.05515832184149344</x:v>
      </x:c>
      <x:c r="V213" s="9" t="n">
        <x:f>H213*MAX(0,AB212-O213)*v01_OvercapLoss</x:f>
        <x:v>0</x:v>
      </x:c>
      <x:c r="W213" s="9" t="n">
        <x:f>H213*Y212/(v01_ChildYears*4)</x:f>
        <x:v>0.11596053519515662</x:v>
      </x:c>
      <x:c r="X213" s="9" t="n">
        <x:f>H213*Z212/(v01_AdultYears*4)</x:f>
        <x:v>0.07087378694373456</x:v>
      </x:c>
      <x:c r="Y213" s="32" t="n">
        <x:f>Y212+R213-S213-W213-Y212*V213/AB212</x:f>
        <x:v>6.510014132894529</x:v>
      </x:c>
      <x:c r="Z213" s="32" t="n">
        <x:f>Z212+W213-X213-T213-Z212*V213/AB212</x:f>
        <x:v>8.800480018345672</x:v>
      </x:c>
      <x:c r="AA213" s="32" t="n">
        <x:f>AA212+X213-U213-AA212*V213/AB212</x:f>
        <x:v>2.2220483387619785</x:v>
      </x:c>
      <x:c r="AB213" s="10" t="n">
        <x:f>Y213+Z213+AA213</x:f>
        <x:v>17.53254249000218</x:v>
      </x:c>
      <x:c r="AC213" s="8" t="n">
        <x:f>IF(AND(v01_WinterTrigger=1,D213=1,AB212/AE212&gt;=K213),1,0)</x:f>
        <x:v>0</x:v>
      </x:c>
      <x:c r="AD213" s="8" t="n">
        <x:f>H213*IF(AND(OR(AB212/AE212&gt;=v01_FissionTrigger*N213,AC213=1),AB212/AE212*v01_DaughterShare&gt;=v01_MinDaughter),MAX(1,ROUND(AE212*v01_FissionRate,0)),0)</x:f>
        <x:v>0</x:v>
      </x:c>
      <x:c r="AE213" s="8" t="n">
        <x:f>IF(H213=1,MAX(1,MIN(INDEX(v01_Smax,G213),AE212+AD213)),AE212)</x:f>
        <x:v>1</x:v>
      </x:c>
      <x:c r="AF213" s="8" t="n">
        <x:f>MAX(0,AE213-AE212)</x:f>
        <x:v>0</x:v>
      </x:c>
      <x:c r="AG213" s="9" t="str">
        <x:f>IF(AF213&gt;0,B213,"")</x:f>
      </x:c>
      <x:c r="AH213" s="9" t="n">
        <x:f>IF(F213&gt;=1,1,(1+v01_LowTiesShare*(AE213-1))/AE213)</x:f>
        <x:v>1</x:v>
      </x:c>
      <x:c r="AI213" s="32" t="n">
        <x:f>(Z213+v01_ElderCommons*INDEX(LM_Elder,G213)*AA213)*AH213</x:f>
        <x:v>13.244576695869629</x:v>
      </x:c>
      <x:c r="AJ213" s="32" t="n">
        <x:f>H213*v01_CommonsCoef*AI213^v01_CommonsExp*INDEX(LM_Commons,G213)</x:f>
        <x:v>5.656919037855537</x:v>
      </x:c>
      <x:c r="AK213" s="32" t="n">
        <x:f>H213*v01_RoleScale*Arch_Roles*(AE213*(INDEX(v01_ElderRolePerSett,G213)*v01_OutElder*INDEX(LM_Elder,G213)+INDEX(v01_ShamanPerSett,G213)*v01_OutShaman)+Z213*(INDEX(v01_PriestShare,G213)*v01_OutPriest+INDEX(v01_ScribeShare,G213)*v01_OutScribe*INDEX(LM_Scribe,G213)+INDEX(v01_ScholarShare,G213)*v01_OutScholar*INDEX(LM_Scholar,G213)+INDEX(v01_ResearcherShare,G213)*v01_OutResearcher*INDEX(LM_Researcher,G213)))</x:f>
        <x:v>0</x:v>
      </x:c>
      <x:c r="AL213" s="32" t="n">
        <x:f>H213*v01_RoleScale*Arch_Roles*AE213*INDEX(v01_MonasteryPerSett,G213)*v01_OutMonastery*INDEX(LM_Monastery,G213)</x:f>
        <x:v>0</x:v>
      </x:c>
      <x:c r="AM213" s="32" t="n">
        <x:f>(AJ213+AK213+AL213)/4*INDEX(LM_All,G213)*INDEX(v01_Boon,G213)*Arch_Insight</x:f>
        <x:v>1.4142297594638842</x:v>
      </x:c>
      <x:c r="AN213" s="32" t="n">
        <x:f>H213*(v01_KHPerAdult*Z213+v01_KHOfCommons*AJ213/4*INDEX(LM_All,G213))*v01_KHUsable*Arch_KH</x:f>
        <x:v>0.3080168006420985</x:v>
      </x:c>
      <x:c r="AO213" s="32" t="n">
        <x:f>MIN(AP212+AN213,AM213*v01_KHMaxRatio)</x:f>
        <x:v>0.3080168006420985</x:v>
      </x:c>
      <x:c r="AP213" s="32" t="n">
        <x:f>AP212+AN213-AO213</x:f>
        <x:v>0</x:v>
      </x:c>
      <x:c r="AQ213" s="32" t="n">
        <x:f>AM213+AO213</x:f>
        <x:v>1.7222465601059826</x:v>
      </x:c>
      <x:c r="AR213" s="10" t="n">
        <x:f>IF(H213=1,INDEX(v01_Req,G213),0)</x:f>
        <x:v>372.02</x:v>
      </x:c>
      <x:c r="AS213" s="32" t="n">
        <x:f>IF(H213=1,IF(E213=1,AS212-AR212,AS212)+AQ213,0)</x:f>
        <x:v>331.4240989623093</x:v>
      </x:c>
      <x:c r="AT213" s="11" t="n">
        <x:f>IF(AR213&gt;0,MIN(1,AS213/AR213),1)</x:f>
        <x:v>0.8908771005921975</x:v>
      </x:c>
      <x:c r="AU213" s="10" t="n">
        <x:f>AB213/INDEX(v01_RepScale,G213)</x:f>
        <x:v>17.53254249000218</x:v>
      </x:c>
      <x:c r="AV213" s="32" t="n">
        <x:f>AM213*60/v01_SeasonSeconds</x:f>
        <x:v>5.656919037855537</x:v>
      </x:c>
    </x:row>
    <x:row r="214">
      <x:c r="A214" s="8" t="n">
        <x:f>A213+1</x:f>
        <x:v>211</x:v>
      </x:c>
      <x:c r="B214" s="9" t="n">
        <x:f>A214*v01_SeasonSeconds/60</x:f>
        <x:v>52.75</x:v>
      </x:c>
      <x:c r="C214" s="9" t="n">
        <x:f>A214/4</x:f>
        <x:v>52.75</x:v>
      </x:c>
      <x:c r="D214" s="8" t="n">
        <x:f>IF(MOD(A214,4)=0,1,0)</x:f>
        <x:v>0</x:v>
      </x:c>
      <x:c r="E214" s="8" t="n">
        <x:f>IF(AND(F213&lt;=9,AS213&gt;=AR213),1,0)</x:f>
        <x:v>0</x:v>
      </x:c>
      <x:c r="F214" s="8" t="n">
        <x:f>MIN(10,F213+E214)</x:f>
        <x:v>0</x:v>
      </x:c>
      <x:c r="G214" s="8" t="n">
        <x:f>MIN(F214,9)+1</x:f>
        <x:v>1</x:v>
      </x:c>
      <x:c r="H214" s="8" t="n">
        <x:f>IF(F214&lt;=9,1,0)</x:f>
        <x:v>1</x:v>
      </x:c>
      <x:c r="I214" s="9" t="n">
        <x:f>MIN(10,F213+IF(AR213&gt;0,MIN(1,AS213/AR213),1))</x:f>
        <x:v>0.8908771005921975</x:v>
      </x:c>
      <x:c r="J214" s="32" t="n">
        <x:f>INDEX(v01_FoodCap,G214)*Arch_FoodCap*EXP(v01_CapsByProject*SUMPRODUCT((Cap_Point&lt;=I214)*(Cap_Kind="Food")*Cap_Ln))</x:f>
        <x:v>22</x:v>
      </x:c>
      <x:c r="K214" s="32" t="n">
        <x:f>J214*MIN(1,v01_LeanBase*EXP(v01_CapsByProject*SUMPRODUCT((Cap_Point&lt;=I214)*(Cap_Kind="Lean")*Cap_Ln)))</x:f>
        <x:v>22</x:v>
      </x:c>
      <x:c r="L214" s="10" t="n">
        <x:f>INDEX(v01_HousingCap,G214)*EXP(v01_CapsByProject*SUMPRODUCT((Cap_Point&lt;=I214)*(Cap_Kind="Housing")*Cap_Ln))</x:f>
        <x:v>60</x:v>
      </x:c>
      <x:c r="M214" s="10" t="n">
        <x:f>INDEX(v01_GroupCap,G214)*v01_CohesionFactor*EXP(v01_CapsByProject*SUMPRODUCT((Cap_Point&lt;=I214)*(Cap_Kind="Group")*Cap_Ln))</x:f>
        <x:v>35</x:v>
      </x:c>
      <x:c r="N214" s="32" t="n">
        <x:f>MIN(J214,L214,M214)</x:f>
        <x:v>22</x:v>
      </x:c>
      <x:c r="O214" s="10" t="n">
        <x:f>AE213*N214</x:f>
        <x:v>22</x:v>
      </x:c>
      <x:c r="P214" s="9" t="n">
        <x:f>MIN(1,(AB213/(AE213*IF(v01_GroupInCrowding=1,N214,MIN(J214,L214))))^v01_CrowdingExp)</x:f>
        <x:v>0.25617297717293724</x:v>
      </x:c>
      <x:c r="Q214" s="9" t="n">
        <x:f>IF(D214=1,INDEX(v01_WinterMult,G214),1)</x:f>
        <x:v>1</x:v>
      </x:c>
      <x:c r="R214" s="9" t="n">
        <x:f>H214*Z213*v01_WomenShare*v01_BaseFertility*INDEX(v01_FertMult,G214)*Arch_Fertility*(1-P214)</x:f>
        <x:v>0.19638104554485347</x:v>
      </x:c>
      <x:c r="S214" s="9" t="n">
        <x:f>H214*Y213*INDEX(v01_MortChild,G214)/4*Q214</x:f>
        <x:v>0.06510014132894529</x:v>
      </x:c>
      <x:c r="T214" s="9" t="n">
        <x:f>H214*Z213*INDEX(v01_MortAdult,G214)*Arch_AdultMort/4*Q214</x:f>
        <x:v>0.03300180006879627</x:v>
      </x:c>
      <x:c r="U214" s="9" t="n">
        <x:f>H214*AA213*INDEX(v01_MortElder,G214)/4*Q214</x:f>
        <x:v>0.055551208469049464</x:v>
      </x:c>
      <x:c r="V214" s="9" t="n">
        <x:f>H214*MAX(0,AB213-O214)*v01_OvercapLoss</x:f>
        <x:v>0</x:v>
      </x:c>
      <x:c r="W214" s="9" t="n">
        <x:f>H214*Y213/(v01_ChildYears*4)</x:f>
        <x:v>0.11625025237311659</x:v>
      </x:c>
      <x:c r="X214" s="9" t="n">
        <x:f>H214*Z213/(v01_AdultYears*4)</x:f>
        <x:v>0.07097161305117478</x:v>
      </x:c>
      <x:c r="Y214" s="32" t="n">
        <x:f>Y213+R214-S214-W214-Y213*V214/AB213</x:f>
        <x:v>6.525044784737322</x:v>
      </x:c>
      <x:c r="Z214" s="32" t="n">
        <x:f>Z213+W214-X214-T214-Z213*V214/AB213</x:f>
        <x:v>8.812756857598819</x:v>
      </x:c>
      <x:c r="AA214" s="32" t="n">
        <x:f>AA213+X214-U214-AA213*V214/AB213</x:f>
        <x:v>2.237468743344104</x:v>
      </x:c>
      <x:c r="AB214" s="10" t="n">
        <x:f>Y214+Z214+AA214</x:f>
        <x:v>17.575270385680245</x:v>
      </x:c>
      <x:c r="AC214" s="8" t="n">
        <x:f>IF(AND(v01_WinterTrigger=1,D214=1,AB213/AE213&gt;=K214),1,0)</x:f>
        <x:v>0</x:v>
      </x:c>
      <x:c r="AD214" s="8" t="n">
        <x:f>H214*IF(AND(OR(AB213/AE213&gt;=v01_FissionTrigger*N214,AC214=1),AB213/AE213*v01_DaughterShare&gt;=v01_MinDaughter),MAX(1,ROUND(AE213*v01_FissionRate,0)),0)</x:f>
        <x:v>0</x:v>
      </x:c>
      <x:c r="AE214" s="8" t="n">
        <x:f>IF(H214=1,MAX(1,MIN(INDEX(v01_Smax,G214),AE213+AD214)),AE213)</x:f>
        <x:v>1</x:v>
      </x:c>
      <x:c r="AF214" s="8" t="n">
        <x:f>MAX(0,AE214-AE213)</x:f>
        <x:v>0</x:v>
      </x:c>
      <x:c r="AG214" s="9" t="str">
        <x:f>IF(AF214&gt;0,B214,"")</x:f>
      </x:c>
      <x:c r="AH214" s="9" t="n">
        <x:f>IF(F214&gt;=1,1,(1+v01_LowTiesShare*(AE214-1))/AE214)</x:f>
        <x:v>1</x:v>
      </x:c>
      <x:c r="AI214" s="32" t="n">
        <x:f>(Z214+v01_ElderCommons*INDEX(LM_Elder,G214)*AA214)*AH214</x:f>
        <x:v>13.287694344287026</x:v>
      </x:c>
      <x:c r="AJ214" s="32" t="n">
        <x:f>H214*v01_CommonsCoef*AI214^v01_CommonsExp*INDEX(LM_Commons,G214)</x:f>
        <x:v>5.672568879743162</x:v>
      </x:c>
      <x:c r="AK214" s="32" t="n">
        <x:f>H214*v01_RoleScale*Arch_Roles*(AE214*(INDEX(v01_ElderRolePerSett,G214)*v01_OutElder*INDEX(LM_Elder,G214)+INDEX(v01_ShamanPerSett,G214)*v01_OutShaman)+Z214*(INDEX(v01_PriestShare,G214)*v01_OutPriest+INDEX(v01_ScribeShare,G214)*v01_OutScribe*INDEX(LM_Scribe,G214)+INDEX(v01_ScholarShare,G214)*v01_OutScholar*INDEX(LM_Scholar,G214)+INDEX(v01_ResearcherShare,G214)*v01_OutResearcher*INDEX(LM_Researcher,G214)))</x:f>
        <x:v>0</x:v>
      </x:c>
      <x:c r="AL214" s="32" t="n">
        <x:f>H214*v01_RoleScale*Arch_Roles*AE214*INDEX(v01_MonasteryPerSett,G214)*v01_OutMonastery*INDEX(LM_Monastery,G214)</x:f>
        <x:v>0</x:v>
      </x:c>
      <x:c r="AM214" s="32" t="n">
        <x:f>(AJ214+AK214+AL214)/4*INDEX(LM_All,G214)*INDEX(v01_Boon,G214)*Arch_Insight</x:f>
        <x:v>1.4181422199357905</x:v>
      </x:c>
      <x:c r="AN214" s="32" t="n">
        <x:f>H214*(v01_KHPerAdult*Z214+v01_KHOfCommons*AJ214/4*INDEX(LM_All,G214))*v01_KHUsable*Arch_KH</x:f>
        <x:v>0.30844649001595864</x:v>
      </x:c>
      <x:c r="AO214" s="32" t="n">
        <x:f>MIN(AP213+AN214,AM214*v01_KHMaxRatio)</x:f>
        <x:v>0.30844649001595864</x:v>
      </x:c>
      <x:c r="AP214" s="32" t="n">
        <x:f>AP213+AN214-AO214</x:f>
        <x:v>0</x:v>
      </x:c>
      <x:c r="AQ214" s="32" t="n">
        <x:f>AM214+AO214</x:f>
        <x:v>1.7265887099517492</x:v>
      </x:c>
      <x:c r="AR214" s="10" t="n">
        <x:f>IF(H214=1,INDEX(v01_Req,G214),0)</x:f>
        <x:v>372.02</x:v>
      </x:c>
      <x:c r="AS214" s="32" t="n">
        <x:f>IF(H214=1,IF(E214=1,AS213-AR213,AS213)+AQ214,0)</x:f>
        <x:v>333.15068767226103</x:v>
      </x:c>
      <x:c r="AT214" s="11" t="n">
        <x:f>IF(AR214&gt;0,MIN(1,AS214/AR214),1)</x:f>
        <x:v>0.8955182185695958</x:v>
      </x:c>
      <x:c r="AU214" s="10" t="n">
        <x:f>AB214/INDEX(v01_RepScale,G214)</x:f>
        <x:v>17.575270385680245</x:v>
      </x:c>
      <x:c r="AV214" s="32" t="n">
        <x:f>AM214*60/v01_SeasonSeconds</x:f>
        <x:v>5.672568879743162</x:v>
      </x:c>
    </x:row>
    <x:row r="215">
      <x:c r="A215" s="8" t="n">
        <x:f>A214+1</x:f>
        <x:v>212</x:v>
      </x:c>
      <x:c r="B215" s="9" t="n">
        <x:f>A215*v01_SeasonSeconds/60</x:f>
        <x:v>53</x:v>
      </x:c>
      <x:c r="C215" s="9" t="n">
        <x:f>A215/4</x:f>
        <x:v>53</x:v>
      </x:c>
      <x:c r="D215" s="8" t="n">
        <x:f>IF(MOD(A215,4)=0,1,0)</x:f>
        <x:v>1</x:v>
      </x:c>
      <x:c r="E215" s="8" t="n">
        <x:f>IF(AND(F214&lt;=9,AS214&gt;=AR214),1,0)</x:f>
        <x:v>0</x:v>
      </x:c>
      <x:c r="F215" s="8" t="n">
        <x:f>MIN(10,F214+E215)</x:f>
        <x:v>0</x:v>
      </x:c>
      <x:c r="G215" s="8" t="n">
        <x:f>MIN(F215,9)+1</x:f>
        <x:v>1</x:v>
      </x:c>
      <x:c r="H215" s="8" t="n">
        <x:f>IF(F215&lt;=9,1,0)</x:f>
        <x:v>1</x:v>
      </x:c>
      <x:c r="I215" s="9" t="n">
        <x:f>MIN(10,F214+IF(AR214&gt;0,MIN(1,AS214/AR214),1))</x:f>
        <x:v>0.8955182185695958</x:v>
      </x:c>
      <x:c r="J215" s="32" t="n">
        <x:f>INDEX(v01_FoodCap,G215)*Arch_FoodCap*EXP(v01_CapsByProject*SUMPRODUCT((Cap_Point&lt;=I215)*(Cap_Kind="Food")*Cap_Ln))</x:f>
        <x:v>22</x:v>
      </x:c>
      <x:c r="K215" s="32" t="n">
        <x:f>J215*MIN(1,v01_LeanBase*EXP(v01_CapsByProject*SUMPRODUCT((Cap_Point&lt;=I215)*(Cap_Kind="Lean")*Cap_Ln)))</x:f>
        <x:v>22</x:v>
      </x:c>
      <x:c r="L215" s="10" t="n">
        <x:f>INDEX(v01_HousingCap,G215)*EXP(v01_CapsByProject*SUMPRODUCT((Cap_Point&lt;=I215)*(Cap_Kind="Housing")*Cap_Ln))</x:f>
        <x:v>60</x:v>
      </x:c>
      <x:c r="M215" s="10" t="n">
        <x:f>INDEX(v01_GroupCap,G215)*v01_CohesionFactor*EXP(v01_CapsByProject*SUMPRODUCT((Cap_Point&lt;=I215)*(Cap_Kind="Group")*Cap_Ln))</x:f>
        <x:v>35</x:v>
      </x:c>
      <x:c r="N215" s="32" t="n">
        <x:f>MIN(J215,L215,M215)</x:f>
        <x:v>22</x:v>
      </x:c>
      <x:c r="O215" s="10" t="n">
        <x:f>AE214*N215</x:f>
        <x:v>22</x:v>
      </x:c>
      <x:c r="P215" s="9" t="n">
        <x:f>MIN(1,(AB214/(AE214*IF(v01_GroupInCrowding=1,N215,MIN(J215,L215))))^v01_CrowdingExp)</x:f>
        <x:v>0.25994173047961683</x:v>
      </x:c>
      <x:c r="Q215" s="9" t="n">
        <x:f>IF(D215=1,INDEX(v01_WinterMult,G215),1)</x:f>
        <x:v>2</x:v>
      </x:c>
      <x:c r="R215" s="9" t="n">
        <x:f>H215*Z214*v01_WomenShare*v01_BaseFertility*INDEX(v01_FertMult,G215)*Arch_Fertility*(1-P215)</x:f>
        <x:v>0.19565860769215418</x:v>
      </x:c>
      <x:c r="S215" s="9" t="n">
        <x:f>H215*Y214*INDEX(v01_MortChild,G215)/4*Q215</x:f>
        <x:v>0.13050089569474643</x:v>
      </x:c>
      <x:c r="T215" s="9" t="n">
        <x:f>H215*Z214*INDEX(v01_MortAdult,G215)*Arch_AdultMort/4*Q215</x:f>
        <x:v>0.06609567643199114</x:v>
      </x:c>
      <x:c r="U215" s="9" t="n">
        <x:f>H215*AA214*INDEX(v01_MortElder,G215)/4*Q215</x:f>
        <x:v>0.1118734371672052</x:v>
      </x:c>
      <x:c r="V215" s="9" t="n">
        <x:f>H215*MAX(0,AB214-O215)*v01_OvercapLoss</x:f>
        <x:v>0</x:v>
      </x:c>
      <x:c r="W215" s="9" t="n">
        <x:f>H215*Y214/(v01_ChildYears*4)</x:f>
        <x:v>0.11651865687030931</x:v>
      </x:c>
      <x:c r="X215" s="9" t="n">
        <x:f>H215*Z214/(v01_AdultYears*4)</x:f>
        <x:v>0.07107061981934532</x:v>
      </x:c>
      <x:c r="Y215" s="32" t="n">
        <x:f>Y214+R215-S215-W215-Y214*V215/AB214</x:f>
        <x:v>6.47368383986442</x:v>
      </x:c>
      <x:c r="Z215" s="32" t="n">
        <x:f>Z214+W215-X215-T215-Z214*V215/AB214</x:f>
        <x:v>8.79210921821779</x:v>
      </x:c>
      <x:c r="AA215" s="32" t="n">
        <x:f>AA214+X215-U215-AA214*V215/AB214</x:f>
        <x:v>2.196665925996244</x:v>
      </x:c>
      <x:c r="AB215" s="10" t="n">
        <x:f>Y215+Z215+AA215</x:f>
        <x:v>17.462458984078452</x:v>
      </x:c>
      <x:c r="AC215" s="8" t="n">
        <x:f>IF(AND(v01_WinterTrigger=1,D215=1,AB214/AE214&gt;=K215),1,0)</x:f>
        <x:v>0</x:v>
      </x:c>
      <x:c r="AD215" s="8" t="n">
        <x:f>H215*IF(AND(OR(AB214/AE214&gt;=v01_FissionTrigger*N215,AC215=1),AB214/AE214*v01_DaughterShare&gt;=v01_MinDaughter),MAX(1,ROUND(AE214*v01_FissionRate,0)),0)</x:f>
        <x:v>0</x:v>
      </x:c>
      <x:c r="AE215" s="8" t="n">
        <x:f>IF(H215=1,MAX(1,MIN(INDEX(v01_Smax,G215),AE214+AD215)),AE214)</x:f>
        <x:v>1</x:v>
      </x:c>
      <x:c r="AF215" s="8" t="n">
        <x:f>MAX(0,AE215-AE214)</x:f>
        <x:v>0</x:v>
      </x:c>
      <x:c r="AG215" s="9" t="str">
        <x:f>IF(AF215&gt;0,B215,"")</x:f>
      </x:c>
      <x:c r="AH215" s="9" t="n">
        <x:f>IF(F215&gt;=1,1,(1+v01_LowTiesShare*(AE215-1))/AE215)</x:f>
        <x:v>1</x:v>
      </x:c>
      <x:c r="AI215" s="32" t="n">
        <x:f>(Z215+v01_ElderCommons*INDEX(LM_Elder,G215)*AA215)*AH215</x:f>
        <x:v>13.185441070210278</x:v>
      </x:c>
      <x:c r="AJ215" s="32" t="n">
        <x:f>H215*v01_CommonsCoef*AI215^v01_CommonsExp*INDEX(LM_Commons,G215)</x:f>
        <x:v>5.6354429259480705</x:v>
      </x:c>
      <x:c r="AK215" s="32" t="n">
        <x:f>H215*v01_RoleScale*Arch_Roles*(AE215*(INDEX(v01_ElderRolePerSett,G215)*v01_OutElder*INDEX(LM_Elder,G215)+INDEX(v01_ShamanPerSett,G215)*v01_OutShaman)+Z215*(INDEX(v01_PriestShare,G215)*v01_OutPriest+INDEX(v01_ScribeShare,G215)*v01_OutScribe*INDEX(LM_Scribe,G215)+INDEX(v01_ScholarShare,G215)*v01_OutScholar*INDEX(LM_Scholar,G215)+INDEX(v01_ResearcherShare,G215)*v01_OutResearcher*INDEX(LM_Researcher,G215)))</x:f>
        <x:v>0</x:v>
      </x:c>
      <x:c r="AL215" s="32" t="n">
        <x:f>H215*v01_RoleScale*Arch_Roles*AE215*INDEX(v01_MonasteryPerSett,G215)*v01_OutMonastery*INDEX(LM_Monastery,G215)</x:f>
        <x:v>0</x:v>
      </x:c>
      <x:c r="AM215" s="32" t="n">
        <x:f>(AJ215+AK215+AL215)/4*INDEX(LM_All,G215)*INDEX(v01_Boon,G215)*Arch_Insight</x:f>
        <x:v>1.4088607314870176</x:v>
      </x:c>
      <x:c r="AN215" s="32" t="n">
        <x:f>H215*(v01_KHPerAdult*Z215+v01_KHOfCommons*AJ215/4*INDEX(LM_All,G215))*v01_KHUsable*Arch_KH</x:f>
        <x:v>0.30772382263762266</x:v>
      </x:c>
      <x:c r="AO215" s="32" t="n">
        <x:f>MIN(AP214+AN215,AM215*v01_KHMaxRatio)</x:f>
        <x:v>0.30772382263762266</x:v>
      </x:c>
      <x:c r="AP215" s="32" t="n">
        <x:f>AP214+AN215-AO215</x:f>
        <x:v>0</x:v>
      </x:c>
      <x:c r="AQ215" s="32" t="n">
        <x:f>AM215+AO215</x:f>
        <x:v>1.7165845541246403</x:v>
      </x:c>
      <x:c r="AR215" s="10" t="n">
        <x:f>IF(H215=1,INDEX(v01_Req,G215),0)</x:f>
        <x:v>372.02</x:v>
      </x:c>
      <x:c r="AS215" s="32" t="n">
        <x:f>IF(H215=1,IF(E215=1,AS214-AR214,AS214)+AQ215,0)</x:f>
        <x:v>334.8672722263857</x:v>
      </x:c>
      <x:c r="AT215" s="11" t="n">
        <x:f>IF(AR215&gt;0,MIN(1,AS215/AR215),1)</x:f>
        <x:v>0.9001324451007626</x:v>
      </x:c>
      <x:c r="AU215" s="10" t="n">
        <x:f>AB215/INDEX(v01_RepScale,G215)</x:f>
        <x:v>17.462458984078452</x:v>
      </x:c>
      <x:c r="AV215" s="32" t="n">
        <x:f>AM215*60/v01_SeasonSeconds</x:f>
        <x:v>5.6354429259480705</x:v>
      </x:c>
    </x:row>
    <x:row r="216">
      <x:c r="A216" s="8" t="n">
        <x:f>A215+1</x:f>
        <x:v>213</x:v>
      </x:c>
      <x:c r="B216" s="9" t="n">
        <x:f>A216*v01_SeasonSeconds/60</x:f>
        <x:v>53.25</x:v>
      </x:c>
      <x:c r="C216" s="9" t="n">
        <x:f>A216/4</x:f>
        <x:v>53.25</x:v>
      </x:c>
      <x:c r="D216" s="8" t="n">
        <x:f>IF(MOD(A216,4)=0,1,0)</x:f>
        <x:v>0</x:v>
      </x:c>
      <x:c r="E216" s="8" t="n">
        <x:f>IF(AND(F215&lt;=9,AS215&gt;=AR215),1,0)</x:f>
        <x:v>0</x:v>
      </x:c>
      <x:c r="F216" s="8" t="n">
        <x:f>MIN(10,F215+E216)</x:f>
        <x:v>0</x:v>
      </x:c>
      <x:c r="G216" s="8" t="n">
        <x:f>MIN(F216,9)+1</x:f>
        <x:v>1</x:v>
      </x:c>
      <x:c r="H216" s="8" t="n">
        <x:f>IF(F216&lt;=9,1,0)</x:f>
        <x:v>1</x:v>
      </x:c>
      <x:c r="I216" s="9" t="n">
        <x:f>MIN(10,F215+IF(AR215&gt;0,MIN(1,AS215/AR215),1))</x:f>
        <x:v>0.9001324451007626</x:v>
      </x:c>
      <x:c r="J216" s="32" t="n">
        <x:f>INDEX(v01_FoodCap,G216)*Arch_FoodCap*EXP(v01_CapsByProject*SUMPRODUCT((Cap_Point&lt;=I216)*(Cap_Kind="Food")*Cap_Ln))</x:f>
        <x:v>22</x:v>
      </x:c>
      <x:c r="K216" s="32" t="n">
        <x:f>J216*MIN(1,v01_LeanBase*EXP(v01_CapsByProject*SUMPRODUCT((Cap_Point&lt;=I216)*(Cap_Kind="Lean")*Cap_Ln)))</x:f>
        <x:v>22</x:v>
      </x:c>
      <x:c r="L216" s="10" t="n">
        <x:f>INDEX(v01_HousingCap,G216)*EXP(v01_CapsByProject*SUMPRODUCT((Cap_Point&lt;=I216)*(Cap_Kind="Housing")*Cap_Ln))</x:f>
        <x:v>60</x:v>
      </x:c>
      <x:c r="M216" s="10" t="n">
        <x:f>INDEX(v01_GroupCap,G216)*v01_CohesionFactor*EXP(v01_CapsByProject*SUMPRODUCT((Cap_Point&lt;=I216)*(Cap_Kind="Group")*Cap_Ln))</x:f>
        <x:v>35</x:v>
      </x:c>
      <x:c r="N216" s="32" t="n">
        <x:f>MIN(J216,L216,M216)</x:f>
        <x:v>22</x:v>
      </x:c>
      <x:c r="O216" s="10" t="n">
        <x:f>AE215*N216</x:f>
        <x:v>22</x:v>
      </x:c>
      <x:c r="P216" s="9" t="n">
        <x:f>MIN(1,(AB215/(AE215*IF(v01_GroupInCrowding=1,N216,MIN(J216,L216))))^v01_CrowdingExp)</x:f>
        <x:v>0.250089990105401</x:v>
      </x:c>
      <x:c r="Q216" s="9" t="n">
        <x:f>IF(D216=1,INDEX(v01_WinterMult,G216),1)</x:f>
        <x:v>1</x:v>
      </x:c>
      <x:c r="R216" s="9" t="n">
        <x:f>H216*Z215*v01_WomenShare*v01_BaseFertility*INDEX(v01_FertMult,G216)*Arch_Fertility*(1-P216)</x:f>
        <x:v>0.19779872132484294</x:v>
      </x:c>
      <x:c r="S216" s="9" t="n">
        <x:f>H216*Y215*INDEX(v01_MortChild,G216)/4*Q216</x:f>
        <x:v>0.0647368383986442</x:v>
      </x:c>
      <x:c r="T216" s="9" t="n">
        <x:f>H216*Z215*INDEX(v01_MortAdult,G216)*Arch_AdultMort/4*Q216</x:f>
        <x:v>0.03297040956831671</x:v>
      </x:c>
      <x:c r="U216" s="9" t="n">
        <x:f>H216*AA215*INDEX(v01_MortElder,G216)/4*Q216</x:f>
        <x:v>0.0549166481499061</x:v>
      </x:c>
      <x:c r="V216" s="9" t="n">
        <x:f>H216*MAX(0,AB215-O216)*v01_OvercapLoss</x:f>
        <x:v>0</x:v>
      </x:c>
      <x:c r="W216" s="9" t="n">
        <x:f>H216*Y215/(v01_ChildYears*4)</x:f>
        <x:v>0.11560149714043608</x:v>
      </x:c>
      <x:c r="X216" s="9" t="n">
        <x:f>H216*Z215/(v01_AdultYears*4)</x:f>
        <x:v>0.07090410659853057</x:v>
      </x:c>
      <x:c r="Y216" s="32" t="n">
        <x:f>Y215+R216-S216-W216-Y215*V216/AB215</x:f>
        <x:v>6.491144225650182</x:v>
      </x:c>
      <x:c r="Z216" s="32" t="n">
        <x:f>Z215+W216-X216-T216-Z215*V216/AB215</x:f>
        <x:v>8.803836199191378</x:v>
      </x:c>
      <x:c r="AA216" s="32" t="n">
        <x:f>AA215+X216-U216-AA215*V216/AB215</x:f>
        <x:v>2.2126533844448684</x:v>
      </x:c>
      <x:c r="AB216" s="10" t="n">
        <x:f>Y216+Z216+AA216</x:f>
        <x:v>17.507633809286432</x:v>
      </x:c>
      <x:c r="AC216" s="8" t="n">
        <x:f>IF(AND(v01_WinterTrigger=1,D216=1,AB215/AE215&gt;=K216),1,0)</x:f>
        <x:v>0</x:v>
      </x:c>
      <x:c r="AD216" s="8" t="n">
        <x:f>H216*IF(AND(OR(AB215/AE215&gt;=v01_FissionTrigger*N216,AC216=1),AB215/AE215*v01_DaughterShare&gt;=v01_MinDaughter),MAX(1,ROUND(AE215*v01_FissionRate,0)),0)</x:f>
        <x:v>0</x:v>
      </x:c>
      <x:c r="AE216" s="8" t="n">
        <x:f>IF(H216=1,MAX(1,MIN(INDEX(v01_Smax,G216),AE215+AD216)),AE215)</x:f>
        <x:v>1</x:v>
      </x:c>
      <x:c r="AF216" s="8" t="n">
        <x:f>MAX(0,AE216-AE215)</x:f>
        <x:v>0</x:v>
      </x:c>
      <x:c r="AG216" s="9" t="str">
        <x:f>IF(AF216&gt;0,B216,"")</x:f>
      </x:c>
      <x:c r="AH216" s="9" t="n">
        <x:f>IF(F216&gt;=1,1,(1+v01_LowTiesShare*(AE216-1))/AE216)</x:f>
        <x:v>1</x:v>
      </x:c>
      <x:c r="AI216" s="32" t="n">
        <x:f>(Z216+v01_ElderCommons*INDEX(LM_Elder,G216)*AA216)*AH216</x:f>
        <x:v>13.229142968081115</x:v>
      </x:c>
      <x:c r="AJ216" s="32" t="n">
        <x:f>H216*v01_CommonsCoef*AI216^v01_CommonsExp*INDEX(LM_Commons,G216)</x:f>
        <x:v>5.651315405767083</x:v>
      </x:c>
      <x:c r="AK216" s="32" t="n">
        <x:f>H216*v01_RoleScale*Arch_Roles*(AE216*(INDEX(v01_ElderRolePerSett,G216)*v01_OutElder*INDEX(LM_Elder,G216)+INDEX(v01_ShamanPerSett,G216)*v01_OutShaman)+Z216*(INDEX(v01_PriestShare,G216)*v01_OutPriest+INDEX(v01_ScribeShare,G216)*v01_OutScribe*INDEX(LM_Scribe,G216)+INDEX(v01_ScholarShare,G216)*v01_OutScholar*INDEX(LM_Scholar,G216)+INDEX(v01_ResearcherShare,G216)*v01_OutResearcher*INDEX(LM_Researcher,G216)))</x:f>
        <x:v>0</x:v>
      </x:c>
      <x:c r="AL216" s="32" t="n">
        <x:f>H216*v01_RoleScale*Arch_Roles*AE216*INDEX(v01_MonasteryPerSett,G216)*v01_OutMonastery*INDEX(LM_Monastery,G216)</x:f>
        <x:v>0</x:v>
      </x:c>
      <x:c r="AM216" s="32" t="n">
        <x:f>(AJ216+AK216+AL216)/4*INDEX(LM_All,G216)*INDEX(v01_Boon,G216)*Arch_Insight</x:f>
        <x:v>1.4128288514417708</x:v>
      </x:c>
      <x:c r="AN216" s="32" t="n">
        <x:f>H216*(v01_KHPerAdult*Z216+v01_KHOfCommons*AJ216/4*INDEX(LM_All,G216))*v01_KHUsable*Arch_KH</x:f>
        <x:v>0.30813426697169827</x:v>
      </x:c>
      <x:c r="AO216" s="32" t="n">
        <x:f>MIN(AP215+AN216,AM216*v01_KHMaxRatio)</x:f>
        <x:v>0.30813426697169827</x:v>
      </x:c>
      <x:c r="AP216" s="32" t="n">
        <x:f>AP215+AN216-AO216</x:f>
        <x:v>0</x:v>
      </x:c>
      <x:c r="AQ216" s="32" t="n">
        <x:f>AM216+AO216</x:f>
        <x:v>1.720963118413469</x:v>
      </x:c>
      <x:c r="AR216" s="10" t="n">
        <x:f>IF(H216=1,INDEX(v01_Req,G216),0)</x:f>
        <x:v>372.02</x:v>
      </x:c>
      <x:c r="AS216" s="32" t="n">
        <x:f>IF(H216=1,IF(E216=1,AS215-AR215,AS215)+AQ216,0)</x:f>
        <x:v>336.58823534479916</x:v>
      </x:c>
      <x:c r="AT216" s="11" t="n">
        <x:f>IF(AR216&gt;0,MIN(1,AS216/AR216),1)</x:f>
        <x:v>0.9047584413332594</x:v>
      </x:c>
      <x:c r="AU216" s="10" t="n">
        <x:f>AB216/INDEX(v01_RepScale,G216)</x:f>
        <x:v>17.507633809286432</x:v>
      </x:c>
      <x:c r="AV216" s="32" t="n">
        <x:f>AM216*60/v01_SeasonSeconds</x:f>
        <x:v>5.651315405767083</x:v>
      </x:c>
    </x:row>
    <x:row r="217">
      <x:c r="A217" s="8" t="n">
        <x:f>A216+1</x:f>
        <x:v>214</x:v>
      </x:c>
      <x:c r="B217" s="9" t="n">
        <x:f>A217*v01_SeasonSeconds/60</x:f>
        <x:v>53.5</x:v>
      </x:c>
      <x:c r="C217" s="9" t="n">
        <x:f>A217/4</x:f>
        <x:v>53.5</x:v>
      </x:c>
      <x:c r="D217" s="8" t="n">
        <x:f>IF(MOD(A217,4)=0,1,0)</x:f>
        <x:v>0</x:v>
      </x:c>
      <x:c r="E217" s="8" t="n">
        <x:f>IF(AND(F216&lt;=9,AS216&gt;=AR216),1,0)</x:f>
        <x:v>0</x:v>
      </x:c>
      <x:c r="F217" s="8" t="n">
        <x:f>MIN(10,F216+E217)</x:f>
        <x:v>0</x:v>
      </x:c>
      <x:c r="G217" s="8" t="n">
        <x:f>MIN(F217,9)+1</x:f>
        <x:v>1</x:v>
      </x:c>
      <x:c r="H217" s="8" t="n">
        <x:f>IF(F217&lt;=9,1,0)</x:f>
        <x:v>1</x:v>
      </x:c>
      <x:c r="I217" s="9" t="n">
        <x:f>MIN(10,F216+IF(AR216&gt;0,MIN(1,AS216/AR216),1))</x:f>
        <x:v>0.9047584413332594</x:v>
      </x:c>
      <x:c r="J217" s="32" t="n">
        <x:f>INDEX(v01_FoodCap,G217)*Arch_FoodCap*EXP(v01_CapsByProject*SUMPRODUCT((Cap_Point&lt;=I217)*(Cap_Kind="Food")*Cap_Ln))</x:f>
        <x:v>22</x:v>
      </x:c>
      <x:c r="K217" s="32" t="n">
        <x:f>J217*MIN(1,v01_LeanBase*EXP(v01_CapsByProject*SUMPRODUCT((Cap_Point&lt;=I217)*(Cap_Kind="Lean")*Cap_Ln)))</x:f>
        <x:v>22</x:v>
      </x:c>
      <x:c r="L217" s="10" t="n">
        <x:f>INDEX(v01_HousingCap,G217)*EXP(v01_CapsByProject*SUMPRODUCT((Cap_Point&lt;=I217)*(Cap_Kind="Housing")*Cap_Ln))</x:f>
        <x:v>60</x:v>
      </x:c>
      <x:c r="M217" s="10" t="n">
        <x:f>INDEX(v01_GroupCap,G217)*v01_CohesionFactor*EXP(v01_CapsByProject*SUMPRODUCT((Cap_Point&lt;=I217)*(Cap_Kind="Group")*Cap_Ln))</x:f>
        <x:v>35</x:v>
      </x:c>
      <x:c r="N217" s="32" t="n">
        <x:f>MIN(J217,L217,M217)</x:f>
        <x:v>22</x:v>
      </x:c>
      <x:c r="O217" s="10" t="n">
        <x:f>AE216*N217</x:f>
        <x:v>22</x:v>
      </x:c>
      <x:c r="P217" s="9" t="n">
        <x:f>MIN(1,(AB216/(AE216*IF(v01_GroupInCrowding=1,N217,MIN(J217,L217))))^v01_CrowdingExp)</x:f>
        <x:v>0.25399703145329694</x:v>
      </x:c>
      <x:c r="Q217" s="9" t="n">
        <x:f>IF(D217=1,INDEX(v01_WinterMult,G217),1)</x:f>
        <x:v>1</x:v>
      </x:c>
      <x:c r="R217" s="9" t="n">
        <x:f>H217*Z216*v01_WomenShare*v01_BaseFertility*INDEX(v01_FertMult,G217)*Arch_Fertility*(1-P217)</x:f>
        <x:v>0.19703063817587077</x:v>
      </x:c>
      <x:c r="S217" s="9" t="n">
        <x:f>H217*Y216*INDEX(v01_MortChild,G217)/4*Q217</x:f>
        <x:v>0.06491144225650182</x:v>
      </x:c>
      <x:c r="T217" s="9" t="n">
        <x:f>H217*Z216*INDEX(v01_MortAdult,G217)*Arch_AdultMort/4*Q217</x:f>
        <x:v>0.03301438574696767</x:v>
      </x:c>
      <x:c r="U217" s="9" t="n">
        <x:f>H217*AA216*INDEX(v01_MortElder,G217)/4*Q217</x:f>
        <x:v>0.05531633461112171</x:v>
      </x:c>
      <x:c r="V217" s="9" t="n">
        <x:f>H217*MAX(0,AB216-O217)*v01_OvercapLoss</x:f>
        <x:v>0</x:v>
      </x:c>
      <x:c r="W217" s="9" t="n">
        <x:f>H217*Y216/(v01_ChildYears*4)</x:f>
        <x:v>0.11591328974375326</x:v>
      </x:c>
      <x:c r="X217" s="9" t="n">
        <x:f>H217*Z216/(v01_AdultYears*4)</x:f>
        <x:v>0.07099867902573692</x:v>
      </x:c>
      <x:c r="Y217" s="32" t="n">
        <x:f>Y216+R217-S217-W217-Y216*V217/AB216</x:f>
        <x:v>6.507350131825798</x:v>
      </x:c>
      <x:c r="Z217" s="32" t="n">
        <x:f>Z216+W217-X217-T217-Z216*V217/AB216</x:f>
        <x:v>8.815736424162427</x:v>
      </x:c>
      <x:c r="AA217" s="32" t="n">
        <x:f>AA216+X217-U217-AA216*V217/AB216</x:f>
        <x:v>2.2283357288594834</x:v>
      </x:c>
      <x:c r="AB217" s="10" t="n">
        <x:f>Y217+Z217+AA217</x:f>
        <x:v>17.55142228484771</x:v>
      </x:c>
      <x:c r="AC217" s="8" t="n">
        <x:f>IF(AND(v01_WinterTrigger=1,D217=1,AB216/AE216&gt;=K217),1,0)</x:f>
        <x:v>0</x:v>
      </x:c>
      <x:c r="AD217" s="8" t="n">
        <x:f>H217*IF(AND(OR(AB216/AE216&gt;=v01_FissionTrigger*N217,AC217=1),AB216/AE216*v01_DaughterShare&gt;=v01_MinDaughter),MAX(1,ROUND(AE216*v01_FissionRate,0)),0)</x:f>
        <x:v>0</x:v>
      </x:c>
      <x:c r="AE217" s="8" t="n">
        <x:f>IF(H217=1,MAX(1,MIN(INDEX(v01_Smax,G217),AE216+AD217)),AE216)</x:f>
        <x:v>1</x:v>
      </x:c>
      <x:c r="AF217" s="8" t="n">
        <x:f>MAX(0,AE217-AE216)</x:f>
        <x:v>0</x:v>
      </x:c>
      <x:c r="AG217" s="9" t="str">
        <x:f>IF(AF217&gt;0,B217,"")</x:f>
      </x:c>
      <x:c r="AH217" s="9" t="n">
        <x:f>IF(F217&gt;=1,1,(1+v01_LowTiesShare*(AE217-1))/AE217)</x:f>
        <x:v>1</x:v>
      </x:c>
      <x:c r="AI217" s="32" t="n">
        <x:f>(Z217+v01_ElderCommons*INDEX(LM_Elder,G217)*AA217)*AH217</x:f>
        <x:v>13.272407881881394</x:v>
      </x:c>
      <x:c r="AJ217" s="32" t="n">
        <x:f>H217*v01_CommonsCoef*AI217^v01_CommonsExp*INDEX(LM_Commons,G217)</x:f>
        <x:v>5.6670214277397415</x:v>
      </x:c>
      <x:c r="AK217" s="32" t="n">
        <x:f>H217*v01_RoleScale*Arch_Roles*(AE217*(INDEX(v01_ElderRolePerSett,G217)*v01_OutElder*INDEX(LM_Elder,G217)+INDEX(v01_ShamanPerSett,G217)*v01_OutShaman)+Z217*(INDEX(v01_PriestShare,G217)*v01_OutPriest+INDEX(v01_ScribeShare,G217)*v01_OutScribe*INDEX(LM_Scribe,G217)+INDEX(v01_ScholarShare,G217)*v01_OutScholar*INDEX(LM_Scholar,G217)+INDEX(v01_ResearcherShare,G217)*v01_OutResearcher*INDEX(LM_Researcher,G217)))</x:f>
        <x:v>0</x:v>
      </x:c>
      <x:c r="AL217" s="32" t="n">
        <x:f>H217*v01_RoleScale*Arch_Roles*AE217*INDEX(v01_MonasteryPerSett,G217)*v01_OutMonastery*INDEX(LM_Monastery,G217)</x:f>
        <x:v>0</x:v>
      </x:c>
      <x:c r="AM217" s="32" t="n">
        <x:f>(AJ217+AK217+AL217)/4*INDEX(LM_All,G217)*INDEX(v01_Boon,G217)*Arch_Insight</x:f>
        <x:v>1.4167553569349354</x:v>
      </x:c>
      <x:c r="AN217" s="32" t="n">
        <x:f>H217*(v01_KHPerAdult*Z217+v01_KHOfCommons*AJ217/4*INDEX(LM_All,G217))*v01_KHUsable*Arch_KH</x:f>
        <x:v>0.30855077484568494</x:v>
      </x:c>
      <x:c r="AO217" s="32" t="n">
        <x:f>MIN(AP216+AN217,AM217*v01_KHMaxRatio)</x:f>
        <x:v>0.30855077484568494</x:v>
      </x:c>
      <x:c r="AP217" s="32" t="n">
        <x:f>AP216+AN217-AO217</x:f>
        <x:v>0</x:v>
      </x:c>
      <x:c r="AQ217" s="32" t="n">
        <x:f>AM217+AO217</x:f>
        <x:v>1.7253061317806204</x:v>
      </x:c>
      <x:c r="AR217" s="10" t="n">
        <x:f>IF(H217=1,INDEX(v01_Req,G217),0)</x:f>
        <x:v>372.02</x:v>
      </x:c>
      <x:c r="AS217" s="32" t="n">
        <x:f>IF(H217=1,IF(E217=1,AS216-AR216,AS216)+AQ217,0)</x:f>
        <x:v>338.31354147657976</x:v>
      </x:c>
      <x:c r="AT217" s="11" t="n">
        <x:f>IF(AR217&gt;0,MIN(1,AS217/AR217),1)</x:f>
        <x:v>0.9093961117052303</x:v>
      </x:c>
      <x:c r="AU217" s="10" t="n">
        <x:f>AB217/INDEX(v01_RepScale,G217)</x:f>
        <x:v>17.55142228484771</x:v>
      </x:c>
      <x:c r="AV217" s="32" t="n">
        <x:f>AM217*60/v01_SeasonSeconds</x:f>
        <x:v>5.6670214277397415</x:v>
      </x:c>
    </x:row>
    <x:row r="218">
      <x:c r="A218" s="8" t="n">
        <x:f>A217+1</x:f>
        <x:v>215</x:v>
      </x:c>
      <x:c r="B218" s="9" t="n">
        <x:f>A218*v01_SeasonSeconds/60</x:f>
        <x:v>53.75</x:v>
      </x:c>
      <x:c r="C218" s="9" t="n">
        <x:f>A218/4</x:f>
        <x:v>53.75</x:v>
      </x:c>
      <x:c r="D218" s="8" t="n">
        <x:f>IF(MOD(A218,4)=0,1,0)</x:f>
        <x:v>0</x:v>
      </x:c>
      <x:c r="E218" s="8" t="n">
        <x:f>IF(AND(F217&lt;=9,AS217&gt;=AR217),1,0)</x:f>
        <x:v>0</x:v>
      </x:c>
      <x:c r="F218" s="8" t="n">
        <x:f>MIN(10,F217+E218)</x:f>
        <x:v>0</x:v>
      </x:c>
      <x:c r="G218" s="8" t="n">
        <x:f>MIN(F218,9)+1</x:f>
        <x:v>1</x:v>
      </x:c>
      <x:c r="H218" s="8" t="n">
        <x:f>IF(F218&lt;=9,1,0)</x:f>
        <x:v>1</x:v>
      </x:c>
      <x:c r="I218" s="9" t="n">
        <x:f>MIN(10,F217+IF(AR217&gt;0,MIN(1,AS217/AR217),1))</x:f>
        <x:v>0.9093961117052303</x:v>
      </x:c>
      <x:c r="J218" s="32" t="n">
        <x:f>INDEX(v01_FoodCap,G218)*Arch_FoodCap*EXP(v01_CapsByProject*SUMPRODUCT((Cap_Point&lt;=I218)*(Cap_Kind="Food")*Cap_Ln))</x:f>
        <x:v>22</x:v>
      </x:c>
      <x:c r="K218" s="32" t="n">
        <x:f>J218*MIN(1,v01_LeanBase*EXP(v01_CapsByProject*SUMPRODUCT((Cap_Point&lt;=I218)*(Cap_Kind="Lean")*Cap_Ln)))</x:f>
        <x:v>22</x:v>
      </x:c>
      <x:c r="L218" s="10" t="n">
        <x:f>INDEX(v01_HousingCap,G218)*EXP(v01_CapsByProject*SUMPRODUCT((Cap_Point&lt;=I218)*(Cap_Kind="Housing")*Cap_Ln))</x:f>
        <x:v>60</x:v>
      </x:c>
      <x:c r="M218" s="10" t="n">
        <x:f>INDEX(v01_GroupCap,G218)*v01_CohesionFactor*EXP(v01_CapsByProject*SUMPRODUCT((Cap_Point&lt;=I218)*(Cap_Kind="Group")*Cap_Ln))</x:f>
        <x:v>35</x:v>
      </x:c>
      <x:c r="N218" s="32" t="n">
        <x:f>MIN(J218,L218,M218)</x:f>
        <x:v>22</x:v>
      </x:c>
      <x:c r="O218" s="10" t="n">
        <x:f>AE217*N218</x:f>
        <x:v>22</x:v>
      </x:c>
      <x:c r="P218" s="9" t="n">
        <x:f>MIN(1,(AB217/(AE217*IF(v01_GroupInCrowding=1,N218,MIN(J218,L218))))^v01_CrowdingExp)</x:f>
        <x:v>0.25783258780576357</x:v>
      </x:c>
      <x:c r="Q218" s="9" t="n">
        <x:f>IF(D218=1,INDEX(v01_WinterMult,G218),1)</x:f>
        <x:v>1</x:v>
      </x:c>
      <x:c r="R218" s="9" t="n">
        <x:f>H218*Z217*v01_WomenShare*v01_BaseFertility*INDEX(v01_FertMult,G218)*Arch_Fertility*(1-P218)</x:f>
        <x:v>0.196282568655213</x:v>
      </x:c>
      <x:c r="S218" s="9" t="n">
        <x:f>H218*Y217*INDEX(v01_MortChild,G218)/4*Q218</x:f>
        <x:v>0.06507350131825798</x:v>
      </x:c>
      <x:c r="T218" s="9" t="n">
        <x:f>H218*Z217*INDEX(v01_MortAdult,G218)*Arch_AdultMort/4*Q218</x:f>
        <x:v>0.0330590115906091</x:v>
      </x:c>
      <x:c r="U218" s="9" t="n">
        <x:f>H218*AA217*INDEX(v01_MortElder,G218)/4*Q218</x:f>
        <x:v>0.05570839322148709</x:v>
      </x:c>
      <x:c r="V218" s="9" t="n">
        <x:f>H218*MAX(0,AB217-O218)*v01_OvercapLoss</x:f>
        <x:v>0</x:v>
      </x:c>
      <x:c r="W218" s="9" t="n">
        <x:f>H218*Y217/(v01_ChildYears*4)</x:f>
        <x:v>0.11620268092546068</x:v>
      </x:c>
      <x:c r="X218" s="9" t="n">
        <x:f>H218*Z217/(v01_AdultYears*4)</x:f>
        <x:v>0.07109464858195506</x:v>
      </x:c>
      <x:c r="Y218" s="32" t="n">
        <x:f>Y217+R218-S218-W218-Y217*V218/AB217</x:f>
        <x:v>6.5223565182372925</x:v>
      </x:c>
      <x:c r="Z218" s="32" t="n">
        <x:f>Z217+W218-X218-T218-Z217*V218/AB217</x:f>
        <x:v>8.827785444915325</x:v>
      </x:c>
      <x:c r="AA218" s="32" t="n">
        <x:f>AA217+X218-U218-AA217*V218/AB217</x:f>
        <x:v>2.2437219842199516</x:v>
      </x:c>
      <x:c r="AB218" s="10" t="n">
        <x:f>Y218+Z218+AA218</x:f>
        <x:v>17.59386394737257</x:v>
      </x:c>
      <x:c r="AC218" s="8" t="n">
        <x:f>IF(AND(v01_WinterTrigger=1,D218=1,AB217/AE217&gt;=K218),1,0)</x:f>
        <x:v>0</x:v>
      </x:c>
      <x:c r="AD218" s="8" t="n">
        <x:f>H218*IF(AND(OR(AB217/AE217&gt;=v01_FissionTrigger*N218,AC218=1),AB217/AE217*v01_DaughterShare&gt;=v01_MinDaughter),MAX(1,ROUND(AE217*v01_FissionRate,0)),0)</x:f>
        <x:v>0</x:v>
      </x:c>
      <x:c r="AE218" s="8" t="n">
        <x:f>IF(H218=1,MAX(1,MIN(INDEX(v01_Smax,G218),AE217+AD218)),AE217)</x:f>
        <x:v>1</x:v>
      </x:c>
      <x:c r="AF218" s="8" t="n">
        <x:f>MAX(0,AE218-AE217)</x:f>
        <x:v>0</x:v>
      </x:c>
      <x:c r="AG218" s="9" t="str">
        <x:f>IF(AF218&gt;0,B218,"")</x:f>
      </x:c>
      <x:c r="AH218" s="9" t="n">
        <x:f>IF(F218&gt;=1,1,(1+v01_LowTiesShare*(AE218-1))/AE218)</x:f>
        <x:v>1</x:v>
      </x:c>
      <x:c r="AI218" s="32" t="n">
        <x:f>(Z218+v01_ElderCommons*INDEX(LM_Elder,G218)*AA218)*AH218</x:f>
        <x:v>13.315229413355228</x:v>
      </x:c>
      <x:c r="AJ218" s="32" t="n">
        <x:f>H218*v01_CommonsCoef*AI218^v01_CommonsExp*INDEX(LM_Commons,G218)</x:f>
        <x:v>5.682558932831508</x:v>
      </x:c>
      <x:c r="AK218" s="32" t="n">
        <x:f>H218*v01_RoleScale*Arch_Roles*(AE218*(INDEX(v01_ElderRolePerSett,G218)*v01_OutElder*INDEX(LM_Elder,G218)+INDEX(v01_ShamanPerSett,G218)*v01_OutShaman)+Z218*(INDEX(v01_PriestShare,G218)*v01_OutPriest+INDEX(v01_ScribeShare,G218)*v01_OutScribe*INDEX(LM_Scribe,G218)+INDEX(v01_ScholarShare,G218)*v01_OutScholar*INDEX(LM_Scholar,G218)+INDEX(v01_ResearcherShare,G218)*v01_OutResearcher*INDEX(LM_Researcher,G218)))</x:f>
        <x:v>0</x:v>
      </x:c>
      <x:c r="AL218" s="32" t="n">
        <x:f>H218*v01_RoleScale*Arch_Roles*AE218*INDEX(v01_MonasteryPerSett,G218)*v01_OutMonastery*INDEX(LM_Monastery,G218)</x:f>
        <x:v>0</x:v>
      </x:c>
      <x:c r="AM218" s="32" t="n">
        <x:f>(AJ218+AK218+AL218)/4*INDEX(LM_All,G218)*INDEX(v01_Boon,G218)*Arch_Insight</x:f>
        <x:v>1.420639733207877</x:v>
      </x:c>
      <x:c r="AN218" s="32" t="n">
        <x:f>H218*(v01_KHPerAdult*Z218+v01_KHOfCommons*AJ218/4*INDEX(LM_All,G218))*v01_KHUsable*Arch_KH</x:f>
        <x:v>0.30897249057203635</x:v>
      </x:c>
      <x:c r="AO218" s="32" t="n">
        <x:f>MIN(AP217+AN218,AM218*v01_KHMaxRatio)</x:f>
        <x:v>0.30897249057203635</x:v>
      </x:c>
      <x:c r="AP218" s="32" t="n">
        <x:f>AP217+AN218-AO218</x:f>
        <x:v>0</x:v>
      </x:c>
      <x:c r="AQ218" s="32" t="n">
        <x:f>AM218+AO218</x:f>
        <x:v>1.7296122237799134</x:v>
      </x:c>
      <x:c r="AR218" s="10" t="n">
        <x:f>IF(H218=1,INDEX(v01_Req,G218),0)</x:f>
        <x:v>372.02</x:v>
      </x:c>
      <x:c r="AS218" s="32" t="n">
        <x:f>IF(H218=1,IF(E218=1,AS217-AR217,AS217)+AQ218,0)</x:f>
        <x:v>340.04315370035965</x:v>
      </x:c>
      <x:c r="AT218" s="11" t="n">
        <x:f>IF(AR218&gt;0,MIN(1,AS218/AR218),1)</x:f>
        <x:v>0.9140453569710222</x:v>
      </x:c>
      <x:c r="AU218" s="10" t="n">
        <x:f>AB218/INDEX(v01_RepScale,G218)</x:f>
        <x:v>17.59386394737257</x:v>
      </x:c>
      <x:c r="AV218" s="32" t="n">
        <x:f>AM218*60/v01_SeasonSeconds</x:f>
        <x:v>5.682558932831508</x:v>
      </x:c>
    </x:row>
    <x:row r="219">
      <x:c r="A219" s="8" t="n">
        <x:f>A218+1</x:f>
        <x:v>216</x:v>
      </x:c>
      <x:c r="B219" s="9" t="n">
        <x:f>A219*v01_SeasonSeconds/60</x:f>
        <x:v>54</x:v>
      </x:c>
      <x:c r="C219" s="9" t="n">
        <x:f>A219/4</x:f>
        <x:v>54</x:v>
      </x:c>
      <x:c r="D219" s="8" t="n">
        <x:f>IF(MOD(A219,4)=0,1,0)</x:f>
        <x:v>1</x:v>
      </x:c>
      <x:c r="E219" s="8" t="n">
        <x:f>IF(AND(F218&lt;=9,AS218&gt;=AR218),1,0)</x:f>
        <x:v>0</x:v>
      </x:c>
      <x:c r="F219" s="8" t="n">
        <x:f>MIN(10,F218+E219)</x:f>
        <x:v>0</x:v>
      </x:c>
      <x:c r="G219" s="8" t="n">
        <x:f>MIN(F219,9)+1</x:f>
        <x:v>1</x:v>
      </x:c>
      <x:c r="H219" s="8" t="n">
        <x:f>IF(F219&lt;=9,1,0)</x:f>
        <x:v>1</x:v>
      </x:c>
      <x:c r="I219" s="9" t="n">
        <x:f>MIN(10,F218+IF(AR218&gt;0,MIN(1,AS218/AR218),1))</x:f>
        <x:v>0.9140453569710222</x:v>
      </x:c>
      <x:c r="J219" s="32" t="n">
        <x:f>INDEX(v01_FoodCap,G219)*Arch_FoodCap*EXP(v01_CapsByProject*SUMPRODUCT((Cap_Point&lt;=I219)*(Cap_Kind="Food")*Cap_Ln))</x:f>
        <x:v>22</x:v>
      </x:c>
      <x:c r="K219" s="32" t="n">
        <x:f>J219*MIN(1,v01_LeanBase*EXP(v01_CapsByProject*SUMPRODUCT((Cap_Point&lt;=I219)*(Cap_Kind="Lean")*Cap_Ln)))</x:f>
        <x:v>22</x:v>
      </x:c>
      <x:c r="L219" s="10" t="n">
        <x:f>INDEX(v01_HousingCap,G219)*EXP(v01_CapsByProject*SUMPRODUCT((Cap_Point&lt;=I219)*(Cap_Kind="Housing")*Cap_Ln))</x:f>
        <x:v>60</x:v>
      </x:c>
      <x:c r="M219" s="10" t="n">
        <x:f>INDEX(v01_GroupCap,G219)*v01_CohesionFactor*EXP(v01_CapsByProject*SUMPRODUCT((Cap_Point&lt;=I219)*(Cap_Kind="Group")*Cap_Ln))</x:f>
        <x:v>35</x:v>
      </x:c>
      <x:c r="N219" s="32" t="n">
        <x:f>MIN(J219,L219,M219)</x:f>
        <x:v>22</x:v>
      </x:c>
      <x:c r="O219" s="10" t="n">
        <x:f>AE218*N219</x:f>
        <x:v>22</x:v>
      </x:c>
      <x:c r="P219" s="9" t="n">
        <x:f>MIN(1,(AB218/(AE218*IF(v01_GroupInCrowding=1,N219,MIN(J219,L219))))^v01_CrowdingExp)</x:f>
        <x:v>0.26159611544094136</x:v>
      </x:c>
      <x:c r="Q219" s="9" t="n">
        <x:f>IF(D219=1,INDEX(v01_WinterMult,G219),1)</x:f>
        <x:v>2</x:v>
      </x:c>
      <x:c r="R219" s="9" t="n">
        <x:f>H219*Z218*v01_WomenShare*v01_BaseFertility*INDEX(v01_FertMult,G219)*Arch_Fertility*(1-P219)</x:f>
        <x:v>0.19555413193738178</x:v>
      </x:c>
      <x:c r="S219" s="9" t="n">
        <x:f>H219*Y218*INDEX(v01_MortChild,G219)/4*Q219</x:f>
        <x:v>0.13044713036474584</x:v>
      </x:c>
      <x:c r="T219" s="9" t="n">
        <x:f>H219*Z218*INDEX(v01_MortAdult,G219)*Arch_AdultMort/4*Q219</x:f>
        <x:v>0.06620839083686493</x:v>
      </x:c>
      <x:c r="U219" s="9" t="n">
        <x:f>H219*AA218*INDEX(v01_MortElder,G219)/4*Q219</x:f>
        <x:v>0.11218609921099759</x:v>
      </x:c>
      <x:c r="V219" s="9" t="n">
        <x:f>H219*MAX(0,AB218-O219)*v01_OvercapLoss</x:f>
        <x:v>0</x:v>
      </x:c>
      <x:c r="W219" s="9" t="n">
        <x:f>H219*Y218/(v01_ChildYears*4)</x:f>
        <x:v>0.11647065211138022</x:v>
      </x:c>
      <x:c r="X219" s="9" t="n">
        <x:f>H219*Z218/(v01_AdultYears*4)</x:f>
        <x:v>0.07119181810415584</x:v>
      </x:c>
      <x:c r="Y219" s="32" t="n">
        <x:f>Y218+R219-S219-W219-Y218*V219/AB218</x:f>
        <x:v>6.4709928676985475</x:v>
      </x:c>
      <x:c r="Z219" s="32" t="n">
        <x:f>Z218+W219-X219-T219-Z218*V219/AB218</x:f>
        <x:v>8.806855888085684</x:v>
      </x:c>
      <x:c r="AA219" s="32" t="n">
        <x:f>AA218+X219-U219-AA218*V219/AB218</x:f>
        <x:v>2.20272770311311</x:v>
      </x:c>
      <x:c r="AB219" s="10" t="n">
        <x:f>Y219+Z219+AA219</x:f>
        <x:v>17.48057645889734</x:v>
      </x:c>
      <x:c r="AC219" s="8" t="n">
        <x:f>IF(AND(v01_WinterTrigger=1,D219=1,AB218/AE218&gt;=K219),1,0)</x:f>
        <x:v>0</x:v>
      </x:c>
      <x:c r="AD219" s="8" t="n">
        <x:f>H219*IF(AND(OR(AB218/AE218&gt;=v01_FissionTrigger*N219,AC219=1),AB218/AE218*v01_DaughterShare&gt;=v01_MinDaughter),MAX(1,ROUND(AE218*v01_FissionRate,0)),0)</x:f>
        <x:v>0</x:v>
      </x:c>
      <x:c r="AE219" s="8" t="n">
        <x:f>IF(H219=1,MAX(1,MIN(INDEX(v01_Smax,G219),AE218+AD219)),AE218)</x:f>
        <x:v>1</x:v>
      </x:c>
      <x:c r="AF219" s="8" t="n">
        <x:f>MAX(0,AE219-AE218)</x:f>
        <x:v>0</x:v>
      </x:c>
      <x:c r="AG219" s="9" t="str">
        <x:f>IF(AF219&gt;0,B219,"")</x:f>
      </x:c>
      <x:c r="AH219" s="9" t="n">
        <x:f>IF(F219&gt;=1,1,(1+v01_LowTiesShare*(AE219-1))/AE219)</x:f>
        <x:v>1</x:v>
      </x:c>
      <x:c r="AI219" s="32" t="n">
        <x:f>(Z219+v01_ElderCommons*INDEX(LM_Elder,G219)*AA219)*AH219</x:f>
        <x:v>13.212311294311903</x:v>
      </x:c>
      <x:c r="AJ219" s="32" t="n">
        <x:f>H219*v01_CommonsCoef*AI219^v01_CommonsExp*INDEX(LM_Commons,G219)</x:f>
        <x:v>5.645203093583095</x:v>
      </x:c>
      <x:c r="AK219" s="32" t="n">
        <x:f>H219*v01_RoleScale*Arch_Roles*(AE219*(INDEX(v01_ElderRolePerSett,G219)*v01_OutElder*INDEX(LM_Elder,G219)+INDEX(v01_ShamanPerSett,G219)*v01_OutShaman)+Z219*(INDEX(v01_PriestShare,G219)*v01_OutPriest+INDEX(v01_ScribeShare,G219)*v01_OutScribe*INDEX(LM_Scribe,G219)+INDEX(v01_ScholarShare,G219)*v01_OutScholar*INDEX(LM_Scholar,G219)+INDEX(v01_ResearcherShare,G219)*v01_OutResearcher*INDEX(LM_Researcher,G219)))</x:f>
        <x:v>0</x:v>
      </x:c>
      <x:c r="AL219" s="32" t="n">
        <x:f>H219*v01_RoleScale*Arch_Roles*AE219*INDEX(v01_MonasteryPerSett,G219)*v01_OutMonastery*INDEX(LM_Monastery,G219)</x:f>
        <x:v>0</x:v>
      </x:c>
      <x:c r="AM219" s="32" t="n">
        <x:f>(AJ219+AK219+AL219)/4*INDEX(LM_All,G219)*INDEX(v01_Boon,G219)*Arch_Insight</x:f>
        <x:v>1.4113007733957736</x:v>
      </x:c>
      <x:c r="AN219" s="32" t="n">
        <x:f>H219*(v01_KHPerAdult*Z219+v01_KHOfCommons*AJ219/4*INDEX(LM_All,G219))*v01_KHUsable*Arch_KH</x:f>
        <x:v>0.3082399560829989</x:v>
      </x:c>
      <x:c r="AO219" s="32" t="n">
        <x:f>MIN(AP218+AN219,AM219*v01_KHMaxRatio)</x:f>
        <x:v>0.3082399560829989</x:v>
      </x:c>
      <x:c r="AP219" s="32" t="n">
        <x:f>AP218+AN219-AO219</x:f>
        <x:v>0</x:v>
      </x:c>
      <x:c r="AQ219" s="32" t="n">
        <x:f>AM219+AO219</x:f>
        <x:v>1.7195407294787726</x:v>
      </x:c>
      <x:c r="AR219" s="10" t="n">
        <x:f>IF(H219=1,INDEX(v01_Req,G219),0)</x:f>
        <x:v>372.02</x:v>
      </x:c>
      <x:c r="AS219" s="32" t="n">
        <x:f>IF(H219=1,IF(E219=1,AS218-AR218,AS218)+AQ219,0)</x:f>
        <x:v>341.7626944298384</x:v>
      </x:c>
      <x:c r="AT219" s="11" t="n">
        <x:f>IF(AR219&gt;0,MIN(1,AS219/AR219),1)</x:f>
        <x:v>0.9186675297829107</x:v>
      </x:c>
      <x:c r="AU219" s="10" t="n">
        <x:f>AB219/INDEX(v01_RepScale,G219)</x:f>
        <x:v>17.48057645889734</x:v>
      </x:c>
      <x:c r="AV219" s="32" t="n">
        <x:f>AM219*60/v01_SeasonSeconds</x:f>
        <x:v>5.645203093583095</x:v>
      </x:c>
    </x:row>
    <x:row r="220">
      <x:c r="A220" s="8" t="n">
        <x:f>A219+1</x:f>
        <x:v>217</x:v>
      </x:c>
      <x:c r="B220" s="9" t="n">
        <x:f>A220*v01_SeasonSeconds/60</x:f>
        <x:v>54.25</x:v>
      </x:c>
      <x:c r="C220" s="9" t="n">
        <x:f>A220/4</x:f>
        <x:v>54.25</x:v>
      </x:c>
      <x:c r="D220" s="8" t="n">
        <x:f>IF(MOD(A220,4)=0,1,0)</x:f>
        <x:v>0</x:v>
      </x:c>
      <x:c r="E220" s="8" t="n">
        <x:f>IF(AND(F219&lt;=9,AS219&gt;=AR219),1,0)</x:f>
        <x:v>0</x:v>
      </x:c>
      <x:c r="F220" s="8" t="n">
        <x:f>MIN(10,F219+E220)</x:f>
        <x:v>0</x:v>
      </x:c>
      <x:c r="G220" s="8" t="n">
        <x:f>MIN(F220,9)+1</x:f>
        <x:v>1</x:v>
      </x:c>
      <x:c r="H220" s="8" t="n">
        <x:f>IF(F220&lt;=9,1,0)</x:f>
        <x:v>1</x:v>
      </x:c>
      <x:c r="I220" s="9" t="n">
        <x:f>MIN(10,F219+IF(AR219&gt;0,MIN(1,AS219/AR219),1))</x:f>
        <x:v>0.9186675297829107</x:v>
      </x:c>
      <x:c r="J220" s="32" t="n">
        <x:f>INDEX(v01_FoodCap,G220)*Arch_FoodCap*EXP(v01_CapsByProject*SUMPRODUCT((Cap_Point&lt;=I220)*(Cap_Kind="Food")*Cap_Ln))</x:f>
        <x:v>22</x:v>
      </x:c>
      <x:c r="K220" s="32" t="n">
        <x:f>J220*MIN(1,v01_LeanBase*EXP(v01_CapsByProject*SUMPRODUCT((Cap_Point&lt;=I220)*(Cap_Kind="Lean")*Cap_Ln)))</x:f>
        <x:v>22</x:v>
      </x:c>
      <x:c r="L220" s="10" t="n">
        <x:f>INDEX(v01_HousingCap,G220)*EXP(v01_CapsByProject*SUMPRODUCT((Cap_Point&lt;=I220)*(Cap_Kind="Housing")*Cap_Ln))</x:f>
        <x:v>60</x:v>
      </x:c>
      <x:c r="M220" s="10" t="n">
        <x:f>INDEX(v01_GroupCap,G220)*v01_CohesionFactor*EXP(v01_CapsByProject*SUMPRODUCT((Cap_Point&lt;=I220)*(Cap_Kind="Group")*Cap_Ln))</x:f>
        <x:v>35</x:v>
      </x:c>
      <x:c r="N220" s="32" t="n">
        <x:f>MIN(J220,L220,M220)</x:f>
        <x:v>22</x:v>
      </x:c>
      <x:c r="O220" s="10" t="n">
        <x:f>AE219*N220</x:f>
        <x:v>22</x:v>
      </x:c>
      <x:c r="P220" s="9" t="n">
        <x:f>MIN(1,(AB219/(AE219*IF(v01_GroupInCrowding=1,N220,MIN(J220,L220))))^v01_CrowdingExp)</x:f>
        <x:v>0.25165085885732946</x:v>
      </x:c>
      <x:c r="Q220" s="9" t="n">
        <x:f>IF(D220=1,INDEX(v01_WinterMult,G220),1)</x:f>
        <x:v>1</x:v>
      </x:c>
      <x:c r="R220" s="9" t="n">
        <x:f>H220*Z219*v01_WomenShare*v01_BaseFertility*INDEX(v01_FertMult,G220)*Arch_Fertility*(1-P220)</x:f>
        <x:v>0.19771809120048578</x:v>
      </x:c>
      <x:c r="S220" s="9" t="n">
        <x:f>H220*Y219*INDEX(v01_MortChild,G220)/4*Q220</x:f>
        <x:v>0.06470992867698548</x:v>
      </x:c>
      <x:c r="T220" s="9" t="n">
        <x:f>H220*Z219*INDEX(v01_MortAdult,G220)*Arch_AdultMort/4*Q220</x:f>
        <x:v>0.03302570958032131</x:v>
      </x:c>
      <x:c r="U220" s="9" t="n">
        <x:f>H220*AA219*INDEX(v01_MortElder,G220)/4*Q220</x:f>
        <x:v>0.055068192577827746</x:v>
      </x:c>
      <x:c r="V220" s="9" t="n">
        <x:f>H220*MAX(0,AB219-O220)*v01_OvercapLoss</x:f>
        <x:v>0</x:v>
      </x:c>
      <x:c r="W220" s="9" t="n">
        <x:f>H220*Y219/(v01_ChildYears*4)</x:f>
        <x:v>0.1155534440660455</x:v>
      </x:c>
      <x:c r="X220" s="9" t="n">
        <x:f>H220*Z219/(v01_AdultYears*4)</x:f>
        <x:v>0.0710230313555297</x:v>
      </x:c>
      <x:c r="Y220" s="32" t="n">
        <x:f>Y219+R220-S220-W220-Y219*V220/AB219</x:f>
        <x:v>6.488447586156002</x:v>
      </x:c>
      <x:c r="Z220" s="32" t="n">
        <x:f>Z219+W220-X220-T220-Z219*V220/AB219</x:f>
        <x:v>8.818360591215876</x:v>
      </x:c>
      <x:c r="AA220" s="32" t="n">
        <x:f>AA219+X220-U220-AA219*V220/AB219</x:f>
        <x:v>2.2186825418908116</x:v>
      </x:c>
      <x:c r="AB220" s="10" t="n">
        <x:f>Y220+Z220+AA220</x:f>
        <x:v>17.525490719262688</x:v>
      </x:c>
      <x:c r="AC220" s="8" t="n">
        <x:f>IF(AND(v01_WinterTrigger=1,D220=1,AB219/AE219&gt;=K220),1,0)</x:f>
        <x:v>0</x:v>
      </x:c>
      <x:c r="AD220" s="8" t="n">
        <x:f>H220*IF(AND(OR(AB219/AE219&gt;=v01_FissionTrigger*N220,AC220=1),AB219/AE219*v01_DaughterShare&gt;=v01_MinDaughter),MAX(1,ROUND(AE219*v01_FissionRate,0)),0)</x:f>
        <x:v>0</x:v>
      </x:c>
      <x:c r="AE220" s="8" t="n">
        <x:f>IF(H220=1,MAX(1,MIN(INDEX(v01_Smax,G220),AE219+AD220)),AE219)</x:f>
        <x:v>1</x:v>
      </x:c>
      <x:c r="AF220" s="8" t="n">
        <x:f>MAX(0,AE220-AE219)</x:f>
        <x:v>0</x:v>
      </x:c>
      <x:c r="AG220" s="9" t="str">
        <x:f>IF(AF220&gt;0,B220,"")</x:f>
      </x:c>
      <x:c r="AH220" s="9" t="n">
        <x:f>IF(F220&gt;=1,1,(1+v01_LowTiesShare*(AE220-1))/AE220)</x:f>
        <x:v>1</x:v>
      </x:c>
      <x:c r="AI220" s="32" t="n">
        <x:f>(Z220+v01_ElderCommons*INDEX(LM_Elder,G220)*AA220)*AH220</x:f>
        <x:v>13.2557256749975</x:v>
      </x:c>
      <x:c r="AJ220" s="32" t="n">
        <x:f>H220*v01_CommonsCoef*AI220^v01_CommonsExp*INDEX(LM_Commons,G220)</x:f>
        <x:v>5.660966366756939</x:v>
      </x:c>
      <x:c r="AK220" s="32" t="n">
        <x:f>H220*v01_RoleScale*Arch_Roles*(AE220*(INDEX(v01_ElderRolePerSett,G220)*v01_OutElder*INDEX(LM_Elder,G220)+INDEX(v01_ShamanPerSett,G220)*v01_OutShaman)+Z220*(INDEX(v01_PriestShare,G220)*v01_OutPriest+INDEX(v01_ScribeShare,G220)*v01_OutScribe*INDEX(LM_Scribe,G220)+INDEX(v01_ScholarShare,G220)*v01_OutScholar*INDEX(LM_Scholar,G220)+INDEX(v01_ResearcherShare,G220)*v01_OutResearcher*INDEX(LM_Researcher,G220)))</x:f>
        <x:v>0</x:v>
      </x:c>
      <x:c r="AL220" s="32" t="n">
        <x:f>H220*v01_RoleScale*Arch_Roles*AE220*INDEX(v01_MonasteryPerSett,G220)*v01_OutMonastery*INDEX(LM_Monastery,G220)</x:f>
        <x:v>0</x:v>
      </x:c>
      <x:c r="AM220" s="32" t="n">
        <x:f>(AJ220+AK220+AL220)/4*INDEX(LM_All,G220)*INDEX(v01_Boon,G220)*Arch_Insight</x:f>
        <x:v>1.4152415916892347</x:v>
      </x:c>
      <x:c r="AN220" s="32" t="n">
        <x:f>H220*(v01_KHPerAdult*Z220+v01_KHOfCommons*AJ220/4*INDEX(LM_All,G220))*v01_KHUsable*Arch_KH</x:f>
        <x:v>0.30864262069255566</x:v>
      </x:c>
      <x:c r="AO220" s="32" t="n">
        <x:f>MIN(AP219+AN220,AM220*v01_KHMaxRatio)</x:f>
        <x:v>0.30864262069255566</x:v>
      </x:c>
      <x:c r="AP220" s="32" t="n">
        <x:f>AP219+AN220-AO220</x:f>
        <x:v>0</x:v>
      </x:c>
      <x:c r="AQ220" s="32" t="n">
        <x:f>AM220+AO220</x:f>
        <x:v>1.7238842123817903</x:v>
      </x:c>
      <x:c r="AR220" s="10" t="n">
        <x:f>IF(H220=1,INDEX(v01_Req,G220),0)</x:f>
        <x:v>372.02</x:v>
      </x:c>
      <x:c r="AS220" s="32" t="n">
        <x:f>IF(H220=1,IF(E220=1,AS219-AR219,AS219)+AQ220,0)</x:f>
        <x:v>343.4865786422202</x:v>
      </x:c>
      <x:c r="AT220" s="11" t="n">
        <x:f>IF(AR220&gt;0,MIN(1,AS220/AR220),1)</x:f>
        <x:v>0.9233013779963987</x:v>
      </x:c>
      <x:c r="AU220" s="10" t="n">
        <x:f>AB220/INDEX(v01_RepScale,G220)</x:f>
        <x:v>17.525490719262688</x:v>
      </x:c>
      <x:c r="AV220" s="32" t="n">
        <x:f>AM220*60/v01_SeasonSeconds</x:f>
        <x:v>5.660966366756939</x:v>
      </x:c>
    </x:row>
    <x:row r="221">
      <x:c r="A221" s="8" t="n">
        <x:f>A220+1</x:f>
        <x:v>218</x:v>
      </x:c>
      <x:c r="B221" s="9" t="n">
        <x:f>A221*v01_SeasonSeconds/60</x:f>
        <x:v>54.5</x:v>
      </x:c>
      <x:c r="C221" s="9" t="n">
        <x:f>A221/4</x:f>
        <x:v>54.5</x:v>
      </x:c>
      <x:c r="D221" s="8" t="n">
        <x:f>IF(MOD(A221,4)=0,1,0)</x:f>
        <x:v>0</x:v>
      </x:c>
      <x:c r="E221" s="8" t="n">
        <x:f>IF(AND(F220&lt;=9,AS220&gt;=AR220),1,0)</x:f>
        <x:v>0</x:v>
      </x:c>
      <x:c r="F221" s="8" t="n">
        <x:f>MIN(10,F220+E221)</x:f>
        <x:v>0</x:v>
      </x:c>
      <x:c r="G221" s="8" t="n">
        <x:f>MIN(F221,9)+1</x:f>
        <x:v>1</x:v>
      </x:c>
      <x:c r="H221" s="8" t="n">
        <x:f>IF(F221&lt;=9,1,0)</x:f>
        <x:v>1</x:v>
      </x:c>
      <x:c r="I221" s="9" t="n">
        <x:f>MIN(10,F220+IF(AR220&gt;0,MIN(1,AS220/AR220),1))</x:f>
        <x:v>0.9233013779963987</x:v>
      </x:c>
      <x:c r="J221" s="32" t="n">
        <x:f>INDEX(v01_FoodCap,G221)*Arch_FoodCap*EXP(v01_CapsByProject*SUMPRODUCT((Cap_Point&lt;=I221)*(Cap_Kind="Food")*Cap_Ln))</x:f>
        <x:v>22</x:v>
      </x:c>
      <x:c r="K221" s="32" t="n">
        <x:f>J221*MIN(1,v01_LeanBase*EXP(v01_CapsByProject*SUMPRODUCT((Cap_Point&lt;=I221)*(Cap_Kind="Lean")*Cap_Ln)))</x:f>
        <x:v>22</x:v>
      </x:c>
      <x:c r="L221" s="10" t="n">
        <x:f>INDEX(v01_HousingCap,G221)*EXP(v01_CapsByProject*SUMPRODUCT((Cap_Point&lt;=I221)*(Cap_Kind="Housing")*Cap_Ln))</x:f>
        <x:v>60</x:v>
      </x:c>
      <x:c r="M221" s="10" t="n">
        <x:f>INDEX(v01_GroupCap,G221)*v01_CohesionFactor*EXP(v01_CapsByProject*SUMPRODUCT((Cap_Point&lt;=I221)*(Cap_Kind="Group")*Cap_Ln))</x:f>
        <x:v>35</x:v>
      </x:c>
      <x:c r="N221" s="32" t="n">
        <x:f>MIN(J221,L221,M221)</x:f>
        <x:v>22</x:v>
      </x:c>
      <x:c r="O221" s="10" t="n">
        <x:f>AE220*N221</x:f>
        <x:v>22</x:v>
      </x:c>
      <x:c r="P221" s="9" t="n">
        <x:f>MIN(1,(AB220/(AE220*IF(v01_GroupInCrowding=1,N221,MIN(J221,L221))))^v01_CrowdingExp)</x:f>
        <x:v>0.25555538587130533</x:v>
      </x:c>
      <x:c r="Q221" s="9" t="n">
        <x:f>IF(D221=1,INDEX(v01_WinterMult,G221),1)</x:f>
        <x:v>1</x:v>
      </x:c>
      <x:c r="R221" s="9" t="n">
        <x:f>H221*Z220*v01_WomenShare*v01_BaseFertility*INDEX(v01_FertMult,G221)*Arch_Fertility*(1-P221)</x:f>
        <x:v>0.1969434314272617</x:v>
      </x:c>
      <x:c r="S221" s="9" t="n">
        <x:f>H221*Y220*INDEX(v01_MortChild,G221)/4*Q221</x:f>
        <x:v>0.06488447586156001</x:v>
      </x:c>
      <x:c r="T221" s="9" t="n">
        <x:f>H221*Z220*INDEX(v01_MortAdult,G221)*Arch_AdultMort/4*Q221</x:f>
        <x:v>0.03306885221705953</x:v>
      </x:c>
      <x:c r="U221" s="9" t="n">
        <x:f>H221*AA220*INDEX(v01_MortElder,G221)/4*Q221</x:f>
        <x:v>0.055467063547270296</x:v>
      </x:c>
      <x:c r="V221" s="9" t="n">
        <x:f>H221*MAX(0,AB220-O221)*v01_OvercapLoss</x:f>
        <x:v>0</x:v>
      </x:c>
      <x:c r="W221" s="9" t="n">
        <x:f>H221*Y220/(v01_ChildYears*4)</x:f>
        <x:v>0.11586513546707146</x:v>
      </x:c>
      <x:c r="X221" s="9" t="n">
        <x:f>H221*Z220/(v01_AdultYears*4)</x:f>
        <x:v>0.07111581121948288</x:v>
      </x:c>
      <x:c r="Y221" s="32" t="n">
        <x:f>Y220+R221-S221-W221-Y220*V221/AB220</x:f>
        <x:v>6.504641406254632</x:v>
      </x:c>
      <x:c r="Z221" s="32" t="n">
        <x:f>Z220+W221-X221-T221-Z220*V221/AB220</x:f>
        <x:v>8.830041063246405</x:v>
      </x:c>
      <x:c r="AA221" s="32" t="n">
        <x:f>AA220+X221-U221-AA220*V221/AB220</x:f>
        <x:v>2.2343312895630243</x:v>
      </x:c>
      <x:c r="AB221" s="10" t="n">
        <x:f>Y221+Z221+AA221</x:f>
        <x:v>17.56901375906406</x:v>
      </x:c>
      <x:c r="AC221" s="8" t="n">
        <x:f>IF(AND(v01_WinterTrigger=1,D221=1,AB220/AE220&gt;=K221),1,0)</x:f>
        <x:v>0</x:v>
      </x:c>
      <x:c r="AD221" s="8" t="n">
        <x:f>H221*IF(AND(OR(AB220/AE220&gt;=v01_FissionTrigger*N221,AC221=1),AB220/AE220*v01_DaughterShare&gt;=v01_MinDaughter),MAX(1,ROUND(AE220*v01_FissionRate,0)),0)</x:f>
        <x:v>0</x:v>
      </x:c>
      <x:c r="AE221" s="8" t="n">
        <x:f>IF(H221=1,MAX(1,MIN(INDEX(v01_Smax,G221),AE220+AD221)),AE220)</x:f>
        <x:v>1</x:v>
      </x:c>
      <x:c r="AF221" s="8" t="n">
        <x:f>MAX(0,AE221-AE220)</x:f>
        <x:v>0</x:v>
      </x:c>
      <x:c r="AG221" s="9" t="str">
        <x:f>IF(AF221&gt;0,B221,"")</x:f>
      </x:c>
      <x:c r="AH221" s="9" t="n">
        <x:f>IF(F221&gt;=1,1,(1+v01_LowTiesShare*(AE221-1))/AE221)</x:f>
        <x:v>1</x:v>
      </x:c>
      <x:c r="AI221" s="32" t="n">
        <x:f>(Z221+v01_ElderCommons*INDEX(LM_Elder,G221)*AA221)*AH221</x:f>
        <x:v>13.298703642372454</x:v>
      </x:c>
      <x:c r="AJ221" s="32" t="n">
        <x:f>H221*v01_CommonsCoef*AI221^v01_CommonsExp*INDEX(LM_Commons,G221)</x:f>
        <x:v>5.6765635572638375</x:v>
      </x:c>
      <x:c r="AK221" s="32" t="n">
        <x:f>H221*v01_RoleScale*Arch_Roles*(AE221*(INDEX(v01_ElderRolePerSett,G221)*v01_OutElder*INDEX(LM_Elder,G221)+INDEX(v01_ShamanPerSett,G221)*v01_OutShaman)+Z221*(INDEX(v01_PriestShare,G221)*v01_OutPriest+INDEX(v01_ScribeShare,G221)*v01_OutScribe*INDEX(LM_Scribe,G221)+INDEX(v01_ScholarShare,G221)*v01_OutScholar*INDEX(LM_Scholar,G221)+INDEX(v01_ResearcherShare,G221)*v01_OutResearcher*INDEX(LM_Researcher,G221)))</x:f>
        <x:v>0</x:v>
      </x:c>
      <x:c r="AL221" s="32" t="n">
        <x:f>H221*v01_RoleScale*Arch_Roles*AE221*INDEX(v01_MonasteryPerSett,G221)*v01_OutMonastery*INDEX(LM_Monastery,G221)</x:f>
        <x:v>0</x:v>
      </x:c>
      <x:c r="AM221" s="32" t="n">
        <x:f>(AJ221+AK221+AL221)/4*INDEX(LM_All,G221)*INDEX(v01_Boon,G221)*Arch_Insight</x:f>
        <x:v>1.4191408893159594</x:v>
      </x:c>
      <x:c r="AN221" s="32" t="n">
        <x:f>H221*(v01_KHPerAdult*Z221+v01_KHOfCommons*AJ221/4*INDEX(LM_All,G221))*v01_KHUsable*Arch_KH</x:f>
        <x:v>0.30905143721362416</x:v>
      </x:c>
      <x:c r="AO221" s="32" t="n">
        <x:f>MIN(AP220+AN221,AM221*v01_KHMaxRatio)</x:f>
        <x:v>0.30905143721362416</x:v>
      </x:c>
      <x:c r="AP221" s="32" t="n">
        <x:f>AP220+AN221-AO221</x:f>
        <x:v>0</x:v>
      </x:c>
      <x:c r="AQ221" s="32" t="n">
        <x:f>AM221+AO221</x:f>
        <x:v>1.7281923265295835</x:v>
      </x:c>
      <x:c r="AR221" s="10" t="n">
        <x:f>IF(H221=1,INDEX(v01_Req,G221),0)</x:f>
        <x:v>372.02</x:v>
      </x:c>
      <x:c r="AS221" s="32" t="n">
        <x:f>IF(H221=1,IF(E221=1,AS220-AR220,AS220)+AQ221,0)</x:f>
        <x:v>345.2147709687498</x:v>
      </x:c>
      <x:c r="AT221" s="11" t="n">
        <x:f>IF(AR221&gt;0,MIN(1,AS221/AR221),1)</x:f>
        <x:v>0.9279468065392985</x:v>
      </x:c>
      <x:c r="AU221" s="10" t="n">
        <x:f>AB221/INDEX(v01_RepScale,G221)</x:f>
        <x:v>17.56901375906406</x:v>
      </x:c>
      <x:c r="AV221" s="32" t="n">
        <x:f>AM221*60/v01_SeasonSeconds</x:f>
        <x:v>5.6765635572638375</x:v>
      </x:c>
    </x:row>
    <x:row r="222">
      <x:c r="A222" s="8" t="n">
        <x:f>A221+1</x:f>
        <x:v>219</x:v>
      </x:c>
      <x:c r="B222" s="9" t="n">
        <x:f>A222*v01_SeasonSeconds/60</x:f>
        <x:v>54.75</x:v>
      </x:c>
      <x:c r="C222" s="9" t="n">
        <x:f>A222/4</x:f>
        <x:v>54.75</x:v>
      </x:c>
      <x:c r="D222" s="8" t="n">
        <x:f>IF(MOD(A222,4)=0,1,0)</x:f>
        <x:v>0</x:v>
      </x:c>
      <x:c r="E222" s="8" t="n">
        <x:f>IF(AND(F221&lt;=9,AS221&gt;=AR221),1,0)</x:f>
        <x:v>0</x:v>
      </x:c>
      <x:c r="F222" s="8" t="n">
        <x:f>MIN(10,F221+E222)</x:f>
        <x:v>0</x:v>
      </x:c>
      <x:c r="G222" s="8" t="n">
        <x:f>MIN(F222,9)+1</x:f>
        <x:v>1</x:v>
      </x:c>
      <x:c r="H222" s="8" t="n">
        <x:f>IF(F222&lt;=9,1,0)</x:f>
        <x:v>1</x:v>
      </x:c>
      <x:c r="I222" s="9" t="n">
        <x:f>MIN(10,F221+IF(AR221&gt;0,MIN(1,AS221/AR221),1))</x:f>
        <x:v>0.9279468065392985</x:v>
      </x:c>
      <x:c r="J222" s="32" t="n">
        <x:f>INDEX(v01_FoodCap,G222)*Arch_FoodCap*EXP(v01_CapsByProject*SUMPRODUCT((Cap_Point&lt;=I222)*(Cap_Kind="Food")*Cap_Ln))</x:f>
        <x:v>22</x:v>
      </x:c>
      <x:c r="K222" s="32" t="n">
        <x:f>J222*MIN(1,v01_LeanBase*EXP(v01_CapsByProject*SUMPRODUCT((Cap_Point&lt;=I222)*(Cap_Kind="Lean")*Cap_Ln)))</x:f>
        <x:v>22</x:v>
      </x:c>
      <x:c r="L222" s="10" t="n">
        <x:f>INDEX(v01_HousingCap,G222)*EXP(v01_CapsByProject*SUMPRODUCT((Cap_Point&lt;=I222)*(Cap_Kind="Housing")*Cap_Ln))</x:f>
        <x:v>60</x:v>
      </x:c>
      <x:c r="M222" s="10" t="n">
        <x:f>INDEX(v01_GroupCap,G222)*v01_CohesionFactor*EXP(v01_CapsByProject*SUMPRODUCT((Cap_Point&lt;=I222)*(Cap_Kind="Group")*Cap_Ln))</x:f>
        <x:v>35</x:v>
      </x:c>
      <x:c r="N222" s="32" t="n">
        <x:f>MIN(J222,L222,M222)</x:f>
        <x:v>22</x:v>
      </x:c>
      <x:c r="O222" s="10" t="n">
        <x:f>AE221*N222</x:f>
        <x:v>22</x:v>
      </x:c>
      <x:c r="P222" s="9" t="n">
        <x:f>MIN(1,(AB221/(AE221*IF(v01_GroupInCrowding=1,N222,MIN(J222,L222))))^v01_CrowdingExp)</x:f>
        <x:v>0.2593870038958186</x:v>
      </x:c>
      <x:c r="Q222" s="9" t="n">
        <x:f>IF(D222=1,INDEX(v01_WinterMult,G222),1)</x:f>
        <x:v>1</x:v>
      </x:c>
      <x:c r="R222" s="9" t="n">
        <x:f>H222*Z221*v01_WomenShare*v01_BaseFertility*INDEX(v01_FertMult,G222)*Arch_Fertility*(1-P222)</x:f>
        <x:v>0.19618929502721613</x:v>
      </x:c>
      <x:c r="S222" s="9" t="n">
        <x:f>H222*Y221*INDEX(v01_MortChild,G222)/4*Q222</x:f>
        <x:v>0.06504641406254633</x:v>
      </x:c>
      <x:c r="T222" s="9" t="n">
        <x:f>H222*Z221*INDEX(v01_MortAdult,G222)*Arch_AdultMort/4*Q222</x:f>
        <x:v>0.033112653987174015</x:v>
      </x:c>
      <x:c r="U222" s="9" t="n">
        <x:f>H222*AA221*INDEX(v01_MortElder,G222)/4*Q222</x:f>
        <x:v>0.05585828223907561</x:v>
      </x:c>
      <x:c r="V222" s="9" t="n">
        <x:f>H222*MAX(0,AB221-O222)*v01_OvercapLoss</x:f>
        <x:v>0</x:v>
      </x:c>
      <x:c r="W222" s="9" t="n">
        <x:f>H222*Y221/(v01_ChildYears*4)</x:f>
        <x:v>0.11615431082597558</x:v>
      </x:c>
      <x:c r="X222" s="9" t="n">
        <x:f>H222*Z221/(v01_AdultYears*4)</x:f>
        <x:v>0.07121000857456779</x:v>
      </x:c>
      <x:c r="Y222" s="32" t="n">
        <x:f>Y221+R222-S222-W222-Y221*V222/AB221</x:f>
        <x:v>6.519629976393326</x:v>
      </x:c>
      <x:c r="Z222" s="32" t="n">
        <x:f>Z221+W222-X222-T222-Z221*V222/AB221</x:f>
        <x:v>8.84187271151064</x:v>
      </x:c>
      <x:c r="AA222" s="32" t="n">
        <x:f>AA221+X222-U222-AA221*V222/AB221</x:f>
        <x:v>2.249683015898517</x:v>
      </x:c>
      <x:c r="AB222" s="10" t="n">
        <x:f>Y222+Z222+AA222</x:f>
        <x:v>17.61118570380248</x:v>
      </x:c>
      <x:c r="AC222" s="8" t="n">
        <x:f>IF(AND(v01_WinterTrigger=1,D222=1,AB221/AE221&gt;=K222),1,0)</x:f>
        <x:v>0</x:v>
      </x:c>
      <x:c r="AD222" s="8" t="n">
        <x:f>H222*IF(AND(OR(AB221/AE221&gt;=v01_FissionTrigger*N222,AC222=1),AB221/AE221*v01_DaughterShare&gt;=v01_MinDaughter),MAX(1,ROUND(AE221*v01_FissionRate,0)),0)</x:f>
        <x:v>0</x:v>
      </x:c>
      <x:c r="AE222" s="8" t="n">
        <x:f>IF(H222=1,MAX(1,MIN(INDEX(v01_Smax,G222),AE221+AD222)),AE221)</x:f>
        <x:v>1</x:v>
      </x:c>
      <x:c r="AF222" s="8" t="n">
        <x:f>MAX(0,AE222-AE221)</x:f>
        <x:v>0</x:v>
      </x:c>
      <x:c r="AG222" s="9" t="str">
        <x:f>IF(AF222&gt;0,B222,"")</x:f>
      </x:c>
      <x:c r="AH222" s="9" t="n">
        <x:f>IF(F222&gt;=1,1,(1+v01_LowTiesShare*(AE222-1))/AE222)</x:f>
        <x:v>1</x:v>
      </x:c>
      <x:c r="AI222" s="32" t="n">
        <x:f>(Z222+v01_ElderCommons*INDEX(LM_Elder,G222)*AA222)*AH222</x:f>
        <x:v>13.341238743307674</x:v>
      </x:c>
      <x:c r="AJ222" s="32" t="n">
        <x:f>H222*v01_CommonsCoef*AI222^v01_CommonsExp*INDEX(LM_Commons,G222)</x:f>
        <x:v>5.691992583779012</x:v>
      </x:c>
      <x:c r="AK222" s="32" t="n">
        <x:f>H222*v01_RoleScale*Arch_Roles*(AE222*(INDEX(v01_ElderRolePerSett,G222)*v01_OutElder*INDEX(LM_Elder,G222)+INDEX(v01_ShamanPerSett,G222)*v01_OutShaman)+Z222*(INDEX(v01_PriestShare,G222)*v01_OutPriest+INDEX(v01_ScribeShare,G222)*v01_OutScribe*INDEX(LM_Scribe,G222)+INDEX(v01_ScholarShare,G222)*v01_OutScholar*INDEX(LM_Scholar,G222)+INDEX(v01_ResearcherShare,G222)*v01_OutResearcher*INDEX(LM_Researcher,G222)))</x:f>
        <x:v>0</x:v>
      </x:c>
      <x:c r="AL222" s="32" t="n">
        <x:f>H222*v01_RoleScale*Arch_Roles*AE222*INDEX(v01_MonasteryPerSett,G222)*v01_OutMonastery*INDEX(LM_Monastery,G222)</x:f>
        <x:v>0</x:v>
      </x:c>
      <x:c r="AM222" s="32" t="n">
        <x:f>(AJ222+AK222+AL222)/4*INDEX(LM_All,G222)*INDEX(v01_Boon,G222)*Arch_Insight</x:f>
        <x:v>1.422998145944753</x:v>
      </x:c>
      <x:c r="AN222" s="32" t="n">
        <x:f>H222*(v01_KHPerAdult*Z222+v01_KHOfCommons*AJ222/4*INDEX(LM_All,G222))*v01_KHUsable*Arch_KH</x:f>
        <x:v>0.30946554490287237</x:v>
      </x:c>
      <x:c r="AO222" s="32" t="n">
        <x:f>MIN(AP221+AN222,AM222*v01_KHMaxRatio)</x:f>
        <x:v>0.30946554490287237</x:v>
      </x:c>
      <x:c r="AP222" s="32" t="n">
        <x:f>AP221+AN222-AO222</x:f>
        <x:v>0</x:v>
      </x:c>
      <x:c r="AQ222" s="32" t="n">
        <x:f>AM222+AO222</x:f>
        <x:v>1.7324636908476254</x:v>
      </x:c>
      <x:c r="AR222" s="10" t="n">
        <x:f>IF(H222=1,INDEX(v01_Req,G222),0)</x:f>
        <x:v>372.02</x:v>
      </x:c>
      <x:c r="AS222" s="32" t="n">
        <x:f>IF(H222=1,IF(E222=1,AS221-AR221,AS221)+AQ222,0)</x:f>
        <x:v>346.9472346595974</x:v>
      </x:c>
      <x:c r="AT222" s="11" t="n">
        <x:f>IF(AR222&gt;0,MIN(1,AS222/AR222),1)</x:f>
        <x:v>0.9326037166270562</x:v>
      </x:c>
      <x:c r="AU222" s="10" t="n">
        <x:f>AB222/INDEX(v01_RepScale,G222)</x:f>
        <x:v>17.61118570380248</x:v>
      </x:c>
      <x:c r="AV222" s="32" t="n">
        <x:f>AM222*60/v01_SeasonSeconds</x:f>
        <x:v>5.691992583779012</x:v>
      </x:c>
    </x:row>
    <x:row r="223">
      <x:c r="A223" s="8" t="n">
        <x:f>A222+1</x:f>
        <x:v>220</x:v>
      </x:c>
      <x:c r="B223" s="9" t="n">
        <x:f>A223*v01_SeasonSeconds/60</x:f>
        <x:v>55</x:v>
      </x:c>
      <x:c r="C223" s="9" t="n">
        <x:f>A223/4</x:f>
        <x:v>55</x:v>
      </x:c>
      <x:c r="D223" s="8" t="n">
        <x:f>IF(MOD(A223,4)=0,1,0)</x:f>
        <x:v>1</x:v>
      </x:c>
      <x:c r="E223" s="8" t="n">
        <x:f>IF(AND(F222&lt;=9,AS222&gt;=AR222),1,0)</x:f>
        <x:v>0</x:v>
      </x:c>
      <x:c r="F223" s="8" t="n">
        <x:f>MIN(10,F222+E223)</x:f>
        <x:v>0</x:v>
      </x:c>
      <x:c r="G223" s="8" t="n">
        <x:f>MIN(F223,9)+1</x:f>
        <x:v>1</x:v>
      </x:c>
      <x:c r="H223" s="8" t="n">
        <x:f>IF(F223&lt;=9,1,0)</x:f>
        <x:v>1</x:v>
      </x:c>
      <x:c r="I223" s="9" t="n">
        <x:f>MIN(10,F222+IF(AR222&gt;0,MIN(1,AS222/AR222),1))</x:f>
        <x:v>0.9326037166270562</x:v>
      </x:c>
      <x:c r="J223" s="32" t="n">
        <x:f>INDEX(v01_FoodCap,G223)*Arch_FoodCap*EXP(v01_CapsByProject*SUMPRODUCT((Cap_Point&lt;=I223)*(Cap_Kind="Food")*Cap_Ln))</x:f>
        <x:v>22</x:v>
      </x:c>
      <x:c r="K223" s="32" t="n">
        <x:f>J223*MIN(1,v01_LeanBase*EXP(v01_CapsByProject*SUMPRODUCT((Cap_Point&lt;=I223)*(Cap_Kind="Lean")*Cap_Ln)))</x:f>
        <x:v>22</x:v>
      </x:c>
      <x:c r="L223" s="10" t="n">
        <x:f>INDEX(v01_HousingCap,G223)*EXP(v01_CapsByProject*SUMPRODUCT((Cap_Point&lt;=I223)*(Cap_Kind="Housing")*Cap_Ln))</x:f>
        <x:v>60</x:v>
      </x:c>
      <x:c r="M223" s="10" t="n">
        <x:f>INDEX(v01_GroupCap,G223)*v01_CohesionFactor*EXP(v01_CapsByProject*SUMPRODUCT((Cap_Point&lt;=I223)*(Cap_Kind="Group")*Cap_Ln))</x:f>
        <x:v>35</x:v>
      </x:c>
      <x:c r="N223" s="32" t="n">
        <x:f>MIN(J223,L223,M223)</x:f>
        <x:v>22</x:v>
      </x:c>
      <x:c r="O223" s="10" t="n">
        <x:f>AE222*N223</x:f>
        <x:v>22</x:v>
      </x:c>
      <x:c r="P223" s="9" t="n">
        <x:f>MIN(1,(AB222/(AE222*IF(v01_GroupInCrowding=1,N223,MIN(J223,L223))))^v01_CrowdingExp)</x:f>
        <x:v>0.2631452254887113</x:v>
      </x:c>
      <x:c r="Q223" s="9" t="n">
        <x:f>IF(D223=1,INDEX(v01_WinterMult,G223),1)</x:f>
        <x:v>2</x:v>
      </x:c>
      <x:c r="R223" s="9" t="n">
        <x:f>H223*Z222*v01_WomenShare*v01_BaseFertility*INDEX(v01_FertMult,G223)*Arch_Fertility*(1-P223)</x:f>
        <x:v>0.19545528369293066</x:v>
      </x:c>
      <x:c r="S223" s="9" t="n">
        <x:f>H223*Y222*INDEX(v01_MortChild,G223)/4*Q223</x:f>
        <x:v>0.13039259952786653</x:v>
      </x:c>
      <x:c r="T223" s="9" t="n">
        <x:f>H223*Z222*INDEX(v01_MortAdult,G223)*Arch_AdultMort/4*Q223</x:f>
        <x:v>0.06631404533632979</x:v>
      </x:c>
      <x:c r="U223" s="9" t="n">
        <x:f>H223*AA222*INDEX(v01_MortElder,G223)/4*Q223</x:f>
        <x:v>0.11248415079492585</x:v>
      </x:c>
      <x:c r="V223" s="9" t="n">
        <x:f>H223*MAX(0,AB222-O223)*v01_OvercapLoss</x:f>
        <x:v>0</x:v>
      </x:c>
      <x:c r="W223" s="9" t="n">
        <x:f>H223*Y222/(v01_ChildYears*4)</x:f>
        <x:v>0.11642196386416655</x:v>
      </x:c>
      <x:c r="X223" s="9" t="n">
        <x:f>H223*Z222/(v01_AdultYears*4)</x:f>
        <x:v>0.07130542509282774</x:v>
      </x:c>
      <x:c r="Y223" s="32" t="n">
        <x:f>Y222+R223-S223-W223-Y222*V223/AB222</x:f>
        <x:v>6.4682706966942245</x:v>
      </x:c>
      <x:c r="Z223" s="32" t="n">
        <x:f>Z222+W223-X223-T223-Z222*V223/AB222</x:f>
        <x:v>8.820675204945648</x:v>
      </x:c>
      <x:c r="AA223" s="32" t="n">
        <x:f>AA222+X223-U223-AA222*V223/AB222</x:f>
        <x:v>2.208504290196419</x:v>
      </x:c>
      <x:c r="AB223" s="10" t="n">
        <x:f>Y223+Z223+AA223</x:f>
        <x:v>17.49745019183629</x:v>
      </x:c>
      <x:c r="AC223" s="8" t="n">
        <x:f>IF(AND(v01_WinterTrigger=1,D223=1,AB222/AE222&gt;=K223),1,0)</x:f>
        <x:v>0</x:v>
      </x:c>
      <x:c r="AD223" s="8" t="n">
        <x:f>H223*IF(AND(OR(AB222/AE222&gt;=v01_FissionTrigger*N223,AC223=1),AB222/AE222*v01_DaughterShare&gt;=v01_MinDaughter),MAX(1,ROUND(AE222*v01_FissionRate,0)),0)</x:f>
        <x:v>0</x:v>
      </x:c>
      <x:c r="AE223" s="8" t="n">
        <x:f>IF(H223=1,MAX(1,MIN(INDEX(v01_Smax,G223),AE222+AD223)),AE222)</x:f>
        <x:v>1</x:v>
      </x:c>
      <x:c r="AF223" s="8" t="n">
        <x:f>MAX(0,AE223-AE222)</x:f>
        <x:v>0</x:v>
      </x:c>
      <x:c r="AG223" s="9" t="str">
        <x:f>IF(AF223&gt;0,B223,"")</x:f>
      </x:c>
      <x:c r="AH223" s="9" t="n">
        <x:f>IF(F223&gt;=1,1,(1+v01_LowTiesShare*(AE223-1))/AE223)</x:f>
        <x:v>1</x:v>
      </x:c>
      <x:c r="AI223" s="32" t="n">
        <x:f>(Z223+v01_ElderCommons*INDEX(LM_Elder,G223)*AA223)*AH223</x:f>
        <x:v>13.237683785338486</x:v>
      </x:c>
      <x:c r="AJ223" s="32" t="n">
        <x:f>H223*v01_CommonsCoef*AI223^v01_CommonsExp*INDEX(LM_Commons,G223)</x:f>
        <x:v>5.654416501459765</x:v>
      </x:c>
      <x:c r="AK223" s="32" t="n">
        <x:f>H223*v01_RoleScale*Arch_Roles*(AE223*(INDEX(v01_ElderRolePerSett,G223)*v01_OutElder*INDEX(LM_Elder,G223)+INDEX(v01_ShamanPerSett,G223)*v01_OutShaman)+Z223*(INDEX(v01_PriestShare,G223)*v01_OutPriest+INDEX(v01_ScribeShare,G223)*v01_OutScribe*INDEX(LM_Scribe,G223)+INDEX(v01_ScholarShare,G223)*v01_OutScholar*INDEX(LM_Scholar,G223)+INDEX(v01_ResearcherShare,G223)*v01_OutResearcher*INDEX(LM_Researcher,G223)))</x:f>
        <x:v>0</x:v>
      </x:c>
      <x:c r="AL223" s="32" t="n">
        <x:f>H223*v01_RoleScale*Arch_Roles*AE223*INDEX(v01_MonasteryPerSett,G223)*v01_OutMonastery*INDEX(LM_Monastery,G223)</x:f>
        <x:v>0</x:v>
      </x:c>
      <x:c r="AM223" s="32" t="n">
        <x:f>(AJ223+AK223+AL223)/4*INDEX(LM_All,G223)*INDEX(v01_Boon,G223)*Arch_Insight</x:f>
        <x:v>1.4136041253649412</x:v>
      </x:c>
      <x:c r="AN223" s="32" t="n">
        <x:f>H223*(v01_KHPerAdult*Z223+v01_KHOfCommons*AJ223/4*INDEX(LM_All,G223))*v01_KHUsable*Arch_KH</x:f>
        <x:v>0.3087236321730977</x:v>
      </x:c>
      <x:c r="AO223" s="32" t="n">
        <x:f>MIN(AP222+AN223,AM223*v01_KHMaxRatio)</x:f>
        <x:v>0.3087236321730977</x:v>
      </x:c>
      <x:c r="AP223" s="32" t="n">
        <x:f>AP222+AN223-AO223</x:f>
        <x:v>0</x:v>
      </x:c>
      <x:c r="AQ223" s="32" t="n">
        <x:f>AM223+AO223</x:f>
        <x:v>1.722327757538039</x:v>
      </x:c>
      <x:c r="AR223" s="10" t="n">
        <x:f>IF(H223=1,INDEX(v01_Req,G223),0)</x:f>
        <x:v>372.02</x:v>
      </x:c>
      <x:c r="AS223" s="32" t="n">
        <x:f>IF(H223=1,IF(E223=1,AS222-AR222,AS222)+AQ223,0)</x:f>
        <x:v>348.66956241713547</x:v>
      </x:c>
      <x:c r="AT223" s="11" t="n">
        <x:f>IF(AR223&gt;0,MIN(1,AS223/AR223),1)</x:f>
        <x:v>0.9372333810470821</x:v>
      </x:c>
      <x:c r="AU223" s="10" t="n">
        <x:f>AB223/INDEX(v01_RepScale,G223)</x:f>
        <x:v>17.49745019183629</x:v>
      </x:c>
      <x:c r="AV223" s="32" t="n">
        <x:f>AM223*60/v01_SeasonSeconds</x:f>
        <x:v>5.654416501459765</x:v>
      </x:c>
    </x:row>
    <x:row r="224">
      <x:c r="A224" s="8" t="n">
        <x:f>A223+1</x:f>
        <x:v>221</x:v>
      </x:c>
      <x:c r="B224" s="9" t="n">
        <x:f>A224*v01_SeasonSeconds/60</x:f>
        <x:v>55.25</x:v>
      </x:c>
      <x:c r="C224" s="9" t="n">
        <x:f>A224/4</x:f>
        <x:v>55.25</x:v>
      </x:c>
      <x:c r="D224" s="8" t="n">
        <x:f>IF(MOD(A224,4)=0,1,0)</x:f>
        <x:v>0</x:v>
      </x:c>
      <x:c r="E224" s="8" t="n">
        <x:f>IF(AND(F223&lt;=9,AS223&gt;=AR223),1,0)</x:f>
        <x:v>0</x:v>
      </x:c>
      <x:c r="F224" s="8" t="n">
        <x:f>MIN(10,F223+E224)</x:f>
        <x:v>0</x:v>
      </x:c>
      <x:c r="G224" s="8" t="n">
        <x:f>MIN(F224,9)+1</x:f>
        <x:v>1</x:v>
      </x:c>
      <x:c r="H224" s="8" t="n">
        <x:f>IF(F224&lt;=9,1,0)</x:f>
        <x:v>1</x:v>
      </x:c>
      <x:c r="I224" s="9" t="n">
        <x:f>MIN(10,F223+IF(AR223&gt;0,MIN(1,AS223/AR223),1))</x:f>
        <x:v>0.9372333810470821</x:v>
      </x:c>
      <x:c r="J224" s="32" t="n">
        <x:f>INDEX(v01_FoodCap,G224)*Arch_FoodCap*EXP(v01_CapsByProject*SUMPRODUCT((Cap_Point&lt;=I224)*(Cap_Kind="Food")*Cap_Ln))</x:f>
        <x:v>22</x:v>
      </x:c>
      <x:c r="K224" s="32" t="n">
        <x:f>J224*MIN(1,v01_LeanBase*EXP(v01_CapsByProject*SUMPRODUCT((Cap_Point&lt;=I224)*(Cap_Kind="Lean")*Cap_Ln)))</x:f>
        <x:v>22</x:v>
      </x:c>
      <x:c r="L224" s="10" t="n">
        <x:f>INDEX(v01_HousingCap,G224)*EXP(v01_CapsByProject*SUMPRODUCT((Cap_Point&lt;=I224)*(Cap_Kind="Housing")*Cap_Ln))</x:f>
        <x:v>60</x:v>
      </x:c>
      <x:c r="M224" s="10" t="n">
        <x:f>INDEX(v01_GroupCap,G224)*v01_CohesionFactor*EXP(v01_CapsByProject*SUMPRODUCT((Cap_Point&lt;=I224)*(Cap_Kind="Group")*Cap_Ln))</x:f>
        <x:v>35</x:v>
      </x:c>
      <x:c r="N224" s="32" t="n">
        <x:f>MIN(J224,L224,M224)</x:f>
        <x:v>22</x:v>
      </x:c>
      <x:c r="O224" s="10" t="n">
        <x:f>AE223*N224</x:f>
        <x:v>22</x:v>
      </x:c>
      <x:c r="P224" s="9" t="n">
        <x:f>MIN(1,(AB223/(AE223*IF(v01_GroupInCrowding=1,N224,MIN(J224,L224))))^v01_CrowdingExp)</x:f>
        <x:v>0.25311186895266335</x:v>
      </x:c>
      <x:c r="Q224" s="9" t="n">
        <x:f>IF(D224=1,INDEX(v01_WinterMult,G224),1)</x:f>
        <x:v>1</x:v>
      </x:c>
      <x:c r="R224" s="9" t="n">
        <x:f>H224*Z223*v01_WomenShare*v01_BaseFertility*INDEX(v01_FertMult,G224)*Arch_Fertility*(1-P224)</x:f>
        <x:v>0.19764172855192313</x:v>
      </x:c>
      <x:c r="S224" s="9" t="n">
        <x:f>H224*Y223*INDEX(v01_MortChild,G224)/4*Q224</x:f>
        <x:v>0.06468270696694224</x:v>
      </x:c>
      <x:c r="T224" s="9" t="n">
        <x:f>H224*Z223*INDEX(v01_MortAdult,G224)*Arch_AdultMort/4*Q224</x:f>
        <x:v>0.03307753201854618</x:v>
      </x:c>
      <x:c r="U224" s="9" t="n">
        <x:f>H224*AA223*INDEX(v01_MortElder,G224)/4*Q224</x:f>
        <x:v>0.05521260725491048</x:v>
      </x:c>
      <x:c r="V224" s="9" t="n">
        <x:f>H224*MAX(0,AB223-O224)*v01_OvercapLoss</x:f>
        <x:v>0</x:v>
      </x:c>
      <x:c r="W224" s="9" t="n">
        <x:f>H224*Y223/(v01_ChildYears*4)</x:f>
        <x:v>0.11550483386953972</x:v>
      </x:c>
      <x:c r="X224" s="9" t="n">
        <x:f>H224*Z223/(v01_AdultYears*4)</x:f>
        <x:v>0.07113447745923909</x:v>
      </x:c>
      <x:c r="Y224" s="32" t="n">
        <x:f>Y223+R224-S224-W224-Y223*V224/AB223</x:f>
        <x:v>6.485724884409665</x:v>
      </x:c>
      <x:c r="Z224" s="32" t="n">
        <x:f>Z223+W224-X224-T224-Z223*V224/AB223</x:f>
        <x:v>8.831968029337402</x:v>
      </x:c>
      <x:c r="AA224" s="32" t="n">
        <x:f>AA223+X224-U224-AA223*V224/AB223</x:f>
        <x:v>2.2244261604007476</x:v>
      </x:c>
      <x:c r="AB224" s="10" t="n">
        <x:f>Y224+Z224+AA224</x:f>
        <x:v>17.542119074147813</x:v>
      </x:c>
      <x:c r="AC224" s="8" t="n">
        <x:f>IF(AND(v01_WinterTrigger=1,D224=1,AB223/AE223&gt;=K224),1,0)</x:f>
        <x:v>0</x:v>
      </x:c>
      <x:c r="AD224" s="8" t="n">
        <x:f>H224*IF(AND(OR(AB223/AE223&gt;=v01_FissionTrigger*N224,AC224=1),AB223/AE223*v01_DaughterShare&gt;=v01_MinDaughter),MAX(1,ROUND(AE223*v01_FissionRate,0)),0)</x:f>
        <x:v>0</x:v>
      </x:c>
      <x:c r="AE224" s="8" t="n">
        <x:f>IF(H224=1,MAX(1,MIN(INDEX(v01_Smax,G224),AE223+AD224)),AE223)</x:f>
        <x:v>1</x:v>
      </x:c>
      <x:c r="AF224" s="8" t="n">
        <x:f>MAX(0,AE224-AE223)</x:f>
        <x:v>0</x:v>
      </x:c>
      <x:c r="AG224" s="9" t="str">
        <x:f>IF(AF224&gt;0,B224,"")</x:f>
      </x:c>
      <x:c r="AH224" s="9" t="n">
        <x:f>IF(F224&gt;=1,1,(1+v01_LowTiesShare*(AE224-1))/AE224)</x:f>
        <x:v>1</x:v>
      </x:c>
      <x:c r="AI224" s="32" t="n">
        <x:f>(Z224+v01_ElderCommons*INDEX(LM_Elder,G224)*AA224)*AH224</x:f>
        <x:v>13.280820350138896</x:v>
      </x:c>
      <x:c r="AJ224" s="32" t="n">
        <x:f>H224*v01_CommonsCoef*AI224^v01_CommonsExp*INDEX(LM_Commons,G224)</x:f>
        <x:v>5.6700744281211275</x:v>
      </x:c>
      <x:c r="AK224" s="32" t="n">
        <x:f>H224*v01_RoleScale*Arch_Roles*(AE224*(INDEX(v01_ElderRolePerSett,G224)*v01_OutElder*INDEX(LM_Elder,G224)+INDEX(v01_ShamanPerSett,G224)*v01_OutShaman)+Z224*(INDEX(v01_PriestShare,G224)*v01_OutPriest+INDEX(v01_ScribeShare,G224)*v01_OutScribe*INDEX(LM_Scribe,G224)+INDEX(v01_ScholarShare,G224)*v01_OutScholar*INDEX(LM_Scholar,G224)+INDEX(v01_ResearcherShare,G224)*v01_OutResearcher*INDEX(LM_Researcher,G224)))</x:f>
        <x:v>0</x:v>
      </x:c>
      <x:c r="AL224" s="32" t="n">
        <x:f>H224*v01_RoleScale*Arch_Roles*AE224*INDEX(v01_MonasteryPerSett,G224)*v01_OutMonastery*INDEX(LM_Monastery,G224)</x:f>
        <x:v>0</x:v>
      </x:c>
      <x:c r="AM224" s="32" t="n">
        <x:f>(AJ224+AK224+AL224)/4*INDEX(LM_All,G224)*INDEX(v01_Boon,G224)*Arch_Insight</x:f>
        <x:v>1.4175186070302819</x:v>
      </x:c>
      <x:c r="AN224" s="32" t="n">
        <x:f>H224*(v01_KHPerAdult*Z224+v01_KHOfCommons*AJ224/4*INDEX(LM_All,G224))*v01_KHUsable*Arch_KH</x:f>
        <x:v>0.30911888102680907</x:v>
      </x:c>
      <x:c r="AO224" s="32" t="n">
        <x:f>MIN(AP223+AN224,AM224*v01_KHMaxRatio)</x:f>
        <x:v>0.30911888102680907</x:v>
      </x:c>
      <x:c r="AP224" s="32" t="n">
        <x:f>AP223+AN224-AO224</x:f>
        <x:v>0</x:v>
      </x:c>
      <x:c r="AQ224" s="32" t="n">
        <x:f>AM224+AO224</x:f>
        <x:v>1.726637488057091</x:v>
      </x:c>
      <x:c r="AR224" s="10" t="n">
        <x:f>IF(H224=1,INDEX(v01_Req,G224),0)</x:f>
        <x:v>372.02</x:v>
      </x:c>
      <x:c r="AS224" s="32" t="n">
        <x:f>IF(H224=1,IF(E224=1,AS223-AR223,AS223)+AQ224,0)</x:f>
        <x:v>350.39619990519253</x:v>
      </x:c>
      <x:c r="AT224" s="11" t="n">
        <x:f>IF(AR224&gt;0,MIN(1,AS224/AR224),1)</x:f>
        <x:v>0.9418746301413702</x:v>
      </x:c>
      <x:c r="AU224" s="10" t="n">
        <x:f>AB224/INDEX(v01_RepScale,G224)</x:f>
        <x:v>17.542119074147813</x:v>
      </x:c>
      <x:c r="AV224" s="32" t="n">
        <x:f>AM224*60/v01_SeasonSeconds</x:f>
        <x:v>5.6700744281211275</x:v>
      </x:c>
    </x:row>
    <x:row r="225">
      <x:c r="A225" s="8" t="n">
        <x:f>A224+1</x:f>
        <x:v>222</x:v>
      </x:c>
      <x:c r="B225" s="9" t="n">
        <x:f>A225*v01_SeasonSeconds/60</x:f>
        <x:v>55.5</x:v>
      </x:c>
      <x:c r="C225" s="9" t="n">
        <x:f>A225/4</x:f>
        <x:v>55.5</x:v>
      </x:c>
      <x:c r="D225" s="8" t="n">
        <x:f>IF(MOD(A225,4)=0,1,0)</x:f>
        <x:v>0</x:v>
      </x:c>
      <x:c r="E225" s="8" t="n">
        <x:f>IF(AND(F224&lt;=9,AS224&gt;=AR224),1,0)</x:f>
        <x:v>0</x:v>
      </x:c>
      <x:c r="F225" s="8" t="n">
        <x:f>MIN(10,F224+E225)</x:f>
        <x:v>0</x:v>
      </x:c>
      <x:c r="G225" s="8" t="n">
        <x:f>MIN(F225,9)+1</x:f>
        <x:v>1</x:v>
      </x:c>
      <x:c r="H225" s="8" t="n">
        <x:f>IF(F225&lt;=9,1,0)</x:f>
        <x:v>1</x:v>
      </x:c>
      <x:c r="I225" s="9" t="n">
        <x:f>MIN(10,F224+IF(AR224&gt;0,MIN(1,AS224/AR224),1))</x:f>
        <x:v>0.9418746301413702</x:v>
      </x:c>
      <x:c r="J225" s="32" t="n">
        <x:f>INDEX(v01_FoodCap,G225)*Arch_FoodCap*EXP(v01_CapsByProject*SUMPRODUCT((Cap_Point&lt;=I225)*(Cap_Kind="Food")*Cap_Ln))</x:f>
        <x:v>22</x:v>
      </x:c>
      <x:c r="K225" s="32" t="n">
        <x:f>J225*MIN(1,v01_LeanBase*EXP(v01_CapsByProject*SUMPRODUCT((Cap_Point&lt;=I225)*(Cap_Kind="Lean")*Cap_Ln)))</x:f>
        <x:v>22</x:v>
      </x:c>
      <x:c r="L225" s="10" t="n">
        <x:f>INDEX(v01_HousingCap,G225)*EXP(v01_CapsByProject*SUMPRODUCT((Cap_Point&lt;=I225)*(Cap_Kind="Housing")*Cap_Ln))</x:f>
        <x:v>60</x:v>
      </x:c>
      <x:c r="M225" s="10" t="n">
        <x:f>INDEX(v01_GroupCap,G225)*v01_CohesionFactor*EXP(v01_CapsByProject*SUMPRODUCT((Cap_Point&lt;=I225)*(Cap_Kind="Group")*Cap_Ln))</x:f>
        <x:v>35</x:v>
      </x:c>
      <x:c r="N225" s="32" t="n">
        <x:f>MIN(J225,L225,M225)</x:f>
        <x:v>22</x:v>
      </x:c>
      <x:c r="O225" s="10" t="n">
        <x:f>AE224*N225</x:f>
        <x:v>22</x:v>
      </x:c>
      <x:c r="P225" s="9" t="n">
        <x:f>MIN(1,(AB224/(AE224*IF(v01_GroupInCrowding=1,N225,MIN(J225,L225))))^v01_CrowdingExp)</x:f>
        <x:v>0.2570136816691182</x:v>
      </x:c>
      <x:c r="Q225" s="9" t="n">
        <x:f>IF(D225=1,INDEX(v01_WinterMult,G225),1)</x:f>
        <x:v>1</x:v>
      </x:c>
      <x:c r="R225" s="9" t="n">
        <x:f>H225*Z224*v01_WomenShare*v01_BaseFertility*INDEX(v01_FertMult,G225)*Arch_Fertility*(1-P225)</x:f>
        <x:v>0.1968609422920035</x:v>
      </x:c>
      <x:c r="S225" s="9" t="n">
        <x:f>H225*Y224*INDEX(v01_MortChild,G225)/4*Q225</x:f>
        <x:v>0.06485724884409665</x:v>
      </x:c>
      <x:c r="T225" s="9" t="n">
        <x:f>H225*Z224*INDEX(v01_MortAdult,G225)*Arch_AdultMort/4*Q225</x:f>
        <x:v>0.03311988011001526</x:v>
      </x:c>
      <x:c r="U225" s="9" t="n">
        <x:f>H225*AA224*INDEX(v01_MortElder,G225)/4*Q225</x:f>
        <x:v>0.05561065401001869</x:v>
      </x:c>
      <x:c r="V225" s="9" t="n">
        <x:f>H225*MAX(0,AB224-O225)*v01_OvercapLoss</x:f>
        <x:v>0</x:v>
      </x:c>
      <x:c r="W225" s="9" t="n">
        <x:f>H225*Y224/(v01_ChildYears*4)</x:f>
        <x:v>0.11581651579302973</x:v>
      </x:c>
      <x:c r="X225" s="9" t="n">
        <x:f>H225*Z224/(v01_AdultYears*4)</x:f>
        <x:v>0.07122554862368873</x:v>
      </x:c>
      <x:c r="Y225" s="32" t="n">
        <x:f>Y224+R225-S225-W225-Y224*V225/AB224</x:f>
        <x:v>6.501912062064543</x:v>
      </x:c>
      <x:c r="Z225" s="32" t="n">
        <x:f>Z224+W225-X225-T225-Z224*V225/AB224</x:f>
        <x:v>8.843439116396727</x:v>
      </x:c>
      <x:c r="AA225" s="32" t="n">
        <x:f>AA224+X225-U225-AA224*V225/AB224</x:f>
        <x:v>2.2400410550144176</x:v>
      </x:c>
      <x:c r="AB225" s="10" t="n">
        <x:f>Y225+Z225+AA225</x:f>
        <x:v>17.585392233475687</x:v>
      </x:c>
      <x:c r="AC225" s="8" t="n">
        <x:f>IF(AND(v01_WinterTrigger=1,D225=1,AB224/AE224&gt;=K225),1,0)</x:f>
        <x:v>0</x:v>
      </x:c>
      <x:c r="AD225" s="8" t="n">
        <x:f>H225*IF(AND(OR(AB224/AE224&gt;=v01_FissionTrigger*N225,AC225=1),AB224/AE224*v01_DaughterShare&gt;=v01_MinDaughter),MAX(1,ROUND(AE224*v01_FissionRate,0)),0)</x:f>
        <x:v>0</x:v>
      </x:c>
      <x:c r="AE225" s="8" t="n">
        <x:f>IF(H225=1,MAX(1,MIN(INDEX(v01_Smax,G225),AE224+AD225)),AE224)</x:f>
        <x:v>1</x:v>
      </x:c>
      <x:c r="AF225" s="8" t="n">
        <x:f>MAX(0,AE225-AE224)</x:f>
        <x:v>0</x:v>
      </x:c>
      <x:c r="AG225" s="9" t="str">
        <x:f>IF(AF225&gt;0,B225,"")</x:f>
      </x:c>
      <x:c r="AH225" s="9" t="n">
        <x:f>IF(F225&gt;=1,1,(1+v01_LowTiesShare*(AE225-1))/AE225)</x:f>
        <x:v>1</x:v>
      </x:c>
      <x:c r="AI225" s="32" t="n">
        <x:f>(Z225+v01_ElderCommons*INDEX(LM_Elder,G225)*AA225)*AH225</x:f>
        <x:v>13.323521226425562</x:v>
      </x:c>
      <x:c r="AJ225" s="32" t="n">
        <x:f>H225*v01_CommonsCoef*AI225^v01_CommonsExp*INDEX(LM_Commons,G225)</x:f>
        <x:v>5.685566694665587</x:v>
      </x:c>
      <x:c r="AK225" s="32" t="n">
        <x:f>H225*v01_RoleScale*Arch_Roles*(AE225*(INDEX(v01_ElderRolePerSett,G225)*v01_OutElder*INDEX(LM_Elder,G225)+INDEX(v01_ShamanPerSett,G225)*v01_OutShaman)+Z225*(INDEX(v01_PriestShare,G225)*v01_OutPriest+INDEX(v01_ScribeShare,G225)*v01_OutScribe*INDEX(LM_Scribe,G225)+INDEX(v01_ScholarShare,G225)*v01_OutScholar*INDEX(LM_Scholar,G225)+INDEX(v01_ResearcherShare,G225)*v01_OutResearcher*INDEX(LM_Researcher,G225)))</x:f>
        <x:v>0</x:v>
      </x:c>
      <x:c r="AL225" s="32" t="n">
        <x:f>H225*v01_RoleScale*Arch_Roles*AE225*INDEX(v01_MonasteryPerSett,G225)*v01_OutMonastery*INDEX(LM_Monastery,G225)</x:f>
        <x:v>0</x:v>
      </x:c>
      <x:c r="AM225" s="32" t="n">
        <x:f>(AJ225+AK225+AL225)/4*INDEX(LM_All,G225)*INDEX(v01_Boon,G225)*Arch_Insight</x:f>
        <x:v>1.4213916736663967</x:v>
      </x:c>
      <x:c r="AN225" s="32" t="n">
        <x:f>H225*(v01_KHPerAdult*Z225+v01_KHOfCommons*AJ225/4*INDEX(LM_All,G225))*v01_KHUsable*Arch_KH</x:f>
        <x:v>0.3095203690738854</x:v>
      </x:c>
      <x:c r="AO225" s="32" t="n">
        <x:f>MIN(AP224+AN225,AM225*v01_KHMaxRatio)</x:f>
        <x:v>0.3095203690738854</x:v>
      </x:c>
      <x:c r="AP225" s="32" t="n">
        <x:f>AP224+AN225-AO225</x:f>
        <x:v>0</x:v>
      </x:c>
      <x:c r="AQ225" s="32" t="n">
        <x:f>AM225+AO225</x:f>
        <x:v>1.7309120427402822</x:v>
      </x:c>
      <x:c r="AR225" s="10" t="n">
        <x:f>IF(H225=1,INDEX(v01_Req,G225),0)</x:f>
        <x:v>372.02</x:v>
      </x:c>
      <x:c r="AS225" s="32" t="n">
        <x:f>IF(H225=1,IF(E225=1,AS224-AR224,AS224)+AQ225,0)</x:f>
        <x:v>352.1271119479328</x:v>
      </x:c>
      <x:c r="AT225" s="11" t="n">
        <x:f>IF(AR225&gt;0,MIN(1,AS225/AR225),1)</x:f>
        <x:v>0.9465273693563057</x:v>
      </x:c>
      <x:c r="AU225" s="10" t="n">
        <x:f>AB225/INDEX(v01_RepScale,G225)</x:f>
        <x:v>17.585392233475687</x:v>
      </x:c>
      <x:c r="AV225" s="32" t="n">
        <x:f>AM225*60/v01_SeasonSeconds</x:f>
        <x:v>5.685566694665587</x:v>
      </x:c>
    </x:row>
    <x:row r="226">
      <x:c r="A226" s="8" t="n">
        <x:f>A225+1</x:f>
        <x:v>223</x:v>
      </x:c>
      <x:c r="B226" s="9" t="n">
        <x:f>A226*v01_SeasonSeconds/60</x:f>
        <x:v>55.75</x:v>
      </x:c>
      <x:c r="C226" s="9" t="n">
        <x:f>A226/4</x:f>
        <x:v>55.75</x:v>
      </x:c>
      <x:c r="D226" s="8" t="n">
        <x:f>IF(MOD(A226,4)=0,1,0)</x:f>
        <x:v>0</x:v>
      </x:c>
      <x:c r="E226" s="8" t="n">
        <x:f>IF(AND(F225&lt;=9,AS225&gt;=AR225),1,0)</x:f>
        <x:v>0</x:v>
      </x:c>
      <x:c r="F226" s="8" t="n">
        <x:f>MIN(10,F225+E226)</x:f>
        <x:v>0</x:v>
      </x:c>
      <x:c r="G226" s="8" t="n">
        <x:f>MIN(F226,9)+1</x:f>
        <x:v>1</x:v>
      </x:c>
      <x:c r="H226" s="8" t="n">
        <x:f>IF(F226&lt;=9,1,0)</x:f>
        <x:v>1</x:v>
      </x:c>
      <x:c r="I226" s="9" t="n">
        <x:f>MIN(10,F225+IF(AR225&gt;0,MIN(1,AS225/AR225),1))</x:f>
        <x:v>0.9465273693563057</x:v>
      </x:c>
      <x:c r="J226" s="32" t="n">
        <x:f>INDEX(v01_FoodCap,G226)*Arch_FoodCap*EXP(v01_CapsByProject*SUMPRODUCT((Cap_Point&lt;=I226)*(Cap_Kind="Food")*Cap_Ln))</x:f>
        <x:v>22</x:v>
      </x:c>
      <x:c r="K226" s="32" t="n">
        <x:f>J226*MIN(1,v01_LeanBase*EXP(v01_CapsByProject*SUMPRODUCT((Cap_Point&lt;=I226)*(Cap_Kind="Lean")*Cap_Ln)))</x:f>
        <x:v>22</x:v>
      </x:c>
      <x:c r="L226" s="10" t="n">
        <x:f>INDEX(v01_HousingCap,G226)*EXP(v01_CapsByProject*SUMPRODUCT((Cap_Point&lt;=I226)*(Cap_Kind="Housing")*Cap_Ln))</x:f>
        <x:v>60</x:v>
      </x:c>
      <x:c r="M226" s="10" t="n">
        <x:f>INDEX(v01_GroupCap,G226)*v01_CohesionFactor*EXP(v01_CapsByProject*SUMPRODUCT((Cap_Point&lt;=I226)*(Cap_Kind="Group")*Cap_Ln))</x:f>
        <x:v>35</x:v>
      </x:c>
      <x:c r="N226" s="32" t="n">
        <x:f>MIN(J226,L226,M226)</x:f>
        <x:v>22</x:v>
      </x:c>
      <x:c r="O226" s="10" t="n">
        <x:f>AE225*N226</x:f>
        <x:v>22</x:v>
      </x:c>
      <x:c r="P226" s="9" t="n">
        <x:f>MIN(1,(AB225/(AE225*IF(v01_GroupInCrowding=1,N226,MIN(J226,L226))))^v01_CrowdingExp)</x:f>
        <x:v>0.2608412495277185</x:v>
      </x:c>
      <x:c r="Q226" s="9" t="n">
        <x:f>IF(D226=1,INDEX(v01_WinterMult,G226),1)</x:f>
        <x:v>1</x:v>
      </x:c>
      <x:c r="R226" s="9" t="n">
        <x:f>H226*Z225*v01_WomenShare*v01_BaseFertility*INDEX(v01_FertMult,G226)*Arch_Fertility*(1-P226)</x:f>
        <x:v>0.19610116221460505</x:v>
      </x:c>
      <x:c r="S226" s="9" t="n">
        <x:f>H226*Y225*INDEX(v01_MortChild,G226)/4*Q226</x:f>
        <x:v>0.06501912062064542</x:v>
      </x:c>
      <x:c r="T226" s="9" t="n">
        <x:f>H226*Z225*INDEX(v01_MortAdult,G226)*Arch_AdultMort/4*Q226</x:f>
        <x:v>0.033162896686487725</x:v>
      </x:c>
      <x:c r="U226" s="9" t="n">
        <x:f>H226*AA225*INDEX(v01_MortElder,G226)/4*Q226</x:f>
        <x:v>0.056001026375360446</x:v>
      </x:c>
      <x:c r="V226" s="9" t="n">
        <x:f>H226*MAX(0,AB225-O226)*v01_OvercapLoss</x:f>
        <x:v>0</x:v>
      </x:c>
      <x:c r="W226" s="9" t="n">
        <x:f>H226*Y225/(v01_ChildYears*4)</x:f>
        <x:v>0.11610557253686683</x:v>
      </x:c>
      <x:c r="X226" s="9" t="n">
        <x:f>H226*Z225/(v01_AdultYears*4)</x:f>
        <x:v>0.07131805739029619</x:v>
      </x:c>
      <x:c r="Y226" s="32" t="n">
        <x:f>Y225+R226-S226-W226-Y225*V226/AB225</x:f>
        <x:v>6.516888531121635</x:v>
      </x:c>
      <x:c r="Z226" s="32" t="n">
        <x:f>Z225+W226-X226-T226-Z225*V226/AB225</x:f>
        <x:v>8.85506373485681</x:v>
      </x:c>
      <x:c r="AA226" s="32" t="n">
        <x:f>AA225+X226-U226-AA225*V226/AB225</x:f>
        <x:v>2.2553580860293536</x:v>
      </x:c>
      <x:c r="AB226" s="10" t="n">
        <x:f>Y226+Z226+AA226</x:f>
        <x:v>17.627310352007797</x:v>
      </x:c>
      <x:c r="AC226" s="8" t="n">
        <x:f>IF(AND(v01_WinterTrigger=1,D226=1,AB225/AE225&gt;=K226),1,0)</x:f>
        <x:v>0</x:v>
      </x:c>
      <x:c r="AD226" s="8" t="n">
        <x:f>H226*IF(AND(OR(AB225/AE225&gt;=v01_FissionTrigger*N226,AC226=1),AB225/AE225*v01_DaughterShare&gt;=v01_MinDaughter),MAX(1,ROUND(AE225*v01_FissionRate,0)),0)</x:f>
        <x:v>0</x:v>
      </x:c>
      <x:c r="AE226" s="8" t="n">
        <x:f>IF(H226=1,MAX(1,MIN(INDEX(v01_Smax,G226),AE225+AD226)),AE225)</x:f>
        <x:v>1</x:v>
      </x:c>
      <x:c r="AF226" s="8" t="n">
        <x:f>MAX(0,AE226-AE225)</x:f>
        <x:v>0</x:v>
      </x:c>
      <x:c r="AG226" s="9" t="str">
        <x:f>IF(AF226&gt;0,B226,"")</x:f>
      </x:c>
      <x:c r="AH226" s="9" t="n">
        <x:f>IF(F226&gt;=1,1,(1+v01_LowTiesShare*(AE226-1))/AE226)</x:f>
        <x:v>1</x:v>
      </x:c>
      <x:c r="AI226" s="32" t="n">
        <x:f>(Z226+v01_ElderCommons*INDEX(LM_Elder,G226)*AA226)*AH226</x:f>
        <x:v>13.365779906915517</x:v>
      </x:c>
      <x:c r="AJ226" s="32" t="n">
        <x:f>H226*v01_CommonsCoef*AI226^v01_CommonsExp*INDEX(LM_Commons,G226)</x:f>
        <x:v>5.7008911977649275</x:v>
      </x:c>
      <x:c r="AK226" s="32" t="n">
        <x:f>H226*v01_RoleScale*Arch_Roles*(AE226*(INDEX(v01_ElderRolePerSett,G226)*v01_OutElder*INDEX(LM_Elder,G226)+INDEX(v01_ShamanPerSett,G226)*v01_OutShaman)+Z226*(INDEX(v01_PriestShare,G226)*v01_OutPriest+INDEX(v01_ScribeShare,G226)*v01_OutScribe*INDEX(LM_Scribe,G226)+INDEX(v01_ScholarShare,G226)*v01_OutScholar*INDEX(LM_Scholar,G226)+INDEX(v01_ResearcherShare,G226)*v01_OutResearcher*INDEX(LM_Researcher,G226)))</x:f>
        <x:v>0</x:v>
      </x:c>
      <x:c r="AL226" s="32" t="n">
        <x:f>H226*v01_RoleScale*Arch_Roles*AE226*INDEX(v01_MonasteryPerSett,G226)*v01_OutMonastery*INDEX(LM_Monastery,G226)</x:f>
        <x:v>0</x:v>
      </x:c>
      <x:c r="AM226" s="32" t="n">
        <x:f>(AJ226+AK226+AL226)/4*INDEX(LM_All,G226)*INDEX(v01_Boon,G226)*Arch_Insight</x:f>
        <x:v>1.4252227994412319</x:v>
      </x:c>
      <x:c r="AN226" s="32" t="n">
        <x:f>H226*(v01_KHPerAdult*Z226+v01_KHOfCommons*AJ226/4*INDEX(LM_All,G226))*v01_KHUsable*Arch_KH</x:f>
        <x:v>0.3099272307199883</x:v>
      </x:c>
      <x:c r="AO226" s="32" t="n">
        <x:f>MIN(AP225+AN226,AM226*v01_KHMaxRatio)</x:f>
        <x:v>0.3099272307199883</x:v>
      </x:c>
      <x:c r="AP226" s="32" t="n">
        <x:f>AP225+AN226-AO226</x:f>
        <x:v>0</x:v>
      </x:c>
      <x:c r="AQ226" s="32" t="n">
        <x:f>AM226+AO226</x:f>
        <x:v>1.7351500301612202</x:v>
      </x:c>
      <x:c r="AR226" s="10" t="n">
        <x:f>IF(H226=1,INDEX(v01_Req,G226),0)</x:f>
        <x:v>372.02</x:v>
      </x:c>
      <x:c r="AS226" s="32" t="n">
        <x:f>IF(H226=1,IF(E226=1,AS225-AR225,AS225)+AQ226,0)</x:f>
        <x:v>353.862261978094</x:v>
      </x:c>
      <x:c r="AT226" s="11" t="n">
        <x:f>IF(AR226&gt;0,MIN(1,AS226/AR226),1)</x:f>
        <x:v>0.9511915003980809</x:v>
      </x:c>
      <x:c r="AU226" s="10" t="n">
        <x:f>AB226/INDEX(v01_RepScale,G226)</x:f>
        <x:v>17.627310352007797</x:v>
      </x:c>
      <x:c r="AV226" s="32" t="n">
        <x:f>AM226*60/v01_SeasonSeconds</x:f>
        <x:v>5.7008911977649275</x:v>
      </x:c>
    </x:row>
    <x:row r="227">
      <x:c r="A227" s="8" t="n">
        <x:f>A226+1</x:f>
        <x:v>224</x:v>
      </x:c>
      <x:c r="B227" s="9" t="n">
        <x:f>A227*v01_SeasonSeconds/60</x:f>
        <x:v>56</x:v>
      </x:c>
      <x:c r="C227" s="9" t="n">
        <x:f>A227/4</x:f>
        <x:v>56</x:v>
      </x:c>
      <x:c r="D227" s="8" t="n">
        <x:f>IF(MOD(A227,4)=0,1,0)</x:f>
        <x:v>1</x:v>
      </x:c>
      <x:c r="E227" s="8" t="n">
        <x:f>IF(AND(F226&lt;=9,AS226&gt;=AR226),1,0)</x:f>
        <x:v>0</x:v>
      </x:c>
      <x:c r="F227" s="8" t="n">
        <x:f>MIN(10,F226+E227)</x:f>
        <x:v>0</x:v>
      </x:c>
      <x:c r="G227" s="8" t="n">
        <x:f>MIN(F227,9)+1</x:f>
        <x:v>1</x:v>
      </x:c>
      <x:c r="H227" s="8" t="n">
        <x:f>IF(F227&lt;=9,1,0)</x:f>
        <x:v>1</x:v>
      </x:c>
      <x:c r="I227" s="9" t="n">
        <x:f>MIN(10,F226+IF(AR226&gt;0,MIN(1,AS226/AR226),1))</x:f>
        <x:v>0.9511915003980809</x:v>
      </x:c>
      <x:c r="J227" s="32" t="n">
        <x:f>INDEX(v01_FoodCap,G227)*Arch_FoodCap*EXP(v01_CapsByProject*SUMPRODUCT((Cap_Point&lt;=I227)*(Cap_Kind="Food")*Cap_Ln))</x:f>
        <x:v>22</x:v>
      </x:c>
      <x:c r="K227" s="32" t="n">
        <x:f>J227*MIN(1,v01_LeanBase*EXP(v01_CapsByProject*SUMPRODUCT((Cap_Point&lt;=I227)*(Cap_Kind="Lean")*Cap_Ln)))</x:f>
        <x:v>22</x:v>
      </x:c>
      <x:c r="L227" s="10" t="n">
        <x:f>INDEX(v01_HousingCap,G227)*EXP(v01_CapsByProject*SUMPRODUCT((Cap_Point&lt;=I227)*(Cap_Kind="Housing")*Cap_Ln))</x:f>
        <x:v>60</x:v>
      </x:c>
      <x:c r="M227" s="10" t="n">
        <x:f>INDEX(v01_GroupCap,G227)*v01_CohesionFactor*EXP(v01_CapsByProject*SUMPRODUCT((Cap_Point&lt;=I227)*(Cap_Kind="Group")*Cap_Ln))</x:f>
        <x:v>35</x:v>
      </x:c>
      <x:c r="N227" s="32" t="n">
        <x:f>MIN(J227,L227,M227)</x:f>
        <x:v>22</x:v>
      </x:c>
      <x:c r="O227" s="10" t="n">
        <x:f>AE226*N227</x:f>
        <x:v>22</x:v>
      </x:c>
      <x:c r="P227" s="9" t="n">
        <x:f>MIN(1,(AB226/(AE226*IF(v01_GroupInCrowding=1,N227,MIN(J227,L227))))^v01_CrowdingExp)</x:f>
        <x:v>0.26459413933582465</x:v>
      </x:c>
      <x:c r="Q227" s="9" t="n">
        <x:f>IF(D227=1,INDEX(v01_WinterMult,G227),1)</x:f>
        <x:v>2</x:v>
      </x:c>
      <x:c r="R227" s="9" t="n">
        <x:f>H227*Z226*v01_WomenShare*v01_BaseFertility*INDEX(v01_FertMult,G227)*Arch_Fertility*(1-P227)</x:f>
        <x:v>0.19536197301505495</x:v>
      </x:c>
      <x:c r="S227" s="9" t="n">
        <x:f>H227*Y226*INDEX(v01_MortChild,G227)/4*Q227</x:f>
        <x:v>0.1303377706224327</x:v>
      </x:c>
      <x:c r="T227" s="9" t="n">
        <x:f>H227*Z226*INDEX(v01_MortAdult,G227)*Arch_AdultMort/4*Q227</x:f>
        <x:v>0.06641297801142607</x:v>
      </x:c>
      <x:c r="U227" s="9" t="n">
        <x:f>H227*AA226*INDEX(v01_MortElder,G227)/4*Q227</x:f>
        <x:v>0.11276790430146769</x:v>
      </x:c>
      <x:c r="V227" s="9" t="n">
        <x:f>H227*MAX(0,AB226-O227)*v01_OvercapLoss</x:f>
        <x:v>0</x:v>
      </x:c>
      <x:c r="W227" s="9" t="n">
        <x:f>H227*Y226/(v01_ChildYears*4)</x:f>
        <x:v>0.11637300948431492</x:v>
      </x:c>
      <x:c r="X227" s="9" t="n">
        <x:f>H227*Z226/(v01_AdultYears*4)</x:f>
        <x:v>0.07141180431336137</x:v>
      </x:c>
      <x:c r="Y227" s="32" t="n">
        <x:f>Y226+R227-S227-W227-Y226*V227/AB226</x:f>
        <x:v>6.465539724029943</x:v>
      </x:c>
      <x:c r="Z227" s="32" t="n">
        <x:f>Z226+W227-X227-T227-Z226*V227/AB226</x:f>
        <x:v>8.833611962016336</x:v>
      </x:c>
      <x:c r="AA227" s="32" t="n">
        <x:f>AA226+X227-U227-AA226*V227/AB226</x:f>
        <x:v>2.2140019860412474</x:v>
      </x:c>
      <x:c r="AB227" s="10" t="n">
        <x:f>Y227+Z227+AA227</x:f>
        <x:v>17.513153672087526</x:v>
      </x:c>
      <x:c r="AC227" s="8" t="n">
        <x:f>IF(AND(v01_WinterTrigger=1,D227=1,AB226/AE226&gt;=K227),1,0)</x:f>
        <x:v>0</x:v>
      </x:c>
      <x:c r="AD227" s="8" t="n">
        <x:f>H227*IF(AND(OR(AB226/AE226&gt;=v01_FissionTrigger*N227,AC227=1),AB226/AE226*v01_DaughterShare&gt;=v01_MinDaughter),MAX(1,ROUND(AE226*v01_FissionRate,0)),0)</x:f>
        <x:v>0</x:v>
      </x:c>
      <x:c r="AE227" s="8" t="n">
        <x:f>IF(H227=1,MAX(1,MIN(INDEX(v01_Smax,G227),AE226+AD227)),AE226)</x:f>
        <x:v>1</x:v>
      </x:c>
      <x:c r="AF227" s="8" t="n">
        <x:f>MAX(0,AE227-AE226)</x:f>
        <x:v>0</x:v>
      </x:c>
      <x:c r="AG227" s="9" t="str">
        <x:f>IF(AF227&gt;0,B227,"")</x:f>
      </x:c>
      <x:c r="AH227" s="9" t="n">
        <x:f>IF(F227&gt;=1,1,(1+v01_LowTiesShare*(AE227-1))/AE227)</x:f>
        <x:v>1</x:v>
      </x:c>
      <x:c r="AI227" s="32" t="n">
        <x:f>(Z227+v01_ElderCommons*INDEX(LM_Elder,G227)*AA227)*AH227</x:f>
        <x:v>13.261615934098831</x:v>
      </x:c>
      <x:c r="AJ227" s="32" t="n">
        <x:f>H227*v01_CommonsCoef*AI227^v01_CommonsExp*INDEX(LM_Commons,G227)</x:f>
        <x:v>5.663104456450865</x:v>
      </x:c>
      <x:c r="AK227" s="32" t="n">
        <x:f>H227*v01_RoleScale*Arch_Roles*(AE227*(INDEX(v01_ElderRolePerSett,G227)*v01_OutElder*INDEX(LM_Elder,G227)+INDEX(v01_ShamanPerSett,G227)*v01_OutShaman)+Z227*(INDEX(v01_PriestShare,G227)*v01_OutPriest+INDEX(v01_ScribeShare,G227)*v01_OutScribe*INDEX(LM_Scribe,G227)+INDEX(v01_ScholarShare,G227)*v01_OutScholar*INDEX(LM_Scholar,G227)+INDEX(v01_ResearcherShare,G227)*v01_OutResearcher*INDEX(LM_Researcher,G227)))</x:f>
        <x:v>0</x:v>
      </x:c>
      <x:c r="AL227" s="32" t="n">
        <x:f>H227*v01_RoleScale*Arch_Roles*AE227*INDEX(v01_MonasteryPerSett,G227)*v01_OutMonastery*INDEX(LM_Monastery,G227)</x:f>
        <x:v>0</x:v>
      </x:c>
      <x:c r="AM227" s="32" t="n">
        <x:f>(AJ227+AK227+AL227)/4*INDEX(LM_All,G227)*INDEX(v01_Boon,G227)*Arch_Insight</x:f>
        <x:v>1.4157761141127163</x:v>
      </x:c>
      <x:c r="AN227" s="32" t="n">
        <x:f>H227*(v01_KHPerAdult*Z227+v01_KHOfCommons*AJ227/4*INDEX(LM_All,G227))*v01_KHUsable*Arch_KH</x:f>
        <x:v>0.3091764186705718</x:v>
      </x:c>
      <x:c r="AO227" s="32" t="n">
        <x:f>MIN(AP226+AN227,AM227*v01_KHMaxRatio)</x:f>
        <x:v>0.3091764186705718</x:v>
      </x:c>
      <x:c r="AP227" s="32" t="n">
        <x:f>AP226+AN227-AO227</x:f>
        <x:v>0</x:v>
      </x:c>
      <x:c r="AQ227" s="32" t="n">
        <x:f>AM227+AO227</x:f>
        <x:v>1.7249525327832882</x:v>
      </x:c>
      <x:c r="AR227" s="10" t="n">
        <x:f>IF(H227=1,INDEX(v01_Req,G227),0)</x:f>
        <x:v>372.02</x:v>
      </x:c>
      <x:c r="AS227" s="32" t="n">
        <x:f>IF(H227=1,IF(E227=1,AS226-AR226,AS226)+AQ227,0)</x:f>
        <x:v>355.5872145108773</x:v>
      </x:c>
      <x:c r="AT227" s="11" t="n">
        <x:f>IF(AR227&gt;0,MIN(1,AS227/AR227),1)</x:f>
        <x:v>0.955828220286214</x:v>
      </x:c>
      <x:c r="AU227" s="10" t="n">
        <x:f>AB227/INDEX(v01_RepScale,G227)</x:f>
        <x:v>17.513153672087526</x:v>
      </x:c>
      <x:c r="AV227" s="32" t="n">
        <x:f>AM227*60/v01_SeasonSeconds</x:f>
        <x:v>5.663104456450865</x:v>
      </x:c>
    </x:row>
    <x:row r="228">
      <x:c r="A228" s="8" t="n">
        <x:f>A227+1</x:f>
        <x:v>225</x:v>
      </x:c>
      <x:c r="B228" s="9" t="n">
        <x:f>A228*v01_SeasonSeconds/60</x:f>
        <x:v>56.25</x:v>
      </x:c>
      <x:c r="C228" s="9" t="n">
        <x:f>A228/4</x:f>
        <x:v>56.25</x:v>
      </x:c>
      <x:c r="D228" s="8" t="n">
        <x:f>IF(MOD(A228,4)=0,1,0)</x:f>
        <x:v>0</x:v>
      </x:c>
      <x:c r="E228" s="8" t="n">
        <x:f>IF(AND(F227&lt;=9,AS227&gt;=AR227),1,0)</x:f>
        <x:v>0</x:v>
      </x:c>
      <x:c r="F228" s="8" t="n">
        <x:f>MIN(10,F227+E228)</x:f>
        <x:v>0</x:v>
      </x:c>
      <x:c r="G228" s="8" t="n">
        <x:f>MIN(F228,9)+1</x:f>
        <x:v>1</x:v>
      </x:c>
      <x:c r="H228" s="8" t="n">
        <x:f>IF(F228&lt;=9,1,0)</x:f>
        <x:v>1</x:v>
      </x:c>
      <x:c r="I228" s="9" t="n">
        <x:f>MIN(10,F227+IF(AR227&gt;0,MIN(1,AS227/AR227),1))</x:f>
        <x:v>0.955828220286214</x:v>
      </x:c>
      <x:c r="J228" s="32" t="n">
        <x:f>INDEX(v01_FoodCap,G228)*Arch_FoodCap*EXP(v01_CapsByProject*SUMPRODUCT((Cap_Point&lt;=I228)*(Cap_Kind="Food")*Cap_Ln))</x:f>
        <x:v>22</x:v>
      </x:c>
      <x:c r="K228" s="32" t="n">
        <x:f>J228*MIN(1,v01_LeanBase*EXP(v01_CapsByProject*SUMPRODUCT((Cap_Point&lt;=I228)*(Cap_Kind="Lean")*Cap_Ln)))</x:f>
        <x:v>22</x:v>
      </x:c>
      <x:c r="L228" s="10" t="n">
        <x:f>INDEX(v01_HousingCap,G228)*EXP(v01_CapsByProject*SUMPRODUCT((Cap_Point&lt;=I228)*(Cap_Kind="Housing")*Cap_Ln))</x:f>
        <x:v>60</x:v>
      </x:c>
      <x:c r="M228" s="10" t="n">
        <x:f>INDEX(v01_GroupCap,G228)*v01_CohesionFactor*EXP(v01_CapsByProject*SUMPRODUCT((Cap_Point&lt;=I228)*(Cap_Kind="Group")*Cap_Ln))</x:f>
        <x:v>35</x:v>
      </x:c>
      <x:c r="N228" s="32" t="n">
        <x:f>MIN(J228,L228,M228)</x:f>
        <x:v>22</x:v>
      </x:c>
      <x:c r="O228" s="10" t="n">
        <x:f>AE227*N228</x:f>
        <x:v>22</x:v>
      </x:c>
      <x:c r="P228" s="9" t="n">
        <x:f>MIN(1,(AB227/(AE227*IF(v01_GroupInCrowding=1,N228,MIN(J228,L228))))^v01_CrowdingExp)</x:f>
        <x:v>0.25447789631570294</x:v>
      </x:c>
      <x:c r="Q228" s="9" t="n">
        <x:f>IF(D228=1,INDEX(v01_WinterMult,G228),1)</x:f>
        <x:v>1</x:v>
      </x:c>
      <x:c r="R228" s="9" t="n">
        <x:f>H228*Z227*v01_WomenShare*v01_BaseFertility*INDEX(v01_FertMult,G228)*Arch_Fertility*(1-P228)</x:f>
        <x:v>0.19756958919159567</x:v>
      </x:c>
      <x:c r="S228" s="9" t="n">
        <x:f>H228*Y227*INDEX(v01_MortChild,G228)/4*Q228</x:f>
        <x:v>0.06465539724029944</x:v>
      </x:c>
      <x:c r="T228" s="9" t="n">
        <x:f>H228*Z227*INDEX(v01_MortAdult,G228)*Arch_AdultMort/4*Q228</x:f>
        <x:v>0.03312604485756126</x:v>
      </x:c>
      <x:c r="U228" s="9" t="n">
        <x:f>H228*AA227*INDEX(v01_MortElder,G228)/4*Q228</x:f>
        <x:v>0.055350049651031186</x:v>
      </x:c>
      <x:c r="V228" s="9" t="n">
        <x:f>H228*MAX(0,AB227-O228)*v01_OvercapLoss</x:f>
        <x:v>0</x:v>
      </x:c>
      <x:c r="W228" s="9" t="n">
        <x:f>H228*Y227/(v01_ChildYears*4)</x:f>
        <x:v>0.11545606650053471</x:v>
      </x:c>
      <x:c r="X228" s="9" t="n">
        <x:f>H228*Z227/(v01_AdultYears*4)</x:f>
        <x:v>0.07123880614529303</x:v>
      </x:c>
      <x:c r="Y228" s="32" t="n">
        <x:f>Y227+R228-S228-W228-Y227*V228/AB227</x:f>
        <x:v>6.482997849480705</x:v>
      </x:c>
      <x:c r="Z228" s="32" t="n">
        <x:f>Z227+W228-X228-T228-Z227*V228/AB227</x:f>
        <x:v>8.844703177514017</x:v>
      </x:c>
      <x:c r="AA228" s="32" t="n">
        <x:f>AA227+X228-U228-AA227*V228/AB227</x:f>
        <x:v>2.2298907425355092</x:v>
      </x:c>
      <x:c r="AB228" s="10" t="n">
        <x:f>Y228+Z228+AA228</x:f>
        <x:v>17.55759176953023</x:v>
      </x:c>
      <x:c r="AC228" s="8" t="n">
        <x:f>IF(AND(v01_WinterTrigger=1,D228=1,AB227/AE227&gt;=K228),1,0)</x:f>
        <x:v>0</x:v>
      </x:c>
      <x:c r="AD228" s="8" t="n">
        <x:f>H228*IF(AND(OR(AB227/AE227&gt;=v01_FissionTrigger*N228,AC228=1),AB227/AE227*v01_DaughterShare&gt;=v01_MinDaughter),MAX(1,ROUND(AE227*v01_FissionRate,0)),0)</x:f>
        <x:v>0</x:v>
      </x:c>
      <x:c r="AE228" s="8" t="n">
        <x:f>IF(H228=1,MAX(1,MIN(INDEX(v01_Smax,G228),AE227+AD228)),AE227)</x:f>
        <x:v>1</x:v>
      </x:c>
      <x:c r="AF228" s="8" t="n">
        <x:f>MAX(0,AE228-AE227)</x:f>
        <x:v>0</x:v>
      </x:c>
      <x:c r="AG228" s="9" t="str">
        <x:f>IF(AF228&gt;0,B228,"")</x:f>
      </x:c>
      <x:c r="AH228" s="9" t="n">
        <x:f>IF(F228&gt;=1,1,(1+v01_LowTiesShare*(AE228-1))/AE228)</x:f>
        <x:v>1</x:v>
      </x:c>
      <x:c r="AI228" s="32" t="n">
        <x:f>(Z228+v01_ElderCommons*INDEX(LM_Elder,G228)*AA228)*AH228</x:f>
        <x:v>13.304484662585036</x:v>
      </x:c>
      <x:c r="AJ228" s="32" t="n">
        <x:f>H228*v01_CommonsCoef*AI228^v01_CommonsExp*INDEX(LM_Commons,G228)</x:f>
        <x:v>5.6786609774968895</x:v>
      </x:c>
      <x:c r="AK228" s="32" t="n">
        <x:f>H228*v01_RoleScale*Arch_Roles*(AE228*(INDEX(v01_ElderRolePerSett,G228)*v01_OutElder*INDEX(LM_Elder,G228)+INDEX(v01_ShamanPerSett,G228)*v01_OutShaman)+Z228*(INDEX(v01_PriestShare,G228)*v01_OutPriest+INDEX(v01_ScribeShare,G228)*v01_OutScribe*INDEX(LM_Scribe,G228)+INDEX(v01_ScholarShare,G228)*v01_OutScholar*INDEX(LM_Scholar,G228)+INDEX(v01_ResearcherShare,G228)*v01_OutResearcher*INDEX(LM_Researcher,G228)))</x:f>
        <x:v>0</x:v>
      </x:c>
      <x:c r="AL228" s="32" t="n">
        <x:f>H228*v01_RoleScale*Arch_Roles*AE228*INDEX(v01_MonasteryPerSett,G228)*v01_OutMonastery*INDEX(LM_Monastery,G228)</x:f>
        <x:v>0</x:v>
      </x:c>
      <x:c r="AM228" s="32" t="n">
        <x:f>(AJ228+AK228+AL228)/4*INDEX(LM_All,G228)*INDEX(v01_Boon,G228)*Arch_Insight</x:f>
        <x:v>1.4196652443742224</x:v>
      </x:c>
      <x:c r="AN228" s="32" t="n">
        <x:f>H228*(v01_KHPerAdult*Z228+v01_KHOfCommons*AJ228/4*INDEX(LM_All,G228))*v01_KHUsable*Arch_KH</x:f>
        <x:v>0.30956461121299056</x:v>
      </x:c>
      <x:c r="AO228" s="32" t="n">
        <x:f>MIN(AP227+AN228,AM228*v01_KHMaxRatio)</x:f>
        <x:v>0.30956461121299056</x:v>
      </x:c>
      <x:c r="AP228" s="32" t="n">
        <x:f>AP227+AN228-AO228</x:f>
        <x:v>0</x:v>
      </x:c>
      <x:c r="AQ228" s="32" t="n">
        <x:f>AM228+AO228</x:f>
        <x:v>1.729229855587213</x:v>
      </x:c>
      <x:c r="AR228" s="10" t="n">
        <x:f>IF(H228=1,INDEX(v01_Req,G228),0)</x:f>
        <x:v>372.02</x:v>
      </x:c>
      <x:c r="AS228" s="32" t="n">
        <x:f>IF(H228=1,IF(E228=1,AS227-AR227,AS227)+AQ228,0)</x:f>
        <x:v>357.3164443664645</x:v>
      </x:c>
      <x:c r="AT228" s="11" t="n">
        <x:f>IF(AR228&gt;0,MIN(1,AS228/AR228),1)</x:f>
        <x:v>0.9604764377357791</x:v>
      </x:c>
      <x:c r="AU228" s="10" t="n">
        <x:f>AB228/INDEX(v01_RepScale,G228)</x:f>
        <x:v>17.55759176953023</x:v>
      </x:c>
      <x:c r="AV228" s="32" t="n">
        <x:f>AM228*60/v01_SeasonSeconds</x:f>
        <x:v>5.6786609774968895</x:v>
      </x:c>
    </x:row>
    <x:row r="229">
      <x:c r="A229" s="8" t="n">
        <x:f>A228+1</x:f>
        <x:v>226</x:v>
      </x:c>
      <x:c r="B229" s="9" t="n">
        <x:f>A229*v01_SeasonSeconds/60</x:f>
        <x:v>56.5</x:v>
      </x:c>
      <x:c r="C229" s="9" t="n">
        <x:f>A229/4</x:f>
        <x:v>56.5</x:v>
      </x:c>
      <x:c r="D229" s="8" t="n">
        <x:f>IF(MOD(A229,4)=0,1,0)</x:f>
        <x:v>0</x:v>
      </x:c>
      <x:c r="E229" s="8" t="n">
        <x:f>IF(AND(F228&lt;=9,AS228&gt;=AR228),1,0)</x:f>
        <x:v>0</x:v>
      </x:c>
      <x:c r="F229" s="8" t="n">
        <x:f>MIN(10,F228+E229)</x:f>
        <x:v>0</x:v>
      </x:c>
      <x:c r="G229" s="8" t="n">
        <x:f>MIN(F229,9)+1</x:f>
        <x:v>1</x:v>
      </x:c>
      <x:c r="H229" s="8" t="n">
        <x:f>IF(F229&lt;=9,1,0)</x:f>
        <x:v>1</x:v>
      </x:c>
      <x:c r="I229" s="9" t="n">
        <x:f>MIN(10,F228+IF(AR228&gt;0,MIN(1,AS228/AR228),1))</x:f>
        <x:v>0.9604764377357791</x:v>
      </x:c>
      <x:c r="J229" s="32" t="n">
        <x:f>INDEX(v01_FoodCap,G229)*Arch_FoodCap*EXP(v01_CapsByProject*SUMPRODUCT((Cap_Point&lt;=I229)*(Cap_Kind="Food")*Cap_Ln))</x:f>
        <x:v>22</x:v>
      </x:c>
      <x:c r="K229" s="32" t="n">
        <x:f>J229*MIN(1,v01_LeanBase*EXP(v01_CapsByProject*SUMPRODUCT((Cap_Point&lt;=I229)*(Cap_Kind="Lean")*Cap_Ln)))</x:f>
        <x:v>22</x:v>
      </x:c>
      <x:c r="L229" s="10" t="n">
        <x:f>INDEX(v01_HousingCap,G229)*EXP(v01_CapsByProject*SUMPRODUCT((Cap_Point&lt;=I229)*(Cap_Kind="Housing")*Cap_Ln))</x:f>
        <x:v>60</x:v>
      </x:c>
      <x:c r="M229" s="10" t="n">
        <x:f>INDEX(v01_GroupCap,G229)*v01_CohesionFactor*EXP(v01_CapsByProject*SUMPRODUCT((Cap_Point&lt;=I229)*(Cap_Kind="Group")*Cap_Ln))</x:f>
        <x:v>35</x:v>
      </x:c>
      <x:c r="N229" s="32" t="n">
        <x:f>MIN(J229,L229,M229)</x:f>
        <x:v>22</x:v>
      </x:c>
      <x:c r="O229" s="10" t="n">
        <x:f>AE228*N229</x:f>
        <x:v>22</x:v>
      </x:c>
      <x:c r="P229" s="9" t="n">
        <x:f>MIN(1,(AB228/(AE228*IF(v01_GroupInCrowding=1,N229,MIN(J229,L229))))^v01_CrowdingExp)</x:f>
        <x:v>0.258376848899592</x:v>
      </x:c>
      <x:c r="Q229" s="9" t="n">
        <x:f>IF(D229=1,INDEX(v01_WinterMult,G229),1)</x:f>
        <x:v>1</x:v>
      </x:c>
      <x:c r="R229" s="9" t="n">
        <x:f>H229*Z228*v01_WomenShare*v01_BaseFertility*INDEX(v01_FertMult,G229)*Arch_Fertility*(1-P229)</x:f>
        <x:v>0.1967830992316721</x:v>
      </x:c>
      <x:c r="S229" s="9" t="n">
        <x:f>H229*Y228*INDEX(v01_MortChild,G229)/4*Q229</x:f>
        <x:v>0.06482997849480705</x:v>
      </x:c>
      <x:c r="T229" s="9" t="n">
        <x:f>H229*Z228*INDEX(v01_MortAdult,G229)*Arch_AdultMort/4*Q229</x:f>
        <x:v>0.03316763691567756</x:v>
      </x:c>
      <x:c r="U229" s="9" t="n">
        <x:f>H229*AA228*INDEX(v01_MortElder,G229)/4*Q229</x:f>
        <x:v>0.055747268563387735</x:v>
      </x:c>
      <x:c r="V229" s="9" t="n">
        <x:f>H229*MAX(0,AB228-O229)*v01_OvercapLoss</x:f>
        <x:v>0</x:v>
      </x:c>
      <x:c r="W229" s="9" t="n">
        <x:f>H229*Y228/(v01_ChildYears*4)</x:f>
        <x:v>0.11576781874072686</x:v>
      </x:c>
      <x:c r="X229" s="9" t="n">
        <x:f>H229*Z228/(v01_AdultYears*4)</x:f>
        <x:v>0.07132825143156465</x:v>
      </x:c>
      <x:c r="Y229" s="32" t="n">
        <x:f>Y228+R229-S229-W229-Y228*V229/AB228</x:f>
        <x:v>6.499183151476842</x:v>
      </x:c>
      <x:c r="Z229" s="32" t="n">
        <x:f>Z228+W229-X229-T229-Z228*V229/AB228</x:f>
        <x:v>8.8559751079075</x:v>
      </x:c>
      <x:c r="AA229" s="32" t="n">
        <x:f>AA228+X229-U229-AA228*V229/AB228</x:f>
        <x:v>2.2454717254036862</x:v>
      </x:c>
      <x:c r="AB229" s="10" t="n">
        <x:f>Y229+Z229+AA229</x:f>
        <x:v>17.60062998478803</x:v>
      </x:c>
      <x:c r="AC229" s="8" t="n">
        <x:f>IF(AND(v01_WinterTrigger=1,D229=1,AB228/AE228&gt;=K229),1,0)</x:f>
        <x:v>0</x:v>
      </x:c>
      <x:c r="AD229" s="8" t="n">
        <x:f>H229*IF(AND(OR(AB228/AE228&gt;=v01_FissionTrigger*N229,AC229=1),AB228/AE228*v01_DaughterShare&gt;=v01_MinDaughter),MAX(1,ROUND(AE228*v01_FissionRate,0)),0)</x:f>
        <x:v>0</x:v>
      </x:c>
      <x:c r="AE229" s="8" t="n">
        <x:f>IF(H229=1,MAX(1,MIN(INDEX(v01_Smax,G229),AE228+AD229)),AE228)</x:f>
        <x:v>1</x:v>
      </x:c>
      <x:c r="AF229" s="8" t="n">
        <x:f>MAX(0,AE229-AE228)</x:f>
        <x:v>0</x:v>
      </x:c>
      <x:c r="AG229" s="9" t="str">
        <x:f>IF(AF229&gt;0,B229,"")</x:f>
      </x:c>
      <x:c r="AH229" s="9" t="n">
        <x:f>IF(F229&gt;=1,1,(1+v01_LowTiesShare*(AE229-1))/AE229)</x:f>
        <x:v>1</x:v>
      </x:c>
      <x:c r="AI229" s="32" t="n">
        <x:f>(Z229+v01_ElderCommons*INDEX(LM_Elder,G229)*AA229)*AH229</x:f>
        <x:v>13.346918558714872</x:v>
      </x:c>
      <x:c r="AJ229" s="32" t="n">
        <x:f>H229*v01_CommonsCoef*AI229^v01_CommonsExp*INDEX(LM_Commons,G229)</x:f>
        <x:v>5.694052300296487</x:v>
      </x:c>
      <x:c r="AK229" s="32" t="n">
        <x:f>H229*v01_RoleScale*Arch_Roles*(AE229*(INDEX(v01_ElderRolePerSett,G229)*v01_OutElder*INDEX(LM_Elder,G229)+INDEX(v01_ShamanPerSett,G229)*v01_OutShaman)+Z229*(INDEX(v01_PriestShare,G229)*v01_OutPriest+INDEX(v01_ScribeShare,G229)*v01_OutScribe*INDEX(LM_Scribe,G229)+INDEX(v01_ScholarShare,G229)*v01_OutScholar*INDEX(LM_Scholar,G229)+INDEX(v01_ResearcherShare,G229)*v01_OutResearcher*INDEX(LM_Researcher,G229)))</x:f>
        <x:v>0</x:v>
      </x:c>
      <x:c r="AL229" s="32" t="n">
        <x:f>H229*v01_RoleScale*Arch_Roles*AE229*INDEX(v01_MonasteryPerSett,G229)*v01_OutMonastery*INDEX(LM_Monastery,G229)</x:f>
        <x:v>0</x:v>
      </x:c>
      <x:c r="AM229" s="32" t="n">
        <x:f>(AJ229+AK229+AL229)/4*INDEX(LM_All,G229)*INDEX(v01_Boon,G229)*Arch_Insight</x:f>
        <x:v>1.4235130750741218</x:v>
      </x:c>
      <x:c r="AN229" s="32" t="n">
        <x:f>H229*(v01_KHPerAdult*Z229+v01_KHOfCommons*AJ229/4*INDEX(LM_All,G229))*v01_KHUsable*Arch_KH</x:f>
        <x:v>0.3099591287767625</x:v>
      </x:c>
      <x:c r="AO229" s="32" t="n">
        <x:f>MIN(AP228+AN229,AM229*v01_KHMaxRatio)</x:f>
        <x:v>0.3099591287767625</x:v>
      </x:c>
      <x:c r="AP229" s="32" t="n">
        <x:f>AP228+AN229-AO229</x:f>
        <x:v>0</x:v>
      </x:c>
      <x:c r="AQ229" s="32" t="n">
        <x:f>AM229+AO229</x:f>
        <x:v>1.7334722038508843</x:v>
      </x:c>
      <x:c r="AR229" s="10" t="n">
        <x:f>IF(H229=1,INDEX(v01_Req,G229),0)</x:f>
        <x:v>372.02</x:v>
      </x:c>
      <x:c r="AS229" s="32" t="n">
        <x:f>IF(H229=1,IF(E229=1,AS228-AR228,AS228)+AQ229,0)</x:f>
        <x:v>359.0499165703154</x:v>
      </x:c>
      <x:c r="AT229" s="11" t="n">
        <x:f>IF(AR229&gt;0,MIN(1,AS229/AR229),1)</x:f>
        <x:v>0.9651360587342493</x:v>
      </x:c>
      <x:c r="AU229" s="10" t="n">
        <x:f>AB229/INDEX(v01_RepScale,G229)</x:f>
        <x:v>17.60062998478803</x:v>
      </x:c>
      <x:c r="AV229" s="32" t="n">
        <x:f>AM229*60/v01_SeasonSeconds</x:f>
        <x:v>5.694052300296487</x:v>
      </x:c>
    </x:row>
    <x:row r="230">
      <x:c r="A230" s="8" t="n">
        <x:f>A229+1</x:f>
        <x:v>227</x:v>
      </x:c>
      <x:c r="B230" s="9" t="n">
        <x:f>A230*v01_SeasonSeconds/60</x:f>
        <x:v>56.75</x:v>
      </x:c>
      <x:c r="C230" s="9" t="n">
        <x:f>A230/4</x:f>
        <x:v>56.75</x:v>
      </x:c>
      <x:c r="D230" s="8" t="n">
        <x:f>IF(MOD(A230,4)=0,1,0)</x:f>
        <x:v>0</x:v>
      </x:c>
      <x:c r="E230" s="8" t="n">
        <x:f>IF(AND(F229&lt;=9,AS229&gt;=AR229),1,0)</x:f>
        <x:v>0</x:v>
      </x:c>
      <x:c r="F230" s="8" t="n">
        <x:f>MIN(10,F229+E230)</x:f>
        <x:v>0</x:v>
      </x:c>
      <x:c r="G230" s="8" t="n">
        <x:f>MIN(F230,9)+1</x:f>
        <x:v>1</x:v>
      </x:c>
      <x:c r="H230" s="8" t="n">
        <x:f>IF(F230&lt;=9,1,0)</x:f>
        <x:v>1</x:v>
      </x:c>
      <x:c r="I230" s="9" t="n">
        <x:f>MIN(10,F229+IF(AR229&gt;0,MIN(1,AS229/AR229),1))</x:f>
        <x:v>0.9651360587342493</x:v>
      </x:c>
      <x:c r="J230" s="32" t="n">
        <x:f>INDEX(v01_FoodCap,G230)*Arch_FoodCap*EXP(v01_CapsByProject*SUMPRODUCT((Cap_Point&lt;=I230)*(Cap_Kind="Food")*Cap_Ln))</x:f>
        <x:v>22</x:v>
      </x:c>
      <x:c r="K230" s="32" t="n">
        <x:f>J230*MIN(1,v01_LeanBase*EXP(v01_CapsByProject*SUMPRODUCT((Cap_Point&lt;=I230)*(Cap_Kind="Lean")*Cap_Ln)))</x:f>
        <x:v>22</x:v>
      </x:c>
      <x:c r="L230" s="10" t="n">
        <x:f>INDEX(v01_HousingCap,G230)*EXP(v01_CapsByProject*SUMPRODUCT((Cap_Point&lt;=I230)*(Cap_Kind="Housing")*Cap_Ln))</x:f>
        <x:v>60</x:v>
      </x:c>
      <x:c r="M230" s="10" t="n">
        <x:f>INDEX(v01_GroupCap,G230)*v01_CohesionFactor*EXP(v01_CapsByProject*SUMPRODUCT((Cap_Point&lt;=I230)*(Cap_Kind="Group")*Cap_Ln))</x:f>
        <x:v>35</x:v>
      </x:c>
      <x:c r="N230" s="32" t="n">
        <x:f>MIN(J230,L230,M230)</x:f>
        <x:v>22</x:v>
      </x:c>
      <x:c r="O230" s="10" t="n">
        <x:f>AE229*N230</x:f>
        <x:v>22</x:v>
      </x:c>
      <x:c r="P230" s="9" t="n">
        <x:f>MIN(1,(AB229/(AE229*IF(v01_GroupInCrowding=1,N230,MIN(J230,L230))))^v01_CrowdingExp)</x:f>
        <x:v>0.26220030506069675</x:v>
      </x:c>
      <x:c r="Q230" s="9" t="n">
        <x:f>IF(D230=1,INDEX(v01_WinterMult,G230),1)</x:f>
        <x:v>1</x:v>
      </x:c>
      <x:c r="R230" s="9" t="n">
        <x:f>H230*Z229*v01_WomenShare*v01_BaseFertility*INDEX(v01_FertMult,G230)*Arch_Fertility*(1-P230)</x:f>
        <x:v>0.19601807199012652</x:v>
      </x:c>
      <x:c r="S230" s="9" t="n">
        <x:f>H230*Y229*INDEX(v01_MortChild,G230)/4*Q230</x:f>
        <x:v>0.06499183151476842</x:v>
      </x:c>
      <x:c r="T230" s="9" t="n">
        <x:f>H230*Z229*INDEX(v01_MortAdult,G230)*Arch_AdultMort/4*Q230</x:f>
        <x:v>0.03320990665465313</x:v>
      </x:c>
      <x:c r="U230" s="9" t="n">
        <x:f>H230*AA229*INDEX(v01_MortElder,G230)/4*Q230</x:f>
        <x:v>0.05613679313509216</x:v>
      </x:c>
      <x:c r="V230" s="9" t="n">
        <x:f>H230*MAX(0,AB229-O230)*v01_OvercapLoss</x:f>
        <x:v>0</x:v>
      </x:c>
      <x:c r="W230" s="9" t="n">
        <x:f>H230*Y229/(v01_ChildYears*4)</x:f>
        <x:v>0.1160568419906579</x:v>
      </x:c>
      <x:c r="X230" s="9" t="n">
        <x:f>H230*Z229/(v01_AdultYears*4)</x:f>
        <x:v>0.07141915409602823</x:v>
      </x:c>
      <x:c r="Y230" s="32" t="n">
        <x:f>Y229+R230-S230-W230-Y229*V230/AB229</x:f>
        <x:v>6.514152549961542</x:v>
      </x:c>
      <x:c r="Z230" s="32" t="n">
        <x:f>Z229+W230-X230-T230-Z229*V230/AB229</x:f>
        <x:v>8.867402889147476</x:v>
      </x:c>
      <x:c r="AA230" s="32" t="n">
        <x:f>AA229+X230-U230-AA229*V230/AB229</x:f>
        <x:v>2.260754086364622</x:v>
      </x:c>
      <x:c r="AB230" s="10" t="n">
        <x:f>Y230+Z230+AA230</x:f>
        <x:v>17.64230952547364</x:v>
      </x:c>
      <x:c r="AC230" s="8" t="n">
        <x:f>IF(AND(v01_WinterTrigger=1,D230=1,AB229/AE229&gt;=K230),1,0)</x:f>
        <x:v>0</x:v>
      </x:c>
      <x:c r="AD230" s="8" t="n">
        <x:f>H230*IF(AND(OR(AB229/AE229&gt;=v01_FissionTrigger*N230,AC230=1),AB229/AE229*v01_DaughterShare&gt;=v01_MinDaughter),MAX(1,ROUND(AE229*v01_FissionRate,0)),0)</x:f>
        <x:v>0</x:v>
      </x:c>
      <x:c r="AE230" s="8" t="n">
        <x:f>IF(H230=1,MAX(1,MIN(INDEX(v01_Smax,G230),AE229+AD230)),AE229)</x:f>
        <x:v>1</x:v>
      </x:c>
      <x:c r="AF230" s="8" t="n">
        <x:f>MAX(0,AE230-AE229)</x:f>
        <x:v>0</x:v>
      </x:c>
      <x:c r="AG230" s="9" t="str">
        <x:f>IF(AF230&gt;0,B230,"")</x:f>
      </x:c>
      <x:c r="AH230" s="9" t="n">
        <x:f>IF(F230&gt;=1,1,(1+v01_LowTiesShare*(AE230-1))/AE230)</x:f>
        <x:v>1</x:v>
      </x:c>
      <x:c r="AI230" s="32" t="n">
        <x:f>(Z230+v01_ElderCommons*INDEX(LM_Elder,G230)*AA230)*AH230</x:f>
        <x:v>13.388911061876719</x:v>
      </x:c>
      <x:c r="AJ230" s="32" t="n">
        <x:f>H230*v01_CommonsCoef*AI230^v01_CommonsExp*INDEX(LM_Commons,G230)</x:f>
        <x:v>5.709276299854706</x:v>
      </x:c>
      <x:c r="AK230" s="32" t="n">
        <x:f>H230*v01_RoleScale*Arch_Roles*(AE230*(INDEX(v01_ElderRolePerSett,G230)*v01_OutElder*INDEX(LM_Elder,G230)+INDEX(v01_ShamanPerSett,G230)*v01_OutShaman)+Z230*(INDEX(v01_PriestShare,G230)*v01_OutPriest+INDEX(v01_ScribeShare,G230)*v01_OutScribe*INDEX(LM_Scribe,G230)+INDEX(v01_ScholarShare,G230)*v01_OutScholar*INDEX(LM_Scholar,G230)+INDEX(v01_ResearcherShare,G230)*v01_OutResearcher*INDEX(LM_Researcher,G230)))</x:f>
        <x:v>0</x:v>
      </x:c>
      <x:c r="AL230" s="32" t="n">
        <x:f>H230*v01_RoleScale*Arch_Roles*AE230*INDEX(v01_MonasteryPerSett,G230)*v01_OutMonastery*INDEX(LM_Monastery,G230)</x:f>
        <x:v>0</x:v>
      </x:c>
      <x:c r="AM230" s="32" t="n">
        <x:f>(AJ230+AK230+AL230)/4*INDEX(LM_All,G230)*INDEX(v01_Boon,G230)*Arch_Insight</x:f>
        <x:v>1.4273190749636766</x:v>
      </x:c>
      <x:c r="AN230" s="32" t="n">
        <x:f>H230*(v01_KHPerAdult*Z230+v01_KHOfCommons*AJ230/4*INDEX(LM_All,G230))*v01_KHUsable*Arch_KH</x:f>
        <x:v>0.3103591011201617</x:v>
      </x:c>
      <x:c r="AO230" s="32" t="n">
        <x:f>MIN(AP229+AN230,AM230*v01_KHMaxRatio)</x:f>
        <x:v>0.3103591011201617</x:v>
      </x:c>
      <x:c r="AP230" s="32" t="n">
        <x:f>AP229+AN230-AO230</x:f>
        <x:v>0</x:v>
      </x:c>
      <x:c r="AQ230" s="32" t="n">
        <x:f>AM230+AO230</x:f>
        <x:v>1.7376781760838382</x:v>
      </x:c>
      <x:c r="AR230" s="10" t="n">
        <x:f>IF(H230=1,INDEX(v01_Req,G230),0)</x:f>
        <x:v>372.02</x:v>
      </x:c>
      <x:c r="AS230" s="32" t="n">
        <x:f>IF(H230=1,IF(E230=1,AS229-AR229,AS229)+AQ230,0)</x:f>
        <x:v>360.78759474639924</x:v>
      </x:c>
      <x:c r="AT230" s="11" t="n">
        <x:f>IF(AR230&gt;0,MIN(1,AS230/AR230),1)</x:f>
        <x:v>0.9698069855018527</x:v>
      </x:c>
      <x:c r="AU230" s="10" t="n">
        <x:f>AB230/INDEX(v01_RepScale,G230)</x:f>
        <x:v>17.64230952547364</x:v>
      </x:c>
      <x:c r="AV230" s="32" t="n">
        <x:f>AM230*60/v01_SeasonSeconds</x:f>
        <x:v>5.709276299854706</x:v>
      </x:c>
    </x:row>
    <x:row r="231">
      <x:c r="A231" s="8" t="n">
        <x:f>A230+1</x:f>
        <x:v>228</x:v>
      </x:c>
      <x:c r="B231" s="9" t="n">
        <x:f>A231*v01_SeasonSeconds/60</x:f>
        <x:v>57</x:v>
      </x:c>
      <x:c r="C231" s="9" t="n">
        <x:f>A231/4</x:f>
        <x:v>57</x:v>
      </x:c>
      <x:c r="D231" s="8" t="n">
        <x:f>IF(MOD(A231,4)=0,1,0)</x:f>
        <x:v>1</x:v>
      </x:c>
      <x:c r="E231" s="8" t="n">
        <x:f>IF(AND(F230&lt;=9,AS230&gt;=AR230),1,0)</x:f>
        <x:v>0</x:v>
      </x:c>
      <x:c r="F231" s="8" t="n">
        <x:f>MIN(10,F230+E231)</x:f>
        <x:v>0</x:v>
      </x:c>
      <x:c r="G231" s="8" t="n">
        <x:f>MIN(F231,9)+1</x:f>
        <x:v>1</x:v>
      </x:c>
      <x:c r="H231" s="8" t="n">
        <x:f>IF(F231&lt;=9,1,0)</x:f>
        <x:v>1</x:v>
      </x:c>
      <x:c r="I231" s="9" t="n">
        <x:f>MIN(10,F230+IF(AR230&gt;0,MIN(1,AS230/AR230),1))</x:f>
        <x:v>0.9698069855018527</x:v>
      </x:c>
      <x:c r="J231" s="32" t="n">
        <x:f>INDEX(v01_FoodCap,G231)*Arch_FoodCap*EXP(v01_CapsByProject*SUMPRODUCT((Cap_Point&lt;=I231)*(Cap_Kind="Food")*Cap_Ln))</x:f>
        <x:v>22</x:v>
      </x:c>
      <x:c r="K231" s="32" t="n">
        <x:f>J231*MIN(1,v01_LeanBase*EXP(v01_CapsByProject*SUMPRODUCT((Cap_Point&lt;=I231)*(Cap_Kind="Lean")*Cap_Ln)))</x:f>
        <x:v>22</x:v>
      </x:c>
      <x:c r="L231" s="10" t="n">
        <x:f>INDEX(v01_HousingCap,G231)*EXP(v01_CapsByProject*SUMPRODUCT((Cap_Point&lt;=I231)*(Cap_Kind="Housing")*Cap_Ln))</x:f>
        <x:v>60</x:v>
      </x:c>
      <x:c r="M231" s="10" t="n">
        <x:f>INDEX(v01_GroupCap,G231)*v01_CohesionFactor*EXP(v01_CapsByProject*SUMPRODUCT((Cap_Point&lt;=I231)*(Cap_Kind="Group")*Cap_Ln))</x:f>
        <x:v>35</x:v>
      </x:c>
      <x:c r="N231" s="32" t="n">
        <x:f>MIN(J231,L231,M231)</x:f>
        <x:v>22</x:v>
      </x:c>
      <x:c r="O231" s="10" t="n">
        <x:f>AE230*N231</x:f>
        <x:v>22</x:v>
      </x:c>
      <x:c r="P231" s="9" t="n">
        <x:f>MIN(1,(AB230/(AE230*IF(v01_GroupInCrowding=1,N231,MIN(J231,L231))))^v01_CrowdingExp)</x:f>
        <x:v>0.2659478837320446</x:v>
      </x:c>
      <x:c r="Q231" s="9" t="n">
        <x:f>IF(D231=1,INDEX(v01_WinterMult,G231),1)</x:f>
        <x:v>2</x:v>
      </x:c>
      <x:c r="R231" s="9" t="n">
        <x:f>H231*Z230*v01_WomenShare*v01_BaseFertility*INDEX(v01_FertMult,G231)*Arch_Fertility*(1-P231)</x:f>
        <x:v>0.19527407569737862</x:v>
      </x:c>
      <x:c r="S231" s="9" t="n">
        <x:f>H231*Y230*INDEX(v01_MortChild,G231)/4*Q231</x:f>
        <x:v>0.13028305099923085</x:v>
      </x:c>
      <x:c r="T231" s="9" t="n">
        <x:f>H231*Z230*INDEX(v01_MortAdult,G231)*Arch_AdultMort/4*Q231</x:f>
        <x:v>0.06650552166860607</x:v>
      </x:c>
      <x:c r="U231" s="9" t="n">
        <x:f>H231*AA230*INDEX(v01_MortElder,G231)/4*Q231</x:f>
        <x:v>0.11303770431823111</x:v>
      </x:c>
      <x:c r="V231" s="9" t="n">
        <x:f>H231*MAX(0,AB230-O231)*v01_OvercapLoss</x:f>
        <x:v>0</x:v>
      </x:c>
      <x:c r="W231" s="9" t="n">
        <x:f>H231*Y230/(v01_ChildYears*4)</x:f>
        <x:v>0.11632415267788468</x:v>
      </x:c>
      <x:c r="X231" s="9" t="n">
        <x:f>H231*Z230/(v01_AdultYears*4)</x:f>
        <x:v>0.07151131362215707</x:v>
      </x:c>
      <x:c r="Y231" s="32" t="n">
        <x:f>Y230+R231-S231-W231-Y230*V231/AB230</x:f>
        <x:v>6.462819421981805</x:v>
      </x:c>
      <x:c r="Z231" s="32" t="n">
        <x:f>Z230+W231-X231-T231-Z230*V231/AB230</x:f>
        <x:v>8.845710206534598</x:v>
      </x:c>
      <x:c r="AA231" s="32" t="n">
        <x:f>AA230+X231-U231-AA230*V231/AB230</x:f>
        <x:v>2.219227695668548</x:v>
      </x:c>
      <x:c r="AB231" s="10" t="n">
        <x:f>Y231+Z231+AA231</x:f>
        <x:v>17.52775732418495</x:v>
      </x:c>
      <x:c r="AC231" s="8" t="n">
        <x:f>IF(AND(v01_WinterTrigger=1,D231=1,AB230/AE230&gt;=K231),1,0)</x:f>
        <x:v>0</x:v>
      </x:c>
      <x:c r="AD231" s="8" t="n">
        <x:f>H231*IF(AND(OR(AB230/AE230&gt;=v01_FissionTrigger*N231,AC231=1),AB230/AE230*v01_DaughterShare&gt;=v01_MinDaughter),MAX(1,ROUND(AE230*v01_FissionRate,0)),0)</x:f>
        <x:v>0</x:v>
      </x:c>
      <x:c r="AE231" s="8" t="n">
        <x:f>IF(H231=1,MAX(1,MIN(INDEX(v01_Smax,G231),AE230+AD231)),AE230)</x:f>
        <x:v>1</x:v>
      </x:c>
      <x:c r="AF231" s="8" t="n">
        <x:f>MAX(0,AE231-AE230)</x:f>
        <x:v>0</x:v>
      </x:c>
      <x:c r="AG231" s="9" t="str">
        <x:f>IF(AF231&gt;0,B231,"")</x:f>
      </x:c>
      <x:c r="AH231" s="9" t="n">
        <x:f>IF(F231&gt;=1,1,(1+v01_LowTiesShare*(AE231-1))/AE231)</x:f>
        <x:v>1</x:v>
      </x:c>
      <x:c r="AI231" s="32" t="n">
        <x:f>(Z231+v01_ElderCommons*INDEX(LM_Elder,G231)*AA231)*AH231</x:f>
        <x:v>13.284165597871695</x:v>
      </x:c>
      <x:c r="AJ231" s="32" t="n">
        <x:f>H231*v01_CommonsCoef*AI231^v01_CommonsExp*INDEX(LM_Commons,G231)</x:f>
        <x:v>5.67128838389393</x:v>
      </x:c>
      <x:c r="AK231" s="32" t="n">
        <x:f>H231*v01_RoleScale*Arch_Roles*(AE231*(INDEX(v01_ElderRolePerSett,G231)*v01_OutElder*INDEX(LM_Elder,G231)+INDEX(v01_ShamanPerSett,G231)*v01_OutShaman)+Z231*(INDEX(v01_PriestShare,G231)*v01_OutPriest+INDEX(v01_ScribeShare,G231)*v01_OutScribe*INDEX(LM_Scribe,G231)+INDEX(v01_ScholarShare,G231)*v01_OutScholar*INDEX(LM_Scholar,G231)+INDEX(v01_ResearcherShare,G231)*v01_OutResearcher*INDEX(LM_Researcher,G231)))</x:f>
        <x:v>0</x:v>
      </x:c>
      <x:c r="AL231" s="32" t="n">
        <x:f>H231*v01_RoleScale*Arch_Roles*AE231*INDEX(v01_MonasteryPerSett,G231)*v01_OutMonastery*INDEX(LM_Monastery,G231)</x:f>
        <x:v>0</x:v>
      </x:c>
      <x:c r="AM231" s="32" t="n">
        <x:f>(AJ231+AK231+AL231)/4*INDEX(LM_All,G231)*INDEX(v01_Boon,G231)*Arch_Insight</x:f>
        <x:v>1.4178220959734824</x:v>
      </x:c>
      <x:c r="AN231" s="32" t="n">
        <x:f>H231*(v01_KHPerAdult*Z231+v01_KHOfCommons*AJ231/4*INDEX(LM_All,G231))*v01_KHUsable*Arch_KH</x:f>
        <x:v>0.3095998572287109</x:v>
      </x:c>
      <x:c r="AO231" s="32" t="n">
        <x:f>MIN(AP230+AN231,AM231*v01_KHMaxRatio)</x:f>
        <x:v>0.3095998572287109</x:v>
      </x:c>
      <x:c r="AP231" s="32" t="n">
        <x:f>AP230+AN231-AO231</x:f>
        <x:v>0</x:v>
      </x:c>
      <x:c r="AQ231" s="32" t="n">
        <x:f>AM231+AO231</x:f>
        <x:v>1.7274219532021933</x:v>
      </x:c>
      <x:c r="AR231" s="10" t="n">
        <x:f>IF(H231=1,INDEX(v01_Req,G231),0)</x:f>
        <x:v>372.02</x:v>
      </x:c>
      <x:c r="AS231" s="32" t="n">
        <x:f>IF(H231=1,IF(E231=1,AS230-AR230,AS230)+AQ231,0)</x:f>
        <x:v>362.5150166996014</x:v>
      </x:c>
      <x:c r="AT231" s="11" t="n">
        <x:f>IF(AR231&gt;0,MIN(1,AS231/AR231),1)</x:f>
        <x:v>0.9744503432600436</x:v>
      </x:c>
      <x:c r="AU231" s="10" t="n">
        <x:f>AB231/INDEX(v01_RepScale,G231)</x:f>
        <x:v>17.52775732418495</x:v>
      </x:c>
      <x:c r="AV231" s="32" t="n">
        <x:f>AM231*60/v01_SeasonSeconds</x:f>
        <x:v>5.67128838389393</x:v>
      </x:c>
    </x:row>
    <x:row r="232">
      <x:c r="A232" s="8" t="n">
        <x:f>A231+1</x:f>
        <x:v>229</x:v>
      </x:c>
      <x:c r="B232" s="9" t="n">
        <x:f>A232*v01_SeasonSeconds/60</x:f>
        <x:v>57.25</x:v>
      </x:c>
      <x:c r="C232" s="9" t="n">
        <x:f>A232/4</x:f>
        <x:v>57.25</x:v>
      </x:c>
      <x:c r="D232" s="8" t="n">
        <x:f>IF(MOD(A232,4)=0,1,0)</x:f>
        <x:v>0</x:v>
      </x:c>
      <x:c r="E232" s="8" t="n">
        <x:f>IF(AND(F231&lt;=9,AS231&gt;=AR231),1,0)</x:f>
        <x:v>0</x:v>
      </x:c>
      <x:c r="F232" s="8" t="n">
        <x:f>MIN(10,F231+E232)</x:f>
        <x:v>0</x:v>
      </x:c>
      <x:c r="G232" s="8" t="n">
        <x:f>MIN(F232,9)+1</x:f>
        <x:v>1</x:v>
      </x:c>
      <x:c r="H232" s="8" t="n">
        <x:f>IF(F232&lt;=9,1,0)</x:f>
        <x:v>1</x:v>
      </x:c>
      <x:c r="I232" s="9" t="n">
        <x:f>MIN(10,F231+IF(AR231&gt;0,MIN(1,AS231/AR231),1))</x:f>
        <x:v>0.9744503432600436</x:v>
      </x:c>
      <x:c r="J232" s="32" t="n">
        <x:f>INDEX(v01_FoodCap,G232)*Arch_FoodCap*EXP(v01_CapsByProject*SUMPRODUCT((Cap_Point&lt;=I232)*(Cap_Kind="Food")*Cap_Ln))</x:f>
        <x:v>22</x:v>
      </x:c>
      <x:c r="K232" s="32" t="n">
        <x:f>J232*MIN(1,v01_LeanBase*EXP(v01_CapsByProject*SUMPRODUCT((Cap_Point&lt;=I232)*(Cap_Kind="Lean")*Cap_Ln)))</x:f>
        <x:v>22</x:v>
      </x:c>
      <x:c r="L232" s="10" t="n">
        <x:f>INDEX(v01_HousingCap,G232)*EXP(v01_CapsByProject*SUMPRODUCT((Cap_Point&lt;=I232)*(Cap_Kind="Housing")*Cap_Ln))</x:f>
        <x:v>60</x:v>
      </x:c>
      <x:c r="M232" s="10" t="n">
        <x:f>INDEX(v01_GroupCap,G232)*v01_CohesionFactor*EXP(v01_CapsByProject*SUMPRODUCT((Cap_Point&lt;=I232)*(Cap_Kind="Group")*Cap_Ln))</x:f>
        <x:v>35</x:v>
      </x:c>
      <x:c r="N232" s="32" t="n">
        <x:f>MIN(J232,L232,M232)</x:f>
        <x:v>22</x:v>
      </x:c>
      <x:c r="O232" s="10" t="n">
        <x:f>AE231*N232</x:f>
        <x:v>22</x:v>
      </x:c>
      <x:c r="P232" s="9" t="n">
        <x:f>MIN(1,(AB231/(AE231*IF(v01_GroupInCrowding=1,N232,MIN(J232,L232))))^v01_CrowdingExp)</x:f>
        <x:v>0.2557537587751945</x:v>
      </x:c>
      <x:c r="Q232" s="9" t="n">
        <x:f>IF(D232=1,INDEX(v01_WinterMult,G232),1)</x:f>
        <x:v>1</x:v>
      </x:c>
      <x:c r="R232" s="9" t="n">
        <x:f>H232*Z231*v01_WomenShare*v01_BaseFertility*INDEX(v01_FertMult,G232)*Arch_Fertility*(1-P232)</x:f>
        <x:v>0.19750159716531815</x:v>
      </x:c>
      <x:c r="S232" s="9" t="n">
        <x:f>H232*Y231*INDEX(v01_MortChild,G232)/4*Q232</x:f>
        <x:v>0.06462819421981805</x:v>
      </x:c>
      <x:c r="T232" s="9" t="n">
        <x:f>H232*Z231*INDEX(v01_MortAdult,G232)*Arch_AdultMort/4*Q232</x:f>
        <x:v>0.03317141327450474</x:v>
      </x:c>
      <x:c r="U232" s="9" t="n">
        <x:f>H232*AA231*INDEX(v01_MortElder,G232)/4*Q232</x:f>
        <x:v>0.05548069239171371</x:v>
      </x:c>
      <x:c r="V232" s="9" t="n">
        <x:f>H232*MAX(0,AB231-O232)*v01_OvercapLoss</x:f>
        <x:v>0</x:v>
      </x:c>
      <x:c r="W232" s="9" t="n">
        <x:f>H232*Y231/(v01_ChildYears*4)</x:f>
        <x:v>0.11540748967824652</x:v>
      </x:c>
      <x:c r="X232" s="9" t="n">
        <x:f>H232*Z231/(v01_AdultYears*4)</x:f>
        <x:v>0.07133637263334353</x:v>
      </x:c>
      <x:c r="Y232" s="32" t="n">
        <x:f>Y231+R232-S232-W232-Y231*V232/AB231</x:f>
        <x:v>6.480285335249058</x:v>
      </x:c>
      <x:c r="Z232" s="32" t="n">
        <x:f>Z231+W232-X232-T232-Z231*V232/AB231</x:f>
        <x:v>8.856609910304995</x:v>
      </x:c>
      <x:c r="AA232" s="32" t="n">
        <x:f>AA231+X232-U232-AA231*V232/AB231</x:f>
        <x:v>2.235083375910178</x:v>
      </x:c>
      <x:c r="AB232" s="10" t="n">
        <x:f>Y232+Z232+AA232</x:f>
        <x:v>17.571978621464233</x:v>
      </x:c>
      <x:c r="AC232" s="8" t="n">
        <x:f>IF(AND(v01_WinterTrigger=1,D232=1,AB231/AE231&gt;=K232),1,0)</x:f>
        <x:v>0</x:v>
      </x:c>
      <x:c r="AD232" s="8" t="n">
        <x:f>H232*IF(AND(OR(AB231/AE231&gt;=v01_FissionTrigger*N232,AC232=1),AB231/AE231*v01_DaughterShare&gt;=v01_MinDaughter),MAX(1,ROUND(AE231*v01_FissionRate,0)),0)</x:f>
        <x:v>0</x:v>
      </x:c>
      <x:c r="AE232" s="8" t="n">
        <x:f>IF(H232=1,MAX(1,MIN(INDEX(v01_Smax,G232),AE231+AD232)),AE231)</x:f>
        <x:v>1</x:v>
      </x:c>
      <x:c r="AF232" s="8" t="n">
        <x:f>MAX(0,AE232-AE231)</x:f>
        <x:v>0</x:v>
      </x:c>
      <x:c r="AG232" s="9" t="str">
        <x:f>IF(AF232&gt;0,B232,"")</x:f>
      </x:c>
      <x:c r="AH232" s="9" t="n">
        <x:f>IF(F232&gt;=1,1,(1+v01_LowTiesShare*(AE232-1))/AE232)</x:f>
        <x:v>1</x:v>
      </x:c>
      <x:c r="AI232" s="32" t="n">
        <x:f>(Z232+v01_ElderCommons*INDEX(LM_Elder,G232)*AA232)*AH232</x:f>
        <x:v>13.32677666212535</x:v>
      </x:c>
      <x:c r="AJ232" s="32" t="n">
        <x:f>H232*v01_CommonsCoef*AI232^v01_CommonsExp*INDEX(LM_Commons,G232)</x:f>
        <x:v>5.686747490547291</x:v>
      </x:c>
      <x:c r="AK232" s="32" t="n">
        <x:f>H232*v01_RoleScale*Arch_Roles*(AE232*(INDEX(v01_ElderRolePerSett,G232)*v01_OutElder*INDEX(LM_Elder,G232)+INDEX(v01_ShamanPerSett,G232)*v01_OutShaman)+Z232*(INDEX(v01_PriestShare,G232)*v01_OutPriest+INDEX(v01_ScribeShare,G232)*v01_OutScribe*INDEX(LM_Scribe,G232)+INDEX(v01_ScholarShare,G232)*v01_OutScholar*INDEX(LM_Scholar,G232)+INDEX(v01_ResearcherShare,G232)*v01_OutResearcher*INDEX(LM_Researcher,G232)))</x:f>
        <x:v>0</x:v>
      </x:c>
      <x:c r="AL232" s="32" t="n">
        <x:f>H232*v01_RoleScale*Arch_Roles*AE232*INDEX(v01_MonasteryPerSett,G232)*v01_OutMonastery*INDEX(LM_Monastery,G232)</x:f>
        <x:v>0</x:v>
      </x:c>
      <x:c r="AM232" s="32" t="n">
        <x:f>(AJ232+AK232+AL232)/4*INDEX(LM_All,G232)*INDEX(v01_Boon,G232)*Arch_Insight</x:f>
        <x:v>1.4216868726368228</x:v>
      </x:c>
      <x:c r="AN232" s="32" t="n">
        <x:f>H232*(v01_KHPerAdult*Z232+v01_KHOfCommons*AJ232/4*INDEX(LM_All,G232))*v01_KHUsable*Arch_KH</x:f>
        <x:v>0.3099813468606748</x:v>
      </x:c>
      <x:c r="AO232" s="32" t="n">
        <x:f>MIN(AP231+AN232,AM232*v01_KHMaxRatio)</x:f>
        <x:v>0.3099813468606748</x:v>
      </x:c>
      <x:c r="AP232" s="32" t="n">
        <x:f>AP231+AN232-AO232</x:f>
        <x:v>0</x:v>
      </x:c>
      <x:c r="AQ232" s="32" t="n">
        <x:f>AM232+AO232</x:f>
        <x:v>1.7316682194974975</x:v>
      </x:c>
      <x:c r="AR232" s="10" t="n">
        <x:f>IF(H232=1,INDEX(v01_Req,G232),0)</x:f>
        <x:v>372.02</x:v>
      </x:c>
      <x:c r="AS232" s="32" t="n">
        <x:f>IF(H232=1,IF(E232=1,AS231-AR231,AS231)+AQ232,0)</x:f>
        <x:v>364.2466849190989</x:v>
      </x:c>
      <x:c r="AT232" s="11" t="n">
        <x:f>IF(AR232&gt;0,MIN(1,AS232/AR232),1)</x:f>
        <x:v>0.9791051150989166</x:v>
      </x:c>
      <x:c r="AU232" s="10" t="n">
        <x:f>AB232/INDEX(v01_RepScale,G232)</x:f>
        <x:v>17.571978621464233</x:v>
      </x:c>
      <x:c r="AV232" s="32" t="n">
        <x:f>AM232*60/v01_SeasonSeconds</x:f>
        <x:v>5.686747490547291</x:v>
      </x:c>
    </x:row>
    <x:row r="233">
      <x:c r="A233" s="8" t="n">
        <x:f>A232+1</x:f>
        <x:v>230</x:v>
      </x:c>
      <x:c r="B233" s="9" t="n">
        <x:f>A233*v01_SeasonSeconds/60</x:f>
        <x:v>57.5</x:v>
      </x:c>
      <x:c r="C233" s="9" t="n">
        <x:f>A233/4</x:f>
        <x:v>57.5</x:v>
      </x:c>
      <x:c r="D233" s="8" t="n">
        <x:f>IF(MOD(A233,4)=0,1,0)</x:f>
        <x:v>0</x:v>
      </x:c>
      <x:c r="E233" s="8" t="n">
        <x:f>IF(AND(F232&lt;=9,AS232&gt;=AR232),1,0)</x:f>
        <x:v>0</x:v>
      </x:c>
      <x:c r="F233" s="8" t="n">
        <x:f>MIN(10,F232+E233)</x:f>
        <x:v>0</x:v>
      </x:c>
      <x:c r="G233" s="8" t="n">
        <x:f>MIN(F233,9)+1</x:f>
        <x:v>1</x:v>
      </x:c>
      <x:c r="H233" s="8" t="n">
        <x:f>IF(F233&lt;=9,1,0)</x:f>
        <x:v>1</x:v>
      </x:c>
      <x:c r="I233" s="9" t="n">
        <x:f>MIN(10,F232+IF(AR232&gt;0,MIN(1,AS232/AR232),1))</x:f>
        <x:v>0.9791051150989166</x:v>
      </x:c>
      <x:c r="J233" s="32" t="n">
        <x:f>INDEX(v01_FoodCap,G233)*Arch_FoodCap*EXP(v01_CapsByProject*SUMPRODUCT((Cap_Point&lt;=I233)*(Cap_Kind="Food")*Cap_Ln))</x:f>
        <x:v>22</x:v>
      </x:c>
      <x:c r="K233" s="32" t="n">
        <x:f>J233*MIN(1,v01_LeanBase*EXP(v01_CapsByProject*SUMPRODUCT((Cap_Point&lt;=I233)*(Cap_Kind="Lean")*Cap_Ln)))</x:f>
        <x:v>22</x:v>
      </x:c>
      <x:c r="L233" s="10" t="n">
        <x:f>INDEX(v01_HousingCap,G233)*EXP(v01_CapsByProject*SUMPRODUCT((Cap_Point&lt;=I233)*(Cap_Kind="Housing")*Cap_Ln))</x:f>
        <x:v>60</x:v>
      </x:c>
      <x:c r="M233" s="10" t="n">
        <x:f>INDEX(v01_GroupCap,G233)*v01_CohesionFactor*EXP(v01_CapsByProject*SUMPRODUCT((Cap_Point&lt;=I233)*(Cap_Kind="Group")*Cap_Ln))</x:f>
        <x:v>35</x:v>
      </x:c>
      <x:c r="N233" s="32" t="n">
        <x:f>MIN(J233,L233,M233)</x:f>
        <x:v>22</x:v>
      </x:c>
      <x:c r="O233" s="10" t="n">
        <x:f>AE232*N233</x:f>
        <x:v>22</x:v>
      </x:c>
      <x:c r="P233" s="9" t="n">
        <x:f>MIN(1,(AB232/(AE232*IF(v01_GroupInCrowding=1,N233,MIN(J233,L233))))^v01_CrowdingExp)</x:f>
        <x:v>0.2596497521559466</x:v>
      </x:c>
      <x:c r="Q233" s="9" t="n">
        <x:f>IF(D233=1,INDEX(v01_WinterMult,G233),1)</x:f>
        <x:v>1</x:v>
      </x:c>
      <x:c r="R233" s="9" t="n">
        <x:f>H233*Z232*v01_WomenShare*v01_BaseFertility*INDEX(v01_FertMult,G233)*Arch_Fertility*(1-P233)</x:f>
        <x:v>0.19670980026457205</x:v>
      </x:c>
      <x:c r="S233" s="9" t="n">
        <x:f>H233*Y232*INDEX(v01_MortChild,G233)/4*Q233</x:f>
        <x:v>0.06480285335249059</x:v>
      </x:c>
      <x:c r="T233" s="9" t="n">
        <x:f>H233*Z232*INDEX(v01_MortAdult,G233)*Arch_AdultMort/4*Q233</x:f>
        <x:v>0.03321228716364373</x:v>
      </x:c>
      <x:c r="U233" s="9" t="n">
        <x:f>H233*AA232*INDEX(v01_MortElder,G233)/4*Q233</x:f>
        <x:v>0.055877084397754455</x:v>
      </x:c>
      <x:c r="V233" s="9" t="n">
        <x:f>H233*MAX(0,AB232-O233)*v01_OvercapLoss</x:f>
        <x:v>0</x:v>
      </x:c>
      <x:c r="W233" s="9" t="n">
        <x:f>H233*Y232/(v01_ChildYears*4)</x:f>
        <x:v>0.11571938098659032</x:v>
      </x:c>
      <x:c r="X233" s="9" t="n">
        <x:f>H233*Z232/(v01_AdultYears*4)</x:f>
        <x:v>0.07142427347020157</x:v>
      </x:c>
      <x:c r="Y233" s="32" t="n">
        <x:f>Y232+R233-S233-W233-Y232*V233/AB232</x:f>
        <x:v>6.49647290117455</x:v>
      </x:c>
      <x:c r="Z233" s="32" t="n">
        <x:f>Z232+W233-X233-T233-Z232*V233/AB232</x:f>
        <x:v>8.86769273065774</x:v>
      </x:c>
      <x:c r="AA233" s="32" t="n">
        <x:f>AA232+X233-U233-AA232*V233/AB232</x:f>
        <x:v>2.2506305649826253</x:v>
      </x:c>
      <x:c r="AB233" s="10" t="n">
        <x:f>Y233+Z233+AA233</x:f>
        <x:v>17.614796196814915</x:v>
      </x:c>
      <x:c r="AC233" s="8" t="n">
        <x:f>IF(AND(v01_WinterTrigger=1,D233=1,AB232/AE232&gt;=K233),1,0)</x:f>
        <x:v>0</x:v>
      </x:c>
      <x:c r="AD233" s="8" t="n">
        <x:f>H233*IF(AND(OR(AB232/AE232&gt;=v01_FissionTrigger*N233,AC233=1),AB232/AE232*v01_DaughterShare&gt;=v01_MinDaughter),MAX(1,ROUND(AE232*v01_FissionRate,0)),0)</x:f>
        <x:v>0</x:v>
      </x:c>
      <x:c r="AE233" s="8" t="n">
        <x:f>IF(H233=1,MAX(1,MIN(INDEX(v01_Smax,G233),AE232+AD233)),AE232)</x:f>
        <x:v>1</x:v>
      </x:c>
      <x:c r="AF233" s="8" t="n">
        <x:f>MAX(0,AE233-AE232)</x:f>
        <x:v>0</x:v>
      </x:c>
      <x:c r="AG233" s="9" t="str">
        <x:f>IF(AF233&gt;0,B233,"")</x:f>
      </x:c>
      <x:c r="AH233" s="9" t="n">
        <x:f>IF(F233&gt;=1,1,(1+v01_LowTiesShare*(AE233-1))/AE233)</x:f>
        <x:v>1</x:v>
      </x:c>
      <x:c r="AI233" s="32" t="n">
        <x:f>(Z233+v01_ElderCommons*INDEX(LM_Elder,G233)*AA233)*AH233</x:f>
        <x:v>13.368953860622991</x:v>
      </x:c>
      <x:c r="AJ233" s="32" t="n">
        <x:f>H233*v01_CommonsCoef*AI233^v01_CommonsExp*INDEX(LM_Commons,G233)</x:f>
        <x:v>5.702041892767262</x:v>
      </x:c>
      <x:c r="AK233" s="32" t="n">
        <x:f>H233*v01_RoleScale*Arch_Roles*(AE233*(INDEX(v01_ElderRolePerSett,G233)*v01_OutElder*INDEX(LM_Elder,G233)+INDEX(v01_ShamanPerSett,G233)*v01_OutShaman)+Z233*(INDEX(v01_PriestShare,G233)*v01_OutPriest+INDEX(v01_ScribeShare,G233)*v01_OutScribe*INDEX(LM_Scribe,G233)+INDEX(v01_ScholarShare,G233)*v01_OutScholar*INDEX(LM_Scholar,G233)+INDEX(v01_ResearcherShare,G233)*v01_OutResearcher*INDEX(LM_Researcher,G233)))</x:f>
        <x:v>0</x:v>
      </x:c>
      <x:c r="AL233" s="32" t="n">
        <x:f>H233*v01_RoleScale*Arch_Roles*AE233*INDEX(v01_MonasteryPerSett,G233)*v01_OutMonastery*INDEX(LM_Monastery,G233)</x:f>
        <x:v>0</x:v>
      </x:c>
      <x:c r="AM233" s="32" t="n">
        <x:f>(AJ233+AK233+AL233)/4*INDEX(LM_All,G233)*INDEX(v01_Boon,G233)*Arch_Insight</x:f>
        <x:v>1.4255104731918156</x:v>
      </x:c>
      <x:c r="AN233" s="32" t="n">
        <x:f>H233*(v01_KHPerAdult*Z233+v01_KHOfCommons*AJ233/4*INDEX(LM_All,G233))*v01_KHUsable*Arch_KH</x:f>
        <x:v>0.3103692455730209</x:v>
      </x:c>
      <x:c r="AO233" s="32" t="n">
        <x:f>MIN(AP232+AN233,AM233*v01_KHMaxRatio)</x:f>
        <x:v>0.3103692455730209</x:v>
      </x:c>
      <x:c r="AP233" s="32" t="n">
        <x:f>AP232+AN233-AO233</x:f>
        <x:v>0</x:v>
      </x:c>
      <x:c r="AQ233" s="32" t="n">
        <x:f>AM233+AO233</x:f>
        <x:v>1.7358797187648365</x:v>
      </x:c>
      <x:c r="AR233" s="10" t="n">
        <x:f>IF(H233=1,INDEX(v01_Req,G233),0)</x:f>
        <x:v>372.02</x:v>
      </x:c>
      <x:c r="AS233" s="32" t="n">
        <x:f>IF(H233=1,IF(E233=1,AS232-AR232,AS232)+AQ233,0)</x:f>
        <x:v>365.9825646378638</x:v>
      </x:c>
      <x:c r="AT233" s="11" t="n">
        <x:f>IF(AR233&gt;0,MIN(1,AS233/AR233),1)</x:f>
        <x:v>0.9837712075637434</x:v>
      </x:c>
      <x:c r="AU233" s="10" t="n">
        <x:f>AB233/INDEX(v01_RepScale,G233)</x:f>
        <x:v>17.614796196814915</x:v>
      </x:c>
      <x:c r="AV233" s="32" t="n">
        <x:f>AM233*60/v01_SeasonSeconds</x:f>
        <x:v>5.702041892767263</x:v>
      </x:c>
    </x:row>
    <x:row r="234">
      <x:c r="A234" s="8" t="n">
        <x:f>A233+1</x:f>
        <x:v>231</x:v>
      </x:c>
      <x:c r="B234" s="9" t="n">
        <x:f>A234*v01_SeasonSeconds/60</x:f>
        <x:v>57.75</x:v>
      </x:c>
      <x:c r="C234" s="9" t="n">
        <x:f>A234/4</x:f>
        <x:v>57.75</x:v>
      </x:c>
      <x:c r="D234" s="8" t="n">
        <x:f>IF(MOD(A234,4)=0,1,0)</x:f>
        <x:v>0</x:v>
      </x:c>
      <x:c r="E234" s="8" t="n">
        <x:f>IF(AND(F233&lt;=9,AS233&gt;=AR233),1,0)</x:f>
        <x:v>0</x:v>
      </x:c>
      <x:c r="F234" s="8" t="n">
        <x:f>MIN(10,F233+E234)</x:f>
        <x:v>0</x:v>
      </x:c>
      <x:c r="G234" s="8" t="n">
        <x:f>MIN(F234,9)+1</x:f>
        <x:v>1</x:v>
      </x:c>
      <x:c r="H234" s="8" t="n">
        <x:f>IF(F234&lt;=9,1,0)</x:f>
        <x:v>1</x:v>
      </x:c>
      <x:c r="I234" s="9" t="n">
        <x:f>MIN(10,F233+IF(AR233&gt;0,MIN(1,AS233/AR233),1))</x:f>
        <x:v>0.9837712075637434</x:v>
      </x:c>
      <x:c r="J234" s="32" t="n">
        <x:f>INDEX(v01_FoodCap,G234)*Arch_FoodCap*EXP(v01_CapsByProject*SUMPRODUCT((Cap_Point&lt;=I234)*(Cap_Kind="Food")*Cap_Ln))</x:f>
        <x:v>22</x:v>
      </x:c>
      <x:c r="K234" s="32" t="n">
        <x:f>J234*MIN(1,v01_LeanBase*EXP(v01_CapsByProject*SUMPRODUCT((Cap_Point&lt;=I234)*(Cap_Kind="Lean")*Cap_Ln)))</x:f>
        <x:v>22</x:v>
      </x:c>
      <x:c r="L234" s="10" t="n">
        <x:f>INDEX(v01_HousingCap,G234)*EXP(v01_CapsByProject*SUMPRODUCT((Cap_Point&lt;=I234)*(Cap_Kind="Housing")*Cap_Ln))</x:f>
        <x:v>60</x:v>
      </x:c>
      <x:c r="M234" s="10" t="n">
        <x:f>INDEX(v01_GroupCap,G234)*v01_CohesionFactor*EXP(v01_CapsByProject*SUMPRODUCT((Cap_Point&lt;=I234)*(Cap_Kind="Group")*Cap_Ln))</x:f>
        <x:v>35</x:v>
      </x:c>
      <x:c r="N234" s="32" t="n">
        <x:f>MIN(J234,L234,M234)</x:f>
        <x:v>22</x:v>
      </x:c>
      <x:c r="O234" s="10" t="n">
        <x:f>AE233*N234</x:f>
        <x:v>22</x:v>
      </x:c>
      <x:c r="P234" s="9" t="n">
        <x:f>MIN(1,(AB233/(AE233*IF(v01_GroupInCrowding=1,N234,MIN(J234,L234))))^v01_CrowdingExp)</x:f>
        <x:v>0.2634690779851911</x:v>
      </x:c>
      <x:c r="Q234" s="9" t="n">
        <x:f>IF(D234=1,INDEX(v01_WinterMult,G234),1)</x:f>
        <x:v>1</x:v>
      </x:c>
      <x:c r="R234" s="9" t="n">
        <x:f>H234*Z233*v01_WomenShare*v01_BaseFertility*INDEX(v01_FertMult,G234)*Arch_Fertility*(1-P234)</x:f>
        <x:v>0.19593989709166093</x:v>
      </x:c>
      <x:c r="S234" s="9" t="n">
        <x:f>H234*Y233*INDEX(v01_MortChild,G234)/4*Q234</x:f>
        <x:v>0.0649647290117455</x:v>
      </x:c>
      <x:c r="T234" s="9" t="n">
        <x:f>H234*Z233*INDEX(v01_MortAdult,G234)*Arch_AdultMort/4*Q234</x:f>
        <x:v>0.03325384773996653</x:v>
      </x:c>
      <x:c r="U234" s="9" t="n">
        <x:f>H234*AA233*INDEX(v01_MortElder,G234)/4*Q234</x:f>
        <x:v>0.05626576412456563</x:v>
      </x:c>
      <x:c r="V234" s="9" t="n">
        <x:f>H234*MAX(0,AB233-O234)*v01_OvercapLoss</x:f>
        <x:v>0</x:v>
      </x:c>
      <x:c r="W234" s="9" t="n">
        <x:f>H234*Y233/(v01_ChildYears*4)</x:f>
        <x:v>0.11600844466383124</x:v>
      </x:c>
      <x:c r="X234" s="9" t="n">
        <x:f>H234*Z233/(v01_AdultYears*4)</x:f>
        <x:v>0.07151365105369145</x:v>
      </x:c>
      <x:c r="Y234" s="32" t="n">
        <x:f>Y233+R234-S234-W234-Y233*V234/AB233</x:f>
        <x:v>6.511439624590634</x:v>
      </x:c>
      <x:c r="Z234" s="32" t="n">
        <x:f>Z233+W234-X234-T234-Z233*V234/AB233</x:f>
        <x:v>8.878933676527913</x:v>
      </x:c>
      <x:c r="AA234" s="32" t="n">
        <x:f>AA233+X234-U234-AA233*V234/AB233</x:f>
        <x:v>2.265878451911751</x:v>
      </x:c>
      <x:c r="AB234" s="10" t="n">
        <x:f>Y234+Z234+AA234</x:f>
        <x:v>17.656251753030297</x:v>
      </x:c>
      <x:c r="AC234" s="8" t="n">
        <x:f>IF(AND(v01_WinterTrigger=1,D234=1,AB233/AE233&gt;=K234),1,0)</x:f>
        <x:v>0</x:v>
      </x:c>
      <x:c r="AD234" s="8" t="n">
        <x:f>H234*IF(AND(OR(AB233/AE233&gt;=v01_FissionTrigger*N234,AC234=1),AB233/AE233*v01_DaughterShare&gt;=v01_MinDaughter),MAX(1,ROUND(AE233*v01_FissionRate,0)),0)</x:f>
        <x:v>0</x:v>
      </x:c>
      <x:c r="AE234" s="8" t="n">
        <x:f>IF(H234=1,MAX(1,MIN(INDEX(v01_Smax,G234),AE233+AD234)),AE233)</x:f>
        <x:v>1</x:v>
      </x:c>
      <x:c r="AF234" s="8" t="n">
        <x:f>MAX(0,AE234-AE233)</x:f>
        <x:v>0</x:v>
      </x:c>
      <x:c r="AG234" s="9" t="str">
        <x:f>IF(AF234&gt;0,B234,"")</x:f>
      </x:c>
      <x:c r="AH234" s="9" t="n">
        <x:f>IF(F234&gt;=1,1,(1+v01_LowTiesShare*(AE234-1))/AE234)</x:f>
        <x:v>1</x:v>
      </x:c>
      <x:c r="AI234" s="32" t="n">
        <x:f>(Z234+v01_ElderCommons*INDEX(LM_Elder,G234)*AA234)*AH234</x:f>
        <x:v>13.410690580351414</x:v>
      </x:c>
      <x:c r="AJ234" s="32" t="n">
        <x:f>H234*v01_CommonsCoef*AI234^v01_CommonsExp*INDEX(LM_Commons,G234)</x:f>
        <x:v>5.717169444275416</x:v>
      </x:c>
      <x:c r="AK234" s="32" t="n">
        <x:f>H234*v01_RoleScale*Arch_Roles*(AE234*(INDEX(v01_ElderRolePerSett,G234)*v01_OutElder*INDEX(LM_Elder,G234)+INDEX(v01_ShamanPerSett,G234)*v01_OutShaman)+Z234*(INDEX(v01_PriestShare,G234)*v01_OutPriest+INDEX(v01_ScribeShare,G234)*v01_OutScribe*INDEX(LM_Scribe,G234)+INDEX(v01_ScholarShare,G234)*v01_OutScholar*INDEX(LM_Scholar,G234)+INDEX(v01_ResearcherShare,G234)*v01_OutResearcher*INDEX(LM_Researcher,G234)))</x:f>
        <x:v>0</x:v>
      </x:c>
      <x:c r="AL234" s="32" t="n">
        <x:f>H234*v01_RoleScale*Arch_Roles*AE234*INDEX(v01_MonasteryPerSett,G234)*v01_OutMonastery*INDEX(LM_Monastery,G234)</x:f>
        <x:v>0</x:v>
      </x:c>
      <x:c r="AM234" s="32" t="n">
        <x:f>(AJ234+AK234+AL234)/4*INDEX(LM_All,G234)*INDEX(v01_Boon,G234)*Arch_Insight</x:f>
        <x:v>1.429292361068854</x:v>
      </x:c>
      <x:c r="AN234" s="32" t="n">
        <x:f>H234*(v01_KHPerAdult*Z234+v01_KHOfCommons*AJ234/4*INDEX(LM_All,G234))*v01_KHUsable*Arch_KH</x:f>
        <x:v>0.31076267867847696</x:v>
      </x:c>
      <x:c r="AO234" s="32" t="n">
        <x:f>MIN(AP233+AN234,AM234*v01_KHMaxRatio)</x:f>
        <x:v>0.31076267867847696</x:v>
      </x:c>
      <x:c r="AP234" s="32" t="n">
        <x:f>AP233+AN234-AO234</x:f>
        <x:v>0</x:v>
      </x:c>
      <x:c r="AQ234" s="32" t="n">
        <x:f>AM234+AO234</x:f>
        <x:v>1.740055039747331</x:v>
      </x:c>
      <x:c r="AR234" s="10" t="n">
        <x:f>IF(H234=1,INDEX(v01_Req,G234),0)</x:f>
        <x:v>372.02</x:v>
      </x:c>
      <x:c r="AS234" s="32" t="n">
        <x:f>IF(H234=1,IF(E234=1,AS233-AR233,AS233)+AQ234,0)</x:f>
        <x:v>367.72261967761114</x:v>
      </x:c>
      <x:c r="AT234" s="11" t="n">
        <x:f>IF(AR234&gt;0,MIN(1,AS234/AR234),1)</x:f>
        <x:v>0.9884485234062984</x:v>
      </x:c>
      <x:c r="AU234" s="10" t="n">
        <x:f>AB234/INDEX(v01_RepScale,G234)</x:f>
        <x:v>17.656251753030297</x:v>
      </x:c>
      <x:c r="AV234" s="32" t="n">
        <x:f>AM234*60/v01_SeasonSeconds</x:f>
        <x:v>5.717169444275416</x:v>
      </x:c>
    </x:row>
    <x:row r="235">
      <x:c r="A235" s="8" t="n">
        <x:f>A234+1</x:f>
        <x:v>232</x:v>
      </x:c>
      <x:c r="B235" s="9" t="n">
        <x:f>A235*v01_SeasonSeconds/60</x:f>
        <x:v>58</x:v>
      </x:c>
      <x:c r="C235" s="9" t="n">
        <x:f>A235/4</x:f>
        <x:v>58</x:v>
      </x:c>
      <x:c r="D235" s="8" t="n">
        <x:f>IF(MOD(A235,4)=0,1,0)</x:f>
        <x:v>1</x:v>
      </x:c>
      <x:c r="E235" s="8" t="n">
        <x:f>IF(AND(F234&lt;=9,AS234&gt;=AR234),1,0)</x:f>
        <x:v>0</x:v>
      </x:c>
      <x:c r="F235" s="8" t="n">
        <x:f>MIN(10,F234+E235)</x:f>
        <x:v>0</x:v>
      </x:c>
      <x:c r="G235" s="8" t="n">
        <x:f>MIN(F235,9)+1</x:f>
        <x:v>1</x:v>
      </x:c>
      <x:c r="H235" s="8" t="n">
        <x:f>IF(F235&lt;=9,1,0)</x:f>
        <x:v>1</x:v>
      </x:c>
      <x:c r="I235" s="9" t="n">
        <x:f>MIN(10,F234+IF(AR234&gt;0,MIN(1,AS234/AR234),1))</x:f>
        <x:v>0.9884485234062984</x:v>
      </x:c>
      <x:c r="J235" s="32" t="n">
        <x:f>INDEX(v01_FoodCap,G235)*Arch_FoodCap*EXP(v01_CapsByProject*SUMPRODUCT((Cap_Point&lt;=I235)*(Cap_Kind="Food")*Cap_Ln))</x:f>
        <x:v>22</x:v>
      </x:c>
      <x:c r="K235" s="32" t="n">
        <x:f>J235*MIN(1,v01_LeanBase*EXP(v01_CapsByProject*SUMPRODUCT((Cap_Point&lt;=I235)*(Cap_Kind="Lean")*Cap_Ln)))</x:f>
        <x:v>22</x:v>
      </x:c>
      <x:c r="L235" s="10" t="n">
        <x:f>INDEX(v01_HousingCap,G235)*EXP(v01_CapsByProject*SUMPRODUCT((Cap_Point&lt;=I235)*(Cap_Kind="Housing")*Cap_Ln))</x:f>
        <x:v>60</x:v>
      </x:c>
      <x:c r="M235" s="10" t="n">
        <x:f>INDEX(v01_GroupCap,G235)*v01_CohesionFactor*EXP(v01_CapsByProject*SUMPRODUCT((Cap_Point&lt;=I235)*(Cap_Kind="Group")*Cap_Ln))</x:f>
        <x:v>35</x:v>
      </x:c>
      <x:c r="N235" s="32" t="n">
        <x:f>MIN(J235,L235,M235)</x:f>
        <x:v>22</x:v>
      </x:c>
      <x:c r="O235" s="10" t="n">
        <x:f>AE234*N235</x:f>
        <x:v>22</x:v>
      </x:c>
      <x:c r="P235" s="9" t="n">
        <x:f>MIN(1,(AB234/(AE234*IF(v01_GroupInCrowding=1,N235,MIN(J235,L235))))^v01_CrowdingExp)</x:f>
        <x:v>0.26721140513299496</x:v>
      </x:c>
      <x:c r="Q235" s="9" t="n">
        <x:f>IF(D235=1,INDEX(v01_WinterMult,G235),1)</x:f>
        <x:v>2</x:v>
      </x:c>
      <x:c r="R235" s="9" t="n">
        <x:f>H235*Z234*v01_WomenShare*v01_BaseFertility*INDEX(v01_FertMult,G235)*Arch_Fertility*(1-P235)</x:f>
        <x:v>0.19519143998220662</x:v>
      </x:c>
      <x:c r="S235" s="9" t="n">
        <x:f>H235*Y234*INDEX(v01_MortChild,G235)/4*Q235</x:f>
        <x:v>0.13022879249181268</x:v>
      </x:c>
      <x:c r="T235" s="9" t="n">
        <x:f>H235*Z234*INDEX(v01_MortAdult,G235)*Arch_AdultMort/4*Q235</x:f>
        <x:v>0.06659200257395935</x:v>
      </x:c>
      <x:c r="U235" s="9" t="n">
        <x:f>H235*AA234*INDEX(v01_MortElder,G235)/4*Q235</x:f>
        <x:v>0.11329392259558756</x:v>
      </x:c>
      <x:c r="V235" s="9" t="n">
        <x:f>H235*MAX(0,AB234-O235)*v01_OvercapLoss</x:f>
        <x:v>0</x:v>
      </x:c>
      <x:c r="W235" s="9" t="n">
        <x:f>H235*Y234/(v01_ChildYears*4)</x:f>
        <x:v>0.1162757075819756</x:v>
      </x:c>
      <x:c r="X235" s="9" t="n">
        <x:f>H235*Z234/(v01_AdultYears*4)</x:f>
        <x:v>0.07160430384296704</x:v>
      </x:c>
      <x:c r="Y235" s="32" t="n">
        <x:f>Y234+R235-S235-W235-Y234*V235/AB234</x:f>
        <x:v>6.460126564499052</x:v>
      </x:c>
      <x:c r="Z235" s="32" t="n">
        <x:f>Z234+W235-X235-T235-Z234*V235/AB234</x:f>
        <x:v>8.857013077692962</x:v>
      </x:c>
      <x:c r="AA235" s="32" t="n">
        <x:f>AA234+X235-U235-AA234*V235/AB234</x:f>
        <x:v>2.2241888331591304</x:v>
      </x:c>
      <x:c r="AB235" s="10" t="n">
        <x:f>Y235+Z235+AA235</x:f>
        <x:v>17.541328475351143</x:v>
      </x:c>
      <x:c r="AC235" s="8" t="n">
        <x:f>IF(AND(v01_WinterTrigger=1,D235=1,AB234/AE234&gt;=K235),1,0)</x:f>
        <x:v>0</x:v>
      </x:c>
      <x:c r="AD235" s="8" t="n">
        <x:f>H235*IF(AND(OR(AB234/AE234&gt;=v01_FissionTrigger*N235,AC235=1),AB234/AE234*v01_DaughterShare&gt;=v01_MinDaughter),MAX(1,ROUND(AE234*v01_FissionRate,0)),0)</x:f>
        <x:v>0</x:v>
      </x:c>
      <x:c r="AE235" s="8" t="n">
        <x:f>IF(H235=1,MAX(1,MIN(INDEX(v01_Smax,G235),AE234+AD235)),AE234)</x:f>
        <x:v>1</x:v>
      </x:c>
      <x:c r="AF235" s="8" t="n">
        <x:f>MAX(0,AE235-AE234)</x:f>
        <x:v>0</x:v>
      </x:c>
      <x:c r="AG235" s="9" t="str">
        <x:f>IF(AF235&gt;0,B235,"")</x:f>
      </x:c>
      <x:c r="AH235" s="9" t="n">
        <x:f>IF(F235&gt;=1,1,(1+v01_LowTiesShare*(AE235-1))/AE235)</x:f>
        <x:v>1</x:v>
      </x:c>
      <x:c r="AI235" s="32" t="n">
        <x:f>(Z235+v01_ElderCommons*INDEX(LM_Elder,G235)*AA235)*AH235</x:f>
        <x:v>13.305390744011223</x:v>
      </x:c>
      <x:c r="AJ235" s="32" t="n">
        <x:f>H235*v01_CommonsCoef*AI235^v01_CommonsExp*INDEX(LM_Commons,G235)</x:f>
        <x:v>5.678989701804843</x:v>
      </x:c>
      <x:c r="AK235" s="32" t="n">
        <x:f>H235*v01_RoleScale*Arch_Roles*(AE235*(INDEX(v01_ElderRolePerSett,G235)*v01_OutElder*INDEX(LM_Elder,G235)+INDEX(v01_ShamanPerSett,G235)*v01_OutShaman)+Z235*(INDEX(v01_PriestShare,G235)*v01_OutPriest+INDEX(v01_ScribeShare,G235)*v01_OutScribe*INDEX(LM_Scribe,G235)+INDEX(v01_ScholarShare,G235)*v01_OutScholar*INDEX(LM_Scholar,G235)+INDEX(v01_ResearcherShare,G235)*v01_OutResearcher*INDEX(LM_Researcher,G235)))</x:f>
        <x:v>0</x:v>
      </x:c>
      <x:c r="AL235" s="32" t="n">
        <x:f>H235*v01_RoleScale*Arch_Roles*AE235*INDEX(v01_MonasteryPerSett,G235)*v01_OutMonastery*INDEX(LM_Monastery,G235)</x:f>
        <x:v>0</x:v>
      </x:c>
      <x:c r="AM235" s="32" t="n">
        <x:f>(AJ235+AK235+AL235)/4*INDEX(LM_All,G235)*INDEX(v01_Boon,G235)*Arch_Insight</x:f>
        <x:v>1.4197474254512108</x:v>
      </x:c>
      <x:c r="AN235" s="32" t="n">
        <x:f>H235*(v01_KHPerAdult*Z235+v01_KHOfCommons*AJ235/4*INDEX(LM_All,G235))*v01_KHUsable*Arch_KH</x:f>
        <x:v>0.3099954577192537</x:v>
      </x:c>
      <x:c r="AO235" s="32" t="n">
        <x:f>MIN(AP234+AN235,AM235*v01_KHMaxRatio)</x:f>
        <x:v>0.3099954577192537</x:v>
      </x:c>
      <x:c r="AP235" s="32" t="n">
        <x:f>AP234+AN235-AO235</x:f>
        <x:v>0</x:v>
      </x:c>
      <x:c r="AQ235" s="32" t="n">
        <x:f>AM235+AO235</x:f>
        <x:v>1.7297428831704644</x:v>
      </x:c>
      <x:c r="AR235" s="10" t="n">
        <x:f>IF(H235=1,INDEX(v01_Req,G235),0)</x:f>
        <x:v>372.02</x:v>
      </x:c>
      <x:c r="AS235" s="32" t="n">
        <x:f>IF(H235=1,IF(E235=1,AS234-AR234,AS234)+AQ235,0)</x:f>
        <x:v>369.4523625607816</x:v>
      </x:c>
      <x:c r="AT235" s="11" t="n">
        <x:f>IF(AR235&gt;0,MIN(1,AS235/AR235),1)</x:f>
        <x:v>0.9930981198881286</x:v>
      </x:c>
      <x:c r="AU235" s="10" t="n">
        <x:f>AB235/INDEX(v01_RepScale,G235)</x:f>
        <x:v>17.541328475351143</x:v>
      </x:c>
      <x:c r="AV235" s="32" t="n">
        <x:f>AM235*60/v01_SeasonSeconds</x:f>
        <x:v>5.678989701804843</x:v>
      </x:c>
    </x:row>
    <x:row r="236">
      <x:c r="A236" s="8" t="n">
        <x:f>A235+1</x:f>
        <x:v>233</x:v>
      </x:c>
      <x:c r="B236" s="9" t="n">
        <x:f>A236*v01_SeasonSeconds/60</x:f>
        <x:v>58.25</x:v>
      </x:c>
      <x:c r="C236" s="9" t="n">
        <x:f>A236/4</x:f>
        <x:v>58.25</x:v>
      </x:c>
      <x:c r="D236" s="8" t="n">
        <x:f>IF(MOD(A236,4)=0,1,0)</x:f>
        <x:v>0</x:v>
      </x:c>
      <x:c r="E236" s="8" t="n">
        <x:f>IF(AND(F235&lt;=9,AS235&gt;=AR235),1,0)</x:f>
        <x:v>0</x:v>
      </x:c>
      <x:c r="F236" s="8" t="n">
        <x:f>MIN(10,F235+E236)</x:f>
        <x:v>0</x:v>
      </x:c>
      <x:c r="G236" s="8" t="n">
        <x:f>MIN(F236,9)+1</x:f>
        <x:v>1</x:v>
      </x:c>
      <x:c r="H236" s="8" t="n">
        <x:f>IF(F236&lt;=9,1,0)</x:f>
        <x:v>1</x:v>
      </x:c>
      <x:c r="I236" s="9" t="n">
        <x:f>MIN(10,F235+IF(AR235&gt;0,MIN(1,AS235/AR235),1))</x:f>
        <x:v>0.9930981198881286</x:v>
      </x:c>
      <x:c r="J236" s="32" t="n">
        <x:f>INDEX(v01_FoodCap,G236)*Arch_FoodCap*EXP(v01_CapsByProject*SUMPRODUCT((Cap_Point&lt;=I236)*(Cap_Kind="Food")*Cap_Ln))</x:f>
        <x:v>22</x:v>
      </x:c>
      <x:c r="K236" s="32" t="n">
        <x:f>J236*MIN(1,v01_LeanBase*EXP(v01_CapsByProject*SUMPRODUCT((Cap_Point&lt;=I236)*(Cap_Kind="Lean")*Cap_Ln)))</x:f>
        <x:v>22</x:v>
      </x:c>
      <x:c r="L236" s="10" t="n">
        <x:f>INDEX(v01_HousingCap,G236)*EXP(v01_CapsByProject*SUMPRODUCT((Cap_Point&lt;=I236)*(Cap_Kind="Housing")*Cap_Ln))</x:f>
        <x:v>60</x:v>
      </x:c>
      <x:c r="M236" s="10" t="n">
        <x:f>INDEX(v01_GroupCap,G236)*v01_CohesionFactor*EXP(v01_CapsByProject*SUMPRODUCT((Cap_Point&lt;=I236)*(Cap_Kind="Group")*Cap_Ln))</x:f>
        <x:v>35</x:v>
      </x:c>
      <x:c r="N236" s="32" t="n">
        <x:f>MIN(J236,L236,M236)</x:f>
        <x:v>22</x:v>
      </x:c>
      <x:c r="O236" s="10" t="n">
        <x:f>AE235*N236</x:f>
        <x:v>22</x:v>
      </x:c>
      <x:c r="P236" s="9" t="n">
        <x:f>MIN(1,(AB235/(AE235*IF(v01_GroupInCrowding=1,N236,MIN(J236,L236))))^v01_CrowdingExp)</x:f>
        <x:v>0.2569441900140731</x:v>
      </x:c>
      <x:c r="Q236" s="9" t="n">
        <x:f>IF(D236=1,INDEX(v01_WinterMult,G236),1)</x:f>
        <x:v>1</x:v>
      </x:c>
      <x:c r="R236" s="9" t="n">
        <x:f>H236*Z235*v01_WomenShare*v01_BaseFertility*INDEX(v01_FertMult,G236)*Arch_Fertility*(1-P236)</x:f>
        <x:v>0.19743765079503273</x:v>
      </x:c>
      <x:c r="S236" s="9" t="n">
        <x:f>H236*Y235*INDEX(v01_MortChild,G236)/4*Q236</x:f>
        <x:v>0.06460126564499052</x:v>
      </x:c>
      <x:c r="T236" s="9" t="n">
        <x:f>H236*Z235*INDEX(v01_MortAdult,G236)*Arch_AdultMort/4*Q236</x:f>
        <x:v>0.03321379904134861</x:v>
      </x:c>
      <x:c r="U236" s="9" t="n">
        <x:f>H236*AA235*INDEX(v01_MortElder,G236)/4*Q236</x:f>
        <x:v>0.055604720828978264</x:v>
      </x:c>
      <x:c r="V236" s="9" t="n">
        <x:f>H236*MAX(0,AB235-O236)*v01_OvercapLoss</x:f>
        <x:v>0</x:v>
      </x:c>
      <x:c r="W236" s="9" t="n">
        <x:f>H236*Y235/(v01_ChildYears*4)</x:f>
        <x:v>0.11535940293748306</x:v>
      </x:c>
      <x:c r="X236" s="9" t="n">
        <x:f>H236*Z235/(v01_AdultYears*4)</x:f>
        <x:v>0.07142752482010453</x:v>
      </x:c>
      <x:c r="Y236" s="32" t="n">
        <x:f>Y235+R236-S236-W236-Y235*V236/AB235</x:f>
        <x:v>6.477603546711611</x:v>
      </x:c>
      <x:c r="Z236" s="32" t="n">
        <x:f>Z235+W236-X236-T236-Z235*V236/AB235</x:f>
        <x:v>8.867731156768992</x:v>
      </x:c>
      <x:c r="AA236" s="32" t="n">
        <x:f>AA235+X236-U236-AA235*V236/AB235</x:f>
        <x:v>2.240011637150257</x:v>
      </x:c>
      <x:c r="AB236" s="10" t="n">
        <x:f>Y236+Z236+AA236</x:f>
        <x:v>17.58534634063086</x:v>
      </x:c>
      <x:c r="AC236" s="8" t="n">
        <x:f>IF(AND(v01_WinterTrigger=1,D236=1,AB235/AE235&gt;=K236),1,0)</x:f>
        <x:v>0</x:v>
      </x:c>
      <x:c r="AD236" s="8" t="n">
        <x:f>H236*IF(AND(OR(AB235/AE235&gt;=v01_FissionTrigger*N236,AC236=1),AB235/AE235*v01_DaughterShare&gt;=v01_MinDaughter),MAX(1,ROUND(AE235*v01_FissionRate,0)),0)</x:f>
        <x:v>0</x:v>
      </x:c>
      <x:c r="AE236" s="8" t="n">
        <x:f>IF(H236=1,MAX(1,MIN(INDEX(v01_Smax,G236),AE235+AD236)),AE235)</x:f>
        <x:v>1</x:v>
      </x:c>
      <x:c r="AF236" s="8" t="n">
        <x:f>MAX(0,AE236-AE235)</x:f>
        <x:v>0</x:v>
      </x:c>
      <x:c r="AG236" s="9" t="str">
        <x:f>IF(AF236&gt;0,B236,"")</x:f>
      </x:c>
      <x:c r="AH236" s="9" t="n">
        <x:f>IF(F236&gt;=1,1,(1+v01_LowTiesShare*(AE236-1))/AE236)</x:f>
        <x:v>1</x:v>
      </x:c>
      <x:c r="AI236" s="32" t="n">
        <x:f>(Z236+v01_ElderCommons*INDEX(LM_Elder,G236)*AA236)*AH236</x:f>
        <x:v>13.347754431069506</x:v>
      </x:c>
      <x:c r="AJ236" s="32" t="n">
        <x:f>H236*v01_CommonsCoef*AI236^v01_CommonsExp*INDEX(LM_Commons,G236)</x:f>
        <x:v>5.694355408219767</x:v>
      </x:c>
      <x:c r="AK236" s="32" t="n">
        <x:f>H236*v01_RoleScale*Arch_Roles*(AE236*(INDEX(v01_ElderRolePerSett,G236)*v01_OutElder*INDEX(LM_Elder,G236)+INDEX(v01_ShamanPerSett,G236)*v01_OutShaman)+Z236*(INDEX(v01_PriestShare,G236)*v01_OutPriest+INDEX(v01_ScribeShare,G236)*v01_OutScribe*INDEX(LM_Scribe,G236)+INDEX(v01_ScholarShare,G236)*v01_OutScholar*INDEX(LM_Scholar,G236)+INDEX(v01_ResearcherShare,G236)*v01_OutResearcher*INDEX(LM_Researcher,G236)))</x:f>
        <x:v>0</x:v>
      </x:c>
      <x:c r="AL236" s="32" t="n">
        <x:f>H236*v01_RoleScale*Arch_Roles*AE236*INDEX(v01_MonasteryPerSett,G236)*v01_OutMonastery*INDEX(LM_Monastery,G236)</x:f>
        <x:v>0</x:v>
      </x:c>
      <x:c r="AM236" s="32" t="n">
        <x:f>(AJ236+AK236+AL236)/4*INDEX(LM_All,G236)*INDEX(v01_Boon,G236)*Arch_Insight</x:f>
        <x:v>1.4235888520549418</x:v>
      </x:c>
      <x:c r="AN236" s="32" t="n">
        <x:f>H236*(v01_KHPerAdult*Z236+v01_KHOfCommons*AJ236/4*INDEX(LM_All,G236))*v01_KHUsable*Arch_KH</x:f>
        <x:v>0.3103705904869147</x:v>
      </x:c>
      <x:c r="AO236" s="32" t="n">
        <x:f>MIN(AP235+AN236,AM236*v01_KHMaxRatio)</x:f>
        <x:v>0.3103705904869147</x:v>
      </x:c>
      <x:c r="AP236" s="32" t="n">
        <x:f>AP235+AN236-AO236</x:f>
        <x:v>0</x:v>
      </x:c>
      <x:c r="AQ236" s="32" t="n">
        <x:f>AM236+AO236</x:f>
        <x:v>1.7339594425418565</x:v>
      </x:c>
      <x:c r="AR236" s="10" t="n">
        <x:f>IF(H236=1,INDEX(v01_Req,G236),0)</x:f>
        <x:v>372.02</x:v>
      </x:c>
      <x:c r="AS236" s="32" t="n">
        <x:f>IF(H236=1,IF(E236=1,AS235-AR235,AS235)+AQ236,0)</x:f>
        <x:v>371.1863220033234</x:v>
      </x:c>
      <x:c r="AT236" s="11" t="n">
        <x:f>IF(AR236&gt;0,MIN(1,AS236/AR236),1)</x:f>
        <x:v>0.9977590505976115</x:v>
      </x:c>
      <x:c r="AU236" s="10" t="n">
        <x:f>AB236/INDEX(v01_RepScale,G236)</x:f>
        <x:v>17.58534634063086</x:v>
      </x:c>
      <x:c r="AV236" s="32" t="n">
        <x:f>AM236*60/v01_SeasonSeconds</x:f>
        <x:v>5.694355408219767</x:v>
      </x:c>
    </x:row>
    <x:row r="237">
      <x:c r="A237" s="8" t="n">
        <x:f>A236+1</x:f>
        <x:v>234</x:v>
      </x:c>
      <x:c r="B237" s="9" t="n">
        <x:f>A237*v01_SeasonSeconds/60</x:f>
        <x:v>58.5</x:v>
      </x:c>
      <x:c r="C237" s="9" t="n">
        <x:f>A237/4</x:f>
        <x:v>58.5</x:v>
      </x:c>
      <x:c r="D237" s="8" t="n">
        <x:f>IF(MOD(A237,4)=0,1,0)</x:f>
        <x:v>0</x:v>
      </x:c>
      <x:c r="E237" s="8" t="n">
        <x:f>IF(AND(F236&lt;=9,AS236&gt;=AR236),1,0)</x:f>
        <x:v>0</x:v>
      </x:c>
      <x:c r="F237" s="8" t="n">
        <x:f>MIN(10,F236+E237)</x:f>
        <x:v>0</x:v>
      </x:c>
      <x:c r="G237" s="8" t="n">
        <x:f>MIN(F237,9)+1</x:f>
        <x:v>1</x:v>
      </x:c>
      <x:c r="H237" s="8" t="n">
        <x:f>IF(F237&lt;=9,1,0)</x:f>
        <x:v>1</x:v>
      </x:c>
      <x:c r="I237" s="9" t="n">
        <x:f>MIN(10,F236+IF(AR236&gt;0,MIN(1,AS236/AR236),1))</x:f>
        <x:v>0.9977590505976115</x:v>
      </x:c>
      <x:c r="J237" s="32" t="n">
        <x:f>INDEX(v01_FoodCap,G237)*Arch_FoodCap*EXP(v01_CapsByProject*SUMPRODUCT((Cap_Point&lt;=I237)*(Cap_Kind="Food")*Cap_Ln))</x:f>
        <x:v>22</x:v>
      </x:c>
      <x:c r="K237" s="32" t="n">
        <x:f>J237*MIN(1,v01_LeanBase*EXP(v01_CapsByProject*SUMPRODUCT((Cap_Point&lt;=I237)*(Cap_Kind="Lean")*Cap_Ln)))</x:f>
        <x:v>22</x:v>
      </x:c>
      <x:c r="L237" s="10" t="n">
        <x:f>INDEX(v01_HousingCap,G237)*EXP(v01_CapsByProject*SUMPRODUCT((Cap_Point&lt;=I237)*(Cap_Kind="Housing")*Cap_Ln))</x:f>
        <x:v>60</x:v>
      </x:c>
      <x:c r="M237" s="10" t="n">
        <x:f>INDEX(v01_GroupCap,G237)*v01_CohesionFactor*EXP(v01_CapsByProject*SUMPRODUCT((Cap_Point&lt;=I237)*(Cap_Kind="Group")*Cap_Ln))</x:f>
        <x:v>35</x:v>
      </x:c>
      <x:c r="N237" s="32" t="n">
        <x:f>MIN(J237,L237,M237)</x:f>
        <x:v>22</x:v>
      </x:c>
      <x:c r="O237" s="10" t="n">
        <x:f>AE236*N237</x:f>
        <x:v>22</x:v>
      </x:c>
      <x:c r="P237" s="9" t="n">
        <x:f>MIN(1,(AB236/(AE236*IF(v01_GroupInCrowding=1,N237,MIN(J237,L237))))^v01_CrowdingExp)</x:f>
        <x:v>0.2608371652279554</x:v>
      </x:c>
      <x:c r="Q237" s="9" t="n">
        <x:f>IF(D237=1,INDEX(v01_WinterMult,G237),1)</x:f>
        <x:v>1</x:v>
      </x:c>
      <x:c r="R237" s="9" t="n">
        <x:f>H237*Z236*v01_WomenShare*v01_BaseFertility*INDEX(v01_FertMult,G237)*Arch_Fertility*(1-P237)</x:f>
        <x:v>0.1966409189950125</x:v>
      </x:c>
      <x:c r="S237" s="9" t="n">
        <x:f>H237*Y236*INDEX(v01_MortChild,G237)/4*Q237</x:f>
        <x:v>0.06477603546711612</x:v>
      </x:c>
      <x:c r="T237" s="9" t="n">
        <x:f>H237*Z236*INDEX(v01_MortAdult,G237)*Arch_AdultMort/4*Q237</x:f>
        <x:v>0.03325399183788372</x:v>
      </x:c>
      <x:c r="U237" s="9" t="n">
        <x:f>H237*AA236*INDEX(v01_MortElder,G237)/4*Q237</x:f>
        <x:v>0.05600029092875643</x:v>
      </x:c>
      <x:c r="V237" s="9" t="n">
        <x:f>H237*MAX(0,AB236-O237)*v01_OvercapLoss</x:f>
        <x:v>0</x:v>
      </x:c>
      <x:c r="W237" s="9" t="n">
        <x:f>H237*Y236/(v01_ChildYears*4)</x:f>
        <x:v>0.11567149190556449</x:v>
      </x:c>
      <x:c r="X237" s="9" t="n">
        <x:f>H237*Z236/(v01_AdultYears*4)</x:f>
        <x:v>0.07151396094168541</x:v>
      </x:c>
      <x:c r="Y237" s="32" t="n">
        <x:f>Y236+R237-S237-W237-Y236*V237/AB236</x:f>
        <x:v>6.493796938333944</x:v>
      </x:c>
      <x:c r="Z237" s="32" t="n">
        <x:f>Z236+W237-X237-T237-Z236*V237/AB236</x:f>
        <x:v>8.878634695894988</x:v>
      </x:c>
      <x:c r="AA237" s="32" t="n">
        <x:f>AA236+X237-U237-AA236*V237/AB236</x:f>
        <x:v>2.255525307163186</x:v>
      </x:c>
      <x:c r="AB237" s="10" t="n">
        <x:f>Y237+Z237+AA237</x:f>
        <x:v>17.627956941392117</x:v>
      </x:c>
      <x:c r="AC237" s="8" t="n">
        <x:f>IF(AND(v01_WinterTrigger=1,D237=1,AB236/AE236&gt;=K237),1,0)</x:f>
        <x:v>0</x:v>
      </x:c>
      <x:c r="AD237" s="8" t="n">
        <x:f>H237*IF(AND(OR(AB236/AE236&gt;=v01_FissionTrigger*N237,AC237=1),AB236/AE236*v01_DaughterShare&gt;=v01_MinDaughter),MAX(1,ROUND(AE236*v01_FissionRate,0)),0)</x:f>
        <x:v>0</x:v>
      </x:c>
      <x:c r="AE237" s="8" t="n">
        <x:f>IF(H237=1,MAX(1,MIN(INDEX(v01_Smax,G237),AE236+AD237)),AE236)</x:f>
        <x:v>1</x:v>
      </x:c>
      <x:c r="AF237" s="8" t="n">
        <x:f>MAX(0,AE237-AE236)</x:f>
        <x:v>0</x:v>
      </x:c>
      <x:c r="AG237" s="9" t="str">
        <x:f>IF(AF237&gt;0,B237,"")</x:f>
      </x:c>
      <x:c r="AH237" s="9" t="n">
        <x:f>IF(F237&gt;=1,1,(1+v01_LowTiesShare*(AE237-1))/AE237)</x:f>
        <x:v>1</x:v>
      </x:c>
      <x:c r="AI237" s="32" t="n">
        <x:f>(Z237+v01_ElderCommons*INDEX(LM_Elder,G237)*AA237)*AH237</x:f>
        <x:v>13.38968531022136</x:v>
      </x:c>
      <x:c r="AJ237" s="32" t="n">
        <x:f>H237*v01_CommonsCoef*AI237^v01_CommonsExp*INDEX(LM_Commons,G237)</x:f>
        <x:v>5.7095569292317165</x:v>
      </x:c>
      <x:c r="AK237" s="32" t="n">
        <x:f>H237*v01_RoleScale*Arch_Roles*(AE237*(INDEX(v01_ElderRolePerSett,G237)*v01_OutElder*INDEX(LM_Elder,G237)+INDEX(v01_ShamanPerSett,G237)*v01_OutShaman)+Z237*(INDEX(v01_PriestShare,G237)*v01_OutPriest+INDEX(v01_ScribeShare,G237)*v01_OutScribe*INDEX(LM_Scribe,G237)+INDEX(v01_ScholarShare,G237)*v01_OutScholar*INDEX(LM_Scholar,G237)+INDEX(v01_ResearcherShare,G237)*v01_OutResearcher*INDEX(LM_Researcher,G237)))</x:f>
        <x:v>0</x:v>
      </x:c>
      <x:c r="AL237" s="32" t="n">
        <x:f>H237*v01_RoleScale*Arch_Roles*AE237*INDEX(v01_MonasteryPerSett,G237)*v01_OutMonastery*INDEX(LM_Monastery,G237)</x:f>
        <x:v>0</x:v>
      </x:c>
      <x:c r="AM237" s="32" t="n">
        <x:f>(AJ237+AK237+AL237)/4*INDEX(LM_All,G237)*INDEX(v01_Boon,G237)*Arch_Insight</x:f>
        <x:v>1.4273892323079291</x:v>
      </x:c>
      <x:c r="AN237" s="32" t="n">
        <x:f>H237*(v01_KHPerAdult*Z237+v01_KHOfCommons*AJ237/4*INDEX(LM_All,G237))*v01_KHUsable*Arch_KH</x:f>
        <x:v>0.31075221435632455</x:v>
      </x:c>
      <x:c r="AO237" s="32" t="n">
        <x:f>MIN(AP236+AN237,AM237*v01_KHMaxRatio)</x:f>
        <x:v>0.31075221435632455</x:v>
      </x:c>
      <x:c r="AP237" s="32" t="n">
        <x:f>AP236+AN237-AO237</x:f>
        <x:v>0</x:v>
      </x:c>
      <x:c r="AQ237" s="32" t="n">
        <x:f>AM237+AO237</x:f>
        <x:v>1.7381414466642537</x:v>
      </x:c>
      <x:c r="AR237" s="10" t="n">
        <x:f>IF(H237=1,INDEX(v01_Req,G237),0)</x:f>
        <x:v>372.02</x:v>
      </x:c>
      <x:c r="AS237" s="32" t="n">
        <x:f>IF(H237=1,IF(E237=1,AS236-AR236,AS236)+AQ237,0)</x:f>
        <x:v>372.9244634499877</x:v>
      </x:c>
      <x:c r="AT237" s="11" t="n">
        <x:f>IF(AR237&gt;0,MIN(1,AS237/AR237),1)</x:f>
        <x:v>1</x:v>
      </x:c>
      <x:c r="AU237" s="10" t="n">
        <x:f>AB237/INDEX(v01_RepScale,G237)</x:f>
        <x:v>17.627956941392117</x:v>
      </x:c>
      <x:c r="AV237" s="32" t="n">
        <x:f>AM237*60/v01_SeasonSeconds</x:f>
        <x:v>5.709556929231716</x:v>
      </x:c>
    </x:row>
    <x:row r="238">
      <x:c r="A238" s="8" t="n">
        <x:f>A237+1</x:f>
        <x:v>235</x:v>
      </x:c>
      <x:c r="B238" s="9" t="n">
        <x:f>A238*v01_SeasonSeconds/60</x:f>
        <x:v>58.75</x:v>
      </x:c>
      <x:c r="C238" s="9" t="n">
        <x:f>A238/4</x:f>
        <x:v>58.75</x:v>
      </x:c>
      <x:c r="D238" s="8" t="n">
        <x:f>IF(MOD(A238,4)=0,1,0)</x:f>
        <x:v>0</x:v>
      </x:c>
      <x:c r="E238" s="8" t="n">
        <x:f>IF(AND(F237&lt;=9,AS237&gt;=AR237),1,0)</x:f>
        <x:v>1</x:v>
      </x:c>
      <x:c r="F238" s="8" t="n">
        <x:f>MIN(10,F237+E238)</x:f>
        <x:v>1</x:v>
      </x:c>
      <x:c r="G238" s="8" t="n">
        <x:f>MIN(F238,9)+1</x:f>
        <x:v>2</x:v>
      </x:c>
      <x:c r="H238" s="8" t="n">
        <x:f>IF(F238&lt;=9,1,0)</x:f>
        <x:v>1</x:v>
      </x:c>
      <x:c r="I238" s="9" t="n">
        <x:f>MIN(10,F237+IF(AR237&gt;0,MIN(1,AS237/AR237),1))</x:f>
        <x:v>1</x:v>
      </x:c>
      <x:c r="J238" s="32" t="n">
        <x:f>INDEX(v01_FoodCap,G238)*Arch_FoodCap*EXP(v01_CapsByProject*SUMPRODUCT((Cap_Point&lt;=I238)*(Cap_Kind="Food")*Cap_Ln))</x:f>
        <x:v>30</x:v>
      </x:c>
      <x:c r="K238" s="32" t="n">
        <x:f>J238*MIN(1,v01_LeanBase*EXP(v01_CapsByProject*SUMPRODUCT((Cap_Point&lt;=I238)*(Cap_Kind="Lean")*Cap_Ln)))</x:f>
        <x:v>30</x:v>
      </x:c>
      <x:c r="L238" s="10" t="n">
        <x:f>INDEX(v01_HousingCap,G238)*EXP(v01_CapsByProject*SUMPRODUCT((Cap_Point&lt;=I238)*(Cap_Kind="Housing")*Cap_Ln))</x:f>
        <x:v>60</x:v>
      </x:c>
      <x:c r="M238" s="10" t="n">
        <x:f>INDEX(v01_GroupCap,G238)*v01_CohesionFactor*EXP(v01_CapsByProject*SUMPRODUCT((Cap_Point&lt;=I238)*(Cap_Kind="Group")*Cap_Ln))</x:f>
        <x:v>100</x:v>
      </x:c>
      <x:c r="N238" s="32" t="n">
        <x:f>MIN(J238,L238,M238)</x:f>
        <x:v>30</x:v>
      </x:c>
      <x:c r="O238" s="10" t="n">
        <x:f>AE237*N238</x:f>
        <x:v>30</x:v>
      </x:c>
      <x:c r="P238" s="9" t="n">
        <x:f>MIN(1,(AB237/(AE237*IF(v01_GroupInCrowding=1,N238,MIN(J238,L238))))^v01_CrowdingExp)</x:f>
        <x:v>0.04116085219159496</x:v>
      </x:c>
      <x:c r="Q238" s="9" t="n">
        <x:f>IF(D238=1,INDEX(v01_WinterMult,G238),1)</x:f>
        <x:v>1</x:v>
      </x:c>
      <x:c r="R238" s="9" t="n">
        <x:f>H238*Z237*v01_WomenShare*v01_BaseFertility*INDEX(v01_FertMult,G238)*Arch_Fertility*(1-P238)</x:f>
        <x:v>0.3192443447067783</x:v>
      </x:c>
      <x:c r="S238" s="9" t="n">
        <x:f>H238*Y237*INDEX(v01_MortChild,G238)/4*Q238</x:f>
        <x:v>0.05682072321042201</x:v>
      </x:c>
      <x:c r="T238" s="9" t="n">
        <x:f>H238*Z237*INDEX(v01_MortAdult,G238)*Arch_AdultMort/4*Q238</x:f>
        <x:v>0.02885556276165871</x:v>
      </x:c>
      <x:c r="U238" s="9" t="n">
        <x:f>H238*AA237*INDEX(v01_MortElder,G238)/4*Q238</x:f>
        <x:v>0.04511050614326372</x:v>
      </x:c>
      <x:c r="V238" s="9" t="n">
        <x:f>H238*MAX(0,AB237-O238)*v01_OvercapLoss</x:f>
        <x:v>0</x:v>
      </x:c>
      <x:c r="W238" s="9" t="n">
        <x:f>H238*Y237/(v01_ChildYears*4)</x:f>
        <x:v>0.11596065961310613</x:v>
      </x:c>
      <x:c r="X238" s="9" t="n">
        <x:f>H238*Z237/(v01_AdultYears*4)</x:f>
        <x:v>0.07160189270883055</x:v>
      </x:c>
      <x:c r="Y238" s="32" t="n">
        <x:f>Y237+R238-S238-W238-Y237*V238/AB237</x:f>
        <x:v>6.640259900217194</x:v>
      </x:c>
      <x:c r="Z238" s="32" t="n">
        <x:f>Z237+W238-X238-T238-Z237*V238/AB237</x:f>
        <x:v>8.894137900037604</x:v>
      </x:c>
      <x:c r="AA238" s="32" t="n">
        <x:f>AA237+X238-U238-AA237*V238/AB237</x:f>
        <x:v>2.282016693728753</x:v>
      </x:c>
      <x:c r="AB238" s="10" t="n">
        <x:f>Y238+Z238+AA238</x:f>
        <x:v>17.81641449398355</x:v>
      </x:c>
      <x:c r="AC238" s="8" t="n">
        <x:f>IF(AND(v01_WinterTrigger=1,D238=1,AB237/AE237&gt;=K238),1,0)</x:f>
        <x:v>0</x:v>
      </x:c>
      <x:c r="AD238" s="8" t="n">
        <x:f>H238*IF(AND(OR(AB237/AE237&gt;=v01_FissionTrigger*N238,AC238=1),AB237/AE237*v01_DaughterShare&gt;=v01_MinDaughter),MAX(1,ROUND(AE237*v01_FissionRate,0)),0)</x:f>
        <x:v>0</x:v>
      </x:c>
      <x:c r="AE238" s="8" t="n">
        <x:f>IF(H238=1,MAX(1,MIN(INDEX(v01_Smax,G238),AE237+AD238)),AE237)</x:f>
        <x:v>1</x:v>
      </x:c>
      <x:c r="AF238" s="8" t="n">
        <x:f>MAX(0,AE238-AE237)</x:f>
        <x:v>0</x:v>
      </x:c>
      <x:c r="AG238" s="9" t="str">
        <x:f>IF(AF238&gt;0,B238,"")</x:f>
      </x:c>
      <x:c r="AH238" s="9" t="n">
        <x:f>IF(F238&gt;=1,1,(1+v01_LowTiesShare*(AE238-1))/AE238)</x:f>
        <x:v>1</x:v>
      </x:c>
      <x:c r="AI238" s="32" t="n">
        <x:f>(Z238+v01_ElderCommons*INDEX(LM_Elder,G238)*AA238)*AH238</x:f>
        <x:v>14.483914384186166</x:v>
      </x:c>
      <x:c r="AJ238" s="32" t="n">
        <x:f>H238*v01_CommonsCoef*AI238^v01_CommonsExp*INDEX(LM_Commons,G238)</x:f>
        <x:v>6.401724676332282</x:v>
      </x:c>
      <x:c r="AK238" s="32" t="n">
        <x:f>H238*v01_RoleScale*Arch_Roles*(AE238*(INDEX(v01_ElderRolePerSett,G238)*v01_OutElder*INDEX(LM_Elder,G238)+INDEX(v01_ShamanPerSett,G238)*v01_OutShaman)+Z238*(INDEX(v01_PriestShare,G238)*v01_OutPriest+INDEX(v01_ScribeShare,G238)*v01_OutScribe*INDEX(LM_Scribe,G238)+INDEX(v01_ScholarShare,G238)*v01_OutScholar*INDEX(LM_Scholar,G238)+INDEX(v01_ResearcherShare,G238)*v01_OutResearcher*INDEX(LM_Researcher,G238)))</x:f>
        <x:v>1.3623724356957945</x:v>
      </x:c>
      <x:c r="AL238" s="32" t="n">
        <x:f>H238*v01_RoleScale*Arch_Roles*AE238*INDEX(v01_MonasteryPerSett,G238)*v01_OutMonastery*INDEX(LM_Monastery,G238)</x:f>
        <x:v>0</x:v>
      </x:c>
      <x:c r="AM238" s="32" t="n">
        <x:f>(AJ238+AK238+AL238)/4*INDEX(LM_All,G238)*INDEX(v01_Boon,G238)*Arch_Insight</x:f>
        <x:v>1.9895498849571946</x:v>
      </x:c>
      <x:c r="AN238" s="32" t="n">
        <x:f>H238*(v01_KHPerAdult*Z238+v01_KHOfCommons*AJ238/4*INDEX(LM_All,G238))*v01_KHUsable*Arch_KH</x:f>
        <x:v>0.3112948265013161</x:v>
      </x:c>
      <x:c r="AO238" s="32" t="n">
        <x:f>MIN(AP237+AN238,AM238*v01_KHMaxRatio)</x:f>
        <x:v>0.3112948265013161</x:v>
      </x:c>
      <x:c r="AP238" s="32" t="n">
        <x:f>AP237+AN238-AO238</x:f>
        <x:v>0</x:v>
      </x:c>
      <x:c r="AQ238" s="32" t="n">
        <x:f>AM238+AO238</x:f>
        <x:v>2.300844711458511</x:v>
      </x:c>
      <x:c r="AR238" s="10" t="n">
        <x:f>IF(H238=1,INDEX(v01_Req,G238),0)</x:f>
        <x:v>1067.32</x:v>
      </x:c>
      <x:c r="AS238" s="32" t="n">
        <x:f>IF(H238=1,IF(E238=1,AS237-AR237,AS237)+AQ238,0)</x:f>
        <x:v>3.205308161446213</x:v>
      </x:c>
      <x:c r="AT238" s="11" t="n">
        <x:f>IF(AR238&gt;0,MIN(1,AS238/AR238),1)</x:f>
        <x:v>0.003003136979955602</x:v>
      </x:c>
      <x:c r="AU238" s="10" t="n">
        <x:f>AB238/INDEX(v01_RepScale,G238)</x:f>
        <x:v>17.81641449398355</x:v>
      </x:c>
      <x:c r="AV238" s="32" t="n">
        <x:f>AM238*60/v01_SeasonSeconds</x:f>
        <x:v>7.958199539828779</x:v>
      </x:c>
    </x:row>
    <x:row r="239">
      <x:c r="A239" s="8" t="n">
        <x:f>A238+1</x:f>
        <x:v>236</x:v>
      </x:c>
      <x:c r="B239" s="9" t="n">
        <x:f>A239*v01_SeasonSeconds/60</x:f>
        <x:v>59</x:v>
      </x:c>
      <x:c r="C239" s="9" t="n">
        <x:f>A239/4</x:f>
        <x:v>59</x:v>
      </x:c>
      <x:c r="D239" s="8" t="n">
        <x:f>IF(MOD(A239,4)=0,1,0)</x:f>
        <x:v>1</x:v>
      </x:c>
      <x:c r="E239" s="8" t="n">
        <x:f>IF(AND(F238&lt;=9,AS238&gt;=AR238),1,0)</x:f>
        <x:v>0</x:v>
      </x:c>
      <x:c r="F239" s="8" t="n">
        <x:f>MIN(10,F238+E239)</x:f>
        <x:v>1</x:v>
      </x:c>
      <x:c r="G239" s="8" t="n">
        <x:f>MIN(F239,9)+1</x:f>
        <x:v>2</x:v>
      </x:c>
      <x:c r="H239" s="8" t="n">
        <x:f>IF(F239&lt;=9,1,0)</x:f>
        <x:v>1</x:v>
      </x:c>
      <x:c r="I239" s="9" t="n">
        <x:f>MIN(10,F238+IF(AR238&gt;0,MIN(1,AS238/AR238),1))</x:f>
        <x:v>1.0030031369799557</x:v>
      </x:c>
      <x:c r="J239" s="32" t="n">
        <x:f>INDEX(v01_FoodCap,G239)*Arch_FoodCap*EXP(v01_CapsByProject*SUMPRODUCT((Cap_Point&lt;=I239)*(Cap_Kind="Food")*Cap_Ln))</x:f>
        <x:v>30</x:v>
      </x:c>
      <x:c r="K239" s="32" t="n">
        <x:f>J239*MIN(1,v01_LeanBase*EXP(v01_CapsByProject*SUMPRODUCT((Cap_Point&lt;=I239)*(Cap_Kind="Lean")*Cap_Ln)))</x:f>
        <x:v>30</x:v>
      </x:c>
      <x:c r="L239" s="10" t="n">
        <x:f>INDEX(v01_HousingCap,G239)*EXP(v01_CapsByProject*SUMPRODUCT((Cap_Point&lt;=I239)*(Cap_Kind="Housing")*Cap_Ln))</x:f>
        <x:v>60</x:v>
      </x:c>
      <x:c r="M239" s="10" t="n">
        <x:f>INDEX(v01_GroupCap,G239)*v01_CohesionFactor*EXP(v01_CapsByProject*SUMPRODUCT((Cap_Point&lt;=I239)*(Cap_Kind="Group")*Cap_Ln))</x:f>
        <x:v>100</x:v>
      </x:c>
      <x:c r="N239" s="32" t="n">
        <x:f>MIN(J239,L239,M239)</x:f>
        <x:v>30</x:v>
      </x:c>
      <x:c r="O239" s="10" t="n">
        <x:f>AE238*N239</x:f>
        <x:v>30</x:v>
      </x:c>
      <x:c r="P239" s="9" t="n">
        <x:f>MIN(1,(AB238/(AE238*IF(v01_GroupInCrowding=1,N239,MIN(J239,L239))))^v01_CrowdingExp)</x:f>
        <x:v>0.04387269561070242</x:v>
      </x:c>
      <x:c r="Q239" s="9" t="n">
        <x:f>IF(D239=1,INDEX(v01_WinterMult,G239),1)</x:f>
        <x:v>1.6</x:v>
      </x:c>
      <x:c r="R239" s="9" t="n">
        <x:f>H239*Z238*v01_WomenShare*v01_BaseFertility*INDEX(v01_FertMult,G239)*Arch_Fertility*(1-P239)</x:f>
        <x:v>0.3188973035711116</x:v>
      </x:c>
      <x:c r="S239" s="9" t="n">
        <x:f>H239*Y238*INDEX(v01_MortChild,G239)/4*Q239</x:f>
        <x:v>0.09296363860304073</x:v>
      </x:c>
      <x:c r="T239" s="9" t="n">
        <x:f>H239*Z238*INDEX(v01_MortAdult,G239)*Arch_AdultMort/4*Q239</x:f>
        <x:v>0.04624951708019554</x:v>
      </x:c>
      <x:c r="U239" s="9" t="n">
        <x:f>H239*AA238*INDEX(v01_MortElder,G239)/4*Q239</x:f>
        <x:v>0.0730245341993201</x:v>
      </x:c>
      <x:c r="V239" s="9" t="n">
        <x:f>H239*MAX(0,AB238-O239)*v01_OvercapLoss</x:f>
        <x:v>0</x:v>
      </x:c>
      <x:c r="W239" s="9" t="n">
        <x:f>H239*Y238/(v01_ChildYears*4)</x:f>
        <x:v>0.1185760696467356</x:v>
      </x:c>
      <x:c r="X239" s="9" t="n">
        <x:f>H239*Z238/(v01_AdultYears*4)</x:f>
        <x:v>0.07172691854869036</x:v>
      </x:c>
      <x:c r="Y239" s="32" t="n">
        <x:f>Y238+R239-S239-W239-Y238*V239/AB238</x:f>
        <x:v>6.747617495538529</x:v>
      </x:c>
      <x:c r="Z239" s="32" t="n">
        <x:f>Z238+W239-X239-T239-Z238*V239/AB238</x:f>
        <x:v>8.894737534055455</x:v>
      </x:c>
      <x:c r="AA239" s="32" t="n">
        <x:f>AA238+X239-U239-AA238*V239/AB238</x:f>
        <x:v>2.2807190780781235</x:v>
      </x:c>
      <x:c r="AB239" s="10" t="n">
        <x:f>Y239+Z239+AA239</x:f>
        <x:v>17.923074107672107</x:v>
      </x:c>
      <x:c r="AC239" s="8" t="n">
        <x:f>IF(AND(v01_WinterTrigger=1,D239=1,AB238/AE238&gt;=K239),1,0)</x:f>
        <x:v>0</x:v>
      </x:c>
      <x:c r="AD239" s="8" t="n">
        <x:f>H239*IF(AND(OR(AB238/AE238&gt;=v01_FissionTrigger*N239,AC239=1),AB238/AE238*v01_DaughterShare&gt;=v01_MinDaughter),MAX(1,ROUND(AE238*v01_FissionRate,0)),0)</x:f>
        <x:v>0</x:v>
      </x:c>
      <x:c r="AE239" s="8" t="n">
        <x:f>IF(H239=1,MAX(1,MIN(INDEX(v01_Smax,G239),AE238+AD239)),AE238)</x:f>
        <x:v>1</x:v>
      </x:c>
      <x:c r="AF239" s="8" t="n">
        <x:f>MAX(0,AE239-AE238)</x:f>
        <x:v>0</x:v>
      </x:c>
      <x:c r="AG239" s="9" t="str">
        <x:f>IF(AF239&gt;0,B239,"")</x:f>
      </x:c>
      <x:c r="AH239" s="9" t="n">
        <x:f>IF(F239&gt;=1,1,(1+v01_LowTiesShare*(AE239-1))/AE239)</x:f>
        <x:v>1</x:v>
      </x:c>
      <x:c r="AI239" s="32" t="n">
        <x:f>(Z239+v01_ElderCommons*INDEX(LM_Elder,G239)*AA239)*AH239</x:f>
        <x:v>14.481335521977725</x:v>
      </x:c>
      <x:c r="AJ239" s="32" t="n">
        <x:f>H239*v01_CommonsCoef*AI239^v01_CommonsExp*INDEX(LM_Commons,G239)</x:f>
        <x:v>6.400755809906246</x:v>
      </x:c>
      <x:c r="AK239" s="32" t="n">
        <x:f>H239*v01_RoleScale*Arch_Roles*(AE239*(INDEX(v01_ElderRolePerSett,G239)*v01_OutElder*INDEX(LM_Elder,G239)+INDEX(v01_ShamanPerSett,G239)*v01_OutShaman)+Z239*(INDEX(v01_PriestShare,G239)*v01_OutPriest+INDEX(v01_ScribeShare,G239)*v01_OutScribe*INDEX(LM_Scribe,G239)+INDEX(v01_ScholarShare,G239)*v01_OutScholar*INDEX(LM_Scholar,G239)+INDEX(v01_ResearcherShare,G239)*v01_OutResearcher*INDEX(LM_Researcher,G239)))</x:f>
        <x:v>1.3623724356957945</x:v>
      </x:c>
      <x:c r="AL239" s="32" t="n">
        <x:f>H239*v01_RoleScale*Arch_Roles*AE239*INDEX(v01_MonasteryPerSett,G239)*v01_OutMonastery*INDEX(LM_Monastery,G239)</x:f>
        <x:v>0</x:v>
      </x:c>
      <x:c r="AM239" s="32" t="n">
        <x:f>(AJ239+AK239+AL239)/4*INDEX(LM_All,G239)*INDEX(v01_Boon,G239)*Arch_Insight</x:f>
        <x:v>1.9893016129355228</x:v>
      </x:c>
      <x:c r="AN239" s="32" t="n">
        <x:f>H239*(v01_KHPerAdult*Z239+v01_KHOfCommons*AJ239/4*INDEX(LM_All,G239))*v01_KHUsable*Arch_KH</x:f>
        <x:v>0.31131581369194095</x:v>
      </x:c>
      <x:c r="AO239" s="32" t="n">
        <x:f>MIN(AP238+AN239,AM239*v01_KHMaxRatio)</x:f>
        <x:v>0.31131581369194095</x:v>
      </x:c>
      <x:c r="AP239" s="32" t="n">
        <x:f>AP238+AN239-AO239</x:f>
        <x:v>0</x:v>
      </x:c>
      <x:c r="AQ239" s="32" t="n">
        <x:f>AM239+AO239</x:f>
        <x:v>2.300617426627464</x:v>
      </x:c>
      <x:c r="AR239" s="10" t="n">
        <x:f>IF(H239=1,INDEX(v01_Req,G239),0)</x:f>
        <x:v>1067.32</x:v>
      </x:c>
      <x:c r="AS239" s="32" t="n">
        <x:f>IF(H239=1,IF(E239=1,AS238-AR238,AS238)+AQ239,0)</x:f>
        <x:v>5.505925588073676</x:v>
      </x:c>
      <x:c r="AT239" s="11" t="n">
        <x:f>IF(AR239&gt;0,MIN(1,AS239/AR239),1)</x:f>
        <x:v>0.005158645568408422</x:v>
      </x:c>
      <x:c r="AU239" s="10" t="n">
        <x:f>AB239/INDEX(v01_RepScale,G239)</x:f>
        <x:v>17.923074107672107</x:v>
      </x:c>
      <x:c r="AV239" s="32" t="n">
        <x:f>AM239*60/v01_SeasonSeconds</x:f>
        <x:v>7.957206451742091</x:v>
      </x:c>
    </x:row>
    <x:row r="240">
      <x:c r="A240" s="8" t="n">
        <x:f>A239+1</x:f>
        <x:v>237</x:v>
      </x:c>
      <x:c r="B240" s="9" t="n">
        <x:f>A240*v01_SeasonSeconds/60</x:f>
        <x:v>59.25</x:v>
      </x:c>
      <x:c r="C240" s="9" t="n">
        <x:f>A240/4</x:f>
        <x:v>59.25</x:v>
      </x:c>
      <x:c r="D240" s="8" t="n">
        <x:f>IF(MOD(A240,4)=0,1,0)</x:f>
        <x:v>0</x:v>
      </x:c>
      <x:c r="E240" s="8" t="n">
        <x:f>IF(AND(F239&lt;=9,AS239&gt;=AR239),1,0)</x:f>
        <x:v>0</x:v>
      </x:c>
      <x:c r="F240" s="8" t="n">
        <x:f>MIN(10,F239+E240)</x:f>
        <x:v>1</x:v>
      </x:c>
      <x:c r="G240" s="8" t="n">
        <x:f>MIN(F240,9)+1</x:f>
        <x:v>2</x:v>
      </x:c>
      <x:c r="H240" s="8" t="n">
        <x:f>IF(F240&lt;=9,1,0)</x:f>
        <x:v>1</x:v>
      </x:c>
      <x:c r="I240" s="9" t="n">
        <x:f>MIN(10,F239+IF(AR239&gt;0,MIN(1,AS239/AR239),1))</x:f>
        <x:v>1.0051586455684085</x:v>
      </x:c>
      <x:c r="J240" s="32" t="n">
        <x:f>INDEX(v01_FoodCap,G240)*Arch_FoodCap*EXP(v01_CapsByProject*SUMPRODUCT((Cap_Point&lt;=I240)*(Cap_Kind="Food")*Cap_Ln))</x:f>
        <x:v>30</x:v>
      </x:c>
      <x:c r="K240" s="32" t="n">
        <x:f>J240*MIN(1,v01_LeanBase*EXP(v01_CapsByProject*SUMPRODUCT((Cap_Point&lt;=I240)*(Cap_Kind="Lean")*Cap_Ln)))</x:f>
        <x:v>30</x:v>
      </x:c>
      <x:c r="L240" s="10" t="n">
        <x:f>INDEX(v01_HousingCap,G240)*EXP(v01_CapsByProject*SUMPRODUCT((Cap_Point&lt;=I240)*(Cap_Kind="Housing")*Cap_Ln))</x:f>
        <x:v>60</x:v>
      </x:c>
      <x:c r="M240" s="10" t="n">
        <x:f>INDEX(v01_GroupCap,G240)*v01_CohesionFactor*EXP(v01_CapsByProject*SUMPRODUCT((Cap_Point&lt;=I240)*(Cap_Kind="Group")*Cap_Ln))</x:f>
        <x:v>100</x:v>
      </x:c>
      <x:c r="N240" s="32" t="n">
        <x:f>MIN(J240,L240,M240)</x:f>
        <x:v>30</x:v>
      </x:c>
      <x:c r="O240" s="10" t="n">
        <x:f>AE239*N240</x:f>
        <x:v>30</x:v>
      </x:c>
      <x:c r="P240" s="9" t="n">
        <x:f>MIN(1,(AB239/(AE239*IF(v01_GroupInCrowding=1,N240,MIN(J240,L240))))^v01_CrowdingExp)</x:f>
        <x:v>0.04547235792167866</x:v>
      </x:c>
      <x:c r="Q240" s="9" t="n">
        <x:f>IF(D240=1,INDEX(v01_WinterMult,G240),1)</x:f>
        <x:v>1</x:v>
      </x:c>
      <x:c r="R240" s="9" t="n">
        <x:f>H240*Z239*v01_WomenShare*v01_BaseFertility*INDEX(v01_FertMult,G240)*Arch_Fertility*(1-P240)</x:f>
        <x:v>0.31838523169828103</x:v>
      </x:c>
      <x:c r="S240" s="9" t="n">
        <x:f>H240*Y239*INDEX(v01_MortChild,G240)/4*Q240</x:f>
        <x:v>0.05904165308596214</x:v>
      </x:c>
      <x:c r="T240" s="9" t="n">
        <x:f>H240*Z239*INDEX(v01_MortAdult,G240)*Arch_AdultMort/4*Q240</x:f>
        <x:v>0.028907896985680227</x:v>
      </x:c>
      <x:c r="U240" s="9" t="n">
        <x:f>H240*AA239*INDEX(v01_MortElder,G240)/4*Q240</x:f>
        <x:v>0.04561438156156247</x:v>
      </x:c>
      <x:c r="V240" s="9" t="n">
        <x:f>H240*MAX(0,AB239-O240)*v01_OvercapLoss</x:f>
        <x:v>0</x:v>
      </x:c>
      <x:c r="W240" s="9" t="n">
        <x:f>H240*Y239/(v01_ChildYears*4)</x:f>
        <x:v>0.12049316956318802</x:v>
      </x:c>
      <x:c r="X240" s="9" t="n">
        <x:f>H240*Z239/(v01_AdultYears*4)</x:f>
        <x:v>0.07173175430689883</x:v>
      </x:c>
      <x:c r="Y240" s="32" t="n">
        <x:f>Y239+R240-S240-W240-Y239*V240/AB239</x:f>
        <x:v>6.8864679045876604</x:v>
      </x:c>
      <x:c r="Z240" s="32" t="n">
        <x:f>Z239+W240-X240-T240-Z239*V240/AB239</x:f>
        <x:v>8.914591052326063</x:v>
      </x:c>
      <x:c r="AA240" s="32" t="n">
        <x:f>AA239+X240-U240-AA239*V240/AB239</x:f>
        <x:v>2.30683645082346</x:v>
      </x:c>
      <x:c r="AB240" s="10" t="n">
        <x:f>Y240+Z240+AA240</x:f>
        <x:v>18.107895407737185</x:v>
      </x:c>
      <x:c r="AC240" s="8" t="n">
        <x:f>IF(AND(v01_WinterTrigger=1,D240=1,AB239/AE239&gt;=K240),1,0)</x:f>
        <x:v>0</x:v>
      </x:c>
      <x:c r="AD240" s="8" t="n">
        <x:f>H240*IF(AND(OR(AB239/AE239&gt;=v01_FissionTrigger*N240,AC240=1),AB239/AE239*v01_DaughterShare&gt;=v01_MinDaughter),MAX(1,ROUND(AE239*v01_FissionRate,0)),0)</x:f>
        <x:v>0</x:v>
      </x:c>
      <x:c r="AE240" s="8" t="n">
        <x:f>IF(H240=1,MAX(1,MIN(INDEX(v01_Smax,G240),AE239+AD240)),AE239)</x:f>
        <x:v>1</x:v>
      </x:c>
      <x:c r="AF240" s="8" t="n">
        <x:f>MAX(0,AE240-AE239)</x:f>
        <x:v>0</x:v>
      </x:c>
      <x:c r="AG240" s="9" t="str">
        <x:f>IF(AF240&gt;0,B240,"")</x:f>
      </x:c>
      <x:c r="AH240" s="9" t="n">
        <x:f>IF(F240&gt;=1,1,(1+v01_LowTiesShare*(AE240-1))/AE240)</x:f>
        <x:v>1</x:v>
      </x:c>
      <x:c r="AI240" s="32" t="n">
        <x:f>(Z240+v01_ElderCommons*INDEX(LM_Elder,G240)*AA240)*AH240</x:f>
        <x:v>14.56516327689648</x:v>
      </x:c>
      <x:c r="AJ240" s="32" t="n">
        <x:f>H240*v01_CommonsCoef*AI240^v01_CommonsExp*INDEX(LM_Commons,G240)</x:f>
        <x:v>6.432236281591973</x:v>
      </x:c>
      <x:c r="AK240" s="32" t="n">
        <x:f>H240*v01_RoleScale*Arch_Roles*(AE240*(INDEX(v01_ElderRolePerSett,G240)*v01_OutElder*INDEX(LM_Elder,G240)+INDEX(v01_ShamanPerSett,G240)*v01_OutShaman)+Z240*(INDEX(v01_PriestShare,G240)*v01_OutPriest+INDEX(v01_ScribeShare,G240)*v01_OutScribe*INDEX(LM_Scribe,G240)+INDEX(v01_ScholarShare,G240)*v01_OutScholar*INDEX(LM_Scholar,G240)+INDEX(v01_ResearcherShare,G240)*v01_OutResearcher*INDEX(LM_Researcher,G240)))</x:f>
        <x:v>1.3623724356957945</x:v>
      </x:c>
      <x:c r="AL240" s="32" t="n">
        <x:f>H240*v01_RoleScale*Arch_Roles*AE240*INDEX(v01_MonasteryPerSett,G240)*v01_OutMonastery*INDEX(LM_Monastery,G240)</x:f>
        <x:v>0</x:v>
      </x:c>
      <x:c r="AM240" s="32" t="n">
        <x:f>(AJ240+AK240+AL240)/4*INDEX(LM_All,G240)*INDEX(v01_Boon,G240)*Arch_Insight</x:f>
        <x:v>1.9973684838049903</x:v>
      </x:c>
      <x:c r="AN240" s="32" t="n">
        <x:f>H240*(v01_KHPerAdult*Z240+v01_KHOfCommons*AJ240/4*INDEX(LM_All,G240))*v01_KHUsable*Arch_KH</x:f>
        <x:v>0.3120106868314122</x:v>
      </x:c>
      <x:c r="AO240" s="32" t="n">
        <x:f>MIN(AP239+AN240,AM240*v01_KHMaxRatio)</x:f>
        <x:v>0.3120106868314122</x:v>
      </x:c>
      <x:c r="AP240" s="32" t="n">
        <x:f>AP239+AN240-AO240</x:f>
        <x:v>0</x:v>
      </x:c>
      <x:c r="AQ240" s="32" t="n">
        <x:f>AM240+AO240</x:f>
        <x:v>2.3093791706364026</x:v>
      </x:c>
      <x:c r="AR240" s="10" t="n">
        <x:f>IF(H240=1,INDEX(v01_Req,G240),0)</x:f>
        <x:v>1067.32</x:v>
      </x:c>
      <x:c r="AS240" s="32" t="n">
        <x:f>IF(H240=1,IF(E240=1,AS239-AR239,AS239)+AQ240,0)</x:f>
        <x:v>7.815304758710079</x:v>
      </x:c>
      <x:c r="AT240" s="11" t="n">
        <x:f>IF(AR240&gt;0,MIN(1,AS240/AR240),1)</x:f>
        <x:v>0.0073223632637916276</x:v>
      </x:c>
      <x:c r="AU240" s="10" t="n">
        <x:f>AB240/INDEX(v01_RepScale,G240)</x:f>
        <x:v>18.107895407737185</x:v>
      </x:c>
      <x:c r="AV240" s="32" t="n">
        <x:f>AM240*60/v01_SeasonSeconds</x:f>
        <x:v>7.989473935219961</x:v>
      </x:c>
    </x:row>
    <x:row r="241">
      <x:c r="A241" s="8" t="n">
        <x:f>A240+1</x:f>
        <x:v>238</x:v>
      </x:c>
      <x:c r="B241" s="9" t="n">
        <x:f>A241*v01_SeasonSeconds/60</x:f>
        <x:v>59.5</x:v>
      </x:c>
      <x:c r="C241" s="9" t="n">
        <x:f>A241/4</x:f>
        <x:v>59.5</x:v>
      </x:c>
      <x:c r="D241" s="8" t="n">
        <x:f>IF(MOD(A241,4)=0,1,0)</x:f>
        <x:v>0</x:v>
      </x:c>
      <x:c r="E241" s="8" t="n">
        <x:f>IF(AND(F240&lt;=9,AS240&gt;=AR240),1,0)</x:f>
        <x:v>0</x:v>
      </x:c>
      <x:c r="F241" s="8" t="n">
        <x:f>MIN(10,F240+E241)</x:f>
        <x:v>1</x:v>
      </x:c>
      <x:c r="G241" s="8" t="n">
        <x:f>MIN(F241,9)+1</x:f>
        <x:v>2</x:v>
      </x:c>
      <x:c r="H241" s="8" t="n">
        <x:f>IF(F241&lt;=9,1,0)</x:f>
        <x:v>1</x:v>
      </x:c>
      <x:c r="I241" s="9" t="n">
        <x:f>MIN(10,F240+IF(AR240&gt;0,MIN(1,AS240/AR240),1))</x:f>
        <x:v>1.0073223632637915</x:v>
      </x:c>
      <x:c r="J241" s="32" t="n">
        <x:f>INDEX(v01_FoodCap,G241)*Arch_FoodCap*EXP(v01_CapsByProject*SUMPRODUCT((Cap_Point&lt;=I241)*(Cap_Kind="Food")*Cap_Ln))</x:f>
        <x:v>30</x:v>
      </x:c>
      <x:c r="K241" s="32" t="n">
        <x:f>J241*MIN(1,v01_LeanBase*EXP(v01_CapsByProject*SUMPRODUCT((Cap_Point&lt;=I241)*(Cap_Kind="Lean")*Cap_Ln)))</x:f>
        <x:v>30</x:v>
      </x:c>
      <x:c r="L241" s="10" t="n">
        <x:f>INDEX(v01_HousingCap,G241)*EXP(v01_CapsByProject*SUMPRODUCT((Cap_Point&lt;=I241)*(Cap_Kind="Housing")*Cap_Ln))</x:f>
        <x:v>60</x:v>
      </x:c>
      <x:c r="M241" s="10" t="n">
        <x:f>INDEX(v01_GroupCap,G241)*v01_CohesionFactor*EXP(v01_CapsByProject*SUMPRODUCT((Cap_Point&lt;=I241)*(Cap_Kind="Group")*Cap_Ln))</x:f>
        <x:v>100</x:v>
      </x:c>
      <x:c r="N241" s="32" t="n">
        <x:f>MIN(J241,L241,M241)</x:f>
        <x:v>30</x:v>
      </x:c>
      <x:c r="O241" s="10" t="n">
        <x:f>AE240*N241</x:f>
        <x:v>30</x:v>
      </x:c>
      <x:c r="P241" s="9" t="n">
        <x:f>MIN(1,(AB240/(AE240*IF(v01_GroupInCrowding=1,N241,MIN(J241,L241))))^v01_CrowdingExp)</x:f>
        <x:v>0.0483593367207488</x:v>
      </x:c>
      <x:c r="Q241" s="9" t="n">
        <x:f>IF(D241=1,INDEX(v01_WinterMult,G241),1)</x:f>
        <x:v>1</x:v>
      </x:c>
      <x:c r="R241" s="9" t="n">
        <x:f>H241*Z240*v01_WomenShare*v01_BaseFertility*INDEX(v01_FertMult,G241)*Arch_Fertility*(1-P241)</x:f>
        <x:v>0.318130775321207</x:v>
      </x:c>
      <x:c r="S241" s="9" t="n">
        <x:f>H241*Y240*INDEX(v01_MortChild,G241)/4*Q241</x:f>
        <x:v>0.060256594165142036</x:v>
      </x:c>
      <x:c r="T241" s="9" t="n">
        <x:f>H241*Z240*INDEX(v01_MortAdult,G241)*Arch_AdultMort/4*Q241</x:f>
        <x:v>0.028972420920059704</x:v>
      </x:c>
      <x:c r="U241" s="9" t="n">
        <x:f>H241*AA240*INDEX(v01_MortElder,G241)/4*Q241</x:f>
        <x:v>0.0461367290164692</x:v>
      </x:c>
      <x:c r="V241" s="9" t="n">
        <x:f>H241*MAX(0,AB240-O241)*v01_OvercapLoss</x:f>
        <x:v>0</x:v>
      </x:c>
      <x:c r="W241" s="9" t="n">
        <x:f>H241*Y240/(v01_ChildYears*4)</x:f>
        <x:v>0.12297264115335108</x:v>
      </x:c>
      <x:c r="X241" s="9" t="n">
        <x:f>H241*Z240/(v01_AdultYears*4)</x:f>
        <x:v>0.07189186332521019</x:v>
      </x:c>
      <x:c r="Y241" s="32" t="n">
        <x:f>Y240+R241-S241-W241-Y240*V241/AB240</x:f>
        <x:v>7.021369444590375</x:v>
      </x:c>
      <x:c r="Z241" s="32" t="n">
        <x:f>Z240+W241-X241-T241-Z240*V241/AB240</x:f>
        <x:v>8.936699409234146</x:v>
      </x:c>
      <x:c r="AA241" s="32" t="n">
        <x:f>AA240+X241-U241-AA240*V241/AB240</x:f>
        <x:v>2.332591585132201</x:v>
      </x:c>
      <x:c r="AB241" s="10" t="n">
        <x:f>Y241+Z241+AA241</x:f>
        <x:v>18.29066043895672</x:v>
      </x:c>
      <x:c r="AC241" s="8" t="n">
        <x:f>IF(AND(v01_WinterTrigger=1,D241=1,AB240/AE240&gt;=K241),1,0)</x:f>
        <x:v>0</x:v>
      </x:c>
      <x:c r="AD241" s="8" t="n">
        <x:f>H241*IF(AND(OR(AB240/AE240&gt;=v01_FissionTrigger*N241,AC241=1),AB240/AE240*v01_DaughterShare&gt;=v01_MinDaughter),MAX(1,ROUND(AE240*v01_FissionRate,0)),0)</x:f>
        <x:v>0</x:v>
      </x:c>
      <x:c r="AE241" s="8" t="n">
        <x:f>IF(H241=1,MAX(1,MIN(INDEX(v01_Smax,G241),AE240+AD241)),AE240)</x:f>
        <x:v>1</x:v>
      </x:c>
      <x:c r="AF241" s="8" t="n">
        <x:f>MAX(0,AE241-AE240)</x:f>
        <x:v>0</x:v>
      </x:c>
      <x:c r="AG241" s="9" t="str">
        <x:f>IF(AF241&gt;0,B241,"")</x:f>
      </x:c>
      <x:c r="AH241" s="9" t="n">
        <x:f>IF(F241&gt;=1,1,(1+v01_LowTiesShare*(AE241-1))/AE241)</x:f>
        <x:v>1</x:v>
      </x:c>
      <x:c r="AI241" s="32" t="n">
        <x:f>(Z241+v01_ElderCommons*INDEX(LM_Elder,G241)*AA241)*AH241</x:f>
        <x:v>14.650358571117827</x:v>
      </x:c>
      <x:c r="AJ241" s="32" t="n">
        <x:f>H241*v01_CommonsCoef*AI241^v01_CommonsExp*INDEX(LM_Commons,G241)</x:f>
        <x:v>6.464202482645871</x:v>
      </x:c>
      <x:c r="AK241" s="32" t="n">
        <x:f>H241*v01_RoleScale*Arch_Roles*(AE241*(INDEX(v01_ElderRolePerSett,G241)*v01_OutElder*INDEX(LM_Elder,G241)+INDEX(v01_ShamanPerSett,G241)*v01_OutShaman)+Z241*(INDEX(v01_PriestShare,G241)*v01_OutPriest+INDEX(v01_ScribeShare,G241)*v01_OutScribe*INDEX(LM_Scribe,G241)+INDEX(v01_ScholarShare,G241)*v01_OutScholar*INDEX(LM_Scholar,G241)+INDEX(v01_ResearcherShare,G241)*v01_OutResearcher*INDEX(LM_Researcher,G241)))</x:f>
        <x:v>1.3623724356957945</x:v>
      </x:c>
      <x:c r="AL241" s="32" t="n">
        <x:f>H241*v01_RoleScale*Arch_Roles*AE241*INDEX(v01_MonasteryPerSett,G241)*v01_OutMonastery*INDEX(LM_Monastery,G241)</x:f>
        <x:v>0</x:v>
      </x:c>
      <x:c r="AM241" s="32" t="n">
        <x:f>(AJ241+AK241+AL241)/4*INDEX(LM_All,G241)*INDEX(v01_Boon,G241)*Arch_Insight</x:f>
        <x:v>2.0055598228250515</x:v>
      </x:c>
      <x:c r="AN241" s="32" t="n">
        <x:f>H241*(v01_KHPerAdult*Z241+v01_KHOfCommons*AJ241/4*INDEX(LM_All,G241))*v01_KHUsable*Arch_KH</x:f>
        <x:v>0.31278447932319514</x:v>
      </x:c>
      <x:c r="AO241" s="32" t="n">
        <x:f>MIN(AP240+AN241,AM241*v01_KHMaxRatio)</x:f>
        <x:v>0.31278447932319514</x:v>
      </x:c>
      <x:c r="AP241" s="32" t="n">
        <x:f>AP240+AN241-AO241</x:f>
        <x:v>0</x:v>
      </x:c>
      <x:c r="AQ241" s="32" t="n">
        <x:f>AM241+AO241</x:f>
        <x:v>2.3183443021482466</x:v>
      </x:c>
      <x:c r="AR241" s="10" t="n">
        <x:f>IF(H241=1,INDEX(v01_Req,G241),0)</x:f>
        <x:v>1067.32</x:v>
      </x:c>
      <x:c r="AS241" s="32" t="n">
        <x:f>IF(H241=1,IF(E241=1,AS240-AR240,AS240)+AQ241,0)</x:f>
        <x:v>10.133649060858325</x:v>
      </x:c>
      <x:c r="AT241" s="11" t="n">
        <x:f>IF(AR241&gt;0,MIN(1,AS241/AR241),1)</x:f>
        <x:v>0.009494480625171763</x:v>
      </x:c>
      <x:c r="AU241" s="10" t="n">
        <x:f>AB241/INDEX(v01_RepScale,G241)</x:f>
        <x:v>18.29066043895672</x:v>
      </x:c>
      <x:c r="AV241" s="32" t="n">
        <x:f>AM241*60/v01_SeasonSeconds</x:f>
        <x:v>8.022239291300206</x:v>
      </x:c>
    </x:row>
    <x:row r="242">
      <x:c r="A242" s="8" t="n">
        <x:f>A241+1</x:f>
        <x:v>239</x:v>
      </x:c>
      <x:c r="B242" s="9" t="n">
        <x:f>A242*v01_SeasonSeconds/60</x:f>
        <x:v>59.75</x:v>
      </x:c>
      <x:c r="C242" s="9" t="n">
        <x:f>A242/4</x:f>
        <x:v>59.75</x:v>
      </x:c>
      <x:c r="D242" s="8" t="n">
        <x:f>IF(MOD(A242,4)=0,1,0)</x:f>
        <x:v>0</x:v>
      </x:c>
      <x:c r="E242" s="8" t="n">
        <x:f>IF(AND(F241&lt;=9,AS241&gt;=AR241),1,0)</x:f>
        <x:v>0</x:v>
      </x:c>
      <x:c r="F242" s="8" t="n">
        <x:f>MIN(10,F241+E242)</x:f>
        <x:v>1</x:v>
      </x:c>
      <x:c r="G242" s="8" t="n">
        <x:f>MIN(F242,9)+1</x:f>
        <x:v>2</x:v>
      </x:c>
      <x:c r="H242" s="8" t="n">
        <x:f>IF(F242&lt;=9,1,0)</x:f>
        <x:v>1</x:v>
      </x:c>
      <x:c r="I242" s="9" t="n">
        <x:f>MIN(10,F241+IF(AR241&gt;0,MIN(1,AS241/AR241),1))</x:f>
        <x:v>1.0094944806251718</x:v>
      </x:c>
      <x:c r="J242" s="32" t="n">
        <x:f>INDEX(v01_FoodCap,G242)*Arch_FoodCap*EXP(v01_CapsByProject*SUMPRODUCT((Cap_Point&lt;=I242)*(Cap_Kind="Food")*Cap_Ln))</x:f>
        <x:v>30</x:v>
      </x:c>
      <x:c r="K242" s="32" t="n">
        <x:f>J242*MIN(1,v01_LeanBase*EXP(v01_CapsByProject*SUMPRODUCT((Cap_Point&lt;=I242)*(Cap_Kind="Lean")*Cap_Ln)))</x:f>
        <x:v>30</x:v>
      </x:c>
      <x:c r="L242" s="10" t="n">
        <x:f>INDEX(v01_HousingCap,G242)*EXP(v01_CapsByProject*SUMPRODUCT((Cap_Point&lt;=I242)*(Cap_Kind="Housing")*Cap_Ln))</x:f>
        <x:v>60</x:v>
      </x:c>
      <x:c r="M242" s="10" t="n">
        <x:f>INDEX(v01_GroupCap,G242)*v01_CohesionFactor*EXP(v01_CapsByProject*SUMPRODUCT((Cap_Point&lt;=I242)*(Cap_Kind="Group")*Cap_Ln))</x:f>
        <x:v>100</x:v>
      </x:c>
      <x:c r="N242" s="32" t="n">
        <x:f>MIN(J242,L242,M242)</x:f>
        <x:v>30</x:v>
      </x:c>
      <x:c r="O242" s="10" t="n">
        <x:f>AE241*N242</x:f>
        <x:v>30</x:v>
      </x:c>
      <x:c r="P242" s="9" t="n">
        <x:f>MIN(1,(AB241/(AE241*IF(v01_GroupInCrowding=1,N242,MIN(J242,L242))))^v01_CrowdingExp)</x:f>
        <x:v>0.05136281233933</x:v>
      </x:c>
      <x:c r="Q242" s="9" t="n">
        <x:f>IF(D242=1,INDEX(v01_WinterMult,G242),1)</x:f>
        <x:v>1</x:v>
      </x:c>
      <x:c r="R242" s="9" t="n">
        <x:f>H242*Z241*v01_WomenShare*v01_BaseFertility*INDEX(v01_FertMult,G242)*Arch_Fertility*(1-P242)</x:f>
        <x:v>0.3179132022954244</x:v>
      </x:c>
      <x:c r="S242" s="9" t="n">
        <x:f>H242*Y241*INDEX(v01_MortChild,G242)/4*Q242</x:f>
        <x:v>0.06143698264016579</x:v>
      </x:c>
      <x:c r="T242" s="9" t="n">
        <x:f>H242*Z241*INDEX(v01_MortAdult,G242)*Arch_AdultMort/4*Q242</x:f>
        <x:v>0.029044273080010972</x:v>
      </x:c>
      <x:c r="U242" s="9" t="n">
        <x:f>H242*AA241*INDEX(v01_MortElder,G242)/4*Q242</x:f>
        <x:v>0.046651831702644024</x:v>
      </x:c>
      <x:c r="V242" s="9" t="n">
        <x:f>H242*MAX(0,AB241-O242)*v01_OvercapLoss</x:f>
        <x:v>0</x:v>
      </x:c>
      <x:c r="W242" s="9" t="n">
        <x:f>H242*Y241/(v01_ChildYears*4)</x:f>
        <x:v>0.12538159722482814</x:v>
      </x:c>
      <x:c r="X242" s="9" t="n">
        <x:f>H242*Z241/(v01_AdultYears*4)</x:f>
        <x:v>0.07207015652608183</x:v>
      </x:c>
      <x:c r="Y242" s="32" t="n">
        <x:f>Y241+R242-S242-W242-Y241*V242/AB241</x:f>
        <x:v>7.152464067020806</x:v>
      </x:c>
      <x:c r="Z242" s="32" t="n">
        <x:f>Z241+W242-X242-T242-Z241*V242/AB241</x:f>
        <x:v>8.960966576852883</x:v>
      </x:c>
      <x:c r="AA242" s="32" t="n">
        <x:f>AA241+X242-U242-AA241*V242/AB241</x:f>
        <x:v>2.3580099099556393</x:v>
      </x:c>
      <x:c r="AB242" s="10" t="n">
        <x:f>Y242+Z242+AA242</x:f>
        <x:v>18.47144055382933</x:v>
      </x:c>
      <x:c r="AC242" s="8" t="n">
        <x:f>IF(AND(v01_WinterTrigger=1,D242=1,AB241/AE241&gt;=K242),1,0)</x:f>
        <x:v>0</x:v>
      </x:c>
      <x:c r="AD242" s="8" t="n">
        <x:f>H242*IF(AND(OR(AB241/AE241&gt;=v01_FissionTrigger*N242,AC242=1),AB241/AE241*v01_DaughterShare&gt;=v01_MinDaughter),MAX(1,ROUND(AE241*v01_FissionRate,0)),0)</x:f>
        <x:v>0</x:v>
      </x:c>
      <x:c r="AE242" s="8" t="n">
        <x:f>IF(H242=1,MAX(1,MIN(INDEX(v01_Smax,G242),AE241+AD242)),AE241)</x:f>
        <x:v>1</x:v>
      </x:c>
      <x:c r="AF242" s="8" t="n">
        <x:f>MAX(0,AE242-AE241)</x:f>
        <x:v>0</x:v>
      </x:c>
      <x:c r="AG242" s="9" t="str">
        <x:f>IF(AF242&gt;0,B242,"")</x:f>
      </x:c>
      <x:c r="AH242" s="9" t="n">
        <x:f>IF(F242&gt;=1,1,(1+v01_LowTiesShare*(AE242-1))/AE242)</x:f>
        <x:v>1</x:v>
      </x:c>
      <x:c r="AI242" s="32" t="n">
        <x:f>(Z242+v01_ElderCommons*INDEX(LM_Elder,G242)*AA242)*AH242</x:f>
        <x:v>14.736887664670306</x:v>
      </x:c>
      <x:c r="AJ242" s="32" t="n">
        <x:f>H242*v01_CommonsCoef*AI242^v01_CommonsExp*INDEX(LM_Commons,G242)</x:f>
        <x:v>6.496640611101954</x:v>
      </x:c>
      <x:c r="AK242" s="32" t="n">
        <x:f>H242*v01_RoleScale*Arch_Roles*(AE242*(INDEX(v01_ElderRolePerSett,G242)*v01_OutElder*INDEX(LM_Elder,G242)+INDEX(v01_ShamanPerSett,G242)*v01_OutShaman)+Z242*(INDEX(v01_PriestShare,G242)*v01_OutPriest+INDEX(v01_ScribeShare,G242)*v01_OutScribe*INDEX(LM_Scribe,G242)+INDEX(v01_ScholarShare,G242)*v01_OutScholar*INDEX(LM_Scholar,G242)+INDEX(v01_ResearcherShare,G242)*v01_OutResearcher*INDEX(LM_Researcher,G242)))</x:f>
        <x:v>1.3623724356957945</x:v>
      </x:c>
      <x:c r="AL242" s="32" t="n">
        <x:f>H242*v01_RoleScale*Arch_Roles*AE242*INDEX(v01_MonasteryPerSett,G242)*v01_OutMonastery*INDEX(LM_Monastery,G242)</x:f>
        <x:v>0</x:v>
      </x:c>
      <x:c r="AM242" s="32" t="n">
        <x:f>(AJ242+AK242+AL242)/4*INDEX(LM_All,G242)*INDEX(v01_Boon,G242)*Arch_Insight</x:f>
        <x:v>2.013872093241923</x:v>
      </x:c>
      <x:c r="AN242" s="32" t="n">
        <x:f>H242*(v01_KHPerAdult*Z242+v01_KHOfCommons*AJ242/4*INDEX(LM_All,G242))*v01_KHUsable*Arch_KH</x:f>
        <x:v>0.3136338301898509</x:v>
      </x:c>
      <x:c r="AO242" s="32" t="n">
        <x:f>MIN(AP241+AN242,AM242*v01_KHMaxRatio)</x:f>
        <x:v>0.3136338301898509</x:v>
      </x:c>
      <x:c r="AP242" s="32" t="n">
        <x:f>AP241+AN242-AO242</x:f>
        <x:v>0</x:v>
      </x:c>
      <x:c r="AQ242" s="32" t="n">
        <x:f>AM242+AO242</x:f>
        <x:v>2.327505923431774</x:v>
      </x:c>
      <x:c r="AR242" s="10" t="n">
        <x:f>IF(H242=1,INDEX(v01_Req,G242),0)</x:f>
        <x:v>1067.32</x:v>
      </x:c>
      <x:c r="AS242" s="32" t="n">
        <x:f>IF(H242=1,IF(E242=1,AS241-AR241,AS241)+AQ242,0)</x:f>
        <x:v>12.461154984290099</x:v>
      </x:c>
      <x:c r="AT242" s="11" t="n">
        <x:f>IF(AR242&gt;0,MIN(1,AS242/AR242),1)</x:f>
        <x:v>0.011675181748950736</x:v>
      </x:c>
      <x:c r="AU242" s="10" t="n">
        <x:f>AB242/INDEX(v01_RepScale,G242)</x:f>
        <x:v>18.47144055382933</x:v>
      </x:c>
      <x:c r="AV242" s="32" t="n">
        <x:f>AM242*60/v01_SeasonSeconds</x:f>
        <x:v>8.055488372967693</x:v>
      </x:c>
    </x:row>
    <x:row r="243">
      <x:c r="A243" s="8" t="n">
        <x:f>A242+1</x:f>
        <x:v>240</x:v>
      </x:c>
      <x:c r="B243" s="9" t="n">
        <x:f>A243*v01_SeasonSeconds/60</x:f>
        <x:v>60</x:v>
      </x:c>
      <x:c r="C243" s="9" t="n">
        <x:f>A243/4</x:f>
        <x:v>60</x:v>
      </x:c>
      <x:c r="D243" s="8" t="n">
        <x:f>IF(MOD(A243,4)=0,1,0)</x:f>
        <x:v>1</x:v>
      </x:c>
      <x:c r="E243" s="8" t="n">
        <x:f>IF(AND(F242&lt;=9,AS242&gt;=AR242),1,0)</x:f>
        <x:v>0</x:v>
      </x:c>
      <x:c r="F243" s="8" t="n">
        <x:f>MIN(10,F242+E243)</x:f>
        <x:v>1</x:v>
      </x:c>
      <x:c r="G243" s="8" t="n">
        <x:f>MIN(F243,9)+1</x:f>
        <x:v>2</x:v>
      </x:c>
      <x:c r="H243" s="8" t="n">
        <x:f>IF(F243&lt;=9,1,0)</x:f>
        <x:v>1</x:v>
      </x:c>
      <x:c r="I243" s="9" t="n">
        <x:f>MIN(10,F242+IF(AR242&gt;0,MIN(1,AS242/AR242),1))</x:f>
        <x:v>1.0116751817489507</x:v>
      </x:c>
      <x:c r="J243" s="32" t="n">
        <x:f>INDEX(v01_FoodCap,G243)*Arch_FoodCap*EXP(v01_CapsByProject*SUMPRODUCT((Cap_Point&lt;=I243)*(Cap_Kind="Food")*Cap_Ln))</x:f>
        <x:v>30</x:v>
      </x:c>
      <x:c r="K243" s="32" t="n">
        <x:f>J243*MIN(1,v01_LeanBase*EXP(v01_CapsByProject*SUMPRODUCT((Cap_Point&lt;=I243)*(Cap_Kind="Lean")*Cap_Ln)))</x:f>
        <x:v>30</x:v>
      </x:c>
      <x:c r="L243" s="10" t="n">
        <x:f>INDEX(v01_HousingCap,G243)*EXP(v01_CapsByProject*SUMPRODUCT((Cap_Point&lt;=I243)*(Cap_Kind="Housing")*Cap_Ln))</x:f>
        <x:v>60</x:v>
      </x:c>
      <x:c r="M243" s="10" t="n">
        <x:f>INDEX(v01_GroupCap,G243)*v01_CohesionFactor*EXP(v01_CapsByProject*SUMPRODUCT((Cap_Point&lt;=I243)*(Cap_Kind="Group")*Cap_Ln))</x:f>
        <x:v>100</x:v>
      </x:c>
      <x:c r="N243" s="32" t="n">
        <x:f>MIN(J243,L243,M243)</x:f>
        <x:v>30</x:v>
      </x:c>
      <x:c r="O243" s="10" t="n">
        <x:f>AE242*N243</x:f>
        <x:v>30</x:v>
      </x:c>
      <x:c r="P243" s="9" t="n">
        <x:f>MIN(1,(AB242/(AE242*IF(v01_GroupInCrowding=1,N243,MIN(J243,L243))))^v01_CrowdingExp)</x:f>
        <x:v>0.05448501455344808</x:v>
      </x:c>
      <x:c r="Q243" s="9" t="n">
        <x:f>IF(D243=1,INDEX(v01_WinterMult,G243),1)</x:f>
        <x:v>1.6</x:v>
      </x:c>
      <x:c r="R243" s="9" t="n">
        <x:f>H243*Z242*v01_WomenShare*v01_BaseFertility*INDEX(v01_FertMult,G243)*Arch_Fertility*(1-P243)</x:f>
        <x:v>0.3177273068437534</x:v>
      </x:c>
      <x:c r="S243" s="9" t="n">
        <x:f>H243*Y242*INDEX(v01_MortChild,G243)/4*Q243</x:f>
        <x:v>0.1001344969382913</x:v>
      </x:c>
      <x:c r="T243" s="9" t="n">
        <x:f>H243*Z242*INDEX(v01_MortAdult,G243)*Arch_AdultMort/4*Q243</x:f>
        <x:v>0.04659702619963499</x:v>
      </x:c>
      <x:c r="U243" s="9" t="n">
        <x:f>H243*AA242*INDEX(v01_MortElder,G243)/4*Q243</x:f>
        <x:v>0.07545631711858047</x:v>
      </x:c>
      <x:c r="V243" s="9" t="n">
        <x:f>H243*MAX(0,AB242-O243)*v01_OvercapLoss</x:f>
        <x:v>0</x:v>
      </x:c>
      <x:c r="W243" s="9" t="n">
        <x:f>H243*Y242/(v01_ChildYears*4)</x:f>
        <x:v>0.12772257262537154</x:v>
      </x:c>
      <x:c r="X243" s="9" t="n">
        <x:f>H243*Z242/(v01_AdultYears*4)</x:f>
        <x:v>0.07226585949074905</x:v>
      </x:c>
      <x:c r="Y243" s="32" t="n">
        <x:f>Y242+R243-S243-W243-Y242*V243/AB242</x:f>
        <x:v>7.242334304300897</x:v>
      </x:c>
      <x:c r="Z243" s="32" t="n">
        <x:f>Z242+W243-X243-T243-Z242*V243/AB242</x:f>
        <x:v>8.969826263787871</x:v>
      </x:c>
      <x:c r="AA243" s="32" t="n">
        <x:f>AA242+X243-U243-AA242*V243/AB242</x:f>
        <x:v>2.354819452327808</x:v>
      </x:c>
      <x:c r="AB243" s="10" t="n">
        <x:f>Y243+Z243+AA243</x:f>
        <x:v>18.56698002041658</x:v>
      </x:c>
      <x:c r="AC243" s="8" t="n">
        <x:f>IF(AND(v01_WinterTrigger=1,D243=1,AB242/AE242&gt;=K243),1,0)</x:f>
        <x:v>0</x:v>
      </x:c>
      <x:c r="AD243" s="8" t="n">
        <x:f>H243*IF(AND(OR(AB242/AE242&gt;=v01_FissionTrigger*N243,AC243=1),AB242/AE242*v01_DaughterShare&gt;=v01_MinDaughter),MAX(1,ROUND(AE242*v01_FissionRate,0)),0)</x:f>
        <x:v>0</x:v>
      </x:c>
      <x:c r="AE243" s="8" t="n">
        <x:f>IF(H243=1,MAX(1,MIN(INDEX(v01_Smax,G243),AE242+AD243)),AE242)</x:f>
        <x:v>1</x:v>
      </x:c>
      <x:c r="AF243" s="8" t="n">
        <x:f>MAX(0,AE243-AE242)</x:f>
        <x:v>0</x:v>
      </x:c>
      <x:c r="AG243" s="9" t="str">
        <x:f>IF(AF243&gt;0,B243,"")</x:f>
      </x:c>
      <x:c r="AH243" s="9" t="n">
        <x:f>IF(F243&gt;=1,1,(1+v01_LowTiesShare*(AE243-1))/AE243)</x:f>
        <x:v>1</x:v>
      </x:c>
      <x:c r="AI243" s="32" t="n">
        <x:f>(Z243+v01_ElderCommons*INDEX(LM_Elder,G243)*AA243)*AH243</x:f>
        <x:v>14.737932358371136</x:v>
      </x:c>
      <x:c r="AJ243" s="32" t="n">
        <x:f>H243*v01_CommonsCoef*AI243^v01_CommonsExp*INDEX(LM_Commons,G243)</x:f>
        <x:v>6.497032072247258</x:v>
      </x:c>
      <x:c r="AK243" s="32" t="n">
        <x:f>H243*v01_RoleScale*Arch_Roles*(AE243*(INDEX(v01_ElderRolePerSett,G243)*v01_OutElder*INDEX(LM_Elder,G243)+INDEX(v01_ShamanPerSett,G243)*v01_OutShaman)+Z243*(INDEX(v01_PriestShare,G243)*v01_OutPriest+INDEX(v01_ScribeShare,G243)*v01_OutScribe*INDEX(LM_Scribe,G243)+INDEX(v01_ScholarShare,G243)*v01_OutScholar*INDEX(LM_Scholar,G243)+INDEX(v01_ResearcherShare,G243)*v01_OutResearcher*INDEX(LM_Researcher,G243)))</x:f>
        <x:v>1.3623724356957945</x:v>
      </x:c>
      <x:c r="AL243" s="32" t="n">
        <x:f>H243*v01_RoleScale*Arch_Roles*AE243*INDEX(v01_MonasteryPerSett,G243)*v01_OutMonastery*INDEX(LM_Monastery,G243)</x:f>
        <x:v>0</x:v>
      </x:c>
      <x:c r="AM243" s="32" t="n">
        <x:f>(AJ243+AK243+AL243)/4*INDEX(LM_All,G243)*INDEX(v01_Boon,G243)*Arch_Insight</x:f>
        <x:v>2.013972405160407</x:v>
      </x:c>
      <x:c r="AN243" s="32" t="n">
        <x:f>H243*(v01_KHPerAdult*Z243+v01_KHOfCommons*AJ243/4*INDEX(LM_All,G243))*v01_KHUsable*Arch_KH</x:f>
        <x:v>0.3139439192325755</x:v>
      </x:c>
      <x:c r="AO243" s="32" t="n">
        <x:f>MIN(AP242+AN243,AM243*v01_KHMaxRatio)</x:f>
        <x:v>0.3139439192325755</x:v>
      </x:c>
      <x:c r="AP243" s="32" t="n">
        <x:f>AP242+AN243-AO243</x:f>
        <x:v>0</x:v>
      </x:c>
      <x:c r="AQ243" s="32" t="n">
        <x:f>AM243+AO243</x:f>
        <x:v>2.3279163243929824</x:v>
      </x:c>
      <x:c r="AR243" s="10" t="n">
        <x:f>IF(H243=1,INDEX(v01_Req,G243),0)</x:f>
        <x:v>1067.32</x:v>
      </x:c>
      <x:c r="AS243" s="32" t="n">
        <x:f>IF(H243=1,IF(E243=1,AS242-AR242,AS242)+AQ243,0)</x:f>
        <x:v>14.78907130868308</x:v>
      </x:c>
      <x:c r="AT243" s="11" t="n">
        <x:f>IF(AR243&gt;0,MIN(1,AS243/AR243),1)</x:f>
        <x:v>0.013856267388115169</x:v>
      </x:c>
      <x:c r="AU243" s="10" t="n">
        <x:f>AB243/INDEX(v01_RepScale,G243)</x:f>
        <x:v>18.56698002041658</x:v>
      </x:c>
      <x:c r="AV243" s="32" t="n">
        <x:f>AM243*60/v01_SeasonSeconds</x:f>
        <x:v>8.055889620641628</x:v>
      </x:c>
    </x:row>
    <x:row r="244">
      <x:c r="A244" s="8" t="n">
        <x:f>A243+1</x:f>
        <x:v>241</x:v>
      </x:c>
      <x:c r="B244" s="9" t="n">
        <x:f>A244*v01_SeasonSeconds/60</x:f>
        <x:v>60.25</x:v>
      </x:c>
      <x:c r="C244" s="9" t="n">
        <x:f>A244/4</x:f>
        <x:v>60.25</x:v>
      </x:c>
      <x:c r="D244" s="8" t="n">
        <x:f>IF(MOD(A244,4)=0,1,0)</x:f>
        <x:v>0</x:v>
      </x:c>
      <x:c r="E244" s="8" t="n">
        <x:f>IF(AND(F243&lt;=9,AS243&gt;=AR243),1,0)</x:f>
        <x:v>0</x:v>
      </x:c>
      <x:c r="F244" s="8" t="n">
        <x:f>MIN(10,F243+E244)</x:f>
        <x:v>1</x:v>
      </x:c>
      <x:c r="G244" s="8" t="n">
        <x:f>MIN(F244,9)+1</x:f>
        <x:v>2</x:v>
      </x:c>
      <x:c r="H244" s="8" t="n">
        <x:f>IF(F244&lt;=9,1,0)</x:f>
        <x:v>1</x:v>
      </x:c>
      <x:c r="I244" s="9" t="n">
        <x:f>MIN(10,F243+IF(AR243&gt;0,MIN(1,AS243/AR243),1))</x:f>
        <x:v>1.013856267388115</x:v>
      </x:c>
      <x:c r="J244" s="32" t="n">
        <x:f>INDEX(v01_FoodCap,G244)*Arch_FoodCap*EXP(v01_CapsByProject*SUMPRODUCT((Cap_Point&lt;=I244)*(Cap_Kind="Food")*Cap_Ln))</x:f>
        <x:v>30</x:v>
      </x:c>
      <x:c r="K244" s="32" t="n">
        <x:f>J244*MIN(1,v01_LeanBase*EXP(v01_CapsByProject*SUMPRODUCT((Cap_Point&lt;=I244)*(Cap_Kind="Lean")*Cap_Ln)))</x:f>
        <x:v>30</x:v>
      </x:c>
      <x:c r="L244" s="10" t="n">
        <x:f>INDEX(v01_HousingCap,G244)*EXP(v01_CapsByProject*SUMPRODUCT((Cap_Point&lt;=I244)*(Cap_Kind="Housing")*Cap_Ln))</x:f>
        <x:v>60</x:v>
      </x:c>
      <x:c r="M244" s="10" t="n">
        <x:f>INDEX(v01_GroupCap,G244)*v01_CohesionFactor*EXP(v01_CapsByProject*SUMPRODUCT((Cap_Point&lt;=I244)*(Cap_Kind="Group")*Cap_Ln))</x:f>
        <x:v>100</x:v>
      </x:c>
      <x:c r="N244" s="32" t="n">
        <x:f>MIN(J244,L244,M244)</x:f>
        <x:v>30</x:v>
      </x:c>
      <x:c r="O244" s="10" t="n">
        <x:f>AE243*N244</x:f>
        <x:v>30</x:v>
      </x:c>
      <x:c r="P244" s="9" t="n">
        <x:f>MIN(1,(AB243/(AE243*IF(v01_GroupInCrowding=1,N244,MIN(J244,L244))))^v01_CrowdingExp)</x:f>
        <x:v>0.056197900641910485</x:v>
      </x:c>
      <x:c r="Q244" s="9" t="n">
        <x:f>IF(D244=1,INDEX(v01_WinterMult,G244),1)</x:f>
        <x:v>1</x:v>
      </x:c>
      <x:c r="R244" s="9" t="n">
        <x:f>H244*Z243*v01_WomenShare*v01_BaseFertility*INDEX(v01_FertMult,G244)*Arch_Fertility*(1-P244)</x:f>
        <x:v>0.31746528219901204</x:v>
      </x:c>
      <x:c r="S244" s="9" t="n">
        <x:f>H244*Y243*INDEX(v01_MortChild,G244)/4*Q244</x:f>
        <x:v>0.06337042516263286</x:v>
      </x:c>
      <x:c r="T244" s="9" t="n">
        <x:f>H244*Z243*INDEX(v01_MortAdult,G244)*Arch_AdultMort/4*Q244</x:f>
        <x:v>0.02915193535731058</x:v>
      </x:c>
      <x:c r="U244" s="9" t="n">
        <x:f>H244*AA243*INDEX(v01_MortElder,G244)/4*Q244</x:f>
        <x:v>0.047096389046556164</x:v>
      </x:c>
      <x:c r="V244" s="9" t="n">
        <x:f>H244*MAX(0,AB243-O244)*v01_OvercapLoss</x:f>
        <x:v>0</x:v>
      </x:c>
      <x:c r="W244" s="9" t="n">
        <x:f>H244*Y243/(v01_ChildYears*4)</x:f>
        <x:v>0.12932739829108744</x:v>
      </x:c>
      <x:c r="X244" s="9" t="n">
        <x:f>H244*Z243/(v01_AdultYears*4)</x:f>
        <x:v>0.07233730857893444</x:v>
      </x:c>
      <x:c r="Y244" s="32" t="n">
        <x:f>Y243+R244-S244-W244-Y243*V244/AB243</x:f>
        <x:v>7.367101763046189</x:v>
      </x:c>
      <x:c r="Z244" s="32" t="n">
        <x:f>Z243+W244-X244-T244-Z243*V244/AB243</x:f>
        <x:v>8.997664418142714</x:v>
      </x:c>
      <x:c r="AA244" s="32" t="n">
        <x:f>AA243+X244-U244-AA243*V244/AB243</x:f>
        <x:v>2.3800603718601865</x:v>
      </x:c>
      <x:c r="AB244" s="10" t="n">
        <x:f>Y244+Z244+AA244</x:f>
        <x:v>18.744826553049087</x:v>
      </x:c>
      <x:c r="AC244" s="8" t="n">
        <x:f>IF(AND(v01_WinterTrigger=1,D244=1,AB243/AE243&gt;=K244),1,0)</x:f>
        <x:v>0</x:v>
      </x:c>
      <x:c r="AD244" s="8" t="n">
        <x:f>H244*IF(AND(OR(AB243/AE243&gt;=v01_FissionTrigger*N244,AC244=1),AB243/AE243*v01_DaughterShare&gt;=v01_MinDaughter),MAX(1,ROUND(AE243*v01_FissionRate,0)),0)</x:f>
        <x:v>0</x:v>
      </x:c>
      <x:c r="AE244" s="8" t="n">
        <x:f>IF(H244=1,MAX(1,MIN(INDEX(v01_Smax,G244),AE243+AD244)),AE243)</x:f>
        <x:v>1</x:v>
      </x:c>
      <x:c r="AF244" s="8" t="n">
        <x:f>MAX(0,AE244-AE243)</x:f>
        <x:v>0</x:v>
      </x:c>
      <x:c r="AG244" s="9" t="str">
        <x:f>IF(AF244&gt;0,B244,"")</x:f>
      </x:c>
      <x:c r="AH244" s="9" t="n">
        <x:f>IF(F244&gt;=1,1,(1+v01_LowTiesShare*(AE244-1))/AE244)</x:f>
        <x:v>1</x:v>
      </x:c>
      <x:c r="AI244" s="32" t="n">
        <x:f>(Z244+v01_ElderCommons*INDEX(LM_Elder,G244)*AA244)*AH244</x:f>
        <x:v>14.827597886218957</x:v>
      </x:c>
      <x:c r="AJ244" s="32" t="n">
        <x:f>H244*v01_CommonsCoef*AI244^v01_CommonsExp*INDEX(LM_Commons,G244)</x:f>
        <x:v>6.530615508734438</x:v>
      </x:c>
      <x:c r="AK244" s="32" t="n">
        <x:f>H244*v01_RoleScale*Arch_Roles*(AE244*(INDEX(v01_ElderRolePerSett,G244)*v01_OutElder*INDEX(LM_Elder,G244)+INDEX(v01_ShamanPerSett,G244)*v01_OutShaman)+Z244*(INDEX(v01_PriestShare,G244)*v01_OutPriest+INDEX(v01_ScribeShare,G244)*v01_OutScribe*INDEX(LM_Scribe,G244)+INDEX(v01_ScholarShare,G244)*v01_OutScholar*INDEX(LM_Scholar,G244)+INDEX(v01_ResearcherShare,G244)*v01_OutResearcher*INDEX(LM_Researcher,G244)))</x:f>
        <x:v>1.3623724356957945</x:v>
      </x:c>
      <x:c r="AL244" s="32" t="n">
        <x:f>H244*v01_RoleScale*Arch_Roles*AE244*INDEX(v01_MonasteryPerSett,G244)*v01_OutMonastery*INDEX(LM_Monastery,G244)</x:f>
        <x:v>0</x:v>
      </x:c>
      <x:c r="AM244" s="32" t="n">
        <x:f>(AJ244+AK244+AL244)/4*INDEX(LM_All,G244)*INDEX(v01_Boon,G244)*Arch_Insight</x:f>
        <x:v>2.022578160760247</x:v>
      </x:c>
      <x:c r="AN244" s="32" t="n">
        <x:f>H244*(v01_KHPerAdult*Z244+v01_KHOfCommons*AJ244/4*INDEX(LM_All,G244))*v01_KHUsable*Arch_KH</x:f>
        <x:v>0.314918254634995</x:v>
      </x:c>
      <x:c r="AO244" s="32" t="n">
        <x:f>MIN(AP243+AN244,AM244*v01_KHMaxRatio)</x:f>
        <x:v>0.314918254634995</x:v>
      </x:c>
      <x:c r="AP244" s="32" t="n">
        <x:f>AP243+AN244-AO244</x:f>
        <x:v>0</x:v>
      </x:c>
      <x:c r="AQ244" s="32" t="n">
        <x:f>AM244+AO244</x:f>
        <x:v>2.337496415395242</x:v>
      </x:c>
      <x:c r="AR244" s="10" t="n">
        <x:f>IF(H244=1,INDEX(v01_Req,G244),0)</x:f>
        <x:v>1067.32</x:v>
      </x:c>
      <x:c r="AS244" s="32" t="n">
        <x:f>IF(H244=1,IF(E244=1,AS243-AR243,AS243)+AQ244,0)</x:f>
        <x:v>17.126567724078324</x:v>
      </x:c>
      <x:c r="AT244" s="11" t="n">
        <x:f>IF(AR244&gt;0,MIN(1,AS244/AR244),1)</x:f>
        <x:v>0.016046328864893683</x:v>
      </x:c>
      <x:c r="AU244" s="10" t="n">
        <x:f>AB244/INDEX(v01_RepScale,G244)</x:f>
        <x:v>18.744826553049087</x:v>
      </x:c>
      <x:c r="AV244" s="32" t="n">
        <x:f>AM244*60/v01_SeasonSeconds</x:f>
        <x:v>8.090312643040988</x:v>
      </x:c>
    </x:row>
    <x:row r="245">
      <x:c r="A245" s="8" t="n">
        <x:f>A244+1</x:f>
        <x:v>242</x:v>
      </x:c>
      <x:c r="B245" s="9" t="n">
        <x:f>A245*v01_SeasonSeconds/60</x:f>
        <x:v>60.5</x:v>
      </x:c>
      <x:c r="C245" s="9" t="n">
        <x:f>A245/4</x:f>
        <x:v>60.5</x:v>
      </x:c>
      <x:c r="D245" s="8" t="n">
        <x:f>IF(MOD(A245,4)=0,1,0)</x:f>
        <x:v>0</x:v>
      </x:c>
      <x:c r="E245" s="8" t="n">
        <x:f>IF(AND(F244&lt;=9,AS244&gt;=AR244),1,0)</x:f>
        <x:v>0</x:v>
      </x:c>
      <x:c r="F245" s="8" t="n">
        <x:f>MIN(10,F244+E245)</x:f>
        <x:v>1</x:v>
      </x:c>
      <x:c r="G245" s="8" t="n">
        <x:f>MIN(F245,9)+1</x:f>
        <x:v>2</x:v>
      </x:c>
      <x:c r="H245" s="8" t="n">
        <x:f>IF(F245&lt;=9,1,0)</x:f>
        <x:v>1</x:v>
      </x:c>
      <x:c r="I245" s="9" t="n">
        <x:f>MIN(10,F244+IF(AR244&gt;0,MIN(1,AS244/AR244),1))</x:f>
        <x:v>1.0160463288648938</x:v>
      </x:c>
      <x:c r="J245" s="32" t="n">
        <x:f>INDEX(v01_FoodCap,G245)*Arch_FoodCap*EXP(v01_CapsByProject*SUMPRODUCT((Cap_Point&lt;=I245)*(Cap_Kind="Food")*Cap_Ln))</x:f>
        <x:v>30</x:v>
      </x:c>
      <x:c r="K245" s="32" t="n">
        <x:f>J245*MIN(1,v01_LeanBase*EXP(v01_CapsByProject*SUMPRODUCT((Cap_Point&lt;=I245)*(Cap_Kind="Lean")*Cap_Ln)))</x:f>
        <x:v>30</x:v>
      </x:c>
      <x:c r="L245" s="10" t="n">
        <x:f>INDEX(v01_HousingCap,G245)*EXP(v01_CapsByProject*SUMPRODUCT((Cap_Point&lt;=I245)*(Cap_Kind="Housing")*Cap_Ln))</x:f>
        <x:v>60</x:v>
      </x:c>
      <x:c r="M245" s="10" t="n">
        <x:f>INDEX(v01_GroupCap,G245)*v01_CohesionFactor*EXP(v01_CapsByProject*SUMPRODUCT((Cap_Point&lt;=I245)*(Cap_Kind="Group")*Cap_Ln))</x:f>
        <x:v>100</x:v>
      </x:c>
      <x:c r="N245" s="32" t="n">
        <x:f>MIN(J245,L245,M245)</x:f>
        <x:v>30</x:v>
      </x:c>
      <x:c r="O245" s="10" t="n">
        <x:f>AE244*N245</x:f>
        <x:v>30</x:v>
      </x:c>
      <x:c r="P245" s="9" t="n">
        <x:f>MIN(1,(AB244/(AE244*IF(v01_GroupInCrowding=1,N245,MIN(J245,L245))))^v01_CrowdingExp)</x:f>
        <x:v>0.05950603714644663</x:v>
      </x:c>
      <x:c r="Q245" s="9" t="n">
        <x:f>IF(D245=1,INDEX(v01_WinterMult,G245),1)</x:f>
        <x:v>1</x:v>
      </x:c>
      <x:c r="R245" s="9" t="n">
        <x:f>H245*Z244*v01_WomenShare*v01_BaseFertility*INDEX(v01_FertMult,G245)*Arch_Fertility*(1-P245)</x:f>
        <x:v>0.31733433993920446</x:v>
      </x:c>
      <x:c r="S245" s="9" t="n">
        <x:f>H245*Y244*INDEX(v01_MortChild,G245)/4*Q245</x:f>
        <x:v>0.06446214042665416</x:v>
      </x:c>
      <x:c r="T245" s="9" t="n">
        <x:f>H245*Z244*INDEX(v01_MortAdult,G245)*Arch_AdultMort/4*Q245</x:f>
        <x:v>0.029242409358963817</x:v>
      </x:c>
      <x:c r="U245" s="9" t="n">
        <x:f>H245*AA244*INDEX(v01_MortElder,G245)/4*Q245</x:f>
        <x:v>0.04760120743720373</x:v>
      </x:c>
      <x:c r="V245" s="9" t="n">
        <x:f>H245*MAX(0,AB244-O245)*v01_OvercapLoss</x:f>
        <x:v>0</x:v>
      </x:c>
      <x:c r="W245" s="9" t="n">
        <x:f>H245*Y244/(v01_ChildYears*4)</x:f>
        <x:v>0.1315553886258248</x:v>
      </x:c>
      <x:c r="X245" s="9" t="n">
        <x:f>H245*Z244/(v01_AdultYears*4)</x:f>
        <x:v>0.07256180982373156</x:v>
      </x:c>
      <x:c r="Y245" s="32" t="n">
        <x:f>Y244+R245-S245-W245-Y244*V245/AB244</x:f>
        <x:v>7.488418573932915</x:v>
      </x:c>
      <x:c r="Z245" s="32" t="n">
        <x:f>Z244+W245-X245-T245-Z244*V245/AB244</x:f>
        <x:v>9.027415587585843</x:v>
      </x:c>
      <x:c r="AA245" s="32" t="n">
        <x:f>AA244+X245-U245-AA244*V245/AB244</x:f>
        <x:v>2.4050209742467143</x:v>
      </x:c>
      <x:c r="AB245" s="10" t="n">
        <x:f>Y245+Z245+AA245</x:f>
        <x:v>18.92085513576547</x:v>
      </x:c>
      <x:c r="AC245" s="8" t="n">
        <x:f>IF(AND(v01_WinterTrigger=1,D245=1,AB244/AE244&gt;=K245),1,0)</x:f>
        <x:v>0</x:v>
      </x:c>
      <x:c r="AD245" s="8" t="n">
        <x:f>H245*IF(AND(OR(AB244/AE244&gt;=v01_FissionTrigger*N245,AC245=1),AB244/AE244*v01_DaughterShare&gt;=v01_MinDaughter),MAX(1,ROUND(AE244*v01_FissionRate,0)),0)</x:f>
        <x:v>0</x:v>
      </x:c>
      <x:c r="AE245" s="8" t="n">
        <x:f>IF(H245=1,MAX(1,MIN(INDEX(v01_Smax,G245),AE244+AD245)),AE244)</x:f>
        <x:v>1</x:v>
      </x:c>
      <x:c r="AF245" s="8" t="n">
        <x:f>MAX(0,AE245-AE244)</x:f>
        <x:v>0</x:v>
      </x:c>
      <x:c r="AG245" s="9" t="str">
        <x:f>IF(AF245&gt;0,B245,"")</x:f>
      </x:c>
      <x:c r="AH245" s="9" t="n">
        <x:f>IF(F245&gt;=1,1,(1+v01_LowTiesShare*(AE245-1))/AE245)</x:f>
        <x:v>1</x:v>
      </x:c>
      <x:c r="AI245" s="32" t="n">
        <x:f>(Z245+v01_ElderCommons*INDEX(LM_Elder,G245)*AA245)*AH245</x:f>
        <x:v>14.918489795181575</x:v>
      </x:c>
      <x:c r="AJ245" s="32" t="n">
        <x:f>H245*v01_CommonsCoef*AI245^v01_CommonsExp*INDEX(LM_Commons,G245)</x:f>
        <x:v>6.564627199665887</x:v>
      </x:c>
      <x:c r="AK245" s="32" t="n">
        <x:f>H245*v01_RoleScale*Arch_Roles*(AE245*(INDEX(v01_ElderRolePerSett,G245)*v01_OutElder*INDEX(LM_Elder,G245)+INDEX(v01_ShamanPerSett,G245)*v01_OutShaman)+Z245*(INDEX(v01_PriestShare,G245)*v01_OutPriest+INDEX(v01_ScribeShare,G245)*v01_OutScribe*INDEX(LM_Scribe,G245)+INDEX(v01_ScholarShare,G245)*v01_OutScholar*INDEX(LM_Scholar,G245)+INDEX(v01_ResearcherShare,G245)*v01_OutResearcher*INDEX(LM_Researcher,G245)))</x:f>
        <x:v>1.3623724356957945</x:v>
      </x:c>
      <x:c r="AL245" s="32" t="n">
        <x:f>H245*v01_RoleScale*Arch_Roles*AE245*INDEX(v01_MonasteryPerSett,G245)*v01_OutMonastery*INDEX(LM_Monastery,G245)</x:f>
        <x:v>0</x:v>
      </x:c>
      <x:c r="AM245" s="32" t="n">
        <x:f>(AJ245+AK245+AL245)/4*INDEX(LM_All,G245)*INDEX(v01_Boon,G245)*Arch_Insight</x:f>
        <x:v>2.031293656561431</x:v>
      </x:c>
      <x:c r="AN245" s="32" t="n">
        <x:f>H245*(v01_KHPerAdult*Z245+v01_KHOfCommons*AJ245/4*INDEX(LM_All,G245))*v01_KHUsable*Arch_KH</x:f>
        <x:v>0.3159595455655045</x:v>
      </x:c>
      <x:c r="AO245" s="32" t="n">
        <x:f>MIN(AP244+AN245,AM245*v01_KHMaxRatio)</x:f>
        <x:v>0.3159595455655045</x:v>
      </x:c>
      <x:c r="AP245" s="32" t="n">
        <x:f>AP244+AN245-AO245</x:f>
        <x:v>0</x:v>
      </x:c>
      <x:c r="AQ245" s="32" t="n">
        <x:f>AM245+AO245</x:f>
        <x:v>2.3472532021269354</x:v>
      </x:c>
      <x:c r="AR245" s="10" t="n">
        <x:f>IF(H245=1,INDEX(v01_Req,G245),0)</x:f>
        <x:v>1067.32</x:v>
      </x:c>
      <x:c r="AS245" s="32" t="n">
        <x:f>IF(H245=1,IF(E245=1,AS244-AR244,AS244)+AQ245,0)</x:f>
        <x:v>19.47382092620526</x:v>
      </x:c>
      <x:c r="AT245" s="11" t="n">
        <x:f>IF(AR245&gt;0,MIN(1,AS245/AR245),1)</x:f>
        <x:v>0.018245531730132727</x:v>
      </x:c>
      <x:c r="AU245" s="10" t="n">
        <x:f>AB245/INDEX(v01_RepScale,G245)</x:f>
        <x:v>18.92085513576547</x:v>
      </x:c>
      <x:c r="AV245" s="32" t="n">
        <x:f>AM245*60/v01_SeasonSeconds</x:f>
        <x:v>8.125174626245723</x:v>
      </x:c>
    </x:row>
    <x:row r="246">
      <x:c r="A246" s="8" t="n">
        <x:f>A245+1</x:f>
        <x:v>243</x:v>
      </x:c>
      <x:c r="B246" s="9" t="n">
        <x:f>A246*v01_SeasonSeconds/60</x:f>
        <x:v>60.75</x:v>
      </x:c>
      <x:c r="C246" s="9" t="n">
        <x:f>A246/4</x:f>
        <x:v>60.75</x:v>
      </x:c>
      <x:c r="D246" s="8" t="n">
        <x:f>IF(MOD(A246,4)=0,1,0)</x:f>
        <x:v>0</x:v>
      </x:c>
      <x:c r="E246" s="8" t="n">
        <x:f>IF(AND(F245&lt;=9,AS245&gt;=AR245),1,0)</x:f>
        <x:v>0</x:v>
      </x:c>
      <x:c r="F246" s="8" t="n">
        <x:f>MIN(10,F245+E246)</x:f>
        <x:v>1</x:v>
      </x:c>
      <x:c r="G246" s="8" t="n">
        <x:f>MIN(F246,9)+1</x:f>
        <x:v>2</x:v>
      </x:c>
      <x:c r="H246" s="8" t="n">
        <x:f>IF(F246&lt;=9,1,0)</x:f>
        <x:v>1</x:v>
      </x:c>
      <x:c r="I246" s="9" t="n">
        <x:f>MIN(10,F245+IF(AR245&gt;0,MIN(1,AS245/AR245),1))</x:f>
        <x:v>1.0182455317301327</x:v>
      </x:c>
      <x:c r="J246" s="32" t="n">
        <x:f>INDEX(v01_FoodCap,G246)*Arch_FoodCap*EXP(v01_CapsByProject*SUMPRODUCT((Cap_Point&lt;=I246)*(Cap_Kind="Food")*Cap_Ln))</x:f>
        <x:v>30</x:v>
      </x:c>
      <x:c r="K246" s="32" t="n">
        <x:f>J246*MIN(1,v01_LeanBase*EXP(v01_CapsByProject*SUMPRODUCT((Cap_Point&lt;=I246)*(Cap_Kind="Lean")*Cap_Ln)))</x:f>
        <x:v>30</x:v>
      </x:c>
      <x:c r="L246" s="10" t="n">
        <x:f>INDEX(v01_HousingCap,G246)*EXP(v01_CapsByProject*SUMPRODUCT((Cap_Point&lt;=I246)*(Cap_Kind="Housing")*Cap_Ln))</x:f>
        <x:v>60</x:v>
      </x:c>
      <x:c r="M246" s="10" t="n">
        <x:f>INDEX(v01_GroupCap,G246)*v01_CohesionFactor*EXP(v01_CapsByProject*SUMPRODUCT((Cap_Point&lt;=I246)*(Cap_Kind="Group")*Cap_Ln))</x:f>
        <x:v>100</x:v>
      </x:c>
      <x:c r="N246" s="32" t="n">
        <x:f>MIN(J246,L246,M246)</x:f>
        <x:v>30</x:v>
      </x:c>
      <x:c r="O246" s="10" t="n">
        <x:f>AE245*N246</x:f>
        <x:v>30</x:v>
      </x:c>
      <x:c r="P246" s="9" t="n">
        <x:f>MIN(1,(AB245/(AE245*IF(v01_GroupInCrowding=1,N246,MIN(J246,L246))))^v01_CrowdingExp)</x:f>
        <x:v>0.06293859379076362</x:v>
      </x:c>
      <x:c r="Q246" s="9" t="n">
        <x:f>IF(D246=1,INDEX(v01_WinterMult,G246),1)</x:f>
        <x:v>1</x:v>
      </x:c>
      <x:c r="R246" s="9" t="n">
        <x:f>H246*Z245*v01_WomenShare*v01_BaseFertility*INDEX(v01_FertMult,G246)*Arch_Fertility*(1-P246)</x:f>
        <x:v>0.31722160293518886</x:v>
      </x:c>
      <x:c r="S246" s="9" t="n">
        <x:f>H246*Y245*INDEX(v01_MortChild,G246)/4*Q246</x:f>
        <x:v>0.06552366252191301</x:v>
      </x:c>
      <x:c r="T246" s="9" t="n">
        <x:f>H246*Z245*INDEX(v01_MortAdult,G246)*Arch_AdultMort/4*Q246</x:f>
        <x:v>0.029339100659653988</x:v>
      </x:c>
      <x:c r="U246" s="9" t="n">
        <x:f>H246*AA245*INDEX(v01_MortElder,G246)/4*Q246</x:f>
        <x:v>0.048100419484934286</x:v>
      </x:c>
      <x:c r="V246" s="9" t="n">
        <x:f>H246*MAX(0,AB245-O246)*v01_OvercapLoss</x:f>
        <x:v>0</x:v>
      </x:c>
      <x:c r="W246" s="9" t="n">
        <x:f>H246*Y245/(v01_ChildYears*4)</x:f>
        <x:v>0.13372176024880206</x:v>
      </x:c>
      <x:c r="X246" s="9" t="n">
        <x:f>H246*Z245/(v01_AdultYears*4)</x:f>
        <x:v>0.07280173860956325</x:v>
      </x:c>
      <x:c r="Y246" s="32" t="n">
        <x:f>Y245+R246-S246-W246-Y245*V246/AB245</x:f>
        <x:v>7.606394754097389</x:v>
      </x:c>
      <x:c r="Z246" s="32" t="n">
        <x:f>Z245+W246-X246-T246-Z245*V246/AB245</x:f>
        <x:v>9.058996508565428</x:v>
      </x:c>
      <x:c r="AA246" s="32" t="n">
        <x:f>AA245+X246-U246-AA245*V246/AB245</x:f>
        <x:v>2.4297222933713436</x:v>
      </x:c>
      <x:c r="AB246" s="10" t="n">
        <x:f>Y246+Z246+AA246</x:f>
        <x:v>19.09511355603416</x:v>
      </x:c>
      <x:c r="AC246" s="8" t="n">
        <x:f>IF(AND(v01_WinterTrigger=1,D246=1,AB245/AE245&gt;=K246),1,0)</x:f>
        <x:v>0</x:v>
      </x:c>
      <x:c r="AD246" s="8" t="n">
        <x:f>H246*IF(AND(OR(AB245/AE245&gt;=v01_FissionTrigger*N246,AC246=1),AB245/AE245*v01_DaughterShare&gt;=v01_MinDaughter),MAX(1,ROUND(AE245*v01_FissionRate,0)),0)</x:f>
        <x:v>0</x:v>
      </x:c>
      <x:c r="AE246" s="8" t="n">
        <x:f>IF(H246=1,MAX(1,MIN(INDEX(v01_Smax,G246),AE245+AD246)),AE245)</x:f>
        <x:v>1</x:v>
      </x:c>
      <x:c r="AF246" s="8" t="n">
        <x:f>MAX(0,AE246-AE245)</x:f>
        <x:v>0</x:v>
      </x:c>
      <x:c r="AG246" s="9" t="str">
        <x:f>IF(AF246&gt;0,B246,"")</x:f>
      </x:c>
      <x:c r="AH246" s="9" t="n">
        <x:f>IF(F246&gt;=1,1,(1+v01_LowTiesShare*(AE246-1))/AE246)</x:f>
        <x:v>1</x:v>
      </x:c>
      <x:c r="AI246" s="32" t="n">
        <x:f>(Z246+v01_ElderCommons*INDEX(LM_Elder,G246)*AA246)*AH246</x:f>
        <x:v>15.010576343990154</x:v>
      </x:c>
      <x:c r="AJ246" s="32" t="n">
        <x:f>H246*v01_CommonsCoef*AI246^v01_CommonsExp*INDEX(LM_Commons,G246)</x:f>
        <x:v>6.599054240989256</x:v>
      </x:c>
      <x:c r="AK246" s="32" t="n">
        <x:f>H246*v01_RoleScale*Arch_Roles*(AE246*(INDEX(v01_ElderRolePerSett,G246)*v01_OutElder*INDEX(LM_Elder,G246)+INDEX(v01_ShamanPerSett,G246)*v01_OutShaman)+Z246*(INDEX(v01_PriestShare,G246)*v01_OutPriest+INDEX(v01_ScribeShare,G246)*v01_OutScribe*INDEX(LM_Scribe,G246)+INDEX(v01_ScholarShare,G246)*v01_OutScholar*INDEX(LM_Scholar,G246)+INDEX(v01_ResearcherShare,G246)*v01_OutResearcher*INDEX(LM_Researcher,G246)))</x:f>
        <x:v>1.3623724356957945</x:v>
      </x:c>
      <x:c r="AL246" s="32" t="n">
        <x:f>H246*v01_RoleScale*Arch_Roles*AE246*INDEX(v01_MonasteryPerSett,G246)*v01_OutMonastery*INDEX(LM_Monastery,G246)</x:f>
        <x:v>0</x:v>
      </x:c>
      <x:c r="AM246" s="32" t="n">
        <x:f>(AJ246+AK246+AL246)/4*INDEX(LM_All,G246)*INDEX(v01_Boon,G246)*Arch_Insight</x:f>
        <x:v>2.040115585900544</x:v>
      </x:c>
      <x:c r="AN246" s="32" t="n">
        <x:f>H246*(v01_KHPerAdult*Z246+v01_KHOfCommons*AJ246/4*INDEX(LM_All,G246))*v01_KHUsable*Arch_KH</x:f>
        <x:v>0.31706487779979</x:v>
      </x:c>
      <x:c r="AO246" s="32" t="n">
        <x:f>MIN(AP245+AN246,AM246*v01_KHMaxRatio)</x:f>
        <x:v>0.31706487779979</x:v>
      </x:c>
      <x:c r="AP246" s="32" t="n">
        <x:f>AP245+AN246-AO246</x:f>
        <x:v>0</x:v>
      </x:c>
      <x:c r="AQ246" s="32" t="n">
        <x:f>AM246+AO246</x:f>
        <x:v>2.357180463700334</x:v>
      </x:c>
      <x:c r="AR246" s="10" t="n">
        <x:f>IF(H246=1,INDEX(v01_Req,G246),0)</x:f>
        <x:v>1067.32</x:v>
      </x:c>
      <x:c r="AS246" s="32" t="n">
        <x:f>IF(H246=1,IF(E246=1,AS245-AR245,AS245)+AQ246,0)</x:f>
        <x:v>21.831001389905595</x:v>
      </x:c>
      <x:c r="AT246" s="11" t="n">
        <x:f>IF(AR246&gt;0,MIN(1,AS246/AR246),1)</x:f>
        <x:v>0.020454035706166468</x:v>
      </x:c>
      <x:c r="AU246" s="10" t="n">
        <x:f>AB246/INDEX(v01_RepScale,G246)</x:f>
        <x:v>19.09511355603416</x:v>
      </x:c>
      <x:c r="AV246" s="32" t="n">
        <x:f>AM246*60/v01_SeasonSeconds</x:f>
        <x:v>8.160462343602177</x:v>
      </x:c>
    </x:row>
    <x:row r="247">
      <x:c r="A247" s="8" t="n">
        <x:f>A246+1</x:f>
        <x:v>244</x:v>
      </x:c>
      <x:c r="B247" s="9" t="n">
        <x:f>A247*v01_SeasonSeconds/60</x:f>
        <x:v>61</x:v>
      </x:c>
      <x:c r="C247" s="9" t="n">
        <x:f>A247/4</x:f>
        <x:v>61</x:v>
      </x:c>
      <x:c r="D247" s="8" t="n">
        <x:f>IF(MOD(A247,4)=0,1,0)</x:f>
        <x:v>1</x:v>
      </x:c>
      <x:c r="E247" s="8" t="n">
        <x:f>IF(AND(F246&lt;=9,AS246&gt;=AR246),1,0)</x:f>
        <x:v>0</x:v>
      </x:c>
      <x:c r="F247" s="8" t="n">
        <x:f>MIN(10,F246+E247)</x:f>
        <x:v>1</x:v>
      </x:c>
      <x:c r="G247" s="8" t="n">
        <x:f>MIN(F247,9)+1</x:f>
        <x:v>2</x:v>
      </x:c>
      <x:c r="H247" s="8" t="n">
        <x:f>IF(F247&lt;=9,1,0)</x:f>
        <x:v>1</x:v>
      </x:c>
      <x:c r="I247" s="9" t="n">
        <x:f>MIN(10,F246+IF(AR246&gt;0,MIN(1,AS246/AR246),1))</x:f>
        <x:v>1.0204540357061664</x:v>
      </x:c>
      <x:c r="J247" s="32" t="n">
        <x:f>INDEX(v01_FoodCap,G247)*Arch_FoodCap*EXP(v01_CapsByProject*SUMPRODUCT((Cap_Point&lt;=I247)*(Cap_Kind="Food")*Cap_Ln))</x:f>
        <x:v>30</x:v>
      </x:c>
      <x:c r="K247" s="32" t="n">
        <x:f>J247*MIN(1,v01_LeanBase*EXP(v01_CapsByProject*SUMPRODUCT((Cap_Point&lt;=I247)*(Cap_Kind="Lean")*Cap_Ln)))</x:f>
        <x:v>30</x:v>
      </x:c>
      <x:c r="L247" s="10" t="n">
        <x:f>INDEX(v01_HousingCap,G247)*EXP(v01_CapsByProject*SUMPRODUCT((Cap_Point&lt;=I247)*(Cap_Kind="Housing")*Cap_Ln))</x:f>
        <x:v>60</x:v>
      </x:c>
      <x:c r="M247" s="10" t="n">
        <x:f>INDEX(v01_GroupCap,G247)*v01_CohesionFactor*EXP(v01_CapsByProject*SUMPRODUCT((Cap_Point&lt;=I247)*(Cap_Kind="Group")*Cap_Ln))</x:f>
        <x:v>100</x:v>
      </x:c>
      <x:c r="N247" s="32" t="n">
        <x:f>MIN(J247,L247,M247)</x:f>
        <x:v>30</x:v>
      </x:c>
      <x:c r="O247" s="10" t="n">
        <x:f>AE246*N247</x:f>
        <x:v>30</x:v>
      </x:c>
      <x:c r="P247" s="9" t="n">
        <x:f>MIN(1,(AB246/(AE246*IF(v01_GroupInCrowding=1,N247,MIN(J247,L247))))^v01_CrowdingExp)</x:f>
        <x:v>0.06649759584897415</x:v>
      </x:c>
      <x:c r="Q247" s="9" t="n">
        <x:f>IF(D247=1,INDEX(v01_WinterMult,G247),1)</x:f>
        <x:v>1.6</x:v>
      </x:c>
      <x:c r="R247" s="9" t="n">
        <x:f>H247*Z246*v01_WomenShare*v01_BaseFertility*INDEX(v01_FertMult,G247)*Arch_Fertility*(1-P247)</x:f>
        <x:v>0.31712231324780904</x:v>
      </x:c>
      <x:c r="S247" s="9" t="n">
        <x:f>H247*Y246*INDEX(v01_MortChild,G247)/4*Q247</x:f>
        <x:v>0.10648952655736346</x:v>
      </x:c>
      <x:c r="T247" s="9" t="n">
        <x:f>H247*Z246*INDEX(v01_MortAdult,G247)*Arch_AdultMort/4*Q247</x:f>
        <x:v>0.04710678184454023</x:v>
      </x:c>
      <x:c r="U247" s="9" t="n">
        <x:f>H247*AA246*INDEX(v01_MortElder,G247)/4*Q247</x:f>
        <x:v>0.077751113387883</x:v>
      </x:c>
      <x:c r="V247" s="9" t="n">
        <x:f>H247*MAX(0,AB246-O247)*v01_OvercapLoss</x:f>
        <x:v>0</x:v>
      </x:c>
      <x:c r="W247" s="9" t="n">
        <x:f>H247*Y246/(v01_ChildYears*4)</x:f>
        <x:v>0.1358284777517391</x:v>
      </x:c>
      <x:c r="X247" s="9" t="n">
        <x:f>H247*Z246/(v01_AdultYears*4)</x:f>
        <x:v>0.07305642345617282</x:v>
      </x:c>
      <x:c r="Y247" s="32" t="n">
        <x:f>Y246+R247-S247-W247-Y246*V247/AB246</x:f>
        <x:v>7.681199063036096</x:v>
      </x:c>
      <x:c r="Z247" s="32" t="n">
        <x:f>Z246+W247-X247-T247-Z246*V247/AB246</x:f>
        <x:v>9.074661781016454</x:v>
      </x:c>
      <x:c r="AA247" s="32" t="n">
        <x:f>AA246+X247-U247-AA246*V247/AB246</x:f>
        <x:v>2.4250276034396334</x:v>
      </x:c>
      <x:c r="AB247" s="10" t="n">
        <x:f>Y247+Z247+AA247</x:f>
        <x:v>19.180888447492183</x:v>
      </x:c>
      <x:c r="AC247" s="8" t="n">
        <x:f>IF(AND(v01_WinterTrigger=1,D247=1,AB246/AE246&gt;=K247),1,0)</x:f>
        <x:v>0</x:v>
      </x:c>
      <x:c r="AD247" s="8" t="n">
        <x:f>H247*IF(AND(OR(AB246/AE246&gt;=v01_FissionTrigger*N247,AC247=1),AB246/AE246*v01_DaughterShare&gt;=v01_MinDaughter),MAX(1,ROUND(AE246*v01_FissionRate,0)),0)</x:f>
        <x:v>0</x:v>
      </x:c>
      <x:c r="AE247" s="8" t="n">
        <x:f>IF(H247=1,MAX(1,MIN(INDEX(v01_Smax,G247),AE246+AD247)),AE246)</x:f>
        <x:v>1</x:v>
      </x:c>
      <x:c r="AF247" s="8" t="n">
        <x:f>MAX(0,AE247-AE246)</x:f>
        <x:v>0</x:v>
      </x:c>
      <x:c r="AG247" s="9" t="str">
        <x:f>IF(AF247&gt;0,B247,"")</x:f>
      </x:c>
      <x:c r="AH247" s="9" t="n">
        <x:f>IF(F247&gt;=1,1,(1+v01_LowTiesShare*(AE247-1))/AE247)</x:f>
        <x:v>1</x:v>
      </x:c>
      <x:c r="AI247" s="32" t="n">
        <x:f>(Z247+v01_ElderCommons*INDEX(LM_Elder,G247)*AA247)*AH247</x:f>
        <x:v>15.014742021607908</x:v>
      </x:c>
      <x:c r="AJ247" s="32" t="n">
        <x:f>H247*v01_CommonsCoef*AI247^v01_CommonsExp*INDEX(LM_Commons,G247)</x:f>
        <x:v>6.600610851198516</x:v>
      </x:c>
      <x:c r="AK247" s="32" t="n">
        <x:f>H247*v01_RoleScale*Arch_Roles*(AE247*(INDEX(v01_ElderRolePerSett,G247)*v01_OutElder*INDEX(LM_Elder,G247)+INDEX(v01_ShamanPerSett,G247)*v01_OutShaman)+Z247*(INDEX(v01_PriestShare,G247)*v01_OutPriest+INDEX(v01_ScribeShare,G247)*v01_OutScribe*INDEX(LM_Scribe,G247)+INDEX(v01_ScholarShare,G247)*v01_OutScholar*INDEX(LM_Scholar,G247)+INDEX(v01_ResearcherShare,G247)*v01_OutResearcher*INDEX(LM_Researcher,G247)))</x:f>
        <x:v>1.3623724356957945</x:v>
      </x:c>
      <x:c r="AL247" s="32" t="n">
        <x:f>H247*v01_RoleScale*Arch_Roles*AE247*INDEX(v01_MonasteryPerSett,G247)*v01_OutMonastery*INDEX(LM_Monastery,G247)</x:f>
        <x:v>0</x:v>
      </x:c>
      <x:c r="AM247" s="32" t="n">
        <x:f>(AJ247+AK247+AL247)/4*INDEX(LM_All,G247)*INDEX(v01_Boon,G247)*Arch_Insight</x:f>
        <x:v>2.040514467266667</x:v>
      </x:c>
      <x:c r="AN247" s="32" t="n">
        <x:f>H247*(v01_KHPerAdult*Z247+v01_KHOfCommons*AJ247/4*INDEX(LM_All,G247))*v01_KHUsable*Arch_KH</x:f>
        <x:v>0.3176131623355759</x:v>
      </x:c>
      <x:c r="AO247" s="32" t="n">
        <x:f>MIN(AP246+AN247,AM247*v01_KHMaxRatio)</x:f>
        <x:v>0.3176131623355759</x:v>
      </x:c>
      <x:c r="AP247" s="32" t="n">
        <x:f>AP246+AN247-AO247</x:f>
        <x:v>0</x:v>
      </x:c>
      <x:c r="AQ247" s="32" t="n">
        <x:f>AM247+AO247</x:f>
        <x:v>2.358127629602243</x:v>
      </x:c>
      <x:c r="AR247" s="10" t="n">
        <x:f>IF(H247=1,INDEX(v01_Req,G247),0)</x:f>
        <x:v>1067.32</x:v>
      </x:c>
      <x:c r="AS247" s="32" t="n">
        <x:f>IF(H247=1,IF(E247=1,AS246-AR246,AS246)+AQ247,0)</x:f>
        <x:v>24.18912901950784</x:v>
      </x:c>
      <x:c r="AT247" s="11" t="n">
        <x:f>IF(AR247&gt;0,MIN(1,AS247/AR247),1)</x:f>
        <x:v>0.022663427106685754</x:v>
      </x:c>
      <x:c r="AU247" s="10" t="n">
        <x:f>AB247/INDEX(v01_RepScale,G247)</x:f>
        <x:v>19.180888447492183</x:v>
      </x:c>
      <x:c r="AV247" s="32" t="n">
        <x:f>AM247*60/v01_SeasonSeconds</x:f>
        <x:v>8.162057869066668</x:v>
      </x:c>
    </x:row>
    <x:row r="248">
      <x:c r="A248" s="8" t="n">
        <x:f>A247+1</x:f>
        <x:v>245</x:v>
      </x:c>
      <x:c r="B248" s="9" t="n">
        <x:f>A248*v01_SeasonSeconds/60</x:f>
        <x:v>61.25</x:v>
      </x:c>
      <x:c r="C248" s="9" t="n">
        <x:f>A248/4</x:f>
        <x:v>61.25</x:v>
      </x:c>
      <x:c r="D248" s="8" t="n">
        <x:f>IF(MOD(A248,4)=0,1,0)</x:f>
        <x:v>0</x:v>
      </x:c>
      <x:c r="E248" s="8" t="n">
        <x:f>IF(AND(F247&lt;=9,AS247&gt;=AR247),1,0)</x:f>
        <x:v>0</x:v>
      </x:c>
      <x:c r="F248" s="8" t="n">
        <x:f>MIN(10,F247+E248)</x:f>
        <x:v>1</x:v>
      </x:c>
      <x:c r="G248" s="8" t="n">
        <x:f>MIN(F248,9)+1</x:f>
        <x:v>2</x:v>
      </x:c>
      <x:c r="H248" s="8" t="n">
        <x:f>IF(F248&lt;=9,1,0)</x:f>
        <x:v>1</x:v>
      </x:c>
      <x:c r="I248" s="9" t="n">
        <x:f>MIN(10,F247+IF(AR247&gt;0,MIN(1,AS247/AR247),1))</x:f>
        <x:v>1.0226634271066857</x:v>
      </x:c>
      <x:c r="J248" s="32" t="n">
        <x:f>INDEX(v01_FoodCap,G248)*Arch_FoodCap*EXP(v01_CapsByProject*SUMPRODUCT((Cap_Point&lt;=I248)*(Cap_Kind="Food")*Cap_Ln))</x:f>
        <x:v>30</x:v>
      </x:c>
      <x:c r="K248" s="32" t="n">
        <x:f>J248*MIN(1,v01_LeanBase*EXP(v01_CapsByProject*SUMPRODUCT((Cap_Point&lt;=I248)*(Cap_Kind="Lean")*Cap_Ln)))</x:f>
        <x:v>30</x:v>
      </x:c>
      <x:c r="L248" s="10" t="n">
        <x:f>INDEX(v01_HousingCap,G248)*EXP(v01_CapsByProject*SUMPRODUCT((Cap_Point&lt;=I248)*(Cap_Kind="Housing")*Cap_Ln))</x:f>
        <x:v>60</x:v>
      </x:c>
      <x:c r="M248" s="10" t="n">
        <x:f>INDEX(v01_GroupCap,G248)*v01_CohesionFactor*EXP(v01_CapsByProject*SUMPRODUCT((Cap_Point&lt;=I248)*(Cap_Kind="Group")*Cap_Ln))</x:f>
        <x:v>100</x:v>
      </x:c>
      <x:c r="N248" s="32" t="n">
        <x:f>MIN(J248,L248,M248)</x:f>
        <x:v>30</x:v>
      </x:c>
      <x:c r="O248" s="10" t="n">
        <x:f>AE247*N248</x:f>
        <x:v>30</x:v>
      </x:c>
      <x:c r="P248" s="9" t="n">
        <x:f>MIN(1,(AB247/(AE247*IF(v01_GroupInCrowding=1,N248,MIN(J248,L248))))^v01_CrowdingExp)</x:f>
        <x:v>0.06831007923359278</x:v>
      </x:c>
      <x:c r="Q248" s="9" t="n">
        <x:f>IF(D248=1,INDEX(v01_WinterMult,G248),1)</x:f>
        <x:v>1</x:v>
      </x:c>
      <x:c r="R248" s="9" t="n">
        <x:f>H248*Z247*v01_WomenShare*v01_BaseFertility*INDEX(v01_FertMult,G248)*Arch_Fertility*(1-P248)</x:f>
        <x:v>0.31705390934014366</x:v>
      </x:c>
      <x:c r="S248" s="9" t="n">
        <x:f>H248*Y247*INDEX(v01_MortChild,G248)/4*Q248</x:f>
        <x:v>0.06721049180156584</x:v>
      </x:c>
      <x:c r="T248" s="9" t="n">
        <x:f>H248*Z247*INDEX(v01_MortAdult,G248)*Arch_AdultMort/4*Q248</x:f>
        <x:v>0.029492650788303473</x:v>
      </x:c>
      <x:c r="U248" s="9" t="n">
        <x:f>H248*AA247*INDEX(v01_MortElder,G248)/4*Q248</x:f>
        <x:v>0.04850055206879267</x:v>
      </x:c>
      <x:c r="V248" s="9" t="n">
        <x:f>H248*MAX(0,AB247-O248)*v01_OvercapLoss</x:f>
        <x:v>0</x:v>
      </x:c>
      <x:c r="W248" s="9" t="n">
        <x:f>H248*Y247/(v01_ChildYears*4)</x:f>
        <x:v>0.1371642689827874</x:v>
      </x:c>
      <x:c r="X248" s="9" t="n">
        <x:f>H248*Z247/(v01_AdultYears*4)</x:f>
        <x:v>0.0731827562985198</x:v>
      </x:c>
      <x:c r="Y248" s="32" t="n">
        <x:f>Y247+R248-S248-W248-Y247*V248/AB247</x:f>
        <x:v>7.793878211591886</x:v>
      </x:c>
      <x:c r="Z248" s="32" t="n">
        <x:f>Z247+W248-X248-T248-Z247*V248/AB247</x:f>
        <x:v>9.109150642912418</x:v>
      </x:c>
      <x:c r="AA248" s="32" t="n">
        <x:f>AA247+X248-U248-AA247*V248/AB247</x:f>
        <x:v>2.4497098076693606</x:v>
      </x:c>
      <x:c r="AB248" s="10" t="n">
        <x:f>Y248+Z248+AA248</x:f>
        <x:v>19.352738662173664</x:v>
      </x:c>
      <x:c r="AC248" s="8" t="n">
        <x:f>IF(AND(v01_WinterTrigger=1,D248=1,AB247/AE247&gt;=K248),1,0)</x:f>
        <x:v>0</x:v>
      </x:c>
      <x:c r="AD248" s="8" t="n">
        <x:f>H248*IF(AND(OR(AB247/AE247&gt;=v01_FissionTrigger*N248,AC248=1),AB247/AE247*v01_DaughterShare&gt;=v01_MinDaughter),MAX(1,ROUND(AE247*v01_FissionRate,0)),0)</x:f>
        <x:v>0</x:v>
      </x:c>
      <x:c r="AE248" s="8" t="n">
        <x:f>IF(H248=1,MAX(1,MIN(INDEX(v01_Smax,G248),AE247+AD248)),AE247)</x:f>
        <x:v>1</x:v>
      </x:c>
      <x:c r="AF248" s="8" t="n">
        <x:f>MAX(0,AE248-AE247)</x:f>
        <x:v>0</x:v>
      </x:c>
      <x:c r="AG248" s="9" t="str">
        <x:f>IF(AF248&gt;0,B248,"")</x:f>
      </x:c>
      <x:c r="AH248" s="9" t="n">
        <x:f>IF(F248&gt;=1,1,(1+v01_LowTiesShare*(AE248-1))/AE248)</x:f>
        <x:v>1</x:v>
      </x:c>
      <x:c r="AI248" s="32" t="n">
        <x:f>(Z248+v01_ElderCommons*INDEX(LM_Elder,G248)*AA248)*AH248</x:f>
        <x:v>15.109689689593868</x:v>
      </x:c>
      <x:c r="AJ248" s="32" t="n">
        <x:f>H248*v01_CommonsCoef*AI248^v01_CommonsExp*INDEX(LM_Commons,G248)</x:f>
        <x:v>6.6360729109882195</x:v>
      </x:c>
      <x:c r="AK248" s="32" t="n">
        <x:f>H248*v01_RoleScale*Arch_Roles*(AE248*(INDEX(v01_ElderRolePerSett,G248)*v01_OutElder*INDEX(LM_Elder,G248)+INDEX(v01_ShamanPerSett,G248)*v01_OutShaman)+Z248*(INDEX(v01_PriestShare,G248)*v01_OutPriest+INDEX(v01_ScribeShare,G248)*v01_OutScribe*INDEX(LM_Scribe,G248)+INDEX(v01_ScholarShare,G248)*v01_OutScholar*INDEX(LM_Scholar,G248)+INDEX(v01_ResearcherShare,G248)*v01_OutResearcher*INDEX(LM_Researcher,G248)))</x:f>
        <x:v>1.3623724356957945</x:v>
      </x:c>
      <x:c r="AL248" s="32" t="n">
        <x:f>H248*v01_RoleScale*Arch_Roles*AE248*INDEX(v01_MonasteryPerSett,G248)*v01_OutMonastery*INDEX(LM_Monastery,G248)</x:f>
        <x:v>0</x:v>
      </x:c>
      <x:c r="AM248" s="32" t="n">
        <x:f>(AJ248+AK248+AL248)/4*INDEX(LM_All,G248)*INDEX(v01_Boon,G248)*Arch_Insight</x:f>
        <x:v>2.0496016200877785</x:v>
      </x:c>
      <x:c r="AN248" s="32" t="n">
        <x:f>H248*(v01_KHPerAdult*Z248+v01_KHOfCommons*AJ248/4*INDEX(LM_All,G248))*v01_KHUsable*Arch_KH</x:f>
        <x:v>0.3188202725019346</x:v>
      </x:c>
      <x:c r="AO248" s="32" t="n">
        <x:f>MIN(AP247+AN248,AM248*v01_KHMaxRatio)</x:f>
        <x:v>0.3188202725019346</x:v>
      </x:c>
      <x:c r="AP248" s="32" t="n">
        <x:f>AP247+AN248-AO248</x:f>
        <x:v>0</x:v>
      </x:c>
      <x:c r="AQ248" s="32" t="n">
        <x:f>AM248+AO248</x:f>
        <x:v>2.368421892589713</x:v>
      </x:c>
      <x:c r="AR248" s="10" t="n">
        <x:f>IF(H248=1,INDEX(v01_Req,G248),0)</x:f>
        <x:v>1067.32</x:v>
      </x:c>
      <x:c r="AS248" s="32" t="n">
        <x:f>IF(H248=1,IF(E248=1,AS247-AR247,AS247)+AQ248,0)</x:f>
        <x:v>26.55755091209755</x:v>
      </x:c>
      <x:c r="AT248" s="11" t="n">
        <x:f>IF(AR248&gt;0,MIN(1,AS248/AR248),1)</x:f>
        <x:v>0.024882463471215335</x:v>
      </x:c>
      <x:c r="AU248" s="10" t="n">
        <x:f>AB248/INDEX(v01_RepScale,G248)</x:f>
        <x:v>19.352738662173664</x:v>
      </x:c>
      <x:c r="AV248" s="32" t="n">
        <x:f>AM248*60/v01_SeasonSeconds</x:f>
        <x:v>8.198406480351114</x:v>
      </x:c>
    </x:row>
    <x:row r="249">
      <x:c r="A249" s="8" t="n">
        <x:f>A248+1</x:f>
        <x:v>246</x:v>
      </x:c>
      <x:c r="B249" s="9" t="n">
        <x:f>A249*v01_SeasonSeconds/60</x:f>
        <x:v>61.5</x:v>
      </x:c>
      <x:c r="C249" s="9" t="n">
        <x:f>A249/4</x:f>
        <x:v>61.5</x:v>
      </x:c>
      <x:c r="D249" s="8" t="n">
        <x:f>IF(MOD(A249,4)=0,1,0)</x:f>
        <x:v>0</x:v>
      </x:c>
      <x:c r="E249" s="8" t="n">
        <x:f>IF(AND(F248&lt;=9,AS248&gt;=AR248),1,0)</x:f>
        <x:v>0</x:v>
      </x:c>
      <x:c r="F249" s="8" t="n">
        <x:f>MIN(10,F248+E249)</x:f>
        <x:v>1</x:v>
      </x:c>
      <x:c r="G249" s="8" t="n">
        <x:f>MIN(F249,9)+1</x:f>
        <x:v>2</x:v>
      </x:c>
      <x:c r="H249" s="8" t="n">
        <x:f>IF(F249&lt;=9,1,0)</x:f>
        <x:v>1</x:v>
      </x:c>
      <x:c r="I249" s="9" t="n">
        <x:f>MIN(10,F248+IF(AR248&gt;0,MIN(1,AS248/AR248),1))</x:f>
        <x:v>1.0248824634712153</x:v>
      </x:c>
      <x:c r="J249" s="32" t="n">
        <x:f>INDEX(v01_FoodCap,G249)*Arch_FoodCap*EXP(v01_CapsByProject*SUMPRODUCT((Cap_Point&lt;=I249)*(Cap_Kind="Food")*Cap_Ln))</x:f>
        <x:v>30</x:v>
      </x:c>
      <x:c r="K249" s="32" t="n">
        <x:f>J249*MIN(1,v01_LeanBase*EXP(v01_CapsByProject*SUMPRODUCT((Cap_Point&lt;=I249)*(Cap_Kind="Lean")*Cap_Ln)))</x:f>
        <x:v>30</x:v>
      </x:c>
      <x:c r="L249" s="10" t="n">
        <x:f>INDEX(v01_HousingCap,G249)*EXP(v01_CapsByProject*SUMPRODUCT((Cap_Point&lt;=I249)*(Cap_Kind="Housing")*Cap_Ln))</x:f>
        <x:v>60</x:v>
      </x:c>
      <x:c r="M249" s="10" t="n">
        <x:f>INDEX(v01_GroupCap,G249)*v01_CohesionFactor*EXP(v01_CapsByProject*SUMPRODUCT((Cap_Point&lt;=I249)*(Cap_Kind="Group")*Cap_Ln))</x:f>
        <x:v>100</x:v>
      </x:c>
      <x:c r="N249" s="32" t="n">
        <x:f>MIN(J249,L249,M249)</x:f>
        <x:v>30</x:v>
      </x:c>
      <x:c r="O249" s="10" t="n">
        <x:f>AE248*N249</x:f>
        <x:v>30</x:v>
      </x:c>
      <x:c r="P249" s="9" t="n">
        <x:f>MIN(1,(AB248/(AE248*IF(v01_GroupInCrowding=1,N249,MIN(J249,L249))))^v01_CrowdingExp)</x:f>
        <x:v>0.0720654434759036</x:v>
      </x:c>
      <x:c r="Q249" s="9" t="n">
        <x:f>IF(D249=1,INDEX(v01_WinterMult,G249),1)</x:f>
        <x:v>1</x:v>
      </x:c>
      <x:c r="R249" s="9" t="n">
        <x:f>H249*Z248*v01_WomenShare*v01_BaseFertility*INDEX(v01_FertMult,G249)*Arch_Fertility*(1-P249)</x:f>
        <x:v>0.31697608733032956</x:v>
      </x:c>
      <x:c r="S249" s="9" t="n">
        <x:f>H249*Y248*INDEX(v01_MortChild,G249)/4*Q249</x:f>
        <x:v>0.06819643435142901</x:v>
      </x:c>
      <x:c r="T249" s="9" t="n">
        <x:f>H249*Z248*INDEX(v01_MortAdult,G249)*Arch_AdultMort/4*Q249</x:f>
        <x:v>0.029604739589465356</x:v>
      </x:c>
      <x:c r="U249" s="9" t="n">
        <x:f>H249*AA248*INDEX(v01_MortElder,G249)/4*Q249</x:f>
        <x:v>0.048994196153387216</x:v>
      </x:c>
      <x:c r="V249" s="9" t="n">
        <x:f>H249*MAX(0,AB248-O249)*v01_OvercapLoss</x:f>
        <x:v>0</x:v>
      </x:c>
      <x:c r="W249" s="9" t="n">
        <x:f>H249*Y248/(v01_ChildYears*4)</x:f>
        <x:v>0.13917639663556938</x:v>
      </x:c>
      <x:c r="X249" s="9" t="n">
        <x:f>H249*Z248/(v01_AdultYears*4)</x:f>
        <x:v>0.07346089228155175</x:v>
      </x:c>
      <x:c r="Y249" s="32" t="n">
        <x:f>Y248+R249-S249-W249-Y248*V249/AB248</x:f>
        <x:v>7.903481467935215</x:v>
      </x:c>
      <x:c r="Z249" s="32" t="n">
        <x:f>Z248+W249-X249-T249-Z248*V249/AB248</x:f>
        <x:v>9.14526140767697</x:v>
      </x:c>
      <x:c r="AA249" s="32" t="n">
        <x:f>AA248+X249-U249-AA248*V249/AB248</x:f>
        <x:v>2.474176503797525</x:v>
      </x:c>
      <x:c r="AB249" s="10" t="n">
        <x:f>Y249+Z249+AA249</x:f>
        <x:v>19.52291937940971</x:v>
      </x:c>
      <x:c r="AC249" s="8" t="n">
        <x:f>IF(AND(v01_WinterTrigger=1,D249=1,AB248/AE248&gt;=K249),1,0)</x:f>
        <x:v>0</x:v>
      </x:c>
      <x:c r="AD249" s="8" t="n">
        <x:f>H249*IF(AND(OR(AB248/AE248&gt;=v01_FissionTrigger*N249,AC249=1),AB248/AE248*v01_DaughterShare&gt;=v01_MinDaughter),MAX(1,ROUND(AE248*v01_FissionRate,0)),0)</x:f>
        <x:v>0</x:v>
      </x:c>
      <x:c r="AE249" s="8" t="n">
        <x:f>IF(H249=1,MAX(1,MIN(INDEX(v01_Smax,G249),AE248+AD249)),AE248)</x:f>
        <x:v>1</x:v>
      </x:c>
      <x:c r="AF249" s="8" t="n">
        <x:f>MAX(0,AE249-AE248)</x:f>
        <x:v>0</x:v>
      </x:c>
      <x:c r="AG249" s="9" t="str">
        <x:f>IF(AF249&gt;0,B249,"")</x:f>
      </x:c>
      <x:c r="AH249" s="9" t="n">
        <x:f>IF(F249&gt;=1,1,(1+v01_LowTiesShare*(AE249-1))/AE249)</x:f>
        <x:v>1</x:v>
      </x:c>
      <x:c r="AI249" s="32" t="n">
        <x:f>(Z249+v01_ElderCommons*INDEX(LM_Elder,G249)*AA249)*AH249</x:f>
        <x:v>15.20573137556415</x:v>
      </x:c>
      <x:c r="AJ249" s="32" t="n">
        <x:f>H249*v01_CommonsCoef*AI249^v01_CommonsExp*INDEX(LM_Commons,G249)</x:f>
        <x:v>6.671909587010542</x:v>
      </x:c>
      <x:c r="AK249" s="32" t="n">
        <x:f>H249*v01_RoleScale*Arch_Roles*(AE249*(INDEX(v01_ElderRolePerSett,G249)*v01_OutElder*INDEX(LM_Elder,G249)+INDEX(v01_ShamanPerSett,G249)*v01_OutShaman)+Z249*(INDEX(v01_PriestShare,G249)*v01_OutPriest+INDEX(v01_ScribeShare,G249)*v01_OutScribe*INDEX(LM_Scribe,G249)+INDEX(v01_ScholarShare,G249)*v01_OutScholar*INDEX(LM_Scholar,G249)+INDEX(v01_ResearcherShare,G249)*v01_OutResearcher*INDEX(LM_Researcher,G249)))</x:f>
        <x:v>1.3623724356957945</x:v>
      </x:c>
      <x:c r="AL249" s="32" t="n">
        <x:f>H249*v01_RoleScale*Arch_Roles*AE249*INDEX(v01_MonasteryPerSett,G249)*v01_OutMonastery*INDEX(LM_Monastery,G249)</x:f>
        <x:v>0</x:v>
      </x:c>
      <x:c r="AM249" s="32" t="n">
        <x:f>(AJ249+AK249+AL249)/4*INDEX(LM_All,G249)*INDEX(v01_Boon,G249)*Arch_Insight</x:f>
        <x:v>2.0587847683184983</x:v>
      </x:c>
      <x:c r="AN249" s="32" t="n">
        <x:f>H249*(v01_KHPerAdult*Z249+v01_KHOfCommons*AJ249/4*INDEX(LM_All,G249))*v01_KHUsable*Arch_KH</x:f>
        <x:v>0.32008414926869394</x:v>
      </x:c>
      <x:c r="AO249" s="32" t="n">
        <x:f>MIN(AP248+AN249,AM249*v01_KHMaxRatio)</x:f>
        <x:v>0.32008414926869394</x:v>
      </x:c>
      <x:c r="AP249" s="32" t="n">
        <x:f>AP248+AN249-AO249</x:f>
        <x:v>0</x:v>
      </x:c>
      <x:c r="AQ249" s="32" t="n">
        <x:f>AM249+AO249</x:f>
        <x:v>2.378868917587192</x:v>
      </x:c>
      <x:c r="AR249" s="10" t="n">
        <x:f>IF(H249=1,INDEX(v01_Req,G249),0)</x:f>
        <x:v>1067.32</x:v>
      </x:c>
      <x:c r="AS249" s="32" t="n">
        <x:f>IF(H249=1,IF(E249=1,AS248-AR248,AS248)+AQ249,0)</x:f>
        <x:v>28.93641982968474</x:v>
      </x:c>
      <x:c r="AT249" s="11" t="n">
        <x:f>IF(AR249&gt;0,MIN(1,AS249/AR249),1)</x:f>
        <x:v>0.027111287926474482</x:v>
      </x:c>
      <x:c r="AU249" s="10" t="n">
        <x:f>AB249/INDEX(v01_RepScale,G249)</x:f>
        <x:v>19.52291937940971</x:v>
      </x:c>
      <x:c r="AV249" s="32" t="n">
        <x:f>AM249*60/v01_SeasonSeconds</x:f>
        <x:v>8.235139073273993</x:v>
      </x:c>
    </x:row>
    <x:row r="250">
      <x:c r="A250" s="8" t="n">
        <x:f>A249+1</x:f>
        <x:v>247</x:v>
      </x:c>
      <x:c r="B250" s="9" t="n">
        <x:f>A250*v01_SeasonSeconds/60</x:f>
        <x:v>61.75</x:v>
      </x:c>
      <x:c r="C250" s="9" t="n">
        <x:f>A250/4</x:f>
        <x:v>61.75</x:v>
      </x:c>
      <x:c r="D250" s="8" t="n">
        <x:f>IF(MOD(A250,4)=0,1,0)</x:f>
        <x:v>0</x:v>
      </x:c>
      <x:c r="E250" s="8" t="n">
        <x:f>IF(AND(F249&lt;=9,AS249&gt;=AR249),1,0)</x:f>
        <x:v>0</x:v>
      </x:c>
      <x:c r="F250" s="8" t="n">
        <x:f>MIN(10,F249+E250)</x:f>
        <x:v>1</x:v>
      </x:c>
      <x:c r="G250" s="8" t="n">
        <x:f>MIN(F250,9)+1</x:f>
        <x:v>2</x:v>
      </x:c>
      <x:c r="H250" s="8" t="n">
        <x:f>IF(F250&lt;=9,1,0)</x:f>
        <x:v>1</x:v>
      </x:c>
      <x:c r="I250" s="9" t="n">
        <x:f>MIN(10,F249+IF(AR249&gt;0,MIN(1,AS249/AR249),1))</x:f>
        <x:v>1.0271112879264745</x:v>
      </x:c>
      <x:c r="J250" s="32" t="n">
        <x:f>INDEX(v01_FoodCap,G250)*Arch_FoodCap*EXP(v01_CapsByProject*SUMPRODUCT((Cap_Point&lt;=I250)*(Cap_Kind="Food")*Cap_Ln))</x:f>
        <x:v>30</x:v>
      </x:c>
      <x:c r="K250" s="32" t="n">
        <x:f>J250*MIN(1,v01_LeanBase*EXP(v01_CapsByProject*SUMPRODUCT((Cap_Point&lt;=I250)*(Cap_Kind="Lean")*Cap_Ln)))</x:f>
        <x:v>30</x:v>
      </x:c>
      <x:c r="L250" s="10" t="n">
        <x:f>INDEX(v01_HousingCap,G250)*EXP(v01_CapsByProject*SUMPRODUCT((Cap_Point&lt;=I250)*(Cap_Kind="Housing")*Cap_Ln))</x:f>
        <x:v>60</x:v>
      </x:c>
      <x:c r="M250" s="10" t="n">
        <x:f>INDEX(v01_GroupCap,G250)*v01_CohesionFactor*EXP(v01_CapsByProject*SUMPRODUCT((Cap_Point&lt;=I250)*(Cap_Kind="Group")*Cap_Ln))</x:f>
        <x:v>100</x:v>
      </x:c>
      <x:c r="N250" s="32" t="n">
        <x:f>MIN(J250,L250,M250)</x:f>
        <x:v>30</x:v>
      </x:c>
      <x:c r="O250" s="10" t="n">
        <x:f>AE249*N250</x:f>
        <x:v>30</x:v>
      </x:c>
      <x:c r="P250" s="9" t="n">
        <x:f>MIN(1,(AB249/(AE249*IF(v01_GroupInCrowding=1,N250,MIN(J250,L250))))^v01_CrowdingExp)</x:f>
        <x:v>0.07595231871363245</x:v>
      </x:c>
      <x:c r="Q250" s="9" t="n">
        <x:f>IF(D250=1,INDEX(v01_WinterMult,G250),1)</x:f>
        <x:v>1</x:v>
      </x:c>
      <x:c r="R250" s="9" t="n">
        <x:f>H250*Z249*v01_WomenShare*v01_BaseFertility*INDEX(v01_FertMult,G250)*Arch_Fertility*(1-P250)</x:f>
        <x:v>0.3168996599445602</x:v>
      </x:c>
      <x:c r="S250" s="9" t="n">
        <x:f>H250*Y249*INDEX(v01_MortChild,G250)/4*Q250</x:f>
        <x:v>0.06915546284443314</x:v>
      </x:c>
      <x:c r="T250" s="9" t="n">
        <x:f>H250*Z249*INDEX(v01_MortAdult,G250)*Arch_AdultMort/4*Q250</x:f>
        <x:v>0.02972209957495015</x:v>
      </x:c>
      <x:c r="U250" s="9" t="n">
        <x:f>H250*AA249*INDEX(v01_MortElder,G250)/4*Q250</x:f>
        <x:v>0.0494835300759505</x:v>
      </x:c>
      <x:c r="V250" s="9" t="n">
        <x:f>H250*MAX(0,AB249-O250)*v01_OvercapLoss</x:f>
        <x:v>0</x:v>
      </x:c>
      <x:c r="W250" s="9" t="n">
        <x:f>H250*Y249/(v01_ChildYears*4)</x:f>
        <x:v>0.14113359764170028</x:v>
      </x:c>
      <x:c r="X250" s="9" t="n">
        <x:f>H250*Z249/(v01_AdultYears*4)</x:f>
        <x:v>0.07375210812642717</x:v>
      </x:c>
      <x:c r="Y250" s="32" t="n">
        <x:f>Y249+R250-S250-W250-Y249*V250/AB249</x:f>
        <x:v>8.010092067393643</x:v>
      </x:c>
      <x:c r="Z250" s="32" t="n">
        <x:f>Z249+W250-X250-T250-Z249*V250/AB249</x:f>
        <x:v>9.18292079761729</x:v>
      </x:c>
      <x:c r="AA250" s="32" t="n">
        <x:f>AA249+X250-U250-AA249*V250/AB249</x:f>
        <x:v>2.4984450818480015</x:v>
      </x:c>
      <x:c r="AB250" s="10" t="n">
        <x:f>Y250+Z250+AA250</x:f>
        <x:v>19.691457946858936</x:v>
      </x:c>
      <x:c r="AC250" s="8" t="n">
        <x:f>IF(AND(v01_WinterTrigger=1,D250=1,AB249/AE249&gt;=K250),1,0)</x:f>
        <x:v>0</x:v>
      </x:c>
      <x:c r="AD250" s="8" t="n">
        <x:f>H250*IF(AND(OR(AB249/AE249&gt;=v01_FissionTrigger*N250,AC250=1),AB249/AE249*v01_DaughterShare&gt;=v01_MinDaughter),MAX(1,ROUND(AE249*v01_FissionRate,0)),0)</x:f>
        <x:v>0</x:v>
      </x:c>
      <x:c r="AE250" s="8" t="n">
        <x:f>IF(H250=1,MAX(1,MIN(INDEX(v01_Smax,G250),AE249+AD250)),AE249)</x:f>
        <x:v>1</x:v>
      </x:c>
      <x:c r="AF250" s="8" t="n">
        <x:f>MAX(0,AE250-AE249)</x:f>
        <x:v>0</x:v>
      </x:c>
      <x:c r="AG250" s="9" t="str">
        <x:f>IF(AF250&gt;0,B250,"")</x:f>
      </x:c>
      <x:c r="AH250" s="9" t="n">
        <x:f>IF(F250&gt;=1,1,(1+v01_LowTiesShare*(AE250-1))/AE250)</x:f>
        <x:v>1</x:v>
      </x:c>
      <x:c r="AI250" s="32" t="n">
        <x:f>(Z250+v01_ElderCommons*INDEX(LM_Elder,G250)*AA250)*AH250</x:f>
        <x:v>15.302836398511047</x:v>
      </x:c>
      <x:c r="AJ250" s="32" t="n">
        <x:f>H250*v01_CommonsCoef*AI250^v01_CommonsExp*INDEX(LM_Commons,G250)</x:f>
        <x:v>6.7081085316663485</x:v>
      </x:c>
      <x:c r="AK250" s="32" t="n">
        <x:f>H250*v01_RoleScale*Arch_Roles*(AE250*(INDEX(v01_ElderRolePerSett,G250)*v01_OutElder*INDEX(LM_Elder,G250)+INDEX(v01_ShamanPerSett,G250)*v01_OutShaman)+Z250*(INDEX(v01_PriestShare,G250)*v01_OutPriest+INDEX(v01_ScribeShare,G250)*v01_OutScribe*INDEX(LM_Scribe,G250)+INDEX(v01_ScholarShare,G250)*v01_OutScholar*INDEX(LM_Scholar,G250)+INDEX(v01_ResearcherShare,G250)*v01_OutResearcher*INDEX(LM_Researcher,G250)))</x:f>
        <x:v>1.3623724356957945</x:v>
      </x:c>
      <x:c r="AL250" s="32" t="n">
        <x:f>H250*v01_RoleScale*Arch_Roles*AE250*INDEX(v01_MonasteryPerSett,G250)*v01_OutMonastery*INDEX(LM_Monastery,G250)</x:f>
        <x:v>0</x:v>
      </x:c>
      <x:c r="AM250" s="32" t="n">
        <x:f>(AJ250+AK250+AL250)/4*INDEX(LM_All,G250)*INDEX(v01_Boon,G250)*Arch_Insight</x:f>
        <x:v>2.0680607478865487</x:v>
      </x:c>
      <x:c r="AN250" s="32" t="n">
        <x:f>H250*(v01_KHPerAdult*Z250+v01_KHOfCommons*AJ250/4*INDEX(LM_All,G250))*v01_KHUsable*Arch_KH</x:f>
        <x:v>0.32140222791660517</x:v>
      </x:c>
      <x:c r="AO250" s="32" t="n">
        <x:f>MIN(AP249+AN250,AM250*v01_KHMaxRatio)</x:f>
        <x:v>0.32140222791660517</x:v>
      </x:c>
      <x:c r="AP250" s="32" t="n">
        <x:f>AP249+AN250-AO250</x:f>
        <x:v>0</x:v>
      </x:c>
      <x:c r="AQ250" s="32" t="n">
        <x:f>AM250+AO250</x:f>
        <x:v>2.389462975803154</x:v>
      </x:c>
      <x:c r="AR250" s="10" t="n">
        <x:f>IF(H250=1,INDEX(v01_Req,G250),0)</x:f>
        <x:v>1067.32</x:v>
      </x:c>
      <x:c r="AS250" s="32" t="n">
        <x:f>IF(H250=1,IF(E250=1,AS249-AR249,AS249)+AQ250,0)</x:f>
        <x:v>31.325882805487893</x:v>
      </x:c>
      <x:c r="AT250" s="11" t="n">
        <x:f>IF(AR250&gt;0,MIN(1,AS250/AR250),1)</x:f>
        <x:v>0.02935003823172797</x:v>
      </x:c>
      <x:c r="AU250" s="10" t="n">
        <x:f>AB250/INDEX(v01_RepScale,G250)</x:f>
        <x:v>19.691457946858936</x:v>
      </x:c>
      <x:c r="AV250" s="32" t="n">
        <x:f>AM250*60/v01_SeasonSeconds</x:f>
        <x:v>8.272242991546195</x:v>
      </x:c>
    </x:row>
    <x:row r="251">
      <x:c r="A251" s="8" t="n">
        <x:f>A250+1</x:f>
        <x:v>248</x:v>
      </x:c>
      <x:c r="B251" s="9" t="n">
        <x:f>A251*v01_SeasonSeconds/60</x:f>
        <x:v>62</x:v>
      </x:c>
      <x:c r="C251" s="9" t="n">
        <x:f>A251/4</x:f>
        <x:v>62</x:v>
      </x:c>
      <x:c r="D251" s="8" t="n">
        <x:f>IF(MOD(A251,4)=0,1,0)</x:f>
        <x:v>1</x:v>
      </x:c>
      <x:c r="E251" s="8" t="n">
        <x:f>IF(AND(F250&lt;=9,AS250&gt;=AR250),1,0)</x:f>
        <x:v>0</x:v>
      </x:c>
      <x:c r="F251" s="8" t="n">
        <x:f>MIN(10,F250+E251)</x:f>
        <x:v>1</x:v>
      </x:c>
      <x:c r="G251" s="8" t="n">
        <x:f>MIN(F251,9)+1</x:f>
        <x:v>2</x:v>
      </x:c>
      <x:c r="H251" s="8" t="n">
        <x:f>IF(F251&lt;=9,1,0)</x:f>
        <x:v>1</x:v>
      </x:c>
      <x:c r="I251" s="9" t="n">
        <x:f>MIN(10,F250+IF(AR250&gt;0,MIN(1,AS250/AR250),1))</x:f>
        <x:v>1.029350038231728</x:v>
      </x:c>
      <x:c r="J251" s="32" t="n">
        <x:f>INDEX(v01_FoodCap,G251)*Arch_FoodCap*EXP(v01_CapsByProject*SUMPRODUCT((Cap_Point&lt;=I251)*(Cap_Kind="Food")*Cap_Ln))</x:f>
        <x:v>30</x:v>
      </x:c>
      <x:c r="K251" s="32" t="n">
        <x:f>J251*MIN(1,v01_LeanBase*EXP(v01_CapsByProject*SUMPRODUCT((Cap_Point&lt;=I251)*(Cap_Kind="Lean")*Cap_Ln)))</x:f>
        <x:v>30</x:v>
      </x:c>
      <x:c r="L251" s="10" t="n">
        <x:f>INDEX(v01_HousingCap,G251)*EXP(v01_CapsByProject*SUMPRODUCT((Cap_Point&lt;=I251)*(Cap_Kind="Housing")*Cap_Ln))</x:f>
        <x:v>60</x:v>
      </x:c>
      <x:c r="M251" s="10" t="n">
        <x:f>INDEX(v01_GroupCap,G251)*v01_CohesionFactor*EXP(v01_CapsByProject*SUMPRODUCT((Cap_Point&lt;=I251)*(Cap_Kind="Group")*Cap_Ln))</x:f>
        <x:v>100</x:v>
      </x:c>
      <x:c r="N251" s="32" t="n">
        <x:f>MIN(J251,L251,M251)</x:f>
        <x:v>30</x:v>
      </x:c>
      <x:c r="O251" s="10" t="n">
        <x:f>AE250*N251</x:f>
        <x:v>30</x:v>
      </x:c>
      <x:c r="P251" s="9" t="n">
        <x:f>MIN(1,(AB250/(AE250*IF(v01_GroupInCrowding=1,N251,MIN(J251,L251))))^v01_CrowdingExp)</x:f>
        <x:v>0.07997232191235</x:v>
      </x:c>
      <x:c r="Q251" s="9" t="n">
        <x:f>IF(D251=1,INDEX(v01_WinterMult,G251),1)</x:f>
        <x:v>1.6</x:v>
      </x:c>
      <x:c r="R251" s="9" t="n">
        <x:f>H251*Z250*v01_WomenShare*v01_BaseFertility*INDEX(v01_FertMult,G251)*Arch_Fertility*(1-P251)</x:f>
        <x:v>0.3168202987310485</x:v>
      </x:c>
      <x:c r="S251" s="9" t="n">
        <x:f>H251*Y250*INDEX(v01_MortChild,G251)/4*Q251</x:f>
        <x:v>0.11214128894351101</x:v>
      </x:c>
      <x:c r="T251" s="9" t="n">
        <x:f>H251*Z250*INDEX(v01_MortAdult,G251)*Arch_AdultMort/4*Q251</x:f>
        <x:v>0.04775118814760991</x:v>
      </x:c>
      <x:c r="U251" s="9" t="n">
        <x:f>H251*AA250*INDEX(v01_MortElder,G251)/4*Q251</x:f>
        <x:v>0.07995024261913605</x:v>
      </x:c>
      <x:c r="V251" s="9" t="n">
        <x:f>H251*MAX(0,AB250-O251)*v01_OvercapLoss</x:f>
        <x:v>0</x:v>
      </x:c>
      <x:c r="W251" s="9" t="n">
        <x:f>H251*Y250/(v01_ChildYears*4)</x:f>
        <x:v>0.14303735834631506</x:v>
      </x:c>
      <x:c r="X251" s="9" t="n">
        <x:f>H251*Z250/(v01_AdultYears*4)</x:f>
        <x:v>0.0740558128840104</x:v>
      </x:c>
      <x:c r="Y251" s="32" t="n">
        <x:f>Y250+R251-S251-W251-Y250*V251/AB250</x:f>
        <x:v>8.071733718834865</x:v>
      </x:c>
      <x:c r="Z251" s="32" t="n">
        <x:f>Z250+W251-X251-T251-Z250*V251/AB250</x:f>
        <x:v>9.204151154931987</x:v>
      </x:c>
      <x:c r="AA251" s="32" t="n">
        <x:f>AA250+X251-U251-AA250*V251/AB250</x:f>
        <x:v>2.4925506521128757</x:v>
      </x:c>
      <x:c r="AB251" s="10" t="n">
        <x:f>Y251+Z251+AA251</x:f>
        <x:v>19.768435525879728</x:v>
      </x:c>
      <x:c r="AC251" s="8" t="n">
        <x:f>IF(AND(v01_WinterTrigger=1,D251=1,AB250/AE250&gt;=K251),1,0)</x:f>
        <x:v>0</x:v>
      </x:c>
      <x:c r="AD251" s="8" t="n">
        <x:f>H251*IF(AND(OR(AB250/AE250&gt;=v01_FissionTrigger*N251,AC251=1),AB250/AE250*v01_DaughterShare&gt;=v01_MinDaughter),MAX(1,ROUND(AE250*v01_FissionRate,0)),0)</x:f>
        <x:v>0</x:v>
      </x:c>
      <x:c r="AE251" s="8" t="n">
        <x:f>IF(H251=1,MAX(1,MIN(INDEX(v01_Smax,G251),AE250+AD251)),AE250)</x:f>
        <x:v>1</x:v>
      </x:c>
      <x:c r="AF251" s="8" t="n">
        <x:f>MAX(0,AE251-AE250)</x:f>
        <x:v>0</x:v>
      </x:c>
      <x:c r="AG251" s="9" t="str">
        <x:f>IF(AF251&gt;0,B251,"")</x:f>
      </x:c>
      <x:c r="AH251" s="9" t="n">
        <x:f>IF(F251&gt;=1,1,(1+v01_LowTiesShare*(AE251-1))/AE251)</x:f>
        <x:v>1</x:v>
      </x:c>
      <x:c r="AI251" s="32" t="n">
        <x:f>(Z251+v01_ElderCommons*INDEX(LM_Elder,G251)*AA251)*AH251</x:f>
        <x:v>15.309628410649996</x:v>
      </x:c>
      <x:c r="AJ251" s="32" t="n">
        <x:f>H251*v01_CommonsCoef*AI251^v01_CommonsExp*INDEX(LM_Commons,G251)</x:f>
        <x:v>6.7106391757538555</x:v>
      </x:c>
      <x:c r="AK251" s="32" t="n">
        <x:f>H251*v01_RoleScale*Arch_Roles*(AE251*(INDEX(v01_ElderRolePerSett,G251)*v01_OutElder*INDEX(LM_Elder,G251)+INDEX(v01_ShamanPerSett,G251)*v01_OutShaman)+Z251*(INDEX(v01_PriestShare,G251)*v01_OutPriest+INDEX(v01_ScribeShare,G251)*v01_OutScribe*INDEX(LM_Scribe,G251)+INDEX(v01_ScholarShare,G251)*v01_OutScholar*INDEX(LM_Scholar,G251)+INDEX(v01_ResearcherShare,G251)*v01_OutResearcher*INDEX(LM_Researcher,G251)))</x:f>
        <x:v>1.3623724356957945</x:v>
      </x:c>
      <x:c r="AL251" s="32" t="n">
        <x:f>H251*v01_RoleScale*Arch_Roles*AE251*INDEX(v01_MonasteryPerSett,G251)*v01_OutMonastery*INDEX(LM_Monastery,G251)</x:f>
        <x:v>0</x:v>
      </x:c>
      <x:c r="AM251" s="32" t="n">
        <x:f>(AJ251+AK251+AL251)/4*INDEX(LM_All,G251)*INDEX(v01_Boon,G251)*Arch_Insight</x:f>
        <x:v>2.0687092254339725</x:v>
      </x:c>
      <x:c r="AN251" s="32" t="n">
        <x:f>H251*(v01_KHPerAdult*Z251+v01_KHOfCommons*AJ251/4*INDEX(LM_All,G251))*v01_KHUsable*Arch_KH</x:f>
        <x:v>0.3221452904226195</x:v>
      </x:c>
      <x:c r="AO251" s="32" t="n">
        <x:f>MIN(AP250+AN251,AM251*v01_KHMaxRatio)</x:f>
        <x:v>0.3221452904226195</x:v>
      </x:c>
      <x:c r="AP251" s="32" t="n">
        <x:f>AP250+AN251-AO251</x:f>
        <x:v>0</x:v>
      </x:c>
      <x:c r="AQ251" s="32" t="n">
        <x:f>AM251+AO251</x:f>
        <x:v>2.390854515856592</x:v>
      </x:c>
      <x:c r="AR251" s="10" t="n">
        <x:f>IF(H251=1,INDEX(v01_Req,G251),0)</x:f>
        <x:v>1067.32</x:v>
      </x:c>
      <x:c r="AS251" s="32" t="n">
        <x:f>IF(H251=1,IF(E251=1,AS250-AR250,AS250)+AQ251,0)</x:f>
        <x:v>33.71673732134448</x:v>
      </x:c>
      <x:c r="AT251" s="11" t="n">
        <x:f>IF(AR251&gt;0,MIN(1,AS251/AR251),1)</x:f>
        <x:v>0.03159009230722228</x:v>
      </x:c>
      <x:c r="AU251" s="10" t="n">
        <x:f>AB251/INDEX(v01_RepScale,G251)</x:f>
        <x:v>19.768435525879728</x:v>
      </x:c>
      <x:c r="AV251" s="32" t="n">
        <x:f>AM251*60/v01_SeasonSeconds</x:f>
        <x:v>8.27483690173589</x:v>
      </x:c>
    </x:row>
    <x:row r="252">
      <x:c r="A252" s="8" t="n">
        <x:f>A251+1</x:f>
        <x:v>249</x:v>
      </x:c>
      <x:c r="B252" s="9" t="n">
        <x:f>A252*v01_SeasonSeconds/60</x:f>
        <x:v>62.25</x:v>
      </x:c>
      <x:c r="C252" s="9" t="n">
        <x:f>A252/4</x:f>
        <x:v>62.25</x:v>
      </x:c>
      <x:c r="D252" s="8" t="n">
        <x:f>IF(MOD(A252,4)=0,1,0)</x:f>
        <x:v>0</x:v>
      </x:c>
      <x:c r="E252" s="8" t="n">
        <x:f>IF(AND(F251&lt;=9,AS251&gt;=AR251),1,0)</x:f>
        <x:v>0</x:v>
      </x:c>
      <x:c r="F252" s="8" t="n">
        <x:f>MIN(10,F251+E252)</x:f>
        <x:v>1</x:v>
      </x:c>
      <x:c r="G252" s="8" t="n">
        <x:f>MIN(F252,9)+1</x:f>
        <x:v>2</x:v>
      </x:c>
      <x:c r="H252" s="8" t="n">
        <x:f>IF(F252&lt;=9,1,0)</x:f>
        <x:v>1</x:v>
      </x:c>
      <x:c r="I252" s="9" t="n">
        <x:f>MIN(10,F251+IF(AR251&gt;0,MIN(1,AS251/AR251),1))</x:f>
        <x:v>1.0315900923072223</x:v>
      </x:c>
      <x:c r="J252" s="32" t="n">
        <x:f>INDEX(v01_FoodCap,G252)*Arch_FoodCap*EXP(v01_CapsByProject*SUMPRODUCT((Cap_Point&lt;=I252)*(Cap_Kind="Food")*Cap_Ln))</x:f>
        <x:v>30</x:v>
      </x:c>
      <x:c r="K252" s="32" t="n">
        <x:f>J252*MIN(1,v01_LeanBase*EXP(v01_CapsByProject*SUMPRODUCT((Cap_Point&lt;=I252)*(Cap_Kind="Lean")*Cap_Ln)))</x:f>
        <x:v>30</x:v>
      </x:c>
      <x:c r="L252" s="10" t="n">
        <x:f>INDEX(v01_HousingCap,G252)*EXP(v01_CapsByProject*SUMPRODUCT((Cap_Point&lt;=I252)*(Cap_Kind="Housing")*Cap_Ln))</x:f>
        <x:v>60</x:v>
      </x:c>
      <x:c r="M252" s="10" t="n">
        <x:f>INDEX(v01_GroupCap,G252)*v01_CohesionFactor*EXP(v01_CapsByProject*SUMPRODUCT((Cap_Point&lt;=I252)*(Cap_Kind="Group")*Cap_Ln))</x:f>
        <x:v>100</x:v>
      </x:c>
      <x:c r="N252" s="32" t="n">
        <x:f>MIN(J252,L252,M252)</x:f>
        <x:v>30</x:v>
      </x:c>
      <x:c r="O252" s="10" t="n">
        <x:f>AE251*N252</x:f>
        <x:v>30</x:v>
      </x:c>
      <x:c r="P252" s="9" t="n">
        <x:f>MIN(1,(AB251/(AE251*IF(v01_GroupInCrowding=1,N252,MIN(J252,L252))))^v01_CrowdingExp)</x:f>
        <x:v>0.08186650974868875</x:v>
      </x:c>
      <x:c r="Q252" s="9" t="n">
        <x:f>IF(D252=1,INDEX(v01_WinterMult,G252),1)</x:f>
        <x:v>1</x:v>
      </x:c>
      <x:c r="R252" s="9" t="n">
        <x:f>H252*Z251*v01_WomenShare*v01_BaseFertility*INDEX(v01_FertMult,G252)*Arch_Fertility*(1-P252)</x:f>
        <x:v>0.3168989784254378</x:v>
      </x:c>
      <x:c r="S252" s="9" t="n">
        <x:f>H252*Y251*INDEX(v01_MortChild,G252)/4*Q252</x:f>
        <x:v>0.07062767003980508</x:v>
      </x:c>
      <x:c r="T252" s="9" t="n">
        <x:f>H252*Z251*INDEX(v01_MortAdult,G252)*Arch_AdultMort/4*Q252</x:f>
        <x:v>0.029913491253528955</x:v>
      </x:c>
      <x:c r="U252" s="9" t="n">
        <x:f>H252*AA251*INDEX(v01_MortElder,G252)/4*Q252</x:f>
        <x:v>0.049851013042257517</x:v>
      </x:c>
      <x:c r="V252" s="9" t="n">
        <x:f>H252*MAX(0,AB251-O252)*v01_OvercapLoss</x:f>
        <x:v>0</x:v>
      </x:c>
      <x:c r="W252" s="9" t="n">
        <x:f>H252*Y251/(v01_ChildYears*4)</x:f>
        <x:v>0.14413810212205116</x:v>
      </x:c>
      <x:c r="X252" s="9" t="n">
        <x:f>H252*Z251/(v01_AdultYears*4)</x:f>
        <x:v>0.07422702544299989</x:v>
      </x:c>
      <x:c r="Y252" s="32" t="n">
        <x:f>Y251+R252-S252-W252-Y251*V252/AB251</x:f>
        <x:v>8.173866925098448</x:v>
      </x:c>
      <x:c r="Z252" s="32" t="n">
        <x:f>Z251+W252-X252-T252-Z251*V252/AB251</x:f>
        <x:v>9.24414874035751</x:v>
      </x:c>
      <x:c r="AA252" s="32" t="n">
        <x:f>AA251+X252-U252-AA251*V252/AB251</x:f>
        <x:v>2.516926664513618</x:v>
      </x:c>
      <x:c r="AB252" s="10" t="n">
        <x:f>Y252+Z252+AA252</x:f>
        <x:v>19.934942329969576</x:v>
      </x:c>
      <x:c r="AC252" s="8" t="n">
        <x:f>IF(AND(v01_WinterTrigger=1,D252=1,AB251/AE251&gt;=K252),1,0)</x:f>
        <x:v>0</x:v>
      </x:c>
      <x:c r="AD252" s="8" t="n">
        <x:f>H252*IF(AND(OR(AB251/AE251&gt;=v01_FissionTrigger*N252,AC252=1),AB251/AE251*v01_DaughterShare&gt;=v01_MinDaughter),MAX(1,ROUND(AE251*v01_FissionRate,0)),0)</x:f>
        <x:v>0</x:v>
      </x:c>
      <x:c r="AE252" s="8" t="n">
        <x:f>IF(H252=1,MAX(1,MIN(INDEX(v01_Smax,G252),AE251+AD252)),AE251)</x:f>
        <x:v>1</x:v>
      </x:c>
      <x:c r="AF252" s="8" t="n">
        <x:f>MAX(0,AE252-AE251)</x:f>
        <x:v>0</x:v>
      </x:c>
      <x:c r="AG252" s="9" t="str">
        <x:f>IF(AF252&gt;0,B252,"")</x:f>
      </x:c>
      <x:c r="AH252" s="9" t="n">
        <x:f>IF(F252&gt;=1,1,(1+v01_LowTiesShare*(AE252-1))/AE252)</x:f>
        <x:v>1</x:v>
      </x:c>
      <x:c r="AI252" s="32" t="n">
        <x:f>(Z252+v01_ElderCommons*INDEX(LM_Elder,G252)*AA252)*AH252</x:f>
        <x:v>15.409334788421095</x:v>
      </x:c>
      <x:c r="AJ252" s="32" t="n">
        <x:f>H252*v01_CommonsCoef*AI252^v01_CommonsExp*INDEX(LM_Commons,G252)</x:f>
        <x:v>6.747769560393178</x:v>
      </x:c>
      <x:c r="AK252" s="32" t="n">
        <x:f>H252*v01_RoleScale*Arch_Roles*(AE252*(INDEX(v01_ElderRolePerSett,G252)*v01_OutElder*INDEX(LM_Elder,G252)+INDEX(v01_ShamanPerSett,G252)*v01_OutShaman)+Z252*(INDEX(v01_PriestShare,G252)*v01_OutPriest+INDEX(v01_ScribeShare,G252)*v01_OutScribe*INDEX(LM_Scribe,G252)+INDEX(v01_ScholarShare,G252)*v01_OutScholar*INDEX(LM_Scholar,G252)+INDEX(v01_ResearcherShare,G252)*v01_OutResearcher*INDEX(LM_Researcher,G252)))</x:f>
        <x:v>1.3623724356957945</x:v>
      </x:c>
      <x:c r="AL252" s="32" t="n">
        <x:f>H252*v01_RoleScale*Arch_Roles*AE252*INDEX(v01_MonasteryPerSett,G252)*v01_OutMonastery*INDEX(LM_Monastery,G252)</x:f>
        <x:v>0</x:v>
      </x:c>
      <x:c r="AM252" s="32" t="n">
        <x:f>(AJ252+AK252+AL252)/4*INDEX(LM_All,G252)*INDEX(v01_Boon,G252)*Arch_Insight</x:f>
        <x:v>2.0782238864977987</x:v>
      </x:c>
      <x:c r="AN252" s="32" t="n">
        <x:f>H252*(v01_KHPerAdult*Z252+v01_KHOfCommons*AJ252/4*INDEX(LM_All,G252))*v01_KHUsable*Arch_KH</x:f>
        <x:v>0.3235452059125128</x:v>
      </x:c>
      <x:c r="AO252" s="32" t="n">
        <x:f>MIN(AP251+AN252,AM252*v01_KHMaxRatio)</x:f>
        <x:v>0.3235452059125128</x:v>
      </x:c>
      <x:c r="AP252" s="32" t="n">
        <x:f>AP251+AN252-AO252</x:f>
        <x:v>0</x:v>
      </x:c>
      <x:c r="AQ252" s="32" t="n">
        <x:f>AM252+AO252</x:f>
        <x:v>2.4017690924103112</x:v>
      </x:c>
      <x:c r="AR252" s="10" t="n">
        <x:f>IF(H252=1,INDEX(v01_Req,G252),0)</x:f>
        <x:v>1067.32</x:v>
      </x:c>
      <x:c r="AS252" s="32" t="n">
        <x:f>IF(H252=1,IF(E252=1,AS251-AR251,AS251)+AQ252,0)</x:f>
        <x:v>36.118506413754794</x:v>
      </x:c>
      <x:c r="AT252" s="11" t="n">
        <x:f>IF(AR252&gt;0,MIN(1,AS252/AR252),1)</x:f>
        <x:v>0.033840372534717604</x:v>
      </x:c>
      <x:c r="AU252" s="10" t="n">
        <x:f>AB252/INDEX(v01_RepScale,G252)</x:f>
        <x:v>19.934942329969576</x:v>
      </x:c>
      <x:c r="AV252" s="32" t="n">
        <x:f>AM252*60/v01_SeasonSeconds</x:f>
        <x:v>8.312895545991195</x:v>
      </x:c>
    </x:row>
    <x:row r="253">
      <x:c r="A253" s="8" t="n">
        <x:f>A252+1</x:f>
        <x:v>250</x:v>
      </x:c>
      <x:c r="B253" s="9" t="n">
        <x:f>A253*v01_SeasonSeconds/60</x:f>
        <x:v>62.5</x:v>
      </x:c>
      <x:c r="C253" s="9" t="n">
        <x:f>A253/4</x:f>
        <x:v>62.5</x:v>
      </x:c>
      <x:c r="D253" s="8" t="n">
        <x:f>IF(MOD(A253,4)=0,1,0)</x:f>
        <x:v>0</x:v>
      </x:c>
      <x:c r="E253" s="8" t="n">
        <x:f>IF(AND(F252&lt;=9,AS252&gt;=AR252),1,0)</x:f>
        <x:v>0</x:v>
      </x:c>
      <x:c r="F253" s="8" t="n">
        <x:f>MIN(10,F252+E253)</x:f>
        <x:v>1</x:v>
      </x:c>
      <x:c r="G253" s="8" t="n">
        <x:f>MIN(F253,9)+1</x:f>
        <x:v>2</x:v>
      </x:c>
      <x:c r="H253" s="8" t="n">
        <x:f>IF(F253&lt;=9,1,0)</x:f>
        <x:v>1</x:v>
      </x:c>
      <x:c r="I253" s="9" t="n">
        <x:f>MIN(10,F252+IF(AR252&gt;0,MIN(1,AS252/AR252),1))</x:f>
        <x:v>1.0338403725347176</x:v>
      </x:c>
      <x:c r="J253" s="32" t="n">
        <x:f>INDEX(v01_FoodCap,G253)*Arch_FoodCap*EXP(v01_CapsByProject*SUMPRODUCT((Cap_Point&lt;=I253)*(Cap_Kind="Food")*Cap_Ln))</x:f>
        <x:v>30</x:v>
      </x:c>
      <x:c r="K253" s="32" t="n">
        <x:f>J253*MIN(1,v01_LeanBase*EXP(v01_CapsByProject*SUMPRODUCT((Cap_Point&lt;=I253)*(Cap_Kind="Lean")*Cap_Ln)))</x:f>
        <x:v>30</x:v>
      </x:c>
      <x:c r="L253" s="10" t="n">
        <x:f>INDEX(v01_HousingCap,G253)*EXP(v01_CapsByProject*SUMPRODUCT((Cap_Point&lt;=I253)*(Cap_Kind="Housing")*Cap_Ln))</x:f>
        <x:v>60</x:v>
      </x:c>
      <x:c r="M253" s="10" t="n">
        <x:f>INDEX(v01_GroupCap,G253)*v01_CohesionFactor*EXP(v01_CapsByProject*SUMPRODUCT((Cap_Point&lt;=I253)*(Cap_Kind="Group")*Cap_Ln))</x:f>
        <x:v>100</x:v>
      </x:c>
      <x:c r="N253" s="32" t="n">
        <x:f>MIN(J253,L253,M253)</x:f>
        <x:v>30</x:v>
      </x:c>
      <x:c r="O253" s="10" t="n">
        <x:f>AE252*N253</x:f>
        <x:v>30</x:v>
      </x:c>
      <x:c r="P253" s="9" t="n">
        <x:f>MIN(1,(AB252/(AE252*IF(v01_GroupInCrowding=1,N253,MIN(J253,L253))))^v01_CrowdingExp)</x:f>
        <x:v>0.08609191603118421</x:v>
      </x:c>
      <x:c r="Q253" s="9" t="n">
        <x:f>IF(D253=1,INDEX(v01_WinterMult,G253),1)</x:f>
        <x:v>1</x:v>
      </x:c>
      <x:c r="R253" s="9" t="n">
        <x:f>H253*Z252*v01_WomenShare*v01_BaseFertility*INDEX(v01_FertMult,G253)*Arch_Fertility*(1-P253)</x:f>
        <x:v>0.3168113348708578</x:v>
      </x:c>
      <x:c r="S253" s="9" t="n">
        <x:f>H253*Y252*INDEX(v01_MortChild,G253)/4*Q253</x:f>
        <x:v>0.07152133559461142</x:v>
      </x:c>
      <x:c r="T253" s="9" t="n">
        <x:f>H253*Z252*INDEX(v01_MortAdult,G253)*Arch_AdultMort/4*Q253</x:f>
        <x:v>0.030043483406161905</x:v>
      </x:c>
      <x:c r="U253" s="9" t="n">
        <x:f>H253*AA252*INDEX(v01_MortElder,G253)/4*Q253</x:f>
        <x:v>0.050338533290272366</x:v>
      </x:c>
      <x:c r="V253" s="9" t="n">
        <x:f>H253*MAX(0,AB252-O253)*v01_OvercapLoss</x:f>
        <x:v>0</x:v>
      </x:c>
      <x:c r="W253" s="9" t="n">
        <x:f>H253*Y252/(v01_ChildYears*4)</x:f>
        <x:v>0.145961909376758</x:v>
      </x:c>
      <x:c r="X253" s="9" t="n">
        <x:f>H253*Z252/(v01_AdultYears*4)</x:f>
        <x:v>0.07454958661578637</x:v>
      </x:c>
      <x:c r="Y253" s="32" t="n">
        <x:f>Y252+R253-S253-W253-Y252*V253/AB252</x:f>
        <x:v>8.273195014997935</x:v>
      </x:c>
      <x:c r="Z253" s="32" t="n">
        <x:f>Z252+W253-X253-T253-Z252*V253/AB252</x:f>
        <x:v>9.28551757971232</x:v>
      </x:c>
      <x:c r="AA253" s="32" t="n">
        <x:f>AA252+X253-U253-AA252*V253/AB252</x:f>
        <x:v>2.541137717839132</x:v>
      </x:c>
      <x:c r="AB253" s="10" t="n">
        <x:f>Y253+Z253+AA253</x:f>
        <x:v>20.099850312549385</x:v>
      </x:c>
      <x:c r="AC253" s="8" t="n">
        <x:f>IF(AND(v01_WinterTrigger=1,D253=1,AB252/AE252&gt;=K253),1,0)</x:f>
        <x:v>0</x:v>
      </x:c>
      <x:c r="AD253" s="8" t="n">
        <x:f>H253*IF(AND(OR(AB252/AE252&gt;=v01_FissionTrigger*N253,AC253=1),AB252/AE252*v01_DaughterShare&gt;=v01_MinDaughter),MAX(1,ROUND(AE252*v01_FissionRate,0)),0)</x:f>
        <x:v>0</x:v>
      </x:c>
      <x:c r="AE253" s="8" t="n">
        <x:f>IF(H253=1,MAX(1,MIN(INDEX(v01_Smax,G253),AE252+AD253)),AE252)</x:f>
        <x:v>1</x:v>
      </x:c>
      <x:c r="AF253" s="8" t="n">
        <x:f>MAX(0,AE253-AE252)</x:f>
        <x:v>0</x:v>
      </x:c>
      <x:c r="AG253" s="9" t="str">
        <x:f>IF(AF253&gt;0,B253,"")</x:f>
      </x:c>
      <x:c r="AH253" s="9" t="n">
        <x:f>IF(F253&gt;=1,1,(1+v01_LowTiesShare*(AE253-1))/AE253)</x:f>
        <x:v>1</x:v>
      </x:c>
      <x:c r="AI253" s="32" t="n">
        <x:f>(Z253+v01_ElderCommons*INDEX(LM_Elder,G253)*AA253)*AH253</x:f>
        <x:v>15.510008354558728</x:v>
      </x:c>
      <x:c r="AJ253" s="32" t="n">
        <x:f>H253*v01_CommonsCoef*AI253^v01_CommonsExp*INDEX(LM_Commons,G253)</x:f>
        <x:v>6.7852235777071</x:v>
      </x:c>
      <x:c r="AK253" s="32" t="n">
        <x:f>H253*v01_RoleScale*Arch_Roles*(AE253*(INDEX(v01_ElderRolePerSett,G253)*v01_OutElder*INDEX(LM_Elder,G253)+INDEX(v01_ShamanPerSett,G253)*v01_OutShaman)+Z253*(INDEX(v01_PriestShare,G253)*v01_OutPriest+INDEX(v01_ScribeShare,G253)*v01_OutScribe*INDEX(LM_Scribe,G253)+INDEX(v01_ScholarShare,G253)*v01_OutScholar*INDEX(LM_Scholar,G253)+INDEX(v01_ResearcherShare,G253)*v01_OutResearcher*INDEX(LM_Researcher,G253)))</x:f>
        <x:v>1.3623724356957945</x:v>
      </x:c>
      <x:c r="AL253" s="32" t="n">
        <x:f>H253*v01_RoleScale*Arch_Roles*AE253*INDEX(v01_MonasteryPerSett,G253)*v01_OutMonastery*INDEX(LM_Monastery,G253)</x:f>
        <x:v>0</x:v>
      </x:c>
      <x:c r="AM253" s="32" t="n">
        <x:f>(AJ253+AK253+AL253)/4*INDEX(LM_All,G253)*INDEX(v01_Boon,G253)*Arch_Insight</x:f>
        <x:v>2.0878214784344915</x:v>
      </x:c>
      <x:c r="AN253" s="32" t="n">
        <x:f>H253*(v01_KHPerAdult*Z253+v01_KHOfCommons*AJ253/4*INDEX(LM_All,G253))*v01_KHUsable*Arch_KH</x:f>
        <x:v>0.3249931152899312</x:v>
      </x:c>
      <x:c r="AO253" s="32" t="n">
        <x:f>MIN(AP252+AN253,AM253*v01_KHMaxRatio)</x:f>
        <x:v>0.3249931152899312</x:v>
      </x:c>
      <x:c r="AP253" s="32" t="n">
        <x:f>AP252+AN253-AO253</x:f>
        <x:v>0</x:v>
      </x:c>
      <x:c r="AQ253" s="32" t="n">
        <x:f>AM253+AO253</x:f>
        <x:v>2.4128145937244225</x:v>
      </x:c>
      <x:c r="AR253" s="10" t="n">
        <x:f>IF(H253=1,INDEX(v01_Req,G253),0)</x:f>
        <x:v>1067.32</x:v>
      </x:c>
      <x:c r="AS253" s="32" t="n">
        <x:f>IF(H253=1,IF(E253=1,AS252-AR252,AS252)+AQ253,0)</x:f>
        <x:v>38.531321007479214</x:v>
      </x:c>
      <x:c r="AT253" s="11" t="n">
        <x:f>IF(AR253&gt;0,MIN(1,AS253/AR253),1)</x:f>
        <x:v>0.036101001581043374</x:v>
      </x:c>
      <x:c r="AU253" s="10" t="n">
        <x:f>AB253/INDEX(v01_RepScale,G253)</x:f>
        <x:v>20.099850312549385</x:v>
      </x:c>
      <x:c r="AV253" s="32" t="n">
        <x:f>AM253*60/v01_SeasonSeconds</x:f>
        <x:v>8.351285913737966</x:v>
      </x:c>
    </x:row>
    <x:row r="254">
      <x:c r="A254" s="8" t="n">
        <x:f>A253+1</x:f>
        <x:v>251</x:v>
      </x:c>
      <x:c r="B254" s="9" t="n">
        <x:f>A254*v01_SeasonSeconds/60</x:f>
        <x:v>62.75</x:v>
      </x:c>
      <x:c r="C254" s="9" t="n">
        <x:f>A254/4</x:f>
        <x:v>62.75</x:v>
      </x:c>
      <x:c r="D254" s="8" t="n">
        <x:f>IF(MOD(A254,4)=0,1,0)</x:f>
        <x:v>0</x:v>
      </x:c>
      <x:c r="E254" s="8" t="n">
        <x:f>IF(AND(F253&lt;=9,AS253&gt;=AR253),1,0)</x:f>
        <x:v>0</x:v>
      </x:c>
      <x:c r="F254" s="8" t="n">
        <x:f>MIN(10,F253+E254)</x:f>
        <x:v>1</x:v>
      </x:c>
      <x:c r="G254" s="8" t="n">
        <x:f>MIN(F254,9)+1</x:f>
        <x:v>2</x:v>
      </x:c>
      <x:c r="H254" s="8" t="n">
        <x:f>IF(F254&lt;=9,1,0)</x:f>
        <x:v>1</x:v>
      </x:c>
      <x:c r="I254" s="9" t="n">
        <x:f>MIN(10,F253+IF(AR253&gt;0,MIN(1,AS253/AR253),1))</x:f>
        <x:v>1.0361010015810435</x:v>
      </x:c>
      <x:c r="J254" s="32" t="n">
        <x:f>INDEX(v01_FoodCap,G254)*Arch_FoodCap*EXP(v01_CapsByProject*SUMPRODUCT((Cap_Point&lt;=I254)*(Cap_Kind="Food")*Cap_Ln))</x:f>
        <x:v>30</x:v>
      </x:c>
      <x:c r="K254" s="32" t="n">
        <x:f>J254*MIN(1,v01_LeanBase*EXP(v01_CapsByProject*SUMPRODUCT((Cap_Point&lt;=I254)*(Cap_Kind="Lean")*Cap_Ln)))</x:f>
        <x:v>30</x:v>
      </x:c>
      <x:c r="L254" s="10" t="n">
        <x:f>INDEX(v01_HousingCap,G254)*EXP(v01_CapsByProject*SUMPRODUCT((Cap_Point&lt;=I254)*(Cap_Kind="Housing")*Cap_Ln))</x:f>
        <x:v>60</x:v>
      </x:c>
      <x:c r="M254" s="10" t="n">
        <x:f>INDEX(v01_GroupCap,G254)*v01_CohesionFactor*EXP(v01_CapsByProject*SUMPRODUCT((Cap_Point&lt;=I254)*(Cap_Kind="Group")*Cap_Ln))</x:f>
        <x:v>100</x:v>
      </x:c>
      <x:c r="N254" s="32" t="n">
        <x:f>MIN(J254,L254,M254)</x:f>
        <x:v>30</x:v>
      </x:c>
      <x:c r="O254" s="10" t="n">
        <x:f>AE253*N254</x:f>
        <x:v>30</x:v>
      </x:c>
      <x:c r="P254" s="9" t="n">
        <x:f>MIN(1,(AB253/(AE253*IF(v01_GroupInCrowding=1,N254,MIN(J254,L254))))^v01_CrowdingExp)</x:f>
        <x:v>0.09045434030854585</x:v>
      </x:c>
      <x:c r="Q254" s="9" t="n">
        <x:f>IF(D254=1,INDEX(v01_WinterMult,G254),1)</x:f>
        <x:v>1</x:v>
      </x:c>
      <x:c r="R254" s="9" t="n">
        <x:f>H254*Z253*v01_WomenShare*v01_BaseFertility*INDEX(v01_FertMult,G254)*Arch_Fertility*(1-P254)</x:f>
        <x:v>0.3167100829731014</x:v>
      </x:c>
      <x:c r="S254" s="9" t="n">
        <x:f>H254*Y253*INDEX(v01_MortChild,G254)/4*Q254</x:f>
        <x:v>0.07239045638123194</x:v>
      </x:c>
      <x:c r="T254" s="9" t="n">
        <x:f>H254*Z253*INDEX(v01_MortAdult,G254)*Arch_AdultMort/4*Q254</x:f>
        <x:v>0.030177932134065038</x:v>
      </x:c>
      <x:c r="U254" s="9" t="n">
        <x:f>H254*AA253*INDEX(v01_MortElder,G254)/4*Q254</x:f>
        <x:v>0.05082275435678264</x:v>
      </x:c>
      <x:c r="V254" s="9" t="n">
        <x:f>H254*MAX(0,AB253-O254)*v01_OvercapLoss</x:f>
        <x:v>0</x:v>
      </x:c>
      <x:c r="W254" s="9" t="n">
        <x:f>H254*Y253/(v01_ChildYears*4)</x:f>
        <x:v>0.14773562526782028</x:v>
      </x:c>
      <x:c r="X254" s="9" t="n">
        <x:f>H254*Z253/(v01_AdultYears*4)</x:f>
        <x:v>0.07488320628800257</x:v>
      </x:c>
      <x:c r="Y254" s="32" t="n">
        <x:f>Y253+R254-S254-W254-Y253*V254/AB253</x:f>
        <x:v>8.369779016321983</x:v>
      </x:c>
      <x:c r="Z254" s="32" t="n">
        <x:f>Z253+W254-X254-T254-Z253*V254/AB253</x:f>
        <x:v>9.328192066558072</x:v>
      </x:c>
      <x:c r="AA254" s="32" t="n">
        <x:f>AA253+X254-U254-AA253*V254/AB253</x:f>
        <x:v>2.565198169770352</x:v>
      </x:c>
      <x:c r="AB254" s="10" t="n">
        <x:f>Y254+Z254+AA254</x:f>
        <x:v>20.263169252650407</x:v>
      </x:c>
      <x:c r="AC254" s="8" t="n">
        <x:f>IF(AND(v01_WinterTrigger=1,D254=1,AB253/AE253&gt;=K254),1,0)</x:f>
        <x:v>0</x:v>
      </x:c>
      <x:c r="AD254" s="8" t="n">
        <x:f>H254*IF(AND(OR(AB253/AE253&gt;=v01_FissionTrigger*N254,AC254=1),AB253/AE253*v01_DaughterShare&gt;=v01_MinDaughter),MAX(1,ROUND(AE253*v01_FissionRate,0)),0)</x:f>
        <x:v>0</x:v>
      </x:c>
      <x:c r="AE254" s="8" t="n">
        <x:f>IF(H254=1,MAX(1,MIN(INDEX(v01_Smax,G254),AE253+AD254)),AE253)</x:f>
        <x:v>1</x:v>
      </x:c>
      <x:c r="AF254" s="8" t="n">
        <x:f>MAX(0,AE254-AE253)</x:f>
        <x:v>0</x:v>
      </x:c>
      <x:c r="AG254" s="9" t="str">
        <x:f>IF(AF254&gt;0,B254,"")</x:f>
      </x:c>
      <x:c r="AH254" s="9" t="n">
        <x:f>IF(F254&gt;=1,1,(1+v01_LowTiesShare*(AE254-1))/AE254)</x:f>
        <x:v>1</x:v>
      </x:c>
      <x:c r="AI254" s="32" t="n">
        <x:f>(Z254+v01_ElderCommons*INDEX(LM_Elder,G254)*AA254)*AH254</x:f>
        <x:v>15.611618671616732</x:v>
      </x:c>
      <x:c r="AJ254" s="32" t="n">
        <x:f>H254*v01_CommonsCoef*AI254^v01_CommonsExp*INDEX(LM_Commons,G254)</x:f>
        <x:v>6.822989140074622</x:v>
      </x:c>
      <x:c r="AK254" s="32" t="n">
        <x:f>H254*v01_RoleScale*Arch_Roles*(AE254*(INDEX(v01_ElderRolePerSett,G254)*v01_OutElder*INDEX(LM_Elder,G254)+INDEX(v01_ShamanPerSett,G254)*v01_OutShaman)+Z254*(INDEX(v01_PriestShare,G254)*v01_OutPriest+INDEX(v01_ScribeShare,G254)*v01_OutScribe*INDEX(LM_Scribe,G254)+INDEX(v01_ScholarShare,G254)*v01_OutScholar*INDEX(LM_Scholar,G254)+INDEX(v01_ResearcherShare,G254)*v01_OutResearcher*INDEX(LM_Researcher,G254)))</x:f>
        <x:v>1.3623724356957945</x:v>
      </x:c>
      <x:c r="AL254" s="32" t="n">
        <x:f>H254*v01_RoleScale*Arch_Roles*AE254*INDEX(v01_MonasteryPerSett,G254)*v01_OutMonastery*INDEX(LM_Monastery,G254)</x:f>
        <x:v>0</x:v>
      </x:c>
      <x:c r="AM254" s="32" t="n">
        <x:f>(AJ254+AK254+AL254)/4*INDEX(LM_All,G254)*INDEX(v01_Boon,G254)*Arch_Insight</x:f>
        <x:v>2.097498903791169</x:v>
      </x:c>
      <x:c r="AN254" s="32" t="n">
        <x:f>H254*(v01_KHPerAdult*Z254+v01_KHOfCommons*AJ254/4*INDEX(LM_All,G254))*v01_KHUsable*Arch_KH</x:f>
        <x:v>0.3264867223295325</x:v>
      </x:c>
      <x:c r="AO254" s="32" t="n">
        <x:f>MIN(AP253+AN254,AM254*v01_KHMaxRatio)</x:f>
        <x:v>0.3264867223295325</x:v>
      </x:c>
      <x:c r="AP254" s="32" t="n">
        <x:f>AP253+AN254-AO254</x:f>
        <x:v>0</x:v>
      </x:c>
      <x:c r="AQ254" s="32" t="n">
        <x:f>AM254+AO254</x:f>
        <x:v>2.4239856261207016</x:v>
      </x:c>
      <x:c r="AR254" s="10" t="n">
        <x:f>IF(H254=1,INDEX(v01_Req,G254),0)</x:f>
        <x:v>1067.32</x:v>
      </x:c>
      <x:c r="AS254" s="32" t="n">
        <x:f>IF(H254=1,IF(E254=1,AS253-AR253,AS253)+AQ254,0)</x:f>
        <x:v>40.95530663359992</x:v>
      </x:c>
      <x:c r="AT254" s="11" t="n">
        <x:f>IF(AR254&gt;0,MIN(1,AS254/AR254),1)</x:f>
        <x:v>0.03837209705955095</x:v>
      </x:c>
      <x:c r="AU254" s="10" t="n">
        <x:f>AB254/INDEX(v01_RepScale,G254)</x:f>
        <x:v>20.263169252650407</x:v>
      </x:c>
      <x:c r="AV254" s="32" t="n">
        <x:f>AM254*60/v01_SeasonSeconds</x:f>
        <x:v>8.389995615164676</x:v>
      </x:c>
    </x:row>
    <x:row r="255">
      <x:c r="A255" s="8" t="n">
        <x:f>A254+1</x:f>
        <x:v>252</x:v>
      </x:c>
      <x:c r="B255" s="9" t="n">
        <x:f>A255*v01_SeasonSeconds/60</x:f>
        <x:v>63</x:v>
      </x:c>
      <x:c r="C255" s="9" t="n">
        <x:f>A255/4</x:f>
        <x:v>63</x:v>
      </x:c>
      <x:c r="D255" s="8" t="n">
        <x:f>IF(MOD(A255,4)=0,1,0)</x:f>
        <x:v>1</x:v>
      </x:c>
      <x:c r="E255" s="8" t="n">
        <x:f>IF(AND(F254&lt;=9,AS254&gt;=AR254),1,0)</x:f>
        <x:v>0</x:v>
      </x:c>
      <x:c r="F255" s="8" t="n">
        <x:f>MIN(10,F254+E255)</x:f>
        <x:v>1</x:v>
      </x:c>
      <x:c r="G255" s="8" t="n">
        <x:f>MIN(F255,9)+1</x:f>
        <x:v>2</x:v>
      </x:c>
      <x:c r="H255" s="8" t="n">
        <x:f>IF(F255&lt;=9,1,0)</x:f>
        <x:v>1</x:v>
      </x:c>
      <x:c r="I255" s="9" t="n">
        <x:f>MIN(10,F254+IF(AR254&gt;0,MIN(1,AS254/AR254),1))</x:f>
        <x:v>1.038372097059551</x:v>
      </x:c>
      <x:c r="J255" s="32" t="n">
        <x:f>INDEX(v01_FoodCap,G255)*Arch_FoodCap*EXP(v01_CapsByProject*SUMPRODUCT((Cap_Point&lt;=I255)*(Cap_Kind="Food")*Cap_Ln))</x:f>
        <x:v>30</x:v>
      </x:c>
      <x:c r="K255" s="32" t="n">
        <x:f>J255*MIN(1,v01_LeanBase*EXP(v01_CapsByProject*SUMPRODUCT((Cap_Point&lt;=I255)*(Cap_Kind="Lean")*Cap_Ln)))</x:f>
        <x:v>30</x:v>
      </x:c>
      <x:c r="L255" s="10" t="n">
        <x:f>INDEX(v01_HousingCap,G255)*EXP(v01_CapsByProject*SUMPRODUCT((Cap_Point&lt;=I255)*(Cap_Kind="Housing")*Cap_Ln))</x:f>
        <x:v>60</x:v>
      </x:c>
      <x:c r="M255" s="10" t="n">
        <x:f>INDEX(v01_GroupCap,G255)*v01_CohesionFactor*EXP(v01_CapsByProject*SUMPRODUCT((Cap_Point&lt;=I255)*(Cap_Kind="Group")*Cap_Ln))</x:f>
        <x:v>100</x:v>
      </x:c>
      <x:c r="N255" s="32" t="n">
        <x:f>MIN(J255,L255,M255)</x:f>
        <x:v>30</x:v>
      </x:c>
      <x:c r="O255" s="10" t="n">
        <x:f>AE254*N255</x:f>
        <x:v>30</x:v>
      </x:c>
      <x:c r="P255" s="9" t="n">
        <x:f>MIN(1,(AB254/(AE254*IF(v01_GroupInCrowding=1,N255,MIN(J255,L255))))^v01_CrowdingExp)</x:f>
        <x:v>0.09495475194867245</x:v>
      </x:c>
      <x:c r="Q255" s="9" t="n">
        <x:f>IF(D255=1,INDEX(v01_WinterMult,G255),1)</x:f>
        <x:v>1.6</x:v>
      </x:c>
      <x:c r="R255" s="9" t="n">
        <x:f>H255*Z254*v01_WomenShare*v01_BaseFertility*INDEX(v01_FertMult,G255)*Arch_Fertility*(1-P255)</x:f>
        <x:v>0.31659134635306785</x:v>
      </x:c>
      <x:c r="S255" s="9" t="n">
        <x:f>H255*Y254*INDEX(v01_MortChild,G255)/4*Q255</x:f>
        <x:v>0.1171769062285078</x:v>
      </x:c>
      <x:c r="T255" s="9" t="n">
        <x:f>H255*Z254*INDEX(v01_MortAdult,G255)*Arch_AdultMort/4*Q255</x:f>
        <x:v>0.04850659874610198</x:v>
      </x:c>
      <x:c r="U255" s="9" t="n">
        <x:f>H255*AA254*INDEX(v01_MortElder,G255)/4*Q255</x:f>
        <x:v>0.08208634143265127</x:v>
      </x:c>
      <x:c r="V255" s="9" t="n">
        <x:f>H255*MAX(0,AB254-O255)*v01_OvercapLoss</x:f>
        <x:v>0</x:v>
      </x:c>
      <x:c r="W255" s="9" t="n">
        <x:f>H255*Y254/(v01_ChildYears*4)</x:f>
        <x:v>0.14946033957717828</x:v>
      </x:c>
      <x:c r="X255" s="9" t="n">
        <x:f>H255*Z254/(v01_AdultYears*4)</x:f>
        <x:v>0.07522735537546833</x:v>
      </x:c>
      <x:c r="Y255" s="32" t="n">
        <x:f>Y254+R255-S255-W255-Y254*V255/AB254</x:f>
        <x:v>8.419733116869365</x:v>
      </x:c>
      <x:c r="Z255" s="32" t="n">
        <x:f>Z254+W255-X255-T255-Z254*V255/AB254</x:f>
        <x:v>9.353918452013682</x:v>
      </x:c>
      <x:c r="AA255" s="32" t="n">
        <x:f>AA254+X255-U255-AA254*V255/AB254</x:f>
        <x:v>2.5583391837131693</x:v>
      </x:c>
      <x:c r="AB255" s="10" t="n">
        <x:f>Y255+Z255+AA255</x:f>
        <x:v>20.331990752596216</x:v>
      </x:c>
      <x:c r="AC255" s="8" t="n">
        <x:f>IF(AND(v01_WinterTrigger=1,D255=1,AB254/AE254&gt;=K255),1,0)</x:f>
        <x:v>0</x:v>
      </x:c>
      <x:c r="AD255" s="8" t="n">
        <x:f>H255*IF(AND(OR(AB254/AE254&gt;=v01_FissionTrigger*N255,AC255=1),AB254/AE254*v01_DaughterShare&gt;=v01_MinDaughter),MAX(1,ROUND(AE254*v01_FissionRate,0)),0)</x:f>
        <x:v>0</x:v>
      </x:c>
      <x:c r="AE255" s="8" t="n">
        <x:f>IF(H255=1,MAX(1,MIN(INDEX(v01_Smax,G255),AE254+AD255)),AE254)</x:f>
        <x:v>1</x:v>
      </x:c>
      <x:c r="AF255" s="8" t="n">
        <x:f>MAX(0,AE255-AE254)</x:f>
        <x:v>0</x:v>
      </x:c>
      <x:c r="AG255" s="9" t="str">
        <x:f>IF(AF255&gt;0,B255,"")</x:f>
      </x:c>
      <x:c r="AH255" s="9" t="n">
        <x:f>IF(F255&gt;=1,1,(1+v01_LowTiesShare*(AE255-1))/AE255)</x:f>
        <x:v>1</x:v>
      </x:c>
      <x:c r="AI255" s="32" t="n">
        <x:f>(Z255+v01_ElderCommons*INDEX(LM_Elder,G255)*AA255)*AH255</x:f>
        <x:v>15.620544041079377</x:v>
      </x:c>
      <x:c r="AJ255" s="32" t="n">
        <x:f>H255*v01_CommonsCoef*AI255^v01_CommonsExp*INDEX(LM_Commons,G255)</x:f>
        <x:v>6.82630467231578</x:v>
      </x:c>
      <x:c r="AK255" s="32" t="n">
        <x:f>H255*v01_RoleScale*Arch_Roles*(AE255*(INDEX(v01_ElderRolePerSett,G255)*v01_OutElder*INDEX(LM_Elder,G255)+INDEX(v01_ShamanPerSett,G255)*v01_OutShaman)+Z255*(INDEX(v01_PriestShare,G255)*v01_OutPriest+INDEX(v01_ScribeShare,G255)*v01_OutScribe*INDEX(LM_Scribe,G255)+INDEX(v01_ScholarShare,G255)*v01_OutScholar*INDEX(LM_Scholar,G255)+INDEX(v01_ResearcherShare,G255)*v01_OutResearcher*INDEX(LM_Researcher,G255)))</x:f>
        <x:v>1.3623724356957945</x:v>
      </x:c>
      <x:c r="AL255" s="32" t="n">
        <x:f>H255*v01_RoleScale*Arch_Roles*AE255*INDEX(v01_MonasteryPerSett,G255)*v01_OutMonastery*INDEX(LM_Monastery,G255)</x:f>
        <x:v>0</x:v>
      </x:c>
      <x:c r="AM255" s="32" t="n">
        <x:f>(AJ255+AK255+AL255)/4*INDEX(LM_All,G255)*INDEX(v01_Boon,G255)*Arch_Insight</x:f>
        <x:v>2.098348508927966</x:v>
      </x:c>
      <x:c r="AN255" s="32" t="n">
        <x:f>H255*(v01_KHPerAdult*Z255+v01_KHOfCommons*AJ255/4*INDEX(LM_All,G255))*v01_KHUsable*Arch_KH</x:f>
        <x:v>0.32738714582047884</x:v>
      </x:c>
      <x:c r="AO255" s="32" t="n">
        <x:f>MIN(AP254+AN255,AM255*v01_KHMaxRatio)</x:f>
        <x:v>0.32738714582047884</x:v>
      </x:c>
      <x:c r="AP255" s="32" t="n">
        <x:f>AP254+AN255-AO255</x:f>
        <x:v>0</x:v>
      </x:c>
      <x:c r="AQ255" s="32" t="n">
        <x:f>AM255+AO255</x:f>
        <x:v>2.4257356547484448</x:v>
      </x:c>
      <x:c r="AR255" s="10" t="n">
        <x:f>IF(H255=1,INDEX(v01_Req,G255),0)</x:f>
        <x:v>1067.32</x:v>
      </x:c>
      <x:c r="AS255" s="32" t="n">
        <x:f>IF(H255=1,IF(E255=1,AS254-AR254,AS254)+AQ255,0)</x:f>
        <x:v>43.38104228834836</x:v>
      </x:c>
      <x:c r="AT255" s="11" t="n">
        <x:f>IF(AR255&gt;0,MIN(1,AS255/AR255),1)</x:f>
        <x:v>0.040644832185612906</x:v>
      </x:c>
      <x:c r="AU255" s="10" t="n">
        <x:f>AB255/INDEX(v01_RepScale,G255)</x:f>
        <x:v>20.331990752596216</x:v>
      </x:c>
      <x:c r="AV255" s="32" t="n">
        <x:f>AM255*60/v01_SeasonSeconds</x:f>
        <x:v>8.393394035711864</x:v>
      </x:c>
    </x:row>
    <x:row r="256">
      <x:c r="A256" s="8" t="n">
        <x:f>A255+1</x:f>
        <x:v>253</x:v>
      </x:c>
      <x:c r="B256" s="9" t="n">
        <x:f>A256*v01_SeasonSeconds/60</x:f>
        <x:v>63.25</x:v>
      </x:c>
      <x:c r="C256" s="9" t="n">
        <x:f>A256/4</x:f>
        <x:v>63.25</x:v>
      </x:c>
      <x:c r="D256" s="8" t="n">
        <x:f>IF(MOD(A256,4)=0,1,0)</x:f>
        <x:v>0</x:v>
      </x:c>
      <x:c r="E256" s="8" t="n">
        <x:f>IF(AND(F255&lt;=9,AS255&gt;=AR255),1,0)</x:f>
        <x:v>0</x:v>
      </x:c>
      <x:c r="F256" s="8" t="n">
        <x:f>MIN(10,F255+E256)</x:f>
        <x:v>1</x:v>
      </x:c>
      <x:c r="G256" s="8" t="n">
        <x:f>MIN(F256,9)+1</x:f>
        <x:v>2</x:v>
      </x:c>
      <x:c r="H256" s="8" t="n">
        <x:f>IF(F256&lt;=9,1,0)</x:f>
        <x:v>1</x:v>
      </x:c>
      <x:c r="I256" s="9" t="n">
        <x:f>MIN(10,F255+IF(AR255&gt;0,MIN(1,AS255/AR255),1))</x:f>
        <x:v>1.040644832185613</x:v>
      </x:c>
      <x:c r="J256" s="32" t="n">
        <x:f>INDEX(v01_FoodCap,G256)*Arch_FoodCap*EXP(v01_CapsByProject*SUMPRODUCT((Cap_Point&lt;=I256)*(Cap_Kind="Food")*Cap_Ln))</x:f>
        <x:v>30</x:v>
      </x:c>
      <x:c r="K256" s="32" t="n">
        <x:f>J256*MIN(1,v01_LeanBase*EXP(v01_CapsByProject*SUMPRODUCT((Cap_Point&lt;=I256)*(Cap_Kind="Lean")*Cap_Ln)))</x:f>
        <x:v>30</x:v>
      </x:c>
      <x:c r="L256" s="10" t="n">
        <x:f>INDEX(v01_HousingCap,G256)*EXP(v01_CapsByProject*SUMPRODUCT((Cap_Point&lt;=I256)*(Cap_Kind="Housing")*Cap_Ln))</x:f>
        <x:v>60</x:v>
      </x:c>
      <x:c r="M256" s="10" t="n">
        <x:f>INDEX(v01_GroupCap,G256)*v01_CohesionFactor*EXP(v01_CapsByProject*SUMPRODUCT((Cap_Point&lt;=I256)*(Cap_Kind="Group")*Cap_Ln))</x:f>
        <x:v>100</x:v>
      </x:c>
      <x:c r="N256" s="32" t="n">
        <x:f>MIN(J256,L256,M256)</x:f>
        <x:v>30</x:v>
      </x:c>
      <x:c r="O256" s="10" t="n">
        <x:f>AE255*N256</x:f>
        <x:v>30</x:v>
      </x:c>
      <x:c r="P256" s="9" t="n">
        <x:f>MIN(1,(AB255/(AE255*IF(v01_GroupInCrowding=1,N256,MIN(J256,L256))))^v01_CrowdingExp)</x:f>
        <x:v>0.09690627338297243</x:v>
      </x:c>
      <x:c r="Q256" s="9" t="n">
        <x:f>IF(D256=1,INDEX(v01_WinterMult,G256),1)</x:f>
        <x:v>1</x:v>
      </x:c>
      <x:c r="R256" s="9" t="n">
        <x:f>H256*Z255*v01_WomenShare*v01_BaseFertility*INDEX(v01_FertMult,G256)*Arch_Fertility*(1-P256)</x:f>
        <x:v>0.31677994024878053</x:v>
      </x:c>
      <x:c r="S256" s="9" t="n">
        <x:f>H256*Y255*INDEX(v01_MortChild,G256)/4*Q256</x:f>
        <x:v>0.07367266477260695</x:v>
      </x:c>
      <x:c r="T256" s="9" t="n">
        <x:f>H256*Z255*INDEX(v01_MortAdult,G256)*Arch_AdultMort/4*Q256</x:f>
        <x:v>0.030400234969044464</x:v>
      </x:c>
      <x:c r="U256" s="9" t="n">
        <x:f>H256*AA255*INDEX(v01_MortElder,G256)/4*Q256</x:f>
        <x:v>0.05116678367426339</x:v>
      </x:c>
      <x:c r="V256" s="9" t="n">
        <x:f>H256*MAX(0,AB255-O256)*v01_OvercapLoss</x:f>
        <x:v>0</x:v>
      </x:c>
      <x:c r="W256" s="9" t="n">
        <x:f>H256*Y255/(v01_ChildYears*4)</x:f>
        <x:v>0.15035237708695295</x:v>
      </x:c>
      <x:c r="X256" s="9" t="n">
        <x:f>H256*Z255/(v01_AdultYears*4)</x:f>
        <x:v>0.07543482622591678</x:v>
      </x:c>
      <x:c r="Y256" s="32" t="n">
        <x:f>Y255+R256-S256-W256-Y255*V256/AB255</x:f>
        <x:v>8.512488015258585</x:v>
      </x:c>
      <x:c r="Z256" s="32" t="n">
        <x:f>Z255+W256-X256-T256-Z255*V256/AB255</x:f>
        <x:v>9.398435767905672</x:v>
      </x:c>
      <x:c r="AA256" s="32" t="n">
        <x:f>AA255+X256-U256-AA255*V256/AB255</x:f>
        <x:v>2.5826072262648223</x:v>
      </x:c>
      <x:c r="AB256" s="10" t="n">
        <x:f>Y256+Z256+AA256</x:f>
        <x:v>20.49353100942908</x:v>
      </x:c>
      <x:c r="AC256" s="8" t="n">
        <x:f>IF(AND(v01_WinterTrigger=1,D256=1,AB255/AE255&gt;=K256),1,0)</x:f>
        <x:v>0</x:v>
      </x:c>
      <x:c r="AD256" s="8" t="n">
        <x:f>H256*IF(AND(OR(AB255/AE255&gt;=v01_FissionTrigger*N256,AC256=1),AB255/AE255*v01_DaughterShare&gt;=v01_MinDaughter),MAX(1,ROUND(AE255*v01_FissionRate,0)),0)</x:f>
        <x:v>0</x:v>
      </x:c>
      <x:c r="AE256" s="8" t="n">
        <x:f>IF(H256=1,MAX(1,MIN(INDEX(v01_Smax,G256),AE255+AD256)),AE255)</x:f>
        <x:v>1</x:v>
      </x:c>
      <x:c r="AF256" s="8" t="n">
        <x:f>MAX(0,AE256-AE255)</x:f>
        <x:v>0</x:v>
      </x:c>
      <x:c r="AG256" s="9" t="str">
        <x:f>IF(AF256&gt;0,B256,"")</x:f>
      </x:c>
      <x:c r="AH256" s="9" t="n">
        <x:f>IF(F256&gt;=1,1,(1+v01_LowTiesShare*(AE256-1))/AE256)</x:f>
        <x:v>1</x:v>
      </x:c>
      <x:c r="AI256" s="32" t="n">
        <x:f>(Z256+v01_ElderCommons*INDEX(LM_Elder,G256)*AA256)*AH256</x:f>
        <x:v>15.724505678279069</x:v>
      </x:c>
      <x:c r="AJ256" s="32" t="n">
        <x:f>H256*v01_CommonsCoef*AI256^v01_CommonsExp*INDEX(LM_Commons,G256)</x:f>
        <x:v>6.864902713368746</x:v>
      </x:c>
      <x:c r="AK256" s="32" t="n">
        <x:f>H256*v01_RoleScale*Arch_Roles*(AE256*(INDEX(v01_ElderRolePerSett,G256)*v01_OutElder*INDEX(LM_Elder,G256)+INDEX(v01_ShamanPerSett,G256)*v01_OutShaman)+Z256*(INDEX(v01_PriestShare,G256)*v01_OutPriest+INDEX(v01_ScribeShare,G256)*v01_OutScribe*INDEX(LM_Scribe,G256)+INDEX(v01_ScholarShare,G256)*v01_OutScholar*INDEX(LM_Scholar,G256)+INDEX(v01_ResearcherShare,G256)*v01_OutResearcher*INDEX(LM_Researcher,G256)))</x:f>
        <x:v>1.3623724356957945</x:v>
      </x:c>
      <x:c r="AL256" s="32" t="n">
        <x:f>H256*v01_RoleScale*Arch_Roles*AE256*INDEX(v01_MonasteryPerSett,G256)*v01_OutMonastery*INDEX(LM_Monastery,G256)</x:f>
        <x:v>0</x:v>
      </x:c>
      <x:c r="AM256" s="32" t="n">
        <x:f>(AJ256+AK256+AL256)/4*INDEX(LM_All,G256)*INDEX(v01_Boon,G256)*Arch_Insight</x:f>
        <x:v>2.1082392569477886</x:v>
      </x:c>
      <x:c r="AN256" s="32" t="n">
        <x:f>H256*(v01_KHPerAdult*Z256+v01_KHOfCommons*AJ256/4*INDEX(LM_All,G256))*v01_KHUsable*Arch_KH</x:f>
        <x:v>0.32894525187669854</x:v>
      </x:c>
      <x:c r="AO256" s="32" t="n">
        <x:f>MIN(AP255+AN256,AM256*v01_KHMaxRatio)</x:f>
        <x:v>0.32894525187669854</x:v>
      </x:c>
      <x:c r="AP256" s="32" t="n">
        <x:f>AP255+AN256-AO256</x:f>
        <x:v>0</x:v>
      </x:c>
      <x:c r="AQ256" s="32" t="n">
        <x:f>AM256+AO256</x:f>
        <x:v>2.4371845088244872</x:v>
      </x:c>
      <x:c r="AR256" s="10" t="n">
        <x:f>IF(H256=1,INDEX(v01_Req,G256),0)</x:f>
        <x:v>1067.32</x:v>
      </x:c>
      <x:c r="AS256" s="32" t="n">
        <x:f>IF(H256=1,IF(E256=1,AS255-AR255,AS255)+AQ256,0)</x:f>
        <x:v>45.81822679717285</x:v>
      </x:c>
      <x:c r="AT256" s="11" t="n">
        <x:f>IF(AR256&gt;0,MIN(1,AS256/AR256),1)</x:f>
        <x:v>0.04292829404224867</x:v>
      </x:c>
      <x:c r="AU256" s="10" t="n">
        <x:f>AB256/INDEX(v01_RepScale,G256)</x:f>
        <x:v>20.49353100942908</x:v>
      </x:c>
      <x:c r="AV256" s="32" t="n">
        <x:f>AM256*60/v01_SeasonSeconds</x:f>
        <x:v>8.432957027791154</x:v>
      </x:c>
    </x:row>
    <x:row r="257">
      <x:c r="A257" s="8" t="n">
        <x:f>A256+1</x:f>
        <x:v>254</x:v>
      </x:c>
      <x:c r="B257" s="9" t="n">
        <x:f>A257*v01_SeasonSeconds/60</x:f>
        <x:v>63.5</x:v>
      </x:c>
      <x:c r="C257" s="9" t="n">
        <x:f>A257/4</x:f>
        <x:v>63.5</x:v>
      </x:c>
      <x:c r="D257" s="8" t="n">
        <x:f>IF(MOD(A257,4)=0,1,0)</x:f>
        <x:v>0</x:v>
      </x:c>
      <x:c r="E257" s="8" t="n">
        <x:f>IF(AND(F256&lt;=9,AS256&gt;=AR256),1,0)</x:f>
        <x:v>0</x:v>
      </x:c>
      <x:c r="F257" s="8" t="n">
        <x:f>MIN(10,F256+E257)</x:f>
        <x:v>1</x:v>
      </x:c>
      <x:c r="G257" s="8" t="n">
        <x:f>MIN(F257,9)+1</x:f>
        <x:v>2</x:v>
      </x:c>
      <x:c r="H257" s="8" t="n">
        <x:f>IF(F257&lt;=9,1,0)</x:f>
        <x:v>1</x:v>
      </x:c>
      <x:c r="I257" s="9" t="n">
        <x:f>MIN(10,F256+IF(AR256&gt;0,MIN(1,AS256/AR256),1))</x:f>
        <x:v>1.0429282940422486</x:v>
      </x:c>
      <x:c r="J257" s="32" t="n">
        <x:f>INDEX(v01_FoodCap,G257)*Arch_FoodCap*EXP(v01_CapsByProject*SUMPRODUCT((Cap_Point&lt;=I257)*(Cap_Kind="Food")*Cap_Ln))</x:f>
        <x:v>30</x:v>
      </x:c>
      <x:c r="K257" s="32" t="n">
        <x:f>J257*MIN(1,v01_LeanBase*EXP(v01_CapsByProject*SUMPRODUCT((Cap_Point&lt;=I257)*(Cap_Kind="Lean")*Cap_Ln)))</x:f>
        <x:v>30</x:v>
      </x:c>
      <x:c r="L257" s="10" t="n">
        <x:f>INDEX(v01_HousingCap,G257)*EXP(v01_CapsByProject*SUMPRODUCT((Cap_Point&lt;=I257)*(Cap_Kind="Housing")*Cap_Ln))</x:f>
        <x:v>60</x:v>
      </x:c>
      <x:c r="M257" s="10" t="n">
        <x:f>INDEX(v01_GroupCap,G257)*v01_CohesionFactor*EXP(v01_CapsByProject*SUMPRODUCT((Cap_Point&lt;=I257)*(Cap_Kind="Group")*Cap_Ln))</x:f>
        <x:v>100</x:v>
      </x:c>
      <x:c r="N257" s="32" t="n">
        <x:f>MIN(J257,L257,M257)</x:f>
        <x:v>30</x:v>
      </x:c>
      <x:c r="O257" s="10" t="n">
        <x:f>AE256*N257</x:f>
        <x:v>30</x:v>
      </x:c>
      <x:c r="P257" s="9" t="n">
        <x:f>MIN(1,(AB256/(AE256*IF(v01_GroupInCrowding=1,N257,MIN(J257,L257))))^v01_CrowdingExp)</x:f>
        <x:v>0.10161860556140083</x:v>
      </x:c>
      <x:c r="Q257" s="9" t="n">
        <x:f>IF(D257=1,INDEX(v01_WinterMult,G257),1)</x:f>
        <x:v>1</x:v>
      </x:c>
      <x:c r="R257" s="9" t="n">
        <x:f>H257*Z256*v01_WomenShare*v01_BaseFertility*INDEX(v01_FertMult,G257)*Arch_Fertility*(1-P257)</x:f>
        <x:v>0.31662674365172644</x:v>
      </x:c>
      <x:c r="S257" s="9" t="n">
        <x:f>H257*Y256*INDEX(v01_MortChild,G257)/4*Q257</x:f>
        <x:v>0.07448427013351262</x:v>
      </x:c>
      <x:c r="T257" s="9" t="n">
        <x:f>H257*Z256*INDEX(v01_MortAdult,G257)*Arch_AdultMort/4*Q257</x:f>
        <x:v>0.030544916245693433</x:v>
      </x:c>
      <x:c r="U257" s="9" t="n">
        <x:f>H257*AA256*INDEX(v01_MortElder,G257)/4*Q257</x:f>
        <x:v>0.05165214452529645</x:v>
      </x:c>
      <x:c r="V257" s="9" t="n">
        <x:f>H257*MAX(0,AB256-O257)*v01_OvercapLoss</x:f>
        <x:v>0</x:v>
      </x:c>
      <x:c r="W257" s="9" t="n">
        <x:f>H257*Y256/(v01_ChildYears*4)</x:f>
        <x:v>0.152008714558189</x:v>
      </x:c>
      <x:c r="X257" s="9" t="n">
        <x:f>H257*Z256/(v01_AdultYears*4)</x:f>
        <x:v>0.07579383683794898</x:v>
      </x:c>
      <x:c r="Y257" s="32" t="n">
        <x:f>Y256+R257-S257-W257-Y256*V257/AB256</x:f>
        <x:v>8.60262177421861</x:v>
      </x:c>
      <x:c r="Z257" s="32" t="n">
        <x:f>Z256+W257-X257-T257-Z256*V257/AB256</x:f>
        <x:v>9.444105729380219</x:v>
      </x:c>
      <x:c r="AA257" s="32" t="n">
        <x:f>AA256+X257-U257-AA256*V257/AB256</x:f>
        <x:v>2.606748918577475</x:v>
      </x:c>
      <x:c r="AB257" s="10" t="n">
        <x:f>Y257+Z257+AA257</x:f>
        <x:v>20.653476422176304</x:v>
      </x:c>
      <x:c r="AC257" s="8" t="n">
        <x:f>IF(AND(v01_WinterTrigger=1,D257=1,AB256/AE256&gt;=K257),1,0)</x:f>
        <x:v>0</x:v>
      </x:c>
      <x:c r="AD257" s="8" t="n">
        <x:f>H257*IF(AND(OR(AB256/AE256&gt;=v01_FissionTrigger*N257,AC257=1),AB256/AE256*v01_DaughterShare&gt;=v01_MinDaughter),MAX(1,ROUND(AE256*v01_FissionRate,0)),0)</x:f>
        <x:v>0</x:v>
      </x:c>
      <x:c r="AE257" s="8" t="n">
        <x:f>IF(H257=1,MAX(1,MIN(INDEX(v01_Smax,G257),AE256+AD257)),AE256)</x:f>
        <x:v>1</x:v>
      </x:c>
      <x:c r="AF257" s="8" t="n">
        <x:f>MAX(0,AE257-AE256)</x:f>
        <x:v>0</x:v>
      </x:c>
      <x:c r="AG257" s="9" t="str">
        <x:f>IF(AF257&gt;0,B257,"")</x:f>
      </x:c>
      <x:c r="AH257" s="9" t="n">
        <x:f>IF(F257&gt;=1,1,(1+v01_LowTiesShare*(AE257-1))/AE257)</x:f>
        <x:v>1</x:v>
      </x:c>
      <x:c r="AI257" s="32" t="n">
        <x:f>(Z257+v01_ElderCommons*INDEX(LM_Elder,G257)*AA257)*AH257</x:f>
        <x:v>15.829310467446884</x:v>
      </x:c>
      <x:c r="AJ257" s="32" t="n">
        <x:f>H257*v01_CommonsCoef*AI257^v01_CommonsExp*INDEX(LM_Commons,G257)</x:f>
        <x:v>6.903775067577064</x:v>
      </x:c>
      <x:c r="AK257" s="32" t="n">
        <x:f>H257*v01_RoleScale*Arch_Roles*(AE257*(INDEX(v01_ElderRolePerSett,G257)*v01_OutElder*INDEX(LM_Elder,G257)+INDEX(v01_ShamanPerSett,G257)*v01_OutShaman)+Z257*(INDEX(v01_PriestShare,G257)*v01_OutPriest+INDEX(v01_ScribeShare,G257)*v01_OutScribe*INDEX(LM_Scribe,G257)+INDEX(v01_ScholarShare,G257)*v01_OutScholar*INDEX(LM_Scholar,G257)+INDEX(v01_ResearcherShare,G257)*v01_OutResearcher*INDEX(LM_Researcher,G257)))</x:f>
        <x:v>1.3623724356957945</x:v>
      </x:c>
      <x:c r="AL257" s="32" t="n">
        <x:f>H257*v01_RoleScale*Arch_Roles*AE257*INDEX(v01_MonasteryPerSett,G257)*v01_OutMonastery*INDEX(LM_Monastery,G257)</x:f>
        <x:v>0</x:v>
      </x:c>
      <x:c r="AM257" s="32" t="n">
        <x:f>(AJ257+AK257+AL257)/4*INDEX(LM_All,G257)*INDEX(v01_Boon,G257)*Arch_Insight</x:f>
        <x:v>2.1182002977136696</x:v>
      </x:c>
      <x:c r="AN257" s="32" t="n">
        <x:f>H257*(v01_KHPerAdult*Z257+v01_KHOfCommons*AJ257/4*INDEX(LM_All,G257))*v01_KHUsable*Arch_KH</x:f>
        <x:v>0.3305437005283076</x:v>
      </x:c>
      <x:c r="AO257" s="32" t="n">
        <x:f>MIN(AP256+AN257,AM257*v01_KHMaxRatio)</x:f>
        <x:v>0.3305437005283076</x:v>
      </x:c>
      <x:c r="AP257" s="32" t="n">
        <x:f>AP256+AN257-AO257</x:f>
        <x:v>0</x:v>
      </x:c>
      <x:c r="AQ257" s="32" t="n">
        <x:f>AM257+AO257</x:f>
        <x:v>2.4487439982419774</x:v>
      </x:c>
      <x:c r="AR257" s="10" t="n">
        <x:f>IF(H257=1,INDEX(v01_Req,G257),0)</x:f>
        <x:v>1067.32</x:v>
      </x:c>
      <x:c r="AS257" s="32" t="n">
        <x:f>IF(H257=1,IF(E257=1,AS256-AR256,AS256)+AQ257,0)</x:f>
        <x:v>48.26697079541483</x:v>
      </x:c>
      <x:c r="AT257" s="11" t="n">
        <x:f>IF(AR257&gt;0,MIN(1,AS257/AR257),1)</x:f>
        <x:v>0.04522258628660086</x:v>
      </x:c>
      <x:c r="AU257" s="10" t="n">
        <x:f>AB257/INDEX(v01_RepScale,G257)</x:f>
        <x:v>20.653476422176304</x:v>
      </x:c>
      <x:c r="AV257" s="32" t="n">
        <x:f>AM257*60/v01_SeasonSeconds</x:f>
        <x:v>8.472801190854678</x:v>
      </x:c>
    </x:row>
    <x:row r="258">
      <x:c r="A258" s="8" t="n">
        <x:f>A257+1</x:f>
        <x:v>255</x:v>
      </x:c>
      <x:c r="B258" s="9" t="n">
        <x:f>A258*v01_SeasonSeconds/60</x:f>
        <x:v>63.75</x:v>
      </x:c>
      <x:c r="C258" s="9" t="n">
        <x:f>A258/4</x:f>
        <x:v>63.75</x:v>
      </x:c>
      <x:c r="D258" s="8" t="n">
        <x:f>IF(MOD(A258,4)=0,1,0)</x:f>
        <x:v>0</x:v>
      </x:c>
      <x:c r="E258" s="8" t="n">
        <x:f>IF(AND(F257&lt;=9,AS257&gt;=AR257),1,0)</x:f>
        <x:v>0</x:v>
      </x:c>
      <x:c r="F258" s="8" t="n">
        <x:f>MIN(10,F257+E258)</x:f>
        <x:v>1</x:v>
      </x:c>
      <x:c r="G258" s="8" t="n">
        <x:f>MIN(F258,9)+1</x:f>
        <x:v>2</x:v>
      </x:c>
      <x:c r="H258" s="8" t="n">
        <x:f>IF(F258&lt;=9,1,0)</x:f>
        <x:v>1</x:v>
      </x:c>
      <x:c r="I258" s="9" t="n">
        <x:f>MIN(10,F257+IF(AR257&gt;0,MIN(1,AS257/AR257),1))</x:f>
        <x:v>1.045222586286601</x:v>
      </x:c>
      <x:c r="J258" s="32" t="n">
        <x:f>INDEX(v01_FoodCap,G258)*Arch_FoodCap*EXP(v01_CapsByProject*SUMPRODUCT((Cap_Point&lt;=I258)*(Cap_Kind="Food")*Cap_Ln))</x:f>
        <x:v>30</x:v>
      </x:c>
      <x:c r="K258" s="32" t="n">
        <x:f>J258*MIN(1,v01_LeanBase*EXP(v01_CapsByProject*SUMPRODUCT((Cap_Point&lt;=I258)*(Cap_Kind="Lean")*Cap_Ln)))</x:f>
        <x:v>30</x:v>
      </x:c>
      <x:c r="L258" s="10" t="n">
        <x:f>INDEX(v01_HousingCap,G258)*EXP(v01_CapsByProject*SUMPRODUCT((Cap_Point&lt;=I258)*(Cap_Kind="Housing")*Cap_Ln))</x:f>
        <x:v>60</x:v>
      </x:c>
      <x:c r="M258" s="10" t="n">
        <x:f>INDEX(v01_GroupCap,G258)*v01_CohesionFactor*EXP(v01_CapsByProject*SUMPRODUCT((Cap_Point&lt;=I258)*(Cap_Kind="Group")*Cap_Ln))</x:f>
        <x:v>100</x:v>
      </x:c>
      <x:c r="N258" s="32" t="n">
        <x:f>MIN(J258,L258,M258)</x:f>
        <x:v>30</x:v>
      </x:c>
      <x:c r="O258" s="10" t="n">
        <x:f>AE257*N258</x:f>
        <x:v>30</x:v>
      </x:c>
      <x:c r="P258" s="9" t="n">
        <x:f>MIN(1,(AB257/(AE257*IF(v01_GroupInCrowding=1,N258,MIN(J258,L258))))^v01_CrowdingExp)</x:f>
        <x:v>0.10647102888449607</x:v>
      </x:c>
      <x:c r="Q258" s="9" t="n">
        <x:f>IF(D258=1,INDEX(v01_WinterMult,G258),1)</x:f>
        <x:v>1</x:v>
      </x:c>
      <x:c r="R258" s="9" t="n">
        <x:f>H258*Z257*v01_WomenShare*v01_BaseFertility*INDEX(v01_FertMult,G258)*Arch_Fertility*(1-P258)</x:f>
        <x:v>0.31644682783046785</x:v>
      </x:c>
      <x:c r="S258" s="9" t="n">
        <x:f>H258*Y257*INDEX(v01_MortChild,G258)/4*Q258</x:f>
        <x:v>0.07527294052441284</x:v>
      </x:c>
      <x:c r="T258" s="9" t="n">
        <x:f>H258*Z257*INDEX(v01_MortAdult,G258)*Arch_AdultMort/4*Q258</x:f>
        <x:v>0.03069334362048571</x:v>
      </x:c>
      <x:c r="U258" s="9" t="n">
        <x:f>H258*AA257*INDEX(v01_MortElder,G258)/4*Q258</x:f>
        <x:v>0.052134978371549505</x:v>
      </x:c>
      <x:c r="V258" s="9" t="n">
        <x:f>H258*MAX(0,AB257-O258)*v01_OvercapLoss</x:f>
        <x:v>0</x:v>
      </x:c>
      <x:c r="W258" s="9" t="n">
        <x:f>H258*Y257/(v01_ChildYears*4)</x:f>
        <x:v>0.15361824596818946</x:v>
      </x:c>
      <x:c r="X258" s="9" t="n">
        <x:f>H258*Z257/(v01_AdultYears*4)</x:f>
        <x:v>0.07616214297887273</x:v>
      </x:c>
      <x:c r="Y258" s="32" t="n">
        <x:f>Y257+R258-S258-W258-Y257*V258/AB257</x:f>
        <x:v>8.690177415556477</x:v>
      </x:c>
      <x:c r="Z258" s="32" t="n">
        <x:f>Z257+W258-X258-T258-Z257*V258/AB257</x:f>
        <x:v>9.490868488749049</x:v>
      </x:c>
      <x:c r="AA258" s="32" t="n">
        <x:f>AA257+X258-U258-AA257*V258/AB257</x:f>
        <x:v>2.630776083184798</x:v>
      </x:c>
      <x:c r="AB258" s="10" t="n">
        <x:f>Y258+Z258+AA258</x:f>
        <x:v>20.811821987490326</x:v>
      </x:c>
      <x:c r="AC258" s="8" t="n">
        <x:f>IF(AND(v01_WinterTrigger=1,D258=1,AB257/AE257&gt;=K258),1,0)</x:f>
        <x:v>0</x:v>
      </x:c>
      <x:c r="AD258" s="8" t="n">
        <x:f>H258*IF(AND(OR(AB257/AE257&gt;=v01_FissionTrigger*N258,AC258=1),AB257/AE257*v01_DaughterShare&gt;=v01_MinDaughter),MAX(1,ROUND(AE257*v01_FissionRate,0)),0)</x:f>
        <x:v>0</x:v>
      </x:c>
      <x:c r="AE258" s="8" t="n">
        <x:f>IF(H258=1,MAX(1,MIN(INDEX(v01_Smax,G258),AE257+AD258)),AE257)</x:f>
        <x:v>1</x:v>
      </x:c>
      <x:c r="AF258" s="8" t="n">
        <x:f>MAX(0,AE258-AE257)</x:f>
        <x:v>0</x:v>
      </x:c>
      <x:c r="AG258" s="9" t="str">
        <x:f>IF(AF258&gt;0,B258,"")</x:f>
      </x:c>
      <x:c r="AH258" s="9" t="n">
        <x:f>IF(F258&gt;=1,1,(1+v01_LowTiesShare*(AE258-1))/AE258)</x:f>
        <x:v>1</x:v>
      </x:c>
      <x:c r="AI258" s="32" t="n">
        <x:f>(Z258+v01_ElderCommons*INDEX(LM_Elder,G258)*AA258)*AH258</x:f>
        <x:v>15.934927520069516</x:v>
      </x:c>
      <x:c r="AJ258" s="32" t="n">
        <x:f>H258*v01_CommonsCoef*AI258^v01_CommonsExp*INDEX(LM_Commons,G258)</x:f>
        <x:v>6.9429096564982276</x:v>
      </x:c>
      <x:c r="AK258" s="32" t="n">
        <x:f>H258*v01_RoleScale*Arch_Roles*(AE258*(INDEX(v01_ElderRolePerSett,G258)*v01_OutElder*INDEX(LM_Elder,G258)+INDEX(v01_ShamanPerSett,G258)*v01_OutShaman)+Z258*(INDEX(v01_PriestShare,G258)*v01_OutPriest+INDEX(v01_ScribeShare,G258)*v01_OutScribe*INDEX(LM_Scribe,G258)+INDEX(v01_ScholarShare,G258)*v01_OutScholar*INDEX(LM_Scholar,G258)+INDEX(v01_ResearcherShare,G258)*v01_OutResearcher*INDEX(LM_Researcher,G258)))</x:f>
        <x:v>1.3623724356957945</x:v>
      </x:c>
      <x:c r="AL258" s="32" t="n">
        <x:f>H258*v01_RoleScale*Arch_Roles*AE258*INDEX(v01_MonasteryPerSett,G258)*v01_OutMonastery*INDEX(LM_Monastery,G258)</x:f>
        <x:v>0</x:v>
      </x:c>
      <x:c r="AM258" s="32" t="n">
        <x:f>(AJ258+AK258+AL258)/4*INDEX(LM_All,G258)*INDEX(v01_Boon,G258)*Arch_Insight</x:f>
        <x:v>2.128228536124718</x:v>
      </x:c>
      <x:c r="AN258" s="32" t="n">
        <x:f>H258*(v01_KHPerAdult*Z258+v01_KHOfCommons*AJ258/4*INDEX(LM_All,G258))*v01_KHUsable*Arch_KH</x:f>
        <x:v>0.3321803971062167</x:v>
      </x:c>
      <x:c r="AO258" s="32" t="n">
        <x:f>MIN(AP257+AN258,AM258*v01_KHMaxRatio)</x:f>
        <x:v>0.3321803971062167</x:v>
      </x:c>
      <x:c r="AP258" s="32" t="n">
        <x:f>AP257+AN258-AO258</x:f>
        <x:v>0</x:v>
      </x:c>
      <x:c r="AQ258" s="32" t="n">
        <x:f>AM258+AO258</x:f>
        <x:v>2.4604089332309345</x:v>
      </x:c>
      <x:c r="AR258" s="10" t="n">
        <x:f>IF(H258=1,INDEX(v01_Req,G258),0)</x:f>
        <x:v>1067.32</x:v>
      </x:c>
      <x:c r="AS258" s="32" t="n">
        <x:f>IF(H258=1,IF(E258=1,AS257-AR257,AS257)+AQ258,0)</x:f>
        <x:v>50.727379728645765</x:v>
      </x:c>
      <x:c r="AT258" s="11" t="n">
        <x:f>IF(AR258&gt;0,MIN(1,AS258/AR258),1)</x:f>
        <x:v>0.047527807713380964</x:v>
      </x:c>
      <x:c r="AU258" s="10" t="n">
        <x:f>AB258/INDEX(v01_RepScale,G258)</x:f>
        <x:v>20.811821987490326</x:v>
      </x:c>
      <x:c r="AV258" s="32" t="n">
        <x:f>AM258*60/v01_SeasonSeconds</x:f>
        <x:v>8.512914144498872</x:v>
      </x:c>
    </x:row>
    <x:row r="259">
      <x:c r="A259" s="8" t="n">
        <x:f>A258+1</x:f>
        <x:v>256</x:v>
      </x:c>
      <x:c r="B259" s="9" t="n">
        <x:f>A259*v01_SeasonSeconds/60</x:f>
        <x:v>64</x:v>
      </x:c>
      <x:c r="C259" s="9" t="n">
        <x:f>A259/4</x:f>
        <x:v>64</x:v>
      </x:c>
      <x:c r="D259" s="8" t="n">
        <x:f>IF(MOD(A259,4)=0,1,0)</x:f>
        <x:v>1</x:v>
      </x:c>
      <x:c r="E259" s="8" t="n">
        <x:f>IF(AND(F258&lt;=9,AS258&gt;=AR258),1,0)</x:f>
        <x:v>0</x:v>
      </x:c>
      <x:c r="F259" s="8" t="n">
        <x:f>MIN(10,F258+E259)</x:f>
        <x:v>1</x:v>
      </x:c>
      <x:c r="G259" s="8" t="n">
        <x:f>MIN(F259,9)+1</x:f>
        <x:v>2</x:v>
      </x:c>
      <x:c r="H259" s="8" t="n">
        <x:f>IF(F259&lt;=9,1,0)</x:f>
        <x:v>1</x:v>
      </x:c>
      <x:c r="I259" s="9" t="n">
        <x:f>MIN(10,F258+IF(AR258&gt;0,MIN(1,AS258/AR258),1))</x:f>
        <x:v>1.047527807713381</x:v>
      </x:c>
      <x:c r="J259" s="32" t="n">
        <x:f>INDEX(v01_FoodCap,G259)*Arch_FoodCap*EXP(v01_CapsByProject*SUMPRODUCT((Cap_Point&lt;=I259)*(Cap_Kind="Food")*Cap_Ln))</x:f>
        <x:v>30</x:v>
      </x:c>
      <x:c r="K259" s="32" t="n">
        <x:f>J259*MIN(1,v01_LeanBase*EXP(v01_CapsByProject*SUMPRODUCT((Cap_Point&lt;=I259)*(Cap_Kind="Lean")*Cap_Ln)))</x:f>
        <x:v>30</x:v>
      </x:c>
      <x:c r="L259" s="10" t="n">
        <x:f>INDEX(v01_HousingCap,G259)*EXP(v01_CapsByProject*SUMPRODUCT((Cap_Point&lt;=I259)*(Cap_Kind="Housing")*Cap_Ln))</x:f>
        <x:v>60</x:v>
      </x:c>
      <x:c r="M259" s="10" t="n">
        <x:f>INDEX(v01_GroupCap,G259)*v01_CohesionFactor*EXP(v01_CapsByProject*SUMPRODUCT((Cap_Point&lt;=I259)*(Cap_Kind="Group")*Cap_Ln))</x:f>
        <x:v>100</x:v>
      </x:c>
      <x:c r="N259" s="32" t="n">
        <x:f>MIN(J259,L259,M259)</x:f>
        <x:v>30</x:v>
      </x:c>
      <x:c r="O259" s="10" t="n">
        <x:f>AE258*N259</x:f>
        <x:v>30</x:v>
      </x:c>
      <x:c r="P259" s="9" t="n">
        <x:f>MIN(1,(AB258/(AE258*IF(v01_GroupInCrowding=1,N259,MIN(J259,L259))))^v01_CrowdingExp)</x:f>
        <x:v>0.111463605461849</x:v>
      </x:c>
      <x:c r="Q259" s="9" t="n">
        <x:f>IF(D259=1,INDEX(v01_WinterMult,G259),1)</x:f>
        <x:v>1.6</x:v>
      </x:c>
      <x:c r="R259" s="9" t="n">
        <x:f>H259*Z258*v01_WomenShare*v01_BaseFertility*INDEX(v01_FertMult,G259)*Arch_Fertility*(1-P259)</x:f>
        <x:v>0.3162368275510811</x:v>
      </x:c>
      <x:c r="S259" s="9" t="n">
        <x:f>H259*Y258*INDEX(v01_MortChild,G259)/4*Q259</x:f>
        <x:v>0.12166248381779068</x:v>
      </x:c>
      <x:c r="T259" s="9" t="n">
        <x:f>H259*Z258*INDEX(v01_MortAdult,G259)*Arch_AdultMort/4*Q259</x:f>
        <x:v>0.04935251614149505</x:v>
      </x:c>
      <x:c r="U259" s="9" t="n">
        <x:f>H259*AA258*INDEX(v01_MortElder,G259)/4*Q259</x:f>
        <x:v>0.08418483466191355</x:v>
      </x:c>
      <x:c r="V259" s="9" t="n">
        <x:f>H259*MAX(0,AB258-O259)*v01_OvercapLoss</x:f>
        <x:v>0</x:v>
      </x:c>
      <x:c r="W259" s="9" t="n">
        <x:f>H259*Y258/(v01_ChildYears*4)</x:f>
        <x:v>0.1551817395635085</x:v>
      </x:c>
      <x:c r="X259" s="9" t="n">
        <x:f>H259*Z258/(v01_AdultYears*4)</x:f>
        <x:v>0.07653926200604072</x:v>
      </x:c>
      <x:c r="Y259" s="32" t="n">
        <x:f>Y258+R259-S259-W259-Y258*V259/AB258</x:f>
        <x:v>8.72957001972626</x:v>
      </x:c>
      <x:c r="Z259" s="32" t="n">
        <x:f>Z258+W259-X259-T259-Z258*V259/AB258</x:f>
        <x:v>9.520158450165022</x:v>
      </x:c>
      <x:c r="AA259" s="32" t="n">
        <x:f>AA258+X259-U259-AA258*V259/AB258</x:f>
        <x:v>2.6231305105289255</x:v>
      </x:c>
      <x:c r="AB259" s="10" t="n">
        <x:f>Y259+Z259+AA259</x:f>
        <x:v>20.872858980420204</x:v>
      </x:c>
      <x:c r="AC259" s="8" t="n">
        <x:f>IF(AND(v01_WinterTrigger=1,D259=1,AB258/AE258&gt;=K259),1,0)</x:f>
        <x:v>0</x:v>
      </x:c>
      <x:c r="AD259" s="8" t="n">
        <x:f>H259*IF(AND(OR(AB258/AE258&gt;=v01_FissionTrigger*N259,AC259=1),AB258/AE258*v01_DaughterShare&gt;=v01_MinDaughter),MAX(1,ROUND(AE258*v01_FissionRate,0)),0)</x:f>
        <x:v>0</x:v>
      </x:c>
      <x:c r="AE259" s="8" t="n">
        <x:f>IF(H259=1,MAX(1,MIN(INDEX(v01_Smax,G259),AE258+AD259)),AE258)</x:f>
        <x:v>1</x:v>
      </x:c>
      <x:c r="AF259" s="8" t="n">
        <x:f>MAX(0,AE259-AE258)</x:f>
        <x:v>0</x:v>
      </x:c>
      <x:c r="AG259" s="9" t="str">
        <x:f>IF(AF259&gt;0,B259,"")</x:f>
      </x:c>
      <x:c r="AH259" s="9" t="n">
        <x:f>IF(F259&gt;=1,1,(1+v01_LowTiesShare*(AE259-1))/AE259)</x:f>
        <x:v>1</x:v>
      </x:c>
      <x:c r="AI259" s="32" t="n">
        <x:f>(Z259+v01_ElderCommons*INDEX(LM_Elder,G259)*AA259)*AH259</x:f>
        <x:v>15.945489729687225</x:v>
      </x:c>
      <x:c r="AJ259" s="32" t="n">
        <x:f>H259*v01_CommonsCoef*AI259^v01_CommonsExp*INDEX(LM_Commons,G259)</x:f>
        <x:v>6.946821158390739</x:v>
      </x:c>
      <x:c r="AK259" s="32" t="n">
        <x:f>H259*v01_RoleScale*Arch_Roles*(AE259*(INDEX(v01_ElderRolePerSett,G259)*v01_OutElder*INDEX(LM_Elder,G259)+INDEX(v01_ShamanPerSett,G259)*v01_OutShaman)+Z259*(INDEX(v01_PriestShare,G259)*v01_OutPriest+INDEX(v01_ScribeShare,G259)*v01_OutScribe*INDEX(LM_Scribe,G259)+INDEX(v01_ScholarShare,G259)*v01_OutScholar*INDEX(LM_Scholar,G259)+INDEX(v01_ResearcherShare,G259)*v01_OutResearcher*INDEX(LM_Researcher,G259)))</x:f>
        <x:v>1.3623724356957945</x:v>
      </x:c>
      <x:c r="AL259" s="32" t="n">
        <x:f>H259*v01_RoleScale*Arch_Roles*AE259*INDEX(v01_MonasteryPerSett,G259)*v01_OutMonastery*INDEX(LM_Monastery,G259)</x:f>
        <x:v>0</x:v>
      </x:c>
      <x:c r="AM259" s="32" t="n">
        <x:f>(AJ259+AK259+AL259)/4*INDEX(LM_All,G259)*INDEX(v01_Boon,G259)*Arch_Insight</x:f>
        <x:v>2.129230858484674</x:v>
      </x:c>
      <x:c r="AN259" s="32" t="n">
        <x:f>H259*(v01_KHPerAdult*Z259+v01_KHOfCommons*AJ259/4*INDEX(LM_All,G259))*v01_KHUsable*Arch_KH</x:f>
        <x:v>0.33320554575577577</x:v>
      </x:c>
      <x:c r="AO259" s="32" t="n">
        <x:f>MIN(AP258+AN259,AM259*v01_KHMaxRatio)</x:f>
        <x:v>0.33320554575577577</x:v>
      </x:c>
      <x:c r="AP259" s="32" t="n">
        <x:f>AP258+AN259-AO259</x:f>
        <x:v>0</x:v>
      </x:c>
      <x:c r="AQ259" s="32" t="n">
        <x:f>AM259+AO259</x:f>
        <x:v>2.46243640424045</x:v>
      </x:c>
      <x:c r="AR259" s="10" t="n">
        <x:f>IF(H259=1,INDEX(v01_Req,G259),0)</x:f>
        <x:v>1067.32</x:v>
      </x:c>
      <x:c r="AS259" s="32" t="n">
        <x:f>IF(H259=1,IF(E259=1,AS258-AR258,AS258)+AQ259,0)</x:f>
        <x:v>53.189816132886214</x:v>
      </x:c>
      <x:c r="AT259" s="11" t="n">
        <x:f>IF(AR259&gt;0,MIN(1,AS259/AR259),1)</x:f>
        <x:v>0.04983492873073325</x:v>
      </x:c>
      <x:c r="AU259" s="10" t="n">
        <x:f>AB259/INDEX(v01_RepScale,G259)</x:f>
        <x:v>20.872858980420204</x:v>
      </x:c>
      <x:c r="AV259" s="32" t="n">
        <x:f>AM259*60/v01_SeasonSeconds</x:f>
        <x:v>8.516923433938697</x:v>
      </x:c>
    </x:row>
    <x:row r="260">
      <x:c r="A260" s="8" t="n">
        <x:f>A259+1</x:f>
        <x:v>257</x:v>
      </x:c>
      <x:c r="B260" s="9" t="n">
        <x:f>A260*v01_SeasonSeconds/60</x:f>
        <x:v>64.25</x:v>
      </x:c>
      <x:c r="C260" s="9" t="n">
        <x:f>A260/4</x:f>
        <x:v>64.25</x:v>
      </x:c>
      <x:c r="D260" s="8" t="n">
        <x:f>IF(MOD(A260,4)=0,1,0)</x:f>
        <x:v>0</x:v>
      </x:c>
      <x:c r="E260" s="8" t="n">
        <x:f>IF(AND(F259&lt;=9,AS259&gt;=AR259),1,0)</x:f>
        <x:v>0</x:v>
      </x:c>
      <x:c r="F260" s="8" t="n">
        <x:f>MIN(10,F259+E260)</x:f>
        <x:v>1</x:v>
      </x:c>
      <x:c r="G260" s="8" t="n">
        <x:f>MIN(F260,9)+1</x:f>
        <x:v>2</x:v>
      </x:c>
      <x:c r="H260" s="8" t="n">
        <x:f>IF(F260&lt;=9,1,0)</x:f>
        <x:v>1</x:v>
      </x:c>
      <x:c r="I260" s="9" t="n">
        <x:f>MIN(10,F259+IF(AR259&gt;0,MIN(1,AS259/AR259),1))</x:f>
        <x:v>1.0498349287307334</x:v>
      </x:c>
      <x:c r="J260" s="32" t="n">
        <x:f>INDEX(v01_FoodCap,G260)*Arch_FoodCap*EXP(v01_CapsByProject*SUMPRODUCT((Cap_Point&lt;=I260)*(Cap_Kind="Food")*Cap_Ln))</x:f>
        <x:v>30</x:v>
      </x:c>
      <x:c r="K260" s="32" t="n">
        <x:f>J260*MIN(1,v01_LeanBase*EXP(v01_CapsByProject*SUMPRODUCT((Cap_Point&lt;=I260)*(Cap_Kind="Lean")*Cap_Ln)))</x:f>
        <x:v>30</x:v>
      </x:c>
      <x:c r="L260" s="10" t="n">
        <x:f>INDEX(v01_HousingCap,G260)*EXP(v01_CapsByProject*SUMPRODUCT((Cap_Point&lt;=I260)*(Cap_Kind="Housing")*Cap_Ln))</x:f>
        <x:v>60</x:v>
      </x:c>
      <x:c r="M260" s="10" t="n">
        <x:f>INDEX(v01_GroupCap,G260)*v01_CohesionFactor*EXP(v01_CapsByProject*SUMPRODUCT((Cap_Point&lt;=I260)*(Cap_Kind="Group")*Cap_Ln))</x:f>
        <x:v>100</x:v>
      </x:c>
      <x:c r="N260" s="32" t="n">
        <x:f>MIN(J260,L260,M260)</x:f>
        <x:v>30</x:v>
      </x:c>
      <x:c r="O260" s="10" t="n">
        <x:f>AE259*N260</x:f>
        <x:v>30</x:v>
      </x:c>
      <x:c r="P260" s="9" t="n">
        <x:f>MIN(1,(AB259/(AE259*IF(v01_GroupInCrowding=1,N260,MIN(J260,L260))))^v01_CrowdingExp)</x:f>
        <x:v>0.11343944825340163</x:v>
      </x:c>
      <x:c r="Q260" s="9" t="n">
        <x:f>IF(D260=1,INDEX(v01_WinterMult,G260),1)</x:f>
        <x:v>1</x:v>
      </x:c>
      <x:c r="R260" s="9" t="n">
        <x:f>H260*Z259*v01_WomenShare*v01_BaseFertility*INDEX(v01_FertMult,G260)*Arch_Fertility*(1-P260)</x:f>
        <x:v>0.3165073848110003</x:v>
      </x:c>
      <x:c r="S260" s="9" t="n">
        <x:f>H260*Y259*INDEX(v01_MortChild,G260)/4*Q260</x:f>
        <x:v>0.07638373767260478</x:v>
      </x:c>
      <x:c r="T260" s="9" t="n">
        <x:f>H260*Z259*INDEX(v01_MortAdult,G260)*Arch_AdultMort/4*Q260</x:f>
        <x:v>0.03094051496303632</x:v>
      </x:c>
      <x:c r="U260" s="9" t="n">
        <x:f>H260*AA259*INDEX(v01_MortElder,G260)/4*Q260</x:f>
        <x:v>0.05246261021057851</x:v>
      </x:c>
      <x:c r="V260" s="9" t="n">
        <x:f>H260*MAX(0,AB259-O260)*v01_OvercapLoss</x:f>
        <x:v>0</x:v>
      </x:c>
      <x:c r="W260" s="9" t="n">
        <x:f>H260*Y259/(v01_ChildYears*4)</x:f>
        <x:v>0.15588517892368323</x:v>
      </x:c>
      <x:c r="X260" s="9" t="n">
        <x:f>H260*Z259/(v01_AdultYears*4)</x:f>
        <x:v>0.07677547137229856</x:v>
      </x:c>
      <x:c r="Y260" s="32" t="n">
        <x:f>Y259+R260-S260-W260-Y259*V260/AB259</x:f>
        <x:v>8.813808487940973</x:v>
      </x:c>
      <x:c r="Z260" s="32" t="n">
        <x:f>Z259+W260-X260-T260-Z259*V260/AB259</x:f>
        <x:v>9.568327642753369</x:v>
      </x:c>
      <x:c r="AA260" s="32" t="n">
        <x:f>AA259+X260-U260-AA259*V260/AB259</x:f>
        <x:v>2.647443371690646</x:v>
      </x:c>
      <x:c r="AB260" s="10" t="n">
        <x:f>Y260+Z260+AA260</x:f>
        <x:v>21.029579502384987</x:v>
      </x:c>
      <x:c r="AC260" s="8" t="n">
        <x:f>IF(AND(v01_WinterTrigger=1,D260=1,AB259/AE259&gt;=K260),1,0)</x:f>
        <x:v>0</x:v>
      </x:c>
      <x:c r="AD260" s="8" t="n">
        <x:f>H260*IF(AND(OR(AB259/AE259&gt;=v01_FissionTrigger*N260,AC260=1),AB259/AE259*v01_DaughterShare&gt;=v01_MinDaughter),MAX(1,ROUND(AE259*v01_FissionRate,0)),0)</x:f>
        <x:v>0</x:v>
      </x:c>
      <x:c r="AE260" s="8" t="n">
        <x:f>IF(H260=1,MAX(1,MIN(INDEX(v01_Smax,G260),AE259+AD260)),AE259)</x:f>
        <x:v>1</x:v>
      </x:c>
      <x:c r="AF260" s="8" t="n">
        <x:f>MAX(0,AE260-AE259)</x:f>
        <x:v>0</x:v>
      </x:c>
      <x:c r="AG260" s="9" t="str">
        <x:f>IF(AF260&gt;0,B260,"")</x:f>
      </x:c>
      <x:c r="AH260" s="9" t="n">
        <x:f>IF(F260&gt;=1,1,(1+v01_LowTiesShare*(AE260-1))/AE260)</x:f>
        <x:v>1</x:v>
      </x:c>
      <x:c r="AI260" s="32" t="n">
        <x:f>(Z260+v01_ElderCommons*INDEX(LM_Elder,G260)*AA260)*AH260</x:f>
        <x:v>16.053213026308917</x:v>
      </x:c>
      <x:c r="AJ260" s="32" t="n">
        <x:f>H260*v01_CommonsCoef*AI260^v01_CommonsExp*INDEX(LM_Commons,G260)</x:f>
        <x:v>6.986692172484757</x:v>
      </x:c>
      <x:c r="AK260" s="32" t="n">
        <x:f>H260*v01_RoleScale*Arch_Roles*(AE260*(INDEX(v01_ElderRolePerSett,G260)*v01_OutElder*INDEX(LM_Elder,G260)+INDEX(v01_ShamanPerSett,G260)*v01_OutShaman)+Z260*(INDEX(v01_PriestShare,G260)*v01_OutPriest+INDEX(v01_ScribeShare,G260)*v01_OutScribe*INDEX(LM_Scribe,G260)+INDEX(v01_ScholarShare,G260)*v01_OutScholar*INDEX(LM_Scholar,G260)+INDEX(v01_ResearcherShare,G260)*v01_OutResearcher*INDEX(LM_Researcher,G260)))</x:f>
        <x:v>1.3623724356957945</x:v>
      </x:c>
      <x:c r="AL260" s="32" t="n">
        <x:f>H260*v01_RoleScale*Arch_Roles*AE260*INDEX(v01_MonasteryPerSett,G260)*v01_OutMonastery*INDEX(LM_Monastery,G260)</x:f>
        <x:v>0</x:v>
      </x:c>
      <x:c r="AM260" s="32" t="n">
        <x:f>(AJ260+AK260+AL260)/4*INDEX(LM_All,G260)*INDEX(v01_Boon,G260)*Arch_Insight</x:f>
        <x:v>2.1394478058462663</x:v>
      </x:c>
      <x:c r="AN260" s="32" t="n">
        <x:f>H260*(v01_KHPerAdult*Z260+v01_KHOfCommons*AJ260/4*INDEX(LM_All,G260))*v01_KHUsable*Arch_KH</x:f>
        <x:v>0.3348914674963679</x:v>
      </x:c>
      <x:c r="AO260" s="32" t="n">
        <x:f>MIN(AP259+AN260,AM260*v01_KHMaxRatio)</x:f>
        <x:v>0.3348914674963679</x:v>
      </x:c>
      <x:c r="AP260" s="32" t="n">
        <x:f>AP259+AN260-AO260</x:f>
        <x:v>0</x:v>
      </x:c>
      <x:c r="AQ260" s="32" t="n">
        <x:f>AM260+AO260</x:f>
        <x:v>2.4743392733426344</x:v>
      </x:c>
      <x:c r="AR260" s="10" t="n">
        <x:f>IF(H260=1,INDEX(v01_Req,G260),0)</x:f>
        <x:v>1067.32</x:v>
      </x:c>
      <x:c r="AS260" s="32" t="n">
        <x:f>IF(H260=1,IF(E260=1,AS259-AR259,AS259)+AQ260,0)</x:f>
        <x:v>55.66415540622885</x:v>
      </x:c>
      <x:c r="AT260" s="11" t="n">
        <x:f>IF(AR260&gt;0,MIN(1,AS260/AR260),1)</x:f>
        <x:v>0.052153201857202014</x:v>
      </x:c>
      <x:c r="AU260" s="10" t="n">
        <x:f>AB260/INDEX(v01_RepScale,G260)</x:f>
        <x:v>21.029579502384987</x:v>
      </x:c>
      <x:c r="AV260" s="32" t="n">
        <x:f>AM260*60/v01_SeasonSeconds</x:f>
        <x:v>8.557791223385065</x:v>
      </x:c>
    </x:row>
    <x:row r="261">
      <x:c r="A261" s="8" t="n">
        <x:f>A260+1</x:f>
        <x:v>258</x:v>
      </x:c>
      <x:c r="B261" s="9" t="n">
        <x:f>A261*v01_SeasonSeconds/60</x:f>
        <x:v>64.5</x:v>
      </x:c>
      <x:c r="C261" s="9" t="n">
        <x:f>A261/4</x:f>
        <x:v>64.5</x:v>
      </x:c>
      <x:c r="D261" s="8" t="n">
        <x:f>IF(MOD(A261,4)=0,1,0)</x:f>
        <x:v>0</x:v>
      </x:c>
      <x:c r="E261" s="8" t="n">
        <x:f>IF(AND(F260&lt;=9,AS260&gt;=AR260),1,0)</x:f>
        <x:v>0</x:v>
      </x:c>
      <x:c r="F261" s="8" t="n">
        <x:f>MIN(10,F260+E261)</x:f>
        <x:v>1</x:v>
      </x:c>
      <x:c r="G261" s="8" t="n">
        <x:f>MIN(F261,9)+1</x:f>
        <x:v>2</x:v>
      </x:c>
      <x:c r="H261" s="8" t="n">
        <x:f>IF(F261&lt;=9,1,0)</x:f>
        <x:v>1</x:v>
      </x:c>
      <x:c r="I261" s="9" t="n">
        <x:f>MIN(10,F260+IF(AR260&gt;0,MIN(1,AS260/AR260),1))</x:f>
        <x:v>1.052153201857202</x:v>
      </x:c>
      <x:c r="J261" s="32" t="n">
        <x:f>INDEX(v01_FoodCap,G261)*Arch_FoodCap*EXP(v01_CapsByProject*SUMPRODUCT((Cap_Point&lt;=I261)*(Cap_Kind="Food")*Cap_Ln))</x:f>
        <x:v>30</x:v>
      </x:c>
      <x:c r="K261" s="32" t="n">
        <x:f>J261*MIN(1,v01_LeanBase*EXP(v01_CapsByProject*SUMPRODUCT((Cap_Point&lt;=I261)*(Cap_Kind="Lean")*Cap_Ln)))</x:f>
        <x:v>30</x:v>
      </x:c>
      <x:c r="L261" s="10" t="n">
        <x:f>INDEX(v01_HousingCap,G261)*EXP(v01_CapsByProject*SUMPRODUCT((Cap_Point&lt;=I261)*(Cap_Kind="Housing")*Cap_Ln))</x:f>
        <x:v>60</x:v>
      </x:c>
      <x:c r="M261" s="10" t="n">
        <x:f>INDEX(v01_GroupCap,G261)*v01_CohesionFactor*EXP(v01_CapsByProject*SUMPRODUCT((Cap_Point&lt;=I261)*(Cap_Kind="Group")*Cap_Ln))</x:f>
        <x:v>100</x:v>
      </x:c>
      <x:c r="N261" s="32" t="n">
        <x:f>MIN(J261,L261,M261)</x:f>
        <x:v>30</x:v>
      </x:c>
      <x:c r="O261" s="10" t="n">
        <x:f>AE260*N261</x:f>
        <x:v>30</x:v>
      </x:c>
      <x:c r="P261" s="9" t="n">
        <x:f>MIN(1,(AB260/(AE260*IF(v01_GroupInCrowding=1,N261,MIN(J261,L261))))^v01_CrowdingExp)</x:f>
        <x:v>0.11864679322177267</x:v>
      </x:c>
      <x:c r="Q261" s="9" t="n">
        <x:f>IF(D261=1,INDEX(v01_WinterMult,G261),1)</x:f>
        <x:v>1</x:v>
      </x:c>
      <x:c r="R261" s="9" t="n">
        <x:f>H261*Z260*v01_WomenShare*v01_BaseFertility*INDEX(v01_FertMult,G261)*Arch_Fertility*(1-P261)</x:f>
        <x:v>0.31624035942920387</x:v>
      </x:c>
      <x:c r="S261" s="9" t="n">
        <x:f>H261*Y260*INDEX(v01_MortChild,G261)/4*Q261</x:f>
        <x:v>0.07712082426948352</x:v>
      </x:c>
      <x:c r="T261" s="9" t="n">
        <x:f>H261*Z260*INDEX(v01_MortAdult,G261)*Arch_AdultMort/4*Q261</x:f>
        <x:v>0.031097064838948446</x:v>
      </x:c>
      <x:c r="U261" s="9" t="n">
        <x:f>H261*AA260*INDEX(v01_MortElder,G261)/4*Q261</x:f>
        <x:v>0.05294886743381292</x:v>
      </x:c>
      <x:c r="V261" s="9" t="n">
        <x:f>H261*MAX(0,AB260-O261)*v01_OvercapLoss</x:f>
        <x:v>0</x:v>
      </x:c>
      <x:c r="W261" s="9" t="n">
        <x:f>H261*Y260/(v01_ChildYears*4)</x:f>
        <x:v>0.15738943728466023</x:v>
      </x:c>
      <x:c r="X261" s="9" t="n">
        <x:f>H261*Z260/(v01_AdultYears*4)</x:f>
        <x:v>0.07716393260284975</x:v>
      </x:c>
      <x:c r="Y261" s="32" t="n">
        <x:f>Y260+R261-S261-W261-Y260*V261/AB260</x:f>
        <x:v>8.895538585816032</x:v>
      </x:c>
      <x:c r="Z261" s="32" t="n">
        <x:f>Z260+W261-X261-T261-Z260*V261/AB260</x:f>
        <x:v>9.61745608259623</x:v>
      </x:c>
      <x:c r="AA261" s="32" t="n">
        <x:f>AA260+X261-U261-AA260*V261/AB260</x:f>
        <x:v>2.6716584368596825</x:v>
      </x:c>
      <x:c r="AB261" s="10" t="n">
        <x:f>Y261+Z261+AA261</x:f>
        <x:v>21.184653105271945</x:v>
      </x:c>
      <x:c r="AC261" s="8" t="n">
        <x:f>IF(AND(v01_WinterTrigger=1,D261=1,AB260/AE260&gt;=K261),1,0)</x:f>
        <x:v>0</x:v>
      </x:c>
      <x:c r="AD261" s="8" t="n">
        <x:f>H261*IF(AND(OR(AB260/AE260&gt;=v01_FissionTrigger*N261,AC261=1),AB260/AE260*v01_DaughterShare&gt;=v01_MinDaughter),MAX(1,ROUND(AE260*v01_FissionRate,0)),0)</x:f>
        <x:v>0</x:v>
      </x:c>
      <x:c r="AE261" s="8" t="n">
        <x:f>IF(H261=1,MAX(1,MIN(INDEX(v01_Smax,G261),AE260+AD261)),AE260)</x:f>
        <x:v>1</x:v>
      </x:c>
      <x:c r="AF261" s="8" t="n">
        <x:f>MAX(0,AE261-AE260)</x:f>
        <x:v>0</x:v>
      </x:c>
      <x:c r="AG261" s="9" t="str">
        <x:f>IF(AF261&gt;0,B261,"")</x:f>
      </x:c>
      <x:c r="AH261" s="9" t="n">
        <x:f>IF(F261&gt;=1,1,(1+v01_LowTiesShare*(AE261-1))/AE261)</x:f>
        <x:v>1</x:v>
      </x:c>
      <x:c r="AI261" s="32" t="n">
        <x:f>(Z261+v01_ElderCommons*INDEX(LM_Elder,G261)*AA261)*AH261</x:f>
        <x:v>16.16165601990416</x:v>
      </x:c>
      <x:c r="AJ261" s="32" t="n">
        <x:f>H261*v01_CommonsCoef*AI261^v01_CommonsExp*INDEX(LM_Commons,G261)</x:f>
        <x:v>7.026789049125682</x:v>
      </x:c>
      <x:c r="AK261" s="32" t="n">
        <x:f>H261*v01_RoleScale*Arch_Roles*(AE261*(INDEX(v01_ElderRolePerSett,G261)*v01_OutElder*INDEX(LM_Elder,G261)+INDEX(v01_ShamanPerSett,G261)*v01_OutShaman)+Z261*(INDEX(v01_PriestShare,G261)*v01_OutPriest+INDEX(v01_ScribeShare,G261)*v01_OutScribe*INDEX(LM_Scribe,G261)+INDEX(v01_ScholarShare,G261)*v01_OutScholar*INDEX(LM_Scholar,G261)+INDEX(v01_ResearcherShare,G261)*v01_OutResearcher*INDEX(LM_Researcher,G261)))</x:f>
        <x:v>1.3623724356957945</x:v>
      </x:c>
      <x:c r="AL261" s="32" t="n">
        <x:f>H261*v01_RoleScale*Arch_Roles*AE261*INDEX(v01_MonasteryPerSett,G261)*v01_OutMonastery*INDEX(LM_Monastery,G261)</x:f>
        <x:v>0</x:v>
      </x:c>
      <x:c r="AM261" s="32" t="n">
        <x:f>(AJ261+AK261+AL261)/4*INDEX(LM_All,G261)*INDEX(v01_Boon,G261)*Arch_Insight</x:f>
        <x:v>2.149722630485503</x:v>
      </x:c>
      <x:c r="AN261" s="32" t="n">
        <x:f>H261*(v01_KHPerAdult*Z261+v01_KHOfCommons*AJ261/4*INDEX(LM_All,G261))*v01_KHUsable*Arch_KH</x:f>
        <x:v>0.336610962890868</x:v>
      </x:c>
      <x:c r="AO261" s="32" t="n">
        <x:f>MIN(AP260+AN261,AM261*v01_KHMaxRatio)</x:f>
        <x:v>0.336610962890868</x:v>
      </x:c>
      <x:c r="AP261" s="32" t="n">
        <x:f>AP260+AN261-AO261</x:f>
        <x:v>0</x:v>
      </x:c>
      <x:c r="AQ261" s="32" t="n">
        <x:f>AM261+AO261</x:f>
        <x:v>2.4863335933763713</x:v>
      </x:c>
      <x:c r="AR261" s="10" t="n">
        <x:f>IF(H261=1,INDEX(v01_Req,G261),0)</x:f>
        <x:v>1067.32</x:v>
      </x:c>
      <x:c r="AS261" s="32" t="n">
        <x:f>IF(H261=1,IF(E261=1,AS260-AR260,AS260)+AQ261,0)</x:f>
        <x:v>58.15048899960522</x:v>
      </x:c>
      <x:c r="AT261" s="11" t="n">
        <x:f>IF(AR261&gt;0,MIN(1,AS261/AR261),1)</x:f>
        <x:v>0.05448271277555487</x:v>
      </x:c>
      <x:c r="AU261" s="10" t="n">
        <x:f>AB261/INDEX(v01_RepScale,G261)</x:f>
        <x:v>21.184653105271945</x:v>
      </x:c>
      <x:c r="AV261" s="32" t="n">
        <x:f>AM261*60/v01_SeasonSeconds</x:f>
        <x:v>8.598890521942012</x:v>
      </x:c>
    </x:row>
    <x:row r="262">
      <x:c r="A262" s="8" t="n">
        <x:f>A261+1</x:f>
        <x:v>259</x:v>
      </x:c>
      <x:c r="B262" s="9" t="n">
        <x:f>A262*v01_SeasonSeconds/60</x:f>
        <x:v>64.75</x:v>
      </x:c>
      <x:c r="C262" s="9" t="n">
        <x:f>A262/4</x:f>
        <x:v>64.75</x:v>
      </x:c>
      <x:c r="D262" s="8" t="n">
        <x:f>IF(MOD(A262,4)=0,1,0)</x:f>
        <x:v>0</x:v>
      </x:c>
      <x:c r="E262" s="8" t="n">
        <x:f>IF(AND(F261&lt;=9,AS261&gt;=AR261),1,0)</x:f>
        <x:v>0</x:v>
      </x:c>
      <x:c r="F262" s="8" t="n">
        <x:f>MIN(10,F261+E262)</x:f>
        <x:v>1</x:v>
      </x:c>
      <x:c r="G262" s="8" t="n">
        <x:f>MIN(F262,9)+1</x:f>
        <x:v>2</x:v>
      </x:c>
      <x:c r="H262" s="8" t="n">
        <x:f>IF(F262&lt;=9,1,0)</x:f>
        <x:v>1</x:v>
      </x:c>
      <x:c r="I262" s="9" t="n">
        <x:f>MIN(10,F261+IF(AR261&gt;0,MIN(1,AS261/AR261),1))</x:f>
        <x:v>1.054482712775555</x:v>
      </x:c>
      <x:c r="J262" s="32" t="n">
        <x:f>INDEX(v01_FoodCap,G262)*Arch_FoodCap*EXP(v01_CapsByProject*SUMPRODUCT((Cap_Point&lt;=I262)*(Cap_Kind="Food")*Cap_Ln))</x:f>
        <x:v>30</x:v>
      </x:c>
      <x:c r="K262" s="32" t="n">
        <x:f>J262*MIN(1,v01_LeanBase*EXP(v01_CapsByProject*SUMPRODUCT((Cap_Point&lt;=I262)*(Cap_Kind="Lean")*Cap_Ln)))</x:f>
        <x:v>30</x:v>
      </x:c>
      <x:c r="L262" s="10" t="n">
        <x:f>INDEX(v01_HousingCap,G262)*EXP(v01_CapsByProject*SUMPRODUCT((Cap_Point&lt;=I262)*(Cap_Kind="Housing")*Cap_Ln))</x:f>
        <x:v>60</x:v>
      </x:c>
      <x:c r="M262" s="10" t="n">
        <x:f>INDEX(v01_GroupCap,G262)*v01_CohesionFactor*EXP(v01_CapsByProject*SUMPRODUCT((Cap_Point&lt;=I262)*(Cap_Kind="Group")*Cap_Ln))</x:f>
        <x:v>100</x:v>
      </x:c>
      <x:c r="N262" s="32" t="n">
        <x:f>MIN(J262,L262,M262)</x:f>
        <x:v>30</x:v>
      </x:c>
      <x:c r="O262" s="10" t="n">
        <x:f>AE261*N262</x:f>
        <x:v>30</x:v>
      </x:c>
      <x:c r="P262" s="9" t="n">
        <x:f>MIN(1,(AB261/(AE261*IF(v01_GroupInCrowding=1,N262,MIN(J262,L262))))^v01_CrowdingExp)</x:f>
        <x:v>0.12399398364154526</x:v>
      </x:c>
      <x:c r="Q262" s="9" t="n">
        <x:f>IF(D262=1,INDEX(v01_WinterMult,G262),1)</x:f>
        <x:v>1</x:v>
      </x:c>
      <x:c r="R262" s="9" t="n">
        <x:f>H262*Z261*v01_WomenShare*v01_BaseFertility*INDEX(v01_FertMult,G262)*Arch_Fertility*(1-P262)</x:f>
        <x:v>0.3159356021406567</x:v>
      </x:c>
      <x:c r="S262" s="9" t="n">
        <x:f>H262*Y261*INDEX(v01_MortChild,G262)/4*Q262</x:f>
        <x:v>0.07783596262589029</x:v>
      </x:c>
      <x:c r="T262" s="9" t="n">
        <x:f>H262*Z261*INDEX(v01_MortAdult,G262)*Arch_AdultMort/4*Q262</x:f>
        <x:v>0.03125673226843775</x:v>
      </x:c>
      <x:c r="U262" s="9" t="n">
        <x:f>H262*AA261*INDEX(v01_MortElder,G262)/4*Q262</x:f>
        <x:v>0.05343316873719365</x:v>
      </x:c>
      <x:c r="V262" s="9" t="n">
        <x:f>H262*MAX(0,AB261-O262)*v01_OvercapLoss</x:f>
        <x:v>0</x:v>
      </x:c>
      <x:c r="W262" s="9" t="n">
        <x:f>H262*Y261/(v01_ChildYears*4)</x:f>
        <x:v>0.15884890331814344</x:v>
      </x:c>
      <x:c r="X262" s="9" t="n">
        <x:f>H262*Z261/(v01_AdultYears*4)</x:f>
        <x:v>0.07756012969835668</x:v>
      </x:c>
      <x:c r="Y262" s="32" t="n">
        <x:f>Y261+R262-S262-W262-Y261*V262/AB261</x:f>
        <x:v>8.974789322012656</x:v>
      </x:c>
      <x:c r="Z262" s="32" t="n">
        <x:f>Z261+W262-X262-T262-Z261*V262/AB261</x:f>
        <x:v>9.667488123947578</x:v>
      </x:c>
      <x:c r="AA262" s="32" t="n">
        <x:f>AA261+X262-U262-AA261*V262/AB261</x:f>
        <x:v>2.6957853978208455</x:v>
      </x:c>
      <x:c r="AB262" s="10" t="n">
        <x:f>Y262+Z262+AA262</x:f>
        <x:v>21.338062843781078</x:v>
      </x:c>
      <x:c r="AC262" s="8" t="n">
        <x:f>IF(AND(v01_WinterTrigger=1,D262=1,AB261/AE261&gt;=K262),1,0)</x:f>
        <x:v>0</x:v>
      </x:c>
      <x:c r="AD262" s="8" t="n">
        <x:f>H262*IF(AND(OR(AB261/AE261&gt;=v01_FissionTrigger*N262,AC262=1),AB261/AE261*v01_DaughterShare&gt;=v01_MinDaughter),MAX(1,ROUND(AE261*v01_FissionRate,0)),0)</x:f>
        <x:v>0</x:v>
      </x:c>
      <x:c r="AE262" s="8" t="n">
        <x:f>IF(H262=1,MAX(1,MIN(INDEX(v01_Smax,G262),AE261+AD262)),AE261)</x:f>
        <x:v>1</x:v>
      </x:c>
      <x:c r="AF262" s="8" t="n">
        <x:f>MAX(0,AE262-AE261)</x:f>
        <x:v>0</x:v>
      </x:c>
      <x:c r="AG262" s="9" t="str">
        <x:f>IF(AF262&gt;0,B262,"")</x:f>
      </x:c>
      <x:c r="AH262" s="9" t="n">
        <x:f>IF(F262&gt;=1,1,(1+v01_LowTiesShare*(AE262-1))/AE262)</x:f>
        <x:v>1</x:v>
      </x:c>
      <x:c r="AI262" s="32" t="n">
        <x:f>(Z262+v01_ElderCommons*INDEX(LM_Elder,G262)*AA262)*AH262</x:f>
        <x:v>16.270786804654406</x:v>
      </x:c>
      <x:c r="AJ262" s="32" t="n">
        <x:f>H262*v01_CommonsCoef*AI262^v01_CommonsExp*INDEX(LM_Commons,G262)</x:f>
        <x:v>7.067099516262685</x:v>
      </x:c>
      <x:c r="AK262" s="32" t="n">
        <x:f>H262*v01_RoleScale*Arch_Roles*(AE262*(INDEX(v01_ElderRolePerSett,G262)*v01_OutElder*INDEX(LM_Elder,G262)+INDEX(v01_ShamanPerSett,G262)*v01_OutShaman)+Z262*(INDEX(v01_PriestShare,G262)*v01_OutPriest+INDEX(v01_ScribeShare,G262)*v01_OutScribe*INDEX(LM_Scribe,G262)+INDEX(v01_ScholarShare,G262)*v01_OutScholar*INDEX(LM_Scholar,G262)+INDEX(v01_ResearcherShare,G262)*v01_OutResearcher*INDEX(LM_Researcher,G262)))</x:f>
        <x:v>1.3623724356957945</x:v>
      </x:c>
      <x:c r="AL262" s="32" t="n">
        <x:f>H262*v01_RoleScale*Arch_Roles*AE262*INDEX(v01_MonasteryPerSett,G262)*v01_OutMonastery*INDEX(LM_Monastery,G262)</x:f>
        <x:v>0</x:v>
      </x:c>
      <x:c r="AM262" s="32" t="n">
        <x:f>(AJ262+AK262+AL262)/4*INDEX(LM_All,G262)*INDEX(v01_Boon,G262)*Arch_Insight</x:f>
        <x:v>2.1600521876893604</x:v>
      </x:c>
      <x:c r="AN262" s="32" t="n">
        <x:f>H262*(v01_KHPerAdult*Z262+v01_KHOfCommons*AJ262/4*INDEX(LM_All,G262))*v01_KHUsable*Arch_KH</x:f>
        <x:v>0.3383620843381652</x:v>
      </x:c>
      <x:c r="AO262" s="32" t="n">
        <x:f>MIN(AP261+AN262,AM262*v01_KHMaxRatio)</x:f>
        <x:v>0.3383620843381652</x:v>
      </x:c>
      <x:c r="AP262" s="32" t="n">
        <x:f>AP261+AN262-AO262</x:f>
        <x:v>0</x:v>
      </x:c>
      <x:c r="AQ262" s="32" t="n">
        <x:f>AM262+AO262</x:f>
        <x:v>2.4984142720275258</x:v>
      </x:c>
      <x:c r="AR262" s="10" t="n">
        <x:f>IF(H262=1,INDEX(v01_Req,G262),0)</x:f>
        <x:v>1067.32</x:v>
      </x:c>
      <x:c r="AS262" s="32" t="n">
        <x:f>IF(H262=1,IF(E262=1,AS261-AR261,AS261)+AQ262,0)</x:f>
        <x:v>60.64890327163275</x:v>
      </x:c>
      <x:c r="AT262" s="11" t="n">
        <x:f>IF(AR262&gt;0,MIN(1,AS262/AR262),1)</x:f>
        <x:v>0.056823542397437275</x:v>
      </x:c>
      <x:c r="AU262" s="10" t="n">
        <x:f>AB262/INDEX(v01_RepScale,G262)</x:f>
        <x:v>21.338062843781078</x:v>
      </x:c>
      <x:c r="AV262" s="32" t="n">
        <x:f>AM262*60/v01_SeasonSeconds</x:f>
        <x:v>8.640208750757441</x:v>
      </x:c>
    </x:row>
    <x:row r="263">
      <x:c r="A263" s="8" t="n">
        <x:f>A262+1</x:f>
        <x:v>260</x:v>
      </x:c>
      <x:c r="B263" s="9" t="n">
        <x:f>A263*v01_SeasonSeconds/60</x:f>
        <x:v>65</x:v>
      </x:c>
      <x:c r="C263" s="9" t="n">
        <x:f>A263/4</x:f>
        <x:v>65</x:v>
      </x:c>
      <x:c r="D263" s="8" t="n">
        <x:f>IF(MOD(A263,4)=0,1,0)</x:f>
        <x:v>1</x:v>
      </x:c>
      <x:c r="E263" s="8" t="n">
        <x:f>IF(AND(F262&lt;=9,AS262&gt;=AR262),1,0)</x:f>
        <x:v>0</x:v>
      </x:c>
      <x:c r="F263" s="8" t="n">
        <x:f>MIN(10,F262+E263)</x:f>
        <x:v>1</x:v>
      </x:c>
      <x:c r="G263" s="8" t="n">
        <x:f>MIN(F263,9)+1</x:f>
        <x:v>2</x:v>
      </x:c>
      <x:c r="H263" s="8" t="n">
        <x:f>IF(F263&lt;=9,1,0)</x:f>
        <x:v>1</x:v>
      </x:c>
      <x:c r="I263" s="9" t="n">
        <x:f>MIN(10,F262+IF(AR262&gt;0,MIN(1,AS262/AR262),1))</x:f>
        <x:v>1.0568235423974373</x:v>
      </x:c>
      <x:c r="J263" s="32" t="n">
        <x:f>INDEX(v01_FoodCap,G263)*Arch_FoodCap*EXP(v01_CapsByProject*SUMPRODUCT((Cap_Point&lt;=I263)*(Cap_Kind="Food")*Cap_Ln))</x:f>
        <x:v>30</x:v>
      </x:c>
      <x:c r="K263" s="32" t="n">
        <x:f>J263*MIN(1,v01_LeanBase*EXP(v01_CapsByProject*SUMPRODUCT((Cap_Point&lt;=I263)*(Cap_Kind="Lean")*Cap_Ln)))</x:f>
        <x:v>30</x:v>
      </x:c>
      <x:c r="L263" s="10" t="n">
        <x:f>INDEX(v01_HousingCap,G263)*EXP(v01_CapsByProject*SUMPRODUCT((Cap_Point&lt;=I263)*(Cap_Kind="Housing")*Cap_Ln))</x:f>
        <x:v>60</x:v>
      </x:c>
      <x:c r="M263" s="10" t="n">
        <x:f>INDEX(v01_GroupCap,G263)*v01_CohesionFactor*EXP(v01_CapsByProject*SUMPRODUCT((Cap_Point&lt;=I263)*(Cap_Kind="Group")*Cap_Ln))</x:f>
        <x:v>100</x:v>
      </x:c>
      <x:c r="N263" s="32" t="n">
        <x:f>MIN(J263,L263,M263)</x:f>
        <x:v>30</x:v>
      </x:c>
      <x:c r="O263" s="10" t="n">
        <x:f>AE262*N263</x:f>
        <x:v>30</x:v>
      </x:c>
      <x:c r="P263" s="9" t="n">
        <x:f>MIN(1,(AB262/(AE262*IF(v01_GroupInCrowding=1,N263,MIN(J263,L263))))^v01_CrowdingExp)</x:f>
        <x:v>0.12947991654869917</x:v>
      </x:c>
      <x:c r="Q263" s="9" t="n">
        <x:f>IF(D263=1,INDEX(v01_WinterMult,G263),1)</x:f>
        <x:v>1.6</x:v>
      </x:c>
      <x:c r="R263" s="9" t="n">
        <x:f>H263*Z262*v01_WomenShare*v01_BaseFertility*INDEX(v01_FertMult,G263)*Arch_Fertility*(1-P263)</x:f>
        <x:v>0.31559034631587396</x:v>
      </x:c>
      <x:c r="S263" s="9" t="n">
        <x:f>H263*Y262*INDEX(v01_MortChild,G263)/4*Q263</x:f>
        <x:v>0.1256470505081772</x:v>
      </x:c>
      <x:c r="T263" s="9" t="n">
        <x:f>H263*Z262*INDEX(v01_MortAdult,G263)*Arch_AdultMort/4*Q263</x:f>
        <x:v>0.05027093824452741</x:v>
      </x:c>
      <x:c r="U263" s="9" t="n">
        <x:f>H263*AA262*INDEX(v01_MortElder,G263)/4*Q263</x:f>
        <x:v>0.08626513273026706</x:v>
      </x:c>
      <x:c r="V263" s="9" t="n">
        <x:f>H263*MAX(0,AB262-O263)*v01_OvercapLoss</x:f>
        <x:v>0</x:v>
      </x:c>
      <x:c r="W263" s="9" t="n">
        <x:f>H263*Y262/(v01_ChildYears*4)</x:f>
        <x:v>0.16026409503594027</x:v>
      </x:c>
      <x:c r="X263" s="9" t="n">
        <x:f>H263*Z262/(v01_AdultYears*4)</x:f>
        <x:v>0.07796361390280306</x:v>
      </x:c>
      <x:c r="Y263" s="32" t="n">
        <x:f>Y262+R263-S263-W263-Y262*V263/AB262</x:f>
        <x:v>9.004468522784412</x:v>
      </x:c>
      <x:c r="Z263" s="32" t="n">
        <x:f>Z262+W263-X263-T263-Z262*V263/AB262</x:f>
        <x:v>9.699517666836188</x:v>
      </x:c>
      <x:c r="AA263" s="32" t="n">
        <x:f>AA262+X263-U263-AA262*V263/AB262</x:f>
        <x:v>2.6874838789933815</x:v>
      </x:c>
      <x:c r="AB263" s="10" t="n">
        <x:f>Y263+Z263+AA263</x:f>
        <x:v>21.391470068613984</x:v>
      </x:c>
      <x:c r="AC263" s="8" t="n">
        <x:f>IF(AND(v01_WinterTrigger=1,D263=1,AB262/AE262&gt;=K263),1,0)</x:f>
        <x:v>0</x:v>
      </x:c>
      <x:c r="AD263" s="8" t="n">
        <x:f>H263*IF(AND(OR(AB262/AE262&gt;=v01_FissionTrigger*N263,AC263=1),AB262/AE262*v01_DaughterShare&gt;=v01_MinDaughter),MAX(1,ROUND(AE262*v01_FissionRate,0)),0)</x:f>
        <x:v>0</x:v>
      </x:c>
      <x:c r="AE263" s="8" t="n">
        <x:f>IF(H263=1,MAX(1,MIN(INDEX(v01_Smax,G263),AE262+AD263)),AE262)</x:f>
        <x:v>1</x:v>
      </x:c>
      <x:c r="AF263" s="8" t="n">
        <x:f>MAX(0,AE263-AE262)</x:f>
        <x:v>0</x:v>
      </x:c>
      <x:c r="AG263" s="9" t="str">
        <x:f>IF(AF263&gt;0,B263,"")</x:f>
      </x:c>
      <x:c r="AH263" s="9" t="n">
        <x:f>IF(F263&gt;=1,1,(1+v01_LowTiesShare*(AE263-1))/AE263)</x:f>
        <x:v>1</x:v>
      </x:c>
      <x:c r="AI263" s="32" t="n">
        <x:f>(Z263+v01_ElderCommons*INDEX(LM_Elder,G263)*AA263)*AH263</x:f>
        <x:v>16.282481862325625</x:v>
      </x:c>
      <x:c r="AJ263" s="32" t="n">
        <x:f>H263*v01_CommonsCoef*AI263^v01_CommonsExp*INDEX(LM_Commons,G263)</x:f>
        <x:v>7.071416998302219</x:v>
      </x:c>
      <x:c r="AK263" s="32" t="n">
        <x:f>H263*v01_RoleScale*Arch_Roles*(AE263*(INDEX(v01_ElderRolePerSett,G263)*v01_OutElder*INDEX(LM_Elder,G263)+INDEX(v01_ShamanPerSett,G263)*v01_OutShaman)+Z263*(INDEX(v01_PriestShare,G263)*v01_OutPriest+INDEX(v01_ScribeShare,G263)*v01_OutScribe*INDEX(LM_Scribe,G263)+INDEX(v01_ScholarShare,G263)*v01_OutScholar*INDEX(LM_Scholar,G263)+INDEX(v01_ResearcherShare,G263)*v01_OutResearcher*INDEX(LM_Researcher,G263)))</x:f>
        <x:v>1.3623724356957945</x:v>
      </x:c>
      <x:c r="AL263" s="32" t="n">
        <x:f>H263*v01_RoleScale*Arch_Roles*AE263*INDEX(v01_MonasteryPerSett,G263)*v01_OutMonastery*INDEX(LM_Monastery,G263)</x:f>
        <x:v>0</x:v>
      </x:c>
      <x:c r="AM263" s="32" t="n">
        <x:f>(AJ263+AK263+AL263)/4*INDEX(LM_All,G263)*INDEX(v01_Boon,G263)*Arch_Insight</x:f>
        <x:v>2.161158542461991</x:v>
      </x:c>
      <x:c r="AN263" s="32" t="n">
        <x:f>H263*(v01_KHPerAdult*Z263+v01_KHOfCommons*AJ263/4*INDEX(LM_All,G263))*v01_KHUsable*Arch_KH</x:f>
        <x:v>0.3394831183392666</x:v>
      </x:c>
      <x:c r="AO263" s="32" t="n">
        <x:f>MIN(AP262+AN263,AM263*v01_KHMaxRatio)</x:f>
        <x:v>0.3394831183392666</x:v>
      </x:c>
      <x:c r="AP263" s="32" t="n">
        <x:f>AP262+AN263-AO263</x:f>
        <x:v>0</x:v>
      </x:c>
      <x:c r="AQ263" s="32" t="n">
        <x:f>AM263+AO263</x:f>
        <x:v>2.500641660801257</x:v>
      </x:c>
      <x:c r="AR263" s="10" t="n">
        <x:f>IF(H263=1,INDEX(v01_Req,G263),0)</x:f>
        <x:v>1067.32</x:v>
      </x:c>
      <x:c r="AS263" s="32" t="n">
        <x:f>IF(H263=1,IF(E263=1,AS262-AR262,AS262)+AQ263,0)</x:f>
        <x:v>63.149544932434004</x:v>
      </x:c>
      <x:c r="AT263" s="11" t="n">
        <x:f>IF(AR263&gt;0,MIN(1,AS263/AR263),1)</x:f>
        <x:v>0.05916645891806956</x:v>
      </x:c>
      <x:c r="AU263" s="10" t="n">
        <x:f>AB263/INDEX(v01_RepScale,G263)</x:f>
        <x:v>21.391470068613984</x:v>
      </x:c>
      <x:c r="AV263" s="32" t="n">
        <x:f>AM263*60/v01_SeasonSeconds</x:f>
        <x:v>8.644634169847963</x:v>
      </x:c>
    </x:row>
    <x:row r="264">
      <x:c r="A264" s="8" t="n">
        <x:f>A263+1</x:f>
        <x:v>261</x:v>
      </x:c>
      <x:c r="B264" s="9" t="n">
        <x:f>A264*v01_SeasonSeconds/60</x:f>
        <x:v>65.25</x:v>
      </x:c>
      <x:c r="C264" s="9" t="n">
        <x:f>A264/4</x:f>
        <x:v>65.25</x:v>
      </x:c>
      <x:c r="D264" s="8" t="n">
        <x:f>IF(MOD(A264,4)=0,1,0)</x:f>
        <x:v>0</x:v>
      </x:c>
      <x:c r="E264" s="8" t="n">
        <x:f>IF(AND(F263&lt;=9,AS263&gt;=AR263),1,0)</x:f>
        <x:v>0</x:v>
      </x:c>
      <x:c r="F264" s="8" t="n">
        <x:f>MIN(10,F263+E264)</x:f>
        <x:v>1</x:v>
      </x:c>
      <x:c r="G264" s="8" t="n">
        <x:f>MIN(F264,9)+1</x:f>
        <x:v>2</x:v>
      </x:c>
      <x:c r="H264" s="8" t="n">
        <x:f>IF(F264&lt;=9,1,0)</x:f>
        <x:v>1</x:v>
      </x:c>
      <x:c r="I264" s="9" t="n">
        <x:f>MIN(10,F263+IF(AR263&gt;0,MIN(1,AS263/AR263),1))</x:f>
        <x:v>1.0591664589180696</x:v>
      </x:c>
      <x:c r="J264" s="32" t="n">
        <x:f>INDEX(v01_FoodCap,G264)*Arch_FoodCap*EXP(v01_CapsByProject*SUMPRODUCT((Cap_Point&lt;=I264)*(Cap_Kind="Food")*Cap_Ln))</x:f>
        <x:v>30</x:v>
      </x:c>
      <x:c r="K264" s="32" t="n">
        <x:f>J264*MIN(1,v01_LeanBase*EXP(v01_CapsByProject*SUMPRODUCT((Cap_Point&lt;=I264)*(Cap_Kind="Lean")*Cap_Ln)))</x:f>
        <x:v>30</x:v>
      </x:c>
      <x:c r="L264" s="10" t="n">
        <x:f>INDEX(v01_HousingCap,G264)*EXP(v01_CapsByProject*SUMPRODUCT((Cap_Point&lt;=I264)*(Cap_Kind="Housing")*Cap_Ln))</x:f>
        <x:v>60</x:v>
      </x:c>
      <x:c r="M264" s="10" t="n">
        <x:f>INDEX(v01_GroupCap,G264)*v01_CohesionFactor*EXP(v01_CapsByProject*SUMPRODUCT((Cap_Point&lt;=I264)*(Cap_Kind="Group")*Cap_Ln))</x:f>
        <x:v>100</x:v>
      </x:c>
      <x:c r="N264" s="32" t="n">
        <x:f>MIN(J264,L264,M264)</x:f>
        <x:v>30</x:v>
      </x:c>
      <x:c r="O264" s="10" t="n">
        <x:f>AE263*N264</x:f>
        <x:v>30</x:v>
      </x:c>
      <x:c r="P264" s="9" t="n">
        <x:f>MIN(1,(AB263/(AE263*IF(v01_GroupInCrowding=1,N264,MIN(J264,L264))))^v01_CrowdingExp)</x:f>
        <x:v>0.13143658275414705</x:v>
      </x:c>
      <x:c r="Q264" s="9" t="n">
        <x:f>IF(D264=1,INDEX(v01_WinterMult,G264),1)</x:f>
        <x:v>1</x:v>
      </x:c>
      <x:c r="R264" s="9" t="n">
        <x:f>H264*Z263*v01_WomenShare*v01_BaseFertility*INDEX(v01_FertMult,G264)*Arch_Fertility*(1-P264)</x:f>
        <x:v>0.31592423288789107</x:v>
      </x:c>
      <x:c r="S264" s="9" t="n">
        <x:f>H264*Y263*INDEX(v01_MortChild,G264)/4*Q264</x:f>
        <x:v>0.07878909957436361</x:v>
      </x:c>
      <x:c r="T264" s="9" t="n">
        <x:f>H264*Z263*INDEX(v01_MortAdult,G264)*Arch_AdultMort/4*Q264</x:f>
        <x:v>0.03152343241721761</x:v>
      </x:c>
      <x:c r="U264" s="9" t="n">
        <x:f>H264*AA263*INDEX(v01_MortElder,G264)/4*Q264</x:f>
        <x:v>0.05374967757986763</x:v>
      </x:c>
      <x:c r="V264" s="9" t="n">
        <x:f>H264*MAX(0,AB263-O264)*v01_OvercapLoss</x:f>
        <x:v>0</x:v>
      </x:c>
      <x:c r="W264" s="9" t="n">
        <x:f>H264*Y263/(v01_ChildYears*4)</x:f>
        <x:v>0.16079408076400736</x:v>
      </x:c>
      <x:c r="X264" s="9" t="n">
        <x:f>H264*Z263/(v01_AdultYears*4)</x:f>
        <x:v>0.07822191666803377</x:v>
      </x:c>
      <x:c r="Y264" s="32" t="n">
        <x:f>Y263+R264-S264-W264-Y263*V264/AB263</x:f>
        <x:v>9.080809575333932</x:v>
      </x:c>
      <x:c r="Z264" s="32" t="n">
        <x:f>Z263+W264-X264-T264-Z263*V264/AB263</x:f>
        <x:v>9.750566398514945</x:v>
      </x:c>
      <x:c r="AA264" s="32" t="n">
        <x:f>AA263+X264-U264-AA263*V264/AB263</x:f>
        <x:v>2.7119561180815475</x:v>
      </x:c>
      <x:c r="AB264" s="10" t="n">
        <x:f>Y264+Z264+AA264</x:f>
        <x:v>21.543332091930427</x:v>
      </x:c>
      <x:c r="AC264" s="8" t="n">
        <x:f>IF(AND(v01_WinterTrigger=1,D264=1,AB263/AE263&gt;=K264),1,0)</x:f>
        <x:v>0</x:v>
      </x:c>
      <x:c r="AD264" s="8" t="n">
        <x:f>H264*IF(AND(OR(AB263/AE263&gt;=v01_FissionTrigger*N264,AC264=1),AB263/AE263*v01_DaughterShare&gt;=v01_MinDaughter),MAX(1,ROUND(AE263*v01_FissionRate,0)),0)</x:f>
        <x:v>0</x:v>
      </x:c>
      <x:c r="AE264" s="8" t="n">
        <x:f>IF(H264=1,MAX(1,MIN(INDEX(v01_Smax,G264),AE263+AD264)),AE263)</x:f>
        <x:v>1</x:v>
      </x:c>
      <x:c r="AF264" s="8" t="n">
        <x:f>MAX(0,AE264-AE263)</x:f>
        <x:v>0</x:v>
      </x:c>
      <x:c r="AG264" s="9" t="str">
        <x:f>IF(AF264&gt;0,B264,"")</x:f>
      </x:c>
      <x:c r="AH264" s="9" t="n">
        <x:f>IF(F264&gt;=1,1,(1+v01_LowTiesShare*(AE264-1))/AE264)</x:f>
        <x:v>1</x:v>
      </x:c>
      <x:c r="AI264" s="32" t="n">
        <x:f>(Z264+v01_ElderCommons*INDEX(LM_Elder,G264)*AA264)*AH264</x:f>
        <x:v>16.39347509263378</x:v>
      </x:c>
      <x:c r="AJ264" s="32" t="n">
        <x:f>H264*v01_CommonsCoef*AI264^v01_CommonsExp*INDEX(LM_Commons,G264)</x:f>
        <x:v>7.112369435078416</x:v>
      </x:c>
      <x:c r="AK264" s="32" t="n">
        <x:f>H264*v01_RoleScale*Arch_Roles*(AE264*(INDEX(v01_ElderRolePerSett,G264)*v01_OutElder*INDEX(LM_Elder,G264)+INDEX(v01_ShamanPerSett,G264)*v01_OutShaman)+Z264*(INDEX(v01_PriestShare,G264)*v01_OutPriest+INDEX(v01_ScribeShare,G264)*v01_OutScribe*INDEX(LM_Scribe,G264)+INDEX(v01_ScholarShare,G264)*v01_OutScholar*INDEX(LM_Scholar,G264)+INDEX(v01_ResearcherShare,G264)*v01_OutResearcher*INDEX(LM_Researcher,G264)))</x:f>
        <x:v>1.3623724356957945</x:v>
      </x:c>
      <x:c r="AL264" s="32" t="n">
        <x:f>H264*v01_RoleScale*Arch_Roles*AE264*INDEX(v01_MonasteryPerSett,G264)*v01_OutMonastery*INDEX(LM_Monastery,G264)</x:f>
        <x:v>0</x:v>
      </x:c>
      <x:c r="AM264" s="32" t="n">
        <x:f>(AJ264+AK264+AL264)/4*INDEX(LM_All,G264)*INDEX(v01_Boon,G264)*Arch_Insight</x:f>
        <x:v>2.171652604385891</x:v>
      </x:c>
      <x:c r="AN264" s="32" t="n">
        <x:f>H264*(v01_KHPerAdult*Z264+v01_KHOfCommons*AJ264/4*INDEX(LM_All,G264))*v01_KHUsable*Arch_KH</x:f>
        <x:v>0.3412698239480231</x:v>
      </x:c>
      <x:c r="AO264" s="32" t="n">
        <x:f>MIN(AP263+AN264,AM264*v01_KHMaxRatio)</x:f>
        <x:v>0.3412698239480231</x:v>
      </x:c>
      <x:c r="AP264" s="32" t="n">
        <x:f>AP263+AN264-AO264</x:f>
        <x:v>0</x:v>
      </x:c>
      <x:c r="AQ264" s="32" t="n">
        <x:f>AM264+AO264</x:f>
        <x:v>2.512922428333914</x:v>
      </x:c>
      <x:c r="AR264" s="10" t="n">
        <x:f>IF(H264=1,INDEX(v01_Req,G264),0)</x:f>
        <x:v>1067.32</x:v>
      </x:c>
      <x:c r="AS264" s="32" t="n">
        <x:f>IF(H264=1,IF(E264=1,AS263-AR263,AS263)+AQ264,0)</x:f>
        <x:v>65.66246736076792</x:v>
      </x:c>
      <x:c r="AT264" s="11" t="n">
        <x:f>IF(AR264&gt;0,MIN(1,AS264/AR264),1)</x:f>
        <x:v>0.06152088161073335</x:v>
      </x:c>
      <x:c r="AU264" s="10" t="n">
        <x:f>AB264/INDEX(v01_RepScale,G264)</x:f>
        <x:v>21.543332091930427</x:v>
      </x:c>
      <x:c r="AV264" s="32" t="n">
        <x:f>AM264*60/v01_SeasonSeconds</x:f>
        <x:v>8.686610417543564</x:v>
      </x:c>
    </x:row>
    <x:row r="265">
      <x:c r="A265" s="8" t="n">
        <x:f>A264+1</x:f>
        <x:v>262</x:v>
      </x:c>
      <x:c r="B265" s="9" t="n">
        <x:f>A265*v01_SeasonSeconds/60</x:f>
        <x:v>65.5</x:v>
      </x:c>
      <x:c r="C265" s="9" t="n">
        <x:f>A265/4</x:f>
        <x:v>65.5</x:v>
      </x:c>
      <x:c r="D265" s="8" t="n">
        <x:f>IF(MOD(A265,4)=0,1,0)</x:f>
        <x:v>0</x:v>
      </x:c>
      <x:c r="E265" s="8" t="n">
        <x:f>IF(AND(F264&lt;=9,AS264&gt;=AR264),1,0)</x:f>
        <x:v>0</x:v>
      </x:c>
      <x:c r="F265" s="8" t="n">
        <x:f>MIN(10,F264+E265)</x:f>
        <x:v>1</x:v>
      </x:c>
      <x:c r="G265" s="8" t="n">
        <x:f>MIN(F265,9)+1</x:f>
        <x:v>2</x:v>
      </x:c>
      <x:c r="H265" s="8" t="n">
        <x:f>IF(F265&lt;=9,1,0)</x:f>
        <x:v>1</x:v>
      </x:c>
      <x:c r="I265" s="9" t="n">
        <x:f>MIN(10,F264+IF(AR264&gt;0,MIN(1,AS264/AR264),1))</x:f>
        <x:v>1.0615208816107333</x:v>
      </x:c>
      <x:c r="J265" s="32" t="n">
        <x:f>INDEX(v01_FoodCap,G265)*Arch_FoodCap*EXP(v01_CapsByProject*SUMPRODUCT((Cap_Point&lt;=I265)*(Cap_Kind="Food")*Cap_Ln))</x:f>
        <x:v>30</x:v>
      </x:c>
      <x:c r="K265" s="32" t="n">
        <x:f>J265*MIN(1,v01_LeanBase*EXP(v01_CapsByProject*SUMPRODUCT((Cap_Point&lt;=I265)*(Cap_Kind="Lean")*Cap_Ln)))</x:f>
        <x:v>30</x:v>
      </x:c>
      <x:c r="L265" s="10" t="n">
        <x:f>INDEX(v01_HousingCap,G265)*EXP(v01_CapsByProject*SUMPRODUCT((Cap_Point&lt;=I265)*(Cap_Kind="Housing")*Cap_Ln))</x:f>
        <x:v>60</x:v>
      </x:c>
      <x:c r="M265" s="10" t="n">
        <x:f>INDEX(v01_GroupCap,G265)*v01_CohesionFactor*EXP(v01_CapsByProject*SUMPRODUCT((Cap_Point&lt;=I265)*(Cap_Kind="Group")*Cap_Ln))</x:f>
        <x:v>100</x:v>
      </x:c>
      <x:c r="N265" s="32" t="n">
        <x:f>MIN(J265,L265,M265)</x:f>
        <x:v>30</x:v>
      </x:c>
      <x:c r="O265" s="10" t="n">
        <x:f>AE264*N265</x:f>
        <x:v>30</x:v>
      </x:c>
      <x:c r="P265" s="9" t="n">
        <x:f>MIN(1,(AB264/(AE264*IF(v01_GroupInCrowding=1,N265,MIN(J265,L265))))^v01_CrowdingExp)</x:f>
        <x:v>0.13713544772038327</x:v>
      </x:c>
      <x:c r="Q265" s="9" t="n">
        <x:f>IF(D265=1,INDEX(v01_WinterMult,G265),1)</x:f>
        <x:v>1</x:v>
      </x:c>
      <x:c r="R265" s="9" t="n">
        <x:f>H265*Z264*v01_WomenShare*v01_BaseFertility*INDEX(v01_FertMult,G265)*Arch_Fertility*(1-P265)</x:f>
        <x:v>0.31550317912227277</x:v>
      </x:c>
      <x:c r="S265" s="9" t="n">
        <x:f>H265*Y264*INDEX(v01_MortChild,G265)/4*Q265</x:f>
        <x:v>0.0794570837841719</x:v>
      </x:c>
      <x:c r="T265" s="9" t="n">
        <x:f>H265*Z264*INDEX(v01_MortAdult,G265)*Arch_AdultMort/4*Q265</x:f>
        <x:v>0.03168934079517357</x:v>
      </x:c>
      <x:c r="U265" s="9" t="n">
        <x:f>H265*AA264*INDEX(v01_MortElder,G265)/4*Q265</x:f>
        <x:v>0.05423912236163095</x:v>
      </x:c>
      <x:c r="V265" s="9" t="n">
        <x:f>H265*MAX(0,AB264-O265)*v01_OvercapLoss</x:f>
        <x:v>0</x:v>
      </x:c>
      <x:c r="W265" s="9" t="n">
        <x:f>H265*Y264/(v01_ChildYears*4)</x:f>
        <x:v>0.16215731384524879</x:v>
      </x:c>
      <x:c r="X265" s="9" t="n">
        <x:f>H265*Z264/(v01_AdultYears*4)</x:f>
        <x:v>0.07863359998802374</x:v>
      </x:c>
      <x:c r="Y265" s="32" t="n">
        <x:f>Y264+R265-S265-W265-Y264*V265/AB264</x:f>
        <x:v>9.154698356826783</x:v>
      </x:c>
      <x:c r="Z265" s="32" t="n">
        <x:f>Z264+W265-X265-T265-Z264*V265/AB264</x:f>
        <x:v>9.802400771576997</x:v>
      </x:c>
      <x:c r="AA265" s="32" t="n">
        <x:f>AA264+X265-U265-AA264*V265/AB264</x:f>
        <x:v>2.73635059570794</x:v>
      </x:c>
      <x:c r="AB265" s="10" t="n">
        <x:f>Y265+Z265+AA265</x:f>
        <x:v>21.69344972411172</x:v>
      </x:c>
      <x:c r="AC265" s="8" t="n">
        <x:f>IF(AND(v01_WinterTrigger=1,D265=1,AB264/AE264&gt;=K265),1,0)</x:f>
        <x:v>0</x:v>
      </x:c>
      <x:c r="AD265" s="8" t="n">
        <x:f>H265*IF(AND(OR(AB264/AE264&gt;=v01_FissionTrigger*N265,AC265=1),AB264/AE264*v01_DaughterShare&gt;=v01_MinDaughter),MAX(1,ROUND(AE264*v01_FissionRate,0)),0)</x:f>
        <x:v>0</x:v>
      </x:c>
      <x:c r="AE265" s="8" t="n">
        <x:f>IF(H265=1,MAX(1,MIN(INDEX(v01_Smax,G265),AE264+AD265)),AE264)</x:f>
        <x:v>1</x:v>
      </x:c>
      <x:c r="AF265" s="8" t="n">
        <x:f>MAX(0,AE265-AE264)</x:f>
        <x:v>0</x:v>
      </x:c>
      <x:c r="AG265" s="9" t="str">
        <x:f>IF(AF265&gt;0,B265,"")</x:f>
      </x:c>
      <x:c r="AH265" s="9" t="n">
        <x:f>IF(F265&gt;=1,1,(1+v01_LowTiesShare*(AE265-1))/AE265)</x:f>
        <x:v>1</x:v>
      </x:c>
      <x:c r="AI265" s="32" t="n">
        <x:f>(Z265+v01_ElderCommons*INDEX(LM_Elder,G265)*AA265)*AH265</x:f>
        <x:v>16.505063488422234</x:v>
      </x:c>
      <x:c r="AJ265" s="32" t="n">
        <x:f>H265*v01_CommonsCoef*AI265^v01_CommonsExp*INDEX(LM_Commons,G265)</x:f>
        <x:v>7.153499561791428</x:v>
      </x:c>
      <x:c r="AK265" s="32" t="n">
        <x:f>H265*v01_RoleScale*Arch_Roles*(AE265*(INDEX(v01_ElderRolePerSett,G265)*v01_OutElder*INDEX(LM_Elder,G265)+INDEX(v01_ShamanPerSett,G265)*v01_OutShaman)+Z265*(INDEX(v01_PriestShare,G265)*v01_OutPriest+INDEX(v01_ScribeShare,G265)*v01_OutScribe*INDEX(LM_Scribe,G265)+INDEX(v01_ScholarShare,G265)*v01_OutScholar*INDEX(LM_Scholar,G265)+INDEX(v01_ResearcherShare,G265)*v01_OutResearcher*INDEX(LM_Researcher,G265)))</x:f>
        <x:v>1.3623724356957945</x:v>
      </x:c>
      <x:c r="AL265" s="32" t="n">
        <x:f>H265*v01_RoleScale*Arch_Roles*AE265*INDEX(v01_MonasteryPerSett,G265)*v01_OutMonastery*INDEX(LM_Monastery,G265)</x:f>
        <x:v>0</x:v>
      </x:c>
      <x:c r="AM265" s="32" t="n">
        <x:f>(AJ265+AK265+AL265)/4*INDEX(LM_All,G265)*INDEX(v01_Boon,G265)*Arch_Insight</x:f>
        <x:v>2.1821921993561006</x:v>
      </x:c>
      <x:c r="AN265" s="32" t="n">
        <x:f>H265*(v01_KHPerAdult*Z265+v01_KHOfCommons*AJ265/4*INDEX(LM_All,G265))*v01_KHUsable*Arch_KH</x:f>
        <x:v>0.34308402700519486</x:v>
      </x:c>
      <x:c r="AO265" s="32" t="n">
        <x:f>MIN(AP264+AN265,AM265*v01_KHMaxRatio)</x:f>
        <x:v>0.34308402700519486</x:v>
      </x:c>
      <x:c r="AP265" s="32" t="n">
        <x:f>AP264+AN265-AO265</x:f>
        <x:v>0</x:v>
      </x:c>
      <x:c r="AQ265" s="32" t="n">
        <x:f>AM265+AO265</x:f>
        <x:v>2.5252762263612953</x:v>
      </x:c>
      <x:c r="AR265" s="10" t="n">
        <x:f>IF(H265=1,INDEX(v01_Req,G265),0)</x:f>
        <x:v>1067.32</x:v>
      </x:c>
      <x:c r="AS265" s="32" t="n">
        <x:f>IF(H265=1,IF(E265=1,AS264-AR264,AS264)+AQ265,0)</x:f>
        <x:v>68.18774358712922</x:v>
      </x:c>
      <x:c r="AT265" s="11" t="n">
        <x:f>IF(AR265&gt;0,MIN(1,AS265/AR265),1)</x:f>
        <x:v>0.06388687889960763</x:v>
      </x:c>
      <x:c r="AU265" s="10" t="n">
        <x:f>AB265/INDEX(v01_RepScale,G265)</x:f>
        <x:v>21.69344972411172</x:v>
      </x:c>
      <x:c r="AV265" s="32" t="n">
        <x:f>AM265*60/v01_SeasonSeconds</x:f>
        <x:v>8.728768797424403</x:v>
      </x:c>
    </x:row>
    <x:row r="266">
      <x:c r="A266" s="8" t="n">
        <x:f>A265+1</x:f>
        <x:v>263</x:v>
      </x:c>
      <x:c r="B266" s="9" t="n">
        <x:f>A266*v01_SeasonSeconds/60</x:f>
        <x:v>65.75</x:v>
      </x:c>
      <x:c r="C266" s="9" t="n">
        <x:f>A266/4</x:f>
        <x:v>65.75</x:v>
      </x:c>
      <x:c r="D266" s="8" t="n">
        <x:f>IF(MOD(A266,4)=0,1,0)</x:f>
        <x:v>0</x:v>
      </x:c>
      <x:c r="E266" s="8" t="n">
        <x:f>IF(AND(F265&lt;=9,AS265&gt;=AR265),1,0)</x:f>
        <x:v>0</x:v>
      </x:c>
      <x:c r="F266" s="8" t="n">
        <x:f>MIN(10,F265+E266)</x:f>
        <x:v>1</x:v>
      </x:c>
      <x:c r="G266" s="8" t="n">
        <x:f>MIN(F266,9)+1</x:f>
        <x:v>2</x:v>
      </x:c>
      <x:c r="H266" s="8" t="n">
        <x:f>IF(F266&lt;=9,1,0)</x:f>
        <x:v>1</x:v>
      </x:c>
      <x:c r="I266" s="9" t="n">
        <x:f>MIN(10,F265+IF(AR265&gt;0,MIN(1,AS265/AR265),1))</x:f>
        <x:v>1.0638868788996076</x:v>
      </x:c>
      <x:c r="J266" s="32" t="n">
        <x:f>INDEX(v01_FoodCap,G266)*Arch_FoodCap*EXP(v01_CapsByProject*SUMPRODUCT((Cap_Point&lt;=I266)*(Cap_Kind="Food")*Cap_Ln))</x:f>
        <x:v>30</x:v>
      </x:c>
      <x:c r="K266" s="32" t="n">
        <x:f>J266*MIN(1,v01_LeanBase*EXP(v01_CapsByProject*SUMPRODUCT((Cap_Point&lt;=I266)*(Cap_Kind="Lean")*Cap_Ln)))</x:f>
        <x:v>30</x:v>
      </x:c>
      <x:c r="L266" s="10" t="n">
        <x:f>INDEX(v01_HousingCap,G266)*EXP(v01_CapsByProject*SUMPRODUCT((Cap_Point&lt;=I266)*(Cap_Kind="Housing")*Cap_Ln))</x:f>
        <x:v>60</x:v>
      </x:c>
      <x:c r="M266" s="10" t="n">
        <x:f>INDEX(v01_GroupCap,G266)*v01_CohesionFactor*EXP(v01_CapsByProject*SUMPRODUCT((Cap_Point&lt;=I266)*(Cap_Kind="Group")*Cap_Ln))</x:f>
        <x:v>100</x:v>
      </x:c>
      <x:c r="N266" s="32" t="n">
        <x:f>MIN(J266,L266,M266)</x:f>
        <x:v>30</x:v>
      </x:c>
      <x:c r="O266" s="10" t="n">
        <x:f>AE265*N266</x:f>
        <x:v>30</x:v>
      </x:c>
      <x:c r="P266" s="9" t="n">
        <x:f>MIN(1,(AB265/(AE265*IF(v01_GroupInCrowding=1,N266,MIN(J266,L266))))^v01_CrowdingExp)</x:f>
        <x:v>0.1429697604754247</x:v>
      </x:c>
      <x:c r="Q266" s="9" t="n">
        <x:f>IF(D266=1,INDEX(v01_WinterMult,G266),1)</x:f>
        <x:v>1</x:v>
      </x:c>
      <x:c r="R266" s="9" t="n">
        <x:f>H266*Z265*v01_WomenShare*v01_BaseFertility*INDEX(v01_FertMult,G266)*Arch_Fertility*(1-P266)</x:f>
        <x:v>0.3150357705442693</x:v>
      </x:c>
      <x:c r="S266" s="9" t="n">
        <x:f>H266*Y265*INDEX(v01_MortChild,G266)/4*Q266</x:f>
        <x:v>0.08010361062223435</x:v>
      </x:c>
      <x:c r="T266" s="9" t="n">
        <x:f>H266*Z265*INDEX(v01_MortAdult,G266)*Arch_AdultMort/4*Q266</x:f>
        <x:v>0.03185780250762524</x:v>
      </x:c>
      <x:c r="U266" s="9" t="n">
        <x:f>H266*AA265*INDEX(v01_MortElder,G266)/4*Q266</x:f>
        <x:v>0.0547270119141588</x:v>
      </x:c>
      <x:c r="V266" s="9" t="n">
        <x:f>H266*MAX(0,AB265-O266)*v01_OvercapLoss</x:f>
        <x:v>0</x:v>
      </x:c>
      <x:c r="W266" s="9" t="n">
        <x:f>H266*Y265/(v01_ChildYears*4)</x:f>
        <x:v>0.16347675637190684</x:v>
      </x:c>
      <x:c r="X266" s="9" t="n">
        <x:f>H266*Z265/(v01_AdultYears*4)</x:f>
        <x:v>0.07905161912562093</x:v>
      </x:c>
      <x:c r="Y266" s="32" t="n">
        <x:f>Y265+R266-S266-W266-Y265*V266/AB265</x:f>
        <x:v>9.226153760376912</x:v>
      </x:c>
      <x:c r="Z266" s="32" t="n">
        <x:f>Z265+W266-X266-T266-Z265*V266/AB265</x:f>
        <x:v>9.854968106315656</x:v>
      </x:c>
      <x:c r="AA266" s="32" t="n">
        <x:f>AA265+X266-U266-AA265*V266/AB265</x:f>
        <x:v>2.760675202919402</x:v>
      </x:c>
      <x:c r="AB266" s="10" t="n">
        <x:f>Y266+Z266+AA266</x:f>
        <x:v>21.84179706961197</x:v>
      </x:c>
      <x:c r="AC266" s="8" t="n">
        <x:f>IF(AND(v01_WinterTrigger=1,D266=1,AB265/AE265&gt;=K266),1,0)</x:f>
        <x:v>0</x:v>
      </x:c>
      <x:c r="AD266" s="8" t="n">
        <x:f>H266*IF(AND(OR(AB265/AE265&gt;=v01_FissionTrigger*N266,AC266=1),AB265/AE265*v01_DaughterShare&gt;=v01_MinDaughter),MAX(1,ROUND(AE265*v01_FissionRate,0)),0)</x:f>
        <x:v>0</x:v>
      </x:c>
      <x:c r="AE266" s="8" t="n">
        <x:f>IF(H266=1,MAX(1,MIN(INDEX(v01_Smax,G266),AE265+AD266)),AE265)</x:f>
        <x:v>1</x:v>
      </x:c>
      <x:c r="AF266" s="8" t="n">
        <x:f>MAX(0,AE266-AE265)</x:f>
        <x:v>0</x:v>
      </x:c>
      <x:c r="AG266" s="9" t="str">
        <x:f>IF(AF266&gt;0,B266,"")</x:f>
      </x:c>
      <x:c r="AH266" s="9" t="n">
        <x:f>IF(F266&gt;=1,1,(1+v01_LowTiesShare*(AE266-1))/AE266)</x:f>
        <x:v>1</x:v>
      </x:c>
      <x:c r="AI266" s="32" t="n">
        <x:f>(Z266+v01_ElderCommons*INDEX(LM_Elder,G266)*AA266)*AH266</x:f>
        <x:v>16.6172136990226</x:v>
      </x:c>
      <x:c r="AJ266" s="32" t="n">
        <x:f>H266*v01_CommonsCoef*AI266^v01_CommonsExp*INDEX(LM_Commons,G266)</x:f>
        <x:v>7.194794761344173</x:v>
      </x:c>
      <x:c r="AK266" s="32" t="n">
        <x:f>H266*v01_RoleScale*Arch_Roles*(AE266*(INDEX(v01_ElderRolePerSett,G266)*v01_OutElder*INDEX(LM_Elder,G266)+INDEX(v01_ShamanPerSett,G266)*v01_OutShaman)+Z266*(INDEX(v01_PriestShare,G266)*v01_OutPriest+INDEX(v01_ScribeShare,G266)*v01_OutScribe*INDEX(LM_Scribe,G266)+INDEX(v01_ScholarShare,G266)*v01_OutScholar*INDEX(LM_Scholar,G266)+INDEX(v01_ResearcherShare,G266)*v01_OutResearcher*INDEX(LM_Researcher,G266)))</x:f>
        <x:v>1.3623724356957945</x:v>
      </x:c>
      <x:c r="AL266" s="32" t="n">
        <x:f>H266*v01_RoleScale*Arch_Roles*AE266*INDEX(v01_MonasteryPerSett,G266)*v01_OutMonastery*INDEX(LM_Monastery,G266)</x:f>
        <x:v>0</x:v>
      </x:c>
      <x:c r="AM266" s="32" t="n">
        <x:f>(AJ266+AK266+AL266)/4*INDEX(LM_All,G266)*INDEX(v01_Boon,G266)*Arch_Insight</x:f>
        <x:v>2.1927740942414915</x:v>
      </x:c>
      <x:c r="AN266" s="32" t="n">
        <x:f>H266*(v01_KHPerAdult*Z266+v01_KHOfCommons*AJ266/4*INDEX(LM_All,G266))*v01_KHUsable*Arch_KH</x:f>
        <x:v>0.344923883721048</x:v>
      </x:c>
      <x:c r="AO266" s="32" t="n">
        <x:f>MIN(AP265+AN266,AM266*v01_KHMaxRatio)</x:f>
        <x:v>0.344923883721048</x:v>
      </x:c>
      <x:c r="AP266" s="32" t="n">
        <x:f>AP265+AN266-AO266</x:f>
        <x:v>0</x:v>
      </x:c>
      <x:c r="AQ266" s="32" t="n">
        <x:f>AM266+AO266</x:f>
        <x:v>2.5376979779625395</x:v>
      </x:c>
      <x:c r="AR266" s="10" t="n">
        <x:f>IF(H266=1,INDEX(v01_Req,G266),0)</x:f>
        <x:v>1067.32</x:v>
      </x:c>
      <x:c r="AS266" s="32" t="n">
        <x:f>IF(H266=1,IF(E266=1,AS265-AR265,AS265)+AQ266,0)</x:f>
        <x:v>70.72544156509176</x:v>
      </x:c>
      <x:c r="AT266" s="11" t="n">
        <x:f>IF(AR266&gt;0,MIN(1,AS266/AR266),1)</x:f>
        <x:v>0.06626451445217157</x:v>
      </x:c>
      <x:c r="AU266" s="10" t="n">
        <x:f>AB266/INDEX(v01_RepScale,G266)</x:f>
        <x:v>21.84179706961197</x:v>
      </x:c>
      <x:c r="AV266" s="32" t="n">
        <x:f>AM266*60/v01_SeasonSeconds</x:f>
        <x:v>8.771096376965966</x:v>
      </x:c>
    </x:row>
    <x:row r="267">
      <x:c r="A267" s="8" t="n">
        <x:f>A266+1</x:f>
        <x:v>264</x:v>
      </x:c>
      <x:c r="B267" s="9" t="n">
        <x:f>A267*v01_SeasonSeconds/60</x:f>
        <x:v>66</x:v>
      </x:c>
      <x:c r="C267" s="9" t="n">
        <x:f>A267/4</x:f>
        <x:v>66</x:v>
      </x:c>
      <x:c r="D267" s="8" t="n">
        <x:f>IF(MOD(A267,4)=0,1,0)</x:f>
        <x:v>1</x:v>
      </x:c>
      <x:c r="E267" s="8" t="n">
        <x:f>IF(AND(F266&lt;=9,AS266&gt;=AR266),1,0)</x:f>
        <x:v>0</x:v>
      </x:c>
      <x:c r="F267" s="8" t="n">
        <x:f>MIN(10,F266+E267)</x:f>
        <x:v>1</x:v>
      </x:c>
      <x:c r="G267" s="8" t="n">
        <x:f>MIN(F267,9)+1</x:f>
        <x:v>2</x:v>
      </x:c>
      <x:c r="H267" s="8" t="n">
        <x:f>IF(F267&lt;=9,1,0)</x:f>
        <x:v>1</x:v>
      </x:c>
      <x:c r="I267" s="9" t="n">
        <x:f>MIN(10,F266+IF(AR266&gt;0,MIN(1,AS266/AR266),1))</x:f>
        <x:v>1.0662645144521716</x:v>
      </x:c>
      <x:c r="J267" s="32" t="n">
        <x:f>INDEX(v01_FoodCap,G267)*Arch_FoodCap*EXP(v01_CapsByProject*SUMPRODUCT((Cap_Point&lt;=I267)*(Cap_Kind="Food")*Cap_Ln))</x:f>
        <x:v>30</x:v>
      </x:c>
      <x:c r="K267" s="32" t="n">
        <x:f>J267*MIN(1,v01_LeanBase*EXP(v01_CapsByProject*SUMPRODUCT((Cap_Point&lt;=I267)*(Cap_Kind="Lean")*Cap_Ln)))</x:f>
        <x:v>30</x:v>
      </x:c>
      <x:c r="L267" s="10" t="n">
        <x:f>INDEX(v01_HousingCap,G267)*EXP(v01_CapsByProject*SUMPRODUCT((Cap_Point&lt;=I267)*(Cap_Kind="Housing")*Cap_Ln))</x:f>
        <x:v>60</x:v>
      </x:c>
      <x:c r="M267" s="10" t="n">
        <x:f>INDEX(v01_GroupCap,G267)*v01_CohesionFactor*EXP(v01_CapsByProject*SUMPRODUCT((Cap_Point&lt;=I267)*(Cap_Kind="Group")*Cap_Ln))</x:f>
        <x:v>100</x:v>
      </x:c>
      <x:c r="N267" s="32" t="n">
        <x:f>MIN(J267,L267,M267)</x:f>
        <x:v>30</x:v>
      </x:c>
      <x:c r="O267" s="10" t="n">
        <x:f>AE266*N267</x:f>
        <x:v>30</x:v>
      </x:c>
      <x:c r="P267" s="9" t="n">
        <x:f>MIN(1,(AB266/(AE266*IF(v01_GroupInCrowding=1,N267,MIN(J267,L267))))^v01_CrowdingExp)</x:f>
        <x:v>0.14893702631140252</x:v>
      </x:c>
      <x:c r="Q267" s="9" t="n">
        <x:f>IF(D267=1,INDEX(v01_WinterMult,G267),1)</x:f>
        <x:v>1.6</x:v>
      </x:c>
      <x:c r="R267" s="9" t="n">
        <x:f>H267*Z266*v01_WomenShare*v01_BaseFertility*INDEX(v01_FertMult,G267)*Arch_Fertility*(1-P267)</x:f>
        <x:v>0.3145199423312733</x:v>
      </x:c>
      <x:c r="S267" s="9" t="n">
        <x:f>H267*Y266*INDEX(v01_MortChild,G267)/4*Q267</x:f>
        <x:v>0.12916615264527678</x:v>
      </x:c>
      <x:c r="T267" s="9" t="n">
        <x:f>H267*Z266*INDEX(v01_MortAdult,G267)*Arch_AdultMort/4*Q267</x:f>
        <x:v>0.05124583415284141</x:v>
      </x:c>
      <x:c r="U267" s="9" t="n">
        <x:f>H267*AA266*INDEX(v01_MortElder,G267)/4*Q267</x:f>
        <x:v>0.08834160649342088</x:v>
      </x:c>
      <x:c r="V267" s="9" t="n">
        <x:f>H267*MAX(0,AB266-O267)*v01_OvercapLoss</x:f>
        <x:v>0</x:v>
      </x:c>
      <x:c r="W267" s="9" t="n">
        <x:f>H267*Y266/(v01_ChildYears*4)</x:f>
        <x:v>0.16475274572101628</x:v>
      </x:c>
      <x:c r="X267" s="9" t="n">
        <x:f>H267*Z266/(v01_AdultYears*4)</x:f>
        <x:v>0.0794755492444811</x:v>
      </x:c>
      <x:c r="Y267" s="32" t="n">
        <x:f>Y266+R267-S267-W267-Y266*V267/AB266</x:f>
        <x:v>9.246754804341892</x:v>
      </x:c>
      <x:c r="Z267" s="32" t="n">
        <x:f>Z266+W267-X267-T267-Z266*V267/AB266</x:f>
        <x:v>9.88899946863935</x:v>
      </x:c>
      <x:c r="AA267" s="32" t="n">
        <x:f>AA266+X267-U267-AA266*V267/AB266</x:f>
        <x:v>2.751809145670462</x:v>
      </x:c>
      <x:c r="AB267" s="10" t="n">
        <x:f>Y267+Z267+AA267</x:f>
        <x:v>21.887563418651702</x:v>
      </x:c>
      <x:c r="AC267" s="8" t="n">
        <x:f>IF(AND(v01_WinterTrigger=1,D267=1,AB266/AE266&gt;=K267),1,0)</x:f>
        <x:v>0</x:v>
      </x:c>
      <x:c r="AD267" s="8" t="n">
        <x:f>H267*IF(AND(OR(AB266/AE266&gt;=v01_FissionTrigger*N267,AC267=1),AB266/AE266*v01_DaughterShare&gt;=v01_MinDaughter),MAX(1,ROUND(AE266*v01_FissionRate,0)),0)</x:f>
        <x:v>0</x:v>
      </x:c>
      <x:c r="AE267" s="8" t="n">
        <x:f>IF(H267=1,MAX(1,MIN(INDEX(v01_Smax,G267),AE266+AD267)),AE266)</x:f>
        <x:v>1</x:v>
      </x:c>
      <x:c r="AF267" s="8" t="n">
        <x:f>MAX(0,AE267-AE266)</x:f>
        <x:v>0</x:v>
      </x:c>
      <x:c r="AG267" s="9" t="str">
        <x:f>IF(AF267&gt;0,B267,"")</x:f>
      </x:c>
      <x:c r="AH267" s="9" t="n">
        <x:f>IF(F267&gt;=1,1,(1+v01_LowTiesShare*(AE267-1))/AE267)</x:f>
        <x:v>1</x:v>
      </x:c>
      <x:c r="AI267" s="32" t="n">
        <x:f>(Z267+v01_ElderCommons*INDEX(LM_Elder,G267)*AA267)*AH267</x:f>
        <x:v>16.629527745056087</x:v>
      </x:c>
      <x:c r="AJ267" s="32" t="n">
        <x:f>H267*v01_CommonsCoef*AI267^v01_CommonsExp*INDEX(LM_Commons,G267)</x:f>
        <x:v>7.199326405211387</x:v>
      </x:c>
      <x:c r="AK267" s="32" t="n">
        <x:f>H267*v01_RoleScale*Arch_Roles*(AE267*(INDEX(v01_ElderRolePerSett,G267)*v01_OutElder*INDEX(LM_Elder,G267)+INDEX(v01_ShamanPerSett,G267)*v01_OutShaman)+Z267*(INDEX(v01_PriestShare,G267)*v01_OutPriest+INDEX(v01_ScribeShare,G267)*v01_OutScribe*INDEX(LM_Scribe,G267)+INDEX(v01_ScholarShare,G267)*v01_OutScholar*INDEX(LM_Scholar,G267)+INDEX(v01_ResearcherShare,G267)*v01_OutResearcher*INDEX(LM_Researcher,G267)))</x:f>
        <x:v>1.3623724356957945</x:v>
      </x:c>
      <x:c r="AL267" s="32" t="n">
        <x:f>H267*v01_RoleScale*Arch_Roles*AE267*INDEX(v01_MonasteryPerSett,G267)*v01_OutMonastery*INDEX(LM_Monastery,G267)</x:f>
        <x:v>0</x:v>
      </x:c>
      <x:c r="AM267" s="32" t="n">
        <x:f>(AJ267+AK267+AL267)/4*INDEX(LM_All,G267)*INDEX(v01_Boon,G267)*Arch_Insight</x:f>
        <x:v>2.1939353279824654</x:v>
      </x:c>
      <x:c r="AN267" s="32" t="n">
        <x:f>H267*(v01_KHPerAdult*Z267+v01_KHOfCommons*AJ267/4*INDEX(LM_All,G267))*v01_KHUsable*Arch_KH</x:f>
        <x:v>0.34611498140237723</x:v>
      </x:c>
      <x:c r="AO267" s="32" t="n">
        <x:f>MIN(AP266+AN267,AM267*v01_KHMaxRatio)</x:f>
        <x:v>0.34611498140237723</x:v>
      </x:c>
      <x:c r="AP267" s="32" t="n">
        <x:f>AP266+AN267-AO267</x:f>
        <x:v>0</x:v>
      </x:c>
      <x:c r="AQ267" s="32" t="n">
        <x:f>AM267+AO267</x:f>
        <x:v>2.5400503093848426</x:v>
      </x:c>
      <x:c r="AR267" s="10" t="n">
        <x:f>IF(H267=1,INDEX(v01_Req,G267),0)</x:f>
        <x:v>1067.32</x:v>
      </x:c>
      <x:c r="AS267" s="32" t="n">
        <x:f>IF(H267=1,IF(E267=1,AS266-AR266,AS266)+AQ267,0)</x:f>
        <x:v>73.2654918744766</x:v>
      </x:c>
      <x:c r="AT267" s="11" t="n">
        <x:f>IF(AR267&gt;0,MIN(1,AS267/AR267),1)</x:f>
        <x:v>0.06864435396551793</x:v>
      </x:c>
      <x:c r="AU267" s="10" t="n">
        <x:f>AB267/INDEX(v01_RepScale,G267)</x:f>
        <x:v>21.887563418651702</x:v>
      </x:c>
      <x:c r="AV267" s="32" t="n">
        <x:f>AM267*60/v01_SeasonSeconds</x:f>
        <x:v>8.775741311929862</x:v>
      </x:c>
    </x:row>
    <x:row r="268">
      <x:c r="A268" s="8" t="n">
        <x:f>A267+1</x:f>
        <x:v>265</x:v>
      </x:c>
      <x:c r="B268" s="9" t="n">
        <x:f>A268*v01_SeasonSeconds/60</x:f>
        <x:v>66.25</x:v>
      </x:c>
      <x:c r="C268" s="9" t="n">
        <x:f>A268/4</x:f>
        <x:v>66.25</x:v>
      </x:c>
      <x:c r="D268" s="8" t="n">
        <x:f>IF(MOD(A268,4)=0,1,0)</x:f>
        <x:v>0</x:v>
      </x:c>
      <x:c r="E268" s="8" t="n">
        <x:f>IF(AND(F267&lt;=9,AS267&gt;=AR267),1,0)</x:f>
        <x:v>0</x:v>
      </x:c>
      <x:c r="F268" s="8" t="n">
        <x:f>MIN(10,F267+E268)</x:f>
        <x:v>1</x:v>
      </x:c>
      <x:c r="G268" s="8" t="n">
        <x:f>MIN(F268,9)+1</x:f>
        <x:v>2</x:v>
      </x:c>
      <x:c r="H268" s="8" t="n">
        <x:f>IF(F268&lt;=9,1,0)</x:f>
        <x:v>1</x:v>
      </x:c>
      <x:c r="I268" s="9" t="n">
        <x:f>MIN(10,F267+IF(AR267&gt;0,MIN(1,AS267/AR267),1))</x:f>
        <x:v>1.068644353965518</x:v>
      </x:c>
      <x:c r="J268" s="32" t="n">
        <x:f>INDEX(v01_FoodCap,G268)*Arch_FoodCap*EXP(v01_CapsByProject*SUMPRODUCT((Cap_Point&lt;=I268)*(Cap_Kind="Food")*Cap_Ln))</x:f>
        <x:v>30</x:v>
      </x:c>
      <x:c r="K268" s="32" t="n">
        <x:f>J268*MIN(1,v01_LeanBase*EXP(v01_CapsByProject*SUMPRODUCT((Cap_Point&lt;=I268)*(Cap_Kind="Lean")*Cap_Ln)))</x:f>
        <x:v>30</x:v>
      </x:c>
      <x:c r="L268" s="10" t="n">
        <x:f>INDEX(v01_HousingCap,G268)*EXP(v01_CapsByProject*SUMPRODUCT((Cap_Point&lt;=I268)*(Cap_Kind="Housing")*Cap_Ln))</x:f>
        <x:v>60</x:v>
      </x:c>
      <x:c r="M268" s="10" t="n">
        <x:f>INDEX(v01_GroupCap,G268)*v01_CohesionFactor*EXP(v01_CapsByProject*SUMPRODUCT((Cap_Point&lt;=I268)*(Cap_Kind="Group")*Cap_Ln))</x:f>
        <x:v>100</x:v>
      </x:c>
      <x:c r="N268" s="32" t="n">
        <x:f>MIN(J268,L268,M268)</x:f>
        <x:v>30</x:v>
      </x:c>
      <x:c r="O268" s="10" t="n">
        <x:f>AE267*N268</x:f>
        <x:v>30</x:v>
      </x:c>
      <x:c r="P268" s="9" t="n">
        <x:f>MIN(1,(AB267/(AE267*IF(v01_GroupInCrowding=1,N268,MIN(J268,L268))))^v01_CrowdingExp)</x:f>
        <x:v>0.15081931931728748</x:v>
      </x:c>
      <x:c r="Q268" s="9" t="n">
        <x:f>IF(D268=1,INDEX(v01_WinterMult,G268),1)</x:f>
        <x:v>1</x:v>
      </x:c>
      <x:c r="R268" s="9" t="n">
        <x:f>H268*Z267*v01_WomenShare*v01_BaseFertility*INDEX(v01_FertMult,G268)*Arch_Fertility*(1-P268)</x:f>
        <x:v>0.31490802375188043</x:v>
      </x:c>
      <x:c r="S268" s="9" t="n">
        <x:f>H268*Y267*INDEX(v01_MortChild,G268)/4*Q268</x:f>
        <x:v>0.08090910453799156</x:v>
      </x:c>
      <x:c r="T268" s="9" t="n">
        <x:f>H268*Z267*INDEX(v01_MortAdult,G268)*Arch_AdultMort/4*Q268</x:f>
        <x:v>0.03213924827307788</x:v>
      </x:c>
      <x:c r="U268" s="9" t="n">
        <x:f>H268*AA267*INDEX(v01_MortElder,G268)/4*Q268</x:f>
        <x:v>0.05503618291340924</x:v>
      </x:c>
      <x:c r="V268" s="9" t="n">
        <x:f>H268*MAX(0,AB267-O268)*v01_OvercapLoss</x:f>
        <x:v>0</x:v>
      </x:c>
      <x:c r="W268" s="9" t="n">
        <x:f>H268*Y267/(v01_ChildYears*4)</x:f>
        <x:v>0.1651206215061052</x:v>
      </x:c>
      <x:c r="X268" s="9" t="n">
        <x:f>H268*Z267/(v01_AdultYears*4)</x:f>
        <x:v>0.07974999571483346</x:v>
      </x:c>
      <x:c r="Y268" s="32" t="n">
        <x:f>Y267+R268-S268-W268-Y267*V268/AB267</x:f>
        <x:v>9.315633102049677</x:v>
      </x:c>
      <x:c r="Z268" s="32" t="n">
        <x:f>Z267+W268-X268-T268-Z267*V268/AB267</x:f>
        <x:v>9.942230846157544</x:v>
      </x:c>
      <x:c r="AA268" s="32" t="n">
        <x:f>AA267+X268-U268-AA267*V268/AB267</x:f>
        <x:v>2.7765229584718862</x:v>
      </x:c>
      <x:c r="AB268" s="10" t="n">
        <x:f>Y268+Z268+AA268</x:f>
        <x:v>22.03438690667911</x:v>
      </x:c>
      <x:c r="AC268" s="8" t="n">
        <x:f>IF(AND(v01_WinterTrigger=1,D268=1,AB267/AE267&gt;=K268),1,0)</x:f>
        <x:v>0</x:v>
      </x:c>
      <x:c r="AD268" s="8" t="n">
        <x:f>H268*IF(AND(OR(AB267/AE267&gt;=v01_FissionTrigger*N268,AC268=1),AB267/AE267*v01_DaughterShare&gt;=v01_MinDaughter),MAX(1,ROUND(AE267*v01_FissionRate,0)),0)</x:f>
        <x:v>0</x:v>
      </x:c>
      <x:c r="AE268" s="8" t="n">
        <x:f>IF(H268=1,MAX(1,MIN(INDEX(v01_Smax,G268),AE267+AD268)),AE267)</x:f>
        <x:v>1</x:v>
      </x:c>
      <x:c r="AF268" s="8" t="n">
        <x:f>MAX(0,AE268-AE267)</x:f>
        <x:v>0</x:v>
      </x:c>
      <x:c r="AG268" s="9" t="str">
        <x:f>IF(AF268&gt;0,B268,"")</x:f>
      </x:c>
      <x:c r="AH268" s="9" t="n">
        <x:f>IF(F268&gt;=1,1,(1+v01_LowTiesShare*(AE268-1))/AE268)</x:f>
        <x:v>1</x:v>
      </x:c>
      <x:c r="AI268" s="32" t="n">
        <x:f>(Z268+v01_ElderCommons*INDEX(LM_Elder,G268)*AA268)*AH268</x:f>
        <x:v>16.743295353536432</x:v>
      </x:c>
      <x:c r="AJ268" s="32" t="n">
        <x:f>H268*v01_CommonsCoef*AI268^v01_CommonsExp*INDEX(LM_Commons,G268)</x:f>
        <x:v>7.241169827038828</x:v>
      </x:c>
      <x:c r="AK268" s="32" t="n">
        <x:f>H268*v01_RoleScale*Arch_Roles*(AE268*(INDEX(v01_ElderRolePerSett,G268)*v01_OutElder*INDEX(LM_Elder,G268)+INDEX(v01_ShamanPerSett,G268)*v01_OutShaman)+Z268*(INDEX(v01_PriestShare,G268)*v01_OutPriest+INDEX(v01_ScribeShare,G268)*v01_OutScribe*INDEX(LM_Scribe,G268)+INDEX(v01_ScholarShare,G268)*v01_OutScholar*INDEX(LM_Scholar,G268)+INDEX(v01_ResearcherShare,G268)*v01_OutResearcher*INDEX(LM_Researcher,G268)))</x:f>
        <x:v>1.3623724356957945</x:v>
      </x:c>
      <x:c r="AL268" s="32" t="n">
        <x:f>H268*v01_RoleScale*Arch_Roles*AE268*INDEX(v01_MonasteryPerSett,G268)*v01_OutMonastery*INDEX(LM_Monastery,G268)</x:f>
        <x:v>0</x:v>
      </x:c>
      <x:c r="AM268" s="32" t="n">
        <x:f>(AJ268+AK268+AL268)/4*INDEX(LM_All,G268)*INDEX(v01_Boon,G268)*Arch_Insight</x:f>
        <x:v>2.2046577048257467</x:v>
      </x:c>
      <x:c r="AN268" s="32" t="n">
        <x:f>H268*(v01_KHPerAdult*Z268+v01_KHOfCommons*AJ268/4*INDEX(LM_All,G268))*v01_KHUsable*Arch_KH</x:f>
        <x:v>0.347978079615514</x:v>
      </x:c>
      <x:c r="AO268" s="32" t="n">
        <x:f>MIN(AP267+AN268,AM268*v01_KHMaxRatio)</x:f>
        <x:v>0.347978079615514</x:v>
      </x:c>
      <x:c r="AP268" s="32" t="n">
        <x:f>AP267+AN268-AO268</x:f>
        <x:v>0</x:v>
      </x:c>
      <x:c r="AQ268" s="32" t="n">
        <x:f>AM268+AO268</x:f>
        <x:v>2.552635784441261</x:v>
      </x:c>
      <x:c r="AR268" s="10" t="n">
        <x:f>IF(H268=1,INDEX(v01_Req,G268),0)</x:f>
        <x:v>1067.32</x:v>
      </x:c>
      <x:c r="AS268" s="32" t="n">
        <x:f>IF(H268=1,IF(E268=1,AS267-AR267,AS267)+AQ268,0)</x:f>
        <x:v>75.81812765891786</x:v>
      </x:c>
      <x:c r="AT268" s="11" t="n">
        <x:f>IF(AR268&gt;0,MIN(1,AS268/AR268),1)</x:f>
        <x:v>0.07103598513933765</x:v>
      </x:c>
      <x:c r="AU268" s="10" t="n">
        <x:f>AB268/INDEX(v01_RepScale,G268)</x:f>
        <x:v>22.03438690667911</x:v>
      </x:c>
      <x:c r="AV268" s="32" t="n">
        <x:f>AM268*60/v01_SeasonSeconds</x:f>
        <x:v>8.818630819302987</x:v>
      </x:c>
    </x:row>
    <x:row r="269">
      <x:c r="A269" s="8" t="n">
        <x:f>A268+1</x:f>
        <x:v>266</x:v>
      </x:c>
      <x:c r="B269" s="9" t="n">
        <x:f>A269*v01_SeasonSeconds/60</x:f>
        <x:v>66.5</x:v>
      </x:c>
      <x:c r="C269" s="9" t="n">
        <x:f>A269/4</x:f>
        <x:v>66.5</x:v>
      </x:c>
      <x:c r="D269" s="8" t="n">
        <x:f>IF(MOD(A269,4)=0,1,0)</x:f>
        <x:v>0</x:v>
      </x:c>
      <x:c r="E269" s="8" t="n">
        <x:f>IF(AND(F268&lt;=9,AS268&gt;=AR268),1,0)</x:f>
        <x:v>0</x:v>
      </x:c>
      <x:c r="F269" s="8" t="n">
        <x:f>MIN(10,F268+E269)</x:f>
        <x:v>1</x:v>
      </x:c>
      <x:c r="G269" s="8" t="n">
        <x:f>MIN(F269,9)+1</x:f>
        <x:v>2</x:v>
      </x:c>
      <x:c r="H269" s="8" t="n">
        <x:f>IF(F269&lt;=9,1,0)</x:f>
        <x:v>1</x:v>
      </x:c>
      <x:c r="I269" s="9" t="n">
        <x:f>MIN(10,F268+IF(AR268&gt;0,MIN(1,AS268/AR268),1))</x:f>
        <x:v>1.0710359851393376</x:v>
      </x:c>
      <x:c r="J269" s="32" t="n">
        <x:f>INDEX(v01_FoodCap,G269)*Arch_FoodCap*EXP(v01_CapsByProject*SUMPRODUCT((Cap_Point&lt;=I269)*(Cap_Kind="Food")*Cap_Ln))</x:f>
        <x:v>30</x:v>
      </x:c>
      <x:c r="K269" s="32" t="n">
        <x:f>J269*MIN(1,v01_LeanBase*EXP(v01_CapsByProject*SUMPRODUCT((Cap_Point&lt;=I269)*(Cap_Kind="Lean")*Cap_Ln)))</x:f>
        <x:v>30</x:v>
      </x:c>
      <x:c r="L269" s="10" t="n">
        <x:f>INDEX(v01_HousingCap,G269)*EXP(v01_CapsByProject*SUMPRODUCT((Cap_Point&lt;=I269)*(Cap_Kind="Housing")*Cap_Ln))</x:f>
        <x:v>60</x:v>
      </x:c>
      <x:c r="M269" s="10" t="n">
        <x:f>INDEX(v01_GroupCap,G269)*v01_CohesionFactor*EXP(v01_CapsByProject*SUMPRODUCT((Cap_Point&lt;=I269)*(Cap_Kind="Group")*Cap_Ln))</x:f>
        <x:v>100</x:v>
      </x:c>
      <x:c r="N269" s="32" t="n">
        <x:f>MIN(J269,L269,M269)</x:f>
        <x:v>30</x:v>
      </x:c>
      <x:c r="O269" s="10" t="n">
        <x:f>AE268*N269</x:f>
        <x:v>30</x:v>
      </x:c>
      <x:c r="P269" s="9" t="n">
        <x:f>MIN(1,(AB268/(AE268*IF(v01_GroupInCrowding=1,N269,MIN(J269,L269))))^v01_CrowdingExp)</x:f>
        <x:v>0.15699228040901228</x:v>
      </x:c>
      <x:c r="Q269" s="9" t="n">
        <x:f>IF(D269=1,INDEX(v01_WinterMult,G269),1)</x:f>
        <x:v>1</x:v>
      </x:c>
      <x:c r="R269" s="9" t="n">
        <x:f>H269*Z268*v01_WomenShare*v01_BaseFertility*INDEX(v01_FertMult,G269)*Arch_Fertility*(1-P269)</x:f>
        <x:v>0.3143016507474918</x:v>
      </x:c>
      <x:c r="S269" s="9" t="n">
        <x:f>H269*Y268*INDEX(v01_MortChild,G269)/4*Q269</x:f>
        <x:v>0.08151178964293468</x:v>
      </x:c>
      <x:c r="T269" s="9" t="n">
        <x:f>H269*Z268*INDEX(v01_MortAdult,G269)*Arch_AdultMort/4*Q269</x:f>
        <x:v>0.03231225025001202</x:v>
      </x:c>
      <x:c r="U269" s="9" t="n">
        <x:f>H269*AA268*INDEX(v01_MortElder,G269)/4*Q269</x:f>
        <x:v>0.055530459169437725</x:v>
      </x:c>
      <x:c r="V269" s="9" t="n">
        <x:f>H269*MAX(0,AB268-O269)*v01_OvercapLoss</x:f>
        <x:v>0</x:v>
      </x:c>
      <x:c r="W269" s="9" t="n">
        <x:f>H269*Y268/(v01_ChildYears*4)</x:f>
        <x:v>0.16635059110802994</x:v>
      </x:c>
      <x:c r="X269" s="9" t="n">
        <x:f>H269*Z268/(v01_AdultYears*4)</x:f>
        <x:v>0.08017928101739955</x:v>
      </x:c>
      <x:c r="Y269" s="32" t="n">
        <x:f>Y268+R269-S269-W269-Y268*V269/AB268</x:f>
        <x:v>9.382072372046204</x:v>
      </x:c>
      <x:c r="Z269" s="32" t="n">
        <x:f>Z268+W269-X269-T269-Z268*V269/AB268</x:f>
        <x:v>9.996089905998163</x:v>
      </x:c>
      <x:c r="AA269" s="32" t="n">
        <x:f>AA268+X269-U269-AA268*V269/AB268</x:f>
        <x:v>2.801171780319848</x:v>
      </x:c>
      <x:c r="AB269" s="10" t="n">
        <x:f>Y269+Z269+AA269</x:f>
        <x:v>22.179334058364216</x:v>
      </x:c>
      <x:c r="AC269" s="8" t="n">
        <x:f>IF(AND(v01_WinterTrigger=1,D269=1,AB268/AE268&gt;=K269),1,0)</x:f>
        <x:v>0</x:v>
      </x:c>
      <x:c r="AD269" s="8" t="n">
        <x:f>H269*IF(AND(OR(AB268/AE268&gt;=v01_FissionTrigger*N269,AC269=1),AB268/AE268*v01_DaughterShare&gt;=v01_MinDaughter),MAX(1,ROUND(AE268*v01_FissionRate,0)),0)</x:f>
        <x:v>0</x:v>
      </x:c>
      <x:c r="AE269" s="8" t="n">
        <x:f>IF(H269=1,MAX(1,MIN(INDEX(v01_Smax,G269),AE268+AD269)),AE268)</x:f>
        <x:v>1</x:v>
      </x:c>
      <x:c r="AF269" s="8" t="n">
        <x:f>MAX(0,AE269-AE268)</x:f>
        <x:v>0</x:v>
      </x:c>
      <x:c r="AG269" s="9" t="str">
        <x:f>IF(AF269&gt;0,B269,"")</x:f>
      </x:c>
      <x:c r="AH269" s="9" t="n">
        <x:f>IF(F269&gt;=1,1,(1+v01_LowTiesShare*(AE269-1))/AE269)</x:f>
        <x:v>1</x:v>
      </x:c>
      <x:c r="AI269" s="32" t="n">
        <x:f>(Z269+v01_ElderCommons*INDEX(LM_Elder,G269)*AA269)*AH269</x:f>
        <x:v>16.857531449665323</x:v>
      </x:c>
      <x:c r="AJ269" s="32" t="n">
        <x:f>H269*v01_CommonsCoef*AI269^v01_CommonsExp*INDEX(LM_Commons,G269)</x:f>
        <x:v>7.283142667789284</x:v>
      </x:c>
      <x:c r="AK269" s="32" t="n">
        <x:f>H269*v01_RoleScale*Arch_Roles*(AE269*(INDEX(v01_ElderRolePerSett,G269)*v01_OutElder*INDEX(LM_Elder,G269)+INDEX(v01_ShamanPerSett,G269)*v01_OutShaman)+Z269*(INDEX(v01_PriestShare,G269)*v01_OutPriest+INDEX(v01_ScribeShare,G269)*v01_OutScribe*INDEX(LM_Scribe,G269)+INDEX(v01_ScholarShare,G269)*v01_OutScholar*INDEX(LM_Scholar,G269)+INDEX(v01_ResearcherShare,G269)*v01_OutResearcher*INDEX(LM_Researcher,G269)))</x:f>
        <x:v>1.3623724356957945</x:v>
      </x:c>
      <x:c r="AL269" s="32" t="n">
        <x:f>H269*v01_RoleScale*Arch_Roles*AE269*INDEX(v01_MonasteryPerSett,G269)*v01_OutMonastery*INDEX(LM_Monastery,G269)</x:f>
        <x:v>0</x:v>
      </x:c>
      <x:c r="AM269" s="32" t="n">
        <x:f>(AJ269+AK269+AL269)/4*INDEX(LM_All,G269)*INDEX(v01_Boon,G269)*Arch_Insight</x:f>
        <x:v>2.215413245268051</x:v>
      </x:c>
      <x:c r="AN269" s="32" t="n">
        <x:f>H269*(v01_KHPerAdult*Z269+v01_KHOfCommons*AJ269/4*INDEX(LM_All,G269))*v01_KHUsable*Arch_KH</x:f>
        <x:v>0.3498631467099357</x:v>
      </x:c>
      <x:c r="AO269" s="32" t="n">
        <x:f>MIN(AP268+AN269,AM269*v01_KHMaxRatio)</x:f>
        <x:v>0.3498631467099357</x:v>
      </x:c>
      <x:c r="AP269" s="32" t="n">
        <x:f>AP268+AN269-AO269</x:f>
        <x:v>0</x:v>
      </x:c>
      <x:c r="AQ269" s="32" t="n">
        <x:f>AM269+AO269</x:f>
        <x:v>2.565276391977987</x:v>
      </x:c>
      <x:c r="AR269" s="10" t="n">
        <x:f>IF(H269=1,INDEX(v01_Req,G269),0)</x:f>
        <x:v>1067.32</x:v>
      </x:c>
      <x:c r="AS269" s="32" t="n">
        <x:f>IF(H269=1,IF(E269=1,AS268-AR268,AS268)+AQ269,0)</x:f>
        <x:v>78.38340405089585</x:v>
      </x:c>
      <x:c r="AT269" s="11" t="n">
        <x:f>IF(AR269&gt;0,MIN(1,AS269/AR269),1)</x:f>
        <x:v>0.07343945962869229</x:v>
      </x:c>
      <x:c r="AU269" s="10" t="n">
        <x:f>AB269/INDEX(v01_RepScale,G269)</x:f>
        <x:v>22.179334058364216</x:v>
      </x:c>
      <x:c r="AV269" s="32" t="n">
        <x:f>AM269*60/v01_SeasonSeconds</x:f>
        <x:v>8.861652981072204</x:v>
      </x:c>
    </x:row>
    <x:row r="270">
      <x:c r="A270" s="8" t="n">
        <x:f>A269+1</x:f>
        <x:v>267</x:v>
      </x:c>
      <x:c r="B270" s="9" t="n">
        <x:f>A270*v01_SeasonSeconds/60</x:f>
        <x:v>66.75</x:v>
      </x:c>
      <x:c r="C270" s="9" t="n">
        <x:f>A270/4</x:f>
        <x:v>66.75</x:v>
      </x:c>
      <x:c r="D270" s="8" t="n">
        <x:f>IF(MOD(A270,4)=0,1,0)</x:f>
        <x:v>0</x:v>
      </x:c>
      <x:c r="E270" s="8" t="n">
        <x:f>IF(AND(F269&lt;=9,AS269&gt;=AR269),1,0)</x:f>
        <x:v>0</x:v>
      </x:c>
      <x:c r="F270" s="8" t="n">
        <x:f>MIN(10,F269+E270)</x:f>
        <x:v>1</x:v>
      </x:c>
      <x:c r="G270" s="8" t="n">
        <x:f>MIN(F270,9)+1</x:f>
        <x:v>2</x:v>
      </x:c>
      <x:c r="H270" s="8" t="n">
        <x:f>IF(F270&lt;=9,1,0)</x:f>
        <x:v>1</x:v>
      </x:c>
      <x:c r="I270" s="9" t="n">
        <x:f>MIN(10,F269+IF(AR269&gt;0,MIN(1,AS269/AR269),1))</x:f>
        <x:v>1.0734394596286922</x:v>
      </x:c>
      <x:c r="J270" s="32" t="n">
        <x:f>INDEX(v01_FoodCap,G270)*Arch_FoodCap*EXP(v01_CapsByProject*SUMPRODUCT((Cap_Point&lt;=I270)*(Cap_Kind="Food")*Cap_Ln))</x:f>
        <x:v>30</x:v>
      </x:c>
      <x:c r="K270" s="32" t="n">
        <x:f>J270*MIN(1,v01_LeanBase*EXP(v01_CapsByProject*SUMPRODUCT((Cap_Point&lt;=I270)*(Cap_Kind="Lean")*Cap_Ln)))</x:f>
        <x:v>30</x:v>
      </x:c>
      <x:c r="L270" s="10" t="n">
        <x:f>INDEX(v01_HousingCap,G270)*EXP(v01_CapsByProject*SUMPRODUCT((Cap_Point&lt;=I270)*(Cap_Kind="Housing")*Cap_Ln))</x:f>
        <x:v>60</x:v>
      </x:c>
      <x:c r="M270" s="10" t="n">
        <x:f>INDEX(v01_GroupCap,G270)*v01_CohesionFactor*EXP(v01_CapsByProject*SUMPRODUCT((Cap_Point&lt;=I270)*(Cap_Kind="Group")*Cap_Ln))</x:f>
        <x:v>100</x:v>
      </x:c>
      <x:c r="N270" s="32" t="n">
        <x:f>MIN(J270,L270,M270)</x:f>
        <x:v>30</x:v>
      </x:c>
      <x:c r="O270" s="10" t="n">
        <x:f>AE269*N270</x:f>
        <x:v>30</x:v>
      </x:c>
      <x:c r="P270" s="9" t="n">
        <x:f>MIN(1,(AB269/(AE269*IF(v01_GroupInCrowding=1,N270,MIN(J270,L270))))^v01_CrowdingExp)</x:f>
        <x:v>0.16329146475114986</x:v>
      </x:c>
      <x:c r="Q270" s="9" t="n">
        <x:f>IF(D270=1,INDEX(v01_WinterMult,G270),1)</x:f>
        <x:v>1</x:v>
      </x:c>
      <x:c r="R270" s="9" t="n">
        <x:f>H270*Z269*v01_WomenShare*v01_BaseFertility*INDEX(v01_FertMult,G270)*Arch_Fertility*(1-P270)</x:f>
        <x:v>0.3136430153798827</x:v>
      </x:c>
      <x:c r="S270" s="9" t="n">
        <x:f>H270*Y269*INDEX(v01_MortChild,G270)/4*Q270</x:f>
        <x:v>0.0820931332554043</x:v>
      </x:c>
      <x:c r="T270" s="9" t="n">
        <x:f>H270*Z269*INDEX(v01_MortAdult,G270)*Arch_AdultMort/4*Q270</x:f>
        <x:v>0.032487292194494026</x:v>
      </x:c>
      <x:c r="U270" s="9" t="n">
        <x:f>H270*AA269*INDEX(v01_MortElder,G270)/4*Q270</x:f>
        <x:v>0.05602343560639696</x:v>
      </x:c>
      <x:c r="V270" s="9" t="n">
        <x:f>H270*MAX(0,AB269-O270)*v01_OvercapLoss</x:f>
        <x:v>0</x:v>
      </x:c>
      <x:c r="W270" s="9" t="n">
        <x:f>H270*Y269/(v01_ChildYears*4)</x:f>
        <x:v>0.16753700664368223</x:v>
      </x:c>
      <x:c r="X270" s="9" t="n">
        <x:f>H270*Z269/(v01_AdultYears*4)</x:f>
        <x:v>0.08061362827417874</x:v>
      </x:c>
      <x:c r="Y270" s="32" t="n">
        <x:f>Y269+R270-S270-W270-Y269*V270/AB269</x:f>
        <x:v>9.446085247527002</x:v>
      </x:c>
      <x:c r="Z270" s="32" t="n">
        <x:f>Z269+W270-X270-T270-Z269*V270/AB269</x:f>
        <x:v>10.050525992173172</x:v>
      </x:c>
      <x:c r="AA270" s="32" t="n">
        <x:f>AA269+X270-U270-AA269*V270/AB269</x:f>
        <x:v>2.82576197298763</x:v>
      </x:c>
      <x:c r="AB270" s="10" t="n">
        <x:f>Y270+Z270+AA270</x:f>
        <x:v>22.3223732126878</x:v>
      </x:c>
      <x:c r="AC270" s="8" t="n">
        <x:f>IF(AND(v01_WinterTrigger=1,D270=1,AB269/AE269&gt;=K270),1,0)</x:f>
        <x:v>0</x:v>
      </x:c>
      <x:c r="AD270" s="8" t="n">
        <x:f>H270*IF(AND(OR(AB269/AE269&gt;=v01_FissionTrigger*N270,AC270=1),AB269/AE269*v01_DaughterShare&gt;=v01_MinDaughter),MAX(1,ROUND(AE269*v01_FissionRate,0)),0)</x:f>
        <x:v>0</x:v>
      </x:c>
      <x:c r="AE270" s="8" t="n">
        <x:f>IF(H270=1,MAX(1,MIN(INDEX(v01_Smax,G270),AE269+AD270)),AE269)</x:f>
        <x:v>1</x:v>
      </x:c>
      <x:c r="AF270" s="8" t="n">
        <x:f>MAX(0,AE270-AE269)</x:f>
        <x:v>0</x:v>
      </x:c>
      <x:c r="AG270" s="9" t="str">
        <x:f>IF(AF270&gt;0,B270,"")</x:f>
      </x:c>
      <x:c r="AH270" s="9" t="n">
        <x:f>IF(F270&gt;=1,1,(1+v01_LowTiesShare*(AE270-1))/AE270)</x:f>
        <x:v>1</x:v>
      </x:c>
      <x:c r="AI270" s="32" t="n">
        <x:f>(Z270+v01_ElderCommons*INDEX(LM_Elder,G270)*AA270)*AH270</x:f>
        <x:v>16.972200960553128</x:v>
      </x:c>
      <x:c r="AJ270" s="32" t="n">
        <x:f>H270*v01_CommonsCoef*AI270^v01_CommonsExp*INDEX(LM_Commons,G270)</x:f>
        <x:v>7.325231868628897</x:v>
      </x:c>
      <x:c r="AK270" s="32" t="n">
        <x:f>H270*v01_RoleScale*Arch_Roles*(AE270*(INDEX(v01_ElderRolePerSett,G270)*v01_OutElder*INDEX(LM_Elder,G270)+INDEX(v01_ShamanPerSett,G270)*v01_OutShaman)+Z270*(INDEX(v01_PriestShare,G270)*v01_OutPriest+INDEX(v01_ScribeShare,G270)*v01_OutScribe*INDEX(LM_Scribe,G270)+INDEX(v01_ScholarShare,G270)*v01_OutScholar*INDEX(LM_Scholar,G270)+INDEX(v01_ResearcherShare,G270)*v01_OutResearcher*INDEX(LM_Researcher,G270)))</x:f>
        <x:v>1.3623724356957945</x:v>
      </x:c>
      <x:c r="AL270" s="32" t="n">
        <x:f>H270*v01_RoleScale*Arch_Roles*AE270*INDEX(v01_MonasteryPerSett,G270)*v01_OutMonastery*INDEX(LM_Monastery,G270)</x:f>
        <x:v>0</x:v>
      </x:c>
      <x:c r="AM270" s="32" t="n">
        <x:f>(AJ270+AK270+AL270)/4*INDEX(LM_All,G270)*INDEX(v01_Boon,G270)*Arch_Insight</x:f>
        <x:v>2.226198602983202</x:v>
      </x:c>
      <x:c r="AN270" s="32" t="n">
        <x:f>H270*(v01_KHPerAdult*Z270+v01_KHOfCommons*AJ270/4*INDEX(LM_All,G270))*v01_KHUsable*Arch_KH</x:f>
        <x:v>0.35176840972606105</x:v>
      </x:c>
      <x:c r="AO270" s="32" t="n">
        <x:f>MIN(AP269+AN270,AM270*v01_KHMaxRatio)</x:f>
        <x:v>0.35176840972606105</x:v>
      </x:c>
      <x:c r="AP270" s="32" t="n">
        <x:f>AP269+AN270-AO270</x:f>
        <x:v>0</x:v>
      </x:c>
      <x:c r="AQ270" s="32" t="n">
        <x:f>AM270+AO270</x:f>
        <x:v>2.577967012709263</x:v>
      </x:c>
      <x:c r="AR270" s="10" t="n">
        <x:f>IF(H270=1,INDEX(v01_Req,G270),0)</x:f>
        <x:v>1067.32</x:v>
      </x:c>
      <x:c r="AS270" s="32" t="n">
        <x:f>IF(H270=1,IF(E270=1,AS269-AR269,AS269)+AQ270,0)</x:f>
        <x:v>80.96137106360511</x:v>
      </x:c>
      <x:c r="AT270" s="11" t="n">
        <x:f>IF(AR270&gt;0,MIN(1,AS270/AR270),1)</x:f>
        <x:v>0.0758548242922508</x:v>
      </x:c>
      <x:c r="AU270" s="10" t="n">
        <x:f>AB270/INDEX(v01_RepScale,G270)</x:f>
        <x:v>22.3223732126878</x:v>
      </x:c>
      <x:c r="AV270" s="32" t="n">
        <x:f>AM270*60/v01_SeasonSeconds</x:f>
        <x:v>8.904794411932809</x:v>
      </x:c>
    </x:row>
    <x:row r="271">
      <x:c r="A271" s="8" t="n">
        <x:f>A270+1</x:f>
        <x:v>268</x:v>
      </x:c>
      <x:c r="B271" s="9" t="n">
        <x:f>A271*v01_SeasonSeconds/60</x:f>
        <x:v>67</x:v>
      </x:c>
      <x:c r="C271" s="9" t="n">
        <x:f>A271/4</x:f>
        <x:v>67</x:v>
      </x:c>
      <x:c r="D271" s="8" t="n">
        <x:f>IF(MOD(A271,4)=0,1,0)</x:f>
        <x:v>1</x:v>
      </x:c>
      <x:c r="E271" s="8" t="n">
        <x:f>IF(AND(F270&lt;=9,AS270&gt;=AR270),1,0)</x:f>
        <x:v>0</x:v>
      </x:c>
      <x:c r="F271" s="8" t="n">
        <x:f>MIN(10,F270+E271)</x:f>
        <x:v>1</x:v>
      </x:c>
      <x:c r="G271" s="8" t="n">
        <x:f>MIN(F271,9)+1</x:f>
        <x:v>2</x:v>
      </x:c>
      <x:c r="H271" s="8" t="n">
        <x:f>IF(F271&lt;=9,1,0)</x:f>
        <x:v>1</x:v>
      </x:c>
      <x:c r="I271" s="9" t="n">
        <x:f>MIN(10,F270+IF(AR270&gt;0,MIN(1,AS270/AR270),1))</x:f>
        <x:v>1.0758548242922508</x:v>
      </x:c>
      <x:c r="J271" s="32" t="n">
        <x:f>INDEX(v01_FoodCap,G271)*Arch_FoodCap*EXP(v01_CapsByProject*SUMPRODUCT((Cap_Point&lt;=I271)*(Cap_Kind="Food")*Cap_Ln))</x:f>
        <x:v>30</x:v>
      </x:c>
      <x:c r="K271" s="32" t="n">
        <x:f>J271*MIN(1,v01_LeanBase*EXP(v01_CapsByProject*SUMPRODUCT((Cap_Point&lt;=I271)*(Cap_Kind="Lean")*Cap_Ln)))</x:f>
        <x:v>30</x:v>
      </x:c>
      <x:c r="L271" s="10" t="n">
        <x:f>INDEX(v01_HousingCap,G271)*EXP(v01_CapsByProject*SUMPRODUCT((Cap_Point&lt;=I271)*(Cap_Kind="Housing")*Cap_Ln))</x:f>
        <x:v>60</x:v>
      </x:c>
      <x:c r="M271" s="10" t="n">
        <x:f>INDEX(v01_GroupCap,G271)*v01_CohesionFactor*EXP(v01_CapsByProject*SUMPRODUCT((Cap_Point&lt;=I271)*(Cap_Kind="Group")*Cap_Ln))</x:f>
        <x:v>100</x:v>
      </x:c>
      <x:c r="N271" s="32" t="n">
        <x:f>MIN(J271,L271,M271)</x:f>
        <x:v>30</x:v>
      </x:c>
      <x:c r="O271" s="10" t="n">
        <x:f>AE270*N271</x:f>
        <x:v>30</x:v>
      </x:c>
      <x:c r="P271" s="9" t="n">
        <x:f>MIN(1,(AB270/(AE270*IF(v01_GroupInCrowding=1,N271,MIN(J271,L271))))^v01_CrowdingExp)</x:f>
        <x:v>0.16971282443081936</x:v>
      </x:c>
      <x:c r="Q271" s="9" t="n">
        <x:f>IF(D271=1,INDEX(v01_WinterMult,G271),1)</x:f>
        <x:v>1.6</x:v>
      </x:c>
      <x:c r="R271" s="9" t="n">
        <x:f>H271*Z270*v01_WomenShare*v01_BaseFertility*INDEX(v01_FertMult,G271)*Arch_Fertility*(1-P271)</x:f>
        <x:v>0.3129308564634788</x:v>
      </x:c>
      <x:c r="S271" s="9" t="n">
        <x:f>H271*Y270*INDEX(v01_MortChild,G271)/4*Q271</x:f>
        <x:v>0.13224519346537805</x:v>
      </x:c>
      <x:c r="T271" s="9" t="n">
        <x:f>H271*Z270*INDEX(v01_MortAdult,G271)*Arch_AdultMort/4*Q271</x:f>
        <x:v>0.0522627351593005</x:v>
      </x:c>
      <x:c r="U271" s="9" t="n">
        <x:f>H271*AA270*INDEX(v01_MortElder,G271)/4*Q271</x:f>
        <x:v>0.09042438313560416</x:v>
      </x:c>
      <x:c r="V271" s="9" t="n">
        <x:f>H271*MAX(0,AB270-O271)*v01_OvercapLoss</x:f>
        <x:v>0</x:v>
      </x:c>
      <x:c r="W271" s="9" t="n">
        <x:f>H271*Y270/(v01_ChildYears*4)</x:f>
        <x:v>0.1686800937058393</x:v>
      </x:c>
      <x:c r="X271" s="9" t="n">
        <x:f>H271*Z270/(v01_AdultYears*4)</x:f>
        <x:v>0.0810526289691385</x:v>
      </x:c>
      <x:c r="Y271" s="32" t="n">
        <x:f>Y270+R271-S271-W271-Y270*V271/AB270</x:f>
        <x:v>9.458090816819263</x:v>
      </x:c>
      <x:c r="Z271" s="32" t="n">
        <x:f>Z270+W271-X271-T271-Z270*V271/AB270</x:f>
        <x:v>10.085890721750573</x:v>
      </x:c>
      <x:c r="AA271" s="32" t="n">
        <x:f>AA270+X271-U271-AA270*V271/AB270</x:f>
        <x:v>2.8163902188211645</x:v>
      </x:c>
      <x:c r="AB271" s="10" t="n">
        <x:f>Y271+Z271+AA271</x:f>
        <x:v>22.360371757391004</x:v>
      </x:c>
      <x:c r="AC271" s="8" t="n">
        <x:f>IF(AND(v01_WinterTrigger=1,D271=1,AB270/AE270&gt;=K271),1,0)</x:f>
        <x:v>0</x:v>
      </x:c>
      <x:c r="AD271" s="8" t="n">
        <x:f>H271*IF(AND(OR(AB270/AE270&gt;=v01_FissionTrigger*N271,AC271=1),AB270/AE270*v01_DaughterShare&gt;=v01_MinDaughter),MAX(1,ROUND(AE270*v01_FissionRate,0)),0)</x:f>
        <x:v>0</x:v>
      </x:c>
      <x:c r="AE271" s="8" t="n">
        <x:f>IF(H271=1,MAX(1,MIN(INDEX(v01_Smax,G271),AE270+AD271)),AE270)</x:f>
        <x:v>1</x:v>
      </x:c>
      <x:c r="AF271" s="8" t="n">
        <x:f>MAX(0,AE271-AE270)</x:f>
        <x:v>0</x:v>
      </x:c>
      <x:c r="AG271" s="9" t="str">
        <x:f>IF(AF271&gt;0,B271,"")</x:f>
      </x:c>
      <x:c r="AH271" s="9" t="n">
        <x:f>IF(F271&gt;=1,1,(1+v01_LowTiesShare*(AE271-1))/AE271)</x:f>
        <x:v>1</x:v>
      </x:c>
      <x:c r="AI271" s="32" t="n">
        <x:f>(Z271+v01_ElderCommons*INDEX(LM_Elder,G271)*AA271)*AH271</x:f>
        <x:v>16.984609674427887</x:v>
      </x:c>
      <x:c r="AJ271" s="32" t="n">
        <x:f>H271*v01_CommonsCoef*AI271^v01_CommonsExp*INDEX(LM_Commons,G271)</x:f>
        <x:v>7.329783898453845</x:v>
      </x:c>
      <x:c r="AK271" s="32" t="n">
        <x:f>H271*v01_RoleScale*Arch_Roles*(AE271*(INDEX(v01_ElderRolePerSett,G271)*v01_OutElder*INDEX(LM_Elder,G271)+INDEX(v01_ShamanPerSett,G271)*v01_OutShaman)+Z271*(INDEX(v01_PriestShare,G271)*v01_OutPriest+INDEX(v01_ScribeShare,G271)*v01_OutScribe*INDEX(LM_Scribe,G271)+INDEX(v01_ScholarShare,G271)*v01_OutScholar*INDEX(LM_Scholar,G271)+INDEX(v01_ResearcherShare,G271)*v01_OutResearcher*INDEX(LM_Researcher,G271)))</x:f>
        <x:v>1.3623724356957945</x:v>
      </x:c>
      <x:c r="AL271" s="32" t="n">
        <x:f>H271*v01_RoleScale*Arch_Roles*AE271*INDEX(v01_MonasteryPerSett,G271)*v01_OutMonastery*INDEX(LM_Monastery,G271)</x:f>
        <x:v>0</x:v>
      </x:c>
      <x:c r="AM271" s="32" t="n">
        <x:f>(AJ271+AK271+AL271)/4*INDEX(LM_All,G271)*INDEX(v01_Boon,G271)*Arch_Insight</x:f>
        <x:v>2.2273650606258446</x:v>
      </x:c>
      <x:c r="AN271" s="32" t="n">
        <x:f>H271*(v01_KHPerAdult*Z271+v01_KHOfCommons*AJ271/4*INDEX(LM_All,G271))*v01_KHUsable*Arch_KH</x:f>
        <x:v>0.3530061752612701</x:v>
      </x:c>
      <x:c r="AO271" s="32" t="n">
        <x:f>MIN(AP270+AN271,AM271*v01_KHMaxRatio)</x:f>
        <x:v>0.3530061752612701</x:v>
      </x:c>
      <x:c r="AP271" s="32" t="n">
        <x:f>AP270+AN271-AO271</x:f>
        <x:v>0</x:v>
      </x:c>
      <x:c r="AQ271" s="32" t="n">
        <x:f>AM271+AO271</x:f>
        <x:v>2.5803712358871147</x:v>
      </x:c>
      <x:c r="AR271" s="10" t="n">
        <x:f>IF(H271=1,INDEX(v01_Req,G271),0)</x:f>
        <x:v>1067.32</x:v>
      </x:c>
      <x:c r="AS271" s="32" t="n">
        <x:f>IF(H271=1,IF(E271=1,AS270-AR270,AS270)+AQ271,0)</x:f>
        <x:v>83.54174229949223</x:v>
      </x:c>
      <x:c r="AT271" s="11" t="n">
        <x:f>IF(AR271&gt;0,MIN(1,AS271/AR271),1)</x:f>
        <x:v>0.07827244153533358</x:v>
      </x:c>
      <x:c r="AU271" s="10" t="n">
        <x:f>AB271/INDEX(v01_RepScale,G271)</x:f>
        <x:v>22.360371757391004</x:v>
      </x:c>
      <x:c r="AV271" s="32" t="n">
        <x:f>AM271*60/v01_SeasonSeconds</x:f>
        <x:v>8.909460242503378</x:v>
      </x:c>
    </x:row>
    <x:row r="272">
      <x:c r="A272" s="8" t="n">
        <x:f>A271+1</x:f>
        <x:v>269</x:v>
      </x:c>
      <x:c r="B272" s="9" t="n">
        <x:f>A272*v01_SeasonSeconds/60</x:f>
        <x:v>67.25</x:v>
      </x:c>
      <x:c r="C272" s="9" t="n">
        <x:f>A272/4</x:f>
        <x:v>67.25</x:v>
      </x:c>
      <x:c r="D272" s="8" t="n">
        <x:f>IF(MOD(A272,4)=0,1,0)</x:f>
        <x:v>0</x:v>
      </x:c>
      <x:c r="E272" s="8" t="n">
        <x:f>IF(AND(F271&lt;=9,AS271&gt;=AR271),1,0)</x:f>
        <x:v>0</x:v>
      </x:c>
      <x:c r="F272" s="8" t="n">
        <x:f>MIN(10,F271+E272)</x:f>
        <x:v>1</x:v>
      </x:c>
      <x:c r="G272" s="8" t="n">
        <x:f>MIN(F272,9)+1</x:f>
        <x:v>2</x:v>
      </x:c>
      <x:c r="H272" s="8" t="n">
        <x:f>IF(F272&lt;=9,1,0)</x:f>
        <x:v>1</x:v>
      </x:c>
      <x:c r="I272" s="9" t="n">
        <x:f>MIN(10,F271+IF(AR271&gt;0,MIN(1,AS271/AR271),1))</x:f>
        <x:v>1.0782724415353335</x:v>
      </x:c>
      <x:c r="J272" s="32" t="n">
        <x:f>INDEX(v01_FoodCap,G272)*Arch_FoodCap*EXP(v01_CapsByProject*SUMPRODUCT((Cap_Point&lt;=I272)*(Cap_Kind="Food")*Cap_Ln))</x:f>
        <x:v>30</x:v>
      </x:c>
      <x:c r="K272" s="32" t="n">
        <x:f>J272*MIN(1,v01_LeanBase*EXP(v01_CapsByProject*SUMPRODUCT((Cap_Point&lt;=I272)*(Cap_Kind="Lean")*Cap_Ln)))</x:f>
        <x:v>30</x:v>
      </x:c>
      <x:c r="L272" s="10" t="n">
        <x:f>INDEX(v01_HousingCap,G272)*EXP(v01_CapsByProject*SUMPRODUCT((Cap_Point&lt;=I272)*(Cap_Kind="Housing")*Cap_Ln))</x:f>
        <x:v>60</x:v>
      </x:c>
      <x:c r="M272" s="10" t="n">
        <x:f>INDEX(v01_GroupCap,G272)*v01_CohesionFactor*EXP(v01_CapsByProject*SUMPRODUCT((Cap_Point&lt;=I272)*(Cap_Kind="Group")*Cap_Ln))</x:f>
        <x:v>100</x:v>
      </x:c>
      <x:c r="N272" s="32" t="n">
        <x:f>MIN(J272,L272,M272)</x:f>
        <x:v>30</x:v>
      </x:c>
      <x:c r="O272" s="10" t="n">
        <x:f>AE271*N272</x:f>
        <x:v>30</x:v>
      </x:c>
      <x:c r="P272" s="9" t="n">
        <x:f>MIN(1,(AB271/(AE271*IF(v01_GroupInCrowding=1,N272,MIN(J272,L272))))^v01_CrowdingExp)</x:f>
        <x:v>0.17145359277251704</x:v>
      </x:c>
      <x:c r="Q272" s="9" t="n">
        <x:f>IF(D272=1,INDEX(v01_WinterMult,G272),1)</x:f>
        <x:v>1</x:v>
      </x:c>
      <x:c r="R272" s="9" t="n">
        <x:f>H272*Z271*v01_WomenShare*v01_BaseFertility*INDEX(v01_FertMult,G272)*Arch_Fertility*(1-P272)</x:f>
        <x:v>0.3133735695448291</x:v>
      </x:c>
      <x:c r="S272" s="9" t="n">
        <x:f>H272*Y271*INDEX(v01_MortChild,G272)/4*Q272</x:f>
        <x:v>0.08275829464716856</x:v>
      </x:c>
      <x:c r="T272" s="9" t="n">
        <x:f>H272*Z271*INDEX(v01_MortAdult,G272)*Arch_AdultMort/4*Q272</x:f>
        <x:v>0.03277914484568936</x:v>
      </x:c>
      <x:c r="U272" s="9" t="n">
        <x:f>H272*AA271*INDEX(v01_MortElder,G272)/4*Q272</x:f>
        <x:v>0.05632780437642329</x:v>
      </x:c>
      <x:c r="V272" s="9" t="n">
        <x:f>H272*MAX(0,AB271-O272)*v01_OvercapLoss</x:f>
        <x:v>0</x:v>
      </x:c>
      <x:c r="W272" s="9" t="n">
        <x:f>H272*Y271/(v01_ChildYears*4)</x:f>
        <x:v>0.16889447887177256</x:v>
      </x:c>
      <x:c r="X272" s="9" t="n">
        <x:f>H272*Z271/(v01_AdultYears*4)</x:f>
        <x:v>0.0813378284012143</x:v>
      </x:c>
      <x:c r="Y272" s="32" t="n">
        <x:f>Y271+R272-S272-W272-Y271*V272/AB271</x:f>
        <x:v>9.519811612845151</x:v>
      </x:c>
      <x:c r="Z272" s="32" t="n">
        <x:f>Z271+W272-X272-T272-Z271*V272/AB271</x:f>
        <x:v>10.140668227375443</x:v>
      </x:c>
      <x:c r="AA272" s="32" t="n">
        <x:f>AA271+X272-U272-AA271*V272/AB271</x:f>
        <x:v>2.8414002428459555</x:v>
      </x:c>
      <x:c r="AB272" s="10" t="n">
        <x:f>Y272+Z272+AA272</x:f>
        <x:v>22.501880083066553</x:v>
      </x:c>
      <x:c r="AC272" s="8" t="n">
        <x:f>IF(AND(v01_WinterTrigger=1,D272=1,AB271/AE271&gt;=K272),1,0)</x:f>
        <x:v>0</x:v>
      </x:c>
      <x:c r="AD272" s="8" t="n">
        <x:f>H272*IF(AND(OR(AB271/AE271&gt;=v01_FissionTrigger*N272,AC272=1),AB271/AE271*v01_DaughterShare&gt;=v01_MinDaughter),MAX(1,ROUND(AE271*v01_FissionRate,0)),0)</x:f>
        <x:v>0</x:v>
      </x:c>
      <x:c r="AE272" s="8" t="n">
        <x:f>IF(H272=1,MAX(1,MIN(INDEX(v01_Smax,G272),AE271+AD272)),AE271)</x:f>
        <x:v>1</x:v>
      </x:c>
      <x:c r="AF272" s="8" t="n">
        <x:f>MAX(0,AE272-AE271)</x:f>
        <x:v>0</x:v>
      </x:c>
      <x:c r="AG272" s="9" t="str">
        <x:f>IF(AF272&gt;0,B272,"")</x:f>
      </x:c>
      <x:c r="AH272" s="9" t="n">
        <x:f>IF(F272&gt;=1,1,(1+v01_LowTiesShare*(AE272-1))/AE272)</x:f>
        <x:v>1</x:v>
      </x:c>
      <x:c r="AI272" s="32" t="n">
        <x:f>(Z272+v01_ElderCommons*INDEX(LM_Elder,G272)*AA272)*AH272</x:f>
        <x:v>17.10064897736824</x:v>
      </x:c>
      <x:c r="AJ272" s="32" t="n">
        <x:f>H272*v01_CommonsCoef*AI272^v01_CommonsExp*INDEX(LM_Commons,G272)</x:f>
        <x:v>7.372327830618397</x:v>
      </x:c>
      <x:c r="AK272" s="32" t="n">
        <x:f>H272*v01_RoleScale*Arch_Roles*(AE272*(INDEX(v01_ElderRolePerSett,G272)*v01_OutElder*INDEX(LM_Elder,G272)+INDEX(v01_ShamanPerSett,G272)*v01_OutShaman)+Z272*(INDEX(v01_PriestShare,G272)*v01_OutPriest+INDEX(v01_ScribeShare,G272)*v01_OutScribe*INDEX(LM_Scribe,G272)+INDEX(v01_ScholarShare,G272)*v01_OutScholar*INDEX(LM_Scholar,G272)+INDEX(v01_ResearcherShare,G272)*v01_OutResearcher*INDEX(LM_Researcher,G272)))</x:f>
        <x:v>1.3623724356957945</x:v>
      </x:c>
      <x:c r="AL272" s="32" t="n">
        <x:f>H272*v01_RoleScale*Arch_Roles*AE272*INDEX(v01_MonasteryPerSett,G272)*v01_OutMonastery*INDEX(LM_Monastery,G272)</x:f>
        <x:v>0</x:v>
      </x:c>
      <x:c r="AM272" s="32" t="n">
        <x:f>(AJ272+AK272+AL272)/4*INDEX(LM_All,G272)*INDEX(v01_Boon,G272)*Arch_Insight</x:f>
        <x:v>2.238266943243011</x:v>
      </x:c>
      <x:c r="AN272" s="32" t="n">
        <x:f>H272*(v01_KHPerAdult*Z272+v01_KHOfCommons*AJ272/4*INDEX(LM_All,G272))*v01_KHUsable*Arch_KH</x:f>
        <x:v>0.35492338795814043</x:v>
      </x:c>
      <x:c r="AO272" s="32" t="n">
        <x:f>MIN(AP271+AN272,AM272*v01_KHMaxRatio)</x:f>
        <x:v>0.35492338795814043</x:v>
      </x:c>
      <x:c r="AP272" s="32" t="n">
        <x:f>AP271+AN272-AO272</x:f>
        <x:v>0</x:v>
      </x:c>
      <x:c r="AQ272" s="32" t="n">
        <x:f>AM272+AO272</x:f>
        <x:v>2.5931903312011517</x:v>
      </x:c>
      <x:c r="AR272" s="10" t="n">
        <x:f>IF(H272=1,INDEX(v01_Req,G272),0)</x:f>
        <x:v>1067.32</x:v>
      </x:c>
      <x:c r="AS272" s="32" t="n">
        <x:f>IF(H272=1,IF(E272=1,AS271-AR271,AS271)+AQ272,0)</x:f>
        <x:v>86.13493263069338</x:v>
      </x:c>
      <x:c r="AT272" s="11" t="n">
        <x:f>IF(AR272&gt;0,MIN(1,AS272/AR272),1)</x:f>
        <x:v>0.08070206932381421</x:v>
      </x:c>
      <x:c r="AU272" s="10" t="n">
        <x:f>AB272/INDEX(v01_RepScale,G272)</x:f>
        <x:v>22.501880083066553</x:v>
      </x:c>
      <x:c r="AV272" s="32" t="n">
        <x:f>AM272*60/v01_SeasonSeconds</x:f>
        <x:v>8.953067772972044</x:v>
      </x:c>
    </x:row>
    <x:row r="273">
      <x:c r="A273" s="8" t="n">
        <x:f>A272+1</x:f>
        <x:v>270</x:v>
      </x:c>
      <x:c r="B273" s="9" t="n">
        <x:f>A273*v01_SeasonSeconds/60</x:f>
        <x:v>67.5</x:v>
      </x:c>
      <x:c r="C273" s="9" t="n">
        <x:f>A273/4</x:f>
        <x:v>67.5</x:v>
      </x:c>
      <x:c r="D273" s="8" t="n">
        <x:f>IF(MOD(A273,4)=0,1,0)</x:f>
        <x:v>0</x:v>
      </x:c>
      <x:c r="E273" s="8" t="n">
        <x:f>IF(AND(F272&lt;=9,AS272&gt;=AR272),1,0)</x:f>
        <x:v>0</x:v>
      </x:c>
      <x:c r="F273" s="8" t="n">
        <x:f>MIN(10,F272+E273)</x:f>
        <x:v>1</x:v>
      </x:c>
      <x:c r="G273" s="8" t="n">
        <x:f>MIN(F273,9)+1</x:f>
        <x:v>2</x:v>
      </x:c>
      <x:c r="H273" s="8" t="n">
        <x:f>IF(F273&lt;=9,1,0)</x:f>
        <x:v>1</x:v>
      </x:c>
      <x:c r="I273" s="9" t="n">
        <x:f>MIN(10,F272+IF(AR272&gt;0,MIN(1,AS272/AR272),1))</x:f>
        <x:v>1.0807020693238143</x:v>
      </x:c>
      <x:c r="J273" s="32" t="n">
        <x:f>INDEX(v01_FoodCap,G273)*Arch_FoodCap*EXP(v01_CapsByProject*SUMPRODUCT((Cap_Point&lt;=I273)*(Cap_Kind="Food")*Cap_Ln))</x:f>
        <x:v>30</x:v>
      </x:c>
      <x:c r="K273" s="32" t="n">
        <x:f>J273*MIN(1,v01_LeanBase*EXP(v01_CapsByProject*SUMPRODUCT((Cap_Point&lt;=I273)*(Cap_Kind="Lean")*Cap_Ln)))</x:f>
        <x:v>30</x:v>
      </x:c>
      <x:c r="L273" s="10" t="n">
        <x:f>INDEX(v01_HousingCap,G273)*EXP(v01_CapsByProject*SUMPRODUCT((Cap_Point&lt;=I273)*(Cap_Kind="Housing")*Cap_Ln))</x:f>
        <x:v>60</x:v>
      </x:c>
      <x:c r="M273" s="10" t="n">
        <x:f>INDEX(v01_GroupCap,G273)*v01_CohesionFactor*EXP(v01_CapsByProject*SUMPRODUCT((Cap_Point&lt;=I273)*(Cap_Kind="Group")*Cap_Ln))</x:f>
        <x:v>100</x:v>
      </x:c>
      <x:c r="N273" s="32" t="n">
        <x:f>MIN(J273,L273,M273)</x:f>
        <x:v>30</x:v>
      </x:c>
      <x:c r="O273" s="10" t="n">
        <x:f>AE272*N273</x:f>
        <x:v>30</x:v>
      </x:c>
      <x:c r="P273" s="9" t="n">
        <x:f>MIN(1,(AB272/(AE272*IF(v01_GroupInCrowding=1,N273,MIN(J273,L273))))^v01_CrowdingExp)</x:f>
        <x:v>0.17806776477207795</x:v>
      </x:c>
      <x:c r="Q273" s="9" t="n">
        <x:f>IF(D273=1,INDEX(v01_WinterMult,G273),1)</x:f>
        <x:v>1</x:v>
      </x:c>
      <x:c r="R273" s="9" t="n">
        <x:f>H273*Z272*v01_WomenShare*v01_BaseFertility*INDEX(v01_FertMult,G273)*Arch_Fertility*(1-P273)</x:f>
        <x:v>0.31256032885618</x:v>
      </x:c>
      <x:c r="S273" s="9" t="n">
        <x:f>H273*Y272*INDEX(v01_MortChild,G273)/4*Q273</x:f>
        <x:v>0.08329835161239509</x:v>
      </x:c>
      <x:c r="T273" s="9" t="n">
        <x:f>H273*Z272*INDEX(v01_MortAdult,G273)*Arch_AdultMort/4*Q273</x:f>
        <x:v>0.032957171738970184</x:v>
      </x:c>
      <x:c r="U273" s="9" t="n">
        <x:f>H273*AA272*INDEX(v01_MortElder,G273)/4*Q273</x:f>
        <x:v>0.05682800485691911</x:v>
      </x:c>
      <x:c r="V273" s="9" t="n">
        <x:f>H273*MAX(0,AB272-O273)*v01_OvercapLoss</x:f>
        <x:v>0</x:v>
      </x:c>
      <x:c r="W273" s="9" t="n">
        <x:f>H273*Y272/(v01_ChildYears*4)</x:f>
        <x:v>0.1699966359436634</x:v>
      </x:c>
      <x:c r="X273" s="9" t="n">
        <x:f>H273*Z272/(v01_AdultYears*4)</x:f>
        <x:v>0.08177958247883421</x:v>
      </x:c>
      <x:c r="Y273" s="32" t="n">
        <x:f>Y272+R273-S273-W273-Y272*V273/AB272</x:f>
        <x:v>9.579076954145274</x:v>
      </x:c>
      <x:c r="Z273" s="32" t="n">
        <x:f>Z272+W273-X273-T273-Z272*V273/AB272</x:f>
        <x:v>10.195928109101303</x:v>
      </x:c>
      <x:c r="AA273" s="32" t="n">
        <x:f>AA272+X273-U273-AA272*V273/AB272</x:f>
        <x:v>2.8663518204678704</x:v>
      </x:c>
      <x:c r="AB273" s="10" t="n">
        <x:f>Y273+Z273+AA273</x:f>
        <x:v>22.641356883714444</x:v>
      </x:c>
      <x:c r="AC273" s="8" t="n">
        <x:f>IF(AND(v01_WinterTrigger=1,D273=1,AB272/AE272&gt;=K273),1,0)</x:f>
        <x:v>0</x:v>
      </x:c>
      <x:c r="AD273" s="8" t="n">
        <x:f>H273*IF(AND(OR(AB272/AE272&gt;=v01_FissionTrigger*N273,AC273=1),AB272/AE272*v01_DaughterShare&gt;=v01_MinDaughter),MAX(1,ROUND(AE272*v01_FissionRate,0)),0)</x:f>
        <x:v>0</x:v>
      </x:c>
      <x:c r="AE273" s="8" t="n">
        <x:f>IF(H273=1,MAX(1,MIN(INDEX(v01_Smax,G273),AE272+AD273)),AE272)</x:f>
        <x:v>1</x:v>
      </x:c>
      <x:c r="AF273" s="8" t="n">
        <x:f>MAX(0,AE273-AE272)</x:f>
        <x:v>0</x:v>
      </x:c>
      <x:c r="AG273" s="9" t="str">
        <x:f>IF(AF273&gt;0,B273,"")</x:f>
      </x:c>
      <x:c r="AH273" s="9" t="n">
        <x:f>IF(F273&gt;=1,1,(1+v01_LowTiesShare*(AE273-1))/AE273)</x:f>
        <x:v>1</x:v>
      </x:c>
      <x:c r="AI273" s="32" t="n">
        <x:f>(Z273+v01_ElderCommons*INDEX(LM_Elder,G273)*AA273)*AH273</x:f>
        <x:v>17.217027492545242</x:v>
      </x:c>
      <x:c r="AJ273" s="32" t="n">
        <x:f>H273*v01_CommonsCoef*AI273^v01_CommonsExp*INDEX(LM_Commons,G273)</x:f>
        <x:v>7.414952658151156</x:v>
      </x:c>
      <x:c r="AK273" s="32" t="n">
        <x:f>H273*v01_RoleScale*Arch_Roles*(AE273*(INDEX(v01_ElderRolePerSett,G273)*v01_OutElder*INDEX(LM_Elder,G273)+INDEX(v01_ShamanPerSett,G273)*v01_OutShaman)+Z273*(INDEX(v01_PriestShare,G273)*v01_OutPriest+INDEX(v01_ScribeShare,G273)*v01_OutScribe*INDEX(LM_Scribe,G273)+INDEX(v01_ScholarShare,G273)*v01_OutScholar*INDEX(LM_Scholar,G273)+INDEX(v01_ResearcherShare,G273)*v01_OutResearcher*INDEX(LM_Researcher,G273)))</x:f>
        <x:v>1.3623724356957945</x:v>
      </x:c>
      <x:c r="AL273" s="32" t="n">
        <x:f>H273*v01_RoleScale*Arch_Roles*AE273*INDEX(v01_MonasteryPerSett,G273)*v01_OutMonastery*INDEX(LM_Monastery,G273)</x:f>
        <x:v>0</x:v>
      </x:c>
      <x:c r="AM273" s="32" t="n">
        <x:f>(AJ273+AK273+AL273)/4*INDEX(LM_All,G273)*INDEX(v01_Boon,G273)*Arch_Insight</x:f>
        <x:v>2.249189555298281</x:v>
      </x:c>
      <x:c r="AN273" s="32" t="n">
        <x:f>H273*(v01_KHPerAdult*Z273+v01_KHOfCommons*AJ273/4*INDEX(LM_All,G273))*v01_KHUsable*Arch_KH</x:f>
        <x:v>0.35685748381854554</x:v>
      </x:c>
      <x:c r="AO273" s="32" t="n">
        <x:f>MIN(AP272+AN273,AM273*v01_KHMaxRatio)</x:f>
        <x:v>0.35685748381854554</x:v>
      </x:c>
      <x:c r="AP273" s="32" t="n">
        <x:f>AP272+AN273-AO273</x:f>
        <x:v>0</x:v>
      </x:c>
      <x:c r="AQ273" s="32" t="n">
        <x:f>AM273+AO273</x:f>
        <x:v>2.6060470391168264</x:v>
      </x:c>
      <x:c r="AR273" s="10" t="n">
        <x:f>IF(H273=1,INDEX(v01_Req,G273),0)</x:f>
        <x:v>1067.32</x:v>
      </x:c>
      <x:c r="AS273" s="32" t="n">
        <x:f>IF(H273=1,IF(E273=1,AS272-AR272,AS272)+AQ273,0)</x:f>
        <x:v>88.74097966981022</x:v>
      </x:c>
      <x:c r="AT273" s="11" t="n">
        <x:f>IF(AR273&gt;0,MIN(1,AS273/AR273),1)</x:f>
        <x:v>0.0831437428979221</x:v>
      </x:c>
      <x:c r="AU273" s="10" t="n">
        <x:f>AB273/INDEX(v01_RepScale,G273)</x:f>
        <x:v>22.641356883714444</x:v>
      </x:c>
      <x:c r="AV273" s="32" t="n">
        <x:f>AM273*60/v01_SeasonSeconds</x:f>
        <x:v>8.996758221193124</x:v>
      </x:c>
    </x:row>
    <x:row r="274">
      <x:c r="A274" s="8" t="n">
        <x:f>A273+1</x:f>
        <x:v>271</x:v>
      </x:c>
      <x:c r="B274" s="9" t="n">
        <x:f>A274*v01_SeasonSeconds/60</x:f>
        <x:v>67.75</x:v>
      </x:c>
      <x:c r="C274" s="9" t="n">
        <x:f>A274/4</x:f>
        <x:v>67.75</x:v>
      </x:c>
      <x:c r="D274" s="8" t="n">
        <x:f>IF(MOD(A274,4)=0,1,0)</x:f>
        <x:v>0</x:v>
      </x:c>
      <x:c r="E274" s="8" t="n">
        <x:f>IF(AND(F273&lt;=9,AS273&gt;=AR273),1,0)</x:f>
        <x:v>0</x:v>
      </x:c>
      <x:c r="F274" s="8" t="n">
        <x:f>MIN(10,F273+E274)</x:f>
        <x:v>1</x:v>
      </x:c>
      <x:c r="G274" s="8" t="n">
        <x:f>MIN(F274,9)+1</x:f>
        <x:v>2</x:v>
      </x:c>
      <x:c r="H274" s="8" t="n">
        <x:f>IF(F274&lt;=9,1,0)</x:f>
        <x:v>1</x:v>
      </x:c>
      <x:c r="I274" s="9" t="n">
        <x:f>MIN(10,F273+IF(AR273&gt;0,MIN(1,AS273/AR273),1))</x:f>
        <x:v>1.083143742897922</x:v>
      </x:c>
      <x:c r="J274" s="32" t="n">
        <x:f>INDEX(v01_FoodCap,G274)*Arch_FoodCap*EXP(v01_CapsByProject*SUMPRODUCT((Cap_Point&lt;=I274)*(Cap_Kind="Food")*Cap_Ln))</x:f>
        <x:v>30</x:v>
      </x:c>
      <x:c r="K274" s="32" t="n">
        <x:f>J274*MIN(1,v01_LeanBase*EXP(v01_CapsByProject*SUMPRODUCT((Cap_Point&lt;=I274)*(Cap_Kind="Lean")*Cap_Ln)))</x:f>
        <x:v>30</x:v>
      </x:c>
      <x:c r="L274" s="10" t="n">
        <x:f>INDEX(v01_HousingCap,G274)*EXP(v01_CapsByProject*SUMPRODUCT((Cap_Point&lt;=I274)*(Cap_Kind="Housing")*Cap_Ln))</x:f>
        <x:v>60</x:v>
      </x:c>
      <x:c r="M274" s="10" t="n">
        <x:f>INDEX(v01_GroupCap,G274)*v01_CohesionFactor*EXP(v01_CapsByProject*SUMPRODUCT((Cap_Point&lt;=I274)*(Cap_Kind="Group")*Cap_Ln))</x:f>
        <x:v>100</x:v>
      </x:c>
      <x:c r="N274" s="32" t="n">
        <x:f>MIN(J274,L274,M274)</x:f>
        <x:v>30</x:v>
      </x:c>
      <x:c r="O274" s="10" t="n">
        <x:f>AE273*N274</x:f>
        <x:v>30</x:v>
      </x:c>
      <x:c r="P274" s="9" t="n">
        <x:f>MIN(1,(AB273/(AE273*IF(v01_GroupInCrowding=1,N274,MIN(J274,L274))))^v01_CrowdingExp)</x:f>
        <x:v>0.1847937053005818</x:v>
      </x:c>
      <x:c r="Q274" s="9" t="n">
        <x:f>IF(D274=1,INDEX(v01_WinterMult,G274),1)</x:f>
        <x:v>1</x:v>
      </x:c>
      <x:c r="R274" s="9" t="n">
        <x:f>H274*Z273*v01_WomenShare*v01_BaseFertility*INDEX(v01_FertMult,G274)*Arch_Fertility*(1-P274)</x:f>
        <x:v>0.31169192905657944</x:v>
      </x:c>
      <x:c r="S274" s="9" t="n">
        <x:f>H274*Y273*INDEX(v01_MortChild,G274)/4*Q274</x:f>
        <x:v>0.08381692334877115</x:v>
      </x:c>
      <x:c r="T274" s="9" t="n">
        <x:f>H274*Z273*INDEX(v01_MortAdult,G274)*Arch_AdultMort/4*Q274</x:f>
        <x:v>0.03313676635457923</x:v>
      </x:c>
      <x:c r="U274" s="9" t="n">
        <x:f>H274*AA273*INDEX(v01_MortElder,G274)/4*Q274</x:f>
        <x:v>0.05732703640935741</x:v>
      </x:c>
      <x:c r="V274" s="9" t="n">
        <x:f>H274*MAX(0,AB273-O274)*v01_OvercapLoss</x:f>
        <x:v>0</x:v>
      </x:c>
      <x:c r="W274" s="9" t="n">
        <x:f>H274*Y273/(v01_ChildYears*4)</x:f>
        <x:v>0.17105494560973702</x:v>
      </x:c>
      <x:c r="X274" s="9" t="n">
        <x:f>H274*Z273/(v01_AdultYears*4)</x:f>
        <x:v>0.08222522668630082</x:v>
      </x:c>
      <x:c r="Y274" s="32" t="n">
        <x:f>Y273+R274-S274-W274-Y273*V274/AB273</x:f>
        <x:v>9.635897014243344</x:v>
      </x:c>
      <x:c r="Z274" s="32" t="n">
        <x:f>Z273+W274-X274-T274-Z273*V274/AB273</x:f>
        <x:v>10.25162106167016</x:v>
      </x:c>
      <x:c r="AA274" s="32" t="n">
        <x:f>AA273+X274-U274-AA273*V274/AB273</x:f>
        <x:v>2.891250010744814</x:v>
      </x:c>
      <x:c r="AB274" s="10" t="n">
        <x:f>Y274+Z274+AA274</x:f>
        <x:v>22.778768086658317</x:v>
      </x:c>
      <x:c r="AC274" s="8" t="n">
        <x:f>IF(AND(v01_WinterTrigger=1,D274=1,AB273/AE273&gt;=K274),1,0)</x:f>
        <x:v>0</x:v>
      </x:c>
      <x:c r="AD274" s="8" t="n">
        <x:f>H274*IF(AND(OR(AB273/AE273&gt;=v01_FissionTrigger*N274,AC274=1),AB273/AE273*v01_DaughterShare&gt;=v01_MinDaughter),MAX(1,ROUND(AE273*v01_FissionRate,0)),0)</x:f>
        <x:v>0</x:v>
      </x:c>
      <x:c r="AE274" s="8" t="n">
        <x:f>IF(H274=1,MAX(1,MIN(INDEX(v01_Smax,G274),AE273+AD274)),AE273)</x:f>
        <x:v>1</x:v>
      </x:c>
      <x:c r="AF274" s="8" t="n">
        <x:f>MAX(0,AE274-AE273)</x:f>
        <x:v>0</x:v>
      </x:c>
      <x:c r="AG274" s="9" t="str">
        <x:f>IF(AF274&gt;0,B274,"")</x:f>
      </x:c>
      <x:c r="AH274" s="9" t="n">
        <x:f>IF(F274&gt;=1,1,(1+v01_LowTiesShare*(AE274-1))/AE274)</x:f>
        <x:v>1</x:v>
      </x:c>
      <x:c r="AI274" s="32" t="n">
        <x:f>(Z274+v01_ElderCommons*INDEX(LM_Elder,G274)*AA274)*AH274</x:f>
        <x:v>17.333708306811335</x:v>
      </x:c>
      <x:c r="AJ274" s="32" t="n">
        <x:f>H274*v01_CommonsCoef*AI274^v01_CommonsExp*INDEX(LM_Commons,G274)</x:f>
        <x:v>7.457644840833383</x:v>
      </x:c>
      <x:c r="AK274" s="32" t="n">
        <x:f>H274*v01_RoleScale*Arch_Roles*(AE274*(INDEX(v01_ElderRolePerSett,G274)*v01_OutElder*INDEX(LM_Elder,G274)+INDEX(v01_ShamanPerSett,G274)*v01_OutShaman)+Z274*(INDEX(v01_PriestShare,G274)*v01_OutPriest+INDEX(v01_ScribeShare,G274)*v01_OutScribe*INDEX(LM_Scribe,G274)+INDEX(v01_ScholarShare,G274)*v01_OutScholar*INDEX(LM_Scholar,G274)+INDEX(v01_ResearcherShare,G274)*v01_OutResearcher*INDEX(LM_Researcher,G274)))</x:f>
        <x:v>1.3623724356957945</x:v>
      </x:c>
      <x:c r="AL274" s="32" t="n">
        <x:f>H274*v01_RoleScale*Arch_Roles*AE274*INDEX(v01_MonasteryPerSett,G274)*v01_OutMonastery*INDEX(LM_Monastery,G274)</x:f>
        <x:v>0</x:v>
      </x:c>
      <x:c r="AM274" s="32" t="n">
        <x:f>(AJ274+AK274+AL274)/4*INDEX(LM_All,G274)*INDEX(v01_Boon,G274)*Arch_Insight</x:f>
        <x:v>2.260129427110601</x:v>
      </x:c>
      <x:c r="AN274" s="32" t="n">
        <x:f>H274*(v01_KHPerAdult*Z274+v01_KHOfCommons*AJ274/4*INDEX(LM_All,G274))*v01_KHUsable*Arch_KH</x:f>
        <x:v>0.3588067371584556</x:v>
      </x:c>
      <x:c r="AO274" s="32" t="n">
        <x:f>MIN(AP273+AN274,AM274*v01_KHMaxRatio)</x:f>
        <x:v>0.3588067371584556</x:v>
      </x:c>
      <x:c r="AP274" s="32" t="n">
        <x:f>AP273+AN274-AO274</x:f>
        <x:v>0</x:v>
      </x:c>
      <x:c r="AQ274" s="32" t="n">
        <x:f>AM274+AO274</x:f>
        <x:v>2.6189361642690567</x:v>
      </x:c>
      <x:c r="AR274" s="10" t="n">
        <x:f>IF(H274=1,INDEX(v01_Req,G274),0)</x:f>
        <x:v>1067.32</x:v>
      </x:c>
      <x:c r="AS274" s="32" t="n">
        <x:f>IF(H274=1,IF(E274=1,AS273-AR273,AS273)+AQ274,0)</x:f>
        <x:v>91.35991583407927</x:v>
      </x:c>
      <x:c r="AT274" s="11" t="n">
        <x:f>IF(AR274&gt;0,MIN(1,AS274/AR274),1)</x:f>
        <x:v>0.08559749263021332</x:v>
      </x:c>
      <x:c r="AU274" s="10" t="n">
        <x:f>AB274/INDEX(v01_RepScale,G274)</x:f>
        <x:v>22.778768086658317</x:v>
      </x:c>
      <x:c r="AV274" s="32" t="n">
        <x:f>AM274*60/v01_SeasonSeconds</x:f>
        <x:v>9.040517708442405</x:v>
      </x:c>
    </x:row>
    <x:row r="275">
      <x:c r="A275" s="8" t="n">
        <x:f>A274+1</x:f>
        <x:v>272</x:v>
      </x:c>
      <x:c r="B275" s="9" t="n">
        <x:f>A275*v01_SeasonSeconds/60</x:f>
        <x:v>68</x:v>
      </x:c>
      <x:c r="C275" s="9" t="n">
        <x:f>A275/4</x:f>
        <x:v>68</x:v>
      </x:c>
      <x:c r="D275" s="8" t="n">
        <x:f>IF(MOD(A275,4)=0,1,0)</x:f>
        <x:v>1</x:v>
      </x:c>
      <x:c r="E275" s="8" t="n">
        <x:f>IF(AND(F274&lt;=9,AS274&gt;=AR274),1,0)</x:f>
        <x:v>0</x:v>
      </x:c>
      <x:c r="F275" s="8" t="n">
        <x:f>MIN(10,F274+E275)</x:f>
        <x:v>1</x:v>
      </x:c>
      <x:c r="G275" s="8" t="n">
        <x:f>MIN(F275,9)+1</x:f>
        <x:v>2</x:v>
      </x:c>
      <x:c r="H275" s="8" t="n">
        <x:f>IF(F275&lt;=9,1,0)</x:f>
        <x:v>1</x:v>
      </x:c>
      <x:c r="I275" s="9" t="n">
        <x:f>MIN(10,F274+IF(AR274&gt;0,MIN(1,AS274/AR274),1))</x:f>
        <x:v>1.0855974926302134</x:v>
      </x:c>
      <x:c r="J275" s="32" t="n">
        <x:f>INDEX(v01_FoodCap,G275)*Arch_FoodCap*EXP(v01_CapsByProject*SUMPRODUCT((Cap_Point&lt;=I275)*(Cap_Kind="Food")*Cap_Ln))</x:f>
        <x:v>30</x:v>
      </x:c>
      <x:c r="K275" s="32" t="n">
        <x:f>J275*MIN(1,v01_LeanBase*EXP(v01_CapsByProject*SUMPRODUCT((Cap_Point&lt;=I275)*(Cap_Kind="Lean")*Cap_Ln)))</x:f>
        <x:v>30</x:v>
      </x:c>
      <x:c r="L275" s="10" t="n">
        <x:f>INDEX(v01_HousingCap,G275)*EXP(v01_CapsByProject*SUMPRODUCT((Cap_Point&lt;=I275)*(Cap_Kind="Housing")*Cap_Ln))</x:f>
        <x:v>60</x:v>
      </x:c>
      <x:c r="M275" s="10" t="n">
        <x:f>INDEX(v01_GroupCap,G275)*v01_CohesionFactor*EXP(v01_CapsByProject*SUMPRODUCT((Cap_Point&lt;=I275)*(Cap_Kind="Group")*Cap_Ln))</x:f>
        <x:v>100</x:v>
      </x:c>
      <x:c r="N275" s="32" t="n">
        <x:f>MIN(J275,L275,M275)</x:f>
        <x:v>30</x:v>
      </x:c>
      <x:c r="O275" s="10" t="n">
        <x:f>AE274*N275</x:f>
        <x:v>30</x:v>
      </x:c>
      <x:c r="P275" s="9" t="n">
        <x:f>MIN(1,(AB274/(AE274*IF(v01_GroupInCrowding=1,N275,MIN(J275,L275))))^v01_CrowdingExp)</x:f>
        <x:v>0.19162575094367548</x:v>
      </x:c>
      <x:c r="Q275" s="9" t="n">
        <x:f>IF(D275=1,INDEX(v01_WinterMult,G275),1)</x:f>
        <x:v>1.6</x:v>
      </x:c>
      <x:c r="R275" s="9" t="n">
        <x:f>H275*Z274*v01_WomenShare*v01_BaseFertility*INDEX(v01_FertMult,G275)*Arch_Fertility*(1-P275)</x:f>
        <x:v>0.31076799290016055</x:v>
      </x:c>
      <x:c r="S275" s="9" t="n">
        <x:f>H275*Y274*INDEX(v01_MortChild,G275)/4*Q275</x:f>
        <x:v>0.13490255819940686</x:v>
      </x:c>
      <x:c r="T275" s="9" t="n">
        <x:f>H275*Z274*INDEX(v01_MortAdult,G275)*Arch_AdultMort/4*Q275</x:f>
        <x:v>0.05330842952068483</x:v>
      </x:c>
      <x:c r="U275" s="9" t="n">
        <x:f>H275*AA274*INDEX(v01_MortElder,G275)/4*Q275</x:f>
        <x:v>0.09252000034383405</x:v>
      </x:c>
      <x:c r="V275" s="9" t="n">
        <x:f>H275*MAX(0,AB274-O275)*v01_OvercapLoss</x:f>
        <x:v>0</x:v>
      </x:c>
      <x:c r="W275" s="9" t="n">
        <x:f>H275*Y274/(v01_ChildYears*4)</x:f>
        <x:v>0.17206958954005971</x:v>
      </x:c>
      <x:c r="X275" s="9" t="n">
        <x:f>H275*Z274/(v01_AdultYears*4)</x:f>
        <x:v>0.08267436340056582</x:v>
      </x:c>
      <x:c r="Y275" s="32" t="n">
        <x:f>Y274+R275-S275-W275-Y274*V275/AB274</x:f>
        <x:v>9.639692859404038</x:v>
      </x:c>
      <x:c r="Z275" s="32" t="n">
        <x:f>Z274+W275-X275-T275-Z274*V275/AB274</x:f>
        <x:v>10.28770785828897</x:v>
      </x:c>
      <x:c r="AA275" s="32" t="n">
        <x:f>AA274+X275-U275-AA274*V275/AB274</x:f>
        <x:v>2.8814043738015456</x:v>
      </x:c>
      <x:c r="AB275" s="10" t="n">
        <x:f>Y275+Z275+AA275</x:f>
        <x:v>22.808805091494552</x:v>
      </x:c>
      <x:c r="AC275" s="8" t="n">
        <x:f>IF(AND(v01_WinterTrigger=1,D275=1,AB274/AE274&gt;=K275),1,0)</x:f>
        <x:v>0</x:v>
      </x:c>
      <x:c r="AD275" s="8" t="n">
        <x:f>H275*IF(AND(OR(AB274/AE274&gt;=v01_FissionTrigger*N275,AC275=1),AB274/AE274*v01_DaughterShare&gt;=v01_MinDaughter),MAX(1,ROUND(AE274*v01_FissionRate,0)),0)</x:f>
        <x:v>0</x:v>
      </x:c>
      <x:c r="AE275" s="8" t="n">
        <x:f>IF(H275=1,MAX(1,MIN(INDEX(v01_Smax,G275),AE274+AD275)),AE274)</x:f>
        <x:v>1</x:v>
      </x:c>
      <x:c r="AF275" s="8" t="n">
        <x:f>MAX(0,AE275-AE274)</x:f>
        <x:v>0</x:v>
      </x:c>
      <x:c r="AG275" s="9" t="str">
        <x:f>IF(AF275&gt;0,B275,"")</x:f>
      </x:c>
      <x:c r="AH275" s="9" t="n">
        <x:f>IF(F275&gt;=1,1,(1+v01_LowTiesShare*(AE275-1))/AE275)</x:f>
        <x:v>1</x:v>
      </x:c>
      <x:c r="AI275" s="32" t="n">
        <x:f>(Z275+v01_ElderCommons*INDEX(LM_Elder,G275)*AA275)*AH275</x:f>
        <x:v>17.345678316726442</x:v>
      </x:c>
      <x:c r="AJ275" s="32" t="n">
        <x:f>H275*v01_CommonsCoef*AI275^v01_CommonsExp*INDEX(LM_Commons,G275)</x:f>
        <x:v>7.462022088915595</x:v>
      </x:c>
      <x:c r="AK275" s="32" t="n">
        <x:f>H275*v01_RoleScale*Arch_Roles*(AE275*(INDEX(v01_ElderRolePerSett,G275)*v01_OutElder*INDEX(LM_Elder,G275)+INDEX(v01_ShamanPerSett,G275)*v01_OutShaman)+Z275*(INDEX(v01_PriestShare,G275)*v01_OutPriest+INDEX(v01_ScribeShare,G275)*v01_OutScribe*INDEX(LM_Scribe,G275)+INDEX(v01_ScholarShare,G275)*v01_OutScholar*INDEX(LM_Scholar,G275)+INDEX(v01_ResearcherShare,G275)*v01_OutResearcher*INDEX(LM_Researcher,G275)))</x:f>
        <x:v>1.3623724356957945</x:v>
      </x:c>
      <x:c r="AL275" s="32" t="n">
        <x:f>H275*v01_RoleScale*Arch_Roles*AE275*INDEX(v01_MonasteryPerSett,G275)*v01_OutMonastery*INDEX(LM_Monastery,G275)</x:f>
        <x:v>0</x:v>
      </x:c>
      <x:c r="AM275" s="32" t="n">
        <x:f>(AJ275+AK275+AL275)/4*INDEX(LM_All,G275)*INDEX(v01_Boon,G275)*Arch_Insight</x:f>
        <x:v>2.261251096931668</x:v>
      </x:c>
      <x:c r="AN275" s="32" t="n">
        <x:f>H275*(v01_KHPerAdult*Z275+v01_KHOfCommons*AJ275/4*INDEX(LM_All,G275))*v01_KHUsable*Arch_KH</x:f>
        <x:v>0.36006977504011395</x:v>
      </x:c>
      <x:c r="AO275" s="32" t="n">
        <x:f>MIN(AP274+AN275,AM275*v01_KHMaxRatio)</x:f>
        <x:v>0.36006977504011395</x:v>
      </x:c>
      <x:c r="AP275" s="32" t="n">
        <x:f>AP274+AN275-AO275</x:f>
        <x:v>0</x:v>
      </x:c>
      <x:c r="AQ275" s="32" t="n">
        <x:f>AM275+AO275</x:f>
        <x:v>2.621320871971782</x:v>
      </x:c>
      <x:c r="AR275" s="10" t="n">
        <x:f>IF(H275=1,INDEX(v01_Req,G275),0)</x:f>
        <x:v>1067.32</x:v>
      </x:c>
      <x:c r="AS275" s="32" t="n">
        <x:f>IF(H275=1,IF(E275=1,AS274-AR274,AS274)+AQ275,0)</x:f>
        <x:v>93.98123670605105</x:v>
      </x:c>
      <x:c r="AT275" s="11" t="n">
        <x:f>IF(AR275&gt;0,MIN(1,AS275/AR275),1)</x:f>
        <x:v>0.08805347665747017</x:v>
      </x:c>
      <x:c r="AU275" s="10" t="n">
        <x:f>AB275/INDEX(v01_RepScale,G275)</x:f>
        <x:v>22.808805091494552</x:v>
      </x:c>
      <x:c r="AV275" s="32" t="n">
        <x:f>AM275*60/v01_SeasonSeconds</x:f>
        <x:v>9.045004387726673</x:v>
      </x:c>
    </x:row>
    <x:row r="276">
      <x:c r="A276" s="8" t="n">
        <x:f>A275+1</x:f>
        <x:v>273</x:v>
      </x:c>
      <x:c r="B276" s="9" t="n">
        <x:f>A276*v01_SeasonSeconds/60</x:f>
        <x:v>68.25</x:v>
      </x:c>
      <x:c r="C276" s="9" t="n">
        <x:f>A276/4</x:f>
        <x:v>68.25</x:v>
      </x:c>
      <x:c r="D276" s="8" t="n">
        <x:f>IF(MOD(A276,4)=0,1,0)</x:f>
        <x:v>0</x:v>
      </x:c>
      <x:c r="E276" s="8" t="n">
        <x:f>IF(AND(F275&lt;=9,AS275&gt;=AR275),1,0)</x:f>
        <x:v>0</x:v>
      </x:c>
      <x:c r="F276" s="8" t="n">
        <x:f>MIN(10,F275+E276)</x:f>
        <x:v>1</x:v>
      </x:c>
      <x:c r="G276" s="8" t="n">
        <x:f>MIN(F276,9)+1</x:f>
        <x:v>2</x:v>
      </x:c>
      <x:c r="H276" s="8" t="n">
        <x:f>IF(F276&lt;=9,1,0)</x:f>
        <x:v>1</x:v>
      </x:c>
      <x:c r="I276" s="9" t="n">
        <x:f>MIN(10,F275+IF(AR275&gt;0,MIN(1,AS275/AR275),1))</x:f>
        <x:v>1.08805347665747</x:v>
      </x:c>
      <x:c r="J276" s="32" t="n">
        <x:f>INDEX(v01_FoodCap,G276)*Arch_FoodCap*EXP(v01_CapsByProject*SUMPRODUCT((Cap_Point&lt;=I276)*(Cap_Kind="Food")*Cap_Ln))</x:f>
        <x:v>30</x:v>
      </x:c>
      <x:c r="K276" s="32" t="n">
        <x:f>J276*MIN(1,v01_LeanBase*EXP(v01_CapsByProject*SUMPRODUCT((Cap_Point&lt;=I276)*(Cap_Kind="Lean")*Cap_Ln)))</x:f>
        <x:v>30</x:v>
      </x:c>
      <x:c r="L276" s="10" t="n">
        <x:f>INDEX(v01_HousingCap,G276)*EXP(v01_CapsByProject*SUMPRODUCT((Cap_Point&lt;=I276)*(Cap_Kind="Housing")*Cap_Ln))</x:f>
        <x:v>60</x:v>
      </x:c>
      <x:c r="M276" s="10" t="n">
        <x:f>INDEX(v01_GroupCap,G276)*v01_CohesionFactor*EXP(v01_CapsByProject*SUMPRODUCT((Cap_Point&lt;=I276)*(Cap_Kind="Group")*Cap_Ln))</x:f>
        <x:v>100</x:v>
      </x:c>
      <x:c r="N276" s="32" t="n">
        <x:f>MIN(J276,L276,M276)</x:f>
        <x:v>30</x:v>
      </x:c>
      <x:c r="O276" s="10" t="n">
        <x:f>AE275*N276</x:f>
        <x:v>30</x:v>
      </x:c>
      <x:c r="P276" s="9" t="n">
        <x:f>MIN(1,(AB275/(AE275*IF(v01_GroupInCrowding=1,N276,MIN(J276,L276))))^v01_CrowdingExp)</x:f>
        <x:v>0.19314687054938517</x:v>
      </x:c>
      <x:c r="Q276" s="9" t="n">
        <x:f>IF(D276=1,INDEX(v01_WinterMult,G276),1)</x:f>
        <x:v>1</x:v>
      </x:c>
      <x:c r="R276" s="9" t="n">
        <x:f>H276*Z275*v01_WomenShare*v01_BaseFertility*INDEX(v01_FertMult,G276)*Arch_Fertility*(1-P276)</x:f>
        <x:v>0.31127509801253017</x:v>
      </x:c>
      <x:c r="S276" s="9" t="n">
        <x:f>H276*Y275*INDEX(v01_MortChild,G276)/4*Q276</x:f>
        <x:v>0.08434731251978533</x:v>
      </x:c>
      <x:c r="T276" s="9" t="n">
        <x:f>H276*Z275*INDEX(v01_MortAdult,G276)*Arch_AdultMort/4*Q276</x:f>
        <x:v>0.03343505053943915</x:v>
      </x:c>
      <x:c r="U276" s="9" t="n">
        <x:f>H276*AA275*INDEX(v01_MortElder,G276)/4*Q276</x:f>
        <x:v>0.05762808747603091</x:v>
      </x:c>
      <x:c r="V276" s="9" t="n">
        <x:f>H276*MAX(0,AB275-O276)*v01_OvercapLoss</x:f>
        <x:v>0</x:v>
      </x:c>
      <x:c r="W276" s="9" t="n">
        <x:f>H276*Y275/(v01_ChildYears*4)</x:f>
        <x:v>0.17213737248935781</x:v>
      </x:c>
      <x:c r="X276" s="9" t="n">
        <x:f>H276*Z275/(v01_AdultYears*4)</x:f>
        <x:v>0.0829653859539433</x:v>
      </x:c>
      <x:c r="Y276" s="32" t="n">
        <x:f>Y275+R276-S276-W276-Y275*V276/AB275</x:f>
        <x:v>9.694483272407425</x:v>
      </x:c>
      <x:c r="Z276" s="32" t="n">
        <x:f>Z275+W276-X276-T276-Z275*V276/AB275</x:f>
        <x:v>10.343444794284945</x:v>
      </x:c>
      <x:c r="AA276" s="32" t="n">
        <x:f>AA275+X276-U276-AA275*V276/AB275</x:f>
        <x:v>2.9067416722794577</x:v>
      </x:c>
      <x:c r="AB276" s="10" t="n">
        <x:f>Y276+Z276+AA276</x:f>
        <x:v>22.94466973897183</x:v>
      </x:c>
      <x:c r="AC276" s="8" t="n">
        <x:f>IF(AND(v01_WinterTrigger=1,D276=1,AB275/AE275&gt;=K276),1,0)</x:f>
        <x:v>0</x:v>
      </x:c>
      <x:c r="AD276" s="8" t="n">
        <x:f>H276*IF(AND(OR(AB275/AE275&gt;=v01_FissionTrigger*N276,AC276=1),AB275/AE275*v01_DaughterShare&gt;=v01_MinDaughter),MAX(1,ROUND(AE275*v01_FissionRate,0)),0)</x:f>
        <x:v>0</x:v>
      </x:c>
      <x:c r="AE276" s="8" t="n">
        <x:f>IF(H276=1,MAX(1,MIN(INDEX(v01_Smax,G276),AE275+AD276)),AE275)</x:f>
        <x:v>1</x:v>
      </x:c>
      <x:c r="AF276" s="8" t="n">
        <x:f>MAX(0,AE276-AE275)</x:f>
        <x:v>0</x:v>
      </x:c>
      <x:c r="AG276" s="9" t="str">
        <x:f>IF(AF276&gt;0,B276,"")</x:f>
      </x:c>
      <x:c r="AH276" s="9" t="n">
        <x:f>IF(F276&gt;=1,1,(1+v01_LowTiesShare*(AE276-1))/AE276)</x:f>
        <x:v>1</x:v>
      </x:c>
      <x:c r="AI276" s="32" t="n">
        <x:f>(Z276+v01_ElderCommons*INDEX(LM_Elder,G276)*AA276)*AH276</x:f>
        <x:v>17.4634787054539</x:v>
      </x:c>
      <x:c r="AJ276" s="32" t="n">
        <x:f>H276*v01_CommonsCoef*AI276^v01_CommonsExp*INDEX(LM_Commons,G276)</x:f>
        <x:v>7.505075761253291</x:v>
      </x:c>
      <x:c r="AK276" s="32" t="n">
        <x:f>H276*v01_RoleScale*Arch_Roles*(AE276*(INDEX(v01_ElderRolePerSett,G276)*v01_OutElder*INDEX(LM_Elder,G276)+INDEX(v01_ShamanPerSett,G276)*v01_OutShaman)+Z276*(INDEX(v01_PriestShare,G276)*v01_OutPriest+INDEX(v01_ScribeShare,G276)*v01_OutScribe*INDEX(LM_Scribe,G276)+INDEX(v01_ScholarShare,G276)*v01_OutScholar*INDEX(LM_Scholar,G276)+INDEX(v01_ResearcherShare,G276)*v01_OutResearcher*INDEX(LM_Researcher,G276)))</x:f>
        <x:v>1.3623724356957945</x:v>
      </x:c>
      <x:c r="AL276" s="32" t="n">
        <x:f>H276*v01_RoleScale*Arch_Roles*AE276*INDEX(v01_MonasteryPerSett,G276)*v01_OutMonastery*INDEX(LM_Monastery,G276)</x:f>
        <x:v>0</x:v>
      </x:c>
      <x:c r="AM276" s="32" t="n">
        <x:f>(AJ276+AK276+AL276)/4*INDEX(LM_All,G276)*INDEX(v01_Boon,G276)*Arch_Insight</x:f>
        <x:v>2.272283600468203</x:v>
      </x:c>
      <x:c r="AN276" s="32" t="n">
        <x:f>H276*(v01_KHPerAdult*Z276+v01_KHOfCommons*AJ276/4*INDEX(LM_All,G276))*v01_KHUsable*Arch_KH</x:f>
        <x:v>0.3620205677999731</x:v>
      </x:c>
      <x:c r="AO276" s="32" t="n">
        <x:f>MIN(AP275+AN276,AM276*v01_KHMaxRatio)</x:f>
        <x:v>0.3620205677999731</x:v>
      </x:c>
      <x:c r="AP276" s="32" t="n">
        <x:f>AP275+AN276-AO276</x:f>
        <x:v>0</x:v>
      </x:c>
      <x:c r="AQ276" s="32" t="n">
        <x:f>AM276+AO276</x:f>
        <x:v>2.634304168268176</x:v>
      </x:c>
      <x:c r="AR276" s="10" t="n">
        <x:f>IF(H276=1,INDEX(v01_Req,G276),0)</x:f>
        <x:v>1067.32</x:v>
      </x:c>
      <x:c r="AS276" s="32" t="n">
        <x:f>IF(H276=1,IF(E276=1,AS275-AR275,AS275)+AQ276,0)</x:f>
        <x:v>96.61554087431922</x:v>
      </x:c>
      <x:c r="AT276" s="11" t="n">
        <x:f>IF(AR276&gt;0,MIN(1,AS276/AR276),1)</x:f>
        <x:v>0.09052162507431626</x:v>
      </x:c>
      <x:c r="AU276" s="10" t="n">
        <x:f>AB276/INDEX(v01_RepScale,G276)</x:f>
        <x:v>22.94466973897183</x:v>
      </x:c>
      <x:c r="AV276" s="32" t="n">
        <x:f>AM276*60/v01_SeasonSeconds</x:f>
        <x:v>9.089134401872814</x:v>
      </x:c>
    </x:row>
    <x:row r="277">
      <x:c r="A277" s="8" t="n">
        <x:f>A276+1</x:f>
        <x:v>274</x:v>
      </x:c>
      <x:c r="B277" s="9" t="n">
        <x:f>A277*v01_SeasonSeconds/60</x:f>
        <x:v>68.5</x:v>
      </x:c>
      <x:c r="C277" s="9" t="n">
        <x:f>A277/4</x:f>
        <x:v>68.5</x:v>
      </x:c>
      <x:c r="D277" s="8" t="n">
        <x:f>IF(MOD(A277,4)=0,1,0)</x:f>
        <x:v>0</x:v>
      </x:c>
      <x:c r="E277" s="8" t="n">
        <x:f>IF(AND(F276&lt;=9,AS276&gt;=AR276),1,0)</x:f>
        <x:v>0</x:v>
      </x:c>
      <x:c r="F277" s="8" t="n">
        <x:f>MIN(10,F276+E277)</x:f>
        <x:v>1</x:v>
      </x:c>
      <x:c r="G277" s="8" t="n">
        <x:f>MIN(F277,9)+1</x:f>
        <x:v>2</x:v>
      </x:c>
      <x:c r="H277" s="8" t="n">
        <x:f>IF(F277&lt;=9,1,0)</x:f>
        <x:v>1</x:v>
      </x:c>
      <x:c r="I277" s="9" t="n">
        <x:f>MIN(10,F276+IF(AR276&gt;0,MIN(1,AS276/AR276),1))</x:f>
        <x:v>1.0905216250743162</x:v>
      </x:c>
      <x:c r="J277" s="32" t="n">
        <x:f>INDEX(v01_FoodCap,G277)*Arch_FoodCap*EXP(v01_CapsByProject*SUMPRODUCT((Cap_Point&lt;=I277)*(Cap_Kind="Food")*Cap_Ln))</x:f>
        <x:v>30</x:v>
      </x:c>
      <x:c r="K277" s="32" t="n">
        <x:f>J277*MIN(1,v01_LeanBase*EXP(v01_CapsByProject*SUMPRODUCT((Cap_Point&lt;=I277)*(Cap_Kind="Lean")*Cap_Ln)))</x:f>
        <x:v>30</x:v>
      </x:c>
      <x:c r="L277" s="10" t="n">
        <x:f>INDEX(v01_HousingCap,G277)*EXP(v01_CapsByProject*SUMPRODUCT((Cap_Point&lt;=I277)*(Cap_Kind="Housing")*Cap_Ln))</x:f>
        <x:v>60</x:v>
      </x:c>
      <x:c r="M277" s="10" t="n">
        <x:f>INDEX(v01_GroupCap,G277)*v01_CohesionFactor*EXP(v01_CapsByProject*SUMPRODUCT((Cap_Point&lt;=I277)*(Cap_Kind="Group")*Cap_Ln))</x:f>
        <x:v>100</x:v>
      </x:c>
      <x:c r="N277" s="32" t="n">
        <x:f>MIN(J277,L277,M277)</x:f>
        <x:v>30</x:v>
      </x:c>
      <x:c r="O277" s="10" t="n">
        <x:f>AE276*N277</x:f>
        <x:v>30</x:v>
      </x:c>
      <x:c r="P277" s="9" t="n">
        <x:f>MIN(1,(AB276/(AE276*IF(v01_GroupInCrowding=1,N277,MIN(J277,L277))))^v01_CrowdingExp)</x:f>
        <x:v>0.200153568398529</x:v>
      </x:c>
      <x:c r="Q277" s="9" t="n">
        <x:f>IF(D277=1,INDEX(v01_WinterMult,G277),1)</x:f>
        <x:v>1</x:v>
      </x:c>
      <x:c r="R277" s="9" t="n">
        <x:f>H277*Z276*v01_WomenShare*v01_BaseFertility*INDEX(v01_FertMult,G277)*Arch_Fertility*(1-P277)</x:f>
        <x:v>0.3102437778440859</x:v>
      </x:c>
      <x:c r="S277" s="9" t="n">
        <x:f>H277*Y276*INDEX(v01_MortChild,G277)/4*Q277</x:f>
        <x:v>0.08482672863356497</x:v>
      </x:c>
      <x:c r="T277" s="9" t="n">
        <x:f>H277*Z276*INDEX(v01_MortAdult,G277)*Arch_AdultMort/4*Q277</x:f>
        <x:v>0.03361619558142607</x:v>
      </x:c>
      <x:c r="U277" s="9" t="n">
        <x:f>H277*AA276*INDEX(v01_MortElder,G277)/4*Q277</x:f>
        <x:v>0.05813483344558915</x:v>
      </x:c>
      <x:c r="V277" s="9" t="n">
        <x:f>H277*MAX(0,AB276-O277)*v01_OvercapLoss</x:f>
        <x:v>0</x:v>
      </x:c>
      <x:c r="W277" s="9" t="n">
        <x:f>H277*Y276/(v01_ChildYears*4)</x:f>
        <x:v>0.17311577272156115</x:v>
      </x:c>
      <x:c r="X277" s="9" t="n">
        <x:f>H277*Z276/(v01_AdultYears*4)</x:f>
        <x:v>0.08341487737326568</x:v>
      </x:c>
      <x:c r="Y277" s="32" t="n">
        <x:f>Y276+R277-S277-W277-Y276*V277/AB276</x:f>
        <x:v>9.746784548896384</x:v>
      </x:c>
      <x:c r="Z277" s="32" t="n">
        <x:f>Z276+W277-X277-T277-Z276*V277/AB276</x:f>
        <x:v>10.399529494051814</x:v>
      </x:c>
      <x:c r="AA277" s="32" t="n">
        <x:f>AA276+X277-U277-AA276*V277/AB276</x:f>
        <x:v>2.932021716207134</x:v>
      </x:c>
      <x:c r="AB277" s="10" t="n">
        <x:f>Y277+Z277+AA277</x:f>
        <x:v>23.078335759155333</x:v>
      </x:c>
      <x:c r="AC277" s="8" t="n">
        <x:f>IF(AND(v01_WinterTrigger=1,D277=1,AB276/AE276&gt;=K277),1,0)</x:f>
        <x:v>0</x:v>
      </x:c>
      <x:c r="AD277" s="8" t="n">
        <x:f>H277*IF(AND(OR(AB276/AE276&gt;=v01_FissionTrigger*N277,AC277=1),AB276/AE276*v01_DaughterShare&gt;=v01_MinDaughter),MAX(1,ROUND(AE276*v01_FissionRate,0)),0)</x:f>
        <x:v>0</x:v>
      </x:c>
      <x:c r="AE277" s="8" t="n">
        <x:f>IF(H277=1,MAX(1,MIN(INDEX(v01_Smax,G277),AE276+AD277)),AE276)</x:f>
        <x:v>1</x:v>
      </x:c>
      <x:c r="AF277" s="8" t="n">
        <x:f>MAX(0,AE277-AE276)</x:f>
        <x:v>0</x:v>
      </x:c>
      <x:c r="AG277" s="9" t="str">
        <x:f>IF(AF277&gt;0,B277,"")</x:f>
      </x:c>
      <x:c r="AH277" s="9" t="n">
        <x:f>IF(F277&gt;=1,1,(1+v01_LowTiesShare*(AE277-1))/AE277)</x:f>
        <x:v>1</x:v>
      </x:c>
      <x:c r="AI277" s="32" t="n">
        <x:f>(Z277+v01_ElderCommons*INDEX(LM_Elder,G277)*AA277)*AH277</x:f>
        <x:v>17.581486613518717</x:v>
      </x:c>
      <x:c r="AJ277" s="32" t="n">
        <x:f>H277*v01_CommonsCoef*AI277^v01_CommonsExp*INDEX(LM_Commons,G277)</x:f>
        <x:v>7.548161621522639</x:v>
      </x:c>
      <x:c r="AK277" s="32" t="n">
        <x:f>H277*v01_RoleScale*Arch_Roles*(AE277*(INDEX(v01_ElderRolePerSett,G277)*v01_OutElder*INDEX(LM_Elder,G277)+INDEX(v01_ShamanPerSett,G277)*v01_OutShaman)+Z277*(INDEX(v01_PriestShare,G277)*v01_OutPriest+INDEX(v01_ScribeShare,G277)*v01_OutScribe*INDEX(LM_Scribe,G277)+INDEX(v01_ScholarShare,G277)*v01_OutScholar*INDEX(LM_Scholar,G277)+INDEX(v01_ResearcherShare,G277)*v01_OutResearcher*INDEX(LM_Researcher,G277)))</x:f>
        <x:v>1.3623724356957945</x:v>
      </x:c>
      <x:c r="AL277" s="32" t="n">
        <x:f>H277*v01_RoleScale*Arch_Roles*AE277*INDEX(v01_MonasteryPerSett,G277)*v01_OutMonastery*INDEX(LM_Monastery,G277)</x:f>
        <x:v>0</x:v>
      </x:c>
      <x:c r="AM277" s="32" t="n">
        <x:f>(AJ277+AK277+AL277)/4*INDEX(LM_All,G277)*INDEX(v01_Boon,G277)*Arch_Insight</x:f>
        <x:v>2.2833243521622233</x:v>
      </x:c>
      <x:c r="AN277" s="32" t="n">
        <x:f>H277*(v01_KHPerAdult*Z277+v01_KHOfCommons*AJ277/4*INDEX(LM_All,G277))*v01_KHUsable*Arch_KH</x:f>
        <x:v>0.36398353229181346</x:v>
      </x:c>
      <x:c r="AO277" s="32" t="n">
        <x:f>MIN(AP276+AN277,AM277*v01_KHMaxRatio)</x:f>
        <x:v>0.36398353229181346</x:v>
      </x:c>
      <x:c r="AP277" s="32" t="n">
        <x:f>AP276+AN277-AO277</x:f>
        <x:v>0</x:v>
      </x:c>
      <x:c r="AQ277" s="32" t="n">
        <x:f>AM277+AO277</x:f>
        <x:v>2.6473078844540368</x:v>
      </x:c>
      <x:c r="AR277" s="10" t="n">
        <x:f>IF(H277=1,INDEX(v01_Req,G277),0)</x:f>
        <x:v>1067.32</x:v>
      </x:c>
      <x:c r="AS277" s="32" t="n">
        <x:f>IF(H277=1,IF(E277=1,AS276-AR276,AS276)+AQ277,0)</x:f>
        <x:v>99.26284875877326</x:v>
      </x:c>
      <x:c r="AT277" s="11" t="n">
        <x:f>IF(AR277&gt;0,MIN(1,AS277/AR277),1)</x:f>
        <x:v>0.09300195701267967</x:v>
      </x:c>
      <x:c r="AU277" s="10" t="n">
        <x:f>AB277/INDEX(v01_RepScale,G277)</x:f>
        <x:v>23.078335759155333</x:v>
      </x:c>
      <x:c r="AV277" s="32" t="n">
        <x:f>AM277*60/v01_SeasonSeconds</x:f>
        <x:v>9.133297408648893</x:v>
      </x:c>
    </x:row>
    <x:row r="278">
      <x:c r="A278" s="8" t="n">
        <x:f>A277+1</x:f>
        <x:v>275</x:v>
      </x:c>
      <x:c r="B278" s="9" t="n">
        <x:f>A278*v01_SeasonSeconds/60</x:f>
        <x:v>68.75</x:v>
      </x:c>
      <x:c r="C278" s="9" t="n">
        <x:f>A278/4</x:f>
        <x:v>68.75</x:v>
      </x:c>
      <x:c r="D278" s="8" t="n">
        <x:f>IF(MOD(A278,4)=0,1,0)</x:f>
        <x:v>0</x:v>
      </x:c>
      <x:c r="E278" s="8" t="n">
        <x:f>IF(AND(F277&lt;=9,AS277&gt;=AR277),1,0)</x:f>
        <x:v>0</x:v>
      </x:c>
      <x:c r="F278" s="8" t="n">
        <x:f>MIN(10,F277+E278)</x:f>
        <x:v>1</x:v>
      </x:c>
      <x:c r="G278" s="8" t="n">
        <x:f>MIN(F278,9)+1</x:f>
        <x:v>2</x:v>
      </x:c>
      <x:c r="H278" s="8" t="n">
        <x:f>IF(F278&lt;=9,1,0)</x:f>
        <x:v>1</x:v>
      </x:c>
      <x:c r="I278" s="9" t="n">
        <x:f>MIN(10,F277+IF(AR277&gt;0,MIN(1,AS277/AR277),1))</x:f>
        <x:v>1.0930019570126797</x:v>
      </x:c>
      <x:c r="J278" s="32" t="n">
        <x:f>INDEX(v01_FoodCap,G278)*Arch_FoodCap*EXP(v01_CapsByProject*SUMPRODUCT((Cap_Point&lt;=I278)*(Cap_Kind="Food")*Cap_Ln))</x:f>
        <x:v>30</x:v>
      </x:c>
      <x:c r="K278" s="32" t="n">
        <x:f>J278*MIN(1,v01_LeanBase*EXP(v01_CapsByProject*SUMPRODUCT((Cap_Point&lt;=I278)*(Cap_Kind="Lean")*Cap_Ln)))</x:f>
        <x:v>30</x:v>
      </x:c>
      <x:c r="L278" s="10" t="n">
        <x:f>INDEX(v01_HousingCap,G278)*EXP(v01_CapsByProject*SUMPRODUCT((Cap_Point&lt;=I278)*(Cap_Kind="Housing")*Cap_Ln))</x:f>
        <x:v>60</x:v>
      </x:c>
      <x:c r="M278" s="10" t="n">
        <x:f>INDEX(v01_GroupCap,G278)*v01_CohesionFactor*EXP(v01_CapsByProject*SUMPRODUCT((Cap_Point&lt;=I278)*(Cap_Kind="Group")*Cap_Ln))</x:f>
        <x:v>100</x:v>
      </x:c>
      <x:c r="N278" s="32" t="n">
        <x:f>MIN(J278,L278,M278)</x:f>
        <x:v>30</x:v>
      </x:c>
      <x:c r="O278" s="10" t="n">
        <x:f>AE277*N278</x:f>
        <x:v>30</x:v>
      </x:c>
      <x:c r="P278" s="9" t="n">
        <x:f>MIN(1,(AB277/(AE277*IF(v01_GroupInCrowding=1,N278,MIN(J278,L278))))^v01_CrowdingExp)</x:f>
        <x:v>0.2072523179592101</x:v>
      </x:c>
      <x:c r="Q278" s="9" t="n">
        <x:f>IF(D278=1,INDEX(v01_WinterMult,G278),1)</x:f>
        <x:v>1</x:v>
      </x:c>
      <x:c r="R278" s="9" t="n">
        <x:f>H278*Z277*v01_WomenShare*v01_BaseFertility*INDEX(v01_FertMult,G278)*Arch_Fertility*(1-P278)</x:f>
        <x:v>0.3091576087771652</x:v>
      </x:c>
      <x:c r="S278" s="9" t="n">
        <x:f>H278*Y277*INDEX(v01_MortChild,G278)/4*Q278</x:f>
        <x:v>0.08528436480284338</x:v>
      </x:c>
      <x:c r="T278" s="9" t="n">
        <x:f>H278*Z277*INDEX(v01_MortAdult,G278)*Arch_AdultMort/4*Q278</x:f>
        <x:v>0.033798470855668394</x:v>
      </x:c>
      <x:c r="U278" s="9" t="n">
        <x:f>H278*AA277*INDEX(v01_MortElder,G278)/4*Q278</x:f>
        <x:v>0.058640434324142676</x:v>
      </x:c>
      <x:c r="V278" s="9" t="n">
        <x:f>H278*MAX(0,AB277-O278)*v01_OvercapLoss</x:f>
        <x:v>0</x:v>
      </x:c>
      <x:c r="W278" s="9" t="n">
        <x:f>H278*Y277/(v01_ChildYears*4)</x:f>
        <x:v>0.17404972408743544</x:v>
      </x:c>
      <x:c r="X278" s="9" t="n">
        <x:f>H278*Z277/(v01_AdultYears*4)</x:f>
        <x:v>0.08386717333912753</x:v>
      </x:c>
      <x:c r="Y278" s="32" t="n">
        <x:f>Y277+R278-S278-W278-Y277*V278/AB277</x:f>
        <x:v>9.79660806878327</x:v>
      </x:c>
      <x:c r="Z278" s="32" t="n">
        <x:f>Z277+W278-X278-T278-Z277*V278/AB277</x:f>
        <x:v>10.455913573944454</x:v>
      </x:c>
      <x:c r="AA278" s="32" t="n">
        <x:f>AA277+X278-U278-AA277*V278/AB277</x:f>
        <x:v>2.9572484552221185</x:v>
      </x:c>
      <x:c r="AB278" s="10" t="n">
        <x:f>Y278+Z278+AA278</x:f>
        <x:v>23.20977009794984</x:v>
      </x:c>
      <x:c r="AC278" s="8" t="n">
        <x:f>IF(AND(v01_WinterTrigger=1,D278=1,AB277/AE277&gt;=K278),1,0)</x:f>
        <x:v>0</x:v>
      </x:c>
      <x:c r="AD278" s="8" t="n">
        <x:f>H278*IF(AND(OR(AB277/AE277&gt;=v01_FissionTrigger*N278,AC278=1),AB277/AE277*v01_DaughterShare&gt;=v01_MinDaughter),MAX(1,ROUND(AE277*v01_FissionRate,0)),0)</x:f>
        <x:v>0</x:v>
      </x:c>
      <x:c r="AE278" s="8" t="n">
        <x:f>IF(H278=1,MAX(1,MIN(INDEX(v01_Smax,G278),AE277+AD278)),AE277)</x:f>
        <x:v>1</x:v>
      </x:c>
      <x:c r="AF278" s="8" t="n">
        <x:f>MAX(0,AE278-AE277)</x:f>
        <x:v>0</x:v>
      </x:c>
      <x:c r="AG278" s="9" t="str">
        <x:f>IF(AF278&gt;0,B278,"")</x:f>
      </x:c>
      <x:c r="AH278" s="9" t="n">
        <x:f>IF(F278&gt;=1,1,(1+v01_LowTiesShare*(AE278-1))/AE278)</x:f>
        <x:v>1</x:v>
      </x:c>
      <x:c r="AI278" s="32" t="n">
        <x:f>(Z278+v01_ElderCommons*INDEX(LM_Elder,G278)*AA278)*AH278</x:f>
        <x:v>17.69966333187243</x:v>
      </x:c>
      <x:c r="AJ278" s="32" t="n">
        <x:f>H278*v01_CommonsCoef*AI278^v01_CommonsExp*INDEX(LM_Commons,G278)</x:f>
        <x:v>7.591265665466147</x:v>
      </x:c>
      <x:c r="AK278" s="32" t="n">
        <x:f>H278*v01_RoleScale*Arch_Roles*(AE278*(INDEX(v01_ElderRolePerSett,G278)*v01_OutElder*INDEX(LM_Elder,G278)+INDEX(v01_ShamanPerSett,G278)*v01_OutShaman)+Z278*(INDEX(v01_PriestShare,G278)*v01_OutPriest+INDEX(v01_ScribeShare,G278)*v01_OutScribe*INDEX(LM_Scribe,G278)+INDEX(v01_ScholarShare,G278)*v01_OutScholar*INDEX(LM_Scholar,G278)+INDEX(v01_ResearcherShare,G278)*v01_OutResearcher*INDEX(LM_Researcher,G278)))</x:f>
        <x:v>1.3623724356957945</x:v>
      </x:c>
      <x:c r="AL278" s="32" t="n">
        <x:f>H278*v01_RoleScale*Arch_Roles*AE278*INDEX(v01_MonasteryPerSett,G278)*v01_OutMonastery*INDEX(LM_Monastery,G278)</x:f>
        <x:v>0</x:v>
      </x:c>
      <x:c r="AM278" s="32" t="n">
        <x:f>(AJ278+AK278+AL278)/4*INDEX(LM_All,G278)*INDEX(v01_Boon,G278)*Arch_Insight</x:f>
        <x:v>2.2943697634227473</x:v>
      </x:c>
      <x:c r="AN278" s="32" t="n">
        <x:f>H278*(v01_KHPerAdult*Z278+v01_KHOfCommons*AJ278/4*INDEX(LM_All,G278))*v01_KHUsable*Arch_KH</x:f>
        <x:v>0.36595697508805586</x:v>
      </x:c>
      <x:c r="AO278" s="32" t="n">
        <x:f>MIN(AP277+AN278,AM278*v01_KHMaxRatio)</x:f>
        <x:v>0.36595697508805586</x:v>
      </x:c>
      <x:c r="AP278" s="32" t="n">
        <x:f>AP277+AN278-AO278</x:f>
        <x:v>0</x:v>
      </x:c>
      <x:c r="AQ278" s="32" t="n">
        <x:f>AM278+AO278</x:f>
        <x:v>2.660326738510803</x:v>
      </x:c>
      <x:c r="AR278" s="10" t="n">
        <x:f>IF(H278=1,INDEX(v01_Req,G278),0)</x:f>
        <x:v>1067.32</x:v>
      </x:c>
      <x:c r="AS278" s="32" t="n">
        <x:f>IF(H278=1,IF(E278=1,AS277-AR277,AS277)+AQ278,0)</x:f>
        <x:v>101.92317549728406</x:v>
      </x:c>
      <x:c r="AT278" s="11" t="n">
        <x:f>IF(AR278&gt;0,MIN(1,AS278/AR278),1)</x:f>
        <x:v>0.09549448665562724</x:v>
      </x:c>
      <x:c r="AU278" s="10" t="n">
        <x:f>AB278/INDEX(v01_RepScale,G278)</x:f>
        <x:v>23.20977009794984</x:v>
      </x:c>
      <x:c r="AV278" s="32" t="n">
        <x:f>AM278*60/v01_SeasonSeconds</x:f>
        <x:v>9.17747905369099</x:v>
      </x:c>
    </x:row>
    <x:row r="279">
      <x:c r="A279" s="8" t="n">
        <x:f>A278+1</x:f>
        <x:v>276</x:v>
      </x:c>
      <x:c r="B279" s="9" t="n">
        <x:f>A279*v01_SeasonSeconds/60</x:f>
        <x:v>69</x:v>
      </x:c>
      <x:c r="C279" s="9" t="n">
        <x:f>A279/4</x:f>
        <x:v>69</x:v>
      </x:c>
      <x:c r="D279" s="8" t="n">
        <x:f>IF(MOD(A279,4)=0,1,0)</x:f>
        <x:v>1</x:v>
      </x:c>
      <x:c r="E279" s="8" t="n">
        <x:f>IF(AND(F278&lt;=9,AS278&gt;=AR278),1,0)</x:f>
        <x:v>0</x:v>
      </x:c>
      <x:c r="F279" s="8" t="n">
        <x:f>MIN(10,F278+E279)</x:f>
        <x:v>1</x:v>
      </x:c>
      <x:c r="G279" s="8" t="n">
        <x:f>MIN(F279,9)+1</x:f>
        <x:v>2</x:v>
      </x:c>
      <x:c r="H279" s="8" t="n">
        <x:f>IF(F279&lt;=9,1,0)</x:f>
        <x:v>1</x:v>
      </x:c>
      <x:c r="I279" s="9" t="n">
        <x:f>MIN(10,F278+IF(AR278&gt;0,MIN(1,AS278/AR278),1))</x:f>
        <x:v>1.0954944866556273</x:v>
      </x:c>
      <x:c r="J279" s="32" t="n">
        <x:f>INDEX(v01_FoodCap,G279)*Arch_FoodCap*EXP(v01_CapsByProject*SUMPRODUCT((Cap_Point&lt;=I279)*(Cap_Kind="Food")*Cap_Ln))</x:f>
        <x:v>30</x:v>
      </x:c>
      <x:c r="K279" s="32" t="n">
        <x:f>J279*MIN(1,v01_LeanBase*EXP(v01_CapsByProject*SUMPRODUCT((Cap_Point&lt;=I279)*(Cap_Kind="Lean")*Cap_Ln)))</x:f>
        <x:v>30</x:v>
      </x:c>
      <x:c r="L279" s="10" t="n">
        <x:f>INDEX(v01_HousingCap,G279)*EXP(v01_CapsByProject*SUMPRODUCT((Cap_Point&lt;=I279)*(Cap_Kind="Housing")*Cap_Ln))</x:f>
        <x:v>60</x:v>
      </x:c>
      <x:c r="M279" s="10" t="n">
        <x:f>INDEX(v01_GroupCap,G279)*v01_CohesionFactor*EXP(v01_CapsByProject*SUMPRODUCT((Cap_Point&lt;=I279)*(Cap_Kind="Group")*Cap_Ln))</x:f>
        <x:v>100</x:v>
      </x:c>
      <x:c r="N279" s="32" t="n">
        <x:f>MIN(J279,L279,M279)</x:f>
        <x:v>30</x:v>
      </x:c>
      <x:c r="O279" s="10" t="n">
        <x:f>AE278*N279</x:f>
        <x:v>30</x:v>
      </x:c>
      <x:c r="P279" s="9" t="n">
        <x:f>MIN(1,(AB278/(AE278*IF(v01_GroupInCrowding=1,N279,MIN(J279,L279))))^v01_CrowdingExp)</x:f>
        <x:v>0.21443590416306166</x:v>
      </x:c>
      <x:c r="Q279" s="9" t="n">
        <x:f>IF(D279=1,INDEX(v01_WinterMult,G279),1)</x:f>
        <x:v>1.6</x:v>
      </x:c>
      <x:c r="R279" s="9" t="n">
        <x:f>H279*Z278*v01_WomenShare*v01_BaseFertility*INDEX(v01_FertMult,G279)*Arch_Fertility*(1-P279)</x:f>
        <x:v>0.30801713598243163</x:v>
      </x:c>
      <x:c r="S279" s="9" t="n">
        <x:f>H279*Y278*INDEX(v01_MortChild,G279)/4*Q279</x:f>
        <x:v>0.1371525129629658</x:v>
      </x:c>
      <x:c r="T279" s="9" t="n">
        <x:f>H279*Z278*INDEX(v01_MortAdult,G279)*Arch_AdultMort/4*Q279</x:f>
        <x:v>0.05437075058451116</x:v>
      </x:c>
      <x:c r="U279" s="9" t="n">
        <x:f>H279*AA278*INDEX(v01_MortElder,G279)/4*Q279</x:f>
        <x:v>0.0946319505671078</x:v>
      </x:c>
      <x:c r="V279" s="9" t="n">
        <x:f>H279*MAX(0,AB278-O279)*v01_OvercapLoss</x:f>
        <x:v>0</x:v>
      </x:c>
      <x:c r="W279" s="9" t="n">
        <x:f>H279*Y278/(v01_ChildYears*4)</x:f>
        <x:v>0.17493942979970126</x:v>
      </x:c>
      <x:c r="X279" s="9" t="n">
        <x:f>H279*Z278/(v01_AdultYears*4)</x:f>
        <x:v>0.08432188366084237</x:v>
      </x:c>
      <x:c r="Y279" s="32" t="n">
        <x:f>Y278+R279-S279-W279-Y278*V279/AB278</x:f>
        <x:v>9.792533262003035</x:v>
      </x:c>
      <x:c r="Z279" s="32" t="n">
        <x:f>Z278+W279-X279-T279-Z278*V279/AB278</x:f>
        <x:v>10.492160369498801</x:v>
      </x:c>
      <x:c r="AA279" s="32" t="n">
        <x:f>AA278+X279-U279-AA278*V279/AB278</x:f>
        <x:v>2.946938388315853</x:v>
      </x:c>
      <x:c r="AB279" s="10" t="n">
        <x:f>Y279+Z279+AA279</x:f>
        <x:v>23.23163201981769</x:v>
      </x:c>
      <x:c r="AC279" s="8" t="n">
        <x:f>IF(AND(v01_WinterTrigger=1,D279=1,AB278/AE278&gt;=K279),1,0)</x:f>
        <x:v>0</x:v>
      </x:c>
      <x:c r="AD279" s="8" t="n">
        <x:f>H279*IF(AND(OR(AB278/AE278&gt;=v01_FissionTrigger*N279,AC279=1),AB278/AE278*v01_DaughterShare&gt;=v01_MinDaughter),MAX(1,ROUND(AE278*v01_FissionRate,0)),0)</x:f>
        <x:v>0</x:v>
      </x:c>
      <x:c r="AE279" s="8" t="n">
        <x:f>IF(H279=1,MAX(1,MIN(INDEX(v01_Smax,G279),AE278+AD279)),AE278)</x:f>
        <x:v>1</x:v>
      </x:c>
      <x:c r="AF279" s="8" t="n">
        <x:f>MAX(0,AE279-AE278)</x:f>
        <x:v>0</x:v>
      </x:c>
      <x:c r="AG279" s="9" t="str">
        <x:f>IF(AF279&gt;0,B279,"")</x:f>
      </x:c>
      <x:c r="AH279" s="9" t="n">
        <x:f>IF(F279&gt;=1,1,(1+v01_LowTiesShare*(AE279-1))/AE279)</x:f>
        <x:v>1</x:v>
      </x:c>
      <x:c r="AI279" s="32" t="n">
        <x:f>(Z279+v01_ElderCommons*INDEX(LM_Elder,G279)*AA279)*AH279</x:f>
        <x:v>17.710655724292472</x:v>
      </x:c>
      <x:c r="AJ279" s="32" t="n">
        <x:f>H279*v01_CommonsCoef*AI279^v01_CommonsExp*INDEX(LM_Commons,G279)</x:f>
        <x:v>7.595272857079994</x:v>
      </x:c>
      <x:c r="AK279" s="32" t="n">
        <x:f>H279*v01_RoleScale*Arch_Roles*(AE279*(INDEX(v01_ElderRolePerSett,G279)*v01_OutElder*INDEX(LM_Elder,G279)+INDEX(v01_ShamanPerSett,G279)*v01_OutShaman)+Z279*(INDEX(v01_PriestShare,G279)*v01_OutPriest+INDEX(v01_ScribeShare,G279)*v01_OutScribe*INDEX(LM_Scribe,G279)+INDEX(v01_ScholarShare,G279)*v01_OutScholar*INDEX(LM_Scholar,G279)+INDEX(v01_ResearcherShare,G279)*v01_OutResearcher*INDEX(LM_Researcher,G279)))</x:f>
        <x:v>1.3623724356957945</x:v>
      </x:c>
      <x:c r="AL279" s="32" t="n">
        <x:f>H279*v01_RoleScale*Arch_Roles*AE279*INDEX(v01_MonasteryPerSett,G279)*v01_OutMonastery*INDEX(LM_Monastery,G279)</x:f>
        <x:v>0</x:v>
      </x:c>
      <x:c r="AM279" s="32" t="n">
        <x:f>(AJ279+AK279+AL279)/4*INDEX(LM_All,G279)*INDEX(v01_Boon,G279)*Arch_Insight</x:f>
        <x:v>2.295396606273796</x:v>
      </x:c>
      <x:c r="AN279" s="32" t="n">
        <x:f>H279*(v01_KHPerAdult*Z279+v01_KHOfCommons*AJ279/4*INDEX(LM_All,G279))*v01_KHUsable*Arch_KH</x:f>
        <x:v>0.36722561293245803</x:v>
      </x:c>
      <x:c r="AO279" s="32" t="n">
        <x:f>MIN(AP278+AN279,AM279*v01_KHMaxRatio)</x:f>
        <x:v>0.36722561293245803</x:v>
      </x:c>
      <x:c r="AP279" s="32" t="n">
        <x:f>AP278+AN279-AO279</x:f>
        <x:v>0</x:v>
      </x:c>
      <x:c r="AQ279" s="32" t="n">
        <x:f>AM279+AO279</x:f>
        <x:v>2.662622219206254</x:v>
      </x:c>
      <x:c r="AR279" s="10" t="n">
        <x:f>IF(H279=1,INDEX(v01_Req,G279),0)</x:f>
        <x:v>1067.32</x:v>
      </x:c>
      <x:c r="AS279" s="32" t="n">
        <x:f>IF(H279=1,IF(E279=1,AS278-AR278,AS278)+AQ279,0)</x:f>
        <x:v>104.58579771649032</x:v>
      </x:c>
      <x:c r="AT279" s="11" t="n">
        <x:f>IF(AR279&gt;0,MIN(1,AS279/AR279),1)</x:f>
        <x:v>0.0979891669944256</x:v>
      </x:c>
      <x:c r="AU279" s="10" t="n">
        <x:f>AB279/INDEX(v01_RepScale,G279)</x:f>
        <x:v>23.23163201981769</x:v>
      </x:c>
      <x:c r="AV279" s="32" t="n">
        <x:f>AM279*60/v01_SeasonSeconds</x:f>
        <x:v>9.181586425095183</x:v>
      </x:c>
    </x:row>
    <x:row r="280">
      <x:c r="A280" s="8" t="n">
        <x:f>A279+1</x:f>
        <x:v>277</x:v>
      </x:c>
      <x:c r="B280" s="9" t="n">
        <x:f>A280*v01_SeasonSeconds/60</x:f>
        <x:v>69.25</x:v>
      </x:c>
      <x:c r="C280" s="9" t="n">
        <x:f>A280/4</x:f>
        <x:v>69.25</x:v>
      </x:c>
      <x:c r="D280" s="8" t="n">
        <x:f>IF(MOD(A280,4)=0,1,0)</x:f>
        <x:v>0</x:v>
      </x:c>
      <x:c r="E280" s="8" t="n">
        <x:f>IF(AND(F279&lt;=9,AS279&gt;=AR279),1,0)</x:f>
        <x:v>0</x:v>
      </x:c>
      <x:c r="F280" s="8" t="n">
        <x:f>MIN(10,F279+E280)</x:f>
        <x:v>1</x:v>
      </x:c>
      <x:c r="G280" s="8" t="n">
        <x:f>MIN(F280,9)+1</x:f>
        <x:v>2</x:v>
      </x:c>
      <x:c r="H280" s="8" t="n">
        <x:f>IF(F280&lt;=9,1,0)</x:f>
        <x:v>1</x:v>
      </x:c>
      <x:c r="I280" s="9" t="n">
        <x:f>MIN(10,F279+IF(AR279&gt;0,MIN(1,AS279/AR279),1))</x:f>
        <x:v>1.0979891669944255</x:v>
      </x:c>
      <x:c r="J280" s="32" t="n">
        <x:f>INDEX(v01_FoodCap,G280)*Arch_FoodCap*EXP(v01_CapsByProject*SUMPRODUCT((Cap_Point&lt;=I280)*(Cap_Kind="Food")*Cap_Ln))</x:f>
        <x:v>30</x:v>
      </x:c>
      <x:c r="K280" s="32" t="n">
        <x:f>J280*MIN(1,v01_LeanBase*EXP(v01_CapsByProject*SUMPRODUCT((Cap_Point&lt;=I280)*(Cap_Kind="Lean")*Cap_Ln)))</x:f>
        <x:v>30</x:v>
      </x:c>
      <x:c r="L280" s="10" t="n">
        <x:f>INDEX(v01_HousingCap,G280)*EXP(v01_CapsByProject*SUMPRODUCT((Cap_Point&lt;=I280)*(Cap_Kind="Housing")*Cap_Ln))</x:f>
        <x:v>60</x:v>
      </x:c>
      <x:c r="M280" s="10" t="n">
        <x:f>INDEX(v01_GroupCap,G280)*v01_CohesionFactor*EXP(v01_CapsByProject*SUMPRODUCT((Cap_Point&lt;=I280)*(Cap_Kind="Group")*Cap_Ln))</x:f>
        <x:v>100</x:v>
      </x:c>
      <x:c r="N280" s="32" t="n">
        <x:f>MIN(J280,L280,M280)</x:f>
        <x:v>30</x:v>
      </x:c>
      <x:c r="O280" s="10" t="n">
        <x:f>AE279*N280</x:f>
        <x:v>30</x:v>
      </x:c>
      <x:c r="P280" s="9" t="n">
        <x:f>MIN(1,(AB279/(AE279*IF(v01_GroupInCrowding=1,N280,MIN(J280,L280))))^v01_CrowdingExp)</x:f>
        <x:v>0.21565066006531047</x:v>
      </x:c>
      <x:c r="Q280" s="9" t="n">
        <x:f>IF(D280=1,INDEX(v01_WinterMult,G280),1)</x:f>
        <x:v>1</x:v>
      </x:c>
      <x:c r="R280" s="9" t="n">
        <x:f>H280*Z279*v01_WomenShare*v01_BaseFertility*INDEX(v01_FertMult,G280)*Arch_Fertility*(1-P280)</x:f>
        <x:v>0.30860696476144844</x:v>
      </x:c>
      <x:c r="S280" s="9" t="n">
        <x:f>H280*Y279*INDEX(v01_MortChild,G280)/4*Q280</x:f>
        <x:v>0.08568466604252656</x:v>
      </x:c>
      <x:c r="T280" s="9" t="n">
        <x:f>H280*Z279*INDEX(v01_MortAdult,G280)*Arch_AdultMort/4*Q280</x:f>
        <x:v>0.034099521200871105</x:v>
      </x:c>
      <x:c r="U280" s="9" t="n">
        <x:f>H280*AA279*INDEX(v01_MortElder,G280)/4*Q280</x:f>
        <x:v>0.05893876776631706</x:v>
      </x:c>
      <x:c r="V280" s="9" t="n">
        <x:f>H280*MAX(0,AB279-O280)*v01_OvercapLoss</x:f>
        <x:v>0</x:v>
      </x:c>
      <x:c r="W280" s="9" t="n">
        <x:f>H280*Y279/(v01_ChildYears*4)</x:f>
        <x:v>0.17486666539291135</x:v>
      </x:c>
      <x:c r="X280" s="9" t="n">
        <x:f>H280*Z279/(v01_AdultYears*4)</x:f>
        <x:v>0.08461419652821614</x:v>
      </x:c>
      <x:c r="Y280" s="32" t="n">
        <x:f>Y279+R280-S280-W280-Y279*V280/AB279</x:f>
        <x:v>9.840588895329045</x:v>
      </x:c>
      <x:c r="Z280" s="32" t="n">
        <x:f>Z279+W280-X280-T280-Z279*V280/AB279</x:f>
        <x:v>10.548313317162627</x:v>
      </x:c>
      <x:c r="AA280" s="32" t="n">
        <x:f>AA279+X280-U280-AA279*V280/AB279</x:f>
        <x:v>2.972613817077752</x:v>
      </x:c>
      <x:c r="AB280" s="10" t="n">
        <x:f>Y280+Z280+AA280</x:f>
        <x:v>23.361516029569422</x:v>
      </x:c>
      <x:c r="AC280" s="8" t="n">
        <x:f>IF(AND(v01_WinterTrigger=1,D280=1,AB279/AE279&gt;=K280),1,0)</x:f>
        <x:v>0</x:v>
      </x:c>
      <x:c r="AD280" s="8" t="n">
        <x:f>H280*IF(AND(OR(AB279/AE279&gt;=v01_FissionTrigger*N280,AC280=1),AB279/AE279*v01_DaughterShare&gt;=v01_MinDaughter),MAX(1,ROUND(AE279*v01_FissionRate,0)),0)</x:f>
        <x:v>0</x:v>
      </x:c>
      <x:c r="AE280" s="8" t="n">
        <x:f>IF(H280=1,MAX(1,MIN(INDEX(v01_Smax,G280),AE279+AD280)),AE279)</x:f>
        <x:v>1</x:v>
      </x:c>
      <x:c r="AF280" s="8" t="n">
        <x:f>MAX(0,AE280-AE279)</x:f>
        <x:v>0</x:v>
      </x:c>
      <x:c r="AG280" s="9" t="str">
        <x:f>IF(AF280&gt;0,B280,"")</x:f>
      </x:c>
      <x:c r="AH280" s="9" t="n">
        <x:f>IF(F280&gt;=1,1,(1+v01_LowTiesShare*(AE280-1))/AE280)</x:f>
        <x:v>1</x:v>
      </x:c>
      <x:c r="AI280" s="32" t="n">
        <x:f>(Z280+v01_ElderCommons*INDEX(LM_Elder,G280)*AA280)*AH280</x:f>
        <x:v>17.829700371350132</x:v>
      </x:c>
      <x:c r="AJ280" s="32" t="n">
        <x:f>H280*v01_CommonsCoef*AI280^v01_CommonsExp*INDEX(LM_Commons,G280)</x:f>
        <x:v>7.638645821525538</x:v>
      </x:c>
      <x:c r="AK280" s="32" t="n">
        <x:f>H280*v01_RoleScale*Arch_Roles*(AE280*(INDEX(v01_ElderRolePerSett,G280)*v01_OutElder*INDEX(LM_Elder,G280)+INDEX(v01_ShamanPerSett,G280)*v01_OutShaman)+Z280*(INDEX(v01_PriestShare,G280)*v01_OutPriest+INDEX(v01_ScribeShare,G280)*v01_OutScribe*INDEX(LM_Scribe,G280)+INDEX(v01_ScholarShare,G280)*v01_OutScholar*INDEX(LM_Scholar,G280)+INDEX(v01_ResearcherShare,G280)*v01_OutResearcher*INDEX(LM_Researcher,G280)))</x:f>
        <x:v>1.3623724356957945</x:v>
      </x:c>
      <x:c r="AL280" s="32" t="n">
        <x:f>H280*v01_RoleScale*Arch_Roles*AE280*INDEX(v01_MonasteryPerSett,G280)*v01_OutMonastery*INDEX(LM_Monastery,G280)</x:f>
        <x:v>0</x:v>
      </x:c>
      <x:c r="AM280" s="32" t="n">
        <x:f>(AJ280+AK280+AL280)/4*INDEX(LM_All,G280)*INDEX(v01_Boon,G280)*Arch_Insight</x:f>
        <x:v>2.3065109284129663</x:v>
      </x:c>
      <x:c r="AN280" s="32" t="n">
        <x:f>H280*(v01_KHPerAdult*Z280+v01_KHOfCommons*AJ280/4*INDEX(LM_All,G280))*v01_KHUsable*Arch_KH</x:f>
        <x:v>0.36919096610069196</x:v>
      </x:c>
      <x:c r="AO280" s="32" t="n">
        <x:f>MIN(AP279+AN280,AM280*v01_KHMaxRatio)</x:f>
        <x:v>0.36919096610069196</x:v>
      </x:c>
      <x:c r="AP280" s="32" t="n">
        <x:f>AP279+AN280-AO280</x:f>
        <x:v>0</x:v>
      </x:c>
      <x:c r="AQ280" s="32" t="n">
        <x:f>AM280+AO280</x:f>
        <x:v>2.6757018945136584</x:v>
      </x:c>
      <x:c r="AR280" s="10" t="n">
        <x:f>IF(H280=1,INDEX(v01_Req,G280),0)</x:f>
        <x:v>1067.32</x:v>
      </x:c>
      <x:c r="AS280" s="32" t="n">
        <x:f>IF(H280=1,IF(E280=1,AS279-AR279,AS279)+AQ280,0)</x:f>
        <x:v>107.26149961100398</x:v>
      </x:c>
      <x:c r="AT280" s="11" t="n">
        <x:f>IF(AR280&gt;0,MIN(1,AS280/AR280),1)</x:f>
        <x:v>0.10049610202282726</x:v>
      </x:c>
      <x:c r="AU280" s="10" t="n">
        <x:f>AB280/INDEX(v01_RepScale,G280)</x:f>
        <x:v>23.361516029569422</x:v>
      </x:c>
      <x:c r="AV280" s="32" t="n">
        <x:f>AM280*60/v01_SeasonSeconds</x:f>
        <x:v>9.226043713651865</x:v>
      </x:c>
    </x:row>
    <x:row r="281">
      <x:c r="A281" s="8" t="n">
        <x:f>A280+1</x:f>
        <x:v>278</x:v>
      </x:c>
      <x:c r="B281" s="9" t="n">
        <x:f>A281*v01_SeasonSeconds/60</x:f>
        <x:v>69.5</x:v>
      </x:c>
      <x:c r="C281" s="9" t="n">
        <x:f>A281/4</x:f>
        <x:v>69.5</x:v>
      </x:c>
      <x:c r="D281" s="8" t="n">
        <x:f>IF(MOD(A281,4)=0,1,0)</x:f>
        <x:v>0</x:v>
      </x:c>
      <x:c r="E281" s="8" t="n">
        <x:f>IF(AND(F280&lt;=9,AS280&gt;=AR280),1,0)</x:f>
        <x:v>0</x:v>
      </x:c>
      <x:c r="F281" s="8" t="n">
        <x:f>MIN(10,F280+E281)</x:f>
        <x:v>1</x:v>
      </x:c>
      <x:c r="G281" s="8" t="n">
        <x:f>MIN(F281,9)+1</x:f>
        <x:v>2</x:v>
      </x:c>
      <x:c r="H281" s="8" t="n">
        <x:f>IF(F281&lt;=9,1,0)</x:f>
        <x:v>1</x:v>
      </x:c>
      <x:c r="I281" s="9" t="n">
        <x:f>MIN(10,F280+IF(AR280&gt;0,MIN(1,AS280/AR280),1))</x:f>
        <x:v>1.1004961020228272</x:v>
      </x:c>
      <x:c r="J281" s="32" t="n">
        <x:f>INDEX(v01_FoodCap,G281)*Arch_FoodCap*EXP(v01_CapsByProject*SUMPRODUCT((Cap_Point&lt;=I281)*(Cap_Kind="Food")*Cap_Ln))</x:f>
        <x:v>30</x:v>
      </x:c>
      <x:c r="K281" s="32" t="n">
        <x:f>J281*MIN(1,v01_LeanBase*EXP(v01_CapsByProject*SUMPRODUCT((Cap_Point&lt;=I281)*(Cap_Kind="Lean")*Cap_Ln)))</x:f>
        <x:v>30</x:v>
      </x:c>
      <x:c r="L281" s="10" t="n">
        <x:f>INDEX(v01_HousingCap,G281)*EXP(v01_CapsByProject*SUMPRODUCT((Cap_Point&lt;=I281)*(Cap_Kind="Housing")*Cap_Ln))</x:f>
        <x:v>60</x:v>
      </x:c>
      <x:c r="M281" s="10" t="n">
        <x:f>INDEX(v01_GroupCap,G281)*v01_CohesionFactor*EXP(v01_CapsByProject*SUMPRODUCT((Cap_Point&lt;=I281)*(Cap_Kind="Group")*Cap_Ln))</x:f>
        <x:v>100</x:v>
      </x:c>
      <x:c r="N281" s="32" t="n">
        <x:f>MIN(J281,L281,M281)</x:f>
        <x:v>30</x:v>
      </x:c>
      <x:c r="O281" s="10" t="n">
        <x:f>AE280*N281</x:f>
        <x:v>30</x:v>
      </x:c>
      <x:c r="P281" s="9" t="n">
        <x:f>MIN(1,(AB280/(AE280*IF(v01_GroupInCrowding=1,N281,MIN(J281,L281))))^v01_CrowdingExp)</x:f>
        <x:v>0.2229865186818013</x:v>
      </x:c>
      <x:c r="Q281" s="9" t="n">
        <x:f>IF(D281=1,INDEX(v01_WinterMult,G281),1)</x:f>
        <x:v>1</x:v>
      </x:c>
      <x:c r="R281" s="9" t="n">
        <x:f>H281*Z280*v01_WomenShare*v01_BaseFertility*INDEX(v01_FertMult,G281)*Arch_Fertility*(1-P281)</x:f>
        <x:v>0.30735681197263687</x:v>
      </x:c>
      <x:c r="S281" s="9" t="n">
        <x:f>H281*Y280*INDEX(v01_MortChild,G281)/4*Q281</x:f>
        <x:v>0.08610515283412916</x:v>
      </x:c>
      <x:c r="T281" s="9" t="n">
        <x:f>H281*Z280*INDEX(v01_MortAdult,G281)*Arch_AdultMort/4*Q281</x:f>
        <x:v>0.03428201828077854</x:v>
      </x:c>
      <x:c r="U281" s="9" t="n">
        <x:f>H281*AA280*INDEX(v01_MortElder,G281)/4*Q281</x:f>
        <x:v>0.05945227634155504</x:v>
      </x:c>
      <x:c r="V281" s="9" t="n">
        <x:f>H281*MAX(0,AB280-O281)*v01_OvercapLoss</x:f>
        <x:v>0</x:v>
      </x:c>
      <x:c r="W281" s="9" t="n">
        <x:f>H281*Y280/(v01_ChildYears*4)</x:f>
        <x:v>0.17572480170230437</x:v>
      </x:c>
      <x:c r="X281" s="9" t="n">
        <x:f>H281*Z280/(v01_AdultYears*4)</x:f>
        <x:v>0.08506704288034377</x:v>
      </x:c>
      <x:c r="Y281" s="32" t="n">
        <x:f>Y280+R281-S281-W281-Y280*V281/AB280</x:f>
        <x:v>9.886115752765248</x:v>
      </x:c>
      <x:c r="Z281" s="32" t="n">
        <x:f>Z280+W281-X281-T281-Z280*V281/AB280</x:f>
        <x:v>10.60468905770381</x:v>
      </x:c>
      <x:c r="AA281" s="32" t="n">
        <x:f>AA280+X281-U281-AA280*V281/AB280</x:f>
        <x:v>2.9982285836165405</x:v>
      </x:c>
      <x:c r="AB281" s="10" t="n">
        <x:f>Y281+Z281+AA281</x:f>
        <x:v>23.4890333940856</x:v>
      </x:c>
      <x:c r="AC281" s="8" t="n">
        <x:f>IF(AND(v01_WinterTrigger=1,D281=1,AB280/AE280&gt;=K281),1,0)</x:f>
        <x:v>0</x:v>
      </x:c>
      <x:c r="AD281" s="8" t="n">
        <x:f>H281*IF(AND(OR(AB280/AE280&gt;=v01_FissionTrigger*N281,AC281=1),AB280/AE280*v01_DaughterShare&gt;=v01_MinDaughter),MAX(1,ROUND(AE280*v01_FissionRate,0)),0)</x:f>
        <x:v>0</x:v>
      </x:c>
      <x:c r="AE281" s="8" t="n">
        <x:f>IF(H281=1,MAX(1,MIN(INDEX(v01_Smax,G281),AE280+AD281)),AE280)</x:f>
        <x:v>1</x:v>
      </x:c>
      <x:c r="AF281" s="8" t="n">
        <x:f>MAX(0,AE281-AE280)</x:f>
        <x:v>0</x:v>
      </x:c>
      <x:c r="AG281" s="9" t="str">
        <x:f>IF(AF281&gt;0,B281,"")</x:f>
      </x:c>
      <x:c r="AH281" s="9" t="n">
        <x:f>IF(F281&gt;=1,1,(1+v01_LowTiesShare*(AE281-1))/AE281)</x:f>
        <x:v>1</x:v>
      </x:c>
      <x:c r="AI281" s="32" t="n">
        <x:f>(Z281+v01_ElderCommons*INDEX(LM_Elder,G281)*AA281)*AH281</x:f>
        <x:v>17.94881921979186</x:v>
      </x:c>
      <x:c r="AJ281" s="32" t="n">
        <x:f>H281*v01_CommonsCoef*AI281^v01_CommonsExp*INDEX(LM_Commons,G281)</x:f>
        <x:v>7.68200236287986</x:v>
      </x:c>
      <x:c r="AK281" s="32" t="n">
        <x:f>H281*v01_RoleScale*Arch_Roles*(AE281*(INDEX(v01_ElderRolePerSett,G281)*v01_OutElder*INDEX(LM_Elder,G281)+INDEX(v01_ShamanPerSett,G281)*v01_OutShaman)+Z281*(INDEX(v01_PriestShare,G281)*v01_OutPriest+INDEX(v01_ScribeShare,G281)*v01_OutScribe*INDEX(LM_Scribe,G281)+INDEX(v01_ScholarShare,G281)*v01_OutScholar*INDEX(LM_Scholar,G281)+INDEX(v01_ResearcherShare,G281)*v01_OutResearcher*INDEX(LM_Researcher,G281)))</x:f>
        <x:v>1.3623724356957945</x:v>
      </x:c>
      <x:c r="AL281" s="32" t="n">
        <x:f>H281*v01_RoleScale*Arch_Roles*AE281*INDEX(v01_MonasteryPerSett,G281)*v01_OutMonastery*INDEX(LM_Monastery,G281)</x:f>
        <x:v>0</x:v>
      </x:c>
      <x:c r="AM281" s="32" t="n">
        <x:f>(AJ281+AK281+AL281)/4*INDEX(LM_All,G281)*INDEX(v01_Boon,G281)*Arch_Insight</x:f>
        <x:v>2.3176210421350114</x:v>
      </x:c>
      <x:c r="AN281" s="32" t="n">
        <x:f>H281*(v01_KHPerAdult*Z281+v01_KHOfCommons*AJ281/4*INDEX(LM_All,G281))*v01_KHUsable*Arch_KH</x:f>
        <x:v>0.37116411701963337</x:v>
      </x:c>
      <x:c r="AO281" s="32" t="n">
        <x:f>MIN(AP280+AN281,AM281*v01_KHMaxRatio)</x:f>
        <x:v>0.37116411701963337</x:v>
      </x:c>
      <x:c r="AP281" s="32" t="n">
        <x:f>AP280+AN281-AO281</x:f>
        <x:v>0</x:v>
      </x:c>
      <x:c r="AQ281" s="32" t="n">
        <x:f>AM281+AO281</x:f>
        <x:v>2.6887851591546448</x:v>
      </x:c>
      <x:c r="AR281" s="10" t="n">
        <x:f>IF(H281=1,INDEX(v01_Req,G281),0)</x:f>
        <x:v>1067.32</x:v>
      </x:c>
      <x:c r="AS281" s="32" t="n">
        <x:f>IF(H281=1,IF(E281=1,AS280-AR280,AS280)+AQ281,0)</x:f>
        <x:v>109.95028477015863</x:v>
      </x:c>
      <x:c r="AT281" s="11" t="n">
        <x:f>IF(AR281&gt;0,MIN(1,AS281/AR281),1)</x:f>
        <x:v>0.10301529510377266</x:v>
      </x:c>
      <x:c r="AU281" s="10" t="n">
        <x:f>AB281/INDEX(v01_RepScale,G281)</x:f>
        <x:v>23.4890333940856</x:v>
      </x:c>
      <x:c r="AV281" s="32" t="n">
        <x:f>AM281*60/v01_SeasonSeconds</x:f>
        <x:v>9.270484168540046</x:v>
      </x:c>
    </x:row>
    <x:row r="282">
      <x:c r="A282" s="8" t="n">
        <x:f>A281+1</x:f>
        <x:v>279</x:v>
      </x:c>
      <x:c r="B282" s="9" t="n">
        <x:f>A282*v01_SeasonSeconds/60</x:f>
        <x:v>69.75</x:v>
      </x:c>
      <x:c r="C282" s="9" t="n">
        <x:f>A282/4</x:f>
        <x:v>69.75</x:v>
      </x:c>
      <x:c r="D282" s="8" t="n">
        <x:f>IF(MOD(A282,4)=0,1,0)</x:f>
        <x:v>0</x:v>
      </x:c>
      <x:c r="E282" s="8" t="n">
        <x:f>IF(AND(F281&lt;=9,AS281&gt;=AR281),1,0)</x:f>
        <x:v>0</x:v>
      </x:c>
      <x:c r="F282" s="8" t="n">
        <x:f>MIN(10,F281+E282)</x:f>
        <x:v>1</x:v>
      </x:c>
      <x:c r="G282" s="8" t="n">
        <x:f>MIN(F282,9)+1</x:f>
        <x:v>2</x:v>
      </x:c>
      <x:c r="H282" s="8" t="n">
        <x:f>IF(F282&lt;=9,1,0)</x:f>
        <x:v>1</x:v>
      </x:c>
      <x:c r="I282" s="9" t="n">
        <x:f>MIN(10,F281+IF(AR281&gt;0,MIN(1,AS281/AR281),1))</x:f>
        <x:v>1.1030152951037726</x:v>
      </x:c>
      <x:c r="J282" s="32" t="n">
        <x:f>INDEX(v01_FoodCap,G282)*Arch_FoodCap*EXP(v01_CapsByProject*SUMPRODUCT((Cap_Point&lt;=I282)*(Cap_Kind="Food")*Cap_Ln))</x:f>
        <x:v>30</x:v>
      </x:c>
      <x:c r="K282" s="32" t="n">
        <x:f>J282*MIN(1,v01_LeanBase*EXP(v01_CapsByProject*SUMPRODUCT((Cap_Point&lt;=I282)*(Cap_Kind="Lean")*Cap_Ln)))</x:f>
        <x:v>30</x:v>
      </x:c>
      <x:c r="L282" s="10" t="n">
        <x:f>INDEX(v01_HousingCap,G282)*EXP(v01_CapsByProject*SUMPRODUCT((Cap_Point&lt;=I282)*(Cap_Kind="Housing")*Cap_Ln))</x:f>
        <x:v>60</x:v>
      </x:c>
      <x:c r="M282" s="10" t="n">
        <x:f>INDEX(v01_GroupCap,G282)*v01_CohesionFactor*EXP(v01_CapsByProject*SUMPRODUCT((Cap_Point&lt;=I282)*(Cap_Kind="Group")*Cap_Ln))</x:f>
        <x:v>100</x:v>
      </x:c>
      <x:c r="N282" s="32" t="n">
        <x:f>MIN(J282,L282,M282)</x:f>
        <x:v>30</x:v>
      </x:c>
      <x:c r="O282" s="10" t="n">
        <x:f>AE281*N282</x:f>
        <x:v>30</x:v>
      </x:c>
      <x:c r="P282" s="9" t="n">
        <x:f>MIN(1,(AB281/(AE281*IF(v01_GroupInCrowding=1,N282,MIN(J282,L282))))^v01_CrowdingExp)</x:f>
        <x:v>0.23038985088925537</x:v>
      </x:c>
      <x:c r="Q282" s="9" t="n">
        <x:f>IF(D282=1,INDEX(v01_WinterMult,G282),1)</x:f>
        <x:v>1</x:v>
      </x:c>
      <x:c r="R282" s="9" t="n">
        <x:f>H282*Z281*v01_WomenShare*v01_BaseFertility*INDEX(v01_FertMult,G282)*Arch_Fertility*(1-P282)</x:f>
        <x:v>0.30605536226146923</x:v>
      </x:c>
      <x:c r="S282" s="9" t="n">
        <x:f>H282*Y281*INDEX(v01_MortChild,G282)/4*Q282</x:f>
        <x:v>0.08650351283669593</x:v>
      </x:c>
      <x:c r="T282" s="9" t="n">
        <x:f>H282*Z281*INDEX(v01_MortAdult,G282)*Arch_AdultMort/4*Q282</x:f>
        <x:v>0.03446523943753738</x:v>
      </x:c>
      <x:c r="U282" s="9" t="n">
        <x:f>H282*AA281*INDEX(v01_MortElder,G282)/4*Q282</x:f>
        <x:v>0.05996457167233081</x:v>
      </x:c>
      <x:c r="V282" s="9" t="n">
        <x:f>H282*MAX(0,AB281-O282)*v01_OvercapLoss</x:f>
        <x:v>0</x:v>
      </x:c>
      <x:c r="W282" s="9" t="n">
        <x:f>H282*Y281/(v01_ChildYears*4)</x:f>
        <x:v>0.17653778129937941</x:v>
      </x:c>
      <x:c r="X282" s="9" t="n">
        <x:f>H282*Z281/(v01_AdultYears*4)</x:f>
        <x:v>0.08552168594922428</x:v>
      </x:c>
      <x:c r="Y282" s="32" t="n">
        <x:f>Y281+R282-S282-W282-Y281*V282/AB281</x:f>
        <x:v>9.929129820890642</x:v>
      </x:c>
      <x:c r="Z282" s="32" t="n">
        <x:f>Z281+W282-X282-T282-Z281*V282/AB281</x:f>
        <x:v>10.661239913616427</x:v>
      </x:c>
      <x:c r="AA282" s="32" t="n">
        <x:f>AA281+X282-U282-AA281*V282/AB281</x:f>
        <x:v>3.0237856978934343</x:v>
      </x:c>
      <x:c r="AB282" s="10" t="n">
        <x:f>Y282+Z282+AA282</x:f>
        <x:v>23.614155432400505</x:v>
      </x:c>
      <x:c r="AC282" s="8" t="n">
        <x:f>IF(AND(v01_WinterTrigger=1,D282=1,AB281/AE281&gt;=K282),1,0)</x:f>
        <x:v>0</x:v>
      </x:c>
      <x:c r="AD282" s="8" t="n">
        <x:f>H282*IF(AND(OR(AB281/AE281&gt;=v01_FissionTrigger*N282,AC282=1),AB281/AE281*v01_DaughterShare&gt;=v01_MinDaughter),MAX(1,ROUND(AE281*v01_FissionRate,0)),0)</x:f>
        <x:v>0</x:v>
      </x:c>
      <x:c r="AE282" s="8" t="n">
        <x:f>IF(H282=1,MAX(1,MIN(INDEX(v01_Smax,G282),AE281+AD282)),AE281)</x:f>
        <x:v>1</x:v>
      </x:c>
      <x:c r="AF282" s="8" t="n">
        <x:f>MAX(0,AE282-AE281)</x:f>
        <x:v>0</x:v>
      </x:c>
      <x:c r="AG282" s="9" t="str">
        <x:f>IF(AF282&gt;0,B282,"")</x:f>
      </x:c>
      <x:c r="AH282" s="9" t="n">
        <x:f>IF(F282&gt;=1,1,(1+v01_LowTiesShare*(AE282-1))/AE282)</x:f>
        <x:v>1</x:v>
      </x:c>
      <x:c r="AI282" s="32" t="n">
        <x:f>(Z282+v01_ElderCommons*INDEX(LM_Elder,G282)*AA282)*AH282</x:f>
        <x:v>18.067971964980867</x:v>
      </x:c>
      <x:c r="AJ282" s="32" t="n">
        <x:f>H282*v01_CommonsCoef*AI282^v01_CommonsExp*INDEX(LM_Commons,G282)</x:f>
        <x:v>7.725328083727446</x:v>
      </x:c>
      <x:c r="AK282" s="32" t="n">
        <x:f>H282*v01_RoleScale*Arch_Roles*(AE282*(INDEX(v01_ElderRolePerSett,G282)*v01_OutElder*INDEX(LM_Elder,G282)+INDEX(v01_ShamanPerSett,G282)*v01_OutShaman)+Z282*(INDEX(v01_PriestShare,G282)*v01_OutPriest+INDEX(v01_ScribeShare,G282)*v01_OutScribe*INDEX(LM_Scribe,G282)+INDEX(v01_ScholarShare,G282)*v01_OutScholar*INDEX(LM_Scholar,G282)+INDEX(v01_ResearcherShare,G282)*v01_OutResearcher*INDEX(LM_Researcher,G282)))</x:f>
        <x:v>1.3623724356957945</x:v>
      </x:c>
      <x:c r="AL282" s="32" t="n">
        <x:f>H282*v01_RoleScale*Arch_Roles*AE282*INDEX(v01_MonasteryPerSett,G282)*v01_OutMonastery*INDEX(LM_Monastery,G282)</x:f>
        <x:v>0</x:v>
      </x:c>
      <x:c r="AM282" s="32" t="n">
        <x:f>(AJ282+AK282+AL282)/4*INDEX(LM_All,G282)*INDEX(v01_Boon,G282)*Arch_Insight</x:f>
        <x:v>2.328723258102205</x:v>
      </x:c>
      <x:c r="AN282" s="32" t="n">
        <x:f>H282*(v01_KHPerAdult*Z282+v01_KHOfCommons*AJ282/4*INDEX(LM_All,G282))*v01_KHUsable*Arch_KH</x:f>
        <x:v>0.37314339697657495</x:v>
      </x:c>
      <x:c r="AO282" s="32" t="n">
        <x:f>MIN(AP281+AN282,AM282*v01_KHMaxRatio)</x:f>
        <x:v>0.37314339697657495</x:v>
      </x:c>
      <x:c r="AP282" s="32" t="n">
        <x:f>AP281+AN282-AO282</x:f>
        <x:v>0</x:v>
      </x:c>
      <x:c r="AQ282" s="32" t="n">
        <x:f>AM282+AO282</x:f>
        <x:v>2.70186665507878</x:v>
      </x:c>
      <x:c r="AR282" s="10" t="n">
        <x:f>IF(H282=1,INDEX(v01_Req,G282),0)</x:f>
        <x:v>1067.32</x:v>
      </x:c>
      <x:c r="AS282" s="32" t="n">
        <x:f>IF(H282=1,IF(E282=1,AS281-AR281,AS281)+AQ282,0)</x:f>
        <x:v>112.6521514252374</x:v>
      </x:c>
      <x:c r="AT282" s="11" t="n">
        <x:f>IF(AR282&gt;0,MIN(1,AS282/AR282),1)</x:f>
        <x:v>0.10554674458010475</x:v>
      </x:c>
      <x:c r="AU282" s="10" t="n">
        <x:f>AB282/INDEX(v01_RepScale,G282)</x:f>
        <x:v>23.614155432400505</x:v>
      </x:c>
      <x:c r="AV282" s="32" t="n">
        <x:f>AM282*60/v01_SeasonSeconds</x:f>
        <x:v>9.31489303240882</x:v>
      </x:c>
    </x:row>
    <x:row r="283">
      <x:c r="A283" s="8" t="n">
        <x:f>A282+1</x:f>
        <x:v>280</x:v>
      </x:c>
      <x:c r="B283" s="9" t="n">
        <x:f>A283*v01_SeasonSeconds/60</x:f>
        <x:v>70</x:v>
      </x:c>
      <x:c r="C283" s="9" t="n">
        <x:f>A283/4</x:f>
        <x:v>70</x:v>
      </x:c>
      <x:c r="D283" s="8" t="n">
        <x:f>IF(MOD(A283,4)=0,1,0)</x:f>
        <x:v>1</x:v>
      </x:c>
      <x:c r="E283" s="8" t="n">
        <x:f>IF(AND(F282&lt;=9,AS282&gt;=AR282),1,0)</x:f>
        <x:v>0</x:v>
      </x:c>
      <x:c r="F283" s="8" t="n">
        <x:f>MIN(10,F282+E283)</x:f>
        <x:v>1</x:v>
      </x:c>
      <x:c r="G283" s="8" t="n">
        <x:f>MIN(F283,9)+1</x:f>
        <x:v>2</x:v>
      </x:c>
      <x:c r="H283" s="8" t="n">
        <x:f>IF(F283&lt;=9,1,0)</x:f>
        <x:v>1</x:v>
      </x:c>
      <x:c r="I283" s="9" t="n">
        <x:f>MIN(10,F282+IF(AR282&gt;0,MIN(1,AS282/AR282),1))</x:f>
        <x:v>1.1055467445801048</x:v>
      </x:c>
      <x:c r="J283" s="32" t="n">
        <x:f>INDEX(v01_FoodCap,G283)*Arch_FoodCap*EXP(v01_CapsByProject*SUMPRODUCT((Cap_Point&lt;=I283)*(Cap_Kind="Food")*Cap_Ln))</x:f>
        <x:v>30</x:v>
      </x:c>
      <x:c r="K283" s="32" t="n">
        <x:f>J283*MIN(1,v01_LeanBase*EXP(v01_CapsByProject*SUMPRODUCT((Cap_Point&lt;=I283)*(Cap_Kind="Lean")*Cap_Ln)))</x:f>
        <x:v>30</x:v>
      </x:c>
      <x:c r="L283" s="10" t="n">
        <x:f>INDEX(v01_HousingCap,G283)*EXP(v01_CapsByProject*SUMPRODUCT((Cap_Point&lt;=I283)*(Cap_Kind="Housing")*Cap_Ln))</x:f>
        <x:v>60</x:v>
      </x:c>
      <x:c r="M283" s="10" t="n">
        <x:f>INDEX(v01_GroupCap,G283)*v01_CohesionFactor*EXP(v01_CapsByProject*SUMPRODUCT((Cap_Point&lt;=I283)*(Cap_Kind="Group")*Cap_Ln))</x:f>
        <x:v>100</x:v>
      </x:c>
      <x:c r="N283" s="32" t="n">
        <x:f>MIN(J283,L283,M283)</x:f>
        <x:v>30</x:v>
      </x:c>
      <x:c r="O283" s="10" t="n">
        <x:f>AE282*N283</x:f>
        <x:v>30</x:v>
      </x:c>
      <x:c r="P283" s="9" t="n">
        <x:f>MIN(1,(AB282/(AE282*IF(v01_GroupInCrowding=1,N283,MIN(J283,L283))))^v01_CrowdingExp)</x:f>
        <x:v>0.23785209265970095</x:v>
      </x:c>
      <x:c r="Q283" s="9" t="n">
        <x:f>IF(D283=1,INDEX(v01_WinterMult,G283),1)</x:f>
        <x:v>1.6</x:v>
      </x:c>
      <x:c r="R283" s="9" t="n">
        <x:f>H283*Z282*v01_WomenShare*v01_BaseFertility*INDEX(v01_FertMult,G283)*Arch_Fertility*(1-P283)</x:f>
        <x:v>0.30470406336808614</x:v>
      </x:c>
      <x:c r="S283" s="9" t="n">
        <x:f>H283*Y282*INDEX(v01_MortChild,G283)/4*Q283</x:f>
        <x:v>0.13900781749246902</x:v>
      </x:c>
      <x:c r="T283" s="9" t="n">
        <x:f>H283*Z282*INDEX(v01_MortAdult,G283)*Arch_AdultMort/4*Q283</x:f>
        <x:v>0.05543844755080542</x:v>
      </x:c>
      <x:c r="U283" s="9" t="n">
        <x:f>H283*AA282*INDEX(v01_MortElder,G283)/4*Q283</x:f>
        <x:v>0.09676114233258991</x:v>
      </x:c>
      <x:c r="V283" s="9" t="n">
        <x:f>H283*MAX(0,AB282-O283)*v01_OvercapLoss</x:f>
        <x:v>0</x:v>
      </x:c>
      <x:c r="W283" s="9" t="n">
        <x:f>H283*Y282/(v01_ChildYears*4)</x:f>
        <x:v>0.17730588965876146</x:v>
      </x:c>
      <x:c r="X283" s="9" t="n">
        <x:f>H283*Z282/(v01_AdultYears*4)</x:f>
        <x:v>0.08597774123884215</x:v>
      </x:c>
      <x:c r="Y283" s="32" t="n">
        <x:f>Y282+R283-S283-W283-Y282*V283/AB282</x:f>
        <x:v>9.917520177107498</x:v>
      </x:c>
      <x:c r="Z283" s="32" t="n">
        <x:f>Z282+W283-X283-T283-Z282*V283/AB282</x:f>
        <x:v>10.69712961448554</x:v>
      </x:c>
      <x:c r="AA283" s="32" t="n">
        <x:f>AA282+X283-U283-AA282*V283/AB282</x:f>
        <x:v>3.0130022967996863</x:v>
      </x:c>
      <x:c r="AB283" s="10" t="n">
        <x:f>Y283+Z283+AA283</x:f>
        <x:v>23.627652088392725</x:v>
      </x:c>
      <x:c r="AC283" s="8" t="n">
        <x:f>IF(AND(v01_WinterTrigger=1,D283=1,AB282/AE282&gt;=K283),1,0)</x:f>
        <x:v>0</x:v>
      </x:c>
      <x:c r="AD283" s="8" t="n">
        <x:f>H283*IF(AND(OR(AB282/AE282&gt;=v01_FissionTrigger*N283,AC283=1),AB282/AE282*v01_DaughterShare&gt;=v01_MinDaughter),MAX(1,ROUND(AE282*v01_FissionRate,0)),0)</x:f>
        <x:v>0</x:v>
      </x:c>
      <x:c r="AE283" s="8" t="n">
        <x:f>IF(H283=1,MAX(1,MIN(INDEX(v01_Smax,G283),AE282+AD283)),AE282)</x:f>
        <x:v>1</x:v>
      </x:c>
      <x:c r="AF283" s="8" t="n">
        <x:f>MAX(0,AE283-AE282)</x:f>
        <x:v>0</x:v>
      </x:c>
      <x:c r="AG283" s="9" t="str">
        <x:f>IF(AF283&gt;0,B283,"")</x:f>
      </x:c>
      <x:c r="AH283" s="9" t="n">
        <x:f>IF(F283&gt;=1,1,(1+v01_LowTiesShare*(AE283-1))/AE283)</x:f>
        <x:v>1</x:v>
      </x:c>
      <x:c r="AI283" s="32" t="n">
        <x:f>(Z283+v01_ElderCommons*INDEX(LM_Elder,G283)*AA283)*AH283</x:f>
        <x:v>18.07744783547853</x:v>
      </x:c>
      <x:c r="AJ283" s="32" t="n">
        <x:f>H283*v01_CommonsCoef*AI283^v01_CommonsExp*INDEX(LM_Commons,G283)</x:f>
        <x:v>7.728771808916779</x:v>
      </x:c>
      <x:c r="AK283" s="32" t="n">
        <x:f>H283*v01_RoleScale*Arch_Roles*(AE283*(INDEX(v01_ElderRolePerSett,G283)*v01_OutElder*INDEX(LM_Elder,G283)+INDEX(v01_ShamanPerSett,G283)*v01_OutShaman)+Z283*(INDEX(v01_PriestShare,G283)*v01_OutPriest+INDEX(v01_ScribeShare,G283)*v01_OutScribe*INDEX(LM_Scribe,G283)+INDEX(v01_ScholarShare,G283)*v01_OutScholar*INDEX(LM_Scholar,G283)+INDEX(v01_ResearcherShare,G283)*v01_OutResearcher*INDEX(LM_Researcher,G283)))</x:f>
        <x:v>1.3623724356957945</x:v>
      </x:c>
      <x:c r="AL283" s="32" t="n">
        <x:f>H283*v01_RoleScale*Arch_Roles*AE283*INDEX(v01_MonasteryPerSett,G283)*v01_OutMonastery*INDEX(LM_Monastery,G283)</x:f>
        <x:v>0</x:v>
      </x:c>
      <x:c r="AM283" s="32" t="n">
        <x:f>(AJ283+AK283+AL283)/4*INDEX(LM_All,G283)*INDEX(v01_Boon,G283)*Arch_Insight</x:f>
        <x:v>2.3296057126819716</x:v>
      </x:c>
      <x:c r="AN283" s="32" t="n">
        <x:f>H283*(v01_KHPerAdult*Z283+v01_KHOfCommons*AJ283/4*INDEX(LM_All,G283))*v01_KHUsable*Arch_KH</x:f>
        <x:v>0.3743995365069939</x:v>
      </x:c>
      <x:c r="AO283" s="32" t="n">
        <x:f>MIN(AP282+AN283,AM283*v01_KHMaxRatio)</x:f>
        <x:v>0.3743995365069939</x:v>
      </x:c>
      <x:c r="AP283" s="32" t="n">
        <x:f>AP282+AN283-AO283</x:f>
        <x:v>0</x:v>
      </x:c>
      <x:c r="AQ283" s="32" t="n">
        <x:f>AM283+AO283</x:f>
        <x:v>2.7040052491889655</x:v>
      </x:c>
      <x:c r="AR283" s="10" t="n">
        <x:f>IF(H283=1,INDEX(v01_Req,G283),0)</x:f>
        <x:v>1067.32</x:v>
      </x:c>
      <x:c r="AS283" s="32" t="n">
        <x:f>IF(H283=1,IF(E283=1,AS282-AR282,AS282)+AQ283,0)</x:f>
        <x:v>115.35615667442637</x:v>
      </x:c>
      <x:c r="AT283" s="11" t="n">
        <x:f>IF(AR283&gt;0,MIN(1,AS283/AR283),1)</x:f>
        <x:v>0.10808019776114602</x:v>
      </x:c>
      <x:c r="AU283" s="10" t="n">
        <x:f>AB283/INDEX(v01_RepScale,G283)</x:f>
        <x:v>23.627652088392725</x:v>
      </x:c>
      <x:c r="AV283" s="32" t="n">
        <x:f>AM283*60/v01_SeasonSeconds</x:f>
        <x:v>9.318422850727886</x:v>
      </x:c>
    </x:row>
    <x:row r="284">
      <x:c r="A284" s="8" t="n">
        <x:f>A283+1</x:f>
        <x:v>281</x:v>
      </x:c>
      <x:c r="B284" s="9" t="n">
        <x:f>A284*v01_SeasonSeconds/60</x:f>
        <x:v>70.25</x:v>
      </x:c>
      <x:c r="C284" s="9" t="n">
        <x:f>A284/4</x:f>
        <x:v>70.25</x:v>
      </x:c>
      <x:c r="D284" s="8" t="n">
        <x:f>IF(MOD(A284,4)=0,1,0)</x:f>
        <x:v>0</x:v>
      </x:c>
      <x:c r="E284" s="8" t="n">
        <x:f>IF(AND(F283&lt;=9,AS283&gt;=AR283),1,0)</x:f>
        <x:v>0</x:v>
      </x:c>
      <x:c r="F284" s="8" t="n">
        <x:f>MIN(10,F283+E284)</x:f>
        <x:v>1</x:v>
      </x:c>
      <x:c r="G284" s="8" t="n">
        <x:f>MIN(F284,9)+1</x:f>
        <x:v>2</x:v>
      </x:c>
      <x:c r="H284" s="8" t="n">
        <x:f>IF(F284&lt;=9,1,0)</x:f>
        <x:v>1</x:v>
      </x:c>
      <x:c r="I284" s="9" t="n">
        <x:f>MIN(10,F283+IF(AR283&gt;0,MIN(1,AS283/AR283),1))</x:f>
        <x:v>1.108080197761146</x:v>
      </x:c>
      <x:c r="J284" s="32" t="n">
        <x:f>INDEX(v01_FoodCap,G284)*Arch_FoodCap*EXP(v01_CapsByProject*SUMPRODUCT((Cap_Point&lt;=I284)*(Cap_Kind="Food")*Cap_Ln))</x:f>
        <x:v>30</x:v>
      </x:c>
      <x:c r="K284" s="32" t="n">
        <x:f>J284*MIN(1,v01_LeanBase*EXP(v01_CapsByProject*SUMPRODUCT((Cap_Point&lt;=I284)*(Cap_Kind="Lean")*Cap_Ln)))</x:f>
        <x:v>30</x:v>
      </x:c>
      <x:c r="L284" s="10" t="n">
        <x:f>INDEX(v01_HousingCap,G284)*EXP(v01_CapsByProject*SUMPRODUCT((Cap_Point&lt;=I284)*(Cap_Kind="Housing")*Cap_Ln))</x:f>
        <x:v>60</x:v>
      </x:c>
      <x:c r="M284" s="10" t="n">
        <x:f>INDEX(v01_GroupCap,G284)*v01_CohesionFactor*EXP(v01_CapsByProject*SUMPRODUCT((Cap_Point&lt;=I284)*(Cap_Kind="Group")*Cap_Ln))</x:f>
        <x:v>100</x:v>
      </x:c>
      <x:c r="N284" s="32" t="n">
        <x:f>MIN(J284,L284,M284)</x:f>
        <x:v>30</x:v>
      </x:c>
      <x:c r="O284" s="10" t="n">
        <x:f>AE283*N284</x:f>
        <x:v>30</x:v>
      </x:c>
      <x:c r="P284" s="9" t="n">
        <x:f>MIN(1,(AB283/(AE283*IF(v01_GroupInCrowding=1,N284,MIN(J284,L284))))^v01_CrowdingExp)</x:f>
        <x:v>0.23866892433308523</x:v>
      </x:c>
      <x:c r="Q284" s="9" t="n">
        <x:f>IF(D284=1,INDEX(v01_WinterMult,G284),1)</x:f>
        <x:v>1</x:v>
      </x:c>
      <x:c r="R284" s="9" t="n">
        <x:f>H284*Z283*v01_WomenShare*v01_BaseFertility*INDEX(v01_FertMult,G284)*Arch_Fertility*(1-P284)</x:f>
        <x:v>0.30540214484792566</x:v>
      </x:c>
      <x:c r="S284" s="9" t="n">
        <x:f>H284*Y283*INDEX(v01_MortChild,G284)/4*Q284</x:f>
        <x:v>0.08677830154969061</x:v>
      </x:c>
      <x:c r="T284" s="9" t="n">
        <x:f>H284*Z283*INDEX(v01_MortAdult,G284)*Arch_AdultMort/4*Q284</x:f>
        <x:v>0.034765671247078</x:v>
      </x:c>
      <x:c r="U284" s="9" t="n">
        <x:f>H284*AA283*INDEX(v01_MortElder,G284)/4*Q284</x:f>
        <x:v>0.060260045935993725</x:v>
      </x:c>
      <x:c r="V284" s="9" t="n">
        <x:f>H284*MAX(0,AB283-O284)*v01_OvercapLoss</x:f>
        <x:v>0</x:v>
      </x:c>
      <x:c r="W284" s="9" t="n">
        <x:f>H284*Y283/(v01_ChildYears*4)</x:f>
        <x:v>0.17709857459120532</x:v>
      </x:c>
      <x:c r="X284" s="9" t="n">
        <x:f>H284*Z283/(v01_AdultYears*4)</x:f>
        <x:v>0.08626717431036726</x:v>
      </x:c>
      <x:c r="Y284" s="32" t="n">
        <x:f>Y283+R284-S284-W284-Y283*V284/AB283</x:f>
        <x:v>9.959045445814528</x:v>
      </x:c>
      <x:c r="Z284" s="32" t="n">
        <x:f>Z283+W284-X284-T284-Z283*V284/AB283</x:f>
        <x:v>10.753195343519302</x:v>
      </x:c>
      <x:c r="AA284" s="32" t="n">
        <x:f>AA283+X284-U284-AA283*V284/AB283</x:f>
        <x:v>3.03900942517406</x:v>
      </x:c>
      <x:c r="AB284" s="10" t="n">
        <x:f>Y284+Z284+AA284</x:f>
        <x:v>23.75125021450789</x:v>
      </x:c>
      <x:c r="AC284" s="8" t="n">
        <x:f>IF(AND(v01_WinterTrigger=1,D284=1,AB283/AE283&gt;=K284),1,0)</x:f>
        <x:v>0</x:v>
      </x:c>
      <x:c r="AD284" s="8" t="n">
        <x:f>H284*IF(AND(OR(AB283/AE283&gt;=v01_FissionTrigger*N284,AC284=1),AB283/AE283*v01_DaughterShare&gt;=v01_MinDaughter),MAX(1,ROUND(AE283*v01_FissionRate,0)),0)</x:f>
        <x:v>0</x:v>
      </x:c>
      <x:c r="AE284" s="8" t="n">
        <x:f>IF(H284=1,MAX(1,MIN(INDEX(v01_Smax,G284),AE283+AD284)),AE283)</x:f>
        <x:v>1</x:v>
      </x:c>
      <x:c r="AF284" s="8" t="n">
        <x:f>MAX(0,AE284-AE283)</x:f>
        <x:v>0</x:v>
      </x:c>
      <x:c r="AG284" s="9" t="str">
        <x:f>IF(AF284&gt;0,B284,"")</x:f>
      </x:c>
      <x:c r="AH284" s="9" t="n">
        <x:f>IF(F284&gt;=1,1,(1+v01_LowTiesShare*(AE284-1))/AE284)</x:f>
        <x:v>1</x:v>
      </x:c>
      <x:c r="AI284" s="32" t="n">
        <x:f>(Z284+v01_ElderCommons*INDEX(LM_Elder,G284)*AA284)*AH284</x:f>
        <x:v>18.197217758704564</x:v>
      </x:c>
      <x:c r="AJ284" s="32" t="n">
        <x:f>H284*v01_CommonsCoef*AI284^v01_CommonsExp*INDEX(LM_Commons,G284)</x:f>
        <x:v>7.772275364660044</x:v>
      </x:c>
      <x:c r="AK284" s="32" t="n">
        <x:f>H284*v01_RoleScale*Arch_Roles*(AE284*(INDEX(v01_ElderRolePerSett,G284)*v01_OutElder*INDEX(LM_Elder,G284)+INDEX(v01_ShamanPerSett,G284)*v01_OutShaman)+Z284*(INDEX(v01_PriestShare,G284)*v01_OutPriest+INDEX(v01_ScribeShare,G284)*v01_OutScribe*INDEX(LM_Scribe,G284)+INDEX(v01_ScholarShare,G284)*v01_OutScholar*INDEX(LM_Scholar,G284)+INDEX(v01_ResearcherShare,G284)*v01_OutResearcher*INDEX(LM_Researcher,G284)))</x:f>
        <x:v>1.3623724356957945</x:v>
      </x:c>
      <x:c r="AL284" s="32" t="n">
        <x:f>H284*v01_RoleScale*Arch_Roles*AE284*INDEX(v01_MonasteryPerSett,G284)*v01_OutMonastery*INDEX(LM_Monastery,G284)</x:f>
        <x:v>0</x:v>
      </x:c>
      <x:c r="AM284" s="32" t="n">
        <x:f>(AJ284+AK284+AL284)/4*INDEX(LM_All,G284)*INDEX(v01_Boon,G284)*Arch_Insight</x:f>
        <x:v>2.3407534988411833</x:v>
      </x:c>
      <x:c r="AN284" s="32" t="n">
        <x:f>H284*(v01_KHPerAdult*Z284+v01_KHOfCommons*AJ284/4*INDEX(LM_All,G284))*v01_KHUsable*Arch_KH</x:f>
        <x:v>0.37636183702317555</x:v>
      </x:c>
      <x:c r="AO284" s="32" t="n">
        <x:f>MIN(AP283+AN284,AM284*v01_KHMaxRatio)</x:f>
        <x:v>0.37636183702317555</x:v>
      </x:c>
      <x:c r="AP284" s="32" t="n">
        <x:f>AP283+AN284-AO284</x:f>
        <x:v>0</x:v>
      </x:c>
      <x:c r="AQ284" s="32" t="n">
        <x:f>AM284+AO284</x:f>
        <x:v>2.7171153358643587</x:v>
      </x:c>
      <x:c r="AR284" s="10" t="n">
        <x:f>IF(H284=1,INDEX(v01_Req,G284),0)</x:f>
        <x:v>1067.32</x:v>
      </x:c>
      <x:c r="AS284" s="32" t="n">
        <x:f>IF(H284=1,IF(E284=1,AS283-AR283,AS283)+AQ284,0)</x:f>
        <x:v>118.07327201029074</x:v>
      </x:c>
      <x:c r="AT284" s="11" t="n">
        <x:f>IF(AR284&gt;0,MIN(1,AS284/AR284),1)</x:f>
        <x:v>0.11062593412499601</x:v>
      </x:c>
      <x:c r="AU284" s="10" t="n">
        <x:f>AB284/INDEX(v01_RepScale,G284)</x:f>
        <x:v>23.75125021450789</x:v>
      </x:c>
      <x:c r="AV284" s="32" t="n">
        <x:f>AM284*60/v01_SeasonSeconds</x:f>
        <x:v>9.363013995364733</x:v>
      </x:c>
    </x:row>
    <x:row r="285">
      <x:c r="A285" s="8" t="n">
        <x:f>A284+1</x:f>
        <x:v>282</x:v>
      </x:c>
      <x:c r="B285" s="9" t="n">
        <x:f>A285*v01_SeasonSeconds/60</x:f>
        <x:v>70.5</x:v>
      </x:c>
      <x:c r="C285" s="9" t="n">
        <x:f>A285/4</x:f>
        <x:v>70.5</x:v>
      </x:c>
      <x:c r="D285" s="8" t="n">
        <x:f>IF(MOD(A285,4)=0,1,0)</x:f>
        <x:v>0</x:v>
      </x:c>
      <x:c r="E285" s="8" t="n">
        <x:f>IF(AND(F284&lt;=9,AS284&gt;=AR284),1,0)</x:f>
        <x:v>0</x:v>
      </x:c>
      <x:c r="F285" s="8" t="n">
        <x:f>MIN(10,F284+E285)</x:f>
        <x:v>1</x:v>
      </x:c>
      <x:c r="G285" s="8" t="n">
        <x:f>MIN(F285,9)+1</x:f>
        <x:v>2</x:v>
      </x:c>
      <x:c r="H285" s="8" t="n">
        <x:f>IF(F285&lt;=9,1,0)</x:f>
        <x:v>1</x:v>
      </x:c>
      <x:c r="I285" s="9" t="n">
        <x:f>MIN(10,F284+IF(AR284&gt;0,MIN(1,AS284/AR284),1))</x:f>
        <x:v>1.110625934124996</x:v>
      </x:c>
      <x:c r="J285" s="32" t="n">
        <x:f>INDEX(v01_FoodCap,G285)*Arch_FoodCap*EXP(v01_CapsByProject*SUMPRODUCT((Cap_Point&lt;=I285)*(Cap_Kind="Food")*Cap_Ln))</x:f>
        <x:v>30</x:v>
      </x:c>
      <x:c r="K285" s="32" t="n">
        <x:f>J285*MIN(1,v01_LeanBase*EXP(v01_CapsByProject*SUMPRODUCT((Cap_Point&lt;=I285)*(Cap_Kind="Lean")*Cap_Ln)))</x:f>
        <x:v>30</x:v>
      </x:c>
      <x:c r="L285" s="10" t="n">
        <x:f>INDEX(v01_HousingCap,G285)*EXP(v01_CapsByProject*SUMPRODUCT((Cap_Point&lt;=I285)*(Cap_Kind="Housing")*Cap_Ln))</x:f>
        <x:v>60</x:v>
      </x:c>
      <x:c r="M285" s="10" t="n">
        <x:f>INDEX(v01_GroupCap,G285)*v01_CohesionFactor*EXP(v01_CapsByProject*SUMPRODUCT((Cap_Point&lt;=I285)*(Cap_Kind="Group")*Cap_Ln))</x:f>
        <x:v>100</x:v>
      </x:c>
      <x:c r="N285" s="32" t="n">
        <x:f>MIN(J285,L285,M285)</x:f>
        <x:v>30</x:v>
      </x:c>
      <x:c r="O285" s="10" t="n">
        <x:f>AE284*N285</x:f>
        <x:v>30</x:v>
      </x:c>
      <x:c r="P285" s="9" t="n">
        <x:f>MIN(1,(AB284/(AE284*IF(v01_GroupInCrowding=1,N285,MIN(J285,L285))))^v01_CrowdingExp)</x:f>
        <x:v>0.24625855171982544</x:v>
      </x:c>
      <x:c r="Q285" s="9" t="n">
        <x:f>IF(D285=1,INDEX(v01_WinterMult,G285),1)</x:f>
        <x:v>1</x:v>
      </x:c>
      <x:c r="R285" s="9" t="n">
        <x:f>H285*Z284*v01_WomenShare*v01_BaseFertility*INDEX(v01_FertMult,G285)*Arch_Fertility*(1-P285)</x:f>
        <x:v>0.303942338694895</x:v>
      </x:c>
      <x:c r="S285" s="9" t="n">
        <x:f>H285*Y284*INDEX(v01_MortChild,G285)/4*Q285</x:f>
        <x:v>0.08714164765087713</x:v>
      </x:c>
      <x:c r="T285" s="9" t="n">
        <x:f>H285*Z284*INDEX(v01_MortAdult,G285)*Arch_AdultMort/4*Q285</x:f>
        <x:v>0.034947884866437726</x:v>
      </x:c>
      <x:c r="U285" s="9" t="n">
        <x:f>H285*AA284*INDEX(v01_MortElder,G285)/4*Q285</x:f>
        <x:v>0.0607801885034812</x:v>
      </x:c>
      <x:c r="V285" s="9" t="n">
        <x:f>H285*MAX(0,AB284-O285)*v01_OvercapLoss</x:f>
        <x:v>0</x:v>
      </x:c>
      <x:c r="W285" s="9" t="n">
        <x:f>H285*Y284/(v01_ChildYears*4)</x:f>
        <x:v>0.177840097246688</x:v>
      </x:c>
      <x:c r="X285" s="9" t="n">
        <x:f>H285*Z284/(v01_AdultYears*4)</x:f>
        <x:v>0.08671931728644598</x:v>
      </x:c>
      <x:c r="Y285" s="32" t="n">
        <x:f>Y284+R285-S285-W285-Y284*V285/AB284</x:f>
        <x:v>9.998006039611857</x:v>
      </x:c>
      <x:c r="Z285" s="32" t="n">
        <x:f>Z284+W285-X285-T285-Z284*V285/AB284</x:f>
        <x:v>10.809368238613107</x:v>
      </x:c>
      <x:c r="AA285" s="32" t="n">
        <x:f>AA284+X285-U285-AA284*V285/AB284</x:f>
        <x:v>3.064948553957025</x:v>
      </x:c>
      <x:c r="AB285" s="10" t="n">
        <x:f>Y285+Z285+AA285</x:f>
        <x:v>23.872322832181986</x:v>
      </x:c>
      <x:c r="AC285" s="8" t="n">
        <x:f>IF(AND(v01_WinterTrigger=1,D285=1,AB284/AE284&gt;=K285),1,0)</x:f>
        <x:v>0</x:v>
      </x:c>
      <x:c r="AD285" s="8" t="n">
        <x:f>H285*IF(AND(OR(AB284/AE284&gt;=v01_FissionTrigger*N285,AC285=1),AB284/AE284*v01_DaughterShare&gt;=v01_MinDaughter),MAX(1,ROUND(AE284*v01_FissionRate,0)),0)</x:f>
        <x:v>0</x:v>
      </x:c>
      <x:c r="AE285" s="8" t="n">
        <x:f>IF(H285=1,MAX(1,MIN(INDEX(v01_Smax,G285),AE284+AD285)),AE284)</x:f>
        <x:v>1</x:v>
      </x:c>
      <x:c r="AF285" s="8" t="n">
        <x:f>MAX(0,AE285-AE284)</x:f>
        <x:v>0</x:v>
      </x:c>
      <x:c r="AG285" s="9" t="str">
        <x:f>IF(AF285&gt;0,B285,"")</x:f>
      </x:c>
      <x:c r="AH285" s="9" t="n">
        <x:f>IF(F285&gt;=1,1,(1+v01_LowTiesShare*(AE285-1))/AE285)</x:f>
        <x:v>1</x:v>
      </x:c>
      <x:c r="AI285" s="32" t="n">
        <x:f>(Z285+v01_ElderCommons*INDEX(LM_Elder,G285)*AA285)*AH285</x:f>
        <x:v>18.316928283688974</x:v>
      </x:c>
      <x:c r="AJ285" s="32" t="n">
        <x:f>H285*v01_CommonsCoef*AI285^v01_CommonsExp*INDEX(LM_Commons,G285)</x:f>
        <x:v>7.815714448584862</x:v>
      </x:c>
      <x:c r="AK285" s="32" t="n">
        <x:f>H285*v01_RoleScale*Arch_Roles*(AE285*(INDEX(v01_ElderRolePerSett,G285)*v01_OutElder*INDEX(LM_Elder,G285)+INDEX(v01_ShamanPerSett,G285)*v01_OutShaman)+Z285*(INDEX(v01_PriestShare,G285)*v01_OutPriest+INDEX(v01_ScribeShare,G285)*v01_OutScribe*INDEX(LM_Scribe,G285)+INDEX(v01_ScholarShare,G285)*v01_OutScholar*INDEX(LM_Scholar,G285)+INDEX(v01_ResearcherShare,G285)*v01_OutResearcher*INDEX(LM_Researcher,G285)))</x:f>
        <x:v>1.3623724356957945</x:v>
      </x:c>
      <x:c r="AL285" s="32" t="n">
        <x:f>H285*v01_RoleScale*Arch_Roles*AE285*INDEX(v01_MonasteryPerSett,G285)*v01_OutMonastery*INDEX(LM_Monastery,G285)</x:f>
        <x:v>0</x:v>
      </x:c>
      <x:c r="AM285" s="32" t="n">
        <x:f>(AJ285+AK285+AL285)/4*INDEX(LM_All,G285)*INDEX(v01_Boon,G285)*Arch_Insight</x:f>
        <x:v>2.351884764096918</x:v>
      </x:c>
      <x:c r="AN285" s="32" t="n">
        <x:f>H285*(v01_KHPerAdult*Z285+v01_KHOfCommons*AJ285/4*INDEX(LM_All,G285))*v01_KHUsable*Arch_KH</x:f>
        <x:v>0.37832788835145875</x:v>
      </x:c>
      <x:c r="AO285" s="32" t="n">
        <x:f>MIN(AP284+AN285,AM285*v01_KHMaxRatio)</x:f>
        <x:v>0.37832788835145875</x:v>
      </x:c>
      <x:c r="AP285" s="32" t="n">
        <x:f>AP284+AN285-AO285</x:f>
        <x:v>0</x:v>
      </x:c>
      <x:c r="AQ285" s="32" t="n">
        <x:f>AM285+AO285</x:f>
        <x:v>2.7302126524483765</x:v>
      </x:c>
      <x:c r="AR285" s="10" t="n">
        <x:f>IF(H285=1,INDEX(v01_Req,G285),0)</x:f>
        <x:v>1067.32</x:v>
      </x:c>
      <x:c r="AS285" s="32" t="n">
        <x:f>IF(H285=1,IF(E285=1,AS284-AR284,AS284)+AQ285,0)</x:f>
        <x:v>120.80348466273911</x:v>
      </x:c>
      <x:c r="AT285" s="11" t="n">
        <x:f>IF(AR285&gt;0,MIN(1,AS285/AR285),1)</x:f>
        <x:v>0.11318394170702237</x:v>
      </x:c>
      <x:c r="AU285" s="10" t="n">
        <x:f>AB285/INDEX(v01_RepScale,G285)</x:f>
        <x:v>23.872322832181986</x:v>
      </x:c>
      <x:c r="AV285" s="32" t="n">
        <x:f>AM285*60/v01_SeasonSeconds</x:f>
        <x:v>9.407539056387671</x:v>
      </x:c>
    </x:row>
    <x:row r="286">
      <x:c r="A286" s="8" t="n">
        <x:f>A285+1</x:f>
        <x:v>283</x:v>
      </x:c>
      <x:c r="B286" s="9" t="n">
        <x:f>A286*v01_SeasonSeconds/60</x:f>
        <x:v>70.75</x:v>
      </x:c>
      <x:c r="C286" s="9" t="n">
        <x:f>A286/4</x:f>
        <x:v>70.75</x:v>
      </x:c>
      <x:c r="D286" s="8" t="n">
        <x:f>IF(MOD(A286,4)=0,1,0)</x:f>
        <x:v>0</x:v>
      </x:c>
      <x:c r="E286" s="8" t="n">
        <x:f>IF(AND(F285&lt;=9,AS285&gt;=AR285),1,0)</x:f>
        <x:v>0</x:v>
      </x:c>
      <x:c r="F286" s="8" t="n">
        <x:f>MIN(10,F285+E286)</x:f>
        <x:v>1</x:v>
      </x:c>
      <x:c r="G286" s="8" t="n">
        <x:f>MIN(F286,9)+1</x:f>
        <x:v>2</x:v>
      </x:c>
      <x:c r="H286" s="8" t="n">
        <x:f>IF(F286&lt;=9,1,0)</x:f>
        <x:v>1</x:v>
      </x:c>
      <x:c r="I286" s="9" t="n">
        <x:f>MIN(10,F285+IF(AR285&gt;0,MIN(1,AS285/AR285),1))</x:f>
        <x:v>1.1131839417070224</x:v>
      </x:c>
      <x:c r="J286" s="32" t="n">
        <x:f>INDEX(v01_FoodCap,G286)*Arch_FoodCap*EXP(v01_CapsByProject*SUMPRODUCT((Cap_Point&lt;=I286)*(Cap_Kind="Food")*Cap_Ln))</x:f>
        <x:v>30</x:v>
      </x:c>
      <x:c r="K286" s="32" t="n">
        <x:f>J286*MIN(1,v01_LeanBase*EXP(v01_CapsByProject*SUMPRODUCT((Cap_Point&lt;=I286)*(Cap_Kind="Lean")*Cap_Ln)))</x:f>
        <x:v>30</x:v>
      </x:c>
      <x:c r="L286" s="10" t="n">
        <x:f>INDEX(v01_HousingCap,G286)*EXP(v01_CapsByProject*SUMPRODUCT((Cap_Point&lt;=I286)*(Cap_Kind="Housing")*Cap_Ln))</x:f>
        <x:v>60</x:v>
      </x:c>
      <x:c r="M286" s="10" t="n">
        <x:f>INDEX(v01_GroupCap,G286)*v01_CohesionFactor*EXP(v01_CapsByProject*SUMPRODUCT((Cap_Point&lt;=I286)*(Cap_Kind="Group")*Cap_Ln))</x:f>
        <x:v>100</x:v>
      </x:c>
      <x:c r="N286" s="32" t="n">
        <x:f>MIN(J286,L286,M286)</x:f>
        <x:v>30</x:v>
      </x:c>
      <x:c r="O286" s="10" t="n">
        <x:f>AE285*N286</x:f>
        <x:v>30</x:v>
      </x:c>
      <x:c r="P286" s="9" t="n">
        <x:f>MIN(1,(AB285/(AE285*IF(v01_GroupInCrowding=1,N286,MIN(J286,L286))))^v01_CrowdingExp)</x:f>
        <x:v>0.2538870475392294</x:v>
      </x:c>
      <x:c r="Q286" s="9" t="n">
        <x:f>IF(D286=1,INDEX(v01_WinterMult,G286),1)</x:f>
        <x:v>1</x:v>
      </x:c>
      <x:c r="R286" s="9" t="n">
        <x:f>H286*Z285*v01_WomenShare*v01_BaseFertility*INDEX(v01_FertMult,G286)*Arch_Fertility*(1-P286)</x:f>
        <x:v>0.3024378619030239</x:v>
      </x:c>
      <x:c r="S286" s="9" t="n">
        <x:f>H286*Y285*INDEX(v01_MortChild,G286)/4*Q286</x:f>
        <x:v>0.08748255284660376</x:v>
      </x:c>
      <x:c r="T286" s="9" t="n">
        <x:f>H286*Z285*INDEX(v01_MortAdult,G286)*Arch_AdultMort/4*Q286</x:f>
        <x:v>0.035130446775492596</x:v>
      </x:c>
      <x:c r="U286" s="9" t="n">
        <x:f>H286*AA285*INDEX(v01_MortElder,G286)/4*Q286</x:f>
        <x:v>0.0612989710791405</x:v>
      </x:c>
      <x:c r="V286" s="9" t="n">
        <x:f>H286*MAX(0,AB285-O286)*v01_OvercapLoss</x:f>
        <x:v>0</x:v>
      </x:c>
      <x:c r="W286" s="9" t="n">
        <x:f>H286*Y285/(v01_ChildYears*4)</x:f>
        <x:v>0.17853582213592603</x:v>
      </x:c>
      <x:c r="X286" s="9" t="n">
        <x:f>H286*Z285/(v01_AdultYears*4)</x:f>
        <x:v>0.08717232450494442</x:v>
      </x:c>
      <x:c r="Y286" s="32" t="n">
        <x:f>Y285+R286-S286-W286-Y285*V286/AB285</x:f>
        <x:v>10.034425526532353</x:v>
      </x:c>
      <x:c r="Z286" s="32" t="n">
        <x:f>Z285+W286-X286-T286-Z285*V286/AB285</x:f>
        <x:v>10.865601289468596</x:v>
      </x:c>
      <x:c r="AA286" s="32" t="n">
        <x:f>AA285+X286-U286-AA285*V286/AB285</x:f>
        <x:v>3.090821907382829</x:v>
      </x:c>
      <x:c r="AB286" s="10" t="n">
        <x:f>Y286+Z286+AA286</x:f>
        <x:v>23.990848723383777</x:v>
      </x:c>
      <x:c r="AC286" s="8" t="n">
        <x:f>IF(AND(v01_WinterTrigger=1,D286=1,AB285/AE285&gt;=K286),1,0)</x:f>
        <x:v>0</x:v>
      </x:c>
      <x:c r="AD286" s="8" t="n">
        <x:f>H286*IF(AND(OR(AB285/AE285&gt;=v01_FissionTrigger*N286,AC286=1),AB285/AE285*v01_DaughterShare&gt;=v01_MinDaughter),MAX(1,ROUND(AE285*v01_FissionRate,0)),0)</x:f>
        <x:v>0</x:v>
      </x:c>
      <x:c r="AE286" s="8" t="n">
        <x:f>IF(H286=1,MAX(1,MIN(INDEX(v01_Smax,G286),AE285+AD286)),AE285)</x:f>
        <x:v>1</x:v>
      </x:c>
      <x:c r="AF286" s="8" t="n">
        <x:f>MAX(0,AE286-AE285)</x:f>
        <x:v>0</x:v>
      </x:c>
      <x:c r="AG286" s="9" t="str">
        <x:f>IF(AF286&gt;0,B286,"")</x:f>
      </x:c>
      <x:c r="AH286" s="9" t="n">
        <x:f>IF(F286&gt;=1,1,(1+v01_LowTiesShare*(AE286-1))/AE286)</x:f>
        <x:v>1</x:v>
      </x:c>
      <x:c r="AI286" s="32" t="n">
        <x:f>(Z286+v01_ElderCommons*INDEX(LM_Elder,G286)*AA286)*AH286</x:f>
        <x:v>18.436537848372375</x:v>
      </x:c>
      <x:c r="AJ286" s="32" t="n">
        <x:f>H286*v01_CommonsCoef*AI286^v01_CommonsExp*INDEX(LM_Commons,G286)</x:f>
        <x:v>7.8590743870532895</x:v>
      </x:c>
      <x:c r="AK286" s="32" t="n">
        <x:f>H286*v01_RoleScale*Arch_Roles*(AE286*(INDEX(v01_ElderRolePerSett,G286)*v01_OutElder*INDEX(LM_Elder,G286)+INDEX(v01_ShamanPerSett,G286)*v01_OutShaman)+Z286*(INDEX(v01_PriestShare,G286)*v01_OutPriest+INDEX(v01_ScribeShare,G286)*v01_OutScribe*INDEX(LM_Scribe,G286)+INDEX(v01_ScholarShare,G286)*v01_OutScholar*INDEX(LM_Scholar,G286)+INDEX(v01_ResearcherShare,G286)*v01_OutResearcher*INDEX(LM_Researcher,G286)))</x:f>
        <x:v>1.3623724356957945</x:v>
      </x:c>
      <x:c r="AL286" s="32" t="n">
        <x:f>H286*v01_RoleScale*Arch_Roles*AE286*INDEX(v01_MonasteryPerSett,G286)*v01_OutMonastery*INDEX(LM_Monastery,G286)</x:f>
        <x:v>0</x:v>
      </x:c>
      <x:c r="AM286" s="32" t="n">
        <x:f>(AJ286+AK286+AL286)/4*INDEX(LM_All,G286)*INDEX(v01_Boon,G286)*Arch_Insight</x:f>
        <x:v>2.3629957483294524</x:v>
      </x:c>
      <x:c r="AN286" s="32" t="n">
        <x:f>H286*(v01_KHPerAdult*Z286+v01_KHOfCommons*AJ286/4*INDEX(LM_All,G286))*v01_KHUsable*Arch_KH</x:f>
        <x:v>0.38029604513140086</x:v>
      </x:c>
      <x:c r="AO286" s="32" t="n">
        <x:f>MIN(AP285+AN286,AM286*v01_KHMaxRatio)</x:f>
        <x:v>0.38029604513140086</x:v>
      </x:c>
      <x:c r="AP286" s="32" t="n">
        <x:f>AP285+AN286-AO286</x:f>
        <x:v>0</x:v>
      </x:c>
      <x:c r="AQ286" s="32" t="n">
        <x:f>AM286+AO286</x:f>
        <x:v>2.743291793460853</x:v>
      </x:c>
      <x:c r="AR286" s="10" t="n">
        <x:f>IF(H286=1,INDEX(v01_Req,G286),0)</x:f>
        <x:v>1067.32</x:v>
      </x:c>
      <x:c r="AS286" s="32" t="n">
        <x:f>IF(H286=1,IF(E286=1,AS285-AR285,AS285)+AQ286,0)</x:f>
        <x:v>123.54677645619996</x:v>
      </x:c>
      <x:c r="AT286" s="11" t="n">
        <x:f>IF(AR286&gt;0,MIN(1,AS286/AR286),1)</x:f>
        <x:v>0.11575420347805716</x:v>
      </x:c>
      <x:c r="AU286" s="10" t="n">
        <x:f>AB286/INDEX(v01_RepScale,G286)</x:f>
        <x:v>23.990848723383777</x:v>
      </x:c>
      <x:c r="AV286" s="32" t="n">
        <x:f>AM286*60/v01_SeasonSeconds</x:f>
        <x:v>9.45198299331781</x:v>
      </x:c>
    </x:row>
    <x:row r="287">
      <x:c r="A287" s="8" t="n">
        <x:f>A286+1</x:f>
        <x:v>284</x:v>
      </x:c>
      <x:c r="B287" s="9" t="n">
        <x:f>A287*v01_SeasonSeconds/60</x:f>
        <x:v>71</x:v>
      </x:c>
      <x:c r="C287" s="9" t="n">
        <x:f>A287/4</x:f>
        <x:v>71</x:v>
      </x:c>
      <x:c r="D287" s="8" t="n">
        <x:f>IF(MOD(A287,4)=0,1,0)</x:f>
        <x:v>1</x:v>
      </x:c>
      <x:c r="E287" s="8" t="n">
        <x:f>IF(AND(F286&lt;=9,AS286&gt;=AR286),1,0)</x:f>
        <x:v>0</x:v>
      </x:c>
      <x:c r="F287" s="8" t="n">
        <x:f>MIN(10,F286+E287)</x:f>
        <x:v>1</x:v>
      </x:c>
      <x:c r="G287" s="8" t="n">
        <x:f>MIN(F287,9)+1</x:f>
        <x:v>2</x:v>
      </x:c>
      <x:c r="H287" s="8" t="n">
        <x:f>IF(F287&lt;=9,1,0)</x:f>
        <x:v>1</x:v>
      </x:c>
      <x:c r="I287" s="9" t="n">
        <x:f>MIN(10,F286+IF(AR286&gt;0,MIN(1,AS286/AR286),1))</x:f>
        <x:v>1.1157542034780572</x:v>
      </x:c>
      <x:c r="J287" s="32" t="n">
        <x:f>INDEX(v01_FoodCap,G287)*Arch_FoodCap*EXP(v01_CapsByProject*SUMPRODUCT((Cap_Point&lt;=I287)*(Cap_Kind="Food")*Cap_Ln))</x:f>
        <x:v>30</x:v>
      </x:c>
      <x:c r="K287" s="32" t="n">
        <x:f>J287*MIN(1,v01_LeanBase*EXP(v01_CapsByProject*SUMPRODUCT((Cap_Point&lt;=I287)*(Cap_Kind="Lean")*Cap_Ln)))</x:f>
        <x:v>30</x:v>
      </x:c>
      <x:c r="L287" s="10" t="n">
        <x:f>INDEX(v01_HousingCap,G287)*EXP(v01_CapsByProject*SUMPRODUCT((Cap_Point&lt;=I287)*(Cap_Kind="Housing")*Cap_Ln))</x:f>
        <x:v>60</x:v>
      </x:c>
      <x:c r="M287" s="10" t="n">
        <x:f>INDEX(v01_GroupCap,G287)*v01_CohesionFactor*EXP(v01_CapsByProject*SUMPRODUCT((Cap_Point&lt;=I287)*(Cap_Kind="Group")*Cap_Ln))</x:f>
        <x:v>100</x:v>
      </x:c>
      <x:c r="N287" s="32" t="n">
        <x:f>MIN(J287,L287,M287)</x:f>
        <x:v>30</x:v>
      </x:c>
      <x:c r="O287" s="10" t="n">
        <x:f>AE286*N287</x:f>
        <x:v>30</x:v>
      </x:c>
      <x:c r="P287" s="9" t="n">
        <x:f>MIN(1,(AB286/(AE286*IF(v01_GroupInCrowding=1,N287,MIN(J287,L287))))^v01_CrowdingExp)</x:f>
        <x:v>0.26154483335020134</x:v>
      </x:c>
      <x:c r="Q287" s="9" t="n">
        <x:f>IF(D287=1,INDEX(v01_WinterMult,G287),1)</x:f>
        <x:v>1.6</x:v>
      </x:c>
      <x:c r="R287" s="9" t="n">
        <x:f>H287*Z286*v01_WomenShare*v01_BaseFertility*INDEX(v01_FertMult,G287)*Arch_Fertility*(1-P287)</x:f>
        <x:v>0.30089097791117997</x:v>
      </x:c>
      <x:c r="S287" s="9" t="n">
        <x:f>H287*Y286*INDEX(v01_MortChild,G287)/4*Q287</x:f>
        <x:v>0.14048195737145294</x:v>
      </x:c>
      <x:c r="T287" s="9" t="n">
        <x:f>H287*Z286*INDEX(v01_MortAdult,G287)*Arch_AdultMort/4*Q287</x:f>
        <x:v>0.05650112670523671</x:v>
      </x:c>
      <x:c r="U287" s="9" t="n">
        <x:f>H287*AA286*INDEX(v01_MortElder,G287)/4*Q287</x:f>
        <x:v>0.09890630103625053</x:v>
      </x:c>
      <x:c r="V287" s="9" t="n">
        <x:f>H287*MAX(0,AB286-O287)*v01_OvercapLoss</x:f>
        <x:v>0</x:v>
      </x:c>
      <x:c r="W287" s="9" t="n">
        <x:f>H287*Y286/(v01_ChildYears*4)</x:f>
        <x:v>0.17918617011664914</x:v>
      </x:c>
      <x:c r="X287" s="9" t="n">
        <x:f>H287*Z286/(v01_AdultYears*4)</x:f>
        <x:v>0.08762581685055319</x:v>
      </x:c>
      <x:c r="Y287" s="32" t="n">
        <x:f>Y286+R287-S287-W287-Y286*V287/AB286</x:f>
        <x:v>10.015648376955431</x:v>
      </x:c>
      <x:c r="Z287" s="32" t="n">
        <x:f>Z286+W287-X287-T287-Z286*V287/AB286</x:f>
        <x:v>10.900660516029456</x:v>
      </x:c>
      <x:c r="AA287" s="32" t="n">
        <x:f>AA286+X287-U287-AA286*V287/AB286</x:f>
        <x:v>3.0795414231971314</x:v>
      </x:c>
      <x:c r="AB287" s="10" t="n">
        <x:f>Y287+Z287+AA287</x:f>
        <x:v>23.99585031618202</x:v>
      </x:c>
      <x:c r="AC287" s="8" t="n">
        <x:f>IF(AND(v01_WinterTrigger=1,D287=1,AB286/AE286&gt;=K287),1,0)</x:f>
        <x:v>0</x:v>
      </x:c>
      <x:c r="AD287" s="8" t="n">
        <x:f>H287*IF(AND(OR(AB286/AE286&gt;=v01_FissionTrigger*N287,AC287=1),AB286/AE286*v01_DaughterShare&gt;=v01_MinDaughter),MAX(1,ROUND(AE286*v01_FissionRate,0)),0)</x:f>
        <x:v>0</x:v>
      </x:c>
      <x:c r="AE287" s="8" t="n">
        <x:f>IF(H287=1,MAX(1,MIN(INDEX(v01_Smax,G287),AE286+AD287)),AE286)</x:f>
        <x:v>1</x:v>
      </x:c>
      <x:c r="AF287" s="8" t="n">
        <x:f>MAX(0,AE287-AE286)</x:f>
        <x:v>0</x:v>
      </x:c>
      <x:c r="AG287" s="9" t="str">
        <x:f>IF(AF287&gt;0,B287,"")</x:f>
      </x:c>
      <x:c r="AH287" s="9" t="n">
        <x:f>IF(F287&gt;=1,1,(1+v01_LowTiesShare*(AE287-1))/AE287)</x:f>
        <x:v>1</x:v>
      </x:c>
      <x:c r="AI287" s="32" t="n">
        <x:f>(Z287+v01_ElderCommons*INDEX(LM_Elder,G287)*AA287)*AH287</x:f>
        <x:v>18.44396564462674</x:v>
      </x:c>
      <x:c r="AJ287" s="32" t="n">
        <x:f>H287*v01_CommonsCoef*AI287^v01_CommonsExp*INDEX(LM_Commons,G287)</x:f>
        <x:v>7.861765660443537</x:v>
      </x:c>
      <x:c r="AK287" s="32" t="n">
        <x:f>H287*v01_RoleScale*Arch_Roles*(AE287*(INDEX(v01_ElderRolePerSett,G287)*v01_OutElder*INDEX(LM_Elder,G287)+INDEX(v01_ShamanPerSett,G287)*v01_OutShaman)+Z287*(INDEX(v01_PriestShare,G287)*v01_OutPriest+INDEX(v01_ScribeShare,G287)*v01_OutScribe*INDEX(LM_Scribe,G287)+INDEX(v01_ScholarShare,G287)*v01_OutScholar*INDEX(LM_Scholar,G287)+INDEX(v01_ResearcherShare,G287)*v01_OutResearcher*INDEX(LM_Researcher,G287)))</x:f>
        <x:v>1.3623724356957945</x:v>
      </x:c>
      <x:c r="AL287" s="32" t="n">
        <x:f>H287*v01_RoleScale*Arch_Roles*AE287*INDEX(v01_MonasteryPerSett,G287)*v01_OutMonastery*INDEX(LM_Monastery,G287)</x:f>
        <x:v>0</x:v>
      </x:c>
      <x:c r="AM287" s="32" t="n">
        <x:f>(AJ287+AK287+AL287)/4*INDEX(LM_All,G287)*INDEX(v01_Boon,G287)*Arch_Insight</x:f>
        <x:v>2.3636853871357033</x:v>
      </x:c>
      <x:c r="AN287" s="32" t="n">
        <x:f>H287*(v01_KHPerAdult*Z287+v01_KHOfCommons*AJ287/4*INDEX(LM_All,G287))*v01_KHUsable*Arch_KH</x:f>
        <x:v>0.38152311806103095</x:v>
      </x:c>
      <x:c r="AO287" s="32" t="n">
        <x:f>MIN(AP286+AN287,AM287*v01_KHMaxRatio)</x:f>
        <x:v>0.38152311806103095</x:v>
      </x:c>
      <x:c r="AP287" s="32" t="n">
        <x:f>AP286+AN287-AO287</x:f>
        <x:v>0</x:v>
      </x:c>
      <x:c r="AQ287" s="32" t="n">
        <x:f>AM287+AO287</x:f>
        <x:v>2.745208505196734</x:v>
      </x:c>
      <x:c r="AR287" s="10" t="n">
        <x:f>IF(H287=1,INDEX(v01_Req,G287),0)</x:f>
        <x:v>1067.32</x:v>
      </x:c>
      <x:c r="AS287" s="32" t="n">
        <x:f>IF(H287=1,IF(E287=1,AS286-AR286,AS286)+AQ287,0)</x:f>
        <x:v>126.2919849613967</x:v>
      </x:c>
      <x:c r="AT287" s="11" t="n">
        <x:f>IF(AR287&gt;0,MIN(1,AS287/AR287),1)</x:f>
        <x:v>0.11832626106640623</x:v>
      </x:c>
      <x:c r="AU287" s="10" t="n">
        <x:f>AB287/INDEX(v01_RepScale,G287)</x:f>
        <x:v>23.99585031618202</x:v>
      </x:c>
      <x:c r="AV287" s="32" t="n">
        <x:f>AM287*60/v01_SeasonSeconds</x:f>
        <x:v>9.454741548542813</x:v>
      </x:c>
    </x:row>
    <x:row r="288">
      <x:c r="A288" s="8" t="n">
        <x:f>A287+1</x:f>
        <x:v>285</x:v>
      </x:c>
      <x:c r="B288" s="9" t="n">
        <x:f>A288*v01_SeasonSeconds/60</x:f>
        <x:v>71.25</x:v>
      </x:c>
      <x:c r="C288" s="9" t="n">
        <x:f>A288/4</x:f>
        <x:v>71.25</x:v>
      </x:c>
      <x:c r="D288" s="8" t="n">
        <x:f>IF(MOD(A288,4)=0,1,0)</x:f>
        <x:v>0</x:v>
      </x:c>
      <x:c r="E288" s="8" t="n">
        <x:f>IF(AND(F287&lt;=9,AS287&gt;=AR287),1,0)</x:f>
        <x:v>0</x:v>
      </x:c>
      <x:c r="F288" s="8" t="n">
        <x:f>MIN(10,F287+E288)</x:f>
        <x:v>1</x:v>
      </x:c>
      <x:c r="G288" s="8" t="n">
        <x:f>MIN(F288,9)+1</x:f>
        <x:v>2</x:v>
      </x:c>
      <x:c r="H288" s="8" t="n">
        <x:f>IF(F288&lt;=9,1,0)</x:f>
        <x:v>1</x:v>
      </x:c>
      <x:c r="I288" s="9" t="n">
        <x:f>MIN(10,F287+IF(AR287&gt;0,MIN(1,AS287/AR287),1))</x:f>
        <x:v>1.1183262610664062</x:v>
      </x:c>
      <x:c r="J288" s="32" t="n">
        <x:f>INDEX(v01_FoodCap,G288)*Arch_FoodCap*EXP(v01_CapsByProject*SUMPRODUCT((Cap_Point&lt;=I288)*(Cap_Kind="Food")*Cap_Ln))</x:f>
        <x:v>30</x:v>
      </x:c>
      <x:c r="K288" s="32" t="n">
        <x:f>J288*MIN(1,v01_LeanBase*EXP(v01_CapsByProject*SUMPRODUCT((Cap_Point&lt;=I288)*(Cap_Kind="Lean")*Cap_Ln)))</x:f>
        <x:v>30</x:v>
      </x:c>
      <x:c r="L288" s="10" t="n">
        <x:f>INDEX(v01_HousingCap,G288)*EXP(v01_CapsByProject*SUMPRODUCT((Cap_Point&lt;=I288)*(Cap_Kind="Housing")*Cap_Ln))</x:f>
        <x:v>60</x:v>
      </x:c>
      <x:c r="M288" s="10" t="n">
        <x:f>INDEX(v01_GroupCap,G288)*v01_CohesionFactor*EXP(v01_CapsByProject*SUMPRODUCT((Cap_Point&lt;=I288)*(Cap_Kind="Group")*Cap_Ln))</x:f>
        <x:v>100</x:v>
      </x:c>
      <x:c r="N288" s="32" t="n">
        <x:f>MIN(J288,L288,M288)</x:f>
        <x:v>30</x:v>
      </x:c>
      <x:c r="O288" s="10" t="n">
        <x:f>AE287*N288</x:f>
        <x:v>30</x:v>
      </x:c>
      <x:c r="P288" s="9" t="n">
        <x:f>MIN(1,(AB287/(AE287*IF(v01_GroupInCrowding=1,N288,MIN(J288,L288))))^v01_CrowdingExp)</x:f>
        <x:v>0.26187216384855955</x:v>
      </x:c>
      <x:c r="Q288" s="9" t="n">
        <x:f>IF(D288=1,INDEX(v01_WinterMult,G288),1)</x:f>
        <x:v>1</x:v>
      </x:c>
      <x:c r="R288" s="9" t="n">
        <x:f>H288*Z287*v01_WomenShare*v01_BaseFertility*INDEX(v01_FertMult,G288)*Arch_Fertility*(1-P288)</x:f>
        <x:v>0.301728035974435</x:v>
      </x:c>
      <x:c r="S288" s="9" t="n">
        <x:f>H288*Y287*INDEX(v01_MortChild,G288)/4*Q288</x:f>
        <x:v>0.08763692329836002</x:v>
      </x:c>
      <x:c r="T288" s="9" t="n">
        <x:f>H288*Z287*INDEX(v01_MortAdult,G288)*Arch_AdultMort/4*Q288</x:f>
        <x:v>0.03542714667709573</x:v>
      </x:c>
      <x:c r="U288" s="9" t="n">
        <x:f>H288*AA287*INDEX(v01_MortElder,G288)/4*Q288</x:f>
        <x:v>0.06159082846394263</x:v>
      </x:c>
      <x:c r="V288" s="9" t="n">
        <x:f>H288*MAX(0,AB287-O288)*v01_OvercapLoss</x:f>
        <x:v>0</x:v>
      </x:c>
      <x:c r="W288" s="9" t="n">
        <x:f>H288*Y287/(v01_ChildYears*4)</x:f>
        <x:v>0.17885086387420412</x:v>
      </x:c>
      <x:c r="X288" s="9" t="n">
        <x:f>H288*Z287/(v01_AdultYears*4)</x:f>
        <x:v>0.08790855254862465</x:v>
      </x:c>
      <x:c r="Y288" s="32" t="n">
        <x:f>Y287+R288-S288-W288-Y287*V288/AB287</x:f>
        <x:v>10.0508886257573</x:v>
      </x:c>
      <x:c r="Z288" s="32" t="n">
        <x:f>Z287+W288-X288-T288-Z287*V288/AB287</x:f>
        <x:v>10.95617568067794</x:v>
      </x:c>
      <x:c r="AA288" s="32" t="n">
        <x:f>AA287+X288-U288-AA287*V288/AB287</x:f>
        <x:v>3.1058591472818136</x:v>
      </x:c>
      <x:c r="AB288" s="10" t="n">
        <x:f>Y288+Z288+AA288</x:f>
        <x:v>24.112923453717052</x:v>
      </x:c>
      <x:c r="AC288" s="8" t="n">
        <x:f>IF(AND(v01_WinterTrigger=1,D288=1,AB287/AE287&gt;=K288),1,0)</x:f>
        <x:v>0</x:v>
      </x:c>
      <x:c r="AD288" s="8" t="n">
        <x:f>H288*IF(AND(OR(AB287/AE287&gt;=v01_FissionTrigger*N288,AC288=1),AB287/AE287*v01_DaughterShare&gt;=v01_MinDaughter),MAX(1,ROUND(AE287*v01_FissionRate,0)),0)</x:f>
        <x:v>0</x:v>
      </x:c>
      <x:c r="AE288" s="8" t="n">
        <x:f>IF(H288=1,MAX(1,MIN(INDEX(v01_Smax,G288),AE287+AD288)),AE287)</x:f>
        <x:v>1</x:v>
      </x:c>
      <x:c r="AF288" s="8" t="n">
        <x:f>MAX(0,AE288-AE287)</x:f>
        <x:v>0</x:v>
      </x:c>
      <x:c r="AG288" s="9" t="str">
        <x:f>IF(AF288&gt;0,B288,"")</x:f>
      </x:c>
      <x:c r="AH288" s="9" t="n">
        <x:f>IF(F288&gt;=1,1,(1+v01_LowTiesShare*(AE288-1))/AE288)</x:f>
        <x:v>1</x:v>
      </x:c>
      <x:c r="AI288" s="32" t="n">
        <x:f>(Z288+v01_ElderCommons*INDEX(LM_Elder,G288)*AA288)*AH288</x:f>
        <x:v>18.563945804474052</x:v>
      </x:c>
      <x:c r="AJ288" s="32" t="n">
        <x:f>H288*v01_CommonsCoef*AI288^v01_CommonsExp*INDEX(LM_Commons,G288)</x:f>
        <x:v>7.905214956198266</x:v>
      </x:c>
      <x:c r="AK288" s="32" t="n">
        <x:f>H288*v01_RoleScale*Arch_Roles*(AE288*(INDEX(v01_ElderRolePerSett,G288)*v01_OutElder*INDEX(LM_Elder,G288)+INDEX(v01_ShamanPerSett,G288)*v01_OutShaman)+Z288*(INDEX(v01_PriestShare,G288)*v01_OutPriest+INDEX(v01_ScribeShare,G288)*v01_OutScribe*INDEX(LM_Scribe,G288)+INDEX(v01_ScholarShare,G288)*v01_OutScholar*INDEX(LM_Scholar,G288)+INDEX(v01_ResearcherShare,G288)*v01_OutResearcher*INDEX(LM_Researcher,G288)))</x:f>
        <x:v>1.3623724356957945</x:v>
      </x:c>
      <x:c r="AL288" s="32" t="n">
        <x:f>H288*v01_RoleScale*Arch_Roles*AE288*INDEX(v01_MonasteryPerSett,G288)*v01_OutMonastery*INDEX(LM_Monastery,G288)</x:f>
        <x:v>0</x:v>
      </x:c>
      <x:c r="AM288" s="32" t="n">
        <x:f>(AJ288+AK288+AL288)/4*INDEX(LM_All,G288)*INDEX(v01_Boon,G288)*Arch_Insight</x:f>
        <x:v>2.374819269172853</x:v>
      </x:c>
      <x:c r="AN288" s="32" t="n">
        <x:f>H288*(v01_KHPerAdult*Z288+v01_KHOfCommons*AJ288/4*INDEX(LM_All,G288))*v01_KHUsable*Arch_KH</x:f>
        <x:v>0.3834661488237279</x:v>
      </x:c>
      <x:c r="AO288" s="32" t="n">
        <x:f>MIN(AP287+AN288,AM288*v01_KHMaxRatio)</x:f>
        <x:v>0.3834661488237279</x:v>
      </x:c>
      <x:c r="AP288" s="32" t="n">
        <x:f>AP287+AN288-AO288</x:f>
        <x:v>0</x:v>
      </x:c>
      <x:c r="AQ288" s="32" t="n">
        <x:f>AM288+AO288</x:f>
        <x:v>2.758285417996581</x:v>
      </x:c>
      <x:c r="AR288" s="10" t="n">
        <x:f>IF(H288=1,INDEX(v01_Req,G288),0)</x:f>
        <x:v>1067.32</x:v>
      </x:c>
      <x:c r="AS288" s="32" t="n">
        <x:f>IF(H288=1,IF(E288=1,AS287-AR287,AS287)+AQ288,0)</x:f>
        <x:v>129.05027037939328</x:v>
      </x:c>
      <x:c r="AT288" s="11" t="n">
        <x:f>IF(AR288&gt;0,MIN(1,AS288/AR288),1)</x:f>
        <x:v>0.1209105707560931</x:v>
      </x:c>
      <x:c r="AU288" s="10" t="n">
        <x:f>AB288/INDEX(v01_RepScale,G288)</x:f>
        <x:v>24.112923453717052</x:v>
      </x:c>
      <x:c r="AV288" s="32" t="n">
        <x:f>AM288*60/v01_SeasonSeconds</x:f>
        <x:v>9.499277076691412</x:v>
      </x:c>
    </x:row>
    <x:row r="289">
      <x:c r="A289" s="8" t="n">
        <x:f>A288+1</x:f>
        <x:v>286</x:v>
      </x:c>
      <x:c r="B289" s="9" t="n">
        <x:f>A289*v01_SeasonSeconds/60</x:f>
        <x:v>71.5</x:v>
      </x:c>
      <x:c r="C289" s="9" t="n">
        <x:f>A289/4</x:f>
        <x:v>71.5</x:v>
      </x:c>
      <x:c r="D289" s="8" t="n">
        <x:f>IF(MOD(A289,4)=0,1,0)</x:f>
        <x:v>0</x:v>
      </x:c>
      <x:c r="E289" s="8" t="n">
        <x:f>IF(AND(F288&lt;=9,AS288&gt;=AR288),1,0)</x:f>
        <x:v>0</x:v>
      </x:c>
      <x:c r="F289" s="8" t="n">
        <x:f>MIN(10,F288+E289)</x:f>
        <x:v>1</x:v>
      </x:c>
      <x:c r="G289" s="8" t="n">
        <x:f>MIN(F289,9)+1</x:f>
        <x:v>2</x:v>
      </x:c>
      <x:c r="H289" s="8" t="n">
        <x:f>IF(F289&lt;=9,1,0)</x:f>
        <x:v>1</x:v>
      </x:c>
      <x:c r="I289" s="9" t="n">
        <x:f>MIN(10,F288+IF(AR288&gt;0,MIN(1,AS288/AR288),1))</x:f>
        <x:v>1.1209105707560931</x:v>
      </x:c>
      <x:c r="J289" s="32" t="n">
        <x:f>INDEX(v01_FoodCap,G289)*Arch_FoodCap*EXP(v01_CapsByProject*SUMPRODUCT((Cap_Point&lt;=I289)*(Cap_Kind="Food")*Cap_Ln))</x:f>
        <x:v>30</x:v>
      </x:c>
      <x:c r="K289" s="32" t="n">
        <x:f>J289*MIN(1,v01_LeanBase*EXP(v01_CapsByProject*SUMPRODUCT((Cap_Point&lt;=I289)*(Cap_Kind="Lean")*Cap_Ln)))</x:f>
        <x:v>30</x:v>
      </x:c>
      <x:c r="L289" s="10" t="n">
        <x:f>INDEX(v01_HousingCap,G289)*EXP(v01_CapsByProject*SUMPRODUCT((Cap_Point&lt;=I289)*(Cap_Kind="Housing")*Cap_Ln))</x:f>
        <x:v>60</x:v>
      </x:c>
      <x:c r="M289" s="10" t="n">
        <x:f>INDEX(v01_GroupCap,G289)*v01_CohesionFactor*EXP(v01_CapsByProject*SUMPRODUCT((Cap_Point&lt;=I289)*(Cap_Kind="Group")*Cap_Ln))</x:f>
        <x:v>100</x:v>
      </x:c>
      <x:c r="N289" s="32" t="n">
        <x:f>MIN(J289,L289,M289)</x:f>
        <x:v>30</x:v>
      </x:c>
      <x:c r="O289" s="10" t="n">
        <x:f>AE288*N289</x:f>
        <x:v>30</x:v>
      </x:c>
      <x:c r="P289" s="9" t="n">
        <x:f>MIN(1,(AB288/(AE288*IF(v01_GroupInCrowding=1,N289,MIN(J289,L289))))^v01_CrowdingExp)</x:f>
        <x:v>0.2696321511633473</x:v>
      </x:c>
      <x:c r="Q289" s="9" t="n">
        <x:f>IF(D289=1,INDEX(v01_WinterMult,G289),1)</x:f>
        <x:v>1</x:v>
      </x:c>
      <x:c r="R289" s="9" t="n">
        <x:f>H289*Z288*v01_WomenShare*v01_BaseFertility*INDEX(v01_FertMult,G289)*Arch_Fertility*(1-P289)</x:f>
        <x:v>0.3000764423764949</x:v>
      </x:c>
      <x:c r="S289" s="9" t="n">
        <x:f>H289*Y288*INDEX(v01_MortChild,G289)/4*Q289</x:f>
        <x:v>0.0879452754753764</x:v>
      </x:c>
      <x:c r="T289" s="9" t="n">
        <x:f>H289*Z288*INDEX(v01_MortAdult,G289)*Arch_AdultMort/4*Q289</x:f>
        <x:v>0.03560757096220331</x:v>
      </x:c>
      <x:c r="U289" s="9" t="n">
        <x:f>H289*AA288*INDEX(v01_MortElder,G289)/4*Q289</x:f>
        <x:v>0.06211718294563627</x:v>
      </x:c>
      <x:c r="V289" s="9" t="n">
        <x:f>H289*MAX(0,AB288-O289)*v01_OvercapLoss</x:f>
        <x:v>0</x:v>
      </x:c>
      <x:c r="W289" s="9" t="n">
        <x:f>H289*Y288/(v01_ChildYears*4)</x:f>
        <x:v>0.17948015403138037</x:v>
      </x:c>
      <x:c r="X289" s="9" t="n">
        <x:f>H289*Z288/(v01_AdultYears*4)</x:f>
        <x:v>0.08835625548933823</x:v>
      </x:c>
      <x:c r="Y289" s="32" t="n">
        <x:f>Y288+R289-S289-W289-Y288*V289/AB288</x:f>
        <x:v>10.08353963862704</x:v>
      </x:c>
      <x:c r="Z289" s="32" t="n">
        <x:f>Z288+W289-X289-T289-Z288*V289/AB288</x:f>
        <x:v>11.011692008257778</x:v>
      </x:c>
      <x:c r="AA289" s="32" t="n">
        <x:f>AA288+X289-U289-AA288*V289/AB288</x:f>
        <x:v>3.1320982198255156</x:v>
      </x:c>
      <x:c r="AB289" s="10" t="n">
        <x:f>Y289+Z289+AA289</x:f>
        <x:v>24.227329866710335</x:v>
      </x:c>
      <x:c r="AC289" s="8" t="n">
        <x:f>IF(AND(v01_WinterTrigger=1,D289=1,AB288/AE288&gt;=K289),1,0)</x:f>
        <x:v>0</x:v>
      </x:c>
      <x:c r="AD289" s="8" t="n">
        <x:f>H289*IF(AND(OR(AB288/AE288&gt;=v01_FissionTrigger*N289,AC289=1),AB288/AE288*v01_DaughterShare&gt;=v01_MinDaughter),MAX(1,ROUND(AE288*v01_FissionRate,0)),0)</x:f>
        <x:v>0</x:v>
      </x:c>
      <x:c r="AE289" s="8" t="n">
        <x:f>IF(H289=1,MAX(1,MIN(INDEX(v01_Smax,G289),AE288+AD289)),AE288)</x:f>
        <x:v>1</x:v>
      </x:c>
      <x:c r="AF289" s="8" t="n">
        <x:f>MAX(0,AE289-AE288)</x:f>
        <x:v>0</x:v>
      </x:c>
      <x:c r="AG289" s="9" t="str">
        <x:f>IF(AF289&gt;0,B289,"")</x:f>
      </x:c>
      <x:c r="AH289" s="9" t="n">
        <x:f>IF(F289&gt;=1,1,(1+v01_LowTiesShare*(AE289-1))/AE289)</x:f>
        <x:v>1</x:v>
      </x:c>
      <x:c r="AI289" s="32" t="n">
        <x:f>(Z289+v01_ElderCommons*INDEX(LM_Elder,G289)*AA289)*AH289</x:f>
        <x:v>18.68373447110983</x:v>
      </x:c>
      <x:c r="AJ289" s="32" t="n">
        <x:f>H289*v01_CommonsCoef*AI289^v01_CommonsExp*INDEX(LM_Commons,G289)</x:f>
        <x:v>7.948552903380273</x:v>
      </x:c>
      <x:c r="AK289" s="32" t="n">
        <x:f>H289*v01_RoleScale*Arch_Roles*(AE289*(INDEX(v01_ElderRolePerSett,G289)*v01_OutElder*INDEX(LM_Elder,G289)+INDEX(v01_ShamanPerSett,G289)*v01_OutShaman)+Z289*(INDEX(v01_PriestShare,G289)*v01_OutPriest+INDEX(v01_ScribeShare,G289)*v01_OutScribe*INDEX(LM_Scribe,G289)+INDEX(v01_ScholarShare,G289)*v01_OutScholar*INDEX(LM_Scholar,G289)+INDEX(v01_ResearcherShare,G289)*v01_OutResearcher*INDEX(LM_Researcher,G289)))</x:f>
        <x:v>1.3623724356957945</x:v>
      </x:c>
      <x:c r="AL289" s="32" t="n">
        <x:f>H289*v01_RoleScale*Arch_Roles*AE289*INDEX(v01_MonasteryPerSett,G289)*v01_OutMonastery*INDEX(LM_Monastery,G289)</x:f>
        <x:v>0</x:v>
      </x:c>
      <x:c r="AM289" s="32" t="n">
        <x:f>(AJ289+AK289+AL289)/4*INDEX(LM_All,G289)*INDEX(v01_Boon,G289)*Arch_Insight</x:f>
        <x:v>2.385924618138242</x:v>
      </x:c>
      <x:c r="AN289" s="32" t="n">
        <x:f>H289*(v01_KHPerAdult*Z289+v01_KHOfCommons*AJ289/4*INDEX(LM_All,G289))*v01_KHUsable*Arch_KH</x:f>
        <x:v>0.38540922028902225</x:v>
      </x:c>
      <x:c r="AO289" s="32" t="n">
        <x:f>MIN(AP288+AN289,AM289*v01_KHMaxRatio)</x:f>
        <x:v>0.38540922028902225</x:v>
      </x:c>
      <x:c r="AP289" s="32" t="n">
        <x:f>AP288+AN289-AO289</x:f>
        <x:v>0</x:v>
      </x:c>
      <x:c r="AQ289" s="32" t="n">
        <x:f>AM289+AO289</x:f>
        <x:v>2.7713338384272643</x:v>
      </x:c>
      <x:c r="AR289" s="10" t="n">
        <x:f>IF(H289=1,INDEX(v01_Req,G289),0)</x:f>
        <x:v>1067.32</x:v>
      </x:c>
      <x:c r="AS289" s="32" t="n">
        <x:f>IF(H289=1,IF(E289=1,AS288-AR288,AS288)+AQ289,0)</x:f>
        <x:v>131.82160421782055</x:v>
      </x:c>
      <x:c r="AT289" s="11" t="n">
        <x:f>IF(AR289&gt;0,MIN(1,AS289/AR289),1)</x:f>
        <x:v>0.1235071058518725</x:v>
      </x:c>
      <x:c r="AU289" s="10" t="n">
        <x:f>AB289/INDEX(v01_RepScale,G289)</x:f>
        <x:v>24.227329866710335</x:v>
      </x:c>
      <x:c r="AV289" s="32" t="n">
        <x:f>AM289*60/v01_SeasonSeconds</x:f>
        <x:v>9.543698472552968</x:v>
      </x:c>
    </x:row>
    <x:row r="290">
      <x:c r="A290" s="8" t="n">
        <x:f>A289+1</x:f>
        <x:v>287</x:v>
      </x:c>
      <x:c r="B290" s="9" t="n">
        <x:f>A290*v01_SeasonSeconds/60</x:f>
        <x:v>71.75</x:v>
      </x:c>
      <x:c r="C290" s="9" t="n">
        <x:f>A290/4</x:f>
        <x:v>71.75</x:v>
      </x:c>
      <x:c r="D290" s="8" t="n">
        <x:f>IF(MOD(A290,4)=0,1,0)</x:f>
        <x:v>0</x:v>
      </x:c>
      <x:c r="E290" s="8" t="n">
        <x:f>IF(AND(F289&lt;=9,AS289&gt;=AR289),1,0)</x:f>
        <x:v>0</x:v>
      </x:c>
      <x:c r="F290" s="8" t="n">
        <x:f>MIN(10,F289+E290)</x:f>
        <x:v>1</x:v>
      </x:c>
      <x:c r="G290" s="8" t="n">
        <x:f>MIN(F290,9)+1</x:f>
        <x:v>2</x:v>
      </x:c>
      <x:c r="H290" s="8" t="n">
        <x:f>IF(F290&lt;=9,1,0)</x:f>
        <x:v>1</x:v>
      </x:c>
      <x:c r="I290" s="9" t="n">
        <x:f>MIN(10,F289+IF(AR289&gt;0,MIN(1,AS289/AR289),1))</x:f>
        <x:v>1.1235071058518724</x:v>
      </x:c>
      <x:c r="J290" s="32" t="n">
        <x:f>INDEX(v01_FoodCap,G290)*Arch_FoodCap*EXP(v01_CapsByProject*SUMPRODUCT((Cap_Point&lt;=I290)*(Cap_Kind="Food")*Cap_Ln))</x:f>
        <x:v>30</x:v>
      </x:c>
      <x:c r="K290" s="32" t="n">
        <x:f>J290*MIN(1,v01_LeanBase*EXP(v01_CapsByProject*SUMPRODUCT((Cap_Point&lt;=I290)*(Cap_Kind="Lean")*Cap_Ln)))</x:f>
        <x:v>30</x:v>
      </x:c>
      <x:c r="L290" s="10" t="n">
        <x:f>INDEX(v01_HousingCap,G290)*EXP(v01_CapsByProject*SUMPRODUCT((Cap_Point&lt;=I290)*(Cap_Kind="Housing")*Cap_Ln))</x:f>
        <x:v>60</x:v>
      </x:c>
      <x:c r="M290" s="10" t="n">
        <x:f>INDEX(v01_GroupCap,G290)*v01_CohesionFactor*EXP(v01_CapsByProject*SUMPRODUCT((Cap_Point&lt;=I290)*(Cap_Kind="Group")*Cap_Ln))</x:f>
        <x:v>100</x:v>
      </x:c>
      <x:c r="N290" s="32" t="n">
        <x:f>MIN(J290,L290,M290)</x:f>
        <x:v>30</x:v>
      </x:c>
      <x:c r="O290" s="10" t="n">
        <x:f>AE289*N290</x:f>
        <x:v>30</x:v>
      </x:c>
      <x:c r="P290" s="9" t="n">
        <x:f>MIN(1,(AB289/(AE289*IF(v01_GroupInCrowding=1,N290,MIN(J290,L290))))^v01_CrowdingExp)</x:f>
        <x:v>0.2773995719199931</x:v>
      </x:c>
      <x:c r="Q290" s="9" t="n">
        <x:f>IF(D290=1,INDEX(v01_WinterMult,G290),1)</x:f>
        <x:v>1</x:v>
      </x:c>
      <x:c r="R290" s="9" t="n">
        <x:f>H290*Z289*v01_WomenShare*v01_BaseFertility*INDEX(v01_FertMult,G290)*Arch_Fertility*(1-P290)</x:f>
        <x:v>0.2983895009644598</x:v>
      </x:c>
      <x:c r="S290" s="9" t="n">
        <x:f>H290*Y289*INDEX(v01_MortChild,G290)/4*Q290</x:f>
        <x:v>0.0882309718379866</x:v>
      </x:c>
      <x:c r="T290" s="9" t="n">
        <x:f>H290*Z289*INDEX(v01_MortAdult,G290)*Arch_AdultMort/4*Q290</x:f>
        <x:v>0.035787999026837776</x:v>
      </x:c>
      <x:c r="U290" s="9" t="n">
        <x:f>H290*AA289*INDEX(v01_MortElder,G290)/4*Q290</x:f>
        <x:v>0.06264196439651032</x:v>
      </x:c>
      <x:c r="V290" s="9" t="n">
        <x:f>H290*MAX(0,AB289-O290)*v01_OvercapLoss</x:f>
        <x:v>0</x:v>
      </x:c>
      <x:c r="W290" s="9" t="n">
        <x:f>H290*Y289/(v01_ChildYears*4)</x:f>
        <x:v>0.1800632078326257</x:v>
      </x:c>
      <x:c r="X290" s="9" t="n">
        <x:f>H290*Z289/(v01_AdultYears*4)</x:f>
        <x:v>0.08880396780853048</x:v>
      </x:c>
      <x:c r="Y290" s="32" t="n">
        <x:f>Y289+R290-S290-W290-Y289*V290/AB289</x:f>
        <x:v>10.113634959920885</x:v>
      </x:c>
      <x:c r="Z290" s="32" t="n">
        <x:f>Z289+W290-X290-T290-Z289*V290/AB289</x:f>
        <x:v>11.067163249255037</x:v>
      </x:c>
      <x:c r="AA290" s="32" t="n">
        <x:f>AA289+X290-U290-AA289*V290/AB289</x:f>
        <x:v>3.158260223237536</x:v>
      </x:c>
      <x:c r="AB290" s="10" t="n">
        <x:f>Y290+Z290+AA290</x:f>
        <x:v>24.33905843241346</x:v>
      </x:c>
      <x:c r="AC290" s="8" t="n">
        <x:f>IF(AND(v01_WinterTrigger=1,D290=1,AB289/AE289&gt;=K290),1,0)</x:f>
        <x:v>0</x:v>
      </x:c>
      <x:c r="AD290" s="8" t="n">
        <x:f>H290*IF(AND(OR(AB289/AE289&gt;=v01_FissionTrigger*N290,AC290=1),AB289/AE289*v01_DaughterShare&gt;=v01_MinDaughter),MAX(1,ROUND(AE289*v01_FissionRate,0)),0)</x:f>
        <x:v>0</x:v>
      </x:c>
      <x:c r="AE290" s="8" t="n">
        <x:f>IF(H290=1,MAX(1,MIN(INDEX(v01_Smax,G290),AE289+AD290)),AE289)</x:f>
        <x:v>1</x:v>
      </x:c>
      <x:c r="AF290" s="8" t="n">
        <x:f>MAX(0,AE290-AE289)</x:f>
        <x:v>0</x:v>
      </x:c>
      <x:c r="AG290" s="9" t="str">
        <x:f>IF(AF290&gt;0,B290,"")</x:f>
      </x:c>
      <x:c r="AH290" s="9" t="n">
        <x:f>IF(F290&gt;=1,1,(1+v01_LowTiesShare*(AE290-1))/AE290)</x:f>
        <x:v>1</x:v>
      </x:c>
      <x:c r="AI290" s="32" t="n">
        <x:f>(Z290+v01_ElderCommons*INDEX(LM_Elder,G290)*AA290)*AH290</x:f>
        <x:v>18.80328927111549</x:v>
      </x:c>
      <x:c r="AJ290" s="32" t="n">
        <x:f>H290*v01_CommonsCoef*AI290^v01_CommonsExp*INDEX(LM_Commons,G290)</x:f>
        <x:v>7.991764703714077</x:v>
      </x:c>
      <x:c r="AK290" s="32" t="n">
        <x:f>H290*v01_RoleScale*Arch_Roles*(AE290*(INDEX(v01_ElderRolePerSett,G290)*v01_OutElder*INDEX(LM_Elder,G290)+INDEX(v01_ShamanPerSett,G290)*v01_OutShaman)+Z290*(INDEX(v01_PriestShare,G290)*v01_OutPriest+INDEX(v01_ScribeShare,G290)*v01_OutScribe*INDEX(LM_Scribe,G290)+INDEX(v01_ScholarShare,G290)*v01_OutScholar*INDEX(LM_Scholar,G290)+INDEX(v01_ResearcherShare,G290)*v01_OutResearcher*INDEX(LM_Researcher,G290)))</x:f>
        <x:v>1.3623724356957945</x:v>
      </x:c>
      <x:c r="AL290" s="32" t="n">
        <x:f>H290*v01_RoleScale*Arch_Roles*AE290*INDEX(v01_MonasteryPerSett,G290)*v01_OutMonastery*INDEX(LM_Monastery,G290)</x:f>
        <x:v>0</x:v>
      </x:c>
      <x:c r="AM290" s="32" t="n">
        <x:f>(AJ290+AK290+AL290)/4*INDEX(LM_All,G290)*INDEX(v01_Boon,G290)*Arch_Insight</x:f>
        <x:v>2.3969976419737793</x:v>
      </x:c>
      <x:c r="AN290" s="32" t="n">
        <x:f>H290*(v01_KHPerAdult*Z290+v01_KHOfCommons*AJ290/4*INDEX(LM_All,G290))*v01_KHUsable*Arch_KH</x:f>
        <x:v>0.38735071372392627</x:v>
      </x:c>
      <x:c r="AO290" s="32" t="n">
        <x:f>MIN(AP289+AN290,AM290*v01_KHMaxRatio)</x:f>
        <x:v>0.38735071372392627</x:v>
      </x:c>
      <x:c r="AP290" s="32" t="n">
        <x:f>AP289+AN290-AO290</x:f>
        <x:v>0</x:v>
      </x:c>
      <x:c r="AQ290" s="32" t="n">
        <x:f>AM290+AO290</x:f>
        <x:v>2.7843483556977056</x:v>
      </x:c>
      <x:c r="AR290" s="10" t="n">
        <x:f>IF(H290=1,INDEX(v01_Req,G290),0)</x:f>
        <x:v>1067.32</x:v>
      </x:c>
      <x:c r="AS290" s="32" t="n">
        <x:f>IF(H290=1,IF(E290=1,AS289-AR289,AS289)+AQ290,0)</x:f>
        <x:v>134.60595257351827</x:v>
      </x:c>
      <x:c r="AT290" s="11" t="n">
        <x:f>IF(AR290&gt;0,MIN(1,AS290/AR290),1)</x:f>
        <x:v>0.12611583458898762</x:v>
      </x:c>
      <x:c r="AU290" s="10" t="n">
        <x:f>AB290/INDEX(v01_RepScale,G290)</x:f>
        <x:v>24.33905843241346</x:v>
      </x:c>
      <x:c r="AV290" s="32" t="n">
        <x:f>AM290*60/v01_SeasonSeconds</x:f>
        <x:v>9.587990567895117</x:v>
      </x:c>
    </x:row>
    <x:row r="291">
      <x:c r="A291" s="8" t="n">
        <x:f>A290+1</x:f>
        <x:v>288</x:v>
      </x:c>
      <x:c r="B291" s="9" t="n">
        <x:f>A291*v01_SeasonSeconds/60</x:f>
        <x:v>72</x:v>
      </x:c>
      <x:c r="C291" s="9" t="n">
        <x:f>A291/4</x:f>
        <x:v>72</x:v>
      </x:c>
      <x:c r="D291" s="8" t="n">
        <x:f>IF(MOD(A291,4)=0,1,0)</x:f>
        <x:v>1</x:v>
      </x:c>
      <x:c r="E291" s="8" t="n">
        <x:f>IF(AND(F290&lt;=9,AS290&gt;=AR290),1,0)</x:f>
        <x:v>0</x:v>
      </x:c>
      <x:c r="F291" s="8" t="n">
        <x:f>MIN(10,F290+E291)</x:f>
        <x:v>1</x:v>
      </x:c>
      <x:c r="G291" s="8" t="n">
        <x:f>MIN(F291,9)+1</x:f>
        <x:v>2</x:v>
      </x:c>
      <x:c r="H291" s="8" t="n">
        <x:f>IF(F291&lt;=9,1,0)</x:f>
        <x:v>1</x:v>
      </x:c>
      <x:c r="I291" s="9" t="n">
        <x:f>MIN(10,F290+IF(AR290&gt;0,MIN(1,AS290/AR290),1))</x:f>
        <x:v>1.1261158345889877</x:v>
      </x:c>
      <x:c r="J291" s="32" t="n">
        <x:f>INDEX(v01_FoodCap,G291)*Arch_FoodCap*EXP(v01_CapsByProject*SUMPRODUCT((Cap_Point&lt;=I291)*(Cap_Kind="Food")*Cap_Ln))</x:f>
        <x:v>30</x:v>
      </x:c>
      <x:c r="K291" s="32" t="n">
        <x:f>J291*MIN(1,v01_LeanBase*EXP(v01_CapsByProject*SUMPRODUCT((Cap_Point&lt;=I291)*(Cap_Kind="Lean")*Cap_Ln)))</x:f>
        <x:v>30</x:v>
      </x:c>
      <x:c r="L291" s="10" t="n">
        <x:f>INDEX(v01_HousingCap,G291)*EXP(v01_CapsByProject*SUMPRODUCT((Cap_Point&lt;=I291)*(Cap_Kind="Housing")*Cap_Ln))</x:f>
        <x:v>60</x:v>
      </x:c>
      <x:c r="M291" s="10" t="n">
        <x:f>INDEX(v01_GroupCap,G291)*v01_CohesionFactor*EXP(v01_CapsByProject*SUMPRODUCT((Cap_Point&lt;=I291)*(Cap_Kind="Group")*Cap_Ln))</x:f>
        <x:v>100</x:v>
      </x:c>
      <x:c r="N291" s="32" t="n">
        <x:f>MIN(J291,L291,M291)</x:f>
        <x:v>30</x:v>
      </x:c>
      <x:c r="O291" s="10" t="n">
        <x:f>AE290*N291</x:f>
        <x:v>30</x:v>
      </x:c>
      <x:c r="P291" s="9" t="n">
        <x:f>MIN(1,(AB290/(AE290*IF(v01_GroupInCrowding=1,N291,MIN(J291,L291))))^v01_CrowdingExp)</x:f>
        <x:v>0.28516427169074476</x:v>
      </x:c>
      <x:c r="Q291" s="9" t="n">
        <x:f>IF(D291=1,INDEX(v01_WinterMult,G291),1)</x:f>
        <x:v>1.6</x:v>
      </x:c>
      <x:c r="R291" s="9" t="n">
        <x:f>H291*Z290*v01_WomenShare*v01_BaseFertility*INDEX(v01_FertMult,G291)*Arch_Fertility*(1-P291)</x:f>
        <x:v>0.2966701388099493</x:v>
      </x:c>
      <x:c r="S291" s="9" t="n">
        <x:f>H291*Y290*INDEX(v01_MortChild,G291)/4*Q291</x:f>
        <x:v>0.1415908894388924</x:v>
      </x:c>
      <x:c r="T291" s="9" t="n">
        <x:f>H291*Z290*INDEX(v01_MortAdult,G291)*Arch_AdultMort/4*Q291</x:f>
        <x:v>0.0575492488961262</x:v>
      </x:c>
      <x:c r="U291" s="9" t="n">
        <x:f>H291*AA290*INDEX(v01_MortElder,G291)/4*Q291</x:f>
        <x:v>0.10106432714360114</x:v>
      </x:c>
      <x:c r="V291" s="9" t="n">
        <x:f>H291*MAX(0,AB290-O291)*v01_OvercapLoss</x:f>
        <x:v>0</x:v>
      </x:c>
      <x:c r="W291" s="9" t="n">
        <x:f>H291*Y290/(v01_ChildYears*4)</x:f>
        <x:v>0.18060062428430151</x:v>
      </x:c>
      <x:c r="X291" s="9" t="n">
        <x:f>H291*Z290/(v01_AdultYears*4)</x:f>
        <x:v>0.0892513165262503</x:v>
      </x:c>
      <x:c r="Y291" s="32" t="n">
        <x:f>Y290+R291-S291-W291-Y290*V291/AB290</x:f>
        <x:v>10.08811358500764</x:v>
      </x:c>
      <x:c r="Z291" s="32" t="n">
        <x:f>Z290+W291-X291-T291-Z290*V291/AB290</x:f>
        <x:v>11.100963308116961</x:v>
      </x:c>
      <x:c r="AA291" s="32" t="n">
        <x:f>AA290+X291-U291-AA290*V291/AB290</x:f>
        <x:v>3.1464472126201852</x:v>
      </x:c>
      <x:c r="AB291" s="10" t="n">
        <x:f>Y291+Z291+AA291</x:f>
        <x:v>24.335524105744785</x:v>
      </x:c>
      <x:c r="AC291" s="8" t="n">
        <x:f>IF(AND(v01_WinterTrigger=1,D291=1,AB290/AE290&gt;=K291),1,0)</x:f>
        <x:v>0</x:v>
      </x:c>
      <x:c r="AD291" s="8" t="n">
        <x:f>H291*IF(AND(OR(AB290/AE290&gt;=v01_FissionTrigger*N291,AC291=1),AB290/AE290*v01_DaughterShare&gt;=v01_MinDaughter),MAX(1,ROUND(AE290*v01_FissionRate,0)),0)</x:f>
        <x:v>0</x:v>
      </x:c>
      <x:c r="AE291" s="8" t="n">
        <x:f>IF(H291=1,MAX(1,MIN(INDEX(v01_Smax,G291),AE290+AD291)),AE290)</x:f>
        <x:v>1</x:v>
      </x:c>
      <x:c r="AF291" s="8" t="n">
        <x:f>MAX(0,AE291-AE290)</x:f>
        <x:v>0</x:v>
      </x:c>
      <x:c r="AG291" s="9" t="str">
        <x:f>IF(AF291&gt;0,B291,"")</x:f>
      </x:c>
      <x:c r="AH291" s="9" t="n">
        <x:f>IF(F291&gt;=1,1,(1+v01_LowTiesShare*(AE291-1))/AE291)</x:f>
        <x:v>1</x:v>
      </x:c>
      <x:c r="AI291" s="32" t="n">
        <x:f>(Z291+v01_ElderCommons*INDEX(LM_Elder,G291)*AA291)*AH291</x:f>
        <x:v>18.808153481638826</x:v>
      </x:c>
      <x:c r="AJ291" s="32" t="n">
        <x:f>H291*v01_CommonsCoef*AI291^v01_CommonsExp*INDEX(LM_Commons,G291)</x:f>
        <x:v>7.993521946320992</x:v>
      </x:c>
      <x:c r="AK291" s="32" t="n">
        <x:f>H291*v01_RoleScale*Arch_Roles*(AE291*(INDEX(v01_ElderRolePerSett,G291)*v01_OutElder*INDEX(LM_Elder,G291)+INDEX(v01_ShamanPerSett,G291)*v01_OutShaman)+Z291*(INDEX(v01_PriestShare,G291)*v01_OutPriest+INDEX(v01_ScribeShare,G291)*v01_OutScribe*INDEX(LM_Scribe,G291)+INDEX(v01_ScholarShare,G291)*v01_OutScholar*INDEX(LM_Scholar,G291)+INDEX(v01_ResearcherShare,G291)*v01_OutResearcher*INDEX(LM_Researcher,G291)))</x:f>
        <x:v>1.3623724356957945</x:v>
      </x:c>
      <x:c r="AL291" s="32" t="n">
        <x:f>H291*v01_RoleScale*Arch_Roles*AE291*INDEX(v01_MonasteryPerSett,G291)*v01_OutMonastery*INDEX(LM_Monastery,G291)</x:f>
        <x:v>0</x:v>
      </x:c>
      <x:c r="AM291" s="32" t="n">
        <x:f>(AJ291+AK291+AL291)/4*INDEX(LM_All,G291)*INDEX(v01_Boon,G291)*Arch_Insight</x:f>
        <x:v>2.397447935391801</x:v>
      </x:c>
      <x:c r="AN291" s="32" t="n">
        <x:f>H291*(v01_KHPerAdult*Z291+v01_KHOfCommons*AJ291/4*INDEX(LM_All,G291))*v01_KHUsable*Arch_KH</x:f>
        <x:v>0.3885337157840937</x:v>
      </x:c>
      <x:c r="AO291" s="32" t="n">
        <x:f>MIN(AP290+AN291,AM291*v01_KHMaxRatio)</x:f>
        <x:v>0.3885337157840937</x:v>
      </x:c>
      <x:c r="AP291" s="32" t="n">
        <x:f>AP290+AN291-AO291</x:f>
        <x:v>0</x:v>
      </x:c>
      <x:c r="AQ291" s="32" t="n">
        <x:f>AM291+AO291</x:f>
        <x:v>2.7859816511758946</x:v>
      </x:c>
      <x:c r="AR291" s="10" t="n">
        <x:f>IF(H291=1,INDEX(v01_Req,G291),0)</x:f>
        <x:v>1067.32</x:v>
      </x:c>
      <x:c r="AS291" s="32" t="n">
        <x:f>IF(H291=1,IF(E291=1,AS290-AR290,AS290)+AQ291,0)</x:f>
        <x:v>137.39193422469415</x:v>
      </x:c>
      <x:c r="AT291" s="11" t="n">
        <x:f>IF(AR291&gt;0,MIN(1,AS291/AR291),1)</x:f>
        <x:v>0.12872609360331874</x:v>
      </x:c>
      <x:c r="AU291" s="10" t="n">
        <x:f>AB291/INDEX(v01_RepScale,G291)</x:f>
        <x:v>24.335524105744785</x:v>
      </x:c>
      <x:c r="AV291" s="32" t="n">
        <x:f>AM291*60/v01_SeasonSeconds</x:f>
        <x:v>9.589791741567204</x:v>
      </x:c>
    </x:row>
    <x:row r="292">
      <x:c r="A292" s="8" t="n">
        <x:f>A291+1</x:f>
        <x:v>289</x:v>
      </x:c>
      <x:c r="B292" s="9" t="n">
        <x:f>A292*v01_SeasonSeconds/60</x:f>
        <x:v>72.25</x:v>
      </x:c>
      <x:c r="C292" s="9" t="n">
        <x:f>A292/4</x:f>
        <x:v>72.25</x:v>
      </x:c>
      <x:c r="D292" s="8" t="n">
        <x:f>IF(MOD(A292,4)=0,1,0)</x:f>
        <x:v>0</x:v>
      </x:c>
      <x:c r="E292" s="8" t="n">
        <x:f>IF(AND(F291&lt;=9,AS291&gt;=AR291),1,0)</x:f>
        <x:v>0</x:v>
      </x:c>
      <x:c r="F292" s="8" t="n">
        <x:f>MIN(10,F291+E292)</x:f>
        <x:v>1</x:v>
      </x:c>
      <x:c r="G292" s="8" t="n">
        <x:f>MIN(F292,9)+1</x:f>
        <x:v>2</x:v>
      </x:c>
      <x:c r="H292" s="8" t="n">
        <x:f>IF(F292&lt;=9,1,0)</x:f>
        <x:v>1</x:v>
      </x:c>
      <x:c r="I292" s="9" t="n">
        <x:f>MIN(10,F291+IF(AR291&gt;0,MIN(1,AS291/AR291),1))</x:f>
        <x:v>1.1287260936033188</x:v>
      </x:c>
      <x:c r="J292" s="32" t="n">
        <x:f>INDEX(v01_FoodCap,G292)*Arch_FoodCap*EXP(v01_CapsByProject*SUMPRODUCT((Cap_Point&lt;=I292)*(Cap_Kind="Food")*Cap_Ln))</x:f>
        <x:v>30</x:v>
      </x:c>
      <x:c r="K292" s="32" t="n">
        <x:f>J292*MIN(1,v01_LeanBase*EXP(v01_CapsByProject*SUMPRODUCT((Cap_Point&lt;=I292)*(Cap_Kind="Lean")*Cap_Ln)))</x:f>
        <x:v>30</x:v>
      </x:c>
      <x:c r="L292" s="10" t="n">
        <x:f>INDEX(v01_HousingCap,G292)*EXP(v01_CapsByProject*SUMPRODUCT((Cap_Point&lt;=I292)*(Cap_Kind="Housing")*Cap_Ln))</x:f>
        <x:v>60</x:v>
      </x:c>
      <x:c r="M292" s="10" t="n">
        <x:f>INDEX(v01_GroupCap,G292)*v01_CohesionFactor*EXP(v01_CapsByProject*SUMPRODUCT((Cap_Point&lt;=I292)*(Cap_Kind="Group")*Cap_Ln))</x:f>
        <x:v>100</x:v>
      </x:c>
      <x:c r="N292" s="32" t="n">
        <x:f>MIN(J292,L292,M292)</x:f>
        <x:v>30</x:v>
      </x:c>
      <x:c r="O292" s="10" t="n">
        <x:f>AE291*N292</x:f>
        <x:v>30</x:v>
      </x:c>
      <x:c r="P292" s="9" t="n">
        <x:f>MIN(1,(AB291/(AE291*IF(v01_GroupInCrowding=1,N292,MIN(J292,L292))))^v01_CrowdingExp)</x:f>
        <x:v>0.2849159059919018</x:v>
      </x:c>
      <x:c r="Q292" s="9" t="n">
        <x:f>IF(D292=1,INDEX(v01_WinterMult,G292),1)</x:f>
        <x:v>1</x:v>
      </x:c>
      <x:c r="R292" s="9" t="n">
        <x:f>H292*Z291*v01_WomenShare*v01_BaseFertility*INDEX(v01_FertMult,G292)*Arch_Fertility*(1-P292)</x:f>
        <x:v>0.2976795858675734</x:v>
      </x:c>
      <x:c r="S292" s="9" t="n">
        <x:f>H292*Y291*INDEX(v01_MortChild,G292)/4*Q292</x:f>
        <x:v>0.08827099386881686</x:v>
      </x:c>
      <x:c r="T292" s="9" t="n">
        <x:f>H292*Z291*INDEX(v01_MortAdult,G292)*Arch_AdultMort/4*Q292</x:f>
        <x:v>0.036078130751380125</x:v>
      </x:c>
      <x:c r="U292" s="9" t="n">
        <x:f>H292*AA291*INDEX(v01_MortElder,G292)/4*Q292</x:f>
        <x:v>0.06292894425240371</x:v>
      </x:c>
      <x:c r="V292" s="9" t="n">
        <x:f>H292*MAX(0,AB291-O292)*v01_OvercapLoss</x:f>
        <x:v>0</x:v>
      </x:c>
      <x:c r="W292" s="9" t="n">
        <x:f>H292*Y291/(v01_ChildYears*4)</x:f>
        <x:v>0.180144885446565</x:v>
      </x:c>
      <x:c r="X292" s="9" t="n">
        <x:f>H292*Z291/(v01_AdultYears*4)</x:f>
        <x:v>0.08952389764610452</x:v>
      </x:c>
      <x:c r="Y292" s="32" t="n">
        <x:f>Y291+R292-S292-W292-Y291*V292/AB291</x:f>
        <x:v>10.117377291559833</x:v>
      </x:c>
      <x:c r="Z292" s="32" t="n">
        <x:f>Z291+W292-X292-T292-Z291*V292/AB291</x:f>
        <x:v>11.155506165166042</x:v>
      </x:c>
      <x:c r="AA292" s="32" t="n">
        <x:f>AA291+X292-U292-AA291*V292/AB291</x:f>
        <x:v>3.173042166013886</x:v>
      </x:c>
      <x:c r="AB292" s="10" t="n">
        <x:f>Y292+Z292+AA292</x:f>
        <x:v>24.44592562273976</x:v>
      </x:c>
      <x:c r="AC292" s="8" t="n">
        <x:f>IF(AND(v01_WinterTrigger=1,D292=1,AB291/AE291&gt;=K292),1,0)</x:f>
        <x:v>0</x:v>
      </x:c>
      <x:c r="AD292" s="8" t="n">
        <x:f>H292*IF(AND(OR(AB291/AE291&gt;=v01_FissionTrigger*N292,AC292=1),AB291/AE291*v01_DaughterShare&gt;=v01_MinDaughter),MAX(1,ROUND(AE291*v01_FissionRate,0)),0)</x:f>
        <x:v>0</x:v>
      </x:c>
      <x:c r="AE292" s="8" t="n">
        <x:f>IF(H292=1,MAX(1,MIN(INDEX(v01_Smax,G292),AE291+AD292)),AE291)</x:f>
        <x:v>1</x:v>
      </x:c>
      <x:c r="AF292" s="8" t="n">
        <x:f>MAX(0,AE292-AE291)</x:f>
        <x:v>0</x:v>
      </x:c>
      <x:c r="AG292" s="9" t="str">
        <x:f>IF(AF292&gt;0,B292,"")</x:f>
      </x:c>
      <x:c r="AH292" s="9" t="n">
        <x:f>IF(F292&gt;=1,1,(1+v01_LowTiesShare*(AE292-1))/AE292)</x:f>
        <x:v>1</x:v>
      </x:c>
      <x:c r="AI292" s="32" t="n">
        <x:f>(Z292+v01_ElderCommons*INDEX(LM_Elder,G292)*AA292)*AH292</x:f>
        <x:v>18.927840404235575</x:v>
      </x:c>
      <x:c r="AJ292" s="32" t="n">
        <x:f>H292*v01_CommonsCoef*AI292^v01_CommonsExp*INDEX(LM_Commons,G292)</x:f>
        <x:v>8.036738568346413</x:v>
      </x:c>
      <x:c r="AK292" s="32" t="n">
        <x:f>H292*v01_RoleScale*Arch_Roles*(AE292*(INDEX(v01_ElderRolePerSett,G292)*v01_OutElder*INDEX(LM_Elder,G292)+INDEX(v01_ShamanPerSett,G292)*v01_OutShaman)+Z292*(INDEX(v01_PriestShare,G292)*v01_OutPriest+INDEX(v01_ScribeShare,G292)*v01_OutScribe*INDEX(LM_Scribe,G292)+INDEX(v01_ScholarShare,G292)*v01_OutScholar*INDEX(LM_Scholar,G292)+INDEX(v01_ResearcherShare,G292)*v01_OutResearcher*INDEX(LM_Researcher,G292)))</x:f>
        <x:v>1.3623724356957945</x:v>
      </x:c>
      <x:c r="AL292" s="32" t="n">
        <x:f>H292*v01_RoleScale*Arch_Roles*AE292*INDEX(v01_MonasteryPerSett,G292)*v01_OutMonastery*INDEX(LM_Monastery,G292)</x:f>
        <x:v>0</x:v>
      </x:c>
      <x:c r="AM292" s="32" t="n">
        <x:f>(AJ292+AK292+AL292)/4*INDEX(LM_All,G292)*INDEX(v01_Boon,G292)*Arch_Insight</x:f>
        <x:v>2.4085221947858155</x:v>
      </x:c>
      <x:c r="AN292" s="32" t="n">
        <x:f>H292*(v01_KHPerAdult*Z292+v01_KHOfCommons*AJ292/4*INDEX(LM_All,G292))*v01_KHUsable*Arch_KH</x:f>
        <x:v>0.39044271578081147</x:v>
      </x:c>
      <x:c r="AO292" s="32" t="n">
        <x:f>MIN(AP291+AN292,AM292*v01_KHMaxRatio)</x:f>
        <x:v>0.39044271578081147</x:v>
      </x:c>
      <x:c r="AP292" s="32" t="n">
        <x:f>AP291+AN292-AO292</x:f>
        <x:v>0</x:v>
      </x:c>
      <x:c r="AQ292" s="32" t="n">
        <x:f>AM292+AO292</x:f>
        <x:v>2.798964910566627</x:v>
      </x:c>
      <x:c r="AR292" s="10" t="n">
        <x:f>IF(H292=1,INDEX(v01_Req,G292),0)</x:f>
        <x:v>1067.32</x:v>
      </x:c>
      <x:c r="AS292" s="32" t="n">
        <x:f>IF(H292=1,IF(E292=1,AS291-AR291,AS291)+AQ292,0)</x:f>
        <x:v>140.1908991352608</x:v>
      </x:c>
      <x:c r="AT292" s="11" t="n">
        <x:f>IF(AR292&gt;0,MIN(1,AS292/AR292),1)</x:f>
        <x:v>0.13134851697266126</x:v>
      </x:c>
      <x:c r="AU292" s="10" t="n">
        <x:f>AB292/INDEX(v01_RepScale,G292)</x:f>
        <x:v>24.44592562273976</x:v>
      </x:c>
      <x:c r="AV292" s="32" t="n">
        <x:f>AM292*60/v01_SeasonSeconds</x:f>
        <x:v>9.634088779143262</x:v>
      </x:c>
    </x:row>
    <x:row r="293">
      <x:c r="A293" s="8" t="n">
        <x:f>A292+1</x:f>
        <x:v>290</x:v>
      </x:c>
      <x:c r="B293" s="9" t="n">
        <x:f>A293*v01_SeasonSeconds/60</x:f>
        <x:v>72.5</x:v>
      </x:c>
      <x:c r="C293" s="9" t="n">
        <x:f>A293/4</x:f>
        <x:v>72.5</x:v>
      </x:c>
      <x:c r="D293" s="8" t="n">
        <x:f>IF(MOD(A293,4)=0,1,0)</x:f>
        <x:v>0</x:v>
      </x:c>
      <x:c r="E293" s="8" t="n">
        <x:f>IF(AND(F292&lt;=9,AS292&gt;=AR292),1,0)</x:f>
        <x:v>0</x:v>
      </x:c>
      <x:c r="F293" s="8" t="n">
        <x:f>MIN(10,F292+E293)</x:f>
        <x:v>1</x:v>
      </x:c>
      <x:c r="G293" s="8" t="n">
        <x:f>MIN(F293,9)+1</x:f>
        <x:v>2</x:v>
      </x:c>
      <x:c r="H293" s="8" t="n">
        <x:f>IF(F293&lt;=9,1,0)</x:f>
        <x:v>1</x:v>
      </x:c>
      <x:c r="I293" s="9" t="n">
        <x:f>MIN(10,F292+IF(AR292&gt;0,MIN(1,AS292/AR292),1))</x:f>
        <x:v>1.1313485169726611</x:v>
      </x:c>
      <x:c r="J293" s="32" t="n">
        <x:f>INDEX(v01_FoodCap,G293)*Arch_FoodCap*EXP(v01_CapsByProject*SUMPRODUCT((Cap_Point&lt;=I293)*(Cap_Kind="Food")*Cap_Ln))</x:f>
        <x:v>30</x:v>
      </x:c>
      <x:c r="K293" s="32" t="n">
        <x:f>J293*MIN(1,v01_LeanBase*EXP(v01_CapsByProject*SUMPRODUCT((Cap_Point&lt;=I293)*(Cap_Kind="Lean")*Cap_Ln)))</x:f>
        <x:v>30</x:v>
      </x:c>
      <x:c r="L293" s="10" t="n">
        <x:f>INDEX(v01_HousingCap,G293)*EXP(v01_CapsByProject*SUMPRODUCT((Cap_Point&lt;=I293)*(Cap_Kind="Housing")*Cap_Ln))</x:f>
        <x:v>60</x:v>
      </x:c>
      <x:c r="M293" s="10" t="n">
        <x:f>INDEX(v01_GroupCap,G293)*v01_CohesionFactor*EXP(v01_CapsByProject*SUMPRODUCT((Cap_Point&lt;=I293)*(Cap_Kind="Group")*Cap_Ln))</x:f>
        <x:v>100</x:v>
      </x:c>
      <x:c r="N293" s="32" t="n">
        <x:f>MIN(J293,L293,M293)</x:f>
        <x:v>30</x:v>
      </x:c>
      <x:c r="O293" s="10" t="n">
        <x:f>AE292*N293</x:f>
        <x:v>30</x:v>
      </x:c>
      <x:c r="P293" s="9" t="n">
        <x:f>MIN(1,(AB292/(AE292*IF(v01_GroupInCrowding=1,N293,MIN(J293,L293))))^v01_CrowdingExp)</x:f>
        <x:v>0.29275976383174984</x:v>
      </x:c>
      <x:c r="Q293" s="9" t="n">
        <x:f>IF(D293=1,INDEX(v01_WinterMult,G293),1)</x:f>
        <x:v>1</x:v>
      </x:c>
      <x:c r="R293" s="9" t="n">
        <x:f>H293*Z292*v01_WomenShare*v01_BaseFertility*INDEX(v01_FertMult,G293)*Arch_Fertility*(1-P293)</x:f>
        <x:v>0.29586085555606506</x:v>
      </x:c>
      <x:c r="S293" s="9" t="n">
        <x:f>H293*Y292*INDEX(v01_MortChild,G293)/4*Q293</x:f>
        <x:v>0.08852705130114855</x:v>
      </x:c>
      <x:c r="T293" s="9" t="n">
        <x:f>H293*Z292*INDEX(v01_MortAdult,G293)*Arch_AdultMort/4*Q293</x:f>
        <x:v>0.03625539503678964</x:v>
      </x:c>
      <x:c r="U293" s="9" t="n">
        <x:f>H293*AA292*INDEX(v01_MortElder,G293)/4*Q293</x:f>
        <x:v>0.06346084332027772</x:v>
      </x:c>
      <x:c r="V293" s="9" t="n">
        <x:f>H293*MAX(0,AB292-O293)*v01_OvercapLoss</x:f>
        <x:v>0</x:v>
      </x:c>
      <x:c r="W293" s="9" t="n">
        <x:f>H293*Y292/(v01_ChildYears*4)</x:f>
        <x:v>0.18066745163499703</x:v>
      </x:c>
      <x:c r="X293" s="9" t="n">
        <x:f>H293*Z292/(v01_AdultYears*4)</x:f>
        <x:v>0.08996375939650034</x:v>
      </x:c>
      <x:c r="Y293" s="32" t="n">
        <x:f>Y292+R293-S293-W293-Y292*V293/AB292</x:f>
        <x:v>10.144043644179751</x:v>
      </x:c>
      <x:c r="Z293" s="32" t="n">
        <x:f>Z292+W293-X293-T293-Z292*V293/AB292</x:f>
        <x:v>11.20995446236775</x:v>
      </x:c>
      <x:c r="AA293" s="32" t="n">
        <x:f>AA292+X293-U293-AA292*V293/AB292</x:f>
        <x:v>3.1995450820901086</x:v>
      </x:c>
      <x:c r="AB293" s="10" t="n">
        <x:f>Y293+Z293+AA293</x:f>
        <x:v>24.553543188637608</x:v>
      </x:c>
      <x:c r="AC293" s="8" t="n">
        <x:f>IF(AND(v01_WinterTrigger=1,D293=1,AB292/AE292&gt;=K293),1,0)</x:f>
        <x:v>0</x:v>
      </x:c>
      <x:c r="AD293" s="8" t="n">
        <x:f>H293*IF(AND(OR(AB292/AE292&gt;=v01_FissionTrigger*N293,AC293=1),AB292/AE292*v01_DaughterShare&gt;=v01_MinDaughter),MAX(1,ROUND(AE292*v01_FissionRate,0)),0)</x:f>
        <x:v>0</x:v>
      </x:c>
      <x:c r="AE293" s="8" t="n">
        <x:f>IF(H293=1,MAX(1,MIN(INDEX(v01_Smax,G293),AE292+AD293)),AE292)</x:f>
        <x:v>1</x:v>
      </x:c>
      <x:c r="AF293" s="8" t="n">
        <x:f>MAX(0,AE293-AE292)</x:f>
        <x:v>0</x:v>
      </x:c>
      <x:c r="AG293" s="9" t="str">
        <x:f>IF(AF293&gt;0,B293,"")</x:f>
      </x:c>
      <x:c r="AH293" s="9" t="n">
        <x:f>IF(F293&gt;=1,1,(1+v01_LowTiesShare*(AE293-1))/AE293)</x:f>
        <x:v>1</x:v>
      </x:c>
      <x:c r="AI293" s="32" t="n">
        <x:f>(Z293+v01_ElderCommons*INDEX(LM_Elder,G293)*AA293)*AH293</x:f>
        <x:v>19.04720732251983</x:v>
      </x:c>
      <x:c r="AJ293" s="32" t="n">
        <x:f>H293*v01_CommonsCoef*AI293^v01_CommonsExp*INDEX(LM_Commons,G293)</x:f>
        <x:v>8.0797988351569</x:v>
      </x:c>
      <x:c r="AK293" s="32" t="n">
        <x:f>H293*v01_RoleScale*Arch_Roles*(AE293*(INDEX(v01_ElderRolePerSett,G293)*v01_OutElder*INDEX(LM_Elder,G293)+INDEX(v01_ShamanPerSett,G293)*v01_OutShaman)+Z293*(INDEX(v01_PriestShare,G293)*v01_OutPriest+INDEX(v01_ScribeShare,G293)*v01_OutScribe*INDEX(LM_Scribe,G293)+INDEX(v01_ScholarShare,G293)*v01_OutScholar*INDEX(LM_Scholar,G293)+INDEX(v01_ResearcherShare,G293)*v01_OutResearcher*INDEX(LM_Researcher,G293)))</x:f>
        <x:v>1.3623724356957945</x:v>
      </x:c>
      <x:c r="AL293" s="32" t="n">
        <x:f>H293*v01_RoleScale*Arch_Roles*AE293*INDEX(v01_MonasteryPerSett,G293)*v01_OutMonastery*INDEX(LM_Monastery,G293)</x:f>
        <x:v>0</x:v>
      </x:c>
      <x:c r="AM293" s="32" t="n">
        <x:f>(AJ293+AK293+AL293)/4*INDEX(LM_All,G293)*INDEX(v01_Boon,G293)*Arch_Insight</x:f>
        <x:v>2.419556388156003</x:v>
      </x:c>
      <x:c r="AN293" s="32" t="n">
        <x:f>H293*(v01_KHPerAdult*Z293+v01_KHOfCommons*AJ293/4*INDEX(LM_All,G293))*v01_KHUsable*Arch_KH</x:f>
        <x:v>0.39234840618287126</x:v>
      </x:c>
      <x:c r="AO293" s="32" t="n">
        <x:f>MIN(AP292+AN293,AM293*v01_KHMaxRatio)</x:f>
        <x:v>0.39234840618287126</x:v>
      </x:c>
      <x:c r="AP293" s="32" t="n">
        <x:f>AP292+AN293-AO293</x:f>
        <x:v>0</x:v>
      </x:c>
      <x:c r="AQ293" s="32" t="n">
        <x:f>AM293+AO293</x:f>
        <x:v>2.811904794338874</x:v>
      </x:c>
      <x:c r="AR293" s="10" t="n">
        <x:f>IF(H293=1,INDEX(v01_Req,G293),0)</x:f>
        <x:v>1067.32</x:v>
      </x:c>
      <x:c r="AS293" s="32" t="n">
        <x:f>IF(H293=1,IF(E293=1,AS292-AR292,AS292)+AQ293,0)</x:f>
        <x:v>143.00280392959968</x:v>
      </x:c>
      <x:c r="AT293" s="11" t="n">
        <x:f>IF(AR293&gt;0,MIN(1,AS293/AR293),1)</x:f>
        <x:v>0.13398306405726462</x:v>
      </x:c>
      <x:c r="AU293" s="10" t="n">
        <x:f>AB293/INDEX(v01_RepScale,G293)</x:f>
        <x:v>24.553543188637608</x:v>
      </x:c>
      <x:c r="AV293" s="32" t="n">
        <x:f>AM293*60/v01_SeasonSeconds</x:f>
        <x:v>9.678225552624012</x:v>
      </x:c>
    </x:row>
    <x:row r="294">
      <x:c r="A294" s="8" t="n">
        <x:f>A293+1</x:f>
        <x:v>291</x:v>
      </x:c>
      <x:c r="B294" s="9" t="n">
        <x:f>A294*v01_SeasonSeconds/60</x:f>
        <x:v>72.75</x:v>
      </x:c>
      <x:c r="C294" s="9" t="n">
        <x:f>A294/4</x:f>
        <x:v>72.75</x:v>
      </x:c>
      <x:c r="D294" s="8" t="n">
        <x:f>IF(MOD(A294,4)=0,1,0)</x:f>
        <x:v>0</x:v>
      </x:c>
      <x:c r="E294" s="8" t="n">
        <x:f>IF(AND(F293&lt;=9,AS293&gt;=AR293),1,0)</x:f>
        <x:v>0</x:v>
      </x:c>
      <x:c r="F294" s="8" t="n">
        <x:f>MIN(10,F293+E294)</x:f>
        <x:v>1</x:v>
      </x:c>
      <x:c r="G294" s="8" t="n">
        <x:f>MIN(F294,9)+1</x:f>
        <x:v>2</x:v>
      </x:c>
      <x:c r="H294" s="8" t="n">
        <x:f>IF(F294&lt;=9,1,0)</x:f>
        <x:v>1</x:v>
      </x:c>
      <x:c r="I294" s="9" t="n">
        <x:f>MIN(10,F293+IF(AR293&gt;0,MIN(1,AS293/AR293),1))</x:f>
        <x:v>1.1339830640572646</x:v>
      </x:c>
      <x:c r="J294" s="32" t="n">
        <x:f>INDEX(v01_FoodCap,G294)*Arch_FoodCap*EXP(v01_CapsByProject*SUMPRODUCT((Cap_Point&lt;=I294)*(Cap_Kind="Food")*Cap_Ln))</x:f>
        <x:v>30</x:v>
      </x:c>
      <x:c r="K294" s="32" t="n">
        <x:f>J294*MIN(1,v01_LeanBase*EXP(v01_CapsByProject*SUMPRODUCT((Cap_Point&lt;=I294)*(Cap_Kind="Lean")*Cap_Ln)))</x:f>
        <x:v>30</x:v>
      </x:c>
      <x:c r="L294" s="10" t="n">
        <x:f>INDEX(v01_HousingCap,G294)*EXP(v01_CapsByProject*SUMPRODUCT((Cap_Point&lt;=I294)*(Cap_Kind="Housing")*Cap_Ln))</x:f>
        <x:v>60</x:v>
      </x:c>
      <x:c r="M294" s="10" t="n">
        <x:f>INDEX(v01_GroupCap,G294)*v01_CohesionFactor*EXP(v01_CapsByProject*SUMPRODUCT((Cap_Point&lt;=I294)*(Cap_Kind="Group")*Cap_Ln))</x:f>
        <x:v>100</x:v>
      </x:c>
      <x:c r="N294" s="32" t="n">
        <x:f>MIN(J294,L294,M294)</x:f>
        <x:v>30</x:v>
      </x:c>
      <x:c r="O294" s="10" t="n">
        <x:f>AE293*N294</x:f>
        <x:v>30</x:v>
      </x:c>
      <x:c r="P294" s="9" t="n">
        <x:f>MIN(1,(AB293/(AE293*IF(v01_GroupInCrowding=1,N294,MIN(J294,L294))))^v01_CrowdingExp)</x:f>
        <x:v>0.3005782154256187</x:v>
      </x:c>
      <x:c r="Q294" s="9" t="n">
        <x:f>IF(D294=1,INDEX(v01_WinterMult,G294),1)</x:f>
        <x:v>1</x:v>
      </x:c>
      <x:c r="R294" s="9" t="n">
        <x:f>H294*Z293*v01_WomenShare*v01_BaseFertility*INDEX(v01_FertMult,G294)*Arch_Fertility*(1-P294)</x:f>
        <x:v>0.294018238315005</x:v>
      </x:c>
      <x:c r="S294" s="9" t="n">
        <x:f>H294*Y293*INDEX(v01_MortChild,G294)/4*Q294</x:f>
        <x:v>0.08876038188657283</x:v>
      </x:c>
      <x:c r="T294" s="9" t="n">
        <x:f>H294*Z293*INDEX(v01_MortAdult,G294)*Arch_AdultMort/4*Q294</x:f>
        <x:v>0.036432352002695186</x:v>
      </x:c>
      <x:c r="U294" s="9" t="n">
        <x:f>H294*AA293*INDEX(v01_MortElder,G294)/4*Q294</x:f>
        <x:v>0.06399090164180217</x:v>
      </x:c>
      <x:c r="V294" s="9" t="n">
        <x:f>H294*MAX(0,AB293-O294)*v01_OvercapLoss</x:f>
        <x:v>0</x:v>
      </x:c>
      <x:c r="W294" s="9" t="n">
        <x:f>H294*Y293/(v01_ChildYears*4)</x:f>
        <x:v>0.18114363650320983</x:v>
      </x:c>
      <x:c r="X294" s="9" t="n">
        <x:f>H294*Z293/(v01_AdultYears*4)</x:f>
        <x:v>0.09040285856748184</x:v>
      </x:c>
      <x:c r="Y294" s="32" t="n">
        <x:f>Y293+R294-S294-W294-Y293*V294/AB293</x:f>
        <x:v>10.168157864104973</x:v>
      </x:c>
      <x:c r="Z294" s="32" t="n">
        <x:f>Z293+W294-X294-T294-Z293*V294/AB293</x:f>
        <x:v>11.264262888300783</x:v>
      </x:c>
      <x:c r="AA294" s="32" t="n">
        <x:f>AA293+X294-U294-AA293*V294/AB293</x:f>
        <x:v>3.225957039015788</x:v>
      </x:c>
      <x:c r="AB294" s="10" t="n">
        <x:f>Y294+Z294+AA294</x:f>
        <x:v>24.658377791421543</x:v>
      </x:c>
      <x:c r="AC294" s="8" t="n">
        <x:f>IF(AND(v01_WinterTrigger=1,D294=1,AB293/AE293&gt;=K294),1,0)</x:f>
        <x:v>0</x:v>
      </x:c>
      <x:c r="AD294" s="8" t="n">
        <x:f>H294*IF(AND(OR(AB293/AE293&gt;=v01_FissionTrigger*N294,AC294=1),AB293/AE293*v01_DaughterShare&gt;=v01_MinDaughter),MAX(1,ROUND(AE293*v01_FissionRate,0)),0)</x:f>
        <x:v>0</x:v>
      </x:c>
      <x:c r="AE294" s="8" t="n">
        <x:f>IF(H294=1,MAX(1,MIN(INDEX(v01_Smax,G294),AE293+AD294)),AE293)</x:f>
        <x:v>1</x:v>
      </x:c>
      <x:c r="AF294" s="8" t="n">
        <x:f>MAX(0,AE294-AE293)</x:f>
        <x:v>0</x:v>
      </x:c>
      <x:c r="AG294" s="9" t="str">
        <x:f>IF(AF294&gt;0,B294,"")</x:f>
      </x:c>
      <x:c r="AH294" s="9" t="n">
        <x:f>IF(F294&gt;=1,1,(1+v01_LowTiesShare*(AE294-1))/AE294)</x:f>
        <x:v>1</x:v>
      </x:c>
      <x:c r="AI294" s="32" t="n">
        <x:f>(Z294+v01_ElderCommons*INDEX(LM_Elder,G294)*AA294)*AH294</x:f>
        <x:v>19.166211566029148</x:v>
      </x:c>
      <x:c r="AJ294" s="32" t="n">
        <x:f>H294*v01_CommonsCoef*AI294^v01_CommonsExp*INDEX(LM_Commons,G294)</x:f>
        <x:v>8.122687995639648</x:v>
      </x:c>
      <x:c r="AK294" s="32" t="n">
        <x:f>H294*v01_RoleScale*Arch_Roles*(AE294*(INDEX(v01_ElderRolePerSett,G294)*v01_OutElder*INDEX(LM_Elder,G294)+INDEX(v01_ShamanPerSett,G294)*v01_OutShaman)+Z294*(INDEX(v01_PriestShare,G294)*v01_OutPriest+INDEX(v01_ScribeShare,G294)*v01_OutScribe*INDEX(LM_Scribe,G294)+INDEX(v01_ScholarShare,G294)*v01_OutScholar*INDEX(LM_Scholar,G294)+INDEX(v01_ResearcherShare,G294)*v01_OutResearcher*INDEX(LM_Researcher,G294)))</x:f>
        <x:v>1.3623724356957945</x:v>
      </x:c>
      <x:c r="AL294" s="32" t="n">
        <x:f>H294*v01_RoleScale*Arch_Roles*AE294*INDEX(v01_MonasteryPerSett,G294)*v01_OutMonastery*INDEX(LM_Monastery,G294)</x:f>
        <x:v>0</x:v>
      </x:c>
      <x:c r="AM294" s="32" t="n">
        <x:f>(AJ294+AK294+AL294)/4*INDEX(LM_All,G294)*INDEX(v01_Boon,G294)*Arch_Insight</x:f>
        <x:v>2.430546735529707</x:v>
      </x:c>
      <x:c r="AN294" s="32" t="n">
        <x:f>H294*(v01_KHPerAdult*Z294+v01_KHOfCommons*AJ294/4*INDEX(LM_All,G294))*v01_KHUsable*Arch_KH</x:f>
        <x:v>0.39424920109052736</x:v>
      </x:c>
      <x:c r="AO294" s="32" t="n">
        <x:f>MIN(AP293+AN294,AM294*v01_KHMaxRatio)</x:f>
        <x:v>0.39424920109052736</x:v>
      </x:c>
      <x:c r="AP294" s="32" t="n">
        <x:f>AP293+AN294-AO294</x:f>
        <x:v>0</x:v>
      </x:c>
      <x:c r="AQ294" s="32" t="n">
        <x:f>AM294+AO294</x:f>
        <x:v>2.824795936620234</x:v>
      </x:c>
      <x:c r="AR294" s="10" t="n">
        <x:f>IF(H294=1,INDEX(v01_Req,G294),0)</x:f>
        <x:v>1067.32</x:v>
      </x:c>
      <x:c r="AS294" s="32" t="n">
        <x:f>IF(H294=1,IF(E294=1,AS293-AR293,AS293)+AQ294,0)</x:f>
        <x:v>145.8275998662199</x:v>
      </x:c>
      <x:c r="AT294" s="11" t="n">
        <x:f>IF(AR294&gt;0,MIN(1,AS294/AR294),1)</x:f>
        <x:v>0.13662968918995233</x:v>
      </x:c>
      <x:c r="AU294" s="10" t="n">
        <x:f>AB294/INDEX(v01_RepScale,G294)</x:f>
        <x:v>24.658377791421543</x:v>
      </x:c>
      <x:c r="AV294" s="32" t="n">
        <x:f>AM294*60/v01_SeasonSeconds</x:f>
        <x:v>9.722186942118828</x:v>
      </x:c>
    </x:row>
    <x:row r="295">
      <x:c r="A295" s="8" t="n">
        <x:f>A294+1</x:f>
        <x:v>292</x:v>
      </x:c>
      <x:c r="B295" s="9" t="n">
        <x:f>A295*v01_SeasonSeconds/60</x:f>
        <x:v>73</x:v>
      </x:c>
      <x:c r="C295" s="9" t="n">
        <x:f>A295/4</x:f>
        <x:v>73</x:v>
      </x:c>
      <x:c r="D295" s="8" t="n">
        <x:f>IF(MOD(A295,4)=0,1,0)</x:f>
        <x:v>1</x:v>
      </x:c>
      <x:c r="E295" s="8" t="n">
        <x:f>IF(AND(F294&lt;=9,AS294&gt;=AR294),1,0)</x:f>
        <x:v>0</x:v>
      </x:c>
      <x:c r="F295" s="8" t="n">
        <x:f>MIN(10,F294+E295)</x:f>
        <x:v>1</x:v>
      </x:c>
      <x:c r="G295" s="8" t="n">
        <x:f>MIN(F295,9)+1</x:f>
        <x:v>2</x:v>
      </x:c>
      <x:c r="H295" s="8" t="n">
        <x:f>IF(F295&lt;=9,1,0)</x:f>
        <x:v>1</x:v>
      </x:c>
      <x:c r="I295" s="9" t="n">
        <x:f>MIN(10,F294+IF(AR294&gt;0,MIN(1,AS294/AR294),1))</x:f>
        <x:v>1.1366296891899523</x:v>
      </x:c>
      <x:c r="J295" s="32" t="n">
        <x:f>INDEX(v01_FoodCap,G295)*Arch_FoodCap*EXP(v01_CapsByProject*SUMPRODUCT((Cap_Point&lt;=I295)*(Cap_Kind="Food")*Cap_Ln))</x:f>
        <x:v>30</x:v>
      </x:c>
      <x:c r="K295" s="32" t="n">
        <x:f>J295*MIN(1,v01_LeanBase*EXP(v01_CapsByProject*SUMPRODUCT((Cap_Point&lt;=I295)*(Cap_Kind="Lean")*Cap_Ln)))</x:f>
        <x:v>30</x:v>
      </x:c>
      <x:c r="L295" s="10" t="n">
        <x:f>INDEX(v01_HousingCap,G295)*EXP(v01_CapsByProject*SUMPRODUCT((Cap_Point&lt;=I295)*(Cap_Kind="Housing")*Cap_Ln))</x:f>
        <x:v>60</x:v>
      </x:c>
      <x:c r="M295" s="10" t="n">
        <x:f>INDEX(v01_GroupCap,G295)*v01_CohesionFactor*EXP(v01_CapsByProject*SUMPRODUCT((Cap_Point&lt;=I295)*(Cap_Kind="Group")*Cap_Ln))</x:f>
        <x:v>100</x:v>
      </x:c>
      <x:c r="N295" s="32" t="n">
        <x:f>MIN(J295,L295,M295)</x:f>
        <x:v>30</x:v>
      </x:c>
      <x:c r="O295" s="10" t="n">
        <x:f>AE294*N295</x:f>
        <x:v>30</x:v>
      </x:c>
      <x:c r="P295" s="9" t="n">
        <x:f>MIN(1,(AB294/(AE294*IF(v01_GroupInCrowding=1,N295,MIN(J295,L295))))^v01_CrowdingExp)</x:f>
        <x:v>0.3083610277352483</x:v>
      </x:c>
      <x:c r="Q295" s="9" t="n">
        <x:f>IF(D295=1,INDEX(v01_WinterMult,G295),1)</x:f>
        <x:v>1.6</x:v>
      </x:c>
      <x:c r="R295" s="9" t="n">
        <x:f>H295*Z294*v01_WomenShare*v01_BaseFertility*INDEX(v01_FertMult,G295)*Arch_Fertility*(1-P295)</x:f>
        <x:v>0.2921551202769126</x:v>
      </x:c>
      <x:c r="S295" s="9" t="n">
        <x:f>H295*Y294*INDEX(v01_MortChild,G295)/4*Q295</x:f>
        <x:v>0.14235421009746965</x:v>
      </x:c>
      <x:c r="T295" s="9" t="n">
        <x:f>H295*Z294*INDEX(v01_MortAdult,G295)*Arch_AdultMort/4*Q295</x:f>
        <x:v>0.05857416701916407</x:v>
      </x:c>
      <x:c r="U295" s="9" t="n">
        <x:f>H295*AA294*INDEX(v01_MortElder,G295)/4*Q295</x:f>
        <x:v>0.10323062524850522</x:v>
      </x:c>
      <x:c r="V295" s="9" t="n">
        <x:f>H295*MAX(0,AB294-O295)*v01_OvercapLoss</x:f>
        <x:v>0</x:v>
      </x:c>
      <x:c r="W295" s="9" t="n">
        <x:f>H295*Y294/(v01_ChildYears*4)</x:f>
        <x:v>0.1815742475733031</x:v>
      </x:c>
      <x:c r="X295" s="9" t="n">
        <x:f>H295*Z294/(v01_AdultYears*4)</x:f>
        <x:v>0.09084082974436115</x:v>
      </x:c>
      <x:c r="Y295" s="32" t="n">
        <x:f>Y294+R295-S295-W295-Y294*V295/AB294</x:f>
        <x:v>10.136384526711113</x:v>
      </x:c>
      <x:c r="Z295" s="32" t="n">
        <x:f>Z294+W295-X295-T295-Z294*V295/AB294</x:f>
        <x:v>11.296422139110561</x:v>
      </x:c>
      <x:c r="AA295" s="32" t="n">
        <x:f>AA294+X295-U295-AA294*V295/AB294</x:f>
        <x:v>3.213567243511644</x:v>
      </x:c>
      <x:c r="AB295" s="10" t="n">
        <x:f>Y295+Z295+AA295</x:f>
        <x:v>24.646373909333317</x:v>
      </x:c>
      <x:c r="AC295" s="8" t="n">
        <x:f>IF(AND(v01_WinterTrigger=1,D295=1,AB294/AE294&gt;=K295),1,0)</x:f>
        <x:v>0</x:v>
      </x:c>
      <x:c r="AD295" s="8" t="n">
        <x:f>H295*IF(AND(OR(AB294/AE294&gt;=v01_FissionTrigger*N295,AC295=1),AB294/AE294*v01_DaughterShare&gt;=v01_MinDaughter),MAX(1,ROUND(AE294*v01_FissionRate,0)),0)</x:f>
        <x:v>0</x:v>
      </x:c>
      <x:c r="AE295" s="8" t="n">
        <x:f>IF(H295=1,MAX(1,MIN(INDEX(v01_Smax,G295),AE294+AD295)),AE294)</x:f>
        <x:v>1</x:v>
      </x:c>
      <x:c r="AF295" s="8" t="n">
        <x:f>MAX(0,AE295-AE294)</x:f>
        <x:v>0</x:v>
      </x:c>
      <x:c r="AG295" s="9" t="str">
        <x:f>IF(AF295&gt;0,B295,"")</x:f>
      </x:c>
      <x:c r="AH295" s="9" t="n">
        <x:f>IF(F295&gt;=1,1,(1+v01_LowTiesShare*(AE295-1))/AE295)</x:f>
        <x:v>1</x:v>
      </x:c>
      <x:c r="AI295" s="32" t="n">
        <x:f>(Z295+v01_ElderCommons*INDEX(LM_Elder,G295)*AA295)*AH295</x:f>
        <x:v>19.168022139836346</x:v>
      </x:c>
      <x:c r="AJ295" s="32" t="n">
        <x:f>H295*v01_CommonsCoef*AI295^v01_CommonsExp*INDEX(LM_Commons,G295)</x:f>
        <x:v>8.12334021783817</x:v>
      </x:c>
      <x:c r="AK295" s="32" t="n">
        <x:f>H295*v01_RoleScale*Arch_Roles*(AE295*(INDEX(v01_ElderRolePerSett,G295)*v01_OutElder*INDEX(LM_Elder,G295)+INDEX(v01_ShamanPerSett,G295)*v01_OutShaman)+Z295*(INDEX(v01_PriestShare,G295)*v01_OutPriest+INDEX(v01_ScribeShare,G295)*v01_OutScribe*INDEX(LM_Scribe,G295)+INDEX(v01_ScholarShare,G295)*v01_OutScholar*INDEX(LM_Scholar,G295)+INDEX(v01_ResearcherShare,G295)*v01_OutResearcher*INDEX(LM_Researcher,G295)))</x:f>
        <x:v>1.3623724356957945</x:v>
      </x:c>
      <x:c r="AL295" s="32" t="n">
        <x:f>H295*v01_RoleScale*Arch_Roles*AE295*INDEX(v01_MonasteryPerSett,G295)*v01_OutMonastery*INDEX(LM_Monastery,G295)</x:f>
        <x:v>0</x:v>
      </x:c>
      <x:c r="AM295" s="32" t="n">
        <x:f>(AJ295+AK295+AL295)/4*INDEX(LM_All,G295)*INDEX(v01_Boon,G295)*Arch_Insight</x:f>
        <x:v>2.430713867468078</x:v>
      </x:c>
      <x:c r="AN295" s="32" t="n">
        <x:f>H295*(v01_KHPerAdult*Z295+v01_KHOfCommons*AJ295/4*INDEX(LM_All,G295))*v01_KHUsable*Arch_KH</x:f>
        <x:v>0.3953747748688697</x:v>
      </x:c>
      <x:c r="AO295" s="32" t="n">
        <x:f>MIN(AP294+AN295,AM295*v01_KHMaxRatio)</x:f>
        <x:v>0.3953747748688697</x:v>
      </x:c>
      <x:c r="AP295" s="32" t="n">
        <x:f>AP294+AN295-AO295</x:f>
        <x:v>0</x:v>
      </x:c>
      <x:c r="AQ295" s="32" t="n">
        <x:f>AM295+AO295</x:f>
        <x:v>2.826088642336948</x:v>
      </x:c>
      <x:c r="AR295" s="10" t="n">
        <x:f>IF(H295=1,INDEX(v01_Req,G295),0)</x:f>
        <x:v>1067.32</x:v>
      </x:c>
      <x:c r="AS295" s="32" t="n">
        <x:f>IF(H295=1,IF(E295=1,AS294-AR294,AS294)+AQ295,0)</x:f>
        <x:v>148.65368850855685</x:v>
      </x:c>
      <x:c r="AT295" s="11" t="n">
        <x:f>IF(AR295&gt;0,MIN(1,AS295/AR295),1)</x:f>
        <x:v>0.13927752549240796</x:v>
      </x:c>
      <x:c r="AU295" s="10" t="n">
        <x:f>AB295/INDEX(v01_RepScale,G295)</x:f>
        <x:v>24.646373909333317</x:v>
      </x:c>
      <x:c r="AV295" s="32" t="n">
        <x:f>AM295*60/v01_SeasonSeconds</x:f>
        <x:v>9.722855469872313</x:v>
      </x:c>
    </x:row>
    <x:row r="296">
      <x:c r="A296" s="8" t="n">
        <x:f>A295+1</x:f>
        <x:v>293</x:v>
      </x:c>
      <x:c r="B296" s="9" t="n">
        <x:f>A296*v01_SeasonSeconds/60</x:f>
        <x:v>73.25</x:v>
      </x:c>
      <x:c r="C296" s="9" t="n">
        <x:f>A296/4</x:f>
        <x:v>73.25</x:v>
      </x:c>
      <x:c r="D296" s="8" t="n">
        <x:f>IF(MOD(A296,4)=0,1,0)</x:f>
        <x:v>0</x:v>
      </x:c>
      <x:c r="E296" s="8" t="n">
        <x:f>IF(AND(F295&lt;=9,AS295&gt;=AR295),1,0)</x:f>
        <x:v>0</x:v>
      </x:c>
      <x:c r="F296" s="8" t="n">
        <x:f>MIN(10,F295+E296)</x:f>
        <x:v>1</x:v>
      </x:c>
      <x:c r="G296" s="8" t="n">
        <x:f>MIN(F296,9)+1</x:f>
        <x:v>2</x:v>
      </x:c>
      <x:c r="H296" s="8" t="n">
        <x:f>IF(F296&lt;=9,1,0)</x:f>
        <x:v>1</x:v>
      </x:c>
      <x:c r="I296" s="9" t="n">
        <x:f>MIN(10,F295+IF(AR295&gt;0,MIN(1,AS295/AR295),1))</x:f>
        <x:v>1.139277525492408</x:v>
      </x:c>
      <x:c r="J296" s="32" t="n">
        <x:f>INDEX(v01_FoodCap,G296)*Arch_FoodCap*EXP(v01_CapsByProject*SUMPRODUCT((Cap_Point&lt;=I296)*(Cap_Kind="Food")*Cap_Ln))</x:f>
        <x:v>30</x:v>
      </x:c>
      <x:c r="K296" s="32" t="n">
        <x:f>J296*MIN(1,v01_LeanBase*EXP(v01_CapsByProject*SUMPRODUCT((Cap_Point&lt;=I296)*(Cap_Kind="Lean")*Cap_Ln)))</x:f>
        <x:v>30</x:v>
      </x:c>
      <x:c r="L296" s="10" t="n">
        <x:f>INDEX(v01_HousingCap,G296)*EXP(v01_CapsByProject*SUMPRODUCT((Cap_Point&lt;=I296)*(Cap_Kind="Housing")*Cap_Ln))</x:f>
        <x:v>60</x:v>
      </x:c>
      <x:c r="M296" s="10" t="n">
        <x:f>INDEX(v01_GroupCap,G296)*v01_CohesionFactor*EXP(v01_CapsByProject*SUMPRODUCT((Cap_Point&lt;=I296)*(Cap_Kind="Group")*Cap_Ln))</x:f>
        <x:v>100</x:v>
      </x:c>
      <x:c r="N296" s="32" t="n">
        <x:f>MIN(J296,L296,M296)</x:f>
        <x:v>30</x:v>
      </x:c>
      <x:c r="O296" s="10" t="n">
        <x:f>AE295*N296</x:f>
        <x:v>30</x:v>
      </x:c>
      <x:c r="P296" s="9" t="n">
        <x:f>MIN(1,(AB295/(AE295*IF(v01_GroupInCrowding=1,N296,MIN(J296,L296))))^v01_CrowdingExp)</x:f>
        <x:v>0.3074614484827639</x:v>
      </x:c>
      <x:c r="Q296" s="9" t="n">
        <x:f>IF(D296=1,INDEX(v01_WinterMult,G296),1)</x:f>
        <x:v>1</x:v>
      </x:c>
      <x:c r="R296" s="9" t="n">
        <x:f>H296*Z295*v01_WomenShare*v01_BaseFertility*INDEX(v01_FertMult,G296)*Arch_Fertility*(1-P296)</x:f>
        <x:v>0.2933702934580074</x:v>
      </x:c>
      <x:c r="S296" s="9" t="n">
        <x:f>H296*Y295*INDEX(v01_MortChild,G296)/4*Q296</x:f>
        <x:v>0.08869336460872225</x:v>
      </x:c>
      <x:c r="T296" s="9" t="n">
        <x:f>H296*Z295*INDEX(v01_MortAdult,G296)*Arch_AdultMort/4*Q296</x:f>
        <x:v>0.036713371952109324</x:v>
      </x:c>
      <x:c r="U296" s="9" t="n">
        <x:f>H296*AA295*INDEX(v01_MortElder,G296)/4*Q296</x:f>
        <x:v>0.06427134487023288</x:v>
      </x:c>
      <x:c r="V296" s="9" t="n">
        <x:f>H296*MAX(0,AB295-O296)*v01_OvercapLoss</x:f>
        <x:v>0</x:v>
      </x:c>
      <x:c r="W296" s="9" t="n">
        <x:f>H296*Y295/(v01_ChildYears*4)</x:f>
        <x:v>0.18100686654841275</x:v>
      </x:c>
      <x:c r="X296" s="9" t="n">
        <x:f>H296*Z295/(v01_AdultYears*4)</x:f>
        <x:v>0.0911001785412142</x:v>
      </x:c>
      <x:c r="Y296" s="32" t="n">
        <x:f>Y295+R296-S296-W296-Y295*V296/AB295</x:f>
        <x:v>10.160054589011985</x:v>
      </x:c>
      <x:c r="Z296" s="32" t="n">
        <x:f>Z295+W296-X296-T296-Z295*V296/AB295</x:f>
        <x:v>11.349615455165651</x:v>
      </x:c>
      <x:c r="AA296" s="32" t="n">
        <x:f>AA295+X296-U296-AA295*V296/AB295</x:f>
        <x:v>3.2403960771826252</x:v>
      </x:c>
      <x:c r="AB296" s="10" t="n">
        <x:f>Y296+Z296+AA296</x:f>
        <x:v>24.750066121360263</x:v>
      </x:c>
      <x:c r="AC296" s="8" t="n">
        <x:f>IF(AND(v01_WinterTrigger=1,D296=1,AB295/AE295&gt;=K296),1,0)</x:f>
        <x:v>0</x:v>
      </x:c>
      <x:c r="AD296" s="8" t="n">
        <x:f>H296*IF(AND(OR(AB295/AE295&gt;=v01_FissionTrigger*N296,AC296=1),AB295/AE295*v01_DaughterShare&gt;=v01_MinDaughter),MAX(1,ROUND(AE295*v01_FissionRate,0)),0)</x:f>
        <x:v>0</x:v>
      </x:c>
      <x:c r="AE296" s="8" t="n">
        <x:f>IF(H296=1,MAX(1,MIN(INDEX(v01_Smax,G296),AE295+AD296)),AE295)</x:f>
        <x:v>1</x:v>
      </x:c>
      <x:c r="AF296" s="8" t="n">
        <x:f>MAX(0,AE296-AE295)</x:f>
        <x:v>0</x:v>
      </x:c>
      <x:c r="AG296" s="9" t="str">
        <x:f>IF(AF296&gt;0,B296,"")</x:f>
      </x:c>
      <x:c r="AH296" s="9" t="n">
        <x:f>IF(F296&gt;=1,1,(1+v01_LowTiesShare*(AE296-1))/AE296)</x:f>
        <x:v>1</x:v>
      </x:c>
      <x:c r="AI296" s="32" t="n">
        <x:f>(Z296+v01_ElderCommons*INDEX(LM_Elder,G296)*AA296)*AH296</x:f>
        <x:v>19.28693240877934</x:v>
      </x:c>
      <x:c r="AJ296" s="32" t="n">
        <x:f>H296*v01_CommonsCoef*AI296^v01_CommonsExp*INDEX(LM_Commons,G296)</x:f>
        <x:v>8.166155025365587</x:v>
      </x:c>
      <x:c r="AK296" s="32" t="n">
        <x:f>H296*v01_RoleScale*Arch_Roles*(AE296*(INDEX(v01_ElderRolePerSett,G296)*v01_OutElder*INDEX(LM_Elder,G296)+INDEX(v01_ShamanPerSett,G296)*v01_OutShaman)+Z296*(INDEX(v01_PriestShare,G296)*v01_OutPriest+INDEX(v01_ScribeShare,G296)*v01_OutScribe*INDEX(LM_Scribe,G296)+INDEX(v01_ScholarShare,G296)*v01_OutScholar*INDEX(LM_Scholar,G296)+INDEX(v01_ResearcherShare,G296)*v01_OutResearcher*INDEX(LM_Researcher,G296)))</x:f>
        <x:v>1.3623724356957945</x:v>
      </x:c>
      <x:c r="AL296" s="32" t="n">
        <x:f>H296*v01_RoleScale*Arch_Roles*AE296*INDEX(v01_MonasteryPerSett,G296)*v01_OutMonastery*INDEX(LM_Monastery,G296)</x:f>
        <x:v>0</x:v>
      </x:c>
      <x:c r="AM296" s="32" t="n">
        <x:f>(AJ296+AK296+AL296)/4*INDEX(LM_All,G296)*INDEX(v01_Boon,G296)*Arch_Insight</x:f>
        <x:v>2.4416851618969786</x:v>
      </x:c>
      <x:c r="AN296" s="32" t="n">
        <x:f>H296*(v01_KHPerAdult*Z296+v01_KHOfCommons*AJ296/4*INDEX(LM_All,G296))*v01_KHUsable*Arch_KH</x:f>
        <x:v>0.3972365409307978</x:v>
      </x:c>
      <x:c r="AO296" s="32" t="n">
        <x:f>MIN(AP295+AN296,AM296*v01_KHMaxRatio)</x:f>
        <x:v>0.3972365409307978</x:v>
      </x:c>
      <x:c r="AP296" s="32" t="n">
        <x:f>AP295+AN296-AO296</x:f>
        <x:v>0</x:v>
      </x:c>
      <x:c r="AQ296" s="32" t="n">
        <x:f>AM296+AO296</x:f>
        <x:v>2.8389217028277764</x:v>
      </x:c>
      <x:c r="AR296" s="10" t="n">
        <x:f>IF(H296=1,INDEX(v01_Req,G296),0)</x:f>
        <x:v>1067.32</x:v>
      </x:c>
      <x:c r="AS296" s="32" t="n">
        <x:f>IF(H296=1,IF(E296=1,AS295-AR295,AS295)+AQ296,0)</x:f>
        <x:v>151.49261021138463</x:v>
      </x:c>
      <x:c r="AT296" s="11" t="n">
        <x:f>IF(AR296&gt;0,MIN(1,AS296/AR296),1)</x:f>
        <x:v>0.14193738542460052</x:v>
      </x:c>
      <x:c r="AU296" s="10" t="n">
        <x:f>AB296/INDEX(v01_RepScale,G296)</x:f>
        <x:v>24.750066121360263</x:v>
      </x:c>
      <x:c r="AV296" s="32" t="n">
        <x:f>AM296*60/v01_SeasonSeconds</x:f>
        <x:v>9.766740647587914</x:v>
      </x:c>
    </x:row>
    <x:row r="297">
      <x:c r="A297" s="8" t="n">
        <x:f>A296+1</x:f>
        <x:v>294</x:v>
      </x:c>
      <x:c r="B297" s="9" t="n">
        <x:f>A297*v01_SeasonSeconds/60</x:f>
        <x:v>73.5</x:v>
      </x:c>
      <x:c r="C297" s="9" t="n">
        <x:f>A297/4</x:f>
        <x:v>73.5</x:v>
      </x:c>
      <x:c r="D297" s="8" t="n">
        <x:f>IF(MOD(A297,4)=0,1,0)</x:f>
        <x:v>0</x:v>
      </x:c>
      <x:c r="E297" s="8" t="n">
        <x:f>IF(AND(F296&lt;=9,AS296&gt;=AR296),1,0)</x:f>
        <x:v>0</x:v>
      </x:c>
      <x:c r="F297" s="8" t="n">
        <x:f>MIN(10,F296+E297)</x:f>
        <x:v>1</x:v>
      </x:c>
      <x:c r="G297" s="8" t="n">
        <x:f>MIN(F297,9)+1</x:f>
        <x:v>2</x:v>
      </x:c>
      <x:c r="H297" s="8" t="n">
        <x:f>IF(F297&lt;=9,1,0)</x:f>
        <x:v>1</x:v>
      </x:c>
      <x:c r="I297" s="9" t="n">
        <x:f>MIN(10,F296+IF(AR296&gt;0,MIN(1,AS296/AR296),1))</x:f>
        <x:v>1.1419373854246004</x:v>
      </x:c>
      <x:c r="J297" s="32" t="n">
        <x:f>INDEX(v01_FoodCap,G297)*Arch_FoodCap*EXP(v01_CapsByProject*SUMPRODUCT((Cap_Point&lt;=I297)*(Cap_Kind="Food")*Cap_Ln))</x:f>
        <x:v>30</x:v>
      </x:c>
      <x:c r="K297" s="32" t="n">
        <x:f>J297*MIN(1,v01_LeanBase*EXP(v01_CapsByProject*SUMPRODUCT((Cap_Point&lt;=I297)*(Cap_Kind="Lean")*Cap_Ln)))</x:f>
        <x:v>30</x:v>
      </x:c>
      <x:c r="L297" s="10" t="n">
        <x:f>INDEX(v01_HousingCap,G297)*EXP(v01_CapsByProject*SUMPRODUCT((Cap_Point&lt;=I297)*(Cap_Kind="Housing")*Cap_Ln))</x:f>
        <x:v>60</x:v>
      </x:c>
      <x:c r="M297" s="10" t="n">
        <x:f>INDEX(v01_GroupCap,G297)*v01_CohesionFactor*EXP(v01_CapsByProject*SUMPRODUCT((Cap_Point&lt;=I297)*(Cap_Kind="Group")*Cap_Ln))</x:f>
        <x:v>100</x:v>
      </x:c>
      <x:c r="N297" s="32" t="n">
        <x:f>MIN(J297,L297,M297)</x:f>
        <x:v>30</x:v>
      </x:c>
      <x:c r="O297" s="10" t="n">
        <x:f>AE296*N297</x:f>
        <x:v>30</x:v>
      </x:c>
      <x:c r="P297" s="9" t="n">
        <x:f>MIN(1,(AB296/(AE296*IF(v01_GroupInCrowding=1,N297,MIN(J297,L297))))^v01_CrowdingExp)</x:f>
        <x:v>0.3153048512259816</x:v>
      </x:c>
      <x:c r="Q297" s="9" t="n">
        <x:f>IF(D297=1,INDEX(v01_WinterMult,G297),1)</x:f>
        <x:v>1</x:v>
      </x:c>
      <x:c r="R297" s="9" t="n">
        <x:f>H297*Z296*v01_WomenShare*v01_BaseFertility*INDEX(v01_FertMult,G297)*Arch_Fertility*(1-P297)</x:f>
        <x:v>0.2914134990975954</x:v>
      </x:c>
      <x:c r="S297" s="9" t="n">
        <x:f>H297*Y296*INDEX(v01_MortChild,G297)/4*Q297</x:f>
        <x:v>0.08890047765385488</x:v>
      </x:c>
      <x:c r="T297" s="9" t="n">
        <x:f>H297*Z296*INDEX(v01_MortAdult,G297)*Arch_AdultMort/4*Q297</x:f>
        <x:v>0.03688625022928836</x:v>
      </x:c>
      <x:c r="U297" s="9" t="n">
        <x:f>H297*AA296*INDEX(v01_MortElder,G297)/4*Q297</x:f>
        <x:v>0.0648079215436525</x:v>
      </x:c>
      <x:c r="V297" s="9" t="n">
        <x:f>H297*MAX(0,AB296-O297)*v01_OvercapLoss</x:f>
        <x:v>0</x:v>
      </x:c>
      <x:c r="W297" s="9" t="n">
        <x:f>H297*Y296/(v01_ChildYears*4)</x:f>
        <x:v>0.18142954623235688</x:v>
      </x:c>
      <x:c r="X297" s="9" t="n">
        <x:f>H297*Z296/(v01_AdultYears*4)</x:f>
        <x:v>0.09152915689649718</x:v>
      </x:c>
      <x:c r="Y297" s="32" t="n">
        <x:f>Y296+R297-S297-W297-Y296*V297/AB296</x:f>
        <x:v>10.181138064223369</x:v>
      </x:c>
      <x:c r="Z297" s="32" t="n">
        <x:f>Z296+W297-X297-T297-Z296*V297/AB296</x:f>
        <x:v>11.402629594272222</x:v>
      </x:c>
      <x:c r="AA297" s="32" t="n">
        <x:f>AA296+X297-U297-AA296*V297/AB296</x:f>
        <x:v>3.2671173125354698</x:v>
      </x:c>
      <x:c r="AB297" s="10" t="n">
        <x:f>Y297+Z297+AA297</x:f>
        <x:v>24.850884971031057</x:v>
      </x:c>
      <x:c r="AC297" s="8" t="n">
        <x:f>IF(AND(v01_WinterTrigger=1,D297=1,AB296/AE296&gt;=K297),1,0)</x:f>
        <x:v>0</x:v>
      </x:c>
      <x:c r="AD297" s="8" t="n">
        <x:f>H297*IF(AND(OR(AB296/AE296&gt;=v01_FissionTrigger*N297,AC297=1),AB296/AE296*v01_DaughterShare&gt;=v01_MinDaughter),MAX(1,ROUND(AE296*v01_FissionRate,0)),0)</x:f>
        <x:v>0</x:v>
      </x:c>
      <x:c r="AE297" s="8" t="n">
        <x:f>IF(H297=1,MAX(1,MIN(INDEX(v01_Smax,G297),AE296+AD297)),AE296)</x:f>
        <x:v>1</x:v>
      </x:c>
      <x:c r="AF297" s="8" t="n">
        <x:f>MAX(0,AE297-AE296)</x:f>
        <x:v>0</x:v>
      </x:c>
      <x:c r="AG297" s="9" t="str">
        <x:f>IF(AF297&gt;0,B297,"")</x:f>
      </x:c>
      <x:c r="AH297" s="9" t="n">
        <x:f>IF(F297&gt;=1,1,(1+v01_LowTiesShare*(AE297-1))/AE297)</x:f>
        <x:v>1</x:v>
      </x:c>
      <x:c r="AI297" s="32" t="n">
        <x:f>(Z297+v01_ElderCommons*INDEX(LM_Elder,G297)*AA297)*AH297</x:f>
        <x:v>19.4053999397972</x:v>
      </x:c>
      <x:c r="AJ297" s="32" t="n">
        <x:f>H297*v01_CommonsCoef*AI297^v01_CommonsExp*INDEX(LM_Commons,G297)</x:f>
        <x:v>8.208771064113241</x:v>
      </x:c>
      <x:c r="AK297" s="32" t="n">
        <x:f>H297*v01_RoleScale*Arch_Roles*(AE297*(INDEX(v01_ElderRolePerSett,G297)*v01_OutElder*INDEX(LM_Elder,G297)+INDEX(v01_ShamanPerSett,G297)*v01_OutShaman)+Z297*(INDEX(v01_PriestShare,G297)*v01_OutPriest+INDEX(v01_ScribeShare,G297)*v01_OutScribe*INDEX(LM_Scribe,G297)+INDEX(v01_ScholarShare,G297)*v01_OutScholar*INDEX(LM_Scholar,G297)+INDEX(v01_ResearcherShare,G297)*v01_OutResearcher*INDEX(LM_Researcher,G297)))</x:f>
        <x:v>1.3623724356957945</x:v>
      </x:c>
      <x:c r="AL297" s="32" t="n">
        <x:f>H297*v01_RoleScale*Arch_Roles*AE297*INDEX(v01_MonasteryPerSett,G297)*v01_OutMonastery*INDEX(LM_Monastery,G297)</x:f>
        <x:v>0</x:v>
      </x:c>
      <x:c r="AM297" s="32" t="n">
        <x:f>(AJ297+AK297+AL297)/4*INDEX(LM_All,G297)*INDEX(v01_Boon,G297)*Arch_Insight</x:f>
        <x:v>2.452605521826065</x:v>
      </x:c>
      <x:c r="AN297" s="32" t="n">
        <x:f>H297*(v01_KHPerAdult*Z297+v01_KHOfCommons*AJ297/4*INDEX(LM_All,G297))*v01_KHUsable*Arch_KH</x:f>
        <x:v>0.39909203579952773</x:v>
      </x:c>
      <x:c r="AO297" s="32" t="n">
        <x:f>MIN(AP296+AN297,AM297*v01_KHMaxRatio)</x:f>
        <x:v>0.39909203579952773</x:v>
      </x:c>
      <x:c r="AP297" s="32" t="n">
        <x:f>AP296+AN297-AO297</x:f>
        <x:v>0</x:v>
      </x:c>
      <x:c r="AQ297" s="32" t="n">
        <x:f>AM297+AO297</x:f>
        <x:v>2.851697557625593</x:v>
      </x:c>
      <x:c r="AR297" s="10" t="n">
        <x:f>IF(H297=1,INDEX(v01_Req,G297),0)</x:f>
        <x:v>1067.32</x:v>
      </x:c>
      <x:c r="AS297" s="32" t="n">
        <x:f>IF(H297=1,IF(E297=1,AS296-AR296,AS296)+AQ297,0)</x:f>
        <x:v>154.34430776901021</x:v>
      </x:c>
      <x:c r="AT297" s="11" t="n">
        <x:f>IF(AR297&gt;0,MIN(1,AS297/AR297),1)</x:f>
        <x:v>0.1446092153890213</x:v>
      </x:c>
      <x:c r="AU297" s="10" t="n">
        <x:f>AB297/INDEX(v01_RepScale,G297)</x:f>
        <x:v>24.850884971031057</x:v>
      </x:c>
      <x:c r="AV297" s="32" t="n">
        <x:f>AM297*60/v01_SeasonSeconds</x:f>
        <x:v>9.81042208730426</x:v>
      </x:c>
    </x:row>
    <x:row r="298">
      <x:c r="A298" s="8" t="n">
        <x:f>A297+1</x:f>
        <x:v>295</x:v>
      </x:c>
      <x:c r="B298" s="9" t="n">
        <x:f>A298*v01_SeasonSeconds/60</x:f>
        <x:v>73.75</x:v>
      </x:c>
      <x:c r="C298" s="9" t="n">
        <x:f>A298/4</x:f>
        <x:v>73.75</x:v>
      </x:c>
      <x:c r="D298" s="8" t="n">
        <x:f>IF(MOD(A298,4)=0,1,0)</x:f>
        <x:v>0</x:v>
      </x:c>
      <x:c r="E298" s="8" t="n">
        <x:f>IF(AND(F297&lt;=9,AS297&gt;=AR297),1,0)</x:f>
        <x:v>0</x:v>
      </x:c>
      <x:c r="F298" s="8" t="n">
        <x:f>MIN(10,F297+E298)</x:f>
        <x:v>1</x:v>
      </x:c>
      <x:c r="G298" s="8" t="n">
        <x:f>MIN(F298,9)+1</x:f>
        <x:v>2</x:v>
      </x:c>
      <x:c r="H298" s="8" t="n">
        <x:f>IF(F298&lt;=9,1,0)</x:f>
        <x:v>1</x:v>
      </x:c>
      <x:c r="I298" s="9" t="n">
        <x:f>MIN(10,F297+IF(AR297&gt;0,MIN(1,AS297/AR297),1))</x:f>
        <x:v>1.1446092153890213</x:v>
      </x:c>
      <x:c r="J298" s="32" t="n">
        <x:f>INDEX(v01_FoodCap,G298)*Arch_FoodCap*EXP(v01_CapsByProject*SUMPRODUCT((Cap_Point&lt;=I298)*(Cap_Kind="Food")*Cap_Ln))</x:f>
        <x:v>30</x:v>
      </x:c>
      <x:c r="K298" s="32" t="n">
        <x:f>J298*MIN(1,v01_LeanBase*EXP(v01_CapsByProject*SUMPRODUCT((Cap_Point&lt;=I298)*(Cap_Kind="Lean")*Cap_Ln)))</x:f>
        <x:v>30</x:v>
      </x:c>
      <x:c r="L298" s="10" t="n">
        <x:f>INDEX(v01_HousingCap,G298)*EXP(v01_CapsByProject*SUMPRODUCT((Cap_Point&lt;=I298)*(Cap_Kind="Housing")*Cap_Ln))</x:f>
        <x:v>60</x:v>
      </x:c>
      <x:c r="M298" s="10" t="n">
        <x:f>INDEX(v01_GroupCap,G298)*v01_CohesionFactor*EXP(v01_CapsByProject*SUMPRODUCT((Cap_Point&lt;=I298)*(Cap_Kind="Group")*Cap_Ln))</x:f>
        <x:v>100</x:v>
      </x:c>
      <x:c r="N298" s="32" t="n">
        <x:f>MIN(J298,L298,M298)</x:f>
        <x:v>30</x:v>
      </x:c>
      <x:c r="O298" s="10" t="n">
        <x:f>AE297*N298</x:f>
        <x:v>30</x:v>
      </x:c>
      <x:c r="P298" s="9" t="n">
        <x:f>MIN(1,(AB297/(AE297*IF(v01_GroupInCrowding=1,N298,MIN(J298,L298))))^v01_CrowdingExp)</x:f>
        <x:v>0.3230900818636336</x:v>
      </x:c>
      <x:c r="Q298" s="9" t="n">
        <x:f>IF(D298=1,INDEX(v01_WinterMult,G298),1)</x:f>
        <x:v>1</x:v>
      </x:c>
      <x:c r="R298" s="9" t="n">
        <x:f>H298*Z297*v01_WomenShare*v01_BaseFertility*INDEX(v01_FertMult,G298)*Arch_Fertility*(1-P298)</x:f>
        <x:v>0.28944573994492945</x:v>
      </x:c>
      <x:c r="S298" s="9" t="n">
        <x:f>H298*Y297*INDEX(v01_MortChild,G298)/4*Q298</x:f>
        <x:v>0.08908495806195449</x:v>
      </x:c>
      <x:c r="T298" s="9" t="n">
        <x:f>H298*Z297*INDEX(v01_MortAdult,G298)*Arch_AdultMort/4*Q298</x:f>
        <x:v>0.03705854618138472</x:v>
      </x:c>
      <x:c r="U298" s="9" t="n">
        <x:f>H298*AA297*INDEX(v01_MortElder,G298)/4*Q298</x:f>
        <x:v>0.0653423462507094</x:v>
      </x:c>
      <x:c r="V298" s="9" t="n">
        <x:f>H298*MAX(0,AB297-O298)*v01_OvercapLoss</x:f>
        <x:v>0</x:v>
      </x:c>
      <x:c r="W298" s="9" t="n">
        <x:f>H298*Y297/(v01_ChildYears*4)</x:f>
        <x:v>0.1818060368611316</x:v>
      </x:c>
      <x:c r="X298" s="9" t="n">
        <x:f>H298*Z297/(v01_AdultYears*4)</x:f>
        <x:v>0.09195669027638889</x:v>
      </x:c>
      <x:c r="Y298" s="32" t="n">
        <x:f>Y297+R298-S298-W298-Y297*V298/AB297</x:f>
        <x:v>10.199692809245212</x:v>
      </x:c>
      <x:c r="Z298" s="32" t="n">
        <x:f>Z297+W298-X298-T298-Z297*V298/AB297</x:f>
        <x:v>11.45542039467558</x:v>
      </x:c>
      <x:c r="AA298" s="32" t="n">
        <x:f>AA297+X298-U298-AA297*V298/AB297</x:f>
        <x:v>3.2937316565611496</x:v>
      </x:c>
      <x:c r="AB298" s="10" t="n">
        <x:f>Y298+Z298+AA298</x:f>
        <x:v>24.94884486048194</x:v>
      </x:c>
      <x:c r="AC298" s="8" t="n">
        <x:f>IF(AND(v01_WinterTrigger=1,D298=1,AB297/AE297&gt;=K298),1,0)</x:f>
        <x:v>0</x:v>
      </x:c>
      <x:c r="AD298" s="8" t="n">
        <x:f>H298*IF(AND(OR(AB297/AE297&gt;=v01_FissionTrigger*N298,AC298=1),AB297/AE297*v01_DaughterShare&gt;=v01_MinDaughter),MAX(1,ROUND(AE297*v01_FissionRate,0)),0)</x:f>
        <x:v>0</x:v>
      </x:c>
      <x:c r="AE298" s="8" t="n">
        <x:f>IF(H298=1,MAX(1,MIN(INDEX(v01_Smax,G298),AE297+AD298)),AE297)</x:f>
        <x:v>1</x:v>
      </x:c>
      <x:c r="AF298" s="8" t="n">
        <x:f>MAX(0,AE298-AE297)</x:f>
        <x:v>0</x:v>
      </x:c>
      <x:c r="AG298" s="9" t="str">
        <x:f>IF(AF298&gt;0,B298,"")</x:f>
      </x:c>
      <x:c r="AH298" s="9" t="n">
        <x:f>IF(F298&gt;=1,1,(1+v01_LowTiesShare*(AE298-1))/AE298)</x:f>
        <x:v>1</x:v>
      </x:c>
      <x:c r="AI298" s="32" t="n">
        <x:f>(Z298+v01_ElderCommons*INDEX(LM_Elder,G298)*AA298)*AH298</x:f>
        <x:v>19.523382302902363</x:v>
      </x:c>
      <x:c r="AJ298" s="32" t="n">
        <x:f>H298*v01_CommonsCoef*AI298^v01_CommonsExp*INDEX(LM_Commons,G298)</x:f>
        <x:v>8.251173806272753</x:v>
      </x:c>
      <x:c r="AK298" s="32" t="n">
        <x:f>H298*v01_RoleScale*Arch_Roles*(AE298*(INDEX(v01_ElderRolePerSett,G298)*v01_OutElder*INDEX(LM_Elder,G298)+INDEX(v01_ShamanPerSett,G298)*v01_OutShaman)+Z298*(INDEX(v01_PriestShare,G298)*v01_OutPriest+INDEX(v01_ScribeShare,G298)*v01_OutScribe*INDEX(LM_Scribe,G298)+INDEX(v01_ScholarShare,G298)*v01_OutScholar*INDEX(LM_Scholar,G298)+INDEX(v01_ResearcherShare,G298)*v01_OutResearcher*INDEX(LM_Researcher,G298)))</x:f>
        <x:v>1.3623724356957945</x:v>
      </x:c>
      <x:c r="AL298" s="32" t="n">
        <x:f>H298*v01_RoleScale*Arch_Roles*AE298*INDEX(v01_MonasteryPerSett,G298)*v01_OutMonastery*INDEX(LM_Monastery,G298)</x:f>
        <x:v>0</x:v>
      </x:c>
      <x:c r="AM298" s="32" t="n">
        <x:f>(AJ298+AK298+AL298)/4*INDEX(LM_All,G298)*INDEX(v01_Boon,G298)*Arch_Insight</x:f>
        <x:v>2.46347122450444</x:v>
      </x:c>
      <x:c r="AN298" s="32" t="n">
        <x:f>H298*(v01_KHPerAdult*Z298+v01_KHOfCommons*AJ298/4*INDEX(LM_All,G298))*v01_KHUsable*Arch_KH</x:f>
        <x:v>0.40093971381364524</x:v>
      </x:c>
      <x:c r="AO298" s="32" t="n">
        <x:f>MIN(AP297+AN298,AM298*v01_KHMaxRatio)</x:f>
        <x:v>0.40093971381364524</x:v>
      </x:c>
      <x:c r="AP298" s="32" t="n">
        <x:f>AP297+AN298-AO298</x:f>
        <x:v>0</x:v>
      </x:c>
      <x:c r="AQ298" s="32" t="n">
        <x:f>AM298+AO298</x:f>
        <x:v>2.8644109383180854</x:v>
      </x:c>
      <x:c r="AR298" s="10" t="n">
        <x:f>IF(H298=1,INDEX(v01_Req,G298),0)</x:f>
        <x:v>1067.32</x:v>
      </x:c>
      <x:c r="AS298" s="32" t="n">
        <x:f>IF(H298=1,IF(E298=1,AS297-AR297,AS297)+AQ298,0)</x:f>
        <x:v>157.2087187073283</x:v>
      </x:c>
      <x:c r="AT298" s="11" t="n">
        <x:f>IF(AR298&gt;0,MIN(1,AS298/AR298),1)</x:f>
        <x:v>0.1472929568520484</x:v>
      </x:c>
      <x:c r="AU298" s="10" t="n">
        <x:f>AB298/INDEX(v01_RepScale,G298)</x:f>
        <x:v>24.94884486048194</x:v>
      </x:c>
      <x:c r="AV298" s="32" t="n">
        <x:f>AM298*60/v01_SeasonSeconds</x:f>
        <x:v>9.85388489801776</x:v>
      </x:c>
    </x:row>
    <x:row r="299">
      <x:c r="A299" s="8" t="n">
        <x:f>A298+1</x:f>
        <x:v>296</x:v>
      </x:c>
      <x:c r="B299" s="9" t="n">
        <x:f>A299*v01_SeasonSeconds/60</x:f>
        <x:v>74</x:v>
      </x:c>
      <x:c r="C299" s="9" t="n">
        <x:f>A299/4</x:f>
        <x:v>74</x:v>
      </x:c>
      <x:c r="D299" s="8" t="n">
        <x:f>IF(MOD(A299,4)=0,1,0)</x:f>
        <x:v>1</x:v>
      </x:c>
      <x:c r="E299" s="8" t="n">
        <x:f>IF(AND(F298&lt;=9,AS298&gt;=AR298),1,0)</x:f>
        <x:v>0</x:v>
      </x:c>
      <x:c r="F299" s="8" t="n">
        <x:f>MIN(10,F298+E299)</x:f>
        <x:v>1</x:v>
      </x:c>
      <x:c r="G299" s="8" t="n">
        <x:f>MIN(F299,9)+1</x:f>
        <x:v>2</x:v>
      </x:c>
      <x:c r="H299" s="8" t="n">
        <x:f>IF(F299&lt;=9,1,0)</x:f>
        <x:v>1</x:v>
      </x:c>
      <x:c r="I299" s="9" t="n">
        <x:f>MIN(10,F298+IF(AR298&gt;0,MIN(1,AS298/AR298),1))</x:f>
        <x:v>1.1472929568520485</x:v>
      </x:c>
      <x:c r="J299" s="32" t="n">
        <x:f>INDEX(v01_FoodCap,G299)*Arch_FoodCap*EXP(v01_CapsByProject*SUMPRODUCT((Cap_Point&lt;=I299)*(Cap_Kind="Food")*Cap_Ln))</x:f>
        <x:v>30</x:v>
      </x:c>
      <x:c r="K299" s="32" t="n">
        <x:f>J299*MIN(1,v01_LeanBase*EXP(v01_CapsByProject*SUMPRODUCT((Cap_Point&lt;=I299)*(Cap_Kind="Lean")*Cap_Ln)))</x:f>
        <x:v>30</x:v>
      </x:c>
      <x:c r="L299" s="10" t="n">
        <x:f>INDEX(v01_HousingCap,G299)*EXP(v01_CapsByProject*SUMPRODUCT((Cap_Point&lt;=I299)*(Cap_Kind="Housing")*Cap_Ln))</x:f>
        <x:v>60</x:v>
      </x:c>
      <x:c r="M299" s="10" t="n">
        <x:f>INDEX(v01_GroupCap,G299)*v01_CohesionFactor*EXP(v01_CapsByProject*SUMPRODUCT((Cap_Point&lt;=I299)*(Cap_Kind="Group")*Cap_Ln))</x:f>
        <x:v>100</x:v>
      </x:c>
      <x:c r="N299" s="32" t="n">
        <x:f>MIN(J299,L299,M299)</x:f>
        <x:v>30</x:v>
      </x:c>
      <x:c r="O299" s="10" t="n">
        <x:f>AE298*N299</x:f>
        <x:v>30</x:v>
      </x:c>
      <x:c r="P299" s="9" t="n">
        <x:f>MIN(1,(AB298/(AE298*IF(v01_GroupInCrowding=1,N299,MIN(J299,L299))))^v01_CrowdingExp)</x:f>
        <x:v>0.33080733178412264</x:v>
      </x:c>
      <x:c r="Q299" s="9" t="n">
        <x:f>IF(D299=1,INDEX(v01_WinterMult,G299),1)</x:f>
        <x:v>1.6</x:v>
      </x:c>
      <x:c r="R299" s="9" t="n">
        <x:f>H299*Z298*v01_WomenShare*v01_BaseFertility*INDEX(v01_FertMult,G299)*Arch_Fertility*(1-P299)</x:f>
        <x:v>0.28747062522928235</x:v>
      </x:c>
      <x:c r="S299" s="9" t="n">
        <x:f>H299*Y298*INDEX(v01_MortChild,G299)/4*Q299</x:f>
        <x:v>0.142795699329433</x:v>
      </x:c>
      <x:c r="T299" s="9" t="n">
        <x:f>H299*Z298*INDEX(v01_MortAdult,G299)*Arch_AdultMort/4*Q299</x:f>
        <x:v>0.05956818605231301</x:v>
      </x:c>
      <x:c r="U299" s="9" t="n">
        <x:f>H299*AA298*INDEX(v01_MortElder,G299)/4*Q299</x:f>
        <x:v>0.1053994130099568</x:v>
      </x:c>
      <x:c r="V299" s="9" t="n">
        <x:f>H299*MAX(0,AB298-O299)*v01_OvercapLoss</x:f>
        <x:v>0</x:v>
      </x:c>
      <x:c r="W299" s="9" t="n">
        <x:f>H299*Y298/(v01_ChildYears*4)</x:f>
        <x:v>0.1821373715936645</x:v>
      </x:c>
      <x:c r="X299" s="9" t="n">
        <x:f>H299*Z298/(v01_AdultYears*4)</x:f>
        <x:v>0.09238242253770629</x:v>
      </x:c>
      <x:c r="Y299" s="32" t="n">
        <x:f>Y298+R299-S299-W299-Y298*V299/AB298</x:f>
        <x:v>10.162230363551396</x:v>
      </x:c>
      <x:c r="Z299" s="32" t="n">
        <x:f>Z298+W299-X299-T299-Z298*V299/AB298</x:f>
        <x:v>11.485607157679224</x:v>
      </x:c>
      <x:c r="AA299" s="32" t="n">
        <x:f>AA298+X299-U299-AA298*V299/AB298</x:f>
        <x:v>3.2807146660888993</x:v>
      </x:c>
      <x:c r="AB299" s="10" t="n">
        <x:f>Y299+Z299+AA299</x:f>
        <x:v>24.928552187319518</x:v>
      </x:c>
      <x:c r="AC299" s="8" t="n">
        <x:f>IF(AND(v01_WinterTrigger=1,D299=1,AB298/AE298&gt;=K299),1,0)</x:f>
        <x:v>0</x:v>
      </x:c>
      <x:c r="AD299" s="8" t="n">
        <x:f>H299*IF(AND(OR(AB298/AE298&gt;=v01_FissionTrigger*N299,AC299=1),AB298/AE298*v01_DaughterShare&gt;=v01_MinDaughter),MAX(1,ROUND(AE298*v01_FissionRate,0)),0)</x:f>
        <x:v>0</x:v>
      </x:c>
      <x:c r="AE299" s="8" t="n">
        <x:f>IF(H299=1,MAX(1,MIN(INDEX(v01_Smax,G299),AE298+AD299)),AE298)</x:f>
        <x:v>1</x:v>
      </x:c>
      <x:c r="AF299" s="8" t="n">
        <x:f>MAX(0,AE299-AE298)</x:f>
        <x:v>0</x:v>
      </x:c>
      <x:c r="AG299" s="9" t="str">
        <x:f>IF(AF299&gt;0,B299,"")</x:f>
      </x:c>
      <x:c r="AH299" s="9" t="n">
        <x:f>IF(F299&gt;=1,1,(1+v01_LowTiesShare*(AE299-1))/AE299)</x:f>
        <x:v>1</x:v>
      </x:c>
      <x:c r="AI299" s="32" t="n">
        <x:f>(Z299+v01_ElderCommons*INDEX(LM_Elder,G299)*AA299)*AH299</x:f>
        <x:v>19.521684081262322</x:v>
      </x:c>
      <x:c r="AJ299" s="32" t="n">
        <x:f>H299*v01_CommonsCoef*AI299^v01_CommonsExp*INDEX(LM_Commons,G299)</x:f>
        <x:v>8.25056374029413</x:v>
      </x:c>
      <x:c r="AK299" s="32" t="n">
        <x:f>H299*v01_RoleScale*Arch_Roles*(AE299*(INDEX(v01_ElderRolePerSett,G299)*v01_OutElder*INDEX(LM_Elder,G299)+INDEX(v01_ShamanPerSett,G299)*v01_OutShaman)+Z299*(INDEX(v01_PriestShare,G299)*v01_OutPriest+INDEX(v01_ScribeShare,G299)*v01_OutScribe*INDEX(LM_Scribe,G299)+INDEX(v01_ScholarShare,G299)*v01_OutScholar*INDEX(LM_Scholar,G299)+INDEX(v01_ResearcherShare,G299)*v01_OutResearcher*INDEX(LM_Researcher,G299)))</x:f>
        <x:v>1.3623724356957945</x:v>
      </x:c>
      <x:c r="AL299" s="32" t="n">
        <x:f>H299*v01_RoleScale*Arch_Roles*AE299*INDEX(v01_MonasteryPerSett,G299)*v01_OutMonastery*INDEX(LM_Monastery,G299)</x:f>
        <x:v>0</x:v>
      </x:c>
      <x:c r="AM299" s="32" t="n">
        <x:f>(AJ299+AK299+AL299)/4*INDEX(LM_All,G299)*INDEX(v01_Boon,G299)*Arch_Insight</x:f>
        <x:v>2.463314895097418</x:v>
      </x:c>
      <x:c r="AN299" s="32" t="n">
        <x:f>H299*(v01_KHPerAdult*Z299+v01_KHOfCommons*AJ299/4*INDEX(LM_All,G299))*v01_KHUsable*Arch_KH</x:f>
        <x:v>0.40199625051877286</x:v>
      </x:c>
      <x:c r="AO299" s="32" t="n">
        <x:f>MIN(AP298+AN299,AM299*v01_KHMaxRatio)</x:f>
        <x:v>0.40199625051877286</x:v>
      </x:c>
      <x:c r="AP299" s="32" t="n">
        <x:f>AP298+AN299-AO299</x:f>
        <x:v>0</x:v>
      </x:c>
      <x:c r="AQ299" s="32" t="n">
        <x:f>AM299+AO299</x:f>
        <x:v>2.865311145616191</x:v>
      </x:c>
      <x:c r="AR299" s="10" t="n">
        <x:f>IF(H299=1,INDEX(v01_Req,G299),0)</x:f>
        <x:v>1067.32</x:v>
      </x:c>
      <x:c r="AS299" s="32" t="n">
        <x:f>IF(H299=1,IF(E299=1,AS298-AR298,AS298)+AQ299,0)</x:f>
        <x:v>160.0740298529445</x:v>
      </x:c>
      <x:c r="AT299" s="11" t="n">
        <x:f>IF(AR299&gt;0,MIN(1,AS299/AR299),1)</x:f>
        <x:v>0.149977541742818</x:v>
      </x:c>
      <x:c r="AU299" s="10" t="n">
        <x:f>AB299/INDEX(v01_RepScale,G299)</x:f>
        <x:v>24.928552187319518</x:v>
      </x:c>
      <x:c r="AV299" s="32" t="n">
        <x:f>AM299*60/v01_SeasonSeconds</x:f>
        <x:v>9.853259580389672</x:v>
      </x:c>
    </x:row>
    <x:row r="300">
      <x:c r="A300" s="8" t="n">
        <x:f>A299+1</x:f>
        <x:v>297</x:v>
      </x:c>
      <x:c r="B300" s="9" t="n">
        <x:f>A300*v01_SeasonSeconds/60</x:f>
        <x:v>74.25</x:v>
      </x:c>
      <x:c r="C300" s="9" t="n">
        <x:f>A300/4</x:f>
        <x:v>74.25</x:v>
      </x:c>
      <x:c r="D300" s="8" t="n">
        <x:f>IF(MOD(A300,4)=0,1,0)</x:f>
        <x:v>0</x:v>
      </x:c>
      <x:c r="E300" s="8" t="n">
        <x:f>IF(AND(F299&lt;=9,AS299&gt;=AR299),1,0)</x:f>
        <x:v>0</x:v>
      </x:c>
      <x:c r="F300" s="8" t="n">
        <x:f>MIN(10,F299+E300)</x:f>
        <x:v>1</x:v>
      </x:c>
      <x:c r="G300" s="8" t="n">
        <x:f>MIN(F300,9)+1</x:f>
        <x:v>2</x:v>
      </x:c>
      <x:c r="H300" s="8" t="n">
        <x:f>IF(F300&lt;=9,1,0)</x:f>
        <x:v>1</x:v>
      </x:c>
      <x:c r="I300" s="9" t="n">
        <x:f>MIN(10,F299+IF(AR299&gt;0,MIN(1,AS299/AR299),1))</x:f>
        <x:v>1.149977541742818</x:v>
      </x:c>
      <x:c r="J300" s="32" t="n">
        <x:f>INDEX(v01_FoodCap,G300)*Arch_FoodCap*EXP(v01_CapsByProject*SUMPRODUCT((Cap_Point&lt;=I300)*(Cap_Kind="Food")*Cap_Ln))</x:f>
        <x:v>30</x:v>
      </x:c>
      <x:c r="K300" s="32" t="n">
        <x:f>J300*MIN(1,v01_LeanBase*EXP(v01_CapsByProject*SUMPRODUCT((Cap_Point&lt;=I300)*(Cap_Kind="Lean")*Cap_Ln)))</x:f>
        <x:v>30</x:v>
      </x:c>
      <x:c r="L300" s="10" t="n">
        <x:f>INDEX(v01_HousingCap,G300)*EXP(v01_CapsByProject*SUMPRODUCT((Cap_Point&lt;=I300)*(Cap_Kind="Housing")*Cap_Ln))</x:f>
        <x:v>60</x:v>
      </x:c>
      <x:c r="M300" s="10" t="n">
        <x:f>INDEX(v01_GroupCap,G300)*v01_CohesionFactor*EXP(v01_CapsByProject*SUMPRODUCT((Cap_Point&lt;=I300)*(Cap_Kind="Group")*Cap_Ln))</x:f>
        <x:v>100</x:v>
      </x:c>
      <x:c r="N300" s="32" t="n">
        <x:f>MIN(J300,L300,M300)</x:f>
        <x:v>30</x:v>
      </x:c>
      <x:c r="O300" s="10" t="n">
        <x:f>AE299*N300</x:f>
        <x:v>30</x:v>
      </x:c>
      <x:c r="P300" s="9" t="n">
        <x:f>MIN(1,(AB299/(AE299*IF(v01_GroupInCrowding=1,N300,MIN(J300,L300))))^v01_CrowdingExp)</x:f>
        <x:v>0.32919619598273453</x:v>
      </x:c>
      <x:c r="Q300" s="9" t="n">
        <x:f>IF(D300=1,INDEX(v01_WinterMult,G300),1)</x:f>
        <x:v>1</x:v>
      </x:c>
      <x:c r="R300" s="9" t="n">
        <x:f>H300*Z299*v01_WomenShare*v01_BaseFertility*INDEX(v01_FertMult,G300)*Arch_Fertility*(1-P300)</x:f>
        <x:v>0.2889220864807183</x:v>
      </x:c>
      <x:c r="S300" s="9" t="n">
        <x:f>H300*Y299*INDEX(v01_MortChild,G300)/4*Q300</x:f>
        <x:v>0.08891951568107473</x:v>
      </x:c>
      <x:c r="T300" s="9" t="n">
        <x:f>H300*Z299*INDEX(v01_MortAdult,G300)*Arch_AdultMort/4*Q300</x:f>
        <x:v>0.03732822326245748</x:v>
      </x:c>
      <x:c r="U300" s="9" t="n">
        <x:f>H300*AA299*INDEX(v01_MortElder,G300)/4*Q300</x:f>
        <x:v>0.06561429332177798</x:v>
      </x:c>
      <x:c r="V300" s="9" t="n">
        <x:f>H300*MAX(0,AB299-O300)*v01_OvercapLoss</x:f>
        <x:v>0</x:v>
      </x:c>
      <x:c r="W300" s="9" t="n">
        <x:f>H300*Y299/(v01_ChildYears*4)</x:f>
        <x:v>0.1814683993491321</x:v>
      </x:c>
      <x:c r="X300" s="9" t="n">
        <x:f>H300*Z299/(v01_AdultYears*4)</x:f>
        <x:v>0.09262586417483246</x:v>
      </x:c>
      <x:c r="Y300" s="32" t="n">
        <x:f>Y299+R300-S300-W300-Y299*V300/AB299</x:f>
        <x:v>10.180764535001908</x:v>
      </x:c>
      <x:c r="Z300" s="32" t="n">
        <x:f>Z299+W300-X300-T300-Z299*V300/AB299</x:f>
        <x:v>11.537121469591066</x:v>
      </x:c>
      <x:c r="AA300" s="32" t="n">
        <x:f>AA299+X300-U300-AA299*V300/AB299</x:f>
        <x:v>3.307726236941954</x:v>
      </x:c>
      <x:c r="AB300" s="10" t="n">
        <x:f>Y300+Z300+AA300</x:f>
        <x:v>25.025612241534926</x:v>
      </x:c>
      <x:c r="AC300" s="8" t="n">
        <x:f>IF(AND(v01_WinterTrigger=1,D300=1,AB299/AE299&gt;=K300),1,0)</x:f>
        <x:v>0</x:v>
      </x:c>
      <x:c r="AD300" s="8" t="n">
        <x:f>H300*IF(AND(OR(AB299/AE299&gt;=v01_FissionTrigger*N300,AC300=1),AB299/AE299*v01_DaughterShare&gt;=v01_MinDaughter),MAX(1,ROUND(AE299*v01_FissionRate,0)),0)</x:f>
        <x:v>0</x:v>
      </x:c>
      <x:c r="AE300" s="8" t="n">
        <x:f>IF(H300=1,MAX(1,MIN(INDEX(v01_Smax,G300),AE299+AD300)),AE299)</x:f>
        <x:v>1</x:v>
      </x:c>
      <x:c r="AF300" s="8" t="n">
        <x:f>MAX(0,AE300-AE299)</x:f>
        <x:v>0</x:v>
      </x:c>
      <x:c r="AG300" s="9" t="str">
        <x:f>IF(AF300&gt;0,B300,"")</x:f>
      </x:c>
      <x:c r="AH300" s="9" t="n">
        <x:f>IF(F300&gt;=1,1,(1+v01_LowTiesShare*(AE300-1))/AE300)</x:f>
        <x:v>1</x:v>
      </x:c>
      <x:c r="AI300" s="32" t="n">
        <x:f>(Z300+v01_ElderCommons*INDEX(LM_Elder,G300)*AA300)*AH300</x:f>
        <x:v>19.63936295891518</x:v>
      </x:c>
      <x:c r="AJ300" s="32" t="n">
        <x:f>H300*v01_CommonsCoef*AI300^v01_CommonsExp*INDEX(LM_Commons,G300)</x:f>
        <x:v>8.29281968804172</x:v>
      </x:c>
      <x:c r="AK300" s="32" t="n">
        <x:f>H300*v01_RoleScale*Arch_Roles*(AE300*(INDEX(v01_ElderRolePerSett,G300)*v01_OutElder*INDEX(LM_Elder,G300)+INDEX(v01_ShamanPerSett,G300)*v01_OutShaman)+Z300*(INDEX(v01_PriestShare,G300)*v01_OutPriest+INDEX(v01_ScribeShare,G300)*v01_OutScribe*INDEX(LM_Scribe,G300)+INDEX(v01_ScholarShare,G300)*v01_OutScholar*INDEX(LM_Scholar,G300)+INDEX(v01_ResearcherShare,G300)*v01_OutResearcher*INDEX(LM_Researcher,G300)))</x:f>
        <x:v>1.3623724356957945</x:v>
      </x:c>
      <x:c r="AL300" s="32" t="n">
        <x:f>H300*v01_RoleScale*Arch_Roles*AE300*INDEX(v01_MonasteryPerSett,G300)*v01_OutMonastery*INDEX(LM_Monastery,G300)</x:f>
        <x:v>0</x:v>
      </x:c>
      <x:c r="AM300" s="32" t="n">
        <x:f>(AJ300+AK300+AL300)/4*INDEX(LM_All,G300)*INDEX(v01_Boon,G300)*Arch_Insight</x:f>
        <x:v>2.474142981707738</x:v>
      </x:c>
      <x:c r="AN300" s="32" t="n">
        <x:f>H300*(v01_KHPerAdult*Z300+v01_KHOfCommons*AJ300/4*INDEX(LM_All,G300))*v01_KHUsable*Arch_KH</x:f>
        <x:v>0.40379925143568723</x:v>
      </x:c>
      <x:c r="AO300" s="32" t="n">
        <x:f>MIN(AP299+AN300,AM300*v01_KHMaxRatio)</x:f>
        <x:v>0.40379925143568723</x:v>
      </x:c>
      <x:c r="AP300" s="32" t="n">
        <x:f>AP299+AN300-AO300</x:f>
        <x:v>0</x:v>
      </x:c>
      <x:c r="AQ300" s="32" t="n">
        <x:f>AM300+AO300</x:f>
        <x:v>2.877942233143425</x:v>
      </x:c>
      <x:c r="AR300" s="10" t="n">
        <x:f>IF(H300=1,INDEX(v01_Req,G300),0)</x:f>
        <x:v>1067.32</x:v>
      </x:c>
      <x:c r="AS300" s="32" t="n">
        <x:f>IF(H300=1,IF(E300=1,AS299-AR299,AS299)+AQ300,0)</x:f>
        <x:v>162.95197208608792</x:v>
      </x:c>
      <x:c r="AT300" s="11" t="n">
        <x:f>IF(AR300&gt;0,MIN(1,AS300/AR300),1)</x:f>
        <x:v>0.1526739610295768</x:v>
      </x:c>
      <x:c r="AU300" s="10" t="n">
        <x:f>AB300/INDEX(v01_RepScale,G300)</x:f>
        <x:v>25.025612241534926</x:v>
      </x:c>
      <x:c r="AV300" s="32" t="n">
        <x:f>AM300*60/v01_SeasonSeconds</x:f>
        <x:v>9.896571926830951</x:v>
      </x:c>
    </x:row>
    <x:row r="301">
      <x:c r="A301" s="8" t="n">
        <x:f>A300+1</x:f>
        <x:v>298</x:v>
      </x:c>
      <x:c r="B301" s="9" t="n">
        <x:f>A301*v01_SeasonSeconds/60</x:f>
        <x:v>74.5</x:v>
      </x:c>
      <x:c r="C301" s="9" t="n">
        <x:f>A301/4</x:f>
        <x:v>74.5</x:v>
      </x:c>
      <x:c r="D301" s="8" t="n">
        <x:f>IF(MOD(A301,4)=0,1,0)</x:f>
        <x:v>0</x:v>
      </x:c>
      <x:c r="E301" s="8" t="n">
        <x:f>IF(AND(F300&lt;=9,AS300&gt;=AR300),1,0)</x:f>
        <x:v>0</x:v>
      </x:c>
      <x:c r="F301" s="8" t="n">
        <x:f>MIN(10,F300+E301)</x:f>
        <x:v>1</x:v>
      </x:c>
      <x:c r="G301" s="8" t="n">
        <x:f>MIN(F301,9)+1</x:f>
        <x:v>2</x:v>
      </x:c>
      <x:c r="H301" s="8" t="n">
        <x:f>IF(F301&lt;=9,1,0)</x:f>
        <x:v>1</x:v>
      </x:c>
      <x:c r="I301" s="9" t="n">
        <x:f>MIN(10,F300+IF(AR300&gt;0,MIN(1,AS300/AR300),1))</x:f>
        <x:v>1.1526739610295769</x:v>
      </x:c>
      <x:c r="J301" s="32" t="n">
        <x:f>INDEX(v01_FoodCap,G301)*Arch_FoodCap*EXP(v01_CapsByProject*SUMPRODUCT((Cap_Point&lt;=I301)*(Cap_Kind="Food")*Cap_Ln))</x:f>
        <x:v>30</x:v>
      </x:c>
      <x:c r="K301" s="32" t="n">
        <x:f>J301*MIN(1,v01_LeanBase*EXP(v01_CapsByProject*SUMPRODUCT((Cap_Point&lt;=I301)*(Cap_Kind="Lean")*Cap_Ln)))</x:f>
        <x:v>30</x:v>
      </x:c>
      <x:c r="L301" s="10" t="n">
        <x:f>INDEX(v01_HousingCap,G301)*EXP(v01_CapsByProject*SUMPRODUCT((Cap_Point&lt;=I301)*(Cap_Kind="Housing")*Cap_Ln))</x:f>
        <x:v>60</x:v>
      </x:c>
      <x:c r="M301" s="10" t="n">
        <x:f>INDEX(v01_GroupCap,G301)*v01_CohesionFactor*EXP(v01_CapsByProject*SUMPRODUCT((Cap_Point&lt;=I301)*(Cap_Kind="Group")*Cap_Ln))</x:f>
        <x:v>100</x:v>
      </x:c>
      <x:c r="N301" s="32" t="n">
        <x:f>MIN(J301,L301,M301)</x:f>
        <x:v>30</x:v>
      </x:c>
      <x:c r="O301" s="10" t="n">
        <x:f>AE300*N301</x:f>
        <x:v>30</x:v>
      </x:c>
      <x:c r="P301" s="9" t="n">
        <x:f>MIN(1,(AB300/(AE300*IF(v01_GroupInCrowding=1,N301,MIN(J301,L301))))^v01_CrowdingExp)</x:f>
        <x:v>0.3369618535050977</x:v>
      </x:c>
      <x:c r="Q301" s="9" t="n">
        <x:f>IF(D301=1,INDEX(v01_WinterMult,G301),1)</x:f>
        <x:v>1</x:v>
      </x:c>
      <x:c r="R301" s="9" t="n">
        <x:f>H301*Z300*v01_WomenShare*v01_BaseFertility*INDEX(v01_FertMult,G301)*Arch_Fertility*(1-P301)</x:f>
        <x:v>0.28685818631565757</x:v>
      </x:c>
      <x:c r="S301" s="9" t="n">
        <x:f>H301*Y300*INDEX(v01_MortChild,G301)/4*Q301</x:f>
        <x:v>0.0890816896812667</x:v>
      </x:c>
      <x:c r="T301" s="9" t="n">
        <x:f>H301*Z300*INDEX(v01_MortAdult,G301)*Arch_AdultMort/4*Q301</x:f>
        <x:v>0.03749564477617096</x:v>
      </x:c>
      <x:c r="U301" s="9" t="n">
        <x:f>H301*AA300*INDEX(v01_MortElder,G301)/4*Q301</x:f>
        <x:v>0.06615452473883908</x:v>
      </x:c>
      <x:c r="V301" s="9" t="n">
        <x:f>H301*MAX(0,AB300-O301)*v01_OvercapLoss</x:f>
        <x:v>0</x:v>
      </x:c>
      <x:c r="W301" s="9" t="n">
        <x:f>H301*Y300/(v01_ChildYears*4)</x:f>
        <x:v>0.18179936669646263</x:v>
      </x:c>
      <x:c r="X301" s="9" t="n">
        <x:f>H301*Z300/(v01_AdultYears*4)</x:f>
        <x:v>0.0930413021741215</x:v>
      </x:c>
      <x:c r="Y301" s="32" t="n">
        <x:f>Y300+R301-S301-W301-Y300*V301/AB300</x:f>
        <x:v>10.196741664939834</x:v>
      </x:c>
      <x:c r="Z301" s="32" t="n">
        <x:f>Z300+W301-X301-T301-Z300*V301/AB300</x:f>
        <x:v>11.588383889337235</x:v>
      </x:c>
      <x:c r="AA301" s="32" t="n">
        <x:f>AA300+X301-U301-AA300*V301/AB300</x:f>
        <x:v>3.3346130143772363</x:v>
      </x:c>
      <x:c r="AB301" s="10" t="n">
        <x:f>Y301+Z301+AA301</x:f>
        <x:v>25.119738568654306</x:v>
      </x:c>
      <x:c r="AC301" s="8" t="n">
        <x:f>IF(AND(v01_WinterTrigger=1,D301=1,AB300/AE300&gt;=K301),1,0)</x:f>
        <x:v>0</x:v>
      </x:c>
      <x:c r="AD301" s="8" t="n">
        <x:f>H301*IF(AND(OR(AB300/AE300&gt;=v01_FissionTrigger*N301,AC301=1),AB300/AE300*v01_DaughterShare&gt;=v01_MinDaughter),MAX(1,ROUND(AE300*v01_FissionRate,0)),0)</x:f>
        <x:v>0</x:v>
      </x:c>
      <x:c r="AE301" s="8" t="n">
        <x:f>IF(H301=1,MAX(1,MIN(INDEX(v01_Smax,G301),AE300+AD301)),AE300)</x:f>
        <x:v>1</x:v>
      </x:c>
      <x:c r="AF301" s="8" t="n">
        <x:f>MAX(0,AE301-AE300)</x:f>
        <x:v>0</x:v>
      </x:c>
      <x:c r="AG301" s="9" t="str">
        <x:f>IF(AF301&gt;0,B301,"")</x:f>
      </x:c>
      <x:c r="AH301" s="9" t="n">
        <x:f>IF(F301&gt;=1,1,(1+v01_LowTiesShare*(AE301-1))/AE301)</x:f>
        <x:v>1</x:v>
      </x:c>
      <x:c r="AI301" s="32" t="n">
        <x:f>(Z301+v01_ElderCommons*INDEX(LM_Elder,G301)*AA301)*AH301</x:f>
        <x:v>19.756484264205568</x:v>
      </x:c>
      <x:c r="AJ301" s="32" t="n">
        <x:f>H301*v01_CommonsCoef*AI301^v01_CommonsExp*INDEX(LM_Commons,G301)</x:f>
        <x:v>8.334837729779334</x:v>
      </x:c>
      <x:c r="AK301" s="32" t="n">
        <x:f>H301*v01_RoleScale*Arch_Roles*(AE301*(INDEX(v01_ElderRolePerSett,G301)*v01_OutElder*INDEX(LM_Elder,G301)+INDEX(v01_ShamanPerSett,G301)*v01_OutShaman)+Z301*(INDEX(v01_PriestShare,G301)*v01_OutPriest+INDEX(v01_ScribeShare,G301)*v01_OutScribe*INDEX(LM_Scribe,G301)+INDEX(v01_ScholarShare,G301)*v01_OutScholar*INDEX(LM_Scholar,G301)+INDEX(v01_ResearcherShare,G301)*v01_OutResearcher*INDEX(LM_Researcher,G301)))</x:f>
        <x:v>1.3623724356957945</x:v>
      </x:c>
      <x:c r="AL301" s="32" t="n">
        <x:f>H301*v01_RoleScale*Arch_Roles*AE301*INDEX(v01_MonasteryPerSett,G301)*v01_OutMonastery*INDEX(LM_Monastery,G301)</x:f>
        <x:v>0</x:v>
      </x:c>
      <x:c r="AM301" s="32" t="n">
        <x:f>(AJ301+AK301+AL301)/4*INDEX(LM_All,G301)*INDEX(v01_Boon,G301)*Arch_Insight</x:f>
        <x:v>2.4849101049030016</x:v>
      </x:c>
      <x:c r="AN301" s="32" t="n">
        <x:f>H301*(v01_KHPerAdult*Z301+v01_KHOfCommons*AJ301/4*INDEX(LM_All,G301))*v01_KHUsable*Arch_KH</x:f>
        <x:v>0.4055934361268032</x:v>
      </x:c>
      <x:c r="AO301" s="32" t="n">
        <x:f>MIN(AP300+AN301,AM301*v01_KHMaxRatio)</x:f>
        <x:v>0.4055934361268032</x:v>
      </x:c>
      <x:c r="AP301" s="32" t="n">
        <x:f>AP300+AN301-AO301</x:f>
        <x:v>0</x:v>
      </x:c>
      <x:c r="AQ301" s="32" t="n">
        <x:f>AM301+AO301</x:f>
        <x:v>2.890503541029805</x:v>
      </x:c>
      <x:c r="AR301" s="10" t="n">
        <x:f>IF(H301=1,INDEX(v01_Req,G301),0)</x:f>
        <x:v>1067.32</x:v>
      </x:c>
      <x:c r="AS301" s="32" t="n">
        <x:f>IF(H301=1,IF(E301=1,AS300-AR300,AS300)+AQ301,0)</x:f>
        <x:v>165.84247562711772</x:v>
      </x:c>
      <x:c r="AT301" s="11" t="n">
        <x:f>IF(AR301&gt;0,MIN(1,AS301/AR301),1)</x:f>
        <x:v>0.15538214933395583</x:v>
      </x:c>
      <x:c r="AU301" s="10" t="n">
        <x:f>AB301/INDEX(v01_RepScale,G301)</x:f>
        <x:v>25.119738568654306</x:v>
      </x:c>
      <x:c r="AV301" s="32" t="n">
        <x:f>AM301*60/v01_SeasonSeconds</x:f>
        <x:v>9.939640419612006</x:v>
      </x:c>
    </x:row>
    <x:row r="302">
      <x:c r="A302" s="8" t="n">
        <x:f>A301+1</x:f>
        <x:v>299</x:v>
      </x:c>
      <x:c r="B302" s="9" t="n">
        <x:f>A302*v01_SeasonSeconds/60</x:f>
        <x:v>74.75</x:v>
      </x:c>
      <x:c r="C302" s="9" t="n">
        <x:f>A302/4</x:f>
        <x:v>74.75</x:v>
      </x:c>
      <x:c r="D302" s="8" t="n">
        <x:f>IF(MOD(A302,4)=0,1,0)</x:f>
        <x:v>0</x:v>
      </x:c>
      <x:c r="E302" s="8" t="n">
        <x:f>IF(AND(F301&lt;=9,AS301&gt;=AR301),1,0)</x:f>
        <x:v>0</x:v>
      </x:c>
      <x:c r="F302" s="8" t="n">
        <x:f>MIN(10,F301+E302)</x:f>
        <x:v>1</x:v>
      </x:c>
      <x:c r="G302" s="8" t="n">
        <x:f>MIN(F302,9)+1</x:f>
        <x:v>2</x:v>
      </x:c>
      <x:c r="H302" s="8" t="n">
        <x:f>IF(F302&lt;=9,1,0)</x:f>
        <x:v>1</x:v>
      </x:c>
      <x:c r="I302" s="9" t="n">
        <x:f>MIN(10,F301+IF(AR301&gt;0,MIN(1,AS301/AR301),1))</x:f>
        <x:v>1.1553821493339558</x:v>
      </x:c>
      <x:c r="J302" s="32" t="n">
        <x:f>INDEX(v01_FoodCap,G302)*Arch_FoodCap*EXP(v01_CapsByProject*SUMPRODUCT((Cap_Point&lt;=I302)*(Cap_Kind="Food")*Cap_Ln))</x:f>
        <x:v>30</x:v>
      </x:c>
      <x:c r="K302" s="32" t="n">
        <x:f>J302*MIN(1,v01_LeanBase*EXP(v01_CapsByProject*SUMPRODUCT((Cap_Point&lt;=I302)*(Cap_Kind="Lean")*Cap_Ln)))</x:f>
        <x:v>30</x:v>
      </x:c>
      <x:c r="L302" s="10" t="n">
        <x:f>INDEX(v01_HousingCap,G302)*EXP(v01_CapsByProject*SUMPRODUCT((Cap_Point&lt;=I302)*(Cap_Kind="Housing")*Cap_Ln))</x:f>
        <x:v>60</x:v>
      </x:c>
      <x:c r="M302" s="10" t="n">
        <x:f>INDEX(v01_GroupCap,G302)*v01_CohesionFactor*EXP(v01_CapsByProject*SUMPRODUCT((Cap_Point&lt;=I302)*(Cap_Kind="Group")*Cap_Ln))</x:f>
        <x:v>100</x:v>
      </x:c>
      <x:c r="N302" s="32" t="n">
        <x:f>MIN(J302,L302,M302)</x:f>
        <x:v>30</x:v>
      </x:c>
      <x:c r="O302" s="10" t="n">
        <x:f>AE301*N302</x:f>
        <x:v>30</x:v>
      </x:c>
      <x:c r="P302" s="9" t="n">
        <x:f>MIN(1,(AB301/(AE301*IF(v01_GroupInCrowding=1,N302,MIN(J302,L302))))^v01_CrowdingExp)</x:f>
        <x:v>0.3446380012742043</x:v>
      </x:c>
      <x:c r="Q302" s="9" t="n">
        <x:f>IF(D302=1,INDEX(v01_WinterMult,G302),1)</x:f>
        <x:v>1</x:v>
      </x:c>
      <x:c r="R302" s="9" t="n">
        <x:f>H302*Z301*v01_WomenShare*v01_BaseFertility*INDEX(v01_FertMult,G302)*Arch_Fertility*(1-P302)</x:f>
        <x:v>0.2847969910394198</x:v>
      </x:c>
      <x:c r="S302" s="9" t="n">
        <x:f>H302*Y301*INDEX(v01_MortChild,G302)/4*Q302</x:f>
        <x:v>0.08922148956822355</x:v>
      </x:c>
      <x:c r="T302" s="9" t="n">
        <x:f>H302*Z301*INDEX(v01_MortAdult,G302)*Arch_AdultMort/4*Q302</x:f>
        <x:v>0.037662247640346015</x:v>
      </x:c>
      <x:c r="U302" s="9" t="n">
        <x:f>H302*AA301*INDEX(v01_MortElder,G302)/4*Q302</x:f>
        <x:v>0.06669226028754473</x:v>
      </x:c>
      <x:c r="V302" s="9" t="n">
        <x:f>H302*MAX(0,AB301-O302)*v01_OvercapLoss</x:f>
        <x:v>0</x:v>
      </x:c>
      <x:c r="W302" s="9" t="n">
        <x:f>H302*Y301/(v01_ChildYears*4)</x:f>
        <x:v>0.18208467258821132</x:v>
      </x:c>
      <x:c r="X302" s="9" t="n">
        <x:f>H302*Z301/(v01_AdultYears*4)</x:f>
        <x:v>0.0934547087849777</x:v>
      </x:c>
      <x:c r="Y302" s="32" t="n">
        <x:f>Y301+R302-S302-W302-Y301*V302/AB301</x:f>
        <x:v>10.210232493822819</x:v>
      </x:c>
      <x:c r="Z302" s="32" t="n">
        <x:f>Z301+W302-X302-T302-Z301*V302/AB301</x:f>
        <x:v>11.639351605500122</x:v>
      </x:c>
      <x:c r="AA302" s="32" t="n">
        <x:f>AA301+X302-U302-AA301*V302/AB301</x:f>
        <x:v>3.3613754628746695</x:v>
      </x:c>
      <x:c r="AB302" s="10" t="n">
        <x:f>Y302+Z302+AA302</x:f>
        <x:v>25.21095956219761</x:v>
      </x:c>
      <x:c r="AC302" s="8" t="n">
        <x:f>IF(AND(v01_WinterTrigger=1,D302=1,AB301/AE301&gt;=K302),1,0)</x:f>
        <x:v>0</x:v>
      </x:c>
      <x:c r="AD302" s="8" t="n">
        <x:f>H302*IF(AND(OR(AB301/AE301&gt;=v01_FissionTrigger*N302,AC302=1),AB301/AE301*v01_DaughterShare&gt;=v01_MinDaughter),MAX(1,ROUND(AE301*v01_FissionRate,0)),0)</x:f>
        <x:v>0</x:v>
      </x:c>
      <x:c r="AE302" s="8" t="n">
        <x:f>IF(H302=1,MAX(1,MIN(INDEX(v01_Smax,G302),AE301+AD302)),AE301)</x:f>
        <x:v>1</x:v>
      </x:c>
      <x:c r="AF302" s="8" t="n">
        <x:f>MAX(0,AE302-AE301)</x:f>
        <x:v>0</x:v>
      </x:c>
      <x:c r="AG302" s="9" t="str">
        <x:f>IF(AF302&gt;0,B302,"")</x:f>
      </x:c>
      <x:c r="AH302" s="9" t="n">
        <x:f>IF(F302&gt;=1,1,(1+v01_LowTiesShare*(AE302-1))/AE302)</x:f>
        <x:v>1</x:v>
      </x:c>
      <x:c r="AI302" s="32" t="n">
        <x:f>(Z302+v01_ElderCommons*INDEX(LM_Elder,G302)*AA302)*AH302</x:f>
        <x:v>19.873006323454682</x:v>
      </x:c>
      <x:c r="AJ302" s="32" t="n">
        <x:f>H302*v01_CommonsCoef*AI302^v01_CommonsExp*INDEX(LM_Commons,G302)</x:f>
        <x:v>8.376603726132549</x:v>
      </x:c>
      <x:c r="AK302" s="32" t="n">
        <x:f>H302*v01_RoleScale*Arch_Roles*(AE302*(INDEX(v01_ElderRolePerSett,G302)*v01_OutElder*INDEX(LM_Elder,G302)+INDEX(v01_ShamanPerSett,G302)*v01_OutShaman)+Z302*(INDEX(v01_PriestShare,G302)*v01_OutPriest+INDEX(v01_ScribeShare,G302)*v01_OutScribe*INDEX(LM_Scribe,G302)+INDEX(v01_ScholarShare,G302)*v01_OutScholar*INDEX(LM_Scholar,G302)+INDEX(v01_ResearcherShare,G302)*v01_OutResearcher*INDEX(LM_Researcher,G302)))</x:f>
        <x:v>1.3623724356957945</x:v>
      </x:c>
      <x:c r="AL302" s="32" t="n">
        <x:f>H302*v01_RoleScale*Arch_Roles*AE302*INDEX(v01_MonasteryPerSett,G302)*v01_OutMonastery*INDEX(LM_Monastery,G302)</x:f>
        <x:v>0</x:v>
      </x:c>
      <x:c r="AM302" s="32" t="n">
        <x:f>(AJ302+AK302+AL302)/4*INDEX(LM_All,G302)*INDEX(v01_Boon,G302)*Arch_Insight</x:f>
        <x:v>2.495612641468513</x:v>
      </x:c>
      <x:c r="AN302" s="32" t="n">
        <x:f>H302*(v01_KHPerAdult*Z302+v01_KHOfCommons*AJ302/4*INDEX(LM_All,G302))*v01_KHUsable*Arch_KH</x:f>
        <x:v>0.4073773061925043</x:v>
      </x:c>
      <x:c r="AO302" s="32" t="n">
        <x:f>MIN(AP301+AN302,AM302*v01_KHMaxRatio)</x:f>
        <x:v>0.4073773061925043</x:v>
      </x:c>
      <x:c r="AP302" s="32" t="n">
        <x:f>AP301+AN302-AO302</x:f>
        <x:v>0</x:v>
      </x:c>
      <x:c r="AQ302" s="32" t="n">
        <x:f>AM302+AO302</x:f>
        <x:v>2.902989947661017</x:v>
      </x:c>
      <x:c r="AR302" s="10" t="n">
        <x:f>IF(H302=1,INDEX(v01_Req,G302),0)</x:f>
        <x:v>1067.32</x:v>
      </x:c>
      <x:c r="AS302" s="32" t="n">
        <x:f>IF(H302=1,IF(E302=1,AS301-AR301,AS301)+AQ302,0)</x:f>
        <x:v>168.74546557477873</x:v>
      </x:c>
      <x:c r="AT302" s="11" t="n">
        <x:f>IF(AR302&gt;0,MIN(1,AS302/AR302),1)</x:f>
        <x:v>0.15810203647901167</x:v>
      </x:c>
      <x:c r="AU302" s="10" t="n">
        <x:f>AB302/INDEX(v01_RepScale,G302)</x:f>
        <x:v>25.21095956219761</x:v>
      </x:c>
      <x:c r="AV302" s="32" t="n">
        <x:f>AM302*60/v01_SeasonSeconds</x:f>
        <x:v>9.982450565874052</x:v>
      </x:c>
    </x:row>
    <x:row r="303">
      <x:c r="A303" s="8" t="n">
        <x:f>A302+1</x:f>
        <x:v>300</x:v>
      </x:c>
      <x:c r="B303" s="9" t="n">
        <x:f>A303*v01_SeasonSeconds/60</x:f>
        <x:v>75</x:v>
      </x:c>
      <x:c r="C303" s="9" t="n">
        <x:f>A303/4</x:f>
        <x:v>75</x:v>
      </x:c>
      <x:c r="D303" s="8" t="n">
        <x:f>IF(MOD(A303,4)=0,1,0)</x:f>
        <x:v>1</x:v>
      </x:c>
      <x:c r="E303" s="8" t="n">
        <x:f>IF(AND(F302&lt;=9,AS302&gt;=AR302),1,0)</x:f>
        <x:v>0</x:v>
      </x:c>
      <x:c r="F303" s="8" t="n">
        <x:f>MIN(10,F302+E303)</x:f>
        <x:v>1</x:v>
      </x:c>
      <x:c r="G303" s="8" t="n">
        <x:f>MIN(F303,9)+1</x:f>
        <x:v>2</x:v>
      </x:c>
      <x:c r="H303" s="8" t="n">
        <x:f>IF(F303&lt;=9,1,0)</x:f>
        <x:v>1</x:v>
      </x:c>
      <x:c r="I303" s="9" t="n">
        <x:f>MIN(10,F302+IF(AR302&gt;0,MIN(1,AS302/AR302),1))</x:f>
        <x:v>1.1581020364790118</x:v>
      </x:c>
      <x:c r="J303" s="32" t="n">
        <x:f>INDEX(v01_FoodCap,G303)*Arch_FoodCap*EXP(v01_CapsByProject*SUMPRODUCT((Cap_Point&lt;=I303)*(Cap_Kind="Food")*Cap_Ln))</x:f>
        <x:v>30</x:v>
      </x:c>
      <x:c r="K303" s="32" t="n">
        <x:f>J303*MIN(1,v01_LeanBase*EXP(v01_CapsByProject*SUMPRODUCT((Cap_Point&lt;=I303)*(Cap_Kind="Lean")*Cap_Ln)))</x:f>
        <x:v>30</x:v>
      </x:c>
      <x:c r="L303" s="10" t="n">
        <x:f>INDEX(v01_HousingCap,G303)*EXP(v01_CapsByProject*SUMPRODUCT((Cap_Point&lt;=I303)*(Cap_Kind="Housing")*Cap_Ln))</x:f>
        <x:v>60</x:v>
      </x:c>
      <x:c r="M303" s="10" t="n">
        <x:f>INDEX(v01_GroupCap,G303)*v01_CohesionFactor*EXP(v01_CapsByProject*SUMPRODUCT((Cap_Point&lt;=I303)*(Cap_Kind="Group")*Cap_Ln))</x:f>
        <x:v>100</x:v>
      </x:c>
      <x:c r="N303" s="32" t="n">
        <x:f>MIN(J303,L303,M303)</x:f>
        <x:v>30</x:v>
      </x:c>
      <x:c r="O303" s="10" t="n">
        <x:f>AE302*N303</x:f>
        <x:v>30</x:v>
      </x:c>
      <x:c r="P303" s="9" t="n">
        <x:f>MIN(1,(AB302/(AE302*IF(v01_GroupInCrowding=1,N303,MIN(J303,L303))))^v01_CrowdingExp)</x:f>
        <x:v>0.3522157128251423</x:v>
      </x:c>
      <x:c r="Q303" s="9" t="n">
        <x:f>IF(D303=1,INDEX(v01_WinterMult,G303),1)</x:f>
        <x:v>1.6</x:v>
      </x:c>
      <x:c r="R303" s="9" t="n">
        <x:f>H303*Z302*v01_WomenShare*v01_BaseFertility*INDEX(v01_FertMult,G303)*Arch_Fertility*(1-P303)</x:f>
        <x:v>0.2827420906104912</x:v>
      </x:c>
      <x:c r="S303" s="9" t="n">
        <x:f>H303*Y302*INDEX(v01_MortChild,G303)/4*Q303</x:f>
        <x:v>0.14294325491351947</x:v>
      </x:c>
      <x:c r="T303" s="9" t="n">
        <x:f>H303*Z302*INDEX(v01_MortAdult,G303)*Arch_AdultMort/4*Q303</x:f>
        <x:v>0.06052462834860063</x:v>
      </x:c>
      <x:c r="U303" s="9" t="n">
        <x:f>H303*AA302*INDEX(v01_MortElder,G303)/4*Q303</x:f>
        <x:v>0.10756401481198943</x:v>
      </x:c>
      <x:c r="V303" s="9" t="n">
        <x:f>H303*MAX(0,AB302-O303)*v01_OvercapLoss</x:f>
        <x:v>0</x:v>
      </x:c>
      <x:c r="W303" s="9" t="n">
        <x:f>H303*Y302/(v01_ChildYears*4)</x:f>
        <x:v>0.18232558024683604</x:v>
      </x:c>
      <x:c r="X303" s="9" t="n">
        <x:f>H303*Z302/(v01_AdultYears*4)</x:f>
        <x:v>0.09386573875403324</x:v>
      </x:c>
      <x:c r="Y303" s="32" t="n">
        <x:f>Y302+R303-S303-W303-Y302*V303/AB302</x:f>
        <x:v>10.167705749272953</x:v>
      </x:c>
      <x:c r="Z303" s="32" t="n">
        <x:f>Z302+W303-X303-T303-Z302*V303/AB302</x:f>
        <x:v>11.667286818644325</x:v>
      </x:c>
      <x:c r="AA303" s="32" t="n">
        <x:f>AA302+X303-U303-AA302*V303/AB302</x:f>
        <x:v>3.3476771868167132</x:v>
      </x:c>
      <x:c r="AB303" s="10" t="n">
        <x:f>Y303+Z303+AA303</x:f>
        <x:v>25.18266975473399</x:v>
      </x:c>
      <x:c r="AC303" s="8" t="n">
        <x:f>IF(AND(v01_WinterTrigger=1,D303=1,AB302/AE302&gt;=K303),1,0)</x:f>
        <x:v>0</x:v>
      </x:c>
      <x:c r="AD303" s="8" t="n">
        <x:f>H303*IF(AND(OR(AB302/AE302&gt;=v01_FissionTrigger*N303,AC303=1),AB302/AE302*v01_DaughterShare&gt;=v01_MinDaughter),MAX(1,ROUND(AE302*v01_FissionRate,0)),0)</x:f>
        <x:v>0</x:v>
      </x:c>
      <x:c r="AE303" s="8" t="n">
        <x:f>IF(H303=1,MAX(1,MIN(INDEX(v01_Smax,G303),AE302+AD303)),AE302)</x:f>
        <x:v>1</x:v>
      </x:c>
      <x:c r="AF303" s="8" t="n">
        <x:f>MAX(0,AE303-AE302)</x:f>
        <x:v>0</x:v>
      </x:c>
      <x:c r="AG303" s="9" t="str">
        <x:f>IF(AF303&gt;0,B303,"")</x:f>
      </x:c>
      <x:c r="AH303" s="9" t="n">
        <x:f>IF(F303&gt;=1,1,(1+v01_LowTiesShare*(AE303-1))/AE303)</x:f>
        <x:v>1</x:v>
      </x:c>
      <x:c r="AI303" s="32" t="n">
        <x:f>(Z303+v01_ElderCommons*INDEX(LM_Elder,G303)*AA303)*AH303</x:f>
        <x:v>19.867387749901106</x:v>
      </x:c>
      <x:c r="AJ303" s="32" t="n">
        <x:f>H303*v01_CommonsCoef*AI303^v01_CommonsExp*INDEX(LM_Commons,G303)</x:f>
        <x:v>8.37459065738715</x:v>
      </x:c>
      <x:c r="AK303" s="32" t="n">
        <x:f>H303*v01_RoleScale*Arch_Roles*(AE303*(INDEX(v01_ElderRolePerSett,G303)*v01_OutElder*INDEX(LM_Elder,G303)+INDEX(v01_ShamanPerSett,G303)*v01_OutShaman)+Z303*(INDEX(v01_PriestShare,G303)*v01_OutPriest+INDEX(v01_ScribeShare,G303)*v01_OutScribe*INDEX(LM_Scribe,G303)+INDEX(v01_ScholarShare,G303)*v01_OutScholar*INDEX(LM_Scholar,G303)+INDEX(v01_ResearcherShare,G303)*v01_OutResearcher*INDEX(LM_Researcher,G303)))</x:f>
        <x:v>1.3623724356957945</x:v>
      </x:c>
      <x:c r="AL303" s="32" t="n">
        <x:f>H303*v01_RoleScale*Arch_Roles*AE303*INDEX(v01_MonasteryPerSett,G303)*v01_OutMonastery*INDEX(LM_Monastery,G303)</x:f>
        <x:v>0</x:v>
      </x:c>
      <x:c r="AM303" s="32" t="n">
        <x:f>(AJ303+AK303+AL303)/4*INDEX(LM_All,G303)*INDEX(v01_Boon,G303)*Arch_Insight</x:f>
        <x:v>2.4950967926025043</x:v>
      </x:c>
      <x:c r="AN303" s="32" t="n">
        <x:f>H303*(v01_KHPerAdult*Z303+v01_KHOfCommons*AJ303/4*INDEX(LM_All,G303))*v01_KHUsable*Arch_KH</x:f>
        <x:v>0.40835503865255135</x:v>
      </x:c>
      <x:c r="AO303" s="32" t="n">
        <x:f>MIN(AP302+AN303,AM303*v01_KHMaxRatio)</x:f>
        <x:v>0.40835503865255135</x:v>
      </x:c>
      <x:c r="AP303" s="32" t="n">
        <x:f>AP302+AN303-AO303</x:f>
        <x:v>0</x:v>
      </x:c>
      <x:c r="AQ303" s="32" t="n">
        <x:f>AM303+AO303</x:f>
        <x:v>2.9034518312550555</x:v>
      </x:c>
      <x:c r="AR303" s="10" t="n">
        <x:f>IF(H303=1,INDEX(v01_Req,G303),0)</x:f>
        <x:v>1067.32</x:v>
      </x:c>
      <x:c r="AS303" s="32" t="n">
        <x:f>IF(H303=1,IF(E303=1,AS302-AR302,AS302)+AQ303,0)</x:f>
        <x:v>171.6489174060338</x:v>
      </x:c>
      <x:c r="AT303" s="11" t="n">
        <x:f>IF(AR303&gt;0,MIN(1,AS303/AR303),1)</x:f>
        <x:v>0.1608223563748771</x:v>
      </x:c>
      <x:c r="AU303" s="10" t="n">
        <x:f>AB303/INDEX(v01_RepScale,G303)</x:f>
        <x:v>25.18266975473399</x:v>
      </x:c>
      <x:c r="AV303" s="32" t="n">
        <x:f>AM303*60/v01_SeasonSeconds</x:f>
        <x:v>9.980387170410017</x:v>
      </x:c>
    </x:row>
    <x:row r="304">
      <x:c r="A304" s="8" t="n">
        <x:f>A303+1</x:f>
        <x:v>301</x:v>
      </x:c>
      <x:c r="B304" s="9" t="n">
        <x:f>A304*v01_SeasonSeconds/60</x:f>
        <x:v>75.25</x:v>
      </x:c>
      <x:c r="C304" s="9" t="n">
        <x:f>A304/4</x:f>
        <x:v>75.25</x:v>
      </x:c>
      <x:c r="D304" s="8" t="n">
        <x:f>IF(MOD(A304,4)=0,1,0)</x:f>
        <x:v>0</x:v>
      </x:c>
      <x:c r="E304" s="8" t="n">
        <x:f>IF(AND(F303&lt;=9,AS303&gt;=AR303),1,0)</x:f>
        <x:v>0</x:v>
      </x:c>
      <x:c r="F304" s="8" t="n">
        <x:f>MIN(10,F303+E304)</x:f>
        <x:v>1</x:v>
      </x:c>
      <x:c r="G304" s="8" t="n">
        <x:f>MIN(F304,9)+1</x:f>
        <x:v>2</x:v>
      </x:c>
      <x:c r="H304" s="8" t="n">
        <x:f>IF(F304&lt;=9,1,0)</x:f>
        <x:v>1</x:v>
      </x:c>
      <x:c r="I304" s="9" t="n">
        <x:f>MIN(10,F303+IF(AR303&gt;0,MIN(1,AS303/AR303),1))</x:f>
        <x:v>1.1608223563748772</x:v>
      </x:c>
      <x:c r="J304" s="32" t="n">
        <x:f>INDEX(v01_FoodCap,G304)*Arch_FoodCap*EXP(v01_CapsByProject*SUMPRODUCT((Cap_Point&lt;=I304)*(Cap_Kind="Food")*Cap_Ln))</x:f>
        <x:v>30</x:v>
      </x:c>
      <x:c r="K304" s="32" t="n">
        <x:f>J304*MIN(1,v01_LeanBase*EXP(v01_CapsByProject*SUMPRODUCT((Cap_Point&lt;=I304)*(Cap_Kind="Lean")*Cap_Ln)))</x:f>
        <x:v>30</x:v>
      </x:c>
      <x:c r="L304" s="10" t="n">
        <x:f>INDEX(v01_HousingCap,G304)*EXP(v01_CapsByProject*SUMPRODUCT((Cap_Point&lt;=I304)*(Cap_Kind="Housing")*Cap_Ln))</x:f>
        <x:v>60</x:v>
      </x:c>
      <x:c r="M304" s="10" t="n">
        <x:f>INDEX(v01_GroupCap,G304)*v01_CohesionFactor*EXP(v01_CapsByProject*SUMPRODUCT((Cap_Point&lt;=I304)*(Cap_Kind="Group")*Cap_Ln))</x:f>
        <x:v>100</x:v>
      </x:c>
      <x:c r="N304" s="32" t="n">
        <x:f>MIN(J304,L304,M304)</x:f>
        <x:v>30</x:v>
      </x:c>
      <x:c r="O304" s="10" t="n">
        <x:f>AE303*N304</x:f>
        <x:v>30</x:v>
      </x:c>
      <x:c r="P304" s="9" t="n">
        <x:f>MIN(1,(AB303/(AE303*IF(v01_GroupInCrowding=1,N304,MIN(J304,L304))))^v01_CrowdingExp)</x:f>
        <x:v>0.3498509783815214</x:v>
      </x:c>
      <x:c r="Q304" s="9" t="n">
        <x:f>IF(D304=1,INDEX(v01_WinterMult,G304),1)</x:f>
        <x:v>1</x:v>
      </x:c>
      <x:c r="R304" s="9" t="n">
        <x:f>H304*Z303*v01_WomenShare*v01_BaseFertility*INDEX(v01_FertMult,G304)*Arch_Fertility*(1-P304)</x:f>
        <x:v>0.2844553166281417</x:v>
      </x:c>
      <x:c r="S304" s="9" t="n">
        <x:f>H304*Y303*INDEX(v01_MortChild,G304)/4*Q304</x:f>
        <x:v>0.08896742530613834</x:v>
      </x:c>
      <x:c r="T304" s="9" t="n">
        <x:f>H304*Z303*INDEX(v01_MortAdult,G304)*Arch_AdultMort/4*Q304</x:f>
        <x:v>0.037918682160594054</x:v>
      </x:c>
      <x:c r="U304" s="9" t="n">
        <x:f>H304*AA303*INDEX(v01_MortElder,G304)/4*Q304</x:f>
        <x:v>0.06695354373633426</x:v>
      </x:c>
      <x:c r="V304" s="9" t="n">
        <x:f>H304*MAX(0,AB303-O304)*v01_OvercapLoss</x:f>
        <x:v>0</x:v>
      </x:c>
      <x:c r="W304" s="9" t="n">
        <x:f>H304*Y303/(v01_ChildYears*4)</x:f>
        <x:v>0.18156617409415987</x:v>
      </x:c>
      <x:c r="X304" s="9" t="n">
        <x:f>H304*Z303/(v01_AdultYears*4)</x:f>
        <x:v>0.09409102273100262</x:v>
      </x:c>
      <x:c r="Y304" s="32" t="n">
        <x:f>Y303+R304-S304-W304-Y303*V304/AB303</x:f>
        <x:v>10.181627466500796</x:v>
      </x:c>
      <x:c r="Z304" s="32" t="n">
        <x:f>Z303+W304-X304-T304-Z303*V304/AB303</x:f>
        <x:v>11.716843287846887</x:v>
      </x:c>
      <x:c r="AA304" s="32" t="n">
        <x:f>AA303+X304-U304-AA303*V304/AB303</x:f>
        <x:v>3.3748146658113813</x:v>
      </x:c>
      <x:c r="AB304" s="10" t="n">
        <x:f>Y304+Z304+AA304</x:f>
        <x:v>25.273285420159066</x:v>
      </x:c>
      <x:c r="AC304" s="8" t="n">
        <x:f>IF(AND(v01_WinterTrigger=1,D304=1,AB303/AE303&gt;=K304),1,0)</x:f>
        <x:v>0</x:v>
      </x:c>
      <x:c r="AD304" s="8" t="n">
        <x:f>H304*IF(AND(OR(AB303/AE303&gt;=v01_FissionTrigger*N304,AC304=1),AB303/AE303*v01_DaughterShare&gt;=v01_MinDaughter),MAX(1,ROUND(AE303*v01_FissionRate,0)),0)</x:f>
        <x:v>0</x:v>
      </x:c>
      <x:c r="AE304" s="8" t="n">
        <x:f>IF(H304=1,MAX(1,MIN(INDEX(v01_Smax,G304),AE303+AD304)),AE303)</x:f>
        <x:v>1</x:v>
      </x:c>
      <x:c r="AF304" s="8" t="n">
        <x:f>MAX(0,AE304-AE303)</x:f>
        <x:v>0</x:v>
      </x:c>
      <x:c r="AG304" s="9" t="str">
        <x:f>IF(AF304&gt;0,B304,"")</x:f>
      </x:c>
      <x:c r="AH304" s="9" t="n">
        <x:f>IF(F304&gt;=1,1,(1+v01_LowTiesShare*(AE304-1))/AE304)</x:f>
        <x:v>1</x:v>
      </x:c>
      <x:c r="AI304" s="32" t="n">
        <x:f>(Z304+v01_ElderCommons*INDEX(LM_Elder,G304)*AA304)*AH304</x:f>
        <x:v>19.983417195546103</x:v>
      </x:c>
      <x:c r="AJ304" s="32" t="n">
        <x:f>H304*v01_CommonsCoef*AI304^v01_CommonsExp*INDEX(LM_Commons,G304)</x:f>
        <x:v>8.416145354300381</x:v>
      </x:c>
      <x:c r="AK304" s="32" t="n">
        <x:f>H304*v01_RoleScale*Arch_Roles*(AE304*(INDEX(v01_ElderRolePerSett,G304)*v01_OutElder*INDEX(LM_Elder,G304)+INDEX(v01_ShamanPerSett,G304)*v01_OutShaman)+Z304*(INDEX(v01_PriestShare,G304)*v01_OutPriest+INDEX(v01_ScribeShare,G304)*v01_OutScribe*INDEX(LM_Scribe,G304)+INDEX(v01_ScholarShare,G304)*v01_OutScholar*INDEX(LM_Scholar,G304)+INDEX(v01_ResearcherShare,G304)*v01_OutResearcher*INDEX(LM_Researcher,G304)))</x:f>
        <x:v>1.3623724356957945</x:v>
      </x:c>
      <x:c r="AL304" s="32" t="n">
        <x:f>H304*v01_RoleScale*Arch_Roles*AE304*INDEX(v01_MonasteryPerSett,G304)*v01_OutMonastery*INDEX(LM_Monastery,G304)</x:f>
        <x:v>0</x:v>
      </x:c>
      <x:c r="AM304" s="32" t="n">
        <x:f>(AJ304+AK304+AL304)/4*INDEX(LM_All,G304)*INDEX(v01_Boon,G304)*Arch_Insight</x:f>
        <x:v>2.50574518368652</x:v>
      </x:c>
      <x:c r="AN304" s="32" t="n">
        <x:f>H304*(v01_KHPerAdult*Z304+v01_KHOfCommons*AJ304/4*INDEX(LM_All,G304))*v01_KHUsable*Arch_KH</x:f>
        <x:v>0.41008951507464103</x:v>
      </x:c>
      <x:c r="AO304" s="32" t="n">
        <x:f>MIN(AP303+AN304,AM304*v01_KHMaxRatio)</x:f>
        <x:v>0.41008951507464103</x:v>
      </x:c>
      <x:c r="AP304" s="32" t="n">
        <x:f>AP303+AN304-AO304</x:f>
        <x:v>0</x:v>
      </x:c>
      <x:c r="AQ304" s="32" t="n">
        <x:f>AM304+AO304</x:f>
        <x:v>2.9158346987611607</x:v>
      </x:c>
      <x:c r="AR304" s="10" t="n">
        <x:f>IF(H304=1,INDEX(v01_Req,G304),0)</x:f>
        <x:v>1067.32</x:v>
      </x:c>
      <x:c r="AS304" s="32" t="n">
        <x:f>IF(H304=1,IF(E304=1,AS303-AR303,AS303)+AQ304,0)</x:f>
        <x:v>174.56475210479496</x:v>
      </x:c>
      <x:c r="AT304" s="11" t="n">
        <x:f>IF(AR304&gt;0,MIN(1,AS304/AR304),1)</x:f>
        <x:v>0.16355427810290726</x:v>
      </x:c>
      <x:c r="AU304" s="10" t="n">
        <x:f>AB304/INDEX(v01_RepScale,G304)</x:f>
        <x:v>25.273285420159066</x:v>
      </x:c>
      <x:c r="AV304" s="32" t="n">
        <x:f>AM304*60/v01_SeasonSeconds</x:f>
        <x:v>10.02298073474608</x:v>
      </x:c>
    </x:row>
    <x:row r="305">
      <x:c r="A305" s="8" t="n">
        <x:f>A304+1</x:f>
        <x:v>302</x:v>
      </x:c>
      <x:c r="B305" s="9" t="n">
        <x:f>A305*v01_SeasonSeconds/60</x:f>
        <x:v>75.5</x:v>
      </x:c>
      <x:c r="C305" s="9" t="n">
        <x:f>A305/4</x:f>
        <x:v>75.5</x:v>
      </x:c>
      <x:c r="D305" s="8" t="n">
        <x:f>IF(MOD(A305,4)=0,1,0)</x:f>
        <x:v>0</x:v>
      </x:c>
      <x:c r="E305" s="8" t="n">
        <x:f>IF(AND(F304&lt;=9,AS304&gt;=AR304),1,0)</x:f>
        <x:v>0</x:v>
      </x:c>
      <x:c r="F305" s="8" t="n">
        <x:f>MIN(10,F304+E305)</x:f>
        <x:v>1</x:v>
      </x:c>
      <x:c r="G305" s="8" t="n">
        <x:f>MIN(F305,9)+1</x:f>
        <x:v>2</x:v>
      </x:c>
      <x:c r="H305" s="8" t="n">
        <x:f>IF(F305&lt;=9,1,0)</x:f>
        <x:v>1</x:v>
      </x:c>
      <x:c r="I305" s="9" t="n">
        <x:f>MIN(10,F304+IF(AR304&gt;0,MIN(1,AS304/AR304),1))</x:f>
        <x:v>1.1635542781029073</x:v>
      </x:c>
      <x:c r="J305" s="32" t="n">
        <x:f>INDEX(v01_FoodCap,G305)*Arch_FoodCap*EXP(v01_CapsByProject*SUMPRODUCT((Cap_Point&lt;=I305)*(Cap_Kind="Food")*Cap_Ln))</x:f>
        <x:v>30</x:v>
      </x:c>
      <x:c r="K305" s="32" t="n">
        <x:f>J305*MIN(1,v01_LeanBase*EXP(v01_CapsByProject*SUMPRODUCT((Cap_Point&lt;=I305)*(Cap_Kind="Lean")*Cap_Ln)))</x:f>
        <x:v>30</x:v>
      </x:c>
      <x:c r="L305" s="10" t="n">
        <x:f>INDEX(v01_HousingCap,G305)*EXP(v01_CapsByProject*SUMPRODUCT((Cap_Point&lt;=I305)*(Cap_Kind="Housing")*Cap_Ln))</x:f>
        <x:v>60</x:v>
      </x:c>
      <x:c r="M305" s="10" t="n">
        <x:f>INDEX(v01_GroupCap,G305)*v01_CohesionFactor*EXP(v01_CapsByProject*SUMPRODUCT((Cap_Point&lt;=I305)*(Cap_Kind="Group")*Cap_Ln))</x:f>
        <x:v>100</x:v>
      </x:c>
      <x:c r="N305" s="32" t="n">
        <x:f>MIN(J305,L305,M305)</x:f>
        <x:v>30</x:v>
      </x:c>
      <x:c r="O305" s="10" t="n">
        <x:f>AE304*N305</x:f>
        <x:v>30</x:v>
      </x:c>
      <x:c r="P305" s="9" t="n">
        <x:f>MIN(1,(AB304/(AE304*IF(v01_GroupInCrowding=1,N305,MIN(J305,L305))))^v01_CrowdingExp)</x:f>
        <x:v>0.357472538114834</x:v>
      </x:c>
      <x:c r="Q305" s="9" t="n">
        <x:f>IF(D305=1,INDEX(v01_WinterMult,G305),1)</x:f>
        <x:v>1</x:v>
      </x:c>
      <x:c r="R305" s="9" t="n">
        <x:f>H305*Z304*v01_WomenShare*v01_BaseFertility*INDEX(v01_FertMult,G305)*Arch_Fertility*(1-P305)</x:f>
        <x:v>0.28231475921424387</x:v>
      </x:c>
      <x:c r="S305" s="9" t="n">
        <x:f>H305*Y304*INDEX(v01_MortChild,G305)/4*Q305</x:f>
        <x:v>0.08908924033188197</x:v>
      </x:c>
      <x:c r="T305" s="9" t="n">
        <x:f>H305*Z304*INDEX(v01_MortAdult,G305)*Arch_AdultMort/4*Q305</x:f>
        <x:v>0.03807974068550238</x:v>
      </x:c>
      <x:c r="U305" s="9" t="n">
        <x:f>H305*AA304*INDEX(v01_MortElder,G305)/4*Q305</x:f>
        <x:v>0.06749629331622763</x:v>
      </x:c>
      <x:c r="V305" s="9" t="n">
        <x:f>H305*MAX(0,AB304-O305)*v01_OvercapLoss</x:f>
        <x:v>0</x:v>
      </x:c>
      <x:c r="W305" s="9" t="n">
        <x:f>H305*Y304/(v01_ChildYears*4)</x:f>
        <x:v>0.1818147761875142</x:v>
      </x:c>
      <x:c r="X305" s="9" t="n">
        <x:f>H305*Z304/(v01_AdultYears*4)</x:f>
        <x:v>0.09449067167618456</x:v>
      </x:c>
      <x:c r="Y305" s="32" t="n">
        <x:f>Y304+R305-S305-W305-Y304*V305/AB304</x:f>
        <x:v>10.193038209195645</x:v>
      </x:c>
      <x:c r="Z305" s="32" t="n">
        <x:f>Z304+W305-X305-T305-Z304*V305/AB304</x:f>
        <x:v>11.766087651672713</x:v>
      </x:c>
      <x:c r="AA305" s="32" t="n">
        <x:f>AA304+X305-U305-AA304*V305/AB304</x:f>
        <x:v>3.4018090441713382</x:v>
      </x:c>
      <x:c r="AB305" s="10" t="n">
        <x:f>Y305+Z305+AA305</x:f>
        <x:v>25.360934905039695</x:v>
      </x:c>
      <x:c r="AC305" s="8" t="n">
        <x:f>IF(AND(v01_WinterTrigger=1,D305=1,AB304/AE304&gt;=K305),1,0)</x:f>
        <x:v>0</x:v>
      </x:c>
      <x:c r="AD305" s="8" t="n">
        <x:f>H305*IF(AND(OR(AB304/AE304&gt;=v01_FissionTrigger*N305,AC305=1),AB304/AE304*v01_DaughterShare&gt;=v01_MinDaughter),MAX(1,ROUND(AE304*v01_FissionRate,0)),0)</x:f>
        <x:v>0</x:v>
      </x:c>
      <x:c r="AE305" s="8" t="n">
        <x:f>IF(H305=1,MAX(1,MIN(INDEX(v01_Smax,G305),AE304+AD305)),AE304)</x:f>
        <x:v>1</x:v>
      </x:c>
      <x:c r="AF305" s="8" t="n">
        <x:f>MAX(0,AE305-AE304)</x:f>
        <x:v>0</x:v>
      </x:c>
      <x:c r="AG305" s="9" t="str">
        <x:f>IF(AF305&gt;0,B305,"")</x:f>
      </x:c>
      <x:c r="AH305" s="9" t="n">
        <x:f>IF(F305&gt;=1,1,(1+v01_LowTiesShare*(AE305-1))/AE305)</x:f>
        <x:v>1</x:v>
      </x:c>
      <x:c r="AI305" s="32" t="n">
        <x:f>(Z305+v01_ElderCommons*INDEX(LM_Elder,G305)*AA305)*AH305</x:f>
        <x:v>20.098784012277452</x:v>
      </x:c>
      <x:c r="AJ305" s="32" t="n">
        <x:f>H305*v01_CommonsCoef*AI305^v01_CommonsExp*INDEX(LM_Commons,G305)</x:f>
        <x:v>8.45742687041956</x:v>
      </x:c>
      <x:c r="AK305" s="32" t="n">
        <x:f>H305*v01_RoleScale*Arch_Roles*(AE305*(INDEX(v01_ElderRolePerSett,G305)*v01_OutElder*INDEX(LM_Elder,G305)+INDEX(v01_ShamanPerSett,G305)*v01_OutShaman)+Z305*(INDEX(v01_PriestShare,G305)*v01_OutPriest+INDEX(v01_ScribeShare,G305)*v01_OutScribe*INDEX(LM_Scribe,G305)+INDEX(v01_ScholarShare,G305)*v01_OutScholar*INDEX(LM_Scholar,G305)+INDEX(v01_ResearcherShare,G305)*v01_OutResearcher*INDEX(LM_Researcher,G305)))</x:f>
        <x:v>1.3623724356957945</x:v>
      </x:c>
      <x:c r="AL305" s="32" t="n">
        <x:f>H305*v01_RoleScale*Arch_Roles*AE305*INDEX(v01_MonasteryPerSett,G305)*v01_OutMonastery*INDEX(LM_Monastery,G305)</x:f>
        <x:v>0</x:v>
      </x:c>
      <x:c r="AM305" s="32" t="n">
        <x:f>(AJ305+AK305+AL305)/4*INDEX(LM_All,G305)*INDEX(v01_Boon,G305)*Arch_Insight</x:f>
        <x:v>2.5163235721920594</x:v>
      </x:c>
      <x:c r="AN305" s="32" t="n">
        <x:f>H305*(v01_KHPerAdult*Z305+v01_KHOfCommons*AJ305/4*INDEX(LM_All,G305))*v01_KHUsable*Arch_KH</x:f>
        <x:v>0.411813067808545</x:v>
      </x:c>
      <x:c r="AO305" s="32" t="n">
        <x:f>MIN(AP304+AN305,AM305*v01_KHMaxRatio)</x:f>
        <x:v>0.411813067808545</x:v>
      </x:c>
      <x:c r="AP305" s="32" t="n">
        <x:f>AP304+AN305-AO305</x:f>
        <x:v>0</x:v>
      </x:c>
      <x:c r="AQ305" s="32" t="n">
        <x:f>AM305+AO305</x:f>
        <x:v>2.9281366400006044</x:v>
      </x:c>
      <x:c r="AR305" s="10" t="n">
        <x:f>IF(H305=1,INDEX(v01_Req,G305),0)</x:f>
        <x:v>1067.32</x:v>
      </x:c>
      <x:c r="AS305" s="32" t="n">
        <x:f>IF(H305=1,IF(E305=1,AS304-AR304,AS304)+AQ305,0)</x:f>
        <x:v>177.49288874479558</x:v>
      </x:c>
      <x:c r="AT305" s="11" t="n">
        <x:f>IF(AR305&gt;0,MIN(1,AS305/AR305),1)</x:f>
        <x:v>0.16629772584116814</x:v>
      </x:c>
      <x:c r="AU305" s="10" t="n">
        <x:f>AB305/INDEX(v01_RepScale,G305)</x:f>
        <x:v>25.360934905039695</x:v>
      </x:c>
      <x:c r="AV305" s="32" t="n">
        <x:f>AM305*60/v01_SeasonSeconds</x:f>
        <x:v>10.065294288768238</x:v>
      </x:c>
    </x:row>
    <x:row r="306">
      <x:c r="A306" s="8" t="n">
        <x:f>A305+1</x:f>
        <x:v>303</x:v>
      </x:c>
      <x:c r="B306" s="9" t="n">
        <x:f>A306*v01_SeasonSeconds/60</x:f>
        <x:v>75.75</x:v>
      </x:c>
      <x:c r="C306" s="9" t="n">
        <x:f>A306/4</x:f>
        <x:v>75.75</x:v>
      </x:c>
      <x:c r="D306" s="8" t="n">
        <x:f>IF(MOD(A306,4)=0,1,0)</x:f>
        <x:v>0</x:v>
      </x:c>
      <x:c r="E306" s="8" t="n">
        <x:f>IF(AND(F305&lt;=9,AS305&gt;=AR305),1,0)</x:f>
        <x:v>0</x:v>
      </x:c>
      <x:c r="F306" s="8" t="n">
        <x:f>MIN(10,F305+E306)</x:f>
        <x:v>1</x:v>
      </x:c>
      <x:c r="G306" s="8" t="n">
        <x:f>MIN(F306,9)+1</x:f>
        <x:v>2</x:v>
      </x:c>
      <x:c r="H306" s="8" t="n">
        <x:f>IF(F306&lt;=9,1,0)</x:f>
        <x:v>1</x:v>
      </x:c>
      <x:c r="I306" s="9" t="n">
        <x:f>MIN(10,F305+IF(AR305&gt;0,MIN(1,AS305/AR305),1))</x:f>
        <x:v>1.1662977258411682</x:v>
      </x:c>
      <x:c r="J306" s="32" t="n">
        <x:f>INDEX(v01_FoodCap,G306)*Arch_FoodCap*EXP(v01_CapsByProject*SUMPRODUCT((Cap_Point&lt;=I306)*(Cap_Kind="Food")*Cap_Ln))</x:f>
        <x:v>30</x:v>
      </x:c>
      <x:c r="K306" s="32" t="n">
        <x:f>J306*MIN(1,v01_LeanBase*EXP(v01_CapsByProject*SUMPRODUCT((Cap_Point&lt;=I306)*(Cap_Kind="Lean")*Cap_Ln)))</x:f>
        <x:v>30</x:v>
      </x:c>
      <x:c r="L306" s="10" t="n">
        <x:f>INDEX(v01_HousingCap,G306)*EXP(v01_CapsByProject*SUMPRODUCT((Cap_Point&lt;=I306)*(Cap_Kind="Housing")*Cap_Ln))</x:f>
        <x:v>60</x:v>
      </x:c>
      <x:c r="M306" s="10" t="n">
        <x:f>INDEX(v01_GroupCap,G306)*v01_CohesionFactor*EXP(v01_CapsByProject*SUMPRODUCT((Cap_Point&lt;=I306)*(Cap_Kind="Group")*Cap_Ln))</x:f>
        <x:v>100</x:v>
      </x:c>
      <x:c r="N306" s="32" t="n">
        <x:f>MIN(J306,L306,M306)</x:f>
        <x:v>30</x:v>
      </x:c>
      <x:c r="O306" s="10" t="n">
        <x:f>AE305*N306</x:f>
        <x:v>30</x:v>
      </x:c>
      <x:c r="P306" s="9" t="n">
        <x:f>MIN(1,(AB305/(AE305*IF(v01_GroupInCrowding=1,N306,MIN(J306,L306))))^v01_CrowdingExp)</x:f>
        <x:v>0.3649757650994801</x:v>
      </x:c>
      <x:c r="Q306" s="9" t="n">
        <x:f>IF(D306=1,INDEX(v01_WinterMult,G306),1)</x:f>
        <x:v>1</x:v>
      </x:c>
      <x:c r="R306" s="9" t="n">
        <x:f>H306*Z305*v01_WomenShare*v01_BaseFertility*INDEX(v01_FertMult,G306)*Arch_Fertility*(1-P306)</x:f>
        <x:v>0.28019065532909704</x:v>
      </x:c>
      <x:c r="S306" s="9" t="n">
        <x:f>H306*Y305*INDEX(v01_MortChild,G306)/4*Q306</x:f>
        <x:v>0.08918908433046191</x:v>
      </x:c>
      <x:c r="T306" s="9" t="n">
        <x:f>H306*Z305*INDEX(v01_MortAdult,G306)*Arch_AdultMort/4*Q306</x:f>
        <x:v>0.03823978486793631</x:v>
      </x:c>
      <x:c r="U306" s="9" t="n">
        <x:f>H306*AA305*INDEX(v01_MortElder,G306)/4*Q306</x:f>
        <x:v>0.06803618088342676</x:v>
      </x:c>
      <x:c r="V306" s="9" t="n">
        <x:f>H306*MAX(0,AB305-O306)*v01_OvercapLoss</x:f>
        <x:v>0</x:v>
      </x:c>
      <x:c r="W306" s="9" t="n">
        <x:f>H306*Y305/(v01_ChildYears*4)</x:f>
        <x:v>0.18201853944992225</x:v>
      </x:c>
      <x:c r="X306" s="9" t="n">
        <x:f>H306*Z305/(v01_AdultYears*4)</x:f>
        <x:v>0.09488780364252188</x:v>
      </x:c>
      <x:c r="Y306" s="32" t="n">
        <x:f>Y305+R306-S306-W306-Y305*V306/AB305</x:f>
        <x:v>10.202021240744358</x:v>
      </x:c>
      <x:c r="Z306" s="32" t="n">
        <x:f>Z305+W306-X306-T306-Z305*V306/AB305</x:f>
        <x:v>11.814978602612177</x:v>
      </x:c>
      <x:c r="AA306" s="32" t="n">
        <x:f>AA305+X306-U306-AA305*V306/AB305</x:f>
        <x:v>3.4286606669304334</x:v>
      </x:c>
      <x:c r="AB306" s="10" t="n">
        <x:f>Y306+Z306+AA306</x:f>
        <x:v>25.44566051028697</x:v>
      </x:c>
      <x:c r="AC306" s="8" t="n">
        <x:f>IF(AND(v01_WinterTrigger=1,D306=1,AB305/AE305&gt;=K306),1,0)</x:f>
        <x:v>0</x:v>
      </x:c>
      <x:c r="AD306" s="8" t="n">
        <x:f>H306*IF(AND(OR(AB305/AE305&gt;=v01_FissionTrigger*N306,AC306=1),AB305/AE305*v01_DaughterShare&gt;=v01_MinDaughter),MAX(1,ROUND(AE305*v01_FissionRate,0)),0)</x:f>
        <x:v>0</x:v>
      </x:c>
      <x:c r="AE306" s="8" t="n">
        <x:f>IF(H306=1,MAX(1,MIN(INDEX(v01_Smax,G306),AE305+AD306)),AE305)</x:f>
        <x:v>1</x:v>
      </x:c>
      <x:c r="AF306" s="8" t="n">
        <x:f>MAX(0,AE306-AE305)</x:f>
        <x:v>0</x:v>
      </x:c>
      <x:c r="AG306" s="9" t="str">
        <x:f>IF(AF306&gt;0,B306,"")</x:f>
      </x:c>
      <x:c r="AH306" s="9" t="n">
        <x:f>IF(F306&gt;=1,1,(1+v01_LowTiesShare*(AE306-1))/AE306)</x:f>
        <x:v>1</x:v>
      </x:c>
      <x:c r="AI306" s="32" t="n">
        <x:f>(Z306+v01_ElderCommons*INDEX(LM_Elder,G306)*AA306)*AH306</x:f>
        <x:v>20.213447737742403</x:v>
      </x:c>
      <x:c r="AJ306" s="32" t="n">
        <x:f>H306*v01_CommonsCoef*AI306^v01_CommonsExp*INDEX(LM_Commons,G306)</x:f>
        <x:v>8.498421595979503</x:v>
      </x:c>
      <x:c r="AK306" s="32" t="n">
        <x:f>H306*v01_RoleScale*Arch_Roles*(AE306*(INDEX(v01_ElderRolePerSett,G306)*v01_OutElder*INDEX(LM_Elder,G306)+INDEX(v01_ShamanPerSett,G306)*v01_OutShaman)+Z306*(INDEX(v01_PriestShare,G306)*v01_OutPriest+INDEX(v01_ScribeShare,G306)*v01_OutScribe*INDEX(LM_Scribe,G306)+INDEX(v01_ScholarShare,G306)*v01_OutScholar*INDEX(LM_Scholar,G306)+INDEX(v01_ResearcherShare,G306)*v01_OutResearcher*INDEX(LM_Researcher,G306)))</x:f>
        <x:v>1.3623724356957945</x:v>
      </x:c>
      <x:c r="AL306" s="32" t="n">
        <x:f>H306*v01_RoleScale*Arch_Roles*AE306*INDEX(v01_MonasteryPerSett,G306)*v01_OutMonastery*INDEX(LM_Monastery,G306)</x:f>
        <x:v>0</x:v>
      </x:c>
      <x:c r="AM306" s="32" t="n">
        <x:f>(AJ306+AK306+AL306)/4*INDEX(LM_All,G306)*INDEX(v01_Boon,G306)*Arch_Insight</x:f>
        <x:v>2.526828470616795</x:v>
      </x:c>
      <x:c r="AN306" s="32" t="n">
        <x:f>H306*(v01_KHPerAdult*Z306+v01_KHOfCommons*AJ306/4*INDEX(LM_All,G306))*v01_KHUsable*Arch_KH</x:f>
        <x:v>0.4135242510914262</x:v>
      </x:c>
      <x:c r="AO306" s="32" t="n">
        <x:f>MIN(AP305+AN306,AM306*v01_KHMaxRatio)</x:f>
        <x:v>0.4135242510914262</x:v>
      </x:c>
      <x:c r="AP306" s="32" t="n">
        <x:f>AP305+AN306-AO306</x:f>
        <x:v>0</x:v>
      </x:c>
      <x:c r="AQ306" s="32" t="n">
        <x:f>AM306+AO306</x:f>
        <x:v>2.940352721708221</x:v>
      </x:c>
      <x:c r="AR306" s="10" t="n">
        <x:f>IF(H306=1,INDEX(v01_Req,G306),0)</x:f>
        <x:v>1067.32</x:v>
      </x:c>
      <x:c r="AS306" s="32" t="n">
        <x:f>IF(H306=1,IF(E306=1,AS305-AR305,AS305)+AQ306,0)</x:f>
        <x:v>180.4332414665038</x:v>
      </x:c>
      <x:c r="AT306" s="11" t="n">
        <x:f>IF(AR306&gt;0,MIN(1,AS306/AR306),1)</x:f>
        <x:v>0.16905261914562064</x:v>
      </x:c>
      <x:c r="AU306" s="10" t="n">
        <x:f>AB306/INDEX(v01_RepScale,G306)</x:f>
        <x:v>25.44566051028697</x:v>
      </x:c>
      <x:c r="AV306" s="32" t="n">
        <x:f>AM306*60/v01_SeasonSeconds</x:f>
        <x:v>10.10731388246718</x:v>
      </x:c>
    </x:row>
    <x:row r="307">
      <x:c r="A307" s="8" t="n">
        <x:f>A306+1</x:f>
        <x:v>304</x:v>
      </x:c>
      <x:c r="B307" s="9" t="n">
        <x:f>A307*v01_SeasonSeconds/60</x:f>
        <x:v>76</x:v>
      </x:c>
      <x:c r="C307" s="9" t="n">
        <x:f>A307/4</x:f>
        <x:v>76</x:v>
      </x:c>
      <x:c r="D307" s="8" t="n">
        <x:f>IF(MOD(A307,4)=0,1,0)</x:f>
        <x:v>1</x:v>
      </x:c>
      <x:c r="E307" s="8" t="n">
        <x:f>IF(AND(F306&lt;=9,AS306&gt;=AR306),1,0)</x:f>
        <x:v>0</x:v>
      </x:c>
      <x:c r="F307" s="8" t="n">
        <x:f>MIN(10,F306+E307)</x:f>
        <x:v>1</x:v>
      </x:c>
      <x:c r="G307" s="8" t="n">
        <x:f>MIN(F307,9)+1</x:f>
        <x:v>2</x:v>
      </x:c>
      <x:c r="H307" s="8" t="n">
        <x:f>IF(F307&lt;=9,1,0)</x:f>
        <x:v>1</x:v>
      </x:c>
      <x:c r="I307" s="9" t="n">
        <x:f>MIN(10,F306+IF(AR306&gt;0,MIN(1,AS306/AR306),1))</x:f>
        <x:v>1.1690526191456208</x:v>
      </x:c>
      <x:c r="J307" s="32" t="n">
        <x:f>INDEX(v01_FoodCap,G307)*Arch_FoodCap*EXP(v01_CapsByProject*SUMPRODUCT((Cap_Point&lt;=I307)*(Cap_Kind="Food")*Cap_Ln))</x:f>
        <x:v>30</x:v>
      </x:c>
      <x:c r="K307" s="32" t="n">
        <x:f>J307*MIN(1,v01_LeanBase*EXP(v01_CapsByProject*SUMPRODUCT((Cap_Point&lt;=I307)*(Cap_Kind="Lean")*Cap_Ln)))</x:f>
        <x:v>30</x:v>
      </x:c>
      <x:c r="L307" s="10" t="n">
        <x:f>INDEX(v01_HousingCap,G307)*EXP(v01_CapsByProject*SUMPRODUCT((Cap_Point&lt;=I307)*(Cap_Kind="Housing")*Cap_Ln))</x:f>
        <x:v>60</x:v>
      </x:c>
      <x:c r="M307" s="10" t="n">
        <x:f>INDEX(v01_GroupCap,G307)*v01_CohesionFactor*EXP(v01_CapsByProject*SUMPRODUCT((Cap_Point&lt;=I307)*(Cap_Kind="Group")*Cap_Ln))</x:f>
        <x:v>100</x:v>
      </x:c>
      <x:c r="N307" s="32" t="n">
        <x:f>MIN(J307,L307,M307)</x:f>
        <x:v>30</x:v>
      </x:c>
      <x:c r="O307" s="10" t="n">
        <x:f>AE306*N307</x:f>
        <x:v>30</x:v>
      </x:c>
      <x:c r="P307" s="9" t="n">
        <x:f>MIN(1,(AB306/(AE306*IF(v01_GroupInCrowding=1,N307,MIN(J307,L307))))^v01_CrowdingExp)</x:f>
        <x:v>0.3723529881924725</x:v>
      </x:c>
      <x:c r="Q307" s="9" t="n">
        <x:f>IF(D307=1,INDEX(v01_WinterMult,G307),1)</x:f>
        <x:v>1.6</x:v>
      </x:c>
      <x:c r="R307" s="9" t="n">
        <x:f>H307*Z306*v01_WomenShare*v01_BaseFertility*INDEX(v01_FertMult,G307)*Arch_Fertility*(1-P307)</x:f>
        <x:v>0.2780863505437279</x:v>
      </x:c>
      <x:c r="S307" s="9" t="n">
        <x:f>H307*Y306*INDEX(v01_MortChild,G307)/4*Q307</x:f>
        <x:v>0.14282829737042102</x:v>
      </x:c>
      <x:c r="T307" s="9" t="n">
        <x:f>H307*Z306*INDEX(v01_MortAdult,G307)*Arch_AdultMort/4*Q307</x:f>
        <x:v>0.061437888733583315</x:v>
      </x:c>
      <x:c r="U307" s="9" t="n">
        <x:f>H307*AA306*INDEX(v01_MortElder,G307)/4*Q307</x:f>
        <x:v>0.10971714134177386</x:v>
      </x:c>
      <x:c r="V307" s="9" t="n">
        <x:f>H307*MAX(0,AB306-O307)*v01_OvercapLoss</x:f>
        <x:v>0</x:v>
      </x:c>
      <x:c r="W307" s="9" t="n">
        <x:f>H307*Y306/(v01_ChildYears*4)</x:f>
        <x:v>0.1821789507275778</x:v>
      </x:c>
      <x:c r="X307" s="9" t="n">
        <x:f>H307*Z306/(v01_AdultYears*4)</x:f>
        <x:v>0.09528208550493691</x:v>
      </x:c>
      <x:c r="Y307" s="32" t="n">
        <x:f>Y306+R307-S307-W307-Y306*V307/AB306</x:f>
        <x:v>10.155100343190087</x:v>
      </x:c>
      <x:c r="Z307" s="32" t="n">
        <x:f>Z306+W307-X307-T307-Z306*V307/AB306</x:f>
        <x:v>11.840437579101234</x:v>
      </x:c>
      <x:c r="AA307" s="32" t="n">
        <x:f>AA306+X307-U307-AA306*V307/AB306</x:f>
        <x:v>3.4142256110935967</x:v>
      </x:c>
      <x:c r="AB307" s="10" t="n">
        <x:f>Y307+Z307+AA307</x:f>
        <x:v>25.409763533384915</x:v>
      </x:c>
      <x:c r="AC307" s="8" t="n">
        <x:f>IF(AND(v01_WinterTrigger=1,D307=1,AB306/AE306&gt;=K307),1,0)</x:f>
        <x:v>0</x:v>
      </x:c>
      <x:c r="AD307" s="8" t="n">
        <x:f>H307*IF(AND(OR(AB306/AE306&gt;=v01_FissionTrigger*N307,AC307=1),AB306/AE306*v01_DaughterShare&gt;=v01_MinDaughter),MAX(1,ROUND(AE306*v01_FissionRate,0)),0)</x:f>
        <x:v>0</x:v>
      </x:c>
      <x:c r="AE307" s="8" t="n">
        <x:f>IF(H307=1,MAX(1,MIN(INDEX(v01_Smax,G307),AE306+AD307)),AE306)</x:f>
        <x:v>1</x:v>
      </x:c>
      <x:c r="AF307" s="8" t="n">
        <x:f>MAX(0,AE307-AE306)</x:f>
        <x:v>0</x:v>
      </x:c>
      <x:c r="AG307" s="9" t="str">
        <x:f>IF(AF307&gt;0,B307,"")</x:f>
      </x:c>
      <x:c r="AH307" s="9" t="n">
        <x:f>IF(F307&gt;=1,1,(1+v01_LowTiesShare*(AE307-1))/AE307)</x:f>
        <x:v>1</x:v>
      </x:c>
      <x:c r="AI307" s="32" t="n">
        <x:f>(Z307+v01_ElderCommons*INDEX(LM_Elder,G307)*AA307)*AH307</x:f>
        <x:v>20.203548193022627</x:v>
      </x:c>
      <x:c r="AJ307" s="32" t="n">
        <x:f>H307*v01_CommonsCoef*AI307^v01_CommonsExp*INDEX(LM_Commons,G307)</x:f>
        <x:v>8.494883676221797</x:v>
      </x:c>
      <x:c r="AK307" s="32" t="n">
        <x:f>H307*v01_RoleScale*Arch_Roles*(AE307*(INDEX(v01_ElderRolePerSett,G307)*v01_OutElder*INDEX(LM_Elder,G307)+INDEX(v01_ShamanPerSett,G307)*v01_OutShaman)+Z307*(INDEX(v01_PriestShare,G307)*v01_OutPriest+INDEX(v01_ScribeShare,G307)*v01_OutScribe*INDEX(LM_Scribe,G307)+INDEX(v01_ScholarShare,G307)*v01_OutScholar*INDEX(LM_Scholar,G307)+INDEX(v01_ResearcherShare,G307)*v01_OutResearcher*INDEX(LM_Researcher,G307)))</x:f>
        <x:v>1.3623724356957945</x:v>
      </x:c>
      <x:c r="AL307" s="32" t="n">
        <x:f>H307*v01_RoleScale*Arch_Roles*AE307*INDEX(v01_MonasteryPerSett,G307)*v01_OutMonastery*INDEX(LM_Monastery,G307)</x:f>
        <x:v>0</x:v>
      </x:c>
      <x:c r="AM307" s="32" t="n">
        <x:f>(AJ307+AK307+AL307)/4*INDEX(LM_All,G307)*INDEX(v01_Boon,G307)*Arch_Insight</x:f>
        <x:v>2.5259218786788824</x:v>
      </x:c>
      <x:c r="AN307" s="32" t="n">
        <x:f>H307*(v01_KHPerAdult*Z307+v01_KHOfCommons*AJ307/4*INDEX(LM_All,G307))*v01_KHUsable*Arch_KH</x:f>
        <x:v>0.4144153152685432</x:v>
      </x:c>
      <x:c r="AO307" s="32" t="n">
        <x:f>MIN(AP306+AN307,AM307*v01_KHMaxRatio)</x:f>
        <x:v>0.4144153152685432</x:v>
      </x:c>
      <x:c r="AP307" s="32" t="n">
        <x:f>AP306+AN307-AO307</x:f>
        <x:v>0</x:v>
      </x:c>
      <x:c r="AQ307" s="32" t="n">
        <x:f>AM307+AO307</x:f>
        <x:v>2.9403371939474257</x:v>
      </x:c>
      <x:c r="AR307" s="10" t="n">
        <x:f>IF(H307=1,INDEX(v01_Req,G307),0)</x:f>
        <x:v>1067.32</x:v>
      </x:c>
      <x:c r="AS307" s="32" t="n">
        <x:f>IF(H307=1,IF(E307=1,AS306-AR306,AS306)+AQ307,0)</x:f>
        <x:v>183.37357866045122</x:v>
      </x:c>
      <x:c r="AT307" s="11" t="n">
        <x:f>IF(AR307&gt;0,MIN(1,AS307/AR307),1)</x:f>
        <x:v>0.17180749790170824</x:v>
      </x:c>
      <x:c r="AU307" s="10" t="n">
        <x:f>AB307/INDEX(v01_RepScale,G307)</x:f>
        <x:v>25.409763533384915</x:v>
      </x:c>
      <x:c r="AV307" s="32" t="n">
        <x:f>AM307*60/v01_SeasonSeconds</x:f>
        <x:v>10.10368751471553</x:v>
      </x:c>
    </x:row>
    <x:row r="308">
      <x:c r="A308" s="8" t="n">
        <x:f>A307+1</x:f>
        <x:v>305</x:v>
      </x:c>
      <x:c r="B308" s="9" t="n">
        <x:f>A308*v01_SeasonSeconds/60</x:f>
        <x:v>76.25</x:v>
      </x:c>
      <x:c r="C308" s="9" t="n">
        <x:f>A308/4</x:f>
        <x:v>76.25</x:v>
      </x:c>
      <x:c r="D308" s="8" t="n">
        <x:f>IF(MOD(A308,4)=0,1,0)</x:f>
        <x:v>0</x:v>
      </x:c>
      <x:c r="E308" s="8" t="n">
        <x:f>IF(AND(F307&lt;=9,AS307&gt;=AR307),1,0)</x:f>
        <x:v>0</x:v>
      </x:c>
      <x:c r="F308" s="8" t="n">
        <x:f>MIN(10,F307+E308)</x:f>
        <x:v>1</x:v>
      </x:c>
      <x:c r="G308" s="8" t="n">
        <x:f>MIN(F308,9)+1</x:f>
        <x:v>2</x:v>
      </x:c>
      <x:c r="H308" s="8" t="n">
        <x:f>IF(F308&lt;=9,1,0)</x:f>
        <x:v>1</x:v>
      </x:c>
      <x:c r="I308" s="9" t="n">
        <x:f>MIN(10,F307+IF(AR307&gt;0,MIN(1,AS307/AR307),1))</x:f>
        <x:v>1.1718074979017081</x:v>
      </x:c>
      <x:c r="J308" s="32" t="n">
        <x:f>INDEX(v01_FoodCap,G308)*Arch_FoodCap*EXP(v01_CapsByProject*SUMPRODUCT((Cap_Point&lt;=I308)*(Cap_Kind="Food")*Cap_Ln))</x:f>
        <x:v>30</x:v>
      </x:c>
      <x:c r="K308" s="32" t="n">
        <x:f>J308*MIN(1,v01_LeanBase*EXP(v01_CapsByProject*SUMPRODUCT((Cap_Point&lt;=I308)*(Cap_Kind="Lean")*Cap_Ln)))</x:f>
        <x:v>30</x:v>
      </x:c>
      <x:c r="L308" s="10" t="n">
        <x:f>INDEX(v01_HousingCap,G308)*EXP(v01_CapsByProject*SUMPRODUCT((Cap_Point&lt;=I308)*(Cap_Kind="Housing")*Cap_Ln))</x:f>
        <x:v>60</x:v>
      </x:c>
      <x:c r="M308" s="10" t="n">
        <x:f>INDEX(v01_GroupCap,G308)*v01_CohesionFactor*EXP(v01_CapsByProject*SUMPRODUCT((Cap_Point&lt;=I308)*(Cap_Kind="Group")*Cap_Ln))</x:f>
        <x:v>100</x:v>
      </x:c>
      <x:c r="N308" s="32" t="n">
        <x:f>MIN(J308,L308,M308)</x:f>
        <x:v>30</x:v>
      </x:c>
      <x:c r="O308" s="10" t="n">
        <x:f>AE307*N308</x:f>
        <x:v>30</x:v>
      </x:c>
      <x:c r="P308" s="9" t="n">
        <x:f>MIN(1,(AB307/(AE307*IF(v01_GroupInCrowding=1,N308,MIN(J308,L308))))^v01_CrowdingExp)</x:f>
        <x:v>0.3692123439802232</x:v>
      </x:c>
      <x:c r="Q308" s="9" t="n">
        <x:f>IF(D308=1,INDEX(v01_WinterMult,G308),1)</x:f>
        <x:v>1</x:v>
      </x:c>
      <x:c r="R308" s="9" t="n">
        <x:f>H308*Z307*v01_WomenShare*v01_BaseFertility*INDEX(v01_FertMult,G308)*Arch_Fertility*(1-P308)</x:f>
        <x:v>0.28008007000386553</x:v>
      </x:c>
      <x:c r="S308" s="9" t="n">
        <x:f>H308*Y307*INDEX(v01_MortChild,G308)/4*Q308</x:f>
        <x:v>0.08885712800291327</x:v>
      </x:c>
      <x:c r="T308" s="9" t="n">
        <x:f>H308*Z307*INDEX(v01_MortAdult,G308)*Arch_AdultMort/4*Q308</x:f>
        <x:v>0.03848142213207901</x:v>
      </x:c>
      <x:c r="U308" s="9" t="n">
        <x:f>H308*AA307*INDEX(v01_MortElder,G308)/4*Q308</x:f>
        <x:v>0.06828451222187193</x:v>
      </x:c>
      <x:c r="V308" s="9" t="n">
        <x:f>H308*MAX(0,AB307-O308)*v01_OvercapLoss</x:f>
        <x:v>0</x:v>
      </x:c>
      <x:c r="W308" s="9" t="n">
        <x:f>H308*Y307/(v01_ChildYears*4)</x:f>
        <x:v>0.18134107755696585</x:v>
      </x:c>
      <x:c r="X308" s="9" t="n">
        <x:f>H308*Z307/(v01_AdultYears*4)</x:f>
        <x:v>0.09548739983146157</x:v>
      </x:c>
      <x:c r="Y308" s="32" t="n">
        <x:f>Y307+R308-S308-W308-Y307*V308/AB307</x:f>
        <x:v>10.164982207634074</x:v>
      </x:c>
      <x:c r="Z308" s="32" t="n">
        <x:f>Z307+W308-X308-T308-Z307*V308/AB307</x:f>
        <x:v>11.887809834694659</x:v>
      </x:c>
      <x:c r="AA308" s="32" t="n">
        <x:f>AA307+X308-U308-AA307*V308/AB307</x:f>
        <x:v>3.4414284987031865</x:v>
      </x:c>
      <x:c r="AB308" s="10" t="n">
        <x:f>Y308+Z308+AA308</x:f>
        <x:v>25.49422054103192</x:v>
      </x:c>
      <x:c r="AC308" s="8" t="n">
        <x:f>IF(AND(v01_WinterTrigger=1,D308=1,AB307/AE307&gt;=K308),1,0)</x:f>
        <x:v>0</x:v>
      </x:c>
      <x:c r="AD308" s="8" t="n">
        <x:f>H308*IF(AND(OR(AB307/AE307&gt;=v01_FissionTrigger*N308,AC308=1),AB307/AE307*v01_DaughterShare&gt;=v01_MinDaughter),MAX(1,ROUND(AE307*v01_FissionRate,0)),0)</x:f>
        <x:v>0</x:v>
      </x:c>
      <x:c r="AE308" s="8" t="n">
        <x:f>IF(H308=1,MAX(1,MIN(INDEX(v01_Smax,G308),AE307+AD308)),AE307)</x:f>
        <x:v>1</x:v>
      </x:c>
      <x:c r="AF308" s="8" t="n">
        <x:f>MAX(0,AE308-AE307)</x:f>
        <x:v>0</x:v>
      </x:c>
      <x:c r="AG308" s="9" t="str">
        <x:f>IF(AF308&gt;0,B308,"")</x:f>
      </x:c>
      <x:c r="AH308" s="9" t="n">
        <x:f>IF(F308&gt;=1,1,(1+v01_LowTiesShare*(AE308-1))/AE308)</x:f>
        <x:v>1</x:v>
      </x:c>
      <x:c r="AI308" s="32" t="n">
        <x:f>(Z308+v01_ElderCommons*INDEX(LM_Elder,G308)*AA308)*AH308</x:f>
        <x:v>20.317553642789825</x:v>
      </x:c>
      <x:c r="AJ308" s="32" t="n">
        <x:f>H308*v01_CommonsCoef*AI308^v01_CommonsExp*INDEX(LM_Commons,G308)</x:f>
        <x:v>8.535611469980521</x:v>
      </x:c>
      <x:c r="AK308" s="32" t="n">
        <x:f>H308*v01_RoleScale*Arch_Roles*(AE308*(INDEX(v01_ElderRolePerSett,G308)*v01_OutElder*INDEX(LM_Elder,G308)+INDEX(v01_ShamanPerSett,G308)*v01_OutShaman)+Z308*(INDEX(v01_PriestShare,G308)*v01_OutPriest+INDEX(v01_ScribeShare,G308)*v01_OutScribe*INDEX(LM_Scribe,G308)+INDEX(v01_ScholarShare,G308)*v01_OutScholar*INDEX(LM_Scholar,G308)+INDEX(v01_ResearcherShare,G308)*v01_OutResearcher*INDEX(LM_Researcher,G308)))</x:f>
        <x:v>1.3623724356957945</x:v>
      </x:c>
      <x:c r="AL308" s="32" t="n">
        <x:f>H308*v01_RoleScale*Arch_Roles*AE308*INDEX(v01_MonasteryPerSett,G308)*v01_OutMonastery*INDEX(LM_Monastery,G308)</x:f>
        <x:v>0</x:v>
      </x:c>
      <x:c r="AM308" s="32" t="n">
        <x:f>(AJ308+AK308+AL308)/4*INDEX(LM_All,G308)*INDEX(v01_Boon,G308)*Arch_Insight</x:f>
        <x:v>2.536358375829556</x:v>
      </x:c>
      <x:c r="AN308" s="32" t="n">
        <x:f>H308*(v01_KHPerAdult*Z308+v01_KHOfCommons*AJ308/4*INDEX(LM_All,G308))*v01_KHUsable*Arch_KH</x:f>
        <x:v>0.4160733442143131</x:v>
      </x:c>
      <x:c r="AO308" s="32" t="n">
        <x:f>MIN(AP307+AN308,AM308*v01_KHMaxRatio)</x:f>
        <x:v>0.4160733442143131</x:v>
      </x:c>
      <x:c r="AP308" s="32" t="n">
        <x:f>AP307+AN308-AO308</x:f>
        <x:v>0</x:v>
      </x:c>
      <x:c r="AQ308" s="32" t="n">
        <x:f>AM308+AO308</x:f>
        <x:v>2.952431720043869</x:v>
      </x:c>
      <x:c r="AR308" s="10" t="n">
        <x:f>IF(H308=1,INDEX(v01_Req,G308),0)</x:f>
        <x:v>1067.32</x:v>
      </x:c>
      <x:c r="AS308" s="32" t="n">
        <x:f>IF(H308=1,IF(E308=1,AS307-AR307,AS307)+AQ308,0)</x:f>
        <x:v>186.3260103804951</x:v>
      </x:c>
      <x:c r="AT308" s="11" t="n">
        <x:f>IF(AR308&gt;0,MIN(1,AS308/AR308),1)</x:f>
        <x:v>0.17457370833535876</x:v>
      </x:c>
      <x:c r="AU308" s="10" t="n">
        <x:f>AB308/INDEX(v01_RepScale,G308)</x:f>
        <x:v>25.49422054103192</x:v>
      </x:c>
      <x:c r="AV308" s="32" t="n">
        <x:f>AM308*60/v01_SeasonSeconds</x:f>
        <x:v>10.145433503318223</x:v>
      </x:c>
    </x:row>
    <x:row r="309">
      <x:c r="A309" s="8" t="n">
        <x:f>A308+1</x:f>
        <x:v>306</x:v>
      </x:c>
      <x:c r="B309" s="9" t="n">
        <x:f>A309*v01_SeasonSeconds/60</x:f>
        <x:v>76.5</x:v>
      </x:c>
      <x:c r="C309" s="9" t="n">
        <x:f>A309/4</x:f>
        <x:v>76.5</x:v>
      </x:c>
      <x:c r="D309" s="8" t="n">
        <x:f>IF(MOD(A309,4)=0,1,0)</x:f>
        <x:v>0</x:v>
      </x:c>
      <x:c r="E309" s="8" t="n">
        <x:f>IF(AND(F308&lt;=9,AS308&gt;=AR308),1,0)</x:f>
        <x:v>0</x:v>
      </x:c>
      <x:c r="F309" s="8" t="n">
        <x:f>MIN(10,F308+E309)</x:f>
        <x:v>1</x:v>
      </x:c>
      <x:c r="G309" s="8" t="n">
        <x:f>MIN(F309,9)+1</x:f>
        <x:v>2</x:v>
      </x:c>
      <x:c r="H309" s="8" t="n">
        <x:f>IF(F309&lt;=9,1,0)</x:f>
        <x:v>1</x:v>
      </x:c>
      <x:c r="I309" s="9" t="n">
        <x:f>MIN(10,F308+IF(AR308&gt;0,MIN(1,AS308/AR308),1))</x:f>
        <x:v>1.1745737083353587</x:v>
      </x:c>
      <x:c r="J309" s="32" t="n">
        <x:f>INDEX(v01_FoodCap,G309)*Arch_FoodCap*EXP(v01_CapsByProject*SUMPRODUCT((Cap_Point&lt;=I309)*(Cap_Kind="Food")*Cap_Ln))</x:f>
        <x:v>30</x:v>
      </x:c>
      <x:c r="K309" s="32" t="n">
        <x:f>J309*MIN(1,v01_LeanBase*EXP(v01_CapsByProject*SUMPRODUCT((Cap_Point&lt;=I309)*(Cap_Kind="Lean")*Cap_Ln)))</x:f>
        <x:v>30</x:v>
      </x:c>
      <x:c r="L309" s="10" t="n">
        <x:f>INDEX(v01_HousingCap,G309)*EXP(v01_CapsByProject*SUMPRODUCT((Cap_Point&lt;=I309)*(Cap_Kind="Housing")*Cap_Ln))</x:f>
        <x:v>60</x:v>
      </x:c>
      <x:c r="M309" s="10" t="n">
        <x:f>INDEX(v01_GroupCap,G309)*v01_CohesionFactor*EXP(v01_CapsByProject*SUMPRODUCT((Cap_Point&lt;=I309)*(Cap_Kind="Group")*Cap_Ln))</x:f>
        <x:v>100</x:v>
      </x:c>
      <x:c r="N309" s="32" t="n">
        <x:f>MIN(J309,L309,M309)</x:f>
        <x:v>30</x:v>
      </x:c>
      <x:c r="O309" s="10" t="n">
        <x:f>AE308*N309</x:f>
        <x:v>30</x:v>
      </x:c>
      <x:c r="P309" s="9" t="n">
        <x:f>MIN(1,(AB308/(AE308*IF(v01_GroupInCrowding=1,N309,MIN(J309,L309))))^v01_CrowdingExp)</x:f>
        <x:v>0.3766369308098431</x:v>
      </x:c>
      <x:c r="Q309" s="9" t="n">
        <x:f>IF(D309=1,INDEX(v01_WinterMult,G309),1)</x:f>
        <x:v>1</x:v>
      </x:c>
      <x:c r="R309" s="9" t="n">
        <x:f>H309*Z308*v01_WomenShare*v01_BaseFertility*INDEX(v01_FertMult,G309)*Arch_Fertility*(1-P309)</x:f>
        <x:v>0.27789081091890727</x:v>
      </x:c>
      <x:c r="S309" s="9" t="n">
        <x:f>H309*Y308*INDEX(v01_MortChild,G309)/4*Q309</x:f>
        <x:v>0.08894359431679816</x:v>
      </x:c>
      <x:c r="T309" s="9" t="n">
        <x:f>H309*Z308*INDEX(v01_MortAdult,G309)*Arch_AdultMort/4*Q309</x:f>
        <x:v>0.03863538196275764</x:v>
      </x:c>
      <x:c r="U309" s="9" t="n">
        <x:f>H309*AA308*INDEX(v01_MortElder,G309)/4*Q309</x:f>
        <x:v>0.06882856997406372</x:v>
      </x:c>
      <x:c r="V309" s="9" t="n">
        <x:f>H309*MAX(0,AB308-O309)*v01_OvercapLoss</x:f>
        <x:v>0</x:v>
      </x:c>
      <x:c r="W309" s="9" t="n">
        <x:f>H309*Y308/(v01_ChildYears*4)</x:f>
        <x:v>0.18151753942203702</x:v>
      </x:c>
      <x:c r="X309" s="9" t="n">
        <x:f>H309*Z308/(v01_AdultYears*4)</x:f>
        <x:v>0.09586943415076338</x:v>
      </x:c>
      <x:c r="Y309" s="32" t="n">
        <x:f>Y308+R309-S309-W309-Y308*V309/AB308</x:f>
        <x:v>10.172411884814144</x:v>
      </x:c>
      <x:c r="Z309" s="32" t="n">
        <x:f>Z308+W309-X309-T309-Z308*V309/AB308</x:f>
        <x:v>11.934822558003175</x:v>
      </x:c>
      <x:c r="AA309" s="32" t="n">
        <x:f>AA308+X309-U309-AA308*V309/AB308</x:f>
        <x:v>3.468469362879886</x:v>
      </x:c>
      <x:c r="AB309" s="10" t="n">
        <x:f>Y309+Z309+AA309</x:f>
        <x:v>25.575703805697206</x:v>
      </x:c>
      <x:c r="AC309" s="8" t="n">
        <x:f>IF(AND(v01_WinterTrigger=1,D309=1,AB308/AE308&gt;=K309),1,0)</x:f>
        <x:v>0</x:v>
      </x:c>
      <x:c r="AD309" s="8" t="n">
        <x:f>H309*IF(AND(OR(AB308/AE308&gt;=v01_FissionTrigger*N309,AC309=1),AB308/AE308*v01_DaughterShare&gt;=v01_MinDaughter),MAX(1,ROUND(AE308*v01_FissionRate,0)),0)</x:f>
        <x:v>0</x:v>
      </x:c>
      <x:c r="AE309" s="8" t="n">
        <x:f>IF(H309=1,MAX(1,MIN(INDEX(v01_Smax,G309),AE308+AD309)),AE308)</x:f>
        <x:v>1</x:v>
      </x:c>
      <x:c r="AF309" s="8" t="n">
        <x:f>MAX(0,AE309-AE308)</x:f>
        <x:v>0</x:v>
      </x:c>
      <x:c r="AG309" s="9" t="str">
        <x:f>IF(AF309&gt;0,B309,"")</x:f>
      </x:c>
      <x:c r="AH309" s="9" t="n">
        <x:f>IF(F309&gt;=1,1,(1+v01_LowTiesShare*(AE309-1))/AE309)</x:f>
        <x:v>1</x:v>
      </x:c>
      <x:c r="AI309" s="32" t="n">
        <x:f>(Z309+v01_ElderCommons*INDEX(LM_Elder,G309)*AA309)*AH309</x:f>
        <x:v>20.43080268553516</x:v>
      </x:c>
      <x:c r="AJ309" s="32" t="n">
        <x:f>H309*v01_CommonsCoef*AI309^v01_CommonsExp*INDEX(LM_Commons,G309)</x:f>
        <x:v>8.57603511602733</x:v>
      </x:c>
      <x:c r="AK309" s="32" t="n">
        <x:f>H309*v01_RoleScale*Arch_Roles*(AE309*(INDEX(v01_ElderRolePerSett,G309)*v01_OutElder*INDEX(LM_Elder,G309)+INDEX(v01_ShamanPerSett,G309)*v01_OutShaman)+Z309*(INDEX(v01_PriestShare,G309)*v01_OutPriest+INDEX(v01_ScribeShare,G309)*v01_OutScribe*INDEX(LM_Scribe,G309)+INDEX(v01_ScholarShare,G309)*v01_OutScholar*INDEX(LM_Scholar,G309)+INDEX(v01_ResearcherShare,G309)*v01_OutResearcher*INDEX(LM_Researcher,G309)))</x:f>
        <x:v>1.3623724356957945</x:v>
      </x:c>
      <x:c r="AL309" s="32" t="n">
        <x:f>H309*v01_RoleScale*Arch_Roles*AE309*INDEX(v01_MonasteryPerSett,G309)*v01_OutMonastery*INDEX(LM_Monastery,G309)</x:f>
        <x:v>0</x:v>
      </x:c>
      <x:c r="AM309" s="32" t="n">
        <x:f>(AJ309+AK309+AL309)/4*INDEX(LM_All,G309)*INDEX(v01_Boon,G309)*Arch_Insight</x:f>
        <x:v>2.54671693512905</x:v>
      </x:c>
      <x:c r="AN309" s="32" t="n">
        <x:f>H309*(v01_KHPerAdult*Z309+v01_KHOfCommons*AJ309/4*INDEX(LM_All,G309))*v01_KHUsable*Arch_KH</x:f>
        <x:v>0.4177187895301111</x:v>
      </x:c>
      <x:c r="AO309" s="32" t="n">
        <x:f>MIN(AP308+AN309,AM309*v01_KHMaxRatio)</x:f>
        <x:v>0.4177187895301111</x:v>
      </x:c>
      <x:c r="AP309" s="32" t="n">
        <x:f>AP308+AN309-AO309</x:f>
        <x:v>0</x:v>
      </x:c>
      <x:c r="AQ309" s="32" t="n">
        <x:f>AM309+AO309</x:f>
        <x:v>2.964435724659161</x:v>
      </x:c>
      <x:c r="AR309" s="10" t="n">
        <x:f>IF(H309=1,INDEX(v01_Req,G309),0)</x:f>
        <x:v>1067.32</x:v>
      </x:c>
      <x:c r="AS309" s="32" t="n">
        <x:f>IF(H309=1,IF(E309=1,AS308-AR308,AS308)+AQ309,0)</x:f>
        <x:v>189.29044610515425</x:v>
      </x:c>
      <x:c r="AT309" s="11" t="n">
        <x:f>IF(AR309&gt;0,MIN(1,AS309/AR309),1)</x:f>
        <x:v>0.1773511656346309</x:v>
      </x:c>
      <x:c r="AU309" s="10" t="n">
        <x:f>AB309/INDEX(v01_RepScale,G309)</x:f>
        <x:v>25.575703805697206</x:v>
      </x:c>
      <x:c r="AV309" s="32" t="n">
        <x:f>AM309*60/v01_SeasonSeconds</x:f>
        <x:v>10.1868677405162</x:v>
      </x:c>
    </x:row>
    <x:row r="310">
      <x:c r="A310" s="8" t="n">
        <x:f>A309+1</x:f>
        <x:v>307</x:v>
      </x:c>
      <x:c r="B310" s="9" t="n">
        <x:f>A310*v01_SeasonSeconds/60</x:f>
        <x:v>76.75</x:v>
      </x:c>
      <x:c r="C310" s="9" t="n">
        <x:f>A310/4</x:f>
        <x:v>76.75</x:v>
      </x:c>
      <x:c r="D310" s="8" t="n">
        <x:f>IF(MOD(A310,4)=0,1,0)</x:f>
        <x:v>0</x:v>
      </x:c>
      <x:c r="E310" s="8" t="n">
        <x:f>IF(AND(F309&lt;=9,AS309&gt;=AR309),1,0)</x:f>
        <x:v>0</x:v>
      </x:c>
      <x:c r="F310" s="8" t="n">
        <x:f>MIN(10,F309+E310)</x:f>
        <x:v>1</x:v>
      </x:c>
      <x:c r="G310" s="8" t="n">
        <x:f>MIN(F310,9)+1</x:f>
        <x:v>2</x:v>
      </x:c>
      <x:c r="H310" s="8" t="n">
        <x:f>IF(F310&lt;=9,1,0)</x:f>
        <x:v>1</x:v>
      </x:c>
      <x:c r="I310" s="9" t="n">
        <x:f>MIN(10,F309+IF(AR309&gt;0,MIN(1,AS309/AR309),1))</x:f>
        <x:v>1.177351165634631</x:v>
      </x:c>
      <x:c r="J310" s="32" t="n">
        <x:f>INDEX(v01_FoodCap,G310)*Arch_FoodCap*EXP(v01_CapsByProject*SUMPRODUCT((Cap_Point&lt;=I310)*(Cap_Kind="Food")*Cap_Ln))</x:f>
        <x:v>30</x:v>
      </x:c>
      <x:c r="K310" s="32" t="n">
        <x:f>J310*MIN(1,v01_LeanBase*EXP(v01_CapsByProject*SUMPRODUCT((Cap_Point&lt;=I310)*(Cap_Kind="Lean")*Cap_Ln)))</x:f>
        <x:v>30</x:v>
      </x:c>
      <x:c r="L310" s="10" t="n">
        <x:f>INDEX(v01_HousingCap,G310)*EXP(v01_CapsByProject*SUMPRODUCT((Cap_Point&lt;=I310)*(Cap_Kind="Housing")*Cap_Ln))</x:f>
        <x:v>60</x:v>
      </x:c>
      <x:c r="M310" s="10" t="n">
        <x:f>INDEX(v01_GroupCap,G310)*v01_CohesionFactor*EXP(v01_CapsByProject*SUMPRODUCT((Cap_Point&lt;=I310)*(Cap_Kind="Group")*Cap_Ln))</x:f>
        <x:v>100</x:v>
      </x:c>
      <x:c r="N310" s="32" t="n">
        <x:f>MIN(J310,L310,M310)</x:f>
        <x:v>30</x:v>
      </x:c>
      <x:c r="O310" s="10" t="n">
        <x:f>AE309*N310</x:f>
        <x:v>30</x:v>
      </x:c>
      <x:c r="P310" s="9" t="n">
        <x:f>MIN(1,(AB309/(AE309*IF(v01_GroupInCrowding=1,N310,MIN(J310,L310))))^v01_CrowdingExp)</x:f>
        <x:v>0.3839176104584715</x:v>
      </x:c>
      <x:c r="Q310" s="9" t="n">
        <x:f>IF(D310=1,INDEX(v01_WinterMult,G310),1)</x:f>
        <x:v>1</x:v>
      </x:c>
      <x:c r="R310" s="9" t="n">
        <x:f>H310*Z309*v01_WomenShare*v01_BaseFertility*INDEX(v01_FertMult,G310)*Arch_Fertility*(1-P310)</x:f>
        <x:v>0.27573127501082745</x:v>
      </x:c>
      <x:c r="S310" s="9" t="n">
        <x:f>H310*Y309*INDEX(v01_MortChild,G310)/4*Q310</x:f>
        <x:v>0.08900860399212376</x:v>
      </x:c>
      <x:c r="T310" s="9" t="n">
        <x:f>H310*Z309*INDEX(v01_MortAdult,G310)*Arch_AdultMort/4*Q310</x:f>
        <x:v>0.03878817331351032</x:v>
      </x:c>
      <x:c r="U310" s="9" t="n">
        <x:f>H310*AA309*INDEX(v01_MortElder,G310)/4*Q310</x:f>
        <x:v>0.06936938725759773</x:v>
      </x:c>
      <x:c r="V310" s="9" t="n">
        <x:f>H310*MAX(0,AB309-O310)*v01_OvercapLoss</x:f>
        <x:v>0</x:v>
      </x:c>
      <x:c r="W310" s="9" t="n">
        <x:f>H310*Y309/(v01_ChildYears*4)</x:f>
        <x:v>0.181650212228824</x:v>
      </x:c>
      <x:c r="X310" s="9" t="n">
        <x:f>H310*Z309/(v01_AdultYears*4)</x:f>
        <x:v>0.09624856901615464</x:v>
      </x:c>
      <x:c r="Y310" s="32" t="n">
        <x:f>Y309+R310-S310-W310-Y309*V310/AB309</x:f>
        <x:v>10.177484343604023</x:v>
      </x:c>
      <x:c r="Z310" s="32" t="n">
        <x:f>Z309+W310-X310-T310-Z309*V310/AB309</x:f>
        <x:v>11.981436027902335</x:v>
      </x:c>
      <x:c r="AA310" s="32" t="n">
        <x:f>AA309+X310-U310-AA309*V310/AB309</x:f>
        <x:v>3.495348544638443</x:v>
      </x:c>
      <x:c r="AB310" s="10" t="n">
        <x:f>Y310+Z310+AA310</x:f>
        <x:v>25.6542689161448</x:v>
      </x:c>
      <x:c r="AC310" s="8" t="n">
        <x:f>IF(AND(v01_WinterTrigger=1,D310=1,AB309/AE309&gt;=K310),1,0)</x:f>
        <x:v>0</x:v>
      </x:c>
      <x:c r="AD310" s="8" t="n">
        <x:f>H310*IF(AND(OR(AB309/AE309&gt;=v01_FissionTrigger*N310,AC310=1),AB309/AE309*v01_DaughterShare&gt;=v01_MinDaughter),MAX(1,ROUND(AE309*v01_FissionRate,0)),0)</x:f>
        <x:v>1</x:v>
      </x:c>
      <x:c r="AE310" s="8" t="n">
        <x:f>IF(H310=1,MAX(1,MIN(INDEX(v01_Smax,G310),AE309+AD310)),AE309)</x:f>
        <x:v>2</x:v>
      </x:c>
      <x:c r="AF310" s="8" t="n">
        <x:f>MAX(0,AE310-AE309)</x:f>
        <x:v>1</x:v>
      </x:c>
      <x:c r="AG310" s="9" t="n">
        <x:f>IF(AF310&gt;0,B310,"")</x:f>
        <x:v>76.75</x:v>
      </x:c>
      <x:c r="AH310" s="9" t="n">
        <x:f>IF(F310&gt;=1,1,(1+v01_LowTiesShare*(AE310-1))/AE310)</x:f>
        <x:v>1</x:v>
      </x:c>
      <x:c r="AI310" s="32" t="n">
        <x:f>(Z310+v01_ElderCommons*INDEX(LM_Elder,G310)*AA310)*AH310</x:f>
        <x:v>20.54325643544631</x:v>
      </x:c>
      <x:c r="AJ310" s="32" t="n">
        <x:f>H310*v01_CommonsCoef*AI310^v01_CommonsExp*INDEX(LM_Commons,G310)</x:f>
        <x:v>8.616141642302697</x:v>
      </x:c>
      <x:c r="AK310" s="32" t="n">
        <x:f>H310*v01_RoleScale*Arch_Roles*(AE310*(INDEX(v01_ElderRolePerSett,G310)*v01_OutElder*INDEX(LM_Elder,G310)+INDEX(v01_ShamanPerSett,G310)*v01_OutShaman)+Z310*(INDEX(v01_PriestShare,G310)*v01_OutPriest+INDEX(v01_ScribeShare,G310)*v01_OutScribe*INDEX(LM_Scribe,G310)+INDEX(v01_ScholarShare,G310)*v01_OutScholar*INDEX(LM_Scholar,G310)+INDEX(v01_ResearcherShare,G310)*v01_OutResearcher*INDEX(LM_Researcher,G310)))</x:f>
        <x:v>2.724744871391589</x:v>
      </x:c>
      <x:c r="AL310" s="32" t="n">
        <x:f>H310*v01_RoleScale*Arch_Roles*AE310*INDEX(v01_MonasteryPerSett,G310)*v01_OutMonastery*INDEX(LM_Monastery,G310)</x:f>
        <x:v>0</x:v>
      </x:c>
      <x:c r="AM310" s="32" t="n">
        <x:f>(AJ310+AK310+AL310)/4*INDEX(LM_All,G310)*INDEX(v01_Boon,G310)*Arch_Insight</x:f>
        <x:v>2.9061021691341606</x:v>
      </x:c>
      <x:c r="AN310" s="32" t="n">
        <x:f>H310*(v01_KHPerAdult*Z310+v01_KHOfCommons*AJ310/4*INDEX(LM_All,G310))*v01_KHUsable*Arch_KH</x:f>
        <x:v>0.4193502609765817</x:v>
      </x:c>
      <x:c r="AO310" s="32" t="n">
        <x:f>MIN(AP309+AN310,AM310*v01_KHMaxRatio)</x:f>
        <x:v>0.4193502609765817</x:v>
      </x:c>
      <x:c r="AP310" s="32" t="n">
        <x:f>AP309+AN310-AO310</x:f>
        <x:v>0</x:v>
      </x:c>
      <x:c r="AQ310" s="32" t="n">
        <x:f>AM310+AO310</x:f>
        <x:v>3.3254524301107424</x:v>
      </x:c>
      <x:c r="AR310" s="10" t="n">
        <x:f>IF(H310=1,INDEX(v01_Req,G310),0)</x:f>
        <x:v>1067.32</x:v>
      </x:c>
      <x:c r="AS310" s="32" t="n">
        <x:f>IF(H310=1,IF(E310=1,AS309-AR309,AS309)+AQ310,0)</x:f>
        <x:v>192.615898535265</x:v>
      </x:c>
      <x:c r="AT310" s="11" t="n">
        <x:f>IF(AR310&gt;0,MIN(1,AS310/AR310),1)</x:f>
        <x:v>0.18046686891959768</x:v>
      </x:c>
      <x:c r="AU310" s="10" t="n">
        <x:f>AB310/INDEX(v01_RepScale,G310)</x:f>
        <x:v>25.6542689161448</x:v>
      </x:c>
      <x:c r="AV310" s="32" t="n">
        <x:f>AM310*60/v01_SeasonSeconds</x:f>
        <x:v>11.624408676536643</x:v>
      </x:c>
    </x:row>
    <x:row r="311">
      <x:c r="A311" s="8" t="n">
        <x:f>A310+1</x:f>
        <x:v>308</x:v>
      </x:c>
      <x:c r="B311" s="9" t="n">
        <x:f>A311*v01_SeasonSeconds/60</x:f>
        <x:v>77</x:v>
      </x:c>
      <x:c r="C311" s="9" t="n">
        <x:f>A311/4</x:f>
        <x:v>77</x:v>
      </x:c>
      <x:c r="D311" s="8" t="n">
        <x:f>IF(MOD(A311,4)=0,1,0)</x:f>
        <x:v>1</x:v>
      </x:c>
      <x:c r="E311" s="8" t="n">
        <x:f>IF(AND(F310&lt;=9,AS310&gt;=AR310),1,0)</x:f>
        <x:v>0</x:v>
      </x:c>
      <x:c r="F311" s="8" t="n">
        <x:f>MIN(10,F310+E311)</x:f>
        <x:v>1</x:v>
      </x:c>
      <x:c r="G311" s="8" t="n">
        <x:f>MIN(F311,9)+1</x:f>
        <x:v>2</x:v>
      </x:c>
      <x:c r="H311" s="8" t="n">
        <x:f>IF(F311&lt;=9,1,0)</x:f>
        <x:v>1</x:v>
      </x:c>
      <x:c r="I311" s="9" t="n">
        <x:f>MIN(10,F310+IF(AR310&gt;0,MIN(1,AS310/AR310),1))</x:f>
        <x:v>1.1804668689195976</x:v>
      </x:c>
      <x:c r="J311" s="32" t="n">
        <x:f>INDEX(v01_FoodCap,G311)*Arch_FoodCap*EXP(v01_CapsByProject*SUMPRODUCT((Cap_Point&lt;=I311)*(Cap_Kind="Food")*Cap_Ln))</x:f>
        <x:v>30</x:v>
      </x:c>
      <x:c r="K311" s="32" t="n">
        <x:f>J311*MIN(1,v01_LeanBase*EXP(v01_CapsByProject*SUMPRODUCT((Cap_Point&lt;=I311)*(Cap_Kind="Lean")*Cap_Ln)))</x:f>
        <x:v>30</x:v>
      </x:c>
      <x:c r="L311" s="10" t="n">
        <x:f>INDEX(v01_HousingCap,G311)*EXP(v01_CapsByProject*SUMPRODUCT((Cap_Point&lt;=I311)*(Cap_Kind="Housing")*Cap_Ln))</x:f>
        <x:v>60</x:v>
      </x:c>
      <x:c r="M311" s="10" t="n">
        <x:f>INDEX(v01_GroupCap,G311)*v01_CohesionFactor*EXP(v01_CapsByProject*SUMPRODUCT((Cap_Point&lt;=I311)*(Cap_Kind="Group")*Cap_Ln))</x:f>
        <x:v>100</x:v>
      </x:c>
      <x:c r="N311" s="32" t="n">
        <x:f>MIN(J311,L311,M311)</x:f>
        <x:v>30</x:v>
      </x:c>
      <x:c r="O311" s="10" t="n">
        <x:f>AE310*N311</x:f>
        <x:v>60</x:v>
      </x:c>
      <x:c r="P311" s="9" t="n">
        <x:f>MIN(1,(AB310/(AE310*IF(v01_GroupInCrowding=1,N311,MIN(J311,L311))))^v01_CrowdingExp)</x:f>
        <x:v>0.006110128653243054</x:v>
      </x:c>
      <x:c r="Q311" s="9" t="n">
        <x:f>IF(D311=1,INDEX(v01_WinterMult,G311),1)</x:f>
        <x:v>1.6</x:v>
      </x:c>
      <x:c r="R311" s="9" t="n">
        <x:f>H311*Z310*v01_WomenShare*v01_BaseFertility*INDEX(v01_FertMult,G311)*Arch_Fertility*(1-P311)</x:f>
        <x:v>0.4465585467120469</x:v>
      </x:c>
      <x:c r="S311" s="9" t="n">
        <x:f>H311*Y310*INDEX(v01_MortChild,G311)/4*Q311</x:f>
        <x:v>0.14248478081045635</x:v>
      </x:c>
      <x:c r="T311" s="9" t="n">
        <x:f>H311*Z310*INDEX(v01_MortAdult,G311)*Arch_AdultMort/4*Q311</x:f>
        <x:v>0.06230346734509215</x:v>
      </x:c>
      <x:c r="U311" s="9" t="n">
        <x:f>H311*AA310*INDEX(v01_MortElder,G311)/4*Q311</x:f>
        <x:v>0.11185115342843018</x:v>
      </x:c>
      <x:c r="V311" s="9" t="n">
        <x:f>H311*MAX(0,AB310-O311)*v01_OvercapLoss</x:f>
        <x:v>0</x:v>
      </x:c>
      <x:c r="W311" s="9" t="n">
        <x:f>H311*Y310/(v01_ChildYears*4)</x:f>
        <x:v>0.18174079185007183</x:v>
      </x:c>
      <x:c r="X311" s="9" t="n">
        <x:f>H311*Z310/(v01_AdultYears*4)</x:f>
        <x:v>0.09662448409598658</x:v>
      </x:c>
      <x:c r="Y311" s="32" t="n">
        <x:f>Y310+R311-S311-W311-Y310*V311/AB310</x:f>
        <x:v>10.299817317655544</x:v>
      </x:c>
      <x:c r="Z311" s="32" t="n">
        <x:f>Z310+W311-X311-T311-Z310*V311/AB310</x:f>
        <x:v>12.004248868311327</x:v>
      </x:c>
      <x:c r="AA311" s="32" t="n">
        <x:f>AA310+X311-U311-AA310*V311/AB310</x:f>
        <x:v>3.4801218753059997</x:v>
      </x:c>
      <x:c r="AB311" s="10" t="n">
        <x:f>Y311+Z311+AA311</x:f>
        <x:v>25.78418806127287</x:v>
      </x:c>
      <x:c r="AC311" s="8" t="n">
        <x:f>IF(AND(v01_WinterTrigger=1,D311=1,AB310/AE310&gt;=K311),1,0)</x:f>
        <x:v>0</x:v>
      </x:c>
      <x:c r="AD311" s="8" t="n">
        <x:f>H311*IF(AND(OR(AB310/AE310&gt;=v01_FissionTrigger*N311,AC311=1),AB310/AE310*v01_DaughterShare&gt;=v01_MinDaughter),MAX(1,ROUND(AE310*v01_FissionRate,0)),0)</x:f>
        <x:v>0</x:v>
      </x:c>
      <x:c r="AE311" s="8" t="n">
        <x:f>IF(H311=1,MAX(1,MIN(INDEX(v01_Smax,G311),AE310+AD311)),AE310)</x:f>
        <x:v>2</x:v>
      </x:c>
      <x:c r="AF311" s="8" t="n">
        <x:f>MAX(0,AE311-AE310)</x:f>
        <x:v>0</x:v>
      </x:c>
      <x:c r="AG311" s="9" t="str">
        <x:f>IF(AF311&gt;0,B311,"")</x:f>
      </x:c>
      <x:c r="AH311" s="9" t="n">
        <x:f>IF(F311&gt;=1,1,(1+v01_LowTiesShare*(AE311-1))/AE311)</x:f>
        <x:v>1</x:v>
      </x:c>
      <x:c r="AI311" s="32" t="n">
        <x:f>(Z311+v01_ElderCommons*INDEX(LM_Elder,G311)*AA311)*AH311</x:f>
        <x:v>20.52877170550873</x:v>
      </x:c>
      <x:c r="AJ311" s="32" t="n">
        <x:f>H311*v01_CommonsCoef*AI311^v01_CommonsExp*INDEX(LM_Commons,G311)</x:f>
        <x:v>8.61097752805006</x:v>
      </x:c>
      <x:c r="AK311" s="32" t="n">
        <x:f>H311*v01_RoleScale*Arch_Roles*(AE311*(INDEX(v01_ElderRolePerSett,G311)*v01_OutElder*INDEX(LM_Elder,G311)+INDEX(v01_ShamanPerSett,G311)*v01_OutShaman)+Z311*(INDEX(v01_PriestShare,G311)*v01_OutPriest+INDEX(v01_ScribeShare,G311)*v01_OutScribe*INDEX(LM_Scribe,G311)+INDEX(v01_ScholarShare,G311)*v01_OutScholar*INDEX(LM_Scholar,G311)+INDEX(v01_ResearcherShare,G311)*v01_OutResearcher*INDEX(LM_Researcher,G311)))</x:f>
        <x:v>2.724744871391589</x:v>
      </x:c>
      <x:c r="AL311" s="32" t="n">
        <x:f>H311*v01_RoleScale*Arch_Roles*AE311*INDEX(v01_MonasteryPerSett,G311)*v01_OutMonastery*INDEX(LM_Monastery,G311)</x:f>
        <x:v>0</x:v>
      </x:c>
      <x:c r="AM311" s="32" t="n">
        <x:f>(AJ311+AK311+AL311)/4*INDEX(LM_All,G311)*INDEX(v01_Boon,G311)*Arch_Insight</x:f>
        <x:v>2.9047788648569224</x:v>
      </x:c>
      <x:c r="AN311" s="32" t="n">
        <x:f>H311*(v01_KHPerAdult*Z311+v01_KHOfCommons*AJ311/4*INDEX(LM_All,G311))*v01_KHUsable*Arch_KH</x:f>
        <x:v>0.4201487103908965</x:v>
      </x:c>
      <x:c r="AO311" s="32" t="n">
        <x:f>MIN(AP310+AN311,AM311*v01_KHMaxRatio)</x:f>
        <x:v>0.4201487103908965</x:v>
      </x:c>
      <x:c r="AP311" s="32" t="n">
        <x:f>AP310+AN311-AO311</x:f>
        <x:v>0</x:v>
      </x:c>
      <x:c r="AQ311" s="32" t="n">
        <x:f>AM311+AO311</x:f>
        <x:v>3.324927575247819</x:v>
      </x:c>
      <x:c r="AR311" s="10" t="n">
        <x:f>IF(H311=1,INDEX(v01_Req,G311),0)</x:f>
        <x:v>1067.32</x:v>
      </x:c>
      <x:c r="AS311" s="32" t="n">
        <x:f>IF(H311=1,IF(E311=1,AS310-AR310,AS310)+AQ311,0)</x:f>
        <x:v>195.9408261105128</x:v>
      </x:c>
      <x:c r="AT311" s="11" t="n">
        <x:f>IF(AR311&gt;0,MIN(1,AS311/AR311),1)</x:f>
        <x:v>0.1835820804543275</x:v>
      </x:c>
      <x:c r="AU311" s="10" t="n">
        <x:f>AB311/INDEX(v01_RepScale,G311)</x:f>
        <x:v>25.78418806127287</x:v>
      </x:c>
      <x:c r="AV311" s="32" t="n">
        <x:f>AM311*60/v01_SeasonSeconds</x:f>
        <x:v>11.61911545942769</x:v>
      </x:c>
    </x:row>
    <x:row r="312">
      <x:c r="A312" s="8" t="n">
        <x:f>A311+1</x:f>
        <x:v>309</x:v>
      </x:c>
      <x:c r="B312" s="9" t="n">
        <x:f>A312*v01_SeasonSeconds/60</x:f>
        <x:v>77.25</x:v>
      </x:c>
      <x:c r="C312" s="9" t="n">
        <x:f>A312/4</x:f>
        <x:v>77.25</x:v>
      </x:c>
      <x:c r="D312" s="8" t="n">
        <x:f>IF(MOD(A312,4)=0,1,0)</x:f>
        <x:v>0</x:v>
      </x:c>
      <x:c r="E312" s="8" t="n">
        <x:f>IF(AND(F311&lt;=9,AS311&gt;=AR311),1,0)</x:f>
        <x:v>0</x:v>
      </x:c>
      <x:c r="F312" s="8" t="n">
        <x:f>MIN(10,F311+E312)</x:f>
        <x:v>1</x:v>
      </x:c>
      <x:c r="G312" s="8" t="n">
        <x:f>MIN(F312,9)+1</x:f>
        <x:v>2</x:v>
      </x:c>
      <x:c r="H312" s="8" t="n">
        <x:f>IF(F312&lt;=9,1,0)</x:f>
        <x:v>1</x:v>
      </x:c>
      <x:c r="I312" s="9" t="n">
        <x:f>MIN(10,F311+IF(AR311&gt;0,MIN(1,AS311/AR311),1))</x:f>
        <x:v>1.1835820804543276</x:v>
      </x:c>
      <x:c r="J312" s="32" t="n">
        <x:f>INDEX(v01_FoodCap,G312)*Arch_FoodCap*EXP(v01_CapsByProject*SUMPRODUCT((Cap_Point&lt;=I312)*(Cap_Kind="Food")*Cap_Ln))</x:f>
        <x:v>30</x:v>
      </x:c>
      <x:c r="K312" s="32" t="n">
        <x:f>J312*MIN(1,v01_LeanBase*EXP(v01_CapsByProject*SUMPRODUCT((Cap_Point&lt;=I312)*(Cap_Kind="Lean")*Cap_Ln)))</x:f>
        <x:v>30</x:v>
      </x:c>
      <x:c r="L312" s="10" t="n">
        <x:f>INDEX(v01_HousingCap,G312)*EXP(v01_CapsByProject*SUMPRODUCT((Cap_Point&lt;=I312)*(Cap_Kind="Housing")*Cap_Ln))</x:f>
        <x:v>60</x:v>
      </x:c>
      <x:c r="M312" s="10" t="n">
        <x:f>INDEX(v01_GroupCap,G312)*v01_CohesionFactor*EXP(v01_CapsByProject*SUMPRODUCT((Cap_Point&lt;=I312)*(Cap_Kind="Group")*Cap_Ln))</x:f>
        <x:v>100</x:v>
      </x:c>
      <x:c r="N312" s="32" t="n">
        <x:f>MIN(J312,L312,M312)</x:f>
        <x:v>30</x:v>
      </x:c>
      <x:c r="O312" s="10" t="n">
        <x:f>AE311*N312</x:f>
        <x:v>60</x:v>
      </x:c>
      <x:c r="P312" s="9" t="n">
        <x:f>MIN(1,(AB311/(AE311*IF(v01_GroupInCrowding=1,N312,MIN(J312,L312))))^v01_CrowdingExp)</x:f>
        <x:v>0.006298153749969508</x:v>
      </x:c>
      <x:c r="Q312" s="9" t="n">
        <x:f>IF(D312=1,INDEX(v01_WinterMult,G312),1)</x:f>
        <x:v>1</x:v>
      </x:c>
      <x:c r="R312" s="9" t="n">
        <x:f>H312*Z311*v01_WomenShare*v01_BaseFertility*INDEX(v01_FertMult,G312)*Arch_Fertility*(1-P312)</x:f>
        <x:v>0.44732415987321766</x:v>
      </x:c>
      <x:c r="S312" s="9" t="n">
        <x:f>H312*Y311*INDEX(v01_MortChild,G312)/4*Q312</x:f>
        <x:v>0.09012340152948602</x:v>
      </x:c>
      <x:c r="T312" s="9" t="n">
        <x:f>H312*Z311*INDEX(v01_MortAdult,G312)*Arch_AdultMort/4*Q312</x:f>
        <x:v>0.03901380882201181</x:v>
      </x:c>
      <x:c r="U312" s="9" t="n">
        <x:f>H312*AA311*INDEX(v01_MortElder,G312)/4*Q312</x:f>
        <x:v>0.06960243750612</x:v>
      </x:c>
      <x:c r="V312" s="9" t="n">
        <x:f>H312*MAX(0,AB311-O312)*v01_OvercapLoss</x:f>
        <x:v>0</x:v>
      </x:c>
      <x:c r="W312" s="9" t="n">
        <x:f>H312*Y311/(v01_ChildYears*4)</x:f>
        <x:v>0.183925309243849</x:v>
      </x:c>
      <x:c r="X312" s="9" t="n">
        <x:f>H312*Z311/(v01_AdultYears*4)</x:f>
        <x:v>0.09680845861541393</x:v>
      </x:c>
      <x:c r="Y312" s="32" t="n">
        <x:f>Y311+R312-S312-W312-Y311*V312/AB311</x:f>
        <x:v>10.473092766755427</x:v>
      </x:c>
      <x:c r="Z312" s="32" t="n">
        <x:f>Z311+W312-X312-T312-Z311*V312/AB311</x:f>
        <x:v>12.05235191011775</x:v>
      </x:c>
      <x:c r="AA312" s="32" t="n">
        <x:f>AA311+X312-U312-AA311*V312/AB311</x:f>
        <x:v>3.5073278964152936</x:v>
      </x:c>
      <x:c r="AB312" s="10" t="n">
        <x:f>Y312+Z312+AA312</x:f>
        <x:v>26.032772573288472</x:v>
      </x:c>
      <x:c r="AC312" s="8" t="n">
        <x:f>IF(AND(v01_WinterTrigger=1,D312=1,AB311/AE311&gt;=K312),1,0)</x:f>
        <x:v>0</x:v>
      </x:c>
      <x:c r="AD312" s="8" t="n">
        <x:f>H312*IF(AND(OR(AB311/AE311&gt;=v01_FissionTrigger*N312,AC312=1),AB311/AE311*v01_DaughterShare&gt;=v01_MinDaughter),MAX(1,ROUND(AE311*v01_FissionRate,0)),0)</x:f>
        <x:v>0</x:v>
      </x:c>
      <x:c r="AE312" s="8" t="n">
        <x:f>IF(H312=1,MAX(1,MIN(INDEX(v01_Smax,G312),AE311+AD312)),AE311)</x:f>
        <x:v>2</x:v>
      </x:c>
      <x:c r="AF312" s="8" t="n">
        <x:f>MAX(0,AE312-AE311)</x:f>
        <x:v>0</x:v>
      </x:c>
      <x:c r="AG312" s="9" t="str">
        <x:f>IF(AF312&gt;0,B312,"")</x:f>
      </x:c>
      <x:c r="AH312" s="9" t="n">
        <x:f>IF(F312&gt;=1,1,(1+v01_LowTiesShare*(AE312-1))/AE312)</x:f>
        <x:v>1</x:v>
      </x:c>
      <x:c r="AI312" s="32" t="n">
        <x:f>(Z312+v01_ElderCommons*INDEX(LM_Elder,G312)*AA312)*AH312</x:f>
        <x:v>20.64351561696431</x:v>
      </x:c>
      <x:c r="AJ312" s="32" t="n">
        <x:f>H312*v01_CommonsCoef*AI312^v01_CommonsExp*INDEX(LM_Commons,G312)</x:f>
        <x:v>8.651871223529584</x:v>
      </x:c>
      <x:c r="AK312" s="32" t="n">
        <x:f>H312*v01_RoleScale*Arch_Roles*(AE312*(INDEX(v01_ElderRolePerSett,G312)*v01_OutElder*INDEX(LM_Elder,G312)+INDEX(v01_ShamanPerSett,G312)*v01_OutShaman)+Z312*(INDEX(v01_PriestShare,G312)*v01_OutPriest+INDEX(v01_ScribeShare,G312)*v01_OutScribe*INDEX(LM_Scribe,G312)+INDEX(v01_ScholarShare,G312)*v01_OutScholar*INDEX(LM_Scholar,G312)+INDEX(v01_ResearcherShare,G312)*v01_OutResearcher*INDEX(LM_Researcher,G312)))</x:f>
        <x:v>2.724744871391589</x:v>
      </x:c>
      <x:c r="AL312" s="32" t="n">
        <x:f>H312*v01_RoleScale*Arch_Roles*AE312*INDEX(v01_MonasteryPerSett,G312)*v01_OutMonastery*INDEX(LM_Monastery,G312)</x:f>
        <x:v>0</x:v>
      </x:c>
      <x:c r="AM312" s="32" t="n">
        <x:f>(AJ312+AK312+AL312)/4*INDEX(LM_All,G312)*INDEX(v01_Boon,G312)*Arch_Insight</x:f>
        <x:v>2.9152578743235504</x:v>
      </x:c>
      <x:c r="AN312" s="32" t="n">
        <x:f>H312*(v01_KHPerAdult*Z312+v01_KHOfCommons*AJ312/4*INDEX(LM_All,G312))*v01_KHUsable*Arch_KH</x:f>
        <x:v>0.42183231685412126</x:v>
      </x:c>
      <x:c r="AO312" s="32" t="n">
        <x:f>MIN(AP311+AN312,AM312*v01_KHMaxRatio)</x:f>
        <x:v>0.42183231685412126</x:v>
      </x:c>
      <x:c r="AP312" s="32" t="n">
        <x:f>AP311+AN312-AO312</x:f>
        <x:v>0</x:v>
      </x:c>
      <x:c r="AQ312" s="32" t="n">
        <x:f>AM312+AO312</x:f>
        <x:v>3.337090191177672</x:v>
      </x:c>
      <x:c r="AR312" s="10" t="n">
        <x:f>IF(H312=1,INDEX(v01_Req,G312),0)</x:f>
        <x:v>1067.32</x:v>
      </x:c>
      <x:c r="AS312" s="32" t="n">
        <x:f>IF(H312=1,IF(E312=1,AS311-AR311,AS311)+AQ312,0)</x:f>
        <x:v>199.27791630169048</x:v>
      </x:c>
      <x:c r="AT312" s="11" t="n">
        <x:f>IF(AR312&gt;0,MIN(1,AS312/AR312),1)</x:f>
        <x:v>0.1867086874617645</x:v>
      </x:c>
      <x:c r="AU312" s="10" t="n">
        <x:f>AB312/INDEX(v01_RepScale,G312)</x:f>
        <x:v>26.032772573288472</x:v>
      </x:c>
      <x:c r="AV312" s="32" t="n">
        <x:f>AM312*60/v01_SeasonSeconds</x:f>
        <x:v>11.661031497294202</x:v>
      </x:c>
    </x:row>
    <x:row r="313">
      <x:c r="A313" s="8" t="n">
        <x:f>A312+1</x:f>
        <x:v>310</x:v>
      </x:c>
      <x:c r="B313" s="9" t="n">
        <x:f>A313*v01_SeasonSeconds/60</x:f>
        <x:v>77.5</x:v>
      </x:c>
      <x:c r="C313" s="9" t="n">
        <x:f>A313/4</x:f>
        <x:v>77.5</x:v>
      </x:c>
      <x:c r="D313" s="8" t="n">
        <x:f>IF(MOD(A313,4)=0,1,0)</x:f>
        <x:v>0</x:v>
      </x:c>
      <x:c r="E313" s="8" t="n">
        <x:f>IF(AND(F312&lt;=9,AS312&gt;=AR312),1,0)</x:f>
        <x:v>0</x:v>
      </x:c>
      <x:c r="F313" s="8" t="n">
        <x:f>MIN(10,F312+E313)</x:f>
        <x:v>1</x:v>
      </x:c>
      <x:c r="G313" s="8" t="n">
        <x:f>MIN(F313,9)+1</x:f>
        <x:v>2</x:v>
      </x:c>
      <x:c r="H313" s="8" t="n">
        <x:f>IF(F313&lt;=9,1,0)</x:f>
        <x:v>1</x:v>
      </x:c>
      <x:c r="I313" s="9" t="n">
        <x:f>MIN(10,F312+IF(AR312&gt;0,MIN(1,AS312/AR312),1))</x:f>
        <x:v>1.1867086874617645</x:v>
      </x:c>
      <x:c r="J313" s="32" t="n">
        <x:f>INDEX(v01_FoodCap,G313)*Arch_FoodCap*EXP(v01_CapsByProject*SUMPRODUCT((Cap_Point&lt;=I313)*(Cap_Kind="Food")*Cap_Ln))</x:f>
        <x:v>30</x:v>
      </x:c>
      <x:c r="K313" s="32" t="n">
        <x:f>J313*MIN(1,v01_LeanBase*EXP(v01_CapsByProject*SUMPRODUCT((Cap_Point&lt;=I313)*(Cap_Kind="Lean")*Cap_Ln)))</x:f>
        <x:v>30</x:v>
      </x:c>
      <x:c r="L313" s="10" t="n">
        <x:f>INDEX(v01_HousingCap,G313)*EXP(v01_CapsByProject*SUMPRODUCT((Cap_Point&lt;=I313)*(Cap_Kind="Housing")*Cap_Ln))</x:f>
        <x:v>60</x:v>
      </x:c>
      <x:c r="M313" s="10" t="n">
        <x:f>INDEX(v01_GroupCap,G313)*v01_CohesionFactor*EXP(v01_CapsByProject*SUMPRODUCT((Cap_Point&lt;=I313)*(Cap_Kind="Group")*Cap_Ln))</x:f>
        <x:v>100</x:v>
      </x:c>
      <x:c r="N313" s="32" t="n">
        <x:f>MIN(J313,L313,M313)</x:f>
        <x:v>30</x:v>
      </x:c>
      <x:c r="O313" s="10" t="n">
        <x:f>AE312*N313</x:f>
        <x:v>60</x:v>
      </x:c>
      <x:c r="P313" s="9" t="n">
        <x:f>MIN(1,(AB312/(AE312*IF(v01_GroupInCrowding=1,N313,MIN(J313,L313))))^v01_CrowdingExp)</x:f>
        <x:v>0.006671370244930951</x:v>
      </x:c>
      <x:c r="Q313" s="9" t="n">
        <x:f>IF(D313=1,INDEX(v01_WinterMult,G313),1)</x:f>
        <x:v>1</x:v>
      </x:c>
      <x:c r="R313" s="9" t="n">
        <x:f>H313*Z312*v01_WomenShare*v01_BaseFertility*INDEX(v01_FertMult,G313)*Arch_Fertility*(1-P313)</x:f>
        <x:v>0.4489479828076183</x:v>
      </x:c>
      <x:c r="S313" s="9" t="n">
        <x:f>H313*Y312*INDEX(v01_MortChild,G313)/4*Q313</x:f>
        <x:v>0.09163956170910999</x:v>
      </x:c>
      <x:c r="T313" s="9" t="n">
        <x:f>H313*Z312*INDEX(v01_MortAdult,G313)*Arch_AdultMort/4*Q313</x:f>
        <x:v>0.03917014370788269</x:v>
      </x:c>
      <x:c r="U313" s="9" t="n">
        <x:f>H313*AA312*INDEX(v01_MortElder,G313)/4*Q313</x:f>
        <x:v>0.07014655792830587</x:v>
      </x:c>
      <x:c r="V313" s="9" t="n">
        <x:f>H313*MAX(0,AB312-O313)*v01_OvercapLoss</x:f>
        <x:v>0</x:v>
      </x:c>
      <x:c r="W313" s="9" t="n">
        <x:f>H313*Y312/(v01_ChildYears*4)</x:f>
        <x:v>0.18701951369206118</x:v>
      </x:c>
      <x:c r="X313" s="9" t="n">
        <x:f>H313*Z312/(v01_AdultYears*4)</x:f>
        <x:v>0.09719638637191734</x:v>
      </x:c>
      <x:c r="Y313" s="32" t="n">
        <x:f>Y312+R313-S313-W313-Y312*V313/AB312</x:f>
        <x:v>10.643381674161875</x:v>
      </x:c>
      <x:c r="Z313" s="32" t="n">
        <x:f>Z312+W313-X313-T313-Z312*V313/AB312</x:f>
        <x:v>12.10300489373001</x:v>
      </x:c>
      <x:c r="AA313" s="32" t="n">
        <x:f>AA312+X313-U313-AA312*V313/AB312</x:f>
        <x:v>3.534377724858905</x:v>
      </x:c>
      <x:c r="AB313" s="10" t="n">
        <x:f>Y313+Z313+AA313</x:f>
        <x:v>26.28076429275079</x:v>
      </x:c>
      <x:c r="AC313" s="8" t="n">
        <x:f>IF(AND(v01_WinterTrigger=1,D313=1,AB312/AE312&gt;=K313),1,0)</x:f>
        <x:v>0</x:v>
      </x:c>
      <x:c r="AD313" s="8" t="n">
        <x:f>H313*IF(AND(OR(AB312/AE312&gt;=v01_FissionTrigger*N313,AC313=1),AB312/AE312*v01_DaughterShare&gt;=v01_MinDaughter),MAX(1,ROUND(AE312*v01_FissionRate,0)),0)</x:f>
        <x:v>0</x:v>
      </x:c>
      <x:c r="AE313" s="8" t="n">
        <x:f>IF(H313=1,MAX(1,MIN(INDEX(v01_Smax,G313),AE312+AD313)),AE312)</x:f>
        <x:v>2</x:v>
      </x:c>
      <x:c r="AF313" s="8" t="n">
        <x:f>MAX(0,AE313-AE312)</x:f>
        <x:v>0</x:v>
      </x:c>
      <x:c r="AG313" s="9" t="str">
        <x:f>IF(AF313&gt;0,B313,"")</x:f>
      </x:c>
      <x:c r="AH313" s="9" t="n">
        <x:f>IF(F313&gt;=1,1,(1+v01_LowTiesShare*(AE313-1))/AE313)</x:f>
        <x:v>1</x:v>
      </x:c>
      <x:c r="AI313" s="32" t="n">
        <x:f>(Z313+v01_ElderCommons*INDEX(LM_Elder,G313)*AA313)*AH313</x:f>
        <x:v>20.76042687789324</x:v>
      </x:c>
      <x:c r="AJ313" s="32" t="n">
        <x:f>H313*v01_CommonsCoef*AI313^v01_CommonsExp*INDEX(LM_Commons,G313)</x:f>
        <x:v>8.693502291320604</x:v>
      </x:c>
      <x:c r="AK313" s="32" t="n">
        <x:f>H313*v01_RoleScale*Arch_Roles*(AE313*(INDEX(v01_ElderRolePerSett,G313)*v01_OutElder*INDEX(LM_Elder,G313)+INDEX(v01_ShamanPerSett,G313)*v01_OutShaman)+Z313*(INDEX(v01_PriestShare,G313)*v01_OutPriest+INDEX(v01_ScribeShare,G313)*v01_OutScribe*INDEX(LM_Scribe,G313)+INDEX(v01_ScholarShare,G313)*v01_OutScholar*INDEX(LM_Scholar,G313)+INDEX(v01_ResearcherShare,G313)*v01_OutResearcher*INDEX(LM_Researcher,G313)))</x:f>
        <x:v>2.724744871391589</x:v>
      </x:c>
      <x:c r="AL313" s="32" t="n">
        <x:f>H313*v01_RoleScale*Arch_Roles*AE313*INDEX(v01_MonasteryPerSett,G313)*v01_OutMonastery*INDEX(LM_Monastery,G313)</x:f>
        <x:v>0</x:v>
      </x:c>
      <x:c r="AM313" s="32" t="n">
        <x:f>(AJ313+AK313+AL313)/4*INDEX(LM_All,G313)*INDEX(v01_Boon,G313)*Arch_Insight</x:f>
        <x:v>2.9259258354449993</x:v>
      </x:c>
      <x:c r="AN313" s="32" t="n">
        <x:f>H313*(v01_KHPerAdult*Z313+v01_KHOfCommons*AJ313/4*INDEX(LM_All,G313))*v01_KHUsable*Arch_KH</x:f>
        <x:v>0.4236051712805503</x:v>
      </x:c>
      <x:c r="AO313" s="32" t="n">
        <x:f>MIN(AP312+AN313,AM313*v01_KHMaxRatio)</x:f>
        <x:v>0.4236051712805503</x:v>
      </x:c>
      <x:c r="AP313" s="32" t="n">
        <x:f>AP312+AN313-AO313</x:f>
        <x:v>0</x:v>
      </x:c>
      <x:c r="AQ313" s="32" t="n">
        <x:f>AM313+AO313</x:f>
        <x:v>3.3495310067255497</x:v>
      </x:c>
      <x:c r="AR313" s="10" t="n">
        <x:f>IF(H313=1,INDEX(v01_Req,G313),0)</x:f>
        <x:v>1067.32</x:v>
      </x:c>
      <x:c r="AS313" s="32" t="n">
        <x:f>IF(H313=1,IF(E313=1,AS312-AR312,AS312)+AQ313,0)</x:f>
        <x:v>202.62744730841604</x:v>
      </x:c>
      <x:c r="AT313" s="11" t="n">
        <x:f>IF(AR313&gt;0,MIN(1,AS313/AR313),1)</x:f>
        <x:v>0.189846950594401</x:v>
      </x:c>
      <x:c r="AU313" s="10" t="n">
        <x:f>AB313/INDEX(v01_RepScale,G313)</x:f>
        <x:v>26.28076429275079</x:v>
      </x:c>
      <x:c r="AV313" s="32" t="n">
        <x:f>AM313*60/v01_SeasonSeconds</x:f>
        <x:v>11.703703341779997</x:v>
      </x:c>
    </x:row>
    <x:row r="314">
      <x:c r="A314" s="8" t="n">
        <x:f>A313+1</x:f>
        <x:v>311</x:v>
      </x:c>
      <x:c r="B314" s="9" t="n">
        <x:f>A314*v01_SeasonSeconds/60</x:f>
        <x:v>77.75</x:v>
      </x:c>
      <x:c r="C314" s="9" t="n">
        <x:f>A314/4</x:f>
        <x:v>77.75</x:v>
      </x:c>
      <x:c r="D314" s="8" t="n">
        <x:f>IF(MOD(A314,4)=0,1,0)</x:f>
        <x:v>0</x:v>
      </x:c>
      <x:c r="E314" s="8" t="n">
        <x:f>IF(AND(F313&lt;=9,AS313&gt;=AR313),1,0)</x:f>
        <x:v>0</x:v>
      </x:c>
      <x:c r="F314" s="8" t="n">
        <x:f>MIN(10,F313+E314)</x:f>
        <x:v>1</x:v>
      </x:c>
      <x:c r="G314" s="8" t="n">
        <x:f>MIN(F314,9)+1</x:f>
        <x:v>2</x:v>
      </x:c>
      <x:c r="H314" s="8" t="n">
        <x:f>IF(F314&lt;=9,1,0)</x:f>
        <x:v>1</x:v>
      </x:c>
      <x:c r="I314" s="9" t="n">
        <x:f>MIN(10,F313+IF(AR313&gt;0,MIN(1,AS313/AR313),1))</x:f>
        <x:v>1.189846950594401</x:v>
      </x:c>
      <x:c r="J314" s="32" t="n">
        <x:f>INDEX(v01_FoodCap,G314)*Arch_FoodCap*EXP(v01_CapsByProject*SUMPRODUCT((Cap_Point&lt;=I314)*(Cap_Kind="Food")*Cap_Ln))</x:f>
        <x:v>30</x:v>
      </x:c>
      <x:c r="K314" s="32" t="n">
        <x:f>J314*MIN(1,v01_LeanBase*EXP(v01_CapsByProject*SUMPRODUCT((Cap_Point&lt;=I314)*(Cap_Kind="Lean")*Cap_Ln)))</x:f>
        <x:v>30</x:v>
      </x:c>
      <x:c r="L314" s="10" t="n">
        <x:f>INDEX(v01_HousingCap,G314)*EXP(v01_CapsByProject*SUMPRODUCT((Cap_Point&lt;=I314)*(Cap_Kind="Housing")*Cap_Ln))</x:f>
        <x:v>60</x:v>
      </x:c>
      <x:c r="M314" s="10" t="n">
        <x:f>INDEX(v01_GroupCap,G314)*v01_CohesionFactor*EXP(v01_CapsByProject*SUMPRODUCT((Cap_Point&lt;=I314)*(Cap_Kind="Group")*Cap_Ln))</x:f>
        <x:v>100</x:v>
      </x:c>
      <x:c r="N314" s="32" t="n">
        <x:f>MIN(J314,L314,M314)</x:f>
        <x:v>30</x:v>
      </x:c>
      <x:c r="O314" s="10" t="n">
        <x:f>AE313*N314</x:f>
        <x:v>60</x:v>
      </x:c>
      <x:c r="P314" s="9" t="n">
        <x:f>MIN(1,(AB313/(AE313*IF(v01_GroupInCrowding=1,N314,MIN(J314,L314))))^v01_CrowdingExp)</x:f>
        <x:v>0.007061881806881633</x:v>
      </x:c>
      <x:c r="Q314" s="9" t="n">
        <x:f>IF(D314=1,INDEX(v01_WinterMult,G314),1)</x:f>
        <x:v>1</x:v>
      </x:c>
      <x:c r="R314" s="9" t="n">
        <x:f>H314*Z313*v01_WomenShare*v01_BaseFertility*INDEX(v01_FertMult,G314)*Arch_Fertility*(1-P314)</x:f>
        <x:v>0.4506575588873392</x:v>
      </x:c>
      <x:c r="S314" s="9" t="n">
        <x:f>H314*Y313*INDEX(v01_MortChild,G314)/4*Q314</x:f>
        <x:v>0.0931295896489164</x:v>
      </x:c>
      <x:c r="T314" s="9" t="n">
        <x:f>H314*Z313*INDEX(v01_MortAdult,G314)*Arch_AdultMort/4*Q314</x:f>
        <x:v>0.03933476590462253</x:v>
      </x:c>
      <x:c r="U314" s="9" t="n">
        <x:f>H314*AA313*INDEX(v01_MortElder,G314)/4*Q314</x:f>
        <x:v>0.0706875544971781</x:v>
      </x:c>
      <x:c r="V314" s="9" t="n">
        <x:f>H314*MAX(0,AB313-O314)*v01_OvercapLoss</x:f>
        <x:v>0</x:v>
      </x:c>
      <x:c r="W314" s="9" t="n">
        <x:f>H314*Y313/(v01_ChildYears*4)</x:f>
        <x:v>0.1900603870386049</x:v>
      </x:c>
      <x:c r="X314" s="9" t="n">
        <x:f>H314*Z313/(v01_AdultYears*4)</x:f>
        <x:v>0.09760487817524201</x:v>
      </x:c>
      <x:c r="Y314" s="32" t="n">
        <x:f>Y313+R314-S314-W314-Y313*V314/AB313</x:f>
        <x:v>10.810849256361694</x:v>
      </x:c>
      <x:c r="Z314" s="32" t="n">
        <x:f>Z313+W314-X314-T314-Z313*V314/AB313</x:f>
        <x:v>12.156125636688751</x:v>
      </x:c>
      <x:c r="AA314" s="32" t="n">
        <x:f>AA313+X314-U314-AA313*V314/AB313</x:f>
        <x:v>3.561295048536969</x:v>
      </x:c>
      <x:c r="AB314" s="10" t="n">
        <x:f>Y314+Z314+AA314</x:f>
        <x:v>26.528269941587414</x:v>
      </x:c>
      <x:c r="AC314" s="8" t="n">
        <x:f>IF(AND(v01_WinterTrigger=1,D314=1,AB313/AE313&gt;=K314),1,0)</x:f>
        <x:v>0</x:v>
      </x:c>
      <x:c r="AD314" s="8" t="n">
        <x:f>H314*IF(AND(OR(AB313/AE313&gt;=v01_FissionTrigger*N314,AC314=1),AB313/AE313*v01_DaughterShare&gt;=v01_MinDaughter),MAX(1,ROUND(AE313*v01_FissionRate,0)),0)</x:f>
        <x:v>0</x:v>
      </x:c>
      <x:c r="AE314" s="8" t="n">
        <x:f>IF(H314=1,MAX(1,MIN(INDEX(v01_Smax,G314),AE313+AD314)),AE313)</x:f>
        <x:v>2</x:v>
      </x:c>
      <x:c r="AF314" s="8" t="n">
        <x:f>MAX(0,AE314-AE313)</x:f>
        <x:v>0</x:v>
      </x:c>
      <x:c r="AG314" s="9" t="str">
        <x:f>IF(AF314&gt;0,B314,"")</x:f>
      </x:c>
      <x:c r="AH314" s="9" t="n">
        <x:f>IF(F314&gt;=1,1,(1+v01_LowTiesShare*(AE314-1))/AE314)</x:f>
        <x:v>1</x:v>
      </x:c>
      <x:c r="AI314" s="32" t="n">
        <x:f>(Z314+v01_ElderCommons*INDEX(LM_Elder,G314)*AA314)*AH314</x:f>
        <x:v>20.87948132910458</x:v>
      </x:c>
      <x:c r="AJ314" s="32" t="n">
        <x:f>H314*v01_CommonsCoef*AI314^v01_CommonsExp*INDEX(LM_Commons,G314)</x:f>
        <x:v>8.735860407345614</x:v>
      </x:c>
      <x:c r="AK314" s="32" t="n">
        <x:f>H314*v01_RoleScale*Arch_Roles*(AE314*(INDEX(v01_ElderRolePerSett,G314)*v01_OutElder*INDEX(LM_Elder,G314)+INDEX(v01_ShamanPerSett,G314)*v01_OutShaman)+Z314*(INDEX(v01_PriestShare,G314)*v01_OutPriest+INDEX(v01_ScribeShare,G314)*v01_OutScribe*INDEX(LM_Scribe,G314)+INDEX(v01_ScholarShare,G314)*v01_OutScholar*INDEX(LM_Scholar,G314)+INDEX(v01_ResearcherShare,G314)*v01_OutResearcher*INDEX(LM_Researcher,G314)))</x:f>
        <x:v>2.724744871391589</x:v>
      </x:c>
      <x:c r="AL314" s="32" t="n">
        <x:f>H314*v01_RoleScale*Arch_Roles*AE314*INDEX(v01_MonasteryPerSett,G314)*v01_OutMonastery*INDEX(LM_Monastery,G314)</x:f>
        <x:v>0</x:v>
      </x:c>
      <x:c r="AM314" s="32" t="n">
        <x:f>(AJ314+AK314+AL314)/4*INDEX(LM_All,G314)*INDEX(v01_Boon,G314)*Arch_Insight</x:f>
        <x:v>2.936780102676408</x:v>
      </x:c>
      <x:c r="AN314" s="32" t="n">
        <x:f>H314*(v01_KHPerAdult*Z314+v01_KHOfCommons*AJ314/4*INDEX(LM_All,G314))*v01_KHUsable*Arch_KH</x:f>
        <x:v>0.42546439728410634</x:v>
      </x:c>
      <x:c r="AO314" s="32" t="n">
        <x:f>MIN(AP313+AN314,AM314*v01_KHMaxRatio)</x:f>
        <x:v>0.42546439728410634</x:v>
      </x:c>
      <x:c r="AP314" s="32" t="n">
        <x:f>AP313+AN314-AO314</x:f>
        <x:v>0</x:v>
      </x:c>
      <x:c r="AQ314" s="32" t="n">
        <x:f>AM314+AO314</x:f>
        <x:v>3.3622444999605143</x:v>
      </x:c>
      <x:c r="AR314" s="10" t="n">
        <x:f>IF(H314=1,INDEX(v01_Req,G314),0)</x:f>
        <x:v>1067.32</x:v>
      </x:c>
      <x:c r="AS314" s="32" t="n">
        <x:f>IF(H314=1,IF(E314=1,AS313-AR313,AS313)+AQ314,0)</x:f>
        <x:v>205.98969180837656</x:v>
      </x:c>
      <x:c r="AT314" s="11" t="n">
        <x:f>IF(AR314&gt;0,MIN(1,AS314/AR314),1)</x:f>
        <x:v>0.19299712533108776</x:v>
      </x:c>
      <x:c r="AU314" s="10" t="n">
        <x:f>AB314/INDEX(v01_RepScale,G314)</x:f>
        <x:v>26.528269941587414</x:v>
      </x:c>
      <x:c r="AV314" s="32" t="n">
        <x:f>AM314*60/v01_SeasonSeconds</x:f>
        <x:v>11.747120410705632</x:v>
      </x:c>
    </x:row>
    <x:row r="315">
      <x:c r="A315" s="8" t="n">
        <x:f>A314+1</x:f>
        <x:v>312</x:v>
      </x:c>
      <x:c r="B315" s="9" t="n">
        <x:f>A315*v01_SeasonSeconds/60</x:f>
        <x:v>78</x:v>
      </x:c>
      <x:c r="C315" s="9" t="n">
        <x:f>A315/4</x:f>
        <x:v>78</x:v>
      </x:c>
      <x:c r="D315" s="8" t="n">
        <x:f>IF(MOD(A315,4)=0,1,0)</x:f>
        <x:v>1</x:v>
      </x:c>
      <x:c r="E315" s="8" t="n">
        <x:f>IF(AND(F314&lt;=9,AS314&gt;=AR314),1,0)</x:f>
        <x:v>0</x:v>
      </x:c>
      <x:c r="F315" s="8" t="n">
        <x:f>MIN(10,F314+E315)</x:f>
        <x:v>1</x:v>
      </x:c>
      <x:c r="G315" s="8" t="n">
        <x:f>MIN(F315,9)+1</x:f>
        <x:v>2</x:v>
      </x:c>
      <x:c r="H315" s="8" t="n">
        <x:f>IF(F315&lt;=9,1,0)</x:f>
        <x:v>1</x:v>
      </x:c>
      <x:c r="I315" s="9" t="n">
        <x:f>MIN(10,F314+IF(AR314&gt;0,MIN(1,AS314/AR314),1))</x:f>
        <x:v>1.1929971253310878</x:v>
      </x:c>
      <x:c r="J315" s="32" t="n">
        <x:f>INDEX(v01_FoodCap,G315)*Arch_FoodCap*EXP(v01_CapsByProject*SUMPRODUCT((Cap_Point&lt;=I315)*(Cap_Kind="Food")*Cap_Ln))</x:f>
        <x:v>30</x:v>
      </x:c>
      <x:c r="K315" s="32" t="n">
        <x:f>J315*MIN(1,v01_LeanBase*EXP(v01_CapsByProject*SUMPRODUCT((Cap_Point&lt;=I315)*(Cap_Kind="Lean")*Cap_Ln)))</x:f>
        <x:v>30</x:v>
      </x:c>
      <x:c r="L315" s="10" t="n">
        <x:f>INDEX(v01_HousingCap,G315)*EXP(v01_CapsByProject*SUMPRODUCT((Cap_Point&lt;=I315)*(Cap_Kind="Housing")*Cap_Ln))</x:f>
        <x:v>60</x:v>
      </x:c>
      <x:c r="M315" s="10" t="n">
        <x:f>INDEX(v01_GroupCap,G315)*v01_CohesionFactor*EXP(v01_CapsByProject*SUMPRODUCT((Cap_Point&lt;=I315)*(Cap_Kind="Group")*Cap_Ln))</x:f>
        <x:v>100</x:v>
      </x:c>
      <x:c r="N315" s="32" t="n">
        <x:f>MIN(J315,L315,M315)</x:f>
        <x:v>30</x:v>
      </x:c>
      <x:c r="O315" s="10" t="n">
        <x:f>AE314*N315</x:f>
        <x:v>60</x:v>
      </x:c>
      <x:c r="P315" s="9" t="n">
        <x:f>MIN(1,(AB314/(AE314*IF(v01_GroupInCrowding=1,N315,MIN(J315,L315))))^v01_CrowdingExp)</x:f>
        <x:v>0.007470438010697665</x:v>
      </x:c>
      <x:c r="Q315" s="9" t="n">
        <x:f>IF(D315=1,INDEX(v01_WinterMult,G315),1)</x:f>
        <x:v>1.6</x:v>
      </x:c>
      <x:c r="R315" s="9" t="n">
        <x:f>H315*Z314*v01_WomenShare*v01_BaseFertility*INDEX(v01_FertMult,G315)*Arch_Fertility*(1-P315)</x:f>
        <x:v>0.45244927701261056</x:v>
      </x:c>
      <x:c r="S315" s="9" t="n">
        <x:f>H315*Y314*INDEX(v01_MortChild,G315)/4*Q315</x:f>
        <x:v>0.15135188958906376</x:v>
      </x:c>
      <x:c r="T315" s="9" t="n">
        <x:f>H315*Z314*INDEX(v01_MortAdult,G315)*Arch_AdultMort/4*Q315</x:f>
        <x:v>0.06321185331078151</x:v>
      </x:c>
      <x:c r="U315" s="9" t="n">
        <x:f>H315*AA314*INDEX(v01_MortElder,G315)/4*Q315</x:f>
        <x:v>0.11396144155318302</x:v>
      </x:c>
      <x:c r="V315" s="9" t="n">
        <x:f>H315*MAX(0,AB314-O315)*v01_OvercapLoss</x:f>
        <x:v>0</x:v>
      </x:c>
      <x:c r="W315" s="9" t="n">
        <x:f>H315*Y314/(v01_ChildYears*4)</x:f>
        <x:v>0.19305087957788739</x:v>
      </x:c>
      <x:c r="X315" s="9" t="n">
        <x:f>H315*Z314/(v01_AdultYears*4)</x:f>
        <x:v>0.09803327126361897</x:v>
      </x:c>
      <x:c r="Y315" s="32" t="n">
        <x:f>Y314+R315-S315-W315-Y314*V315/AB314</x:f>
        <x:v>10.918895764207353</x:v>
      </x:c>
      <x:c r="Z315" s="32" t="n">
        <x:f>Z314+W315-X315-T315-Z314*V315/AB314</x:f>
        <x:v>12.187931391692238</x:v>
      </x:c>
      <x:c r="AA315" s="32" t="n">
        <x:f>AA314+X315-U315-AA314*V315/AB314</x:f>
        <x:v>3.545366878247405</x:v>
      </x:c>
      <x:c r="AB315" s="10" t="n">
        <x:f>Y315+Z315+AA315</x:f>
        <x:v>26.652194034146994</x:v>
      </x:c>
      <x:c r="AC315" s="8" t="n">
        <x:f>IF(AND(v01_WinterTrigger=1,D315=1,AB314/AE314&gt;=K315),1,0)</x:f>
        <x:v>0</x:v>
      </x:c>
      <x:c r="AD315" s="8" t="n">
        <x:f>H315*IF(AND(OR(AB314/AE314&gt;=v01_FissionTrigger*N315,AC315=1),AB314/AE314*v01_DaughterShare&gt;=v01_MinDaughter),MAX(1,ROUND(AE314*v01_FissionRate,0)),0)</x:f>
        <x:v>0</x:v>
      </x:c>
      <x:c r="AE315" s="8" t="n">
        <x:f>IF(H315=1,MAX(1,MIN(INDEX(v01_Smax,G315),AE314+AD315)),AE314)</x:f>
        <x:v>2</x:v>
      </x:c>
      <x:c r="AF315" s="8" t="n">
        <x:f>MAX(0,AE315-AE314)</x:f>
        <x:v>0</x:v>
      </x:c>
      <x:c r="AG315" s="9" t="str">
        <x:f>IF(AF315&gt;0,B315,"")</x:f>
      </x:c>
      <x:c r="AH315" s="9" t="n">
        <x:f>IF(F315&gt;=1,1,(1+v01_LowTiesShare*(AE315-1))/AE315)</x:f>
        <x:v>1</x:v>
      </x:c>
      <x:c r="AI315" s="32" t="n">
        <x:f>(Z315+v01_ElderCommons*INDEX(LM_Elder,G315)*AA315)*AH315</x:f>
        <x:v>20.872271194362472</x:v>
      </x:c>
      <x:c r="AJ315" s="32" t="n">
        <x:f>H315*v01_CommonsCoef*AI315^v01_CommonsExp*INDEX(LM_Commons,G315)</x:f>
        <x:v>8.7332961622393</x:v>
      </x:c>
      <x:c r="AK315" s="32" t="n">
        <x:f>H315*v01_RoleScale*Arch_Roles*(AE315*(INDEX(v01_ElderRolePerSett,G315)*v01_OutElder*INDEX(LM_Elder,G315)+INDEX(v01_ShamanPerSett,G315)*v01_OutShaman)+Z315*(INDEX(v01_PriestShare,G315)*v01_OutPriest+INDEX(v01_ScribeShare,G315)*v01_OutScribe*INDEX(LM_Scribe,G315)+INDEX(v01_ScholarShare,G315)*v01_OutScholar*INDEX(LM_Scholar,G315)+INDEX(v01_ResearcherShare,G315)*v01_OutResearcher*INDEX(LM_Researcher,G315)))</x:f>
        <x:v>2.724744871391589</x:v>
      </x:c>
      <x:c r="AL315" s="32" t="n">
        <x:f>H315*v01_RoleScale*Arch_Roles*AE315*INDEX(v01_MonasteryPerSett,G315)*v01_OutMonastery*INDEX(LM_Monastery,G315)</x:f>
        <x:v>0</x:v>
      </x:c>
      <x:c r="AM315" s="32" t="n">
        <x:f>(AJ315+AK315+AL315)/4*INDEX(LM_All,G315)*INDEX(v01_Boon,G315)*Arch_Insight</x:f>
        <x:v>2.936123014867915</x:v>
      </x:c>
      <x:c r="AN315" s="32" t="n">
        <x:f>H315*(v01_KHPerAdult*Z315+v01_KHOfCommons*AJ315/4*INDEX(LM_All,G315))*v01_KHUsable*Arch_KH</x:f>
        <x:v>0.42657759870922834</x:v>
      </x:c>
      <x:c r="AO315" s="32" t="n">
        <x:f>MIN(AP314+AN315,AM315*v01_KHMaxRatio)</x:f>
        <x:v>0.42657759870922834</x:v>
      </x:c>
      <x:c r="AP315" s="32" t="n">
        <x:f>AP314+AN315-AO315</x:f>
        <x:v>0</x:v>
      </x:c>
      <x:c r="AQ315" s="32" t="n">
        <x:f>AM315+AO315</x:f>
        <x:v>3.3627006135771436</x:v>
      </x:c>
      <x:c r="AR315" s="10" t="n">
        <x:f>IF(H315=1,INDEX(v01_Req,G315),0)</x:f>
        <x:v>1067.32</x:v>
      </x:c>
      <x:c r="AS315" s="32" t="n">
        <x:f>IF(H315=1,IF(E315=1,AS314-AR314,AS314)+AQ315,0)</x:f>
        <x:v>209.3523924219537</x:v>
      </x:c>
      <x:c r="AT315" s="11" t="n">
        <x:f>IF(AR315&gt;0,MIN(1,AS315/AR315),1)</x:f>
        <x:v>0.19614772741254144</x:v>
      </x:c>
      <x:c r="AU315" s="10" t="n">
        <x:f>AB315/INDEX(v01_RepScale,G315)</x:f>
        <x:v>26.652194034146994</x:v>
      </x:c>
      <x:c r="AV315" s="32" t="n">
        <x:f>AM315*60/v01_SeasonSeconds</x:f>
        <x:v>11.74449205947166</x:v>
      </x:c>
    </x:row>
    <x:row r="316">
      <x:c r="A316" s="8" t="n">
        <x:f>A315+1</x:f>
        <x:v>313</x:v>
      </x:c>
      <x:c r="B316" s="9" t="n">
        <x:f>A316*v01_SeasonSeconds/60</x:f>
        <x:v>78.25</x:v>
      </x:c>
      <x:c r="C316" s="9" t="n">
        <x:f>A316/4</x:f>
        <x:v>78.25</x:v>
      </x:c>
      <x:c r="D316" s="8" t="n">
        <x:f>IF(MOD(A316,4)=0,1,0)</x:f>
        <x:v>0</x:v>
      </x:c>
      <x:c r="E316" s="8" t="n">
        <x:f>IF(AND(F315&lt;=9,AS315&gt;=AR315),1,0)</x:f>
        <x:v>0</x:v>
      </x:c>
      <x:c r="F316" s="8" t="n">
        <x:f>MIN(10,F315+E316)</x:f>
        <x:v>1</x:v>
      </x:c>
      <x:c r="G316" s="8" t="n">
        <x:f>MIN(F316,9)+1</x:f>
        <x:v>2</x:v>
      </x:c>
      <x:c r="H316" s="8" t="n">
        <x:f>IF(F316&lt;=9,1,0)</x:f>
        <x:v>1</x:v>
      </x:c>
      <x:c r="I316" s="9" t="n">
        <x:f>MIN(10,F315+IF(AR315&gt;0,MIN(1,AS315/AR315),1))</x:f>
        <x:v>1.1961477274125414</x:v>
      </x:c>
      <x:c r="J316" s="32" t="n">
        <x:f>INDEX(v01_FoodCap,G316)*Arch_FoodCap*EXP(v01_CapsByProject*SUMPRODUCT((Cap_Point&lt;=I316)*(Cap_Kind="Food")*Cap_Ln))</x:f>
        <x:v>30</x:v>
      </x:c>
      <x:c r="K316" s="32" t="n">
        <x:f>J316*MIN(1,v01_LeanBase*EXP(v01_CapsByProject*SUMPRODUCT((Cap_Point&lt;=I316)*(Cap_Kind="Lean")*Cap_Ln)))</x:f>
        <x:v>30</x:v>
      </x:c>
      <x:c r="L316" s="10" t="n">
        <x:f>INDEX(v01_HousingCap,G316)*EXP(v01_CapsByProject*SUMPRODUCT((Cap_Point&lt;=I316)*(Cap_Kind="Housing")*Cap_Ln))</x:f>
        <x:v>60</x:v>
      </x:c>
      <x:c r="M316" s="10" t="n">
        <x:f>INDEX(v01_GroupCap,G316)*v01_CohesionFactor*EXP(v01_CapsByProject*SUMPRODUCT((Cap_Point&lt;=I316)*(Cap_Kind="Group")*Cap_Ln))</x:f>
        <x:v>100</x:v>
      </x:c>
      <x:c r="N316" s="32" t="n">
        <x:f>MIN(J316,L316,M316)</x:f>
        <x:v>30</x:v>
      </x:c>
      <x:c r="O316" s="10" t="n">
        <x:f>AE315*N316</x:f>
        <x:v>60</x:v>
      </x:c>
      <x:c r="P316" s="9" t="n">
        <x:f>MIN(1,(AB315/(AE315*IF(v01_GroupInCrowding=1,N316,MIN(J316,L316))))^v01_CrowdingExp)</x:f>
        <x:v>0.007682282898519919</x:v>
      </x:c>
      <x:c r="Q316" s="9" t="n">
        <x:f>IF(D316=1,INDEX(v01_WinterMult,G316),1)</x:f>
        <x:v>1</x:v>
      </x:c>
      <x:c r="R316" s="9" t="n">
        <x:f>H316*Z315*v01_WomenShare*v01_BaseFertility*INDEX(v01_FertMult,G316)*Arch_Fertility*(1-P316)</x:f>
        <x:v>0.4535362595547565</x:v>
      </x:c>
      <x:c r="S316" s="9" t="n">
        <x:f>H316*Y315*INDEX(v01_MortChild,G316)/4*Q316</x:f>
        <x:v>0.09554033793681434</x:v>
      </x:c>
      <x:c r="T316" s="9" t="n">
        <x:f>H316*Z315*INDEX(v01_MortAdult,G316)*Arch_AdultMort/4*Q316</x:f>
        <x:v>0.039610777022999775</x:v>
      </x:c>
      <x:c r="U316" s="9" t="n">
        <x:f>H316*AA315*INDEX(v01_MortElder,G316)/4*Q316</x:f>
        <x:v>0.0709073375649481</x:v>
      </x:c>
      <x:c r="V316" s="9" t="n">
        <x:f>H316*MAX(0,AB315-O316)*v01_OvercapLoss</x:f>
        <x:v>0</x:v>
      </x:c>
      <x:c r="W316" s="9" t="n">
        <x:f>H316*Y315/(v01_ChildYears*4)</x:f>
        <x:v>0.19498028150370272</x:v>
      </x:c>
      <x:c r="X316" s="9" t="n">
        <x:f>H316*Z315/(v01_AdultYears*4)</x:f>
        <x:v>0.09828976928784064</x:v>
      </x:c>
      <x:c r="Y316" s="32" t="n">
        <x:f>Y315+R316-S316-W316-Y315*V316/AB315</x:f>
        <x:v>11.081911404321591</x:v>
      </x:c>
      <x:c r="Z316" s="32" t="n">
        <x:f>Z315+W316-X316-T316-Z315*V316/AB315</x:f>
        <x:v>12.245011126885101</x:v>
      </x:c>
      <x:c r="AA316" s="32" t="n">
        <x:f>AA315+X316-U316-AA315*V316/AB315</x:f>
        <x:v>3.572749309970298</x:v>
      </x:c>
      <x:c r="AB316" s="10" t="n">
        <x:f>Y316+Z316+AA316</x:f>
        <x:v>26.89967184117699</x:v>
      </x:c>
      <x:c r="AC316" s="8" t="n">
        <x:f>IF(AND(v01_WinterTrigger=1,D316=1,AB315/AE315&gt;=K316),1,0)</x:f>
        <x:v>0</x:v>
      </x:c>
      <x:c r="AD316" s="8" t="n">
        <x:f>H316*IF(AND(OR(AB315/AE315&gt;=v01_FissionTrigger*N316,AC316=1),AB315/AE315*v01_DaughterShare&gt;=v01_MinDaughter),MAX(1,ROUND(AE315*v01_FissionRate,0)),0)</x:f>
        <x:v>0</x:v>
      </x:c>
      <x:c r="AE316" s="8" t="n">
        <x:f>IF(H316=1,MAX(1,MIN(INDEX(v01_Smax,G316),AE315+AD316)),AE315)</x:f>
        <x:v>2</x:v>
      </x:c>
      <x:c r="AF316" s="8" t="n">
        <x:f>MAX(0,AE316-AE315)</x:f>
        <x:v>0</x:v>
      </x:c>
      <x:c r="AG316" s="9" t="str">
        <x:f>IF(AF316&gt;0,B316,"")</x:f>
      </x:c>
      <x:c r="AH316" s="9" t="n">
        <x:f>IF(F316&gt;=1,1,(1+v01_LowTiesShare*(AE316-1))/AE316)</x:f>
        <x:v>1</x:v>
      </x:c>
      <x:c r="AI316" s="32" t="n">
        <x:f>(Z316+v01_ElderCommons*INDEX(LM_Elder,G316)*AA316)*AH316</x:f>
        <x:v>20.99642391519302</x:v>
      </x:c>
      <x:c r="AJ316" s="32" t="n">
        <x:f>H316*v01_CommonsCoef*AI316^v01_CommonsExp*INDEX(LM_Commons,G316)</x:f>
        <x:v>8.777431890613848</x:v>
      </x:c>
      <x:c r="AK316" s="32" t="n">
        <x:f>H316*v01_RoleScale*Arch_Roles*(AE316*(INDEX(v01_ElderRolePerSett,G316)*v01_OutElder*INDEX(LM_Elder,G316)+INDEX(v01_ShamanPerSett,G316)*v01_OutShaman)+Z316*(INDEX(v01_PriestShare,G316)*v01_OutPriest+INDEX(v01_ScribeShare,G316)*v01_OutScribe*INDEX(LM_Scribe,G316)+INDEX(v01_ScholarShare,G316)*v01_OutScholar*INDEX(LM_Scholar,G316)+INDEX(v01_ResearcherShare,G316)*v01_OutResearcher*INDEX(LM_Researcher,G316)))</x:f>
        <x:v>2.724744871391589</x:v>
      </x:c>
      <x:c r="AL316" s="32" t="n">
        <x:f>H316*v01_RoleScale*Arch_Roles*AE316*INDEX(v01_MonasteryPerSett,G316)*v01_OutMonastery*INDEX(LM_Monastery,G316)</x:f>
        <x:v>0</x:v>
      </x:c>
      <x:c r="AM316" s="32" t="n">
        <x:f>(AJ316+AK316+AL316)/4*INDEX(LM_All,G316)*INDEX(v01_Boon,G316)*Arch_Insight</x:f>
        <x:v>2.947432795263893</x:v>
      </x:c>
      <x:c r="AN316" s="32" t="n">
        <x:f>H316*(v01_KHPerAdult*Z316+v01_KHOfCommons*AJ316/4*INDEX(LM_All,G316))*v01_KHUsable*Arch_KH</x:f>
        <x:v>0.4285753894409785</x:v>
      </x:c>
      <x:c r="AO316" s="32" t="n">
        <x:f>MIN(AP315+AN316,AM316*v01_KHMaxRatio)</x:f>
        <x:v>0.4285753894409785</x:v>
      </x:c>
      <x:c r="AP316" s="32" t="n">
        <x:f>AP315+AN316-AO316</x:f>
        <x:v>0</x:v>
      </x:c>
      <x:c r="AQ316" s="32" t="n">
        <x:f>AM316+AO316</x:f>
        <x:v>3.3760081847048715</x:v>
      </x:c>
      <x:c r="AR316" s="10" t="n">
        <x:f>IF(H316=1,INDEX(v01_Req,G316),0)</x:f>
        <x:v>1067.32</x:v>
      </x:c>
      <x:c r="AS316" s="32" t="n">
        <x:f>IF(H316=1,IF(E316=1,AS315-AR315,AS315)+AQ316,0)</x:f>
        <x:v>212.72840060665857</x:v>
      </x:c>
      <x:c r="AT316" s="11" t="n">
        <x:f>IF(AR316&gt;0,MIN(1,AS316/AR316),1)</x:f>
        <x:v>0.199310797705148</x:v>
      </x:c>
      <x:c r="AU316" s="10" t="n">
        <x:f>AB316/INDEX(v01_RepScale,G316)</x:f>
        <x:v>26.89967184117699</x:v>
      </x:c>
      <x:c r="AV316" s="32" t="n">
        <x:f>AM316*60/v01_SeasonSeconds</x:f>
        <x:v>11.789731181055572</x:v>
      </x:c>
    </x:row>
    <x:row r="317">
      <x:c r="A317" s="8" t="n">
        <x:f>A316+1</x:f>
        <x:v>314</x:v>
      </x:c>
      <x:c r="B317" s="9" t="n">
        <x:f>A317*v01_SeasonSeconds/60</x:f>
        <x:v>78.5</x:v>
      </x:c>
      <x:c r="C317" s="9" t="n">
        <x:f>A317/4</x:f>
        <x:v>78.5</x:v>
      </x:c>
      <x:c r="D317" s="8" t="n">
        <x:f>IF(MOD(A317,4)=0,1,0)</x:f>
        <x:v>0</x:v>
      </x:c>
      <x:c r="E317" s="8" t="n">
        <x:f>IF(AND(F316&lt;=9,AS316&gt;=AR316),1,0)</x:f>
        <x:v>0</x:v>
      </x:c>
      <x:c r="F317" s="8" t="n">
        <x:f>MIN(10,F316+E317)</x:f>
        <x:v>1</x:v>
      </x:c>
      <x:c r="G317" s="8" t="n">
        <x:f>MIN(F317,9)+1</x:f>
        <x:v>2</x:v>
      </x:c>
      <x:c r="H317" s="8" t="n">
        <x:f>IF(F317&lt;=9,1,0)</x:f>
        <x:v>1</x:v>
      </x:c>
      <x:c r="I317" s="9" t="n">
        <x:f>MIN(10,F316+IF(AR316&gt;0,MIN(1,AS316/AR316),1))</x:f>
        <x:v>1.199310797705148</x:v>
      </x:c>
      <x:c r="J317" s="32" t="n">
        <x:f>INDEX(v01_FoodCap,G317)*Arch_FoodCap*EXP(v01_CapsByProject*SUMPRODUCT((Cap_Point&lt;=I317)*(Cap_Kind="Food")*Cap_Ln))</x:f>
        <x:v>30</x:v>
      </x:c>
      <x:c r="K317" s="32" t="n">
        <x:f>J317*MIN(1,v01_LeanBase*EXP(v01_CapsByProject*SUMPRODUCT((Cap_Point&lt;=I317)*(Cap_Kind="Lean")*Cap_Ln)))</x:f>
        <x:v>30</x:v>
      </x:c>
      <x:c r="L317" s="10" t="n">
        <x:f>INDEX(v01_HousingCap,G317)*EXP(v01_CapsByProject*SUMPRODUCT((Cap_Point&lt;=I317)*(Cap_Kind="Housing")*Cap_Ln))</x:f>
        <x:v>60</x:v>
      </x:c>
      <x:c r="M317" s="10" t="n">
        <x:f>INDEX(v01_GroupCap,G317)*v01_CohesionFactor*EXP(v01_CapsByProject*SUMPRODUCT((Cap_Point&lt;=I317)*(Cap_Kind="Group")*Cap_Ln))</x:f>
        <x:v>100</x:v>
      </x:c>
      <x:c r="N317" s="32" t="n">
        <x:f>MIN(J317,L317,M317)</x:f>
        <x:v>30</x:v>
      </x:c>
      <x:c r="O317" s="10" t="n">
        <x:f>AE316*N317</x:f>
        <x:v>60</x:v>
      </x:c>
      <x:c r="P317" s="9" t="n">
        <x:f>MIN(1,(AB316/(AE316*IF(v01_GroupInCrowding=1,N317,MIN(J317,L317))))^v01_CrowdingExp)</x:f>
        <x:v>0.008120343283502005</x:v>
      </x:c>
      <x:c r="Q317" s="9" t="n">
        <x:f>IF(D317=1,INDEX(v01_WinterMult,G317),1)</x:f>
        <x:v>1</x:v>
      </x:c>
      <x:c r="R317" s="9" t="n">
        <x:f>H317*Z316*v01_WomenShare*v01_BaseFertility*INDEX(v01_FertMult,G317)*Arch_Fertility*(1-P317)</x:f>
        <x:v>0.4554591537384185</x:v>
      </x:c>
      <x:c r="S317" s="9" t="n">
        <x:f>H317*Y316*INDEX(v01_MortChild,G317)/4*Q317</x:f>
        <x:v>0.09696672478781393</x:v>
      </x:c>
      <x:c r="T317" s="9" t="n">
        <x:f>H317*Z316*INDEX(v01_MortAdult,G317)*Arch_AdultMort/4*Q317</x:f>
        <x:v>0.03979628616237658</x:v>
      </x:c>
      <x:c r="U317" s="9" t="n">
        <x:f>H317*AA316*INDEX(v01_MortElder,G317)/4*Q317</x:f>
        <x:v>0.07145498619940596</x:v>
      </x:c>
      <x:c r="V317" s="9" t="n">
        <x:f>H317*MAX(0,AB316-O317)*v01_OvercapLoss</x:f>
        <x:v>0</x:v>
      </x:c>
      <x:c r="W317" s="9" t="n">
        <x:f>H317*Y316/(v01_ChildYears*4)</x:f>
        <x:v>0.19789127507717127</x:v>
      </x:c>
      <x:c r="X317" s="9" t="n">
        <x:f>H317*Z316/(v01_AdultYears*4)</x:f>
        <x:v>0.09875008973294437</x:v>
      </x:c>
      <x:c r="Y317" s="32" t="n">
        <x:f>Y316+R317-S317-W317-Y316*V317/AB316</x:f>
        <x:v>11.242512558195024</x:v>
      </x:c>
      <x:c r="Z317" s="32" t="n">
        <x:f>Z316+W317-X317-T317-Z316*V317/AB316</x:f>
        <x:v>12.304356026066953</x:v>
      </x:c>
      <x:c r="AA317" s="32" t="n">
        <x:f>AA316+X317-U317-AA316*V317/AB316</x:f>
        <x:v>3.6000444135038365</x:v>
      </x:c>
      <x:c r="AB317" s="10" t="n">
        <x:f>Y317+Z317+AA317</x:f>
        <x:v>27.146912997765817</x:v>
      </x:c>
      <x:c r="AC317" s="8" t="n">
        <x:f>IF(AND(v01_WinterTrigger=1,D317=1,AB316/AE316&gt;=K317),1,0)</x:f>
        <x:v>0</x:v>
      </x:c>
      <x:c r="AD317" s="8" t="n">
        <x:f>H317*IF(AND(OR(AB316/AE316&gt;=v01_FissionTrigger*N317,AC317=1),AB316/AE316*v01_DaughterShare&gt;=v01_MinDaughter),MAX(1,ROUND(AE316*v01_FissionRate,0)),0)</x:f>
        <x:v>0</x:v>
      </x:c>
      <x:c r="AE317" s="8" t="n">
        <x:f>IF(H317=1,MAX(1,MIN(INDEX(v01_Smax,G317),AE316+AD317)),AE316)</x:f>
        <x:v>2</x:v>
      </x:c>
      <x:c r="AF317" s="8" t="n">
        <x:f>MAX(0,AE317-AE316)</x:f>
        <x:v>0</x:v>
      </x:c>
      <x:c r="AG317" s="9" t="str">
        <x:f>IF(AF317&gt;0,B317,"")</x:f>
      </x:c>
      <x:c r="AH317" s="9" t="n">
        <x:f>IF(F317&gt;=1,1,(1+v01_LowTiesShare*(AE317-1))/AE317)</x:f>
        <x:v>1</x:v>
      </x:c>
      <x:c r="AI317" s="32" t="n">
        <x:f>(Z317+v01_ElderCommons*INDEX(LM_Elder,G317)*AA317)*AH317</x:f>
        <x:v>21.122627890508483</x:v>
      </x:c>
      <x:c r="AJ317" s="32" t="n">
        <x:f>H317*v01_CommonsCoef*AI317^v01_CommonsExp*INDEX(LM_Commons,G317)</x:f>
        <x:v>8.822256727706606</x:v>
      </x:c>
      <x:c r="AK317" s="32" t="n">
        <x:f>H317*v01_RoleScale*Arch_Roles*(AE317*(INDEX(v01_ElderRolePerSett,G317)*v01_OutElder*INDEX(LM_Elder,G317)+INDEX(v01_ShamanPerSett,G317)*v01_OutShaman)+Z317*(INDEX(v01_PriestShare,G317)*v01_OutPriest+INDEX(v01_ScribeShare,G317)*v01_OutScribe*INDEX(LM_Scribe,G317)+INDEX(v01_ScholarShare,G317)*v01_OutScholar*INDEX(LM_Scholar,G317)+INDEX(v01_ResearcherShare,G317)*v01_OutResearcher*INDEX(LM_Researcher,G317)))</x:f>
        <x:v>2.724744871391589</x:v>
      </x:c>
      <x:c r="AL317" s="32" t="n">
        <x:f>H317*v01_RoleScale*Arch_Roles*AE317*INDEX(v01_MonasteryPerSett,G317)*v01_OutMonastery*INDEX(LM_Monastery,G317)</x:f>
        <x:v>0</x:v>
      </x:c>
      <x:c r="AM317" s="32" t="n">
        <x:f>(AJ317+AK317+AL317)/4*INDEX(LM_All,G317)*INDEX(v01_Boon,G317)*Arch_Insight</x:f>
        <x:v>2.958919159768912</x:v>
      </x:c>
      <x:c r="AN317" s="32" t="n">
        <x:f>H317*(v01_KHPerAdult*Z317+v01_KHOfCommons*AJ317/4*INDEX(LM_All,G317))*v01_KHUsable*Arch_KH</x:f>
        <x:v>0.4306524609123434</x:v>
      </x:c>
      <x:c r="AO317" s="32" t="n">
        <x:f>MIN(AP316+AN317,AM317*v01_KHMaxRatio)</x:f>
        <x:v>0.4306524609123434</x:v>
      </x:c>
      <x:c r="AP317" s="32" t="n">
        <x:f>AP316+AN317-AO317</x:f>
        <x:v>0</x:v>
      </x:c>
      <x:c r="AQ317" s="32" t="n">
        <x:f>AM317+AO317</x:f>
        <x:v>3.3895716206812554</x:v>
      </x:c>
      <x:c r="AR317" s="10" t="n">
        <x:f>IF(H317=1,INDEX(v01_Req,G317),0)</x:f>
        <x:v>1067.32</x:v>
      </x:c>
      <x:c r="AS317" s="32" t="n">
        <x:f>IF(H317=1,IF(E317=1,AS316-AR316,AS316)+AQ317,0)</x:f>
        <x:v>216.11797222733983</x:v>
      </x:c>
      <x:c r="AT317" s="11" t="n">
        <x:f>IF(AR317&gt;0,MIN(1,AS317/AR317),1)</x:f>
        <x:v>0.2024865759353707</x:v>
      </x:c>
      <x:c r="AU317" s="10" t="n">
        <x:f>AB317/INDEX(v01_RepScale,G317)</x:f>
        <x:v>27.146912997765817</x:v>
      </x:c>
      <x:c r="AV317" s="32" t="n">
        <x:f>AM317*60/v01_SeasonSeconds</x:f>
        <x:v>11.835676639075649</x:v>
      </x:c>
    </x:row>
    <x:row r="318">
      <x:c r="A318" s="8" t="n">
        <x:f>A317+1</x:f>
        <x:v>315</x:v>
      </x:c>
      <x:c r="B318" s="9" t="n">
        <x:f>A318*v01_SeasonSeconds/60</x:f>
        <x:v>78.75</x:v>
      </x:c>
      <x:c r="C318" s="9" t="n">
        <x:f>A318/4</x:f>
        <x:v>78.75</x:v>
      </x:c>
      <x:c r="D318" s="8" t="n">
        <x:f>IF(MOD(A318,4)=0,1,0)</x:f>
        <x:v>0</x:v>
      </x:c>
      <x:c r="E318" s="8" t="n">
        <x:f>IF(AND(F317&lt;=9,AS317&gt;=AR317),1,0)</x:f>
        <x:v>0</x:v>
      </x:c>
      <x:c r="F318" s="8" t="n">
        <x:f>MIN(10,F317+E318)</x:f>
        <x:v>1</x:v>
      </x:c>
      <x:c r="G318" s="8" t="n">
        <x:f>MIN(F318,9)+1</x:f>
        <x:v>2</x:v>
      </x:c>
      <x:c r="H318" s="8" t="n">
        <x:f>IF(F318&lt;=9,1,0)</x:f>
        <x:v>1</x:v>
      </x:c>
      <x:c r="I318" s="9" t="n">
        <x:f>MIN(10,F317+IF(AR317&gt;0,MIN(1,AS317/AR317),1))</x:f>
        <x:v>1.2024865759353707</x:v>
      </x:c>
      <x:c r="J318" s="32" t="n">
        <x:f>INDEX(v01_FoodCap,G318)*Arch_FoodCap*EXP(v01_CapsByProject*SUMPRODUCT((Cap_Point&lt;=I318)*(Cap_Kind="Food")*Cap_Ln))</x:f>
        <x:v>30</x:v>
      </x:c>
      <x:c r="K318" s="32" t="n">
        <x:f>J318*MIN(1,v01_LeanBase*EXP(v01_CapsByProject*SUMPRODUCT((Cap_Point&lt;=I318)*(Cap_Kind="Lean")*Cap_Ln)))</x:f>
        <x:v>30</x:v>
      </x:c>
      <x:c r="L318" s="10" t="n">
        <x:f>INDEX(v01_HousingCap,G318)*EXP(v01_CapsByProject*SUMPRODUCT((Cap_Point&lt;=I318)*(Cap_Kind="Housing")*Cap_Ln))</x:f>
        <x:v>60</x:v>
      </x:c>
      <x:c r="M318" s="10" t="n">
        <x:f>INDEX(v01_GroupCap,G318)*v01_CohesionFactor*EXP(v01_CapsByProject*SUMPRODUCT((Cap_Point&lt;=I318)*(Cap_Kind="Group")*Cap_Ln))</x:f>
        <x:v>100</x:v>
      </x:c>
      <x:c r="N318" s="32" t="n">
        <x:f>MIN(J318,L318,M318)</x:f>
        <x:v>30</x:v>
      </x:c>
      <x:c r="O318" s="10" t="n">
        <x:f>AE317*N318</x:f>
        <x:v>60</x:v>
      </x:c>
      <x:c r="P318" s="9" t="n">
        <x:f>MIN(1,(AB317/(AE317*IF(v01_GroupInCrowding=1,N318,MIN(J318,L318))))^v01_CrowdingExp)</x:f>
        <x:v>0.00857857602010572</x:v>
      </x:c>
      <x:c r="Q318" s="9" t="n">
        <x:f>IF(D318=1,INDEX(v01_WinterMult,G318),1)</x:f>
        <x:v>1</x:v>
      </x:c>
      <x:c r="R318" s="9" t="n">
        <x:f>H318*Z317*v01_WomenShare*v01_BaseFertility*INDEX(v01_FertMult,G318)*Arch_Fertility*(1-P318)</x:f>
        <x:v>0.4574550814694585</x:v>
      </x:c>
      <x:c r="S318" s="9" t="n">
        <x:f>H318*Y317*INDEX(v01_MortChild,G318)/4*Q318</x:f>
        <x:v>0.09837198488420647</x:v>
      </x:c>
      <x:c r="T318" s="9" t="n">
        <x:f>H318*Z317*INDEX(v01_MortAdult,G318)*Arch_AdultMort/4*Q318</x:f>
        <x:v>0.0399891570847176</x:v>
      </x:c>
      <x:c r="U318" s="9" t="n">
        <x:f>H318*AA317*INDEX(v01_MortElder,G318)/4*Q318</x:f>
        <x:v>0.07200088827007674</x:v>
      </x:c>
      <x:c r="V318" s="9" t="n">
        <x:f>H318*MAX(0,AB317-O318)*v01_OvercapLoss</x:f>
        <x:v>0</x:v>
      </x:c>
      <x:c r="W318" s="9" t="n">
        <x:f>H318*Y317/(v01_ChildYears*4)</x:f>
        <x:v>0.20075915282491114</x:v>
      </x:c>
      <x:c r="X318" s="9" t="n">
        <x:f>H318*Z317/(v01_AdultYears*4)</x:f>
        <x:v>0.0992286776295722</x:v>
      </x:c>
      <x:c r="Y318" s="32" t="n">
        <x:f>Y317+R318-S318-W318-Y317*V318/AB317</x:f>
        <x:v>11.400836501955364</x:v>
      </x:c>
      <x:c r="Z318" s="32" t="n">
        <x:f>Z317+W318-X318-T318-Z317*V318/AB317</x:f>
        <x:v>12.365897344177576</x:v>
      </x:c>
      <x:c r="AA318" s="32" t="n">
        <x:f>AA317+X318-U318-AA317*V318/AB317</x:f>
        <x:v>3.627272202863332</x:v>
      </x:c>
      <x:c r="AB318" s="10" t="n">
        <x:f>Y318+Z318+AA318</x:f>
        <x:v>27.39400604899627</x:v>
      </x:c>
      <x:c r="AC318" s="8" t="n">
        <x:f>IF(AND(v01_WinterTrigger=1,D318=1,AB317/AE317&gt;=K318),1,0)</x:f>
        <x:v>0</x:v>
      </x:c>
      <x:c r="AD318" s="8" t="n">
        <x:f>H318*IF(AND(OR(AB317/AE317&gt;=v01_FissionTrigger*N318,AC318=1),AB317/AE317*v01_DaughterShare&gt;=v01_MinDaughter),MAX(1,ROUND(AE317*v01_FissionRate,0)),0)</x:f>
        <x:v>0</x:v>
      </x:c>
      <x:c r="AE318" s="8" t="n">
        <x:f>IF(H318=1,MAX(1,MIN(INDEX(v01_Smax,G318),AE317+AD318)),AE317)</x:f>
        <x:v>2</x:v>
      </x:c>
      <x:c r="AF318" s="8" t="n">
        <x:f>MAX(0,AE318-AE317)</x:f>
        <x:v>0</x:v>
      </x:c>
      <x:c r="AG318" s="9" t="str">
        <x:f>IF(AF318&gt;0,B318,"")</x:f>
      </x:c>
      <x:c r="AH318" s="9" t="n">
        <x:f>IF(F318&gt;=1,1,(1+v01_LowTiesShare*(AE318-1))/AE318)</x:f>
        <x:v>1</x:v>
      </x:c>
      <x:c r="AI318" s="32" t="n">
        <x:f>(Z318+v01_ElderCommons*INDEX(LM_Elder,G318)*AA318)*AH318</x:f>
        <x:v>21.25086339937385</x:v>
      </x:c>
      <x:c r="AJ318" s="32" t="n">
        <x:f>H318*v01_CommonsCoef*AI318^v01_CommonsExp*INDEX(LM_Commons,G318)</x:f>
        <x:v>8.867761991594309</x:v>
      </x:c>
      <x:c r="AK318" s="32" t="n">
        <x:f>H318*v01_RoleScale*Arch_Roles*(AE318*(INDEX(v01_ElderRolePerSett,G318)*v01_OutElder*INDEX(LM_Elder,G318)+INDEX(v01_ShamanPerSett,G318)*v01_OutShaman)+Z318*(INDEX(v01_PriestShare,G318)*v01_OutPriest+INDEX(v01_ScribeShare,G318)*v01_OutScribe*INDEX(LM_Scribe,G318)+INDEX(v01_ScholarShare,G318)*v01_OutScholar*INDEX(LM_Scholar,G318)+INDEX(v01_ResearcherShare,G318)*v01_OutResearcher*INDEX(LM_Researcher,G318)))</x:f>
        <x:v>2.724744871391589</x:v>
      </x:c>
      <x:c r="AL318" s="32" t="n">
        <x:f>H318*v01_RoleScale*Arch_Roles*AE318*INDEX(v01_MonasteryPerSett,G318)*v01_OutMonastery*INDEX(LM_Monastery,G318)</x:f>
        <x:v>0</x:v>
      </x:c>
      <x:c r="AM318" s="32" t="n">
        <x:f>(AJ318+AK318+AL318)/4*INDEX(LM_All,G318)*INDEX(v01_Boon,G318)*Arch_Insight</x:f>
        <x:v>2.970579883640136</x:v>
      </x:c>
      <x:c r="AN318" s="32" t="n">
        <x:f>H318*(v01_KHPerAdult*Z318+v01_KHOfCommons*AJ318/4*INDEX(LM_All,G318))*v01_KHUsable*Arch_KH</x:f>
        <x:v>0.43280640704621515</x:v>
      </x:c>
      <x:c r="AO318" s="32" t="n">
        <x:f>MIN(AP317+AN318,AM318*v01_KHMaxRatio)</x:f>
        <x:v>0.43280640704621515</x:v>
      </x:c>
      <x:c r="AP318" s="32" t="n">
        <x:f>AP317+AN318-AO318</x:f>
        <x:v>0</x:v>
      </x:c>
      <x:c r="AQ318" s="32" t="n">
        <x:f>AM318+AO318</x:f>
        <x:v>3.4033862906863512</x:v>
      </x:c>
      <x:c r="AR318" s="10" t="n">
        <x:f>IF(H318=1,INDEX(v01_Req,G318),0)</x:f>
        <x:v>1067.32</x:v>
      </x:c>
      <x:c r="AS318" s="32" t="n">
        <x:f>IF(H318=1,IF(E318=1,AS317-AR317,AS317)+AQ318,0)</x:f>
        <x:v>219.52135851802618</x:v>
      </x:c>
      <x:c r="AT318" s="11" t="n">
        <x:f>IF(AR318&gt;0,MIN(1,AS318/AR318),1)</x:f>
        <x:v>0.20567529749093635</x:v>
      </x:c>
      <x:c r="AU318" s="10" t="n">
        <x:f>AB318/INDEX(v01_RepScale,G318)</x:f>
        <x:v>27.39400604899627</x:v>
      </x:c>
      <x:c r="AV318" s="32" t="n">
        <x:f>AM318*60/v01_SeasonSeconds</x:f>
        <x:v>11.882319534560544</x:v>
      </x:c>
    </x:row>
    <x:row r="319">
      <x:c r="A319" s="8" t="n">
        <x:f>A318+1</x:f>
        <x:v>316</x:v>
      </x:c>
      <x:c r="B319" s="9" t="n">
        <x:f>A319*v01_SeasonSeconds/60</x:f>
        <x:v>79</x:v>
      </x:c>
      <x:c r="C319" s="9" t="n">
        <x:f>A319/4</x:f>
        <x:v>79</x:v>
      </x:c>
      <x:c r="D319" s="8" t="n">
        <x:f>IF(MOD(A319,4)=0,1,0)</x:f>
        <x:v>1</x:v>
      </x:c>
      <x:c r="E319" s="8" t="n">
        <x:f>IF(AND(F318&lt;=9,AS318&gt;=AR318),1,0)</x:f>
        <x:v>0</x:v>
      </x:c>
      <x:c r="F319" s="8" t="n">
        <x:f>MIN(10,F318+E319)</x:f>
        <x:v>1</x:v>
      </x:c>
      <x:c r="G319" s="8" t="n">
        <x:f>MIN(F319,9)+1</x:f>
        <x:v>2</x:v>
      </x:c>
      <x:c r="H319" s="8" t="n">
        <x:f>IF(F319&lt;=9,1,0)</x:f>
        <x:v>1</x:v>
      </x:c>
      <x:c r="I319" s="9" t="n">
        <x:f>MIN(10,F318+IF(AR318&gt;0,MIN(1,AS318/AR318),1))</x:f>
        <x:v>1.2056752974909364</x:v>
      </x:c>
      <x:c r="J319" s="32" t="n">
        <x:f>INDEX(v01_FoodCap,G319)*Arch_FoodCap*EXP(v01_CapsByProject*SUMPRODUCT((Cap_Point&lt;=I319)*(Cap_Kind="Food")*Cap_Ln))</x:f>
        <x:v>30</x:v>
      </x:c>
      <x:c r="K319" s="32" t="n">
        <x:f>J319*MIN(1,v01_LeanBase*EXP(v01_CapsByProject*SUMPRODUCT((Cap_Point&lt;=I319)*(Cap_Kind="Lean")*Cap_Ln)))</x:f>
        <x:v>30</x:v>
      </x:c>
      <x:c r="L319" s="10" t="n">
        <x:f>INDEX(v01_HousingCap,G319)*EXP(v01_CapsByProject*SUMPRODUCT((Cap_Point&lt;=I319)*(Cap_Kind="Housing")*Cap_Ln))</x:f>
        <x:v>60</x:v>
      </x:c>
      <x:c r="M319" s="10" t="n">
        <x:f>INDEX(v01_GroupCap,G319)*v01_CohesionFactor*EXP(v01_CapsByProject*SUMPRODUCT((Cap_Point&lt;=I319)*(Cap_Kind="Group")*Cap_Ln))</x:f>
        <x:v>100</x:v>
      </x:c>
      <x:c r="N319" s="32" t="n">
        <x:f>MIN(J319,L319,M319)</x:f>
        <x:v>30</x:v>
      </x:c>
      <x:c r="O319" s="10" t="n">
        <x:f>AE318*N319</x:f>
        <x:v>60</x:v>
      </x:c>
      <x:c r="P319" s="9" t="n">
        <x:f>MIN(1,(AB318/(AE318*IF(v01_GroupInCrowding=1,N319,MIN(J319,L319))))^v01_CrowdingExp)</x:f>
        <x:v>0.009057863707826436</x:v>
      </x:c>
      <x:c r="Q319" s="9" t="n">
        <x:f>IF(D319=1,INDEX(v01_WinterMult,G319),1)</x:f>
        <x:v>1.6</x:v>
      </x:c>
      <x:c r="R319" s="9" t="n">
        <x:f>H319*Z318*v01_WomenShare*v01_BaseFertility*INDEX(v01_FertMult,G319)*Arch_Fertility*(1-P319)</x:f>
        <x:v>0.45952082742783906</x:v>
      </x:c>
      <x:c r="S319" s="9" t="n">
        <x:f>H319*Y318*INDEX(v01_MortChild,G319)/4*Q319</x:f>
        <x:v>0.15961171102737515</x:v>
      </x:c>
      <x:c r="T319" s="9" t="n">
        <x:f>H319*Z318*INDEX(v01_MortAdult,G319)*Arch_AdultMort/4*Q319</x:f>
        <x:v>0.0643026661897234</x:v>
      </x:c>
      <x:c r="U319" s="9" t="n">
        <x:f>H319*AA318*INDEX(v01_MortElder,G319)/4*Q319</x:f>
        <x:v>0.11607271049162662</x:v>
      </x:c>
      <x:c r="V319" s="9" t="n">
        <x:f>H319*MAX(0,AB318-O319)*v01_OvercapLoss</x:f>
        <x:v>0</x:v>
      </x:c>
      <x:c r="W319" s="9" t="n">
        <x:f>H319*Y318/(v01_ChildYears*4)</x:f>
        <x:v>0.20358636610634578</x:v>
      </x:c>
      <x:c r="X319" s="9" t="n">
        <x:f>H319*Z318/(v01_AdultYears*4)</x:f>
        <x:v>0.09972497858207723</x:v>
      </x:c>
      <x:c r="Y319" s="32" t="n">
        <x:f>Y318+R319-S319-W319-Y318*V319/AB318</x:f>
        <x:v>11.497159252249482</x:v>
      </x:c>
      <x:c r="Z319" s="32" t="n">
        <x:f>Z318+W319-X319-T319-Z318*V319/AB318</x:f>
        <x:v>12.405456065512121</x:v>
      </x:c>
      <x:c r="AA319" s="32" t="n">
        <x:f>AA318+X319-U319-AA318*V319/AB318</x:f>
        <x:v>3.6109244709537824</x:v>
      </x:c>
      <x:c r="AB319" s="10" t="n">
        <x:f>Y319+Z319+AA319</x:f>
        <x:v>27.513539788715384</x:v>
      </x:c>
      <x:c r="AC319" s="8" t="n">
        <x:f>IF(AND(v01_WinterTrigger=1,D319=1,AB318/AE318&gt;=K319),1,0)</x:f>
        <x:v>0</x:v>
      </x:c>
      <x:c r="AD319" s="8" t="n">
        <x:f>H319*IF(AND(OR(AB318/AE318&gt;=v01_FissionTrigger*N319,AC319=1),AB318/AE318*v01_DaughterShare&gt;=v01_MinDaughter),MAX(1,ROUND(AE318*v01_FissionRate,0)),0)</x:f>
        <x:v>0</x:v>
      </x:c>
      <x:c r="AE319" s="8" t="n">
        <x:f>IF(H319=1,MAX(1,MIN(INDEX(v01_Smax,G319),AE318+AD319)),AE318)</x:f>
        <x:v>2</x:v>
      </x:c>
      <x:c r="AF319" s="8" t="n">
        <x:f>MAX(0,AE319-AE318)</x:f>
        <x:v>0</x:v>
      </x:c>
      <x:c r="AG319" s="9" t="str">
        <x:f>IF(AF319&gt;0,B319,"")</x:f>
      </x:c>
      <x:c r="AH319" s="9" t="n">
        <x:f>IF(F319&gt;=1,1,(1+v01_LowTiesShare*(AE319-1))/AE319)</x:f>
        <x:v>1</x:v>
      </x:c>
      <x:c r="AI319" s="32" t="n">
        <x:f>(Z319+v01_ElderCommons*INDEX(LM_Elder,G319)*AA319)*AH319</x:f>
        <x:v>21.250378519078183</x:v>
      </x:c>
      <x:c r="AJ319" s="32" t="n">
        <x:f>H319*v01_CommonsCoef*AI319^v01_CommonsExp*INDEX(LM_Commons,G319)</x:f>
        <x:v>8.86759000616559</x:v>
      </x:c>
      <x:c r="AK319" s="32" t="n">
        <x:f>H319*v01_RoleScale*Arch_Roles*(AE319*(INDEX(v01_ElderRolePerSett,G319)*v01_OutElder*INDEX(LM_Elder,G319)+INDEX(v01_ShamanPerSett,G319)*v01_OutShaman)+Z319*(INDEX(v01_PriestShare,G319)*v01_OutPriest+INDEX(v01_ScribeShare,G319)*v01_OutScribe*INDEX(LM_Scribe,G319)+INDEX(v01_ScholarShare,G319)*v01_OutScholar*INDEX(LM_Scholar,G319)+INDEX(v01_ResearcherShare,G319)*v01_OutResearcher*INDEX(LM_Researcher,G319)))</x:f>
        <x:v>2.724744871391589</x:v>
      </x:c>
      <x:c r="AL319" s="32" t="n">
        <x:f>H319*v01_RoleScale*Arch_Roles*AE319*INDEX(v01_MonasteryPerSett,G319)*v01_OutMonastery*INDEX(LM_Monastery,G319)</x:f>
        <x:v>0</x:v>
      </x:c>
      <x:c r="AM319" s="32" t="n">
        <x:f>(AJ319+AK319+AL319)/4*INDEX(LM_All,G319)*INDEX(v01_Boon,G319)*Arch_Insight</x:f>
        <x:v>2.970535812374027</x:v>
      </x:c>
      <x:c r="AN319" s="32" t="n">
        <x:f>H319*(v01_KHPerAdult*Z319+v01_KHOfCommons*AJ319/4*INDEX(LM_All,G319))*v01_KHUsable*Arch_KH</x:f>
        <x:v>0.43419096229292425</x:v>
      </x:c>
      <x:c r="AO319" s="32" t="n">
        <x:f>MIN(AP318+AN319,AM319*v01_KHMaxRatio)</x:f>
        <x:v>0.43419096229292425</x:v>
      </x:c>
      <x:c r="AP319" s="32" t="n">
        <x:f>AP318+AN319-AO319</x:f>
        <x:v>0</x:v>
      </x:c>
      <x:c r="AQ319" s="32" t="n">
        <x:f>AM319+AO319</x:f>
        <x:v>3.404726774666951</x:v>
      </x:c>
      <x:c r="AR319" s="10" t="n">
        <x:f>IF(H319=1,INDEX(v01_Req,G319),0)</x:f>
        <x:v>1067.32</x:v>
      </x:c>
      <x:c r="AS319" s="32" t="n">
        <x:f>IF(H319=1,IF(E319=1,AS318-AR318,AS318)+AQ319,0)</x:f>
        <x:v>222.92608529269313</x:v>
      </x:c>
      <x:c r="AT319" s="11" t="n">
        <x:f>IF(AR319&gt;0,MIN(1,AS319/AR319),1)</x:f>
        <x:v>0.208865274980974</x:v>
      </x:c>
      <x:c r="AU319" s="10" t="n">
        <x:f>AB319/INDEX(v01_RepScale,G319)</x:f>
        <x:v>27.513539788715384</x:v>
      </x:c>
      <x:c r="AV319" s="32" t="n">
        <x:f>AM319*60/v01_SeasonSeconds</x:f>
        <x:v>11.882143249496108</x:v>
      </x:c>
    </x:row>
    <x:row r="320">
      <x:c r="A320" s="8" t="n">
        <x:f>A319+1</x:f>
        <x:v>317</x:v>
      </x:c>
      <x:c r="B320" s="9" t="n">
        <x:f>A320*v01_SeasonSeconds/60</x:f>
        <x:v>79.25</x:v>
      </x:c>
      <x:c r="C320" s="9" t="n">
        <x:f>A320/4</x:f>
        <x:v>79.25</x:v>
      </x:c>
      <x:c r="D320" s="8" t="n">
        <x:f>IF(MOD(A320,4)=0,1,0)</x:f>
        <x:v>0</x:v>
      </x:c>
      <x:c r="E320" s="8" t="n">
        <x:f>IF(AND(F319&lt;=9,AS319&gt;=AR319),1,0)</x:f>
        <x:v>0</x:v>
      </x:c>
      <x:c r="F320" s="8" t="n">
        <x:f>MIN(10,F319+E320)</x:f>
        <x:v>1</x:v>
      </x:c>
      <x:c r="G320" s="8" t="n">
        <x:f>MIN(F320,9)+1</x:f>
        <x:v>2</x:v>
      </x:c>
      <x:c r="H320" s="8" t="n">
        <x:f>IF(F320&lt;=9,1,0)</x:f>
        <x:v>1</x:v>
      </x:c>
      <x:c r="I320" s="9" t="n">
        <x:f>MIN(10,F319+IF(AR319&gt;0,MIN(1,AS319/AR319),1))</x:f>
        <x:v>1.208865274980974</x:v>
      </x:c>
      <x:c r="J320" s="32" t="n">
        <x:f>INDEX(v01_FoodCap,G320)*Arch_FoodCap*EXP(v01_CapsByProject*SUMPRODUCT((Cap_Point&lt;=I320)*(Cap_Kind="Food")*Cap_Ln))</x:f>
        <x:v>30</x:v>
      </x:c>
      <x:c r="K320" s="32" t="n">
        <x:f>J320*MIN(1,v01_LeanBase*EXP(v01_CapsByProject*SUMPRODUCT((Cap_Point&lt;=I320)*(Cap_Kind="Lean")*Cap_Ln)))</x:f>
        <x:v>30</x:v>
      </x:c>
      <x:c r="L320" s="10" t="n">
        <x:f>INDEX(v01_HousingCap,G320)*EXP(v01_CapsByProject*SUMPRODUCT((Cap_Point&lt;=I320)*(Cap_Kind="Housing")*Cap_Ln))</x:f>
        <x:v>60</x:v>
      </x:c>
      <x:c r="M320" s="10" t="n">
        <x:f>INDEX(v01_GroupCap,G320)*v01_CohesionFactor*EXP(v01_CapsByProject*SUMPRODUCT((Cap_Point&lt;=I320)*(Cap_Kind="Group")*Cap_Ln))</x:f>
        <x:v>100</x:v>
      </x:c>
      <x:c r="N320" s="32" t="n">
        <x:f>MIN(J320,L320,M320)</x:f>
        <x:v>30</x:v>
      </x:c>
      <x:c r="O320" s="10" t="n">
        <x:f>AE319*N320</x:f>
        <x:v>60</x:v>
      </x:c>
      <x:c r="P320" s="9" t="n">
        <x:f>MIN(1,(AB319/(AE319*IF(v01_GroupInCrowding=1,N320,MIN(J320,L320))))^v01_CrowdingExp)</x:f>
        <x:v>0.009297609670077749</x:v>
      </x:c>
      <x:c r="Q320" s="9" t="n">
        <x:f>IF(D320=1,INDEX(v01_WinterMult,G320),1)</x:f>
        <x:v>1</x:v>
      </x:c>
      <x:c r="R320" s="9" t="n">
        <x:f>H320*Z319*v01_WomenShare*v01_BaseFertility*INDEX(v01_FertMult,G320)*Arch_Fertility*(1-P320)</x:f>
        <x:v>0.46087931164633844</x:v>
      </x:c>
      <x:c r="S320" s="9" t="n">
        <x:f>H320*Y319*INDEX(v01_MortChild,G320)/4*Q320</x:f>
        <x:v>0.10060014345718298</x:v>
      </x:c>
      <x:c r="T320" s="9" t="n">
        <x:f>H320*Z319*INDEX(v01_MortAdult,G320)*Arch_AdultMort/4*Q320</x:f>
        <x:v>0.04031773221291439</x:v>
      </x:c>
      <x:c r="U320" s="9" t="n">
        <x:f>H320*AA319*INDEX(v01_MortElder,G320)/4*Q320</x:f>
        <x:v>0.07221848941907565</x:v>
      </x:c>
      <x:c r="V320" s="9" t="n">
        <x:f>H320*MAX(0,AB319-O320)*v01_OvercapLoss</x:f>
        <x:v>0</x:v>
      </x:c>
      <x:c r="W320" s="9" t="n">
        <x:f>H320*Y319/(v01_ChildYears*4)</x:f>
        <x:v>0.20530641521874074</x:v>
      </x:c>
      <x:c r="X320" s="9" t="n">
        <x:f>H320*Z319/(v01_AdultYears*4)</x:f>
        <x:v>0.10004400052832356</x:v>
      </x:c>
      <x:c r="Y320" s="32" t="n">
        <x:f>Y319+R320-S320-W320-Y319*V320/AB319</x:f>
        <x:v>11.652132005219897</x:v>
      </x:c>
      <x:c r="Z320" s="32" t="n">
        <x:f>Z319+W320-X320-T320-Z319*V320/AB319</x:f>
        <x:v>12.470400747989626</x:v>
      </x:c>
      <x:c r="AA320" s="32" t="n">
        <x:f>AA319+X320-U320-AA319*V320/AB319</x:f>
        <x:v>3.6387499820630302</x:v>
      </x:c>
      <x:c r="AB320" s="10" t="n">
        <x:f>Y320+Z320+AA320</x:f>
        <x:v>27.76128273527255</x:v>
      </x:c>
      <x:c r="AC320" s="8" t="n">
        <x:f>IF(AND(v01_WinterTrigger=1,D320=1,AB319/AE319&gt;=K320),1,0)</x:f>
        <x:v>0</x:v>
      </x:c>
      <x:c r="AD320" s="8" t="n">
        <x:f>H320*IF(AND(OR(AB319/AE319&gt;=v01_FissionTrigger*N320,AC320=1),AB319/AE319*v01_DaughterShare&gt;=v01_MinDaughter),MAX(1,ROUND(AE319*v01_FissionRate,0)),0)</x:f>
        <x:v>0</x:v>
      </x:c>
      <x:c r="AE320" s="8" t="n">
        <x:f>IF(H320=1,MAX(1,MIN(INDEX(v01_Smax,G320),AE319+AD320)),AE319)</x:f>
        <x:v>2</x:v>
      </x:c>
      <x:c r="AF320" s="8" t="n">
        <x:f>MAX(0,AE320-AE319)</x:f>
        <x:v>0</x:v>
      </x:c>
      <x:c r="AG320" s="9" t="str">
        <x:f>IF(AF320&gt;0,B320,"")</x:f>
      </x:c>
      <x:c r="AH320" s="9" t="n">
        <x:f>IF(F320&gt;=1,1,(1+v01_LowTiesShare*(AE320-1))/AE320)</x:f>
        <x:v>1</x:v>
      </x:c>
      <x:c r="AI320" s="32" t="n">
        <x:f>(Z320+v01_ElderCommons*INDEX(LM_Elder,G320)*AA320)*AH320</x:f>
        <x:v>21.38348150560549</x:v>
      </x:c>
      <x:c r="AJ320" s="32" t="n">
        <x:f>H320*v01_CommonsCoef*AI320^v01_CommonsExp*INDEX(LM_Commons,G320)</x:f>
        <x:v>8.914779148514402</x:v>
      </x:c>
      <x:c r="AK320" s="32" t="n">
        <x:f>H320*v01_RoleScale*Arch_Roles*(AE320*(INDEX(v01_ElderRolePerSett,G320)*v01_OutElder*INDEX(LM_Elder,G320)+INDEX(v01_ShamanPerSett,G320)*v01_OutShaman)+Z320*(INDEX(v01_PriestShare,G320)*v01_OutPriest+INDEX(v01_ScribeShare,G320)*v01_OutScribe*INDEX(LM_Scribe,G320)+INDEX(v01_ScholarShare,G320)*v01_OutScholar*INDEX(LM_Scholar,G320)+INDEX(v01_ResearcherShare,G320)*v01_OutResearcher*INDEX(LM_Researcher,G320)))</x:f>
        <x:v>2.724744871391589</x:v>
      </x:c>
      <x:c r="AL320" s="32" t="n">
        <x:f>H320*v01_RoleScale*Arch_Roles*AE320*INDEX(v01_MonasteryPerSett,G320)*v01_OutMonastery*INDEX(LM_Monastery,G320)</x:f>
        <x:v>0</x:v>
      </x:c>
      <x:c r="AM320" s="32" t="n">
        <x:f>(AJ320+AK320+AL320)/4*INDEX(LM_All,G320)*INDEX(v01_Boon,G320)*Arch_Insight</x:f>
        <x:v>2.98262803010091</x:v>
      </x:c>
      <x:c r="AN320" s="32" t="n">
        <x:f>H320*(v01_KHPerAdult*Z320+v01_KHOfCommons*AJ320/4*INDEX(LM_All,G320))*v01_KHUsable*Arch_KH</x:f>
        <x:v>0.4364640261796369</x:v>
      </x:c>
      <x:c r="AO320" s="32" t="n">
        <x:f>MIN(AP319+AN320,AM320*v01_KHMaxRatio)</x:f>
        <x:v>0.4364640261796369</x:v>
      </x:c>
      <x:c r="AP320" s="32" t="n">
        <x:f>AP319+AN320-AO320</x:f>
        <x:v>0</x:v>
      </x:c>
      <x:c r="AQ320" s="32" t="n">
        <x:f>AM320+AO320</x:f>
        <x:v>3.419092056280547</x:v>
      </x:c>
      <x:c r="AR320" s="10" t="n">
        <x:f>IF(H320=1,INDEX(v01_Req,G320),0)</x:f>
        <x:v>1067.32</x:v>
      </x:c>
      <x:c r="AS320" s="32" t="n">
        <x:f>IF(H320=1,IF(E320=1,AS319-AR319,AS319)+AQ320,0)</x:f>
        <x:v>226.34517734897366</x:v>
      </x:c>
      <x:c r="AT320" s="11" t="n">
        <x:f>IF(AR320&gt;0,MIN(1,AS320/AR320),1)</x:f>
        <x:v>0.21206871167875957</x:v>
      </x:c>
      <x:c r="AU320" s="10" t="n">
        <x:f>AB320/INDEX(v01_RepScale,G320)</x:f>
        <x:v>27.76128273527255</x:v>
      </x:c>
      <x:c r="AV320" s="32" t="n">
        <x:f>AM320*60/v01_SeasonSeconds</x:f>
        <x:v>11.93051212040364</x:v>
      </x:c>
    </x:row>
    <x:row r="321">
      <x:c r="A321" s="8" t="n">
        <x:f>A320+1</x:f>
        <x:v>318</x:v>
      </x:c>
      <x:c r="B321" s="9" t="n">
        <x:f>A321*v01_SeasonSeconds/60</x:f>
        <x:v>79.5</x:v>
      </x:c>
      <x:c r="C321" s="9" t="n">
        <x:f>A321/4</x:f>
        <x:v>79.5</x:v>
      </x:c>
      <x:c r="D321" s="8" t="n">
        <x:f>IF(MOD(A321,4)=0,1,0)</x:f>
        <x:v>0</x:v>
      </x:c>
      <x:c r="E321" s="8" t="n">
        <x:f>IF(AND(F320&lt;=9,AS320&gt;=AR320),1,0)</x:f>
        <x:v>0</x:v>
      </x:c>
      <x:c r="F321" s="8" t="n">
        <x:f>MIN(10,F320+E321)</x:f>
        <x:v>1</x:v>
      </x:c>
      <x:c r="G321" s="8" t="n">
        <x:f>MIN(F321,9)+1</x:f>
        <x:v>2</x:v>
      </x:c>
      <x:c r="H321" s="8" t="n">
        <x:f>IF(F321&lt;=9,1,0)</x:f>
        <x:v>1</x:v>
      </x:c>
      <x:c r="I321" s="9" t="n">
        <x:f>MIN(10,F320+IF(AR320&gt;0,MIN(1,AS320/AR320),1))</x:f>
        <x:v>1.2120687116787596</x:v>
      </x:c>
      <x:c r="J321" s="32" t="n">
        <x:f>INDEX(v01_FoodCap,G321)*Arch_FoodCap*EXP(v01_CapsByProject*SUMPRODUCT((Cap_Point&lt;=I321)*(Cap_Kind="Food")*Cap_Ln))</x:f>
        <x:v>30</x:v>
      </x:c>
      <x:c r="K321" s="32" t="n">
        <x:f>J321*MIN(1,v01_LeanBase*EXP(v01_CapsByProject*SUMPRODUCT((Cap_Point&lt;=I321)*(Cap_Kind="Lean")*Cap_Ln)))</x:f>
        <x:v>30</x:v>
      </x:c>
      <x:c r="L321" s="10" t="n">
        <x:f>INDEX(v01_HousingCap,G321)*EXP(v01_CapsByProject*SUMPRODUCT((Cap_Point&lt;=I321)*(Cap_Kind="Housing")*Cap_Ln))</x:f>
        <x:v>60</x:v>
      </x:c>
      <x:c r="M321" s="10" t="n">
        <x:f>INDEX(v01_GroupCap,G321)*v01_CohesionFactor*EXP(v01_CapsByProject*SUMPRODUCT((Cap_Point&lt;=I321)*(Cap_Kind="Group")*Cap_Ln))</x:f>
        <x:v>100</x:v>
      </x:c>
      <x:c r="N321" s="32" t="n">
        <x:f>MIN(J321,L321,M321)</x:f>
        <x:v>30</x:v>
      </x:c>
      <x:c r="O321" s="10" t="n">
        <x:f>AE320*N321</x:f>
        <x:v>60</x:v>
      </x:c>
      <x:c r="P321" s="9" t="n">
        <x:f>MIN(1,(AB320/(AE320*IF(v01_GroupInCrowding=1,N321,MIN(J321,L321))))^v01_CrowdingExp)</x:f>
        <x:v>0.009811370432603278</x:v>
      </x:c>
      <x:c r="Q321" s="9" t="n">
        <x:f>IF(D321=1,INDEX(v01_WinterMult,G321),1)</x:f>
        <x:v>1</x:v>
      </x:c>
      <x:c r="R321" s="9" t="n">
        <x:f>H321*Z320*v01_WomenShare*v01_BaseFertility*INDEX(v01_FertMult,G321)*Arch_Fertility*(1-P321)</x:f>
        <x:v>0.46305183850530324</x:v>
      </x:c>
      <x:c r="S321" s="9" t="n">
        <x:f>H321*Y320*INDEX(v01_MortChild,G321)/4*Q321</x:f>
        <x:v>0.10195615504567411</x:v>
      </x:c>
      <x:c r="T321" s="9" t="n">
        <x:f>H321*Z320*INDEX(v01_MortAdult,G321)*Arch_AdultMort/4*Q321</x:f>
        <x:v>0.04052880243096628</x:v>
      </x:c>
      <x:c r="U321" s="9" t="n">
        <x:f>H321*AA320*INDEX(v01_MortElder,G321)/4*Q321</x:f>
        <x:v>0.07277499964126061</x:v>
      </x:c>
      <x:c r="V321" s="9" t="n">
        <x:f>H321*MAX(0,AB320-O321)*v01_OvercapLoss</x:f>
        <x:v>0</x:v>
      </x:c>
      <x:c r="W321" s="9" t="n">
        <x:f>H321*Y320/(v01_ChildYears*4)</x:f>
        <x:v>0.20807378580749816</x:v>
      </x:c>
      <x:c r="X321" s="9" t="n">
        <x:f>H321*Z320/(v01_AdultYears*4)</x:f>
        <x:v>0.10056774796765827</x:v>
      </x:c>
      <x:c r="Y321" s="32" t="n">
        <x:f>Y320+R321-S321-W321-Y320*V321/AB320</x:f>
        <x:v>11.805153902872028</x:v>
      </x:c>
      <x:c r="Z321" s="32" t="n">
        <x:f>Z320+W321-X321-T321-Z320*V321/AB320</x:f>
        <x:v>12.5373779833985</x:v>
      </x:c>
      <x:c r="AA321" s="32" t="n">
        <x:f>AA320+X321-U321-AA320*V321/AB320</x:f>
        <x:v>3.666542730389428</x:v>
      </x:c>
      <x:c r="AB321" s="10" t="n">
        <x:f>Y321+Z321+AA321</x:f>
        <x:v>28.009074616659955</x:v>
      </x:c>
      <x:c r="AC321" s="8" t="n">
        <x:f>IF(AND(v01_WinterTrigger=1,D321=1,AB320/AE320&gt;=K321),1,0)</x:f>
        <x:v>0</x:v>
      </x:c>
      <x:c r="AD321" s="8" t="n">
        <x:f>H321*IF(AND(OR(AB320/AE320&gt;=v01_FissionTrigger*N321,AC321=1),AB320/AE320*v01_DaughterShare&gt;=v01_MinDaughter),MAX(1,ROUND(AE320*v01_FissionRate,0)),0)</x:f>
        <x:v>0</x:v>
      </x:c>
      <x:c r="AE321" s="8" t="n">
        <x:f>IF(H321=1,MAX(1,MIN(INDEX(v01_Smax,G321),AE320+AD321)),AE320)</x:f>
        <x:v>2</x:v>
      </x:c>
      <x:c r="AF321" s="8" t="n">
        <x:f>MAX(0,AE321-AE320)</x:f>
        <x:v>0</x:v>
      </x:c>
      <x:c r="AG321" s="9" t="str">
        <x:f>IF(AF321&gt;0,B321,"")</x:f>
      </x:c>
      <x:c r="AH321" s="9" t="n">
        <x:f>IF(F321&gt;=1,1,(1+v01_LowTiesShare*(AE321-1))/AE321)</x:f>
        <x:v>1</x:v>
      </x:c>
      <x:c r="AI321" s="32" t="n">
        <x:f>(Z321+v01_ElderCommons*INDEX(LM_Elder,G321)*AA321)*AH321</x:f>
        <x:v>21.51853679296363</x:v>
      </x:c>
      <x:c r="AJ321" s="32" t="n">
        <x:f>H321*v01_CommonsCoef*AI321^v01_CommonsExp*INDEX(LM_Commons,G321)</x:f>
        <x:v>8.962615430475116</x:v>
      </x:c>
      <x:c r="AK321" s="32" t="n">
        <x:f>H321*v01_RoleScale*Arch_Roles*(AE321*(INDEX(v01_ElderRolePerSett,G321)*v01_OutElder*INDEX(LM_Elder,G321)+INDEX(v01_ShamanPerSett,G321)*v01_OutShaman)+Z321*(INDEX(v01_PriestShare,G321)*v01_OutPriest+INDEX(v01_ScribeShare,G321)*v01_OutScribe*INDEX(LM_Scribe,G321)+INDEX(v01_ScholarShare,G321)*v01_OutScholar*INDEX(LM_Scholar,G321)+INDEX(v01_ResearcherShare,G321)*v01_OutResearcher*INDEX(LM_Researcher,G321)))</x:f>
        <x:v>2.724744871391589</x:v>
      </x:c>
      <x:c r="AL321" s="32" t="n">
        <x:f>H321*v01_RoleScale*Arch_Roles*AE321*INDEX(v01_MonasteryPerSett,G321)*v01_OutMonastery*INDEX(LM_Monastery,G321)</x:f>
        <x:v>0</x:v>
      </x:c>
      <x:c r="AM321" s="32" t="n">
        <x:f>(AJ321+AK321+AL321)/4*INDEX(LM_All,G321)*INDEX(v01_Boon,G321)*Arch_Insight</x:f>
        <x:v>2.994886077353343</x:v>
      </x:c>
      <x:c r="AN321" s="32" t="n">
        <x:f>H321*(v01_KHPerAdult*Z321+v01_KHOfCommons*AJ321/4*INDEX(LM_All,G321))*v01_KHUsable*Arch_KH</x:f>
        <x:v>0.4388082294189475</x:v>
      </x:c>
      <x:c r="AO321" s="32" t="n">
        <x:f>MIN(AP320+AN321,AM321*v01_KHMaxRatio)</x:f>
        <x:v>0.4388082294189475</x:v>
      </x:c>
      <x:c r="AP321" s="32" t="n">
        <x:f>AP320+AN321-AO321</x:f>
        <x:v>0</x:v>
      </x:c>
      <x:c r="AQ321" s="32" t="n">
        <x:f>AM321+AO321</x:f>
        <x:v>3.4336943067722903</x:v>
      </x:c>
      <x:c r="AR321" s="10" t="n">
        <x:f>IF(H321=1,INDEX(v01_Req,G321),0)</x:f>
        <x:v>1067.32</x:v>
      </x:c>
      <x:c r="AS321" s="32" t="n">
        <x:f>IF(H321=1,IF(E321=1,AS320-AR320,AS320)+AQ321,0)</x:f>
        <x:v>229.77887165574595</x:v>
      </x:c>
      <x:c r="AT321" s="11" t="n">
        <x:f>IF(AR321&gt;0,MIN(1,AS321/AR321),1)</x:f>
        <x:v>0.2152858296066278</x:v>
      </x:c>
      <x:c r="AU321" s="10" t="n">
        <x:f>AB321/INDEX(v01_RepScale,G321)</x:f>
        <x:v>28.009074616659955</x:v>
      </x:c>
      <x:c r="AV321" s="32" t="n">
        <x:f>AM321*60/v01_SeasonSeconds</x:f>
        <x:v>11.979544309413372</x:v>
      </x:c>
    </x:row>
    <x:row r="322">
      <x:c r="A322" s="8" t="n">
        <x:f>A321+1</x:f>
        <x:v>319</x:v>
      </x:c>
      <x:c r="B322" s="9" t="n">
        <x:f>A322*v01_SeasonSeconds/60</x:f>
        <x:v>79.75</x:v>
      </x:c>
      <x:c r="C322" s="9" t="n">
        <x:f>A322/4</x:f>
        <x:v>79.75</x:v>
      </x:c>
      <x:c r="D322" s="8" t="n">
        <x:f>IF(MOD(A322,4)=0,1,0)</x:f>
        <x:v>0</x:v>
      </x:c>
      <x:c r="E322" s="8" t="n">
        <x:f>IF(AND(F321&lt;=9,AS321&gt;=AR321),1,0)</x:f>
        <x:v>0</x:v>
      </x:c>
      <x:c r="F322" s="8" t="n">
        <x:f>MIN(10,F321+E322)</x:f>
        <x:v>1</x:v>
      </x:c>
      <x:c r="G322" s="8" t="n">
        <x:f>MIN(F322,9)+1</x:f>
        <x:v>2</x:v>
      </x:c>
      <x:c r="H322" s="8" t="n">
        <x:f>IF(F322&lt;=9,1,0)</x:f>
        <x:v>1</x:v>
      </x:c>
      <x:c r="I322" s="9" t="n">
        <x:f>MIN(10,F321+IF(AR321&gt;0,MIN(1,AS321/AR321),1))</x:f>
        <x:v>1.2152858296066278</x:v>
      </x:c>
      <x:c r="J322" s="32" t="n">
        <x:f>INDEX(v01_FoodCap,G322)*Arch_FoodCap*EXP(v01_CapsByProject*SUMPRODUCT((Cap_Point&lt;=I322)*(Cap_Kind="Food")*Cap_Ln))</x:f>
        <x:v>30</x:v>
      </x:c>
      <x:c r="K322" s="32" t="n">
        <x:f>J322*MIN(1,v01_LeanBase*EXP(v01_CapsByProject*SUMPRODUCT((Cap_Point&lt;=I322)*(Cap_Kind="Lean")*Cap_Ln)))</x:f>
        <x:v>30</x:v>
      </x:c>
      <x:c r="L322" s="10" t="n">
        <x:f>INDEX(v01_HousingCap,G322)*EXP(v01_CapsByProject*SUMPRODUCT((Cap_Point&lt;=I322)*(Cap_Kind="Housing")*Cap_Ln))</x:f>
        <x:v>60</x:v>
      </x:c>
      <x:c r="M322" s="10" t="n">
        <x:f>INDEX(v01_GroupCap,G322)*v01_CohesionFactor*EXP(v01_CapsByProject*SUMPRODUCT((Cap_Point&lt;=I322)*(Cap_Kind="Group")*Cap_Ln))</x:f>
        <x:v>100</x:v>
      </x:c>
      <x:c r="N322" s="32" t="n">
        <x:f>MIN(J322,L322,M322)</x:f>
        <x:v>30</x:v>
      </x:c>
      <x:c r="O322" s="10" t="n">
        <x:f>AE321*N322</x:f>
        <x:v>60</x:v>
      </x:c>
      <x:c r="P322" s="9" t="n">
        <x:f>MIN(1,(AB321/(AE321*IF(v01_GroupInCrowding=1,N322,MIN(J322,L322))))^v01_CrowdingExp)</x:f>
        <x:v>0.010348682452905647</x:v>
      </x:c>
      <x:c r="Q322" s="9" t="n">
        <x:f>IF(D322=1,INDEX(v01_WinterMult,G322),1)</x:f>
        <x:v>1</x:v>
      </x:c>
      <x:c r="R322" s="9" t="n">
        <x:f>H322*Z321*v01_WomenShare*v01_BaseFertility*INDEX(v01_FertMult,G322)*Arch_Fertility*(1-P322)</x:f>
        <x:v>0.4652862239946096</x:v>
      </x:c>
      <x:c r="S322" s="9" t="n">
        <x:f>H322*Y321*INDEX(v01_MortChild,G322)/4*Q322</x:f>
        <x:v>0.10329509665013026</x:v>
      </x:c>
      <x:c r="T322" s="9" t="n">
        <x:f>H322*Z321*INDEX(v01_MortAdult,G322)*Arch_AdultMort/4*Q322</x:f>
        <x:v>0.04074647844604512</x:v>
      </x:c>
      <x:c r="U322" s="9" t="n">
        <x:f>H322*AA321*INDEX(v01_MortElder,G322)/4*Q322</x:f>
        <x:v>0.07333085460778856</x:v>
      </x:c>
      <x:c r="V322" s="9" t="n">
        <x:f>H322*MAX(0,AB321-O322)*v01_OvercapLoss</x:f>
        <x:v>0</x:v>
      </x:c>
      <x:c r="W322" s="9" t="n">
        <x:f>H322*Y321/(v01_ChildYears*4)</x:f>
        <x:v>0.21080631969414337</x:v>
      </x:c>
      <x:c r="X322" s="9" t="n">
        <x:f>H322*Z321/(v01_AdultYears*4)</x:f>
        <x:v>0.10110788696289112</x:v>
      </x:c>
      <x:c r="Y322" s="32" t="n">
        <x:f>Y321+R322-S322-W322-Y321*V322/AB321</x:f>
        <x:v>11.956338710522365</x:v>
      </x:c>
      <x:c r="Z322" s="32" t="n">
        <x:f>Z321+W322-X322-T322-Z321*V322/AB321</x:f>
        <x:v>12.606329937683705</x:v>
      </x:c>
      <x:c r="AA322" s="32" t="n">
        <x:f>AA321+X322-U322-AA321*V322/AB321</x:f>
        <x:v>3.6943197627445303</x:v>
      </x:c>
      <x:c r="AB322" s="10" t="n">
        <x:f>Y322+Z322+AA322</x:f>
        <x:v>28.2569884109506</x:v>
      </x:c>
      <x:c r="AC322" s="8" t="n">
        <x:f>IF(AND(v01_WinterTrigger=1,D322=1,AB321/AE321&gt;=K322),1,0)</x:f>
        <x:v>0</x:v>
      </x:c>
      <x:c r="AD322" s="8" t="n">
        <x:f>H322*IF(AND(OR(AB321/AE321&gt;=v01_FissionTrigger*N322,AC322=1),AB321/AE321*v01_DaughterShare&gt;=v01_MinDaughter),MAX(1,ROUND(AE321*v01_FissionRate,0)),0)</x:f>
        <x:v>0</x:v>
      </x:c>
      <x:c r="AE322" s="8" t="n">
        <x:f>IF(H322=1,MAX(1,MIN(INDEX(v01_Smax,G322),AE321+AD322)),AE321)</x:f>
        <x:v>2</x:v>
      </x:c>
      <x:c r="AF322" s="8" t="n">
        <x:f>MAX(0,AE322-AE321)</x:f>
        <x:v>0</x:v>
      </x:c>
      <x:c r="AG322" s="9" t="str">
        <x:f>IF(AF322&gt;0,B322,"")</x:f>
      </x:c>
      <x:c r="AH322" s="9" t="n">
        <x:f>IF(F322&gt;=1,1,(1+v01_LowTiesShare*(AE322-1))/AE322)</x:f>
        <x:v>1</x:v>
      </x:c>
      <x:c r="AI322" s="32" t="n">
        <x:f>(Z322+v01_ElderCommons*INDEX(LM_Elder,G322)*AA322)*AH322</x:f>
        <x:v>21.655528303087614</x:v>
      </x:c>
      <x:c r="AJ322" s="32" t="n">
        <x:f>H322*v01_CommonsCoef*AI322^v01_CommonsExp*INDEX(LM_Commons,G322)</x:f>
        <x:v>9.01109153331644</x:v>
      </x:c>
      <x:c r="AK322" s="32" t="n">
        <x:f>H322*v01_RoleScale*Arch_Roles*(AE322*(INDEX(v01_ElderRolePerSett,G322)*v01_OutElder*INDEX(LM_Elder,G322)+INDEX(v01_ShamanPerSett,G322)*v01_OutShaman)+Z322*(INDEX(v01_PriestShare,G322)*v01_OutPriest+INDEX(v01_ScribeShare,G322)*v01_OutScribe*INDEX(LM_Scribe,G322)+INDEX(v01_ScholarShare,G322)*v01_OutScholar*INDEX(LM_Scholar,G322)+INDEX(v01_ResearcherShare,G322)*v01_OutResearcher*INDEX(LM_Researcher,G322)))</x:f>
        <x:v>2.724744871391589</x:v>
      </x:c>
      <x:c r="AL322" s="32" t="n">
        <x:f>H322*v01_RoleScale*Arch_Roles*AE322*INDEX(v01_MonasteryPerSett,G322)*v01_OutMonastery*INDEX(LM_Monastery,G322)</x:f>
        <x:v>0</x:v>
      </x:c>
      <x:c r="AM322" s="32" t="n">
        <x:f>(AJ322+AK322+AL322)/4*INDEX(LM_All,G322)*INDEX(v01_Boon,G322)*Arch_Insight</x:f>
        <x:v>3.007308078706432</x:v>
      </x:c>
      <x:c r="AN322" s="32" t="n">
        <x:f>H322*(v01_KHPerAdult*Z322+v01_KHOfCommons*AJ322/4*INDEX(LM_All,G322))*v01_KHUsable*Arch_KH</x:f>
        <x:v>0.4412215478189297</x:v>
      </x:c>
      <x:c r="AO322" s="32" t="n">
        <x:f>MIN(AP321+AN322,AM322*v01_KHMaxRatio)</x:f>
        <x:v>0.4412215478189297</x:v>
      </x:c>
      <x:c r="AP322" s="32" t="n">
        <x:f>AP321+AN322-AO322</x:f>
        <x:v>0</x:v>
      </x:c>
      <x:c r="AQ322" s="32" t="n">
        <x:f>AM322+AO322</x:f>
        <x:v>3.448529626525362</x:v>
      </x:c>
      <x:c r="AR322" s="10" t="n">
        <x:f>IF(H322=1,INDEX(v01_Req,G322),0)</x:f>
        <x:v>1067.32</x:v>
      </x:c>
      <x:c r="AS322" s="32" t="n">
        <x:f>IF(H322=1,IF(E322=1,AS321-AR321,AS321)+AQ322,0)</x:f>
        <x:v>233.2274012822713</x:v>
      </x:c>
      <x:c r="AT322" s="11" t="n">
        <x:f>IF(AR322&gt;0,MIN(1,AS322/AR322),1)</x:f>
        <x:v>0.21851684713326025</x:v>
      </x:c>
      <x:c r="AU322" s="10" t="n">
        <x:f>AB322/INDEX(v01_RepScale,G322)</x:f>
        <x:v>28.2569884109506</x:v>
      </x:c>
      <x:c r="AV322" s="32" t="n">
        <x:f>AM322*60/v01_SeasonSeconds</x:f>
        <x:v>12.029232314825729</x:v>
      </x:c>
    </x:row>
    <x:row r="323">
      <x:c r="A323" s="8" t="n">
        <x:f>A322+1</x:f>
        <x:v>320</x:v>
      </x:c>
      <x:c r="B323" s="9" t="n">
        <x:f>A323*v01_SeasonSeconds/60</x:f>
        <x:v>80</x:v>
      </x:c>
      <x:c r="C323" s="9" t="n">
        <x:f>A323/4</x:f>
        <x:v>80</x:v>
      </x:c>
      <x:c r="D323" s="8" t="n">
        <x:f>IF(MOD(A323,4)=0,1,0)</x:f>
        <x:v>1</x:v>
      </x:c>
      <x:c r="E323" s="8" t="n">
        <x:f>IF(AND(F322&lt;=9,AS322&gt;=AR322),1,0)</x:f>
        <x:v>0</x:v>
      </x:c>
      <x:c r="F323" s="8" t="n">
        <x:f>MIN(10,F322+E323)</x:f>
        <x:v>1</x:v>
      </x:c>
      <x:c r="G323" s="8" t="n">
        <x:f>MIN(F323,9)+1</x:f>
        <x:v>2</x:v>
      </x:c>
      <x:c r="H323" s="8" t="n">
        <x:f>IF(F323&lt;=9,1,0)</x:f>
        <x:v>1</x:v>
      </x:c>
      <x:c r="I323" s="9" t="n">
        <x:f>MIN(10,F322+IF(AR322&gt;0,MIN(1,AS322/AR322),1))</x:f>
        <x:v>1.2185168471332601</x:v>
      </x:c>
      <x:c r="J323" s="32" t="n">
        <x:f>INDEX(v01_FoodCap,G323)*Arch_FoodCap*EXP(v01_CapsByProject*SUMPRODUCT((Cap_Point&lt;=I323)*(Cap_Kind="Food")*Cap_Ln))</x:f>
        <x:v>30</x:v>
      </x:c>
      <x:c r="K323" s="32" t="n">
        <x:f>J323*MIN(1,v01_LeanBase*EXP(v01_CapsByProject*SUMPRODUCT((Cap_Point&lt;=I323)*(Cap_Kind="Lean")*Cap_Ln)))</x:f>
        <x:v>30</x:v>
      </x:c>
      <x:c r="L323" s="10" t="n">
        <x:f>INDEX(v01_HousingCap,G323)*EXP(v01_CapsByProject*SUMPRODUCT((Cap_Point&lt;=I323)*(Cap_Kind="Housing")*Cap_Ln))</x:f>
        <x:v>60</x:v>
      </x:c>
      <x:c r="M323" s="10" t="n">
        <x:f>INDEX(v01_GroupCap,G323)*v01_CohesionFactor*EXP(v01_CapsByProject*SUMPRODUCT((Cap_Point&lt;=I323)*(Cap_Kind="Group")*Cap_Ln))</x:f>
        <x:v>100</x:v>
      </x:c>
      <x:c r="N323" s="32" t="n">
        <x:f>MIN(J323,L323,M323)</x:f>
        <x:v>30</x:v>
      </x:c>
      <x:c r="O323" s="10" t="n">
        <x:f>AE322*N323</x:f>
        <x:v>60</x:v>
      </x:c>
      <x:c r="P323" s="9" t="n">
        <x:f>MIN(1,(AB322/(AE322*IF(v01_GroupInCrowding=1,N323,MIN(J323,L323))))^v01_CrowdingExp)</x:f>
        <x:v>0.010910577504227994</x:v>
      </x:c>
      <x:c r="Q323" s="9" t="n">
        <x:f>IF(D323=1,INDEX(v01_WinterMult,G323),1)</x:f>
        <x:v>1.6</x:v>
      </x:c>
      <x:c r="R323" s="9" t="n">
        <x:f>H323*Z322*v01_WomenShare*v01_BaseFertility*INDEX(v01_FertMult,G323)*Arch_Fertility*(1-P323)</x:f>
        <x:v>0.4675795349195526</x:v>
      </x:c>
      <x:c r="S323" s="9" t="n">
        <x:f>H323*Y322*INDEX(v01_MortChild,G323)/4*Q323</x:f>
        <x:v>0.16738874194731312</x:v>
      </x:c>
      <x:c r="T323" s="9" t="n">
        <x:f>H323*Z322*INDEX(v01_MortAdult,G323)*Arch_AdultMort/4*Q323</x:f>
        <x:v>0.06555291567595527</x:v>
      </x:c>
      <x:c r="U323" s="9" t="n">
        <x:f>H323*AA322*INDEX(v01_MortElder,G323)/4*Q323</x:f>
        <x:v>0.11821823240782497</x:v>
      </x:c>
      <x:c r="V323" s="9" t="n">
        <x:f>H323*MAX(0,AB322-O323)*v01_OvercapLoss</x:f>
        <x:v>0</x:v>
      </x:c>
      <x:c r="W323" s="9" t="n">
        <x:f>H323*Y322/(v01_ChildYears*4)</x:f>
        <x:v>0.2135060484021851</x:v>
      </x:c>
      <x:c r="X323" s="9" t="n">
        <x:f>H323*Z322/(v01_AdultYears*4)</x:f>
        <x:v>0.10166395111035247</x:v>
      </x:c>
      <x:c r="Y323" s="32" t="n">
        <x:f>Y322+R323-S323-W323-Y322*V323/AB322</x:f>
        <x:v>12.04302345509242</x:v>
      </x:c>
      <x:c r="Z323" s="32" t="n">
        <x:f>Z322+W323-X323-T323-Z322*V323/AB322</x:f>
        <x:v>12.652619119299583</x:v>
      </x:c>
      <x:c r="AA323" s="32" t="n">
        <x:f>AA322+X323-U323-AA322*V323/AB322</x:f>
        <x:v>3.6777654814470577</x:v>
      </x:c>
      <x:c r="AB323" s="10" t="n">
        <x:f>Y323+Z323+AA323</x:f>
        <x:v>28.37340805583906</x:v>
      </x:c>
      <x:c r="AC323" s="8" t="n">
        <x:f>IF(AND(v01_WinterTrigger=1,D323=1,AB322/AE322&gt;=K323),1,0)</x:f>
        <x:v>0</x:v>
      </x:c>
      <x:c r="AD323" s="8" t="n">
        <x:f>H323*IF(AND(OR(AB322/AE322&gt;=v01_FissionTrigger*N323,AC323=1),AB322/AE322*v01_DaughterShare&gt;=v01_MinDaughter),MAX(1,ROUND(AE322*v01_FissionRate,0)),0)</x:f>
        <x:v>0</x:v>
      </x:c>
      <x:c r="AE323" s="8" t="n">
        <x:f>IF(H323=1,MAX(1,MIN(INDEX(v01_Smax,G323),AE322+AD323)),AE322)</x:f>
        <x:v>2</x:v>
      </x:c>
      <x:c r="AF323" s="8" t="n">
        <x:f>MAX(0,AE323-AE322)</x:f>
        <x:v>0</x:v>
      </x:c>
      <x:c r="AG323" s="9" t="str">
        <x:f>IF(AF323&gt;0,B323,"")</x:f>
      </x:c>
      <x:c r="AH323" s="9" t="n">
        <x:f>IF(F323&gt;=1,1,(1+v01_LowTiesShare*(AE323-1))/AE323)</x:f>
        <x:v>1</x:v>
      </x:c>
      <x:c r="AI323" s="32" t="n">
        <x:f>(Z323+v01_ElderCommons*INDEX(LM_Elder,G323)*AA323)*AH323</x:f>
        <x:v>21.66126794246619</x:v>
      </x:c>
      <x:c r="AJ323" s="32" t="n">
        <x:f>H323*v01_CommonsCoef*AI323^v01_CommonsExp*INDEX(LM_Commons,G323)</x:f>
        <x:v>9.013121568281106</x:v>
      </x:c>
      <x:c r="AK323" s="32" t="n">
        <x:f>H323*v01_RoleScale*Arch_Roles*(AE323*(INDEX(v01_ElderRolePerSett,G323)*v01_OutElder*INDEX(LM_Elder,G323)+INDEX(v01_ShamanPerSett,G323)*v01_OutShaman)+Z323*(INDEX(v01_PriestShare,G323)*v01_OutPriest+INDEX(v01_ScribeShare,G323)*v01_OutScribe*INDEX(LM_Scribe,G323)+INDEX(v01_ScholarShare,G323)*v01_OutScholar*INDEX(LM_Scholar,G323)+INDEX(v01_ResearcherShare,G323)*v01_OutResearcher*INDEX(LM_Researcher,G323)))</x:f>
        <x:v>2.724744871391589</x:v>
      </x:c>
      <x:c r="AL323" s="32" t="n">
        <x:f>H323*v01_RoleScale*Arch_Roles*AE323*INDEX(v01_MonasteryPerSett,G323)*v01_OutMonastery*INDEX(LM_Monastery,G323)</x:f>
        <x:v>0</x:v>
      </x:c>
      <x:c r="AM323" s="32" t="n">
        <x:f>(AJ323+AK323+AL323)/4*INDEX(LM_All,G323)*INDEX(v01_Boon,G323)*Arch_Insight</x:f>
        <x:v>3.007828275166128</x:v>
      </x:c>
      <x:c r="AN323" s="32" t="n">
        <x:f>H323*(v01_KHPerAdult*Z323+v01_KHOfCommons*AJ323/4*INDEX(LM_All,G323))*v01_KHUsable*Arch_KH</x:f>
        <x:v>0.4428416691754854</x:v>
      </x:c>
      <x:c r="AO323" s="32" t="n">
        <x:f>MIN(AP322+AN323,AM323*v01_KHMaxRatio)</x:f>
        <x:v>0.4428416691754854</x:v>
      </x:c>
      <x:c r="AP323" s="32" t="n">
        <x:f>AP322+AN323-AO323</x:f>
        <x:v>0</x:v>
      </x:c>
      <x:c r="AQ323" s="32" t="n">
        <x:f>AM323+AO323</x:f>
        <x:v>3.4506699443416133</x:v>
      </x:c>
      <x:c r="AR323" s="10" t="n">
        <x:f>IF(H323=1,INDEX(v01_Req,G323),0)</x:f>
        <x:v>1067.32</x:v>
      </x:c>
      <x:c r="AS323" s="32" t="n">
        <x:f>IF(H323=1,IF(E323=1,AS322-AR322,AS322)+AQ323,0)</x:f>
        <x:v>236.67807122661293</x:v>
      </x:c>
      <x:c r="AT323" s="11" t="n">
        <x:f>IF(AR323&gt;0,MIN(1,AS323/AR323),1)</x:f>
        <x:v>0.22174986997958715</x:v>
      </x:c>
      <x:c r="AU323" s="10" t="n">
        <x:f>AB323/INDEX(v01_RepScale,G323)</x:f>
        <x:v>28.37340805583906</x:v>
      </x:c>
      <x:c r="AV323" s="32" t="n">
        <x:f>AM323*60/v01_SeasonSeconds</x:f>
        <x:v>12.031313100664512</x:v>
      </x:c>
    </x:row>
    <x:row r="324">
      <x:c r="A324" s="8" t="n">
        <x:f>A323+1</x:f>
        <x:v>321</x:v>
      </x:c>
      <x:c r="B324" s="9" t="n">
        <x:f>A324*v01_SeasonSeconds/60</x:f>
        <x:v>80.25</x:v>
      </x:c>
      <x:c r="C324" s="9" t="n">
        <x:f>A324/4</x:f>
        <x:v>80.25</x:v>
      </x:c>
      <x:c r="D324" s="8" t="n">
        <x:f>IF(MOD(A324,4)=0,1,0)</x:f>
        <x:v>0</x:v>
      </x:c>
      <x:c r="E324" s="8" t="n">
        <x:f>IF(AND(F323&lt;=9,AS323&gt;=AR323),1,0)</x:f>
        <x:v>0</x:v>
      </x:c>
      <x:c r="F324" s="8" t="n">
        <x:f>MIN(10,F323+E324)</x:f>
        <x:v>1</x:v>
      </x:c>
      <x:c r="G324" s="8" t="n">
        <x:f>MIN(F324,9)+1</x:f>
        <x:v>2</x:v>
      </x:c>
      <x:c r="H324" s="8" t="n">
        <x:f>IF(F324&lt;=9,1,0)</x:f>
        <x:v>1</x:v>
      </x:c>
      <x:c r="I324" s="9" t="n">
        <x:f>MIN(10,F323+IF(AR323&gt;0,MIN(1,AS323/AR323),1))</x:f>
        <x:v>1.2217498699795872</x:v>
      </x:c>
      <x:c r="J324" s="32" t="n">
        <x:f>INDEX(v01_FoodCap,G324)*Arch_FoodCap*EXP(v01_CapsByProject*SUMPRODUCT((Cap_Point&lt;=I324)*(Cap_Kind="Food")*Cap_Ln))</x:f>
        <x:v>30</x:v>
      </x:c>
      <x:c r="K324" s="32" t="n">
        <x:f>J324*MIN(1,v01_LeanBase*EXP(v01_CapsByProject*SUMPRODUCT((Cap_Point&lt;=I324)*(Cap_Kind="Lean")*Cap_Ln)))</x:f>
        <x:v>30</x:v>
      </x:c>
      <x:c r="L324" s="10" t="n">
        <x:f>INDEX(v01_HousingCap,G324)*EXP(v01_CapsByProject*SUMPRODUCT((Cap_Point&lt;=I324)*(Cap_Kind="Housing")*Cap_Ln))</x:f>
        <x:v>60</x:v>
      </x:c>
      <x:c r="M324" s="10" t="n">
        <x:f>INDEX(v01_GroupCap,G324)*v01_CohesionFactor*EXP(v01_CapsByProject*SUMPRODUCT((Cap_Point&lt;=I324)*(Cap_Kind="Group")*Cap_Ln))</x:f>
        <x:v>100</x:v>
      </x:c>
      <x:c r="N324" s="32" t="n">
        <x:f>MIN(J324,L324,M324)</x:f>
        <x:v>30</x:v>
      </x:c>
      <x:c r="O324" s="10" t="n">
        <x:f>AE323*N324</x:f>
        <x:v>60</x:v>
      </x:c>
      <x:c r="P324" s="9" t="n">
        <x:f>MIN(1,(AB323/(AE323*IF(v01_GroupInCrowding=1,N324,MIN(J324,L324))))^v01_CrowdingExp)</x:f>
        <x:v>0.011183082311832578</x:v>
      </x:c>
      <x:c r="Q324" s="9" t="n">
        <x:f>IF(D324=1,INDEX(v01_WinterMult,G324),1)</x:f>
        <x:v>1</x:v>
      </x:c>
      <x:c r="R324" s="9" t="n">
        <x:f>H324*Z323*v01_WomenShare*v01_BaseFertility*INDEX(v01_FertMult,G324)*Arch_Fertility*(1-P324)</x:f>
        <x:v>0.4691671439335571</x:v>
      </x:c>
      <x:c r="S324" s="9" t="n">
        <x:f>H324*Y323*INDEX(v01_MortChild,G324)/4*Q324</x:f>
        <x:v>0.10537645523205869</x:v>
      </x:c>
      <x:c r="T324" s="9" t="n">
        <x:f>H324*Z323*INDEX(v01_MortAdult,G324)*Arch_AdultMort/4*Q324</x:f>
        <x:v>0.04112101213772364</x:v>
      </x:c>
      <x:c r="U324" s="9" t="n">
        <x:f>H324*AA323*INDEX(v01_MortElder,G324)/4*Q324</x:f>
        <x:v>0.07355530962894116</x:v>
      </x:c>
      <x:c r="V324" s="9" t="n">
        <x:f>H324*MAX(0,AB323-O324)*v01_OvercapLoss</x:f>
        <x:v>0</x:v>
      </x:c>
      <x:c r="W324" s="9" t="n">
        <x:f>H324*Y323/(v01_ChildYears*4)</x:f>
        <x:v>0.2150539902695075</x:v>
      </x:c>
      <x:c r="X324" s="9" t="n">
        <x:f>H324*Z323/(v01_AdultYears*4)</x:f>
        <x:v>0.10203725096209341</x:v>
      </x:c>
      <x:c r="Y324" s="32" t="n">
        <x:f>Y323+R324-S324-W324-Y323*V324/AB323</x:f>
        <x:v>12.191760153524411</x:v>
      </x:c>
      <x:c r="Z324" s="32" t="n">
        <x:f>Z323+W324-X324-T324-Z323*V324/AB323</x:f>
        <x:v>12.724514846469274</x:v>
      </x:c>
      <x:c r="AA324" s="32" t="n">
        <x:f>AA323+X324-U324-AA323*V324/AB323</x:f>
        <x:v>3.7062474227802102</x:v>
      </x:c>
      <x:c r="AB324" s="10" t="n">
        <x:f>Y324+Z324+AA324</x:f>
        <x:v>28.622522422773898</x:v>
      </x:c>
      <x:c r="AC324" s="8" t="n">
        <x:f>IF(AND(v01_WinterTrigger=1,D324=1,AB323/AE323&gt;=K324),1,0)</x:f>
        <x:v>0</x:v>
      </x:c>
      <x:c r="AD324" s="8" t="n">
        <x:f>H324*IF(AND(OR(AB323/AE323&gt;=v01_FissionTrigger*N324,AC324=1),AB323/AE323*v01_DaughterShare&gt;=v01_MinDaughter),MAX(1,ROUND(AE323*v01_FissionRate,0)),0)</x:f>
        <x:v>0</x:v>
      </x:c>
      <x:c r="AE324" s="8" t="n">
        <x:f>IF(H324=1,MAX(1,MIN(INDEX(v01_Smax,G324),AE323+AD324)),AE323)</x:f>
        <x:v>2</x:v>
      </x:c>
      <x:c r="AF324" s="8" t="n">
        <x:f>MAX(0,AE324-AE323)</x:f>
        <x:v>0</x:v>
      </x:c>
      <x:c r="AG324" s="9" t="str">
        <x:f>IF(AF324&gt;0,B324,"")</x:f>
      </x:c>
      <x:c r="AH324" s="9" t="n">
        <x:f>IF(F324&gt;=1,1,(1+v01_LowTiesShare*(AE324-1))/AE324)</x:f>
        <x:v>1</x:v>
      </x:c>
      <x:c r="AI324" s="32" t="n">
        <x:f>(Z324+v01_ElderCommons*INDEX(LM_Elder,G324)*AA324)*AH324</x:f>
        <x:v>21.80292989278599</x:v>
      </x:c>
      <x:c r="AJ324" s="32" t="n">
        <x:f>H324*v01_CommonsCoef*AI324^v01_CommonsExp*INDEX(LM_Commons,G324)</x:f>
        <x:v>9.063200027640809</x:v>
      </x:c>
      <x:c r="AK324" s="32" t="n">
        <x:f>H324*v01_RoleScale*Arch_Roles*(AE324*(INDEX(v01_ElderRolePerSett,G324)*v01_OutElder*INDEX(LM_Elder,G324)+INDEX(v01_ShamanPerSett,G324)*v01_OutShaman)+Z324*(INDEX(v01_PriestShare,G324)*v01_OutPriest+INDEX(v01_ScribeShare,G324)*v01_OutScribe*INDEX(LM_Scribe,G324)+INDEX(v01_ScholarShare,G324)*v01_OutScholar*INDEX(LM_Scholar,G324)+INDEX(v01_ResearcherShare,G324)*v01_OutResearcher*INDEX(LM_Researcher,G324)))</x:f>
        <x:v>2.724744871391589</x:v>
      </x:c>
      <x:c r="AL324" s="32" t="n">
        <x:f>H324*v01_RoleScale*Arch_Roles*AE324*INDEX(v01_MonasteryPerSett,G324)*v01_OutMonastery*INDEX(LM_Monastery,G324)</x:f>
        <x:v>0</x:v>
      </x:c>
      <x:c r="AM324" s="32" t="n">
        <x:f>(AJ324+AK324+AL324)/4*INDEX(LM_All,G324)*INDEX(v01_Boon,G324)*Arch_Insight</x:f>
        <x:v>3.0206608803770516</x:v>
      </x:c>
      <x:c r="AN324" s="32" t="n">
        <x:f>H324*(v01_KHPerAdult*Z324+v01_KHOfCommons*AJ324/4*INDEX(LM_All,G324))*v01_KHUsable*Arch_KH</x:f>
        <x:v>0.4453580196264246</x:v>
      </x:c>
      <x:c r="AO324" s="32" t="n">
        <x:f>MIN(AP323+AN324,AM324*v01_KHMaxRatio)</x:f>
        <x:v>0.4453580196264246</x:v>
      </x:c>
      <x:c r="AP324" s="32" t="n">
        <x:f>AP323+AN324-AO324</x:f>
        <x:v>0</x:v>
      </x:c>
      <x:c r="AQ324" s="32" t="n">
        <x:f>AM324+AO324</x:f>
        <x:v>3.4660189000034762</x:v>
      </x:c>
      <x:c r="AR324" s="10" t="n">
        <x:f>IF(H324=1,INDEX(v01_Req,G324),0)</x:f>
        <x:v>1067.32</x:v>
      </x:c>
      <x:c r="AS324" s="32" t="n">
        <x:f>IF(H324=1,IF(E324=1,AS323-AR323,AS323)+AQ324,0)</x:f>
        <x:v>240.1440901266164</x:v>
      </x:c>
      <x:c r="AT324" s="11" t="n">
        <x:f>IF(AR324&gt;0,MIN(1,AS324/AR324),1)</x:f>
        <x:v>0.22499727366358394</x:v>
      </x:c>
      <x:c r="AU324" s="10" t="n">
        <x:f>AB324/INDEX(v01_RepScale,G324)</x:f>
        <x:v>28.622522422773898</x:v>
      </x:c>
      <x:c r="AV324" s="32" t="n">
        <x:f>AM324*60/v01_SeasonSeconds</x:f>
        <x:v>12.082643521508206</x:v>
      </x:c>
    </x:row>
    <x:row r="325">
      <x:c r="A325" s="8" t="n">
        <x:f>A324+1</x:f>
        <x:v>322</x:v>
      </x:c>
      <x:c r="B325" s="9" t="n">
        <x:f>A325*v01_SeasonSeconds/60</x:f>
        <x:v>80.5</x:v>
      </x:c>
      <x:c r="C325" s="9" t="n">
        <x:f>A325/4</x:f>
        <x:v>80.5</x:v>
      </x:c>
      <x:c r="D325" s="8" t="n">
        <x:f>IF(MOD(A325,4)=0,1,0)</x:f>
        <x:v>0</x:v>
      </x:c>
      <x:c r="E325" s="8" t="n">
        <x:f>IF(AND(F324&lt;=9,AS324&gt;=AR324),1,0)</x:f>
        <x:v>0</x:v>
      </x:c>
      <x:c r="F325" s="8" t="n">
        <x:f>MIN(10,F324+E325)</x:f>
        <x:v>1</x:v>
      </x:c>
      <x:c r="G325" s="8" t="n">
        <x:f>MIN(F325,9)+1</x:f>
        <x:v>2</x:v>
      </x:c>
      <x:c r="H325" s="8" t="n">
        <x:f>IF(F325&lt;=9,1,0)</x:f>
        <x:v>1</x:v>
      </x:c>
      <x:c r="I325" s="9" t="n">
        <x:f>MIN(10,F324+IF(AR324&gt;0,MIN(1,AS324/AR324),1))</x:f>
        <x:v>1.224997273663584</x:v>
      </x:c>
      <x:c r="J325" s="32" t="n">
        <x:f>INDEX(v01_FoodCap,G325)*Arch_FoodCap*EXP(v01_CapsByProject*SUMPRODUCT((Cap_Point&lt;=I325)*(Cap_Kind="Food")*Cap_Ln))</x:f>
        <x:v>30</x:v>
      </x:c>
      <x:c r="K325" s="32" t="n">
        <x:f>J325*MIN(1,v01_LeanBase*EXP(v01_CapsByProject*SUMPRODUCT((Cap_Point&lt;=I325)*(Cap_Kind="Lean")*Cap_Ln)))</x:f>
        <x:v>30</x:v>
      </x:c>
      <x:c r="L325" s="10" t="n">
        <x:f>INDEX(v01_HousingCap,G325)*EXP(v01_CapsByProject*SUMPRODUCT((Cap_Point&lt;=I325)*(Cap_Kind="Housing")*Cap_Ln))</x:f>
        <x:v>60</x:v>
      </x:c>
      <x:c r="M325" s="10" t="n">
        <x:f>INDEX(v01_GroupCap,G325)*v01_CohesionFactor*EXP(v01_CapsByProject*SUMPRODUCT((Cap_Point&lt;=I325)*(Cap_Kind="Group")*Cap_Ln))</x:f>
        <x:v>100</x:v>
      </x:c>
      <x:c r="N325" s="32" t="n">
        <x:f>MIN(J325,L325,M325)</x:f>
        <x:v>30</x:v>
      </x:c>
      <x:c r="O325" s="10" t="n">
        <x:f>AE324*N325</x:f>
        <x:v>60</x:v>
      </x:c>
      <x:c r="P325" s="9" t="n">
        <x:f>MIN(1,(AB324/(AE324*IF(v01_GroupInCrowding=1,N325,MIN(J325,L325))))^v01_CrowdingExp)</x:f>
        <x:v>0.011785280492644873</x:v>
      </x:c>
      <x:c r="Q325" s="9" t="n">
        <x:f>IF(D325=1,INDEX(v01_WinterMult,G325),1)</x:f>
        <x:v>1</x:v>
      </x:c>
      <x:c r="R325" s="9" t="n">
        <x:f>H325*Z324*v01_WomenShare*v01_BaseFertility*INDEX(v01_FertMult,G325)*Arch_Fertility*(1-P325)</x:f>
        <x:v>0.47154573262015537</x:v>
      </x:c>
      <x:c r="S325" s="9" t="n">
        <x:f>H325*Y324*INDEX(v01_MortChild,G325)/4*Q325</x:f>
        <x:v>0.10667790134333861</x:v>
      </x:c>
      <x:c r="T325" s="9" t="n">
        <x:f>H325*Z324*INDEX(v01_MortAdult,G325)*Arch_AdultMort/4*Q325</x:f>
        <x:v>0.04135467325102514</x:v>
      </x:c>
      <x:c r="U325" s="9" t="n">
        <x:f>H325*AA324*INDEX(v01_MortElder,G325)/4*Q325</x:f>
        <x:v>0.0741249484556042</x:v>
      </x:c>
      <x:c r="V325" s="9" t="n">
        <x:f>H325*MAX(0,AB324-O325)*v01_OvercapLoss</x:f>
        <x:v>0</x:v>
      </x:c>
      <x:c r="W325" s="9" t="n">
        <x:f>H325*Y324/(v01_ChildYears*4)</x:f>
        <x:v>0.21771000274150734</x:v>
      </x:c>
      <x:c r="X325" s="9" t="n">
        <x:f>H325*Z324/(v01_AdultYears*4)</x:f>
        <x:v>0.10261705521346189</x:v>
      </x:c>
      <x:c r="Y325" s="32" t="n">
        <x:f>Y324+R325-S325-W325-Y324*V325/AB324</x:f>
        <x:v>12.338917982059721</x:v>
      </x:c>
      <x:c r="Z325" s="32" t="n">
        <x:f>Z324+W325-X325-T325-Z324*V325/AB324</x:f>
        <x:v>12.798253120746294</x:v>
      </x:c>
      <x:c r="AA325" s="32" t="n">
        <x:f>AA324+X325-U325-AA324*V325/AB324</x:f>
        <x:v>3.734739529538068</x:v>
      </x:c>
      <x:c r="AB325" s="10" t="n">
        <x:f>Y325+Z325+AA325</x:f>
        <x:v>28.871910632344083</x:v>
      </x:c>
      <x:c r="AC325" s="8" t="n">
        <x:f>IF(AND(v01_WinterTrigger=1,D325=1,AB324/AE324&gt;=K325),1,0)</x:f>
        <x:v>0</x:v>
      </x:c>
      <x:c r="AD325" s="8" t="n">
        <x:f>H325*IF(AND(OR(AB324/AE324&gt;=v01_FissionTrigger*N325,AC325=1),AB324/AE324*v01_DaughterShare&gt;=v01_MinDaughter),MAX(1,ROUND(AE324*v01_FissionRate,0)),0)</x:f>
        <x:v>0</x:v>
      </x:c>
      <x:c r="AE325" s="8" t="n">
        <x:f>IF(H325=1,MAX(1,MIN(INDEX(v01_Smax,G325),AE324+AD325)),AE324)</x:f>
        <x:v>2</x:v>
      </x:c>
      <x:c r="AF325" s="8" t="n">
        <x:f>MAX(0,AE325-AE324)</x:f>
        <x:v>0</x:v>
      </x:c>
      <x:c r="AG325" s="9" t="str">
        <x:f>IF(AF325&gt;0,B325,"")</x:f>
      </x:c>
      <x:c r="AH325" s="9" t="n">
        <x:f>IF(F325&gt;=1,1,(1+v01_LowTiesShare*(AE325-1))/AE325)</x:f>
        <x:v>1</x:v>
      </x:c>
      <x:c r="AI325" s="32" t="n">
        <x:f>(Z325+v01_ElderCommons*INDEX(LM_Elder,G325)*AA325)*AH325</x:f>
        <x:v>21.94645929031666</x:v>
      </x:c>
      <x:c r="AJ325" s="32" t="n">
        <x:f>H325*v01_CommonsCoef*AI325^v01_CommonsExp*INDEX(LM_Commons,G325)</x:f>
        <x:v>9.113888891587418</x:v>
      </x:c>
      <x:c r="AK325" s="32" t="n">
        <x:f>H325*v01_RoleScale*Arch_Roles*(AE325*(INDEX(v01_ElderRolePerSett,G325)*v01_OutElder*INDEX(LM_Elder,G325)+INDEX(v01_ShamanPerSett,G325)*v01_OutShaman)+Z325*(INDEX(v01_PriestShare,G325)*v01_OutPriest+INDEX(v01_ScribeShare,G325)*v01_OutScribe*INDEX(LM_Scribe,G325)+INDEX(v01_ScholarShare,G325)*v01_OutScholar*INDEX(LM_Scholar,G325)+INDEX(v01_ResearcherShare,G325)*v01_OutResearcher*INDEX(LM_Researcher,G325)))</x:f>
        <x:v>2.724744871391589</x:v>
      </x:c>
      <x:c r="AL325" s="32" t="n">
        <x:f>H325*v01_RoleScale*Arch_Roles*AE325*INDEX(v01_MonasteryPerSett,G325)*v01_OutMonastery*INDEX(LM_Monastery,G325)</x:f>
        <x:v>0</x:v>
      </x:c>
      <x:c r="AM325" s="32" t="n">
        <x:f>(AJ325+AK325+AL325)/4*INDEX(LM_All,G325)*INDEX(v01_Boon,G325)*Arch_Insight</x:f>
        <x:v>3.0336499017633707</x:v>
      </x:c>
      <x:c r="AN325" s="32" t="n">
        <x:f>H325*(v01_KHPerAdult*Z325+v01_KHOfCommons*AJ325/4*INDEX(LM_All,G325))*v01_KHUsable*Arch_KH</x:f>
        <x:v>0.44793885922612026</x:v>
      </x:c>
      <x:c r="AO325" s="32" t="n">
        <x:f>MIN(AP324+AN325,AM325*v01_KHMaxRatio)</x:f>
        <x:v>0.44793885922612026</x:v>
      </x:c>
      <x:c r="AP325" s="32" t="n">
        <x:f>AP324+AN325-AO325</x:f>
        <x:v>0</x:v>
      </x:c>
      <x:c r="AQ325" s="32" t="n">
        <x:f>AM325+AO325</x:f>
        <x:v>3.481588760989491</x:v>
      </x:c>
      <x:c r="AR325" s="10" t="n">
        <x:f>IF(H325=1,INDEX(v01_Req,G325),0)</x:f>
        <x:v>1067.32</x:v>
      </x:c>
      <x:c r="AS325" s="32" t="n">
        <x:f>IF(H325=1,IF(E325=1,AS324-AR324,AS324)+AQ325,0)</x:f>
        <x:v>243.6256788876059</x:v>
      </x:c>
      <x:c r="AT325" s="11" t="n">
        <x:f>IF(AR325&gt;0,MIN(1,AS325/AR325),1)</x:f>
        <x:v>0.22825926515722172</x:v>
      </x:c>
      <x:c r="AU325" s="10" t="n">
        <x:f>AB325/INDEX(v01_RepScale,G325)</x:f>
        <x:v>28.871910632344083</x:v>
      </x:c>
      <x:c r="AV325" s="32" t="n">
        <x:f>AM325*60/v01_SeasonSeconds</x:f>
        <x:v>12.134599607053483</x:v>
      </x:c>
    </x:row>
    <x:row r="326">
      <x:c r="A326" s="8" t="n">
        <x:f>A325+1</x:f>
        <x:v>323</x:v>
      </x:c>
      <x:c r="B326" s="9" t="n">
        <x:f>A326*v01_SeasonSeconds/60</x:f>
        <x:v>80.75</x:v>
      </x:c>
      <x:c r="C326" s="9" t="n">
        <x:f>A326/4</x:f>
        <x:v>80.75</x:v>
      </x:c>
      <x:c r="D326" s="8" t="n">
        <x:f>IF(MOD(A326,4)=0,1,0)</x:f>
        <x:v>0</x:v>
      </x:c>
      <x:c r="E326" s="8" t="n">
        <x:f>IF(AND(F325&lt;=9,AS325&gt;=AR325),1,0)</x:f>
        <x:v>0</x:v>
      </x:c>
      <x:c r="F326" s="8" t="n">
        <x:f>MIN(10,F325+E326)</x:f>
        <x:v>1</x:v>
      </x:c>
      <x:c r="G326" s="8" t="n">
        <x:f>MIN(F326,9)+1</x:f>
        <x:v>2</x:v>
      </x:c>
      <x:c r="H326" s="8" t="n">
        <x:f>IF(F326&lt;=9,1,0)</x:f>
        <x:v>1</x:v>
      </x:c>
      <x:c r="I326" s="9" t="n">
        <x:f>MIN(10,F325+IF(AR325&gt;0,MIN(1,AS325/AR325),1))</x:f>
        <x:v>1.2282592651572217</x:v>
      </x:c>
      <x:c r="J326" s="32" t="n">
        <x:f>INDEX(v01_FoodCap,G326)*Arch_FoodCap*EXP(v01_CapsByProject*SUMPRODUCT((Cap_Point&lt;=I326)*(Cap_Kind="Food")*Cap_Ln))</x:f>
        <x:v>30</x:v>
      </x:c>
      <x:c r="K326" s="32" t="n">
        <x:f>J326*MIN(1,v01_LeanBase*EXP(v01_CapsByProject*SUMPRODUCT((Cap_Point&lt;=I326)*(Cap_Kind="Lean")*Cap_Ln)))</x:f>
        <x:v>30</x:v>
      </x:c>
      <x:c r="L326" s="10" t="n">
        <x:f>INDEX(v01_HousingCap,G326)*EXP(v01_CapsByProject*SUMPRODUCT((Cap_Point&lt;=I326)*(Cap_Kind="Housing")*Cap_Ln))</x:f>
        <x:v>60</x:v>
      </x:c>
      <x:c r="M326" s="10" t="n">
        <x:f>INDEX(v01_GroupCap,G326)*v01_CohesionFactor*EXP(v01_CapsByProject*SUMPRODUCT((Cap_Point&lt;=I326)*(Cap_Kind="Group")*Cap_Ln))</x:f>
        <x:v>100</x:v>
      </x:c>
      <x:c r="N326" s="32" t="n">
        <x:f>MIN(J326,L326,M326)</x:f>
        <x:v>30</x:v>
      </x:c>
      <x:c r="O326" s="10" t="n">
        <x:f>AE325*N326</x:f>
        <x:v>60</x:v>
      </x:c>
      <x:c r="P326" s="9" t="n">
        <x:f>MIN(1,(AB325/(AE325*IF(v01_GroupInCrowding=1,N326,MIN(J326,L326))))^v01_CrowdingExp)</x:f>
        <x:v>0.012414969196828078</x:v>
      </x:c>
      <x:c r="Q326" s="9" t="n">
        <x:f>IF(D326=1,INDEX(v01_WinterMult,G326),1)</x:f>
        <x:v>1</x:v>
      </x:c>
      <x:c r="R326" s="9" t="n">
        <x:f>H326*Z325*v01_WomenShare*v01_BaseFertility*INDEX(v01_FertMult,G326)*Arch_Fertility*(1-P326)</x:f>
        <x:v>0.47397612009296325</x:v>
      </x:c>
      <x:c r="S326" s="9" t="n">
        <x:f>H326*Y325*INDEX(v01_MortChild,G326)/4*Q326</x:f>
        <x:v>0.10796553234302257</x:v>
      </x:c>
      <x:c r="T326" s="9" t="n">
        <x:f>H326*Z325*INDEX(v01_MortAdult,G326)*Arch_AdultMort/4*Q326</x:f>
        <x:v>0.041594322642425456</x:v>
      </x:c>
      <x:c r="U326" s="9" t="n">
        <x:f>H326*AA325*INDEX(v01_MortElder,G326)/4*Q326</x:f>
        <x:v>0.07469479059076135</x:v>
      </x:c>
      <x:c r="V326" s="9" t="n">
        <x:f>H326*MAX(0,AB325-O326)*v01_OvercapLoss</x:f>
        <x:v>0</x:v>
      </x:c>
      <x:c r="W326" s="9" t="n">
        <x:f>H326*Y325/(v01_ChildYears*4)</x:f>
        <x:v>0.2203378211082093</x:v>
      </x:c>
      <x:c r="X326" s="9" t="n">
        <x:f>H326*Z325/(v01_AdultYears*4)</x:f>
        <x:v>0.10321171871569591</x:v>
      </x:c>
      <x:c r="Y326" s="32" t="n">
        <x:f>Y325+R326-S326-W326-Y325*V326/AB325</x:f>
        <x:v>12.484590748701452</x:v>
      </x:c>
      <x:c r="Z326" s="32" t="n">
        <x:f>Z325+W326-X326-T326-Z325*V326/AB325</x:f>
        <x:v>12.873784900496382</x:v>
      </x:c>
      <x:c r="AA326" s="32" t="n">
        <x:f>AA325+X326-U326-AA325*V326/AB325</x:f>
        <x:v>3.7632564576630023</x:v>
      </x:c>
      <x:c r="AB326" s="10" t="n">
        <x:f>Y326+Z326+AA326</x:f>
        <x:v>29.121632106860833</x:v>
      </x:c>
      <x:c r="AC326" s="8" t="n">
        <x:f>IF(AND(v01_WinterTrigger=1,D326=1,AB325/AE325&gt;=K326),1,0)</x:f>
        <x:v>0</x:v>
      </x:c>
      <x:c r="AD326" s="8" t="n">
        <x:f>H326*IF(AND(OR(AB325/AE325&gt;=v01_FissionTrigger*N326,AC326=1),AB325/AE325*v01_DaughterShare&gt;=v01_MinDaughter),MAX(1,ROUND(AE325*v01_FissionRate,0)),0)</x:f>
        <x:v>0</x:v>
      </x:c>
      <x:c r="AE326" s="8" t="n">
        <x:f>IF(H326=1,MAX(1,MIN(INDEX(v01_Smax,G326),AE325+AD326)),AE325)</x:f>
        <x:v>2</x:v>
      </x:c>
      <x:c r="AF326" s="8" t="n">
        <x:f>MAX(0,AE326-AE325)</x:f>
        <x:v>0</x:v>
      </x:c>
      <x:c r="AG326" s="9" t="str">
        <x:f>IF(AF326&gt;0,B326,"")</x:f>
      </x:c>
      <x:c r="AH326" s="9" t="n">
        <x:f>IF(F326&gt;=1,1,(1+v01_LowTiesShare*(AE326-1))/AE326)</x:f>
        <x:v>1</x:v>
      </x:c>
      <x:c r="AI326" s="32" t="n">
        <x:f>(Z326+v01_ElderCommons*INDEX(LM_Elder,G326)*AA326)*AH326</x:f>
        <x:v>22.091842993004462</x:v>
      </x:c>
      <x:c r="AJ326" s="32" t="n">
        <x:f>H326*v01_CommonsCoef*AI326^v01_CommonsExp*INDEX(LM_Commons,G326)</x:f>
        <x:v>9.165181954926428</x:v>
      </x:c>
      <x:c r="AK326" s="32" t="n">
        <x:f>H326*v01_RoleScale*Arch_Roles*(AE326*(INDEX(v01_ElderRolePerSett,G326)*v01_OutElder*INDEX(LM_Elder,G326)+INDEX(v01_ShamanPerSett,G326)*v01_OutShaman)+Z326*(INDEX(v01_PriestShare,G326)*v01_OutPriest+INDEX(v01_ScribeShare,G326)*v01_OutScribe*INDEX(LM_Scribe,G326)+INDEX(v01_ScholarShare,G326)*v01_OutScholar*INDEX(LM_Scholar,G326)+INDEX(v01_ResearcherShare,G326)*v01_OutResearcher*INDEX(LM_Researcher,G326)))</x:f>
        <x:v>2.724744871391589</x:v>
      </x:c>
      <x:c r="AL326" s="32" t="n">
        <x:f>H326*v01_RoleScale*Arch_Roles*AE326*INDEX(v01_MonasteryPerSett,G326)*v01_OutMonastery*INDEX(LM_Monastery,G326)</x:f>
        <x:v>0</x:v>
      </x:c>
      <x:c r="AM326" s="32" t="n">
        <x:f>(AJ326+AK326+AL326)/4*INDEX(LM_All,G326)*INDEX(v01_Boon,G326)*Arch_Insight</x:f>
        <x:v>3.046793749243992</x:v>
      </x:c>
      <x:c r="AN326" s="32" t="n">
        <x:f>H326*(v01_KHPerAdult*Z326+v01_KHOfCommons*AJ326/4*INDEX(LM_All,G326))*v01_KHUsable*Arch_KH</x:f>
        <x:v>0.4505824715173734</x:v>
      </x:c>
      <x:c r="AO326" s="32" t="n">
        <x:f>MIN(AP325+AN326,AM326*v01_KHMaxRatio)</x:f>
        <x:v>0.4505824715173734</x:v>
      </x:c>
      <x:c r="AP326" s="32" t="n">
        <x:f>AP325+AN326-AO326</x:f>
        <x:v>0</x:v>
      </x:c>
      <x:c r="AQ326" s="32" t="n">
        <x:f>AM326+AO326</x:f>
        <x:v>3.4973762207613652</x:v>
      </x:c>
      <x:c r="AR326" s="10" t="n">
        <x:f>IF(H326=1,INDEX(v01_Req,G326),0)</x:f>
        <x:v>1067.32</x:v>
      </x:c>
      <x:c r="AS326" s="32" t="n">
        <x:f>IF(H326=1,IF(E326=1,AS325-AR325,AS325)+AQ326,0)</x:f>
        <x:v>247.12305510836725</x:v>
      </x:c>
      <x:c r="AT326" s="11" t="n">
        <x:f>IF(AR326&gt;0,MIN(1,AS326/AR326),1)</x:f>
        <x:v>0.23153604833448943</x:v>
      </x:c>
      <x:c r="AU326" s="10" t="n">
        <x:f>AB326/INDEX(v01_RepScale,G326)</x:f>
        <x:v>29.121632106860833</x:v>
      </x:c>
      <x:c r="AV326" s="32" t="n">
        <x:f>AM326*60/v01_SeasonSeconds</x:f>
        <x:v>12.187174996975967</x:v>
      </x:c>
    </x:row>
    <x:row r="327">
      <x:c r="A327" s="8" t="n">
        <x:f>A326+1</x:f>
        <x:v>324</x:v>
      </x:c>
      <x:c r="B327" s="9" t="n">
        <x:f>A327*v01_SeasonSeconds/60</x:f>
        <x:v>81</x:v>
      </x:c>
      <x:c r="C327" s="9" t="n">
        <x:f>A327/4</x:f>
        <x:v>81</x:v>
      </x:c>
      <x:c r="D327" s="8" t="n">
        <x:f>IF(MOD(A327,4)=0,1,0)</x:f>
        <x:v>1</x:v>
      </x:c>
      <x:c r="E327" s="8" t="n">
        <x:f>IF(AND(F326&lt;=9,AS326&gt;=AR326),1,0)</x:f>
        <x:v>0</x:v>
      </x:c>
      <x:c r="F327" s="8" t="n">
        <x:f>MIN(10,F326+E327)</x:f>
        <x:v>1</x:v>
      </x:c>
      <x:c r="G327" s="8" t="n">
        <x:f>MIN(F327,9)+1</x:f>
        <x:v>2</x:v>
      </x:c>
      <x:c r="H327" s="8" t="n">
        <x:f>IF(F327&lt;=9,1,0)</x:f>
        <x:v>1</x:v>
      </x:c>
      <x:c r="I327" s="9" t="n">
        <x:f>MIN(10,F326+IF(AR326&gt;0,MIN(1,AS326/AR326),1))</x:f>
        <x:v>1.2315360483344895</x:v>
      </x:c>
      <x:c r="J327" s="32" t="n">
        <x:f>INDEX(v01_FoodCap,G327)*Arch_FoodCap*EXP(v01_CapsByProject*SUMPRODUCT((Cap_Point&lt;=I327)*(Cap_Kind="Food")*Cap_Ln))</x:f>
        <x:v>30</x:v>
      </x:c>
      <x:c r="K327" s="32" t="n">
        <x:f>J327*MIN(1,v01_LeanBase*EXP(v01_CapsByProject*SUMPRODUCT((Cap_Point&lt;=I327)*(Cap_Kind="Lean")*Cap_Ln)))</x:f>
        <x:v>30</x:v>
      </x:c>
      <x:c r="L327" s="10" t="n">
        <x:f>INDEX(v01_HousingCap,G327)*EXP(v01_CapsByProject*SUMPRODUCT((Cap_Point&lt;=I327)*(Cap_Kind="Housing")*Cap_Ln))</x:f>
        <x:v>60</x:v>
      </x:c>
      <x:c r="M327" s="10" t="n">
        <x:f>INDEX(v01_GroupCap,G327)*v01_CohesionFactor*EXP(v01_CapsByProject*SUMPRODUCT((Cap_Point&lt;=I327)*(Cap_Kind="Group")*Cap_Ln))</x:f>
        <x:v>100</x:v>
      </x:c>
      <x:c r="N327" s="32" t="n">
        <x:f>MIN(J327,L327,M327)</x:f>
        <x:v>30</x:v>
      </x:c>
      <x:c r="O327" s="10" t="n">
        <x:f>AE326*N327</x:f>
        <x:v>60</x:v>
      </x:c>
      <x:c r="P327" s="9" t="n">
        <x:f>MIN(1,(AB326/(AE326*IF(v01_GroupInCrowding=1,N327,MIN(J327,L327))))^v01_CrowdingExp)</x:f>
        <x:v>0.013073346273991674</x:v>
      </x:c>
      <x:c r="Q327" s="9" t="n">
        <x:f>IF(D327=1,INDEX(v01_WinterMult,G327),1)</x:f>
        <x:v>1.6</x:v>
      </x:c>
      <x:c r="R327" s="9" t="n">
        <x:f>H327*Z326*v01_WomenShare*v01_BaseFertility*INDEX(v01_FertMult,G327)*Arch_Fertility*(1-P327)</x:f>
        <x:v>0.47645555447382404</x:v>
      </x:c>
      <x:c r="S327" s="9" t="n">
        <x:f>H327*Y326*INDEX(v01_MortChild,G327)/4*Q327</x:f>
        <x:v>0.17478427048182035</x:v>
      </x:c>
      <x:c r="T327" s="9" t="n">
        <x:f>H327*Z326*INDEX(v01_MortAdult,G327)*Arch_AdultMort/4*Q327</x:f>
        <x:v>0.06694368148258119</x:v>
      </x:c>
      <x:c r="U327" s="9" t="n">
        <x:f>H327*AA326*INDEX(v01_MortElder,G327)/4*Q327</x:f>
        <x:v>0.12042420664521608</x:v>
      </x:c>
      <x:c r="V327" s="9" t="n">
        <x:f>H327*MAX(0,AB326-O327)*v01_OvercapLoss</x:f>
        <x:v>0</x:v>
      </x:c>
      <x:c r="W327" s="9" t="n">
        <x:f>H327*Y326/(v01_ChildYears*4)</x:f>
        <x:v>0.22293912051252593</x:v>
      </x:c>
      <x:c r="X327" s="9" t="n">
        <x:f>H327*Z326/(v01_AdultYears*4)</x:f>
        <x:v>0.10382084597174501</x:v>
      </x:c>
      <x:c r="Y327" s="32" t="n">
        <x:f>Y326+R327-S327-W327-Y326*V327/AB326</x:f>
        <x:v>12.56332291218093</x:v>
      </x:c>
      <x:c r="Z327" s="32" t="n">
        <x:f>Z326+W327-X327-T327-Z326*V327/AB326</x:f>
        <x:v>12.925959493554583</x:v>
      </x:c>
      <x:c r="AA327" s="32" t="n">
        <x:f>AA326+X327-U327-AA326*V327/AB326</x:f>
        <x:v>3.7466530969895313</x:v>
      </x:c>
      <x:c r="AB327" s="10" t="n">
        <x:f>Y327+Z327+AA327</x:f>
        <x:v>29.23593550272504</x:v>
      </x:c>
      <x:c r="AC327" s="8" t="n">
        <x:f>IF(AND(v01_WinterTrigger=1,D327=1,AB326/AE326&gt;=K327),1,0)</x:f>
        <x:v>0</x:v>
      </x:c>
      <x:c r="AD327" s="8" t="n">
        <x:f>H327*IF(AND(OR(AB326/AE326&gt;=v01_FissionTrigger*N327,AC327=1),AB326/AE326*v01_DaughterShare&gt;=v01_MinDaughter),MAX(1,ROUND(AE326*v01_FissionRate,0)),0)</x:f>
        <x:v>0</x:v>
      </x:c>
      <x:c r="AE327" s="8" t="n">
        <x:f>IF(H327=1,MAX(1,MIN(INDEX(v01_Smax,G327),AE326+AD327)),AE326)</x:f>
        <x:v>2</x:v>
      </x:c>
      <x:c r="AF327" s="8" t="n">
        <x:f>MAX(0,AE327-AE326)</x:f>
        <x:v>0</x:v>
      </x:c>
      <x:c r="AG327" s="9" t="str">
        <x:f>IF(AF327&gt;0,B327,"")</x:f>
      </x:c>
      <x:c r="AH327" s="9" t="n">
        <x:f>IF(F327&gt;=1,1,(1+v01_LowTiesShare*(AE327-1))/AE327)</x:f>
        <x:v>1</x:v>
      </x:c>
      <x:c r="AI327" s="32" t="n">
        <x:f>(Z327+v01_ElderCommons*INDEX(LM_Elder,G327)*AA327)*AH327</x:f>
        <x:v>22.103347824397268</x:v>
      </x:c>
      <x:c r="AJ327" s="32" t="n">
        <x:f>H327*v01_CommonsCoef*AI327^v01_CommonsExp*INDEX(LM_Commons,G327)</x:f>
        <x:v>9.169238827509767</x:v>
      </x:c>
      <x:c r="AK327" s="32" t="n">
        <x:f>H327*v01_RoleScale*Arch_Roles*(AE327*(INDEX(v01_ElderRolePerSett,G327)*v01_OutElder*INDEX(LM_Elder,G327)+INDEX(v01_ShamanPerSett,G327)*v01_OutShaman)+Z327*(INDEX(v01_PriestShare,G327)*v01_OutPriest+INDEX(v01_ScribeShare,G327)*v01_OutScribe*INDEX(LM_Scribe,G327)+INDEX(v01_ScholarShare,G327)*v01_OutScholar*INDEX(LM_Scholar,G327)+INDEX(v01_ResearcherShare,G327)*v01_OutResearcher*INDEX(LM_Researcher,G327)))</x:f>
        <x:v>2.724744871391589</x:v>
      </x:c>
      <x:c r="AL327" s="32" t="n">
        <x:f>H327*v01_RoleScale*Arch_Roles*AE327*INDEX(v01_MonasteryPerSett,G327)*v01_OutMonastery*INDEX(LM_Monastery,G327)</x:f>
        <x:v>0</x:v>
      </x:c>
      <x:c r="AM327" s="32" t="n">
        <x:f>(AJ327+AK327+AL327)/4*INDEX(LM_All,G327)*INDEX(v01_Boon,G327)*Arch_Insight</x:f>
        <x:v>3.047833322843472</x:v>
      </x:c>
      <x:c r="AN327" s="32" t="n">
        <x:f>H327*(v01_KHPerAdult*Z327+v01_KHOfCommons*AJ327/4*INDEX(LM_All,G327))*v01_KHUsable*Arch_KH</x:f>
        <x:v>0.4524085822744104</x:v>
      </x:c>
      <x:c r="AO327" s="32" t="n">
        <x:f>MIN(AP326+AN327,AM327*v01_KHMaxRatio)</x:f>
        <x:v>0.4524085822744104</x:v>
      </x:c>
      <x:c r="AP327" s="32" t="n">
        <x:f>AP326+AN327-AO327</x:f>
        <x:v>0</x:v>
      </x:c>
      <x:c r="AQ327" s="32" t="n">
        <x:f>AM327+AO327</x:f>
        <x:v>3.500241905117883</x:v>
      </x:c>
      <x:c r="AR327" s="10" t="n">
        <x:f>IF(H327=1,INDEX(v01_Req,G327),0)</x:f>
        <x:v>1067.32</x:v>
      </x:c>
      <x:c r="AS327" s="32" t="n">
        <x:f>IF(H327=1,IF(E327=1,AS326-AR326,AS326)+AQ327,0)</x:f>
        <x:v>250.62329701348514</x:v>
      </x:c>
      <x:c r="AT327" s="11" t="n">
        <x:f>IF(AR327&gt;0,MIN(1,AS327/AR327),1)</x:f>
        <x:v>0.23481551644631896</x:v>
      </x:c>
      <x:c r="AU327" s="10" t="n">
        <x:f>AB327/INDEX(v01_RepScale,G327)</x:f>
        <x:v>29.23593550272504</x:v>
      </x:c>
      <x:c r="AV327" s="32" t="n">
        <x:f>AM327*60/v01_SeasonSeconds</x:f>
        <x:v>12.191333291373889</x:v>
      </x:c>
    </x:row>
    <x:row r="328">
      <x:c r="A328" s="8" t="n">
        <x:f>A327+1</x:f>
        <x:v>325</x:v>
      </x:c>
      <x:c r="B328" s="9" t="n">
        <x:f>A328*v01_SeasonSeconds/60</x:f>
        <x:v>81.25</x:v>
      </x:c>
      <x:c r="C328" s="9" t="n">
        <x:f>A328/4</x:f>
        <x:v>81.25</x:v>
      </x:c>
      <x:c r="D328" s="8" t="n">
        <x:f>IF(MOD(A328,4)=0,1,0)</x:f>
        <x:v>0</x:v>
      </x:c>
      <x:c r="E328" s="8" t="n">
        <x:f>IF(AND(F327&lt;=9,AS327&gt;=AR327),1,0)</x:f>
        <x:v>0</x:v>
      </x:c>
      <x:c r="F328" s="8" t="n">
        <x:f>MIN(10,F327+E328)</x:f>
        <x:v>1</x:v>
      </x:c>
      <x:c r="G328" s="8" t="n">
        <x:f>MIN(F328,9)+1</x:f>
        <x:v>2</x:v>
      </x:c>
      <x:c r="H328" s="8" t="n">
        <x:f>IF(F328&lt;=9,1,0)</x:f>
        <x:v>1</x:v>
      </x:c>
      <x:c r="I328" s="9" t="n">
        <x:f>MIN(10,F327+IF(AR327&gt;0,MIN(1,AS327/AR327),1))</x:f>
        <x:v>1.234815516446319</x:v>
      </x:c>
      <x:c r="J328" s="32" t="n">
        <x:f>INDEX(v01_FoodCap,G328)*Arch_FoodCap*EXP(v01_CapsByProject*SUMPRODUCT((Cap_Point&lt;=I328)*(Cap_Kind="Food")*Cap_Ln))</x:f>
        <x:v>30</x:v>
      </x:c>
      <x:c r="K328" s="32" t="n">
        <x:f>J328*MIN(1,v01_LeanBase*EXP(v01_CapsByProject*SUMPRODUCT((Cap_Point&lt;=I328)*(Cap_Kind="Lean")*Cap_Ln)))</x:f>
        <x:v>30</x:v>
      </x:c>
      <x:c r="L328" s="10" t="n">
        <x:f>INDEX(v01_HousingCap,G328)*EXP(v01_CapsByProject*SUMPRODUCT((Cap_Point&lt;=I328)*(Cap_Kind="Housing")*Cap_Ln))</x:f>
        <x:v>60</x:v>
      </x:c>
      <x:c r="M328" s="10" t="n">
        <x:f>INDEX(v01_GroupCap,G328)*v01_CohesionFactor*EXP(v01_CapsByProject*SUMPRODUCT((Cap_Point&lt;=I328)*(Cap_Kind="Group")*Cap_Ln))</x:f>
        <x:v>100</x:v>
      </x:c>
      <x:c r="N328" s="32" t="n">
        <x:f>MIN(J328,L328,M328)</x:f>
        <x:v>30</x:v>
      </x:c>
      <x:c r="O328" s="10" t="n">
        <x:f>AE327*N328</x:f>
        <x:v>60</x:v>
      </x:c>
      <x:c r="P328" s="9" t="n">
        <x:f>MIN(1,(AB327/(AE327*IF(v01_GroupInCrowding=1,N328,MIN(J328,L328))))^v01_CrowdingExp)</x:f>
        <x:v>0.013384263200468245</x:v>
      </x:c>
      <x:c r="Q328" s="9" t="n">
        <x:f>IF(D328=1,INDEX(v01_WinterMult,G328),1)</x:f>
        <x:v>1</x:v>
      </x:c>
      <x:c r="R328" s="9" t="n">
        <x:f>H328*Z327*v01_WomenShare*v01_BaseFertility*INDEX(v01_FertMult,G328)*Arch_Fertility*(1-P328)</x:f>
        <x:v>0.4782358143590346</x:v>
      </x:c>
      <x:c r="S328" s="9" t="n">
        <x:f>H328*Y327*INDEX(v01_MortChild,G328)/4*Q328</x:f>
        <x:v>0.10992907548158314</x:v>
      </x:c>
      <x:c r="T328" s="9" t="n">
        <x:f>H328*Z327*INDEX(v01_MortAdult,G328)*Arch_AdultMort/4*Q328</x:f>
        <x:v>0.04200936835405239</x:v>
      </x:c>
      <x:c r="U328" s="9" t="n">
        <x:f>H328*AA327*INDEX(v01_MortElder,G328)/4*Q328</x:f>
        <x:v>0.07493306193979063</x:v>
      </x:c>
      <x:c r="V328" s="9" t="n">
        <x:f>H328*MAX(0,AB327-O328)*v01_OvercapLoss</x:f>
        <x:v>0</x:v>
      </x:c>
      <x:c r="W328" s="9" t="n">
        <x:f>H328*Y327/(v01_ChildYears*4)</x:f>
        <x:v>0.22434505200323088</x:v>
      </x:c>
      <x:c r="X328" s="9" t="n">
        <x:f>H328*Z327/(v01_AdultYears*4)</x:f>
        <x:v>0.10424160881898857</x:v>
      </x:c>
      <x:c r="Y328" s="32" t="n">
        <x:f>Y327+R328-S328-W328-Y327*V328/AB327</x:f>
        <x:v>12.70728459905515</x:v>
      </x:c>
      <x:c r="Z328" s="32" t="n">
        <x:f>Z327+W328-X328-T328-Z327*V328/AB327</x:f>
        <x:v>13.004053568384773</x:v>
      </x:c>
      <x:c r="AA328" s="32" t="n">
        <x:f>AA327+X328-U328-AA327*V328/AB327</x:f>
        <x:v>3.775961643868729</x:v>
      </x:c>
      <x:c r="AB328" s="10" t="n">
        <x:f>Y328+Z328+AA328</x:f>
        <x:v>29.487299811308652</x:v>
      </x:c>
      <x:c r="AC328" s="8" t="n">
        <x:f>IF(AND(v01_WinterTrigger=1,D328=1,AB327/AE327&gt;=K328),1,0)</x:f>
        <x:v>0</x:v>
      </x:c>
      <x:c r="AD328" s="8" t="n">
        <x:f>H328*IF(AND(OR(AB327/AE327&gt;=v01_FissionTrigger*N328,AC328=1),AB327/AE327*v01_DaughterShare&gt;=v01_MinDaughter),MAX(1,ROUND(AE327*v01_FissionRate,0)),0)</x:f>
        <x:v>0</x:v>
      </x:c>
      <x:c r="AE328" s="8" t="n">
        <x:f>IF(H328=1,MAX(1,MIN(INDEX(v01_Smax,G328),AE327+AD328)),AE327)</x:f>
        <x:v>2</x:v>
      </x:c>
      <x:c r="AF328" s="8" t="n">
        <x:f>MAX(0,AE328-AE327)</x:f>
        <x:v>0</x:v>
      </x:c>
      <x:c r="AG328" s="9" t="str">
        <x:f>IF(AF328&gt;0,B328,"")</x:f>
      </x:c>
      <x:c r="AH328" s="9" t="n">
        <x:f>IF(F328&gt;=1,1,(1+v01_LowTiesShare*(AE328-1))/AE328)</x:f>
        <x:v>1</x:v>
      </x:c>
      <x:c r="AI328" s="32" t="n">
        <x:f>(Z328+v01_ElderCommons*INDEX(LM_Elder,G328)*AA328)*AH328</x:f>
        <x:v>22.25323288418393</x:v>
      </x:c>
      <x:c r="AJ328" s="32" t="n">
        <x:f>H328*v01_CommonsCoef*AI328^v01_CommonsExp*INDEX(LM_Commons,G328)</x:f>
        <x:v>9.222062931543178</x:v>
      </x:c>
      <x:c r="AK328" s="32" t="n">
        <x:f>H328*v01_RoleScale*Arch_Roles*(AE328*(INDEX(v01_ElderRolePerSett,G328)*v01_OutElder*INDEX(LM_Elder,G328)+INDEX(v01_ShamanPerSett,G328)*v01_OutShaman)+Z328*(INDEX(v01_PriestShare,G328)*v01_OutPriest+INDEX(v01_ScribeShare,G328)*v01_OutScribe*INDEX(LM_Scribe,G328)+INDEX(v01_ScholarShare,G328)*v01_OutScholar*INDEX(LM_Scholar,G328)+INDEX(v01_ResearcherShare,G328)*v01_OutResearcher*INDEX(LM_Researcher,G328)))</x:f>
        <x:v>2.724744871391589</x:v>
      </x:c>
      <x:c r="AL328" s="32" t="n">
        <x:f>H328*v01_RoleScale*Arch_Roles*AE328*INDEX(v01_MonasteryPerSett,G328)*v01_OutMonastery*INDEX(LM_Monastery,G328)</x:f>
        <x:v>0</x:v>
      </x:c>
      <x:c r="AM328" s="32" t="n">
        <x:f>(AJ328+AK328+AL328)/4*INDEX(LM_All,G328)*INDEX(v01_Boon,G328)*Arch_Insight</x:f>
        <x:v>3.061369499502034</x:v>
      </x:c>
      <x:c r="AN328" s="32" t="n">
        <x:f>H328*(v01_KHPerAdult*Z328+v01_KHOfCommons*AJ328/4*INDEX(LM_All,G328))*v01_KHUsable*Arch_KH</x:f>
        <x:v>0.4551418748934671</x:v>
      </x:c>
      <x:c r="AO328" s="32" t="n">
        <x:f>MIN(AP327+AN328,AM328*v01_KHMaxRatio)</x:f>
        <x:v>0.4551418748934671</x:v>
      </x:c>
      <x:c r="AP328" s="32" t="n">
        <x:f>AP327+AN328-AO328</x:f>
        <x:v>0</x:v>
      </x:c>
      <x:c r="AQ328" s="32" t="n">
        <x:f>AM328+AO328</x:f>
        <x:v>3.516511374395501</x:v>
      </x:c>
      <x:c r="AR328" s="10" t="n">
        <x:f>IF(H328=1,INDEX(v01_Req,G328),0)</x:f>
        <x:v>1067.32</x:v>
      </x:c>
      <x:c r="AS328" s="32" t="n">
        <x:f>IF(H328=1,IF(E328=1,AS327-AR327,AS327)+AQ328,0)</x:f>
        <x:v>254.13980838788063</x:v>
      </x:c>
      <x:c r="AT328" s="11" t="n">
        <x:f>IF(AR328&gt;0,MIN(1,AS328/AR328),1)</x:f>
        <x:v>0.23811022784908054</x:v>
      </x:c>
      <x:c r="AU328" s="10" t="n">
        <x:f>AB328/INDEX(v01_RepScale,G328)</x:f>
        <x:v>29.487299811308652</x:v>
      </x:c>
      <x:c r="AV328" s="32" t="n">
        <x:f>AM328*60/v01_SeasonSeconds</x:f>
        <x:v>12.245477998008136</x:v>
      </x:c>
    </x:row>
    <x:row r="329">
      <x:c r="A329" s="8" t="n">
        <x:f>A328+1</x:f>
        <x:v>326</x:v>
      </x:c>
      <x:c r="B329" s="9" t="n">
        <x:f>A329*v01_SeasonSeconds/60</x:f>
        <x:v>81.5</x:v>
      </x:c>
      <x:c r="C329" s="9" t="n">
        <x:f>A329/4</x:f>
        <x:v>81.5</x:v>
      </x:c>
      <x:c r="D329" s="8" t="n">
        <x:f>IF(MOD(A329,4)=0,1,0)</x:f>
        <x:v>0</x:v>
      </x:c>
      <x:c r="E329" s="8" t="n">
        <x:f>IF(AND(F328&lt;=9,AS328&gt;=AR328),1,0)</x:f>
        <x:v>0</x:v>
      </x:c>
      <x:c r="F329" s="8" t="n">
        <x:f>MIN(10,F328+E329)</x:f>
        <x:v>1</x:v>
      </x:c>
      <x:c r="G329" s="8" t="n">
        <x:f>MIN(F329,9)+1</x:f>
        <x:v>2</x:v>
      </x:c>
      <x:c r="H329" s="8" t="n">
        <x:f>IF(F329&lt;=9,1,0)</x:f>
        <x:v>1</x:v>
      </x:c>
      <x:c r="I329" s="9" t="n">
        <x:f>MIN(10,F328+IF(AR328&gt;0,MIN(1,AS328/AR328),1))</x:f>
        <x:v>1.2381102278490805</x:v>
      </x:c>
      <x:c r="J329" s="32" t="n">
        <x:f>INDEX(v01_FoodCap,G329)*Arch_FoodCap*EXP(v01_CapsByProject*SUMPRODUCT((Cap_Point&lt;=I329)*(Cap_Kind="Food")*Cap_Ln))</x:f>
        <x:v>30</x:v>
      </x:c>
      <x:c r="K329" s="32" t="n">
        <x:f>J329*MIN(1,v01_LeanBase*EXP(v01_CapsByProject*SUMPRODUCT((Cap_Point&lt;=I329)*(Cap_Kind="Lean")*Cap_Ln)))</x:f>
        <x:v>30</x:v>
      </x:c>
      <x:c r="L329" s="10" t="n">
        <x:f>INDEX(v01_HousingCap,G329)*EXP(v01_CapsByProject*SUMPRODUCT((Cap_Point&lt;=I329)*(Cap_Kind="Housing")*Cap_Ln))</x:f>
        <x:v>60</x:v>
      </x:c>
      <x:c r="M329" s="10" t="n">
        <x:f>INDEX(v01_GroupCap,G329)*v01_CohesionFactor*EXP(v01_CapsByProject*SUMPRODUCT((Cap_Point&lt;=I329)*(Cap_Kind="Group")*Cap_Ln))</x:f>
        <x:v>100</x:v>
      </x:c>
      <x:c r="N329" s="32" t="n">
        <x:f>MIN(J329,L329,M329)</x:f>
        <x:v>30</x:v>
      </x:c>
      <x:c r="O329" s="10" t="n">
        <x:f>AE328*N329</x:f>
        <x:v>60</x:v>
      </x:c>
      <x:c r="P329" s="9" t="n">
        <x:f>MIN(1,(AB328/(AE328*IF(v01_GroupInCrowding=1,N329,MIN(J329,L329))))^v01_CrowdingExp)</x:f>
        <x:v>0.014089725450562866</x:v>
      </x:c>
      <x:c r="Q329" s="9" t="n">
        <x:f>IF(D329=1,INDEX(v01_WinterMult,G329),1)</x:f>
        <x:v>1</x:v>
      </x:c>
      <x:c r="R329" s="9" t="n">
        <x:f>H329*Z328*v01_WomenShare*v01_BaseFertility*INDEX(v01_FertMult,G329)*Arch_Fertility*(1-P329)</x:f>
        <x:v>0.48078112589481825</x:v>
      </x:c>
      <x:c r="S329" s="9" t="n">
        <x:f>H329*Y328*INDEX(v01_MortChild,G329)/4*Q329</x:f>
        <x:v>0.11118874024173257</x:v>
      </x:c>
      <x:c r="T329" s="9" t="n">
        <x:f>H329*Z328*INDEX(v01_MortAdult,G329)*Arch_AdultMort/4*Q329</x:f>
        <x:v>0.04226317409725051</x:v>
      </x:c>
      <x:c r="U329" s="9" t="n">
        <x:f>H329*AA328*INDEX(v01_MortElder,G329)/4*Q329</x:f>
        <x:v>0.07551923287737458</x:v>
      </x:c>
      <x:c r="V329" s="9" t="n">
        <x:f>H329*MAX(0,AB328-O329)*v01_OvercapLoss</x:f>
        <x:v>0</x:v>
      </x:c>
      <x:c r="W329" s="9" t="n">
        <x:f>H329*Y328/(v01_ChildYears*4)</x:f>
        <x:v>0.2269157964116991</x:v>
      </x:c>
      <x:c r="X329" s="9" t="n">
        <x:f>H329*Z328/(v01_AdultYears*4)</x:f>
        <x:v>0.1048713997450385</x:v>
      </x:c>
      <x:c r="Y329" s="32" t="n">
        <x:f>Y328+R329-S329-W329-Y328*V329/AB328</x:f>
        <x:v>12.849961188296536</x:v>
      </x:c>
      <x:c r="Z329" s="32" t="n">
        <x:f>Z328+W329-X329-T329-Z328*V329/AB328</x:f>
        <x:v>13.083834790954183</x:v>
      </x:c>
      <x:c r="AA329" s="32" t="n">
        <x:f>AA328+X329-U329-AA328*V329/AB328</x:f>
        <x:v>3.805313810736393</x:v>
      </x:c>
      <x:c r="AB329" s="10" t="n">
        <x:f>Y329+Z329+AA329</x:f>
        <x:v>29.73910978998711</x:v>
      </x:c>
      <x:c r="AC329" s="8" t="n">
        <x:f>IF(AND(v01_WinterTrigger=1,D329=1,AB328/AE328&gt;=K329),1,0)</x:f>
        <x:v>0</x:v>
      </x:c>
      <x:c r="AD329" s="8" t="n">
        <x:f>H329*IF(AND(OR(AB328/AE328&gt;=v01_FissionTrigger*N329,AC329=1),AB328/AE328*v01_DaughterShare&gt;=v01_MinDaughter),MAX(1,ROUND(AE328*v01_FissionRate,0)),0)</x:f>
        <x:v>0</x:v>
      </x:c>
      <x:c r="AE329" s="8" t="n">
        <x:f>IF(H329=1,MAX(1,MIN(INDEX(v01_Smax,G329),AE328+AD329)),AE328)</x:f>
        <x:v>2</x:v>
      </x:c>
      <x:c r="AF329" s="8" t="n">
        <x:f>MAX(0,AE329-AE328)</x:f>
        <x:v>0</x:v>
      </x:c>
      <x:c r="AG329" s="9" t="str">
        <x:f>IF(AF329&gt;0,B329,"")</x:f>
      </x:c>
      <x:c r="AH329" s="9" t="n">
        <x:f>IF(F329&gt;=1,1,(1+v01_LowTiesShare*(AE329-1))/AE329)</x:f>
        <x:v>1</x:v>
      </x:c>
      <x:c r="AI329" s="32" t="n">
        <x:f>(Z329+v01_ElderCommons*INDEX(LM_Elder,G329)*AA329)*AH329</x:f>
        <x:v>22.404911938424146</x:v>
      </x:c>
      <x:c r="AJ329" s="32" t="n">
        <x:f>H329*v01_CommonsCoef*AI329^v01_CommonsExp*INDEX(LM_Commons,G329)</x:f>
        <x:v>9.275464992115015</x:v>
      </x:c>
      <x:c r="AK329" s="32" t="n">
        <x:f>H329*v01_RoleScale*Arch_Roles*(AE329*(INDEX(v01_ElderRolePerSett,G329)*v01_OutElder*INDEX(LM_Elder,G329)+INDEX(v01_ShamanPerSett,G329)*v01_OutShaman)+Z329*(INDEX(v01_PriestShare,G329)*v01_OutPriest+INDEX(v01_ScribeShare,G329)*v01_OutScribe*INDEX(LM_Scribe,G329)+INDEX(v01_ScholarShare,G329)*v01_OutScholar*INDEX(LM_Scholar,G329)+INDEX(v01_ResearcherShare,G329)*v01_OutResearcher*INDEX(LM_Researcher,G329)))</x:f>
        <x:v>2.724744871391589</x:v>
      </x:c>
      <x:c r="AL329" s="32" t="n">
        <x:f>H329*v01_RoleScale*Arch_Roles*AE329*INDEX(v01_MonasteryPerSett,G329)*v01_OutMonastery*INDEX(LM_Monastery,G329)</x:f>
        <x:v>0</x:v>
      </x:c>
      <x:c r="AM329" s="32" t="n">
        <x:f>(AJ329+AK329+AL329)/4*INDEX(LM_All,G329)*INDEX(v01_Boon,G329)*Arch_Insight</x:f>
        <x:v>3.0750537775235673</x:v>
      </x:c>
      <x:c r="AN329" s="32" t="n">
        <x:f>H329*(v01_KHPerAdult*Z329+v01_KHOfCommons*AJ329/4*INDEX(LM_All,G329))*v01_KHUsable*Arch_KH</x:f>
        <x:v>0.4579342176833964</x:v>
      </x:c>
      <x:c r="AO329" s="32" t="n">
        <x:f>MIN(AP328+AN329,AM329*v01_KHMaxRatio)</x:f>
        <x:v>0.4579342176833964</x:v>
      </x:c>
      <x:c r="AP329" s="32" t="n">
        <x:f>AP328+AN329-AO329</x:f>
        <x:v>0</x:v>
      </x:c>
      <x:c r="AQ329" s="32" t="n">
        <x:f>AM329+AO329</x:f>
        <x:v>3.532987995206964</x:v>
      </x:c>
      <x:c r="AR329" s="10" t="n">
        <x:f>IF(H329=1,INDEX(v01_Req,G329),0)</x:f>
        <x:v>1067.32</x:v>
      </x:c>
      <x:c r="AS329" s="32" t="n">
        <x:f>IF(H329=1,IF(E329=1,AS328-AR328,AS328)+AQ329,0)</x:f>
        <x:v>257.6727963830876</x:v>
      </x:c>
      <x:c r="AT329" s="11" t="n">
        <x:f>IF(AR329&gt;0,MIN(1,AS329/AR329),1)</x:f>
        <x:v>0.2414203766284597</x:v>
      </x:c>
      <x:c r="AU329" s="10" t="n">
        <x:f>AB329/INDEX(v01_RepScale,G329)</x:f>
        <x:v>29.73910978998711</x:v>
      </x:c>
      <x:c r="AV329" s="32" t="n">
        <x:f>AM329*60/v01_SeasonSeconds</x:f>
        <x:v>12.30021511009427</x:v>
      </x:c>
    </x:row>
    <x:row r="330">
      <x:c r="A330" s="8" t="n">
        <x:f>A329+1</x:f>
        <x:v>327</x:v>
      </x:c>
      <x:c r="B330" s="9" t="n">
        <x:f>A330*v01_SeasonSeconds/60</x:f>
        <x:v>81.75</x:v>
      </x:c>
      <x:c r="C330" s="9" t="n">
        <x:f>A330/4</x:f>
        <x:v>81.75</x:v>
      </x:c>
      <x:c r="D330" s="8" t="n">
        <x:f>IF(MOD(A330,4)=0,1,0)</x:f>
        <x:v>0</x:v>
      </x:c>
      <x:c r="E330" s="8" t="n">
        <x:f>IF(AND(F329&lt;=9,AS329&gt;=AR329),1,0)</x:f>
        <x:v>0</x:v>
      </x:c>
      <x:c r="F330" s="8" t="n">
        <x:f>MIN(10,F329+E330)</x:f>
        <x:v>1</x:v>
      </x:c>
      <x:c r="G330" s="8" t="n">
        <x:f>MIN(F330,9)+1</x:f>
        <x:v>2</x:v>
      </x:c>
      <x:c r="H330" s="8" t="n">
        <x:f>IF(F330&lt;=9,1,0)</x:f>
        <x:v>1</x:v>
      </x:c>
      <x:c r="I330" s="9" t="n">
        <x:f>MIN(10,F329+IF(AR329&gt;0,MIN(1,AS329/AR329),1))</x:f>
        <x:v>1.2414203766284597</x:v>
      </x:c>
      <x:c r="J330" s="32" t="n">
        <x:f>INDEX(v01_FoodCap,G330)*Arch_FoodCap*EXP(v01_CapsByProject*SUMPRODUCT((Cap_Point&lt;=I330)*(Cap_Kind="Food")*Cap_Ln))</x:f>
        <x:v>30</x:v>
      </x:c>
      <x:c r="K330" s="32" t="n">
        <x:f>J330*MIN(1,v01_LeanBase*EXP(v01_CapsByProject*SUMPRODUCT((Cap_Point&lt;=I330)*(Cap_Kind="Lean")*Cap_Ln)))</x:f>
        <x:v>30</x:v>
      </x:c>
      <x:c r="L330" s="10" t="n">
        <x:f>INDEX(v01_HousingCap,G330)*EXP(v01_CapsByProject*SUMPRODUCT((Cap_Point&lt;=I330)*(Cap_Kind="Housing")*Cap_Ln))</x:f>
        <x:v>60</x:v>
      </x:c>
      <x:c r="M330" s="10" t="n">
        <x:f>INDEX(v01_GroupCap,G330)*v01_CohesionFactor*EXP(v01_CapsByProject*SUMPRODUCT((Cap_Point&lt;=I330)*(Cap_Kind="Group")*Cap_Ln))</x:f>
        <x:v>100</x:v>
      </x:c>
      <x:c r="N330" s="32" t="n">
        <x:f>MIN(J330,L330,M330)</x:f>
        <x:v>30</x:v>
      </x:c>
      <x:c r="O330" s="10" t="n">
        <x:f>AE329*N330</x:f>
        <x:v>60</x:v>
      </x:c>
      <x:c r="P330" s="9" t="n">
        <x:f>MIN(1,(AB329/(AE329*IF(v01_GroupInCrowding=1,N330,MIN(J330,L330))))^v01_CrowdingExp)</x:f>
        <x:v>0.014827238829228073</x:v>
      </x:c>
      <x:c r="Q330" s="9" t="n">
        <x:f>IF(D330=1,INDEX(v01_WinterMult,G330),1)</x:f>
        <x:v>1</x:v>
      </x:c>
      <x:c r="R330" s="9" t="n">
        <x:f>H330*Z329*v01_WomenShare*v01_BaseFertility*INDEX(v01_FertMult,G330)*Arch_Fertility*(1-P330)</x:f>
        <x:v>0.4833689117889953</x:v>
      </x:c>
      <x:c r="S330" s="9" t="n">
        <x:f>H330*Y329*INDEX(v01_MortChild,G330)/4*Q330</x:f>
        <x:v>0.1124371603975947</x:v>
      </x:c>
      <x:c r="T330" s="9" t="n">
        <x:f>H330*Z329*INDEX(v01_MortAdult,G330)*Arch_AdultMort/4*Q330</x:f>
        <x:v>0.04252246307060109</x:v>
      </x:c>
      <x:c r="U330" s="9" t="n">
        <x:f>H330*AA329*INDEX(v01_MortElder,G330)/4*Q330</x:f>
        <x:v>0.07610627621472786</x:v>
      </x:c>
      <x:c r="V330" s="9" t="n">
        <x:f>H330*MAX(0,AB329-O330)*v01_OvercapLoss</x:f>
        <x:v>0</x:v>
      </x:c>
      <x:c r="W330" s="9" t="n">
        <x:f>H330*Y329/(v01_ChildYears*4)</x:f>
        <x:v>0.22946359264815244</x:v>
      </x:c>
      <x:c r="X330" s="9" t="n">
        <x:f>H330*Z329/(v01_AdultYears*4)</x:f>
        <x:v>0.10551479670124342</x:v>
      </x:c>
      <x:c r="Y330" s="32" t="n">
        <x:f>Y329+R330-S330-W330-Y329*V330/AB329</x:f>
        <x:v>12.991429347039784</x:v>
      </x:c>
      <x:c r="Z330" s="32" t="n">
        <x:f>Z329+W330-X330-T330-Z329*V330/AB329</x:f>
        <x:v>13.165261123830492</x:v>
      </x:c>
      <x:c r="AA330" s="32" t="n">
        <x:f>AA329+X330-U330-AA329*V330/AB329</x:f>
        <x:v>3.834722331222909</x:v>
      </x:c>
      <x:c r="AB330" s="10" t="n">
        <x:f>Y330+Z330+AA330</x:f>
        <x:v>29.991412802093183</x:v>
      </x:c>
      <x:c r="AC330" s="8" t="n">
        <x:f>IF(AND(v01_WinterTrigger=1,D330=1,AB329/AE329&gt;=K330),1,0)</x:f>
        <x:v>0</x:v>
      </x:c>
      <x:c r="AD330" s="8" t="n">
        <x:f>H330*IF(AND(OR(AB329/AE329&gt;=v01_FissionTrigger*N330,AC330=1),AB329/AE329*v01_DaughterShare&gt;=v01_MinDaughter),MAX(1,ROUND(AE329*v01_FissionRate,0)),0)</x:f>
        <x:v>0</x:v>
      </x:c>
      <x:c r="AE330" s="8" t="n">
        <x:f>IF(H330=1,MAX(1,MIN(INDEX(v01_Smax,G330),AE329+AD330)),AE329)</x:f>
        <x:v>2</x:v>
      </x:c>
      <x:c r="AF330" s="8" t="n">
        <x:f>MAX(0,AE330-AE329)</x:f>
        <x:v>0</x:v>
      </x:c>
      <x:c r="AG330" s="9" t="str">
        <x:f>IF(AF330&gt;0,B330,"")</x:f>
      </x:c>
      <x:c r="AH330" s="9" t="n">
        <x:f>IF(F330&gt;=1,1,(1+v01_LowTiesShare*(AE330-1))/AE330)</x:f>
        <x:v>1</x:v>
      </x:c>
      <x:c r="AI330" s="32" t="n">
        <x:f>(Z330+v01_ElderCommons*INDEX(LM_Elder,G330)*AA330)*AH330</x:f>
        <x:v>22.5583741405826</x:v>
      </x:c>
      <x:c r="AJ330" s="32" t="n">
        <x:f>H330*v01_CommonsCoef*AI330^v01_CommonsExp*INDEX(LM_Commons,G330)</x:f>
        <x:v>9.329439690668092</x:v>
      </x:c>
      <x:c r="AK330" s="32" t="n">
        <x:f>H330*v01_RoleScale*Arch_Roles*(AE330*(INDEX(v01_ElderRolePerSett,G330)*v01_OutElder*INDEX(LM_Elder,G330)+INDEX(v01_ShamanPerSett,G330)*v01_OutShaman)+Z330*(INDEX(v01_PriestShare,G330)*v01_OutPriest+INDEX(v01_ScribeShare,G330)*v01_OutScribe*INDEX(LM_Scribe,G330)+INDEX(v01_ScholarShare,G330)*v01_OutScholar*INDEX(LM_Scholar,G330)+INDEX(v01_ResearcherShare,G330)*v01_OutResearcher*INDEX(LM_Researcher,G330)))</x:f>
        <x:v>2.724744871391589</x:v>
      </x:c>
      <x:c r="AL330" s="32" t="n">
        <x:f>H330*v01_RoleScale*Arch_Roles*AE330*INDEX(v01_MonasteryPerSett,G330)*v01_OutMonastery*INDEX(LM_Monastery,G330)</x:f>
        <x:v>0</x:v>
      </x:c>
      <x:c r="AM330" s="32" t="n">
        <x:f>(AJ330+AK330+AL330)/4*INDEX(LM_All,G330)*INDEX(v01_Boon,G330)*Arch_Insight</x:f>
        <x:v>3.088884794027793</x:v>
      </x:c>
      <x:c r="AN330" s="32" t="n">
        <x:f>H330*(v01_KHPerAdult*Z330+v01_KHOfCommons*AJ330/4*INDEX(LM_All,G330))*v01_KHUsable*Arch_KH</x:f>
        <x:v>0.4607841393340672</x:v>
      </x:c>
      <x:c r="AO330" s="32" t="n">
        <x:f>MIN(AP329+AN330,AM330*v01_KHMaxRatio)</x:f>
        <x:v>0.4607841393340672</x:v>
      </x:c>
      <x:c r="AP330" s="32" t="n">
        <x:f>AP329+AN330-AO330</x:f>
        <x:v>0</x:v>
      </x:c>
      <x:c r="AQ330" s="32" t="n">
        <x:f>AM330+AO330</x:f>
        <x:v>3.5496689333618603</x:v>
      </x:c>
      <x:c r="AR330" s="10" t="n">
        <x:f>IF(H330=1,INDEX(v01_Req,G330),0)</x:f>
        <x:v>1067.32</x:v>
      </x:c>
      <x:c r="AS330" s="32" t="n">
        <x:f>IF(H330=1,IF(E330=1,AS329-AR329,AS329)+AQ330,0)</x:f>
        <x:v>261.2224653164495</x:v>
      </x:c>
      <x:c r="AT330" s="11" t="n">
        <x:f>IF(AR330&gt;0,MIN(1,AS330/AR330),1)</x:f>
        <x:v>0.24474615421471488</x:v>
      </x:c>
      <x:c r="AU330" s="10" t="n">
        <x:f>AB330/INDEX(v01_RepScale,G330)</x:f>
        <x:v>29.991412802093183</x:v>
      </x:c>
      <x:c r="AV330" s="32" t="n">
        <x:f>AM330*60/v01_SeasonSeconds</x:f>
        <x:v>12.355539176111172</x:v>
      </x:c>
    </x:row>
    <x:row r="331">
      <x:c r="A331" s="8" t="n">
        <x:f>A330+1</x:f>
        <x:v>328</x:v>
      </x:c>
      <x:c r="B331" s="9" t="n">
        <x:f>A331*v01_SeasonSeconds/60</x:f>
        <x:v>82</x:v>
      </x:c>
      <x:c r="C331" s="9" t="n">
        <x:f>A331/4</x:f>
        <x:v>82</x:v>
      </x:c>
      <x:c r="D331" s="8" t="n">
        <x:f>IF(MOD(A331,4)=0,1,0)</x:f>
        <x:v>1</x:v>
      </x:c>
      <x:c r="E331" s="8" t="n">
        <x:f>IF(AND(F330&lt;=9,AS330&gt;=AR330),1,0)</x:f>
        <x:v>0</x:v>
      </x:c>
      <x:c r="F331" s="8" t="n">
        <x:f>MIN(10,F330+E331)</x:f>
        <x:v>1</x:v>
      </x:c>
      <x:c r="G331" s="8" t="n">
        <x:f>MIN(F331,9)+1</x:f>
        <x:v>2</x:v>
      </x:c>
      <x:c r="H331" s="8" t="n">
        <x:f>IF(F331&lt;=9,1,0)</x:f>
        <x:v>1</x:v>
      </x:c>
      <x:c r="I331" s="9" t="n">
        <x:f>MIN(10,F330+IF(AR330&gt;0,MIN(1,AS330/AR330),1))</x:f>
        <x:v>1.244746154214715</x:v>
      </x:c>
      <x:c r="J331" s="32" t="n">
        <x:f>INDEX(v01_FoodCap,G331)*Arch_FoodCap*EXP(v01_CapsByProject*SUMPRODUCT((Cap_Point&lt;=I331)*(Cap_Kind="Food")*Cap_Ln))</x:f>
        <x:v>30</x:v>
      </x:c>
      <x:c r="K331" s="32" t="n">
        <x:f>J331*MIN(1,v01_LeanBase*EXP(v01_CapsByProject*SUMPRODUCT((Cap_Point&lt;=I331)*(Cap_Kind="Lean")*Cap_Ln)))</x:f>
        <x:v>30</x:v>
      </x:c>
      <x:c r="L331" s="10" t="n">
        <x:f>INDEX(v01_HousingCap,G331)*EXP(v01_CapsByProject*SUMPRODUCT((Cap_Point&lt;=I331)*(Cap_Kind="Housing")*Cap_Ln))</x:f>
        <x:v>60</x:v>
      </x:c>
      <x:c r="M331" s="10" t="n">
        <x:f>INDEX(v01_GroupCap,G331)*v01_CohesionFactor*EXP(v01_CapsByProject*SUMPRODUCT((Cap_Point&lt;=I331)*(Cap_Kind="Group")*Cap_Ln))</x:f>
        <x:v>100</x:v>
      </x:c>
      <x:c r="N331" s="32" t="n">
        <x:f>MIN(J331,L331,M331)</x:f>
        <x:v>30</x:v>
      </x:c>
      <x:c r="O331" s="10" t="n">
        <x:f>AE330*N331</x:f>
        <x:v>60</x:v>
      </x:c>
      <x:c r="P331" s="9" t="n">
        <x:f>MIN(1,(AB330/(AE330*IF(v01_GroupInCrowding=1,N331,MIN(J331,L331))))^v01_CrowdingExp)</x:f>
        <x:v>0.015598184202330475</x:v>
      </x:c>
      <x:c r="Q331" s="9" t="n">
        <x:f>IF(D331=1,INDEX(v01_WinterMult,G331),1)</x:f>
        <x:v>1.6</x:v>
      </x:c>
      <x:c r="R331" s="9" t="n">
        <x:f>H331*Z330*v01_WomenShare*v01_BaseFertility*INDEX(v01_FertMult,G331)*Arch_Fertility*(1-P331)</x:f>
        <x:v>0.4859965108405951</x:v>
      </x:c>
      <x:c r="S331" s="9" t="n">
        <x:f>H331*Y330*INDEX(v01_MortChild,G331)/4*Q331</x:f>
        <x:v>0.18188001085855698</x:v>
      </x:c>
      <x:c r="T331" s="9" t="n">
        <x:f>H331*Z330*INDEX(v01_MortAdult,G331)*Arch_AdultMort/4*Q331</x:f>
        <x:v>0.06845935784391856</x:v>
      </x:c>
      <x:c r="U331" s="9" t="n">
        <x:f>H331*AA330*INDEX(v01_MortElder,G331)/4*Q331</x:f>
        <x:v>0.12271111459913309</x:v>
      </x:c>
      <x:c r="V331" s="9" t="n">
        <x:f>H331*MAX(0,AB330-O331)*v01_OvercapLoss</x:f>
        <x:v>0</x:v>
      </x:c>
      <x:c r="W331" s="9" t="n">
        <x:f>H331*Y330/(v01_ChildYears*4)</x:f>
        <x:v>0.23198980976856756</x:v>
      </x:c>
      <x:c r="X331" s="9" t="n">
        <x:f>H331*Z330/(v01_AdultYears*4)</x:f>
        <x:v>0.10617146067605235</x:v>
      </x:c>
      <x:c r="Y331" s="32" t="n">
        <x:f>Y330+R331-S331-W331-Y330*V331/AB330</x:f>
        <x:v>13.063556037253255</x:v>
      </x:c>
      <x:c r="Z331" s="32" t="n">
        <x:f>Z330+W331-X331-T331-Z330*V331/AB330</x:f>
        <x:v>13.222620115079089</x:v>
      </x:c>
      <x:c r="AA331" s="32" t="n">
        <x:f>AA330+X331-U331-AA330*V331/AB330</x:f>
        <x:v>3.818182677299828</x:v>
      </x:c>
      <x:c r="AB331" s="10" t="n">
        <x:f>Y331+Z331+AA331</x:f>
        <x:v>30.104358829632172</x:v>
      </x:c>
      <x:c r="AC331" s="8" t="n">
        <x:f>IF(AND(v01_WinterTrigger=1,D331=1,AB330/AE330&gt;=K331),1,0)</x:f>
        <x:v>0</x:v>
      </x:c>
      <x:c r="AD331" s="8" t="n">
        <x:f>H331*IF(AND(OR(AB330/AE330&gt;=v01_FissionTrigger*N331,AC331=1),AB330/AE330*v01_DaughterShare&gt;=v01_MinDaughter),MAX(1,ROUND(AE330*v01_FissionRate,0)),0)</x:f>
        <x:v>0</x:v>
      </x:c>
      <x:c r="AE331" s="8" t="n">
        <x:f>IF(H331=1,MAX(1,MIN(INDEX(v01_Smax,G331),AE330+AD331)),AE330)</x:f>
        <x:v>2</x:v>
      </x:c>
      <x:c r="AF331" s="8" t="n">
        <x:f>MAX(0,AE331-AE330)</x:f>
        <x:v>0</x:v>
      </x:c>
      <x:c r="AG331" s="9" t="str">
        <x:f>IF(AF331&gt;0,B331,"")</x:f>
      </x:c>
      <x:c r="AH331" s="9" t="n">
        <x:f>IF(F331&gt;=1,1,(1+v01_LowTiesShare*(AE331-1))/AE331)</x:f>
        <x:v>1</x:v>
      </x:c>
      <x:c r="AI331" s="32" t="n">
        <x:f>(Z331+v01_ElderCommons*INDEX(LM_Elder,G331)*AA331)*AH331</x:f>
        <x:v>22.57521941919743</x:v>
      </x:c>
      <x:c r="AJ331" s="32" t="n">
        <x:f>H331*v01_CommonsCoef*AI331^v01_CommonsExp*INDEX(LM_Commons,G331)</x:f>
        <x:v>9.335361038507964</x:v>
      </x:c>
      <x:c r="AK331" s="32" t="n">
        <x:f>H331*v01_RoleScale*Arch_Roles*(AE331*(INDEX(v01_ElderRolePerSett,G331)*v01_OutElder*INDEX(LM_Elder,G331)+INDEX(v01_ShamanPerSett,G331)*v01_OutShaman)+Z331*(INDEX(v01_PriestShare,G331)*v01_OutPriest+INDEX(v01_ScribeShare,G331)*v01_OutScribe*INDEX(LM_Scribe,G331)+INDEX(v01_ScholarShare,G331)*v01_OutScholar*INDEX(LM_Scholar,G331)+INDEX(v01_ResearcherShare,G331)*v01_OutResearcher*INDEX(LM_Researcher,G331)))</x:f>
        <x:v>2.724744871391589</x:v>
      </x:c>
      <x:c r="AL331" s="32" t="n">
        <x:f>H331*v01_RoleScale*Arch_Roles*AE331*INDEX(v01_MonasteryPerSett,G331)*v01_OutMonastery*INDEX(LM_Monastery,G331)</x:f>
        <x:v>0</x:v>
      </x:c>
      <x:c r="AM331" s="32" t="n">
        <x:f>(AJ331+AK331+AL331)/4*INDEX(LM_All,G331)*INDEX(v01_Boon,G331)*Arch_Insight</x:f>
        <x:v>3.09040213941176</x:v>
      </x:c>
      <x:c r="AN331" s="32" t="n">
        <x:f>H331*(v01_KHPerAdult*Z331+v01_KHOfCommons*AJ331/4*INDEX(LM_All,G331))*v01_KHUsable*Arch_KH</x:f>
        <x:v>0.4627917040277681</x:v>
      </x:c>
      <x:c r="AO331" s="32" t="n">
        <x:f>MIN(AP330+AN331,AM331*v01_KHMaxRatio)</x:f>
        <x:v>0.4627917040277681</x:v>
      </x:c>
      <x:c r="AP331" s="32" t="n">
        <x:f>AP330+AN331-AO331</x:f>
        <x:v>0</x:v>
      </x:c>
      <x:c r="AQ331" s="32" t="n">
        <x:f>AM331+AO331</x:f>
        <x:v>3.5531938434395283</x:v>
      </x:c>
      <x:c r="AR331" s="10" t="n">
        <x:f>IF(H331=1,INDEX(v01_Req,G331),0)</x:f>
        <x:v>1067.32</x:v>
      </x:c>
      <x:c r="AS331" s="32" t="n">
        <x:f>IF(H331=1,IF(E331=1,AS330-AR330,AS330)+AQ331,0)</x:f>
        <x:v>264.775659159889</x:v>
      </x:c>
      <x:c r="AT331" s="11" t="n">
        <x:f>IF(AR331&gt;0,MIN(1,AS331/AR331),1)</x:f>
        <x:v>0.2480752343813374</x:v>
      </x:c>
      <x:c r="AU331" s="10" t="n">
        <x:f>AB331/INDEX(v01_RepScale,G331)</x:f>
        <x:v>30.104358829632172</x:v>
      </x:c>
      <x:c r="AV331" s="32" t="n">
        <x:f>AM331*60/v01_SeasonSeconds</x:f>
        <x:v>12.36160855764704</x:v>
      </x:c>
    </x:row>
    <x:row r="332">
      <x:c r="A332" s="8" t="n">
        <x:f>A331+1</x:f>
        <x:v>329</x:v>
      </x:c>
      <x:c r="B332" s="9" t="n">
        <x:f>A332*v01_SeasonSeconds/60</x:f>
        <x:v>82.25</x:v>
      </x:c>
      <x:c r="C332" s="9" t="n">
        <x:f>A332/4</x:f>
        <x:v>82.25</x:v>
      </x:c>
      <x:c r="D332" s="8" t="n">
        <x:f>IF(MOD(A332,4)=0,1,0)</x:f>
        <x:v>0</x:v>
      </x:c>
      <x:c r="E332" s="8" t="n">
        <x:f>IF(AND(F331&lt;=9,AS331&gt;=AR331),1,0)</x:f>
        <x:v>0</x:v>
      </x:c>
      <x:c r="F332" s="8" t="n">
        <x:f>MIN(10,F331+E332)</x:f>
        <x:v>1</x:v>
      </x:c>
      <x:c r="G332" s="8" t="n">
        <x:f>MIN(F332,9)+1</x:f>
        <x:v>2</x:v>
      </x:c>
      <x:c r="H332" s="8" t="n">
        <x:f>IF(F332&lt;=9,1,0)</x:f>
        <x:v>1</x:v>
      </x:c>
      <x:c r="I332" s="9" t="n">
        <x:f>MIN(10,F331+IF(AR331&gt;0,MIN(1,AS331/AR331),1))</x:f>
        <x:v>1.2480752343813375</x:v>
      </x:c>
      <x:c r="J332" s="32" t="n">
        <x:f>INDEX(v01_FoodCap,G332)*Arch_FoodCap*EXP(v01_CapsByProject*SUMPRODUCT((Cap_Point&lt;=I332)*(Cap_Kind="Food")*Cap_Ln))</x:f>
        <x:v>30</x:v>
      </x:c>
      <x:c r="K332" s="32" t="n">
        <x:f>J332*MIN(1,v01_LeanBase*EXP(v01_CapsByProject*SUMPRODUCT((Cap_Point&lt;=I332)*(Cap_Kind="Lean")*Cap_Ln)))</x:f>
        <x:v>30</x:v>
      </x:c>
      <x:c r="L332" s="10" t="n">
        <x:f>INDEX(v01_HousingCap,G332)*EXP(v01_CapsByProject*SUMPRODUCT((Cap_Point&lt;=I332)*(Cap_Kind="Housing")*Cap_Ln))</x:f>
        <x:v>60</x:v>
      </x:c>
      <x:c r="M332" s="10" t="n">
        <x:f>INDEX(v01_GroupCap,G332)*v01_CohesionFactor*EXP(v01_CapsByProject*SUMPRODUCT((Cap_Point&lt;=I332)*(Cap_Kind="Group")*Cap_Ln))</x:f>
        <x:v>100</x:v>
      </x:c>
      <x:c r="N332" s="32" t="n">
        <x:f>MIN(J332,L332,M332)</x:f>
        <x:v>30</x:v>
      </x:c>
      <x:c r="O332" s="10" t="n">
        <x:f>AE331*N332</x:f>
        <x:v>60</x:v>
      </x:c>
      <x:c r="P332" s="9" t="n">
        <x:f>MIN(1,(AB331/(AE331*IF(v01_GroupInCrowding=1,N332,MIN(J332,L332))))^v01_CrowdingExp)</x:f>
        <x:v>0.01595397066825585</x:v>
      </x:c>
      <x:c r="Q332" s="9" t="n">
        <x:f>IF(D332=1,INDEX(v01_WinterMult,G332),1)</x:f>
        <x:v>1</x:v>
      </x:c>
      <x:c r="R332" s="9" t="n">
        <x:f>H332*Z331*v01_WomenShare*v01_BaseFertility*INDEX(v01_FertMult,G332)*Arch_Fertility*(1-P332)</x:f>
        <x:v>0.487937505810211</x:v>
      </x:c>
      <x:c r="S332" s="9" t="n">
        <x:f>H332*Y331*INDEX(v01_MortChild,G332)/4*Q332</x:f>
        <x:v>0.11430611532596599</x:v>
      </x:c>
      <x:c r="T332" s="9" t="n">
        <x:f>H332*Z331*INDEX(v01_MortAdult,G332)*Arch_AdultMort/4*Q332</x:f>
        <x:v>0.04297351537400704</x:v>
      </x:c>
      <x:c r="U332" s="9" t="n">
        <x:f>H332*AA331*INDEX(v01_MortElder,G332)/4*Q332</x:f>
        <x:v>0.07636365354599656</x:v>
      </x:c>
      <x:c r="V332" s="9" t="n">
        <x:f>H332*MAX(0,AB331-O332)*v01_OvercapLoss</x:f>
        <x:v>0</x:v>
      </x:c>
      <x:c r="W332" s="9" t="n">
        <x:f>H332*Y331/(v01_ChildYears*4)</x:f>
        <x:v>0.2332777863795224</x:v>
      </x:c>
      <x:c r="X332" s="9" t="n">
        <x:f>H332*Z331/(v01_AdultYears*4)</x:f>
        <x:v>0.10663403318612168</x:v>
      </x:c>
      <x:c r="Y332" s="32" t="n">
        <x:f>Y331+R332-S332-W332-Y331*V332/AB331</x:f>
        <x:v>13.203909641357976</x:v>
      </x:c>
      <x:c r="Z332" s="32" t="n">
        <x:f>Z331+W332-X332-T332-Z331*V332/AB331</x:f>
        <x:v>13.306290352898483</x:v>
      </x:c>
      <x:c r="AA332" s="32" t="n">
        <x:f>AA331+X332-U332-AA331*V332/AB331</x:f>
        <x:v>3.848453056939953</x:v>
      </x:c>
      <x:c r="AB332" s="10" t="n">
        <x:f>Y332+Z332+AA332</x:f>
        <x:v>30.358653051196413</x:v>
      </x:c>
      <x:c r="AC332" s="8" t="n">
        <x:f>IF(AND(v01_WinterTrigger=1,D332=1,AB331/AE331&gt;=K332),1,0)</x:f>
        <x:v>0</x:v>
      </x:c>
      <x:c r="AD332" s="8" t="n">
        <x:f>H332*IF(AND(OR(AB331/AE331&gt;=v01_FissionTrigger*N332,AC332=1),AB331/AE331*v01_DaughterShare&gt;=v01_MinDaughter),MAX(1,ROUND(AE331*v01_FissionRate,0)),0)</x:f>
        <x:v>0</x:v>
      </x:c>
      <x:c r="AE332" s="8" t="n">
        <x:f>IF(H332=1,MAX(1,MIN(INDEX(v01_Smax,G332),AE331+AD332)),AE331)</x:f>
        <x:v>2</x:v>
      </x:c>
      <x:c r="AF332" s="8" t="n">
        <x:f>MAX(0,AE332-AE331)</x:f>
        <x:v>0</x:v>
      </x:c>
      <x:c r="AG332" s="9" t="str">
        <x:f>IF(AF332&gt;0,B332,"")</x:f>
      </x:c>
      <x:c r="AH332" s="9" t="n">
        <x:f>IF(F332&gt;=1,1,(1+v01_LowTiesShare*(AE332-1))/AE332)</x:f>
        <x:v>1</x:v>
      </x:c>
      <x:c r="AI332" s="32" t="n">
        <x:f>(Z332+v01_ElderCommons*INDEX(LM_Elder,G332)*AA332)*AH332</x:f>
        <x:v>22.733036641455463</x:v>
      </x:c>
      <x:c r="AJ332" s="32" t="n">
        <x:f>H332*v01_CommonsCoef*AI332^v01_CommonsExp*INDEX(LM_Commons,G332)</x:f>
        <x:v>9.390803857674051</x:v>
      </x:c>
      <x:c r="AK332" s="32" t="n">
        <x:f>H332*v01_RoleScale*Arch_Roles*(AE332*(INDEX(v01_ElderRolePerSett,G332)*v01_OutElder*INDEX(LM_Elder,G332)+INDEX(v01_ShamanPerSett,G332)*v01_OutShaman)+Z332*(INDEX(v01_PriestShare,G332)*v01_OutPriest+INDEX(v01_ScribeShare,G332)*v01_OutScribe*INDEX(LM_Scribe,G332)+INDEX(v01_ScholarShare,G332)*v01_OutScholar*INDEX(LM_Scholar,G332)+INDEX(v01_ResearcherShare,G332)*v01_OutResearcher*INDEX(LM_Researcher,G332)))</x:f>
        <x:v>2.724744871391589</x:v>
      </x:c>
      <x:c r="AL332" s="32" t="n">
        <x:f>H332*v01_RoleScale*Arch_Roles*AE332*INDEX(v01_MonasteryPerSett,G332)*v01_OutMonastery*INDEX(LM_Monastery,G332)</x:f>
        <x:v>0</x:v>
      </x:c>
      <x:c r="AM332" s="32" t="n">
        <x:f>(AJ332+AK332+AL332)/4*INDEX(LM_All,G332)*INDEX(v01_Boon,G332)*Arch_Insight</x:f>
        <x:v>3.10460936182307</x:v>
      </x:c>
      <x:c r="AN332" s="32" t="n">
        <x:f>H332*(v01_KHPerAdult*Z332+v01_KHOfCommons*AJ332/4*INDEX(LM_All,G332))*v01_KHUsable*Arch_KH</x:f>
        <x:v>0.4657201623514469</x:v>
      </x:c>
      <x:c r="AO332" s="32" t="n">
        <x:f>MIN(AP331+AN332,AM332*v01_KHMaxRatio)</x:f>
        <x:v>0.4657201623514469</x:v>
      </x:c>
      <x:c r="AP332" s="32" t="n">
        <x:f>AP331+AN332-AO332</x:f>
        <x:v>0</x:v>
      </x:c>
      <x:c r="AQ332" s="32" t="n">
        <x:f>AM332+AO332</x:f>
        <x:v>3.570329524174517</x:v>
      </x:c>
      <x:c r="AR332" s="10" t="n">
        <x:f>IF(H332=1,INDEX(v01_Req,G332),0)</x:f>
        <x:v>1067.32</x:v>
      </x:c>
      <x:c r="AS332" s="32" t="n">
        <x:f>IF(H332=1,IF(E332=1,AS331-AR331,AS331)+AQ332,0)</x:f>
        <x:v>268.3459886840635</x:v>
      </x:c>
      <x:c r="AT332" s="11" t="n">
        <x:f>IF(AR332&gt;0,MIN(1,AS332/AR332),1)</x:f>
        <x:v>0.25142036941504287</x:v>
      </x:c>
      <x:c r="AU332" s="10" t="n">
        <x:f>AB332/INDEX(v01_RepScale,G332)</x:f>
        <x:v>30.358653051196413</x:v>
      </x:c>
      <x:c r="AV332" s="32" t="n">
        <x:f>AM332*60/v01_SeasonSeconds</x:f>
        <x:v>12.41843744729228</x:v>
      </x:c>
    </x:row>
    <x:row r="333">
      <x:c r="A333" s="8" t="n">
        <x:f>A332+1</x:f>
        <x:v>330</x:v>
      </x:c>
      <x:c r="B333" s="9" t="n">
        <x:f>A333*v01_SeasonSeconds/60</x:f>
        <x:v>82.5</x:v>
      </x:c>
      <x:c r="C333" s="9" t="n">
        <x:f>A333/4</x:f>
        <x:v>82.5</x:v>
      </x:c>
      <x:c r="D333" s="8" t="n">
        <x:f>IF(MOD(A333,4)=0,1,0)</x:f>
        <x:v>0</x:v>
      </x:c>
      <x:c r="E333" s="8" t="n">
        <x:f>IF(AND(F332&lt;=9,AS332&gt;=AR332),1,0)</x:f>
        <x:v>0</x:v>
      </x:c>
      <x:c r="F333" s="8" t="n">
        <x:f>MIN(10,F332+E333)</x:f>
        <x:v>1</x:v>
      </x:c>
      <x:c r="G333" s="8" t="n">
        <x:f>MIN(F333,9)+1</x:f>
        <x:v>2</x:v>
      </x:c>
      <x:c r="H333" s="8" t="n">
        <x:f>IF(F333&lt;=9,1,0)</x:f>
        <x:v>1</x:v>
      </x:c>
      <x:c r="I333" s="9" t="n">
        <x:f>MIN(10,F332+IF(AR332&gt;0,MIN(1,AS332/AR332),1))</x:f>
        <x:v>1.251420369415043</x:v>
      </x:c>
      <x:c r="J333" s="32" t="n">
        <x:f>INDEX(v01_FoodCap,G333)*Arch_FoodCap*EXP(v01_CapsByProject*SUMPRODUCT((Cap_Point&lt;=I333)*(Cap_Kind="Food")*Cap_Ln))</x:f>
        <x:v>30</x:v>
      </x:c>
      <x:c r="K333" s="32" t="n">
        <x:f>J333*MIN(1,v01_LeanBase*EXP(v01_CapsByProject*SUMPRODUCT((Cap_Point&lt;=I333)*(Cap_Kind="Lean")*Cap_Ln)))</x:f>
        <x:v>30</x:v>
      </x:c>
      <x:c r="L333" s="10" t="n">
        <x:f>INDEX(v01_HousingCap,G333)*EXP(v01_CapsByProject*SUMPRODUCT((Cap_Point&lt;=I333)*(Cap_Kind="Housing")*Cap_Ln))</x:f>
        <x:v>60</x:v>
      </x:c>
      <x:c r="M333" s="10" t="n">
        <x:f>INDEX(v01_GroupCap,G333)*v01_CohesionFactor*EXP(v01_CapsByProject*SUMPRODUCT((Cap_Point&lt;=I333)*(Cap_Kind="Group")*Cap_Ln))</x:f>
        <x:v>100</x:v>
      </x:c>
      <x:c r="N333" s="32" t="n">
        <x:f>MIN(J333,L333,M333)</x:f>
        <x:v>30</x:v>
      </x:c>
      <x:c r="O333" s="10" t="n">
        <x:f>AE332*N333</x:f>
        <x:v>60</x:v>
      </x:c>
      <x:c r="P333" s="9" t="n">
        <x:f>MIN(1,(AB332/(AE332*IF(v01_GroupInCrowding=1,N333,MIN(J333,L333))))^v01_CrowdingExp)</x:f>
        <x:v>0.016779827476547455</x:v>
      </x:c>
      <x:c r="Q333" s="9" t="n">
        <x:f>IF(D333=1,INDEX(v01_WinterMult,G333),1)</x:f>
        <x:v>1</x:v>
      </x:c>
      <x:c r="R333" s="9" t="n">
        <x:f>H333*Z332*v01_WomenShare*v01_BaseFertility*INDEX(v01_FertMult,G333)*Arch_Fertility*(1-P333)</x:f>
        <x:v>0.49061299111589995</x:v>
      </x:c>
      <x:c r="S333" s="9" t="n">
        <x:f>H333*Y332*INDEX(v01_MortChild,G333)/4*Q333</x:f>
        <x:v>0.1155342093618823</x:v>
      </x:c>
      <x:c r="T333" s="9" t="n">
        <x:f>H333*Z332*INDEX(v01_MortAdult,G333)*Arch_AdultMort/4*Q333</x:f>
        <x:v>0.04324544364692007</x:v>
      </x:c>
      <x:c r="U333" s="9" t="n">
        <x:f>H333*AA332*INDEX(v01_MortElder,G333)/4*Q333</x:f>
        <x:v>0.07696906113879906</x:v>
      </x:c>
      <x:c r="V333" s="9" t="n">
        <x:f>H333*MAX(0,AB332-O333)*v01_OvercapLoss</x:f>
        <x:v>0</x:v>
      </x:c>
      <x:c r="W333" s="9" t="n">
        <x:f>H333*Y332/(v01_ChildYears*4)</x:f>
        <x:v>0.23578410073853528</x:v>
      </x:c>
      <x:c r="X333" s="9" t="n">
        <x:f>H333*Z332/(v01_AdultYears*4)</x:f>
        <x:v>0.10730879316853616</x:v>
      </x:c>
      <x:c r="Y333" s="32" t="n">
        <x:f>Y332+R333-S333-W333-Y332*V333/AB332</x:f>
        <x:v>13.343204322373458</x:v>
      </x:c>
      <x:c r="Z333" s="32" t="n">
        <x:f>Z332+W333-X333-T333-Z332*V333/AB332</x:f>
        <x:v>13.39152021682156</x:v>
      </x:c>
      <x:c r="AA333" s="32" t="n">
        <x:f>AA332+X333-U333-AA332*V333/AB332</x:f>
        <x:v>3.8787927889696903</x:v>
      </x:c>
      <x:c r="AB333" s="10" t="n">
        <x:f>Y333+Z333+AA333</x:f>
        <x:v>30.613517328164708</x:v>
      </x:c>
      <x:c r="AC333" s="8" t="n">
        <x:f>IF(AND(v01_WinterTrigger=1,D333=1,AB332/AE332&gt;=K333),1,0)</x:f>
        <x:v>0</x:v>
      </x:c>
      <x:c r="AD333" s="8" t="n">
        <x:f>H333*IF(AND(OR(AB332/AE332&gt;=v01_FissionTrigger*N333,AC333=1),AB332/AE332*v01_DaughterShare&gt;=v01_MinDaughter),MAX(1,ROUND(AE332*v01_FissionRate,0)),0)</x:f>
        <x:v>0</x:v>
      </x:c>
      <x:c r="AE333" s="8" t="n">
        <x:f>IF(H333=1,MAX(1,MIN(INDEX(v01_Smax,G333),AE332+AD333)),AE332)</x:f>
        <x:v>2</x:v>
      </x:c>
      <x:c r="AF333" s="8" t="n">
        <x:f>MAX(0,AE333-AE332)</x:f>
        <x:v>0</x:v>
      </x:c>
      <x:c r="AG333" s="9" t="str">
        <x:f>IF(AF333&gt;0,B333,"")</x:f>
      </x:c>
      <x:c r="AH333" s="9" t="n">
        <x:f>IF(F333&gt;=1,1,(1+v01_LowTiesShare*(AE333-1))/AE333)</x:f>
        <x:v>1</x:v>
      </x:c>
      <x:c r="AI333" s="32" t="n">
        <x:f>(Z333+v01_ElderCommons*INDEX(LM_Elder,G333)*AA333)*AH333</x:f>
        <x:v>22.89258336778417</x:v>
      </x:c>
      <x:c r="AJ333" s="32" t="n">
        <x:f>H333*v01_CommonsCoef*AI333^v01_CommonsExp*INDEX(LM_Commons,G333)</x:f>
        <x:v>9.446795614445263</x:v>
      </x:c>
      <x:c r="AK333" s="32" t="n">
        <x:f>H333*v01_RoleScale*Arch_Roles*(AE333*(INDEX(v01_ElderRolePerSett,G333)*v01_OutElder*INDEX(LM_Elder,G333)+INDEX(v01_ShamanPerSett,G333)*v01_OutShaman)+Z333*(INDEX(v01_PriestShare,G333)*v01_OutPriest+INDEX(v01_ScribeShare,G333)*v01_OutScribe*INDEX(LM_Scribe,G333)+INDEX(v01_ScholarShare,G333)*v01_OutScholar*INDEX(LM_Scholar,G333)+INDEX(v01_ResearcherShare,G333)*v01_OutResearcher*INDEX(LM_Researcher,G333)))</x:f>
        <x:v>2.724744871391589</x:v>
      </x:c>
      <x:c r="AL333" s="32" t="n">
        <x:f>H333*v01_RoleScale*Arch_Roles*AE333*INDEX(v01_MonasteryPerSett,G333)*v01_OutMonastery*INDEX(LM_Monastery,G333)</x:f>
        <x:v>0</x:v>
      </x:c>
      <x:c r="AM333" s="32" t="n">
        <x:f>(AJ333+AK333+AL333)/4*INDEX(LM_All,G333)*INDEX(v01_Boon,G333)*Arch_Insight</x:f>
        <x:v>3.118957249495693</x:v>
      </x:c>
      <x:c r="AN333" s="32" t="n">
        <x:f>H333*(v01_KHPerAdult*Z333+v01_KHOfCommons*AJ333/4*INDEX(LM_All,G333))*v01_KHUsable*Arch_KH</x:f>
        <x:v>0.46870320758875456</x:v>
      </x:c>
      <x:c r="AO333" s="32" t="n">
        <x:f>MIN(AP332+AN333,AM333*v01_KHMaxRatio)</x:f>
        <x:v>0.46870320758875456</x:v>
      </x:c>
      <x:c r="AP333" s="32" t="n">
        <x:f>AP332+AN333-AO333</x:f>
        <x:v>0</x:v>
      </x:c>
      <x:c r="AQ333" s="32" t="n">
        <x:f>AM333+AO333</x:f>
        <x:v>3.5876604570844477</x:v>
      </x:c>
      <x:c r="AR333" s="10" t="n">
        <x:f>IF(H333=1,INDEX(v01_Req,G333),0)</x:f>
        <x:v>1067.32</x:v>
      </x:c>
      <x:c r="AS333" s="32" t="n">
        <x:f>IF(H333=1,IF(E333=1,AS332-AR332,AS332)+AQ333,0)</x:f>
        <x:v>271.93364914114795</x:v>
      </x:c>
      <x:c r="AT333" s="11" t="n">
        <x:f>IF(AR333&gt;0,MIN(1,AS333/AR333),1)</x:f>
        <x:v>0.25478174225269645</x:v>
      </x:c>
      <x:c r="AU333" s="10" t="n">
        <x:f>AB333/INDEX(v01_RepScale,G333)</x:f>
        <x:v>30.613517328164708</x:v>
      </x:c>
      <x:c r="AV333" s="32" t="n">
        <x:f>AM333*60/v01_SeasonSeconds</x:f>
        <x:v>12.475828997982772</x:v>
      </x:c>
    </x:row>
    <x:row r="334">
      <x:c r="A334" s="8" t="n">
        <x:f>A333+1</x:f>
        <x:v>331</x:v>
      </x:c>
      <x:c r="B334" s="9" t="n">
        <x:f>A334*v01_SeasonSeconds/60</x:f>
        <x:v>82.75</x:v>
      </x:c>
      <x:c r="C334" s="9" t="n">
        <x:f>A334/4</x:f>
        <x:v>82.75</x:v>
      </x:c>
      <x:c r="D334" s="8" t="n">
        <x:f>IF(MOD(A334,4)=0,1,0)</x:f>
        <x:v>0</x:v>
      </x:c>
      <x:c r="E334" s="8" t="n">
        <x:f>IF(AND(F333&lt;=9,AS333&gt;=AR333),1,0)</x:f>
        <x:v>0</x:v>
      </x:c>
      <x:c r="F334" s="8" t="n">
        <x:f>MIN(10,F333+E334)</x:f>
        <x:v>1</x:v>
      </x:c>
      <x:c r="G334" s="8" t="n">
        <x:f>MIN(F334,9)+1</x:f>
        <x:v>2</x:v>
      </x:c>
      <x:c r="H334" s="8" t="n">
        <x:f>IF(F334&lt;=9,1,0)</x:f>
        <x:v>1</x:v>
      </x:c>
      <x:c r="I334" s="9" t="n">
        <x:f>MIN(10,F333+IF(AR333&gt;0,MIN(1,AS333/AR333),1))</x:f>
        <x:v>1.2547817422526966</x:v>
      </x:c>
      <x:c r="J334" s="32" t="n">
        <x:f>INDEX(v01_FoodCap,G334)*Arch_FoodCap*EXP(v01_CapsByProject*SUMPRODUCT((Cap_Point&lt;=I334)*(Cap_Kind="Food")*Cap_Ln))</x:f>
        <x:v>30</x:v>
      </x:c>
      <x:c r="K334" s="32" t="n">
        <x:f>J334*MIN(1,v01_LeanBase*EXP(v01_CapsByProject*SUMPRODUCT((Cap_Point&lt;=I334)*(Cap_Kind="Lean")*Cap_Ln)))</x:f>
        <x:v>30</x:v>
      </x:c>
      <x:c r="L334" s="10" t="n">
        <x:f>INDEX(v01_HousingCap,G334)*EXP(v01_CapsByProject*SUMPRODUCT((Cap_Point&lt;=I334)*(Cap_Kind="Housing")*Cap_Ln))</x:f>
        <x:v>60</x:v>
      </x:c>
      <x:c r="M334" s="10" t="n">
        <x:f>INDEX(v01_GroupCap,G334)*v01_CohesionFactor*EXP(v01_CapsByProject*SUMPRODUCT((Cap_Point&lt;=I334)*(Cap_Kind="Group")*Cap_Ln))</x:f>
        <x:v>100</x:v>
      </x:c>
      <x:c r="N334" s="32" t="n">
        <x:f>MIN(J334,L334,M334)</x:f>
        <x:v>30</x:v>
      </x:c>
      <x:c r="O334" s="10" t="n">
        <x:f>AE333*N334</x:f>
        <x:v>60</x:v>
      </x:c>
      <x:c r="P334" s="9" t="n">
        <x:f>MIN(1,(AB333/(AE333*IF(v01_GroupInCrowding=1,N334,MIN(J334,L334))))^v01_CrowdingExp)</x:f>
        <x:v>0.01764297753198671</x:v>
      </x:c>
      <x:c r="Q334" s="9" t="n">
        <x:f>IF(D334=1,INDEX(v01_WinterMult,G334),1)</x:f>
        <x:v>1</x:v>
      </x:c>
      <x:c r="R334" s="9" t="n">
        <x:f>H334*Z333*v01_WomenShare*v01_BaseFertility*INDEX(v01_FertMult,G334)*Arch_Fertility*(1-P334)</x:f>
        <x:v>0.49332202224438865</x:v>
      </x:c>
      <x:c r="S334" s="9" t="n">
        <x:f>H334*Y333*INDEX(v01_MortChild,G334)/4*Q334</x:f>
        <x:v>0.11675303782076776</x:v>
      </x:c>
      <x:c r="T334" s="9" t="n">
        <x:f>H334*Z333*INDEX(v01_MortAdult,G334)*Arch_AdultMort/4*Q334</x:f>
        <x:v>0.04352244070467007</x:v>
      </x:c>
      <x:c r="U334" s="9" t="n">
        <x:f>H334*AA333*INDEX(v01_MortElder,G334)/4*Q334</x:f>
        <x:v>0.07757585577939381</x:v>
      </x:c>
      <x:c r="V334" s="9" t="n">
        <x:f>H334*MAX(0,AB333-O334)*v01_OvercapLoss</x:f>
        <x:v>0</x:v>
      </x:c>
      <x:c r="W334" s="9" t="n">
        <x:f>H334*Y333/(v01_ChildYears*4)</x:f>
        <x:v>0.2382715057566689</x:v>
      </x:c>
      <x:c r="X334" s="9" t="n">
        <x:f>H334*Z333/(v01_AdultYears*4)</x:f>
        <x:v>0.10799613078081903</x:v>
      </x:c>
      <x:c r="Y334" s="32" t="n">
        <x:f>Y333+R334-S334-W334-Y333*V334/AB333</x:f>
        <x:v>13.481501801040409</x:v>
      </x:c>
      <x:c r="Z334" s="32" t="n">
        <x:f>Z333+W334-X334-T334-Z333*V334/AB333</x:f>
        <x:v>13.47827315109274</x:v>
      </x:c>
      <x:c r="AA334" s="32" t="n">
        <x:f>AA333+X334-U334-AA333*V334/AB333</x:f>
        <x:v>3.9092130639711153</x:v>
      </x:c>
      <x:c r="AB334" s="10" t="n">
        <x:f>Y334+Z334+AA334</x:f>
        <x:v>30.868988016104264</x:v>
      </x:c>
      <x:c r="AC334" s="8" t="n">
        <x:f>IF(AND(v01_WinterTrigger=1,D334=1,AB333/AE333&gt;=K334),1,0)</x:f>
        <x:v>0</x:v>
      </x:c>
      <x:c r="AD334" s="8" t="n">
        <x:f>H334*IF(AND(OR(AB333/AE333&gt;=v01_FissionTrigger*N334,AC334=1),AB333/AE333*v01_DaughterShare&gt;=v01_MinDaughter),MAX(1,ROUND(AE333*v01_FissionRate,0)),0)</x:f>
        <x:v>0</x:v>
      </x:c>
      <x:c r="AE334" s="8" t="n">
        <x:f>IF(H334=1,MAX(1,MIN(INDEX(v01_Smax,G334),AE333+AD334)),AE333)</x:f>
        <x:v>2</x:v>
      </x:c>
      <x:c r="AF334" s="8" t="n">
        <x:f>MAX(0,AE334-AE333)</x:f>
        <x:v>0</x:v>
      </x:c>
      <x:c r="AG334" s="9" t="str">
        <x:f>IF(AF334&gt;0,B334,"")</x:f>
      </x:c>
      <x:c r="AH334" s="9" t="n">
        <x:f>IF(F334&gt;=1,1,(1+v01_LowTiesShare*(AE334-1))/AE334)</x:f>
        <x:v>1</x:v>
      </x:c>
      <x:c r="AI334" s="32" t="n">
        <x:f>(Z334+v01_ElderCommons*INDEX(LM_Elder,G334)*AA334)*AH334</x:f>
        <x:v>23.053850453643985</x:v>
      </x:c>
      <x:c r="AJ334" s="32" t="n">
        <x:f>H334*v01_CommonsCoef*AI334^v01_CommonsExp*INDEX(LM_Commons,G334)</x:f>
        <x:v>9.503331666906764</x:v>
      </x:c>
      <x:c r="AK334" s="32" t="n">
        <x:f>H334*v01_RoleScale*Arch_Roles*(AE334*(INDEX(v01_ElderRolePerSett,G334)*v01_OutElder*INDEX(LM_Elder,G334)+INDEX(v01_ShamanPerSett,G334)*v01_OutShaman)+Z334*(INDEX(v01_PriestShare,G334)*v01_OutPriest+INDEX(v01_ScribeShare,G334)*v01_OutScribe*INDEX(LM_Scribe,G334)+INDEX(v01_ScholarShare,G334)*v01_OutScholar*INDEX(LM_Scholar,G334)+INDEX(v01_ResearcherShare,G334)*v01_OutResearcher*INDEX(LM_Researcher,G334)))</x:f>
        <x:v>2.724744871391589</x:v>
      </x:c>
      <x:c r="AL334" s="32" t="n">
        <x:f>H334*v01_RoleScale*Arch_Roles*AE334*INDEX(v01_MonasteryPerSett,G334)*v01_OutMonastery*INDEX(LM_Monastery,G334)</x:f>
        <x:v>0</x:v>
      </x:c>
      <x:c r="AM334" s="32" t="n">
        <x:f>(AJ334+AK334+AL334)/4*INDEX(LM_All,G334)*INDEX(v01_Boon,G334)*Arch_Insight</x:f>
        <x:v>3.133444612938953</x:v>
      </x:c>
      <x:c r="AN334" s="32" t="n">
        <x:f>H334*(v01_KHPerAdult*Z334+v01_KHOfCommons*AJ334/4*INDEX(LM_All,G334))*v01_KHUsable*Arch_KH</x:f>
        <x:v>0.47173956028824593</x:v>
      </x:c>
      <x:c r="AO334" s="32" t="n">
        <x:f>MIN(AP333+AN334,AM334*v01_KHMaxRatio)</x:f>
        <x:v>0.47173956028824593</x:v>
      </x:c>
      <x:c r="AP334" s="32" t="n">
        <x:f>AP333+AN334-AO334</x:f>
        <x:v>0</x:v>
      </x:c>
      <x:c r="AQ334" s="32" t="n">
        <x:f>AM334+AO334</x:f>
        <x:v>3.6051841732271988</x:v>
      </x:c>
      <x:c r="AR334" s="10" t="n">
        <x:f>IF(H334=1,INDEX(v01_Req,G334),0)</x:f>
        <x:v>1067.32</x:v>
      </x:c>
      <x:c r="AS334" s="32" t="n">
        <x:f>IF(H334=1,IF(E334=1,AS333-AR333,AS333)+AQ334,0)</x:f>
        <x:v>275.53883331437515</x:v>
      </x:c>
      <x:c r="AT334" s="11" t="n">
        <x:f>IF(AR334&gt;0,MIN(1,AS334/AR334),1)</x:f>
        <x:v>0.25815953351794696</x:v>
      </x:c>
      <x:c r="AU334" s="10" t="n">
        <x:f>AB334/INDEX(v01_RepScale,G334)</x:f>
        <x:v>30.868988016104264</x:v>
      </x:c>
      <x:c r="AV334" s="32" t="n">
        <x:f>AM334*60/v01_SeasonSeconds</x:f>
        <x:v>12.533778451755811</x:v>
      </x:c>
    </x:row>
    <x:row r="335">
      <x:c r="A335" s="8" t="n">
        <x:f>A334+1</x:f>
        <x:v>332</x:v>
      </x:c>
      <x:c r="B335" s="9" t="n">
        <x:f>A335*v01_SeasonSeconds/60</x:f>
        <x:v>83</x:v>
      </x:c>
      <x:c r="C335" s="9" t="n">
        <x:f>A335/4</x:f>
        <x:v>83</x:v>
      </x:c>
      <x:c r="D335" s="8" t="n">
        <x:f>IF(MOD(A335,4)=0,1,0)</x:f>
        <x:v>1</x:v>
      </x:c>
      <x:c r="E335" s="8" t="n">
        <x:f>IF(AND(F334&lt;=9,AS334&gt;=AR334),1,0)</x:f>
        <x:v>0</x:v>
      </x:c>
      <x:c r="F335" s="8" t="n">
        <x:f>MIN(10,F334+E335)</x:f>
        <x:v>1</x:v>
      </x:c>
      <x:c r="G335" s="8" t="n">
        <x:f>MIN(F335,9)+1</x:f>
        <x:v>2</x:v>
      </x:c>
      <x:c r="H335" s="8" t="n">
        <x:f>IF(F335&lt;=9,1,0)</x:f>
        <x:v>1</x:v>
      </x:c>
      <x:c r="I335" s="9" t="n">
        <x:f>MIN(10,F334+IF(AR334&gt;0,MIN(1,AS334/AR334),1))</x:f>
        <x:v>1.258159533517947</x:v>
      </x:c>
      <x:c r="J335" s="32" t="n">
        <x:f>INDEX(v01_FoodCap,G335)*Arch_FoodCap*EXP(v01_CapsByProject*SUMPRODUCT((Cap_Point&lt;=I335)*(Cap_Kind="Food")*Cap_Ln))</x:f>
        <x:v>30</x:v>
      </x:c>
      <x:c r="K335" s="32" t="n">
        <x:f>J335*MIN(1,v01_LeanBase*EXP(v01_CapsByProject*SUMPRODUCT((Cap_Point&lt;=I335)*(Cap_Kind="Lean")*Cap_Ln)))</x:f>
        <x:v>30</x:v>
      </x:c>
      <x:c r="L335" s="10" t="n">
        <x:f>INDEX(v01_HousingCap,G335)*EXP(v01_CapsByProject*SUMPRODUCT((Cap_Point&lt;=I335)*(Cap_Kind="Housing")*Cap_Ln))</x:f>
        <x:v>60</x:v>
      </x:c>
      <x:c r="M335" s="10" t="n">
        <x:f>INDEX(v01_GroupCap,G335)*v01_CohesionFactor*EXP(v01_CapsByProject*SUMPRODUCT((Cap_Point&lt;=I335)*(Cap_Kind="Group")*Cap_Ln))</x:f>
        <x:v>100</x:v>
      </x:c>
      <x:c r="N335" s="32" t="n">
        <x:f>MIN(J335,L335,M335)</x:f>
        <x:v>30</x:v>
      </x:c>
      <x:c r="O335" s="10" t="n">
        <x:f>AE334*N335</x:f>
        <x:v>60</x:v>
      </x:c>
      <x:c r="P335" s="9" t="n">
        <x:f>MIN(1,(AB334/(AE334*IF(v01_GroupInCrowding=1,N335,MIN(J335,L335))))^v01_CrowdingExp)</x:f>
        <x:v>0.018545000554072853</x:v>
      </x:c>
      <x:c r="Q335" s="9" t="n">
        <x:f>IF(D335=1,INDEX(v01_WinterMult,G335),1)</x:f>
        <x:v>1.6</x:v>
      </x:c>
      <x:c r="R335" s="9" t="n">
        <x:f>H335*Z334*v01_WomenShare*v01_BaseFertility*INDEX(v01_FertMult,G335)*Arch_Fertility*(1-P335)</x:f>
        <x:v>0.49606194630141676</x:v>
      </x:c>
      <x:c r="S335" s="9" t="n">
        <x:f>H335*Y334*INDEX(v01_MortChild,G335)/4*Q335</x:f>
        <x:v>0.18874102521456576</x:v>
      </x:c>
      <x:c r="T335" s="9" t="n">
        <x:f>H335*Z334*INDEX(v01_MortAdult,G335)*Arch_AdultMort/4*Q335</x:f>
        <x:v>0.07008702038568225</x:v>
      </x:c>
      <x:c r="U335" s="9" t="n">
        <x:f>H335*AA334*INDEX(v01_MortElder,G335)/4*Q335</x:f>
        <x:v>0.1250948180470757</x:v>
      </x:c>
      <x:c r="V335" s="9" t="n">
        <x:f>H335*MAX(0,AB334-O335)*v01_OvercapLoss</x:f>
        <x:v>0</x:v>
      </x:c>
      <x:c r="W335" s="9" t="n">
        <x:f>H335*Y334/(v01_ChildYears*4)</x:f>
        <x:v>0.2407411035900073</x:v>
      </x:c>
      <x:c r="X335" s="9" t="n">
        <x:f>H335*Z334/(v01_AdultYears*4)</x:f>
        <x:v>0.10869575121848983</x:v>
      </x:c>
      <x:c r="Y335" s="32" t="n">
        <x:f>Y334+R335-S335-W335-Y334*V335/AB334</x:f>
        <x:v>13.548081618537253</x:v>
      </x:c>
      <x:c r="Z335" s="32" t="n">
        <x:f>Z334+W335-X335-T335-Z334*V335/AB334</x:f>
        <x:v>13.540231483078577</x:v>
      </x:c>
      <x:c r="AA335" s="32" t="n">
        <x:f>AA334+X335-U335-AA334*V335/AB334</x:f>
        <x:v>3.8928139971425293</x:v>
      </x:c>
      <x:c r="AB335" s="10" t="n">
        <x:f>Y335+Z335+AA335</x:f>
        <x:v>30.98112709875836</x:v>
      </x:c>
      <x:c r="AC335" s="8" t="n">
        <x:f>IF(AND(v01_WinterTrigger=1,D335=1,AB334/AE334&gt;=K335),1,0)</x:f>
        <x:v>0</x:v>
      </x:c>
      <x:c r="AD335" s="8" t="n">
        <x:f>H335*IF(AND(OR(AB334/AE334&gt;=v01_FissionTrigger*N335,AC335=1),AB334/AE334*v01_DaughterShare&gt;=v01_MinDaughter),MAX(1,ROUND(AE334*v01_FissionRate,0)),0)</x:f>
        <x:v>0</x:v>
      </x:c>
      <x:c r="AE335" s="8" t="n">
        <x:f>IF(H335=1,MAX(1,MIN(INDEX(v01_Smax,G335),AE334+AD335)),AE334)</x:f>
        <x:v>2</x:v>
      </x:c>
      <x:c r="AF335" s="8" t="n">
        <x:f>MAX(0,AE335-AE334)</x:f>
        <x:v>0</x:v>
      </x:c>
      <x:c r="AG335" s="9" t="str">
        <x:f>IF(AF335&gt;0,B335,"")</x:f>
      </x:c>
      <x:c r="AH335" s="9" t="n">
        <x:f>IF(F335&gt;=1,1,(1+v01_LowTiesShare*(AE335-1))/AE335)</x:f>
        <x:v>1</x:v>
      </x:c>
      <x:c r="AI335" s="32" t="n">
        <x:f>(Z335+v01_ElderCommons*INDEX(LM_Elder,G335)*AA335)*AH335</x:f>
        <x:v>23.075639439641986</x:v>
      </x:c>
      <x:c r="AJ335" s="32" t="n">
        <x:f>H335*v01_CommonsCoef*AI335^v01_CommonsExp*INDEX(LM_Commons,G335)</x:f>
        <x:v>9.510965762351194</x:v>
      </x:c>
      <x:c r="AK335" s="32" t="n">
        <x:f>H335*v01_RoleScale*Arch_Roles*(AE335*(INDEX(v01_ElderRolePerSett,G335)*v01_OutElder*INDEX(LM_Elder,G335)+INDEX(v01_ShamanPerSett,G335)*v01_OutShaman)+Z335*(INDEX(v01_PriestShare,G335)*v01_OutPriest+INDEX(v01_ScribeShare,G335)*v01_OutScribe*INDEX(LM_Scribe,G335)+INDEX(v01_ScholarShare,G335)*v01_OutScholar*INDEX(LM_Scholar,G335)+INDEX(v01_ResearcherShare,G335)*v01_OutResearcher*INDEX(LM_Researcher,G335)))</x:f>
        <x:v>2.724744871391589</x:v>
      </x:c>
      <x:c r="AL335" s="32" t="n">
        <x:f>H335*v01_RoleScale*Arch_Roles*AE335*INDEX(v01_MonasteryPerSett,G335)*v01_OutMonastery*INDEX(LM_Monastery,G335)</x:f>
        <x:v>0</x:v>
      </x:c>
      <x:c r="AM335" s="32" t="n">
        <x:f>(AJ335+AK335+AL335)/4*INDEX(LM_All,G335)*INDEX(v01_Boon,G335)*Arch_Insight</x:f>
        <x:v>3.135400849896588</x:v>
      </x:c>
      <x:c r="AN335" s="32" t="n">
        <x:f>H335*(v01_KHPerAdult*Z335+v01_KHOfCommons*AJ335/4*INDEX(LM_All,G335))*v01_KHUsable*Arch_KH</x:f>
        <x:v>0.4739081019077502</x:v>
      </x:c>
      <x:c r="AO335" s="32" t="n">
        <x:f>MIN(AP334+AN335,AM335*v01_KHMaxRatio)</x:f>
        <x:v>0.4739081019077502</x:v>
      </x:c>
      <x:c r="AP335" s="32" t="n">
        <x:f>AP334+AN335-AO335</x:f>
        <x:v>0</x:v>
      </x:c>
      <x:c r="AQ335" s="32" t="n">
        <x:f>AM335+AO335</x:f>
        <x:v>3.609308951804338</x:v>
      </x:c>
      <x:c r="AR335" s="10" t="n">
        <x:f>IF(H335=1,INDEX(v01_Req,G335),0)</x:f>
        <x:v>1067.32</x:v>
      </x:c>
      <x:c r="AS335" s="32" t="n">
        <x:f>IF(H335=1,IF(E335=1,AS334-AR334,AS334)+AQ335,0)</x:f>
        <x:v>279.1481422661795</x:v>
      </x:c>
      <x:c r="AT335" s="11" t="n">
        <x:f>IF(AR335&gt;0,MIN(1,AS335/AR335),1)</x:f>
        <x:v>0.2615411893960382</x:v>
      </x:c>
      <x:c r="AU335" s="10" t="n">
        <x:f>AB335/INDEX(v01_RepScale,G335)</x:f>
        <x:v>30.98112709875836</x:v>
      </x:c>
      <x:c r="AV335" s="32" t="n">
        <x:f>AM335*60/v01_SeasonSeconds</x:f>
        <x:v>12.541603399586352</x:v>
      </x:c>
    </x:row>
    <x:row r="336">
      <x:c r="A336" s="8" t="n">
        <x:f>A335+1</x:f>
        <x:v>333</x:v>
      </x:c>
      <x:c r="B336" s="9" t="n">
        <x:f>A336*v01_SeasonSeconds/60</x:f>
        <x:v>83.25</x:v>
      </x:c>
      <x:c r="C336" s="9" t="n">
        <x:f>A336/4</x:f>
        <x:v>83.25</x:v>
      </x:c>
      <x:c r="D336" s="8" t="n">
        <x:f>IF(MOD(A336,4)=0,1,0)</x:f>
        <x:v>0</x:v>
      </x:c>
      <x:c r="E336" s="8" t="n">
        <x:f>IF(AND(F335&lt;=9,AS335&gt;=AR335),1,0)</x:f>
        <x:v>0</x:v>
      </x:c>
      <x:c r="F336" s="8" t="n">
        <x:f>MIN(10,F335+E336)</x:f>
        <x:v>1</x:v>
      </x:c>
      <x:c r="G336" s="8" t="n">
        <x:f>MIN(F336,9)+1</x:f>
        <x:v>2</x:v>
      </x:c>
      <x:c r="H336" s="8" t="n">
        <x:f>IF(F336&lt;=9,1,0)</x:f>
        <x:v>1</x:v>
      </x:c>
      <x:c r="I336" s="9" t="n">
        <x:f>MIN(10,F335+IF(AR335&gt;0,MIN(1,AS335/AR335),1))</x:f>
        <x:v>1.2615411893960382</x:v>
      </x:c>
      <x:c r="J336" s="32" t="n">
        <x:f>INDEX(v01_FoodCap,G336)*Arch_FoodCap*EXP(v01_CapsByProject*SUMPRODUCT((Cap_Point&lt;=I336)*(Cap_Kind="Food")*Cap_Ln))</x:f>
        <x:v>30</x:v>
      </x:c>
      <x:c r="K336" s="32" t="n">
        <x:f>J336*MIN(1,v01_LeanBase*EXP(v01_CapsByProject*SUMPRODUCT((Cap_Point&lt;=I336)*(Cap_Kind="Lean")*Cap_Ln)))</x:f>
        <x:v>30</x:v>
      </x:c>
      <x:c r="L336" s="10" t="n">
        <x:f>INDEX(v01_HousingCap,G336)*EXP(v01_CapsByProject*SUMPRODUCT((Cap_Point&lt;=I336)*(Cap_Kind="Housing")*Cap_Ln))</x:f>
        <x:v>60</x:v>
      </x:c>
      <x:c r="M336" s="10" t="n">
        <x:f>INDEX(v01_GroupCap,G336)*v01_CohesionFactor*EXP(v01_CapsByProject*SUMPRODUCT((Cap_Point&lt;=I336)*(Cap_Kind="Group")*Cap_Ln))</x:f>
        <x:v>100</x:v>
      </x:c>
      <x:c r="N336" s="32" t="n">
        <x:f>MIN(J336,L336,M336)</x:f>
        <x:v>30</x:v>
      </x:c>
      <x:c r="O336" s="10" t="n">
        <x:f>AE335*N336</x:f>
        <x:v>60</x:v>
      </x:c>
      <x:c r="P336" s="9" t="n">
        <x:f>MIN(1,(AB335/(AE335*IF(v01_GroupInCrowding=1,N336,MIN(J336,L336))))^v01_CrowdingExp)</x:f>
        <x:v>0.018952904671299682</x:v>
      </x:c>
      <x:c r="Q336" s="9" t="n">
        <x:f>IF(D336=1,INDEX(v01_WinterMult,G336),1)</x:f>
        <x:v>1</x:v>
      </x:c>
      <x:c r="R336" s="9" t="n">
        <x:f>H336*Z335*v01_WomenShare*v01_BaseFertility*INDEX(v01_FertMult,G336)*Arch_Fertility*(1-P336)</x:f>
        <x:v>0.4981351787457171</x:v>
      </x:c>
      <x:c r="S336" s="9" t="n">
        <x:f>H336*Y335*INDEX(v01_MortChild,G336)/4*Q336</x:f>
        <x:v>0.11854571416220097</x:v>
      </x:c>
      <x:c r="T336" s="9" t="n">
        <x:f>H336*Z335*INDEX(v01_MortAdult,G336)*Arch_AdultMort/4*Q336</x:f>
        <x:v>0.04400575232000537</x:v>
      </x:c>
      <x:c r="U336" s="9" t="n">
        <x:f>H336*AA335*INDEX(v01_MortElder,G336)/4*Q336</x:f>
        <x:v>0.07785627994285059</x:v>
      </x:c>
      <x:c r="V336" s="9" t="n">
        <x:f>H336*MAX(0,AB335-O336)*v01_OvercapLoss</x:f>
        <x:v>0</x:v>
      </x:c>
      <x:c r="W336" s="9" t="n">
        <x:f>H336*Y335/(v01_ChildYears*4)</x:f>
        <x:v>0.24193002890245094</x:v>
      </x:c>
      <x:c r="X336" s="9" t="n">
        <x:f>H336*Z335/(v01_AdultYears*4)</x:f>
        <x:v>0.10919541518611756</x:v>
      </x:c>
      <x:c r="Y336" s="32" t="n">
        <x:f>Y335+R336-S336-W336-Y335*V336/AB335</x:f>
        <x:v>13.685741054218319</x:v>
      </x:c>
      <x:c r="Z336" s="32" t="n">
        <x:f>Z335+W336-X336-T336-Z335*V336/AB335</x:f>
        <x:v>13.628960344474903</x:v>
      </x:c>
      <x:c r="AA336" s="32" t="n">
        <x:f>AA335+X336-U336-AA335*V336/AB335</x:f>
        <x:v>3.9241531323857965</x:v>
      </x:c>
      <x:c r="AB336" s="10" t="n">
        <x:f>Y336+Z336+AA336</x:f>
        <x:v>31.23885453107902</x:v>
      </x:c>
      <x:c r="AC336" s="8" t="n">
        <x:f>IF(AND(v01_WinterTrigger=1,D336=1,AB335/AE335&gt;=K336),1,0)</x:f>
        <x:v>0</x:v>
      </x:c>
      <x:c r="AD336" s="8" t="n">
        <x:f>H336*IF(AND(OR(AB335/AE335&gt;=v01_FissionTrigger*N336,AC336=1),AB335/AE335*v01_DaughterShare&gt;=v01_MinDaughter),MAX(1,ROUND(AE335*v01_FissionRate,0)),0)</x:f>
        <x:v>0</x:v>
      </x:c>
      <x:c r="AE336" s="8" t="n">
        <x:f>IF(H336=1,MAX(1,MIN(INDEX(v01_Smax,G336),AE335+AD336)),AE335)</x:f>
        <x:v>2</x:v>
      </x:c>
      <x:c r="AF336" s="8" t="n">
        <x:f>MAX(0,AE336-AE335)</x:f>
        <x:v>0</x:v>
      </x:c>
      <x:c r="AG336" s="9" t="str">
        <x:f>IF(AF336&gt;0,B336,"")</x:f>
      </x:c>
      <x:c r="AH336" s="9" t="n">
        <x:f>IF(F336&gt;=1,1,(1+v01_LowTiesShare*(AE336-1))/AE336)</x:f>
        <x:v>1</x:v>
      </x:c>
      <x:c r="AI336" s="32" t="n">
        <x:f>(Z336+v01_ElderCommons*INDEX(LM_Elder,G336)*AA336)*AH336</x:f>
        <x:v>23.24113319136439</x:v>
      </x:c>
      <x:c r="AJ336" s="32" t="n">
        <x:f>H336*v01_CommonsCoef*AI336^v01_CommonsExp*INDEX(LM_Commons,G336)</x:f>
        <x:v>9.56891375254965</x:v>
      </x:c>
      <x:c r="AK336" s="32" t="n">
        <x:f>H336*v01_RoleScale*Arch_Roles*(AE336*(INDEX(v01_ElderRolePerSett,G336)*v01_OutElder*INDEX(LM_Elder,G336)+INDEX(v01_ShamanPerSett,G336)*v01_OutShaman)+Z336*(INDEX(v01_PriestShare,G336)*v01_OutPriest+INDEX(v01_ScribeShare,G336)*v01_OutScribe*INDEX(LM_Scribe,G336)+INDEX(v01_ScholarShare,G336)*v01_OutScholar*INDEX(LM_Scholar,G336)+INDEX(v01_ResearcherShare,G336)*v01_OutResearcher*INDEX(LM_Researcher,G336)))</x:f>
        <x:v>2.724744871391589</x:v>
      </x:c>
      <x:c r="AL336" s="32" t="n">
        <x:f>H336*v01_RoleScale*Arch_Roles*AE336*INDEX(v01_MonasteryPerSett,G336)*v01_OutMonastery*INDEX(LM_Monastery,G336)</x:f>
        <x:v>0</x:v>
      </x:c>
      <x:c r="AM336" s="32" t="n">
        <x:f>(AJ336+AK336+AL336)/4*INDEX(LM_All,G336)*INDEX(v01_Boon,G336)*Arch_Insight</x:f>
        <x:v>3.150250022384942</x:v>
      </x:c>
      <x:c r="AN336" s="32" t="n">
        <x:f>H336*(v01_KHPerAdult*Z336+v01_KHOfCommons*AJ336/4*INDEX(LM_All,G336))*v01_KHUsable*Arch_KH</x:f>
        <x:v>0.47701361205662157</x:v>
      </x:c>
      <x:c r="AO336" s="32" t="n">
        <x:f>MIN(AP335+AN336,AM336*v01_KHMaxRatio)</x:f>
        <x:v>0.47701361205662157</x:v>
      </x:c>
      <x:c r="AP336" s="32" t="n">
        <x:f>AP335+AN336-AO336</x:f>
        <x:v>0</x:v>
      </x:c>
      <x:c r="AQ336" s="32" t="n">
        <x:f>AM336+AO336</x:f>
        <x:v>3.627263634441564</x:v>
      </x:c>
      <x:c r="AR336" s="10" t="n">
        <x:f>IF(H336=1,INDEX(v01_Req,G336),0)</x:f>
        <x:v>1067.32</x:v>
      </x:c>
      <x:c r="AS336" s="32" t="n">
        <x:f>IF(H336=1,IF(E336=1,AS335-AR335,AS335)+AQ336,0)</x:f>
        <x:v>282.7754059006211</x:v>
      </x:c>
      <x:c r="AT336" s="11" t="n">
        <x:f>IF(AR336&gt;0,MIN(1,AS336/AR336),1)</x:f>
        <x:v>0.2649396674854974</x:v>
      </x:c>
      <x:c r="AU336" s="10" t="n">
        <x:f>AB336/INDEX(v01_RepScale,G336)</x:f>
        <x:v>31.23885453107902</x:v>
      </x:c>
      <x:c r="AV336" s="32" t="n">
        <x:f>AM336*60/v01_SeasonSeconds</x:f>
        <x:v>12.601000089539768</x:v>
      </x:c>
    </x:row>
    <x:row r="337">
      <x:c r="A337" s="8" t="n">
        <x:f>A336+1</x:f>
        <x:v>334</x:v>
      </x:c>
      <x:c r="B337" s="9" t="n">
        <x:f>A337*v01_SeasonSeconds/60</x:f>
        <x:v>83.5</x:v>
      </x:c>
      <x:c r="C337" s="9" t="n">
        <x:f>A337/4</x:f>
        <x:v>83.5</x:v>
      </x:c>
      <x:c r="D337" s="8" t="n">
        <x:f>IF(MOD(A337,4)=0,1,0)</x:f>
        <x:v>0</x:v>
      </x:c>
      <x:c r="E337" s="8" t="n">
        <x:f>IF(AND(F336&lt;=9,AS336&gt;=AR336),1,0)</x:f>
        <x:v>0</x:v>
      </x:c>
      <x:c r="F337" s="8" t="n">
        <x:f>MIN(10,F336+E337)</x:f>
        <x:v>1</x:v>
      </x:c>
      <x:c r="G337" s="8" t="n">
        <x:f>MIN(F337,9)+1</x:f>
        <x:v>2</x:v>
      </x:c>
      <x:c r="H337" s="8" t="n">
        <x:f>IF(F337&lt;=9,1,0)</x:f>
        <x:v>1</x:v>
      </x:c>
      <x:c r="I337" s="9" t="n">
        <x:f>MIN(10,F336+IF(AR336&gt;0,MIN(1,AS336/AR336),1))</x:f>
        <x:v>1.2649396674854974</x:v>
      </x:c>
      <x:c r="J337" s="32" t="n">
        <x:f>INDEX(v01_FoodCap,G337)*Arch_FoodCap*EXP(v01_CapsByProject*SUMPRODUCT((Cap_Point&lt;=I337)*(Cap_Kind="Food")*Cap_Ln))</x:f>
        <x:v>30</x:v>
      </x:c>
      <x:c r="K337" s="32" t="n">
        <x:f>J337*MIN(1,v01_LeanBase*EXP(v01_CapsByProject*SUMPRODUCT((Cap_Point&lt;=I337)*(Cap_Kind="Lean")*Cap_Ln)))</x:f>
        <x:v>30</x:v>
      </x:c>
      <x:c r="L337" s="10" t="n">
        <x:f>INDEX(v01_HousingCap,G337)*EXP(v01_CapsByProject*SUMPRODUCT((Cap_Point&lt;=I337)*(Cap_Kind="Housing")*Cap_Ln))</x:f>
        <x:v>60</x:v>
      </x:c>
      <x:c r="M337" s="10" t="n">
        <x:f>INDEX(v01_GroupCap,G337)*v01_CohesionFactor*EXP(v01_CapsByProject*SUMPRODUCT((Cap_Point&lt;=I337)*(Cap_Kind="Group")*Cap_Ln))</x:f>
        <x:v>100</x:v>
      </x:c>
      <x:c r="N337" s="32" t="n">
        <x:f>MIN(J337,L337,M337)</x:f>
        <x:v>30</x:v>
      </x:c>
      <x:c r="O337" s="10" t="n">
        <x:f>AE336*N337</x:f>
        <x:v>60</x:v>
      </x:c>
      <x:c r="P337" s="9" t="n">
        <x:f>MIN(1,(AB336/(AE336*IF(v01_GroupInCrowding=1,N337,MIN(J337,L337))))^v01_CrowdingExp)</x:f>
        <x:v>0.01991879684553943</x:v>
      </x:c>
      <x:c r="Q337" s="9" t="n">
        <x:f>IF(D337=1,INDEX(v01_WinterMult,G337),1)</x:f>
        <x:v>1</x:v>
      </x:c>
      <x:c r="R337" s="9" t="n">
        <x:f>H337*Z336*v01_WomenShare*v01_BaseFertility*INDEX(v01_FertMult,G337)*Arch_Fertility*(1-P337)</x:f>
        <x:v>0.5009057944559023</x:v>
      </x:c>
      <x:c r="S337" s="9" t="n">
        <x:f>H337*Y336*INDEX(v01_MortChild,G337)/4*Q337</x:f>
        <x:v>0.1197502342244103</x:v>
      </x:c>
      <x:c r="T337" s="9" t="n">
        <x:f>H337*Z336*INDEX(v01_MortAdult,G337)*Arch_AdultMort/4*Q337</x:f>
        <x:v>0.04429412111954343</x:v>
      </x:c>
      <x:c r="U337" s="9" t="n">
        <x:f>H337*AA336*INDEX(v01_MortElder,G337)/4*Q337</x:f>
        <x:v>0.07848306264771593</x:v>
      </x:c>
      <x:c r="V337" s="9" t="n">
        <x:f>H337*MAX(0,AB336-O337)*v01_OvercapLoss</x:f>
        <x:v>0</x:v>
      </x:c>
      <x:c r="W337" s="9" t="n">
        <x:f>H337*Y336/(v01_ChildYears*4)</x:f>
        <x:v>0.2443882331110414</x:v>
      </x:c>
      <x:c r="X337" s="9" t="n">
        <x:f>H337*Z336/(v01_AdultYears*4)</x:f>
        <x:v>0.10991097051995889</x:v>
      </x:c>
      <x:c r="Y337" s="32" t="n">
        <x:f>Y336+R337-S337-W337-Y336*V337/AB336</x:f>
        <x:v>13.822508381338771</x:v>
      </x:c>
      <x:c r="Z337" s="32" t="n">
        <x:f>Z336+W337-X337-T337-Z336*V337/AB336</x:f>
        <x:v>13.719143485946441</x:v>
      </x:c>
      <x:c r="AA337" s="32" t="n">
        <x:f>AA336+X337-U337-AA336*V337/AB336</x:f>
        <x:v>3.95558104025804</x:v>
      </x:c>
      <x:c r="AB337" s="10" t="n">
        <x:f>Y337+Z337+AA337</x:f>
        <x:v>31.49723290754325</x:v>
      </x:c>
      <x:c r="AC337" s="8" t="n">
        <x:f>IF(AND(v01_WinterTrigger=1,D337=1,AB336/AE336&gt;=K337),1,0)</x:f>
        <x:v>0</x:v>
      </x:c>
      <x:c r="AD337" s="8" t="n">
        <x:f>H337*IF(AND(OR(AB336/AE336&gt;=v01_FissionTrigger*N337,AC337=1),AB336/AE336*v01_DaughterShare&gt;=v01_MinDaughter),MAX(1,ROUND(AE336*v01_FissionRate,0)),0)</x:f>
        <x:v>0</x:v>
      </x:c>
      <x:c r="AE337" s="8" t="n">
        <x:f>IF(H337=1,MAX(1,MIN(INDEX(v01_Smax,G337),AE336+AD337)),AE336)</x:f>
        <x:v>2</x:v>
      </x:c>
      <x:c r="AF337" s="8" t="n">
        <x:f>MAX(0,AE337-AE336)</x:f>
        <x:v>0</x:v>
      </x:c>
      <x:c r="AG337" s="9" t="str">
        <x:f>IF(AF337&gt;0,B337,"")</x:f>
      </x:c>
      <x:c r="AH337" s="9" t="n">
        <x:f>IF(F337&gt;=1,1,(1+v01_LowTiesShare*(AE337-1))/AE337)</x:f>
        <x:v>1</x:v>
      </x:c>
      <x:c r="AI337" s="32" t="n">
        <x:f>(Z337+v01_ElderCommons*INDEX(LM_Elder,G337)*AA337)*AH337</x:f>
        <x:v>23.408298670806122</x:v>
      </x:c>
      <x:c r="AJ337" s="32" t="n">
        <x:f>H337*v01_CommonsCoef*AI337^v01_CommonsExp*INDEX(LM_Commons,G337)</x:f>
        <x:v>9.627384300709092</x:v>
      </x:c>
      <x:c r="AK337" s="32" t="n">
        <x:f>H337*v01_RoleScale*Arch_Roles*(AE337*(INDEX(v01_ElderRolePerSett,G337)*v01_OutElder*INDEX(LM_Elder,G337)+INDEX(v01_ShamanPerSett,G337)*v01_OutShaman)+Z337*(INDEX(v01_PriestShare,G337)*v01_OutPriest+INDEX(v01_ScribeShare,G337)*v01_OutScribe*INDEX(LM_Scribe,G337)+INDEX(v01_ScholarShare,G337)*v01_OutScholar*INDEX(LM_Scholar,G337)+INDEX(v01_ResearcherShare,G337)*v01_OutResearcher*INDEX(LM_Researcher,G337)))</x:f>
        <x:v>2.724744871391589</x:v>
      </x:c>
      <x:c r="AL337" s="32" t="n">
        <x:f>H337*v01_RoleScale*Arch_Roles*AE337*INDEX(v01_MonasteryPerSett,G337)*v01_OutMonastery*INDEX(LM_Monastery,G337)</x:f>
        <x:v>0</x:v>
      </x:c>
      <x:c r="AM337" s="32" t="n">
        <x:f>(AJ337+AK337+AL337)/4*INDEX(LM_All,G337)*INDEX(v01_Boon,G337)*Arch_Insight</x:f>
        <x:v>3.1652331003507994</x:v>
      </x:c>
      <x:c r="AN337" s="32" t="n">
        <x:f>H337*(v01_KHPerAdult*Z337+v01_KHOfCommons*AJ337/4*INDEX(LM_All,G337))*v01_KHUsable*Arch_KH</x:f>
        <x:v>0.4801700220081254</x:v>
      </x:c>
      <x:c r="AO337" s="32" t="n">
        <x:f>MIN(AP336+AN337,AM337*v01_KHMaxRatio)</x:f>
        <x:v>0.4801700220081254</x:v>
      </x:c>
      <x:c r="AP337" s="32" t="n">
        <x:f>AP336+AN337-AO337</x:f>
        <x:v>0</x:v>
      </x:c>
      <x:c r="AQ337" s="32" t="n">
        <x:f>AM337+AO337</x:f>
        <x:v>3.6454031223589247</x:v>
      </x:c>
      <x:c r="AR337" s="10" t="n">
        <x:f>IF(H337=1,INDEX(v01_Req,G337),0)</x:f>
        <x:v>1067.32</x:v>
      </x:c>
      <x:c r="AS337" s="32" t="n">
        <x:f>IF(H337=1,IF(E337=1,AS336-AR336,AS336)+AQ337,0)</x:f>
        <x:v>286.42080902298</x:v>
      </x:c>
      <x:c r="AT337" s="11" t="n">
        <x:f>IF(AR337&gt;0,MIN(1,AS337/AR337),1)</x:f>
        <x:v>0.26835514093522095</x:v>
      </x:c>
      <x:c r="AU337" s="10" t="n">
        <x:f>AB337/INDEX(v01_RepScale,G337)</x:f>
        <x:v>31.49723290754325</x:v>
      </x:c>
      <x:c r="AV337" s="32" t="n">
        <x:f>AM337*60/v01_SeasonSeconds</x:f>
        <x:v>12.660932401403198</x:v>
      </x:c>
    </x:row>
    <x:row r="338">
      <x:c r="A338" s="8" t="n">
        <x:f>A337+1</x:f>
        <x:v>335</x:v>
      </x:c>
      <x:c r="B338" s="9" t="n">
        <x:f>A338*v01_SeasonSeconds/60</x:f>
        <x:v>83.75</x:v>
      </x:c>
      <x:c r="C338" s="9" t="n">
        <x:f>A338/4</x:f>
        <x:v>83.75</x:v>
      </x:c>
      <x:c r="D338" s="8" t="n">
        <x:f>IF(MOD(A338,4)=0,1,0)</x:f>
        <x:v>0</x:v>
      </x:c>
      <x:c r="E338" s="8" t="n">
        <x:f>IF(AND(F337&lt;=9,AS337&gt;=AR337),1,0)</x:f>
        <x:v>0</x:v>
      </x:c>
      <x:c r="F338" s="8" t="n">
        <x:f>MIN(10,F337+E338)</x:f>
        <x:v>1</x:v>
      </x:c>
      <x:c r="G338" s="8" t="n">
        <x:f>MIN(F338,9)+1</x:f>
        <x:v>2</x:v>
      </x:c>
      <x:c r="H338" s="8" t="n">
        <x:f>IF(F338&lt;=9,1,0)</x:f>
        <x:v>1</x:v>
      </x:c>
      <x:c r="I338" s="9" t="n">
        <x:f>MIN(10,F337+IF(AR337&gt;0,MIN(1,AS337/AR337),1))</x:f>
        <x:v>1.268355140935221</x:v>
      </x:c>
      <x:c r="J338" s="32" t="n">
        <x:f>INDEX(v01_FoodCap,G338)*Arch_FoodCap*EXP(v01_CapsByProject*SUMPRODUCT((Cap_Point&lt;=I338)*(Cap_Kind="Food")*Cap_Ln))</x:f>
        <x:v>30</x:v>
      </x:c>
      <x:c r="K338" s="32" t="n">
        <x:f>J338*MIN(1,v01_LeanBase*EXP(v01_CapsByProject*SUMPRODUCT((Cap_Point&lt;=I338)*(Cap_Kind="Lean")*Cap_Ln)))</x:f>
        <x:v>30</x:v>
      </x:c>
      <x:c r="L338" s="10" t="n">
        <x:f>INDEX(v01_HousingCap,G338)*EXP(v01_CapsByProject*SUMPRODUCT((Cap_Point&lt;=I338)*(Cap_Kind="Housing")*Cap_Ln))</x:f>
        <x:v>60</x:v>
      </x:c>
      <x:c r="M338" s="10" t="n">
        <x:f>INDEX(v01_GroupCap,G338)*v01_CohesionFactor*EXP(v01_CapsByProject*SUMPRODUCT((Cap_Point&lt;=I338)*(Cap_Kind="Group")*Cap_Ln))</x:f>
        <x:v>100</x:v>
      </x:c>
      <x:c r="N338" s="32" t="n">
        <x:f>MIN(J338,L338,M338)</x:f>
        <x:v>30</x:v>
      </x:c>
      <x:c r="O338" s="10" t="n">
        <x:f>AE337*N338</x:f>
        <x:v>60</x:v>
      </x:c>
      <x:c r="P338" s="9" t="n">
        <x:f>MIN(1,(AB337/(AE337*IF(v01_GroupInCrowding=1,N338,MIN(J338,L338))))^v01_CrowdingExp)</x:f>
        <x:v>0.020927960592262398</x:v>
      </x:c>
      <x:c r="Q338" s="9" t="n">
        <x:f>IF(D338=1,INDEX(v01_WinterMult,G338),1)</x:f>
        <x:v>1</x:v>
      </x:c>
      <x:c r="R338" s="9" t="n">
        <x:f>H338*Z337*v01_WomenShare*v01_BaseFertility*INDEX(v01_FertMult,G338)*Arch_Fertility*(1-P338)</x:f>
        <x:v>0.503701117189236</x:v>
      </x:c>
      <x:c r="S338" s="9" t="n">
        <x:f>H338*Y337*INDEX(v01_MortChild,G338)/4*Q338</x:f>
        <x:v>0.12094694833671427</x:v>
      </x:c>
      <x:c r="T338" s="9" t="n">
        <x:f>H338*Z337*INDEX(v01_MortAdult,G338)*Arch_AdultMort/4*Q338</x:f>
        <x:v>0.044587216329325934</x:v>
      </x:c>
      <x:c r="U338" s="9" t="n">
        <x:f>H338*AA337*INDEX(v01_MortElder,G338)/4*Q338</x:f>
        <x:v>0.0791116208051608</x:v>
      </x:c>
      <x:c r="V338" s="9" t="n">
        <x:f>H338*MAX(0,AB337-O338)*v01_OvercapLoss</x:f>
        <x:v>0</x:v>
      </x:c>
      <x:c r="W338" s="9" t="n">
        <x:f>H338*Y337/(v01_ChildYears*4)</x:f>
        <x:v>0.2468305068096209</x:v>
      </x:c>
      <x:c r="X338" s="9" t="n">
        <x:f>H338*Z337/(v01_AdultYears*4)</x:f>
        <x:v>0.11063825391892292</x:v>
      </x:c>
      <x:c r="Y338" s="32" t="n">
        <x:f>Y337+R338-S338-W338-Y337*V338/AB337</x:f>
        <x:v>13.958432043381672</x:v>
      </x:c>
      <x:c r="Z338" s="32" t="n">
        <x:f>Z337+W338-X338-T338-Z337*V338/AB337</x:f>
        <x:v>13.810748522507813</x:v>
      </x:c>
      <x:c r="AA338" s="32" t="n">
        <x:f>AA337+X338-U338-AA337*V338/AB337</x:f>
        <x:v>3.9871076733718023</x:v>
      </x:c>
      <x:c r="AB338" s="10" t="n">
        <x:f>Y338+Z338+AA338</x:f>
        <x:v>31.756288239261288</x:v>
      </x:c>
      <x:c r="AC338" s="8" t="n">
        <x:f>IF(AND(v01_WinterTrigger=1,D338=1,AB337/AE337&gt;=K338),1,0)</x:f>
        <x:v>0</x:v>
      </x:c>
      <x:c r="AD338" s="8" t="n">
        <x:f>H338*IF(AND(OR(AB337/AE337&gt;=v01_FissionTrigger*N338,AC338=1),AB337/AE337*v01_DaughterShare&gt;=v01_MinDaughter),MAX(1,ROUND(AE337*v01_FissionRate,0)),0)</x:f>
        <x:v>0</x:v>
      </x:c>
      <x:c r="AE338" s="8" t="n">
        <x:f>IF(H338=1,MAX(1,MIN(INDEX(v01_Smax,G338),AE337+AD338)),AE337)</x:f>
        <x:v>2</x:v>
      </x:c>
      <x:c r="AF338" s="8" t="n">
        <x:f>MAX(0,AE338-AE337)</x:f>
        <x:v>0</x:v>
      </x:c>
      <x:c r="AG338" s="9" t="str">
        <x:f>IF(AF338&gt;0,B338,"")</x:f>
      </x:c>
      <x:c r="AH338" s="9" t="n">
        <x:f>IF(F338&gt;=1,1,(1+v01_LowTiesShare*(AE338-1))/AE338)</x:f>
        <x:v>1</x:v>
      </x:c>
      <x:c r="AI338" s="32" t="n">
        <x:f>(Z338+v01_ElderCommons*INDEX(LM_Elder,G338)*AA338)*AH338</x:f>
        <x:v>23.577127871804144</x:v>
      </x:c>
      <x:c r="AJ338" s="32" t="n">
        <x:f>H338*v01_CommonsCoef*AI338^v01_CommonsExp*INDEX(LM_Commons,G338)</x:f>
        <x:v>9.686373243245844</x:v>
      </x:c>
      <x:c r="AK338" s="32" t="n">
        <x:f>H338*v01_RoleScale*Arch_Roles*(AE338*(INDEX(v01_ElderRolePerSett,G338)*v01_OutElder*INDEX(LM_Elder,G338)+INDEX(v01_ShamanPerSett,G338)*v01_OutShaman)+Z338*(INDEX(v01_PriestShare,G338)*v01_OutPriest+INDEX(v01_ScribeShare,G338)*v01_OutScribe*INDEX(LM_Scribe,G338)+INDEX(v01_ScholarShare,G338)*v01_OutScholar*INDEX(LM_Scholar,G338)+INDEX(v01_ResearcherShare,G338)*v01_OutResearcher*INDEX(LM_Researcher,G338)))</x:f>
        <x:v>2.724744871391589</x:v>
      </x:c>
      <x:c r="AL338" s="32" t="n">
        <x:f>H338*v01_RoleScale*Arch_Roles*AE338*INDEX(v01_MonasteryPerSett,G338)*v01_OutMonastery*INDEX(LM_Monastery,G338)</x:f>
        <x:v>0</x:v>
      </x:c>
      <x:c r="AM338" s="32" t="n">
        <x:f>(AJ338+AK338+AL338)/4*INDEX(LM_All,G338)*INDEX(v01_Boon,G338)*Arch_Insight</x:f>
        <x:v>3.180349016875842</x:v>
      </x:c>
      <x:c r="AN338" s="32" t="n">
        <x:f>H338*(v01_KHPerAdult*Z338+v01_KHOfCommons*AJ338/4*INDEX(LM_All,G338))*v01_KHUsable*Arch_KH</x:f>
        <x:v>0.48337619828777345</x:v>
      </x:c>
      <x:c r="AO338" s="32" t="n">
        <x:f>MIN(AP337+AN338,AM338*v01_KHMaxRatio)</x:f>
        <x:v>0.48337619828777345</x:v>
      </x:c>
      <x:c r="AP338" s="32" t="n">
        <x:f>AP337+AN338-AO338</x:f>
        <x:v>0</x:v>
      </x:c>
      <x:c r="AQ338" s="32" t="n">
        <x:f>AM338+AO338</x:f>
        <x:v>3.6637252151636157</x:v>
      </x:c>
      <x:c r="AR338" s="10" t="n">
        <x:f>IF(H338=1,INDEX(v01_Req,G338),0)</x:f>
        <x:v>1067.32</x:v>
      </x:c>
      <x:c r="AS338" s="32" t="n">
        <x:f>IF(H338=1,IF(E338=1,AS337-AR337,AS337)+AQ338,0)</x:f>
        <x:v>290.0845342381436</x:v>
      </x:c>
      <x:c r="AT338" s="11" t="n">
        <x:f>IF(AR338&gt;0,MIN(1,AS338/AR338),1)</x:f>
        <x:v>0.2717877808324997</x:v>
      </x:c>
      <x:c r="AU338" s="10" t="n">
        <x:f>AB338/INDEX(v01_RepScale,G338)</x:f>
        <x:v>31.756288239261288</x:v>
      </x:c>
      <x:c r="AV338" s="32" t="n">
        <x:f>AM338*60/v01_SeasonSeconds</x:f>
        <x:v>12.721396067503369</x:v>
      </x:c>
    </x:row>
    <x:row r="339">
      <x:c r="A339" s="8" t="n">
        <x:f>A338+1</x:f>
        <x:v>336</x:v>
      </x:c>
      <x:c r="B339" s="9" t="n">
        <x:f>A339*v01_SeasonSeconds/60</x:f>
        <x:v>84</x:v>
      </x:c>
      <x:c r="C339" s="9" t="n">
        <x:f>A339/4</x:f>
        <x:v>84</x:v>
      </x:c>
      <x:c r="D339" s="8" t="n">
        <x:f>IF(MOD(A339,4)=0,1,0)</x:f>
        <x:v>1</x:v>
      </x:c>
      <x:c r="E339" s="8" t="n">
        <x:f>IF(AND(F338&lt;=9,AS338&gt;=AR338),1,0)</x:f>
        <x:v>0</x:v>
      </x:c>
      <x:c r="F339" s="8" t="n">
        <x:f>MIN(10,F338+E339)</x:f>
        <x:v>1</x:v>
      </x:c>
      <x:c r="G339" s="8" t="n">
        <x:f>MIN(F339,9)+1</x:f>
        <x:v>2</x:v>
      </x:c>
      <x:c r="H339" s="8" t="n">
        <x:f>IF(F339&lt;=9,1,0)</x:f>
        <x:v>1</x:v>
      </x:c>
      <x:c r="I339" s="9" t="n">
        <x:f>MIN(10,F338+IF(AR338&gt;0,MIN(1,AS338/AR338),1))</x:f>
        <x:v>1.2717877808324998</x:v>
      </x:c>
      <x:c r="J339" s="32" t="n">
        <x:f>INDEX(v01_FoodCap,G339)*Arch_FoodCap*EXP(v01_CapsByProject*SUMPRODUCT((Cap_Point&lt;=I339)*(Cap_Kind="Food")*Cap_Ln))</x:f>
        <x:v>30</x:v>
      </x:c>
      <x:c r="K339" s="32" t="n">
        <x:f>J339*MIN(1,v01_LeanBase*EXP(v01_CapsByProject*SUMPRODUCT((Cap_Point&lt;=I339)*(Cap_Kind="Lean")*Cap_Ln)))</x:f>
        <x:v>30</x:v>
      </x:c>
      <x:c r="L339" s="10" t="n">
        <x:f>INDEX(v01_HousingCap,G339)*EXP(v01_CapsByProject*SUMPRODUCT((Cap_Point&lt;=I339)*(Cap_Kind="Housing")*Cap_Ln))</x:f>
        <x:v>60</x:v>
      </x:c>
      <x:c r="M339" s="10" t="n">
        <x:f>INDEX(v01_GroupCap,G339)*v01_CohesionFactor*EXP(v01_CapsByProject*SUMPRODUCT((Cap_Point&lt;=I339)*(Cap_Kind="Group")*Cap_Ln))</x:f>
        <x:v>100</x:v>
      </x:c>
      <x:c r="N339" s="32" t="n">
        <x:f>MIN(J339,L339,M339)</x:f>
        <x:v>30</x:v>
      </x:c>
      <x:c r="O339" s="10" t="n">
        <x:f>AE338*N339</x:f>
        <x:v>60</x:v>
      </x:c>
      <x:c r="P339" s="9" t="n">
        <x:f>MIN(1,(AB338/(AE338*IF(v01_GroupInCrowding=1,N339,MIN(J339,L339))))^v01_CrowdingExp)</x:f>
        <x:v>0.021982187552384184</x:v>
      </x:c>
      <x:c r="Q339" s="9" t="n">
        <x:f>IF(D339=1,INDEX(v01_WinterMult,G339),1)</x:f>
        <x:v>1.6</x:v>
      </x:c>
      <x:c r="R339" s="9" t="n">
        <x:f>H339*Z338*v01_WomenShare*v01_BaseFertility*INDEX(v01_FertMult,G339)*Arch_Fertility*(1-P339)</x:f>
        <x:v>0.5065184271842712</x:v>
      </x:c>
      <x:c r="S339" s="9" t="n">
        <x:f>H339*Y338*INDEX(v01_MortChild,G339)/4*Q339</x:f>
        <x:v>0.19541804860734344</x:v>
      </x:c>
      <x:c r="T339" s="9" t="n">
        <x:f>H339*Z338*INDEX(v01_MortAdult,G339)*Arch_AdultMort/4*Q339</x:f>
        <x:v>0.07181589231704064</x:v>
      </x:c>
      <x:c r="U339" s="9" t="n">
        <x:f>H339*AA338*INDEX(v01_MortElder,G339)/4*Q339</x:f>
        <x:v>0.12758744554789767</x:v>
      </x:c>
      <x:c r="V339" s="9" t="n">
        <x:f>H339*MAX(0,AB338-O339)*v01_OvercapLoss</x:f>
        <x:v>0</x:v>
      </x:c>
      <x:c r="W339" s="9" t="n">
        <x:f>H339*Y338/(v01_ChildYears*4)</x:f>
        <x:v>0.249257715060387</x:v>
      </x:c>
      <x:c r="X339" s="9" t="n">
        <x:f>H339*Z338/(v01_AdultYears*4)</x:f>
        <x:v>0.11137700421377268</x:v>
      </x:c>
      <x:c r="Y339" s="32" t="n">
        <x:f>Y338+R339-S339-W339-Y338*V339/AB338</x:f>
        <x:v>14.020274706898212</x:v>
      </x:c>
      <x:c r="Z339" s="32" t="n">
        <x:f>Z338+W339-X339-T339-Z338*V339/AB338</x:f>
        <x:v>13.876813341037387</x:v>
      </x:c>
      <x:c r="AA339" s="32" t="n">
        <x:f>AA338+X339-U339-AA338*V339/AB338</x:f>
        <x:v>3.9708972320376774</x:v>
      </x:c>
      <x:c r="AB339" s="10" t="n">
        <x:f>Y339+Z339+AA339</x:f>
        <x:v>31.867985279973276</x:v>
      </x:c>
      <x:c r="AC339" s="8" t="n">
        <x:f>IF(AND(v01_WinterTrigger=1,D339=1,AB338/AE338&gt;=K339),1,0)</x:f>
        <x:v>0</x:v>
      </x:c>
      <x:c r="AD339" s="8" t="n">
        <x:f>H339*IF(AND(OR(AB338/AE338&gt;=v01_FissionTrigger*N339,AC339=1),AB338/AE338*v01_DaughterShare&gt;=v01_MinDaughter),MAX(1,ROUND(AE338*v01_FissionRate,0)),0)</x:f>
        <x:v>0</x:v>
      </x:c>
      <x:c r="AE339" s="8" t="n">
        <x:f>IF(H339=1,MAX(1,MIN(INDEX(v01_Smax,G339),AE338+AD339)),AE338)</x:f>
        <x:v>2</x:v>
      </x:c>
      <x:c r="AF339" s="8" t="n">
        <x:f>MAX(0,AE339-AE338)</x:f>
        <x:v>0</x:v>
      </x:c>
      <x:c r="AG339" s="9" t="str">
        <x:f>IF(AF339&gt;0,B339,"")</x:f>
      </x:c>
      <x:c r="AH339" s="9" t="n">
        <x:f>IF(F339&gt;=1,1,(1+v01_LowTiesShare*(AE339-1))/AE339)</x:f>
        <x:v>1</x:v>
      </x:c>
      <x:c r="AI339" s="32" t="n">
        <x:f>(Z339+v01_ElderCommons*INDEX(LM_Elder,G339)*AA339)*AH339</x:f>
        <x:v>23.60348538055979</x:v>
      </x:c>
      <x:c r="AJ339" s="32" t="n">
        <x:f>H339*v01_CommonsCoef*AI339^v01_CommonsExp*INDEX(LM_Commons,G339)</x:f>
        <x:v>9.695576831617887</x:v>
      </x:c>
      <x:c r="AK339" s="32" t="n">
        <x:f>H339*v01_RoleScale*Arch_Roles*(AE339*(INDEX(v01_ElderRolePerSett,G339)*v01_OutElder*INDEX(LM_Elder,G339)+INDEX(v01_ShamanPerSett,G339)*v01_OutShaman)+Z339*(INDEX(v01_PriestShare,G339)*v01_OutPriest+INDEX(v01_ScribeShare,G339)*v01_OutScribe*INDEX(LM_Scribe,G339)+INDEX(v01_ScholarShare,G339)*v01_OutScholar*INDEX(LM_Scholar,G339)+INDEX(v01_ResearcherShare,G339)*v01_OutResearcher*INDEX(LM_Researcher,G339)))</x:f>
        <x:v>2.724744871391589</x:v>
      </x:c>
      <x:c r="AL339" s="32" t="n">
        <x:f>H339*v01_RoleScale*Arch_Roles*AE339*INDEX(v01_MonasteryPerSett,G339)*v01_OutMonastery*INDEX(LM_Monastery,G339)</x:f>
        <x:v>0</x:v>
      </x:c>
      <x:c r="AM339" s="32" t="n">
        <x:f>(AJ339+AK339+AL339)/4*INDEX(LM_All,G339)*INDEX(v01_Boon,G339)*Arch_Insight</x:f>
        <x:v>3.182707436396178</x:v>
      </x:c>
      <x:c r="AN339" s="32" t="n">
        <x:f>H339*(v01_KHPerAdult*Z339+v01_KHOfCommons*AJ339/4*INDEX(LM_All,G339))*v01_KHUsable*Arch_KH</x:f>
        <x:v>0.48568846693630857</x:v>
      </x:c>
      <x:c r="AO339" s="32" t="n">
        <x:f>MIN(AP338+AN339,AM339*v01_KHMaxRatio)</x:f>
        <x:v>0.48568846693630857</x:v>
      </x:c>
      <x:c r="AP339" s="32" t="n">
        <x:f>AP338+AN339-AO339</x:f>
        <x:v>0</x:v>
      </x:c>
      <x:c r="AQ339" s="32" t="n">
        <x:f>AM339+AO339</x:f>
        <x:v>3.6683959033324864</x:v>
      </x:c>
      <x:c r="AR339" s="10" t="n">
        <x:f>IF(H339=1,INDEX(v01_Req,G339),0)</x:f>
        <x:v>1067.32</x:v>
      </x:c>
      <x:c r="AS339" s="32" t="n">
        <x:f>IF(H339=1,IF(E339=1,AS338-AR338,AS338)+AQ339,0)</x:f>
        <x:v>293.7529301414761</x:v>
      </x:c>
      <x:c r="AT339" s="11" t="n">
        <x:f>IF(AR339&gt;0,MIN(1,AS339/AR339),1)</x:f>
        <x:v>0.27522479681958184</x:v>
      </x:c>
      <x:c r="AU339" s="10" t="n">
        <x:f>AB339/INDEX(v01_RepScale,G339)</x:f>
        <x:v>31.867985279973276</x:v>
      </x:c>
      <x:c r="AV339" s="32" t="n">
        <x:f>AM339*60/v01_SeasonSeconds</x:f>
        <x:v>12.730829745584712</x:v>
      </x:c>
    </x:row>
    <x:row r="340">
      <x:c r="A340" s="8" t="n">
        <x:f>A339+1</x:f>
        <x:v>337</x:v>
      </x:c>
      <x:c r="B340" s="9" t="n">
        <x:f>A340*v01_SeasonSeconds/60</x:f>
        <x:v>84.25</x:v>
      </x:c>
      <x:c r="C340" s="9" t="n">
        <x:f>A340/4</x:f>
        <x:v>84.25</x:v>
      </x:c>
      <x:c r="D340" s="8" t="n">
        <x:f>IF(MOD(A340,4)=0,1,0)</x:f>
        <x:v>0</x:v>
      </x:c>
      <x:c r="E340" s="8" t="n">
        <x:f>IF(AND(F339&lt;=9,AS339&gt;=AR339),1,0)</x:f>
        <x:v>0</x:v>
      </x:c>
      <x:c r="F340" s="8" t="n">
        <x:f>MIN(10,F339+E340)</x:f>
        <x:v>1</x:v>
      </x:c>
      <x:c r="G340" s="8" t="n">
        <x:f>MIN(F340,9)+1</x:f>
        <x:v>2</x:v>
      </x:c>
      <x:c r="H340" s="8" t="n">
        <x:f>IF(F340&lt;=9,1,0)</x:f>
        <x:v>1</x:v>
      </x:c>
      <x:c r="I340" s="9" t="n">
        <x:f>MIN(10,F339+IF(AR339&gt;0,MIN(1,AS339/AR339),1))</x:f>
        <x:v>1.2752247968195818</x:v>
      </x:c>
      <x:c r="J340" s="32" t="n">
        <x:f>INDEX(v01_FoodCap,G340)*Arch_FoodCap*EXP(v01_CapsByProject*SUMPRODUCT((Cap_Point&lt;=I340)*(Cap_Kind="Food")*Cap_Ln))</x:f>
        <x:v>30</x:v>
      </x:c>
      <x:c r="K340" s="32" t="n">
        <x:f>J340*MIN(1,v01_LeanBase*EXP(v01_CapsByProject*SUMPRODUCT((Cap_Point&lt;=I340)*(Cap_Kind="Lean")*Cap_Ln)))</x:f>
        <x:v>30</x:v>
      </x:c>
      <x:c r="L340" s="10" t="n">
        <x:f>INDEX(v01_HousingCap,G340)*EXP(v01_CapsByProject*SUMPRODUCT((Cap_Point&lt;=I340)*(Cap_Kind="Housing")*Cap_Ln))</x:f>
        <x:v>60</x:v>
      </x:c>
      <x:c r="M340" s="10" t="n">
        <x:f>INDEX(v01_GroupCap,G340)*v01_CohesionFactor*EXP(v01_CapsByProject*SUMPRODUCT((Cap_Point&lt;=I340)*(Cap_Kind="Group")*Cap_Ln))</x:f>
        <x:v>100</x:v>
      </x:c>
      <x:c r="N340" s="32" t="n">
        <x:f>MIN(J340,L340,M340)</x:f>
        <x:v>30</x:v>
      </x:c>
      <x:c r="O340" s="10" t="n">
        <x:f>AE339*N340</x:f>
        <x:v>60</x:v>
      </x:c>
      <x:c r="P340" s="9" t="n">
        <x:f>MIN(1,(AB339/(AE339*IF(v01_GroupInCrowding=1,N340,MIN(J340,L340))))^v01_CrowdingExp)</x:f>
        <x:v>0.022450196418876196</x:v>
      </x:c>
      <x:c r="Q340" s="9" t="n">
        <x:f>IF(D340=1,INDEX(v01_WinterMult,G340),1)</x:f>
        <x:v>1</x:v>
      </x:c>
      <x:c r="R340" s="9" t="n">
        <x:f>H340*Z339*v01_WomenShare*v01_BaseFertility*INDEX(v01_FertMult,G340)*Arch_Fertility*(1-P340)</x:f>
        <x:v>0.508697855844863</x:v>
      </x:c>
      <x:c r="S340" s="9" t="n">
        <x:f>H340*Y339*INDEX(v01_MortChild,G340)/4*Q340</x:f>
        <x:v>0.12267740368535936</x:v>
      </x:c>
      <x:c r="T340" s="9" t="n">
        <x:f>H340*Z339*INDEX(v01_MortAdult,G340)*Arch_AdultMort/4*Q340</x:f>
        <x:v>0.04509964335837151</x:v>
      </x:c>
      <x:c r="U340" s="9" t="n">
        <x:f>H340*AA339*INDEX(v01_MortElder,G340)/4*Q340</x:f>
        <x:v>0.07941794464075355</x:v>
      </x:c>
      <x:c r="V340" s="9" t="n">
        <x:f>H340*MAX(0,AB339-O340)*v01_OvercapLoss</x:f>
        <x:v>0</x:v>
      </x:c>
      <x:c r="W340" s="9" t="n">
        <x:f>H340*Y339/(v01_ChildYears*4)</x:f>
        <x:v>0.25036204833746806</x:v>
      </x:c>
      <x:c r="X340" s="9" t="n">
        <x:f>H340*Z339/(v01_AdultYears*4)</x:f>
        <x:v>0.11190978500836603</x:v>
      </x:c>
      <x:c r="Y340" s="32" t="n">
        <x:f>Y339+R340-S340-W340-Y339*V340/AB339</x:f>
        <x:v>14.155933110720246</x:v>
      </x:c>
      <x:c r="Z340" s="32" t="n">
        <x:f>Z339+W340-X340-T340-Z339*V340/AB339</x:f>
        <x:v>13.970165961008117</x:v>
      </x:c>
      <x:c r="AA340" s="32" t="n">
        <x:f>AA339+X340-U340-AA339*V340/AB339</x:f>
        <x:v>4.00338907240529</x:v>
      </x:c>
      <x:c r="AB340" s="10" t="n">
        <x:f>Y340+Z340+AA340</x:f>
        <x:v>32.12948814413365</x:v>
      </x:c>
      <x:c r="AC340" s="8" t="n">
        <x:f>IF(AND(v01_WinterTrigger=1,D340=1,AB339/AE339&gt;=K340),1,0)</x:f>
        <x:v>0</x:v>
      </x:c>
      <x:c r="AD340" s="8" t="n">
        <x:f>H340*IF(AND(OR(AB339/AE339&gt;=v01_FissionTrigger*N340,AC340=1),AB339/AE339*v01_DaughterShare&gt;=v01_MinDaughter),MAX(1,ROUND(AE339*v01_FissionRate,0)),0)</x:f>
        <x:v>0</x:v>
      </x:c>
      <x:c r="AE340" s="8" t="n">
        <x:f>IF(H340=1,MAX(1,MIN(INDEX(v01_Smax,G340),AE339+AD340)),AE339)</x:f>
        <x:v>2</x:v>
      </x:c>
      <x:c r="AF340" s="8" t="n">
        <x:f>MAX(0,AE340-AE339)</x:f>
        <x:v>0</x:v>
      </x:c>
      <x:c r="AG340" s="9" t="str">
        <x:f>IF(AF340&gt;0,B340,"")</x:f>
      </x:c>
      <x:c r="AH340" s="9" t="n">
        <x:f>IF(F340&gt;=1,1,(1+v01_LowTiesShare*(AE340-1))/AE340)</x:f>
        <x:v>1</x:v>
      </x:c>
      <x:c r="AI340" s="32" t="n">
        <x:f>(Z340+v01_ElderCommons*INDEX(LM_Elder,G340)*AA340)*AH340</x:f>
        <x:v>23.776426430235137</x:v>
      </x:c>
      <x:c r="AJ340" s="32" t="n">
        <x:f>H340*v01_CommonsCoef*AI340^v01_CommonsExp*INDEX(LM_Commons,G340)</x:f>
        <x:v>9.755926721275172</x:v>
      </x:c>
      <x:c r="AK340" s="32" t="n">
        <x:f>H340*v01_RoleScale*Arch_Roles*(AE340*(INDEX(v01_ElderRolePerSett,G340)*v01_OutElder*INDEX(LM_Elder,G340)+INDEX(v01_ShamanPerSett,G340)*v01_OutShaman)+Z340*(INDEX(v01_PriestShare,G340)*v01_OutPriest+INDEX(v01_ScribeShare,G340)*v01_OutScribe*INDEX(LM_Scribe,G340)+INDEX(v01_ScholarShare,G340)*v01_OutScholar*INDEX(LM_Scholar,G340)+INDEX(v01_ResearcherShare,G340)*v01_OutResearcher*INDEX(LM_Researcher,G340)))</x:f>
        <x:v>2.724744871391589</x:v>
      </x:c>
      <x:c r="AL340" s="32" t="n">
        <x:f>H340*v01_RoleScale*Arch_Roles*AE340*INDEX(v01_MonasteryPerSett,G340)*v01_OutMonastery*INDEX(LM_Monastery,G340)</x:f>
        <x:v>0</x:v>
      </x:c>
      <x:c r="AM340" s="32" t="n">
        <x:f>(AJ340+AK340+AL340)/4*INDEX(LM_All,G340)*INDEX(v01_Boon,G340)*Arch_Insight</x:f>
        <x:v>3.1981720956208575</x:v>
      </x:c>
      <x:c r="AN340" s="32" t="n">
        <x:f>H340*(v01_KHPerAdult*Z340+v01_KHOfCommons*AJ340/4*INDEX(LM_All,G340))*v01_KHUsable*Arch_KH</x:f>
        <x:v>0.4889558086352841</x:v>
      </x:c>
      <x:c r="AO340" s="32" t="n">
        <x:f>MIN(AP339+AN340,AM340*v01_KHMaxRatio)</x:f>
        <x:v>0.4889558086352841</x:v>
      </x:c>
      <x:c r="AP340" s="32" t="n">
        <x:f>AP339+AN340-AO340</x:f>
        <x:v>0</x:v>
      </x:c>
      <x:c r="AQ340" s="32" t="n">
        <x:f>AM340+AO340</x:f>
        <x:v>3.6871279042561413</x:v>
      </x:c>
      <x:c r="AR340" s="10" t="n">
        <x:f>IF(H340=1,INDEX(v01_Req,G340),0)</x:f>
        <x:v>1067.32</x:v>
      </x:c>
      <x:c r="AS340" s="32" t="n">
        <x:f>IF(H340=1,IF(E340=1,AS339-AR339,AS339)+AQ340,0)</x:f>
        <x:v>297.44005804573226</x:v>
      </x:c>
      <x:c r="AT340" s="11" t="n">
        <x:f>IF(AR340&gt;0,MIN(1,AS340/AR340),1)</x:f>
        <x:v>0.2786793633078479</x:v>
      </x:c>
      <x:c r="AU340" s="10" t="n">
        <x:f>AB340/INDEX(v01_RepScale,G340)</x:f>
        <x:v>32.12948814413365</x:v>
      </x:c>
      <x:c r="AV340" s="32" t="n">
        <x:f>AM340*60/v01_SeasonSeconds</x:f>
        <x:v>12.79268838248343</x:v>
      </x:c>
    </x:row>
    <x:row r="341">
      <x:c r="A341" s="8" t="n">
        <x:f>A340+1</x:f>
        <x:v>338</x:v>
      </x:c>
      <x:c r="B341" s="9" t="n">
        <x:f>A341*v01_SeasonSeconds/60</x:f>
        <x:v>84.5</x:v>
      </x:c>
      <x:c r="C341" s="9" t="n">
        <x:f>A341/4</x:f>
        <x:v>84.5</x:v>
      </x:c>
      <x:c r="D341" s="8" t="n">
        <x:f>IF(MOD(A341,4)=0,1,0)</x:f>
        <x:v>0</x:v>
      </x:c>
      <x:c r="E341" s="8" t="n">
        <x:f>IF(AND(F340&lt;=9,AS340&gt;=AR340),1,0)</x:f>
        <x:v>0</x:v>
      </x:c>
      <x:c r="F341" s="8" t="n">
        <x:f>MIN(10,F340+E341)</x:f>
        <x:v>1</x:v>
      </x:c>
      <x:c r="G341" s="8" t="n">
        <x:f>MIN(F341,9)+1</x:f>
        <x:v>2</x:v>
      </x:c>
      <x:c r="H341" s="8" t="n">
        <x:f>IF(F341&lt;=9,1,0)</x:f>
        <x:v>1</x:v>
      </x:c>
      <x:c r="I341" s="9" t="n">
        <x:f>MIN(10,F340+IF(AR340&gt;0,MIN(1,AS340/AR340),1))</x:f>
        <x:v>1.278679363307848</x:v>
      </x:c>
      <x:c r="J341" s="32" t="n">
        <x:f>INDEX(v01_FoodCap,G341)*Arch_FoodCap*EXP(v01_CapsByProject*SUMPRODUCT((Cap_Point&lt;=I341)*(Cap_Kind="Food")*Cap_Ln))</x:f>
        <x:v>30</x:v>
      </x:c>
      <x:c r="K341" s="32" t="n">
        <x:f>J341*MIN(1,v01_LeanBase*EXP(v01_CapsByProject*SUMPRODUCT((Cap_Point&lt;=I341)*(Cap_Kind="Lean")*Cap_Ln)))</x:f>
        <x:v>30</x:v>
      </x:c>
      <x:c r="L341" s="10" t="n">
        <x:f>INDEX(v01_HousingCap,G341)*EXP(v01_CapsByProject*SUMPRODUCT((Cap_Point&lt;=I341)*(Cap_Kind="Housing")*Cap_Ln))</x:f>
        <x:v>60</x:v>
      </x:c>
      <x:c r="M341" s="10" t="n">
        <x:f>INDEX(v01_GroupCap,G341)*v01_CohesionFactor*EXP(v01_CapsByProject*SUMPRODUCT((Cap_Point&lt;=I341)*(Cap_Kind="Group")*Cap_Ln))</x:f>
        <x:v>100</x:v>
      </x:c>
      <x:c r="N341" s="32" t="n">
        <x:f>MIN(J341,L341,M341)</x:f>
        <x:v>30</x:v>
      </x:c>
      <x:c r="O341" s="10" t="n">
        <x:f>AE340*N341</x:f>
        <x:v>60</x:v>
      </x:c>
      <x:c r="P341" s="9" t="n">
        <x:f>MIN(1,(AB340/(AE340*IF(v01_GroupInCrowding=1,N341,MIN(J341,L341))))^v01_CrowdingExp)</x:f>
        <x:v>0.023578454709004572</x:v>
      </x:c>
      <x:c r="Q341" s="9" t="n">
        <x:f>IF(D341=1,INDEX(v01_WinterMult,G341),1)</x:f>
        <x:v>1</x:v>
      </x:c>
      <x:c r="R341" s="9" t="n">
        <x:f>H341*Z340*v01_WomenShare*v01_BaseFertility*INDEX(v01_FertMult,G341)*Arch_Fertility*(1-P341)</x:f>
        <x:v>0.5115289138357204</x:v>
      </x:c>
      <x:c r="S341" s="9" t="n">
        <x:f>H341*Y340*INDEX(v01_MortChild,G341)/4*Q341</x:f>
        <x:v>0.12386441471880216</x:v>
      </x:c>
      <x:c r="T341" s="9" t="n">
        <x:f>H341*Z340*INDEX(v01_MortAdult,G341)*Arch_AdultMort/4*Q341</x:f>
        <x:v>0.04540303937327638</x:v>
      </x:c>
      <x:c r="U341" s="9" t="n">
        <x:f>H341*AA340*INDEX(v01_MortElder,G341)/4*Q341</x:f>
        <x:v>0.08006778144810581</x:v>
      </x:c>
      <x:c r="V341" s="9" t="n">
        <x:f>H341*MAX(0,AB340-O341)*v01_OvercapLoss</x:f>
        <x:v>0</x:v>
      </x:c>
      <x:c r="W341" s="9" t="n">
        <x:f>H341*Y340/(v01_ChildYears*4)</x:f>
        <x:v>0.2527845198342901</x:v>
      </x:c>
      <x:c r="X341" s="9" t="n">
        <x:f>H341*Z340/(v01_AdultYears*4)</x:f>
        <x:v>0.1126626287178074</x:v>
      </x:c>
      <x:c r="Y341" s="32" t="n">
        <x:f>Y340+R341-S341-W341-Y340*V341/AB340</x:f>
        <x:v>14.290813090002874</x:v>
      </x:c>
      <x:c r="Z341" s="32" t="n">
        <x:f>Z340+W341-X341-T341-Z340*V341/AB340</x:f>
        <x:v>14.064884812751323</x:v>
      </x:c>
      <x:c r="AA341" s="32" t="n">
        <x:f>AA340+X341-U341-AA340*V341/AB340</x:f>
        <x:v>4.035983919674991</x:v>
      </x:c>
      <x:c r="AB341" s="10" t="n">
        <x:f>Y341+Z341+AA341</x:f>
        <x:v>32.39168182242919</x:v>
      </x:c>
      <x:c r="AC341" s="8" t="n">
        <x:f>IF(AND(v01_WinterTrigger=1,D341=1,AB340/AE340&gt;=K341),1,0)</x:f>
        <x:v>0</x:v>
      </x:c>
      <x:c r="AD341" s="8" t="n">
        <x:f>H341*IF(AND(OR(AB340/AE340&gt;=v01_FissionTrigger*N341,AC341=1),AB340/AE340*v01_DaughterShare&gt;=v01_MinDaughter),MAX(1,ROUND(AE340*v01_FissionRate,0)),0)</x:f>
        <x:v>0</x:v>
      </x:c>
      <x:c r="AE341" s="8" t="n">
        <x:f>IF(H341=1,MAX(1,MIN(INDEX(v01_Smax,G341),AE340+AD341)),AE340)</x:f>
        <x:v>2</x:v>
      </x:c>
      <x:c r="AF341" s="8" t="n">
        <x:f>MAX(0,AE341-AE340)</x:f>
        <x:v>0</x:v>
      </x:c>
      <x:c r="AG341" s="9" t="str">
        <x:f>IF(AF341&gt;0,B341,"")</x:f>
      </x:c>
      <x:c r="AH341" s="9" t="n">
        <x:f>IF(F341&gt;=1,1,(1+v01_LowTiesShare*(AE341-1))/AE341)</x:f>
        <x:v>1</x:v>
      </x:c>
      <x:c r="AI341" s="32" t="n">
        <x:f>(Z341+v01_ElderCommons*INDEX(LM_Elder,G341)*AA341)*AH341</x:f>
        <x:v>23.950986026033057</x:v>
      </x:c>
      <x:c r="AJ341" s="32" t="n">
        <x:f>H341*v01_CommonsCoef*AI341^v01_CommonsExp*INDEX(LM_Commons,G341)</x:f>
        <x:v>9.816774688170227</x:v>
      </x:c>
      <x:c r="AK341" s="32" t="n">
        <x:f>H341*v01_RoleScale*Arch_Roles*(AE341*(INDEX(v01_ElderRolePerSett,G341)*v01_OutElder*INDEX(LM_Elder,G341)+INDEX(v01_ShamanPerSett,G341)*v01_OutShaman)+Z341*(INDEX(v01_PriestShare,G341)*v01_OutPriest+INDEX(v01_ScribeShare,G341)*v01_OutScribe*INDEX(LM_Scribe,G341)+INDEX(v01_ScholarShare,G341)*v01_OutScholar*INDEX(LM_Scholar,G341)+INDEX(v01_ResearcherShare,G341)*v01_OutResearcher*INDEX(LM_Researcher,G341)))</x:f>
        <x:v>2.724744871391589</x:v>
      </x:c>
      <x:c r="AL341" s="32" t="n">
        <x:f>H341*v01_RoleScale*Arch_Roles*AE341*INDEX(v01_MonasteryPerSett,G341)*v01_OutMonastery*INDEX(LM_Monastery,G341)</x:f>
        <x:v>0</x:v>
      </x:c>
      <x:c r="AM341" s="32" t="n">
        <x:f>(AJ341+AK341+AL341)/4*INDEX(LM_All,G341)*INDEX(v01_Boon,G341)*Arch_Insight</x:f>
        <x:v>3.213764387137715</x:v>
      </x:c>
      <x:c r="AN341" s="32" t="n">
        <x:f>H341*(v01_KHPerAdult*Z341+v01_KHOfCommons*AJ341/4*INDEX(LM_All,G341))*v01_KHUsable*Arch_KH</x:f>
        <x:v>0.4922709684462963</x:v>
      </x:c>
      <x:c r="AO341" s="32" t="n">
        <x:f>MIN(AP340+AN341,AM341*v01_KHMaxRatio)</x:f>
        <x:v>0.4922709684462963</x:v>
      </x:c>
      <x:c r="AP341" s="32" t="n">
        <x:f>AP340+AN341-AO341</x:f>
        <x:v>0</x:v>
      </x:c>
      <x:c r="AQ341" s="32" t="n">
        <x:f>AM341+AO341</x:f>
        <x:v>3.7060353555840115</x:v>
      </x:c>
      <x:c r="AR341" s="10" t="n">
        <x:f>IF(H341=1,INDEX(v01_Req,G341),0)</x:f>
        <x:v>1067.32</x:v>
      </x:c>
      <x:c r="AS341" s="32" t="n">
        <x:f>IF(H341=1,IF(E341=1,AS340-AR340,AS340)+AQ341,0)</x:f>
        <x:v>301.14609340131625</x:v>
      </x:c>
      <x:c r="AT341" s="11" t="n">
        <x:f>IF(AR341&gt;0,MIN(1,AS341/AR341),1)</x:f>
        <x:v>0.28215164468136666</x:v>
      </x:c>
      <x:c r="AU341" s="10" t="n">
        <x:f>AB341/INDEX(v01_RepScale,G341)</x:f>
        <x:v>32.39168182242919</x:v>
      </x:c>
      <x:c r="AV341" s="32" t="n">
        <x:f>AM341*60/v01_SeasonSeconds</x:f>
        <x:v>12.85505754855086</x:v>
      </x:c>
    </x:row>
    <x:row r="342">
      <x:c r="A342" s="8" t="n">
        <x:f>A341+1</x:f>
        <x:v>339</x:v>
      </x:c>
      <x:c r="B342" s="9" t="n">
        <x:f>A342*v01_SeasonSeconds/60</x:f>
        <x:v>84.75</x:v>
      </x:c>
      <x:c r="C342" s="9" t="n">
        <x:f>A342/4</x:f>
        <x:v>84.75</x:v>
      </x:c>
      <x:c r="D342" s="8" t="n">
        <x:f>IF(MOD(A342,4)=0,1,0)</x:f>
        <x:v>0</x:v>
      </x:c>
      <x:c r="E342" s="8" t="n">
        <x:f>IF(AND(F341&lt;=9,AS341&gt;=AR341),1,0)</x:f>
        <x:v>0</x:v>
      </x:c>
      <x:c r="F342" s="8" t="n">
        <x:f>MIN(10,F341+E342)</x:f>
        <x:v>1</x:v>
      </x:c>
      <x:c r="G342" s="8" t="n">
        <x:f>MIN(F342,9)+1</x:f>
        <x:v>2</x:v>
      </x:c>
      <x:c r="H342" s="8" t="n">
        <x:f>IF(F342&lt;=9,1,0)</x:f>
        <x:v>1</x:v>
      </x:c>
      <x:c r="I342" s="9" t="n">
        <x:f>MIN(10,F341+IF(AR341&gt;0,MIN(1,AS341/AR341),1))</x:f>
        <x:v>1.2821516446813668</x:v>
      </x:c>
      <x:c r="J342" s="32" t="n">
        <x:f>INDEX(v01_FoodCap,G342)*Arch_FoodCap*EXP(v01_CapsByProject*SUMPRODUCT((Cap_Point&lt;=I342)*(Cap_Kind="Food")*Cap_Ln))</x:f>
        <x:v>30</x:v>
      </x:c>
      <x:c r="K342" s="32" t="n">
        <x:f>J342*MIN(1,v01_LeanBase*EXP(v01_CapsByProject*SUMPRODUCT((Cap_Point&lt;=I342)*(Cap_Kind="Lean")*Cap_Ln)))</x:f>
        <x:v>30</x:v>
      </x:c>
      <x:c r="L342" s="10" t="n">
        <x:f>INDEX(v01_HousingCap,G342)*EXP(v01_CapsByProject*SUMPRODUCT((Cap_Point&lt;=I342)*(Cap_Kind="Housing")*Cap_Ln))</x:f>
        <x:v>60</x:v>
      </x:c>
      <x:c r="M342" s="10" t="n">
        <x:f>INDEX(v01_GroupCap,G342)*v01_CohesionFactor*EXP(v01_CapsByProject*SUMPRODUCT((Cap_Point&lt;=I342)*(Cap_Kind="Group")*Cap_Ln))</x:f>
        <x:v>100</x:v>
      </x:c>
      <x:c r="N342" s="32" t="n">
        <x:f>MIN(J342,L342,M342)</x:f>
        <x:v>30</x:v>
      </x:c>
      <x:c r="O342" s="10" t="n">
        <x:f>AE341*N342</x:f>
        <x:v>60</x:v>
      </x:c>
      <x:c r="P342" s="9" t="n">
        <x:f>MIN(1,(AB341/(AE341*IF(v01_GroupInCrowding=1,N342,MIN(J342,L342))))^v01_CrowdingExp)</x:f>
        <x:v>0.024756741639908826</x:v>
      </x:c>
      <x:c r="Q342" s="9" t="n">
        <x:f>IF(D342=1,INDEX(v01_WinterMult,G342),1)</x:f>
        <x:v>1</x:v>
      </x:c>
      <x:c r="R342" s="9" t="n">
        <x:f>H342*Z341*v01_WomenShare*v01_BaseFertility*INDEX(v01_FertMult,G342)*Arch_Fertility*(1-P342)</x:f>
        <x:v>0.5143756534967611</x:v>
      </x:c>
      <x:c r="S342" s="9" t="n">
        <x:f>H342*Y341*INDEX(v01_MortChild,G342)/4*Q342</x:f>
        <x:v>0.12504461453752516</x:v>
      </x:c>
      <x:c r="T342" s="9" t="n">
        <x:f>H342*Z341*INDEX(v01_MortAdult,G342)*Arch_AdultMort/4*Q342</x:f>
        <x:v>0.0457108756414418</x:v>
      </x:c>
      <x:c r="U342" s="9" t="n">
        <x:f>H342*AA341*INDEX(v01_MortElder,G342)/4*Q342</x:f>
        <x:v>0.08071967839349982</x:v>
      </x:c>
      <x:c r="V342" s="9" t="n">
        <x:f>H342*MAX(0,AB341-O342)*v01_OvercapLoss</x:f>
        <x:v>0</x:v>
      </x:c>
      <x:c r="W342" s="9" t="n">
        <x:f>H342*Y341/(v01_ChildYears*4)</x:f>
        <x:v>0.2551930908929085</x:v>
      </x:c>
      <x:c r="X342" s="9" t="n">
        <x:f>H342*Z341/(v01_AdultYears*4)</x:f>
        <x:v>0.1134264904254139</x:v>
      </x:c>
      <x:c r="Y342" s="32" t="n">
        <x:f>Y341+R342-S342-W342-Y341*V342/AB341</x:f>
        <x:v>14.424951038069203</x:v>
      </x:c>
      <x:c r="Z342" s="32" t="n">
        <x:f>Z341+W342-X342-T342-Z341*V342/AB341</x:f>
        <x:v>14.160940537577375</x:v>
      </x:c>
      <x:c r="AA342" s="32" t="n">
        <x:f>AA341+X342-U342-AA341*V342/AB341</x:f>
        <x:v>4.068690731706905</x:v>
      </x:c>
      <x:c r="AB342" s="10" t="n">
        <x:f>Y342+Z342+AA342</x:f>
        <x:v>32.65458230735348</x:v>
      </x:c>
      <x:c r="AC342" s="8" t="n">
        <x:f>IF(AND(v01_WinterTrigger=1,D342=1,AB341/AE341&gt;=K342),1,0)</x:f>
        <x:v>0</x:v>
      </x:c>
      <x:c r="AD342" s="8" t="n">
        <x:f>H342*IF(AND(OR(AB341/AE341&gt;=v01_FissionTrigger*N342,AC342=1),AB341/AE341*v01_DaughterShare&gt;=v01_MinDaughter),MAX(1,ROUND(AE341*v01_FissionRate,0)),0)</x:f>
        <x:v>0</x:v>
      </x:c>
      <x:c r="AE342" s="8" t="n">
        <x:f>IF(H342=1,MAX(1,MIN(INDEX(v01_Smax,G342),AE341+AD342)),AE341)</x:f>
        <x:v>2</x:v>
      </x:c>
      <x:c r="AF342" s="8" t="n">
        <x:f>MAX(0,AE342-AE341)</x:f>
        <x:v>0</x:v>
      </x:c>
      <x:c r="AG342" s="9" t="str">
        <x:f>IF(AF342&gt;0,B342,"")</x:f>
      </x:c>
      <x:c r="AH342" s="9" t="n">
        <x:f>IF(F342&gt;=1,1,(1+v01_LowTiesShare*(AE342-1))/AE342)</x:f>
        <x:v>1</x:v>
      </x:c>
      <x:c r="AI342" s="32" t="n">
        <x:f>(Z342+v01_ElderCommons*INDEX(LM_Elder,G342)*AA342)*AH342</x:f>
        <x:v>24.12715675145042</x:v>
      </x:c>
      <x:c r="AJ342" s="32" t="n">
        <x:f>H342*v01_CommonsCoef*AI342^v01_CommonsExp*INDEX(LM_Commons,G342)</x:f>
        <x:v>9.87811685580123</x:v>
      </x:c>
      <x:c r="AK342" s="32" t="n">
        <x:f>H342*v01_RoleScale*Arch_Roles*(AE342*(INDEX(v01_ElderRolePerSett,G342)*v01_OutElder*INDEX(LM_Elder,G342)+INDEX(v01_ShamanPerSett,G342)*v01_OutShaman)+Z342*(INDEX(v01_PriestShare,G342)*v01_OutPriest+INDEX(v01_ScribeShare,G342)*v01_OutScribe*INDEX(LM_Scribe,G342)+INDEX(v01_ScholarShare,G342)*v01_OutScholar*INDEX(LM_Scholar,G342)+INDEX(v01_ResearcherShare,G342)*v01_OutResearcher*INDEX(LM_Researcher,G342)))</x:f>
        <x:v>2.724744871391589</x:v>
      </x:c>
      <x:c r="AL342" s="32" t="n">
        <x:f>H342*v01_RoleScale*Arch_Roles*AE342*INDEX(v01_MonasteryPerSett,G342)*v01_OutMonastery*INDEX(LM_Monastery,G342)</x:f>
        <x:v>0</x:v>
      </x:c>
      <x:c r="AM342" s="32" t="n">
        <x:f>(AJ342+AK342+AL342)/4*INDEX(LM_All,G342)*INDEX(v01_Boon,G342)*Arch_Insight</x:f>
        <x:v>3.2294833175931594</x:v>
      </x:c>
      <x:c r="AN342" s="32" t="n">
        <x:f>H342*(v01_KHPerAdult*Z342+v01_KHOfCommons*AJ342/4*INDEX(LM_All,G342))*v01_KHUsable*Arch_KH</x:f>
        <x:v>0.4956329188152081</x:v>
      </x:c>
      <x:c r="AO342" s="32" t="n">
        <x:f>MIN(AP341+AN342,AM342*v01_KHMaxRatio)</x:f>
        <x:v>0.4956329188152081</x:v>
      </x:c>
      <x:c r="AP342" s="32" t="n">
        <x:f>AP341+AN342-AO342</x:f>
        <x:v>0</x:v>
      </x:c>
      <x:c r="AQ342" s="32" t="n">
        <x:f>AM342+AO342</x:f>
        <x:v>3.7251162364083674</x:v>
      </x:c>
      <x:c r="AR342" s="10" t="n">
        <x:f>IF(H342=1,INDEX(v01_Req,G342),0)</x:f>
        <x:v>1067.32</x:v>
      </x:c>
      <x:c r="AS342" s="32" t="n">
        <x:f>IF(H342=1,IF(E342=1,AS341-AR341,AS341)+AQ342,0)</x:f>
        <x:v>304.87120963772463</x:v>
      </x:c>
      <x:c r="AT342" s="11" t="n">
        <x:f>IF(AR342&gt;0,MIN(1,AS342/AR342),1)</x:f>
        <x:v>0.2856418034307655</x:v>
      </x:c>
      <x:c r="AU342" s="10" t="n">
        <x:f>AB342/INDEX(v01_RepScale,G342)</x:f>
        <x:v>32.65458230735348</x:v>
      </x:c>
      <x:c r="AV342" s="32" t="n">
        <x:f>AM342*60/v01_SeasonSeconds</x:f>
        <x:v>12.917933270372638</x:v>
      </x:c>
    </x:row>
    <x:row r="343">
      <x:c r="A343" s="8" t="n">
        <x:f>A342+1</x:f>
        <x:v>340</x:v>
      </x:c>
      <x:c r="B343" s="9" t="n">
        <x:f>A343*v01_SeasonSeconds/60</x:f>
        <x:v>85</x:v>
      </x:c>
      <x:c r="C343" s="9" t="n">
        <x:f>A343/4</x:f>
        <x:v>85</x:v>
      </x:c>
      <x:c r="D343" s="8" t="n">
        <x:f>IF(MOD(A343,4)=0,1,0)</x:f>
        <x:v>1</x:v>
      </x:c>
      <x:c r="E343" s="8" t="n">
        <x:f>IF(AND(F342&lt;=9,AS342&gt;=AR342),1,0)</x:f>
        <x:v>0</x:v>
      </x:c>
      <x:c r="F343" s="8" t="n">
        <x:f>MIN(10,F342+E343)</x:f>
        <x:v>1</x:v>
      </x:c>
      <x:c r="G343" s="8" t="n">
        <x:f>MIN(F343,9)+1</x:f>
        <x:v>2</x:v>
      </x:c>
      <x:c r="H343" s="8" t="n">
        <x:f>IF(F343&lt;=9,1,0)</x:f>
        <x:v>1</x:v>
      </x:c>
      <x:c r="I343" s="9" t="n">
        <x:f>MIN(10,F342+IF(AR342&gt;0,MIN(1,AS342/AR342),1))</x:f>
        <x:v>1.2856418034307655</x:v>
      </x:c>
      <x:c r="J343" s="32" t="n">
        <x:f>INDEX(v01_FoodCap,G343)*Arch_FoodCap*EXP(v01_CapsByProject*SUMPRODUCT((Cap_Point&lt;=I343)*(Cap_Kind="Food")*Cap_Ln))</x:f>
        <x:v>30</x:v>
      </x:c>
      <x:c r="K343" s="32" t="n">
        <x:f>J343*MIN(1,v01_LeanBase*EXP(v01_CapsByProject*SUMPRODUCT((Cap_Point&lt;=I343)*(Cap_Kind="Lean")*Cap_Ln)))</x:f>
        <x:v>30</x:v>
      </x:c>
      <x:c r="L343" s="10" t="n">
        <x:f>INDEX(v01_HousingCap,G343)*EXP(v01_CapsByProject*SUMPRODUCT((Cap_Point&lt;=I343)*(Cap_Kind="Housing")*Cap_Ln))</x:f>
        <x:v>60</x:v>
      </x:c>
      <x:c r="M343" s="10" t="n">
        <x:f>INDEX(v01_GroupCap,G343)*v01_CohesionFactor*EXP(v01_CapsByProject*SUMPRODUCT((Cap_Point&lt;=I343)*(Cap_Kind="Group")*Cap_Ln))</x:f>
        <x:v>100</x:v>
      </x:c>
      <x:c r="N343" s="32" t="n">
        <x:f>MIN(J343,L343,M343)</x:f>
        <x:v>30</x:v>
      </x:c>
      <x:c r="O343" s="10" t="n">
        <x:f>AE342*N343</x:f>
        <x:v>60</x:v>
      </x:c>
      <x:c r="P343" s="9" t="n">
        <x:f>MIN(1,(AB342/(AE342*IF(v01_GroupInCrowding=1,N343,MIN(J343,L343))))^v01_CrowdingExp)</x:f>
        <x:v>0.025987068757525673</x:v>
      </x:c>
      <x:c r="Q343" s="9" t="n">
        <x:f>IF(D343=1,INDEX(v01_WinterMult,G343),1)</x:f>
        <x:v>1.6</x:v>
      </x:c>
      <x:c r="R343" s="9" t="n">
        <x:f>H343*Z342*v01_WomenShare*v01_BaseFertility*INDEX(v01_FertMult,G343)*Arch_Fertility*(1-P343)</x:f>
        <x:v>0.5172352200808544</x:v>
      </x:c>
      <x:c r="S343" s="9" t="n">
        <x:f>H343*Y342*INDEX(v01_MortChild,G343)/4*Q343</x:f>
        <x:v>0.20194931453296885</x:v>
      </x:c>
      <x:c r="T343" s="9" t="n">
        <x:f>H343*Z342*INDEX(v01_MortAdult,G343)*Arch_AdultMort/4*Q343</x:f>
        <x:v>0.07363689079540235</x:v>
      </x:c>
      <x:c r="U343" s="9" t="n">
        <x:f>H343*AA342*INDEX(v01_MortElder,G343)/4*Q343</x:f>
        <x:v>0.13019810341462099</x:v>
      </x:c>
      <x:c r="V343" s="9" t="n">
        <x:f>H343*MAX(0,AB342-O343)*v01_OvercapLoss</x:f>
        <x:v>0</x:v>
      </x:c>
      <x:c r="W343" s="9" t="n">
        <x:f>H343*Y342/(v01_ChildYears*4)</x:f>
        <x:v>0.2575884113940929</x:v>
      </x:c>
      <x:c r="X343" s="9" t="n">
        <x:f>H343*Z342/(v01_AdultYears*4)</x:f>
        <x:v>0.11420113336755948</x:v>
      </x:c>
      <x:c r="Y343" s="32" t="n">
        <x:f>Y342+R343-S343-W343-Y342*V343/AB342</x:f>
        <x:v>14.482648532222996</x:v>
      </x:c>
      <x:c r="Z343" s="32" t="n">
        <x:f>Z342+W343-X343-T343-Z342*V343/AB342</x:f>
        <x:v>14.230690924808505</x:v>
      </x:c>
      <x:c r="AA343" s="32" t="n">
        <x:f>AA342+X343-U343-AA342*V343/AB342</x:f>
        <x:v>4.052693761659843</x:v>
      </x:c>
      <x:c r="AB343" s="10" t="n">
        <x:f>Y343+Z343+AA343</x:f>
        <x:v>32.76603321869135</x:v>
      </x:c>
      <x:c r="AC343" s="8" t="n">
        <x:f>IF(AND(v01_WinterTrigger=1,D343=1,AB342/AE342&gt;=K343),1,0)</x:f>
        <x:v>0</x:v>
      </x:c>
      <x:c r="AD343" s="8" t="n">
        <x:f>H343*IF(AND(OR(AB342/AE342&gt;=v01_FissionTrigger*N343,AC343=1),AB342/AE342*v01_DaughterShare&gt;=v01_MinDaughter),MAX(1,ROUND(AE342*v01_FissionRate,0)),0)</x:f>
        <x:v>0</x:v>
      </x:c>
      <x:c r="AE343" s="8" t="n">
        <x:f>IF(H343=1,MAX(1,MIN(INDEX(v01_Smax,G343),AE342+AD343)),AE342)</x:f>
        <x:v>2</x:v>
      </x:c>
      <x:c r="AF343" s="8" t="n">
        <x:f>MAX(0,AE343-AE342)</x:f>
        <x:v>0</x:v>
      </x:c>
      <x:c r="AG343" s="9" t="str">
        <x:f>IF(AF343&gt;0,B343,"")</x:f>
      </x:c>
      <x:c r="AH343" s="9" t="n">
        <x:f>IF(F343&gt;=1,1,(1+v01_LowTiesShare*(AE343-1))/AE343)</x:f>
        <x:v>1</x:v>
      </x:c>
      <x:c r="AI343" s="32" t="n">
        <x:f>(Z343+v01_ElderCommons*INDEX(LM_Elder,G343)*AA343)*AH343</x:f>
        <x:v>24.15772272463566</x:v>
      </x:c>
      <x:c r="AJ343" s="32" t="n">
        <x:f>H343*v01_CommonsCoef*AI343^v01_CommonsExp*INDEX(LM_Commons,G343)</x:f>
        <x:v>9.888752992751224</x:v>
      </x:c>
      <x:c r="AK343" s="32" t="n">
        <x:f>H343*v01_RoleScale*Arch_Roles*(AE343*(INDEX(v01_ElderRolePerSett,G343)*v01_OutElder*INDEX(LM_Elder,G343)+INDEX(v01_ShamanPerSett,G343)*v01_OutShaman)+Z343*(INDEX(v01_PriestShare,G343)*v01_OutPriest+INDEX(v01_ScribeShare,G343)*v01_OutScribe*INDEX(LM_Scribe,G343)+INDEX(v01_ScholarShare,G343)*v01_OutScholar*INDEX(LM_Scholar,G343)+INDEX(v01_ResearcherShare,G343)*v01_OutResearcher*INDEX(LM_Researcher,G343)))</x:f>
        <x:v>2.724744871391589</x:v>
      </x:c>
      <x:c r="AL343" s="32" t="n">
        <x:f>H343*v01_RoleScale*Arch_Roles*AE343*INDEX(v01_MonasteryPerSett,G343)*v01_OutMonastery*INDEX(LM_Monastery,G343)</x:f>
        <x:v>0</x:v>
      </x:c>
      <x:c r="AM343" s="32" t="n">
        <x:f>(AJ343+AK343+AL343)/4*INDEX(LM_All,G343)*INDEX(v01_Boon,G343)*Arch_Insight</x:f>
        <x:v>3.2322088276865957</x:v>
      </x:c>
      <x:c r="AN343" s="32" t="n">
        <x:f>H343*(v01_KHPerAdult*Z343+v01_KHOfCommons*AJ343/4*INDEX(LM_All,G343))*v01_KHUsable*Arch_KH</x:f>
        <x:v>0.49807418236829765</x:v>
      </x:c>
      <x:c r="AO343" s="32" t="n">
        <x:f>MIN(AP342+AN343,AM343*v01_KHMaxRatio)</x:f>
        <x:v>0.49807418236829765</x:v>
      </x:c>
      <x:c r="AP343" s="32" t="n">
        <x:f>AP342+AN343-AO343</x:f>
        <x:v>0</x:v>
      </x:c>
      <x:c r="AQ343" s="32" t="n">
        <x:f>AM343+AO343</x:f>
        <x:v>3.7302830100548934</x:v>
      </x:c>
      <x:c r="AR343" s="10" t="n">
        <x:f>IF(H343=1,INDEX(v01_Req,G343),0)</x:f>
        <x:v>1067.32</x:v>
      </x:c>
      <x:c r="AS343" s="32" t="n">
        <x:f>IF(H343=1,IF(E343=1,AS342-AR342,AS342)+AQ343,0)</x:f>
        <x:v>308.60149264777954</x:v>
      </x:c>
      <x:c r="AT343" s="11" t="n">
        <x:f>IF(AR343&gt;0,MIN(1,AS343/AR343),1)</x:f>
        <x:v>0.2891368030654158</x:v>
      </x:c>
      <x:c r="AU343" s="10" t="n">
        <x:f>AB343/INDEX(v01_RepScale,G343)</x:f>
        <x:v>32.76603321869135</x:v>
      </x:c>
      <x:c r="AV343" s="32" t="n">
        <x:f>AM343*60/v01_SeasonSeconds</x:f>
        <x:v>12.928835310746383</x:v>
      </x:c>
    </x:row>
    <x:row r="344">
      <x:c r="A344" s="8" t="n">
        <x:f>A343+1</x:f>
        <x:v>341</x:v>
      </x:c>
      <x:c r="B344" s="9" t="n">
        <x:f>A344*v01_SeasonSeconds/60</x:f>
        <x:v>85.25</x:v>
      </x:c>
      <x:c r="C344" s="9" t="n">
        <x:f>A344/4</x:f>
        <x:v>85.25</x:v>
      </x:c>
      <x:c r="D344" s="8" t="n">
        <x:f>IF(MOD(A344,4)=0,1,0)</x:f>
        <x:v>0</x:v>
      </x:c>
      <x:c r="E344" s="8" t="n">
        <x:f>IF(AND(F343&lt;=9,AS343&gt;=AR343),1,0)</x:f>
        <x:v>0</x:v>
      </x:c>
      <x:c r="F344" s="8" t="n">
        <x:f>MIN(10,F343+E344)</x:f>
        <x:v>1</x:v>
      </x:c>
      <x:c r="G344" s="8" t="n">
        <x:f>MIN(F344,9)+1</x:f>
        <x:v>2</x:v>
      </x:c>
      <x:c r="H344" s="8" t="n">
        <x:f>IF(F344&lt;=9,1,0)</x:f>
        <x:v>1</x:v>
      </x:c>
      <x:c r="I344" s="9" t="n">
        <x:f>MIN(10,F343+IF(AR343&gt;0,MIN(1,AS343/AR343),1))</x:f>
        <x:v>1.2891368030654158</x:v>
      </x:c>
      <x:c r="J344" s="32" t="n">
        <x:f>INDEX(v01_FoodCap,G344)*Arch_FoodCap*EXP(v01_CapsByProject*SUMPRODUCT((Cap_Point&lt;=I344)*(Cap_Kind="Food")*Cap_Ln))</x:f>
        <x:v>30</x:v>
      </x:c>
      <x:c r="K344" s="32" t="n">
        <x:f>J344*MIN(1,v01_LeanBase*EXP(v01_CapsByProject*SUMPRODUCT((Cap_Point&lt;=I344)*(Cap_Kind="Lean")*Cap_Ln)))</x:f>
        <x:v>30</x:v>
      </x:c>
      <x:c r="L344" s="10" t="n">
        <x:f>INDEX(v01_HousingCap,G344)*EXP(v01_CapsByProject*SUMPRODUCT((Cap_Point&lt;=I344)*(Cap_Kind="Housing")*Cap_Ln))</x:f>
        <x:v>60</x:v>
      </x:c>
      <x:c r="M344" s="10" t="n">
        <x:f>INDEX(v01_GroupCap,G344)*v01_CohesionFactor*EXP(v01_CapsByProject*SUMPRODUCT((Cap_Point&lt;=I344)*(Cap_Kind="Group")*Cap_Ln))</x:f>
        <x:v>100</x:v>
      </x:c>
      <x:c r="N344" s="32" t="n">
        <x:f>MIN(J344,L344,M344)</x:f>
        <x:v>30</x:v>
      </x:c>
      <x:c r="O344" s="10" t="n">
        <x:f>AE343*N344</x:f>
        <x:v>60</x:v>
      </x:c>
      <x:c r="P344" s="9" t="n">
        <x:f>MIN(1,(AB343/(AE343*IF(v01_GroupInCrowding=1,N344,MIN(J344,L344))))^v01_CrowdingExp)</x:f>
        <x:v>0.026523797342125215</x:v>
      </x:c>
      <x:c r="Q344" s="9" t="n">
        <x:f>IF(D344=1,INDEX(v01_WinterMult,G344),1)</x:f>
        <x:v>1</x:v>
      </x:c>
      <x:c r="R344" s="9" t="n">
        <x:f>H344*Z343*v01_WomenShare*v01_BaseFertility*INDEX(v01_FertMult,G344)*Arch_Fertility*(1-P344)</x:f>
        <x:v>0.5194964611005174</x:v>
      </x:c>
      <x:c r="S344" s="9" t="n">
        <x:f>H344*Y343*INDEX(v01_MortChild,G344)/4*Q344</x:f>
        <x:v>0.12672317465695124</x:v>
      </x:c>
      <x:c r="T344" s="9" t="n">
        <x:f>H344*Z343*INDEX(v01_MortAdult,G344)*Arch_AdultMort/4*Q344</x:f>
        <x:v>0.04624974550562764</x:v>
      </x:c>
      <x:c r="U344" s="9" t="n">
        <x:f>H344*AA343*INDEX(v01_MortElder,G344)/4*Q344</x:f>
        <x:v>0.08105387523319686</x:v>
      </x:c>
      <x:c r="V344" s="9" t="n">
        <x:f>H344*MAX(0,AB343-O344)*v01_OvercapLoss</x:f>
        <x:v>0</x:v>
      </x:c>
      <x:c r="W344" s="9" t="n">
        <x:f>H344*Y343/(v01_ChildYears*4)</x:f>
        <x:v>0.25861872378969636</x:v>
      </x:c>
      <x:c r="X344" s="9" t="n">
        <x:f>H344*Z343/(v01_AdultYears*4)</x:f>
        <x:v>0.11476363649039116</x:v>
      </x:c>
      <x:c r="Y344" s="32" t="n">
        <x:f>Y343+R344-S344-W344-Y343*V344/AB343</x:f>
        <x:v>14.616803094876866</x:v>
      </x:c>
      <x:c r="Z344" s="32" t="n">
        <x:f>Z343+W344-X344-T344-Z343*V344/AB343</x:f>
        <x:v>14.328296266602182</x:v>
      </x:c>
      <x:c r="AA344" s="32" t="n">
        <x:f>AA343+X344-U344-AA343*V344/AB343</x:f>
        <x:v>4.0864035229170375</x:v>
      </x:c>
      <x:c r="AB344" s="10" t="n">
        <x:f>Y344+Z344+AA344</x:f>
        <x:v>33.03150288439608</x:v>
      </x:c>
      <x:c r="AC344" s="8" t="n">
        <x:f>IF(AND(v01_WinterTrigger=1,D344=1,AB343/AE343&gt;=K344),1,0)</x:f>
        <x:v>0</x:v>
      </x:c>
      <x:c r="AD344" s="8" t="n">
        <x:f>H344*IF(AND(OR(AB343/AE343&gt;=v01_FissionTrigger*N344,AC344=1),AB343/AE343*v01_DaughterShare&gt;=v01_MinDaughter),MAX(1,ROUND(AE343*v01_FissionRate,0)),0)</x:f>
        <x:v>0</x:v>
      </x:c>
      <x:c r="AE344" s="8" t="n">
        <x:f>IF(H344=1,MAX(1,MIN(INDEX(v01_Smax,G344),AE343+AD344)),AE343)</x:f>
        <x:v>2</x:v>
      </x:c>
      <x:c r="AF344" s="8" t="n">
        <x:f>MAX(0,AE344-AE343)</x:f>
        <x:v>0</x:v>
      </x:c>
      <x:c r="AG344" s="9" t="str">
        <x:f>IF(AF344&gt;0,B344,"")</x:f>
      </x:c>
      <x:c r="AH344" s="9" t="n">
        <x:f>IF(F344&gt;=1,1,(1+v01_LowTiesShare*(AE344-1))/AE344)</x:f>
        <x:v>1</x:v>
      </x:c>
      <x:c r="AI344" s="32" t="n">
        <x:f>(Z344+v01_ElderCommons*INDEX(LM_Elder,G344)*AA344)*AH344</x:f>
        <x:v>24.33789978086051</x:v>
      </x:c>
      <x:c r="AJ344" s="32" t="n">
        <x:f>H344*v01_CommonsCoef*AI344^v01_CommonsExp*INDEX(LM_Commons,G344)</x:f>
        <x:v>9.95140884464871</x:v>
      </x:c>
      <x:c r="AK344" s="32" t="n">
        <x:f>H344*v01_RoleScale*Arch_Roles*(AE344*(INDEX(v01_ElderRolePerSett,G344)*v01_OutElder*INDEX(LM_Elder,G344)+INDEX(v01_ShamanPerSett,G344)*v01_OutShaman)+Z344*(INDEX(v01_PriestShare,G344)*v01_OutPriest+INDEX(v01_ScribeShare,G344)*v01_OutScribe*INDEX(LM_Scribe,G344)+INDEX(v01_ScholarShare,G344)*v01_OutScholar*INDEX(LM_Scholar,G344)+INDEX(v01_ResearcherShare,G344)*v01_OutResearcher*INDEX(LM_Researcher,G344)))</x:f>
        <x:v>2.724744871391589</x:v>
      </x:c>
      <x:c r="AL344" s="32" t="n">
        <x:f>H344*v01_RoleScale*Arch_Roles*AE344*INDEX(v01_MonasteryPerSett,G344)*v01_OutMonastery*INDEX(LM_Monastery,G344)</x:f>
        <x:v>0</x:v>
      </x:c>
      <x:c r="AM344" s="32" t="n">
        <x:f>(AJ344+AK344+AL344)/4*INDEX(LM_All,G344)*INDEX(v01_Boon,G344)*Arch_Insight</x:f>
        <x:v>3.2482643897353265</x:v>
      </x:c>
      <x:c r="AN344" s="32" t="n">
        <x:f>H344*(v01_KHPerAdult*Z344+v01_KHOfCommons*AJ344/4*INDEX(LM_All,G344))*v01_KHUsable*Arch_KH</x:f>
        <x:v>0.5014903693310764</x:v>
      </x:c>
      <x:c r="AO344" s="32" t="n">
        <x:f>MIN(AP343+AN344,AM344*v01_KHMaxRatio)</x:f>
        <x:v>0.5014903693310764</x:v>
      </x:c>
      <x:c r="AP344" s="32" t="n">
        <x:f>AP343+AN344-AO344</x:f>
        <x:v>0</x:v>
      </x:c>
      <x:c r="AQ344" s="32" t="n">
        <x:f>AM344+AO344</x:f>
        <x:v>3.749754759066403</x:v>
      </x:c>
      <x:c r="AR344" s="10" t="n">
        <x:f>IF(H344=1,INDEX(v01_Req,G344),0)</x:f>
        <x:v>1067.32</x:v>
      </x:c>
      <x:c r="AS344" s="32" t="n">
        <x:f>IF(H344=1,IF(E344=1,AS343-AR343,AS343)+AQ344,0)</x:f>
        <x:v>312.3512474068459</x:v>
      </x:c>
      <x:c r="AT344" s="11" t="n">
        <x:f>IF(AR344&gt;0,MIN(1,AS344/AR344),1)</x:f>
        <x:v>0.29265004629056507</x:v>
      </x:c>
      <x:c r="AU344" s="10" t="n">
        <x:f>AB344/INDEX(v01_RepScale,G344)</x:f>
        <x:v>33.03150288439608</x:v>
      </x:c>
      <x:c r="AV344" s="32" t="n">
        <x:f>AM344*60/v01_SeasonSeconds</x:f>
        <x:v>12.993057558941306</x:v>
      </x:c>
    </x:row>
    <x:row r="345">
      <x:c r="A345" s="8" t="n">
        <x:f>A344+1</x:f>
        <x:v>342</x:v>
      </x:c>
      <x:c r="B345" s="9" t="n">
        <x:f>A345*v01_SeasonSeconds/60</x:f>
        <x:v>85.5</x:v>
      </x:c>
      <x:c r="C345" s="9" t="n">
        <x:f>A345/4</x:f>
        <x:v>85.5</x:v>
      </x:c>
      <x:c r="D345" s="8" t="n">
        <x:f>IF(MOD(A345,4)=0,1,0)</x:f>
        <x:v>0</x:v>
      </x:c>
      <x:c r="E345" s="8" t="n">
        <x:f>IF(AND(F344&lt;=9,AS344&gt;=AR344),1,0)</x:f>
        <x:v>0</x:v>
      </x:c>
      <x:c r="F345" s="8" t="n">
        <x:f>MIN(10,F344+E345)</x:f>
        <x:v>1</x:v>
      </x:c>
      <x:c r="G345" s="8" t="n">
        <x:f>MIN(F345,9)+1</x:f>
        <x:v>2</x:v>
      </x:c>
      <x:c r="H345" s="8" t="n">
        <x:f>IF(F345&lt;=9,1,0)</x:f>
        <x:v>1</x:v>
      </x:c>
      <x:c r="I345" s="9" t="n">
        <x:f>MIN(10,F344+IF(AR344&gt;0,MIN(1,AS344/AR344),1))</x:f>
        <x:v>1.292650046290565</x:v>
      </x:c>
      <x:c r="J345" s="32" t="n">
        <x:f>INDEX(v01_FoodCap,G345)*Arch_FoodCap*EXP(v01_CapsByProject*SUMPRODUCT((Cap_Point&lt;=I345)*(Cap_Kind="Food")*Cap_Ln))</x:f>
        <x:v>30</x:v>
      </x:c>
      <x:c r="K345" s="32" t="n">
        <x:f>J345*MIN(1,v01_LeanBase*EXP(v01_CapsByProject*SUMPRODUCT((Cap_Point&lt;=I345)*(Cap_Kind="Lean")*Cap_Ln)))</x:f>
        <x:v>30</x:v>
      </x:c>
      <x:c r="L345" s="10" t="n">
        <x:f>INDEX(v01_HousingCap,G345)*EXP(v01_CapsByProject*SUMPRODUCT((Cap_Point&lt;=I345)*(Cap_Kind="Housing")*Cap_Ln))</x:f>
        <x:v>60</x:v>
      </x:c>
      <x:c r="M345" s="10" t="n">
        <x:f>INDEX(v01_GroupCap,G345)*v01_CohesionFactor*EXP(v01_CapsByProject*SUMPRODUCT((Cap_Point&lt;=I345)*(Cap_Kind="Group")*Cap_Ln))</x:f>
        <x:v>100</x:v>
      </x:c>
      <x:c r="N345" s="32" t="n">
        <x:f>MIN(J345,L345,M345)</x:f>
        <x:v>30</x:v>
      </x:c>
      <x:c r="O345" s="10" t="n">
        <x:f>AE344*N345</x:f>
        <x:v>60</x:v>
      </x:c>
      <x:c r="P345" s="9" t="n">
        <x:f>MIN(1,(AB344/(AE344*IF(v01_GroupInCrowding=1,N345,MIN(J345,L345))))^v01_CrowdingExp)</x:f>
        <x:v>0.02783956859225654</x:v>
      </x:c>
      <x:c r="Q345" s="9" t="n">
        <x:f>IF(D345=1,INDEX(v01_WinterMult,G345),1)</x:f>
        <x:v>1</x:v>
      </x:c>
      <x:c r="R345" s="9" t="n">
        <x:f>H345*Z344*v01_WomenShare*v01_BaseFertility*INDEX(v01_FertMult,G345)*Arch_Fertility*(1-P345)</x:f>
        <x:v>0.5223526004954226</x:v>
      </x:c>
      <x:c r="S345" s="9" t="n">
        <x:f>H345*Y344*INDEX(v01_MortChild,G345)/4*Q345</x:f>
        <x:v>0.1278970270801726</x:v>
      </x:c>
      <x:c r="T345" s="9" t="n">
        <x:f>H345*Z344*INDEX(v01_MortAdult,G345)*Arch_AdultMort/4*Q345</x:f>
        <x:v>0.04656696286645709</x:v>
      </x:c>
      <x:c r="U345" s="9" t="n">
        <x:f>H345*AA344*INDEX(v01_MortElder,G345)/4*Q345</x:f>
        <x:v>0.08172807045834075</x:v>
      </x:c>
      <x:c r="V345" s="9" t="n">
        <x:f>H345*MAX(0,AB344-O345)*v01_OvercapLoss</x:f>
        <x:v>0</x:v>
      </x:c>
      <x:c r="W345" s="9" t="n">
        <x:f>H345*Y344/(v01_ChildYears*4)</x:f>
        <x:v>0.261014340979944</x:v>
      </x:c>
      <x:c r="X345" s="9" t="n">
        <x:f>H345*Z344/(v01_AdultYears*4)</x:f>
        <x:v>0.11555077634356599</x:v>
      </x:c>
      <x:c r="Y345" s="32" t="n">
        <x:f>Y344+R345-S345-W345-Y344*V345/AB344</x:f>
        <x:v>14.750244327312172</x:v>
      </x:c>
      <x:c r="Z345" s="32" t="n">
        <x:f>Z344+W345-X345-T345-Z344*V345/AB344</x:f>
        <x:v>14.427192868372103</x:v>
      </x:c>
      <x:c r="AA345" s="32" t="n">
        <x:f>AA344+X345-U345-AA344*V345/AB344</x:f>
        <x:v>4.120226228802263</x:v>
      </x:c>
      <x:c r="AB345" s="10" t="n">
        <x:f>Y345+Z345+AA345</x:f>
        <x:v>33.297663424486544</x:v>
      </x:c>
      <x:c r="AC345" s="8" t="n">
        <x:f>IF(AND(v01_WinterTrigger=1,D345=1,AB344/AE344&gt;=K345),1,0)</x:f>
        <x:v>0</x:v>
      </x:c>
      <x:c r="AD345" s="8" t="n">
        <x:f>H345*IF(AND(OR(AB344/AE344&gt;=v01_FissionTrigger*N345,AC345=1),AB344/AE344*v01_DaughterShare&gt;=v01_MinDaughter),MAX(1,ROUND(AE344*v01_FissionRate,0)),0)</x:f>
        <x:v>0</x:v>
      </x:c>
      <x:c r="AE345" s="8" t="n">
        <x:f>IF(H345=1,MAX(1,MIN(INDEX(v01_Smax,G345),AE344+AD345)),AE344)</x:f>
        <x:v>2</x:v>
      </x:c>
      <x:c r="AF345" s="8" t="n">
        <x:f>MAX(0,AE345-AE344)</x:f>
        <x:v>0</x:v>
      </x:c>
      <x:c r="AG345" s="9" t="str">
        <x:f>IF(AF345&gt;0,B345,"")</x:f>
      </x:c>
      <x:c r="AH345" s="9" t="n">
        <x:f>IF(F345&gt;=1,1,(1+v01_LowTiesShare*(AE345-1))/AE345)</x:f>
        <x:v>1</x:v>
      </x:c>
      <x:c r="AI345" s="32" t="n">
        <x:f>(Z345+v01_ElderCommons*INDEX(LM_Elder,G345)*AA345)*AH345</x:f>
        <x:v>24.519644753769462</x:v>
      </x:c>
      <x:c r="AJ345" s="32" t="n">
        <x:f>H345*v01_CommonsCoef*AI345^v01_CommonsExp*INDEX(LM_Commons,G345)</x:f>
        <x:v>10.014539485062892</x:v>
      </x:c>
      <x:c r="AK345" s="32" t="n">
        <x:f>H345*v01_RoleScale*Arch_Roles*(AE345*(INDEX(v01_ElderRolePerSett,G345)*v01_OutElder*INDEX(LM_Elder,G345)+INDEX(v01_ShamanPerSett,G345)*v01_OutShaman)+Z345*(INDEX(v01_PriestShare,G345)*v01_OutPriest+INDEX(v01_ScribeShare,G345)*v01_OutScribe*INDEX(LM_Scribe,G345)+INDEX(v01_ScholarShare,G345)*v01_OutScholar*INDEX(LM_Scholar,G345)+INDEX(v01_ResearcherShare,G345)*v01_OutResearcher*INDEX(LM_Researcher,G345)))</x:f>
        <x:v>2.724744871391589</x:v>
      </x:c>
      <x:c r="AL345" s="32" t="n">
        <x:f>H345*v01_RoleScale*Arch_Roles*AE345*INDEX(v01_MonasteryPerSett,G345)*v01_OutMonastery*INDEX(LM_Monastery,G345)</x:f>
        <x:v>0</x:v>
      </x:c>
      <x:c r="AM345" s="32" t="n">
        <x:f>(AJ345+AK345+AL345)/4*INDEX(LM_All,G345)*INDEX(v01_Boon,G345)*Arch_Insight</x:f>
        <x:v>3.2644416163414607</x:v>
      </x:c>
      <x:c r="AN345" s="32" t="n">
        <x:f>H345*(v01_KHPerAdult*Z345+v01_KHOfCommons*AJ345/4*INDEX(LM_All,G345))*v01_KHUsable*Arch_KH</x:f>
        <x:v>0.5049517503930235</x:v>
      </x:c>
      <x:c r="AO345" s="32" t="n">
        <x:f>MIN(AP344+AN345,AM345*v01_KHMaxRatio)</x:f>
        <x:v>0.5049517503930235</x:v>
      </x:c>
      <x:c r="AP345" s="32" t="n">
        <x:f>AP344+AN345-AO345</x:f>
        <x:v>0</x:v>
      </x:c>
      <x:c r="AQ345" s="32" t="n">
        <x:f>AM345+AO345</x:f>
        <x:v>3.769393366734484</x:v>
      </x:c>
      <x:c r="AR345" s="10" t="n">
        <x:f>IF(H345=1,INDEX(v01_Req,G345),0)</x:f>
        <x:v>1067.32</x:v>
      </x:c>
      <x:c r="AS345" s="32" t="n">
        <x:f>IF(H345=1,IF(E345=1,AS344-AR344,AS344)+AQ345,0)</x:f>
        <x:v>316.1206407735804</x:v>
      </x:c>
      <x:c r="AT345" s="11" t="n">
        <x:f>IF(AR345&gt;0,MIN(1,AS345/AR345),1)</x:f>
        <x:v>0.29618168944044937</x:v>
      </x:c>
      <x:c r="AU345" s="10" t="n">
        <x:f>AB345/INDEX(v01_RepScale,G345)</x:f>
        <x:v>33.297663424486544</x:v>
      </x:c>
      <x:c r="AV345" s="32" t="n">
        <x:f>AM345*60/v01_SeasonSeconds</x:f>
        <x:v>13.057766465365843</x:v>
      </x:c>
    </x:row>
    <x:row r="346">
      <x:c r="A346" s="8" t="n">
        <x:f>A345+1</x:f>
        <x:v>343</x:v>
      </x:c>
      <x:c r="B346" s="9" t="n">
        <x:f>A346*v01_SeasonSeconds/60</x:f>
        <x:v>85.75</x:v>
      </x:c>
      <x:c r="C346" s="9" t="n">
        <x:f>A346/4</x:f>
        <x:v>85.75</x:v>
      </x:c>
      <x:c r="D346" s="8" t="n">
        <x:f>IF(MOD(A346,4)=0,1,0)</x:f>
        <x:v>0</x:v>
      </x:c>
      <x:c r="E346" s="8" t="n">
        <x:f>IF(AND(F345&lt;=9,AS345&gt;=AR345),1,0)</x:f>
        <x:v>0</x:v>
      </x:c>
      <x:c r="F346" s="8" t="n">
        <x:f>MIN(10,F345+E346)</x:f>
        <x:v>1</x:v>
      </x:c>
      <x:c r="G346" s="8" t="n">
        <x:f>MIN(F346,9)+1</x:f>
        <x:v>2</x:v>
      </x:c>
      <x:c r="H346" s="8" t="n">
        <x:f>IF(F346&lt;=9,1,0)</x:f>
        <x:v>1</x:v>
      </x:c>
      <x:c r="I346" s="9" t="n">
        <x:f>MIN(10,F345+IF(AR345&gt;0,MIN(1,AS345/AR345),1))</x:f>
        <x:v>1.2961816894404494</x:v>
      </x:c>
      <x:c r="J346" s="32" t="n">
        <x:f>INDEX(v01_FoodCap,G346)*Arch_FoodCap*EXP(v01_CapsByProject*SUMPRODUCT((Cap_Point&lt;=I346)*(Cap_Kind="Food")*Cap_Ln))</x:f>
        <x:v>30</x:v>
      </x:c>
      <x:c r="K346" s="32" t="n">
        <x:f>J346*MIN(1,v01_LeanBase*EXP(v01_CapsByProject*SUMPRODUCT((Cap_Point&lt;=I346)*(Cap_Kind="Lean")*Cap_Ln)))</x:f>
        <x:v>30</x:v>
      </x:c>
      <x:c r="L346" s="10" t="n">
        <x:f>INDEX(v01_HousingCap,G346)*EXP(v01_CapsByProject*SUMPRODUCT((Cap_Point&lt;=I346)*(Cap_Kind="Housing")*Cap_Ln))</x:f>
        <x:v>60</x:v>
      </x:c>
      <x:c r="M346" s="10" t="n">
        <x:f>INDEX(v01_GroupCap,G346)*v01_CohesionFactor*EXP(v01_CapsByProject*SUMPRODUCT((Cap_Point&lt;=I346)*(Cap_Kind="Group")*Cap_Ln))</x:f>
        <x:v>100</x:v>
      </x:c>
      <x:c r="N346" s="32" t="n">
        <x:f>MIN(J346,L346,M346)</x:f>
        <x:v>30</x:v>
      </x:c>
      <x:c r="O346" s="10" t="n">
        <x:f>AE345*N346</x:f>
        <x:v>60</x:v>
      </x:c>
      <x:c r="P346" s="9" t="n">
        <x:f>MIN(1,(AB345/(AE345*IF(v01_GroupInCrowding=1,N346,MIN(J346,L346))))^v01_CrowdingExp)</x:f>
        <x:v>0.029212925580581195</x:v>
      </x:c>
      <x:c r="Q346" s="9" t="n">
        <x:f>IF(D346=1,INDEX(v01_WinterMult,G346),1)</x:f>
        <x:v>1</x:v>
      </x:c>
      <x:c r="R346" s="9" t="n">
        <x:f>H346*Z345*v01_WomenShare*v01_BaseFertility*INDEX(v01_FertMult,G346)*Arch_Fertility*(1-P346)</x:f>
        <x:v>0.5252149633789371</x:v>
      </x:c>
      <x:c r="S346" s="9" t="n">
        <x:f>H346*Y345*INDEX(v01_MortChild,G346)/4*Q346</x:f>
        <x:v>0.1290646378639815</x:v>
      </x:c>
      <x:c r="T346" s="9" t="n">
        <x:f>H346*Z345*INDEX(v01_MortAdult,G346)*Arch_AdultMort/4*Q346</x:f>
        <x:v>0.04688837682220933</x:v>
      </x:c>
      <x:c r="U346" s="9" t="n">
        <x:f>H346*AA345*INDEX(v01_MortElder,G346)/4*Q346</x:f>
        <x:v>0.08240452457604526</x:v>
      </x:c>
      <x:c r="V346" s="9" t="n">
        <x:f>H346*MAX(0,AB345-O346)*v01_OvercapLoss</x:f>
        <x:v>0</x:v>
      </x:c>
      <x:c r="W346" s="9" t="n">
        <x:f>H346*Y345/(v01_ChildYears*4)</x:f>
        <x:v>0.2633972201305745</x:v>
      </x:c>
      <x:c r="X346" s="9" t="n">
        <x:f>H346*Z345/(v01_AdultYears*4)</x:f>
        <x:v>0.11634832958364599</x:v>
      </x:c>
      <x:c r="Y346" s="32" t="n">
        <x:f>Y345+R346-S346-W346-Y345*V346/AB345</x:f>
        <x:v>14.882997432696554</x:v>
      </x:c>
      <x:c r="Z346" s="32" t="n">
        <x:f>Z345+W346-X346-T346-Z345*V346/AB345</x:f>
        <x:v>14.527353382096821</x:v>
      </x:c>
      <x:c r="AA346" s="32" t="n">
        <x:f>AA345+X346-U346-AA345*V346/AB345</x:f>
        <x:v>4.154170033809864</x:v>
      </x:c>
      <x:c r="AB346" s="10" t="n">
        <x:f>Y346+Z346+AA346</x:f>
        <x:v>33.56452084860324</x:v>
      </x:c>
      <x:c r="AC346" s="8" t="n">
        <x:f>IF(AND(v01_WinterTrigger=1,D346=1,AB345/AE345&gt;=K346),1,0)</x:f>
        <x:v>0</x:v>
      </x:c>
      <x:c r="AD346" s="8" t="n">
        <x:f>H346*IF(AND(OR(AB345/AE345&gt;=v01_FissionTrigger*N346,AC346=1),AB345/AE345*v01_DaughterShare&gt;=v01_MinDaughter),MAX(1,ROUND(AE345*v01_FissionRate,0)),0)</x:f>
        <x:v>0</x:v>
      </x:c>
      <x:c r="AE346" s="8" t="n">
        <x:f>IF(H346=1,MAX(1,MIN(INDEX(v01_Smax,G346),AE345+AD346)),AE345)</x:f>
        <x:v>2</x:v>
      </x:c>
      <x:c r="AF346" s="8" t="n">
        <x:f>MAX(0,AE346-AE345)</x:f>
        <x:v>0</x:v>
      </x:c>
      <x:c r="AG346" s="9" t="str">
        <x:f>IF(AF346&gt;0,B346,"")</x:f>
      </x:c>
      <x:c r="AH346" s="9" t="n">
        <x:f>IF(F346&gt;=1,1,(1+v01_LowTiesShare*(AE346-1))/AE346)</x:f>
        <x:v>1</x:v>
      </x:c>
      <x:c r="AI346" s="32" t="n">
        <x:f>(Z346+v01_ElderCommons*INDEX(LM_Elder,G346)*AA346)*AH346</x:f>
        <x:v>24.70295026969133</x:v>
      </x:c>
      <x:c r="AJ346" s="32" t="n">
        <x:f>H346*v01_CommonsCoef*AI346^v01_CommonsExp*INDEX(LM_Commons,G346)</x:f>
        <x:v>10.078141136377274</x:v>
      </x:c>
      <x:c r="AK346" s="32" t="n">
        <x:f>H346*v01_RoleScale*Arch_Roles*(AE346*(INDEX(v01_ElderRolePerSett,G346)*v01_OutElder*INDEX(LM_Elder,G346)+INDEX(v01_ShamanPerSett,G346)*v01_OutShaman)+Z346*(INDEX(v01_PriestShare,G346)*v01_OutPriest+INDEX(v01_ScribeShare,G346)*v01_OutScribe*INDEX(LM_Scribe,G346)+INDEX(v01_ScholarShare,G346)*v01_OutScholar*INDEX(LM_Scholar,G346)+INDEX(v01_ResearcherShare,G346)*v01_OutResearcher*INDEX(LM_Researcher,G346)))</x:f>
        <x:v>2.724744871391589</x:v>
      </x:c>
      <x:c r="AL346" s="32" t="n">
        <x:f>H346*v01_RoleScale*Arch_Roles*AE346*INDEX(v01_MonasteryPerSett,G346)*v01_OutMonastery*INDEX(LM_Monastery,G346)</x:f>
        <x:v>0</x:v>
      </x:c>
      <x:c r="AM346" s="32" t="n">
        <x:f>(AJ346+AK346+AL346)/4*INDEX(LM_All,G346)*INDEX(v01_Boon,G346)*Arch_Insight</x:f>
        <x:v>3.2807395394907712</x:v>
      </x:c>
      <x:c r="AN346" s="32" t="n">
        <x:f>H346*(v01_KHPerAdult*Z346+v01_KHOfCommons*AJ346/4*INDEX(LM_All,G346))*v01_KHUsable*Arch_KH</x:f>
        <x:v>0.5084573683733887</x:v>
      </x:c>
      <x:c r="AO346" s="32" t="n">
        <x:f>MIN(AP345+AN346,AM346*v01_KHMaxRatio)</x:f>
        <x:v>0.5084573683733887</x:v>
      </x:c>
      <x:c r="AP346" s="32" t="n">
        <x:f>AP345+AN346-AO346</x:f>
        <x:v>0</x:v>
      </x:c>
      <x:c r="AQ346" s="32" t="n">
        <x:f>AM346+AO346</x:f>
        <x:v>3.78919690786416</x:v>
      </x:c>
      <x:c r="AR346" s="10" t="n">
        <x:f>IF(H346=1,INDEX(v01_Req,G346),0)</x:f>
        <x:v>1067.32</x:v>
      </x:c>
      <x:c r="AS346" s="32" t="n">
        <x:f>IF(H346=1,IF(E346=1,AS345-AR345,AS345)+AQ346,0)</x:f>
        <x:v>319.90983768144457</x:v>
      </x:c>
      <x:c r="AT346" s="11" t="n">
        <x:f>IF(AR346&gt;0,MIN(1,AS346/AR346),1)</x:f>
        <x:v>0.29973188704553894</x:v>
      </x:c>
      <x:c r="AU346" s="10" t="n">
        <x:f>AB346/INDEX(v01_RepScale,G346)</x:f>
        <x:v>33.56452084860324</x:v>
      </x:c>
      <x:c r="AV346" s="32" t="n">
        <x:f>AM346*60/v01_SeasonSeconds</x:f>
        <x:v>13.122958157963085</x:v>
      </x:c>
    </x:row>
    <x:row r="347">
      <x:c r="A347" s="8" t="n">
        <x:f>A346+1</x:f>
        <x:v>344</x:v>
      </x:c>
      <x:c r="B347" s="9" t="n">
        <x:f>A347*v01_SeasonSeconds/60</x:f>
        <x:v>86</x:v>
      </x:c>
      <x:c r="C347" s="9" t="n">
        <x:f>A347/4</x:f>
        <x:v>86</x:v>
      </x:c>
      <x:c r="D347" s="8" t="n">
        <x:f>IF(MOD(A347,4)=0,1,0)</x:f>
        <x:v>1</x:v>
      </x:c>
      <x:c r="E347" s="8" t="n">
        <x:f>IF(AND(F346&lt;=9,AS346&gt;=AR346),1,0)</x:f>
        <x:v>0</x:v>
      </x:c>
      <x:c r="F347" s="8" t="n">
        <x:f>MIN(10,F346+E347)</x:f>
        <x:v>1</x:v>
      </x:c>
      <x:c r="G347" s="8" t="n">
        <x:f>MIN(F347,9)+1</x:f>
        <x:v>2</x:v>
      </x:c>
      <x:c r="H347" s="8" t="n">
        <x:f>IF(F347&lt;=9,1,0)</x:f>
        <x:v>1</x:v>
      </x:c>
      <x:c r="I347" s="9" t="n">
        <x:f>MIN(10,F346+IF(AR346&gt;0,MIN(1,AS346/AR346),1))</x:f>
        <x:v>1.299731887045539</x:v>
      </x:c>
      <x:c r="J347" s="32" t="n">
        <x:f>INDEX(v01_FoodCap,G347)*Arch_FoodCap*EXP(v01_CapsByProject*SUMPRODUCT((Cap_Point&lt;=I347)*(Cap_Kind="Food")*Cap_Ln))</x:f>
        <x:v>30</x:v>
      </x:c>
      <x:c r="K347" s="32" t="n">
        <x:f>J347*MIN(1,v01_LeanBase*EXP(v01_CapsByProject*SUMPRODUCT((Cap_Point&lt;=I347)*(Cap_Kind="Lean")*Cap_Ln)))</x:f>
        <x:v>30</x:v>
      </x:c>
      <x:c r="L347" s="10" t="n">
        <x:f>INDEX(v01_HousingCap,G347)*EXP(v01_CapsByProject*SUMPRODUCT((Cap_Point&lt;=I347)*(Cap_Kind="Housing")*Cap_Ln))</x:f>
        <x:v>60</x:v>
      </x:c>
      <x:c r="M347" s="10" t="n">
        <x:f>INDEX(v01_GroupCap,G347)*v01_CohesionFactor*EXP(v01_CapsByProject*SUMPRODUCT((Cap_Point&lt;=I347)*(Cap_Kind="Group")*Cap_Ln))</x:f>
        <x:v>100</x:v>
      </x:c>
      <x:c r="N347" s="32" t="n">
        <x:f>MIN(J347,L347,M347)</x:f>
        <x:v>30</x:v>
      </x:c>
      <x:c r="O347" s="10" t="n">
        <x:f>AE346*N347</x:f>
        <x:v>60</x:v>
      </x:c>
      <x:c r="P347" s="9" t="n">
        <x:f>MIN(1,(AB346/(AE346*IF(v01_GroupInCrowding=1,N347,MIN(J347,L347))))^v01_CrowdingExp)</x:f>
        <x:v>0.03064609957686887</x:v>
      </x:c>
      <x:c r="Q347" s="9" t="n">
        <x:f>IF(D347=1,INDEX(v01_WinterMult,G347),1)</x:f>
        <x:v>1.6</x:v>
      </x:c>
      <x:c r="R347" s="9" t="n">
        <x:f>H347*Z346*v01_WomenShare*v01_BaseFertility*INDEX(v01_FertMult,G347)*Arch_Fertility*(1-P347)</x:f>
        <x:v>0.5280804998910269</x:v>
      </x:c>
      <x:c r="S347" s="9" t="n">
        <x:f>H347*Y346*INDEX(v01_MortChild,G347)/4*Q347</x:f>
        <x:v>0.2083619640577518</x:v>
      </x:c>
      <x:c r="T347" s="9" t="n">
        <x:f>H347*Z346*INDEX(v01_MortAdult,G347)*Arch_AdultMort/4*Q347</x:f>
        <x:v>0.07554223758690348</x:v>
      </x:c>
      <x:c r="U347" s="9" t="n">
        <x:f>H347*AA346*INDEX(v01_MortElder,G347)/4*Q347</x:f>
        <x:v>0.13293344108191565</x:v>
      </x:c>
      <x:c r="V347" s="9" t="n">
        <x:f>H347*MAX(0,AB346-O347)*v01_OvercapLoss</x:f>
        <x:v>0</x:v>
      </x:c>
      <x:c r="W347" s="9" t="n">
        <x:f>H347*Y346/(v01_ChildYears*4)</x:f>
        <x:v>0.26576781129815275</x:v>
      </x:c>
      <x:c r="X347" s="9" t="n">
        <x:f>H347*Z346/(v01_AdultYears*4)</x:f>
        <x:v>0.11715607566207115</x:v>
      </x:c>
      <x:c r="Y347" s="32" t="n">
        <x:f>Y346+R347-S347-W347-Y346*V347/AB346</x:f>
        <x:v>14.936948157231678</x:v>
      </x:c>
      <x:c r="Z347" s="32" t="n">
        <x:f>Z346+W347-X347-T347-Z346*V347/AB346</x:f>
        <x:v>14.600422880145999</x:v>
      </x:c>
      <x:c r="AA347" s="32" t="n">
        <x:f>AA346+X347-U347-AA346*V347/AB346</x:f>
        <x:v>4.138392668390019</x:v>
      </x:c>
      <x:c r="AB347" s="10" t="n">
        <x:f>Y347+Z347+AA347</x:f>
        <x:v>33.67576370576769</x:v>
      </x:c>
      <x:c r="AC347" s="8" t="n">
        <x:f>IF(AND(v01_WinterTrigger=1,D347=1,AB346/AE346&gt;=K347),1,0)</x:f>
        <x:v>0</x:v>
      </x:c>
      <x:c r="AD347" s="8" t="n">
        <x:f>H347*IF(AND(OR(AB346/AE346&gt;=v01_FissionTrigger*N347,AC347=1),AB346/AE346*v01_DaughterShare&gt;=v01_MinDaughter),MAX(1,ROUND(AE346*v01_FissionRate,0)),0)</x:f>
        <x:v>0</x:v>
      </x:c>
      <x:c r="AE347" s="8" t="n">
        <x:f>IF(H347=1,MAX(1,MIN(INDEX(v01_Smax,G347),AE346+AD347)),AE346)</x:f>
        <x:v>2</x:v>
      </x:c>
      <x:c r="AF347" s="8" t="n">
        <x:f>MAX(0,AE347-AE346)</x:f>
        <x:v>0</x:v>
      </x:c>
      <x:c r="AG347" s="9" t="str">
        <x:f>IF(AF347&gt;0,B347,"")</x:f>
      </x:c>
      <x:c r="AH347" s="9" t="n">
        <x:f>IF(F347&gt;=1,1,(1+v01_LowTiesShare*(AE347-1))/AE347)</x:f>
        <x:v>1</x:v>
      </x:c>
      <x:c r="AI347" s="32" t="n">
        <x:f>(Z347+v01_ElderCommons*INDEX(LM_Elder,G347)*AA347)*AH347</x:f>
        <x:v>24.737373272976455</x:v>
      </x:c>
      <x:c r="AJ347" s="32" t="n">
        <x:f>H347*v01_CommonsCoef*AI347^v01_CommonsExp*INDEX(LM_Commons,G347)</x:f>
        <x:v>10.090077002235972</x:v>
      </x:c>
      <x:c r="AK347" s="32" t="n">
        <x:f>H347*v01_RoleScale*Arch_Roles*(AE347*(INDEX(v01_ElderRolePerSett,G347)*v01_OutElder*INDEX(LM_Elder,G347)+INDEX(v01_ShamanPerSett,G347)*v01_OutShaman)+Z347*(INDEX(v01_PriestShare,G347)*v01_OutPriest+INDEX(v01_ScribeShare,G347)*v01_OutScribe*INDEX(LM_Scribe,G347)+INDEX(v01_ScholarShare,G347)*v01_OutScholar*INDEX(LM_Scholar,G347)+INDEX(v01_ResearcherShare,G347)*v01_OutResearcher*INDEX(LM_Researcher,G347)))</x:f>
        <x:v>2.724744871391589</x:v>
      </x:c>
      <x:c r="AL347" s="32" t="n">
        <x:f>H347*v01_RoleScale*Arch_Roles*AE347*INDEX(v01_MonasteryPerSett,G347)*v01_OutMonastery*INDEX(LM_Monastery,G347)</x:f>
        <x:v>0</x:v>
      </x:c>
      <x:c r="AM347" s="32" t="n">
        <x:f>(AJ347+AK347+AL347)/4*INDEX(LM_All,G347)*INDEX(v01_Boon,G347)*Arch_Insight</x:f>
        <x:v>3.2837981051170626</x:v>
      </x:c>
      <x:c r="AN347" s="32" t="n">
        <x:f>H347*(v01_KHPerAdult*Z347+v01_KHOfCommons*AJ347/4*INDEX(LM_All,G347))*v01_KHUsable*Arch_KH</x:f>
        <x:v>0.51101480080511</x:v>
      </x:c>
      <x:c r="AO347" s="32" t="n">
        <x:f>MIN(AP346+AN347,AM347*v01_KHMaxRatio)</x:f>
        <x:v>0.51101480080511</x:v>
      </x:c>
      <x:c r="AP347" s="32" t="n">
        <x:f>AP346+AN347-AO347</x:f>
        <x:v>0</x:v>
      </x:c>
      <x:c r="AQ347" s="32" t="n">
        <x:f>AM347+AO347</x:f>
        <x:v>3.7948129059221727</x:v>
      </x:c>
      <x:c r="AR347" s="10" t="n">
        <x:f>IF(H347=1,INDEX(v01_Req,G347),0)</x:f>
        <x:v>1067.32</x:v>
      </x:c>
      <x:c r="AS347" s="32" t="n">
        <x:f>IF(H347=1,IF(E347=1,AS346-AR346,AS346)+AQ347,0)</x:f>
        <x:v>323.70465058736676</x:v>
      </x:c>
      <x:c r="AT347" s="11" t="n">
        <x:f>IF(AR347&gt;0,MIN(1,AS347/AR347),1)</x:f>
        <x:v>0.30328734642597044</x:v>
      </x:c>
      <x:c r="AU347" s="10" t="n">
        <x:f>AB347/INDEX(v01_RepScale,G347)</x:f>
        <x:v>33.67576370576769</x:v>
      </x:c>
      <x:c r="AV347" s="32" t="n">
        <x:f>AM347*60/v01_SeasonSeconds</x:f>
        <x:v>13.13519242046825</x:v>
      </x:c>
    </x:row>
    <x:row r="348">
      <x:c r="A348" s="8" t="n">
        <x:f>A347+1</x:f>
        <x:v>345</x:v>
      </x:c>
      <x:c r="B348" s="9" t="n">
        <x:f>A348*v01_SeasonSeconds/60</x:f>
        <x:v>86.25</x:v>
      </x:c>
      <x:c r="C348" s="9" t="n">
        <x:f>A348/4</x:f>
        <x:v>86.25</x:v>
      </x:c>
      <x:c r="D348" s="8" t="n">
        <x:f>IF(MOD(A348,4)=0,1,0)</x:f>
        <x:v>0</x:v>
      </x:c>
      <x:c r="E348" s="8" t="n">
        <x:f>IF(AND(F347&lt;=9,AS347&gt;=AR347),1,0)</x:f>
        <x:v>0</x:v>
      </x:c>
      <x:c r="F348" s="8" t="n">
        <x:f>MIN(10,F347+E348)</x:f>
        <x:v>1</x:v>
      </x:c>
      <x:c r="G348" s="8" t="n">
        <x:f>MIN(F348,9)+1</x:f>
        <x:v>2</x:v>
      </x:c>
      <x:c r="H348" s="8" t="n">
        <x:f>IF(F348&lt;=9,1,0)</x:f>
        <x:v>1</x:v>
      </x:c>
      <x:c r="I348" s="9" t="n">
        <x:f>MIN(10,F347+IF(AR347&gt;0,MIN(1,AS347/AR347),1))</x:f>
        <x:v>1.3032873464259704</x:v>
      </x:c>
      <x:c r="J348" s="32" t="n">
        <x:f>INDEX(v01_FoodCap,G348)*Arch_FoodCap*EXP(v01_CapsByProject*SUMPRODUCT((Cap_Point&lt;=I348)*(Cap_Kind="Food")*Cap_Ln))</x:f>
        <x:v>30</x:v>
      </x:c>
      <x:c r="K348" s="32" t="n">
        <x:f>J348*MIN(1,v01_LeanBase*EXP(v01_CapsByProject*SUMPRODUCT((Cap_Point&lt;=I348)*(Cap_Kind="Lean")*Cap_Ln)))</x:f>
        <x:v>30</x:v>
      </x:c>
      <x:c r="L348" s="10" t="n">
        <x:f>INDEX(v01_HousingCap,G348)*EXP(v01_CapsByProject*SUMPRODUCT((Cap_Point&lt;=I348)*(Cap_Kind="Housing")*Cap_Ln))</x:f>
        <x:v>60</x:v>
      </x:c>
      <x:c r="M348" s="10" t="n">
        <x:f>INDEX(v01_GroupCap,G348)*v01_CohesionFactor*EXP(v01_CapsByProject*SUMPRODUCT((Cap_Point&lt;=I348)*(Cap_Kind="Group")*Cap_Ln))</x:f>
        <x:v>100</x:v>
      </x:c>
      <x:c r="N348" s="32" t="n">
        <x:f>MIN(J348,L348,M348)</x:f>
        <x:v>30</x:v>
      </x:c>
      <x:c r="O348" s="10" t="n">
        <x:f>AE347*N348</x:f>
        <x:v>60</x:v>
      </x:c>
      <x:c r="P348" s="9" t="n">
        <x:f>MIN(1,(AB347/(AE347*IF(v01_GroupInCrowding=1,N348,MIN(J348,L348))))^v01_CrowdingExp)</x:f>
        <x:v>0.031260593482640514</x:v>
      </x:c>
      <x:c r="Q348" s="9" t="n">
        <x:f>IF(D348=1,INDEX(v01_WinterMult,G348),1)</x:f>
        <x:v>1</x:v>
      </x:c>
      <x:c r="R348" s="9" t="n">
        <x:f>H348*Z347*v01_WomenShare*v01_BaseFertility*INDEX(v01_FertMult,G348)*Arch_Fertility*(1-P348)</x:f>
        <x:v>0.5304001873430667</x:v>
      </x:c>
      <x:c r="S348" s="9" t="n">
        <x:f>H348*Y347*INDEX(v01_MortChild,G348)/4*Q348</x:f>
        <x:v>0.13069829637577718</x:v>
      </x:c>
      <x:c r="T348" s="9" t="n">
        <x:f>H348*Z347*INDEX(v01_MortAdult,G348)*Arch_AdultMort/4*Q348</x:f>
        <x:v>0.047451374360474495</x:v>
      </x:c>
      <x:c r="U348" s="9" t="n">
        <x:f>H348*AA347*INDEX(v01_MortElder,G348)/4*Q348</x:f>
        <x:v>0.08276785336780039</x:v>
      </x:c>
      <x:c r="V348" s="9" t="n">
        <x:f>H348*MAX(0,AB347-O348)*v01_OvercapLoss</x:f>
        <x:v>0</x:v>
      </x:c>
      <x:c r="W348" s="9" t="n">
        <x:f>H348*Y347/(v01_ChildYears*4)</x:f>
        <x:v>0.2667312170934228</x:v>
      </x:c>
      <x:c r="X348" s="9" t="n">
        <x:f>H348*Z347/(v01_AdultYears*4)</x:f>
        <x:v>0.11774534580762902</x:v>
      </x:c>
      <x:c r="Y348" s="32" t="n">
        <x:f>Y347+R348-S348-W348-Y347*V348/AB347</x:f>
        <x:v>15.069918831105545</x:v>
      </x:c>
      <x:c r="Z348" s="32" t="n">
        <x:f>Z347+W348-X348-T348-Z347*V348/AB347</x:f>
        <x:v>14.701957377071318</x:v>
      </x:c>
      <x:c r="AA348" s="32" t="n">
        <x:f>AA347+X348-U348-AA347*V348/AB347</x:f>
        <x:v>4.173370160829848</x:v>
      </x:c>
      <x:c r="AB348" s="10" t="n">
        <x:f>Y348+Z348+AA348</x:f>
        <x:v>33.94524636900671</x:v>
      </x:c>
      <x:c r="AC348" s="8" t="n">
        <x:f>IF(AND(v01_WinterTrigger=1,D348=1,AB347/AE347&gt;=K348),1,0)</x:f>
        <x:v>0</x:v>
      </x:c>
      <x:c r="AD348" s="8" t="n">
        <x:f>H348*IF(AND(OR(AB347/AE347&gt;=v01_FissionTrigger*N348,AC348=1),AB347/AE347*v01_DaughterShare&gt;=v01_MinDaughter),MAX(1,ROUND(AE347*v01_FissionRate,0)),0)</x:f>
        <x:v>0</x:v>
      </x:c>
      <x:c r="AE348" s="8" t="n">
        <x:f>IF(H348=1,MAX(1,MIN(INDEX(v01_Smax,G348),AE347+AD348)),AE347)</x:f>
        <x:v>2</x:v>
      </x:c>
      <x:c r="AF348" s="8" t="n">
        <x:f>MAX(0,AE348-AE347)</x:f>
        <x:v>0</x:v>
      </x:c>
      <x:c r="AG348" s="9" t="str">
        <x:f>IF(AF348&gt;0,B348,"")</x:f>
      </x:c>
      <x:c r="AH348" s="9" t="n">
        <x:f>IF(F348&gt;=1,1,(1+v01_LowTiesShare*(AE348-1))/AE348)</x:f>
        <x:v>1</x:v>
      </x:c>
      <x:c r="AI348" s="32" t="n">
        <x:f>(Z348+v01_ElderCommons*INDEX(LM_Elder,G348)*AA348)*AH348</x:f>
        <x:v>24.924584778861416</x:v>
      </x:c>
      <x:c r="AJ348" s="32" t="n">
        <x:f>H348*v01_CommonsCoef*AI348^v01_CommonsExp*INDEX(LM_Commons,G348)</x:f>
        <x:v>10.154947390737574</x:v>
      </x:c>
      <x:c r="AK348" s="32" t="n">
        <x:f>H348*v01_RoleScale*Arch_Roles*(AE348*(INDEX(v01_ElderRolePerSett,G348)*v01_OutElder*INDEX(LM_Elder,G348)+INDEX(v01_ShamanPerSett,G348)*v01_OutShaman)+Z348*(INDEX(v01_PriestShare,G348)*v01_OutPriest+INDEX(v01_ScribeShare,G348)*v01_OutScribe*INDEX(LM_Scribe,G348)+INDEX(v01_ScholarShare,G348)*v01_OutScholar*INDEX(LM_Scholar,G348)+INDEX(v01_ResearcherShare,G348)*v01_OutResearcher*INDEX(LM_Researcher,G348)))</x:f>
        <x:v>2.724744871391589</x:v>
      </x:c>
      <x:c r="AL348" s="32" t="n">
        <x:f>H348*v01_RoleScale*Arch_Roles*AE348*INDEX(v01_MonasteryPerSett,G348)*v01_OutMonastery*INDEX(LM_Monastery,G348)</x:f>
        <x:v>0</x:v>
      </x:c>
      <x:c r="AM348" s="32" t="n">
        <x:f>(AJ348+AK348+AL348)/4*INDEX(LM_All,G348)*INDEX(v01_Boon,G348)*Arch_Insight</x:f>
        <x:v>3.3004211421705976</x:v>
      </x:c>
      <x:c r="AN348" s="32" t="n">
        <x:f>H348*(v01_KHPerAdult*Z348+v01_KHOfCommons*AJ348/4*INDEX(LM_All,G348))*v01_KHUsable*Arch_KH</x:f>
        <x:v>0.5145685081974961</x:v>
      </x:c>
      <x:c r="AO348" s="32" t="n">
        <x:f>MIN(AP347+AN348,AM348*v01_KHMaxRatio)</x:f>
        <x:v>0.5145685081974961</x:v>
      </x:c>
      <x:c r="AP348" s="32" t="n">
        <x:f>AP347+AN348-AO348</x:f>
        <x:v>0</x:v>
      </x:c>
      <x:c r="AQ348" s="32" t="n">
        <x:f>AM348+AO348</x:f>
        <x:v>3.814989650368094</x:v>
      </x:c>
      <x:c r="AR348" s="10" t="n">
        <x:f>IF(H348=1,INDEX(v01_Req,G348),0)</x:f>
        <x:v>1067.32</x:v>
      </x:c>
      <x:c r="AS348" s="32" t="n">
        <x:f>IF(H348=1,IF(E348=1,AS347-AR347,AS347)+AQ348,0)</x:f>
        <x:v>327.51964023773485</x:v>
      </x:c>
      <x:c r="AT348" s="11" t="n">
        <x:f>IF(AR348&gt;0,MIN(1,AS348/AR348),1)</x:f>
        <x:v>0.30686170992554707</x:v>
      </x:c>
      <x:c r="AU348" s="10" t="n">
        <x:f>AB348/INDEX(v01_RepScale,G348)</x:f>
        <x:v>33.94524636900671</x:v>
      </x:c>
      <x:c r="AV348" s="32" t="n">
        <x:f>AM348*60/v01_SeasonSeconds</x:f>
        <x:v>13.20168456868239</x:v>
      </x:c>
    </x:row>
    <x:row r="349">
      <x:c r="A349" s="8" t="n">
        <x:f>A348+1</x:f>
        <x:v>346</x:v>
      </x:c>
      <x:c r="B349" s="9" t="n">
        <x:f>A349*v01_SeasonSeconds/60</x:f>
        <x:v>86.5</x:v>
      </x:c>
      <x:c r="C349" s="9" t="n">
        <x:f>A349/4</x:f>
        <x:v>86.5</x:v>
      </x:c>
      <x:c r="D349" s="8" t="n">
        <x:f>IF(MOD(A349,4)=0,1,0)</x:f>
        <x:v>0</x:v>
      </x:c>
      <x:c r="E349" s="8" t="n">
        <x:f>IF(AND(F348&lt;=9,AS348&gt;=AR348),1,0)</x:f>
        <x:v>0</x:v>
      </x:c>
      <x:c r="F349" s="8" t="n">
        <x:f>MIN(10,F348+E349)</x:f>
        <x:v>1</x:v>
      </x:c>
      <x:c r="G349" s="8" t="n">
        <x:f>MIN(F349,9)+1</x:f>
        <x:v>2</x:v>
      </x:c>
      <x:c r="H349" s="8" t="n">
        <x:f>IF(F349&lt;=9,1,0)</x:f>
        <x:v>1</x:v>
      </x:c>
      <x:c r="I349" s="9" t="n">
        <x:f>MIN(10,F348+IF(AR348&gt;0,MIN(1,AS348/AR348),1))</x:f>
        <x:v>1.306861709925547</x:v>
      </x:c>
      <x:c r="J349" s="32" t="n">
        <x:f>INDEX(v01_FoodCap,G349)*Arch_FoodCap*EXP(v01_CapsByProject*SUMPRODUCT((Cap_Point&lt;=I349)*(Cap_Kind="Food")*Cap_Ln))</x:f>
        <x:v>30</x:v>
      </x:c>
      <x:c r="K349" s="32" t="n">
        <x:f>J349*MIN(1,v01_LeanBase*EXP(v01_CapsByProject*SUMPRODUCT((Cap_Point&lt;=I349)*(Cap_Kind="Lean")*Cap_Ln)))</x:f>
        <x:v>30</x:v>
      </x:c>
      <x:c r="L349" s="10" t="n">
        <x:f>INDEX(v01_HousingCap,G349)*EXP(v01_CapsByProject*SUMPRODUCT((Cap_Point&lt;=I349)*(Cap_Kind="Housing")*Cap_Ln))</x:f>
        <x:v>60</x:v>
      </x:c>
      <x:c r="M349" s="10" t="n">
        <x:f>INDEX(v01_GroupCap,G349)*v01_CohesionFactor*EXP(v01_CapsByProject*SUMPRODUCT((Cap_Point&lt;=I349)*(Cap_Kind="Group")*Cap_Ln))</x:f>
        <x:v>100</x:v>
      </x:c>
      <x:c r="N349" s="32" t="n">
        <x:f>MIN(J349,L349,M349)</x:f>
        <x:v>30</x:v>
      </x:c>
      <x:c r="O349" s="10" t="n">
        <x:f>AE348*N349</x:f>
        <x:v>60</x:v>
      </x:c>
      <x:c r="P349" s="9" t="n">
        <x:f>MIN(1,(AB348/(AE348*IF(v01_GroupInCrowding=1,N349,MIN(J349,L349))))^v01_CrowdingExp)</x:f>
        <x:v>0.032791877887373255</x:v>
      </x:c>
      <x:c r="Q349" s="9" t="n">
        <x:f>IF(D349=1,INDEX(v01_WinterMult,G349),1)</x:f>
        <x:v>1</x:v>
      </x:c>
      <x:c r="R349" s="9" t="n">
        <x:f>H349*Z348*v01_WomenShare*v01_BaseFertility*INDEX(v01_FertMult,G349)*Arch_Fertility*(1-P349)</x:f>
        <x:v>0.5332444719771386</x:v>
      </x:c>
      <x:c r="S349" s="9" t="n">
        <x:f>H349*Y348*INDEX(v01_MortChild,G349)/4*Q349</x:f>
        <x:v>0.13186178977217353</x:v>
      </x:c>
      <x:c r="T349" s="9" t="n">
        <x:f>H349*Z348*INDEX(v01_MortAdult,G349)*Arch_AdultMort/4*Q349</x:f>
        <x:v>0.04778136147548178</x:v>
      </x:c>
      <x:c r="U349" s="9" t="n">
        <x:f>H349*AA348*INDEX(v01_MortElder,G349)/4*Q349</x:f>
        <x:v>0.08346740321659697</x:v>
      </x:c>
      <x:c r="V349" s="9" t="n">
        <x:f>H349*MAX(0,AB348-O349)*v01_OvercapLoss</x:f>
        <x:v>0</x:v>
      </x:c>
      <x:c r="W349" s="9" t="n">
        <x:f>H349*Y348/(v01_ChildYears*4)</x:f>
        <x:v>0.269105693412599</x:v>
      </x:c>
      <x:c r="X349" s="9" t="n">
        <x:f>H349*Z348/(v01_AdultYears*4)</x:f>
        <x:v>0.11856417239573644</x:v>
      </x:c>
      <x:c r="Y349" s="32" t="n">
        <x:f>Y348+R349-S349-W349-Y348*V349/AB348</x:f>
        <x:v>15.202195819897911</x:v>
      </x:c>
      <x:c r="Z349" s="32" t="n">
        <x:f>Z348+W349-X349-T349-Z348*V349/AB348</x:f>
        <x:v>14.8047175366127</x:v>
      </x:c>
      <x:c r="AA349" s="32" t="n">
        <x:f>AA348+X349-U349-AA348*V349/AB348</x:f>
        <x:v>4.208466930008988</x:v>
      </x:c>
      <x:c r="AB349" s="10" t="n">
        <x:f>Y349+Z349+AA349</x:f>
        <x:v>34.2153802865196</x:v>
      </x:c>
      <x:c r="AC349" s="8" t="n">
        <x:f>IF(AND(v01_WinterTrigger=1,D349=1,AB348/AE348&gt;=K349),1,0)</x:f>
        <x:v>0</x:v>
      </x:c>
      <x:c r="AD349" s="8" t="n">
        <x:f>H349*IF(AND(OR(AB348/AE348&gt;=v01_FissionTrigger*N349,AC349=1),AB348/AE348*v01_DaughterShare&gt;=v01_MinDaughter),MAX(1,ROUND(AE348*v01_FissionRate,0)),0)</x:f>
        <x:v>0</x:v>
      </x:c>
      <x:c r="AE349" s="8" t="n">
        <x:f>IF(H349=1,MAX(1,MIN(INDEX(v01_Smax,G349),AE348+AD349)),AE348)</x:f>
        <x:v>2</x:v>
      </x:c>
      <x:c r="AF349" s="8" t="n">
        <x:f>MAX(0,AE349-AE348)</x:f>
        <x:v>0</x:v>
      </x:c>
      <x:c r="AG349" s="9" t="str">
        <x:f>IF(AF349&gt;0,B349,"")</x:f>
      </x:c>
      <x:c r="AH349" s="9" t="n">
        <x:f>IF(F349&gt;=1,1,(1+v01_LowTiesShare*(AE349-1))/AE349)</x:f>
        <x:v>1</x:v>
      </x:c>
      <x:c r="AI349" s="32" t="n">
        <x:f>(Z349+v01_ElderCommons*INDEX(LM_Elder,G349)*AA349)*AH349</x:f>
        <x:v>25.113314114511923</x:v>
      </x:c>
      <x:c r="AJ349" s="32" t="n">
        <x:f>H349*v01_CommonsCoef*AI349^v01_CommonsExp*INDEX(LM_Commons,G349)</x:f>
        <x:v>10.220269784252007</x:v>
      </x:c>
      <x:c r="AK349" s="32" t="n">
        <x:f>H349*v01_RoleScale*Arch_Roles*(AE349*(INDEX(v01_ElderRolePerSett,G349)*v01_OutElder*INDEX(LM_Elder,G349)+INDEX(v01_ShamanPerSett,G349)*v01_OutShaman)+Z349*(INDEX(v01_PriestShare,G349)*v01_OutPriest+INDEX(v01_ScribeShare,G349)*v01_OutScribe*INDEX(LM_Scribe,G349)+INDEX(v01_ScholarShare,G349)*v01_OutScholar*INDEX(LM_Scholar,G349)+INDEX(v01_ResearcherShare,G349)*v01_OutResearcher*INDEX(LM_Researcher,G349)))</x:f>
        <x:v>2.724744871391589</x:v>
      </x:c>
      <x:c r="AL349" s="32" t="n">
        <x:f>H349*v01_RoleScale*Arch_Roles*AE349*INDEX(v01_MonasteryPerSett,G349)*v01_OutMonastery*INDEX(LM_Monastery,G349)</x:f>
        <x:v>0</x:v>
      </x:c>
      <x:c r="AM349" s="32" t="n">
        <x:f>(AJ349+AK349+AL349)/4*INDEX(LM_All,G349)*INDEX(v01_Boon,G349)*Arch_Insight</x:f>
        <x:v>3.317160005508671</x:v>
      </x:c>
      <x:c r="AN349" s="32" t="n">
        <x:f>H349*(v01_KHPerAdult*Z349+v01_KHOfCommons*AJ349/4*INDEX(LM_All,G349))*v01_KHUsable*Arch_KH</x:f>
        <x:v>0.5181651137814445</x:v>
      </x:c>
      <x:c r="AO349" s="32" t="n">
        <x:f>MIN(AP348+AN349,AM349*v01_KHMaxRatio)</x:f>
        <x:v>0.5181651137814445</x:v>
      </x:c>
      <x:c r="AP349" s="32" t="n">
        <x:f>AP348+AN349-AO349</x:f>
        <x:v>0</x:v>
      </x:c>
      <x:c r="AQ349" s="32" t="n">
        <x:f>AM349+AO349</x:f>
        <x:v>3.8353251192901157</x:v>
      </x:c>
      <x:c r="AR349" s="10" t="n">
        <x:f>IF(H349=1,INDEX(v01_Req,G349),0)</x:f>
        <x:v>1067.32</x:v>
      </x:c>
      <x:c r="AS349" s="32" t="n">
        <x:f>IF(H349=1,IF(E349=1,AS348-AR348,AS348)+AQ349,0)</x:f>
        <x:v>331.354965357025</x:v>
      </x:c>
      <x:c r="AT349" s="11" t="n">
        <x:f>IF(AR349&gt;0,MIN(1,AS349/AR349),1)</x:f>
        <x:v>0.3104551262573783</x:v>
      </x:c>
      <x:c r="AU349" s="10" t="n">
        <x:f>AB349/INDEX(v01_RepScale,G349)</x:f>
        <x:v>34.2153802865196</x:v>
      </x:c>
      <x:c r="AV349" s="32" t="n">
        <x:f>AM349*60/v01_SeasonSeconds</x:f>
        <x:v>13.268640022034685</x:v>
      </x:c>
    </x:row>
    <x:row r="350">
      <x:c r="A350" s="8" t="n">
        <x:f>A349+1</x:f>
        <x:v>347</x:v>
      </x:c>
      <x:c r="B350" s="9" t="n">
        <x:f>A350*v01_SeasonSeconds/60</x:f>
        <x:v>86.75</x:v>
      </x:c>
      <x:c r="C350" s="9" t="n">
        <x:f>A350/4</x:f>
        <x:v>86.75</x:v>
      </x:c>
      <x:c r="D350" s="8" t="n">
        <x:f>IF(MOD(A350,4)=0,1,0)</x:f>
        <x:v>0</x:v>
      </x:c>
      <x:c r="E350" s="8" t="n">
        <x:f>IF(AND(F349&lt;=9,AS349&gt;=AR349),1,0)</x:f>
        <x:v>0</x:v>
      </x:c>
      <x:c r="F350" s="8" t="n">
        <x:f>MIN(10,F349+E350)</x:f>
        <x:v>1</x:v>
      </x:c>
      <x:c r="G350" s="8" t="n">
        <x:f>MIN(F350,9)+1</x:f>
        <x:v>2</x:v>
      </x:c>
      <x:c r="H350" s="8" t="n">
        <x:f>IF(F350&lt;=9,1,0)</x:f>
        <x:v>1</x:v>
      </x:c>
      <x:c r="I350" s="9" t="n">
        <x:f>MIN(10,F349+IF(AR349&gt;0,MIN(1,AS349/AR349),1))</x:f>
        <x:v>1.3104551262573783</x:v>
      </x:c>
      <x:c r="J350" s="32" t="n">
        <x:f>INDEX(v01_FoodCap,G350)*Arch_FoodCap*EXP(v01_CapsByProject*SUMPRODUCT((Cap_Point&lt;=I350)*(Cap_Kind="Food")*Cap_Ln))</x:f>
        <x:v>30</x:v>
      </x:c>
      <x:c r="K350" s="32" t="n">
        <x:f>J350*MIN(1,v01_LeanBase*EXP(v01_CapsByProject*SUMPRODUCT((Cap_Point&lt;=I350)*(Cap_Kind="Lean")*Cap_Ln)))</x:f>
        <x:v>30</x:v>
      </x:c>
      <x:c r="L350" s="10" t="n">
        <x:f>INDEX(v01_HousingCap,G350)*EXP(v01_CapsByProject*SUMPRODUCT((Cap_Point&lt;=I350)*(Cap_Kind="Housing")*Cap_Ln))</x:f>
        <x:v>60</x:v>
      </x:c>
      <x:c r="M350" s="10" t="n">
        <x:f>INDEX(v01_GroupCap,G350)*v01_CohesionFactor*EXP(v01_CapsByProject*SUMPRODUCT((Cap_Point&lt;=I350)*(Cap_Kind="Group")*Cap_Ln))</x:f>
        <x:v>100</x:v>
      </x:c>
      <x:c r="N350" s="32" t="n">
        <x:f>MIN(J350,L350,M350)</x:f>
        <x:v>30</x:v>
      </x:c>
      <x:c r="O350" s="10" t="n">
        <x:f>AE349*N350</x:f>
        <x:v>60</x:v>
      </x:c>
      <x:c r="P350" s="9" t="n">
        <x:f>MIN(1,(AB349/(AE349*IF(v01_GroupInCrowding=1,N350,MIN(J350,L350))))^v01_CrowdingExp)</x:f>
        <x:v>0.034389093317738526</x:v>
      </x:c>
      <x:c r="Q350" s="9" t="n">
        <x:f>IF(D350=1,INDEX(v01_WinterMult,G350),1)</x:f>
        <x:v>1</x:v>
      </x:c>
      <x:c r="R350" s="9" t="n">
        <x:f>H350*Z349*v01_WomenShare*v01_BaseFertility*INDEX(v01_FertMult,G350)*Arch_Fertility*(1-P350)</x:f>
        <x:v>0.5360848771388762</x:v>
      </x:c>
      <x:c r="S350" s="9" t="n">
        <x:f>H350*Y349*INDEX(v01_MortChild,G350)/4*Q350</x:f>
        <x:v>0.13301921342410675</x:v>
      </x:c>
      <x:c r="T350" s="9" t="n">
        <x:f>H350*Z349*INDEX(v01_MortAdult,G350)*Arch_AdultMort/4*Q350</x:f>
        <x:v>0.04811533199399127</x:v>
      </x:c>
      <x:c r="U350" s="9" t="n">
        <x:f>H350*AA349*INDEX(v01_MortElder,G350)/4*Q350</x:f>
        <x:v>0.08416933860017975</x:v>
      </x:c>
      <x:c r="V350" s="9" t="n">
        <x:f>H350*MAX(0,AB349-O350)*v01_OvercapLoss</x:f>
        <x:v>0</x:v>
      </x:c>
      <x:c r="W350" s="9" t="n">
        <x:f>H350*Y349/(v01_ChildYears*4)</x:f>
        <x:v>0.271467782498177</x:v>
      </x:c>
      <x:c r="X350" s="9" t="n">
        <x:f>H350*Z349/(v01_AdultYears*4)</x:f>
        <x:v>0.11939288335977984</x:v>
      </x:c>
      <x:c r="Y350" s="32" t="n">
        <x:f>Y349+R350-S350-W350-Y349*V350/AB349</x:f>
        <x:v>15.333793701114503</x:v>
      </x:c>
      <x:c r="Z350" s="32" t="n">
        <x:f>Z349+W350-X350-T350-Z349*V350/AB349</x:f>
        <x:v>14.908677103757107</x:v>
      </x:c>
      <x:c r="AA350" s="32" t="n">
        <x:f>AA349+X350-U350-AA349*V350/AB349</x:f>
        <x:v>4.243690474768587</x:v>
      </x:c>
      <x:c r="AB350" s="10" t="n">
        <x:f>Y350+Z350+AA350</x:f>
        <x:v>34.48616127964019</x:v>
      </x:c>
      <x:c r="AC350" s="8" t="n">
        <x:f>IF(AND(v01_WinterTrigger=1,D350=1,AB349/AE349&gt;=K350),1,0)</x:f>
        <x:v>0</x:v>
      </x:c>
      <x:c r="AD350" s="8" t="n">
        <x:f>H350*IF(AND(OR(AB349/AE349&gt;=v01_FissionTrigger*N350,AC350=1),AB349/AE349*v01_DaughterShare&gt;=v01_MinDaughter),MAX(1,ROUND(AE349*v01_FissionRate,0)),0)</x:f>
        <x:v>0</x:v>
      </x:c>
      <x:c r="AE350" s="8" t="n">
        <x:f>IF(H350=1,MAX(1,MIN(INDEX(v01_Smax,G350),AE349+AD350)),AE349)</x:f>
        <x:v>2</x:v>
      </x:c>
      <x:c r="AF350" s="8" t="n">
        <x:f>MAX(0,AE350-AE349)</x:f>
        <x:v>0</x:v>
      </x:c>
      <x:c r="AG350" s="9" t="str">
        <x:f>IF(AF350&gt;0,B350,"")</x:f>
      </x:c>
      <x:c r="AH350" s="9" t="n">
        <x:f>IF(F350&gt;=1,1,(1+v01_LowTiesShare*(AE350-1))/AE350)</x:f>
        <x:v>1</x:v>
      </x:c>
      <x:c r="AI350" s="32" t="n">
        <x:f>(Z350+v01_ElderCommons*INDEX(LM_Elder,G350)*AA350)*AH350</x:f>
        <x:v>25.303553393249437</x:v>
      </x:c>
      <x:c r="AJ350" s="32" t="n">
        <x:f>H350*v01_CommonsCoef*AI350^v01_CommonsExp*INDEX(LM_Commons,G350)</x:f>
        <x:v>10.286040315575939</x:v>
      </x:c>
      <x:c r="AK350" s="32" t="n">
        <x:f>H350*v01_RoleScale*Arch_Roles*(AE350*(INDEX(v01_ElderRolePerSett,G350)*v01_OutElder*INDEX(LM_Elder,G350)+INDEX(v01_ShamanPerSett,G350)*v01_OutShaman)+Z350*(INDEX(v01_PriestShare,G350)*v01_OutPriest+INDEX(v01_ScribeShare,G350)*v01_OutScribe*INDEX(LM_Scribe,G350)+INDEX(v01_ScholarShare,G350)*v01_OutScholar*INDEX(LM_Scholar,G350)+INDEX(v01_ResearcherShare,G350)*v01_OutResearcher*INDEX(LM_Researcher,G350)))</x:f>
        <x:v>2.724744871391589</x:v>
      </x:c>
      <x:c r="AL350" s="32" t="n">
        <x:f>H350*v01_RoleScale*Arch_Roles*AE350*INDEX(v01_MonasteryPerSett,G350)*v01_OutMonastery*INDEX(LM_Monastery,G350)</x:f>
        <x:v>0</x:v>
      </x:c>
      <x:c r="AM350" s="32" t="n">
        <x:f>(AJ350+AK350+AL350)/4*INDEX(LM_All,G350)*INDEX(v01_Boon,G350)*Arch_Insight</x:f>
        <x:v>3.3340137041604287</x:v>
      </x:c>
      <x:c r="AN350" s="32" t="n">
        <x:f>H350*(v01_KHPerAdult*Z350+v01_KHOfCommons*AJ350/4*INDEX(LM_All,G350))*v01_KHUsable*Arch_KH</x:f>
        <x:v>0.5218036986314988</x:v>
      </x:c>
      <x:c r="AO350" s="32" t="n">
        <x:f>MIN(AP349+AN350,AM350*v01_KHMaxRatio)</x:f>
        <x:v>0.5218036986314988</x:v>
      </x:c>
      <x:c r="AP350" s="32" t="n">
        <x:f>AP349+AN350-AO350</x:f>
        <x:v>0</x:v>
      </x:c>
      <x:c r="AQ350" s="32" t="n">
        <x:f>AM350+AO350</x:f>
        <x:v>3.8558174027919274</x:v>
      </x:c>
      <x:c r="AR350" s="10" t="n">
        <x:f>IF(H350=1,INDEX(v01_Req,G350),0)</x:f>
        <x:v>1067.32</x:v>
      </x:c>
      <x:c r="AS350" s="32" t="n">
        <x:f>IF(H350=1,IF(E350=1,AS349-AR349,AS349)+AQ350,0)</x:f>
        <x:v>335.2107827598169</x:v>
      </x:c>
      <x:c r="AT350" s="11" t="n">
        <x:f>IF(AR350&gt;0,MIN(1,AS350/AR350),1)</x:f>
        <x:v>0.31406774234514195</x:v>
      </x:c>
      <x:c r="AU350" s="10" t="n">
        <x:f>AB350/INDEX(v01_RepScale,G350)</x:f>
        <x:v>34.48616127964019</x:v>
      </x:c>
      <x:c r="AV350" s="32" t="n">
        <x:f>AM350*60/v01_SeasonSeconds</x:f>
        <x:v>13.336054816641715</x:v>
      </x:c>
    </x:row>
    <x:row r="351">
      <x:c r="A351" s="8" t="n">
        <x:f>A350+1</x:f>
        <x:v>348</x:v>
      </x:c>
      <x:c r="B351" s="9" t="n">
        <x:f>A351*v01_SeasonSeconds/60</x:f>
        <x:v>87</x:v>
      </x:c>
      <x:c r="C351" s="9" t="n">
        <x:f>A351/4</x:f>
        <x:v>87</x:v>
      </x:c>
      <x:c r="D351" s="8" t="n">
        <x:f>IF(MOD(A351,4)=0,1,0)</x:f>
        <x:v>1</x:v>
      </x:c>
      <x:c r="E351" s="8" t="n">
        <x:f>IF(AND(F350&lt;=9,AS350&gt;=AR350),1,0)</x:f>
        <x:v>0</x:v>
      </x:c>
      <x:c r="F351" s="8" t="n">
        <x:f>MIN(10,F350+E351)</x:f>
        <x:v>1</x:v>
      </x:c>
      <x:c r="G351" s="8" t="n">
        <x:f>MIN(F351,9)+1</x:f>
        <x:v>2</x:v>
      </x:c>
      <x:c r="H351" s="8" t="n">
        <x:f>IF(F351&lt;=9,1,0)</x:f>
        <x:v>1</x:v>
      </x:c>
      <x:c r="I351" s="9" t="n">
        <x:f>MIN(10,F350+IF(AR350&gt;0,MIN(1,AS350/AR350),1))</x:f>
        <x:v>1.314067742345142</x:v>
      </x:c>
      <x:c r="J351" s="32" t="n">
        <x:f>INDEX(v01_FoodCap,G351)*Arch_FoodCap*EXP(v01_CapsByProject*SUMPRODUCT((Cap_Point&lt;=I351)*(Cap_Kind="Food")*Cap_Ln))</x:f>
        <x:v>30</x:v>
      </x:c>
      <x:c r="K351" s="32" t="n">
        <x:f>J351*MIN(1,v01_LeanBase*EXP(v01_CapsByProject*SUMPRODUCT((Cap_Point&lt;=I351)*(Cap_Kind="Lean")*Cap_Ln)))</x:f>
        <x:v>30</x:v>
      </x:c>
      <x:c r="L351" s="10" t="n">
        <x:f>INDEX(v01_HousingCap,G351)*EXP(v01_CapsByProject*SUMPRODUCT((Cap_Point&lt;=I351)*(Cap_Kind="Housing")*Cap_Ln))</x:f>
        <x:v>60</x:v>
      </x:c>
      <x:c r="M351" s="10" t="n">
        <x:f>INDEX(v01_GroupCap,G351)*v01_CohesionFactor*EXP(v01_CapsByProject*SUMPRODUCT((Cap_Point&lt;=I351)*(Cap_Kind="Group")*Cap_Ln))</x:f>
        <x:v>100</x:v>
      </x:c>
      <x:c r="N351" s="32" t="n">
        <x:f>MIN(J351,L351,M351)</x:f>
        <x:v>30</x:v>
      </x:c>
      <x:c r="O351" s="10" t="n">
        <x:f>AE350*N351</x:f>
        <x:v>60</x:v>
      </x:c>
      <x:c r="P351" s="9" t="n">
        <x:f>MIN(1,(AB350/(AE350*IF(v01_GroupInCrowding=1,N351,MIN(J351,L351))))^v01_CrowdingExp)</x:f>
        <x:v>0.036054678488275316</x:v>
      </x:c>
      <x:c r="Q351" s="9" t="n">
        <x:f>IF(D351=1,INDEX(v01_WinterMult,G351),1)</x:f>
        <x:v>1.6</x:v>
      </x:c>
      <x:c r="R351" s="9" t="n">
        <x:f>H351*Z350*v01_WomenShare*v01_BaseFertility*INDEX(v01_FertMult,G351)*Arch_Fertility*(1-P351)</x:f>
        <x:v>0.5389181079035862</x:v>
      </x:c>
      <x:c r="S351" s="9" t="n">
        <x:f>H351*Y350*INDEX(v01_MortChild,G351)/4*Q351</x:f>
        <x:v>0.21467311181560308</x:v>
      </x:c>
      <x:c r="T351" s="9" t="n">
        <x:f>H351*Z350*INDEX(v01_MortAdult,G351)*Arch_AdultMort/4*Q351</x:f>
        <x:v>0.07752512093953695</x:v>
      </x:c>
      <x:c r="U351" s="9" t="n">
        <x:f>H351*AA350*INDEX(v01_MortElder,G351)/4*Q351</x:f>
        <x:v>0.13579809519259478</x:v>
      </x:c>
      <x:c r="V351" s="9" t="n">
        <x:f>H351*MAX(0,AB350-O351)*v01_OvercapLoss</x:f>
        <x:v>0</x:v>
      </x:c>
      <x:c r="W351" s="9" t="n">
        <x:f>H351*Y350/(v01_ChildYears*4)</x:f>
        <x:v>0.273817744662759</x:v>
      </x:c>
      <x:c r="X351" s="9" t="n">
        <x:f>H351*Z350/(v01_AdultYears*4)</x:f>
        <x:v>0.12023126696578312</x:v>
      </x:c>
      <x:c r="Y351" s="32" t="n">
        <x:f>Y350+R351-S351-W351-Y350*V351/AB350</x:f>
        <x:v>15.384220952539726</x:v>
      </x:c>
      <x:c r="Z351" s="32" t="n">
        <x:f>Z350+W351-X351-T351-Z350*V351/AB350</x:f>
        <x:v>14.984738460514546</x:v>
      </x:c>
      <x:c r="AA351" s="32" t="n">
        <x:f>AA350+X351-U351-AA350*V351/AB350</x:f>
        <x:v>4.228123646541776</x:v>
      </x:c>
      <x:c r="AB351" s="10" t="n">
        <x:f>Y351+Z351+AA351</x:f>
        <x:v>34.597083059596045</x:v>
      </x:c>
      <x:c r="AC351" s="8" t="n">
        <x:f>IF(AND(v01_WinterTrigger=1,D351=1,AB350/AE350&gt;=K351),1,0)</x:f>
        <x:v>0</x:v>
      </x:c>
      <x:c r="AD351" s="8" t="n">
        <x:f>H351*IF(AND(OR(AB350/AE350&gt;=v01_FissionTrigger*N351,AC351=1),AB350/AE350*v01_DaughterShare&gt;=v01_MinDaughter),MAX(1,ROUND(AE350*v01_FissionRate,0)),0)</x:f>
        <x:v>0</x:v>
      </x:c>
      <x:c r="AE351" s="8" t="n">
        <x:f>IF(H351=1,MAX(1,MIN(INDEX(v01_Smax,G351),AE350+AD351)),AE350)</x:f>
        <x:v>2</x:v>
      </x:c>
      <x:c r="AF351" s="8" t="n">
        <x:f>MAX(0,AE351-AE350)</x:f>
        <x:v>0</x:v>
      </x:c>
      <x:c r="AG351" s="9" t="str">
        <x:f>IF(AF351&gt;0,B351,"")</x:f>
      </x:c>
      <x:c r="AH351" s="9" t="n">
        <x:f>IF(F351&gt;=1,1,(1+v01_LowTiesShare*(AE351-1))/AE351)</x:f>
        <x:v>1</x:v>
      </x:c>
      <x:c r="AI351" s="32" t="n">
        <x:f>(Z351+v01_ElderCommons*INDEX(LM_Elder,G351)*AA351)*AH351</x:f>
        <x:v>25.341483963937634</x:v>
      </x:c>
      <x:c r="AJ351" s="32" t="n">
        <x:f>H351*v01_CommonsCoef*AI351^v01_CommonsExp*INDEX(LM_Commons,G351)</x:f>
        <x:v>10.2991449892311</x:v>
      </x:c>
      <x:c r="AK351" s="32" t="n">
        <x:f>H351*v01_RoleScale*Arch_Roles*(AE351*(INDEX(v01_ElderRolePerSett,G351)*v01_OutElder*INDEX(LM_Elder,G351)+INDEX(v01_ShamanPerSett,G351)*v01_OutShaman)+Z351*(INDEX(v01_PriestShare,G351)*v01_OutPriest+INDEX(v01_ScribeShare,G351)*v01_OutScribe*INDEX(LM_Scribe,G351)+INDEX(v01_ScholarShare,G351)*v01_OutScholar*INDEX(LM_Scholar,G351)+INDEX(v01_ResearcherShare,G351)*v01_OutResearcher*INDEX(LM_Researcher,G351)))</x:f>
        <x:v>2.724744871391589</x:v>
      </x:c>
      <x:c r="AL351" s="32" t="n">
        <x:f>H351*v01_RoleScale*Arch_Roles*AE351*INDEX(v01_MonasteryPerSett,G351)*v01_OutMonastery*INDEX(LM_Monastery,G351)</x:f>
        <x:v>0</x:v>
      </x:c>
      <x:c r="AM351" s="32" t="n">
        <x:f>(AJ351+AK351+AL351)/4*INDEX(LM_All,G351)*INDEX(v01_Boon,G351)*Arch_Insight</x:f>
        <x:v>3.337371776784564</x:v>
      </x:c>
      <x:c r="AN351" s="32" t="n">
        <x:f>H351*(v01_KHPerAdult*Z351+v01_KHOfCommons*AJ351/4*INDEX(LM_All,G351))*v01_KHUsable*Arch_KH</x:f>
        <x:v>0.5244658461180091</x:v>
      </x:c>
      <x:c r="AO351" s="32" t="n">
        <x:f>MIN(AP350+AN351,AM351*v01_KHMaxRatio)</x:f>
        <x:v>0.5244658461180091</x:v>
      </x:c>
      <x:c r="AP351" s="32" t="n">
        <x:f>AP350+AN351-AO351</x:f>
        <x:v>0</x:v>
      </x:c>
      <x:c r="AQ351" s="32" t="n">
        <x:f>AM351+AO351</x:f>
        <x:v>3.861837622902573</x:v>
      </x:c>
      <x:c r="AR351" s="10" t="n">
        <x:f>IF(H351=1,INDEX(v01_Req,G351),0)</x:f>
        <x:v>1067.32</x:v>
      </x:c>
      <x:c r="AS351" s="32" t="n">
        <x:f>IF(H351=1,IF(E351=1,AS350-AR350,AS350)+AQ351,0)</x:f>
        <x:v>339.07262038271944</x:v>
      </x:c>
      <x:c r="AT351" s="11" t="n">
        <x:f>IF(AR351&gt;0,MIN(1,AS351/AR351),1)</x:f>
        <x:v>0.31768599893445215</x:v>
      </x:c>
      <x:c r="AU351" s="10" t="n">
        <x:f>AB351/INDEX(v01_RepScale,G351)</x:f>
        <x:v>34.597083059596045</x:v>
      </x:c>
      <x:c r="AV351" s="32" t="n">
        <x:f>AM351*60/v01_SeasonSeconds</x:f>
        <x:v>13.349487107138255</x:v>
      </x:c>
    </x:row>
    <x:row r="352">
      <x:c r="A352" s="8" t="n">
        <x:f>A351+1</x:f>
        <x:v>349</x:v>
      </x:c>
      <x:c r="B352" s="9" t="n">
        <x:f>A352*v01_SeasonSeconds/60</x:f>
        <x:v>87.25</x:v>
      </x:c>
      <x:c r="C352" s="9" t="n">
        <x:f>A352/4</x:f>
        <x:v>87.25</x:v>
      </x:c>
      <x:c r="D352" s="8" t="n">
        <x:f>IF(MOD(A352,4)=0,1,0)</x:f>
        <x:v>0</x:v>
      </x:c>
      <x:c r="E352" s="8" t="n">
        <x:f>IF(AND(F351&lt;=9,AS351&gt;=AR351),1,0)</x:f>
        <x:v>0</x:v>
      </x:c>
      <x:c r="F352" s="8" t="n">
        <x:f>MIN(10,F351+E352)</x:f>
        <x:v>1</x:v>
      </x:c>
      <x:c r="G352" s="8" t="n">
        <x:f>MIN(F352,9)+1</x:f>
        <x:v>2</x:v>
      </x:c>
      <x:c r="H352" s="8" t="n">
        <x:f>IF(F352&lt;=9,1,0)</x:f>
        <x:v>1</x:v>
      </x:c>
      <x:c r="I352" s="9" t="n">
        <x:f>MIN(10,F351+IF(AR351&gt;0,MIN(1,AS351/AR351),1))</x:f>
        <x:v>1.317685998934452</x:v>
      </x:c>
      <x:c r="J352" s="32" t="n">
        <x:f>INDEX(v01_FoodCap,G352)*Arch_FoodCap*EXP(v01_CapsByProject*SUMPRODUCT((Cap_Point&lt;=I352)*(Cap_Kind="Food")*Cap_Ln))</x:f>
        <x:v>30</x:v>
      </x:c>
      <x:c r="K352" s="32" t="n">
        <x:f>J352*MIN(1,v01_LeanBase*EXP(v01_CapsByProject*SUMPRODUCT((Cap_Point&lt;=I352)*(Cap_Kind="Lean")*Cap_Ln)))</x:f>
        <x:v>30</x:v>
      </x:c>
      <x:c r="L352" s="10" t="n">
        <x:f>INDEX(v01_HousingCap,G352)*EXP(v01_CapsByProject*SUMPRODUCT((Cap_Point&lt;=I352)*(Cap_Kind="Housing")*Cap_Ln))</x:f>
        <x:v>60</x:v>
      </x:c>
      <x:c r="M352" s="10" t="n">
        <x:f>INDEX(v01_GroupCap,G352)*v01_CohesionFactor*EXP(v01_CapsByProject*SUMPRODUCT((Cap_Point&lt;=I352)*(Cap_Kind="Group")*Cap_Ln))</x:f>
        <x:v>100</x:v>
      </x:c>
      <x:c r="N352" s="32" t="n">
        <x:f>MIN(J352,L352,M352)</x:f>
        <x:v>30</x:v>
      </x:c>
      <x:c r="O352" s="10" t="n">
        <x:f>AE351*N352</x:f>
        <x:v>60</x:v>
      </x:c>
      <x:c r="P352" s="9" t="n">
        <x:f>MIN(1,(AB351/(AE351*IF(v01_GroupInCrowding=1,N352,MIN(J352,L352))))^v01_CrowdingExp)</x:f>
        <x:v>0.036756098184751916</x:v>
      </x:c>
      <x:c r="Q352" s="9" t="n">
        <x:f>IF(D352=1,INDEX(v01_WinterMult,G352),1)</x:f>
        <x:v>1</x:v>
      </x:c>
      <x:c r="R352" s="9" t="n">
        <x:f>H352*Z351*v01_WomenShare*v01_BaseFertility*INDEX(v01_FertMult,G352)*Arch_Fertility*(1-P352)</x:f>
        <x:v>0.5412734228395141</x:v>
      </x:c>
      <x:c r="S352" s="9" t="n">
        <x:f>H352*Y351*INDEX(v01_MortChild,G352)/4*Q352</x:f>
        <x:v>0.13461193333472263</x:v>
      </x:c>
      <x:c r="T352" s="9" t="n">
        <x:f>H352*Z351*INDEX(v01_MortAdult,G352)*Arch_AdultMort/4*Q352</x:f>
        <x:v>0.04870039999667227</x:v>
      </x:c>
      <x:c r="U352" s="9" t="n">
        <x:f>H352*AA351*INDEX(v01_MortElder,G352)/4*Q352</x:f>
        <x:v>0.08456247293083552</x:v>
      </x:c>
      <x:c r="V352" s="9" t="n">
        <x:f>H352*MAX(0,AB351-O352)*v01_OvercapLoss</x:f>
        <x:v>0</x:v>
      </x:c>
      <x:c r="W352" s="9" t="n">
        <x:f>H352*Y351/(v01_ChildYears*4)</x:f>
        <x:v>0.2747182312953523</x:v>
      </x:c>
      <x:c r="X352" s="9" t="n">
        <x:f>H352*Z351/(v01_AdultYears*4)</x:f>
        <x:v>0.12084466500414956</x:v>
      </x:c>
      <x:c r="Y352" s="32" t="n">
        <x:f>Y351+R352-S352-W352-Y351*V352/AB351</x:f>
        <x:v>15.516164210749166</x:v>
      </x:c>
      <x:c r="Z352" s="32" t="n">
        <x:f>Z351+W352-X352-T352-Z351*V352/AB351</x:f>
        <x:v>15.089911626809076</x:v>
      </x:c>
      <x:c r="AA352" s="32" t="n">
        <x:f>AA351+X352-U352-AA351*V352/AB351</x:f>
        <x:v>4.264405838615089</x:v>
      </x:c>
      <x:c r="AB352" s="10" t="n">
        <x:f>Y352+Z352+AA352</x:f>
        <x:v>34.870481676173334</x:v>
      </x:c>
      <x:c r="AC352" s="8" t="n">
        <x:f>IF(AND(v01_WinterTrigger=1,D352=1,AB351/AE351&gt;=K352),1,0)</x:f>
        <x:v>0</x:v>
      </x:c>
      <x:c r="AD352" s="8" t="n">
        <x:f>H352*IF(AND(OR(AB351/AE351&gt;=v01_FissionTrigger*N352,AC352=1),AB351/AE351*v01_DaughterShare&gt;=v01_MinDaughter),MAX(1,ROUND(AE351*v01_FissionRate,0)),0)</x:f>
        <x:v>0</x:v>
      </x:c>
      <x:c r="AE352" s="8" t="n">
        <x:f>IF(H352=1,MAX(1,MIN(INDEX(v01_Smax,G352),AE351+AD352)),AE351)</x:f>
        <x:v>2</x:v>
      </x:c>
      <x:c r="AF352" s="8" t="n">
        <x:f>MAX(0,AE352-AE351)</x:f>
        <x:v>0</x:v>
      </x:c>
      <x:c r="AG352" s="9" t="str">
        <x:f>IF(AF352&gt;0,B352,"")</x:f>
      </x:c>
      <x:c r="AH352" s="9" t="n">
        <x:f>IF(F352&gt;=1,1,(1+v01_LowTiesShare*(AE352-1))/AE352)</x:f>
        <x:v>1</x:v>
      </x:c>
      <x:c r="AI352" s="32" t="n">
        <x:f>(Z352+v01_ElderCommons*INDEX(LM_Elder,G352)*AA352)*AH352</x:f>
        <x:v>25.535529987561432</x:v>
      </x:c>
      <x:c r="AJ352" s="32" t="n">
        <x:f>H352*v01_CommonsCoef*AI352^v01_CommonsExp*INDEX(LM_Commons,G352)</x:f>
        <x:v>10.36614024473843</x:v>
      </x:c>
      <x:c r="AK352" s="32" t="n">
        <x:f>H352*v01_RoleScale*Arch_Roles*(AE352*(INDEX(v01_ElderRolePerSett,G352)*v01_OutElder*INDEX(LM_Elder,G352)+INDEX(v01_ShamanPerSett,G352)*v01_OutShaman)+Z352*(INDEX(v01_PriestShare,G352)*v01_OutPriest+INDEX(v01_ScribeShare,G352)*v01_OutScribe*INDEX(LM_Scribe,G352)+INDEX(v01_ScholarShare,G352)*v01_OutScholar*INDEX(LM_Scholar,G352)+INDEX(v01_ResearcherShare,G352)*v01_OutResearcher*INDEX(LM_Researcher,G352)))</x:f>
        <x:v>2.724744871391589</x:v>
      </x:c>
      <x:c r="AL352" s="32" t="n">
        <x:f>H352*v01_RoleScale*Arch_Roles*AE352*INDEX(v01_MonasteryPerSett,G352)*v01_OutMonastery*INDEX(LM_Monastery,G352)</x:f>
        <x:v>0</x:v>
      </x:c>
      <x:c r="AM352" s="32" t="n">
        <x:f>(AJ352+AK352+AL352)/4*INDEX(LM_All,G352)*INDEX(v01_Boon,G352)*Arch_Insight</x:f>
        <x:v>3.3545393110083173</x:v>
      </x:c>
      <x:c r="AN352" s="32" t="n">
        <x:f>H352*(v01_KHPerAdult*Z352+v01_KHOfCommons*AJ352/4*INDEX(LM_All,G352))*v01_KHUsable*Arch_KH</x:f>
        <x:v>0.5281469069383177</x:v>
      </x:c>
      <x:c r="AO352" s="32" t="n">
        <x:f>MIN(AP351+AN352,AM352*v01_KHMaxRatio)</x:f>
        <x:v>0.5281469069383177</x:v>
      </x:c>
      <x:c r="AP352" s="32" t="n">
        <x:f>AP351+AN352-AO352</x:f>
        <x:v>0</x:v>
      </x:c>
      <x:c r="AQ352" s="32" t="n">
        <x:f>AM352+AO352</x:f>
        <x:v>3.882686217946635</x:v>
      </x:c>
      <x:c r="AR352" s="10" t="n">
        <x:f>IF(H352=1,INDEX(v01_Req,G352),0)</x:f>
        <x:v>1067.32</x:v>
      </x:c>
      <x:c r="AS352" s="32" t="n">
        <x:f>IF(H352=1,IF(E352=1,AS351-AR351,AS351)+AQ352,0)</x:f>
        <x:v>342.95530660066606</x:v>
      </x:c>
      <x:c r="AT352" s="11" t="n">
        <x:f>IF(AR352&gt;0,MIN(1,AS352/AR352),1)</x:f>
        <x:v>0.3213237891172901</x:v>
      </x:c>
      <x:c r="AU352" s="10" t="n">
        <x:f>AB352/INDEX(v01_RepScale,G352)</x:f>
        <x:v>34.870481676173334</x:v>
      </x:c>
      <x:c r="AV352" s="32" t="n">
        <x:f>AM352*60/v01_SeasonSeconds</x:f>
        <x:v>13.418157244033269</x:v>
      </x:c>
    </x:row>
    <x:row r="353">
      <x:c r="A353" s="8" t="n">
        <x:f>A352+1</x:f>
        <x:v>350</x:v>
      </x:c>
      <x:c r="B353" s="9" t="n">
        <x:f>A353*v01_SeasonSeconds/60</x:f>
        <x:v>87.5</x:v>
      </x:c>
      <x:c r="C353" s="9" t="n">
        <x:f>A353/4</x:f>
        <x:v>87.5</x:v>
      </x:c>
      <x:c r="D353" s="8" t="n">
        <x:f>IF(MOD(A353,4)=0,1,0)</x:f>
        <x:v>0</x:v>
      </x:c>
      <x:c r="E353" s="8" t="n">
        <x:f>IF(AND(F352&lt;=9,AS352&gt;=AR352),1,0)</x:f>
        <x:v>0</x:v>
      </x:c>
      <x:c r="F353" s="8" t="n">
        <x:f>MIN(10,F352+E353)</x:f>
        <x:v>1</x:v>
      </x:c>
      <x:c r="G353" s="8" t="n">
        <x:f>MIN(F353,9)+1</x:f>
        <x:v>2</x:v>
      </x:c>
      <x:c r="H353" s="8" t="n">
        <x:f>IF(F353&lt;=9,1,0)</x:f>
        <x:v>1</x:v>
      </x:c>
      <x:c r="I353" s="9" t="n">
        <x:f>MIN(10,F352+IF(AR352&gt;0,MIN(1,AS352/AR352),1))</x:f>
        <x:v>1.3213237891172902</x:v>
      </x:c>
      <x:c r="J353" s="32" t="n">
        <x:f>INDEX(v01_FoodCap,G353)*Arch_FoodCap*EXP(v01_CapsByProject*SUMPRODUCT((Cap_Point&lt;=I353)*(Cap_Kind="Food")*Cap_Ln))</x:f>
        <x:v>30</x:v>
      </x:c>
      <x:c r="K353" s="32" t="n">
        <x:f>J353*MIN(1,v01_LeanBase*EXP(v01_CapsByProject*SUMPRODUCT((Cap_Point&lt;=I353)*(Cap_Kind="Lean")*Cap_Ln)))</x:f>
        <x:v>30</x:v>
      </x:c>
      <x:c r="L353" s="10" t="n">
        <x:f>INDEX(v01_HousingCap,G353)*EXP(v01_CapsByProject*SUMPRODUCT((Cap_Point&lt;=I353)*(Cap_Kind="Housing")*Cap_Ln))</x:f>
        <x:v>60</x:v>
      </x:c>
      <x:c r="M353" s="10" t="n">
        <x:f>INDEX(v01_GroupCap,G353)*v01_CohesionFactor*EXP(v01_CapsByProject*SUMPRODUCT((Cap_Point&lt;=I353)*(Cap_Kind="Group")*Cap_Ln))</x:f>
        <x:v>100</x:v>
      </x:c>
      <x:c r="N353" s="32" t="n">
        <x:f>MIN(J353,L353,M353)</x:f>
        <x:v>30</x:v>
      </x:c>
      <x:c r="O353" s="10" t="n">
        <x:f>AE352*N353</x:f>
        <x:v>60</x:v>
      </x:c>
      <x:c r="P353" s="9" t="n">
        <x:f>MIN(1,(AB352/(AE352*IF(v01_GroupInCrowding=1,N353,MIN(J353,L353))))^v01_CrowdingExp)</x:f>
        <x:v>0.038533652488295725</x:v>
      </x:c>
      <x:c r="Q353" s="9" t="n">
        <x:f>IF(D353=1,INDEX(v01_WinterMult,G353),1)</x:f>
        <x:v>1</x:v>
      </x:c>
      <x:c r="R353" s="9" t="n">
        <x:f>H353*Z352*v01_WomenShare*v01_BaseFertility*INDEX(v01_FertMult,G353)*Arch_Fertility*(1-P353)</x:f>
        <x:v>0.5440665831038445</x:v>
      </x:c>
      <x:c r="S353" s="9" t="n">
        <x:f>H353*Y352*INDEX(v01_MortChild,G353)/4*Q353</x:f>
        <x:v>0.1357664368440552</x:v>
      </x:c>
      <x:c r="T353" s="9" t="n">
        <x:f>H353*Z352*INDEX(v01_MortAdult,G353)*Arch_AdultMort/4*Q353</x:f>
        <x:v>0.049042212787129495</x:v>
      </x:c>
      <x:c r="U353" s="9" t="n">
        <x:f>H353*AA352*INDEX(v01_MortElder,G353)/4*Q353</x:f>
        <x:v>0.08528811677230179</x:v>
      </x:c>
      <x:c r="V353" s="9" t="n">
        <x:f>H353*MAX(0,AB352-O353)*v01_OvercapLoss</x:f>
        <x:v>0</x:v>
      </x:c>
      <x:c r="W353" s="9" t="n">
        <x:f>H353*Y352/(v01_ChildYears*4)</x:f>
        <x:v>0.2770743609062351</x:v>
      </x:c>
      <x:c r="X353" s="9" t="n">
        <x:f>H353*Z352/(v01_AdultYears*4)</x:f>
        <x:v>0.1216928357000732</x:v>
      </x:c>
      <x:c r="Y353" s="32" t="n">
        <x:f>Y352+R353-S353-W353-Y352*V353/AB352</x:f>
        <x:v>15.647389996102719</x:v>
      </x:c>
      <x:c r="Z353" s="32" t="n">
        <x:f>Z352+W353-X353-T353-Z352*V353/AB352</x:f>
        <x:v>15.196250939228108</x:v>
      </x:c>
      <x:c r="AA353" s="32" t="n">
        <x:f>AA352+X353-U353-AA352*V353/AB352</x:f>
        <x:v>4.300810557542861</x:v>
      </x:c>
      <x:c r="AB353" s="10" t="n">
        <x:f>Y353+Z353+AA353</x:f>
        <x:v>35.144451492873685</x:v>
      </x:c>
      <x:c r="AC353" s="8" t="n">
        <x:f>IF(AND(v01_WinterTrigger=1,D353=1,AB352/AE352&gt;=K353),1,0)</x:f>
        <x:v>0</x:v>
      </x:c>
      <x:c r="AD353" s="8" t="n">
        <x:f>H353*IF(AND(OR(AB352/AE352&gt;=v01_FissionTrigger*N353,AC353=1),AB352/AE352*v01_DaughterShare&gt;=v01_MinDaughter),MAX(1,ROUND(AE352*v01_FissionRate,0)),0)</x:f>
        <x:v>0</x:v>
      </x:c>
      <x:c r="AE353" s="8" t="n">
        <x:f>IF(H353=1,MAX(1,MIN(INDEX(v01_Smax,G353),AE352+AD353)),AE352)</x:f>
        <x:v>2</x:v>
      </x:c>
      <x:c r="AF353" s="8" t="n">
        <x:f>MAX(0,AE353-AE352)</x:f>
        <x:v>0</x:v>
      </x:c>
      <x:c r="AG353" s="9" t="str">
        <x:f>IF(AF353&gt;0,B353,"")</x:f>
      </x:c>
      <x:c r="AH353" s="9" t="n">
        <x:f>IF(F353&gt;=1,1,(1+v01_LowTiesShare*(AE353-1))/AE353)</x:f>
        <x:v>1</x:v>
      </x:c>
      <x:c r="AI353" s="32" t="n">
        <x:f>(Z353+v01_ElderCommons*INDEX(LM_Elder,G353)*AA353)*AH353</x:f>
        <x:v>25.731042285582944</x:v>
      </x:c>
      <x:c r="AJ353" s="32" t="n">
        <x:f>H353*v01_CommonsCoef*AI353^v01_CommonsExp*INDEX(LM_Commons,G353)</x:f>
        <x:v>10.433564550034463</x:v>
      </x:c>
      <x:c r="AK353" s="32" t="n">
        <x:f>H353*v01_RoleScale*Arch_Roles*(AE353*(INDEX(v01_ElderRolePerSett,G353)*v01_OutElder*INDEX(LM_Elder,G353)+INDEX(v01_ShamanPerSett,G353)*v01_OutShaman)+Z353*(INDEX(v01_PriestShare,G353)*v01_OutPriest+INDEX(v01_ScribeShare,G353)*v01_OutScribe*INDEX(LM_Scribe,G353)+INDEX(v01_ScholarShare,G353)*v01_OutScholar*INDEX(LM_Scholar,G353)+INDEX(v01_ResearcherShare,G353)*v01_OutResearcher*INDEX(LM_Researcher,G353)))</x:f>
        <x:v>2.724744871391589</x:v>
      </x:c>
      <x:c r="AL353" s="32" t="n">
        <x:f>H353*v01_RoleScale*Arch_Roles*AE353*INDEX(v01_MonasteryPerSett,G353)*v01_OutMonastery*INDEX(LM_Monastery,G353)</x:f>
        <x:v>0</x:v>
      </x:c>
      <x:c r="AM353" s="32" t="n">
        <x:f>(AJ353+AK353+AL353)/4*INDEX(LM_All,G353)*INDEX(v01_Boon,G353)*Arch_Insight</x:f>
        <x:v>3.371816789240426</x:v>
      </x:c>
      <x:c r="AN353" s="32" t="n">
        <x:f>H353*(v01_KHPerAdult*Z353+v01_KHOfCommons*AJ353/4*INDEX(LM_All,G353))*v01_KHUsable*Arch_KH</x:f>
        <x:v>0.5318687828729838</x:v>
      </x:c>
      <x:c r="AO353" s="32" t="n">
        <x:f>MIN(AP352+AN353,AM353*v01_KHMaxRatio)</x:f>
        <x:v>0.5318687828729838</x:v>
      </x:c>
      <x:c r="AP353" s="32" t="n">
        <x:f>AP352+AN353-AO353</x:f>
        <x:v>0</x:v>
      </x:c>
      <x:c r="AQ353" s="32" t="n">
        <x:f>AM353+AO353</x:f>
        <x:v>3.9036855721134094</x:v>
      </x:c>
      <x:c r="AR353" s="10" t="n">
        <x:f>IF(H353=1,INDEX(v01_Req,G353),0)</x:f>
        <x:v>1067.32</x:v>
      </x:c>
      <x:c r="AS353" s="32" t="n">
        <x:f>IF(H353=1,IF(E353=1,AS352-AR352,AS352)+AQ353,0)</x:f>
        <x:v>346.8589921727795</x:v>
      </x:c>
      <x:c r="AT353" s="11" t="n">
        <x:f>IF(AR353&gt;0,MIN(1,AS353/AR353),1)</x:f>
        <x:v>0.32498125414381773</x:v>
      </x:c>
      <x:c r="AU353" s="10" t="n">
        <x:f>AB353/INDEX(v01_RepScale,G353)</x:f>
        <x:v>35.144451492873685</x:v>
      </x:c>
      <x:c r="AV353" s="32" t="n">
        <x:f>AM353*60/v01_SeasonSeconds</x:f>
        <x:v>13.487267156961703</x:v>
      </x:c>
    </x:row>
    <x:row r="354">
      <x:c r="A354" s="8" t="n">
        <x:f>A353+1</x:f>
        <x:v>351</x:v>
      </x:c>
      <x:c r="B354" s="9" t="n">
        <x:f>A354*v01_SeasonSeconds/60</x:f>
        <x:v>87.75</x:v>
      </x:c>
      <x:c r="C354" s="9" t="n">
        <x:f>A354/4</x:f>
        <x:v>87.75</x:v>
      </x:c>
      <x:c r="D354" s="8" t="n">
        <x:f>IF(MOD(A354,4)=0,1,0)</x:f>
        <x:v>0</x:v>
      </x:c>
      <x:c r="E354" s="8" t="n">
        <x:f>IF(AND(F353&lt;=9,AS353&gt;=AR353),1,0)</x:f>
        <x:v>0</x:v>
      </x:c>
      <x:c r="F354" s="8" t="n">
        <x:f>MIN(10,F353+E354)</x:f>
        <x:v>1</x:v>
      </x:c>
      <x:c r="G354" s="8" t="n">
        <x:f>MIN(F354,9)+1</x:f>
        <x:v>2</x:v>
      </x:c>
      <x:c r="H354" s="8" t="n">
        <x:f>IF(F354&lt;=9,1,0)</x:f>
        <x:v>1</x:v>
      </x:c>
      <x:c r="I354" s="9" t="n">
        <x:f>MIN(10,F353+IF(AR353&gt;0,MIN(1,AS353/AR353),1))</x:f>
        <x:v>1.3249812541438177</x:v>
      </x:c>
      <x:c r="J354" s="32" t="n">
        <x:f>INDEX(v01_FoodCap,G354)*Arch_FoodCap*EXP(v01_CapsByProject*SUMPRODUCT((Cap_Point&lt;=I354)*(Cap_Kind="Food")*Cap_Ln))</x:f>
        <x:v>30</x:v>
      </x:c>
      <x:c r="K354" s="32" t="n">
        <x:f>J354*MIN(1,v01_LeanBase*EXP(v01_CapsByProject*SUMPRODUCT((Cap_Point&lt;=I354)*(Cap_Kind="Lean")*Cap_Ln)))</x:f>
        <x:v>30</x:v>
      </x:c>
      <x:c r="L354" s="10" t="n">
        <x:f>INDEX(v01_HousingCap,G354)*EXP(v01_CapsByProject*SUMPRODUCT((Cap_Point&lt;=I354)*(Cap_Kind="Housing")*Cap_Ln))</x:f>
        <x:v>60</x:v>
      </x:c>
      <x:c r="M354" s="10" t="n">
        <x:f>INDEX(v01_GroupCap,G354)*v01_CohesionFactor*EXP(v01_CapsByProject*SUMPRODUCT((Cap_Point&lt;=I354)*(Cap_Kind="Group")*Cap_Ln))</x:f>
        <x:v>100</x:v>
      </x:c>
      <x:c r="N354" s="32" t="n">
        <x:f>MIN(J354,L354,M354)</x:f>
        <x:v>30</x:v>
      </x:c>
      <x:c r="O354" s="10" t="n">
        <x:f>AE353*N354</x:f>
        <x:v>60</x:v>
      </x:c>
      <x:c r="P354" s="9" t="n">
        <x:f>MIN(1,(AB353/(AE353*IF(v01_GroupInCrowding=1,N354,MIN(J354,L354))))^v01_CrowdingExp)</x:f>
        <x:v>0.04038621148511768</x:v>
      </x:c>
      <x:c r="Q354" s="9" t="n">
        <x:f>IF(D354=1,INDEX(v01_WinterMult,G354),1)</x:f>
        <x:v>1</x:v>
      </x:c>
      <x:c r="R354" s="9" t="n">
        <x:f>H354*Z353*v01_WomenShare*v01_BaseFertility*INDEX(v01_FertMult,G354)*Arch_Fertility*(1-P354)</x:f>
        <x:v>0.5468449475630821</x:v>
      </x:c>
      <x:c r="S354" s="9" t="n">
        <x:f>H354*Y353*INDEX(v01_MortChild,G354)/4*Q354</x:f>
        <x:v>0.1369146624658988</x:v>
      </x:c>
      <x:c r="T354" s="9" t="n">
        <x:f>H354*Z353*INDEX(v01_MortAdult,G354)*Arch_AdultMort/4*Q354</x:f>
        <x:v>0.049387815552491346</x:v>
      </x:c>
      <x:c r="U354" s="9" t="n">
        <x:f>H354*AA353*INDEX(v01_MortElder,G354)/4*Q354</x:f>
        <x:v>0.08601621115085722</x:v>
      </x:c>
      <x:c r="V354" s="9" t="n">
        <x:f>H354*MAX(0,AB353-O354)*v01_OvercapLoss</x:f>
        <x:v>0</x:v>
      </x:c>
      <x:c r="W354" s="9" t="n">
        <x:f>H354*Y353/(v01_ChildYears*4)</x:f>
        <x:v>0.27941767850183424</x:v>
      </x:c>
      <x:c r="X354" s="9" t="n">
        <x:f>H354*Z353/(v01_AdultYears*4)</x:f>
        <x:v>0.12255041080022668</x:v>
      </x:c>
      <x:c r="Y354" s="32" t="n">
        <x:f>Y353+R354-S354-W354-Y353*V354/AB353</x:f>
        <x:v>15.777902602698068</x:v>
      </x:c>
      <x:c r="Z354" s="32" t="n">
        <x:f>Z353+W354-X354-T354-Z353*V354/AB353</x:f>
        <x:v>15.303730391377226</x:v>
      </x:c>
      <x:c r="AA354" s="32" t="n">
        <x:f>AA353+X354-U354-AA353*V354/AB353</x:f>
        <x:v>4.337344757192231</x:v>
      </x:c>
      <x:c r="AB354" s="10" t="n">
        <x:f>Y354+Z354+AA354</x:f>
        <x:v>35.41897775126752</x:v>
      </x:c>
      <x:c r="AC354" s="8" t="n">
        <x:f>IF(AND(v01_WinterTrigger=1,D354=1,AB353/AE353&gt;=K354),1,0)</x:f>
        <x:v>0</x:v>
      </x:c>
      <x:c r="AD354" s="8" t="n">
        <x:f>H354*IF(AND(OR(AB353/AE353&gt;=v01_FissionTrigger*N354,AC354=1),AB353/AE353*v01_DaughterShare&gt;=v01_MinDaughter),MAX(1,ROUND(AE353*v01_FissionRate,0)),0)</x:f>
        <x:v>0</x:v>
      </x:c>
      <x:c r="AE354" s="8" t="n">
        <x:f>IF(H354=1,MAX(1,MIN(INDEX(v01_Smax,G354),AE353+AD354)),AE353)</x:f>
        <x:v>2</x:v>
      </x:c>
      <x:c r="AF354" s="8" t="n">
        <x:f>MAX(0,AE354-AE353)</x:f>
        <x:v>0</x:v>
      </x:c>
      <x:c r="AG354" s="9" t="str">
        <x:f>IF(AF354&gt;0,B354,"")</x:f>
      </x:c>
      <x:c r="AH354" s="9" t="n">
        <x:f>IF(F354&gt;=1,1,(1+v01_LowTiesShare*(AE354-1))/AE354)</x:f>
        <x:v>1</x:v>
      </x:c>
      <x:c r="AI354" s="32" t="n">
        <x:f>(Z354+v01_ElderCommons*INDEX(LM_Elder,G354)*AA354)*AH354</x:f>
        <x:v>25.92801188503399</x:v>
      </x:c>
      <x:c r="AJ354" s="32" t="n">
        <x:f>H354*v01_CommonsCoef*AI354^v01_CommonsExp*INDEX(LM_Commons,G354)</x:f>
        <x:v>10.50141375706407</x:v>
      </x:c>
      <x:c r="AK354" s="32" t="n">
        <x:f>H354*v01_RoleScale*Arch_Roles*(AE354*(INDEX(v01_ElderRolePerSett,G354)*v01_OutElder*INDEX(LM_Elder,G354)+INDEX(v01_ShamanPerSett,G354)*v01_OutShaman)+Z354*(INDEX(v01_PriestShare,G354)*v01_OutPriest+INDEX(v01_ScribeShare,G354)*v01_OutScribe*INDEX(LM_Scribe,G354)+INDEX(v01_ScholarShare,G354)*v01_OutScholar*INDEX(LM_Scholar,G354)+INDEX(v01_ResearcherShare,G354)*v01_OutResearcher*INDEX(LM_Researcher,G354)))</x:f>
        <x:v>2.724744871391589</x:v>
      </x:c>
      <x:c r="AL354" s="32" t="n">
        <x:f>H354*v01_RoleScale*Arch_Roles*AE354*INDEX(v01_MonasteryPerSett,G354)*v01_OutMonastery*INDEX(LM_Monastery,G354)</x:f>
        <x:v>0</x:v>
      </x:c>
      <x:c r="AM354" s="32" t="n">
        <x:f>(AJ354+AK354+AL354)/4*INDEX(LM_All,G354)*INDEX(v01_Boon,G354)*Arch_Insight</x:f>
        <x:v>3.389203148541762</x:v>
      </x:c>
      <x:c r="AN354" s="32" t="n">
        <x:f>H354*(v01_KHPerAdult*Z354+v01_KHOfCommons*AJ354/4*INDEX(LM_All,G354))*v01_KHUsable*Arch_KH</x:f>
        <x:v>0.5356305636982028</x:v>
      </x:c>
      <x:c r="AO354" s="32" t="n">
        <x:f>MIN(AP353+AN354,AM354*v01_KHMaxRatio)</x:f>
        <x:v>0.5356305636982028</x:v>
      </x:c>
      <x:c r="AP354" s="32" t="n">
        <x:f>AP353+AN354-AO354</x:f>
        <x:v>0</x:v>
      </x:c>
      <x:c r="AQ354" s="32" t="n">
        <x:f>AM354+AO354</x:f>
        <x:v>3.9248337122399652</x:v>
      </x:c>
      <x:c r="AR354" s="10" t="n">
        <x:f>IF(H354=1,INDEX(v01_Req,G354),0)</x:f>
        <x:v>1067.32</x:v>
      </x:c>
      <x:c r="AS354" s="32" t="n">
        <x:f>IF(H354=1,IF(E354=1,AS353-AR353,AS353)+AQ354,0)</x:f>
        <x:v>350.78382588501944</x:v>
      </x:c>
      <x:c r="AT354" s="11" t="n">
        <x:f>IF(AR354&gt;0,MIN(1,AS354/AR354),1)</x:f>
        <x:v>0.32865853341548873</x:v>
      </x:c>
      <x:c r="AU354" s="10" t="n">
        <x:f>AB354/INDEX(v01_RepScale,G354)</x:f>
        <x:v>35.41897775126752</x:v>
      </x:c>
      <x:c r="AV354" s="32" t="n">
        <x:f>AM354*60/v01_SeasonSeconds</x:f>
        <x:v>13.556812594167049</x:v>
      </x:c>
    </x:row>
    <x:row r="355">
      <x:c r="A355" s="8" t="n">
        <x:f>A354+1</x:f>
        <x:v>352</x:v>
      </x:c>
      <x:c r="B355" s="9" t="n">
        <x:f>A355*v01_SeasonSeconds/60</x:f>
        <x:v>88</x:v>
      </x:c>
      <x:c r="C355" s="9" t="n">
        <x:f>A355/4</x:f>
        <x:v>88</x:v>
      </x:c>
      <x:c r="D355" s="8" t="n">
        <x:f>IF(MOD(A355,4)=0,1,0)</x:f>
        <x:v>1</x:v>
      </x:c>
      <x:c r="E355" s="8" t="n">
        <x:f>IF(AND(F354&lt;=9,AS354&gt;=AR354),1,0)</x:f>
        <x:v>0</x:v>
      </x:c>
      <x:c r="F355" s="8" t="n">
        <x:f>MIN(10,F354+E355)</x:f>
        <x:v>1</x:v>
      </x:c>
      <x:c r="G355" s="8" t="n">
        <x:f>MIN(F355,9)+1</x:f>
        <x:v>2</x:v>
      </x:c>
      <x:c r="H355" s="8" t="n">
        <x:f>IF(F355&lt;=9,1,0)</x:f>
        <x:v>1</x:v>
      </x:c>
      <x:c r="I355" s="9" t="n">
        <x:f>MIN(10,F354+IF(AR354&gt;0,MIN(1,AS354/AR354),1))</x:f>
        <x:v>1.3286585334154888</x:v>
      </x:c>
      <x:c r="J355" s="32" t="n">
        <x:f>INDEX(v01_FoodCap,G355)*Arch_FoodCap*EXP(v01_CapsByProject*SUMPRODUCT((Cap_Point&lt;=I355)*(Cap_Kind="Food")*Cap_Ln))</x:f>
        <x:v>30</x:v>
      </x:c>
      <x:c r="K355" s="32" t="n">
        <x:f>J355*MIN(1,v01_LeanBase*EXP(v01_CapsByProject*SUMPRODUCT((Cap_Point&lt;=I355)*(Cap_Kind="Lean")*Cap_Ln)))</x:f>
        <x:v>30</x:v>
      </x:c>
      <x:c r="L355" s="10" t="n">
        <x:f>INDEX(v01_HousingCap,G355)*EXP(v01_CapsByProject*SUMPRODUCT((Cap_Point&lt;=I355)*(Cap_Kind="Housing")*Cap_Ln))</x:f>
        <x:v>60</x:v>
      </x:c>
      <x:c r="M355" s="10" t="n">
        <x:f>INDEX(v01_GroupCap,G355)*v01_CohesionFactor*EXP(v01_CapsByProject*SUMPRODUCT((Cap_Point&lt;=I355)*(Cap_Kind="Group")*Cap_Ln))</x:f>
        <x:v>100</x:v>
      </x:c>
      <x:c r="N355" s="32" t="n">
        <x:f>MIN(J355,L355,M355)</x:f>
        <x:v>30</x:v>
      </x:c>
      <x:c r="O355" s="10" t="n">
        <x:f>AE354*N355</x:f>
        <x:v>60</x:v>
      </x:c>
      <x:c r="P355" s="9" t="n">
        <x:f>MIN(1,(AB354/(AE354*IF(v01_GroupInCrowding=1,N355,MIN(J355,L355))))^v01_CrowdingExp)</x:f>
        <x:v>0.04231639216493931</x:v>
      </x:c>
      <x:c r="Q355" s="9" t="n">
        <x:f>IF(D355=1,INDEX(v01_WinterMult,G355),1)</x:f>
        <x:v>1.6</x:v>
      </x:c>
      <x:c r="R355" s="9" t="n">
        <x:f>H355*Z354*v01_WomenShare*v01_BaseFertility*INDEX(v01_FertMult,G355)*Arch_Fertility*(1-P355)</x:f>
        <x:v>0.5496049400455952</x:v>
      </x:c>
      <x:c r="S355" s="9" t="n">
        <x:f>H355*Y354*INDEX(v01_MortChild,G355)/4*Q355</x:f>
        <x:v>0.22089063643777296</x:v>
      </x:c>
      <x:c r="T355" s="9" t="n">
        <x:f>H355*Z354*INDEX(v01_MortAdult,G355)*Arch_AdultMort/4*Q355</x:f>
        <x:v>0.07957939803516158</x:v>
      </x:c>
      <x:c r="U355" s="9" t="n">
        <x:f>H355*AA354*INDEX(v01_MortElder,G355)/4*Q355</x:f>
        <x:v>0.13879503223015138</x:v>
      </x:c>
      <x:c r="V355" s="9" t="n">
        <x:f>H355*MAX(0,AB354-O355)*v01_OvercapLoss</x:f>
        <x:v>0</x:v>
      </x:c>
      <x:c r="W355" s="9" t="n">
        <x:f>H355*Y354/(v01_ChildYears*4)</x:f>
        <x:v>0.2817482607624655</x:v>
      </x:c>
      <x:c r="X355" s="9" t="n">
        <x:f>H355*Z354/(v01_AdultYears*4)</x:f>
        <x:v>0.12341718057562279</x:v>
      </x:c>
      <x:c r="Y355" s="32" t="n">
        <x:f>Y354+R355-S355-W355-Y354*V355/AB354</x:f>
        <x:v>15.824868645543425</x:v>
      </x:c>
      <x:c r="Z355" s="32" t="n">
        <x:f>Z354+W355-X355-T355-Z354*V355/AB354</x:f>
        <x:v>15.382482073528909</x:v>
      </x:c>
      <x:c r="AA355" s="32" t="n">
        <x:f>AA354+X355-U355-AA354*V355/AB354</x:f>
        <x:v>4.321966905537702</x:v>
      </x:c>
      <x:c r="AB355" s="10" t="n">
        <x:f>Y355+Z355+AA355</x:f>
        <x:v>35.52931762461004</x:v>
      </x:c>
      <x:c r="AC355" s="8" t="n">
        <x:f>IF(AND(v01_WinterTrigger=1,D355=1,AB354/AE354&gt;=K355),1,0)</x:f>
        <x:v>0</x:v>
      </x:c>
      <x:c r="AD355" s="8" t="n">
        <x:f>H355*IF(AND(OR(AB354/AE354&gt;=v01_FissionTrigger*N355,AC355=1),AB354/AE354*v01_DaughterShare&gt;=v01_MinDaughter),MAX(1,ROUND(AE354*v01_FissionRate,0)),0)</x:f>
        <x:v>0</x:v>
      </x:c>
      <x:c r="AE355" s="8" t="n">
        <x:f>IF(H355=1,MAX(1,MIN(INDEX(v01_Smax,G355),AE354+AD355)),AE354)</x:f>
        <x:v>2</x:v>
      </x:c>
      <x:c r="AF355" s="8" t="n">
        <x:f>MAX(0,AE355-AE354)</x:f>
        <x:v>0</x:v>
      </x:c>
      <x:c r="AG355" s="9" t="str">
        <x:f>IF(AF355&gt;0,B355,"")</x:f>
      </x:c>
      <x:c r="AH355" s="9" t="n">
        <x:f>IF(F355&gt;=1,1,(1+v01_LowTiesShare*(AE355-1))/AE355)</x:f>
        <x:v>1</x:v>
      </x:c>
      <x:c r="AI355" s="32" t="n">
        <x:f>(Z355+v01_ElderCommons*INDEX(LM_Elder,G355)*AA355)*AH355</x:f>
        <x:v>25.96909567729186</x:v>
      </x:c>
      <x:c r="AJ355" s="32" t="n">
        <x:f>H355*v01_CommonsCoef*AI355^v01_CommonsExp*INDEX(LM_Commons,G355)</x:f>
        <x:v>10.515555938996169</x:v>
      </x:c>
      <x:c r="AK355" s="32" t="n">
        <x:f>H355*v01_RoleScale*Arch_Roles*(AE355*(INDEX(v01_ElderRolePerSett,G355)*v01_OutElder*INDEX(LM_Elder,G355)+INDEX(v01_ShamanPerSett,G355)*v01_OutShaman)+Z355*(INDEX(v01_PriestShare,G355)*v01_OutPriest+INDEX(v01_ScribeShare,G355)*v01_OutScribe*INDEX(LM_Scribe,G355)+INDEX(v01_ScholarShare,G355)*v01_OutScholar*INDEX(LM_Scholar,G355)+INDEX(v01_ResearcherShare,G355)*v01_OutResearcher*INDEX(LM_Researcher,G355)))</x:f>
        <x:v>2.724744871391589</x:v>
      </x:c>
      <x:c r="AL355" s="32" t="n">
        <x:f>H355*v01_RoleScale*Arch_Roles*AE355*INDEX(v01_MonasteryPerSett,G355)*v01_OutMonastery*INDEX(LM_Monastery,G355)</x:f>
        <x:v>0</x:v>
      </x:c>
      <x:c r="AM355" s="32" t="n">
        <x:f>(AJ355+AK355+AL355)/4*INDEX(LM_All,G355)*INDEX(v01_Boon,G355)*Arch_Insight</x:f>
        <x:v>3.3928270826618627</x:v>
      </x:c>
      <x:c r="AN355" s="32" t="n">
        <x:f>H355*(v01_KHPerAdult*Z355+v01_KHOfCommons*AJ355/4*INDEX(LM_All,G355))*v01_KHUsable*Arch_KH</x:f>
        <x:v>0.5383868725735118</x:v>
      </x:c>
      <x:c r="AO355" s="32" t="n">
        <x:f>MIN(AP354+AN355,AM355*v01_KHMaxRatio)</x:f>
        <x:v>0.5383868725735118</x:v>
      </x:c>
      <x:c r="AP355" s="32" t="n">
        <x:f>AP354+AN355-AO355</x:f>
        <x:v>0</x:v>
      </x:c>
      <x:c r="AQ355" s="32" t="n">
        <x:f>AM355+AO355</x:f>
        <x:v>3.9312139552353744</x:v>
      </x:c>
      <x:c r="AR355" s="10" t="n">
        <x:f>IF(H355=1,INDEX(v01_Req,G355),0)</x:f>
        <x:v>1067.32</x:v>
      </x:c>
      <x:c r="AS355" s="32" t="n">
        <x:f>IF(H355=1,IF(E355=1,AS354-AR354,AS354)+AQ355,0)</x:f>
        <x:v>354.7150398402548</x:v>
      </x:c>
      <x:c r="AT355" s="11" t="n">
        <x:f>IF(AR355&gt;0,MIN(1,AS355/AR355),1)</x:f>
        <x:v>0.33234179050355545</x:v>
      </x:c>
      <x:c r="AU355" s="10" t="n">
        <x:f>AB355/INDEX(v01_RepScale,G355)</x:f>
        <x:v>35.52931762461004</x:v>
      </x:c>
      <x:c r="AV355" s="32" t="n">
        <x:f>AM355*60/v01_SeasonSeconds</x:f>
        <x:v>13.571308330647451</x:v>
      </x:c>
    </x:row>
    <x:row r="356">
      <x:c r="A356" s="8" t="n">
        <x:f>A355+1</x:f>
        <x:v>353</x:v>
      </x:c>
      <x:c r="B356" s="9" t="n">
        <x:f>A356*v01_SeasonSeconds/60</x:f>
        <x:v>88.25</x:v>
      </x:c>
      <x:c r="C356" s="9" t="n">
        <x:f>A356/4</x:f>
        <x:v>88.25</x:v>
      </x:c>
      <x:c r="D356" s="8" t="n">
        <x:f>IF(MOD(A356,4)=0,1,0)</x:f>
        <x:v>0</x:v>
      </x:c>
      <x:c r="E356" s="8" t="n">
        <x:f>IF(AND(F355&lt;=9,AS355&gt;=AR355),1,0)</x:f>
        <x:v>0</x:v>
      </x:c>
      <x:c r="F356" s="8" t="n">
        <x:f>MIN(10,F355+E356)</x:f>
        <x:v>1</x:v>
      </x:c>
      <x:c r="G356" s="8" t="n">
        <x:f>MIN(F356,9)+1</x:f>
        <x:v>2</x:v>
      </x:c>
      <x:c r="H356" s="8" t="n">
        <x:f>IF(F356&lt;=9,1,0)</x:f>
        <x:v>1</x:v>
      </x:c>
      <x:c r="I356" s="9" t="n">
        <x:f>MIN(10,F355+IF(AR355&gt;0,MIN(1,AS355/AR355),1))</x:f>
        <x:v>1.3323417905035555</x:v>
      </x:c>
      <x:c r="J356" s="32" t="n">
        <x:f>INDEX(v01_FoodCap,G356)*Arch_FoodCap*EXP(v01_CapsByProject*SUMPRODUCT((Cap_Point&lt;=I356)*(Cap_Kind="Food")*Cap_Ln))</x:f>
        <x:v>30</x:v>
      </x:c>
      <x:c r="K356" s="32" t="n">
        <x:f>J356*MIN(1,v01_LeanBase*EXP(v01_CapsByProject*SUMPRODUCT((Cap_Point&lt;=I356)*(Cap_Kind="Lean")*Cap_Ln)))</x:f>
        <x:v>30</x:v>
      </x:c>
      <x:c r="L356" s="10" t="n">
        <x:f>INDEX(v01_HousingCap,G356)*EXP(v01_CapsByProject*SUMPRODUCT((Cap_Point&lt;=I356)*(Cap_Kind="Housing")*Cap_Ln))</x:f>
        <x:v>60</x:v>
      </x:c>
      <x:c r="M356" s="10" t="n">
        <x:f>INDEX(v01_GroupCap,G356)*v01_CohesionFactor*EXP(v01_CapsByProject*SUMPRODUCT((Cap_Point&lt;=I356)*(Cap_Kind="Group")*Cap_Ln))</x:f>
        <x:v>100</x:v>
      </x:c>
      <x:c r="N356" s="32" t="n">
        <x:f>MIN(J356,L356,M356)</x:f>
        <x:v>30</x:v>
      </x:c>
      <x:c r="O356" s="10" t="n">
        <x:f>AE355*N356</x:f>
        <x:v>60</x:v>
      </x:c>
      <x:c r="P356" s="9" t="n">
        <x:f>MIN(1,(AB355/(AE355*IF(v01_GroupInCrowding=1,N356,MIN(J356,L356))))^v01_CrowdingExp)</x:f>
        <x:v>0.043113541300438867</x:v>
      </x:c>
      <x:c r="Q356" s="9" t="n">
        <x:f>IF(D356=1,INDEX(v01_WinterMult,G356),1)</x:f>
        <x:v>1</x:v>
      </x:c>
      <x:c r="R356" s="9" t="n">
        <x:f>H356*Z355*v01_WomenShare*v01_BaseFertility*INDEX(v01_FertMult,G356)*Arch_Fertility*(1-P356)</x:f>
        <x:v>0.5519733299005709</x:v>
      </x:c>
      <x:c r="S356" s="9" t="n">
        <x:f>H356*Y355*INDEX(v01_MortChild,G356)/4*Q356</x:f>
        <x:v>0.138467600648505</x:v>
      </x:c>
      <x:c r="T356" s="9" t="n">
        <x:f>H356*Z355*INDEX(v01_MortAdult,G356)*Arch_AdultMort/4*Q356</x:f>
        <x:v>0.04999306673896895</x:v>
      </x:c>
      <x:c r="U356" s="9" t="n">
        <x:f>H356*AA355*INDEX(v01_MortElder,G356)/4*Q356</x:f>
        <x:v>0.08643933811075405</x:v>
      </x:c>
      <x:c r="V356" s="9" t="n">
        <x:f>H356*MAX(0,AB355-O356)*v01_OvercapLoss</x:f>
        <x:v>0</x:v>
      </x:c>
      <x:c r="W356" s="9" t="n">
        <x:f>H356*Y355/(v01_ChildYears*4)</x:f>
        <x:v>0.2825869400989897</x:v>
      </x:c>
      <x:c r="X356" s="9" t="n">
        <x:f>H356*Z355/(v01_AdultYears*4)</x:f>
        <x:v>0.12405227478652346</x:v>
      </x:c>
      <x:c r="Y356" s="32" t="n">
        <x:f>Y355+R356-S356-W356-Y355*V356/AB355</x:f>
        <x:v>15.955787434696502</x:v>
      </x:c>
      <x:c r="Z356" s="32" t="n">
        <x:f>Z355+W356-X356-T356-Z355*V356/AB355</x:f>
        <x:v>15.491023672102406</x:v>
      </x:c>
      <x:c r="AA356" s="32" t="n">
        <x:f>AA355+X356-U356-AA355*V356/AB355</x:f>
        <x:v>4.3595798422134715</x:v>
      </x:c>
      <x:c r="AB356" s="10" t="n">
        <x:f>Y356+Z356+AA356</x:f>
        <x:v>35.80639094901238</x:v>
      </x:c>
      <x:c r="AC356" s="8" t="n">
        <x:f>IF(AND(v01_WinterTrigger=1,D356=1,AB355/AE355&gt;=K356),1,0)</x:f>
        <x:v>0</x:v>
      </x:c>
      <x:c r="AD356" s="8" t="n">
        <x:f>H356*IF(AND(OR(AB355/AE355&gt;=v01_FissionTrigger*N356,AC356=1),AB355/AE355*v01_DaughterShare&gt;=v01_MinDaughter),MAX(1,ROUND(AE355*v01_FissionRate,0)),0)</x:f>
        <x:v>0</x:v>
      </x:c>
      <x:c r="AE356" s="8" t="n">
        <x:f>IF(H356=1,MAX(1,MIN(INDEX(v01_Smax,G356),AE355+AD356)),AE355)</x:f>
        <x:v>2</x:v>
      </x:c>
      <x:c r="AF356" s="8" t="n">
        <x:f>MAX(0,AE356-AE355)</x:f>
        <x:v>0</x:v>
      </x:c>
      <x:c r="AG356" s="9" t="str">
        <x:f>IF(AF356&gt;0,B356,"")</x:f>
      </x:c>
      <x:c r="AH356" s="9" t="n">
        <x:f>IF(F356&gt;=1,1,(1+v01_LowTiesShare*(AE356-1))/AE356)</x:f>
        <x:v>1</x:v>
      </x:c>
      <x:c r="AI356" s="32" t="n">
        <x:f>(Z356+v01_ElderCommons*INDEX(LM_Elder,G356)*AA356)*AH356</x:f>
        <x:v>26.16976977844861</x:v>
      </x:c>
      <x:c r="AJ356" s="32" t="n">
        <x:f>H356*v01_CommonsCoef*AI356^v01_CommonsExp*INDEX(LM_Commons,G356)</x:f>
        <x:v>10.584585424338398</x:v>
      </x:c>
      <x:c r="AK356" s="32" t="n">
        <x:f>H356*v01_RoleScale*Arch_Roles*(AE356*(INDEX(v01_ElderRolePerSett,G356)*v01_OutElder*INDEX(LM_Elder,G356)+INDEX(v01_ShamanPerSett,G356)*v01_OutShaman)+Z356*(INDEX(v01_PriestShare,G356)*v01_OutPriest+INDEX(v01_ScribeShare,G356)*v01_OutScribe*INDEX(LM_Scribe,G356)+INDEX(v01_ScholarShare,G356)*v01_OutScholar*INDEX(LM_Scholar,G356)+INDEX(v01_ResearcherShare,G356)*v01_OutResearcher*INDEX(LM_Researcher,G356)))</x:f>
        <x:v>2.724744871391589</x:v>
      </x:c>
      <x:c r="AL356" s="32" t="n">
        <x:f>H356*v01_RoleScale*Arch_Roles*AE356*INDEX(v01_MonasteryPerSett,G356)*v01_OutMonastery*INDEX(LM_Monastery,G356)</x:f>
        <x:v>0</x:v>
      </x:c>
      <x:c r="AM356" s="32" t="n">
        <x:f>(AJ356+AK356+AL356)/4*INDEX(LM_All,G356)*INDEX(v01_Boon,G356)*Arch_Insight</x:f>
        <x:v>3.410515888280809</x:v>
      </x:c>
      <x:c r="AN356" s="32" t="n">
        <x:f>H356*(v01_KHPerAdult*Z356+v01_KHOfCommons*AJ356/4*INDEX(LM_All,G356))*v01_KHUsable*Arch_KH</x:f>
        <x:v>0.5421858285235842</x:v>
      </x:c>
      <x:c r="AO356" s="32" t="n">
        <x:f>MIN(AP355+AN356,AM356*v01_KHMaxRatio)</x:f>
        <x:v>0.5421858285235842</x:v>
      </x:c>
      <x:c r="AP356" s="32" t="n">
        <x:f>AP355+AN356-AO356</x:f>
        <x:v>0</x:v>
      </x:c>
      <x:c r="AQ356" s="32" t="n">
        <x:f>AM356+AO356</x:f>
        <x:v>3.9527017168043934</x:v>
      </x:c>
      <x:c r="AR356" s="10" t="n">
        <x:f>IF(H356=1,INDEX(v01_Req,G356),0)</x:f>
        <x:v>1067.32</x:v>
      </x:c>
      <x:c r="AS356" s="32" t="n">
        <x:f>IF(H356=1,IF(E356=1,AS355-AR355,AS355)+AQ356,0)</x:f>
        <x:v>358.6677415570592</x:v>
      </x:c>
      <x:c r="AT356" s="11" t="n">
        <x:f>IF(AR356&gt;0,MIN(1,AS356/AR356),1)</x:f>
        <x:v>0.33604518003697037</x:v>
      </x:c>
      <x:c r="AU356" s="10" t="n">
        <x:f>AB356/INDEX(v01_RepScale,G356)</x:f>
        <x:v>35.80639094901238</x:v>
      </x:c>
      <x:c r="AV356" s="32" t="n">
        <x:f>AM356*60/v01_SeasonSeconds</x:f>
        <x:v>13.642063553123235</x:v>
      </x:c>
    </x:row>
    <x:row r="357">
      <x:c r="A357" s="8" t="n">
        <x:f>A356+1</x:f>
        <x:v>354</x:v>
      </x:c>
      <x:c r="B357" s="9" t="n">
        <x:f>A357*v01_SeasonSeconds/60</x:f>
        <x:v>88.5</x:v>
      </x:c>
      <x:c r="C357" s="9" t="n">
        <x:f>A357/4</x:f>
        <x:v>88.5</x:v>
      </x:c>
      <x:c r="D357" s="8" t="n">
        <x:f>IF(MOD(A357,4)=0,1,0)</x:f>
        <x:v>0</x:v>
      </x:c>
      <x:c r="E357" s="8" t="n">
        <x:f>IF(AND(F356&lt;=9,AS356&gt;=AR356),1,0)</x:f>
        <x:v>0</x:v>
      </x:c>
      <x:c r="F357" s="8" t="n">
        <x:f>MIN(10,F356+E357)</x:f>
        <x:v>1</x:v>
      </x:c>
      <x:c r="G357" s="8" t="n">
        <x:f>MIN(F357,9)+1</x:f>
        <x:v>2</x:v>
      </x:c>
      <x:c r="H357" s="8" t="n">
        <x:f>IF(F357&lt;=9,1,0)</x:f>
        <x:v>1</x:v>
      </x:c>
      <x:c r="I357" s="9" t="n">
        <x:f>MIN(10,F356+IF(AR356&gt;0,MIN(1,AS356/AR356),1))</x:f>
        <x:v>1.3360451800369704</x:v>
      </x:c>
      <x:c r="J357" s="32" t="n">
        <x:f>INDEX(v01_FoodCap,G357)*Arch_FoodCap*EXP(v01_CapsByProject*SUMPRODUCT((Cap_Point&lt;=I357)*(Cap_Kind="Food")*Cap_Ln))</x:f>
        <x:v>30</x:v>
      </x:c>
      <x:c r="K357" s="32" t="n">
        <x:f>J357*MIN(1,v01_LeanBase*EXP(v01_CapsByProject*SUMPRODUCT((Cap_Point&lt;=I357)*(Cap_Kind="Lean")*Cap_Ln)))</x:f>
        <x:v>30</x:v>
      </x:c>
      <x:c r="L357" s="10" t="n">
        <x:f>INDEX(v01_HousingCap,G357)*EXP(v01_CapsByProject*SUMPRODUCT((Cap_Point&lt;=I357)*(Cap_Kind="Housing")*Cap_Ln))</x:f>
        <x:v>60</x:v>
      </x:c>
      <x:c r="M357" s="10" t="n">
        <x:f>INDEX(v01_GroupCap,G357)*v01_CohesionFactor*EXP(v01_CapsByProject*SUMPRODUCT((Cap_Point&lt;=I357)*(Cap_Kind="Group")*Cap_Ln))</x:f>
        <x:v>100</x:v>
      </x:c>
      <x:c r="N357" s="32" t="n">
        <x:f>MIN(J357,L357,M357)</x:f>
        <x:v>30</x:v>
      </x:c>
      <x:c r="O357" s="10" t="n">
        <x:f>AE356*N357</x:f>
        <x:v>60</x:v>
      </x:c>
      <x:c r="P357" s="9" t="n">
        <x:f>MIN(1,(AB356/(AE356*IF(v01_GroupInCrowding=1,N357,MIN(J357,L357))))^v01_CrowdingExp)</x:f>
        <x:v>0.04517059306797879</x:v>
      </x:c>
      <x:c r="Q357" s="9" t="n">
        <x:f>IF(D357=1,INDEX(v01_WinterMult,G357),1)</x:f>
        <x:v>1</x:v>
      </x:c>
      <x:c r="R357" s="9" t="n">
        <x:f>H357*Z356*v01_WomenShare*v01_BaseFertility*INDEX(v01_FertMult,G357)*Arch_Fertility*(1-P357)</x:f>
        <x:v>0.554673185460129</x:v>
      </x:c>
      <x:c r="S357" s="9" t="n">
        <x:f>H357*Y356*INDEX(v01_MortChild,G357)/4*Q357</x:f>
        <x:v>0.1396131400535944</x:v>
      </x:c>
      <x:c r="T357" s="9" t="n">
        <x:f>H357*Z356*INDEX(v01_MortAdult,G357)*Arch_AdultMort/4*Q357</x:f>
        <x:v>0.050345826934332816</x:v>
      </x:c>
      <x:c r="U357" s="9" t="n">
        <x:f>H357*AA356*INDEX(v01_MortElder,G357)/4*Q357</x:f>
        <x:v>0.08719159684426943</x:v>
      </x:c>
      <x:c r="V357" s="9" t="n">
        <x:f>H357*MAX(0,AB356-O357)*v01_OvercapLoss</x:f>
        <x:v>0</x:v>
      </x:c>
      <x:c r="W357" s="9" t="n">
        <x:f>H357*Y356/(v01_ChildYears*4)</x:f>
        <x:v>0.2849247756195804</x:v>
      </x:c>
      <x:c r="X357" s="9" t="n">
        <x:f>H357*Z356/(v01_AdultYears*4)</x:f>
        <x:v>0.12492761025889038</x:v>
      </x:c>
      <x:c r="Y357" s="32" t="n">
        <x:f>Y356+R357-S357-W357-Y356*V357/AB356</x:f>
        <x:v>16.08592270448346</x:v>
      </x:c>
      <x:c r="Z357" s="32" t="n">
        <x:f>Z356+W357-X357-T357-Z356*V357/AB356</x:f>
        <x:v>15.600675010528764</x:v>
      </x:c>
      <x:c r="AA357" s="32" t="n">
        <x:f>AA356+X357-U357-AA356*V357/AB356</x:f>
        <x:v>4.397315855628092</x:v>
      </x:c>
      <x:c r="AB357" s="10" t="n">
        <x:f>Y357+Z357+AA357</x:f>
        <x:v>36.08391357064031</x:v>
      </x:c>
      <x:c r="AC357" s="8" t="n">
        <x:f>IF(AND(v01_WinterTrigger=1,D357=1,AB356/AE356&gt;=K357),1,0)</x:f>
        <x:v>0</x:v>
      </x:c>
      <x:c r="AD357" s="8" t="n">
        <x:f>H357*IF(AND(OR(AB356/AE356&gt;=v01_FissionTrigger*N357,AC357=1),AB356/AE356*v01_DaughterShare&gt;=v01_MinDaughter),MAX(1,ROUND(AE356*v01_FissionRate,0)),0)</x:f>
        <x:v>0</x:v>
      </x:c>
      <x:c r="AE357" s="8" t="n">
        <x:f>IF(H357=1,MAX(1,MIN(INDEX(v01_Smax,G357),AE356+AD357)),AE356)</x:f>
        <x:v>2</x:v>
      </x:c>
      <x:c r="AF357" s="8" t="n">
        <x:f>MAX(0,AE357-AE356)</x:f>
        <x:v>0</x:v>
      </x:c>
      <x:c r="AG357" s="9" t="str">
        <x:f>IF(AF357&gt;0,B357,"")</x:f>
      </x:c>
      <x:c r="AH357" s="9" t="n">
        <x:f>IF(F357&gt;=1,1,(1+v01_LowTiesShare*(AE357-1))/AE357)</x:f>
        <x:v>1</x:v>
      </x:c>
      <x:c r="AI357" s="32" t="n">
        <x:f>(Z357+v01_ElderCommons*INDEX(LM_Elder,G357)*AA357)*AH357</x:f>
        <x:v>26.37185509466761</x:v>
      </x:c>
      <x:c r="AJ357" s="32" t="n">
        <x:f>H357*v01_CommonsCoef*AI357^v01_CommonsExp*INDEX(LM_Commons,G357)</x:f>
        <x:v>10.654020158750463</x:v>
      </x:c>
      <x:c r="AK357" s="32" t="n">
        <x:f>H357*v01_RoleScale*Arch_Roles*(AE357*(INDEX(v01_ElderRolePerSett,G357)*v01_OutElder*INDEX(LM_Elder,G357)+INDEX(v01_ShamanPerSett,G357)*v01_OutShaman)+Z357*(INDEX(v01_PriestShare,G357)*v01_OutPriest+INDEX(v01_ScribeShare,G357)*v01_OutScribe*INDEX(LM_Scribe,G357)+INDEX(v01_ScholarShare,G357)*v01_OutScholar*INDEX(LM_Scholar,G357)+INDEX(v01_ResearcherShare,G357)*v01_OutResearcher*INDEX(LM_Researcher,G357)))</x:f>
        <x:v>2.724744871391589</x:v>
      </x:c>
      <x:c r="AL357" s="32" t="n">
        <x:f>H357*v01_RoleScale*Arch_Roles*AE357*INDEX(v01_MonasteryPerSett,G357)*v01_OutMonastery*INDEX(LM_Monastery,G357)</x:f>
        <x:v>0</x:v>
      </x:c>
      <x:c r="AM357" s="32" t="n">
        <x:f>(AJ357+AK357+AL357)/4*INDEX(LM_All,G357)*INDEX(v01_Boon,G357)*Arch_Insight</x:f>
        <x:v>3.4283085389739005</x:v>
      </x:c>
      <x:c r="AN357" s="32" t="n">
        <x:f>H357*(v01_KHPerAdult*Z357+v01_KHOfCommons*AJ357/4*INDEX(LM_All,G357))*v01_KHUsable*Arch_KH</x:f>
        <x:v>0.5460236253685068</x:v>
      </x:c>
      <x:c r="AO357" s="32" t="n">
        <x:f>MIN(AP356+AN357,AM357*v01_KHMaxRatio)</x:f>
        <x:v>0.5460236253685068</x:v>
      </x:c>
      <x:c r="AP357" s="32" t="n">
        <x:f>AP356+AN357-AO357</x:f>
        <x:v>0</x:v>
      </x:c>
      <x:c r="AQ357" s="32" t="n">
        <x:f>AM357+AO357</x:f>
        <x:v>3.974332164342407</x:v>
      </x:c>
      <x:c r="AR357" s="10" t="n">
        <x:f>IF(H357=1,INDEX(v01_Req,G357),0)</x:f>
        <x:v>1067.32</x:v>
      </x:c>
      <x:c r="AS357" s="32" t="n">
        <x:f>IF(H357=1,IF(E357=1,AS356-AR356,AS356)+AQ357,0)</x:f>
        <x:v>362.6420737214016</x:v>
      </x:c>
      <x:c r="AT357" s="11" t="n">
        <x:f>IF(AR357&gt;0,MIN(1,AS357/AR357),1)</x:f>
        <x:v>0.33976883570194655</x:v>
      </x:c>
      <x:c r="AU357" s="10" t="n">
        <x:f>AB357/INDEX(v01_RepScale,G357)</x:f>
        <x:v>36.08391357064031</x:v>
      </x:c>
      <x:c r="AV357" s="32" t="n">
        <x:f>AM357*60/v01_SeasonSeconds</x:f>
        <x:v>13.713234155895602</x:v>
      </x:c>
    </x:row>
    <x:row r="358">
      <x:c r="A358" s="8" t="n">
        <x:f>A357+1</x:f>
        <x:v>355</x:v>
      </x:c>
      <x:c r="B358" s="9" t="n">
        <x:f>A358*v01_SeasonSeconds/60</x:f>
        <x:v>88.75</x:v>
      </x:c>
      <x:c r="C358" s="9" t="n">
        <x:f>A358/4</x:f>
        <x:v>88.75</x:v>
      </x:c>
      <x:c r="D358" s="8" t="n">
        <x:f>IF(MOD(A358,4)=0,1,0)</x:f>
        <x:v>0</x:v>
      </x:c>
      <x:c r="E358" s="8" t="n">
        <x:f>IF(AND(F357&lt;=9,AS357&gt;=AR357),1,0)</x:f>
        <x:v>0</x:v>
      </x:c>
      <x:c r="F358" s="8" t="n">
        <x:f>MIN(10,F357+E358)</x:f>
        <x:v>1</x:v>
      </x:c>
      <x:c r="G358" s="8" t="n">
        <x:f>MIN(F358,9)+1</x:f>
        <x:v>2</x:v>
      </x:c>
      <x:c r="H358" s="8" t="n">
        <x:f>IF(F358&lt;=9,1,0)</x:f>
        <x:v>1</x:v>
      </x:c>
      <x:c r="I358" s="9" t="n">
        <x:f>MIN(10,F357+IF(AR357&gt;0,MIN(1,AS357/AR357),1))</x:f>
        <x:v>1.3397688357019466</x:v>
      </x:c>
      <x:c r="J358" s="32" t="n">
        <x:f>INDEX(v01_FoodCap,G358)*Arch_FoodCap*EXP(v01_CapsByProject*SUMPRODUCT((Cap_Point&lt;=I358)*(Cap_Kind="Food")*Cap_Ln))</x:f>
        <x:v>30</x:v>
      </x:c>
      <x:c r="K358" s="32" t="n">
        <x:f>J358*MIN(1,v01_LeanBase*EXP(v01_CapsByProject*SUMPRODUCT((Cap_Point&lt;=I358)*(Cap_Kind="Lean")*Cap_Ln)))</x:f>
        <x:v>30</x:v>
      </x:c>
      <x:c r="L358" s="10" t="n">
        <x:f>INDEX(v01_HousingCap,G358)*EXP(v01_CapsByProject*SUMPRODUCT((Cap_Point&lt;=I358)*(Cap_Kind="Housing")*Cap_Ln))</x:f>
        <x:v>60</x:v>
      </x:c>
      <x:c r="M358" s="10" t="n">
        <x:f>INDEX(v01_GroupCap,G358)*v01_CohesionFactor*EXP(v01_CapsByProject*SUMPRODUCT((Cap_Point&lt;=I358)*(Cap_Kind="Group")*Cap_Ln))</x:f>
        <x:v>100</x:v>
      </x:c>
      <x:c r="N358" s="32" t="n">
        <x:f>MIN(J358,L358,M358)</x:f>
        <x:v>30</x:v>
      </x:c>
      <x:c r="O358" s="10" t="n">
        <x:f>AE357*N358</x:f>
        <x:v>60</x:v>
      </x:c>
      <x:c r="P358" s="9" t="n">
        <x:f>MIN(1,(AB357/(AE357*IF(v01_GroupInCrowding=1,N358,MIN(J358,L358))))^v01_CrowdingExp)</x:f>
        <x:v>0.04731232616666695</x:v>
      </x:c>
      <x:c r="Q358" s="9" t="n">
        <x:f>IF(D358=1,INDEX(v01_WinterMult,G358),1)</x:f>
        <x:v>1</x:v>
      </x:c>
      <x:c r="R358" s="9" t="n">
        <x:f>H358*Z357*v01_WomenShare*v01_BaseFertility*INDEX(v01_FertMult,G358)*Arch_Fertility*(1-P358)</x:f>
        <x:v>0.5573464044753921</x:v>
      </x:c>
      <x:c r="S358" s="9" t="n">
        <x:f>H358*Y357*INDEX(v01_MortChild,G358)/4*Q358</x:f>
        <x:v>0.14075182366423028</x:v>
      </x:c>
      <x:c r="T358" s="9" t="n">
        <x:f>H358*Z357*INDEX(v01_MortAdult,G358)*Arch_AdultMort/4*Q358</x:f>
        <x:v>0.05070219378421848</x:v>
      </x:c>
      <x:c r="U358" s="9" t="n">
        <x:f>H358*AA357*INDEX(v01_MortElder,G358)/4*Q358</x:f>
        <x:v>0.08794631711256183</x:v>
      </x:c>
      <x:c r="V358" s="9" t="n">
        <x:f>H358*MAX(0,AB357-O358)*v01_OvercapLoss</x:f>
        <x:v>0</x:v>
      </x:c>
      <x:c r="W358" s="9" t="n">
        <x:f>H358*Y357/(v01_ChildYears*4)</x:f>
        <x:v>0.2872486197229189</x:v>
      </x:c>
      <x:c r="X358" s="9" t="n">
        <x:f>H358*Z357/(v01_AdultYears*4)</x:f>
        <x:v>0.1258118952461997</x:v>
      </x:c>
      <x:c r="Y358" s="32" t="n">
        <x:f>Y357+R358-S358-W358-Y357*V358/AB357</x:f>
        <x:v>16.2152686655717</x:v>
      </x:c>
      <x:c r="Z358" s="32" t="n">
        <x:f>Z357+W358-X358-T358-Z357*V358/AB357</x:f>
        <x:v>15.711409541221265</x:v>
      </x:c>
      <x:c r="AA358" s="32" t="n">
        <x:f>AA357+X358-U358-AA357*V358/AB357</x:f>
        <x:v>4.43518143376173</x:v>
      </x:c>
      <x:c r="AB358" s="10" t="n">
        <x:f>Y358+Z358+AA358</x:f>
        <x:v>36.36185964055469</x:v>
      </x:c>
      <x:c r="AC358" s="8" t="n">
        <x:f>IF(AND(v01_WinterTrigger=1,D358=1,AB357/AE357&gt;=K358),1,0)</x:f>
        <x:v>0</x:v>
      </x:c>
      <x:c r="AD358" s="8" t="n">
        <x:f>H358*IF(AND(OR(AB357/AE357&gt;=v01_FissionTrigger*N358,AC358=1),AB357/AE357*v01_DaughterShare&gt;=v01_MinDaughter),MAX(1,ROUND(AE357*v01_FissionRate,0)),0)</x:f>
        <x:v>0</x:v>
      </x:c>
      <x:c r="AE358" s="8" t="n">
        <x:f>IF(H358=1,MAX(1,MIN(INDEX(v01_Smax,G358),AE357+AD358)),AE357)</x:f>
        <x:v>2</x:v>
      </x:c>
      <x:c r="AF358" s="8" t="n">
        <x:f>MAX(0,AE358-AE357)</x:f>
        <x:v>0</x:v>
      </x:c>
      <x:c r="AG358" s="9" t="str">
        <x:f>IF(AF358&gt;0,B358,"")</x:f>
      </x:c>
      <x:c r="AH358" s="9" t="n">
        <x:f>IF(F358&gt;=1,1,(1+v01_LowTiesShare*(AE358-1))/AE358)</x:f>
        <x:v>1</x:v>
      </x:c>
      <x:c r="AI358" s="32" t="n">
        <x:f>(Z358+v01_ElderCommons*INDEX(LM_Elder,G358)*AA358)*AH358</x:f>
        <x:v>26.57534097060301</x:v>
      </x:c>
      <x:c r="AJ358" s="32" t="n">
        <x:f>H358*v01_CommonsCoef*AI358^v01_CommonsExp*INDEX(LM_Commons,G358)</x:f>
        <x:v>10.723855517760592</x:v>
      </x:c>
      <x:c r="AK358" s="32" t="n">
        <x:f>H358*v01_RoleScale*Arch_Roles*(AE358*(INDEX(v01_ElderRolePerSett,G358)*v01_OutElder*INDEX(LM_Elder,G358)+INDEX(v01_ShamanPerSett,G358)*v01_OutShaman)+Z358*(INDEX(v01_PriestShare,G358)*v01_OutPriest+INDEX(v01_ScribeShare,G358)*v01_OutScribe*INDEX(LM_Scribe,G358)+INDEX(v01_ScholarShare,G358)*v01_OutScholar*INDEX(LM_Scholar,G358)+INDEX(v01_ResearcherShare,G358)*v01_OutResearcher*INDEX(LM_Researcher,G358)))</x:f>
        <x:v>2.724744871391589</x:v>
      </x:c>
      <x:c r="AL358" s="32" t="n">
        <x:f>H358*v01_RoleScale*Arch_Roles*AE358*INDEX(v01_MonasteryPerSett,G358)*v01_OutMonastery*INDEX(LM_Monastery,G358)</x:f>
        <x:v>0</x:v>
      </x:c>
      <x:c r="AM358" s="32" t="n">
        <x:f>(AJ358+AK358+AL358)/4*INDEX(LM_All,G358)*INDEX(v01_Boon,G358)*Arch_Insight</x:f>
        <x:v>3.4462038497202463</x:v>
      </x:c>
      <x:c r="AN358" s="32" t="n">
        <x:f>H358*(v01_KHPerAdult*Z358+v01_KHOfCommons*AJ358/4*INDEX(LM_All,G358))*v01_KHUsable*Arch_KH</x:f>
        <x:v>0.5498993339427443</x:v>
      </x:c>
      <x:c r="AO358" s="32" t="n">
        <x:f>MIN(AP357+AN358,AM358*v01_KHMaxRatio)</x:f>
        <x:v>0.5498993339427443</x:v>
      </x:c>
      <x:c r="AP358" s="32" t="n">
        <x:f>AP357+AN358-AO358</x:f>
        <x:v>0</x:v>
      </x:c>
      <x:c r="AQ358" s="32" t="n">
        <x:f>AM358+AO358</x:f>
        <x:v>3.9961031836629903</x:v>
      </x:c>
      <x:c r="AR358" s="10" t="n">
        <x:f>IF(H358=1,INDEX(v01_Req,G358),0)</x:f>
        <x:v>1067.32</x:v>
      </x:c>
      <x:c r="AS358" s="32" t="n">
        <x:f>IF(H358=1,IF(E358=1,AS357-AR357,AS357)+AQ358,0)</x:f>
        <x:v>366.63817690506454</x:v>
      </x:c>
      <x:c r="AT358" s="11" t="n">
        <x:f>IF(AR358&gt;0,MIN(1,AS358/AR358),1)</x:f>
        <x:v>0.34351288920386064</x:v>
      </x:c>
      <x:c r="AU358" s="10" t="n">
        <x:f>AB358/INDEX(v01_RepScale,G358)</x:f>
        <x:v>36.36185964055469</x:v>
      </x:c>
      <x:c r="AV358" s="32" t="n">
        <x:f>AM358*60/v01_SeasonSeconds</x:f>
        <x:v>13.784815398880985</x:v>
      </x:c>
    </x:row>
    <x:row r="359">
      <x:c r="A359" s="8" t="n">
        <x:f>A358+1</x:f>
        <x:v>356</x:v>
      </x:c>
      <x:c r="B359" s="9" t="n">
        <x:f>A359*v01_SeasonSeconds/60</x:f>
        <x:v>89</x:v>
      </x:c>
      <x:c r="C359" s="9" t="n">
        <x:f>A359/4</x:f>
        <x:v>89</x:v>
      </x:c>
      <x:c r="D359" s="8" t="n">
        <x:f>IF(MOD(A359,4)=0,1,0)</x:f>
        <x:v>1</x:v>
      </x:c>
      <x:c r="E359" s="8" t="n">
        <x:f>IF(AND(F358&lt;=9,AS358&gt;=AR358),1,0)</x:f>
        <x:v>0</x:v>
      </x:c>
      <x:c r="F359" s="8" t="n">
        <x:f>MIN(10,F358+E359)</x:f>
        <x:v>1</x:v>
      </x:c>
      <x:c r="G359" s="8" t="n">
        <x:f>MIN(F359,9)+1</x:f>
        <x:v>2</x:v>
      </x:c>
      <x:c r="H359" s="8" t="n">
        <x:f>IF(F359&lt;=9,1,0)</x:f>
        <x:v>1</x:v>
      </x:c>
      <x:c r="I359" s="9" t="n">
        <x:f>MIN(10,F358+IF(AR358&gt;0,MIN(1,AS358/AR358),1))</x:f>
        <x:v>1.3435128892038606</x:v>
      </x:c>
      <x:c r="J359" s="32" t="n">
        <x:f>INDEX(v01_FoodCap,G359)*Arch_FoodCap*EXP(v01_CapsByProject*SUMPRODUCT((Cap_Point&lt;=I359)*(Cap_Kind="Food")*Cap_Ln))</x:f>
        <x:v>30</x:v>
      </x:c>
      <x:c r="K359" s="32" t="n">
        <x:f>J359*MIN(1,v01_LeanBase*EXP(v01_CapsByProject*SUMPRODUCT((Cap_Point&lt;=I359)*(Cap_Kind="Lean")*Cap_Ln)))</x:f>
        <x:v>30</x:v>
      </x:c>
      <x:c r="L359" s="10" t="n">
        <x:f>INDEX(v01_HousingCap,G359)*EXP(v01_CapsByProject*SUMPRODUCT((Cap_Point&lt;=I359)*(Cap_Kind="Housing")*Cap_Ln))</x:f>
        <x:v>60</x:v>
      </x:c>
      <x:c r="M359" s="10" t="n">
        <x:f>INDEX(v01_GroupCap,G359)*v01_CohesionFactor*EXP(v01_CapsByProject*SUMPRODUCT((Cap_Point&lt;=I359)*(Cap_Kind="Group")*Cap_Ln))</x:f>
        <x:v>100</x:v>
      </x:c>
      <x:c r="N359" s="32" t="n">
        <x:f>MIN(J359,L359,M359)</x:f>
        <x:v>30</x:v>
      </x:c>
      <x:c r="O359" s="10" t="n">
        <x:f>AE358*N359</x:f>
        <x:v>60</x:v>
      </x:c>
      <x:c r="P359" s="9" t="n">
        <x:f>MIN(1,(AB358/(AE358*IF(v01_GroupInCrowding=1,N359,MIN(J359,L359))))^v01_CrowdingExp)</x:f>
        <x:v>0.04954148428895727</x:v>
      </x:c>
      <x:c r="Q359" s="9" t="n">
        <x:f>IF(D359=1,INDEX(v01_WinterMult,G359),1)</x:f>
        <x:v>1.6</x:v>
      </x:c>
      <x:c r="R359" s="9" t="n">
        <x:f>H359*Z358*v01_WomenShare*v01_BaseFertility*INDEX(v01_FertMult,G359)*Arch_Fertility*(1-P359)</x:f>
        <x:v>0.5599891122104055</x:v>
      </x:c>
      <x:c r="S359" s="9" t="n">
        <x:f>H359*Y358*INDEX(v01_MortChild,G359)/4*Q359</x:f>
        <x:v>0.2270137613180038</x:v>
      </x:c>
      <x:c r="T359" s="9" t="n">
        <x:f>H359*Z358*INDEX(v01_MortAdult,G359)*Arch_AdultMort/4*Q359</x:f>
        <x:v>0.08169932961435057</x:v>
      </x:c>
      <x:c r="U359" s="9" t="n">
        <x:f>H359*AA358*INDEX(v01_MortElder,G359)/4*Q359</x:f>
        <x:v>0.14192580588037537</x:v>
      </x:c>
      <x:c r="V359" s="9" t="n">
        <x:f>H359*MAX(0,AB358-O359)*v01_OvercapLoss</x:f>
        <x:v>0</x:v>
      </x:c>
      <x:c r="W359" s="9" t="n">
        <x:f>H359*Y358/(v01_ChildYears*4)</x:f>
        <x:v>0.28955836902806603</x:v>
      </x:c>
      <x:c r="X359" s="9" t="n">
        <x:f>H359*Z358/(v01_AdultYears*4)</x:f>
        <x:v>0.12670491565501021</x:v>
      </x:c>
      <x:c r="Y359" s="32" t="n">
        <x:f>Y358+R359-S359-W359-Y358*V359/AB358</x:f>
        <x:v>16.258685647436035</x:v>
      </x:c>
      <x:c r="Z359" s="32" t="n">
        <x:f>Z358+W359-X359-T359-Z358*V359/AB358</x:f>
        <x:v>15.79256366497997</x:v>
      </x:c>
      <x:c r="AA359" s="32" t="n">
        <x:f>AA358+X359-U359-AA358*V359/AB358</x:f>
        <x:v>4.419960543536365</x:v>
      </x:c>
      <x:c r="AB359" s="10" t="n">
        <x:f>Y359+Z359+AA359</x:f>
        <x:v>36.47120985595237</x:v>
      </x:c>
      <x:c r="AC359" s="8" t="n">
        <x:f>IF(AND(v01_WinterTrigger=1,D359=1,AB358/AE358&gt;=K359),1,0)</x:f>
        <x:v>0</x:v>
      </x:c>
      <x:c r="AD359" s="8" t="n">
        <x:f>H359*IF(AND(OR(AB358/AE358&gt;=v01_FissionTrigger*N359,AC359=1),AB358/AE358*v01_DaughterShare&gt;=v01_MinDaughter),MAX(1,ROUND(AE358*v01_FissionRate,0)),0)</x:f>
        <x:v>0</x:v>
      </x:c>
      <x:c r="AE359" s="8" t="n">
        <x:f>IF(H359=1,MAX(1,MIN(INDEX(v01_Smax,G359),AE358+AD359)),AE358)</x:f>
        <x:v>2</x:v>
      </x:c>
      <x:c r="AF359" s="8" t="n">
        <x:f>MAX(0,AE359-AE358)</x:f>
        <x:v>0</x:v>
      </x:c>
      <x:c r="AG359" s="9" t="str">
        <x:f>IF(AF359&gt;0,B359,"")</x:f>
      </x:c>
      <x:c r="AH359" s="9" t="n">
        <x:f>IF(F359&gt;=1,1,(1+v01_LowTiesShare*(AE359-1))/AE359)</x:f>
        <x:v>1</x:v>
      </x:c>
      <x:c r="AI359" s="32" t="n">
        <x:f>(Z359+v01_ElderCommons*INDEX(LM_Elder,G359)*AA359)*AH359</x:f>
        <x:v>26.619211679878653</x:v>
      </x:c>
      <x:c r="AJ359" s="32" t="n">
        <x:f>H359*v01_CommonsCoef*AI359^v01_CommonsExp*INDEX(LM_Commons,G359)</x:f>
        <x:v>10.73890120226674</x:v>
      </x:c>
      <x:c r="AK359" s="32" t="n">
        <x:f>H359*v01_RoleScale*Arch_Roles*(AE359*(INDEX(v01_ElderRolePerSett,G359)*v01_OutElder*INDEX(LM_Elder,G359)+INDEX(v01_ShamanPerSett,G359)*v01_OutShaman)+Z359*(INDEX(v01_PriestShare,G359)*v01_OutPriest+INDEX(v01_ScribeShare,G359)*v01_OutScribe*INDEX(LM_Scribe,G359)+INDEX(v01_ScholarShare,G359)*v01_OutScholar*INDEX(LM_Scholar,G359)+INDEX(v01_ResearcherShare,G359)*v01_OutResearcher*INDEX(LM_Researcher,G359)))</x:f>
        <x:v>2.724744871391589</x:v>
      </x:c>
      <x:c r="AL359" s="32" t="n">
        <x:f>H359*v01_RoleScale*Arch_Roles*AE359*INDEX(v01_MonasteryPerSett,G359)*v01_OutMonastery*INDEX(LM_Monastery,G359)</x:f>
        <x:v>0</x:v>
      </x:c>
      <x:c r="AM359" s="32" t="n">
        <x:f>(AJ359+AK359+AL359)/4*INDEX(LM_All,G359)*INDEX(v01_Boon,G359)*Arch_Insight</x:f>
        <x:v>3.4500593063749467</x:v>
      </x:c>
      <x:c r="AN359" s="32" t="n">
        <x:f>H359*(v01_KHPerAdult*Z359+v01_KHOfCommons*AJ359/4*INDEX(LM_All,G359))*v01_KHUsable*Arch_KH</x:f>
        <x:v>0.552739728274299</x:v>
      </x:c>
      <x:c r="AO359" s="32" t="n">
        <x:f>MIN(AP358+AN359,AM359*v01_KHMaxRatio)</x:f>
        <x:v>0.552739728274299</x:v>
      </x:c>
      <x:c r="AP359" s="32" t="n">
        <x:f>AP358+AN359-AO359</x:f>
        <x:v>0</x:v>
      </x:c>
      <x:c r="AQ359" s="32" t="n">
        <x:f>AM359+AO359</x:f>
        <x:v>4.002799034649246</x:v>
      </x:c>
      <x:c r="AR359" s="10" t="n">
        <x:f>IF(H359=1,INDEX(v01_Req,G359),0)</x:f>
        <x:v>1067.32</x:v>
      </x:c>
      <x:c r="AS359" s="32" t="n">
        <x:f>IF(H359=1,IF(E359=1,AS358-AR358,AS358)+AQ359,0)</x:f>
        <x:v>370.64097593971377</x:v>
      </x:c>
      <x:c r="AT359" s="11" t="n">
        <x:f>IF(AR359&gt;0,MIN(1,AS359/AR359),1)</x:f>
        <x:v>0.3472632162235448</x:v>
      </x:c>
      <x:c r="AU359" s="10" t="n">
        <x:f>AB359/INDEX(v01_RepScale,G359)</x:f>
        <x:v>36.47120985595237</x:v>
      </x:c>
      <x:c r="AV359" s="32" t="n">
        <x:f>AM359*60/v01_SeasonSeconds</x:f>
        <x:v>13.800237225499787</x:v>
      </x:c>
    </x:row>
    <x:row r="360">
      <x:c r="A360" s="8" t="n">
        <x:f>A359+1</x:f>
        <x:v>357</x:v>
      </x:c>
      <x:c r="B360" s="9" t="n">
        <x:f>A360*v01_SeasonSeconds/60</x:f>
        <x:v>89.25</x:v>
      </x:c>
      <x:c r="C360" s="9" t="n">
        <x:f>A360/4</x:f>
        <x:v>89.25</x:v>
      </x:c>
      <x:c r="D360" s="8" t="n">
        <x:f>IF(MOD(A360,4)=0,1,0)</x:f>
        <x:v>0</x:v>
      </x:c>
      <x:c r="E360" s="8" t="n">
        <x:f>IF(AND(F359&lt;=9,AS359&gt;=AR359),1,0)</x:f>
        <x:v>0</x:v>
      </x:c>
      <x:c r="F360" s="8" t="n">
        <x:f>MIN(10,F359+E360)</x:f>
        <x:v>1</x:v>
      </x:c>
      <x:c r="G360" s="8" t="n">
        <x:f>MIN(F360,9)+1</x:f>
        <x:v>2</x:v>
      </x:c>
      <x:c r="H360" s="8" t="n">
        <x:f>IF(F360&lt;=9,1,0)</x:f>
        <x:v>1</x:v>
      </x:c>
      <x:c r="I360" s="9" t="n">
        <x:f>MIN(10,F359+IF(AR359&gt;0,MIN(1,AS359/AR359),1))</x:f>
        <x:v>1.3472632162235447</x:v>
      </x:c>
      <x:c r="J360" s="32" t="n">
        <x:f>INDEX(v01_FoodCap,G360)*Arch_FoodCap*EXP(v01_CapsByProject*SUMPRODUCT((Cap_Point&lt;=I360)*(Cap_Kind="Food")*Cap_Ln))</x:f>
        <x:v>30</x:v>
      </x:c>
      <x:c r="K360" s="32" t="n">
        <x:f>J360*MIN(1,v01_LeanBase*EXP(v01_CapsByProject*SUMPRODUCT((Cap_Point&lt;=I360)*(Cap_Kind="Lean")*Cap_Ln)))</x:f>
        <x:v>30</x:v>
      </x:c>
      <x:c r="L360" s="10" t="n">
        <x:f>INDEX(v01_HousingCap,G360)*EXP(v01_CapsByProject*SUMPRODUCT((Cap_Point&lt;=I360)*(Cap_Kind="Housing")*Cap_Ln))</x:f>
        <x:v>60</x:v>
      </x:c>
      <x:c r="M360" s="10" t="n">
        <x:f>INDEX(v01_GroupCap,G360)*v01_CohesionFactor*EXP(v01_CapsByProject*SUMPRODUCT((Cap_Point&lt;=I360)*(Cap_Kind="Group")*Cap_Ln))</x:f>
        <x:v>100</x:v>
      </x:c>
      <x:c r="N360" s="32" t="n">
        <x:f>MIN(J360,L360,M360)</x:f>
        <x:v>30</x:v>
      </x:c>
      <x:c r="O360" s="10" t="n">
        <x:f>AE359*N360</x:f>
        <x:v>60</x:v>
      </x:c>
      <x:c r="P360" s="9" t="n">
        <x:f>MIN(1,(AB359/(AE359*IF(v01_GroupInCrowding=1,N360,MIN(J360,L360))))^v01_CrowdingExp)</x:f>
        <x:v>0.05044214193988871</x:v>
      </x:c>
      <x:c r="Q360" s="9" t="n">
        <x:f>IF(D360=1,INDEX(v01_WinterMult,G360),1)</x:f>
        <x:v>1</x:v>
      </x:c>
      <x:c r="R360" s="9" t="n">
        <x:f>H360*Z359*v01_WomenShare*v01_BaseFertility*INDEX(v01_FertMult,G360)*Arch_Fertility*(1-P360)</x:f>
        <x:v>0.5623482347623621</x:v>
      </x:c>
      <x:c r="S360" s="9" t="n">
        <x:f>H360*Y359*INDEX(v01_MortChild,G360)/4*Q360</x:f>
        <x:v>0.14226349941506533</x:v>
      </x:c>
      <x:c r="T360" s="9" t="n">
        <x:f>H360*Z359*INDEX(v01_MortAdult,G360)*Arch_AdultMort/4*Q360</x:f>
        <x:v>0.0513258319111849</x:v>
      </x:c>
      <x:c r="U360" s="9" t="n">
        <x:f>H360*AA359*INDEX(v01_MortElder,G360)/4*Q360</x:f>
        <x:v>0.0883992108707273</x:v>
      </x:c>
      <x:c r="V360" s="9" t="n">
        <x:f>H360*MAX(0,AB359-O360)*v01_OvercapLoss</x:f>
        <x:v>0</x:v>
      </x:c>
      <x:c r="W360" s="9" t="n">
        <x:f>H360*Y359/(v01_ChildYears*4)</x:f>
        <x:v>0.2903336722756435</x:v>
      </x:c>
      <x:c r="X360" s="9" t="n">
        <x:f>H360*Z359/(v01_AdultYears*4)</x:f>
        <x:v>0.12735938439499975</x:v>
      </x:c>
      <x:c r="Y360" s="32" t="n">
        <x:f>Y359+R360-S360-W360-Y359*V360/AB359</x:f>
        <x:v>16.388436710507687</x:v>
      </x:c>
      <x:c r="Z360" s="32" t="n">
        <x:f>Z359+W360-X360-T360-Z359*V360/AB359</x:f>
        <x:v>15.904212120949428</x:v>
      </x:c>
      <x:c r="AA360" s="32" t="n">
        <x:f>AA359+X360-U360-AA359*V360/AB359</x:f>
        <x:v>4.4589207170606375</x:v>
      </x:c>
      <x:c r="AB360" s="10" t="n">
        <x:f>Y360+Z360+AA360</x:f>
        <x:v>36.75156954851775</x:v>
      </x:c>
      <x:c r="AC360" s="8" t="n">
        <x:f>IF(AND(v01_WinterTrigger=1,D360=1,AB359/AE359&gt;=K360),1,0)</x:f>
        <x:v>0</x:v>
      </x:c>
      <x:c r="AD360" s="8" t="n">
        <x:f>H360*IF(AND(OR(AB359/AE359&gt;=v01_FissionTrigger*N360,AC360=1),AB359/AE359*v01_DaughterShare&gt;=v01_MinDaughter),MAX(1,ROUND(AE359*v01_FissionRate,0)),0)</x:f>
        <x:v>0</x:v>
      </x:c>
      <x:c r="AE360" s="8" t="n">
        <x:f>IF(H360=1,MAX(1,MIN(INDEX(v01_Smax,G360),AE359+AD360)),AE359)</x:f>
        <x:v>2</x:v>
      </x:c>
      <x:c r="AF360" s="8" t="n">
        <x:f>MAX(0,AE360-AE359)</x:f>
        <x:v>0</x:v>
      </x:c>
      <x:c r="AG360" s="9" t="str">
        <x:f>IF(AF360&gt;0,B360,"")</x:f>
      </x:c>
      <x:c r="AH360" s="9" t="n">
        <x:f>IF(F360&gt;=1,1,(1+v01_LowTiesShare*(AE360-1))/AE360)</x:f>
        <x:v>1</x:v>
      </x:c>
      <x:c r="AI360" s="32" t="n">
        <x:f>(Z360+v01_ElderCommons*INDEX(LM_Elder,G360)*AA360)*AH360</x:f>
        <x:v>26.82629268127287</x:v>
      </x:c>
      <x:c r="AJ360" s="32" t="n">
        <x:f>H360*v01_CommonsCoef*AI360^v01_CommonsExp*INDEX(LM_Commons,G360)</x:f>
        <x:v>10.809870601281588</x:v>
      </x:c>
      <x:c r="AK360" s="32" t="n">
        <x:f>H360*v01_RoleScale*Arch_Roles*(AE360*(INDEX(v01_ElderRolePerSett,G360)*v01_OutElder*INDEX(LM_Elder,G360)+INDEX(v01_ShamanPerSett,G360)*v01_OutShaman)+Z360*(INDEX(v01_PriestShare,G360)*v01_OutPriest+INDEX(v01_ScribeShare,G360)*v01_OutScribe*INDEX(LM_Scribe,G360)+INDEX(v01_ScholarShare,G360)*v01_OutScholar*INDEX(LM_Scholar,G360)+INDEX(v01_ResearcherShare,G360)*v01_OutResearcher*INDEX(LM_Researcher,G360)))</x:f>
        <x:v>2.724744871391589</x:v>
      </x:c>
      <x:c r="AL360" s="32" t="n">
        <x:f>H360*v01_RoleScale*Arch_Roles*AE360*INDEX(v01_MonasteryPerSett,G360)*v01_OutMonastery*INDEX(LM_Monastery,G360)</x:f>
        <x:v>0</x:v>
      </x:c>
      <x:c r="AM360" s="32" t="n">
        <x:f>(AJ360+AK360+AL360)/4*INDEX(LM_All,G360)*INDEX(v01_Boon,G360)*Arch_Insight</x:f>
        <x:v>3.4682452148725016</x:v>
      </x:c>
      <x:c r="AN360" s="32" t="n">
        <x:f>H360*(v01_KHPerAdult*Z360+v01_KHOfCommons*AJ360/4*INDEX(LM_All,G360))*v01_KHUsable*Arch_KH</x:f>
        <x:v>0.55664742423323</x:v>
      </x:c>
      <x:c r="AO360" s="32" t="n">
        <x:f>MIN(AP359+AN360,AM360*v01_KHMaxRatio)</x:f>
        <x:v>0.55664742423323</x:v>
      </x:c>
      <x:c r="AP360" s="32" t="n">
        <x:f>AP359+AN360-AO360</x:f>
        <x:v>0</x:v>
      </x:c>
      <x:c r="AQ360" s="32" t="n">
        <x:f>AM360+AO360</x:f>
        <x:v>4.024892639105731</x:v>
      </x:c>
      <x:c r="AR360" s="10" t="n">
        <x:f>IF(H360=1,INDEX(v01_Req,G360),0)</x:f>
        <x:v>1067.32</x:v>
      </x:c>
      <x:c r="AS360" s="32" t="n">
        <x:f>IF(H360=1,IF(E360=1,AS359-AR359,AS359)+AQ360,0)</x:f>
        <x:v>374.6658685788195</x:v>
      </x:c>
      <x:c r="AT360" s="11" t="n">
        <x:f>IF(AR360&gt;0,MIN(1,AS360/AR360),1)</x:f>
        <x:v>0.35103424331861066</x:v>
      </x:c>
      <x:c r="AU360" s="10" t="n">
        <x:f>AB360/INDEX(v01_RepScale,G360)</x:f>
        <x:v>36.75156954851775</x:v>
      </x:c>
      <x:c r="AV360" s="32" t="n">
        <x:f>AM360*60/v01_SeasonSeconds</x:f>
        <x:v>13.872980859490006</x:v>
      </x:c>
    </x:row>
    <x:row r="361">
      <x:c r="A361" s="8" t="n">
        <x:f>A360+1</x:f>
        <x:v>358</x:v>
      </x:c>
      <x:c r="B361" s="9" t="n">
        <x:f>A361*v01_SeasonSeconds/60</x:f>
        <x:v>89.5</x:v>
      </x:c>
      <x:c r="C361" s="9" t="n">
        <x:f>A361/4</x:f>
        <x:v>89.5</x:v>
      </x:c>
      <x:c r="D361" s="8" t="n">
        <x:f>IF(MOD(A361,4)=0,1,0)</x:f>
        <x:v>0</x:v>
      </x:c>
      <x:c r="E361" s="8" t="n">
        <x:f>IF(AND(F360&lt;=9,AS360&gt;=AR360),1,0)</x:f>
        <x:v>0</x:v>
      </x:c>
      <x:c r="F361" s="8" t="n">
        <x:f>MIN(10,F360+E361)</x:f>
        <x:v>1</x:v>
      </x:c>
      <x:c r="G361" s="8" t="n">
        <x:f>MIN(F361,9)+1</x:f>
        <x:v>2</x:v>
      </x:c>
      <x:c r="H361" s="8" t="n">
        <x:f>IF(F361&lt;=9,1,0)</x:f>
        <x:v>1</x:v>
      </x:c>
      <x:c r="I361" s="9" t="n">
        <x:f>MIN(10,F360+IF(AR360&gt;0,MIN(1,AS360/AR360),1))</x:f>
        <x:v>1.3510342433186107</x:v>
      </x:c>
      <x:c r="J361" s="32" t="n">
        <x:f>INDEX(v01_FoodCap,G361)*Arch_FoodCap*EXP(v01_CapsByProject*SUMPRODUCT((Cap_Point&lt;=I361)*(Cap_Kind="Food")*Cap_Ln))</x:f>
        <x:v>30</x:v>
      </x:c>
      <x:c r="K361" s="32" t="n">
        <x:f>J361*MIN(1,v01_LeanBase*EXP(v01_CapsByProject*SUMPRODUCT((Cap_Point&lt;=I361)*(Cap_Kind="Lean")*Cap_Ln)))</x:f>
        <x:v>30</x:v>
      </x:c>
      <x:c r="L361" s="10" t="n">
        <x:f>INDEX(v01_HousingCap,G361)*EXP(v01_CapsByProject*SUMPRODUCT((Cap_Point&lt;=I361)*(Cap_Kind="Housing")*Cap_Ln))</x:f>
        <x:v>60</x:v>
      </x:c>
      <x:c r="M361" s="10" t="n">
        <x:f>INDEX(v01_GroupCap,G361)*v01_CohesionFactor*EXP(v01_CapsByProject*SUMPRODUCT((Cap_Point&lt;=I361)*(Cap_Kind="Group")*Cap_Ln))</x:f>
        <x:v>100</x:v>
      </x:c>
      <x:c r="N361" s="32" t="n">
        <x:f>MIN(J361,L361,M361)</x:f>
        <x:v>30</x:v>
      </x:c>
      <x:c r="O361" s="10" t="n">
        <x:f>AE360*N361</x:f>
        <x:v>60</x:v>
      </x:c>
      <x:c r="P361" s="9" t="n">
        <x:f>MIN(1,(AB360/(AE360*IF(v01_GroupInCrowding=1,N361,MIN(J361,L361))))^v01_CrowdingExp)</x:f>
        <x:v>0.052813852114085506</x:v>
      </x:c>
      <x:c r="Q361" s="9" t="n">
        <x:f>IF(D361=1,INDEX(v01_WinterMult,G361),1)</x:f>
        <x:v>1</x:v>
      </x:c>
      <x:c r="R361" s="9" t="n">
        <x:f>H361*Z360*v01_WomenShare*v01_BaseFertility*INDEX(v01_FertMult,G361)*Arch_Fertility*(1-P361)</x:f>
        <x:v>0.5649093530250959</x:v>
      </x:c>
      <x:c r="S361" s="9" t="n">
        <x:f>H361*Y360*INDEX(v01_MortChild,G361)/4*Q361</x:f>
        <x:v>0.14339882121694228</x:v>
      </x:c>
      <x:c r="T361" s="9" t="n">
        <x:f>H361*Z360*INDEX(v01_MortAdult,G361)*Arch_AdultMort/4*Q361</x:f>
        <x:v>0.051688689393085636</x:v>
      </x:c>
      <x:c r="U361" s="9" t="n">
        <x:f>H361*AA360*INDEX(v01_MortElder,G361)/4*Q361</x:f>
        <x:v>0.08917841434121275</x:v>
      </x:c>
      <x:c r="V361" s="9" t="n">
        <x:f>H361*MAX(0,AB360-O361)*v01_OvercapLoss</x:f>
        <x:v>0</x:v>
      </x:c>
      <x:c r="W361" s="9" t="n">
        <x:f>H361*Y360/(v01_ChildYears*4)</x:f>
        <x:v>0.29265065554478015</x:v>
      </x:c>
      <x:c r="X361" s="9" t="n">
        <x:f>H361*Z360/(v01_AdultYears*4)</x:f>
        <x:v>0.128259775168947</x:v>
      </x:c>
      <x:c r="Y361" s="32" t="n">
        <x:f>Y360+R361-S361-W361-Y360*V361/AB360</x:f>
        <x:v>16.517296586771064</x:v>
      </x:c>
      <x:c r="Z361" s="32" t="n">
        <x:f>Z360+W361-X361-T361-Z360*V361/AB360</x:f>
        <x:v>16.016914311932176</x:v>
      </x:c>
      <x:c r="AA361" s="32" t="n">
        <x:f>AA360+X361-U361-AA360*V361/AB360</x:f>
        <x:v>4.498002077888372</x:v>
      </x:c>
      <x:c r="AB361" s="10" t="n">
        <x:f>Y361+Z361+AA361</x:f>
        <x:v>37.03221297659161</x:v>
      </x:c>
      <x:c r="AC361" s="8" t="n">
        <x:f>IF(AND(v01_WinterTrigger=1,D361=1,AB360/AE360&gt;=K361),1,0)</x:f>
        <x:v>0</x:v>
      </x:c>
      <x:c r="AD361" s="8" t="n">
        <x:f>H361*IF(AND(OR(AB360/AE360&gt;=v01_FissionTrigger*N361,AC361=1),AB360/AE360*v01_DaughterShare&gt;=v01_MinDaughter),MAX(1,ROUND(AE360*v01_FissionRate,0)),0)</x:f>
        <x:v>0</x:v>
      </x:c>
      <x:c r="AE361" s="8" t="n">
        <x:f>IF(H361=1,MAX(1,MIN(INDEX(v01_Smax,G361),AE360+AD361)),AE360)</x:f>
        <x:v>2</x:v>
      </x:c>
      <x:c r="AF361" s="8" t="n">
        <x:f>MAX(0,AE361-AE360)</x:f>
        <x:v>0</x:v>
      </x:c>
      <x:c r="AG361" s="9" t="str">
        <x:f>IF(AF361&gt;0,B361,"")</x:f>
      </x:c>
      <x:c r="AH361" s="9" t="n">
        <x:f>IF(F361&gt;=1,1,(1+v01_LowTiesShare*(AE361-1))/AE361)</x:f>
        <x:v>1</x:v>
      </x:c>
      <x:c r="AI361" s="32" t="n">
        <x:f>(Z361+v01_ElderCommons*INDEX(LM_Elder,G361)*AA361)*AH361</x:f>
        <x:v>27.034724264737164</x:v>
      </x:c>
      <x:c r="AJ361" s="32" t="n">
        <x:f>H361*v01_CommonsCoef*AI361^v01_CommonsExp*INDEX(LM_Commons,G361)</x:f>
        <x:v>10.881219930273724</x:v>
      </x:c>
      <x:c r="AK361" s="32" t="n">
        <x:f>H361*v01_RoleScale*Arch_Roles*(AE361*(INDEX(v01_ElderRolePerSett,G361)*v01_OutElder*INDEX(LM_Elder,G361)+INDEX(v01_ShamanPerSett,G361)*v01_OutShaman)+Z361*(INDEX(v01_PriestShare,G361)*v01_OutPriest+INDEX(v01_ScribeShare,G361)*v01_OutScribe*INDEX(LM_Scribe,G361)+INDEX(v01_ScholarShare,G361)*v01_OutScholar*INDEX(LM_Scholar,G361)+INDEX(v01_ResearcherShare,G361)*v01_OutResearcher*INDEX(LM_Researcher,G361)))</x:f>
        <x:v>2.724744871391589</x:v>
      </x:c>
      <x:c r="AL361" s="32" t="n">
        <x:f>H361*v01_RoleScale*Arch_Roles*AE361*INDEX(v01_MonasteryPerSett,G361)*v01_OutMonastery*INDEX(LM_Monastery,G361)</x:f>
        <x:v>0</x:v>
      </x:c>
      <x:c r="AM361" s="32" t="n">
        <x:f>(AJ361+AK361+AL361)/4*INDEX(LM_All,G361)*INDEX(v01_Boon,G361)*Arch_Insight</x:f>
        <x:v>3.4865284804267365</x:v>
      </x:c>
      <x:c r="AN361" s="32" t="n">
        <x:f>H361*(v01_KHPerAdult*Z361+v01_KHOfCommons*AJ361/4*INDEX(LM_All,G361))*v01_KHUsable*Arch_KH</x:f>
        <x:v>0.5605920009176262</x:v>
      </x:c>
      <x:c r="AO361" s="32" t="n">
        <x:f>MIN(AP360+AN361,AM361*v01_KHMaxRatio)</x:f>
        <x:v>0.5605920009176262</x:v>
      </x:c>
      <x:c r="AP361" s="32" t="n">
        <x:f>AP360+AN361-AO361</x:f>
        <x:v>0</x:v>
      </x:c>
      <x:c r="AQ361" s="32" t="n">
        <x:f>AM361+AO361</x:f>
        <x:v>4.047120481344363</x:v>
      </x:c>
      <x:c r="AR361" s="10" t="n">
        <x:f>IF(H361=1,INDEX(v01_Req,G361),0)</x:f>
        <x:v>1067.32</x:v>
      </x:c>
      <x:c r="AS361" s="32" t="n">
        <x:f>IF(H361=1,IF(E361=1,AS360-AR360,AS360)+AQ361,0)</x:f>
        <x:v>378.71298906016386</x:v>
      </x:c>
      <x:c r="AT361" s="11" t="n">
        <x:f>IF(AR361&gt;0,MIN(1,AS361/AR361),1)</x:f>
        <x:v>0.35482609625994443</x:v>
      </x:c>
      <x:c r="AU361" s="10" t="n">
        <x:f>AB361/INDEX(v01_RepScale,G361)</x:f>
        <x:v>37.03221297659161</x:v>
      </x:c>
      <x:c r="AV361" s="32" t="n">
        <x:f>AM361*60/v01_SeasonSeconds</x:f>
        <x:v>13.946113921706946</x:v>
      </x:c>
    </x:row>
    <x:row r="362">
      <x:c r="A362" s="8" t="n">
        <x:f>A361+1</x:f>
        <x:v>359</x:v>
      </x:c>
      <x:c r="B362" s="9" t="n">
        <x:f>A362*v01_SeasonSeconds/60</x:f>
        <x:v>89.75</x:v>
      </x:c>
      <x:c r="C362" s="9" t="n">
        <x:f>A362/4</x:f>
        <x:v>89.75</x:v>
      </x:c>
      <x:c r="D362" s="8" t="n">
        <x:f>IF(MOD(A362,4)=0,1,0)</x:f>
        <x:v>0</x:v>
      </x:c>
      <x:c r="E362" s="8" t="n">
        <x:f>IF(AND(F361&lt;=9,AS361&gt;=AR361),1,0)</x:f>
        <x:v>0</x:v>
      </x:c>
      <x:c r="F362" s="8" t="n">
        <x:f>MIN(10,F361+E362)</x:f>
        <x:v>1</x:v>
      </x:c>
      <x:c r="G362" s="8" t="n">
        <x:f>MIN(F362,9)+1</x:f>
        <x:v>2</x:v>
      </x:c>
      <x:c r="H362" s="8" t="n">
        <x:f>IF(F362&lt;=9,1,0)</x:f>
        <x:v>1</x:v>
      </x:c>
      <x:c r="I362" s="9" t="n">
        <x:f>MIN(10,F361+IF(AR361&gt;0,MIN(1,AS361/AR361),1))</x:f>
        <x:v>1.3548260962599445</x:v>
      </x:c>
      <x:c r="J362" s="32" t="n">
        <x:f>INDEX(v01_FoodCap,G362)*Arch_FoodCap*EXP(v01_CapsByProject*SUMPRODUCT((Cap_Point&lt;=I362)*(Cap_Kind="Food")*Cap_Ln))</x:f>
        <x:v>30</x:v>
      </x:c>
      <x:c r="K362" s="32" t="n">
        <x:f>J362*MIN(1,v01_LeanBase*EXP(v01_CapsByProject*SUMPRODUCT((Cap_Point&lt;=I362)*(Cap_Kind="Lean")*Cap_Ln)))</x:f>
        <x:v>30</x:v>
      </x:c>
      <x:c r="L362" s="10" t="n">
        <x:f>INDEX(v01_HousingCap,G362)*EXP(v01_CapsByProject*SUMPRODUCT((Cap_Point&lt;=I362)*(Cap_Kind="Housing")*Cap_Ln))</x:f>
        <x:v>60</x:v>
      </x:c>
      <x:c r="M362" s="10" t="n">
        <x:f>INDEX(v01_GroupCap,G362)*v01_CohesionFactor*EXP(v01_CapsByProject*SUMPRODUCT((Cap_Point&lt;=I362)*(Cap_Kind="Group")*Cap_Ln))</x:f>
        <x:v>100</x:v>
      </x:c>
      <x:c r="N362" s="32" t="n">
        <x:f>MIN(J362,L362,M362)</x:f>
        <x:v>30</x:v>
      </x:c>
      <x:c r="O362" s="10" t="n">
        <x:f>AE361*N362</x:f>
        <x:v>60</x:v>
      </x:c>
      <x:c r="P362" s="9" t="n">
        <x:f>MIN(1,(AB361/(AE361*IF(v01_GroupInCrowding=1,N362,MIN(J362,L362))))^v01_CrowdingExp)</x:f>
        <x:v>0.05528031262948814</x:v>
      </x:c>
      <x:c r="Q362" s="9" t="n">
        <x:f>IF(D362=1,INDEX(v01_WinterMult,G362),1)</x:f>
        <x:v>1</x:v>
      </x:c>
      <x:c r="R362" s="9" t="n">
        <x:f>H362*Z361*v01_WomenShare*v01_BaseFertility*INDEX(v01_FertMult,G362)*Arch_Fertility*(1-P362)</x:f>
        <x:v>0.5674310355528315</x:v>
      </x:c>
      <x:c r="S362" s="9" t="n">
        <x:f>H362*Y361*INDEX(v01_MortChild,G362)/4*Q362</x:f>
        <x:v>0.1445263451342468</x:v>
      </x:c>
      <x:c r="T362" s="9" t="n">
        <x:f>H362*Z361*INDEX(v01_MortAdult,G362)*Arch_AdultMort/4*Q362</x:f>
        <x:v>0.05205497151377957</x:v>
      </x:c>
      <x:c r="U362" s="9" t="n">
        <x:f>H362*AA361*INDEX(v01_MortElder,G362)/4*Q362</x:f>
        <x:v>0.08996004155776743</x:v>
      </x:c>
      <x:c r="V362" s="9" t="n">
        <x:f>H362*MAX(0,AB361-O362)*v01_OvercapLoss</x:f>
        <x:v>0</x:v>
      </x:c>
      <x:c r="W362" s="9" t="n">
        <x:f>H362*Y361/(v01_ChildYears*4)</x:f>
        <x:v>0.294951724763769</x:v>
      </x:c>
      <x:c r="X362" s="9" t="n">
        <x:f>H362*Z361/(v01_AdultYears*4)</x:f>
        <x:v>0.12916866380590464</x:v>
      </x:c>
      <x:c r="Y362" s="32" t="n">
        <x:f>Y361+R362-S362-W362-Y361*V362/AB361</x:f>
        <x:v>16.64524955242588</x:v>
      </x:c>
      <x:c r="Z362" s="32" t="n">
        <x:f>Z361+W362-X362-T362-Z361*V362/AB361</x:f>
        <x:v>16.13064240137626</x:v>
      </x:c>
      <x:c r="AA362" s="32" t="n">
        <x:f>AA361+X362-U362-AA361*V362/AB361</x:f>
        <x:v>4.537210700136509</x:v>
      </x:c>
      <x:c r="AB362" s="10" t="n">
        <x:f>Y362+Z362+AA362</x:f>
        <x:v>37.31310265393866</x:v>
      </x:c>
      <x:c r="AC362" s="8" t="n">
        <x:f>IF(AND(v01_WinterTrigger=1,D362=1,AB361/AE361&gt;=K362),1,0)</x:f>
        <x:v>0</x:v>
      </x:c>
      <x:c r="AD362" s="8" t="n">
        <x:f>H362*IF(AND(OR(AB361/AE361&gt;=v01_FissionTrigger*N362,AC362=1),AB361/AE361*v01_DaughterShare&gt;=v01_MinDaughter),MAX(1,ROUND(AE361*v01_FissionRate,0)),0)</x:f>
        <x:v>0</x:v>
      </x:c>
      <x:c r="AE362" s="8" t="n">
        <x:f>IF(H362=1,MAX(1,MIN(INDEX(v01_Smax,G362),AE361+AD362)),AE361)</x:f>
        <x:v>2</x:v>
      </x:c>
      <x:c r="AF362" s="8" t="n">
        <x:f>MAX(0,AE362-AE361)</x:f>
        <x:v>0</x:v>
      </x:c>
      <x:c r="AG362" s="9" t="str">
        <x:f>IF(AF362&gt;0,B362,"")</x:f>
      </x:c>
      <x:c r="AH362" s="9" t="n">
        <x:f>IF(F362&gt;=1,1,(1+v01_LowTiesShare*(AE362-1))/AE362)</x:f>
        <x:v>1</x:v>
      </x:c>
      <x:c r="AI362" s="32" t="n">
        <x:f>(Z362+v01_ElderCommons*INDEX(LM_Elder,G362)*AA362)*AH362</x:f>
        <x:v>27.24449347220672</x:v>
      </x:c>
      <x:c r="AJ362" s="32" t="n">
        <x:f>H362*v01_CommonsCoef*AI362^v01_CommonsExp*INDEX(LM_Commons,G362)</x:f>
        <x:v>10.952943888258849</x:v>
      </x:c>
      <x:c r="AK362" s="32" t="n">
        <x:f>H362*v01_RoleScale*Arch_Roles*(AE362*(INDEX(v01_ElderRolePerSett,G362)*v01_OutElder*INDEX(LM_Elder,G362)+INDEX(v01_ShamanPerSett,G362)*v01_OutShaman)+Z362*(INDEX(v01_PriestShare,G362)*v01_OutPriest+INDEX(v01_ScribeShare,G362)*v01_OutScribe*INDEX(LM_Scribe,G362)+INDEX(v01_ScholarShare,G362)*v01_OutScholar*INDEX(LM_Scholar,G362)+INDEX(v01_ResearcherShare,G362)*v01_OutResearcher*INDEX(LM_Researcher,G362)))</x:f>
        <x:v>2.724744871391589</x:v>
      </x:c>
      <x:c r="AL362" s="32" t="n">
        <x:f>H362*v01_RoleScale*Arch_Roles*AE362*INDEX(v01_MonasteryPerSett,G362)*v01_OutMonastery*INDEX(LM_Monastery,G362)</x:f>
        <x:v>0</x:v>
      </x:c>
      <x:c r="AM362" s="32" t="n">
        <x:f>(AJ362+AK362+AL362)/4*INDEX(LM_All,G362)*INDEX(v01_Boon,G362)*Arch_Insight</x:f>
        <x:v>3.5049077446604247</x:v>
      </x:c>
      <x:c r="AN362" s="32" t="n">
        <x:f>H362*(v01_KHPerAdult*Z362+v01_KHOfCommons*AJ362/4*INDEX(LM_All,G362))*v01_KHUsable*Arch_KH</x:f>
        <x:v>0.5645724840481691</x:v>
      </x:c>
      <x:c r="AO362" s="32" t="n">
        <x:f>MIN(AP361+AN362,AM362*v01_KHMaxRatio)</x:f>
        <x:v>0.5645724840481691</x:v>
      </x:c>
      <x:c r="AP362" s="32" t="n">
        <x:f>AP361+AN362-AO362</x:f>
        <x:v>0</x:v>
      </x:c>
      <x:c r="AQ362" s="32" t="n">
        <x:f>AM362+AO362</x:f>
        <x:v>4.069480228708594</x:v>
      </x:c>
      <x:c r="AR362" s="10" t="n">
        <x:f>IF(H362=1,INDEX(v01_Req,G362),0)</x:f>
        <x:v>1067.32</x:v>
      </x:c>
      <x:c r="AS362" s="32" t="n">
        <x:f>IF(H362=1,IF(E362=1,AS361-AR361,AS361)+AQ362,0)</x:f>
        <x:v>382.78246928887245</x:v>
      </x:c>
      <x:c r="AT362" s="11" t="n">
        <x:f>IF(AR362&gt;0,MIN(1,AS362/AR362),1)</x:f>
        <x:v>0.35863889863290527</x:v>
      </x:c>
      <x:c r="AU362" s="10" t="n">
        <x:f>AB362/INDEX(v01_RepScale,G362)</x:f>
        <x:v>37.31310265393866</x:v>
      </x:c>
      <x:c r="AV362" s="32" t="n">
        <x:f>AM362*60/v01_SeasonSeconds</x:f>
        <x:v>14.019630978641699</x:v>
      </x:c>
    </x:row>
    <x:row r="363">
      <x:c r="A363" s="8" t="n">
        <x:f>A362+1</x:f>
        <x:v>360</x:v>
      </x:c>
      <x:c r="B363" s="9" t="n">
        <x:f>A363*v01_SeasonSeconds/60</x:f>
        <x:v>90</x:v>
      </x:c>
      <x:c r="C363" s="9" t="n">
        <x:f>A363/4</x:f>
        <x:v>90</x:v>
      </x:c>
      <x:c r="D363" s="8" t="n">
        <x:f>IF(MOD(A363,4)=0,1,0)</x:f>
        <x:v>1</x:v>
      </x:c>
      <x:c r="E363" s="8" t="n">
        <x:f>IF(AND(F362&lt;=9,AS362&gt;=AR362),1,0)</x:f>
        <x:v>0</x:v>
      </x:c>
      <x:c r="F363" s="8" t="n">
        <x:f>MIN(10,F362+E363)</x:f>
        <x:v>1</x:v>
      </x:c>
      <x:c r="G363" s="8" t="n">
        <x:f>MIN(F363,9)+1</x:f>
        <x:v>2</x:v>
      </x:c>
      <x:c r="H363" s="8" t="n">
        <x:f>IF(F363&lt;=9,1,0)</x:f>
        <x:v>1</x:v>
      </x:c>
      <x:c r="I363" s="9" t="n">
        <x:f>MIN(10,F362+IF(AR362&gt;0,MIN(1,AS362/AR362),1))</x:f>
        <x:v>1.3586388986329052</x:v>
      </x:c>
      <x:c r="J363" s="32" t="n">
        <x:f>INDEX(v01_FoodCap,G363)*Arch_FoodCap*EXP(v01_CapsByProject*SUMPRODUCT((Cap_Point&lt;=I363)*(Cap_Kind="Food")*Cap_Ln))</x:f>
        <x:v>30</x:v>
      </x:c>
      <x:c r="K363" s="32" t="n">
        <x:f>J363*MIN(1,v01_LeanBase*EXP(v01_CapsByProject*SUMPRODUCT((Cap_Point&lt;=I363)*(Cap_Kind="Lean")*Cap_Ln)))</x:f>
        <x:v>30</x:v>
      </x:c>
      <x:c r="L363" s="10" t="n">
        <x:f>INDEX(v01_HousingCap,G363)*EXP(v01_CapsByProject*SUMPRODUCT((Cap_Point&lt;=I363)*(Cap_Kind="Housing")*Cap_Ln))</x:f>
        <x:v>60</x:v>
      </x:c>
      <x:c r="M363" s="10" t="n">
        <x:f>INDEX(v01_GroupCap,G363)*v01_CohesionFactor*EXP(v01_CapsByProject*SUMPRODUCT((Cap_Point&lt;=I363)*(Cap_Kind="Group")*Cap_Ln))</x:f>
        <x:v>100</x:v>
      </x:c>
      <x:c r="N363" s="32" t="n">
        <x:f>MIN(J363,L363,M363)</x:f>
        <x:v>30</x:v>
      </x:c>
      <x:c r="O363" s="10" t="n">
        <x:f>AE362*N363</x:f>
        <x:v>60</x:v>
      </x:c>
      <x:c r="P363" s="9" t="n">
        <x:f>MIN(1,(AB362/(AE362*IF(v01_GroupInCrowding=1,N363,MIN(J363,L363))))^v01_CrowdingExp)</x:f>
        <x:v>0.05784431404792365</x:v>
      </x:c>
      <x:c r="Q363" s="9" t="n">
        <x:f>IF(D363=1,INDEX(v01_WinterMult,G363),1)</x:f>
        <x:v>1.6</x:v>
      </x:c>
      <x:c r="R363" s="9" t="n">
        <x:f>H363*Z362*v01_WomenShare*v01_BaseFertility*INDEX(v01_FertMult,G363)*Arch_Fertility*(1-P363)</x:f>
        <x:v>0.5699091171193611</x:v>
      </x:c>
      <x:c r="S363" s="9" t="n">
        <x:f>H363*Y362*INDEX(v01_MortChild,G363)/4*Q363</x:f>
        <x:v>0.23303349373396234</x:v>
      </x:c>
      <x:c r="T363" s="9" t="n">
        <x:f>H363*Z362*INDEX(v01_MortAdult,G363)*Arch_AdultMort/4*Q363</x:f>
        <x:v>0.08387934048715656</x:v>
      </x:c>
      <x:c r="U363" s="9" t="n">
        <x:f>H363*AA362*INDEX(v01_MortElder,G363)/4*Q363</x:f>
        <x:v>0.1451907424043683</x:v>
      </x:c>
      <x:c r="V363" s="9" t="n">
        <x:f>H363*MAX(0,AB362-O363)*v01_OvercapLoss</x:f>
        <x:v>0</x:v>
      </x:c>
      <x:c r="W363" s="9" t="n">
        <x:f>H363*Y362/(v01_ChildYears*4)</x:f>
        <x:v>0.29723659915046213</x:v>
      </x:c>
      <x:c r="X363" s="9" t="n">
        <x:f>H363*Z362/(v01_AdultYears*4)</x:f>
        <x:v>0.1300858258175505</x:v>
      </x:c>
      <x:c r="Y363" s="32" t="n">
        <x:f>Y362+R363-S363-W363-Y362*V363/AB362</x:f>
        <x:v>16.684888576660818</x:v>
      </x:c>
      <x:c r="Z363" s="32" t="n">
        <x:f>Z362+W363-X363-T363-Z362*V363/AB362</x:f>
        <x:v>16.213913834222016</x:v>
      </x:c>
      <x:c r="AA363" s="32" t="n">
        <x:f>AA362+X363-U363-AA362*V363/AB362</x:f>
        <x:v>4.522105783549691</x:v>
      </x:c>
      <x:c r="AB363" s="10" t="n">
        <x:f>Y363+Z363+AA363</x:f>
        <x:v>37.42090819443253</x:v>
      </x:c>
      <x:c r="AC363" s="8" t="n">
        <x:f>IF(AND(v01_WinterTrigger=1,D363=1,AB362/AE362&gt;=K363),1,0)</x:f>
        <x:v>0</x:v>
      </x:c>
      <x:c r="AD363" s="8" t="n">
        <x:f>H363*IF(AND(OR(AB362/AE362&gt;=v01_FissionTrigger*N363,AC363=1),AB362/AE362*v01_DaughterShare&gt;=v01_MinDaughter),MAX(1,ROUND(AE362*v01_FissionRate,0)),0)</x:f>
        <x:v>0</x:v>
      </x:c>
      <x:c r="AE363" s="8" t="n">
        <x:f>IF(H363=1,MAX(1,MIN(INDEX(v01_Smax,G363),AE362+AD363)),AE362)</x:f>
        <x:v>2</x:v>
      </x:c>
      <x:c r="AF363" s="8" t="n">
        <x:f>MAX(0,AE363-AE362)</x:f>
        <x:v>0</x:v>
      </x:c>
      <x:c r="AG363" s="9" t="str">
        <x:f>IF(AF363&gt;0,B363,"")</x:f>
      </x:c>
      <x:c r="AH363" s="9" t="n">
        <x:f>IF(F363&gt;=1,1,(1+v01_LowTiesShare*(AE363-1))/AE363)</x:f>
        <x:v>1</x:v>
      </x:c>
      <x:c r="AI363" s="32" t="n">
        <x:f>(Z363+v01_ElderCommons*INDEX(LM_Elder,G363)*AA363)*AH363</x:f>
        <x:v>27.29076556680747</x:v>
      </x:c>
      <x:c r="AJ363" s="32" t="n">
        <x:f>H363*v01_CommonsCoef*AI363^v01_CommonsExp*INDEX(LM_Commons,G363)</x:f>
        <x:v>10.968753999355869</x:v>
      </x:c>
      <x:c r="AK363" s="32" t="n">
        <x:f>H363*v01_RoleScale*Arch_Roles*(AE363*(INDEX(v01_ElderRolePerSett,G363)*v01_OutElder*INDEX(LM_Elder,G363)+INDEX(v01_ShamanPerSett,G363)*v01_OutShaman)+Z363*(INDEX(v01_PriestShare,G363)*v01_OutPriest+INDEX(v01_ScribeShare,G363)*v01_OutScribe*INDEX(LM_Scribe,G363)+INDEX(v01_ScholarShare,G363)*v01_OutScholar*INDEX(LM_Scholar,G363)+INDEX(v01_ResearcherShare,G363)*v01_OutResearcher*INDEX(LM_Researcher,G363)))</x:f>
        <x:v>2.724744871391589</x:v>
      </x:c>
      <x:c r="AL363" s="32" t="n">
        <x:f>H363*v01_RoleScale*Arch_Roles*AE363*INDEX(v01_MonasteryPerSett,G363)*v01_OutMonastery*INDEX(LM_Monastery,G363)</x:f>
        <x:v>0</x:v>
      </x:c>
      <x:c r="AM363" s="32" t="n">
        <x:f>(AJ363+AK363+AL363)/4*INDEX(LM_All,G363)*INDEX(v01_Boon,G363)*Arch_Insight</x:f>
        <x:v>3.508959085629036</x:v>
      </x:c>
      <x:c r="AN363" s="32" t="n">
        <x:f>H363*(v01_KHPerAdult*Z363+v01_KHOfCommons*AJ363/4*INDEX(LM_All,G363))*v01_KHUsable*Arch_KH</x:f>
        <x:v>0.5674869841977705</x:v>
      </x:c>
      <x:c r="AO363" s="32" t="n">
        <x:f>MIN(AP362+AN363,AM363*v01_KHMaxRatio)</x:f>
        <x:v>0.5674869841977705</x:v>
      </x:c>
      <x:c r="AP363" s="32" t="n">
        <x:f>AP362+AN363-AO363</x:f>
        <x:v>0</x:v>
      </x:c>
      <x:c r="AQ363" s="32" t="n">
        <x:f>AM363+AO363</x:f>
        <x:v>4.076446069826806</x:v>
      </x:c>
      <x:c r="AR363" s="10" t="n">
        <x:f>IF(H363=1,INDEX(v01_Req,G363),0)</x:f>
        <x:v>1067.32</x:v>
      </x:c>
      <x:c r="AS363" s="32" t="n">
        <x:f>IF(H363=1,IF(E363=1,AS362-AR362,AS362)+AQ363,0)</x:f>
        <x:v>386.8589153586993</x:v>
      </x:c>
      <x:c r="AT363" s="11" t="n">
        <x:f>IF(AR363&gt;0,MIN(1,AS363/AR363),1)</x:f>
        <x:v>0.3624582274844464</x:v>
      </x:c>
      <x:c r="AU363" s="10" t="n">
        <x:f>AB363/INDEX(v01_RepScale,G363)</x:f>
        <x:v>37.42090819443253</x:v>
      </x:c>
      <x:c r="AV363" s="32" t="n">
        <x:f>AM363*60/v01_SeasonSeconds</x:f>
        <x:v>14.035836342516143</x:v>
      </x:c>
    </x:row>
    <x:row r="364">
      <x:c r="A364" s="8" t="n">
        <x:f>A363+1</x:f>
        <x:v>361</x:v>
      </x:c>
      <x:c r="B364" s="9" t="n">
        <x:f>A364*v01_SeasonSeconds/60</x:f>
        <x:v>90.25</x:v>
      </x:c>
      <x:c r="C364" s="9" t="n">
        <x:f>A364/4</x:f>
        <x:v>90.25</x:v>
      </x:c>
      <x:c r="D364" s="8" t="n">
        <x:f>IF(MOD(A364,4)=0,1,0)</x:f>
        <x:v>0</x:v>
      </x:c>
      <x:c r="E364" s="8" t="n">
        <x:f>IF(AND(F363&lt;=9,AS363&gt;=AR363),1,0)</x:f>
        <x:v>0</x:v>
      </x:c>
      <x:c r="F364" s="8" t="n">
        <x:f>MIN(10,F363+E364)</x:f>
        <x:v>1</x:v>
      </x:c>
      <x:c r="G364" s="8" t="n">
        <x:f>MIN(F364,9)+1</x:f>
        <x:v>2</x:v>
      </x:c>
      <x:c r="H364" s="8" t="n">
        <x:f>IF(F364&lt;=9,1,0)</x:f>
        <x:v>1</x:v>
      </x:c>
      <x:c r="I364" s="9" t="n">
        <x:f>MIN(10,F363+IF(AR363&gt;0,MIN(1,AS363/AR363),1))</x:f>
        <x:v>1.3624582274844463</x:v>
      </x:c>
      <x:c r="J364" s="32" t="n">
        <x:f>INDEX(v01_FoodCap,G364)*Arch_FoodCap*EXP(v01_CapsByProject*SUMPRODUCT((Cap_Point&lt;=I364)*(Cap_Kind="Food")*Cap_Ln))</x:f>
        <x:v>30</x:v>
      </x:c>
      <x:c r="K364" s="32" t="n">
        <x:f>J364*MIN(1,v01_LeanBase*EXP(v01_CapsByProject*SUMPRODUCT((Cap_Point&lt;=I364)*(Cap_Kind="Lean")*Cap_Ln)))</x:f>
        <x:v>30</x:v>
      </x:c>
      <x:c r="L364" s="10" t="n">
        <x:f>INDEX(v01_HousingCap,G364)*EXP(v01_CapsByProject*SUMPRODUCT((Cap_Point&lt;=I364)*(Cap_Kind="Housing")*Cap_Ln))</x:f>
        <x:v>60</x:v>
      </x:c>
      <x:c r="M364" s="10" t="n">
        <x:f>INDEX(v01_GroupCap,G364)*v01_CohesionFactor*EXP(v01_CapsByProject*SUMPRODUCT((Cap_Point&lt;=I364)*(Cap_Kind="Group")*Cap_Ln))</x:f>
        <x:v>100</x:v>
      </x:c>
      <x:c r="N364" s="32" t="n">
        <x:f>MIN(J364,L364,M364)</x:f>
        <x:v>30</x:v>
      </x:c>
      <x:c r="O364" s="10" t="n">
        <x:f>AE363*N364</x:f>
        <x:v>60</x:v>
      </x:c>
      <x:c r="P364" s="9" t="n">
        <x:f>MIN(1,(AB363/(AE363*IF(v01_GroupInCrowding=1,N364,MIN(J364,L364))))^v01_CrowdingExp)</x:f>
        <x:v>0.05885433252114423</x:v>
      </x:c>
      <x:c r="Q364" s="9" t="n">
        <x:f>IF(D364=1,INDEX(v01_WinterMult,G364),1)</x:f>
        <x:v>1</x:v>
      </x:c>
      <x:c r="R364" s="9" t="n">
        <x:f>H364*Z363*v01_WomenShare*v01_BaseFertility*INDEX(v01_FertMult,G364)*Arch_Fertility*(1-P364)</x:f>
        <x:v>0.5722370534232575</x:v>
      </x:c>
      <x:c r="S364" s="9" t="n">
        <x:f>H364*Y363*INDEX(v01_MortChild,G364)/4*Q364</x:f>
        <x:v>0.14599277504578217</x:v>
      </x:c>
      <x:c r="T364" s="9" t="n">
        <x:f>H364*Z363*INDEX(v01_MortAdult,G364)*Arch_AdultMort/4*Q364</x:f>
        <x:v>0.05269521996122155</x:v>
      </x:c>
      <x:c r="U364" s="9" t="n">
        <x:f>H364*AA363*INDEX(v01_MortElder,G364)/4*Q364</x:f>
        <x:v>0.09044211567099382</x:v>
      </x:c>
      <x:c r="V364" s="9" t="n">
        <x:f>H364*MAX(0,AB363-O364)*v01_OvercapLoss</x:f>
        <x:v>0</x:v>
      </x:c>
      <x:c r="W364" s="9" t="n">
        <x:f>H364*Y363/(v01_ChildYears*4)</x:f>
        <x:v>0.2979444388689432</x:v>
      </x:c>
      <x:c r="X364" s="9" t="n">
        <x:f>H364*Z363/(v01_AdultYears*4)</x:f>
        <x:v>0.1307573696308227</x:v>
      </x:c>
      <x:c r="Y364" s="32" t="n">
        <x:f>Y363+R364-S364-W364-Y363*V364/AB363</x:f>
        <x:v>16.81318841616935</x:v>
      </x:c>
      <x:c r="Z364" s="32" t="n">
        <x:f>Z363+W364-X364-T364-Z363*V364/AB363</x:f>
        <x:v>16.328405683498914</x:v>
      </x:c>
      <x:c r="AA364" s="32" t="n">
        <x:f>AA363+X364-U364-AA363*V364/AB363</x:f>
        <x:v>4.5624210375095196</x:v>
      </x:c>
      <x:c r="AB364" s="10" t="n">
        <x:f>Y364+Z364+AA364</x:f>
        <x:v>37.70401513717779</x:v>
      </x:c>
      <x:c r="AC364" s="8" t="n">
        <x:f>IF(AND(v01_WinterTrigger=1,D364=1,AB363/AE363&gt;=K364),1,0)</x:f>
        <x:v>0</x:v>
      </x:c>
      <x:c r="AD364" s="8" t="n">
        <x:f>H364*IF(AND(OR(AB363/AE363&gt;=v01_FissionTrigger*N364,AC364=1),AB363/AE363*v01_DaughterShare&gt;=v01_MinDaughter),MAX(1,ROUND(AE363*v01_FissionRate,0)),0)</x:f>
        <x:v>0</x:v>
      </x:c>
      <x:c r="AE364" s="8" t="n">
        <x:f>IF(H364=1,MAX(1,MIN(INDEX(v01_Smax,G364),AE363+AD364)),AE363)</x:f>
        <x:v>2</x:v>
      </x:c>
      <x:c r="AF364" s="8" t="n">
        <x:f>MAX(0,AE364-AE363)</x:f>
        <x:v>0</x:v>
      </x:c>
      <x:c r="AG364" s="9" t="str">
        <x:f>IF(AF364&gt;0,B364,"")</x:f>
      </x:c>
      <x:c r="AH364" s="9" t="n">
        <x:f>IF(F364&gt;=1,1,(1+v01_LowTiesShare*(AE364-1))/AE364)</x:f>
        <x:v>1</x:v>
      </x:c>
      <x:c r="AI364" s="32" t="n">
        <x:f>(Z364+v01_ElderCommons*INDEX(LM_Elder,G364)*AA364)*AH364</x:f>
        <x:v>27.50400921713667</x:v>
      </x:c>
      <x:c r="AJ364" s="32" t="n">
        <x:f>H364*v01_CommonsCoef*AI364^v01_CommonsExp*INDEX(LM_Commons,G364)</x:f>
        <x:v>11.041562617074524</x:v>
      </x:c>
      <x:c r="AK364" s="32" t="n">
        <x:f>H364*v01_RoleScale*Arch_Roles*(AE364*(INDEX(v01_ElderRolePerSett,G364)*v01_OutElder*INDEX(LM_Elder,G364)+INDEX(v01_ShamanPerSett,G364)*v01_OutShaman)+Z364*(INDEX(v01_PriestShare,G364)*v01_OutPriest+INDEX(v01_ScribeShare,G364)*v01_OutScribe*INDEX(LM_Scribe,G364)+INDEX(v01_ScholarShare,G364)*v01_OutScholar*INDEX(LM_Scholar,G364)+INDEX(v01_ResearcherShare,G364)*v01_OutResearcher*INDEX(LM_Researcher,G364)))</x:f>
        <x:v>2.724744871391589</x:v>
      </x:c>
      <x:c r="AL364" s="32" t="n">
        <x:f>H364*v01_RoleScale*Arch_Roles*AE364*INDEX(v01_MonasteryPerSett,G364)*v01_OutMonastery*INDEX(LM_Monastery,G364)</x:f>
        <x:v>0</x:v>
      </x:c>
      <x:c r="AM364" s="32" t="n">
        <x:f>(AJ364+AK364+AL364)/4*INDEX(LM_All,G364)*INDEX(v01_Boon,G364)*Arch_Insight</x:f>
        <x:v>3.5276162939194413</x:v>
      </x:c>
      <x:c r="AN364" s="32" t="n">
        <x:f>H364*(v01_KHPerAdult*Z364+v01_KHOfCommons*AJ364/4*INDEX(LM_All,G364))*v01_KHUsable*Arch_KH</x:f>
        <x:v>0.571494198922462</x:v>
      </x:c>
      <x:c r="AO364" s="32" t="n">
        <x:f>MIN(AP363+AN364,AM364*v01_KHMaxRatio)</x:f>
        <x:v>0.571494198922462</x:v>
      </x:c>
      <x:c r="AP364" s="32" t="n">
        <x:f>AP363+AN364-AO364</x:f>
        <x:v>0</x:v>
      </x:c>
      <x:c r="AQ364" s="32" t="n">
        <x:f>AM364+AO364</x:f>
        <x:v>4.099110492841904</x:v>
      </x:c>
      <x:c r="AR364" s="10" t="n">
        <x:f>IF(H364=1,INDEX(v01_Req,G364),0)</x:f>
        <x:v>1067.32</x:v>
      </x:c>
      <x:c r="AS364" s="32" t="n">
        <x:f>IF(H364=1,IF(E364=1,AS363-AR363,AS363)+AQ364,0)</x:f>
        <x:v>390.9580258515412</x:v>
      </x:c>
      <x:c r="AT364" s="11" t="n">
        <x:f>IF(AR364&gt;0,MIN(1,AS364/AR364),1)</x:f>
        <x:v>0.36629879122619385</x:v>
      </x:c>
      <x:c r="AU364" s="10" t="n">
        <x:f>AB364/INDEX(v01_RepScale,G364)</x:f>
        <x:v>37.70401513717779</x:v>
      </x:c>
      <x:c r="AV364" s="32" t="n">
        <x:f>AM364*60/v01_SeasonSeconds</x:f>
        <x:v>14.110465175677765</x:v>
      </x:c>
    </x:row>
    <x:row r="365">
      <x:c r="A365" s="8" t="n">
        <x:f>A364+1</x:f>
        <x:v>362</x:v>
      </x:c>
      <x:c r="B365" s="9" t="n">
        <x:f>A365*v01_SeasonSeconds/60</x:f>
        <x:v>90.5</x:v>
      </x:c>
      <x:c r="C365" s="9" t="n">
        <x:f>A365/4</x:f>
        <x:v>90.5</x:v>
      </x:c>
      <x:c r="D365" s="8" t="n">
        <x:f>IF(MOD(A365,4)=0,1,0)</x:f>
        <x:v>0</x:v>
      </x:c>
      <x:c r="E365" s="8" t="n">
        <x:f>IF(AND(F364&lt;=9,AS364&gt;=AR364),1,0)</x:f>
        <x:v>0</x:v>
      </x:c>
      <x:c r="F365" s="8" t="n">
        <x:f>MIN(10,F364+E365)</x:f>
        <x:v>1</x:v>
      </x:c>
      <x:c r="G365" s="8" t="n">
        <x:f>MIN(F365,9)+1</x:f>
        <x:v>2</x:v>
      </x:c>
      <x:c r="H365" s="8" t="n">
        <x:f>IF(F365&lt;=9,1,0)</x:f>
        <x:v>1</x:v>
      </x:c>
      <x:c r="I365" s="9" t="n">
        <x:f>MIN(10,F364+IF(AR364&gt;0,MIN(1,AS364/AR364),1))</x:f>
        <x:v>1.366298791226194</x:v>
      </x:c>
      <x:c r="J365" s="32" t="n">
        <x:f>INDEX(v01_FoodCap,G365)*Arch_FoodCap*EXP(v01_CapsByProject*SUMPRODUCT((Cap_Point&lt;=I365)*(Cap_Kind="Food")*Cap_Ln))</x:f>
        <x:v>30</x:v>
      </x:c>
      <x:c r="K365" s="32" t="n">
        <x:f>J365*MIN(1,v01_LeanBase*EXP(v01_CapsByProject*SUMPRODUCT((Cap_Point&lt;=I365)*(Cap_Kind="Lean")*Cap_Ln)))</x:f>
        <x:v>30</x:v>
      </x:c>
      <x:c r="L365" s="10" t="n">
        <x:f>INDEX(v01_HousingCap,G365)*EXP(v01_CapsByProject*SUMPRODUCT((Cap_Point&lt;=I365)*(Cap_Kind="Housing")*Cap_Ln))</x:f>
        <x:v>60</x:v>
      </x:c>
      <x:c r="M365" s="10" t="n">
        <x:f>INDEX(v01_GroupCap,G365)*v01_CohesionFactor*EXP(v01_CapsByProject*SUMPRODUCT((Cap_Point&lt;=I365)*(Cap_Kind="Group")*Cap_Ln))</x:f>
        <x:v>100</x:v>
      </x:c>
      <x:c r="N365" s="32" t="n">
        <x:f>MIN(J365,L365,M365)</x:f>
        <x:v>30</x:v>
      </x:c>
      <x:c r="O365" s="10" t="n">
        <x:f>AE364*N365</x:f>
        <x:v>60</x:v>
      </x:c>
      <x:c r="P365" s="9" t="n">
        <x:f>MIN(1,(AB364/(AE364*IF(v01_GroupInCrowding=1,N365,MIN(J365,L365))))^v01_CrowdingExp)</x:f>
        <x:v>0.061576940148925896</x:v>
      </x:c>
      <x:c r="Q365" s="9" t="n">
        <x:f>IF(D365=1,INDEX(v01_WinterMult,G365),1)</x:f>
        <x:v>1</x:v>
      </x:c>
      <x:c r="R365" s="9" t="n">
        <x:f>H365*Z364*v01_WomenShare*v01_BaseFertility*INDEX(v01_FertMult,G365)*Arch_Fertility*(1-P365)</x:f>
        <x:v>0.574610715899952</x:v>
      </x:c>
      <x:c r="S365" s="9" t="n">
        <x:f>H365*Y364*INDEX(v01_MortChild,G365)/4*Q365</x:f>
        <x:v>0.14711539864148182</x:v>
      </x:c>
      <x:c r="T365" s="9" t="n">
        <x:f>H365*Z364*INDEX(v01_MortAdult,G365)*Arch_AdultMort/4*Q365</x:f>
        <x:v>0.05306731847137147</x:v>
      </x:c>
      <x:c r="U365" s="9" t="n">
        <x:f>H365*AA364*INDEX(v01_MortElder,G365)/4*Q365</x:f>
        <x:v>0.09124842075019039</x:v>
      </x:c>
      <x:c r="V365" s="9" t="n">
        <x:f>H365*MAX(0,AB364-O365)*v01_OvercapLoss</x:f>
        <x:v>0</x:v>
      </x:c>
      <x:c r="W365" s="9" t="n">
        <x:f>H365*Y364/(v01_ChildYears*4)</x:f>
        <x:v>0.30023550743159555</x:v>
      </x:c>
      <x:c r="X365" s="9" t="n">
        <x:f>H365*Z364/(v01_AdultYears*4)</x:f>
        <x:v>0.131680690995959</x:v>
      </x:c>
      <x:c r="Y365" s="32" t="n">
        <x:f>Y364+R365-S365-W365-Y364*V365/AB364</x:f>
        <x:v>16.940448225996224</x:v>
      </x:c>
      <x:c r="Z365" s="32" t="n">
        <x:f>Z364+W365-X365-T365-Z364*V365/AB364</x:f>
        <x:v>16.443893181463178</x:v>
      </x:c>
      <x:c r="AA365" s="32" t="n">
        <x:f>AA364+X365-U365-AA364*V365/AB364</x:f>
        <x:v>4.6028533077552884</x:v>
      </x:c>
      <x:c r="AB365" s="10" t="n">
        <x:f>Y365+Z365+AA365</x:f>
        <x:v>37.98719471521469</x:v>
      </x:c>
      <x:c r="AC365" s="8" t="n">
        <x:f>IF(AND(v01_WinterTrigger=1,D365=1,AB364/AE364&gt;=K365),1,0)</x:f>
        <x:v>0</x:v>
      </x:c>
      <x:c r="AD365" s="8" t="n">
        <x:f>H365*IF(AND(OR(AB364/AE364&gt;=v01_FissionTrigger*N365,AC365=1),AB364/AE364*v01_DaughterShare&gt;=v01_MinDaughter),MAX(1,ROUND(AE364*v01_FissionRate,0)),0)</x:f>
        <x:v>0</x:v>
      </x:c>
      <x:c r="AE365" s="8" t="n">
        <x:f>IF(H365=1,MAX(1,MIN(INDEX(v01_Smax,G365),AE364+AD365)),AE364)</x:f>
        <x:v>2</x:v>
      </x:c>
      <x:c r="AF365" s="8" t="n">
        <x:f>MAX(0,AE365-AE364)</x:f>
        <x:v>0</x:v>
      </x:c>
      <x:c r="AG365" s="9" t="str">
        <x:f>IF(AF365&gt;0,B365,"")</x:f>
      </x:c>
      <x:c r="AH365" s="9" t="n">
        <x:f>IF(F365&gt;=1,1,(1+v01_LowTiesShare*(AE365-1))/AE365)</x:f>
        <x:v>1</x:v>
      </x:c>
      <x:c r="AI365" s="32" t="n">
        <x:f>(Z365+v01_ElderCommons*INDEX(LM_Elder,G365)*AA365)*AH365</x:f>
        <x:v>27.71853514634538</x:v>
      </x:c>
      <x:c r="AJ365" s="32" t="n">
        <x:f>H365*v01_CommonsCoef*AI365^v01_CommonsExp*INDEX(LM_Commons,G365)</x:f>
        <x:v>11.114723658499189</x:v>
      </x:c>
      <x:c r="AK365" s="32" t="n">
        <x:f>H365*v01_RoleScale*Arch_Roles*(AE365*(INDEX(v01_ElderRolePerSett,G365)*v01_OutElder*INDEX(LM_Elder,G365)+INDEX(v01_ShamanPerSett,G365)*v01_OutShaman)+Z365*(INDEX(v01_PriestShare,G365)*v01_OutPriest+INDEX(v01_ScribeShare,G365)*v01_OutScribe*INDEX(LM_Scribe,G365)+INDEX(v01_ScholarShare,G365)*v01_OutScholar*INDEX(LM_Scholar,G365)+INDEX(v01_ResearcherShare,G365)*v01_OutResearcher*INDEX(LM_Researcher,G365)))</x:f>
        <x:v>2.724744871391589</x:v>
      </x:c>
      <x:c r="AL365" s="32" t="n">
        <x:f>H365*v01_RoleScale*Arch_Roles*AE365*INDEX(v01_MonasteryPerSett,G365)*v01_OutMonastery*INDEX(LM_Monastery,G365)</x:f>
        <x:v>0</x:v>
      </x:c>
      <x:c r="AM365" s="32" t="n">
        <x:f>(AJ365+AK365+AL365)/4*INDEX(LM_All,G365)*INDEX(v01_Boon,G365)*Arch_Insight</x:f>
        <x:v>3.5463638107845115</x:v>
      </x:c>
      <x:c r="AN365" s="32" t="n">
        <x:f>H365*(v01_KHPerAdult*Z365+v01_KHOfCommons*AJ365/4*INDEX(LM_All,G365))*v01_KHUsable*Arch_KH</x:f>
        <x:v>0.5755362613512112</x:v>
      </x:c>
      <x:c r="AO365" s="32" t="n">
        <x:f>MIN(AP364+AN365,AM365*v01_KHMaxRatio)</x:f>
        <x:v>0.5755362613512112</x:v>
      </x:c>
      <x:c r="AP365" s="32" t="n">
        <x:f>AP364+AN365-AO365</x:f>
        <x:v>0</x:v>
      </x:c>
      <x:c r="AQ365" s="32" t="n">
        <x:f>AM365+AO365</x:f>
        <x:v>4.121900072135722</x:v>
      </x:c>
      <x:c r="AR365" s="10" t="n">
        <x:f>IF(H365=1,INDEX(v01_Req,G365),0)</x:f>
        <x:v>1067.32</x:v>
      </x:c>
      <x:c r="AS365" s="32" t="n">
        <x:f>IF(H365=1,IF(E365=1,AS364-AR364,AS364)+AQ365,0)</x:f>
        <x:v>395.0799259236769</x:v>
      </x:c>
      <x:c r="AT365" s="11" t="n">
        <x:f>IF(AR365&gt;0,MIN(1,AS365/AR365),1)</x:f>
        <x:v>0.37016070712033594</x:v>
      </x:c>
      <x:c r="AU365" s="10" t="n">
        <x:f>AB365/INDEX(v01_RepScale,G365)</x:f>
        <x:v>37.98719471521469</x:v>
      </x:c>
      <x:c r="AV365" s="32" t="n">
        <x:f>AM365*60/v01_SeasonSeconds</x:f>
        <x:v>14.185455243138046</x:v>
      </x:c>
    </x:row>
    <x:row r="366">
      <x:c r="A366" s="8" t="n">
        <x:f>A365+1</x:f>
        <x:v>363</x:v>
      </x:c>
      <x:c r="B366" s="9" t="n">
        <x:f>A366*v01_SeasonSeconds/60</x:f>
        <x:v>90.75</x:v>
      </x:c>
      <x:c r="C366" s="9" t="n">
        <x:f>A366/4</x:f>
        <x:v>90.75</x:v>
      </x:c>
      <x:c r="D366" s="8" t="n">
        <x:f>IF(MOD(A366,4)=0,1,0)</x:f>
        <x:v>0</x:v>
      </x:c>
      <x:c r="E366" s="8" t="n">
        <x:f>IF(AND(F365&lt;=9,AS365&gt;=AR365),1,0)</x:f>
        <x:v>0</x:v>
      </x:c>
      <x:c r="F366" s="8" t="n">
        <x:f>MIN(10,F365+E366)</x:f>
        <x:v>1</x:v>
      </x:c>
      <x:c r="G366" s="8" t="n">
        <x:f>MIN(F366,9)+1</x:f>
        <x:v>2</x:v>
      </x:c>
      <x:c r="H366" s="8" t="n">
        <x:f>IF(F366&lt;=9,1,0)</x:f>
        <x:v>1</x:v>
      </x:c>
      <x:c r="I366" s="9" t="n">
        <x:f>MIN(10,F365+IF(AR365&gt;0,MIN(1,AS365/AR365),1))</x:f>
        <x:v>1.3701607071203359</x:v>
      </x:c>
      <x:c r="J366" s="32" t="n">
        <x:f>INDEX(v01_FoodCap,G366)*Arch_FoodCap*EXP(v01_CapsByProject*SUMPRODUCT((Cap_Point&lt;=I366)*(Cap_Kind="Food")*Cap_Ln))</x:f>
        <x:v>30</x:v>
      </x:c>
      <x:c r="K366" s="32" t="n">
        <x:f>J366*MIN(1,v01_LeanBase*EXP(v01_CapsByProject*SUMPRODUCT((Cap_Point&lt;=I366)*(Cap_Kind="Lean")*Cap_Ln)))</x:f>
        <x:v>30</x:v>
      </x:c>
      <x:c r="L366" s="10" t="n">
        <x:f>INDEX(v01_HousingCap,G366)*EXP(v01_CapsByProject*SUMPRODUCT((Cap_Point&lt;=I366)*(Cap_Kind="Housing")*Cap_Ln))</x:f>
        <x:v>60</x:v>
      </x:c>
      <x:c r="M366" s="10" t="n">
        <x:f>INDEX(v01_GroupCap,G366)*v01_CohesionFactor*EXP(v01_CapsByProject*SUMPRODUCT((Cap_Point&lt;=I366)*(Cap_Kind="Group")*Cap_Ln))</x:f>
        <x:v>100</x:v>
      </x:c>
      <x:c r="N366" s="32" t="n">
        <x:f>MIN(J366,L366,M366)</x:f>
        <x:v>30</x:v>
      </x:c>
      <x:c r="O366" s="10" t="n">
        <x:f>AE365*N366</x:f>
        <x:v>60</x:v>
      </x:c>
      <x:c r="P366" s="9" t="n">
        <x:f>MIN(1,(AB365/(AE365*IF(v01_GroupInCrowding=1,N366,MIN(J366,L366))))^v01_CrowdingExp)</x:f>
        <x:v>0.06440444395171714</x:v>
      </x:c>
      <x:c r="Q366" s="9" t="n">
        <x:f>IF(D366=1,INDEX(v01_WinterMult,G366),1)</x:f>
        <x:v>1</x:v>
      </x:c>
      <x:c r="R366" s="9" t="n">
        <x:f>H366*Z365*v01_WomenShare*v01_BaseFertility*INDEX(v01_FertMult,G366)*Arch_Fertility*(1-P366)</x:f>
        <x:v>0.5769312519266103</x:v>
      </x:c>
      <x:c r="S366" s="9" t="n">
        <x:f>H366*Y365*INDEX(v01_MortChild,G366)/4*Q366</x:f>
        <x:v>0.14822892197746698</x:v>
      </x:c>
      <x:c r="T366" s="9" t="n">
        <x:f>H366*Z365*INDEX(v01_MortAdult,G366)*Arch_AdultMort/4*Q366</x:f>
        <x:v>0.05344265283975533</x:v>
      </x:c>
      <x:c r="U366" s="9" t="n">
        <x:f>H366*AA365*INDEX(v01_MortElder,G366)/4*Q366</x:f>
        <x:v>0.09205706615510577</x:v>
      </x:c>
      <x:c r="V366" s="9" t="n">
        <x:f>H366*MAX(0,AB365-O366)*v01_OvercapLoss</x:f>
        <x:v>0</x:v>
      </x:c>
      <x:c r="W366" s="9" t="n">
        <x:f>H366*Y365/(v01_ChildYears*4)</x:f>
        <x:v>0.30250800403564687</x:v>
      </x:c>
      <x:c r="X366" s="9" t="n">
        <x:f>H366*Z365/(v01_AdultYears*4)</x:f>
        <x:v>0.13261204178599337</x:v>
      </x:c>
      <x:c r="Y366" s="32" t="n">
        <x:f>Y365+R366-S366-W366-Y365*V366/AB365</x:f>
        <x:v>17.06664255190972</x:v>
      </x:c>
      <x:c r="Z366" s="32" t="n">
        <x:f>Z365+W366-X366-T366-Z365*V366/AB365</x:f>
        <x:v>16.560346490873076</x:v>
      </x:c>
      <x:c r="AA366" s="32" t="n">
        <x:f>AA365+X366-U366-AA365*V366/AB365</x:f>
        <x:v>4.643408283386176</x:v>
      </x:c>
      <x:c r="AB366" s="10" t="n">
        <x:f>Y366+Z366+AA366</x:f>
        <x:v>38.270397326168975</x:v>
      </x:c>
      <x:c r="AC366" s="8" t="n">
        <x:f>IF(AND(v01_WinterTrigger=1,D366=1,AB365/AE365&gt;=K366),1,0)</x:f>
        <x:v>0</x:v>
      </x:c>
      <x:c r="AD366" s="8" t="n">
        <x:f>H366*IF(AND(OR(AB365/AE365&gt;=v01_FissionTrigger*N366,AC366=1),AB365/AE365*v01_DaughterShare&gt;=v01_MinDaughter),MAX(1,ROUND(AE365*v01_FissionRate,0)),0)</x:f>
        <x:v>0</x:v>
      </x:c>
      <x:c r="AE366" s="8" t="n">
        <x:f>IF(H366=1,MAX(1,MIN(INDEX(v01_Smax,G366),AE365+AD366)),AE365)</x:f>
        <x:v>2</x:v>
      </x:c>
      <x:c r="AF366" s="8" t="n">
        <x:f>MAX(0,AE366-AE365)</x:f>
        <x:v>0</x:v>
      </x:c>
      <x:c r="AG366" s="9" t="str">
        <x:f>IF(AF366&gt;0,B366,"")</x:f>
      </x:c>
      <x:c r="AH366" s="9" t="n">
        <x:f>IF(F366&gt;=1,1,(1+v01_LowTiesShare*(AE366-1))/AE366)</x:f>
        <x:v>1</x:v>
      </x:c>
      <x:c r="AI366" s="32" t="n">
        <x:f>(Z366+v01_ElderCommons*INDEX(LM_Elder,G366)*AA366)*AH366</x:f>
        <x:v>27.934327452581957</x:v>
      </x:c>
      <x:c r="AJ366" s="32" t="n">
        <x:f>H366*v01_CommonsCoef*AI366^v01_CommonsExp*INDEX(LM_Commons,G366)</x:f>
        <x:v>11.188230942871812</x:v>
      </x:c>
      <x:c r="AK366" s="32" t="n">
        <x:f>H366*v01_RoleScale*Arch_Roles*(AE366*(INDEX(v01_ElderRolePerSett,G366)*v01_OutElder*INDEX(LM_Elder,G366)+INDEX(v01_ShamanPerSett,G366)*v01_OutShaman)+Z366*(INDEX(v01_PriestShare,G366)*v01_OutPriest+INDEX(v01_ScribeShare,G366)*v01_OutScribe*INDEX(LM_Scribe,G366)+INDEX(v01_ScholarShare,G366)*v01_OutScholar*INDEX(LM_Scholar,G366)+INDEX(v01_ResearcherShare,G366)*v01_OutResearcher*INDEX(LM_Researcher,G366)))</x:f>
        <x:v>2.724744871391589</x:v>
      </x:c>
      <x:c r="AL366" s="32" t="n">
        <x:f>H366*v01_RoleScale*Arch_Roles*AE366*INDEX(v01_MonasteryPerSett,G366)*v01_OutMonastery*INDEX(LM_Monastery,G366)</x:f>
        <x:v>0</x:v>
      </x:c>
      <x:c r="AM366" s="32" t="n">
        <x:f>(AJ366+AK366+AL366)/4*INDEX(LM_All,G366)*INDEX(v01_Boon,G366)*Arch_Insight</x:f>
        <x:v>3.5652000524049963</x:v>
      </x:c>
      <x:c r="AN366" s="32" t="n">
        <x:f>H366*(v01_KHPerAdult*Z366+v01_KHOfCommons*AJ366/4*INDEX(LM_All,G366))*v01_KHUsable*Arch_KH</x:f>
        <x:v>0.5796121271805577</x:v>
      </x:c>
      <x:c r="AO366" s="32" t="n">
        <x:f>MIN(AP365+AN366,AM366*v01_KHMaxRatio)</x:f>
        <x:v>0.5796121271805577</x:v>
      </x:c>
      <x:c r="AP366" s="32" t="n">
        <x:f>AP365+AN366-AO366</x:f>
        <x:v>0</x:v>
      </x:c>
      <x:c r="AQ366" s="32" t="n">
        <x:f>AM366+AO366</x:f>
        <x:v>4.1448121795855535</x:v>
      </x:c>
      <x:c r="AR366" s="10" t="n">
        <x:f>IF(H366=1,INDEX(v01_Req,G366),0)</x:f>
        <x:v>1067.32</x:v>
      </x:c>
      <x:c r="AS366" s="32" t="n">
        <x:f>IF(H366=1,IF(E366=1,AS365-AR365,AS365)+AQ366,0)</x:f>
        <x:v>399.22473810326244</x:v>
      </x:c>
      <x:c r="AT366" s="11" t="n">
        <x:f>IF(AR366&gt;0,MIN(1,AS366/AR366),1)</x:f>
        <x:v>0.37404408996670396</x:v>
      </x:c>
      <x:c r="AU366" s="10" t="n">
        <x:f>AB366/INDEX(v01_RepScale,G366)</x:f>
        <x:v>38.270397326168975</x:v>
      </x:c>
      <x:c r="AV366" s="32" t="n">
        <x:f>AM366*60/v01_SeasonSeconds</x:f>
        <x:v>14.260800209619985</x:v>
      </x:c>
    </x:row>
    <x:row r="367">
      <x:c r="A367" s="8" t="n">
        <x:f>A366+1</x:f>
        <x:v>364</x:v>
      </x:c>
      <x:c r="B367" s="9" t="n">
        <x:f>A367*v01_SeasonSeconds/60</x:f>
        <x:v>91</x:v>
      </x:c>
      <x:c r="C367" s="9" t="n">
        <x:f>A367/4</x:f>
        <x:v>91</x:v>
      </x:c>
      <x:c r="D367" s="8" t="n">
        <x:f>IF(MOD(A367,4)=0,1,0)</x:f>
        <x:v>1</x:v>
      </x:c>
      <x:c r="E367" s="8" t="n">
        <x:f>IF(AND(F366&lt;=9,AS366&gt;=AR366),1,0)</x:f>
        <x:v>0</x:v>
      </x:c>
      <x:c r="F367" s="8" t="n">
        <x:f>MIN(10,F366+E367)</x:f>
        <x:v>1</x:v>
      </x:c>
      <x:c r="G367" s="8" t="n">
        <x:f>MIN(F367,9)+1</x:f>
        <x:v>2</x:v>
      </x:c>
      <x:c r="H367" s="8" t="n">
        <x:f>IF(F367&lt;=9,1,0)</x:f>
        <x:v>1</x:v>
      </x:c>
      <x:c r="I367" s="9" t="n">
        <x:f>MIN(10,F366+IF(AR366&gt;0,MIN(1,AS366/AR366),1))</x:f>
        <x:v>1.374044089966704</x:v>
      </x:c>
      <x:c r="J367" s="32" t="n">
        <x:f>INDEX(v01_FoodCap,G367)*Arch_FoodCap*EXP(v01_CapsByProject*SUMPRODUCT((Cap_Point&lt;=I367)*(Cap_Kind="Food")*Cap_Ln))</x:f>
        <x:v>30</x:v>
      </x:c>
      <x:c r="K367" s="32" t="n">
        <x:f>J367*MIN(1,v01_LeanBase*EXP(v01_CapsByProject*SUMPRODUCT((Cap_Point&lt;=I367)*(Cap_Kind="Lean")*Cap_Ln)))</x:f>
        <x:v>30</x:v>
      </x:c>
      <x:c r="L367" s="10" t="n">
        <x:f>INDEX(v01_HousingCap,G367)*EXP(v01_CapsByProject*SUMPRODUCT((Cap_Point&lt;=I367)*(Cap_Kind="Housing")*Cap_Ln))</x:f>
        <x:v>60</x:v>
      </x:c>
      <x:c r="M367" s="10" t="n">
        <x:f>INDEX(v01_GroupCap,G367)*v01_CohesionFactor*EXP(v01_CapsByProject*SUMPRODUCT((Cap_Point&lt;=I367)*(Cap_Kind="Group")*Cap_Ln))</x:f>
        <x:v>100</x:v>
      </x:c>
      <x:c r="N367" s="32" t="n">
        <x:f>MIN(J367,L367,M367)</x:f>
        <x:v>30</x:v>
      </x:c>
      <x:c r="O367" s="10" t="n">
        <x:f>AE366*N367</x:f>
        <x:v>60</x:v>
      </x:c>
      <x:c r="P367" s="9" t="n">
        <x:f>MIN(1,(AB366/(AE366*IF(v01_GroupInCrowding=1,N367,MIN(J367,L367))))^v01_CrowdingExp)</x:f>
        <x:v>0.06733956776753733</x:v>
      </x:c>
      <x:c r="Q367" s="9" t="n">
        <x:f>IF(D367=1,INDEX(v01_WinterMult,G367),1)</x:f>
        <x:v>1.6</x:v>
      </x:c>
      <x:c r="R367" s="9" t="n">
        <x:f>H367*Z366*v01_WomenShare*v01_BaseFertility*INDEX(v01_FertMult,G367)*Arch_Fertility*(1-P367)</x:f>
        <x:v>0.5791942468536385</x:v>
      </x:c>
      <x:c r="S367" s="9" t="n">
        <x:f>H367*Y366*INDEX(v01_MortChild,G367)/4*Q367</x:f>
        <x:v>0.2389329957267361</x:v>
      </x:c>
      <x:c r="T367" s="9" t="n">
        <x:f>H367*Z366*INDEX(v01_MortAdult,G367)*Arch_AdultMort/4*Q367</x:f>
        <x:v>0.08611380175254</x:v>
      </x:c>
      <x:c r="U367" s="9" t="n">
        <x:f>H367*AA366*INDEX(v01_MortElder,G367)/4*Q367</x:f>
        <x:v>0.14858906506835765</x:v>
      </x:c>
      <x:c r="V367" s="9" t="n">
        <x:f>H367*MAX(0,AB366-O367)*v01_OvercapLoss</x:f>
        <x:v>0</x:v>
      </x:c>
      <x:c r="W367" s="9" t="n">
        <x:f>H367*Y366/(v01_ChildYears*4)</x:f>
        <x:v>0.304761474141245</x:v>
      </x:c>
      <x:c r="X367" s="9" t="n">
        <x:f>H367*Z366/(v01_AdultYears*4)</x:f>
        <x:v>0.13355118137800867</x:v>
      </x:c>
      <x:c r="Y367" s="32" t="n">
        <x:f>Y366+R367-S367-W367-Y366*V367/AB366</x:f>
        <x:v>17.10214232889538</x:v>
      </x:c>
      <x:c r="Z367" s="32" t="n">
        <x:f>Z366+W367-X367-T367-Z366*V367/AB366</x:f>
        <x:v>16.64544298188377</x:v>
      </x:c>
      <x:c r="AA367" s="32" t="n">
        <x:f>AA366+X367-U367-AA366*V367/AB366</x:f>
        <x:v>4.628370399695827</x:v>
      </x:c>
      <x:c r="AB367" s="10" t="n">
        <x:f>Y367+Z367+AA367</x:f>
        <x:v>38.375955710474976</x:v>
      </x:c>
      <x:c r="AC367" s="8" t="n">
        <x:f>IF(AND(v01_WinterTrigger=1,D367=1,AB366/AE366&gt;=K367),1,0)</x:f>
        <x:v>0</x:v>
      </x:c>
      <x:c r="AD367" s="8" t="n">
        <x:f>H367*IF(AND(OR(AB366/AE366&gt;=v01_FissionTrigger*N367,AC367=1),AB366/AE366*v01_DaughterShare&gt;=v01_MinDaughter),MAX(1,ROUND(AE366*v01_FissionRate,0)),0)</x:f>
        <x:v>0</x:v>
      </x:c>
      <x:c r="AE367" s="8" t="n">
        <x:f>IF(H367=1,MAX(1,MIN(INDEX(v01_Smax,G367),AE366+AD367)),AE366)</x:f>
        <x:v>2</x:v>
      </x:c>
      <x:c r="AF367" s="8" t="n">
        <x:f>MAX(0,AE367-AE366)</x:f>
        <x:v>0</x:v>
      </x:c>
      <x:c r="AG367" s="9" t="str">
        <x:f>IF(AF367&gt;0,B367,"")</x:f>
      </x:c>
      <x:c r="AH367" s="9" t="n">
        <x:f>IF(F367&gt;=1,1,(1+v01_LowTiesShare*(AE367-1))/AE367)</x:f>
        <x:v>1</x:v>
      </x:c>
      <x:c r="AI367" s="32" t="n">
        <x:f>(Z367+v01_ElderCommons*INDEX(LM_Elder,G367)*AA367)*AH367</x:f>
        <x:v>27.98258880173998</x:v>
      </x:c>
      <x:c r="AJ367" s="32" t="n">
        <x:f>H367*v01_CommonsCoef*AI367^v01_CommonsExp*INDEX(LM_Commons,G367)</x:f>
        <x:v>11.20465896754952</x:v>
      </x:c>
      <x:c r="AK367" s="32" t="n">
        <x:f>H367*v01_RoleScale*Arch_Roles*(AE367*(INDEX(v01_ElderRolePerSett,G367)*v01_OutElder*INDEX(LM_Elder,G367)+INDEX(v01_ShamanPerSett,G367)*v01_OutShaman)+Z367*(INDEX(v01_PriestShare,G367)*v01_OutPriest+INDEX(v01_ScribeShare,G367)*v01_OutScribe*INDEX(LM_Scribe,G367)+INDEX(v01_ScholarShare,G367)*v01_OutScholar*INDEX(LM_Scholar,G367)+INDEX(v01_ResearcherShare,G367)*v01_OutResearcher*INDEX(LM_Researcher,G367)))</x:f>
        <x:v>2.724744871391589</x:v>
      </x:c>
      <x:c r="AL367" s="32" t="n">
        <x:f>H367*v01_RoleScale*Arch_Roles*AE367*INDEX(v01_MonasteryPerSett,G367)*v01_OutMonastery*INDEX(LM_Monastery,G367)</x:f>
        <x:v>0</x:v>
      </x:c>
      <x:c r="AM367" s="32" t="n">
        <x:f>(AJ367+AK367+AL367)/4*INDEX(LM_All,G367)*INDEX(v01_Boon,G367)*Arch_Insight</x:f>
        <x:v>3.569409733728659</x:v>
      </x:c>
      <x:c r="AN367" s="32" t="n">
        <x:f>H367*(v01_KHPerAdult*Z367+v01_KHOfCommons*AJ367/4*INDEX(LM_All,G367))*v01_KHUsable*Arch_KH</x:f>
        <x:v>0.5825905043659321</x:v>
      </x:c>
      <x:c r="AO367" s="32" t="n">
        <x:f>MIN(AP366+AN367,AM367*v01_KHMaxRatio)</x:f>
        <x:v>0.5825905043659321</x:v>
      </x:c>
      <x:c r="AP367" s="32" t="n">
        <x:f>AP366+AN367-AO367</x:f>
        <x:v>0</x:v>
      </x:c>
      <x:c r="AQ367" s="32" t="n">
        <x:f>AM367+AO367</x:f>
        <x:v>4.152000238094591</x:v>
      </x:c>
      <x:c r="AR367" s="10" t="n">
        <x:f>IF(H367=1,INDEX(v01_Req,G367),0)</x:f>
        <x:v>1067.32</x:v>
      </x:c>
      <x:c r="AS367" s="32" t="n">
        <x:f>IF(H367=1,IF(E367=1,AS366-AR366,AS366)+AQ367,0)</x:f>
        <x:v>403.37673834135705</x:v>
      </x:c>
      <x:c r="AT367" s="11" t="n">
        <x:f>IF(AR367&gt;0,MIN(1,AS367/AR367),1)</x:f>
        <x:v>0.3779342074929328</x:v>
      </x:c>
      <x:c r="AU367" s="10" t="n">
        <x:f>AB367/INDEX(v01_RepScale,G367)</x:f>
        <x:v>38.375955710474976</x:v>
      </x:c>
      <x:c r="AV367" s="32" t="n">
        <x:f>AM367*60/v01_SeasonSeconds</x:f>
        <x:v>14.277638934914636</x:v>
      </x:c>
    </x:row>
    <x:row r="368">
      <x:c r="A368" s="8" t="n">
        <x:f>A367+1</x:f>
        <x:v>365</x:v>
      </x:c>
      <x:c r="B368" s="9" t="n">
        <x:f>A368*v01_SeasonSeconds/60</x:f>
        <x:v>91.25</x:v>
      </x:c>
      <x:c r="C368" s="9" t="n">
        <x:f>A368/4</x:f>
        <x:v>91.25</x:v>
      </x:c>
      <x:c r="D368" s="8" t="n">
        <x:f>IF(MOD(A368,4)=0,1,0)</x:f>
        <x:v>0</x:v>
      </x:c>
      <x:c r="E368" s="8" t="n">
        <x:f>IF(AND(F367&lt;=9,AS367&gt;=AR367),1,0)</x:f>
        <x:v>0</x:v>
      </x:c>
      <x:c r="F368" s="8" t="n">
        <x:f>MIN(10,F367+E368)</x:f>
        <x:v>1</x:v>
      </x:c>
      <x:c r="G368" s="8" t="n">
        <x:f>MIN(F368,9)+1</x:f>
        <x:v>2</x:v>
      </x:c>
      <x:c r="H368" s="8" t="n">
        <x:f>IF(F368&lt;=9,1,0)</x:f>
        <x:v>1</x:v>
      </x:c>
      <x:c r="I368" s="9" t="n">
        <x:f>MIN(10,F367+IF(AR367&gt;0,MIN(1,AS367/AR367),1))</x:f>
        <x:v>1.3779342074929328</x:v>
      </x:c>
      <x:c r="J368" s="32" t="n">
        <x:f>INDEX(v01_FoodCap,G368)*Arch_FoodCap*EXP(v01_CapsByProject*SUMPRODUCT((Cap_Point&lt;=I368)*(Cap_Kind="Food")*Cap_Ln))</x:f>
        <x:v>30</x:v>
      </x:c>
      <x:c r="K368" s="32" t="n">
        <x:f>J368*MIN(1,v01_LeanBase*EXP(v01_CapsByProject*SUMPRODUCT((Cap_Point&lt;=I368)*(Cap_Kind="Lean")*Cap_Ln)))</x:f>
        <x:v>30</x:v>
      </x:c>
      <x:c r="L368" s="10" t="n">
        <x:f>INDEX(v01_HousingCap,G368)*EXP(v01_CapsByProject*SUMPRODUCT((Cap_Point&lt;=I368)*(Cap_Kind="Housing")*Cap_Ln))</x:f>
        <x:v>60</x:v>
      </x:c>
      <x:c r="M368" s="10" t="n">
        <x:f>INDEX(v01_GroupCap,G368)*v01_CohesionFactor*EXP(v01_CapsByProject*SUMPRODUCT((Cap_Point&lt;=I368)*(Cap_Kind="Group")*Cap_Ln))</x:f>
        <x:v>100</x:v>
      </x:c>
      <x:c r="N368" s="32" t="n">
        <x:f>MIN(J368,L368,M368)</x:f>
        <x:v>30</x:v>
      </x:c>
      <x:c r="O368" s="10" t="n">
        <x:f>AE367*N368</x:f>
        <x:v>60</x:v>
      </x:c>
      <x:c r="P368" s="9" t="n">
        <x:f>MIN(1,(AB367/(AE367*IF(v01_GroupInCrowding=1,N368,MIN(J368,L368))))^v01_CrowdingExp)</x:f>
        <x:v>0.06846170694650427</x:v>
      </x:c>
      <x:c r="Q368" s="9" t="n">
        <x:f>IF(D368=1,INDEX(v01_WinterMult,G368),1)</x:f>
        <x:v>1</x:v>
      </x:c>
      <x:c r="R368" s="9" t="n">
        <x:f>H368*Z367*v01_WomenShare*v01_BaseFertility*INDEX(v01_FertMult,G368)*Arch_Fertility*(1-P368)</x:f>
        <x:v>0.5814700328423736</x:v>
      </x:c>
      <x:c r="S368" s="9" t="n">
        <x:f>H368*Y367*INDEX(v01_MortChild,G368)/4*Q368</x:f>
        <x:v>0.1496437453778346</x:v>
      </x:c>
      <x:c r="T368" s="9" t="n">
        <x:f>H368*Z367*INDEX(v01_MortAdult,G368)*Arch_AdultMort/4*Q368</x:f>
        <x:v>0.054097689691122254</x:v>
      </x:c>
      <x:c r="U368" s="9" t="n">
        <x:f>H368*AA367*INDEX(v01_MortElder,G368)/4*Q368</x:f>
        <x:v>0.09256740799391654</x:v>
      </x:c>
      <x:c r="V368" s="9" t="n">
        <x:f>H368*MAX(0,AB367-O368)*v01_OvercapLoss</x:f>
        <x:v>0</x:v>
      </x:c>
      <x:c r="W368" s="9" t="n">
        <x:f>H368*Y367/(v01_ChildYears*4)</x:f>
        <x:v>0.3053953987302746</x:v>
      </x:c>
      <x:c r="X368" s="9" t="n">
        <x:f>H368*Z367/(v01_AdultYears*4)</x:f>
        <x:v>0.1342374434022885</x:v>
      </x:c>
      <x:c r="Y368" s="32" t="n">
        <x:f>Y367+R368-S368-W368-Y367*V368/AB367</x:f>
        <x:v>17.22857321762964</x:v>
      </x:c>
      <x:c r="Z368" s="32" t="n">
        <x:f>Z367+W368-X368-T368-Z367*V368/AB367</x:f>
        <x:v>16.762503247520637</x:v>
      </x:c>
      <x:c r="AA368" s="32" t="n">
        <x:f>AA367+X368-U368-AA367*V368/AB367</x:f>
        <x:v>4.670040435104199</x:v>
      </x:c>
      <x:c r="AB368" s="10" t="n">
        <x:f>Y368+Z368+AA368</x:f>
        <x:v>38.66111690025448</x:v>
      </x:c>
      <x:c r="AC368" s="8" t="n">
        <x:f>IF(AND(v01_WinterTrigger=1,D368=1,AB367/AE367&gt;=K368),1,0)</x:f>
        <x:v>0</x:v>
      </x:c>
      <x:c r="AD368" s="8" t="n">
        <x:f>H368*IF(AND(OR(AB367/AE367&gt;=v01_FissionTrigger*N368,AC368=1),AB367/AE367*v01_DaughterShare&gt;=v01_MinDaughter),MAX(1,ROUND(AE367*v01_FissionRate,0)),0)</x:f>
        <x:v>0</x:v>
      </x:c>
      <x:c r="AE368" s="8" t="n">
        <x:f>IF(H368=1,MAX(1,MIN(INDEX(v01_Smax,G368),AE367+AD368)),AE367)</x:f>
        <x:v>2</x:v>
      </x:c>
      <x:c r="AF368" s="8" t="n">
        <x:f>MAX(0,AE368-AE367)</x:f>
        <x:v>0</x:v>
      </x:c>
      <x:c r="AG368" s="9" t="str">
        <x:f>IF(AF368&gt;0,B368,"")</x:f>
      </x:c>
      <x:c r="AH368" s="9" t="n">
        <x:f>IF(F368&gt;=1,1,(1+v01_LowTiesShare*(AE368-1))/AE368)</x:f>
        <x:v>1</x:v>
      </x:c>
      <x:c r="AI368" s="32" t="n">
        <x:f>(Z368+v01_ElderCommons*INDEX(LM_Elder,G368)*AA368)*AH368</x:f>
        <x:v>28.201719391691064</x:v>
      </x:c>
      <x:c r="AJ368" s="32" t="n">
        <x:f>H368*v01_CommonsCoef*AI368^v01_CommonsExp*INDEX(LM_Commons,G368)</x:f>
        <x:v>11.279197064904183</x:v>
      </x:c>
      <x:c r="AK368" s="32" t="n">
        <x:f>H368*v01_RoleScale*Arch_Roles*(AE368*(INDEX(v01_ElderRolePerSett,G368)*v01_OutElder*INDEX(LM_Elder,G368)+INDEX(v01_ShamanPerSett,G368)*v01_OutShaman)+Z368*(INDEX(v01_PriestShare,G368)*v01_OutPriest+INDEX(v01_ScribeShare,G368)*v01_OutScribe*INDEX(LM_Scribe,G368)+INDEX(v01_ScholarShare,G368)*v01_OutScholar*INDEX(LM_Scholar,G368)+INDEX(v01_ResearcherShare,G368)*v01_OutResearcher*INDEX(LM_Researcher,G368)))</x:f>
        <x:v>2.724744871391589</x:v>
      </x:c>
      <x:c r="AL368" s="32" t="n">
        <x:f>H368*v01_RoleScale*Arch_Roles*AE368*INDEX(v01_MonasteryPerSett,G368)*v01_OutMonastery*INDEX(LM_Monastery,G368)</x:f>
        <x:v>0</x:v>
      </x:c>
      <x:c r="AM368" s="32" t="n">
        <x:f>(AJ368+AK368+AL368)/4*INDEX(LM_All,G368)*INDEX(v01_Boon,G368)*Arch_Insight</x:f>
        <x:v>3.5885101211757915</x:v>
      </x:c>
      <x:c r="AN368" s="32" t="n">
        <x:f>H368*(v01_KHPerAdult*Z368+v01_KHOfCommons*AJ368/4*INDEX(LM_All,G368))*v01_KHUsable*Arch_KH</x:f>
        <x:v>0.5866876136632223</x:v>
      </x:c>
      <x:c r="AO368" s="32" t="n">
        <x:f>MIN(AP367+AN368,AM368*v01_KHMaxRatio)</x:f>
        <x:v>0.5866876136632223</x:v>
      </x:c>
      <x:c r="AP368" s="32" t="n">
        <x:f>AP367+AN368-AO368</x:f>
        <x:v>0</x:v>
      </x:c>
      <x:c r="AQ368" s="32" t="n">
        <x:f>AM368+AO368</x:f>
        <x:v>4.1751977348390135</x:v>
      </x:c>
      <x:c r="AR368" s="10" t="n">
        <x:f>IF(H368=1,INDEX(v01_Req,G368),0)</x:f>
        <x:v>1067.32</x:v>
      </x:c>
      <x:c r="AS368" s="32" t="n">
        <x:f>IF(H368=1,IF(E368=1,AS367-AR367,AS367)+AQ368,0)</x:f>
        <x:v>407.55193607619606</x:v>
      </x:c>
      <x:c r="AT368" s="11" t="n">
        <x:f>IF(AR368&gt;0,MIN(1,AS368/AR368),1)</x:f>
        <x:v>0.38184605936007576</x:v>
      </x:c>
      <x:c r="AU368" s="10" t="n">
        <x:f>AB368/INDEX(v01_RepScale,G368)</x:f>
        <x:v>38.66111690025448</x:v>
      </x:c>
      <x:c r="AV368" s="32" t="n">
        <x:f>AM368*60/v01_SeasonSeconds</x:f>
        <x:v>14.354040484703166</x:v>
      </x:c>
    </x:row>
    <x:row r="369">
      <x:c r="A369" s="8" t="n">
        <x:f>A368+1</x:f>
        <x:v>366</x:v>
      </x:c>
      <x:c r="B369" s="9" t="n">
        <x:f>A369*v01_SeasonSeconds/60</x:f>
        <x:v>91.5</x:v>
      </x:c>
      <x:c r="C369" s="9" t="n">
        <x:f>A369/4</x:f>
        <x:v>91.5</x:v>
      </x:c>
      <x:c r="D369" s="8" t="n">
        <x:f>IF(MOD(A369,4)=0,1,0)</x:f>
        <x:v>0</x:v>
      </x:c>
      <x:c r="E369" s="8" t="n">
        <x:f>IF(AND(F368&lt;=9,AS368&gt;=AR368),1,0)</x:f>
        <x:v>0</x:v>
      </x:c>
      <x:c r="F369" s="8" t="n">
        <x:f>MIN(10,F368+E369)</x:f>
        <x:v>1</x:v>
      </x:c>
      <x:c r="G369" s="8" t="n">
        <x:f>MIN(F369,9)+1</x:f>
        <x:v>2</x:v>
      </x:c>
      <x:c r="H369" s="8" t="n">
        <x:f>IF(F369&lt;=9,1,0)</x:f>
        <x:v>1</x:v>
      </x:c>
      <x:c r="I369" s="9" t="n">
        <x:f>MIN(10,F368+IF(AR368&gt;0,MIN(1,AS368/AR368),1))</x:f>
        <x:v>1.3818460593600759</x:v>
      </x:c>
      <x:c r="J369" s="32" t="n">
        <x:f>INDEX(v01_FoodCap,G369)*Arch_FoodCap*EXP(v01_CapsByProject*SUMPRODUCT((Cap_Point&lt;=I369)*(Cap_Kind="Food")*Cap_Ln))</x:f>
        <x:v>30</x:v>
      </x:c>
      <x:c r="K369" s="32" t="n">
        <x:f>J369*MIN(1,v01_LeanBase*EXP(v01_CapsByProject*SUMPRODUCT((Cap_Point&lt;=I369)*(Cap_Kind="Lean")*Cap_Ln)))</x:f>
        <x:v>30</x:v>
      </x:c>
      <x:c r="L369" s="10" t="n">
        <x:f>INDEX(v01_HousingCap,G369)*EXP(v01_CapsByProject*SUMPRODUCT((Cap_Point&lt;=I369)*(Cap_Kind="Housing")*Cap_Ln))</x:f>
        <x:v>60</x:v>
      </x:c>
      <x:c r="M369" s="10" t="n">
        <x:f>INDEX(v01_GroupCap,G369)*v01_CohesionFactor*EXP(v01_CapsByProject*SUMPRODUCT((Cap_Point&lt;=I369)*(Cap_Kind="Group")*Cap_Ln))</x:f>
        <x:v>100</x:v>
      </x:c>
      <x:c r="N369" s="32" t="n">
        <x:f>MIN(J369,L369,M369)</x:f>
        <x:v>30</x:v>
      </x:c>
      <x:c r="O369" s="10" t="n">
        <x:f>AE368*N369</x:f>
        <x:v>60</x:v>
      </x:c>
      <x:c r="P369" s="9" t="n">
        <x:f>MIN(1,(AB368/(AE368*IF(v01_GroupInCrowding=1,N369,MIN(J369,L369))))^v01_CrowdingExp)</x:f>
        <x:v>0.07157129514753673</x:v>
      </x:c>
      <x:c r="Q369" s="9" t="n">
        <x:f>IF(D369=1,INDEX(v01_WinterMult,G369),1)</x:f>
        <x:v>1</x:v>
      </x:c>
      <x:c r="R369" s="9" t="n">
        <x:f>H369*Z368*v01_WomenShare*v01_BaseFertility*INDEX(v01_FertMult,G369)*Arch_Fertility*(1-P369)</x:f>
        <x:v>0.5836045942567798</x:v>
      </x:c>
      <x:c r="S369" s="9" t="n">
        <x:f>H369*Y368*INDEX(v01_MortChild,G369)/4*Q369</x:f>
        <x:v>0.15075001565425938</x:v>
      </x:c>
      <x:c r="T369" s="9" t="n">
        <x:f>H369*Z368*INDEX(v01_MortAdult,G369)*Arch_AdultMort/4*Q369</x:f>
        <x:v>0.05447813555444207</x:v>
      </x:c>
      <x:c r="U369" s="9" t="n">
        <x:f>H369*AA368*INDEX(v01_MortElder,G369)/4*Q369</x:f>
        <x:v>0.09340080870208399</x:v>
      </x:c>
      <x:c r="V369" s="9" t="n">
        <x:f>H369*MAX(0,AB368-O369)*v01_OvercapLoss</x:f>
        <x:v>0</x:v>
      </x:c>
      <x:c r="W369" s="9" t="n">
        <x:f>H369*Y368/(v01_ChildYears*4)</x:f>
        <x:v>0.3076530931719579</x:v>
      </x:c>
      <x:c r="X369" s="9" t="n">
        <x:f>H369*Z368/(v01_AdultYears*4)</x:f>
        <x:v>0.1351814778025858</x:v>
      </x:c>
      <x:c r="Y369" s="32" t="n">
        <x:f>Y368+R369-S369-W369-Y368*V369/AB368</x:f>
        <x:v>17.353774703060203</x:v>
      </x:c>
      <x:c r="Z369" s="32" t="n">
        <x:f>Z368+W369-X369-T369-Z368*V369/AB368</x:f>
        <x:v>16.880496727335565</x:v>
      </x:c>
      <x:c r="AA369" s="32" t="n">
        <x:f>AA368+X369-U369-AA368*V369/AB368</x:f>
        <x:v>4.711821104204701</x:v>
      </x:c>
      <x:c r="AB369" s="10" t="n">
        <x:f>Y369+Z369+AA369</x:f>
        <x:v>38.94609253460047</x:v>
      </x:c>
      <x:c r="AC369" s="8" t="n">
        <x:f>IF(AND(v01_WinterTrigger=1,D369=1,AB368/AE368&gt;=K369),1,0)</x:f>
        <x:v>0</x:v>
      </x:c>
      <x:c r="AD369" s="8" t="n">
        <x:f>H369*IF(AND(OR(AB368/AE368&gt;=v01_FissionTrigger*N369,AC369=1),AB368/AE368*v01_DaughterShare&gt;=v01_MinDaughter),MAX(1,ROUND(AE368*v01_FissionRate,0)),0)</x:f>
        <x:v>0</x:v>
      </x:c>
      <x:c r="AE369" s="8" t="n">
        <x:f>IF(H369=1,MAX(1,MIN(INDEX(v01_Smax,G369),AE368+AD369)),AE368)</x:f>
        <x:v>2</x:v>
      </x:c>
      <x:c r="AF369" s="8" t="n">
        <x:f>MAX(0,AE369-AE368)</x:f>
        <x:v>0</x:v>
      </x:c>
      <x:c r="AG369" s="9" t="str">
        <x:f>IF(AF369&gt;0,B369,"")</x:f>
      </x:c>
      <x:c r="AH369" s="9" t="n">
        <x:f>IF(F369&gt;=1,1,(1+v01_LowTiesShare*(AE369-1))/AE369)</x:f>
        <x:v>1</x:v>
      </x:c>
      <x:c r="AI369" s="32" t="n">
        <x:f>(Z369+v01_ElderCommons*INDEX(LM_Elder,G369)*AA369)*AH369</x:f>
        <x:v>28.422054191914288</x:v>
      </x:c>
      <x:c r="AJ369" s="32" t="n">
        <x:f>H369*v01_CommonsCoef*AI369^v01_CommonsExp*INDEX(LM_Commons,G369)</x:f>
        <x:v>11.354057237566991</x:v>
      </x:c>
      <x:c r="AK369" s="32" t="n">
        <x:f>H369*v01_RoleScale*Arch_Roles*(AE369*(INDEX(v01_ElderRolePerSett,G369)*v01_OutElder*INDEX(LM_Elder,G369)+INDEX(v01_ShamanPerSett,G369)*v01_OutShaman)+Z369*(INDEX(v01_PriestShare,G369)*v01_OutPriest+INDEX(v01_ScribeShare,G369)*v01_OutScribe*INDEX(LM_Scribe,G369)+INDEX(v01_ScholarShare,G369)*v01_OutScholar*INDEX(LM_Scholar,G369)+INDEX(v01_ResearcherShare,G369)*v01_OutResearcher*INDEX(LM_Researcher,G369)))</x:f>
        <x:v>2.724744871391589</x:v>
      </x:c>
      <x:c r="AL369" s="32" t="n">
        <x:f>H369*v01_RoleScale*Arch_Roles*AE369*INDEX(v01_MonasteryPerSett,G369)*v01_OutMonastery*INDEX(LM_Monastery,G369)</x:f>
        <x:v>0</x:v>
      </x:c>
      <x:c r="AM369" s="32" t="n">
        <x:f>(AJ369+AK369+AL369)/4*INDEX(LM_All,G369)*INDEX(v01_Boon,G369)*Arch_Insight</x:f>
        <x:v>3.607693040420636</x:v>
      </x:c>
      <x:c r="AN369" s="32" t="n">
        <x:f>H369*(v01_KHPerAdult*Z369+v01_KHOfCommons*AJ369/4*INDEX(LM_All,G369))*v01_KHUsable*Arch_KH</x:f>
        <x:v>0.5908173854567448</x:v>
      </x:c>
      <x:c r="AO369" s="32" t="n">
        <x:f>MIN(AP368+AN369,AM369*v01_KHMaxRatio)</x:f>
        <x:v>0.5908173854567448</x:v>
      </x:c>
      <x:c r="AP369" s="32" t="n">
        <x:f>AP368+AN369-AO369</x:f>
        <x:v>0</x:v>
      </x:c>
      <x:c r="AQ369" s="32" t="n">
        <x:f>AM369+AO369</x:f>
        <x:v>4.198510425877381</x:v>
      </x:c>
      <x:c r="AR369" s="10" t="n">
        <x:f>IF(H369=1,INDEX(v01_Req,G369),0)</x:f>
        <x:v>1067.32</x:v>
      </x:c>
      <x:c r="AS369" s="32" t="n">
        <x:f>IF(H369=1,IF(E369=1,AS368-AR368,AS368)+AQ369,0)</x:f>
        <x:v>411.75044650207343</x:v>
      </x:c>
      <x:c r="AT369" s="11" t="n">
        <x:f>IF(AR369&gt;0,MIN(1,AS369/AR369),1)</x:f>
        <x:v>0.38577975349667715</x:v>
      </x:c>
      <x:c r="AU369" s="10" t="n">
        <x:f>AB369/INDEX(v01_RepScale,G369)</x:f>
        <x:v>38.94609253460047</x:v>
      </x:c>
      <x:c r="AV369" s="32" t="n">
        <x:f>AM369*60/v01_SeasonSeconds</x:f>
        <x:v>14.430772161682544</x:v>
      </x:c>
    </x:row>
    <x:row r="370">
      <x:c r="A370" s="8" t="n">
        <x:f>A369+1</x:f>
        <x:v>367</x:v>
      </x:c>
      <x:c r="B370" s="9" t="n">
        <x:f>A370*v01_SeasonSeconds/60</x:f>
        <x:v>91.75</x:v>
      </x:c>
      <x:c r="C370" s="9" t="n">
        <x:f>A370/4</x:f>
        <x:v>91.75</x:v>
      </x:c>
      <x:c r="D370" s="8" t="n">
        <x:f>IF(MOD(A370,4)=0,1,0)</x:f>
        <x:v>0</x:v>
      </x:c>
      <x:c r="E370" s="8" t="n">
        <x:f>IF(AND(F369&lt;=9,AS369&gt;=AR369),1,0)</x:f>
        <x:v>0</x:v>
      </x:c>
      <x:c r="F370" s="8" t="n">
        <x:f>MIN(10,F369+E370)</x:f>
        <x:v>1</x:v>
      </x:c>
      <x:c r="G370" s="8" t="n">
        <x:f>MIN(F370,9)+1</x:f>
        <x:v>2</x:v>
      </x:c>
      <x:c r="H370" s="8" t="n">
        <x:f>IF(F370&lt;=9,1,0)</x:f>
        <x:v>1</x:v>
      </x:c>
      <x:c r="I370" s="9" t="n">
        <x:f>MIN(10,F369+IF(AR369&gt;0,MIN(1,AS369/AR369),1))</x:f>
        <x:v>1.3857797534966771</x:v>
      </x:c>
      <x:c r="J370" s="32" t="n">
        <x:f>INDEX(v01_FoodCap,G370)*Arch_FoodCap*EXP(v01_CapsByProject*SUMPRODUCT((Cap_Point&lt;=I370)*(Cap_Kind="Food")*Cap_Ln))</x:f>
        <x:v>30</x:v>
      </x:c>
      <x:c r="K370" s="32" t="n">
        <x:f>J370*MIN(1,v01_LeanBase*EXP(v01_CapsByProject*SUMPRODUCT((Cap_Point&lt;=I370)*(Cap_Kind="Lean")*Cap_Ln)))</x:f>
        <x:v>30</x:v>
      </x:c>
      <x:c r="L370" s="10" t="n">
        <x:f>INDEX(v01_HousingCap,G370)*EXP(v01_CapsByProject*SUMPRODUCT((Cap_Point&lt;=I370)*(Cap_Kind="Housing")*Cap_Ln))</x:f>
        <x:v>60</x:v>
      </x:c>
      <x:c r="M370" s="10" t="n">
        <x:f>INDEX(v01_GroupCap,G370)*v01_CohesionFactor*EXP(v01_CapsByProject*SUMPRODUCT((Cap_Point&lt;=I370)*(Cap_Kind="Group")*Cap_Ln))</x:f>
        <x:v>100</x:v>
      </x:c>
      <x:c r="N370" s="32" t="n">
        <x:f>MIN(J370,L370,M370)</x:f>
        <x:v>30</x:v>
      </x:c>
      <x:c r="O370" s="10" t="n">
        <x:f>AE369*N370</x:f>
        <x:v>60</x:v>
      </x:c>
      <x:c r="P370" s="9" t="n">
        <x:f>MIN(1,(AB369/(AE369*IF(v01_GroupInCrowding=1,N370,MIN(J370,L370))))^v01_CrowdingExp)</x:f>
        <x:v>0.07479556480264184</x:v>
      </x:c>
      <x:c r="Q370" s="9" t="n">
        <x:f>IF(D370=1,INDEX(v01_WinterMult,G370),1)</x:f>
        <x:v>1</x:v>
      </x:c>
      <x:c r="R370" s="9" t="n">
        <x:f>H370*Z369*v01_WomenShare*v01_BaseFertility*INDEX(v01_FertMult,G370)*Arch_Fertility*(1-P370)</x:f>
        <x:v>0.5856716415174509</x:v>
      </x:c>
      <x:c r="S370" s="9" t="n">
        <x:f>H370*Y369*INDEX(v01_MortChild,G370)/4*Q370</x:f>
        <x:v>0.1518455286517768</x:v>
      </x:c>
      <x:c r="T370" s="9" t="n">
        <x:f>H370*Z369*INDEX(v01_MortAdult,G370)*Arch_AdultMort/4*Q370</x:f>
        <x:v>0.054861614363840586</x:v>
      </x:c>
      <x:c r="U370" s="9" t="n">
        <x:f>H370*AA369*INDEX(v01_MortElder,G370)/4*Q370</x:f>
        <x:v>0.09423642208409402</x:v>
      </x:c>
      <x:c r="V370" s="9" t="n">
        <x:f>H370*MAX(0,AB369-O370)*v01_OvercapLoss</x:f>
        <x:v>0</x:v>
      </x:c>
      <x:c r="W370" s="9" t="n">
        <x:f>H370*Y369/(v01_ChildYears*4)</x:f>
        <x:v>0.3098888339832179</x:v>
      </x:c>
      <x:c r="X370" s="9" t="n">
        <x:f>H370*Z369/(v01_AdultYears*4)</x:f>
        <x:v>0.13613303812367392</x:v>
      </x:c>
      <x:c r="Y370" s="32" t="n">
        <x:f>Y369+R370-S370-W370-Y369*V370/AB369</x:f>
        <x:v>17.477711981942658</x:v>
      </x:c>
      <x:c r="Z370" s="32" t="n">
        <x:f>Z369+W370-X370-T370-Z369*V370/AB369</x:f>
        <x:v>16.99939090883127</x:v>
      </x:c>
      <x:c r="AA370" s="32" t="n">
        <x:f>AA369+X370-U370-AA369*V370/AB369</x:f>
        <x:v>4.753717720244281</x:v>
      </x:c>
      <x:c r="AB370" s="10" t="n">
        <x:f>Y370+Z370+AA370</x:f>
        <x:v>39.23082061101821</x:v>
      </x:c>
      <x:c r="AC370" s="8" t="n">
        <x:f>IF(AND(v01_WinterTrigger=1,D370=1,AB369/AE369&gt;=K370),1,0)</x:f>
        <x:v>0</x:v>
      </x:c>
      <x:c r="AD370" s="8" t="n">
        <x:f>H370*IF(AND(OR(AB369/AE369&gt;=v01_FissionTrigger*N370,AC370=1),AB369/AE369*v01_DaughterShare&gt;=v01_MinDaughter),MAX(1,ROUND(AE369*v01_FissionRate,0)),0)</x:f>
        <x:v>0</x:v>
      </x:c>
      <x:c r="AE370" s="8" t="n">
        <x:f>IF(H370=1,MAX(1,MIN(INDEX(v01_Smax,G370),AE369+AD370)),AE369)</x:f>
        <x:v>2</x:v>
      </x:c>
      <x:c r="AF370" s="8" t="n">
        <x:f>MAX(0,AE370-AE369)</x:f>
        <x:v>0</x:v>
      </x:c>
      <x:c r="AG370" s="9" t="str">
        <x:f>IF(AF370&gt;0,B370,"")</x:f>
      </x:c>
      <x:c r="AH370" s="9" t="n">
        <x:f>IF(F370&gt;=1,1,(1+v01_LowTiesShare*(AE370-1))/AE370)</x:f>
        <x:v>1</x:v>
      </x:c>
      <x:c r="AI370" s="32" t="n">
        <x:f>(Z370+v01_ElderCommons*INDEX(LM_Elder,G370)*AA370)*AH370</x:f>
        <x:v>28.64357370465627</x:v>
      </x:c>
      <x:c r="AJ370" s="32" t="n">
        <x:f>H370*v01_CommonsCoef*AI370^v01_CommonsExp*INDEX(LM_Commons,G370)</x:f>
        <x:v>11.429232221885908</x:v>
      </x:c>
      <x:c r="AK370" s="32" t="n">
        <x:f>H370*v01_RoleScale*Arch_Roles*(AE370*(INDEX(v01_ElderRolePerSett,G370)*v01_OutElder*INDEX(LM_Elder,G370)+INDEX(v01_ShamanPerSett,G370)*v01_OutShaman)+Z370*(INDEX(v01_PriestShare,G370)*v01_OutPriest+INDEX(v01_ScribeShare,G370)*v01_OutScribe*INDEX(LM_Scribe,G370)+INDEX(v01_ScholarShare,G370)*v01_OutScholar*INDEX(LM_Scholar,G370)+INDEX(v01_ResearcherShare,G370)*v01_OutResearcher*INDEX(LM_Researcher,G370)))</x:f>
        <x:v>2.724744871391589</x:v>
      </x:c>
      <x:c r="AL370" s="32" t="n">
        <x:f>H370*v01_RoleScale*Arch_Roles*AE370*INDEX(v01_MonasteryPerSett,G370)*v01_OutMonastery*INDEX(LM_Monastery,G370)</x:f>
        <x:v>0</x:v>
      </x:c>
      <x:c r="AM370" s="32" t="n">
        <x:f>(AJ370+AK370+AL370)/4*INDEX(LM_All,G370)*INDEX(v01_Boon,G370)*Arch_Insight</x:f>
        <x:v>3.626956630152358</x:v>
      </x:c>
      <x:c r="AN370" s="32" t="n">
        <x:f>H370*(v01_KHPerAdult*Z370+v01_KHOfCommons*AJ370/4*INDEX(LM_All,G370))*v01_KHUsable*Arch_KH</x:f>
        <x:v>0.5949786818090944</x:v>
      </x:c>
      <x:c r="AO370" s="32" t="n">
        <x:f>MIN(AP369+AN370,AM370*v01_KHMaxRatio)</x:f>
        <x:v>0.5949786818090944</x:v>
      </x:c>
      <x:c r="AP370" s="32" t="n">
        <x:f>AP369+AN370-AO370</x:f>
        <x:v>0</x:v>
      </x:c>
      <x:c r="AQ370" s="32" t="n">
        <x:f>AM370+AO370</x:f>
        <x:v>4.221935311961452</x:v>
      </x:c>
      <x:c r="AR370" s="10" t="n">
        <x:f>IF(H370=1,INDEX(v01_Req,G370),0)</x:f>
        <x:v>1067.32</x:v>
      </x:c>
      <x:c r="AS370" s="32" t="n">
        <x:f>IF(H370=1,IF(E370=1,AS369-AR369,AS369)+AQ370,0)</x:f>
        <x:v>415.97238181403486</x:v>
      </x:c>
      <x:c r="AT370" s="11" t="n">
        <x:f>IF(AR370&gt;0,MIN(1,AS370/AR370),1)</x:f>
        <x:v>0.38973539502120724</x:v>
      </x:c>
      <x:c r="AU370" s="10" t="n">
        <x:f>AB370/INDEX(v01_RepScale,G370)</x:f>
        <x:v>39.23082061101821</x:v>
      </x:c>
      <x:c r="AV370" s="32" t="n">
        <x:f>AM370*60/v01_SeasonSeconds</x:f>
        <x:v>14.507826520609433</x:v>
      </x:c>
    </x:row>
    <x:row r="371">
      <x:c r="A371" s="8" t="n">
        <x:f>A370+1</x:f>
        <x:v>368</x:v>
      </x:c>
      <x:c r="B371" s="9" t="n">
        <x:f>A371*v01_SeasonSeconds/60</x:f>
        <x:v>92</x:v>
      </x:c>
      <x:c r="C371" s="9" t="n">
        <x:f>A371/4</x:f>
        <x:v>92</x:v>
      </x:c>
      <x:c r="D371" s="8" t="n">
        <x:f>IF(MOD(A371,4)=0,1,0)</x:f>
        <x:v>1</x:v>
      </x:c>
      <x:c r="E371" s="8" t="n">
        <x:f>IF(AND(F370&lt;=9,AS370&gt;=AR370),1,0)</x:f>
        <x:v>0</x:v>
      </x:c>
      <x:c r="F371" s="8" t="n">
        <x:f>MIN(10,F370+E371)</x:f>
        <x:v>1</x:v>
      </x:c>
      <x:c r="G371" s="8" t="n">
        <x:f>MIN(F371,9)+1</x:f>
        <x:v>2</x:v>
      </x:c>
      <x:c r="H371" s="8" t="n">
        <x:f>IF(F371&lt;=9,1,0)</x:f>
        <x:v>1</x:v>
      </x:c>
      <x:c r="I371" s="9" t="n">
        <x:f>MIN(10,F370+IF(AR370&gt;0,MIN(1,AS370/AR370),1))</x:f>
        <x:v>1.3897353950212072</x:v>
      </x:c>
      <x:c r="J371" s="32" t="n">
        <x:f>INDEX(v01_FoodCap,G371)*Arch_FoodCap*EXP(v01_CapsByProject*SUMPRODUCT((Cap_Point&lt;=I371)*(Cap_Kind="Food")*Cap_Ln))</x:f>
        <x:v>30</x:v>
      </x:c>
      <x:c r="K371" s="32" t="n">
        <x:f>J371*MIN(1,v01_LeanBase*EXP(v01_CapsByProject*SUMPRODUCT((Cap_Point&lt;=I371)*(Cap_Kind="Lean")*Cap_Ln)))</x:f>
        <x:v>30</x:v>
      </x:c>
      <x:c r="L371" s="10" t="n">
        <x:f>INDEX(v01_HousingCap,G371)*EXP(v01_CapsByProject*SUMPRODUCT((Cap_Point&lt;=I371)*(Cap_Kind="Housing")*Cap_Ln))</x:f>
        <x:v>60</x:v>
      </x:c>
      <x:c r="M371" s="10" t="n">
        <x:f>INDEX(v01_GroupCap,G371)*v01_CohesionFactor*EXP(v01_CapsByProject*SUMPRODUCT((Cap_Point&lt;=I371)*(Cap_Kind="Group")*Cap_Ln))</x:f>
        <x:v>100</x:v>
      </x:c>
      <x:c r="N371" s="32" t="n">
        <x:f>MIN(J371,L371,M371)</x:f>
        <x:v>30</x:v>
      </x:c>
      <x:c r="O371" s="10" t="n">
        <x:f>AE370*N371</x:f>
        <x:v>60</x:v>
      </x:c>
      <x:c r="P371" s="9" t="n">
        <x:f>MIN(1,(AB370/(AE370*IF(v01_GroupInCrowding=1,N371,MIN(J371,L371))))^v01_CrowdingExp)</x:f>
        <x:v>0.0781370216501895</x:v>
      </x:c>
      <x:c r="Q371" s="9" t="n">
        <x:f>IF(D371=1,INDEX(v01_WinterMult,G371),1)</x:f>
        <x:v>1.6</x:v>
      </x:c>
      <x:c r="R371" s="9" t="n">
        <x:f>H371*Z370*v01_WomenShare*v01_BaseFertility*INDEX(v01_FertMult,G371)*Arch_Fertility*(1-P371)</x:f>
        <x:v>0.5876665925005456</x:v>
      </x:c>
      <x:c r="S371" s="9" t="n">
        <x:f>H371*Y370*INDEX(v01_MortChild,G371)/4*Q371</x:f>
        <x:v>0.24468796774719725</x:v>
      </x:c>
      <x:c r="T371" s="9" t="n">
        <x:f>H371*Z370*INDEX(v01_MortAdult,G371)*Arch_AdultMort/4*Q371</x:f>
        <x:v>0.08839683272592261</x:v>
      </x:c>
      <x:c r="U371" s="9" t="n">
        <x:f>H371*AA370*INDEX(v01_MortElder,G371)/4*Q371</x:f>
        <x:v>0.15211896704781702</x:v>
      </x:c>
      <x:c r="V371" s="9" t="n">
        <x:f>H371*MAX(0,AB370-O371)*v01_OvercapLoss</x:f>
        <x:v>0</x:v>
      </x:c>
      <x:c r="W371" s="9" t="n">
        <x:f>H371*Y370/(v01_ChildYears*4)</x:f>
        <x:v>0.3121019996775475</x:v>
      </x:c>
      <x:c r="X371" s="9" t="n">
        <x:f>H371*Z370/(v01_AdultYears*4)</x:f>
        <x:v>0.1370918621679941</x:v>
      </x:c>
      <x:c r="Y371" s="32" t="n">
        <x:f>Y370+R371-S371-W371-Y370*V371/AB370</x:f>
        <x:v>17.50858860701846</x:v>
      </x:c>
      <x:c r="Z371" s="32" t="n">
        <x:f>Z370+W371-X371-T371-Z370*V371/AB370</x:f>
        <x:v>17.0860042136149</x:v>
      </x:c>
      <x:c r="AA371" s="32" t="n">
        <x:f>AA370+X371-U371-AA370*V371/AB370</x:f>
        <x:v>4.738690615364458</x:v>
      </x:c>
      <x:c r="AB371" s="10" t="n">
        <x:f>Y371+Z371+AA371</x:f>
        <x:v>39.333283435997814</x:v>
      </x:c>
      <x:c r="AC371" s="8" t="n">
        <x:f>IF(AND(v01_WinterTrigger=1,D371=1,AB370/AE370&gt;=K371),1,0)</x:f>
        <x:v>0</x:v>
      </x:c>
      <x:c r="AD371" s="8" t="n">
        <x:f>H371*IF(AND(OR(AB370/AE370&gt;=v01_FissionTrigger*N371,AC371=1),AB370/AE370*v01_DaughterShare&gt;=v01_MinDaughter),MAX(1,ROUND(AE370*v01_FissionRate,0)),0)</x:f>
        <x:v>0</x:v>
      </x:c>
      <x:c r="AE371" s="8" t="n">
        <x:f>IF(H371=1,MAX(1,MIN(INDEX(v01_Smax,G371),AE370+AD371)),AE370)</x:f>
        <x:v>2</x:v>
      </x:c>
      <x:c r="AF371" s="8" t="n">
        <x:f>MAX(0,AE371-AE370)</x:f>
        <x:v>0</x:v>
      </x:c>
      <x:c r="AG371" s="9" t="str">
        <x:f>IF(AF371&gt;0,B371,"")</x:f>
      </x:c>
      <x:c r="AH371" s="9" t="n">
        <x:f>IF(F371&gt;=1,1,(1+v01_LowTiesShare*(AE371-1))/AE371)</x:f>
        <x:v>1</x:v>
      </x:c>
      <x:c r="AI371" s="32" t="n">
        <x:f>(Z371+v01_ElderCommons*INDEX(LM_Elder,G371)*AA371)*AH371</x:f>
        <x:v>28.693378270173042</x:v>
      </x:c>
      <x:c r="AJ371" s="32" t="n">
        <x:f>H371*v01_CommonsCoef*AI371^v01_CommonsExp*INDEX(LM_Commons,G371)</x:f>
        <x:v>11.446121898548029</x:v>
      </x:c>
      <x:c r="AK371" s="32" t="n">
        <x:f>H371*v01_RoleScale*Arch_Roles*(AE371*(INDEX(v01_ElderRolePerSett,G371)*v01_OutElder*INDEX(LM_Elder,G371)+INDEX(v01_ShamanPerSett,G371)*v01_OutShaman)+Z371*(INDEX(v01_PriestShare,G371)*v01_OutPriest+INDEX(v01_ScribeShare,G371)*v01_OutScribe*INDEX(LM_Scribe,G371)+INDEX(v01_ScholarShare,G371)*v01_OutScholar*INDEX(LM_Scholar,G371)+INDEX(v01_ResearcherShare,G371)*v01_OutResearcher*INDEX(LM_Researcher,G371)))</x:f>
        <x:v>2.724744871391589</x:v>
      </x:c>
      <x:c r="AL371" s="32" t="n">
        <x:f>H371*v01_RoleScale*Arch_Roles*AE371*INDEX(v01_MonasteryPerSett,G371)*v01_OutMonastery*INDEX(LM_Monastery,G371)</x:f>
        <x:v>0</x:v>
      </x:c>
      <x:c r="AM371" s="32" t="n">
        <x:f>(AJ371+AK371+AL371)/4*INDEX(LM_All,G371)*INDEX(v01_Boon,G371)*Arch_Insight</x:f>
        <x:v>3.6312846097970266</x:v>
      </x:c>
      <x:c r="AN371" s="32" t="n">
        <x:f>H371*(v01_KHPerAdult*Z371+v01_KHOfCommons*AJ371/4*INDEX(LM_All,G371))*v01_KHUsable*Arch_KH</x:f>
        <x:v>0.5980101474765215</x:v>
      </x:c>
      <x:c r="AO371" s="32" t="n">
        <x:f>MIN(AP370+AN371,AM371*v01_KHMaxRatio)</x:f>
        <x:v>0.5980101474765215</x:v>
      </x:c>
      <x:c r="AP371" s="32" t="n">
        <x:f>AP370+AN371-AO371</x:f>
        <x:v>0</x:v>
      </x:c>
      <x:c r="AQ371" s="32" t="n">
        <x:f>AM371+AO371</x:f>
        <x:v>4.229294757273548</x:v>
      </x:c>
      <x:c r="AR371" s="10" t="n">
        <x:f>IF(H371=1,INDEX(v01_Req,G371),0)</x:f>
        <x:v>1067.32</x:v>
      </x:c>
      <x:c r="AS371" s="32" t="n">
        <x:f>IF(H371=1,IF(E371=1,AS370-AR370,AS370)+AQ371,0)</x:f>
        <x:v>420.2016765713084</x:v>
      </x:c>
      <x:c r="AT371" s="11" t="n">
        <x:f>IF(AR371&gt;0,MIN(1,AS371/AR371),1)</x:f>
        <x:v>0.39369793180237267</x:v>
      </x:c>
      <x:c r="AU371" s="10" t="n">
        <x:f>AB371/INDEX(v01_RepScale,G371)</x:f>
        <x:v>39.333283435997814</x:v>
      </x:c>
      <x:c r="AV371" s="32" t="n">
        <x:f>AM371*60/v01_SeasonSeconds</x:f>
        <x:v>14.525138439188106</x:v>
      </x:c>
    </x:row>
    <x:row r="372">
      <x:c r="A372" s="8" t="n">
        <x:f>A371+1</x:f>
        <x:v>369</x:v>
      </x:c>
      <x:c r="B372" s="9" t="n">
        <x:f>A372*v01_SeasonSeconds/60</x:f>
        <x:v>92.25</x:v>
      </x:c>
      <x:c r="C372" s="9" t="n">
        <x:f>A372/4</x:f>
        <x:v>92.25</x:v>
      </x:c>
      <x:c r="D372" s="8" t="n">
        <x:f>IF(MOD(A372,4)=0,1,0)</x:f>
        <x:v>0</x:v>
      </x:c>
      <x:c r="E372" s="8" t="n">
        <x:f>IF(AND(F371&lt;=9,AS371&gt;=AR371),1,0)</x:f>
        <x:v>0</x:v>
      </x:c>
      <x:c r="F372" s="8" t="n">
        <x:f>MIN(10,F371+E372)</x:f>
        <x:v>1</x:v>
      </x:c>
      <x:c r="G372" s="8" t="n">
        <x:f>MIN(F372,9)+1</x:f>
        <x:v>2</x:v>
      </x:c>
      <x:c r="H372" s="8" t="n">
        <x:f>IF(F372&lt;=9,1,0)</x:f>
        <x:v>1</x:v>
      </x:c>
      <x:c r="I372" s="9" t="n">
        <x:f>MIN(10,F371+IF(AR371&gt;0,MIN(1,AS371/AR371),1))</x:f>
        <x:v>1.3936979318023726</x:v>
      </x:c>
      <x:c r="J372" s="32" t="n">
        <x:f>INDEX(v01_FoodCap,G372)*Arch_FoodCap*EXP(v01_CapsByProject*SUMPRODUCT((Cap_Point&lt;=I372)*(Cap_Kind="Food")*Cap_Ln))</x:f>
        <x:v>30</x:v>
      </x:c>
      <x:c r="K372" s="32" t="n">
        <x:f>J372*MIN(1,v01_LeanBase*EXP(v01_CapsByProject*SUMPRODUCT((Cap_Point&lt;=I372)*(Cap_Kind="Lean")*Cap_Ln)))</x:f>
        <x:v>30</x:v>
      </x:c>
      <x:c r="L372" s="10" t="n">
        <x:f>INDEX(v01_HousingCap,G372)*EXP(v01_CapsByProject*SUMPRODUCT((Cap_Point&lt;=I372)*(Cap_Kind="Housing")*Cap_Ln))</x:f>
        <x:v>60</x:v>
      </x:c>
      <x:c r="M372" s="10" t="n">
        <x:f>INDEX(v01_GroupCap,G372)*v01_CohesionFactor*EXP(v01_CapsByProject*SUMPRODUCT((Cap_Point&lt;=I372)*(Cap_Kind="Group")*Cap_Ln))</x:f>
        <x:v>100</x:v>
      </x:c>
      <x:c r="N372" s="32" t="n">
        <x:f>MIN(J372,L372,M372)</x:f>
        <x:v>30</x:v>
      </x:c>
      <x:c r="O372" s="10" t="n">
        <x:f>AE371*N372</x:f>
        <x:v>60</x:v>
      </x:c>
      <x:c r="P372" s="9" t="n">
        <x:f>MIN(1,(AB371/(AE371*IF(v01_GroupInCrowding=1,N372,MIN(J372,L372))))^v01_CrowdingExp)</x:f>
        <x:v>0.07936951154814864</x:v>
      </x:c>
      <x:c r="Q372" s="9" t="n">
        <x:f>IF(D372=1,INDEX(v01_WinterMult,G372),1)</x:f>
        <x:v>1</x:v>
      </x:c>
      <x:c r="R372" s="9" t="n">
        <x:f>H372*Z371*v01_WomenShare*v01_BaseFertility*INDEX(v01_FertMult,G372)*Arch_Fertility*(1-P372)</x:f>
        <x:v>0.5898711151826503</x:v>
      </x:c>
      <x:c r="S372" s="9" t="n">
        <x:f>H372*Y371*INDEX(v01_MortChild,G372)/4*Q372</x:f>
        <x:v>0.15320015031141154</x:v>
      </x:c>
      <x:c r="T372" s="9" t="n">
        <x:f>H372*Z371*INDEX(v01_MortAdult,G372)*Arch_AdultMort/4*Q372</x:f>
        <x:v>0.05552951369424842</x:v>
      </x:c>
      <x:c r="U372" s="9" t="n">
        <x:f>H372*AA371*INDEX(v01_MortElder,G372)/4*Q372</x:f>
        <x:v>0.09477381230728917</x:v>
      </x:c>
      <x:c r="V372" s="9" t="n">
        <x:f>H372*MAX(0,AB371-O372)*v01_OvercapLoss</x:f>
        <x:v>0</x:v>
      </x:c>
      <x:c r="W372" s="9" t="n">
        <x:f>H372*Y371/(v01_ChildYears*4)</x:f>
        <x:v>0.3126533679824725</x:v>
      </x:c>
      <x:c r="X372" s="9" t="n">
        <x:f>H372*Z371/(v01_AdultYears*4)</x:f>
        <x:v>0.13779035656141048</x:v>
      </x:c>
      <x:c r="Y372" s="32" t="n">
        <x:f>Y371+R372-S372-W372-Y371*V372/AB371</x:f>
        <x:v>17.632606203907223</x:v>
      </x:c>
      <x:c r="Z372" s="32" t="n">
        <x:f>Z371+W372-X372-T372-Z371*V372/AB371</x:f>
        <x:v>17.205337711341713</x:v>
      </x:c>
      <x:c r="AA372" s="32" t="n">
        <x:f>AA371+X372-U372-AA371*V372/AB371</x:f>
        <x:v>4.78170715961858</x:v>
      </x:c>
      <x:c r="AB372" s="10" t="n">
        <x:f>Y372+Z372+AA372</x:f>
        <x:v>39.61965107486751</x:v>
      </x:c>
      <x:c r="AC372" s="8" t="n">
        <x:f>IF(AND(v01_WinterTrigger=1,D372=1,AB371/AE371&gt;=K372),1,0)</x:f>
        <x:v>0</x:v>
      </x:c>
      <x:c r="AD372" s="8" t="n">
        <x:f>H372*IF(AND(OR(AB371/AE371&gt;=v01_FissionTrigger*N372,AC372=1),AB371/AE371*v01_DaughterShare&gt;=v01_MinDaughter),MAX(1,ROUND(AE371*v01_FissionRate,0)),0)</x:f>
        <x:v>0</x:v>
      </x:c>
      <x:c r="AE372" s="8" t="n">
        <x:f>IF(H372=1,MAX(1,MIN(INDEX(v01_Smax,G372),AE371+AD372)),AE371)</x:f>
        <x:v>2</x:v>
      </x:c>
      <x:c r="AF372" s="8" t="n">
        <x:f>MAX(0,AE372-AE371)</x:f>
        <x:v>0</x:v>
      </x:c>
      <x:c r="AG372" s="9" t="str">
        <x:f>IF(AF372&gt;0,B372,"")</x:f>
      </x:c>
      <x:c r="AH372" s="9" t="n">
        <x:f>IF(F372&gt;=1,1,(1+v01_LowTiesShare*(AE372-1))/AE372)</x:f>
        <x:v>1</x:v>
      </x:c>
      <x:c r="AI372" s="32" t="n">
        <x:f>(Z372+v01_ElderCommons*INDEX(LM_Elder,G372)*AA372)*AH372</x:f>
        <x:v>28.918080351820308</x:v>
      </x:c>
      <x:c r="AJ372" s="32" t="n">
        <x:f>H372*v01_CommonsCoef*AI372^v01_CommonsExp*INDEX(LM_Commons,G372)</x:f>
        <x:v>11.522268112658928</x:v>
      </x:c>
      <x:c r="AK372" s="32" t="n">
        <x:f>H372*v01_RoleScale*Arch_Roles*(AE372*(INDEX(v01_ElderRolePerSett,G372)*v01_OutElder*INDEX(LM_Elder,G372)+INDEX(v01_ShamanPerSett,G372)*v01_OutShaman)+Z372*(INDEX(v01_PriestShare,G372)*v01_OutPriest+INDEX(v01_ScribeShare,G372)*v01_OutScribe*INDEX(LM_Scribe,G372)+INDEX(v01_ScholarShare,G372)*v01_OutScholar*INDEX(LM_Scholar,G372)+INDEX(v01_ResearcherShare,G372)*v01_OutResearcher*INDEX(LM_Researcher,G372)))</x:f>
        <x:v>2.724744871391589</x:v>
      </x:c>
      <x:c r="AL372" s="32" t="n">
        <x:f>H372*v01_RoleScale*Arch_Roles*AE372*INDEX(v01_MonasteryPerSett,G372)*v01_OutMonastery*INDEX(LM_Monastery,G372)</x:f>
        <x:v>0</x:v>
      </x:c>
      <x:c r="AM372" s="32" t="n">
        <x:f>(AJ372+AK372+AL372)/4*INDEX(LM_All,G372)*INDEX(v01_Boon,G372)*Arch_Insight</x:f>
        <x:v>3.6507970771629448</x:v>
      </x:c>
      <x:c r="AN372" s="32" t="n">
        <x:f>H372*(v01_KHPerAdult*Z372+v01_KHOfCommons*AJ372/4*INDEX(LM_All,G372))*v01_KHUsable*Arch_KH</x:f>
        <x:v>0.6021868198969599</x:v>
      </x:c>
      <x:c r="AO372" s="32" t="n">
        <x:f>MIN(AP371+AN372,AM372*v01_KHMaxRatio)</x:f>
        <x:v>0.6021868198969599</x:v>
      </x:c>
      <x:c r="AP372" s="32" t="n">
        <x:f>AP371+AN372-AO372</x:f>
        <x:v>0</x:v>
      </x:c>
      <x:c r="AQ372" s="32" t="n">
        <x:f>AM372+AO372</x:f>
        <x:v>4.252983897059905</x:v>
      </x:c>
      <x:c r="AR372" s="10" t="n">
        <x:f>IF(H372=1,INDEX(v01_Req,G372),0)</x:f>
        <x:v>1067.32</x:v>
      </x:c>
      <x:c r="AS372" s="32" t="n">
        <x:f>IF(H372=1,IF(E372=1,AS371-AR371,AS371)+AQ372,0)</x:f>
        <x:v>424.4546604683683</x:v>
      </x:c>
      <x:c r="AT372" s="11" t="n">
        <x:f>IF(AR372&gt;0,MIN(1,AS372/AR372),1)</x:f>
        <x:v>0.3976826635576662</x:v>
      </x:c>
      <x:c r="AU372" s="10" t="n">
        <x:f>AB372/INDEX(v01_RepScale,G372)</x:f>
        <x:v>39.61965107486751</x:v>
      </x:c>
      <x:c r="AV372" s="32" t="n">
        <x:f>AM372*60/v01_SeasonSeconds</x:f>
        <x:v>14.603188308651779</x:v>
      </x:c>
    </x:row>
    <x:row r="373">
      <x:c r="A373" s="8" t="n">
        <x:f>A372+1</x:f>
        <x:v>370</x:v>
      </x:c>
      <x:c r="B373" s="9" t="n">
        <x:f>A373*v01_SeasonSeconds/60</x:f>
        <x:v>92.5</x:v>
      </x:c>
      <x:c r="C373" s="9" t="n">
        <x:f>A373/4</x:f>
        <x:v>92.5</x:v>
      </x:c>
      <x:c r="D373" s="8" t="n">
        <x:f>IF(MOD(A373,4)=0,1,0)</x:f>
        <x:v>0</x:v>
      </x:c>
      <x:c r="E373" s="8" t="n">
        <x:f>IF(AND(F372&lt;=9,AS372&gt;=AR372),1,0)</x:f>
        <x:v>0</x:v>
      </x:c>
      <x:c r="F373" s="8" t="n">
        <x:f>MIN(10,F372+E373)</x:f>
        <x:v>1</x:v>
      </x:c>
      <x:c r="G373" s="8" t="n">
        <x:f>MIN(F373,9)+1</x:f>
        <x:v>2</x:v>
      </x:c>
      <x:c r="H373" s="8" t="n">
        <x:f>IF(F373&lt;=9,1,0)</x:f>
        <x:v>1</x:v>
      </x:c>
      <x:c r="I373" s="9" t="n">
        <x:f>MIN(10,F372+IF(AR372&gt;0,MIN(1,AS372/AR372),1))</x:f>
        <x:v>1.3976826635576662</x:v>
      </x:c>
      <x:c r="J373" s="32" t="n">
        <x:f>INDEX(v01_FoodCap,G373)*Arch_FoodCap*EXP(v01_CapsByProject*SUMPRODUCT((Cap_Point&lt;=I373)*(Cap_Kind="Food")*Cap_Ln))</x:f>
        <x:v>30</x:v>
      </x:c>
      <x:c r="K373" s="32" t="n">
        <x:f>J373*MIN(1,v01_LeanBase*EXP(v01_CapsByProject*SUMPRODUCT((Cap_Point&lt;=I373)*(Cap_Kind="Lean")*Cap_Ln)))</x:f>
        <x:v>30</x:v>
      </x:c>
      <x:c r="L373" s="10" t="n">
        <x:f>INDEX(v01_HousingCap,G373)*EXP(v01_CapsByProject*SUMPRODUCT((Cap_Point&lt;=I373)*(Cap_Kind="Housing")*Cap_Ln))</x:f>
        <x:v>60</x:v>
      </x:c>
      <x:c r="M373" s="10" t="n">
        <x:f>INDEX(v01_GroupCap,G373)*v01_CohesionFactor*EXP(v01_CapsByProject*SUMPRODUCT((Cap_Point&lt;=I373)*(Cap_Kind="Group")*Cap_Ln))</x:f>
        <x:v>100</x:v>
      </x:c>
      <x:c r="N373" s="32" t="n">
        <x:f>MIN(J373,L373,M373)</x:f>
        <x:v>30</x:v>
      </x:c>
      <x:c r="O373" s="10" t="n">
        <x:f>AE372*N373</x:f>
        <x:v>60</x:v>
      </x:c>
      <x:c r="P373" s="9" t="n">
        <x:f>MIN(1,(AB372/(AE372*IF(v01_GroupInCrowding=1,N373,MIN(J373,L373))))^v01_CrowdingExp)</x:f>
        <x:v>0.08290035233743494</x:v>
      </x:c>
      <x:c r="Q373" s="9" t="n">
        <x:f>IF(D373=1,INDEX(v01_WinterMult,G373),1)</x:f>
        <x:v>1</x:v>
      </x:c>
      <x:c r="R373" s="9" t="n">
        <x:f>H373*Z372*v01_WomenShare*v01_BaseFertility*INDEX(v01_FertMult,G373)*Arch_Fertility*(1-P373)</x:f>
        <x:v>0.5917128432370098</x:v>
      </x:c>
      <x:c r="S373" s="9" t="n">
        <x:f>H373*Y372*INDEX(v01_MortChild,G373)/4*Q373</x:f>
        <x:v>0.1542853042841882</x:v>
      </x:c>
      <x:c r="T373" s="9" t="n">
        <x:f>H373*Z372*INDEX(v01_MortAdult,G373)*Arch_AdultMort/4*Q373</x:f>
        <x:v>0.055917347561860564</x:v>
      </x:c>
      <x:c r="U373" s="9" t="n">
        <x:f>H373*AA372*INDEX(v01_MortElder,G373)/4*Q373</x:f>
        <x:v>0.0956341431923716</x:v>
      </x:c>
      <x:c r="V373" s="9" t="n">
        <x:f>H373*MAX(0,AB372-O373)*v01_OvercapLoss</x:f>
        <x:v>0</x:v>
      </x:c>
      <x:c r="W373" s="9" t="n">
        <x:f>H373*Y372/(v01_ChildYears*4)</x:f>
        <x:v>0.3148679679269147</x:v>
      </x:c>
      <x:c r="X373" s="9" t="n">
        <x:f>H373*Z372/(v01_AdultYears*4)</x:f>
        <x:v>0.1387527234785622</x:v>
      </x:c>
      <x:c r="Y373" s="32" t="n">
        <x:f>Y372+R373-S373-W373-Y372*V373/AB372</x:f>
        <x:v>17.75516577493313</x:v>
      </x:c>
      <x:c r="Z373" s="32" t="n">
        <x:f>Z372+W373-X373-T373-Z372*V373/AB372</x:f>
        <x:v>17.325535608228208</x:v>
      </x:c>
      <x:c r="AA373" s="32" t="n">
        <x:f>AA372+X373-U373-AA372*V373/AB372</x:f>
        <x:v>4.824825739904771</x:v>
      </x:c>
      <x:c r="AB373" s="10" t="n">
        <x:f>Y373+Z373+AA373</x:f>
        <x:v>39.90552712306611</x:v>
      </x:c>
      <x:c r="AC373" s="8" t="n">
        <x:f>IF(AND(v01_WinterTrigger=1,D373=1,AB372/AE372&gt;=K373),1,0)</x:f>
        <x:v>0</x:v>
      </x:c>
      <x:c r="AD373" s="8" t="n">
        <x:f>H373*IF(AND(OR(AB372/AE372&gt;=v01_FissionTrigger*N373,AC373=1),AB372/AE372*v01_DaughterShare&gt;=v01_MinDaughter),MAX(1,ROUND(AE372*v01_FissionRate,0)),0)</x:f>
        <x:v>0</x:v>
      </x:c>
      <x:c r="AE373" s="8" t="n">
        <x:f>IF(H373=1,MAX(1,MIN(INDEX(v01_Smax,G373),AE372+AD373)),AE372)</x:f>
        <x:v>2</x:v>
      </x:c>
      <x:c r="AF373" s="8" t="n">
        <x:f>MAX(0,AE373-AE372)</x:f>
        <x:v>0</x:v>
      </x:c>
      <x:c r="AG373" s="9" t="str">
        <x:f>IF(AF373&gt;0,B373,"")</x:f>
      </x:c>
      <x:c r="AH373" s="9" t="n">
        <x:f>IF(F373&gt;=1,1,(1+v01_LowTiesShare*(AE373-1))/AE373)</x:f>
        <x:v>1</x:v>
      </x:c>
      <x:c r="AI373" s="32" t="n">
        <x:f>(Z373+v01_ElderCommons*INDEX(LM_Elder,G373)*AA373)*AH373</x:f>
        <x:v>29.143896768841202</x:v>
      </x:c>
      <x:c r="AJ373" s="32" t="n">
        <x:f>H373*v01_CommonsCoef*AI373^v01_CommonsExp*INDEX(LM_Commons,G373)</x:f>
        <x:v>11.59870258797172</x:v>
      </x:c>
      <x:c r="AK373" s="32" t="n">
        <x:f>H373*v01_RoleScale*Arch_Roles*(AE373*(INDEX(v01_ElderRolePerSett,G373)*v01_OutElder*INDEX(LM_Elder,G373)+INDEX(v01_ShamanPerSett,G373)*v01_OutShaman)+Z373*(INDEX(v01_PriestShare,G373)*v01_OutPriest+INDEX(v01_ScribeShare,G373)*v01_OutScribe*INDEX(LM_Scribe,G373)+INDEX(v01_ScholarShare,G373)*v01_OutScholar*INDEX(LM_Scholar,G373)+INDEX(v01_ResearcherShare,G373)*v01_OutResearcher*INDEX(LM_Researcher,G373)))</x:f>
        <x:v>2.724744871391589</x:v>
      </x:c>
      <x:c r="AL373" s="32" t="n">
        <x:f>H373*v01_RoleScale*Arch_Roles*AE373*INDEX(v01_MonasteryPerSett,G373)*v01_OutMonastery*INDEX(LM_Monastery,G373)</x:f>
        <x:v>0</x:v>
      </x:c>
      <x:c r="AM373" s="32" t="n">
        <x:f>(AJ373+AK373+AL373)/4*INDEX(LM_All,G373)*INDEX(v01_Boon,G373)*Arch_Insight</x:f>
        <x:v>3.670383411461848</x:v>
      </x:c>
      <x:c r="AN373" s="32" t="n">
        <x:f>H373*(v01_KHPerAdult*Z373+v01_KHOfCommons*AJ373/4*INDEX(LM_All,G373))*v01_KHUsable*Arch_KH</x:f>
        <x:v>0.6063937462879873</x:v>
      </x:c>
      <x:c r="AO373" s="32" t="n">
        <x:f>MIN(AP372+AN373,AM373*v01_KHMaxRatio)</x:f>
        <x:v>0.6063937462879873</x:v>
      </x:c>
      <x:c r="AP373" s="32" t="n">
        <x:f>AP372+AN373-AO373</x:f>
        <x:v>0</x:v>
      </x:c>
      <x:c r="AQ373" s="32" t="n">
        <x:f>AM373+AO373</x:f>
        <x:v>4.2767771577498355</x:v>
      </x:c>
      <x:c r="AR373" s="10" t="n">
        <x:f>IF(H373=1,INDEX(v01_Req,G373),0)</x:f>
        <x:v>1067.32</x:v>
      </x:c>
      <x:c r="AS373" s="32" t="n">
        <x:f>IF(H373=1,IF(E373=1,AS372-AR372,AS372)+AQ373,0)</x:f>
        <x:v>428.7314376261181</x:v>
      </x:c>
      <x:c r="AT373" s="11" t="n">
        <x:f>IF(AR373&gt;0,MIN(1,AS373/AR373),1)</x:f>
        <x:v>0.4016896878406833</x:v>
      </x:c>
      <x:c r="AU373" s="10" t="n">
        <x:f>AB373/INDEX(v01_RepScale,G373)</x:f>
        <x:v>39.90552712306611</x:v>
      </x:c>
      <x:c r="AV373" s="32" t="n">
        <x:f>AM373*60/v01_SeasonSeconds</x:f>
        <x:v>14.681533645847392</x:v>
      </x:c>
    </x:row>
    <x:row r="374">
      <x:c r="A374" s="8" t="n">
        <x:f>A373+1</x:f>
        <x:v>371</x:v>
      </x:c>
      <x:c r="B374" s="9" t="n">
        <x:f>A374*v01_SeasonSeconds/60</x:f>
        <x:v>92.75</x:v>
      </x:c>
      <x:c r="C374" s="9" t="n">
        <x:f>A374/4</x:f>
        <x:v>92.75</x:v>
      </x:c>
      <x:c r="D374" s="8" t="n">
        <x:f>IF(MOD(A374,4)=0,1,0)</x:f>
        <x:v>0</x:v>
      </x:c>
      <x:c r="E374" s="8" t="n">
        <x:f>IF(AND(F373&lt;=9,AS373&gt;=AR373),1,0)</x:f>
        <x:v>0</x:v>
      </x:c>
      <x:c r="F374" s="8" t="n">
        <x:f>MIN(10,F373+E374)</x:f>
        <x:v>1</x:v>
      </x:c>
      <x:c r="G374" s="8" t="n">
        <x:f>MIN(F374,9)+1</x:f>
        <x:v>2</x:v>
      </x:c>
      <x:c r="H374" s="8" t="n">
        <x:f>IF(F374&lt;=9,1,0)</x:f>
        <x:v>1</x:v>
      </x:c>
      <x:c r="I374" s="9" t="n">
        <x:f>MIN(10,F373+IF(AR373&gt;0,MIN(1,AS373/AR373),1))</x:f>
        <x:v>1.4016896878406833</x:v>
      </x:c>
      <x:c r="J374" s="32" t="n">
        <x:f>INDEX(v01_FoodCap,G374)*Arch_FoodCap*EXP(v01_CapsByProject*SUMPRODUCT((Cap_Point&lt;=I374)*(Cap_Kind="Food")*Cap_Ln))</x:f>
        <x:v>30</x:v>
      </x:c>
      <x:c r="K374" s="32" t="n">
        <x:f>J374*MIN(1,v01_LeanBase*EXP(v01_CapsByProject*SUMPRODUCT((Cap_Point&lt;=I374)*(Cap_Kind="Lean")*Cap_Ln)))</x:f>
        <x:v>30</x:v>
      </x:c>
      <x:c r="L374" s="10" t="n">
        <x:f>INDEX(v01_HousingCap,G374)*EXP(v01_CapsByProject*SUMPRODUCT((Cap_Point&lt;=I374)*(Cap_Kind="Housing")*Cap_Ln))</x:f>
        <x:v>60</x:v>
      </x:c>
      <x:c r="M374" s="10" t="n">
        <x:f>INDEX(v01_GroupCap,G374)*v01_CohesionFactor*EXP(v01_CapsByProject*SUMPRODUCT((Cap_Point&lt;=I374)*(Cap_Kind="Group")*Cap_Ln))</x:f>
        <x:v>100</x:v>
      </x:c>
      <x:c r="N374" s="32" t="n">
        <x:f>MIN(J374,L374,M374)</x:f>
        <x:v>30</x:v>
      </x:c>
      <x:c r="O374" s="10" t="n">
        <x:f>AE373*N374</x:f>
        <x:v>60</x:v>
      </x:c>
      <x:c r="P374" s="9" t="n">
        <x:f>MIN(1,(AB373/(AE373*IF(v01_GroupInCrowding=1,N374,MIN(J374,L374))))^v01_CrowdingExp)</x:f>
        <x:v>0.08655473062046648</x:v>
      </x:c>
      <x:c r="Q374" s="9" t="n">
        <x:f>IF(D374=1,INDEX(v01_WinterMult,G374),1)</x:f>
        <x:v>1</x:v>
      </x:c>
      <x:c r="R374" s="9" t="n">
        <x:f>H374*Z373*v01_WomenShare*v01_BaseFertility*INDEX(v01_FertMult,G374)*Arch_Fertility*(1-P374)</x:f>
        <x:v>0.5934723202801018</x:v>
      </x:c>
      <x:c r="S374" s="9" t="n">
        <x:f>H374*Y373*INDEX(v01_MortChild,G374)/4*Q374</x:f>
        <x:v>0.1553577005306649</x:v>
      </x:c>
      <x:c r="T374" s="9" t="n">
        <x:f>H374*Z373*INDEX(v01_MortAdult,G374)*Arch_AdultMort/4*Q374</x:f>
        <x:v>0.05630799072674167</x:v>
      </x:c>
      <x:c r="U374" s="9" t="n">
        <x:f>H374*AA373*INDEX(v01_MortElder,G374)/4*Q374</x:f>
        <x:v>0.09649651479809541</x:v>
      </x:c>
      <x:c r="V374" s="9" t="n">
        <x:f>H374*MAX(0,AB373-O374)*v01_OvercapLoss</x:f>
        <x:v>0</x:v>
      </x:c>
      <x:c r="W374" s="9" t="n">
        <x:f>H374*Y373/(v01_ChildYears*4)</x:f>
        <x:v>0.31705653169523446</x:v>
      </x:c>
      <x:c r="X374" s="9" t="n">
        <x:f>H374*Z373/(v01_AdultYears*4)</x:f>
        <x:v>0.13972206135667908</x:v>
      </x:c>
      <x:c r="Y374" s="32" t="n">
        <x:f>Y373+R374-S374-W374-Y373*V374/AB373</x:f>
        <x:v>17.876223862987334</x:v>
      </x:c>
      <x:c r="Z374" s="32" t="n">
        <x:f>Z373+W374-X374-T374-Z373*V374/AB373</x:f>
        <x:v>17.44656208784002</x:v>
      </x:c>
      <x:c r="AA374" s="32" t="n">
        <x:f>AA373+X374-U374-AA373*V374/AB373</x:f>
        <x:v>4.868051286463354</x:v>
      </x:c>
      <x:c r="AB374" s="10" t="n">
        <x:f>Y374+Z374+AA374</x:f>
        <x:v>40.19083723729071</x:v>
      </x:c>
      <x:c r="AC374" s="8" t="n">
        <x:f>IF(AND(v01_WinterTrigger=1,D374=1,AB373/AE373&gt;=K374),1,0)</x:f>
        <x:v>0</x:v>
      </x:c>
      <x:c r="AD374" s="8" t="n">
        <x:f>H374*IF(AND(OR(AB373/AE373&gt;=v01_FissionTrigger*N374,AC374=1),AB373/AE373*v01_DaughterShare&gt;=v01_MinDaughter),MAX(1,ROUND(AE373*v01_FissionRate,0)),0)</x:f>
        <x:v>0</x:v>
      </x:c>
      <x:c r="AE374" s="8" t="n">
        <x:f>IF(H374=1,MAX(1,MIN(INDEX(v01_Smax,G374),AE373+AD374)),AE373)</x:f>
        <x:v>2</x:v>
      </x:c>
      <x:c r="AF374" s="8" t="n">
        <x:f>MAX(0,AE374-AE373)</x:f>
        <x:v>0</x:v>
      </x:c>
      <x:c r="AG374" s="9" t="str">
        <x:f>IF(AF374&gt;0,B374,"")</x:f>
      </x:c>
      <x:c r="AH374" s="9" t="n">
        <x:f>IF(F374&gt;=1,1,(1+v01_LowTiesShare*(AE374-1))/AE374)</x:f>
        <x:v>1</x:v>
      </x:c>
      <x:c r="AI374" s="32" t="n">
        <x:f>(Z374+v01_ElderCommons*INDEX(LM_Elder,G374)*AA374)*AH374</x:f>
        <x:v>29.370803781374462</x:v>
      </x:c>
      <x:c r="AJ374" s="32" t="n">
        <x:f>H374*v01_CommonsCoef*AI374^v01_CommonsExp*INDEX(LM_Commons,G374)</x:f>
        <x:v>11.67541678051754</x:v>
      </x:c>
      <x:c r="AK374" s="32" t="n">
        <x:f>H374*v01_RoleScale*Arch_Roles*(AE374*(INDEX(v01_ElderRolePerSett,G374)*v01_OutElder*INDEX(LM_Elder,G374)+INDEX(v01_ShamanPerSett,G374)*v01_OutShaman)+Z374*(INDEX(v01_PriestShare,G374)*v01_OutPriest+INDEX(v01_ScribeShare,G374)*v01_OutScribe*INDEX(LM_Scribe,G374)+INDEX(v01_ScholarShare,G374)*v01_OutScholar*INDEX(LM_Scholar,G374)+INDEX(v01_ResearcherShare,G374)*v01_OutResearcher*INDEX(LM_Researcher,G374)))</x:f>
        <x:v>2.724744871391589</x:v>
      </x:c>
      <x:c r="AL374" s="32" t="n">
        <x:f>H374*v01_RoleScale*Arch_Roles*AE374*INDEX(v01_MonasteryPerSett,G374)*v01_OutMonastery*INDEX(LM_Monastery,G374)</x:f>
        <x:v>0</x:v>
      </x:c>
      <x:c r="AM374" s="32" t="n">
        <x:f>(AJ374+AK374+AL374)/4*INDEX(LM_All,G374)*INDEX(v01_Boon,G374)*Arch_Insight</x:f>
        <x:v>3.690041423301714</x:v>
      </x:c>
      <x:c r="AN374" s="32" t="n">
        <x:f>H374*(v01_KHPerAdult*Z374+v01_KHOfCommons*AJ374/4*INDEX(LM_All,G374))*v01_KHUsable*Arch_KH</x:f>
        <x:v>0.6106296730744007</x:v>
      </x:c>
      <x:c r="AO374" s="32" t="n">
        <x:f>MIN(AP373+AN374,AM374*v01_KHMaxRatio)</x:f>
        <x:v>0.6106296730744007</x:v>
      </x:c>
      <x:c r="AP374" s="32" t="n">
        <x:f>AP373+AN374-AO374</x:f>
        <x:v>0</x:v>
      </x:c>
      <x:c r="AQ374" s="32" t="n">
        <x:f>AM374+AO374</x:f>
        <x:v>4.3006710963761146</x:v>
      </x:c>
      <x:c r="AR374" s="10" t="n">
        <x:f>IF(H374=1,INDEX(v01_Req,G374),0)</x:f>
        <x:v>1067.32</x:v>
      </x:c>
      <x:c r="AS374" s="32" t="n">
        <x:f>IF(H374=1,IF(E374=1,AS373-AR373,AS373)+AQ374,0)</x:f>
        <x:v>433.03210872249423</x:v>
      </x:c>
      <x:c r="AT374" s="11" t="n">
        <x:f>IF(AR374&gt;0,MIN(1,AS374/AR374),1)</x:f>
        <x:v>0.4057190989792136</x:v>
      </x:c>
      <x:c r="AU374" s="10" t="n">
        <x:f>AB374/INDEX(v01_RepScale,G374)</x:f>
        <x:v>40.19083723729071</x:v>
      </x:c>
      <x:c r="AV374" s="32" t="n">
        <x:f>AM374*60/v01_SeasonSeconds</x:f>
        <x:v>14.760165693206856</x:v>
      </x:c>
    </x:row>
    <x:row r="375">
      <x:c r="A375" s="8" t="n">
        <x:f>A374+1</x:f>
        <x:v>372</x:v>
      </x:c>
      <x:c r="B375" s="9" t="n">
        <x:f>A375*v01_SeasonSeconds/60</x:f>
        <x:v>93</x:v>
      </x:c>
      <x:c r="C375" s="9" t="n">
        <x:f>A375/4</x:f>
        <x:v>93</x:v>
      </x:c>
      <x:c r="D375" s="8" t="n">
        <x:f>IF(MOD(A375,4)=0,1,0)</x:f>
        <x:v>1</x:v>
      </x:c>
      <x:c r="E375" s="8" t="n">
        <x:f>IF(AND(F374&lt;=9,AS374&gt;=AR374),1,0)</x:f>
        <x:v>0</x:v>
      </x:c>
      <x:c r="F375" s="8" t="n">
        <x:f>MIN(10,F374+E375)</x:f>
        <x:v>1</x:v>
      </x:c>
      <x:c r="G375" s="8" t="n">
        <x:f>MIN(F375,9)+1</x:f>
        <x:v>2</x:v>
      </x:c>
      <x:c r="H375" s="8" t="n">
        <x:f>IF(F375&lt;=9,1,0)</x:f>
        <x:v>1</x:v>
      </x:c>
      <x:c r="I375" s="9" t="n">
        <x:f>MIN(10,F374+IF(AR374&gt;0,MIN(1,AS374/AR374),1))</x:f>
        <x:v>1.4057190989792137</x:v>
      </x:c>
      <x:c r="J375" s="32" t="n">
        <x:f>INDEX(v01_FoodCap,G375)*Arch_FoodCap*EXP(v01_CapsByProject*SUMPRODUCT((Cap_Point&lt;=I375)*(Cap_Kind="Food")*Cap_Ln))</x:f>
        <x:v>30</x:v>
      </x:c>
      <x:c r="K375" s="32" t="n">
        <x:f>J375*MIN(1,v01_LeanBase*EXP(v01_CapsByProject*SUMPRODUCT((Cap_Point&lt;=I375)*(Cap_Kind="Lean")*Cap_Ln)))</x:f>
        <x:v>30</x:v>
      </x:c>
      <x:c r="L375" s="10" t="n">
        <x:f>INDEX(v01_HousingCap,G375)*EXP(v01_CapsByProject*SUMPRODUCT((Cap_Point&lt;=I375)*(Cap_Kind="Housing")*Cap_Ln))</x:f>
        <x:v>60</x:v>
      </x:c>
      <x:c r="M375" s="10" t="n">
        <x:f>INDEX(v01_GroupCap,G375)*v01_CohesionFactor*EXP(v01_CapsByProject*SUMPRODUCT((Cap_Point&lt;=I375)*(Cap_Kind="Group")*Cap_Ln))</x:f>
        <x:v>100</x:v>
      </x:c>
      <x:c r="N375" s="32" t="n">
        <x:f>MIN(J375,L375,M375)</x:f>
        <x:v>30</x:v>
      </x:c>
      <x:c r="O375" s="10" t="n">
        <x:f>AE374*N375</x:f>
        <x:v>60</x:v>
      </x:c>
      <x:c r="P375" s="9" t="n">
        <x:f>MIN(1,(AB374/(AE374*IF(v01_GroupInCrowding=1,N375,MIN(J375,L375))))^v01_CrowdingExp)</x:f>
        <x:v>0.09033474387991255</x:v>
      </x:c>
      <x:c r="Q375" s="9" t="n">
        <x:f>IF(D375=1,INDEX(v01_WinterMult,G375),1)</x:f>
        <x:v>1.6</x:v>
      </x:c>
      <x:c r="R375" s="9" t="n">
        <x:f>H375*Z374*v01_WomenShare*v01_BaseFertility*INDEX(v01_FertMult,G375)*Arch_Fertility*(1-P375)</x:f>
        <x:v>0.5951449263768749</x:v>
      </x:c>
      <x:c r="S375" s="9" t="n">
        <x:f>H375*Y374*INDEX(v01_MortChild,G375)/4*Q375</x:f>
        <x:v>0.2502671340818227</x:v>
      </x:c>
      <x:c r="T375" s="9" t="n">
        <x:f>H375*Z374*INDEX(v01_MortAdult,G375)*Arch_AdultMort/4*Q375</x:f>
        <x:v>0.09072212285676812</x:v>
      </x:c>
      <x:c r="U375" s="9" t="n">
        <x:f>H375*AA374*INDEX(v01_MortElder,G375)/4*Q375</x:f>
        <x:v>0.15577764116682735</x:v>
      </x:c>
      <x:c r="V375" s="9" t="n">
        <x:f>H375*MAX(0,AB374-O375)*v01_OvercapLoss</x:f>
        <x:v>0</x:v>
      </x:c>
      <x:c r="W375" s="9" t="n">
        <x:f>H375*Y374/(v01_ChildYears*4)</x:f>
        <x:v>0.31921828326763096</x:v>
      </x:c>
      <x:c r="X375" s="9" t="n">
        <x:f>H375*Z374/(v01_AdultYears*4)</x:f>
        <x:v>0.14069808135354855</x:v>
      </x:c>
      <x:c r="Y375" s="32" t="n">
        <x:f>Y374+R375-S375-W375-Y374*V375/AB374</x:f>
        <x:v>17.901883372014755</x:v>
      </x:c>
      <x:c r="Z375" s="32" t="n">
        <x:f>Z374+W375-X375-T375-Z374*V375/AB374</x:f>
        <x:v>17.534360166897336</x:v>
      </x:c>
      <x:c r="AA375" s="32" t="n">
        <x:f>AA374+X375-U375-AA374*V375/AB374</x:f>
        <x:v>4.8529717266500745</x:v>
      </x:c>
      <x:c r="AB375" s="10" t="n">
        <x:f>Y375+Z375+AA375</x:f>
        <x:v>40.28921526556217</x:v>
      </x:c>
      <x:c r="AC375" s="8" t="n">
        <x:f>IF(AND(v01_WinterTrigger=1,D375=1,AB374/AE374&gt;=K375),1,0)</x:f>
        <x:v>0</x:v>
      </x:c>
      <x:c r="AD375" s="8" t="n">
        <x:f>H375*IF(AND(OR(AB374/AE374&gt;=v01_FissionTrigger*N375,AC375=1),AB374/AE374*v01_DaughterShare&gt;=v01_MinDaughter),MAX(1,ROUND(AE374*v01_FissionRate,0)),0)</x:f>
        <x:v>0</x:v>
      </x:c>
      <x:c r="AE375" s="8" t="n">
        <x:f>IF(H375=1,MAX(1,MIN(INDEX(v01_Smax,G375),AE374+AD375)),AE374)</x:f>
        <x:v>2</x:v>
      </x:c>
      <x:c r="AF375" s="8" t="n">
        <x:f>MAX(0,AE375-AE374)</x:f>
        <x:v>0</x:v>
      </x:c>
      <x:c r="AG375" s="9" t="str">
        <x:f>IF(AF375&gt;0,B375,"")</x:f>
      </x:c>
      <x:c r="AH375" s="9" t="n">
        <x:f>IF(F375&gt;=1,1,(1+v01_LowTiesShare*(AE375-1))/AE375)</x:f>
        <x:v>1</x:v>
      </x:c>
      <x:c r="AI375" s="32" t="n">
        <x:f>(Z375+v01_ElderCommons*INDEX(LM_Elder,G375)*AA375)*AH375</x:f>
        <x:v>29.42166463334346</x:v>
      </x:c>
      <x:c r="AJ375" s="32" t="n">
        <x:f>H375*v01_CommonsCoef*AI375^v01_CommonsExp*INDEX(LM_Commons,G375)</x:f>
        <x:v>11.692599929142725</x:v>
      </x:c>
      <x:c r="AK375" s="32" t="n">
        <x:f>H375*v01_RoleScale*Arch_Roles*(AE375*(INDEX(v01_ElderRolePerSett,G375)*v01_OutElder*INDEX(LM_Elder,G375)+INDEX(v01_ShamanPerSett,G375)*v01_OutShaman)+Z375*(INDEX(v01_PriestShare,G375)*v01_OutPriest+INDEX(v01_ScribeShare,G375)*v01_OutScribe*INDEX(LM_Scribe,G375)+INDEX(v01_ScholarShare,G375)*v01_OutScholar*INDEX(LM_Scholar,G375)+INDEX(v01_ResearcherShare,G375)*v01_OutResearcher*INDEX(LM_Researcher,G375)))</x:f>
        <x:v>2.724744871391589</x:v>
      </x:c>
      <x:c r="AL375" s="32" t="n">
        <x:f>H375*v01_RoleScale*Arch_Roles*AE375*INDEX(v01_MonasteryPerSett,G375)*v01_OutMonastery*INDEX(LM_Monastery,G375)</x:f>
        <x:v>0</x:v>
      </x:c>
      <x:c r="AM375" s="32" t="n">
        <x:f>(AJ375+AK375+AL375)/4*INDEX(LM_All,G375)*INDEX(v01_Boon,G375)*Arch_Insight</x:f>
        <x:v>3.6944446051369177</x:v>
      </x:c>
      <x:c r="AN375" s="32" t="n">
        <x:f>H375*(v01_KHPerAdult*Z375+v01_KHOfCommons*AJ375/4*INDEX(LM_All,G375))*v01_KHUsable*Arch_KH</x:f>
        <x:v>0.6137026058414068</x:v>
      </x:c>
      <x:c r="AO375" s="32" t="n">
        <x:f>MIN(AP374+AN375,AM375*v01_KHMaxRatio)</x:f>
        <x:v>0.6137026058414068</x:v>
      </x:c>
      <x:c r="AP375" s="32" t="n">
        <x:f>AP374+AN375-AO375</x:f>
        <x:v>0</x:v>
      </x:c>
      <x:c r="AQ375" s="32" t="n">
        <x:f>AM375+AO375</x:f>
        <x:v>4.3081472109783245</x:v>
      </x:c>
      <x:c r="AR375" s="10" t="n">
        <x:f>IF(H375=1,INDEX(v01_Req,G375),0)</x:f>
        <x:v>1067.32</x:v>
      </x:c>
      <x:c r="AS375" s="32" t="n">
        <x:f>IF(H375=1,IF(E375=1,AS374-AR374,AS374)+AQ375,0)</x:f>
        <x:v>437.3402559334726</x:v>
      </x:c>
      <x:c r="AT375" s="11" t="n">
        <x:f>IF(AR375&gt;0,MIN(1,AS375/AR375),1)</x:f>
        <x:v>0.4097555146848861</x:v>
      </x:c>
      <x:c r="AU375" s="10" t="n">
        <x:f>AB375/INDEX(v01_RepScale,G375)</x:f>
        <x:v>40.28921526556217</x:v>
      </x:c>
      <x:c r="AV375" s="32" t="n">
        <x:f>AM375*60/v01_SeasonSeconds</x:f>
        <x:v>14.777778420547671</x:v>
      </x:c>
    </x:row>
    <x:row r="376">
      <x:c r="A376" s="8" t="n">
        <x:f>A375+1</x:f>
        <x:v>373</x:v>
      </x:c>
      <x:c r="B376" s="9" t="n">
        <x:f>A376*v01_SeasonSeconds/60</x:f>
        <x:v>93.25</x:v>
      </x:c>
      <x:c r="C376" s="9" t="n">
        <x:f>A376/4</x:f>
        <x:v>93.25</x:v>
      </x:c>
      <x:c r="D376" s="8" t="n">
        <x:f>IF(MOD(A376,4)=0,1,0)</x:f>
        <x:v>0</x:v>
      </x:c>
      <x:c r="E376" s="8" t="n">
        <x:f>IF(AND(F375&lt;=9,AS375&gt;=AR375),1,0)</x:f>
        <x:v>0</x:v>
      </x:c>
      <x:c r="F376" s="8" t="n">
        <x:f>MIN(10,F375+E376)</x:f>
        <x:v>1</x:v>
      </x:c>
      <x:c r="G376" s="8" t="n">
        <x:f>MIN(F376,9)+1</x:f>
        <x:v>2</x:v>
      </x:c>
      <x:c r="H376" s="8" t="n">
        <x:f>IF(F376&lt;=9,1,0)</x:f>
        <x:v>1</x:v>
      </x:c>
      <x:c r="I376" s="9" t="n">
        <x:f>MIN(10,F375+IF(AR375&gt;0,MIN(1,AS375/AR375),1))</x:f>
        <x:v>1.4097555146848861</x:v>
      </x:c>
      <x:c r="J376" s="32" t="n">
        <x:f>INDEX(v01_FoodCap,G376)*Arch_FoodCap*EXP(v01_CapsByProject*SUMPRODUCT((Cap_Point&lt;=I376)*(Cap_Kind="Food")*Cap_Ln))</x:f>
        <x:v>30</x:v>
      </x:c>
      <x:c r="K376" s="32" t="n">
        <x:f>J376*MIN(1,v01_LeanBase*EXP(v01_CapsByProject*SUMPRODUCT((Cap_Point&lt;=I376)*(Cap_Kind="Lean")*Cap_Ln)))</x:f>
        <x:v>30</x:v>
      </x:c>
      <x:c r="L376" s="10" t="n">
        <x:f>INDEX(v01_HousingCap,G376)*EXP(v01_CapsByProject*SUMPRODUCT((Cap_Point&lt;=I376)*(Cap_Kind="Housing")*Cap_Ln))</x:f>
        <x:v>60</x:v>
      </x:c>
      <x:c r="M376" s="10" t="n">
        <x:f>INDEX(v01_GroupCap,G376)*v01_CohesionFactor*EXP(v01_CapsByProject*SUMPRODUCT((Cap_Point&lt;=I376)*(Cap_Kind="Group")*Cap_Ln))</x:f>
        <x:v>100</x:v>
      </x:c>
      <x:c r="N376" s="32" t="n">
        <x:f>MIN(J376,L376,M376)</x:f>
        <x:v>30</x:v>
      </x:c>
      <x:c r="O376" s="10" t="n">
        <x:f>AE375*N376</x:f>
        <x:v>60</x:v>
      </x:c>
      <x:c r="P376" s="9" t="n">
        <x:f>MIN(1,(AB375/(AE375*IF(v01_GroupInCrowding=1,N376,MIN(J376,L376))))^v01_CrowdingExp)</x:f>
        <x:v>0.09166960259745104</x:v>
      </x:c>
      <x:c r="Q376" s="9" t="n">
        <x:f>IF(D376=1,INDEX(v01_WinterMult,G376),1)</x:f>
        <x:v>1</x:v>
      </x:c>
      <x:c r="R376" s="9" t="n">
        <x:f>H376*Z375*v01_WomenShare*v01_BaseFertility*INDEX(v01_FertMult,G376)*Arch_Fertility*(1-P376)</x:f>
        <x:v>0.5972622126973981</x:v>
      </x:c>
      <x:c r="S376" s="9" t="n">
        <x:f>H376*Y375*INDEX(v01_MortChild,G376)/4*Q376</x:f>
        <x:v>0.1566414795051291</x:v>
      </x:c>
      <x:c r="T376" s="9" t="n">
        <x:f>H376*Z375*INDEX(v01_MortAdult,G376)*Arch_AdultMort/4*Q376</x:f>
        <x:v>0.05698667054241634</x:v>
      </x:c>
      <x:c r="U376" s="9" t="n">
        <x:f>H376*AA375*INDEX(v01_MortElder,G376)/4*Q376</x:f>
        <x:v>0.09705943453300149</x:v>
      </x:c>
      <x:c r="V376" s="9" t="n">
        <x:f>H376*MAX(0,AB375-O376)*v01_OvercapLoss</x:f>
        <x:v>0</x:v>
      </x:c>
      <x:c r="W376" s="9" t="n">
        <x:f>H376*Y375/(v01_ChildYears*4)</x:f>
        <x:v>0.31967648878597776</x:v>
      </x:c>
      <x:c r="X376" s="9" t="n">
        <x:f>H376*Z375/(v01_AdultYears*4)</x:f>
        <x:v>0.14140613037820432</x:v>
      </x:c>
      <x:c r="Y376" s="32" t="n">
        <x:f>Y375+R376-S376-W376-Y375*V376/AB375</x:f>
        <x:v>18.022827616421047</x:v>
      </x:c>
      <x:c r="Z376" s="32" t="n">
        <x:f>Z375+W376-X376-T376-Z375*V376/AB375</x:f>
        <x:v>17.655643854762694</x:v>
      </x:c>
      <x:c r="AA376" s="32" t="n">
        <x:f>AA375+X376-U376-AA375*V376/AB375</x:f>
        <x:v>4.897318422495277</x:v>
      </x:c>
      <x:c r="AB376" s="10" t="n">
        <x:f>Y376+Z376+AA376</x:f>
        <x:v>40.575789893679016</x:v>
      </x:c>
      <x:c r="AC376" s="8" t="n">
        <x:f>IF(AND(v01_WinterTrigger=1,D376=1,AB375/AE375&gt;=K376),1,0)</x:f>
        <x:v>0</x:v>
      </x:c>
      <x:c r="AD376" s="8" t="n">
        <x:f>H376*IF(AND(OR(AB375/AE375&gt;=v01_FissionTrigger*N376,AC376=1),AB375/AE375*v01_DaughterShare&gt;=v01_MinDaughter),MAX(1,ROUND(AE375*v01_FissionRate,0)),0)</x:f>
        <x:v>0</x:v>
      </x:c>
      <x:c r="AE376" s="8" t="n">
        <x:f>IF(H376=1,MAX(1,MIN(INDEX(v01_Smax,G376),AE375+AD376)),AE375)</x:f>
        <x:v>2</x:v>
      </x:c>
      <x:c r="AF376" s="8" t="n">
        <x:f>MAX(0,AE376-AE375)</x:f>
        <x:v>0</x:v>
      </x:c>
      <x:c r="AG376" s="9" t="str">
        <x:f>IF(AF376&gt;0,B376,"")</x:f>
      </x:c>
      <x:c r="AH376" s="9" t="n">
        <x:f>IF(F376&gt;=1,1,(1+v01_LowTiesShare*(AE376-1))/AE376)</x:f>
        <x:v>1</x:v>
      </x:c>
      <x:c r="AI376" s="32" t="n">
        <x:f>(Z376+v01_ElderCommons*INDEX(LM_Elder,G376)*AA376)*AH376</x:f>
        <x:v>29.65157509780797</x:v>
      </x:c>
      <x:c r="AJ376" s="32" t="n">
        <x:f>H376*v01_CommonsCoef*AI376^v01_CommonsExp*INDEX(LM_Commons,G376)</x:f>
        <x:v>11.77021886246112</x:v>
      </x:c>
      <x:c r="AK376" s="32" t="n">
        <x:f>H376*v01_RoleScale*Arch_Roles*(AE376*(INDEX(v01_ElderRolePerSett,G376)*v01_OutElder*INDEX(LM_Elder,G376)+INDEX(v01_ShamanPerSett,G376)*v01_OutShaman)+Z376*(INDEX(v01_PriestShare,G376)*v01_OutPriest+INDEX(v01_ScribeShare,G376)*v01_OutScribe*INDEX(LM_Scribe,G376)+INDEX(v01_ScholarShare,G376)*v01_OutScholar*INDEX(LM_Scholar,G376)+INDEX(v01_ResearcherShare,G376)*v01_OutResearcher*INDEX(LM_Researcher,G376)))</x:f>
        <x:v>2.724744871391589</x:v>
      </x:c>
      <x:c r="AL376" s="32" t="n">
        <x:f>H376*v01_RoleScale*Arch_Roles*AE376*INDEX(v01_MonasteryPerSett,G376)*v01_OutMonastery*INDEX(LM_Monastery,G376)</x:f>
        <x:v>0</x:v>
      </x:c>
      <x:c r="AM376" s="32" t="n">
        <x:f>(AJ376+AK376+AL376)/4*INDEX(LM_All,G376)*INDEX(v01_Boon,G376)*Arch_Insight</x:f>
        <x:v>3.7143344567997563</x:v>
      </x:c>
      <x:c r="AN376" s="32" t="n">
        <x:f>H376*(v01_KHPerAdult*Z376+v01_KHOfCommons*AJ376/4*INDEX(LM_All,G376))*v01_KHUsable*Arch_KH</x:f>
        <x:v>0.6179475349166943</x:v>
      </x:c>
      <x:c r="AO376" s="32" t="n">
        <x:f>MIN(AP375+AN376,AM376*v01_KHMaxRatio)</x:f>
        <x:v>0.6179475349166943</x:v>
      </x:c>
      <x:c r="AP376" s="32" t="n">
        <x:f>AP375+AN376-AO376</x:f>
        <x:v>0</x:v>
      </x:c>
      <x:c r="AQ376" s="32" t="n">
        <x:f>AM376+AO376</x:f>
        <x:v>4.33228199171645</x:v>
      </x:c>
      <x:c r="AR376" s="10" t="n">
        <x:f>IF(H376=1,INDEX(v01_Req,G376),0)</x:f>
        <x:v>1067.32</x:v>
      </x:c>
      <x:c r="AS376" s="32" t="n">
        <x:f>IF(H376=1,IF(E376=1,AS375-AR375,AS375)+AQ376,0)</x:f>
        <x:v>441.67253792518903</x:v>
      </x:c>
      <x:c r="AT376" s="11" t="n">
        <x:f>IF(AR376&gt;0,MIN(1,AS376/AR376),1)</x:f>
        <x:v>0.4138145428973401</x:v>
      </x:c>
      <x:c r="AU376" s="10" t="n">
        <x:f>AB376/INDEX(v01_RepScale,G376)</x:f>
        <x:v>40.575789893679016</x:v>
      </x:c>
      <x:c r="AV376" s="32" t="n">
        <x:f>AM376*60/v01_SeasonSeconds</x:f>
        <x:v>14.857337827199025</x:v>
      </x:c>
    </x:row>
    <x:row r="377">
      <x:c r="A377" s="8" t="n">
        <x:f>A376+1</x:f>
        <x:v>374</x:v>
      </x:c>
      <x:c r="B377" s="9" t="n">
        <x:f>A377*v01_SeasonSeconds/60</x:f>
        <x:v>93.5</x:v>
      </x:c>
      <x:c r="C377" s="9" t="n">
        <x:f>A377/4</x:f>
        <x:v>93.5</x:v>
      </x:c>
      <x:c r="D377" s="8" t="n">
        <x:f>IF(MOD(A377,4)=0,1,0)</x:f>
        <x:v>0</x:v>
      </x:c>
      <x:c r="E377" s="8" t="n">
        <x:f>IF(AND(F376&lt;=9,AS376&gt;=AR376),1,0)</x:f>
        <x:v>0</x:v>
      </x:c>
      <x:c r="F377" s="8" t="n">
        <x:f>MIN(10,F376+E377)</x:f>
        <x:v>1</x:v>
      </x:c>
      <x:c r="G377" s="8" t="n">
        <x:f>MIN(F377,9)+1</x:f>
        <x:v>2</x:v>
      </x:c>
      <x:c r="H377" s="8" t="n">
        <x:f>IF(F377&lt;=9,1,0)</x:f>
        <x:v>1</x:v>
      </x:c>
      <x:c r="I377" s="9" t="n">
        <x:f>MIN(10,F376+IF(AR376&gt;0,MIN(1,AS376/AR376),1))</x:f>
        <x:v>1.41381454289734</x:v>
      </x:c>
      <x:c r="J377" s="32" t="n">
        <x:f>INDEX(v01_FoodCap,G377)*Arch_FoodCap*EXP(v01_CapsByProject*SUMPRODUCT((Cap_Point&lt;=I377)*(Cap_Kind="Food")*Cap_Ln))</x:f>
        <x:v>30</x:v>
      </x:c>
      <x:c r="K377" s="32" t="n">
        <x:f>J377*MIN(1,v01_LeanBase*EXP(v01_CapsByProject*SUMPRODUCT((Cap_Point&lt;=I377)*(Cap_Kind="Lean")*Cap_Ln)))</x:f>
        <x:v>30</x:v>
      </x:c>
      <x:c r="L377" s="10" t="n">
        <x:f>INDEX(v01_HousingCap,G377)*EXP(v01_CapsByProject*SUMPRODUCT((Cap_Point&lt;=I377)*(Cap_Kind="Housing")*Cap_Ln))</x:f>
        <x:v>60</x:v>
      </x:c>
      <x:c r="M377" s="10" t="n">
        <x:f>INDEX(v01_GroupCap,G377)*v01_CohesionFactor*EXP(v01_CapsByProject*SUMPRODUCT((Cap_Point&lt;=I377)*(Cap_Kind="Group")*Cap_Ln))</x:f>
        <x:v>100</x:v>
      </x:c>
      <x:c r="N377" s="32" t="n">
        <x:f>MIN(J377,L377,M377)</x:f>
        <x:v>30</x:v>
      </x:c>
      <x:c r="O377" s="10" t="n">
        <x:f>AE376*N377</x:f>
        <x:v>60</x:v>
      </x:c>
      <x:c r="P377" s="9" t="n">
        <x:f>MIN(1,(AB376/(AE376*IF(v01_GroupInCrowding=1,N377,MIN(J377,L377))))^v01_CrowdingExp)</x:f>
        <x:v>0.09565207505461483</x:v>
      </x:c>
      <x:c r="Q377" s="9" t="n">
        <x:f>IF(D377=1,INDEX(v01_WinterMult,G377),1)</x:f>
        <x:v>1</x:v>
      </x:c>
      <x:c r="R377" s="9" t="n">
        <x:f>H377*Z376*v01_WomenShare*v01_BaseFertility*INDEX(v01_FertMult,G377)*Arch_Fertility*(1-P377)</x:f>
        <x:v>0.5987566831361019</x:v>
      </x:c>
      <x:c r="S377" s="9" t="n">
        <x:f>H377*Y376*INDEX(v01_MortChild,G377)/4*Q377</x:f>
        <x:v>0.15769974164368417</x:v>
      </x:c>
      <x:c r="T377" s="9" t="n">
        <x:f>H377*Z376*INDEX(v01_MortAdult,G377)*Arch_AdultMort/4*Q377</x:f>
        <x:v>0.05738084252797875</x:v>
      </x:c>
      <x:c r="U377" s="9" t="n">
        <x:f>H377*AA376*INDEX(v01_MortElder,G377)/4*Q377</x:f>
        <x:v>0.09794636844990555</x:v>
      </x:c>
      <x:c r="V377" s="9" t="n">
        <x:f>H377*MAX(0,AB376-O377)*v01_OvercapLoss</x:f>
        <x:v>0</x:v>
      </x:c>
      <x:c r="W377" s="9" t="n">
        <x:f>H377*Y376/(v01_ChildYears*4)</x:f>
        <x:v>0.32183620743609015</x:v>
      </x:c>
      <x:c r="X377" s="9" t="n">
        <x:f>H377*Z376/(v01_AdultYears*4)</x:f>
        <x:v>0.14238422463518302</x:v>
      </x:c>
      <x:c r="Y377" s="32" t="n">
        <x:f>Y376+R377-S377-W377-Y376*V377/AB376</x:f>
        <x:v>18.142048350477378</x:v>
      </x:c>
      <x:c r="Z377" s="32" t="n">
        <x:f>Z376+W377-X377-T377-Z376*V377/AB376</x:f>
        <x:v>17.77771499503562</x:v>
      </x:c>
      <x:c r="AA377" s="32" t="n">
        <x:f>AA376+X377-U377-AA376*V377/AB376</x:f>
        <x:v>4.941756278680555</x:v>
      </x:c>
      <x:c r="AB377" s="10" t="n">
        <x:f>Y377+Z377+AA377</x:f>
        <x:v>40.861519624193555</x:v>
      </x:c>
      <x:c r="AC377" s="8" t="n">
        <x:f>IF(AND(v01_WinterTrigger=1,D377=1,AB376/AE376&gt;=K377),1,0)</x:f>
        <x:v>0</x:v>
      </x:c>
      <x:c r="AD377" s="8" t="n">
        <x:f>H377*IF(AND(OR(AB376/AE376&gt;=v01_FissionTrigger*N377,AC377=1),AB376/AE376*v01_DaughterShare&gt;=v01_MinDaughter),MAX(1,ROUND(AE376*v01_FissionRate,0)),0)</x:f>
        <x:v>0</x:v>
      </x:c>
      <x:c r="AE377" s="8" t="n">
        <x:f>IF(H377=1,MAX(1,MIN(INDEX(v01_Smax,G377),AE376+AD377)),AE376)</x:f>
        <x:v>2</x:v>
      </x:c>
      <x:c r="AF377" s="8" t="n">
        <x:f>MAX(0,AE377-AE376)</x:f>
        <x:v>0</x:v>
      </x:c>
      <x:c r="AG377" s="9" t="str">
        <x:f>IF(AF377&gt;0,B377,"")</x:f>
      </x:c>
      <x:c r="AH377" s="9" t="n">
        <x:f>IF(F377&gt;=1,1,(1+v01_LowTiesShare*(AE377-1))/AE377)</x:f>
        <x:v>1</x:v>
      </x:c>
      <x:c r="AI377" s="32" t="n">
        <x:f>(Z377+v01_ElderCommons*INDEX(LM_Elder,G377)*AA377)*AH377</x:f>
        <x:v>29.882496310998008</x:v>
      </x:c>
      <x:c r="AJ377" s="32" t="n">
        <x:f>H377*v01_CommonsCoef*AI377^v01_CommonsExp*INDEX(LM_Commons,G377)</x:f>
        <x:v>11.848088210994227</x:v>
      </x:c>
      <x:c r="AK377" s="32" t="n">
        <x:f>H377*v01_RoleScale*Arch_Roles*(AE377*(INDEX(v01_ElderRolePerSett,G377)*v01_OutElder*INDEX(LM_Elder,G377)+INDEX(v01_ShamanPerSett,G377)*v01_OutShaman)+Z377*(INDEX(v01_PriestShare,G377)*v01_OutPriest+INDEX(v01_ScribeShare,G377)*v01_OutScribe*INDEX(LM_Scribe,G377)+INDEX(v01_ScholarShare,G377)*v01_OutScholar*INDEX(LM_Scholar,G377)+INDEX(v01_ResearcherShare,G377)*v01_OutResearcher*INDEX(LM_Researcher,G377)))</x:f>
        <x:v>2.724744871391589</x:v>
      </x:c>
      <x:c r="AL377" s="32" t="n">
        <x:f>H377*v01_RoleScale*Arch_Roles*AE377*INDEX(v01_MonasteryPerSett,G377)*v01_OutMonastery*INDEX(LM_Monastery,G377)</x:f>
        <x:v>0</x:v>
      </x:c>
      <x:c r="AM377" s="32" t="n">
        <x:f>(AJ377+AK377+AL377)/4*INDEX(LM_All,G377)*INDEX(v01_Boon,G377)*Arch_Insight</x:f>
        <x:v>3.7342884773613654</x:v>
      </x:c>
      <x:c r="AN377" s="32" t="n">
        <x:f>H377*(v01_KHPerAdult*Z377+v01_KHOfCommons*AJ377/4*INDEX(LM_All,G377))*v01_KHUsable*Arch_KH</x:f>
        <x:v>0.6222200248262467</x:v>
      </x:c>
      <x:c r="AO377" s="32" t="n">
        <x:f>MIN(AP376+AN377,AM377*v01_KHMaxRatio)</x:f>
        <x:v>0.6222200248262467</x:v>
      </x:c>
      <x:c r="AP377" s="32" t="n">
        <x:f>AP376+AN377-AO377</x:f>
        <x:v>0</x:v>
      </x:c>
      <x:c r="AQ377" s="32" t="n">
        <x:f>AM377+AO377</x:f>
        <x:v>4.356508502187612</x:v>
      </x:c>
      <x:c r="AR377" s="10" t="n">
        <x:f>IF(H377=1,INDEX(v01_Req,G377),0)</x:f>
        <x:v>1067.32</x:v>
      </x:c>
      <x:c r="AS377" s="32" t="n">
        <x:f>IF(H377=1,IF(E377=1,AS376-AR376,AS376)+AQ377,0)</x:f>
        <x:v>446.02904642737667</x:v>
      </x:c>
      <x:c r="AT377" s="11" t="n">
        <x:f>IF(AR377&gt;0,MIN(1,AS377/AR377),1)</x:f>
        <x:v>0.4178962695605598</x:v>
      </x:c>
      <x:c r="AU377" s="10" t="n">
        <x:f>AB377/INDEX(v01_RepScale,G377)</x:f>
        <x:v>40.861519624193555</x:v>
      </x:c>
      <x:c r="AV377" s="32" t="n">
        <x:f>AM377*60/v01_SeasonSeconds</x:f>
        <x:v>14.937153909445462</x:v>
      </x:c>
    </x:row>
    <x:row r="378">
      <x:c r="A378" s="8" t="n">
        <x:f>A377+1</x:f>
        <x:v>375</x:v>
      </x:c>
      <x:c r="B378" s="9" t="n">
        <x:f>A378*v01_SeasonSeconds/60</x:f>
        <x:v>93.75</x:v>
      </x:c>
      <x:c r="C378" s="9" t="n">
        <x:f>A378/4</x:f>
        <x:v>93.75</x:v>
      </x:c>
      <x:c r="D378" s="8" t="n">
        <x:f>IF(MOD(A378,4)=0,1,0)</x:f>
        <x:v>0</x:v>
      </x:c>
      <x:c r="E378" s="8" t="n">
        <x:f>IF(AND(F377&lt;=9,AS377&gt;=AR377),1,0)</x:f>
        <x:v>0</x:v>
      </x:c>
      <x:c r="F378" s="8" t="n">
        <x:f>MIN(10,F377+E378)</x:f>
        <x:v>1</x:v>
      </x:c>
      <x:c r="G378" s="8" t="n">
        <x:f>MIN(F378,9)+1</x:f>
        <x:v>2</x:v>
      </x:c>
      <x:c r="H378" s="8" t="n">
        <x:f>IF(F378&lt;=9,1,0)</x:f>
        <x:v>1</x:v>
      </x:c>
      <x:c r="I378" s="9" t="n">
        <x:f>MIN(10,F377+IF(AR377&gt;0,MIN(1,AS377/AR377),1))</x:f>
        <x:v>1.41789626956056</x:v>
      </x:c>
      <x:c r="J378" s="32" t="n">
        <x:f>INDEX(v01_FoodCap,G378)*Arch_FoodCap*EXP(v01_CapsByProject*SUMPRODUCT((Cap_Point&lt;=I378)*(Cap_Kind="Food")*Cap_Ln))</x:f>
        <x:v>30</x:v>
      </x:c>
      <x:c r="K378" s="32" t="n">
        <x:f>J378*MIN(1,v01_LeanBase*EXP(v01_CapsByProject*SUMPRODUCT((Cap_Point&lt;=I378)*(Cap_Kind="Lean")*Cap_Ln)))</x:f>
        <x:v>30</x:v>
      </x:c>
      <x:c r="L378" s="10" t="n">
        <x:f>INDEX(v01_HousingCap,G378)*EXP(v01_CapsByProject*SUMPRODUCT((Cap_Point&lt;=I378)*(Cap_Kind="Housing")*Cap_Ln))</x:f>
        <x:v>60</x:v>
      </x:c>
      <x:c r="M378" s="10" t="n">
        <x:f>INDEX(v01_GroupCap,G378)*v01_CohesionFactor*EXP(v01_CapsByProject*SUMPRODUCT((Cap_Point&lt;=I378)*(Cap_Kind="Group")*Cap_Ln))</x:f>
        <x:v>100</x:v>
      </x:c>
      <x:c r="N378" s="32" t="n">
        <x:f>MIN(J378,L378,M378)</x:f>
        <x:v>30</x:v>
      </x:c>
      <x:c r="O378" s="10" t="n">
        <x:f>AE377*N378</x:f>
        <x:v>60</x:v>
      </x:c>
      <x:c r="P378" s="9" t="n">
        <x:f>MIN(1,(AB377/(AE377*IF(v01_GroupInCrowding=1,N378,MIN(J378,L378))))^v01_CrowdingExp)</x:f>
        <x:v>0.09976531559936783</x:v>
      </x:c>
      <x:c r="Q378" s="9" t="n">
        <x:f>IF(D378=1,INDEX(v01_WinterMult,G378),1)</x:f>
        <x:v>1</x:v>
      </x:c>
      <x:c r="R378" s="9" t="n">
        <x:f>H378*Z377*v01_WomenShare*v01_BaseFertility*INDEX(v01_FertMult,G378)*Arch_Fertility*(1-P378)</x:f>
        <x:v>0.6001543367970105</x:v>
      </x:c>
      <x:c r="S378" s="9" t="n">
        <x:f>H378*Y377*INDEX(v01_MortChild,G378)/4*Q378</x:f>
        <x:v>0.15874292306667706</x:v>
      </x:c>
      <x:c r="T378" s="9" t="n">
        <x:f>H378*Z377*INDEX(v01_MortAdult,G378)*Arch_AdultMort/4*Q378</x:f>
        <x:v>0.05777757373386576</x:v>
      </x:c>
      <x:c r="U378" s="9" t="n">
        <x:f>H378*AA377*INDEX(v01_MortElder,G378)/4*Q378</x:f>
        <x:v>0.0988351255736111</x:v>
      </x:c>
      <x:c r="V378" s="9" t="n">
        <x:f>H378*MAX(0,AB377-O378)*v01_OvercapLoss</x:f>
        <x:v>0</x:v>
      </x:c>
      <x:c r="W378" s="9" t="n">
        <x:f>H378*Y377/(v01_ChildYears*4)</x:f>
        <x:v>0.3239651491156675</x:v>
      </x:c>
      <x:c r="X378" s="9" t="n">
        <x:f>H378*Z377/(v01_AdultYears*4)</x:f>
        <x:v>0.14336866931480338</x:v>
      </x:c>
      <x:c r="Y378" s="32" t="n">
        <x:f>Y377+R378-S378-W378-Y377*V378/AB377</x:f>
        <x:v>18.259494615092045</x:v>
      </x:c>
      <x:c r="Z378" s="32" t="n">
        <x:f>Z377+W378-X378-T378-Z377*V378/AB377</x:f>
        <x:v>17.90053390110262</x:v>
      </x:c>
      <x:c r="AA378" s="32" t="n">
        <x:f>AA377+X378-U378-AA377*V378/AB377</x:f>
        <x:v>4.986289822421747</x:v>
      </x:c>
      <x:c r="AB378" s="10" t="n">
        <x:f>Y378+Z378+AA378</x:f>
        <x:v>41.14631833861641</x:v>
      </x:c>
      <x:c r="AC378" s="8" t="n">
        <x:f>IF(AND(v01_WinterTrigger=1,D378=1,AB377/AE377&gt;=K378),1,0)</x:f>
        <x:v>0</x:v>
      </x:c>
      <x:c r="AD378" s="8" t="n">
        <x:f>H378*IF(AND(OR(AB377/AE377&gt;=v01_FissionTrigger*N378,AC378=1),AB377/AE377*v01_DaughterShare&gt;=v01_MinDaughter),MAX(1,ROUND(AE377*v01_FissionRate,0)),0)</x:f>
        <x:v>0</x:v>
      </x:c>
      <x:c r="AE378" s="8" t="n">
        <x:f>IF(H378=1,MAX(1,MIN(INDEX(v01_Smax,G378),AE377+AD378)),AE377)</x:f>
        <x:v>2</x:v>
      </x:c>
      <x:c r="AF378" s="8" t="n">
        <x:f>MAX(0,AE378-AE377)</x:f>
        <x:v>0</x:v>
      </x:c>
      <x:c r="AG378" s="9" t="str">
        <x:f>IF(AF378&gt;0,B378,"")</x:f>
      </x:c>
      <x:c r="AH378" s="9" t="n">
        <x:f>IF(F378&gt;=1,1,(1+v01_LowTiesShare*(AE378-1))/AE378)</x:f>
        <x:v>1</x:v>
      </x:c>
      <x:c r="AI378" s="32" t="n">
        <x:f>(Z378+v01_ElderCommons*INDEX(LM_Elder,G378)*AA378)*AH378</x:f>
        <x:v>30.114399675668842</x:v>
      </x:c>
      <x:c r="AJ378" s="32" t="n">
        <x:f>H378*v01_CommonsCoef*AI378^v01_CommonsExp*INDEX(LM_Commons,G378)</x:f>
        <x:v>11.926197966724153</x:v>
      </x:c>
      <x:c r="AK378" s="32" t="n">
        <x:f>H378*v01_RoleScale*Arch_Roles*(AE378*(INDEX(v01_ElderRolePerSett,G378)*v01_OutElder*INDEX(LM_Elder,G378)+INDEX(v01_ShamanPerSett,G378)*v01_OutShaman)+Z378*(INDEX(v01_PriestShare,G378)*v01_OutPriest+INDEX(v01_ScribeShare,G378)*v01_OutScribe*INDEX(LM_Scribe,G378)+INDEX(v01_ScholarShare,G378)*v01_OutScholar*INDEX(LM_Scholar,G378)+INDEX(v01_ResearcherShare,G378)*v01_OutResearcher*INDEX(LM_Researcher,G378)))</x:f>
        <x:v>2.724744871391589</x:v>
      </x:c>
      <x:c r="AL378" s="32" t="n">
        <x:f>H378*v01_RoleScale*Arch_Roles*AE378*INDEX(v01_MonasteryPerSett,G378)*v01_OutMonastery*INDEX(LM_Monastery,G378)</x:f>
        <x:v>0</x:v>
      </x:c>
      <x:c r="AM378" s="32" t="n">
        <x:f>(AJ378+AK378+AL378)/4*INDEX(LM_All,G378)*INDEX(v01_Boon,G378)*Arch_Insight</x:f>
        <x:v>3.7543041022671586</x:v>
      </x:c>
      <x:c r="AN378" s="32" t="n">
        <x:f>H378*(v01_KHPerAdult*Z378+v01_KHOfCommons*AJ378/4*INDEX(LM_All,G378))*v01_KHUsable*Arch_KH</x:f>
        <x:v>0.6265186865385917</x:v>
      </x:c>
      <x:c r="AO378" s="32" t="n">
        <x:f>MIN(AP377+AN378,AM378*v01_KHMaxRatio)</x:f>
        <x:v>0.6265186865385917</x:v>
      </x:c>
      <x:c r="AP378" s="32" t="n">
        <x:f>AP377+AN378-AO378</x:f>
        <x:v>0</x:v>
      </x:c>
      <x:c r="AQ378" s="32" t="n">
        <x:f>AM378+AO378</x:f>
        <x:v>4.38082278880575</x:v>
      </x:c>
      <x:c r="AR378" s="10" t="n">
        <x:f>IF(H378=1,INDEX(v01_Req,G378),0)</x:f>
        <x:v>1067.32</x:v>
      </x:c>
      <x:c r="AS378" s="32" t="n">
        <x:f>IF(H378=1,IF(E378=1,AS377-AR377,AS377)+AQ378,0)</x:f>
        <x:v>450.4098692161824</x:v>
      </x:c>
      <x:c r="AT378" s="11" t="n">
        <x:f>IF(AR378&gt;0,MIN(1,AS378/AR378),1)</x:f>
        <x:v>0.42200077691431104</x:v>
      </x:c>
      <x:c r="AU378" s="10" t="n">
        <x:f>AB378/INDEX(v01_RepScale,G378)</x:f>
        <x:v>41.14631833861641</x:v>
      </x:c>
      <x:c r="AV378" s="32" t="n">
        <x:f>AM378*60/v01_SeasonSeconds</x:f>
        <x:v>15.017216409068634</x:v>
      </x:c>
    </x:row>
    <x:row r="379">
      <x:c r="A379" s="8" t="n">
        <x:f>A378+1</x:f>
        <x:v>376</x:v>
      </x:c>
      <x:c r="B379" s="9" t="n">
        <x:f>A379*v01_SeasonSeconds/60</x:f>
        <x:v>94</x:v>
      </x:c>
      <x:c r="C379" s="9" t="n">
        <x:f>A379/4</x:f>
        <x:v>94</x:v>
      </x:c>
      <x:c r="D379" s="8" t="n">
        <x:f>IF(MOD(A379,4)=0,1,0)</x:f>
        <x:v>1</x:v>
      </x:c>
      <x:c r="E379" s="8" t="n">
        <x:f>IF(AND(F378&lt;=9,AS378&gt;=AR378),1,0)</x:f>
        <x:v>0</x:v>
      </x:c>
      <x:c r="F379" s="8" t="n">
        <x:f>MIN(10,F378+E379)</x:f>
        <x:v>1</x:v>
      </x:c>
      <x:c r="G379" s="8" t="n">
        <x:f>MIN(F379,9)+1</x:f>
        <x:v>2</x:v>
      </x:c>
      <x:c r="H379" s="8" t="n">
        <x:f>IF(F379&lt;=9,1,0)</x:f>
        <x:v>1</x:v>
      </x:c>
      <x:c r="I379" s="9" t="n">
        <x:f>MIN(10,F378+IF(AR378&gt;0,MIN(1,AS378/AR378),1))</x:f>
        <x:v>1.422000776914311</x:v>
      </x:c>
      <x:c r="J379" s="32" t="n">
        <x:f>INDEX(v01_FoodCap,G379)*Arch_FoodCap*EXP(v01_CapsByProject*SUMPRODUCT((Cap_Point&lt;=I379)*(Cap_Kind="Food")*Cap_Ln))</x:f>
        <x:v>30</x:v>
      </x:c>
      <x:c r="K379" s="32" t="n">
        <x:f>J379*MIN(1,v01_LeanBase*EXP(v01_CapsByProject*SUMPRODUCT((Cap_Point&lt;=I379)*(Cap_Kind="Lean")*Cap_Ln)))</x:f>
        <x:v>30</x:v>
      </x:c>
      <x:c r="L379" s="10" t="n">
        <x:f>INDEX(v01_HousingCap,G379)*EXP(v01_CapsByProject*SUMPRODUCT((Cap_Point&lt;=I379)*(Cap_Kind="Housing")*Cap_Ln))</x:f>
        <x:v>60</x:v>
      </x:c>
      <x:c r="M379" s="10" t="n">
        <x:f>INDEX(v01_GroupCap,G379)*v01_CohesionFactor*EXP(v01_CapsByProject*SUMPRODUCT((Cap_Point&lt;=I379)*(Cap_Kind="Group")*Cap_Ln))</x:f>
        <x:v>100</x:v>
      </x:c>
      <x:c r="N379" s="32" t="n">
        <x:f>MIN(J379,L379,M379)</x:f>
        <x:v>30</x:v>
      </x:c>
      <x:c r="O379" s="10" t="n">
        <x:f>AE378*N379</x:f>
        <x:v>60</x:v>
      </x:c>
      <x:c r="P379" s="9" t="n">
        <x:f>MIN(1,(AB378/(AE378*IF(v01_GroupInCrowding=1,N379,MIN(J379,L379))))^v01_CrowdingExp)</x:f>
        <x:v>0.10401078842506897</x:v>
      </x:c>
      <x:c r="Q379" s="9" t="n">
        <x:f>IF(D379=1,INDEX(v01_WinterMult,G379),1)</x:f>
        <x:v>1.6</x:v>
      </x:c>
      <x:c r="R379" s="9" t="n">
        <x:f>H379*Z378*v01_WomenShare*v01_BaseFertility*INDEX(v01_FertMult,G379)*Arch_Fertility*(1-P379)</x:f>
        <x:v>0.6014506971307222</x:v>
      </x:c>
      <x:c r="S379" s="9" t="n">
        <x:f>H379*Y378*INDEX(v01_MortChild,G379)/4*Q379</x:f>
        <x:v>0.25563292461128867</x:v>
      </x:c>
      <x:c r="T379" s="9" t="n">
        <x:f>H379*Z378*INDEX(v01_MortAdult,G379)*Arch_AdultMort/4*Q379</x:f>
        <x:v>0.09308277628573362</x:v>
      </x:c>
      <x:c r="U379" s="9" t="n">
        <x:f>H379*AA378*INDEX(v01_MortElder,G379)/4*Q379</x:f>
        <x:v>0.1595612743174959</x:v>
      </x:c>
      <x:c r="V379" s="9" t="n">
        <x:f>H379*MAX(0,AB378-O379)*v01_OvercapLoss</x:f>
        <x:v>0</x:v>
      </x:c>
      <x:c r="W379" s="9" t="n">
        <x:f>H379*Y378/(v01_ChildYears*4)</x:f>
        <x:v>0.3260624038409294</x:v>
      </x:c>
      <x:c r="X379" s="9" t="n">
        <x:f>H379*Z378/(v01_AdultYears*4)</x:f>
        <x:v>0.1443591443637308</x:v>
      </x:c>
      <x:c r="Y379" s="32" t="n">
        <x:f>Y378+R379-S379-W379-Y378*V379/AB378</x:f>
        <x:v>18.27924998377055</x:v>
      </x:c>
      <x:c r="Z379" s="32" t="n">
        <x:f>Z378+W379-X379-T379-Z378*V379/AB378</x:f>
        <x:v>17.989154384294086</x:v>
      </x:c>
      <x:c r="AA379" s="32" t="n">
        <x:f>AA378+X379-U379-AA378*V379/AB378</x:f>
        <x:v>4.971087692467981</x:v>
      </x:c>
      <x:c r="AB379" s="10" t="n">
        <x:f>Y379+Z379+AA379</x:f>
        <x:v>41.23949206053262</x:v>
      </x:c>
      <x:c r="AC379" s="8" t="n">
        <x:f>IF(AND(v01_WinterTrigger=1,D379=1,AB378/AE378&gt;=K379),1,0)</x:f>
        <x:v>0</x:v>
      </x:c>
      <x:c r="AD379" s="8" t="n">
        <x:f>H379*IF(AND(OR(AB378/AE378&gt;=v01_FissionTrigger*N379,AC379=1),AB378/AE378*v01_DaughterShare&gt;=v01_MinDaughter),MAX(1,ROUND(AE378*v01_FissionRate,0)),0)</x:f>
        <x:v>0</x:v>
      </x:c>
      <x:c r="AE379" s="8" t="n">
        <x:f>IF(H379=1,MAX(1,MIN(INDEX(v01_Smax,G379),AE378+AD379)),AE378)</x:f>
        <x:v>2</x:v>
      </x:c>
      <x:c r="AF379" s="8" t="n">
        <x:f>MAX(0,AE379-AE378)</x:f>
        <x:v>0</x:v>
      </x:c>
      <x:c r="AG379" s="9" t="str">
        <x:f>IF(AF379&gt;0,B379,"")</x:f>
      </x:c>
      <x:c r="AH379" s="9" t="n">
        <x:f>IF(F379&gt;=1,1,(1+v01_LowTiesShare*(AE379-1))/AE379)</x:f>
        <x:v>1</x:v>
      </x:c>
      <x:c r="AI379" s="32" t="n">
        <x:f>(Z379+v01_ElderCommons*INDEX(LM_Elder,G379)*AA379)*AH379</x:f>
        <x:v>30.165782697470103</x:v>
      </x:c>
      <x:c r="AJ379" s="32" t="n">
        <x:f>H379*v01_CommonsCoef*AI379^v01_CommonsExp*INDEX(LM_Commons,G379)</x:f>
        <x:v>11.943492578887977</x:v>
      </x:c>
      <x:c r="AK379" s="32" t="n">
        <x:f>H379*v01_RoleScale*Arch_Roles*(AE379*(INDEX(v01_ElderRolePerSett,G379)*v01_OutElder*INDEX(LM_Elder,G379)+INDEX(v01_ShamanPerSett,G379)*v01_OutShaman)+Z379*(INDEX(v01_PriestShare,G379)*v01_OutPriest+INDEX(v01_ScribeShare,G379)*v01_OutScribe*INDEX(LM_Scribe,G379)+INDEX(v01_ScholarShare,G379)*v01_OutScholar*INDEX(LM_Scholar,G379)+INDEX(v01_ResearcherShare,G379)*v01_OutResearcher*INDEX(LM_Researcher,G379)))</x:f>
        <x:v>2.724744871391589</x:v>
      </x:c>
      <x:c r="AL379" s="32" t="n">
        <x:f>H379*v01_RoleScale*Arch_Roles*AE379*INDEX(v01_MonasteryPerSett,G379)*v01_OutMonastery*INDEX(LM_Monastery,G379)</x:f>
        <x:v>0</x:v>
      </x:c>
      <x:c r="AM379" s="32" t="n">
        <x:f>(AJ379+AK379+AL379)/4*INDEX(LM_All,G379)*INDEX(v01_Boon,G379)*Arch_Insight</x:f>
        <x:v>3.7587358466341385</x:v>
      </x:c>
      <x:c r="AN379" s="32" t="n">
        <x:f>H379*(v01_KHPerAdult*Z379+v01_KHOfCommons*AJ379/4*INDEX(LM_All,G379))*v01_KHUsable*Arch_KH</x:f>
        <x:v>0.629620403450293</x:v>
      </x:c>
      <x:c r="AO379" s="32" t="n">
        <x:f>MIN(AP378+AN379,AM379*v01_KHMaxRatio)</x:f>
        <x:v>0.629620403450293</x:v>
      </x:c>
      <x:c r="AP379" s="32" t="n">
        <x:f>AP378+AN379-AO379</x:f>
        <x:v>0</x:v>
      </x:c>
      <x:c r="AQ379" s="32" t="n">
        <x:f>AM379+AO379</x:f>
        <x:v>4.388356250084431</x:v>
      </x:c>
      <x:c r="AR379" s="10" t="n">
        <x:f>IF(H379=1,INDEX(v01_Req,G379),0)</x:f>
        <x:v>1067.32</x:v>
      </x:c>
      <x:c r="AS379" s="32" t="n">
        <x:f>IF(H379=1,IF(E379=1,AS378-AR378,AS378)+AQ379,0)</x:f>
        <x:v>454.79822546626684</x:v>
      </x:c>
      <x:c r="AT379" s="11" t="n">
        <x:f>IF(AR379&gt;0,MIN(1,AS379/AR379),1)</x:f>
        <x:v>0.42611234256480424</x:v>
      </x:c>
      <x:c r="AU379" s="10" t="n">
        <x:f>AB379/INDEX(v01_RepScale,G379)</x:f>
        <x:v>41.23949206053262</x:v>
      </x:c>
      <x:c r="AV379" s="32" t="n">
        <x:f>AM379*60/v01_SeasonSeconds</x:f>
        <x:v>15.034943386536554</x:v>
      </x:c>
    </x:row>
    <x:row r="380">
      <x:c r="A380" s="8" t="n">
        <x:f>A379+1</x:f>
        <x:v>377</x:v>
      </x:c>
      <x:c r="B380" s="9" t="n">
        <x:f>A380*v01_SeasonSeconds/60</x:f>
        <x:v>94.25</x:v>
      </x:c>
      <x:c r="C380" s="9" t="n">
        <x:f>A380/4</x:f>
        <x:v>94.25</x:v>
      </x:c>
      <x:c r="D380" s="8" t="n">
        <x:f>IF(MOD(A380,4)=0,1,0)</x:f>
        <x:v>0</x:v>
      </x:c>
      <x:c r="E380" s="8" t="n">
        <x:f>IF(AND(F379&lt;=9,AS379&gt;=AR379),1,0)</x:f>
        <x:v>0</x:v>
      </x:c>
      <x:c r="F380" s="8" t="n">
        <x:f>MIN(10,F379+E380)</x:f>
        <x:v>1</x:v>
      </x:c>
      <x:c r="G380" s="8" t="n">
        <x:f>MIN(F380,9)+1</x:f>
        <x:v>2</x:v>
      </x:c>
      <x:c r="H380" s="8" t="n">
        <x:f>IF(F380&lt;=9,1,0)</x:f>
        <x:v>1</x:v>
      </x:c>
      <x:c r="I380" s="9" t="n">
        <x:f>MIN(10,F379+IF(AR379&gt;0,MIN(1,AS379/AR379),1))</x:f>
        <x:v>1.4261123425648043</x:v>
      </x:c>
      <x:c r="J380" s="32" t="n">
        <x:f>INDEX(v01_FoodCap,G380)*Arch_FoodCap*EXP(v01_CapsByProject*SUMPRODUCT((Cap_Point&lt;=I380)*(Cap_Kind="Food")*Cap_Ln))</x:f>
        <x:v>30</x:v>
      </x:c>
      <x:c r="K380" s="32" t="n">
        <x:f>J380*MIN(1,v01_LeanBase*EXP(v01_CapsByProject*SUMPRODUCT((Cap_Point&lt;=I380)*(Cap_Kind="Lean")*Cap_Ln)))</x:f>
        <x:v>30</x:v>
      </x:c>
      <x:c r="L380" s="10" t="n">
        <x:f>INDEX(v01_HousingCap,G380)*EXP(v01_CapsByProject*SUMPRODUCT((Cap_Point&lt;=I380)*(Cap_Kind="Housing")*Cap_Ln))</x:f>
        <x:v>60</x:v>
      </x:c>
      <x:c r="M380" s="10" t="n">
        <x:f>INDEX(v01_GroupCap,G380)*v01_CohesionFactor*EXP(v01_CapsByProject*SUMPRODUCT((Cap_Point&lt;=I380)*(Cap_Kind="Group")*Cap_Ln))</x:f>
        <x:v>100</x:v>
      </x:c>
      <x:c r="N380" s="32" t="n">
        <x:f>MIN(J380,L380,M380)</x:f>
        <x:v>30</x:v>
      </x:c>
      <x:c r="O380" s="10" t="n">
        <x:f>AE379*N380</x:f>
        <x:v>60</x:v>
      </x:c>
      <x:c r="P380" s="9" t="n">
        <x:f>MIN(1,(AB379/(AE379*IF(v01_GroupInCrowding=1,N380,MIN(J380,L380))))^v01_CrowdingExp)</x:f>
        <x:v>0.10543197519458325</x:v>
      </x:c>
      <x:c r="Q380" s="9" t="n">
        <x:f>IF(D380=1,INDEX(v01_WinterMult,G380),1)</x:f>
        <x:v>1</x:v>
      </x:c>
      <x:c r="R380" s="9" t="n">
        <x:f>H380*Z379*v01_WomenShare*v01_BaseFertility*INDEX(v01_FertMult,G380)*Arch_Fertility*(1-P380)</x:f>
        <x:v>0.6034695864554124</x:v>
      </x:c>
      <x:c r="S380" s="9" t="n">
        <x:f>H380*Y379*INDEX(v01_MortChild,G380)/4*Q380</x:f>
        <x:v>0.15994343735799235</x:v>
      </x:c>
      <x:c r="T380" s="9" t="n">
        <x:f>H380*Z379*INDEX(v01_MortAdult,G380)*Arch_AdultMort/4*Q380</x:f>
        <x:v>0.058464751748955775</x:v>
      </x:c>
      <x:c r="U380" s="9" t="n">
        <x:f>H380*AA379*INDEX(v01_MortElder,G380)/4*Q380</x:f>
        <x:v>0.09942175384935963</x:v>
      </x:c>
      <x:c r="V380" s="9" t="n">
        <x:f>H380*MAX(0,AB379-O380)*v01_OvercapLoss</x:f>
        <x:v>0</x:v>
      </x:c>
      <x:c r="W380" s="9" t="n">
        <x:f>H380*Y379/(v01_ChildYears*4)</x:f>
        <x:v>0.326415178281617</x:v>
      </x:c>
      <x:c r="X380" s="9" t="n">
        <x:f>H380*Z379/(v01_AdultYears*4)</x:f>
        <x:v>0.14507382567979102</x:v>
      </x:c>
      <x:c r="Y380" s="32" t="n">
        <x:f>Y379+R380-S380-W380-Y379*V380/AB379</x:f>
        <x:v>18.396360954586353</x:v>
      </x:c>
      <x:c r="Z380" s="32" t="n">
        <x:f>Z379+W380-X380-T380-Z379*V380/AB379</x:f>
        <x:v>18.112030985146955</x:v>
      </x:c>
      <x:c r="AA380" s="32" t="n">
        <x:f>AA379+X380-U380-AA379*V380/AB379</x:f>
        <x:v>5.016739764298413</x:v>
      </x:c>
      <x:c r="AB380" s="10" t="n">
        <x:f>Y380+Z380+AA380</x:f>
        <x:v>41.52513170403172</x:v>
      </x:c>
      <x:c r="AC380" s="8" t="n">
        <x:f>IF(AND(v01_WinterTrigger=1,D380=1,AB379/AE379&gt;=K380),1,0)</x:f>
        <x:v>0</x:v>
      </x:c>
      <x:c r="AD380" s="8" t="n">
        <x:f>H380*IF(AND(OR(AB379/AE379&gt;=v01_FissionTrigger*N380,AC380=1),AB379/AE379*v01_DaughterShare&gt;=v01_MinDaughter),MAX(1,ROUND(AE379*v01_FissionRate,0)),0)</x:f>
        <x:v>0</x:v>
      </x:c>
      <x:c r="AE380" s="8" t="n">
        <x:f>IF(H380=1,MAX(1,MIN(INDEX(v01_Smax,G380),AE379+AD380)),AE379)</x:f>
        <x:v>2</x:v>
      </x:c>
      <x:c r="AF380" s="8" t="n">
        <x:f>MAX(0,AE380-AE379)</x:f>
        <x:v>0</x:v>
      </x:c>
      <x:c r="AG380" s="9" t="str">
        <x:f>IF(AF380&gt;0,B380,"")</x:f>
      </x:c>
      <x:c r="AH380" s="9" t="n">
        <x:f>IF(F380&gt;=1,1,(1+v01_LowTiesShare*(AE380-1))/AE380)</x:f>
        <x:v>1</x:v>
      </x:c>
      <x:c r="AI380" s="32" t="n">
        <x:f>(Z380+v01_ElderCommons*INDEX(LM_Elder,G380)*AA380)*AH380</x:f>
        <x:v>30.400483580008416</x:v>
      </x:c>
      <x:c r="AJ380" s="32" t="n">
        <x:f>H380*v01_CommonsCoef*AI380^v01_CommonsExp*INDEX(LM_Commons,G380)</x:f>
        <x:v>12.022432674946087</x:v>
      </x:c>
      <x:c r="AK380" s="32" t="n">
        <x:f>H380*v01_RoleScale*Arch_Roles*(AE380*(INDEX(v01_ElderRolePerSett,G380)*v01_OutElder*INDEX(LM_Elder,G380)+INDEX(v01_ShamanPerSett,G380)*v01_OutShaman)+Z380*(INDEX(v01_PriestShare,G380)*v01_OutPriest+INDEX(v01_ScribeShare,G380)*v01_OutScribe*INDEX(LM_Scribe,G380)+INDEX(v01_ScholarShare,G380)*v01_OutScholar*INDEX(LM_Scholar,G380)+INDEX(v01_ResearcherShare,G380)*v01_OutResearcher*INDEX(LM_Researcher,G380)))</x:f>
        <x:v>2.724744871391589</x:v>
      </x:c>
      <x:c r="AL380" s="32" t="n">
        <x:f>H380*v01_RoleScale*Arch_Roles*AE380*INDEX(v01_MonasteryPerSett,G380)*v01_OutMonastery*INDEX(LM_Monastery,G380)</x:f>
        <x:v>0</x:v>
      </x:c>
      <x:c r="AM380" s="32" t="n">
        <x:f>(AJ380+AK380+AL380)/4*INDEX(LM_All,G380)*INDEX(v01_Boon,G380)*Arch_Insight</x:f>
        <x:v>3.7789642462490294</x:v>
      </x:c>
      <x:c r="AN380" s="32" t="n">
        <x:f>H380*(v01_KHPerAdult*Z380+v01_KHOfCommons*AJ380/4*INDEX(LM_All,G380))*v01_KHUsable*Arch_KH</x:f>
        <x:v>0.6339210844801434</x:v>
      </x:c>
      <x:c r="AO380" s="32" t="n">
        <x:f>MIN(AP379+AN380,AM380*v01_KHMaxRatio)</x:f>
        <x:v>0.6339210844801434</x:v>
      </x:c>
      <x:c r="AP380" s="32" t="n">
        <x:f>AP379+AN380-AO380</x:f>
        <x:v>0</x:v>
      </x:c>
      <x:c r="AQ380" s="32" t="n">
        <x:f>AM380+AO380</x:f>
        <x:v>4.412885330729173</x:v>
      </x:c>
      <x:c r="AR380" s="10" t="n">
        <x:f>IF(H380=1,INDEX(v01_Req,G380),0)</x:f>
        <x:v>1067.32</x:v>
      </x:c>
      <x:c r="AS380" s="32" t="n">
        <x:f>IF(H380=1,IF(E380=1,AS379-AR379,AS379)+AQ380,0)</x:f>
        <x:v>459.211110796996</x:v>
      </x:c>
      <x:c r="AT380" s="11" t="n">
        <x:f>IF(AR380&gt;0,MIN(1,AS380/AR380),1)</x:f>
        <x:v>0.4302468901519657</x:v>
      </x:c>
      <x:c r="AU380" s="10" t="n">
        <x:f>AB380/INDEX(v01_RepScale,G380)</x:f>
        <x:v>41.52513170403172</x:v>
      </x:c>
      <x:c r="AV380" s="32" t="n">
        <x:f>AM380*60/v01_SeasonSeconds</x:f>
        <x:v>15.115856984996118</x:v>
      </x:c>
    </x:row>
    <x:row r="381">
      <x:c r="A381" s="8" t="n">
        <x:f>A380+1</x:f>
        <x:v>378</x:v>
      </x:c>
      <x:c r="B381" s="9" t="n">
        <x:f>A381*v01_SeasonSeconds/60</x:f>
        <x:v>94.5</x:v>
      </x:c>
      <x:c r="C381" s="9" t="n">
        <x:f>A381/4</x:f>
        <x:v>94.5</x:v>
      </x:c>
      <x:c r="D381" s="8" t="n">
        <x:f>IF(MOD(A381,4)=0,1,0)</x:f>
        <x:v>0</x:v>
      </x:c>
      <x:c r="E381" s="8" t="n">
        <x:f>IF(AND(F380&lt;=9,AS380&gt;=AR380),1,0)</x:f>
        <x:v>0</x:v>
      </x:c>
      <x:c r="F381" s="8" t="n">
        <x:f>MIN(10,F380+E381)</x:f>
        <x:v>1</x:v>
      </x:c>
      <x:c r="G381" s="8" t="n">
        <x:f>MIN(F381,9)+1</x:f>
        <x:v>2</x:v>
      </x:c>
      <x:c r="H381" s="8" t="n">
        <x:f>IF(F381&lt;=9,1,0)</x:f>
        <x:v>1</x:v>
      </x:c>
      <x:c r="I381" s="9" t="n">
        <x:f>MIN(10,F380+IF(AR380&gt;0,MIN(1,AS380/AR380),1))</x:f>
        <x:v>1.4302468901519658</x:v>
      </x:c>
      <x:c r="J381" s="32" t="n">
        <x:f>INDEX(v01_FoodCap,G381)*Arch_FoodCap*EXP(v01_CapsByProject*SUMPRODUCT((Cap_Point&lt;=I381)*(Cap_Kind="Food")*Cap_Ln))</x:f>
        <x:v>30</x:v>
      </x:c>
      <x:c r="K381" s="32" t="n">
        <x:f>J381*MIN(1,v01_LeanBase*EXP(v01_CapsByProject*SUMPRODUCT((Cap_Point&lt;=I381)*(Cap_Kind="Lean")*Cap_Ln)))</x:f>
        <x:v>30</x:v>
      </x:c>
      <x:c r="L381" s="10" t="n">
        <x:f>INDEX(v01_HousingCap,G381)*EXP(v01_CapsByProject*SUMPRODUCT((Cap_Point&lt;=I381)*(Cap_Kind="Housing")*Cap_Ln))</x:f>
        <x:v>60</x:v>
      </x:c>
      <x:c r="M381" s="10" t="n">
        <x:f>INDEX(v01_GroupCap,G381)*v01_CohesionFactor*EXP(v01_CapsByProject*SUMPRODUCT((Cap_Point&lt;=I381)*(Cap_Kind="Group")*Cap_Ln))</x:f>
        <x:v>100</x:v>
      </x:c>
      <x:c r="N381" s="32" t="n">
        <x:f>MIN(J381,L381,M381)</x:f>
        <x:v>30</x:v>
      </x:c>
      <x:c r="O381" s="10" t="n">
        <x:f>AE380*N381</x:f>
        <x:v>60</x:v>
      </x:c>
      <x:c r="P381" s="9" t="n">
        <x:f>MIN(1,(AB380/(AE380*IF(v01_GroupInCrowding=1,N381,MIN(J381,L381))))^v01_CrowdingExp)</x:f>
        <x:v>0.10989011024604647</x:v>
      </x:c>
      <x:c r="Q381" s="9" t="n">
        <x:f>IF(D381=1,INDEX(v01_WinterMult,G381),1)</x:f>
        <x:v>1</x:v>
      </x:c>
      <x:c r="R381" s="9" t="n">
        <x:f>H381*Z380*v01_WomenShare*v01_BaseFertility*INDEX(v01_FertMult,G381)*Arch_Fertility*(1-P381)</x:f>
        <x:v>0.6045636713778504</x:v>
      </x:c>
      <x:c r="S381" s="9" t="n">
        <x:f>H381*Y380*INDEX(v01_MortChild,G381)/4*Q381</x:f>
        <x:v>0.1609681583526306</x:v>
      </x:c>
      <x:c r="T381" s="9" t="n">
        <x:f>H381*Z380*INDEX(v01_MortAdult,G381)*Arch_AdultMort/4*Q381</x:f>
        <x:v>0.0588641007017276</x:v>
      </x:c>
      <x:c r="U381" s="9" t="n">
        <x:f>H381*AA380*INDEX(v01_MortElder,G381)/4*Q381</x:f>
        <x:v>0.10033479528596827</x:v>
      </x:c>
      <x:c r="V381" s="9" t="n">
        <x:f>H381*MAX(0,AB380-O381)*v01_OvercapLoss</x:f>
        <x:v>0</x:v>
      </x:c>
      <x:c r="W381" s="9" t="n">
        <x:f>H381*Y380/(v01_ChildYears*4)</x:f>
        <x:v>0.32850644561761344</x:v>
      </x:c>
      <x:c r="X381" s="9" t="n">
        <x:f>H381*Z380/(v01_AdultYears*4)</x:f>
        <x:v>0.14606476600924964</x:v>
      </x:c>
      <x:c r="Y381" s="32" t="n">
        <x:f>Y380+R381-S381-W381-Y380*V381/AB380</x:f>
        <x:v>18.51145002199396</x:v>
      </x:c>
      <x:c r="Z381" s="32" t="n">
        <x:f>Z380+W381-X381-T381-Z380*V381/AB380</x:f>
        <x:v>18.235608564053592</x:v>
      </x:c>
      <x:c r="AA381" s="32" t="n">
        <x:f>AA380+X381-U381-AA380*V381/AB380</x:f>
        <x:v>5.062469735021695</x:v>
      </x:c>
      <x:c r="AB381" s="10" t="n">
        <x:f>Y381+Z381+AA381</x:f>
        <x:v>41.809528321069244</x:v>
      </x:c>
      <x:c r="AC381" s="8" t="n">
        <x:f>IF(AND(v01_WinterTrigger=1,D381=1,AB380/AE380&gt;=K381),1,0)</x:f>
        <x:v>0</x:v>
      </x:c>
      <x:c r="AD381" s="8" t="n">
        <x:f>H381*IF(AND(OR(AB380/AE380&gt;=v01_FissionTrigger*N381,AC381=1),AB380/AE380*v01_DaughterShare&gt;=v01_MinDaughter),MAX(1,ROUND(AE380*v01_FissionRate,0)),0)</x:f>
        <x:v>0</x:v>
      </x:c>
      <x:c r="AE381" s="8" t="n">
        <x:f>IF(H381=1,MAX(1,MIN(INDEX(v01_Smax,G381),AE380+AD381)),AE380)</x:f>
        <x:v>2</x:v>
      </x:c>
      <x:c r="AF381" s="8" t="n">
        <x:f>MAX(0,AE381-AE380)</x:f>
        <x:v>0</x:v>
      </x:c>
      <x:c r="AG381" s="9" t="str">
        <x:f>IF(AF381&gt;0,B381,"")</x:f>
      </x:c>
      <x:c r="AH381" s="9" t="n">
        <x:f>IF(F381&gt;=1,1,(1+v01_LowTiesShare*(AE381-1))/AE381)</x:f>
        <x:v>1</x:v>
      </x:c>
      <x:c r="AI381" s="32" t="n">
        <x:f>(Z381+v01_ElderCommons*INDEX(LM_Elder,G381)*AA381)*AH381</x:f>
        <x:v>30.636076253139507</x:v>
      </x:c>
      <x:c r="AJ381" s="32" t="n">
        <x:f>H381*v01_CommonsCoef*AI381^v01_CommonsExp*INDEX(LM_Commons,G381)</x:f>
        <x:v>12.101580834273825</x:v>
      </x:c>
      <x:c r="AK381" s="32" t="n">
        <x:f>H381*v01_RoleScale*Arch_Roles*(AE381*(INDEX(v01_ElderRolePerSett,G381)*v01_OutElder*INDEX(LM_Elder,G381)+INDEX(v01_ShamanPerSett,G381)*v01_OutShaman)+Z381*(INDEX(v01_PriestShare,G381)*v01_OutPriest+INDEX(v01_ScribeShare,G381)*v01_OutScribe*INDEX(LM_Scribe,G381)+INDEX(v01_ScholarShare,G381)*v01_OutScholar*INDEX(LM_Scholar,G381)+INDEX(v01_ResearcherShare,G381)*v01_OutResearcher*INDEX(LM_Researcher,G381)))</x:f>
        <x:v>2.724744871391589</x:v>
      </x:c>
      <x:c r="AL381" s="32" t="n">
        <x:f>H381*v01_RoleScale*Arch_Roles*AE381*INDEX(v01_MonasteryPerSett,G381)*v01_OutMonastery*INDEX(LM_Monastery,G381)</x:f>
        <x:v>0</x:v>
      </x:c>
      <x:c r="AM381" s="32" t="n">
        <x:f>(AJ381+AK381+AL381)/4*INDEX(LM_All,G381)*INDEX(v01_Boon,G381)*Arch_Insight</x:f>
        <x:v>3.7992459620767622</x:v>
      </x:c>
      <x:c r="AN381" s="32" t="n">
        <x:f>H381*(v01_KHPerAdult*Z381+v01_KHOfCommons*AJ381/4*INDEX(LM_All,G381))*v01_KHUsable*Arch_KH</x:f>
        <x:v>0.6382462997418757</x:v>
      </x:c>
      <x:c r="AO381" s="32" t="n">
        <x:f>MIN(AP380+AN381,AM381*v01_KHMaxRatio)</x:f>
        <x:v>0.6382462997418757</x:v>
      </x:c>
      <x:c r="AP381" s="32" t="n">
        <x:f>AP380+AN381-AO381</x:f>
        <x:v>0</x:v>
      </x:c>
      <x:c r="AQ381" s="32" t="n">
        <x:f>AM381+AO381</x:f>
        <x:v>4.437492261818638</x:v>
      </x:c>
      <x:c r="AR381" s="10" t="n">
        <x:f>IF(H381=1,INDEX(v01_Req,G381),0)</x:f>
        <x:v>1067.32</x:v>
      </x:c>
      <x:c r="AS381" s="32" t="n">
        <x:f>IF(H381=1,IF(E381=1,AS380-AR380,AS380)+AQ381,0)</x:f>
        <x:v>463.6486030588147</x:v>
      </x:c>
      <x:c r="AT381" s="11" t="n">
        <x:f>IF(AR381&gt;0,MIN(1,AS381/AR381),1)</x:f>
        <x:v>0.4344044926159115</x:v>
      </x:c>
      <x:c r="AU381" s="10" t="n">
        <x:f>AB381/INDEX(v01_RepScale,G381)</x:f>
        <x:v>41.809528321069244</x:v>
      </x:c>
      <x:c r="AV381" s="32" t="n">
        <x:f>AM381*60/v01_SeasonSeconds</x:f>
        <x:v>15.196983848307049</x:v>
      </x:c>
    </x:row>
    <x:row r="382">
      <x:c r="A382" s="8" t="n">
        <x:f>A381+1</x:f>
        <x:v>379</x:v>
      </x:c>
      <x:c r="B382" s="9" t="n">
        <x:f>A382*v01_SeasonSeconds/60</x:f>
        <x:v>94.75</x:v>
      </x:c>
      <x:c r="C382" s="9" t="n">
        <x:f>A382/4</x:f>
        <x:v>94.75</x:v>
      </x:c>
      <x:c r="D382" s="8" t="n">
        <x:f>IF(MOD(A382,4)=0,1,0)</x:f>
        <x:v>0</x:v>
      </x:c>
      <x:c r="E382" s="8" t="n">
        <x:f>IF(AND(F381&lt;=9,AS381&gt;=AR381),1,0)</x:f>
        <x:v>0</x:v>
      </x:c>
      <x:c r="F382" s="8" t="n">
        <x:f>MIN(10,F381+E382)</x:f>
        <x:v>1</x:v>
      </x:c>
      <x:c r="G382" s="8" t="n">
        <x:f>MIN(F382,9)+1</x:f>
        <x:v>2</x:v>
      </x:c>
      <x:c r="H382" s="8" t="n">
        <x:f>IF(F382&lt;=9,1,0)</x:f>
        <x:v>1</x:v>
      </x:c>
      <x:c r="I382" s="9" t="n">
        <x:f>MIN(10,F381+IF(AR381&gt;0,MIN(1,AS381/AR381),1))</x:f>
        <x:v>1.4344044926159114</x:v>
      </x:c>
      <x:c r="J382" s="32" t="n">
        <x:f>INDEX(v01_FoodCap,G382)*Arch_FoodCap*EXP(v01_CapsByProject*SUMPRODUCT((Cap_Point&lt;=I382)*(Cap_Kind="Food")*Cap_Ln))</x:f>
        <x:v>30</x:v>
      </x:c>
      <x:c r="K382" s="32" t="n">
        <x:f>J382*MIN(1,v01_LeanBase*EXP(v01_CapsByProject*SUMPRODUCT((Cap_Point&lt;=I382)*(Cap_Kind="Lean")*Cap_Ln)))</x:f>
        <x:v>30</x:v>
      </x:c>
      <x:c r="L382" s="10" t="n">
        <x:f>INDEX(v01_HousingCap,G382)*EXP(v01_CapsByProject*SUMPRODUCT((Cap_Point&lt;=I382)*(Cap_Kind="Housing")*Cap_Ln))</x:f>
        <x:v>60</x:v>
      </x:c>
      <x:c r="M382" s="10" t="n">
        <x:f>INDEX(v01_GroupCap,G382)*v01_CohesionFactor*EXP(v01_CapsByProject*SUMPRODUCT((Cap_Point&lt;=I382)*(Cap_Kind="Group")*Cap_Ln))</x:f>
        <x:v>100</x:v>
      </x:c>
      <x:c r="N382" s="32" t="n">
        <x:f>MIN(J382,L382,M382)</x:f>
        <x:v>30</x:v>
      </x:c>
      <x:c r="O382" s="10" t="n">
        <x:f>AE381*N382</x:f>
        <x:v>60</x:v>
      </x:c>
      <x:c r="P382" s="9" t="n">
        <x:f>MIN(1,(AB381/(AE381*IF(v01_GroupInCrowding=1,N382,MIN(J382,L382))))^v01_CrowdingExp)</x:f>
        <x:v>0.114483818351087</x:v>
      </x:c>
      <x:c r="Q382" s="9" t="n">
        <x:f>IF(D382=1,INDEX(v01_WinterMult,G382),1)</x:f>
        <x:v>1</x:v>
      </x:c>
      <x:c r="R382" s="9" t="n">
        <x:f>H382*Z381*v01_WomenShare*v01_BaseFertility*INDEX(v01_FertMult,G382)*Arch_Fertility*(1-P382)</x:f>
        <x:v>0.6055472424631858</x:v>
      </x:c>
      <x:c r="S382" s="9" t="n">
        <x:f>H382*Y381*INDEX(v01_MortChild,G382)/4*Q382</x:f>
        <x:v>0.16197518769244715</x:v>
      </x:c>
      <x:c r="T382" s="9" t="n">
        <x:f>H382*Z381*INDEX(v01_MortAdult,G382)*Arch_AdultMort/4*Q382</x:f>
        <x:v>0.05926572783317417</x:v>
      </x:c>
      <x:c r="U382" s="9" t="n">
        <x:f>H382*AA381*INDEX(v01_MortElder,G382)/4*Q382</x:f>
        <x:v>0.10124939470043391</x:v>
      </x:c>
      <x:c r="V382" s="9" t="n">
        <x:f>H382*MAX(0,AB381-O382)*v01_OvercapLoss</x:f>
        <x:v>0</x:v>
      </x:c>
      <x:c r="W382" s="9" t="n">
        <x:f>H382*Y381/(v01_ChildYears*4)</x:f>
        <x:v>0.3305616075356064</x:v>
      </x:c>
      <x:c r="X382" s="9" t="n">
        <x:f>H382*Z381/(v01_AdultYears*4)</x:f>
        <x:v>0.14706135938752898</x:v>
      </x:c>
      <x:c r="Y382" s="32" t="n">
        <x:f>Y381+R382-S382-W382-Y381*V382/AB381</x:f>
        <x:v>18.62446046922909</x:v>
      </x:c>
      <x:c r="Z382" s="32" t="n">
        <x:f>Z381+W382-X382-T382-Z381*V382/AB381</x:f>
        <x:v>18.359843084368496</x:v>
      </x:c>
      <x:c r="AA382" s="32" t="n">
        <x:f>AA381+X382-U382-AA381*V382/AB381</x:f>
        <x:v>5.10828169970879</x:v>
      </x:c>
      <x:c r="AB382" s="10" t="n">
        <x:f>Y382+Z382+AA382</x:f>
        <x:v>42.092585253306375</x:v>
      </x:c>
      <x:c r="AC382" s="8" t="n">
        <x:f>IF(AND(v01_WinterTrigger=1,D382=1,AB381/AE381&gt;=K382),1,0)</x:f>
        <x:v>0</x:v>
      </x:c>
      <x:c r="AD382" s="8" t="n">
        <x:f>H382*IF(AND(OR(AB381/AE381&gt;=v01_FissionTrigger*N382,AC382=1),AB381/AE381*v01_DaughterShare&gt;=v01_MinDaughter),MAX(1,ROUND(AE381*v01_FissionRate,0)),0)</x:f>
        <x:v>0</x:v>
      </x:c>
      <x:c r="AE382" s="8" t="n">
        <x:f>IF(H382=1,MAX(1,MIN(INDEX(v01_Smax,G382),AE381+AD382)),AE381)</x:f>
        <x:v>2</x:v>
      </x:c>
      <x:c r="AF382" s="8" t="n">
        <x:f>MAX(0,AE382-AE381)</x:f>
        <x:v>0</x:v>
      </x:c>
      <x:c r="AG382" s="9" t="str">
        <x:f>IF(AF382&gt;0,B382,"")</x:f>
      </x:c>
      <x:c r="AH382" s="9" t="n">
        <x:f>IF(F382&gt;=1,1,(1+v01_LowTiesShare*(AE382-1))/AE382)</x:f>
        <x:v>1</x:v>
      </x:c>
      <x:c r="AI382" s="32" t="n">
        <x:f>(Z382+v01_ElderCommons*INDEX(LM_Elder,G382)*AA382)*AH382</x:f>
        <x:v>30.872526711052195</x:v>
      </x:c>
      <x:c r="AJ382" s="32" t="n">
        <x:f>H382*v01_CommonsCoef*AI382^v01_CommonsExp*INDEX(LM_Commons,G382)</x:f>
        <x:v>12.180925425138877</x:v>
      </x:c>
      <x:c r="AK382" s="32" t="n">
        <x:f>H382*v01_RoleScale*Arch_Roles*(AE382*(INDEX(v01_ElderRolePerSett,G382)*v01_OutElder*INDEX(LM_Elder,G382)+INDEX(v01_ShamanPerSett,G382)*v01_OutShaman)+Z382*(INDEX(v01_PriestShare,G382)*v01_OutPriest+INDEX(v01_ScribeShare,G382)*v01_OutScribe*INDEX(LM_Scribe,G382)+INDEX(v01_ScholarShare,G382)*v01_OutScholar*INDEX(LM_Scholar,G382)+INDEX(v01_ResearcherShare,G382)*v01_OutResearcher*INDEX(LM_Researcher,G382)))</x:f>
        <x:v>2.724744871391589</x:v>
      </x:c>
      <x:c r="AL382" s="32" t="n">
        <x:f>H382*v01_RoleScale*Arch_Roles*AE382*INDEX(v01_MonasteryPerSett,G382)*v01_OutMonastery*INDEX(LM_Monastery,G382)</x:f>
        <x:v>0</x:v>
      </x:c>
      <x:c r="AM382" s="32" t="n">
        <x:f>(AJ382+AK382+AL382)/4*INDEX(LM_All,G382)*INDEX(v01_Boon,G382)*Arch_Insight</x:f>
        <x:v>3.819578013485932</x:v>
      </x:c>
      <x:c r="AN382" s="32" t="n">
        <x:f>H382*(v01_KHPerAdult*Z382+v01_KHOfCommons*AJ382/4*INDEX(LM_All,G382))*v01_KHUsable*Arch_KH</x:f>
        <x:v>0.6425945079528973</x:v>
      </x:c>
      <x:c r="AO382" s="32" t="n">
        <x:f>MIN(AP381+AN382,AM382*v01_KHMaxRatio)</x:f>
        <x:v>0.6425945079528973</x:v>
      </x:c>
      <x:c r="AP382" s="32" t="n">
        <x:f>AP381+AN382-AO382</x:f>
        <x:v>0</x:v>
      </x:c>
      <x:c r="AQ382" s="32" t="n">
        <x:f>AM382+AO382</x:f>
        <x:v>4.462172521438829</x:v>
      </x:c>
      <x:c r="AR382" s="10" t="n">
        <x:f>IF(H382=1,INDEX(v01_Req,G382),0)</x:f>
        <x:v>1067.32</x:v>
      </x:c>
      <x:c r="AS382" s="32" t="n">
        <x:f>IF(H382=1,IF(E382=1,AS381-AR381,AS381)+AQ382,0)</x:f>
        <x:v>468.1107755802535</x:v>
      </x:c>
      <x:c r="AT382" s="11" t="n">
        <x:f>IF(AR382&gt;0,MIN(1,AS382/AR382),1)</x:f>
        <x:v>0.4385852186600584</x:v>
      </x:c>
      <x:c r="AU382" s="10" t="n">
        <x:f>AB382/INDEX(v01_RepScale,G382)</x:f>
        <x:v>42.092585253306375</x:v>
      </x:c>
      <x:c r="AV382" s="32" t="n">
        <x:f>AM382*60/v01_SeasonSeconds</x:f>
        <x:v>15.278312053943727</x:v>
      </x:c>
    </x:row>
    <x:row r="383">
      <x:c r="A383" s="8" t="n">
        <x:f>A382+1</x:f>
        <x:v>380</x:v>
      </x:c>
      <x:c r="B383" s="9" t="n">
        <x:f>A383*v01_SeasonSeconds/60</x:f>
        <x:v>95</x:v>
      </x:c>
      <x:c r="C383" s="9" t="n">
        <x:f>A383/4</x:f>
        <x:v>95</x:v>
      </x:c>
      <x:c r="D383" s="8" t="n">
        <x:f>IF(MOD(A383,4)=0,1,0)</x:f>
        <x:v>1</x:v>
      </x:c>
      <x:c r="E383" s="8" t="n">
        <x:f>IF(AND(F382&lt;=9,AS382&gt;=AR382),1,0)</x:f>
        <x:v>0</x:v>
      </x:c>
      <x:c r="F383" s="8" t="n">
        <x:f>MIN(10,F382+E383)</x:f>
        <x:v>1</x:v>
      </x:c>
      <x:c r="G383" s="8" t="n">
        <x:f>MIN(F383,9)+1</x:f>
        <x:v>2</x:v>
      </x:c>
      <x:c r="H383" s="8" t="n">
        <x:f>IF(F383&lt;=9,1,0)</x:f>
        <x:v>1</x:v>
      </x:c>
      <x:c r="I383" s="9" t="n">
        <x:f>MIN(10,F382+IF(AR382&gt;0,MIN(1,AS382/AR382),1))</x:f>
        <x:v>1.4385852186600583</x:v>
      </x:c>
      <x:c r="J383" s="32" t="n">
        <x:f>INDEX(v01_FoodCap,G383)*Arch_FoodCap*EXP(v01_CapsByProject*SUMPRODUCT((Cap_Point&lt;=I383)*(Cap_Kind="Food")*Cap_Ln))</x:f>
        <x:v>30</x:v>
      </x:c>
      <x:c r="K383" s="32" t="n">
        <x:f>J383*MIN(1,v01_LeanBase*EXP(v01_CapsByProject*SUMPRODUCT((Cap_Point&lt;=I383)*(Cap_Kind="Lean")*Cap_Ln)))</x:f>
        <x:v>30</x:v>
      </x:c>
      <x:c r="L383" s="10" t="n">
        <x:f>INDEX(v01_HousingCap,G383)*EXP(v01_CapsByProject*SUMPRODUCT((Cap_Point&lt;=I383)*(Cap_Kind="Housing")*Cap_Ln))</x:f>
        <x:v>60</x:v>
      </x:c>
      <x:c r="M383" s="10" t="n">
        <x:f>INDEX(v01_GroupCap,G383)*v01_CohesionFactor*EXP(v01_CapsByProject*SUMPRODUCT((Cap_Point&lt;=I383)*(Cap_Kind="Group")*Cap_Ln))</x:f>
        <x:v>100</x:v>
      </x:c>
      <x:c r="N383" s="32" t="n">
        <x:f>MIN(J383,L383,M383)</x:f>
        <x:v>30</x:v>
      </x:c>
      <x:c r="O383" s="10" t="n">
        <x:f>AE382*N383</x:f>
        <x:v>60</x:v>
      </x:c>
      <x:c r="P383" s="9" t="n">
        <x:f>MIN(1,(AB382/(AE382*IF(v01_GroupInCrowding=1,N383,MIN(J383,L383))))^v01_CrowdingExp)</x:f>
        <x:v>0.11921368120036736</x:v>
      </x:c>
      <x:c r="Q383" s="9" t="n">
        <x:f>IF(D383=1,INDEX(v01_WinterMult,G383),1)</x:f>
        <x:v>1.6</x:v>
      </x:c>
      <x:c r="R383" s="9" t="n">
        <x:f>H383*Z382*v01_WomenShare*v01_BaseFertility*INDEX(v01_FertMult,G383)*Arch_Fertility*(1-P383)</x:f>
        <x:v>0.6064161976507433</x:v>
      </x:c>
      <x:c r="S383" s="9" t="n">
        <x:f>H383*Y382*INDEX(v01_MortChild,G383)/4*Q383</x:f>
        <x:v>0.26074244656920725</x:v>
      </x:c>
      <x:c r="T383" s="9" t="n">
        <x:f>H383*Z382*INDEX(v01_MortAdult,G383)*Arch_AdultMort/4*Q383</x:f>
        <x:v>0.09547118403871618</x:v>
      </x:c>
      <x:c r="U383" s="9" t="n">
        <x:f>H383*AA382*INDEX(v01_MortElder,G383)/4*Q383</x:f>
        <x:v>0.16346501439068128</x:v>
      </x:c>
      <x:c r="V383" s="9" t="n">
        <x:f>H383*MAX(0,AB382-O383)*v01_OvercapLoss</x:f>
        <x:v>0</x:v>
      </x:c>
      <x:c r="W383" s="9" t="n">
        <x:f>H383*Y382/(v01_ChildYears*4)</x:f>
        <x:v>0.33257965123623373</x:v>
      </x:c>
      <x:c r="X383" s="9" t="n">
        <x:f>H383*Z382/(v01_AdultYears*4)</x:f>
        <x:v>0.14806325068039108</x:v>
      </x:c>
      <x:c r="Y383" s="32" t="n">
        <x:f>Y382+R383-S383-W383-Y382*V383/AB382</x:f>
        <x:v>18.637554569074393</x:v>
      </x:c>
      <x:c r="Z383" s="32" t="n">
        <x:f>Z382+W383-X383-T383-Z382*V383/AB382</x:f>
        <x:v>18.448888300885624</x:v>
      </x:c>
      <x:c r="AA383" s="32" t="n">
        <x:f>AA382+X383-U383-AA382*V383/AB382</x:f>
        <x:v>5.0928799359985</x:v>
      </x:c>
      <x:c r="AB383" s="10" t="n">
        <x:f>Y383+Z383+AA383</x:f>
        <x:v>42.17932280595852</x:v>
      </x:c>
      <x:c r="AC383" s="8" t="n">
        <x:f>IF(AND(v01_WinterTrigger=1,D383=1,AB382/AE382&gt;=K383),1,0)</x:f>
        <x:v>0</x:v>
      </x:c>
      <x:c r="AD383" s="8" t="n">
        <x:f>H383*IF(AND(OR(AB382/AE382&gt;=v01_FissionTrigger*N383,AC383=1),AB382/AE382*v01_DaughterShare&gt;=v01_MinDaughter),MAX(1,ROUND(AE382*v01_FissionRate,0)),0)</x:f>
        <x:v>0</x:v>
      </x:c>
      <x:c r="AE383" s="8" t="n">
        <x:f>IF(H383=1,MAX(1,MIN(INDEX(v01_Smax,G383),AE382+AD383)),AE382)</x:f>
        <x:v>2</x:v>
      </x:c>
      <x:c r="AF383" s="8" t="n">
        <x:f>MAX(0,AE383-AE382)</x:f>
        <x:v>0</x:v>
      </x:c>
      <x:c r="AG383" s="9" t="str">
        <x:f>IF(AF383&gt;0,B383,"")</x:f>
      </x:c>
      <x:c r="AH383" s="9" t="n">
        <x:f>IF(F383&gt;=1,1,(1+v01_LowTiesShare*(AE383-1))/AE383)</x:f>
        <x:v>1</x:v>
      </x:c>
      <x:c r="AI383" s="32" t="n">
        <x:f>(Z383+v01_ElderCommons*INDEX(LM_Elder,G383)*AA383)*AH383</x:f>
        <x:v>30.923845465340197</x:v>
      </x:c>
      <x:c r="AJ383" s="32" t="n">
        <x:f>H383*v01_CommonsCoef*AI383^v01_CommonsExp*INDEX(LM_Commons,G383)</x:f>
        <x:v>12.198134163352162</x:v>
      </x:c>
      <x:c r="AK383" s="32" t="n">
        <x:f>H383*v01_RoleScale*Arch_Roles*(AE383*(INDEX(v01_ElderRolePerSett,G383)*v01_OutElder*INDEX(LM_Elder,G383)+INDEX(v01_ShamanPerSett,G383)*v01_OutShaman)+Z383*(INDEX(v01_PriestShare,G383)*v01_OutPriest+INDEX(v01_ScribeShare,G383)*v01_OutScribe*INDEX(LM_Scribe,G383)+INDEX(v01_ScholarShare,G383)*v01_OutScholar*INDEX(LM_Scholar,G383)+INDEX(v01_ResearcherShare,G383)*v01_OutResearcher*INDEX(LM_Researcher,G383)))</x:f>
        <x:v>2.724744871391589</x:v>
      </x:c>
      <x:c r="AL383" s="32" t="n">
        <x:f>H383*v01_RoleScale*Arch_Roles*AE383*INDEX(v01_MonasteryPerSett,G383)*v01_OutMonastery*INDEX(LM_Monastery,G383)</x:f>
        <x:v>0</x:v>
      </x:c>
      <x:c r="AM383" s="32" t="n">
        <x:f>(AJ383+AK383+AL383)/4*INDEX(LM_All,G383)*INDEX(v01_Boon,G383)*Arch_Insight</x:f>
        <x:v>3.823987752653086</x:v>
      </x:c>
      <x:c r="AN383" s="32" t="n">
        <x:f>H383*(v01_KHPerAdult*Z383+v01_KHOfCommons*AJ383/4*INDEX(LM_All,G383))*v01_KHUsable*Arch_KH</x:f>
        <x:v>0.6457110905309968</x:v>
      </x:c>
      <x:c r="AO383" s="32" t="n">
        <x:f>MIN(AP382+AN383,AM383*v01_KHMaxRatio)</x:f>
        <x:v>0.6457110905309968</x:v>
      </x:c>
      <x:c r="AP383" s="32" t="n">
        <x:f>AP382+AN383-AO383</x:f>
        <x:v>0</x:v>
      </x:c>
      <x:c r="AQ383" s="32" t="n">
        <x:f>AM383+AO383</x:f>
        <x:v>4.469698843184083</x:v>
      </x:c>
      <x:c r="AR383" s="10" t="n">
        <x:f>IF(H383=1,INDEX(v01_Req,G383),0)</x:f>
        <x:v>1067.32</x:v>
      </x:c>
      <x:c r="AS383" s="32" t="n">
        <x:f>IF(H383=1,IF(E383=1,AS382-AR382,AS382)+AQ383,0)</x:f>
        <x:v>472.5804744234376</x:v>
      </x:c>
      <x:c r="AT383" s="11" t="n">
        <x:f>IF(AR383&gt;0,MIN(1,AS383/AR383),1)</x:f>
        <x:v>0.44277299631173184</x:v>
      </x:c>
      <x:c r="AU383" s="10" t="n">
        <x:f>AB383/INDEX(v01_RepScale,G383)</x:f>
        <x:v>42.17932280595852</x:v>
      </x:c>
      <x:c r="AV383" s="32" t="n">
        <x:f>AM383*60/v01_SeasonSeconds</x:f>
        <x:v>15.295951010612344</x:v>
      </x:c>
    </x:row>
    <x:row r="384">
      <x:c r="A384" s="8" t="n">
        <x:f>A383+1</x:f>
        <x:v>381</x:v>
      </x:c>
      <x:c r="B384" s="9" t="n">
        <x:f>A384*v01_SeasonSeconds/60</x:f>
        <x:v>95.25</x:v>
      </x:c>
      <x:c r="C384" s="9" t="n">
        <x:f>A384/4</x:f>
        <x:v>95.25</x:v>
      </x:c>
      <x:c r="D384" s="8" t="n">
        <x:f>IF(MOD(A384,4)=0,1,0)</x:f>
        <x:v>0</x:v>
      </x:c>
      <x:c r="E384" s="8" t="n">
        <x:f>IF(AND(F383&lt;=9,AS383&gt;=AR383),1,0)</x:f>
        <x:v>0</x:v>
      </x:c>
      <x:c r="F384" s="8" t="n">
        <x:f>MIN(10,F383+E384)</x:f>
        <x:v>1</x:v>
      </x:c>
      <x:c r="G384" s="8" t="n">
        <x:f>MIN(F384,9)+1</x:f>
        <x:v>2</x:v>
      </x:c>
      <x:c r="H384" s="8" t="n">
        <x:f>IF(F384&lt;=9,1,0)</x:f>
        <x:v>1</x:v>
      </x:c>
      <x:c r="I384" s="9" t="n">
        <x:f>MIN(10,F383+IF(AR383&gt;0,MIN(1,AS383/AR383),1))</x:f>
        <x:v>1.442772996311732</x:v>
      </x:c>
      <x:c r="J384" s="32" t="n">
        <x:f>INDEX(v01_FoodCap,G384)*Arch_FoodCap*EXP(v01_CapsByProject*SUMPRODUCT((Cap_Point&lt;=I384)*(Cap_Kind="Food")*Cap_Ln))</x:f>
        <x:v>30</x:v>
      </x:c>
      <x:c r="K384" s="32" t="n">
        <x:f>J384*MIN(1,v01_LeanBase*EXP(v01_CapsByProject*SUMPRODUCT((Cap_Point&lt;=I384)*(Cap_Kind="Lean")*Cap_Ln)))</x:f>
        <x:v>30</x:v>
      </x:c>
      <x:c r="L384" s="10" t="n">
        <x:f>INDEX(v01_HousingCap,G384)*EXP(v01_CapsByProject*SUMPRODUCT((Cap_Point&lt;=I384)*(Cap_Kind="Housing")*Cap_Ln))</x:f>
        <x:v>60</x:v>
      </x:c>
      <x:c r="M384" s="10" t="n">
        <x:f>INDEX(v01_GroupCap,G384)*v01_CohesionFactor*EXP(v01_CapsByProject*SUMPRODUCT((Cap_Point&lt;=I384)*(Cap_Kind="Group")*Cap_Ln))</x:f>
        <x:v>100</x:v>
      </x:c>
      <x:c r="N384" s="32" t="n">
        <x:f>MIN(J384,L384,M384)</x:f>
        <x:v>30</x:v>
      </x:c>
      <x:c r="O384" s="10" t="n">
        <x:f>AE383*N384</x:f>
        <x:v>60</x:v>
      </x:c>
      <x:c r="P384" s="9" t="n">
        <x:f>MIN(1,(AB383/(AE383*IF(v01_GroupInCrowding=1,N384,MIN(J384,L384))))^v01_CrowdingExp)</x:f>
        <x:v>0.12069523219189407</x:v>
      </x:c>
      <x:c r="Q384" s="9" t="n">
        <x:f>IF(D384=1,INDEX(v01_WinterMult,G384),1)</x:f>
        <x:v>1</x:v>
      </x:c>
      <x:c r="R384" s="9" t="n">
        <x:f>H384*Z383*v01_WomenShare*v01_BaseFertility*INDEX(v01_FertMult,G384)*Arch_Fertility*(1-P384)</x:f>
        <x:v>0.6083323291397968</x:v>
      </x:c>
      <x:c r="S384" s="9" t="n">
        <x:f>H384*Y383*INDEX(v01_MortChild,G384)/4*Q384</x:f>
        <x:v>0.16307860247940095</x:v>
      </x:c>
      <x:c r="T384" s="9" t="n">
        <x:f>H384*Z383*INDEX(v01_MortAdult,G384)*Arch_AdultMort/4*Q384</x:f>
        <x:v>0.059958886977878274</x:v>
      </x:c>
      <x:c r="U384" s="9" t="n">
        <x:f>H384*AA383*INDEX(v01_MortElder,G384)/4*Q384</x:f>
        <x:v>0.10185759871997001</x:v>
      </x:c>
      <x:c r="V384" s="9" t="n">
        <x:f>H384*MAX(0,AB383-O384)*v01_OvercapLoss</x:f>
        <x:v>0</x:v>
      </x:c>
      <x:c r="W384" s="9" t="n">
        <x:f>H384*Y383/(v01_ChildYears*4)</x:f>
        <x:v>0.332813474447757</x:v>
      </x:c>
      <x:c r="X384" s="9" t="n">
        <x:f>H384*Z383/(v01_AdultYears*4)</x:f>
        <x:v>0.14878135726520664</x:v>
      </x:c>
      <x:c r="Y384" s="32" t="n">
        <x:f>Y383+R384-S384-W384-Y383*V384/AB383</x:f>
        <x:v>18.74999482128703</x:v>
      </x:c>
      <x:c r="Z384" s="32" t="n">
        <x:f>Z383+W384-X384-T384-Z383*V384/AB383</x:f>
        <x:v>18.572961531090296</x:v>
      </x:c>
      <x:c r="AA384" s="32" t="n">
        <x:f>AA383+X384-U384-AA383*V384/AB383</x:f>
        <x:v>5.139803694543736</x:v>
      </x:c>
      <x:c r="AB384" s="10" t="n">
        <x:f>Y384+Z384+AA384</x:f>
        <x:v>42.46276004692106</x:v>
      </x:c>
      <x:c r="AC384" s="8" t="n">
        <x:f>IF(AND(v01_WinterTrigger=1,D384=1,AB383/AE383&gt;=K384),1,0)</x:f>
        <x:v>0</x:v>
      </x:c>
      <x:c r="AD384" s="8" t="n">
        <x:f>H384*IF(AND(OR(AB383/AE383&gt;=v01_FissionTrigger*N384,AC384=1),AB383/AE383*v01_DaughterShare&gt;=v01_MinDaughter),MAX(1,ROUND(AE383*v01_FissionRate,0)),0)</x:f>
        <x:v>0</x:v>
      </x:c>
      <x:c r="AE384" s="8" t="n">
        <x:f>IF(H384=1,MAX(1,MIN(INDEX(v01_Smax,G384),AE383+AD384)),AE383)</x:f>
        <x:v>2</x:v>
      </x:c>
      <x:c r="AF384" s="8" t="n">
        <x:f>MAX(0,AE384-AE383)</x:f>
        <x:v>0</x:v>
      </x:c>
      <x:c r="AG384" s="9" t="str">
        <x:f>IF(AF384&gt;0,B384,"")</x:f>
      </x:c>
      <x:c r="AH384" s="9" t="n">
        <x:f>IF(F384&gt;=1,1,(1+v01_LowTiesShare*(AE384-1))/AE384)</x:f>
        <x:v>1</x:v>
      </x:c>
      <x:c r="AI384" s="32" t="n">
        <x:f>(Z384+v01_ElderCommons*INDEX(LM_Elder,G384)*AA384)*AH384</x:f>
        <x:v>31.16285796079426</x:v>
      </x:c>
      <x:c r="AJ384" s="32" t="n">
        <x:f>H384*v01_CommonsCoef*AI384^v01_CommonsExp*INDEX(LM_Commons,G384)</x:f>
        <x:v>12.278226020067114</x:v>
      </x:c>
      <x:c r="AK384" s="32" t="n">
        <x:f>H384*v01_RoleScale*Arch_Roles*(AE384*(INDEX(v01_ElderRolePerSett,G384)*v01_OutElder*INDEX(LM_Elder,G384)+INDEX(v01_ShamanPerSett,G384)*v01_OutShaman)+Z384*(INDEX(v01_PriestShare,G384)*v01_OutPriest+INDEX(v01_ScribeShare,G384)*v01_OutScribe*INDEX(LM_Scribe,G384)+INDEX(v01_ScholarShare,G384)*v01_OutScholar*INDEX(LM_Scholar,G384)+INDEX(v01_ResearcherShare,G384)*v01_OutResearcher*INDEX(LM_Researcher,G384)))</x:f>
        <x:v>2.724744871391589</x:v>
      </x:c>
      <x:c r="AL384" s="32" t="n">
        <x:f>H384*v01_RoleScale*Arch_Roles*AE384*INDEX(v01_MonasteryPerSett,G384)*v01_OutMonastery*INDEX(LM_Monastery,G384)</x:f>
        <x:v>0</x:v>
      </x:c>
      <x:c r="AM384" s="32" t="n">
        <x:f>(AJ384+AK384+AL384)/4*INDEX(LM_All,G384)*INDEX(v01_Boon,G384)*Arch_Insight</x:f>
        <x:v>3.8445112909362926</x:v>
      </x:c>
      <x:c r="AN384" s="32" t="n">
        <x:f>H384*(v01_KHPerAdult*Z384+v01_KHOfCommons*AJ384/4*INDEX(LM_All,G384))*v01_KHUsable*Arch_KH</x:f>
        <x:v>0.6500536535881604</x:v>
      </x:c>
      <x:c r="AO384" s="32" t="n">
        <x:f>MIN(AP383+AN384,AM384*v01_KHMaxRatio)</x:f>
        <x:v>0.6500536535881604</x:v>
      </x:c>
      <x:c r="AP384" s="32" t="n">
        <x:f>AP383+AN384-AO384</x:f>
        <x:v>0</x:v>
      </x:c>
      <x:c r="AQ384" s="32" t="n">
        <x:f>AM384+AO384</x:f>
        <x:v>4.494564944524453</x:v>
      </x:c>
      <x:c r="AR384" s="10" t="n">
        <x:f>IF(H384=1,INDEX(v01_Req,G384),0)</x:f>
        <x:v>1067.32</x:v>
      </x:c>
      <x:c r="AS384" s="32" t="n">
        <x:f>IF(H384=1,IF(E384=1,AS383-AR383,AS383)+AQ384,0)</x:f>
        <x:v>477.075039367962</x:v>
      </x:c>
      <x:c r="AT384" s="11" t="n">
        <x:f>IF(AR384&gt;0,MIN(1,AS384/AR384),1)</x:f>
        <x:v>0.44698407166357046</x:v>
      </x:c>
      <x:c r="AU384" s="10" t="n">
        <x:f>AB384/INDEX(v01_RepScale,G384)</x:f>
        <x:v>42.46276004692106</x:v>
      </x:c>
      <x:c r="AV384" s="32" t="n">
        <x:f>AM384*60/v01_SeasonSeconds</x:f>
        <x:v>15.378045163745169</x:v>
      </x:c>
    </x:row>
    <x:row r="385">
      <x:c r="A385" s="8" t="n">
        <x:f>A384+1</x:f>
        <x:v>382</x:v>
      </x:c>
      <x:c r="B385" s="9" t="n">
        <x:f>A385*v01_SeasonSeconds/60</x:f>
        <x:v>95.5</x:v>
      </x:c>
      <x:c r="C385" s="9" t="n">
        <x:f>A385/4</x:f>
        <x:v>95.5</x:v>
      </x:c>
      <x:c r="D385" s="8" t="n">
        <x:f>IF(MOD(A385,4)=0,1,0)</x:f>
        <x:v>0</x:v>
      </x:c>
      <x:c r="E385" s="8" t="n">
        <x:f>IF(AND(F384&lt;=9,AS384&gt;=AR384),1,0)</x:f>
        <x:v>0</x:v>
      </x:c>
      <x:c r="F385" s="8" t="n">
        <x:f>MIN(10,F384+E385)</x:f>
        <x:v>1</x:v>
      </x:c>
      <x:c r="G385" s="8" t="n">
        <x:f>MIN(F385,9)+1</x:f>
        <x:v>2</x:v>
      </x:c>
      <x:c r="H385" s="8" t="n">
        <x:f>IF(F385&lt;=9,1,0)</x:f>
        <x:v>1</x:v>
      </x:c>
      <x:c r="I385" s="9" t="n">
        <x:f>MIN(10,F384+IF(AR384&gt;0,MIN(1,AS384/AR384),1))</x:f>
        <x:v>1.4469840716635705</x:v>
      </x:c>
      <x:c r="J385" s="32" t="n">
        <x:f>INDEX(v01_FoodCap,G385)*Arch_FoodCap*EXP(v01_CapsByProject*SUMPRODUCT((Cap_Point&lt;=I385)*(Cap_Kind="Food")*Cap_Ln))</x:f>
        <x:v>30</x:v>
      </x:c>
      <x:c r="K385" s="32" t="n">
        <x:f>J385*MIN(1,v01_LeanBase*EXP(v01_CapsByProject*SUMPRODUCT((Cap_Point&lt;=I385)*(Cap_Kind="Lean")*Cap_Ln)))</x:f>
        <x:v>30</x:v>
      </x:c>
      <x:c r="L385" s="10" t="n">
        <x:f>INDEX(v01_HousingCap,G385)*EXP(v01_CapsByProject*SUMPRODUCT((Cap_Point&lt;=I385)*(Cap_Kind="Housing")*Cap_Ln))</x:f>
        <x:v>60</x:v>
      </x:c>
      <x:c r="M385" s="10" t="n">
        <x:f>INDEX(v01_GroupCap,G385)*v01_CohesionFactor*EXP(v01_CapsByProject*SUMPRODUCT((Cap_Point&lt;=I385)*(Cap_Kind="Group")*Cap_Ln))</x:f>
        <x:v>100</x:v>
      </x:c>
      <x:c r="N385" s="32" t="n">
        <x:f>MIN(J385,L385,M385)</x:f>
        <x:v>30</x:v>
      </x:c>
      <x:c r="O385" s="10" t="n">
        <x:f>AE384*N385</x:f>
        <x:v>60</x:v>
      </x:c>
      <x:c r="P385" s="9" t="n">
        <x:f>MIN(1,(AB384/(AE384*IF(v01_GroupInCrowding=1,N385,MIN(J385,L385))))^v01_CrowdingExp)</x:f>
        <x:v>0.12564401761874305</x:v>
      </x:c>
      <x:c r="Q385" s="9" t="n">
        <x:f>IF(D385=1,INDEX(v01_WinterMult,G385),1)</x:f>
        <x:v>1</x:v>
      </x:c>
      <x:c r="R385" s="9" t="n">
        <x:f>H385*Z384*v01_WomenShare*v01_BaseFertility*INDEX(v01_FertMult,G385)*Arch_Fertility*(1-P385)</x:f>
        <x:v>0.6089767509467157</x:v>
      </x:c>
      <x:c r="S385" s="9" t="n">
        <x:f>H385*Y384*INDEX(v01_MortChild,G385)/4*Q385</x:f>
        <x:v>0.16406245468626152</x:v>
      </x:c>
      <x:c r="T385" s="9" t="n">
        <x:f>H385*Z384*INDEX(v01_MortAdult,G385)*Arch_AdultMort/4*Q385</x:f>
        <x:v>0.06036212497604346</x:v>
      </x:c>
      <x:c r="U385" s="9" t="n">
        <x:f>H385*AA384*INDEX(v01_MortElder,G385)/4*Q385</x:f>
        <x:v>0.10279607389087472</x:v>
      </x:c>
      <x:c r="V385" s="9" t="n">
        <x:f>H385*MAX(0,AB384-O385)*v01_OvercapLoss</x:f>
        <x:v>0</x:v>
      </x:c>
      <x:c r="W385" s="9" t="n">
        <x:f>H385*Y384/(v01_ChildYears*4)</x:f>
        <x:v>0.3348213360944112</x:v>
      </x:c>
      <x:c r="X385" s="9" t="n">
        <x:f>H385*Z384/(v01_AdultYears*4)</x:f>
        <x:v>0.14978194783137336</x:v>
      </x:c>
      <x:c r="Y385" s="32" t="n">
        <x:f>Y384+R385-S385-W385-Y384*V385/AB384</x:f>
        <x:v>18.86008778145307</x:v>
      </x:c>
      <x:c r="Z385" s="32" t="n">
        <x:f>Z384+W385-X385-T385-Z384*V385/AB384</x:f>
        <x:v>18.697638794377287</x:v>
      </x:c>
      <x:c r="AA385" s="32" t="n">
        <x:f>AA384+X385-U385-AA384*V385/AB384</x:f>
        <x:v>5.186789568484235</x:v>
      </x:c>
      <x:c r="AB385" s="10" t="n">
        <x:f>Y385+Z385+AA385</x:f>
        <x:v>42.744516144314595</x:v>
      </x:c>
      <x:c r="AC385" s="8" t="n">
        <x:f>IF(AND(v01_WinterTrigger=1,D385=1,AB384/AE384&gt;=K385),1,0)</x:f>
        <x:v>0</x:v>
      </x:c>
      <x:c r="AD385" s="8" t="n">
        <x:f>H385*IF(AND(OR(AB384/AE384&gt;=v01_FissionTrigger*N385,AC385=1),AB384/AE384*v01_DaughterShare&gt;=v01_MinDaughter),MAX(1,ROUND(AE384*v01_FissionRate,0)),0)</x:f>
        <x:v>0</x:v>
      </x:c>
      <x:c r="AE385" s="8" t="n">
        <x:f>IF(H385=1,MAX(1,MIN(INDEX(v01_Smax,G385),AE384+AD385)),AE384)</x:f>
        <x:v>2</x:v>
      </x:c>
      <x:c r="AF385" s="8" t="n">
        <x:f>MAX(0,AE385-AE384)</x:f>
        <x:v>0</x:v>
      </x:c>
      <x:c r="AG385" s="9" t="str">
        <x:f>IF(AF385&gt;0,B385,"")</x:f>
      </x:c>
      <x:c r="AH385" s="9" t="n">
        <x:f>IF(F385&gt;=1,1,(1+v01_LowTiesShare*(AE385-1))/AE385)</x:f>
        <x:v>1</x:v>
      </x:c>
      <x:c r="AI385" s="32" t="n">
        <x:f>(Z385+v01_ElderCommons*INDEX(LM_Elder,G385)*AA385)*AH385</x:f>
        <x:v>31.402626640354207</x:v>
      </x:c>
      <x:c r="AJ385" s="32" t="n">
        <x:f>H385*v01_CommonsCoef*AI385^v01_CommonsExp*INDEX(LM_Commons,G385)</x:f>
        <x:v>12.358478742430842</x:v>
      </x:c>
      <x:c r="AK385" s="32" t="n">
        <x:f>H385*v01_RoleScale*Arch_Roles*(AE385*(INDEX(v01_ElderRolePerSett,G385)*v01_OutElder*INDEX(LM_Elder,G385)+INDEX(v01_ShamanPerSett,G385)*v01_OutShaman)+Z385*(INDEX(v01_PriestShare,G385)*v01_OutPriest+INDEX(v01_ScribeShare,G385)*v01_OutScribe*INDEX(LM_Scribe,G385)+INDEX(v01_ScholarShare,G385)*v01_OutScholar*INDEX(LM_Scholar,G385)+INDEX(v01_ResearcherShare,G385)*v01_OutResearcher*INDEX(LM_Researcher,G385)))</x:f>
        <x:v>2.724744871391589</x:v>
      </x:c>
      <x:c r="AL385" s="32" t="n">
        <x:f>H385*v01_RoleScale*Arch_Roles*AE385*INDEX(v01_MonasteryPerSett,G385)*v01_OutMonastery*INDEX(LM_Monastery,G385)</x:f>
        <x:v>0</x:v>
      </x:c>
      <x:c r="AM385" s="32" t="n">
        <x:f>(AJ385+AK385+AL385)/4*INDEX(LM_All,G385)*INDEX(v01_Boon,G385)*Arch_Insight</x:f>
        <x:v>3.865076051041998</x:v>
      </x:c>
      <x:c r="AN385" s="32" t="n">
        <x:f>H385*(v01_KHPerAdult*Z385+v01_KHOfCommons*AJ385/4*INDEX(LM_All,G385))*v01_KHUsable*Arch_KH</x:f>
        <x:v>0.654417357803205</x:v>
      </x:c>
      <x:c r="AO385" s="32" t="n">
        <x:f>MIN(AP384+AN385,AM385*v01_KHMaxRatio)</x:f>
        <x:v>0.654417357803205</x:v>
      </x:c>
      <x:c r="AP385" s="32" t="n">
        <x:f>AP384+AN385-AO385</x:f>
        <x:v>0</x:v>
      </x:c>
      <x:c r="AQ385" s="32" t="n">
        <x:f>AM385+AO385</x:f>
        <x:v>4.519493408845203</x:v>
      </x:c>
      <x:c r="AR385" s="10" t="n">
        <x:f>IF(H385=1,INDEX(v01_Req,G385),0)</x:f>
        <x:v>1067.32</x:v>
      </x:c>
      <x:c r="AS385" s="32" t="n">
        <x:f>IF(H385=1,IF(E385=1,AS384-AR384,AS384)+AQ385,0)</x:f>
        <x:v>481.5945327768072</x:v>
      </x:c>
      <x:c r="AT385" s="11" t="n">
        <x:f>IF(AR385&gt;0,MIN(1,AS385/AR385),1)</x:f>
        <x:v>0.45121850314508044</x:v>
      </x:c>
      <x:c r="AU385" s="10" t="n">
        <x:f>AB385/INDEX(v01_RepScale,G385)</x:f>
        <x:v>42.744516144314595</x:v>
      </x:c>
      <x:c r="AV385" s="32" t="n">
        <x:f>AM385*60/v01_SeasonSeconds</x:f>
        <x:v>15.460304204167992</x:v>
      </x:c>
    </x:row>
    <x:row r="386">
      <x:c r="A386" s="8" t="n">
        <x:f>A385+1</x:f>
        <x:v>383</x:v>
      </x:c>
      <x:c r="B386" s="9" t="n">
        <x:f>A386*v01_SeasonSeconds/60</x:f>
        <x:v>95.75</x:v>
      </x:c>
      <x:c r="C386" s="9" t="n">
        <x:f>A386/4</x:f>
        <x:v>95.75</x:v>
      </x:c>
      <x:c r="D386" s="8" t="n">
        <x:f>IF(MOD(A386,4)=0,1,0)</x:f>
        <x:v>0</x:v>
      </x:c>
      <x:c r="E386" s="8" t="n">
        <x:f>IF(AND(F385&lt;=9,AS385&gt;=AR385),1,0)</x:f>
        <x:v>0</x:v>
      </x:c>
      <x:c r="F386" s="8" t="n">
        <x:f>MIN(10,F385+E386)</x:f>
        <x:v>1</x:v>
      </x:c>
      <x:c r="G386" s="8" t="n">
        <x:f>MIN(F386,9)+1</x:f>
        <x:v>2</x:v>
      </x:c>
      <x:c r="H386" s="8" t="n">
        <x:f>IF(F386&lt;=9,1,0)</x:f>
        <x:v>1</x:v>
      </x:c>
      <x:c r="I386" s="9" t="n">
        <x:f>MIN(10,F385+IF(AR385&gt;0,MIN(1,AS385/AR385),1))</x:f>
        <x:v>1.4512185031450804</x:v>
      </x:c>
      <x:c r="J386" s="32" t="n">
        <x:f>INDEX(v01_FoodCap,G386)*Arch_FoodCap*EXP(v01_CapsByProject*SUMPRODUCT((Cap_Point&lt;=I386)*(Cap_Kind="Food")*Cap_Ln))</x:f>
        <x:v>30</x:v>
      </x:c>
      <x:c r="K386" s="32" t="n">
        <x:f>J386*MIN(1,v01_LeanBase*EXP(v01_CapsByProject*SUMPRODUCT((Cap_Point&lt;=I386)*(Cap_Kind="Lean")*Cap_Ln)))</x:f>
        <x:v>30</x:v>
      </x:c>
      <x:c r="L386" s="10" t="n">
        <x:f>INDEX(v01_HousingCap,G386)*EXP(v01_CapsByProject*SUMPRODUCT((Cap_Point&lt;=I386)*(Cap_Kind="Housing")*Cap_Ln))</x:f>
        <x:v>60</x:v>
      </x:c>
      <x:c r="M386" s="10" t="n">
        <x:f>INDEX(v01_GroupCap,G386)*v01_CohesionFactor*EXP(v01_CapsByProject*SUMPRODUCT((Cap_Point&lt;=I386)*(Cap_Kind="Group")*Cap_Ln))</x:f>
        <x:v>100</x:v>
      </x:c>
      <x:c r="N386" s="32" t="n">
        <x:f>MIN(J386,L386,M386)</x:f>
        <x:v>30</x:v>
      </x:c>
      <x:c r="O386" s="10" t="n">
        <x:f>AE385*N386</x:f>
        <x:v>60</x:v>
      </x:c>
      <x:c r="P386" s="9" t="n">
        <x:f>MIN(1,(AB385/(AE385*IF(v01_GroupInCrowding=1,N386,MIN(J386,L386))))^v01_CrowdingExp)</x:f>
        <x:v>0.1307299002592047</x:v>
      </x:c>
      <x:c r="Q386" s="9" t="n">
        <x:f>IF(D386=1,INDEX(v01_WinterMult,G386),1)</x:f>
        <x:v>1</x:v>
      </x:c>
      <x:c r="R386" s="9" t="n">
        <x:f>H386*Z385*v01_WomenShare*v01_BaseFertility*INDEX(v01_FertMult,G386)*Arch_Fertility*(1-P386)</x:f>
        <x:v>0.609498687738964</x:v>
      </x:c>
      <x:c r="S386" s="9" t="n">
        <x:f>H386*Y385*INDEX(v01_MortChild,G386)/4*Q386</x:f>
        <x:v>0.16502576808771438</x:v>
      </x:c>
      <x:c r="T386" s="9" t="n">
        <x:f>H386*Z385*INDEX(v01_MortAdult,G386)*Arch_AdultMort/4*Q386</x:f>
        <x:v>0.06076732608172618</x:v>
      </x:c>
      <x:c r="U386" s="9" t="n">
        <x:f>H386*AA385*INDEX(v01_MortElder,G386)/4*Q386</x:f>
        <x:v>0.1037357913696847</x:v>
      </x:c>
      <x:c r="V386" s="9" t="n">
        <x:f>H386*MAX(0,AB385-O386)*v01_OvercapLoss</x:f>
        <x:v>0</x:v>
      </x:c>
      <x:c r="W386" s="9" t="n">
        <x:f>H386*Y385/(v01_ChildYears*4)</x:f>
        <x:v>0.336787281811662</x:v>
      </x:c>
      <x:c r="X386" s="9" t="n">
        <x:f>H386*Z385/(v01_AdultYears*4)</x:f>
        <x:v>0.1507874096320749</x:v>
      </x:c>
      <x:c r="Y386" s="32" t="n">
        <x:f>Y385+R386-S386-W386-Y385*V386/AB385</x:f>
        <x:v>18.967773419292655</x:v>
      </x:c>
      <x:c r="Z386" s="32" t="n">
        <x:f>Z385+W386-X386-T386-Z385*V386/AB385</x:f>
        <x:v>18.82287134047515</x:v>
      </x:c>
      <x:c r="AA386" s="32" t="n">
        <x:f>AA385+X386-U386-AA385*V386/AB385</x:f>
        <x:v>5.233841186746625</x:v>
      </x:c>
      <x:c r="AB386" s="10" t="n">
        <x:f>Y386+Z386+AA386</x:f>
        <x:v>43.024485946514424</x:v>
      </x:c>
      <x:c r="AC386" s="8" t="n">
        <x:f>IF(AND(v01_WinterTrigger=1,D386=1,AB385/AE385&gt;=K386),1,0)</x:f>
        <x:v>0</x:v>
      </x:c>
      <x:c r="AD386" s="8" t="n">
        <x:f>H386*IF(AND(OR(AB385/AE385&gt;=v01_FissionTrigger*N386,AC386=1),AB385/AE385*v01_DaughterShare&gt;=v01_MinDaughter),MAX(1,ROUND(AE385*v01_FissionRate,0)),0)</x:f>
        <x:v>0</x:v>
      </x:c>
      <x:c r="AE386" s="8" t="n">
        <x:f>IF(H386=1,MAX(1,MIN(INDEX(v01_Smax,G386),AE385+AD386)),AE385)</x:f>
        <x:v>2</x:v>
      </x:c>
      <x:c r="AF386" s="8" t="n">
        <x:f>MAX(0,AE386-AE385)</x:f>
        <x:v>0</x:v>
      </x:c>
      <x:c r="AG386" s="9" t="str">
        <x:f>IF(AF386&gt;0,B386,"")</x:f>
      </x:c>
      <x:c r="AH386" s="9" t="n">
        <x:f>IF(F386&gt;=1,1,(1+v01_LowTiesShare*(AE386-1))/AE386)</x:f>
        <x:v>1</x:v>
      </x:c>
      <x:c r="AI386" s="32" t="n">
        <x:f>(Z386+v01_ElderCommons*INDEX(LM_Elder,G386)*AA386)*AH386</x:f>
        <x:v>31.643111642767145</x:v>
      </x:c>
      <x:c r="AJ386" s="32" t="n">
        <x:f>H386*v01_CommonsCoef*AI386^v01_CommonsExp*INDEX(LM_Commons,G386)</x:f>
        <x:v>12.438878951728942</x:v>
      </x:c>
      <x:c r="AK386" s="32" t="n">
        <x:f>H386*v01_RoleScale*Arch_Roles*(AE386*(INDEX(v01_ElderRolePerSett,G386)*v01_OutElder*INDEX(LM_Elder,G386)+INDEX(v01_ShamanPerSett,G386)*v01_OutShaman)+Z386*(INDEX(v01_PriestShare,G386)*v01_OutPriest+INDEX(v01_ScribeShare,G386)*v01_OutScribe*INDEX(LM_Scribe,G386)+INDEX(v01_ScholarShare,G386)*v01_OutScholar*INDEX(LM_Scholar,G386)+INDEX(v01_ResearcherShare,G386)*v01_OutResearcher*INDEX(LM_Researcher,G386)))</x:f>
        <x:v>2.724744871391589</x:v>
      </x:c>
      <x:c r="AL386" s="32" t="n">
        <x:f>H386*v01_RoleScale*Arch_Roles*AE386*INDEX(v01_MonasteryPerSett,G386)*v01_OutMonastery*INDEX(LM_Monastery,G386)</x:f>
        <x:v>0</x:v>
      </x:c>
      <x:c r="AM386" s="32" t="n">
        <x:f>(AJ386+AK386+AL386)/4*INDEX(LM_All,G386)*INDEX(v01_Boon,G386)*Arch_Insight</x:f>
        <x:v>3.8856786046746357</x:v>
      </x:c>
      <x:c r="AN386" s="32" t="n">
        <x:f>H386*(v01_KHPerAdult*Z386+v01_KHOfCommons*AJ386/4*INDEX(LM_All,G386))*v01_KHUsable*Arch_KH</x:f>
        <x:v>0.6588004969166302</x:v>
      </x:c>
      <x:c r="AO386" s="32" t="n">
        <x:f>MIN(AP385+AN386,AM386*v01_KHMaxRatio)</x:f>
        <x:v>0.6588004969166302</x:v>
      </x:c>
      <x:c r="AP386" s="32" t="n">
        <x:f>AP385+AN386-AO386</x:f>
        <x:v>0</x:v>
      </x:c>
      <x:c r="AQ386" s="32" t="n">
        <x:f>AM386+AO386</x:f>
        <x:v>4.544479101591266</x:v>
      </x:c>
      <x:c r="AR386" s="10" t="n">
        <x:f>IF(H386=1,INDEX(v01_Req,G386),0)</x:f>
        <x:v>1067.32</x:v>
      </x:c>
      <x:c r="AS386" s="32" t="n">
        <x:f>IF(H386=1,IF(E386=1,AS385-AR385,AS385)+AQ386,0)</x:f>
        <x:v>486.1390118783985</x:v>
      </x:c>
      <x:c r="AT386" s="11" t="n">
        <x:f>IF(AR386&gt;0,MIN(1,AS386/AR386),1)</x:f>
        <x:v>0.4554763443750689</x:v>
      </x:c>
      <x:c r="AU386" s="10" t="n">
        <x:f>AB386/INDEX(v01_RepScale,G386)</x:f>
        <x:v>43.024485946514424</x:v>
      </x:c>
      <x:c r="AV386" s="32" t="n">
        <x:f>AM386*60/v01_SeasonSeconds</x:f>
        <x:v>15.542714418698543</x:v>
      </x:c>
    </x:row>
    <x:row r="387">
      <x:c r="A387" s="8" t="n">
        <x:f>A386+1</x:f>
        <x:v>384</x:v>
      </x:c>
      <x:c r="B387" s="9" t="n">
        <x:f>A387*v01_SeasonSeconds/60</x:f>
        <x:v>96</x:v>
      </x:c>
      <x:c r="C387" s="9" t="n">
        <x:f>A387/4</x:f>
        <x:v>96</x:v>
      </x:c>
      <x:c r="D387" s="8" t="n">
        <x:f>IF(MOD(A387,4)=0,1,0)</x:f>
        <x:v>1</x:v>
      </x:c>
      <x:c r="E387" s="8" t="n">
        <x:f>IF(AND(F386&lt;=9,AS386&gt;=AR386),1,0)</x:f>
        <x:v>0</x:v>
      </x:c>
      <x:c r="F387" s="8" t="n">
        <x:f>MIN(10,F386+E387)</x:f>
        <x:v>1</x:v>
      </x:c>
      <x:c r="G387" s="8" t="n">
        <x:f>MIN(F387,9)+1</x:f>
        <x:v>2</x:v>
      </x:c>
      <x:c r="H387" s="8" t="n">
        <x:f>IF(F387&lt;=9,1,0)</x:f>
        <x:v>1</x:v>
      </x:c>
      <x:c r="I387" s="9" t="n">
        <x:f>MIN(10,F386+IF(AR386&gt;0,MIN(1,AS386/AR386),1))</x:f>
        <x:v>1.455476344375069</x:v>
      </x:c>
      <x:c r="J387" s="32" t="n">
        <x:f>INDEX(v01_FoodCap,G387)*Arch_FoodCap*EXP(v01_CapsByProject*SUMPRODUCT((Cap_Point&lt;=I387)*(Cap_Kind="Food")*Cap_Ln))</x:f>
        <x:v>30</x:v>
      </x:c>
      <x:c r="K387" s="32" t="n">
        <x:f>J387*MIN(1,v01_LeanBase*EXP(v01_CapsByProject*SUMPRODUCT((Cap_Point&lt;=I387)*(Cap_Kind="Lean")*Cap_Ln)))</x:f>
        <x:v>30</x:v>
      </x:c>
      <x:c r="L387" s="10" t="n">
        <x:f>INDEX(v01_HousingCap,G387)*EXP(v01_CapsByProject*SUMPRODUCT((Cap_Point&lt;=I387)*(Cap_Kind="Housing")*Cap_Ln))</x:f>
        <x:v>60</x:v>
      </x:c>
      <x:c r="M387" s="10" t="n">
        <x:f>INDEX(v01_GroupCap,G387)*v01_CohesionFactor*EXP(v01_CapsByProject*SUMPRODUCT((Cap_Point&lt;=I387)*(Cap_Kind="Group")*Cap_Ln))</x:f>
        <x:v>100</x:v>
      </x:c>
      <x:c r="N387" s="32" t="n">
        <x:f>MIN(J387,L387,M387)</x:f>
        <x:v>30</x:v>
      </x:c>
      <x:c r="O387" s="10" t="n">
        <x:f>AE386*N387</x:f>
        <x:v>60</x:v>
      </x:c>
      <x:c r="P387" s="9" t="n">
        <x:f>MIN(1,(AB386/(AE386*IF(v01_GroupInCrowding=1,N387,MIN(J387,L387))))^v01_CrowdingExp)</x:f>
        <x:v>0.13595232476669933</x:v>
      </x:c>
      <x:c r="Q387" s="9" t="n">
        <x:f>IF(D387=1,INDEX(v01_WinterMult,G387),1)</x:f>
        <x:v>1.6</x:v>
      </x:c>
      <x:c r="R387" s="9" t="n">
        <x:f>H387*Z386*v01_WomenShare*v01_BaseFertility*INDEX(v01_FertMult,G387)*Arch_Fertility*(1-P387)</x:f>
        <x:v>0.6098946833607403</x:v>
      </x:c>
      <x:c r="S387" s="9" t="n">
        <x:f>H387*Y386*INDEX(v01_MortChild,G387)/4*Q387</x:f>
        <x:v>0.2655488278700972</x:v>
      </x:c>
      <x:c r="T387" s="9" t="n">
        <x:f>H387*Z386*INDEX(v01_MortAdult,G387)*Arch_AdultMort/4*Q387</x:f>
        <x:v>0.09787893097047078</x:v>
      </x:c>
      <x:c r="U387" s="9" t="n">
        <x:f>H387*AA386*INDEX(v01_MortElder,G387)/4*Q387</x:f>
        <x:v>0.16748291797589202</x:v>
      </x:c>
      <x:c r="V387" s="9" t="n">
        <x:f>H387*MAX(0,AB386-O387)*v01_OvercapLoss</x:f>
        <x:v>0</x:v>
      </x:c>
      <x:c r="W387" s="9" t="n">
        <x:f>H387*Y386/(v01_ChildYears*4)</x:f>
        <x:v>0.338710239630226</x:v>
      </x:c>
      <x:c r="X387" s="9" t="n">
        <x:f>H387*Z386/(v01_AdultYears*4)</x:f>
        <x:v>0.15179734951996088</x:v>
      </x:c>
      <x:c r="Y387" s="32" t="n">
        <x:f>Y386+R387-S387-W387-Y386*V387/AB386</x:f>
        <x:v>18.973409035153068</x:v>
      </x:c>
      <x:c r="Z387" s="32" t="n">
        <x:f>Z386+W387-X387-T387-Z386*V387/AB386</x:f>
        <x:v>18.911905299614947</x:v>
      </x:c>
      <x:c r="AA387" s="32" t="n">
        <x:f>AA386+X387-U387-AA386*V387/AB386</x:f>
        <x:v>5.218155618290694</x:v>
      </x:c>
      <x:c r="AB387" s="10" t="n">
        <x:f>Y387+Z387+AA387</x:f>
        <x:v>43.103469953058706</x:v>
      </x:c>
      <x:c r="AC387" s="8" t="n">
        <x:f>IF(AND(v01_WinterTrigger=1,D387=1,AB386/AE386&gt;=K387),1,0)</x:f>
        <x:v>0</x:v>
      </x:c>
      <x:c r="AD387" s="8" t="n">
        <x:f>H387*IF(AND(OR(AB386/AE386&gt;=v01_FissionTrigger*N387,AC387=1),AB386/AE386*v01_DaughterShare&gt;=v01_MinDaughter),MAX(1,ROUND(AE386*v01_FissionRate,0)),0)</x:f>
        <x:v>0</x:v>
      </x:c>
      <x:c r="AE387" s="8" t="n">
        <x:f>IF(H387=1,MAX(1,MIN(INDEX(v01_Smax,G387),AE386+AD387)),AE386)</x:f>
        <x:v>2</x:v>
      </x:c>
      <x:c r="AF387" s="8" t="n">
        <x:f>MAX(0,AE387-AE386)</x:f>
        <x:v>0</x:v>
      </x:c>
      <x:c r="AG387" s="9" t="str">
        <x:f>IF(AF387&gt;0,B387,"")</x:f>
      </x:c>
      <x:c r="AH387" s="9" t="n">
        <x:f>IF(F387&gt;=1,1,(1+v01_LowTiesShare*(AE387-1))/AE387)</x:f>
        <x:v>1</x:v>
      </x:c>
      <x:c r="AI387" s="32" t="n">
        <x:f>(Z387+v01_ElderCommons*INDEX(LM_Elder,G387)*AA387)*AH387</x:f>
        <x:v>31.69372396286441</x:v>
      </x:c>
      <x:c r="AJ387" s="32" t="n">
        <x:f>H387*v01_CommonsCoef*AI387^v01_CommonsExp*INDEX(LM_Commons,G387)</x:f>
        <x:v>12.455788233471024</x:v>
      </x:c>
      <x:c r="AK387" s="32" t="n">
        <x:f>H387*v01_RoleScale*Arch_Roles*(AE387*(INDEX(v01_ElderRolePerSett,G387)*v01_OutElder*INDEX(LM_Elder,G387)+INDEX(v01_ShamanPerSett,G387)*v01_OutShaman)+Z387*(INDEX(v01_PriestShare,G387)*v01_OutPriest+INDEX(v01_ScribeShare,G387)*v01_OutScribe*INDEX(LM_Scribe,G387)+INDEX(v01_ScholarShare,G387)*v01_OutScholar*INDEX(LM_Scholar,G387)+INDEX(v01_ResearcherShare,G387)*v01_OutResearcher*INDEX(LM_Researcher,G387)))</x:f>
        <x:v>2.724744871391589</x:v>
      </x:c>
      <x:c r="AL387" s="32" t="n">
        <x:f>H387*v01_RoleScale*Arch_Roles*AE387*INDEX(v01_MonasteryPerSett,G387)*v01_OutMonastery*INDEX(LM_Monastery,G387)</x:f>
        <x:v>0</x:v>
      </x:c>
      <x:c r="AM387" s="32" t="n">
        <x:f>(AJ387+AK387+AL387)/4*INDEX(LM_All,G387)*INDEX(v01_Boon,G387)*Arch_Insight</x:f>
        <x:v>3.8900116081210445</x:v>
      </x:c>
      <x:c r="AN387" s="32" t="n">
        <x:f>H387*(v01_KHPerAdult*Z387+v01_KHOfCommons*AJ387/4*INDEX(LM_All,G387))*v01_KHUsable*Arch_KH</x:f>
        <x:v>0.6619166854865232</x:v>
      </x:c>
      <x:c r="AO387" s="32" t="n">
        <x:f>MIN(AP386+AN387,AM387*v01_KHMaxRatio)</x:f>
        <x:v>0.6619166854865232</x:v>
      </x:c>
      <x:c r="AP387" s="32" t="n">
        <x:f>AP386+AN387-AO387</x:f>
        <x:v>0</x:v>
      </x:c>
      <x:c r="AQ387" s="32" t="n">
        <x:f>AM387+AO387</x:f>
        <x:v>4.551928293607568</x:v>
      </x:c>
      <x:c r="AR387" s="10" t="n">
        <x:f>IF(H387=1,INDEX(v01_Req,G387),0)</x:f>
        <x:v>1067.32</x:v>
      </x:c>
      <x:c r="AS387" s="32" t="n">
        <x:f>IF(H387=1,IF(E387=1,AS386-AR386,AS386)+AQ387,0)</x:f>
        <x:v>490.69094017200604</x:v>
      </x:c>
      <x:c r="AT387" s="11" t="n">
        <x:f>IF(AR387&gt;0,MIN(1,AS387/AR387),1)</x:f>
        <x:v>0.4597411649477252</x:v>
      </x:c>
      <x:c r="AU387" s="10" t="n">
        <x:f>AB387/INDEX(v01_RepScale,G387)</x:f>
        <x:v>43.103469953058706</x:v>
      </x:c>
      <x:c r="AV387" s="32" t="n">
        <x:f>AM387*60/v01_SeasonSeconds</x:f>
        <x:v>15.560046432484178</x:v>
      </x:c>
    </x:row>
    <x:row r="388">
      <x:c r="A388" s="8" t="n">
        <x:f>A387+1</x:f>
        <x:v>385</x:v>
      </x:c>
      <x:c r="B388" s="9" t="n">
        <x:f>A388*v01_SeasonSeconds/60</x:f>
        <x:v>96.25</x:v>
      </x:c>
      <x:c r="C388" s="9" t="n">
        <x:f>A388/4</x:f>
        <x:v>96.25</x:v>
      </x:c>
      <x:c r="D388" s="8" t="n">
        <x:f>IF(MOD(A388,4)=0,1,0)</x:f>
        <x:v>0</x:v>
      </x:c>
      <x:c r="E388" s="8" t="n">
        <x:f>IF(AND(F387&lt;=9,AS387&gt;=AR387),1,0)</x:f>
        <x:v>0</x:v>
      </x:c>
      <x:c r="F388" s="8" t="n">
        <x:f>MIN(10,F387+E388)</x:f>
        <x:v>1</x:v>
      </x:c>
      <x:c r="G388" s="8" t="n">
        <x:f>MIN(F388,9)+1</x:f>
        <x:v>2</x:v>
      </x:c>
      <x:c r="H388" s="8" t="n">
        <x:f>IF(F388&lt;=9,1,0)</x:f>
        <x:v>1</x:v>
      </x:c>
      <x:c r="I388" s="9" t="n">
        <x:f>MIN(10,F387+IF(AR387&gt;0,MIN(1,AS387/AR387),1))</x:f>
        <x:v>1.4597411649477252</x:v>
      </x:c>
      <x:c r="J388" s="32" t="n">
        <x:f>INDEX(v01_FoodCap,G388)*Arch_FoodCap*EXP(v01_CapsByProject*SUMPRODUCT((Cap_Point&lt;=I388)*(Cap_Kind="Food")*Cap_Ln))</x:f>
        <x:v>30</x:v>
      </x:c>
      <x:c r="K388" s="32" t="n">
        <x:f>J388*MIN(1,v01_LeanBase*EXP(v01_CapsByProject*SUMPRODUCT((Cap_Point&lt;=I388)*(Cap_Kind="Lean")*Cap_Ln)))</x:f>
        <x:v>30</x:v>
      </x:c>
      <x:c r="L388" s="10" t="n">
        <x:f>INDEX(v01_HousingCap,G388)*EXP(v01_CapsByProject*SUMPRODUCT((Cap_Point&lt;=I388)*(Cap_Kind="Housing")*Cap_Ln))</x:f>
        <x:v>60</x:v>
      </x:c>
      <x:c r="M388" s="10" t="n">
        <x:f>INDEX(v01_GroupCap,G388)*v01_CohesionFactor*EXP(v01_CapsByProject*SUMPRODUCT((Cap_Point&lt;=I388)*(Cap_Kind="Group")*Cap_Ln))</x:f>
        <x:v>100</x:v>
      </x:c>
      <x:c r="N388" s="32" t="n">
        <x:f>MIN(J388,L388,M388)</x:f>
        <x:v>30</x:v>
      </x:c>
      <x:c r="O388" s="10" t="n">
        <x:f>AE387*N388</x:f>
        <x:v>60</x:v>
      </x:c>
      <x:c r="P388" s="9" t="n">
        <x:f>MIN(1,(AB387/(AE387*IF(v01_GroupInCrowding=1,N388,MIN(J388,L388))))^v01_CrowdingExp)</x:f>
        <x:v>0.13745669540239586</x:v>
      </x:c>
      <x:c r="Q388" s="9" t="n">
        <x:f>IF(D388=1,INDEX(v01_WinterMult,G388),1)</x:f>
        <x:v>1</x:v>
      </x:c>
      <x:c r="R388" s="9" t="n">
        <x:f>H388*Z387*v01_WomenShare*v01_BaseFertility*INDEX(v01_FertMult,G388)*Arch_Fertility*(1-P388)</x:f>
        <x:v>0.6117126485012557</x:v>
      </x:c>
      <x:c r="S388" s="9" t="n">
        <x:f>H388*Y387*INDEX(v01_MortChild,G388)/4*Q388</x:f>
        <x:v>0.16601732905758937</x:v>
      </x:c>
      <x:c r="T388" s="9" t="n">
        <x:f>H388*Z387*INDEX(v01_MortAdult,G388)*Arch_AdultMort/4*Q388</x:f>
        <x:v>0.061463692223748576</x:v>
      </x:c>
      <x:c r="U388" s="9" t="n">
        <x:f>H388*AA387*INDEX(v01_MortElder,G388)/4*Q388</x:f>
        <x:v>0.10436311236581387</x:v>
      </x:c>
      <x:c r="V388" s="9" t="n">
        <x:f>H388*MAX(0,AB387-O388)*v01_OvercapLoss</x:f>
        <x:v>0</x:v>
      </x:c>
      <x:c r="W388" s="9" t="n">
        <x:f>H388*Y387/(v01_ChildYears*4)</x:f>
        <x:v>0.3388108756277334</x:v>
      </x:c>
      <x:c r="X388" s="9" t="n">
        <x:f>H388*Z387/(v01_AdultYears*4)</x:f>
        <x:v>0.15251536531947538</x:v>
      </x:c>
      <x:c r="Y388" s="32" t="n">
        <x:f>Y387+R388-S388-W388-Y387*V388/AB387</x:f>
        <x:v>19.080293478969004</x:v>
      </x:c>
      <x:c r="Z388" s="32" t="n">
        <x:f>Z387+W388-X388-T388-Z387*V388/AB387</x:f>
        <x:v>19.036737117699452</x:v>
      </x:c>
      <x:c r="AA388" s="32" t="n">
        <x:f>AA387+X388-U388-AA387*V388/AB387</x:f>
        <x:v>5.266307871244355</x:v>
      </x:c>
      <x:c r="AB388" s="10" t="n">
        <x:f>Y388+Z388+AA388</x:f>
        <x:v>43.383338467912814</x:v>
      </x:c>
      <x:c r="AC388" s="8" t="n">
        <x:f>IF(AND(v01_WinterTrigger=1,D388=1,AB387/AE387&gt;=K388),1,0)</x:f>
        <x:v>0</x:v>
      </x:c>
      <x:c r="AD388" s="8" t="n">
        <x:f>H388*IF(AND(OR(AB387/AE387&gt;=v01_FissionTrigger*N388,AC388=1),AB387/AE387*v01_DaughterShare&gt;=v01_MinDaughter),MAX(1,ROUND(AE387*v01_FissionRate,0)),0)</x:f>
        <x:v>0</x:v>
      </x:c>
      <x:c r="AE388" s="8" t="n">
        <x:f>IF(H388=1,MAX(1,MIN(INDEX(v01_Smax,G388),AE387+AD388)),AE387)</x:f>
        <x:v>2</x:v>
      </x:c>
      <x:c r="AF388" s="8" t="n">
        <x:f>MAX(0,AE388-AE387)</x:f>
        <x:v>0</x:v>
      </x:c>
      <x:c r="AG388" s="9" t="str">
        <x:f>IF(AF388&gt;0,B388,"")</x:f>
      </x:c>
      <x:c r="AH388" s="9" t="n">
        <x:f>IF(F388&gt;=1,1,(1+v01_LowTiesShare*(AE388-1))/AE388)</x:f>
        <x:v>1</x:v>
      </x:c>
      <x:c r="AI388" s="32" t="n">
        <x:f>(Z388+v01_ElderCommons*INDEX(LM_Elder,G388)*AA388)*AH388</x:f>
        <x:v>31.93650423065081</x:v>
      </x:c>
      <x:c r="AJ388" s="32" t="n">
        <x:f>H388*v01_CommonsCoef*AI388^v01_CommonsExp*INDEX(LM_Commons,G388)</x:f>
        <x:v>12.53684353139074</x:v>
      </x:c>
      <x:c r="AK388" s="32" t="n">
        <x:f>H388*v01_RoleScale*Arch_Roles*(AE388*(INDEX(v01_ElderRolePerSett,G388)*v01_OutElder*INDEX(LM_Elder,G388)+INDEX(v01_ShamanPerSett,G388)*v01_OutShaman)+Z388*(INDEX(v01_PriestShare,G388)*v01_OutPriest+INDEX(v01_ScribeShare,G388)*v01_OutScribe*INDEX(LM_Scribe,G388)+INDEX(v01_ScholarShare,G388)*v01_OutScholar*INDEX(LM_Scholar,G388)+INDEX(v01_ResearcherShare,G388)*v01_OutResearcher*INDEX(LM_Researcher,G388)))</x:f>
        <x:v>2.724744871391589</x:v>
      </x:c>
      <x:c r="AL388" s="32" t="n">
        <x:f>H388*v01_RoleScale*Arch_Roles*AE388*INDEX(v01_MonasteryPerSett,G388)*v01_OutMonastery*INDEX(LM_Monastery,G388)</x:f>
        <x:v>0</x:v>
      </x:c>
      <x:c r="AM388" s="32" t="n">
        <x:f>(AJ388+AK388+AL388)/4*INDEX(LM_All,G388)*INDEX(v01_Boon,G388)*Arch_Insight</x:f>
        <x:v>3.9107820282129717</x:v>
      </x:c>
      <x:c r="AN388" s="32" t="n">
        <x:f>H388*(v01_KHPerAdult*Z388+v01_KHOfCommons*AJ388/4*INDEX(LM_All,G388))*v01_KHUsable*Arch_KH</x:f>
        <x:v>0.6662857991194808</x:v>
      </x:c>
      <x:c r="AO388" s="32" t="n">
        <x:f>MIN(AP387+AN388,AM388*v01_KHMaxRatio)</x:f>
        <x:v>0.6662857991194808</x:v>
      </x:c>
      <x:c r="AP388" s="32" t="n">
        <x:f>AP387+AN388-AO388</x:f>
        <x:v>0</x:v>
      </x:c>
      <x:c r="AQ388" s="32" t="n">
        <x:f>AM388+AO388</x:f>
        <x:v>4.577067827332453</x:v>
      </x:c>
      <x:c r="AR388" s="10" t="n">
        <x:f>IF(H388=1,INDEX(v01_Req,G388),0)</x:f>
        <x:v>1067.32</x:v>
      </x:c>
      <x:c r="AS388" s="32" t="n">
        <x:f>IF(H388=1,IF(E388=1,AS387-AR387,AS387)+AQ388,0)</x:f>
        <x:v>495.26800799933847</x:v>
      </x:c>
      <x:c r="AT388" s="11" t="n">
        <x:f>IF(AR388&gt;0,MIN(1,AS388/AR388),1)</x:f>
        <x:v>0.4640295394064934</x:v>
      </x:c>
      <x:c r="AU388" s="10" t="n">
        <x:f>AB388/INDEX(v01_RepScale,G388)</x:f>
        <x:v>43.383338467912814</x:v>
      </x:c>
      <x:c r="AV388" s="32" t="n">
        <x:f>AM388*60/v01_SeasonSeconds</x:f>
        <x:v>15.643128112851887</x:v>
      </x:c>
    </x:row>
    <x:row r="389">
      <x:c r="A389" s="8" t="n">
        <x:f>A388+1</x:f>
        <x:v>386</x:v>
      </x:c>
      <x:c r="B389" s="9" t="n">
        <x:f>A389*v01_SeasonSeconds/60</x:f>
        <x:v>96.5</x:v>
      </x:c>
      <x:c r="C389" s="9" t="n">
        <x:f>A389/4</x:f>
        <x:v>96.5</x:v>
      </x:c>
      <x:c r="D389" s="8" t="n">
        <x:f>IF(MOD(A389,4)=0,1,0)</x:f>
        <x:v>0</x:v>
      </x:c>
      <x:c r="E389" s="8" t="n">
        <x:f>IF(AND(F388&lt;=9,AS388&gt;=AR388),1,0)</x:f>
        <x:v>0</x:v>
      </x:c>
      <x:c r="F389" s="8" t="n">
        <x:f>MIN(10,F388+E389)</x:f>
        <x:v>1</x:v>
      </x:c>
      <x:c r="G389" s="8" t="n">
        <x:f>MIN(F389,9)+1</x:f>
        <x:v>2</x:v>
      </x:c>
      <x:c r="H389" s="8" t="n">
        <x:f>IF(F389&lt;=9,1,0)</x:f>
        <x:v>1</x:v>
      </x:c>
      <x:c r="I389" s="9" t="n">
        <x:f>MIN(10,F388+IF(AR388&gt;0,MIN(1,AS388/AR388),1))</x:f>
        <x:v>1.4640295394064933</x:v>
      </x:c>
      <x:c r="J389" s="32" t="n">
        <x:f>INDEX(v01_FoodCap,G389)*Arch_FoodCap*EXP(v01_CapsByProject*SUMPRODUCT((Cap_Point&lt;=I389)*(Cap_Kind="Food")*Cap_Ln))</x:f>
        <x:v>30</x:v>
      </x:c>
      <x:c r="K389" s="32" t="n">
        <x:f>J389*MIN(1,v01_LeanBase*EXP(v01_CapsByProject*SUMPRODUCT((Cap_Point&lt;=I389)*(Cap_Kind="Lean")*Cap_Ln)))</x:f>
        <x:v>30</x:v>
      </x:c>
      <x:c r="L389" s="10" t="n">
        <x:f>INDEX(v01_HousingCap,G389)*EXP(v01_CapsByProject*SUMPRODUCT((Cap_Point&lt;=I389)*(Cap_Kind="Housing")*Cap_Ln))</x:f>
        <x:v>60</x:v>
      </x:c>
      <x:c r="M389" s="10" t="n">
        <x:f>INDEX(v01_GroupCap,G389)*v01_CohesionFactor*EXP(v01_CapsByProject*SUMPRODUCT((Cap_Point&lt;=I389)*(Cap_Kind="Group")*Cap_Ln))</x:f>
        <x:v>100</x:v>
      </x:c>
      <x:c r="N389" s="32" t="n">
        <x:f>MIN(J389,L389,M389)</x:f>
        <x:v>30</x:v>
      </x:c>
      <x:c r="O389" s="10" t="n">
        <x:f>AE388*N389</x:f>
        <x:v>60</x:v>
      </x:c>
      <x:c r="P389" s="9" t="n">
        <x:f>MIN(1,(AB388/(AE388*IF(v01_GroupInCrowding=1,N389,MIN(J389,L389))))^v01_CrowdingExp)</x:f>
        <x:v>0.14289936945097703</x:v>
      </x:c>
      <x:c r="Q389" s="9" t="n">
        <x:f>IF(D389=1,INDEX(v01_WinterMult,G389),1)</x:f>
        <x:v>1</x:v>
      </x:c>
      <x:c r="R389" s="9" t="n">
        <x:f>H389*Z388*v01_WomenShare*v01_BaseFertility*INDEX(v01_FertMult,G389)*Arch_Fertility*(1-P389)</x:f>
        <x:v>0.611864977019107</x:v>
      </x:c>
      <x:c r="S389" s="9" t="n">
        <x:f>H389*Y388*INDEX(v01_MortChild,G389)/4*Q389</x:f>
        <x:v>0.1669525679409788</x:v>
      </x:c>
      <x:c r="T389" s="9" t="n">
        <x:f>H389*Z388*INDEX(v01_MortAdult,G389)*Arch_AdultMort/4*Q389</x:f>
        <x:v>0.061869395632523215</x:v>
      </x:c>
      <x:c r="U389" s="9" t="n">
        <x:f>H389*AA388*INDEX(v01_MortElder,G389)/4*Q389</x:f>
        <x:v>0.1053261574248871</x:v>
      </x:c>
      <x:c r="V389" s="9" t="n">
        <x:f>H389*MAX(0,AB388-O389)*v01_OvercapLoss</x:f>
        <x:v>0</x:v>
      </x:c>
      <x:c r="W389" s="9" t="n">
        <x:f>H389*Y388/(v01_ChildYears*4)</x:f>
        <x:v>0.3407195264101608</x:v>
      </x:c>
      <x:c r="X389" s="9" t="n">
        <x:f>H389*Z388/(v01_AdultYears*4)</x:f>
        <x:v>0.1535220735298343</x:v>
      </x:c>
      <x:c r="Y389" s="32" t="n">
        <x:f>Y388+R389-S389-W389-Y388*V389/AB388</x:f>
        <x:v>19.18448636163697</x:v>
      </x:c>
      <x:c r="Z389" s="32" t="n">
        <x:f>Z388+W389-X389-T389-Z388*V389/AB388</x:f>
        <x:v>19.162065174947255</x:v>
      </x:c>
      <x:c r="AA389" s="32" t="n">
        <x:f>AA388+X389-U389-AA388*V389/AB388</x:f>
        <x:v>5.314503787349302</x:v>
      </x:c>
      <x:c r="AB389" s="10" t="n">
        <x:f>Y389+Z389+AA389</x:f>
        <x:v>43.66105532393353</x:v>
      </x:c>
      <x:c r="AC389" s="8" t="n">
        <x:f>IF(AND(v01_WinterTrigger=1,D389=1,AB388/AE388&gt;=K389),1,0)</x:f>
        <x:v>0</x:v>
      </x:c>
      <x:c r="AD389" s="8" t="n">
        <x:f>H389*IF(AND(OR(AB388/AE388&gt;=v01_FissionTrigger*N389,AC389=1),AB388/AE388*v01_DaughterShare&gt;=v01_MinDaughter),MAX(1,ROUND(AE388*v01_FissionRate,0)),0)</x:f>
        <x:v>0</x:v>
      </x:c>
      <x:c r="AE389" s="8" t="n">
        <x:f>IF(H389=1,MAX(1,MIN(INDEX(v01_Smax,G389),AE388+AD389)),AE388)</x:f>
        <x:v>2</x:v>
      </x:c>
      <x:c r="AF389" s="8" t="n">
        <x:f>MAX(0,AE389-AE388)</x:f>
        <x:v>0</x:v>
      </x:c>
      <x:c r="AG389" s="9" t="str">
        <x:f>IF(AF389&gt;0,B389,"")</x:f>
      </x:c>
      <x:c r="AH389" s="9" t="n">
        <x:f>IF(F389&gt;=1,1,(1+v01_LowTiesShare*(AE389-1))/AE389)</x:f>
        <x:v>1</x:v>
      </x:c>
      <x:c r="AI389" s="32" t="n">
        <x:f>(Z389+v01_ElderCommons*INDEX(LM_Elder,G389)*AA389)*AH389</x:f>
        <x:v>32.179887690041724</x:v>
      </x:c>
      <x:c r="AJ389" s="32" t="n">
        <x:f>H389*v01_CommonsCoef*AI389^v01_CommonsExp*INDEX(LM_Commons,G389)</x:f>
        <x:v>12.618007493424843</x:v>
      </x:c>
      <x:c r="AK389" s="32" t="n">
        <x:f>H389*v01_RoleScale*Arch_Roles*(AE389*(INDEX(v01_ElderRolePerSett,G389)*v01_OutElder*INDEX(LM_Elder,G389)+INDEX(v01_ShamanPerSett,G389)*v01_OutShaman)+Z389*(INDEX(v01_PriestShare,G389)*v01_OutPriest+INDEX(v01_ScribeShare,G389)*v01_OutScribe*INDEX(LM_Scribe,G389)+INDEX(v01_ScholarShare,G389)*v01_OutScholar*INDEX(LM_Scholar,G389)+INDEX(v01_ResearcherShare,G389)*v01_OutResearcher*INDEX(LM_Researcher,G389)))</x:f>
        <x:v>2.724744871391589</x:v>
      </x:c>
      <x:c r="AL389" s="32" t="n">
        <x:f>H389*v01_RoleScale*Arch_Roles*AE389*INDEX(v01_MonasteryPerSett,G389)*v01_OutMonastery*INDEX(LM_Monastery,G389)</x:f>
        <x:v>0</x:v>
      </x:c>
      <x:c r="AM389" s="32" t="n">
        <x:f>(AJ389+AK389+AL389)/4*INDEX(LM_All,G389)*INDEX(v01_Boon,G389)*Arch_Insight</x:f>
        <x:v>3.9315802934842106</x:v>
      </x:c>
      <x:c r="AN389" s="32" t="n">
        <x:f>H389*(v01_KHPerAdult*Z389+v01_KHOfCommons*AJ389/4*INDEX(LM_All,G389))*v01_KHUsable*Arch_KH</x:f>
        <x:v>0.6706722811231539</x:v>
      </x:c>
      <x:c r="AO389" s="32" t="n">
        <x:f>MIN(AP388+AN389,AM389*v01_KHMaxRatio)</x:f>
        <x:v>0.6706722811231539</x:v>
      </x:c>
      <x:c r="AP389" s="32" t="n">
        <x:f>AP388+AN389-AO389</x:f>
        <x:v>0</x:v>
      </x:c>
      <x:c r="AQ389" s="32" t="n">
        <x:f>AM389+AO389</x:f>
        <x:v>4.602252574607364</x:v>
      </x:c>
      <x:c r="AR389" s="10" t="n">
        <x:f>IF(H389=1,INDEX(v01_Req,G389),0)</x:f>
        <x:v>1067.32</x:v>
      </x:c>
      <x:c r="AS389" s="32" t="n">
        <x:f>IF(H389=1,IF(E389=1,AS388-AR388,AS388)+AQ389,0)</x:f>
        <x:v>499.8702605739458</x:v>
      </x:c>
      <x:c r="AT389" s="11" t="n">
        <x:f>IF(AR389&gt;0,MIN(1,AS389/AR389),1)</x:f>
        <x:v>0.4683415101131299</x:v>
      </x:c>
      <x:c r="AU389" s="10" t="n">
        <x:f>AB389/INDEX(v01_RepScale,G389)</x:f>
        <x:v>43.66105532393353</x:v>
      </x:c>
      <x:c r="AV389" s="32" t="n">
        <x:f>AM389*60/v01_SeasonSeconds</x:f>
        <x:v>15.726321173936842</x:v>
      </x:c>
    </x:row>
    <x:row r="390">
      <x:c r="A390" s="8" t="n">
        <x:f>A389+1</x:f>
        <x:v>387</x:v>
      </x:c>
      <x:c r="B390" s="9" t="n">
        <x:f>A390*v01_SeasonSeconds/60</x:f>
        <x:v>96.75</x:v>
      </x:c>
      <x:c r="C390" s="9" t="n">
        <x:f>A390/4</x:f>
        <x:v>96.75</x:v>
      </x:c>
      <x:c r="D390" s="8" t="n">
        <x:f>IF(MOD(A390,4)=0,1,0)</x:f>
        <x:v>0</x:v>
      </x:c>
      <x:c r="E390" s="8" t="n">
        <x:f>IF(AND(F389&lt;=9,AS389&gt;=AR389),1,0)</x:f>
        <x:v>0</x:v>
      </x:c>
      <x:c r="F390" s="8" t="n">
        <x:f>MIN(10,F389+E390)</x:f>
        <x:v>1</x:v>
      </x:c>
      <x:c r="G390" s="8" t="n">
        <x:f>MIN(F390,9)+1</x:f>
        <x:v>2</x:v>
      </x:c>
      <x:c r="H390" s="8" t="n">
        <x:f>IF(F390&lt;=9,1,0)</x:f>
        <x:v>1</x:v>
      </x:c>
      <x:c r="I390" s="9" t="n">
        <x:f>MIN(10,F389+IF(AR389&gt;0,MIN(1,AS389/AR389),1))</x:f>
        <x:v>1.4683415101131299</x:v>
      </x:c>
      <x:c r="J390" s="32" t="n">
        <x:f>INDEX(v01_FoodCap,G390)*Arch_FoodCap*EXP(v01_CapsByProject*SUMPRODUCT((Cap_Point&lt;=I390)*(Cap_Kind="Food")*Cap_Ln))</x:f>
        <x:v>30</x:v>
      </x:c>
      <x:c r="K390" s="32" t="n">
        <x:f>J390*MIN(1,v01_LeanBase*EXP(v01_CapsByProject*SUMPRODUCT((Cap_Point&lt;=I390)*(Cap_Kind="Lean")*Cap_Ln)))</x:f>
        <x:v>30</x:v>
      </x:c>
      <x:c r="L390" s="10" t="n">
        <x:f>INDEX(v01_HousingCap,G390)*EXP(v01_CapsByProject*SUMPRODUCT((Cap_Point&lt;=I390)*(Cap_Kind="Housing")*Cap_Ln))</x:f>
        <x:v>60</x:v>
      </x:c>
      <x:c r="M390" s="10" t="n">
        <x:f>INDEX(v01_GroupCap,G390)*v01_CohesionFactor*EXP(v01_CapsByProject*SUMPRODUCT((Cap_Point&lt;=I390)*(Cap_Kind="Group")*Cap_Ln))</x:f>
        <x:v>100</x:v>
      </x:c>
      <x:c r="N390" s="32" t="n">
        <x:f>MIN(J390,L390,M390)</x:f>
        <x:v>30</x:v>
      </x:c>
      <x:c r="O390" s="10" t="n">
        <x:f>AE389*N390</x:f>
        <x:v>60</x:v>
      </x:c>
      <x:c r="P390" s="9" t="n">
        <x:f>MIN(1,(AB389/(AE389*IF(v01_GroupInCrowding=1,N390,MIN(J390,L390))))^v01_CrowdingExp)</x:f>
        <x:v>0.14847655086056777</x:v>
      </x:c>
      <x:c r="Q390" s="9" t="n">
        <x:f>IF(D390=1,INDEX(v01_WinterMult,G390),1)</x:f>
        <x:v>1</x:v>
      </x:c>
      <x:c r="R390" s="9" t="n">
        <x:f>H390*Z389*v01_WomenShare*v01_BaseFertility*INDEX(v01_FertMult,G390)*Arch_Fertility*(1-P390)</x:f>
        <x:v>0.6118855436402132</x:v>
      </x:c>
      <x:c r="S390" s="9" t="n">
        <x:f>H390*Y389*INDEX(v01_MortChild,G390)/4*Q390</x:f>
        <x:v>0.1678642556643235</x:v>
      </x:c>
      <x:c r="T390" s="9" t="n">
        <x:f>H390*Z389*INDEX(v01_MortAdult,G390)*Arch_AdultMort/4*Q390</x:f>
        <x:v>0.06227671181857858</x:v>
      </x:c>
      <x:c r="U390" s="9" t="n">
        <x:f>H390*AA389*INDEX(v01_MortElder,G390)/4*Q390</x:f>
        <x:v>0.10629007574698605</x:v>
      </x:c>
      <x:c r="V390" s="9" t="n">
        <x:f>H390*MAX(0,AB389-O390)*v01_OvercapLoss</x:f>
        <x:v>0</x:v>
      </x:c>
      <x:c r="W390" s="9" t="n">
        <x:f>H390*Y389/(v01_ChildYears*4)</x:f>
        <x:v>0.3425801136006602</x:v>
      </x:c>
      <x:c r="X390" s="9" t="n">
        <x:f>H390*Z389/(v01_AdultYears*4)</x:f>
        <x:v>0.15453278366892947</x:v>
      </x:c>
      <x:c r="Y390" s="32" t="n">
        <x:f>Y389+R390-S390-W390-Y389*V390/AB389</x:f>
        <x:v>19.2859275360122</x:v>
      </x:c>
      <x:c r="Z390" s="32" t="n">
        <x:f>Z389+W390-X390-T390-Z389*V390/AB389</x:f>
        <x:v>19.287835793060406</x:v>
      </x:c>
      <x:c r="AA390" s="32" t="n">
        <x:f>AA389+X390-U390-AA389*V390/AB389</x:f>
        <x:v>5.362746495271246</x:v>
      </x:c>
      <x:c r="AB390" s="10" t="n">
        <x:f>Y390+Z390+AA390</x:f>
        <x:v>43.93650982434385</x:v>
      </x:c>
      <x:c r="AC390" s="8" t="n">
        <x:f>IF(AND(v01_WinterTrigger=1,D390=1,AB389/AE389&gt;=K390),1,0)</x:f>
        <x:v>0</x:v>
      </x:c>
      <x:c r="AD390" s="8" t="n">
        <x:f>H390*IF(AND(OR(AB389/AE389&gt;=v01_FissionTrigger*N390,AC390=1),AB389/AE389*v01_DaughterShare&gt;=v01_MinDaughter),MAX(1,ROUND(AE389*v01_FissionRate,0)),0)</x:f>
        <x:v>0</x:v>
      </x:c>
      <x:c r="AE390" s="8" t="n">
        <x:f>IF(H390=1,MAX(1,MIN(INDEX(v01_Smax,G390),AE389+AD390)),AE389)</x:f>
        <x:v>2</x:v>
      </x:c>
      <x:c r="AF390" s="8" t="n">
        <x:f>MAX(0,AE390-AE389)</x:f>
        <x:v>0</x:v>
      </x:c>
      <x:c r="AG390" s="9" t="str">
        <x:f>IF(AF390&gt;0,B390,"")</x:f>
      </x:c>
      <x:c r="AH390" s="9" t="n">
        <x:f>IF(F390&gt;=1,1,(1+v01_LowTiesShare*(AE390-1))/AE390)</x:f>
        <x:v>1</x:v>
      </x:c>
      <x:c r="AI390" s="32" t="n">
        <x:f>(Z390+v01_ElderCommons*INDEX(LM_Elder,G390)*AA390)*AH390</x:f>
        <x:v>32.42382832637376</x:v>
      </x:c>
      <x:c r="AJ390" s="32" t="n">
        <x:f>H390*v01_CommonsCoef*AI390^v01_CommonsExp*INDEX(LM_Commons,G390)</x:f>
        <x:v>12.699264920372512</x:v>
      </x:c>
      <x:c r="AK390" s="32" t="n">
        <x:f>H390*v01_RoleScale*Arch_Roles*(AE390*(INDEX(v01_ElderRolePerSett,G390)*v01_OutElder*INDEX(LM_Elder,G390)+INDEX(v01_ShamanPerSett,G390)*v01_OutShaman)+Z390*(INDEX(v01_PriestShare,G390)*v01_OutPriest+INDEX(v01_ScribeShare,G390)*v01_OutScribe*INDEX(LM_Scribe,G390)+INDEX(v01_ScholarShare,G390)*v01_OutScholar*INDEX(LM_Scholar,G390)+INDEX(v01_ResearcherShare,G390)*v01_OutResearcher*INDEX(LM_Researcher,G390)))</x:f>
        <x:v>2.724744871391589</x:v>
      </x:c>
      <x:c r="AL390" s="32" t="n">
        <x:f>H390*v01_RoleScale*Arch_Roles*AE390*INDEX(v01_MonasteryPerSett,G390)*v01_OutMonastery*INDEX(LM_Monastery,G390)</x:f>
        <x:v>0</x:v>
      </x:c>
      <x:c r="AM390" s="32" t="n">
        <x:f>(AJ390+AK390+AL390)/4*INDEX(LM_All,G390)*INDEX(v01_Boon,G390)*Arch_Insight</x:f>
        <x:v>3.9524025091395507</x:v>
      </x:c>
      <x:c r="AN390" s="32" t="n">
        <x:f>H390*(v01_KHPerAdult*Z390+v01_KHOfCommons*AJ390/4*INDEX(LM_All,G390))*v01_KHUsable*Arch_KH</x:f>
        <x:v>0.6750742527571142</x:v>
      </x:c>
      <x:c r="AO390" s="32" t="n">
        <x:f>MIN(AP389+AN390,AM390*v01_KHMaxRatio)</x:f>
        <x:v>0.6750742527571142</x:v>
      </x:c>
      <x:c r="AP390" s="32" t="n">
        <x:f>AP389+AN390-AO390</x:f>
        <x:v>0</x:v>
      </x:c>
      <x:c r="AQ390" s="32" t="n">
        <x:f>AM390+AO390</x:f>
        <x:v>4.627476761896665</x:v>
      </x:c>
      <x:c r="AR390" s="10" t="n">
        <x:f>IF(H390=1,INDEX(v01_Req,G390),0)</x:f>
        <x:v>1067.32</x:v>
      </x:c>
      <x:c r="AS390" s="32" t="n">
        <x:f>IF(H390=1,IF(E390=1,AS389-AR389,AS389)+AQ390,0)</x:f>
        <x:v>504.4977373358425</x:v>
      </x:c>
      <x:c r="AT390" s="11" t="n">
        <x:f>IF(AR390&gt;0,MIN(1,AS390/AR390),1)</x:f>
        <x:v>0.4726771140200151</x:v>
      </x:c>
      <x:c r="AU390" s="10" t="n">
        <x:f>AB390/INDEX(v01_RepScale,G390)</x:f>
        <x:v>43.93650982434385</x:v>
      </x:c>
      <x:c r="AV390" s="32" t="n">
        <x:f>AM390*60/v01_SeasonSeconds</x:f>
        <x:v>15.809610036558203</x:v>
      </x:c>
    </x:row>
    <x:row r="391">
      <x:c r="A391" s="8" t="n">
        <x:f>A390+1</x:f>
        <x:v>388</x:v>
      </x:c>
      <x:c r="B391" s="9" t="n">
        <x:f>A391*v01_SeasonSeconds/60</x:f>
        <x:v>97</x:v>
      </x:c>
      <x:c r="C391" s="9" t="n">
        <x:f>A391/4</x:f>
        <x:v>97</x:v>
      </x:c>
      <x:c r="D391" s="8" t="n">
        <x:f>IF(MOD(A391,4)=0,1,0)</x:f>
        <x:v>1</x:v>
      </x:c>
      <x:c r="E391" s="8" t="n">
        <x:f>IF(AND(F390&lt;=9,AS390&gt;=AR390),1,0)</x:f>
        <x:v>0</x:v>
      </x:c>
      <x:c r="F391" s="8" t="n">
        <x:f>MIN(10,F390+E391)</x:f>
        <x:v>1</x:v>
      </x:c>
      <x:c r="G391" s="8" t="n">
        <x:f>MIN(F391,9)+1</x:f>
        <x:v>2</x:v>
      </x:c>
      <x:c r="H391" s="8" t="n">
        <x:f>IF(F391&lt;=9,1,0)</x:f>
        <x:v>1</x:v>
      </x:c>
      <x:c r="I391" s="9" t="n">
        <x:f>MIN(10,F390+IF(AR390&gt;0,MIN(1,AS390/AR390),1))</x:f>
        <x:v>1.4726771140200152</x:v>
      </x:c>
      <x:c r="J391" s="32" t="n">
        <x:f>INDEX(v01_FoodCap,G391)*Arch_FoodCap*EXP(v01_CapsByProject*SUMPRODUCT((Cap_Point&lt;=I391)*(Cap_Kind="Food")*Cap_Ln))</x:f>
        <x:v>30</x:v>
      </x:c>
      <x:c r="K391" s="32" t="n">
        <x:f>J391*MIN(1,v01_LeanBase*EXP(v01_CapsByProject*SUMPRODUCT((Cap_Point&lt;=I391)*(Cap_Kind="Lean")*Cap_Ln)))</x:f>
        <x:v>30</x:v>
      </x:c>
      <x:c r="L391" s="10" t="n">
        <x:f>INDEX(v01_HousingCap,G391)*EXP(v01_CapsByProject*SUMPRODUCT((Cap_Point&lt;=I391)*(Cap_Kind="Housing")*Cap_Ln))</x:f>
        <x:v>60</x:v>
      </x:c>
      <x:c r="M391" s="10" t="n">
        <x:f>INDEX(v01_GroupCap,G391)*v01_CohesionFactor*EXP(v01_CapsByProject*SUMPRODUCT((Cap_Point&lt;=I391)*(Cap_Kind="Group")*Cap_Ln))</x:f>
        <x:v>100</x:v>
      </x:c>
      <x:c r="N391" s="32" t="n">
        <x:f>MIN(J391,L391,M391)</x:f>
        <x:v>30</x:v>
      </x:c>
      <x:c r="O391" s="10" t="n">
        <x:f>AE390*N391</x:f>
        <x:v>60</x:v>
      </x:c>
      <x:c r="P391" s="9" t="n">
        <x:f>MIN(1,(AB390/(AE390*IF(v01_GroupInCrowding=1,N391,MIN(J391,L391))))^v01_CrowdingExp)</x:f>
        <x:v>0.15418631449392114</x:v>
      </x:c>
      <x:c r="Q391" s="9" t="n">
        <x:f>IF(D391=1,INDEX(v01_WinterMult,G391),1)</x:f>
        <x:v>1.6</x:v>
      </x:c>
      <x:c r="R391" s="9" t="n">
        <x:f>H391*Z390*v01_WomenShare*v01_BaseFertility*INDEX(v01_FertMult,G391)*Arch_Fertility*(1-P391)</x:f>
        <x:v>0.6117718304086681</x:v>
      </x:c>
      <x:c r="S391" s="9" t="n">
        <x:f>H391*Y390*INDEX(v01_MortChild,G391)/4*Q391</x:f>
        <x:v>0.27000298550417084</x:v>
      </x:c>
      <x:c r="T391" s="9" t="n">
        <x:f>H391*Z390*INDEX(v01_MortAdult,G391)*Arch_AdultMort/4*Q391</x:f>
        <x:v>0.10029674612391411</x:v>
      </x:c>
      <x:c r="U391" s="9" t="n">
        <x:f>H391*AA390*INDEX(v01_MortElder,G391)/4*Q391</x:f>
        <x:v>0.17160788784867986</x:v>
      </x:c>
      <x:c r="V391" s="9" t="n">
        <x:f>H391*MAX(0,AB390-O391)*v01_OvercapLoss</x:f>
        <x:v>0</x:v>
      </x:c>
      <x:c r="W391" s="9" t="n">
        <x:f>H391*Y390/(v01_ChildYears*4)</x:f>
        <x:v>0.344391563143075</x:v>
      </x:c>
      <x:c r="X391" s="9" t="n">
        <x:f>H391*Z390/(v01_AdultYears*4)</x:f>
        <x:v>0.15554706284726133</x:v>
      </x:c>
      <x:c r="Y391" s="32" t="n">
        <x:f>Y390+R391-S391-W391-Y390*V391/AB390</x:f>
        <x:v>19.283304817773622</x:v>
      </x:c>
      <x:c r="Z391" s="32" t="n">
        <x:f>Z390+W391-X391-T391-Z390*V391/AB390</x:f>
        <x:v>19.376383547232304</x:v>
      </x:c>
      <x:c r="AA391" s="32" t="n">
        <x:f>AA390+X391-U391-AA390*V391/AB390</x:f>
        <x:v>5.346685670269827</x:v>
      </x:c>
      <x:c r="AB391" s="10" t="n">
        <x:f>Y391+Z391+AA391</x:f>
        <x:v>44.006374035275755</x:v>
      </x:c>
      <x:c r="AC391" s="8" t="n">
        <x:f>IF(AND(v01_WinterTrigger=1,D391=1,AB390/AE390&gt;=K391),1,0)</x:f>
        <x:v>0</x:v>
      </x:c>
      <x:c r="AD391" s="8" t="n">
        <x:f>H391*IF(AND(OR(AB390/AE390&gt;=v01_FissionTrigger*N391,AC391=1),AB390/AE390*v01_DaughterShare&gt;=v01_MinDaughter),MAX(1,ROUND(AE390*v01_FissionRate,0)),0)</x:f>
        <x:v>0</x:v>
      </x:c>
      <x:c r="AE391" s="8" t="n">
        <x:f>IF(H391=1,MAX(1,MIN(INDEX(v01_Smax,G391),AE390+AD391)),AE390)</x:f>
        <x:v>2</x:v>
      </x:c>
      <x:c r="AF391" s="8" t="n">
        <x:f>MAX(0,AE391-AE390)</x:f>
        <x:v>0</x:v>
      </x:c>
      <x:c r="AG391" s="9" t="str">
        <x:f>IF(AF391&gt;0,B391,"")</x:f>
      </x:c>
      <x:c r="AH391" s="9" t="n">
        <x:f>IF(F391&gt;=1,1,(1+v01_LowTiesShare*(AE391-1))/AE391)</x:f>
        <x:v>1</x:v>
      </x:c>
      <x:c r="AI391" s="32" t="n">
        <x:f>(Z391+v01_ElderCommons*INDEX(LM_Elder,G391)*AA391)*AH391</x:f>
        <x:v>32.47303525444404</x:v>
      </x:c>
      <x:c r="AJ391" s="32" t="n">
        <x:f>H391*v01_CommonsCoef*AI391^v01_CommonsExp*INDEX(LM_Commons,G391)</x:f>
        <x:v>12.71564477582639</x:v>
      </x:c>
      <x:c r="AK391" s="32" t="n">
        <x:f>H391*v01_RoleScale*Arch_Roles*(AE391*(INDEX(v01_ElderRolePerSett,G391)*v01_OutElder*INDEX(LM_Elder,G391)+INDEX(v01_ShamanPerSett,G391)*v01_OutShaman)+Z391*(INDEX(v01_PriestShare,G391)*v01_OutPriest+INDEX(v01_ScribeShare,G391)*v01_OutScribe*INDEX(LM_Scribe,G391)+INDEX(v01_ScholarShare,G391)*v01_OutScholar*INDEX(LM_Scholar,G391)+INDEX(v01_ResearcherShare,G391)*v01_OutResearcher*INDEX(LM_Researcher,G391)))</x:f>
        <x:v>2.724744871391589</x:v>
      </x:c>
      <x:c r="AL391" s="32" t="n">
        <x:f>H391*v01_RoleScale*Arch_Roles*AE391*INDEX(v01_MonasteryPerSett,G391)*v01_OutMonastery*INDEX(LM_Monastery,G391)</x:f>
        <x:v>0</x:v>
      </x:c>
      <x:c r="AM391" s="32" t="n">
        <x:f>(AJ391+AK391+AL391)/4*INDEX(LM_All,G391)*INDEX(v01_Boon,G391)*Arch_Insight</x:f>
        <x:v>3.956599847099607</x:v>
      </x:c>
      <x:c r="AN391" s="32" t="n">
        <x:f>H391*(v01_KHPerAdult*Z391+v01_KHOfCommons*AJ391/4*INDEX(LM_All,G391))*v01_KHUsable*Arch_KH</x:f>
        <x:v>0.6781734241531306</x:v>
      </x:c>
      <x:c r="AO391" s="32" t="n">
        <x:f>MIN(AP390+AN391,AM391*v01_KHMaxRatio)</x:f>
        <x:v>0.6781734241531306</x:v>
      </x:c>
      <x:c r="AP391" s="32" t="n">
        <x:f>AP390+AN391-AO391</x:f>
        <x:v>0</x:v>
      </x:c>
      <x:c r="AQ391" s="32" t="n">
        <x:f>AM391+AO391</x:f>
        <x:v>4.634773271252738</x:v>
      </x:c>
      <x:c r="AR391" s="10" t="n">
        <x:f>IF(H391=1,INDEX(v01_Req,G391),0)</x:f>
        <x:v>1067.32</x:v>
      </x:c>
      <x:c r="AS391" s="32" t="n">
        <x:f>IF(H391=1,IF(E391=1,AS390-AR390,AS390)+AQ391,0)</x:f>
        <x:v>509.13251060709524</x:v>
      </x:c>
      <x:c r="AT391" s="11" t="n">
        <x:f>IF(AR391&gt;0,MIN(1,AS391/AR391),1)</x:f>
        <x:v>0.4770195542171938</x:v>
      </x:c>
      <x:c r="AU391" s="10" t="n">
        <x:f>AB391/INDEX(v01_RepScale,G391)</x:f>
        <x:v>44.006374035275755</x:v>
      </x:c>
      <x:c r="AV391" s="32" t="n">
        <x:f>AM391*60/v01_SeasonSeconds</x:f>
        <x:v>15.826399388398427</x:v>
      </x:c>
    </x:row>
    <x:row r="392">
      <x:c r="A392" s="8" t="n">
        <x:f>A391+1</x:f>
        <x:v>389</x:v>
      </x:c>
      <x:c r="B392" s="9" t="n">
        <x:f>A392*v01_SeasonSeconds/60</x:f>
        <x:v>97.25</x:v>
      </x:c>
      <x:c r="C392" s="9" t="n">
        <x:f>A392/4</x:f>
        <x:v>97.25</x:v>
      </x:c>
      <x:c r="D392" s="8" t="n">
        <x:f>IF(MOD(A392,4)=0,1,0)</x:f>
        <x:v>0</x:v>
      </x:c>
      <x:c r="E392" s="8" t="n">
        <x:f>IF(AND(F391&lt;=9,AS391&gt;=AR391),1,0)</x:f>
        <x:v>0</x:v>
      </x:c>
      <x:c r="F392" s="8" t="n">
        <x:f>MIN(10,F391+E392)</x:f>
        <x:v>1</x:v>
      </x:c>
      <x:c r="G392" s="8" t="n">
        <x:f>MIN(F392,9)+1</x:f>
        <x:v>2</x:v>
      </x:c>
      <x:c r="H392" s="8" t="n">
        <x:f>IF(F392&lt;=9,1,0)</x:f>
        <x:v>1</x:v>
      </x:c>
      <x:c r="I392" s="9" t="n">
        <x:f>MIN(10,F391+IF(AR391&gt;0,MIN(1,AS391/AR391),1))</x:f>
        <x:v>1.4770195542171938</x:v>
      </x:c>
      <x:c r="J392" s="32" t="n">
        <x:f>INDEX(v01_FoodCap,G392)*Arch_FoodCap*EXP(v01_CapsByProject*SUMPRODUCT((Cap_Point&lt;=I392)*(Cap_Kind="Food")*Cap_Ln))</x:f>
        <x:v>30</x:v>
      </x:c>
      <x:c r="K392" s="32" t="n">
        <x:f>J392*MIN(1,v01_LeanBase*EXP(v01_CapsByProject*SUMPRODUCT((Cap_Point&lt;=I392)*(Cap_Kind="Lean")*Cap_Ln)))</x:f>
        <x:v>30</x:v>
      </x:c>
      <x:c r="L392" s="10" t="n">
        <x:f>INDEX(v01_HousingCap,G392)*EXP(v01_CapsByProject*SUMPRODUCT((Cap_Point&lt;=I392)*(Cap_Kind="Housing")*Cap_Ln))</x:f>
        <x:v>60</x:v>
      </x:c>
      <x:c r="M392" s="10" t="n">
        <x:f>INDEX(v01_GroupCap,G392)*v01_CohesionFactor*EXP(v01_CapsByProject*SUMPRODUCT((Cap_Point&lt;=I392)*(Cap_Kind="Group")*Cap_Ln))</x:f>
        <x:v>100</x:v>
      </x:c>
      <x:c r="N392" s="32" t="n">
        <x:f>MIN(J392,L392,M392)</x:f>
        <x:v>30</x:v>
      </x:c>
      <x:c r="O392" s="10" t="n">
        <x:f>AE391*N392</x:f>
        <x:v>60</x:v>
      </x:c>
      <x:c r="P392" s="9" t="n">
        <x:f>MIN(1,(AB391/(AE391*IF(v01_GroupInCrowding=1,N392,MIN(J392,L392))))^v01_CrowdingExp)</x:f>
        <x:v>0.15566322084190976</x:v>
      </x:c>
      <x:c r="Q392" s="9" t="n">
        <x:f>IF(D392=1,INDEX(v01_WinterMult,G392),1)</x:f>
        <x:v>1</x:v>
      </x:c>
      <x:c r="R392" s="9" t="n">
        <x:f>H392*Z391*v01_WomenShare*v01_BaseFertility*INDEX(v01_FertMult,G392)*Arch_Fertility*(1-P392)</x:f>
        <x:v>0.6135072478500726</x:v>
      </x:c>
      <x:c r="S392" s="9" t="n">
        <x:f>H392*Y391*INDEX(v01_MortChild,G392)/4*Q392</x:f>
        <x:v>0.16872891715551921</x:v>
      </x:c>
      <x:c r="T392" s="9" t="n">
        <x:f>H392*Z391*INDEX(v01_MortAdult,G392)*Arch_AdultMort/4*Q392</x:f>
        <x:v>0.06297324652850499</x:v>
      </x:c>
      <x:c r="U392" s="9" t="n">
        <x:f>H392*AA391*INDEX(v01_MortElder,G392)/4*Q392</x:f>
        <x:v>0.10693371340539655</x:v>
      </x:c>
      <x:c r="V392" s="9" t="n">
        <x:f>H392*MAX(0,AB391-O392)*v01_OvercapLoss</x:f>
        <x:v>0</x:v>
      </x:c>
      <x:c r="W392" s="9" t="n">
        <x:f>H392*Y391/(v01_ChildYears*4)</x:f>
        <x:v>0.3443447288888147</x:v>
      </x:c>
      <x:c r="X392" s="9" t="n">
        <x:f>H392*Z391/(v01_AdultYears*4)</x:f>
        <x:v>0.1562611576389702</x:v>
      </x:c>
      <x:c r="Y392" s="32" t="n">
        <x:f>Y391+R392-S392-W392-Y391*V392/AB391</x:f>
        <x:v>19.383738419579362</x:v>
      </x:c>
      <x:c r="Z392" s="32" t="n">
        <x:f>Z391+W392-X392-T392-Z391*V392/AB391</x:f>
        <x:v>19.501493871953645</x:v>
      </x:c>
      <x:c r="AA392" s="32" t="n">
        <x:f>AA391+X392-U392-AA391*V392/AB391</x:f>
        <x:v>5.3960131145034005</x:v>
      </x:c>
      <x:c r="AB392" s="10" t="n">
        <x:f>Y392+Z392+AA392</x:f>
        <x:v>44.281245406036405</x:v>
      </x:c>
      <x:c r="AC392" s="8" t="n">
        <x:f>IF(AND(v01_WinterTrigger=1,D392=1,AB391/AE391&gt;=K392),1,0)</x:f>
        <x:v>0</x:v>
      </x:c>
      <x:c r="AD392" s="8" t="n">
        <x:f>H392*IF(AND(OR(AB391/AE391&gt;=v01_FissionTrigger*N392,AC392=1),AB391/AE391*v01_DaughterShare&gt;=v01_MinDaughter),MAX(1,ROUND(AE391*v01_FissionRate,0)),0)</x:f>
        <x:v>0</x:v>
      </x:c>
      <x:c r="AE392" s="8" t="n">
        <x:f>IF(H392=1,MAX(1,MIN(INDEX(v01_Smax,G392),AE391+AD392)),AE391)</x:f>
        <x:v>2</x:v>
      </x:c>
      <x:c r="AF392" s="8" t="n">
        <x:f>MAX(0,AE392-AE391)</x:f>
        <x:v>0</x:v>
      </x:c>
      <x:c r="AG392" s="9" t="str">
        <x:f>IF(AF392&gt;0,B392,"")</x:f>
      </x:c>
      <x:c r="AH392" s="9" t="n">
        <x:f>IF(F392&gt;=1,1,(1+v01_LowTiesShare*(AE392-1))/AE392)</x:f>
        <x:v>1</x:v>
      </x:c>
      <x:c r="AI392" s="32" t="n">
        <x:f>(Z392+v01_ElderCommons*INDEX(LM_Elder,G392)*AA392)*AH392</x:f>
        <x:v>32.718972647853235</x:v>
      </x:c>
      <x:c r="AJ392" s="32" t="n">
        <x:f>H392*v01_CommonsCoef*AI392^v01_CommonsExp*INDEX(LM_Commons,G392)</x:f>
        <x:v>12.79745601116558</x:v>
      </x:c>
      <x:c r="AK392" s="32" t="n">
        <x:f>H392*v01_RoleScale*Arch_Roles*(AE392*(INDEX(v01_ElderRolePerSett,G392)*v01_OutElder*INDEX(LM_Elder,G392)+INDEX(v01_ShamanPerSett,G392)*v01_OutShaman)+Z392*(INDEX(v01_PriestShare,G392)*v01_OutPriest+INDEX(v01_ScribeShare,G392)*v01_OutScribe*INDEX(LM_Scribe,G392)+INDEX(v01_ScholarShare,G392)*v01_OutScholar*INDEX(LM_Scholar,G392)+INDEX(v01_ResearcherShare,G392)*v01_OutResearcher*INDEX(LM_Researcher,G392)))</x:f>
        <x:v>2.724744871391589</x:v>
      </x:c>
      <x:c r="AL392" s="32" t="n">
        <x:f>H392*v01_RoleScale*Arch_Roles*AE392*INDEX(v01_MonasteryPerSett,G392)*v01_OutMonastery*INDEX(LM_Monastery,G392)</x:f>
        <x:v>0</x:v>
      </x:c>
      <x:c r="AM392" s="32" t="n">
        <x:f>(AJ392+AK392+AL392)/4*INDEX(LM_All,G392)*INDEX(v01_Boon,G392)*Arch_Insight</x:f>
        <x:v>3.9775639761552744</x:v>
      </x:c>
      <x:c r="AN392" s="32" t="n">
        <x:f>H392*(v01_KHPerAdult*Z392+v01_KHOfCommons*AJ392/4*INDEX(LM_All,G392))*v01_KHUsable*Arch_KH</x:f>
        <x:v>0.6825522855183775</x:v>
      </x:c>
      <x:c r="AO392" s="32" t="n">
        <x:f>MIN(AP391+AN392,AM392*v01_KHMaxRatio)</x:f>
        <x:v>0.6825522855183775</x:v>
      </x:c>
      <x:c r="AP392" s="32" t="n">
        <x:f>AP391+AN392-AO392</x:f>
        <x:v>0</x:v>
      </x:c>
      <x:c r="AQ392" s="32" t="n">
        <x:f>AM392+AO392</x:f>
        <x:v>4.660116261673652</x:v>
      </x:c>
      <x:c r="AR392" s="10" t="n">
        <x:f>IF(H392=1,INDEX(v01_Req,G392),0)</x:f>
        <x:v>1067.32</x:v>
      </x:c>
      <x:c r="AS392" s="32" t="n">
        <x:f>IF(H392=1,IF(E392=1,AS391-AR391,AS391)+AQ392,0)</x:f>
        <x:v>513.7926268687689</x:v>
      </x:c>
      <x:c r="AT392" s="11" t="n">
        <x:f>IF(AR392&gt;0,MIN(1,AS392/AR392),1)</x:f>
        <x:v>0.48138573892437975</x:v>
      </x:c>
      <x:c r="AU392" s="10" t="n">
        <x:f>AB392/INDEX(v01_RepScale,G392)</x:f>
        <x:v>44.281245406036405</x:v>
      </x:c>
      <x:c r="AV392" s="32" t="n">
        <x:f>AM392*60/v01_SeasonSeconds</x:f>
        <x:v>15.910255904621097</x:v>
      </x:c>
    </x:row>
    <x:row r="393">
      <x:c r="A393" s="8" t="n">
        <x:f>A392+1</x:f>
        <x:v>390</x:v>
      </x:c>
      <x:c r="B393" s="9" t="n">
        <x:f>A393*v01_SeasonSeconds/60</x:f>
        <x:v>97.5</x:v>
      </x:c>
      <x:c r="C393" s="9" t="n">
        <x:f>A393/4</x:f>
        <x:v>97.5</x:v>
      </x:c>
      <x:c r="D393" s="8" t="n">
        <x:f>IF(MOD(A393,4)=0,1,0)</x:f>
        <x:v>0</x:v>
      </x:c>
      <x:c r="E393" s="8" t="n">
        <x:f>IF(AND(F392&lt;=9,AS392&gt;=AR392),1,0)</x:f>
        <x:v>0</x:v>
      </x:c>
      <x:c r="F393" s="8" t="n">
        <x:f>MIN(10,F392+E393)</x:f>
        <x:v>1</x:v>
      </x:c>
      <x:c r="G393" s="8" t="n">
        <x:f>MIN(F393,9)+1</x:f>
        <x:v>2</x:v>
      </x:c>
      <x:c r="H393" s="8" t="n">
        <x:f>IF(F393&lt;=9,1,0)</x:f>
        <x:v>1</x:v>
      </x:c>
      <x:c r="I393" s="9" t="n">
        <x:f>MIN(10,F392+IF(AR392&gt;0,MIN(1,AS392/AR392),1))</x:f>
        <x:v>1.4813857389243799</x:v>
      </x:c>
      <x:c r="J393" s="32" t="n">
        <x:f>INDEX(v01_FoodCap,G393)*Arch_FoodCap*EXP(v01_CapsByProject*SUMPRODUCT((Cap_Point&lt;=I393)*(Cap_Kind="Food")*Cap_Ln))</x:f>
        <x:v>30</x:v>
      </x:c>
      <x:c r="K393" s="32" t="n">
        <x:f>J393*MIN(1,v01_LeanBase*EXP(v01_CapsByProject*SUMPRODUCT((Cap_Point&lt;=I393)*(Cap_Kind="Lean")*Cap_Ln)))</x:f>
        <x:v>30</x:v>
      </x:c>
      <x:c r="L393" s="10" t="n">
        <x:f>INDEX(v01_HousingCap,G393)*EXP(v01_CapsByProject*SUMPRODUCT((Cap_Point&lt;=I393)*(Cap_Kind="Housing")*Cap_Ln))</x:f>
        <x:v>60</x:v>
      </x:c>
      <x:c r="M393" s="10" t="n">
        <x:f>INDEX(v01_GroupCap,G393)*v01_CohesionFactor*EXP(v01_CapsByProject*SUMPRODUCT((Cap_Point&lt;=I393)*(Cap_Kind="Group")*Cap_Ln))</x:f>
        <x:v>100</x:v>
      </x:c>
      <x:c r="N393" s="32" t="n">
        <x:f>MIN(J393,L393,M393)</x:f>
        <x:v>30</x:v>
      </x:c>
      <x:c r="O393" s="10" t="n">
        <x:f>AE392*N393</x:f>
        <x:v>60</x:v>
      </x:c>
      <x:c r="P393" s="9" t="n">
        <x:f>MIN(1,(AB392/(AE392*IF(v01_GroupInCrowding=1,N393,MIN(J393,L393))))^v01_CrowdingExp)</x:f>
        <x:v>0.16158887558641685</x:v>
      </x:c>
      <x:c r="Q393" s="9" t="n">
        <x:f>IF(D393=1,INDEX(v01_WinterMult,G393),1)</x:f>
        <x:v>1</x:v>
      </x:c>
      <x:c r="R393" s="9" t="n">
        <x:f>H393*Z392*v01_WomenShare*v01_BaseFertility*INDEX(v01_FertMult,G393)*Arch_Fertility*(1-P393)</x:f>
        <x:v>0.6131351026848472</x:v>
      </x:c>
      <x:c r="S393" s="9" t="n">
        <x:f>H393*Y392*INDEX(v01_MortChild,G393)/4*Q393</x:f>
        <x:v>0.16960771117131943</x:v>
      </x:c>
      <x:c r="T393" s="9" t="n">
        <x:f>H393*Z392*INDEX(v01_MortAdult,G393)*Arch_AdultMort/4*Q393</x:f>
        <x:v>0.06337985508384934</x:v>
      </x:c>
      <x:c r="U393" s="9" t="n">
        <x:f>H393*AA392*INDEX(v01_MortElder,G393)/4*Q393</x:f>
        <x:v>0.10792026229006801</x:v>
      </x:c>
      <x:c r="V393" s="9" t="n">
        <x:f>H393*MAX(0,AB392-O393)*v01_OvercapLoss</x:f>
        <x:v>0</x:v>
      </x:c>
      <x:c r="W393" s="9" t="n">
        <x:f>H393*Y392/(v01_ChildYears*4)</x:f>
        <x:v>0.34613818606391716</x:v>
      </x:c>
      <x:c r="X393" s="9" t="n">
        <x:f>H393*Z392/(v01_AdultYears*4)</x:f>
        <x:v>0.15727011187059392</x:v>
      </x:c>
      <x:c r="Y393" s="32" t="n">
        <x:f>Y392+R393-S393-W393-Y392*V393/AB392</x:f>
        <x:v>19.48112762502897</x:v>
      </x:c>
      <x:c r="Z393" s="32" t="n">
        <x:f>Z392+W393-X393-T393-Z392*V393/AB392</x:f>
        <x:v>19.62698209106312</x:v>
      </x:c>
      <x:c r="AA393" s="32" t="n">
        <x:f>AA392+X393-U393-AA392*V393/AB392</x:f>
        <x:v>5.445362964083927</x:v>
      </x:c>
      <x:c r="AB393" s="10" t="n">
        <x:f>Y393+Z393+AA393</x:f>
        <x:v>44.553472680176014</x:v>
      </x:c>
      <x:c r="AC393" s="8" t="n">
        <x:f>IF(AND(v01_WinterTrigger=1,D393=1,AB392/AE392&gt;=K393),1,0)</x:f>
        <x:v>0</x:v>
      </x:c>
      <x:c r="AD393" s="8" t="n">
        <x:f>H393*IF(AND(OR(AB392/AE392&gt;=v01_FissionTrigger*N393,AC393=1),AB392/AE392*v01_DaughterShare&gt;=v01_MinDaughter),MAX(1,ROUND(AE392*v01_FissionRate,0)),0)</x:f>
        <x:v>0</x:v>
      </x:c>
      <x:c r="AE393" s="8" t="n">
        <x:f>IF(H393=1,MAX(1,MIN(INDEX(v01_Smax,G393),AE392+AD393)),AE392)</x:f>
        <x:v>2</x:v>
      </x:c>
      <x:c r="AF393" s="8" t="n">
        <x:f>MAX(0,AE393-AE392)</x:f>
        <x:v>0</x:v>
      </x:c>
      <x:c r="AG393" s="9" t="str">
        <x:f>IF(AF393&gt;0,B393,"")</x:f>
      </x:c>
      <x:c r="AH393" s="9" t="n">
        <x:f>IF(F393&gt;=1,1,(1+v01_LowTiesShare*(AE393-1))/AE393)</x:f>
        <x:v>1</x:v>
      </x:c>
      <x:c r="AI393" s="32" t="n">
        <x:f>(Z393+v01_ElderCommons*INDEX(LM_Elder,G393)*AA393)*AH393</x:f>
        <x:v>32.9653428173181</x:v>
      </x:c>
      <x:c r="AJ393" s="32" t="n">
        <x:f>H393*v01_CommonsCoef*AI393^v01_CommonsExp*INDEX(LM_Commons,G393)</x:f>
        <x:v>12.87931877568789</x:v>
      </x:c>
      <x:c r="AK393" s="32" t="n">
        <x:f>H393*v01_RoleScale*Arch_Roles*(AE393*(INDEX(v01_ElderRolePerSett,G393)*v01_OutElder*INDEX(LM_Elder,G393)+INDEX(v01_ShamanPerSett,G393)*v01_OutShaman)+Z393*(INDEX(v01_PriestShare,G393)*v01_OutPriest+INDEX(v01_ScribeShare,G393)*v01_OutScribe*INDEX(LM_Scribe,G393)+INDEX(v01_ScholarShare,G393)*v01_OutScholar*INDEX(LM_Scholar,G393)+INDEX(v01_ResearcherShare,G393)*v01_OutResearcher*INDEX(LM_Researcher,G393)))</x:f>
        <x:v>2.724744871391589</x:v>
      </x:c>
      <x:c r="AL393" s="32" t="n">
        <x:f>H393*v01_RoleScale*Arch_Roles*AE393*INDEX(v01_MonasteryPerSett,G393)*v01_OutMonastery*INDEX(LM_Monastery,G393)</x:f>
        <x:v>0</x:v>
      </x:c>
      <x:c r="AM393" s="32" t="n">
        <x:f>(AJ393+AK393+AL393)/4*INDEX(LM_All,G393)*INDEX(v01_Boon,G393)*Arch_Insight</x:f>
        <x:v>3.9985413095641165</x:v>
      </x:c>
      <x:c r="AN393" s="32" t="n">
        <x:f>H393*(v01_KHPerAdult*Z393+v01_KHOfCommons*AJ393/4*INDEX(LM_All,G393))*v01_KHUsable*Arch_KH</x:f>
        <x:v>0.6869443731872092</x:v>
      </x:c>
      <x:c r="AO393" s="32" t="n">
        <x:f>MIN(AP392+AN393,AM393*v01_KHMaxRatio)</x:f>
        <x:v>0.6869443731872092</x:v>
      </x:c>
      <x:c r="AP393" s="32" t="n">
        <x:f>AP392+AN393-AO393</x:f>
        <x:v>0</x:v>
      </x:c>
      <x:c r="AQ393" s="32" t="n">
        <x:f>AM393+AO393</x:f>
        <x:v>4.685485682751326</x:v>
      </x:c>
      <x:c r="AR393" s="10" t="n">
        <x:f>IF(H393=1,INDEX(v01_Req,G393),0)</x:f>
        <x:v>1067.32</x:v>
      </x:c>
      <x:c r="AS393" s="32" t="n">
        <x:f>IF(H393=1,IF(E393=1,AS392-AR392,AS392)+AQ393,0)</x:f>
        <x:v>518.4781125515202</x:v>
      </x:c>
      <x:c r="AT393" s="11" t="n">
        <x:f>IF(AR393&gt;0,MIN(1,AS393/AR393),1)</x:f>
        <x:v>0.48577569290514583</x:v>
      </x:c>
      <x:c r="AU393" s="10" t="n">
        <x:f>AB393/INDEX(v01_RepScale,G393)</x:f>
        <x:v>44.553472680176014</x:v>
      </x:c>
      <x:c r="AV393" s="32" t="n">
        <x:f>AM393*60/v01_SeasonSeconds</x:f>
        <x:v>15.994165238256466</x:v>
      </x:c>
    </x:row>
    <x:row r="394">
      <x:c r="A394" s="8" t="n">
        <x:f>A393+1</x:f>
        <x:v>391</x:v>
      </x:c>
      <x:c r="B394" s="9" t="n">
        <x:f>A394*v01_SeasonSeconds/60</x:f>
        <x:v>97.75</x:v>
      </x:c>
      <x:c r="C394" s="9" t="n">
        <x:f>A394/4</x:f>
        <x:v>97.75</x:v>
      </x:c>
      <x:c r="D394" s="8" t="n">
        <x:f>IF(MOD(A394,4)=0,1,0)</x:f>
        <x:v>0</x:v>
      </x:c>
      <x:c r="E394" s="8" t="n">
        <x:f>IF(AND(F393&lt;=9,AS393&gt;=AR393),1,0)</x:f>
        <x:v>0</x:v>
      </x:c>
      <x:c r="F394" s="8" t="n">
        <x:f>MIN(10,F393+E394)</x:f>
        <x:v>1</x:v>
      </x:c>
      <x:c r="G394" s="8" t="n">
        <x:f>MIN(F394,9)+1</x:f>
        <x:v>2</x:v>
      </x:c>
      <x:c r="H394" s="8" t="n">
        <x:f>IF(F394&lt;=9,1,0)</x:f>
        <x:v>1</x:v>
      </x:c>
      <x:c r="I394" s="9" t="n">
        <x:f>MIN(10,F393+IF(AR393&gt;0,MIN(1,AS393/AR393),1))</x:f>
        <x:v>1.4857756929051458</x:v>
      </x:c>
      <x:c r="J394" s="32" t="n">
        <x:f>INDEX(v01_FoodCap,G394)*Arch_FoodCap*EXP(v01_CapsByProject*SUMPRODUCT((Cap_Point&lt;=I394)*(Cap_Kind="Food")*Cap_Ln))</x:f>
        <x:v>30</x:v>
      </x:c>
      <x:c r="K394" s="32" t="n">
        <x:f>J394*MIN(1,v01_LeanBase*EXP(v01_CapsByProject*SUMPRODUCT((Cap_Point&lt;=I394)*(Cap_Kind="Lean")*Cap_Ln)))</x:f>
        <x:v>30</x:v>
      </x:c>
      <x:c r="L394" s="10" t="n">
        <x:f>INDEX(v01_HousingCap,G394)*EXP(v01_CapsByProject*SUMPRODUCT((Cap_Point&lt;=I394)*(Cap_Kind="Housing")*Cap_Ln))</x:f>
        <x:v>60</x:v>
      </x:c>
      <x:c r="M394" s="10" t="n">
        <x:f>INDEX(v01_GroupCap,G394)*v01_CohesionFactor*EXP(v01_CapsByProject*SUMPRODUCT((Cap_Point&lt;=I394)*(Cap_Kind="Group")*Cap_Ln))</x:f>
        <x:v>100</x:v>
      </x:c>
      <x:c r="N394" s="32" t="n">
        <x:f>MIN(J394,L394,M394)</x:f>
        <x:v>30</x:v>
      </x:c>
      <x:c r="O394" s="10" t="n">
        <x:f>AE393*N394</x:f>
        <x:v>60</x:v>
      </x:c>
      <x:c r="P394" s="9" t="n">
        <x:f>MIN(1,(AB393/(AE393*IF(v01_GroupInCrowding=1,N394,MIN(J394,L394))))^v01_CrowdingExp)</x:f>
        <x:v>0.16764162425500395</x:v>
      </x:c>
      <x:c r="Q394" s="9" t="n">
        <x:f>IF(D394=1,INDEX(v01_WinterMult,G394),1)</x:f>
        <x:v>1</x:v>
      </x:c>
      <x:c r="R394" s="9" t="n">
        <x:f>H394*Z393*v01_WomenShare*v01_BaseFertility*INDEX(v01_FertMult,G394)*Arch_Fertility*(1-P394)</x:f>
        <x:v>0.6126256100285035</x:v>
      </x:c>
      <x:c r="S394" s="9" t="n">
        <x:f>H394*Y393*INDEX(v01_MortChild,G394)/4*Q394</x:f>
        <x:v>0.1704598667190035</x:v>
      </x:c>
      <x:c r="T394" s="9" t="n">
        <x:f>H394*Z393*INDEX(v01_MortAdult,G394)*Arch_AdultMort/4*Q394</x:f>
        <x:v>0.06378769179595514</x:v>
      </x:c>
      <x:c r="U394" s="9" t="n">
        <x:f>H394*AA393*INDEX(v01_MortElder,G394)/4*Q394</x:f>
        <x:v>0.10890725928167853</x:v>
      </x:c>
      <x:c r="V394" s="9" t="n">
        <x:f>H394*MAX(0,AB393-O394)*v01_OvercapLoss</x:f>
        <x:v>0</x:v>
      </x:c>
      <x:c r="W394" s="9" t="n">
        <x:f>H394*Y393/(v01_ChildYears*4)</x:f>
        <x:v>0.3478772790183745</x:v>
      </x:c>
      <x:c r="X394" s="9" t="n">
        <x:f>H394*Z393/(v01_AdultYears*4)</x:f>
        <x:v>0.1582821136376058</x:v>
      </x:c>
      <x:c r="Y394" s="32" t="n">
        <x:f>Y393+R394-S394-W394-Y393*V394/AB393</x:f>
        <x:v>19.575416089320097</x:v>
      </x:c>
      <x:c r="Z394" s="32" t="n">
        <x:f>Z393+W394-X394-T394-Z393*V394/AB393</x:f>
        <x:v>19.75278956464793</x:v>
      </x:c>
      <x:c r="AA394" s="32" t="n">
        <x:f>AA393+X394-U394-AA393*V394/AB393</x:f>
        <x:v>5.494737818439854</x:v>
      </x:c>
      <x:c r="AB394" s="10" t="n">
        <x:f>Y394+Z394+AA394</x:f>
        <x:v>44.82294347240788</x:v>
      </x:c>
      <x:c r="AC394" s="8" t="n">
        <x:f>IF(AND(v01_WinterTrigger=1,D394=1,AB393/AE393&gt;=K394),1,0)</x:f>
        <x:v>0</x:v>
      </x:c>
      <x:c r="AD394" s="8" t="n">
        <x:f>H394*IF(AND(OR(AB393/AE393&gt;=v01_FissionTrigger*N394,AC394=1),AB393/AE393*v01_DaughterShare&gt;=v01_MinDaughter),MAX(1,ROUND(AE393*v01_FissionRate,0)),0)</x:f>
        <x:v>0</x:v>
      </x:c>
      <x:c r="AE394" s="8" t="n">
        <x:f>IF(H394=1,MAX(1,MIN(INDEX(v01_Smax,G394),AE393+AD394)),AE393)</x:f>
        <x:v>2</x:v>
      </x:c>
      <x:c r="AF394" s="8" t="n">
        <x:f>MAX(0,AE394-AE393)</x:f>
        <x:v>0</x:v>
      </x:c>
      <x:c r="AG394" s="9" t="str">
        <x:f>IF(AF394&gt;0,B394,"")</x:f>
      </x:c>
      <x:c r="AH394" s="9" t="n">
        <x:f>IF(F394&gt;=1,1,(1+v01_LowTiesShare*(AE394-1))/AE394)</x:f>
        <x:v>1</x:v>
      </x:c>
      <x:c r="AI394" s="32" t="n">
        <x:f>(Z394+v01_ElderCommons*INDEX(LM_Elder,G394)*AA394)*AH394</x:f>
        <x:v>33.212093490199166</x:v>
      </x:c>
      <x:c r="AJ394" s="32" t="n">
        <x:f>H394*v01_CommonsCoef*AI394^v01_CommonsExp*INDEX(LM_Commons,G394)</x:f>
        <x:v>12.961216038899133</x:v>
      </x:c>
      <x:c r="AK394" s="32" t="n">
        <x:f>H394*v01_RoleScale*Arch_Roles*(AE394*(INDEX(v01_ElderRolePerSett,G394)*v01_OutElder*INDEX(LM_Elder,G394)+INDEX(v01_ShamanPerSett,G394)*v01_OutShaman)+Z394*(INDEX(v01_PriestShare,G394)*v01_OutPriest+INDEX(v01_ScribeShare,G394)*v01_OutScribe*INDEX(LM_Scribe,G394)+INDEX(v01_ScholarShare,G394)*v01_OutScholar*INDEX(LM_Scholar,G394)+INDEX(v01_ResearcherShare,G394)*v01_OutResearcher*INDEX(LM_Researcher,G394)))</x:f>
        <x:v>2.724744871391589</x:v>
      </x:c>
      <x:c r="AL394" s="32" t="n">
        <x:f>H394*v01_RoleScale*Arch_Roles*AE394*INDEX(v01_MonasteryPerSett,G394)*v01_OutMonastery*INDEX(LM_Monastery,G394)</x:f>
        <x:v>0</x:v>
      </x:c>
      <x:c r="AM394" s="32" t="n">
        <x:f>(AJ394+AK394+AL394)/4*INDEX(LM_All,G394)*INDEX(v01_Boon,G394)*Arch_Insight</x:f>
        <x:v>4.019527483261998</x:v>
      </x:c>
      <x:c r="AN394" s="32" t="n">
        <x:f>H394*(v01_KHPerAdult*Z394+v01_KHOfCommons*AJ394/4*INDEX(LM_All,G394))*v01_KHUsable*Arch_KH</x:f>
        <x:v>0.6913476347626775</x:v>
      </x:c>
      <x:c r="AO394" s="32" t="n">
        <x:f>MIN(AP393+AN394,AM394*v01_KHMaxRatio)</x:f>
        <x:v>0.6913476347626775</x:v>
      </x:c>
      <x:c r="AP394" s="32" t="n">
        <x:f>AP393+AN394-AO394</x:f>
        <x:v>0</x:v>
      </x:c>
      <x:c r="AQ394" s="32" t="n">
        <x:f>AM394+AO394</x:f>
        <x:v>4.710875118024675</x:v>
      </x:c>
      <x:c r="AR394" s="10" t="n">
        <x:f>IF(H394=1,INDEX(v01_Req,G394),0)</x:f>
        <x:v>1067.32</x:v>
      </x:c>
      <x:c r="AS394" s="32" t="n">
        <x:f>IF(H394=1,IF(E394=1,AS393-AR393,AS393)+AQ394,0)</x:f>
        <x:v>523.1889876695449</x:v>
      </x:c>
      <x:c r="AT394" s="11" t="n">
        <x:f>IF(AR394&gt;0,MIN(1,AS394/AR394),1)</x:f>
        <x:v>0.49018943491131517</x:v>
      </x:c>
      <x:c r="AU394" s="10" t="n">
        <x:f>AB394/INDEX(v01_RepScale,G394)</x:f>
        <x:v>44.82294347240788</x:v>
      </x:c>
      <x:c r="AV394" s="32" t="n">
        <x:f>AM394*60/v01_SeasonSeconds</x:f>
        <x:v>16.07810993304799</x:v>
      </x:c>
    </x:row>
    <x:row r="395">
      <x:c r="A395" s="8" t="n">
        <x:f>A394+1</x:f>
        <x:v>392</x:v>
      </x:c>
      <x:c r="B395" s="9" t="n">
        <x:f>A395*v01_SeasonSeconds/60</x:f>
        <x:v>98</x:v>
      </x:c>
      <x:c r="C395" s="9" t="n">
        <x:f>A395/4</x:f>
        <x:v>98</x:v>
      </x:c>
      <x:c r="D395" s="8" t="n">
        <x:f>IF(MOD(A395,4)=0,1,0)</x:f>
        <x:v>1</x:v>
      </x:c>
      <x:c r="E395" s="8" t="n">
        <x:f>IF(AND(F394&lt;=9,AS394&gt;=AR394),1,0)</x:f>
        <x:v>0</x:v>
      </x:c>
      <x:c r="F395" s="8" t="n">
        <x:f>MIN(10,F394+E395)</x:f>
        <x:v>1</x:v>
      </x:c>
      <x:c r="G395" s="8" t="n">
        <x:f>MIN(F395,9)+1</x:f>
        <x:v>2</x:v>
      </x:c>
      <x:c r="H395" s="8" t="n">
        <x:f>IF(F395&lt;=9,1,0)</x:f>
        <x:v>1</x:v>
      </x:c>
      <x:c r="I395" s="9" t="n">
        <x:f>MIN(10,F394+IF(AR394&gt;0,MIN(1,AS394/AR394),1))</x:f>
        <x:v>1.4901894349113152</x:v>
      </x:c>
      <x:c r="J395" s="32" t="n">
        <x:f>INDEX(v01_FoodCap,G395)*Arch_FoodCap*EXP(v01_CapsByProject*SUMPRODUCT((Cap_Point&lt;=I395)*(Cap_Kind="Food")*Cap_Ln))</x:f>
        <x:v>30</x:v>
      </x:c>
      <x:c r="K395" s="32" t="n">
        <x:f>J395*MIN(1,v01_LeanBase*EXP(v01_CapsByProject*SUMPRODUCT((Cap_Point&lt;=I395)*(Cap_Kind="Lean")*Cap_Ln)))</x:f>
        <x:v>30</x:v>
      </x:c>
      <x:c r="L395" s="10" t="n">
        <x:f>INDEX(v01_HousingCap,G395)*EXP(v01_CapsByProject*SUMPRODUCT((Cap_Point&lt;=I395)*(Cap_Kind="Housing")*Cap_Ln))</x:f>
        <x:v>60</x:v>
      </x:c>
      <x:c r="M395" s="10" t="n">
        <x:f>INDEX(v01_GroupCap,G395)*v01_CohesionFactor*EXP(v01_CapsByProject*SUMPRODUCT((Cap_Point&lt;=I395)*(Cap_Kind="Group")*Cap_Ln))</x:f>
        <x:v>100</x:v>
      </x:c>
      <x:c r="N395" s="32" t="n">
        <x:f>MIN(J395,L395,M395)</x:f>
        <x:v>30</x:v>
      </x:c>
      <x:c r="O395" s="10" t="n">
        <x:f>AE394*N395</x:f>
        <x:v>60</x:v>
      </x:c>
      <x:c r="P395" s="9" t="n">
        <x:f>MIN(1,(AB394/(AE394*IF(v01_GroupInCrowding=1,N395,MIN(J395,L395))))^v01_CrowdingExp)</x:f>
        <x:v>0.1738179943169947</x:v>
      </x:c>
      <x:c r="Q395" s="9" t="n">
        <x:f>IF(D395=1,INDEX(v01_WinterMult,G395),1)</x:f>
        <x:v>1.6</x:v>
      </x:c>
      <x:c r="R395" s="9" t="n">
        <x:f>H395*Z394*v01_WomenShare*v01_BaseFertility*INDEX(v01_FertMult,G395)*Arch_Fertility*(1-P395)</x:f>
        <x:v>0.6119774737633186</x:v>
      </x:c>
      <x:c r="S395" s="9" t="n">
        <x:f>H395*Y394*INDEX(v01_MortChild,G395)/4*Q395</x:f>
        <x:v>0.2740558252504814</x:v>
      </x:c>
      <x:c r="T395" s="9" t="n">
        <x:f>H395*Z394*INDEX(v01_MortAdult,G395)*Arch_AdultMort/4*Q395</x:f>
        <x:v>0.10271450573616923</x:v>
      </x:c>
      <x:c r="U395" s="9" t="n">
        <x:f>H395*AA394*INDEX(v01_MortElder,G395)/4*Q395</x:f>
        <x:v>0.17583161019007534</x:v>
      </x:c>
      <x:c r="V395" s="9" t="n">
        <x:f>H395*MAX(0,AB394-O395)*v01_OvercapLoss</x:f>
        <x:v>0</x:v>
      </x:c>
      <x:c r="W395" s="9" t="n">
        <x:f>H395*Y394/(v01_ChildYears*4)</x:f>
        <x:v>0.34956100159500175</x:v>
      </x:c>
      <x:c r="X395" s="9" t="n">
        <x:f>H395*Z394/(v01_AdultYears*4)</x:f>
        <x:v>0.1592966900374833</x:v>
      </x:c>
      <x:c r="Y395" s="32" t="n">
        <x:f>Y394+R395-S395-W395-Y394*V395/AB394</x:f>
        <x:v>19.56377673623793</x:v>
      </x:c>
      <x:c r="Z395" s="32" t="n">
        <x:f>Z394+W395-X395-T395-Z394*V395/AB394</x:f>
        <x:v>19.84033937046928</x:v>
      </x:c>
      <x:c r="AA395" s="32" t="n">
        <x:f>AA394+X395-U395-AA394*V395/AB394</x:f>
        <x:v>5.478202898287263</x:v>
      </x:c>
      <x:c r="AB395" s="10" t="n">
        <x:f>Y395+Z395+AA395</x:f>
        <x:v>44.88231900499447</x:v>
      </x:c>
      <x:c r="AC395" s="8" t="n">
        <x:f>IF(AND(v01_WinterTrigger=1,D395=1,AB394/AE394&gt;=K395),1,0)</x:f>
        <x:v>0</x:v>
      </x:c>
      <x:c r="AD395" s="8" t="n">
        <x:f>H395*IF(AND(OR(AB394/AE394&gt;=v01_FissionTrigger*N395,AC395=1),AB394/AE394*v01_DaughterShare&gt;=v01_MinDaughter),MAX(1,ROUND(AE394*v01_FissionRate,0)),0)</x:f>
        <x:v>0</x:v>
      </x:c>
      <x:c r="AE395" s="8" t="n">
        <x:f>IF(H395=1,MAX(1,MIN(INDEX(v01_Smax,G395),AE394+AD395)),AE394)</x:f>
        <x:v>2</x:v>
      </x:c>
      <x:c r="AF395" s="8" t="n">
        <x:f>MAX(0,AE395-AE394)</x:f>
        <x:v>0</x:v>
      </x:c>
      <x:c r="AG395" s="9" t="str">
        <x:f>IF(AF395&gt;0,B395,"")</x:f>
      </x:c>
      <x:c r="AH395" s="9" t="n">
        <x:f>IF(F395&gt;=1,1,(1+v01_LowTiesShare*(AE395-1))/AE395)</x:f>
        <x:v>1</x:v>
      </x:c>
      <x:c r="AI395" s="32" t="n">
        <x:f>(Z395+v01_ElderCommons*INDEX(LM_Elder,G395)*AA395)*AH395</x:f>
        <x:v>33.25914117870901</x:v>
      </x:c>
      <x:c r="AJ395" s="32" t="n">
        <x:f>H395*v01_CommonsCoef*AI395^v01_CommonsExp*INDEX(LM_Commons,G395)</x:f>
        <x:v>12.976820924746558</x:v>
      </x:c>
      <x:c r="AK395" s="32" t="n">
        <x:f>H395*v01_RoleScale*Arch_Roles*(AE395*(INDEX(v01_ElderRolePerSett,G395)*v01_OutElder*INDEX(LM_Elder,G395)+INDEX(v01_ShamanPerSett,G395)*v01_OutShaman)+Z395*(INDEX(v01_PriestShare,G395)*v01_OutPriest+INDEX(v01_ScribeShare,G395)*v01_OutScribe*INDEX(LM_Scribe,G395)+INDEX(v01_ScholarShare,G395)*v01_OutScholar*INDEX(LM_Scholar,G395)+INDEX(v01_ResearcherShare,G395)*v01_OutResearcher*INDEX(LM_Researcher,G395)))</x:f>
        <x:v>2.724744871391589</x:v>
      </x:c>
      <x:c r="AL395" s="32" t="n">
        <x:f>H395*v01_RoleScale*Arch_Roles*AE395*INDEX(v01_MonasteryPerSett,G395)*v01_OutMonastery*INDEX(LM_Monastery,G395)</x:f>
        <x:v>0</x:v>
      </x:c>
      <x:c r="AM395" s="32" t="n">
        <x:f>(AJ395+AK395+AL395)/4*INDEX(LM_All,G395)*INDEX(v01_Boon,G395)*Arch_Insight</x:f>
        <x:v>4.0235262352604</x:v>
      </x:c>
      <x:c r="AN395" s="32" t="n">
        <x:f>H395*(v01_KHPerAdult*Z395+v01_KHOfCommons*AJ395/4*INDEX(LM_All,G395))*v01_KHUsable*Arch_KH</x:f>
        <x:v>0.6944118779664248</x:v>
      </x:c>
      <x:c r="AO395" s="32" t="n">
        <x:f>MIN(AP394+AN395,AM395*v01_KHMaxRatio)</x:f>
        <x:v>0.6944118779664248</x:v>
      </x:c>
      <x:c r="AP395" s="32" t="n">
        <x:f>AP394+AN395-AO395</x:f>
        <x:v>0</x:v>
      </x:c>
      <x:c r="AQ395" s="32" t="n">
        <x:f>AM395+AO395</x:f>
        <x:v>4.7179381132268245</x:v>
      </x:c>
      <x:c r="AR395" s="10" t="n">
        <x:f>IF(H395=1,INDEX(v01_Req,G395),0)</x:f>
        <x:v>1067.32</x:v>
      </x:c>
      <x:c r="AS395" s="32" t="n">
        <x:f>IF(H395=1,IF(E395=1,AS394-AR394,AS394)+AQ395,0)</x:f>
        <x:v>527.9069257827717</x:v>
      </x:c>
      <x:c r="AT395" s="11" t="n">
        <x:f>IF(AR395&gt;0,MIN(1,AS395/AR395),1)</x:f>
        <x:v>0.4946097944222649</x:v>
      </x:c>
      <x:c r="AU395" s="10" t="n">
        <x:f>AB395/INDEX(v01_RepScale,G395)</x:f>
        <x:v>44.88231900499447</x:v>
      </x:c>
      <x:c r="AV395" s="32" t="n">
        <x:f>AM395*60/v01_SeasonSeconds</x:f>
        <x:v>16.0941049410416</x:v>
      </x:c>
    </x:row>
    <x:row r="396">
      <x:c r="A396" s="8" t="n">
        <x:f>A395+1</x:f>
        <x:v>393</x:v>
      </x:c>
      <x:c r="B396" s="9" t="n">
        <x:f>A396*v01_SeasonSeconds/60</x:f>
        <x:v>98.25</x:v>
      </x:c>
      <x:c r="C396" s="9" t="n">
        <x:f>A396/4</x:f>
        <x:v>98.25</x:v>
      </x:c>
      <x:c r="D396" s="8" t="n">
        <x:f>IF(MOD(A396,4)=0,1,0)</x:f>
        <x:v>0</x:v>
      </x:c>
      <x:c r="E396" s="8" t="n">
        <x:f>IF(AND(F395&lt;=9,AS395&gt;=AR395),1,0)</x:f>
        <x:v>0</x:v>
      </x:c>
      <x:c r="F396" s="8" t="n">
        <x:f>MIN(10,F395+E396)</x:f>
        <x:v>1</x:v>
      </x:c>
      <x:c r="G396" s="8" t="n">
        <x:f>MIN(F396,9)+1</x:f>
        <x:v>2</x:v>
      </x:c>
      <x:c r="H396" s="8" t="n">
        <x:f>IF(F396&lt;=9,1,0)</x:f>
        <x:v>1</x:v>
      </x:c>
      <x:c r="I396" s="9" t="n">
        <x:f>MIN(10,F395+IF(AR395&gt;0,MIN(1,AS395/AR395),1))</x:f>
        <x:v>1.494609794422265</x:v>
      </x:c>
      <x:c r="J396" s="32" t="n">
        <x:f>INDEX(v01_FoodCap,G396)*Arch_FoodCap*EXP(v01_CapsByProject*SUMPRODUCT((Cap_Point&lt;=I396)*(Cap_Kind="Food")*Cap_Ln))</x:f>
        <x:v>30</x:v>
      </x:c>
      <x:c r="K396" s="32" t="n">
        <x:f>J396*MIN(1,v01_LeanBase*EXP(v01_CapsByProject*SUMPRODUCT((Cap_Point&lt;=I396)*(Cap_Kind="Lean")*Cap_Ln)))</x:f>
        <x:v>30</x:v>
      </x:c>
      <x:c r="L396" s="10" t="n">
        <x:f>INDEX(v01_HousingCap,G396)*EXP(v01_CapsByProject*SUMPRODUCT((Cap_Point&lt;=I396)*(Cap_Kind="Housing")*Cap_Ln))</x:f>
        <x:v>60</x:v>
      </x:c>
      <x:c r="M396" s="10" t="n">
        <x:f>INDEX(v01_GroupCap,G396)*v01_CohesionFactor*EXP(v01_CapsByProject*SUMPRODUCT((Cap_Point&lt;=I396)*(Cap_Kind="Group")*Cap_Ln))</x:f>
        <x:v>100</x:v>
      </x:c>
      <x:c r="N396" s="32" t="n">
        <x:f>MIN(J396,L396,M396)</x:f>
        <x:v>30</x:v>
      </x:c>
      <x:c r="O396" s="10" t="n">
        <x:f>AE395*N396</x:f>
        <x:v>60</x:v>
      </x:c>
      <x:c r="P396" s="9" t="n">
        <x:f>MIN(1,(AB395/(AE395*IF(v01_GroupInCrowding=1,N396,MIN(J396,L396))))^v01_CrowdingExp)</x:f>
        <x:v>0.1752040846306461</x:v>
      </x:c>
      <x:c r="Q396" s="9" t="n">
        <x:f>IF(D396=1,INDEX(v01_WinterMult,G396),1)</x:f>
        <x:v>1</x:v>
      </x:c>
      <x:c r="R396" s="9" t="n">
        <x:f>H396*Z395*v01_WomenShare*v01_BaseFertility*INDEX(v01_FertMult,G396)*Arch_Fertility*(1-P396)</x:f>
        <x:v>0.6136586577114315</x:v>
      </x:c>
      <x:c r="S396" s="9" t="n">
        <x:f>H396*Y395*INDEX(v01_MortChild,G396)/4*Q396</x:f>
        <x:v>0.1711830464420819</x:v>
      </x:c>
      <x:c r="T396" s="9" t="n">
        <x:f>H396*Z395*INDEX(v01_MortAdult,G396)*Arch_AdultMort/4*Q396</x:f>
        <x:v>0.06448110295402516</x:v>
      </x:c>
      <x:c r="U396" s="9" t="n">
        <x:f>H396*AA395*INDEX(v01_MortElder,G396)/4*Q396</x:f>
        <x:v>0.10956405796574525</x:v>
      </x:c>
      <x:c r="V396" s="9" t="n">
        <x:f>H396*MAX(0,AB395-O396)*v01_OvercapLoss</x:f>
        <x:v>0</x:v>
      </x:c>
      <x:c r="W396" s="9" t="n">
        <x:f>H396*Y395/(v01_ChildYears*4)</x:f>
        <x:v>0.34935315600424877</x:v>
      </x:c>
      <x:c r="X396" s="9" t="n">
        <x:f>H396*Z395/(v01_AdultYears*4)</x:f>
        <x:v>0.16000273685862323</x:v>
      </x:c>
      <x:c r="Y396" s="32" t="n">
        <x:f>Y395+R396-S396-W396-Y395*V396/AB395</x:f>
        <x:v>19.656899191503033</x:v>
      </x:c>
      <x:c r="Z396" s="32" t="n">
        <x:f>Z395+W396-X396-T396-Z395*V396/AB395</x:f>
        <x:v>19.96520868666088</x:v>
      </x:c>
      <x:c r="AA396" s="32" t="n">
        <x:f>AA395+X396-U396-AA395*V396/AB395</x:f>
        <x:v>5.528641577180141</x:v>
      </x:c>
      <x:c r="AB396" s="10" t="n">
        <x:f>Y396+Z396+AA396</x:f>
        <x:v>45.150749455344055</x:v>
      </x:c>
      <x:c r="AC396" s="8" t="n">
        <x:f>IF(AND(v01_WinterTrigger=1,D396=1,AB395/AE395&gt;=K396),1,0)</x:f>
        <x:v>0</x:v>
      </x:c>
      <x:c r="AD396" s="8" t="n">
        <x:f>H396*IF(AND(OR(AB395/AE395&gt;=v01_FissionTrigger*N396,AC396=1),AB395/AE395*v01_DaughterShare&gt;=v01_MinDaughter),MAX(1,ROUND(AE395*v01_FissionRate,0)),0)</x:f>
        <x:v>0</x:v>
      </x:c>
      <x:c r="AE396" s="8" t="n">
        <x:f>IF(H396=1,MAX(1,MIN(INDEX(v01_Smax,G396),AE395+AD396)),AE395)</x:f>
        <x:v>2</x:v>
      </x:c>
      <x:c r="AF396" s="8" t="n">
        <x:f>MAX(0,AE396-AE395)</x:f>
        <x:v>0</x:v>
      </x:c>
      <x:c r="AG396" s="9" t="str">
        <x:f>IF(AF396&gt;0,B396,"")</x:f>
      </x:c>
      <x:c r="AH396" s="9" t="n">
        <x:f>IF(F396&gt;=1,1,(1+v01_LowTiesShare*(AE396-1))/AE396)</x:f>
        <x:v>1</x:v>
      </x:c>
      <x:c r="AI396" s="32" t="n">
        <x:f>(Z396+v01_ElderCommons*INDEX(LM_Elder,G396)*AA396)*AH396</x:f>
        <x:v>33.50755952148825</x:v>
      </x:c>
      <x:c r="AJ396" s="32" t="n">
        <x:f>H396*v01_CommonsCoef*AI396^v01_CommonsExp*INDEX(LM_Commons,G396)</x:f>
        <x:v>13.059162127477208</x:v>
      </x:c>
      <x:c r="AK396" s="32" t="n">
        <x:f>H396*v01_RoleScale*Arch_Roles*(AE396*(INDEX(v01_ElderRolePerSett,G396)*v01_OutElder*INDEX(LM_Elder,G396)+INDEX(v01_ShamanPerSett,G396)*v01_OutShaman)+Z396*(INDEX(v01_PriestShare,G396)*v01_OutPriest+INDEX(v01_ScribeShare,G396)*v01_OutScribe*INDEX(LM_Scribe,G396)+INDEX(v01_ScholarShare,G396)*v01_OutScholar*INDEX(LM_Scholar,G396)+INDEX(v01_ResearcherShare,G396)*v01_OutResearcher*INDEX(LM_Researcher,G396)))</x:f>
        <x:v>2.724744871391589</x:v>
      </x:c>
      <x:c r="AL396" s="32" t="n">
        <x:f>H396*v01_RoleScale*Arch_Roles*AE396*INDEX(v01_MonasteryPerSett,G396)*v01_OutMonastery*INDEX(LM_Monastery,G396)</x:f>
        <x:v>0</x:v>
      </x:c>
      <x:c r="AM396" s="32" t="n">
        <x:f>(AJ396+AK396+AL396)/4*INDEX(LM_All,G396)*INDEX(v01_Boon,G396)*Arch_Insight</x:f>
        <x:v>4.044626168460129</x:v>
      </x:c>
      <x:c r="AN396" s="32" t="n">
        <x:f>H396*(v01_KHPerAdult*Z396+v01_KHOfCommons*AJ396/4*INDEX(LM_All,G396))*v01_KHUsable*Arch_KH</x:f>
        <x:v>0.6987823040331308</x:v>
      </x:c>
      <x:c r="AO396" s="32" t="n">
        <x:f>MIN(AP395+AN396,AM396*v01_KHMaxRatio)</x:f>
        <x:v>0.6987823040331308</x:v>
      </x:c>
      <x:c r="AP396" s="32" t="n">
        <x:f>AP395+AN396-AO396</x:f>
        <x:v>0</x:v>
      </x:c>
      <x:c r="AQ396" s="32" t="n">
        <x:f>AM396+AO396</x:f>
        <x:v>4.743408472493259</x:v>
      </x:c>
      <x:c r="AR396" s="10" t="n">
        <x:f>IF(H396=1,INDEX(v01_Req,G396),0)</x:f>
        <x:v>1067.32</x:v>
      </x:c>
      <x:c r="AS396" s="32" t="n">
        <x:f>IF(H396=1,IF(E396=1,AS395-AR395,AS395)+AQ396,0)</x:f>
        <x:v>532.650334255265</x:v>
      </x:c>
      <x:c r="AT396" s="11" t="n">
        <x:f>IF(AR396&gt;0,MIN(1,AS396/AR396),1)</x:f>
        <x:v>0.4990540177784217</x:v>
      </x:c>
      <x:c r="AU396" s="10" t="n">
        <x:f>AB396/INDEX(v01_RepScale,G396)</x:f>
        <x:v>45.150749455344055</x:v>
      </x:c>
      <x:c r="AV396" s="32" t="n">
        <x:f>AM396*60/v01_SeasonSeconds</x:f>
        <x:v>16.178504673840514</x:v>
      </x:c>
    </x:row>
    <x:row r="397">
      <x:c r="A397" s="8" t="n">
        <x:f>A396+1</x:f>
        <x:v>394</x:v>
      </x:c>
      <x:c r="B397" s="9" t="n">
        <x:f>A397*v01_SeasonSeconds/60</x:f>
        <x:v>98.5</x:v>
      </x:c>
      <x:c r="C397" s="9" t="n">
        <x:f>A397/4</x:f>
        <x:v>98.5</x:v>
      </x:c>
      <x:c r="D397" s="8" t="n">
        <x:f>IF(MOD(A397,4)=0,1,0)</x:f>
        <x:v>0</x:v>
      </x:c>
      <x:c r="E397" s="8" t="n">
        <x:f>IF(AND(F396&lt;=9,AS396&gt;=AR396),1,0)</x:f>
        <x:v>0</x:v>
      </x:c>
      <x:c r="F397" s="8" t="n">
        <x:f>MIN(10,F396+E397)</x:f>
        <x:v>1</x:v>
      </x:c>
      <x:c r="G397" s="8" t="n">
        <x:f>MIN(F397,9)+1</x:f>
        <x:v>2</x:v>
      </x:c>
      <x:c r="H397" s="8" t="n">
        <x:f>IF(F397&lt;=9,1,0)</x:f>
        <x:v>1</x:v>
      </x:c>
      <x:c r="I397" s="9" t="n">
        <x:f>MIN(10,F396+IF(AR396&gt;0,MIN(1,AS396/AR396),1))</x:f>
        <x:v>1.4990540177784217</x:v>
      </x:c>
      <x:c r="J397" s="32" t="n">
        <x:f>INDEX(v01_FoodCap,G397)*Arch_FoodCap*EXP(v01_CapsByProject*SUMPRODUCT((Cap_Point&lt;=I397)*(Cap_Kind="Food")*Cap_Ln))</x:f>
        <x:v>30</x:v>
      </x:c>
      <x:c r="K397" s="32" t="n">
        <x:f>J397*MIN(1,v01_LeanBase*EXP(v01_CapsByProject*SUMPRODUCT((Cap_Point&lt;=I397)*(Cap_Kind="Lean")*Cap_Ln)))</x:f>
        <x:v>30</x:v>
      </x:c>
      <x:c r="L397" s="10" t="n">
        <x:f>INDEX(v01_HousingCap,G397)*EXP(v01_CapsByProject*SUMPRODUCT((Cap_Point&lt;=I397)*(Cap_Kind="Housing")*Cap_Ln))</x:f>
        <x:v>60</x:v>
      </x:c>
      <x:c r="M397" s="10" t="n">
        <x:f>INDEX(v01_GroupCap,G397)*v01_CohesionFactor*EXP(v01_CapsByProject*SUMPRODUCT((Cap_Point&lt;=I397)*(Cap_Kind="Group")*Cap_Ln))</x:f>
        <x:v>100</x:v>
      </x:c>
      <x:c r="N397" s="32" t="n">
        <x:f>MIN(J397,L397,M397)</x:f>
        <x:v>30</x:v>
      </x:c>
      <x:c r="O397" s="10" t="n">
        <x:f>AE396*N397</x:f>
        <x:v>60</x:v>
      </x:c>
      <x:c r="P397" s="9" t="n">
        <x:f>MIN(1,(AB396/(AE396*IF(v01_GroupInCrowding=1,N397,MIN(J397,L397))))^v01_CrowdingExp)</x:f>
        <x:v>0.18158596526461068</x:v>
      </x:c>
      <x:c r="Q397" s="9" t="n">
        <x:f>IF(D397=1,INDEX(v01_WinterMult,G397),1)</x:f>
        <x:v>1</x:v>
      </x:c>
      <x:c r="R397" s="9" t="n">
        <x:f>H397*Z396*v01_WomenShare*v01_BaseFertility*INDEX(v01_FertMult,G397)*Arch_Fertility*(1-P397)</x:f>
        <x:v>0.6127427623344065</x:v>
      </x:c>
      <x:c r="S397" s="9" t="n">
        <x:f>H397*Y396*INDEX(v01_MortChild,G397)/4*Q397</x:f>
        <x:v>0.17199786792565155</x:v>
      </x:c>
      <x:c r="T397" s="9" t="n">
        <x:f>H397*Z396*INDEX(v01_MortAdult,G397)*Arch_AdultMort/4*Q397</x:f>
        <x:v>0.06488692823164785</x:v>
      </x:c>
      <x:c r="U397" s="9" t="n">
        <x:f>H397*AA396*INDEX(v01_MortElder,G397)/4*Q397</x:f>
        <x:v>0.11057283154360283</x:v>
      </x:c>
      <x:c r="V397" s="9" t="n">
        <x:f>H397*MAX(0,AB396-O397)*v01_OvercapLoss</x:f>
        <x:v>0</x:v>
      </x:c>
      <x:c r="W397" s="9" t="n">
        <x:f>H397*Y396/(v01_ChildYears*4)</x:f>
        <x:v>0.3510160569911256</x:v>
      </x:c>
      <x:c r="X397" s="9" t="n">
        <x:f>H397*Z396/(v01_AdultYears*4)</x:f>
        <x:v>0.16100974747307162</x:v>
      </x:c>
      <x:c r="Y397" s="32" t="n">
        <x:f>Y396+R397-S397-W397-Y396*V397/AB396</x:f>
        <x:v>19.746628028920664</x:v>
      </x:c>
      <x:c r="Z397" s="32" t="n">
        <x:f>Z396+W397-X397-T397-Z396*V397/AB396</x:f>
        <x:v>20.090328067947286</x:v>
      </x:c>
      <x:c r="AA397" s="32" t="n">
        <x:f>AA396+X397-U397-AA396*V397/AB396</x:f>
        <x:v>5.57907849310961</x:v>
      </x:c>
      <x:c r="AB397" s="10" t="n">
        <x:f>Y397+Z397+AA397</x:f>
        <x:v>45.41603458997756</x:v>
      </x:c>
      <x:c r="AC397" s="8" t="n">
        <x:f>IF(AND(v01_WinterTrigger=1,D397=1,AB396/AE396&gt;=K397),1,0)</x:f>
        <x:v>0</x:v>
      </x:c>
      <x:c r="AD397" s="8" t="n">
        <x:f>H397*IF(AND(OR(AB396/AE396&gt;=v01_FissionTrigger*N397,AC397=1),AB396/AE396*v01_DaughterShare&gt;=v01_MinDaughter),MAX(1,ROUND(AE396*v01_FissionRate,0)),0)</x:f>
        <x:v>0</x:v>
      </x:c>
      <x:c r="AE397" s="8" t="n">
        <x:f>IF(H397=1,MAX(1,MIN(INDEX(v01_Smax,G397),AE396+AD397)),AE396)</x:f>
        <x:v>2</x:v>
      </x:c>
      <x:c r="AF397" s="8" t="n">
        <x:f>MAX(0,AE397-AE396)</x:f>
        <x:v>0</x:v>
      </x:c>
      <x:c r="AG397" s="9" t="str">
        <x:f>IF(AF397&gt;0,B397,"")</x:f>
      </x:c>
      <x:c r="AH397" s="9" t="n">
        <x:f>IF(F397&gt;=1,1,(1+v01_LowTiesShare*(AE397-1))/AE397)</x:f>
        <x:v>1</x:v>
      </x:c>
      <x:c r="AI397" s="32" t="n">
        <x:f>(Z397+v01_ElderCommons*INDEX(LM_Elder,G397)*AA397)*AH397</x:f>
        <x:v>33.7562236110015</x:v>
      </x:c>
      <x:c r="AJ397" s="32" t="n">
        <x:f>H397*v01_CommonsCoef*AI397^v01_CommonsExp*INDEX(LM_Commons,G397)</x:f>
        <x:v>13.141493131099118</x:v>
      </x:c>
      <x:c r="AK397" s="32" t="n">
        <x:f>H397*v01_RoleScale*Arch_Roles*(AE397*(INDEX(v01_ElderRolePerSett,G397)*v01_OutElder*INDEX(LM_Elder,G397)+INDEX(v01_ShamanPerSett,G397)*v01_OutShaman)+Z397*(INDEX(v01_PriestShare,G397)*v01_OutPriest+INDEX(v01_ScribeShare,G397)*v01_OutScribe*INDEX(LM_Scribe,G397)+INDEX(v01_ScholarShare,G397)*v01_OutScholar*INDEX(LM_Scholar,G397)+INDEX(v01_ResearcherShare,G397)*v01_OutResearcher*INDEX(LM_Researcher,G397)))</x:f>
        <x:v>2.724744871391589</x:v>
      </x:c>
      <x:c r="AL397" s="32" t="n">
        <x:f>H397*v01_RoleScale*Arch_Roles*AE397*INDEX(v01_MonasteryPerSett,G397)*v01_OutMonastery*INDEX(LM_Monastery,G397)</x:f>
        <x:v>0</x:v>
      </x:c>
      <x:c r="AM397" s="32" t="n">
        <x:f>(AJ397+AK397+AL397)/4*INDEX(LM_All,G397)*INDEX(v01_Boon,G397)*Arch_Insight</x:f>
        <x:v>4.065723488138244</x:v>
      </x:c>
      <x:c r="AN397" s="32" t="n">
        <x:f>H397*(v01_KHPerAdult*Z397+v01_KHOfCommons*AJ397/4*INDEX(LM_All,G397))*v01_KHUsable*Arch_KH</x:f>
        <x:v>0.703161482378155</x:v>
      </x:c>
      <x:c r="AO397" s="32" t="n">
        <x:f>MIN(AP396+AN397,AM397*v01_KHMaxRatio)</x:f>
        <x:v>0.703161482378155</x:v>
      </x:c>
      <x:c r="AP397" s="32" t="n">
        <x:f>AP396+AN397-AO397</x:f>
        <x:v>0</x:v>
      </x:c>
      <x:c r="AQ397" s="32" t="n">
        <x:f>AM397+AO397</x:f>
        <x:v>4.768884970516399</x:v>
      </x:c>
      <x:c r="AR397" s="10" t="n">
        <x:f>IF(H397=1,INDEX(v01_Req,G397),0)</x:f>
        <x:v>1067.32</x:v>
      </x:c>
      <x:c r="AS397" s="32" t="n">
        <x:f>IF(H397=1,IF(E397=1,AS396-AR396,AS396)+AQ397,0)</x:f>
        <x:v>537.4192192257814</x:v>
      </x:c>
      <x:c r="AT397" s="11" t="n">
        <x:f>IF(AR397&gt;0,MIN(1,AS397/AR397),1)</x:f>
        <x:v>0.5035221107313471</x:v>
      </x:c>
      <x:c r="AU397" s="10" t="n">
        <x:f>AB397/INDEX(v01_RepScale,G397)</x:f>
        <x:v>45.41603458997756</x:v>
      </x:c>
      <x:c r="AV397" s="32" t="n">
        <x:f>AM397*60/v01_SeasonSeconds</x:f>
        <x:v>16.262893952552975</x:v>
      </x:c>
    </x:row>
    <x:row r="398">
      <x:c r="A398" s="8" t="n">
        <x:f>A397+1</x:f>
        <x:v>395</x:v>
      </x:c>
      <x:c r="B398" s="9" t="n">
        <x:f>A398*v01_SeasonSeconds/60</x:f>
        <x:v>98.75</x:v>
      </x:c>
      <x:c r="C398" s="9" t="n">
        <x:f>A398/4</x:f>
        <x:v>98.75</x:v>
      </x:c>
      <x:c r="D398" s="8" t="n">
        <x:f>IF(MOD(A398,4)=0,1,0)</x:f>
        <x:v>0</x:v>
      </x:c>
      <x:c r="E398" s="8" t="n">
        <x:f>IF(AND(F397&lt;=9,AS397&gt;=AR397),1,0)</x:f>
        <x:v>0</x:v>
      </x:c>
      <x:c r="F398" s="8" t="n">
        <x:f>MIN(10,F397+E398)</x:f>
        <x:v>1</x:v>
      </x:c>
      <x:c r="G398" s="8" t="n">
        <x:f>MIN(F398,9)+1</x:f>
        <x:v>2</x:v>
      </x:c>
      <x:c r="H398" s="8" t="n">
        <x:f>IF(F398&lt;=9,1,0)</x:f>
        <x:v>1</x:v>
      </x:c>
      <x:c r="I398" s="9" t="n">
        <x:f>MIN(10,F397+IF(AR397&gt;0,MIN(1,AS397/AR397),1))</x:f>
        <x:v>1.503522110731347</x:v>
      </x:c>
      <x:c r="J398" s="32" t="n">
        <x:f>INDEX(v01_FoodCap,G398)*Arch_FoodCap*EXP(v01_CapsByProject*SUMPRODUCT((Cap_Point&lt;=I398)*(Cap_Kind="Food")*Cap_Ln))</x:f>
        <x:v>30</x:v>
      </x:c>
      <x:c r="K398" s="32" t="n">
        <x:f>J398*MIN(1,v01_LeanBase*EXP(v01_CapsByProject*SUMPRODUCT((Cap_Point&lt;=I398)*(Cap_Kind="Lean")*Cap_Ln)))</x:f>
        <x:v>30</x:v>
      </x:c>
      <x:c r="L398" s="10" t="n">
        <x:f>INDEX(v01_HousingCap,G398)*EXP(v01_CapsByProject*SUMPRODUCT((Cap_Point&lt;=I398)*(Cap_Kind="Housing")*Cap_Ln))</x:f>
        <x:v>60</x:v>
      </x:c>
      <x:c r="M398" s="10" t="n">
        <x:f>INDEX(v01_GroupCap,G398)*v01_CohesionFactor*EXP(v01_CapsByProject*SUMPRODUCT((Cap_Point&lt;=I398)*(Cap_Kind="Group")*Cap_Ln))</x:f>
        <x:v>100</x:v>
      </x:c>
      <x:c r="N398" s="32" t="n">
        <x:f>MIN(J398,L398,M398)</x:f>
        <x:v>30</x:v>
      </x:c>
      <x:c r="O398" s="10" t="n">
        <x:f>AE397*N398</x:f>
        <x:v>60</x:v>
      </x:c>
      <x:c r="P398" s="9" t="n">
        <x:f>MIN(1,(AB397/(AE397*IF(v01_GroupInCrowding=1,N398,MIN(J398,L398))))^v01_CrowdingExp)</x:f>
        <x:v>0.1880822318417511</x:v>
      </x:c>
      <x:c r="Q398" s="9" t="n">
        <x:f>IF(D398=1,INDEX(v01_WinterMult,G398),1)</x:f>
        <x:v>1</x:v>
      </x:c>
      <x:c r="R398" s="9" t="n">
        <x:f>H398*Z397*v01_WomenShare*v01_BaseFertility*INDEX(v01_FertMult,G398)*Arch_Fertility*(1-P398)</x:f>
        <x:v>0.6116885372435544</x:v>
      </x:c>
      <x:c r="S398" s="9" t="n">
        <x:f>H398*Y397*INDEX(v01_MortChild,G398)/4*Q398</x:f>
        <x:v>0.17278299525305582</x:v>
      </x:c>
      <x:c r="T398" s="9" t="n">
        <x:f>H398*Z397*INDEX(v01_MortAdult,G398)*Arch_AdultMort/4*Q398</x:f>
        <x:v>0.06529356622082867</x:v>
      </x:c>
      <x:c r="U398" s="9" t="n">
        <x:f>H398*AA397*INDEX(v01_MortElder,G398)/4*Q398</x:f>
        <x:v>0.1115815698621922</x:v>
      </x:c>
      <x:c r="V398" s="9" t="n">
        <x:f>H398*MAX(0,AB397-O398)*v01_OvercapLoss</x:f>
        <x:v>0</x:v>
      </x:c>
      <x:c r="W398" s="9" t="n">
        <x:f>H398*Y397/(v01_ChildYears*4)</x:f>
        <x:v>0.35261835765929755</x:v>
      </x:c>
      <x:c r="X398" s="9" t="n">
        <x:f>H398*Z397/(v01_AdultYears*4)</x:f>
        <x:v>0.16201877474151039</x:v>
      </x:c>
      <x:c r="Y398" s="32" t="n">
        <x:f>Y397+R398-S398-W398-Y397*V398/AB397</x:f>
        <x:v>19.832915213251866</x:v>
      </x:c>
      <x:c r="Z398" s="32" t="n">
        <x:f>Z397+W398-X398-T398-Z397*V398/AB397</x:f>
        <x:v>20.215634084644247</x:v>
      </x:c>
      <x:c r="AA398" s="32" t="n">
        <x:f>AA397+X398-U398-AA397*V398/AB397</x:f>
        <x:v>5.6295156979889285</x:v>
      </x:c>
      <x:c r="AB398" s="10" t="n">
        <x:f>Y398+Z398+AA398</x:f>
        <x:v>45.678064995885045</x:v>
      </x:c>
      <x:c r="AC398" s="8" t="n">
        <x:f>IF(AND(v01_WinterTrigger=1,D398=1,AB397/AE397&gt;=K398),1,0)</x:f>
        <x:v>0</x:v>
      </x:c>
      <x:c r="AD398" s="8" t="n">
        <x:f>H398*IF(AND(OR(AB397/AE397&gt;=v01_FissionTrigger*N398,AC398=1),AB397/AE397*v01_DaughterShare&gt;=v01_MinDaughter),MAX(1,ROUND(AE397*v01_FissionRate,0)),0)</x:f>
        <x:v>0</x:v>
      </x:c>
      <x:c r="AE398" s="8" t="n">
        <x:f>IF(H398=1,MAX(1,MIN(INDEX(v01_Smax,G398),AE397+AD398)),AE397)</x:f>
        <x:v>2</x:v>
      </x:c>
      <x:c r="AF398" s="8" t="n">
        <x:f>MAX(0,AE398-AE397)</x:f>
        <x:v>0</x:v>
      </x:c>
      <x:c r="AG398" s="9" t="str">
        <x:f>IF(AF398&gt;0,B398,"")</x:f>
      </x:c>
      <x:c r="AH398" s="9" t="n">
        <x:f>IF(F398&gt;=1,1,(1+v01_LowTiesShare*(AE398-1))/AE398)</x:f>
        <x:v>1</x:v>
      </x:c>
      <x:c r="AI398" s="32" t="n">
        <x:f>(Z398+v01_ElderCommons*INDEX(LM_Elder,G398)*AA398)*AH398</x:f>
        <x:v>34.005075043705006</x:v>
      </x:c>
      <x:c r="AJ398" s="32" t="n">
        <x:f>H398*v01_CommonsCoef*AI398^v01_CommonsExp*INDEX(LM_Commons,G398)</x:f>
        <x:v>13.223795136275099</x:v>
      </x:c>
      <x:c r="AK398" s="32" t="n">
        <x:f>H398*v01_RoleScale*Arch_Roles*(AE398*(INDEX(v01_ElderRolePerSett,G398)*v01_OutElder*INDEX(LM_Elder,G398)+INDEX(v01_ShamanPerSett,G398)*v01_OutShaman)+Z398*(INDEX(v01_PriestShare,G398)*v01_OutPriest+INDEX(v01_ScribeShare,G398)*v01_OutScribe*INDEX(LM_Scribe,G398)+INDEX(v01_ScholarShare,G398)*v01_OutScholar*INDEX(LM_Scholar,G398)+INDEX(v01_ResearcherShare,G398)*v01_OutResearcher*INDEX(LM_Researcher,G398)))</x:f>
        <x:v>2.724744871391589</x:v>
      </x:c>
      <x:c r="AL398" s="32" t="n">
        <x:f>H398*v01_RoleScale*Arch_Roles*AE398*INDEX(v01_MonasteryPerSett,G398)*v01_OutMonastery*INDEX(LM_Monastery,G398)</x:f>
        <x:v>0</x:v>
      </x:c>
      <x:c r="AM398" s="32" t="n">
        <x:f>(AJ398+AK398+AL398)/4*INDEX(LM_All,G398)*INDEX(v01_Boon,G398)*Arch_Insight</x:f>
        <x:v>4.086813376964589</x:v>
      </x:c>
      <x:c r="AN398" s="32" t="n">
        <x:f>H398*(v01_KHPerAdult*Z398+v01_KHOfCommons*AJ398/4*INDEX(LM_All,G398))*v01_KHUsable*Arch_KH</x:f>
        <x:v>0.7075471929625486</x:v>
      </x:c>
      <x:c r="AO398" s="32" t="n">
        <x:f>MIN(AP397+AN398,AM398*v01_KHMaxRatio)</x:f>
        <x:v>0.7075471929625486</x:v>
      </x:c>
      <x:c r="AP398" s="32" t="n">
        <x:f>AP397+AN398-AO398</x:f>
        <x:v>0</x:v>
      </x:c>
      <x:c r="AQ398" s="32" t="n">
        <x:f>AM398+AO398</x:f>
        <x:v>4.794360569927138</x:v>
      </x:c>
      <x:c r="AR398" s="10" t="n">
        <x:f>IF(H398=1,INDEX(v01_Req,G398),0)</x:f>
        <x:v>1067.32</x:v>
      </x:c>
      <x:c r="AS398" s="32" t="n">
        <x:f>IF(H398=1,IF(E398=1,AS397-AR397,AS397)+AQ398,0)</x:f>
        <x:v>542.2135797957085</x:v>
      </x:c>
      <x:c r="AT398" s="11" t="n">
        <x:f>IF(AR398&gt;0,MIN(1,AS398/AR398),1)</x:f>
        <x:v>0.5080140724391078</x:v>
      </x:c>
      <x:c r="AU398" s="10" t="n">
        <x:f>AB398/INDEX(v01_RepScale,G398)</x:f>
        <x:v>45.678064995885045</x:v>
      </x:c>
      <x:c r="AV398" s="32" t="n">
        <x:f>AM398*60/v01_SeasonSeconds</x:f>
        <x:v>16.347253507858355</x:v>
      </x:c>
    </x:row>
    <x:row r="399">
      <x:c r="A399" s="8" t="n">
        <x:f>A398+1</x:f>
        <x:v>396</x:v>
      </x:c>
      <x:c r="B399" s="9" t="n">
        <x:f>A399*v01_SeasonSeconds/60</x:f>
        <x:v>99</x:v>
      </x:c>
      <x:c r="C399" s="9" t="n">
        <x:f>A399/4</x:f>
        <x:v>99</x:v>
      </x:c>
      <x:c r="D399" s="8" t="n">
        <x:f>IF(MOD(A399,4)=0,1,0)</x:f>
        <x:v>1</x:v>
      </x:c>
      <x:c r="E399" s="8" t="n">
        <x:f>IF(AND(F398&lt;=9,AS398&gt;=AR398),1,0)</x:f>
        <x:v>0</x:v>
      </x:c>
      <x:c r="F399" s="8" t="n">
        <x:f>MIN(10,F398+E399)</x:f>
        <x:v>1</x:v>
      </x:c>
      <x:c r="G399" s="8" t="n">
        <x:f>MIN(F399,9)+1</x:f>
        <x:v>2</x:v>
      </x:c>
      <x:c r="H399" s="8" t="n">
        <x:f>IF(F399&lt;=9,1,0)</x:f>
        <x:v>1</x:v>
      </x:c>
      <x:c r="I399" s="9" t="n">
        <x:f>MIN(10,F398+IF(AR398&gt;0,MIN(1,AS398/AR398),1))</x:f>
        <x:v>1.5080140724391078</x:v>
      </x:c>
      <x:c r="J399" s="32" t="n">
        <x:f>INDEX(v01_FoodCap,G399)*Arch_FoodCap*EXP(v01_CapsByProject*SUMPRODUCT((Cap_Point&lt;=I399)*(Cap_Kind="Food")*Cap_Ln))</x:f>
        <x:v>30</x:v>
      </x:c>
      <x:c r="K399" s="32" t="n">
        <x:f>J399*MIN(1,v01_LeanBase*EXP(v01_CapsByProject*SUMPRODUCT((Cap_Point&lt;=I399)*(Cap_Kind="Lean")*Cap_Ln)))</x:f>
        <x:v>30</x:v>
      </x:c>
      <x:c r="L399" s="10" t="n">
        <x:f>INDEX(v01_HousingCap,G399)*EXP(v01_CapsByProject*SUMPRODUCT((Cap_Point&lt;=I399)*(Cap_Kind="Housing")*Cap_Ln))</x:f>
        <x:v>60</x:v>
      </x:c>
      <x:c r="M399" s="10" t="n">
        <x:f>INDEX(v01_GroupCap,G399)*v01_CohesionFactor*EXP(v01_CapsByProject*SUMPRODUCT((Cap_Point&lt;=I399)*(Cap_Kind="Group")*Cap_Ln))</x:f>
        <x:v>100</x:v>
      </x:c>
      <x:c r="N399" s="32" t="n">
        <x:f>MIN(J399,L399,M399)</x:f>
        <x:v>30</x:v>
      </x:c>
      <x:c r="O399" s="10" t="n">
        <x:f>AE398*N399</x:f>
        <x:v>60</x:v>
      </x:c>
      <x:c r="P399" s="9" t="n">
        <x:f>MIN(1,(AB398/(AE398*IF(v01_GroupInCrowding=1,N399,MIN(J399,L399))))^v01_CrowdingExp)</x:f>
        <x:v>0.19468777713026303</x:v>
      </x:c>
      <x:c r="Q399" s="9" t="n">
        <x:f>IF(D399=1,INDEX(v01_WinterMult,G399),1)</x:f>
        <x:v>1.6</x:v>
      </x:c>
      <x:c r="R399" s="9" t="n">
        <x:f>H399*Z398*v01_WomenShare*v01_BaseFertility*INDEX(v01_FertMult,G399)*Arch_Fertility*(1-P399)</x:f>
        <x:v>0.6104961458034779</x:v>
      </x:c>
      <x:c r="S399" s="9" t="n">
        <x:f>H399*Y398*INDEX(v01_MortChild,G399)/4*Q399</x:f>
        <x:v>0.2776608129855262</x:v>
      </x:c>
      <x:c r="T399" s="9" t="n">
        <x:f>H399*Z398*INDEX(v01_MortAdult,G399)*Arch_AdultMort/4*Q399</x:f>
        <x:v>0.10512129724015007</x:v>
      </x:c>
      <x:c r="U399" s="9" t="n">
        <x:f>H399*AA398*INDEX(v01_MortElder,G399)/4*Q399</x:f>
        <x:v>0.18014450233564572</x:v>
      </x:c>
      <x:c r="V399" s="9" t="n">
        <x:f>H399*MAX(0,AB398-O399)*v01_OvercapLoss</x:f>
        <x:v>0</x:v>
      </x:c>
      <x:c r="W399" s="9" t="n">
        <x:f>H399*Y398/(v01_ChildYears*4)</x:f>
        <x:v>0.35415920023664044</x:v>
      </x:c>
      <x:c r="X399" s="9" t="n">
        <x:f>H399*Z398/(v01_AdultYears*4)</x:f>
        <x:v>0.1630293071342278</x:v>
      </x:c>
      <x:c r="Y399" s="32" t="n">
        <x:f>Y398+R399-S399-W399-Y398*V399/AB398</x:f>
        <x:v>19.811591345833175</x:v>
      </x:c>
      <x:c r="Z399" s="32" t="n">
        <x:f>Z398+W399-X399-T399-Z398*V399/AB398</x:f>
        <x:v>20.30164268050651</x:v>
      </x:c>
      <x:c r="AA399" s="32" t="n">
        <x:f>AA398+X399-U399-AA398*V399/AB398</x:f>
        <x:v>5.612400502787511</x:v>
      </x:c>
      <x:c r="AB399" s="10" t="n">
        <x:f>Y399+Z399+AA399</x:f>
        <x:v>45.72563452912719</x:v>
      </x:c>
      <x:c r="AC399" s="8" t="n">
        <x:f>IF(AND(v01_WinterTrigger=1,D399=1,AB398/AE398&gt;=K399),1,0)</x:f>
        <x:v>0</x:v>
      </x:c>
      <x:c r="AD399" s="8" t="n">
        <x:f>H399*IF(AND(OR(AB398/AE398&gt;=v01_FissionTrigger*N399,AC399=1),AB398/AE398*v01_DaughterShare&gt;=v01_MinDaughter),MAX(1,ROUND(AE398*v01_FissionRate,0)),0)</x:f>
        <x:v>0</x:v>
      </x:c>
      <x:c r="AE399" s="8" t="n">
        <x:f>IF(H399=1,MAX(1,MIN(INDEX(v01_Smax,G399),AE398+AD399)),AE398)</x:f>
        <x:v>2</x:v>
      </x:c>
      <x:c r="AF399" s="8" t="n">
        <x:f>MAX(0,AE399-AE398)</x:f>
        <x:v>0</x:v>
      </x:c>
      <x:c r="AG399" s="9" t="str">
        <x:f>IF(AF399&gt;0,B399,"")</x:f>
      </x:c>
      <x:c r="AH399" s="9" t="n">
        <x:f>IF(F399&gt;=1,1,(1+v01_LowTiesShare*(AE399-1))/AE399)</x:f>
        <x:v>1</x:v>
      </x:c>
      <x:c r="AI399" s="32" t="n">
        <x:f>(Z399+v01_ElderCommons*INDEX(LM_Elder,G399)*AA399)*AH399</x:f>
        <x:v>34.04916014447567</x:v>
      </x:c>
      <x:c r="AJ399" s="32" t="n">
        <x:f>H399*v01_CommonsCoef*AI399^v01_CommonsExp*INDEX(LM_Commons,G399)</x:f>
        <x:v>13.238365853505494</x:v>
      </x:c>
      <x:c r="AK399" s="32" t="n">
        <x:f>H399*v01_RoleScale*Arch_Roles*(AE399*(INDEX(v01_ElderRolePerSett,G399)*v01_OutElder*INDEX(LM_Elder,G399)+INDEX(v01_ShamanPerSett,G399)*v01_OutShaman)+Z399*(INDEX(v01_PriestShare,G399)*v01_OutPriest+INDEX(v01_ScribeShare,G399)*v01_OutScribe*INDEX(LM_Scribe,G399)+INDEX(v01_ScholarShare,G399)*v01_OutScholar*INDEX(LM_Scholar,G399)+INDEX(v01_ResearcherShare,G399)*v01_OutResearcher*INDEX(LM_Researcher,G399)))</x:f>
        <x:v>2.724744871391589</x:v>
      </x:c>
      <x:c r="AL399" s="32" t="n">
        <x:f>H399*v01_RoleScale*Arch_Roles*AE399*INDEX(v01_MonasteryPerSett,G399)*v01_OutMonastery*INDEX(LM_Monastery,G399)</x:f>
        <x:v>0</x:v>
      </x:c>
      <x:c r="AM399" s="32" t="n">
        <x:f>(AJ399+AK399+AL399)/4*INDEX(LM_All,G399)*INDEX(v01_Boon,G399)*Arch_Insight</x:f>
        <x:v>4.090547123254877</x:v>
      </x:c>
      <x:c r="AN399" s="32" t="n">
        <x:f>H399*(v01_KHPerAdult*Z399+v01_KHOfCommons*AJ399/4*INDEX(LM_All,G399))*v01_KHUsable*Arch_KH</x:f>
        <x:v>0.7105574938177278</x:v>
      </x:c>
      <x:c r="AO399" s="32" t="n">
        <x:f>MIN(AP398+AN399,AM399*v01_KHMaxRatio)</x:f>
        <x:v>0.7105574938177278</x:v>
      </x:c>
      <x:c r="AP399" s="32" t="n">
        <x:f>AP398+AN399-AO399</x:f>
        <x:v>0</x:v>
      </x:c>
      <x:c r="AQ399" s="32" t="n">
        <x:f>AM399+AO399</x:f>
        <x:v>4.801104617072605</x:v>
      </x:c>
      <x:c r="AR399" s="10" t="n">
        <x:f>IF(H399=1,INDEX(v01_Req,G399),0)</x:f>
        <x:v>1067.32</x:v>
      </x:c>
      <x:c r="AS399" s="32" t="n">
        <x:f>IF(H399=1,IF(E399=1,AS398-AR398,AS398)+AQ399,0)</x:f>
        <x:v>547.0146844127811</x:v>
      </x:c>
      <x:c r="AT399" s="11" t="n">
        <x:f>IF(AR399&gt;0,MIN(1,AS399/AR399),1)</x:f>
        <x:v>0.5125123528208795</x:v>
      </x:c>
      <x:c r="AU399" s="10" t="n">
        <x:f>AB399/INDEX(v01_RepScale,G399)</x:f>
        <x:v>45.72563452912719</x:v>
      </x:c>
      <x:c r="AV399" s="32" t="n">
        <x:f>AM399*60/v01_SeasonSeconds</x:f>
        <x:v>16.36218849301951</x:v>
      </x:c>
    </x:row>
    <x:row r="400">
      <x:c r="A400" s="8" t="n">
        <x:f>A399+1</x:f>
        <x:v>397</x:v>
      </x:c>
      <x:c r="B400" s="9" t="n">
        <x:f>A400*v01_SeasonSeconds/60</x:f>
        <x:v>99.25</x:v>
      </x:c>
      <x:c r="C400" s="9" t="n">
        <x:f>A400/4</x:f>
        <x:v>99.25</x:v>
      </x:c>
      <x:c r="D400" s="8" t="n">
        <x:f>IF(MOD(A400,4)=0,1,0)</x:f>
        <x:v>0</x:v>
      </x:c>
      <x:c r="E400" s="8" t="n">
        <x:f>IF(AND(F399&lt;=9,AS399&gt;=AR399),1,0)</x:f>
        <x:v>0</x:v>
      </x:c>
      <x:c r="F400" s="8" t="n">
        <x:f>MIN(10,F399+E400)</x:f>
        <x:v>1</x:v>
      </x:c>
      <x:c r="G400" s="8" t="n">
        <x:f>MIN(F400,9)+1</x:f>
        <x:v>2</x:v>
      </x:c>
      <x:c r="H400" s="8" t="n">
        <x:f>IF(F400&lt;=9,1,0)</x:f>
        <x:v>1</x:v>
      </x:c>
      <x:c r="I400" s="9" t="n">
        <x:f>MIN(10,F399+IF(AR399&gt;0,MIN(1,AS399/AR399),1))</x:f>
        <x:v>1.5125123528208795</x:v>
      </x:c>
      <x:c r="J400" s="32" t="n">
        <x:f>INDEX(v01_FoodCap,G400)*Arch_FoodCap*EXP(v01_CapsByProject*SUMPRODUCT((Cap_Point&lt;=I400)*(Cap_Kind="Food")*Cap_Ln))</x:f>
        <x:v>30</x:v>
      </x:c>
      <x:c r="K400" s="32" t="n">
        <x:f>J400*MIN(1,v01_LeanBase*EXP(v01_CapsByProject*SUMPRODUCT((Cap_Point&lt;=I400)*(Cap_Kind="Lean")*Cap_Ln)))</x:f>
        <x:v>30</x:v>
      </x:c>
      <x:c r="L400" s="10" t="n">
        <x:f>INDEX(v01_HousingCap,G400)*EXP(v01_CapsByProject*SUMPRODUCT((Cap_Point&lt;=I400)*(Cap_Kind="Housing")*Cap_Ln))</x:f>
        <x:v>60</x:v>
      </x:c>
      <x:c r="M400" s="10" t="n">
        <x:f>INDEX(v01_GroupCap,G400)*v01_CohesionFactor*EXP(v01_CapsByProject*SUMPRODUCT((Cap_Point&lt;=I400)*(Cap_Kind="Group")*Cap_Ln))</x:f>
        <x:v>100</x:v>
      </x:c>
      <x:c r="N400" s="32" t="n">
        <x:f>MIN(J400,L400,M400)</x:f>
        <x:v>30</x:v>
      </x:c>
      <x:c r="O400" s="10" t="n">
        <x:f>AE399*N400</x:f>
        <x:v>60</x:v>
      </x:c>
      <x:c r="P400" s="9" t="n">
        <x:f>MIN(1,(AB399/(AE399*IF(v01_GroupInCrowding=1,N400,MIN(J400,L400))))^v01_CrowdingExp)</x:f>
        <x:v>0.19590744595105847</x:v>
      </x:c>
      <x:c r="Q400" s="9" t="n">
        <x:f>IF(D400=1,INDEX(v01_WinterMult,G400),1)</x:f>
        <x:v>1</x:v>
      </x:c>
      <x:c r="R400" s="9" t="n">
        <x:f>H400*Z399*v01_WomenShare*v01_BaseFertility*INDEX(v01_FertMult,G400)*Arch_Fertility*(1-P400)</x:f>
        <x:v>0.6121649892884055</x:v>
      </x:c>
      <x:c r="S400" s="9" t="n">
        <x:f>H400*Y399*INDEX(v01_MortChild,G400)/4*Q400</x:f>
        <x:v>0.1733514242760403</x:v>
      </x:c>
      <x:c r="T400" s="9" t="n">
        <x:f>H400*Z399*INDEX(v01_MortAdult,G400)*Arch_AdultMort/4*Q400</x:f>
        <x:v>0.06598033871164616</x:v>
      </x:c>
      <x:c r="U400" s="9" t="n">
        <x:f>H400*AA399*INDEX(v01_MortElder,G400)/4*Q400</x:f>
        <x:v>0.11224801005575023</x:v>
      </x:c>
      <x:c r="V400" s="9" t="n">
        <x:f>H400*MAX(0,AB399-O400)*v01_OvercapLoss</x:f>
        <x:v>0</x:v>
      </x:c>
      <x:c r="W400" s="9" t="n">
        <x:f>H400*Y399/(v01_ChildYears*4)</x:f>
        <x:v>0.35377841688987816</x:v>
      </x:c>
      <x:c r="X400" s="9" t="n">
        <x:f>H400*Z399/(v01_AdultYears*4)</x:f>
        <x:v>0.16372292484279444</x:v>
      </x:c>
      <x:c r="Y400" s="32" t="n">
        <x:f>Y399+R400-S400-W400-Y399*V400/AB399</x:f>
        <x:v>19.896626493955665</x:v>
      </x:c>
      <x:c r="Z400" s="32" t="n">
        <x:f>Z399+W400-X400-T400-Z399*V400/AB399</x:f>
        <x:v>20.425717833841947</x:v>
      </x:c>
      <x:c r="AA400" s="32" t="n">
        <x:f>AA399+X400-U400-AA399*V400/AB399</x:f>
        <x:v>5.663875417574555</x:v>
      </x:c>
      <x:c r="AB400" s="10" t="n">
        <x:f>Y400+Z400+AA400</x:f>
        <x:v>45.98621974537217</x:v>
      </x:c>
      <x:c r="AC400" s="8" t="n">
        <x:f>IF(AND(v01_WinterTrigger=1,D400=1,AB399/AE399&gt;=K400),1,0)</x:f>
        <x:v>0</x:v>
      </x:c>
      <x:c r="AD400" s="8" t="n">
        <x:f>H400*IF(AND(OR(AB399/AE399&gt;=v01_FissionTrigger*N400,AC400=1),AB399/AE399*v01_DaughterShare&gt;=v01_MinDaughter),MAX(1,ROUND(AE399*v01_FissionRate,0)),0)</x:f>
        <x:v>0</x:v>
      </x:c>
      <x:c r="AE400" s="8" t="n">
        <x:f>IF(H400=1,MAX(1,MIN(INDEX(v01_Smax,G400),AE399+AD400)),AE399)</x:f>
        <x:v>2</x:v>
      </x:c>
      <x:c r="AF400" s="8" t="n">
        <x:f>MAX(0,AE400-AE399)</x:f>
        <x:v>0</x:v>
      </x:c>
      <x:c r="AG400" s="9" t="str">
        <x:f>IF(AF400&gt;0,B400,"")</x:f>
      </x:c>
      <x:c r="AH400" s="9" t="n">
        <x:f>IF(F400&gt;=1,1,(1+v01_LowTiesShare*(AE400-1))/AE400)</x:f>
        <x:v>1</x:v>
      </x:c>
      <x:c r="AI400" s="32" t="n">
        <x:f>(Z400+v01_ElderCommons*INDEX(LM_Elder,G400)*AA400)*AH400</x:f>
        <x:v>34.299322573592605</x:v>
      </x:c>
      <x:c r="AJ400" s="32" t="n">
        <x:f>H400*v01_CommonsCoef*AI400^v01_CommonsExp*INDEX(LM_Commons,G400)</x:f>
        <x:v>13.320994432015812</x:v>
      </x:c>
      <x:c r="AK400" s="32" t="n">
        <x:f>H400*v01_RoleScale*Arch_Roles*(AE400*(INDEX(v01_ElderRolePerSett,G400)*v01_OutElder*INDEX(LM_Elder,G400)+INDEX(v01_ShamanPerSett,G400)*v01_OutShaman)+Z400*(INDEX(v01_PriestShare,G400)*v01_OutPriest+INDEX(v01_ScribeShare,G400)*v01_OutScribe*INDEX(LM_Scribe,G400)+INDEX(v01_ScholarShare,G400)*v01_OutScholar*INDEX(LM_Scholar,G400)+INDEX(v01_ResearcherShare,G400)*v01_OutResearcher*INDEX(LM_Researcher,G400)))</x:f>
        <x:v>2.724744871391589</x:v>
      </x:c>
      <x:c r="AL400" s="32" t="n">
        <x:f>H400*v01_RoleScale*Arch_Roles*AE400*INDEX(v01_MonasteryPerSett,G400)*v01_OutMonastery*INDEX(LM_Monastery,G400)</x:f>
        <x:v>0</x:v>
      </x:c>
      <x:c r="AM400" s="32" t="n">
        <x:f>(AJ400+AK400+AL400)/4*INDEX(LM_All,G400)*INDEX(v01_Boon,G400)*Arch_Insight</x:f>
        <x:v>4.111720696498146</x:v>
      </x:c>
      <x:c r="AN400" s="32" t="n">
        <x:f>H400*(v01_KHPerAdult*Z400+v01_KHOfCommons*AJ400/4*INDEX(LM_All,G400))*v01_KHUsable*Arch_KH</x:f>
        <x:v>0.7149001241844682</x:v>
      </x:c>
      <x:c r="AO400" s="32" t="n">
        <x:f>MIN(AP399+AN400,AM400*v01_KHMaxRatio)</x:f>
        <x:v>0.7149001241844682</x:v>
      </x:c>
      <x:c r="AP400" s="32" t="n">
        <x:f>AP399+AN400-AO400</x:f>
        <x:v>0</x:v>
      </x:c>
      <x:c r="AQ400" s="32" t="n">
        <x:f>AM400+AO400</x:f>
        <x:v>4.826620820682614</x:v>
      </x:c>
      <x:c r="AR400" s="10" t="n">
        <x:f>IF(H400=1,INDEX(v01_Req,G400),0)</x:f>
        <x:v>1067.32</x:v>
      </x:c>
      <x:c r="AS400" s="32" t="n">
        <x:f>IF(H400=1,IF(E400=1,AS399-AR399,AS399)+AQ400,0)</x:f>
        <x:v>551.8413052334637</x:v>
      </x:c>
      <x:c r="AT400" s="11" t="n">
        <x:f>IF(AR400&gt;0,MIN(1,AS400/AR400),1)</x:f>
        <x:v>0.5170345400006219</x:v>
      </x:c>
      <x:c r="AU400" s="10" t="n">
        <x:f>AB400/INDEX(v01_RepScale,G400)</x:f>
        <x:v>45.98621974537217</x:v>
      </x:c>
      <x:c r="AV400" s="32" t="n">
        <x:f>AM400*60/v01_SeasonSeconds</x:f>
        <x:v>16.446882785992585</x:v>
      </x:c>
    </x:row>
    <x:row r="401">
      <x:c r="A401" s="8" t="n">
        <x:f>A400+1</x:f>
        <x:v>398</x:v>
      </x:c>
      <x:c r="B401" s="9" t="n">
        <x:f>A401*v01_SeasonSeconds/60</x:f>
        <x:v>99.5</x:v>
      </x:c>
      <x:c r="C401" s="9" t="n">
        <x:f>A401/4</x:f>
        <x:v>99.5</x:v>
      </x:c>
      <x:c r="D401" s="8" t="n">
        <x:f>IF(MOD(A401,4)=0,1,0)</x:f>
        <x:v>0</x:v>
      </x:c>
      <x:c r="E401" s="8" t="n">
        <x:f>IF(AND(F400&lt;=9,AS400&gt;=AR400),1,0)</x:f>
        <x:v>0</x:v>
      </x:c>
      <x:c r="F401" s="8" t="n">
        <x:f>MIN(10,F400+E401)</x:f>
        <x:v>1</x:v>
      </x:c>
      <x:c r="G401" s="8" t="n">
        <x:f>MIN(F401,9)+1</x:f>
        <x:v>2</x:v>
      </x:c>
      <x:c r="H401" s="8" t="n">
        <x:f>IF(F401&lt;=9,1,0)</x:f>
        <x:v>1</x:v>
      </x:c>
      <x:c r="I401" s="9" t="n">
        <x:f>MIN(10,F400+IF(AR400&gt;0,MIN(1,AS400/AR400),1))</x:f>
        <x:v>1.5170345400006218</x:v>
      </x:c>
      <x:c r="J401" s="32" t="n">
        <x:f>INDEX(v01_FoodCap,G401)*Arch_FoodCap*EXP(v01_CapsByProject*SUMPRODUCT((Cap_Point&lt;=I401)*(Cap_Kind="Food")*Cap_Ln))</x:f>
        <x:v>30</x:v>
      </x:c>
      <x:c r="K401" s="32" t="n">
        <x:f>J401*MIN(1,v01_LeanBase*EXP(v01_CapsByProject*SUMPRODUCT((Cap_Point&lt;=I401)*(Cap_Kind="Lean")*Cap_Ln)))</x:f>
        <x:v>30</x:v>
      </x:c>
      <x:c r="L401" s="10" t="n">
        <x:f>INDEX(v01_HousingCap,G401)*EXP(v01_CapsByProject*SUMPRODUCT((Cap_Point&lt;=I401)*(Cap_Kind="Housing")*Cap_Ln))</x:f>
        <x:v>60</x:v>
      </x:c>
      <x:c r="M401" s="10" t="n">
        <x:f>INDEX(v01_GroupCap,G401)*v01_CohesionFactor*EXP(v01_CapsByProject*SUMPRODUCT((Cap_Point&lt;=I401)*(Cap_Kind="Group")*Cap_Ln))</x:f>
        <x:v>100</x:v>
      </x:c>
      <x:c r="N401" s="32" t="n">
        <x:f>MIN(J401,L401,M401)</x:f>
        <x:v>30</x:v>
      </x:c>
      <x:c r="O401" s="10" t="n">
        <x:f>AE400*N401</x:f>
        <x:v>60</x:v>
      </x:c>
      <x:c r="P401" s="9" t="n">
        <x:f>MIN(1,(AB400/(AE400*IF(v01_GroupInCrowding=1,N401,MIN(J401,L401))))^v01_CrowdingExp)</x:f>
        <x:v>0.2027023386298331</x:v>
      </x:c>
      <x:c r="Q401" s="9" t="n">
        <x:f>IF(D401=1,INDEX(v01_WinterMult,G401),1)</x:f>
        <x:v>1</x:v>
      </x:c>
      <x:c r="R401" s="9" t="n">
        <x:f>H401*Z400*v01_WomenShare*v01_BaseFertility*INDEX(v01_FertMult,G401)*Arch_Fertility*(1-P401)</x:f>
        <x:v>0.610701639777341</x:v>
      </x:c>
      <x:c r="S401" s="9" t="n">
        <x:f>H401*Y400*INDEX(v01_MortChild,G401)/4*Q401</x:f>
        <x:v>0.1740954818221121</x:v>
      </x:c>
      <x:c r="T401" s="9" t="n">
        <x:f>H401*Z400*INDEX(v01_MortAdult,G401)*Arch_AdultMort/4*Q401</x:f>
        <x:v>0.06638358295998632</x:v>
      </x:c>
      <x:c r="U401" s="9" t="n">
        <x:f>H401*AA400*INDEX(v01_MortElder,G401)/4*Q401</x:f>
        <x:v>0.11327750835149111</x:v>
      </x:c>
      <x:c r="V401" s="9" t="n">
        <x:f>H401*MAX(0,AB400-O401)*v01_OvercapLoss</x:f>
        <x:v>0</x:v>
      </x:c>
      <x:c r="W401" s="9" t="n">
        <x:f>H401*Y400/(v01_ChildYears*4)</x:f>
        <x:v>0.3552969016777797</x:v>
      </x:c>
      <x:c r="X401" s="9" t="n">
        <x:f>H401*Z400/(v01_AdultYears*4)</x:f>
        <x:v>0.16472353091808023</x:v>
      </x:c>
      <x:c r="Y401" s="32" t="n">
        <x:f>Y400+R401-S401-W401-Y400*V401/AB400</x:f>
        <x:v>19.977935750233115</x:v>
      </x:c>
      <x:c r="Z401" s="32" t="n">
        <x:f>Z400+W401-X401-T401-Z400*V401/AB400</x:f>
        <x:v>20.54990762164166</x:v>
      </x:c>
      <x:c r="AA401" s="32" t="n">
        <x:f>AA400+X401-U401-AA400*V401/AB400</x:f>
        <x:v>5.715321440141145</x:v>
      </x:c>
      <x:c r="AB401" s="10" t="n">
        <x:f>Y401+Z401+AA401</x:f>
        <x:v>46.24316481201592</x:v>
      </x:c>
      <x:c r="AC401" s="8" t="n">
        <x:f>IF(AND(v01_WinterTrigger=1,D401=1,AB400/AE400&gt;=K401),1,0)</x:f>
        <x:v>0</x:v>
      </x:c>
      <x:c r="AD401" s="8" t="n">
        <x:f>H401*IF(AND(OR(AB400/AE400&gt;=v01_FissionTrigger*N401,AC401=1),AB400/AE400*v01_DaughterShare&gt;=v01_MinDaughter),MAX(1,ROUND(AE400*v01_FissionRate,0)),0)</x:f>
        <x:v>0</x:v>
      </x:c>
      <x:c r="AE401" s="8" t="n">
        <x:f>IF(H401=1,MAX(1,MIN(INDEX(v01_Smax,G401),AE400+AD401)),AE400)</x:f>
        <x:v>2</x:v>
      </x:c>
      <x:c r="AF401" s="8" t="n">
        <x:f>MAX(0,AE401-AE400)</x:f>
        <x:v>0</x:v>
      </x:c>
      <x:c r="AG401" s="9" t="str">
        <x:f>IF(AF401&gt;0,B401,"")</x:f>
      </x:c>
      <x:c r="AH401" s="9" t="n">
        <x:f>IF(F401&gt;=1,1,(1+v01_LowTiesShare*(AE401-1))/AE401)</x:f>
        <x:v>1</x:v>
      </x:c>
      <x:c r="AI401" s="32" t="n">
        <x:f>(Z401+v01_ElderCommons*INDEX(LM_Elder,G401)*AA401)*AH401</x:f>
        <x:v>34.54952886597617</x:v>
      </x:c>
      <x:c r="AJ401" s="32" t="n">
        <x:f>H401*v01_CommonsCoef*AI401^v01_CommonsExp*INDEX(LM_Commons,G401)</x:f>
        <x:v>13.40354712555453</x:v>
      </x:c>
      <x:c r="AK401" s="32" t="n">
        <x:f>H401*v01_RoleScale*Arch_Roles*(AE401*(INDEX(v01_ElderRolePerSett,G401)*v01_OutElder*INDEX(LM_Elder,G401)+INDEX(v01_ShamanPerSett,G401)*v01_OutShaman)+Z401*(INDEX(v01_PriestShare,G401)*v01_OutPriest+INDEX(v01_ScribeShare,G401)*v01_OutScribe*INDEX(LM_Scribe,G401)+INDEX(v01_ScholarShare,G401)*v01_OutScholar*INDEX(LM_Scholar,G401)+INDEX(v01_ResearcherShare,G401)*v01_OutResearcher*INDEX(LM_Researcher,G401)))</x:f>
        <x:v>2.724744871391589</x:v>
      </x:c>
      <x:c r="AL401" s="32" t="n">
        <x:f>H401*v01_RoleScale*Arch_Roles*AE401*INDEX(v01_MonasteryPerSett,G401)*v01_OutMonastery*INDEX(LM_Monastery,G401)</x:f>
        <x:v>0</x:v>
      </x:c>
      <x:c r="AM401" s="32" t="n">
        <x:f>(AJ401+AK401+AL401)/4*INDEX(LM_All,G401)*INDEX(v01_Boon,G401)*Arch_Insight</x:f>
        <x:v>4.132874824217442</x:v>
      </x:c>
      <x:c r="AN401" s="32" t="n">
        <x:f>H401*(v01_KHPerAdult*Z401+v01_KHOfCommons*AJ401/4*INDEX(LM_All,G401))*v01_KHUsable*Arch_KH</x:f>
        <x:v>0.7192467667574581</x:v>
      </x:c>
      <x:c r="AO401" s="32" t="n">
        <x:f>MIN(AP400+AN401,AM401*v01_KHMaxRatio)</x:f>
        <x:v>0.7192467667574581</x:v>
      </x:c>
      <x:c r="AP401" s="32" t="n">
        <x:f>AP400+AN401-AO401</x:f>
        <x:v>0</x:v>
      </x:c>
      <x:c r="AQ401" s="32" t="n">
        <x:f>AM401+AO401</x:f>
        <x:v>4.8521215909749005</x:v>
      </x:c>
      <x:c r="AR401" s="10" t="n">
        <x:f>IF(H401=1,INDEX(v01_Req,G401),0)</x:f>
        <x:v>1067.32</x:v>
      </x:c>
      <x:c r="AS401" s="32" t="n">
        <x:f>IF(H401=1,IF(E401=1,AS400-AR400,AS400)+AQ401,0)</x:f>
        <x:v>556.6934268244386</x:v>
      </x:c>
      <x:c r="AT401" s="11" t="n">
        <x:f>IF(AR401&gt;0,MIN(1,AS401/AR401),1)</x:f>
        <x:v>0.5215806195184561</x:v>
      </x:c>
      <x:c r="AU401" s="10" t="n">
        <x:f>AB401/INDEX(v01_RepScale,G401)</x:f>
        <x:v>46.24316481201592</x:v>
      </x:c>
      <x:c r="AV401" s="32" t="n">
        <x:f>AM401*60/v01_SeasonSeconds</x:f>
        <x:v>16.531499296869768</x:v>
      </x:c>
    </x:row>
    <x:row r="402">
      <x:c r="A402" s="8" t="n">
        <x:f>A401+1</x:f>
        <x:v>399</x:v>
      </x:c>
      <x:c r="B402" s="9" t="n">
        <x:f>A402*v01_SeasonSeconds/60</x:f>
        <x:v>99.75</x:v>
      </x:c>
      <x:c r="C402" s="9" t="n">
        <x:f>A402/4</x:f>
        <x:v>99.75</x:v>
      </x:c>
      <x:c r="D402" s="8" t="n">
        <x:f>IF(MOD(A402,4)=0,1,0)</x:f>
        <x:v>0</x:v>
      </x:c>
      <x:c r="E402" s="8" t="n">
        <x:f>IF(AND(F401&lt;=9,AS401&gt;=AR401),1,0)</x:f>
        <x:v>0</x:v>
      </x:c>
      <x:c r="F402" s="8" t="n">
        <x:f>MIN(10,F401+E402)</x:f>
        <x:v>1</x:v>
      </x:c>
      <x:c r="G402" s="8" t="n">
        <x:f>MIN(F402,9)+1</x:f>
        <x:v>2</x:v>
      </x:c>
      <x:c r="H402" s="8" t="n">
        <x:f>IF(F402&lt;=9,1,0)</x:f>
        <x:v>1</x:v>
      </x:c>
      <x:c r="I402" s="9" t="n">
        <x:f>MIN(10,F401+IF(AR401&gt;0,MIN(1,AS401/AR401),1))</x:f>
        <x:v>1.5215806195184562</x:v>
      </x:c>
      <x:c r="J402" s="32" t="n">
        <x:f>INDEX(v01_FoodCap,G402)*Arch_FoodCap*EXP(v01_CapsByProject*SUMPRODUCT((Cap_Point&lt;=I402)*(Cap_Kind="Food")*Cap_Ln))</x:f>
        <x:v>30</x:v>
      </x:c>
      <x:c r="K402" s="32" t="n">
        <x:f>J402*MIN(1,v01_LeanBase*EXP(v01_CapsByProject*SUMPRODUCT((Cap_Point&lt;=I402)*(Cap_Kind="Lean")*Cap_Ln)))</x:f>
        <x:v>30</x:v>
      </x:c>
      <x:c r="L402" s="10" t="n">
        <x:f>INDEX(v01_HousingCap,G402)*EXP(v01_CapsByProject*SUMPRODUCT((Cap_Point&lt;=I402)*(Cap_Kind="Housing")*Cap_Ln))</x:f>
        <x:v>60</x:v>
      </x:c>
      <x:c r="M402" s="10" t="n">
        <x:f>INDEX(v01_GroupCap,G402)*v01_CohesionFactor*EXP(v01_CapsByProject*SUMPRODUCT((Cap_Point&lt;=I402)*(Cap_Kind="Group")*Cap_Ln))</x:f>
        <x:v>100</x:v>
      </x:c>
      <x:c r="N402" s="32" t="n">
        <x:f>MIN(J402,L402,M402)</x:f>
        <x:v>30</x:v>
      </x:c>
      <x:c r="O402" s="10" t="n">
        <x:f>AE401*N402</x:f>
        <x:v>60</x:v>
      </x:c>
      <x:c r="P402" s="9" t="n">
        <x:f>MIN(1,(AB401/(AE401*IF(v01_GroupInCrowding=1,N402,MIN(J402,L402))))^v01_CrowdingExp)</x:f>
        <x:v>0.2095934908333174</x:v>
      </x:c>
      <x:c r="Q402" s="9" t="n">
        <x:f>IF(D402=1,INDEX(v01_WinterMult,G402),1)</x:f>
        <x:v>1</x:v>
      </x:c>
      <x:c r="R402" s="9" t="n">
        <x:f>H402*Z401*v01_WomenShare*v01_BaseFertility*INDEX(v01_FertMult,G402)*Arch_Fertility*(1-P402)</x:f>
        <x:v>0.6091042780094844</x:v>
      </x:c>
      <x:c r="S402" s="9" t="n">
        <x:f>H402*Y401*INDEX(v01_MortChild,G402)/4*Q402</x:f>
        <x:v>0.17480693781453976</x:v>
      </x:c>
      <x:c r="T402" s="9" t="n">
        <x:f>H402*Z401*INDEX(v01_MortAdult,G402)*Arch_AdultMort/4*Q402</x:f>
        <x:v>0.06678719977033538</x:v>
      </x:c>
      <x:c r="U402" s="9" t="n">
        <x:f>H402*AA401*INDEX(v01_MortElder,G402)/4*Q402</x:f>
        <x:v>0.11430642880282291</x:v>
      </x:c>
      <x:c r="V402" s="9" t="n">
        <x:f>H402*MAX(0,AB401-O402)*v01_OvercapLoss</x:f>
        <x:v>0</x:v>
      </x:c>
      <x:c r="W402" s="9" t="n">
        <x:f>H402*Y401/(v01_ChildYears*4)</x:f>
        <x:v>0.3567488526827342</x:v>
      </x:c>
      <x:c r="X402" s="9" t="n">
        <x:f>H402*Z401/(v01_AdultYears*4)</x:f>
        <x:v>0.16572506146485208</x:v>
      </x:c>
      <x:c r="Y402" s="32" t="n">
        <x:f>Y401+R402-S402-W402-Y401*V402/AB401</x:f>
        <x:v>20.055484237745326</x:v>
      </x:c>
      <x:c r="Z402" s="32" t="n">
        <x:f>Z401+W402-X402-T402-Z401*V402/AB401</x:f>
        <x:v>20.674144213089207</x:v>
      </x:c>
      <x:c r="AA402" s="32" t="n">
        <x:f>AA401+X402-U402-AA401*V402/AB401</x:f>
        <x:v>5.766740072803175</x:v>
      </x:c>
      <x:c r="AB402" s="10" t="n">
        <x:f>Y402+Z402+AA402</x:f>
        <x:v>46.496368523637706</x:v>
      </x:c>
      <x:c r="AC402" s="8" t="n">
        <x:f>IF(AND(v01_WinterTrigger=1,D402=1,AB401/AE401&gt;=K402),1,0)</x:f>
        <x:v>0</x:v>
      </x:c>
      <x:c r="AD402" s="8" t="n">
        <x:f>H402*IF(AND(OR(AB401/AE401&gt;=v01_FissionTrigger*N402,AC402=1),AB401/AE401*v01_DaughterShare&gt;=v01_MinDaughter),MAX(1,ROUND(AE401*v01_FissionRate,0)),0)</x:f>
        <x:v>0</x:v>
      </x:c>
      <x:c r="AE402" s="8" t="n">
        <x:f>IF(H402=1,MAX(1,MIN(INDEX(v01_Smax,G402),AE401+AD402)),AE401)</x:f>
        <x:v>2</x:v>
      </x:c>
      <x:c r="AF402" s="8" t="n">
        <x:f>MAX(0,AE402-AE401)</x:f>
        <x:v>0</x:v>
      </x:c>
      <x:c r="AG402" s="9" t="str">
        <x:f>IF(AF402&gt;0,B402,"")</x:f>
      </x:c>
      <x:c r="AH402" s="9" t="n">
        <x:f>IF(F402&gt;=1,1,(1+v01_LowTiesShare*(AE402-1))/AE402)</x:f>
        <x:v>1</x:v>
      </x:c>
      <x:c r="AI402" s="32" t="n">
        <x:f>(Z402+v01_ElderCommons*INDEX(LM_Elder,G402)*AA402)*AH402</x:f>
        <x:v>34.799714870717295</x:v>
      </x:c>
      <x:c r="AJ402" s="32" t="n">
        <x:f>H402*v01_CommonsCoef*AI402^v01_CommonsExp*INDEX(LM_Commons,G402)</x:f>
        <x:v>13.486003507656644</x:v>
      </x:c>
      <x:c r="AK402" s="32" t="n">
        <x:f>H402*v01_RoleScale*Arch_Roles*(AE402*(INDEX(v01_ElderRolePerSett,G402)*v01_OutElder*INDEX(LM_Elder,G402)+INDEX(v01_ShamanPerSett,G402)*v01_OutShaman)+Z402*(INDEX(v01_PriestShare,G402)*v01_OutPriest+INDEX(v01_ScribeShare,G402)*v01_OutScribe*INDEX(LM_Scribe,G402)+INDEX(v01_ScholarShare,G402)*v01_OutScholar*INDEX(LM_Scholar,G402)+INDEX(v01_ResearcherShare,G402)*v01_OutResearcher*INDEX(LM_Researcher,G402)))</x:f>
        <x:v>2.724744871391589</x:v>
      </x:c>
      <x:c r="AL402" s="32" t="n">
        <x:f>H402*v01_RoleScale*Arch_Roles*AE402*INDEX(v01_MonasteryPerSett,G402)*v01_OutMonastery*INDEX(LM_Monastery,G402)</x:f>
        <x:v>0</x:v>
      </x:c>
      <x:c r="AM402" s="32" t="n">
        <x:f>(AJ402+AK402+AL402)/4*INDEX(LM_All,G402)*INDEX(v01_Boon,G402)*Arch_Insight</x:f>
        <x:v>4.154004272131109</x:v>
      </x:c>
      <x:c r="AN402" s="32" t="n">
        <x:f>H402*(v01_KHPerAdult*Z402+v01_KHOfCommons*AJ402/4*INDEX(LM_All,G402))*v01_KHUsable*Arch_KH</x:f>
        <x:v>0.7235950474581223</x:v>
      </x:c>
      <x:c r="AO402" s="32" t="n">
        <x:f>MIN(AP401+AN402,AM402*v01_KHMaxRatio)</x:f>
        <x:v>0.7235950474581223</x:v>
      </x:c>
      <x:c r="AP402" s="32" t="n">
        <x:f>AP401+AN402-AO402</x:f>
        <x:v>0</x:v>
      </x:c>
      <x:c r="AQ402" s="32" t="n">
        <x:f>AM402+AO402</x:f>
        <x:v>4.8775993195892315</x:v>
      </x:c>
      <x:c r="AR402" s="10" t="n">
        <x:f>IF(H402=1,INDEX(v01_Req,G402),0)</x:f>
        <x:v>1067.32</x:v>
      </x:c>
      <x:c r="AS402" s="32" t="n">
        <x:f>IF(H402=1,IF(E402=1,AS401-AR401,AS401)+AQ402,0)</x:f>
        <x:v>561.5710261440278</x:v>
      </x:c>
      <x:c r="AT402" s="11" t="n">
        <x:f>IF(AR402&gt;0,MIN(1,AS402/AR402),1)</x:f>
        <x:v>0.5261505697860321</x:v>
      </x:c>
      <x:c r="AU402" s="10" t="n">
        <x:f>AB402/INDEX(v01_RepScale,G402)</x:f>
        <x:v>46.496368523637706</x:v>
      </x:c>
      <x:c r="AV402" s="32" t="n">
        <x:f>AM402*60/v01_SeasonSeconds</x:f>
        <x:v>16.616017088524437</x:v>
      </x:c>
    </x:row>
    <x:row r="403">
      <x:c r="A403" s="8" t="n">
        <x:f>A402+1</x:f>
        <x:v>400</x:v>
      </x:c>
      <x:c r="B403" s="9" t="n">
        <x:f>A403*v01_SeasonSeconds/60</x:f>
        <x:v>100</x:v>
      </x:c>
      <x:c r="C403" s="9" t="n">
        <x:f>A403/4</x:f>
        <x:v>100</x:v>
      </x:c>
      <x:c r="D403" s="8" t="n">
        <x:f>IF(MOD(A403,4)=0,1,0)</x:f>
        <x:v>1</x:v>
      </x:c>
      <x:c r="E403" s="8" t="n">
        <x:f>IF(AND(F402&lt;=9,AS402&gt;=AR402),1,0)</x:f>
        <x:v>0</x:v>
      </x:c>
      <x:c r="F403" s="8" t="n">
        <x:f>MIN(10,F402+E403)</x:f>
        <x:v>1</x:v>
      </x:c>
      <x:c r="G403" s="8" t="n">
        <x:f>MIN(F403,9)+1</x:f>
        <x:v>2</x:v>
      </x:c>
      <x:c r="H403" s="8" t="n">
        <x:f>IF(F403&lt;=9,1,0)</x:f>
        <x:v>1</x:v>
      </x:c>
      <x:c r="I403" s="9" t="n">
        <x:f>MIN(10,F402+IF(AR402&gt;0,MIN(1,AS402/AR402),1))</x:f>
        <x:v>1.526150569786032</x:v>
      </x:c>
      <x:c r="J403" s="32" t="n">
        <x:f>INDEX(v01_FoodCap,G403)*Arch_FoodCap*EXP(v01_CapsByProject*SUMPRODUCT((Cap_Point&lt;=I403)*(Cap_Kind="Food")*Cap_Ln))</x:f>
        <x:v>30</x:v>
      </x:c>
      <x:c r="K403" s="32" t="n">
        <x:f>J403*MIN(1,v01_LeanBase*EXP(v01_CapsByProject*SUMPRODUCT((Cap_Point&lt;=I403)*(Cap_Kind="Lean")*Cap_Ln)))</x:f>
        <x:v>30</x:v>
      </x:c>
      <x:c r="L403" s="10" t="n">
        <x:f>INDEX(v01_HousingCap,G403)*EXP(v01_CapsByProject*SUMPRODUCT((Cap_Point&lt;=I403)*(Cap_Kind="Housing")*Cap_Ln))</x:f>
        <x:v>60</x:v>
      </x:c>
      <x:c r="M403" s="10" t="n">
        <x:f>INDEX(v01_GroupCap,G403)*v01_CohesionFactor*EXP(v01_CapsByProject*SUMPRODUCT((Cap_Point&lt;=I403)*(Cap_Kind="Group")*Cap_Ln))</x:f>
        <x:v>100</x:v>
      </x:c>
      <x:c r="N403" s="32" t="n">
        <x:f>MIN(J403,L403,M403)</x:f>
        <x:v>30</x:v>
      </x:c>
      <x:c r="O403" s="10" t="n">
        <x:f>AE402*N403</x:f>
        <x:v>60</x:v>
      </x:c>
      <x:c r="P403" s="9" t="n">
        <x:f>MIN(1,(AB402/(AE402*IF(v01_GroupInCrowding=1,N403,MIN(J403,L403))))^v01_CrowdingExp)</x:f>
        <x:v>0.2165741938097315</x:v>
      </x:c>
      <x:c r="Q403" s="9" t="n">
        <x:f>IF(D403=1,INDEX(v01_WinterMult,G403),1)</x:f>
        <x:v>1.6</x:v>
      </x:c>
      <x:c r="R403" s="9" t="n">
        <x:f>H403*Z402*v01_WomenShare*v01_BaseFertility*INDEX(v01_FertMult,G403)*Arch_Fertility*(1-P403)</x:f>
        <x:v>0.6073746786537483</x:v>
      </x:c>
      <x:c r="S403" s="9" t="n">
        <x:f>H403*Y402*INDEX(v01_MortChild,G403)/4*Q403</x:f>
        <x:v>0.2807767793284346</x:v>
      </x:c>
      <x:c r="T403" s="9" t="n">
        <x:f>H403*Z402*INDEX(v01_MortAdult,G403)*Arch_AdultMort/4*Q403</x:f>
        <x:v>0.10750554990806388</x:v>
      </x:c>
      <x:c r="U403" s="9" t="n">
        <x:f>H403*AA402*INDEX(v01_MortElder,G403)/4*Q403</x:f>
        <x:v>0.1845356823297016</x:v>
      </x:c>
      <x:c r="V403" s="9" t="n">
        <x:f>H403*MAX(0,AB402-O403)*v01_OvercapLoss</x:f>
        <x:v>0</x:v>
      </x:c>
      <x:c r="W403" s="9" t="n">
        <x:f>H403*Y402/(v01_ChildYears*4)</x:f>
        <x:v>0.3581336471025951</x:v>
      </x:c>
      <x:c r="X403" s="9" t="n">
        <x:f>H403*Z402/(v01_AdultYears*4)</x:f>
        <x:v>0.16672696946039683</x:v>
      </x:c>
      <x:c r="Y403" s="32" t="n">
        <x:f>Y402+R403-S403-W403-Y402*V403/AB402</x:f>
        <x:v>20.023948489968046</x:v>
      </x:c>
      <x:c r="Z403" s="32" t="n">
        <x:f>Z402+W403-X403-T403-Z402*V403/AB402</x:f>
        <x:v>20.75804534082334</x:v>
      </x:c>
      <x:c r="AA403" s="32" t="n">
        <x:f>AA402+X403-U403-AA402*V403/AB402</x:f>
        <x:v>5.74893135993387</x:v>
      </x:c>
      <x:c r="AB403" s="10" t="n">
        <x:f>Y403+Z403+AA403</x:f>
        <x:v>46.530925190725256</x:v>
      </x:c>
      <x:c r="AC403" s="8" t="n">
        <x:f>IF(AND(v01_WinterTrigger=1,D403=1,AB402/AE402&gt;=K403),1,0)</x:f>
        <x:v>0</x:v>
      </x:c>
      <x:c r="AD403" s="8" t="n">
        <x:f>H403*IF(AND(OR(AB402/AE402&gt;=v01_FissionTrigger*N403,AC403=1),AB402/AE402*v01_DaughterShare&gt;=v01_MinDaughter),MAX(1,ROUND(AE402*v01_FissionRate,0)),0)</x:f>
        <x:v>0</x:v>
      </x:c>
      <x:c r="AE403" s="8" t="n">
        <x:f>IF(H403=1,MAX(1,MIN(INDEX(v01_Smax,G403),AE402+AD403)),AE402)</x:f>
        <x:v>2</x:v>
      </x:c>
      <x:c r="AF403" s="8" t="n">
        <x:f>MAX(0,AE403-AE402)</x:f>
        <x:v>0</x:v>
      </x:c>
      <x:c r="AG403" s="9" t="str">
        <x:f>IF(AF403&gt;0,B403,"")</x:f>
      </x:c>
      <x:c r="AH403" s="9" t="n">
        <x:f>IF(F403&gt;=1,1,(1+v01_LowTiesShare*(AE403-1))/AE403)</x:f>
        <x:v>1</x:v>
      </x:c>
      <x:c r="AI403" s="32" t="n">
        <x:f>(Z403+v01_ElderCommons*INDEX(LM_Elder,G403)*AA403)*AH403</x:f>
        <x:v>34.8399937389459</x:v>
      </x:c>
      <x:c r="AJ403" s="32" t="n">
        <x:f>H403*v01_CommonsCoef*AI403^v01_CommonsExp*INDEX(LM_Commons,G403)</x:f>
        <x:v>13.499270304600973</x:v>
      </x:c>
      <x:c r="AK403" s="32" t="n">
        <x:f>H403*v01_RoleScale*Arch_Roles*(AE403*(INDEX(v01_ElderRolePerSett,G403)*v01_OutElder*INDEX(LM_Elder,G403)+INDEX(v01_ShamanPerSett,G403)*v01_OutShaman)+Z403*(INDEX(v01_PriestShare,G403)*v01_OutPriest+INDEX(v01_ScribeShare,G403)*v01_OutScribe*INDEX(LM_Scribe,G403)+INDEX(v01_ScholarShare,G403)*v01_OutScholar*INDEX(LM_Scholar,G403)+INDEX(v01_ResearcherShare,G403)*v01_OutResearcher*INDEX(LM_Researcher,G403)))</x:f>
        <x:v>2.724744871391589</x:v>
      </x:c>
      <x:c r="AL403" s="32" t="n">
        <x:f>H403*v01_RoleScale*Arch_Roles*AE403*INDEX(v01_MonasteryPerSett,G403)*v01_OutMonastery*INDEX(LM_Monastery,G403)</x:f>
        <x:v>0</x:v>
      </x:c>
      <x:c r="AM403" s="32" t="n">
        <x:f>(AJ403+AK403+AL403)/4*INDEX(LM_All,G403)*INDEX(v01_Boon,G403)*Arch_Insight</x:f>
        <x:v>4.157403888848093</x:v>
      </x:c>
      <x:c r="AN403" s="32" t="n">
        <x:f>H403*(v01_KHPerAdult*Z403+v01_KHOfCommons*AJ403/4*INDEX(LM_All,G403))*v01_KHUsable*Arch_KH</x:f>
        <x:v>0.7265315869288169</x:v>
      </x:c>
      <x:c r="AO403" s="32" t="n">
        <x:f>MIN(AP402+AN403,AM403*v01_KHMaxRatio)</x:f>
        <x:v>0.7265315869288169</x:v>
      </x:c>
      <x:c r="AP403" s="32" t="n">
        <x:f>AP402+AN403-AO403</x:f>
        <x:v>0</x:v>
      </x:c>
      <x:c r="AQ403" s="32" t="n">
        <x:f>AM403+AO403</x:f>
        <x:v>4.8839354757769105</x:v>
      </x:c>
      <x:c r="AR403" s="10" t="n">
        <x:f>IF(H403=1,INDEX(v01_Req,G403),0)</x:f>
        <x:v>1067.32</x:v>
      </x:c>
      <x:c r="AS403" s="32" t="n">
        <x:f>IF(H403=1,IF(E403=1,AS402-AR402,AS402)+AQ403,0)</x:f>
        <x:v>566.4549616198046</x:v>
      </x:c>
      <x:c r="AT403" s="11" t="n">
        <x:f>IF(AR403&gt;0,MIN(1,AS403/AR403),1)</x:f>
        <x:v>0.5307264565639215</x:v>
      </x:c>
      <x:c r="AU403" s="10" t="n">
        <x:f>AB403/INDEX(v01_RepScale,G403)</x:f>
        <x:v>46.530925190725256</x:v>
      </x:c>
      <x:c r="AV403" s="32" t="n">
        <x:f>AM403*60/v01_SeasonSeconds</x:f>
        <x:v>16.629615555392373</x:v>
      </x:c>
    </x:row>
    <x:row r="404">
      <x:c r="A404" s="8" t="n">
        <x:f>A403+1</x:f>
        <x:v>401</x:v>
      </x:c>
      <x:c r="B404" s="9" t="n">
        <x:f>A404*v01_SeasonSeconds/60</x:f>
        <x:v>100.25</x:v>
      </x:c>
      <x:c r="C404" s="9" t="n">
        <x:f>A404/4</x:f>
        <x:v>100.25</x:v>
      </x:c>
      <x:c r="D404" s="8" t="n">
        <x:f>IF(MOD(A404,4)=0,1,0)</x:f>
        <x:v>0</x:v>
      </x:c>
      <x:c r="E404" s="8" t="n">
        <x:f>IF(AND(F403&lt;=9,AS403&gt;=AR403),1,0)</x:f>
        <x:v>0</x:v>
      </x:c>
      <x:c r="F404" s="8" t="n">
        <x:f>MIN(10,F403+E404)</x:f>
        <x:v>1</x:v>
      </x:c>
      <x:c r="G404" s="8" t="n">
        <x:f>MIN(F404,9)+1</x:f>
        <x:v>2</x:v>
      </x:c>
      <x:c r="H404" s="8" t="n">
        <x:f>IF(F404&lt;=9,1,0)</x:f>
        <x:v>1</x:v>
      </x:c>
      <x:c r="I404" s="9" t="n">
        <x:f>MIN(10,F403+IF(AR403&gt;0,MIN(1,AS403/AR403),1))</x:f>
        <x:v>1.5307264565639214</x:v>
      </x:c>
      <x:c r="J404" s="32" t="n">
        <x:f>INDEX(v01_FoodCap,G404)*Arch_FoodCap*EXP(v01_CapsByProject*SUMPRODUCT((Cap_Point&lt;=I404)*(Cap_Kind="Food")*Cap_Ln))</x:f>
        <x:v>30</x:v>
      </x:c>
      <x:c r="K404" s="32" t="n">
        <x:f>J404*MIN(1,v01_LeanBase*EXP(v01_CapsByProject*SUMPRODUCT((Cap_Point&lt;=I404)*(Cap_Kind="Lean")*Cap_Ln)))</x:f>
        <x:v>30</x:v>
      </x:c>
      <x:c r="L404" s="10" t="n">
        <x:f>INDEX(v01_HousingCap,G404)*EXP(v01_CapsByProject*SUMPRODUCT((Cap_Point&lt;=I404)*(Cap_Kind="Housing")*Cap_Ln))</x:f>
        <x:v>60</x:v>
      </x:c>
      <x:c r="M404" s="10" t="n">
        <x:f>INDEX(v01_GroupCap,G404)*v01_CohesionFactor*EXP(v01_CapsByProject*SUMPRODUCT((Cap_Point&lt;=I404)*(Cap_Kind="Group")*Cap_Ln))</x:f>
        <x:v>100</x:v>
      </x:c>
      <x:c r="N404" s="32" t="n">
        <x:f>MIN(J404,L404,M404)</x:f>
        <x:v>30</x:v>
      </x:c>
      <x:c r="O404" s="10" t="n">
        <x:f>AE403*N404</x:f>
        <x:v>60</x:v>
      </x:c>
      <x:c r="P404" s="9" t="n">
        <x:f>MIN(1,(AB403/(AE403*IF(v01_GroupInCrowding=1,N404,MIN(J404,L404))))^v01_CrowdingExp)</x:f>
        <x:v>0.21754175347000176</x:v>
      </x:c>
      <x:c r="Q404" s="9" t="n">
        <x:f>IF(D404=1,INDEX(v01_WinterMult,G404),1)</x:f>
        <x:v>1</x:v>
      </x:c>
      <x:c r="R404" s="9" t="n">
        <x:f>H404*Z403*v01_WomenShare*v01_BaseFertility*INDEX(v01_FertMult,G404)*Arch_Fertility*(1-P404)</x:f>
        <x:v>0.6090863909539062</x:v>
      </x:c>
      <x:c r="S404" s="9" t="n">
        <x:f>H404*Y403*INDEX(v01_MortChild,G404)/4*Q404</x:f>
        <x:v>0.1752095492872204</x:v>
      </x:c>
      <x:c r="T404" s="9" t="n">
        <x:f>H404*Z403*INDEX(v01_MortAdult,G404)*Arch_AdultMort/4*Q404</x:f>
        <x:v>0.06746364735767585</x:v>
      </x:c>
      <x:c r="U404" s="9" t="n">
        <x:f>H404*AA403*INDEX(v01_MortElder,G404)/4*Q404</x:f>
        <x:v>0.11497862719867741</x:v>
      </x:c>
      <x:c r="V404" s="9" t="n">
        <x:f>H404*MAX(0,AB403-O404)*v01_OvercapLoss</x:f>
        <x:v>0</x:v>
      </x:c>
      <x:c r="W404" s="9" t="n">
        <x:f>H404*Y403/(v01_ChildYears*4)</x:f>
        <x:v>0.35757050874942936</x:v>
      </x:c>
      <x:c r="X404" s="9" t="n">
        <x:f>H404*Z403/(v01_AdultYears*4)</x:f>
        <x:v>0.16740359145825273</x:v>
      </x:c>
      <x:c r="Y404" s="32" t="n">
        <x:f>Y403+R404-S404-W404-Y403*V404/AB403</x:f>
        <x:v>20.1002548228853</x:v>
      </x:c>
      <x:c r="Z404" s="32" t="n">
        <x:f>Z403+W404-X404-T404-Z403*V404/AB403</x:f>
        <x:v>20.88074861075684</x:v>
      </x:c>
      <x:c r="AA404" s="32" t="n">
        <x:f>AA403+X404-U404-AA403*V404/AB403</x:f>
        <x:v>5.801356324193445</x:v>
      </x:c>
      <x:c r="AB404" s="10" t="n">
        <x:f>Y404+Z404+AA404</x:f>
        <x:v>46.782359757835586</x:v>
      </x:c>
      <x:c r="AC404" s="8" t="n">
        <x:f>IF(AND(v01_WinterTrigger=1,D404=1,AB403/AE403&gt;=K404),1,0)</x:f>
        <x:v>0</x:v>
      </x:c>
      <x:c r="AD404" s="8" t="n">
        <x:f>H404*IF(AND(OR(AB403/AE403&gt;=v01_FissionTrigger*N404,AC404=1),AB403/AE403*v01_DaughterShare&gt;=v01_MinDaughter),MAX(1,ROUND(AE403*v01_FissionRate,0)),0)</x:f>
        <x:v>0</x:v>
      </x:c>
      <x:c r="AE404" s="8" t="n">
        <x:f>IF(H404=1,MAX(1,MIN(INDEX(v01_Smax,G404),AE403+AD404)),AE403)</x:f>
        <x:v>2</x:v>
      </x:c>
      <x:c r="AF404" s="8" t="n">
        <x:f>MAX(0,AE404-AE403)</x:f>
        <x:v>0</x:v>
      </x:c>
      <x:c r="AG404" s="9" t="str">
        <x:f>IF(AF404&gt;0,B404,"")</x:f>
      </x:c>
      <x:c r="AH404" s="9" t="n">
        <x:f>IF(F404&gt;=1,1,(1+v01_LowTiesShare*(AE404-1))/AE404)</x:f>
        <x:v>1</x:v>
      </x:c>
      <x:c r="AI404" s="32" t="n">
        <x:f>(Z404+v01_ElderCommons*INDEX(LM_Elder,G404)*AA404)*AH404</x:f>
        <x:v>35.091111421099</x:v>
      </x:c>
      <x:c r="AJ404" s="32" t="n">
        <x:f>H404*v01_CommonsCoef*AI404^v01_CommonsExp*INDEX(LM_Commons,G404)</x:f>
        <x:v>13.581930086867553</x:v>
      </x:c>
      <x:c r="AK404" s="32" t="n">
        <x:f>H404*v01_RoleScale*Arch_Roles*(AE404*(INDEX(v01_ElderRolePerSett,G404)*v01_OutElder*INDEX(LM_Elder,G404)+INDEX(v01_ShamanPerSett,G404)*v01_OutShaman)+Z404*(INDEX(v01_PriestShare,G404)*v01_OutPriest+INDEX(v01_ScribeShare,G404)*v01_OutScribe*INDEX(LM_Scribe,G404)+INDEX(v01_ScholarShare,G404)*v01_OutScholar*INDEX(LM_Scholar,G404)+INDEX(v01_ResearcherShare,G404)*v01_OutResearcher*INDEX(LM_Researcher,G404)))</x:f>
        <x:v>2.724744871391589</x:v>
      </x:c>
      <x:c r="AL404" s="32" t="n">
        <x:f>H404*v01_RoleScale*Arch_Roles*AE404*INDEX(v01_MonasteryPerSett,G404)*v01_OutMonastery*INDEX(LM_Monastery,G404)</x:f>
        <x:v>0</x:v>
      </x:c>
      <x:c r="AM404" s="32" t="n">
        <x:f>(AJ404+AK404+AL404)/4*INDEX(LM_All,G404)*INDEX(v01_Boon,G404)*Arch_Insight</x:f>
        <x:v>4.178585458053904</x:v>
      </x:c>
      <x:c r="AN404" s="32" t="n">
        <x:f>H404*(v01_KHPerAdult*Z404+v01_KHOfCommons*AJ404/4*INDEX(LM_All,G404))*v01_KHUsable*Arch_KH</x:f>
        <x:v>0.7308262013764893</x:v>
      </x:c>
      <x:c r="AO404" s="32" t="n">
        <x:f>MIN(AP403+AN404,AM404*v01_KHMaxRatio)</x:f>
        <x:v>0.7308262013764893</x:v>
      </x:c>
      <x:c r="AP404" s="32" t="n">
        <x:f>AP403+AN404-AO404</x:f>
        <x:v>0</x:v>
      </x:c>
      <x:c r="AQ404" s="32" t="n">
        <x:f>AM404+AO404</x:f>
        <x:v>4.909411659430393</x:v>
      </x:c>
      <x:c r="AR404" s="10" t="n">
        <x:f>IF(H404=1,INDEX(v01_Req,G404),0)</x:f>
        <x:v>1067.32</x:v>
      </x:c>
      <x:c r="AS404" s="32" t="n">
        <x:f>IF(H404=1,IF(E404=1,AS403-AR403,AS403)+AQ404,0)</x:f>
        <x:v>571.364373279235</x:v>
      </x:c>
      <x:c r="AT404" s="11" t="n">
        <x:f>IF(AR404&gt;0,MIN(1,AS404/AR404),1)</x:f>
        <x:v>0.5353262126440383</x:v>
      </x:c>
      <x:c r="AU404" s="10" t="n">
        <x:f>AB404/INDEX(v01_RepScale,G404)</x:f>
        <x:v>46.782359757835586</x:v>
      </x:c>
      <x:c r="AV404" s="32" t="n">
        <x:f>AM404*60/v01_SeasonSeconds</x:f>
        <x:v>16.714341832215617</x:v>
      </x:c>
    </x:row>
    <x:row r="405">
      <x:c r="A405" s="8" t="n">
        <x:f>A404+1</x:f>
        <x:v>402</x:v>
      </x:c>
      <x:c r="B405" s="9" t="n">
        <x:f>A405*v01_SeasonSeconds/60</x:f>
        <x:v>100.5</x:v>
      </x:c>
      <x:c r="C405" s="9" t="n">
        <x:f>A405/4</x:f>
        <x:v>100.5</x:v>
      </x:c>
      <x:c r="D405" s="8" t="n">
        <x:f>IF(MOD(A405,4)=0,1,0)</x:f>
        <x:v>0</x:v>
      </x:c>
      <x:c r="E405" s="8" t="n">
        <x:f>IF(AND(F404&lt;=9,AS404&gt;=AR404),1,0)</x:f>
        <x:v>0</x:v>
      </x:c>
      <x:c r="F405" s="8" t="n">
        <x:f>MIN(10,F404+E405)</x:f>
        <x:v>1</x:v>
      </x:c>
      <x:c r="G405" s="8" t="n">
        <x:f>MIN(F405,9)+1</x:f>
        <x:v>2</x:v>
      </x:c>
      <x:c r="H405" s="8" t="n">
        <x:f>IF(F405&lt;=9,1,0)</x:f>
        <x:v>1</x:v>
      </x:c>
      <x:c r="I405" s="9" t="n">
        <x:f>MIN(10,F404+IF(AR404&gt;0,MIN(1,AS404/AR404),1))</x:f>
        <x:v>1.5353262126440383</x:v>
      </x:c>
      <x:c r="J405" s="32" t="n">
        <x:f>INDEX(v01_FoodCap,G405)*Arch_FoodCap*EXP(v01_CapsByProject*SUMPRODUCT((Cap_Point&lt;=I405)*(Cap_Kind="Food")*Cap_Ln))</x:f>
        <x:v>30</x:v>
      </x:c>
      <x:c r="K405" s="32" t="n">
        <x:f>J405*MIN(1,v01_LeanBase*EXP(v01_CapsByProject*SUMPRODUCT((Cap_Point&lt;=I405)*(Cap_Kind="Lean")*Cap_Ln)))</x:f>
        <x:v>30</x:v>
      </x:c>
      <x:c r="L405" s="10" t="n">
        <x:f>INDEX(v01_HousingCap,G405)*EXP(v01_CapsByProject*SUMPRODUCT((Cap_Point&lt;=I405)*(Cap_Kind="Housing")*Cap_Ln))</x:f>
        <x:v>60</x:v>
      </x:c>
      <x:c r="M405" s="10" t="n">
        <x:f>INDEX(v01_GroupCap,G405)*v01_CohesionFactor*EXP(v01_CapsByProject*SUMPRODUCT((Cap_Point&lt;=I405)*(Cap_Kind="Group")*Cap_Ln))</x:f>
        <x:v>100</x:v>
      </x:c>
      <x:c r="N405" s="32" t="n">
        <x:f>MIN(J405,L405,M405)</x:f>
        <x:v>30</x:v>
      </x:c>
      <x:c r="O405" s="10" t="n">
        <x:f>AE404*N405</x:f>
        <x:v>60</x:v>
      </x:c>
      <x:c r="P405" s="9" t="n">
        <x:f>MIN(1,(AB404/(AE404*IF(v01_GroupInCrowding=1,N405,MIN(J405,L405))))^v01_CrowdingExp)</x:f>
        <x:v>0.22469077584082991</x:v>
      </x:c>
      <x:c r="Q405" s="9" t="n">
        <x:f>IF(D405=1,INDEX(v01_WinterMult,G405),1)</x:f>
        <x:v>1</x:v>
      </x:c>
      <x:c r="R405" s="9" t="n">
        <x:f>H405*Z404*v01_WomenShare*v01_BaseFertility*INDEX(v01_FertMult,G405)*Arch_Fertility*(1-P405)</x:f>
        <x:v>0.6070888876975707</x:v>
      </x:c>
      <x:c r="S405" s="9" t="n">
        <x:f>H405*Y404*INDEX(v01_MortChild,G405)/4*Q405</x:f>
        <x:v>0.1758772297002464</x:v>
      </x:c>
      <x:c r="T405" s="9" t="n">
        <x:f>H405*Z404*INDEX(v01_MortAdult,G405)*Arch_AdultMort/4*Q405</x:f>
        <x:v>0.06786243298495973</x:v>
      </x:c>
      <x:c r="U405" s="9" t="n">
        <x:f>H405*AA404*INDEX(v01_MortElder,G405)/4*Q405</x:f>
        <x:v>0.1160271264838689</x:v>
      </x:c>
      <x:c r="V405" s="9" t="n">
        <x:f>H405*MAX(0,AB404-O405)*v01_OvercapLoss</x:f>
        <x:v>0</x:v>
      </x:c>
      <x:c r="W405" s="9" t="n">
        <x:f>H405*Y404/(v01_ChildYears*4)</x:f>
        <x:v>0.3589331218372375</x:v>
      </x:c>
      <x:c r="X405" s="9" t="n">
        <x:f>H405*Z404/(v01_AdultYears*4)</x:f>
        <x:v>0.16839313395771643</x:v>
      </x:c>
      <x:c r="Y405" s="32" t="n">
        <x:f>Y404+R405-S405-W405-Y404*V405/AB404</x:f>
        <x:v>20.17253335904539</x:v>
      </x:c>
      <x:c r="Z405" s="32" t="n">
        <x:f>Z404+W405-X405-T405-Z404*V405/AB404</x:f>
        <x:v>21.003426165651398</x:v>
      </x:c>
      <x:c r="AA405" s="32" t="n">
        <x:f>AA404+X405-U405-AA404*V405/AB404</x:f>
        <x:v>5.853722331667292</x:v>
      </x:c>
      <x:c r="AB405" s="10" t="n">
        <x:f>Y405+Z405+AA405</x:f>
        <x:v>47.02968185636408</x:v>
      </x:c>
      <x:c r="AC405" s="8" t="n">
        <x:f>IF(AND(v01_WinterTrigger=1,D405=1,AB404/AE404&gt;=K405),1,0)</x:f>
        <x:v>0</x:v>
      </x:c>
      <x:c r="AD405" s="8" t="n">
        <x:f>H405*IF(AND(OR(AB404/AE404&gt;=v01_FissionTrigger*N405,AC405=1),AB404/AE404*v01_DaughterShare&gt;=v01_MinDaughter),MAX(1,ROUND(AE404*v01_FissionRate,0)),0)</x:f>
        <x:v>0</x:v>
      </x:c>
      <x:c r="AE405" s="8" t="n">
        <x:f>IF(H405=1,MAX(1,MIN(INDEX(v01_Smax,G405),AE404+AD405)),AE404)</x:f>
        <x:v>2</x:v>
      </x:c>
      <x:c r="AF405" s="8" t="n">
        <x:f>MAX(0,AE405-AE404)</x:f>
        <x:v>0</x:v>
      </x:c>
      <x:c r="AG405" s="9" t="str">
        <x:f>IF(AF405&gt;0,B405,"")</x:f>
      </x:c>
      <x:c r="AH405" s="9" t="n">
        <x:f>IF(F405&gt;=1,1,(1+v01_LowTiesShare*(AE405-1))/AE405)</x:f>
        <x:v>1</x:v>
      </x:c>
      <x:c r="AI405" s="32" t="n">
        <x:f>(Z405+v01_ElderCommons*INDEX(LM_Elder,G405)*AA405)*AH405</x:f>
        <x:v>35.34205897417126</x:v>
      </x:c>
      <x:c r="AJ405" s="32" t="n">
        <x:f>H405*v01_CommonsCoef*AI405^v01_CommonsExp*INDEX(LM_Commons,G405)</x:f>
        <x:v>13.664445275876716</x:v>
      </x:c>
      <x:c r="AK405" s="32" t="n">
        <x:f>H405*v01_RoleScale*Arch_Roles*(AE405*(INDEX(v01_ElderRolePerSett,G405)*v01_OutElder*INDEX(LM_Elder,G405)+INDEX(v01_ShamanPerSett,G405)*v01_OutShaman)+Z405*(INDEX(v01_PriestShare,G405)*v01_OutPriest+INDEX(v01_ScribeShare,G405)*v01_OutScribe*INDEX(LM_Scribe,G405)+INDEX(v01_ScholarShare,G405)*v01_OutScholar*INDEX(LM_Scholar,G405)+INDEX(v01_ResearcherShare,G405)*v01_OutResearcher*INDEX(LM_Researcher,G405)))</x:f>
        <x:v>2.724744871391589</x:v>
      </x:c>
      <x:c r="AL405" s="32" t="n">
        <x:f>H405*v01_RoleScale*Arch_Roles*AE405*INDEX(v01_MonasteryPerSett,G405)*v01_OutMonastery*INDEX(LM_Monastery,G405)</x:f>
        <x:v>0</x:v>
      </x:c>
      <x:c r="AM405" s="32" t="n">
        <x:f>(AJ405+AK405+AL405)/4*INDEX(LM_All,G405)*INDEX(v01_Boon,G405)*Arch_Insight</x:f>
        <x:v>4.199729975237503</x:v>
      </x:c>
      <x:c r="AN405" s="32" t="n">
        <x:f>H405*(v01_KHPerAdult*Z405+v01_KHOfCommons*AJ405/4*INDEX(LM_All,G405))*v01_KHUsable*Arch_KH</x:f>
        <x:v>0.7351199157977989</x:v>
      </x:c>
      <x:c r="AO405" s="32" t="n">
        <x:f>MIN(AP404+AN405,AM405*v01_KHMaxRatio)</x:f>
        <x:v>0.7351199157977989</x:v>
      </x:c>
      <x:c r="AP405" s="32" t="n">
        <x:f>AP404+AN405-AO405</x:f>
        <x:v>0</x:v>
      </x:c>
      <x:c r="AQ405" s="32" t="n">
        <x:f>AM405+AO405</x:f>
        <x:v>4.934849891035301</x:v>
      </x:c>
      <x:c r="AR405" s="10" t="n">
        <x:f>IF(H405=1,INDEX(v01_Req,G405),0)</x:f>
        <x:v>1067.32</x:v>
      </x:c>
      <x:c r="AS405" s="32" t="n">
        <x:f>IF(H405=1,IF(E405=1,AS404-AR404,AS404)+AQ405,0)</x:f>
        <x:v>576.2992231702704</x:v>
      </x:c>
      <x:c r="AT405" s="11" t="n">
        <x:f>IF(AR405&gt;0,MIN(1,AS405/AR405),1)</x:f>
        <x:v>0.5399498024681167</x:v>
      </x:c>
      <x:c r="AU405" s="10" t="n">
        <x:f>AB405/INDEX(v01_RepScale,G405)</x:f>
        <x:v>47.02968185636408</x:v>
      </x:c>
      <x:c r="AV405" s="32" t="n">
        <x:f>AM405*60/v01_SeasonSeconds</x:f>
        <x:v>16.79891990095001</x:v>
      </x:c>
    </x:row>
    <x:row r="406">
      <x:c r="A406" s="8" t="n">
        <x:f>A405+1</x:f>
        <x:v>403</x:v>
      </x:c>
      <x:c r="B406" s="9" t="n">
        <x:f>A406*v01_SeasonSeconds/60</x:f>
        <x:v>100.75</x:v>
      </x:c>
      <x:c r="C406" s="9" t="n">
        <x:f>A406/4</x:f>
        <x:v>100.75</x:v>
      </x:c>
      <x:c r="D406" s="8" t="n">
        <x:f>IF(MOD(A406,4)=0,1,0)</x:f>
        <x:v>0</x:v>
      </x:c>
      <x:c r="E406" s="8" t="n">
        <x:f>IF(AND(F405&lt;=9,AS405&gt;=AR405),1,0)</x:f>
        <x:v>0</x:v>
      </x:c>
      <x:c r="F406" s="8" t="n">
        <x:f>MIN(10,F405+E406)</x:f>
        <x:v>1</x:v>
      </x:c>
      <x:c r="G406" s="8" t="n">
        <x:f>MIN(F406,9)+1</x:f>
        <x:v>2</x:v>
      </x:c>
      <x:c r="H406" s="8" t="n">
        <x:f>IF(F406&lt;=9,1,0)</x:f>
        <x:v>1</x:v>
      </x:c>
      <x:c r="I406" s="9" t="n">
        <x:f>MIN(10,F405+IF(AR405&gt;0,MIN(1,AS405/AR405),1))</x:f>
        <x:v>1.5399498024681169</x:v>
      </x:c>
      <x:c r="J406" s="32" t="n">
        <x:f>INDEX(v01_FoodCap,G406)*Arch_FoodCap*EXP(v01_CapsByProject*SUMPRODUCT((Cap_Point&lt;=I406)*(Cap_Kind="Food")*Cap_Ln))</x:f>
        <x:v>30</x:v>
      </x:c>
      <x:c r="K406" s="32" t="n">
        <x:f>J406*MIN(1,v01_LeanBase*EXP(v01_CapsByProject*SUMPRODUCT((Cap_Point&lt;=I406)*(Cap_Kind="Lean")*Cap_Ln)))</x:f>
        <x:v>30</x:v>
      </x:c>
      <x:c r="L406" s="10" t="n">
        <x:f>INDEX(v01_HousingCap,G406)*EXP(v01_CapsByProject*SUMPRODUCT((Cap_Point&lt;=I406)*(Cap_Kind="Housing")*Cap_Ln))</x:f>
        <x:v>60</x:v>
      </x:c>
      <x:c r="M406" s="10" t="n">
        <x:f>INDEX(v01_GroupCap,G406)*v01_CohesionFactor*EXP(v01_CapsByProject*SUMPRODUCT((Cap_Point&lt;=I406)*(Cap_Kind="Group")*Cap_Ln))</x:f>
        <x:v>100</x:v>
      </x:c>
      <x:c r="N406" s="32" t="n">
        <x:f>MIN(J406,L406,M406)</x:f>
        <x:v>30</x:v>
      </x:c>
      <x:c r="O406" s="10" t="n">
        <x:f>AE405*N406</x:f>
        <x:v>60</x:v>
      </x:c>
      <x:c r="P406" s="9" t="n">
        <x:f>MIN(1,(AB405/(AE405*IF(v01_GroupInCrowding=1,N406,MIN(J406,L406))))^v01_CrowdingExp)</x:f>
        <x:v>0.23191281255498478</x:v>
      </x:c>
      <x:c r="Q406" s="9" t="n">
        <x:f>IF(D406=1,INDEX(v01_WinterMult,G406),1)</x:f>
        <x:v>1</x:v>
      </x:c>
      <x:c r="R406" s="9" t="n">
        <x:f>H406*Z405*v01_WomenShare*v01_BaseFertility*INDEX(v01_FertMult,G406)*Arch_Fertility*(1-P406)</x:f>
        <x:v>0.6049673448856583</x:v>
      </x:c>
      <x:c r="S406" s="9" t="n">
        <x:f>H406*Y405*INDEX(v01_MortChild,G406)/4*Q406</x:f>
        <x:v>0.17650966689164715</x:v>
      </x:c>
      <x:c r="T406" s="9" t="n">
        <x:f>H406*Z405*INDEX(v01_MortAdult,G406)*Arch_AdultMort/4*Q406</x:f>
        <x:v>0.06826113503836703</x:v>
      </x:c>
      <x:c r="U406" s="9" t="n">
        <x:f>H406*AA405*INDEX(v01_MortElder,G406)/4*Q406</x:f>
        <x:v>0.11707444663334585</x:v>
      </x:c>
      <x:c r="V406" s="9" t="n">
        <x:f>H406*MAX(0,AB405-O406)*v01_OvercapLoss</x:f>
        <x:v>0</x:v>
      </x:c>
      <x:c r="W406" s="9" t="n">
        <x:f>H406*Y405/(v01_ChildYears*4)</x:f>
        <x:v>0.3602238099829534</x:v>
      </x:c>
      <x:c r="X406" s="9" t="n">
        <x:f>H406*Z405/(v01_AdultYears*4)</x:f>
        <x:v>0.16938246907783386</x:v>
      </x:c>
      <x:c r="Y406" s="32" t="n">
        <x:f>Y405+R406-S406-W406-Y405*V406/AB405</x:f>
        <x:v>20.240767227056445</x:v>
      </x:c>
      <x:c r="Z406" s="32" t="n">
        <x:f>Z405+W406-X406-T406-Z405*V406/AB405</x:f>
        <x:v>21.12600637151815</x:v>
      </x:c>
      <x:c r="AA406" s="32" t="n">
        <x:f>AA405+X406-U406-AA405*V406/AB405</x:f>
        <x:v>5.90603035411178</x:v>
      </x:c>
      <x:c r="AB406" s="10" t="n">
        <x:f>Y406+Z406+AA406</x:f>
        <x:v>47.272803952686374</x:v>
      </x:c>
      <x:c r="AC406" s="8" t="n">
        <x:f>IF(AND(v01_WinterTrigger=1,D406=1,AB405/AE405&gt;=K406),1,0)</x:f>
        <x:v>0</x:v>
      </x:c>
      <x:c r="AD406" s="8" t="n">
        <x:f>H406*IF(AND(OR(AB405/AE405&gt;=v01_FissionTrigger*N406,AC406=1),AB405/AE405*v01_DaughterShare&gt;=v01_MinDaughter),MAX(1,ROUND(AE405*v01_FissionRate,0)),0)</x:f>
        <x:v>0</x:v>
      </x:c>
      <x:c r="AE406" s="8" t="n">
        <x:f>IF(H406=1,MAX(1,MIN(INDEX(v01_Smax,G406),AE405+AD406)),AE405)</x:f>
        <x:v>2</x:v>
      </x:c>
      <x:c r="AF406" s="8" t="n">
        <x:f>MAX(0,AE406-AE405)</x:f>
        <x:v>0</x:v>
      </x:c>
      <x:c r="AG406" s="9" t="str">
        <x:f>IF(AF406&gt;0,B406,"")</x:f>
      </x:c>
      <x:c r="AH406" s="9" t="n">
        <x:f>IF(F406&gt;=1,1,(1+v01_LowTiesShare*(AE406-1))/AE406)</x:f>
        <x:v>1</x:v>
      </x:c>
      <x:c r="AI406" s="32" t="n">
        <x:f>(Z406+v01_ElderCommons*INDEX(LM_Elder,G406)*AA406)*AH406</x:f>
        <x:v>35.59276714448106</x:v>
      </x:c>
      <x:c r="AJ406" s="32" t="n">
        <x:f>H406*v01_CommonsCoef*AI406^v01_CommonsExp*INDEX(LM_Commons,G406)</x:f>
        <x:v>13.746794038472975</x:v>
      </x:c>
      <x:c r="AK406" s="32" t="n">
        <x:f>H406*v01_RoleScale*Arch_Roles*(AE406*(INDEX(v01_ElderRolePerSett,G406)*v01_OutElder*INDEX(LM_Elder,G406)+INDEX(v01_ShamanPerSett,G406)*v01_OutShaman)+Z406*(INDEX(v01_PriestShare,G406)*v01_OutPriest+INDEX(v01_ScribeShare,G406)*v01_OutScribe*INDEX(LM_Scribe,G406)+INDEX(v01_ScholarShare,G406)*v01_OutScholar*INDEX(LM_Scholar,G406)+INDEX(v01_ResearcherShare,G406)*v01_OutResearcher*INDEX(LM_Researcher,G406)))</x:f>
        <x:v>2.724744871391589</x:v>
      </x:c>
      <x:c r="AL406" s="32" t="n">
        <x:f>H406*v01_RoleScale*Arch_Roles*AE406*INDEX(v01_MonasteryPerSett,G406)*v01_OutMonastery*INDEX(LM_Monastery,G406)</x:f>
        <x:v>0</x:v>
      </x:c>
      <x:c r="AM406" s="32" t="n">
        <x:f>(AJ406+AK406+AL406)/4*INDEX(LM_All,G406)*INDEX(v01_Boon,G406)*Arch_Insight</x:f>
        <x:v>4.220831845652794</x:v>
      </x:c>
      <x:c r="AN406" s="32" t="n">
        <x:f>H406*(v01_KHPerAdult*Z406+v01_KHOfCommons*AJ406/4*INDEX(LM_All,G406))*v01_KHUsable*Arch_KH</x:f>
        <x:v>0.7394102230031353</x:v>
      </x:c>
      <x:c r="AO406" s="32" t="n">
        <x:f>MIN(AP405+AN406,AM406*v01_KHMaxRatio)</x:f>
        <x:v>0.7394102230031353</x:v>
      </x:c>
      <x:c r="AP406" s="32" t="n">
        <x:f>AP405+AN406-AO406</x:f>
        <x:v>0</x:v>
      </x:c>
      <x:c r="AQ406" s="32" t="n">
        <x:f>AM406+AO406</x:f>
        <x:v>4.960242068655929</x:v>
      </x:c>
      <x:c r="AR406" s="10" t="n">
        <x:f>IF(H406=1,INDEX(v01_Req,G406),0)</x:f>
        <x:v>1067.32</x:v>
      </x:c>
      <x:c r="AS406" s="32" t="n">
        <x:f>IF(H406=1,IF(E406=1,AS405-AR405,AS405)+AQ406,0)</x:f>
        <x:v>581.2594652389263</x:v>
      </x:c>
      <x:c r="AT406" s="11" t="n">
        <x:f>IF(AR406&gt;0,MIN(1,AS406/AR406),1)</x:f>
        <x:v>0.5445971828869751</x:v>
      </x:c>
      <x:c r="AU406" s="10" t="n">
        <x:f>AB406/INDEX(v01_RepScale,G406)</x:f>
        <x:v>47.272803952686374</x:v>
      </x:c>
      <x:c r="AV406" s="32" t="n">
        <x:f>AM406*60/v01_SeasonSeconds</x:f>
        <x:v>16.883327382611174</x:v>
      </x:c>
    </x:row>
    <x:row r="407">
      <x:c r="A407" s="8" t="n">
        <x:f>A406+1</x:f>
        <x:v>404</x:v>
      </x:c>
      <x:c r="B407" s="9" t="n">
        <x:f>A407*v01_SeasonSeconds/60</x:f>
        <x:v>101</x:v>
      </x:c>
      <x:c r="C407" s="9" t="n">
        <x:f>A407/4</x:f>
        <x:v>101</x:v>
      </x:c>
      <x:c r="D407" s="8" t="n">
        <x:f>IF(MOD(A407,4)=0,1,0)</x:f>
        <x:v>1</x:v>
      </x:c>
      <x:c r="E407" s="8" t="n">
        <x:f>IF(AND(F406&lt;=9,AS406&gt;=AR406),1,0)</x:f>
        <x:v>0</x:v>
      </x:c>
      <x:c r="F407" s="8" t="n">
        <x:f>MIN(10,F406+E407)</x:f>
        <x:v>1</x:v>
      </x:c>
      <x:c r="G407" s="8" t="n">
        <x:f>MIN(F407,9)+1</x:f>
        <x:v>2</x:v>
      </x:c>
      <x:c r="H407" s="8" t="n">
        <x:f>IF(F407&lt;=9,1,0)</x:f>
        <x:v>1</x:v>
      </x:c>
      <x:c r="I407" s="9" t="n">
        <x:f>MIN(10,F406+IF(AR406&gt;0,MIN(1,AS406/AR406),1))</x:f>
        <x:v>1.5445971828869751</x:v>
      </x:c>
      <x:c r="J407" s="32" t="n">
        <x:f>INDEX(v01_FoodCap,G407)*Arch_FoodCap*EXP(v01_CapsByProject*SUMPRODUCT((Cap_Point&lt;=I407)*(Cap_Kind="Food")*Cap_Ln))</x:f>
        <x:v>30</x:v>
      </x:c>
      <x:c r="K407" s="32" t="n">
        <x:f>J407*MIN(1,v01_LeanBase*EXP(v01_CapsByProject*SUMPRODUCT((Cap_Point&lt;=I407)*(Cap_Kind="Lean")*Cap_Ln)))</x:f>
        <x:v>30</x:v>
      </x:c>
      <x:c r="L407" s="10" t="n">
        <x:f>INDEX(v01_HousingCap,G407)*EXP(v01_CapsByProject*SUMPRODUCT((Cap_Point&lt;=I407)*(Cap_Kind="Housing")*Cap_Ln))</x:f>
        <x:v>60</x:v>
      </x:c>
      <x:c r="M407" s="10" t="n">
        <x:f>INDEX(v01_GroupCap,G407)*v01_CohesionFactor*EXP(v01_CapsByProject*SUMPRODUCT((Cap_Point&lt;=I407)*(Cap_Kind="Group")*Cap_Ln))</x:f>
        <x:v>100</x:v>
      </x:c>
      <x:c r="N407" s="32" t="n">
        <x:f>MIN(J407,L407,M407)</x:f>
        <x:v>30</x:v>
      </x:c>
      <x:c r="O407" s="10" t="n">
        <x:f>AE406*N407</x:f>
        <x:v>60</x:v>
      </x:c>
      <x:c r="P407" s="9" t="n">
        <x:f>MIN(1,(AB406/(AE406*IF(v01_GroupInCrowding=1,N407,MIN(J407,L407))))^v01_CrowdingExp)</x:f>
        <x:v>0.2391997246054013</x:v>
      </x:c>
      <x:c r="Q407" s="9" t="n">
        <x:f>IF(D407=1,INDEX(v01_WinterMult,G407),1)</x:f>
        <x:v>1.6</x:v>
      </x:c>
      <x:c r="R407" s="9" t="n">
        <x:f>H407*Z406*v01_WomenShare*v01_BaseFertility*INDEX(v01_FertMult,G407)*Arch_Fertility*(1-P407)</x:f>
        <x:v>0.6027251799539646</x:v>
      </x:c>
      <x:c r="S407" s="9" t="n">
        <x:f>H407*Y406*INDEX(v01_MortChild,G407)/4*Q407</x:f>
        <x:v>0.28337074117879024</x:v>
      </x:c>
      <x:c r="T407" s="9" t="n">
        <x:f>H407*Z406*INDEX(v01_MortAdult,G407)*Arch_AdultMort/4*Q407</x:f>
        <x:v>0.10985523313189438</x:v>
      </x:c>
      <x:c r="U407" s="9" t="n">
        <x:f>H407*AA406*INDEX(v01_MortElder,G407)/4*Q407</x:f>
        <x:v>0.188992971331577</x:v>
      </x:c>
      <x:c r="V407" s="9" t="n">
        <x:f>H407*MAX(0,AB406-O407)*v01_OvercapLoss</x:f>
        <x:v>0</x:v>
      </x:c>
      <x:c r="W407" s="9" t="n">
        <x:f>H407*Y406/(v01_ChildYears*4)</x:f>
        <x:v>0.36144227191172223</x:v>
      </x:c>
      <x:c r="X407" s="9" t="n">
        <x:f>H407*Z406/(v01_AdultYears*4)</x:f>
        <x:v>0.17037101912514638</x:v>
      </x:c>
      <x:c r="Y407" s="32" t="n">
        <x:f>Y406+R407-S407-W407-Y406*V407/AB406</x:f>
        <x:v>20.198679393919896</x:v>
      </x:c>
      <x:c r="Z407" s="32" t="n">
        <x:f>Z406+W407-X407-T407-Z406*V407/AB406</x:f>
        <x:v>21.207222391172834</x:v>
      </x:c>
      <x:c r="AA407" s="32" t="n">
        <x:f>AA406+X407-U407-AA406*V407/AB406</x:f>
        <x:v>5.88740840190535</x:v>
      </x:c>
      <x:c r="AB407" s="10" t="n">
        <x:f>Y407+Z407+AA407</x:f>
        <x:v>47.29331018699808</x:v>
      </x:c>
      <x:c r="AC407" s="8" t="n">
        <x:f>IF(AND(v01_WinterTrigger=1,D407=1,AB406/AE406&gt;=K407),1,0)</x:f>
        <x:v>0</x:v>
      </x:c>
      <x:c r="AD407" s="8" t="n">
        <x:f>H407*IF(AND(OR(AB406/AE406&gt;=v01_FissionTrigger*N407,AC407=1),AB406/AE406*v01_DaughterShare&gt;=v01_MinDaughter),MAX(1,ROUND(AE406*v01_FissionRate,0)),0)</x:f>
        <x:v>0</x:v>
      </x:c>
      <x:c r="AE407" s="8" t="n">
        <x:f>IF(H407=1,MAX(1,MIN(INDEX(v01_Smax,G407),AE406+AD407)),AE406)</x:f>
        <x:v>2</x:v>
      </x:c>
      <x:c r="AF407" s="8" t="n">
        <x:f>MAX(0,AE407-AE406)</x:f>
        <x:v>0</x:v>
      </x:c>
      <x:c r="AG407" s="9" t="str">
        <x:f>IF(AF407&gt;0,B407,"")</x:f>
      </x:c>
      <x:c r="AH407" s="9" t="n">
        <x:f>IF(F407&gt;=1,1,(1+v01_LowTiesShare*(AE407-1))/AE407)</x:f>
        <x:v>1</x:v>
      </x:c>
      <x:c r="AI407" s="32" t="n">
        <x:f>(Z407+v01_ElderCommons*INDEX(LM_Elder,G407)*AA407)*AH407</x:f>
        <x:v>35.62836888321549</x:v>
      </x:c>
      <x:c r="AJ407" s="32" t="n">
        <x:f>H407*v01_CommonsCoef*AI407^v01_CommonsExp*INDEX(LM_Commons,G407)</x:f>
        <x:v>13.758480882231389</x:v>
      </x:c>
      <x:c r="AK407" s="32" t="n">
        <x:f>H407*v01_RoleScale*Arch_Roles*(AE407*(INDEX(v01_ElderRolePerSett,G407)*v01_OutElder*INDEX(LM_Elder,G407)+INDEX(v01_ShamanPerSett,G407)*v01_OutShaman)+Z407*(INDEX(v01_PriestShare,G407)*v01_OutPriest+INDEX(v01_ScribeShare,G407)*v01_OutScribe*INDEX(LM_Scribe,G407)+INDEX(v01_ScholarShare,G407)*v01_OutScholar*INDEX(LM_Scholar,G407)+INDEX(v01_ResearcherShare,G407)*v01_OutResearcher*INDEX(LM_Researcher,G407)))</x:f>
        <x:v>2.724744871391589</x:v>
      </x:c>
      <x:c r="AL407" s="32" t="n">
        <x:f>H407*v01_RoleScale*Arch_Roles*AE407*INDEX(v01_MonasteryPerSett,G407)*v01_OutMonastery*INDEX(LM_Monastery,G407)</x:f>
        <x:v>0</x:v>
      </x:c>
      <x:c r="AM407" s="32" t="n">
        <x:f>(AJ407+AK407+AL407)/4*INDEX(LM_All,G407)*INDEX(v01_Boon,G407)*Arch_Insight</x:f>
        <x:v>4.2238265993658874</x:v>
      </x:c>
      <x:c r="AN407" s="32" t="n">
        <x:f>H407*(v01_KHPerAdult*Z407+v01_KHOfCommons*AJ407/4*INDEX(LM_All,G407))*v01_KHUsable*Arch_KH</x:f>
        <x:v>0.7422527836910492</x:v>
      </x:c>
      <x:c r="AO407" s="32" t="n">
        <x:f>MIN(AP406+AN407,AM407*v01_KHMaxRatio)</x:f>
        <x:v>0.7422527836910492</x:v>
      </x:c>
      <x:c r="AP407" s="32" t="n">
        <x:f>AP406+AN407-AO407</x:f>
        <x:v>0</x:v>
      </x:c>
      <x:c r="AQ407" s="32" t="n">
        <x:f>AM407+AO407</x:f>
        <x:v>4.966079383056937</x:v>
      </x:c>
      <x:c r="AR407" s="10" t="n">
        <x:f>IF(H407=1,INDEX(v01_Req,G407),0)</x:f>
        <x:v>1067.32</x:v>
      </x:c>
      <x:c r="AS407" s="32" t="n">
        <x:f>IF(H407=1,IF(E407=1,AS406-AR406,AS406)+AQ407,0)</x:f>
        <x:v>586.2255446219832</x:v>
      </x:c>
      <x:c r="AT407" s="11" t="n">
        <x:f>IF(AR407&gt;0,MIN(1,AS407/AR407),1)</x:f>
        <x:v>0.5492500324382409</x:v>
      </x:c>
      <x:c r="AU407" s="10" t="n">
        <x:f>AB407/INDEX(v01_RepScale,G407)</x:f>
        <x:v>47.29331018699808</x:v>
      </x:c>
      <x:c r="AV407" s="32" t="n">
        <x:f>AM407*60/v01_SeasonSeconds</x:f>
        <x:v>16.89530639746355</x:v>
      </x:c>
    </x:row>
    <x:row r="408">
      <x:c r="A408" s="8" t="n">
        <x:f>A407+1</x:f>
        <x:v>405</x:v>
      </x:c>
      <x:c r="B408" s="9" t="n">
        <x:f>A408*v01_SeasonSeconds/60</x:f>
        <x:v>101.25</x:v>
      </x:c>
      <x:c r="C408" s="9" t="n">
        <x:f>A408/4</x:f>
        <x:v>101.25</x:v>
      </x:c>
      <x:c r="D408" s="8" t="n">
        <x:f>IF(MOD(A408,4)=0,1,0)</x:f>
        <x:v>0</x:v>
      </x:c>
      <x:c r="E408" s="8" t="n">
        <x:f>IF(AND(F407&lt;=9,AS407&gt;=AR407),1,0)</x:f>
        <x:v>0</x:v>
      </x:c>
      <x:c r="F408" s="8" t="n">
        <x:f>MIN(10,F407+E408)</x:f>
        <x:v>1</x:v>
      </x:c>
      <x:c r="G408" s="8" t="n">
        <x:f>MIN(F408,9)+1</x:f>
        <x:v>2</x:v>
      </x:c>
      <x:c r="H408" s="8" t="n">
        <x:f>IF(F408&lt;=9,1,0)</x:f>
        <x:v>1</x:v>
      </x:c>
      <x:c r="I408" s="9" t="n">
        <x:f>MIN(10,F407+IF(AR407&gt;0,MIN(1,AS407/AR407),1))</x:f>
        <x:v>1.5492500324382408</x:v>
      </x:c>
      <x:c r="J408" s="32" t="n">
        <x:f>INDEX(v01_FoodCap,G408)*Arch_FoodCap*EXP(v01_CapsByProject*SUMPRODUCT((Cap_Point&lt;=I408)*(Cap_Kind="Food")*Cap_Ln))</x:f>
        <x:v>30</x:v>
      </x:c>
      <x:c r="K408" s="32" t="n">
        <x:f>J408*MIN(1,v01_LeanBase*EXP(v01_CapsByProject*SUMPRODUCT((Cap_Point&lt;=I408)*(Cap_Kind="Lean")*Cap_Ln)))</x:f>
        <x:v>30</x:v>
      </x:c>
      <x:c r="L408" s="10" t="n">
        <x:f>INDEX(v01_HousingCap,G408)*EXP(v01_CapsByProject*SUMPRODUCT((Cap_Point&lt;=I408)*(Cap_Kind="Housing")*Cap_Ln))</x:f>
        <x:v>60</x:v>
      </x:c>
      <x:c r="M408" s="10" t="n">
        <x:f>INDEX(v01_GroupCap,G408)*v01_CohesionFactor*EXP(v01_CapsByProject*SUMPRODUCT((Cap_Point&lt;=I408)*(Cap_Kind="Group")*Cap_Ln))</x:f>
        <x:v>100</x:v>
      </x:c>
      <x:c r="N408" s="32" t="n">
        <x:f>MIN(J408,L408,M408)</x:f>
        <x:v>30</x:v>
      </x:c>
      <x:c r="O408" s="10" t="n">
        <x:f>AE407*N408</x:f>
        <x:v>60</x:v>
      </x:c>
      <x:c r="P408" s="9" t="n">
        <x:f>MIN(1,(AB407/(AE407*IF(v01_GroupInCrowding=1,N408,MIN(J408,L408))))^v01_CrowdingExp)</x:f>
        <x:v>0.23982296769429323</x:v>
      </x:c>
      <x:c r="Q408" s="9" t="n">
        <x:f>IF(D408=1,INDEX(v01_WinterMult,G408),1)</x:f>
        <x:v>1</x:v>
      </x:c>
      <x:c r="R408" s="9" t="n">
        <x:f>H408*Z407*v01_WomenShare*v01_BaseFertility*INDEX(v01_FertMult,G408)*Arch_Fertility*(1-P408)</x:f>
        <x:v>0.6045466267788338</x:v>
      </x:c>
      <x:c r="S408" s="9" t="n">
        <x:f>H408*Y407*INDEX(v01_MortChild,G408)/4*Q408</x:f>
        <x:v>0.1767384446967991</x:v>
      </x:c>
      <x:c r="T408" s="9" t="n">
        <x:f>H408*Z407*INDEX(v01_MortAdult,G408)*Arch_AdultMort/4*Q408</x:f>
        <x:v>0.06892347277131171</x:v>
      </x:c>
      <x:c r="U408" s="9" t="n">
        <x:f>H408*AA407*INDEX(v01_MortElder,G408)/4*Q408</x:f>
        <x:v>0.11774816803810699</x:v>
      </x:c>
      <x:c r="V408" s="9" t="n">
        <x:f>H408*MAX(0,AB407-O408)*v01_OvercapLoss</x:f>
        <x:v>0</x:v>
      </x:c>
      <x:c r="W408" s="9" t="n">
        <x:f>H408*Y407/(v01_ChildYears*4)</x:f>
        <x:v>0.3606907034628553</x:v>
      </x:c>
      <x:c r="X408" s="9" t="n">
        <x:f>H408*Z407/(v01_AdultYears*4)</x:f>
        <x:v>0.17102598702558738</x:v>
      </x:c>
      <x:c r="Y408" s="32" t="n">
        <x:f>Y407+R408-S408-W408-Y407*V408/AB407</x:f>
        <x:v>20.265796872539077</x:v>
      </x:c>
      <x:c r="Z408" s="32" t="n">
        <x:f>Z407+W408-X408-T408-Z407*V408/AB407</x:f>
        <x:v>21.32796363483879</x:v>
      </x:c>
      <x:c r="AA408" s="32" t="n">
        <x:f>AA407+X408-U408-AA407*V408/AB407</x:f>
        <x:v>5.940686220892831</x:v>
      </x:c>
      <x:c r="AB408" s="10" t="n">
        <x:f>Y408+Z408+AA408</x:f>
        <x:v>47.534446728270694</x:v>
      </x:c>
      <x:c r="AC408" s="8" t="n">
        <x:f>IF(AND(v01_WinterTrigger=1,D408=1,AB407/AE407&gt;=K408),1,0)</x:f>
        <x:v>0</x:v>
      </x:c>
      <x:c r="AD408" s="8" t="n">
        <x:f>H408*IF(AND(OR(AB407/AE407&gt;=v01_FissionTrigger*N408,AC408=1),AB407/AE407*v01_DaughterShare&gt;=v01_MinDaughter),MAX(1,ROUND(AE407*v01_FissionRate,0)),0)</x:f>
        <x:v>0</x:v>
      </x:c>
      <x:c r="AE408" s="8" t="n">
        <x:f>IF(H408=1,MAX(1,MIN(INDEX(v01_Smax,G408),AE407+AD408)),AE407)</x:f>
        <x:v>2</x:v>
      </x:c>
      <x:c r="AF408" s="8" t="n">
        <x:f>MAX(0,AE408-AE407)</x:f>
        <x:v>0</x:v>
      </x:c>
      <x:c r="AG408" s="9" t="str">
        <x:f>IF(AF408&gt;0,B408,"")</x:f>
      </x:c>
      <x:c r="AH408" s="9" t="n">
        <x:f>IF(F408&gt;=1,1,(1+v01_LowTiesShare*(AE408-1))/AE408)</x:f>
        <x:v>1</x:v>
      </x:c>
      <x:c r="AI408" s="32" t="n">
        <x:f>(Z408+v01_ElderCommons*INDEX(LM_Elder,G408)*AA408)*AH408</x:f>
        <x:v>35.87961359800914</x:v>
      </x:c>
      <x:c r="AJ408" s="32" t="n">
        <x:f>H408*v01_CommonsCoef*AI408^v01_CommonsExp*INDEX(LM_Commons,G408)</x:f>
        <x:v>13.840906321566242</x:v>
      </x:c>
      <x:c r="AK408" s="32" t="n">
        <x:f>H408*v01_RoleScale*Arch_Roles*(AE408*(INDEX(v01_ElderRolePerSett,G408)*v01_OutElder*INDEX(LM_Elder,G408)+INDEX(v01_ShamanPerSett,G408)*v01_OutShaman)+Z408*(INDEX(v01_PriestShare,G408)*v01_OutPriest+INDEX(v01_ScribeShare,G408)*v01_OutScribe*INDEX(LM_Scribe,G408)+INDEX(v01_ScholarShare,G408)*v01_OutScholar*INDEX(LM_Scholar,G408)+INDEX(v01_ResearcherShare,G408)*v01_OutResearcher*INDEX(LM_Researcher,G408)))</x:f>
        <x:v>2.724744871391589</x:v>
      </x:c>
      <x:c r="AL408" s="32" t="n">
        <x:f>H408*v01_RoleScale*Arch_Roles*AE408*INDEX(v01_MonasteryPerSett,G408)*v01_OutMonastery*INDEX(LM_Monastery,G408)</x:f>
        <x:v>0</x:v>
      </x:c>
      <x:c r="AM408" s="32" t="n">
        <x:f>(AJ408+AK408+AL408)/4*INDEX(LM_All,G408)*INDEX(v01_Boon,G408)*Arch_Insight</x:f>
        <x:v>4.244948118195444</x:v>
      </x:c>
      <x:c r="AN408" s="32" t="n">
        <x:f>H408*(v01_KHPerAdult*Z408+v01_KHOfCommons*AJ408/4*INDEX(LM_All,G408))*v01_KHUsable*Arch_KH</x:f>
        <x:v>0.7464787272193577</x:v>
      </x:c>
      <x:c r="AO408" s="32" t="n">
        <x:f>MIN(AP407+AN408,AM408*v01_KHMaxRatio)</x:f>
        <x:v>0.7464787272193577</x:v>
      </x:c>
      <x:c r="AP408" s="32" t="n">
        <x:f>AP407+AN408-AO408</x:f>
        <x:v>0</x:v>
      </x:c>
      <x:c r="AQ408" s="32" t="n">
        <x:f>AM408+AO408</x:f>
        <x:v>4.991426845414801</x:v>
      </x:c>
      <x:c r="AR408" s="10" t="n">
        <x:f>IF(H408=1,INDEX(v01_Req,G408),0)</x:f>
        <x:v>1067.32</x:v>
      </x:c>
      <x:c r="AS408" s="32" t="n">
        <x:f>IF(H408=1,IF(E408=1,AS407-AR407,AS407)+AQ408,0)</x:f>
        <x:v>591.216971467398</x:v>
      </x:c>
      <x:c r="AT408" s="11" t="n">
        <x:f>IF(AR408&gt;0,MIN(1,AS408/AR408),1)</x:f>
        <x:v>0.5539266306893884</x:v>
      </x:c>
      <x:c r="AU408" s="10" t="n">
        <x:f>AB408/INDEX(v01_RepScale,G408)</x:f>
        <x:v>47.534446728270694</x:v>
      </x:c>
      <x:c r="AV408" s="32" t="n">
        <x:f>AM408*60/v01_SeasonSeconds</x:f>
        <x:v>16.979792472781774</x:v>
      </x:c>
    </x:row>
    <x:row r="409">
      <x:c r="A409" s="8" t="n">
        <x:f>A408+1</x:f>
        <x:v>406</x:v>
      </x:c>
      <x:c r="B409" s="9" t="n">
        <x:f>A409*v01_SeasonSeconds/60</x:f>
        <x:v>101.5</x:v>
      </x:c>
      <x:c r="C409" s="9" t="n">
        <x:f>A409/4</x:f>
        <x:v>101.5</x:v>
      </x:c>
      <x:c r="D409" s="8" t="n">
        <x:f>IF(MOD(A409,4)=0,1,0)</x:f>
        <x:v>0</x:v>
      </x:c>
      <x:c r="E409" s="8" t="n">
        <x:f>IF(AND(F408&lt;=9,AS408&gt;=AR408),1,0)</x:f>
        <x:v>0</x:v>
      </x:c>
      <x:c r="F409" s="8" t="n">
        <x:f>MIN(10,F408+E409)</x:f>
        <x:v>1</x:v>
      </x:c>
      <x:c r="G409" s="8" t="n">
        <x:f>MIN(F409,9)+1</x:f>
        <x:v>2</x:v>
      </x:c>
      <x:c r="H409" s="8" t="n">
        <x:f>IF(F409&lt;=9,1,0)</x:f>
        <x:v>1</x:v>
      </x:c>
      <x:c r="I409" s="9" t="n">
        <x:f>MIN(10,F408+IF(AR408&gt;0,MIN(1,AS408/AR408),1))</x:f>
        <x:v>1.5539266306893884</x:v>
      </x:c>
      <x:c r="J409" s="32" t="n">
        <x:f>INDEX(v01_FoodCap,G409)*Arch_FoodCap*EXP(v01_CapsByProject*SUMPRODUCT((Cap_Point&lt;=I409)*(Cap_Kind="Food")*Cap_Ln))</x:f>
        <x:v>30</x:v>
      </x:c>
      <x:c r="K409" s="32" t="n">
        <x:f>J409*MIN(1,v01_LeanBase*EXP(v01_CapsByProject*SUMPRODUCT((Cap_Point&lt;=I409)*(Cap_Kind="Lean")*Cap_Ln)))</x:f>
        <x:v>30</x:v>
      </x:c>
      <x:c r="L409" s="10" t="n">
        <x:f>INDEX(v01_HousingCap,G409)*EXP(v01_CapsByProject*SUMPRODUCT((Cap_Point&lt;=I409)*(Cap_Kind="Housing")*Cap_Ln))</x:f>
        <x:v>60</x:v>
      </x:c>
      <x:c r="M409" s="10" t="n">
        <x:f>INDEX(v01_GroupCap,G409)*v01_CohesionFactor*EXP(v01_CapsByProject*SUMPRODUCT((Cap_Point&lt;=I409)*(Cap_Kind="Group")*Cap_Ln))</x:f>
        <x:v>100</x:v>
      </x:c>
      <x:c r="N409" s="32" t="n">
        <x:f>MIN(J409,L409,M409)</x:f>
        <x:v>30</x:v>
      </x:c>
      <x:c r="O409" s="10" t="n">
        <x:f>AE408*N409</x:f>
        <x:v>60</x:v>
      </x:c>
      <x:c r="P409" s="9" t="n">
        <x:f>MIN(1,(AB408/(AE408*IF(v01_GroupInCrowding=1,N409,MIN(J409,L409))))^v01_CrowdingExp)</x:f>
        <x:v>0.24725390413520157</x:v>
      </x:c>
      <x:c r="Q409" s="9" t="n">
        <x:f>IF(D409=1,INDEX(v01_WinterMult,G409),1)</x:f>
        <x:v>1</x:v>
      </x:c>
      <x:c r="R409" s="9" t="n">
        <x:f>H409*Z408*v01_WomenShare*v01_BaseFertility*INDEX(v01_FertMult,G409)*Arch_Fertility*(1-P409)</x:f>
        <x:v>0.6020453009576736</x:v>
      </x:c>
      <x:c r="S409" s="9" t="n">
        <x:f>H409*Y408*INDEX(v01_MortChild,G409)/4*Q409</x:f>
        <x:v>0.17732572263471694</x:v>
      </x:c>
      <x:c r="T409" s="9" t="n">
        <x:f>H409*Z408*INDEX(v01_MortAdult,G409)*Arch_AdultMort/4*Q409</x:f>
        <x:v>0.06931588181322607</x:v>
      </x:c>
      <x:c r="U409" s="9" t="n">
        <x:f>H409*AA408*INDEX(v01_MortElder,G409)/4*Q409</x:f>
        <x:v>0.11881372441785662</x:v>
      </x:c>
      <x:c r="V409" s="9" t="n">
        <x:f>H409*MAX(0,AB408-O409)*v01_OvercapLoss</x:f>
        <x:v>0</x:v>
      </x:c>
      <x:c r="W409" s="9" t="n">
        <x:f>H409*Y408/(v01_ChildYears*4)</x:f>
        <x:v>0.36188922986676925</x:v>
      </x:c>
      <x:c r="X409" s="9" t="n">
        <x:f>H409*Z408/(v01_AdultYears*4)</x:f>
        <x:v>0.1719997067325709</x:v>
      </x:c>
      <x:c r="Y409" s="32" t="n">
        <x:f>Y408+R409-S409-W409-Y408*V409/AB408</x:f>
        <x:v>20.328627220995266</x:v>
      </x:c>
      <x:c r="Z409" s="32" t="n">
        <x:f>Z408+W409-X409-T409-Z408*V409/AB408</x:f>
        <x:v>21.448537276159765</x:v>
      </x:c>
      <x:c r="AA409" s="32" t="n">
        <x:f>AA408+X409-U409-AA408*V409/AB408</x:f>
        <x:v>5.993872203207545</x:v>
      </x:c>
      <x:c r="AB409" s="10" t="n">
        <x:f>Y409+Z409+AA409</x:f>
        <x:v>47.77103670036257</x:v>
      </x:c>
      <x:c r="AC409" s="8" t="n">
        <x:f>IF(AND(v01_WinterTrigger=1,D409=1,AB408/AE408&gt;=K409),1,0)</x:f>
        <x:v>0</x:v>
      </x:c>
      <x:c r="AD409" s="8" t="n">
        <x:f>H409*IF(AND(OR(AB408/AE408&gt;=v01_FissionTrigger*N409,AC409=1),AB408/AE408*v01_DaughterShare&gt;=v01_MinDaughter),MAX(1,ROUND(AE408*v01_FissionRate,0)),0)</x:f>
        <x:v>0</x:v>
      </x:c>
      <x:c r="AE409" s="8" t="n">
        <x:f>IF(H409=1,MAX(1,MIN(INDEX(v01_Smax,G409),AE408+AD409)),AE408)</x:f>
        <x:v>2</x:v>
      </x:c>
      <x:c r="AF409" s="8" t="n">
        <x:f>MAX(0,AE409-AE408)</x:f>
        <x:v>0</x:v>
      </x:c>
      <x:c r="AG409" s="9" t="str">
        <x:f>IF(AF409&gt;0,B409,"")</x:f>
      </x:c>
      <x:c r="AH409" s="9" t="n">
        <x:f>IF(F409&gt;=1,1,(1+v01_LowTiesShare*(AE409-1))/AE409)</x:f>
        <x:v>1</x:v>
      </x:c>
      <x:c r="AI409" s="32" t="n">
        <x:f>(Z409+v01_ElderCommons*INDEX(LM_Elder,G409)*AA409)*AH409</x:f>
        <x:v>36.13046575746985</x:v>
      </x:c>
      <x:c r="AJ409" s="32" t="n">
        <x:f>H409*v01_CommonsCoef*AI409^v01_CommonsExp*INDEX(LM_Commons,G409)</x:f>
        <x:v>13.923116646113677</x:v>
      </x:c>
      <x:c r="AK409" s="32" t="n">
        <x:f>H409*v01_RoleScale*Arch_Roles*(AE409*(INDEX(v01_ElderRolePerSett,G409)*v01_OutElder*INDEX(LM_Elder,G409)+INDEX(v01_ShamanPerSett,G409)*v01_OutShaman)+Z409*(INDEX(v01_PriestShare,G409)*v01_OutPriest+INDEX(v01_ScribeShare,G409)*v01_OutScribe*INDEX(LM_Scribe,G409)+INDEX(v01_ScholarShare,G409)*v01_OutScholar*INDEX(LM_Scholar,G409)+INDEX(v01_ResearcherShare,G409)*v01_OutResearcher*INDEX(LM_Researcher,G409)))</x:f>
        <x:v>2.724744871391589</x:v>
      </x:c>
      <x:c r="AL409" s="32" t="n">
        <x:f>H409*v01_RoleScale*Arch_Roles*AE409*INDEX(v01_MonasteryPerSett,G409)*v01_OutMonastery*INDEX(LM_Monastery,G409)</x:f>
        <x:v>0</x:v>
      </x:c>
      <x:c r="AM409" s="32" t="n">
        <x:f>(AJ409+AK409+AL409)/4*INDEX(LM_All,G409)*INDEX(v01_Boon,G409)*Arch_Insight</x:f>
        <x:v>4.266014513860724</x:v>
      </x:c>
      <x:c r="AN409" s="32" t="n">
        <x:f>H409*(v01_KHPerAdult*Z409+v01_KHOfCommons*AJ409/4*INDEX(LM_All,G409))*v01_KHUsable*Arch_KH</x:f>
        <x:v>0.7506988046655918</x:v>
      </x:c>
      <x:c r="AO409" s="32" t="n">
        <x:f>MIN(AP408+AN409,AM409*v01_KHMaxRatio)</x:f>
        <x:v>0.7506988046655918</x:v>
      </x:c>
      <x:c r="AP409" s="32" t="n">
        <x:f>AP408+AN409-AO409</x:f>
        <x:v>0</x:v>
      </x:c>
      <x:c r="AQ409" s="32" t="n">
        <x:f>AM409+AO409</x:f>
        <x:v>5.016713318526316</x:v>
      </x:c>
      <x:c r="AR409" s="10" t="n">
        <x:f>IF(H409=1,INDEX(v01_Req,G409),0)</x:f>
        <x:v>1067.32</x:v>
      </x:c>
      <x:c r="AS409" s="32" t="n">
        <x:f>IF(H409=1,IF(E409=1,AS408-AR408,AS408)+AQ409,0)</x:f>
        <x:v>596.2336847859243</x:v>
      </x:c>
      <x:c r="AT409" s="11" t="n">
        <x:f>IF(AR409&gt;0,MIN(1,AS409/AR409),1)</x:f>
        <x:v>0.558626920497999</x:v>
      </x:c>
      <x:c r="AU409" s="10" t="n">
        <x:f>AB409/INDEX(v01_RepScale,G409)</x:f>
        <x:v>47.77103670036257</x:v>
      </x:c>
      <x:c r="AV409" s="32" t="n">
        <x:f>AM409*60/v01_SeasonSeconds</x:f>
        <x:v>17.064058055442896</x:v>
      </x:c>
    </x:row>
    <x:row r="410">
      <x:c r="A410" s="8" t="n">
        <x:f>A409+1</x:f>
        <x:v>407</x:v>
      </x:c>
      <x:c r="B410" s="9" t="n">
        <x:f>A410*v01_SeasonSeconds/60</x:f>
        <x:v>101.75</x:v>
      </x:c>
      <x:c r="C410" s="9" t="n">
        <x:f>A410/4</x:f>
        <x:v>101.75</x:v>
      </x:c>
      <x:c r="D410" s="8" t="n">
        <x:f>IF(MOD(A410,4)=0,1,0)</x:f>
        <x:v>0</x:v>
      </x:c>
      <x:c r="E410" s="8" t="n">
        <x:f>IF(AND(F409&lt;=9,AS409&gt;=AR409),1,0)</x:f>
        <x:v>0</x:v>
      </x:c>
      <x:c r="F410" s="8" t="n">
        <x:f>MIN(10,F409+E410)</x:f>
        <x:v>1</x:v>
      </x:c>
      <x:c r="G410" s="8" t="n">
        <x:f>MIN(F410,9)+1</x:f>
        <x:v>2</x:v>
      </x:c>
      <x:c r="H410" s="8" t="n">
        <x:f>IF(F410&lt;=9,1,0)</x:f>
        <x:v>1</x:v>
      </x:c>
      <x:c r="I410" s="9" t="n">
        <x:f>MIN(10,F409+IF(AR409&gt;0,MIN(1,AS409/AR409),1))</x:f>
        <x:v>1.558626920497999</x:v>
      </x:c>
      <x:c r="J410" s="32" t="n">
        <x:f>INDEX(v01_FoodCap,G410)*Arch_FoodCap*EXP(v01_CapsByProject*SUMPRODUCT((Cap_Point&lt;=I410)*(Cap_Kind="Food")*Cap_Ln))</x:f>
        <x:v>30</x:v>
      </x:c>
      <x:c r="K410" s="32" t="n">
        <x:f>J410*MIN(1,v01_LeanBase*EXP(v01_CapsByProject*SUMPRODUCT((Cap_Point&lt;=I410)*(Cap_Kind="Lean")*Cap_Ln)))</x:f>
        <x:v>30</x:v>
      </x:c>
      <x:c r="L410" s="10" t="n">
        <x:f>INDEX(v01_HousingCap,G410)*EXP(v01_CapsByProject*SUMPRODUCT((Cap_Point&lt;=I410)*(Cap_Kind="Housing")*Cap_Ln))</x:f>
        <x:v>60</x:v>
      </x:c>
      <x:c r="M410" s="10" t="n">
        <x:f>INDEX(v01_GroupCap,G410)*v01_CohesionFactor*EXP(v01_CapsByProject*SUMPRODUCT((Cap_Point&lt;=I410)*(Cap_Kind="Group")*Cap_Ln))</x:f>
        <x:v>100</x:v>
      </x:c>
      <x:c r="N410" s="32" t="n">
        <x:f>MIN(J410,L410,M410)</x:f>
        <x:v>30</x:v>
      </x:c>
      <x:c r="O410" s="10" t="n">
        <x:f>AE409*N410</x:f>
        <x:v>60</x:v>
      </x:c>
      <x:c r="P410" s="9" t="n">
        <x:f>MIN(1,(AB409/(AE409*IF(v01_GroupInCrowding=1,N410,MIN(J410,L410))))^v01_CrowdingExp)</x:f>
        <x:v>0.2547302342100224</x:v>
      </x:c>
      <x:c r="Q410" s="9" t="n">
        <x:f>IF(D410=1,INDEX(v01_WinterMult,G410),1)</x:f>
        <x:v>1</x:v>
      </x:c>
      <x:c r="R410" s="9" t="n">
        <x:f>H410*Z409*v01_WomenShare*v01_BaseFertility*INDEX(v01_FertMult,G410)*Arch_Fertility*(1-P410)</x:f>
        <x:v>0.5994354882127948</x:v>
      </x:c>
      <x:c r="S410" s="9" t="n">
        <x:f>H410*Y409*INDEX(v01_MortChild,G410)/4*Q410</x:f>
        <x:v>0.1778754881837086</x:v>
      </x:c>
      <x:c r="T410" s="9" t="n">
        <x:f>H410*Z409*INDEX(v01_MortAdult,G410)*Arch_AdultMort/4*Q410</x:f>
        <x:v>0.06970774614751923</x:v>
      </x:c>
      <x:c r="U410" s="9" t="n">
        <x:f>H410*AA409*INDEX(v01_MortElder,G410)/4*Q410</x:f>
        <x:v>0.11987744406415089</x:v>
      </x:c>
      <x:c r="V410" s="9" t="n">
        <x:f>H410*MAX(0,AB409-O410)*v01_OvercapLoss</x:f>
        <x:v>0</x:v>
      </x:c>
      <x:c r="W410" s="9" t="n">
        <x:f>H410*Y409/(v01_ChildYears*4)</x:f>
        <x:v>0.36301120037491547</x:v>
      </x:c>
      <x:c r="X410" s="9" t="n">
        <x:f>H410*Z409/(v01_AdultYears*4)</x:f>
        <x:v>0.17297207480774004</x:v>
      </x:c>
      <x:c r="Y410" s="32" t="n">
        <x:f>Y409+R410-S410-W410-Y409*V410/AB409</x:f>
        <x:v>20.387176020649434</x:v>
      </x:c>
      <x:c r="Z410" s="32" t="n">
        <x:f>Z409+W410-X410-T410-Z409*V410/AB409</x:f>
        <x:v>21.568868655579426</x:v>
      </x:c>
      <x:c r="AA410" s="32" t="n">
        <x:f>AA409+X410-U410-AA409*V410/AB409</x:f>
        <x:v>6.046966833951134</x:v>
      </x:c>
      <x:c r="AB410" s="10" t="n">
        <x:f>Y410+Z410+AA410</x:f>
        <x:v>48.00301151017999</x:v>
      </x:c>
      <x:c r="AC410" s="8" t="n">
        <x:f>IF(AND(v01_WinterTrigger=1,D410=1,AB409/AE409&gt;=K410),1,0)</x:f>
        <x:v>0</x:v>
      </x:c>
      <x:c r="AD410" s="8" t="n">
        <x:f>H410*IF(AND(OR(AB409/AE409&gt;=v01_FissionTrigger*N410,AC410=1),AB409/AE409*v01_DaughterShare&gt;=v01_MinDaughter),MAX(1,ROUND(AE409*v01_FissionRate,0)),0)</x:f>
        <x:v>0</x:v>
      </x:c>
      <x:c r="AE410" s="8" t="n">
        <x:f>IF(H410=1,MAX(1,MIN(INDEX(v01_Smax,G410),AE409+AD410)),AE409)</x:f>
        <x:v>2</x:v>
      </x:c>
      <x:c r="AF410" s="8" t="n">
        <x:f>MAX(0,AE410-AE409)</x:f>
        <x:v>0</x:v>
      </x:c>
      <x:c r="AG410" s="9" t="str">
        <x:f>IF(AF410&gt;0,B410,"")</x:f>
      </x:c>
      <x:c r="AH410" s="9" t="n">
        <x:f>IF(F410&gt;=1,1,(1+v01_LowTiesShare*(AE410-1))/AE410)</x:f>
        <x:v>1</x:v>
      </x:c>
      <x:c r="AI410" s="32" t="n">
        <x:f>(Z410+v01_ElderCommons*INDEX(LM_Elder,G410)*AA410)*AH410</x:f>
        <x:v>36.380851890292796</x:v>
      </x:c>
      <x:c r="AJ410" s="32" t="n">
        <x:f>H410*v01_CommonsCoef*AI410^v01_CommonsExp*INDEX(LM_Commons,G410)</x:f>
        <x:v>14.005088906802321</x:v>
      </x:c>
      <x:c r="AK410" s="32" t="n">
        <x:f>H410*v01_RoleScale*Arch_Roles*(AE410*(INDEX(v01_ElderRolePerSett,G410)*v01_OutElder*INDEX(LM_Elder,G410)+INDEX(v01_ShamanPerSett,G410)*v01_OutShaman)+Z410*(INDEX(v01_PriestShare,G410)*v01_OutPriest+INDEX(v01_ScribeShare,G410)*v01_OutScribe*INDEX(LM_Scribe,G410)+INDEX(v01_ScholarShare,G410)*v01_OutScholar*INDEX(LM_Scholar,G410)+INDEX(v01_ResearcherShare,G410)*v01_OutResearcher*INDEX(LM_Researcher,G410)))</x:f>
        <x:v>2.724744871391589</x:v>
      </x:c>
      <x:c r="AL410" s="32" t="n">
        <x:f>H410*v01_RoleScale*Arch_Roles*AE410*INDEX(v01_MonasteryPerSett,G410)*v01_OutMonastery*INDEX(LM_Monastery,G410)</x:f>
        <x:v>0</x:v>
      </x:c>
      <x:c r="AM410" s="32" t="n">
        <x:f>(AJ410+AK410+AL410)/4*INDEX(LM_All,G410)*INDEX(v01_Boon,G410)*Arch_Insight</x:f>
        <x:v>4.28701990566219</x:v>
      </x:c>
      <x:c r="AN410" s="32" t="n">
        <x:f>H410*(v01_KHPerAdult*Z410+v01_KHOfCommons*AJ410/4*INDEX(LM_All,G410))*v01_KHUsable*Arch_KH</x:f>
        <x:v>0.7549104029452799</x:v>
      </x:c>
      <x:c r="AO410" s="32" t="n">
        <x:f>MIN(AP409+AN410,AM410*v01_KHMaxRatio)</x:f>
        <x:v>0.7549104029452799</x:v>
      </x:c>
      <x:c r="AP410" s="32" t="n">
        <x:f>AP409+AN410-AO410</x:f>
        <x:v>0</x:v>
      </x:c>
      <x:c r="AQ410" s="32" t="n">
        <x:f>AM410+AO410</x:f>
        <x:v>5.041930308607469</x:v>
      </x:c>
      <x:c r="AR410" s="10" t="n">
        <x:f>IF(H410=1,INDEX(v01_Req,G410),0)</x:f>
        <x:v>1067.32</x:v>
      </x:c>
      <x:c r="AS410" s="32" t="n">
        <x:f>IF(H410=1,IF(E410=1,AS409-AR409,AS409)+AQ410,0)</x:f>
        <x:v>601.2756150945318</x:v>
      </x:c>
      <x:c r="AT410" s="11" t="n">
        <x:f>IF(AR410&gt;0,MIN(1,AS410/AR410),1)</x:f>
        <x:v>0.5633508367636059</x:v>
      </x:c>
      <x:c r="AU410" s="10" t="n">
        <x:f>AB410/INDEX(v01_RepScale,G410)</x:f>
        <x:v>48.00301151017999</x:v>
      </x:c>
      <x:c r="AV410" s="32" t="n">
        <x:f>AM410*60/v01_SeasonSeconds</x:f>
        <x:v>17.14807962264876</x:v>
      </x:c>
    </x:row>
    <x:row r="411">
      <x:c r="A411" s="8" t="n">
        <x:f>A410+1</x:f>
        <x:v>408</x:v>
      </x:c>
      <x:c r="B411" s="9" t="n">
        <x:f>A411*v01_SeasonSeconds/60</x:f>
        <x:v>102</x:v>
      </x:c>
      <x:c r="C411" s="9" t="n">
        <x:f>A411/4</x:f>
        <x:v>102</x:v>
      </x:c>
      <x:c r="D411" s="8" t="n">
        <x:f>IF(MOD(A411,4)=0,1,0)</x:f>
        <x:v>1</x:v>
      </x:c>
      <x:c r="E411" s="8" t="n">
        <x:f>IF(AND(F410&lt;=9,AS410&gt;=AR410),1,0)</x:f>
        <x:v>0</x:v>
      </x:c>
      <x:c r="F411" s="8" t="n">
        <x:f>MIN(10,F410+E411)</x:f>
        <x:v>1</x:v>
      </x:c>
      <x:c r="G411" s="8" t="n">
        <x:f>MIN(F411,9)+1</x:f>
        <x:v>2</x:v>
      </x:c>
      <x:c r="H411" s="8" t="n">
        <x:f>IF(F411&lt;=9,1,0)</x:f>
        <x:v>1</x:v>
      </x:c>
      <x:c r="I411" s="9" t="n">
        <x:f>MIN(10,F410+IF(AR410&gt;0,MIN(1,AS410/AR410),1))</x:f>
        <x:v>1.5633508367636058</x:v>
      </x:c>
      <x:c r="J411" s="32" t="n">
        <x:f>INDEX(v01_FoodCap,G411)*Arch_FoodCap*EXP(v01_CapsByProject*SUMPRODUCT((Cap_Point&lt;=I411)*(Cap_Kind="Food")*Cap_Ln))</x:f>
        <x:v>30</x:v>
      </x:c>
      <x:c r="K411" s="32" t="n">
        <x:f>J411*MIN(1,v01_LeanBase*EXP(v01_CapsByProject*SUMPRODUCT((Cap_Point&lt;=I411)*(Cap_Kind="Lean")*Cap_Ln)))</x:f>
        <x:v>30</x:v>
      </x:c>
      <x:c r="L411" s="10" t="n">
        <x:f>INDEX(v01_HousingCap,G411)*EXP(v01_CapsByProject*SUMPRODUCT((Cap_Point&lt;=I411)*(Cap_Kind="Housing")*Cap_Ln))</x:f>
        <x:v>60</x:v>
      </x:c>
      <x:c r="M411" s="10" t="n">
        <x:f>INDEX(v01_GroupCap,G411)*v01_CohesionFactor*EXP(v01_CapsByProject*SUMPRODUCT((Cap_Point&lt;=I411)*(Cap_Kind="Group")*Cap_Ln))</x:f>
        <x:v>100</x:v>
      </x:c>
      <x:c r="N411" s="32" t="n">
        <x:f>MIN(J411,L411,M411)</x:f>
        <x:v>30</x:v>
      </x:c>
      <x:c r="O411" s="10" t="n">
        <x:f>AE410*N411</x:f>
        <x:v>60</x:v>
      </x:c>
      <x:c r="P411" s="9" t="n">
        <x:f>MIN(1,(AB410/(AE410*IF(v01_GroupInCrowding=1,N411,MIN(J411,L411))))^v01_CrowdingExp)</x:f>
        <x:v>0.26224269664496297</x:v>
      </x:c>
      <x:c r="Q411" s="9" t="n">
        <x:f>IF(D411=1,INDEX(v01_WinterMult,G411),1)</x:f>
        <x:v>1.6</x:v>
      </x:c>
      <x:c r="R411" s="9" t="n">
        <x:f>H411*Z410*v01_WomenShare*v01_BaseFertility*INDEX(v01_FertMult,G411)*Arch_Fertility*(1-P411)</x:f>
        <x:v>0.5967221390909723</x:v>
      </x:c>
      <x:c r="S411" s="9" t="n">
        <x:f>H411*Y410*INDEX(v01_MortChild,G411)/4*Q411</x:f>
        <x:v>0.2854204642890921</x:v>
      </x:c>
      <x:c r="T411" s="9" t="n">
        <x:f>H411*Z410*INDEX(v01_MortAdult,G411)*Arch_AdultMort/4*Q411</x:f>
        <x:v>0.11215811700901301</x:v>
      </x:c>
      <x:c r="U411" s="9" t="n">
        <x:f>H411*AA410*INDEX(v01_MortElder,G411)/4*Q411</x:f>
        <x:v>0.1935029386864363</x:v>
      </x:c>
      <x:c r="V411" s="9" t="n">
        <x:f>H411*MAX(0,AB410-O411)*v01_OvercapLoss</x:f>
        <x:v>0</x:v>
      </x:c>
      <x:c r="W411" s="9" t="n">
        <x:f>H411*Y410/(v01_ChildYears*4)</x:f>
        <x:v>0.36405671465445416</x:v>
      </x:c>
      <x:c r="X411" s="9" t="n">
        <x:f>H411*Z410/(v01_AdultYears*4)</x:f>
        <x:v>0.1739424891578986</x:v>
      </x:c>
      <x:c r="Y411" s="32" t="n">
        <x:f>Y410+R411-S411-W411-Y410*V411/AB410</x:f>
        <x:v>20.33442098079686</x:v>
      </x:c>
      <x:c r="Z411" s="32" t="n">
        <x:f>Z410+W411-X411-T411-Z410*V411/AB410</x:f>
        <x:v>21.646824764066967</x:v>
      </x:c>
      <x:c r="AA411" s="32" t="n">
        <x:f>AA410+X411-U411-AA410*V411/AB410</x:f>
        <x:v>6.027406384422596</x:v>
      </x:c>
      <x:c r="AB411" s="10" t="n">
        <x:f>Y411+Z411+AA411</x:f>
        <x:v>48.008652129286425</x:v>
      </x:c>
      <x:c r="AC411" s="8" t="n">
        <x:f>IF(AND(v01_WinterTrigger=1,D411=1,AB410/AE410&gt;=K411),1,0)</x:f>
        <x:v>0</x:v>
      </x:c>
      <x:c r="AD411" s="8" t="n">
        <x:f>H411*IF(AND(OR(AB410/AE410&gt;=v01_FissionTrigger*N411,AC411=1),AB410/AE410*v01_DaughterShare&gt;=v01_MinDaughter),MAX(1,ROUND(AE410*v01_FissionRate,0)),0)</x:f>
        <x:v>0</x:v>
      </x:c>
      <x:c r="AE411" s="8" t="n">
        <x:f>IF(H411=1,MAX(1,MIN(INDEX(v01_Smax,G411),AE410+AD411)),AE410)</x:f>
        <x:v>2</x:v>
      </x:c>
      <x:c r="AF411" s="8" t="n">
        <x:f>MAX(0,AE411-AE410)</x:f>
        <x:v>0</x:v>
      </x:c>
      <x:c r="AG411" s="9" t="str">
        <x:f>IF(AF411&gt;0,B411,"")</x:f>
      </x:c>
      <x:c r="AH411" s="9" t="n">
        <x:f>IF(F411&gt;=1,1,(1+v01_LowTiesShare*(AE411-1))/AE411)</x:f>
        <x:v>1</x:v>
      </x:c>
      <x:c r="AI411" s="32" t="n">
        <x:f>(Z411+v01_ElderCommons*INDEX(LM_Elder,G411)*AA411)*AH411</x:f>
        <x:v>36.410894878295956</x:v>
      </x:c>
      <x:c r="AJ411" s="32" t="n">
        <x:f>H411*v01_CommonsCoef*AI411^v01_CommonsExp*INDEX(LM_Commons,G411)</x:f>
        <x:v>14.014918785665639</x:v>
      </x:c>
      <x:c r="AK411" s="32" t="n">
        <x:f>H411*v01_RoleScale*Arch_Roles*(AE411*(INDEX(v01_ElderRolePerSett,G411)*v01_OutElder*INDEX(LM_Elder,G411)+INDEX(v01_ShamanPerSett,G411)*v01_OutShaman)+Z411*(INDEX(v01_PriestShare,G411)*v01_OutPriest+INDEX(v01_ScribeShare,G411)*v01_OutScribe*INDEX(LM_Scribe,G411)+INDEX(v01_ScholarShare,G411)*v01_OutScholar*INDEX(LM_Scholar,G411)+INDEX(v01_ResearcherShare,G411)*v01_OutResearcher*INDEX(LM_Researcher,G411)))</x:f>
        <x:v>2.724744871391589</x:v>
      </x:c>
      <x:c r="AL411" s="32" t="n">
        <x:f>H411*v01_RoleScale*Arch_Roles*AE411*INDEX(v01_MonasteryPerSett,G411)*v01_OutMonastery*INDEX(LM_Monastery,G411)</x:f>
        <x:v>0</x:v>
      </x:c>
      <x:c r="AM411" s="32" t="n">
        <x:f>(AJ411+AK411+AL411)/4*INDEX(LM_All,G411)*INDEX(v01_Boon,G411)*Arch_Insight</x:f>
        <x:v>4.289538812120915</x:v>
      </x:c>
      <x:c r="AN411" s="32" t="n">
        <x:f>H411*(v01_KHPerAdult*Z411+v01_KHOfCommons*AJ411/4*INDEX(LM_All,G411))*v01_KHUsable*Arch_KH</x:f>
        <x:v>0.7576388667423438</x:v>
      </x:c>
      <x:c r="AO411" s="32" t="n">
        <x:f>MIN(AP410+AN411,AM411*v01_KHMaxRatio)</x:f>
        <x:v>0.7576388667423438</x:v>
      </x:c>
      <x:c r="AP411" s="32" t="n">
        <x:f>AP410+AN411-AO411</x:f>
        <x:v>0</x:v>
      </x:c>
      <x:c r="AQ411" s="32" t="n">
        <x:f>AM411+AO411</x:f>
        <x:v>5.0471776788632585</x:v>
      </x:c>
      <x:c r="AR411" s="10" t="n">
        <x:f>IF(H411=1,INDEX(v01_Req,G411),0)</x:f>
        <x:v>1067.32</x:v>
      </x:c>
      <x:c r="AS411" s="32" t="n">
        <x:f>IF(H411=1,IF(E411=1,AS410-AR410,AS410)+AQ411,0)</x:f>
        <x:v>606.322792773395</x:v>
      </x:c>
      <x:c r="AT411" s="11" t="n">
        <x:f>IF(AR411&gt;0,MIN(1,AS411/AR411),1)</x:f>
        <x:v>0.5680796694275335</x:v>
      </x:c>
      <x:c r="AU411" s="10" t="n">
        <x:f>AB411/INDEX(v01_RepScale,G411)</x:f>
        <x:v>48.008652129286425</x:v>
      </x:c>
      <x:c r="AV411" s="32" t="n">
        <x:f>AM411*60/v01_SeasonSeconds</x:f>
        <x:v>17.15815524848366</x:v>
      </x:c>
    </x:row>
    <x:row r="412">
      <x:c r="A412" s="8" t="n">
        <x:f>A411+1</x:f>
        <x:v>409</x:v>
      </x:c>
      <x:c r="B412" s="9" t="n">
        <x:f>A412*v01_SeasonSeconds/60</x:f>
        <x:v>102.25</x:v>
      </x:c>
      <x:c r="C412" s="9" t="n">
        <x:f>A412/4</x:f>
        <x:v>102.25</x:v>
      </x:c>
      <x:c r="D412" s="8" t="n">
        <x:f>IF(MOD(A412,4)=0,1,0)</x:f>
        <x:v>0</x:v>
      </x:c>
      <x:c r="E412" s="8" t="n">
        <x:f>IF(AND(F411&lt;=9,AS411&gt;=AR411),1,0)</x:f>
        <x:v>0</x:v>
      </x:c>
      <x:c r="F412" s="8" t="n">
        <x:f>MIN(10,F411+E412)</x:f>
        <x:v>1</x:v>
      </x:c>
      <x:c r="G412" s="8" t="n">
        <x:f>MIN(F412,9)+1</x:f>
        <x:v>2</x:v>
      </x:c>
      <x:c r="H412" s="8" t="n">
        <x:f>IF(F412&lt;=9,1,0)</x:f>
        <x:v>1</x:v>
      </x:c>
      <x:c r="I412" s="9" t="n">
        <x:f>MIN(10,F411+IF(AR411&gt;0,MIN(1,AS411/AR411),1))</x:f>
        <x:v>1.5680796694275334</x:v>
      </x:c>
      <x:c r="J412" s="32" t="n">
        <x:f>INDEX(v01_FoodCap,G412)*Arch_FoodCap*EXP(v01_CapsByProject*SUMPRODUCT((Cap_Point&lt;=I412)*(Cap_Kind="Food")*Cap_Ln))</x:f>
        <x:v>30</x:v>
      </x:c>
      <x:c r="K412" s="32" t="n">
        <x:f>J412*MIN(1,v01_LeanBase*EXP(v01_CapsByProject*SUMPRODUCT((Cap_Point&lt;=I412)*(Cap_Kind="Lean")*Cap_Ln)))</x:f>
        <x:v>30</x:v>
      </x:c>
      <x:c r="L412" s="10" t="n">
        <x:f>INDEX(v01_HousingCap,G412)*EXP(v01_CapsByProject*SUMPRODUCT((Cap_Point&lt;=I412)*(Cap_Kind="Housing")*Cap_Ln))</x:f>
        <x:v>60</x:v>
      </x:c>
      <x:c r="M412" s="10" t="n">
        <x:f>INDEX(v01_GroupCap,G412)*v01_CohesionFactor*EXP(v01_CapsByProject*SUMPRODUCT((Cap_Point&lt;=I412)*(Cap_Kind="Group")*Cap_Ln))</x:f>
        <x:v>100</x:v>
      </x:c>
      <x:c r="N412" s="32" t="n">
        <x:f>MIN(J412,L412,M412)</x:f>
        <x:v>30</x:v>
      </x:c>
      <x:c r="O412" s="10" t="n">
        <x:f>AE411*N412</x:f>
        <x:v>60</x:v>
      </x:c>
      <x:c r="P412" s="9" t="n">
        <x:f>MIN(1,(AB411/(AE411*IF(v01_GroupInCrowding=1,N412,MIN(J412,L412))))^v01_CrowdingExp)</x:f>
        <x:v>0.2624276407631095</x:v>
      </x:c>
      <x:c r="Q412" s="9" t="n">
        <x:f>IF(D412=1,INDEX(v01_WinterMult,G412),1)</x:f>
        <x:v>1</x:v>
      </x:c>
      <x:c r="R412" s="9" t="n">
        <x:f>H412*Z411*v01_WomenShare*v01_BaseFertility*INDEX(v01_FertMult,G412)*Arch_Fertility*(1-P412)</x:f>
        <x:v>0.5987287354207658</x:v>
      </x:c>
      <x:c r="S412" s="9" t="n">
        <x:f>H412*Y411*INDEX(v01_MortChild,G412)/4*Q412</x:f>
        <x:v>0.17792618358197254</x:v>
      </x:c>
      <x:c r="T412" s="9" t="n">
        <x:f>H412*Z411*INDEX(v01_MortAdult,G412)*Arch_AdultMort/4*Q412</x:f>
        <x:v>0.07035218048321763</x:v>
      </x:c>
      <x:c r="U412" s="9" t="n">
        <x:f>H412*AA411*INDEX(v01_MortElder,G412)/4*Q412</x:f>
        <x:v>0.12054812768845193</x:v>
      </x:c>
      <x:c r="V412" s="9" t="n">
        <x:f>H412*MAX(0,AB411-O412)*v01_OvercapLoss</x:f>
        <x:v>0</x:v>
      </x:c>
      <x:c r="W412" s="9" t="n">
        <x:f>H412*Y411/(v01_ChildYears*4)</x:f>
        <x:v>0.3631146603713725</x:v>
      </x:c>
      <x:c r="X412" s="9" t="n">
        <x:f>H412*Z411/(v01_AdultYears*4)</x:f>
        <x:v>0.17457116745215295</x:v>
      </x:c>
      <x:c r="Y412" s="32" t="n">
        <x:f>Y411+R412-S412-W412-Y411*V412/AB411</x:f>
        <x:v>20.39210887226428</x:v>
      </x:c>
      <x:c r="Z412" s="32" t="n">
        <x:f>Z411+W412-X412-T412-Z411*V412/AB411</x:f>
        <x:v>21.765016076502967</x:v>
      </x:c>
      <x:c r="AA412" s="32" t="n">
        <x:f>AA411+X412-U412-AA411*V412/AB411</x:f>
        <x:v>6.081429424186297</x:v>
      </x:c>
      <x:c r="AB412" s="10" t="n">
        <x:f>Y412+Z412+AA412</x:f>
        <x:v>48.238554372953544</x:v>
      </x:c>
      <x:c r="AC412" s="8" t="n">
        <x:f>IF(AND(v01_WinterTrigger=1,D412=1,AB411/AE411&gt;=K412),1,0)</x:f>
        <x:v>0</x:v>
      </x:c>
      <x:c r="AD412" s="8" t="n">
        <x:f>H412*IF(AND(OR(AB411/AE411&gt;=v01_FissionTrigger*N412,AC412=1),AB411/AE411*v01_DaughterShare&gt;=v01_MinDaughter),MAX(1,ROUND(AE411*v01_FissionRate,0)),0)</x:f>
        <x:v>0</x:v>
      </x:c>
      <x:c r="AE412" s="8" t="n">
        <x:f>IF(H412=1,MAX(1,MIN(INDEX(v01_Smax,G412),AE411+AD412)),AE411)</x:f>
        <x:v>2</x:v>
      </x:c>
      <x:c r="AF412" s="8" t="n">
        <x:f>MAX(0,AE412-AE411)</x:f>
        <x:v>0</x:v>
      </x:c>
      <x:c r="AG412" s="9" t="str">
        <x:f>IF(AF412&gt;0,B412,"")</x:f>
      </x:c>
      <x:c r="AH412" s="9" t="n">
        <x:f>IF(F412&gt;=1,1,(1+v01_LowTiesShare*(AE412-1))/AE412)</x:f>
        <x:v>1</x:v>
      </x:c>
      <x:c r="AI412" s="32" t="n">
        <x:f>(Z412+v01_ElderCommons*INDEX(LM_Elder,G412)*AA412)*AH412</x:f>
        <x:v>36.66141507250711</x:v>
      </x:c>
      <x:c r="AJ412" s="32" t="n">
        <x:f>H412*v01_CommonsCoef*AI412^v01_CommonsExp*INDEX(LM_Commons,G412)</x:f>
        <x:v>14.096840177369147</x:v>
      </x:c>
      <x:c r="AK412" s="32" t="n">
        <x:f>H412*v01_RoleScale*Arch_Roles*(AE412*(INDEX(v01_ElderRolePerSett,G412)*v01_OutElder*INDEX(LM_Elder,G412)+INDEX(v01_ShamanPerSett,G412)*v01_OutShaman)+Z412*(INDEX(v01_PriestShare,G412)*v01_OutPriest+INDEX(v01_ScribeShare,G412)*v01_OutScribe*INDEX(LM_Scribe,G412)+INDEX(v01_ScholarShare,G412)*v01_OutScholar*INDEX(LM_Scholar,G412)+INDEX(v01_ResearcherShare,G412)*v01_OutResearcher*INDEX(LM_Researcher,G412)))</x:f>
        <x:v>2.724744871391589</x:v>
      </x:c>
      <x:c r="AL412" s="32" t="n">
        <x:f>H412*v01_RoleScale*Arch_Roles*AE412*INDEX(v01_MonasteryPerSett,G412)*v01_OutMonastery*INDEX(LM_Monastery,G412)</x:f>
        <x:v>0</x:v>
      </x:c>
      <x:c r="AM412" s="32" t="n">
        <x:f>(AJ412+AK412+AL412)/4*INDEX(LM_All,G412)*INDEX(v01_Boon,G412)*Arch_Insight</x:f>
        <x:v>4.310531168744938</x:v>
      </x:c>
      <x:c r="AN412" s="32" t="n">
        <x:f>H412*(v01_KHPerAdult*Z412+v01_KHOfCommons*AJ412/4*INDEX(LM_All,G412))*v01_KHUsable*Arch_KH</x:f>
        <x:v>0.7617755626776038</x:v>
      </x:c>
      <x:c r="AO412" s="32" t="n">
        <x:f>MIN(AP411+AN412,AM412*v01_KHMaxRatio)</x:f>
        <x:v>0.7617755626776038</x:v>
      </x:c>
      <x:c r="AP412" s="32" t="n">
        <x:f>AP411+AN412-AO412</x:f>
        <x:v>0</x:v>
      </x:c>
      <x:c r="AQ412" s="32" t="n">
        <x:f>AM412+AO412</x:f>
        <x:v>5.072306731422542</x:v>
      </x:c>
      <x:c r="AR412" s="10" t="n">
        <x:f>IF(H412=1,INDEX(v01_Req,G412),0)</x:f>
        <x:v>1067.32</x:v>
      </x:c>
      <x:c r="AS412" s="32" t="n">
        <x:f>IF(H412=1,IF(E412=1,AS411-AR411,AS411)+AQ412,0)</x:f>
        <x:v>611.3950995048175</x:v>
      </x:c>
      <x:c r="AT412" s="11" t="n">
        <x:f>IF(AR412&gt;0,MIN(1,AS412/AR412),1)</x:f>
        <x:v>0.572832046157495</x:v>
      </x:c>
      <x:c r="AU412" s="10" t="n">
        <x:f>AB412/INDEX(v01_RepScale,G412)</x:f>
        <x:v>48.238554372953544</x:v>
      </x:c>
      <x:c r="AV412" s="32" t="n">
        <x:f>AM412*60/v01_SeasonSeconds</x:f>
        <x:v>17.242124674979753</x:v>
      </x:c>
    </x:row>
    <x:row r="413">
      <x:c r="A413" s="8" t="n">
        <x:f>A412+1</x:f>
        <x:v>410</x:v>
      </x:c>
      <x:c r="B413" s="9" t="n">
        <x:f>A413*v01_SeasonSeconds/60</x:f>
        <x:v>102.5</x:v>
      </x:c>
      <x:c r="C413" s="9" t="n">
        <x:f>A413/4</x:f>
        <x:v>102.5</x:v>
      </x:c>
      <x:c r="D413" s="8" t="n">
        <x:f>IF(MOD(A413,4)=0,1,0)</x:f>
        <x:v>0</x:v>
      </x:c>
      <x:c r="E413" s="8" t="n">
        <x:f>IF(AND(F412&lt;=9,AS412&gt;=AR412),1,0)</x:f>
        <x:v>0</x:v>
      </x:c>
      <x:c r="F413" s="8" t="n">
        <x:f>MIN(10,F412+E413)</x:f>
        <x:v>1</x:v>
      </x:c>
      <x:c r="G413" s="8" t="n">
        <x:f>MIN(F413,9)+1</x:f>
        <x:v>2</x:v>
      </x:c>
      <x:c r="H413" s="8" t="n">
        <x:f>IF(F413&lt;=9,1,0)</x:f>
        <x:v>1</x:v>
      </x:c>
      <x:c r="I413" s="9" t="n">
        <x:f>MIN(10,F412+IF(AR412&gt;0,MIN(1,AS412/AR412),1))</x:f>
        <x:v>1.572832046157495</x:v>
      </x:c>
      <x:c r="J413" s="32" t="n">
        <x:f>INDEX(v01_FoodCap,G413)*Arch_FoodCap*EXP(v01_CapsByProject*SUMPRODUCT((Cap_Point&lt;=I413)*(Cap_Kind="Food")*Cap_Ln))</x:f>
        <x:v>30</x:v>
      </x:c>
      <x:c r="K413" s="32" t="n">
        <x:f>J413*MIN(1,v01_LeanBase*EXP(v01_CapsByProject*SUMPRODUCT((Cap_Point&lt;=I413)*(Cap_Kind="Lean")*Cap_Ln)))</x:f>
        <x:v>30</x:v>
      </x:c>
      <x:c r="L413" s="10" t="n">
        <x:f>INDEX(v01_HousingCap,G413)*EXP(v01_CapsByProject*SUMPRODUCT((Cap_Point&lt;=I413)*(Cap_Kind="Housing")*Cap_Ln))</x:f>
        <x:v>60</x:v>
      </x:c>
      <x:c r="M413" s="10" t="n">
        <x:f>INDEX(v01_GroupCap,G413)*v01_CohesionFactor*EXP(v01_CapsByProject*SUMPRODUCT((Cap_Point&lt;=I413)*(Cap_Kind="Group")*Cap_Ln))</x:f>
        <x:v>100</x:v>
      </x:c>
      <x:c r="N413" s="32" t="n">
        <x:f>MIN(J413,L413,M413)</x:f>
        <x:v>30</x:v>
      </x:c>
      <x:c r="O413" s="10" t="n">
        <x:f>AE412*N413</x:f>
        <x:v>60</x:v>
      </x:c>
      <x:c r="P413" s="9" t="n">
        <x:f>MIN(1,(AB412/(AE412*IF(v01_GroupInCrowding=1,N413,MIN(J413,L413))))^v01_CrowdingExp)</x:f>
        <x:v>0.27005871899422745</x:v>
      </x:c>
      <x:c r="Q413" s="9" t="n">
        <x:f>IF(D413=1,INDEX(v01_WinterMult,G413),1)</x:f>
        <x:v>1</x:v>
      </x:c>
      <x:c r="R413" s="9" t="n">
        <x:f>H413*Z412*v01_WomenShare*v01_BaseFertility*INDEX(v01_FertMult,G413)*Arch_Fertility*(1-P413)</x:f>
        <x:v>0.5957693893497679</x:v>
      </x:c>
      <x:c r="S413" s="9" t="n">
        <x:f>H413*Y412*INDEX(v01_MortChild,G413)/4*Q413</x:f>
        <x:v>0.17843095263231248</x:v>
      </x:c>
      <x:c r="T413" s="9" t="n">
        <x:f>H413*Z412*INDEX(v01_MortAdult,G413)*Arch_AdultMort/4*Q413</x:f>
        <x:v>0.07073630224863464</x:v>
      </x:c>
      <x:c r="U413" s="9" t="n">
        <x:f>H413*AA412*INDEX(v01_MortElder,G413)/4*Q413</x:f>
        <x:v>0.12162858848372594</x:v>
      </x:c>
      <x:c r="V413" s="9" t="n">
        <x:f>H413*MAX(0,AB412-O413)*v01_OvercapLoss</x:f>
        <x:v>0</x:v>
      </x:c>
      <x:c r="W413" s="9" t="n">
        <x:f>H413*Y412/(v01_ChildYears*4)</x:f>
        <x:v>0.3641448012904336</x:v>
      </x:c>
      <x:c r="X413" s="9" t="n">
        <x:f>H413*Z412/(v01_AdultYears*4)</x:f>
        <x:v>0.17552432319760458</x:v>
      </x:c>
      <x:c r="Y413" s="32" t="n">
        <x:f>Y412+R413-S413-W413-Y412*V413/AB412</x:f>
        <x:v>20.445302507691306</x:v>
      </x:c>
      <x:c r="Z413" s="32" t="n">
        <x:f>Z412+W413-X413-T413-Z412*V413/AB412</x:f>
        <x:v>21.882900252347163</x:v>
      </x:c>
      <x:c r="AA413" s="32" t="n">
        <x:f>AA412+X413-U413-AA412*V413/AB412</x:f>
        <x:v>6.135325158900176</x:v>
      </x:c>
      <x:c r="AB413" s="10" t="n">
        <x:f>Y413+Z413+AA413</x:f>
        <x:v>48.46352791893864</x:v>
      </x:c>
      <x:c r="AC413" s="8" t="n">
        <x:f>IF(AND(v01_WinterTrigger=1,D413=1,AB412/AE412&gt;=K413),1,0)</x:f>
        <x:v>0</x:v>
      </x:c>
      <x:c r="AD413" s="8" t="n">
        <x:f>H413*IF(AND(OR(AB412/AE412&gt;=v01_FissionTrigger*N413,AC413=1),AB412/AE412*v01_DaughterShare&gt;=v01_MinDaughter),MAX(1,ROUND(AE412*v01_FissionRate,0)),0)</x:f>
        <x:v>0</x:v>
      </x:c>
      <x:c r="AE413" s="8" t="n">
        <x:f>IF(H413=1,MAX(1,MIN(INDEX(v01_Smax,G413),AE412+AD413)),AE412)</x:f>
        <x:v>2</x:v>
      </x:c>
      <x:c r="AF413" s="8" t="n">
        <x:f>MAX(0,AE413-AE412)</x:f>
        <x:v>0</x:v>
      </x:c>
      <x:c r="AG413" s="9" t="str">
        <x:f>IF(AF413&gt;0,B413,"")</x:f>
      </x:c>
      <x:c r="AH413" s="9" t="n">
        <x:f>IF(F413&gt;=1,1,(1+v01_LowTiesShare*(AE413-1))/AE413)</x:f>
        <x:v>1</x:v>
      </x:c>
      <x:c r="AI413" s="32" t="n">
        <x:f>(Z413+v01_ElderCommons*INDEX(LM_Elder,G413)*AA413)*AH413</x:f>
        <x:v>36.911316297712716</x:v>
      </x:c>
      <x:c r="AJ413" s="32" t="n">
        <x:f>H413*v01_CommonsCoef*AI413^v01_CommonsExp*INDEX(LM_Commons,G413)</x:f>
        <x:v>14.178475545988503</x:v>
      </x:c>
      <x:c r="AK413" s="32" t="n">
        <x:f>H413*v01_RoleScale*Arch_Roles*(AE413*(INDEX(v01_ElderRolePerSett,G413)*v01_OutElder*INDEX(LM_Elder,G413)+INDEX(v01_ShamanPerSett,G413)*v01_OutShaman)+Z413*(INDEX(v01_PriestShare,G413)*v01_OutPriest+INDEX(v01_ScribeShare,G413)*v01_OutScribe*INDEX(LM_Scribe,G413)+INDEX(v01_ScholarShare,G413)*v01_OutScholar*INDEX(LM_Scholar,G413)+INDEX(v01_ResearcherShare,G413)*v01_OutResearcher*INDEX(LM_Researcher,G413)))</x:f>
        <x:v>2.724744871391589</x:v>
      </x:c>
      <x:c r="AL413" s="32" t="n">
        <x:f>H413*v01_RoleScale*Arch_Roles*AE413*INDEX(v01_MonasteryPerSett,G413)*v01_OutMonastery*INDEX(LM_Monastery,G413)</x:f>
        <x:v>0</x:v>
      </x:c>
      <x:c r="AM413" s="32" t="n">
        <x:f>(AJ413+AK413+AL413)/4*INDEX(LM_All,G413)*INDEX(v01_Boon,G413)*Arch_Insight</x:f>
        <x:v>4.331450231953648</x:v>
      </x:c>
      <x:c r="AN413" s="32" t="n">
        <x:f>H413*(v01_KHPerAdult*Z413+v01_KHOfCommons*AJ413/4*INDEX(LM_All,G413))*v01_KHUsable*Arch_KH</x:f>
        <x:v>0.7659015088321507</x:v>
      </x:c>
      <x:c r="AO413" s="32" t="n">
        <x:f>MIN(AP412+AN413,AM413*v01_KHMaxRatio)</x:f>
        <x:v>0.7659015088321507</x:v>
      </x:c>
      <x:c r="AP413" s="32" t="n">
        <x:f>AP412+AN413-AO413</x:f>
        <x:v>0</x:v>
      </x:c>
      <x:c r="AQ413" s="32" t="n">
        <x:f>AM413+AO413</x:f>
        <x:v>5.097351740785799</x:v>
      </x:c>
      <x:c r="AR413" s="10" t="n">
        <x:f>IF(H413=1,INDEX(v01_Req,G413),0)</x:f>
        <x:v>1067.32</x:v>
      </x:c>
      <x:c r="AS413" s="32" t="n">
        <x:f>IF(H413=1,IF(E413=1,AS412-AR412,AS412)+AQ413,0)</x:f>
        <x:v>616.4924512456033</x:v>
      </x:c>
      <x:c r="AT413" s="11" t="n">
        <x:f>IF(AR413&gt;0,MIN(1,AS413/AR413),1)</x:f>
        <x:v>0.5776078882112238</x:v>
      </x:c>
      <x:c r="AU413" s="10" t="n">
        <x:f>AB413/INDEX(v01_RepScale,G413)</x:f>
        <x:v>48.46352791893864</x:v>
      </x:c>
      <x:c r="AV413" s="32" t="n">
        <x:f>AM413*60/v01_SeasonSeconds</x:f>
        <x:v>17.32580092781459</x:v>
      </x:c>
    </x:row>
    <x:row r="414">
      <x:c r="A414" s="8" t="n">
        <x:f>A413+1</x:f>
        <x:v>411</x:v>
      </x:c>
      <x:c r="B414" s="9" t="n">
        <x:f>A414*v01_SeasonSeconds/60</x:f>
        <x:v>102.75</x:v>
      </x:c>
      <x:c r="C414" s="9" t="n">
        <x:f>A414/4</x:f>
        <x:v>102.75</x:v>
      </x:c>
      <x:c r="D414" s="8" t="n">
        <x:f>IF(MOD(A414,4)=0,1,0)</x:f>
        <x:v>0</x:v>
      </x:c>
      <x:c r="E414" s="8" t="n">
        <x:f>IF(AND(F413&lt;=9,AS413&gt;=AR413),1,0)</x:f>
        <x:v>0</x:v>
      </x:c>
      <x:c r="F414" s="8" t="n">
        <x:f>MIN(10,F413+E414)</x:f>
        <x:v>1</x:v>
      </x:c>
      <x:c r="G414" s="8" t="n">
        <x:f>MIN(F414,9)+1</x:f>
        <x:v>2</x:v>
      </x:c>
      <x:c r="H414" s="8" t="n">
        <x:f>IF(F414&lt;=9,1,0)</x:f>
        <x:v>1</x:v>
      </x:c>
      <x:c r="I414" s="9" t="n">
        <x:f>MIN(10,F413+IF(AR413&gt;0,MIN(1,AS413/AR413),1))</x:f>
        <x:v>1.5776078882112237</x:v>
      </x:c>
      <x:c r="J414" s="32" t="n">
        <x:f>INDEX(v01_FoodCap,G414)*Arch_FoodCap*EXP(v01_CapsByProject*SUMPRODUCT((Cap_Point&lt;=I414)*(Cap_Kind="Food")*Cap_Ln))</x:f>
        <x:v>30</x:v>
      </x:c>
      <x:c r="K414" s="32" t="n">
        <x:f>J414*MIN(1,v01_LeanBase*EXP(v01_CapsByProject*SUMPRODUCT((Cap_Point&lt;=I414)*(Cap_Kind="Lean")*Cap_Ln)))</x:f>
        <x:v>30</x:v>
      </x:c>
      <x:c r="L414" s="10" t="n">
        <x:f>INDEX(v01_HousingCap,G414)*EXP(v01_CapsByProject*SUMPRODUCT((Cap_Point&lt;=I414)*(Cap_Kind="Housing")*Cap_Ln))</x:f>
        <x:v>60</x:v>
      </x:c>
      <x:c r="M414" s="10" t="n">
        <x:f>INDEX(v01_GroupCap,G414)*v01_CohesionFactor*EXP(v01_CapsByProject*SUMPRODUCT((Cap_Point&lt;=I414)*(Cap_Kind="Group")*Cap_Ln))</x:f>
        <x:v>100</x:v>
      </x:c>
      <x:c r="N414" s="32" t="n">
        <x:f>MIN(J414,L414,M414)</x:f>
        <x:v>30</x:v>
      </x:c>
      <x:c r="O414" s="10" t="n">
        <x:f>AE413*N414</x:f>
        <x:v>60</x:v>
      </x:c>
      <x:c r="P414" s="9" t="n">
        <x:f>MIN(1,(AB413/(AE413*IF(v01_GroupInCrowding=1,N414,MIN(J414,L414))))^v01_CrowdingExp)</x:f>
        <x:v>0.2777043298206992</x:v>
      </x:c>
      <x:c r="Q414" s="9" t="n">
        <x:f>IF(D414=1,INDEX(v01_WinterMult,G414),1)</x:f>
        <x:v>1</x:v>
      </x:c>
      <x:c r="R414" s="9" t="n">
        <x:f>H414*Z413*v01_WomenShare*v01_BaseFertility*INDEX(v01_FertMult,G414)*Arch_Fertility*(1-P414)</x:f>
        <x:v>0.5927221538713457</x:v>
      </x:c>
      <x:c r="S414" s="9" t="n">
        <x:f>H414*Y413*INDEX(v01_MortChild,G414)/4*Q414</x:f>
        <x:v>0.17889639694229895</x:v>
      </x:c>
      <x:c r="T414" s="9" t="n">
        <x:f>H414*Z413*INDEX(v01_MortAdult,G414)*Arch_AdultMort/4*Q414</x:f>
        <x:v>0.07111942582012827</x:v>
      </x:c>
      <x:c r="U414" s="9" t="n">
        <x:f>H414*AA413*INDEX(v01_MortElder,G414)/4*Q414</x:f>
        <x:v>0.12270650317800351</x:v>
      </x:c>
      <x:c r="V414" s="9" t="n">
        <x:f>H414*MAX(0,AB413-O414)*v01_OvercapLoss</x:f>
        <x:v>0</x:v>
      </x:c>
      <x:c r="W414" s="9" t="n">
        <x:f>H414*Y413/(v01_ChildYears*4)</x:f>
        <x:v>0.36509468763734476</x:v>
      </x:c>
      <x:c r="X414" s="9" t="n">
        <x:f>H414*Z413/(v01_AdultYears*4)</x:f>
        <x:v>0.17647500203505775</x:v>
      </x:c>
      <x:c r="Y414" s="32" t="n">
        <x:f>Y413+R414-S414-W414-Y413*V414/AB413</x:f>
        <x:v>20.494033576983007</x:v>
      </x:c>
      <x:c r="Z414" s="32" t="n">
        <x:f>Z413+W414-X414-T414-Z413*V414/AB413</x:f>
        <x:v>22.00040051212932</x:v>
      </x:c>
      <x:c r="AA414" s="32" t="n">
        <x:f>AA413+X414-U414-AA413*V414/AB413</x:f>
        <x:v>6.18909365775723</x:v>
      </x:c>
      <x:c r="AB414" s="10" t="n">
        <x:f>Y414+Z414+AA414</x:f>
        <x:v>48.68352774686956</x:v>
      </x:c>
      <x:c r="AC414" s="8" t="n">
        <x:f>IF(AND(v01_WinterTrigger=1,D414=1,AB413/AE413&gt;=K414),1,0)</x:f>
        <x:v>0</x:v>
      </x:c>
      <x:c r="AD414" s="8" t="n">
        <x:f>H414*IF(AND(OR(AB413/AE413&gt;=v01_FissionTrigger*N414,AC414=1),AB413/AE413*v01_DaughterShare&gt;=v01_MinDaughter),MAX(1,ROUND(AE413*v01_FissionRate,0)),0)</x:f>
        <x:v>0</x:v>
      </x:c>
      <x:c r="AE414" s="8" t="n">
        <x:f>IF(H414=1,MAX(1,MIN(INDEX(v01_Smax,G414),AE413+AD414)),AE413)</x:f>
        <x:v>2</x:v>
      </x:c>
      <x:c r="AF414" s="8" t="n">
        <x:f>MAX(0,AE414-AE413)</x:f>
        <x:v>0</x:v>
      </x:c>
      <x:c r="AG414" s="9" t="str">
        <x:f>IF(AF414&gt;0,B414,"")</x:f>
      </x:c>
      <x:c r="AH414" s="9" t="n">
        <x:f>IF(F414&gt;=1,1,(1+v01_LowTiesShare*(AE414-1))/AE414)</x:f>
        <x:v>1</x:v>
      </x:c>
      <x:c r="AI414" s="32" t="n">
        <x:f>(Z414+v01_ElderCommons*INDEX(LM_Elder,G414)*AA414)*AH414</x:f>
        <x:v>37.16052194393008</x:v>
      </x:c>
      <x:c r="AJ414" s="32" t="n">
        <x:f>H414*v01_CommonsCoef*AI414^v01_CommonsExp*INDEX(LM_Commons,G414)</x:f>
        <x:v>14.259801171324586</x:v>
      </x:c>
      <x:c r="AK414" s="32" t="n">
        <x:f>H414*v01_RoleScale*Arch_Roles*(AE414*(INDEX(v01_ElderRolePerSett,G414)*v01_OutElder*INDEX(LM_Elder,G414)+INDEX(v01_ShamanPerSett,G414)*v01_OutShaman)+Z414*(INDEX(v01_PriestShare,G414)*v01_OutPriest+INDEX(v01_ScribeShare,G414)*v01_OutScribe*INDEX(LM_Scribe,G414)+INDEX(v01_ScholarShare,G414)*v01_OutScholar*INDEX(LM_Scholar,G414)+INDEX(v01_ResearcherShare,G414)*v01_OutResearcher*INDEX(LM_Researcher,G414)))</x:f>
        <x:v>2.724744871391589</x:v>
      </x:c>
      <x:c r="AL414" s="32" t="n">
        <x:f>H414*v01_RoleScale*Arch_Roles*AE414*INDEX(v01_MonasteryPerSett,G414)*v01_OutMonastery*INDEX(LM_Monastery,G414)</x:f>
        <x:v>0</x:v>
      </x:c>
      <x:c r="AM414" s="32" t="n">
        <x:f>(AJ414+AK414+AL414)/4*INDEX(LM_All,G414)*INDEX(v01_Boon,G414)*Arch_Insight</x:f>
        <x:v>4.35228992344602</x:v>
      </x:c>
      <x:c r="AN414" s="32" t="n">
        <x:f>H414*(v01_KHPerAdult*Z414+v01_KHOfCommons*AJ414/4*INDEX(LM_All,G414))*v01_KHUsable*Arch_KH</x:f>
        <x:v>0.7700140179245262</x:v>
      </x:c>
      <x:c r="AO414" s="32" t="n">
        <x:f>MIN(AP413+AN414,AM414*v01_KHMaxRatio)</x:f>
        <x:v>0.7700140179245262</x:v>
      </x:c>
      <x:c r="AP414" s="32" t="n">
        <x:f>AP413+AN414-AO414</x:f>
        <x:v>0</x:v>
      </x:c>
      <x:c r="AQ414" s="32" t="n">
        <x:f>AM414+AO414</x:f>
        <x:v>5.1223039413705465</x:v>
      </x:c>
      <x:c r="AR414" s="10" t="n">
        <x:f>IF(H414=1,INDEX(v01_Req,G414),0)</x:f>
        <x:v>1067.32</x:v>
      </x:c>
      <x:c r="AS414" s="32" t="n">
        <x:f>IF(H414=1,IF(E414=1,AS413-AR413,AS413)+AQ414,0)</x:f>
        <x:v>621.6147551869739</x:v>
      </x:c>
      <x:c r="AT414" s="11" t="n">
        <x:f>IF(AR414&gt;0,MIN(1,AS414/AR414),1)</x:f>
        <x:v>0.5824071086337499</x:v>
      </x:c>
      <x:c r="AU414" s="10" t="n">
        <x:f>AB414/INDEX(v01_RepScale,G414)</x:f>
        <x:v>48.68352774686956</x:v>
      </x:c>
      <x:c r="AV414" s="32" t="n">
        <x:f>AM414*60/v01_SeasonSeconds</x:f>
        <x:v>17.40915969378408</x:v>
      </x:c>
    </x:row>
    <x:row r="415">
      <x:c r="A415" s="8" t="n">
        <x:f>A414+1</x:f>
        <x:v>412</x:v>
      </x:c>
      <x:c r="B415" s="9" t="n">
        <x:f>A415*v01_SeasonSeconds/60</x:f>
        <x:v>103</x:v>
      </x:c>
      <x:c r="C415" s="9" t="n">
        <x:f>A415/4</x:f>
        <x:v>103</x:v>
      </x:c>
      <x:c r="D415" s="8" t="n">
        <x:f>IF(MOD(A415,4)=0,1,0)</x:f>
        <x:v>1</x:v>
      </x:c>
      <x:c r="E415" s="8" t="n">
        <x:f>IF(AND(F414&lt;=9,AS414&gt;=AR414),1,0)</x:f>
        <x:v>0</x:v>
      </x:c>
      <x:c r="F415" s="8" t="n">
        <x:f>MIN(10,F414+E415)</x:f>
        <x:v>1</x:v>
      </x:c>
      <x:c r="G415" s="8" t="n">
        <x:f>MIN(F415,9)+1</x:f>
        <x:v>2</x:v>
      </x:c>
      <x:c r="H415" s="8" t="n">
        <x:f>IF(F415&lt;=9,1,0)</x:f>
        <x:v>1</x:v>
      </x:c>
      <x:c r="I415" s="9" t="n">
        <x:f>MIN(10,F414+IF(AR414&gt;0,MIN(1,AS414/AR414),1))</x:f>
        <x:v>1.58240710863375</x:v>
      </x:c>
      <x:c r="J415" s="32" t="n">
        <x:f>INDEX(v01_FoodCap,G415)*Arch_FoodCap*EXP(v01_CapsByProject*SUMPRODUCT((Cap_Point&lt;=I415)*(Cap_Kind="Food")*Cap_Ln))</x:f>
        <x:v>30</x:v>
      </x:c>
      <x:c r="K415" s="32" t="n">
        <x:f>J415*MIN(1,v01_LeanBase*EXP(v01_CapsByProject*SUMPRODUCT((Cap_Point&lt;=I415)*(Cap_Kind="Lean")*Cap_Ln)))</x:f>
        <x:v>30</x:v>
      </x:c>
      <x:c r="L415" s="10" t="n">
        <x:f>INDEX(v01_HousingCap,G415)*EXP(v01_CapsByProject*SUMPRODUCT((Cap_Point&lt;=I415)*(Cap_Kind="Housing")*Cap_Ln))</x:f>
        <x:v>60</x:v>
      </x:c>
      <x:c r="M415" s="10" t="n">
        <x:f>INDEX(v01_GroupCap,G415)*v01_CohesionFactor*EXP(v01_CapsByProject*SUMPRODUCT((Cap_Point&lt;=I415)*(Cap_Kind="Group")*Cap_Ln))</x:f>
        <x:v>100</x:v>
      </x:c>
      <x:c r="N415" s="32" t="n">
        <x:f>MIN(J415,L415,M415)</x:f>
        <x:v>30</x:v>
      </x:c>
      <x:c r="O415" s="10" t="n">
        <x:f>AE414*N415</x:f>
        <x:v>60</x:v>
      </x:c>
      <x:c r="P415" s="9" t="n">
        <x:f>MIN(1,(AB414/(AE414*IF(v01_GroupInCrowding=1,N415,MIN(J415,L415))))^v01_CrowdingExp)</x:f>
        <x:v>0.2853545114760259</x:v>
      </x:c>
      <x:c r="Q415" s="9" t="n">
        <x:f>IF(D415=1,INDEX(v01_WinterMult,G415),1)</x:f>
        <x:v>1.6</x:v>
      </x:c>
      <x:c r="R415" s="9" t="n">
        <x:f>H415*Z414*v01_WomenShare*v01_BaseFertility*INDEX(v01_FertMult,G415)*Arch_Fertility*(1-P415)</x:f>
        <x:v>0.5895932614392656</x:v>
      </x:c>
      <x:c r="S415" s="9" t="n">
        <x:f>H415*Y414*INDEX(v01_MortChild,G415)/4*Q415</x:f>
        <x:v>0.28691647007776216</x:v>
      </x:c>
      <x:c r="T415" s="9" t="n">
        <x:f>H415*Z414*INDEX(v01_MortAdult,G415)*Arch_AdultMort/4*Q415</x:f>
        <x:v>0.11440208266307246</x:v>
      </x:c>
      <x:c r="U415" s="9" t="n">
        <x:f>H415*AA414*INDEX(v01_MortElder,G415)/4*Q415</x:f>
        <x:v>0.19805099704823137</x:v>
      </x:c>
      <x:c r="V415" s="9" t="n">
        <x:f>H415*MAX(0,AB414-O415)*v01_OvercapLoss</x:f>
        <x:v>0</x:v>
      </x:c>
      <x:c r="W415" s="9" t="n">
        <x:f>H415*Y414/(v01_ChildYears*4)</x:f>
        <x:v>0.365964885303268</x:v>
      </x:c>
      <x:c r="X415" s="9" t="n">
        <x:f>H415*Z414/(v01_AdultYears*4)</x:f>
        <x:v>0.17742258477523645</x:v>
      </x:c>
      <x:c r="Y415" s="32" t="n">
        <x:f>Y414+R415-S415-W415-Y414*V415/AB414</x:f>
        <x:v>20.430745483041242</x:v>
      </x:c>
      <x:c r="Z415" s="32" t="n">
        <x:f>Z414+W415-X415-T415-Z414*V415/AB414</x:f>
        <x:v>22.07454072999428</x:v>
      </x:c>
      <x:c r="AA415" s="32" t="n">
        <x:f>AA414+X415-U415-AA414*V415/AB414</x:f>
        <x:v>6.168465245484235</x:v>
      </x:c>
      <x:c r="AB415" s="10" t="n">
        <x:f>Y415+Z415+AA415</x:f>
        <x:v>48.67375145851975</x:v>
      </x:c>
      <x:c r="AC415" s="8" t="n">
        <x:f>IF(AND(v01_WinterTrigger=1,D415=1,AB414/AE414&gt;=K415),1,0)</x:f>
        <x:v>0</x:v>
      </x:c>
      <x:c r="AD415" s="8" t="n">
        <x:f>H415*IF(AND(OR(AB414/AE414&gt;=v01_FissionTrigger*N415,AC415=1),AB414/AE414*v01_DaughterShare&gt;=v01_MinDaughter),MAX(1,ROUND(AE414*v01_FissionRate,0)),0)</x:f>
        <x:v>0</x:v>
      </x:c>
      <x:c r="AE415" s="8" t="n">
        <x:f>IF(H415=1,MAX(1,MIN(INDEX(v01_Smax,G415),AE414+AD415)),AE414)</x:f>
        <x:v>2</x:v>
      </x:c>
      <x:c r="AF415" s="8" t="n">
        <x:f>MAX(0,AE415-AE414)</x:f>
        <x:v>0</x:v>
      </x:c>
      <x:c r="AG415" s="9" t="str">
        <x:f>IF(AF415&gt;0,B415,"")</x:f>
      </x:c>
      <x:c r="AH415" s="9" t="n">
        <x:f>IF(F415&gt;=1,1,(1+v01_LowTiesShare*(AE415-1))/AE415)</x:f>
        <x:v>1</x:v>
      </x:c>
      <x:c r="AI415" s="32" t="n">
        <x:f>(Z415+v01_ElderCommons*INDEX(LM_Elder,G415)*AA415)*AH415</x:f>
        <x:v>37.18413307752243</x:v>
      </x:c>
      <x:c r="AJ415" s="32" t="n">
        <x:f>H415*v01_CommonsCoef*AI415^v01_CommonsExp*INDEX(LM_Commons,G415)</x:f>
        <x:v>14.267502164486155</x:v>
      </x:c>
      <x:c r="AK415" s="32" t="n">
        <x:f>H415*v01_RoleScale*Arch_Roles*(AE415*(INDEX(v01_ElderRolePerSett,G415)*v01_OutElder*INDEX(LM_Elder,G415)+INDEX(v01_ShamanPerSett,G415)*v01_OutShaman)+Z415*(INDEX(v01_PriestShare,G415)*v01_OutPriest+INDEX(v01_ScribeShare,G415)*v01_OutScribe*INDEX(LM_Scribe,G415)+INDEX(v01_ScholarShare,G415)*v01_OutScholar*INDEX(LM_Scholar,G415)+INDEX(v01_ResearcherShare,G415)*v01_OutResearcher*INDEX(LM_Researcher,G415)))</x:f>
        <x:v>2.724744871391589</x:v>
      </x:c>
      <x:c r="AL415" s="32" t="n">
        <x:f>H415*v01_RoleScale*Arch_Roles*AE415*INDEX(v01_MonasteryPerSett,G415)*v01_OutMonastery*INDEX(LM_Monastery,G415)</x:f>
        <x:v>0</x:v>
      </x:c>
      <x:c r="AM415" s="32" t="n">
        <x:f>(AJ415+AK415+AL415)/4*INDEX(LM_All,G415)*INDEX(v01_Boon,G415)*Arch_Insight</x:f>
        <x:v>4.3542633029436715</x:v>
      </x:c>
      <x:c r="AN415" s="32" t="n">
        <x:f>H415*(v01_KHPerAdult*Z415+v01_KHOfCommons*AJ415/4*INDEX(LM_All,G415))*v01_KHUsable*Arch_KH</x:f>
        <x:v>0.7726089255497998</x:v>
      </x:c>
      <x:c r="AO415" s="32" t="n">
        <x:f>MIN(AP414+AN415,AM415*v01_KHMaxRatio)</x:f>
        <x:v>0.7726089255497998</x:v>
      </x:c>
      <x:c r="AP415" s="32" t="n">
        <x:f>AP414+AN415-AO415</x:f>
        <x:v>0</x:v>
      </x:c>
      <x:c r="AQ415" s="32" t="n">
        <x:f>AM415+AO415</x:f>
        <x:v>5.126872228493471</x:v>
      </x:c>
      <x:c r="AR415" s="10" t="n">
        <x:f>IF(H415=1,INDEX(v01_Req,G415),0)</x:f>
        <x:v>1067.32</x:v>
      </x:c>
      <x:c r="AS415" s="32" t="n">
        <x:f>IF(H415=1,IF(E415=1,AS414-AR414,AS414)+AQ415,0)</x:f>
        <x:v>626.7416274154673</x:v>
      </x:c>
      <x:c r="AT415" s="11" t="n">
        <x:f>IF(AR415&gt;0,MIN(1,AS415/AR415),1)</x:f>
        <x:v>0.5872106092038633</x:v>
      </x:c>
      <x:c r="AU415" s="10" t="n">
        <x:f>AB415/INDEX(v01_RepScale,G415)</x:f>
        <x:v>48.67375145851975</x:v>
      </x:c>
      <x:c r="AV415" s="32" t="n">
        <x:f>AM415*60/v01_SeasonSeconds</x:f>
        <x:v>17.417053211774682</x:v>
      </x:c>
    </x:row>
    <x:row r="416">
      <x:c r="A416" s="8" t="n">
        <x:f>A415+1</x:f>
        <x:v>413</x:v>
      </x:c>
      <x:c r="B416" s="9" t="n">
        <x:f>A416*v01_SeasonSeconds/60</x:f>
        <x:v>103.25</x:v>
      </x:c>
      <x:c r="C416" s="9" t="n">
        <x:f>A416/4</x:f>
        <x:v>103.25</x:v>
      </x:c>
      <x:c r="D416" s="8" t="n">
        <x:f>IF(MOD(A416,4)=0,1,0)</x:f>
        <x:v>0</x:v>
      </x:c>
      <x:c r="E416" s="8" t="n">
        <x:f>IF(AND(F415&lt;=9,AS415&gt;=AR415),1,0)</x:f>
        <x:v>0</x:v>
      </x:c>
      <x:c r="F416" s="8" t="n">
        <x:f>MIN(10,F415+E416)</x:f>
        <x:v>1</x:v>
      </x:c>
      <x:c r="G416" s="8" t="n">
        <x:f>MIN(F416,9)+1</x:f>
        <x:v>2</x:v>
      </x:c>
      <x:c r="H416" s="8" t="n">
        <x:f>IF(F416&lt;=9,1,0)</x:f>
        <x:v>1</x:v>
      </x:c>
      <x:c r="I416" s="9" t="n">
        <x:f>MIN(10,F415+IF(AR415&gt;0,MIN(1,AS415/AR415),1))</x:f>
        <x:v>1.5872106092038631</x:v>
      </x:c>
      <x:c r="J416" s="32" t="n">
        <x:f>INDEX(v01_FoodCap,G416)*Arch_FoodCap*EXP(v01_CapsByProject*SUMPRODUCT((Cap_Point&lt;=I416)*(Cap_Kind="Food")*Cap_Ln))</x:f>
        <x:v>30</x:v>
      </x:c>
      <x:c r="K416" s="32" t="n">
        <x:f>J416*MIN(1,v01_LeanBase*EXP(v01_CapsByProject*SUMPRODUCT((Cap_Point&lt;=I416)*(Cap_Kind="Lean")*Cap_Ln)))</x:f>
        <x:v>30</x:v>
      </x:c>
      <x:c r="L416" s="10" t="n">
        <x:f>INDEX(v01_HousingCap,G416)*EXP(v01_CapsByProject*SUMPRODUCT((Cap_Point&lt;=I416)*(Cap_Kind="Housing")*Cap_Ln))</x:f>
        <x:v>60</x:v>
      </x:c>
      <x:c r="M416" s="10" t="n">
        <x:f>INDEX(v01_GroupCap,G416)*v01_CohesionFactor*EXP(v01_CapsByProject*SUMPRODUCT((Cap_Point&lt;=I416)*(Cap_Kind="Group")*Cap_Ln))</x:f>
        <x:v>100</x:v>
      </x:c>
      <x:c r="N416" s="32" t="n">
        <x:f>MIN(J416,L416,M416)</x:f>
        <x:v>30</x:v>
      </x:c>
      <x:c r="O416" s="10" t="n">
        <x:f>AE415*N416</x:f>
        <x:v>60</x:v>
      </x:c>
      <x:c r="P416" s="9" t="n">
        <x:f>MIN(1,(AB415/(AE415*IF(v01_GroupInCrowding=1,N416,MIN(J416,L416))))^v01_CrowdingExp)</x:f>
        <x:v>0.28501086655558916</x:v>
      </x:c>
      <x:c r="Q416" s="9" t="n">
        <x:f>IF(D416=1,INDEX(v01_WinterMult,G416),1)</x:f>
        <x:v>1</x:v>
      </x:c>
      <x:c r="R416" s="9" t="n">
        <x:f>H416*Z415*v01_WomenShare*v01_BaseFertility*INDEX(v01_FertMult,G416)*Arch_Fertility*(1-P416)</x:f>
        <x:v>0.5918646280395735</x:v>
      </x:c>
      <x:c r="S416" s="9" t="n">
        <x:f>H416*Y415*INDEX(v01_MortChild,G416)/4*Q416</x:f>
        <x:v>0.17876902297661088</x:v>
      </x:c>
      <x:c r="T416" s="9" t="n">
        <x:f>H416*Z415*INDEX(v01_MortAdult,G416)*Arch_AdultMort/4*Q416</x:f>
        <x:v>0.07174225737248141</x:v>
      </x:c>
      <x:c r="U416" s="9" t="n">
        <x:f>H416*AA415*INDEX(v01_MortElder,G416)/4*Q416</x:f>
        <x:v>0.1233693049096847</x:v>
      </x:c>
      <x:c r="V416" s="9" t="n">
        <x:f>H416*MAX(0,AB415-O416)*v01_OvercapLoss</x:f>
        <x:v>0</x:v>
      </x:c>
      <x:c r="W416" s="9" t="n">
        <x:f>H416*Y415/(v01_ChildYears*4)</x:f>
        <x:v>0.3648347407685936</x:v>
      </x:c>
      <x:c r="X416" s="9" t="n">
        <x:f>H416*Z415/(v01_AdultYears*4)</x:f>
        <x:v>0.17802048975801837</x:v>
      </x:c>
      <x:c r="Y416" s="32" t="n">
        <x:f>Y415+R416-S416-W416-Y415*V416/AB415</x:f>
        <x:v>20.479006347335613</x:v>
      </x:c>
      <x:c r="Z416" s="32" t="n">
        <x:f>Z415+W416-X416-T416-Z415*V416/AB415</x:f>
        <x:v>22.189612723632372</x:v>
      </x:c>
      <x:c r="AA416" s="32" t="n">
        <x:f>AA415+X416-U416-AA415*V416/AB415</x:f>
        <x:v>6.223116430332569</x:v>
      </x:c>
      <x:c r="AB416" s="10" t="n">
        <x:f>Y416+Z416+AA416</x:f>
        <x:v>48.89173550130055</x:v>
      </x:c>
      <x:c r="AC416" s="8" t="n">
        <x:f>IF(AND(v01_WinterTrigger=1,D416=1,AB415/AE415&gt;=K416),1,0)</x:f>
        <x:v>0</x:v>
      </x:c>
      <x:c r="AD416" s="8" t="n">
        <x:f>H416*IF(AND(OR(AB415/AE415&gt;=v01_FissionTrigger*N416,AC416=1),AB415/AE415*v01_DaughterShare&gt;=v01_MinDaughter),MAX(1,ROUND(AE415*v01_FissionRate,0)),0)</x:f>
        <x:v>0</x:v>
      </x:c>
      <x:c r="AE416" s="8" t="n">
        <x:f>IF(H416=1,MAX(1,MIN(INDEX(v01_Smax,G416),AE415+AD416)),AE415)</x:f>
        <x:v>2</x:v>
      </x:c>
      <x:c r="AF416" s="8" t="n">
        <x:f>MAX(0,AE416-AE415)</x:f>
        <x:v>0</x:v>
      </x:c>
      <x:c r="AG416" s="9" t="str">
        <x:f>IF(AF416&gt;0,B416,"")</x:f>
      </x:c>
      <x:c r="AH416" s="9" t="n">
        <x:f>IF(F416&gt;=1,1,(1+v01_LowTiesShare*(AE416-1))/AE416)</x:f>
        <x:v>1</x:v>
      </x:c>
      <x:c r="AI416" s="32" t="n">
        <x:f>(Z416+v01_ElderCommons*INDEX(LM_Elder,G416)*AA416)*AH416</x:f>
        <x:v>37.43307258787746</x:v>
      </x:c>
      <x:c r="AJ416" s="32" t="n">
        <x:f>H416*v01_CommonsCoef*AI416^v01_CommonsExp*INDEX(LM_Commons,G416)</x:f>
        <x:v>14.348651596306691</x:v>
      </x:c>
      <x:c r="AK416" s="32" t="n">
        <x:f>H416*v01_RoleScale*Arch_Roles*(AE416*(INDEX(v01_ElderRolePerSett,G416)*v01_OutElder*INDEX(LM_Elder,G416)+INDEX(v01_ShamanPerSett,G416)*v01_OutShaman)+Z416*(INDEX(v01_PriestShare,G416)*v01_OutPriest+INDEX(v01_ScribeShare,G416)*v01_OutScribe*INDEX(LM_Scribe,G416)+INDEX(v01_ScholarShare,G416)*v01_OutScholar*INDEX(LM_Scholar,G416)+INDEX(v01_ResearcherShare,G416)*v01_OutResearcher*INDEX(LM_Researcher,G416)))</x:f>
        <x:v>2.724744871391589</x:v>
      </x:c>
      <x:c r="AL416" s="32" t="n">
        <x:f>H416*v01_RoleScale*Arch_Roles*AE416*INDEX(v01_MonasteryPerSett,G416)*v01_OutMonastery*INDEX(LM_Monastery,G416)</x:f>
        <x:v>0</x:v>
      </x:c>
      <x:c r="AM416" s="32" t="n">
        <x:f>(AJ416+AK416+AL416)/4*INDEX(LM_All,G416)*INDEX(v01_Boon,G416)*Arch_Insight</x:f>
        <x:v>4.375057844847684</x:v>
      </x:c>
      <x:c r="AN416" s="32" t="n">
        <x:f>H416*(v01_KHPerAdult*Z416+v01_KHOfCommons*AJ416/4*INDEX(LM_All,G416))*v01_KHUsable*Arch_KH</x:f>
        <x:v>0.776636445327133</x:v>
      </x:c>
      <x:c r="AO416" s="32" t="n">
        <x:f>MIN(AP415+AN416,AM416*v01_KHMaxRatio)</x:f>
        <x:v>0.776636445327133</x:v>
      </x:c>
      <x:c r="AP416" s="32" t="n">
        <x:f>AP415+AN416-AO416</x:f>
        <x:v>0</x:v>
      </x:c>
      <x:c r="AQ416" s="32" t="n">
        <x:f>AM416+AO416</x:f>
        <x:v>5.1516942901748175</x:v>
      </x:c>
      <x:c r="AR416" s="10" t="n">
        <x:f>IF(H416=1,INDEX(v01_Req,G416),0)</x:f>
        <x:v>1067.32</x:v>
      </x:c>
      <x:c r="AS416" s="32" t="n">
        <x:f>IF(H416=1,IF(E416=1,AS415-AR415,AS415)+AQ416,0)</x:f>
        <x:v>631.8933217056422</x:v>
      </x:c>
      <x:c r="AT416" s="11" t="n">
        <x:f>IF(AR416&gt;0,MIN(1,AS416/AR416),1)</x:f>
        <x:v>0.5920373662122346</x:v>
      </x:c>
      <x:c r="AU416" s="10" t="n">
        <x:f>AB416/INDEX(v01_RepScale,G416)</x:f>
        <x:v>48.89173550130055</x:v>
      </x:c>
      <x:c r="AV416" s="32" t="n">
        <x:f>AM416*60/v01_SeasonSeconds</x:f>
        <x:v>17.500231379390737</x:v>
      </x:c>
    </x:row>
    <x:row r="417">
      <x:c r="A417" s="8" t="n">
        <x:f>A416+1</x:f>
        <x:v>414</x:v>
      </x:c>
      <x:c r="B417" s="9" t="n">
        <x:f>A417*v01_SeasonSeconds/60</x:f>
        <x:v>103.5</x:v>
      </x:c>
      <x:c r="C417" s="9" t="n">
        <x:f>A417/4</x:f>
        <x:v>103.5</x:v>
      </x:c>
      <x:c r="D417" s="8" t="n">
        <x:f>IF(MOD(A417,4)=0,1,0)</x:f>
        <x:v>0</x:v>
      </x:c>
      <x:c r="E417" s="8" t="n">
        <x:f>IF(AND(F416&lt;=9,AS416&gt;=AR416),1,0)</x:f>
        <x:v>0</x:v>
      </x:c>
      <x:c r="F417" s="8" t="n">
        <x:f>MIN(10,F416+E417)</x:f>
        <x:v>1</x:v>
      </x:c>
      <x:c r="G417" s="8" t="n">
        <x:f>MIN(F417,9)+1</x:f>
        <x:v>2</x:v>
      </x:c>
      <x:c r="H417" s="8" t="n">
        <x:f>IF(F417&lt;=9,1,0)</x:f>
        <x:v>1</x:v>
      </x:c>
      <x:c r="I417" s="9" t="n">
        <x:f>MIN(10,F416+IF(AR416&gt;0,MIN(1,AS416/AR416),1))</x:f>
        <x:v>1.5920373662122347</x:v>
      </x:c>
      <x:c r="J417" s="32" t="n">
        <x:f>INDEX(v01_FoodCap,G417)*Arch_FoodCap*EXP(v01_CapsByProject*SUMPRODUCT((Cap_Point&lt;=I417)*(Cap_Kind="Food")*Cap_Ln))</x:f>
        <x:v>30</x:v>
      </x:c>
      <x:c r="K417" s="32" t="n">
        <x:f>J417*MIN(1,v01_LeanBase*EXP(v01_CapsByProject*SUMPRODUCT((Cap_Point&lt;=I417)*(Cap_Kind="Lean")*Cap_Ln)))</x:f>
        <x:v>30</x:v>
      </x:c>
      <x:c r="L417" s="10" t="n">
        <x:f>INDEX(v01_HousingCap,G417)*EXP(v01_CapsByProject*SUMPRODUCT((Cap_Point&lt;=I417)*(Cap_Kind="Housing")*Cap_Ln))</x:f>
        <x:v>60</x:v>
      </x:c>
      <x:c r="M417" s="10" t="n">
        <x:f>INDEX(v01_GroupCap,G417)*v01_CohesionFactor*EXP(v01_CapsByProject*SUMPRODUCT((Cap_Point&lt;=I417)*(Cap_Kind="Group")*Cap_Ln))</x:f>
        <x:v>100</x:v>
      </x:c>
      <x:c r="N417" s="32" t="n">
        <x:f>MIN(J417,L417,M417)</x:f>
        <x:v>30</x:v>
      </x:c>
      <x:c r="O417" s="10" t="n">
        <x:f>AE416*N417</x:f>
        <x:v>60</x:v>
      </x:c>
      <x:c r="P417" s="9" t="n">
        <x:f>MIN(1,(AB416/(AE416*IF(v01_GroupInCrowding=1,N417,MIN(J417,L417))))^v01_CrowdingExp)</x:f>
        <x:v>0.29275560546542606</x:v>
      </x:c>
      <x:c r="Q417" s="9" t="n">
        <x:f>IF(D417=1,INDEX(v01_WinterMult,G417),1)</x:f>
        <x:v>1</x:v>
      </x:c>
      <x:c r="R417" s="9" t="n">
        <x:f>H417*Z416*v01_WomenShare*v01_BaseFertility*INDEX(v01_FertMult,G417)*Arch_Fertility*(1-P417)</x:f>
        <x:v>0.588505470588077</x:v>
      </x:c>
      <x:c r="S417" s="9" t="n">
        <x:f>H417*Y416*INDEX(v01_MortChild,G417)/4*Q417</x:f>
        <x:v>0.17919130553918663</x:v>
      </x:c>
      <x:c r="T417" s="9" t="n">
        <x:f>H417*Z416*INDEX(v01_MortAdult,G417)*Arch_AdultMort/4*Q417</x:f>
        <x:v>0.07211624135180521</x:v>
      </x:c>
      <x:c r="U417" s="9" t="n">
        <x:f>H417*AA416*INDEX(v01_MortElder,G417)/4*Q417</x:f>
        <x:v>0.12446232860665138</x:v>
      </x:c>
      <x:c r="V417" s="9" t="n">
        <x:f>H417*MAX(0,AB416-O417)*v01_OvercapLoss</x:f>
        <x:v>0</x:v>
      </x:c>
      <x:c r="W417" s="9" t="n">
        <x:f>H417*Y416/(v01_ChildYears*4)</x:f>
        <x:v>0.36569654191670736</x:v>
      </x:c>
      <x:c r="X417" s="9" t="n">
        <x:f>H417*Z416/(v01_AdultYears*4)</x:f>
        <x:v>0.17894848970671268</x:v>
      </x:c>
      <x:c r="Y417" s="32" t="n">
        <x:f>Y416+R417-S417-W417-Y416*V417/AB416</x:f>
        <x:v>20.522623970467794</x:v>
      </x:c>
      <x:c r="Z417" s="32" t="n">
        <x:f>Z416+W417-X417-T417-Z416*V417/AB416</x:f>
        <x:v>22.304244534490564</x:v>
      </x:c>
      <x:c r="AA417" s="32" t="n">
        <x:f>AA416+X417-U417-AA416*V417/AB416</x:f>
        <x:v>6.27760259143263</x:v>
      </x:c>
      <x:c r="AB417" s="10" t="n">
        <x:f>Y417+Z417+AA417</x:f>
        <x:v>49.10447109639099</x:v>
      </x:c>
      <x:c r="AC417" s="8" t="n">
        <x:f>IF(AND(v01_WinterTrigger=1,D417=1,AB416/AE416&gt;=K417),1,0)</x:f>
        <x:v>0</x:v>
      </x:c>
      <x:c r="AD417" s="8" t="n">
        <x:f>H417*IF(AND(OR(AB416/AE416&gt;=v01_FissionTrigger*N417,AC417=1),AB416/AE416*v01_DaughterShare&gt;=v01_MinDaughter),MAX(1,ROUND(AE416*v01_FissionRate,0)),0)</x:f>
        <x:v>0</x:v>
      </x:c>
      <x:c r="AE417" s="8" t="n">
        <x:f>IF(H417=1,MAX(1,MIN(INDEX(v01_Smax,G417),AE416+AD417)),AE416)</x:f>
        <x:v>2</x:v>
      </x:c>
      <x:c r="AF417" s="8" t="n">
        <x:f>MAX(0,AE417-AE416)</x:f>
        <x:v>0</x:v>
      </x:c>
      <x:c r="AG417" s="9" t="str">
        <x:f>IF(AF417&gt;0,B417,"")</x:f>
      </x:c>
      <x:c r="AH417" s="9" t="n">
        <x:f>IF(F417&gt;=1,1,(1+v01_LowTiesShare*(AE417-1))/AE417)</x:f>
        <x:v>1</x:v>
      </x:c>
      <x:c r="AI417" s="32" t="n">
        <x:f>(Z417+v01_ElderCommons*INDEX(LM_Elder,G417)*AA417)*AH417</x:f>
        <x:v>37.68116769147389</x:v>
      </x:c>
      <x:c r="AJ417" s="32" t="n">
        <x:f>H417*v01_CommonsCoef*AI417^v01_CommonsExp*INDEX(LM_Commons,G417)</x:f>
        <x:v>14.429445268531266</x:v>
      </x:c>
      <x:c r="AK417" s="32" t="n">
        <x:f>H417*v01_RoleScale*Arch_Roles*(AE417*(INDEX(v01_ElderRolePerSett,G417)*v01_OutElder*INDEX(LM_Elder,G417)+INDEX(v01_ShamanPerSett,G417)*v01_OutShaman)+Z417*(INDEX(v01_PriestShare,G417)*v01_OutPriest+INDEX(v01_ScribeShare,G417)*v01_OutScribe*INDEX(LM_Scribe,G417)+INDEX(v01_ScholarShare,G417)*v01_OutScholar*INDEX(LM_Scholar,G417)+INDEX(v01_ResearcherShare,G417)*v01_OutResearcher*INDEX(LM_Researcher,G417)))</x:f>
        <x:v>2.724744871391589</x:v>
      </x:c>
      <x:c r="AL417" s="32" t="n">
        <x:f>H417*v01_RoleScale*Arch_Roles*AE417*INDEX(v01_MonasteryPerSett,G417)*v01_OutMonastery*INDEX(LM_Monastery,G417)</x:f>
        <x:v>0</x:v>
      </x:c>
      <x:c r="AM417" s="32" t="n">
        <x:f>(AJ417+AK417+AL417)/4*INDEX(LM_All,G417)*INDEX(v01_Boon,G417)*Arch_Insight</x:f>
        <x:v>4.395761223355231</x:v>
      </x:c>
      <x:c r="AN417" s="32" t="n">
        <x:f>H417*(v01_KHPerAdult*Z417+v01_KHOfCommons*AJ417/4*INDEX(LM_All,G417))*v01_KHUsable*Arch_KH</x:f>
        <x:v>0.7806485587071698</x:v>
      </x:c>
      <x:c r="AO417" s="32" t="n">
        <x:f>MIN(AP416+AN417,AM417*v01_KHMaxRatio)</x:f>
        <x:v>0.7806485587071698</x:v>
      </x:c>
      <x:c r="AP417" s="32" t="n">
        <x:f>AP416+AN417-AO417</x:f>
        <x:v>0</x:v>
      </x:c>
      <x:c r="AQ417" s="32" t="n">
        <x:f>AM417+AO417</x:f>
        <x:v>5.1764097820624</x:v>
      </x:c>
      <x:c r="AR417" s="10" t="n">
        <x:f>IF(H417=1,INDEX(v01_Req,G417),0)</x:f>
        <x:v>1067.32</x:v>
      </x:c>
      <x:c r="AS417" s="32" t="n">
        <x:f>IF(H417=1,IF(E417=1,AS416-AR416,AS416)+AQ417,0)</x:f>
        <x:v>637.0697314877045</x:v>
      </x:c>
      <x:c r="AT417" s="11" t="n">
        <x:f>IF(AR417&gt;0,MIN(1,AS417/AR417),1)</x:f>
        <x:v>0.5968872798108389</x:v>
      </x:c>
      <x:c r="AU417" s="10" t="n">
        <x:f>AB417/INDEX(v01_RepScale,G417)</x:f>
        <x:v>49.10447109639099</x:v>
      </x:c>
      <x:c r="AV417" s="32" t="n">
        <x:f>AM417*60/v01_SeasonSeconds</x:f>
        <x:v>17.583044893420922</x:v>
      </x:c>
    </x:row>
    <x:row r="418">
      <x:c r="A418" s="8" t="n">
        <x:f>A417+1</x:f>
        <x:v>415</x:v>
      </x:c>
      <x:c r="B418" s="9" t="n">
        <x:f>A418*v01_SeasonSeconds/60</x:f>
        <x:v>103.75</x:v>
      </x:c>
      <x:c r="C418" s="9" t="n">
        <x:f>A418/4</x:f>
        <x:v>103.75</x:v>
      </x:c>
      <x:c r="D418" s="8" t="n">
        <x:f>IF(MOD(A418,4)=0,1,0)</x:f>
        <x:v>0</x:v>
      </x:c>
      <x:c r="E418" s="8" t="n">
        <x:f>IF(AND(F417&lt;=9,AS417&gt;=AR417),1,0)</x:f>
        <x:v>0</x:v>
      </x:c>
      <x:c r="F418" s="8" t="n">
        <x:f>MIN(10,F417+E418)</x:f>
        <x:v>1</x:v>
      </x:c>
      <x:c r="G418" s="8" t="n">
        <x:f>MIN(F418,9)+1</x:f>
        <x:v>2</x:v>
      </x:c>
      <x:c r="H418" s="8" t="n">
        <x:f>IF(F418&lt;=9,1,0)</x:f>
        <x:v>1</x:v>
      </x:c>
      <x:c r="I418" s="9" t="n">
        <x:f>MIN(10,F417+IF(AR417&gt;0,MIN(1,AS417/AR417),1))</x:f>
        <x:v>1.5968872798108389</x:v>
      </x:c>
      <x:c r="J418" s="32" t="n">
        <x:f>INDEX(v01_FoodCap,G418)*Arch_FoodCap*EXP(v01_CapsByProject*SUMPRODUCT((Cap_Point&lt;=I418)*(Cap_Kind="Food")*Cap_Ln))</x:f>
        <x:v>30</x:v>
      </x:c>
      <x:c r="K418" s="32" t="n">
        <x:f>J418*MIN(1,v01_LeanBase*EXP(v01_CapsByProject*SUMPRODUCT((Cap_Point&lt;=I418)*(Cap_Kind="Lean")*Cap_Ln)))</x:f>
        <x:v>30</x:v>
      </x:c>
      <x:c r="L418" s="10" t="n">
        <x:f>INDEX(v01_HousingCap,G418)*EXP(v01_CapsByProject*SUMPRODUCT((Cap_Point&lt;=I418)*(Cap_Kind="Housing")*Cap_Ln))</x:f>
        <x:v>60</x:v>
      </x:c>
      <x:c r="M418" s="10" t="n">
        <x:f>INDEX(v01_GroupCap,G418)*v01_CohesionFactor*EXP(v01_CapsByProject*SUMPRODUCT((Cap_Point&lt;=I418)*(Cap_Kind="Group")*Cap_Ln))</x:f>
        <x:v>100</x:v>
      </x:c>
      <x:c r="N418" s="32" t="n">
        <x:f>MIN(J418,L418,M418)</x:f>
        <x:v>30</x:v>
      </x:c>
      <x:c r="O418" s="10" t="n">
        <x:f>AE417*N418</x:f>
        <x:v>60</x:v>
      </x:c>
      <x:c r="P418" s="9" t="n">
        <x:f>MIN(1,(AB417/(AE417*IF(v01_GroupInCrowding=1,N418,MIN(J418,L418))))^v01_CrowdingExp)</x:f>
        <x:v>0.3004821814072078</x:v>
      </x:c>
      <x:c r="Q418" s="9" t="n">
        <x:f>IF(D418=1,INDEX(v01_WinterMult,G418),1)</x:f>
        <x:v>1</x:v>
      </x:c>
      <x:c r="R418" s="9" t="n">
        <x:f>H418*Z417*v01_WomenShare*v01_BaseFertility*INDEX(v01_FertMult,G418)*Arch_Fertility*(1-P418)</x:f>
        <x:v>0.5850831180797642</x:v>
      </x:c>
      <x:c r="S418" s="9" t="n">
        <x:f>H418*Y417*INDEX(v01_MortChild,G418)/4*Q418</x:f>
        <x:v>0.1795729597415932</x:v>
      </x:c>
      <x:c r="T418" s="9" t="n">
        <x:f>H418*Z417*INDEX(v01_MortAdult,G418)*Arch_AdultMort/4*Q418</x:f>
        <x:v>0.07248879473709433</x:v>
      </x:c>
      <x:c r="U418" s="9" t="n">
        <x:f>H418*AA417*INDEX(v01_MortElder,G418)/4*Q418</x:f>
        <x:v>0.1255520518286526</x:v>
      </x:c>
      <x:c r="V418" s="9" t="n">
        <x:f>H418*MAX(0,AB417-O418)*v01_OvercapLoss</x:f>
        <x:v>0</x:v>
      </x:c>
      <x:c r="W418" s="9" t="n">
        <x:f>H418*Y417/(v01_ChildYears*4)</x:f>
        <x:v>0.36647542804406774</x:v>
      </x:c>
      <x:c r="X418" s="9" t="n">
        <x:f>H418*Z417/(v01_AdultYears*4)</x:f>
        <x:v>0.17987293979427874</x:v>
      </x:c>
      <x:c r="Y418" s="32" t="n">
        <x:f>Y417+R418-S418-W418-Y417*V418/AB417</x:f>
        <x:v>20.561658700761896</x:v>
      </x:c>
      <x:c r="Z418" s="32" t="n">
        <x:f>Z417+W418-X418-T418-Z417*V418/AB417</x:f>
        <x:v>22.41835822800326</x:v>
      </x:c>
      <x:c r="AA418" s="32" t="n">
        <x:f>AA417+X418-U418-AA417*V418/AB417</x:f>
        <x:v>6.331923479398256</x:v>
      </x:c>
      <x:c r="AB418" s="10" t="n">
        <x:f>Y418+Z418+AA418</x:f>
        <x:v>49.31194040816341</x:v>
      </x:c>
      <x:c r="AC418" s="8" t="n">
        <x:f>IF(AND(v01_WinterTrigger=1,D418=1,AB417/AE417&gt;=K418),1,0)</x:f>
        <x:v>0</x:v>
      </x:c>
      <x:c r="AD418" s="8" t="n">
        <x:f>H418*IF(AND(OR(AB417/AE417&gt;=v01_FissionTrigger*N418,AC418=1),AB417/AE417*v01_DaughterShare&gt;=v01_MinDaughter),MAX(1,ROUND(AE417*v01_FissionRate,0)),0)</x:f>
        <x:v>0</x:v>
      </x:c>
      <x:c r="AE418" s="8" t="n">
        <x:f>IF(H418=1,MAX(1,MIN(INDEX(v01_Smax,G418),AE417+AD418)),AE417)</x:f>
        <x:v>2</x:v>
      </x:c>
      <x:c r="AF418" s="8" t="n">
        <x:f>MAX(0,AE418-AE417)</x:f>
        <x:v>0</x:v>
      </x:c>
      <x:c r="AG418" s="9" t="str">
        <x:f>IF(AF418&gt;0,B418,"")</x:f>
      </x:c>
      <x:c r="AH418" s="9" t="n">
        <x:f>IF(F418&gt;=1,1,(1+v01_LowTiesShare*(AE418-1))/AE418)</x:f>
        <x:v>1</x:v>
      </x:c>
      <x:c r="AI418" s="32" t="n">
        <x:f>(Z418+v01_ElderCommons*INDEX(LM_Elder,G418)*AA418)*AH418</x:f>
        <x:v>37.92833984287726</x:v>
      </x:c>
      <x:c r="AJ418" s="32" t="n">
        <x:f>H418*v01_CommonsCoef*AI418^v01_CommonsExp*INDEX(LM_Commons,G418)</x:f>
        <x:v>14.509859065739125</x:v>
      </x:c>
      <x:c r="AK418" s="32" t="n">
        <x:f>H418*v01_RoleScale*Arch_Roles*(AE418*(INDEX(v01_ElderRolePerSett,G418)*v01_OutElder*INDEX(LM_Elder,G418)+INDEX(v01_ShamanPerSett,G418)*v01_OutShaman)+Z418*(INDEX(v01_PriestShare,G418)*v01_OutPriest+INDEX(v01_ScribeShare,G418)*v01_OutScribe*INDEX(LM_Scribe,G418)+INDEX(v01_ScholarShare,G418)*v01_OutScholar*INDEX(LM_Scholar,G418)+INDEX(v01_ResearcherShare,G418)*v01_OutResearcher*INDEX(LM_Researcher,G418)))</x:f>
        <x:v>2.724744871391589</x:v>
      </x:c>
      <x:c r="AL418" s="32" t="n">
        <x:f>H418*v01_RoleScale*Arch_Roles*AE418*INDEX(v01_MonasteryPerSett,G418)*v01_OutMonastery*INDEX(LM_Monastery,G418)</x:f>
        <x:v>0</x:v>
      </x:c>
      <x:c r="AM418" s="32" t="n">
        <x:f>(AJ418+AK418+AL418)/4*INDEX(LM_All,G418)*INDEX(v01_Boon,G418)*Arch_Insight</x:f>
        <x:v>4.416367258889745</x:v>
      </x:c>
      <x:c r="AN418" s="32" t="n">
        <x:f>H418*(v01_KHPerAdult*Z418+v01_KHOfCommons*AJ418/4*INDEX(LM_All,G418))*v01_KHUsable*Arch_KH</x:f>
        <x:v>0.7846425379801141</x:v>
      </x:c>
      <x:c r="AO418" s="32" t="n">
        <x:f>MIN(AP417+AN418,AM418*v01_KHMaxRatio)</x:f>
        <x:v>0.7846425379801141</x:v>
      </x:c>
      <x:c r="AP418" s="32" t="n">
        <x:f>AP417+AN418-AO418</x:f>
        <x:v>0</x:v>
      </x:c>
      <x:c r="AQ418" s="32" t="n">
        <x:f>AM418+AO418</x:f>
        <x:v>5.20100979686986</x:v>
      </x:c>
      <x:c r="AR418" s="10" t="n">
        <x:f>IF(H418=1,INDEX(v01_Req,G418),0)</x:f>
        <x:v>1067.32</x:v>
      </x:c>
      <x:c r="AS418" s="32" t="n">
        <x:f>IF(H418=1,IF(E418=1,AS417-AR417,AS417)+AQ418,0)</x:f>
        <x:v>642.2707412845743</x:v>
      </x:c>
      <x:c r="AT418" s="11" t="n">
        <x:f>IF(AR418&gt;0,MIN(1,AS418/AR418),1)</x:f>
        <x:v>0.6017602418061822</x:v>
      </x:c>
      <x:c r="AU418" s="10" t="n">
        <x:f>AB418/INDEX(v01_RepScale,G418)</x:f>
        <x:v>49.31194040816341</x:v>
      </x:c>
      <x:c r="AV418" s="32" t="n">
        <x:f>AM418*60/v01_SeasonSeconds</x:f>
        <x:v>17.66546903555898</x:v>
      </x:c>
    </x:row>
    <x:row r="419">
      <x:c r="A419" s="8" t="n">
        <x:f>A418+1</x:f>
        <x:v>416</x:v>
      </x:c>
      <x:c r="B419" s="9" t="n">
        <x:f>A419*v01_SeasonSeconds/60</x:f>
        <x:v>104</x:v>
      </x:c>
      <x:c r="C419" s="9" t="n">
        <x:f>A419/4</x:f>
        <x:v>104</x:v>
      </x:c>
      <x:c r="D419" s="8" t="n">
        <x:f>IF(MOD(A419,4)=0,1,0)</x:f>
        <x:v>1</x:v>
      </x:c>
      <x:c r="E419" s="8" t="n">
        <x:f>IF(AND(F418&lt;=9,AS418&gt;=AR418),1,0)</x:f>
        <x:v>0</x:v>
      </x:c>
      <x:c r="F419" s="8" t="n">
        <x:f>MIN(10,F418+E419)</x:f>
        <x:v>1</x:v>
      </x:c>
      <x:c r="G419" s="8" t="n">
        <x:f>MIN(F419,9)+1</x:f>
        <x:v>2</x:v>
      </x:c>
      <x:c r="H419" s="8" t="n">
        <x:f>IF(F419&lt;=9,1,0)</x:f>
        <x:v>1</x:v>
      </x:c>
      <x:c r="I419" s="9" t="n">
        <x:f>MIN(10,F418+IF(AR418&gt;0,MIN(1,AS418/AR418),1))</x:f>
        <x:v>1.6017602418061823</x:v>
      </x:c>
      <x:c r="J419" s="32" t="n">
        <x:f>INDEX(v01_FoodCap,G419)*Arch_FoodCap*EXP(v01_CapsByProject*SUMPRODUCT((Cap_Point&lt;=I419)*(Cap_Kind="Food")*Cap_Ln))</x:f>
        <x:v>30</x:v>
      </x:c>
      <x:c r="K419" s="32" t="n">
        <x:f>J419*MIN(1,v01_LeanBase*EXP(v01_CapsByProject*SUMPRODUCT((Cap_Point&lt;=I419)*(Cap_Kind="Lean")*Cap_Ln)))</x:f>
        <x:v>30</x:v>
      </x:c>
      <x:c r="L419" s="10" t="n">
        <x:f>INDEX(v01_HousingCap,G419)*EXP(v01_CapsByProject*SUMPRODUCT((Cap_Point&lt;=I419)*(Cap_Kind="Housing")*Cap_Ln))</x:f>
        <x:v>60</x:v>
      </x:c>
      <x:c r="M419" s="10" t="n">
        <x:f>INDEX(v01_GroupCap,G419)*v01_CohesionFactor*EXP(v01_CapsByProject*SUMPRODUCT((Cap_Point&lt;=I419)*(Cap_Kind="Group")*Cap_Ln))</x:f>
        <x:v>100</x:v>
      </x:c>
      <x:c r="N419" s="32" t="n">
        <x:f>MIN(J419,L419,M419)</x:f>
        <x:v>30</x:v>
      </x:c>
      <x:c r="O419" s="10" t="n">
        <x:f>AE418*N419</x:f>
        <x:v>60</x:v>
      </x:c>
      <x:c r="P419" s="9" t="n">
        <x:f>MIN(1,(AB418/(AE418*IF(v01_GroupInCrowding=1,N419,MIN(J419,L419))))^v01_CrowdingExp)</x:f>
        <x:v>0.30818042585155314</x:v>
      </x:c>
      <x:c r="Q419" s="9" t="n">
        <x:f>IF(D419=1,INDEX(v01_WinterMult,G419),1)</x:f>
        <x:v>1.6</x:v>
      </x:c>
      <x:c r="R419" s="9" t="n">
        <x:f>H419*Z418*v01_WomenShare*v01_BaseFertility*INDEX(v01_FertMult,G419)*Arch_Fertility*(1-P419)</x:f>
        <x:v>0.5816047140901703</x:v>
      </x:c>
      <x:c r="S419" s="9" t="n">
        <x:f>H419*Y418*INDEX(v01_MortChild,G419)/4*Q419</x:f>
        <x:v>0.2878632218106666</x:v>
      </x:c>
      <x:c r="T419" s="9" t="n">
        <x:f>H419*Z418*INDEX(v01_MortAdult,G419)*Arch_AdultMort/4*Q419</x:f>
        <x:v>0.11657546278561695</x:v>
      </x:c>
      <x:c r="U419" s="9" t="n">
        <x:f>H419*AA418*INDEX(v01_MortElder,G419)/4*Q419</x:f>
        <x:v>0.20262155134074422</x:v>
      </x:c>
      <x:c r="V419" s="9" t="n">
        <x:f>H419*MAX(0,AB418-O419)*v01_OvercapLoss</x:f>
        <x:v>0</x:v>
      </x:c>
      <x:c r="W419" s="9" t="n">
        <x:f>H419*Y418/(v01_ChildYears*4)</x:f>
        <x:v>0.3671724767993196</x:v>
      </x:c>
      <x:c r="X419" s="9" t="n">
        <x:f>H419*Z418/(v01_AdultYears*4)</x:f>
        <x:v>0.18079321151615532</x:v>
      </x:c>
      <x:c r="Y419" s="32" t="n">
        <x:f>Y418+R419-S419-W419-Y418*V419/AB418</x:f>
        <x:v>20.48822771624208</x:v>
      </x:c>
      <x:c r="Z419" s="32" t="n">
        <x:f>Z418+W419-X419-T419-Z418*V419/AB418</x:f>
        <x:v>22.488162030500806</x:v>
      </x:c>
      <x:c r="AA419" s="32" t="n">
        <x:f>AA418+X419-U419-AA418*V419/AB418</x:f>
        <x:v>6.310095139573667</x:v>
      </x:c>
      <x:c r="AB419" s="10" t="n">
        <x:f>Y419+Z419+AA419</x:f>
        <x:v>49.28648488631655</x:v>
      </x:c>
      <x:c r="AC419" s="8" t="n">
        <x:f>IF(AND(v01_WinterTrigger=1,D419=1,AB418/AE418&gt;=K419),1,0)</x:f>
        <x:v>0</x:v>
      </x:c>
      <x:c r="AD419" s="8" t="n">
        <x:f>H419*IF(AND(OR(AB418/AE418&gt;=v01_FissionTrigger*N419,AC419=1),AB418/AE418*v01_DaughterShare&gt;=v01_MinDaughter),MAX(1,ROUND(AE418*v01_FissionRate,0)),0)</x:f>
        <x:v>0</x:v>
      </x:c>
      <x:c r="AE419" s="8" t="n">
        <x:f>IF(H419=1,MAX(1,MIN(INDEX(v01_Smax,G419),AE418+AD419)),AE418)</x:f>
        <x:v>2</x:v>
      </x:c>
      <x:c r="AF419" s="8" t="n">
        <x:f>MAX(0,AE419-AE418)</x:f>
        <x:v>0</x:v>
      </x:c>
      <x:c r="AG419" s="9" t="str">
        <x:f>IF(AF419&gt;0,B419,"")</x:f>
      </x:c>
      <x:c r="AH419" s="9" t="n">
        <x:f>IF(F419&gt;=1,1,(1+v01_LowTiesShare*(AE419-1))/AE419)</x:f>
        <x:v>1</x:v>
      </x:c>
      <x:c r="AI419" s="32" t="n">
        <x:f>(Z419+v01_ElderCommons*INDEX(LM_Elder,G419)*AA419)*AH419</x:f>
        <x:v>37.94467535087249</x:v>
      </x:c>
      <x:c r="AJ419" s="32" t="n">
        <x:f>H419*v01_CommonsCoef*AI419^v01_CommonsExp*INDEX(LM_Commons,G419)</x:f>
        <x:v>14.515170806904456</x:v>
      </x:c>
      <x:c r="AK419" s="32" t="n">
        <x:f>H419*v01_RoleScale*Arch_Roles*(AE419*(INDEX(v01_ElderRolePerSett,G419)*v01_OutElder*INDEX(LM_Elder,G419)+INDEX(v01_ShamanPerSett,G419)*v01_OutShaman)+Z419*(INDEX(v01_PriestShare,G419)*v01_OutPriest+INDEX(v01_ScribeShare,G419)*v01_OutScribe*INDEX(LM_Scribe,G419)+INDEX(v01_ScholarShare,G419)*v01_OutScholar*INDEX(LM_Scholar,G419)+INDEX(v01_ResearcherShare,G419)*v01_OutResearcher*INDEX(LM_Researcher,G419)))</x:f>
        <x:v>2.724744871391589</x:v>
      </x:c>
      <x:c r="AL419" s="32" t="n">
        <x:f>H419*v01_RoleScale*Arch_Roles*AE419*INDEX(v01_MonasteryPerSett,G419)*v01_OutMonastery*INDEX(LM_Monastery,G419)</x:f>
        <x:v>0</x:v>
      </x:c>
      <x:c r="AM419" s="32" t="n">
        <x:f>(AJ419+AK419+AL419)/4*INDEX(LM_All,G419)*INDEX(v01_Boon,G419)*Arch_Insight</x:f>
        <x:v>4.417728392563361</x:v>
      </x:c>
      <x:c r="AN419" s="32" t="n">
        <x:f>H419*(v01_KHPerAdult*Z419+v01_KHOfCommons*AJ419/4*INDEX(LM_All,G419))*v01_KHUsable*Arch_KH</x:f>
        <x:v>0.7870856710675282</x:v>
      </x:c>
      <x:c r="AO419" s="32" t="n">
        <x:f>MIN(AP418+AN419,AM419*v01_KHMaxRatio)</x:f>
        <x:v>0.7870856710675282</x:v>
      </x:c>
      <x:c r="AP419" s="32" t="n">
        <x:f>AP418+AN419-AO419</x:f>
        <x:v>0</x:v>
      </x:c>
      <x:c r="AQ419" s="32" t="n">
        <x:f>AM419+AO419</x:f>
        <x:v>5.204814063630889</x:v>
      </x:c>
      <x:c r="AR419" s="10" t="n">
        <x:f>IF(H419=1,INDEX(v01_Req,G419),0)</x:f>
        <x:v>1067.32</x:v>
      </x:c>
      <x:c r="AS419" s="32" t="n">
        <x:f>IF(H419=1,IF(E419=1,AS418-AR418,AS418)+AQ419,0)</x:f>
        <x:v>647.4755553482053</x:v>
      </x:c>
      <x:c r="AT419" s="11" t="n">
        <x:f>IF(AR419&gt;0,MIN(1,AS419/AR419),1)</x:f>
        <x:v>0.6066367681184699</x:v>
      </x:c>
      <x:c r="AU419" s="10" t="n">
        <x:f>AB419/INDEX(v01_RepScale,G419)</x:f>
        <x:v>49.28648488631655</x:v>
      </x:c>
      <x:c r="AV419" s="32" t="n">
        <x:f>AM419*60/v01_SeasonSeconds</x:f>
        <x:v>17.670913570253443</x:v>
      </x:c>
    </x:row>
    <x:row r="420">
      <x:c r="A420" s="8" t="n">
        <x:f>A419+1</x:f>
        <x:v>417</x:v>
      </x:c>
      <x:c r="B420" s="9" t="n">
        <x:f>A420*v01_SeasonSeconds/60</x:f>
        <x:v>104.25</x:v>
      </x:c>
      <x:c r="C420" s="9" t="n">
        <x:f>A420/4</x:f>
        <x:v>104.25</x:v>
      </x:c>
      <x:c r="D420" s="8" t="n">
        <x:f>IF(MOD(A420,4)=0,1,0)</x:f>
        <x:v>0</x:v>
      </x:c>
      <x:c r="E420" s="8" t="n">
        <x:f>IF(AND(F419&lt;=9,AS419&gt;=AR419),1,0)</x:f>
        <x:v>0</x:v>
      </x:c>
      <x:c r="F420" s="8" t="n">
        <x:f>MIN(10,F419+E420)</x:f>
        <x:v>1</x:v>
      </x:c>
      <x:c r="G420" s="8" t="n">
        <x:f>MIN(F420,9)+1</x:f>
        <x:v>2</x:v>
      </x:c>
      <x:c r="H420" s="8" t="n">
        <x:f>IF(F420&lt;=9,1,0)</x:f>
        <x:v>1</x:v>
      </x:c>
      <x:c r="I420" s="9" t="n">
        <x:f>MIN(10,F419+IF(AR419&gt;0,MIN(1,AS419/AR419),1))</x:f>
        <x:v>1.60663676811847</x:v>
      </x:c>
      <x:c r="J420" s="32" t="n">
        <x:f>INDEX(v01_FoodCap,G420)*Arch_FoodCap*EXP(v01_CapsByProject*SUMPRODUCT((Cap_Point&lt;=I420)*(Cap_Kind="Food")*Cap_Ln))</x:f>
        <x:v>30</x:v>
      </x:c>
      <x:c r="K420" s="32" t="n">
        <x:f>J420*MIN(1,v01_LeanBase*EXP(v01_CapsByProject*SUMPRODUCT((Cap_Point&lt;=I420)*(Cap_Kind="Lean")*Cap_Ln)))</x:f>
        <x:v>30</x:v>
      </x:c>
      <x:c r="L420" s="10" t="n">
        <x:f>INDEX(v01_HousingCap,G420)*EXP(v01_CapsByProject*SUMPRODUCT((Cap_Point&lt;=I420)*(Cap_Kind="Housing")*Cap_Ln))</x:f>
        <x:v>60</x:v>
      </x:c>
      <x:c r="M420" s="10" t="n">
        <x:f>INDEX(v01_GroupCap,G420)*v01_CohesionFactor*EXP(v01_CapsByProject*SUMPRODUCT((Cap_Point&lt;=I420)*(Cap_Kind="Group")*Cap_Ln))</x:f>
        <x:v>100</x:v>
      </x:c>
      <x:c r="N420" s="32" t="n">
        <x:f>MIN(J420,L420,M420)</x:f>
        <x:v>30</x:v>
      </x:c>
      <x:c r="O420" s="10" t="n">
        <x:f>AE419*N420</x:f>
        <x:v>60</x:v>
      </x:c>
      <x:c r="P420" s="9" t="n">
        <x:f>MIN(1,(AB419/(AE419*IF(v01_GroupInCrowding=1,N420,MIN(J420,L420))))^v01_CrowdingExp)</x:f>
        <x:v>0.307227134253096</x:v>
      </x:c>
      <x:c r="Q420" s="9" t="n">
        <x:f>IF(D420=1,INDEX(v01_WinterMult,G420),1)</x:f>
        <x:v>1</x:v>
      </x:c>
      <x:c r="R420" s="9" t="n">
        <x:f>H420*Z419*v01_WomenShare*v01_BaseFertility*INDEX(v01_FertMult,G420)*Arch_Fertility*(1-P420)</x:f>
        <x:v>0.5842195670719035</x:v>
      </x:c>
      <x:c r="S420" s="9" t="n">
        <x:f>H420*Y419*INDEX(v01_MortChild,G420)/4*Q420</x:f>
        <x:v>0.1792719925171182</x:v>
      </x:c>
      <x:c r="T420" s="9" t="n">
        <x:f>H420*Z419*INDEX(v01_MortAdult,G420)*Arch_AdultMort/4*Q420</x:f>
        <x:v>0.07308652659912762</x:v>
      </x:c>
      <x:c r="U420" s="9" t="n">
        <x:f>H420*AA419*INDEX(v01_MortElder,G420)/4*Q420</x:f>
        <x:v>0.12620190279147334</x:v>
      </x:c>
      <x:c r="V420" s="9" t="n">
        <x:f>H420*MAX(0,AB419-O420)*v01_OvercapLoss</x:f>
        <x:v>0</x:v>
      </x:c>
      <x:c r="W420" s="9" t="n">
        <x:f>H420*Y419/(v01_ChildYears*4)</x:f>
        <x:v>0.36586120921860854</x:v>
      </x:c>
      <x:c r="X420" s="9" t="n">
        <x:f>H420*Z419/(v01_AdultYears*4)</x:f>
        <x:v>0.18135614540726458</x:v>
      </x:c>
      <x:c r="Y420" s="32" t="n">
        <x:f>Y419+R420-S420-W420-Y419*V420/AB419</x:f>
        <x:v>20.527314081578258</x:v>
      </x:c>
      <x:c r="Z420" s="32" t="n">
        <x:f>Z419+W420-X420-T420-Z419*V420/AB419</x:f>
        <x:v>22.599580567713023</x:v>
      </x:c>
      <x:c r="AA420" s="32" t="n">
        <x:f>AA419+X420-U420-AA419*V420/AB419</x:f>
        <x:v>6.365249382189458</x:v>
      </x:c>
      <x:c r="AB420" s="10" t="n">
        <x:f>Y420+Z420+AA420</x:f>
        <x:v>49.49214403148074</x:v>
      </x:c>
      <x:c r="AC420" s="8" t="n">
        <x:f>IF(AND(v01_WinterTrigger=1,D420=1,AB419/AE419&gt;=K420),1,0)</x:f>
        <x:v>0</x:v>
      </x:c>
      <x:c r="AD420" s="8" t="n">
        <x:f>H420*IF(AND(OR(AB419/AE419&gt;=v01_FissionTrigger*N420,AC420=1),AB419/AE419*v01_DaughterShare&gt;=v01_MinDaughter),MAX(1,ROUND(AE419*v01_FissionRate,0)),0)</x:f>
        <x:v>0</x:v>
      </x:c>
      <x:c r="AE420" s="8" t="n">
        <x:f>IF(H420=1,MAX(1,MIN(INDEX(v01_Smax,G420),AE419+AD420)),AE419)</x:f>
        <x:v>2</x:v>
      </x:c>
      <x:c r="AF420" s="8" t="n">
        <x:f>MAX(0,AE420-AE419)</x:f>
        <x:v>0</x:v>
      </x:c>
      <x:c r="AG420" s="9" t="str">
        <x:f>IF(AF420&gt;0,B420,"")</x:f>
      </x:c>
      <x:c r="AH420" s="9" t="n">
        <x:f>IF(F420&gt;=1,1,(1+v01_LowTiesShare*(AE420-1))/AE420)</x:f>
        <x:v>1</x:v>
      </x:c>
      <x:c r="AI420" s="32" t="n">
        <x:f>(Z420+v01_ElderCommons*INDEX(LM_Elder,G420)*AA420)*AH420</x:f>
        <x:v>38.19119363964306</x:v>
      </x:c>
      <x:c r="AJ420" s="32" t="n">
        <x:f>H420*v01_CommonsCoef*AI420^v01_CommonsExp*INDEX(LM_Commons,G420)</x:f>
        <x:v>14.59528846380192</x:v>
      </x:c>
      <x:c r="AK420" s="32" t="n">
        <x:f>H420*v01_RoleScale*Arch_Roles*(AE420*(INDEX(v01_ElderRolePerSett,G420)*v01_OutElder*INDEX(LM_Elder,G420)+INDEX(v01_ShamanPerSett,G420)*v01_OutShaman)+Z420*(INDEX(v01_PriestShare,G420)*v01_OutPriest+INDEX(v01_ScribeShare,G420)*v01_OutScribe*INDEX(LM_Scribe,G420)+INDEX(v01_ScholarShare,G420)*v01_OutScholar*INDEX(LM_Scholar,G420)+INDEX(v01_ResearcherShare,G420)*v01_OutResearcher*INDEX(LM_Researcher,G420)))</x:f>
        <x:v>2.724744871391589</x:v>
      </x:c>
      <x:c r="AL420" s="32" t="n">
        <x:f>H420*v01_RoleScale*Arch_Roles*AE420*INDEX(v01_MonasteryPerSett,G420)*v01_OutMonastery*INDEX(LM_Monastery,G420)</x:f>
        <x:v>0</x:v>
      </x:c>
      <x:c r="AM420" s="32" t="n">
        <x:f>(AJ420+AK420+AL420)/4*INDEX(LM_All,G420)*INDEX(v01_Boon,G420)*Arch_Insight</x:f>
        <x:v>4.438258542143336</x:v>
      </x:c>
      <x:c r="AN420" s="32" t="n">
        <x:f>H420*(v01_KHPerAdult*Z420+v01_KHOfCommons*AJ420/4*INDEX(LM_All,G420))*v01_KHUsable*Arch_KH</x:f>
        <x:v>0.7909853198699558</x:v>
      </x:c>
      <x:c r="AO420" s="32" t="n">
        <x:f>MIN(AP419+AN420,AM420*v01_KHMaxRatio)</x:f>
        <x:v>0.7909853198699558</x:v>
      </x:c>
      <x:c r="AP420" s="32" t="n">
        <x:f>AP419+AN420-AO420</x:f>
        <x:v>0</x:v>
      </x:c>
      <x:c r="AQ420" s="32" t="n">
        <x:f>AM420+AO420</x:f>
        <x:v>5.229243862013291</x:v>
      </x:c>
      <x:c r="AR420" s="10" t="n">
        <x:f>IF(H420=1,INDEX(v01_Req,G420),0)</x:f>
        <x:v>1067.32</x:v>
      </x:c>
      <x:c r="AS420" s="32" t="n">
        <x:f>IF(H420=1,IF(E420=1,AS419-AR419,AS419)+AQ420,0)</x:f>
        <x:v>652.7047992102185</x:v>
      </x:c>
      <x:c r="AT420" s="11" t="n">
        <x:f>IF(AR420&gt;0,MIN(1,AS420/AR420),1)</x:f>
        <x:v>0.6115361833472797</x:v>
      </x:c>
      <x:c r="AU420" s="10" t="n">
        <x:f>AB420/INDEX(v01_RepScale,G420)</x:f>
        <x:v>49.49214403148074</x:v>
      </x:c>
      <x:c r="AV420" s="32" t="n">
        <x:f>AM420*60/v01_SeasonSeconds</x:f>
        <x:v>17.753034168573343</x:v>
      </x:c>
    </x:row>
    <x:row r="421">
      <x:c r="A421" s="8" t="n">
        <x:f>A420+1</x:f>
        <x:v>418</x:v>
      </x:c>
      <x:c r="B421" s="9" t="n">
        <x:f>A421*v01_SeasonSeconds/60</x:f>
        <x:v>104.5</x:v>
      </x:c>
      <x:c r="C421" s="9" t="n">
        <x:f>A421/4</x:f>
        <x:v>104.5</x:v>
      </x:c>
      <x:c r="D421" s="8" t="n">
        <x:f>IF(MOD(A421,4)=0,1,0)</x:f>
        <x:v>0</x:v>
      </x:c>
      <x:c r="E421" s="8" t="n">
        <x:f>IF(AND(F420&lt;=9,AS420&gt;=AR420),1,0)</x:f>
        <x:v>0</x:v>
      </x:c>
      <x:c r="F421" s="8" t="n">
        <x:f>MIN(10,F420+E421)</x:f>
        <x:v>1</x:v>
      </x:c>
      <x:c r="G421" s="8" t="n">
        <x:f>MIN(F421,9)+1</x:f>
        <x:v>2</x:v>
      </x:c>
      <x:c r="H421" s="8" t="n">
        <x:f>IF(F421&lt;=9,1,0)</x:f>
        <x:v>1</x:v>
      </x:c>
      <x:c r="I421" s="9" t="n">
        <x:f>MIN(10,F420+IF(AR420&gt;0,MIN(1,AS420/AR420),1))</x:f>
        <x:v>1.6115361833472797</x:v>
      </x:c>
      <x:c r="J421" s="32" t="n">
        <x:f>INDEX(v01_FoodCap,G421)*Arch_FoodCap*EXP(v01_CapsByProject*SUMPRODUCT((Cap_Point&lt;=I421)*(Cap_Kind="Food")*Cap_Ln))</x:f>
        <x:v>30</x:v>
      </x:c>
      <x:c r="K421" s="32" t="n">
        <x:f>J421*MIN(1,v01_LeanBase*EXP(v01_CapsByProject*SUMPRODUCT((Cap_Point&lt;=I421)*(Cap_Kind="Lean")*Cap_Ln)))</x:f>
        <x:v>30</x:v>
      </x:c>
      <x:c r="L421" s="10" t="n">
        <x:f>INDEX(v01_HousingCap,G421)*EXP(v01_CapsByProject*SUMPRODUCT((Cap_Point&lt;=I421)*(Cap_Kind="Housing")*Cap_Ln))</x:f>
        <x:v>60</x:v>
      </x:c>
      <x:c r="M421" s="10" t="n">
        <x:f>INDEX(v01_GroupCap,G421)*v01_CohesionFactor*EXP(v01_CapsByProject*SUMPRODUCT((Cap_Point&lt;=I421)*(Cap_Kind="Group")*Cap_Ln))</x:f>
        <x:v>100</x:v>
      </x:c>
      <x:c r="N421" s="32" t="n">
        <x:f>MIN(J421,L421,M421)</x:f>
        <x:v>30</x:v>
      </x:c>
      <x:c r="O421" s="10" t="n">
        <x:f>AE420*N421</x:f>
        <x:v>60</x:v>
      </x:c>
      <x:c r="P421" s="9" t="n">
        <x:f>MIN(1,(AB420/(AE420*IF(v01_GroupInCrowding=1,N421,MIN(J421,L421))))^v01_CrowdingExp)</x:f>
        <x:v>0.31499967557920355</x:v>
      </x:c>
      <x:c r="Q421" s="9" t="n">
        <x:f>IF(D421=1,INDEX(v01_WinterMult,G421),1)</x:f>
        <x:v>1</x:v>
      </x:c>
      <x:c r="R421" s="9" t="n">
        <x:f>H421*Z420*v01_WomenShare*v01_BaseFertility*INDEX(v01_FertMult,G421)*Arch_Fertility*(1-P421)</x:f>
        <x:v>0.5805270007746506</x:v>
      </x:c>
      <x:c r="S421" s="9" t="n">
        <x:f>H421*Y420*INDEX(v01_MortChild,G421)/4*Q421</x:f>
        <x:v>0.17961399821380977</x:v>
      </x:c>
      <x:c r="T421" s="9" t="n">
        <x:f>H421*Z420*INDEX(v01_MortAdult,G421)*Arch_AdultMort/4*Q421</x:f>
        <x:v>0.07344863684506732</x:v>
      </x:c>
      <x:c r="U421" s="9" t="n">
        <x:f>H421*AA420*INDEX(v01_MortElder,G421)/4*Q421</x:f>
        <x:v>0.12730498764378917</x:v>
      </x:c>
      <x:c r="V421" s="9" t="n">
        <x:f>H421*MAX(0,AB420-O421)*v01_OvercapLoss</x:f>
        <x:v>0</x:v>
      </x:c>
      <x:c r="W421" s="9" t="n">
        <x:f>H421*Y420/(v01_ChildYears*4)</x:f>
        <x:v>0.36655918002818316</x:v>
      </x:c>
      <x:c r="X421" s="9" t="n">
        <x:f>H421*Z420/(v01_AdultYears*4)</x:f>
        <x:v>0.18225468199768566</x:v>
      </x:c>
      <x:c r="Y421" s="32" t="n">
        <x:f>Y420+R421-S421-W421-Y420*V421/AB420</x:f>
        <x:v>20.561667904110916</x:v>
      </x:c>
      <x:c r="Z421" s="32" t="n">
        <x:f>Z420+W421-X421-T421-Z420*V421/AB420</x:f>
        <x:v>22.71043642889845</x:v>
      </x:c>
      <x:c r="AA421" s="32" t="n">
        <x:f>AA420+X421-U421-AA420*V421/AB420</x:f>
        <x:v>6.420199076543354</x:v>
      </x:c>
      <x:c r="AB421" s="10" t="n">
        <x:f>Y421+Z421+AA421</x:f>
        <x:v>49.69230340955272</x:v>
      </x:c>
      <x:c r="AC421" s="8" t="n">
        <x:f>IF(AND(v01_WinterTrigger=1,D421=1,AB420/AE420&gt;=K421),1,0)</x:f>
        <x:v>0</x:v>
      </x:c>
      <x:c r="AD421" s="8" t="n">
        <x:f>H421*IF(AND(OR(AB420/AE420&gt;=v01_FissionTrigger*N421,AC421=1),AB420/AE420*v01_DaughterShare&gt;=v01_MinDaughter),MAX(1,ROUND(AE420*v01_FissionRate,0)),0)</x:f>
        <x:v>0</x:v>
      </x:c>
      <x:c r="AE421" s="8" t="n">
        <x:f>IF(H421=1,MAX(1,MIN(INDEX(v01_Smax,G421),AE420+AD421)),AE420)</x:f>
        <x:v>2</x:v>
      </x:c>
      <x:c r="AF421" s="8" t="n">
        <x:f>MAX(0,AE421-AE420)</x:f>
        <x:v>0</x:v>
      </x:c>
      <x:c r="AG421" s="9" t="str">
        <x:f>IF(AF421&gt;0,B421,"")</x:f>
      </x:c>
      <x:c r="AH421" s="9" t="n">
        <x:f>IF(F421&gt;=1,1,(1+v01_LowTiesShare*(AE421-1))/AE421)</x:f>
        <x:v>1</x:v>
      </x:c>
      <x:c r="AI421" s="32" t="n">
        <x:f>(Z421+v01_ElderCommons*INDEX(LM_Elder,G421)*AA421)*AH421</x:f>
        <x:v>38.43664821351743</x:v>
      </x:c>
      <x:c r="AJ421" s="32" t="n">
        <x:f>H421*v01_CommonsCoef*AI421^v01_CommonsExp*INDEX(LM_Commons,G421)</x:f>
        <x:v>14.674983381940574</x:v>
      </x:c>
      <x:c r="AK421" s="32" t="n">
        <x:f>H421*v01_RoleScale*Arch_Roles*(AE421*(INDEX(v01_ElderRolePerSett,G421)*v01_OutElder*INDEX(LM_Elder,G421)+INDEX(v01_ShamanPerSett,G421)*v01_OutShaman)+Z421*(INDEX(v01_PriestShare,G421)*v01_OutPriest+INDEX(v01_ScribeShare,G421)*v01_OutScribe*INDEX(LM_Scribe,G421)+INDEX(v01_ScholarShare,G421)*v01_OutScholar*INDEX(LM_Scholar,G421)+INDEX(v01_ResearcherShare,G421)*v01_OutResearcher*INDEX(LM_Researcher,G421)))</x:f>
        <x:v>2.724744871391589</x:v>
      </x:c>
      <x:c r="AL421" s="32" t="n">
        <x:f>H421*v01_RoleScale*Arch_Roles*AE421*INDEX(v01_MonasteryPerSett,G421)*v01_OutMonastery*INDEX(LM_Monastery,G421)</x:f>
        <x:v>0</x:v>
      </x:c>
      <x:c r="AM421" s="32" t="n">
        <x:f>(AJ421+AK421+AL421)/4*INDEX(LM_All,G421)*INDEX(v01_Boon,G421)*Arch_Insight</x:f>
        <x:v>4.458680364916367</x:v>
      </x:c>
      <x:c r="AN421" s="32" t="n">
        <x:f>H421*(v01_KHPerAdult*Z421+v01_KHOfCommons*AJ421/4*INDEX(LM_All,G421))*v01_KHUsable*Arch_KH</x:f>
        <x:v>0.7948652750114458</x:v>
      </x:c>
      <x:c r="AO421" s="32" t="n">
        <x:f>MIN(AP420+AN421,AM421*v01_KHMaxRatio)</x:f>
        <x:v>0.7948652750114458</x:v>
      </x:c>
      <x:c r="AP421" s="32" t="n">
        <x:f>AP420+AN421-AO421</x:f>
        <x:v>0</x:v>
      </x:c>
      <x:c r="AQ421" s="32" t="n">
        <x:f>AM421+AO421</x:f>
        <x:v>5.253545639927813</x:v>
      </x:c>
      <x:c r="AR421" s="10" t="n">
        <x:f>IF(H421=1,INDEX(v01_Req,G421),0)</x:f>
        <x:v>1067.32</x:v>
      </x:c>
      <x:c r="AS421" s="32" t="n">
        <x:f>IF(H421=1,IF(E421=1,AS420-AR420,AS420)+AQ421,0)</x:f>
        <x:v>657.9583448501463</x:v>
      </x:c>
      <x:c r="AT421" s="11" t="n">
        <x:f>IF(AR421&gt;0,MIN(1,AS421/AR421),1)</x:f>
        <x:v>0.6164583675468898</x:v>
      </x:c>
      <x:c r="AU421" s="10" t="n">
        <x:f>AB421/INDEX(v01_RepScale,G421)</x:f>
        <x:v>49.69230340955272</x:v>
      </x:c>
      <x:c r="AV421" s="32" t="n">
        <x:f>AM421*60/v01_SeasonSeconds</x:f>
        <x:v>17.834721459665467</x:v>
      </x:c>
    </x:row>
    <x:row r="422">
      <x:c r="A422" s="8" t="n">
        <x:f>A421+1</x:f>
        <x:v>419</x:v>
      </x:c>
      <x:c r="B422" s="9" t="n">
        <x:f>A422*v01_SeasonSeconds/60</x:f>
        <x:v>104.75</x:v>
      </x:c>
      <x:c r="C422" s="9" t="n">
        <x:f>A422/4</x:f>
        <x:v>104.75</x:v>
      </x:c>
      <x:c r="D422" s="8" t="n">
        <x:f>IF(MOD(A422,4)=0,1,0)</x:f>
        <x:v>0</x:v>
      </x:c>
      <x:c r="E422" s="8" t="n">
        <x:f>IF(AND(F421&lt;=9,AS421&gt;=AR421),1,0)</x:f>
        <x:v>0</x:v>
      </x:c>
      <x:c r="F422" s="8" t="n">
        <x:f>MIN(10,F421+E422)</x:f>
        <x:v>1</x:v>
      </x:c>
      <x:c r="G422" s="8" t="n">
        <x:f>MIN(F422,9)+1</x:f>
        <x:v>2</x:v>
      </x:c>
      <x:c r="H422" s="8" t="n">
        <x:f>IF(F422&lt;=9,1,0)</x:f>
        <x:v>1</x:v>
      </x:c>
      <x:c r="I422" s="9" t="n">
        <x:f>MIN(10,F421+IF(AR421&gt;0,MIN(1,AS421/AR421),1))</x:f>
        <x:v>1.6164583675468898</x:v>
      </x:c>
      <x:c r="J422" s="32" t="n">
        <x:f>INDEX(v01_FoodCap,G422)*Arch_FoodCap*EXP(v01_CapsByProject*SUMPRODUCT((Cap_Point&lt;=I422)*(Cap_Kind="Food")*Cap_Ln))</x:f>
        <x:v>30</x:v>
      </x:c>
      <x:c r="K422" s="32" t="n">
        <x:f>J422*MIN(1,v01_LeanBase*EXP(v01_CapsByProject*SUMPRODUCT((Cap_Point&lt;=I422)*(Cap_Kind="Lean")*Cap_Ln)))</x:f>
        <x:v>30</x:v>
      </x:c>
      <x:c r="L422" s="10" t="n">
        <x:f>INDEX(v01_HousingCap,G422)*EXP(v01_CapsByProject*SUMPRODUCT((Cap_Point&lt;=I422)*(Cap_Kind="Housing")*Cap_Ln))</x:f>
        <x:v>60</x:v>
      </x:c>
      <x:c r="M422" s="10" t="n">
        <x:f>INDEX(v01_GroupCap,G422)*v01_CohesionFactor*EXP(v01_CapsByProject*SUMPRODUCT((Cap_Point&lt;=I422)*(Cap_Kind="Group")*Cap_Ln))</x:f>
        <x:v>100</x:v>
      </x:c>
      <x:c r="N422" s="32" t="n">
        <x:f>MIN(J422,L422,M422)</x:f>
        <x:v>30</x:v>
      </x:c>
      <x:c r="O422" s="10" t="n">
        <x:f>AE421*N422</x:f>
        <x:v>60</x:v>
      </x:c>
      <x:c r="P422" s="9" t="n">
        <x:f>MIN(1,(AB421/(AE421*IF(v01_GroupInCrowding=1,N422,MIN(J422,L422))))^v01_CrowdingExp)</x:f>
        <x:v>0.32272103020687826</x:v>
      </x:c>
      <x:c r="Q422" s="9" t="n">
        <x:f>IF(D422=1,INDEX(v01_WinterMult,G422),1)</x:f>
        <x:v>1</x:v>
      </x:c>
      <x:c r="R422" s="9" t="n">
        <x:f>H422*Z421*v01_WomenShare*v01_BaseFertility*INDEX(v01_FertMult,G422)*Arch_Fertility*(1-P422)</x:f>
        <x:v>0.5767987870543697</x:v>
      </x:c>
      <x:c r="S422" s="9" t="n">
        <x:f>H422*Y421*INDEX(v01_MortChild,G422)/4*Q422</x:f>
        <x:v>0.17991459416097053</x:v>
      </x:c>
      <x:c r="T422" s="9" t="n">
        <x:f>H422*Z421*INDEX(v01_MortAdult,G422)*Arch_AdultMort/4*Q422</x:f>
        <x:v>0.07380891839391997</x:v>
      </x:c>
      <x:c r="U422" s="9" t="n">
        <x:f>H422*AA421*INDEX(v01_MortElder,G422)/4*Q422</x:f>
        <x:v>0.12840398153086707</x:v>
      </x:c>
      <x:c r="V422" s="9" t="n">
        <x:f>H422*MAX(0,AB421-O422)*v01_OvercapLoss</x:f>
        <x:v>0</x:v>
      </x:c>
      <x:c r="W422" s="9" t="n">
        <x:f>H422*Y421/(v01_ChildYears*4)</x:f>
        <x:v>0.3671726411448378</x:v>
      </x:c>
      <x:c r="X422" s="9" t="n">
        <x:f>H422*Z421/(v01_AdultYears*4)</x:f>
        <x:v>0.18314868087821332</x:v>
      </x:c>
      <x:c r="Y422" s="32" t="n">
        <x:f>Y421+R422-S422-W422-Y421*V422/AB421</x:f>
        <x:v>20.591379455859478</x:v>
      </x:c>
      <x:c r="Z422" s="32" t="n">
        <x:f>Z421+W422-X422-T422-Z421*V422/AB421</x:f>
        <x:v>22.820651470771157</x:v>
      </x:c>
      <x:c r="AA422" s="32" t="n">
        <x:f>AA421+X422-U422-AA421*V422/AB421</x:f>
        <x:v>6.474943775890701</x:v>
      </x:c>
      <x:c r="AB422" s="10" t="n">
        <x:f>Y422+Z422+AA422</x:f>
        <x:v>49.886974702521336</x:v>
      </x:c>
      <x:c r="AC422" s="8" t="n">
        <x:f>IF(AND(v01_WinterTrigger=1,D422=1,AB421/AE421&gt;=K422),1,0)</x:f>
        <x:v>0</x:v>
      </x:c>
      <x:c r="AD422" s="8" t="n">
        <x:f>H422*IF(AND(OR(AB421/AE421&gt;=v01_FissionTrigger*N422,AC422=1),AB421/AE421*v01_DaughterShare&gt;=v01_MinDaughter),MAX(1,ROUND(AE421*v01_FissionRate,0)),0)</x:f>
        <x:v>0</x:v>
      </x:c>
      <x:c r="AE422" s="8" t="n">
        <x:f>IF(H422=1,MAX(1,MIN(INDEX(v01_Smax,G422),AE421+AD422)),AE421)</x:f>
        <x:v>2</x:v>
      </x:c>
      <x:c r="AF422" s="8" t="n">
        <x:f>MAX(0,AE422-AE421)</x:f>
        <x:v>0</x:v>
      </x:c>
      <x:c r="AG422" s="9" t="str">
        <x:f>IF(AF422&gt;0,B422,"")</x:f>
      </x:c>
      <x:c r="AH422" s="9" t="n">
        <x:f>IF(F422&gt;=1,1,(1+v01_LowTiesShare*(AE422-1))/AE422)</x:f>
        <x:v>1</x:v>
      </x:c>
      <x:c r="AI422" s="32" t="n">
        <x:f>(Z422+v01_ElderCommons*INDEX(LM_Elder,G422)*AA422)*AH422</x:f>
        <x:v>38.68095983491321</x:v>
      </x:c>
      <x:c r="AJ422" s="32" t="n">
        <x:f>H422*v01_CommonsCoef*AI422^v01_CommonsExp*INDEX(LM_Commons,G422)</x:f>
        <x:v>14.75423143096071</x:v>
      </x:c>
      <x:c r="AK422" s="32" t="n">
        <x:f>H422*v01_RoleScale*Arch_Roles*(AE422*(INDEX(v01_ElderRolePerSett,G422)*v01_OutElder*INDEX(LM_Elder,G422)+INDEX(v01_ShamanPerSett,G422)*v01_OutShaman)+Z422*(INDEX(v01_PriestShare,G422)*v01_OutPriest+INDEX(v01_ScribeShare,G422)*v01_OutScribe*INDEX(LM_Scribe,G422)+INDEX(v01_ScholarShare,G422)*v01_OutScholar*INDEX(LM_Scholar,G422)+INDEX(v01_ResearcherShare,G422)*v01_OutResearcher*INDEX(LM_Researcher,G422)))</x:f>
        <x:v>2.724744871391589</x:v>
      </x:c>
      <x:c r="AL422" s="32" t="n">
        <x:f>H422*v01_RoleScale*Arch_Roles*AE422*INDEX(v01_MonasteryPerSett,G422)*v01_OutMonastery*INDEX(LM_Monastery,G422)</x:f>
        <x:v>0</x:v>
      </x:c>
      <x:c r="AM422" s="32" t="n">
        <x:f>(AJ422+AK422+AL422)/4*INDEX(LM_All,G422)*INDEX(v01_Boon,G422)*Arch_Insight</x:f>
        <x:v>4.478987677477776</x:v>
      </x:c>
      <x:c r="AN422" s="32" t="n">
        <x:f>H422*(v01_KHPerAdult*Z422+v01_KHOfCommons*AJ422/4*INDEX(LM_All,G422))*v01_KHUsable*Arch_KH</x:f>
        <x:v>0.7987228014769904</x:v>
      </x:c>
      <x:c r="AO422" s="32" t="n">
        <x:f>MIN(AP421+AN422,AM422*v01_KHMaxRatio)</x:f>
        <x:v>0.7987228014769904</x:v>
      </x:c>
      <x:c r="AP422" s="32" t="n">
        <x:f>AP421+AN422-AO422</x:f>
        <x:v>0</x:v>
      </x:c>
      <x:c r="AQ422" s="32" t="n">
        <x:f>AM422+AO422</x:f>
        <x:v>5.277710478954766</x:v>
      </x:c>
      <x:c r="AR422" s="10" t="n">
        <x:f>IF(H422=1,INDEX(v01_Req,G422),0)</x:f>
        <x:v>1067.32</x:v>
      </x:c>
      <x:c r="AS422" s="32" t="n">
        <x:f>IF(H422=1,IF(E422=1,AS421-AR421,AS421)+AQ422,0)</x:f>
        <x:v>663.2360553291011</x:v>
      </x:c>
      <x:c r="AT422" s="11" t="n">
        <x:f>IF(AR422&gt;0,MIN(1,AS422/AR422),1)</x:f>
        <x:v>0.6214031924156777</x:v>
      </x:c>
      <x:c r="AU422" s="10" t="n">
        <x:f>AB422/INDEX(v01_RepScale,G422)</x:f>
        <x:v>49.886974702521336</x:v>
      </x:c>
      <x:c r="AV422" s="32" t="n">
        <x:f>AM422*60/v01_SeasonSeconds</x:f>
        <x:v>17.915950709911105</x:v>
      </x:c>
    </x:row>
    <x:row r="423">
      <x:c r="A423" s="8" t="n">
        <x:f>A422+1</x:f>
        <x:v>420</x:v>
      </x:c>
      <x:c r="B423" s="9" t="n">
        <x:f>A423*v01_SeasonSeconds/60</x:f>
        <x:v>105</x:v>
      </x:c>
      <x:c r="C423" s="9" t="n">
        <x:f>A423/4</x:f>
        <x:v>105</x:v>
      </x:c>
      <x:c r="D423" s="8" t="n">
        <x:f>IF(MOD(A423,4)=0,1,0)</x:f>
        <x:v>1</x:v>
      </x:c>
      <x:c r="E423" s="8" t="n">
        <x:f>IF(AND(F422&lt;=9,AS422&gt;=AR422),1,0)</x:f>
        <x:v>0</x:v>
      </x:c>
      <x:c r="F423" s="8" t="n">
        <x:f>MIN(10,F422+E423)</x:f>
        <x:v>1</x:v>
      </x:c>
      <x:c r="G423" s="8" t="n">
        <x:f>MIN(F423,9)+1</x:f>
        <x:v>2</x:v>
      </x:c>
      <x:c r="H423" s="8" t="n">
        <x:f>IF(F423&lt;=9,1,0)</x:f>
        <x:v>1</x:v>
      </x:c>
      <x:c r="I423" s="9" t="n">
        <x:f>MIN(10,F422+IF(AR422&gt;0,MIN(1,AS422/AR422),1))</x:f>
        <x:v>1.6214031924156775</x:v>
      </x:c>
      <x:c r="J423" s="32" t="n">
        <x:f>INDEX(v01_FoodCap,G423)*Arch_FoodCap*EXP(v01_CapsByProject*SUMPRODUCT((Cap_Point&lt;=I423)*(Cap_Kind="Food")*Cap_Ln))</x:f>
        <x:v>30</x:v>
      </x:c>
      <x:c r="K423" s="32" t="n">
        <x:f>J423*MIN(1,v01_LeanBase*EXP(v01_CapsByProject*SUMPRODUCT((Cap_Point&lt;=I423)*(Cap_Kind="Lean")*Cap_Ln)))</x:f>
        <x:v>30</x:v>
      </x:c>
      <x:c r="L423" s="10" t="n">
        <x:f>INDEX(v01_HousingCap,G423)*EXP(v01_CapsByProject*SUMPRODUCT((Cap_Point&lt;=I423)*(Cap_Kind="Housing")*Cap_Ln))</x:f>
        <x:v>60</x:v>
      </x:c>
      <x:c r="M423" s="10" t="n">
        <x:f>INDEX(v01_GroupCap,G423)*v01_CohesionFactor*EXP(v01_CapsByProject*SUMPRODUCT((Cap_Point&lt;=I423)*(Cap_Kind="Group")*Cap_Ln))</x:f>
        <x:v>100</x:v>
      </x:c>
      <x:c r="N423" s="32" t="n">
        <x:f>MIN(J423,L423,M423)</x:f>
        <x:v>30</x:v>
      </x:c>
      <x:c r="O423" s="10" t="n">
        <x:f>AE422*N423</x:f>
        <x:v>60</x:v>
      </x:c>
      <x:c r="P423" s="9" t="n">
        <x:f>MIN(1,(AB422/(AE422*IF(v01_GroupInCrowding=1,N423,MIN(J423,L423))))^v01_CrowdingExp)</x:f>
        <x:v>0.33038133559405725</x:v>
      </x:c>
      <x:c r="Q423" s="9" t="n">
        <x:f>IF(D423=1,INDEX(v01_WinterMult,G423),1)</x:f>
        <x:v>1.6</x:v>
      </x:c>
      <x:c r="R423" s="9" t="n">
        <x:f>H423*Z422*v01_WomenShare*v01_BaseFertility*INDEX(v01_FertMult,G423)*Arch_Fertility*(1-P423)</x:f>
        <x:v>0.5730425309524235</x:v>
      </x:c>
      <x:c r="S423" s="9" t="n">
        <x:f>H423*Y422*INDEX(v01_MortChild,G423)/4*Q423</x:f>
        <x:v>0.28827931238203275</x:v>
      </x:c>
      <x:c r="T423" s="9" t="n">
        <x:f>H423*Z422*INDEX(v01_MortAdult,G423)*Arch_AdultMort/4*Q423</x:f>
        <x:v>0.11866738764801002</x:v>
      </x:c>
      <x:c r="U423" s="9" t="n">
        <x:f>H423*AA422*INDEX(v01_MortElder,G423)/4*Q423</x:f>
        <x:v>0.20719820082850246</x:v>
      </x:c>
      <x:c r="V423" s="9" t="n">
        <x:f>H423*MAX(0,AB422-O423)*v01_OvercapLoss</x:f>
        <x:v>0</x:v>
      </x:c>
      <x:c r="W423" s="9" t="n">
        <x:f>H423*Y422/(v01_ChildYears*4)</x:f>
        <x:v>0.36770320456891925</x:v>
      </x:c>
      <x:c r="X423" s="9" t="n">
        <x:f>H423*Z422/(v01_AdultYears*4)</x:f>
        <x:v>0.1840375118610577</x:v>
      </x:c>
      <x:c r="Y423" s="32" t="n">
        <x:f>Y422+R423-S423-W423-Y422*V423/AB422</x:f>
        <x:v>20.50843946986095</x:v>
      </x:c>
      <x:c r="Z423" s="32" t="n">
        <x:f>Z422+W423-X423-T423-Z422*V423/AB422</x:f>
        <x:v>22.88564977583101</x:v>
      </x:c>
      <x:c r="AA423" s="32" t="n">
        <x:f>AA422+X423-U423-AA422*V423/AB422</x:f>
        <x:v>6.451783086923256</x:v>
      </x:c>
      <x:c r="AB423" s="10" t="n">
        <x:f>Y423+Z423+AA423</x:f>
        <x:v>49.845872332615215</x:v>
      </x:c>
      <x:c r="AC423" s="8" t="n">
        <x:f>IF(AND(v01_WinterTrigger=1,D423=1,AB422/AE422&gt;=K423),1,0)</x:f>
        <x:v>0</x:v>
      </x:c>
      <x:c r="AD423" s="8" t="n">
        <x:f>H423*IF(AND(OR(AB422/AE422&gt;=v01_FissionTrigger*N423,AC423=1),AB422/AE422*v01_DaughterShare&gt;=v01_MinDaughter),MAX(1,ROUND(AE422*v01_FissionRate,0)),0)</x:f>
        <x:v>0</x:v>
      </x:c>
      <x:c r="AE423" s="8" t="n">
        <x:f>IF(H423=1,MAX(1,MIN(INDEX(v01_Smax,G423),AE422+AD423)),AE422)</x:f>
        <x:v>2</x:v>
      </x:c>
      <x:c r="AF423" s="8" t="n">
        <x:f>MAX(0,AE423-AE422)</x:f>
        <x:v>0</x:v>
      </x:c>
      <x:c r="AG423" s="9" t="str">
        <x:f>IF(AF423&gt;0,B423,"")</x:f>
      </x:c>
      <x:c r="AH423" s="9" t="n">
        <x:f>IF(F423&gt;=1,1,(1+v01_LowTiesShare*(AE423-1))/AE423)</x:f>
        <x:v>1</x:v>
      </x:c>
      <x:c r="AI423" s="32" t="n">
        <x:f>(Z423+v01_ElderCommons*INDEX(LM_Elder,G423)*AA423)*AH423</x:f>
        <x:v>38.689226269911515</x:v>
      </x:c>
      <x:c r="AJ423" s="32" t="n">
        <x:f>H423*v01_CommonsCoef*AI423^v01_CommonsExp*INDEX(LM_Commons,G423)</x:f>
        <x:v>14.756911522141356</x:v>
      </x:c>
      <x:c r="AK423" s="32" t="n">
        <x:f>H423*v01_RoleScale*Arch_Roles*(AE423*(INDEX(v01_ElderRolePerSett,G423)*v01_OutElder*INDEX(LM_Elder,G423)+INDEX(v01_ShamanPerSett,G423)*v01_OutShaman)+Z423*(INDEX(v01_PriestShare,G423)*v01_OutPriest+INDEX(v01_ScribeShare,G423)*v01_OutScribe*INDEX(LM_Scribe,G423)+INDEX(v01_ScholarShare,G423)*v01_OutScholar*INDEX(LM_Scholar,G423)+INDEX(v01_ResearcherShare,G423)*v01_OutResearcher*INDEX(LM_Researcher,G423)))</x:f>
        <x:v>2.724744871391589</x:v>
      </x:c>
      <x:c r="AL423" s="32" t="n">
        <x:f>H423*v01_RoleScale*Arch_Roles*AE423*INDEX(v01_MonasteryPerSett,G423)*v01_OutMonastery*INDEX(LM_Monastery,G423)</x:f>
        <x:v>0</x:v>
      </x:c>
      <x:c r="AM423" s="32" t="n">
        <x:f>(AJ423+AK423+AL423)/4*INDEX(LM_All,G423)*INDEX(v01_Boon,G423)*Arch_Insight</x:f>
        <x:v>4.479674450842817</x:v>
      </x:c>
      <x:c r="AN423" s="32" t="n">
        <x:f>H423*(v01_KHPerAdult*Z423+v01_KHOfCommons*AJ423/4*INDEX(LM_All,G423))*v01_KHUsable*Arch_KH</x:f>
        <x:v>0.8009977421540854</x:v>
      </x:c>
      <x:c r="AO423" s="32" t="n">
        <x:f>MIN(AP422+AN423,AM423*v01_KHMaxRatio)</x:f>
        <x:v>0.8009977421540854</x:v>
      </x:c>
      <x:c r="AP423" s="32" t="n">
        <x:f>AP422+AN423-AO423</x:f>
        <x:v>0</x:v>
      </x:c>
      <x:c r="AQ423" s="32" t="n">
        <x:f>AM423+AO423</x:f>
        <x:v>5.280672192996902</x:v>
      </x:c>
      <x:c r="AR423" s="10" t="n">
        <x:f>IF(H423=1,INDEX(v01_Req,G423),0)</x:f>
        <x:v>1067.32</x:v>
      </x:c>
      <x:c r="AS423" s="32" t="n">
        <x:f>IF(H423=1,IF(E423=1,AS422-AR422,AS422)+AQ423,0)</x:f>
        <x:v>668.516727522098</x:v>
      </x:c>
      <x:c r="AT423" s="11" t="n">
        <x:f>IF(AR423&gt;0,MIN(1,AS423/AR423),1)</x:f>
        <x:v>0.6263507921917495</x:v>
      </x:c>
      <x:c r="AU423" s="10" t="n">
        <x:f>AB423/INDEX(v01_RepScale,G423)</x:f>
        <x:v>49.845872332615215</x:v>
      </x:c>
      <x:c r="AV423" s="32" t="n">
        <x:f>AM423*60/v01_SeasonSeconds</x:f>
        <x:v>17.918697803371266</x:v>
      </x:c>
    </x:row>
    <x:row r="424">
      <x:c r="A424" s="8" t="n">
        <x:f>A423+1</x:f>
        <x:v>421</x:v>
      </x:c>
      <x:c r="B424" s="9" t="n">
        <x:f>A424*v01_SeasonSeconds/60</x:f>
        <x:v>105.25</x:v>
      </x:c>
      <x:c r="C424" s="9" t="n">
        <x:f>A424/4</x:f>
        <x:v>105.25</x:v>
      </x:c>
      <x:c r="D424" s="8" t="n">
        <x:f>IF(MOD(A424,4)=0,1,0)</x:f>
        <x:v>0</x:v>
      </x:c>
      <x:c r="E424" s="8" t="n">
        <x:f>IF(AND(F423&lt;=9,AS423&gt;=AR423),1,0)</x:f>
        <x:v>0</x:v>
      </x:c>
      <x:c r="F424" s="8" t="n">
        <x:f>MIN(10,F423+E424)</x:f>
        <x:v>1</x:v>
      </x:c>
      <x:c r="G424" s="8" t="n">
        <x:f>MIN(F424,9)+1</x:f>
        <x:v>2</x:v>
      </x:c>
      <x:c r="H424" s="8" t="n">
        <x:f>IF(F424&lt;=9,1,0)</x:f>
        <x:v>1</x:v>
      </x:c>
      <x:c r="I424" s="9" t="n">
        <x:f>MIN(10,F423+IF(AR423&gt;0,MIN(1,AS423/AR423),1))</x:f>
        <x:v>1.6263507921917495</x:v>
      </x:c>
      <x:c r="J424" s="32" t="n">
        <x:f>INDEX(v01_FoodCap,G424)*Arch_FoodCap*EXP(v01_CapsByProject*SUMPRODUCT((Cap_Point&lt;=I424)*(Cap_Kind="Food")*Cap_Ln))</x:f>
        <x:v>30</x:v>
      </x:c>
      <x:c r="K424" s="32" t="n">
        <x:f>J424*MIN(1,v01_LeanBase*EXP(v01_CapsByProject*SUMPRODUCT((Cap_Point&lt;=I424)*(Cap_Kind="Lean")*Cap_Ln)))</x:f>
        <x:v>30</x:v>
      </x:c>
      <x:c r="L424" s="10" t="n">
        <x:f>INDEX(v01_HousingCap,G424)*EXP(v01_CapsByProject*SUMPRODUCT((Cap_Point&lt;=I424)*(Cap_Kind="Housing")*Cap_Ln))</x:f>
        <x:v>60</x:v>
      </x:c>
      <x:c r="M424" s="10" t="n">
        <x:f>INDEX(v01_GroupCap,G424)*v01_CohesionFactor*EXP(v01_CapsByProject*SUMPRODUCT((Cap_Point&lt;=I424)*(Cap_Kind="Group")*Cap_Ln))</x:f>
        <x:v>100</x:v>
      </x:c>
      <x:c r="N424" s="32" t="n">
        <x:f>MIN(J424,L424,M424)</x:f>
        <x:v>30</x:v>
      </x:c>
      <x:c r="O424" s="10" t="n">
        <x:f>AE423*N424</x:f>
        <x:v>60</x:v>
      </x:c>
      <x:c r="P424" s="9" t="n">
        <x:f>MIN(1,(AB423/(AE423*IF(v01_GroupInCrowding=1,N424,MIN(J424,L424))))^v01_CrowdingExp)</x:f>
        <x:v>0.3287514693571253</x:v>
      </x:c>
      <x:c r="Q424" s="9" t="n">
        <x:f>IF(D424=1,INDEX(v01_WinterMult,G424),1)</x:f>
        <x:v>1</x:v>
      </x:c>
      <x:c r="R424" s="9" t="n">
        <x:f>H424*Z423*v01_WomenShare*v01_BaseFertility*INDEX(v01_FertMult,G424)*Arch_Fertility*(1-P424)</x:f>
        <x:v>0.576073454431275</x:v>
      </x:c>
      <x:c r="S424" s="9" t="n">
        <x:f>H424*Y423*INDEX(v01_MortChild,G424)/4*Q424</x:f>
        <x:v>0.17944884536128333</x:v>
      </x:c>
      <x:c r="T424" s="9" t="n">
        <x:f>H424*Z423*INDEX(v01_MortAdult,G424)*Arch_AdultMort/4*Q424</x:f>
        <x:v>0.07437836177145078</x:v>
      </x:c>
      <x:c r="U424" s="9" t="n">
        <x:f>H424*AA423*INDEX(v01_MortElder,G424)/4*Q424</x:f>
        <x:v>0.12903566173846512</x:v>
      </x:c>
      <x:c r="V424" s="9" t="n">
        <x:f>H424*MAX(0,AB423-O424)*v01_OvercapLoss</x:f>
        <x:v>0</x:v>
      </x:c>
      <x:c r="W424" s="9" t="n">
        <x:f>H424*Y423/(v01_ChildYears*4)</x:f>
        <x:v>0.36622213339037407</x:v>
      </x:c>
      <x:c r="X424" s="9" t="n">
        <x:f>H424*Z423/(v01_AdultYears*4)</x:f>
        <x:v>0.18456169174057266</x:v>
      </x:c>
      <x:c r="Y424" s="32" t="n">
        <x:f>Y423+R424-S424-W424-Y423*V424/AB423</x:f>
        <x:v>20.538841945540568</x:v>
      </x:c>
      <x:c r="Z424" s="32" t="n">
        <x:f>Z423+W424-X424-T424-Z423*V424/AB423</x:f>
        <x:v>22.992931855709358</x:v>
      </x:c>
      <x:c r="AA424" s="32" t="n">
        <x:f>AA423+X424-U424-AA423*V424/AB423</x:f>
        <x:v>6.507309116925364</x:v>
      </x:c>
      <x:c r="AB424" s="10" t="n">
        <x:f>Y424+Z424+AA424</x:f>
        <x:v>50.03908291817529</x:v>
      </x:c>
      <x:c r="AC424" s="8" t="n">
        <x:f>IF(AND(v01_WinterTrigger=1,D424=1,AB423/AE423&gt;=K424),1,0)</x:f>
        <x:v>0</x:v>
      </x:c>
      <x:c r="AD424" s="8" t="n">
        <x:f>H424*IF(AND(OR(AB423/AE423&gt;=v01_FissionTrigger*N424,AC424=1),AB423/AE423*v01_DaughterShare&gt;=v01_MinDaughter),MAX(1,ROUND(AE423*v01_FissionRate,0)),0)</x:f>
        <x:v>0</x:v>
      </x:c>
      <x:c r="AE424" s="8" t="n">
        <x:f>IF(H424=1,MAX(1,MIN(INDEX(v01_Smax,G424),AE423+AD424)),AE423)</x:f>
        <x:v>2</x:v>
      </x:c>
      <x:c r="AF424" s="8" t="n">
        <x:f>MAX(0,AE424-AE423)</x:f>
        <x:v>0</x:v>
      </x:c>
      <x:c r="AG424" s="9" t="str">
        <x:f>IF(AF424&gt;0,B424,"")</x:f>
      </x:c>
      <x:c r="AH424" s="9" t="n">
        <x:f>IF(F424&gt;=1,1,(1+v01_LowTiesShare*(AE424-1))/AE424)</x:f>
        <x:v>1</x:v>
      </x:c>
      <x:c r="AI424" s="32" t="n">
        <x:f>(Z424+v01_ElderCommons*INDEX(LM_Elder,G424)*AA424)*AH424</x:f>
        <x:v>38.9325187907375</x:v>
      </x:c>
      <x:c r="AJ424" s="32" t="n">
        <x:f>H424*v01_CommonsCoef*AI424^v01_CommonsExp*INDEX(LM_Commons,G424)</x:f>
        <x:v>14.83575190620256</x:v>
      </x:c>
      <x:c r="AK424" s="32" t="n">
        <x:f>H424*v01_RoleScale*Arch_Roles*(AE424*(INDEX(v01_ElderRolePerSett,G424)*v01_OutElder*INDEX(LM_Elder,G424)+INDEX(v01_ShamanPerSett,G424)*v01_OutShaman)+Z424*(INDEX(v01_PriestShare,G424)*v01_OutPriest+INDEX(v01_ScribeShare,G424)*v01_OutScribe*INDEX(LM_Scribe,G424)+INDEX(v01_ScholarShare,G424)*v01_OutScholar*INDEX(LM_Scholar,G424)+INDEX(v01_ResearcherShare,G424)*v01_OutResearcher*INDEX(LM_Researcher,G424)))</x:f>
        <x:v>2.724744871391589</x:v>
      </x:c>
      <x:c r="AL424" s="32" t="n">
        <x:f>H424*v01_RoleScale*Arch_Roles*AE424*INDEX(v01_MonasteryPerSett,G424)*v01_OutMonastery*INDEX(LM_Monastery,G424)</x:f>
        <x:v>0</x:v>
      </x:c>
      <x:c r="AM424" s="32" t="n">
        <x:f>(AJ424+AK424+AL424)/4*INDEX(LM_All,G424)*INDEX(v01_Boon,G424)*Arch_Insight</x:f>
        <x:v>4.4998772992585</x:v>
      </x:c>
      <x:c r="AN424" s="32" t="n">
        <x:f>H424*(v01_KHPerAdult*Z424+v01_KHOfCommons*AJ424/4*INDEX(LM_All,G424))*v01_KHUsable*Arch_KH</x:f>
        <x:v>0.8047526149498275</x:v>
      </x:c>
      <x:c r="AO424" s="32" t="n">
        <x:f>MIN(AP423+AN424,AM424*v01_KHMaxRatio)</x:f>
        <x:v>0.8047526149498275</x:v>
      </x:c>
      <x:c r="AP424" s="32" t="n">
        <x:f>AP423+AN424-AO424</x:f>
        <x:v>0</x:v>
      </x:c>
      <x:c r="AQ424" s="32" t="n">
        <x:f>AM424+AO424</x:f>
        <x:v>5.304629914208328</x:v>
      </x:c>
      <x:c r="AR424" s="10" t="n">
        <x:f>IF(H424=1,INDEX(v01_Req,G424),0)</x:f>
        <x:v>1067.32</x:v>
      </x:c>
      <x:c r="AS424" s="32" t="n">
        <x:f>IF(H424=1,IF(E424=1,AS423-AR423,AS423)+AQ424,0)</x:f>
        <x:v>673.8213574363064</x:v>
      </x:c>
      <x:c r="AT424" s="11" t="n">
        <x:f>IF(AR424&gt;0,MIN(1,AS424/AR424),1)</x:f>
        <x:v>0.6313208385829052</x:v>
      </x:c>
      <x:c r="AU424" s="10" t="n">
        <x:f>AB424/INDEX(v01_RepScale,G424)</x:f>
        <x:v>50.03908291817529</x:v>
      </x:c>
      <x:c r="AV424" s="32" t="n">
        <x:f>AM424*60/v01_SeasonSeconds</x:f>
        <x:v>17.999509197034</x:v>
      </x:c>
    </x:row>
    <x:row r="425">
      <x:c r="A425" s="8" t="n">
        <x:f>A424+1</x:f>
        <x:v>422</x:v>
      </x:c>
      <x:c r="B425" s="9" t="n">
        <x:f>A425*v01_SeasonSeconds/60</x:f>
        <x:v>105.5</x:v>
      </x:c>
      <x:c r="C425" s="9" t="n">
        <x:f>A425/4</x:f>
        <x:v>105.5</x:v>
      </x:c>
      <x:c r="D425" s="8" t="n">
        <x:f>IF(MOD(A425,4)=0,1,0)</x:f>
        <x:v>0</x:v>
      </x:c>
      <x:c r="E425" s="8" t="n">
        <x:f>IF(AND(F424&lt;=9,AS424&gt;=AR424),1,0)</x:f>
        <x:v>0</x:v>
      </x:c>
      <x:c r="F425" s="8" t="n">
        <x:f>MIN(10,F424+E425)</x:f>
        <x:v>1</x:v>
      </x:c>
      <x:c r="G425" s="8" t="n">
        <x:f>MIN(F425,9)+1</x:f>
        <x:v>2</x:v>
      </x:c>
      <x:c r="H425" s="8" t="n">
        <x:f>IF(F425&lt;=9,1,0)</x:f>
        <x:v>1</x:v>
      </x:c>
      <x:c r="I425" s="9" t="n">
        <x:f>MIN(10,F424+IF(AR424&gt;0,MIN(1,AS424/AR424),1))</x:f>
        <x:v>1.6313208385829052</x:v>
      </x:c>
      <x:c r="J425" s="32" t="n">
        <x:f>INDEX(v01_FoodCap,G425)*Arch_FoodCap*EXP(v01_CapsByProject*SUMPRODUCT((Cap_Point&lt;=I425)*(Cap_Kind="Food")*Cap_Ln))</x:f>
        <x:v>30</x:v>
      </x:c>
      <x:c r="K425" s="32" t="n">
        <x:f>J425*MIN(1,v01_LeanBase*EXP(v01_CapsByProject*SUMPRODUCT((Cap_Point&lt;=I425)*(Cap_Kind="Lean")*Cap_Ln)))</x:f>
        <x:v>30</x:v>
      </x:c>
      <x:c r="L425" s="10" t="n">
        <x:f>INDEX(v01_HousingCap,G425)*EXP(v01_CapsByProject*SUMPRODUCT((Cap_Point&lt;=I425)*(Cap_Kind="Housing")*Cap_Ln))</x:f>
        <x:v>60</x:v>
      </x:c>
      <x:c r="M425" s="10" t="n">
        <x:f>INDEX(v01_GroupCap,G425)*v01_CohesionFactor*EXP(v01_CapsByProject*SUMPRODUCT((Cap_Point&lt;=I425)*(Cap_Kind="Group")*Cap_Ln))</x:f>
        <x:v>100</x:v>
      </x:c>
      <x:c r="N425" s="32" t="n">
        <x:f>MIN(J425,L425,M425)</x:f>
        <x:v>30</x:v>
      </x:c>
      <x:c r="O425" s="10" t="n">
        <x:f>AE424*N425</x:f>
        <x:v>60</x:v>
      </x:c>
      <x:c r="P425" s="9" t="n">
        <x:f>MIN(1,(AB424/(AE424*IF(v01_GroupInCrowding=1,N425,MIN(J425,L425))))^v01_CrowdingExp)</x:f>
        <x:v>0.33647170399617027</x:v>
      </x:c>
      <x:c r="Q425" s="9" t="n">
        <x:f>IF(D425=1,INDEX(v01_WinterMult,G425),1)</x:f>
        <x:v>1</x:v>
      </x:c>
      <x:c r="R425" s="9" t="n">
        <x:f>H425*Z424*v01_WomenShare*v01_BaseFertility*INDEX(v01_FertMult,G425)*Arch_Fertility*(1-P425)</x:f>
        <x:v>0.5721172835381627</x:v>
      </x:c>
      <x:c r="S425" s="9" t="n">
        <x:f>H425*Y424*INDEX(v01_MortChild,G425)/4*Q425</x:f>
        <x:v>0.17971486702348</x:v>
      </x:c>
      <x:c r="T425" s="9" t="n">
        <x:f>H425*Z424*INDEX(v01_MortAdult,G425)*Arch_AdultMort/4*Q425</x:f>
        <x:v>0.07472702853105541</x:v>
      </x:c>
      <x:c r="U425" s="9" t="n">
        <x:f>H425*AA424*INDEX(v01_MortElder,G425)/4*Q425</x:f>
        <x:v>0.13014618233850728</x:v>
      </x:c>
      <x:c r="V425" s="9" t="n">
        <x:f>H425*MAX(0,AB424-O425)*v01_OvercapLoss</x:f>
        <x:v>0</x:v>
      </x:c>
      <x:c r="W425" s="9" t="n">
        <x:f>H425*Y424/(v01_ChildYears*4)</x:f>
        <x:v>0.36676503474179584</x:v>
      </x:c>
      <x:c r="X425" s="9" t="n">
        <x:f>H425*Z424/(v01_AdultYears*4)</x:f>
        <x:v>0.18542686980410772</x:v>
      </x:c>
      <x:c r="Y425" s="32" t="n">
        <x:f>Y424+R425-S425-W425-Y424*V425/AB424</x:f>
        <x:v>20.564479327313453</x:v>
      </x:c>
      <x:c r="Z425" s="32" t="n">
        <x:f>Z424+W425-X425-T425-Z424*V425/AB424</x:f>
        <x:v>23.099542992115992</x:v>
      </x:c>
      <x:c r="AA425" s="32" t="n">
        <x:f>AA424+X425-U425-AA424*V425/AB424</x:f>
        <x:v>6.562589804390964</x:v>
      </x:c>
      <x:c r="AB425" s="10" t="n">
        <x:f>Y425+Z425+AA425</x:f>
        <x:v>50.226612123820416</x:v>
      </x:c>
      <x:c r="AC425" s="8" t="n">
        <x:f>IF(AND(v01_WinterTrigger=1,D425=1,AB424/AE424&gt;=K425),1,0)</x:f>
        <x:v>0</x:v>
      </x:c>
      <x:c r="AD425" s="8" t="n">
        <x:f>H425*IF(AND(OR(AB424/AE424&gt;=v01_FissionTrigger*N425,AC425=1),AB424/AE424*v01_DaughterShare&gt;=v01_MinDaughter),MAX(1,ROUND(AE424*v01_FissionRate,0)),0)</x:f>
        <x:v>0</x:v>
      </x:c>
      <x:c r="AE425" s="8" t="n">
        <x:f>IF(H425=1,MAX(1,MIN(INDEX(v01_Smax,G425),AE424+AD425)),AE424)</x:f>
        <x:v>2</x:v>
      </x:c>
      <x:c r="AF425" s="8" t="n">
        <x:f>MAX(0,AE425-AE424)</x:f>
        <x:v>0</x:v>
      </x:c>
      <x:c r="AG425" s="9" t="str">
        <x:f>IF(AF425&gt;0,B425,"")</x:f>
      </x:c>
      <x:c r="AH425" s="9" t="n">
        <x:f>IF(F425&gt;=1,1,(1+v01_LowTiesShare*(AE425-1))/AE425)</x:f>
        <x:v>1</x:v>
      </x:c>
      <x:c r="AI425" s="32" t="n">
        <x:f>(Z425+v01_ElderCommons*INDEX(LM_Elder,G425)*AA425)*AH425</x:f>
        <x:v>39.174539404065115</x:v>
      </x:c>
      <x:c r="AJ425" s="32" t="n">
        <x:f>H425*v01_CommonsCoef*AI425^v01_CommonsExp*INDEX(LM_Commons,G425)</x:f>
        <x:v>14.914106830532548</x:v>
      </x:c>
      <x:c r="AK425" s="32" t="n">
        <x:f>H425*v01_RoleScale*Arch_Roles*(AE425*(INDEX(v01_ElderRolePerSett,G425)*v01_OutElder*INDEX(LM_Elder,G425)+INDEX(v01_ShamanPerSett,G425)*v01_OutShaman)+Z425*(INDEX(v01_PriestShare,G425)*v01_OutPriest+INDEX(v01_ScribeShare,G425)*v01_OutScribe*INDEX(LM_Scribe,G425)+INDEX(v01_ScholarShare,G425)*v01_OutScholar*INDEX(LM_Scholar,G425)+INDEX(v01_ResearcherShare,G425)*v01_OutResearcher*INDEX(LM_Researcher,G425)))</x:f>
        <x:v>2.724744871391589</x:v>
      </x:c>
      <x:c r="AL425" s="32" t="n">
        <x:f>H425*v01_RoleScale*Arch_Roles*AE425*INDEX(v01_MonasteryPerSett,G425)*v01_OutMonastery*INDEX(LM_Monastery,G425)</x:f>
        <x:v>0</x:v>
      </x:c>
      <x:c r="AM425" s="32" t="n">
        <x:f>(AJ425+AK425+AL425)/4*INDEX(LM_All,G425)*INDEX(v01_Boon,G425)*Arch_Insight</x:f>
        <x:v>4.5199557486180595</x:v>
      </x:c>
      <x:c r="AN425" s="32" t="n">
        <x:f>H425*(v01_KHPerAdult*Z425+v01_KHOfCommons*AJ425/4*INDEX(LM_All,G425))*v01_KHUsable*Arch_KH</x:f>
        <x:v>0.8084840047240597</x:v>
      </x:c>
      <x:c r="AO425" s="32" t="n">
        <x:f>MIN(AP424+AN425,AM425*v01_KHMaxRatio)</x:f>
        <x:v>0.8084840047240597</x:v>
      </x:c>
      <x:c r="AP425" s="32" t="n">
        <x:f>AP424+AN425-AO425</x:f>
        <x:v>0</x:v>
      </x:c>
      <x:c r="AQ425" s="32" t="n">
        <x:f>AM425+AO425</x:f>
        <x:v>5.328439753342119</x:v>
      </x:c>
      <x:c r="AR425" s="10" t="n">
        <x:f>IF(H425=1,INDEX(v01_Req,G425),0)</x:f>
        <x:v>1067.32</x:v>
      </x:c>
      <x:c r="AS425" s="32" t="n">
        <x:f>IF(H425=1,IF(E425=1,AS424-AR424,AS424)+AQ425,0)</x:f>
        <x:v>679.1497971896484</x:v>
      </x:c>
      <x:c r="AT425" s="11" t="n">
        <x:f>IF(AR425&gt;0,MIN(1,AS425/AR425),1)</x:f>
        <x:v>0.6363131930345618</x:v>
      </x:c>
      <x:c r="AU425" s="10" t="n">
        <x:f>AB425/INDEX(v01_RepScale,G425)</x:f>
        <x:v>50.226612123820416</x:v>
      </x:c>
      <x:c r="AV425" s="32" t="n">
        <x:f>AM425*60/v01_SeasonSeconds</x:f>
        <x:v>18.079822994472238</x:v>
      </x:c>
    </x:row>
    <x:row r="426">
      <x:c r="A426" s="8" t="n">
        <x:f>A425+1</x:f>
        <x:v>423</x:v>
      </x:c>
      <x:c r="B426" s="9" t="n">
        <x:f>A426*v01_SeasonSeconds/60</x:f>
        <x:v>105.75</x:v>
      </x:c>
      <x:c r="C426" s="9" t="n">
        <x:f>A426/4</x:f>
        <x:v>105.75</x:v>
      </x:c>
      <x:c r="D426" s="8" t="n">
        <x:f>IF(MOD(A426,4)=0,1,0)</x:f>
        <x:v>0</x:v>
      </x:c>
      <x:c r="E426" s="8" t="n">
        <x:f>IF(AND(F425&lt;=9,AS425&gt;=AR425),1,0)</x:f>
        <x:v>0</x:v>
      </x:c>
      <x:c r="F426" s="8" t="n">
        <x:f>MIN(10,F425+E426)</x:f>
        <x:v>1</x:v>
      </x:c>
      <x:c r="G426" s="8" t="n">
        <x:f>MIN(F426,9)+1</x:f>
        <x:v>2</x:v>
      </x:c>
      <x:c r="H426" s="8" t="n">
        <x:f>IF(F426&lt;=9,1,0)</x:f>
        <x:v>1</x:v>
      </x:c>
      <x:c r="I426" s="9" t="n">
        <x:f>MIN(10,F425+IF(AR425&gt;0,MIN(1,AS425/AR425),1))</x:f>
        <x:v>1.6363131930345618</x:v>
      </x:c>
      <x:c r="J426" s="32" t="n">
        <x:f>INDEX(v01_FoodCap,G426)*Arch_FoodCap*EXP(v01_CapsByProject*SUMPRODUCT((Cap_Point&lt;=I426)*(Cap_Kind="Food")*Cap_Ln))</x:f>
        <x:v>30</x:v>
      </x:c>
      <x:c r="K426" s="32" t="n">
        <x:f>J426*MIN(1,v01_LeanBase*EXP(v01_CapsByProject*SUMPRODUCT((Cap_Point&lt;=I426)*(Cap_Kind="Lean")*Cap_Ln)))</x:f>
        <x:v>30</x:v>
      </x:c>
      <x:c r="L426" s="10" t="n">
        <x:f>INDEX(v01_HousingCap,G426)*EXP(v01_CapsByProject*SUMPRODUCT((Cap_Point&lt;=I426)*(Cap_Kind="Housing")*Cap_Ln))</x:f>
        <x:v>60</x:v>
      </x:c>
      <x:c r="M426" s="10" t="n">
        <x:f>INDEX(v01_GroupCap,G426)*v01_CohesionFactor*EXP(v01_CapsByProject*SUMPRODUCT((Cap_Point&lt;=I426)*(Cap_Kind="Group")*Cap_Ln))</x:f>
        <x:v>100</x:v>
      </x:c>
      <x:c r="N426" s="32" t="n">
        <x:f>MIN(J426,L426,M426)</x:f>
        <x:v>30</x:v>
      </x:c>
      <x:c r="O426" s="10" t="n">
        <x:f>AE425*N426</x:f>
        <x:v>60</x:v>
      </x:c>
      <x:c r="P426" s="9" t="n">
        <x:f>MIN(1,(AB425/(AE425*IF(v01_GroupInCrowding=1,N426,MIN(J426,L426))))^v01_CrowdingExp)</x:f>
        <x:v>0.3441088235847878</x:v>
      </x:c>
      <x:c r="Q426" s="9" t="n">
        <x:f>IF(D426=1,INDEX(v01_WinterMult,G426),1)</x:f>
        <x:v>1</x:v>
      </x:c>
      <x:c r="R426" s="9" t="n">
        <x:f>H426*Z425*v01_WomenShare*v01_BaseFertility*INDEX(v01_FertMult,G426)*Arch_Fertility*(1-P426)</x:f>
        <x:v>0.5681544910407273</x:v>
      </x:c>
      <x:c r="S426" s="9" t="n">
        <x:f>H426*Y425*INDEX(v01_MortChild,G426)/4*Q426</x:f>
        <x:v>0.17993919411399273</x:v>
      </x:c>
      <x:c r="T426" s="9" t="n">
        <x:f>H426*Z425*INDEX(v01_MortAdult,G426)*Arch_AdultMort/4*Q426</x:f>
        <x:v>0.07507351472437697</x:v>
      </x:c>
      <x:c r="U426" s="9" t="n">
        <x:f>H426*AA425*INDEX(v01_MortElder,G426)/4*Q426</x:f>
        <x:v>0.13125179608781928</x:v>
      </x:c>
      <x:c r="V426" s="9" t="n">
        <x:f>H426*MAX(0,AB425-O426)*v01_OvercapLoss</x:f>
        <x:v>0</x:v>
      </x:c>
      <x:c r="W426" s="9" t="n">
        <x:f>H426*Y425/(v01_ChildYears*4)</x:f>
        <x:v>0.3672228451305974</x:v>
      </x:c>
      <x:c r="X426" s="9" t="n">
        <x:f>H426*Z425/(v01_AdultYears*4)</x:f>
        <x:v>0.18628663703319348</x:v>
      </x:c>
      <x:c r="Y426" s="32" t="n">
        <x:f>Y425+R426-S426-W426-Y425*V426/AB425</x:f>
        <x:v>20.58547177910959</x:v>
      </x:c>
      <x:c r="Z426" s="32" t="n">
        <x:f>Z425+W426-X426-T426-Z425*V426/AB425</x:f>
        <x:v>23.20540568548902</x:v>
      </x:c>
      <x:c r="AA426" s="32" t="n">
        <x:f>AA425+X426-U426-AA425*V426/AB425</x:f>
        <x:v>6.617624645336337</x:v>
      </x:c>
      <x:c r="AB426" s="10" t="n">
        <x:f>Y426+Z426+AA426</x:f>
        <x:v>50.40850210993494</x:v>
      </x:c>
      <x:c r="AC426" s="8" t="n">
        <x:f>IF(AND(v01_WinterTrigger=1,D426=1,AB425/AE425&gt;=K426),1,0)</x:f>
        <x:v>0</x:v>
      </x:c>
      <x:c r="AD426" s="8" t="n">
        <x:f>H426*IF(AND(OR(AB425/AE425&gt;=v01_FissionTrigger*N426,AC426=1),AB425/AE425*v01_DaughterShare&gt;=v01_MinDaughter),MAX(1,ROUND(AE425*v01_FissionRate,0)),0)</x:f>
        <x:v>0</x:v>
      </x:c>
      <x:c r="AE426" s="8" t="n">
        <x:f>IF(H426=1,MAX(1,MIN(INDEX(v01_Smax,G426),AE425+AD426)),AE425)</x:f>
        <x:v>2</x:v>
      </x:c>
      <x:c r="AF426" s="8" t="n">
        <x:f>MAX(0,AE426-AE425)</x:f>
        <x:v>0</x:v>
      </x:c>
      <x:c r="AG426" s="9" t="str">
        <x:f>IF(AF426&gt;0,B426,"")</x:f>
      </x:c>
      <x:c r="AH426" s="9" t="n">
        <x:f>IF(F426&gt;=1,1,(1+v01_LowTiesShare*(AE426-1))/AE426)</x:f>
        <x:v>1</x:v>
      </x:c>
      <x:c r="AI426" s="32" t="n">
        <x:f>(Z426+v01_ElderCommons*INDEX(LM_Elder,G426)*AA426)*AH426</x:f>
        <x:v>39.41520937582955</x:v>
      </x:c>
      <x:c r="AJ426" s="32" t="n">
        <x:f>H426*v01_CommonsCoef*AI426^v01_CommonsExp*INDEX(LM_Commons,G426)</x:f>
        <x:v>14.991952507482125</x:v>
      </x:c>
      <x:c r="AK426" s="32" t="n">
        <x:f>H426*v01_RoleScale*Arch_Roles*(AE426*(INDEX(v01_ElderRolePerSett,G426)*v01_OutElder*INDEX(LM_Elder,G426)+INDEX(v01_ShamanPerSett,G426)*v01_OutShaman)+Z426*(INDEX(v01_PriestShare,G426)*v01_OutPriest+INDEX(v01_ScribeShare,G426)*v01_OutScribe*INDEX(LM_Scribe,G426)+INDEX(v01_ScholarShare,G426)*v01_OutScholar*INDEX(LM_Scholar,G426)+INDEX(v01_ResearcherShare,G426)*v01_OutResearcher*INDEX(LM_Researcher,G426)))</x:f>
        <x:v>2.724744871391589</x:v>
      </x:c>
      <x:c r="AL426" s="32" t="n">
        <x:f>H426*v01_RoleScale*Arch_Roles*AE426*INDEX(v01_MonasteryPerSett,G426)*v01_OutMonastery*INDEX(LM_Monastery,G426)</x:f>
        <x:v>0</x:v>
      </x:c>
      <x:c r="AM426" s="32" t="n">
        <x:f>(AJ426+AK426+AL426)/4*INDEX(LM_All,G426)*INDEX(v01_Boon,G426)*Arch_Insight</x:f>
        <x:v>4.539903703336389</x:v>
      </x:c>
      <x:c r="AN426" s="32" t="n">
        <x:f>H426*(v01_KHPerAdult*Z426+v01_KHOfCommons*AJ426/4*INDEX(LM_All,G426))*v01_KHUsable*Arch_KH</x:f>
        <x:v>0.8121891989921156</x:v>
      </x:c>
      <x:c r="AO426" s="32" t="n">
        <x:f>MIN(AP425+AN426,AM426*v01_KHMaxRatio)</x:f>
        <x:v>0.8121891989921156</x:v>
      </x:c>
      <x:c r="AP426" s="32" t="n">
        <x:f>AP425+AN426-AO426</x:f>
        <x:v>0</x:v>
      </x:c>
      <x:c r="AQ426" s="32" t="n">
        <x:f>AM426+AO426</x:f>
        <x:v>5.352092902328504</x:v>
      </x:c>
      <x:c r="AR426" s="10" t="n">
        <x:f>IF(H426=1,INDEX(v01_Req,G426),0)</x:f>
        <x:v>1067.32</x:v>
      </x:c>
      <x:c r="AS426" s="32" t="n">
        <x:f>IF(H426=1,IF(E426=1,AS425-AR425,AS425)+AQ426,0)</x:f>
        <x:v>684.501890091977</x:v>
      </x:c>
      <x:c r="AT426" s="11" t="n">
        <x:f>IF(AR426&gt;0,MIN(1,AS426/AR426),1)</x:f>
        <x:v>0.6413277087396254</x:v>
      </x:c>
      <x:c r="AU426" s="10" t="n">
        <x:f>AB426/INDEX(v01_RepScale,G426)</x:f>
        <x:v>50.40850210993494</x:v>
      </x:c>
      <x:c r="AV426" s="32" t="n">
        <x:f>AM426*60/v01_SeasonSeconds</x:f>
        <x:v>18.159614813345556</x:v>
      </x:c>
    </x:row>
    <x:row r="427">
      <x:c r="A427" s="8" t="n">
        <x:f>A426+1</x:f>
        <x:v>424</x:v>
      </x:c>
      <x:c r="B427" s="9" t="n">
        <x:f>A427*v01_SeasonSeconds/60</x:f>
        <x:v>106</x:v>
      </x:c>
      <x:c r="C427" s="9" t="n">
        <x:f>A427/4</x:f>
        <x:v>106</x:v>
      </x:c>
      <x:c r="D427" s="8" t="n">
        <x:f>IF(MOD(A427,4)=0,1,0)</x:f>
        <x:v>1</x:v>
      </x:c>
      <x:c r="E427" s="8" t="n">
        <x:f>IF(AND(F426&lt;=9,AS426&gt;=AR426),1,0)</x:f>
        <x:v>0</x:v>
      </x:c>
      <x:c r="F427" s="8" t="n">
        <x:f>MIN(10,F426+E427)</x:f>
        <x:v>1</x:v>
      </x:c>
      <x:c r="G427" s="8" t="n">
        <x:f>MIN(F427,9)+1</x:f>
        <x:v>2</x:v>
      </x:c>
      <x:c r="H427" s="8" t="n">
        <x:f>IF(F427&lt;=9,1,0)</x:f>
        <x:v>1</x:v>
      </x:c>
      <x:c r="I427" s="9" t="n">
        <x:f>MIN(10,F426+IF(AR426&gt;0,MIN(1,AS426/AR426),1))</x:f>
        <x:v>1.6413277087396254</x:v>
      </x:c>
      <x:c r="J427" s="32" t="n">
        <x:f>INDEX(v01_FoodCap,G427)*Arch_FoodCap*EXP(v01_CapsByProject*SUMPRODUCT((Cap_Point&lt;=I427)*(Cap_Kind="Food")*Cap_Ln))</x:f>
        <x:v>30</x:v>
      </x:c>
      <x:c r="K427" s="32" t="n">
        <x:f>J427*MIN(1,v01_LeanBase*EXP(v01_CapsByProject*SUMPRODUCT((Cap_Point&lt;=I427)*(Cap_Kind="Lean")*Cap_Ln)))</x:f>
        <x:v>30</x:v>
      </x:c>
      <x:c r="L427" s="10" t="n">
        <x:f>INDEX(v01_HousingCap,G427)*EXP(v01_CapsByProject*SUMPRODUCT((Cap_Point&lt;=I427)*(Cap_Kind="Housing")*Cap_Ln))</x:f>
        <x:v>60</x:v>
      </x:c>
      <x:c r="M427" s="10" t="n">
        <x:f>INDEX(v01_GroupCap,G427)*v01_CohesionFactor*EXP(v01_CapsByProject*SUMPRODUCT((Cap_Point&lt;=I427)*(Cap_Kind="Group")*Cap_Ln))</x:f>
        <x:v>100</x:v>
      </x:c>
      <x:c r="N427" s="32" t="n">
        <x:f>MIN(J427,L427,M427)</x:f>
        <x:v>30</x:v>
      </x:c>
      <x:c r="O427" s="10" t="n">
        <x:f>AE426*N427</x:f>
        <x:v>60</x:v>
      </x:c>
      <x:c r="P427" s="9" t="n">
        <x:f>MIN(1,(AB426/(AE426*IF(v01_GroupInCrowding=1,N427,MIN(J427,L427))))^v01_CrowdingExp)</x:f>
        <x:v>0.3516537499952135</x:v>
      </x:c>
      <x:c r="Q427" s="9" t="n">
        <x:f>IF(D427=1,INDEX(v01_WinterMult,G427),1)</x:f>
        <x:v>1.6</x:v>
      </x:c>
      <x:c r="R427" s="9" t="n">
        <x:f>H427*Z426*v01_WomenShare*v01_BaseFertility*INDEX(v01_FertMult,G427)*Arch_Fertility*(1-P427)</x:f>
        <x:v>0.5641926658509959</x:v>
      </x:c>
      <x:c r="S427" s="9" t="n">
        <x:f>H427*Y426*INDEX(v01_MortChild,G427)/4*Q427</x:f>
        <x:v>0.2881966049075343</x:v>
      </x:c>
      <x:c r="T427" s="9" t="n">
        <x:f>H427*Z426*INDEX(v01_MortAdult,G427)*Arch_AdultMort/4*Q427</x:f>
        <x:v>0.12066810956454291</x:v>
      </x:c>
      <x:c r="U427" s="9" t="n">
        <x:f>H427*AA426*INDEX(v01_MortElder,G427)/4*Q427</x:f>
        <x:v>0.2117639886507628</x:v>
      </x:c>
      <x:c r="V427" s="9" t="n">
        <x:f>H427*MAX(0,AB426-O427)*v01_OvercapLoss</x:f>
        <x:v>0</x:v>
      </x:c>
      <x:c r="W427" s="9" t="n">
        <x:f>H427*Y426/(v01_ChildYears*4)</x:f>
        <x:v>0.36759771034124267</x:v>
      </x:c>
      <x:c r="X427" s="9" t="n">
        <x:f>H427*Z426/(v01_AdultYears*4)</x:f>
        <x:v>0.18714036843136306</x:v>
      </x:c>
      <x:c r="Y427" s="32" t="n">
        <x:f>Y426+R427-S427-W427-Y426*V427/AB426</x:f>
        <x:v>20.49387012971181</x:v>
      </x:c>
      <x:c r="Z427" s="32" t="n">
        <x:f>Z426+W427-X427-T427-Z426*V427/AB426</x:f>
        <x:v>23.265194917834354</x:v>
      </x:c>
      <x:c r="AA427" s="32" t="n">
        <x:f>AA426+X427-U427-AA426*V427/AB426</x:f>
        <x:v>6.593001025116938</x:v>
      </x:c>
      <x:c r="AB427" s="10" t="n">
        <x:f>Y427+Z427+AA427</x:f>
        <x:v>50.3520660726631</x:v>
      </x:c>
      <x:c r="AC427" s="8" t="n">
        <x:f>IF(AND(v01_WinterTrigger=1,D427=1,AB426/AE426&gt;=K427),1,0)</x:f>
        <x:v>0</x:v>
      </x:c>
      <x:c r="AD427" s="8" t="n">
        <x:f>H427*IF(AND(OR(AB426/AE426&gt;=v01_FissionTrigger*N427,AC427=1),AB426/AE426*v01_DaughterShare&gt;=v01_MinDaughter),MAX(1,ROUND(AE426*v01_FissionRate,0)),0)</x:f>
        <x:v>0</x:v>
      </x:c>
      <x:c r="AE427" s="8" t="n">
        <x:f>IF(H427=1,MAX(1,MIN(INDEX(v01_Smax,G427),AE426+AD427)),AE426)</x:f>
        <x:v>2</x:v>
      </x:c>
      <x:c r="AF427" s="8" t="n">
        <x:f>MAX(0,AE427-AE426)</x:f>
        <x:v>0</x:v>
      </x:c>
      <x:c r="AG427" s="9" t="str">
        <x:f>IF(AF427&gt;0,B427,"")</x:f>
      </x:c>
      <x:c r="AH427" s="9" t="n">
        <x:f>IF(F427&gt;=1,1,(1+v01_LowTiesShare*(AE427-1))/AE427)</x:f>
        <x:v>1</x:v>
      </x:c>
      <x:c r="AI427" s="32" t="n">
        <x:f>(Z427+v01_ElderCommons*INDEX(LM_Elder,G427)*AA427)*AH427</x:f>
        <x:v>39.41468330301727</x:v>
      </x:c>
      <x:c r="AJ427" s="32" t="n">
        <x:f>H427*v01_CommonsCoef*AI427^v01_CommonsExp*INDEX(LM_Commons,G427)</x:f>
        <x:v>14.991782425002762</x:v>
      </x:c>
      <x:c r="AK427" s="32" t="n">
        <x:f>H427*v01_RoleScale*Arch_Roles*(AE427*(INDEX(v01_ElderRolePerSett,G427)*v01_OutElder*INDEX(LM_Elder,G427)+INDEX(v01_ShamanPerSett,G427)*v01_OutShaman)+Z427*(INDEX(v01_PriestShare,G427)*v01_OutPriest+INDEX(v01_ScribeShare,G427)*v01_OutScribe*INDEX(LM_Scribe,G427)+INDEX(v01_ScholarShare,G427)*v01_OutScholar*INDEX(LM_Scholar,G427)+INDEX(v01_ResearcherShare,G427)*v01_OutResearcher*INDEX(LM_Researcher,G427)))</x:f>
        <x:v>2.724744871391589</x:v>
      </x:c>
      <x:c r="AL427" s="32" t="n">
        <x:f>H427*v01_RoleScale*Arch_Roles*AE427*INDEX(v01_MonasteryPerSett,G427)*v01_OutMonastery*INDEX(LM_Monastery,G427)</x:f>
        <x:v>0</x:v>
      </x:c>
      <x:c r="AM427" s="32" t="n">
        <x:f>(AJ427+AK427+AL427)/4*INDEX(LM_All,G427)*INDEX(v01_Boon,G427)*Arch_Insight</x:f>
        <x:v>4.539860119701052</x:v>
      </x:c>
      <x:c r="AN427" s="32" t="n">
        <x:f>H427*(v01_KHPerAdult*Z427+v01_KHOfCommons*AJ427/4*INDEX(LM_All,G427))*v01_KHUsable*Arch_KH</x:f>
        <x:v>0.8142818221242024</x:v>
      </x:c>
      <x:c r="AO427" s="32" t="n">
        <x:f>MIN(AP426+AN427,AM427*v01_KHMaxRatio)</x:f>
        <x:v>0.8142818221242024</x:v>
      </x:c>
      <x:c r="AP427" s="32" t="n">
        <x:f>AP426+AN427-AO427</x:f>
        <x:v>0</x:v>
      </x:c>
      <x:c r="AQ427" s="32" t="n">
        <x:f>AM427+AO427</x:f>
        <x:v>5.3541419418252545</x:v>
      </x:c>
      <x:c r="AR427" s="10" t="n">
        <x:f>IF(H427=1,INDEX(v01_Req,G427),0)</x:f>
        <x:v>1067.32</x:v>
      </x:c>
      <x:c r="AS427" s="32" t="n">
        <x:f>IF(H427=1,IF(E427=1,AS426-AR426,AS426)+AQ427,0)</x:f>
        <x:v>689.8560320338022</x:v>
      </x:c>
      <x:c r="AT427" s="11" t="n">
        <x:f>IF(AR427&gt;0,MIN(1,AS427/AR427),1)</x:f>
        <x:v>0.6463441442433405</x:v>
      </x:c>
      <x:c r="AU427" s="10" t="n">
        <x:f>AB427/INDEX(v01_RepScale,G427)</x:f>
        <x:v>50.3520660726631</x:v>
      </x:c>
      <x:c r="AV427" s="32" t="n">
        <x:f>AM427*60/v01_SeasonSeconds</x:f>
        <x:v>18.159440478804207</x:v>
      </x:c>
    </x:row>
    <x:row r="428">
      <x:c r="A428" s="8" t="n">
        <x:f>A427+1</x:f>
        <x:v>425</x:v>
      </x:c>
      <x:c r="B428" s="9" t="n">
        <x:f>A428*v01_SeasonSeconds/60</x:f>
        <x:v>106.25</x:v>
      </x:c>
      <x:c r="C428" s="9" t="n">
        <x:f>A428/4</x:f>
        <x:v>106.25</x:v>
      </x:c>
      <x:c r="D428" s="8" t="n">
        <x:f>IF(MOD(A428,4)=0,1,0)</x:f>
        <x:v>0</x:v>
      </x:c>
      <x:c r="E428" s="8" t="n">
        <x:f>IF(AND(F427&lt;=9,AS427&gt;=AR427),1,0)</x:f>
        <x:v>0</x:v>
      </x:c>
      <x:c r="F428" s="8" t="n">
        <x:f>MIN(10,F427+E428)</x:f>
        <x:v>1</x:v>
      </x:c>
      <x:c r="G428" s="8" t="n">
        <x:f>MIN(F428,9)+1</x:f>
        <x:v>2</x:v>
      </x:c>
      <x:c r="H428" s="8" t="n">
        <x:f>IF(F428&lt;=9,1,0)</x:f>
        <x:v>1</x:v>
      </x:c>
      <x:c r="I428" s="9" t="n">
        <x:f>MIN(10,F427+IF(AR427&gt;0,MIN(1,AS427/AR427),1))</x:f>
        <x:v>1.6463441442433404</x:v>
      </x:c>
      <x:c r="J428" s="32" t="n">
        <x:f>INDEX(v01_FoodCap,G428)*Arch_FoodCap*EXP(v01_CapsByProject*SUMPRODUCT((Cap_Point&lt;=I428)*(Cap_Kind="Food")*Cap_Ln))</x:f>
        <x:v>30</x:v>
      </x:c>
      <x:c r="K428" s="32" t="n">
        <x:f>J428*MIN(1,v01_LeanBase*EXP(v01_CapsByProject*SUMPRODUCT((Cap_Point&lt;=I428)*(Cap_Kind="Lean")*Cap_Ln)))</x:f>
        <x:v>30</x:v>
      </x:c>
      <x:c r="L428" s="10" t="n">
        <x:f>INDEX(v01_HousingCap,G428)*EXP(v01_CapsByProject*SUMPRODUCT((Cap_Point&lt;=I428)*(Cap_Kind="Housing")*Cap_Ln))</x:f>
        <x:v>60</x:v>
      </x:c>
      <x:c r="M428" s="10" t="n">
        <x:f>INDEX(v01_GroupCap,G428)*v01_CohesionFactor*EXP(v01_CapsByProject*SUMPRODUCT((Cap_Point&lt;=I428)*(Cap_Kind="Group")*Cap_Ln))</x:f>
        <x:v>100</x:v>
      </x:c>
      <x:c r="N428" s="32" t="n">
        <x:f>MIN(J428,L428,M428)</x:f>
        <x:v>30</x:v>
      </x:c>
      <x:c r="O428" s="10" t="n">
        <x:f>AE427*N428</x:f>
        <x:v>60</x:v>
      </x:c>
      <x:c r="P428" s="9" t="n">
        <x:f>MIN(1,(AB427/(AE427*IF(v01_GroupInCrowding=1,N428,MIN(J428,L428))))^v01_CrowdingExp)</x:f>
        <x:v>0.34929813790604464</x:v>
      </x:c>
      <x:c r="Q428" s="9" t="n">
        <x:f>IF(D428=1,INDEX(v01_WinterMult,G428),1)</x:f>
        <x:v>1</x:v>
      </x:c>
      <x:c r="R428" s="9" t="n">
        <x:f>H428*Z427*v01_WomenShare*v01_BaseFertility*INDEX(v01_FertMult,G428)*Arch_Fertility*(1-P428)</x:f>
        <x:v>0.5677014620630114</x:v>
      </x:c>
      <x:c r="S428" s="9" t="n">
        <x:f>H428*Y427*INDEX(v01_MortChild,G428)/4*Q428</x:f>
        <x:v>0.17932136363497833</x:v>
      </x:c>
      <x:c r="T428" s="9" t="n">
        <x:f>H428*Z427*INDEX(v01_MortAdult,G428)*Arch_AdultMort/4*Q428</x:f>
        <x:v>0.07561188348296165</x:v>
      </x:c>
      <x:c r="U428" s="9" t="n">
        <x:f>H428*AA427*INDEX(v01_MortElder,G428)/4*Q428</x:f>
        <x:v>0.13186002050233875</x:v>
      </x:c>
      <x:c r="V428" s="9" t="n">
        <x:f>H428*MAX(0,AB427-O428)*v01_OvercapLoss</x:f>
        <x:v>0</x:v>
      </x:c>
      <x:c r="W428" s="9" t="n">
        <x:f>H428*Y427/(v01_ChildYears*4)</x:f>
        <x:v>0.3659619666019966</x:v>
      </x:c>
      <x:c r="X428" s="9" t="n">
        <x:f>H428*Z427/(v01_AdultYears*4)</x:f>
        <x:v>0.18762253965995446</x:v>
      </x:c>
      <x:c r="Y428" s="32" t="n">
        <x:f>Y427+R428-S428-W428-Y427*V428/AB427</x:f>
        <x:v>20.516288261537845</x:v>
      </x:c>
      <x:c r="Z428" s="32" t="n">
        <x:f>Z427+W428-X428-T428-Z427*V428/AB427</x:f>
        <x:v>23.367922461293436</x:v>
      </x:c>
      <x:c r="AA428" s="32" t="n">
        <x:f>AA427+X428-U428-AA427*V428/AB427</x:f>
        <x:v>6.648763544274553</x:v>
      </x:c>
      <x:c r="AB428" s="10" t="n">
        <x:f>Y428+Z428+AA428</x:f>
        <x:v>50.532974267105836</x:v>
      </x:c>
      <x:c r="AC428" s="8" t="n">
        <x:f>IF(AND(v01_WinterTrigger=1,D428=1,AB427/AE427&gt;=K428),1,0)</x:f>
        <x:v>0</x:v>
      </x:c>
      <x:c r="AD428" s="8" t="n">
        <x:f>H428*IF(AND(OR(AB427/AE427&gt;=v01_FissionTrigger*N428,AC428=1),AB427/AE427*v01_DaughterShare&gt;=v01_MinDaughter),MAX(1,ROUND(AE427*v01_FissionRate,0)),0)</x:f>
        <x:v>0</x:v>
      </x:c>
      <x:c r="AE428" s="8" t="n">
        <x:f>IF(H428=1,MAX(1,MIN(INDEX(v01_Smax,G428),AE427+AD428)),AE427)</x:f>
        <x:v>2</x:v>
      </x:c>
      <x:c r="AF428" s="8" t="n">
        <x:f>MAX(0,AE428-AE427)</x:f>
        <x:v>0</x:v>
      </x:c>
      <x:c r="AG428" s="9" t="str">
        <x:f>IF(AF428&gt;0,B428,"")</x:f>
      </x:c>
      <x:c r="AH428" s="9" t="n">
        <x:f>IF(F428&gt;=1,1,(1+v01_LowTiesShare*(AE428-1))/AE428)</x:f>
        <x:v>1</x:v>
      </x:c>
      <x:c r="AI428" s="32" t="n">
        <x:f>(Z428+v01_ElderCommons*INDEX(LM_Elder,G428)*AA428)*AH428</x:f>
        <x:v>39.65400056518468</x:v>
      </x:c>
      <x:c r="AJ428" s="32" t="n">
        <x:f>H428*v01_CommonsCoef*AI428^v01_CommonsExp*INDEX(LM_Commons,G428)</x:f>
        <x:v>15.069120048814959</x:v>
      </x:c>
      <x:c r="AK428" s="32" t="n">
        <x:f>H428*v01_RoleScale*Arch_Roles*(AE428*(INDEX(v01_ElderRolePerSett,G428)*v01_OutElder*INDEX(LM_Elder,G428)+INDEX(v01_ShamanPerSett,G428)*v01_OutShaman)+Z428*(INDEX(v01_PriestShare,G428)*v01_OutPriest+INDEX(v01_ScribeShare,G428)*v01_OutScribe*INDEX(LM_Scribe,G428)+INDEX(v01_ScholarShare,G428)*v01_OutScholar*INDEX(LM_Scholar,G428)+INDEX(v01_ResearcherShare,G428)*v01_OutResearcher*INDEX(LM_Researcher,G428)))</x:f>
        <x:v>2.724744871391589</x:v>
      </x:c>
      <x:c r="AL428" s="32" t="n">
        <x:f>H428*v01_RoleScale*Arch_Roles*AE428*INDEX(v01_MonasteryPerSett,G428)*v01_OutMonastery*INDEX(LM_Monastery,G428)</x:f>
        <x:v>0</x:v>
      </x:c>
      <x:c r="AM428" s="32" t="n">
        <x:f>(AJ428+AK428+AL428)/4*INDEX(LM_All,G428)*INDEX(v01_Boon,G428)*Arch_Insight</x:f>
        <x:v>4.559677885802928</x:v>
      </x:c>
      <x:c r="AN428" s="32" t="n">
        <x:f>H428*(v01_KHPerAdult*Z428+v01_KHOfCommons*AJ428/4*INDEX(LM_All,G428))*v01_KHUsable*Arch_KH</x:f>
        <x:v>0.8178772861452702</x:v>
      </x:c>
      <x:c r="AO428" s="32" t="n">
        <x:f>MIN(AP427+AN428,AM428*v01_KHMaxRatio)</x:f>
        <x:v>0.8178772861452702</x:v>
      </x:c>
      <x:c r="AP428" s="32" t="n">
        <x:f>AP427+AN428-AO428</x:f>
        <x:v>0</x:v>
      </x:c>
      <x:c r="AQ428" s="32" t="n">
        <x:f>AM428+AO428</x:f>
        <x:v>5.377555171948198</x:v>
      </x:c>
      <x:c r="AR428" s="10" t="n">
        <x:f>IF(H428=1,INDEX(v01_Req,G428),0)</x:f>
        <x:v>1067.32</x:v>
      </x:c>
      <x:c r="AS428" s="32" t="n">
        <x:f>IF(H428=1,IF(E428=1,AS427-AR427,AS427)+AQ428,0)</x:f>
        <x:v>695.2335872057504</x:v>
      </x:c>
      <x:c r="AT428" s="11" t="n">
        <x:f>IF(AR428&gt;0,MIN(1,AS428/AR428),1)</x:f>
        <x:v>0.6513825162142098</x:v>
      </x:c>
      <x:c r="AU428" s="10" t="n">
        <x:f>AB428/INDEX(v01_RepScale,G428)</x:f>
        <x:v>50.532974267105836</x:v>
      </x:c>
      <x:c r="AV428" s="32" t="n">
        <x:f>AM428*60/v01_SeasonSeconds</x:f>
        <x:v>18.23871154321171</x:v>
      </x:c>
    </x:row>
    <x:row r="429">
      <x:c r="A429" s="8" t="n">
        <x:f>A428+1</x:f>
        <x:v>426</x:v>
      </x:c>
      <x:c r="B429" s="9" t="n">
        <x:f>A429*v01_SeasonSeconds/60</x:f>
        <x:v>106.5</x:v>
      </x:c>
      <x:c r="C429" s="9" t="n">
        <x:f>A429/4</x:f>
        <x:v>106.5</x:v>
      </x:c>
      <x:c r="D429" s="8" t="n">
        <x:f>IF(MOD(A429,4)=0,1,0)</x:f>
        <x:v>0</x:v>
      </x:c>
      <x:c r="E429" s="8" t="n">
        <x:f>IF(AND(F428&lt;=9,AS428&gt;=AR428),1,0)</x:f>
        <x:v>0</x:v>
      </x:c>
      <x:c r="F429" s="8" t="n">
        <x:f>MIN(10,F428+E429)</x:f>
        <x:v>1</x:v>
      </x:c>
      <x:c r="G429" s="8" t="n">
        <x:f>MIN(F429,9)+1</x:f>
        <x:v>2</x:v>
      </x:c>
      <x:c r="H429" s="8" t="n">
        <x:f>IF(F429&lt;=9,1,0)</x:f>
        <x:v>1</x:v>
      </x:c>
      <x:c r="I429" s="9" t="n">
        <x:f>MIN(10,F428+IF(AR428&gt;0,MIN(1,AS428/AR428),1))</x:f>
        <x:v>1.65138251621421</x:v>
      </x:c>
      <x:c r="J429" s="32" t="n">
        <x:f>INDEX(v01_FoodCap,G429)*Arch_FoodCap*EXP(v01_CapsByProject*SUMPRODUCT((Cap_Point&lt;=I429)*(Cap_Kind="Food")*Cap_Ln))</x:f>
        <x:v>30</x:v>
      </x:c>
      <x:c r="K429" s="32" t="n">
        <x:f>J429*MIN(1,v01_LeanBase*EXP(v01_CapsByProject*SUMPRODUCT((Cap_Point&lt;=I429)*(Cap_Kind="Lean")*Cap_Ln)))</x:f>
        <x:v>30</x:v>
      </x:c>
      <x:c r="L429" s="10" t="n">
        <x:f>INDEX(v01_HousingCap,G429)*EXP(v01_CapsByProject*SUMPRODUCT((Cap_Point&lt;=I429)*(Cap_Kind="Housing")*Cap_Ln))</x:f>
        <x:v>60</x:v>
      </x:c>
      <x:c r="M429" s="10" t="n">
        <x:f>INDEX(v01_GroupCap,G429)*v01_CohesionFactor*EXP(v01_CapsByProject*SUMPRODUCT((Cap_Point&lt;=I429)*(Cap_Kind="Group")*Cap_Ln))</x:f>
        <x:v>100</x:v>
      </x:c>
      <x:c r="N429" s="32" t="n">
        <x:f>MIN(J429,L429,M429)</x:f>
        <x:v>30</x:v>
      </x:c>
      <x:c r="O429" s="10" t="n">
        <x:f>AE428*N429</x:f>
        <x:v>60</x:v>
      </x:c>
      <x:c r="P429" s="9" t="n">
        <x:f>MIN(1,(AB428/(AE428*IF(v01_GroupInCrowding=1,N429,MIN(J429,L429))))^v01_CrowdingExp)</x:f>
        <x:v>0.3568959845584206</x:v>
      </x:c>
      <x:c r="Q429" s="9" t="n">
        <x:f>IF(D429=1,INDEX(v01_WinterMult,G429),1)</x:f>
        <x:v>1</x:v>
      </x:c>
      <x:c r="R429" s="9" t="n">
        <x:f>H429*Z428*v01_WomenShare*v01_BaseFertility*INDEX(v01_FertMult,G429)*Arch_Fertility*(1-P429)</x:f>
        <x:v>0.5635501787769481</x:v>
      </x:c>
      <x:c r="S429" s="9" t="n">
        <x:f>H429*Y428*INDEX(v01_MortChild,G429)/4*Q429</x:f>
        <x:v>0.17951752228845616</x:v>
      </x:c>
      <x:c r="T429" s="9" t="n">
        <x:f>H429*Z428*INDEX(v01_MortAdult,G429)*Arch_AdultMort/4*Q429</x:f>
        <x:v>0.07594574799920366</x:v>
      </x:c>
      <x:c r="U429" s="9" t="n">
        <x:f>H429*AA428*INDEX(v01_MortElder,G429)/4*Q429</x:f>
        <x:v>0.13297527088549108</x:v>
      </x:c>
      <x:c r="V429" s="9" t="n">
        <x:f>H429*MAX(0,AB428-O429)*v01_OvercapLoss</x:f>
        <x:v>0</x:v>
      </x:c>
      <x:c r="W429" s="9" t="n">
        <x:f>H429*Y428/(v01_ChildYears*4)</x:f>
        <x:v>0.3663622903846044</x:v>
      </x:c>
      <x:c r="X429" s="9" t="n">
        <x:f>H429*Z428/(v01_AdultYears*4)</x:f>
        <x:v>0.1884509875910761</x:v>
      </x:c>
      <x:c r="Y429" s="32" t="n">
        <x:f>Y428+R429-S429-W429-Y428*V429/AB428</x:f>
        <x:v>20.533958627641734</x:v>
      </x:c>
      <x:c r="Z429" s="32" t="n">
        <x:f>Z428+W429-X429-T429-Z428*V429/AB428</x:f>
        <x:v>23.46988801608776</x:v>
      </x:c>
      <x:c r="AA429" s="32" t="n">
        <x:f>AA428+X429-U429-AA428*V429/AB428</x:f>
        <x:v>6.704239260980138</x:v>
      </x:c>
      <x:c r="AB429" s="10" t="n">
        <x:f>Y429+Z429+AA429</x:f>
        <x:v>50.708085904709634</x:v>
      </x:c>
      <x:c r="AC429" s="8" t="n">
        <x:f>IF(AND(v01_WinterTrigger=1,D429=1,AB428/AE428&gt;=K429),1,0)</x:f>
        <x:v>0</x:v>
      </x:c>
      <x:c r="AD429" s="8" t="n">
        <x:f>H429*IF(AND(OR(AB428/AE428&gt;=v01_FissionTrigger*N429,AC429=1),AB428/AE428*v01_DaughterShare&gt;=v01_MinDaughter),MAX(1,ROUND(AE428*v01_FissionRate,0)),0)</x:f>
        <x:v>0</x:v>
      </x:c>
      <x:c r="AE429" s="8" t="n">
        <x:f>IF(H429=1,MAX(1,MIN(INDEX(v01_Smax,G429),AE428+AD429)),AE428)</x:f>
        <x:v>2</x:v>
      </x:c>
      <x:c r="AF429" s="8" t="n">
        <x:f>MAX(0,AE429-AE428)</x:f>
        <x:v>0</x:v>
      </x:c>
      <x:c r="AG429" s="9" t="str">
        <x:f>IF(AF429&gt;0,B429,"")</x:f>
      </x:c>
      <x:c r="AH429" s="9" t="n">
        <x:f>IF(F429&gt;=1,1,(1+v01_LowTiesShare*(AE429-1))/AE429)</x:f>
        <x:v>1</x:v>
      </x:c>
      <x:c r="AI429" s="32" t="n">
        <x:f>(Z429+v01_ElderCommons*INDEX(LM_Elder,G429)*AA429)*AH429</x:f>
        <x:v>39.891853319022886</x:v>
      </x:c>
      <x:c r="AJ429" s="32" t="n">
        <x:f>H429*v01_CommonsCoef*AI429^v01_CommonsExp*INDEX(LM_Commons,G429)</x:f>
        <x:v>15.145915062837338</x:v>
      </x:c>
      <x:c r="AK429" s="32" t="n">
        <x:f>H429*v01_RoleScale*Arch_Roles*(AE429*(INDEX(v01_ElderRolePerSett,G429)*v01_OutElder*INDEX(LM_Elder,G429)+INDEX(v01_ShamanPerSett,G429)*v01_OutShaman)+Z429*(INDEX(v01_PriestShare,G429)*v01_OutPriest+INDEX(v01_ScribeShare,G429)*v01_OutScribe*INDEX(LM_Scribe,G429)+INDEX(v01_ScholarShare,G429)*v01_OutScholar*INDEX(LM_Scholar,G429)+INDEX(v01_ResearcherShare,G429)*v01_OutResearcher*INDEX(LM_Researcher,G429)))</x:f>
        <x:v>2.724744871391589</x:v>
      </x:c>
      <x:c r="AL429" s="32" t="n">
        <x:f>H429*v01_RoleScale*Arch_Roles*AE429*INDEX(v01_MonasteryPerSett,G429)*v01_OutMonastery*INDEX(LM_Monastery,G429)</x:f>
        <x:v>0</x:v>
      </x:c>
      <x:c r="AM429" s="32" t="n">
        <x:f>(AJ429+AK429+AL429)/4*INDEX(LM_All,G429)*INDEX(v01_Boon,G429)*Arch_Insight</x:f>
        <x:v>4.579356608146162</x:v>
      </x:c>
      <x:c r="AN429" s="32" t="n">
        <x:f>H429*(v01_KHPerAdult*Z429+v01_KHOfCommons*AJ429/4*INDEX(LM_All,G429))*v01_KHUsable*Arch_KH</x:f>
        <x:v>0.8214460805630717</x:v>
      </x:c>
      <x:c r="AO429" s="32" t="n">
        <x:f>MIN(AP428+AN429,AM429*v01_KHMaxRatio)</x:f>
        <x:v>0.8214460805630717</x:v>
      </x:c>
      <x:c r="AP429" s="32" t="n">
        <x:f>AP428+AN429-AO429</x:f>
        <x:v>0</x:v>
      </x:c>
      <x:c r="AQ429" s="32" t="n">
        <x:f>AM429+AO429</x:f>
        <x:v>5.400802688709233</x:v>
      </x:c>
      <x:c r="AR429" s="10" t="n">
        <x:f>IF(H429=1,INDEX(v01_Req,G429),0)</x:f>
        <x:v>1067.32</x:v>
      </x:c>
      <x:c r="AS429" s="32" t="n">
        <x:f>IF(H429=1,IF(E429=1,AS428-AR428,AS428)+AQ429,0)</x:f>
        <x:v>700.6343898944596</x:v>
      </x:c>
      <x:c r="AT429" s="11" t="n">
        <x:f>IF(AR429&gt;0,MIN(1,AS429/AR429),1)</x:f>
        <x:v>0.6564426693910539</x:v>
      </x:c>
      <x:c r="AU429" s="10" t="n">
        <x:f>AB429/INDEX(v01_RepScale,G429)</x:f>
        <x:v>50.708085904709634</x:v>
      </x:c>
      <x:c r="AV429" s="32" t="n">
        <x:f>AM429*60/v01_SeasonSeconds</x:f>
        <x:v>18.317426432584647</x:v>
      </x:c>
    </x:row>
    <x:row r="430">
      <x:c r="A430" s="8" t="n">
        <x:f>A429+1</x:f>
        <x:v>427</x:v>
      </x:c>
      <x:c r="B430" s="9" t="n">
        <x:f>A430*v01_SeasonSeconds/60</x:f>
        <x:v>106.75</x:v>
      </x:c>
      <x:c r="C430" s="9" t="n">
        <x:f>A430/4</x:f>
        <x:v>106.75</x:v>
      </x:c>
      <x:c r="D430" s="8" t="n">
        <x:f>IF(MOD(A430,4)=0,1,0)</x:f>
        <x:v>0</x:v>
      </x:c>
      <x:c r="E430" s="8" t="n">
        <x:f>IF(AND(F429&lt;=9,AS429&gt;=AR429),1,0)</x:f>
        <x:v>0</x:v>
      </x:c>
      <x:c r="F430" s="8" t="n">
        <x:f>MIN(10,F429+E430)</x:f>
        <x:v>1</x:v>
      </x:c>
      <x:c r="G430" s="8" t="n">
        <x:f>MIN(F430,9)+1</x:f>
        <x:v>2</x:v>
      </x:c>
      <x:c r="H430" s="8" t="n">
        <x:f>IF(F430&lt;=9,1,0)</x:f>
        <x:v>1</x:v>
      </x:c>
      <x:c r="I430" s="9" t="n">
        <x:f>MIN(10,F429+IF(AR429&gt;0,MIN(1,AS429/AR429),1))</x:f>
        <x:v>1.656442669391054</x:v>
      </x:c>
      <x:c r="J430" s="32" t="n">
        <x:f>INDEX(v01_FoodCap,G430)*Arch_FoodCap*EXP(v01_CapsByProject*SUMPRODUCT((Cap_Point&lt;=I430)*(Cap_Kind="Food")*Cap_Ln))</x:f>
        <x:v>30</x:v>
      </x:c>
      <x:c r="K430" s="32" t="n">
        <x:f>J430*MIN(1,v01_LeanBase*EXP(v01_CapsByProject*SUMPRODUCT((Cap_Point&lt;=I430)*(Cap_Kind="Lean")*Cap_Ln)))</x:f>
        <x:v>30</x:v>
      </x:c>
      <x:c r="L430" s="10" t="n">
        <x:f>INDEX(v01_HousingCap,G430)*EXP(v01_CapsByProject*SUMPRODUCT((Cap_Point&lt;=I430)*(Cap_Kind="Housing")*Cap_Ln))</x:f>
        <x:v>60</x:v>
      </x:c>
      <x:c r="M430" s="10" t="n">
        <x:f>INDEX(v01_GroupCap,G430)*v01_CohesionFactor*EXP(v01_CapsByProject*SUMPRODUCT((Cap_Point&lt;=I430)*(Cap_Kind="Group")*Cap_Ln))</x:f>
        <x:v>100</x:v>
      </x:c>
      <x:c r="N430" s="32" t="n">
        <x:f>MIN(J430,L430,M430)</x:f>
        <x:v>30</x:v>
      </x:c>
      <x:c r="O430" s="10" t="n">
        <x:f>AE429*N430</x:f>
        <x:v>60</x:v>
      </x:c>
      <x:c r="P430" s="9" t="n">
        <x:f>MIN(1,(AB429/(AE429*IF(v01_GroupInCrowding=1,N430,MIN(J430,L430))))^v01_CrowdingExp)</x:f>
        <x:v>0.3643810660303047</x:v>
      </x:c>
      <x:c r="Q430" s="9" t="n">
        <x:f>IF(D430=1,INDEX(v01_WinterMult,G430),1)</x:f>
        <x:v>1</x:v>
      </x:c>
      <x:c r="R430" s="9" t="n">
        <x:f>H430*Z429*v01_WomenShare*v01_BaseFertility*INDEX(v01_FertMult,G430)*Arch_Fertility*(1-P430)</x:f>
        <x:v>0.5594214450440187</x:v>
      </x:c>
      <x:c r="S430" s="9" t="n">
        <x:f>H430*Y429*INDEX(v01_MortChild,G430)/4*Q430</x:f>
        <x:v>0.17967213799186518</x:v>
      </x:c>
      <x:c r="T430" s="9" t="n">
        <x:f>H430*Z429*INDEX(v01_MortAdult,G430)*Arch_AdultMort/4*Q430</x:f>
        <x:v>0.07627713605228523</x:v>
      </x:c>
      <x:c r="U430" s="9" t="n">
        <x:f>H430*AA429*INDEX(v01_MortElder,G430)/4*Q430</x:f>
        <x:v>0.13408478521960276</x:v>
      </x:c>
      <x:c r="V430" s="9" t="n">
        <x:f>H430*MAX(0,AB429-O430)*v01_OvercapLoss</x:f>
        <x:v>0</x:v>
      </x:c>
      <x:c r="W430" s="9" t="n">
        <x:f>H430*Y429/(v01_ChildYears*4)</x:f>
        <x:v>0.36667783263645953</x:v>
      </x:c>
      <x:c r="X430" s="9" t="n">
        <x:f>H430*Z429/(v01_AdultYears*4)</x:f>
        <x:v>0.18927329045232066</x:v>
      </x:c>
      <x:c r="Y430" s="32" t="n">
        <x:f>Y429+R430-S430-W430-Y429*V430/AB429</x:f>
        <x:v>20.54703010205743</x:v>
      </x:c>
      <x:c r="Z430" s="32" t="n">
        <x:f>Z429+W430-X430-T430-Z429*V430/AB429</x:f>
        <x:v>23.571015422219613</x:v>
      </x:c>
      <x:c r="AA430" s="32" t="n">
        <x:f>AA429+X430-U430-AA429*V430/AB429</x:f>
        <x:v>6.759427766212856</x:v>
      </x:c>
      <x:c r="AB430" s="10" t="n">
        <x:f>Y430+Z430+AA430</x:f>
        <x:v>50.8774732904899</x:v>
      </x:c>
      <x:c r="AC430" s="8" t="n">
        <x:f>IF(AND(v01_WinterTrigger=1,D430=1,AB429/AE429&gt;=K430),1,0)</x:f>
        <x:v>0</x:v>
      </x:c>
      <x:c r="AD430" s="8" t="n">
        <x:f>H430*IF(AND(OR(AB429/AE429&gt;=v01_FissionTrigger*N430,AC430=1),AB429/AE429*v01_DaughterShare&gt;=v01_MinDaughter),MAX(1,ROUND(AE429*v01_FissionRate,0)),0)</x:f>
        <x:v>0</x:v>
      </x:c>
      <x:c r="AE430" s="8" t="n">
        <x:f>IF(H430=1,MAX(1,MIN(INDEX(v01_Smax,G430),AE429+AD430)),AE429)</x:f>
        <x:v>2</x:v>
      </x:c>
      <x:c r="AF430" s="8" t="n">
        <x:f>MAX(0,AE430-AE429)</x:f>
        <x:v>0</x:v>
      </x:c>
      <x:c r="AG430" s="9" t="str">
        <x:f>IF(AF430&gt;0,B430,"")</x:f>
      </x:c>
      <x:c r="AH430" s="9" t="n">
        <x:f>IF(F430&gt;=1,1,(1+v01_LowTiesShare*(AE430-1))/AE430)</x:f>
        <x:v>1</x:v>
      </x:c>
      <x:c r="AI430" s="32" t="n">
        <x:f>(Z430+v01_ElderCommons*INDEX(LM_Elder,G430)*AA430)*AH430</x:f>
        <x:v>40.128164402641815</x:v>
      </x:c>
      <x:c r="AJ430" s="32" t="n">
        <x:f>H430*v01_CommonsCoef*AI430^v01_CommonsExp*INDEX(LM_Commons,G430)</x:f>
        <x:v>15.222144333516196</x:v>
      </x:c>
      <x:c r="AK430" s="32" t="n">
        <x:f>H430*v01_RoleScale*Arch_Roles*(AE430*(INDEX(v01_ElderRolePerSett,G430)*v01_OutElder*INDEX(LM_Elder,G430)+INDEX(v01_ShamanPerSett,G430)*v01_OutShaman)+Z430*(INDEX(v01_PriestShare,G430)*v01_OutPriest+INDEX(v01_ScribeShare,G430)*v01_OutScribe*INDEX(LM_Scribe,G430)+INDEX(v01_ScholarShare,G430)*v01_OutScholar*INDEX(LM_Scholar,G430)+INDEX(v01_ResearcherShare,G430)*v01_OutResearcher*INDEX(LM_Researcher,G430)))</x:f>
        <x:v>2.724744871391589</x:v>
      </x:c>
      <x:c r="AL430" s="32" t="n">
        <x:f>H430*v01_RoleScale*Arch_Roles*AE430*INDEX(v01_MonasteryPerSett,G430)*v01_OutMonastery*INDEX(LM_Monastery,G430)</x:f>
        <x:v>0</x:v>
      </x:c>
      <x:c r="AM430" s="32" t="n">
        <x:f>(AJ430+AK430+AL430)/4*INDEX(LM_All,G430)*INDEX(v01_Boon,G430)*Arch_Insight</x:f>
        <x:v>4.598890358757619</x:v>
      </x:c>
      <x:c r="AN430" s="32" t="n">
        <x:f>H430*(v01_KHPerAdult*Z430+v01_KHOfCommons*AJ430/4*INDEX(LM_All,G430))*v01_KHUsable*Arch_KH</x:f>
        <x:v>0.8249855397776864</x:v>
      </x:c>
      <x:c r="AO430" s="32" t="n">
        <x:f>MIN(AP429+AN430,AM430*v01_KHMaxRatio)</x:f>
        <x:v>0.8249855397776864</x:v>
      </x:c>
      <x:c r="AP430" s="32" t="n">
        <x:f>AP429+AN430-AO430</x:f>
        <x:v>0</x:v>
      </x:c>
      <x:c r="AQ430" s="32" t="n">
        <x:f>AM430+AO430</x:f>
        <x:v>5.4238758985353055</x:v>
      </x:c>
      <x:c r="AR430" s="10" t="n">
        <x:f>IF(H430=1,INDEX(v01_Req,G430),0)</x:f>
        <x:v>1067.32</x:v>
      </x:c>
      <x:c r="AS430" s="32" t="n">
        <x:f>IF(H430=1,IF(E430=1,AS429-AR429,AS429)+AQ430,0)</x:f>
        <x:v>706.0582657929949</x:v>
      </x:c>
      <x:c r="AT430" s="11" t="n">
        <x:f>IF(AR430&gt;0,MIN(1,AS430/AR430),1)</x:f>
        <x:v>0.6615244404611503</x:v>
      </x:c>
      <x:c r="AU430" s="10" t="n">
        <x:f>AB430/INDEX(v01_RepScale,G430)</x:f>
        <x:v>50.8774732904899</x:v>
      </x:c>
      <x:c r="AV430" s="32" t="n">
        <x:f>AM430*60/v01_SeasonSeconds</x:f>
        <x:v>18.395561435030476</x:v>
      </x:c>
    </x:row>
    <x:row r="431">
      <x:c r="A431" s="8" t="n">
        <x:f>A430+1</x:f>
        <x:v>428</x:v>
      </x:c>
      <x:c r="B431" s="9" t="n">
        <x:f>A431*v01_SeasonSeconds/60</x:f>
        <x:v>107</x:v>
      </x:c>
      <x:c r="C431" s="9" t="n">
        <x:f>A431/4</x:f>
        <x:v>107</x:v>
      </x:c>
      <x:c r="D431" s="8" t="n">
        <x:f>IF(MOD(A431,4)=0,1,0)</x:f>
        <x:v>1</x:v>
      </x:c>
      <x:c r="E431" s="8" t="n">
        <x:f>IF(AND(F430&lt;=9,AS430&gt;=AR430),1,0)</x:f>
        <x:v>0</x:v>
      </x:c>
      <x:c r="F431" s="8" t="n">
        <x:f>MIN(10,F430+E431)</x:f>
        <x:v>1</x:v>
      </x:c>
      <x:c r="G431" s="8" t="n">
        <x:f>MIN(F431,9)+1</x:f>
        <x:v>2</x:v>
      </x:c>
      <x:c r="H431" s="8" t="n">
        <x:f>IF(F431&lt;=9,1,0)</x:f>
        <x:v>1</x:v>
      </x:c>
      <x:c r="I431" s="9" t="n">
        <x:f>MIN(10,F430+IF(AR430&gt;0,MIN(1,AS430/AR430),1))</x:f>
        <x:v>1.6615244404611502</x:v>
      </x:c>
      <x:c r="J431" s="32" t="n">
        <x:f>INDEX(v01_FoodCap,G431)*Arch_FoodCap*EXP(v01_CapsByProject*SUMPRODUCT((Cap_Point&lt;=I431)*(Cap_Kind="Food")*Cap_Ln))</x:f>
        <x:v>30</x:v>
      </x:c>
      <x:c r="K431" s="32" t="n">
        <x:f>J431*MIN(1,v01_LeanBase*EXP(v01_CapsByProject*SUMPRODUCT((Cap_Point&lt;=I431)*(Cap_Kind="Lean")*Cap_Ln)))</x:f>
        <x:v>30</x:v>
      </x:c>
      <x:c r="L431" s="10" t="n">
        <x:f>INDEX(v01_HousingCap,G431)*EXP(v01_CapsByProject*SUMPRODUCT((Cap_Point&lt;=I431)*(Cap_Kind="Housing")*Cap_Ln))</x:f>
        <x:v>60</x:v>
      </x:c>
      <x:c r="M431" s="10" t="n">
        <x:f>INDEX(v01_GroupCap,G431)*v01_CohesionFactor*EXP(v01_CapsByProject*SUMPRODUCT((Cap_Point&lt;=I431)*(Cap_Kind="Group")*Cap_Ln))</x:f>
        <x:v>100</x:v>
      </x:c>
      <x:c r="N431" s="32" t="n">
        <x:f>MIN(J431,L431,M431)</x:f>
        <x:v>30</x:v>
      </x:c>
      <x:c r="O431" s="10" t="n">
        <x:f>AE430*N431</x:f>
        <x:v>60</x:v>
      </x:c>
      <x:c r="P431" s="9" t="n">
        <x:f>MIN(1,(AB430/(AE430*IF(v01_GroupInCrowding=1,N431,MIN(J431,L431))))^v01_CrowdingExp)</x:f>
        <x:v>0.37174548924063344</x:v>
      </x:c>
      <x:c r="Q431" s="9" t="n">
        <x:f>IF(D431=1,INDEX(v01_WinterMult,G431),1)</x:f>
        <x:v>1.6</x:v>
      </x:c>
      <x:c r="R431" s="9" t="n">
        <x:f>H431*Z430*v01_WomenShare*v01_BaseFertility*INDEX(v01_FertMult,G431)*Arch_Fertility*(1-P431)</x:f>
        <x:v>0.5553223785820526</x:v>
      </x:c>
      <x:c r="S431" s="9" t="n">
        <x:f>H431*Y430*INDEX(v01_MortChild,G431)/4*Q431</x:f>
        <x:v>0.28765842142880405</x:v>
      </x:c>
      <x:c r="T431" s="9" t="n">
        <x:f>H431*Z430*INDEX(v01_MortAdult,G431)*Arch_AdultMort/4*Q431</x:f>
        <x:v>0.12256928019554199</x:v>
      </x:c>
      <x:c r="U431" s="9" t="n">
        <x:f>H431*AA430*INDEX(v01_MortElder,G431)/4*Q431</x:f>
        <x:v>0.21630168851881143</x:v>
      </x:c>
      <x:c r="V431" s="9" t="n">
        <x:f>H431*MAX(0,AB430-O431)*v01_OvercapLoss</x:f>
        <x:v>0</x:v>
      </x:c>
      <x:c r="W431" s="9" t="n">
        <x:f>H431*Y430/(v01_ChildYears*4)</x:f>
        <x:v>0.3669112518224541</x:v>
      </x:c>
      <x:c r="X431" s="9" t="n">
        <x:f>H431*Z430/(v01_AdultYears*4)</x:f>
        <x:v>0.19008883405015817</x:v>
      </x:c>
      <x:c r="Y431" s="32" t="n">
        <x:f>Y430+R431-S431-W431-Y430*V431/AB430</x:f>
        <x:v>20.447782807388222</x:v>
      </x:c>
      <x:c r="Z431" s="32" t="n">
        <x:f>Z430+W431-X431-T431-Z430*V431/AB430</x:f>
        <x:v>23.625268559796368</x:v>
      </x:c>
      <x:c r="AA431" s="32" t="n">
        <x:f>AA430+X431-U431-AA430*V431/AB430</x:f>
        <x:v>6.733214911744203</x:v>
      </x:c>
      <x:c r="AB431" s="10" t="n">
        <x:f>Y431+Z431+AA431</x:f>
        <x:v>50.806266278928796</x:v>
      </x:c>
      <x:c r="AC431" s="8" t="n">
        <x:f>IF(AND(v01_WinterTrigger=1,D431=1,AB430/AE430&gt;=K431),1,0)</x:f>
        <x:v>0</x:v>
      </x:c>
      <x:c r="AD431" s="8" t="n">
        <x:f>H431*IF(AND(OR(AB430/AE430&gt;=v01_FissionTrigger*N431,AC431=1),AB430/AE430*v01_DaughterShare&gt;=v01_MinDaughter),MAX(1,ROUND(AE430*v01_FissionRate,0)),0)</x:f>
        <x:v>0</x:v>
      </x:c>
      <x:c r="AE431" s="8" t="n">
        <x:f>IF(H431=1,MAX(1,MIN(INDEX(v01_Smax,G431),AE430+AD431)),AE430)</x:f>
        <x:v>2</x:v>
      </x:c>
      <x:c r="AF431" s="8" t="n">
        <x:f>MAX(0,AE431-AE430)</x:f>
        <x:v>0</x:v>
      </x:c>
      <x:c r="AG431" s="9" t="str">
        <x:f>IF(AF431&gt;0,B431,"")</x:f>
      </x:c>
      <x:c r="AH431" s="9" t="n">
        <x:f>IF(F431&gt;=1,1,(1+v01_LowTiesShare*(AE431-1))/AE431)</x:f>
        <x:v>1</x:v>
      </x:c>
      <x:c r="AI431" s="32" t="n">
        <x:f>(Z431+v01_ElderCommons*INDEX(LM_Elder,G431)*AA431)*AH431</x:f>
        <x:v>40.11820942206853</x:v>
      </x:c>
      <x:c r="AJ431" s="32" t="n">
        <x:f>H431*v01_CommonsCoef*AI431^v01_CommonsExp*INDEX(LM_Commons,G431)</x:f>
        <x:v>15.218934415316433</x:v>
      </x:c>
      <x:c r="AK431" s="32" t="n">
        <x:f>H431*v01_RoleScale*Arch_Roles*(AE431*(INDEX(v01_ElderRolePerSett,G431)*v01_OutElder*INDEX(LM_Elder,G431)+INDEX(v01_ShamanPerSett,G431)*v01_OutShaman)+Z431*(INDEX(v01_PriestShare,G431)*v01_OutPriest+INDEX(v01_ScribeShare,G431)*v01_OutScribe*INDEX(LM_Scribe,G431)+INDEX(v01_ScholarShare,G431)*v01_OutScholar*INDEX(LM_Scholar,G431)+INDEX(v01_ResearcherShare,G431)*v01_OutResearcher*INDEX(LM_Researcher,G431)))</x:f>
        <x:v>2.724744871391589</x:v>
      </x:c>
      <x:c r="AL431" s="32" t="n">
        <x:f>H431*v01_RoleScale*Arch_Roles*AE431*INDEX(v01_MonasteryPerSett,G431)*v01_OutMonastery*INDEX(LM_Monastery,G431)</x:f>
        <x:v>0</x:v>
      </x:c>
      <x:c r="AM431" s="32" t="n">
        <x:f>(AJ431+AK431+AL431)/4*INDEX(LM_All,G431)*INDEX(v01_Boon,G431)*Arch_Insight</x:f>
        <x:v>4.59806781721893</x:v>
      </x:c>
      <x:c r="AN431" s="32" t="n">
        <x:f>H431*(v01_KHPerAdult*Z431+v01_KHOfCommons*AJ431/4*INDEX(LM_All,G431))*v01_KHUsable*Arch_KH</x:f>
        <x:v>0.8268843995928729</x:v>
      </x:c>
      <x:c r="AO431" s="32" t="n">
        <x:f>MIN(AP430+AN431,AM431*v01_KHMaxRatio)</x:f>
        <x:v>0.8268843995928729</x:v>
      </x:c>
      <x:c r="AP431" s="32" t="n">
        <x:f>AP430+AN431-AO431</x:f>
        <x:v>0</x:v>
      </x:c>
      <x:c r="AQ431" s="32" t="n">
        <x:f>AM431+AO431</x:f>
        <x:v>5.424952216811803</x:v>
      </x:c>
      <x:c r="AR431" s="10" t="n">
        <x:f>IF(H431=1,INDEX(v01_Req,G431),0)</x:f>
        <x:v>1067.32</x:v>
      </x:c>
      <x:c r="AS431" s="32" t="n">
        <x:f>IF(H431=1,IF(E431=1,AS430-AR430,AS430)+AQ431,0)</x:f>
        <x:v>711.4832180098067</x:v>
      </x:c>
      <x:c r="AT431" s="11" t="n">
        <x:f>IF(AR431&gt;0,MIN(1,AS431/AR431),1)</x:f>
        <x:v>0.6666072199619671</x:v>
      </x:c>
      <x:c r="AU431" s="10" t="n">
        <x:f>AB431/INDEX(v01_RepScale,G431)</x:f>
        <x:v>50.806266278928796</x:v>
      </x:c>
      <x:c r="AV431" s="32" t="n">
        <x:f>AM431*60/v01_SeasonSeconds</x:f>
        <x:v>18.39227126887572</x:v>
      </x:c>
    </x:row>
    <x:row r="432">
      <x:c r="A432" s="8" t="n">
        <x:f>A431+1</x:f>
        <x:v>429</x:v>
      </x:c>
      <x:c r="B432" s="9" t="n">
        <x:f>A432*v01_SeasonSeconds/60</x:f>
        <x:v>107.25</x:v>
      </x:c>
      <x:c r="C432" s="9" t="n">
        <x:f>A432/4</x:f>
        <x:v>107.25</x:v>
      </x:c>
      <x:c r="D432" s="8" t="n">
        <x:f>IF(MOD(A432,4)=0,1,0)</x:f>
        <x:v>0</x:v>
      </x:c>
      <x:c r="E432" s="8" t="n">
        <x:f>IF(AND(F431&lt;=9,AS431&gt;=AR431),1,0)</x:f>
        <x:v>0</x:v>
      </x:c>
      <x:c r="F432" s="8" t="n">
        <x:f>MIN(10,F431+E432)</x:f>
        <x:v>1</x:v>
      </x:c>
      <x:c r="G432" s="8" t="n">
        <x:f>MIN(F432,9)+1</x:f>
        <x:v>2</x:v>
      </x:c>
      <x:c r="H432" s="8" t="n">
        <x:f>IF(F432&lt;=9,1,0)</x:f>
        <x:v>1</x:v>
      </x:c>
      <x:c r="I432" s="9" t="n">
        <x:f>MIN(10,F431+IF(AR431&gt;0,MIN(1,AS431/AR431),1))</x:f>
        <x:v>1.6666072199619673</x:v>
      </x:c>
      <x:c r="J432" s="32" t="n">
        <x:f>INDEX(v01_FoodCap,G432)*Arch_FoodCap*EXP(v01_CapsByProject*SUMPRODUCT((Cap_Point&lt;=I432)*(Cap_Kind="Food")*Cap_Ln))</x:f>
        <x:v>30</x:v>
      </x:c>
      <x:c r="K432" s="32" t="n">
        <x:f>J432*MIN(1,v01_LeanBase*EXP(v01_CapsByProject*SUMPRODUCT((Cap_Point&lt;=I432)*(Cap_Kind="Lean")*Cap_Ln)))</x:f>
        <x:v>30</x:v>
      </x:c>
      <x:c r="L432" s="10" t="n">
        <x:f>INDEX(v01_HousingCap,G432)*EXP(v01_CapsByProject*SUMPRODUCT((Cap_Point&lt;=I432)*(Cap_Kind="Housing")*Cap_Ln))</x:f>
        <x:v>60</x:v>
      </x:c>
      <x:c r="M432" s="10" t="n">
        <x:f>INDEX(v01_GroupCap,G432)*v01_CohesionFactor*EXP(v01_CapsByProject*SUMPRODUCT((Cap_Point&lt;=I432)*(Cap_Kind="Group")*Cap_Ln))</x:f>
        <x:v>100</x:v>
      </x:c>
      <x:c r="N432" s="32" t="n">
        <x:f>MIN(J432,L432,M432)</x:f>
        <x:v>30</x:v>
      </x:c>
      <x:c r="O432" s="10" t="n">
        <x:f>AE431*N432</x:f>
        <x:v>60</x:v>
      </x:c>
      <x:c r="P432" s="9" t="n">
        <x:f>MIN(1,(AB431/(AE431*IF(v01_GroupInCrowding=1,N432,MIN(J432,L432))))^v01_CrowdingExp)</x:f>
        <x:v>0.3686346699206327</x:v>
      </x:c>
      <x:c r="Q432" s="9" t="n">
        <x:f>IF(D432=1,INDEX(v01_WinterMult,G432),1)</x:f>
        <x:v>1</x:v>
      </x:c>
      <x:c r="R432" s="9" t="n">
        <x:f>H432*Z431*v01_WomenShare*v01_BaseFertility*INDEX(v01_FertMult,G432)*Arch_Fertility*(1-P432)</x:f>
        <x:v>0.5593565805926075</x:v>
      </x:c>
      <x:c r="S432" s="9" t="n">
        <x:f>H432*Y431*INDEX(v01_MortChild,G432)/4*Q432</x:f>
        <x:v>0.17891809956464697</x:v>
      </x:c>
      <x:c r="T432" s="9" t="n">
        <x:f>H432*Z431*INDEX(v01_MortAdult,G432)*Arch_AdultMort/4*Q432</x:f>
        <x:v>0.07678212281933819</x:v>
      </x:c>
      <x:c r="U432" s="9" t="n">
        <x:f>H432*AA431*INDEX(v01_MortElder,G432)/4*Q432</x:f>
        <x:v>0.13466429823488407</x:v>
      </x:c>
      <x:c r="V432" s="9" t="n">
        <x:f>H432*MAX(0,AB431-O432)*v01_OvercapLoss</x:f>
        <x:v>0</x:v>
      </x:c>
      <x:c r="W432" s="9" t="n">
        <x:f>H432*Y431/(v01_ChildYears*4)</x:f>
        <x:v>0.3651389787033611</x:v>
      </x:c>
      <x:c r="X432" s="9" t="n">
        <x:f>H432*Z431/(v01_AdultYears*4)</x:f>
        <x:v>0.1905263593531965</x:v>
      </x:c>
      <x:c r="Y432" s="32" t="n">
        <x:f>Y431+R432-S432-W432-Y431*V432/AB431</x:f>
        <x:v>20.46308230971282</x:v>
      </x:c>
      <x:c r="Z432" s="32" t="n">
        <x:f>Z431+W432-X432-T432-Z431*V432/AB431</x:f>
        <x:v>23.723099056327193</x:v>
      </x:c>
      <x:c r="AA432" s="32" t="n">
        <x:f>AA431+X432-U432-AA431*V432/AB431</x:f>
        <x:v>6.7890769728625155</x:v>
      </x:c>
      <x:c r="AB432" s="10" t="n">
        <x:f>Y432+Z432+AA432</x:f>
        <x:v>50.975258338902535</x:v>
      </x:c>
      <x:c r="AC432" s="8" t="n">
        <x:f>IF(AND(v01_WinterTrigger=1,D432=1,AB431/AE431&gt;=K432),1,0)</x:f>
        <x:v>0</x:v>
      </x:c>
      <x:c r="AD432" s="8" t="n">
        <x:f>H432*IF(AND(OR(AB431/AE431&gt;=v01_FissionTrigger*N432,AC432=1),AB431/AE431*v01_DaughterShare&gt;=v01_MinDaughter),MAX(1,ROUND(AE431*v01_FissionRate,0)),0)</x:f>
        <x:v>0</x:v>
      </x:c>
      <x:c r="AE432" s="8" t="n">
        <x:f>IF(H432=1,MAX(1,MIN(INDEX(v01_Smax,G432),AE431+AD432)),AE431)</x:f>
        <x:v>2</x:v>
      </x:c>
      <x:c r="AF432" s="8" t="n">
        <x:f>MAX(0,AE432-AE431)</x:f>
        <x:v>0</x:v>
      </x:c>
      <x:c r="AG432" s="9" t="str">
        <x:f>IF(AF432&gt;0,B432,"")</x:f>
      </x:c>
      <x:c r="AH432" s="9" t="n">
        <x:f>IF(F432&gt;=1,1,(1+v01_LowTiesShare*(AE432-1))/AE432)</x:f>
        <x:v>1</x:v>
      </x:c>
      <x:c r="AI432" s="32" t="n">
        <x:f>(Z432+v01_ElderCommons*INDEX(LM_Elder,G432)*AA432)*AH432</x:f>
        <x:v>40.35287346431939</x:v>
      </x:c>
      <x:c r="AJ432" s="32" t="n">
        <x:f>H432*v01_CommonsCoef*AI432^v01_CommonsExp*INDEX(LM_Commons,G432)</x:f>
        <x:v>15.294568583923665</x:v>
      </x:c>
      <x:c r="AK432" s="32" t="n">
        <x:f>H432*v01_RoleScale*Arch_Roles*(AE432*(INDEX(v01_ElderRolePerSett,G432)*v01_OutElder*INDEX(LM_Elder,G432)+INDEX(v01_ShamanPerSett,G432)*v01_OutShaman)+Z432*(INDEX(v01_PriestShare,G432)*v01_OutPriest+INDEX(v01_ScribeShare,G432)*v01_OutScribe*INDEX(LM_Scribe,G432)+INDEX(v01_ScholarShare,G432)*v01_OutScholar*INDEX(LM_Scholar,G432)+INDEX(v01_ResearcherShare,G432)*v01_OutResearcher*INDEX(LM_Researcher,G432)))</x:f>
        <x:v>2.724744871391589</x:v>
      </x:c>
      <x:c r="AL432" s="32" t="n">
        <x:f>H432*v01_RoleScale*Arch_Roles*AE432*INDEX(v01_MonasteryPerSett,G432)*v01_OutMonastery*INDEX(LM_Monastery,G432)</x:f>
        <x:v>0</x:v>
      </x:c>
      <x:c r="AM432" s="32" t="n">
        <x:f>(AJ432+AK432+AL432)/4*INDEX(LM_All,G432)*INDEX(v01_Boon,G432)*Arch_Insight</x:f>
        <x:v>4.617449072924533</x:v>
      </x:c>
      <x:c r="AN432" s="32" t="n">
        <x:f>H432*(v01_KHPerAdult*Z432+v01_KHOfCommons*AJ432/4*INDEX(LM_All,G432))*v01_KHUsable*Arch_KH</x:f>
        <x:v>0.8303084669714518</x:v>
      </x:c>
      <x:c r="AO432" s="32" t="n">
        <x:f>MIN(AP431+AN432,AM432*v01_KHMaxRatio)</x:f>
        <x:v>0.8303084669714518</x:v>
      </x:c>
      <x:c r="AP432" s="32" t="n">
        <x:f>AP431+AN432-AO432</x:f>
        <x:v>0</x:v>
      </x:c>
      <x:c r="AQ432" s="32" t="n">
        <x:f>AM432+AO432</x:f>
        <x:v>5.447757539895985</x:v>
      </x:c>
      <x:c r="AR432" s="10" t="n">
        <x:f>IF(H432=1,INDEX(v01_Req,G432),0)</x:f>
        <x:v>1067.32</x:v>
      </x:c>
      <x:c r="AS432" s="32" t="n">
        <x:f>IF(H432=1,IF(E432=1,AS431-AR431,AS431)+AQ432,0)</x:f>
        <x:v>716.9309755497027</x:v>
      </x:c>
      <x:c r="AT432" s="11" t="n">
        <x:f>IF(AR432&gt;0,MIN(1,AS432/AR432),1)</x:f>
        <x:v>0.6717113663659472</x:v>
      </x:c>
      <x:c r="AU432" s="10" t="n">
        <x:f>AB432/INDEX(v01_RepScale,G432)</x:f>
        <x:v>50.975258338902535</x:v>
      </x:c>
      <x:c r="AV432" s="32" t="n">
        <x:f>AM432*60/v01_SeasonSeconds</x:f>
        <x:v>18.46979629169813</x:v>
      </x:c>
    </x:row>
    <x:row r="433">
      <x:c r="A433" s="8" t="n">
        <x:f>A432+1</x:f>
        <x:v>430</x:v>
      </x:c>
      <x:c r="B433" s="9" t="n">
        <x:f>A433*v01_SeasonSeconds/60</x:f>
        <x:v>107.5</x:v>
      </x:c>
      <x:c r="C433" s="9" t="n">
        <x:f>A433/4</x:f>
        <x:v>107.5</x:v>
      </x:c>
      <x:c r="D433" s="8" t="n">
        <x:f>IF(MOD(A433,4)=0,1,0)</x:f>
        <x:v>0</x:v>
      </x:c>
      <x:c r="E433" s="8" t="n">
        <x:f>IF(AND(F432&lt;=9,AS432&gt;=AR432),1,0)</x:f>
        <x:v>0</x:v>
      </x:c>
      <x:c r="F433" s="8" t="n">
        <x:f>MIN(10,F432+E433)</x:f>
        <x:v>1</x:v>
      </x:c>
      <x:c r="G433" s="8" t="n">
        <x:f>MIN(F433,9)+1</x:f>
        <x:v>2</x:v>
      </x:c>
      <x:c r="H433" s="8" t="n">
        <x:f>IF(F433&lt;=9,1,0)</x:f>
        <x:v>1</x:v>
      </x:c>
      <x:c r="I433" s="9" t="n">
        <x:f>MIN(10,F432+IF(AR432&gt;0,MIN(1,AS432/AR432),1))</x:f>
        <x:v>1.671711366365947</x:v>
      </x:c>
      <x:c r="J433" s="32" t="n">
        <x:f>INDEX(v01_FoodCap,G433)*Arch_FoodCap*EXP(v01_CapsByProject*SUMPRODUCT((Cap_Point&lt;=I433)*(Cap_Kind="Food")*Cap_Ln))</x:f>
        <x:v>30</x:v>
      </x:c>
      <x:c r="K433" s="32" t="n">
        <x:f>J433*MIN(1,v01_LeanBase*EXP(v01_CapsByProject*SUMPRODUCT((Cap_Point&lt;=I433)*(Cap_Kind="Lean")*Cap_Ln)))</x:f>
        <x:v>30</x:v>
      </x:c>
      <x:c r="L433" s="10" t="n">
        <x:f>INDEX(v01_HousingCap,G433)*EXP(v01_CapsByProject*SUMPRODUCT((Cap_Point&lt;=I433)*(Cap_Kind="Housing")*Cap_Ln))</x:f>
        <x:v>60</x:v>
      </x:c>
      <x:c r="M433" s="10" t="n">
        <x:f>INDEX(v01_GroupCap,G433)*v01_CohesionFactor*EXP(v01_CapsByProject*SUMPRODUCT((Cap_Point&lt;=I433)*(Cap_Kind="Group")*Cap_Ln))</x:f>
        <x:v>100</x:v>
      </x:c>
      <x:c r="N433" s="32" t="n">
        <x:f>MIN(J433,L433,M433)</x:f>
        <x:v>30</x:v>
      </x:c>
      <x:c r="O433" s="10" t="n">
        <x:f>AE432*N433</x:f>
        <x:v>60</x:v>
      </x:c>
      <x:c r="P433" s="9" t="n">
        <x:f>MIN(1,(AB432/(AE432*IF(v01_GroupInCrowding=1,N433,MIN(J433,L433))))^v01_CrowdingExp)</x:f>
        <x:v>0.3760530455589233</x:v>
      </x:c>
      <x:c r="Q433" s="9" t="n">
        <x:f>IF(D433=1,INDEX(v01_WinterMult,G433),1)</x:f>
        <x:v>1</x:v>
      </x:c>
      <x:c r="R433" s="9" t="n">
        <x:f>H433*Z432*v01_WomenShare*v01_BaseFertility*INDEX(v01_FertMult,G433)*Arch_Fertility*(1-P433)</x:f>
        <x:v>0.555073327728725</x:v>
      </x:c>
      <x:c r="S433" s="9" t="n">
        <x:f>H433*Y432*INDEX(v01_MortChild,G433)/4*Q433</x:f>
        <x:v>0.1790519702099872</x:v>
      </x:c>
      <x:c r="T433" s="9" t="n">
        <x:f>H433*Z432*INDEX(v01_MortAdult,G433)*Arch_AdultMort/4*Q433</x:f>
        <x:v>0.07710007193306337</x:v>
      </x:c>
      <x:c r="U433" s="9" t="n">
        <x:f>H433*AA432*INDEX(v01_MortElder,G433)/4*Q433</x:f>
        <x:v>0.13578153945725033</x:v>
      </x:c>
      <x:c r="V433" s="9" t="n">
        <x:f>H433*MAX(0,AB432-O433)*v01_OvercapLoss</x:f>
        <x:v>0</x:v>
      </x:c>
      <x:c r="W433" s="9" t="n">
        <x:f>H433*Y432/(v01_ChildYears*4)</x:f>
        <x:v>0.36541218410201465</x:v>
      </x:c>
      <x:c r="X433" s="9" t="n">
        <x:f>H433*Z432/(v01_AdultYears*4)</x:f>
        <x:v>0.1913153149703806</x:v>
      </x:c>
      <x:c r="Y433" s="32" t="n">
        <x:f>Y432+R433-S433-W433-Y432*V433/AB432</x:f>
        <x:v>20.473691483129542</x:v>
      </x:c>
      <x:c r="Z433" s="32" t="n">
        <x:f>Z432+W433-X433-T433-Z432*V433/AB432</x:f>
        <x:v>23.820095853525764</x:v>
      </x:c>
      <x:c r="AA433" s="32" t="n">
        <x:f>AA432+X433-U433-AA432*V433/AB432</x:f>
        <x:v>6.844610748375646</x:v>
      </x:c>
      <x:c r="AB433" s="10" t="n">
        <x:f>Y433+Z433+AA433</x:f>
        <x:v>51.13839808503095</x:v>
      </x:c>
      <x:c r="AC433" s="8" t="n">
        <x:f>IF(AND(v01_WinterTrigger=1,D433=1,AB432/AE432&gt;=K433),1,0)</x:f>
        <x:v>0</x:v>
      </x:c>
      <x:c r="AD433" s="8" t="n">
        <x:f>H433*IF(AND(OR(AB432/AE432&gt;=v01_FissionTrigger*N433,AC433=1),AB432/AE432*v01_DaughterShare&gt;=v01_MinDaughter),MAX(1,ROUND(AE432*v01_FissionRate,0)),0)</x:f>
        <x:v>0</x:v>
      </x:c>
      <x:c r="AE433" s="8" t="n">
        <x:f>IF(H433=1,MAX(1,MIN(INDEX(v01_Smax,G433),AE432+AD433)),AE432)</x:f>
        <x:v>2</x:v>
      </x:c>
      <x:c r="AF433" s="8" t="n">
        <x:f>MAX(0,AE433-AE432)</x:f>
        <x:v>0</x:v>
      </x:c>
      <x:c r="AG433" s="9" t="str">
        <x:f>IF(AF433&gt;0,B433,"")</x:f>
      </x:c>
      <x:c r="AH433" s="9" t="n">
        <x:f>IF(F433&gt;=1,1,(1+v01_LowTiesShare*(AE433-1))/AE433)</x:f>
        <x:v>1</x:v>
      </x:c>
      <x:c r="AI433" s="32" t="n">
        <x:f>(Z433+v01_ElderCommons*INDEX(LM_Elder,G433)*AA433)*AH433</x:f>
        <x:v>40.5858996750154</x:v>
      </x:c>
      <x:c r="AJ433" s="32" t="n">
        <x:f>H433*v01_CommonsCoef*AI433^v01_CommonsExp*INDEX(LM_Commons,G433)</x:f>
        <x:v>15.369609606686641</x:v>
      </x:c>
      <x:c r="AK433" s="32" t="n">
        <x:f>H433*v01_RoleScale*Arch_Roles*(AE433*(INDEX(v01_ElderRolePerSett,G433)*v01_OutElder*INDEX(LM_Elder,G433)+INDEX(v01_ShamanPerSett,G433)*v01_OutShaman)+Z433*(INDEX(v01_PriestShare,G433)*v01_OutPriest+INDEX(v01_ScribeShare,G433)*v01_OutScribe*INDEX(LM_Scribe,G433)+INDEX(v01_ScholarShare,G433)*v01_OutScholar*INDEX(LM_Scholar,G433)+INDEX(v01_ResearcherShare,G433)*v01_OutResearcher*INDEX(LM_Researcher,G433)))</x:f>
        <x:v>2.724744871391589</x:v>
      </x:c>
      <x:c r="AL433" s="32" t="n">
        <x:f>H433*v01_RoleScale*Arch_Roles*AE433*INDEX(v01_MonasteryPerSett,G433)*v01_OutMonastery*INDEX(LM_Monastery,G433)</x:f>
        <x:v>0</x:v>
      </x:c>
      <x:c r="AM433" s="32" t="n">
        <x:f>(AJ433+AK433+AL433)/4*INDEX(LM_All,G433)*INDEX(v01_Boon,G433)*Arch_Insight</x:f>
        <x:v>4.636678335007546</x:v>
      </x:c>
      <x:c r="AN433" s="32" t="n">
        <x:f>H433*(v01_KHPerAdult*Z433+v01_KHOfCommons*AJ433/4*INDEX(LM_All,G433))*v01_KHUsable*Arch_KH</x:f>
        <x:v>0.8337033548734017</x:v>
      </x:c>
      <x:c r="AO433" s="32" t="n">
        <x:f>MIN(AP432+AN433,AM433*v01_KHMaxRatio)</x:f>
        <x:v>0.8337033548734017</x:v>
      </x:c>
      <x:c r="AP433" s="32" t="n">
        <x:f>AP432+AN433-AO433</x:f>
        <x:v>0</x:v>
      </x:c>
      <x:c r="AQ433" s="32" t="n">
        <x:f>AM433+AO433</x:f>
        <x:v>5.470381689880948</x:v>
      </x:c>
      <x:c r="AR433" s="10" t="n">
        <x:f>IF(H433=1,INDEX(v01_Req,G433),0)</x:f>
        <x:v>1067.32</x:v>
      </x:c>
      <x:c r="AS433" s="32" t="n">
        <x:f>IF(H433=1,IF(E433=1,AS432-AR432,AS432)+AQ433,0)</x:f>
        <x:v>722.4013572395836</x:v>
      </x:c>
      <x:c r="AT433" s="11" t="n">
        <x:f>IF(AR433&gt;0,MIN(1,AS433/AR433),1)</x:f>
        <x:v>0.6768367099272792</x:v>
      </x:c>
      <x:c r="AU433" s="10" t="n">
        <x:f>AB433/INDEX(v01_RepScale,G433)</x:f>
        <x:v>51.13839808503095</x:v>
      </x:c>
      <x:c r="AV433" s="32" t="n">
        <x:f>AM433*60/v01_SeasonSeconds</x:f>
        <x:v>18.546713340030184</x:v>
      </x:c>
    </x:row>
    <x:row r="434">
      <x:c r="A434" s="8" t="n">
        <x:f>A433+1</x:f>
        <x:v>431</x:v>
      </x:c>
      <x:c r="B434" s="9" t="n">
        <x:f>A434*v01_SeasonSeconds/60</x:f>
        <x:v>107.75</x:v>
      </x:c>
      <x:c r="C434" s="9" t="n">
        <x:f>A434/4</x:f>
        <x:v>107.75</x:v>
      </x:c>
      <x:c r="D434" s="8" t="n">
        <x:f>IF(MOD(A434,4)=0,1,0)</x:f>
        <x:v>0</x:v>
      </x:c>
      <x:c r="E434" s="8" t="n">
        <x:f>IF(AND(F433&lt;=9,AS433&gt;=AR433),1,0)</x:f>
        <x:v>0</x:v>
      </x:c>
      <x:c r="F434" s="8" t="n">
        <x:f>MIN(10,F433+E434)</x:f>
        <x:v>1</x:v>
      </x:c>
      <x:c r="G434" s="8" t="n">
        <x:f>MIN(F434,9)+1</x:f>
        <x:v>2</x:v>
      </x:c>
      <x:c r="H434" s="8" t="n">
        <x:f>IF(F434&lt;=9,1,0)</x:f>
        <x:v>1</x:v>
      </x:c>
      <x:c r="I434" s="9" t="n">
        <x:f>MIN(10,F433+IF(AR433&gt;0,MIN(1,AS433/AR433),1))</x:f>
        <x:v>1.6768367099272792</x:v>
      </x:c>
      <x:c r="J434" s="32" t="n">
        <x:f>INDEX(v01_FoodCap,G434)*Arch_FoodCap*EXP(v01_CapsByProject*SUMPRODUCT((Cap_Point&lt;=I434)*(Cap_Kind="Food")*Cap_Ln))</x:f>
        <x:v>30</x:v>
      </x:c>
      <x:c r="K434" s="32" t="n">
        <x:f>J434*MIN(1,v01_LeanBase*EXP(v01_CapsByProject*SUMPRODUCT((Cap_Point&lt;=I434)*(Cap_Kind="Lean")*Cap_Ln)))</x:f>
        <x:v>30</x:v>
      </x:c>
      <x:c r="L434" s="10" t="n">
        <x:f>INDEX(v01_HousingCap,G434)*EXP(v01_CapsByProject*SUMPRODUCT((Cap_Point&lt;=I434)*(Cap_Kind="Housing")*Cap_Ln))</x:f>
        <x:v>60</x:v>
      </x:c>
      <x:c r="M434" s="10" t="n">
        <x:f>INDEX(v01_GroupCap,G434)*v01_CohesionFactor*EXP(v01_CapsByProject*SUMPRODUCT((Cap_Point&lt;=I434)*(Cap_Kind="Group")*Cap_Ln))</x:f>
        <x:v>100</x:v>
      </x:c>
      <x:c r="N434" s="32" t="n">
        <x:f>MIN(J434,L434,M434)</x:f>
        <x:v>30</x:v>
      </x:c>
      <x:c r="O434" s="10" t="n">
        <x:f>AE433*N434</x:f>
        <x:v>60</x:v>
      </x:c>
      <x:c r="P434" s="9" t="n">
        <x:f>MIN(1,(AB433/(AE433*IF(v01_GroupInCrowding=1,N434,MIN(J434,L434))))^v01_CrowdingExp)</x:f>
        <x:v>0.38333212374103326</x:v>
      </x:c>
      <x:c r="Q434" s="9" t="n">
        <x:f>IF(D434=1,INDEX(v01_WinterMult,G434),1)</x:f>
        <x:v>1</x:v>
      </x:c>
      <x:c r="R434" s="9" t="n">
        <x:f>H434*Z433*v01_WomenShare*v01_BaseFertility*INDEX(v01_FertMult,G434)*Arch_Fertility*(1-P434)</x:f>
        <x:v>0.5508407970854532</x:v>
      </x:c>
      <x:c r="S434" s="9" t="n">
        <x:f>H434*Y433*INDEX(v01_MortChild,G434)/4*Q434</x:f>
        <x:v>0.17914480047738351</x:v>
      </x:c>
      <x:c r="T434" s="9" t="n">
        <x:f>H434*Z433*INDEX(v01_MortAdult,G434)*Arch_AdultMort/4*Q434</x:f>
        <x:v>0.07741531152395872</x:v>
      </x:c>
      <x:c r="U434" s="9" t="n">
        <x:f>H434*AA433*INDEX(v01_MortElder,G434)/4*Q434</x:f>
        <x:v>0.13689221496751292</x:v>
      </x:c>
      <x:c r="V434" s="9" t="n">
        <x:f>H434*MAX(0,AB433-O434)*v01_OvercapLoss</x:f>
        <x:v>0</x:v>
      </x:c>
      <x:c r="W434" s="9" t="n">
        <x:f>H434*Y433/(v01_ChildYears*4)</x:f>
        <x:v>0.36560163362731324</x:v>
      </x:c>
      <x:c r="X434" s="9" t="n">
        <x:f>H434*Z433/(v01_AdultYears*4)</x:f>
        <x:v>0.19209754720585293</x:v>
      </x:c>
      <x:c r="Y434" s="32" t="n">
        <x:f>Y433+R434-S434-W434-Y433*V434/AB433</x:f>
        <x:v>20.479785846110296</x:v>
      </x:c>
      <x:c r="Z434" s="32" t="n">
        <x:f>Z433+W434-X434-T434-Z433*V434/AB433</x:f>
        <x:v>23.916184628423267</x:v>
      </x:c>
      <x:c r="AA434" s="32" t="n">
        <x:f>AA433+X434-U434-AA433*V434/AB433</x:f>
        <x:v>6.899816080613986</x:v>
      </x:c>
      <x:c r="AB434" s="10" t="n">
        <x:f>Y434+Z434+AA434</x:f>
        <x:v>51.29578655514755</x:v>
      </x:c>
      <x:c r="AC434" s="8" t="n">
        <x:f>IF(AND(v01_WinterTrigger=1,D434=1,AB433/AE433&gt;=K434),1,0)</x:f>
        <x:v>0</x:v>
      </x:c>
      <x:c r="AD434" s="8" t="n">
        <x:f>H434*IF(AND(OR(AB433/AE433&gt;=v01_FissionTrigger*N434,AC434=1),AB433/AE433*v01_DaughterShare&gt;=v01_MinDaughter),MAX(1,ROUND(AE433*v01_FissionRate,0)),0)</x:f>
        <x:v>1</x:v>
      </x:c>
      <x:c r="AE434" s="8" t="n">
        <x:f>IF(H434=1,MAX(1,MIN(INDEX(v01_Smax,G434),AE433+AD434)),AE433)</x:f>
        <x:v>3</x:v>
      </x:c>
      <x:c r="AF434" s="8" t="n">
        <x:f>MAX(0,AE434-AE433)</x:f>
        <x:v>1</x:v>
      </x:c>
      <x:c r="AG434" s="9" t="n">
        <x:f>IF(AF434&gt;0,B434,"")</x:f>
        <x:v>107.75</x:v>
      </x:c>
      <x:c r="AH434" s="9" t="n">
        <x:f>IF(F434&gt;=1,1,(1+v01_LowTiesShare*(AE434-1))/AE434)</x:f>
        <x:v>1</x:v>
      </x:c>
      <x:c r="AI434" s="32" t="n">
        <x:f>(Z434+v01_ElderCommons*INDEX(LM_Elder,G434)*AA434)*AH434</x:f>
        <x:v>40.81721334497765</x:v>
      </x:c>
      <x:c r="AJ434" s="32" t="n">
        <x:f>H434*v01_CommonsCoef*AI434^v01_CommonsExp*INDEX(LM_Commons,G434)</x:f>
        <x:v>15.444035251921868</x:v>
      </x:c>
      <x:c r="AK434" s="32" t="n">
        <x:f>H434*v01_RoleScale*Arch_Roles*(AE434*(INDEX(v01_ElderRolePerSett,G434)*v01_OutElder*INDEX(LM_Elder,G434)+INDEX(v01_ShamanPerSett,G434)*v01_OutShaman)+Z434*(INDEX(v01_PriestShare,G434)*v01_OutPriest+INDEX(v01_ScribeShare,G434)*v01_OutScribe*INDEX(LM_Scribe,G434)+INDEX(v01_ScholarShare,G434)*v01_OutScholar*INDEX(LM_Scholar,G434)+INDEX(v01_ResearcherShare,G434)*v01_OutResearcher*INDEX(LM_Researcher,G434)))</x:f>
        <x:v>4.087117307087383</x:v>
      </x:c>
      <x:c r="AL434" s="32" t="n">
        <x:f>H434*v01_RoleScale*Arch_Roles*AE434*INDEX(v01_MonasteryPerSett,G434)*v01_OutMonastery*INDEX(LM_Monastery,G434)</x:f>
        <x:v>0</x:v>
      </x:c>
      <x:c r="AM434" s="32" t="n">
        <x:f>(AJ434+AK434+AL434)/4*INDEX(LM_All,G434)*INDEX(v01_Boon,G434)*Arch_Insight</x:f>
        <x:v>5.0048578432461195</x:v>
      </x:c>
      <x:c r="AN434" s="32" t="n">
        <x:f>H434*(v01_KHPerAdult*Z434+v01_KHOfCommons*AJ434/4*INDEX(LM_All,G434))*v01_KHUsable*Arch_KH</x:f>
        <x:v>0.8370664619948144</x:v>
      </x:c>
      <x:c r="AO434" s="32" t="n">
        <x:f>MIN(AP433+AN434,AM434*v01_KHMaxRatio)</x:f>
        <x:v>0.8370664619948144</x:v>
      </x:c>
      <x:c r="AP434" s="32" t="n">
        <x:f>AP433+AN434-AO434</x:f>
        <x:v>0</x:v>
      </x:c>
      <x:c r="AQ434" s="32" t="n">
        <x:f>AM434+AO434</x:f>
        <x:v>5.8419243052409335</x:v>
      </x:c>
      <x:c r="AR434" s="10" t="n">
        <x:f>IF(H434=1,INDEX(v01_Req,G434),0)</x:f>
        <x:v>1067.32</x:v>
      </x:c>
      <x:c r="AS434" s="32" t="n">
        <x:f>IF(H434=1,IF(E434=1,AS433-AR433,AS433)+AQ434,0)</x:f>
        <x:v>728.2432815448245</x:v>
      </x:c>
      <x:c r="AT434" s="11" t="n">
        <x:f>IF(AR434&gt;0,MIN(1,AS434/AR434),1)</x:f>
        <x:v>0.68231016147437</x:v>
      </x:c>
      <x:c r="AU434" s="10" t="n">
        <x:f>AB434/INDEX(v01_RepScale,G434)</x:f>
        <x:v>51.29578655514755</x:v>
      </x:c>
      <x:c r="AV434" s="32" t="n">
        <x:f>AM434*60/v01_SeasonSeconds</x:f>
        <x:v>20.019431372984478</x:v>
      </x:c>
    </x:row>
    <x:row r="435">
      <x:c r="A435" s="8" t="n">
        <x:f>A434+1</x:f>
        <x:v>432</x:v>
      </x:c>
      <x:c r="B435" s="9" t="n">
        <x:f>A435*v01_SeasonSeconds/60</x:f>
        <x:v>108</x:v>
      </x:c>
      <x:c r="C435" s="9" t="n">
        <x:f>A435/4</x:f>
        <x:v>108</x:v>
      </x:c>
      <x:c r="D435" s="8" t="n">
        <x:f>IF(MOD(A435,4)=0,1,0)</x:f>
        <x:v>1</x:v>
      </x:c>
      <x:c r="E435" s="8" t="n">
        <x:f>IF(AND(F434&lt;=9,AS434&gt;=AR434),1,0)</x:f>
        <x:v>0</x:v>
      </x:c>
      <x:c r="F435" s="8" t="n">
        <x:f>MIN(10,F434+E435)</x:f>
        <x:v>1</x:v>
      </x:c>
      <x:c r="G435" s="8" t="n">
        <x:f>MIN(F435,9)+1</x:f>
        <x:v>2</x:v>
      </x:c>
      <x:c r="H435" s="8" t="n">
        <x:f>IF(F435&lt;=9,1,0)</x:f>
        <x:v>1</x:v>
      </x:c>
      <x:c r="I435" s="9" t="n">
        <x:f>MIN(10,F434+IF(AR434&gt;0,MIN(1,AS434/AR434),1))</x:f>
        <x:v>1.68231016147437</x:v>
      </x:c>
      <x:c r="J435" s="32" t="n">
        <x:f>INDEX(v01_FoodCap,G435)*Arch_FoodCap*EXP(v01_CapsByProject*SUMPRODUCT((Cap_Point&lt;=I435)*(Cap_Kind="Food")*Cap_Ln))</x:f>
        <x:v>30</x:v>
      </x:c>
      <x:c r="K435" s="32" t="n">
        <x:f>J435*MIN(1,v01_LeanBase*EXP(v01_CapsByProject*SUMPRODUCT((Cap_Point&lt;=I435)*(Cap_Kind="Lean")*Cap_Ln)))</x:f>
        <x:v>30</x:v>
      </x:c>
      <x:c r="L435" s="10" t="n">
        <x:f>INDEX(v01_HousingCap,G435)*EXP(v01_CapsByProject*SUMPRODUCT((Cap_Point&lt;=I435)*(Cap_Kind="Housing")*Cap_Ln))</x:f>
        <x:v>60</x:v>
      </x:c>
      <x:c r="M435" s="10" t="n">
        <x:f>INDEX(v01_GroupCap,G435)*v01_CohesionFactor*EXP(v01_CapsByProject*SUMPRODUCT((Cap_Point&lt;=I435)*(Cap_Kind="Group")*Cap_Ln))</x:f>
        <x:v>100</x:v>
      </x:c>
      <x:c r="N435" s="32" t="n">
        <x:f>MIN(J435,L435,M435)</x:f>
        <x:v>30</x:v>
      </x:c>
      <x:c r="O435" s="10" t="n">
        <x:f>AE434*N435</x:f>
        <x:v>90</x:v>
      </x:c>
      <x:c r="P435" s="9" t="n">
        <x:f>MIN(1,(AB434/(AE434*IF(v01_GroupInCrowding=1,N435,MIN(J435,L435))))^v01_CrowdingExp)</x:f>
        <x:v>0.03427954941035716</x:v>
      </x:c>
      <x:c r="Q435" s="9" t="n">
        <x:f>IF(D435=1,INDEX(v01_WinterMult,G435),1)</x:f>
        <x:v>1.6</x:v>
      </x:c>
      <x:c r="R435" s="9" t="n">
        <x:f>H435*Z434*v01_WomenShare*v01_BaseFertility*INDEX(v01_FertMult,G435)*Arch_Fertility*(1-P435)</x:f>
        <x:v>0.8661130723404752</x:v>
      </x:c>
      <x:c r="S435" s="9" t="n">
        <x:f>H435*Y434*INDEX(v01_MortChild,G435)/4*Q435</x:f>
        <x:v>0.2867170018455442</x:v>
      </x:c>
      <x:c r="T435" s="9" t="n">
        <x:f>H435*Z434*INDEX(v01_MortAdult,G435)*Arch_AdultMort/4*Q435</x:f>
        <x:v>0.12436416006780099</x:v>
      </x:c>
      <x:c r="U435" s="9" t="n">
        <x:f>H435*AA434*INDEX(v01_MortElder,G435)/4*Q435</x:f>
        <x:v>0.2207941145796476</x:v>
      </x:c>
      <x:c r="V435" s="9" t="n">
        <x:f>H435*MAX(0,AB434-O435)*v01_OvercapLoss</x:f>
        <x:v>0</x:v>
      </x:c>
      <x:c r="W435" s="9" t="n">
        <x:f>H435*Y434/(v01_ChildYears*4)</x:f>
        <x:v>0.3657104615376839</x:v>
      </x:c>
      <x:c r="X435" s="9" t="n">
        <x:f>H435*Z434/(v01_AdultYears*4)</x:f>
        <x:v>0.1928724566808328</x:v>
      </x:c>
      <x:c r="Y435" s="32" t="n">
        <x:f>Y434+R435-S435-W435-Y434*V435/AB434</x:f>
        <x:v>20.69347145506754</x:v>
      </x:c>
      <x:c r="Z435" s="32" t="n">
        <x:f>Z434+W435-X435-T435-Z434*V435/AB434</x:f>
        <x:v>23.964658473212317</x:v>
      </x:c>
      <x:c r="AA435" s="32" t="n">
        <x:f>AA434+X435-U435-AA434*V435/AB434</x:f>
        <x:v>6.8718944227151715</x:v>
      </x:c>
      <x:c r="AB435" s="10" t="n">
        <x:f>Y435+Z435+AA435</x:f>
        <x:v>51.530024350995035</x:v>
      </x:c>
      <x:c r="AC435" s="8" t="n">
        <x:f>IF(AND(v01_WinterTrigger=1,D435=1,AB434/AE434&gt;=K435),1,0)</x:f>
        <x:v>0</x:v>
      </x:c>
      <x:c r="AD435" s="8" t="n">
        <x:f>H435*IF(AND(OR(AB434/AE434&gt;=v01_FissionTrigger*N435,AC435=1),AB434/AE434*v01_DaughterShare&gt;=v01_MinDaughter),MAX(1,ROUND(AE434*v01_FissionRate,0)),0)</x:f>
        <x:v>0</x:v>
      </x:c>
      <x:c r="AE435" s="8" t="n">
        <x:f>IF(H435=1,MAX(1,MIN(INDEX(v01_Smax,G435),AE434+AD435)),AE434)</x:f>
        <x:v>3</x:v>
      </x:c>
      <x:c r="AF435" s="8" t="n">
        <x:f>MAX(0,AE435-AE434)</x:f>
        <x:v>0</x:v>
      </x:c>
      <x:c r="AG435" s="9" t="str">
        <x:f>IF(AF435&gt;0,B435,"")</x:f>
      </x:c>
      <x:c r="AH435" s="9" t="n">
        <x:f>IF(F435&gt;=1,1,(1+v01_LowTiesShare*(AE435-1))/AE435)</x:f>
        <x:v>1</x:v>
      </x:c>
      <x:c r="AI435" s="32" t="n">
        <x:f>(Z435+v01_ElderCommons*INDEX(LM_Elder,G435)*AA435)*AH435</x:f>
        <x:v>40.79729337514206</x:v>
      </x:c>
      <x:c r="AJ435" s="32" t="n">
        <x:f>H435*v01_CommonsCoef*AI435^v01_CommonsExp*INDEX(LM_Commons,G435)</x:f>
        <x:v>15.437628455360954</x:v>
      </x:c>
      <x:c r="AK435" s="32" t="n">
        <x:f>H435*v01_RoleScale*Arch_Roles*(AE435*(INDEX(v01_ElderRolePerSett,G435)*v01_OutElder*INDEX(LM_Elder,G435)+INDEX(v01_ShamanPerSett,G435)*v01_OutShaman)+Z435*(INDEX(v01_PriestShare,G435)*v01_OutPriest+INDEX(v01_ScribeShare,G435)*v01_OutScribe*INDEX(LM_Scribe,G435)+INDEX(v01_ScholarShare,G435)*v01_OutScholar*INDEX(LM_Scholar,G435)+INDEX(v01_ResearcherShare,G435)*v01_OutResearcher*INDEX(LM_Researcher,G435)))</x:f>
        <x:v>4.087117307087383</x:v>
      </x:c>
      <x:c r="AL435" s="32" t="n">
        <x:f>H435*v01_RoleScale*Arch_Roles*AE435*INDEX(v01_MonasteryPerSett,G435)*v01_OutMonastery*INDEX(LM_Monastery,G435)</x:f>
        <x:v>0</x:v>
      </x:c>
      <x:c r="AM435" s="32" t="n">
        <x:f>(AJ435+AK435+AL435)/4*INDEX(LM_All,G435)*INDEX(v01_Boon,G435)*Arch_Insight</x:f>
        <x:v>5.003216101627386</x:v>
      </x:c>
      <x:c r="AN435" s="32" t="n">
        <x:f>H435*(v01_KHPerAdult*Z435+v01_KHOfCommons*AJ435/4*INDEX(LM_All,G435))*v01_KHUsable*Arch_KH</x:f>
        <x:v>0.8387630465624312</x:v>
      </x:c>
      <x:c r="AO435" s="32" t="n">
        <x:f>MIN(AP434+AN435,AM435*v01_KHMaxRatio)</x:f>
        <x:v>0.8387630465624312</x:v>
      </x:c>
      <x:c r="AP435" s="32" t="n">
        <x:f>AP434+AN435-AO435</x:f>
        <x:v>0</x:v>
      </x:c>
      <x:c r="AQ435" s="32" t="n">
        <x:f>AM435+AO435</x:f>
        <x:v>5.841979148189817</x:v>
      </x:c>
      <x:c r="AR435" s="10" t="n">
        <x:f>IF(H435=1,INDEX(v01_Req,G435),0)</x:f>
        <x:v>1067.32</x:v>
      </x:c>
      <x:c r="AS435" s="32" t="n">
        <x:f>IF(H435=1,IF(E435=1,AS434-AR434,AS434)+AQ435,0)</x:f>
        <x:v>734.0852606930143</x:v>
      </x:c>
      <x:c r="AT435" s="11" t="n">
        <x:f>IF(AR435&gt;0,MIN(1,AS435/AR435),1)</x:f>
        <x:v>0.6877836644052527</x:v>
      </x:c>
      <x:c r="AU435" s="10" t="n">
        <x:f>AB435/INDEX(v01_RepScale,G435)</x:f>
        <x:v>51.530024350995035</x:v>
      </x:c>
      <x:c r="AV435" s="32" t="n">
        <x:f>AM435*60/v01_SeasonSeconds</x:f>
        <x:v>20.012864406509543</x:v>
      </x:c>
    </x:row>
    <x:row r="436">
      <x:c r="A436" s="8" t="n">
        <x:f>A435+1</x:f>
        <x:v>433</x:v>
      </x:c>
      <x:c r="B436" s="9" t="n">
        <x:f>A436*v01_SeasonSeconds/60</x:f>
        <x:v>108.25</x:v>
      </x:c>
      <x:c r="C436" s="9" t="n">
        <x:f>A436/4</x:f>
        <x:v>108.25</x:v>
      </x:c>
      <x:c r="D436" s="8" t="n">
        <x:f>IF(MOD(A436,4)=0,1,0)</x:f>
        <x:v>0</x:v>
      </x:c>
      <x:c r="E436" s="8" t="n">
        <x:f>IF(AND(F435&lt;=9,AS435&gt;=AR435),1,0)</x:f>
        <x:v>0</x:v>
      </x:c>
      <x:c r="F436" s="8" t="n">
        <x:f>MIN(10,F435+E436)</x:f>
        <x:v>1</x:v>
      </x:c>
      <x:c r="G436" s="8" t="n">
        <x:f>MIN(F436,9)+1</x:f>
        <x:v>2</x:v>
      </x:c>
      <x:c r="H436" s="8" t="n">
        <x:f>IF(F436&lt;=9,1,0)</x:f>
        <x:v>1</x:v>
      </x:c>
      <x:c r="I436" s="9" t="n">
        <x:f>MIN(10,F435+IF(AR435&gt;0,MIN(1,AS435/AR435),1))</x:f>
        <x:v>1.6877836644052526</x:v>
      </x:c>
      <x:c r="J436" s="32" t="n">
        <x:f>INDEX(v01_FoodCap,G436)*Arch_FoodCap*EXP(v01_CapsByProject*SUMPRODUCT((Cap_Point&lt;=I436)*(Cap_Kind="Food")*Cap_Ln))</x:f>
        <x:v>30</x:v>
      </x:c>
      <x:c r="K436" s="32" t="n">
        <x:f>J436*MIN(1,v01_LeanBase*EXP(v01_CapsByProject*SUMPRODUCT((Cap_Point&lt;=I436)*(Cap_Kind="Lean")*Cap_Ln)))</x:f>
        <x:v>30</x:v>
      </x:c>
      <x:c r="L436" s="10" t="n">
        <x:f>INDEX(v01_HousingCap,G436)*EXP(v01_CapsByProject*SUMPRODUCT((Cap_Point&lt;=I436)*(Cap_Kind="Housing")*Cap_Ln))</x:f>
        <x:v>60</x:v>
      </x:c>
      <x:c r="M436" s="10" t="n">
        <x:f>INDEX(v01_GroupCap,G436)*v01_CohesionFactor*EXP(v01_CapsByProject*SUMPRODUCT((Cap_Point&lt;=I436)*(Cap_Kind="Group")*Cap_Ln))</x:f>
        <x:v>100</x:v>
      </x:c>
      <x:c r="N436" s="32" t="n">
        <x:f>MIN(J436,L436,M436)</x:f>
        <x:v>30</x:v>
      </x:c>
      <x:c r="O436" s="10" t="n">
        <x:f>AE435*N436</x:f>
        <x:v>90</x:v>
      </x:c>
      <x:c r="P436" s="9" t="n">
        <x:f>MIN(1,(AB435/(AE435*IF(v01_GroupInCrowding=1,N436,MIN(J436,L436))))^v01_CrowdingExp)</x:f>
        <x:v>0.03522954462154823</x:v>
      </x:c>
      <x:c r="Q436" s="9" t="n">
        <x:f>IF(D436=1,INDEX(v01_WinterMult,G436),1)</x:f>
        <x:v>1</x:v>
      </x:c>
      <x:c r="R436" s="9" t="n">
        <x:f>H436*Z435*v01_WomenShare*v01_BaseFertility*INDEX(v01_FertMult,G436)*Arch_Fertility*(1-P436)</x:f>
        <x:v>0.8670147925571294</x:v>
      </x:c>
      <x:c r="S436" s="9" t="n">
        <x:f>H436*Y435*INDEX(v01_MortChild,G436)/4*Q436</x:f>
        <x:v>0.181067875231841</x:v>
      </x:c>
      <x:c r="T436" s="9" t="n">
        <x:f>H436*Z435*INDEX(v01_MortAdult,G436)*Arch_AdultMort/4*Q436</x:f>
        <x:v>0.07788514003794003</x:v>
      </x:c>
      <x:c r="U436" s="9" t="n">
        <x:f>H436*AA435*INDEX(v01_MortElder,G436)/4*Q436</x:f>
        <x:v>0.13743788845430344</x:v>
      </x:c>
      <x:c r="V436" s="9" t="n">
        <x:f>H436*MAX(0,AB435-O436)*v01_OvercapLoss</x:f>
        <x:v>0</x:v>
      </x:c>
      <x:c r="W436" s="9" t="n">
        <x:f>H436*Y435/(v01_ChildYears*4)</x:f>
        <x:v>0.369526275983349</x:v>
      </x:c>
      <x:c r="X436" s="9" t="n">
        <x:f>H436*Z435/(v01_AdultYears*4)</x:f>
        <x:v>0.1932633747839703</x:v>
      </x:c>
      <x:c r="Y436" s="32" t="n">
        <x:f>Y435+R436-S436-W436-Y435*V436/AB435</x:f>
        <x:v>21.00989209640948</x:v>
      </x:c>
      <x:c r="Z436" s="32" t="n">
        <x:f>Z435+W436-X436-T436-Z435*V436/AB435</x:f>
        <x:v>24.063036234373758</x:v>
      </x:c>
      <x:c r="AA436" s="32" t="n">
        <x:f>AA435+X436-U436-AA435*V436/AB435</x:f>
        <x:v>6.927719909044838</x:v>
      </x:c>
      <x:c r="AB436" s="10" t="n">
        <x:f>Y436+Z436+AA436</x:f>
        <x:v>52.00064823982808</x:v>
      </x:c>
      <x:c r="AC436" s="8" t="n">
        <x:f>IF(AND(v01_WinterTrigger=1,D436=1,AB435/AE435&gt;=K436),1,0)</x:f>
        <x:v>0</x:v>
      </x:c>
      <x:c r="AD436" s="8" t="n">
        <x:f>H436*IF(AND(OR(AB435/AE435&gt;=v01_FissionTrigger*N436,AC436=1),AB435/AE435*v01_DaughterShare&gt;=v01_MinDaughter),MAX(1,ROUND(AE435*v01_FissionRate,0)),0)</x:f>
        <x:v>0</x:v>
      </x:c>
      <x:c r="AE436" s="8" t="n">
        <x:f>IF(H436=1,MAX(1,MIN(INDEX(v01_Smax,G436),AE435+AD436)),AE435)</x:f>
        <x:v>3</x:v>
      </x:c>
      <x:c r="AF436" s="8" t="n">
        <x:f>MAX(0,AE436-AE435)</x:f>
        <x:v>0</x:v>
      </x:c>
      <x:c r="AG436" s="9" t="str">
        <x:f>IF(AF436&gt;0,B436,"")</x:f>
      </x:c>
      <x:c r="AH436" s="9" t="n">
        <x:f>IF(F436&gt;=1,1,(1+v01_LowTiesShare*(AE436-1))/AE436)</x:f>
        <x:v>1</x:v>
      </x:c>
      <x:c r="AI436" s="32" t="n">
        <x:f>(Z436+v01_ElderCommons*INDEX(LM_Elder,G436)*AA436)*AH436</x:f>
        <x:v>41.0324150924539</x:v>
      </x:c>
      <x:c r="AJ436" s="32" t="n">
        <x:f>H436*v01_CommonsCoef*AI436^v01_CommonsExp*INDEX(LM_Commons,G436)</x:f>
        <x:v>15.513220058903476</x:v>
      </x:c>
      <x:c r="AK436" s="32" t="n">
        <x:f>H436*v01_RoleScale*Arch_Roles*(AE436*(INDEX(v01_ElderRolePerSett,G436)*v01_OutElder*INDEX(LM_Elder,G436)+INDEX(v01_ShamanPerSett,G436)*v01_OutShaman)+Z436*(INDEX(v01_PriestShare,G436)*v01_OutPriest+INDEX(v01_ScribeShare,G436)*v01_OutScribe*INDEX(LM_Scribe,G436)+INDEX(v01_ScholarShare,G436)*v01_OutScholar*INDEX(LM_Scholar,G436)+INDEX(v01_ResearcherShare,G436)*v01_OutResearcher*INDEX(LM_Researcher,G436)))</x:f>
        <x:v>4.087117307087383</x:v>
      </x:c>
      <x:c r="AL436" s="32" t="n">
        <x:f>H436*v01_RoleScale*Arch_Roles*AE436*INDEX(v01_MonasteryPerSett,G436)*v01_OutMonastery*INDEX(LM_Monastery,G436)</x:f>
        <x:v>0</x:v>
      </x:c>
      <x:c r="AM436" s="32" t="n">
        <x:f>(AJ436+AK436+AL436)/4*INDEX(LM_All,G436)*INDEX(v01_Boon,G436)*Arch_Insight</x:f>
        <x:v>5.022586450035157</x:v>
      </x:c>
      <x:c r="AN436" s="32" t="n">
        <x:f>H436*(v01_KHPerAdult*Z436+v01_KHOfCommons*AJ436/4*INDEX(LM_All,G436))*v01_KHUsable*Arch_KH</x:f>
        <x:v>0.8422062682030815</x:v>
      </x:c>
      <x:c r="AO436" s="32" t="n">
        <x:f>MIN(AP435+AN436,AM436*v01_KHMaxRatio)</x:f>
        <x:v>0.8422062682030815</x:v>
      </x:c>
      <x:c r="AP436" s="32" t="n">
        <x:f>AP435+AN436-AO436</x:f>
        <x:v>0</x:v>
      </x:c>
      <x:c r="AQ436" s="32" t="n">
        <x:f>AM436+AO436</x:f>
        <x:v>5.864792718238238</x:v>
      </x:c>
      <x:c r="AR436" s="10" t="n">
        <x:f>IF(H436=1,INDEX(v01_Req,G436),0)</x:f>
        <x:v>1067.32</x:v>
      </x:c>
      <x:c r="AS436" s="32" t="n">
        <x:f>IF(H436=1,IF(E436=1,AS435-AR435,AS435)+AQ436,0)</x:f>
        <x:v>739.9500534112526</x:v>
      </x:c>
      <x:c r="AT436" s="11" t="n">
        <x:f>IF(AR436&gt;0,MIN(1,AS436/AR436),1)</x:f>
        <x:v>0.6932785419660952</x:v>
      </x:c>
      <x:c r="AU436" s="10" t="n">
        <x:f>AB436/INDEX(v01_RepScale,G436)</x:f>
        <x:v>52.00064823982808</x:v>
      </x:c>
      <x:c r="AV436" s="32" t="n">
        <x:f>AM436*60/v01_SeasonSeconds</x:f>
        <x:v>20.09034580014063</x:v>
      </x:c>
    </x:row>
    <x:row r="437">
      <x:c r="A437" s="8" t="n">
        <x:f>A436+1</x:f>
        <x:v>434</x:v>
      </x:c>
      <x:c r="B437" s="9" t="n">
        <x:f>A437*v01_SeasonSeconds/60</x:f>
        <x:v>108.5</x:v>
      </x:c>
      <x:c r="C437" s="9" t="n">
        <x:f>A437/4</x:f>
        <x:v>108.5</x:v>
      </x:c>
      <x:c r="D437" s="8" t="n">
        <x:f>IF(MOD(A437,4)=0,1,0)</x:f>
        <x:v>0</x:v>
      </x:c>
      <x:c r="E437" s="8" t="n">
        <x:f>IF(AND(F436&lt;=9,AS436&gt;=AR436),1,0)</x:f>
        <x:v>0</x:v>
      </x:c>
      <x:c r="F437" s="8" t="n">
        <x:f>MIN(10,F436+E437)</x:f>
        <x:v>1</x:v>
      </x:c>
      <x:c r="G437" s="8" t="n">
        <x:f>MIN(F437,9)+1</x:f>
        <x:v>2</x:v>
      </x:c>
      <x:c r="H437" s="8" t="n">
        <x:f>IF(F437&lt;=9,1,0)</x:f>
        <x:v>1</x:v>
      </x:c>
      <x:c r="I437" s="9" t="n">
        <x:f>MIN(10,F436+IF(AR436&gt;0,MIN(1,AS436/AR436),1))</x:f>
        <x:v>1.6932785419660952</x:v>
      </x:c>
      <x:c r="J437" s="32" t="n">
        <x:f>INDEX(v01_FoodCap,G437)*Arch_FoodCap*EXP(v01_CapsByProject*SUMPRODUCT((Cap_Point&lt;=I437)*(Cap_Kind="Food")*Cap_Ln))</x:f>
        <x:v>30</x:v>
      </x:c>
      <x:c r="K437" s="32" t="n">
        <x:f>J437*MIN(1,v01_LeanBase*EXP(v01_CapsByProject*SUMPRODUCT((Cap_Point&lt;=I437)*(Cap_Kind="Lean")*Cap_Ln)))</x:f>
        <x:v>30</x:v>
      </x:c>
      <x:c r="L437" s="10" t="n">
        <x:f>INDEX(v01_HousingCap,G437)*EXP(v01_CapsByProject*SUMPRODUCT((Cap_Point&lt;=I437)*(Cap_Kind="Housing")*Cap_Ln))</x:f>
        <x:v>60</x:v>
      </x:c>
      <x:c r="M437" s="10" t="n">
        <x:f>INDEX(v01_GroupCap,G437)*v01_CohesionFactor*EXP(v01_CapsByProject*SUMPRODUCT((Cap_Point&lt;=I437)*(Cap_Kind="Group")*Cap_Ln))</x:f>
        <x:v>100</x:v>
      </x:c>
      <x:c r="N437" s="32" t="n">
        <x:f>MIN(J437,L437,M437)</x:f>
        <x:v>30</x:v>
      </x:c>
      <x:c r="O437" s="10" t="n">
        <x:f>AE436*N437</x:f>
        <x:v>90</x:v>
      </x:c>
      <x:c r="P437" s="9" t="n">
        <x:f>MIN(1,(AB436/(AE436*IF(v01_GroupInCrowding=1,N437,MIN(J437,L437))))^v01_CrowdingExp)</x:f>
        <x:v>0.03720467274912088</x:v>
      </x:c>
      <x:c r="Q437" s="9" t="n">
        <x:f>IF(D437=1,INDEX(v01_WinterMult,G437),1)</x:f>
        <x:v>1</x:v>
      </x:c>
      <x:c r="R437" s="9" t="n">
        <x:f>H437*Z436*v01_WomenShare*v01_BaseFertility*INDEX(v01_FertMult,G437)*Arch_Fertility*(1-P437)</x:f>
        <x:v>0.8687917067221367</x:v>
      </x:c>
      <x:c r="S437" s="9" t="n">
        <x:f>H437*Y436*INDEX(v01_MortChild,G437)/4*Q437</x:f>
        <x:v>0.18383655584358297</x:v>
      </x:c>
      <x:c r="T437" s="9" t="n">
        <x:f>H437*Z436*INDEX(v01_MortAdult,G437)*Arch_AdultMort/4*Q437</x:f>
        <x:v>0.07820486776171472</x:v>
      </x:c>
      <x:c r="U437" s="9" t="n">
        <x:f>H437*AA436*INDEX(v01_MortElder,G437)/4*Q437</x:f>
        <x:v>0.13855439818089677</x:v>
      </x:c>
      <x:c r="V437" s="9" t="n">
        <x:f>H437*MAX(0,AB436-O437)*v01_OvercapLoss</x:f>
        <x:v>0</x:v>
      </x:c>
      <x:c r="W437" s="9" t="n">
        <x:f>H437*Y436/(v01_ChildYears*4)</x:f>
        <x:v>0.3751766445787407</x:v>
      </x:c>
      <x:c r="X437" s="9" t="n">
        <x:f>H437*Z436/(v01_AdultYears*4)</x:f>
        <x:v>0.19405674382559482</x:v>
      </x:c>
      <x:c r="Y437" s="32" t="n">
        <x:f>Y436+R437-S437-W437-Y436*V437/AB436</x:f>
        <x:v>21.31967060270929</x:v>
      </x:c>
      <x:c r="Z437" s="32" t="n">
        <x:f>Z436+W437-X437-T437-Z436*V437/AB436</x:f>
        <x:v>24.165951267365188</x:v>
      </x:c>
      <x:c r="AA437" s="32" t="n">
        <x:f>AA436+X437-U437-AA436*V437/AB436</x:f>
        <x:v>6.983222254689537</x:v>
      </x:c>
      <x:c r="AB437" s="10" t="n">
        <x:f>Y437+Z437+AA437</x:f>
        <x:v>52.46884412476402</x:v>
      </x:c>
      <x:c r="AC437" s="8" t="n">
        <x:f>IF(AND(v01_WinterTrigger=1,D437=1,AB436/AE436&gt;=K437),1,0)</x:f>
        <x:v>0</x:v>
      </x:c>
      <x:c r="AD437" s="8" t="n">
        <x:f>H437*IF(AND(OR(AB436/AE436&gt;=v01_FissionTrigger*N437,AC437=1),AB436/AE436*v01_DaughterShare&gt;=v01_MinDaughter),MAX(1,ROUND(AE436*v01_FissionRate,0)),0)</x:f>
        <x:v>0</x:v>
      </x:c>
      <x:c r="AE437" s="8" t="n">
        <x:f>IF(H437=1,MAX(1,MIN(INDEX(v01_Smax,G437),AE436+AD437)),AE436)</x:f>
        <x:v>3</x:v>
      </x:c>
      <x:c r="AF437" s="8" t="n">
        <x:f>MAX(0,AE437-AE436)</x:f>
        <x:v>0</x:v>
      </x:c>
      <x:c r="AG437" s="9" t="str">
        <x:f>IF(AF437&gt;0,B437,"")</x:f>
      </x:c>
      <x:c r="AH437" s="9" t="n">
        <x:f>IF(F437&gt;=1,1,(1+v01_LowTiesShare*(AE437-1))/AE437)</x:f>
        <x:v>1</x:v>
      </x:c>
      <x:c r="AI437" s="32" t="n">
        <x:f>(Z437+v01_ElderCommons*INDEX(LM_Elder,G437)*AA437)*AH437</x:f>
        <x:v>41.27128255180243</x:v>
      </x:c>
      <x:c r="AJ437" s="32" t="n">
        <x:f>H437*v01_CommonsCoef*AI437^v01_CommonsExp*INDEX(LM_Commons,G437)</x:f>
        <x:v>15.589949415063389</x:v>
      </x:c>
      <x:c r="AK437" s="32" t="n">
        <x:f>H437*v01_RoleScale*Arch_Roles*(AE437*(INDEX(v01_ElderRolePerSett,G437)*v01_OutElder*INDEX(LM_Elder,G437)+INDEX(v01_ShamanPerSett,G437)*v01_OutShaman)+Z437*(INDEX(v01_PriestShare,G437)*v01_OutPriest+INDEX(v01_ScribeShare,G437)*v01_OutScribe*INDEX(LM_Scribe,G437)+INDEX(v01_ScholarShare,G437)*v01_OutScholar*INDEX(LM_Scholar,G437)+INDEX(v01_ResearcherShare,G437)*v01_OutResearcher*INDEX(LM_Researcher,G437)))</x:f>
        <x:v>4.087117307087383</x:v>
      </x:c>
      <x:c r="AL437" s="32" t="n">
        <x:f>H437*v01_RoleScale*Arch_Roles*AE437*INDEX(v01_MonasteryPerSett,G437)*v01_OutMonastery*INDEX(LM_Monastery,G437)</x:f>
        <x:v>0</x:v>
      </x:c>
      <x:c r="AM437" s="32" t="n">
        <x:f>(AJ437+AK437+AL437)/4*INDEX(LM_All,G437)*INDEX(v01_Boon,G437)*Arch_Insight</x:f>
        <x:v>5.042248347551135</x:v>
      </x:c>
      <x:c r="AN437" s="32" t="n">
        <x:f>H437*(v01_KHPerAdult*Z437+v01_KHOfCommons*AJ437/4*INDEX(LM_All,G437))*v01_KHUsable*Arch_KH</x:f>
        <x:v>0.8458082943577816</x:v>
      </x:c>
      <x:c r="AO437" s="32" t="n">
        <x:f>MIN(AP436+AN437,AM437*v01_KHMaxRatio)</x:f>
        <x:v>0.8458082943577816</x:v>
      </x:c>
      <x:c r="AP437" s="32" t="n">
        <x:f>AP436+AN437-AO437</x:f>
        <x:v>0</x:v>
      </x:c>
      <x:c r="AQ437" s="32" t="n">
        <x:f>AM437+AO437</x:f>
        <x:v>5.888056641908917</x:v>
      </x:c>
      <x:c r="AR437" s="10" t="n">
        <x:f>IF(H437=1,INDEX(v01_Req,G437),0)</x:f>
        <x:v>1067.32</x:v>
      </x:c>
      <x:c r="AS437" s="32" t="n">
        <x:f>IF(H437=1,IF(E437=1,AS436-AR436,AS436)+AQ437,0)</x:f>
        <x:v>745.8381100531615</x:v>
      </x:c>
      <x:c r="AT437" s="11" t="n">
        <x:f>IF(AR437&gt;0,MIN(1,AS437/AR437),1)</x:f>
        <x:v>0.6987952161049746</x:v>
      </x:c>
      <x:c r="AU437" s="10" t="n">
        <x:f>AB437/INDEX(v01_RepScale,G437)</x:f>
        <x:v>52.46884412476402</x:v>
      </x:c>
      <x:c r="AV437" s="32" t="n">
        <x:f>AM437*60/v01_SeasonSeconds</x:f>
        <x:v>20.16899339020454</x:v>
      </x:c>
    </x:row>
    <x:row r="438">
      <x:c r="A438" s="8" t="n">
        <x:f>A437+1</x:f>
        <x:v>435</x:v>
      </x:c>
      <x:c r="B438" s="9" t="n">
        <x:f>A438*v01_SeasonSeconds/60</x:f>
        <x:v>108.75</x:v>
      </x:c>
      <x:c r="C438" s="9" t="n">
        <x:f>A438/4</x:f>
        <x:v>108.75</x:v>
      </x:c>
      <x:c r="D438" s="8" t="n">
        <x:f>IF(MOD(A438,4)=0,1,0)</x:f>
        <x:v>0</x:v>
      </x:c>
      <x:c r="E438" s="8" t="n">
        <x:f>IF(AND(F437&lt;=9,AS437&gt;=AR437),1,0)</x:f>
        <x:v>0</x:v>
      </x:c>
      <x:c r="F438" s="8" t="n">
        <x:f>MIN(10,F437+E438)</x:f>
        <x:v>1</x:v>
      </x:c>
      <x:c r="G438" s="8" t="n">
        <x:f>MIN(F438,9)+1</x:f>
        <x:v>2</x:v>
      </x:c>
      <x:c r="H438" s="8" t="n">
        <x:f>IF(F438&lt;=9,1,0)</x:f>
        <x:v>1</x:v>
      </x:c>
      <x:c r="I438" s="9" t="n">
        <x:f>MIN(10,F437+IF(AR437&gt;0,MIN(1,AS437/AR437),1))</x:f>
        <x:v>1.6987952161049746</x:v>
      </x:c>
      <x:c r="J438" s="32" t="n">
        <x:f>INDEX(v01_FoodCap,G438)*Arch_FoodCap*EXP(v01_CapsByProject*SUMPRODUCT((Cap_Point&lt;=I438)*(Cap_Kind="Food")*Cap_Ln))</x:f>
        <x:v>30</x:v>
      </x:c>
      <x:c r="K438" s="32" t="n">
        <x:f>J438*MIN(1,v01_LeanBase*EXP(v01_CapsByProject*SUMPRODUCT((Cap_Point&lt;=I438)*(Cap_Kind="Lean")*Cap_Ln)))</x:f>
        <x:v>30</x:v>
      </x:c>
      <x:c r="L438" s="10" t="n">
        <x:f>INDEX(v01_HousingCap,G438)*EXP(v01_CapsByProject*SUMPRODUCT((Cap_Point&lt;=I438)*(Cap_Kind="Housing")*Cap_Ln))</x:f>
        <x:v>60</x:v>
      </x:c>
      <x:c r="M438" s="10" t="n">
        <x:f>INDEX(v01_GroupCap,G438)*v01_CohesionFactor*EXP(v01_CapsByProject*SUMPRODUCT((Cap_Point&lt;=I438)*(Cap_Kind="Group")*Cap_Ln))</x:f>
        <x:v>100</x:v>
      </x:c>
      <x:c r="N438" s="32" t="n">
        <x:f>MIN(J438,L438,M438)</x:f>
        <x:v>30</x:v>
      </x:c>
      <x:c r="O438" s="10" t="n">
        <x:f>AE437*N438</x:f>
        <x:v>90</x:v>
      </x:c>
      <x:c r="P438" s="9" t="n">
        <x:f>MIN(1,(AB437/(AE437*IF(v01_GroupInCrowding=1,N438,MIN(J438,L438))))^v01_CrowdingExp)</x:f>
        <x:v>0.03926032811023362</x:v>
      </x:c>
      <x:c r="Q438" s="9" t="n">
        <x:f>IF(D438=1,INDEX(v01_WinterMult,G438),1)</x:f>
        <x:v>1</x:v>
      </x:c>
      <x:c r="R438" s="9" t="n">
        <x:f>H438*Z437*v01_WomenShare*v01_BaseFertility*INDEX(v01_FertMult,G438)*Arch_Fertility*(1-P438)</x:f>
        <x:v>0.8706445534317192</x:v>
      </x:c>
      <x:c r="S438" s="9" t="n">
        <x:f>H438*Y437*INDEX(v01_MortChild,G438)/4*Q438</x:f>
        <x:v>0.1865471177737063</x:v>
      </x:c>
      <x:c r="T438" s="9" t="n">
        <x:f>H438*Z437*INDEX(v01_MortAdult,G438)*Arch_AdultMort/4*Q438</x:f>
        <x:v>0.07853934161893686</x:v>
      </x:c>
      <x:c r="U438" s="9" t="n">
        <x:f>H438*AA437*INDEX(v01_MortElder,G438)/4*Q438</x:f>
        <x:v>0.13966444509379072</x:v>
      </x:c>
      <x:c r="V438" s="9" t="n">
        <x:f>H438*MAX(0,AB437-O438)*v01_OvercapLoss</x:f>
        <x:v>0</x:v>
      </x:c>
      <x:c r="W438" s="9" t="n">
        <x:f>H438*Y437/(v01_ChildYears*4)</x:f>
        <x:v>0.3807084036198088</x:v>
      </x:c>
      <x:c r="X438" s="9" t="n">
        <x:f>H438*Z437/(v01_AdultYears*4)</x:f>
        <x:v>0.1948867037690741</x:v>
      </x:c>
      <x:c r="Y438" s="32" t="n">
        <x:f>Y437+R438-S438-W438-Y437*V438/AB437</x:f>
        <x:v>21.623059634747495</x:v>
      </x:c>
      <x:c r="Z438" s="32" t="n">
        <x:f>Z437+W438-X438-T438-Z437*V438/AB437</x:f>
        <x:v>24.273233625596983</x:v>
      </x:c>
      <x:c r="AA438" s="32" t="n">
        <x:f>AA437+X438-U438-AA437*V438/AB437</x:f>
        <x:v>7.03844451336482</x:v>
      </x:c>
      <x:c r="AB438" s="10" t="n">
        <x:f>Y438+Z438+AA438</x:f>
        <x:v>52.9347377737093</x:v>
      </x:c>
      <x:c r="AC438" s="8" t="n">
        <x:f>IF(AND(v01_WinterTrigger=1,D438=1,AB437/AE437&gt;=K438),1,0)</x:f>
        <x:v>0</x:v>
      </x:c>
      <x:c r="AD438" s="8" t="n">
        <x:f>H438*IF(AND(OR(AB437/AE437&gt;=v01_FissionTrigger*N438,AC438=1),AB437/AE437*v01_DaughterShare&gt;=v01_MinDaughter),MAX(1,ROUND(AE437*v01_FissionRate,0)),0)</x:f>
        <x:v>0</x:v>
      </x:c>
      <x:c r="AE438" s="8" t="n">
        <x:f>IF(H438=1,MAX(1,MIN(INDEX(v01_Smax,G438),AE437+AD438)),AE437)</x:f>
        <x:v>3</x:v>
      </x:c>
      <x:c r="AF438" s="8" t="n">
        <x:f>MAX(0,AE438-AE437)</x:f>
        <x:v>0</x:v>
      </x:c>
      <x:c r="AG438" s="9" t="str">
        <x:f>IF(AF438&gt;0,B438,"")</x:f>
      </x:c>
      <x:c r="AH438" s="9" t="n">
        <x:f>IF(F438&gt;=1,1,(1+v01_LowTiesShare*(AE438-1))/AE438)</x:f>
        <x:v>1</x:v>
      </x:c>
      <x:c r="AI438" s="32" t="n">
        <x:f>(Z438+v01_ElderCommons*INDEX(LM_Elder,G438)*AA438)*AH438</x:f>
        <x:v>41.51383126623264</x:v>
      </x:c>
      <x:c r="AJ438" s="32" t="n">
        <x:f>H438*v01_CommonsCoef*AI438^v01_CommonsExp*INDEX(LM_Commons,G438)</x:f>
        <x:v>15.667793139635185</x:v>
      </x:c>
      <x:c r="AK438" s="32" t="n">
        <x:f>H438*v01_RoleScale*Arch_Roles*(AE438*(INDEX(v01_ElderRolePerSett,G438)*v01_OutElder*INDEX(LM_Elder,G438)+INDEX(v01_ShamanPerSett,G438)*v01_OutShaman)+Z438*(INDEX(v01_PriestShare,G438)*v01_OutPriest+INDEX(v01_ScribeShare,G438)*v01_OutScribe*INDEX(LM_Scribe,G438)+INDEX(v01_ScholarShare,G438)*v01_OutScholar*INDEX(LM_Scholar,G438)+INDEX(v01_ResearcherShare,G438)*v01_OutResearcher*INDEX(LM_Researcher,G438)))</x:f>
        <x:v>4.087117307087383</x:v>
      </x:c>
      <x:c r="AL438" s="32" t="n">
        <x:f>H438*v01_RoleScale*Arch_Roles*AE438*INDEX(v01_MonasteryPerSett,G438)*v01_OutMonastery*INDEX(LM_Monastery,G438)</x:f>
        <x:v>0</x:v>
      </x:c>
      <x:c r="AM438" s="32" t="n">
        <x:f>(AJ438+AK438+AL438)/4*INDEX(LM_All,G438)*INDEX(v01_Boon,G438)*Arch_Insight</x:f>
        <x:v>5.062195801972658</x:v>
      </x:c>
      <x:c r="AN438" s="32" t="n">
        <x:f>H438*(v01_KHPerAdult*Z438+v01_KHOfCommons*AJ438/4*INDEX(LM_All,G438))*v01_KHUsable*Arch_KH</x:f>
        <x:v>0.8495631768958944</x:v>
      </x:c>
      <x:c r="AO438" s="32" t="n">
        <x:f>MIN(AP437+AN438,AM438*v01_KHMaxRatio)</x:f>
        <x:v>0.8495631768958944</x:v>
      </x:c>
      <x:c r="AP438" s="32" t="n">
        <x:f>AP437+AN438-AO438</x:f>
        <x:v>0</x:v>
      </x:c>
      <x:c r="AQ438" s="32" t="n">
        <x:f>AM438+AO438</x:f>
        <x:v>5.911758978868552</x:v>
      </x:c>
      <x:c r="AR438" s="10" t="n">
        <x:f>IF(H438=1,INDEX(v01_Req,G438),0)</x:f>
        <x:v>1067.32</x:v>
      </x:c>
      <x:c r="AS438" s="32" t="n">
        <x:f>IF(H438=1,IF(E438=1,AS437-AR437,AS437)+AQ438,0)</x:f>
        <x:v>751.74986903203</x:v>
      </x:c>
      <x:c r="AT438" s="11" t="n">
        <x:f>IF(AR438&gt;0,MIN(1,AS438/AR438),1)</x:f>
        <x:v>0.7043340975827588</x:v>
      </x:c>
      <x:c r="AU438" s="10" t="n">
        <x:f>AB438/INDEX(v01_RepScale,G438)</x:f>
        <x:v>52.9347377737093</x:v>
      </x:c>
      <x:c r="AV438" s="32" t="n">
        <x:f>AM438*60/v01_SeasonSeconds</x:f>
        <x:v>20.248783207890632</x:v>
      </x:c>
    </x:row>
    <x:row r="439">
      <x:c r="A439" s="8" t="n">
        <x:f>A438+1</x:f>
        <x:v>436</x:v>
      </x:c>
      <x:c r="B439" s="9" t="n">
        <x:f>A439*v01_SeasonSeconds/60</x:f>
        <x:v>109</x:v>
      </x:c>
      <x:c r="C439" s="9" t="n">
        <x:f>A439/4</x:f>
        <x:v>109</x:v>
      </x:c>
      <x:c r="D439" s="8" t="n">
        <x:f>IF(MOD(A439,4)=0,1,0)</x:f>
        <x:v>1</x:v>
      </x:c>
      <x:c r="E439" s="8" t="n">
        <x:f>IF(AND(F438&lt;=9,AS438&gt;=AR438),1,0)</x:f>
        <x:v>0</x:v>
      </x:c>
      <x:c r="F439" s="8" t="n">
        <x:f>MIN(10,F438+E439)</x:f>
        <x:v>1</x:v>
      </x:c>
      <x:c r="G439" s="8" t="n">
        <x:f>MIN(F439,9)+1</x:f>
        <x:v>2</x:v>
      </x:c>
      <x:c r="H439" s="8" t="n">
        <x:f>IF(F439&lt;=9,1,0)</x:f>
        <x:v>1</x:v>
      </x:c>
      <x:c r="I439" s="9" t="n">
        <x:f>MIN(10,F438+IF(AR438&gt;0,MIN(1,AS438/AR438),1))</x:f>
        <x:v>1.7043340975827588</x:v>
      </x:c>
      <x:c r="J439" s="32" t="n">
        <x:f>INDEX(v01_FoodCap,G439)*Arch_FoodCap*EXP(v01_CapsByProject*SUMPRODUCT((Cap_Point&lt;=I439)*(Cap_Kind="Food")*Cap_Ln))</x:f>
        <x:v>30</x:v>
      </x:c>
      <x:c r="K439" s="32" t="n">
        <x:f>J439*MIN(1,v01_LeanBase*EXP(v01_CapsByProject*SUMPRODUCT((Cap_Point&lt;=I439)*(Cap_Kind="Lean")*Cap_Ln)))</x:f>
        <x:v>30</x:v>
      </x:c>
      <x:c r="L439" s="10" t="n">
        <x:f>INDEX(v01_HousingCap,G439)*EXP(v01_CapsByProject*SUMPRODUCT((Cap_Point&lt;=I439)*(Cap_Kind="Housing")*Cap_Ln))</x:f>
        <x:v>60</x:v>
      </x:c>
      <x:c r="M439" s="10" t="n">
        <x:f>INDEX(v01_GroupCap,G439)*v01_CohesionFactor*EXP(v01_CapsByProject*SUMPRODUCT((Cap_Point&lt;=I439)*(Cap_Kind="Group")*Cap_Ln))</x:f>
        <x:v>100</x:v>
      </x:c>
      <x:c r="N439" s="32" t="n">
        <x:f>MIN(J439,L439,M439)</x:f>
        <x:v>30</x:v>
      </x:c>
      <x:c r="O439" s="10" t="n">
        <x:f>AE438*N439</x:f>
        <x:v>90</x:v>
      </x:c>
      <x:c r="P439" s="9" t="n">
        <x:f>MIN(1,(AB438/(AE438*IF(v01_GroupInCrowding=1,N439,MIN(J439,L439))))^v01_CrowdingExp)</x:f>
        <x:v>0.04139897032941296</x:v>
      </x:c>
      <x:c r="Q439" s="9" t="n">
        <x:f>IF(D439=1,INDEX(v01_WinterMult,G439),1)</x:f>
        <x:v>1.6</x:v>
      </x:c>
      <x:c r="R439" s="9" t="n">
        <x:f>H439*Z438*v01_WomenShare*v01_BaseFertility*INDEX(v01_FertMult,G439)*Arch_Fertility*(1-P439)</x:f>
        <x:v>0.8725630030099495</x:v>
      </x:c>
      <x:c r="S439" s="9" t="n">
        <x:f>H439*Y438*INDEX(v01_MortChild,G439)/4*Q439</x:f>
        <x:v>0.302722834886465</x:v>
      </x:c>
      <x:c r="T439" s="9" t="n">
        <x:f>H439*Z438*INDEX(v01_MortAdult,G439)*Arch_AdultMort/4*Q439</x:f>
        <x:v>0.1262208148531043</x:v>
      </x:c>
      <x:c r="U439" s="9" t="n">
        <x:f>H439*AA438*INDEX(v01_MortElder,G439)/4*Q439</x:f>
        <x:v>0.22523022442767426</x:v>
      </x:c>
      <x:c r="V439" s="9" t="n">
        <x:f>H439*MAX(0,AB438-O439)*v01_OvercapLoss</x:f>
        <x:v>0</x:v>
      </x:c>
      <x:c r="W439" s="9" t="n">
        <x:f>H439*Y438/(v01_ChildYears*4)</x:f>
        <x:v>0.38612606490620527</x:v>
      </x:c>
      <x:c r="X439" s="9" t="n">
        <x:f>H439*Z438/(v01_AdultYears*4)</x:f>
        <x:v>0.19575188407739502</x:v>
      </x:c>
      <x:c r="Y439" s="32" t="n">
        <x:f>Y438+R439-S439-W439-Y438*V439/AB438</x:f>
        <x:v>21.80677373796478</x:v>
      </x:c>
      <x:c r="Z439" s="32" t="n">
        <x:f>Z438+W439-X439-T439-Z438*V439/AB438</x:f>
        <x:v>24.337386991572686</x:v>
      </x:c>
      <x:c r="AA439" s="32" t="n">
        <x:f>AA438+X439-U439-AA438*V439/AB438</x:f>
        <x:v>7.0089661730145405</x:v>
      </x:c>
      <x:c r="AB439" s="10" t="n">
        <x:f>Y439+Z439+AA439</x:f>
        <x:v>53.153126902552</x:v>
      </x:c>
      <x:c r="AC439" s="8" t="n">
        <x:f>IF(AND(v01_WinterTrigger=1,D439=1,AB438/AE438&gt;=K439),1,0)</x:f>
        <x:v>0</x:v>
      </x:c>
      <x:c r="AD439" s="8" t="n">
        <x:f>H439*IF(AND(OR(AB438/AE438&gt;=v01_FissionTrigger*N439,AC439=1),AB438/AE438*v01_DaughterShare&gt;=v01_MinDaughter),MAX(1,ROUND(AE438*v01_FissionRate,0)),0)</x:f>
        <x:v>0</x:v>
      </x:c>
      <x:c r="AE439" s="8" t="n">
        <x:f>IF(H439=1,MAX(1,MIN(INDEX(v01_Smax,G439),AE438+AD439)),AE438)</x:f>
        <x:v>3</x:v>
      </x:c>
      <x:c r="AF439" s="8" t="n">
        <x:f>MAX(0,AE439-AE438)</x:f>
        <x:v>0</x:v>
      </x:c>
      <x:c r="AG439" s="9" t="str">
        <x:f>IF(AF439&gt;0,B439,"")</x:f>
      </x:c>
      <x:c r="AH439" s="9" t="n">
        <x:f>IF(F439&gt;=1,1,(1+v01_LowTiesShare*(AE439-1))/AE439)</x:f>
        <x:v>1</x:v>
      </x:c>
      <x:c r="AI439" s="32" t="n">
        <x:f>(Z439+v01_ElderCommons*INDEX(LM_Elder,G439)*AA439)*AH439</x:f>
        <x:v>41.50577773988607</x:v>
      </x:c>
      <x:c r="AJ439" s="32" t="n">
        <x:f>H439*v01_CommonsCoef*AI439^v01_CommonsExp*INDEX(LM_Commons,G439)</x:f>
        <x:v>15.66520953329306</x:v>
      </x:c>
      <x:c r="AK439" s="32" t="n">
        <x:f>H439*v01_RoleScale*Arch_Roles*(AE439*(INDEX(v01_ElderRolePerSett,G439)*v01_OutElder*INDEX(LM_Elder,G439)+INDEX(v01_ShamanPerSett,G439)*v01_OutShaman)+Z439*(INDEX(v01_PriestShare,G439)*v01_OutPriest+INDEX(v01_ScribeShare,G439)*v01_OutScribe*INDEX(LM_Scribe,G439)+INDEX(v01_ScholarShare,G439)*v01_OutScholar*INDEX(LM_Scholar,G439)+INDEX(v01_ResearcherShare,G439)*v01_OutResearcher*INDEX(LM_Researcher,G439)))</x:f>
        <x:v>4.087117307087383</x:v>
      </x:c>
      <x:c r="AL439" s="32" t="n">
        <x:f>H439*v01_RoleScale*Arch_Roles*AE439*INDEX(v01_MonasteryPerSett,G439)*v01_OutMonastery*INDEX(LM_Monastery,G439)</x:f>
        <x:v>0</x:v>
      </x:c>
      <x:c r="AM439" s="32" t="n">
        <x:f>(AJ439+AK439+AL439)/4*INDEX(LM_All,G439)*INDEX(v01_Boon,G439)*Arch_Insight</x:f>
        <x:v>5.061533752847488</x:v>
      </x:c>
      <x:c r="AN439" s="32" t="n">
        <x:f>H439*(v01_KHPerAdult*Z439+v01_KHOfCommons*AJ439/4*INDEX(LM_All,G439))*v01_KHUsable*Arch_KH</x:f>
        <x:v>0.8518085447050441</x:v>
      </x:c>
      <x:c r="AO439" s="32" t="n">
        <x:f>MIN(AP438+AN439,AM439*v01_KHMaxRatio)</x:f>
        <x:v>0.8518085447050441</x:v>
      </x:c>
      <x:c r="AP439" s="32" t="n">
        <x:f>AP438+AN439-AO439</x:f>
        <x:v>0</x:v>
      </x:c>
      <x:c r="AQ439" s="32" t="n">
        <x:f>AM439+AO439</x:f>
        <x:v>5.913342297552532</x:v>
      </x:c>
      <x:c r="AR439" s="10" t="n">
        <x:f>IF(H439=1,INDEX(v01_Req,G439),0)</x:f>
        <x:v>1067.32</x:v>
      </x:c>
      <x:c r="AS439" s="32" t="n">
        <x:f>IF(H439=1,IF(E439=1,AS438-AR438,AS438)+AQ439,0)</x:f>
        <x:v>757.6632113295825</x:v>
      </x:c>
      <x:c r="AT439" s="11" t="n">
        <x:f>IF(AR439&gt;0,MIN(1,AS439/AR439),1)</x:f>
        <x:v>0.7098744625131943</x:v>
      </x:c>
      <x:c r="AU439" s="10" t="n">
        <x:f>AB439/INDEX(v01_RepScale,G439)</x:f>
        <x:v>53.153126902552</x:v>
      </x:c>
      <x:c r="AV439" s="32" t="n">
        <x:f>AM439*60/v01_SeasonSeconds</x:f>
        <x:v>20.246135011389956</x:v>
      </x:c>
    </x:row>
    <x:row r="440">
      <x:c r="A440" s="8" t="n">
        <x:f>A439+1</x:f>
        <x:v>437</x:v>
      </x:c>
      <x:c r="B440" s="9" t="n">
        <x:f>A440*v01_SeasonSeconds/60</x:f>
        <x:v>109.25</x:v>
      </x:c>
      <x:c r="C440" s="9" t="n">
        <x:f>A440/4</x:f>
        <x:v>109.25</x:v>
      </x:c>
      <x:c r="D440" s="8" t="n">
        <x:f>IF(MOD(A440,4)=0,1,0)</x:f>
        <x:v>0</x:v>
      </x:c>
      <x:c r="E440" s="8" t="n">
        <x:f>IF(AND(F439&lt;=9,AS439&gt;=AR439),1,0)</x:f>
        <x:v>0</x:v>
      </x:c>
      <x:c r="F440" s="8" t="n">
        <x:f>MIN(10,F439+E440)</x:f>
        <x:v>1</x:v>
      </x:c>
      <x:c r="G440" s="8" t="n">
        <x:f>MIN(F440,9)+1</x:f>
        <x:v>2</x:v>
      </x:c>
      <x:c r="H440" s="8" t="n">
        <x:f>IF(F440&lt;=9,1,0)</x:f>
        <x:v>1</x:v>
      </x:c>
      <x:c r="I440" s="9" t="n">
        <x:f>MIN(10,F439+IF(AR439&gt;0,MIN(1,AS439/AR439),1))</x:f>
        <x:v>1.7098744625131943</x:v>
      </x:c>
      <x:c r="J440" s="32" t="n">
        <x:f>INDEX(v01_FoodCap,G440)*Arch_FoodCap*EXP(v01_CapsByProject*SUMPRODUCT((Cap_Point&lt;=I440)*(Cap_Kind="Food")*Cap_Ln))</x:f>
        <x:v>30</x:v>
      </x:c>
      <x:c r="K440" s="32" t="n">
        <x:f>J440*MIN(1,v01_LeanBase*EXP(v01_CapsByProject*SUMPRODUCT((Cap_Point&lt;=I440)*(Cap_Kind="Lean")*Cap_Ln)))</x:f>
        <x:v>30</x:v>
      </x:c>
      <x:c r="L440" s="10" t="n">
        <x:f>INDEX(v01_HousingCap,G440)*EXP(v01_CapsByProject*SUMPRODUCT((Cap_Point&lt;=I440)*(Cap_Kind="Housing")*Cap_Ln))</x:f>
        <x:v>60</x:v>
      </x:c>
      <x:c r="M440" s="10" t="n">
        <x:f>INDEX(v01_GroupCap,G440)*v01_CohesionFactor*EXP(v01_CapsByProject*SUMPRODUCT((Cap_Point&lt;=I440)*(Cap_Kind="Group")*Cap_Ln))</x:f>
        <x:v>100</x:v>
      </x:c>
      <x:c r="N440" s="32" t="n">
        <x:f>MIN(J440,L440,M440)</x:f>
        <x:v>30</x:v>
      </x:c>
      <x:c r="O440" s="10" t="n">
        <x:f>AE439*N440</x:f>
        <x:v>90</x:v>
      </x:c>
      <x:c r="P440" s="9" t="n">
        <x:f>MIN(1,(AB439/(AE439*IF(v01_GroupInCrowding=1,N440,MIN(J440,L440))))^v01_CrowdingExp)</x:f>
        <x:v>0.04243437925957128</x:v>
      </x:c>
      <x:c r="Q440" s="9" t="n">
        <x:f>IF(D440=1,INDEX(v01_WinterMult,G440),1)</x:f>
        <x:v>1</x:v>
      </x:c>
      <x:c r="R440" s="9" t="n">
        <x:f>H440*Z439*v01_WomenShare*v01_BaseFertility*INDEX(v01_FertMult,G440)*Arch_Fertility*(1-P440)</x:f>
        <x:v>0.8739241905669499</x:v>
      </x:c>
      <x:c r="S440" s="9" t="n">
        <x:f>H440*Y439*INDEX(v01_MortChild,G440)/4*Q440</x:f>
        <x:v>0.19080927020719182</x:v>
      </x:c>
      <x:c r="T440" s="9" t="n">
        <x:f>H440*Z439*INDEX(v01_MortAdult,G440)*Arch_AdultMort/4*Q440</x:f>
        <x:v>0.07909650772261123</x:v>
      </x:c>
      <x:c r="U440" s="9" t="n">
        <x:f>H440*AA439*INDEX(v01_MortElder,G440)/4*Q440</x:f>
        <x:v>0.1401793234602908</x:v>
      </x:c>
      <x:c r="V440" s="9" t="n">
        <x:f>H440*MAX(0,AB439-O440)*v01_OvercapLoss</x:f>
        <x:v>0</x:v>
      </x:c>
      <x:c r="W440" s="9" t="n">
        <x:f>H440*Y439/(v01_ChildYears*4)</x:f>
        <x:v>0.3894066738922282</x:v>
      </x:c>
      <x:c r="X440" s="9" t="n">
        <x:f>H440*Z439/(v01_AdultYears*4)</x:f>
        <x:v>0.1962692499320378</x:v>
      </x:c>
      <x:c r="Y440" s="32" t="n">
        <x:f>Y439+R440-S440-W440-Y439*V440/AB439</x:f>
        <x:v>22.100481984432307</x:v>
      </x:c>
      <x:c r="Z440" s="32" t="n">
        <x:f>Z439+W440-X440-T440-Z439*V440/AB439</x:f>
        <x:v>24.451427907810267</x:v>
      </x:c>
      <x:c r="AA440" s="32" t="n">
        <x:f>AA439+X440-U440-AA439*V440/AB439</x:f>
        <x:v>7.065056099486288</x:v>
      </x:c>
      <x:c r="AB440" s="10" t="n">
        <x:f>Y440+Z440+AA440</x:f>
        <x:v>53.61696599172886</x:v>
      </x:c>
      <x:c r="AC440" s="8" t="n">
        <x:f>IF(AND(v01_WinterTrigger=1,D440=1,AB439/AE439&gt;=K440),1,0)</x:f>
        <x:v>0</x:v>
      </x:c>
      <x:c r="AD440" s="8" t="n">
        <x:f>H440*IF(AND(OR(AB439/AE439&gt;=v01_FissionTrigger*N440,AC440=1),AB439/AE439*v01_DaughterShare&gt;=v01_MinDaughter),MAX(1,ROUND(AE439*v01_FissionRate,0)),0)</x:f>
        <x:v>0</x:v>
      </x:c>
      <x:c r="AE440" s="8" t="n">
        <x:f>IF(H440=1,MAX(1,MIN(INDEX(v01_Smax,G440),AE439+AD440)),AE439)</x:f>
        <x:v>3</x:v>
      </x:c>
      <x:c r="AF440" s="8" t="n">
        <x:f>MAX(0,AE440-AE439)</x:f>
        <x:v>0</x:v>
      </x:c>
      <x:c r="AG440" s="9" t="str">
        <x:f>IF(AF440&gt;0,B440,"")</x:f>
      </x:c>
      <x:c r="AH440" s="9" t="n">
        <x:f>IF(F440&gt;=1,1,(1+v01_LowTiesShare*(AE440-1))/AE440)</x:f>
        <x:v>1</x:v>
      </x:c>
      <x:c r="AI440" s="32" t="n">
        <x:f>(Z440+v01_ElderCommons*INDEX(LM_Elder,G440)*AA440)*AH440</x:f>
        <x:v>41.75721035568965</x:v>
      </x:c>
      <x:c r="AJ440" s="32" t="n">
        <x:f>H440*v01_CommonsCoef*AI440^v01_CommonsExp*INDEX(LM_Commons,G440)</x:f>
        <x:v>15.745834823191087</x:v>
      </x:c>
      <x:c r="AK440" s="32" t="n">
        <x:f>H440*v01_RoleScale*Arch_Roles*(AE440*(INDEX(v01_ElderRolePerSett,G440)*v01_OutElder*INDEX(LM_Elder,G440)+INDEX(v01_ShamanPerSett,G440)*v01_OutShaman)+Z440*(INDEX(v01_PriestShare,G440)*v01_OutPriest+INDEX(v01_ScribeShare,G440)*v01_OutScribe*INDEX(LM_Scribe,G440)+INDEX(v01_ScholarShare,G440)*v01_OutScholar*INDEX(LM_Scholar,G440)+INDEX(v01_ResearcherShare,G440)*v01_OutResearcher*INDEX(LM_Researcher,G440)))</x:f>
        <x:v>4.087117307087383</x:v>
      </x:c>
      <x:c r="AL440" s="32" t="n">
        <x:f>H440*v01_RoleScale*Arch_Roles*AE440*INDEX(v01_MonasteryPerSett,G440)*v01_OutMonastery*INDEX(LM_Monastery,G440)</x:f>
        <x:v>0</x:v>
      </x:c>
      <x:c r="AM440" s="32" t="n">
        <x:f>(AJ440+AK440+AL440)/4*INDEX(LM_All,G440)*INDEX(v01_Boon,G440)*Arch_Insight</x:f>
        <x:v>5.082193983383858</x:v>
      </x:c>
      <x:c r="AN440" s="32" t="n">
        <x:f>H440*(v01_KHPerAdult*Z440+v01_KHOfCommons*AJ440/4*INDEX(LM_All,G440))*v01_KHUsable*Arch_KH</x:f>
        <x:v>0.8557999767733594</x:v>
      </x:c>
      <x:c r="AO440" s="32" t="n">
        <x:f>MIN(AP439+AN440,AM440*v01_KHMaxRatio)</x:f>
        <x:v>0.8557999767733594</x:v>
      </x:c>
      <x:c r="AP440" s="32" t="n">
        <x:f>AP439+AN440-AO440</x:f>
        <x:v>0</x:v>
      </x:c>
      <x:c r="AQ440" s="32" t="n">
        <x:f>AM440+AO440</x:f>
        <x:v>5.937993960157217</x:v>
      </x:c>
      <x:c r="AR440" s="10" t="n">
        <x:f>IF(H440=1,INDEX(v01_Req,G440),0)</x:f>
        <x:v>1067.32</x:v>
      </x:c>
      <x:c r="AS440" s="32" t="n">
        <x:f>IF(H440=1,IF(E440=1,AS439-AR439,AS439)+AQ440,0)</x:f>
        <x:v>763.6012052897397</x:v>
      </x:c>
      <x:c r="AT440" s="11" t="n">
        <x:f>IF(AR440&gt;0,MIN(1,AS440/AR440),1)</x:f>
        <x:v>0.7154379242305399</x:v>
      </x:c>
      <x:c r="AU440" s="10" t="n">
        <x:f>AB440/INDEX(v01_RepScale,G440)</x:f>
        <x:v>53.61696599172886</x:v>
      </x:c>
      <x:c r="AV440" s="32" t="n">
        <x:f>AM440*60/v01_SeasonSeconds</x:f>
        <x:v>20.328775933535432</x:v>
      </x:c>
    </x:row>
    <x:row r="441">
      <x:c r="A441" s="8" t="n">
        <x:f>A440+1</x:f>
        <x:v>438</x:v>
      </x:c>
      <x:c r="B441" s="9" t="n">
        <x:f>A441*v01_SeasonSeconds/60</x:f>
        <x:v>109.5</x:v>
      </x:c>
      <x:c r="C441" s="9" t="n">
        <x:f>A441/4</x:f>
        <x:v>109.5</x:v>
      </x:c>
      <x:c r="D441" s="8" t="n">
        <x:f>IF(MOD(A441,4)=0,1,0)</x:f>
        <x:v>0</x:v>
      </x:c>
      <x:c r="E441" s="8" t="n">
        <x:f>IF(AND(F440&lt;=9,AS440&gt;=AR440),1,0)</x:f>
        <x:v>0</x:v>
      </x:c>
      <x:c r="F441" s="8" t="n">
        <x:f>MIN(10,F440+E441)</x:f>
        <x:v>1</x:v>
      </x:c>
      <x:c r="G441" s="8" t="n">
        <x:f>MIN(F441,9)+1</x:f>
        <x:v>2</x:v>
      </x:c>
      <x:c r="H441" s="8" t="n">
        <x:f>IF(F441&lt;=9,1,0)</x:f>
        <x:v>1</x:v>
      </x:c>
      <x:c r="I441" s="9" t="n">
        <x:f>MIN(10,F440+IF(AR440&gt;0,MIN(1,AS440/AR440),1))</x:f>
        <x:v>1.7154379242305398</x:v>
      </x:c>
      <x:c r="J441" s="32" t="n">
        <x:f>INDEX(v01_FoodCap,G441)*Arch_FoodCap*EXP(v01_CapsByProject*SUMPRODUCT((Cap_Point&lt;=I441)*(Cap_Kind="Food")*Cap_Ln))</x:f>
        <x:v>30</x:v>
      </x:c>
      <x:c r="K441" s="32" t="n">
        <x:f>J441*MIN(1,v01_LeanBase*EXP(v01_CapsByProject*SUMPRODUCT((Cap_Point&lt;=I441)*(Cap_Kind="Lean")*Cap_Ln)))</x:f>
        <x:v>30</x:v>
      </x:c>
      <x:c r="L441" s="10" t="n">
        <x:f>INDEX(v01_HousingCap,G441)*EXP(v01_CapsByProject*SUMPRODUCT((Cap_Point&lt;=I441)*(Cap_Kind="Housing")*Cap_Ln))</x:f>
        <x:v>60</x:v>
      </x:c>
      <x:c r="M441" s="10" t="n">
        <x:f>INDEX(v01_GroupCap,G441)*v01_CohesionFactor*EXP(v01_CapsByProject*SUMPRODUCT((Cap_Point&lt;=I441)*(Cap_Kind="Group")*Cap_Ln))</x:f>
        <x:v>100</x:v>
      </x:c>
      <x:c r="N441" s="32" t="n">
        <x:f>MIN(J441,L441,M441)</x:f>
        <x:v>30</x:v>
      </x:c>
      <x:c r="O441" s="10" t="n">
        <x:f>AE440*N441</x:f>
        <x:v>90</x:v>
      </x:c>
      <x:c r="P441" s="9" t="n">
        <x:f>MIN(1,(AB440/(AE440*IF(v01_GroupInCrowding=1,N441,MIN(J441,L441))))^v01_CrowdingExp)</x:f>
        <x:v>0.04470523206169447</x:v>
      </x:c>
      <x:c r="Q441" s="9" t="n">
        <x:f>IF(D441=1,INDEX(v01_WinterMult,G441),1)</x:f>
        <x:v>1</x:v>
      </x:c>
      <x:c r="R441" s="9" t="n">
        <x:f>H441*Z440*v01_WomenShare*v01_BaseFertility*INDEX(v01_FertMult,G441)*Arch_Fertility*(1-P441)</x:f>
        <x:v>0.8759370430856931</x:v>
      </x:c>
      <x:c r="S441" s="9" t="n">
        <x:f>H441*Y440*INDEX(v01_MortChild,G441)/4*Q441</x:f>
        <x:v>0.1933792173637827</x:v>
      </x:c>
      <x:c r="T441" s="9" t="n">
        <x:f>H441*Z440*INDEX(v01_MortAdult,G441)*Arch_AdultMort/4*Q441</x:f>
        <x:v>0.07946714070038337</x:v>
      </x:c>
      <x:c r="U441" s="9" t="n">
        <x:f>H441*AA440*INDEX(v01_MortElder,G441)/4*Q441</x:f>
        <x:v>0.14130112198972575</x:v>
      </x:c>
      <x:c r="V441" s="9" t="n">
        <x:f>H441*MAX(0,AB440-O441)*v01_OvercapLoss</x:f>
        <x:v>0</x:v>
      </x:c>
      <x:c r="W441" s="9" t="n">
        <x:f>H441*Y440/(v01_ChildYears*4)</x:f>
        <x:v>0.3946514640077198</x:v>
      </x:c>
      <x:c r="X441" s="9" t="n">
        <x:f>H441*Z440/(v01_AdultYears*4)</x:f>
        <x:v>0.19718893474040539</x:v>
      </x:c>
      <x:c r="Y441" s="32" t="n">
        <x:f>Y440+R441-S441-W441-Y440*V441/AB440</x:f>
        <x:v>22.388388346146495</x:v>
      </x:c>
      <x:c r="Z441" s="32" t="n">
        <x:f>Z440+W441-X441-T441-Z440*V441/AB440</x:f>
        <x:v>24.569423296377195</x:v>
      </x:c>
      <x:c r="AA441" s="32" t="n">
        <x:f>AA440+X441-U441-AA440*V441/AB440</x:f>
        <x:v>7.120943912236968</x:v>
      </x:c>
      <x:c r="AB441" s="10" t="n">
        <x:f>Y441+Z441+AA441</x:f>
        <x:v>54.07875555476066</x:v>
      </x:c>
      <x:c r="AC441" s="8" t="n">
        <x:f>IF(AND(v01_WinterTrigger=1,D441=1,AB440/AE440&gt;=K441),1,0)</x:f>
        <x:v>0</x:v>
      </x:c>
      <x:c r="AD441" s="8" t="n">
        <x:f>H441*IF(AND(OR(AB440/AE440&gt;=v01_FissionTrigger*N441,AC441=1),AB440/AE440*v01_DaughterShare&gt;=v01_MinDaughter),MAX(1,ROUND(AE440*v01_FissionRate,0)),0)</x:f>
        <x:v>0</x:v>
      </x:c>
      <x:c r="AE441" s="8" t="n">
        <x:f>IF(H441=1,MAX(1,MIN(INDEX(v01_Smax,G441),AE440+AD441)),AE440)</x:f>
        <x:v>3</x:v>
      </x:c>
      <x:c r="AF441" s="8" t="n">
        <x:f>MAX(0,AE441-AE440)</x:f>
        <x:v>0</x:v>
      </x:c>
      <x:c r="AG441" s="9" t="str">
        <x:f>IF(AF441&gt;0,B441,"")</x:f>
      </x:c>
      <x:c r="AH441" s="9" t="n">
        <x:f>IF(F441&gt;=1,1,(1+v01_LowTiesShare*(AE441-1))/AE441)</x:f>
        <x:v>1</x:v>
      </x:c>
      <x:c r="AI441" s="32" t="n">
        <x:f>(Z441+v01_ElderCommons*INDEX(LM_Elder,G441)*AA441)*AH441</x:f>
        <x:v>42.01210236833596</x:v>
      </x:c>
      <x:c r="AJ441" s="32" t="n">
        <x:f>H441*v01_CommonsCoef*AI441^v01_CommonsExp*INDEX(LM_Commons,G441)</x:f>
        <x:v>15.827495121086695</x:v>
      </x:c>
      <x:c r="AK441" s="32" t="n">
        <x:f>H441*v01_RoleScale*Arch_Roles*(AE441*(INDEX(v01_ElderRolePerSett,G441)*v01_OutElder*INDEX(LM_Elder,G441)+INDEX(v01_ShamanPerSett,G441)*v01_OutShaman)+Z441*(INDEX(v01_PriestShare,G441)*v01_OutPriest+INDEX(v01_ScribeShare,G441)*v01_OutScribe*INDEX(LM_Scribe,G441)+INDEX(v01_ScholarShare,G441)*v01_OutScholar*INDEX(LM_Scholar,G441)+INDEX(v01_ResearcherShare,G441)*v01_OutResearcher*INDEX(LM_Researcher,G441)))</x:f>
        <x:v>4.087117307087383</x:v>
      </x:c>
      <x:c r="AL441" s="32" t="n">
        <x:f>H441*v01_RoleScale*Arch_Roles*AE441*INDEX(v01_MonasteryPerSett,G441)*v01_OutMonastery*INDEX(LM_Monastery,G441)</x:f>
        <x:v>0</x:v>
      </x:c>
      <x:c r="AM441" s="32" t="n">
        <x:f>(AJ441+AK441+AL441)/4*INDEX(LM_All,G441)*INDEX(v01_Boon,G441)*Arch_Insight</x:f>
        <x:v>5.1031194347196065</x:v>
      </x:c>
      <x:c r="AN441" s="32" t="n">
        <x:f>H441*(v01_KHPerAdult*Z441+v01_KHOfCommons*AJ441/4*INDEX(LM_All,G441))*v01_KHUsable*Arch_KH</x:f>
        <x:v>0.8599298153732018</x:v>
      </x:c>
      <x:c r="AO441" s="32" t="n">
        <x:f>MIN(AP440+AN441,AM441*v01_KHMaxRatio)</x:f>
        <x:v>0.8599298153732018</x:v>
      </x:c>
      <x:c r="AP441" s="32" t="n">
        <x:f>AP440+AN441-AO441</x:f>
        <x:v>0</x:v>
      </x:c>
      <x:c r="AQ441" s="32" t="n">
        <x:f>AM441+AO441</x:f>
        <x:v>5.9630492500928085</x:v>
      </x:c>
      <x:c r="AR441" s="10" t="n">
        <x:f>IF(H441=1,INDEX(v01_Req,G441),0)</x:f>
        <x:v>1067.32</x:v>
      </x:c>
      <x:c r="AS441" s="32" t="n">
        <x:f>IF(H441=1,IF(E441=1,AS440-AR440,AS440)+AQ441,0)</x:f>
        <x:v>769.5642545398325</x:v>
      </x:c>
      <x:c r="AT441" s="11" t="n">
        <x:f>IF(AR441&gt;0,MIN(1,AS441/AR441),1)</x:f>
        <x:v>0.7210248609037895</x:v>
      </x:c>
      <x:c r="AU441" s="10" t="n">
        <x:f>AB441/INDEX(v01_RepScale,G441)</x:f>
        <x:v>54.07875555476066</x:v>
      </x:c>
      <x:c r="AV441" s="32" t="n">
        <x:f>AM441*60/v01_SeasonSeconds</x:f>
        <x:v>20.412477738878426</x:v>
      </x:c>
    </x:row>
    <x:row r="442">
      <x:c r="A442" s="8" t="n">
        <x:f>A441+1</x:f>
        <x:v>439</x:v>
      </x:c>
      <x:c r="B442" s="9" t="n">
        <x:f>A442*v01_SeasonSeconds/60</x:f>
        <x:v>109.75</x:v>
      </x:c>
      <x:c r="C442" s="9" t="n">
        <x:f>A442/4</x:f>
        <x:v>109.75</x:v>
      </x:c>
      <x:c r="D442" s="8" t="n">
        <x:f>IF(MOD(A442,4)=0,1,0)</x:f>
        <x:v>0</x:v>
      </x:c>
      <x:c r="E442" s="8" t="n">
        <x:f>IF(AND(F441&lt;=9,AS441&gt;=AR441),1,0)</x:f>
        <x:v>0</x:v>
      </x:c>
      <x:c r="F442" s="8" t="n">
        <x:f>MIN(10,F441+E442)</x:f>
        <x:v>1</x:v>
      </x:c>
      <x:c r="G442" s="8" t="n">
        <x:f>MIN(F442,9)+1</x:f>
        <x:v>2</x:v>
      </x:c>
      <x:c r="H442" s="8" t="n">
        <x:f>IF(F442&lt;=9,1,0)</x:f>
        <x:v>1</x:v>
      </x:c>
      <x:c r="I442" s="9" t="n">
        <x:f>MIN(10,F441+IF(AR441&gt;0,MIN(1,AS441/AR441),1))</x:f>
        <x:v>1.7210248609037895</x:v>
      </x:c>
      <x:c r="J442" s="32" t="n">
        <x:f>INDEX(v01_FoodCap,G442)*Arch_FoodCap*EXP(v01_CapsByProject*SUMPRODUCT((Cap_Point&lt;=I442)*(Cap_Kind="Food")*Cap_Ln))</x:f>
        <x:v>30</x:v>
      </x:c>
      <x:c r="K442" s="32" t="n">
        <x:f>J442*MIN(1,v01_LeanBase*EXP(v01_CapsByProject*SUMPRODUCT((Cap_Point&lt;=I442)*(Cap_Kind="Lean")*Cap_Ln)))</x:f>
        <x:v>30</x:v>
      </x:c>
      <x:c r="L442" s="10" t="n">
        <x:f>INDEX(v01_HousingCap,G442)*EXP(v01_CapsByProject*SUMPRODUCT((Cap_Point&lt;=I442)*(Cap_Kind="Housing")*Cap_Ln))</x:f>
        <x:v>60</x:v>
      </x:c>
      <x:c r="M442" s="10" t="n">
        <x:f>INDEX(v01_GroupCap,G442)*v01_CohesionFactor*EXP(v01_CapsByProject*SUMPRODUCT((Cap_Point&lt;=I442)*(Cap_Kind="Group")*Cap_Ln))</x:f>
        <x:v>100</x:v>
      </x:c>
      <x:c r="N442" s="32" t="n">
        <x:f>MIN(J442,L442,M442)</x:f>
        <x:v>30</x:v>
      </x:c>
      <x:c r="O442" s="10" t="n">
        <x:f>AE441*N442</x:f>
        <x:v>90</x:v>
      </x:c>
      <x:c r="P442" s="9" t="n">
        <x:f>MIN(1,(AB441/(AE441*IF(v01_GroupInCrowding=1,N442,MIN(J442,L442))))^v01_CrowdingExp)</x:f>
        <x:v>0.04706576027869973</x:v>
      </x:c>
      <x:c r="Q442" s="9" t="n">
        <x:f>IF(D442=1,INDEX(v01_WinterMult,G442),1)</x:f>
        <x:v>1</x:v>
      </x:c>
      <x:c r="R442" s="9" t="n">
        <x:f>H442*Z441*v01_WomenShare*v01_BaseFertility*INDEX(v01_FertMult,G442)*Arch_Fertility*(1-P442)</x:f>
        <x:v>0.8779891765996503</x:v>
      </x:c>
      <x:c r="S442" s="9" t="n">
        <x:f>H442*Y441*INDEX(v01_MortChild,G442)/4*Q442</x:f>
        <x:v>0.19589839802878187</x:v>
      </x:c>
      <x:c r="T442" s="9" t="n">
        <x:f>H442*Z441*INDEX(v01_MortAdult,G442)*Arch_AdultMort/4*Q442</x:f>
        <x:v>0.07985062571322588</x:v>
      </x:c>
      <x:c r="U442" s="9" t="n">
        <x:f>H442*AA441*INDEX(v01_MortElder,G442)/4*Q442</x:f>
        <x:v>0.14241887824473937</x:v>
      </x:c>
      <x:c r="V442" s="9" t="n">
        <x:f>H442*MAX(0,AB441-O442)*v01_OvercapLoss</x:f>
        <x:v>0</x:v>
      </x:c>
      <x:c r="W442" s="9" t="n">
        <x:f>H442*Y441/(v01_ChildYears*4)</x:f>
        <x:v>0.3997926490383303</x:v>
      </x:c>
      <x:c r="X442" s="9" t="n">
        <x:f>H442*Z441/(v01_AdultYears*4)</x:f>
        <x:v>0.1981405104546548</x:v>
      </x:c>
      <x:c r="Y442" s="32" t="n">
        <x:f>Y441+R442-S442-W442-Y441*V442/AB441</x:f>
        <x:v>22.670686475679037</x:v>
      </x:c>
      <x:c r="Z442" s="32" t="n">
        <x:f>Z441+W442-X442-T442-Z441*V442/AB441</x:f>
        <x:v>24.691224809247643</x:v>
      </x:c>
      <x:c r="AA442" s="32" t="n">
        <x:f>AA441+X442-U442-AA441*V442/AB441</x:f>
        <x:v>7.176665544446884</x:v>
      </x:c>
      <x:c r="AB442" s="10" t="n">
        <x:f>Y442+Z442+AA442</x:f>
        <x:v>54.53857682937356</x:v>
      </x:c>
      <x:c r="AC442" s="8" t="n">
        <x:f>IF(AND(v01_WinterTrigger=1,D442=1,AB441/AE441&gt;=K442),1,0)</x:f>
        <x:v>0</x:v>
      </x:c>
      <x:c r="AD442" s="8" t="n">
        <x:f>H442*IF(AND(OR(AB441/AE441&gt;=v01_FissionTrigger*N442,AC442=1),AB441/AE441*v01_DaughterShare&gt;=v01_MinDaughter),MAX(1,ROUND(AE441*v01_FissionRate,0)),0)</x:f>
        <x:v>0</x:v>
      </x:c>
      <x:c r="AE442" s="8" t="n">
        <x:f>IF(H442=1,MAX(1,MIN(INDEX(v01_Smax,G442),AE441+AD442)),AE441)</x:f>
        <x:v>3</x:v>
      </x:c>
      <x:c r="AF442" s="8" t="n">
        <x:f>MAX(0,AE442-AE441)</x:f>
        <x:v>0</x:v>
      </x:c>
      <x:c r="AG442" s="9" t="str">
        <x:f>IF(AF442&gt;0,B442,"")</x:f>
      </x:c>
      <x:c r="AH442" s="9" t="n">
        <x:f>IF(F442&gt;=1,1,(1+v01_LowTiesShare*(AE442-1))/AE442)</x:f>
        <x:v>1</x:v>
      </x:c>
      <x:c r="AI442" s="32" t="n">
        <x:f>(Z442+v01_ElderCommons*INDEX(LM_Elder,G442)*AA442)*AH442</x:f>
        <x:v>42.27039344775574</x:v>
      </x:c>
      <x:c r="AJ442" s="32" t="n">
        <x:f>H442*v01_CommonsCoef*AI442^v01_CommonsExp*INDEX(LM_Commons,G442)</x:f>
        <x:v>15.910168612137639</x:v>
      </x:c>
      <x:c r="AK442" s="32" t="n">
        <x:f>H442*v01_RoleScale*Arch_Roles*(AE442*(INDEX(v01_ElderRolePerSett,G442)*v01_OutElder*INDEX(LM_Elder,G442)+INDEX(v01_ShamanPerSett,G442)*v01_OutShaman)+Z442*(INDEX(v01_PriestShare,G442)*v01_OutPriest+INDEX(v01_ScribeShare,G442)*v01_OutScribe*INDEX(LM_Scribe,G442)+INDEX(v01_ScholarShare,G442)*v01_OutScholar*INDEX(LM_Scholar,G442)+INDEX(v01_ResearcherShare,G442)*v01_OutResearcher*INDEX(LM_Researcher,G442)))</x:f>
        <x:v>4.087117307087383</x:v>
      </x:c>
      <x:c r="AL442" s="32" t="n">
        <x:f>H442*v01_RoleScale*Arch_Roles*AE442*INDEX(v01_MonasteryPerSett,G442)*v01_OutMonastery*INDEX(LM_Monastery,G442)</x:f>
        <x:v>0</x:v>
      </x:c>
      <x:c r="AM442" s="32" t="n">
        <x:f>(AJ442+AK442+AL442)/4*INDEX(LM_All,G442)*INDEX(v01_Boon,G442)*Arch_Insight</x:f>
        <x:v>5.124304516801411</x:v>
      </x:c>
      <x:c r="AN442" s="32" t="n">
        <x:f>H442*(v01_KHPerAdult*Z442+v01_KHOfCommons*AJ442/4*INDEX(LM_All,G442))*v01_KHUsable*Arch_KH</x:f>
        <x:v>0.8641928683236675</x:v>
      </x:c>
      <x:c r="AO442" s="32" t="n">
        <x:f>MIN(AP441+AN442,AM442*v01_KHMaxRatio)</x:f>
        <x:v>0.8641928683236675</x:v>
      </x:c>
      <x:c r="AP442" s="32" t="n">
        <x:f>AP441+AN442-AO442</x:f>
        <x:v>0</x:v>
      </x:c>
      <x:c r="AQ442" s="32" t="n">
        <x:f>AM442+AO442</x:f>
        <x:v>5.988497385125078</x:v>
      </x:c>
      <x:c r="AR442" s="10" t="n">
        <x:f>IF(H442=1,INDEX(v01_Req,G442),0)</x:f>
        <x:v>1067.32</x:v>
      </x:c>
      <x:c r="AS442" s="32" t="n">
        <x:f>IF(H442=1,IF(E442=1,AS441-AR441,AS441)+AQ442,0)</x:f>
        <x:v>775.5527519249576</x:v>
      </x:c>
      <x:c r="AT442" s="11" t="n">
        <x:f>IF(AR442&gt;0,MIN(1,AS442/AR442),1)</x:f>
        <x:v>0.7266356405997805</x:v>
      </x:c>
      <x:c r="AU442" s="10" t="n">
        <x:f>AB442/INDEX(v01_RepScale,G442)</x:f>
        <x:v>54.53857682937356</x:v>
      </x:c>
      <x:c r="AV442" s="32" t="n">
        <x:f>AM442*60/v01_SeasonSeconds</x:f>
        <x:v>20.497218067205644</x:v>
      </x:c>
    </x:row>
    <x:row r="443">
      <x:c r="A443" s="8" t="n">
        <x:f>A442+1</x:f>
        <x:v>440</x:v>
      </x:c>
      <x:c r="B443" s="9" t="n">
        <x:f>A443*v01_SeasonSeconds/60</x:f>
        <x:v>110</x:v>
      </x:c>
      <x:c r="C443" s="9" t="n">
        <x:f>A443/4</x:f>
        <x:v>110</x:v>
      </x:c>
      <x:c r="D443" s="8" t="n">
        <x:f>IF(MOD(A443,4)=0,1,0)</x:f>
        <x:v>1</x:v>
      </x:c>
      <x:c r="E443" s="8" t="n">
        <x:f>IF(AND(F442&lt;=9,AS442&gt;=AR442),1,0)</x:f>
        <x:v>0</x:v>
      </x:c>
      <x:c r="F443" s="8" t="n">
        <x:f>MIN(10,F442+E443)</x:f>
        <x:v>1</x:v>
      </x:c>
      <x:c r="G443" s="8" t="n">
        <x:f>MIN(F443,9)+1</x:f>
        <x:v>2</x:v>
      </x:c>
      <x:c r="H443" s="8" t="n">
        <x:f>IF(F443&lt;=9,1,0)</x:f>
        <x:v>1</x:v>
      </x:c>
      <x:c r="I443" s="9" t="n">
        <x:f>MIN(10,F442+IF(AR442&gt;0,MIN(1,AS442/AR442),1))</x:f>
        <x:v>1.7266356405997805</x:v>
      </x:c>
      <x:c r="J443" s="32" t="n">
        <x:f>INDEX(v01_FoodCap,G443)*Arch_FoodCap*EXP(v01_CapsByProject*SUMPRODUCT((Cap_Point&lt;=I443)*(Cap_Kind="Food")*Cap_Ln))</x:f>
        <x:v>30</x:v>
      </x:c>
      <x:c r="K443" s="32" t="n">
        <x:f>J443*MIN(1,v01_LeanBase*EXP(v01_CapsByProject*SUMPRODUCT((Cap_Point&lt;=I443)*(Cap_Kind="Lean")*Cap_Ln)))</x:f>
        <x:v>30</x:v>
      </x:c>
      <x:c r="L443" s="10" t="n">
        <x:f>INDEX(v01_HousingCap,G443)*EXP(v01_CapsByProject*SUMPRODUCT((Cap_Point&lt;=I443)*(Cap_Kind="Housing")*Cap_Ln))</x:f>
        <x:v>60</x:v>
      </x:c>
      <x:c r="M443" s="10" t="n">
        <x:f>INDEX(v01_GroupCap,G443)*v01_CohesionFactor*EXP(v01_CapsByProject*SUMPRODUCT((Cap_Point&lt;=I443)*(Cap_Kind="Group")*Cap_Ln))</x:f>
        <x:v>100</x:v>
      </x:c>
      <x:c r="N443" s="32" t="n">
        <x:f>MIN(J443,L443,M443)</x:f>
        <x:v>30</x:v>
      </x:c>
      <x:c r="O443" s="10" t="n">
        <x:f>AE442*N443</x:f>
        <x:v>90</x:v>
      </x:c>
      <x:c r="P443" s="9" t="n">
        <x:f>MIN(1,(AB442/(AE442*IF(v01_GroupInCrowding=1,N443,MIN(J443,L443))))^v01_CrowdingExp)</x:f>
        <x:v>0.049518530598042614</x:v>
      </x:c>
      <x:c r="Q443" s="9" t="n">
        <x:f>IF(D443=1,INDEX(v01_WinterMult,G443),1)</x:f>
        <x:v>1.6</x:v>
      </x:c>
      <x:c r="R443" s="9" t="n">
        <x:f>H443*Z442*v01_WomenShare*v01_BaseFertility*INDEX(v01_FertMult,G443)*Arch_Fertility*(1-P443)</x:f>
        <x:v>0.8800706864260411</x:v>
      </x:c>
      <x:c r="S443" s="9" t="n">
        <x:f>H443*Y442*INDEX(v01_MortChild,G443)/4*Q443</x:f>
        <x:v>0.3173896106595066</x:v>
      </x:c>
      <x:c r="T443" s="9" t="n">
        <x:f>H443*Z442*INDEX(v01_MortAdult,G443)*Arch_AdultMort/4*Q443</x:f>
        <x:v>0.12839436900808773</x:v>
      </x:c>
      <x:c r="U443" s="9" t="n">
        <x:f>H443*AA442*INDEX(v01_MortElder,G443)/4*Q443</x:f>
        <x:v>0.22965329742230028</x:v>
      </x:c>
      <x:c r="V443" s="9" t="n">
        <x:f>H443*MAX(0,AB442-O443)*v01_OvercapLoss</x:f>
        <x:v>0</x:v>
      </x:c>
      <x:c r="W443" s="9" t="n">
        <x:f>H443*Y442/(v01_ChildYears*4)</x:f>
        <x:v>0.4048336870656971</x:v>
      </x:c>
      <x:c r="X443" s="9" t="n">
        <x:f>H443*Z442/(v01_AdultYears*4)</x:f>
        <x:v>0.19912278071973905</x:v>
      </x:c>
      <x:c r="Y443" s="32" t="n">
        <x:f>Y442+R443-S443-W443-Y442*V443/AB442</x:f>
        <x:v>22.828533864379875</x:v>
      </x:c>
      <x:c r="Z443" s="32" t="n">
        <x:f>Z442+W443-X443-T443-Z442*V443/AB442</x:f>
        <x:v>24.76854134658551</x:v>
      </x:c>
      <x:c r="AA443" s="32" t="n">
        <x:f>AA442+X443-U443-AA442*V443/AB442</x:f>
        <x:v>7.1461350277443225</x:v>
      </x:c>
      <x:c r="AB443" s="10" t="n">
        <x:f>Y443+Z443+AA443</x:f>
        <x:v>54.74321023870971</x:v>
      </x:c>
      <x:c r="AC443" s="8" t="n">
        <x:f>IF(AND(v01_WinterTrigger=1,D443=1,AB442/AE442&gt;=K443),1,0)</x:f>
        <x:v>0</x:v>
      </x:c>
      <x:c r="AD443" s="8" t="n">
        <x:f>H443*IF(AND(OR(AB442/AE442&gt;=v01_FissionTrigger*N443,AC443=1),AB442/AE442*v01_DaughterShare&gt;=v01_MinDaughter),MAX(1,ROUND(AE442*v01_FissionRate,0)),0)</x:f>
        <x:v>0</x:v>
      </x:c>
      <x:c r="AE443" s="8" t="n">
        <x:f>IF(H443=1,MAX(1,MIN(INDEX(v01_Smax,G443),AE442+AD443)),AE442)</x:f>
        <x:v>3</x:v>
      </x:c>
      <x:c r="AF443" s="8" t="n">
        <x:f>MAX(0,AE443-AE442)</x:f>
        <x:v>0</x:v>
      </x:c>
      <x:c r="AG443" s="9" t="str">
        <x:f>IF(AF443&gt;0,B443,"")</x:f>
      </x:c>
      <x:c r="AH443" s="9" t="n">
        <x:f>IF(F443&gt;=1,1,(1+v01_LowTiesShare*(AE443-1))/AE443)</x:f>
        <x:v>1</x:v>
      </x:c>
      <x:c r="AI443" s="32" t="n">
        <x:f>(Z443+v01_ElderCommons*INDEX(LM_Elder,G443)*AA443)*AH443</x:f>
        <x:v>42.27292579758881</x:v>
      </x:c>
      <x:c r="AJ443" s="32" t="n">
        <x:f>H443*v01_CommonsCoef*AI443^v01_CommonsExp*INDEX(LM_Commons,G443)</x:f>
        <x:v>15.910978787753258</x:v>
      </x:c>
      <x:c r="AK443" s="32" t="n">
        <x:f>H443*v01_RoleScale*Arch_Roles*(AE443*(INDEX(v01_ElderRolePerSett,G443)*v01_OutElder*INDEX(LM_Elder,G443)+INDEX(v01_ShamanPerSett,G443)*v01_OutShaman)+Z443*(INDEX(v01_PriestShare,G443)*v01_OutPriest+INDEX(v01_ScribeShare,G443)*v01_OutScribe*INDEX(LM_Scribe,G443)+INDEX(v01_ScholarShare,G443)*v01_OutScholar*INDEX(LM_Scholar,G443)+INDEX(v01_ResearcherShare,G443)*v01_OutResearcher*INDEX(LM_Researcher,G443)))</x:f>
        <x:v>4.087117307087383</x:v>
      </x:c>
      <x:c r="AL443" s="32" t="n">
        <x:f>H443*v01_RoleScale*Arch_Roles*AE443*INDEX(v01_MonasteryPerSett,G443)*v01_OutMonastery*INDEX(LM_Monastery,G443)</x:f>
        <x:v>0</x:v>
      </x:c>
      <x:c r="AM443" s="32" t="n">
        <x:f>(AJ443+AK443+AL443)/4*INDEX(LM_All,G443)*INDEX(v01_Boon,G443)*Arch_Insight</x:f>
        <x:v>5.124512124302914</x:v>
      </x:c>
      <x:c r="AN443" s="32" t="n">
        <x:f>H443*(v01_KHPerAdult*Z443+v01_KHOfCommons*AJ443/4*INDEX(LM_All,G443))*v01_KHUsable*Arch_KH</x:f>
        <x:v>0.8668989471304929</x:v>
      </x:c>
      <x:c r="AO443" s="32" t="n">
        <x:f>MIN(AP442+AN443,AM443*v01_KHMaxRatio)</x:f>
        <x:v>0.8668989471304929</x:v>
      </x:c>
      <x:c r="AP443" s="32" t="n">
        <x:f>AP442+AN443-AO443</x:f>
        <x:v>0</x:v>
      </x:c>
      <x:c r="AQ443" s="32" t="n">
        <x:f>AM443+AO443</x:f>
        <x:v>5.991411071433407</x:v>
      </x:c>
      <x:c r="AR443" s="10" t="n">
        <x:f>IF(H443=1,INDEX(v01_Req,G443),0)</x:f>
        <x:v>1067.32</x:v>
      </x:c>
      <x:c r="AS443" s="32" t="n">
        <x:f>IF(H443=1,IF(E443=1,AS442-AR442,AS442)+AQ443,0)</x:f>
        <x:v>781.544162996391</x:v>
      </x:c>
      <x:c r="AT443" s="11" t="n">
        <x:f>IF(AR443&gt;0,MIN(1,AS443/AR443),1)</x:f>
        <x:v>0.7322491502046163</x:v>
      </x:c>
      <x:c r="AU443" s="10" t="n">
        <x:f>AB443/INDEX(v01_RepScale,G443)</x:f>
        <x:v>54.74321023870971</x:v>
      </x:c>
      <x:c r="AV443" s="32" t="n">
        <x:f>AM443*60/v01_SeasonSeconds</x:f>
        <x:v>20.498048497211656</x:v>
      </x:c>
    </x:row>
    <x:row r="444">
      <x:c r="A444" s="8" t="n">
        <x:f>A443+1</x:f>
        <x:v>441</x:v>
      </x:c>
      <x:c r="B444" s="9" t="n">
        <x:f>A444*v01_SeasonSeconds/60</x:f>
        <x:v>110.25</x:v>
      </x:c>
      <x:c r="C444" s="9" t="n">
        <x:f>A444/4</x:f>
        <x:v>110.25</x:v>
      </x:c>
      <x:c r="D444" s="8" t="n">
        <x:f>IF(MOD(A444,4)=0,1,0)</x:f>
        <x:v>0</x:v>
      </x:c>
      <x:c r="E444" s="8" t="n">
        <x:f>IF(AND(F443&lt;=9,AS443&gt;=AR443),1,0)</x:f>
        <x:v>0</x:v>
      </x:c>
      <x:c r="F444" s="8" t="n">
        <x:f>MIN(10,F443+E444)</x:f>
        <x:v>1</x:v>
      </x:c>
      <x:c r="G444" s="8" t="n">
        <x:f>MIN(F444,9)+1</x:f>
        <x:v>2</x:v>
      </x:c>
      <x:c r="H444" s="8" t="n">
        <x:f>IF(F444&lt;=9,1,0)</x:f>
        <x:v>1</x:v>
      </x:c>
      <x:c r="I444" s="9" t="n">
        <x:f>MIN(10,F443+IF(AR443&gt;0,MIN(1,AS443/AR443),1))</x:f>
        <x:v>1.7322491502046162</x:v>
      </x:c>
      <x:c r="J444" s="32" t="n">
        <x:f>INDEX(v01_FoodCap,G444)*Arch_FoodCap*EXP(v01_CapsByProject*SUMPRODUCT((Cap_Point&lt;=I444)*(Cap_Kind="Food")*Cap_Ln))</x:f>
        <x:v>30</x:v>
      </x:c>
      <x:c r="K444" s="32" t="n">
        <x:f>J444*MIN(1,v01_LeanBase*EXP(v01_CapsByProject*SUMPRODUCT((Cap_Point&lt;=I444)*(Cap_Kind="Lean")*Cap_Ln)))</x:f>
        <x:v>30</x:v>
      </x:c>
      <x:c r="L444" s="10" t="n">
        <x:f>INDEX(v01_HousingCap,G444)*EXP(v01_CapsByProject*SUMPRODUCT((Cap_Point&lt;=I444)*(Cap_Kind="Housing")*Cap_Ln))</x:f>
        <x:v>60</x:v>
      </x:c>
      <x:c r="M444" s="10" t="n">
        <x:f>INDEX(v01_GroupCap,G444)*v01_CohesionFactor*EXP(v01_CapsByProject*SUMPRODUCT((Cap_Point&lt;=I444)*(Cap_Kind="Group")*Cap_Ln))</x:f>
        <x:v>100</x:v>
      </x:c>
      <x:c r="N444" s="32" t="n">
        <x:f>MIN(J444,L444,M444)</x:f>
        <x:v>30</x:v>
      </x:c>
      <x:c r="O444" s="10" t="n">
        <x:f>AE443*N444</x:f>
        <x:v>90</x:v>
      </x:c>
      <x:c r="P444" s="9" t="n">
        <x:f>MIN(1,(AB443/(AE443*IF(v01_GroupInCrowding=1,N444,MIN(J444,L444))))^v01_CrowdingExp)</x:f>
        <x:v>0.050643826592757686</x:v>
      </x:c>
      <x:c r="Q444" s="9" t="n">
        <x:f>IF(D444=1,INDEX(v01_WinterMult,G444),1)</x:f>
        <x:v>1</x:v>
      </x:c>
      <x:c r="R444" s="9" t="n">
        <x:f>H444*Z443*v01_WomenShare*v01_BaseFertility*INDEX(v01_FertMult,G444)*Arch_Fertility*(1-P444)</x:f>
        <x:v>0.8817812862627556</x:v>
      </x:c>
      <x:c r="S444" s="9" t="n">
        <x:f>H444*Y443*INDEX(v01_MortChild,G444)/4*Q444</x:f>
        <x:v>0.1997496713133239</x:v>
      </x:c>
      <x:c r="T444" s="9" t="n">
        <x:f>H444*Z443*INDEX(v01_MortAdult,G444)*Arch_AdultMort/4*Q444</x:f>
        <x:v>0.08049775937640291</x:v>
      </x:c>
      <x:c r="U444" s="9" t="n">
        <x:f>H444*AA443*INDEX(v01_MortElder,G444)/4*Q444</x:f>
        <x:v>0.14292270055488646</x:v>
      </x:c>
      <x:c r="V444" s="9" t="n">
        <x:f>H444*MAX(0,AB443-O444)*v01_OvercapLoss</x:f>
        <x:v>0</x:v>
      </x:c>
      <x:c r="W444" s="9" t="n">
        <x:f>H444*Y443/(v01_ChildYears*4)</x:f>
        <x:v>0.4076523904353549</x:v>
      </x:c>
      <x:c r="X444" s="9" t="n">
        <x:f>H444*Z443/(v01_AdultYears*4)</x:f>
        <x:v>0.19974630118214123</x:v>
      </x:c>
      <x:c r="Y444" s="32" t="n">
        <x:f>Y443+R444-S444-W444-Y443*V444/AB443</x:f>
        <x:v>23.10291308889395</x:v>
      </x:c>
      <x:c r="Z444" s="32" t="n">
        <x:f>Z443+W444-X444-T444-Z443*V444/AB443</x:f>
        <x:v>24.895949676462322</x:v>
      </x:c>
      <x:c r="AA444" s="32" t="n">
        <x:f>AA443+X444-U444-AA443*V444/AB443</x:f>
        <x:v>7.202958628371578</x:v>
      </x:c>
      <x:c r="AB444" s="10" t="n">
        <x:f>Y444+Z444+AA444</x:f>
        <x:v>55.20182139372785</x:v>
      </x:c>
      <x:c r="AC444" s="8" t="n">
        <x:f>IF(AND(v01_WinterTrigger=1,D444=1,AB443/AE443&gt;=K444),1,0)</x:f>
        <x:v>0</x:v>
      </x:c>
      <x:c r="AD444" s="8" t="n">
        <x:f>H444*IF(AND(OR(AB443/AE443&gt;=v01_FissionTrigger*N444,AC444=1),AB443/AE443*v01_DaughterShare&gt;=v01_MinDaughter),MAX(1,ROUND(AE443*v01_FissionRate,0)),0)</x:f>
        <x:v>0</x:v>
      </x:c>
      <x:c r="AE444" s="8" t="n">
        <x:f>IF(H444=1,MAX(1,MIN(INDEX(v01_Smax,G444),AE443+AD444)),AE443)</x:f>
        <x:v>3</x:v>
      </x:c>
      <x:c r="AF444" s="8" t="n">
        <x:f>MAX(0,AE444-AE443)</x:f>
        <x:v>0</x:v>
      </x:c>
      <x:c r="AG444" s="9" t="str">
        <x:f>IF(AF444&gt;0,B444,"")</x:f>
      </x:c>
      <x:c r="AH444" s="9" t="n">
        <x:f>IF(F444&gt;=1,1,(1+v01_LowTiesShare*(AE444-1))/AE444)</x:f>
        <x:v>1</x:v>
      </x:c>
      <x:c r="AI444" s="32" t="n">
        <x:f>(Z444+v01_ElderCommons*INDEX(LM_Elder,G444)*AA444)*AH444</x:f>
        <x:v>42.53952295435009</x:v>
      </x:c>
      <x:c r="AJ444" s="32" t="n">
        <x:f>H444*v01_CommonsCoef*AI444^v01_CommonsExp*INDEX(LM_Commons,G444)</x:f>
        <x:v>15.996230685815291</x:v>
      </x:c>
      <x:c r="AK444" s="32" t="n">
        <x:f>H444*v01_RoleScale*Arch_Roles*(AE444*(INDEX(v01_ElderRolePerSett,G444)*v01_OutElder*INDEX(LM_Elder,G444)+INDEX(v01_ShamanPerSett,G444)*v01_OutShaman)+Z444*(INDEX(v01_PriestShare,G444)*v01_OutPriest+INDEX(v01_ScribeShare,G444)*v01_OutScribe*INDEX(LM_Scribe,G444)+INDEX(v01_ScholarShare,G444)*v01_OutScholar*INDEX(LM_Scholar,G444)+INDEX(v01_ResearcherShare,G444)*v01_OutResearcher*INDEX(LM_Researcher,G444)))</x:f>
        <x:v>4.087117307087383</x:v>
      </x:c>
      <x:c r="AL444" s="32" t="n">
        <x:f>H444*v01_RoleScale*Arch_Roles*AE444*INDEX(v01_MonasteryPerSett,G444)*v01_OutMonastery*INDEX(LM_Monastery,G444)</x:f>
        <x:v>0</x:v>
      </x:c>
      <x:c r="AM444" s="32" t="n">
        <x:f>(AJ444+AK444+AL444)/4*INDEX(LM_All,G444)*INDEX(v01_Boon,G444)*Arch_Insight</x:f>
        <x:v>5.146357923181309</x:v>
      </x:c>
      <x:c r="AN444" s="32" t="n">
        <x:f>H444*(v01_KHPerAdult*Z444+v01_KHOfCommons*AJ444/4*INDEX(LM_All,G444))*v01_KHUsable*Arch_KH</x:f>
        <x:v>0.8713582386761812</x:v>
      </x:c>
      <x:c r="AO444" s="32" t="n">
        <x:f>MIN(AP443+AN444,AM444*v01_KHMaxRatio)</x:f>
        <x:v>0.8713582386761812</x:v>
      </x:c>
      <x:c r="AP444" s="32" t="n">
        <x:f>AP443+AN444-AO444</x:f>
        <x:v>0</x:v>
      </x:c>
      <x:c r="AQ444" s="32" t="n">
        <x:f>AM444+AO444</x:f>
        <x:v>6.01771616185749</x:v>
      </x:c>
      <x:c r="AR444" s="10" t="n">
        <x:f>IF(H444=1,INDEX(v01_Req,G444),0)</x:f>
        <x:v>1067.32</x:v>
      </x:c>
      <x:c r="AS444" s="32" t="n">
        <x:f>IF(H444=1,IF(E444=1,AS443-AR443,AS443)+AQ444,0)</x:f>
        <x:v>787.5618791582485</x:v>
      </x:c>
      <x:c r="AT444" s="11" t="n">
        <x:f>IF(AR444&gt;0,MIN(1,AS444/AR444),1)</x:f>
        <x:v>0.7378873057360947</x:v>
      </x:c>
      <x:c r="AU444" s="10" t="n">
        <x:f>AB444/INDEX(v01_RepScale,G444)</x:f>
        <x:v>55.20182139372785</x:v>
      </x:c>
      <x:c r="AV444" s="32" t="n">
        <x:f>AM444*60/v01_SeasonSeconds</x:f>
        <x:v>20.585431692725237</x:v>
      </x:c>
    </x:row>
    <x:row r="445">
      <x:c r="A445" s="8" t="n">
        <x:f>A444+1</x:f>
        <x:v>442</x:v>
      </x:c>
      <x:c r="B445" s="9" t="n">
        <x:f>A445*v01_SeasonSeconds/60</x:f>
        <x:v>110.5</x:v>
      </x:c>
      <x:c r="C445" s="9" t="n">
        <x:f>A445/4</x:f>
        <x:v>110.5</x:v>
      </x:c>
      <x:c r="D445" s="8" t="n">
        <x:f>IF(MOD(A445,4)=0,1,0)</x:f>
        <x:v>0</x:v>
      </x:c>
      <x:c r="E445" s="8" t="n">
        <x:f>IF(AND(F444&lt;=9,AS444&gt;=AR444),1,0)</x:f>
        <x:v>0</x:v>
      </x:c>
      <x:c r="F445" s="8" t="n">
        <x:f>MIN(10,F444+E445)</x:f>
        <x:v>1</x:v>
      </x:c>
      <x:c r="G445" s="8" t="n">
        <x:f>MIN(F445,9)+1</x:f>
        <x:v>2</x:v>
      </x:c>
      <x:c r="H445" s="8" t="n">
        <x:f>IF(F445&lt;=9,1,0)</x:f>
        <x:v>1</x:v>
      </x:c>
      <x:c r="I445" s="9" t="n">
        <x:f>MIN(10,F444+IF(AR444&gt;0,MIN(1,AS444/AR444),1))</x:f>
        <x:v>1.7378873057360948</x:v>
      </x:c>
      <x:c r="J445" s="32" t="n">
        <x:f>INDEX(v01_FoodCap,G445)*Arch_FoodCap*EXP(v01_CapsByProject*SUMPRODUCT((Cap_Point&lt;=I445)*(Cap_Kind="Food")*Cap_Ln))</x:f>
        <x:v>30</x:v>
      </x:c>
      <x:c r="K445" s="32" t="n">
        <x:f>J445*MIN(1,v01_LeanBase*EXP(v01_CapsByProject*SUMPRODUCT((Cap_Point&lt;=I445)*(Cap_Kind="Lean")*Cap_Ln)))</x:f>
        <x:v>30</x:v>
      </x:c>
      <x:c r="L445" s="10" t="n">
        <x:f>INDEX(v01_HousingCap,G445)*EXP(v01_CapsByProject*SUMPRODUCT((Cap_Point&lt;=I445)*(Cap_Kind="Housing")*Cap_Ln))</x:f>
        <x:v>60</x:v>
      </x:c>
      <x:c r="M445" s="10" t="n">
        <x:f>INDEX(v01_GroupCap,G445)*v01_CohesionFactor*EXP(v01_CapsByProject*SUMPRODUCT((Cap_Point&lt;=I445)*(Cap_Kind="Group")*Cap_Ln))</x:f>
        <x:v>100</x:v>
      </x:c>
      <x:c r="N445" s="32" t="n">
        <x:f>MIN(J445,L445,M445)</x:f>
        <x:v>30</x:v>
      </x:c>
      <x:c r="O445" s="10" t="n">
        <x:f>AE444*N445</x:f>
        <x:v>90</x:v>
      </x:c>
      <x:c r="P445" s="9" t="n">
        <x:f>MIN(1,(AB444/(AE444*IF(v01_GroupInCrowding=1,N445,MIN(J445,L445))))^v01_CrowdingExp)</x:f>
        <x:v>0.053243351962008335</x:v>
      </x:c>
      <x:c r="Q445" s="9" t="n">
        <x:f>IF(D445=1,INDEX(v01_WinterMult,G445),1)</x:f>
        <x:v>1</x:v>
      </x:c>
      <x:c r="R445" s="9" t="n">
        <x:f>H445*Z444*v01_WomenShare*v01_BaseFertility*INDEX(v01_FertMult,G445)*Arch_Fertility*(1-P445)</x:f>
        <x:v>0.8838902199528746</x:v>
      </x:c>
      <x:c r="S445" s="9" t="n">
        <x:f>H445*Y444*INDEX(v01_MortChild,G445)/4*Q445</x:f>
        <x:v>0.20215048952782208</x:v>
      </x:c>
      <x:c r="T445" s="9" t="n">
        <x:f>H445*Z444*INDEX(v01_MortAdult,G445)*Arch_AdultMort/4*Q445</x:f>
        <x:v>0.08091183644850254</x:v>
      </x:c>
      <x:c r="U445" s="9" t="n">
        <x:f>H445*AA444*INDEX(v01_MortElder,G445)/4*Q445</x:f>
        <x:v>0.14405917256743156</x:v>
      </x:c>
      <x:c r="V445" s="9" t="n">
        <x:f>H445*MAX(0,AB444-O445)*v01_OvercapLoss</x:f>
        <x:v>0</x:v>
      </x:c>
      <x:c r="W445" s="9" t="n">
        <x:f>H445*Y444/(v01_ChildYears*4)</x:f>
        <x:v>0.4125520194445348</x:v>
      </x:c>
      <x:c r="X445" s="9" t="n">
        <x:f>H445*Z444/(v01_AdultYears*4)</x:f>
        <x:v>0.20077378771340582</x:v>
      </x:c>
      <x:c r="Y445" s="32" t="n">
        <x:f>Y444+R445-S445-W445-Y444*V445/AB444</x:f>
        <x:v>23.372100799874467</x:v>
      </x:c>
      <x:c r="Z445" s="32" t="n">
        <x:f>Z444+W445-X445-T445-Z444*V445/AB444</x:f>
        <x:v>25.02681607174495</x:v>
      </x:c>
      <x:c r="AA445" s="32" t="n">
        <x:f>AA444+X445-U445-AA444*V445/AB444</x:f>
        <x:v>7.259673243517551</x:v>
      </x:c>
      <x:c r="AB445" s="10" t="n">
        <x:f>Y445+Z445+AA445</x:f>
        <x:v>55.658590115136974</x:v>
      </x:c>
      <x:c r="AC445" s="8" t="n">
        <x:f>IF(AND(v01_WinterTrigger=1,D445=1,AB444/AE444&gt;=K445),1,0)</x:f>
        <x:v>0</x:v>
      </x:c>
      <x:c r="AD445" s="8" t="n">
        <x:f>H445*IF(AND(OR(AB444/AE444&gt;=v01_FissionTrigger*N445,AC445=1),AB444/AE444*v01_DaughterShare&gt;=v01_MinDaughter),MAX(1,ROUND(AE444*v01_FissionRate,0)),0)</x:f>
        <x:v>0</x:v>
      </x:c>
      <x:c r="AE445" s="8" t="n">
        <x:f>IF(H445=1,MAX(1,MIN(INDEX(v01_Smax,G445),AE444+AD445)),AE444)</x:f>
        <x:v>3</x:v>
      </x:c>
      <x:c r="AF445" s="8" t="n">
        <x:f>MAX(0,AE445-AE444)</x:f>
        <x:v>0</x:v>
      </x:c>
      <x:c r="AG445" s="9" t="str">
        <x:f>IF(AF445&gt;0,B445,"")</x:f>
      </x:c>
      <x:c r="AH445" s="9" t="n">
        <x:f>IF(F445&gt;=1,1,(1+v01_LowTiesShare*(AE445-1))/AE445)</x:f>
        <x:v>1</x:v>
      </x:c>
      <x:c r="AI445" s="32" t="n">
        <x:f>(Z445+v01_ElderCommons*INDEX(LM_Elder,G445)*AA445)*AH445</x:f>
        <x:v>42.80931121769868</x:v>
      </x:c>
      <x:c r="AJ445" s="32" t="n">
        <x:f>H445*v01_CommonsCoef*AI445^v01_CommonsExp*INDEX(LM_Commons,G445)</x:f>
        <x:v>16.08242148327427</x:v>
      </x:c>
      <x:c r="AK445" s="32" t="n">
        <x:f>H445*v01_RoleScale*Arch_Roles*(AE445*(INDEX(v01_ElderRolePerSett,G445)*v01_OutElder*INDEX(LM_Elder,G445)+INDEX(v01_ShamanPerSett,G445)*v01_OutShaman)+Z445*(INDEX(v01_PriestShare,G445)*v01_OutPriest+INDEX(v01_ScribeShare,G445)*v01_OutScribe*INDEX(LM_Scribe,G445)+INDEX(v01_ScholarShare,G445)*v01_OutScholar*INDEX(LM_Scholar,G445)+INDEX(v01_ResearcherShare,G445)*v01_OutResearcher*INDEX(LM_Researcher,G445)))</x:f>
        <x:v>4.087117307087383</x:v>
      </x:c>
      <x:c r="AL445" s="32" t="n">
        <x:f>H445*v01_RoleScale*Arch_Roles*AE445*INDEX(v01_MonasteryPerSett,G445)*v01_OutMonastery*INDEX(LM_Monastery,G445)</x:f>
        <x:v>0</x:v>
      </x:c>
      <x:c r="AM445" s="32" t="n">
        <x:f>(AJ445+AK445+AL445)/4*INDEX(LM_All,G445)*INDEX(v01_Boon,G445)*Arch_Insight</x:f>
        <x:v>5.168444315030173</x:v>
      </x:c>
      <x:c r="AN445" s="32" t="n">
        <x:f>H445*(v01_KHPerAdult*Z445+v01_KHOfCommons*AJ445/4*INDEX(LM_All,G445))*v01_KHUsable*Arch_KH</x:f>
        <x:v>0.8759385625110732</x:v>
      </x:c>
      <x:c r="AO445" s="32" t="n">
        <x:f>MIN(AP444+AN445,AM445*v01_KHMaxRatio)</x:f>
        <x:v>0.8759385625110732</x:v>
      </x:c>
      <x:c r="AP445" s="32" t="n">
        <x:f>AP444+AN445-AO445</x:f>
        <x:v>0</x:v>
      </x:c>
      <x:c r="AQ445" s="32" t="n">
        <x:f>AM445+AO445</x:f>
        <x:v>6.044382877541246</x:v>
      </x:c>
      <x:c r="AR445" s="10" t="n">
        <x:f>IF(H445=1,INDEX(v01_Req,G445),0)</x:f>
        <x:v>1067.32</x:v>
      </x:c>
      <x:c r="AS445" s="32" t="n">
        <x:f>IF(H445=1,IF(E445=1,AS444-AR444,AS444)+AQ445,0)</x:f>
        <x:v>793.6062620357898</x:v>
      </x:c>
      <x:c r="AT445" s="11" t="n">
        <x:f>IF(AR445&gt;0,MIN(1,AS445/AR445),1)</x:f>
        <x:v>0.7435504460103716</x:v>
      </x:c>
      <x:c r="AU445" s="10" t="n">
        <x:f>AB445/INDEX(v01_RepScale,G445)</x:f>
        <x:v>55.658590115136974</x:v>
      </x:c>
      <x:c r="AV445" s="32" t="n">
        <x:f>AM445*60/v01_SeasonSeconds</x:f>
        <x:v>20.67377726012069</x:v>
      </x:c>
    </x:row>
    <x:row r="446">
      <x:c r="A446" s="8" t="n">
        <x:f>A445+1</x:f>
        <x:v>443</x:v>
      </x:c>
      <x:c r="B446" s="9" t="n">
        <x:f>A446*v01_SeasonSeconds/60</x:f>
        <x:v>110.75</x:v>
      </x:c>
      <x:c r="C446" s="9" t="n">
        <x:f>A446/4</x:f>
        <x:v>110.75</x:v>
      </x:c>
      <x:c r="D446" s="8" t="n">
        <x:f>IF(MOD(A446,4)=0,1,0)</x:f>
        <x:v>0</x:v>
      </x:c>
      <x:c r="E446" s="8" t="n">
        <x:f>IF(AND(F445&lt;=9,AS445&gt;=AR445),1,0)</x:f>
        <x:v>0</x:v>
      </x:c>
      <x:c r="F446" s="8" t="n">
        <x:f>MIN(10,F445+E446)</x:f>
        <x:v>1</x:v>
      </x:c>
      <x:c r="G446" s="8" t="n">
        <x:f>MIN(F446,9)+1</x:f>
        <x:v>2</x:v>
      </x:c>
      <x:c r="H446" s="8" t="n">
        <x:f>IF(F446&lt;=9,1,0)</x:f>
        <x:v>1</x:v>
      </x:c>
      <x:c r="I446" s="9" t="n">
        <x:f>MIN(10,F445+IF(AR445&gt;0,MIN(1,AS445/AR445),1))</x:f>
        <x:v>1.7435504460103717</x:v>
      </x:c>
      <x:c r="J446" s="32" t="n">
        <x:f>INDEX(v01_FoodCap,G446)*Arch_FoodCap*EXP(v01_CapsByProject*SUMPRODUCT((Cap_Point&lt;=I446)*(Cap_Kind="Food")*Cap_Ln))</x:f>
        <x:v>30</x:v>
      </x:c>
      <x:c r="K446" s="32" t="n">
        <x:f>J446*MIN(1,v01_LeanBase*EXP(v01_CapsByProject*SUMPRODUCT((Cap_Point&lt;=I446)*(Cap_Kind="Lean")*Cap_Ln)))</x:f>
        <x:v>30</x:v>
      </x:c>
      <x:c r="L446" s="10" t="n">
        <x:f>INDEX(v01_HousingCap,G446)*EXP(v01_CapsByProject*SUMPRODUCT((Cap_Point&lt;=I446)*(Cap_Kind="Housing")*Cap_Ln))</x:f>
        <x:v>60</x:v>
      </x:c>
      <x:c r="M446" s="10" t="n">
        <x:f>INDEX(v01_GroupCap,G446)*v01_CohesionFactor*EXP(v01_CapsByProject*SUMPRODUCT((Cap_Point&lt;=I446)*(Cap_Kind="Group")*Cap_Ln))</x:f>
        <x:v>100</x:v>
      </x:c>
      <x:c r="N446" s="32" t="n">
        <x:f>MIN(J446,L446,M446)</x:f>
        <x:v>30</x:v>
      </x:c>
      <x:c r="O446" s="10" t="n">
        <x:f>AE445*N446</x:f>
        <x:v>90</x:v>
      </x:c>
      <x:c r="P446" s="9" t="n">
        <x:f>MIN(1,(AB445/(AE445*IF(v01_GroupInCrowding=1,N446,MIN(J446,L446))))^v01_CrowdingExp)</x:f>
        <x:v>0.055942020703913846</x:v>
      </x:c>
      <x:c r="Q446" s="9" t="n">
        <x:f>IF(D446=1,INDEX(v01_WinterMult,G446),1)</x:f>
        <x:v>1</x:v>
      </x:c>
      <x:c r="R446" s="9" t="n">
        <x:f>H446*Z445*v01_WomenShare*v01_BaseFertility*INDEX(v01_FertMult,G446)*Arch_Fertility*(1-P446)</x:f>
        <x:v>0.8860037028339882</x:v>
      </x:c>
      <x:c r="S446" s="9" t="n">
        <x:f>H446*Y445*INDEX(v01_MortChild,G446)/4*Q446</x:f>
        <x:v>0.2045058819989016</x:v>
      </x:c>
      <x:c r="T446" s="9" t="n">
        <x:f>H446*Z445*INDEX(v01_MortAdult,G446)*Arch_AdultMort/4*Q446</x:f>
        <x:v>0.08133715223317109</x:v>
      </x:c>
      <x:c r="U446" s="9" t="n">
        <x:f>H446*AA445*INDEX(v01_MortElder,G446)/4*Q446</x:f>
        <x:v>0.14519346487035104</x:v>
      </x:c>
      <x:c r="V446" s="9" t="n">
        <x:f>H446*MAX(0,AB445-O446)*v01_OvercapLoss</x:f>
        <x:v>0</x:v>
      </x:c>
      <x:c r="W446" s="9" t="n">
        <x:f>H446*Y445/(v01_ChildYears*4)</x:f>
        <x:v>0.4173589428549012</x:v>
      </x:c>
      <x:c r="X446" s="9" t="n">
        <x:f>H446*Z445/(v01_AdultYears*4)</x:f>
        <x:v>0.2018291618689109</x:v>
      </x:c>
      <x:c r="Y446" s="32" t="n">
        <x:f>Y445+R446-S446-W446-Y445*V446/AB445</x:f>
        <x:v>23.636239677854654</x:v>
      </x:c>
      <x:c r="Z446" s="32" t="n">
        <x:f>Z445+W446-X446-T446-Z445*V446/AB445</x:f>
        <x:v>25.161008700497767</x:v>
      </x:c>
      <x:c r="AA446" s="32" t="n">
        <x:f>AA445+X446-U446-AA445*V446/AB445</x:f>
        <x:v>7.3163089405161115</x:v>
      </x:c>
      <x:c r="AB446" s="10" t="n">
        <x:f>Y446+Z446+AA446</x:f>
        <x:v>56.11355731886853</x:v>
      </x:c>
      <x:c r="AC446" s="8" t="n">
        <x:f>IF(AND(v01_WinterTrigger=1,D446=1,AB445/AE445&gt;=K446),1,0)</x:f>
        <x:v>0</x:v>
      </x:c>
      <x:c r="AD446" s="8" t="n">
        <x:f>H446*IF(AND(OR(AB445/AE445&gt;=v01_FissionTrigger*N446,AC446=1),AB445/AE445*v01_DaughterShare&gt;=v01_MinDaughter),MAX(1,ROUND(AE445*v01_FissionRate,0)),0)</x:f>
        <x:v>0</x:v>
      </x:c>
      <x:c r="AE446" s="8" t="n">
        <x:f>IF(H446=1,MAX(1,MIN(INDEX(v01_Smax,G446),AE445+AD446)),AE445)</x:f>
        <x:v>3</x:v>
      </x:c>
      <x:c r="AF446" s="8" t="n">
        <x:f>MAX(0,AE446-AE445)</x:f>
        <x:v>0</x:v>
      </x:c>
      <x:c r="AG446" s="9" t="str">
        <x:f>IF(AF446&gt;0,B446,"")</x:f>
      </x:c>
      <x:c r="AH446" s="9" t="n">
        <x:f>IF(F446&gt;=1,1,(1+v01_LowTiesShare*(AE446-1))/AE446)</x:f>
        <x:v>1</x:v>
      </x:c>
      <x:c r="AI446" s="32" t="n">
        <x:f>(Z446+v01_ElderCommons*INDEX(LM_Elder,G446)*AA446)*AH446</x:f>
        <x:v>43.082232405324845</x:v>
      </x:c>
      <x:c r="AJ446" s="32" t="n">
        <x:f>H446*v01_CommonsCoef*AI446^v01_CommonsExp*INDEX(LM_Commons,G446)</x:f>
        <x:v>16.16953031275079</x:v>
      </x:c>
      <x:c r="AK446" s="32" t="n">
        <x:f>H446*v01_RoleScale*Arch_Roles*(AE446*(INDEX(v01_ElderRolePerSett,G446)*v01_OutElder*INDEX(LM_Elder,G446)+INDEX(v01_ShamanPerSett,G446)*v01_OutShaman)+Z446*(INDEX(v01_PriestShare,G446)*v01_OutPriest+INDEX(v01_ScribeShare,G446)*v01_OutScribe*INDEX(LM_Scribe,G446)+INDEX(v01_ScholarShare,G446)*v01_OutScholar*INDEX(LM_Scholar,G446)+INDEX(v01_ResearcherShare,G446)*v01_OutResearcher*INDEX(LM_Researcher,G446)))</x:f>
        <x:v>4.087117307087383</x:v>
      </x:c>
      <x:c r="AL446" s="32" t="n">
        <x:f>H446*v01_RoleScale*Arch_Roles*AE446*INDEX(v01_MonasteryPerSett,G446)*v01_OutMonastery*INDEX(LM_Monastery,G446)</x:f>
        <x:v>0</x:v>
      </x:c>
      <x:c r="AM446" s="32" t="n">
        <x:f>(AJ446+AK446+AL446)/4*INDEX(LM_All,G446)*INDEX(v01_Boon,G446)*Arch_Insight</x:f>
        <x:v>5.190765952583531</x:v>
      </x:c>
      <x:c r="AN446" s="32" t="n">
        <x:f>H446*(v01_KHPerAdult*Z446+v01_KHOfCommons*AJ446/4*INDEX(LM_All,G446))*v01_KHUsable*Arch_KH</x:f>
        <x:v>0.8806353045174219</x:v>
      </x:c>
      <x:c r="AO446" s="32" t="n">
        <x:f>MIN(AP445+AN446,AM446*v01_KHMaxRatio)</x:f>
        <x:v>0.8806353045174219</x:v>
      </x:c>
      <x:c r="AP446" s="32" t="n">
        <x:f>AP445+AN446-AO446</x:f>
        <x:v>0</x:v>
      </x:c>
      <x:c r="AQ446" s="32" t="n">
        <x:f>AM446+AO446</x:f>
        <x:v>6.071401257100953</x:v>
      </x:c>
      <x:c r="AR446" s="10" t="n">
        <x:f>IF(H446=1,INDEX(v01_Req,G446),0)</x:f>
        <x:v>1067.32</x:v>
      </x:c>
      <x:c r="AS446" s="32" t="n">
        <x:f>IF(H446=1,IF(E446=1,AS445-AR445,AS445)+AQ446,0)</x:f>
        <x:v>799.6776632928908</x:v>
      </x:c>
      <x:c r="AT446" s="11" t="n">
        <x:f>IF(AR446&gt;0,MIN(1,AS446/AR446),1)</x:f>
        <x:v>0.7492389005105224</x:v>
      </x:c>
      <x:c r="AU446" s="10" t="n">
        <x:f>AB446/INDEX(v01_RepScale,G446)</x:f>
        <x:v>56.11355731886853</x:v>
      </x:c>
      <x:c r="AV446" s="32" t="n">
        <x:f>AM446*60/v01_SeasonSeconds</x:f>
        <x:v>20.763063810334124</x:v>
      </x:c>
    </x:row>
    <x:row r="447">
      <x:c r="A447" s="8" t="n">
        <x:f>A446+1</x:f>
        <x:v>444</x:v>
      </x:c>
      <x:c r="B447" s="9" t="n">
        <x:f>A447*v01_SeasonSeconds/60</x:f>
        <x:v>111</x:v>
      </x:c>
      <x:c r="C447" s="9" t="n">
        <x:f>A447/4</x:f>
        <x:v>111</x:v>
      </x:c>
      <x:c r="D447" s="8" t="n">
        <x:f>IF(MOD(A447,4)=0,1,0)</x:f>
        <x:v>1</x:v>
      </x:c>
      <x:c r="E447" s="8" t="n">
        <x:f>IF(AND(F446&lt;=9,AS446&gt;=AR446),1,0)</x:f>
        <x:v>0</x:v>
      </x:c>
      <x:c r="F447" s="8" t="n">
        <x:f>MIN(10,F446+E447)</x:f>
        <x:v>1</x:v>
      </x:c>
      <x:c r="G447" s="8" t="n">
        <x:f>MIN(F447,9)+1</x:f>
        <x:v>2</x:v>
      </x:c>
      <x:c r="H447" s="8" t="n">
        <x:f>IF(F447&lt;=9,1,0)</x:f>
        <x:v>1</x:v>
      </x:c>
      <x:c r="I447" s="9" t="n">
        <x:f>MIN(10,F446+IF(AR446&gt;0,MIN(1,AS446/AR446),1))</x:f>
        <x:v>1.7492389005105224</x:v>
      </x:c>
      <x:c r="J447" s="32" t="n">
        <x:f>INDEX(v01_FoodCap,G447)*Arch_FoodCap*EXP(v01_CapsByProject*SUMPRODUCT((Cap_Point&lt;=I447)*(Cap_Kind="Food")*Cap_Ln))</x:f>
        <x:v>30</x:v>
      </x:c>
      <x:c r="K447" s="32" t="n">
        <x:f>J447*MIN(1,v01_LeanBase*EXP(v01_CapsByProject*SUMPRODUCT((Cap_Point&lt;=I447)*(Cap_Kind="Lean")*Cap_Ln)))</x:f>
        <x:v>30</x:v>
      </x:c>
      <x:c r="L447" s="10" t="n">
        <x:f>INDEX(v01_HousingCap,G447)*EXP(v01_CapsByProject*SUMPRODUCT((Cap_Point&lt;=I447)*(Cap_Kind="Housing")*Cap_Ln))</x:f>
        <x:v>60</x:v>
      </x:c>
      <x:c r="M447" s="10" t="n">
        <x:f>INDEX(v01_GroupCap,G447)*v01_CohesionFactor*EXP(v01_CapsByProject*SUMPRODUCT((Cap_Point&lt;=I447)*(Cap_Kind="Group")*Cap_Ln))</x:f>
        <x:v>100</x:v>
      </x:c>
      <x:c r="N447" s="32" t="n">
        <x:f>MIN(J447,L447,M447)</x:f>
        <x:v>30</x:v>
      </x:c>
      <x:c r="O447" s="10" t="n">
        <x:f>AE446*N447</x:f>
        <x:v>90</x:v>
      </x:c>
      <x:c r="P447" s="9" t="n">
        <x:f>MIN(1,(AB446/(AE446*IF(v01_GroupInCrowding=1,N447,MIN(J447,L447))))^v01_CrowdingExp)</x:f>
        <x:v>0.058742409085715694</x:v>
      </x:c>
      <x:c r="Q447" s="9" t="n">
        <x:f>IF(D447=1,INDEX(v01_WinterMult,G447),1)</x:f>
        <x:v>1.6</x:v>
      </x:c>
      <x:c r="R447" s="9" t="n">
        <x:f>H447*Z446*v01_WomenShare*v01_BaseFertility*INDEX(v01_FertMult,G447)*Arch_Fertility*(1-P447)</x:f>
        <x:v>0.8881121412901453</x:v>
      </x:c>
      <x:c r="S447" s="9" t="n">
        <x:f>H447*Y446*INDEX(v01_MortChild,G447)/4*Q447</x:f>
        <x:v>0.3309073554899652</x:v>
      </x:c>
      <x:c r="T447" s="9" t="n">
        <x:f>H447*Z446*INDEX(v01_MortAdult,G447)*Arch_AdultMort/4*Q447</x:f>
        <x:v>0.13083724524258838</x:v>
      </x:c>
      <x:c r="U447" s="9" t="n">
        <x:f>H447*AA446*INDEX(v01_MortElder,G447)/4*Q447</x:f>
        <x:v>0.23412188609651557</x:v>
      </x:c>
      <x:c r="V447" s="9" t="n">
        <x:f>H447*MAX(0,AB446-O447)*v01_OvercapLoss</x:f>
        <x:v>0</x:v>
      </x:c>
      <x:c r="W447" s="9" t="n">
        <x:f>H447*Y446/(v01_ChildYears*4)</x:f>
        <x:v>0.4220757085331188</x:v>
      </x:c>
      <x:c r="X447" s="9" t="n">
        <x:f>H447*Z446/(v01_AdultYears*4)</x:f>
        <x:v>0.20291136048788522</x:v>
      </x:c>
      <x:c r="Y447" s="32" t="n">
        <x:f>Y446+R447-S447-W447-Y446*V447/AB446</x:f>
        <x:v>23.771368755121713</x:v>
      </x:c>
      <x:c r="Z447" s="32" t="n">
        <x:f>Z446+W447-X447-T447-Z446*V447/AB446</x:f>
        <x:v>25.24933580330041</x:v>
      </x:c>
      <x:c r="AA447" s="32" t="n">
        <x:f>AA446+X447-U447-AA446*V447/AB446</x:f>
        <x:v>7.285098414907481</x:v>
      </x:c>
      <x:c r="AB447" s="10" t="n">
        <x:f>Y447+Z447+AA447</x:f>
        <x:v>56.305802973329605</x:v>
      </x:c>
      <x:c r="AC447" s="8" t="n">
        <x:f>IF(AND(v01_WinterTrigger=1,D447=1,AB446/AE446&gt;=K447),1,0)</x:f>
        <x:v>0</x:v>
      </x:c>
      <x:c r="AD447" s="8" t="n">
        <x:f>H447*IF(AND(OR(AB446/AE446&gt;=v01_FissionTrigger*N447,AC447=1),AB446/AE446*v01_DaughterShare&gt;=v01_MinDaughter),MAX(1,ROUND(AE446*v01_FissionRate,0)),0)</x:f>
        <x:v>0</x:v>
      </x:c>
      <x:c r="AE447" s="8" t="n">
        <x:f>IF(H447=1,MAX(1,MIN(INDEX(v01_Smax,G447),AE446+AD447)),AE446)</x:f>
        <x:v>3</x:v>
      </x:c>
      <x:c r="AF447" s="8" t="n">
        <x:f>MAX(0,AE447-AE446)</x:f>
        <x:v>0</x:v>
      </x:c>
      <x:c r="AG447" s="9" t="str">
        <x:f>IF(AF447&gt;0,B447,"")</x:f>
      </x:c>
      <x:c r="AH447" s="9" t="n">
        <x:f>IF(F447&gt;=1,1,(1+v01_LowTiesShare*(AE447-1))/AE447)</x:f>
        <x:v>1</x:v>
      </x:c>
      <x:c r="AI447" s="32" t="n">
        <x:f>(Z447+v01_ElderCommons*INDEX(LM_Elder,G447)*AA447)*AH447</x:f>
        <x:v>43.094109645782275</x:v>
      </x:c>
      <x:c r="AJ447" s="32" t="n">
        <x:f>H447*v01_CommonsCoef*AI447^v01_CommonsExp*INDEX(LM_Commons,G447)</x:f>
        <x:v>16.17331931358999</x:v>
      </x:c>
      <x:c r="AK447" s="32" t="n">
        <x:f>H447*v01_RoleScale*Arch_Roles*(AE447*(INDEX(v01_ElderRolePerSett,G447)*v01_OutElder*INDEX(LM_Elder,G447)+INDEX(v01_ShamanPerSett,G447)*v01_OutShaman)+Z447*(INDEX(v01_PriestShare,G447)*v01_OutPriest+INDEX(v01_ScribeShare,G447)*v01_OutScribe*INDEX(LM_Scribe,G447)+INDEX(v01_ScholarShare,G447)*v01_OutScholar*INDEX(LM_Scholar,G447)+INDEX(v01_ResearcherShare,G447)*v01_OutResearcher*INDEX(LM_Researcher,G447)))</x:f>
        <x:v>4.087117307087383</x:v>
      </x:c>
      <x:c r="AL447" s="32" t="n">
        <x:f>H447*v01_RoleScale*Arch_Roles*AE447*INDEX(v01_MonasteryPerSett,G447)*v01_OutMonastery*INDEX(LM_Monastery,G447)</x:f>
        <x:v>0</x:v>
      </x:c>
      <x:c r="AM447" s="32" t="n">
        <x:f>(AJ447+AK447+AL447)/4*INDEX(LM_All,G447)*INDEX(v01_Boon,G447)*Arch_Insight</x:f>
        <x:v>5.191736884048576</x:v>
      </x:c>
      <x:c r="AN447" s="32" t="n">
        <x:f>H447*(v01_KHPerAdult*Z447+v01_KHOfCommons*AJ447/4*INDEX(LM_All,G447))*v01_KHUsable*Arch_KH</x:f>
        <x:v>0.8837267531155144</x:v>
      </x:c>
      <x:c r="AO447" s="32" t="n">
        <x:f>MIN(AP446+AN447,AM447*v01_KHMaxRatio)</x:f>
        <x:v>0.8837267531155144</x:v>
      </x:c>
      <x:c r="AP447" s="32" t="n">
        <x:f>AP446+AN447-AO447</x:f>
        <x:v>0</x:v>
      </x:c>
      <x:c r="AQ447" s="32" t="n">
        <x:f>AM447+AO447</x:f>
        <x:v>6.07546363716409</x:v>
      </x:c>
      <x:c r="AR447" s="10" t="n">
        <x:f>IF(H447=1,INDEX(v01_Req,G447),0)</x:f>
        <x:v>1067.32</x:v>
      </x:c>
      <x:c r="AS447" s="32" t="n">
        <x:f>IF(H447=1,IF(E447=1,AS446-AR446,AS446)+AQ447,0)</x:f>
        <x:v>805.7531269300548</x:v>
      </x:c>
      <x:c r="AT447" s="11" t="n">
        <x:f>IF(AR447&gt;0,MIN(1,AS447/AR447),1)</x:f>
        <x:v>0.7549311611607155</x:v>
      </x:c>
      <x:c r="AU447" s="10" t="n">
        <x:f>AB447/INDEX(v01_RepScale,G447)</x:f>
        <x:v>56.305802973329605</x:v>
      </x:c>
      <x:c r="AV447" s="32" t="n">
        <x:f>AM447*60/v01_SeasonSeconds</x:f>
        <x:v>20.766947536194305</x:v>
      </x:c>
    </x:row>
    <x:row r="448">
      <x:c r="A448" s="8" t="n">
        <x:f>A447+1</x:f>
        <x:v>445</x:v>
      </x:c>
      <x:c r="B448" s="9" t="n">
        <x:f>A448*v01_SeasonSeconds/60</x:f>
        <x:v>111.25</x:v>
      </x:c>
      <x:c r="C448" s="9" t="n">
        <x:f>A448/4</x:f>
        <x:v>111.25</x:v>
      </x:c>
      <x:c r="D448" s="8" t="n">
        <x:f>IF(MOD(A448,4)=0,1,0)</x:f>
        <x:v>0</x:v>
      </x:c>
      <x:c r="E448" s="8" t="n">
        <x:f>IF(AND(F447&lt;=9,AS447&gt;=AR447),1,0)</x:f>
        <x:v>0</x:v>
      </x:c>
      <x:c r="F448" s="8" t="n">
        <x:f>MIN(10,F447+E448)</x:f>
        <x:v>1</x:v>
      </x:c>
      <x:c r="G448" s="8" t="n">
        <x:f>MIN(F448,9)+1</x:f>
        <x:v>2</x:v>
      </x:c>
      <x:c r="H448" s="8" t="n">
        <x:f>IF(F448&lt;=9,1,0)</x:f>
        <x:v>1</x:v>
      </x:c>
      <x:c r="I448" s="9" t="n">
        <x:f>MIN(10,F447+IF(AR447&gt;0,MIN(1,AS447/AR447),1))</x:f>
        <x:v>1.7549311611607155</x:v>
      </x:c>
      <x:c r="J448" s="32" t="n">
        <x:f>INDEX(v01_FoodCap,G448)*Arch_FoodCap*EXP(v01_CapsByProject*SUMPRODUCT((Cap_Point&lt;=I448)*(Cap_Kind="Food")*Cap_Ln))</x:f>
        <x:v>30</x:v>
      </x:c>
      <x:c r="K448" s="32" t="n">
        <x:f>J448*MIN(1,v01_LeanBase*EXP(v01_CapsByProject*SUMPRODUCT((Cap_Point&lt;=I448)*(Cap_Kind="Lean")*Cap_Ln)))</x:f>
        <x:v>30</x:v>
      </x:c>
      <x:c r="L448" s="10" t="n">
        <x:f>INDEX(v01_HousingCap,G448)*EXP(v01_CapsByProject*SUMPRODUCT((Cap_Point&lt;=I448)*(Cap_Kind="Housing")*Cap_Ln))</x:f>
        <x:v>60</x:v>
      </x:c>
      <x:c r="M448" s="10" t="n">
        <x:f>INDEX(v01_GroupCap,G448)*v01_CohesionFactor*EXP(v01_CapsByProject*SUMPRODUCT((Cap_Point&lt;=I448)*(Cap_Kind="Group")*Cap_Ln))</x:f>
        <x:v>100</x:v>
      </x:c>
      <x:c r="N448" s="32" t="n">
        <x:f>MIN(J448,L448,M448)</x:f>
        <x:v>30</x:v>
      </x:c>
      <x:c r="O448" s="10" t="n">
        <x:f>AE447*N448</x:f>
        <x:v>90</x:v>
      </x:c>
      <x:c r="P448" s="9" t="n">
        <x:f>MIN(1,(AB447/(AE447*IF(v01_GroupInCrowding=1,N448,MIN(J448,L448))))^v01_CrowdingExp)</x:f>
        <x:v>0.059960311605320886</x:v>
      </x:c>
      <x:c r="Q448" s="9" t="n">
        <x:f>IF(D448=1,INDEX(v01_WinterMult,G448),1)</x:f>
        <x:v>1</x:v>
      </x:c>
      <x:c r="R448" s="9" t="n">
        <x:f>H448*Z447*v01_WomenShare*v01_BaseFertility*INDEX(v01_FertMult,G448)*Arch_Fertility*(1-P448)</x:f>
        <x:v>0.8900766660265175</x:v>
      </x:c>
      <x:c r="S448" s="9" t="n">
        <x:f>H448*Y447*INDEX(v01_MortChild,G448)/4*Q448</x:f>
        <x:v>0.20799947660731502</x:v>
      </x:c>
      <x:c r="T448" s="9" t="n">
        <x:f>H448*Z447*INDEX(v01_MortAdult,G448)*Arch_AdultMort/4*Q448</x:f>
        <x:v>0.08206034136072633</x:v>
      </x:c>
      <x:c r="U448" s="9" t="n">
        <x:f>H448*AA447*INDEX(v01_MortElder,G448)/4*Q448</x:f>
        <x:v>0.14570196829814963</x:v>
      </x:c>
      <x:c r="V448" s="9" t="n">
        <x:f>H448*MAX(0,AB447-O448)*v01_OvercapLoss</x:f>
        <x:v>0</x:v>
      </x:c>
      <x:c r="W448" s="9" t="n">
        <x:f>H448*Y447/(v01_ChildYears*4)</x:f>
        <x:v>0.4244887277700306</x:v>
      </x:c>
      <x:c r="X448" s="9" t="n">
        <x:f>H448*Z447/(v01_AdultYears*4)</x:f>
        <x:v>0.20362367583306784</x:v>
      </x:c>
      <x:c r="Y448" s="32" t="n">
        <x:f>Y447+R448-S448-W448-Y447*V448/AB447</x:f>
        <x:v>24.028957216770884</x:v>
      </x:c>
      <x:c r="Z448" s="32" t="n">
        <x:f>Z447+W448-X448-T448-Z447*V448/AB447</x:f>
        <x:v>25.388140513876646</x:v>
      </x:c>
      <x:c r="AA448" s="32" t="n">
        <x:f>AA447+X448-U448-AA447*V448/AB447</x:f>
        <x:v>7.343020122442399</x:v>
      </x:c>
      <x:c r="AB448" s="10" t="n">
        <x:f>Y448+Z448+AA448</x:f>
        <x:v>56.76011785308992</x:v>
      </x:c>
      <x:c r="AC448" s="8" t="n">
        <x:f>IF(AND(v01_WinterTrigger=1,D448=1,AB447/AE447&gt;=K448),1,0)</x:f>
        <x:v>0</x:v>
      </x:c>
      <x:c r="AD448" s="8" t="n">
        <x:f>H448*IF(AND(OR(AB447/AE447&gt;=v01_FissionTrigger*N448,AC448=1),AB447/AE447*v01_DaughterShare&gt;=v01_MinDaughter),MAX(1,ROUND(AE447*v01_FissionRate,0)),0)</x:f>
        <x:v>0</x:v>
      </x:c>
      <x:c r="AE448" s="8" t="n">
        <x:f>IF(H448=1,MAX(1,MIN(INDEX(v01_Smax,G448),AE447+AD448)),AE447)</x:f>
        <x:v>3</x:v>
      </x:c>
      <x:c r="AF448" s="8" t="n">
        <x:f>MAX(0,AE448-AE447)</x:f>
        <x:v>0</x:v>
      </x:c>
      <x:c r="AG448" s="9" t="str">
        <x:f>IF(AF448&gt;0,B448,"")</x:f>
      </x:c>
      <x:c r="AH448" s="9" t="n">
        <x:f>IF(F448&gt;=1,1,(1+v01_LowTiesShare*(AE448-1))/AE448)</x:f>
        <x:v>1</x:v>
      </x:c>
      <x:c r="AI448" s="32" t="n">
        <x:f>(Z448+v01_ElderCommons*INDEX(LM_Elder,G448)*AA448)*AH448</x:f>
        <x:v>43.374792984849776</x:v>
      </x:c>
      <x:c r="AJ448" s="32" t="n">
        <x:f>H448*v01_CommonsCoef*AI448^v01_CommonsExp*INDEX(LM_Commons,G448)</x:f>
        <x:v>16.26281562462131</x:v>
      </x:c>
      <x:c r="AK448" s="32" t="n">
        <x:f>H448*v01_RoleScale*Arch_Roles*(AE448*(INDEX(v01_ElderRolePerSett,G448)*v01_OutElder*INDEX(LM_Elder,G448)+INDEX(v01_ShamanPerSett,G448)*v01_OutShaman)+Z448*(INDEX(v01_PriestShare,G448)*v01_OutPriest+INDEX(v01_ScribeShare,G448)*v01_OutScribe*INDEX(LM_Scribe,G448)+INDEX(v01_ScholarShare,G448)*v01_OutScholar*INDEX(LM_Scholar,G448)+INDEX(v01_ResearcherShare,G448)*v01_OutResearcher*INDEX(LM_Researcher,G448)))</x:f>
        <x:v>4.087117307087383</x:v>
      </x:c>
      <x:c r="AL448" s="32" t="n">
        <x:f>H448*v01_RoleScale*Arch_Roles*AE448*INDEX(v01_MonasteryPerSett,G448)*v01_OutMonastery*INDEX(LM_Monastery,G448)</x:f>
        <x:v>0</x:v>
      </x:c>
      <x:c r="AM448" s="32" t="n">
        <x:f>(AJ448+AK448+AL448)/4*INDEX(LM_All,G448)*INDEX(v01_Boon,G448)*Arch_Insight</x:f>
        <x:v>5.214670313750352</x:v>
      </x:c>
      <x:c r="AN448" s="32" t="n">
        <x:f>H448*(v01_KHPerAdult*Z448+v01_KHOfCommons*AJ448/4*INDEX(LM_All,G448))*v01_KHUsable*Arch_KH</x:f>
        <x:v>0.8885849179856826</x:v>
      </x:c>
      <x:c r="AO448" s="32" t="n">
        <x:f>MIN(AP447+AN448,AM448*v01_KHMaxRatio)</x:f>
        <x:v>0.8885849179856826</x:v>
      </x:c>
      <x:c r="AP448" s="32" t="n">
        <x:f>AP447+AN448-AO448</x:f>
        <x:v>0</x:v>
      </x:c>
      <x:c r="AQ448" s="32" t="n">
        <x:f>AM448+AO448</x:f>
        <x:v>6.103255231736035</x:v>
      </x:c>
      <x:c r="AR448" s="10" t="n">
        <x:f>IF(H448=1,INDEX(v01_Req,G448),0)</x:f>
        <x:v>1067.32</x:v>
      </x:c>
      <x:c r="AS448" s="32" t="n">
        <x:f>IF(H448=1,IF(E448=1,AS447-AR447,AS447)+AQ448,0)</x:f>
        <x:v>811.8563821617909</x:v>
      </x:c>
      <x:c r="AT448" s="11" t="n">
        <x:f>IF(AR448&gt;0,MIN(1,AS448/AR448),1)</x:f>
        <x:v>0.7606494604821337</x:v>
      </x:c>
      <x:c r="AU448" s="10" t="n">
        <x:f>AB448/INDEX(v01_RepScale,G448)</x:f>
        <x:v>56.76011785308992</x:v>
      </x:c>
      <x:c r="AV448" s="32" t="n">
        <x:f>AM448*60/v01_SeasonSeconds</x:f>
        <x:v>20.858681255001407</x:v>
      </x:c>
    </x:row>
    <x:row r="449">
      <x:c r="A449" s="8" t="n">
        <x:f>A448+1</x:f>
        <x:v>446</x:v>
      </x:c>
      <x:c r="B449" s="9" t="n">
        <x:f>A449*v01_SeasonSeconds/60</x:f>
        <x:v>111.5</x:v>
      </x:c>
      <x:c r="C449" s="9" t="n">
        <x:f>A449/4</x:f>
        <x:v>111.5</x:v>
      </x:c>
      <x:c r="D449" s="8" t="n">
        <x:f>IF(MOD(A449,4)=0,1,0)</x:f>
        <x:v>0</x:v>
      </x:c>
      <x:c r="E449" s="8" t="n">
        <x:f>IF(AND(F448&lt;=9,AS448&gt;=AR448),1,0)</x:f>
        <x:v>0</x:v>
      </x:c>
      <x:c r="F449" s="8" t="n">
        <x:f>MIN(10,F448+E449)</x:f>
        <x:v>1</x:v>
      </x:c>
      <x:c r="G449" s="8" t="n">
        <x:f>MIN(F449,9)+1</x:f>
        <x:v>2</x:v>
      </x:c>
      <x:c r="H449" s="8" t="n">
        <x:f>IF(F449&lt;=9,1,0)</x:f>
        <x:v>1</x:v>
      </x:c>
      <x:c r="I449" s="9" t="n">
        <x:f>MIN(10,F448+IF(AR448&gt;0,MIN(1,AS448/AR448),1))</x:f>
        <x:v>1.7606494604821337</x:v>
      </x:c>
      <x:c r="J449" s="32" t="n">
        <x:f>INDEX(v01_FoodCap,G449)*Arch_FoodCap*EXP(v01_CapsByProject*SUMPRODUCT((Cap_Point&lt;=I449)*(Cap_Kind="Food")*Cap_Ln))</x:f>
        <x:v>30</x:v>
      </x:c>
      <x:c r="K449" s="32" t="n">
        <x:f>J449*MIN(1,v01_LeanBase*EXP(v01_CapsByProject*SUMPRODUCT((Cap_Point&lt;=I449)*(Cap_Kind="Lean")*Cap_Ln)))</x:f>
        <x:v>30</x:v>
      </x:c>
      <x:c r="L449" s="10" t="n">
        <x:f>INDEX(v01_HousingCap,G449)*EXP(v01_CapsByProject*SUMPRODUCT((Cap_Point&lt;=I449)*(Cap_Kind="Housing")*Cap_Ln))</x:f>
        <x:v>60</x:v>
      </x:c>
      <x:c r="M449" s="10" t="n">
        <x:f>INDEX(v01_GroupCap,G449)*v01_CohesionFactor*EXP(v01_CapsByProject*SUMPRODUCT((Cap_Point&lt;=I449)*(Cap_Kind="Group")*Cap_Ln))</x:f>
        <x:v>100</x:v>
      </x:c>
      <x:c r="N449" s="32" t="n">
        <x:f>MIN(J449,L449,M449)</x:f>
        <x:v>30</x:v>
      </x:c>
      <x:c r="O449" s="10" t="n">
        <x:f>AE448*N449</x:f>
        <x:v>90</x:v>
      </x:c>
      <x:c r="P449" s="9" t="n">
        <x:f>MIN(1,(AB448/(AE448*IF(v01_GroupInCrowding=1,N449,MIN(J449,L449))))^v01_CrowdingExp)</x:f>
        <x:v>0.06292231238973416</x:v>
      </x:c>
      <x:c r="Q449" s="9" t="n">
        <x:f>IF(D449=1,INDEX(v01_WinterMult,G449),1)</x:f>
        <x:v>1</x:v>
      </x:c>
      <x:c r="R449" s="9" t="n">
        <x:f>H449*Z448*v01_WomenShare*v01_BaseFertility*INDEX(v01_FertMult,G449)*Arch_Fertility*(1-P449)</x:f>
        <x:v>0.8921497502050513</x:v>
      </x:c>
      <x:c r="S449" s="9" t="n">
        <x:f>H449*Y448*INDEX(v01_MortChild,G449)/4*Q449</x:f>
        <x:v>0.21025337564674526</x:v>
      </x:c>
      <x:c r="T449" s="9" t="n">
        <x:f>H449*Z448*INDEX(v01_MortAdult,G449)*Arch_AdultMort/4*Q449</x:f>
        <x:v>0.0825114566700991</x:v>
      </x:c>
      <x:c r="U449" s="9" t="n">
        <x:f>H449*AA448*INDEX(v01_MortElder,G449)/4*Q449</x:f>
        <x:v>0.146860402448848</x:v>
      </x:c>
      <x:c r="V449" s="9" t="n">
        <x:f>H449*MAX(0,AB448-O449)*v01_OvercapLoss</x:f>
        <x:v>0</x:v>
      </x:c>
      <x:c r="W449" s="9" t="n">
        <x:f>H449*Y448/(v01_ChildYears*4)</x:f>
        <x:v>0.4290885217280515</x:v>
      </x:c>
      <x:c r="X449" s="9" t="n">
        <x:f>H449*Z448/(v01_AdultYears*4)</x:f>
        <x:v>0.20474306866029554</x:v>
      </x:c>
      <x:c r="Y449" s="32" t="n">
        <x:f>Y448+R449-S449-W449-Y448*V449/AB448</x:f>
        <x:v>24.28176506960114</x:v>
      </x:c>
      <x:c r="Z449" s="32" t="n">
        <x:f>Z448+W449-X449-T449-Z448*V449/AB448</x:f>
        <x:v>25.529974510274304</x:v>
      </x:c>
      <x:c r="AA449" s="32" t="n">
        <x:f>AA448+X449-U449-AA448*V449/AB448</x:f>
        <x:v>7.400902788653847</x:v>
      </x:c>
      <x:c r="AB449" s="10" t="n">
        <x:f>Y449+Z449+AA449</x:f>
        <x:v>57.21264236852929</x:v>
      </x:c>
      <x:c r="AC449" s="8" t="n">
        <x:f>IF(AND(v01_WinterTrigger=1,D449=1,AB448/AE448&gt;=K449),1,0)</x:f>
        <x:v>0</x:v>
      </x:c>
      <x:c r="AD449" s="8" t="n">
        <x:f>H449*IF(AND(OR(AB448/AE448&gt;=v01_FissionTrigger*N449,AC449=1),AB448/AE448*v01_DaughterShare&gt;=v01_MinDaughter),MAX(1,ROUND(AE448*v01_FissionRate,0)),0)</x:f>
        <x:v>0</x:v>
      </x:c>
      <x:c r="AE449" s="8" t="n">
        <x:f>IF(H449=1,MAX(1,MIN(INDEX(v01_Smax,G449),AE448+AD449)),AE448)</x:f>
        <x:v>3</x:v>
      </x:c>
      <x:c r="AF449" s="8" t="n">
        <x:f>MAX(0,AE449-AE448)</x:f>
        <x:v>0</x:v>
      </x:c>
      <x:c r="AG449" s="9" t="str">
        <x:f>IF(AF449&gt;0,B449,"")</x:f>
      </x:c>
      <x:c r="AH449" s="9" t="n">
        <x:f>IF(F449&gt;=1,1,(1+v01_LowTiesShare*(AE449-1))/AE449)</x:f>
        <x:v>1</x:v>
      </x:c>
      <x:c r="AI449" s="32" t="n">
        <x:f>(Z449+v01_ElderCommons*INDEX(LM_Elder,G449)*AA449)*AH449</x:f>
        <x:v>43.658409978417325</x:v>
      </x:c>
      <x:c r="AJ449" s="32" t="n">
        <x:f>H449*v01_CommonsCoef*AI449^v01_CommonsExp*INDEX(LM_Commons,G449)</x:f>
        <x:v>16.353159142448227</x:v>
      </x:c>
      <x:c r="AK449" s="32" t="n">
        <x:f>H449*v01_RoleScale*Arch_Roles*(AE449*(INDEX(v01_ElderRolePerSett,G449)*v01_OutElder*INDEX(LM_Elder,G449)+INDEX(v01_ShamanPerSett,G449)*v01_OutShaman)+Z449*(INDEX(v01_PriestShare,G449)*v01_OutPriest+INDEX(v01_ScribeShare,G449)*v01_OutScribe*INDEX(LM_Scribe,G449)+INDEX(v01_ScholarShare,G449)*v01_OutScholar*INDEX(LM_Scholar,G449)+INDEX(v01_ResearcherShare,G449)*v01_OutResearcher*INDEX(LM_Researcher,G449)))</x:f>
        <x:v>4.087117307087383</x:v>
      </x:c>
      <x:c r="AL449" s="32" t="n">
        <x:f>H449*v01_RoleScale*Arch_Roles*AE449*INDEX(v01_MonasteryPerSett,G449)*v01_OutMonastery*INDEX(LM_Monastery,G449)</x:f>
        <x:v>0</x:v>
      </x:c>
      <x:c r="AM449" s="32" t="n">
        <x:f>(AJ449+AK449+AL449)/4*INDEX(LM_All,G449)*INDEX(v01_Boon,G449)*Arch_Insight</x:f>
        <x:v>5.2378208401935</x:v>
      </x:c>
      <x:c r="AN449" s="32" t="n">
        <x:f>H449*(v01_KHPerAdult*Z449+v01_KHOfCommons*AJ449/4*INDEX(LM_All,G449))*v01_KHUsable*Arch_KH</x:f>
        <x:v>0.8935491078596006</x:v>
      </x:c>
      <x:c r="AO449" s="32" t="n">
        <x:f>MIN(AP448+AN449,AM449*v01_KHMaxRatio)</x:f>
        <x:v>0.8935491078596006</x:v>
      </x:c>
      <x:c r="AP449" s="32" t="n">
        <x:f>AP448+AN449-AO449</x:f>
        <x:v>0</x:v>
      </x:c>
      <x:c r="AQ449" s="32" t="n">
        <x:f>AM449+AO449</x:f>
        <x:v>6.1313699480531</x:v>
      </x:c>
      <x:c r="AR449" s="10" t="n">
        <x:f>IF(H449=1,INDEX(v01_Req,G449),0)</x:f>
        <x:v>1067.32</x:v>
      </x:c>
      <x:c r="AS449" s="32" t="n">
        <x:f>IF(H449=1,IF(E449=1,AS448-AR448,AS448)+AQ449,0)</x:f>
        <x:v>817.987752109844</x:v>
      </x:c>
      <x:c r="AT449" s="11" t="n">
        <x:f>IF(AR449&gt;0,MIN(1,AS449/AR449),1)</x:f>
        <x:v>0.766394101215984</x:v>
      </x:c>
      <x:c r="AU449" s="10" t="n">
        <x:f>AB449/INDEX(v01_RepScale,G449)</x:f>
        <x:v>57.21264236852929</x:v>
      </x:c>
      <x:c r="AV449" s="32" t="n">
        <x:f>AM449*60/v01_SeasonSeconds</x:f>
        <x:v>20.951283360773996</x:v>
      </x:c>
    </x:row>
    <x:row r="450">
      <x:c r="A450" s="8" t="n">
        <x:f>A449+1</x:f>
        <x:v>447</x:v>
      </x:c>
      <x:c r="B450" s="9" t="n">
        <x:f>A450*v01_SeasonSeconds/60</x:f>
        <x:v>111.75</x:v>
      </x:c>
      <x:c r="C450" s="9" t="n">
        <x:f>A450/4</x:f>
        <x:v>111.75</x:v>
      </x:c>
      <x:c r="D450" s="8" t="n">
        <x:f>IF(MOD(A450,4)=0,1,0)</x:f>
        <x:v>0</x:v>
      </x:c>
      <x:c r="E450" s="8" t="n">
        <x:f>IF(AND(F449&lt;=9,AS449&gt;=AR449),1,0)</x:f>
        <x:v>0</x:v>
      </x:c>
      <x:c r="F450" s="8" t="n">
        <x:f>MIN(10,F449+E450)</x:f>
        <x:v>1</x:v>
      </x:c>
      <x:c r="G450" s="8" t="n">
        <x:f>MIN(F450,9)+1</x:f>
        <x:v>2</x:v>
      </x:c>
      <x:c r="H450" s="8" t="n">
        <x:f>IF(F450&lt;=9,1,0)</x:f>
        <x:v>1</x:v>
      </x:c>
      <x:c r="I450" s="9" t="n">
        <x:f>MIN(10,F449+IF(AR449&gt;0,MIN(1,AS449/AR449),1))</x:f>
        <x:v>1.766394101215984</x:v>
      </x:c>
      <x:c r="J450" s="32" t="n">
        <x:f>INDEX(v01_FoodCap,G450)*Arch_FoodCap*EXP(v01_CapsByProject*SUMPRODUCT((Cap_Point&lt;=I450)*(Cap_Kind="Food")*Cap_Ln))</x:f>
        <x:v>30</x:v>
      </x:c>
      <x:c r="K450" s="32" t="n">
        <x:f>J450*MIN(1,v01_LeanBase*EXP(v01_CapsByProject*SUMPRODUCT((Cap_Point&lt;=I450)*(Cap_Kind="Lean")*Cap_Ln)))</x:f>
        <x:v>30</x:v>
      </x:c>
      <x:c r="L450" s="10" t="n">
        <x:f>INDEX(v01_HousingCap,G450)*EXP(v01_CapsByProject*SUMPRODUCT((Cap_Point&lt;=I450)*(Cap_Kind="Housing")*Cap_Ln))</x:f>
        <x:v>60</x:v>
      </x:c>
      <x:c r="M450" s="10" t="n">
        <x:f>INDEX(v01_GroupCap,G450)*v01_CohesionFactor*EXP(v01_CapsByProject*SUMPRODUCT((Cap_Point&lt;=I450)*(Cap_Kind="Group")*Cap_Ln))</x:f>
        <x:v>100</x:v>
      </x:c>
      <x:c r="N450" s="32" t="n">
        <x:f>MIN(J450,L450,M450)</x:f>
        <x:v>30</x:v>
      </x:c>
      <x:c r="O450" s="10" t="n">
        <x:f>AE449*N450</x:f>
        <x:v>90</x:v>
      </x:c>
      <x:c r="P450" s="9" t="n">
        <x:f>MIN(1,(AB449/(AE449*IF(v01_GroupInCrowding=1,N450,MIN(J450,L450))))^v01_CrowdingExp)</x:f>
        <x:v>0.06599286455373145</x:v>
      </x:c>
      <x:c r="Q450" s="9" t="n">
        <x:f>IF(D450=1,INDEX(v01_WinterMult,G450),1)</x:f>
        <x:v>1</x:v>
      </x:c>
      <x:c r="R450" s="9" t="n">
        <x:f>H450*Z449*v01_WomenShare*v01_BaseFertility*INDEX(v01_FertMult,G450)*Arch_Fertility*(1-P450)</x:f>
        <x:v>0.8941941885134084</x:v>
      </x:c>
      <x:c r="S450" s="9" t="n">
        <x:f>H450*Y449*INDEX(v01_MortChild,G450)/4*Q450</x:f>
        <x:v>0.21246544435901</x:v>
      </x:c>
      <x:c r="T450" s="9" t="n">
        <x:f>H450*Z449*INDEX(v01_MortAdult,G450)*Arch_AdultMort/4*Q450</x:f>
        <x:v>0.08297241715839149</x:v>
      </x:c>
      <x:c r="U450" s="9" t="n">
        <x:f>H450*AA449*INDEX(v01_MortElder,G450)/4*Q450</x:f>
        <x:v>0.14801805577307695</x:v>
      </x:c>
      <x:c r="V450" s="9" t="n">
        <x:f>H450*MAX(0,AB449-O450)*v01_OvercapLoss</x:f>
        <x:v>0</x:v>
      </x:c>
      <x:c r="W450" s="9" t="n">
        <x:f>H450*Y449/(v01_ChildYears*4)</x:f>
        <x:v>0.4336029476714489</x:v>
      </x:c>
      <x:c r="X450" s="9" t="n">
        <x:f>H450*Z449/(v01_AdultYears*4)</x:f>
        <x:v>0.20588689121188955</x:v>
      </x:c>
      <x:c r="Y450" s="32" t="n">
        <x:f>Y449+R450-S450-W450-Y449*V450/AB449</x:f>
        <x:v>24.529890866084088</x:v>
      </x:c>
      <x:c r="Z450" s="32" t="n">
        <x:f>Z449+W450-X450-T450-Z449*V450/AB449</x:f>
        <x:v>25.674718149575472</x:v>
      </x:c>
      <x:c r="AA450" s="32" t="n">
        <x:f>AA449+X450-U450-AA449*V450/AB449</x:f>
        <x:v>7.45877162409266</x:v>
      </x:c>
      <x:c r="AB450" s="10" t="n">
        <x:f>Y450+Z450+AA450</x:f>
        <x:v>57.66338063975222</x:v>
      </x:c>
      <x:c r="AC450" s="8" t="n">
        <x:f>IF(AND(v01_WinterTrigger=1,D450=1,AB449/AE449&gt;=K450),1,0)</x:f>
        <x:v>0</x:v>
      </x:c>
      <x:c r="AD450" s="8" t="n">
        <x:f>H450*IF(AND(OR(AB449/AE449&gt;=v01_FissionTrigger*N450,AC450=1),AB449/AE449*v01_DaughterShare&gt;=v01_MinDaughter),MAX(1,ROUND(AE449*v01_FissionRate,0)),0)</x:f>
        <x:v>0</x:v>
      </x:c>
      <x:c r="AE450" s="8" t="n">
        <x:f>IF(H450=1,MAX(1,MIN(INDEX(v01_Smax,G450),AE449+AD450)),AE449)</x:f>
        <x:v>3</x:v>
      </x:c>
      <x:c r="AF450" s="8" t="n">
        <x:f>MAX(0,AE450-AE449)</x:f>
        <x:v>0</x:v>
      </x:c>
      <x:c r="AG450" s="9" t="str">
        <x:f>IF(AF450&gt;0,B450,"")</x:f>
      </x:c>
      <x:c r="AH450" s="9" t="n">
        <x:f>IF(F450&gt;=1,1,(1+v01_LowTiesShare*(AE450-1))/AE450)</x:f>
        <x:v>1</x:v>
      </x:c>
      <x:c r="AI450" s="32" t="n">
        <x:f>(Z450+v01_ElderCommons*INDEX(LM_Elder,G450)*AA450)*AH450</x:f>
        <x:v>43.94490273655266</x:v>
      </x:c>
      <x:c r="AJ450" s="32" t="n">
        <x:f>H450*v01_CommonsCoef*AI450^v01_CommonsExp*INDEX(LM_Commons,G450)</x:f>
        <x:v>16.444329375141123</x:v>
      </x:c>
      <x:c r="AK450" s="32" t="n">
        <x:f>H450*v01_RoleScale*Arch_Roles*(AE450*(INDEX(v01_ElderRolePerSett,G450)*v01_OutElder*INDEX(LM_Elder,G450)+INDEX(v01_ShamanPerSett,G450)*v01_OutShaman)+Z450*(INDEX(v01_PriestShare,G450)*v01_OutPriest+INDEX(v01_ScribeShare,G450)*v01_OutScribe*INDEX(LM_Scribe,G450)+INDEX(v01_ScholarShare,G450)*v01_OutScholar*INDEX(LM_Scholar,G450)+INDEX(v01_ResearcherShare,G450)*v01_OutResearcher*INDEX(LM_Researcher,G450)))</x:f>
        <x:v>4.087117307087383</x:v>
      </x:c>
      <x:c r="AL450" s="32" t="n">
        <x:f>H450*v01_RoleScale*Arch_Roles*AE450*INDEX(v01_MonasteryPerSett,G450)*v01_OutMonastery*INDEX(LM_Monastery,G450)</x:f>
        <x:v>0</x:v>
      </x:c>
      <x:c r="AM450" s="32" t="n">
        <x:f>(AJ450+AK450+AL450)/4*INDEX(LM_All,G450)*INDEX(v01_Boon,G450)*Arch_Insight</x:f>
        <x:v>5.261183212321054</x:v>
      </x:c>
      <x:c r="AN450" s="32" t="n">
        <x:f>H450*(v01_KHPerAdult*Z450+v01_KHOfCommons*AJ450/4*INDEX(LM_All,G450))*v01_KHUsable*Arch_KH</x:f>
        <x:v>0.8986151352351416</x:v>
      </x:c>
      <x:c r="AO450" s="32" t="n">
        <x:f>MIN(AP449+AN450,AM450*v01_KHMaxRatio)</x:f>
        <x:v>0.8986151352351416</x:v>
      </x:c>
      <x:c r="AP450" s="32" t="n">
        <x:f>AP449+AN450-AO450</x:f>
        <x:v>0</x:v>
      </x:c>
      <x:c r="AQ450" s="32" t="n">
        <x:f>AM450+AO450</x:f>
        <x:v>6.159798347556196</x:v>
      </x:c>
      <x:c r="AR450" s="10" t="n">
        <x:f>IF(H450=1,INDEX(v01_Req,G450),0)</x:f>
        <x:v>1067.32</x:v>
      </x:c>
      <x:c r="AS450" s="32" t="n">
        <x:f>IF(H450=1,IF(E450=1,AS449-AR449,AS449)+AQ450,0)</x:f>
        <x:v>824.1475504574001</x:v>
      </x:c>
      <x:c r="AT450" s="11" t="n">
        <x:f>IF(AR450&gt;0,MIN(1,AS450/AR450),1)</x:f>
        <x:v>0.7721653772602408</x:v>
      </x:c>
      <x:c r="AU450" s="10" t="n">
        <x:f>AB450/INDEX(v01_RepScale,G450)</x:f>
        <x:v>57.66338063975222</x:v>
      </x:c>
      <x:c r="AV450" s="32" t="n">
        <x:f>AM450*60/v01_SeasonSeconds</x:f>
        <x:v>21.044732849284216</x:v>
      </x:c>
    </x:row>
    <x:row r="451">
      <x:c r="A451" s="8" t="n">
        <x:f>A450+1</x:f>
        <x:v>448</x:v>
      </x:c>
      <x:c r="B451" s="9" t="n">
        <x:f>A451*v01_SeasonSeconds/60</x:f>
        <x:v>112</x:v>
      </x:c>
      <x:c r="C451" s="9" t="n">
        <x:f>A451/4</x:f>
        <x:v>112</x:v>
      </x:c>
      <x:c r="D451" s="8" t="n">
        <x:f>IF(MOD(A451,4)=0,1,0)</x:f>
        <x:v>1</x:v>
      </x:c>
      <x:c r="E451" s="8" t="n">
        <x:f>IF(AND(F450&lt;=9,AS450&gt;=AR450),1,0)</x:f>
        <x:v>0</x:v>
      </x:c>
      <x:c r="F451" s="8" t="n">
        <x:f>MIN(10,F450+E451)</x:f>
        <x:v>1</x:v>
      </x:c>
      <x:c r="G451" s="8" t="n">
        <x:f>MIN(F451,9)+1</x:f>
        <x:v>2</x:v>
      </x:c>
      <x:c r="H451" s="8" t="n">
        <x:f>IF(F451&lt;=9,1,0)</x:f>
        <x:v>1</x:v>
      </x:c>
      <x:c r="I451" s="9" t="n">
        <x:f>MIN(10,F450+IF(AR450&gt;0,MIN(1,AS450/AR450),1))</x:f>
        <x:v>1.7721653772602408</x:v>
      </x:c>
      <x:c r="J451" s="32" t="n">
        <x:f>INDEX(v01_FoodCap,G451)*Arch_FoodCap*EXP(v01_CapsByProject*SUMPRODUCT((Cap_Point&lt;=I451)*(Cap_Kind="Food")*Cap_Ln))</x:f>
        <x:v>30</x:v>
      </x:c>
      <x:c r="K451" s="32" t="n">
        <x:f>J451*MIN(1,v01_LeanBase*EXP(v01_CapsByProject*SUMPRODUCT((Cap_Point&lt;=I451)*(Cap_Kind="Lean")*Cap_Ln)))</x:f>
        <x:v>30</x:v>
      </x:c>
      <x:c r="L451" s="10" t="n">
        <x:f>INDEX(v01_HousingCap,G451)*EXP(v01_CapsByProject*SUMPRODUCT((Cap_Point&lt;=I451)*(Cap_Kind="Housing")*Cap_Ln))</x:f>
        <x:v>60</x:v>
      </x:c>
      <x:c r="M451" s="10" t="n">
        <x:f>INDEX(v01_GroupCap,G451)*v01_CohesionFactor*EXP(v01_CapsByProject*SUMPRODUCT((Cap_Point&lt;=I451)*(Cap_Kind="Group")*Cap_Ln))</x:f>
        <x:v>100</x:v>
      </x:c>
      <x:c r="N451" s="32" t="n">
        <x:f>MIN(J451,L451,M451)</x:f>
        <x:v>30</x:v>
      </x:c>
      <x:c r="O451" s="10" t="n">
        <x:f>AE450*N451</x:f>
        <x:v>90</x:v>
      </x:c>
      <x:c r="P451" s="9" t="n">
        <x:f>MIN(1,(AB450/(AE450*IF(v01_GroupInCrowding=1,N451,MIN(J451,L451))))^v01_CrowdingExp)</x:f>
        <x:v>0.06917442293140467</x:v>
      </x:c>
      <x:c r="Q451" s="9" t="n">
        <x:f>IF(D451=1,INDEX(v01_WinterMult,G451),1)</x:f>
        <x:v>1.6</x:v>
      </x:c>
      <x:c r="R451" s="9" t="n">
        <x:f>H451*Z450*v01_WomenShare*v01_BaseFertility*INDEX(v01_FertMult,G451)*Arch_Fertility*(1-P451)</x:f>
        <x:v>0.8962006626619548</x:v>
      </x:c>
      <x:c r="S451" s="9" t="n">
        <x:f>H451*Y450*INDEX(v01_MortChild,G451)/4*Q451</x:f>
        <x:v>0.3434184721251773</x:v>
      </x:c>
      <x:c r="T451" s="9" t="n">
        <x:f>H451*Z450*INDEX(v01_MortAdult,G451)*Arch_AdultMort/4*Q451</x:f>
        <x:v>0.13350853437779245</x:v>
      </x:c>
      <x:c r="U451" s="9" t="n">
        <x:f>H451*AA450*INDEX(v01_MortElder,G451)/4*Q451</x:f>
        <x:v>0.23868069197096511</x:v>
      </x:c>
      <x:c r="V451" s="9" t="n">
        <x:f>H451*MAX(0,AB450-O451)*v01_OvercapLoss</x:f>
        <x:v>0</x:v>
      </x:c>
      <x:c r="W451" s="9" t="n">
        <x:f>H451*Y450/(v01_ChildYears*4)</x:f>
        <x:v>0.43803376546578726</x:v>
      </x:c>
      <x:c r="X451" s="9" t="n">
        <x:f>H451*Z450/(v01_AdultYears*4)</x:f>
        <x:v>0.20705417862560865</x:v>
      </x:c>
      <x:c r="Y451" s="32" t="n">
        <x:f>Y450+R451-S451-W451-Y450*V451/AB450</x:f>
        <x:v>24.64463929115508</x:v>
      </x:c>
      <x:c r="Z451" s="32" t="n">
        <x:f>Z450+W451-X451-T451-Z450*V451/AB450</x:f>
        <x:v>25.772189202037858</x:v>
      </x:c>
      <x:c r="AA451" s="32" t="n">
        <x:f>AA450+X451-U451-AA450*V451/AB450</x:f>
        <x:v>7.427145110747303</x:v>
      </x:c>
      <x:c r="AB451" s="10" t="n">
        <x:f>Y451+Z451+AA451</x:f>
        <x:v>57.84397360394024</x:v>
      </x:c>
      <x:c r="AC451" s="8" t="n">
        <x:f>IF(AND(v01_WinterTrigger=1,D451=1,AB450/AE450&gt;=K451),1,0)</x:f>
        <x:v>0</x:v>
      </x:c>
      <x:c r="AD451" s="8" t="n">
        <x:f>H451*IF(AND(OR(AB450/AE450&gt;=v01_FissionTrigger*N451,AC451=1),AB450/AE450*v01_DaughterShare&gt;=v01_MinDaughter),MAX(1,ROUND(AE450*v01_FissionRate,0)),0)</x:f>
        <x:v>0</x:v>
      </x:c>
      <x:c r="AE451" s="8" t="n">
        <x:f>IF(H451=1,MAX(1,MIN(INDEX(v01_Smax,G451),AE450+AD451)),AE450)</x:f>
        <x:v>3</x:v>
      </x:c>
      <x:c r="AF451" s="8" t="n">
        <x:f>MAX(0,AE451-AE450)</x:f>
        <x:v>0</x:v>
      </x:c>
      <x:c r="AG451" s="9" t="str">
        <x:f>IF(AF451&gt;0,B451,"")</x:f>
      </x:c>
      <x:c r="AH451" s="9" t="n">
        <x:f>IF(F451&gt;=1,1,(1+v01_LowTiesShare*(AE451-1))/AE451)</x:f>
        <x:v>1</x:v>
      </x:c>
      <x:c r="AI451" s="32" t="n">
        <x:f>(Z451+v01_ElderCommons*INDEX(LM_Elder,G451)*AA451)*AH451</x:f>
        <x:v>43.9649049689756</x:v>
      </x:c>
      <x:c r="AJ451" s="32" t="n">
        <x:f>H451*v01_CommonsCoef*AI451^v01_CommonsExp*INDEX(LM_Commons,G451)</x:f>
        <x:v>16.450691324842005</x:v>
      </x:c>
      <x:c r="AK451" s="32" t="n">
        <x:f>H451*v01_RoleScale*Arch_Roles*(AE451*(INDEX(v01_ElderRolePerSett,G451)*v01_OutElder*INDEX(LM_Elder,G451)+INDEX(v01_ShamanPerSett,G451)*v01_OutShaman)+Z451*(INDEX(v01_PriestShare,G451)*v01_OutPriest+INDEX(v01_ScribeShare,G451)*v01_OutScribe*INDEX(LM_Scribe,G451)+INDEX(v01_ScholarShare,G451)*v01_OutScholar*INDEX(LM_Scholar,G451)+INDEX(v01_ResearcherShare,G451)*v01_OutResearcher*INDEX(LM_Researcher,G451)))</x:f>
        <x:v>4.087117307087383</x:v>
      </x:c>
      <x:c r="AL451" s="32" t="n">
        <x:f>H451*v01_RoleScale*Arch_Roles*AE451*INDEX(v01_MonasteryPerSett,G451)*v01_OutMonastery*INDEX(LM_Monastery,G451)</x:f>
        <x:v>0</x:v>
      </x:c>
      <x:c r="AM451" s="32" t="n">
        <x:f>(AJ451+AK451+AL451)/4*INDEX(LM_All,G451)*INDEX(v01_Boon,G451)*Arch_Insight</x:f>
        <x:v>5.262813461931905</x:v>
      </x:c>
      <x:c r="AN451" s="32" t="n">
        <x:f>H451*(v01_KHPerAdult*Z451+v01_KHOfCommons*AJ451/4*INDEX(LM_All,G451))*v01_KHUsable*Arch_KH</x:f>
        <x:v>0.902026622071325</x:v>
      </x:c>
      <x:c r="AO451" s="32" t="n">
        <x:f>MIN(AP450+AN451,AM451*v01_KHMaxRatio)</x:f>
        <x:v>0.902026622071325</x:v>
      </x:c>
      <x:c r="AP451" s="32" t="n">
        <x:f>AP450+AN451-AO451</x:f>
        <x:v>0</x:v>
      </x:c>
      <x:c r="AQ451" s="32" t="n">
        <x:f>AM451+AO451</x:f>
        <x:v>6.16484008400323</x:v>
      </x:c>
      <x:c r="AR451" s="10" t="n">
        <x:f>IF(H451=1,INDEX(v01_Req,G451),0)</x:f>
        <x:v>1067.32</x:v>
      </x:c>
      <x:c r="AS451" s="32" t="n">
        <x:f>IF(H451=1,IF(E451=1,AS450-AR450,AS450)+AQ451,0)</x:f>
        <x:v>830.3123905414034</x:v>
      </x:c>
      <x:c r="AT451" s="11" t="n">
        <x:f>IF(AR451&gt;0,MIN(1,AS451/AR451),1)</x:f>
        <x:v>0.7779413770391292</x:v>
      </x:c>
      <x:c r="AU451" s="10" t="n">
        <x:f>AB451/INDEX(v01_RepScale,G451)</x:f>
        <x:v>57.84397360394024</x:v>
      </x:c>
      <x:c r="AV451" s="32" t="n">
        <x:f>AM451*60/v01_SeasonSeconds</x:f>
        <x:v>21.05125384772762</x:v>
      </x:c>
    </x:row>
    <x:row r="452">
      <x:c r="A452" s="8" t="n">
        <x:f>A451+1</x:f>
        <x:v>449</x:v>
      </x:c>
      <x:c r="B452" s="9" t="n">
        <x:f>A452*v01_SeasonSeconds/60</x:f>
        <x:v>112.25</x:v>
      </x:c>
      <x:c r="C452" s="9" t="n">
        <x:f>A452/4</x:f>
        <x:v>112.25</x:v>
      </x:c>
      <x:c r="D452" s="8" t="n">
        <x:f>IF(MOD(A452,4)=0,1,0)</x:f>
        <x:v>0</x:v>
      </x:c>
      <x:c r="E452" s="8" t="n">
        <x:f>IF(AND(F451&lt;=9,AS451&gt;=AR451),1,0)</x:f>
        <x:v>0</x:v>
      </x:c>
      <x:c r="F452" s="8" t="n">
        <x:f>MIN(10,F451+E452)</x:f>
        <x:v>1</x:v>
      </x:c>
      <x:c r="G452" s="8" t="n">
        <x:f>MIN(F452,9)+1</x:f>
        <x:v>2</x:v>
      </x:c>
      <x:c r="H452" s="8" t="n">
        <x:f>IF(F452&lt;=9,1,0)</x:f>
        <x:v>1</x:v>
      </x:c>
      <x:c r="I452" s="9" t="n">
        <x:f>MIN(10,F451+IF(AR451&gt;0,MIN(1,AS451/AR451),1))</x:f>
        <x:v>1.7779413770391292</x:v>
      </x:c>
      <x:c r="J452" s="32" t="n">
        <x:f>INDEX(v01_FoodCap,G452)*Arch_FoodCap*EXP(v01_CapsByProject*SUMPRODUCT((Cap_Point&lt;=I452)*(Cap_Kind="Food")*Cap_Ln))</x:f>
        <x:v>30</x:v>
      </x:c>
      <x:c r="K452" s="32" t="n">
        <x:f>J452*MIN(1,v01_LeanBase*EXP(v01_CapsByProject*SUMPRODUCT((Cap_Point&lt;=I452)*(Cap_Kind="Lean")*Cap_Ln)))</x:f>
        <x:v>30</x:v>
      </x:c>
      <x:c r="L452" s="10" t="n">
        <x:f>INDEX(v01_HousingCap,G452)*EXP(v01_CapsByProject*SUMPRODUCT((Cap_Point&lt;=I452)*(Cap_Kind="Housing")*Cap_Ln))</x:f>
        <x:v>60</x:v>
      </x:c>
      <x:c r="M452" s="10" t="n">
        <x:f>INDEX(v01_GroupCap,G452)*v01_CohesionFactor*EXP(v01_CapsByProject*SUMPRODUCT((Cap_Point&lt;=I452)*(Cap_Kind="Group")*Cap_Ln))</x:f>
        <x:v>100</x:v>
      </x:c>
      <x:c r="N452" s="32" t="n">
        <x:f>MIN(J452,L452,M452)</x:f>
        <x:v>30</x:v>
      </x:c>
      <x:c r="O452" s="10" t="n">
        <x:f>AE451*N452</x:f>
        <x:v>90</x:v>
      </x:c>
      <x:c r="P452" s="9" t="n">
        <x:f>MIN(1,(AB451/(AE451*IF(v01_GroupInCrowding=1,N452,MIN(J452,L452))))^v01_CrowdingExp)</x:f>
        <x:v>0.07048450578214162</x:v>
      </x:c>
      <x:c r="Q452" s="9" t="n">
        <x:f>IF(D452=1,INDEX(v01_WinterMult,G452),1)</x:f>
        <x:v>1</x:v>
      </x:c>
      <x:c r="R452" s="9" t="n">
        <x:f>H452*Z451*v01_WomenShare*v01_BaseFertility*INDEX(v01_FertMult,G452)*Arch_Fertility*(1-P452)</x:f>
        <x:v>0.8983368443703139</x:v>
      </x:c>
      <x:c r="S452" s="9" t="n">
        <x:f>H452*Y451*INDEX(v01_MortChild,G452)/4*Q452</x:f>
        <x:v>0.21564059379760697</x:v>
      </x:c>
      <x:c r="T452" s="9" t="n">
        <x:f>H452*Z451*INDEX(v01_MortAdult,G452)*Arch_AdultMort/4*Q452</x:f>
        <x:v>0.08375961490662304</x:v>
      </x:c>
      <x:c r="U452" s="9" t="n">
        <x:f>H452*AA451*INDEX(v01_MortElder,G452)/4*Q452</x:f>
        <x:v>0.14854290221494607</x:v>
      </x:c>
      <x:c r="V452" s="9" t="n">
        <x:f>H452*MAX(0,AB451-O452)*v01_OvercapLoss</x:f>
        <x:v>0</x:v>
      </x:c>
      <x:c r="W452" s="9" t="n">
        <x:f>H452*Y451/(v01_ChildYears*4)</x:f>
        <x:v>0.44008284448491214</x:v>
      </x:c>
      <x:c r="X452" s="9" t="n">
        <x:f>H452*Z451/(v01_AdultYears*4)</x:f>
        <x:v>0.2078402355003053</x:v>
      </x:c>
      <x:c r="Y452" s="32" t="n">
        <x:f>Y451+R452-S452-W452-Y451*V452/AB451</x:f>
        <x:v>24.887252697242875</x:v>
      </x:c>
      <x:c r="Z452" s="32" t="n">
        <x:f>Z451+W452-X452-T452-Z451*V452/AB451</x:f>
        <x:v>25.92067219611584</x:v>
      </x:c>
      <x:c r="AA452" s="32" t="n">
        <x:f>AA451+X452-U452-AA451*V452/AB451</x:f>
        <x:v>7.4864424440326625</x:v>
      </x:c>
      <x:c r="AB452" s="10" t="n">
        <x:f>Y452+Z452+AA452</x:f>
        <x:v>58.29436733739138</x:v>
      </x:c>
      <x:c r="AC452" s="8" t="n">
        <x:f>IF(AND(v01_WinterTrigger=1,D452=1,AB451/AE451&gt;=K452),1,0)</x:f>
        <x:v>0</x:v>
      </x:c>
      <x:c r="AD452" s="8" t="n">
        <x:f>H452*IF(AND(OR(AB451/AE451&gt;=v01_FissionTrigger*N452,AC452=1),AB451/AE451*v01_DaughterShare&gt;=v01_MinDaughter),MAX(1,ROUND(AE451*v01_FissionRate,0)),0)</x:f>
        <x:v>0</x:v>
      </x:c>
      <x:c r="AE452" s="8" t="n">
        <x:f>IF(H452=1,MAX(1,MIN(INDEX(v01_Smax,G452),AE451+AD452)),AE451)</x:f>
        <x:v>3</x:v>
      </x:c>
      <x:c r="AF452" s="8" t="n">
        <x:f>MAX(0,AE452-AE451)</x:f>
        <x:v>0</x:v>
      </x:c>
      <x:c r="AG452" s="9" t="str">
        <x:f>IF(AF452&gt;0,B452,"")</x:f>
      </x:c>
      <x:c r="AH452" s="9" t="n">
        <x:f>IF(F452&gt;=1,1,(1+v01_LowTiesShare*(AE452-1))/AE452)</x:f>
        <x:v>1</x:v>
      </x:c>
      <x:c r="AI452" s="32" t="n">
        <x:f>(Z452+v01_ElderCommons*INDEX(LM_Elder,G452)*AA452)*AH452</x:f>
        <x:v>44.258636172710474</x:v>
      </x:c>
      <x:c r="AJ452" s="32" t="n">
        <x:f>H452*v01_CommonsCoef*AI452^v01_CommonsExp*INDEX(LM_Commons,G452)</x:f>
        <x:v>16.544066173567487</x:v>
      </x:c>
      <x:c r="AK452" s="32" t="n">
        <x:f>H452*v01_RoleScale*Arch_Roles*(AE452*(INDEX(v01_ElderRolePerSett,G452)*v01_OutElder*INDEX(LM_Elder,G452)+INDEX(v01_ShamanPerSett,G452)*v01_OutShaman)+Z452*(INDEX(v01_PriestShare,G452)*v01_OutPriest+INDEX(v01_ScribeShare,G452)*v01_OutScribe*INDEX(LM_Scribe,G452)+INDEX(v01_ScholarShare,G452)*v01_OutScholar*INDEX(LM_Scholar,G452)+INDEX(v01_ResearcherShare,G452)*v01_OutResearcher*INDEX(LM_Researcher,G452)))</x:f>
        <x:v>4.087117307087383</x:v>
      </x:c>
      <x:c r="AL452" s="32" t="n">
        <x:f>H452*v01_RoleScale*Arch_Roles*AE452*INDEX(v01_MonasteryPerSett,G452)*v01_OutMonastery*INDEX(LM_Monastery,G452)</x:f>
        <x:v>0</x:v>
      </x:c>
      <x:c r="AM452" s="32" t="n">
        <x:f>(AJ452+AK452+AL452)/4*INDEX(LM_All,G452)*INDEX(v01_Boon,G452)*Arch_Insight</x:f>
        <x:v>5.286740766917809</x:v>
      </x:c>
      <x:c r="AN452" s="32" t="n">
        <x:f>H452*(v01_KHPerAdult*Z452+v01_KHOfCommons*AJ452/4*INDEX(LM_All,G452))*v01_KHUsable*Arch_KH</x:f>
        <x:v>0.9072235268640544</x:v>
      </x:c>
      <x:c r="AO452" s="32" t="n">
        <x:f>MIN(AP451+AN452,AM452*v01_KHMaxRatio)</x:f>
        <x:v>0.9072235268640544</x:v>
      </x:c>
      <x:c r="AP452" s="32" t="n">
        <x:f>AP451+AN452-AO452</x:f>
        <x:v>0</x:v>
      </x:c>
      <x:c r="AQ452" s="32" t="n">
        <x:f>AM452+AO452</x:f>
        <x:v>6.193964293781864</x:v>
      </x:c>
      <x:c r="AR452" s="10" t="n">
        <x:f>IF(H452=1,INDEX(v01_Req,G452),0)</x:f>
        <x:v>1067.32</x:v>
      </x:c>
      <x:c r="AS452" s="32" t="n">
        <x:f>IF(H452=1,IF(E452=1,AS451-AR451,AS451)+AQ452,0)</x:f>
        <x:v>836.5063548351852</x:v>
      </x:c>
      <x:c r="AT452" s="11" t="n">
        <x:f>IF(AR452&gt;0,MIN(1,AS452/AR452),1)</x:f>
        <x:v>0.7837446640512548</x:v>
      </x:c>
      <x:c r="AU452" s="10" t="n">
        <x:f>AB452/INDEX(v01_RepScale,G452)</x:f>
        <x:v>58.29436733739138</x:v>
      </x:c>
      <x:c r="AV452" s="32" t="n">
        <x:f>AM452*60/v01_SeasonSeconds</x:f>
        <x:v>21.14696306767124</x:v>
      </x:c>
    </x:row>
    <x:row r="453">
      <x:c r="A453" s="8" t="n">
        <x:f>A452+1</x:f>
        <x:v>450</x:v>
      </x:c>
      <x:c r="B453" s="9" t="n">
        <x:f>A453*v01_SeasonSeconds/60</x:f>
        <x:v>112.5</x:v>
      </x:c>
      <x:c r="C453" s="9" t="n">
        <x:f>A453/4</x:f>
        <x:v>112.5</x:v>
      </x:c>
      <x:c r="D453" s="8" t="n">
        <x:f>IF(MOD(A453,4)=0,1,0)</x:f>
        <x:v>0</x:v>
      </x:c>
      <x:c r="E453" s="8" t="n">
        <x:f>IF(AND(F452&lt;=9,AS452&gt;=AR452),1,0)</x:f>
        <x:v>0</x:v>
      </x:c>
      <x:c r="F453" s="8" t="n">
        <x:f>MIN(10,F452+E453)</x:f>
        <x:v>1</x:v>
      </x:c>
      <x:c r="G453" s="8" t="n">
        <x:f>MIN(F453,9)+1</x:f>
        <x:v>2</x:v>
      </x:c>
      <x:c r="H453" s="8" t="n">
        <x:f>IF(F453&lt;=9,1,0)</x:f>
        <x:v>1</x:v>
      </x:c>
      <x:c r="I453" s="9" t="n">
        <x:f>MIN(10,F452+IF(AR452&gt;0,MIN(1,AS452/AR452),1))</x:f>
        <x:v>1.7837446640512549</x:v>
      </x:c>
      <x:c r="J453" s="32" t="n">
        <x:f>INDEX(v01_FoodCap,G453)*Arch_FoodCap*EXP(v01_CapsByProject*SUMPRODUCT((Cap_Point&lt;=I453)*(Cap_Kind="Food")*Cap_Ln))</x:f>
        <x:v>30</x:v>
      </x:c>
      <x:c r="K453" s="32" t="n">
        <x:f>J453*MIN(1,v01_LeanBase*EXP(v01_CapsByProject*SUMPRODUCT((Cap_Point&lt;=I453)*(Cap_Kind="Lean")*Cap_Ln)))</x:f>
        <x:v>30</x:v>
      </x:c>
      <x:c r="L453" s="10" t="n">
        <x:f>INDEX(v01_HousingCap,G453)*EXP(v01_CapsByProject*SUMPRODUCT((Cap_Point&lt;=I453)*(Cap_Kind="Housing")*Cap_Ln))</x:f>
        <x:v>60</x:v>
      </x:c>
      <x:c r="M453" s="10" t="n">
        <x:f>INDEX(v01_GroupCap,G453)*v01_CohesionFactor*EXP(v01_CapsByProject*SUMPRODUCT((Cap_Point&lt;=I453)*(Cap_Kind="Group")*Cap_Ln))</x:f>
        <x:v>100</x:v>
      </x:c>
      <x:c r="N453" s="32" t="n">
        <x:f>MIN(J453,L453,M453)</x:f>
        <x:v>30</x:v>
      </x:c>
      <x:c r="O453" s="10" t="n">
        <x:f>AE452*N453</x:f>
        <x:v>90</x:v>
      </x:c>
      <x:c r="P453" s="9" t="n">
        <x:f>MIN(1,(AB452/(AE452*IF(v01_GroupInCrowding=1,N453,MIN(J453,L453))))^v01_CrowdingExp)</x:f>
        <x:v>0.07384217891061078</x:v>
      </x:c>
      <x:c r="Q453" s="9" t="n">
        <x:f>IF(D453=1,INDEX(v01_WinterMult,G453),1)</x:f>
        <x:v>1</x:v>
      </x:c>
      <x:c r="R453" s="9" t="n">
        <x:f>H453*Z452*v01_WomenShare*v01_BaseFertility*INDEX(v01_FertMult,G453)*Arch_Fertility*(1-P453)</x:f>
        <x:v>0.9002487480872611</x:v>
      </x:c>
      <x:c r="S453" s="9" t="n">
        <x:f>H453*Y452*INDEX(v01_MortChild,G453)/4*Q453</x:f>
        <x:v>0.2177634611008752</x:v>
      </x:c>
      <x:c r="T453" s="9" t="n">
        <x:f>H453*Z452*INDEX(v01_MortAdult,G453)*Arch_AdultMort/4*Q453</x:f>
        <x:v>0.08424218463737648</x:v>
      </x:c>
      <x:c r="U453" s="9" t="n">
        <x:f>H453*AA452*INDEX(v01_MortElder,G453)/4*Q453</x:f>
        <x:v>0.14972884888065324</x:v>
      </x:c>
      <x:c r="V453" s="9" t="n">
        <x:f>H453*MAX(0,AB452-O453)*v01_OvercapLoss</x:f>
        <x:v>0</x:v>
      </x:c>
      <x:c r="W453" s="9" t="n">
        <x:f>H453*Y452/(v01_ChildYears*4)</x:f>
        <x:v>0.44441522673647993</x:v>
      </x:c>
      <x:c r="X453" s="9" t="n">
        <x:f>H453*Z452/(v01_AdultYears*4)</x:f>
        <x:v>0.2090376790009342</x:v>
      </x:c>
      <x:c r="Y453" s="32" t="n">
        <x:f>Y452+R453-S453-W453-Y452*V453/AB452</x:f>
        <x:v>25.12532275749278</x:v>
      </x:c>
      <x:c r="Z453" s="32" t="n">
        <x:f>Z452+W453-X453-T453-Z452*V453/AB452</x:f>
        <x:v>26.07180755921401</x:v>
      </x:c>
      <x:c r="AA453" s="32" t="n">
        <x:f>AA452+X453-U453-AA452*V453/AB452</x:f>
        <x:v>7.545751274152943</x:v>
      </x:c>
      <x:c r="AB453" s="10" t="n">
        <x:f>Y453+Z453+AA453</x:f>
        <x:v>58.74288159085973</x:v>
      </x:c>
      <x:c r="AC453" s="8" t="n">
        <x:f>IF(AND(v01_WinterTrigger=1,D453=1,AB452/AE452&gt;=K453),1,0)</x:f>
        <x:v>0</x:v>
      </x:c>
      <x:c r="AD453" s="8" t="n">
        <x:f>H453*IF(AND(OR(AB452/AE452&gt;=v01_FissionTrigger*N453,AC453=1),AB452/AE452*v01_DaughterShare&gt;=v01_MinDaughter),MAX(1,ROUND(AE452*v01_FissionRate,0)),0)</x:f>
        <x:v>0</x:v>
      </x:c>
      <x:c r="AE453" s="8" t="n">
        <x:f>IF(H453=1,MAX(1,MIN(INDEX(v01_Smax,G453),AE452+AD453)),AE452)</x:f>
        <x:v>3</x:v>
      </x:c>
      <x:c r="AF453" s="8" t="n">
        <x:f>MAX(0,AE453-AE452)</x:f>
        <x:v>0</x:v>
      </x:c>
      <x:c r="AG453" s="9" t="str">
        <x:f>IF(AF453&gt;0,B453,"")</x:f>
      </x:c>
      <x:c r="AH453" s="9" t="n">
        <x:f>IF(F453&gt;=1,1,(1+v01_LowTiesShare*(AE453-1))/AE453)</x:f>
        <x:v>1</x:v>
      </x:c>
      <x:c r="AI453" s="32" t="n">
        <x:f>(Z453+v01_ElderCommons*INDEX(LM_Elder,G453)*AA453)*AH453</x:f>
        <x:v>44.55504790684474</x:v>
      </x:c>
      <x:c r="AJ453" s="32" t="n">
        <x:f>H453*v01_CommonsCoef*AI453^v01_CommonsExp*INDEX(LM_Commons,G453)</x:f>
        <x:v>16.638198958827743</x:v>
      </x:c>
      <x:c r="AK453" s="32" t="n">
        <x:f>H453*v01_RoleScale*Arch_Roles*(AE453*(INDEX(v01_ElderRolePerSett,G453)*v01_OutElder*INDEX(LM_Elder,G453)+INDEX(v01_ShamanPerSett,G453)*v01_OutShaman)+Z453*(INDEX(v01_PriestShare,G453)*v01_OutPriest+INDEX(v01_ScribeShare,G453)*v01_OutScribe*INDEX(LM_Scribe,G453)+INDEX(v01_ScholarShare,G453)*v01_OutScholar*INDEX(LM_Scholar,G453)+INDEX(v01_ResearcherShare,G453)*v01_OutResearcher*INDEX(LM_Researcher,G453)))</x:f>
        <x:v>4.087117307087383</x:v>
      </x:c>
      <x:c r="AL453" s="32" t="n">
        <x:f>H453*v01_RoleScale*Arch_Roles*AE453*INDEX(v01_MonasteryPerSett,G453)*v01_OutMonastery*INDEX(LM_Monastery,G453)</x:f>
        <x:v>0</x:v>
      </x:c>
      <x:c r="AM453" s="32" t="n">
        <x:f>(AJ453+AK453+AL453)/4*INDEX(LM_All,G453)*INDEX(v01_Boon,G453)*Arch_Insight</x:f>
        <x:v>5.31086229314075</x:v>
      </x:c>
      <x:c r="AN453" s="32" t="n">
        <x:f>H453*(v01_KHPerAdult*Z453+v01_KHOfCommons*AJ453/4*INDEX(LM_All,G453))*v01_KHUsable*Arch_KH</x:f>
        <x:v>0.9125132645724905</x:v>
      </x:c>
      <x:c r="AO453" s="32" t="n">
        <x:f>MIN(AP452+AN453,AM453*v01_KHMaxRatio)</x:f>
        <x:v>0.9125132645724905</x:v>
      </x:c>
      <x:c r="AP453" s="32" t="n">
        <x:f>AP452+AN453-AO453</x:f>
        <x:v>0</x:v>
      </x:c>
      <x:c r="AQ453" s="32" t="n">
        <x:f>AM453+AO453</x:f>
        <x:v>6.223375557713241</x:v>
      </x:c>
      <x:c r="AR453" s="10" t="n">
        <x:f>IF(H453=1,INDEX(v01_Req,G453),0)</x:f>
        <x:v>1067.32</x:v>
      </x:c>
      <x:c r="AS453" s="32" t="n">
        <x:f>IF(H453=1,IF(E453=1,AS452-AR452,AS452)+AQ453,0)</x:f>
        <x:v>842.7297303928984</x:v>
      </x:c>
      <x:c r="AT453" s="11" t="n">
        <x:f>IF(AR453&gt;0,MIN(1,AS453/AR453),1)</x:f>
        <x:v>0.7895755072451547</x:v>
      </x:c>
      <x:c r="AU453" s="10" t="n">
        <x:f>AB453/INDEX(v01_RepScale,G453)</x:f>
        <x:v>58.74288159085973</x:v>
      </x:c>
      <x:c r="AV453" s="32" t="n">
        <x:f>AM453*60/v01_SeasonSeconds</x:f>
        <x:v>21.243449172563</x:v>
      </x:c>
    </x:row>
    <x:row r="454">
      <x:c r="A454" s="8" t="n">
        <x:f>A453+1</x:f>
        <x:v>451</x:v>
      </x:c>
      <x:c r="B454" s="9" t="n">
        <x:f>A454*v01_SeasonSeconds/60</x:f>
        <x:v>112.75</x:v>
      </x:c>
      <x:c r="C454" s="9" t="n">
        <x:f>A454/4</x:f>
        <x:v>112.75</x:v>
      </x:c>
      <x:c r="D454" s="8" t="n">
        <x:f>IF(MOD(A454,4)=0,1,0)</x:f>
        <x:v>0</x:v>
      </x:c>
      <x:c r="E454" s="8" t="n">
        <x:f>IF(AND(F453&lt;=9,AS453&gt;=AR453),1,0)</x:f>
        <x:v>0</x:v>
      </x:c>
      <x:c r="F454" s="8" t="n">
        <x:f>MIN(10,F453+E454)</x:f>
        <x:v>1</x:v>
      </x:c>
      <x:c r="G454" s="8" t="n">
        <x:f>MIN(F454,9)+1</x:f>
        <x:v>2</x:v>
      </x:c>
      <x:c r="H454" s="8" t="n">
        <x:f>IF(F454&lt;=9,1,0)</x:f>
        <x:v>1</x:v>
      </x:c>
      <x:c r="I454" s="9" t="n">
        <x:f>MIN(10,F453+IF(AR453&gt;0,MIN(1,AS453/AR453),1))</x:f>
        <x:v>1.7895755072451547</x:v>
      </x:c>
      <x:c r="J454" s="32" t="n">
        <x:f>INDEX(v01_FoodCap,G454)*Arch_FoodCap*EXP(v01_CapsByProject*SUMPRODUCT((Cap_Point&lt;=I454)*(Cap_Kind="Food")*Cap_Ln))</x:f>
        <x:v>30</x:v>
      </x:c>
      <x:c r="K454" s="32" t="n">
        <x:f>J454*MIN(1,v01_LeanBase*EXP(v01_CapsByProject*SUMPRODUCT((Cap_Point&lt;=I454)*(Cap_Kind="Lean")*Cap_Ln)))</x:f>
        <x:v>30</x:v>
      </x:c>
      <x:c r="L454" s="10" t="n">
        <x:f>INDEX(v01_HousingCap,G454)*EXP(v01_CapsByProject*SUMPRODUCT((Cap_Point&lt;=I454)*(Cap_Kind="Housing")*Cap_Ln))</x:f>
        <x:v>60</x:v>
      </x:c>
      <x:c r="M454" s="10" t="n">
        <x:f>INDEX(v01_GroupCap,G454)*v01_CohesionFactor*EXP(v01_CapsByProject*SUMPRODUCT((Cap_Point&lt;=I454)*(Cap_Kind="Group")*Cap_Ln))</x:f>
        <x:v>100</x:v>
      </x:c>
      <x:c r="N454" s="32" t="n">
        <x:f>MIN(J454,L454,M454)</x:f>
        <x:v>30</x:v>
      </x:c>
      <x:c r="O454" s="10" t="n">
        <x:f>AE453*N454</x:f>
        <x:v>90</x:v>
      </x:c>
      <x:c r="P454" s="9" t="n">
        <x:f>MIN(1,(AB453/(AE453*IF(v01_GroupInCrowding=1,N454,MIN(J454,L454))))^v01_CrowdingExp)</x:f>
        <x:v>0.0773172544383286</x:v>
      </x:c>
      <x:c r="Q454" s="9" t="n">
        <x:f>IF(D454=1,INDEX(v01_WinterMult,G454),1)</x:f>
        <x:v>1</x:v>
      </x:c>
      <x:c r="R454" s="9" t="n">
        <x:f>H454*Z453*v01_WomenShare*v01_BaseFertility*INDEX(v01_FertMult,G454)*Arch_Fertility*(1-P454)</x:f>
        <x:v>0.9021002617684171</x:v>
      </x:c>
      <x:c r="S454" s="9" t="n">
        <x:f>H454*Y453*INDEX(v01_MortChild,G454)/4*Q454</x:f>
        <x:v>0.21984657412806183</x:v>
      </x:c>
      <x:c r="T454" s="9" t="n">
        <x:f>H454*Z453*INDEX(v01_MortAdult,G454)*Arch_AdultMort/4*Q454</x:f>
        <x:v>0.08473337456744554</x:v>
      </x:c>
      <x:c r="U454" s="9" t="n">
        <x:f>H454*AA453*INDEX(v01_MortElder,G454)/4*Q454</x:f>
        <x:v>0.15091502548305888</x:v>
      </x:c>
      <x:c r="V454" s="9" t="n">
        <x:f>H454*MAX(0,AB453-O454)*v01_OvercapLoss</x:f>
        <x:v>0</x:v>
      </x:c>
      <x:c r="W454" s="9" t="n">
        <x:f>H454*Y453/(v01_ChildYears*4)</x:f>
        <x:v>0.44866647781237107</x:v>
      </x:c>
      <x:c r="X454" s="9" t="n">
        <x:f>H454*Z453/(v01_AdultYears*4)</x:f>
        <x:v>0.21025651257430655</x:v>
      </x:c>
      <x:c r="Y454" s="32" t="n">
        <x:f>Y453+R454-S454-W454-Y453*V454/AB453</x:f>
        <x:v>25.358909967320763</x:v>
      </x:c>
      <x:c r="Z454" s="32" t="n">
        <x:f>Z453+W454-X454-T454-Z453*V454/AB453</x:f>
        <x:v>26.22548414988463</x:v>
      </x:c>
      <x:c r="AA454" s="32" t="n">
        <x:f>AA453+X454-U454-AA453*V454/AB453</x:f>
        <x:v>7.605092761244191</x:v>
      </x:c>
      <x:c r="AB454" s="10" t="n">
        <x:f>Y454+Z454+AA454</x:f>
        <x:v>59.189486878449586</x:v>
      </x:c>
      <x:c r="AC454" s="8" t="n">
        <x:f>IF(AND(v01_WinterTrigger=1,D454=1,AB453/AE453&gt;=K454),1,0)</x:f>
        <x:v>0</x:v>
      </x:c>
      <x:c r="AD454" s="8" t="n">
        <x:f>H454*IF(AND(OR(AB453/AE453&gt;=v01_FissionTrigger*N454,AC454=1),AB453/AE453*v01_DaughterShare&gt;=v01_MinDaughter),MAX(1,ROUND(AE453*v01_FissionRate,0)),0)</x:f>
        <x:v>0</x:v>
      </x:c>
      <x:c r="AE454" s="8" t="n">
        <x:f>IF(H454=1,MAX(1,MIN(INDEX(v01_Smax,G454),AE453+AD454)),AE453)</x:f>
        <x:v>3</x:v>
      </x:c>
      <x:c r="AF454" s="8" t="n">
        <x:f>MAX(0,AE454-AE453)</x:f>
        <x:v>0</x:v>
      </x:c>
      <x:c r="AG454" s="9" t="str">
        <x:f>IF(AF454&gt;0,B454,"")</x:f>
      </x:c>
      <x:c r="AH454" s="9" t="n">
        <x:f>IF(F454&gt;=1,1,(1+v01_LowTiesShare*(AE454-1))/AE454)</x:f>
        <x:v>1</x:v>
      </x:c>
      <x:c r="AI454" s="32" t="n">
        <x:f>(Z454+v01_ElderCommons*INDEX(LM_Elder,G454)*AA454)*AH454</x:f>
        <x:v>44.85408086146687</x:v>
      </x:c>
      <x:c r="AJ454" s="32" t="n">
        <x:f>H454*v01_CommonsCoef*AI454^v01_CommonsExp*INDEX(LM_Commons,G454)</x:f>
        <x:v>16.733069040130673</x:v>
      </x:c>
      <x:c r="AK454" s="32" t="n">
        <x:f>H454*v01_RoleScale*Arch_Roles*(AE454*(INDEX(v01_ElderRolePerSett,G454)*v01_OutElder*INDEX(LM_Elder,G454)+INDEX(v01_ShamanPerSett,G454)*v01_OutShaman)+Z454*(INDEX(v01_PriestShare,G454)*v01_OutPriest+INDEX(v01_ScribeShare,G454)*v01_OutScribe*INDEX(LM_Scribe,G454)+INDEX(v01_ScholarShare,G454)*v01_OutScholar*INDEX(LM_Scholar,G454)+INDEX(v01_ResearcherShare,G454)*v01_OutResearcher*INDEX(LM_Researcher,G454)))</x:f>
        <x:v>4.087117307087383</x:v>
      </x:c>
      <x:c r="AL454" s="32" t="n">
        <x:f>H454*v01_RoleScale*Arch_Roles*AE454*INDEX(v01_MonasteryPerSett,G454)*v01_OutMonastery*INDEX(LM_Monastery,G454)</x:f>
        <x:v>0</x:v>
      </x:c>
      <x:c r="AM454" s="32" t="n">
        <x:f>(AJ454+AK454+AL454)/4*INDEX(LM_All,G454)*INDEX(v01_Boon,G454)*Arch_Insight</x:f>
        <x:v>5.335172751474626</x:v>
      </x:c>
      <x:c r="AN454" s="32" t="n">
        <x:f>H454*(v01_KHPerAdult*Z454+v01_KHOfCommons*AJ454/4*INDEX(LM_All,G454))*v01_KHUsable*Arch_KH</x:f>
        <x:v>0.9178919452459621</x:v>
      </x:c>
      <x:c r="AO454" s="32" t="n">
        <x:f>MIN(AP453+AN454,AM454*v01_KHMaxRatio)</x:f>
        <x:v>0.9178919452459621</x:v>
      </x:c>
      <x:c r="AP454" s="32" t="n">
        <x:f>AP453+AN454-AO454</x:f>
        <x:v>0</x:v>
      </x:c>
      <x:c r="AQ454" s="32" t="n">
        <x:f>AM454+AO454</x:f>
        <x:v>6.253064696720588</x:v>
      </x:c>
      <x:c r="AR454" s="10" t="n">
        <x:f>IF(H454=1,INDEX(v01_Req,G454),0)</x:f>
        <x:v>1067.32</x:v>
      </x:c>
      <x:c r="AS454" s="32" t="n">
        <x:f>IF(H454=1,IF(E454=1,AS453-AR453,AS453)+AQ454,0)</x:f>
        <x:v>848.982795089619</x:v>
      </x:c>
      <x:c r="AT454" s="11" t="n">
        <x:f>IF(AR454&gt;0,MIN(1,AS454/AR454),1)</x:f>
        <x:v>0.7954341669692492</x:v>
      </x:c>
      <x:c r="AU454" s="10" t="n">
        <x:f>AB454/INDEX(v01_RepScale,G454)</x:f>
        <x:v>59.189486878449586</x:v>
      </x:c>
      <x:c r="AV454" s="32" t="n">
        <x:f>AM454*60/v01_SeasonSeconds</x:f>
        <x:v>21.340691005898503</x:v>
      </x:c>
    </x:row>
    <x:row r="455">
      <x:c r="A455" s="8" t="n">
        <x:f>A454+1</x:f>
        <x:v>452</x:v>
      </x:c>
      <x:c r="B455" s="9" t="n">
        <x:f>A455*v01_SeasonSeconds/60</x:f>
        <x:v>113</x:v>
      </x:c>
      <x:c r="C455" s="9" t="n">
        <x:f>A455/4</x:f>
        <x:v>113</x:v>
      </x:c>
      <x:c r="D455" s="8" t="n">
        <x:f>IF(MOD(A455,4)=0,1,0)</x:f>
        <x:v>1</x:v>
      </x:c>
      <x:c r="E455" s="8" t="n">
        <x:f>IF(AND(F454&lt;=9,AS454&gt;=AR454),1,0)</x:f>
        <x:v>0</x:v>
      </x:c>
      <x:c r="F455" s="8" t="n">
        <x:f>MIN(10,F454+E455)</x:f>
        <x:v>1</x:v>
      </x:c>
      <x:c r="G455" s="8" t="n">
        <x:f>MIN(F455,9)+1</x:f>
        <x:v>2</x:v>
      </x:c>
      <x:c r="H455" s="8" t="n">
        <x:f>IF(F455&lt;=9,1,0)</x:f>
        <x:v>1</x:v>
      </x:c>
      <x:c r="I455" s="9" t="n">
        <x:f>MIN(10,F454+IF(AR454&gt;0,MIN(1,AS454/AR454),1))</x:f>
        <x:v>1.7954341669692493</x:v>
      </x:c>
      <x:c r="J455" s="32" t="n">
        <x:f>INDEX(v01_FoodCap,G455)*Arch_FoodCap*EXP(v01_CapsByProject*SUMPRODUCT((Cap_Point&lt;=I455)*(Cap_Kind="Food")*Cap_Ln))</x:f>
        <x:v>30</x:v>
      </x:c>
      <x:c r="K455" s="32" t="n">
        <x:f>J455*MIN(1,v01_LeanBase*EXP(v01_CapsByProject*SUMPRODUCT((Cap_Point&lt;=I455)*(Cap_Kind="Lean")*Cap_Ln)))</x:f>
        <x:v>30</x:v>
      </x:c>
      <x:c r="L455" s="10" t="n">
        <x:f>INDEX(v01_HousingCap,G455)*EXP(v01_CapsByProject*SUMPRODUCT((Cap_Point&lt;=I455)*(Cap_Kind="Housing")*Cap_Ln))</x:f>
        <x:v>60</x:v>
      </x:c>
      <x:c r="M455" s="10" t="n">
        <x:f>INDEX(v01_GroupCap,G455)*v01_CohesionFactor*EXP(v01_CapsByProject*SUMPRODUCT((Cap_Point&lt;=I455)*(Cap_Kind="Group")*Cap_Ln))</x:f>
        <x:v>100</x:v>
      </x:c>
      <x:c r="N455" s="32" t="n">
        <x:f>MIN(J455,L455,M455)</x:f>
        <x:v>30</x:v>
      </x:c>
      <x:c r="O455" s="10" t="n">
        <x:f>AE454*N455</x:f>
        <x:v>90</x:v>
      </x:c>
      <x:c r="P455" s="9" t="n">
        <x:f>MIN(1,(AB454/(AE454*IF(v01_GroupInCrowding=1,N455,MIN(J455,L455))))^v01_CrowdingExp)</x:f>
        <x:v>0.08091189888470193</x:v>
      </x:c>
      <x:c r="Q455" s="9" t="n">
        <x:f>IF(D455=1,INDEX(v01_WinterMult,G455),1)</x:f>
        <x:v>1.6</x:v>
      </x:c>
      <x:c r="R455" s="9" t="n">
        <x:f>H455*Z454*v01_WomenShare*v01_BaseFertility*INDEX(v01_FertMult,G455)*Arch_Fertility*(1-P455)</x:f>
        <x:v>0.9038823910555054</x:v>
      </x:c>
      <x:c r="S455" s="9" t="n">
        <x:f>H455*Y454*INDEX(v01_MortChild,G455)/4*Q455</x:f>
        <x:v>0.35502473954249075</x:v>
      </x:c>
      <x:c r="T455" s="9" t="n">
        <x:f>H455*Z454*INDEX(v01_MortAdult,G455)*Arch_AdultMort/4*Q455</x:f>
        <x:v>0.13637251757940005</x:v>
      </x:c>
      <x:c r="U455" s="9" t="n">
        <x:f>H455*AA454*INDEX(v01_MortElder,G455)/4*Q455</x:f>
        <x:v>0.2433629683598141</x:v>
      </x:c>
      <x:c r="V455" s="9" t="n">
        <x:f>H455*MAX(0,AB454-O455)*v01_OvercapLoss</x:f>
        <x:v>0</x:v>
      </x:c>
      <x:c r="W455" s="9" t="n">
        <x:f>H455*Y454/(v01_ChildYears*4)</x:f>
        <x:v>0.4528376779878708</x:v>
      </x:c>
      <x:c r="X455" s="9" t="n">
        <x:f>H455*Z454/(v01_AdultYears*4)</x:f>
        <x:v>0.21149583991842444</x:v>
      </x:c>
      <x:c r="Y455" s="32" t="n">
        <x:f>Y454+R455-S455-W455-Y454*V455/AB454</x:f>
        <x:v>25.454929940845908</x:v>
      </x:c>
      <x:c r="Z455" s="32" t="n">
        <x:f>Z454+W455-X455-T455-Z454*V455/AB454</x:f>
        <x:v>26.330453470374675</x:v>
      </x:c>
      <x:c r="AA455" s="32" t="n">
        <x:f>AA454+X455-U455-AA454*V455/AB454</x:f>
        <x:v>7.573225632802802</x:v>
      </x:c>
      <x:c r="AB455" s="10" t="n">
        <x:f>Y455+Z455+AA455</x:f>
        <x:v>59.35860904402338</x:v>
      </x:c>
      <x:c r="AC455" s="8" t="n">
        <x:f>IF(AND(v01_WinterTrigger=1,D455=1,AB454/AE454&gt;=K455),1,0)</x:f>
        <x:v>0</x:v>
      </x:c>
      <x:c r="AD455" s="8" t="n">
        <x:f>H455*IF(AND(OR(AB454/AE454&gt;=v01_FissionTrigger*N455,AC455=1),AB454/AE454*v01_DaughterShare&gt;=v01_MinDaughter),MAX(1,ROUND(AE454*v01_FissionRate,0)),0)</x:f>
        <x:v>0</x:v>
      </x:c>
      <x:c r="AE455" s="8" t="n">
        <x:f>IF(H455=1,MAX(1,MIN(INDEX(v01_Smax,G455),AE454+AD455)),AE454)</x:f>
        <x:v>3</x:v>
      </x:c>
      <x:c r="AF455" s="8" t="n">
        <x:f>MAX(0,AE455-AE454)</x:f>
        <x:v>0</x:v>
      </x:c>
      <x:c r="AG455" s="9" t="str">
        <x:f>IF(AF455&gt;0,B455,"")</x:f>
      </x:c>
      <x:c r="AH455" s="9" t="n">
        <x:f>IF(F455&gt;=1,1,(1+v01_LowTiesShare*(AE455-1))/AE455)</x:f>
        <x:v>1</x:v>
      </x:c>
      <x:c r="AI455" s="32" t="n">
        <x:f>(Z455+v01_ElderCommons*INDEX(LM_Elder,G455)*AA455)*AH455</x:f>
        <x:v>44.88099197770778</x:v>
      </x:c>
      <x:c r="AJ455" s="32" t="n">
        <x:f>H455*v01_CommonsCoef*AI455^v01_CommonsExp*INDEX(LM_Commons,G455)</x:f>
        <x:v>16.741602098982373</x:v>
      </x:c>
      <x:c r="AK455" s="32" t="n">
        <x:f>H455*v01_RoleScale*Arch_Roles*(AE455*(INDEX(v01_ElderRolePerSett,G455)*v01_OutElder*INDEX(LM_Elder,G455)+INDEX(v01_ShamanPerSett,G455)*v01_OutShaman)+Z455*(INDEX(v01_PriestShare,G455)*v01_OutPriest+INDEX(v01_ScribeShare,G455)*v01_OutScribe*INDEX(LM_Scribe,G455)+INDEX(v01_ScholarShare,G455)*v01_OutScholar*INDEX(LM_Scholar,G455)+INDEX(v01_ResearcherShare,G455)*v01_OutResearcher*INDEX(LM_Researcher,G455)))</x:f>
        <x:v>4.087117307087383</x:v>
      </x:c>
      <x:c r="AL455" s="32" t="n">
        <x:f>H455*v01_RoleScale*Arch_Roles*AE455*INDEX(v01_MonasteryPerSett,G455)*v01_OutMonastery*INDEX(LM_Monastery,G455)</x:f>
        <x:v>0</x:v>
      </x:c>
      <x:c r="AM455" s="32" t="n">
        <x:f>(AJ455+AK455+AL455)/4*INDEX(LM_All,G455)*INDEX(v01_Boon,G455)*Arch_Insight</x:f>
        <x:v>5.337359347805374</x:v>
      </x:c>
      <x:c r="AN455" s="32" t="n">
        <x:f>H455*(v01_KHPerAdult*Z455+v01_KHOfCommons*AJ455/4*INDEX(LM_All,G455))*v01_KHUsable*Arch_KH</x:f>
        <x:v>0.9215658714631136</x:v>
      </x:c>
      <x:c r="AO455" s="32" t="n">
        <x:f>MIN(AP454+AN455,AM455*v01_KHMaxRatio)</x:f>
        <x:v>0.9215658714631136</x:v>
      </x:c>
      <x:c r="AP455" s="32" t="n">
        <x:f>AP454+AN455-AO455</x:f>
        <x:v>0</x:v>
      </x:c>
      <x:c r="AQ455" s="32" t="n">
        <x:f>AM455+AO455</x:f>
        <x:v>6.258925219268487</x:v>
      </x:c>
      <x:c r="AR455" s="10" t="n">
        <x:f>IF(H455=1,INDEX(v01_Req,G455),0)</x:f>
        <x:v>1067.32</x:v>
      </x:c>
      <x:c r="AS455" s="32" t="n">
        <x:f>IF(H455=1,IF(E455=1,AS454-AR454,AS454)+AQ455,0)</x:f>
        <x:v>855.2417203088875</x:v>
      </x:c>
      <x:c r="AT455" s="11" t="n">
        <x:f>IF(AR455&gt;0,MIN(1,AS455/AR455),1)</x:f>
        <x:v>0.8012983175700704</x:v>
      </x:c>
      <x:c r="AU455" s="10" t="n">
        <x:f>AB455/INDEX(v01_RepScale,G455)</x:f>
        <x:v>59.35860904402338</x:v>
      </x:c>
      <x:c r="AV455" s="32" t="n">
        <x:f>AM455*60/v01_SeasonSeconds</x:f>
        <x:v>21.349437391221496</x:v>
      </x:c>
    </x:row>
    <x:row r="456">
      <x:c r="A456" s="8" t="n">
        <x:f>A455+1</x:f>
        <x:v>453</x:v>
      </x:c>
      <x:c r="B456" s="9" t="n">
        <x:f>A456*v01_SeasonSeconds/60</x:f>
        <x:v>113.25</x:v>
      </x:c>
      <x:c r="C456" s="9" t="n">
        <x:f>A456/4</x:f>
        <x:v>113.25</x:v>
      </x:c>
      <x:c r="D456" s="8" t="n">
        <x:f>IF(MOD(A456,4)=0,1,0)</x:f>
        <x:v>0</x:v>
      </x:c>
      <x:c r="E456" s="8" t="n">
        <x:f>IF(AND(F455&lt;=9,AS455&gt;=AR455),1,0)</x:f>
        <x:v>0</x:v>
      </x:c>
      <x:c r="F456" s="8" t="n">
        <x:f>MIN(10,F455+E456)</x:f>
        <x:v>1</x:v>
      </x:c>
      <x:c r="G456" s="8" t="n">
        <x:f>MIN(F456,9)+1</x:f>
        <x:v>2</x:v>
      </x:c>
      <x:c r="H456" s="8" t="n">
        <x:f>IF(F456&lt;=9,1,0)</x:f>
        <x:v>1</x:v>
      </x:c>
      <x:c r="I456" s="9" t="n">
        <x:f>MIN(10,F455+IF(AR455&gt;0,MIN(1,AS455/AR455),1))</x:f>
        <x:v>1.8012983175700703</x:v>
      </x:c>
      <x:c r="J456" s="32" t="n">
        <x:f>INDEX(v01_FoodCap,G456)*Arch_FoodCap*EXP(v01_CapsByProject*SUMPRODUCT((Cap_Point&lt;=I456)*(Cap_Kind="Food")*Cap_Ln))</x:f>
        <x:v>30</x:v>
      </x:c>
      <x:c r="K456" s="32" t="n">
        <x:f>J456*MIN(1,v01_LeanBase*EXP(v01_CapsByProject*SUMPRODUCT((Cap_Point&lt;=I456)*(Cap_Kind="Lean")*Cap_Ln)))</x:f>
        <x:v>30</x:v>
      </x:c>
      <x:c r="L456" s="10" t="n">
        <x:f>INDEX(v01_HousingCap,G456)*EXP(v01_CapsByProject*SUMPRODUCT((Cap_Point&lt;=I456)*(Cap_Kind="Housing")*Cap_Ln))</x:f>
        <x:v>60</x:v>
      </x:c>
      <x:c r="M456" s="10" t="n">
        <x:f>INDEX(v01_GroupCap,G456)*v01_CohesionFactor*EXP(v01_CapsByProject*SUMPRODUCT((Cap_Point&lt;=I456)*(Cap_Kind="Group")*Cap_Ln))</x:f>
        <x:v>100</x:v>
      </x:c>
      <x:c r="N456" s="32" t="n">
        <x:f>MIN(J456,L456,M456)</x:f>
        <x:v>30</x:v>
      </x:c>
      <x:c r="O456" s="10" t="n">
        <x:f>AE455*N456</x:f>
        <x:v>90</x:v>
      </x:c>
      <x:c r="P456" s="9" t="n">
        <x:f>MIN(1,(AB455/(AE455*IF(v01_GroupInCrowding=1,N456,MIN(J456,L456))))^v01_CrowdingExp)</x:f>
        <x:v>0.08230898316852656</x:v>
      </x:c>
      <x:c r="Q456" s="9" t="n">
        <x:f>IF(D456=1,INDEX(v01_WinterMult,G456),1)</x:f>
        <x:v>1</x:v>
      </x:c>
      <x:c r="R456" s="9" t="n">
        <x:f>H456*Z455*v01_WomenShare*v01_BaseFertility*INDEX(v01_FertMult,G456)*Arch_Fertility*(1-P456)</x:f>
        <x:v>0.9061207732073225</x:v>
      </x:c>
      <x:c r="S456" s="9" t="n">
        <x:f>H456*Y455*INDEX(v01_MortChild,G456)/4*Q456</x:f>
        <x:v>0.22273063698240173</x:v>
      </x:c>
      <x:c r="T456" s="9" t="n">
        <x:f>H456*Z455*INDEX(v01_MortAdult,G456)*Arch_AdultMort/4*Q456</x:f>
        <x:v>0.08557397377871769</x:v>
      </x:c>
      <x:c r="U456" s="9" t="n">
        <x:f>H456*AA455*INDEX(v01_MortElder,G456)/4*Q456</x:f>
        <x:v>0.15146451265605604</x:v>
      </x:c>
      <x:c r="V456" s="9" t="n">
        <x:f>H456*MAX(0,AB455-O456)*v01_OvercapLoss</x:f>
        <x:v>0</x:v>
      </x:c>
      <x:c r="W456" s="9" t="n">
        <x:f>H456*Y455/(v01_ChildYears*4)</x:f>
        <x:v>0.45455232037224835</x:v>
      </x:c>
      <x:c r="X456" s="9" t="n">
        <x:f>H456*Z455/(v01_AdultYears*4)</x:f>
        <x:v>0.21234236669656995</x:v>
      </x:c>
      <x:c r="Y456" s="32" t="n">
        <x:f>Y455+R456-S456-W456-Y455*V456/AB455</x:f>
        <x:v>25.683767756698582</x:v>
      </x:c>
      <x:c r="Z456" s="32" t="n">
        <x:f>Z455+W456-X456-T456-Z455*V456/AB455</x:f>
        <x:v>26.487089450271633</x:v>
      </x:c>
      <x:c r="AA456" s="32" t="n">
        <x:f>AA455+X456-U456-AA455*V456/AB455</x:f>
        <x:v>7.6341034868433155</x:v>
      </x:c>
      <x:c r="AB456" s="10" t="n">
        <x:f>Y456+Z456+AA456</x:f>
        <x:v>59.80496069381353</x:v>
      </x:c>
      <x:c r="AC456" s="8" t="n">
        <x:f>IF(AND(v01_WinterTrigger=1,D456=1,AB455/AE455&gt;=K456),1,0)</x:f>
        <x:v>0</x:v>
      </x:c>
      <x:c r="AD456" s="8" t="n">
        <x:f>H456*IF(AND(OR(AB455/AE455&gt;=v01_FissionTrigger*N456,AC456=1),AB455/AE455*v01_DaughterShare&gt;=v01_MinDaughter),MAX(1,ROUND(AE455*v01_FissionRate,0)),0)</x:f>
        <x:v>0</x:v>
      </x:c>
      <x:c r="AE456" s="8" t="n">
        <x:f>IF(H456=1,MAX(1,MIN(INDEX(v01_Smax,G456),AE455+AD456)),AE455)</x:f>
        <x:v>3</x:v>
      </x:c>
      <x:c r="AF456" s="8" t="n">
        <x:f>MAX(0,AE456-AE455)</x:f>
        <x:v>0</x:v>
      </x:c>
      <x:c r="AG456" s="9" t="str">
        <x:f>IF(AF456&gt;0,B456,"")</x:f>
      </x:c>
      <x:c r="AH456" s="9" t="n">
        <x:f>IF(F456&gt;=1,1,(1+v01_LowTiesShare*(AE456-1))/AE456)</x:f>
        <x:v>1</x:v>
      </x:c>
      <x:c r="AI456" s="32" t="n">
        <x:f>(Z456+v01_ElderCommons*INDEX(LM_Elder,G456)*AA456)*AH456</x:f>
        <x:v>45.18674763663962</x:v>
      </x:c>
      <x:c r="AJ456" s="32" t="n">
        <x:f>H456*v01_CommonsCoef*AI456^v01_CommonsExp*INDEX(LM_Commons,G456)</x:f>
        <x:v>16.83849827067152</x:v>
      </x:c>
      <x:c r="AK456" s="32" t="n">
        <x:f>H456*v01_RoleScale*Arch_Roles*(AE456*(INDEX(v01_ElderRolePerSett,G456)*v01_OutElder*INDEX(LM_Elder,G456)+INDEX(v01_ShamanPerSett,G456)*v01_OutShaman)+Z456*(INDEX(v01_PriestShare,G456)*v01_OutPriest+INDEX(v01_ScribeShare,G456)*v01_OutScribe*INDEX(LM_Scribe,G456)+INDEX(v01_ScholarShare,G456)*v01_OutScholar*INDEX(LM_Scholar,G456)+INDEX(v01_ResearcherShare,G456)*v01_OutResearcher*INDEX(LM_Researcher,G456)))</x:f>
        <x:v>4.087117307087383</x:v>
      </x:c>
      <x:c r="AL456" s="32" t="n">
        <x:f>H456*v01_RoleScale*Arch_Roles*AE456*INDEX(v01_MonasteryPerSett,G456)*v01_OutMonastery*INDEX(LM_Monastery,G456)</x:f>
        <x:v>0</x:v>
      </x:c>
      <x:c r="AM456" s="32" t="n">
        <x:f>(AJ456+AK456+AL456)/4*INDEX(LM_All,G456)*INDEX(v01_Boon,G456)*Arch_Insight</x:f>
        <x:v>5.362188991800718</x:v>
      </x:c>
      <x:c r="AN456" s="32" t="n">
        <x:f>H456*(v01_KHPerAdult*Z456+v01_KHOfCommons*AJ456/4*INDEX(LM_All,G456))*v01_KHUsable*Arch_KH</x:f>
        <x:v>0.9270481307595071</x:v>
      </x:c>
      <x:c r="AO456" s="32" t="n">
        <x:f>MIN(AP455+AN456,AM456*v01_KHMaxRatio)</x:f>
        <x:v>0.9270481307595071</x:v>
      </x:c>
      <x:c r="AP456" s="32" t="n">
        <x:f>AP455+AN456-AO456</x:f>
        <x:v>0</x:v>
      </x:c>
      <x:c r="AQ456" s="32" t="n">
        <x:f>AM456+AO456</x:f>
        <x:v>6.289237122560225</x:v>
      </x:c>
      <x:c r="AR456" s="10" t="n">
        <x:f>IF(H456=1,INDEX(v01_Req,G456),0)</x:f>
        <x:v>1067.32</x:v>
      </x:c>
      <x:c r="AS456" s="32" t="n">
        <x:f>IF(H456=1,IF(E456=1,AS455-AR455,AS455)+AQ456,0)</x:f>
        <x:v>861.5309574314477</x:v>
      </x:c>
      <x:c r="AT456" s="11" t="n">
        <x:f>IF(AR456&gt;0,MIN(1,AS456/AR456),1)</x:f>
        <x:v>0.8071908681852189</x:v>
      </x:c>
      <x:c r="AU456" s="10" t="n">
        <x:f>AB456/INDEX(v01_RepScale,G456)</x:f>
        <x:v>59.80496069381353</x:v>
      </x:c>
      <x:c r="AV456" s="32" t="n">
        <x:f>AM456*60/v01_SeasonSeconds</x:f>
        <x:v>21.44875596720287</x:v>
      </x:c>
    </x:row>
    <x:row r="457">
      <x:c r="A457" s="8" t="n">
        <x:f>A456+1</x:f>
        <x:v>454</x:v>
      </x:c>
      <x:c r="B457" s="9" t="n">
        <x:f>A457*v01_SeasonSeconds/60</x:f>
        <x:v>113.5</x:v>
      </x:c>
      <x:c r="C457" s="9" t="n">
        <x:f>A457/4</x:f>
        <x:v>113.5</x:v>
      </x:c>
      <x:c r="D457" s="8" t="n">
        <x:f>IF(MOD(A457,4)=0,1,0)</x:f>
        <x:v>0</x:v>
      </x:c>
      <x:c r="E457" s="8" t="n">
        <x:f>IF(AND(F456&lt;=9,AS456&gt;=AR456),1,0)</x:f>
        <x:v>0</x:v>
      </x:c>
      <x:c r="F457" s="8" t="n">
        <x:f>MIN(10,F456+E457)</x:f>
        <x:v>1</x:v>
      </x:c>
      <x:c r="G457" s="8" t="n">
        <x:f>MIN(F457,9)+1</x:f>
        <x:v>2</x:v>
      </x:c>
      <x:c r="H457" s="8" t="n">
        <x:f>IF(F457&lt;=9,1,0)</x:f>
        <x:v>1</x:v>
      </x:c>
      <x:c r="I457" s="9" t="n">
        <x:f>MIN(10,F456+IF(AR456&gt;0,MIN(1,AS456/AR456),1))</x:f>
        <x:v>1.807190868185219</x:v>
      </x:c>
      <x:c r="J457" s="32" t="n">
        <x:f>INDEX(v01_FoodCap,G457)*Arch_FoodCap*EXP(v01_CapsByProject*SUMPRODUCT((Cap_Point&lt;=I457)*(Cap_Kind="Food")*Cap_Ln))</x:f>
        <x:v>30</x:v>
      </x:c>
      <x:c r="K457" s="32" t="n">
        <x:f>J457*MIN(1,v01_LeanBase*EXP(v01_CapsByProject*SUMPRODUCT((Cap_Point&lt;=I457)*(Cap_Kind="Lean")*Cap_Ln)))</x:f>
        <x:v>30</x:v>
      </x:c>
      <x:c r="L457" s="10" t="n">
        <x:f>INDEX(v01_HousingCap,G457)*EXP(v01_CapsByProject*SUMPRODUCT((Cap_Point&lt;=I457)*(Cap_Kind="Housing")*Cap_Ln))</x:f>
        <x:v>60</x:v>
      </x:c>
      <x:c r="M457" s="10" t="n">
        <x:f>INDEX(v01_GroupCap,G457)*v01_CohesionFactor*EXP(v01_CapsByProject*SUMPRODUCT((Cap_Point&lt;=I457)*(Cap_Kind="Group")*Cap_Ln))</x:f>
        <x:v>100</x:v>
      </x:c>
      <x:c r="N457" s="32" t="n">
        <x:f>MIN(J457,L457,M457)</x:f>
        <x:v>30</x:v>
      </x:c>
      <x:c r="O457" s="10" t="n">
        <x:f>AE456*N457</x:f>
        <x:v>90</x:v>
      </x:c>
      <x:c r="P457" s="9" t="n">
        <x:f>MIN(1,(AB456/(AE456*IF(v01_GroupInCrowding=1,N457,MIN(J457,L457))))^v01_CrowdingExp)</x:f>
        <x:v>0.08609307087673035</x:v>
      </x:c>
      <x:c r="Q457" s="9" t="n">
        <x:f>IF(D457=1,INDEX(v01_WinterMult,G457),1)</x:f>
        <x:v>1</x:v>
      </x:c>
      <x:c r="R457" s="9" t="n">
        <x:f>H457*Z456*v01_WomenShare*v01_BaseFertility*INDEX(v01_FertMult,G457)*Arch_Fertility*(1-P457)</x:f>
        <x:v>0.9077525467841663</x:v>
      </x:c>
      <x:c r="S457" s="9" t="n">
        <x:f>H457*Y456*INDEX(v01_MortChild,G457)/4*Q457</x:f>
        <x:v>0.2247329678711126</x:v>
      </x:c>
      <x:c r="T457" s="9" t="n">
        <x:f>H457*Z456*INDEX(v01_MortAdult,G457)*Arch_AdultMort/4*Q457</x:f>
        <x:v>0.0860830407133828</x:v>
      </x:c>
      <x:c r="U457" s="9" t="n">
        <x:f>H457*AA456*INDEX(v01_MortElder,G457)/4*Q457</x:f>
        <x:v>0.15268206973686632</x:v>
      </x:c>
      <x:c r="V457" s="9" t="n">
        <x:f>H457*MAX(0,AB456-O457)*v01_OvercapLoss</x:f>
        <x:v>0</x:v>
      </x:c>
      <x:c r="W457" s="9" t="n">
        <x:f>H457*Y456/(v01_ChildYears*4)</x:f>
        <x:v>0.4586387099410461</x:v>
      </x:c>
      <x:c r="X457" s="9" t="n">
        <x:f>H457*Z456/(v01_AdultYears*4)</x:f>
        <x:v>0.21360556008283574</x:v>
      </x:c>
      <x:c r="Y457" s="32" t="n">
        <x:f>Y456+R457-S457-W457-Y456*V457/AB456</x:f>
        <x:v>25.90814862567059</x:v>
      </x:c>
      <x:c r="Z457" s="32" t="n">
        <x:f>Z456+W457-X457-T457-Z456*V457/AB456</x:f>
        <x:v>26.646039559416458</x:v>
      </x:c>
      <x:c r="AA457" s="32" t="n">
        <x:f>AA456+X457-U457-AA456*V457/AB456</x:f>
        <x:v>7.6950269771892845</x:v>
      </x:c>
      <x:c r="AB457" s="10" t="n">
        <x:f>Y457+Z457+AA457</x:f>
        <x:v>60.249215162276336</x:v>
      </x:c>
      <x:c r="AC457" s="8" t="n">
        <x:f>IF(AND(v01_WinterTrigger=1,D457=1,AB456/AE456&gt;=K457),1,0)</x:f>
        <x:v>0</x:v>
      </x:c>
      <x:c r="AD457" s="8" t="n">
        <x:f>H457*IF(AND(OR(AB456/AE456&gt;=v01_FissionTrigger*N457,AC457=1),AB456/AE456*v01_DaughterShare&gt;=v01_MinDaughter),MAX(1,ROUND(AE456*v01_FissionRate,0)),0)</x:f>
        <x:v>0</x:v>
      </x:c>
      <x:c r="AE457" s="8" t="n">
        <x:f>IF(H457=1,MAX(1,MIN(INDEX(v01_Smax,G457),AE456+AD457)),AE456)</x:f>
        <x:v>3</x:v>
      </x:c>
      <x:c r="AF457" s="8" t="n">
        <x:f>MAX(0,AE457-AE456)</x:f>
        <x:v>0</x:v>
      </x:c>
      <x:c r="AG457" s="9" t="str">
        <x:f>IF(AF457&gt;0,B457,"")</x:f>
      </x:c>
      <x:c r="AH457" s="9" t="n">
        <x:f>IF(F457&gt;=1,1,(1+v01_LowTiesShare*(AE457-1))/AE457)</x:f>
        <x:v>1</x:v>
      </x:c>
      <x:c r="AI457" s="32" t="n">
        <x:f>(Z457+v01_ElderCommons*INDEX(LM_Elder,G457)*AA457)*AH457</x:f>
        <x:v>45.49492921048145</x:v>
      </x:c>
      <x:c r="AJ457" s="32" t="n">
        <x:f>H457*v01_CommonsCoef*AI457^v01_CommonsExp*INDEX(LM_Commons,G457)</x:f>
        <x:v>16.936063763401343</x:v>
      </x:c>
      <x:c r="AK457" s="32" t="n">
        <x:f>H457*v01_RoleScale*Arch_Roles*(AE457*(INDEX(v01_ElderRolePerSett,G457)*v01_OutElder*INDEX(LM_Elder,G457)+INDEX(v01_ShamanPerSett,G457)*v01_OutShaman)+Z457*(INDEX(v01_PriestShare,G457)*v01_OutPriest+INDEX(v01_ScribeShare,G457)*v01_OutScribe*INDEX(LM_Scribe,G457)+INDEX(v01_ScholarShare,G457)*v01_OutScholar*INDEX(LM_Scholar,G457)+INDEX(v01_ResearcherShare,G457)*v01_OutResearcher*INDEX(LM_Researcher,G457)))</x:f>
        <x:v>4.087117307087383</x:v>
      </x:c>
      <x:c r="AL457" s="32" t="n">
        <x:f>H457*v01_RoleScale*Arch_Roles*AE457*INDEX(v01_MonasteryPerSett,G457)*v01_OutMonastery*INDEX(LM_Monastery,G457)</x:f>
        <x:v>0</x:v>
      </x:c>
      <x:c r="AM457" s="32" t="n">
        <x:f>(AJ457+AK457+AL457)/4*INDEX(LM_All,G457)*INDEX(v01_Boon,G457)*Arch_Insight</x:f>
        <x:v>5.387190149312735</x:v>
      </x:c>
      <x:c r="AN457" s="32" t="n">
        <x:f>H457*(v01_KHPerAdult*Z457+v01_KHOfCommons*AJ457/4*INDEX(LM_All,G457))*v01_KHUsable*Arch_KH</x:f>
        <x:v>0.932611384579576</x:v>
      </x:c>
      <x:c r="AO457" s="32" t="n">
        <x:f>MIN(AP456+AN457,AM457*v01_KHMaxRatio)</x:f>
        <x:v>0.932611384579576</x:v>
      </x:c>
      <x:c r="AP457" s="32" t="n">
        <x:f>AP456+AN457-AO457</x:f>
        <x:v>0</x:v>
      </x:c>
      <x:c r="AQ457" s="32" t="n">
        <x:f>AM457+AO457</x:f>
        <x:v>6.319801533892311</x:v>
      </x:c>
      <x:c r="AR457" s="10" t="n">
        <x:f>IF(H457=1,INDEX(v01_Req,G457),0)</x:f>
        <x:v>1067.32</x:v>
      </x:c>
      <x:c r="AS457" s="32" t="n">
        <x:f>IF(H457=1,IF(E457=1,AS456-AR456,AS456)+AQ457,0)</x:f>
        <x:v>867.8507589653401</x:v>
      </x:c>
      <x:c r="AT457" s="11" t="n">
        <x:f>IF(AR457&gt;0,MIN(1,AS457/AR457),1)</x:f>
        <x:v>0.8131120553960763</x:v>
      </x:c>
      <x:c r="AU457" s="10" t="n">
        <x:f>AB457/INDEX(v01_RepScale,G457)</x:f>
        <x:v>60.249215162276336</x:v>
      </x:c>
      <x:c r="AV457" s="32" t="n">
        <x:f>AM457*60/v01_SeasonSeconds</x:f>
        <x:v>21.54876059725094</x:v>
      </x:c>
    </x:row>
    <x:row r="458">
      <x:c r="A458" s="8" t="n">
        <x:f>A457+1</x:f>
        <x:v>455</x:v>
      </x:c>
      <x:c r="B458" s="9" t="n">
        <x:f>A458*v01_SeasonSeconds/60</x:f>
        <x:v>113.75</x:v>
      </x:c>
      <x:c r="C458" s="9" t="n">
        <x:f>A458/4</x:f>
        <x:v>113.75</x:v>
      </x:c>
      <x:c r="D458" s="8" t="n">
        <x:f>IF(MOD(A458,4)=0,1,0)</x:f>
        <x:v>0</x:v>
      </x:c>
      <x:c r="E458" s="8" t="n">
        <x:f>IF(AND(F457&lt;=9,AS457&gt;=AR457),1,0)</x:f>
        <x:v>0</x:v>
      </x:c>
      <x:c r="F458" s="8" t="n">
        <x:f>MIN(10,F457+E458)</x:f>
        <x:v>1</x:v>
      </x:c>
      <x:c r="G458" s="8" t="n">
        <x:f>MIN(F458,9)+1</x:f>
        <x:v>2</x:v>
      </x:c>
      <x:c r="H458" s="8" t="n">
        <x:f>IF(F458&lt;=9,1,0)</x:f>
        <x:v>1</x:v>
      </x:c>
      <x:c r="I458" s="9" t="n">
        <x:f>MIN(10,F457+IF(AR457&gt;0,MIN(1,AS457/AR457),1))</x:f>
        <x:v>1.8131120553960764</x:v>
      </x:c>
      <x:c r="J458" s="32" t="n">
        <x:f>INDEX(v01_FoodCap,G458)*Arch_FoodCap*EXP(v01_CapsByProject*SUMPRODUCT((Cap_Point&lt;=I458)*(Cap_Kind="Food")*Cap_Ln))</x:f>
        <x:v>30</x:v>
      </x:c>
      <x:c r="K458" s="32" t="n">
        <x:f>J458*MIN(1,v01_LeanBase*EXP(v01_CapsByProject*SUMPRODUCT((Cap_Point&lt;=I458)*(Cap_Kind="Lean")*Cap_Ln)))</x:f>
        <x:v>30</x:v>
      </x:c>
      <x:c r="L458" s="10" t="n">
        <x:f>INDEX(v01_HousingCap,G458)*EXP(v01_CapsByProject*SUMPRODUCT((Cap_Point&lt;=I458)*(Cap_Kind="Housing")*Cap_Ln))</x:f>
        <x:v>60</x:v>
      </x:c>
      <x:c r="M458" s="10" t="n">
        <x:f>INDEX(v01_GroupCap,G458)*v01_CohesionFactor*EXP(v01_CapsByProject*SUMPRODUCT((Cap_Point&lt;=I458)*(Cap_Kind="Group")*Cap_Ln))</x:f>
        <x:v>100</x:v>
      </x:c>
      <x:c r="N458" s="32" t="n">
        <x:f>MIN(J458,L458,M458)</x:f>
        <x:v>30</x:v>
      </x:c>
      <x:c r="O458" s="10" t="n">
        <x:f>AE457*N458</x:f>
        <x:v>90</x:v>
      </x:c>
      <x:c r="P458" s="9" t="n">
        <x:f>MIN(1,(AB457/(AE457*IF(v01_GroupInCrowding=1,N458,MIN(J458,L458))))^v01_CrowdingExp)</x:f>
        <x:v>0.09000223763231832</x:v>
      </x:c>
      <x:c r="Q458" s="9" t="n">
        <x:f>IF(D458=1,INDEX(v01_WinterMult,G458),1)</x:f>
        <x:v>1</x:v>
      </x:c>
      <x:c r="R458" s="9" t="n">
        <x:f>H458*Z457*v01_WomenShare*v01_BaseFertility*INDEX(v01_FertMult,G458)*Arch_Fertility*(1-P458)</x:f>
        <x:v>0.9092938640636139</x:v>
      </x:c>
      <x:c r="S458" s="9" t="n">
        <x:f>H458*Y457*INDEX(v01_MortChild,G458)/4*Q458</x:f>
        <x:v>0.2266963004746177</x:v>
      </x:c>
      <x:c r="T458" s="9" t="n">
        <x:f>H458*Z457*INDEX(v01_MortAdult,G458)*Arch_AdultMort/4*Q458</x:f>
        <x:v>0.08659962856810348</x:v>
      </x:c>
      <x:c r="U458" s="9" t="n">
        <x:f>H458*AA457*INDEX(v01_MortElder,G458)/4*Q458</x:f>
        <x:v>0.15390053954378569</x:v>
      </x:c>
      <x:c r="V458" s="9" t="n">
        <x:f>H458*MAX(0,AB457-O458)*v01_OvercapLoss</x:f>
        <x:v>0</x:v>
      </x:c>
      <x:c r="W458" s="9" t="n">
        <x:f>H458*Y457/(v01_ChildYears*4)</x:f>
        <x:v>0.46264551117268915</x:v>
      </x:c>
      <x:c r="X458" s="9" t="n">
        <x:f>H458*Z457/(v01_AdultYears*4)</x:f>
        <x:v>0.21488741580174564</x:v>
      </x:c>
      <x:c r="Y458" s="32" t="n">
        <x:f>Y457+R458-S458-W458-Y457*V458/AB457</x:f>
        <x:v>26.1281006780869</x:v>
      </x:c>
      <x:c r="Z458" s="32" t="n">
        <x:f>Z457+W458-X458-T458-Z457*V458/AB457</x:f>
        <x:v>26.8071980262193</x:v>
      </x:c>
      <x:c r="AA458" s="32" t="n">
        <x:f>AA457+X458-U458-AA457*V458/AB457</x:f>
        <x:v>7.756013853447245</x:v>
      </x:c>
      <x:c r="AB458" s="10" t="n">
        <x:f>Y458+Z458+AA458</x:f>
        <x:v>60.69131255775344</x:v>
      </x:c>
      <x:c r="AC458" s="8" t="n">
        <x:f>IF(AND(v01_WinterTrigger=1,D458=1,AB457/AE457&gt;=K458),1,0)</x:f>
        <x:v>0</x:v>
      </x:c>
      <x:c r="AD458" s="8" t="n">
        <x:f>H458*IF(AND(OR(AB457/AE457&gt;=v01_FissionTrigger*N458,AC458=1),AB457/AE457*v01_DaughterShare&gt;=v01_MinDaughter),MAX(1,ROUND(AE457*v01_FissionRate,0)),0)</x:f>
        <x:v>0</x:v>
      </x:c>
      <x:c r="AE458" s="8" t="n">
        <x:f>IF(H458=1,MAX(1,MIN(INDEX(v01_Smax,G458),AE457+AD458)),AE457)</x:f>
        <x:v>3</x:v>
      </x:c>
      <x:c r="AF458" s="8" t="n">
        <x:f>MAX(0,AE458-AE457)</x:f>
        <x:v>0</x:v>
      </x:c>
      <x:c r="AG458" s="9" t="str">
        <x:f>IF(AF458&gt;0,B458,"")</x:f>
      </x:c>
      <x:c r="AH458" s="9" t="n">
        <x:f>IF(F458&gt;=1,1,(1+v01_LowTiesShare*(AE458-1))/AE458)</x:f>
        <x:v>1</x:v>
      </x:c>
      <x:c r="AI458" s="32" t="n">
        <x:f>(Z458+v01_ElderCommons*INDEX(LM_Elder,G458)*AA458)*AH458</x:f>
        <x:v>45.80547440512255</x:v>
      </x:c>
      <x:c r="AJ458" s="32" t="n">
        <x:f>H458*v01_CommonsCoef*AI458^v01_CommonsExp*INDEX(LM_Commons,G458)</x:f>
        <x:v>17.03427731444446</x:v>
      </x:c>
      <x:c r="AK458" s="32" t="n">
        <x:f>H458*v01_RoleScale*Arch_Roles*(AE458*(INDEX(v01_ElderRolePerSett,G458)*v01_OutElder*INDEX(LM_Elder,G458)+INDEX(v01_ShamanPerSett,G458)*v01_OutShaman)+Z458*(INDEX(v01_PriestShare,G458)*v01_OutPriest+INDEX(v01_ScribeShare,G458)*v01_OutScribe*INDEX(LM_Scribe,G458)+INDEX(v01_ScholarShare,G458)*v01_OutScholar*INDEX(LM_Scholar,G458)+INDEX(v01_ResearcherShare,G458)*v01_OutResearcher*INDEX(LM_Researcher,G458)))</x:f>
        <x:v>4.087117307087383</x:v>
      </x:c>
      <x:c r="AL458" s="32" t="n">
        <x:f>H458*v01_RoleScale*Arch_Roles*AE458*INDEX(v01_MonasteryPerSett,G458)*v01_OutMonastery*INDEX(LM_Monastery,G458)</x:f>
        <x:v>0</x:v>
      </x:c>
      <x:c r="AM458" s="32" t="n">
        <x:f>(AJ458+AK458+AL458)/4*INDEX(LM_All,G458)*INDEX(v01_Boon,G458)*Arch_Insight</x:f>
        <x:v>5.412357371767534</x:v>
      </x:c>
      <x:c r="AN458" s="32" t="n">
        <x:f>H458*(v01_KHPerAdult*Z458+v01_KHOfCommons*AJ458/4*INDEX(LM_All,G458))*v01_KHUsable*Arch_KH</x:f>
        <x:v>0.9382519309176754</x:v>
      </x:c>
      <x:c r="AO458" s="32" t="n">
        <x:f>MIN(AP457+AN458,AM458*v01_KHMaxRatio)</x:f>
        <x:v>0.9382519309176754</x:v>
      </x:c>
      <x:c r="AP458" s="32" t="n">
        <x:f>AP457+AN458-AO458</x:f>
        <x:v>0</x:v>
      </x:c>
      <x:c r="AQ458" s="32" t="n">
        <x:f>AM458+AO458</x:f>
        <x:v>6.35060930268521</x:v>
      </x:c>
      <x:c r="AR458" s="10" t="n">
        <x:f>IF(H458=1,INDEX(v01_Req,G458),0)</x:f>
        <x:v>1067.32</x:v>
      </x:c>
      <x:c r="AS458" s="32" t="n">
        <x:f>IF(H458=1,IF(E458=1,AS457-AR457,AS457)+AQ458,0)</x:f>
        <x:v>874.2013682680254</x:v>
      </x:c>
      <x:c r="AT458" s="11" t="n">
        <x:f>IF(AR458&gt;0,MIN(1,AS458/AR458),1)</x:f>
        <x:v>0.8190621072106073</x:v>
      </x:c>
      <x:c r="AU458" s="10" t="n">
        <x:f>AB458/INDEX(v01_RepScale,G458)</x:f>
        <x:v>60.69131255775344</x:v>
      </x:c>
      <x:c r="AV458" s="32" t="n">
        <x:f>AM458*60/v01_SeasonSeconds</x:f>
        <x:v>21.649429487070133</x:v>
      </x:c>
    </x:row>
    <x:row r="459">
      <x:c r="A459" s="8" t="n">
        <x:f>A458+1</x:f>
        <x:v>456</x:v>
      </x:c>
      <x:c r="B459" s="9" t="n">
        <x:f>A459*v01_SeasonSeconds/60</x:f>
        <x:v>114</x:v>
      </x:c>
      <x:c r="C459" s="9" t="n">
        <x:f>A459/4</x:f>
        <x:v>114</x:v>
      </x:c>
      <x:c r="D459" s="8" t="n">
        <x:f>IF(MOD(A459,4)=0,1,0)</x:f>
        <x:v>1</x:v>
      </x:c>
      <x:c r="E459" s="8" t="n">
        <x:f>IF(AND(F458&lt;=9,AS458&gt;=AR458),1,0)</x:f>
        <x:v>0</x:v>
      </x:c>
      <x:c r="F459" s="8" t="n">
        <x:f>MIN(10,F458+E459)</x:f>
        <x:v>1</x:v>
      </x:c>
      <x:c r="G459" s="8" t="n">
        <x:f>MIN(F459,9)+1</x:f>
        <x:v>2</x:v>
      </x:c>
      <x:c r="H459" s="8" t="n">
        <x:f>IF(F459&lt;=9,1,0)</x:f>
        <x:v>1</x:v>
      </x:c>
      <x:c r="I459" s="9" t="n">
        <x:f>MIN(10,F458+IF(AR458&gt;0,MIN(1,AS458/AR458),1))</x:f>
        <x:v>1.8190621072106072</x:v>
      </x:c>
      <x:c r="J459" s="32" t="n">
        <x:f>INDEX(v01_FoodCap,G459)*Arch_FoodCap*EXP(v01_CapsByProject*SUMPRODUCT((Cap_Point&lt;=I459)*(Cap_Kind="Food")*Cap_Ln))</x:f>
        <x:v>30</x:v>
      </x:c>
      <x:c r="K459" s="32" t="n">
        <x:f>J459*MIN(1,v01_LeanBase*EXP(v01_CapsByProject*SUMPRODUCT((Cap_Point&lt;=I459)*(Cap_Kind="Lean")*Cap_Ln)))</x:f>
        <x:v>30</x:v>
      </x:c>
      <x:c r="L459" s="10" t="n">
        <x:f>INDEX(v01_HousingCap,G459)*EXP(v01_CapsByProject*SUMPRODUCT((Cap_Point&lt;=I459)*(Cap_Kind="Housing")*Cap_Ln))</x:f>
        <x:v>60</x:v>
      </x:c>
      <x:c r="M459" s="10" t="n">
        <x:f>INDEX(v01_GroupCap,G459)*v01_CohesionFactor*EXP(v01_CapsByProject*SUMPRODUCT((Cap_Point&lt;=I459)*(Cap_Kind="Group")*Cap_Ln))</x:f>
        <x:v>100</x:v>
      </x:c>
      <x:c r="N459" s="32" t="n">
        <x:f>MIN(J459,L459,M459)</x:f>
        <x:v>30</x:v>
      </x:c>
      <x:c r="O459" s="10" t="n">
        <x:f>AE458*N459</x:f>
        <x:v>90</x:v>
      </x:c>
      <x:c r="P459" s="9" t="n">
        <x:f>MIN(1,(AB458/(AE458*IF(v01_GroupInCrowding=1,N459,MIN(J459,L459))))^v01_CrowdingExp)</x:f>
        <x:v>0.09403816007905827</x:v>
      </x:c>
      <x:c r="Q459" s="9" t="n">
        <x:f>IF(D459=1,INDEX(v01_WinterMult,G459),1)</x:f>
        <x:v>1.6</x:v>
      </x:c>
      <x:c r="R459" s="9" t="n">
        <x:f>H459*Z458*v01_WomenShare*v01_BaseFertility*INDEX(v01_FertMult,G459)*Arch_Fertility*(1-P459)</x:f>
        <x:v>0.9107361917609501</x:v>
      </x:c>
      <x:c r="S459" s="9" t="n">
        <x:f>H459*Y458*INDEX(v01_MortChild,G459)/4*Q459</x:f>
        <x:v>0.36579340949321665</x:v>
      </x:c>
      <x:c r="T459" s="9" t="n">
        <x:f>H459*Z458*INDEX(v01_MortAdult,G459)*Arch_AdultMort/4*Q459</x:f>
        <x:v>0.13939742973634037</x:v>
      </x:c>
      <x:c r="U459" s="9" t="n">
        <x:f>H459*AA458*INDEX(v01_MortElder,G459)/4*Q459</x:f>
        <x:v>0.24819244331031187</x:v>
      </x:c>
      <x:c r="V459" s="9" t="n">
        <x:f>H459*MAX(0,AB458-O459)*v01_OvercapLoss</x:f>
        <x:v>0</x:v>
      </x:c>
      <x:c r="W459" s="9" t="n">
        <x:f>H459*Y458/(v01_ChildYears*4)</x:f>
        <x:v>0.4665732263944089</x:v>
      </x:c>
      <x:c r="X459" s="9" t="n">
        <x:f>H459*Z458/(v01_AdultYears*4)</x:f>
        <x:v>0.21618708085660726</x:v>
      </x:c>
      <x:c r="Y459" s="32" t="n">
        <x:f>Y458+R459-S459-W459-Y458*V459/AB458</x:f>
        <x:v>26.20647023396022</x:v>
      </x:c>
      <x:c r="Z459" s="32" t="n">
        <x:f>Z458+W459-X459-T459-Z458*V459/AB458</x:f>
        <x:v>26.91818674202076</x:v>
      </x:c>
      <x:c r="AA459" s="32" t="n">
        <x:f>AA458+X459-U459-AA458*V459/AB458</x:f>
        <x:v>7.7240084909935405</x:v>
      </x:c>
      <x:c r="AB459" s="10" t="n">
        <x:f>Y459+Z459+AA459</x:f>
        <x:v>60.84866546697452</x:v>
      </x:c>
      <x:c r="AC459" s="8" t="n">
        <x:f>IF(AND(v01_WinterTrigger=1,D459=1,AB458/AE458&gt;=K459),1,0)</x:f>
        <x:v>0</x:v>
      </x:c>
      <x:c r="AD459" s="8" t="n">
        <x:f>H459*IF(AND(OR(AB458/AE458&gt;=v01_FissionTrigger*N459,AC459=1),AB458/AE458*v01_DaughterShare&gt;=v01_MinDaughter),MAX(1,ROUND(AE458*v01_FissionRate,0)),0)</x:f>
        <x:v>0</x:v>
      </x:c>
      <x:c r="AE459" s="8" t="n">
        <x:f>IF(H459=1,MAX(1,MIN(INDEX(v01_Smax,G459),AE458+AD459)),AE458)</x:f>
        <x:v>3</x:v>
      </x:c>
      <x:c r="AF459" s="8" t="n">
        <x:f>MAX(0,AE459-AE458)</x:f>
        <x:v>0</x:v>
      </x:c>
      <x:c r="AG459" s="9" t="str">
        <x:f>IF(AF459&gt;0,B459,"")</x:f>
      </x:c>
      <x:c r="AH459" s="9" t="n">
        <x:f>IF(F459&gt;=1,1,(1+v01_LowTiesShare*(AE459-1))/AE459)</x:f>
        <x:v>1</x:v>
      </x:c>
      <x:c r="AI459" s="32" t="n">
        <x:f>(Z459+v01_ElderCommons*INDEX(LM_Elder,G459)*AA459)*AH459</x:f>
        <x:v>45.83806631387961</x:v>
      </x:c>
      <x:c r="AJ459" s="32" t="n">
        <x:f>H459*v01_CommonsCoef*AI459^v01_CommonsExp*INDEX(LM_Commons,G459)</x:f>
        <x:v>17.044579085144395</x:v>
      </x:c>
      <x:c r="AK459" s="32" t="n">
        <x:f>H459*v01_RoleScale*Arch_Roles*(AE459*(INDEX(v01_ElderRolePerSett,G459)*v01_OutElder*INDEX(LM_Elder,G459)+INDEX(v01_ShamanPerSett,G459)*v01_OutShaman)+Z459*(INDEX(v01_PriestShare,G459)*v01_OutPriest+INDEX(v01_ScribeShare,G459)*v01_OutScribe*INDEX(LM_Scribe,G459)+INDEX(v01_ScholarShare,G459)*v01_OutScholar*INDEX(LM_Scholar,G459)+INDEX(v01_ResearcherShare,G459)*v01_OutResearcher*INDEX(LM_Researcher,G459)))</x:f>
        <x:v>4.087117307087383</x:v>
      </x:c>
      <x:c r="AL459" s="32" t="n">
        <x:f>H459*v01_RoleScale*Arch_Roles*AE459*INDEX(v01_MonasteryPerSett,G459)*v01_OutMonastery*INDEX(LM_Monastery,G459)</x:f>
        <x:v>0</x:v>
      </x:c>
      <x:c r="AM459" s="32" t="n">
        <x:f>(AJ459+AK459+AL459)/4*INDEX(LM_All,G459)*INDEX(v01_Boon,G459)*Arch_Insight</x:f>
        <x:v>5.414997200509393</x:v>
      </x:c>
      <x:c r="AN459" s="32" t="n">
        <x:f>H459*(v01_KHPerAdult*Z459+v01_KHOfCommons*AJ459/4*INDEX(LM_All,G459))*v01_KHUsable*Arch_KH</x:f>
        <x:v>0.9421365359707267</x:v>
      </x:c>
      <x:c r="AO459" s="32" t="n">
        <x:f>MIN(AP458+AN459,AM459*v01_KHMaxRatio)</x:f>
        <x:v>0.9421365359707267</x:v>
      </x:c>
      <x:c r="AP459" s="32" t="n">
        <x:f>AP458+AN459-AO459</x:f>
        <x:v>0</x:v>
      </x:c>
      <x:c r="AQ459" s="32" t="n">
        <x:f>AM459+AO459</x:f>
        <x:v>6.35713373648012</x:v>
      </x:c>
      <x:c r="AR459" s="10" t="n">
        <x:f>IF(H459=1,INDEX(v01_Req,G459),0)</x:f>
        <x:v>1067.32</x:v>
      </x:c>
      <x:c r="AS459" s="32" t="n">
        <x:f>IF(H459=1,IF(E459=1,AS458-AR458,AS458)+AQ459,0)</x:f>
        <x:v>880.5585020045055</x:v>
      </x:c>
      <x:c r="AT459" s="11" t="n">
        <x:f>IF(AR459&gt;0,MIN(1,AS459/AR459),1)</x:f>
        <x:v>0.8250182719376621</x:v>
      </x:c>
      <x:c r="AU459" s="10" t="n">
        <x:f>AB459/INDEX(v01_RepScale,G459)</x:f>
        <x:v>60.84866546697452</x:v>
      </x:c>
      <x:c r="AV459" s="32" t="n">
        <x:f>AM459*60/v01_SeasonSeconds</x:f>
        <x:v>21.65998880203757</x:v>
      </x:c>
    </x:row>
    <x:row r="460">
      <x:c r="A460" s="8" t="n">
        <x:f>A459+1</x:f>
        <x:v>457</x:v>
      </x:c>
      <x:c r="B460" s="9" t="n">
        <x:f>A460*v01_SeasonSeconds/60</x:f>
        <x:v>114.25</x:v>
      </x:c>
      <x:c r="C460" s="9" t="n">
        <x:f>A460/4</x:f>
        <x:v>114.25</x:v>
      </x:c>
      <x:c r="D460" s="8" t="n">
        <x:f>IF(MOD(A460,4)=0,1,0)</x:f>
        <x:v>0</x:v>
      </x:c>
      <x:c r="E460" s="8" t="n">
        <x:f>IF(AND(F459&lt;=9,AS459&gt;=AR459),1,0)</x:f>
        <x:v>0</x:v>
      </x:c>
      <x:c r="F460" s="8" t="n">
        <x:f>MIN(10,F459+E460)</x:f>
        <x:v>1</x:v>
      </x:c>
      <x:c r="G460" s="8" t="n">
        <x:f>MIN(F460,9)+1</x:f>
        <x:v>2</x:v>
      </x:c>
      <x:c r="H460" s="8" t="n">
        <x:f>IF(F460&lt;=9,1,0)</x:f>
        <x:v>1</x:v>
      </x:c>
      <x:c r="I460" s="9" t="n">
        <x:f>MIN(10,F459+IF(AR459&gt;0,MIN(1,AS459/AR459),1))</x:f>
        <x:v>1.8250182719376622</x:v>
      </x:c>
      <x:c r="J460" s="32" t="n">
        <x:f>INDEX(v01_FoodCap,G460)*Arch_FoodCap*EXP(v01_CapsByProject*SUMPRODUCT((Cap_Point&lt;=I460)*(Cap_Kind="Food")*Cap_Ln))</x:f>
        <x:v>30</x:v>
      </x:c>
      <x:c r="K460" s="32" t="n">
        <x:f>J460*MIN(1,v01_LeanBase*EXP(v01_CapsByProject*SUMPRODUCT((Cap_Point&lt;=I460)*(Cap_Kind="Lean")*Cap_Ln)))</x:f>
        <x:v>30</x:v>
      </x:c>
      <x:c r="L460" s="10" t="n">
        <x:f>INDEX(v01_HousingCap,G460)*EXP(v01_CapsByProject*SUMPRODUCT((Cap_Point&lt;=I460)*(Cap_Kind="Housing")*Cap_Ln))</x:f>
        <x:v>60</x:v>
      </x:c>
      <x:c r="M460" s="10" t="n">
        <x:f>INDEX(v01_GroupCap,G460)*v01_CohesionFactor*EXP(v01_CapsByProject*SUMPRODUCT((Cap_Point&lt;=I460)*(Cap_Kind="Group")*Cap_Ln))</x:f>
        <x:v>100</x:v>
      </x:c>
      <x:c r="N460" s="32" t="n">
        <x:f>MIN(J460,L460,M460)</x:f>
        <x:v>30</x:v>
      </x:c>
      <x:c r="O460" s="10" t="n">
        <x:f>AE459*N460</x:f>
        <x:v>90</x:v>
      </x:c>
      <x:c r="P460" s="9" t="n">
        <x:f>MIN(1,(AB459/(AE459*IF(v01_GroupInCrowding=1,N460,MIN(J460,L460))))^v01_CrowdingExp)</x:f>
        <x:v>0.0955105376262354</x:v>
      </x:c>
      <x:c r="Q460" s="9" t="n">
        <x:f>IF(D460=1,INDEX(v01_WinterMult,G460),1)</x:f>
        <x:v>1</x:v>
      </x:c>
      <x:c r="R460" s="9" t="n">
        <x:f>H460*Z459*v01_WomenShare*v01_BaseFertility*INDEX(v01_FertMult,G460)*Arch_Fertility*(1-P460)</x:f>
        <x:v>0.9130206095387607</x:v>
      </x:c>
      <x:c r="S460" s="9" t="n">
        <x:f>H460*Y459*INDEX(v01_MortChild,G460)/4*Q460</x:f>
        <x:v>0.22930661454715195</x:v>
      </x:c>
      <x:c r="T460" s="9" t="n">
        <x:f>H460*Z459*INDEX(v01_MortAdult,G460)*Arch_AdultMort/4*Q460</x:f>
        <x:v>0.08748410691156747</x:v>
      </x:c>
      <x:c r="U460" s="9" t="n">
        <x:f>H460*AA459*INDEX(v01_MortElder,G460)/4*Q460</x:f>
        <x:v>0.1544801698198708</x:v>
      </x:c>
      <x:c r="V460" s="9" t="n">
        <x:f>H460*MAX(0,AB459-O460)*v01_OvercapLoss</x:f>
        <x:v>0</x:v>
      </x:c>
      <x:c r="W460" s="9" t="n">
        <x:f>H460*Y459/(v01_ChildYears*4)</x:f>
        <x:v>0.46797268274928966</x:v>
      </x:c>
      <x:c r="X460" s="9" t="n">
        <x:f>H460*Z459/(v01_AdultYears*4)</x:f>
        <x:v>0.21708215114532872</x:v>
      </x:c>
      <x:c r="Y460" s="32" t="n">
        <x:f>Y459+R460-S460-W460-Y459*V460/AB459</x:f>
        <x:v>26.42221154620254</x:v>
      </x:c>
      <x:c r="Z460" s="32" t="n">
        <x:f>Z459+W460-X460-T460-Z459*V460/AB459</x:f>
        <x:v>27.081593166713155</x:v>
      </x:c>
      <x:c r="AA460" s="32" t="n">
        <x:f>AA459+X460-U460-AA459*V460/AB459</x:f>
        <x:v>7.786610472318999</x:v>
      </x:c>
      <x:c r="AB460" s="10" t="n">
        <x:f>Y460+Z460+AA460</x:f>
        <x:v>61.29041518523469</x:v>
      </x:c>
      <x:c r="AC460" s="8" t="n">
        <x:f>IF(AND(v01_WinterTrigger=1,D460=1,AB459/AE459&gt;=K460),1,0)</x:f>
        <x:v>0</x:v>
      </x:c>
      <x:c r="AD460" s="8" t="n">
        <x:f>H460*IF(AND(OR(AB459/AE459&gt;=v01_FissionTrigger*N460,AC460=1),AB459/AE459*v01_DaughterShare&gt;=v01_MinDaughter),MAX(1,ROUND(AE459*v01_FissionRate,0)),0)</x:f>
        <x:v>0</x:v>
      </x:c>
      <x:c r="AE460" s="8" t="n">
        <x:f>IF(H460=1,MAX(1,MIN(INDEX(v01_Smax,G460),AE459+AD460)),AE459)</x:f>
        <x:v>3</x:v>
      </x:c>
      <x:c r="AF460" s="8" t="n">
        <x:f>MAX(0,AE460-AE459)</x:f>
        <x:v>0</x:v>
      </x:c>
      <x:c r="AG460" s="9" t="str">
        <x:f>IF(AF460&gt;0,B460,"")</x:f>
      </x:c>
      <x:c r="AH460" s="9" t="n">
        <x:f>IF(F460&gt;=1,1,(1+v01_LowTiesShare*(AE460-1))/AE460)</x:f>
        <x:v>1</x:v>
      </x:c>
      <x:c r="AI460" s="32" t="n">
        <x:f>(Z460+v01_ElderCommons*INDEX(LM_Elder,G460)*AA460)*AH460</x:f>
        <x:v>46.15481564970662</x:v>
      </x:c>
      <x:c r="AJ460" s="32" t="n">
        <x:f>H460*v01_CommonsCoef*AI460^v01_CommonsExp*INDEX(LM_Commons,G460)</x:f>
        <x:v>17.144641294509807</x:v>
      </x:c>
      <x:c r="AK460" s="32" t="n">
        <x:f>H460*v01_RoleScale*Arch_Roles*(AE460*(INDEX(v01_ElderRolePerSett,G460)*v01_OutElder*INDEX(LM_Elder,G460)+INDEX(v01_ShamanPerSett,G460)*v01_OutShaman)+Z460*(INDEX(v01_PriestShare,G460)*v01_OutPriest+INDEX(v01_ScribeShare,G460)*v01_OutScribe*INDEX(LM_Scribe,G460)+INDEX(v01_ScholarShare,G460)*v01_OutScholar*INDEX(LM_Scholar,G460)+INDEX(v01_ResearcherShare,G460)*v01_OutResearcher*INDEX(LM_Researcher,G460)))</x:f>
        <x:v>4.087117307087383</x:v>
      </x:c>
      <x:c r="AL460" s="32" t="n">
        <x:f>H460*v01_RoleScale*Arch_Roles*AE460*INDEX(v01_MonasteryPerSett,G460)*v01_OutMonastery*INDEX(LM_Monastery,G460)</x:f>
        <x:v>0</x:v>
      </x:c>
      <x:c r="AM460" s="32" t="n">
        <x:f>(AJ460+AK460+AL460)/4*INDEX(LM_All,G460)*INDEX(v01_Boon,G460)*Arch_Insight</x:f>
        <x:v>5.440638141659279</x:v>
      </x:c>
      <x:c r="AN460" s="32" t="n">
        <x:f>H460*(v01_KHPerAdult*Z460+v01_KHOfCommons*AJ460/4*INDEX(LM_All,G460))*v01_KHUsable*Arch_KH</x:f>
        <x:v>0.9478557608349604</x:v>
      </x:c>
      <x:c r="AO460" s="32" t="n">
        <x:f>MIN(AP459+AN460,AM460*v01_KHMaxRatio)</x:f>
        <x:v>0.9478557608349604</x:v>
      </x:c>
      <x:c r="AP460" s="32" t="n">
        <x:f>AP459+AN460-AO460</x:f>
        <x:v>0</x:v>
      </x:c>
      <x:c r="AQ460" s="32" t="n">
        <x:f>AM460+AO460</x:f>
        <x:v>6.388493902494239</x:v>
      </x:c>
      <x:c r="AR460" s="10" t="n">
        <x:f>IF(H460=1,INDEX(v01_Req,G460),0)</x:f>
        <x:v>1067.32</x:v>
      </x:c>
      <x:c r="AS460" s="32" t="n">
        <x:f>IF(H460=1,IF(E460=1,AS459-AR459,AS459)+AQ460,0)</x:f>
        <x:v>886.9469959069997</x:v>
      </x:c>
      <x:c r="AT460" s="11" t="n">
        <x:f>IF(AR460&gt;0,MIN(1,AS460/AR460),1)</x:f>
        <x:v>0.8310038188237827</x:v>
      </x:c>
      <x:c r="AU460" s="10" t="n">
        <x:f>AB460/INDEX(v01_RepScale,G460)</x:f>
        <x:v>61.29041518523469</x:v>
      </x:c>
      <x:c r="AV460" s="32" t="n">
        <x:f>AM460*60/v01_SeasonSeconds</x:f>
        <x:v>21.762552566637115</x:v>
      </x:c>
    </x:row>
    <x:row r="461">
      <x:c r="A461" s="8" t="n">
        <x:f>A460+1</x:f>
        <x:v>458</x:v>
      </x:c>
      <x:c r="B461" s="9" t="n">
        <x:f>A461*v01_SeasonSeconds/60</x:f>
        <x:v>114.5</x:v>
      </x:c>
      <x:c r="C461" s="9" t="n">
        <x:f>A461/4</x:f>
        <x:v>114.5</x:v>
      </x:c>
      <x:c r="D461" s="8" t="n">
        <x:f>IF(MOD(A461,4)=0,1,0)</x:f>
        <x:v>0</x:v>
      </x:c>
      <x:c r="E461" s="8" t="n">
        <x:f>IF(AND(F460&lt;=9,AS460&gt;=AR460),1,0)</x:f>
        <x:v>0</x:v>
      </x:c>
      <x:c r="F461" s="8" t="n">
        <x:f>MIN(10,F460+E461)</x:f>
        <x:v>1</x:v>
      </x:c>
      <x:c r="G461" s="8" t="n">
        <x:f>MIN(F461,9)+1</x:f>
        <x:v>2</x:v>
      </x:c>
      <x:c r="H461" s="8" t="n">
        <x:f>IF(F461&lt;=9,1,0)</x:f>
        <x:v>1</x:v>
      </x:c>
      <x:c r="I461" s="9" t="n">
        <x:f>MIN(10,F460+IF(AR460&gt;0,MIN(1,AS460/AR460),1))</x:f>
        <x:v>1.8310038188237827</x:v>
      </x:c>
      <x:c r="J461" s="32" t="n">
        <x:f>INDEX(v01_FoodCap,G461)*Arch_FoodCap*EXP(v01_CapsByProject*SUMPRODUCT((Cap_Point&lt;=I461)*(Cap_Kind="Food")*Cap_Ln))</x:f>
        <x:v>30</x:v>
      </x:c>
      <x:c r="K461" s="32" t="n">
        <x:f>J461*MIN(1,v01_LeanBase*EXP(v01_CapsByProject*SUMPRODUCT((Cap_Point&lt;=I461)*(Cap_Kind="Lean")*Cap_Ln)))</x:f>
        <x:v>30</x:v>
      </x:c>
      <x:c r="L461" s="10" t="n">
        <x:f>INDEX(v01_HousingCap,G461)*EXP(v01_CapsByProject*SUMPRODUCT((Cap_Point&lt;=I461)*(Cap_Kind="Housing")*Cap_Ln))</x:f>
        <x:v>60</x:v>
      </x:c>
      <x:c r="M461" s="10" t="n">
        <x:f>INDEX(v01_GroupCap,G461)*v01_CohesionFactor*EXP(v01_CapsByProject*SUMPRODUCT((Cap_Point&lt;=I461)*(Cap_Kind="Group")*Cap_Ln))</x:f>
        <x:v>100</x:v>
      </x:c>
      <x:c r="N461" s="32" t="n">
        <x:f>MIN(J461,L461,M461)</x:f>
        <x:v>30</x:v>
      </x:c>
      <x:c r="O461" s="10" t="n">
        <x:f>AE460*N461</x:f>
        <x:v>90</x:v>
      </x:c>
      <x:c r="P461" s="9" t="n">
        <x:f>MIN(1,(AB460/(AE460*IF(v01_GroupInCrowding=1,N461,MIN(J461,L461))))^v01_CrowdingExp)</x:f>
        <x:v>0.09974711035836627</x:v>
      </x:c>
      <x:c r="Q461" s="9" t="n">
        <x:f>IF(D461=1,INDEX(v01_WinterMult,G461),1)</x:f>
        <x:v>1</x:v>
      </x:c>
      <x:c r="R461" s="9" t="n">
        <x:f>H461*Z460*v01_WomenShare*v01_BaseFertility*INDEX(v01_FertMult,G461)*Arch_Fertility*(1-P461)</x:f>
        <x:v>0.914260593916224</x:v>
      </x:c>
      <x:c r="S461" s="9" t="n">
        <x:f>H461*Y460*INDEX(v01_MortChild,G461)/4*Q461</x:f>
        <x:v>0.23119435102927224</x:v>
      </x:c>
      <x:c r="T461" s="9" t="n">
        <x:f>H461*Z460*INDEX(v01_MortAdult,G461)*Arch_AdultMort/4*Q461</x:f>
        <x:v>0.08801517779181775</x:v>
      </x:c>
      <x:c r="U461" s="9" t="n">
        <x:f>H461*AA460*INDEX(v01_MortElder,G461)/4*Q461</x:f>
        <x:v>0.15573220944637997</x:v>
      </x:c>
      <x:c r="V461" s="9" t="n">
        <x:f>H461*MAX(0,AB460-O461)*v01_OvercapLoss</x:f>
        <x:v>0</x:v>
      </x:c>
      <x:c r="W461" s="9" t="n">
        <x:f>H461*Y460/(v01_ChildYears*4)</x:f>
        <x:v>0.4718252061821882</x:v>
      </x:c>
      <x:c r="X461" s="9" t="n">
        <x:f>H461*Z460/(v01_AdultYears*4)</x:f>
        <x:v>0.21839994489284803</x:v>
      </x:c>
      <x:c r="Y461" s="32" t="n">
        <x:f>Y460+R461-S461-W461-Y460*V461/AB460</x:f>
        <x:v>26.633452582907303</x:v>
      </x:c>
      <x:c r="Z461" s="32" t="n">
        <x:f>Z460+W461-X461-T461-Z460*V461/AB460</x:f>
        <x:v>27.24700325021068</x:v>
      </x:c>
      <x:c r="AA461" s="32" t="n">
        <x:f>AA460+X461-U461-AA460*V461/AB460</x:f>
        <x:v>7.849278207765466</x:v>
      </x:c>
      <x:c r="AB461" s="10" t="n">
        <x:f>Y461+Z461+AA461</x:f>
        <x:v>61.72973404088344</x:v>
      </x:c>
      <x:c r="AC461" s="8" t="n">
        <x:f>IF(AND(v01_WinterTrigger=1,D461=1,AB460/AE460&gt;=K461),1,0)</x:f>
        <x:v>0</x:v>
      </x:c>
      <x:c r="AD461" s="8" t="n">
        <x:f>H461*IF(AND(OR(AB460/AE460&gt;=v01_FissionTrigger*N461,AC461=1),AB460/AE460*v01_DaughterShare&gt;=v01_MinDaughter),MAX(1,ROUND(AE460*v01_FissionRate,0)),0)</x:f>
        <x:v>0</x:v>
      </x:c>
      <x:c r="AE461" s="8" t="n">
        <x:f>IF(H461=1,MAX(1,MIN(INDEX(v01_Smax,G461),AE460+AD461)),AE460)</x:f>
        <x:v>3</x:v>
      </x:c>
      <x:c r="AF461" s="8" t="n">
        <x:f>MAX(0,AE461-AE460)</x:f>
        <x:v>0</x:v>
      </x:c>
      <x:c r="AG461" s="9" t="str">
        <x:f>IF(AF461&gt;0,B461,"")</x:f>
      </x:c>
      <x:c r="AH461" s="9" t="n">
        <x:f>IF(F461&gt;=1,1,(1+v01_LowTiesShare*(AE461-1))/AE461)</x:f>
        <x:v>1</x:v>
      </x:c>
      <x:c r="AI461" s="32" t="n">
        <x:f>(Z461+v01_ElderCommons*INDEX(LM_Elder,G461)*AA461)*AH461</x:f>
        <x:v>46.473729708383715</x:v>
      </x:c>
      <x:c r="AJ461" s="32" t="n">
        <x:f>H461*v01_CommonsCoef*AI461^v01_CommonsExp*INDEX(LM_Commons,G461)</x:f>
        <x:v>17.245283338078035</x:v>
      </x:c>
      <x:c r="AK461" s="32" t="n">
        <x:f>H461*v01_RoleScale*Arch_Roles*(AE461*(INDEX(v01_ElderRolePerSett,G461)*v01_OutElder*INDEX(LM_Elder,G461)+INDEX(v01_ShamanPerSett,G461)*v01_OutShaman)+Z461*(INDEX(v01_PriestShare,G461)*v01_OutPriest+INDEX(v01_ScribeShare,G461)*v01_OutScribe*INDEX(LM_Scribe,G461)+INDEX(v01_ScholarShare,G461)*v01_OutScholar*INDEX(LM_Scholar,G461)+INDEX(v01_ResearcherShare,G461)*v01_OutResearcher*INDEX(LM_Researcher,G461)))</x:f>
        <x:v>4.087117307087383</x:v>
      </x:c>
      <x:c r="AL461" s="32" t="n">
        <x:f>H461*v01_RoleScale*Arch_Roles*AE461*INDEX(v01_MonasteryPerSett,G461)*v01_OutMonastery*INDEX(LM_Monastery,G461)</x:f>
        <x:v>0</x:v>
      </x:c>
      <x:c r="AM461" s="32" t="n">
        <x:f>(AJ461+AK461+AL461)/4*INDEX(LM_All,G461)*INDEX(v01_Boon,G461)*Arch_Insight</x:f>
        <x:v>5.466427665323637</x:v>
      </x:c>
      <x:c r="AN461" s="32" t="n">
        <x:f>H461*(v01_KHPerAdult*Z461+v01_KHOfCommons*AJ461/4*INDEX(LM_All,G461))*v01_KHUsable*Arch_KH</x:f>
        <x:v>0.9536451137573738</x:v>
      </x:c>
      <x:c r="AO461" s="32" t="n">
        <x:f>MIN(AP460+AN461,AM461*v01_KHMaxRatio)</x:f>
        <x:v>0.9536451137573738</x:v>
      </x:c>
      <x:c r="AP461" s="32" t="n">
        <x:f>AP460+AN461-AO461</x:f>
        <x:v>0</x:v>
      </x:c>
      <x:c r="AQ461" s="32" t="n">
        <x:f>AM461+AO461</x:f>
        <x:v>6.4200727790810115</x:v>
      </x:c>
      <x:c r="AR461" s="10" t="n">
        <x:f>IF(H461=1,INDEX(v01_Req,G461),0)</x:f>
        <x:v>1067.32</x:v>
      </x:c>
      <x:c r="AS461" s="32" t="n">
        <x:f>IF(H461=1,IF(E461=1,AS460-AR460,AS460)+AQ461,0)</x:f>
        <x:v>893.3670686860808</x:v>
      </x:c>
      <x:c r="AT461" s="11" t="n">
        <x:f>IF(AR461&gt;0,MIN(1,AS461/AR461),1)</x:f>
        <x:v>0.8370189527846201</x:v>
      </x:c>
      <x:c r="AU461" s="10" t="n">
        <x:f>AB461/INDEX(v01_RepScale,G461)</x:f>
        <x:v>61.72973404088344</x:v>
      </x:c>
      <x:c r="AV461" s="32" t="n">
        <x:f>AM461*60/v01_SeasonSeconds</x:f>
        <x:v>21.86571066129455</x:v>
      </x:c>
    </x:row>
    <x:row r="462">
      <x:c r="A462" s="8" t="n">
        <x:f>A461+1</x:f>
        <x:v>459</x:v>
      </x:c>
      <x:c r="B462" s="9" t="n">
        <x:f>A462*v01_SeasonSeconds/60</x:f>
        <x:v>114.75</x:v>
      </x:c>
      <x:c r="C462" s="9" t="n">
        <x:f>A462/4</x:f>
        <x:v>114.75</x:v>
      </x:c>
      <x:c r="D462" s="8" t="n">
        <x:f>IF(MOD(A462,4)=0,1,0)</x:f>
        <x:v>0</x:v>
      </x:c>
      <x:c r="E462" s="8" t="n">
        <x:f>IF(AND(F461&lt;=9,AS461&gt;=AR461),1,0)</x:f>
        <x:v>0</x:v>
      </x:c>
      <x:c r="F462" s="8" t="n">
        <x:f>MIN(10,F461+E462)</x:f>
        <x:v>1</x:v>
      </x:c>
      <x:c r="G462" s="8" t="n">
        <x:f>MIN(F462,9)+1</x:f>
        <x:v>2</x:v>
      </x:c>
      <x:c r="H462" s="8" t="n">
        <x:f>IF(F462&lt;=9,1,0)</x:f>
        <x:v>1</x:v>
      </x:c>
      <x:c r="I462" s="9" t="n">
        <x:f>MIN(10,F461+IF(AR461&gt;0,MIN(1,AS461/AR461),1))</x:f>
        <x:v>1.8370189527846201</x:v>
      </x:c>
      <x:c r="J462" s="32" t="n">
        <x:f>INDEX(v01_FoodCap,G462)*Arch_FoodCap*EXP(v01_CapsByProject*SUMPRODUCT((Cap_Point&lt;=I462)*(Cap_Kind="Food")*Cap_Ln))</x:f>
        <x:v>30</x:v>
      </x:c>
      <x:c r="K462" s="32" t="n">
        <x:f>J462*MIN(1,v01_LeanBase*EXP(v01_CapsByProject*SUMPRODUCT((Cap_Point&lt;=I462)*(Cap_Kind="Lean")*Cap_Ln)))</x:f>
        <x:v>30</x:v>
      </x:c>
      <x:c r="L462" s="10" t="n">
        <x:f>INDEX(v01_HousingCap,G462)*EXP(v01_CapsByProject*SUMPRODUCT((Cap_Point&lt;=I462)*(Cap_Kind="Housing")*Cap_Ln))</x:f>
        <x:v>60</x:v>
      </x:c>
      <x:c r="M462" s="10" t="n">
        <x:f>INDEX(v01_GroupCap,G462)*v01_CohesionFactor*EXP(v01_CapsByProject*SUMPRODUCT((Cap_Point&lt;=I462)*(Cap_Kind="Group")*Cap_Ln))</x:f>
        <x:v>100</x:v>
      </x:c>
      <x:c r="N462" s="32" t="n">
        <x:f>MIN(J462,L462,M462)</x:f>
        <x:v>30</x:v>
      </x:c>
      <x:c r="O462" s="10" t="n">
        <x:f>AE461*N462</x:f>
        <x:v>90</x:v>
      </x:c>
      <x:c r="P462" s="9" t="n">
        <x:f>MIN(1,(AB461/(AE461*IF(v01_GroupInCrowding=1,N462,MIN(J462,L462))))^v01_CrowdingExp)</x:f>
        <x:v>0.10411453849733539</x:v>
      </x:c>
      <x:c r="Q462" s="9" t="n">
        <x:f>IF(D462=1,INDEX(v01_WinterMult,G462),1)</x:f>
        <x:v>1</x:v>
      </x:c>
      <x:c r="R462" s="9" t="n">
        <x:f>H462*Z461*v01_WomenShare*v01_BaseFertility*INDEX(v01_FertMult,G462)*Arch_Fertility*(1-P462)</x:f>
        <x:v>0.9153822780517348</x:v>
      </x:c>
      <x:c r="S462" s="9" t="n">
        <x:f>H462*Y461*INDEX(v01_MortChild,G462)/4*Q462</x:f>
        <x:v>0.23304271010043892</x:v>
      </x:c>
      <x:c r="T462" s="9" t="n">
        <x:f>H462*Z461*INDEX(v01_MortAdult,G462)*Arch_AdultMort/4*Q462</x:f>
        <x:v>0.0885527605631847</x:v>
      </x:c>
      <x:c r="U462" s="9" t="n">
        <x:f>H462*AA461*INDEX(v01_MortElder,G462)/4*Q462</x:f>
        <x:v>0.15698556415530932</x:v>
      </x:c>
      <x:c r="V462" s="9" t="n">
        <x:f>H462*MAX(0,AB461-O462)*v01_OvercapLoss</x:f>
        <x:v>0</x:v>
      </x:c>
      <x:c r="W462" s="9" t="n">
        <x:f>H462*Y461/(v01_ChildYears*4)</x:f>
        <x:v>0.4755973675519161</x:v>
      </x:c>
      <x:c r="X462" s="9" t="n">
        <x:f>H462*Z461/(v01_AdultYears*4)</x:f>
        <x:v>0.21973389717911837</x:v>
      </x:c>
      <x:c r="Y462" s="32" t="n">
        <x:f>Y461+R462-S462-W462-Y461*V462/AB461</x:f>
        <x:v>26.840194783306682</x:v>
      </x:c>
      <x:c r="Z462" s="32" t="n">
        <x:f>Z461+W462-X462-T462-Z461*V462/AB461</x:f>
        <x:v>27.41431396002029</x:v>
      </x:c>
      <x:c r="AA462" s="32" t="n">
        <x:f>AA461+X462-U462-AA461*V462/AB461</x:f>
        <x:v>7.912026540789276</x:v>
      </x:c>
      <x:c r="AB462" s="10" t="n">
        <x:f>Y462+Z462+AA462</x:f>
        <x:v>62.16653528411625</x:v>
      </x:c>
      <x:c r="AC462" s="8" t="n">
        <x:f>IF(AND(v01_WinterTrigger=1,D462=1,AB461/AE461&gt;=K462),1,0)</x:f>
        <x:v>0</x:v>
      </x:c>
      <x:c r="AD462" s="8" t="n">
        <x:f>H462*IF(AND(OR(AB461/AE461&gt;=v01_FissionTrigger*N462,AC462=1),AB461/AE461*v01_DaughterShare&gt;=v01_MinDaughter),MAX(1,ROUND(AE461*v01_FissionRate,0)),0)</x:f>
        <x:v>0</x:v>
      </x:c>
      <x:c r="AE462" s="8" t="n">
        <x:f>IF(H462=1,MAX(1,MIN(INDEX(v01_Smax,G462),AE461+AD462)),AE461)</x:f>
        <x:v>3</x:v>
      </x:c>
      <x:c r="AF462" s="8" t="n">
        <x:f>MAX(0,AE462-AE461)</x:f>
        <x:v>0</x:v>
      </x:c>
      <x:c r="AG462" s="9" t="str">
        <x:f>IF(AF462&gt;0,B462,"")</x:f>
      </x:c>
      <x:c r="AH462" s="9" t="n">
        <x:f>IF(F462&gt;=1,1,(1+v01_LowTiesShare*(AE462-1))/AE462)</x:f>
        <x:v>1</x:v>
      </x:c>
      <x:c r="AI462" s="32" t="n">
        <x:f>(Z462+v01_ElderCommons*INDEX(LM_Elder,G462)*AA462)*AH462</x:f>
        <x:v>46.79474181631189</x:v>
      </x:c>
      <x:c r="AJ462" s="32" t="n">
        <x:f>H462*v01_CommonsCoef*AI462^v01_CommonsExp*INDEX(LM_Commons,G462)</x:f>
        <x:v>17.346482914093695</x:v>
      </x:c>
      <x:c r="AK462" s="32" t="n">
        <x:f>H462*v01_RoleScale*Arch_Roles*(AE462*(INDEX(v01_ElderRolePerSett,G462)*v01_OutElder*INDEX(LM_Elder,G462)+INDEX(v01_ShamanPerSett,G462)*v01_OutShaman)+Z462*(INDEX(v01_PriestShare,G462)*v01_OutPriest+INDEX(v01_ScribeShare,G462)*v01_OutScribe*INDEX(LM_Scribe,G462)+INDEX(v01_ScholarShare,G462)*v01_OutScholar*INDEX(LM_Scholar,G462)+INDEX(v01_ResearcherShare,G462)*v01_OutResearcher*INDEX(LM_Researcher,G462)))</x:f>
        <x:v>4.087117307087383</x:v>
      </x:c>
      <x:c r="AL462" s="32" t="n">
        <x:f>H462*v01_RoleScale*Arch_Roles*AE462*INDEX(v01_MonasteryPerSett,G462)*v01_OutMonastery*INDEX(LM_Monastery,G462)</x:f>
        <x:v>0</x:v>
      </x:c>
      <x:c r="AM462" s="32" t="n">
        <x:f>(AJ462+AK462+AL462)/4*INDEX(LM_All,G462)*INDEX(v01_Boon,G462)*Arch_Insight</x:f>
        <x:v>5.492360056677651</x:v>
      </x:c>
      <x:c r="AN462" s="32" t="n">
        <x:f>H462*(v01_KHPerAdult*Z462+v01_KHOfCommons*AJ462/4*INDEX(LM_All,G462))*v01_KHUsable*Arch_KH</x:f>
        <x:v>0.9595009886007102</x:v>
      </x:c>
      <x:c r="AO462" s="32" t="n">
        <x:f>MIN(AP461+AN462,AM462*v01_KHMaxRatio)</x:f>
        <x:v>0.9595009886007102</x:v>
      </x:c>
      <x:c r="AP462" s="32" t="n">
        <x:f>AP461+AN462-AO462</x:f>
        <x:v>0</x:v>
      </x:c>
      <x:c r="AQ462" s="32" t="n">
        <x:f>AM462+AO462</x:f>
        <x:v>6.451861045278361</x:v>
      </x:c>
      <x:c r="AR462" s="10" t="n">
        <x:f>IF(H462=1,INDEX(v01_Req,G462),0)</x:f>
        <x:v>1067.32</x:v>
      </x:c>
      <x:c r="AS462" s="32" t="n">
        <x:f>IF(H462=1,IF(E462=1,AS461-AR461,AS461)+AQ462,0)</x:f>
        <x:v>899.8189297313592</x:v>
      </x:c>
      <x:c r="AT462" s="11" t="n">
        <x:f>IF(AR462&gt;0,MIN(1,AS462/AR462),1)</x:f>
        <x:v>0.8430638700027726</x:v>
      </x:c>
      <x:c r="AU462" s="10" t="n">
        <x:f>AB462/INDEX(v01_RepScale,G462)</x:f>
        <x:v>62.16653528411625</x:v>
      </x:c>
      <x:c r="AV462" s="32" t="n">
        <x:f>AM462*60/v01_SeasonSeconds</x:f>
        <x:v>21.969440226710603</x:v>
      </x:c>
    </x:row>
    <x:row r="463">
      <x:c r="A463" s="8" t="n">
        <x:f>A462+1</x:f>
        <x:v>460</x:v>
      </x:c>
      <x:c r="B463" s="9" t="n">
        <x:f>A463*v01_SeasonSeconds/60</x:f>
        <x:v>115</x:v>
      </x:c>
      <x:c r="C463" s="9" t="n">
        <x:f>A463/4</x:f>
        <x:v>115</x:v>
      </x:c>
      <x:c r="D463" s="8" t="n">
        <x:f>IF(MOD(A463,4)=0,1,0)</x:f>
        <x:v>1</x:v>
      </x:c>
      <x:c r="E463" s="8" t="n">
        <x:f>IF(AND(F462&lt;=9,AS462&gt;=AR462),1,0)</x:f>
        <x:v>0</x:v>
      </x:c>
      <x:c r="F463" s="8" t="n">
        <x:f>MIN(10,F462+E463)</x:f>
        <x:v>1</x:v>
      </x:c>
      <x:c r="G463" s="8" t="n">
        <x:f>MIN(F463,9)+1</x:f>
        <x:v>2</x:v>
      </x:c>
      <x:c r="H463" s="8" t="n">
        <x:f>IF(F463&lt;=9,1,0)</x:f>
        <x:v>1</x:v>
      </x:c>
      <x:c r="I463" s="9" t="n">
        <x:f>MIN(10,F462+IF(AR462&gt;0,MIN(1,AS462/AR462),1))</x:f>
        <x:v>1.8430638700027726</x:v>
      </x:c>
      <x:c r="J463" s="32" t="n">
        <x:f>INDEX(v01_FoodCap,G463)*Arch_FoodCap*EXP(v01_CapsByProject*SUMPRODUCT((Cap_Point&lt;=I463)*(Cap_Kind="Food")*Cap_Ln))</x:f>
        <x:v>30</x:v>
      </x:c>
      <x:c r="K463" s="32" t="n">
        <x:f>J463*MIN(1,v01_LeanBase*EXP(v01_CapsByProject*SUMPRODUCT((Cap_Point&lt;=I463)*(Cap_Kind="Lean")*Cap_Ln)))</x:f>
        <x:v>30</x:v>
      </x:c>
      <x:c r="L463" s="10" t="n">
        <x:f>INDEX(v01_HousingCap,G463)*EXP(v01_CapsByProject*SUMPRODUCT((Cap_Point&lt;=I463)*(Cap_Kind="Housing")*Cap_Ln))</x:f>
        <x:v>60</x:v>
      </x:c>
      <x:c r="M463" s="10" t="n">
        <x:f>INDEX(v01_GroupCap,G463)*v01_CohesionFactor*EXP(v01_CapsByProject*SUMPRODUCT((Cap_Point&lt;=I463)*(Cap_Kind="Group")*Cap_Ln))</x:f>
        <x:v>100</x:v>
      </x:c>
      <x:c r="N463" s="32" t="n">
        <x:f>MIN(J463,L463,M463)</x:f>
        <x:v>30</x:v>
      </x:c>
      <x:c r="O463" s="10" t="n">
        <x:f>AE462*N463</x:f>
        <x:v>90</x:v>
      </x:c>
      <x:c r="P463" s="9" t="n">
        <x:f>MIN(1,(AB462/(AE462*IF(v01_GroupInCrowding=1,N463,MIN(J463,L463))))^v01_CrowdingExp)</x:f>
        <x:v>0.10861377913292541</x:v>
      </x:c>
      <x:c r="Q463" s="9" t="n">
        <x:f>IF(D463=1,INDEX(v01_WinterMult,G463),1)</x:f>
        <x:v>1.6</x:v>
      </x:c>
      <x:c r="R463" s="9" t="n">
        <x:f>H463*Z462*v01_WomenShare*v01_BaseFertility*INDEX(v01_FertMult,G463)*Arch_Fertility*(1-P463)</x:f>
        <x:v>0.9163778144432241</x:v>
      </x:c>
      <x:c r="S463" s="9" t="n">
        <x:f>H463*Y462*INDEX(v01_MortChild,G463)/4*Q463</x:f>
        <x:v>0.3757627269662936</x:v>
      </x:c>
      <x:c r="T463" s="9" t="n">
        <x:f>H463*Z462*INDEX(v01_MortAdult,G463)*Arch_AdultMort/4*Q463</x:f>
        <x:v>0.1425544325921055</x:v>
      </x:c>
      <x:c r="U463" s="9" t="n">
        <x:f>H463*AA462*INDEX(v01_MortElder,G463)/4*Q463</x:f>
        <x:v>0.2531848493052568</x:v>
      </x:c>
      <x:c r="V463" s="9" t="n">
        <x:f>H463*MAX(0,AB462-O463)*v01_OvercapLoss</x:f>
        <x:v>0</x:v>
      </x:c>
      <x:c r="W463" s="9" t="n">
        <x:f>H463*Y462/(v01_ChildYears*4)</x:f>
        <x:v>0.4792891925590479</x:v>
      </x:c>
      <x:c r="X463" s="9" t="n">
        <x:f>H463*Z462/(v01_AdultYears*4)</x:f>
        <x:v>0.22108317709693784</x:v>
      </x:c>
      <x:c r="Y463" s="32" t="n">
        <x:f>Y462+R463-S463-W463-Y462*V463/AB462</x:f>
        <x:v>26.901520678224564</x:v>
      </x:c>
      <x:c r="Z463" s="32" t="n">
        <x:f>Z462+W463-X463-T463-Z462*V463/AB462</x:f>
        <x:v>27.529965542890295</x:v>
      </x:c>
      <x:c r="AA463" s="32" t="n">
        <x:f>AA462+X463-U463-AA462*V463/AB462</x:f>
        <x:v>7.879924868580957</x:v>
      </x:c>
      <x:c r="AB463" s="10" t="n">
        <x:f>Y463+Z463+AA463</x:f>
        <x:v>62.31141108969582</x:v>
      </x:c>
      <x:c r="AC463" s="8" t="n">
        <x:f>IF(AND(v01_WinterTrigger=1,D463=1,AB462/AE462&gt;=K463),1,0)</x:f>
        <x:v>0</x:v>
      </x:c>
      <x:c r="AD463" s="8" t="n">
        <x:f>H463*IF(AND(OR(AB462/AE462&gt;=v01_FissionTrigger*N463,AC463=1),AB462/AE462*v01_DaughterShare&gt;=v01_MinDaughter),MAX(1,ROUND(AE462*v01_FissionRate,0)),0)</x:f>
        <x:v>0</x:v>
      </x:c>
      <x:c r="AE463" s="8" t="n">
        <x:f>IF(H463=1,MAX(1,MIN(INDEX(v01_Smax,G463),AE462+AD463)),AE462)</x:f>
        <x:v>3</x:v>
      </x:c>
      <x:c r="AF463" s="8" t="n">
        <x:f>MAX(0,AE463-AE462)</x:f>
        <x:v>0</x:v>
      </x:c>
      <x:c r="AG463" s="9" t="str">
        <x:f>IF(AF463&gt;0,B463,"")</x:f>
      </x:c>
      <x:c r="AH463" s="9" t="n">
        <x:f>IF(F463&gt;=1,1,(1+v01_LowTiesShare*(AE463-1))/AE463)</x:f>
        <x:v>1</x:v>
      </x:c>
      <x:c r="AI463" s="32" t="n">
        <x:f>(Z463+v01_ElderCommons*INDEX(LM_Elder,G463)*AA463)*AH463</x:f>
        <x:v>46.83176068238143</x:v>
      </x:c>
      <x:c r="AJ463" s="32" t="n">
        <x:f>H463*v01_CommonsCoef*AI463^v01_CommonsExp*INDEX(LM_Commons,G463)</x:f>
        <x:v>17.358146461374268</x:v>
      </x:c>
      <x:c r="AK463" s="32" t="n">
        <x:f>H463*v01_RoleScale*Arch_Roles*(AE463*(INDEX(v01_ElderRolePerSett,G463)*v01_OutElder*INDEX(LM_Elder,G463)+INDEX(v01_ShamanPerSett,G463)*v01_OutShaman)+Z463*(INDEX(v01_PriestShare,G463)*v01_OutPriest+INDEX(v01_ScribeShare,G463)*v01_OutScribe*INDEX(LM_Scribe,G463)+INDEX(v01_ScholarShare,G463)*v01_OutScholar*INDEX(LM_Scholar,G463)+INDEX(v01_ResearcherShare,G463)*v01_OutResearcher*INDEX(LM_Researcher,G463)))</x:f>
        <x:v>4.087117307087383</x:v>
      </x:c>
      <x:c r="AL463" s="32" t="n">
        <x:f>H463*v01_RoleScale*Arch_Roles*AE463*INDEX(v01_MonasteryPerSett,G463)*v01_OutMonastery*INDEX(LM_Monastery,G463)</x:f>
        <x:v>0</x:v>
      </x:c>
      <x:c r="AM463" s="32" t="n">
        <x:f>(AJ463+AK463+AL463)/4*INDEX(LM_All,G463)*INDEX(v01_Boon,G463)*Arch_Insight</x:f>
        <x:v>5.4953488406682975</x:v>
      </x:c>
      <x:c r="AN463" s="32" t="n">
        <x:f>H463*(v01_KHPerAdult*Z463+v01_KHOfCommons*AJ463/4*INDEX(LM_All,G463))*v01_KHUsable*Arch_KH</x:f>
        <x:v>0.9635487940011603</x:v>
      </x:c>
      <x:c r="AO463" s="32" t="n">
        <x:f>MIN(AP462+AN463,AM463*v01_KHMaxRatio)</x:f>
        <x:v>0.9635487940011603</x:v>
      </x:c>
      <x:c r="AP463" s="32" t="n">
        <x:f>AP462+AN463-AO463</x:f>
        <x:v>0</x:v>
      </x:c>
      <x:c r="AQ463" s="32" t="n">
        <x:f>AM463+AO463</x:f>
        <x:v>6.458897634669458</x:v>
      </x:c>
      <x:c r="AR463" s="10" t="n">
        <x:f>IF(H463=1,INDEX(v01_Req,G463),0)</x:f>
        <x:v>1067.32</x:v>
      </x:c>
      <x:c r="AS463" s="32" t="n">
        <x:f>IF(H463=1,IF(E463=1,AS462-AR462,AS462)+AQ463,0)</x:f>
        <x:v>906.2778273660286</x:v>
      </x:c>
      <x:c r="AT463" s="11" t="n">
        <x:f>IF(AR463&gt;0,MIN(1,AS463/AR463),1)</x:f>
        <x:v>0.8491153799854109</x:v>
      </x:c>
      <x:c r="AU463" s="10" t="n">
        <x:f>AB463/INDEX(v01_RepScale,G463)</x:f>
        <x:v>62.31141108969582</x:v>
      </x:c>
      <x:c r="AV463" s="32" t="n">
        <x:f>AM463*60/v01_SeasonSeconds</x:f>
        <x:v>21.98139536267319</x:v>
      </x:c>
    </x:row>
    <x:row r="464">
      <x:c r="A464" s="8" t="n">
        <x:f>A463+1</x:f>
        <x:v>461</x:v>
      </x:c>
      <x:c r="B464" s="9" t="n">
        <x:f>A464*v01_SeasonSeconds/60</x:f>
        <x:v>115.25</x:v>
      </x:c>
      <x:c r="C464" s="9" t="n">
        <x:f>A464/4</x:f>
        <x:v>115.25</x:v>
      </x:c>
      <x:c r="D464" s="8" t="n">
        <x:f>IF(MOD(A464,4)=0,1,0)</x:f>
        <x:v>0</x:v>
      </x:c>
      <x:c r="E464" s="8" t="n">
        <x:f>IF(AND(F463&lt;=9,AS463&gt;=AR463),1,0)</x:f>
        <x:v>0</x:v>
      </x:c>
      <x:c r="F464" s="8" t="n">
        <x:f>MIN(10,F463+E464)</x:f>
        <x:v>1</x:v>
      </x:c>
      <x:c r="G464" s="8" t="n">
        <x:f>MIN(F464,9)+1</x:f>
        <x:v>2</x:v>
      </x:c>
      <x:c r="H464" s="8" t="n">
        <x:f>IF(F464&lt;=9,1,0)</x:f>
        <x:v>1</x:v>
      </x:c>
      <x:c r="I464" s="9" t="n">
        <x:f>MIN(10,F463+IF(AR463&gt;0,MIN(1,AS463/AR463),1))</x:f>
        <x:v>1.849115379985411</x:v>
      </x:c>
      <x:c r="J464" s="32" t="n">
        <x:f>INDEX(v01_FoodCap,G464)*Arch_FoodCap*EXP(v01_CapsByProject*SUMPRODUCT((Cap_Point&lt;=I464)*(Cap_Kind="Food")*Cap_Ln))</x:f>
        <x:v>30</x:v>
      </x:c>
      <x:c r="K464" s="32" t="n">
        <x:f>J464*MIN(1,v01_LeanBase*EXP(v01_CapsByProject*SUMPRODUCT((Cap_Point&lt;=I464)*(Cap_Kind="Lean")*Cap_Ln)))</x:f>
        <x:v>30</x:v>
      </x:c>
      <x:c r="L464" s="10" t="n">
        <x:f>INDEX(v01_HousingCap,G464)*EXP(v01_CapsByProject*SUMPRODUCT((Cap_Point&lt;=I464)*(Cap_Kind="Housing")*Cap_Ln))</x:f>
        <x:v>60</x:v>
      </x:c>
      <x:c r="M464" s="10" t="n">
        <x:f>INDEX(v01_GroupCap,G464)*v01_CohesionFactor*EXP(v01_CapsByProject*SUMPRODUCT((Cap_Point&lt;=I464)*(Cap_Kind="Group")*Cap_Ln))</x:f>
        <x:v>100</x:v>
      </x:c>
      <x:c r="N464" s="32" t="n">
        <x:f>MIN(J464,L464,M464)</x:f>
        <x:v>30</x:v>
      </x:c>
      <x:c r="O464" s="10" t="n">
        <x:f>AE463*N464</x:f>
        <x:v>90</x:v>
      </x:c>
      <x:c r="P464" s="9" t="n">
        <x:f>MIN(1,(AB463/(AE463*IF(v01_GroupInCrowding=1,N464,MIN(J464,L464))))^v01_CrowdingExp)</x:f>
        <x:v>0.1101413666964633</x:v>
      </x:c>
      <x:c r="Q464" s="9" t="n">
        <x:f>IF(D464=1,INDEX(v01_WinterMult,G464),1)</x:f>
        <x:v>1</x:v>
      </x:c>
      <x:c r="R464" s="9" t="n">
        <x:f>H464*Z463*v01_WomenShare*v01_BaseFertility*INDEX(v01_FertMult,G464)*Arch_Fertility*(1-P464)</x:f>
        <x:v>0.918666656733368</x:v>
      </x:c>
      <x:c r="S464" s="9" t="n">
        <x:f>H464*Y463*INDEX(v01_MortChild,G464)/4*Q464</x:f>
        <x:v>0.23538830593446497</x:v>
      </x:c>
      <x:c r="T464" s="9" t="n">
        <x:f>H464*Z463*INDEX(v01_MortAdult,G464)*Arch_AdultMort/4*Q464</x:f>
        <x:v>0.08947238801439346</x:v>
      </x:c>
      <x:c r="U464" s="9" t="n">
        <x:f>H464*AA463*INDEX(v01_MortElder,G464)/4*Q464</x:f>
        <x:v>0.15759849737161916</x:v>
      </x:c>
      <x:c r="V464" s="9" t="n">
        <x:f>H464*MAX(0,AB463-O464)*v01_OvercapLoss</x:f>
        <x:v>0</x:v>
      </x:c>
      <x:c r="W464" s="9" t="n">
        <x:f>H464*Y463/(v01_ChildYears*4)</x:f>
        <x:v>0.4803842978254386</x:v>
      </x:c>
      <x:c r="X464" s="9" t="n">
        <x:f>H464*Z463/(v01_AdultYears*4)</x:f>
        <x:v>0.2220158511523411</x:v>
      </x:c>
      <x:c r="Y464" s="32" t="n">
        <x:f>Y463+R464-S464-W464-Y463*V464/AB463</x:f>
        <x:v>27.10441473119803</x:v>
      </x:c>
      <x:c r="Z464" s="32" t="n">
        <x:f>Z463+W464-X464-T464-Z463*V464/AB463</x:f>
        <x:v>27.698861601548998</x:v>
      </x:c>
      <x:c r="AA464" s="32" t="n">
        <x:f>AA463+X464-U464-AA463*V464/AB463</x:f>
        <x:v>7.944342222361678</x:v>
      </x:c>
      <x:c r="AB464" s="10" t="n">
        <x:f>Y464+Z464+AA464</x:f>
        <x:v>62.74761855510871</x:v>
      </x:c>
      <x:c r="AC464" s="8" t="n">
        <x:f>IF(AND(v01_WinterTrigger=1,D464=1,AB463/AE463&gt;=K464),1,0)</x:f>
        <x:v>0</x:v>
      </x:c>
      <x:c r="AD464" s="8" t="n">
        <x:f>H464*IF(AND(OR(AB463/AE463&gt;=v01_FissionTrigger*N464,AC464=1),AB463/AE463*v01_DaughterShare&gt;=v01_MinDaughter),MAX(1,ROUND(AE463*v01_FissionRate,0)),0)</x:f>
        <x:v>0</x:v>
      </x:c>
      <x:c r="AE464" s="8" t="n">
        <x:f>IF(H464=1,MAX(1,MIN(INDEX(v01_Smax,G464),AE463+AD464)),AE463)</x:f>
        <x:v>3</x:v>
      </x:c>
      <x:c r="AF464" s="8" t="n">
        <x:f>MAX(0,AE464-AE463)</x:f>
        <x:v>0</x:v>
      </x:c>
      <x:c r="AG464" s="9" t="str">
        <x:f>IF(AF464&gt;0,B464,"")</x:f>
      </x:c>
      <x:c r="AH464" s="9" t="n">
        <x:f>IF(F464&gt;=1,1,(1+v01_LowTiesShare*(AE464-1))/AE464)</x:f>
        <x:v>1</x:v>
      </x:c>
      <x:c r="AI464" s="32" t="n">
        <x:f>(Z464+v01_ElderCommons*INDEX(LM_Elder,G464)*AA464)*AH464</x:f>
        <x:v>47.15844638838324</x:v>
      </x:c>
      <x:c r="AJ464" s="32" t="n">
        <x:f>H464*v01_CommonsCoef*AI464^v01_CommonsExp*INDEX(LM_Commons,G464)</x:f>
        <x:v>17.46101563546222</x:v>
      </x:c>
      <x:c r="AK464" s="32" t="n">
        <x:f>H464*v01_RoleScale*Arch_Roles*(AE464*(INDEX(v01_ElderRolePerSett,G464)*v01_OutElder*INDEX(LM_Elder,G464)+INDEX(v01_ShamanPerSett,G464)*v01_OutShaman)+Z464*(INDEX(v01_PriestShare,G464)*v01_OutPriest+INDEX(v01_ScribeShare,G464)*v01_OutScribe*INDEX(LM_Scribe,G464)+INDEX(v01_ScholarShare,G464)*v01_OutScholar*INDEX(LM_Scholar,G464)+INDEX(v01_ResearcherShare,G464)*v01_OutResearcher*INDEX(LM_Researcher,G464)))</x:f>
        <x:v>4.087117307087383</x:v>
      </x:c>
      <x:c r="AL464" s="32" t="n">
        <x:f>H464*v01_RoleScale*Arch_Roles*AE464*INDEX(v01_MonasteryPerSett,G464)*v01_OutMonastery*INDEX(LM_Monastery,G464)</x:f>
        <x:v>0</x:v>
      </x:c>
      <x:c r="AM464" s="32" t="n">
        <x:f>(AJ464+AK464+AL464)/4*INDEX(LM_All,G464)*INDEX(v01_Boon,G464)*Arch_Insight</x:f>
        <x:v>5.521709066528335</x:v>
      </x:c>
      <x:c r="AN464" s="32" t="n">
        <x:f>H464*(v01_KHPerAdult*Z464+v01_KHOfCommons*AJ464/4*INDEX(LM_All,G464))*v01_KHUsable*Arch_KH</x:f>
        <x:v>0.969460156054215</x:v>
      </x:c>
      <x:c r="AO464" s="32" t="n">
        <x:f>MIN(AP463+AN464,AM464*v01_KHMaxRatio)</x:f>
        <x:v>0.969460156054215</x:v>
      </x:c>
      <x:c r="AP464" s="32" t="n">
        <x:f>AP463+AN464-AO464</x:f>
        <x:v>0</x:v>
      </x:c>
      <x:c r="AQ464" s="32" t="n">
        <x:f>AM464+AO464</x:f>
        <x:v>6.49116922258255</x:v>
      </x:c>
      <x:c r="AR464" s="10" t="n">
        <x:f>IF(H464=1,INDEX(v01_Req,G464),0)</x:f>
        <x:v>1067.32</x:v>
      </x:c>
      <x:c r="AS464" s="32" t="n">
        <x:f>IF(H464=1,IF(E464=1,AS463-AR463,AS463)+AQ464,0)</x:f>
        <x:v>912.7689965886112</x:v>
      </x:c>
      <x:c r="AT464" s="11" t="n">
        <x:f>IF(AR464&gt;0,MIN(1,AS464/AR464),1)</x:f>
        <x:v>0.8551971260621101</x:v>
      </x:c>
      <x:c r="AU464" s="10" t="n">
        <x:f>AB464/INDEX(v01_RepScale,G464)</x:f>
        <x:v>62.74761855510871</x:v>
      </x:c>
      <x:c r="AV464" s="32" t="n">
        <x:f>AM464*60/v01_SeasonSeconds</x:f>
        <x:v>22.08683626611334</x:v>
      </x:c>
    </x:row>
    <x:row r="465">
      <x:c r="A465" s="8" t="n">
        <x:f>A464+1</x:f>
        <x:v>462</x:v>
      </x:c>
      <x:c r="B465" s="9" t="n">
        <x:f>A465*v01_SeasonSeconds/60</x:f>
        <x:v>115.5</x:v>
      </x:c>
      <x:c r="C465" s="9" t="n">
        <x:f>A465/4</x:f>
        <x:v>115.5</x:v>
      </x:c>
      <x:c r="D465" s="8" t="n">
        <x:f>IF(MOD(A465,4)=0,1,0)</x:f>
        <x:v>0</x:v>
      </x:c>
      <x:c r="E465" s="8" t="n">
        <x:f>IF(AND(F464&lt;=9,AS464&gt;=AR464),1,0)</x:f>
        <x:v>0</x:v>
      </x:c>
      <x:c r="F465" s="8" t="n">
        <x:f>MIN(10,F464+E465)</x:f>
        <x:v>1</x:v>
      </x:c>
      <x:c r="G465" s="8" t="n">
        <x:f>MIN(F465,9)+1</x:f>
        <x:v>2</x:v>
      </x:c>
      <x:c r="H465" s="8" t="n">
        <x:f>IF(F465&lt;=9,1,0)</x:f>
        <x:v>1</x:v>
      </x:c>
      <x:c r="I465" s="9" t="n">
        <x:f>MIN(10,F464+IF(AR464&gt;0,MIN(1,AS464/AR464),1))</x:f>
        <x:v>1.85519712606211</x:v>
      </x:c>
      <x:c r="J465" s="32" t="n">
        <x:f>INDEX(v01_FoodCap,G465)*Arch_FoodCap*EXP(v01_CapsByProject*SUMPRODUCT((Cap_Point&lt;=I465)*(Cap_Kind="Food")*Cap_Ln))</x:f>
        <x:v>30</x:v>
      </x:c>
      <x:c r="K465" s="32" t="n">
        <x:f>J465*MIN(1,v01_LeanBase*EXP(v01_CapsByProject*SUMPRODUCT((Cap_Point&lt;=I465)*(Cap_Kind="Lean")*Cap_Ln)))</x:f>
        <x:v>30</x:v>
      </x:c>
      <x:c r="L465" s="10" t="n">
        <x:f>INDEX(v01_HousingCap,G465)*EXP(v01_CapsByProject*SUMPRODUCT((Cap_Point&lt;=I465)*(Cap_Kind="Housing")*Cap_Ln))</x:f>
        <x:v>60</x:v>
      </x:c>
      <x:c r="M465" s="10" t="n">
        <x:f>INDEX(v01_GroupCap,G465)*v01_CohesionFactor*EXP(v01_CapsByProject*SUMPRODUCT((Cap_Point&lt;=I465)*(Cap_Kind="Group")*Cap_Ln))</x:f>
        <x:v>100</x:v>
      </x:c>
      <x:c r="N465" s="32" t="n">
        <x:f>MIN(J465,L465,M465)</x:f>
        <x:v>30</x:v>
      </x:c>
      <x:c r="O465" s="10" t="n">
        <x:f>AE464*N465</x:f>
        <x:v>90</x:v>
      </x:c>
      <x:c r="P465" s="9" t="n">
        <x:f>MIN(1,(AB464/(AE464*IF(v01_GroupInCrowding=1,N465,MIN(J465,L465))))^v01_CrowdingExp)</x:f>
        <x:v>0.11484932051928848</x:v>
      </x:c>
      <x:c r="Q465" s="9" t="n">
        <x:f>IF(D465=1,INDEX(v01_WinterMult,G465),1)</x:f>
        <x:v>1</x:v>
      </x:c>
      <x:c r="R465" s="9" t="n">
        <x:f>H465*Z464*v01_WomenShare*v01_BaseFertility*INDEX(v01_FertMult,G465)*Arch_Fertility*(1-P465)</x:f>
        <x:v>0.919412481279498</x:v>
      </x:c>
      <x:c r="S465" s="9" t="n">
        <x:f>H465*Y464*INDEX(v01_MortChild,G465)/4*Q465</x:f>
        <x:v>0.2371636288979828</x:v>
      </x:c>
      <x:c r="T465" s="9" t="n">
        <x:f>H465*Z464*INDEX(v01_MortAdult,G465)*Arch_AdultMort/4*Q465</x:f>
        <x:v>0.09002130020503424</x:v>
      </x:c>
      <x:c r="U465" s="9" t="n">
        <x:f>H465*AA464*INDEX(v01_MortElder,G465)/4*Q465</x:f>
        <x:v>0.15888684444723356</x:v>
      </x:c>
      <x:c r="V465" s="9" t="n">
        <x:f>H465*MAX(0,AB464-O465)*v01_OvercapLoss</x:f>
        <x:v>0</x:v>
      </x:c>
      <x:c r="W465" s="9" t="n">
        <x:f>H465*Y464/(v01_ChildYears*4)</x:f>
        <x:v>0.48400740591425057</x:v>
      </x:c>
      <x:c r="X465" s="9" t="n">
        <x:f>H465*Z464/(v01_AdultYears*4)</x:f>
        <x:v>0.2233779161415242</x:v>
      </x:c>
      <x:c r="Y465" s="32" t="n">
        <x:f>Y464+R465-S465-W465-Y464*V465/AB464</x:f>
        <x:v>27.302656177665295</x:v>
      </x:c>
      <x:c r="Z465" s="32" t="n">
        <x:f>Z464+W465-X465-T465-Z464*V465/AB464</x:f>
        <x:v>27.869469791116693</x:v>
      </x:c>
      <x:c r="AA465" s="32" t="n">
        <x:f>AA464+X465-U465-AA464*V465/AB464</x:f>
        <x:v>8.00883329405597</x:v>
      </x:c>
      <x:c r="AB465" s="10" t="n">
        <x:f>Y465+Z465+AA465</x:f>
        <x:v>63.18095926283795</x:v>
      </x:c>
      <x:c r="AC465" s="8" t="n">
        <x:f>IF(AND(v01_WinterTrigger=1,D465=1,AB464/AE464&gt;=K465),1,0)</x:f>
        <x:v>0</x:v>
      </x:c>
      <x:c r="AD465" s="8" t="n">
        <x:f>H465*IF(AND(OR(AB464/AE464&gt;=v01_FissionTrigger*N465,AC465=1),AB464/AE464*v01_DaughterShare&gt;=v01_MinDaughter),MAX(1,ROUND(AE464*v01_FissionRate,0)),0)</x:f>
        <x:v>0</x:v>
      </x:c>
      <x:c r="AE465" s="8" t="n">
        <x:f>IF(H465=1,MAX(1,MIN(INDEX(v01_Smax,G465),AE464+AD465)),AE464)</x:f>
        <x:v>3</x:v>
      </x:c>
      <x:c r="AF465" s="8" t="n">
        <x:f>MAX(0,AE465-AE464)</x:f>
        <x:v>0</x:v>
      </x:c>
      <x:c r="AG465" s="9" t="str">
        <x:f>IF(AF465&gt;0,B465,"")</x:f>
      </x:c>
      <x:c r="AH465" s="9" t="n">
        <x:f>IF(F465&gt;=1,1,(1+v01_LowTiesShare*(AE465-1))/AE465)</x:f>
        <x:v>1</x:v>
      </x:c>
      <x:c r="AI465" s="32" t="n">
        <x:f>(Z465+v01_ElderCommons*INDEX(LM_Elder,G465)*AA465)*AH465</x:f>
        <x:v>47.4870247965672</x:v>
      </x:c>
      <x:c r="AJ465" s="32" t="n">
        <x:f>H465*v01_CommonsCoef*AI465^v01_CommonsExp*INDEX(LM_Commons,G465)</x:f>
        <x:v>17.564373030901965</x:v>
      </x:c>
      <x:c r="AK465" s="32" t="n">
        <x:f>H465*v01_RoleScale*Arch_Roles*(AE465*(INDEX(v01_ElderRolePerSett,G465)*v01_OutElder*INDEX(LM_Elder,G465)+INDEX(v01_ShamanPerSett,G465)*v01_OutShaman)+Z465*(INDEX(v01_PriestShare,G465)*v01_OutPriest+INDEX(v01_ScribeShare,G465)*v01_OutScribe*INDEX(LM_Scribe,G465)+INDEX(v01_ScholarShare,G465)*v01_OutScholar*INDEX(LM_Scholar,G465)+INDEX(v01_ResearcherShare,G465)*v01_OutResearcher*INDEX(LM_Researcher,G465)))</x:f>
        <x:v>4.087117307087383</x:v>
      </x:c>
      <x:c r="AL465" s="32" t="n">
        <x:f>H465*v01_RoleScale*Arch_Roles*AE465*INDEX(v01_MonasteryPerSett,G465)*v01_OutMonastery*INDEX(LM_Monastery,G465)</x:f>
        <x:v>0</x:v>
      </x:c>
      <x:c r="AM465" s="32" t="n">
        <x:f>(AJ465+AK465+AL465)/4*INDEX(LM_All,G465)*INDEX(v01_Boon,G465)*Arch_Insight</x:f>
        <x:v>5.54819439910977</x:v>
      </x:c>
      <x:c r="AN465" s="32" t="n">
        <x:f>H465*(v01_KHPerAdult*Z465+v01_KHOfCommons*AJ465/4*INDEX(LM_All,G465))*v01_KHUsable*Arch_KH</x:f>
        <x:v>0.9754314426890842</x:v>
      </x:c>
      <x:c r="AO465" s="32" t="n">
        <x:f>MIN(AP464+AN465,AM465*v01_KHMaxRatio)</x:f>
        <x:v>0.9754314426890842</x:v>
      </x:c>
      <x:c r="AP465" s="32" t="n">
        <x:f>AP464+AN465-AO465</x:f>
        <x:v>0</x:v>
      </x:c>
      <x:c r="AQ465" s="32" t="n">
        <x:f>AM465+AO465</x:f>
        <x:v>6.523625841798854</x:v>
      </x:c>
      <x:c r="AR465" s="10" t="n">
        <x:f>IF(H465=1,INDEX(v01_Req,G465),0)</x:f>
        <x:v>1067.32</x:v>
      </x:c>
      <x:c r="AS465" s="32" t="n">
        <x:f>IF(H465=1,IF(E465=1,AS464-AR464,AS464)+AQ465,0)</x:f>
        <x:v>919.2926224304101</x:v>
      </x:c>
      <x:c r="AT465" s="11" t="n">
        <x:f>IF(AR465&gt;0,MIN(1,AS465/AR465),1)</x:f>
        <x:v>0.8613092815935335</x:v>
      </x:c>
      <x:c r="AU465" s="10" t="n">
        <x:f>AB465/INDEX(v01_RepScale,G465)</x:f>
        <x:v>63.18095926283795</x:v>
      </x:c>
      <x:c r="AV465" s="32" t="n">
        <x:f>AM465*60/v01_SeasonSeconds</x:f>
        <x:v>22.19277759643908</x:v>
      </x:c>
    </x:row>
    <x:row r="466">
      <x:c r="A466" s="8" t="n">
        <x:f>A465+1</x:f>
        <x:v>463</x:v>
      </x:c>
      <x:c r="B466" s="9" t="n">
        <x:f>A466*v01_SeasonSeconds/60</x:f>
        <x:v>115.75</x:v>
      </x:c>
      <x:c r="C466" s="9" t="n">
        <x:f>A466/4</x:f>
        <x:v>115.75</x:v>
      </x:c>
      <x:c r="D466" s="8" t="n">
        <x:f>IF(MOD(A466,4)=0,1,0)</x:f>
        <x:v>0</x:v>
      </x:c>
      <x:c r="E466" s="8" t="n">
        <x:f>IF(AND(F465&lt;=9,AS465&gt;=AR465),1,0)</x:f>
        <x:v>0</x:v>
      </x:c>
      <x:c r="F466" s="8" t="n">
        <x:f>MIN(10,F465+E466)</x:f>
        <x:v>1</x:v>
      </x:c>
      <x:c r="G466" s="8" t="n">
        <x:f>MIN(F466,9)+1</x:f>
        <x:v>2</x:v>
      </x:c>
      <x:c r="H466" s="8" t="n">
        <x:f>IF(F466&lt;=9,1,0)</x:f>
        <x:v>1</x:v>
      </x:c>
      <x:c r="I466" s="9" t="n">
        <x:f>MIN(10,F465+IF(AR465&gt;0,MIN(1,AS465/AR465),1))</x:f>
        <x:v>1.8613092815935335</x:v>
      </x:c>
      <x:c r="J466" s="32" t="n">
        <x:f>INDEX(v01_FoodCap,G466)*Arch_FoodCap*EXP(v01_CapsByProject*SUMPRODUCT((Cap_Point&lt;=I466)*(Cap_Kind="Food")*Cap_Ln))</x:f>
        <x:v>30</x:v>
      </x:c>
      <x:c r="K466" s="32" t="n">
        <x:f>J466*MIN(1,v01_LeanBase*EXP(v01_CapsByProject*SUMPRODUCT((Cap_Point&lt;=I466)*(Cap_Kind="Lean")*Cap_Ln)))</x:f>
        <x:v>30</x:v>
      </x:c>
      <x:c r="L466" s="10" t="n">
        <x:f>INDEX(v01_HousingCap,G466)*EXP(v01_CapsByProject*SUMPRODUCT((Cap_Point&lt;=I466)*(Cap_Kind="Housing")*Cap_Ln))</x:f>
        <x:v>60</x:v>
      </x:c>
      <x:c r="M466" s="10" t="n">
        <x:f>INDEX(v01_GroupCap,G466)*v01_CohesionFactor*EXP(v01_CapsByProject*SUMPRODUCT((Cap_Point&lt;=I466)*(Cap_Kind="Group")*Cap_Ln))</x:f>
        <x:v>100</x:v>
      </x:c>
      <x:c r="N466" s="32" t="n">
        <x:f>MIN(J466,L466,M466)</x:f>
        <x:v>30</x:v>
      </x:c>
      <x:c r="O466" s="10" t="n">
        <x:f>AE465*N466</x:f>
        <x:v>90</x:v>
      </x:c>
      <x:c r="P466" s="9" t="n">
        <x:f>MIN(1,(AB465/(AE465*IF(v01_GroupInCrowding=1,N466,MIN(J466,L466))))^v01_CrowdingExp)</x:f>
        <x:v>0.11969120405784649</x:v>
      </x:c>
      <x:c r="Q466" s="9" t="n">
        <x:f>IF(D466=1,INDEX(v01_WinterMult,G466),1)</x:f>
        <x:v>1</x:v>
      </x:c>
      <x:c r="R466" s="9" t="n">
        <x:f>H466*Z465*v01_WomenShare*v01_BaseFertility*INDEX(v01_FertMult,G466)*Arch_Fertility*(1-P466)</x:f>
        <x:v>0.9200152273261558</x:v>
      </x:c>
      <x:c r="S466" s="9" t="n">
        <x:f>H466*Y465*INDEX(v01_MortChild,G466)/4*Q466</x:f>
        <x:v>0.23889824155457134</x:v>
      </x:c>
      <x:c r="T466" s="9" t="n">
        <x:f>H466*Z465*INDEX(v01_MortAdult,G466)*Arch_AdultMort/4*Q466</x:f>
        <x:v>0.09057577682112924</x:v>
      </x:c>
      <x:c r="U466" s="9" t="n">
        <x:f>H466*AA465*INDEX(v01_MortElder,G466)/4*Q466</x:f>
        <x:v>0.1601766658811194</x:v>
      </x:c>
      <x:c r="V466" s="9" t="n">
        <x:f>H466*MAX(0,AB465-O466)*v01_OvercapLoss</x:f>
        <x:v>0</x:v>
      </x:c>
      <x:c r="W466" s="9" t="n">
        <x:f>H466*Y465/(v01_ChildYears*4)</x:f>
        <x:v>0.4875474317440231</x:v>
      </x:c>
      <x:c r="X466" s="9" t="n">
        <x:f>H466*Z465/(v01_AdultYears*4)</x:f>
        <x:v>0.22475378863803785</x:v>
      </x:c>
      <x:c r="Y466" s="32" t="n">
        <x:f>Y465+R466-S466-W466-Y465*V466/AB465</x:f>
        <x:v>27.496225731692856</x:v>
      </x:c>
      <x:c r="Z466" s="32" t="n">
        <x:f>Z465+W466-X466-T466-Z465*V466/AB465</x:f>
        <x:v>28.04168765740155</x:v>
      </x:c>
      <x:c r="AA466" s="32" t="n">
        <x:f>AA465+X466-U466-AA465*V466/AB465</x:f>
        <x:v>8.073410416812889</x:v>
      </x:c>
      <x:c r="AB466" s="10" t="n">
        <x:f>Y466+Z466+AA466</x:f>
        <x:v>63.6113238059073</x:v>
      </x:c>
      <x:c r="AC466" s="8" t="n">
        <x:f>IF(AND(v01_WinterTrigger=1,D466=1,AB465/AE465&gt;=K466),1,0)</x:f>
        <x:v>0</x:v>
      </x:c>
      <x:c r="AD466" s="8" t="n">
        <x:f>H466*IF(AND(OR(AB465/AE465&gt;=v01_FissionTrigger*N466,AC466=1),AB465/AE465*v01_DaughterShare&gt;=v01_MinDaughter),MAX(1,ROUND(AE465*v01_FissionRate,0)),0)</x:f>
        <x:v>0</x:v>
      </x:c>
      <x:c r="AE466" s="8" t="n">
        <x:f>IF(H466=1,MAX(1,MIN(INDEX(v01_Smax,G466),AE465+AD466)),AE465)</x:f>
        <x:v>3</x:v>
      </x:c>
      <x:c r="AF466" s="8" t="n">
        <x:f>MAX(0,AE466-AE465)</x:f>
        <x:v>0</x:v>
      </x:c>
      <x:c r="AG466" s="9" t="str">
        <x:f>IF(AF466&gt;0,B466,"")</x:f>
      </x:c>
      <x:c r="AH466" s="9" t="n">
        <x:f>IF(F466&gt;=1,1,(1+v01_LowTiesShare*(AE466-1))/AE466)</x:f>
        <x:v>1</x:v>
      </x:c>
      <x:c r="AI466" s="32" t="n">
        <x:f>(Z466+v01_ElderCommons*INDEX(LM_Elder,G466)*AA466)*AH466</x:f>
        <x:v>47.817423662663586</x:v>
      </x:c>
      <x:c r="AJ466" s="32" t="n">
        <x:f>H466*v01_CommonsCoef*AI466^v01_CommonsExp*INDEX(LM_Commons,G466)</x:f>
        <x:v>17.66819495732907</x:v>
      </x:c>
      <x:c r="AK466" s="32" t="n">
        <x:f>H466*v01_RoleScale*Arch_Roles*(AE466*(INDEX(v01_ElderRolePerSett,G466)*v01_OutElder*INDEX(LM_Elder,G466)+INDEX(v01_ShamanPerSett,G466)*v01_OutShaman)+Z466*(INDEX(v01_PriestShare,G466)*v01_OutPriest+INDEX(v01_ScribeShare,G466)*v01_OutScribe*INDEX(LM_Scribe,G466)+INDEX(v01_ScholarShare,G466)*v01_OutScholar*INDEX(LM_Scholar,G466)+INDEX(v01_ResearcherShare,G466)*v01_OutResearcher*INDEX(LM_Researcher,G466)))</x:f>
        <x:v>4.087117307087383</x:v>
      </x:c>
      <x:c r="AL466" s="32" t="n">
        <x:f>H466*v01_RoleScale*Arch_Roles*AE466*INDEX(v01_MonasteryPerSett,G466)*v01_OutMonastery*INDEX(LM_Monastery,G466)</x:f>
        <x:v>0</x:v>
      </x:c>
      <x:c r="AM466" s="32" t="n">
        <x:f>(AJ466+AK466+AL466)/4*INDEX(LM_All,G466)*INDEX(v01_Boon,G466)*Arch_Insight</x:f>
        <x:v>5.5747987677567155</x:v>
      </x:c>
      <x:c r="AN466" s="32" t="n">
        <x:f>H466*(v01_KHPerAdult*Z466+v01_KHOfCommons*AJ466/4*INDEX(LM_All,G466))*v01_KHUsable*Arch_KH</x:f>
        <x:v>0.9814590680090542</x:v>
      </x:c>
      <x:c r="AO466" s="32" t="n">
        <x:f>MIN(AP465+AN466,AM466*v01_KHMaxRatio)</x:f>
        <x:v>0.9814590680090542</x:v>
      </x:c>
      <x:c r="AP466" s="32" t="n">
        <x:f>AP465+AN466-AO466</x:f>
        <x:v>0</x:v>
      </x:c>
      <x:c r="AQ466" s="32" t="n">
        <x:f>AM466+AO466</x:f>
        <x:v>6.55625783576577</x:v>
      </x:c>
      <x:c r="AR466" s="10" t="n">
        <x:f>IF(H466=1,INDEX(v01_Req,G466),0)</x:f>
        <x:v>1067.32</x:v>
      </x:c>
      <x:c r="AS466" s="32" t="n">
        <x:f>IF(H466=1,IF(E466=1,AS465-AR465,AS465)+AQ466,0)</x:f>
        <x:v>925.8488802661759</x:v>
      </x:c>
      <x:c r="AT466" s="11" t="n">
        <x:f>IF(AR466&gt;0,MIN(1,AS466/AR466),1)</x:f>
        <x:v>0.867452010892868</x:v>
      </x:c>
      <x:c r="AU466" s="10" t="n">
        <x:f>AB466/INDEX(v01_RepScale,G466)</x:f>
        <x:v>63.6113238059073</x:v>
      </x:c>
      <x:c r="AV466" s="32" t="n">
        <x:f>AM466*60/v01_SeasonSeconds</x:f>
        <x:v>22.299195071026862</x:v>
      </x:c>
    </x:row>
    <x:row r="467">
      <x:c r="A467" s="8" t="n">
        <x:f>A466+1</x:f>
        <x:v>464</x:v>
      </x:c>
      <x:c r="B467" s="9" t="n">
        <x:f>A467*v01_SeasonSeconds/60</x:f>
        <x:v>116</x:v>
      </x:c>
      <x:c r="C467" s="9" t="n">
        <x:f>A467/4</x:f>
        <x:v>116</x:v>
      </x:c>
      <x:c r="D467" s="8" t="n">
        <x:f>IF(MOD(A467,4)=0,1,0)</x:f>
        <x:v>1</x:v>
      </x:c>
      <x:c r="E467" s="8" t="n">
        <x:f>IF(AND(F466&lt;=9,AS466&gt;=AR466),1,0)</x:f>
        <x:v>0</x:v>
      </x:c>
      <x:c r="F467" s="8" t="n">
        <x:f>MIN(10,F466+E467)</x:f>
        <x:v>1</x:v>
      </x:c>
      <x:c r="G467" s="8" t="n">
        <x:f>MIN(F467,9)+1</x:f>
        <x:v>2</x:v>
      </x:c>
      <x:c r="H467" s="8" t="n">
        <x:f>IF(F467&lt;=9,1,0)</x:f>
        <x:v>1</x:v>
      </x:c>
      <x:c r="I467" s="9" t="n">
        <x:f>MIN(10,F466+IF(AR466&gt;0,MIN(1,AS466/AR466),1))</x:f>
        <x:v>1.867452010892868</x:v>
      </x:c>
      <x:c r="J467" s="32" t="n">
        <x:f>INDEX(v01_FoodCap,G467)*Arch_FoodCap*EXP(v01_CapsByProject*SUMPRODUCT((Cap_Point&lt;=I467)*(Cap_Kind="Food")*Cap_Ln))</x:f>
        <x:v>30</x:v>
      </x:c>
      <x:c r="K467" s="32" t="n">
        <x:f>J467*MIN(1,v01_LeanBase*EXP(v01_CapsByProject*SUMPRODUCT((Cap_Point&lt;=I467)*(Cap_Kind="Lean")*Cap_Ln)))</x:f>
        <x:v>30</x:v>
      </x:c>
      <x:c r="L467" s="10" t="n">
        <x:f>INDEX(v01_HousingCap,G467)*EXP(v01_CapsByProject*SUMPRODUCT((Cap_Point&lt;=I467)*(Cap_Kind="Housing")*Cap_Ln))</x:f>
        <x:v>60</x:v>
      </x:c>
      <x:c r="M467" s="10" t="n">
        <x:f>INDEX(v01_GroupCap,G467)*v01_CohesionFactor*EXP(v01_CapsByProject*SUMPRODUCT((Cap_Point&lt;=I467)*(Cap_Kind="Group")*Cap_Ln))</x:f>
        <x:v>100</x:v>
      </x:c>
      <x:c r="N467" s="32" t="n">
        <x:f>MIN(J467,L467,M467)</x:f>
        <x:v>30</x:v>
      </x:c>
      <x:c r="O467" s="10" t="n">
        <x:f>AE466*N467</x:f>
        <x:v>90</x:v>
      </x:c>
      <x:c r="P467" s="9" t="n">
        <x:f>MIN(1,(AB466/(AE466*IF(v01_GroupInCrowding=1,N467,MIN(J467,L467))))^v01_CrowdingExp)</x:f>
        <x:v>0.12466701059947931</x:v>
      </x:c>
      <x:c r="Q467" s="9" t="n">
        <x:f>IF(D467=1,INDEX(v01_WinterMult,G467),1)</x:f>
        <x:v>1.6</x:v>
      </x:c>
      <x:c r="R467" s="9" t="n">
        <x:f>H467*Z466*v01_WomenShare*v01_BaseFertility*INDEX(v01_FertMult,G467)*Arch_Fertility*(1-P467)</x:f>
        <x:v>0.9204680356870868</x:v>
      </x:c>
      <x:c r="S467" s="9" t="n">
        <x:f>H467*Y466*INDEX(v01_MortChild,G467)/4*Q467</x:f>
        <x:v>0.3849471602437</x:v>
      </x:c>
      <x:c r="T467" s="9" t="n">
        <x:f>H467*Z466*INDEX(v01_MortAdult,G467)*Arch_AdultMort/4*Q467</x:f>
        <x:v>0.14581677581848804</x:v>
      </x:c>
      <x:c r="U467" s="9" t="n">
        <x:f>H467*AA466*INDEX(v01_MortElder,G467)/4*Q467</x:f>
        <x:v>0.25834913333801246</x:v>
      </x:c>
      <x:c r="V467" s="9" t="n">
        <x:f>H467*MAX(0,AB466-O467)*v01_OvercapLoss</x:f>
        <x:v>0</x:v>
      </x:c>
      <x:c r="W467" s="9" t="n">
        <x:f>H467*Y466/(v01_ChildYears*4)</x:f>
        <x:v>0.4910040309230867</x:v>
      </x:c>
      <x:c r="X467" s="9" t="n">
        <x:f>H467*Z466/(v01_AdultYears*4)</x:f>
        <x:v>0.2261426423983996</x:v>
      </x:c>
      <x:c r="Y467" s="32" t="n">
        <x:f>Y466+R467-S467-W467-Y466*V467/AB466</x:f>
        <x:v>27.540742576213155</x:v>
      </x:c>
      <x:c r="Z467" s="32" t="n">
        <x:f>Z466+W467-X467-T467-Z466*V467/AB466</x:f>
        <x:v>28.160732270107747</x:v>
      </x:c>
      <x:c r="AA467" s="32" t="n">
        <x:f>AA466+X467-U467-AA466*V467/AB466</x:f>
        <x:v>8.041203925873276</x:v>
      </x:c>
      <x:c r="AB467" s="10" t="n">
        <x:f>Y467+Z467+AA467</x:f>
        <x:v>63.74267877219418</x:v>
      </x:c>
      <x:c r="AC467" s="8" t="n">
        <x:f>IF(AND(v01_WinterTrigger=1,D467=1,AB466/AE466&gt;=K467),1,0)</x:f>
        <x:v>0</x:v>
      </x:c>
      <x:c r="AD467" s="8" t="n">
        <x:f>H467*IF(AND(OR(AB466/AE466&gt;=v01_FissionTrigger*N467,AC467=1),AB466/AE466*v01_DaughterShare&gt;=v01_MinDaughter),MAX(1,ROUND(AE466*v01_FissionRate,0)),0)</x:f>
        <x:v>0</x:v>
      </x:c>
      <x:c r="AE467" s="8" t="n">
        <x:f>IF(H467=1,MAX(1,MIN(INDEX(v01_Smax,G467),AE466+AD467)),AE466)</x:f>
        <x:v>3</x:v>
      </x:c>
      <x:c r="AF467" s="8" t="n">
        <x:f>MAX(0,AE467-AE466)</x:f>
        <x:v>0</x:v>
      </x:c>
      <x:c r="AG467" s="9" t="str">
        <x:f>IF(AF467&gt;0,B467,"")</x:f>
      </x:c>
      <x:c r="AH467" s="9" t="n">
        <x:f>IF(F467&gt;=1,1,(1+v01_LowTiesShare*(AE467-1))/AE467)</x:f>
        <x:v>1</x:v>
      </x:c>
      <x:c r="AI467" s="32" t="n">
        <x:f>(Z467+v01_ElderCommons*INDEX(LM_Elder,G467)*AA467)*AH467</x:f>
        <x:v>47.85757880616216</x:v>
      </x:c>
      <x:c r="AJ467" s="32" t="n">
        <x:f>H467*v01_CommonsCoef*AI467^v01_CommonsExp*INDEX(LM_Commons,G467)</x:f>
        <x:v>17.680805645089595</x:v>
      </x:c>
      <x:c r="AK467" s="32" t="n">
        <x:f>H467*v01_RoleScale*Arch_Roles*(AE467*(INDEX(v01_ElderRolePerSett,G467)*v01_OutElder*INDEX(LM_Elder,G467)+INDEX(v01_ShamanPerSett,G467)*v01_OutShaman)+Z467*(INDEX(v01_PriestShare,G467)*v01_OutPriest+INDEX(v01_ScribeShare,G467)*v01_OutScribe*INDEX(LM_Scribe,G467)+INDEX(v01_ScholarShare,G467)*v01_OutScholar*INDEX(LM_Scholar,G467)+INDEX(v01_ResearcherShare,G467)*v01_OutResearcher*INDEX(LM_Researcher,G467)))</x:f>
        <x:v>4.087117307087383</x:v>
      </x:c>
      <x:c r="AL467" s="32" t="n">
        <x:f>H467*v01_RoleScale*Arch_Roles*AE467*INDEX(v01_MonasteryPerSett,G467)*v01_OutMonastery*INDEX(LM_Monastery,G467)</x:f>
        <x:v>0</x:v>
      </x:c>
      <x:c r="AM467" s="32" t="n">
        <x:f>(AJ467+AK467+AL467)/4*INDEX(LM_All,G467)*INDEX(v01_Boon,G467)*Arch_Insight</x:f>
        <x:v>5.57803025649535</x:v>
      </x:c>
      <x:c r="AN467" s="32" t="n">
        <x:f>H467*(v01_KHPerAdult*Z467+v01_KHOfCommons*AJ467/4*INDEX(LM_All,G467))*v01_KHUsable*Arch_KH</x:f>
        <x:v>0.9856256294537712</x:v>
      </x:c>
      <x:c r="AO467" s="32" t="n">
        <x:f>MIN(AP466+AN467,AM467*v01_KHMaxRatio)</x:f>
        <x:v>0.9856256294537712</x:v>
      </x:c>
      <x:c r="AP467" s="32" t="n">
        <x:f>AP466+AN467-AO467</x:f>
        <x:v>0</x:v>
      </x:c>
      <x:c r="AQ467" s="32" t="n">
        <x:f>AM467+AO467</x:f>
        <x:v>6.563655885949122</x:v>
      </x:c>
      <x:c r="AR467" s="10" t="n">
        <x:f>IF(H467=1,INDEX(v01_Req,G467),0)</x:f>
        <x:v>1067.32</x:v>
      </x:c>
      <x:c r="AS467" s="32" t="n">
        <x:f>IF(H467=1,IF(E467=1,AS466-AR466,AS466)+AQ467,0)</x:f>
        <x:v>932.4125361521251</x:v>
      </x:c>
      <x:c r="AT467" s="11" t="n">
        <x:f>IF(AR467&gt;0,MIN(1,AS467/AR467),1)</x:f>
        <x:v>0.8736016716187508</x:v>
      </x:c>
      <x:c r="AU467" s="10" t="n">
        <x:f>AB467/INDEX(v01_RepScale,G467)</x:f>
        <x:v>63.74267877219418</x:v>
      </x:c>
      <x:c r="AV467" s="32" t="n">
        <x:f>AM467*60/v01_SeasonSeconds</x:f>
        <x:v>22.3121210259814</x:v>
      </x:c>
    </x:row>
    <x:row r="468">
      <x:c r="A468" s="8" t="n">
        <x:f>A467+1</x:f>
        <x:v>465</x:v>
      </x:c>
      <x:c r="B468" s="9" t="n">
        <x:f>A468*v01_SeasonSeconds/60</x:f>
        <x:v>116.25</x:v>
      </x:c>
      <x:c r="C468" s="9" t="n">
        <x:f>A468/4</x:f>
        <x:v>116.25</x:v>
      </x:c>
      <x:c r="D468" s="8" t="n">
        <x:f>IF(MOD(A468,4)=0,1,0)</x:f>
        <x:v>0</x:v>
      </x:c>
      <x:c r="E468" s="8" t="n">
        <x:f>IF(AND(F467&lt;=9,AS467&gt;=AR467),1,0)</x:f>
        <x:v>0</x:v>
      </x:c>
      <x:c r="F468" s="8" t="n">
        <x:f>MIN(10,F467+E468)</x:f>
        <x:v>1</x:v>
      </x:c>
      <x:c r="G468" s="8" t="n">
        <x:f>MIN(F468,9)+1</x:f>
        <x:v>2</x:v>
      </x:c>
      <x:c r="H468" s="8" t="n">
        <x:f>IF(F468&lt;=9,1,0)</x:f>
        <x:v>1</x:v>
      </x:c>
      <x:c r="I468" s="9" t="n">
        <x:f>MIN(10,F467+IF(AR467&gt;0,MIN(1,AS467/AR467),1))</x:f>
        <x:v>1.8736016716187507</x:v>
      </x:c>
      <x:c r="J468" s="32" t="n">
        <x:f>INDEX(v01_FoodCap,G468)*Arch_FoodCap*EXP(v01_CapsByProject*SUMPRODUCT((Cap_Point&lt;=I468)*(Cap_Kind="Food")*Cap_Ln))</x:f>
        <x:v>30</x:v>
      </x:c>
      <x:c r="K468" s="32" t="n">
        <x:f>J468*MIN(1,v01_LeanBase*EXP(v01_CapsByProject*SUMPRODUCT((Cap_Point&lt;=I468)*(Cap_Kind="Lean")*Cap_Ln)))</x:f>
        <x:v>30</x:v>
      </x:c>
      <x:c r="L468" s="10" t="n">
        <x:f>INDEX(v01_HousingCap,G468)*EXP(v01_CapsByProject*SUMPRODUCT((Cap_Point&lt;=I468)*(Cap_Kind="Housing")*Cap_Ln))</x:f>
        <x:v>60</x:v>
      </x:c>
      <x:c r="M468" s="10" t="n">
        <x:f>INDEX(v01_GroupCap,G468)*v01_CohesionFactor*EXP(v01_CapsByProject*SUMPRODUCT((Cap_Point&lt;=I468)*(Cap_Kind="Group")*Cap_Ln))</x:f>
        <x:v>100</x:v>
      </x:c>
      <x:c r="N468" s="32" t="n">
        <x:f>MIN(J468,L468,M468)</x:f>
        <x:v>30</x:v>
      </x:c>
      <x:c r="O468" s="10" t="n">
        <x:f>AE467*N468</x:f>
        <x:v>90</x:v>
      </x:c>
      <x:c r="P468" s="9" t="n">
        <x:f>MIN(1,(AB467/(AE467*IF(v01_GroupInCrowding=1,N468,MIN(J468,L468))))^v01_CrowdingExp)</x:f>
        <x:v>0.12621960225254938</x:v>
      </x:c>
      <x:c r="Q468" s="9" t="n">
        <x:f>IF(D468=1,INDEX(v01_WinterMult,G468),1)</x:f>
        <x:v>1</x:v>
      </x:c>
      <x:c r="R468" s="9" t="n">
        <x:f>H468*Z467*v01_WomenShare*v01_BaseFertility*INDEX(v01_FertMult,G468)*Arch_Fertility*(1-P468)</x:f>
        <x:v>0.9227360941437831</x:v>
      </x:c>
      <x:c r="S468" s="9" t="n">
        <x:f>H468*Y467*INDEX(v01_MortChild,G468)/4*Q468</x:f>
        <x:v>0.24098149754186513</x:v>
      </x:c>
      <x:c r="T468" s="9" t="n">
        <x:f>H468*Z467*INDEX(v01_MortAdult,G468)*Arch_AdultMort/4*Q468</x:f>
        <x:v>0.09152237987785017</x:v>
      </x:c>
      <x:c r="U468" s="9" t="n">
        <x:f>H468*AA467*INDEX(v01_MortElder,G468)/4*Q468</x:f>
        <x:v>0.16082407851746552</x:v>
      </x:c>
      <x:c r="V468" s="9" t="n">
        <x:f>H468*MAX(0,AB467-O468)*v01_OvercapLoss</x:f>
        <x:v>0</x:v>
      </x:c>
      <x:c r="W468" s="9" t="n">
        <x:f>H468*Y467/(v01_ChildYears*4)</x:f>
        <x:v>0.4917989745752349</x:v>
      </x:c>
      <x:c r="X468" s="9" t="n">
        <x:f>H468*Z467/(v01_AdultYears*4)</x:f>
        <x:v>0.22710267959764313</x:v>
      </x:c>
      <x:c r="Y468" s="32" t="n">
        <x:f>Y467+R468-S468-W468-Y467*V468/AB467</x:f>
        <x:v>27.73069819823984</x:v>
      </x:c>
      <x:c r="Z468" s="32" t="n">
        <x:f>Z467+W468-X468-T468-Z467*V468/AB467</x:f>
        <x:v>28.33390618520749</x:v>
      </x:c>
      <x:c r="AA468" s="32" t="n">
        <x:f>AA467+X468-U468-AA467*V468/AB467</x:f>
        <x:v>8.107482526953453</x:v>
      </x:c>
      <x:c r="AB468" s="10" t="n">
        <x:f>Y468+Z468+AA468</x:f>
        <x:v>64.17208691040078</x:v>
      </x:c>
      <x:c r="AC468" s="8" t="n">
        <x:f>IF(AND(v01_WinterTrigger=1,D468=1,AB467/AE467&gt;=K468),1,0)</x:f>
        <x:v>0</x:v>
      </x:c>
      <x:c r="AD468" s="8" t="n">
        <x:f>H468*IF(AND(OR(AB467/AE467&gt;=v01_FissionTrigger*N468,AC468=1),AB467/AE467*v01_DaughterShare&gt;=v01_MinDaughter),MAX(1,ROUND(AE467*v01_FissionRate,0)),0)</x:f>
        <x:v>0</x:v>
      </x:c>
      <x:c r="AE468" s="8" t="n">
        <x:f>IF(H468=1,MAX(1,MIN(INDEX(v01_Smax,G468),AE467+AD468)),AE467)</x:f>
        <x:v>3</x:v>
      </x:c>
      <x:c r="AF468" s="8" t="n">
        <x:f>MAX(0,AE468-AE467)</x:f>
        <x:v>0</x:v>
      </x:c>
      <x:c r="AG468" s="9" t="str">
        <x:f>IF(AF468&gt;0,B468,"")</x:f>
      </x:c>
      <x:c r="AH468" s="9" t="n">
        <x:f>IF(F468&gt;=1,1,(1+v01_LowTiesShare*(AE468-1))/AE468)</x:f>
        <x:v>1</x:v>
      </x:c>
      <x:c r="AI468" s="32" t="n">
        <x:f>(Z468+v01_ElderCommons*INDEX(LM_Elder,G468)*AA468)*AH468</x:f>
        <x:v>48.19310147477381</x:v>
      </x:c>
      <x:c r="AJ468" s="32" t="n">
        <x:f>H468*v01_CommonsCoef*AI468^v01_CommonsExp*INDEX(LM_Commons,G468)</x:f>
        <x:v>17.786114360111913</x:v>
      </x:c>
      <x:c r="AK468" s="32" t="n">
        <x:f>H468*v01_RoleScale*Arch_Roles*(AE468*(INDEX(v01_ElderRolePerSett,G468)*v01_OutElder*INDEX(LM_Elder,G468)+INDEX(v01_ShamanPerSett,G468)*v01_OutShaman)+Z468*(INDEX(v01_PriestShare,G468)*v01_OutPriest+INDEX(v01_ScribeShare,G468)*v01_OutScribe*INDEX(LM_Scribe,G468)+INDEX(v01_ScholarShare,G468)*v01_OutScholar*INDEX(LM_Scholar,G468)+INDEX(v01_ResearcherShare,G468)*v01_OutResearcher*INDEX(LM_Researcher,G468)))</x:f>
        <x:v>4.087117307087383</x:v>
      </x:c>
      <x:c r="AL468" s="32" t="n">
        <x:f>H468*v01_RoleScale*Arch_Roles*AE468*INDEX(v01_MonasteryPerSett,G468)*v01_OutMonastery*INDEX(LM_Monastery,G468)</x:f>
        <x:v>0</x:v>
      </x:c>
      <x:c r="AM468" s="32" t="n">
        <x:f>(AJ468+AK468+AL468)/4*INDEX(LM_All,G468)*INDEX(v01_Boon,G468)*Arch_Insight</x:f>
        <x:v>5.605015614719819</x:v>
      </x:c>
      <x:c r="AN468" s="32" t="n">
        <x:f>H468*(v01_KHPerAdult*Z468+v01_KHOfCommons*AJ468/4*INDEX(LM_All,G468))*v01_KHUsable*Arch_KH</x:f>
        <x:v>0.991686716482262</x:v>
      </x:c>
      <x:c r="AO468" s="32" t="n">
        <x:f>MIN(AP467+AN468,AM468*v01_KHMaxRatio)</x:f>
        <x:v>0.991686716482262</x:v>
      </x:c>
      <x:c r="AP468" s="32" t="n">
        <x:f>AP467+AN468-AO468</x:f>
        <x:v>0</x:v>
      </x:c>
      <x:c r="AQ468" s="32" t="n">
        <x:f>AM468+AO468</x:f>
        <x:v>6.596702331202081</x:v>
      </x:c>
      <x:c r="AR468" s="10" t="n">
        <x:f>IF(H468=1,INDEX(v01_Req,G468),0)</x:f>
        <x:v>1067.32</x:v>
      </x:c>
      <x:c r="AS468" s="32" t="n">
        <x:f>IF(H468=1,IF(E468=1,AS467-AR467,AS467)+AQ468,0)</x:f>
        <x:v>939.0092384833272</x:v>
      </x:c>
      <x:c r="AT468" s="11" t="n">
        <x:f>IF(AR468&gt;0,MIN(1,AS468/AR468),1)</x:f>
        <x:v>0.8797822944227853</x:v>
      </x:c>
      <x:c r="AU468" s="10" t="n">
        <x:f>AB468/INDEX(v01_RepScale,G468)</x:f>
        <x:v>64.17208691040078</x:v>
      </x:c>
      <x:c r="AV468" s="32" t="n">
        <x:f>AM468*60/v01_SeasonSeconds</x:f>
        <x:v>22.420062458879276</x:v>
      </x:c>
    </x:row>
    <x:row r="469">
      <x:c r="A469" s="8" t="n">
        <x:f>A468+1</x:f>
        <x:v>466</x:v>
      </x:c>
      <x:c r="B469" s="9" t="n">
        <x:f>A469*v01_SeasonSeconds/60</x:f>
        <x:v>116.5</x:v>
      </x:c>
      <x:c r="C469" s="9" t="n">
        <x:f>A469/4</x:f>
        <x:v>116.5</x:v>
      </x:c>
      <x:c r="D469" s="8" t="n">
        <x:f>IF(MOD(A469,4)=0,1,0)</x:f>
        <x:v>0</x:v>
      </x:c>
      <x:c r="E469" s="8" t="n">
        <x:f>IF(AND(F468&lt;=9,AS468&gt;=AR468),1,0)</x:f>
        <x:v>0</x:v>
      </x:c>
      <x:c r="F469" s="8" t="n">
        <x:f>MIN(10,F468+E469)</x:f>
        <x:v>1</x:v>
      </x:c>
      <x:c r="G469" s="8" t="n">
        <x:f>MIN(F469,9)+1</x:f>
        <x:v>2</x:v>
      </x:c>
      <x:c r="H469" s="8" t="n">
        <x:f>IF(F469&lt;=9,1,0)</x:f>
        <x:v>1</x:v>
      </x:c>
      <x:c r="I469" s="9" t="n">
        <x:f>MIN(10,F468+IF(AR468&gt;0,MIN(1,AS468/AR468),1))</x:f>
        <x:v>1.8797822944227853</x:v>
      </x:c>
      <x:c r="J469" s="32" t="n">
        <x:f>INDEX(v01_FoodCap,G469)*Arch_FoodCap*EXP(v01_CapsByProject*SUMPRODUCT((Cap_Point&lt;=I469)*(Cap_Kind="Food")*Cap_Ln))</x:f>
        <x:v>30</x:v>
      </x:c>
      <x:c r="K469" s="32" t="n">
        <x:f>J469*MIN(1,v01_LeanBase*EXP(v01_CapsByProject*SUMPRODUCT((Cap_Point&lt;=I469)*(Cap_Kind="Lean")*Cap_Ln)))</x:f>
        <x:v>30</x:v>
      </x:c>
      <x:c r="L469" s="10" t="n">
        <x:f>INDEX(v01_HousingCap,G469)*EXP(v01_CapsByProject*SUMPRODUCT((Cap_Point&lt;=I469)*(Cap_Kind="Housing")*Cap_Ln))</x:f>
        <x:v>60</x:v>
      </x:c>
      <x:c r="M469" s="10" t="n">
        <x:f>INDEX(v01_GroupCap,G469)*v01_CohesionFactor*EXP(v01_CapsByProject*SUMPRODUCT((Cap_Point&lt;=I469)*(Cap_Kind="Group")*Cap_Ln))</x:f>
        <x:v>100</x:v>
      </x:c>
      <x:c r="N469" s="32" t="n">
        <x:f>MIN(J469,L469,M469)</x:f>
        <x:v>30</x:v>
      </x:c>
      <x:c r="O469" s="10" t="n">
        <x:f>AE468*N469</x:f>
        <x:v>90</x:v>
      </x:c>
      <x:c r="P469" s="9" t="n">
        <x:f>MIN(1,(AB468/(AE468*IF(v01_GroupInCrowding=1,N469,MIN(J469,L469))))^v01_CrowdingExp)</x:f>
        <x:v>0.13140803507826657</x:v>
      </x:c>
      <x:c r="Q469" s="9" t="n">
        <x:f>IF(D469=1,INDEX(v01_WinterMult,G469),1)</x:f>
        <x:v>1</x:v>
      </x:c>
      <x:c r="R469" s="9" t="n">
        <x:f>H469*Z468*v01_WomenShare*v01_BaseFertility*INDEX(v01_FertMult,G469)*Arch_Fertility*(1-P469)</x:f>
        <x:v>0.9228976217744036</x:v>
      </x:c>
      <x:c r="S469" s="9" t="n">
        <x:f>H469*Y468*INDEX(v01_MortChild,G469)/4*Q469</x:f>
        <x:v>0.24264360923459863</x:v>
      </x:c>
      <x:c r="T469" s="9" t="n">
        <x:f>H469*Z468*INDEX(v01_MortAdult,G469)*Arch_AdultMort/4*Q469</x:f>
        <x:v>0.09208519510192434</x:v>
      </x:c>
      <x:c r="U469" s="9" t="n">
        <x:f>H469*AA468*INDEX(v01_MortElder,G469)/4*Q469</x:f>
        <x:v>0.16214965053906905</x:v>
      </x:c>
      <x:c r="V469" s="9" t="n">
        <x:f>H469*MAX(0,AB468-O469)*v01_OvercapLoss</x:f>
        <x:v>0</x:v>
      </x:c>
      <x:c r="W469" s="9" t="n">
        <x:f>H469*Y468/(v01_ChildYears*4)</x:f>
        <x:v>0.4951910392542828</x:v>
      </x:c>
      <x:c r="X469" s="9" t="n">
        <x:f>H469*Z468/(v01_AdultYears*4)</x:f>
        <x:v>0.22849924342909264</x:v>
      </x:c>
      <x:c r="Y469" s="32" t="n">
        <x:f>Y468+R469-S469-W469-Y468*V469/AB468</x:f>
        <x:v>27.91576117152536</x:v>
      </x:c>
      <x:c r="Z469" s="32" t="n">
        <x:f>Z468+W469-X469-T469-Z468*V469/AB468</x:f>
        <x:v>28.50851278593076</x:v>
      </x:c>
      <x:c r="AA469" s="32" t="n">
        <x:f>AA468+X469-U469-AA468*V469/AB468</x:f>
        <x:v>8.173832119843476</x:v>
      </x:c>
      <x:c r="AB469" s="10" t="n">
        <x:f>Y469+Z469+AA469</x:f>
        <x:v>64.5981060772996</x:v>
      </x:c>
      <x:c r="AC469" s="8" t="n">
        <x:f>IF(AND(v01_WinterTrigger=1,D469=1,AB468/AE468&gt;=K469),1,0)</x:f>
        <x:v>0</x:v>
      </x:c>
      <x:c r="AD469" s="8" t="n">
        <x:f>H469*IF(AND(OR(AB468/AE468&gt;=v01_FissionTrigger*N469,AC469=1),AB468/AE468*v01_DaughterShare&gt;=v01_MinDaughter),MAX(1,ROUND(AE468*v01_FissionRate,0)),0)</x:f>
        <x:v>0</x:v>
      </x:c>
      <x:c r="AE469" s="8" t="n">
        <x:f>IF(H469=1,MAX(1,MIN(INDEX(v01_Smax,G469),AE468+AD469)),AE468)</x:f>
        <x:v>3</x:v>
      </x:c>
      <x:c r="AF469" s="8" t="n">
        <x:f>MAX(0,AE469-AE468)</x:f>
        <x:v>0</x:v>
      </x:c>
      <x:c r="AG469" s="9" t="str">
        <x:f>IF(AF469&gt;0,B469,"")</x:f>
      </x:c>
      <x:c r="AH469" s="9" t="n">
        <x:f>IF(F469&gt;=1,1,(1+v01_LowTiesShare*(AE469-1))/AE469)</x:f>
        <x:v>1</x:v>
      </x:c>
      <x:c r="AI469" s="32" t="n">
        <x:f>(Z469+v01_ElderCommons*INDEX(LM_Elder,G469)*AA469)*AH469</x:f>
        <x:v>48.53023072271903</x:v>
      </x:c>
      <x:c r="AJ469" s="32" t="n">
        <x:f>H469*v01_CommonsCoef*AI469^v01_CommonsExp*INDEX(LM_Commons,G469)</x:f>
        <x:v>17.8918166161179</x:v>
      </x:c>
      <x:c r="AK469" s="32" t="n">
        <x:f>H469*v01_RoleScale*Arch_Roles*(AE469*(INDEX(v01_ElderRolePerSett,G469)*v01_OutElder*INDEX(LM_Elder,G469)+INDEX(v01_ShamanPerSett,G469)*v01_OutShaman)+Z469*(INDEX(v01_PriestShare,G469)*v01_OutPriest+INDEX(v01_ScribeShare,G469)*v01_OutScribe*INDEX(LM_Scribe,G469)+INDEX(v01_ScholarShare,G469)*v01_OutScholar*INDEX(LM_Scholar,G469)+INDEX(v01_ResearcherShare,G469)*v01_OutResearcher*INDEX(LM_Researcher,G469)))</x:f>
        <x:v>4.087117307087383</x:v>
      </x:c>
      <x:c r="AL469" s="32" t="n">
        <x:f>H469*v01_RoleScale*Arch_Roles*AE469*INDEX(v01_MonasteryPerSett,G469)*v01_OutMonastery*INDEX(LM_Monastery,G469)</x:f>
        <x:v>0</x:v>
      </x:c>
      <x:c r="AM469" s="32" t="n">
        <x:f>(AJ469+AK469+AL469)/4*INDEX(LM_All,G469)*INDEX(v01_Boon,G469)*Arch_Insight</x:f>
        <x:v>5.632101817821353</x:v>
      </x:c>
      <x:c r="AN469" s="32" t="n">
        <x:f>H469*(v01_KHPerAdult*Z469+v01_KHOfCommons*AJ469/4*INDEX(LM_All,G469))*v01_KHUsable*Arch_KH</x:f>
        <x:v>0.9977979475075766</x:v>
      </x:c>
      <x:c r="AO469" s="32" t="n">
        <x:f>MIN(AP468+AN469,AM469*v01_KHMaxRatio)</x:f>
        <x:v>0.9977979475075766</x:v>
      </x:c>
      <x:c r="AP469" s="32" t="n">
        <x:f>AP468+AN469-AO469</x:f>
        <x:v>0</x:v>
      </x:c>
      <x:c r="AQ469" s="32" t="n">
        <x:f>AM469+AO469</x:f>
        <x:v>6.62989976532893</x:v>
      </x:c>
      <x:c r="AR469" s="10" t="n">
        <x:f>IF(H469=1,INDEX(v01_Req,G469),0)</x:f>
        <x:v>1067.32</x:v>
      </x:c>
      <x:c r="AS469" s="32" t="n">
        <x:f>IF(H469=1,IF(E469=1,AS468-AR468,AS468)+AQ469,0)</x:f>
        <x:v>945.6391382486561</x:v>
      </x:c>
      <x:c r="AT469" s="11" t="n">
        <x:f>IF(AR469&gt;0,MIN(1,AS469/AR469),1)</x:f>
        <x:v>0.8859940207703932</x:v>
      </x:c>
      <x:c r="AU469" s="10" t="n">
        <x:f>AB469/INDEX(v01_RepScale,G469)</x:f>
        <x:v>64.5981060772996</x:v>
      </x:c>
      <x:c r="AV469" s="32" t="n">
        <x:f>AM469*60/v01_SeasonSeconds</x:f>
        <x:v>22.528407271285413</x:v>
      </x:c>
    </x:row>
    <x:row r="470">
      <x:c r="A470" s="8" t="n">
        <x:f>A469+1</x:f>
        <x:v>467</x:v>
      </x:c>
      <x:c r="B470" s="9" t="n">
        <x:f>A470*v01_SeasonSeconds/60</x:f>
        <x:v>116.75</x:v>
      </x:c>
      <x:c r="C470" s="9" t="n">
        <x:f>A470/4</x:f>
        <x:v>116.75</x:v>
      </x:c>
      <x:c r="D470" s="8" t="n">
        <x:f>IF(MOD(A470,4)=0,1,0)</x:f>
        <x:v>0</x:v>
      </x:c>
      <x:c r="E470" s="8" t="n">
        <x:f>IF(AND(F469&lt;=9,AS469&gt;=AR469),1,0)</x:f>
        <x:v>0</x:v>
      </x:c>
      <x:c r="F470" s="8" t="n">
        <x:f>MIN(10,F469+E470)</x:f>
        <x:v>1</x:v>
      </x:c>
      <x:c r="G470" s="8" t="n">
        <x:f>MIN(F470,9)+1</x:f>
        <x:v>2</x:v>
      </x:c>
      <x:c r="H470" s="8" t="n">
        <x:f>IF(F470&lt;=9,1,0)</x:f>
        <x:v>1</x:v>
      </x:c>
      <x:c r="I470" s="9" t="n">
        <x:f>MIN(10,F469+IF(AR469&gt;0,MIN(1,AS469/AR469),1))</x:f>
        <x:v>1.8859940207703931</x:v>
      </x:c>
      <x:c r="J470" s="32" t="n">
        <x:f>INDEX(v01_FoodCap,G470)*Arch_FoodCap*EXP(v01_CapsByProject*SUMPRODUCT((Cap_Point&lt;=I470)*(Cap_Kind="Food")*Cap_Ln))</x:f>
        <x:v>30</x:v>
      </x:c>
      <x:c r="K470" s="32" t="n">
        <x:f>J470*MIN(1,v01_LeanBase*EXP(v01_CapsByProject*SUMPRODUCT((Cap_Point&lt;=I470)*(Cap_Kind="Lean")*Cap_Ln)))</x:f>
        <x:v>30</x:v>
      </x:c>
      <x:c r="L470" s="10" t="n">
        <x:f>INDEX(v01_HousingCap,G470)*EXP(v01_CapsByProject*SUMPRODUCT((Cap_Point&lt;=I470)*(Cap_Kind="Housing")*Cap_Ln))</x:f>
        <x:v>60</x:v>
      </x:c>
      <x:c r="M470" s="10" t="n">
        <x:f>INDEX(v01_GroupCap,G470)*v01_CohesionFactor*EXP(v01_CapsByProject*SUMPRODUCT((Cap_Point&lt;=I470)*(Cap_Kind="Group")*Cap_Ln))</x:f>
        <x:v>100</x:v>
      </x:c>
      <x:c r="N470" s="32" t="n">
        <x:f>MIN(J470,L470,M470)</x:f>
        <x:v>30</x:v>
      </x:c>
      <x:c r="O470" s="10" t="n">
        <x:f>AE469*N470</x:f>
        <x:v>90</x:v>
      </x:c>
      <x:c r="P470" s="9" t="n">
        <x:f>MIN(1,(AB469/(AE469*IF(v01_GroupInCrowding=1,N470,MIN(J470,L470))))^v01_CrowdingExp)</x:f>
        <x:v>0.13672995005241692</x:v>
      </x:c>
      <x:c r="Q470" s="9" t="n">
        <x:f>IF(D470=1,INDEX(v01_WinterMult,G470),1)</x:f>
        <x:v>1</x:v>
      </x:c>
      <x:c r="R470" s="9" t="n">
        <x:f>H470*Z469*v01_WomenShare*v01_BaseFertility*INDEX(v01_FertMult,G470)*Arch_Fertility*(1-P470)</x:f>
        <x:v>0.9228954471240658</x:v>
      </x:c>
      <x:c r="S470" s="9" t="n">
        <x:f>H470*Y469*INDEX(v01_MortChild,G470)/4*Q470</x:f>
        <x:v>0.24426291025084693</x:v>
      </x:c>
      <x:c r="T470" s="9" t="n">
        <x:f>H470*Z469*INDEX(v01_MortAdult,G470)*Arch_AdultMort/4*Q470</x:f>
        <x:v>0.09265266655427495</x:v>
      </x:c>
      <x:c r="U470" s="9" t="n">
        <x:f>H470*AA469*INDEX(v01_MortElder,G470)/4*Q470</x:f>
        <x:v>0.16347664239686954</x:v>
      </x:c>
      <x:c r="V470" s="9" t="n">
        <x:f>H470*MAX(0,AB469-O470)*v01_OvercapLoss</x:f>
        <x:v>0</x:v>
      </x:c>
      <x:c r="W470" s="9" t="n">
        <x:f>H470*Y469/(v01_ChildYears*4)</x:f>
        <x:v>0.49849573520581003</x:v>
      </x:c>
      <x:c r="X470" s="9" t="n">
        <x:f>H470*Z469/(v01_AdultYears*4)</x:f>
        <x:v>0.22990736117686095</x:v>
      </x:c>
      <x:c r="Y470" s="32" t="n">
        <x:f>Y469+R470-S470-W470-Y469*V470/AB469</x:f>
        <x:v>28.09589797319277</x:v>
      </x:c>
      <x:c r="Z470" s="32" t="n">
        <x:f>Z469+W470-X470-T470-Z469*V470/AB469</x:f>
        <x:v>28.684448493405434</x:v>
      </x:c>
      <x:c r="AA470" s="32" t="n">
        <x:f>AA469+X470-U470-AA469*V470/AB469</x:f>
        <x:v>8.240262838623469</x:v>
      </x:c>
      <x:c r="AB470" s="10" t="n">
        <x:f>Y470+Z470+AA470</x:f>
        <x:v>65.02060930522167</x:v>
      </x:c>
      <x:c r="AC470" s="8" t="n">
        <x:f>IF(AND(v01_WinterTrigger=1,D470=1,AB469/AE469&gt;=K470),1,0)</x:f>
        <x:v>0</x:v>
      </x:c>
      <x:c r="AD470" s="8" t="n">
        <x:f>H470*IF(AND(OR(AB469/AE469&gt;=v01_FissionTrigger*N470,AC470=1),AB469/AE469*v01_DaughterShare&gt;=v01_MinDaughter),MAX(1,ROUND(AE469*v01_FissionRate,0)),0)</x:f>
        <x:v>0</x:v>
      </x:c>
      <x:c r="AE470" s="8" t="n">
        <x:f>IF(H470=1,MAX(1,MIN(INDEX(v01_Smax,G470),AE469+AD470)),AE469)</x:f>
        <x:v>3</x:v>
      </x:c>
      <x:c r="AF470" s="8" t="n">
        <x:f>MAX(0,AE470-AE469)</x:f>
        <x:v>0</x:v>
      </x:c>
      <x:c r="AG470" s="9" t="str">
        <x:f>IF(AF470&gt;0,B470,"")</x:f>
      </x:c>
      <x:c r="AH470" s="9" t="n">
        <x:f>IF(F470&gt;=1,1,(1+v01_LowTiesShare*(AE470-1))/AE470)</x:f>
        <x:v>1</x:v>
      </x:c>
      <x:c r="AI470" s="32" t="n">
        <x:f>(Z470+v01_ElderCommons*INDEX(LM_Elder,G470)*AA470)*AH470</x:f>
        <x:v>48.86888779445101</x:v>
      </x:c>
      <x:c r="AJ470" s="32" t="n">
        <x:f>H470*v01_CommonsCoef*AI470^v01_CommonsExp*INDEX(LM_Commons,G470)</x:f>
        <x:v>17.997887064920192</x:v>
      </x:c>
      <x:c r="AK470" s="32" t="n">
        <x:f>H470*v01_RoleScale*Arch_Roles*(AE470*(INDEX(v01_ElderRolePerSett,G470)*v01_OutElder*INDEX(LM_Elder,G470)+INDEX(v01_ShamanPerSett,G470)*v01_OutShaman)+Z470*(INDEX(v01_PriestShare,G470)*v01_OutPriest+INDEX(v01_ScribeShare,G470)*v01_OutScribe*INDEX(LM_Scribe,G470)+INDEX(v01_ScholarShare,G470)*v01_OutScholar*INDEX(LM_Scholar,G470)+INDEX(v01_ResearcherShare,G470)*v01_OutResearcher*INDEX(LM_Researcher,G470)))</x:f>
        <x:v>4.087117307087383</x:v>
      </x:c>
      <x:c r="AL470" s="32" t="n">
        <x:f>H470*v01_RoleScale*Arch_Roles*AE470*INDEX(v01_MonasteryPerSett,G470)*v01_OutMonastery*INDEX(LM_Monastery,G470)</x:f>
        <x:v>0</x:v>
      </x:c>
      <x:c r="AM470" s="32" t="n">
        <x:f>(AJ470+AK470+AL470)/4*INDEX(LM_All,G470)*INDEX(v01_Boon,G470)*Arch_Insight</x:f>
        <x:v>5.659282370326941</x:v>
      </x:c>
      <x:c r="AN470" s="32" t="n">
        <x:f>H470*(v01_KHPerAdult*Z470+v01_KHOfCommons*AJ470/4*INDEX(LM_All,G470))*v01_KHUsable*Arch_KH</x:f>
        <x:v>1.00395569726919</x:v>
      </x:c>
      <x:c r="AO470" s="32" t="n">
        <x:f>MIN(AP469+AN470,AM470*v01_KHMaxRatio)</x:f>
        <x:v>1.00395569726919</x:v>
      </x:c>
      <x:c r="AP470" s="32" t="n">
        <x:f>AP469+AN470-AO470</x:f>
        <x:v>0</x:v>
      </x:c>
      <x:c r="AQ470" s="32" t="n">
        <x:f>AM470+AO470</x:f>
        <x:v>6.663238067596131</x:v>
      </x:c>
      <x:c r="AR470" s="10" t="n">
        <x:f>IF(H470=1,INDEX(v01_Req,G470),0)</x:f>
        <x:v>1067.32</x:v>
      </x:c>
      <x:c r="AS470" s="32" t="n">
        <x:f>IF(H470=1,IF(E470=1,AS469-AR469,AS469)+AQ470,0)</x:f>
        <x:v>952.3023763162522</x:v>
      </x:c>
      <x:c r="AT470" s="11" t="n">
        <x:f>IF(AR470&gt;0,MIN(1,AS470/AR470),1)</x:f>
        <x:v>0.8922369826446167</x:v>
      </x:c>
      <x:c r="AU470" s="10" t="n">
        <x:f>AB470/INDEX(v01_RepScale,G470)</x:f>
        <x:v>65.02060930522167</x:v>
      </x:c>
      <x:c r="AV470" s="32" t="n">
        <x:f>AM470*60/v01_SeasonSeconds</x:f>
        <x:v>22.637129481307763</x:v>
      </x:c>
    </x:row>
    <x:row r="471">
      <x:c r="A471" s="8" t="n">
        <x:f>A470+1</x:f>
        <x:v>468</x:v>
      </x:c>
      <x:c r="B471" s="9" t="n">
        <x:f>A471*v01_SeasonSeconds/60</x:f>
        <x:v>117</x:v>
      </x:c>
      <x:c r="C471" s="9" t="n">
        <x:f>A471/4</x:f>
        <x:v>117</x:v>
      </x:c>
      <x:c r="D471" s="8" t="n">
        <x:f>IF(MOD(A471,4)=0,1,0)</x:f>
        <x:v>1</x:v>
      </x:c>
      <x:c r="E471" s="8" t="n">
        <x:f>IF(AND(F470&lt;=9,AS470&gt;=AR470),1,0)</x:f>
        <x:v>0</x:v>
      </x:c>
      <x:c r="F471" s="8" t="n">
        <x:f>MIN(10,F470+E471)</x:f>
        <x:v>1</x:v>
      </x:c>
      <x:c r="G471" s="8" t="n">
        <x:f>MIN(F471,9)+1</x:f>
        <x:v>2</x:v>
      </x:c>
      <x:c r="H471" s="8" t="n">
        <x:f>IF(F471&lt;=9,1,0)</x:f>
        <x:v>1</x:v>
      </x:c>
      <x:c r="I471" s="9" t="n">
        <x:f>MIN(10,F470+IF(AR470&gt;0,MIN(1,AS470/AR470),1))</x:f>
        <x:v>1.8922369826446168</x:v>
      </x:c>
      <x:c r="J471" s="32" t="n">
        <x:f>INDEX(v01_FoodCap,G471)*Arch_FoodCap*EXP(v01_CapsByProject*SUMPRODUCT((Cap_Point&lt;=I471)*(Cap_Kind="Food")*Cap_Ln))</x:f>
        <x:v>30</x:v>
      </x:c>
      <x:c r="K471" s="32" t="n">
        <x:f>J471*MIN(1,v01_LeanBase*EXP(v01_CapsByProject*SUMPRODUCT((Cap_Point&lt;=I471)*(Cap_Kind="Lean")*Cap_Ln)))</x:f>
        <x:v>30</x:v>
      </x:c>
      <x:c r="L471" s="10" t="n">
        <x:f>INDEX(v01_HousingCap,G471)*EXP(v01_CapsByProject*SUMPRODUCT((Cap_Point&lt;=I471)*(Cap_Kind="Housing")*Cap_Ln))</x:f>
        <x:v>60</x:v>
      </x:c>
      <x:c r="M471" s="10" t="n">
        <x:f>INDEX(v01_GroupCap,G471)*v01_CohesionFactor*EXP(v01_CapsByProject*SUMPRODUCT((Cap_Point&lt;=I471)*(Cap_Kind="Group")*Cap_Ln))</x:f>
        <x:v>100</x:v>
      </x:c>
      <x:c r="N471" s="32" t="n">
        <x:f>MIN(J471,L471,M471)</x:f>
        <x:v>30</x:v>
      </x:c>
      <x:c r="O471" s="10" t="n">
        <x:f>AE470*N471</x:f>
        <x:v>90</x:v>
      </x:c>
      <x:c r="P471" s="9" t="n">
        <x:f>MIN(1,(AB470/(AE470*IF(v01_GroupInCrowding=1,N471,MIN(J471,L471))))^v01_CrowdingExp)</x:f>
        <x:v>0.14218413916870093</x:v>
      </x:c>
      <x:c r="Q471" s="9" t="n">
        <x:f>IF(D471=1,INDEX(v01_WinterMult,G471),1)</x:f>
        <x:v>1.6</x:v>
      </x:c>
      <x:c r="R471" s="9" t="n">
        <x:f>H471*Z470*v01_WomenShare*v01_BaseFertility*INDEX(v01_FertMult,G471)*Arch_Fertility*(1-P471)</x:f>
        <x:v>0.9227240578815615</x:v>
      </x:c>
      <x:c r="S471" s="9" t="n">
        <x:f>H471*Y470*INDEX(v01_MortChild,G471)/4*Q471</x:f>
        <x:v>0.3933425716246988</x:v>
      </x:c>
      <x:c r="T471" s="9" t="n">
        <x:f>H471*Z470*INDEX(v01_MortAdult,G471)*Arch_AdultMort/4*Q471</x:f>
        <x:v>0.14915913216570825</x:v>
      </x:c>
      <x:c r="U471" s="9" t="n">
        <x:f>H471*AA470*INDEX(v01_MortElder,G471)/4*Q471</x:f>
        <x:v>0.263688410835951</x:v>
      </x:c>
      <x:c r="V471" s="9" t="n">
        <x:f>H471*MAX(0,AB470-O471)*v01_OvercapLoss</x:f>
        <x:v>0</x:v>
      </x:c>
      <x:c r="W471" s="9" t="n">
        <x:f>H471*Y470/(v01_ChildYears*4)</x:f>
        <x:v>0.5017124638070137</x:v>
      </x:c>
      <x:c r="X471" s="9" t="n">
        <x:f>H471*Z470/(v01_AdultYears*4)</x:f>
        <x:v>0.23132619752746317</x:v>
      </x:c>
      <x:c r="Y471" s="32" t="n">
        <x:f>Y470+R471-S471-W471-Y470*V471/AB470</x:f>
        <x:v>28.12356699564262</x:v>
      </x:c>
      <x:c r="Z471" s="32" t="n">
        <x:f>Z470+W471-X471-T471-Z470*V471/AB470</x:f>
        <x:v>28.80567562751928</x:v>
      </x:c>
      <x:c r="AA471" s="32" t="n">
        <x:f>AA470+X471-U471-AA470*V471/AB470</x:f>
        <x:v>8.207900625314982</x:v>
      </x:c>
      <x:c r="AB471" s="10" t="n">
        <x:f>Y471+Z471+AA471</x:f>
        <x:v>65.13714324847687</x:v>
      </x:c>
      <x:c r="AC471" s="8" t="n">
        <x:f>IF(AND(v01_WinterTrigger=1,D471=1,AB470/AE470&gt;=K471),1,0)</x:f>
        <x:v>0</x:v>
      </x:c>
      <x:c r="AD471" s="8" t="n">
        <x:f>H471*IF(AND(OR(AB470/AE470&gt;=v01_FissionTrigger*N471,AC471=1),AB470/AE470*v01_DaughterShare&gt;=v01_MinDaughter),MAX(1,ROUND(AE470*v01_FissionRate,0)),0)</x:f>
        <x:v>0</x:v>
      </x:c>
      <x:c r="AE471" s="8" t="n">
        <x:f>IF(H471=1,MAX(1,MIN(INDEX(v01_Smax,G471),AE470+AD471)),AE470)</x:f>
        <x:v>3</x:v>
      </x:c>
      <x:c r="AF471" s="8" t="n">
        <x:f>MAX(0,AE471-AE470)</x:f>
        <x:v>0</x:v>
      </x:c>
      <x:c r="AG471" s="9" t="str">
        <x:f>IF(AF471&gt;0,B471,"")</x:f>
      </x:c>
      <x:c r="AH471" s="9" t="n">
        <x:f>IF(F471&gt;=1,1,(1+v01_LowTiesShare*(AE471-1))/AE471)</x:f>
        <x:v>1</x:v>
      </x:c>
      <x:c r="AI471" s="32" t="n">
        <x:f>(Z471+v01_ElderCommons*INDEX(LM_Elder,G471)*AA471)*AH471</x:f>
        <x:v>48.91084401901196</x:v>
      </x:c>
      <x:c r="AJ471" s="32" t="n">
        <x:f>H471*v01_CommonsCoef*AI471^v01_CommonsExp*INDEX(LM_Commons,G471)</x:f>
        <x:v>18.011020442729695</x:v>
      </x:c>
      <x:c r="AK471" s="32" t="n">
        <x:f>H471*v01_RoleScale*Arch_Roles*(AE471*(INDEX(v01_ElderRolePerSett,G471)*v01_OutElder*INDEX(LM_Elder,G471)+INDEX(v01_ShamanPerSett,G471)*v01_OutShaman)+Z471*(INDEX(v01_PriestShare,G471)*v01_OutPriest+INDEX(v01_ScribeShare,G471)*v01_OutScribe*INDEX(LM_Scribe,G471)+INDEX(v01_ScholarShare,G471)*v01_OutScholar*INDEX(LM_Scholar,G471)+INDEX(v01_ResearcherShare,G471)*v01_OutResearcher*INDEX(LM_Researcher,G471)))</x:f>
        <x:v>4.087117307087383</x:v>
      </x:c>
      <x:c r="AL471" s="32" t="n">
        <x:f>H471*v01_RoleScale*Arch_Roles*AE471*INDEX(v01_MonasteryPerSett,G471)*v01_OutMonastery*INDEX(LM_Monastery,G471)</x:f>
        <x:v>0</x:v>
      </x:c>
      <x:c r="AM471" s="32" t="n">
        <x:f>(AJ471+AK471+AL471)/4*INDEX(LM_All,G471)*INDEX(v01_Boon,G471)*Arch_Insight</x:f>
        <x:v>5.662647798390625</x:v>
      </x:c>
      <x:c r="AN471" s="32" t="n">
        <x:f>H471*(v01_KHPerAdult*Z471+v01_KHOfCommons*AJ471/4*INDEX(LM_All,G471))*v01_KHUsable*Arch_KH</x:f>
        <x:v>1.0081986469631747</x:v>
      </x:c>
      <x:c r="AO471" s="32" t="n">
        <x:f>MIN(AP470+AN471,AM471*v01_KHMaxRatio)</x:f>
        <x:v>1.0081986469631747</x:v>
      </x:c>
      <x:c r="AP471" s="32" t="n">
        <x:f>AP470+AN471-AO471</x:f>
        <x:v>0</x:v>
      </x:c>
      <x:c r="AQ471" s="32" t="n">
        <x:f>AM471+AO471</x:f>
        <x:v>6.6708464453538</x:v>
      </x:c>
      <x:c r="AR471" s="10" t="n">
        <x:f>IF(H471=1,INDEX(v01_Req,G471),0)</x:f>
        <x:v>1067.32</x:v>
      </x:c>
      <x:c r="AS471" s="32" t="n">
        <x:f>IF(H471=1,IF(E471=1,AS470-AR470,AS470)+AQ471,0)</x:f>
        <x:v>958.973222761606</x:v>
      </x:c>
      <x:c r="AT471" s="11" t="n">
        <x:f>IF(AR471&gt;0,MIN(1,AS471/AR471),1)</x:f>
        <x:v>0.8984870730067891</x:v>
      </x:c>
      <x:c r="AU471" s="10" t="n">
        <x:f>AB471/INDEX(v01_RepScale,G471)</x:f>
        <x:v>65.13714324847687</x:v>
      </x:c>
      <x:c r="AV471" s="32" t="n">
        <x:f>AM471*60/v01_SeasonSeconds</x:f>
        <x:v>22.6505911935625</x:v>
      </x:c>
    </x:row>
    <x:row r="472">
      <x:c r="A472" s="8" t="n">
        <x:f>A471+1</x:f>
        <x:v>469</x:v>
      </x:c>
      <x:c r="B472" s="9" t="n">
        <x:f>A472*v01_SeasonSeconds/60</x:f>
        <x:v>117.25</x:v>
      </x:c>
      <x:c r="C472" s="9" t="n">
        <x:f>A472/4</x:f>
        <x:v>117.25</x:v>
      </x:c>
      <x:c r="D472" s="8" t="n">
        <x:f>IF(MOD(A472,4)=0,1,0)</x:f>
        <x:v>0</x:v>
      </x:c>
      <x:c r="E472" s="8" t="n">
        <x:f>IF(AND(F471&lt;=9,AS471&gt;=AR471),1,0)</x:f>
        <x:v>0</x:v>
      </x:c>
      <x:c r="F472" s="8" t="n">
        <x:f>MIN(10,F471+E472)</x:f>
        <x:v>1</x:v>
      </x:c>
      <x:c r="G472" s="8" t="n">
        <x:f>MIN(F472,9)+1</x:f>
        <x:v>2</x:v>
      </x:c>
      <x:c r="H472" s="8" t="n">
        <x:f>IF(F472&lt;=9,1,0)</x:f>
        <x:v>1</x:v>
      </x:c>
      <x:c r="I472" s="9" t="n">
        <x:f>MIN(10,F471+IF(AR471&gt;0,MIN(1,AS471/AR471),1))</x:f>
        <x:v>1.898487073006789</x:v>
      </x:c>
      <x:c r="J472" s="32" t="n">
        <x:f>INDEX(v01_FoodCap,G472)*Arch_FoodCap*EXP(v01_CapsByProject*SUMPRODUCT((Cap_Point&lt;=I472)*(Cap_Kind="Food")*Cap_Ln))</x:f>
        <x:v>30</x:v>
      </x:c>
      <x:c r="K472" s="32" t="n">
        <x:f>J472*MIN(1,v01_LeanBase*EXP(v01_CapsByProject*SUMPRODUCT((Cap_Point&lt;=I472)*(Cap_Kind="Lean")*Cap_Ln)))</x:f>
        <x:v>30</x:v>
      </x:c>
      <x:c r="L472" s="10" t="n">
        <x:f>INDEX(v01_HousingCap,G472)*EXP(v01_CapsByProject*SUMPRODUCT((Cap_Point&lt;=I472)*(Cap_Kind="Housing")*Cap_Ln))</x:f>
        <x:v>60</x:v>
      </x:c>
      <x:c r="M472" s="10" t="n">
        <x:f>INDEX(v01_GroupCap,G472)*v01_CohesionFactor*EXP(v01_CapsByProject*SUMPRODUCT((Cap_Point&lt;=I472)*(Cap_Kind="Group")*Cap_Ln))</x:f>
        <x:v>100</x:v>
      </x:c>
      <x:c r="N472" s="32" t="n">
        <x:f>MIN(J472,L472,M472)</x:f>
        <x:v>30</x:v>
      </x:c>
      <x:c r="O472" s="10" t="n">
        <x:f>AE471*N472</x:f>
        <x:v>90</x:v>
      </x:c>
      <x:c r="P472" s="9" t="n">
        <x:f>MIN(1,(AB471/(AE471*IF(v01_GroupInCrowding=1,N472,MIN(J472,L472))))^v01_CrowdingExp)</x:f>
        <x:v>0.1437199934868829</x:v>
      </x:c>
      <x:c r="Q472" s="9" t="n">
        <x:f>IF(D472=1,INDEX(v01_WinterMult,G472),1)</x:f>
        <x:v>1</x:v>
      </x:c>
      <x:c r="R472" s="9" t="n">
        <x:f>H472*Z471*v01_WomenShare*v01_BaseFertility*INDEX(v01_FertMult,G472)*Arch_Fertility*(1-P472)</x:f>
        <x:v>0.9249646542730104</x:v>
      </x:c>
      <x:c r="S472" s="9" t="n">
        <x:f>H472*Y471*INDEX(v01_MortChild,G472)/4*Q472</x:f>
        <x:v>0.24608121121187293</x:v>
      </x:c>
      <x:c r="T472" s="9" t="n">
        <x:f>H472*Z471*INDEX(v01_MortAdult,G472)*Arch_AdultMort/4*Q472</x:f>
        <x:v>0.09361844578943765</x:v>
      </x:c>
      <x:c r="U472" s="9" t="n">
        <x:f>H472*AA471*INDEX(v01_MortElder,G472)/4*Q472</x:f>
        <x:v>0.16415801250629966</x:v>
      </x:c>
      <x:c r="V472" s="9" t="n">
        <x:f>H472*MAX(0,AB471-O472)*v01_OvercapLoss</x:f>
        <x:v>0</x:v>
      </x:c>
      <x:c r="W472" s="9" t="n">
        <x:f>H472*Y471/(v01_ChildYears*4)</x:f>
        <x:v>0.5022065534936182</x:v>
      </x:c>
      <x:c r="X472" s="9" t="n">
        <x:f>H472*Z471/(v01_AdultYears*4)</x:f>
        <x:v>0.23230383570580063</x:v>
      </x:c>
      <x:c r="Y472" s="32" t="n">
        <x:f>Y471+R472-S472-W472-Y471*V472/AB471</x:f>
        <x:v>28.30024388521014</x:v>
      </x:c>
      <x:c r="Z472" s="32" t="n">
        <x:f>Z471+W472-X472-T472-Z471*V472/AB471</x:f>
        <x:v>28.98195989951766</x:v>
      </x:c>
      <x:c r="AA472" s="32" t="n">
        <x:f>AA471+X472-U472-AA471*V472/AB471</x:f>
        <x:v>8.276046448514483</x:v>
      </x:c>
      <x:c r="AB472" s="10" t="n">
        <x:f>Y472+Z472+AA472</x:f>
        <x:v>65.55825023324228</x:v>
      </x:c>
      <x:c r="AC472" s="8" t="n">
        <x:f>IF(AND(v01_WinterTrigger=1,D472=1,AB471/AE471&gt;=K472),1,0)</x:f>
        <x:v>0</x:v>
      </x:c>
      <x:c r="AD472" s="8" t="n">
        <x:f>H472*IF(AND(OR(AB471/AE471&gt;=v01_FissionTrigger*N472,AC472=1),AB471/AE471*v01_DaughterShare&gt;=v01_MinDaughter),MAX(1,ROUND(AE471*v01_FissionRate,0)),0)</x:f>
        <x:v>0</x:v>
      </x:c>
      <x:c r="AE472" s="8" t="n">
        <x:f>IF(H472=1,MAX(1,MIN(INDEX(v01_Smax,G472),AE471+AD472)),AE471)</x:f>
        <x:v>3</x:v>
      </x:c>
      <x:c r="AF472" s="8" t="n">
        <x:f>MAX(0,AE472-AE471)</x:f>
        <x:v>0</x:v>
      </x:c>
      <x:c r="AG472" s="9" t="str">
        <x:f>IF(AF472&gt;0,B472,"")</x:f>
      </x:c>
      <x:c r="AH472" s="9" t="n">
        <x:f>IF(F472&gt;=1,1,(1+v01_LowTiesShare*(AE472-1))/AE472)</x:f>
        <x:v>1</x:v>
      </x:c>
      <x:c r="AI472" s="32" t="n">
        <x:f>(Z472+v01_ElderCommons*INDEX(LM_Elder,G472)*AA472)*AH472</x:f>
        <x:v>49.25405078595104</x:v>
      </x:c>
      <x:c r="AJ472" s="32" t="n">
        <x:f>H472*v01_CommonsCoef*AI472^v01_CommonsExp*INDEX(LM_Commons,G472)</x:f>
        <x:v>18.11838969398826</x:v>
      </x:c>
      <x:c r="AK472" s="32" t="n">
        <x:f>H472*v01_RoleScale*Arch_Roles*(AE472*(INDEX(v01_ElderRolePerSett,G472)*v01_OutElder*INDEX(LM_Elder,G472)+INDEX(v01_ShamanPerSett,G472)*v01_OutShaman)+Z472*(INDEX(v01_PriestShare,G472)*v01_OutPriest+INDEX(v01_ScribeShare,G472)*v01_OutScribe*INDEX(LM_Scribe,G472)+INDEX(v01_ScholarShare,G472)*v01_OutScholar*INDEX(LM_Scholar,G472)+INDEX(v01_ResearcherShare,G472)*v01_OutResearcher*INDEX(LM_Researcher,G472)))</x:f>
        <x:v>4.087117307087383</x:v>
      </x:c>
      <x:c r="AL472" s="32" t="n">
        <x:f>H472*v01_RoleScale*Arch_Roles*AE472*INDEX(v01_MonasteryPerSett,G472)*v01_OutMonastery*INDEX(LM_Monastery,G472)</x:f>
        <x:v>0</x:v>
      </x:c>
      <x:c r="AM472" s="32" t="n">
        <x:f>(AJ472+AK472+AL472)/4*INDEX(LM_All,G472)*INDEX(v01_Boon,G472)*Arch_Insight</x:f>
        <x:v>5.690161169025632</x:v>
      </x:c>
      <x:c r="AN472" s="32" t="n">
        <x:f>H472*(v01_KHPerAdult*Z472+v01_KHOfCommons*AJ472/4*INDEX(LM_All,G472))*v01_KHUsable*Arch_KH</x:f>
        <x:v>1.0143685964831182</x:v>
      </x:c>
      <x:c r="AO472" s="32" t="n">
        <x:f>MIN(AP471+AN472,AM472*v01_KHMaxRatio)</x:f>
        <x:v>1.0143685964831182</x:v>
      </x:c>
      <x:c r="AP472" s="32" t="n">
        <x:f>AP471+AN472-AO472</x:f>
        <x:v>0</x:v>
      </x:c>
      <x:c r="AQ472" s="32" t="n">
        <x:f>AM472+AO472</x:f>
        <x:v>6.704529765508751</x:v>
      </x:c>
      <x:c r="AR472" s="10" t="n">
        <x:f>IF(H472=1,INDEX(v01_Req,G472),0)</x:f>
        <x:v>1067.32</x:v>
      </x:c>
      <x:c r="AS472" s="32" t="n">
        <x:f>IF(H472=1,IF(E472=1,AS471-AR471,AS471)+AQ472,0)</x:f>
        <x:v>965.6777525271148</x:v>
      </x:c>
      <x:c r="AT472" s="11" t="n">
        <x:f>IF(AR472&gt;0,MIN(1,AS472/AR472),1)</x:f>
        <x:v>0.9047687221518521</x:v>
      </x:c>
      <x:c r="AU472" s="10" t="n">
        <x:f>AB472/INDEX(v01_RepScale,G472)</x:f>
        <x:v>65.55825023324228</x:v>
      </x:c>
      <x:c r="AV472" s="32" t="n">
        <x:f>AM472*60/v01_SeasonSeconds</x:f>
        <x:v>22.76064467610253</x:v>
      </x:c>
    </x:row>
    <x:row r="473">
      <x:c r="A473" s="8" t="n">
        <x:f>A472+1</x:f>
        <x:v>470</x:v>
      </x:c>
      <x:c r="B473" s="9" t="n">
        <x:f>A473*v01_SeasonSeconds/60</x:f>
        <x:v>117.5</x:v>
      </x:c>
      <x:c r="C473" s="9" t="n">
        <x:f>A473/4</x:f>
        <x:v>117.5</x:v>
      </x:c>
      <x:c r="D473" s="8" t="n">
        <x:f>IF(MOD(A473,4)=0,1,0)</x:f>
        <x:v>0</x:v>
      </x:c>
      <x:c r="E473" s="8" t="n">
        <x:f>IF(AND(F472&lt;=9,AS472&gt;=AR472),1,0)</x:f>
        <x:v>0</x:v>
      </x:c>
      <x:c r="F473" s="8" t="n">
        <x:f>MIN(10,F472+E473)</x:f>
        <x:v>1</x:v>
      </x:c>
      <x:c r="G473" s="8" t="n">
        <x:f>MIN(F473,9)+1</x:f>
        <x:v>2</x:v>
      </x:c>
      <x:c r="H473" s="8" t="n">
        <x:f>IF(F473&lt;=9,1,0)</x:f>
        <x:v>1</x:v>
      </x:c>
      <x:c r="I473" s="9" t="n">
        <x:f>MIN(10,F472+IF(AR472&gt;0,MIN(1,AS472/AR472),1))</x:f>
        <x:v>1.9047687221518521</x:v>
      </x:c>
      <x:c r="J473" s="32" t="n">
        <x:f>INDEX(v01_FoodCap,G473)*Arch_FoodCap*EXP(v01_CapsByProject*SUMPRODUCT((Cap_Point&lt;=I473)*(Cap_Kind="Food")*Cap_Ln))</x:f>
        <x:v>30</x:v>
      </x:c>
      <x:c r="K473" s="32" t="n">
        <x:f>J473*MIN(1,v01_LeanBase*EXP(v01_CapsByProject*SUMPRODUCT((Cap_Point&lt;=I473)*(Cap_Kind="Lean")*Cap_Ln)))</x:f>
        <x:v>30</x:v>
      </x:c>
      <x:c r="L473" s="10" t="n">
        <x:f>INDEX(v01_HousingCap,G473)*EXP(v01_CapsByProject*SUMPRODUCT((Cap_Point&lt;=I473)*(Cap_Kind="Housing")*Cap_Ln))</x:f>
        <x:v>60</x:v>
      </x:c>
      <x:c r="M473" s="10" t="n">
        <x:f>INDEX(v01_GroupCap,G473)*v01_CohesionFactor*EXP(v01_CapsByProject*SUMPRODUCT((Cap_Point&lt;=I473)*(Cap_Kind="Group")*Cap_Ln))</x:f>
        <x:v>100</x:v>
      </x:c>
      <x:c r="N473" s="32" t="n">
        <x:f>MIN(J473,L473,M473)</x:f>
        <x:v>30</x:v>
      </x:c>
      <x:c r="O473" s="10" t="n">
        <x:f>AE472*N473</x:f>
        <x:v>90</x:v>
      </x:c>
      <x:c r="P473" s="9" t="n">
        <x:f>MIN(1,(AB472/(AE472*IF(v01_GroupInCrowding=1,N473,MIN(J473,L473))))^v01_CrowdingExp)</x:f>
        <x:v>0.1493857132819759</x:v>
      </x:c>
      <x:c r="Q473" s="9" t="n">
        <x:f>IF(D473=1,INDEX(v01_WinterMult,G473),1)</x:f>
        <x:v>1</x:v>
      </x:c>
      <x:c r="R473" s="9" t="n">
        <x:f>H473*Z472*v01_WomenShare*v01_BaseFertility*INDEX(v01_FertMult,G473)*Arch_Fertility*(1-P473)</x:f>
        <x:v>0.924467593035697</x:v>
      </x:c>
      <x:c r="S473" s="9" t="n">
        <x:f>H473*Y472*INDEX(v01_MortChild,G473)/4*Q473</x:f>
        <x:v>0.24762713399558875</x:v>
      </x:c>
      <x:c r="T473" s="9" t="n">
        <x:f>H473*Z472*INDEX(v01_MortAdult,G473)*Arch_AdultMort/4*Q473</x:f>
        <x:v>0.09419136967343239</x:v>
      </x:c>
      <x:c r="U473" s="9" t="n">
        <x:f>H473*AA472*INDEX(v01_MortElder,G473)/4*Q473</x:f>
        <x:v>0.16552092897028967</x:v>
      </x:c>
      <x:c r="V473" s="9" t="n">
        <x:f>H473*MAX(0,AB472-O473)*v01_OvercapLoss</x:f>
        <x:v>0</x:v>
      </x:c>
      <x:c r="W473" s="9" t="n">
        <x:f>H473*Y472/(v01_ChildYears*4)</x:f>
        <x:v>0.505361497950181</x:v>
      </x:c>
      <x:c r="X473" s="9" t="n">
        <x:f>H473*Z472/(v01_AdultYears*4)</x:f>
        <x:v>0.23372548306062627</x:v>
      </x:c>
      <x:c r="Y473" s="32" t="n">
        <x:f>Y472+R473-S473-W473-Y472*V473/AB472</x:f>
        <x:v>28.471722846300068</x:v>
      </x:c>
      <x:c r="Z473" s="32" t="n">
        <x:f>Z472+W473-X473-T473-Z472*V473/AB472</x:f>
        <x:v>29.15940454473378</x:v>
      </x:c>
      <x:c r="AA473" s="32" t="n">
        <x:f>AA472+X473-U473-AA472*V473/AB472</x:f>
        <x:v>8.34425100260482</x:v>
      </x:c>
      <x:c r="AB473" s="10" t="n">
        <x:f>Y473+Z473+AA473</x:f>
        <x:v>65.97537839363866</x:v>
      </x:c>
      <x:c r="AC473" s="8" t="n">
        <x:f>IF(AND(v01_WinterTrigger=1,D473=1,AB472/AE472&gt;=K473),1,0)</x:f>
        <x:v>0</x:v>
      </x:c>
      <x:c r="AD473" s="8" t="n">
        <x:f>H473*IF(AND(OR(AB472/AE472&gt;=v01_FissionTrigger*N473,AC473=1),AB472/AE472*v01_DaughterShare&gt;=v01_MinDaughter),MAX(1,ROUND(AE472*v01_FissionRate,0)),0)</x:f>
        <x:v>0</x:v>
      </x:c>
      <x:c r="AE473" s="8" t="n">
        <x:f>IF(H473=1,MAX(1,MIN(INDEX(v01_Smax,G473),AE472+AD473)),AE472)</x:f>
        <x:v>3</x:v>
      </x:c>
      <x:c r="AF473" s="8" t="n">
        <x:f>MAX(0,AE473-AE472)</x:f>
        <x:v>0</x:v>
      </x:c>
      <x:c r="AG473" s="9" t="str">
        <x:f>IF(AF473&gt;0,B473,"")</x:f>
      </x:c>
      <x:c r="AH473" s="9" t="n">
        <x:f>IF(F473&gt;=1,1,(1+v01_LowTiesShare*(AE473-1))/AE473)</x:f>
        <x:v>1</x:v>
      </x:c>
      <x:c r="AI473" s="32" t="n">
        <x:f>(Z473+v01_ElderCommons*INDEX(LM_Elder,G473)*AA473)*AH473</x:f>
        <x:v>49.59856178682253</x:v>
      </x:c>
      <x:c r="AJ473" s="32" t="n">
        <x:f>H473*v01_CommonsCoef*AI473^v01_CommonsExp*INDEX(LM_Commons,G473)</x:f>
        <x:v>18.226054158273218</x:v>
      </x:c>
      <x:c r="AK473" s="32" t="n">
        <x:f>H473*v01_RoleScale*Arch_Roles*(AE473*(INDEX(v01_ElderRolePerSett,G473)*v01_OutElder*INDEX(LM_Elder,G473)+INDEX(v01_ShamanPerSett,G473)*v01_OutShaman)+Z473*(INDEX(v01_PriestShare,G473)*v01_OutPriest+INDEX(v01_ScribeShare,G473)*v01_OutScribe*INDEX(LM_Scribe,G473)+INDEX(v01_ScholarShare,G473)*v01_OutScholar*INDEX(LM_Scholar,G473)+INDEX(v01_ResearcherShare,G473)*v01_OutResearcher*INDEX(LM_Researcher,G473)))</x:f>
        <x:v>4.087117307087383</x:v>
      </x:c>
      <x:c r="AL473" s="32" t="n">
        <x:f>H473*v01_RoleScale*Arch_Roles*AE473*INDEX(v01_MonasteryPerSett,G473)*v01_OutMonastery*INDEX(LM_Monastery,G473)</x:f>
        <x:v>0</x:v>
      </x:c>
      <x:c r="AM473" s="32" t="n">
        <x:f>(AJ473+AK473+AL473)/4*INDEX(LM_All,G473)*INDEX(v01_Boon,G473)*Arch_Insight</x:f>
        <x:v>5.717750187998654</x:v>
      </x:c>
      <x:c r="AN473" s="32" t="n">
        <x:f>H473*(v01_KHPerAdult*Z473+v01_KHOfCommons*AJ473/4*INDEX(LM_All,G473))*v01_KHUsable*Arch_KH</x:f>
        <x:v>1.0205791590656823</x:v>
      </x:c>
      <x:c r="AO473" s="32" t="n">
        <x:f>MIN(AP472+AN473,AM473*v01_KHMaxRatio)</x:f>
        <x:v>1.0205791590656823</x:v>
      </x:c>
      <x:c r="AP473" s="32" t="n">
        <x:f>AP472+AN473-AO473</x:f>
        <x:v>0</x:v>
      </x:c>
      <x:c r="AQ473" s="32" t="n">
        <x:f>AM473+AO473</x:f>
        <x:v>6.738329347064336</x:v>
      </x:c>
      <x:c r="AR473" s="10" t="n">
        <x:f>IF(H473=1,INDEX(v01_Req,G473),0)</x:f>
        <x:v>1067.32</x:v>
      </x:c>
      <x:c r="AS473" s="32" t="n">
        <x:f>IF(H473=1,IF(E473=1,AS472-AR472,AS472)+AQ473,0)</x:f>
        <x:v>972.4160818741791</x:v>
      </x:c>
      <x:c r="AT473" s="11" t="n">
        <x:f>IF(AR473&gt;0,MIN(1,AS473/AR473),1)</x:f>
        <x:v>0.9110820390081504</x:v>
      </x:c>
      <x:c r="AU473" s="10" t="n">
        <x:f>AB473/INDEX(v01_RepScale,G473)</x:f>
        <x:v>65.97537839363866</x:v>
      </x:c>
      <x:c r="AV473" s="32" t="n">
        <x:f>AM473*60/v01_SeasonSeconds</x:f>
        <x:v>22.87100075199461</x:v>
      </x:c>
    </x:row>
    <x:row r="474">
      <x:c r="A474" s="8" t="n">
        <x:f>A473+1</x:f>
        <x:v>471</x:v>
      </x:c>
      <x:c r="B474" s="9" t="n">
        <x:f>A474*v01_SeasonSeconds/60</x:f>
        <x:v>117.75</x:v>
      </x:c>
      <x:c r="C474" s="9" t="n">
        <x:f>A474/4</x:f>
        <x:v>117.75</x:v>
      </x:c>
      <x:c r="D474" s="8" t="n">
        <x:f>IF(MOD(A474,4)=0,1,0)</x:f>
        <x:v>0</x:v>
      </x:c>
      <x:c r="E474" s="8" t="n">
        <x:f>IF(AND(F473&lt;=9,AS473&gt;=AR473),1,0)</x:f>
        <x:v>0</x:v>
      </x:c>
      <x:c r="F474" s="8" t="n">
        <x:f>MIN(10,F473+E474)</x:f>
        <x:v>1</x:v>
      </x:c>
      <x:c r="G474" s="8" t="n">
        <x:f>MIN(F474,9)+1</x:f>
        <x:v>2</x:v>
      </x:c>
      <x:c r="H474" s="8" t="n">
        <x:f>IF(F474&lt;=9,1,0)</x:f>
        <x:v>1</x:v>
      </x:c>
      <x:c r="I474" s="9" t="n">
        <x:f>MIN(10,F473+IF(AR473&gt;0,MIN(1,AS473/AR473),1))</x:f>
        <x:v>1.9110820390081504</x:v>
      </x:c>
      <x:c r="J474" s="32" t="n">
        <x:f>INDEX(v01_FoodCap,G474)*Arch_FoodCap*EXP(v01_CapsByProject*SUMPRODUCT((Cap_Point&lt;=I474)*(Cap_Kind="Food")*Cap_Ln))</x:f>
        <x:v>30</x:v>
      </x:c>
      <x:c r="K474" s="32" t="n">
        <x:f>J474*MIN(1,v01_LeanBase*EXP(v01_CapsByProject*SUMPRODUCT((Cap_Point&lt;=I474)*(Cap_Kind="Lean")*Cap_Ln)))</x:f>
        <x:v>30</x:v>
      </x:c>
      <x:c r="L474" s="10" t="n">
        <x:f>INDEX(v01_HousingCap,G474)*EXP(v01_CapsByProject*SUMPRODUCT((Cap_Point&lt;=I474)*(Cap_Kind="Housing")*Cap_Ln))</x:f>
        <x:v>60</x:v>
      </x:c>
      <x:c r="M474" s="10" t="n">
        <x:f>INDEX(v01_GroupCap,G474)*v01_CohesionFactor*EXP(v01_CapsByProject*SUMPRODUCT((Cap_Point&lt;=I474)*(Cap_Kind="Group")*Cap_Ln))</x:f>
        <x:v>100</x:v>
      </x:c>
      <x:c r="N474" s="32" t="n">
        <x:f>MIN(J474,L474,M474)</x:f>
        <x:v>30</x:v>
      </x:c>
      <x:c r="O474" s="10" t="n">
        <x:f>AE473*N474</x:f>
        <x:v>90</x:v>
      </x:c>
      <x:c r="P474" s="9" t="n">
        <x:f>MIN(1,(AB473/(AE473*IF(v01_GroupInCrowding=1,N474,MIN(J474,L474))))^v01_CrowdingExp)</x:f>
        <x:v>0.15518019090706978</x:v>
      </x:c>
      <x:c r="Q474" s="9" t="n">
        <x:f>IF(D474=1,INDEX(v01_WinterMult,G474),1)</x:f>
        <x:v>1</x:v>
      </x:c>
      <x:c r="R474" s="9" t="n">
        <x:f>H474*Z473*v01_WomenShare*v01_BaseFertility*INDEX(v01_FertMult,G474)*Arch_Fertility*(1-P474)</x:f>
        <x:v>0.9237915967779566</x:v>
      </x:c>
      <x:c r="S474" s="9" t="n">
        <x:f>H474*Y473*INDEX(v01_MortChild,G474)/4*Q474</x:f>
        <x:v>0.24912757490512563</x:v>
      </x:c>
      <x:c r="T474" s="9" t="n">
        <x:f>H474*Z473*INDEX(v01_MortAdult,G474)*Arch_AdultMort/4*Q474</x:f>
        <x:v>0.09476806477038477</x:v>
      </x:c>
      <x:c r="U474" s="9" t="n">
        <x:f>H474*AA473*INDEX(v01_MortElder,G474)/4*Q474</x:f>
        <x:v>0.16688502005209638</x:v>
      </x:c>
      <x:c r="V474" s="9" t="n">
        <x:f>H474*MAX(0,AB473-O474)*v01_OvercapLoss</x:f>
        <x:v>0</x:v>
      </x:c>
      <x:c r="W474" s="9" t="n">
        <x:f>H474*Y473/(v01_ChildYears*4)</x:f>
        <x:v>0.5084236222553583</x:v>
      </x:c>
      <x:c r="X474" s="9" t="n">
        <x:f>H474*Z473/(v01_AdultYears*4)</x:f>
        <x:v>0.23515648826398208</x:v>
      </x:c>
      <x:c r="Y474" s="32" t="n">
        <x:f>Y473+R474-S474-W474-Y473*V474/AB473</x:f>
        <x:v>28.637963245917543</x:v>
      </x:c>
      <x:c r="Z474" s="32" t="n">
        <x:f>Z473+W474-X474-T474-Z473*V474/AB473</x:f>
        <x:v>29.33790361395477</x:v>
      </x:c>
      <x:c r="AA474" s="32" t="n">
        <x:f>AA473+X474-U474-AA473*V474/AB473</x:f>
        <x:v>8.412522470816706</x:v>
      </x:c>
      <x:c r="AB474" s="10" t="n">
        <x:f>Y474+Z474+AA474</x:f>
        <x:v>66.38838933068902</x:v>
      </x:c>
      <x:c r="AC474" s="8" t="n">
        <x:f>IF(AND(v01_WinterTrigger=1,D474=1,AB473/AE473&gt;=K474),1,0)</x:f>
        <x:v>0</x:v>
      </x:c>
      <x:c r="AD474" s="8" t="n">
        <x:f>H474*IF(AND(OR(AB473/AE473&gt;=v01_FissionTrigger*N474,AC474=1),AB473/AE473*v01_DaughterShare&gt;=v01_MinDaughter),MAX(1,ROUND(AE473*v01_FissionRate,0)),0)</x:f>
        <x:v>0</x:v>
      </x:c>
      <x:c r="AE474" s="8" t="n">
        <x:f>IF(H474=1,MAX(1,MIN(INDEX(v01_Smax,G474),AE473+AD474)),AE473)</x:f>
        <x:v>3</x:v>
      </x:c>
      <x:c r="AF474" s="8" t="n">
        <x:f>MAX(0,AE474-AE473)</x:f>
        <x:v>0</x:v>
      </x:c>
      <x:c r="AG474" s="9" t="str">
        <x:f>IF(AF474&gt;0,B474,"")</x:f>
      </x:c>
      <x:c r="AH474" s="9" t="n">
        <x:f>IF(F474&gt;=1,1,(1+v01_LowTiesShare*(AE474-1))/AE474)</x:f>
        <x:v>1</x:v>
      </x:c>
      <x:c r="AI474" s="32" t="n">
        <x:f>(Z474+v01_ElderCommons*INDEX(LM_Elder,G474)*AA474)*AH474</x:f>
        <x:v>49.944291117153284</x:v>
      </x:c>
      <x:c r="AJ474" s="32" t="n">
        <x:f>H474*v01_CommonsCoef*AI474^v01_CommonsExp*INDEX(LM_Commons,G474)</x:f>
        <x:v>18.333986655062628</x:v>
      </x:c>
      <x:c r="AK474" s="32" t="n">
        <x:f>H474*v01_RoleScale*Arch_Roles*(AE474*(INDEX(v01_ElderRolePerSett,G474)*v01_OutElder*INDEX(LM_Elder,G474)+INDEX(v01_ShamanPerSett,G474)*v01_OutShaman)+Z474*(INDEX(v01_PriestShare,G474)*v01_OutPriest+INDEX(v01_ScribeShare,G474)*v01_OutScribe*INDEX(LM_Scribe,G474)+INDEX(v01_ScholarShare,G474)*v01_OutScholar*INDEX(LM_Scholar,G474)+INDEX(v01_ResearcherShare,G474)*v01_OutResearcher*INDEX(LM_Researcher,G474)))</x:f>
        <x:v>4.087117307087383</x:v>
      </x:c>
      <x:c r="AL474" s="32" t="n">
        <x:f>H474*v01_RoleScale*Arch_Roles*AE474*INDEX(v01_MonasteryPerSett,G474)*v01_OutMonastery*INDEX(LM_Monastery,G474)</x:f>
        <x:v>0</x:v>
      </x:c>
      <x:c r="AM474" s="32" t="n">
        <x:f>(AJ474+AK474+AL474)/4*INDEX(LM_All,G474)*INDEX(v01_Boon,G474)*Arch_Insight</x:f>
        <x:v>5.74540789030094</x:v>
      </x:c>
      <x:c r="AN474" s="32" t="n">
        <x:f>H474*(v01_KHPerAdult*Z474+v01_KHOfCommons*AJ474/4*INDEX(LM_All,G474))*v01_KHUsable*Arch_KH</x:f>
        <x:v>1.026826626488417</x:v>
      </x:c>
      <x:c r="AO474" s="32" t="n">
        <x:f>MIN(AP473+AN474,AM474*v01_KHMaxRatio)</x:f>
        <x:v>1.026826626488417</x:v>
      </x:c>
      <x:c r="AP474" s="32" t="n">
        <x:f>AP473+AN474-AO474</x:f>
        <x:v>0</x:v>
      </x:c>
      <x:c r="AQ474" s="32" t="n">
        <x:f>AM474+AO474</x:f>
        <x:v>6.772234516789357</x:v>
      </x:c>
      <x:c r="AR474" s="10" t="n">
        <x:f>IF(H474=1,INDEX(v01_Req,G474),0)</x:f>
        <x:v>1067.32</x:v>
      </x:c>
      <x:c r="AS474" s="32" t="n">
        <x:f>IF(H474=1,IF(E474=1,AS473-AR473,AS473)+AQ474,0)</x:f>
        <x:v>979.1883163909685</x:v>
      </x:c>
      <x:c r="AT474" s="11" t="n">
        <x:f>IF(AR474&gt;0,MIN(1,AS474/AR474),1)</x:f>
        <x:v>0.9174271225039993</x:v>
      </x:c>
      <x:c r="AU474" s="10" t="n">
        <x:f>AB474/INDEX(v01_RepScale,G474)</x:f>
        <x:v>66.38838933068902</x:v>
      </x:c>
      <x:c r="AV474" s="32" t="n">
        <x:f>AM474*60/v01_SeasonSeconds</x:f>
        <x:v>22.98163156120376</x:v>
      </x:c>
    </x:row>
    <x:row r="475">
      <x:c r="A475" s="8" t="n">
        <x:f>A474+1</x:f>
        <x:v>472</x:v>
      </x:c>
      <x:c r="B475" s="9" t="n">
        <x:f>A475*v01_SeasonSeconds/60</x:f>
        <x:v>118</x:v>
      </x:c>
      <x:c r="C475" s="9" t="n">
        <x:f>A475/4</x:f>
        <x:v>118</x:v>
      </x:c>
      <x:c r="D475" s="8" t="n">
        <x:f>IF(MOD(A475,4)=0,1,0)</x:f>
        <x:v>1</x:v>
      </x:c>
      <x:c r="E475" s="8" t="n">
        <x:f>IF(AND(F474&lt;=9,AS474&gt;=AR474),1,0)</x:f>
        <x:v>0</x:v>
      </x:c>
      <x:c r="F475" s="8" t="n">
        <x:f>MIN(10,F474+E475)</x:f>
        <x:v>1</x:v>
      </x:c>
      <x:c r="G475" s="8" t="n">
        <x:f>MIN(F475,9)+1</x:f>
        <x:v>2</x:v>
      </x:c>
      <x:c r="H475" s="8" t="n">
        <x:f>IF(F475&lt;=9,1,0)</x:f>
        <x:v>1</x:v>
      </x:c>
      <x:c r="I475" s="9" t="n">
        <x:f>MIN(10,F474+IF(AR474&gt;0,MIN(1,AS474/AR474),1))</x:f>
        <x:v>1.9174271225039994</x:v>
      </x:c>
      <x:c r="J475" s="32" t="n">
        <x:f>INDEX(v01_FoodCap,G475)*Arch_FoodCap*EXP(v01_CapsByProject*SUMPRODUCT((Cap_Point&lt;=I475)*(Cap_Kind="Food")*Cap_Ln))</x:f>
        <x:v>30</x:v>
      </x:c>
      <x:c r="K475" s="32" t="n">
        <x:f>J475*MIN(1,v01_LeanBase*EXP(v01_CapsByProject*SUMPRODUCT((Cap_Point&lt;=I475)*(Cap_Kind="Lean")*Cap_Ln)))</x:f>
        <x:v>30</x:v>
      </x:c>
      <x:c r="L475" s="10" t="n">
        <x:f>INDEX(v01_HousingCap,G475)*EXP(v01_CapsByProject*SUMPRODUCT((Cap_Point&lt;=I475)*(Cap_Kind="Housing")*Cap_Ln))</x:f>
        <x:v>60</x:v>
      </x:c>
      <x:c r="M475" s="10" t="n">
        <x:f>INDEX(v01_GroupCap,G475)*v01_CohesionFactor*EXP(v01_CapsByProject*SUMPRODUCT((Cap_Point&lt;=I475)*(Cap_Kind="Group")*Cap_Ln))</x:f>
        <x:v>100</x:v>
      </x:c>
      <x:c r="N475" s="32" t="n">
        <x:f>MIN(J475,L475,M475)</x:f>
        <x:v>30</x:v>
      </x:c>
      <x:c r="O475" s="10" t="n">
        <x:f>AE474*N475</x:f>
        <x:v>90</x:v>
      </x:c>
      <x:c r="P475" s="9" t="n">
        <x:f>MIN(1,(AB474/(AE474*IF(v01_GroupInCrowding=1,N475,MIN(J475,L475))))^v01_CrowdingExp)</x:f>
        <x:v>0.16110081470220594</x:v>
      </x:c>
      <x:c r="Q475" s="9" t="n">
        <x:f>IF(D475=1,INDEX(v01_WinterMult,G475),1)</x:f>
        <x:v>1.6</x:v>
      </x:c>
      <x:c r="R475" s="9" t="n">
        <x:f>H475*Z474*v01_WomenShare*v01_BaseFertility*INDEX(v01_FertMult,G475)*Arch_Fertility*(1-P475)</x:f>
        <x:v>0.9229328790034448</x:v>
      </x:c>
      <x:c r="S475" s="9" t="n">
        <x:f>H475*Y474*INDEX(v01_MortChild,G475)/4*Q475</x:f>
        <x:v>0.4009314854428457</x:v>
      </x:c>
      <x:c r="T475" s="9" t="n">
        <x:f>H475*Z474*INDEX(v01_MortAdult,G475)*Arch_AdultMort/4*Q475</x:f>
        <x:v>0.1525570987925648</x:v>
      </x:c>
      <x:c r="U475" s="9" t="n">
        <x:f>H475*AA474*INDEX(v01_MortElder,G475)/4*Q475</x:f>
        <x:v>0.26920071906613463</x:v>
      </x:c>
      <x:c r="V475" s="9" t="n">
        <x:f>H475*MAX(0,AB474-O475)*v01_OvercapLoss</x:f>
        <x:v>0</x:v>
      </x:c>
      <x:c r="W475" s="9" t="n">
        <x:f>H475*Y474/(v01_ChildYears*4)</x:f>
        <x:v>0.5113922008199562</x:v>
      </x:c>
      <x:c r="X475" s="9" t="n">
        <x:f>H475*Z474/(v01_AdultYears*4)</x:f>
        <x:v>0.236595996886732</x:v>
      </x:c>
      <x:c r="Y475" s="32" t="n">
        <x:f>Y474+R475-S475-W475-Y474*V475/AB474</x:f>
        <x:v>28.648572438658185</x:v>
      </x:c>
      <x:c r="Z475" s="32" t="n">
        <x:f>Z474+W475-X475-T475-Z474*V475/AB474</x:f>
        <x:v>29.46014271909543</x:v>
      </x:c>
      <x:c r="AA475" s="32" t="n">
        <x:f>AA474+X475-U475-AA474*V475/AB474</x:f>
        <x:v>8.379917748637304</x:v>
      </x:c>
      <x:c r="AB475" s="10" t="n">
        <x:f>Y475+Z475+AA475</x:f>
        <x:v>66.48863290639092</x:v>
      </x:c>
      <x:c r="AC475" s="8" t="n">
        <x:f>IF(AND(v01_WinterTrigger=1,D475=1,AB474/AE474&gt;=K475),1,0)</x:f>
        <x:v>0</x:v>
      </x:c>
      <x:c r="AD475" s="8" t="n">
        <x:f>H475*IF(AND(OR(AB474/AE474&gt;=v01_FissionTrigger*N475,AC475=1),AB474/AE474*v01_DaughterShare&gt;=v01_MinDaughter),MAX(1,ROUND(AE474*v01_FissionRate,0)),0)</x:f>
        <x:v>0</x:v>
      </x:c>
      <x:c r="AE475" s="8" t="n">
        <x:f>IF(H475=1,MAX(1,MIN(INDEX(v01_Smax,G475),AE474+AD475)),AE474)</x:f>
        <x:v>3</x:v>
      </x:c>
      <x:c r="AF475" s="8" t="n">
        <x:f>MAX(0,AE475-AE474)</x:f>
        <x:v>0</x:v>
      </x:c>
      <x:c r="AG475" s="9" t="str">
        <x:f>IF(AF475&gt;0,B475,"")</x:f>
      </x:c>
      <x:c r="AH475" s="9" t="n">
        <x:f>IF(F475&gt;=1,1,(1+v01_LowTiesShare*(AE475-1))/AE475)</x:f>
        <x:v>1</x:v>
      </x:c>
      <x:c r="AI475" s="32" t="n">
        <x:f>(Z475+v01_ElderCommons*INDEX(LM_Elder,G475)*AA475)*AH475</x:f>
        <x:v>49.98666528974921</x:v>
      </x:c>
      <x:c r="AJ475" s="32" t="n">
        <x:f>H475*v01_CommonsCoef*AI475^v01_CommonsExp*INDEX(LM_Commons,G475)</x:f>
        <x:v>18.34720763321199</x:v>
      </x:c>
      <x:c r="AK475" s="32" t="n">
        <x:f>H475*v01_RoleScale*Arch_Roles*(AE475*(INDEX(v01_ElderRolePerSett,G475)*v01_OutElder*INDEX(LM_Elder,G475)+INDEX(v01_ShamanPerSett,G475)*v01_OutShaman)+Z475*(INDEX(v01_PriestShare,G475)*v01_OutPriest+INDEX(v01_ScribeShare,G475)*v01_OutScribe*INDEX(LM_Scribe,G475)+INDEX(v01_ScholarShare,G475)*v01_OutScholar*INDEX(LM_Scholar,G475)+INDEX(v01_ResearcherShare,G475)*v01_OutResearcher*INDEX(LM_Researcher,G475)))</x:f>
        <x:v>4.087117307087383</x:v>
      </x:c>
      <x:c r="AL475" s="32" t="n">
        <x:f>H475*v01_RoleScale*Arch_Roles*AE475*INDEX(v01_MonasteryPerSett,G475)*v01_OutMonastery*INDEX(LM_Monastery,G475)</x:f>
        <x:v>0</x:v>
      </x:c>
      <x:c r="AM475" s="32" t="n">
        <x:f>(AJ475+AK475+AL475)/4*INDEX(LM_All,G475)*INDEX(v01_Boon,G475)*Arch_Insight</x:f>
        <x:v>5.748795765951714</x:v>
      </x:c>
      <x:c r="AN475" s="32" t="n">
        <x:f>H475*(v01_KHPerAdult*Z475+v01_KHOfCommons*AJ475/4*INDEX(LM_All,G475))*v01_KHUsable*Arch_KH</x:f>
        <x:v>1.03110499516834</x:v>
      </x:c>
      <x:c r="AO475" s="32" t="n">
        <x:f>MIN(AP474+AN475,AM475*v01_KHMaxRatio)</x:f>
        <x:v>1.03110499516834</x:v>
      </x:c>
      <x:c r="AP475" s="32" t="n">
        <x:f>AP474+AN475-AO475</x:f>
        <x:v>0</x:v>
      </x:c>
      <x:c r="AQ475" s="32" t="n">
        <x:f>AM475+AO475</x:f>
        <x:v>6.779900761120054</x:v>
      </x:c>
      <x:c r="AR475" s="10" t="n">
        <x:f>IF(H475=1,INDEX(v01_Req,G475),0)</x:f>
        <x:v>1067.32</x:v>
      </x:c>
      <x:c r="AS475" s="32" t="n">
        <x:f>IF(H475=1,IF(E475=1,AS474-AR474,AS474)+AQ475,0)</x:f>
        <x:v>985.9682171520885</x:v>
      </x:c>
      <x:c r="AT475" s="11" t="n">
        <x:f>IF(AR475&gt;0,MIN(1,AS475/AR475),1)</x:f>
        <x:v>0.9237793887045015</x:v>
      </x:c>
      <x:c r="AU475" s="10" t="n">
        <x:f>AB475/INDEX(v01_RepScale,G475)</x:f>
        <x:v>66.48863290639092</x:v>
      </x:c>
      <x:c r="AV475" s="32" t="n">
        <x:f>AM475*60/v01_SeasonSeconds</x:f>
        <x:v>22.995183063806856</x:v>
      </x:c>
    </x:row>
    <x:row r="476">
      <x:c r="A476" s="8" t="n">
        <x:f>A475+1</x:f>
        <x:v>473</x:v>
      </x:c>
      <x:c r="B476" s="9" t="n">
        <x:f>A476*v01_SeasonSeconds/60</x:f>
        <x:v>118.25</x:v>
      </x:c>
      <x:c r="C476" s="9" t="n">
        <x:f>A476/4</x:f>
        <x:v>118.25</x:v>
      </x:c>
      <x:c r="D476" s="8" t="n">
        <x:f>IF(MOD(A476,4)=0,1,0)</x:f>
        <x:v>0</x:v>
      </x:c>
      <x:c r="E476" s="8" t="n">
        <x:f>IF(AND(F475&lt;=9,AS475&gt;=AR475),1,0)</x:f>
        <x:v>0</x:v>
      </x:c>
      <x:c r="F476" s="8" t="n">
        <x:f>MIN(10,F475+E476)</x:f>
        <x:v>1</x:v>
      </x:c>
      <x:c r="G476" s="8" t="n">
        <x:f>MIN(F476,9)+1</x:f>
        <x:v>2</x:v>
      </x:c>
      <x:c r="H476" s="8" t="n">
        <x:f>IF(F476&lt;=9,1,0)</x:f>
        <x:v>1</x:v>
      </x:c>
      <x:c r="I476" s="9" t="n">
        <x:f>MIN(10,F475+IF(AR475&gt;0,MIN(1,AS475/AR475),1))</x:f>
        <x:v>1.9237793887045016</x:v>
      </x:c>
      <x:c r="J476" s="32" t="n">
        <x:f>INDEX(v01_FoodCap,G476)*Arch_FoodCap*EXP(v01_CapsByProject*SUMPRODUCT((Cap_Point&lt;=I476)*(Cap_Kind="Food")*Cap_Ln))</x:f>
        <x:v>30</x:v>
      </x:c>
      <x:c r="K476" s="32" t="n">
        <x:f>J476*MIN(1,v01_LeanBase*EXP(v01_CapsByProject*SUMPRODUCT((Cap_Point&lt;=I476)*(Cap_Kind="Lean")*Cap_Ln)))</x:f>
        <x:v>30</x:v>
      </x:c>
      <x:c r="L476" s="10" t="n">
        <x:f>INDEX(v01_HousingCap,G476)*EXP(v01_CapsByProject*SUMPRODUCT((Cap_Point&lt;=I476)*(Cap_Kind="Housing")*Cap_Ln))</x:f>
        <x:v>60</x:v>
      </x:c>
      <x:c r="M476" s="10" t="n">
        <x:f>INDEX(v01_GroupCap,G476)*v01_CohesionFactor*EXP(v01_CapsByProject*SUMPRODUCT((Cap_Point&lt;=I476)*(Cap_Kind="Group")*Cap_Ln))</x:f>
        <x:v>100</x:v>
      </x:c>
      <x:c r="N476" s="32" t="n">
        <x:f>MIN(J476,L476,M476)</x:f>
        <x:v>30</x:v>
      </x:c>
      <x:c r="O476" s="10" t="n">
        <x:f>AE475*N476</x:f>
        <x:v>90</x:v>
      </x:c>
      <x:c r="P476" s="9" t="n">
        <x:f>MIN(1,(AB475/(AE475*IF(v01_GroupInCrowding=1,N476,MIN(J476,L476))))^v01_CrowdingExp)</x:f>
        <x:v>0.1625658666500399</x:v>
      </x:c>
      <x:c r="Q476" s="9" t="n">
        <x:f>IF(D476=1,INDEX(v01_WinterMult,G476),1)</x:f>
        <x:v>1</x:v>
      </x:c>
      <x:c r="R476" s="9" t="n">
        <x:f>H476*Z475*v01_WomenShare*v01_BaseFertility*INDEX(v01_FertMult,G476)*Arch_Fertility*(1-P476)</x:f>
        <x:v>0.9251598407374431</x:v>
      </x:c>
      <x:c r="S476" s="9" t="n">
        <x:f>H476*Y475*INDEX(v01_MortChild,G476)/4*Q476</x:f>
        <x:v>0.25067500883825916</x:v>
      </x:c>
      <x:c r="T476" s="9" t="n">
        <x:f>H476*Z475*INDEX(v01_MortAdult,G476)*Arch_AdultMort/4*Q476</x:f>
        <x:v>0.09574546383706015</x:v>
      </x:c>
      <x:c r="U476" s="9" t="n">
        <x:f>H476*AA475*INDEX(v01_MortElder,G476)/4*Q476</x:f>
        <x:v>0.16759835497274608</x:v>
      </x:c>
      <x:c r="V476" s="9" t="n">
        <x:f>H476*MAX(0,AB475-O476)*v01_OvercapLoss</x:f>
        <x:v>0</x:v>
      </x:c>
      <x:c r="W476" s="9" t="n">
        <x:f>H476*Y475/(v01_ChildYears*4)</x:f>
        <x:v>0.5115816506903247</x:v>
      </x:c>
      <x:c r="X476" s="9" t="n">
        <x:f>H476*Z475/(v01_AdultYears*4)</x:f>
        <x:v>0.23758179612173733</x:v>
      </x:c>
      <x:c r="Y476" s="32" t="n">
        <x:f>Y475+R476-S476-W476-Y475*V476/AB475</x:f>
        <x:v>28.811475619867046</x:v>
      </x:c>
      <x:c r="Z476" s="32" t="n">
        <x:f>Z475+W476-X476-T476-Z475*V476/AB475</x:f>
        <x:v>29.638397109826958</x:v>
      </x:c>
      <x:c r="AA476" s="32" t="n">
        <x:f>AA475+X476-U476-AA475*V476/AB475</x:f>
        <x:v>8.449901189786296</x:v>
      </x:c>
      <x:c r="AB476" s="10" t="n">
        <x:f>Y476+Z476+AA476</x:f>
        <x:v>66.89977391948031</x:v>
      </x:c>
      <x:c r="AC476" s="8" t="n">
        <x:f>IF(AND(v01_WinterTrigger=1,D476=1,AB475/AE475&gt;=K476),1,0)</x:f>
        <x:v>0</x:v>
      </x:c>
      <x:c r="AD476" s="8" t="n">
        <x:f>H476*IF(AND(OR(AB475/AE475&gt;=v01_FissionTrigger*N476,AC476=1),AB475/AE475*v01_DaughterShare&gt;=v01_MinDaughter),MAX(1,ROUND(AE475*v01_FissionRate,0)),0)</x:f>
        <x:v>0</x:v>
      </x:c>
      <x:c r="AE476" s="8" t="n">
        <x:f>IF(H476=1,MAX(1,MIN(INDEX(v01_Smax,G476),AE475+AD476)),AE475)</x:f>
        <x:v>3</x:v>
      </x:c>
      <x:c r="AF476" s="8" t="n">
        <x:f>MAX(0,AE476-AE475)</x:f>
        <x:v>0</x:v>
      </x:c>
      <x:c r="AG476" s="9" t="str">
        <x:f>IF(AF476&gt;0,B476,"")</x:f>
      </x:c>
      <x:c r="AH476" s="9" t="n">
        <x:f>IF(F476&gt;=1,1,(1+v01_LowTiesShare*(AE476-1))/AE476)</x:f>
        <x:v>1</x:v>
      </x:c>
      <x:c r="AI476" s="32" t="n">
        <x:f>(Z476+v01_ElderCommons*INDEX(LM_Elder,G476)*AA476)*AH476</x:f>
        <x:v>50.33634340173986</x:v>
      </x:c>
      <x:c r="AJ476" s="32" t="n">
        <x:f>H476*v01_CommonsCoef*AI476^v01_CommonsExp*INDEX(LM_Commons,G476)</x:f>
        <x:v>18.45624513150352</x:v>
      </x:c>
      <x:c r="AK476" s="32" t="n">
        <x:f>H476*v01_RoleScale*Arch_Roles*(AE476*(INDEX(v01_ElderRolePerSett,G476)*v01_OutElder*INDEX(LM_Elder,G476)+INDEX(v01_ShamanPerSett,G476)*v01_OutShaman)+Z476*(INDEX(v01_PriestShare,G476)*v01_OutPriest+INDEX(v01_ScribeShare,G476)*v01_OutScribe*INDEX(LM_Scribe,G476)+INDEX(v01_ScholarShare,G476)*v01_OutScholar*INDEX(LM_Scholar,G476)+INDEX(v01_ResearcherShare,G476)*v01_OutResearcher*INDEX(LM_Researcher,G476)))</x:f>
        <x:v>4.087117307087383</x:v>
      </x:c>
      <x:c r="AL476" s="32" t="n">
        <x:f>H476*v01_RoleScale*Arch_Roles*AE476*INDEX(v01_MonasteryPerSett,G476)*v01_OutMonastery*INDEX(LM_Monastery,G476)</x:f>
        <x:v>0</x:v>
      </x:c>
      <x:c r="AM476" s="32" t="n">
        <x:f>(AJ476+AK476+AL476)/4*INDEX(LM_All,G476)*INDEX(v01_Boon,G476)*Arch_Insight</x:f>
        <x:v>5.776736624888918</x:v>
      </x:c>
      <x:c r="AN476" s="32" t="n">
        <x:f>H476*(v01_KHPerAdult*Z476+v01_KHOfCommons*AJ476/4*INDEX(LM_All,G476))*v01_KHUsable*Arch_KH</x:f>
        <x:v>1.0373438988439436</x:v>
      </x:c>
      <x:c r="AO476" s="32" t="n">
        <x:f>MIN(AP475+AN476,AM476*v01_KHMaxRatio)</x:f>
        <x:v>1.0373438988439436</x:v>
      </x:c>
      <x:c r="AP476" s="32" t="n">
        <x:f>AP475+AN476-AO476</x:f>
        <x:v>0</x:v>
      </x:c>
      <x:c r="AQ476" s="32" t="n">
        <x:f>AM476+AO476</x:f>
        <x:v>6.814080523732862</x:v>
      </x:c>
      <x:c r="AR476" s="10" t="n">
        <x:f>IF(H476=1,INDEX(v01_Req,G476),0)</x:f>
        <x:v>1067.32</x:v>
      </x:c>
      <x:c r="AS476" s="32" t="n">
        <x:f>IF(H476=1,IF(E476=1,AS475-AR475,AS475)+AQ476,0)</x:f>
        <x:v>992.7822976758214</x:v>
      </x:c>
      <x:c r="AT476" s="11" t="n">
        <x:f>IF(AR476&gt;0,MIN(1,AS476/AR476),1)</x:f>
        <x:v>0.9301636788178067</x:v>
      </x:c>
      <x:c r="AU476" s="10" t="n">
        <x:f>AB476/INDEX(v01_RepScale,G476)</x:f>
        <x:v>66.89977391948031</x:v>
      </x:c>
      <x:c r="AV476" s="32" t="n">
        <x:f>AM476*60/v01_SeasonSeconds</x:f>
        <x:v>23.106946499555672</x:v>
      </x:c>
    </x:row>
    <x:row r="477">
      <x:c r="A477" s="8" t="n">
        <x:f>A476+1</x:f>
        <x:v>474</x:v>
      </x:c>
      <x:c r="B477" s="9" t="n">
        <x:f>A477*v01_SeasonSeconds/60</x:f>
        <x:v>118.5</x:v>
      </x:c>
      <x:c r="C477" s="9" t="n">
        <x:f>A477/4</x:f>
        <x:v>118.5</x:v>
      </x:c>
      <x:c r="D477" s="8" t="n">
        <x:f>IF(MOD(A477,4)=0,1,0)</x:f>
        <x:v>0</x:v>
      </x:c>
      <x:c r="E477" s="8" t="n">
        <x:f>IF(AND(F476&lt;=9,AS476&gt;=AR476),1,0)</x:f>
        <x:v>0</x:v>
      </x:c>
      <x:c r="F477" s="8" t="n">
        <x:f>MIN(10,F476+E477)</x:f>
        <x:v>1</x:v>
      </x:c>
      <x:c r="G477" s="8" t="n">
        <x:f>MIN(F477,9)+1</x:f>
        <x:v>2</x:v>
      </x:c>
      <x:c r="H477" s="8" t="n">
        <x:f>IF(F477&lt;=9,1,0)</x:f>
        <x:v>1</x:v>
      </x:c>
      <x:c r="I477" s="9" t="n">
        <x:f>MIN(10,F476+IF(AR476&gt;0,MIN(1,AS476/AR476),1))</x:f>
        <x:v>1.9301636788178067</x:v>
      </x:c>
      <x:c r="J477" s="32" t="n">
        <x:f>INDEX(v01_FoodCap,G477)*Arch_FoodCap*EXP(v01_CapsByProject*SUMPRODUCT((Cap_Point&lt;=I477)*(Cap_Kind="Food")*Cap_Ln))</x:f>
        <x:v>30</x:v>
      </x:c>
      <x:c r="K477" s="32" t="n">
        <x:f>J477*MIN(1,v01_LeanBase*EXP(v01_CapsByProject*SUMPRODUCT((Cap_Point&lt;=I477)*(Cap_Kind="Lean")*Cap_Ln)))</x:f>
        <x:v>30</x:v>
      </x:c>
      <x:c r="L477" s="10" t="n">
        <x:f>INDEX(v01_HousingCap,G477)*EXP(v01_CapsByProject*SUMPRODUCT((Cap_Point&lt;=I477)*(Cap_Kind="Housing")*Cap_Ln))</x:f>
        <x:v>60</x:v>
      </x:c>
      <x:c r="M477" s="10" t="n">
        <x:f>INDEX(v01_GroupCap,G477)*v01_CohesionFactor*EXP(v01_CapsByProject*SUMPRODUCT((Cap_Point&lt;=I477)*(Cap_Kind="Group")*Cap_Ln))</x:f>
        <x:v>100</x:v>
      </x:c>
      <x:c r="N477" s="32" t="n">
        <x:f>MIN(J477,L477,M477)</x:f>
        <x:v>30</x:v>
      </x:c>
      <x:c r="O477" s="10" t="n">
        <x:f>AE476*N477</x:f>
        <x:v>90</x:v>
      </x:c>
      <x:c r="P477" s="9" t="n">
        <x:f>MIN(1,(AB476/(AE476*IF(v01_GroupInCrowding=1,N477,MIN(J477,L477))))^v01_CrowdingExp)</x:f>
        <x:v>0.1686913617587889</x:v>
      </x:c>
      <x:c r="Q477" s="9" t="n">
        <x:f>IF(D477=1,INDEX(v01_WinterMult,G477),1)</x:f>
        <x:v>1</x:v>
      </x:c>
      <x:c r="R477" s="9" t="n">
        <x:f>H477*Z476*v01_WomenShare*v01_BaseFertility*INDEX(v01_FertMult,G477)*Arch_Fertility*(1-P477)</x:f>
        <x:v>0.9239495827883436</x:v>
      </x:c>
      <x:c r="S477" s="9" t="n">
        <x:f>H477*Y476*INDEX(v01_MortChild,G477)/4*Q477</x:f>
        <x:v>0.2521004116738367</x:v>
      </x:c>
      <x:c r="T477" s="9" t="n">
        <x:f>H477*Z476*INDEX(v01_MortAdult,G477)*Arch_AdultMort/4*Q477</x:f>
        <x:v>0.0963247906069376</x:v>
      </x:c>
      <x:c r="U477" s="9" t="n">
        <x:f>H477*AA476*INDEX(v01_MortElder,G477)/4*Q477</x:f>
        <x:v>0.16899802379572593</x:v>
      </x:c>
      <x:c r="V477" s="9" t="n">
        <x:f>H477*MAX(0,AB476-O477)*v01_OvercapLoss</x:f>
        <x:v>0</x:v>
      </x:c>
      <x:c r="W477" s="9" t="n">
        <x:f>H477*Y476/(v01_ChildYears*4)</x:f>
        <x:v>0.5144906360690544</x:v>
      </x:c>
      <x:c r="X477" s="9" t="n">
        <x:f>H477*Z476/(v01_AdultYears*4)</x:f>
        <x:v>0.23901933153086255</x:v>
      </x:c>
      <x:c r="Y477" s="32" t="n">
        <x:f>Y476+R477-S477-W477-Y476*V477/AB476</x:f>
        <x:v>28.968834154912496</x:v>
      </x:c>
      <x:c r="Z477" s="32" t="n">
        <x:f>Z476+W477-X477-T477-Z476*V477/AB476</x:f>
        <x:v>29.817543623758212</x:v>
      </x:c>
      <x:c r="AA477" s="32" t="n">
        <x:f>AA476+X477-U477-AA476*V477/AB476</x:f>
        <x:v>8.519922497521431</x:v>
      </x:c>
      <x:c r="AB477" s="10" t="n">
        <x:f>Y477+Z477+AA477</x:f>
        <x:v>67.30630027619215</x:v>
      </x:c>
      <x:c r="AC477" s="8" t="n">
        <x:f>IF(AND(v01_WinterTrigger=1,D477=1,AB476/AE476&gt;=K477),1,0)</x:f>
        <x:v>0</x:v>
      </x:c>
      <x:c r="AD477" s="8" t="n">
        <x:f>H477*IF(AND(OR(AB476/AE476&gt;=v01_FissionTrigger*N477,AC477=1),AB476/AE476*v01_DaughterShare&gt;=v01_MinDaughter),MAX(1,ROUND(AE476*v01_FissionRate,0)),0)</x:f>
        <x:v>0</x:v>
      </x:c>
      <x:c r="AE477" s="8" t="n">
        <x:f>IF(H477=1,MAX(1,MIN(INDEX(v01_Smax,G477),AE476+AD477)),AE476)</x:f>
        <x:v>3</x:v>
      </x:c>
      <x:c r="AF477" s="8" t="n">
        <x:f>MAX(0,AE477-AE476)</x:f>
        <x:v>0</x:v>
      </x:c>
      <x:c r="AG477" s="9" t="str">
        <x:f>IF(AF477&gt;0,B477,"")</x:f>
      </x:c>
      <x:c r="AH477" s="9" t="n">
        <x:f>IF(F477&gt;=1,1,(1+v01_LowTiesShare*(AE477-1))/AE477)</x:f>
        <x:v>1</x:v>
      </x:c>
      <x:c r="AI477" s="32" t="n">
        <x:f>(Z477+v01_ElderCommons*INDEX(LM_Elder,G477)*AA477)*AH477</x:f>
        <x:v>50.68700639074459</x:v>
      </x:c>
      <x:c r="AJ477" s="32" t="n">
        <x:f>H477*v01_CommonsCoef*AI477^v01_CommonsExp*INDEX(LM_Commons,G477)</x:f>
        <x:v>18.56547569564352</x:v>
      </x:c>
      <x:c r="AK477" s="32" t="n">
        <x:f>H477*v01_RoleScale*Arch_Roles*(AE477*(INDEX(v01_ElderRolePerSett,G477)*v01_OutElder*INDEX(LM_Elder,G477)+INDEX(v01_ShamanPerSett,G477)*v01_OutShaman)+Z477*(INDEX(v01_PriestShare,G477)*v01_OutPriest+INDEX(v01_ScribeShare,G477)*v01_OutScribe*INDEX(LM_Scribe,G477)+INDEX(v01_ScholarShare,G477)*v01_OutScholar*INDEX(LM_Scholar,G477)+INDEX(v01_ResearcherShare,G477)*v01_OutResearcher*INDEX(LM_Researcher,G477)))</x:f>
        <x:v>4.087117307087383</x:v>
      </x:c>
      <x:c r="AL477" s="32" t="n">
        <x:f>H477*v01_RoleScale*Arch_Roles*AE477*INDEX(v01_MonasteryPerSett,G477)*v01_OutMonastery*INDEX(LM_Monastery,G477)</x:f>
        <x:v>0</x:v>
      </x:c>
      <x:c r="AM477" s="32" t="n">
        <x:f>(AJ477+AK477+AL477)/4*INDEX(LM_All,G477)*INDEX(v01_Boon,G477)*Arch_Insight</x:f>
        <x:v>5.804726956949794</x:v>
      </x:c>
      <x:c r="AN477" s="32" t="n">
        <x:f>H477*(v01_KHPerAdult*Z477+v01_KHOfCommons*AJ477/4*INDEX(LM_All,G477))*v01_KHUsable*Arch_KH</x:f>
        <x:v>1.0436140268315375</x:v>
      </x:c>
      <x:c r="AO477" s="32" t="n">
        <x:f>MIN(AP476+AN477,AM477*v01_KHMaxRatio)</x:f>
        <x:v>1.0436140268315375</x:v>
      </x:c>
      <x:c r="AP477" s="32" t="n">
        <x:f>AP476+AN477-AO477</x:f>
        <x:v>0</x:v>
      </x:c>
      <x:c r="AQ477" s="32" t="n">
        <x:f>AM477+AO477</x:f>
        <x:v>6.848340983781331</x:v>
      </x:c>
      <x:c r="AR477" s="10" t="n">
        <x:f>IF(H477=1,INDEX(v01_Req,G477),0)</x:f>
        <x:v>1067.32</x:v>
      </x:c>
      <x:c r="AS477" s="32" t="n">
        <x:f>IF(H477=1,IF(E477=1,AS476-AR476,AS476)+AQ477,0)</x:f>
        <x:v>999.6306386596027</x:v>
      </x:c>
      <x:c r="AT477" s="11" t="n">
        <x:f>IF(AR477&gt;0,MIN(1,AS477/AR477),1)</x:f>
        <x:v>0.936580068451451</x:v>
      </x:c>
      <x:c r="AU477" s="10" t="n">
        <x:f>AB477/INDEX(v01_RepScale,G477)</x:f>
        <x:v>67.30630027619215</x:v>
      </x:c>
      <x:c r="AV477" s="32" t="n">
        <x:f>AM477*60/v01_SeasonSeconds</x:f>
        <x:v>23.218907827799175</x:v>
      </x:c>
    </x:row>
    <x:row r="478">
      <x:c r="A478" s="8" t="n">
        <x:f>A477+1</x:f>
        <x:v>475</x:v>
      </x:c>
      <x:c r="B478" s="9" t="n">
        <x:f>A478*v01_SeasonSeconds/60</x:f>
        <x:v>118.75</x:v>
      </x:c>
      <x:c r="C478" s="9" t="n">
        <x:f>A478/4</x:f>
        <x:v>118.75</x:v>
      </x:c>
      <x:c r="D478" s="8" t="n">
        <x:f>IF(MOD(A478,4)=0,1,0)</x:f>
        <x:v>0</x:v>
      </x:c>
      <x:c r="E478" s="8" t="n">
        <x:f>IF(AND(F477&lt;=9,AS477&gt;=AR477),1,0)</x:f>
        <x:v>0</x:v>
      </x:c>
      <x:c r="F478" s="8" t="n">
        <x:f>MIN(10,F477+E478)</x:f>
        <x:v>1</x:v>
      </x:c>
      <x:c r="G478" s="8" t="n">
        <x:f>MIN(F478,9)+1</x:f>
        <x:v>2</x:v>
      </x:c>
      <x:c r="H478" s="8" t="n">
        <x:f>IF(F478&lt;=9,1,0)</x:f>
        <x:v>1</x:v>
      </x:c>
      <x:c r="I478" s="9" t="n">
        <x:f>MIN(10,F477+IF(AR477&gt;0,MIN(1,AS477/AR477),1))</x:f>
        <x:v>1.936580068451451</x:v>
      </x:c>
      <x:c r="J478" s="32" t="n">
        <x:f>INDEX(v01_FoodCap,G478)*Arch_FoodCap*EXP(v01_CapsByProject*SUMPRODUCT((Cap_Point&lt;=I478)*(Cap_Kind="Food")*Cap_Ln))</x:f>
        <x:v>30</x:v>
      </x:c>
      <x:c r="K478" s="32" t="n">
        <x:f>J478*MIN(1,v01_LeanBase*EXP(v01_CapsByProject*SUMPRODUCT((Cap_Point&lt;=I478)*(Cap_Kind="Lean")*Cap_Ln)))</x:f>
        <x:v>30</x:v>
      </x:c>
      <x:c r="L478" s="10" t="n">
        <x:f>INDEX(v01_HousingCap,G478)*EXP(v01_CapsByProject*SUMPRODUCT((Cap_Point&lt;=I478)*(Cap_Kind="Housing")*Cap_Ln))</x:f>
        <x:v>60</x:v>
      </x:c>
      <x:c r="M478" s="10" t="n">
        <x:f>INDEX(v01_GroupCap,G478)*v01_CohesionFactor*EXP(v01_CapsByProject*SUMPRODUCT((Cap_Point&lt;=I478)*(Cap_Kind="Group")*Cap_Ln))</x:f>
        <x:v>100</x:v>
      </x:c>
      <x:c r="N478" s="32" t="n">
        <x:f>MIN(J478,L478,M478)</x:f>
        <x:v>30</x:v>
      </x:c>
      <x:c r="O478" s="10" t="n">
        <x:f>AE477*N478</x:f>
        <x:v>90</x:v>
      </x:c>
      <x:c r="P478" s="9" t="n">
        <x:f>MIN(1,(AB477/(AE477*IF(v01_GroupInCrowding=1,N478,MIN(J478,L478))))^v01_CrowdingExp)</x:f>
        <x:v>0.1749360256597245</x:v>
      </x:c>
      <x:c r="Q478" s="9" t="n">
        <x:f>IF(D478=1,INDEX(v01_WinterMult,G478),1)</x:f>
        <x:v>1</x:v>
      </x:c>
      <x:c r="R478" s="9" t="n">
        <x:f>H478*Z477*v01_WomenShare*v01_BaseFertility*INDEX(v01_FertMult,G478)*Arch_Fertility*(1-P478)</x:f>
        <x:v>0.9225517892730933</x:v>
      </x:c>
      <x:c r="S478" s="9" t="n">
        <x:f>H478*Y477*INDEX(v01_MortChild,G478)/4*Q478</x:f>
        <x:v>0.25347729885548437</x:v>
      </x:c>
      <x:c r="T478" s="9" t="n">
        <x:f>H478*Z477*INDEX(v01_MortAdult,G478)*Arch_AdultMort/4*Q478</x:f>
        <x:v>0.09690701677721418</x:v>
      </x:c>
      <x:c r="U478" s="9" t="n">
        <x:f>H478*AA477*INDEX(v01_MortElder,G478)/4*Q478</x:f>
        <x:v>0.17039844995042863</x:v>
      </x:c>
      <x:c r="V478" s="9" t="n">
        <x:f>H478*MAX(0,AB477-O478)*v01_OvercapLoss</x:f>
        <x:v>0</x:v>
      </x:c>
      <x:c r="W478" s="9" t="n">
        <x:f>H478*Y477/(v01_ChildYears*4)</x:f>
        <x:v>0.5173006099091517</x:v>
      </x:c>
      <x:c r="X478" s="9" t="n">
        <x:f>H478*Z477/(v01_AdultYears*4)</x:f>
        <x:v>0.24046406148192107</x:v>
      </x:c>
      <x:c r="Y478" s="32" t="n">
        <x:f>Y477+R478-S478-W478-Y477*V478/AB477</x:f>
        <x:v>29.120608035420954</x:v>
      </x:c>
      <x:c r="Z478" s="32" t="n">
        <x:f>Z477+W478-X478-T478-Z477*V478/AB477</x:f>
        <x:v>29.99747315540823</x:v>
      </x:c>
      <x:c r="AA478" s="32" t="n">
        <x:f>AA477+X478-U478-AA477*V478/AB477</x:f>
        <x:v>8.589988109052923</x:v>
      </x:c>
      <x:c r="AB478" s="10" t="n">
        <x:f>Y478+Z478+AA478</x:f>
        <x:v>67.70806929988211</x:v>
      </x:c>
      <x:c r="AC478" s="8" t="n">
        <x:f>IF(AND(v01_WinterTrigger=1,D478=1,AB477/AE477&gt;=K478),1,0)</x:f>
        <x:v>0</x:v>
      </x:c>
      <x:c r="AD478" s="8" t="n">
        <x:f>H478*IF(AND(OR(AB477/AE477&gt;=v01_FissionTrigger*N478,AC478=1),AB477/AE477*v01_DaughterShare&gt;=v01_MinDaughter),MAX(1,ROUND(AE477*v01_FissionRate,0)),0)</x:f>
        <x:v>0</x:v>
      </x:c>
      <x:c r="AE478" s="8" t="n">
        <x:f>IF(H478=1,MAX(1,MIN(INDEX(v01_Smax,G478),AE477+AD478)),AE477)</x:f>
        <x:v>3</x:v>
      </x:c>
      <x:c r="AF478" s="8" t="n">
        <x:f>MAX(0,AE478-AE477)</x:f>
        <x:v>0</x:v>
      </x:c>
      <x:c r="AG478" s="9" t="str">
        <x:f>IF(AF478&gt;0,B478,"")</x:f>
      </x:c>
      <x:c r="AH478" s="9" t="n">
        <x:f>IF(F478&gt;=1,1,(1+v01_LowTiesShare*(AE478-1))/AE478)</x:f>
        <x:v>1</x:v>
      </x:c>
      <x:c r="AI478" s="32" t="n">
        <x:f>(Z478+v01_ElderCommons*INDEX(LM_Elder,G478)*AA478)*AH478</x:f>
        <x:v>51.03856091916283</x:v>
      </x:c>
      <x:c r="AJ478" s="32" t="n">
        <x:f>H478*v01_CommonsCoef*AI478^v01_CommonsExp*INDEX(LM_Commons,G478)</x:f>
        <x:v>18.674870246154715</x:v>
      </x:c>
      <x:c r="AK478" s="32" t="n">
        <x:f>H478*v01_RoleScale*Arch_Roles*(AE478*(INDEX(v01_ElderRolePerSett,G478)*v01_OutElder*INDEX(LM_Elder,G478)+INDEX(v01_ShamanPerSett,G478)*v01_OutShaman)+Z478*(INDEX(v01_PriestShare,G478)*v01_OutPriest+INDEX(v01_ScribeShare,G478)*v01_OutScribe*INDEX(LM_Scribe,G478)+INDEX(v01_ScholarShare,G478)*v01_OutScholar*INDEX(LM_Scholar,G478)+INDEX(v01_ResearcherShare,G478)*v01_OutResearcher*INDEX(LM_Researcher,G478)))</x:f>
        <x:v>4.087117307087383</x:v>
      </x:c>
      <x:c r="AL478" s="32" t="n">
        <x:f>H478*v01_RoleScale*Arch_Roles*AE478*INDEX(v01_MonasteryPerSett,G478)*v01_OutMonastery*INDEX(LM_Monastery,G478)</x:f>
        <x:v>0</x:v>
      </x:c>
      <x:c r="AM478" s="32" t="n">
        <x:f>(AJ478+AK478+AL478)/4*INDEX(LM_All,G478)*INDEX(v01_Boon,G478)*Arch_Insight</x:f>
        <x:v>5.832759310518287</x:v>
      </x:c>
      <x:c r="AN478" s="32" t="n">
        <x:f>H478*(v01_KHPerAdult*Z478+v01_KHOfCommons*AJ478/4*INDEX(LM_All,G478))*v01_KHUsable*Arch_KH</x:f>
        <x:v>1.049911560439288</x:v>
      </x:c>
      <x:c r="AO478" s="32" t="n">
        <x:f>MIN(AP477+AN478,AM478*v01_KHMaxRatio)</x:f>
        <x:v>1.049911560439288</x:v>
      </x:c>
      <x:c r="AP478" s="32" t="n">
        <x:f>AP477+AN478-AO478</x:f>
        <x:v>0</x:v>
      </x:c>
      <x:c r="AQ478" s="32" t="n">
        <x:f>AM478+AO478</x:f>
        <x:v>6.882670870957575</x:v>
      </x:c>
      <x:c r="AR478" s="10" t="n">
        <x:f>IF(H478=1,INDEX(v01_Req,G478),0)</x:f>
        <x:v>1067.32</x:v>
      </x:c>
      <x:c r="AS478" s="32" t="n">
        <x:f>IF(H478=1,IF(E478=1,AS477-AR477,AS477)+AQ478,0)</x:f>
        <x:v>1006.5133095305603</x:v>
      </x:c>
      <x:c r="AT478" s="11" t="n">
        <x:f>IF(AR478&gt;0,MIN(1,AS478/AR478),1)</x:f>
        <x:v>0.943028622653525</x:v>
      </x:c>
      <x:c r="AU478" s="10" t="n">
        <x:f>AB478/INDEX(v01_RepScale,G478)</x:f>
        <x:v>67.70806929988211</x:v>
      </x:c>
      <x:c r="AV478" s="32" t="n">
        <x:f>AM478*60/v01_SeasonSeconds</x:f>
        <x:v>23.331037242073148</x:v>
      </x:c>
    </x:row>
    <x:row r="479">
      <x:c r="A479" s="8" t="n">
        <x:f>A478+1</x:f>
        <x:v>476</x:v>
      </x:c>
      <x:c r="B479" s="9" t="n">
        <x:f>A479*v01_SeasonSeconds/60</x:f>
        <x:v>119</x:v>
      </x:c>
      <x:c r="C479" s="9" t="n">
        <x:f>A479/4</x:f>
        <x:v>119</x:v>
      </x:c>
      <x:c r="D479" s="8" t="n">
        <x:f>IF(MOD(A479,4)=0,1,0)</x:f>
        <x:v>1</x:v>
      </x:c>
      <x:c r="E479" s="8" t="n">
        <x:f>IF(AND(F478&lt;=9,AS478&gt;=AR478),1,0)</x:f>
        <x:v>0</x:v>
      </x:c>
      <x:c r="F479" s="8" t="n">
        <x:f>MIN(10,F478+E479)</x:f>
        <x:v>1</x:v>
      </x:c>
      <x:c r="G479" s="8" t="n">
        <x:f>MIN(F479,9)+1</x:f>
        <x:v>2</x:v>
      </x:c>
      <x:c r="H479" s="8" t="n">
        <x:f>IF(F479&lt;=9,1,0)</x:f>
        <x:v>1</x:v>
      </x:c>
      <x:c r="I479" s="9" t="n">
        <x:f>MIN(10,F478+IF(AR478&gt;0,MIN(1,AS478/AR478),1))</x:f>
        <x:v>1.9430286226535252</x:v>
      </x:c>
      <x:c r="J479" s="32" t="n">
        <x:f>INDEX(v01_FoodCap,G479)*Arch_FoodCap*EXP(v01_CapsByProject*SUMPRODUCT((Cap_Point&lt;=I479)*(Cap_Kind="Food")*Cap_Ln))</x:f>
        <x:v>30</x:v>
      </x:c>
      <x:c r="K479" s="32" t="n">
        <x:f>J479*MIN(1,v01_LeanBase*EXP(v01_CapsByProject*SUMPRODUCT((Cap_Point&lt;=I479)*(Cap_Kind="Lean")*Cap_Ln)))</x:f>
        <x:v>30</x:v>
      </x:c>
      <x:c r="L479" s="10" t="n">
        <x:f>INDEX(v01_HousingCap,G479)*EXP(v01_CapsByProject*SUMPRODUCT((Cap_Point&lt;=I479)*(Cap_Kind="Housing")*Cap_Ln))</x:f>
        <x:v>60</x:v>
      </x:c>
      <x:c r="M479" s="10" t="n">
        <x:f>INDEX(v01_GroupCap,G479)*v01_CohesionFactor*EXP(v01_CapsByProject*SUMPRODUCT((Cap_Point&lt;=I479)*(Cap_Kind="Group")*Cap_Ln))</x:f>
        <x:v>100</x:v>
      </x:c>
      <x:c r="N479" s="32" t="n">
        <x:f>MIN(J479,L479,M479)</x:f>
        <x:v>30</x:v>
      </x:c>
      <x:c r="O479" s="10" t="n">
        <x:f>AE478*N479</x:f>
        <x:v>90</x:v>
      </x:c>
      <x:c r="P479" s="9" t="n">
        <x:f>MIN(1,(AB478/(AE478*IF(v01_GroupInCrowding=1,N479,MIN(J479,L479))))^v01_CrowdingExp)</x:f>
        <x:v>0.18129570836499403</x:v>
      </x:c>
      <x:c r="Q479" s="9" t="n">
        <x:f>IF(D479=1,INDEX(v01_WinterMult,G479),1)</x:f>
        <x:v>1.6</x:v>
      </x:c>
      <x:c r="R479" s="9" t="n">
        <x:f>H479*Z478*v01_WomenShare*v01_BaseFertility*INDEX(v01_FertMult,G479)*Arch_Fertility*(1-P479)</x:f>
        <x:v>0.9209647503951977</x:v>
      </x:c>
      <x:c r="S479" s="9" t="n">
        <x:f>H479*Y478*INDEX(v01_MortChild,G479)/4*Q479</x:f>
        <x:v>0.4076885124958934</x:v>
      </x:c>
      <x:c r="T479" s="9" t="n">
        <x:f>H479*Z478*INDEX(v01_MortAdult,G479)*Arch_AdultMort/4*Q479</x:f>
        <x:v>0.15598686040812282</x:v>
      </x:c>
      <x:c r="U479" s="9" t="n">
        <x:f>H479*AA478*INDEX(v01_MortElder,G479)/4*Q479</x:f>
        <x:v>0.2748796194896936</x:v>
      </x:c>
      <x:c r="V479" s="9" t="n">
        <x:f>H479*MAX(0,AB478-O479)*v01_OvercapLoss</x:f>
        <x:v>0</x:v>
      </x:c>
      <x:c r="W479" s="9" t="n">
        <x:f>H479*Y478/(v01_ChildYears*4)</x:f>
        <x:v>0.5200108577753741</x:v>
      </x:c>
      <x:c r="X479" s="9" t="n">
        <x:f>H479*Z478/(v01_AdultYears*4)</x:f>
        <x:v>0.24191510609200184</x:v>
      </x:c>
      <x:c r="Y479" s="32" t="n">
        <x:f>Y478+R479-S479-W479-Y478*V479/AB478</x:f>
        <x:v>29.11387341554488</x:v>
      </x:c>
      <x:c r="Z479" s="32" t="n">
        <x:f>Z478+W479-X479-T479-Z478*V479/AB478</x:f>
        <x:v>30.11958204668348</x:v>
      </x:c>
      <x:c r="AA479" s="32" t="n">
        <x:f>AA478+X479-U479-AA478*V479/AB478</x:f>
        <x:v>8.557023595655231</x:v>
      </x:c>
      <x:c r="AB479" s="10" t="n">
        <x:f>Y479+Z479+AA479</x:f>
        <x:v>67.7904790578836</x:v>
      </x:c>
      <x:c r="AC479" s="8" t="n">
        <x:f>IF(AND(v01_WinterTrigger=1,D479=1,AB478/AE478&gt;=K479),1,0)</x:f>
        <x:v>0</x:v>
      </x:c>
      <x:c r="AD479" s="8" t="n">
        <x:f>H479*IF(AND(OR(AB478/AE478&gt;=v01_FissionTrigger*N479,AC479=1),AB478/AE478*v01_DaughterShare&gt;=v01_MinDaughter),MAX(1,ROUND(AE478*v01_FissionRate,0)),0)</x:f>
        <x:v>0</x:v>
      </x:c>
      <x:c r="AE479" s="8" t="n">
        <x:f>IF(H479=1,MAX(1,MIN(INDEX(v01_Smax,G479),AE478+AD479)),AE478)</x:f>
        <x:v>3</x:v>
      </x:c>
      <x:c r="AF479" s="8" t="n">
        <x:f>MAX(0,AE479-AE478)</x:f>
        <x:v>0</x:v>
      </x:c>
      <x:c r="AG479" s="9" t="str">
        <x:f>IF(AF479&gt;0,B479,"")</x:f>
      </x:c>
      <x:c r="AH479" s="9" t="n">
        <x:f>IF(F479&gt;=1,1,(1+v01_LowTiesShare*(AE479-1))/AE479)</x:f>
        <x:v>1</x:v>
      </x:c>
      <x:c r="AI479" s="32" t="n">
        <x:f>(Z479+v01_ElderCommons*INDEX(LM_Elder,G479)*AA479)*AH479</x:f>
        <x:v>51.079923572994595</x:v>
      </x:c>
      <x:c r="AJ479" s="32" t="n">
        <x:f>H479*v01_CommonsCoef*AI479^v01_CommonsExp*INDEX(LM_Commons,G479)</x:f>
        <x:v>18.687733774382426</x:v>
      </x:c>
      <x:c r="AK479" s="32" t="n">
        <x:f>H479*v01_RoleScale*Arch_Roles*(AE479*(INDEX(v01_ElderRolePerSett,G479)*v01_OutElder*INDEX(LM_Elder,G479)+INDEX(v01_ShamanPerSett,G479)*v01_OutShaman)+Z479*(INDEX(v01_PriestShare,G479)*v01_OutPriest+INDEX(v01_ScribeShare,G479)*v01_OutScribe*INDEX(LM_Scribe,G479)+INDEX(v01_ScholarShare,G479)*v01_OutScholar*INDEX(LM_Scholar,G479)+INDEX(v01_ResearcherShare,G479)*v01_OutResearcher*INDEX(LM_Researcher,G479)))</x:f>
        <x:v>4.087117307087383</x:v>
      </x:c>
      <x:c r="AL479" s="32" t="n">
        <x:f>H479*v01_RoleScale*Arch_Roles*AE479*INDEX(v01_MonasteryPerSett,G479)*v01_OutMonastery*INDEX(LM_Monastery,G479)</x:f>
        <x:v>0</x:v>
      </x:c>
      <x:c r="AM479" s="32" t="n">
        <x:f>(AJ479+AK479+AL479)/4*INDEX(LM_All,G479)*INDEX(v01_Boon,G479)*Arch_Insight</x:f>
        <x:v>5.836055589626638</x:v>
      </x:c>
      <x:c r="AN479" s="32" t="n">
        <x:f>H479*(v01_KHPerAdult*Z479+v01_KHOfCommons*AJ479/4*INDEX(LM_All,G479))*v01_KHUsable*Arch_KH</x:f>
        <x:v>1.0541853716339218</x:v>
      </x:c>
      <x:c r="AO479" s="32" t="n">
        <x:f>MIN(AP478+AN479,AM479*v01_KHMaxRatio)</x:f>
        <x:v>1.0541853716339218</x:v>
      </x:c>
      <x:c r="AP479" s="32" t="n">
        <x:f>AP478+AN479-AO479</x:f>
        <x:v>0</x:v>
      </x:c>
      <x:c r="AQ479" s="32" t="n">
        <x:f>AM479+AO479</x:f>
        <x:v>6.8902409612605595</x:v>
      </x:c>
      <x:c r="AR479" s="10" t="n">
        <x:f>IF(H479=1,INDEX(v01_Req,G479),0)</x:f>
        <x:v>1067.32</x:v>
      </x:c>
      <x:c r="AS479" s="32" t="n">
        <x:f>IF(H479=1,IF(E479=1,AS478-AR478,AS478)+AQ479,0)</x:f>
        <x:v>1013.4035504918209</x:v>
      </x:c>
      <x:c r="AT479" s="11" t="n">
        <x:f>IF(AR479&gt;0,MIN(1,AS479/AR479),1)</x:f>
        <x:v>0.9494842694710312</x:v>
      </x:c>
      <x:c r="AU479" s="10" t="n">
        <x:f>AB479/INDEX(v01_RepScale,G479)</x:f>
        <x:v>67.7904790578836</x:v>
      </x:c>
      <x:c r="AV479" s="32" t="n">
        <x:f>AM479*60/v01_SeasonSeconds</x:f>
        <x:v>23.344222358506553</x:v>
      </x:c>
    </x:row>
    <x:row r="480">
      <x:c r="A480" s="8" t="n">
        <x:f>A479+1</x:f>
        <x:v>477</x:v>
      </x:c>
      <x:c r="B480" s="9" t="n">
        <x:f>A480*v01_SeasonSeconds/60</x:f>
        <x:v>119.25</x:v>
      </x:c>
      <x:c r="C480" s="9" t="n">
        <x:f>A480/4</x:f>
        <x:v>119.25</x:v>
      </x:c>
      <x:c r="D480" s="8" t="n">
        <x:f>IF(MOD(A480,4)=0,1,0)</x:f>
        <x:v>0</x:v>
      </x:c>
      <x:c r="E480" s="8" t="n">
        <x:f>IF(AND(F479&lt;=9,AS479&gt;=AR479),1,0)</x:f>
        <x:v>0</x:v>
      </x:c>
      <x:c r="F480" s="8" t="n">
        <x:f>MIN(10,F479+E480)</x:f>
        <x:v>1</x:v>
      </x:c>
      <x:c r="G480" s="8" t="n">
        <x:f>MIN(F480,9)+1</x:f>
        <x:v>2</x:v>
      </x:c>
      <x:c r="H480" s="8" t="n">
        <x:f>IF(F480&lt;=9,1,0)</x:f>
        <x:v>1</x:v>
      </x:c>
      <x:c r="I480" s="9" t="n">
        <x:f>MIN(10,F479+IF(AR479&gt;0,MIN(1,AS479/AR479),1))</x:f>
        <x:v>1.9494842694710313</x:v>
      </x:c>
      <x:c r="J480" s="32" t="n">
        <x:f>INDEX(v01_FoodCap,G480)*Arch_FoodCap*EXP(v01_CapsByProject*SUMPRODUCT((Cap_Point&lt;=I480)*(Cap_Kind="Food")*Cap_Ln))</x:f>
        <x:v>30</x:v>
      </x:c>
      <x:c r="K480" s="32" t="n">
        <x:f>J480*MIN(1,v01_LeanBase*EXP(v01_CapsByProject*SUMPRODUCT((Cap_Point&lt;=I480)*(Cap_Kind="Lean")*Cap_Ln)))</x:f>
        <x:v>30</x:v>
      </x:c>
      <x:c r="L480" s="10" t="n">
        <x:f>INDEX(v01_HousingCap,G480)*EXP(v01_CapsByProject*SUMPRODUCT((Cap_Point&lt;=I480)*(Cap_Kind="Housing")*Cap_Ln))</x:f>
        <x:v>60</x:v>
      </x:c>
      <x:c r="M480" s="10" t="n">
        <x:f>INDEX(v01_GroupCap,G480)*v01_CohesionFactor*EXP(v01_CapsByProject*SUMPRODUCT((Cap_Point&lt;=I480)*(Cap_Kind="Group")*Cap_Ln))</x:f>
        <x:v>100</x:v>
      </x:c>
      <x:c r="N480" s="32" t="n">
        <x:f>MIN(J480,L480,M480)</x:f>
        <x:v>30</x:v>
      </x:c>
      <x:c r="O480" s="10" t="n">
        <x:f>AE479*N480</x:f>
        <x:v>90</x:v>
      </x:c>
      <x:c r="P480" s="9" t="n">
        <x:f>MIN(1,(AB479/(AE479*IF(v01_GroupInCrowding=1,N480,MIN(J480,L480))))^v01_CrowdingExp)</x:f>
        <x:v>0.18262370997696417</x:v>
      </x:c>
      <x:c r="Q480" s="9" t="n">
        <x:f>IF(D480=1,INDEX(v01_WinterMult,G480),1)</x:f>
        <x:v>1</x:v>
      </x:c>
      <x:c r="R480" s="9" t="n">
        <x:f>H480*Z479*v01_WomenShare*v01_BaseFertility*INDEX(v01_FertMult,G480)*Arch_Fertility*(1-P480)</x:f>
        <x:v>0.9232137086385966</x:v>
      </x:c>
      <x:c r="S480" s="9" t="n">
        <x:f>H480*Y479*INDEX(v01_MortChild,G480)/4*Q480</x:f>
        <x:v>0.2547463923860177</x:v>
      </x:c>
      <x:c r="T480" s="9" t="n">
        <x:f>H480*Z479*INDEX(v01_MortAdult,G480)*Arch_AdultMort/4*Q480</x:f>
        <x:v>0.0978886416517213</x:v>
      </x:c>
      <x:c r="U480" s="9" t="n">
        <x:f>H480*AA479*INDEX(v01_MortElder,G480)/4*Q480</x:f>
        <x:v>0.17114047191310464</x:v>
      </x:c>
      <x:c r="V480" s="9" t="n">
        <x:f>H480*MAX(0,AB479-O480)*v01_OvercapLoss</x:f>
        <x:v>0</x:v>
      </x:c>
      <x:c r="W480" s="9" t="n">
        <x:f>H480*Y479/(v01_ChildYears*4)</x:f>
        <x:v>0.5198905967061586</x:v>
      </x:c>
      <x:c r="X480" s="9" t="n">
        <x:f>H480*Z479/(v01_AdultYears*4)</x:f>
        <x:v>0.24289985521518936</x:v>
      </x:c>
      <x:c r="Y480" s="32" t="n">
        <x:f>Y479+R480-S480-W480-Y479*V480/AB479</x:f>
        <x:v>29.2624501350913</x:v>
      </x:c>
      <x:c r="Z480" s="32" t="n">
        <x:f>Z479+W480-X480-T480-Z479*V480/AB479</x:f>
        <x:v>30.298684146522728</x:v>
      </x:c>
      <x:c r="AA480" s="32" t="n">
        <x:f>AA479+X480-U480-AA479*V480/AB479</x:f>
        <x:v>8.628782978957314</x:v>
      </x:c>
      <x:c r="AB480" s="10" t="n">
        <x:f>Y480+Z480+AA480</x:f>
        <x:v>68.18991726057135</x:v>
      </x:c>
      <x:c r="AC480" s="8" t="n">
        <x:f>IF(AND(v01_WinterTrigger=1,D480=1,AB479/AE479&gt;=K480),1,0)</x:f>
        <x:v>0</x:v>
      </x:c>
      <x:c r="AD480" s="8" t="n">
        <x:f>H480*IF(AND(OR(AB479/AE479&gt;=v01_FissionTrigger*N480,AC480=1),AB479/AE479*v01_DaughterShare&gt;=v01_MinDaughter),MAX(1,ROUND(AE479*v01_FissionRate,0)),0)</x:f>
        <x:v>0</x:v>
      </x:c>
      <x:c r="AE480" s="8" t="n">
        <x:f>IF(H480=1,MAX(1,MIN(INDEX(v01_Smax,G480),AE479+AD480)),AE479)</x:f>
        <x:v>3</x:v>
      </x:c>
      <x:c r="AF480" s="8" t="n">
        <x:f>MAX(0,AE480-AE479)</x:f>
        <x:v>0</x:v>
      </x:c>
      <x:c r="AG480" s="9" t="str">
        <x:f>IF(AF480&gt;0,B480,"")</x:f>
      </x:c>
      <x:c r="AH480" s="9" t="n">
        <x:f>IF(F480&gt;=1,1,(1+v01_LowTiesShare*(AE480-1))/AE480)</x:f>
        <x:v>1</x:v>
      </x:c>
      <x:c r="AI480" s="32" t="n">
        <x:f>(Z480+v01_ElderCommons*INDEX(LM_Elder,G480)*AA480)*AH480</x:f>
        <x:v>51.43479954618074</x:v>
      </x:c>
      <x:c r="AJ480" s="32" t="n">
        <x:f>H480*v01_CommonsCoef*AI480^v01_CommonsExp*INDEX(LM_Commons,G480)</x:f>
        <x:v>18.798033941459103</x:v>
      </x:c>
      <x:c r="AK480" s="32" t="n">
        <x:f>H480*v01_RoleScale*Arch_Roles*(AE480*(INDEX(v01_ElderRolePerSett,G480)*v01_OutElder*INDEX(LM_Elder,G480)+INDEX(v01_ShamanPerSett,G480)*v01_OutShaman)+Z480*(INDEX(v01_PriestShare,G480)*v01_OutPriest+INDEX(v01_ScribeShare,G480)*v01_OutScribe*INDEX(LM_Scribe,G480)+INDEX(v01_ScholarShare,G480)*v01_OutScholar*INDEX(LM_Scholar,G480)+INDEX(v01_ResearcherShare,G480)*v01_OutResearcher*INDEX(LM_Researcher,G480)))</x:f>
        <x:v>4.087117307087383</x:v>
      </x:c>
      <x:c r="AL480" s="32" t="n">
        <x:f>H480*v01_RoleScale*Arch_Roles*AE480*INDEX(v01_MonasteryPerSett,G480)*v01_OutMonastery*INDEX(LM_Monastery,G480)</x:f>
        <x:v>0</x:v>
      </x:c>
      <x:c r="AM480" s="32" t="n">
        <x:f>(AJ480+AK480+AL480)/4*INDEX(LM_All,G480)*INDEX(v01_Boon,G480)*Arch_Insight</x:f>
        <x:v>5.864320007440036</x:v>
      </x:c>
      <x:c r="AN480" s="32" t="n">
        <x:f>H480*(v01_KHPerAdult*Z480+v01_KHOfCommons*AJ480/4*INDEX(LM_All,G480))*v01_KHUsable*Arch_KH</x:f>
        <x:v>1.0604539451282955</x:v>
      </x:c>
      <x:c r="AO480" s="32" t="n">
        <x:f>MIN(AP479+AN480,AM480*v01_KHMaxRatio)</x:f>
        <x:v>1.0604539451282955</x:v>
      </x:c>
      <x:c r="AP480" s="32" t="n">
        <x:f>AP479+AN480-AO480</x:f>
        <x:v>0</x:v>
      </x:c>
      <x:c r="AQ480" s="32" t="n">
        <x:f>AM480+AO480</x:f>
        <x:v>6.924773952568332</x:v>
      </x:c>
      <x:c r="AR480" s="10" t="n">
        <x:f>IF(H480=1,INDEX(v01_Req,G480),0)</x:f>
        <x:v>1067.32</x:v>
      </x:c>
      <x:c r="AS480" s="32" t="n">
        <x:f>IF(H480=1,IF(E480=1,AS479-AR479,AS479)+AQ480,0)</x:f>
        <x:v>1020.3283244443892</x:v>
      </x:c>
      <x:c r="AT480" s="11" t="n">
        <x:f>IF(AR480&gt;0,MIN(1,AS480/AR480),1)</x:f>
        <x:v>0.9559722711505352</x:v>
      </x:c>
      <x:c r="AU480" s="10" t="n">
        <x:f>AB480/INDEX(v01_RepScale,G480)</x:f>
        <x:v>68.18991726057135</x:v>
      </x:c>
      <x:c r="AV480" s="32" t="n">
        <x:f>AM480*60/v01_SeasonSeconds</x:f>
        <x:v>23.457280029760145</x:v>
      </x:c>
    </x:row>
    <x:row r="481">
      <x:c r="A481" s="8" t="n">
        <x:f>A480+1</x:f>
        <x:v>478</x:v>
      </x:c>
      <x:c r="B481" s="9" t="n">
        <x:f>A481*v01_SeasonSeconds/60</x:f>
        <x:v>119.5</x:v>
      </x:c>
      <x:c r="C481" s="9" t="n">
        <x:f>A481/4</x:f>
        <x:v>119.5</x:v>
      </x:c>
      <x:c r="D481" s="8" t="n">
        <x:f>IF(MOD(A481,4)=0,1,0)</x:f>
        <x:v>0</x:v>
      </x:c>
      <x:c r="E481" s="8" t="n">
        <x:f>IF(AND(F480&lt;=9,AS480&gt;=AR480),1,0)</x:f>
        <x:v>0</x:v>
      </x:c>
      <x:c r="F481" s="8" t="n">
        <x:f>MIN(10,F480+E481)</x:f>
        <x:v>1</x:v>
      </x:c>
      <x:c r="G481" s="8" t="n">
        <x:f>MIN(F481,9)+1</x:f>
        <x:v>2</x:v>
      </x:c>
      <x:c r="H481" s="8" t="n">
        <x:f>IF(F481&lt;=9,1,0)</x:f>
        <x:v>1</x:v>
      </x:c>
      <x:c r="I481" s="9" t="n">
        <x:f>MIN(10,F480+IF(AR480&gt;0,MIN(1,AS480/AR480),1))</x:f>
        <x:v>1.9559722711505352</x:v>
      </x:c>
      <x:c r="J481" s="32" t="n">
        <x:f>INDEX(v01_FoodCap,G481)*Arch_FoodCap*EXP(v01_CapsByProject*SUMPRODUCT((Cap_Point&lt;=I481)*(Cap_Kind="Food")*Cap_Ln))</x:f>
        <x:v>30</x:v>
      </x:c>
      <x:c r="K481" s="32" t="n">
        <x:f>J481*MIN(1,v01_LeanBase*EXP(v01_CapsByProject*SUMPRODUCT((Cap_Point&lt;=I481)*(Cap_Kind="Lean")*Cap_Ln)))</x:f>
        <x:v>30</x:v>
      </x:c>
      <x:c r="L481" s="10" t="n">
        <x:f>INDEX(v01_HousingCap,G481)*EXP(v01_CapsByProject*SUMPRODUCT((Cap_Point&lt;=I481)*(Cap_Kind="Housing")*Cap_Ln))</x:f>
        <x:v>60</x:v>
      </x:c>
      <x:c r="M481" s="10" t="n">
        <x:f>INDEX(v01_GroupCap,G481)*v01_CohesionFactor*EXP(v01_CapsByProject*SUMPRODUCT((Cap_Point&lt;=I481)*(Cap_Kind="Group")*Cap_Ln))</x:f>
        <x:v>100</x:v>
      </x:c>
      <x:c r="N481" s="32" t="n">
        <x:f>MIN(J481,L481,M481)</x:f>
        <x:v>30</x:v>
      </x:c>
      <x:c r="O481" s="10" t="n">
        <x:f>AE480*N481</x:f>
        <x:v>90</x:v>
      </x:c>
      <x:c r="P481" s="9" t="n">
        <x:f>MIN(1,(AB480/(AE480*IF(v01_GroupInCrowding=1,N481,MIN(J481,L481))))^v01_CrowdingExp)</x:f>
        <x:v>0.18917595030688464</x:v>
      </x:c>
      <x:c r="Q481" s="9" t="n">
        <x:f>IF(D481=1,INDEX(v01_WinterMult,G481),1)</x:f>
        <x:v>1</x:v>
      </x:c>
      <x:c r="R481" s="9" t="n">
        <x:f>H481*Z480*v01_WomenShare*v01_BaseFertility*INDEX(v01_FertMult,G481)*Arch_Fertility*(1-P481)</x:f>
        <x:v>0.9212588167521056</x:v>
      </x:c>
      <x:c r="S481" s="9" t="n">
        <x:f>H481*Y480*INDEX(v01_MortChild,G481)/4*Q481</x:f>
        <x:v>0.2560464386820489</x:v>
      </x:c>
      <x:c r="T481" s="9" t="n">
        <x:f>H481*Z480*INDEX(v01_MortAdult,G481)*Arch_AdultMort/4*Q481</x:f>
        <x:v>0.09847072347619885</x:v>
      </x:c>
      <x:c r="U481" s="9" t="n">
        <x:f>H481*AA480*INDEX(v01_MortElder,G481)/4*Q481</x:f>
        <x:v>0.1725756595791463</x:v>
      </x:c>
      <x:c r="V481" s="9" t="n">
        <x:f>H481*MAX(0,AB480-O481)*v01_OvercapLoss</x:f>
        <x:v>0</x:v>
      </x:c>
      <x:c r="W481" s="9" t="n">
        <x:f>H481*Y480/(v01_ChildYears*4)</x:f>
        <x:v>0.5225437524123446</x:v>
      </x:c>
      <x:c r="X481" s="9" t="n">
        <x:f>H481*Z480/(v01_AdultYears*4)</x:f>
        <x:v>0.24434422698808653</x:v>
      </x:c>
      <x:c r="Y481" s="32" t="n">
        <x:f>Y480+R481-S481-W481-Y480*V481/AB480</x:f>
        <x:v>29.405118760749012</x:v>
      </x:c>
      <x:c r="Z481" s="32" t="n">
        <x:f>Z480+W481-X481-T481-Z480*V481/AB480</x:f>
        <x:v>30.478412948470783</x:v>
      </x:c>
      <x:c r="AA481" s="32" t="n">
        <x:f>AA480+X481-U481-AA480*V481/AB480</x:f>
        <x:v>8.700551546366254</x:v>
      </x:c>
      <x:c r="AB481" s="10" t="n">
        <x:f>Y481+Z481+AA481</x:f>
        <x:v>68.58408325558605</x:v>
      </x:c>
      <x:c r="AC481" s="8" t="n">
        <x:f>IF(AND(v01_WinterTrigger=1,D481=1,AB480/AE480&gt;=K481),1,0)</x:f>
        <x:v>0</x:v>
      </x:c>
      <x:c r="AD481" s="8" t="n">
        <x:f>H481*IF(AND(OR(AB480/AE480&gt;=v01_FissionTrigger*N481,AC481=1),AB480/AE480*v01_DaughterShare&gt;=v01_MinDaughter),MAX(1,ROUND(AE480*v01_FissionRate,0)),0)</x:f>
        <x:v>0</x:v>
      </x:c>
      <x:c r="AE481" s="8" t="n">
        <x:f>IF(H481=1,MAX(1,MIN(INDEX(v01_Smax,G481),AE480+AD481)),AE480)</x:f>
        <x:v>3</x:v>
      </x:c>
      <x:c r="AF481" s="8" t="n">
        <x:f>MAX(0,AE481-AE480)</x:f>
        <x:v>0</x:v>
      </x:c>
      <x:c r="AG481" s="9" t="str">
        <x:f>IF(AF481&gt;0,B481,"")</x:f>
      </x:c>
      <x:c r="AH481" s="9" t="n">
        <x:f>IF(F481&gt;=1,1,(1+v01_LowTiesShare*(AE481-1))/AE481)</x:f>
        <x:v>1</x:v>
      </x:c>
      <x:c r="AI481" s="32" t="n">
        <x:f>(Z481+v01_ElderCommons*INDEX(LM_Elder,G481)*AA481)*AH481</x:f>
        <x:v>51.79032471785124</x:v>
      </x:c>
      <x:c r="AJ481" s="32" t="n">
        <x:f>H481*v01_CommonsCoef*AI481^v01_CommonsExp*INDEX(LM_Commons,G481)</x:f>
        <x:v>18.908421480498525</x:v>
      </x:c>
      <x:c r="AK481" s="32" t="n">
        <x:f>H481*v01_RoleScale*Arch_Roles*(AE481*(INDEX(v01_ElderRolePerSett,G481)*v01_OutElder*INDEX(LM_Elder,G481)+INDEX(v01_ShamanPerSett,G481)*v01_OutShaman)+Z481*(INDEX(v01_PriestShare,G481)*v01_OutPriest+INDEX(v01_ScribeShare,G481)*v01_OutScribe*INDEX(LM_Scribe,G481)+INDEX(v01_ScholarShare,G481)*v01_OutScholar*INDEX(LM_Scholar,G481)+INDEX(v01_ResearcherShare,G481)*v01_OutResearcher*INDEX(LM_Researcher,G481)))</x:f>
        <x:v>4.087117307087383</x:v>
      </x:c>
      <x:c r="AL481" s="32" t="n">
        <x:f>H481*v01_RoleScale*Arch_Roles*AE481*INDEX(v01_MonasteryPerSett,G481)*v01_OutMonastery*INDEX(LM_Monastery,G481)</x:f>
        <x:v>0</x:v>
      </x:c>
      <x:c r="AM481" s="32" t="n">
        <x:f>(AJ481+AK481+AL481)/4*INDEX(LM_All,G481)*INDEX(v01_Boon,G481)*Arch_Insight</x:f>
        <x:v>5.8926068143188886</x:v>
      </x:c>
      <x:c r="AN481" s="32" t="n">
        <x:f>H481*(v01_KHPerAdult*Z481+v01_KHOfCommons*AJ481/4*INDEX(LM_All,G481))*v01_KHUsable*Arch_KH</x:f>
        <x:v>1.0667444531964774</x:v>
      </x:c>
      <x:c r="AO481" s="32" t="n">
        <x:f>MIN(AP480+AN481,AM481*v01_KHMaxRatio)</x:f>
        <x:v>1.0667444531964774</x:v>
      </x:c>
      <x:c r="AP481" s="32" t="n">
        <x:f>AP480+AN481-AO481</x:f>
        <x:v>0</x:v>
      </x:c>
      <x:c r="AQ481" s="32" t="n">
        <x:f>AM481+AO481</x:f>
        <x:v>6.959351267515366</x:v>
      </x:c>
      <x:c r="AR481" s="10" t="n">
        <x:f>IF(H481=1,INDEX(v01_Req,G481),0)</x:f>
        <x:v>1067.32</x:v>
      </x:c>
      <x:c r="AS481" s="32" t="n">
        <x:f>IF(H481=1,IF(E481=1,AS480-AR480,AS480)+AQ481,0)</x:f>
        <x:v>1027.2876757119045</x:v>
      </x:c>
      <x:c r="AT481" s="11" t="n">
        <x:f>IF(AR481&gt;0,MIN(1,AS481/AR481),1)</x:f>
        <x:v>0.9624926692200133</x:v>
      </x:c>
      <x:c r="AU481" s="10" t="n">
        <x:f>AB481/INDEX(v01_RepScale,G481)</x:f>
        <x:v>68.58408325558605</x:v>
      </x:c>
      <x:c r="AV481" s="32" t="n">
        <x:f>AM481*60/v01_SeasonSeconds</x:f>
        <x:v>23.57042725727555</x:v>
      </x:c>
    </x:row>
    <x:row r="482">
      <x:c r="A482" s="8" t="n">
        <x:f>A481+1</x:f>
        <x:v>479</x:v>
      </x:c>
      <x:c r="B482" s="9" t="n">
        <x:f>A482*v01_SeasonSeconds/60</x:f>
        <x:v>119.75</x:v>
      </x:c>
      <x:c r="C482" s="9" t="n">
        <x:f>A482/4</x:f>
        <x:v>119.75</x:v>
      </x:c>
      <x:c r="D482" s="8" t="n">
        <x:f>IF(MOD(A482,4)=0,1,0)</x:f>
        <x:v>0</x:v>
      </x:c>
      <x:c r="E482" s="8" t="n">
        <x:f>IF(AND(F481&lt;=9,AS481&gt;=AR481),1,0)</x:f>
        <x:v>0</x:v>
      </x:c>
      <x:c r="F482" s="8" t="n">
        <x:f>MIN(10,F481+E482)</x:f>
        <x:v>1</x:v>
      </x:c>
      <x:c r="G482" s="8" t="n">
        <x:f>MIN(F482,9)+1</x:f>
        <x:v>2</x:v>
      </x:c>
      <x:c r="H482" s="8" t="n">
        <x:f>IF(F482&lt;=9,1,0)</x:f>
        <x:v>1</x:v>
      </x:c>
      <x:c r="I482" s="9" t="n">
        <x:f>MIN(10,F481+IF(AR481&gt;0,MIN(1,AS481/AR481),1))</x:f>
        <x:v>1.9624926692200133</x:v>
      </x:c>
      <x:c r="J482" s="32" t="n">
        <x:f>INDEX(v01_FoodCap,G482)*Arch_FoodCap*EXP(v01_CapsByProject*SUMPRODUCT((Cap_Point&lt;=I482)*(Cap_Kind="Food")*Cap_Ln))</x:f>
        <x:v>30</x:v>
      </x:c>
      <x:c r="K482" s="32" t="n">
        <x:f>J482*MIN(1,v01_LeanBase*EXP(v01_CapsByProject*SUMPRODUCT((Cap_Point&lt;=I482)*(Cap_Kind="Lean")*Cap_Ln)))</x:f>
        <x:v>30</x:v>
      </x:c>
      <x:c r="L482" s="10" t="n">
        <x:f>INDEX(v01_HousingCap,G482)*EXP(v01_CapsByProject*SUMPRODUCT((Cap_Point&lt;=I482)*(Cap_Kind="Housing")*Cap_Ln))</x:f>
        <x:v>60</x:v>
      </x:c>
      <x:c r="M482" s="10" t="n">
        <x:f>INDEX(v01_GroupCap,G482)*v01_CohesionFactor*EXP(v01_CapsByProject*SUMPRODUCT((Cap_Point&lt;=I482)*(Cap_Kind="Group")*Cap_Ln))</x:f>
        <x:v>100</x:v>
      </x:c>
      <x:c r="N482" s="32" t="n">
        <x:f>MIN(J482,L482,M482)</x:f>
        <x:v>30</x:v>
      </x:c>
      <x:c r="O482" s="10" t="n">
        <x:f>AE481*N482</x:f>
        <x:v>90</x:v>
      </x:c>
      <x:c r="P482" s="9" t="n">
        <x:f>MIN(1,(AB481/(AE481*IF(v01_GroupInCrowding=1,N482,MIN(J482,L482))))^v01_CrowdingExp)</x:f>
        <x:v>0.1958325914070574</x:v>
      </x:c>
      <x:c r="Q482" s="9" t="n">
        <x:f>IF(D482=1,INDEX(v01_WinterMult,G482),1)</x:f>
        <x:v>1</x:v>
      </x:c>
      <x:c r="R482" s="9" t="n">
        <x:f>H482*Z481*v01_WomenShare*v01_BaseFertility*INDEX(v01_FertMult,G482)*Arch_Fertility*(1-P482)</x:f>
        <x:v>0.9191154884549002</x:v>
      </x:c>
      <x:c r="S482" s="9" t="n">
        <x:f>H482*Y481*INDEX(v01_MortChild,G482)/4*Q482</x:f>
        <x:v>0.2572947891565539</x:v>
      </x:c>
      <x:c r="T482" s="9" t="n">
        <x:f>H482*Z481*INDEX(v01_MortAdult,G482)*Arch_AdultMort/4*Q482</x:f>
        <x:v>0.09905484208253004</x:v>
      </x:c>
      <x:c r="U482" s="9" t="n">
        <x:f>H482*AA481*INDEX(v01_MortElder,G482)/4*Q482</x:f>
        <x:v>0.1740110309273251</x:v>
      </x:c>
      <x:c r="V482" s="9" t="n">
        <x:f>H482*MAX(0,AB481-O482)*v01_OvercapLoss</x:f>
        <x:v>0</x:v>
      </x:c>
      <x:c r="W482" s="9" t="n">
        <x:f>H482*Y481/(v01_ChildYears*4)</x:f>
        <x:v>0.5250914064419466</x:v>
      </x:c>
      <x:c r="X482" s="9" t="n">
        <x:f>H482*Z481/(v01_AdultYears*4)</x:f>
        <x:v>0.24579365281024826</x:v>
      </x:c>
      <x:c r="Y482" s="32" t="n">
        <x:f>Y481+R482-S482-W482-Y481*V482/AB481</x:f>
        <x:v>29.54184805360541</x:v>
      </x:c>
      <x:c r="Z482" s="32" t="n">
        <x:f>Z481+W482-X482-T482-Z481*V482/AB481</x:f>
        <x:v>30.65865586001995</x:v>
      </x:c>
      <x:c r="AA482" s="32" t="n">
        <x:f>AA481+X482-U482-AA481*V482/AB481</x:f>
        <x:v>8.772334168249177</x:v>
      </x:c>
      <x:c r="AB482" s="10" t="n">
        <x:f>Y482+Z482+AA482</x:f>
        <x:v>68.97283808187454</x:v>
      </x:c>
      <x:c r="AC482" s="8" t="n">
        <x:f>IF(AND(v01_WinterTrigger=1,D482=1,AB481/AE481&gt;=K482),1,0)</x:f>
        <x:v>0</x:v>
      </x:c>
      <x:c r="AD482" s="8" t="n">
        <x:f>H482*IF(AND(OR(AB481/AE481&gt;=v01_FissionTrigger*N482,AC482=1),AB481/AE481*v01_DaughterShare&gt;=v01_MinDaughter),MAX(1,ROUND(AE481*v01_FissionRate,0)),0)</x:f>
        <x:v>0</x:v>
      </x:c>
      <x:c r="AE482" s="8" t="n">
        <x:f>IF(H482=1,MAX(1,MIN(INDEX(v01_Smax,G482),AE481+AD482)),AE481)</x:f>
        <x:v>3</x:v>
      </x:c>
      <x:c r="AF482" s="8" t="n">
        <x:f>MAX(0,AE482-AE481)</x:f>
        <x:v>0</x:v>
      </x:c>
      <x:c r="AG482" s="9" t="str">
        <x:f>IF(AF482&gt;0,B482,"")</x:f>
      </x:c>
      <x:c r="AH482" s="9" t="n">
        <x:f>IF(F482&gt;=1,1,(1+v01_LowTiesShare*(AE482-1))/AE482)</x:f>
        <x:v>1</x:v>
      </x:c>
      <x:c r="AI482" s="32" t="n">
        <x:f>(Z482+v01_ElderCommons*INDEX(LM_Elder,G482)*AA482)*AH482</x:f>
        <x:v>52.14639842541271</x:v>
      </x:c>
      <x:c r="AJ482" s="32" t="n">
        <x:f>H482*v01_CommonsCoef*AI482^v01_CommonsExp*INDEX(LM_Commons,G482)</x:f>
        <x:v>19.018865463558644</x:v>
      </x:c>
      <x:c r="AK482" s="32" t="n">
        <x:f>H482*v01_RoleScale*Arch_Roles*(AE482*(INDEX(v01_ElderRolePerSett,G482)*v01_OutElder*INDEX(LM_Elder,G482)+INDEX(v01_ShamanPerSett,G482)*v01_OutShaman)+Z482*(INDEX(v01_PriestShare,G482)*v01_OutPriest+INDEX(v01_ScribeShare,G482)*v01_OutScribe*INDEX(LM_Scribe,G482)+INDEX(v01_ScholarShare,G482)*v01_OutScholar*INDEX(LM_Scholar,G482)+INDEX(v01_ResearcherShare,G482)*v01_OutResearcher*INDEX(LM_Researcher,G482)))</x:f>
        <x:v>4.087117307087383</x:v>
      </x:c>
      <x:c r="AL482" s="32" t="n">
        <x:f>H482*v01_RoleScale*Arch_Roles*AE482*INDEX(v01_MonasteryPerSett,G482)*v01_OutMonastery*INDEX(LM_Monastery,G482)</x:f>
        <x:v>0</x:v>
      </x:c>
      <x:c r="AM482" s="32" t="n">
        <x:f>(AJ482+AK482+AL482)/4*INDEX(LM_All,G482)*INDEX(v01_Boon,G482)*Arch_Insight</x:f>
        <x:v>5.920908084978044</x:v>
      </x:c>
      <x:c r="AN482" s="32" t="n">
        <x:f>H482*(v01_KHPerAdult*Z482+v01_KHOfCommons*AJ482/4*INDEX(LM_All,G482))*v01_KHUsable*Arch_KH</x:f>
        <x:v>1.0730529551006984</x:v>
      </x:c>
      <x:c r="AO482" s="32" t="n">
        <x:f>MIN(AP481+AN482,AM482*v01_KHMaxRatio)</x:f>
        <x:v>1.0730529551006984</x:v>
      </x:c>
      <x:c r="AP482" s="32" t="n">
        <x:f>AP481+AN482-AO482</x:f>
        <x:v>0</x:v>
      </x:c>
      <x:c r="AQ482" s="32" t="n">
        <x:f>AM482+AO482</x:f>
        <x:v>6.993961040078743</x:v>
      </x:c>
      <x:c r="AR482" s="10" t="n">
        <x:f>IF(H482=1,INDEX(v01_Req,G482),0)</x:f>
        <x:v>1067.32</x:v>
      </x:c>
      <x:c r="AS482" s="32" t="n">
        <x:f>IF(H482=1,IF(E482=1,AS481-AR481,AS481)+AQ482,0)</x:f>
        <x:v>1034.2816367519833</x:v>
      </x:c>
      <x:c r="AT482" s="11" t="n">
        <x:f>IF(AR482&gt;0,MIN(1,AS482/AR482),1)</x:f>
        <x:v>0.9690454940898544</x:v>
      </x:c>
      <x:c r="AU482" s="10" t="n">
        <x:f>AB482/INDEX(v01_RepScale,G482)</x:f>
        <x:v>68.97283808187454</x:v>
      </x:c>
      <x:c r="AV482" s="32" t="n">
        <x:f>AM482*60/v01_SeasonSeconds</x:f>
        <x:v>23.683632339912176</x:v>
      </x:c>
    </x:row>
    <x:row r="483">
      <x:c r="A483" s="8" t="n">
        <x:f>A482+1</x:f>
        <x:v>480</x:v>
      </x:c>
      <x:c r="B483" s="9" t="n">
        <x:f>A483*v01_SeasonSeconds/60</x:f>
        <x:v>120</x:v>
      </x:c>
      <x:c r="C483" s="9" t="n">
        <x:f>A483/4</x:f>
        <x:v>120</x:v>
      </x:c>
      <x:c r="D483" s="8" t="n">
        <x:f>IF(MOD(A483,4)=0,1,0)</x:f>
        <x:v>1</x:v>
      </x:c>
      <x:c r="E483" s="8" t="n">
        <x:f>IF(AND(F482&lt;=9,AS482&gt;=AR482),1,0)</x:f>
        <x:v>0</x:v>
      </x:c>
      <x:c r="F483" s="8" t="n">
        <x:f>MIN(10,F482+E483)</x:f>
        <x:v>1</x:v>
      </x:c>
      <x:c r="G483" s="8" t="n">
        <x:f>MIN(F483,9)+1</x:f>
        <x:v>2</x:v>
      </x:c>
      <x:c r="H483" s="8" t="n">
        <x:f>IF(F483&lt;=9,1,0)</x:f>
        <x:v>1</x:v>
      </x:c>
      <x:c r="I483" s="9" t="n">
        <x:f>MIN(10,F482+IF(AR482&gt;0,MIN(1,AS482/AR482),1))</x:f>
        <x:v>1.9690454940898543</x:v>
      </x:c>
      <x:c r="J483" s="32" t="n">
        <x:f>INDEX(v01_FoodCap,G483)*Arch_FoodCap*EXP(v01_CapsByProject*SUMPRODUCT((Cap_Point&lt;=I483)*(Cap_Kind="Food")*Cap_Ln))</x:f>
        <x:v>30</x:v>
      </x:c>
      <x:c r="K483" s="32" t="n">
        <x:f>J483*MIN(1,v01_LeanBase*EXP(v01_CapsByProject*SUMPRODUCT((Cap_Point&lt;=I483)*(Cap_Kind="Lean")*Cap_Ln)))</x:f>
        <x:v>30</x:v>
      </x:c>
      <x:c r="L483" s="10" t="n">
        <x:f>INDEX(v01_HousingCap,G483)*EXP(v01_CapsByProject*SUMPRODUCT((Cap_Point&lt;=I483)*(Cap_Kind="Housing")*Cap_Ln))</x:f>
        <x:v>60</x:v>
      </x:c>
      <x:c r="M483" s="10" t="n">
        <x:f>INDEX(v01_GroupCap,G483)*v01_CohesionFactor*EXP(v01_CapsByProject*SUMPRODUCT((Cap_Point&lt;=I483)*(Cap_Kind="Group")*Cap_Ln))</x:f>
        <x:v>100</x:v>
      </x:c>
      <x:c r="N483" s="32" t="n">
        <x:f>MIN(J483,L483,M483)</x:f>
        <x:v>30</x:v>
      </x:c>
      <x:c r="O483" s="10" t="n">
        <x:f>AE482*N483</x:f>
        <x:v>90</x:v>
      </x:c>
      <x:c r="P483" s="9" t="n">
        <x:f>MIN(1,(AB482/(AE482*IF(v01_GroupInCrowding=1,N483,MIN(J483,L483))))^v01_CrowdingExp)</x:f>
        <x:v>0.20258790956560166</x:v>
      </x:c>
      <x:c r="Q483" s="9" t="n">
        <x:f>IF(D483=1,INDEX(v01_WinterMult,G483),1)</x:f>
        <x:v>1.6</x:v>
      </x:c>
      <x:c r="R483" s="9" t="n">
        <x:f>H483*Z482*v01_WomenShare*v01_BaseFertility*INDEX(v01_FertMult,G483)*Arch_Fertility*(1-P483)</x:f>
        <x:v>0.9167843572217745</x:v>
      </x:c>
      <x:c r="S483" s="9" t="n">
        <x:f>H483*Y482*INDEX(v01_MortChild,G483)/4*Q483</x:f>
        <x:v>0.41358587275047576</x:v>
      </x:c>
      <x:c r="T483" s="9" t="n">
        <x:f>H483*Z482*INDEX(v01_MortAdult,G483)*Arch_AdultMort/4*Q483</x:f>
        <x:v>0.15942501047210375</x:v>
      </x:c>
      <x:c r="U483" s="9" t="n">
        <x:f>H483*AA482*INDEX(v01_MortElder,G483)/4*Q483</x:f>
        <x:v>0.28071469338397365</x:v>
      </x:c>
      <x:c r="V483" s="9" t="n">
        <x:f>H483*MAX(0,AB482-O483)*v01_OvercapLoss</x:f>
        <x:v>0</x:v>
      </x:c>
      <x:c r="W483" s="9" t="n">
        <x:f>H483*Y482/(v01_ChildYears*4)</x:f>
        <x:v>0.5275330009572394</x:v>
      </x:c>
      <x:c r="X483" s="9" t="n">
        <x:f>H483*Z482/(v01_AdultYears*4)</x:f>
        <x:v>0.24724722467758026</x:v>
      </x:c>
      <x:c r="Y483" s="32" t="n">
        <x:f>Y482+R483-S483-W483-Y482*V483/AB482</x:f>
        <x:v>29.517513537119473</x:v>
      </x:c>
      <x:c r="Z483" s="32" t="n">
        <x:f>Z482+W483-X483-T483-Z482*V483/AB482</x:f>
        <x:v>30.779516625827508</x:v>
      </x:c>
      <x:c r="AA483" s="32" t="n">
        <x:f>AA482+X483-U483-AA482*V483/AB482</x:f>
        <x:v>8.738866699542783</x:v>
      </x:c>
      <x:c r="AB483" s="10" t="n">
        <x:f>Y483+Z483+AA483</x:f>
        <x:v>69.03589686248976</x:v>
      </x:c>
      <x:c r="AC483" s="8" t="n">
        <x:f>IF(AND(v01_WinterTrigger=1,D483=1,AB482/AE482&gt;=K483),1,0)</x:f>
        <x:v>0</x:v>
      </x:c>
      <x:c r="AD483" s="8" t="n">
        <x:f>H483*IF(AND(OR(AB482/AE482&gt;=v01_FissionTrigger*N483,AC483=1),AB482/AE482*v01_DaughterShare&gt;=v01_MinDaughter),MAX(1,ROUND(AE482*v01_FissionRate,0)),0)</x:f>
        <x:v>0</x:v>
      </x:c>
      <x:c r="AE483" s="8" t="n">
        <x:f>IF(H483=1,MAX(1,MIN(INDEX(v01_Smax,G483),AE482+AD483)),AE482)</x:f>
        <x:v>3</x:v>
      </x:c>
      <x:c r="AF483" s="8" t="n">
        <x:f>MAX(0,AE483-AE482)</x:f>
        <x:v>0</x:v>
      </x:c>
      <x:c r="AG483" s="9" t="str">
        <x:f>IF(AF483&gt;0,B483,"")</x:f>
      </x:c>
      <x:c r="AH483" s="9" t="n">
        <x:f>IF(F483&gt;=1,1,(1+v01_LowTiesShare*(AE483-1))/AE483)</x:f>
        <x:v>1</x:v>
      </x:c>
      <x:c r="AI483" s="32" t="n">
        <x:f>(Z483+v01_ElderCommons*INDEX(LM_Elder,G483)*AA483)*AH483</x:f>
        <x:v>52.18528096990704</x:v>
      </x:c>
      <x:c r="AJ483" s="32" t="n">
        <x:f>H483*v01_CommonsCoef*AI483^v01_CommonsExp*INDEX(LM_Commons,G483)</x:f>
        <x:v>19.030918864699757</x:v>
      </x:c>
      <x:c r="AK483" s="32" t="n">
        <x:f>H483*v01_RoleScale*Arch_Roles*(AE483*(INDEX(v01_ElderRolePerSett,G483)*v01_OutElder*INDEX(LM_Elder,G483)+INDEX(v01_ShamanPerSett,G483)*v01_OutShaman)+Z483*(INDEX(v01_PriestShare,G483)*v01_OutPriest+INDEX(v01_ScribeShare,G483)*v01_OutScribe*INDEX(LM_Scribe,G483)+INDEX(v01_ScholarShare,G483)*v01_OutScholar*INDEX(LM_Scholar,G483)+INDEX(v01_ResearcherShare,G483)*v01_OutResearcher*INDEX(LM_Researcher,G483)))</x:f>
        <x:v>4.087117307087383</x:v>
      </x:c>
      <x:c r="AL483" s="32" t="n">
        <x:f>H483*v01_RoleScale*Arch_Roles*AE483*INDEX(v01_MonasteryPerSett,G483)*v01_OutMonastery*INDEX(LM_Monastery,G483)</x:f>
        <x:v>0</x:v>
      </x:c>
      <x:c r="AM483" s="32" t="n">
        <x:f>(AJ483+AK483+AL483)/4*INDEX(LM_All,G483)*INDEX(v01_Boon,G483)*Arch_Insight</x:f>
        <x:v>5.923996769020454</x:v>
      </x:c>
      <x:c r="AN483" s="32" t="n">
        <x:f>H483*(v01_KHPerAdult*Z483+v01_KHOfCommons*AJ483/4*INDEX(LM_All,G483))*v01_KHUsable*Arch_KH</x:f>
        <x:v>1.0772830819039627</x:v>
      </x:c>
      <x:c r="AO483" s="32" t="n">
        <x:f>MIN(AP482+AN483,AM483*v01_KHMaxRatio)</x:f>
        <x:v>1.0772830819039627</x:v>
      </x:c>
      <x:c r="AP483" s="32" t="n">
        <x:f>AP482+AN483-AO483</x:f>
        <x:v>0</x:v>
      </x:c>
      <x:c r="AQ483" s="32" t="n">
        <x:f>AM483+AO483</x:f>
        <x:v>7.001279850924417</x:v>
      </x:c>
      <x:c r="AR483" s="10" t="n">
        <x:f>IF(H483=1,INDEX(v01_Req,G483),0)</x:f>
        <x:v>1067.32</x:v>
      </x:c>
      <x:c r="AS483" s="32" t="n">
        <x:f>IF(H483=1,IF(E483=1,AS482-AR482,AS482)+AQ483,0)</x:f>
        <x:v>1041.2829166029078</x:v>
      </x:c>
      <x:c r="AT483" s="11" t="n">
        <x:f>IF(AR483&gt;0,MIN(1,AS483/AR483),1)</x:f>
        <x:v>0.9756051761448374</x:v>
      </x:c>
      <x:c r="AU483" s="10" t="n">
        <x:f>AB483/INDEX(v01_RepScale,G483)</x:f>
        <x:v>69.03589686248976</x:v>
      </x:c>
      <x:c r="AV483" s="32" t="n">
        <x:f>AM483*60/v01_SeasonSeconds</x:f>
        <x:v>23.695987076081817</x:v>
      </x:c>
    </x:row>
    <x:row r="484">
      <x:c r="A484" s="8" t="n">
        <x:f>A483+1</x:f>
        <x:v>481</x:v>
      </x:c>
      <x:c r="B484" s="9" t="n">
        <x:f>A484*v01_SeasonSeconds/60</x:f>
        <x:v>120.25</x:v>
      </x:c>
      <x:c r="C484" s="9" t="n">
        <x:f>A484/4</x:f>
        <x:v>120.25</x:v>
      </x:c>
      <x:c r="D484" s="8" t="n">
        <x:f>IF(MOD(A484,4)=0,1,0)</x:f>
        <x:v>0</x:v>
      </x:c>
      <x:c r="E484" s="8" t="n">
        <x:f>IF(AND(F483&lt;=9,AS483&gt;=AR483),1,0)</x:f>
        <x:v>0</x:v>
      </x:c>
      <x:c r="F484" s="8" t="n">
        <x:f>MIN(10,F483+E484)</x:f>
        <x:v>1</x:v>
      </x:c>
      <x:c r="G484" s="8" t="n">
        <x:f>MIN(F484,9)+1</x:f>
        <x:v>2</x:v>
      </x:c>
      <x:c r="H484" s="8" t="n">
        <x:f>IF(F484&lt;=9,1,0)</x:f>
        <x:v>1</x:v>
      </x:c>
      <x:c r="I484" s="9" t="n">
        <x:f>MIN(10,F483+IF(AR483&gt;0,MIN(1,AS483/AR483),1))</x:f>
        <x:v>1.9756051761448374</x:v>
      </x:c>
      <x:c r="J484" s="32" t="n">
        <x:f>INDEX(v01_FoodCap,G484)*Arch_FoodCap*EXP(v01_CapsByProject*SUMPRODUCT((Cap_Point&lt;=I484)*(Cap_Kind="Food")*Cap_Ln))</x:f>
        <x:v>30</x:v>
      </x:c>
      <x:c r="K484" s="32" t="n">
        <x:f>J484*MIN(1,v01_LeanBase*EXP(v01_CapsByProject*SUMPRODUCT((Cap_Point&lt;=I484)*(Cap_Kind="Lean")*Cap_Ln)))</x:f>
        <x:v>30</x:v>
      </x:c>
      <x:c r="L484" s="10" t="n">
        <x:f>INDEX(v01_HousingCap,G484)*EXP(v01_CapsByProject*SUMPRODUCT((Cap_Point&lt;=I484)*(Cap_Kind="Housing")*Cap_Ln))</x:f>
        <x:v>60</x:v>
      </x:c>
      <x:c r="M484" s="10" t="n">
        <x:f>INDEX(v01_GroupCap,G484)*v01_CohesionFactor*EXP(v01_CapsByProject*SUMPRODUCT((Cap_Point&lt;=I484)*(Cap_Kind="Group")*Cap_Ln))</x:f>
        <x:v>100</x:v>
      </x:c>
      <x:c r="N484" s="32" t="n">
        <x:f>MIN(J484,L484,M484)</x:f>
        <x:v>30</x:v>
      </x:c>
      <x:c r="O484" s="10" t="n">
        <x:f>AE483*N484</x:f>
        <x:v>90</x:v>
      </x:c>
      <x:c r="P484" s="9" t="n">
        <x:f>MIN(1,(AB483/(AE483*IF(v01_GroupInCrowding=1,N484,MIN(J484,L484))))^v01_CrowdingExp)</x:f>
        <x:v>0.2037017550813927</x:v>
      </x:c>
      <x:c r="Q484" s="9" t="n">
        <x:f>IF(D484=1,INDEX(v01_WinterMult,G484),1)</x:f>
        <x:v>1</x:v>
      </x:c>
      <x:c r="R484" s="9" t="n">
        <x:f>H484*Z483*v01_WomenShare*v01_BaseFertility*INDEX(v01_FertMult,G484)*Arch_Fertility*(1-P484)</x:f>
        <x:v>0.9191128150721077</x:v>
      </x:c>
      <x:c r="S484" s="9" t="n">
        <x:f>H484*Y483*INDEX(v01_MortChild,G484)/4*Q484</x:f>
        <x:v>0.25827824344979544</x:v>
      </x:c>
      <x:c r="T484" s="9" t="n">
        <x:f>H484*Z483*INDEX(v01_MortAdult,G484)*Arch_AdultMort/4*Q484</x:f>
        <x:v>0.1000334290339394</x:v>
      </x:c>
      <x:c r="U484" s="9" t="n">
        <x:f>H484*AA483*INDEX(v01_MortElder,G484)/4*Q484</x:f>
        <x:v>0.17477733399085565</x:v>
      </x:c>
      <x:c r="V484" s="9" t="n">
        <x:f>H484*MAX(0,AB483-O484)*v01_OvercapLoss</x:f>
        <x:v>0</x:v>
      </x:c>
      <x:c r="W484" s="9" t="n">
        <x:f>H484*Y483/(v01_ChildYears*4)</x:f>
        <x:v>0.5270984560199906</x:v>
      </x:c>
      <x:c r="X484" s="9" t="n">
        <x:f>H484*Z483/(v01_AdultYears*4)</x:f>
        <x:v>0.2482219082728025</x:v>
      </x:c>
      <x:c r="Y484" s="32" t="n">
        <x:f>Y483+R484-S484-W484-Y483*V484/AB483</x:f>
        <x:v>29.651249652721795</x:v>
      </x:c>
      <x:c r="Z484" s="32" t="n">
        <x:f>Z483+W484-X484-T484-Z483*V484/AB483</x:f>
        <x:v>30.958359744540758</x:v>
      </x:c>
      <x:c r="AA484" s="32" t="n">
        <x:f>AA483+X484-U484-AA483*V484/AB483</x:f>
        <x:v>8.81231127382473</x:v>
      </x:c>
      <x:c r="AB484" s="10" t="n">
        <x:f>Y484+Z484+AA484</x:f>
        <x:v>69.42192067108728</x:v>
      </x:c>
      <x:c r="AC484" s="8" t="n">
        <x:f>IF(AND(v01_WinterTrigger=1,D484=1,AB483/AE483&gt;=K484),1,0)</x:f>
        <x:v>0</x:v>
      </x:c>
      <x:c r="AD484" s="8" t="n">
        <x:f>H484*IF(AND(OR(AB483/AE483&gt;=v01_FissionTrigger*N484,AC484=1),AB483/AE483*v01_DaughterShare&gt;=v01_MinDaughter),MAX(1,ROUND(AE483*v01_FissionRate,0)),0)</x:f>
        <x:v>0</x:v>
      </x:c>
      <x:c r="AE484" s="8" t="n">
        <x:f>IF(H484=1,MAX(1,MIN(INDEX(v01_Smax,G484),AE483+AD484)),AE483)</x:f>
        <x:v>3</x:v>
      </x:c>
      <x:c r="AF484" s="8" t="n">
        <x:f>MAX(0,AE484-AE483)</x:f>
        <x:v>0</x:v>
      </x:c>
      <x:c r="AG484" s="9" t="str">
        <x:f>IF(AF484&gt;0,B484,"")</x:f>
      </x:c>
      <x:c r="AH484" s="9" t="n">
        <x:f>IF(F484&gt;=1,1,(1+v01_LowTiesShare*(AE484-1))/AE484)</x:f>
        <x:v>1</x:v>
      </x:c>
      <x:c r="AI484" s="32" t="n">
        <x:f>(Z484+v01_ElderCommons*INDEX(LM_Elder,G484)*AA484)*AH484</x:f>
        <x:v>52.54402581998699</x:v>
      </x:c>
      <x:c r="AJ484" s="32" t="n">
        <x:f>H484*v01_CommonsCoef*AI484^v01_CommonsExp*INDEX(LM_Commons,G484)</x:f>
        <x:v>19.142064637049987</x:v>
      </x:c>
      <x:c r="AK484" s="32" t="n">
        <x:f>H484*v01_RoleScale*Arch_Roles*(AE484*(INDEX(v01_ElderRolePerSett,G484)*v01_OutElder*INDEX(LM_Elder,G484)+INDEX(v01_ShamanPerSett,G484)*v01_OutShaman)+Z484*(INDEX(v01_PriestShare,G484)*v01_OutPriest+INDEX(v01_ScribeShare,G484)*v01_OutScribe*INDEX(LM_Scribe,G484)+INDEX(v01_ScholarShare,G484)*v01_OutScholar*INDEX(LM_Scholar,G484)+INDEX(v01_ResearcherShare,G484)*v01_OutResearcher*INDEX(LM_Researcher,G484)))</x:f>
        <x:v>4.087117307087383</x:v>
      </x:c>
      <x:c r="AL484" s="32" t="n">
        <x:f>H484*v01_RoleScale*Arch_Roles*AE484*INDEX(v01_MonasteryPerSett,G484)*v01_OutMonastery*INDEX(LM_Monastery,G484)</x:f>
        <x:v>0</x:v>
      </x:c>
      <x:c r="AM484" s="32" t="n">
        <x:f>(AJ484+AK484+AL484)/4*INDEX(LM_All,G484)*INDEX(v01_Boon,G484)*Arch_Insight</x:f>
        <x:v>5.952477873185201</x:v>
      </x:c>
      <x:c r="AN484" s="32" t="n">
        <x:f>H484*(v01_KHPerAdult*Z484+v01_KHOfCommons*AJ484/4*INDEX(LM_All,G484))*v01_KHUsable*Arch_KH</x:f>
        <x:v>1.0835425910589265</x:v>
      </x:c>
      <x:c r="AO484" s="32" t="n">
        <x:f>MIN(AP483+AN484,AM484*v01_KHMaxRatio)</x:f>
        <x:v>1.0835425910589265</x:v>
      </x:c>
      <x:c r="AP484" s="32" t="n">
        <x:f>AP483+AN484-AO484</x:f>
        <x:v>0</x:v>
      </x:c>
      <x:c r="AQ484" s="32" t="n">
        <x:f>AM484+AO484</x:f>
        <x:v>7.036020464244127</x:v>
      </x:c>
      <x:c r="AR484" s="10" t="n">
        <x:f>IF(H484=1,INDEX(v01_Req,G484),0)</x:f>
        <x:v>1067.32</x:v>
      </x:c>
      <x:c r="AS484" s="32" t="n">
        <x:f>IF(H484=1,IF(E484=1,AS483-AR483,AS483)+AQ484,0)</x:f>
        <x:v>1048.3189370671519</x:v>
      </x:c>
      <x:c r="AT484" s="11" t="n">
        <x:f>IF(AR484&gt;0,MIN(1,AS484/AR484),1)</x:f>
        <x:v>0.9821974075883071</x:v>
      </x:c>
      <x:c r="AU484" s="10" t="n">
        <x:f>AB484/INDEX(v01_RepScale,G484)</x:f>
        <x:v>69.42192067108728</x:v>
      </x:c>
      <x:c r="AV484" s="32" t="n">
        <x:f>AM484*60/v01_SeasonSeconds</x:f>
        <x:v>23.809911492740802</x:v>
      </x:c>
    </x:row>
    <x:row r="485">
      <x:c r="A485" s="8" t="n">
        <x:f>A484+1</x:f>
        <x:v>482</x:v>
      </x:c>
      <x:c r="B485" s="9" t="n">
        <x:f>A485*v01_SeasonSeconds/60</x:f>
        <x:v>120.5</x:v>
      </x:c>
      <x:c r="C485" s="9" t="n">
        <x:f>A485/4</x:f>
        <x:v>120.5</x:v>
      </x:c>
      <x:c r="D485" s="8" t="n">
        <x:f>IF(MOD(A485,4)=0,1,0)</x:f>
        <x:v>0</x:v>
      </x:c>
      <x:c r="E485" s="8" t="n">
        <x:f>IF(AND(F484&lt;=9,AS484&gt;=AR484),1,0)</x:f>
        <x:v>0</x:v>
      </x:c>
      <x:c r="F485" s="8" t="n">
        <x:f>MIN(10,F484+E485)</x:f>
        <x:v>1</x:v>
      </x:c>
      <x:c r="G485" s="8" t="n">
        <x:f>MIN(F485,9)+1</x:f>
        <x:v>2</x:v>
      </x:c>
      <x:c r="H485" s="8" t="n">
        <x:f>IF(F485&lt;=9,1,0)</x:f>
        <x:v>1</x:v>
      </x:c>
      <x:c r="I485" s="9" t="n">
        <x:f>MIN(10,F484+IF(AR484&gt;0,MIN(1,AS484/AR484),1))</x:f>
        <x:v>1.982197407588307</x:v>
      </x:c>
      <x:c r="J485" s="32" t="n">
        <x:f>INDEX(v01_FoodCap,G485)*Arch_FoodCap*EXP(v01_CapsByProject*SUMPRODUCT((Cap_Point&lt;=I485)*(Cap_Kind="Food")*Cap_Ln))</x:f>
        <x:v>30</x:v>
      </x:c>
      <x:c r="K485" s="32" t="n">
        <x:f>J485*MIN(1,v01_LeanBase*EXP(v01_CapsByProject*SUMPRODUCT((Cap_Point&lt;=I485)*(Cap_Kind="Lean")*Cap_Ln)))</x:f>
        <x:v>30</x:v>
      </x:c>
      <x:c r="L485" s="10" t="n">
        <x:f>INDEX(v01_HousingCap,G485)*EXP(v01_CapsByProject*SUMPRODUCT((Cap_Point&lt;=I485)*(Cap_Kind="Housing")*Cap_Ln))</x:f>
        <x:v>60</x:v>
      </x:c>
      <x:c r="M485" s="10" t="n">
        <x:f>INDEX(v01_GroupCap,G485)*v01_CohesionFactor*EXP(v01_CapsByProject*SUMPRODUCT((Cap_Point&lt;=I485)*(Cap_Kind="Group")*Cap_Ln))</x:f>
        <x:v>100</x:v>
      </x:c>
      <x:c r="N485" s="32" t="n">
        <x:f>MIN(J485,L485,M485)</x:f>
        <x:v>30</x:v>
      </x:c>
      <x:c r="O485" s="10" t="n">
        <x:f>AE484*N485</x:f>
        <x:v>90</x:v>
      </x:c>
      <x:c r="P485" s="9" t="n">
        <x:f>MIN(1,(AB484/(AE484*IF(v01_GroupInCrowding=1,N485,MIN(J485,L485))))^v01_CrowdingExp)</x:f>
        <x:v>0.21063216571389184</x:v>
      </x:c>
      <x:c r="Q485" s="9" t="n">
        <x:f>IF(D485=1,INDEX(v01_WinterMult,G485),1)</x:f>
        <x:v>1</x:v>
      </x:c>
      <x:c r="R485" s="9" t="n">
        <x:f>H485*Z484*v01_WomenShare*v01_BaseFertility*INDEX(v01_FertMult,G485)*Arch_Fertility*(1-P485)</x:f>
        <x:v>0.9164075019224388</x:v>
      </x:c>
      <x:c r="S485" s="9" t="n">
        <x:f>H485*Y484*INDEX(v01_MortChild,G485)/4*Q485</x:f>
        <x:v>0.2594484344613157</x:v>
      </x:c>
      <x:c r="T485" s="9" t="n">
        <x:f>H485*Z484*INDEX(v01_MortAdult,G485)*Arch_AdultMort/4*Q485</x:f>
        <x:v>0.10061466916975746</x:v>
      </x:c>
      <x:c r="U485" s="9" t="n">
        <x:f>H485*AA484*INDEX(v01_MortElder,G485)/4*Q485</x:f>
        <x:v>0.1762462254764946</x:v>
      </x:c>
      <x:c r="V485" s="9" t="n">
        <x:f>H485*MAX(0,AB484-O485)*v01_OvercapLoss</x:f>
        <x:v>0</x:v>
      </x:c>
      <x:c r="W485" s="9" t="n">
        <x:f>H485*Y484/(v01_ChildYears*4)</x:f>
        <x:v>0.5294866009414606</x:v>
      </x:c>
      <x:c r="X485" s="9" t="n">
        <x:f>H485*Z484/(v01_AdultYears*4)</x:f>
        <x:v>0.2496641914882319</x:v>
      </x:c>
      <x:c r="Y485" s="32" t="n">
        <x:f>Y484+R485-S485-W485-Y484*V485/AB484</x:f>
        <x:v>29.778722119241458</x:v>
      </x:c>
      <x:c r="Z485" s="32" t="n">
        <x:f>Z484+W485-X485-T485-Z484*V485/AB484</x:f>
        <x:v>31.137567484824228</x:v>
      </x:c>
      <x:c r="AA485" s="32" t="n">
        <x:f>AA484+X485-U485-AA484*V485/AB484</x:f>
        <x:v>8.885729239836467</x:v>
      </x:c>
      <x:c r="AB485" s="10" t="n">
        <x:f>Y485+Z485+AA485</x:f>
        <x:v>69.80201884390215</x:v>
      </x:c>
      <x:c r="AC485" s="8" t="n">
        <x:f>IF(AND(v01_WinterTrigger=1,D485=1,AB484/AE484&gt;=K485),1,0)</x:f>
        <x:v>0</x:v>
      </x:c>
      <x:c r="AD485" s="8" t="n">
        <x:f>H485*IF(AND(OR(AB484/AE484&gt;=v01_FissionTrigger*N485,AC485=1),AB484/AE484*v01_DaughterShare&gt;=v01_MinDaughter),MAX(1,ROUND(AE484*v01_FissionRate,0)),0)</x:f>
        <x:v>0</x:v>
      </x:c>
      <x:c r="AE485" s="8" t="n">
        <x:f>IF(H485=1,MAX(1,MIN(INDEX(v01_Smax,G485),AE484+AD485)),AE484)</x:f>
        <x:v>3</x:v>
      </x:c>
      <x:c r="AF485" s="8" t="n">
        <x:f>MAX(0,AE485-AE484)</x:f>
        <x:v>0</x:v>
      </x:c>
      <x:c r="AG485" s="9" t="str">
        <x:f>IF(AF485&gt;0,B485,"")</x:f>
      </x:c>
      <x:c r="AH485" s="9" t="n">
        <x:f>IF(F485&gt;=1,1,(1+v01_LowTiesShare*(AE485-1))/AE485)</x:f>
        <x:v>1</x:v>
      </x:c>
      <x:c r="AI485" s="32" t="n">
        <x:f>(Z485+v01_ElderCommons*INDEX(LM_Elder,G485)*AA485)*AH485</x:f>
        <x:v>52.903070114952214</x:v>
      </x:c>
      <x:c r="AJ485" s="32" t="n">
        <x:f>H485*v01_CommonsCoef*AI485^v01_CommonsExp*INDEX(LM_Commons,G485)</x:f>
        <x:v>19.253189270701917</x:v>
      </x:c>
      <x:c r="AK485" s="32" t="n">
        <x:f>H485*v01_RoleScale*Arch_Roles*(AE485*(INDEX(v01_ElderRolePerSett,G485)*v01_OutElder*INDEX(LM_Elder,G485)+INDEX(v01_ShamanPerSett,G485)*v01_OutShaman)+Z485*(INDEX(v01_PriestShare,G485)*v01_OutPriest+INDEX(v01_ScribeShare,G485)*v01_OutScribe*INDEX(LM_Scribe,G485)+INDEX(v01_ScholarShare,G485)*v01_OutScholar*INDEX(LM_Scholar,G485)+INDEX(v01_ResearcherShare,G485)*v01_OutResearcher*INDEX(LM_Researcher,G485)))</x:f>
        <x:v>4.087117307087383</x:v>
      </x:c>
      <x:c r="AL485" s="32" t="n">
        <x:f>H485*v01_RoleScale*Arch_Roles*AE485*INDEX(v01_MonasteryPerSett,G485)*v01_OutMonastery*INDEX(LM_Monastery,G485)</x:f>
        <x:v>0</x:v>
      </x:c>
      <x:c r="AM485" s="32" t="n">
        <x:f>(AJ485+AK485+AL485)/4*INDEX(LM_All,G485)*INDEX(v01_Boon,G485)*Arch_Insight</x:f>
        <x:v>5.980953560558508</x:v>
      </x:c>
      <x:c r="AN485" s="32" t="n">
        <x:f>H485*(v01_KHPerAdult*Z485+v01_KHOfCommons*AJ485/4*INDEX(LM_All,G485))*v01_KHUsable*Arch_KH</x:f>
        <x:v>1.089814861968848</x:v>
      </x:c>
      <x:c r="AO485" s="32" t="n">
        <x:f>MIN(AP484+AN485,AM485*v01_KHMaxRatio)</x:f>
        <x:v>1.089814861968848</x:v>
      </x:c>
      <x:c r="AP485" s="32" t="n">
        <x:f>AP484+AN485-AO485</x:f>
        <x:v>0</x:v>
      </x:c>
      <x:c r="AQ485" s="32" t="n">
        <x:f>AM485+AO485</x:f>
        <x:v>7.0707684225273555</x:v>
      </x:c>
      <x:c r="AR485" s="10" t="n">
        <x:f>IF(H485=1,INDEX(v01_Req,G485),0)</x:f>
        <x:v>1067.32</x:v>
      </x:c>
      <x:c r="AS485" s="32" t="n">
        <x:f>IF(H485=1,IF(E485=1,AS484-AR484,AS484)+AQ485,0)</x:f>
        <x:v>1055.3897054896793</x:v>
      </x:c>
      <x:c r="AT485" s="11" t="n">
        <x:f>IF(AR485&gt;0,MIN(1,AS485/AR485),1)</x:f>
        <x:v>0.9888221953019519</x:v>
      </x:c>
      <x:c r="AU485" s="10" t="n">
        <x:f>AB485/INDEX(v01_RepScale,G485)</x:f>
        <x:v>69.80201884390215</x:v>
      </x:c>
      <x:c r="AV485" s="32" t="n">
        <x:f>AM485*60/v01_SeasonSeconds</x:f>
        <x:v>23.92381424223403</x:v>
      </x:c>
    </x:row>
    <x:row r="486">
      <x:c r="A486" s="8" t="n">
        <x:f>A485+1</x:f>
        <x:v>483</x:v>
      </x:c>
      <x:c r="B486" s="9" t="n">
        <x:f>A486*v01_SeasonSeconds/60</x:f>
        <x:v>120.75</x:v>
      </x:c>
      <x:c r="C486" s="9" t="n">
        <x:f>A486/4</x:f>
        <x:v>120.75</x:v>
      </x:c>
      <x:c r="D486" s="8" t="n">
        <x:f>IF(MOD(A486,4)=0,1,0)</x:f>
        <x:v>0</x:v>
      </x:c>
      <x:c r="E486" s="8" t="n">
        <x:f>IF(AND(F485&lt;=9,AS485&gt;=AR485),1,0)</x:f>
        <x:v>0</x:v>
      </x:c>
      <x:c r="F486" s="8" t="n">
        <x:f>MIN(10,F485+E486)</x:f>
        <x:v>1</x:v>
      </x:c>
      <x:c r="G486" s="8" t="n">
        <x:f>MIN(F486,9)+1</x:f>
        <x:v>2</x:v>
      </x:c>
      <x:c r="H486" s="8" t="n">
        <x:f>IF(F486&lt;=9,1,0)</x:f>
        <x:v>1</x:v>
      </x:c>
      <x:c r="I486" s="9" t="n">
        <x:f>MIN(10,F485+IF(AR485&gt;0,MIN(1,AS485/AR485),1))</x:f>
        <x:v>1.9888221953019518</x:v>
      </x:c>
      <x:c r="J486" s="32" t="n">
        <x:f>INDEX(v01_FoodCap,G486)*Arch_FoodCap*EXP(v01_CapsByProject*SUMPRODUCT((Cap_Point&lt;=I486)*(Cap_Kind="Food")*Cap_Ln))</x:f>
        <x:v>30</x:v>
      </x:c>
      <x:c r="K486" s="32" t="n">
        <x:f>J486*MIN(1,v01_LeanBase*EXP(v01_CapsByProject*SUMPRODUCT((Cap_Point&lt;=I486)*(Cap_Kind="Lean")*Cap_Ln)))</x:f>
        <x:v>30</x:v>
      </x:c>
      <x:c r="L486" s="10" t="n">
        <x:f>INDEX(v01_HousingCap,G486)*EXP(v01_CapsByProject*SUMPRODUCT((Cap_Point&lt;=I486)*(Cap_Kind="Housing")*Cap_Ln))</x:f>
        <x:v>60</x:v>
      </x:c>
      <x:c r="M486" s="10" t="n">
        <x:f>INDEX(v01_GroupCap,G486)*v01_CohesionFactor*EXP(v01_CapsByProject*SUMPRODUCT((Cap_Point&lt;=I486)*(Cap_Kind="Group")*Cap_Ln))</x:f>
        <x:v>100</x:v>
      </x:c>
      <x:c r="N486" s="32" t="n">
        <x:f>MIN(J486,L486,M486)</x:f>
        <x:v>30</x:v>
      </x:c>
      <x:c r="O486" s="10" t="n">
        <x:f>AE485*N486</x:f>
        <x:v>90</x:v>
      </x:c>
      <x:c r="P486" s="9" t="n">
        <x:f>MIN(1,(AB485/(AE485*IF(v01_GroupInCrowding=1,N486,MIN(J486,L486))))^v01_CrowdingExp)</x:f>
        <x:v>0.21764708017802237</x:v>
      </x:c>
      <x:c r="Q486" s="9" t="n">
        <x:f>IF(D486=1,INDEX(v01_WinterMult,G486),1)</x:f>
        <x:v>1</x:v>
      </x:c>
      <x:c r="R486" s="9" t="n">
        <x:f>H486*Z485*v01_WomenShare*v01_BaseFertility*INDEX(v01_FertMult,G486)*Arch_Fertility*(1-P486)</x:f>
        <x:v>0.9135212564214791</x:v>
      </x:c>
      <x:c r="S486" s="9" t="n">
        <x:f>H486*Y485*INDEX(v01_MortChild,G486)/4*Q486</x:f>
        <x:v>0.2605638185433628</x:v>
      </x:c>
      <x:c r="T486" s="9" t="n">
        <x:f>H486*Z485*INDEX(v01_MortAdult,G486)*Arch_AdultMort/4*Q486</x:f>
        <x:v>0.10119709432567874</x:v>
      </x:c>
      <x:c r="U486" s="9" t="n">
        <x:f>H486*AA485*INDEX(v01_MortElder,G486)/4*Q486</x:f>
        <x:v>0.17771458479672933</x:v>
      </x:c>
      <x:c r="V486" s="9" t="n">
        <x:f>H486*MAX(0,AB485-O486)*v01_OvercapLoss</x:f>
        <x:v>0</x:v>
      </x:c>
      <x:c r="W486" s="9" t="n">
        <x:f>H486*Y485/(v01_ChildYears*4)</x:f>
        <x:v>0.5317628949864546</x:v>
      </x:c>
      <x:c r="X486" s="9" t="n">
        <x:f>H486*Z485/(v01_AdultYears*4)</x:f>
        <x:v>0.25110941520019536</x:v>
      </x:c>
      <x:c r="Y486" s="32" t="n">
        <x:f>Y485+R486-S486-W486-Y485*V486/AB485</x:f>
        <x:v>29.89991666213312</x:v>
      </x:c>
      <x:c r="Z486" s="32" t="n">
        <x:f>Z485+W486-X486-T486-Z485*V486/AB485</x:f>
        <x:v>31.31702387028481</x:v>
      </x:c>
      <x:c r="AA486" s="32" t="n">
        <x:f>AA485+X486-U486-AA485*V486/AB485</x:f>
        <x:v>8.959124070239932</x:v>
      </x:c>
      <x:c r="AB486" s="10" t="n">
        <x:f>Y486+Z486+AA486</x:f>
        <x:v>70.17606460265786</x:v>
      </x:c>
      <x:c r="AC486" s="8" t="n">
        <x:f>IF(AND(v01_WinterTrigger=1,D486=1,AB485/AE485&gt;=K486),1,0)</x:f>
        <x:v>0</x:v>
      </x:c>
      <x:c r="AD486" s="8" t="n">
        <x:f>H486*IF(AND(OR(AB485/AE485&gt;=v01_FissionTrigger*N486,AC486=1),AB485/AE485*v01_DaughterShare&gt;=v01_MinDaughter),MAX(1,ROUND(AE485*v01_FissionRate,0)),0)</x:f>
        <x:v>0</x:v>
      </x:c>
      <x:c r="AE486" s="8" t="n">
        <x:f>IF(H486=1,MAX(1,MIN(INDEX(v01_Smax,G486),AE485+AD486)),AE485)</x:f>
        <x:v>3</x:v>
      </x:c>
      <x:c r="AF486" s="8" t="n">
        <x:f>MAX(0,AE486-AE485)</x:f>
        <x:v>0</x:v>
      </x:c>
      <x:c r="AG486" s="9" t="str">
        <x:f>IF(AF486&gt;0,B486,"")</x:f>
      </x:c>
      <x:c r="AH486" s="9" t="n">
        <x:f>IF(F486&gt;=1,1,(1+v01_LowTiesShare*(AE486-1))/AE486)</x:f>
        <x:v>1</x:v>
      </x:c>
      <x:c r="AI486" s="32" t="n">
        <x:f>(Z486+v01_ElderCommons*INDEX(LM_Elder,G486)*AA486)*AH486</x:f>
        <x:v>53.2623063846594</x:v>
      </x:c>
      <x:c r="AJ486" s="32" t="n">
        <x:f>H486*v01_CommonsCoef*AI486^v01_CommonsExp*INDEX(LM_Commons,G486)</x:f>
        <x:v>19.36426015920219</x:v>
      </x:c>
      <x:c r="AK486" s="32" t="n">
        <x:f>H486*v01_RoleScale*Arch_Roles*(AE486*(INDEX(v01_ElderRolePerSett,G486)*v01_OutElder*INDEX(LM_Elder,G486)+INDEX(v01_ShamanPerSett,G486)*v01_OutShaman)+Z486*(INDEX(v01_PriestShare,G486)*v01_OutPriest+INDEX(v01_ScribeShare,G486)*v01_OutScribe*INDEX(LM_Scribe,G486)+INDEX(v01_ScholarShare,G486)*v01_OutScholar*INDEX(LM_Scholar,G486)+INDEX(v01_ResearcherShare,G486)*v01_OutResearcher*INDEX(LM_Researcher,G486)))</x:f>
        <x:v>4.087117307087383</x:v>
      </x:c>
      <x:c r="AL486" s="32" t="n">
        <x:f>H486*v01_RoleScale*Arch_Roles*AE486*INDEX(v01_MonasteryPerSett,G486)*v01_OutMonastery*INDEX(LM_Monastery,G486)</x:f>
        <x:v>0</x:v>
      </x:c>
      <x:c r="AM486" s="32" t="n">
        <x:f>(AJ486+AK486+AL486)/4*INDEX(LM_All,G486)*INDEX(v01_Boon,G486)*Arch_Insight</x:f>
        <x:v>6.009415475736702</x:v>
      </x:c>
      <x:c r="AN486" s="32" t="n">
        <x:f>H486*(v01_KHPerAdult*Z486+v01_KHOfCommons*AJ486/4*INDEX(LM_All,G486))*v01_KHUsable*Arch_KH</x:f>
        <x:v>1.0960958354599684</x:v>
      </x:c>
      <x:c r="AO486" s="32" t="n">
        <x:f>MIN(AP485+AN486,AM486*v01_KHMaxRatio)</x:f>
        <x:v>1.0960958354599684</x:v>
      </x:c>
      <x:c r="AP486" s="32" t="n">
        <x:f>AP485+AN486-AO486</x:f>
        <x:v>0</x:v>
      </x:c>
      <x:c r="AQ486" s="32" t="n">
        <x:f>AM486+AO486</x:f>
        <x:v>7.10551131119667</x:v>
      </x:c>
      <x:c r="AR486" s="10" t="n">
        <x:f>IF(H486=1,INDEX(v01_Req,G486),0)</x:f>
        <x:v>1067.32</x:v>
      </x:c>
      <x:c r="AS486" s="32" t="n">
        <x:f>IF(H486=1,IF(E486=1,AS485-AR485,AS485)+AQ486,0)</x:f>
        <x:v>1062.495216800876</x:v>
      </x:c>
      <x:c r="AT486" s="11" t="n">
        <x:f>IF(AR486&gt;0,MIN(1,AS486/AR486),1)</x:f>
        <x:v>0.9954795345359181</x:v>
      </x:c>
      <x:c r="AU486" s="10" t="n">
        <x:f>AB486/INDEX(v01_RepScale,G486)</x:f>
        <x:v>70.17606460265786</x:v>
      </x:c>
      <x:c r="AV486" s="32" t="n">
        <x:f>AM486*60/v01_SeasonSeconds</x:f>
        <x:v>24.03766190294681</x:v>
      </x:c>
    </x:row>
    <x:row r="487">
      <x:c r="A487" s="8" t="n">
        <x:f>A486+1</x:f>
        <x:v>484</x:v>
      </x:c>
      <x:c r="B487" s="9" t="n">
        <x:f>A487*v01_SeasonSeconds/60</x:f>
        <x:v>121</x:v>
      </x:c>
      <x:c r="C487" s="9" t="n">
        <x:f>A487/4</x:f>
        <x:v>121</x:v>
      </x:c>
      <x:c r="D487" s="8" t="n">
        <x:f>IF(MOD(A487,4)=0,1,0)</x:f>
        <x:v>1</x:v>
      </x:c>
      <x:c r="E487" s="8" t="n">
        <x:f>IF(AND(F486&lt;=9,AS486&gt;=AR486),1,0)</x:f>
        <x:v>0</x:v>
      </x:c>
      <x:c r="F487" s="8" t="n">
        <x:f>MIN(10,F486+E487)</x:f>
        <x:v>1</x:v>
      </x:c>
      <x:c r="G487" s="8" t="n">
        <x:f>MIN(F487,9)+1</x:f>
        <x:v>2</x:v>
      </x:c>
      <x:c r="H487" s="8" t="n">
        <x:f>IF(F487&lt;=9,1,0)</x:f>
        <x:v>1</x:v>
      </x:c>
      <x:c r="I487" s="9" t="n">
        <x:f>MIN(10,F486+IF(AR486&gt;0,MIN(1,AS486/AR486),1))</x:f>
        <x:v>1.9954795345359182</x:v>
      </x:c>
      <x:c r="J487" s="32" t="n">
        <x:f>INDEX(v01_FoodCap,G487)*Arch_FoodCap*EXP(v01_CapsByProject*SUMPRODUCT((Cap_Point&lt;=I487)*(Cap_Kind="Food")*Cap_Ln))</x:f>
        <x:v>30</x:v>
      </x:c>
      <x:c r="K487" s="32" t="n">
        <x:f>J487*MIN(1,v01_LeanBase*EXP(v01_CapsByProject*SUMPRODUCT((Cap_Point&lt;=I487)*(Cap_Kind="Lean")*Cap_Ln)))</x:f>
        <x:v>30</x:v>
      </x:c>
      <x:c r="L487" s="10" t="n">
        <x:f>INDEX(v01_HousingCap,G487)*EXP(v01_CapsByProject*SUMPRODUCT((Cap_Point&lt;=I487)*(Cap_Kind="Housing")*Cap_Ln))</x:f>
        <x:v>60</x:v>
      </x:c>
      <x:c r="M487" s="10" t="n">
        <x:f>INDEX(v01_GroupCap,G487)*v01_CohesionFactor*EXP(v01_CapsByProject*SUMPRODUCT((Cap_Point&lt;=I487)*(Cap_Kind="Group")*Cap_Ln))</x:f>
        <x:v>100</x:v>
      </x:c>
      <x:c r="N487" s="32" t="n">
        <x:f>MIN(J487,L487,M487)</x:f>
        <x:v>30</x:v>
      </x:c>
      <x:c r="O487" s="10" t="n">
        <x:f>AE486*N487</x:f>
        <x:v>90</x:v>
      </x:c>
      <x:c r="P487" s="9" t="n">
        <x:f>MIN(1,(AB486/(AE486*IF(v01_GroupInCrowding=1,N487,MIN(J487,L487))))^v01_CrowdingExp)</x:f>
        <x:v>0.2247392887921066</x:v>
      </x:c>
      <x:c r="Q487" s="9" t="n">
        <x:f>IF(D487=1,INDEX(v01_WinterMult,G487),1)</x:f>
        <x:v>1.6</x:v>
      </x:c>
      <x:c r="R487" s="9" t="n">
        <x:f>H487*Z486*v01_WomenShare*v01_BaseFertility*INDEX(v01_FertMult,G487)*Arch_Fertility*(1-P487)</x:f>
        <x:v>0.9104571824471841</x:v>
      </x:c>
      <x:c r="S487" s="9" t="n">
        <x:f>H487*Y486*INDEX(v01_MortChild,G487)/4*Q487</x:f>
        <x:v>0.4185988332698637</x:v>
      </x:c>
      <x:c r="T487" s="9" t="n">
        <x:f>H487*Z486*INDEX(v01_MortAdult,G487)*Arch_AdultMort/4*Q487</x:f>
        <x:v>0.162848524125481</x:v>
      </x:c>
      <x:c r="U487" s="9" t="n">
        <x:f>H487*AA486*INDEX(v01_MortElder,G487)/4*Q487</x:f>
        <x:v>0.28669197024767784</x:v>
      </x:c>
      <x:c r="V487" s="9" t="n">
        <x:f>H487*MAX(0,AB486-O487)*v01_OvercapLoss</x:f>
        <x:v>0</x:v>
      </x:c>
      <x:c r="W487" s="9" t="n">
        <x:f>H487*Y486/(v01_ChildYears*4)</x:f>
        <x:v>0.5339270832523771</x:v>
      </x:c>
      <x:c r="X487" s="9" t="n">
        <x:f>H487*Z486/(v01_AdultYears*4)</x:f>
        <x:v>0.25255664411520007</x:v>
      </x:c>
      <x:c r="Y487" s="32" t="n">
        <x:f>Y486+R487-S487-W487-Y486*V487/AB486</x:f>
        <x:v>29.857847928058064</x:v>
      </x:c>
      <x:c r="Z487" s="32" t="n">
        <x:f>Z486+W487-X487-T487-Z486*V487/AB486</x:f>
        <x:v>31.435545785296508</x:v>
      </x:c>
      <x:c r="AA487" s="32" t="n">
        <x:f>AA486+X487-U487-AA486*V487/AB486</x:f>
        <x:v>8.924988744107456</x:v>
      </x:c>
      <x:c r="AB487" s="10" t="n">
        <x:f>Y487+Z487+AA487</x:f>
        <x:v>70.21838245746203</x:v>
      </x:c>
      <x:c r="AC487" s="8" t="n">
        <x:f>IF(AND(v01_WinterTrigger=1,D487=1,AB486/AE486&gt;=K487),1,0)</x:f>
        <x:v>0</x:v>
      </x:c>
      <x:c r="AD487" s="8" t="n">
        <x:f>H487*IF(AND(OR(AB486/AE486&gt;=v01_FissionTrigger*N487,AC487=1),AB486/AE486*v01_DaughterShare&gt;=v01_MinDaughter),MAX(1,ROUND(AE486*v01_FissionRate,0)),0)</x:f>
        <x:v>0</x:v>
      </x:c>
      <x:c r="AE487" s="8" t="n">
        <x:f>IF(H487=1,MAX(1,MIN(INDEX(v01_Smax,G487),AE486+AD487)),AE486)</x:f>
        <x:v>3</x:v>
      </x:c>
      <x:c r="AF487" s="8" t="n">
        <x:f>MAX(0,AE487-AE486)</x:f>
        <x:v>0</x:v>
      </x:c>
      <x:c r="AG487" s="9" t="str">
        <x:f>IF(AF487&gt;0,B487,"")</x:f>
      </x:c>
      <x:c r="AH487" s="9" t="n">
        <x:f>IF(F487&gt;=1,1,(1+v01_LowTiesShare*(AE487-1))/AE487)</x:f>
        <x:v>1</x:v>
      </x:c>
      <x:c r="AI487" s="32" t="n">
        <x:f>(Z487+v01_ElderCommons*INDEX(LM_Elder,G487)*AA487)*AH487</x:f>
        <x:v>53.297214168443034</x:v>
      </x:c>
      <x:c r="AJ487" s="32" t="n">
        <x:f>H487*v01_CommonsCoef*AI487^v01_CommonsExp*INDEX(LM_Commons,G487)</x:f>
        <x:v>19.375047162228878</x:v>
      </x:c>
      <x:c r="AK487" s="32" t="n">
        <x:f>H487*v01_RoleScale*Arch_Roles*(AE487*(INDEX(v01_ElderRolePerSett,G487)*v01_OutElder*INDEX(LM_Elder,G487)+INDEX(v01_ShamanPerSett,G487)*v01_OutShaman)+Z487*(INDEX(v01_PriestShare,G487)*v01_OutPriest+INDEX(v01_ScribeShare,G487)*v01_OutScribe*INDEX(LM_Scribe,G487)+INDEX(v01_ScholarShare,G487)*v01_OutScholar*INDEX(LM_Scholar,G487)+INDEX(v01_ResearcherShare,G487)*v01_OutResearcher*INDEX(LM_Researcher,G487)))</x:f>
        <x:v>4.087117307087383</x:v>
      </x:c>
      <x:c r="AL487" s="32" t="n">
        <x:f>H487*v01_RoleScale*Arch_Roles*AE487*INDEX(v01_MonasteryPerSett,G487)*v01_OutMonastery*INDEX(LM_Monastery,G487)</x:f>
        <x:v>0</x:v>
      </x:c>
      <x:c r="AM487" s="32" t="n">
        <x:f>(AJ487+AK487+AL487)/4*INDEX(LM_All,G487)*INDEX(v01_Boon,G487)*Arch_Insight</x:f>
        <x:v>6.012179645262291</x:v>
      </x:c>
      <x:c r="AN487" s="32" t="n">
        <x:f>H487*(v01_KHPerAdult*Z487+v01_KHOfCommons*AJ487/4*INDEX(LM_All,G487))*v01_KHUsable*Arch_KH</x:f>
        <x:v>1.1002441024853777</x:v>
      </x:c>
      <x:c r="AO487" s="32" t="n">
        <x:f>MIN(AP486+AN487,AM487*v01_KHMaxRatio)</x:f>
        <x:v>1.1002441024853777</x:v>
      </x:c>
      <x:c r="AP487" s="32" t="n">
        <x:f>AP486+AN487-AO487</x:f>
        <x:v>0</x:v>
      </x:c>
      <x:c r="AQ487" s="32" t="n">
        <x:f>AM487+AO487</x:f>
        <x:v>7.112423747747669</x:v>
      </x:c>
      <x:c r="AR487" s="10" t="n">
        <x:f>IF(H487=1,INDEX(v01_Req,G487),0)</x:f>
        <x:v>1067.32</x:v>
      </x:c>
      <x:c r="AS487" s="32" t="n">
        <x:f>IF(H487=1,IF(E487=1,AS486-AR486,AS486)+AQ487,0)</x:f>
        <x:v>1069.6076405486237</x:v>
      </x:c>
      <x:c r="AT487" s="11" t="n">
        <x:f>IF(AR487&gt;0,MIN(1,AS487/AR487),1)</x:f>
        <x:v>1</x:v>
      </x:c>
      <x:c r="AU487" s="10" t="n">
        <x:f>AB487/INDEX(v01_RepScale,G487)</x:f>
        <x:v>70.21838245746203</x:v>
      </x:c>
      <x:c r="AV487" s="32" t="n">
        <x:f>AM487*60/v01_SeasonSeconds</x:f>
        <x:v>24.048718581049165</x:v>
      </x:c>
    </x:row>
    <x:row r="488">
      <x:c r="A488" s="8" t="n">
        <x:f>A487+1</x:f>
        <x:v>485</x:v>
      </x:c>
      <x:c r="B488" s="9" t="n">
        <x:f>A488*v01_SeasonSeconds/60</x:f>
        <x:v>121.25</x:v>
      </x:c>
      <x:c r="C488" s="9" t="n">
        <x:f>A488/4</x:f>
        <x:v>121.25</x:v>
      </x:c>
      <x:c r="D488" s="8" t="n">
        <x:f>IF(MOD(A488,4)=0,1,0)</x:f>
        <x:v>0</x:v>
      </x:c>
      <x:c r="E488" s="8" t="n">
        <x:f>IF(AND(F487&lt;=9,AS487&gt;=AR487),1,0)</x:f>
        <x:v>1</x:v>
      </x:c>
      <x:c r="F488" s="8" t="n">
        <x:f>MIN(10,F487+E488)</x:f>
        <x:v>2</x:v>
      </x:c>
      <x:c r="G488" s="8" t="n">
        <x:f>MIN(F488,9)+1</x:f>
        <x:v>3</x:v>
      </x:c>
      <x:c r="H488" s="8" t="n">
        <x:f>IF(F488&lt;=9,1,0)</x:f>
        <x:v>1</x:v>
      </x:c>
      <x:c r="I488" s="9" t="n">
        <x:f>MIN(10,F487+IF(AR487&gt;0,MIN(1,AS487/AR487),1))</x:f>
        <x:v>2</x:v>
      </x:c>
      <x:c r="J488" s="32" t="n">
        <x:f>INDEX(v01_FoodCap,G488)*Arch_FoodCap*EXP(v01_CapsByProject*SUMPRODUCT((Cap_Point&lt;=I488)*(Cap_Kind="Food")*Cap_Ln))</x:f>
        <x:v>60</x:v>
      </x:c>
      <x:c r="K488" s="32" t="n">
        <x:f>J488*MIN(1,v01_LeanBase*EXP(v01_CapsByProject*SUMPRODUCT((Cap_Point&lt;=I488)*(Cap_Kind="Lean")*Cap_Ln)))</x:f>
        <x:v>60</x:v>
      </x:c>
      <x:c r="L488" s="10" t="n">
        <x:f>INDEX(v01_HousingCap,G488)*EXP(v01_CapsByProject*SUMPRODUCT((Cap_Point&lt;=I488)*(Cap_Kind="Housing")*Cap_Ln))</x:f>
        <x:v>100</x:v>
      </x:c>
      <x:c r="M488" s="10" t="n">
        <x:f>INDEX(v01_GroupCap,G488)*v01_CohesionFactor*EXP(v01_CapsByProject*SUMPRODUCT((Cap_Point&lt;=I488)*(Cap_Kind="Group")*Cap_Ln))</x:f>
        <x:v>500</x:v>
      </x:c>
      <x:c r="N488" s="32" t="n">
        <x:f>MIN(J488,L488,M488)</x:f>
        <x:v>60</x:v>
      </x:c>
      <x:c r="O488" s="10" t="n">
        <x:f>AE487*N488</x:f>
        <x:v>180</x:v>
      </x:c>
      <x:c r="P488" s="9" t="n">
        <x:f>MIN(1,(AB487/(AE487*IF(v01_GroupInCrowding=1,N488,MIN(J488,L488))))^v01_CrowdingExp)</x:f>
        <x:v>0.0035242758564580224</x:v>
      </x:c>
      <x:c r="Q488" s="9" t="n">
        <x:f>IF(D488=1,INDEX(v01_WinterMult,G488),1)</x:f>
        <x:v>1</x:v>
      </x:c>
      <x:c r="R488" s="9" t="n">
        <x:f>H488*Z487*v01_WomenShare*v01_BaseFertility*INDEX(v01_FertMult,G488)*Arch_Fertility*(1-P488)</x:f>
        <x:v>1.2686527091351578</x:v>
      </x:c>
      <x:c r="S488" s="9" t="n">
        <x:f>H488*Y487*INDEX(v01_MortChild,G488)/4*Q488</x:f>
        <x:v>0.2612561693705081</x:v>
      </x:c>
      <x:c r="T488" s="9" t="n">
        <x:f>H488*Z487*INDEX(v01_MortAdult,G488)*Arch_AdultMort/4*Q488</x:f>
        <x:v>0.09430663735588952</x:v>
      </x:c>
      <x:c r="U488" s="9" t="n">
        <x:f>H488*AA487*INDEX(v01_MortElder,G488)/4*Q488</x:f>
        <x:v>0.1561873030218805</x:v>
      </x:c>
      <x:c r="V488" s="9" t="n">
        <x:f>H488*MAX(0,AB487-O488)*v01_OvercapLoss</x:f>
        <x:v>0</x:v>
      </x:c>
      <x:c r="W488" s="9" t="n">
        <x:f>H488*Y487/(v01_ChildYears*4)</x:f>
        <x:v>0.5331758558581797</x:v>
      </x:c>
      <x:c r="X488" s="9" t="n">
        <x:f>H488*Z487/(v01_AdultYears*4)</x:f>
        <x:v>0.2535124660104557</x:v>
      </x:c>
      <x:c r="Y488" s="32" t="n">
        <x:f>Y487+R488-S488-W488-Y487*V488/AB487</x:f>
        <x:v>30.332068611964534</x:v>
      </x:c>
      <x:c r="Z488" s="32" t="n">
        <x:f>Z487+W488-X488-T488-Z487*V488/AB487</x:f>
        <x:v>31.620902537788343</x:v>
      </x:c>
      <x:c r="AA488" s="32" t="n">
        <x:f>AA487+X488-U488-AA487*V488/AB487</x:f>
        <x:v>9.02231390709603</x:v>
      </x:c>
      <x:c r="AB488" s="10" t="n">
        <x:f>Y488+Z488+AA488</x:f>
        <x:v>70.9752850568489</x:v>
      </x:c>
      <x:c r="AC488" s="8" t="n">
        <x:f>IF(AND(v01_WinterTrigger=1,D488=1,AB487/AE487&gt;=K488),1,0)</x:f>
        <x:v>0</x:v>
      </x:c>
      <x:c r="AD488" s="8" t="n">
        <x:f>H488*IF(AND(OR(AB487/AE487&gt;=v01_FissionTrigger*N488,AC488=1),AB487/AE487*v01_DaughterShare&gt;=v01_MinDaughter),MAX(1,ROUND(AE487*v01_FissionRate,0)),0)</x:f>
        <x:v>0</x:v>
      </x:c>
      <x:c r="AE488" s="8" t="n">
        <x:f>IF(H488=1,MAX(1,MIN(INDEX(v01_Smax,G488),AE487+AD488)),AE487)</x:f>
        <x:v>3</x:v>
      </x:c>
      <x:c r="AF488" s="8" t="n">
        <x:f>MAX(0,AE488-AE487)</x:f>
        <x:v>0</x:v>
      </x:c>
      <x:c r="AG488" s="9" t="str">
        <x:f>IF(AF488&gt;0,B488,"")</x:f>
      </x:c>
      <x:c r="AH488" s="9" t="n">
        <x:f>IF(F488&gt;=1,1,(1+v01_LowTiesShare*(AE488-1))/AE488)</x:f>
        <x:v>1</x:v>
      </x:c>
      <x:c r="AI488" s="32" t="n">
        <x:f>(Z488+v01_ElderCommons*INDEX(LM_Elder,G488)*AA488)*AH488</x:f>
        <x:v>58.687844259076435</x:v>
      </x:c>
      <x:c r="AJ488" s="32" t="n">
        <x:f>H488*v01_CommonsCoef*AI488^v01_CommonsExp*INDEX(LM_Commons,G488)</x:f>
        <x:v>21.02857622900386</x:v>
      </x:c>
      <x:c r="AK488" s="32" t="n">
        <x:f>H488*v01_RoleScale*Arch_Roles*(AE488*(INDEX(v01_ElderRolePerSett,G488)*v01_OutElder*INDEX(LM_Elder,G488)+INDEX(v01_ShamanPerSett,G488)*v01_OutShaman)+Z488*(INDEX(v01_PriestShare,G488)*v01_OutPriest+INDEX(v01_ScribeShare,G488)*v01_OutScribe*INDEX(LM_Scribe,G488)+INDEX(v01_ScholarShare,G488)*v01_OutScholar*INDEX(LM_Scholar,G488)+INDEX(v01_ResearcherShare,G488)*v01_OutResearcher*INDEX(LM_Researcher,G488)))</x:f>
        <x:v>9</x:v>
      </x:c>
      <x:c r="AL488" s="32" t="n">
        <x:f>H488*v01_RoleScale*Arch_Roles*AE488*INDEX(v01_MonasteryPerSett,G488)*v01_OutMonastery*INDEX(LM_Monastery,G488)</x:f>
        <x:v>0</x:v>
      </x:c>
      <x:c r="AM488" s="32" t="n">
        <x:f>(AJ488+AK488+AL488)/4*INDEX(LM_All,G488)*INDEX(v01_Boon,G488)*Arch_Insight</x:f>
        <x:v>7.887193225149295</x:v>
      </x:c>
      <x:c r="AN488" s="32" t="n">
        <x:f>H488*(v01_KHPerAdult*Z488+v01_KHOfCommons*AJ488/4*INDEX(LM_All,G488))*v01_KHUsable*Arch_KH</x:f>
        <x:v>1.106731588822592</x:v>
      </x:c>
      <x:c r="AO488" s="32" t="n">
        <x:f>MIN(AP487+AN488,AM488*v01_KHMaxRatio)</x:f>
        <x:v>1.106731588822592</x:v>
      </x:c>
      <x:c r="AP488" s="32" t="n">
        <x:f>AP487+AN488-AO488</x:f>
        <x:v>0</x:v>
      </x:c>
      <x:c r="AQ488" s="32" t="n">
        <x:f>AM488+AO488</x:f>
        <x:v>8.993924813971887</x:v>
      </x:c>
      <x:c r="AR488" s="10" t="n">
        <x:f>IF(H488=1,INDEX(v01_Req,G488),0)</x:f>
        <x:v>4006.9599999999996</x:v>
      </x:c>
      <x:c r="AS488" s="32" t="n">
        <x:f>IF(H488=1,IF(E488=1,AS487-AR487,AS487)+AQ488,0)</x:f>
        <x:v>11.2815653625957</x:v>
      </x:c>
      <x:c r="AT488" s="11" t="n">
        <x:f>IF(AR488&gt;0,MIN(1,AS488/AR488),1)</x:f>
        <x:v>0.0028154923839009377</x:v>
      </x:c>
      <x:c r="AU488" s="10" t="n">
        <x:f>AB488/INDEX(v01_RepScale,G488)</x:f>
        <x:v>35.48764252842445</x:v>
      </x:c>
      <x:c r="AV488" s="32" t="n">
        <x:f>AM488*60/v01_SeasonSeconds</x:f>
        <x:v>31.54877290059718</x:v>
      </x:c>
    </x:row>
    <x:row r="489">
      <x:c r="A489" s="8" t="n">
        <x:f>A488+1</x:f>
        <x:v>486</x:v>
      </x:c>
      <x:c r="B489" s="9" t="n">
        <x:f>A489*v01_SeasonSeconds/60</x:f>
        <x:v>121.5</x:v>
      </x:c>
      <x:c r="C489" s="9" t="n">
        <x:f>A489/4</x:f>
        <x:v>121.5</x:v>
      </x:c>
      <x:c r="D489" s="8" t="n">
        <x:f>IF(MOD(A489,4)=0,1,0)</x:f>
        <x:v>0</x:v>
      </x:c>
      <x:c r="E489" s="8" t="n">
        <x:f>IF(AND(F488&lt;=9,AS488&gt;=AR488),1,0)</x:f>
        <x:v>0</x:v>
      </x:c>
      <x:c r="F489" s="8" t="n">
        <x:f>MIN(10,F488+E489)</x:f>
        <x:v>2</x:v>
      </x:c>
      <x:c r="G489" s="8" t="n">
        <x:f>MIN(F489,9)+1</x:f>
        <x:v>3</x:v>
      </x:c>
      <x:c r="H489" s="8" t="n">
        <x:f>IF(F489&lt;=9,1,0)</x:f>
        <x:v>1</x:v>
      </x:c>
      <x:c r="I489" s="9" t="n">
        <x:f>MIN(10,F488+IF(AR488&gt;0,MIN(1,AS488/AR488),1))</x:f>
        <x:v>2.0028154923839008</x:v>
      </x:c>
      <x:c r="J489" s="32" t="n">
        <x:f>INDEX(v01_FoodCap,G489)*Arch_FoodCap*EXP(v01_CapsByProject*SUMPRODUCT((Cap_Point&lt;=I489)*(Cap_Kind="Food")*Cap_Ln))</x:f>
        <x:v>60</x:v>
      </x:c>
      <x:c r="K489" s="32" t="n">
        <x:f>J489*MIN(1,v01_LeanBase*EXP(v01_CapsByProject*SUMPRODUCT((Cap_Point&lt;=I489)*(Cap_Kind="Lean")*Cap_Ln)))</x:f>
        <x:v>60</x:v>
      </x:c>
      <x:c r="L489" s="10" t="n">
        <x:f>INDEX(v01_HousingCap,G489)*EXP(v01_CapsByProject*SUMPRODUCT((Cap_Point&lt;=I489)*(Cap_Kind="Housing")*Cap_Ln))</x:f>
        <x:v>100</x:v>
      </x:c>
      <x:c r="M489" s="10" t="n">
        <x:f>INDEX(v01_GroupCap,G489)*v01_CohesionFactor*EXP(v01_CapsByProject*SUMPRODUCT((Cap_Point&lt;=I489)*(Cap_Kind="Group")*Cap_Ln))</x:f>
        <x:v>500</x:v>
      </x:c>
      <x:c r="N489" s="32" t="n">
        <x:f>MIN(J489,L489,M489)</x:f>
        <x:v>60</x:v>
      </x:c>
      <x:c r="O489" s="10" t="n">
        <x:f>AE488*N489</x:f>
        <x:v>180</x:v>
      </x:c>
      <x:c r="P489" s="9" t="n">
        <x:f>MIN(1,(AB488/(AE488*IF(v01_GroupInCrowding=1,N489,MIN(J489,L489))))^v01_CrowdingExp)</x:f>
        <x:v>0.0037584419087257222</x:v>
      </x:c>
      <x:c r="Q489" s="9" t="n">
        <x:f>IF(D489=1,INDEX(v01_WinterMult,G489),1)</x:f>
        <x:v>1</x:v>
      </x:c>
      <x:c r="R489" s="9" t="n">
        <x:f>H489*Z488*v01_WomenShare*v01_BaseFertility*INDEX(v01_FertMult,G489)*Arch_Fertility*(1-P489)</x:f>
        <x:v>1.2758333171061929</x:v>
      </x:c>
      <x:c r="S489" s="9" t="n">
        <x:f>H489*Y488*INDEX(v01_MortChild,G489)/4*Q489</x:f>
        <x:v>0.2654056003546897</x:v>
      </x:c>
      <x:c r="T489" s="9" t="n">
        <x:f>H489*Z488*INDEX(v01_MortAdult,G489)*Arch_AdultMort/4*Q489</x:f>
        <x:v>0.09486270761336503</x:v>
      </x:c>
      <x:c r="U489" s="9" t="n">
        <x:f>H489*AA488*INDEX(v01_MortElder,G489)/4*Q489</x:f>
        <x:v>0.15789049337418054</x:v>
      </x:c>
      <x:c r="V489" s="9" t="n">
        <x:f>H489*MAX(0,AB488-O489)*v01_OvercapLoss</x:f>
        <x:v>0</x:v>
      </x:c>
      <x:c r="W489" s="9" t="n">
        <x:f>H489*Y488/(v01_ChildYears*4)</x:f>
        <x:v>0.5416440823565095</x:v>
      </x:c>
      <x:c r="X489" s="9" t="n">
        <x:f>H489*Z488/(v01_AdultYears*4)</x:f>
        <x:v>0.25500727853055116</x:v>
      </x:c>
      <x:c r="Y489" s="32" t="n">
        <x:f>Y488+R489-S489-W489-Y488*V489/AB488</x:f>
        <x:v>30.80085224635953</x:v>
      </x:c>
      <x:c r="Z489" s="32" t="n">
        <x:f>Z488+W489-X489-T489-Z488*V489/AB488</x:f>
        <x:v>31.812676634000933</x:v>
      </x:c>
      <x:c r="AA489" s="32" t="n">
        <x:f>AA488+X489-U489-AA488*V489/AB488</x:f>
        <x:v>9.1194306922524</x:v>
      </x:c>
      <x:c r="AB489" s="10" t="n">
        <x:f>Y489+Z489+AA489</x:f>
        <x:v>71.73295957261286</x:v>
      </x:c>
      <x:c r="AC489" s="8" t="n">
        <x:f>IF(AND(v01_WinterTrigger=1,D489=1,AB488/AE488&gt;=K489),1,0)</x:f>
        <x:v>0</x:v>
      </x:c>
      <x:c r="AD489" s="8" t="n">
        <x:f>H489*IF(AND(OR(AB488/AE488&gt;=v01_FissionTrigger*N489,AC489=1),AB488/AE488*v01_DaughterShare&gt;=v01_MinDaughter),MAX(1,ROUND(AE488*v01_FissionRate,0)),0)</x:f>
        <x:v>0</x:v>
      </x:c>
      <x:c r="AE489" s="8" t="n">
        <x:f>IF(H489=1,MAX(1,MIN(INDEX(v01_Smax,G489),AE488+AD489)),AE488)</x:f>
        <x:v>3</x:v>
      </x:c>
      <x:c r="AF489" s="8" t="n">
        <x:f>MAX(0,AE489-AE488)</x:f>
        <x:v>0</x:v>
      </x:c>
      <x:c r="AG489" s="9" t="str">
        <x:f>IF(AF489&gt;0,B489,"")</x:f>
      </x:c>
      <x:c r="AH489" s="9" t="n">
        <x:f>IF(F489&gt;=1,1,(1+v01_LowTiesShare*(AE489-1))/AE489)</x:f>
        <x:v>1</x:v>
      </x:c>
      <x:c r="AI489" s="32" t="n">
        <x:f>(Z489+v01_ElderCommons*INDEX(LM_Elder,G489)*AA489)*AH489</x:f>
        <x:v>59.17096871075813</x:v>
      </x:c>
      <x:c r="AJ489" s="32" t="n">
        <x:f>H489*v01_CommonsCoef*AI489^v01_CommonsExp*INDEX(LM_Commons,G489)</x:f>
        <x:v>21.17562868401626</x:v>
      </x:c>
      <x:c r="AK489" s="32" t="n">
        <x:f>H489*v01_RoleScale*Arch_Roles*(AE489*(INDEX(v01_ElderRolePerSett,G489)*v01_OutElder*INDEX(LM_Elder,G489)+INDEX(v01_ShamanPerSett,G489)*v01_OutShaman)+Z489*(INDEX(v01_PriestShare,G489)*v01_OutPriest+INDEX(v01_ScribeShare,G489)*v01_OutScribe*INDEX(LM_Scribe,G489)+INDEX(v01_ScholarShare,G489)*v01_OutScholar*INDEX(LM_Scholar,G489)+INDEX(v01_ResearcherShare,G489)*v01_OutResearcher*INDEX(LM_Researcher,G489)))</x:f>
        <x:v>9</x:v>
      </x:c>
      <x:c r="AL489" s="32" t="n">
        <x:f>H489*v01_RoleScale*Arch_Roles*AE489*INDEX(v01_MonasteryPerSett,G489)*v01_OutMonastery*INDEX(LM_Monastery,G489)</x:f>
        <x:v>0</x:v>
      </x:c>
      <x:c r="AM489" s="32" t="n">
        <x:f>(AJ489+AK489+AL489)/4*INDEX(LM_All,G489)*INDEX(v01_Boon,G489)*Arch_Insight</x:f>
        <x:v>7.925817471536146</x:v>
      </x:c>
      <x:c r="AN489" s="32" t="n">
        <x:f>H489*(v01_KHPerAdult*Z489+v01_KHOfCommons*AJ489/4*INDEX(LM_All,G489))*v01_KHUsable*Arch_KH</x:f>
        <x:v>1.1134436821900326</x:v>
      </x:c>
      <x:c r="AO489" s="32" t="n">
        <x:f>MIN(AP488+AN489,AM489*v01_KHMaxRatio)</x:f>
        <x:v>1.1134436821900326</x:v>
      </x:c>
      <x:c r="AP489" s="32" t="n">
        <x:f>AP488+AN489-AO489</x:f>
        <x:v>0</x:v>
      </x:c>
      <x:c r="AQ489" s="32" t="n">
        <x:f>AM489+AO489</x:f>
        <x:v>9.039261153726178</x:v>
      </x:c>
      <x:c r="AR489" s="10" t="n">
        <x:f>IF(H489=1,INDEX(v01_Req,G489),0)</x:f>
        <x:v>4006.9599999999996</x:v>
      </x:c>
      <x:c r="AS489" s="32" t="n">
        <x:f>IF(H489=1,IF(E489=1,AS488-AR488,AS488)+AQ489,0)</x:f>
        <x:v>20.32082651632188</x:v>
      </x:c>
      <x:c r="AT489" s="11" t="n">
        <x:f>IF(AR489&gt;0,MIN(1,AS489/AR489),1)</x:f>
        <x:v>0.005071382423663296</x:v>
      </x:c>
      <x:c r="AU489" s="10" t="n">
        <x:f>AB489/INDEX(v01_RepScale,G489)</x:f>
        <x:v>35.86647978630643</x:v>
      </x:c>
      <x:c r="AV489" s="32" t="n">
        <x:f>AM489*60/v01_SeasonSeconds</x:f>
        <x:v>31.703269886144582</x:v>
      </x:c>
    </x:row>
    <x:row r="490">
      <x:c r="A490" s="8" t="n">
        <x:f>A489+1</x:f>
        <x:v>487</x:v>
      </x:c>
      <x:c r="B490" s="9" t="n">
        <x:f>A490*v01_SeasonSeconds/60</x:f>
        <x:v>121.75</x:v>
      </x:c>
      <x:c r="C490" s="9" t="n">
        <x:f>A490/4</x:f>
        <x:v>121.75</x:v>
      </x:c>
      <x:c r="D490" s="8" t="n">
        <x:f>IF(MOD(A490,4)=0,1,0)</x:f>
        <x:v>0</x:v>
      </x:c>
      <x:c r="E490" s="8" t="n">
        <x:f>IF(AND(F489&lt;=9,AS489&gt;=AR489),1,0)</x:f>
        <x:v>0</x:v>
      </x:c>
      <x:c r="F490" s="8" t="n">
        <x:f>MIN(10,F489+E490)</x:f>
        <x:v>2</x:v>
      </x:c>
      <x:c r="G490" s="8" t="n">
        <x:f>MIN(F490,9)+1</x:f>
        <x:v>3</x:v>
      </x:c>
      <x:c r="H490" s="8" t="n">
        <x:f>IF(F490&lt;=9,1,0)</x:f>
        <x:v>1</x:v>
      </x:c>
      <x:c r="I490" s="9" t="n">
        <x:f>MIN(10,F489+IF(AR489&gt;0,MIN(1,AS489/AR489),1))</x:f>
        <x:v>2.0050713824236635</x:v>
      </x:c>
      <x:c r="J490" s="32" t="n">
        <x:f>INDEX(v01_FoodCap,G490)*Arch_FoodCap*EXP(v01_CapsByProject*SUMPRODUCT((Cap_Point&lt;=I490)*(Cap_Kind="Food")*Cap_Ln))</x:f>
        <x:v>60</x:v>
      </x:c>
      <x:c r="K490" s="32" t="n">
        <x:f>J490*MIN(1,v01_LeanBase*EXP(v01_CapsByProject*SUMPRODUCT((Cap_Point&lt;=I490)*(Cap_Kind="Lean")*Cap_Ln)))</x:f>
        <x:v>60</x:v>
      </x:c>
      <x:c r="L490" s="10" t="n">
        <x:f>INDEX(v01_HousingCap,G490)*EXP(v01_CapsByProject*SUMPRODUCT((Cap_Point&lt;=I490)*(Cap_Kind="Housing")*Cap_Ln))</x:f>
        <x:v>100</x:v>
      </x:c>
      <x:c r="M490" s="10" t="n">
        <x:f>INDEX(v01_GroupCap,G490)*v01_CohesionFactor*EXP(v01_CapsByProject*SUMPRODUCT((Cap_Point&lt;=I490)*(Cap_Kind="Group")*Cap_Ln))</x:f>
        <x:v>500</x:v>
      </x:c>
      <x:c r="N490" s="32" t="n">
        <x:f>MIN(J490,L490,M490)</x:f>
        <x:v>60</x:v>
      </x:c>
      <x:c r="O490" s="10" t="n">
        <x:f>AE489*N490</x:f>
        <x:v>180</x:v>
      </x:c>
      <x:c r="P490" s="9" t="n">
        <x:f>MIN(1,(AB489/(AE489*IF(v01_GroupInCrowding=1,N490,MIN(J490,L490))))^v01_CrowdingExp)</x:f>
        <x:v>0.004005691195448408</x:v>
      </x:c>
      <x:c r="Q490" s="9" t="n">
        <x:f>IF(D490=1,INDEX(v01_WinterMult,G490),1)</x:f>
        <x:v>1</x:v>
      </x:c>
      <x:c r="R490" s="9" t="n">
        <x:f>H490*Z489*v01_WomenShare*v01_BaseFertility*INDEX(v01_FertMult,G490)*Arch_Fertility*(1-P490)</x:f>
        <x:v>1.283252417449831</x:v>
      </x:c>
      <x:c r="S490" s="9" t="n">
        <x:f>H490*Y489*INDEX(v01_MortChild,G490)/4*Q490</x:f>
        <x:v>0.2695074571556459</x:v>
      </x:c>
      <x:c r="T490" s="9" t="n">
        <x:f>H490*Z489*INDEX(v01_MortAdult,G490)*Arch_AdultMort/4*Q490</x:f>
        <x:v>0.0954380299020028</x:v>
      </x:c>
      <x:c r="U490" s="9" t="n">
        <x:f>H490*AA489*INDEX(v01_MortElder,G490)/4*Q490</x:f>
        <x:v>0.15959003711441702</x:v>
      </x:c>
      <x:c r="V490" s="9" t="n">
        <x:f>H490*MAX(0,AB489-O490)*v01_OvercapLoss</x:f>
        <x:v>0</x:v>
      </x:c>
      <x:c r="W490" s="9" t="n">
        <x:f>H490*Y489/(v01_ChildYears*4)</x:f>
        <x:v>0.5500152186849916</x:v>
      </x:c>
      <x:c r="X490" s="9" t="n">
        <x:f>H490*Z489/(v01_AdultYears*4)</x:f>
        <x:v>0.25655384382258817</x:v>
      </x:c>
      <x:c r="Y490" s="32" t="n">
        <x:f>Y489+R490-S490-W490-Y489*V490/AB489</x:f>
        <x:v>31.264581987968725</x:v>
      </x:c>
      <x:c r="Z490" s="32" t="n">
        <x:f>Z489+W490-X490-T490-Z489*V490/AB489</x:f>
        <x:v>32.010699978961334</x:v>
      </x:c>
      <x:c r="AA490" s="32" t="n">
        <x:f>AA489+X490-U490-AA489*V490/AB489</x:f>
        <x:v>9.216394498960572</x:v>
      </x:c>
      <x:c r="AB490" s="10" t="n">
        <x:f>Y490+Z490+AA490</x:f>
        <x:v>72.49167646589063</x:v>
      </x:c>
      <x:c r="AC490" s="8" t="n">
        <x:f>IF(AND(v01_WinterTrigger=1,D490=1,AB489/AE489&gt;=K490),1,0)</x:f>
        <x:v>0</x:v>
      </x:c>
      <x:c r="AD490" s="8" t="n">
        <x:f>H490*IF(AND(OR(AB489/AE489&gt;=v01_FissionTrigger*N490,AC490=1),AB489/AE489*v01_DaughterShare&gt;=v01_MinDaughter),MAX(1,ROUND(AE489*v01_FissionRate,0)),0)</x:f>
        <x:v>0</x:v>
      </x:c>
      <x:c r="AE490" s="8" t="n">
        <x:f>IF(H490=1,MAX(1,MIN(INDEX(v01_Smax,G490),AE489+AD490)),AE489)</x:f>
        <x:v>3</x:v>
      </x:c>
      <x:c r="AF490" s="8" t="n">
        <x:f>MAX(0,AE490-AE489)</x:f>
        <x:v>0</x:v>
      </x:c>
      <x:c r="AG490" s="9" t="str">
        <x:f>IF(AF490&gt;0,B490,"")</x:f>
      </x:c>
      <x:c r="AH490" s="9" t="n">
        <x:f>IF(F490&gt;=1,1,(1+v01_LowTiesShare*(AE490-1))/AE490)</x:f>
        <x:v>1</x:v>
      </x:c>
      <x:c r="AI490" s="32" t="n">
        <x:f>(Z490+v01_ElderCommons*INDEX(LM_Elder,G490)*AA490)*AH490</x:f>
        <x:v>59.659883475843046</x:v>
      </x:c>
      <x:c r="AJ490" s="32" t="n">
        <x:f>H490*v01_CommonsCoef*AI490^v01_CommonsExp*INDEX(LM_Commons,G490)</x:f>
        <x:v>21.32426034914802</x:v>
      </x:c>
      <x:c r="AK490" s="32" t="n">
        <x:f>H490*v01_RoleScale*Arch_Roles*(AE490*(INDEX(v01_ElderRolePerSett,G490)*v01_OutElder*INDEX(LM_Elder,G490)+INDEX(v01_ShamanPerSett,G490)*v01_OutShaman)+Z490*(INDEX(v01_PriestShare,G490)*v01_OutPriest+INDEX(v01_ScribeShare,G490)*v01_OutScribe*INDEX(LM_Scribe,G490)+INDEX(v01_ScholarShare,G490)*v01_OutScholar*INDEX(LM_Scholar,G490)+INDEX(v01_ResearcherShare,G490)*v01_OutResearcher*INDEX(LM_Researcher,G490)))</x:f>
        <x:v>9</x:v>
      </x:c>
      <x:c r="AL490" s="32" t="n">
        <x:f>H490*v01_RoleScale*Arch_Roles*AE490*INDEX(v01_MonasteryPerSett,G490)*v01_OutMonastery*INDEX(LM_Monastery,G490)</x:f>
        <x:v>0</x:v>
      </x:c>
      <x:c r="AM490" s="32" t="n">
        <x:f>(AJ490+AK490+AL490)/4*INDEX(LM_All,G490)*INDEX(v01_Boon,G490)*Arch_Insight</x:f>
        <x:v>7.964856507330909</x:v>
      </x:c>
      <x:c r="AN490" s="32" t="n">
        <x:f>H490*(v01_KHPerAdult*Z490+v01_KHOfCommons*AJ490/4*INDEX(LM_All,G490))*v01_KHUsable*Arch_KH</x:f>
        <x:v>1.1203744992636466</x:v>
      </x:c>
      <x:c r="AO490" s="32" t="n">
        <x:f>MIN(AP489+AN490,AM490*v01_KHMaxRatio)</x:f>
        <x:v>1.1203744992636466</x:v>
      </x:c>
      <x:c r="AP490" s="32" t="n">
        <x:f>AP489+AN490-AO490</x:f>
        <x:v>0</x:v>
      </x:c>
      <x:c r="AQ490" s="32" t="n">
        <x:f>AM490+AO490</x:f>
        <x:v>9.085231006594556</x:v>
      </x:c>
      <x:c r="AR490" s="10" t="n">
        <x:f>IF(H490=1,INDEX(v01_Req,G490),0)</x:f>
        <x:v>4006.9599999999996</x:v>
      </x:c>
      <x:c r="AS490" s="32" t="n">
        <x:f>IF(H490=1,IF(E490=1,AS489-AR489,AS489)+AQ490,0)</x:f>
        <x:v>29.406057522916434</x:v>
      </x:c>
      <x:c r="AT490" s="11" t="n">
        <x:f>IF(AR490&gt;0,MIN(1,AS490/AR490),1)</x:f>
        <x:v>0.0073387449644908955</x:v>
      </x:c>
      <x:c r="AU490" s="10" t="n">
        <x:f>AB490/INDEX(v01_RepScale,G490)</x:f>
        <x:v>36.24583823294532</x:v>
      </x:c>
      <x:c r="AV490" s="32" t="n">
        <x:f>AM490*60/v01_SeasonSeconds</x:f>
        <x:v>31.859426029323636</x:v>
      </x:c>
    </x:row>
    <x:row r="491">
      <x:c r="A491" s="8" t="n">
        <x:f>A490+1</x:f>
        <x:v>488</x:v>
      </x:c>
      <x:c r="B491" s="9" t="n">
        <x:f>A491*v01_SeasonSeconds/60</x:f>
        <x:v>122</x:v>
      </x:c>
      <x:c r="C491" s="9" t="n">
        <x:f>A491/4</x:f>
        <x:v>122</x:v>
      </x:c>
      <x:c r="D491" s="8" t="n">
        <x:f>IF(MOD(A491,4)=0,1,0)</x:f>
        <x:v>1</x:v>
      </x:c>
      <x:c r="E491" s="8" t="n">
        <x:f>IF(AND(F490&lt;=9,AS490&gt;=AR490),1,0)</x:f>
        <x:v>0</x:v>
      </x:c>
      <x:c r="F491" s="8" t="n">
        <x:f>MIN(10,F490+E491)</x:f>
        <x:v>2</x:v>
      </x:c>
      <x:c r="G491" s="8" t="n">
        <x:f>MIN(F491,9)+1</x:f>
        <x:v>3</x:v>
      </x:c>
      <x:c r="H491" s="8" t="n">
        <x:f>IF(F491&lt;=9,1,0)</x:f>
        <x:v>1</x:v>
      </x:c>
      <x:c r="I491" s="9" t="n">
        <x:f>MIN(10,F490+IF(AR490&gt;0,MIN(1,AS490/AR490),1))</x:f>
        <x:v>2.007338744964491</x:v>
      </x:c>
      <x:c r="J491" s="32" t="n">
        <x:f>INDEX(v01_FoodCap,G491)*Arch_FoodCap*EXP(v01_CapsByProject*SUMPRODUCT((Cap_Point&lt;=I491)*(Cap_Kind="Food")*Cap_Ln))</x:f>
        <x:v>60</x:v>
      </x:c>
      <x:c r="K491" s="32" t="n">
        <x:f>J491*MIN(1,v01_LeanBase*EXP(v01_CapsByProject*SUMPRODUCT((Cap_Point&lt;=I491)*(Cap_Kind="Lean")*Cap_Ln)))</x:f>
        <x:v>60</x:v>
      </x:c>
      <x:c r="L491" s="10" t="n">
        <x:f>INDEX(v01_HousingCap,G491)*EXP(v01_CapsByProject*SUMPRODUCT((Cap_Point&lt;=I491)*(Cap_Kind="Housing")*Cap_Ln))</x:f>
        <x:v>100</x:v>
      </x:c>
      <x:c r="M491" s="10" t="n">
        <x:f>INDEX(v01_GroupCap,G491)*v01_CohesionFactor*EXP(v01_CapsByProject*SUMPRODUCT((Cap_Point&lt;=I491)*(Cap_Kind="Group")*Cap_Ln))</x:f>
        <x:v>500</x:v>
      </x:c>
      <x:c r="N491" s="32" t="n">
        <x:f>MIN(J491,L491,M491)</x:f>
        <x:v>60</x:v>
      </x:c>
      <x:c r="O491" s="10" t="n">
        <x:f>AE490*N491</x:f>
        <x:v>180</x:v>
      </x:c>
      <x:c r="P491" s="9" t="n">
        <x:f>MIN(1,(AB490/(AE490*IF(v01_GroupInCrowding=1,N491,MIN(J491,L491))))^v01_CrowdingExp)</x:f>
        <x:v>0.004266716923175178</x:v>
      </x:c>
      <x:c r="Q491" s="9" t="n">
        <x:f>IF(D491=1,INDEX(v01_WinterMult,G491),1)</x:f>
        <x:v>1.3</x:v>
      </x:c>
      <x:c r="R491" s="9" t="n">
        <x:f>H491*Z490*v01_WomenShare*v01_BaseFertility*INDEX(v01_FertMult,G491)*Arch_Fertility*(1-P491)</x:f>
        <x:v>1.290901835037356</x:v>
      </x:c>
      <x:c r="S491" s="9" t="n">
        <x:f>H491*Y490*INDEX(v01_MortChild,G491)/4*Q491</x:f>
        <x:v>0.3556346201131443</x:v>
      </x:c>
      <x:c r="T491" s="9" t="n">
        <x:f>H491*Z490*INDEX(v01_MortAdult,G491)*Arch_AdultMort/4*Q491</x:f>
        <x:v>0.12484172991794922</x:v>
      </x:c>
      <x:c r="U491" s="9" t="n">
        <x:f>H491*AA490*INDEX(v01_MortElder,G491)/4*Q491</x:f>
        <x:v>0.20967297485135303</x:v>
      </x:c>
      <x:c r="V491" s="9" t="n">
        <x:f>H491*MAX(0,AB490-O491)*v01_OvercapLoss</x:f>
        <x:v>0</x:v>
      </x:c>
      <x:c r="W491" s="9" t="n">
        <x:f>H491*Y490/(v01_ChildYears*4)</x:f>
        <x:v>0.5582961069280129</x:v>
      </x:c>
      <x:c r="X491" s="9" t="n">
        <x:f>H491*Z490/(v01_AdultYears*4)</x:f>
        <x:v>0.25815080628194625</x:v>
      </x:c>
      <x:c r="Y491" s="32" t="n">
        <x:f>Y490+R491-S491-W491-Y490*V491/AB490</x:f>
        <x:v>31.641553095964923</x:v>
      </x:c>
      <x:c r="Z491" s="32" t="n">
        <x:f>Z490+W491-X491-T491-Z490*V491/AB490</x:f>
        <x:v>32.18600354968945</x:v>
      </x:c>
      <x:c r="AA491" s="32" t="n">
        <x:f>AA490+X491-U491-AA490*V491/AB490</x:f>
        <x:v>9.264872330391166</x:v>
      </x:c>
      <x:c r="AB491" s="10" t="n">
        <x:f>Y491+Z491+AA491</x:f>
        <x:v>73.09242897604554</x:v>
      </x:c>
      <x:c r="AC491" s="8" t="n">
        <x:f>IF(AND(v01_WinterTrigger=1,D491=1,AB490/AE490&gt;=K491),1,0)</x:f>
        <x:v>0</x:v>
      </x:c>
      <x:c r="AD491" s="8" t="n">
        <x:f>H491*IF(AND(OR(AB490/AE490&gt;=v01_FissionTrigger*N491,AC491=1),AB490/AE490*v01_DaughterShare&gt;=v01_MinDaughter),MAX(1,ROUND(AE490*v01_FissionRate,0)),0)</x:f>
        <x:v>0</x:v>
      </x:c>
      <x:c r="AE491" s="8" t="n">
        <x:f>IF(H491=1,MAX(1,MIN(INDEX(v01_Smax,G491),AE490+AD491)),AE490)</x:f>
        <x:v>3</x:v>
      </x:c>
      <x:c r="AF491" s="8" t="n">
        <x:f>MAX(0,AE491-AE490)</x:f>
        <x:v>0</x:v>
      </x:c>
      <x:c r="AG491" s="9" t="str">
        <x:f>IF(AF491&gt;0,B491,"")</x:f>
      </x:c>
      <x:c r="AH491" s="9" t="n">
        <x:f>IF(F491&gt;=1,1,(1+v01_LowTiesShare*(AE491-1))/AE491)</x:f>
        <x:v>1</x:v>
      </x:c>
      <x:c r="AI491" s="32" t="n">
        <x:f>(Z491+v01_ElderCommons*INDEX(LM_Elder,G491)*AA491)*AH491</x:f>
        <x:v>59.98062054086295</x:v>
      </x:c>
      <x:c r="AJ491" s="32" t="n">
        <x:f>H491*v01_CommonsCoef*AI491^v01_CommonsExp*INDEX(LM_Commons,G491)</x:f>
        <x:v>21.421666160011263</x:v>
      </x:c>
      <x:c r="AK491" s="32" t="n">
        <x:f>H491*v01_RoleScale*Arch_Roles*(AE491*(INDEX(v01_ElderRolePerSett,G491)*v01_OutElder*INDEX(LM_Elder,G491)+INDEX(v01_ShamanPerSett,G491)*v01_OutShaman)+Z491*(INDEX(v01_PriestShare,G491)*v01_OutPriest+INDEX(v01_ScribeShare,G491)*v01_OutScribe*INDEX(LM_Scribe,G491)+INDEX(v01_ScholarShare,G491)*v01_OutScholar*INDEX(LM_Scholar,G491)+INDEX(v01_ResearcherShare,G491)*v01_OutResearcher*INDEX(LM_Researcher,G491)))</x:f>
        <x:v>9</x:v>
      </x:c>
      <x:c r="AL491" s="32" t="n">
        <x:f>H491*v01_RoleScale*Arch_Roles*AE491*INDEX(v01_MonasteryPerSett,G491)*v01_OutMonastery*INDEX(LM_Monastery,G491)</x:f>
        <x:v>0</x:v>
      </x:c>
      <x:c r="AM491" s="32" t="n">
        <x:f>(AJ491+AK491+AL491)/4*INDEX(LM_All,G491)*INDEX(v01_Boon,G491)*Arch_Insight</x:f>
        <x:v>7.990440752340458</x:v>
      </x:c>
      <x:c r="AN491" s="32" t="n">
        <x:f>H491*(v01_KHPerAdult*Z491+v01_KHOfCommons*AJ491/4*INDEX(LM_All,G491))*v01_KHUsable*Arch_KH</x:f>
        <x:v>1.1265101242391307</x:v>
      </x:c>
      <x:c r="AO491" s="32" t="n">
        <x:f>MIN(AP490+AN491,AM491*v01_KHMaxRatio)</x:f>
        <x:v>1.1265101242391307</x:v>
      </x:c>
      <x:c r="AP491" s="32" t="n">
        <x:f>AP490+AN491-AO491</x:f>
        <x:v>0</x:v>
      </x:c>
      <x:c r="AQ491" s="32" t="n">
        <x:f>AM491+AO491</x:f>
        <x:v>9.116950876579589</x:v>
      </x:c>
      <x:c r="AR491" s="10" t="n">
        <x:f>IF(H491=1,INDEX(v01_Req,G491),0)</x:f>
        <x:v>4006.9599999999996</x:v>
      </x:c>
      <x:c r="AS491" s="32" t="n">
        <x:f>IF(H491=1,IF(E491=1,AS490-AR490,AS490)+AQ491,0)</x:f>
        <x:v>38.52300839949602</x:v>
      </x:c>
      <x:c r="AT491" s="11" t="n">
        <x:f>IF(AR491&gt;0,MIN(1,AS491/AR491),1)</x:f>
        <x:v>0.009614023698638376</x:v>
      </x:c>
      <x:c r="AU491" s="10" t="n">
        <x:f>AB491/INDEX(v01_RepScale,G491)</x:f>
        <x:v>36.54621448802277</x:v>
      </x:c>
      <x:c r="AV491" s="32" t="n">
        <x:f>AM491*60/v01_SeasonSeconds</x:f>
        <x:v>31.96176300936183</x:v>
      </x:c>
    </x:row>
    <x:row r="492">
      <x:c r="A492" s="8" t="n">
        <x:f>A491+1</x:f>
        <x:v>489</x:v>
      </x:c>
      <x:c r="B492" s="9" t="n">
        <x:f>A492*v01_SeasonSeconds/60</x:f>
        <x:v>122.25</x:v>
      </x:c>
      <x:c r="C492" s="9" t="n">
        <x:f>A492/4</x:f>
        <x:v>122.25</x:v>
      </x:c>
      <x:c r="D492" s="8" t="n">
        <x:f>IF(MOD(A492,4)=0,1,0)</x:f>
        <x:v>0</x:v>
      </x:c>
      <x:c r="E492" s="8" t="n">
        <x:f>IF(AND(F491&lt;=9,AS491&gt;=AR491),1,0)</x:f>
        <x:v>0</x:v>
      </x:c>
      <x:c r="F492" s="8" t="n">
        <x:f>MIN(10,F491+E492)</x:f>
        <x:v>2</x:v>
      </x:c>
      <x:c r="G492" s="8" t="n">
        <x:f>MIN(F492,9)+1</x:f>
        <x:v>3</x:v>
      </x:c>
      <x:c r="H492" s="8" t="n">
        <x:f>IF(F492&lt;=9,1,0)</x:f>
        <x:v>1</x:v>
      </x:c>
      <x:c r="I492" s="9" t="n">
        <x:f>MIN(10,F491+IF(AR491&gt;0,MIN(1,AS491/AR491),1))</x:f>
        <x:v>2.009614023698638</x:v>
      </x:c>
      <x:c r="J492" s="32" t="n">
        <x:f>INDEX(v01_FoodCap,G492)*Arch_FoodCap*EXP(v01_CapsByProject*SUMPRODUCT((Cap_Point&lt;=I492)*(Cap_Kind="Food")*Cap_Ln))</x:f>
        <x:v>60</x:v>
      </x:c>
      <x:c r="K492" s="32" t="n">
        <x:f>J492*MIN(1,v01_LeanBase*EXP(v01_CapsByProject*SUMPRODUCT((Cap_Point&lt;=I492)*(Cap_Kind="Lean")*Cap_Ln)))</x:f>
        <x:v>60</x:v>
      </x:c>
      <x:c r="L492" s="10" t="n">
        <x:f>INDEX(v01_HousingCap,G492)*EXP(v01_CapsByProject*SUMPRODUCT((Cap_Point&lt;=I492)*(Cap_Kind="Housing")*Cap_Ln))</x:f>
        <x:v>100</x:v>
      </x:c>
      <x:c r="M492" s="10" t="n">
        <x:f>INDEX(v01_GroupCap,G492)*v01_CohesionFactor*EXP(v01_CapsByProject*SUMPRODUCT((Cap_Point&lt;=I492)*(Cap_Kind="Group")*Cap_Ln))</x:f>
        <x:v>500</x:v>
      </x:c>
      <x:c r="N492" s="32" t="n">
        <x:f>MIN(J492,L492,M492)</x:f>
        <x:v>60</x:v>
      </x:c>
      <x:c r="O492" s="10" t="n">
        <x:f>AE491*N492</x:f>
        <x:v>180</x:v>
      </x:c>
      <x:c r="P492" s="9" t="n">
        <x:f>MIN(1,(AB491/(AE491*IF(v01_GroupInCrowding=1,N492,MIN(J492,L492))))^v01_CrowdingExp)</x:f>
        <x:v>0.0044833158480886</x:v>
      </x:c>
      <x:c r="Q492" s="9" t="n">
        <x:f>IF(D492=1,INDEX(v01_WinterMult,G492),1)</x:f>
        <x:v>1</x:v>
      </x:c>
      <x:c r="R492" s="9" t="n">
        <x:f>H492*Z491*v01_WomenShare*v01_BaseFertility*INDEX(v01_FertMult,G492)*Arch_Fertility*(1-P492)</x:f>
        <x:v>1.2976889929604838</x:v>
      </x:c>
      <x:c r="S492" s="9" t="n">
        <x:f>H492*Y491*INDEX(v01_MortChild,G492)/4*Q492</x:f>
        <x:v>0.2768635895896931</x:v>
      </x:c>
      <x:c r="T492" s="9" t="n">
        <x:f>H492*Z491*INDEX(v01_MortAdult,G492)*Arch_AdultMort/4*Q492</x:f>
        <x:v>0.09655801064906835</x:v>
      </x:c>
      <x:c r="U492" s="9" t="n">
        <x:f>H492*AA491*INDEX(v01_MortElder,G492)/4*Q492</x:f>
        <x:v>0.16213526578184542</x:v>
      </x:c>
      <x:c r="V492" s="9" t="n">
        <x:f>H492*MAX(0,AB491-O492)*v01_OvercapLoss</x:f>
        <x:v>0</x:v>
      </x:c>
      <x:c r="W492" s="9" t="n">
        <x:f>H492*Y491/(v01_ChildYears*4)</x:f>
        <x:v>0.5650277338565165</x:v>
      </x:c>
      <x:c r="X492" s="9" t="n">
        <x:f>H492*Z491/(v01_AdultYears*4)</x:f>
        <x:v>0.2595645447555601</x:v>
      </x:c>
      <x:c r="Y492" s="32" t="n">
        <x:f>Y491+R492-S492-W492-Y491*V492/AB491</x:f>
        <x:v>32.09735076547919</x:v>
      </x:c>
      <x:c r="Z492" s="32" t="n">
        <x:f>Z491+W492-X492-T492-Z491*V492/AB491</x:f>
        <x:v>32.39490872814134</x:v>
      </x:c>
      <x:c r="AA492" s="32" t="n">
        <x:f>AA491+X492-U492-AA491*V492/AB491</x:f>
        <x:v>9.36230160936488</x:v>
      </x:c>
      <x:c r="AB492" s="10" t="n">
        <x:f>Y492+Z492+AA492</x:f>
        <x:v>73.85456110298541</x:v>
      </x:c>
      <x:c r="AC492" s="8" t="n">
        <x:f>IF(AND(v01_WinterTrigger=1,D492=1,AB491/AE491&gt;=K492),1,0)</x:f>
        <x:v>0</x:v>
      </x:c>
      <x:c r="AD492" s="8" t="n">
        <x:f>H492*IF(AND(OR(AB491/AE491&gt;=v01_FissionTrigger*N492,AC492=1),AB491/AE491*v01_DaughterShare&gt;=v01_MinDaughter),MAX(1,ROUND(AE491*v01_FissionRate,0)),0)</x:f>
        <x:v>0</x:v>
      </x:c>
      <x:c r="AE492" s="8" t="n">
        <x:f>IF(H492=1,MAX(1,MIN(INDEX(v01_Smax,G492),AE491+AD492)),AE491)</x:f>
        <x:v>3</x:v>
      </x:c>
      <x:c r="AF492" s="8" t="n">
        <x:f>MAX(0,AE492-AE491)</x:f>
        <x:v>0</x:v>
      </x:c>
      <x:c r="AG492" s="9" t="str">
        <x:f>IF(AF492&gt;0,B492,"")</x:f>
      </x:c>
      <x:c r="AH492" s="9" t="n">
        <x:f>IF(F492&gt;=1,1,(1+v01_LowTiesShare*(AE492-1))/AE492)</x:f>
        <x:v>1</x:v>
      </x:c>
      <x:c r="AI492" s="32" t="n">
        <x:f>(Z492+v01_ElderCommons*INDEX(LM_Elder,G492)*AA492)*AH492</x:f>
        <x:v>60.48181355623598</x:v>
      </x:c>
      <x:c r="AJ492" s="32" t="n">
        <x:f>H492*v01_CommonsCoef*AI492^v01_CommonsExp*INDEX(LM_Commons,G492)</x:f>
        <x:v>21.57371910694826</x:v>
      </x:c>
      <x:c r="AK492" s="32" t="n">
        <x:f>H492*v01_RoleScale*Arch_Roles*(AE492*(INDEX(v01_ElderRolePerSett,G492)*v01_OutElder*INDEX(LM_Elder,G492)+INDEX(v01_ShamanPerSett,G492)*v01_OutShaman)+Z492*(INDEX(v01_PriestShare,G492)*v01_OutPriest+INDEX(v01_ScribeShare,G492)*v01_OutScribe*INDEX(LM_Scribe,G492)+INDEX(v01_ScholarShare,G492)*v01_OutScholar*INDEX(LM_Scholar,G492)+INDEX(v01_ResearcherShare,G492)*v01_OutResearcher*INDEX(LM_Researcher,G492)))</x:f>
        <x:v>9</x:v>
      </x:c>
      <x:c r="AL492" s="32" t="n">
        <x:f>H492*v01_RoleScale*Arch_Roles*AE492*INDEX(v01_MonasteryPerSett,G492)*v01_OutMonastery*INDEX(LM_Monastery,G492)</x:f>
        <x:v>0</x:v>
      </x:c>
      <x:c r="AM492" s="32" t="n">
        <x:f>(AJ492+AK492+AL492)/4*INDEX(LM_All,G492)*INDEX(v01_Boon,G492)*Arch_Insight</x:f>
        <x:v>8.030378409184378</x:v>
      </x:c>
      <x:c r="AN492" s="32" t="n">
        <x:f>H492*(v01_KHPerAdult*Z492+v01_KHOfCommons*AJ492/4*INDEX(LM_All,G492))*v01_KHUsable*Arch_KH</x:f>
        <x:v>1.1338218054849467</x:v>
      </x:c>
      <x:c r="AO492" s="32" t="n">
        <x:f>MIN(AP491+AN492,AM492*v01_KHMaxRatio)</x:f>
        <x:v>1.1338218054849467</x:v>
      </x:c>
      <x:c r="AP492" s="32" t="n">
        <x:f>AP491+AN492-AO492</x:f>
        <x:v>0</x:v>
      </x:c>
      <x:c r="AQ492" s="32" t="n">
        <x:f>AM492+AO492</x:f>
        <x:v>9.164200214669325</x:v>
      </x:c>
      <x:c r="AR492" s="10" t="n">
        <x:f>IF(H492=1,INDEX(v01_Req,G492),0)</x:f>
        <x:v>4006.9599999999996</x:v>
      </x:c>
      <x:c r="AS492" s="32" t="n">
        <x:f>IF(H492=1,IF(E492=1,AS491-AR491,AS491)+AQ492,0)</x:f>
        <x:v>47.68720861416534</x:v>
      </x:c>
      <x:c r="AT492" s="11" t="n">
        <x:f>IF(AR492&gt;0,MIN(1,AS492/AR492),1)</x:f>
        <x:v>0.011901094249547125</x:v>
      </x:c>
      <x:c r="AU492" s="10" t="n">
        <x:f>AB492/INDEX(v01_RepScale,G492)</x:f>
        <x:v>36.92728055149271</x:v>
      </x:c>
      <x:c r="AV492" s="32" t="n">
        <x:f>AM492*60/v01_SeasonSeconds</x:f>
        <x:v>32.12151363673751</x:v>
      </x:c>
    </x:row>
    <x:row r="493">
      <x:c r="A493" s="8" t="n">
        <x:f>A492+1</x:f>
        <x:v>490</x:v>
      </x:c>
      <x:c r="B493" s="9" t="n">
        <x:f>A493*v01_SeasonSeconds/60</x:f>
        <x:v>122.5</x:v>
      </x:c>
      <x:c r="C493" s="9" t="n">
        <x:f>A493/4</x:f>
        <x:v>122.5</x:v>
      </x:c>
      <x:c r="D493" s="8" t="n">
        <x:f>IF(MOD(A493,4)=0,1,0)</x:f>
        <x:v>0</x:v>
      </x:c>
      <x:c r="E493" s="8" t="n">
        <x:f>IF(AND(F492&lt;=9,AS492&gt;=AR492),1,0)</x:f>
        <x:v>0</x:v>
      </x:c>
      <x:c r="F493" s="8" t="n">
        <x:f>MIN(10,F492+E493)</x:f>
        <x:v>2</x:v>
      </x:c>
      <x:c r="G493" s="8" t="n">
        <x:f>MIN(F493,9)+1</x:f>
        <x:v>3</x:v>
      </x:c>
      <x:c r="H493" s="8" t="n">
        <x:f>IF(F493&lt;=9,1,0)</x:f>
        <x:v>1</x:v>
      </x:c>
      <x:c r="I493" s="9" t="n">
        <x:f>MIN(10,F492+IF(AR492&gt;0,MIN(1,AS492/AR492),1))</x:f>
        <x:v>2.011901094249547</x:v>
      </x:c>
      <x:c r="J493" s="32" t="n">
        <x:f>INDEX(v01_FoodCap,G493)*Arch_FoodCap*EXP(v01_CapsByProject*SUMPRODUCT((Cap_Point&lt;=I493)*(Cap_Kind="Food")*Cap_Ln))</x:f>
        <x:v>60</x:v>
      </x:c>
      <x:c r="K493" s="32" t="n">
        <x:f>J493*MIN(1,v01_LeanBase*EXP(v01_CapsByProject*SUMPRODUCT((Cap_Point&lt;=I493)*(Cap_Kind="Lean")*Cap_Ln)))</x:f>
        <x:v>60</x:v>
      </x:c>
      <x:c r="L493" s="10" t="n">
        <x:f>INDEX(v01_HousingCap,G493)*EXP(v01_CapsByProject*SUMPRODUCT((Cap_Point&lt;=I493)*(Cap_Kind="Housing")*Cap_Ln))</x:f>
        <x:v>100</x:v>
      </x:c>
      <x:c r="M493" s="10" t="n">
        <x:f>INDEX(v01_GroupCap,G493)*v01_CohesionFactor*EXP(v01_CapsByProject*SUMPRODUCT((Cap_Point&lt;=I493)*(Cap_Kind="Group")*Cap_Ln))</x:f>
        <x:v>500</x:v>
      </x:c>
      <x:c r="N493" s="32" t="n">
        <x:f>MIN(J493,L493,M493)</x:f>
        <x:v>60</x:v>
      </x:c>
      <x:c r="O493" s="10" t="n">
        <x:f>AE492*N493</x:f>
        <x:v>180</x:v>
      </x:c>
      <x:c r="P493" s="9" t="n">
        <x:f>MIN(1,(AB492/(AE492*IF(v01_GroupInCrowding=1,N493,MIN(J493,L493))))^v01_CrowdingExp)</x:f>
        <x:v>0.004771214031122146</x:v>
      </x:c>
      <x:c r="Q493" s="9" t="n">
        <x:f>IF(D493=1,INDEX(v01_WinterMult,G493),1)</x:f>
        <x:v>1</x:v>
      </x:c>
      <x:c r="R493" s="9" t="n">
        <x:f>H493*Z492*v01_WomenShare*v01_BaseFertility*INDEX(v01_FertMult,G493)*Arch_Fertility*(1-P493)</x:f>
        <x:v>1.305734000245769</x:v>
      </x:c>
      <x:c r="S493" s="9" t="n">
        <x:f>H493*Y492*INDEX(v01_MortChild,G493)/4*Q493</x:f>
        <x:v>0.28085181919794294</x:v>
      </x:c>
      <x:c r="T493" s="9" t="n">
        <x:f>H493*Z492*INDEX(v01_MortAdult,G493)*Arch_AdultMort/4*Q493</x:f>
        <x:v>0.09718472618442402</x:v>
      </x:c>
      <x:c r="U493" s="9" t="n">
        <x:f>H493*AA492*INDEX(v01_MortElder,G493)/4*Q493</x:f>
        <x:v>0.16384027816388544</x:v>
      </x:c>
      <x:c r="V493" s="9" t="n">
        <x:f>H493*MAX(0,AB492-O493)*v01_OvercapLoss</x:f>
        <x:v>0</x:v>
      </x:c>
      <x:c r="W493" s="9" t="n">
        <x:f>H493*Y492/(v01_ChildYears*4)</x:f>
        <x:v>0.5731669779549856</x:v>
      </x:c>
      <x:c r="X493" s="9" t="n">
        <x:f>H493*Z492/(v01_AdultYears*4)</x:f>
        <x:v>0.2612492639366237</x:v>
      </x:c>
      <x:c r="Y493" s="32" t="n">
        <x:f>Y492+R493-S493-W493-Y492*V493/AB492</x:f>
        <x:v>32.54906596857204</x:v>
      </x:c>
      <x:c r="Z493" s="32" t="n">
        <x:f>Z492+W493-X493-T493-Z492*V493/AB492</x:f>
        <x:v>32.60964171597527</x:v>
      </x:c>
      <x:c r="AA493" s="32" t="n">
        <x:f>AA492+X493-U493-AA492*V493/AB492</x:f>
        <x:v>9.459710595137619</x:v>
      </x:c>
      <x:c r="AB493" s="10" t="n">
        <x:f>Y493+Z493+AA493</x:f>
        <x:v>74.61841827968493</x:v>
      </x:c>
      <x:c r="AC493" s="8" t="n">
        <x:f>IF(AND(v01_WinterTrigger=1,D493=1,AB492/AE492&gt;=K493),1,0)</x:f>
        <x:v>0</x:v>
      </x:c>
      <x:c r="AD493" s="8" t="n">
        <x:f>H493*IF(AND(OR(AB492/AE492&gt;=v01_FissionTrigger*N493,AC493=1),AB492/AE492*v01_DaughterShare&gt;=v01_MinDaughter),MAX(1,ROUND(AE492*v01_FissionRate,0)),0)</x:f>
        <x:v>0</x:v>
      </x:c>
      <x:c r="AE493" s="8" t="n">
        <x:f>IF(H493=1,MAX(1,MIN(INDEX(v01_Smax,G493),AE492+AD493)),AE492)</x:f>
        <x:v>3</x:v>
      </x:c>
      <x:c r="AF493" s="8" t="n">
        <x:f>MAX(0,AE493-AE492)</x:f>
        <x:v>0</x:v>
      </x:c>
      <x:c r="AG493" s="9" t="str">
        <x:f>IF(AF493&gt;0,B493,"")</x:f>
      </x:c>
      <x:c r="AH493" s="9" t="n">
        <x:f>IF(F493&gt;=1,1,(1+v01_LowTiesShare*(AE493-1))/AE493)</x:f>
        <x:v>1</x:v>
      </x:c>
      <x:c r="AI493" s="32" t="n">
        <x:f>(Z493+v01_ElderCommons*INDEX(LM_Elder,G493)*AA493)*AH493</x:f>
        <x:v>60.988773501388124</x:v>
      </x:c>
      <x:c r="AJ493" s="32" t="n">
        <x:f>H493*v01_CommonsCoef*AI493^v01_CommonsExp*INDEX(LM_Commons,G493)</x:f>
        <x:v>21.72732948417196</x:v>
      </x:c>
      <x:c r="AK493" s="32" t="n">
        <x:f>H493*v01_RoleScale*Arch_Roles*(AE493*(INDEX(v01_ElderRolePerSett,G493)*v01_OutElder*INDEX(LM_Elder,G493)+INDEX(v01_ShamanPerSett,G493)*v01_OutShaman)+Z493*(INDEX(v01_PriestShare,G493)*v01_OutPriest+INDEX(v01_ScribeShare,G493)*v01_OutScribe*INDEX(LM_Scribe,G493)+INDEX(v01_ScholarShare,G493)*v01_OutScholar*INDEX(LM_Scholar,G493)+INDEX(v01_ResearcherShare,G493)*v01_OutResearcher*INDEX(LM_Researcher,G493)))</x:f>
        <x:v>9</x:v>
      </x:c>
      <x:c r="AL493" s="32" t="n">
        <x:f>H493*v01_RoleScale*Arch_Roles*AE493*INDEX(v01_MonasteryPerSett,G493)*v01_OutMonastery*INDEX(LM_Monastery,G493)</x:f>
        <x:v>0</x:v>
      </x:c>
      <x:c r="AM493" s="32" t="n">
        <x:f>(AJ493+AK493+AL493)/4*INDEX(LM_All,G493)*INDEX(v01_Boon,G493)*Arch_Insight</x:f>
        <x:v>8.070725134827041</x:v>
      </x:c>
      <x:c r="AN493" s="32" t="n">
        <x:f>H493*(v01_KHPerAdult*Z493+v01_KHOfCommons*AJ493/4*INDEX(LM_All,G493))*v01_KHUsable*Arch_KH</x:f>
        <x:v>1.1413374600591344</x:v>
      </x:c>
      <x:c r="AO493" s="32" t="n">
        <x:f>MIN(AP492+AN493,AM493*v01_KHMaxRatio)</x:f>
        <x:v>1.1413374600591344</x:v>
      </x:c>
      <x:c r="AP493" s="32" t="n">
        <x:f>AP492+AN493-AO493</x:f>
        <x:v>0</x:v>
      </x:c>
      <x:c r="AQ493" s="32" t="n">
        <x:f>AM493+AO493</x:f>
        <x:v>9.212062594886175</x:v>
      </x:c>
      <x:c r="AR493" s="10" t="n">
        <x:f>IF(H493=1,INDEX(v01_Req,G493),0)</x:f>
        <x:v>4006.9599999999996</x:v>
      </x:c>
      <x:c r="AS493" s="32" t="n">
        <x:f>IF(H493=1,IF(E493=1,AS492-AR492,AS492)+AQ493,0)</x:f>
        <x:v>56.89927120905152</x:v>
      </x:c>
      <x:c r="AT493" s="11" t="n">
        <x:f>IF(AR493&gt;0,MIN(1,AS493/AR493),1)</x:f>
        <x:v>0.014200109611538805</x:v>
      </x:c>
      <x:c r="AU493" s="10" t="n">
        <x:f>AB493/INDEX(v01_RepScale,G493)</x:f>
        <x:v>37.309209139842466</x:v>
      </x:c>
      <x:c r="AV493" s="32" t="n">
        <x:f>AM493*60/v01_SeasonSeconds</x:f>
        <x:v>32.282900539308166</x:v>
      </x:c>
    </x:row>
    <x:row r="494">
      <x:c r="A494" s="8" t="n">
        <x:f>A493+1</x:f>
        <x:v>491</x:v>
      </x:c>
      <x:c r="B494" s="9" t="n">
        <x:f>A494*v01_SeasonSeconds/60</x:f>
        <x:v>122.75</x:v>
      </x:c>
      <x:c r="C494" s="9" t="n">
        <x:f>A494/4</x:f>
        <x:v>122.75</x:v>
      </x:c>
      <x:c r="D494" s="8" t="n">
        <x:f>IF(MOD(A494,4)=0,1,0)</x:f>
        <x:v>0</x:v>
      </x:c>
      <x:c r="E494" s="8" t="n">
        <x:f>IF(AND(F493&lt;=9,AS493&gt;=AR493),1,0)</x:f>
        <x:v>0</x:v>
      </x:c>
      <x:c r="F494" s="8" t="n">
        <x:f>MIN(10,F493+E494)</x:f>
        <x:v>2</x:v>
      </x:c>
      <x:c r="G494" s="8" t="n">
        <x:f>MIN(F494,9)+1</x:f>
        <x:v>3</x:v>
      </x:c>
      <x:c r="H494" s="8" t="n">
        <x:f>IF(F494&lt;=9,1,0)</x:f>
        <x:v>1</x:v>
      </x:c>
      <x:c r="I494" s="9" t="n">
        <x:f>MIN(10,F493+IF(AR493&gt;0,MIN(1,AS493/AR493),1))</x:f>
        <x:v>2.0142001096115387</x:v>
      </x:c>
      <x:c r="J494" s="32" t="n">
        <x:f>INDEX(v01_FoodCap,G494)*Arch_FoodCap*EXP(v01_CapsByProject*SUMPRODUCT((Cap_Point&lt;=I494)*(Cap_Kind="Food")*Cap_Ln))</x:f>
        <x:v>60</x:v>
      </x:c>
      <x:c r="K494" s="32" t="n">
        <x:f>J494*MIN(1,v01_LeanBase*EXP(v01_CapsByProject*SUMPRODUCT((Cap_Point&lt;=I494)*(Cap_Kind="Lean")*Cap_Ln)))</x:f>
        <x:v>60</x:v>
      </x:c>
      <x:c r="L494" s="10" t="n">
        <x:f>INDEX(v01_HousingCap,G494)*EXP(v01_CapsByProject*SUMPRODUCT((Cap_Point&lt;=I494)*(Cap_Kind="Housing")*Cap_Ln))</x:f>
        <x:v>100</x:v>
      </x:c>
      <x:c r="M494" s="10" t="n">
        <x:f>INDEX(v01_GroupCap,G494)*v01_CohesionFactor*EXP(v01_CapsByProject*SUMPRODUCT((Cap_Point&lt;=I494)*(Cap_Kind="Group")*Cap_Ln))</x:f>
        <x:v>500</x:v>
      </x:c>
      <x:c r="N494" s="32" t="n">
        <x:f>MIN(J494,L494,M494)</x:f>
        <x:v>60</x:v>
      </x:c>
      <x:c r="O494" s="10" t="n">
        <x:f>AE493*N494</x:f>
        <x:v>180</x:v>
      </x:c>
      <x:c r="P494" s="9" t="n">
        <x:f>MIN(1,(AB493/(AE493*IF(v01_GroupInCrowding=1,N494,MIN(J494,L494))))^v01_CrowdingExp)</x:f>
        <x:v>0.005075060251311132</x:v>
      </x:c>
      <x:c r="Q494" s="9" t="n">
        <x:f>IF(D494=1,INDEX(v01_WinterMult,G494),1)</x:f>
        <x:v>1</x:v>
      </x:c>
      <x:c r="R494" s="9" t="n">
        <x:f>H494*Z493*v01_WomenShare*v01_BaseFertility*INDEX(v01_FertMult,G494)*Arch_Fertility*(1-P494)</x:f>
        <x:v>1.3139879056894679</x:v>
      </x:c>
      <x:c r="S494" s="9" t="n">
        <x:f>H494*Y493*INDEX(v01_MortChild,G494)/4*Q494</x:f>
        <x:v>0.28480432722500537</x:v>
      </x:c>
      <x:c r="T494" s="9" t="n">
        <x:f>H494*Z493*INDEX(v01_MortAdult,G494)*Arch_AdultMort/4*Q494</x:f>
        <x:v>0.09782892514792582</x:v>
      </x:c>
      <x:c r="U494" s="9" t="n">
        <x:f>H494*AA493*INDEX(v01_MortElder,G494)/4*Q494</x:f>
        <x:v>0.16554493541490833</x:v>
      </x:c>
      <x:c r="V494" s="9" t="n">
        <x:f>H494*MAX(0,AB493-O494)*v01_OvercapLoss</x:f>
        <x:v>0</x:v>
      </x:c>
      <x:c r="W494" s="9" t="n">
        <x:f>H494*Y493/(v01_ChildYears*4)</x:f>
        <x:v>0.5812333208673578</x:v>
      </x:c>
      <x:c r="X494" s="9" t="n">
        <x:f>H494*Z493/(v01_AdultYears*4)</x:f>
        <x:v>0.26298098158044575</x:v>
      </x:c>
      <x:c r="Y494" s="32" t="n">
        <x:f>Y493+R494-S494-W494-Y493*V494/AB493</x:f>
        <x:v>32.997016226169144</x:v>
      </x:c>
      <x:c r="Z494" s="32" t="n">
        <x:f>Z493+W494-X494-T494-Z493*V494/AB493</x:f>
        <x:v>32.83006513011426</x:v>
      </x:c>
      <x:c r="AA494" s="32" t="n">
        <x:f>AA493+X494-U494-AA493*V494/AB493</x:f>
        <x:v>9.557146641303156</x:v>
      </x:c>
      <x:c r="AB494" s="10" t="n">
        <x:f>Y494+Z494+AA494</x:f>
        <x:v>75.38422799758655</x:v>
      </x:c>
      <x:c r="AC494" s="8" t="n">
        <x:f>IF(AND(v01_WinterTrigger=1,D494=1,AB493/AE493&gt;=K494),1,0)</x:f>
        <x:v>0</x:v>
      </x:c>
      <x:c r="AD494" s="8" t="n">
        <x:f>H494*IF(AND(OR(AB493/AE493&gt;=v01_FissionTrigger*N494,AC494=1),AB493/AE493*v01_DaughterShare&gt;=v01_MinDaughter),MAX(1,ROUND(AE493*v01_FissionRate,0)),0)</x:f>
        <x:v>0</x:v>
      </x:c>
      <x:c r="AE494" s="8" t="n">
        <x:f>IF(H494=1,MAX(1,MIN(INDEX(v01_Smax,G494),AE493+AD494)),AE493)</x:f>
        <x:v>3</x:v>
      </x:c>
      <x:c r="AF494" s="8" t="n">
        <x:f>MAX(0,AE494-AE493)</x:f>
        <x:v>0</x:v>
      </x:c>
      <x:c r="AG494" s="9" t="str">
        <x:f>IF(AF494&gt;0,B494,"")</x:f>
      </x:c>
      <x:c r="AH494" s="9" t="n">
        <x:f>IF(F494&gt;=1,1,(1+v01_LowTiesShare*(AE494-1))/AE494)</x:f>
        <x:v>1</x:v>
      </x:c>
      <x:c r="AI494" s="32" t="n">
        <x:f>(Z494+v01_ElderCommons*INDEX(LM_Elder,G494)*AA494)*AH494</x:f>
        <x:v>61.501505054023724</x:v>
      </x:c>
      <x:c r="AJ494" s="32" t="n">
        <x:f>H494*v01_CommonsCoef*AI494^v01_CommonsExp*INDEX(LM_Commons,G494)</x:f>
        <x:v>21.88249398908878</x:v>
      </x:c>
      <x:c r="AK494" s="32" t="n">
        <x:f>H494*v01_RoleScale*Arch_Roles*(AE494*(INDEX(v01_ElderRolePerSett,G494)*v01_OutElder*INDEX(LM_Elder,G494)+INDEX(v01_ShamanPerSett,G494)*v01_OutShaman)+Z494*(INDEX(v01_PriestShare,G494)*v01_OutPriest+INDEX(v01_ScribeShare,G494)*v01_OutScribe*INDEX(LM_Scribe,G494)+INDEX(v01_ScholarShare,G494)*v01_OutScholar*INDEX(LM_Scholar,G494)+INDEX(v01_ResearcherShare,G494)*v01_OutResearcher*INDEX(LM_Researcher,G494)))</x:f>
        <x:v>9</x:v>
      </x:c>
      <x:c r="AL494" s="32" t="n">
        <x:f>H494*v01_RoleScale*Arch_Roles*AE494*INDEX(v01_MonasteryPerSett,G494)*v01_OutMonastery*INDEX(LM_Monastery,G494)</x:f>
        <x:v>0</x:v>
      </x:c>
      <x:c r="AM494" s="32" t="n">
        <x:f>(AJ494+AK494+AL494)/4*INDEX(LM_All,G494)*INDEX(v01_Boon,G494)*Arch_Insight</x:f>
        <x:v>8.111480061821599</x:v>
      </x:c>
      <x:c r="AN494" s="32" t="n">
        <x:f>H494*(v01_KHPerAdult*Z494+v01_KHOfCommons*AJ494/4*INDEX(LM_All,G494))*v01_KHUsable*Arch_KH</x:f>
        <x:v>1.1490522795539988</x:v>
      </x:c>
      <x:c r="AO494" s="32" t="n">
        <x:f>MIN(AP493+AN494,AM494*v01_KHMaxRatio)</x:f>
        <x:v>1.1490522795539988</x:v>
      </x:c>
      <x:c r="AP494" s="32" t="n">
        <x:f>AP493+AN494-AO494</x:f>
        <x:v>0</x:v>
      </x:c>
      <x:c r="AQ494" s="32" t="n">
        <x:f>AM494+AO494</x:f>
        <x:v>9.260532341375598</x:v>
      </x:c>
      <x:c r="AR494" s="10" t="n">
        <x:f>IF(H494=1,INDEX(v01_Req,G494),0)</x:f>
        <x:v>4006.9599999999996</x:v>
      </x:c>
      <x:c r="AS494" s="32" t="n">
        <x:f>IF(H494=1,IF(E494=1,AS493-AR493,AS493)+AQ494,0)</x:f>
        <x:v>66.15980355042711</x:v>
      </x:c>
      <x:c r="AT494" s="11" t="n">
        <x:f>IF(AR494&gt;0,MIN(1,AS494/AR494),1)</x:f>
        <x:v>0.01651122136243614</x:v>
      </x:c>
      <x:c r="AU494" s="10" t="n">
        <x:f>AB494/INDEX(v01_RepScale,G494)</x:f>
        <x:v>37.692113998793275</x:v>
      </x:c>
      <x:c r="AV494" s="32" t="n">
        <x:f>AM494*60/v01_SeasonSeconds</x:f>
        <x:v>32.445920247286395</x:v>
      </x:c>
    </x:row>
    <x:row r="495">
      <x:c r="A495" s="8" t="n">
        <x:f>A494+1</x:f>
        <x:v>492</x:v>
      </x:c>
      <x:c r="B495" s="9" t="n">
        <x:f>A495*v01_SeasonSeconds/60</x:f>
        <x:v>123</x:v>
      </x:c>
      <x:c r="C495" s="9" t="n">
        <x:f>A495/4</x:f>
        <x:v>123</x:v>
      </x:c>
      <x:c r="D495" s="8" t="n">
        <x:f>IF(MOD(A495,4)=0,1,0)</x:f>
        <x:v>1</x:v>
      </x:c>
      <x:c r="E495" s="8" t="n">
        <x:f>IF(AND(F494&lt;=9,AS494&gt;=AR494),1,0)</x:f>
        <x:v>0</x:v>
      </x:c>
      <x:c r="F495" s="8" t="n">
        <x:f>MIN(10,F494+E495)</x:f>
        <x:v>2</x:v>
      </x:c>
      <x:c r="G495" s="8" t="n">
        <x:f>MIN(F495,9)+1</x:f>
        <x:v>3</x:v>
      </x:c>
      <x:c r="H495" s="8" t="n">
        <x:f>IF(F495&lt;=9,1,0)</x:f>
        <x:v>1</x:v>
      </x:c>
      <x:c r="I495" s="9" t="n">
        <x:f>MIN(10,F494+IF(AR494&gt;0,MIN(1,AS494/AR494),1))</x:f>
        <x:v>2.0165112213624363</x:v>
      </x:c>
      <x:c r="J495" s="32" t="n">
        <x:f>INDEX(v01_FoodCap,G495)*Arch_FoodCap*EXP(v01_CapsByProject*SUMPRODUCT((Cap_Point&lt;=I495)*(Cap_Kind="Food")*Cap_Ln))</x:f>
        <x:v>60</x:v>
      </x:c>
      <x:c r="K495" s="32" t="n">
        <x:f>J495*MIN(1,v01_LeanBase*EXP(v01_CapsByProject*SUMPRODUCT((Cap_Point&lt;=I495)*(Cap_Kind="Lean")*Cap_Ln)))</x:f>
        <x:v>60</x:v>
      </x:c>
      <x:c r="L495" s="10" t="n">
        <x:f>INDEX(v01_HousingCap,G495)*EXP(v01_CapsByProject*SUMPRODUCT((Cap_Point&lt;=I495)*(Cap_Kind="Housing")*Cap_Ln))</x:f>
        <x:v>100</x:v>
      </x:c>
      <x:c r="M495" s="10" t="n">
        <x:f>INDEX(v01_GroupCap,G495)*v01_CohesionFactor*EXP(v01_CapsByProject*SUMPRODUCT((Cap_Point&lt;=I495)*(Cap_Kind="Group")*Cap_Ln))</x:f>
        <x:v>500</x:v>
      </x:c>
      <x:c r="N495" s="32" t="n">
        <x:f>MIN(J495,L495,M495)</x:f>
        <x:v>60</x:v>
      </x:c>
      <x:c r="O495" s="10" t="n">
        <x:f>AE494*N495</x:f>
        <x:v>180</x:v>
      </x:c>
      <x:c r="P495" s="9" t="n">
        <x:f>MIN(1,(AB494/(AE494*IF(v01_GroupInCrowding=1,N495,MIN(J495,L495))))^v01_CrowdingExp)</x:f>
        <x:v>0.005395701542487092</x:v>
      </x:c>
      <x:c r="Q495" s="9" t="n">
        <x:f>IF(D495=1,INDEX(v01_WinterMult,G495),1)</x:f>
        <x:v>1.3</x:v>
      </x:c>
      <x:c r="R495" s="9" t="n">
        <x:f>H495*Z494*v01_WomenShare*v01_BaseFertility*INDEX(v01_FertMult,G495)*Arch_Fertility*(1-P495)</x:f>
        <x:v>1.3224434178305957</x:v>
      </x:c>
      <x:c r="S495" s="9" t="n">
        <x:f>H495*Y494*INDEX(v01_MortChild,G495)/4*Q495</x:f>
        <x:v>0.37534105957267405</x:v>
      </x:c>
      <x:c r="T495" s="9" t="n">
        <x:f>H495*Z494*INDEX(v01_MortAdult,G495)*Arch_AdultMort/4*Q495</x:f>
        <x:v>0.12803725400744562</x:v>
      </x:c>
      <x:c r="U495" s="9" t="n">
        <x:f>H495*AA494*INDEX(v01_MortElder,G495)/4*Q495</x:f>
        <x:v>0.21742508608964684</x:v>
      </x:c>
      <x:c r="V495" s="9" t="n">
        <x:f>H495*MAX(0,AB494-O495)*v01_OvercapLoss</x:f>
        <x:v>0</x:v>
      </x:c>
      <x:c r="W495" s="9" t="n">
        <x:f>H495*Y494/(v01_ChildYears*4)</x:f>
        <x:v>0.5892324326101633</x:v>
      </x:c>
      <x:c r="X495" s="9" t="n">
        <x:f>H495*Z494/(v01_AdultYears*4)</x:f>
        <x:v>0.2647585897589859</x:v>
      </x:c>
      <x:c r="Y495" s="32" t="n">
        <x:f>Y494+R495-S495-W495-Y494*V495/AB494</x:f>
        <x:v>33.354886151816906</x:v>
      </x:c>
      <x:c r="Z495" s="32" t="n">
        <x:f>Z494+W495-X495-T495-Z494*V495/AB494</x:f>
        <x:v>33.02650171895799</x:v>
      </x:c>
      <x:c r="AA495" s="32" t="n">
        <x:f>AA494+X495-U495-AA494*V495/AB494</x:f>
        <x:v>9.604480144972495</x:v>
      </x:c>
      <x:c r="AB495" s="10" t="n">
        <x:f>Y495+Z495+AA495</x:f>
        <x:v>75.98586801574739</x:v>
      </x:c>
      <x:c r="AC495" s="8" t="n">
        <x:f>IF(AND(v01_WinterTrigger=1,D495=1,AB494/AE494&gt;=K495),1,0)</x:f>
        <x:v>0</x:v>
      </x:c>
      <x:c r="AD495" s="8" t="n">
        <x:f>H495*IF(AND(OR(AB494/AE494&gt;=v01_FissionTrigger*N495,AC495=1),AB494/AE494*v01_DaughterShare&gt;=v01_MinDaughter),MAX(1,ROUND(AE494*v01_FissionRate,0)),0)</x:f>
        <x:v>0</x:v>
      </x:c>
      <x:c r="AE495" s="8" t="n">
        <x:f>IF(H495=1,MAX(1,MIN(INDEX(v01_Smax,G495),AE494+AD495)),AE494)</x:f>
        <x:v>3</x:v>
      </x:c>
      <x:c r="AF495" s="8" t="n">
        <x:f>MAX(0,AE495-AE494)</x:f>
        <x:v>0</x:v>
      </x:c>
      <x:c r="AG495" s="9" t="str">
        <x:f>IF(AF495&gt;0,B495,"")</x:f>
      </x:c>
      <x:c r="AH495" s="9" t="n">
        <x:f>IF(F495&gt;=1,1,(1+v01_LowTiesShare*(AE495-1))/AE495)</x:f>
        <x:v>1</x:v>
      </x:c>
      <x:c r="AI495" s="32" t="n">
        <x:f>(Z495+v01_ElderCommons*INDEX(LM_Elder,G495)*AA495)*AH495</x:f>
        <x:v>61.83994215387547</x:v>
      </x:c>
      <x:c r="AJ495" s="32" t="n">
        <x:f>H495*v01_CommonsCoef*AI495^v01_CommonsExp*INDEX(LM_Commons,G495)</x:f>
        <x:v>21.98480657547744</x:v>
      </x:c>
      <x:c r="AK495" s="32" t="n">
        <x:f>H495*v01_RoleScale*Arch_Roles*(AE495*(INDEX(v01_ElderRolePerSett,G495)*v01_OutElder*INDEX(LM_Elder,G495)+INDEX(v01_ShamanPerSett,G495)*v01_OutShaman)+Z495*(INDEX(v01_PriestShare,G495)*v01_OutPriest+INDEX(v01_ScribeShare,G495)*v01_OutScribe*INDEX(LM_Scribe,G495)+INDEX(v01_ScholarShare,G495)*v01_OutScholar*INDEX(LM_Scholar,G495)+INDEX(v01_ResearcherShare,G495)*v01_OutResearcher*INDEX(LM_Researcher,G495)))</x:f>
        <x:v>9</x:v>
      </x:c>
      <x:c r="AL495" s="32" t="n">
        <x:f>H495*v01_RoleScale*Arch_Roles*AE495*INDEX(v01_MonasteryPerSett,G495)*v01_OutMonastery*INDEX(LM_Monastery,G495)</x:f>
        <x:v>0</x:v>
      </x:c>
      <x:c r="AM495" s="32" t="n">
        <x:f>(AJ495+AK495+AL495)/4*INDEX(LM_All,G495)*INDEX(v01_Boon,G495)*Arch_Insight</x:f>
        <x:v>8.138353102090246</x:v>
      </x:c>
      <x:c r="AN495" s="32" t="n">
        <x:f>H495*(v01_KHPerAdult*Z495+v01_KHOfCommons*AJ495/4*INDEX(LM_All,G495))*v01_KHUsable*Arch_KH</x:f>
        <x:v>1.1559275601635295</x:v>
      </x:c>
      <x:c r="AO495" s="32" t="n">
        <x:f>MIN(AP494+AN495,AM495*v01_KHMaxRatio)</x:f>
        <x:v>1.1559275601635295</x:v>
      </x:c>
      <x:c r="AP495" s="32" t="n">
        <x:f>AP494+AN495-AO495</x:f>
        <x:v>0</x:v>
      </x:c>
      <x:c r="AQ495" s="32" t="n">
        <x:f>AM495+AO495</x:f>
        <x:v>9.294280662253776</x:v>
      </x:c>
      <x:c r="AR495" s="10" t="n">
        <x:f>IF(H495=1,INDEX(v01_Req,G495),0)</x:f>
        <x:v>4006.9599999999996</x:v>
      </x:c>
      <x:c r="AS495" s="32" t="n">
        <x:f>IF(H495=1,IF(E495=1,AS494-AR494,AS494)+AQ495,0)</x:f>
        <x:v>75.4540842126809</x:v>
      </x:c>
      <x:c r="AT495" s="11" t="n">
        <x:f>IF(AR495&gt;0,MIN(1,AS495/AR495),1)</x:f>
        <x:v>0.018830755538533177</x:v>
      </x:c>
      <x:c r="AU495" s="10" t="n">
        <x:f>AB495/INDEX(v01_RepScale,G495)</x:f>
        <x:v>37.99293400787369</x:v>
      </x:c>
      <x:c r="AV495" s="32" t="n">
        <x:f>AM495*60/v01_SeasonSeconds</x:f>
        <x:v>32.553412408360984</x:v>
      </x:c>
    </x:row>
    <x:row r="496">
      <x:c r="A496" s="8" t="n">
        <x:f>A495+1</x:f>
        <x:v>493</x:v>
      </x:c>
      <x:c r="B496" s="9" t="n">
        <x:f>A496*v01_SeasonSeconds/60</x:f>
        <x:v>123.25</x:v>
      </x:c>
      <x:c r="C496" s="9" t="n">
        <x:f>A496/4</x:f>
        <x:v>123.25</x:v>
      </x:c>
      <x:c r="D496" s="8" t="n">
        <x:f>IF(MOD(A496,4)=0,1,0)</x:f>
        <x:v>0</x:v>
      </x:c>
      <x:c r="E496" s="8" t="n">
        <x:f>IF(AND(F495&lt;=9,AS495&gt;=AR495),1,0)</x:f>
        <x:v>0</x:v>
      </x:c>
      <x:c r="F496" s="8" t="n">
        <x:f>MIN(10,F495+E496)</x:f>
        <x:v>2</x:v>
      </x:c>
      <x:c r="G496" s="8" t="n">
        <x:f>MIN(F496,9)+1</x:f>
        <x:v>3</x:v>
      </x:c>
      <x:c r="H496" s="8" t="n">
        <x:f>IF(F496&lt;=9,1,0)</x:f>
        <x:v>1</x:v>
      </x:c>
      <x:c r="I496" s="9" t="n">
        <x:f>MIN(10,F495+IF(AR495&gt;0,MIN(1,AS495/AR495),1))</x:f>
        <x:v>2.018830755538533</x:v>
      </x:c>
      <x:c r="J496" s="32" t="n">
        <x:f>INDEX(v01_FoodCap,G496)*Arch_FoodCap*EXP(v01_CapsByProject*SUMPRODUCT((Cap_Point&lt;=I496)*(Cap_Kind="Food")*Cap_Ln))</x:f>
        <x:v>60</x:v>
      </x:c>
      <x:c r="K496" s="32" t="n">
        <x:f>J496*MIN(1,v01_LeanBase*EXP(v01_CapsByProject*SUMPRODUCT((Cap_Point&lt;=I496)*(Cap_Kind="Lean")*Cap_Ln)))</x:f>
        <x:v>60</x:v>
      </x:c>
      <x:c r="L496" s="10" t="n">
        <x:f>INDEX(v01_HousingCap,G496)*EXP(v01_CapsByProject*SUMPRODUCT((Cap_Point&lt;=I496)*(Cap_Kind="Housing")*Cap_Ln))</x:f>
        <x:v>100</x:v>
      </x:c>
      <x:c r="M496" s="10" t="n">
        <x:f>INDEX(v01_GroupCap,G496)*v01_CohesionFactor*EXP(v01_CapsByProject*SUMPRODUCT((Cap_Point&lt;=I496)*(Cap_Kind="Group")*Cap_Ln))</x:f>
        <x:v>500</x:v>
      </x:c>
      <x:c r="N496" s="32" t="n">
        <x:f>MIN(J496,L496,M496)</x:f>
        <x:v>60</x:v>
      </x:c>
      <x:c r="O496" s="10" t="n">
        <x:f>AE495*N496</x:f>
        <x:v>180</x:v>
      </x:c>
      <x:c r="P496" s="9" t="n">
        <x:f>MIN(1,(AB495/(AE495*IF(v01_GroupInCrowding=1,N496,MIN(J496,L496))))^v01_CrowdingExp)</x:f>
        <x:v>0.005659289920765059</x:v>
      </x:c>
      <x:c r="Q496" s="9" t="n">
        <x:f>IF(D496=1,INDEX(v01_WinterMult,G496),1)</x:f>
        <x:v>1</x:v>
      </x:c>
      <x:c r="R496" s="9" t="n">
        <x:f>H496*Z495*v01_WomenShare*v01_BaseFertility*INDEX(v01_FertMult,G496)*Arch_Fertility*(1-P496)</x:f>
        <x:v>1.3300036044118013</x:v>
      </x:c>
      <x:c r="S496" s="9" t="n">
        <x:f>H496*Y495*INDEX(v01_MortChild,G496)/4*Q496</x:f>
        <x:v>0.29185525382839794</x:v>
      </x:c>
      <x:c r="T496" s="9" t="n">
        <x:f>H496*Z495*INDEX(v01_MortAdult,G496)*Arch_AdultMort/4*Q496</x:f>
        <x:v>0.09907950515687397</x:v>
      </x:c>
      <x:c r="U496" s="9" t="n">
        <x:f>H496*AA495*INDEX(v01_MortElder,G496)/4*Q496</x:f>
        <x:v>0.16807840253701867</x:v>
      </x:c>
      <x:c r="V496" s="9" t="n">
        <x:f>H496*MAX(0,AB495-O496)*v01_OvercapLoss</x:f>
        <x:v>0</x:v>
      </x:c>
      <x:c r="W496" s="9" t="n">
        <x:f>H496*Y495/(v01_ChildYears*4)</x:f>
        <x:v>0.5956229669967305</x:v>
      </x:c>
      <x:c r="X496" s="9" t="n">
        <x:f>H496*Z495/(v01_AdultYears*4)</x:f>
        <x:v>0.2663427557980483</x:v>
      </x:c>
      <x:c r="Y496" s="32" t="n">
        <x:f>Y495+R496-S496-W496-Y495*V496/AB495</x:f>
        <x:v>33.79741153540358</x:v>
      </x:c>
      <x:c r="Z496" s="32" t="n">
        <x:f>Z495+W496-X496-T496-Z495*V496/AB495</x:f>
        <x:v>33.256702424999794</x:v>
      </x:c>
      <x:c r="AA496" s="32" t="n">
        <x:f>AA495+X496-U496-AA495*V496/AB495</x:f>
        <x:v>9.702744498233525</x:v>
      </x:c>
      <x:c r="AB496" s="10" t="n">
        <x:f>Y496+Z496+AA496</x:f>
        <x:v>76.75685845863691</x:v>
      </x:c>
      <x:c r="AC496" s="8" t="n">
        <x:f>IF(AND(v01_WinterTrigger=1,D496=1,AB495/AE495&gt;=K496),1,0)</x:f>
        <x:v>0</x:v>
      </x:c>
      <x:c r="AD496" s="8" t="n">
        <x:f>H496*IF(AND(OR(AB495/AE495&gt;=v01_FissionTrigger*N496,AC496=1),AB495/AE495*v01_DaughterShare&gt;=v01_MinDaughter),MAX(1,ROUND(AE495*v01_FissionRate,0)),0)</x:f>
        <x:v>0</x:v>
      </x:c>
      <x:c r="AE496" s="8" t="n">
        <x:f>IF(H496=1,MAX(1,MIN(INDEX(v01_Smax,G496),AE495+AD496)),AE495)</x:f>
        <x:v>3</x:v>
      </x:c>
      <x:c r="AF496" s="8" t="n">
        <x:f>MAX(0,AE496-AE495)</x:f>
        <x:v>0</x:v>
      </x:c>
      <x:c r="AG496" s="9" t="str">
        <x:f>IF(AF496&gt;0,B496,"")</x:f>
      </x:c>
      <x:c r="AH496" s="9" t="n">
        <x:f>IF(F496&gt;=1,1,(1+v01_LowTiesShare*(AE496-1))/AE496)</x:f>
        <x:v>1</x:v>
      </x:c>
      <x:c r="AI496" s="32" t="n">
        <x:f>(Z496+v01_ElderCommons*INDEX(LM_Elder,G496)*AA496)*AH496</x:f>
        <x:v>62.36493591970037</x:v>
      </x:c>
      <x:c r="AJ496" s="32" t="n">
        <x:f>H496*v01_CommonsCoef*AI496^v01_CommonsExp*INDEX(LM_Commons,G496)</x:f>
        <x:v>22.14335098470576</x:v>
      </x:c>
      <x:c r="AK496" s="32" t="n">
        <x:f>H496*v01_RoleScale*Arch_Roles*(AE496*(INDEX(v01_ElderRolePerSett,G496)*v01_OutElder*INDEX(LM_Elder,G496)+INDEX(v01_ShamanPerSett,G496)*v01_OutShaman)+Z496*(INDEX(v01_PriestShare,G496)*v01_OutPriest+INDEX(v01_ScribeShare,G496)*v01_OutScribe*INDEX(LM_Scribe,G496)+INDEX(v01_ScholarShare,G496)*v01_OutScholar*INDEX(LM_Scholar,G496)+INDEX(v01_ResearcherShare,G496)*v01_OutResearcher*INDEX(LM_Researcher,G496)))</x:f>
        <x:v>9</x:v>
      </x:c>
      <x:c r="AL496" s="32" t="n">
        <x:f>H496*v01_RoleScale*Arch_Roles*AE496*INDEX(v01_MonasteryPerSett,G496)*v01_OutMonastery*INDEX(LM_Monastery,G496)</x:f>
        <x:v>0</x:v>
      </x:c>
      <x:c r="AM496" s="32" t="n">
        <x:f>(AJ496+AK496+AL496)/4*INDEX(LM_All,G496)*INDEX(v01_Boon,G496)*Arch_Insight</x:f>
        <x:v>8.179995782076622</x:v>
      </x:c>
      <x:c r="AN496" s="32" t="n">
        <x:f>H496*(v01_KHPerAdult*Z496+v01_KHOfCommons*AJ496/4*INDEX(LM_All,G496))*v01_KHUsable*Arch_KH</x:f>
        <x:v>1.1639845848749928</x:v>
      </x:c>
      <x:c r="AO496" s="32" t="n">
        <x:f>MIN(AP495+AN496,AM496*v01_KHMaxRatio)</x:f>
        <x:v>1.1639845848749928</x:v>
      </x:c>
      <x:c r="AP496" s="32" t="n">
        <x:f>AP495+AN496-AO496</x:f>
        <x:v>0</x:v>
      </x:c>
      <x:c r="AQ496" s="32" t="n">
        <x:f>AM496+AO496</x:f>
        <x:v>9.343980366951614</x:v>
      </x:c>
      <x:c r="AR496" s="10" t="n">
        <x:f>IF(H496=1,INDEX(v01_Req,G496),0)</x:f>
        <x:v>4006.9599999999996</x:v>
      </x:c>
      <x:c r="AS496" s="32" t="n">
        <x:f>IF(H496=1,IF(E496=1,AS495-AR495,AS495)+AQ496,0)</x:f>
        <x:v>84.79806457963251</x:v>
      </x:c>
      <x:c r="AT496" s="11" t="n">
        <x:f>IF(AR496&gt;0,MIN(1,AS496/AR496),1)</x:f>
        <x:v>0.021162693058985493</x:v>
      </x:c>
      <x:c r="AU496" s="10" t="n">
        <x:f>AB496/INDEX(v01_RepScale,G496)</x:f>
        <x:v>38.378429229318456</x:v>
      </x:c>
      <x:c r="AV496" s="32" t="n">
        <x:f>AM496*60/v01_SeasonSeconds</x:f>
        <x:v>32.71998312830649</x:v>
      </x:c>
    </x:row>
    <x:row r="497">
      <x:c r="A497" s="8" t="n">
        <x:f>A496+1</x:f>
        <x:v>494</x:v>
      </x:c>
      <x:c r="B497" s="9" t="n">
        <x:f>A497*v01_SeasonSeconds/60</x:f>
        <x:v>123.5</x:v>
      </x:c>
      <x:c r="C497" s="9" t="n">
        <x:f>A497/4</x:f>
        <x:v>123.5</x:v>
      </x:c>
      <x:c r="D497" s="8" t="n">
        <x:f>IF(MOD(A497,4)=0,1,0)</x:f>
        <x:v>0</x:v>
      </x:c>
      <x:c r="E497" s="8" t="n">
        <x:f>IF(AND(F496&lt;=9,AS496&gt;=AR496),1,0)</x:f>
        <x:v>0</x:v>
      </x:c>
      <x:c r="F497" s="8" t="n">
        <x:f>MIN(10,F496+E497)</x:f>
        <x:v>2</x:v>
      </x:c>
      <x:c r="G497" s="8" t="n">
        <x:f>MIN(F497,9)+1</x:f>
        <x:v>3</x:v>
      </x:c>
      <x:c r="H497" s="8" t="n">
        <x:f>IF(F497&lt;=9,1,0)</x:f>
        <x:v>1</x:v>
      </x:c>
      <x:c r="I497" s="9" t="n">
        <x:f>MIN(10,F496+IF(AR496&gt;0,MIN(1,AS496/AR496),1))</x:f>
        <x:v>2.0211626930589857</x:v>
      </x:c>
      <x:c r="J497" s="32" t="n">
        <x:f>INDEX(v01_FoodCap,G497)*Arch_FoodCap*EXP(v01_CapsByProject*SUMPRODUCT((Cap_Point&lt;=I497)*(Cap_Kind="Food")*Cap_Ln))</x:f>
        <x:v>60</x:v>
      </x:c>
      <x:c r="K497" s="32" t="n">
        <x:f>J497*MIN(1,v01_LeanBase*EXP(v01_CapsByProject*SUMPRODUCT((Cap_Point&lt;=I497)*(Cap_Kind="Lean")*Cap_Ln)))</x:f>
        <x:v>60</x:v>
      </x:c>
      <x:c r="L497" s="10" t="n">
        <x:f>INDEX(v01_HousingCap,G497)*EXP(v01_CapsByProject*SUMPRODUCT((Cap_Point&lt;=I497)*(Cap_Kind="Housing")*Cap_Ln))</x:f>
        <x:v>100</x:v>
      </x:c>
      <x:c r="M497" s="10" t="n">
        <x:f>INDEX(v01_GroupCap,G497)*v01_CohesionFactor*EXP(v01_CapsByProject*SUMPRODUCT((Cap_Point&lt;=I497)*(Cap_Kind="Group")*Cap_Ln))</x:f>
        <x:v>500</x:v>
      </x:c>
      <x:c r="N497" s="32" t="n">
        <x:f>MIN(J497,L497,M497)</x:f>
        <x:v>60</x:v>
      </x:c>
      <x:c r="O497" s="10" t="n">
        <x:f>AE496*N497</x:f>
        <x:v>180</x:v>
      </x:c>
      <x:c r="P497" s="9" t="n">
        <x:f>MIN(1,(AB496/(AE496*IF(v01_GroupInCrowding=1,N497,MIN(J497,L497))))^v01_CrowdingExp)</x:f>
        <x:v>0.006012680372929145</x:v>
      </x:c>
      <x:c r="Q497" s="9" t="n">
        <x:f>IF(D497=1,INDEX(v01_WinterMult,G497),1)</x:f>
        <x:v>1</x:v>
      </x:c>
      <x:c r="R497" s="9" t="n">
        <x:f>H497*Z496*v01_WomenShare*v01_BaseFertility*INDEX(v01_FertMult,G497)*Arch_Fertility*(1-P497)</x:f>
        <x:v>1.3387979903739564</x:v>
      </x:c>
      <x:c r="S497" s="9" t="n">
        <x:f>H497*Y496*INDEX(v01_MortChild,G497)/4*Q497</x:f>
        <x:v>0.29572735093478136</x:v>
      </x:c>
      <x:c r="T497" s="9" t="n">
        <x:f>H497*Z496*INDEX(v01_MortAdult,G497)*Arch_AdultMort/4*Q497</x:f>
        <x:v>0.09977010727499938</x:v>
      </x:c>
      <x:c r="U497" s="9" t="n">
        <x:f>H497*AA496*INDEX(v01_MortElder,G497)/4*Q497</x:f>
        <x:v>0.1697980287190867</x:v>
      </x:c>
      <x:c r="V497" s="9" t="n">
        <x:f>H497*MAX(0,AB496-O497)*v01_OvercapLoss</x:f>
        <x:v>0</x:v>
      </x:c>
      <x:c r="W497" s="9" t="n">
        <x:f>H497*Y496/(v01_ChildYears*4)</x:f>
        <x:v>0.6035252059893497</x:v>
      </x:c>
      <x:c r="X497" s="9" t="n">
        <x:f>H497*Z496/(v01_AdultYears*4)</x:f>
        <x:v>0.2681992131048371</x:v>
      </x:c>
      <x:c r="Y497" s="32" t="n">
        <x:f>Y496+R497-S497-W497-Y496*V497/AB496</x:f>
        <x:v>34.236956968853406</x:v>
      </x:c>
      <x:c r="Z497" s="32" t="n">
        <x:f>Z496+W497-X497-T497-Z496*V497/AB496</x:f>
        <x:v>33.49225831060931</x:v>
      </x:c>
      <x:c r="AA497" s="32" t="n">
        <x:f>AA496+X497-U497-AA496*V497/AB496</x:f>
        <x:v>9.801145682619277</x:v>
      </x:c>
      <x:c r="AB497" s="10" t="n">
        <x:f>Y497+Z497+AA497</x:f>
        <x:v>77.530360962082</x:v>
      </x:c>
      <x:c r="AC497" s="8" t="n">
        <x:f>IF(AND(v01_WinterTrigger=1,D497=1,AB496/AE496&gt;=K497),1,0)</x:f>
        <x:v>0</x:v>
      </x:c>
      <x:c r="AD497" s="8" t="n">
        <x:f>H497*IF(AND(OR(AB496/AE496&gt;=v01_FissionTrigger*N497,AC497=1),AB496/AE496*v01_DaughterShare&gt;=v01_MinDaughter),MAX(1,ROUND(AE496*v01_FissionRate,0)),0)</x:f>
        <x:v>0</x:v>
      </x:c>
      <x:c r="AE497" s="8" t="n">
        <x:f>IF(H497=1,MAX(1,MIN(INDEX(v01_Smax,G497),AE496+AD497)),AE496)</x:f>
        <x:v>3</x:v>
      </x:c>
      <x:c r="AF497" s="8" t="n">
        <x:f>MAX(0,AE497-AE496)</x:f>
        <x:v>0</x:v>
      </x:c>
      <x:c r="AG497" s="9" t="str">
        <x:f>IF(AF497&gt;0,B497,"")</x:f>
      </x:c>
      <x:c r="AH497" s="9" t="n">
        <x:f>IF(F497&gt;=1,1,(1+v01_LowTiesShare*(AE497-1))/AE497)</x:f>
        <x:v>1</x:v>
      </x:c>
      <x:c r="AI497" s="32" t="n">
        <x:f>(Z497+v01_ElderCommons*INDEX(LM_Elder,G497)*AA497)*AH497</x:f>
        <x:v>62.89569535846714</x:v>
      </x:c>
      <x:c r="AJ497" s="32" t="n">
        <x:f>H497*v01_CommonsCoef*AI497^v01_CommonsExp*INDEX(LM_Commons,G497)</x:f>
        <x:v>22.303433213237344</x:v>
      </x:c>
      <x:c r="AK497" s="32" t="n">
        <x:f>H497*v01_RoleScale*Arch_Roles*(AE497*(INDEX(v01_ElderRolePerSett,G497)*v01_OutElder*INDEX(LM_Elder,G497)+INDEX(v01_ShamanPerSett,G497)*v01_OutShaman)+Z497*(INDEX(v01_PriestShare,G497)*v01_OutPriest+INDEX(v01_ScribeShare,G497)*v01_OutScribe*INDEX(LM_Scribe,G497)+INDEX(v01_ScholarShare,G497)*v01_OutScholar*INDEX(LM_Scholar,G497)+INDEX(v01_ResearcherShare,G497)*v01_OutResearcher*INDEX(LM_Researcher,G497)))</x:f>
        <x:v>9</x:v>
      </x:c>
      <x:c r="AL497" s="32" t="n">
        <x:f>H497*v01_RoleScale*Arch_Roles*AE497*INDEX(v01_MonasteryPerSett,G497)*v01_OutMonastery*INDEX(LM_Monastery,G497)</x:f>
        <x:v>0</x:v>
      </x:c>
      <x:c r="AM497" s="32" t="n">
        <x:f>(AJ497+AK497+AL497)/4*INDEX(LM_All,G497)*INDEX(v01_Boon,G497)*Arch_Insight</x:f>
        <x:v>8.22204237991437</x:v>
      </x:c>
      <x:c r="AN497" s="32" t="n">
        <x:f>H497*(v01_KHPerAdult*Z497+v01_KHOfCommons*AJ497/4*INDEX(LM_All,G497))*v01_KHUsable*Arch_KH</x:f>
        <x:v>1.1722290408713256</x:v>
      </x:c>
      <x:c r="AO497" s="32" t="n">
        <x:f>MIN(AP496+AN497,AM497*v01_KHMaxRatio)</x:f>
        <x:v>1.1722290408713256</x:v>
      </x:c>
      <x:c r="AP497" s="32" t="n">
        <x:f>AP496+AN497-AO497</x:f>
        <x:v>0</x:v>
      </x:c>
      <x:c r="AQ497" s="32" t="n">
        <x:f>AM497+AO497</x:f>
        <x:v>9.394271420785696</x:v>
      </x:c>
      <x:c r="AR497" s="10" t="n">
        <x:f>IF(H497=1,INDEX(v01_Req,G497),0)</x:f>
        <x:v>4006.9599999999996</x:v>
      </x:c>
      <x:c r="AS497" s="32" t="n">
        <x:f>IF(H497=1,IF(E497=1,AS496-AR496,AS496)+AQ497,0)</x:f>
        <x:v>94.19233600041821</x:v>
      </x:c>
      <x:c r="AT497" s="11" t="n">
        <x:f>IF(AR497&gt;0,MIN(1,AS497/AR497),1)</x:f>
        <x:v>0.023507181504287097</x:v>
      </x:c>
      <x:c r="AU497" s="10" t="n">
        <x:f>AB497/INDEX(v01_RepScale,G497)</x:f>
        <x:v>38.765180481041</x:v>
      </x:c>
      <x:c r="AV497" s="32" t="n">
        <x:f>AM497*60/v01_SeasonSeconds</x:f>
        <x:v>32.88816951965748</x:v>
      </x:c>
    </x:row>
    <x:row r="498">
      <x:c r="A498" s="8" t="n">
        <x:f>A497+1</x:f>
        <x:v>495</x:v>
      </x:c>
      <x:c r="B498" s="9" t="n">
        <x:f>A498*v01_SeasonSeconds/60</x:f>
        <x:v>123.75</x:v>
      </x:c>
      <x:c r="C498" s="9" t="n">
        <x:f>A498/4</x:f>
        <x:v>123.75</x:v>
      </x:c>
      <x:c r="D498" s="8" t="n">
        <x:f>IF(MOD(A498,4)=0,1,0)</x:f>
        <x:v>0</x:v>
      </x:c>
      <x:c r="E498" s="8" t="n">
        <x:f>IF(AND(F497&lt;=9,AS497&gt;=AR497),1,0)</x:f>
        <x:v>0</x:v>
      </x:c>
      <x:c r="F498" s="8" t="n">
        <x:f>MIN(10,F497+E498)</x:f>
        <x:v>2</x:v>
      </x:c>
      <x:c r="G498" s="8" t="n">
        <x:f>MIN(F498,9)+1</x:f>
        <x:v>3</x:v>
      </x:c>
      <x:c r="H498" s="8" t="n">
        <x:f>IF(F498&lt;=9,1,0)</x:f>
        <x:v>1</x:v>
      </x:c>
      <x:c r="I498" s="9" t="n">
        <x:f>MIN(10,F497+IF(AR497&gt;0,MIN(1,AS497/AR497),1))</x:f>
        <x:v>2.023507181504287</x:v>
      </x:c>
      <x:c r="J498" s="32" t="n">
        <x:f>INDEX(v01_FoodCap,G498)*Arch_FoodCap*EXP(v01_CapsByProject*SUMPRODUCT((Cap_Point&lt;=I498)*(Cap_Kind="Food")*Cap_Ln))</x:f>
        <x:v>60</x:v>
      </x:c>
      <x:c r="K498" s="32" t="n">
        <x:f>J498*MIN(1,v01_LeanBase*EXP(v01_CapsByProject*SUMPRODUCT((Cap_Point&lt;=I498)*(Cap_Kind="Lean")*Cap_Ln)))</x:f>
        <x:v>60</x:v>
      </x:c>
      <x:c r="L498" s="10" t="n">
        <x:f>INDEX(v01_HousingCap,G498)*EXP(v01_CapsByProject*SUMPRODUCT((Cap_Point&lt;=I498)*(Cap_Kind="Housing")*Cap_Ln))</x:f>
        <x:v>100</x:v>
      </x:c>
      <x:c r="M498" s="10" t="n">
        <x:f>INDEX(v01_GroupCap,G498)*v01_CohesionFactor*EXP(v01_CapsByProject*SUMPRODUCT((Cap_Point&lt;=I498)*(Cap_Kind="Group")*Cap_Ln))</x:f>
        <x:v>500</x:v>
      </x:c>
      <x:c r="N498" s="32" t="n">
        <x:f>MIN(J498,L498,M498)</x:f>
        <x:v>60</x:v>
      </x:c>
      <x:c r="O498" s="10" t="n">
        <x:f>AE497*N498</x:f>
        <x:v>180</x:v>
      </x:c>
      <x:c r="P498" s="9" t="n">
        <x:f>MIN(1,(AB497/(AE497*IF(v01_GroupInCrowding=1,N498,MIN(J498,L498))))^v01_CrowdingExp)</x:f>
        <x:v>0.0063855131710330625</x:v>
      </x:c>
      <x:c r="Q498" s="9" t="n">
        <x:f>IF(D498=1,INDEX(v01_WinterMult,G498),1)</x:f>
        <x:v>1</x:v>
      </x:c>
      <x:c r="R498" s="9" t="n">
        <x:f>H498*Z497*v01_WomenShare*v01_BaseFertility*INDEX(v01_FertMult,G498)*Arch_Fertility*(1-P498)</x:f>
        <x:v>1.3477749186885903</x:v>
      </x:c>
      <x:c r="S498" s="9" t="n">
        <x:f>H498*Y497*INDEX(v01_MortChild,G498)/4*Q498</x:f>
        <x:v>0.2995733734774673</x:v>
      </x:c>
      <x:c r="T498" s="9" t="n">
        <x:f>H498*Z497*INDEX(v01_MortAdult,G498)*Arch_AdultMort/4*Q498</x:f>
        <x:v>0.10047677493182793</x:v>
      </x:c>
      <x:c r="U498" s="9" t="n">
        <x:f>H498*AA497*INDEX(v01_MortElder,G498)/4*Q498</x:f>
        <x:v>0.17152004944583735</x:v>
      </x:c>
      <x:c r="V498" s="9" t="n">
        <x:f>H498*MAX(0,AB497-O498)*v01_OvercapLoss</x:f>
        <x:v>0</x:v>
      </x:c>
      <x:c r="W498" s="9" t="n">
        <x:f>H498*Y497/(v01_ChildYears*4)</x:f>
        <x:v>0.6113742315866679</x:v>
      </x:c>
      <x:c r="X498" s="9" t="n">
        <x:f>H498*Z497/(v01_AdultYears*4)</x:f>
        <x:v>0.27009885734362343</x:v>
      </x:c>
      <x:c r="Y498" s="32" t="n">
        <x:f>Y497+R498-S498-W498-Y497*V498/AB497</x:f>
        <x:v>34.67378428247787</x:v>
      </x:c>
      <x:c r="Z498" s="32" t="n">
        <x:f>Z497+W498-X498-T498-Z497*V498/AB497</x:f>
        <x:v>33.73305690992052</x:v>
      </x:c>
      <x:c r="AA498" s="32" t="n">
        <x:f>AA497+X498-U498-AA497*V498/AB497</x:f>
        <x:v>9.899724490517062</x:v>
      </x:c>
      <x:c r="AB498" s="10" t="n">
        <x:f>Y498+Z498+AA498</x:f>
        <x:v>78.30656568291545</x:v>
      </x:c>
      <x:c r="AC498" s="8" t="n">
        <x:f>IF(AND(v01_WinterTrigger=1,D498=1,AB497/AE497&gt;=K498),1,0)</x:f>
        <x:v>0</x:v>
      </x:c>
      <x:c r="AD498" s="8" t="n">
        <x:f>H498*IF(AND(OR(AB497/AE497&gt;=v01_FissionTrigger*N498,AC498=1),AB497/AE497*v01_DaughterShare&gt;=v01_MinDaughter),MAX(1,ROUND(AE497*v01_FissionRate,0)),0)</x:f>
        <x:v>0</x:v>
      </x:c>
      <x:c r="AE498" s="8" t="n">
        <x:f>IF(H498=1,MAX(1,MIN(INDEX(v01_Smax,G498),AE497+AD498)),AE497)</x:f>
        <x:v>3</x:v>
      </x:c>
      <x:c r="AF498" s="8" t="n">
        <x:f>MAX(0,AE498-AE497)</x:f>
        <x:v>0</x:v>
      </x:c>
      <x:c r="AG498" s="9" t="str">
        <x:f>IF(AF498&gt;0,B498,"")</x:f>
      </x:c>
      <x:c r="AH498" s="9" t="n">
        <x:f>IF(F498&gt;=1,1,(1+v01_LowTiesShare*(AE498-1))/AE498)</x:f>
        <x:v>1</x:v>
      </x:c>
      <x:c r="AI498" s="32" t="n">
        <x:f>(Z498+v01_ElderCommons*INDEX(LM_Elder,G498)*AA498)*AH498</x:f>
        <x:v>63.43223038147171</x:v>
      </x:c>
      <x:c r="AJ498" s="32" t="n">
        <x:f>H498*v01_CommonsCoef*AI498^v01_CommonsExp*INDEX(LM_Commons,G498)</x:f>
        <x:v>22.465051596269134</x:v>
      </x:c>
      <x:c r="AK498" s="32" t="n">
        <x:f>H498*v01_RoleScale*Arch_Roles*(AE498*(INDEX(v01_ElderRolePerSett,G498)*v01_OutElder*INDEX(LM_Elder,G498)+INDEX(v01_ShamanPerSett,G498)*v01_OutShaman)+Z498*(INDEX(v01_PriestShare,G498)*v01_OutPriest+INDEX(v01_ScribeShare,G498)*v01_OutScribe*INDEX(LM_Scribe,G498)+INDEX(v01_ScholarShare,G498)*v01_OutScholar*INDEX(LM_Scholar,G498)+INDEX(v01_ResearcherShare,G498)*v01_OutResearcher*INDEX(LM_Researcher,G498)))</x:f>
        <x:v>9</x:v>
      </x:c>
      <x:c r="AL498" s="32" t="n">
        <x:f>H498*v01_RoleScale*Arch_Roles*AE498*INDEX(v01_MonasteryPerSett,G498)*v01_OutMonastery*INDEX(LM_Monastery,G498)</x:f>
        <x:v>0</x:v>
      </x:c>
      <x:c r="AM498" s="32" t="n">
        <x:f>(AJ498+AK498+AL498)/4*INDEX(LM_All,G498)*INDEX(v01_Boon,G498)*Arch_Insight</x:f>
        <x:v>8.264492458332564</x:v>
      </x:c>
      <x:c r="AN498" s="32" t="n">
        <x:f>H498*(v01_KHPerAdult*Z498+v01_KHOfCommons*AJ498/4*INDEX(LM_All,G498))*v01_KHUsable*Arch_KH</x:f>
        <x:v>1.1806569918472183</x:v>
      </x:c>
      <x:c r="AO498" s="32" t="n">
        <x:f>MIN(AP497+AN498,AM498*v01_KHMaxRatio)</x:f>
        <x:v>1.1806569918472183</x:v>
      </x:c>
      <x:c r="AP498" s="32" t="n">
        <x:f>AP497+AN498-AO498</x:f>
        <x:v>0</x:v>
      </x:c>
      <x:c r="AQ498" s="32" t="n">
        <x:f>AM498+AO498</x:f>
        <x:v>9.445149450179782</x:v>
      </x:c>
      <x:c r="AR498" s="10" t="n">
        <x:f>IF(H498=1,INDEX(v01_Req,G498),0)</x:f>
        <x:v>4006.9599999999996</x:v>
      </x:c>
      <x:c r="AS498" s="32" t="n">
        <x:f>IF(H498=1,IF(E498=1,AS497-AR497,AS497)+AQ498,0)</x:f>
        <x:v>103.63748545059799</x:v>
      </x:c>
      <x:c r="AT498" s="11" t="n">
        <x:f>IF(AR498&gt;0,MIN(1,AS498/AR498),1)</x:f>
        <x:v>0.02586436736343712</x:v>
      </x:c>
      <x:c r="AU498" s="10" t="n">
        <x:f>AB498/INDEX(v01_RepScale,G498)</x:f>
        <x:v>39.153282841457724</x:v>
      </x:c>
      <x:c r="AV498" s="32" t="n">
        <x:f>AM498*60/v01_SeasonSeconds</x:f>
        <x:v>33.057969833330255</x:v>
      </x:c>
    </x:row>
    <x:row r="499">
      <x:c r="A499" s="8" t="n">
        <x:f>A498+1</x:f>
        <x:v>496</x:v>
      </x:c>
      <x:c r="B499" s="9" t="n">
        <x:f>A499*v01_SeasonSeconds/60</x:f>
        <x:v>124</x:v>
      </x:c>
      <x:c r="C499" s="9" t="n">
        <x:f>A499/4</x:f>
        <x:v>124</x:v>
      </x:c>
      <x:c r="D499" s="8" t="n">
        <x:f>IF(MOD(A499,4)=0,1,0)</x:f>
        <x:v>1</x:v>
      </x:c>
      <x:c r="E499" s="8" t="n">
        <x:f>IF(AND(F498&lt;=9,AS498&gt;=AR498),1,0)</x:f>
        <x:v>0</x:v>
      </x:c>
      <x:c r="F499" s="8" t="n">
        <x:f>MIN(10,F498+E499)</x:f>
        <x:v>2</x:v>
      </x:c>
      <x:c r="G499" s="8" t="n">
        <x:f>MIN(F499,9)+1</x:f>
        <x:v>3</x:v>
      </x:c>
      <x:c r="H499" s="8" t="n">
        <x:f>IF(F499&lt;=9,1,0)</x:f>
        <x:v>1</x:v>
      </x:c>
      <x:c r="I499" s="9" t="n">
        <x:f>MIN(10,F498+IF(AR498&gt;0,MIN(1,AS498/AR498),1))</x:f>
        <x:v>2.0258643673634373</x:v>
      </x:c>
      <x:c r="J499" s="32" t="n">
        <x:f>INDEX(v01_FoodCap,G499)*Arch_FoodCap*EXP(v01_CapsByProject*SUMPRODUCT((Cap_Point&lt;=I499)*(Cap_Kind="Food")*Cap_Ln))</x:f>
        <x:v>60</x:v>
      </x:c>
      <x:c r="K499" s="32" t="n">
        <x:f>J499*MIN(1,v01_LeanBase*EXP(v01_CapsByProject*SUMPRODUCT((Cap_Point&lt;=I499)*(Cap_Kind="Lean")*Cap_Ln)))</x:f>
        <x:v>60</x:v>
      </x:c>
      <x:c r="L499" s="10" t="n">
        <x:f>INDEX(v01_HousingCap,G499)*EXP(v01_CapsByProject*SUMPRODUCT((Cap_Point&lt;=I499)*(Cap_Kind="Housing")*Cap_Ln))</x:f>
        <x:v>100</x:v>
      </x:c>
      <x:c r="M499" s="10" t="n">
        <x:f>INDEX(v01_GroupCap,G499)*v01_CohesionFactor*EXP(v01_CapsByProject*SUMPRODUCT((Cap_Point&lt;=I499)*(Cap_Kind="Group")*Cap_Ln))</x:f>
        <x:v>500</x:v>
      </x:c>
      <x:c r="N499" s="32" t="n">
        <x:f>MIN(J499,L499,M499)</x:f>
        <x:v>60</x:v>
      </x:c>
      <x:c r="O499" s="10" t="n">
        <x:f>AE498*N499</x:f>
        <x:v>180</x:v>
      </x:c>
      <x:c r="P499" s="9" t="n">
        <x:f>MIN(1,(AB498/(AE498*IF(v01_GroupInCrowding=1,N499,MIN(J499,L499))))^v01_CrowdingExp)</x:f>
        <x:v>0.006778818932241213</x:v>
      </x:c>
      <x:c r="Q499" s="9" t="n">
        <x:f>IF(D499=1,INDEX(v01_WinterMult,G499),1)</x:f>
        <x:v>1.3</x:v>
      </x:c>
      <x:c r="R499" s="9" t="n">
        <x:f>H499*Z498*v01_WomenShare*v01_BaseFertility*INDEX(v01_FertMult,G499)*Arch_Fertility*(1-P499)</x:f>
        <x:v>1.356927658316436</x:v>
      </x:c>
      <x:c r="S499" s="9" t="n">
        <x:f>H499*Y498*INDEX(v01_MortChild,G499)/4*Q499</x:f>
        <x:v>0.39441429621318586</x:v>
      </x:c>
      <x:c r="T499" s="9" t="n">
        <x:f>H499*Z498*INDEX(v01_MortAdult,G499)*Arch_AdultMort/4*Q499</x:f>
        <x:v>0.13155892194869004</x:v>
      </x:c>
      <x:c r="U499" s="9" t="n">
        <x:f>H499*AA498*INDEX(v01_MortElder,G499)/4*Q499</x:f>
        <x:v>0.22521873215926322</x:v>
      </x:c>
      <x:c r="V499" s="9" t="n">
        <x:f>H499*MAX(0,AB498-O499)*v01_OvercapLoss</x:f>
        <x:v>0</x:v>
      </x:c>
      <x:c r="W499" s="9" t="n">
        <x:f>H499*Y498/(v01_ChildYears*4)</x:f>
        <x:v>0.6191747193299619</x:v>
      </x:c>
      <x:c r="X499" s="9" t="n">
        <x:f>H499*Z498/(v01_AdultYears*4)</x:f>
        <x:v>0.2720407815316171</x:v>
      </x:c>
      <x:c r="Y499" s="32" t="n">
        <x:f>Y498+R499-S499-W499-Y498*V499/AB498</x:f>
        <x:v>35.01712292525116</x:v>
      </x:c>
      <x:c r="Z499" s="32" t="n">
        <x:f>Z498+W499-X499-T499-Z498*V499/AB498</x:f>
        <x:v>33.94863192577018</x:v>
      </x:c>
      <x:c r="AA499" s="32" t="n">
        <x:f>AA498+X499-U499-AA498*V499/AB498</x:f>
        <x:v>9.946546539889416</x:v>
      </x:c>
      <x:c r="AB499" s="10" t="n">
        <x:f>Y499+Z499+AA499</x:f>
        <x:v>78.91230139091074</x:v>
      </x:c>
      <x:c r="AC499" s="8" t="n">
        <x:f>IF(AND(v01_WinterTrigger=1,D499=1,AB498/AE498&gt;=K499),1,0)</x:f>
        <x:v>0</x:v>
      </x:c>
      <x:c r="AD499" s="8" t="n">
        <x:f>H499*IF(AND(OR(AB498/AE498&gt;=v01_FissionTrigger*N499,AC499=1),AB498/AE498*v01_DaughterShare&gt;=v01_MinDaughter),MAX(1,ROUND(AE498*v01_FissionRate,0)),0)</x:f>
        <x:v>0</x:v>
      </x:c>
      <x:c r="AE499" s="8" t="n">
        <x:f>IF(H499=1,MAX(1,MIN(INDEX(v01_Smax,G499),AE498+AD499)),AE498)</x:f>
        <x:v>3</x:v>
      </x:c>
      <x:c r="AF499" s="8" t="n">
        <x:f>MAX(0,AE499-AE498)</x:f>
        <x:v>0</x:v>
      </x:c>
      <x:c r="AG499" s="9" t="str">
        <x:f>IF(AF499&gt;0,B499,"")</x:f>
      </x:c>
      <x:c r="AH499" s="9" t="n">
        <x:f>IF(F499&gt;=1,1,(1+v01_LowTiesShare*(AE499-1))/AE499)</x:f>
        <x:v>1</x:v>
      </x:c>
      <x:c r="AI499" s="32" t="n">
        <x:f>(Z499+v01_ElderCommons*INDEX(LM_Elder,G499)*AA499)*AH499</x:f>
        <x:v>63.78827154543843</x:v>
      </x:c>
      <x:c r="AJ499" s="32" t="n">
        <x:f>H499*v01_CommonsCoef*AI499^v01_CommonsExp*INDEX(LM_Commons,G499)</x:f>
        <x:v>22.572187269952053</x:v>
      </x:c>
      <x:c r="AK499" s="32" t="n">
        <x:f>H499*v01_RoleScale*Arch_Roles*(AE499*(INDEX(v01_ElderRolePerSett,G499)*v01_OutElder*INDEX(LM_Elder,G499)+INDEX(v01_ShamanPerSett,G499)*v01_OutShaman)+Z499*(INDEX(v01_PriestShare,G499)*v01_OutPriest+INDEX(v01_ScribeShare,G499)*v01_OutScribe*INDEX(LM_Scribe,G499)+INDEX(v01_ScholarShare,G499)*v01_OutScholar*INDEX(LM_Scholar,G499)+INDEX(v01_ResearcherShare,G499)*v01_OutResearcher*INDEX(LM_Researcher,G499)))</x:f>
        <x:v>9</x:v>
      </x:c>
      <x:c r="AL499" s="32" t="n">
        <x:f>H499*v01_RoleScale*Arch_Roles*AE499*INDEX(v01_MonasteryPerSett,G499)*v01_OutMonastery*INDEX(LM_Monastery,G499)</x:f>
        <x:v>0</x:v>
      </x:c>
      <x:c r="AM499" s="32" t="n">
        <x:f>(AJ499+AK499+AL499)/4*INDEX(LM_All,G499)*INDEX(v01_Boon,G499)*Arch_Insight</x:f>
        <x:v>8.292632312623343</x:v>
      </x:c>
      <x:c r="AN499" s="32" t="n">
        <x:f>H499*(v01_KHPerAdult*Z499+v01_KHOfCommons*AJ499/4*INDEX(LM_All,G499))*v01_KHUsable*Arch_KH</x:f>
        <x:v>1.1882021174019564</x:v>
      </x:c>
      <x:c r="AO499" s="32" t="n">
        <x:f>MIN(AP498+AN499,AM499*v01_KHMaxRatio)</x:f>
        <x:v>1.1882021174019564</x:v>
      </x:c>
      <x:c r="AP499" s="32" t="n">
        <x:f>AP498+AN499-AO499</x:f>
        <x:v>0</x:v>
      </x:c>
      <x:c r="AQ499" s="32" t="n">
        <x:f>AM499+AO499</x:f>
        <x:v>9.4808344300253</x:v>
      </x:c>
      <x:c r="AR499" s="10" t="n">
        <x:f>IF(H499=1,INDEX(v01_Req,G499),0)</x:f>
        <x:v>4006.9599999999996</x:v>
      </x:c>
      <x:c r="AS499" s="32" t="n">
        <x:f>IF(H499=1,IF(E499=1,AS498-AR498,AS498)+AQ499,0)</x:f>
        <x:v>113.11831988062329</x:v>
      </x:c>
      <x:c r="AT499" s="11" t="n">
        <x:f>IF(AR499&gt;0,MIN(1,AS499/AR499),1)</x:f>
        <x:v>0.028230458971545337</x:v>
      </x:c>
      <x:c r="AU499" s="10" t="n">
        <x:f>AB499/INDEX(v01_RepScale,G499)</x:f>
        <x:v>39.45615069545537</x:v>
      </x:c>
      <x:c r="AV499" s="32" t="n">
        <x:f>AM499*60/v01_SeasonSeconds</x:f>
        <x:v>33.170529250493374</x:v>
      </x:c>
    </x:row>
    <x:row r="500">
      <x:c r="A500" s="8" t="n">
        <x:f>A499+1</x:f>
        <x:v>497</x:v>
      </x:c>
      <x:c r="B500" s="9" t="n">
        <x:f>A500*v01_SeasonSeconds/60</x:f>
        <x:v>124.25</x:v>
      </x:c>
      <x:c r="C500" s="9" t="n">
        <x:f>A500/4</x:f>
        <x:v>124.25</x:v>
      </x:c>
      <x:c r="D500" s="8" t="n">
        <x:f>IF(MOD(A500,4)=0,1,0)</x:f>
        <x:v>0</x:v>
      </x:c>
      <x:c r="E500" s="8" t="n">
        <x:f>IF(AND(F499&lt;=9,AS499&gt;=AR499),1,0)</x:f>
        <x:v>0</x:v>
      </x:c>
      <x:c r="F500" s="8" t="n">
        <x:f>MIN(10,F499+E500)</x:f>
        <x:v>2</x:v>
      </x:c>
      <x:c r="G500" s="8" t="n">
        <x:f>MIN(F500,9)+1</x:f>
        <x:v>3</x:v>
      </x:c>
      <x:c r="H500" s="8" t="n">
        <x:f>IF(F500&lt;=9,1,0)</x:f>
        <x:v>1</x:v>
      </x:c>
      <x:c r="I500" s="9" t="n">
        <x:f>MIN(10,F499+IF(AR499&gt;0,MIN(1,AS499/AR499),1))</x:f>
        <x:v>2.0282304589715454</x:v>
      </x:c>
      <x:c r="J500" s="32" t="n">
        <x:f>INDEX(v01_FoodCap,G500)*Arch_FoodCap*EXP(v01_CapsByProject*SUMPRODUCT((Cap_Point&lt;=I500)*(Cap_Kind="Food")*Cap_Ln))</x:f>
        <x:v>60</x:v>
      </x:c>
      <x:c r="K500" s="32" t="n">
        <x:f>J500*MIN(1,v01_LeanBase*EXP(v01_CapsByProject*SUMPRODUCT((Cap_Point&lt;=I500)*(Cap_Kind="Lean")*Cap_Ln)))</x:f>
        <x:v>60</x:v>
      </x:c>
      <x:c r="L500" s="10" t="n">
        <x:f>INDEX(v01_HousingCap,G500)*EXP(v01_CapsByProject*SUMPRODUCT((Cap_Point&lt;=I500)*(Cap_Kind="Housing")*Cap_Ln))</x:f>
        <x:v>100</x:v>
      </x:c>
      <x:c r="M500" s="10" t="n">
        <x:f>INDEX(v01_GroupCap,G500)*v01_CohesionFactor*EXP(v01_CapsByProject*SUMPRODUCT((Cap_Point&lt;=I500)*(Cap_Kind="Group")*Cap_Ln))</x:f>
        <x:v>500</x:v>
      </x:c>
      <x:c r="N500" s="32" t="n">
        <x:f>MIN(J500,L500,M500)</x:f>
        <x:v>60</x:v>
      </x:c>
      <x:c r="O500" s="10" t="n">
        <x:f>AE499*N500</x:f>
        <x:v>180</x:v>
      </x:c>
      <x:c r="P500" s="9" t="n">
        <x:f>MIN(1,(AB499/(AE499*IF(v01_GroupInCrowding=1,N500,MIN(J500,L500))))^v01_CrowdingExp)</x:f>
        <x:v>0.00709958928239447</x:v>
      </x:c>
      <x:c r="Q500" s="9" t="n">
        <x:f>IF(D500=1,INDEX(v01_WinterMult,G500),1)</x:f>
        <x:v>1</x:v>
      </x:c>
      <x:c r="R500" s="9" t="n">
        <x:f>H500*Z499*v01_WomenShare*v01_BaseFertility*INDEX(v01_FertMult,G500)*Arch_Fertility*(1-P500)</x:f>
        <x:v>1.3651582285871202</x:v>
      </x:c>
      <x:c r="S500" s="9" t="n">
        <x:f>H500*Y499*INDEX(v01_MortChild,G500)/4*Q500</x:f>
        <x:v>0.30639982559594764</x:v>
      </x:c>
      <x:c r="T500" s="9" t="n">
        <x:f>H500*Z499*INDEX(v01_MortAdult,G500)*Arch_AdultMort/4*Q500</x:f>
        <x:v>0.10184589577731054</x:v>
      </x:c>
      <x:c r="U500" s="9" t="n">
        <x:f>H500*AA499*INDEX(v01_MortElder,G500)/4*Q500</x:f>
        <x:v>0.1740645644480648</x:v>
      </x:c>
      <x:c r="V500" s="9" t="n">
        <x:f>H500*MAX(0,AB499-O500)*v01_OvercapLoss</x:f>
        <x:v>0</x:v>
      </x:c>
      <x:c r="W500" s="9" t="n">
        <x:f>H500*Y499/(v01_ChildYears*4)</x:f>
        <x:v>0.6253057665223422</x:v>
      </x:c>
      <x:c r="X500" s="9" t="n">
        <x:f>H500*Z499/(v01_AdultYears*4)</x:f>
        <x:v>0.27377928972395305</x:v>
      </x:c>
      <x:c r="Y500" s="32" t="n">
        <x:f>Y499+R500-S500-W500-Y499*V500/AB499</x:f>
        <x:v>35.45057556171999</x:v>
      </x:c>
      <x:c r="Z500" s="32" t="n">
        <x:f>Z499+W500-X500-T500-Z499*V500/AB499</x:f>
        <x:v>34.19831250679126</x:v>
      </x:c>
      <x:c r="AA500" s="32" t="n">
        <x:f>AA499+X500-U500-AA499*V500/AB499</x:f>
        <x:v>10.046261265165304</x:v>
      </x:c>
      <x:c r="AB500" s="10" t="n">
        <x:f>Y500+Z500+AA500</x:f>
        <x:v>79.69514933367654</x:v>
      </x:c>
      <x:c r="AC500" s="8" t="n">
        <x:f>IF(AND(v01_WinterTrigger=1,D500=1,AB499/AE499&gt;=K500),1,0)</x:f>
        <x:v>0</x:v>
      </x:c>
      <x:c r="AD500" s="8" t="n">
        <x:f>H500*IF(AND(OR(AB499/AE499&gt;=v01_FissionTrigger*N500,AC500=1),AB499/AE499*v01_DaughterShare&gt;=v01_MinDaughter),MAX(1,ROUND(AE499*v01_FissionRate,0)),0)</x:f>
        <x:v>0</x:v>
      </x:c>
      <x:c r="AE500" s="8" t="n">
        <x:f>IF(H500=1,MAX(1,MIN(INDEX(v01_Smax,G500),AE499+AD500)),AE499)</x:f>
        <x:v>3</x:v>
      </x:c>
      <x:c r="AF500" s="8" t="n">
        <x:f>MAX(0,AE500-AE499)</x:f>
        <x:v>0</x:v>
      </x:c>
      <x:c r="AG500" s="9" t="str">
        <x:f>IF(AF500&gt;0,B500,"")</x:f>
      </x:c>
      <x:c r="AH500" s="9" t="n">
        <x:f>IF(F500&gt;=1,1,(1+v01_LowTiesShare*(AE500-1))/AE500)</x:f>
        <x:v>1</x:v>
      </x:c>
      <x:c r="AI500" s="32" t="n">
        <x:f>(Z500+v01_ElderCommons*INDEX(LM_Elder,G500)*AA500)*AH500</x:f>
        <x:v>64.33709630228716</x:v>
      </x:c>
      <x:c r="AJ500" s="32" t="n">
        <x:f>H500*v01_CommonsCoef*AI500^v01_CommonsExp*INDEX(LM_Commons,G500)</x:f>
        <x:v>22.737157665070683</x:v>
      </x:c>
      <x:c r="AK500" s="32" t="n">
        <x:f>H500*v01_RoleScale*Arch_Roles*(AE500*(INDEX(v01_ElderRolePerSett,G500)*v01_OutElder*INDEX(LM_Elder,G500)+INDEX(v01_ShamanPerSett,G500)*v01_OutShaman)+Z500*(INDEX(v01_PriestShare,G500)*v01_OutPriest+INDEX(v01_ScribeShare,G500)*v01_OutScribe*INDEX(LM_Scribe,G500)+INDEX(v01_ScholarShare,G500)*v01_OutScholar*INDEX(LM_Scholar,G500)+INDEX(v01_ResearcherShare,G500)*v01_OutResearcher*INDEX(LM_Researcher,G500)))</x:f>
        <x:v>9</x:v>
      </x:c>
      <x:c r="AL500" s="32" t="n">
        <x:f>H500*v01_RoleScale*Arch_Roles*AE500*INDEX(v01_MonasteryPerSett,G500)*v01_OutMonastery*INDEX(LM_Monastery,G500)</x:f>
        <x:v>0</x:v>
      </x:c>
      <x:c r="AM500" s="32" t="n">
        <x:f>(AJ500+AK500+AL500)/4*INDEX(LM_All,G500)*INDEX(v01_Boon,G500)*Arch_Insight</x:f>
        <x:v>8.335962817966221</x:v>
      </x:c>
      <x:c r="AN500" s="32" t="n">
        <x:f>H500*(v01_KHPerAdult*Z500+v01_KHOfCommons*AJ500/4*INDEX(LM_All,G500))*v01_KHUsable*Arch_KH</x:f>
        <x:v>1.196940937737694</x:v>
      </x:c>
      <x:c r="AO500" s="32" t="n">
        <x:f>MIN(AP499+AN500,AM500*v01_KHMaxRatio)</x:f>
        <x:v>1.196940937737694</x:v>
      </x:c>
      <x:c r="AP500" s="32" t="n">
        <x:f>AP499+AN500-AO500</x:f>
        <x:v>0</x:v>
      </x:c>
      <x:c r="AQ500" s="32" t="n">
        <x:f>AM500+AO500</x:f>
        <x:v>9.532903755703915</x:v>
      </x:c>
      <x:c r="AR500" s="10" t="n">
        <x:f>IF(H500=1,INDEX(v01_Req,G500),0)</x:f>
        <x:v>4006.9599999999996</x:v>
      </x:c>
      <x:c r="AS500" s="32" t="n">
        <x:f>IF(H500=1,IF(E500=1,AS499-AR499,AS499)+AQ500,0)</x:f>
        <x:v>122.6512236363272</x:v>
      </x:c>
      <x:c r="AT500" s="11" t="n">
        <x:f>IF(AR500&gt;0,MIN(1,AS500/AR500),1)</x:f>
        <x:v>0.030609545300259354</x:v>
      </x:c>
      <x:c r="AU500" s="10" t="n">
        <x:f>AB500/INDEX(v01_RepScale,G500)</x:f>
        <x:v>39.84757466683827</x:v>
      </x:c>
      <x:c r="AV500" s="32" t="n">
        <x:f>AM500*60/v01_SeasonSeconds</x:f>
        <x:v>33.343851271864885</x:v>
      </x:c>
    </x:row>
    <x:row r="501">
      <x:c r="A501" s="8" t="n">
        <x:f>A500+1</x:f>
        <x:v>498</x:v>
      </x:c>
      <x:c r="B501" s="9" t="n">
        <x:f>A501*v01_SeasonSeconds/60</x:f>
        <x:v>124.5</x:v>
      </x:c>
      <x:c r="C501" s="9" t="n">
        <x:f>A501/4</x:f>
        <x:v>124.5</x:v>
      </x:c>
      <x:c r="D501" s="8" t="n">
        <x:f>IF(MOD(A501,4)=0,1,0)</x:f>
        <x:v>0</x:v>
      </x:c>
      <x:c r="E501" s="8" t="n">
        <x:f>IF(AND(F500&lt;=9,AS500&gt;=AR500),1,0)</x:f>
        <x:v>0</x:v>
      </x:c>
      <x:c r="F501" s="8" t="n">
        <x:f>MIN(10,F500+E501)</x:f>
        <x:v>2</x:v>
      </x:c>
      <x:c r="G501" s="8" t="n">
        <x:f>MIN(F501,9)+1</x:f>
        <x:v>3</x:v>
      </x:c>
      <x:c r="H501" s="8" t="n">
        <x:f>IF(F501&lt;=9,1,0)</x:f>
        <x:v>1</x:v>
      </x:c>
      <x:c r="I501" s="9" t="n">
        <x:f>MIN(10,F500+IF(AR500&gt;0,MIN(1,AS500/AR500),1))</x:f>
        <x:v>2.0306095453002593</x:v>
      </x:c>
      <x:c r="J501" s="32" t="n">
        <x:f>INDEX(v01_FoodCap,G501)*Arch_FoodCap*EXP(v01_CapsByProject*SUMPRODUCT((Cap_Point&lt;=I501)*(Cap_Kind="Food")*Cap_Ln))</x:f>
        <x:v>60</x:v>
      </x:c>
      <x:c r="K501" s="32" t="n">
        <x:f>J501*MIN(1,v01_LeanBase*EXP(v01_CapsByProject*SUMPRODUCT((Cap_Point&lt;=I501)*(Cap_Kind="Lean")*Cap_Ln)))</x:f>
        <x:v>60</x:v>
      </x:c>
      <x:c r="L501" s="10" t="n">
        <x:f>INDEX(v01_HousingCap,G501)*EXP(v01_CapsByProject*SUMPRODUCT((Cap_Point&lt;=I501)*(Cap_Kind="Housing")*Cap_Ln))</x:f>
        <x:v>100</x:v>
      </x:c>
      <x:c r="M501" s="10" t="n">
        <x:f>INDEX(v01_GroupCap,G501)*v01_CohesionFactor*EXP(v01_CapsByProject*SUMPRODUCT((Cap_Point&lt;=I501)*(Cap_Kind="Group")*Cap_Ln))</x:f>
        <x:v>500</x:v>
      </x:c>
      <x:c r="N501" s="32" t="n">
        <x:f>MIN(J501,L501,M501)</x:f>
        <x:v>60</x:v>
      </x:c>
      <x:c r="O501" s="10" t="n">
        <x:f>AE500*N501</x:f>
        <x:v>180</x:v>
      </x:c>
      <x:c r="P501" s="9" t="n">
        <x:f>MIN(1,(AB500/(AE500*IF(v01_GroupInCrowding=1,N501,MIN(J501,L501))))^v01_CrowdingExp)</x:f>
        <x:v>0.007532797659573932</x:v>
      </x:c>
      <x:c r="Q501" s="9" t="n">
        <x:f>IF(D501=1,INDEX(v01_WinterMult,G501),1)</x:f>
        <x:v>1</x:v>
      </x:c>
      <x:c r="R501" s="9" t="n">
        <x:f>H501*Z500*v01_WomenShare*v01_BaseFertility*INDEX(v01_FertMult,G501)*Arch_Fertility*(1-P501)</x:f>
        <x:v>1.3745984933043385</x:v>
      </x:c>
      <x:c r="S501" s="9" t="n">
        <x:f>H501*Y500*INDEX(v01_MortChild,G501)/4*Q501</x:f>
        <x:v>0.31019253616504994</x:v>
      </x:c>
      <x:c r="T501" s="9" t="n">
        <x:f>H501*Z500*INDEX(v01_MortAdult,G501)*Arch_AdultMort/4*Q501</x:f>
        <x:v>0.10259493752037378</x:v>
      </x:c>
      <x:c r="U501" s="9" t="n">
        <x:f>H501*AA500*INDEX(v01_MortElder,G501)/4*Q501</x:f>
        <x:v>0.17580957214039283</x:v>
      </x:c>
      <x:c r="V501" s="9" t="n">
        <x:f>H501*MAX(0,AB500-O501)*v01_OvercapLoss</x:f>
        <x:v>0</x:v>
      </x:c>
      <x:c r="W501" s="9" t="n">
        <x:f>H501*Y500/(v01_ChildYears*4)</x:f>
        <x:v>0.6330459921735712</x:v>
      </x:c>
      <x:c r="X501" s="9" t="n">
        <x:f>H501*Z500/(v01_AdultYears*4)</x:f>
        <x:v>0.27579284279670374</x:v>
      </x:c>
      <x:c r="Y501" s="32" t="n">
        <x:f>Y500+R501-S501-W501-Y500*V501/AB500</x:f>
        <x:v>35.88193552668571</x:v>
      </x:c>
      <x:c r="Z501" s="32" t="n">
        <x:f>Z500+W501-X501-T501-Z500*V501/AB500</x:f>
        <x:v>34.452970718647755</x:v>
      </x:c>
      <x:c r="AA501" s="32" t="n">
        <x:f>AA500+X501-U501-AA500*V501/AB500</x:f>
        <x:v>10.146244535821616</x:v>
      </x:c>
      <x:c r="AB501" s="10" t="n">
        <x:f>Y501+Z501+AA501</x:f>
        <x:v>80.48115078115507</x:v>
      </x:c>
      <x:c r="AC501" s="8" t="n">
        <x:f>IF(AND(v01_WinterTrigger=1,D501=1,AB500/AE500&gt;=K501),1,0)</x:f>
        <x:v>0</x:v>
      </x:c>
      <x:c r="AD501" s="8" t="n">
        <x:f>H501*IF(AND(OR(AB500/AE500&gt;=v01_FissionTrigger*N501,AC501=1),AB500/AE500*v01_DaughterShare&gt;=v01_MinDaughter),MAX(1,ROUND(AE500*v01_FissionRate,0)),0)</x:f>
        <x:v>0</x:v>
      </x:c>
      <x:c r="AE501" s="8" t="n">
        <x:f>IF(H501=1,MAX(1,MIN(INDEX(v01_Smax,G501),AE500+AD501)),AE500)</x:f>
        <x:v>3</x:v>
      </x:c>
      <x:c r="AF501" s="8" t="n">
        <x:f>MAX(0,AE501-AE500)</x:f>
        <x:v>0</x:v>
      </x:c>
      <x:c r="AG501" s="9" t="str">
        <x:f>IF(AF501&gt;0,B501,"")</x:f>
      </x:c>
      <x:c r="AH501" s="9" t="n">
        <x:f>IF(F501&gt;=1,1,(1+v01_LowTiesShare*(AE501-1))/AE501)</x:f>
        <x:v>1</x:v>
      </x:c>
      <x:c r="AI501" s="32" t="n">
        <x:f>(Z501+v01_ElderCommons*INDEX(LM_Elder,G501)*AA501)*AH501</x:f>
        <x:v>64.8917043261126</x:v>
      </x:c>
      <x:c r="AJ501" s="32" t="n">
        <x:f>H501*v01_CommonsCoef*AI501^v01_CommonsExp*INDEX(LM_Commons,G501)</x:f>
        <x:v>22.90365214607804</x:v>
      </x:c>
      <x:c r="AK501" s="32" t="n">
        <x:f>H501*v01_RoleScale*Arch_Roles*(AE501*(INDEX(v01_ElderRolePerSett,G501)*v01_OutElder*INDEX(LM_Elder,G501)+INDEX(v01_ShamanPerSett,G501)*v01_OutShaman)+Z501*(INDEX(v01_PriestShare,G501)*v01_OutPriest+INDEX(v01_ScribeShare,G501)*v01_OutScribe*INDEX(LM_Scribe,G501)+INDEX(v01_ScholarShare,G501)*v01_OutScholar*INDEX(LM_Scholar,G501)+INDEX(v01_ResearcherShare,G501)*v01_OutResearcher*INDEX(LM_Researcher,G501)))</x:f>
        <x:v>9</x:v>
      </x:c>
      <x:c r="AL501" s="32" t="n">
        <x:f>H501*v01_RoleScale*Arch_Roles*AE501*INDEX(v01_MonasteryPerSett,G501)*v01_OutMonastery*INDEX(LM_Monastery,G501)</x:f>
        <x:v>0</x:v>
      </x:c>
      <x:c r="AM501" s="32" t="n">
        <x:f>(AJ501+AK501+AL501)/4*INDEX(LM_All,G501)*INDEX(v01_Boon,G501)*Arch_Insight</x:f>
        <x:v>8.379693633993309</x:v>
      </x:c>
      <x:c r="AN501" s="32" t="n">
        <x:f>H501*(v01_KHPerAdult*Z501+v01_KHOfCommons*AJ501/4*INDEX(LM_All,G501))*v01_KHUsable*Arch_KH</x:f>
        <x:v>1.2058539751526713</x:v>
      </x:c>
      <x:c r="AO501" s="32" t="n">
        <x:f>MIN(AP500+AN501,AM501*v01_KHMaxRatio)</x:f>
        <x:v>1.2058539751526713</x:v>
      </x:c>
      <x:c r="AP501" s="32" t="n">
        <x:f>AP500+AN501-AO501</x:f>
        <x:v>0</x:v>
      </x:c>
      <x:c r="AQ501" s="32" t="n">
        <x:f>AM501+AO501</x:f>
        <x:v>9.58554760914598</x:v>
      </x:c>
      <x:c r="AR501" s="10" t="n">
        <x:f>IF(H501=1,INDEX(v01_Req,G501),0)</x:f>
        <x:v>4006.9599999999996</x:v>
      </x:c>
      <x:c r="AS501" s="32" t="n">
        <x:f>IF(H501=1,IF(E501=1,AS500-AR500,AS500)+AQ501,0)</x:f>
        <x:v>132.2367712454732</x:v>
      </x:c>
      <x:c r="AT501" s="11" t="n">
        <x:f>IF(AR501&gt;0,MIN(1,AS501/AR501),1)</x:f>
        <x:v>0.03300176973203456</x:v>
      </x:c>
      <x:c r="AU501" s="10" t="n">
        <x:f>AB501/INDEX(v01_RepScale,G501)</x:f>
        <x:v>40.24057539057753</x:v>
      </x:c>
      <x:c r="AV501" s="32" t="n">
        <x:f>AM501*60/v01_SeasonSeconds</x:f>
        <x:v>33.518774535973236</x:v>
      </x:c>
    </x:row>
    <x:row r="502">
      <x:c r="A502" s="8" t="n">
        <x:f>A501+1</x:f>
        <x:v>499</x:v>
      </x:c>
      <x:c r="B502" s="9" t="n">
        <x:f>A502*v01_SeasonSeconds/60</x:f>
        <x:v>124.75</x:v>
      </x:c>
      <x:c r="C502" s="9" t="n">
        <x:f>A502/4</x:f>
        <x:v>124.75</x:v>
      </x:c>
      <x:c r="D502" s="8" t="n">
        <x:f>IF(MOD(A502,4)=0,1,0)</x:f>
        <x:v>0</x:v>
      </x:c>
      <x:c r="E502" s="8" t="n">
        <x:f>IF(AND(F501&lt;=9,AS501&gt;=AR501),1,0)</x:f>
        <x:v>0</x:v>
      </x:c>
      <x:c r="F502" s="8" t="n">
        <x:f>MIN(10,F501+E502)</x:f>
        <x:v>2</x:v>
      </x:c>
      <x:c r="G502" s="8" t="n">
        <x:f>MIN(F502,9)+1</x:f>
        <x:v>3</x:v>
      </x:c>
      <x:c r="H502" s="8" t="n">
        <x:f>IF(F502&lt;=9,1,0)</x:f>
        <x:v>1</x:v>
      </x:c>
      <x:c r="I502" s="9" t="n">
        <x:f>MIN(10,F501+IF(AR501&gt;0,MIN(1,AS501/AR501),1))</x:f>
        <x:v>2.0330017697320346</x:v>
      </x:c>
      <x:c r="J502" s="32" t="n">
        <x:f>INDEX(v01_FoodCap,G502)*Arch_FoodCap*EXP(v01_CapsByProject*SUMPRODUCT((Cap_Point&lt;=I502)*(Cap_Kind="Food")*Cap_Ln))</x:f>
        <x:v>60</x:v>
      </x:c>
      <x:c r="K502" s="32" t="n">
        <x:f>J502*MIN(1,v01_LeanBase*EXP(v01_CapsByProject*SUMPRODUCT((Cap_Point&lt;=I502)*(Cap_Kind="Lean")*Cap_Ln)))</x:f>
        <x:v>60</x:v>
      </x:c>
      <x:c r="L502" s="10" t="n">
        <x:f>INDEX(v01_HousingCap,G502)*EXP(v01_CapsByProject*SUMPRODUCT((Cap_Point&lt;=I502)*(Cap_Kind="Housing")*Cap_Ln))</x:f>
        <x:v>100</x:v>
      </x:c>
      <x:c r="M502" s="10" t="n">
        <x:f>INDEX(v01_GroupCap,G502)*v01_CohesionFactor*EXP(v01_CapsByProject*SUMPRODUCT((Cap_Point&lt;=I502)*(Cap_Kind="Group")*Cap_Ln))</x:f>
        <x:v>500</x:v>
      </x:c>
      <x:c r="N502" s="32" t="n">
        <x:f>MIN(J502,L502,M502)</x:f>
        <x:v>60</x:v>
      </x:c>
      <x:c r="O502" s="10" t="n">
        <x:f>AE501*N502</x:f>
        <x:v>180</x:v>
      </x:c>
      <x:c r="P502" s="9" t="n">
        <x:f>MIN(1,(AB501/(AE501*IF(v01_GroupInCrowding=1,N502,MIN(J502,L502))))^v01_CrowdingExp)</x:f>
        <x:v>0.007989691952939191</x:v>
      </x:c>
      <x:c r="Q502" s="9" t="n">
        <x:f>IF(D502=1,INDEX(v01_WinterMult,G502),1)</x:f>
        <x:v>1</x:v>
      </x:c>
      <x:c r="R502" s="9" t="n">
        <x:f>H502*Z501*v01_WomenShare*v01_BaseFertility*INDEX(v01_FertMult,G502)*Arch_Fertility*(1-P502)</x:f>
        <x:v>1.384196934877556</x:v>
      </x:c>
      <x:c r="S502" s="9" t="n">
        <x:f>H502*Y501*INDEX(v01_MortChild,G502)/4*Q502</x:f>
        <x:v>0.3139669358585</x:v>
      </x:c>
      <x:c r="T502" s="9" t="n">
        <x:f>H502*Z501*INDEX(v01_MortAdult,G502)*Arch_AdultMort/4*Q502</x:f>
        <x:v>0.10335891215594327</x:v>
      </x:c>
      <x:c r="U502" s="9" t="n">
        <x:f>H502*AA501*INDEX(v01_MortElder,G502)/4*Q502</x:f>
        <x:v>0.1775592793768783</x:v>
      </x:c>
      <x:c r="V502" s="9" t="n">
        <x:f>H502*MAX(0,AB501-O502)*v01_OvercapLoss</x:f>
        <x:v>0</x:v>
      </x:c>
      <x:c r="W502" s="9" t="n">
        <x:f>H502*Y501/(v01_ChildYears*4)</x:f>
        <x:v>0.6407488486908163</x:v>
      </x:c>
      <x:c r="X502" s="9" t="n">
        <x:f>H502*Z501/(v01_AdultYears*4)</x:f>
        <x:v>0.2778465380536109</x:v>
      </x:c>
      <x:c r="Y502" s="32" t="n">
        <x:f>Y501+R502-S502-W502-Y501*V502/AB501</x:f>
        <x:v>36.311416677013945</x:v>
      </x:c>
      <x:c r="Z502" s="32" t="n">
        <x:f>Z501+W502-X502-T502-Z501*V502/AB501</x:f>
        <x:v>34.712514117129025</x:v>
      </x:c>
      <x:c r="AA502" s="32" t="n">
        <x:f>AA501+X502-U502-AA501*V502/AB501</x:f>
        <x:v>10.246531794498349</x:v>
      </x:c>
      <x:c r="AB502" s="10" t="n">
        <x:f>Y502+Z502+AA502</x:f>
        <x:v>81.27046258864132</x:v>
      </x:c>
      <x:c r="AC502" s="8" t="n">
        <x:f>IF(AND(v01_WinterTrigger=1,D502=1,AB501/AE501&gt;=K502),1,0)</x:f>
        <x:v>0</x:v>
      </x:c>
      <x:c r="AD502" s="8" t="n">
        <x:f>H502*IF(AND(OR(AB501/AE501&gt;=v01_FissionTrigger*N502,AC502=1),AB501/AE501*v01_DaughterShare&gt;=v01_MinDaughter),MAX(1,ROUND(AE501*v01_FissionRate,0)),0)</x:f>
        <x:v>0</x:v>
      </x:c>
      <x:c r="AE502" s="8" t="n">
        <x:f>IF(H502=1,MAX(1,MIN(INDEX(v01_Smax,G502),AE501+AD502)),AE501)</x:f>
        <x:v>3</x:v>
      </x:c>
      <x:c r="AF502" s="8" t="n">
        <x:f>MAX(0,AE502-AE501)</x:f>
        <x:v>0</x:v>
      </x:c>
      <x:c r="AG502" s="9" t="str">
        <x:f>IF(AF502&gt;0,B502,"")</x:f>
      </x:c>
      <x:c r="AH502" s="9" t="n">
        <x:f>IF(F502&gt;=1,1,(1+v01_LowTiesShare*(AE502-1))/AE502)</x:f>
        <x:v>1</x:v>
      </x:c>
      <x:c r="AI502" s="32" t="n">
        <x:f>(Z502+v01_ElderCommons*INDEX(LM_Elder,G502)*AA502)*AH502</x:f>
        <x:v>65.45210950062408</x:v>
      </x:c>
      <x:c r="AJ502" s="32" t="n">
        <x:f>H502*v01_CommonsCoef*AI502^v01_CommonsExp*INDEX(LM_Commons,G502)</x:f>
        <x:v>23.071670282914916</x:v>
      </x:c>
      <x:c r="AK502" s="32" t="n">
        <x:f>H502*v01_RoleScale*Arch_Roles*(AE502*(INDEX(v01_ElderRolePerSett,G502)*v01_OutElder*INDEX(LM_Elder,G502)+INDEX(v01_ShamanPerSett,G502)*v01_OutShaman)+Z502*(INDEX(v01_PriestShare,G502)*v01_OutPriest+INDEX(v01_ScribeShare,G502)*v01_OutScribe*INDEX(LM_Scribe,G502)+INDEX(v01_ScholarShare,G502)*v01_OutScholar*INDEX(LM_Scholar,G502)+INDEX(v01_ResearcherShare,G502)*v01_OutResearcher*INDEX(LM_Researcher,G502)))</x:f>
        <x:v>9</x:v>
      </x:c>
      <x:c r="AL502" s="32" t="n">
        <x:f>H502*v01_RoleScale*Arch_Roles*AE502*INDEX(v01_MonasteryPerSett,G502)*v01_OutMonastery*INDEX(LM_Monastery,G502)</x:f>
        <x:v>0</x:v>
      </x:c>
      <x:c r="AM502" s="32" t="n">
        <x:f>(AJ502+AK502+AL502)/4*INDEX(LM_All,G502)*INDEX(v01_Boon,G502)*Arch_Insight</x:f>
        <x:v>8.423824647746871</x:v>
      </x:c>
      <x:c r="AN502" s="32" t="n">
        <x:f>H502*(v01_KHPerAdult*Z502+v01_KHOfCommons*AJ502/4*INDEX(LM_All,G502))*v01_KHUsable*Arch_KH</x:f>
        <x:v>1.2149379940995158</x:v>
      </x:c>
      <x:c r="AO502" s="32" t="n">
        <x:f>MIN(AP501+AN502,AM502*v01_KHMaxRatio)</x:f>
        <x:v>1.2149379940995158</x:v>
      </x:c>
      <x:c r="AP502" s="32" t="n">
        <x:f>AP501+AN502-AO502</x:f>
        <x:v>0</x:v>
      </x:c>
      <x:c r="AQ502" s="32" t="n">
        <x:f>AM502+AO502</x:f>
        <x:v>9.638762641846387</x:v>
      </x:c>
      <x:c r="AR502" s="10" t="n">
        <x:f>IF(H502=1,INDEX(v01_Req,G502),0)</x:f>
        <x:v>4006.9599999999996</x:v>
      </x:c>
      <x:c r="AS502" s="32" t="n">
        <x:f>IF(H502=1,IF(E502=1,AS501-AR501,AS501)+AQ502,0)</x:f>
        <x:v>141.8755338873196</x:v>
      </x:c>
      <x:c r="AT502" s="11" t="n">
        <x:f>IF(AR502&gt;0,MIN(1,AS502/AR502),1)</x:f>
        <x:v>0.035407274813654147</x:v>
      </x:c>
      <x:c r="AU502" s="10" t="n">
        <x:f>AB502/INDEX(v01_RepScale,G502)</x:f>
        <x:v>40.63523129432066</x:v>
      </x:c>
      <x:c r="AV502" s="32" t="n">
        <x:f>AM502*60/v01_SeasonSeconds</x:f>
        <x:v>33.695298590987484</x:v>
      </x:c>
    </x:row>
    <x:row r="503">
      <x:c r="A503" s="8" t="n">
        <x:f>A502+1</x:f>
        <x:v>500</x:v>
      </x:c>
      <x:c r="B503" s="9" t="n">
        <x:f>A503*v01_SeasonSeconds/60</x:f>
        <x:v>125</x:v>
      </x:c>
      <x:c r="C503" s="9" t="n">
        <x:f>A503/4</x:f>
        <x:v>125</x:v>
      </x:c>
      <x:c r="D503" s="8" t="n">
        <x:f>IF(MOD(A503,4)=0,1,0)</x:f>
        <x:v>1</x:v>
      </x:c>
      <x:c r="E503" s="8" t="n">
        <x:f>IF(AND(F502&lt;=9,AS502&gt;=AR502),1,0)</x:f>
        <x:v>0</x:v>
      </x:c>
      <x:c r="F503" s="8" t="n">
        <x:f>MIN(10,F502+E503)</x:f>
        <x:v>2</x:v>
      </x:c>
      <x:c r="G503" s="8" t="n">
        <x:f>MIN(F503,9)+1</x:f>
        <x:v>3</x:v>
      </x:c>
      <x:c r="H503" s="8" t="n">
        <x:f>IF(F503&lt;=9,1,0)</x:f>
        <x:v>1</x:v>
      </x:c>
      <x:c r="I503" s="9" t="n">
        <x:f>MIN(10,F502+IF(AR502&gt;0,MIN(1,AS502/AR502),1))</x:f>
        <x:v>2.0354072748136542</x:v>
      </x:c>
      <x:c r="J503" s="32" t="n">
        <x:f>INDEX(v01_FoodCap,G503)*Arch_FoodCap*EXP(v01_CapsByProject*SUMPRODUCT((Cap_Point&lt;=I503)*(Cap_Kind="Food")*Cap_Ln))</x:f>
        <x:v>60</x:v>
      </x:c>
      <x:c r="K503" s="32" t="n">
        <x:f>J503*MIN(1,v01_LeanBase*EXP(v01_CapsByProject*SUMPRODUCT((Cap_Point&lt;=I503)*(Cap_Kind="Lean")*Cap_Ln)))</x:f>
        <x:v>60</x:v>
      </x:c>
      <x:c r="L503" s="10" t="n">
        <x:f>INDEX(v01_HousingCap,G503)*EXP(v01_CapsByProject*SUMPRODUCT((Cap_Point&lt;=I503)*(Cap_Kind="Housing")*Cap_Ln))</x:f>
        <x:v>100</x:v>
      </x:c>
      <x:c r="M503" s="10" t="n">
        <x:f>INDEX(v01_GroupCap,G503)*v01_CohesionFactor*EXP(v01_CapsByProject*SUMPRODUCT((Cap_Point&lt;=I503)*(Cap_Kind="Group")*Cap_Ln))</x:f>
        <x:v>500</x:v>
      </x:c>
      <x:c r="N503" s="32" t="n">
        <x:f>MIN(J503,L503,M503)</x:f>
        <x:v>60</x:v>
      </x:c>
      <x:c r="O503" s="10" t="n">
        <x:f>AE502*N503</x:f>
        <x:v>180</x:v>
      </x:c>
      <x:c r="P503" s="9" t="n">
        <x:f>MIN(1,(AB502/(AE502*IF(v01_GroupInCrowding=1,N503,MIN(J503,L503))))^v01_CrowdingExp)</x:f>
        <x:v>0.00847152037824883</x:v>
      </x:c>
      <x:c r="Q503" s="9" t="n">
        <x:f>IF(D503=1,INDEX(v01_WinterMult,G503),1)</x:f>
        <x:v>1.3</x:v>
      </x:c>
      <x:c r="R503" s="9" t="n">
        <x:f>H503*Z502*v01_WomenShare*v01_BaseFertility*INDEX(v01_FertMult,G503)*Arch_Fertility*(1-P503)</x:f>
        <x:v>1.3939470770294236</x:v>
      </x:c>
      <x:c r="S503" s="9" t="n">
        <x:f>H503*Y502*INDEX(v01_MortChild,G503)/4*Q503</x:f>
        <x:v>0.41304236470103367</x:v>
      </x:c>
      <x:c r="T503" s="9" t="n">
        <x:f>H503*Z502*INDEX(v01_MortAdult,G503)*Arch_AdultMort/4*Q503</x:f>
        <x:v>0.1353788050568032</x:v>
      </x:c>
      <x:c r="U503" s="9" t="n">
        <x:f>H503*AA502*INDEX(v01_MortElder,G503)/4*Q503</x:f>
        <x:v>0.23310859832483746</x:v>
      </x:c>
      <x:c r="V503" s="9" t="n">
        <x:f>H503*MAX(0,AB502-O503)*v01_OvercapLoss</x:f>
        <x:v>0</x:v>
      </x:c>
      <x:c r="W503" s="9" t="n">
        <x:f>H503*Y502/(v01_ChildYears*4)</x:f>
        <x:v>0.6484181549466775</x:v>
      </x:c>
      <x:c r="X503" s="9" t="n">
        <x:f>H503*Z502/(v01_AdultYears*4)</x:f>
        <x:v>0.27993962997684696</x:v>
      </x:c>
      <x:c r="Y503" s="32" t="n">
        <x:f>Y502+R503-S503-W503-Y502*V503/AB502</x:f>
        <x:v>36.64390323439566</x:v>
      </x:c>
      <x:c r="Z503" s="32" t="n">
        <x:f>Z502+W503-X503-T503-Z502*V503/AB502</x:f>
        <x:v>34.94561383704205</x:v>
      </x:c>
      <x:c r="AA503" s="32" t="n">
        <x:f>AA502+X503-U503-AA502*V503/AB502</x:f>
        <x:v>10.293362826150357</x:v>
      </x:c>
      <x:c r="AB503" s="10" t="n">
        <x:f>Y503+Z503+AA503</x:f>
        <x:v>81.88287989758807</x:v>
      </x:c>
      <x:c r="AC503" s="8" t="n">
        <x:f>IF(AND(v01_WinterTrigger=1,D503=1,AB502/AE502&gt;=K503),1,0)</x:f>
        <x:v>0</x:v>
      </x:c>
      <x:c r="AD503" s="8" t="n">
        <x:f>H503*IF(AND(OR(AB502/AE502&gt;=v01_FissionTrigger*N503,AC503=1),AB502/AE502*v01_DaughterShare&gt;=v01_MinDaughter),MAX(1,ROUND(AE502*v01_FissionRate,0)),0)</x:f>
        <x:v>0</x:v>
      </x:c>
      <x:c r="AE503" s="8" t="n">
        <x:f>IF(H503=1,MAX(1,MIN(INDEX(v01_Smax,G503),AE502+AD503)),AE502)</x:f>
        <x:v>3</x:v>
      </x:c>
      <x:c r="AF503" s="8" t="n">
        <x:f>MAX(0,AE503-AE502)</x:f>
        <x:v>0</x:v>
      </x:c>
      <x:c r="AG503" s="9" t="str">
        <x:f>IF(AF503&gt;0,B503,"")</x:f>
      </x:c>
      <x:c r="AH503" s="9" t="n">
        <x:f>IF(F503&gt;=1,1,(1+v01_LowTiesShare*(AE503-1))/AE503)</x:f>
        <x:v>1</x:v>
      </x:c>
      <x:c r="AI503" s="32" t="n">
        <x:f>(Z503+v01_ElderCommons*INDEX(LM_Elder,G503)*AA503)*AH503</x:f>
        <x:v>65.82570231549312</x:v>
      </x:c>
      <x:c r="AJ503" s="32" t="n">
        <x:f>H503*v01_CommonsCoef*AI503^v01_CommonsExp*INDEX(LM_Commons,G503)</x:f>
        <x:v>23.183559253294092</x:v>
      </x:c>
      <x:c r="AK503" s="32" t="n">
        <x:f>H503*v01_RoleScale*Arch_Roles*(AE503*(INDEX(v01_ElderRolePerSett,G503)*v01_OutElder*INDEX(LM_Elder,G503)+INDEX(v01_ShamanPerSett,G503)*v01_OutShaman)+Z503*(INDEX(v01_PriestShare,G503)*v01_OutPriest+INDEX(v01_ScribeShare,G503)*v01_OutScribe*INDEX(LM_Scribe,G503)+INDEX(v01_ScholarShare,G503)*v01_OutScholar*INDEX(LM_Scholar,G503)+INDEX(v01_ResearcherShare,G503)*v01_OutResearcher*INDEX(LM_Researcher,G503)))</x:f>
        <x:v>9</x:v>
      </x:c>
      <x:c r="AL503" s="32" t="n">
        <x:f>H503*v01_RoleScale*Arch_Roles*AE503*INDEX(v01_MonasteryPerSett,G503)*v01_OutMonastery*INDEX(LM_Monastery,G503)</x:f>
        <x:v>0</x:v>
      </x:c>
      <x:c r="AM503" s="32" t="n">
        <x:f>(AJ503+AK503+AL503)/4*INDEX(LM_All,G503)*INDEX(v01_Boon,G503)*Arch_Insight</x:f>
        <x:v>8.453212985123026</x:v>
      </x:c>
      <x:c r="AN503" s="32" t="n">
        <x:f>H503*(v01_KHPerAdult*Z503+v01_KHOfCommons*AJ503/4*INDEX(LM_All,G503))*v01_KHUsable*Arch_KH</x:f>
        <x:v>1.2230964842964718</x:v>
      </x:c>
      <x:c r="AO503" s="32" t="n">
        <x:f>MIN(AP502+AN503,AM503*v01_KHMaxRatio)</x:f>
        <x:v>1.2230964842964718</x:v>
      </x:c>
      <x:c r="AP503" s="32" t="n">
        <x:f>AP502+AN503-AO503</x:f>
        <x:v>0</x:v>
      </x:c>
      <x:c r="AQ503" s="32" t="n">
        <x:f>AM503+AO503</x:f>
        <x:v>9.676309469419497</x:v>
      </x:c>
      <x:c r="AR503" s="10" t="n">
        <x:f>IF(H503=1,INDEX(v01_Req,G503),0)</x:f>
        <x:v>4006.9599999999996</x:v>
      </x:c>
      <x:c r="AS503" s="32" t="n">
        <x:f>IF(H503=1,IF(E503=1,AS502-AR502,AS502)+AQ503,0)</x:f>
        <x:v>151.55184335673908</x:v>
      </x:c>
      <x:c r="AT503" s="11" t="n">
        <x:f>IF(AR503&gt;0,MIN(1,AS503/AR503),1)</x:f>
        <x:v>0.037822150297666834</x:v>
      </x:c>
      <x:c r="AU503" s="10" t="n">
        <x:f>AB503/INDEX(v01_RepScale,G503)</x:f>
        <x:v>40.941439948794034</x:v>
      </x:c>
      <x:c r="AV503" s="32" t="n">
        <x:f>AM503*60/v01_SeasonSeconds</x:f>
        <x:v>33.8128519404921</x:v>
      </x:c>
    </x:row>
    <x:row r="504">
      <x:c r="A504" s="8" t="n">
        <x:f>A503+1</x:f>
        <x:v>501</x:v>
      </x:c>
      <x:c r="B504" s="9" t="n">
        <x:f>A504*v01_SeasonSeconds/60</x:f>
        <x:v>125.25</x:v>
      </x:c>
      <x:c r="C504" s="9" t="n">
        <x:f>A504/4</x:f>
        <x:v>125.25</x:v>
      </x:c>
      <x:c r="D504" s="8" t="n">
        <x:f>IF(MOD(A504,4)=0,1,0)</x:f>
        <x:v>0</x:v>
      </x:c>
      <x:c r="E504" s="8" t="n">
        <x:f>IF(AND(F503&lt;=9,AS503&gt;=AR503),1,0)</x:f>
        <x:v>0</x:v>
      </x:c>
      <x:c r="F504" s="8" t="n">
        <x:f>MIN(10,F503+E504)</x:f>
        <x:v>2</x:v>
      </x:c>
      <x:c r="G504" s="8" t="n">
        <x:f>MIN(F504,9)+1</x:f>
        <x:v>3</x:v>
      </x:c>
      <x:c r="H504" s="8" t="n">
        <x:f>IF(F504&lt;=9,1,0)</x:f>
        <x:v>1</x:v>
      </x:c>
      <x:c r="I504" s="9" t="n">
        <x:f>MIN(10,F503+IF(AR503&gt;0,MIN(1,AS503/AR503),1))</x:f>
        <x:v>2.037822150297667</x:v>
      </x:c>
      <x:c r="J504" s="32" t="n">
        <x:f>INDEX(v01_FoodCap,G504)*Arch_FoodCap*EXP(v01_CapsByProject*SUMPRODUCT((Cap_Point&lt;=I504)*(Cap_Kind="Food")*Cap_Ln))</x:f>
        <x:v>60</x:v>
      </x:c>
      <x:c r="K504" s="32" t="n">
        <x:f>J504*MIN(1,v01_LeanBase*EXP(v01_CapsByProject*SUMPRODUCT((Cap_Point&lt;=I504)*(Cap_Kind="Lean")*Cap_Ln)))</x:f>
        <x:v>60</x:v>
      </x:c>
      <x:c r="L504" s="10" t="n">
        <x:f>INDEX(v01_HousingCap,G504)*EXP(v01_CapsByProject*SUMPRODUCT((Cap_Point&lt;=I504)*(Cap_Kind="Housing")*Cap_Ln))</x:f>
        <x:v>100</x:v>
      </x:c>
      <x:c r="M504" s="10" t="n">
        <x:f>INDEX(v01_GroupCap,G504)*v01_CohesionFactor*EXP(v01_CapsByProject*SUMPRODUCT((Cap_Point&lt;=I504)*(Cap_Kind="Group")*Cap_Ln))</x:f>
        <x:v>500</x:v>
      </x:c>
      <x:c r="N504" s="32" t="n">
        <x:f>MIN(J504,L504,M504)</x:f>
        <x:v>60</x:v>
      </x:c>
      <x:c r="O504" s="10" t="n">
        <x:f>AE503*N504</x:f>
        <x:v>180</x:v>
      </x:c>
      <x:c r="P504" s="9" t="n">
        <x:f>MIN(1,(AB503/(AE503*IF(v01_GroupInCrowding=1,N504,MIN(J504,L504))))^v01_CrowdingExp)</x:f>
        <x:v>0.008861834237428708</x:v>
      </x:c>
      <x:c r="Q504" s="9" t="n">
        <x:f>IF(D504=1,INDEX(v01_WinterMult,G504),1)</x:f>
        <x:v>1</x:v>
      </x:c>
      <x:c r="R504" s="9" t="n">
        <x:f>H504*Z503*v01_WomenShare*v01_BaseFertility*INDEX(v01_FertMult,G504)*Arch_Fertility*(1-P504)</x:f>
        <x:v>1.4027552297956662</x:v>
      </x:c>
      <x:c r="S504" s="9" t="n">
        <x:f>H504*Y503*INDEX(v01_MortChild,G504)/4*Q504</x:f>
        <x:v>0.32063415330096207</x:v>
      </x:c>
      <x:c r="T504" s="9" t="n">
        <x:f>H504*Z503*INDEX(v01_MortAdult,G504)*Arch_AdultMort/4*Q504</x:f>
        <x:v>0.10483684151112616</x:v>
      </x:c>
      <x:c r="U504" s="9" t="n">
        <x:f>H504*AA503*INDEX(v01_MortElder,G504)/4*Q504</x:f>
        <x:v>0.18013384945763128</x:v>
      </x:c>
      <x:c r="V504" s="9" t="n">
        <x:f>H504*MAX(0,AB503-O504)*v01_OvercapLoss</x:f>
        <x:v>0</x:v>
      </x:c>
      <x:c r="W504" s="9" t="n">
        <x:f>H504*Y503/(v01_ChildYears*4)</x:f>
        <x:v>0.6543554148999224</x:v>
      </x:c>
      <x:c r="X504" s="9" t="n">
        <x:f>H504*Z503/(v01_AdultYears*4)</x:f>
        <x:v>0.2818194664277585</x:v>
      </x:c>
      <x:c r="Y504" s="32" t="n">
        <x:f>Y503+R504-S504-W504-Y503*V504/AB503</x:f>
        <x:v>37.071668895990435</x:v>
      </x:c>
      <x:c r="Z504" s="32" t="n">
        <x:f>Z503+W504-X504-T504-Z503*V504/AB503</x:f>
        <x:v>35.2133129440031</x:v>
      </x:c>
      <x:c r="AA504" s="32" t="n">
        <x:f>AA503+X504-U504-AA503*V504/AB503</x:f>
        <x:v>10.395048443120485</x:v>
      </x:c>
      <x:c r="AB504" s="10" t="n">
        <x:f>Y504+Z504+AA504</x:f>
        <x:v>82.68003028311402</x:v>
      </x:c>
      <x:c r="AC504" s="8" t="n">
        <x:f>IF(AND(v01_WinterTrigger=1,D504=1,AB503/AE503&gt;=K504),1,0)</x:f>
        <x:v>0</x:v>
      </x:c>
      <x:c r="AD504" s="8" t="n">
        <x:f>H504*IF(AND(OR(AB503/AE503&gt;=v01_FissionTrigger*N504,AC504=1),AB503/AE503*v01_DaughterShare&gt;=v01_MinDaughter),MAX(1,ROUND(AE503*v01_FissionRate,0)),0)</x:f>
        <x:v>0</x:v>
      </x:c>
      <x:c r="AE504" s="8" t="n">
        <x:f>IF(H504=1,MAX(1,MIN(INDEX(v01_Smax,G504),AE503+AD504)),AE503)</x:f>
        <x:v>3</x:v>
      </x:c>
      <x:c r="AF504" s="8" t="n">
        <x:f>MAX(0,AE504-AE503)</x:f>
        <x:v>0</x:v>
      </x:c>
      <x:c r="AG504" s="9" t="str">
        <x:f>IF(AF504&gt;0,B504,"")</x:f>
      </x:c>
      <x:c r="AH504" s="9" t="n">
        <x:f>IF(F504&gt;=1,1,(1+v01_LowTiesShare*(AE504-1))/AE504)</x:f>
        <x:v>1</x:v>
      </x:c>
      <x:c r="AI504" s="32" t="n">
        <x:f>(Z504+v01_ElderCommons*INDEX(LM_Elder,G504)*AA504)*AH504</x:f>
        <x:v>66.39845827336455</x:v>
      </x:c>
      <x:c r="AJ504" s="32" t="n">
        <x:f>H504*v01_CommonsCoef*AI504^v01_CommonsExp*INDEX(LM_Commons,G504)</x:f>
        <x:v>23.354911809508213</x:v>
      </x:c>
      <x:c r="AK504" s="32" t="n">
        <x:f>H504*v01_RoleScale*Arch_Roles*(AE504*(INDEX(v01_ElderRolePerSett,G504)*v01_OutElder*INDEX(LM_Elder,G504)+INDEX(v01_ShamanPerSett,G504)*v01_OutShaman)+Z504*(INDEX(v01_PriestShare,G504)*v01_OutPriest+INDEX(v01_ScribeShare,G504)*v01_OutScribe*INDEX(LM_Scribe,G504)+INDEX(v01_ScholarShare,G504)*v01_OutScholar*INDEX(LM_Scholar,G504)+INDEX(v01_ResearcherShare,G504)*v01_OutResearcher*INDEX(LM_Researcher,G504)))</x:f>
        <x:v>9</x:v>
      </x:c>
      <x:c r="AL504" s="32" t="n">
        <x:f>H504*v01_RoleScale*Arch_Roles*AE504*INDEX(v01_MonasteryPerSett,G504)*v01_OutMonastery*INDEX(LM_Monastery,G504)</x:f>
        <x:v>0</x:v>
      </x:c>
      <x:c r="AM504" s="32" t="n">
        <x:f>(AJ504+AK504+AL504)/4*INDEX(LM_All,G504)*INDEX(v01_Boon,G504)*Arch_Insight</x:f>
        <x:v>8.49821980496614</x:v>
      </x:c>
      <x:c r="AN504" s="32" t="n">
        <x:f>H504*(v01_KHPerAdult*Z504+v01_KHOfCommons*AJ504/4*INDEX(LM_All,G504))*v01_KHUsable*Arch_KH</x:f>
        <x:v>1.2324659530401085</x:v>
      </x:c>
      <x:c r="AO504" s="32" t="n">
        <x:f>MIN(AP503+AN504,AM504*v01_KHMaxRatio)</x:f>
        <x:v>1.2324659530401085</x:v>
      </x:c>
      <x:c r="AP504" s="32" t="n">
        <x:f>AP503+AN504-AO504</x:f>
        <x:v>0</x:v>
      </x:c>
      <x:c r="AQ504" s="32" t="n">
        <x:f>AM504+AO504</x:f>
        <x:v>9.73068575800625</x:v>
      </x:c>
      <x:c r="AR504" s="10" t="n">
        <x:f>IF(H504=1,INDEX(v01_Req,G504),0)</x:f>
        <x:v>4006.9599999999996</x:v>
      </x:c>
      <x:c r="AS504" s="32" t="n">
        <x:f>IF(H504=1,IF(E504=1,AS503-AR503,AS503)+AQ504,0)</x:f>
        <x:v>161.28252911474533</x:v>
      </x:c>
      <x:c r="AT504" s="11" t="n">
        <x:f>IF(AR504&gt;0,MIN(1,AS504/AR504),1)</x:f>
        <x:v>0.0402505962412266</x:v>
      </x:c>
      <x:c r="AU504" s="10" t="n">
        <x:f>AB504/INDEX(v01_RepScale,G504)</x:f>
        <x:v>41.34001514155701</x:v>
      </x:c>
      <x:c r="AV504" s="32" t="n">
        <x:f>AM504*60/v01_SeasonSeconds</x:f>
        <x:v>33.99287921986456</x:v>
      </x:c>
    </x:row>
    <x:row r="505">
      <x:c r="A505" s="8" t="n">
        <x:f>A504+1</x:f>
        <x:v>502</x:v>
      </x:c>
      <x:c r="B505" s="9" t="n">
        <x:f>A505*v01_SeasonSeconds/60</x:f>
        <x:v>125.5</x:v>
      </x:c>
      <x:c r="C505" s="9" t="n">
        <x:f>A505/4</x:f>
        <x:v>125.5</x:v>
      </x:c>
      <x:c r="D505" s="8" t="n">
        <x:f>IF(MOD(A505,4)=0,1,0)</x:f>
        <x:v>0</x:v>
      </x:c>
      <x:c r="E505" s="8" t="n">
        <x:f>IF(AND(F504&lt;=9,AS504&gt;=AR504),1,0)</x:f>
        <x:v>0</x:v>
      </x:c>
      <x:c r="F505" s="8" t="n">
        <x:f>MIN(10,F504+E505)</x:f>
        <x:v>2</x:v>
      </x:c>
      <x:c r="G505" s="8" t="n">
        <x:f>MIN(F505,9)+1</x:f>
        <x:v>3</x:v>
      </x:c>
      <x:c r="H505" s="8" t="n">
        <x:f>IF(F505&lt;=9,1,0)</x:f>
        <x:v>1</x:v>
      </x:c>
      <x:c r="I505" s="9" t="n">
        <x:f>MIN(10,F504+IF(AR504&gt;0,MIN(1,AS504/AR504),1))</x:f>
        <x:v>2.0402505962412265</x:v>
      </x:c>
      <x:c r="J505" s="32" t="n">
        <x:f>INDEX(v01_FoodCap,G505)*Arch_FoodCap*EXP(v01_CapsByProject*SUMPRODUCT((Cap_Point&lt;=I505)*(Cap_Kind="Food")*Cap_Ln))</x:f>
        <x:v>60</x:v>
      </x:c>
      <x:c r="K505" s="32" t="n">
        <x:f>J505*MIN(1,v01_LeanBase*EXP(v01_CapsByProject*SUMPRODUCT((Cap_Point&lt;=I505)*(Cap_Kind="Lean")*Cap_Ln)))</x:f>
        <x:v>60</x:v>
      </x:c>
      <x:c r="L505" s="10" t="n">
        <x:f>INDEX(v01_HousingCap,G505)*EXP(v01_CapsByProject*SUMPRODUCT((Cap_Point&lt;=I505)*(Cap_Kind="Housing")*Cap_Ln))</x:f>
        <x:v>100</x:v>
      </x:c>
      <x:c r="M505" s="10" t="n">
        <x:f>INDEX(v01_GroupCap,G505)*v01_CohesionFactor*EXP(v01_CapsByProject*SUMPRODUCT((Cap_Point&lt;=I505)*(Cap_Kind="Group")*Cap_Ln))</x:f>
        <x:v>500</x:v>
      </x:c>
      <x:c r="N505" s="32" t="n">
        <x:f>MIN(J505,L505,M505)</x:f>
        <x:v>60</x:v>
      </x:c>
      <x:c r="O505" s="10" t="n">
        <x:f>AE504*N505</x:f>
        <x:v>180</x:v>
      </x:c>
      <x:c r="P505" s="9" t="n">
        <x:f>MIN(1,(AB504/(AE504*IF(v01_GroupInCrowding=1,N505,MIN(J505,L505))))^v01_CrowdingExp)</x:f>
        <x:v>0.009392230266952906</x:v>
      </x:c>
      <x:c r="Q505" s="9" t="n">
        <x:f>IF(D505=1,INDEX(v01_WinterMult,G505),1)</x:f>
        <x:v>1</x:v>
      </x:c>
      <x:c r="R505" s="9" t="n">
        <x:f>H505*Z504*v01_WomenShare*v01_BaseFertility*INDEX(v01_FertMult,G505)*Arch_Fertility*(1-P505)</x:f>
        <x:v>1.4127445467150155</x:v>
      </x:c>
      <x:c r="S505" s="9" t="n">
        <x:f>H505*Y504*INDEX(v01_MortChild,G505)/4*Q505</x:f>
        <x:v>0.32437710283991633</x:v>
      </x:c>
      <x:c r="T505" s="9" t="n">
        <x:f>H505*Z504*INDEX(v01_MortAdult,G505)*Arch_AdultMort/4*Q505</x:f>
        <x:v>0.1056399388320093</x:v>
      </x:c>
      <x:c r="U505" s="9" t="n">
        <x:f>H505*AA504*INDEX(v01_MortElder,G505)/4*Q505</x:f>
        <x:v>0.18191334775460852</x:v>
      </x:c>
      <x:c r="V505" s="9" t="n">
        <x:f>H505*MAX(0,AB504-O505)*v01_OvercapLoss</x:f>
        <x:v>0</x:v>
      </x:c>
      <x:c r="W505" s="9" t="n">
        <x:f>H505*Y504/(v01_ChildYears*4)</x:f>
        <x:v>0.6619940874284006</x:v>
      </x:c>
      <x:c r="X505" s="9" t="n">
        <x:f>H505*Z504/(v01_AdultYears*4)</x:f>
        <x:v>0.2839783301935734</x:v>
      </x:c>
      <x:c r="Y505" s="32" t="n">
        <x:f>Y504+R505-S505-W505-Y504*V505/AB504</x:f>
        <x:v>37.49804225243713</x:v>
      </x:c>
      <x:c r="Z505" s="32" t="n">
        <x:f>Z504+W505-X505-T505-Z504*V505/AB504</x:f>
        <x:v>35.48568876240592</x:v>
      </x:c>
      <x:c r="AA505" s="32" t="n">
        <x:f>AA504+X505-U505-AA504*V505/AB504</x:f>
        <x:v>10.49711342555945</x:v>
      </x:c>
      <x:c r="AB505" s="10" t="n">
        <x:f>Y505+Z505+AA505</x:f>
        <x:v>83.48084444040249</x:v>
      </x:c>
      <x:c r="AC505" s="8" t="n">
        <x:f>IF(AND(v01_WinterTrigger=1,D505=1,AB504/AE504&gt;=K505),1,0)</x:f>
        <x:v>0</x:v>
      </x:c>
      <x:c r="AD505" s="8" t="n">
        <x:f>H505*IF(AND(OR(AB504/AE504&gt;=v01_FissionTrigger*N505,AC505=1),AB504/AE504*v01_DaughterShare&gt;=v01_MinDaughter),MAX(1,ROUND(AE504*v01_FissionRate,0)),0)</x:f>
        <x:v>0</x:v>
      </x:c>
      <x:c r="AE505" s="8" t="n">
        <x:f>IF(H505=1,MAX(1,MIN(INDEX(v01_Smax,G505),AE504+AD505)),AE504)</x:f>
        <x:v>3</x:v>
      </x:c>
      <x:c r="AF505" s="8" t="n">
        <x:f>MAX(0,AE505-AE504)</x:f>
        <x:v>0</x:v>
      </x:c>
      <x:c r="AG505" s="9" t="str">
        <x:f>IF(AF505&gt;0,B505,"")</x:f>
      </x:c>
      <x:c r="AH505" s="9" t="n">
        <x:f>IF(F505&gt;=1,1,(1+v01_LowTiesShare*(AE505-1))/AE505)</x:f>
        <x:v>1</x:v>
      </x:c>
      <x:c r="AI505" s="32" t="n">
        <x:f>(Z505+v01_ElderCommons*INDEX(LM_Elder,G505)*AA505)*AH505</x:f>
        <x:v>66.97702903908427</x:v>
      </x:c>
      <x:c r="AJ505" s="32" t="n">
        <x:f>H505*v01_CommonsCoef*AI505^v01_CommonsExp*INDEX(LM_Commons,G505)</x:f>
        <x:v>23.527779041634904</x:v>
      </x:c>
      <x:c r="AK505" s="32" t="n">
        <x:f>H505*v01_RoleScale*Arch_Roles*(AE505*(INDEX(v01_ElderRolePerSett,G505)*v01_OutElder*INDEX(LM_Elder,G505)+INDEX(v01_ShamanPerSett,G505)*v01_OutShaman)+Z505*(INDEX(v01_PriestShare,G505)*v01_OutPriest+INDEX(v01_ScribeShare,G505)*v01_OutScribe*INDEX(LM_Scribe,G505)+INDEX(v01_ScholarShare,G505)*v01_OutScholar*INDEX(LM_Scholar,G505)+INDEX(v01_ResearcherShare,G505)*v01_OutResearcher*INDEX(LM_Researcher,G505)))</x:f>
        <x:v>9</x:v>
      </x:c>
      <x:c r="AL505" s="32" t="n">
        <x:f>H505*v01_RoleScale*Arch_Roles*AE505*INDEX(v01_MonasteryPerSett,G505)*v01_OutMonastery*INDEX(LM_Monastery,G505)</x:f>
        <x:v>0</x:v>
      </x:c>
      <x:c r="AM505" s="32" t="n">
        <x:f>(AJ505+AK505+AL505)/4*INDEX(LM_All,G505)*INDEX(v01_Boon,G505)*Arch_Insight</x:f>
        <x:v>8.543624463904417</x:v>
      </x:c>
      <x:c r="AN505" s="32" t="n">
        <x:f>H505*(v01_KHPerAdult*Z505+v01_KHOfCommons*AJ505/4*INDEX(LM_All,G505))*v01_KHUsable*Arch_KH</x:f>
        <x:v>1.2419991066842073</x:v>
      </x:c>
      <x:c r="AO505" s="32" t="n">
        <x:f>MIN(AP504+AN505,AM505*v01_KHMaxRatio)</x:f>
        <x:v>1.2419991066842073</x:v>
      </x:c>
      <x:c r="AP505" s="32" t="n">
        <x:f>AP504+AN505-AO505</x:f>
        <x:v>0</x:v>
      </x:c>
      <x:c r="AQ505" s="32" t="n">
        <x:f>AM505+AO505</x:f>
        <x:v>9.785623570588625</x:v>
      </x:c>
      <x:c r="AR505" s="10" t="n">
        <x:f>IF(H505=1,INDEX(v01_Req,G505),0)</x:f>
        <x:v>4006.9599999999996</x:v>
      </x:c>
      <x:c r="AS505" s="32" t="n">
        <x:f>IF(H505=1,IF(E505=1,AS504-AR504,AS504)+AQ505,0)</x:f>
        <x:v>171.06815268533396</x:v>
      </x:c>
      <x:c r="AT505" s="11" t="n">
        <x:f>IF(AR505&gt;0,MIN(1,AS505/AR505),1)</x:f>
        <x:v>0.0426927527814937</x:v>
      </x:c>
      <x:c r="AU505" s="10" t="n">
        <x:f>AB505/INDEX(v01_RepScale,G505)</x:f>
        <x:v>41.740422220201246</x:v>
      </x:c>
      <x:c r="AV505" s="32" t="n">
        <x:f>AM505*60/v01_SeasonSeconds</x:f>
        <x:v>34.174497855617666</x:v>
      </x:c>
    </x:row>
    <x:row r="506">
      <x:c r="A506" s="8" t="n">
        <x:f>A505+1</x:f>
        <x:v>503</x:v>
      </x:c>
      <x:c r="B506" s="9" t="n">
        <x:f>A506*v01_SeasonSeconds/60</x:f>
        <x:v>125.75</x:v>
      </x:c>
      <x:c r="C506" s="9" t="n">
        <x:f>A506/4</x:f>
        <x:v>125.75</x:v>
      </x:c>
      <x:c r="D506" s="8" t="n">
        <x:f>IF(MOD(A506,4)=0,1,0)</x:f>
        <x:v>0</x:v>
      </x:c>
      <x:c r="E506" s="8" t="n">
        <x:f>IF(AND(F505&lt;=9,AS505&gt;=AR505),1,0)</x:f>
        <x:v>0</x:v>
      </x:c>
      <x:c r="F506" s="8" t="n">
        <x:f>MIN(10,F505+E506)</x:f>
        <x:v>2</x:v>
      </x:c>
      <x:c r="G506" s="8" t="n">
        <x:f>MIN(F506,9)+1</x:f>
        <x:v>3</x:v>
      </x:c>
      <x:c r="H506" s="8" t="n">
        <x:f>IF(F506&lt;=9,1,0)</x:f>
        <x:v>1</x:v>
      </x:c>
      <x:c r="I506" s="9" t="n">
        <x:f>MIN(10,F505+IF(AR505&gt;0,MIN(1,AS505/AR505),1))</x:f>
        <x:v>2.0426927527814938</x:v>
      </x:c>
      <x:c r="J506" s="32" t="n">
        <x:f>INDEX(v01_FoodCap,G506)*Arch_FoodCap*EXP(v01_CapsByProject*SUMPRODUCT((Cap_Point&lt;=I506)*(Cap_Kind="Food")*Cap_Ln))</x:f>
        <x:v>60</x:v>
      </x:c>
      <x:c r="K506" s="32" t="n">
        <x:f>J506*MIN(1,v01_LeanBase*EXP(v01_CapsByProject*SUMPRODUCT((Cap_Point&lt;=I506)*(Cap_Kind="Lean")*Cap_Ln)))</x:f>
        <x:v>60</x:v>
      </x:c>
      <x:c r="L506" s="10" t="n">
        <x:f>INDEX(v01_HousingCap,G506)*EXP(v01_CapsByProject*SUMPRODUCT((Cap_Point&lt;=I506)*(Cap_Kind="Housing")*Cap_Ln))</x:f>
        <x:v>100</x:v>
      </x:c>
      <x:c r="M506" s="10" t="n">
        <x:f>INDEX(v01_GroupCap,G506)*v01_CohesionFactor*EXP(v01_CapsByProject*SUMPRODUCT((Cap_Point&lt;=I506)*(Cap_Kind="Group")*Cap_Ln))</x:f>
        <x:v>500</x:v>
      </x:c>
      <x:c r="N506" s="32" t="n">
        <x:f>MIN(J506,L506,M506)</x:f>
        <x:v>60</x:v>
      </x:c>
      <x:c r="O506" s="10" t="n">
        <x:f>AE505*N506</x:f>
        <x:v>180</x:v>
      </x:c>
      <x:c r="P506" s="9" t="n">
        <x:f>MIN(1,(AB505/(AE505*IF(v01_GroupInCrowding=1,N506,MIN(J506,L506))))^v01_CrowdingExp)</x:f>
        <x:v>0.00995144094698169</x:v>
      </x:c>
      <x:c r="Q506" s="9" t="n">
        <x:f>IF(D506=1,INDEX(v01_WinterMult,G506),1)</x:f>
        <x:v>1</x:v>
      </x:c>
      <x:c r="R506" s="9" t="n">
        <x:f>H506*Z505*v01_WomenShare*v01_BaseFertility*INDEX(v01_FertMult,G506)*Arch_Fertility*(1-P506)</x:f>
        <x:v>1.4228684785620669</x:v>
      </x:c>
      <x:c r="S506" s="9" t="n">
        <x:f>H506*Y505*INDEX(v01_MortChild,G506)/4*Q506</x:f>
        <x:v>0.32810786970882494</x:v>
      </x:c>
      <x:c r="T506" s="9" t="n">
        <x:f>H506*Z505*INDEX(v01_MortAdult,G506)*Arch_AdultMort/4*Q506</x:f>
        <x:v>0.10645706628721777</x:v>
      </x:c>
      <x:c r="U506" s="9" t="n">
        <x:f>H506*AA505*INDEX(v01_MortElder,G506)/4*Q506</x:f>
        <x:v>0.18369948494729038</x:v>
      </x:c>
      <x:c r="V506" s="9" t="n">
        <x:f>H506*MAX(0,AB505-O506)*v01_OvercapLoss</x:f>
        <x:v>0</x:v>
      </x:c>
      <x:c r="W506" s="9" t="n">
        <x:f>H506*Y505/(v01_ChildYears*4)</x:f>
        <x:v>0.6696078973649487</x:v>
      </x:c>
      <x:c r="X506" s="9" t="n">
        <x:f>H506*Z505/(v01_AdultYears*4)</x:f>
        <x:v>0.2861749093742413</x:v>
      </x:c>
      <x:c r="Y506" s="32" t="n">
        <x:f>Y505+R506-S506-W506-Y505*V506/AB505</x:f>
        <x:v>37.923194963925425</x:v>
      </x:c>
      <x:c r="Z506" s="32" t="n">
        <x:f>Z505+W506-X506-T506-Z505*V506/AB505</x:f>
        <x:v>35.76266468410941</x:v>
      </x:c>
      <x:c r="AA506" s="32" t="n">
        <x:f>AA505+X506-U506-AA505*V506/AB505</x:f>
        <x:v>10.5995888499864</x:v>
      </x:c>
      <x:c r="AB506" s="10" t="n">
        <x:f>Y506+Z506+AA506</x:f>
        <x:v>84.28544849802124</x:v>
      </x:c>
      <x:c r="AC506" s="8" t="n">
        <x:f>IF(AND(v01_WinterTrigger=1,D506=1,AB505/AE505&gt;=K506),1,0)</x:f>
        <x:v>0</x:v>
      </x:c>
      <x:c r="AD506" s="8" t="n">
        <x:f>H506*IF(AND(OR(AB505/AE505&gt;=v01_FissionTrigger*N506,AC506=1),AB505/AE505*v01_DaughterShare&gt;=v01_MinDaughter),MAX(1,ROUND(AE505*v01_FissionRate,0)),0)</x:f>
        <x:v>0</x:v>
      </x:c>
      <x:c r="AE506" s="8" t="n">
        <x:f>IF(H506=1,MAX(1,MIN(INDEX(v01_Smax,G506),AE505+AD506)),AE505)</x:f>
        <x:v>3</x:v>
      </x:c>
      <x:c r="AF506" s="8" t="n">
        <x:f>MAX(0,AE506-AE505)</x:f>
        <x:v>0</x:v>
      </x:c>
      <x:c r="AG506" s="9" t="str">
        <x:f>IF(AF506&gt;0,B506,"")</x:f>
      </x:c>
      <x:c r="AH506" s="9" t="n">
        <x:f>IF(F506&gt;=1,1,(1+v01_LowTiesShare*(AE506-1))/AE506)</x:f>
        <x:v>1</x:v>
      </x:c>
      <x:c r="AI506" s="32" t="n">
        <x:f>(Z506+v01_ElderCommons*INDEX(LM_Elder,G506)*AA506)*AH506</x:f>
        <x:v>67.5614312340686</x:v>
      </x:c>
      <x:c r="AJ506" s="32" t="n">
        <x:f>H506*v01_CommonsCoef*AI506^v01_CommonsExp*INDEX(LM_Commons,G506)</x:f>
        <x:v>23.702161367826996</x:v>
      </x:c>
      <x:c r="AK506" s="32" t="n">
        <x:f>H506*v01_RoleScale*Arch_Roles*(AE506*(INDEX(v01_ElderRolePerSett,G506)*v01_OutElder*INDEX(LM_Elder,G506)+INDEX(v01_ShamanPerSett,G506)*v01_OutShaman)+Z506*(INDEX(v01_PriestShare,G506)*v01_OutPriest+INDEX(v01_ScribeShare,G506)*v01_OutScribe*INDEX(LM_Scribe,G506)+INDEX(v01_ScholarShare,G506)*v01_OutScholar*INDEX(LM_Scholar,G506)+INDEX(v01_ResearcherShare,G506)*v01_OutResearcher*INDEX(LM_Researcher,G506)))</x:f>
        <x:v>9</x:v>
      </x:c>
      <x:c r="AL506" s="32" t="n">
        <x:f>H506*v01_RoleScale*Arch_Roles*AE506*INDEX(v01_MonasteryPerSett,G506)*v01_OutMonastery*INDEX(LM_Monastery,G506)</x:f>
        <x:v>0</x:v>
      </x:c>
      <x:c r="AM506" s="32" t="n">
        <x:f>(AJ506+AK506+AL506)/4*INDEX(LM_All,G506)*INDEX(v01_Boon,G506)*Arch_Insight</x:f>
        <x:v>8.58942707176831</x:v>
      </x:c>
      <x:c r="AN506" s="32" t="n">
        <x:f>H506*(v01_KHPerAdult*Z506+v01_KHOfCommons*AJ506/4*INDEX(LM_All,G506))*v01_KHUsable*Arch_KH</x:f>
        <x:v>1.2516932639438294</x:v>
      </x:c>
      <x:c r="AO506" s="32" t="n">
        <x:f>MIN(AP505+AN506,AM506*v01_KHMaxRatio)</x:f>
        <x:v>1.2516932639438294</x:v>
      </x:c>
      <x:c r="AP506" s="32" t="n">
        <x:f>AP505+AN506-AO506</x:f>
        <x:v>0</x:v>
      </x:c>
      <x:c r="AQ506" s="32" t="n">
        <x:f>AM506+AO506</x:f>
        <x:v>9.841120335712139</x:v>
      </x:c>
      <x:c r="AR506" s="10" t="n">
        <x:f>IF(H506=1,INDEX(v01_Req,G506),0)</x:f>
        <x:v>4006.9599999999996</x:v>
      </x:c>
      <x:c r="AS506" s="32" t="n">
        <x:f>IF(H506=1,IF(E506=1,AS505-AR505,AS505)+AQ506,0)</x:f>
        <x:v>180.9092730210461</x:v>
      </x:c>
      <x:c r="AT506" s="11" t="n">
        <x:f>IF(AR506&gt;0,MIN(1,AS506/AR506),1)</x:f>
        <x:v>0.04514875941388137</x:v>
      </x:c>
      <x:c r="AU506" s="10" t="n">
        <x:f>AB506/INDEX(v01_RepScale,G506)</x:f>
        <x:v>42.14272424901062</x:v>
      </x:c>
      <x:c r="AV506" s="32" t="n">
        <x:f>AM506*60/v01_SeasonSeconds</x:f>
        <x:v>34.35770828707324</x:v>
      </x:c>
    </x:row>
    <x:row r="507">
      <x:c r="A507" s="8" t="n">
        <x:f>A506+1</x:f>
        <x:v>504</x:v>
      </x:c>
      <x:c r="B507" s="9" t="n">
        <x:f>A507*v01_SeasonSeconds/60</x:f>
        <x:v>126</x:v>
      </x:c>
      <x:c r="C507" s="9" t="n">
        <x:f>A507/4</x:f>
        <x:v>126</x:v>
      </x:c>
      <x:c r="D507" s="8" t="n">
        <x:f>IF(MOD(A507,4)=0,1,0)</x:f>
        <x:v>1</x:v>
      </x:c>
      <x:c r="E507" s="8" t="n">
        <x:f>IF(AND(F506&lt;=9,AS506&gt;=AR506),1,0)</x:f>
        <x:v>0</x:v>
      </x:c>
      <x:c r="F507" s="8" t="n">
        <x:f>MIN(10,F506+E507)</x:f>
        <x:v>2</x:v>
      </x:c>
      <x:c r="G507" s="8" t="n">
        <x:f>MIN(F507,9)+1</x:f>
        <x:v>3</x:v>
      </x:c>
      <x:c r="H507" s="8" t="n">
        <x:f>IF(F507&lt;=9,1,0)</x:f>
        <x:v>1</x:v>
      </x:c>
      <x:c r="I507" s="9" t="n">
        <x:f>MIN(10,F506+IF(AR506&gt;0,MIN(1,AS506/AR506),1))</x:f>
        <x:v>2.0451487594138813</x:v>
      </x:c>
      <x:c r="J507" s="32" t="n">
        <x:f>INDEX(v01_FoodCap,G507)*Arch_FoodCap*EXP(v01_CapsByProject*SUMPRODUCT((Cap_Point&lt;=I507)*(Cap_Kind="Food")*Cap_Ln))</x:f>
        <x:v>60</x:v>
      </x:c>
      <x:c r="K507" s="32" t="n">
        <x:f>J507*MIN(1,v01_LeanBase*EXP(v01_CapsByProject*SUMPRODUCT((Cap_Point&lt;=I507)*(Cap_Kind="Lean")*Cap_Ln)))</x:f>
        <x:v>60</x:v>
      </x:c>
      <x:c r="L507" s="10" t="n">
        <x:f>INDEX(v01_HousingCap,G507)*EXP(v01_CapsByProject*SUMPRODUCT((Cap_Point&lt;=I507)*(Cap_Kind="Housing")*Cap_Ln))</x:f>
        <x:v>100</x:v>
      </x:c>
      <x:c r="M507" s="10" t="n">
        <x:f>INDEX(v01_GroupCap,G507)*v01_CohesionFactor*EXP(v01_CapsByProject*SUMPRODUCT((Cap_Point&lt;=I507)*(Cap_Kind="Group")*Cap_Ln))</x:f>
        <x:v>500</x:v>
      </x:c>
      <x:c r="N507" s="32" t="n">
        <x:f>MIN(J507,L507,M507)</x:f>
        <x:v>60</x:v>
      </x:c>
      <x:c r="O507" s="10" t="n">
        <x:f>AE506*N507</x:f>
        <x:v>180</x:v>
      </x:c>
      <x:c r="P507" s="9" t="n">
        <x:f>MIN(1,(AB506/(AE506*IF(v01_GroupInCrowding=1,N507,MIN(J507,L507))))^v01_CrowdingExp)</x:f>
        <x:v>0.010540970115515287</x:v>
      </x:c>
      <x:c r="Q507" s="9" t="n">
        <x:f>IF(D507=1,INDEX(v01_WinterMult,G507),1)</x:f>
        <x:v>1.3</x:v>
      </x:c>
      <x:c r="R507" s="9" t="n">
        <x:f>H507*Z506*v01_WomenShare*v01_BaseFertility*INDEX(v01_FertMult,G507)*Arch_Fertility*(1-P507)</x:f>
        <x:v>1.4331205059291323</x:v>
      </x:c>
      <x:c r="S507" s="9" t="n">
        <x:f>H507*Y506*INDEX(v01_MortChild,G507)/4*Q507</x:f>
        <x:v>0.43137634271465175</x:v>
      </x:c>
      <x:c r="T507" s="9" t="n">
        <x:f>H507*Z506*INDEX(v01_MortAdult,G507)*Arch_AdultMort/4*Q507</x:f>
        <x:v>0.13947439226802671</x:v>
      </x:c>
      <x:c r="U507" s="9" t="n">
        <x:f>H507*AA506*INDEX(v01_MortElder,G507)/4*Q507</x:f>
        <x:v>0.24114064633719065</x:v>
      </x:c>
      <x:c r="V507" s="9" t="n">
        <x:f>H507*MAX(0,AB506-O507)*v01_OvercapLoss</x:f>
        <x:v>0</x:v>
      </x:c>
      <x:c r="W507" s="9" t="n">
        <x:f>H507*Y506/(v01_ChildYears*4)</x:f>
        <x:v>0.6771999100700968</x:v>
      </x:c>
      <x:c r="X507" s="9" t="n">
        <x:f>H507*Z506/(v01_AdultYears*4)</x:f>
        <x:v>0.2884085861621727</x:v>
      </x:c>
      <x:c r="Y507" s="32" t="n">
        <x:f>Y506+R507-S507-W507-Y506*V507/AB506</x:f>
        <x:v>38.247739217069814</x:v>
      </x:c>
      <x:c r="Z507" s="32" t="n">
        <x:f>Z506+W507-X507-T507-Z506*V507/AB506</x:f>
        <x:v>36.011981615749306</x:v>
      </x:c>
      <x:c r="AA507" s="32" t="n">
        <x:f>AA506+X507-U507-AA506*V507/AB506</x:f>
        <x:v>10.646856789811382</x:v>
      </x:c>
      <x:c r="AB507" s="10" t="n">
        <x:f>Y507+Z507+AA507</x:f>
        <x:v>84.9065776226305</x:v>
      </x:c>
      <x:c r="AC507" s="8" t="n">
        <x:f>IF(AND(v01_WinterTrigger=1,D507=1,AB506/AE506&gt;=K507),1,0)</x:f>
        <x:v>0</x:v>
      </x:c>
      <x:c r="AD507" s="8" t="n">
        <x:f>H507*IF(AND(OR(AB506/AE506&gt;=v01_FissionTrigger*N507,AC507=1),AB506/AE506*v01_DaughterShare&gt;=v01_MinDaughter),MAX(1,ROUND(AE506*v01_FissionRate,0)),0)</x:f>
        <x:v>0</x:v>
      </x:c>
      <x:c r="AE507" s="8" t="n">
        <x:f>IF(H507=1,MAX(1,MIN(INDEX(v01_Smax,G507),AE506+AD507)),AE506)</x:f>
        <x:v>3</x:v>
      </x:c>
      <x:c r="AF507" s="8" t="n">
        <x:f>MAX(0,AE507-AE506)</x:f>
        <x:v>0</x:v>
      </x:c>
      <x:c r="AG507" s="9" t="str">
        <x:f>IF(AF507&gt;0,B507,"")</x:f>
      </x:c>
      <x:c r="AH507" s="9" t="n">
        <x:f>IF(F507&gt;=1,1,(1+v01_LowTiesShare*(AE507-1))/AE507)</x:f>
        <x:v>1</x:v>
      </x:c>
      <x:c r="AI507" s="32" t="n">
        <x:f>(Z507+v01_ElderCommons*INDEX(LM_Elder,G507)*AA507)*AH507</x:f>
        <x:v>67.95255198518345</x:v>
      </x:c>
      <x:c r="AJ507" s="32" t="n">
        <x:f>H507*v01_CommonsCoef*AI507^v01_CommonsExp*INDEX(LM_Commons,G507)</x:f>
        <x:v>23.818743154354703</x:v>
      </x:c>
      <x:c r="AK507" s="32" t="n">
        <x:f>H507*v01_RoleScale*Arch_Roles*(AE507*(INDEX(v01_ElderRolePerSett,G507)*v01_OutElder*INDEX(LM_Elder,G507)+INDEX(v01_ShamanPerSett,G507)*v01_OutShaman)+Z507*(INDEX(v01_PriestShare,G507)*v01_OutPriest+INDEX(v01_ScribeShare,G507)*v01_OutScribe*INDEX(LM_Scribe,G507)+INDEX(v01_ScholarShare,G507)*v01_OutScholar*INDEX(LM_Scholar,G507)+INDEX(v01_ResearcherShare,G507)*v01_OutResearcher*INDEX(LM_Researcher,G507)))</x:f>
        <x:v>9</x:v>
      </x:c>
      <x:c r="AL507" s="32" t="n">
        <x:f>H507*v01_RoleScale*Arch_Roles*AE507*INDEX(v01_MonasteryPerSett,G507)*v01_OutMonastery*INDEX(LM_Monastery,G507)</x:f>
        <x:v>0</x:v>
      </x:c>
      <x:c r="AM507" s="32" t="n">
        <x:f>(AJ507+AK507+AL507)/4*INDEX(LM_All,G507)*INDEX(v01_Boon,G507)*Arch_Insight</x:f>
        <x:v>8.620048006635978</x:v>
      </x:c>
      <x:c r="AN507" s="32" t="n">
        <x:f>H507*(v01_KHPerAdult*Z507+v01_KHOfCommons*AJ507/4*INDEX(LM_All,G507))*v01_KHUsable*Arch_KH</x:f>
        <x:v>1.2604193565512258</x:v>
      </x:c>
      <x:c r="AO507" s="32" t="n">
        <x:f>MIN(AP506+AN507,AM507*v01_KHMaxRatio)</x:f>
        <x:v>1.2604193565512258</x:v>
      </x:c>
      <x:c r="AP507" s="32" t="n">
        <x:f>AP506+AN507-AO507</x:f>
        <x:v>0</x:v>
      </x:c>
      <x:c r="AQ507" s="32" t="n">
        <x:f>AM507+AO507</x:f>
        <x:v>9.880467363187204</x:v>
      </x:c>
      <x:c r="AR507" s="10" t="n">
        <x:f>IF(H507=1,INDEX(v01_Req,G507),0)</x:f>
        <x:v>4006.9599999999996</x:v>
      </x:c>
      <x:c r="AS507" s="32" t="n">
        <x:f>IF(H507=1,IF(E507=1,AS506-AR506,AS506)+AQ507,0)</x:f>
        <x:v>190.78974038423328</x:v>
      </x:c>
      <x:c r="AT507" s="11" t="n">
        <x:f>IF(AR507&gt;0,MIN(1,AS507/AR507),1)</x:f>
        <x:v>0.0476145857169109</x:v>
      </x:c>
      <x:c r="AU507" s="10" t="n">
        <x:f>AB507/INDEX(v01_RepScale,G507)</x:f>
        <x:v>42.45328881131525</x:v>
      </x:c>
      <x:c r="AV507" s="32" t="n">
        <x:f>AM507*60/v01_SeasonSeconds</x:f>
        <x:v>34.48019202654391</x:v>
      </x:c>
    </x:row>
    <x:row r="508">
      <x:c r="A508" s="8" t="n">
        <x:f>A507+1</x:f>
        <x:v>505</x:v>
      </x:c>
      <x:c r="B508" s="9" t="n">
        <x:f>A508*v01_SeasonSeconds/60</x:f>
        <x:v>126.25</x:v>
      </x:c>
      <x:c r="C508" s="9" t="n">
        <x:f>A508/4</x:f>
        <x:v>126.25</x:v>
      </x:c>
      <x:c r="D508" s="8" t="n">
        <x:f>IF(MOD(A508,4)=0,1,0)</x:f>
        <x:v>0</x:v>
      </x:c>
      <x:c r="E508" s="8" t="n">
        <x:f>IF(AND(F507&lt;=9,AS507&gt;=AR507),1,0)</x:f>
        <x:v>0</x:v>
      </x:c>
      <x:c r="F508" s="8" t="n">
        <x:f>MIN(10,F507+E508)</x:f>
        <x:v>2</x:v>
      </x:c>
      <x:c r="G508" s="8" t="n">
        <x:f>MIN(F508,9)+1</x:f>
        <x:v>3</x:v>
      </x:c>
      <x:c r="H508" s="8" t="n">
        <x:f>IF(F508&lt;=9,1,0)</x:f>
        <x:v>1</x:v>
      </x:c>
      <x:c r="I508" s="9" t="n">
        <x:f>MIN(10,F507+IF(AR507&gt;0,MIN(1,AS507/AR507),1))</x:f>
        <x:v>2.047614585716911</x:v>
      </x:c>
      <x:c r="J508" s="32" t="n">
        <x:f>INDEX(v01_FoodCap,G508)*Arch_FoodCap*EXP(v01_CapsByProject*SUMPRODUCT((Cap_Point&lt;=I508)*(Cap_Kind="Food")*Cap_Ln))</x:f>
        <x:v>60</x:v>
      </x:c>
      <x:c r="K508" s="32" t="n">
        <x:f>J508*MIN(1,v01_LeanBase*EXP(v01_CapsByProject*SUMPRODUCT((Cap_Point&lt;=I508)*(Cap_Kind="Lean")*Cap_Ln)))</x:f>
        <x:v>60</x:v>
      </x:c>
      <x:c r="L508" s="10" t="n">
        <x:f>INDEX(v01_HousingCap,G508)*EXP(v01_CapsByProject*SUMPRODUCT((Cap_Point&lt;=I508)*(Cap_Kind="Housing")*Cap_Ln))</x:f>
        <x:v>100</x:v>
      </x:c>
      <x:c r="M508" s="10" t="n">
        <x:f>INDEX(v01_GroupCap,G508)*v01_CohesionFactor*EXP(v01_CapsByProject*SUMPRODUCT((Cap_Point&lt;=I508)*(Cap_Kind="Group")*Cap_Ln))</x:f>
        <x:v>500</x:v>
      </x:c>
      <x:c r="N508" s="32" t="n">
        <x:f>MIN(J508,L508,M508)</x:f>
        <x:v>60</x:v>
      </x:c>
      <x:c r="O508" s="10" t="n">
        <x:f>AE507*N508</x:f>
        <x:v>180</x:v>
      </x:c>
      <x:c r="P508" s="9" t="n">
        <x:f>MIN(1,(AB507/(AE507*IF(v01_GroupInCrowding=1,N508,MIN(J508,L508))))^v01_CrowdingExp)</x:f>
        <x:v>0.011015722441805303</x:v>
      </x:c>
      <x:c r="Q508" s="9" t="n">
        <x:f>IF(D508=1,INDEX(v01_WinterMult,G508),1)</x:f>
        <x:v>1</x:v>
      </x:c>
      <x:c r="R508" s="9" t="n">
        <x:f>H508*Z507*v01_WomenShare*v01_BaseFertility*INDEX(v01_FertMult,G508)*Arch_Fertility*(1-P508)</x:f>
        <x:v>1.4424189866784785</x:v>
      </x:c>
      <x:c r="S508" s="9" t="n">
        <x:f>H508*Y507*INDEX(v01_MortChild,G508)/4*Q508</x:f>
        <x:v>0.3346677181493609</x:v>
      </x:c>
      <x:c r="T508" s="9" t="n">
        <x:f>H508*Z507*INDEX(v01_MortAdult,G508)*Arch_AdultMort/4*Q508</x:f>
        <x:v>0.10803594484724792</x:v>
      </x:c>
      <x:c r="U508" s="9" t="n">
        <x:f>H508*AA507*INDEX(v01_MortElder,G508)/4*Q508</x:f>
        <x:v>0.1863199938216992</x:v>
      </x:c>
      <x:c r="V508" s="9" t="n">
        <x:f>H508*MAX(0,AB507-O508)*v01_OvercapLoss</x:f>
        <x:v>0</x:v>
      </x:c>
      <x:c r="W508" s="9" t="n">
        <x:f>H508*Y507/(v01_ChildYears*4)</x:f>
        <x:v>0.682995343161961</x:v>
      </x:c>
      <x:c r="X508" s="9" t="n">
        <x:f>H508*Z507/(v01_AdultYears*4)</x:f>
        <x:v>0.2904192065786234</x:v>
      </x:c>
      <x:c r="Y508" s="32" t="n">
        <x:f>Y507+R508-S508-W508-Y507*V508/AB507</x:f>
        <x:v>38.672495142436965</x:v>
      </x:c>
      <x:c r="Z508" s="32" t="n">
        <x:f>Z507+W508-X508-T508-Z507*V508/AB507</x:f>
        <x:v>36.2965218074854</x:v>
      </x:c>
      <x:c r="AA508" s="32" t="n">
        <x:f>AA507+X508-U508-AA507*V508/AB507</x:f>
        <x:v>10.750956002568305</x:v>
      </x:c>
      <x:c r="AB508" s="10" t="n">
        <x:f>Y508+Z508+AA508</x:f>
        <x:v>85.71997295249066</x:v>
      </x:c>
      <x:c r="AC508" s="8" t="n">
        <x:f>IF(AND(v01_WinterTrigger=1,D508=1,AB507/AE507&gt;=K508),1,0)</x:f>
        <x:v>0</x:v>
      </x:c>
      <x:c r="AD508" s="8" t="n">
        <x:f>H508*IF(AND(OR(AB507/AE507&gt;=v01_FissionTrigger*N508,AC508=1),AB507/AE507*v01_DaughterShare&gt;=v01_MinDaughter),MAX(1,ROUND(AE507*v01_FissionRate,0)),0)</x:f>
        <x:v>0</x:v>
      </x:c>
      <x:c r="AE508" s="8" t="n">
        <x:f>IF(H508=1,MAX(1,MIN(INDEX(v01_Smax,G508),AE507+AD508)),AE507)</x:f>
        <x:v>3</x:v>
      </x:c>
      <x:c r="AF508" s="8" t="n">
        <x:f>MAX(0,AE508-AE507)</x:f>
        <x:v>0</x:v>
      </x:c>
      <x:c r="AG508" s="9" t="str">
        <x:f>IF(AF508&gt;0,B508,"")</x:f>
      </x:c>
      <x:c r="AH508" s="9" t="n">
        <x:f>IF(F508&gt;=1,1,(1+v01_LowTiesShare*(AE508-1))/AE508)</x:f>
        <x:v>1</x:v>
      </x:c>
      <x:c r="AI508" s="32" t="n">
        <x:f>(Z508+v01_ElderCommons*INDEX(LM_Elder,G508)*AA508)*AH508</x:f>
        <x:v>68.54938981519032</x:v>
      </x:c>
      <x:c r="AJ508" s="32" t="n">
        <x:f>H508*v01_CommonsCoef*AI508^v01_CommonsExp*INDEX(LM_Commons,G508)</x:f>
        <x:v>23.996449574245172</x:v>
      </x:c>
      <x:c r="AK508" s="32" t="n">
        <x:f>H508*v01_RoleScale*Arch_Roles*(AE508*(INDEX(v01_ElderRolePerSett,G508)*v01_OutElder*INDEX(LM_Elder,G508)+INDEX(v01_ShamanPerSett,G508)*v01_OutShaman)+Z508*(INDEX(v01_PriestShare,G508)*v01_OutPriest+INDEX(v01_ScribeShare,G508)*v01_OutScribe*INDEX(LM_Scribe,G508)+INDEX(v01_ScholarShare,G508)*v01_OutScholar*INDEX(LM_Scholar,G508)+INDEX(v01_ResearcherShare,G508)*v01_OutResearcher*INDEX(LM_Researcher,G508)))</x:f>
        <x:v>9</x:v>
      </x:c>
      <x:c r="AL508" s="32" t="n">
        <x:f>H508*v01_RoleScale*Arch_Roles*AE508*INDEX(v01_MonasteryPerSett,G508)*v01_OutMonastery*INDEX(LM_Monastery,G508)</x:f>
        <x:v>0</x:v>
      </x:c>
      <x:c r="AM508" s="32" t="n">
        <x:f>(AJ508+AK508+AL508)/4*INDEX(LM_All,G508)*INDEX(v01_Boon,G508)*Arch_Insight</x:f>
        <x:v>8.666723708485334</x:v>
      </x:c>
      <x:c r="AN508" s="32" t="n">
        <x:f>H508*(v01_KHPerAdult*Z508+v01_KHOfCommons*AJ508/4*INDEX(LM_All,G508))*v01_KHUsable*Arch_KH</x:f>
        <x:v>1.2703782632619889</x:v>
      </x:c>
      <x:c r="AO508" s="32" t="n">
        <x:f>MIN(AP507+AN508,AM508*v01_KHMaxRatio)</x:f>
        <x:v>1.2703782632619889</x:v>
      </x:c>
      <x:c r="AP508" s="32" t="n">
        <x:f>AP507+AN508-AO508</x:f>
        <x:v>0</x:v>
      </x:c>
      <x:c r="AQ508" s="32" t="n">
        <x:f>AM508+AO508</x:f>
        <x:v>9.937101971747323</x:v>
      </x:c>
      <x:c r="AR508" s="10" t="n">
        <x:f>IF(H508=1,INDEX(v01_Req,G508),0)</x:f>
        <x:v>4006.9599999999996</x:v>
      </x:c>
      <x:c r="AS508" s="32" t="n">
        <x:f>IF(H508=1,IF(E508=1,AS507-AR507,AS507)+AQ508,0)</x:f>
        <x:v>200.7268423559806</x:v>
      </x:c>
      <x:c r="AT508" s="11" t="n">
        <x:f>IF(AR508&gt;0,MIN(1,AS508/AR508),1)</x:f>
        <x:v>0.05009454607881801</x:v>
      </x:c>
      <x:c r="AU508" s="10" t="n">
        <x:f>AB508/INDEX(v01_RepScale,G508)</x:f>
        <x:v>42.85998647624533</x:v>
      </x:c>
      <x:c r="AV508" s="32" t="n">
        <x:f>AM508*60/v01_SeasonSeconds</x:f>
        <x:v>34.666894833941335</x:v>
      </x:c>
    </x:row>
    <x:row r="509">
      <x:c r="A509" s="8" t="n">
        <x:f>A508+1</x:f>
        <x:v>506</x:v>
      </x:c>
      <x:c r="B509" s="9" t="n">
        <x:f>A509*v01_SeasonSeconds/60</x:f>
        <x:v>126.5</x:v>
      </x:c>
      <x:c r="C509" s="9" t="n">
        <x:f>A509/4</x:f>
        <x:v>126.5</x:v>
      </x:c>
      <x:c r="D509" s="8" t="n">
        <x:f>IF(MOD(A509,4)=0,1,0)</x:f>
        <x:v>0</x:v>
      </x:c>
      <x:c r="E509" s="8" t="n">
        <x:f>IF(AND(F508&lt;=9,AS508&gt;=AR508),1,0)</x:f>
        <x:v>0</x:v>
      </x:c>
      <x:c r="F509" s="8" t="n">
        <x:f>MIN(10,F508+E509)</x:f>
        <x:v>2</x:v>
      </x:c>
      <x:c r="G509" s="8" t="n">
        <x:f>MIN(F509,9)+1</x:f>
        <x:v>3</x:v>
      </x:c>
      <x:c r="H509" s="8" t="n">
        <x:f>IF(F509&lt;=9,1,0)</x:f>
        <x:v>1</x:v>
      </x:c>
      <x:c r="I509" s="9" t="n">
        <x:f>MIN(10,F508+IF(AR508&gt;0,MIN(1,AS508/AR508),1))</x:f>
        <x:v>2.050094546078818</x:v>
      </x:c>
      <x:c r="J509" s="32" t="n">
        <x:f>INDEX(v01_FoodCap,G509)*Arch_FoodCap*EXP(v01_CapsByProject*SUMPRODUCT((Cap_Point&lt;=I509)*(Cap_Kind="Food")*Cap_Ln))</x:f>
        <x:v>60</x:v>
      </x:c>
      <x:c r="K509" s="32" t="n">
        <x:f>J509*MIN(1,v01_LeanBase*EXP(v01_CapsByProject*SUMPRODUCT((Cap_Point&lt;=I509)*(Cap_Kind="Lean")*Cap_Ln)))</x:f>
        <x:v>60</x:v>
      </x:c>
      <x:c r="L509" s="10" t="n">
        <x:f>INDEX(v01_HousingCap,G509)*EXP(v01_CapsByProject*SUMPRODUCT((Cap_Point&lt;=I509)*(Cap_Kind="Housing")*Cap_Ln))</x:f>
        <x:v>100</x:v>
      </x:c>
      <x:c r="M509" s="10" t="n">
        <x:f>INDEX(v01_GroupCap,G509)*v01_CohesionFactor*EXP(v01_CapsByProject*SUMPRODUCT((Cap_Point&lt;=I509)*(Cap_Kind="Group")*Cap_Ln))</x:f>
        <x:v>500</x:v>
      </x:c>
      <x:c r="N509" s="32" t="n">
        <x:f>MIN(J509,L509,M509)</x:f>
        <x:v>60</x:v>
      </x:c>
      <x:c r="O509" s="10" t="n">
        <x:f>AE508*N509</x:f>
        <x:v>180</x:v>
      </x:c>
      <x:c r="P509" s="9" t="n">
        <x:f>MIN(1,(AB508/(AE508*IF(v01_GroupInCrowding=1,N509,MIN(J509,L509))))^v01_CrowdingExp)</x:f>
        <x:v>0.011664258113261772</x:v>
      </x:c>
      <x:c r="Q509" s="9" t="n">
        <x:f>IF(D509=1,INDEX(v01_WinterMult,G509),1)</x:f>
        <x:v>1</x:v>
      </x:c>
      <x:c r="R509" s="9" t="n">
        <x:f>H509*Z508*v01_WomenShare*v01_BaseFertility*INDEX(v01_FertMult,G509)*Arch_Fertility*(1-P509)</x:f>
        <x:v>1.4528625672446247</x:v>
      </x:c>
      <x:c r="S509" s="9" t="n">
        <x:f>H509*Y508*INDEX(v01_MortChild,G509)/4*Q509</x:f>
        <x:v>0.3383843324963235</x:v>
      </x:c>
      <x:c r="T509" s="9" t="n">
        <x:f>H509*Z508*INDEX(v01_MortAdult,G509)*Arch_AdultMort/4*Q509</x:f>
        <x:v>0.1088895654224562</x:v>
      </x:c>
      <x:c r="U509" s="9" t="n">
        <x:f>H509*AA508*INDEX(v01_MortElder,G509)/4*Q509</x:f>
        <x:v>0.18814173004494536</x:v>
      </x:c>
      <x:c r="V509" s="9" t="n">
        <x:f>H509*MAX(0,AB508-O509)*v01_OvercapLoss</x:f>
        <x:v>0</x:v>
      </x:c>
      <x:c r="W509" s="9" t="n">
        <x:f>H509*Y508/(v01_ChildYears*4)</x:f>
        <x:v>0.6905802704006601</x:v>
      </x:c>
      <x:c r="X509" s="9" t="n">
        <x:f>H509*Z508/(v01_AdultYears*4)</x:f>
        <x:v>0.2927138855442371</x:v>
      </x:c>
      <x:c r="Y509" s="32" t="n">
        <x:f>Y508+R509-S509-W509-Y508*V509/AB508</x:f>
        <x:v>39.0963931067846</x:v>
      </x:c>
      <x:c r="Z509" s="32" t="n">
        <x:f>Z508+W509-X509-T509-Z508*V509/AB508</x:f>
        <x:v>36.58549862691936</x:v>
      </x:c>
      <x:c r="AA509" s="32" t="n">
        <x:f>AA508+X509-U509-AA508*V509/AB508</x:f>
        <x:v>10.855528158067598</x:v>
      </x:c>
      <x:c r="AB509" s="10" t="n">
        <x:f>Y509+Z509+AA509</x:f>
        <x:v>86.53741989177156</x:v>
      </x:c>
      <x:c r="AC509" s="8" t="n">
        <x:f>IF(AND(v01_WinterTrigger=1,D509=1,AB508/AE508&gt;=K509),1,0)</x:f>
        <x:v>0</x:v>
      </x:c>
      <x:c r="AD509" s="8" t="n">
        <x:f>H509*IF(AND(OR(AB508/AE508&gt;=v01_FissionTrigger*N509,AC509=1),AB508/AE508*v01_DaughterShare&gt;=v01_MinDaughter),MAX(1,ROUND(AE508*v01_FissionRate,0)),0)</x:f>
        <x:v>0</x:v>
      </x:c>
      <x:c r="AE509" s="8" t="n">
        <x:f>IF(H509=1,MAX(1,MIN(INDEX(v01_Smax,G509),AE508+AD509)),AE508)</x:f>
        <x:v>3</x:v>
      </x:c>
      <x:c r="AF509" s="8" t="n">
        <x:f>MAX(0,AE509-AE508)</x:f>
        <x:v>0</x:v>
      </x:c>
      <x:c r="AG509" s="9" t="str">
        <x:f>IF(AF509&gt;0,B509,"")</x:f>
      </x:c>
      <x:c r="AH509" s="9" t="n">
        <x:f>IF(F509&gt;=1,1,(1+v01_LowTiesShare*(AE509-1))/AE509)</x:f>
        <x:v>1</x:v>
      </x:c>
      <x:c r="AI509" s="32" t="n">
        <x:f>(Z509+v01_ElderCommons*INDEX(LM_Elder,G509)*AA509)*AH509</x:f>
        <x:v>69.15208310112214</x:v>
      </x:c>
      <x:c r="AJ509" s="32" t="n">
        <x:f>H509*v01_CommonsCoef*AI509^v01_CommonsExp*INDEX(LM_Commons,G509)</x:f>
        <x:v>24.17566408267511</x:v>
      </x:c>
      <x:c r="AK509" s="32" t="n">
        <x:f>H509*v01_RoleScale*Arch_Roles*(AE509*(INDEX(v01_ElderRolePerSett,G509)*v01_OutElder*INDEX(LM_Elder,G509)+INDEX(v01_ShamanPerSett,G509)*v01_OutShaman)+Z509*(INDEX(v01_PriestShare,G509)*v01_OutPriest+INDEX(v01_ScribeShare,G509)*v01_OutScribe*INDEX(LM_Scribe,G509)+INDEX(v01_ScholarShare,G509)*v01_OutScholar*INDEX(LM_Scholar,G509)+INDEX(v01_ResearcherShare,G509)*v01_OutResearcher*INDEX(LM_Researcher,G509)))</x:f>
        <x:v>9</x:v>
      </x:c>
      <x:c r="AL509" s="32" t="n">
        <x:f>H509*v01_RoleScale*Arch_Roles*AE509*INDEX(v01_MonasteryPerSett,G509)*v01_OutMonastery*INDEX(LM_Monastery,G509)</x:f>
        <x:v>0</x:v>
      </x:c>
      <x:c r="AM509" s="32" t="n">
        <x:f>(AJ509+AK509+AL509)/4*INDEX(LM_All,G509)*INDEX(v01_Boon,G509)*Arch_Insight</x:f>
        <x:v>8.713795519215134</x:v>
      </x:c>
      <x:c r="AN509" s="32" t="n">
        <x:f>H509*(v01_KHPerAdult*Z509+v01_KHOfCommons*AJ509/4*INDEX(LM_All,G509))*v01_KHUsable*Arch_KH</x:f>
        <x:v>1.2804924519421776</x:v>
      </x:c>
      <x:c r="AO509" s="32" t="n">
        <x:f>MIN(AP508+AN509,AM509*v01_KHMaxRatio)</x:f>
        <x:v>1.2804924519421776</x:v>
      </x:c>
      <x:c r="AP509" s="32" t="n">
        <x:f>AP508+AN509-AO509</x:f>
        <x:v>0</x:v>
      </x:c>
      <x:c r="AQ509" s="32" t="n">
        <x:f>AM509+AO509</x:f>
        <x:v>9.994287971157313</x:v>
      </x:c>
      <x:c r="AR509" s="10" t="n">
        <x:f>IF(H509=1,INDEX(v01_Req,G509),0)</x:f>
        <x:v>4006.9599999999996</x:v>
      </x:c>
      <x:c r="AS509" s="32" t="n">
        <x:f>IF(H509=1,IF(E509=1,AS508-AR508,AS508)+AQ509,0)</x:f>
        <x:v>210.72113032713793</x:v>
      </x:c>
      <x:c r="AT509" s="11" t="n">
        <x:f>IF(AR509&gt;0,MIN(1,AS509/AR509),1)</x:f>
        <x:v>0.05258877810787678</x:v>
      </x:c>
      <x:c r="AU509" s="10" t="n">
        <x:f>AB509/INDEX(v01_RepScale,G509)</x:f>
        <x:v>43.26870994588578</x:v>
      </x:c>
      <x:c r="AV509" s="32" t="n">
        <x:f>AM509*60/v01_SeasonSeconds</x:f>
        <x:v>34.85518207686054</x:v>
      </x:c>
    </x:row>
    <x:row r="510">
      <x:c r="A510" s="8" t="n">
        <x:f>A509+1</x:f>
        <x:v>507</x:v>
      </x:c>
      <x:c r="B510" s="9" t="n">
        <x:f>A510*v01_SeasonSeconds/60</x:f>
        <x:v>126.75</x:v>
      </x:c>
      <x:c r="C510" s="9" t="n">
        <x:f>A510/4</x:f>
        <x:v>126.75</x:v>
      </x:c>
      <x:c r="D510" s="8" t="n">
        <x:f>IF(MOD(A510,4)=0,1,0)</x:f>
        <x:v>0</x:v>
      </x:c>
      <x:c r="E510" s="8" t="n">
        <x:f>IF(AND(F509&lt;=9,AS509&gt;=AR509),1,0)</x:f>
        <x:v>0</x:v>
      </x:c>
      <x:c r="F510" s="8" t="n">
        <x:f>MIN(10,F509+E510)</x:f>
        <x:v>2</x:v>
      </x:c>
      <x:c r="G510" s="8" t="n">
        <x:f>MIN(F510,9)+1</x:f>
        <x:v>3</x:v>
      </x:c>
      <x:c r="H510" s="8" t="n">
        <x:f>IF(F510&lt;=9,1,0)</x:f>
        <x:v>1</x:v>
      </x:c>
      <x:c r="I510" s="9" t="n">
        <x:f>MIN(10,F509+IF(AR509&gt;0,MIN(1,AS509/AR509),1))</x:f>
        <x:v>2.052588778107877</x:v>
      </x:c>
      <x:c r="J510" s="32" t="n">
        <x:f>INDEX(v01_FoodCap,G510)*Arch_FoodCap*EXP(v01_CapsByProject*SUMPRODUCT((Cap_Point&lt;=I510)*(Cap_Kind="Food")*Cap_Ln))</x:f>
        <x:v>60</x:v>
      </x:c>
      <x:c r="K510" s="32" t="n">
        <x:f>J510*MIN(1,v01_LeanBase*EXP(v01_CapsByProject*SUMPRODUCT((Cap_Point&lt;=I510)*(Cap_Kind="Lean")*Cap_Ln)))</x:f>
        <x:v>60</x:v>
      </x:c>
      <x:c r="L510" s="10" t="n">
        <x:f>INDEX(v01_HousingCap,G510)*EXP(v01_CapsByProject*SUMPRODUCT((Cap_Point&lt;=I510)*(Cap_Kind="Housing")*Cap_Ln))</x:f>
        <x:v>100</x:v>
      </x:c>
      <x:c r="M510" s="10" t="n">
        <x:f>INDEX(v01_GroupCap,G510)*v01_CohesionFactor*EXP(v01_CapsByProject*SUMPRODUCT((Cap_Point&lt;=I510)*(Cap_Kind="Group")*Cap_Ln))</x:f>
        <x:v>500</x:v>
      </x:c>
      <x:c r="N510" s="32" t="n">
        <x:f>MIN(J510,L510,M510)</x:f>
        <x:v>60</x:v>
      </x:c>
      <x:c r="O510" s="10" t="n">
        <x:f>AE509*N510</x:f>
        <x:v>180</x:v>
      </x:c>
      <x:c r="P510" s="9" t="n">
        <x:f>MIN(1,(AB509/(AE509*IF(v01_GroupInCrowding=1,N510,MIN(J510,L510))))^v01_CrowdingExp)</x:f>
        <x:v>0.012347772660484512</x:v>
      </x:c>
      <x:c r="Q510" s="9" t="n">
        <x:f>IF(D510=1,INDEX(v01_WinterMult,G510),1)</x:f>
        <x:v>1</x:v>
      </x:c>
      <x:c r="R510" s="9" t="n">
        <x:f>H510*Z509*v01_WomenShare*v01_BaseFertility*INDEX(v01_FertMult,G510)*Arch_Fertility*(1-P510)</x:f>
        <x:v>1.4634168428917498</x:v>
      </x:c>
      <x:c r="S510" s="9" t="n">
        <x:f>H510*Y509*INDEX(v01_MortChild,G510)/4*Q510</x:f>
        <x:v>0.3420934396843653</x:v>
      </x:c>
      <x:c r="T510" s="9" t="n">
        <x:f>H510*Z509*INDEX(v01_MortAdult,G510)*Arch_AdultMort/4*Q510</x:f>
        <x:v>0.10975649588075809</x:v>
      </x:c>
      <x:c r="U510" s="9" t="n">
        <x:f>H510*AA509*INDEX(v01_MortElder,G510)/4*Q510</x:f>
        <x:v>0.18997174276618298</x:v>
      </x:c>
      <x:c r="V510" s="9" t="n">
        <x:f>H510*MAX(0,AB509-O510)*v01_OvercapLoss</x:f>
        <x:v>0</x:v>
      </x:c>
      <x:c r="W510" s="9" t="n">
        <x:f>H510*Y509/(v01_ChildYears*4)</x:f>
        <x:v>0.6981498769068679</x:v>
      </x:c>
      <x:c r="X510" s="9" t="n">
        <x:f>H510*Z509/(v01_AdultYears*4)</x:f>
        <x:v>0.2950443437654787</x:v>
      </x:c>
      <x:c r="Y510" s="32" t="n">
        <x:f>Y509+R510-S510-W510-Y509*V510/AB509</x:f>
        <x:v>39.51956663308512</x:v>
      </x:c>
      <x:c r="Z510" s="32" t="n">
        <x:f>Z509+W510-X510-T510-Z509*V510/AB509</x:f>
        <x:v>36.87884766417999</x:v>
      </x:c>
      <x:c r="AA510" s="32" t="n">
        <x:f>AA509+X510-U510-AA509*V510/AB509</x:f>
        <x:v>10.960600759066894</x:v>
      </x:c>
      <x:c r="AB510" s="10" t="n">
        <x:f>Y510+Z510+AA510</x:f>
        <x:v>87.359015056332</x:v>
      </x:c>
      <x:c r="AC510" s="8" t="n">
        <x:f>IF(AND(v01_WinterTrigger=1,D510=1,AB509/AE509&gt;=K510),1,0)</x:f>
        <x:v>0</x:v>
      </x:c>
      <x:c r="AD510" s="8" t="n">
        <x:f>H510*IF(AND(OR(AB509/AE509&gt;=v01_FissionTrigger*N510,AC510=1),AB509/AE509*v01_DaughterShare&gt;=v01_MinDaughter),MAX(1,ROUND(AE509*v01_FissionRate,0)),0)</x:f>
        <x:v>0</x:v>
      </x:c>
      <x:c r="AE510" s="8" t="n">
        <x:f>IF(H510=1,MAX(1,MIN(INDEX(v01_Smax,G510),AE509+AD510)),AE509)</x:f>
        <x:v>3</x:v>
      </x:c>
      <x:c r="AF510" s="8" t="n">
        <x:f>MAX(0,AE510-AE509)</x:f>
        <x:v>0</x:v>
      </x:c>
      <x:c r="AG510" s="9" t="str">
        <x:f>IF(AF510&gt;0,B510,"")</x:f>
      </x:c>
      <x:c r="AH510" s="9" t="n">
        <x:f>IF(F510&gt;=1,1,(1+v01_LowTiesShare*(AE510-1))/AE510)</x:f>
        <x:v>1</x:v>
      </x:c>
      <x:c r="AI510" s="32" t="n">
        <x:f>(Z510+v01_ElderCommons*INDEX(LM_Elder,G510)*AA510)*AH510</x:f>
        <x:v>69.76064994138068</x:v>
      </x:c>
      <x:c r="AJ510" s="32" t="n">
        <x:f>H510*v01_CommonsCoef*AI510^v01_CommonsExp*INDEX(LM_Commons,G510)</x:f>
        <x:v>24.35638756094193</x:v>
      </x:c>
      <x:c r="AK510" s="32" t="n">
        <x:f>H510*v01_RoleScale*Arch_Roles*(AE510*(INDEX(v01_ElderRolePerSett,G510)*v01_OutElder*INDEX(LM_Elder,G510)+INDEX(v01_ShamanPerSett,G510)*v01_OutShaman)+Z510*(INDEX(v01_PriestShare,G510)*v01_OutPriest+INDEX(v01_ScribeShare,G510)*v01_OutScribe*INDEX(LM_Scribe,G510)+INDEX(v01_ScholarShare,G510)*v01_OutScholar*INDEX(LM_Scholar,G510)+INDEX(v01_ResearcherShare,G510)*v01_OutResearcher*INDEX(LM_Researcher,G510)))</x:f>
        <x:v>9</x:v>
      </x:c>
      <x:c r="AL510" s="32" t="n">
        <x:f>H510*v01_RoleScale*Arch_Roles*AE510*INDEX(v01_MonasteryPerSett,G510)*v01_OutMonastery*INDEX(LM_Monastery,G510)</x:f>
        <x:v>0</x:v>
      </x:c>
      <x:c r="AM510" s="32" t="n">
        <x:f>(AJ510+AK510+AL510)/4*INDEX(LM_All,G510)*INDEX(v01_Boon,G510)*Arch_Insight</x:f>
        <x:v>8.761263670303652</x:v>
      </x:c>
      <x:c r="AN510" s="32" t="n">
        <x:f>H510*(v01_KHPerAdult*Z510+v01_KHOfCommons*AJ510/4*INDEX(LM_All,G510))*v01_KHUsable*Arch_KH</x:f>
        <x:v>1.2907596682462998</x:v>
      </x:c>
      <x:c r="AO510" s="32" t="n">
        <x:f>MIN(AP509+AN510,AM510*v01_KHMaxRatio)</x:f>
        <x:v>1.2907596682462998</x:v>
      </x:c>
      <x:c r="AP510" s="32" t="n">
        <x:f>AP509+AN510-AO510</x:f>
        <x:v>0</x:v>
      </x:c>
      <x:c r="AQ510" s="32" t="n">
        <x:f>AM510+AO510</x:f>
        <x:v>10.052023338549953</x:v>
      </x:c>
      <x:c r="AR510" s="10" t="n">
        <x:f>IF(H510=1,INDEX(v01_Req,G510),0)</x:f>
        <x:v>4006.9599999999996</x:v>
      </x:c>
      <x:c r="AS510" s="32" t="n">
        <x:f>IF(H510=1,IF(E510=1,AS509-AR509,AS509)+AQ510,0)</x:f>
        <x:v>220.7731536656879</x:v>
      </x:c>
      <x:c r="AT510" s="11" t="n">
        <x:f>IF(AR510&gt;0,MIN(1,AS510/AR510),1)</x:f>
        <x:v>0.055097418907522885</x:v>
      </x:c>
      <x:c r="AU510" s="10" t="n">
        <x:f>AB510/INDEX(v01_RepScale,G510)</x:f>
        <x:v>43.679507528166</x:v>
      </x:c>
      <x:c r="AV510" s="32" t="n">
        <x:f>AM510*60/v01_SeasonSeconds</x:f>
        <x:v>35.04505468121461</x:v>
      </x:c>
    </x:row>
    <x:row r="511">
      <x:c r="A511" s="8" t="n">
        <x:f>A510+1</x:f>
        <x:v>508</x:v>
      </x:c>
      <x:c r="B511" s="9" t="n">
        <x:f>A511*v01_SeasonSeconds/60</x:f>
        <x:v>127</x:v>
      </x:c>
      <x:c r="C511" s="9" t="n">
        <x:f>A511/4</x:f>
        <x:v>127</x:v>
      </x:c>
      <x:c r="D511" s="8" t="n">
        <x:f>IF(MOD(A511,4)=0,1,0)</x:f>
        <x:v>1</x:v>
      </x:c>
      <x:c r="E511" s="8" t="n">
        <x:f>IF(AND(F510&lt;=9,AS510&gt;=AR510),1,0)</x:f>
        <x:v>0</x:v>
      </x:c>
      <x:c r="F511" s="8" t="n">
        <x:f>MIN(10,F510+E511)</x:f>
        <x:v>2</x:v>
      </x:c>
      <x:c r="G511" s="8" t="n">
        <x:f>MIN(F511,9)+1</x:f>
        <x:v>3</x:v>
      </x:c>
      <x:c r="H511" s="8" t="n">
        <x:f>IF(F511&lt;=9,1,0)</x:f>
        <x:v>1</x:v>
      </x:c>
      <x:c r="I511" s="9" t="n">
        <x:f>MIN(10,F510+IF(AR510&gt;0,MIN(1,AS510/AR510),1))</x:f>
        <x:v>2.055097418907523</x:v>
      </x:c>
      <x:c r="J511" s="32" t="n">
        <x:f>INDEX(v01_FoodCap,G511)*Arch_FoodCap*EXP(v01_CapsByProject*SUMPRODUCT((Cap_Point&lt;=I511)*(Cap_Kind="Food")*Cap_Ln))</x:f>
        <x:v>60</x:v>
      </x:c>
      <x:c r="K511" s="32" t="n">
        <x:f>J511*MIN(1,v01_LeanBase*EXP(v01_CapsByProject*SUMPRODUCT((Cap_Point&lt;=I511)*(Cap_Kind="Lean")*Cap_Ln)))</x:f>
        <x:v>60</x:v>
      </x:c>
      <x:c r="L511" s="10" t="n">
        <x:f>INDEX(v01_HousingCap,G511)*EXP(v01_CapsByProject*SUMPRODUCT((Cap_Point&lt;=I511)*(Cap_Kind="Housing")*Cap_Ln))</x:f>
        <x:v>100</x:v>
      </x:c>
      <x:c r="M511" s="10" t="n">
        <x:f>INDEX(v01_GroupCap,G511)*v01_CohesionFactor*EXP(v01_CapsByProject*SUMPRODUCT((Cap_Point&lt;=I511)*(Cap_Kind="Group")*Cap_Ln))</x:f>
        <x:v>500</x:v>
      </x:c>
      <x:c r="N511" s="32" t="n">
        <x:f>MIN(J511,L511,M511)</x:f>
        <x:v>60</x:v>
      </x:c>
      <x:c r="O511" s="10" t="n">
        <x:f>AE510*N511</x:f>
        <x:v>180</x:v>
      </x:c>
      <x:c r="P511" s="9" t="n">
        <x:f>MIN(1,(AB510/(AE510*IF(v01_GroupInCrowding=1,N511,MIN(J511,L511))))^v01_CrowdingExp)</x:f>
        <x:v>0.013068066702774864</x:v>
      </x:c>
      <x:c r="Q511" s="9" t="n">
        <x:f>IF(D511=1,INDEX(v01_WinterMult,G511),1)</x:f>
        <x:v>1.3</x:v>
      </x:c>
      <x:c r="R511" s="9" t="n">
        <x:f>H511*Z510*v01_WomenShare*v01_BaseFertility*INDEX(v01_FertMult,G511)*Arch_Fertility*(1-P511)</x:f>
        <x:v>1.4740749531308124</x:v>
      </x:c>
      <x:c r="S511" s="9" t="n">
        <x:f>H511*Y510*INDEX(v01_MortChild,G511)/4*Q511</x:f>
        <x:v>0.44953507045134333</x:v>
      </x:c>
      <x:c r="T511" s="9" t="n">
        <x:f>H511*Z510*INDEX(v01_MortAdult,G511)*Arch_AdultMort/4*Q511</x:f>
        <x:v>0.143827505890302</x:v>
      </x:c>
      <x:c r="U511" s="9" t="n">
        <x:f>H511*AA510*INDEX(v01_MortElder,G511)/4*Q511</x:f>
        <x:v>0.24935366726877187</x:v>
      </x:c>
      <x:c r="V511" s="9" t="n">
        <x:f>H511*MAX(0,AB510-O511)*v01_OvercapLoss</x:f>
        <x:v>0</x:v>
      </x:c>
      <x:c r="W511" s="9" t="n">
        <x:f>H511*Y510/(v01_ChildYears*4)</x:f>
        <x:v>0.7057065470193772</x:v>
      </x:c>
      <x:c r="X511" s="9" t="n">
        <x:f>H511*Z510/(v01_AdultYears*4)</x:f>
        <x:v>0.2974100618079032</x:v>
      </x:c>
      <x:c r="Y511" s="32" t="n">
        <x:f>Y510+R511-S511-W511-Y510*V511/AB510</x:f>
        <x:v>39.838399968745215</x:v>
      </x:c>
      <x:c r="Z511" s="32" t="n">
        <x:f>Z510+W511-X511-T511-Z510*V511/AB510</x:f>
        <x:v>37.143316643501166</x:v>
      </x:c>
      <x:c r="AA511" s="32" t="n">
        <x:f>AA510+X511-U511-AA510*V511/AB510</x:f>
        <x:v>11.008657153606027</x:v>
      </x:c>
      <x:c r="AB511" s="10" t="n">
        <x:f>Y511+Z511+AA511</x:f>
        <x:v>87.9903737658524</x:v>
      </x:c>
      <x:c r="AC511" s="8" t="n">
        <x:f>IF(AND(v01_WinterTrigger=1,D511=1,AB510/AE510&gt;=K511),1,0)</x:f>
        <x:v>0</x:v>
      </x:c>
      <x:c r="AD511" s="8" t="n">
        <x:f>H511*IF(AND(OR(AB510/AE510&gt;=v01_FissionTrigger*N511,AC511=1),AB510/AE510*v01_DaughterShare&gt;=v01_MinDaughter),MAX(1,ROUND(AE510*v01_FissionRate,0)),0)</x:f>
        <x:v>0</x:v>
      </x:c>
      <x:c r="AE511" s="8" t="n">
        <x:f>IF(H511=1,MAX(1,MIN(INDEX(v01_Smax,G511),AE510+AD511)),AE510)</x:f>
        <x:v>3</x:v>
      </x:c>
      <x:c r="AF511" s="8" t="n">
        <x:f>MAX(0,AE511-AE510)</x:f>
        <x:v>0</x:v>
      </x:c>
      <x:c r="AG511" s="9" t="str">
        <x:f>IF(AF511&gt;0,B511,"")</x:f>
      </x:c>
      <x:c r="AH511" s="9" t="n">
        <x:f>IF(F511&gt;=1,1,(1+v01_LowTiesShare*(AE511-1))/AE511)</x:f>
        <x:v>1</x:v>
      </x:c>
      <x:c r="AI511" s="32" t="n">
        <x:f>(Z511+v01_ElderCommons*INDEX(LM_Elder,G511)*AA511)*AH511</x:f>
        <x:v>70.16928810431925</x:v>
      </x:c>
      <x:c r="AJ511" s="32" t="n">
        <x:f>H511*v01_CommonsCoef*AI511^v01_CommonsExp*INDEX(LM_Commons,G511)</x:f>
        <x:v>24.477606308909376</x:v>
      </x:c>
      <x:c r="AK511" s="32" t="n">
        <x:f>H511*v01_RoleScale*Arch_Roles*(AE511*(INDEX(v01_ElderRolePerSett,G511)*v01_OutElder*INDEX(LM_Elder,G511)+INDEX(v01_ShamanPerSett,G511)*v01_OutShaman)+Z511*(INDEX(v01_PriestShare,G511)*v01_OutPriest+INDEX(v01_ScribeShare,G511)*v01_OutScribe*INDEX(LM_Scribe,G511)+INDEX(v01_ScholarShare,G511)*v01_OutScholar*INDEX(LM_Scholar,G511)+INDEX(v01_ResearcherShare,G511)*v01_OutResearcher*INDEX(LM_Researcher,G511)))</x:f>
        <x:v>9</x:v>
      </x:c>
      <x:c r="AL511" s="32" t="n">
        <x:f>H511*v01_RoleScale*Arch_Roles*AE511*INDEX(v01_MonasteryPerSett,G511)*v01_OutMonastery*INDEX(LM_Monastery,G511)</x:f>
        <x:v>0</x:v>
      </x:c>
      <x:c r="AM511" s="32" t="n">
        <x:f>(AJ511+AK511+AL511)/4*INDEX(LM_All,G511)*INDEX(v01_Boon,G511)*Arch_Insight</x:f>
        <x:v>8.793102532074476</x:v>
      </x:c>
      <x:c r="AN511" s="32" t="n">
        <x:f>H511*(v01_KHPerAdult*Z511+v01_KHOfCommons*AJ511/4*INDEX(LM_All,G511))*v01_KHUsable*Arch_KH</x:f>
        <x:v>1.3000160825225409</x:v>
      </x:c>
      <x:c r="AO511" s="32" t="n">
        <x:f>MIN(AP510+AN511,AM511*v01_KHMaxRatio)</x:f>
        <x:v>1.3000160825225409</x:v>
      </x:c>
      <x:c r="AP511" s="32" t="n">
        <x:f>AP510+AN511-AO511</x:f>
        <x:v>0</x:v>
      </x:c>
      <x:c r="AQ511" s="32" t="n">
        <x:f>AM511+AO511</x:f>
        <x:v>10.093118614597017</x:v>
      </x:c>
      <x:c r="AR511" s="10" t="n">
        <x:f>IF(H511=1,INDEX(v01_Req,G511),0)</x:f>
        <x:v>4006.9599999999996</x:v>
      </x:c>
      <x:c r="AS511" s="32" t="n">
        <x:f>IF(H511=1,IF(E511=1,AS510-AR510,AS510)+AQ511,0)</x:f>
        <x:v>230.8662722802849</x:v>
      </x:c>
      <x:c r="AT511" s="11" t="n">
        <x:f>IF(AR511&gt;0,MIN(1,AS511/AR511),1)</x:f>
        <x:v>0.057616315680786664</x:v>
      </x:c>
      <x:c r="AU511" s="10" t="n">
        <x:f>AB511/INDEX(v01_RepScale,G511)</x:f>
        <x:v>43.9951868829262</x:v>
      </x:c>
      <x:c r="AV511" s="32" t="n">
        <x:f>AM511*60/v01_SeasonSeconds</x:f>
        <x:v>35.172410128297905</x:v>
      </x:c>
    </x:row>
    <x:row r="512">
      <x:c r="A512" s="8" t="n">
        <x:f>A511+1</x:f>
        <x:v>509</x:v>
      </x:c>
      <x:c r="B512" s="9" t="n">
        <x:f>A512*v01_SeasonSeconds/60</x:f>
        <x:v>127.25</x:v>
      </x:c>
      <x:c r="C512" s="9" t="n">
        <x:f>A512/4</x:f>
        <x:v>127.25</x:v>
      </x:c>
      <x:c r="D512" s="8" t="n">
        <x:f>IF(MOD(A512,4)=0,1,0)</x:f>
        <x:v>0</x:v>
      </x:c>
      <x:c r="E512" s="8" t="n">
        <x:f>IF(AND(F511&lt;=9,AS511&gt;=AR511),1,0)</x:f>
        <x:v>0</x:v>
      </x:c>
      <x:c r="F512" s="8" t="n">
        <x:f>MIN(10,F511+E512)</x:f>
        <x:v>2</x:v>
      </x:c>
      <x:c r="G512" s="8" t="n">
        <x:f>MIN(F512,9)+1</x:f>
        <x:v>3</x:v>
      </x:c>
      <x:c r="H512" s="8" t="n">
        <x:f>IF(F512&lt;=9,1,0)</x:f>
        <x:v>1</x:v>
      </x:c>
      <x:c r="I512" s="9" t="n">
        <x:f>MIN(10,F511+IF(AR511&gt;0,MIN(1,AS511/AR511),1))</x:f>
        <x:v>2.0576163156807867</x:v>
      </x:c>
      <x:c r="J512" s="32" t="n">
        <x:f>INDEX(v01_FoodCap,G512)*Arch_FoodCap*EXP(v01_CapsByProject*SUMPRODUCT((Cap_Point&lt;=I512)*(Cap_Kind="Food")*Cap_Ln))</x:f>
        <x:v>60</x:v>
      </x:c>
      <x:c r="K512" s="32" t="n">
        <x:f>J512*MIN(1,v01_LeanBase*EXP(v01_CapsByProject*SUMPRODUCT((Cap_Point&lt;=I512)*(Cap_Kind="Lean")*Cap_Ln)))</x:f>
        <x:v>60</x:v>
      </x:c>
      <x:c r="L512" s="10" t="n">
        <x:f>INDEX(v01_HousingCap,G512)*EXP(v01_CapsByProject*SUMPRODUCT((Cap_Point&lt;=I512)*(Cap_Kind="Housing")*Cap_Ln))</x:f>
        <x:v>100</x:v>
      </x:c>
      <x:c r="M512" s="10" t="n">
        <x:f>INDEX(v01_GroupCap,G512)*v01_CohesionFactor*EXP(v01_CapsByProject*SUMPRODUCT((Cap_Point&lt;=I512)*(Cap_Kind="Group")*Cap_Ln))</x:f>
        <x:v>500</x:v>
      </x:c>
      <x:c r="N512" s="32" t="n">
        <x:f>MIN(J512,L512,M512)</x:f>
        <x:v>60</x:v>
      </x:c>
      <x:c r="O512" s="10" t="n">
        <x:f>AE511*N512</x:f>
        <x:v>180</x:v>
      </x:c>
      <x:c r="P512" s="9" t="n">
        <x:f>MIN(1,(AB511/(AE511*IF(v01_GroupInCrowding=1,N512,MIN(J512,L512))))^v01_CrowdingExp)</x:f>
        <x:v>0.013645075543062055</x:v>
      </x:c>
      <x:c r="Q512" s="9" t="n">
        <x:f>IF(D512=1,INDEX(v01_WinterMult,G512),1)</x:f>
        <x:v>1</x:v>
      </x:c>
      <x:c r="R512" s="9" t="n">
        <x:f>H512*Z511*v01_WomenShare*v01_BaseFertility*INDEX(v01_FertMult,G512)*Arch_Fertility*(1-P512)</x:f>
        <x:v>1.4837779779202194</x:v>
      </x:c>
      <x:c r="S512" s="9" t="n">
        <x:f>H512*Y511*INDEX(v01_MortChild,G512)/4*Q512</x:f>
        <x:v>0.34858599972652066</x:v>
      </x:c>
      <x:c r="T512" s="9" t="n">
        <x:f>H512*Z511*INDEX(v01_MortAdult,G512)*Arch_AdultMort/4*Q512</x:f>
        <x:v>0.1114299499305035</x:v>
      </x:c>
      <x:c r="U512" s="9" t="n">
        <x:f>H512*AA511*INDEX(v01_MortElder,G512)/4*Q512</x:f>
        <x:v>0.19265150018810548</x:v>
      </x:c>
      <x:c r="V512" s="9" t="n">
        <x:f>H512*MAX(0,AB511-O512)*v01_OvercapLoss</x:f>
        <x:v>0</x:v>
      </x:c>
      <x:c r="W512" s="9" t="n">
        <x:f>H512*Y511/(v01_ChildYears*4)</x:f>
        <x:v>0.7113999994418788</x:v>
      </x:c>
      <x:c r="X512" s="9" t="n">
        <x:f>H512*Z511/(v01_AdultYears*4)</x:f>
        <x:v>0.2995428761572675</x:v>
      </x:c>
      <x:c r="Y512" s="32" t="n">
        <x:f>Y511+R512-S512-W512-Y511*V512/AB511</x:f>
        <x:v>40.26219194749703</x:v>
      </x:c>
      <x:c r="Z512" s="32" t="n">
        <x:f>Z511+W512-X512-T512-Z511*V512/AB511</x:f>
        <x:v>37.443743816855275</x:v>
      </x:c>
      <x:c r="AA512" s="32" t="n">
        <x:f>AA511+X512-U512-AA511*V512/AB511</x:f>
        <x:v>11.11554852957519</x:v>
      </x:c>
      <x:c r="AB512" s="10" t="n">
        <x:f>Y512+Z512+AA512</x:f>
        <x:v>88.8214842939275</x:v>
      </x:c>
      <x:c r="AC512" s="8" t="n">
        <x:f>IF(AND(v01_WinterTrigger=1,D512=1,AB511/AE511&gt;=K512),1,0)</x:f>
        <x:v>0</x:v>
      </x:c>
      <x:c r="AD512" s="8" t="n">
        <x:f>H512*IF(AND(OR(AB511/AE511&gt;=v01_FissionTrigger*N512,AC512=1),AB511/AE511*v01_DaughterShare&gt;=v01_MinDaughter),MAX(1,ROUND(AE511*v01_FissionRate,0)),0)</x:f>
        <x:v>0</x:v>
      </x:c>
      <x:c r="AE512" s="8" t="n">
        <x:f>IF(H512=1,MAX(1,MIN(INDEX(v01_Smax,G512),AE511+AD512)),AE511)</x:f>
        <x:v>3</x:v>
      </x:c>
      <x:c r="AF512" s="8" t="n">
        <x:f>MAX(0,AE512-AE511)</x:f>
        <x:v>0</x:v>
      </x:c>
      <x:c r="AG512" s="9" t="str">
        <x:f>IF(AF512&gt;0,B512,"")</x:f>
      </x:c>
      <x:c r="AH512" s="9" t="n">
        <x:f>IF(F512&gt;=1,1,(1+v01_LowTiesShare*(AE512-1))/AE512)</x:f>
        <x:v>1</x:v>
      </x:c>
      <x:c r="AI512" s="32" t="n">
        <x:f>(Z512+v01_ElderCommons*INDEX(LM_Elder,G512)*AA512)*AH512</x:f>
        <x:v>70.79038940558084</x:v>
      </x:c>
      <x:c r="AJ512" s="32" t="n">
        <x:f>H512*v01_CommonsCoef*AI512^v01_CommonsExp*INDEX(LM_Commons,G512)</x:f>
        <x:v>24.661647827248988</x:v>
      </x:c>
      <x:c r="AK512" s="32" t="n">
        <x:f>H512*v01_RoleScale*Arch_Roles*(AE512*(INDEX(v01_ElderRolePerSett,G512)*v01_OutElder*INDEX(LM_Elder,G512)+INDEX(v01_ShamanPerSett,G512)*v01_OutShaman)+Z512*(INDEX(v01_PriestShare,G512)*v01_OutPriest+INDEX(v01_ScribeShare,G512)*v01_OutScribe*INDEX(LM_Scribe,G512)+INDEX(v01_ScholarShare,G512)*v01_OutScholar*INDEX(LM_Scholar,G512)+INDEX(v01_ResearcherShare,G512)*v01_OutResearcher*INDEX(LM_Researcher,G512)))</x:f>
        <x:v>9</x:v>
      </x:c>
      <x:c r="AL512" s="32" t="n">
        <x:f>H512*v01_RoleScale*Arch_Roles*AE512*INDEX(v01_MonasteryPerSett,G512)*v01_OutMonastery*INDEX(LM_Monastery,G512)</x:f>
        <x:v>0</x:v>
      </x:c>
      <x:c r="AM512" s="32" t="n">
        <x:f>(AJ512+AK512+AL512)/4*INDEX(LM_All,G512)*INDEX(v01_Boon,G512)*Arch_Insight</x:f>
        <x:v>8.841442187125866</x:v>
      </x:c>
      <x:c r="AN512" s="32" t="n">
        <x:f>H512*(v01_KHPerAdult*Z512+v01_KHOfCommons*AJ512/4*INDEX(LM_All,G512))*v01_KHUsable*Arch_KH</x:f>
        <x:v>1.3105310335899347</x:v>
      </x:c>
      <x:c r="AO512" s="32" t="n">
        <x:f>MIN(AP511+AN512,AM512*v01_KHMaxRatio)</x:f>
        <x:v>1.3105310335899347</x:v>
      </x:c>
      <x:c r="AP512" s="32" t="n">
        <x:f>AP511+AN512-AO512</x:f>
        <x:v>0</x:v>
      </x:c>
      <x:c r="AQ512" s="32" t="n">
        <x:f>AM512+AO512</x:f>
        <x:v>10.151973220715801</x:v>
      </x:c>
      <x:c r="AR512" s="10" t="n">
        <x:f>IF(H512=1,INDEX(v01_Req,G512),0)</x:f>
        <x:v>4006.9599999999996</x:v>
      </x:c>
      <x:c r="AS512" s="32" t="n">
        <x:f>IF(H512=1,IF(E512=1,AS511-AR511,AS511)+AQ512,0)</x:f>
        <x:v>241.0182455010007</x:v>
      </x:c>
      <x:c r="AT512" s="11" t="n">
        <x:f>IF(AR512&gt;0,MIN(1,AS512/AR512),1)</x:f>
        <x:v>0.06014990054829615</x:v>
      </x:c>
      <x:c r="AU512" s="10" t="n">
        <x:f>AB512/INDEX(v01_RepScale,G512)</x:f>
        <x:v>44.41074214696375</x:v>
      </x:c>
      <x:c r="AV512" s="32" t="n">
        <x:f>AM512*60/v01_SeasonSeconds</x:f>
        <x:v>35.36576874850346</x:v>
      </x:c>
    </x:row>
    <x:row r="513">
      <x:c r="A513" s="8" t="n">
        <x:f>A512+1</x:f>
        <x:v>510</x:v>
      </x:c>
      <x:c r="B513" s="9" t="n">
        <x:f>A513*v01_SeasonSeconds/60</x:f>
        <x:v>127.5</x:v>
      </x:c>
      <x:c r="C513" s="9" t="n">
        <x:f>A513/4</x:f>
        <x:v>127.5</x:v>
      </x:c>
      <x:c r="D513" s="8" t="n">
        <x:f>IF(MOD(A513,4)=0,1,0)</x:f>
        <x:v>0</x:v>
      </x:c>
      <x:c r="E513" s="8" t="n">
        <x:f>IF(AND(F512&lt;=9,AS512&gt;=AR512),1,0)</x:f>
        <x:v>0</x:v>
      </x:c>
      <x:c r="F513" s="8" t="n">
        <x:f>MIN(10,F512+E513)</x:f>
        <x:v>2</x:v>
      </x:c>
      <x:c r="G513" s="8" t="n">
        <x:f>MIN(F513,9)+1</x:f>
        <x:v>3</x:v>
      </x:c>
      <x:c r="H513" s="8" t="n">
        <x:f>IF(F513&lt;=9,1,0)</x:f>
        <x:v>1</x:v>
      </x:c>
      <x:c r="I513" s="9" t="n">
        <x:f>MIN(10,F512+IF(AR512&gt;0,MIN(1,AS512/AR512),1))</x:f>
        <x:v>2.060149900548296</x:v>
      </x:c>
      <x:c r="J513" s="32" t="n">
        <x:f>INDEX(v01_FoodCap,G513)*Arch_FoodCap*EXP(v01_CapsByProject*SUMPRODUCT((Cap_Point&lt;=I513)*(Cap_Kind="Food")*Cap_Ln))</x:f>
        <x:v>60</x:v>
      </x:c>
      <x:c r="K513" s="32" t="n">
        <x:f>J513*MIN(1,v01_LeanBase*EXP(v01_CapsByProject*SUMPRODUCT((Cap_Point&lt;=I513)*(Cap_Kind="Lean")*Cap_Ln)))</x:f>
        <x:v>60</x:v>
      </x:c>
      <x:c r="L513" s="10" t="n">
        <x:f>INDEX(v01_HousingCap,G513)*EXP(v01_CapsByProject*SUMPRODUCT((Cap_Point&lt;=I513)*(Cap_Kind="Housing")*Cap_Ln))</x:f>
        <x:v>100</x:v>
      </x:c>
      <x:c r="M513" s="10" t="n">
        <x:f>INDEX(v01_GroupCap,G513)*v01_CohesionFactor*EXP(v01_CapsByProject*SUMPRODUCT((Cap_Point&lt;=I513)*(Cap_Kind="Group")*Cap_Ln))</x:f>
        <x:v>500</x:v>
      </x:c>
      <x:c r="N513" s="32" t="n">
        <x:f>MIN(J513,L513,M513)</x:f>
        <x:v>60</x:v>
      </x:c>
      <x:c r="O513" s="10" t="n">
        <x:f>AE512*N513</x:f>
        <x:v>180</x:v>
      </x:c>
      <x:c r="P513" s="9" t="n">
        <x:f>MIN(1,(AB512/(AE512*IF(v01_GroupInCrowding=1,N513,MIN(J513,L513))))^v01_CrowdingExp)</x:f>
        <x:v>0.014436872722331908</x:v>
      </x:c>
      <x:c r="Q513" s="9" t="n">
        <x:f>IF(D513=1,INDEX(v01_WinterMult,G513),1)</x:f>
        <x:v>1</x:v>
      </x:c>
      <x:c r="R513" s="9" t="n">
        <x:f>H513*Z512*v01_WomenShare*v01_BaseFertility*INDEX(v01_FertMult,G513)*Arch_Fertility*(1-P513)</x:f>
        <x:v>1.4945785167515113</x:v>
      </x:c>
      <x:c r="S513" s="9" t="n">
        <x:f>H513*Y512*INDEX(v01_MortChild,G513)/4*Q513</x:f>
        <x:v>0.35229417954059905</x:v>
      </x:c>
      <x:c r="T513" s="9" t="n">
        <x:f>H513*Z512*INDEX(v01_MortAdult,G513)*Arch_AdultMort/4*Q513</x:f>
        <x:v>0.11233123145056582</x:v>
      </x:c>
      <x:c r="U513" s="9" t="n">
        <x:f>H513*AA512*INDEX(v01_MortElder,G513)/4*Q513</x:f>
        <x:v>0.19452209926756583</x:v>
      </x:c>
      <x:c r="V513" s="9" t="n">
        <x:f>H513*MAX(0,AB512-O513)*v01_OvercapLoss</x:f>
        <x:v>0</x:v>
      </x:c>
      <x:c r="W513" s="9" t="n">
        <x:f>H513*Y512/(v01_ChildYears*4)</x:f>
        <x:v>0.7189677133481612</x:v>
      </x:c>
      <x:c r="X513" s="9" t="n">
        <x:f>H513*Z512/(v01_AdultYears*4)</x:f>
        <x:v>0.3019656759423813</x:v>
      </x:c>
      <x:c r="Y513" s="32" t="n">
        <x:f>Y512+R513-S513-W513-Y512*V513/AB512</x:f>
        <x:v>40.685508571359776</x:v>
      </x:c>
      <x:c r="Z513" s="32" t="n">
        <x:f>Z512+W513-X513-T513-Z512*V513/AB512</x:f>
        <x:v>37.748414622810486</x:v>
      </x:c>
      <x:c r="AA513" s="32" t="n">
        <x:f>AA512+X513-U513-AA512*V513/AB512</x:f>
        <x:v>11.222992106250006</x:v>
      </x:c>
      <x:c r="AB513" s="10" t="n">
        <x:f>Y513+Z513+AA513</x:f>
        <x:v>89.65691530042027</x:v>
      </x:c>
      <x:c r="AC513" s="8" t="n">
        <x:f>IF(AND(v01_WinterTrigger=1,D513=1,AB512/AE512&gt;=K513),1,0)</x:f>
        <x:v>0</x:v>
      </x:c>
      <x:c r="AD513" s="8" t="n">
        <x:f>H513*IF(AND(OR(AB512/AE512&gt;=v01_FissionTrigger*N513,AC513=1),AB512/AE512*v01_DaughterShare&gt;=v01_MinDaughter),MAX(1,ROUND(AE512*v01_FissionRate,0)),0)</x:f>
        <x:v>0</x:v>
      </x:c>
      <x:c r="AE513" s="8" t="n">
        <x:f>IF(H513=1,MAX(1,MIN(INDEX(v01_Smax,G513),AE512+AD513)),AE512)</x:f>
        <x:v>3</x:v>
      </x:c>
      <x:c r="AF513" s="8" t="n">
        <x:f>MAX(0,AE513-AE512)</x:f>
        <x:v>0</x:v>
      </x:c>
      <x:c r="AG513" s="9" t="str">
        <x:f>IF(AF513&gt;0,B513,"")</x:f>
      </x:c>
      <x:c r="AH513" s="9" t="n">
        <x:f>IF(F513&gt;=1,1,(1+v01_LowTiesShare*(AE513-1))/AE513)</x:f>
        <x:v>1</x:v>
      </x:c>
      <x:c r="AI513" s="32" t="n">
        <x:f>(Z513+v01_ElderCommons*INDEX(LM_Elder,G513)*AA513)*AH513</x:f>
        <x:v>71.41739094156051</x:v>
      </x:c>
      <x:c r="AJ513" s="32" t="n">
        <x:f>H513*v01_CommonsCoef*AI513^v01_CommonsExp*INDEX(LM_Commons,G513)</x:f>
        <x:v>24.847192164511608</x:v>
      </x:c>
      <x:c r="AK513" s="32" t="n">
        <x:f>H513*v01_RoleScale*Arch_Roles*(AE513*(INDEX(v01_ElderRolePerSett,G513)*v01_OutElder*INDEX(LM_Elder,G513)+INDEX(v01_ShamanPerSett,G513)*v01_OutShaman)+Z513*(INDEX(v01_PriestShare,G513)*v01_OutPriest+INDEX(v01_ScribeShare,G513)*v01_OutScribe*INDEX(LM_Scribe,G513)+INDEX(v01_ScholarShare,G513)*v01_OutScholar*INDEX(LM_Scholar,G513)+INDEX(v01_ResearcherShare,G513)*v01_OutResearcher*INDEX(LM_Researcher,G513)))</x:f>
        <x:v>9</x:v>
      </x:c>
      <x:c r="AL513" s="32" t="n">
        <x:f>H513*v01_RoleScale*Arch_Roles*AE513*INDEX(v01_MonasteryPerSett,G513)*v01_OutMonastery*INDEX(LM_Monastery,G513)</x:f>
        <x:v>0</x:v>
      </x:c>
      <x:c r="AM513" s="32" t="n">
        <x:f>(AJ513+AK513+AL513)/4*INDEX(LM_All,G513)*INDEX(v01_Boon,G513)*Arch_Insight</x:f>
        <x:v>8.890176566960003</x:v>
      </x:c>
      <x:c r="AN513" s="32" t="n">
        <x:f>H513*(v01_KHPerAdult*Z513+v01_KHOfCommons*AJ513/4*INDEX(LM_All,G513))*v01_KHUsable*Arch_KH</x:f>
        <x:v>1.321194511798367</x:v>
      </x:c>
      <x:c r="AO513" s="32" t="n">
        <x:f>MIN(AP512+AN513,AM513*v01_KHMaxRatio)</x:f>
        <x:v>1.321194511798367</x:v>
      </x:c>
      <x:c r="AP513" s="32" t="n">
        <x:f>AP512+AN513-AO513</x:f>
        <x:v>0</x:v>
      </x:c>
      <x:c r="AQ513" s="32" t="n">
        <x:f>AM513+AO513</x:f>
        <x:v>10.21137107875837</x:v>
      </x:c>
      <x:c r="AR513" s="10" t="n">
        <x:f>IF(H513=1,INDEX(v01_Req,G513),0)</x:f>
        <x:v>4006.9599999999996</x:v>
      </x:c>
      <x:c r="AS513" s="32" t="n">
        <x:f>IF(H513=1,IF(E513=1,AS512-AR512,AS512)+AQ513,0)</x:f>
        <x:v>251.22961657975907</x:v>
      </x:c>
      <x:c r="AT513" s="11" t="n">
        <x:f>IF(AR513&gt;0,MIN(1,AS513/AR513),1)</x:f>
        <x:v>0.06269830908712817</x:v>
      </x:c>
      <x:c r="AU513" s="10" t="n">
        <x:f>AB513/INDEX(v01_RepScale,G513)</x:f>
        <x:v>44.82845765021013</x:v>
      </x:c>
      <x:c r="AV513" s="32" t="n">
        <x:f>AM513*60/v01_SeasonSeconds</x:f>
        <x:v>35.56070626784001</x:v>
      </x:c>
    </x:row>
    <x:row r="514">
      <x:c r="A514" s="8" t="n">
        <x:f>A513+1</x:f>
        <x:v>511</x:v>
      </x:c>
      <x:c r="B514" s="9" t="n">
        <x:f>A514*v01_SeasonSeconds/60</x:f>
        <x:v>127.75</x:v>
      </x:c>
      <x:c r="C514" s="9" t="n">
        <x:f>A514/4</x:f>
        <x:v>127.75</x:v>
      </x:c>
      <x:c r="D514" s="8" t="n">
        <x:f>IF(MOD(A514,4)=0,1,0)</x:f>
        <x:v>0</x:v>
      </x:c>
      <x:c r="E514" s="8" t="n">
        <x:f>IF(AND(F513&lt;=9,AS513&gt;=AR513),1,0)</x:f>
        <x:v>0</x:v>
      </x:c>
      <x:c r="F514" s="8" t="n">
        <x:f>MIN(10,F513+E514)</x:f>
        <x:v>2</x:v>
      </x:c>
      <x:c r="G514" s="8" t="n">
        <x:f>MIN(F514,9)+1</x:f>
        <x:v>3</x:v>
      </x:c>
      <x:c r="H514" s="8" t="n">
        <x:f>IF(F514&lt;=9,1,0)</x:f>
        <x:v>1</x:v>
      </x:c>
      <x:c r="I514" s="9" t="n">
        <x:f>MIN(10,F513+IF(AR513&gt;0,MIN(1,AS513/AR513),1))</x:f>
        <x:v>2.062698309087128</x:v>
      </x:c>
      <x:c r="J514" s="32" t="n">
        <x:f>INDEX(v01_FoodCap,G514)*Arch_FoodCap*EXP(v01_CapsByProject*SUMPRODUCT((Cap_Point&lt;=I514)*(Cap_Kind="Food")*Cap_Ln))</x:f>
        <x:v>60</x:v>
      </x:c>
      <x:c r="K514" s="32" t="n">
        <x:f>J514*MIN(1,v01_LeanBase*EXP(v01_CapsByProject*SUMPRODUCT((Cap_Point&lt;=I514)*(Cap_Kind="Lean")*Cap_Ln)))</x:f>
        <x:v>60</x:v>
      </x:c>
      <x:c r="L514" s="10" t="n">
        <x:f>INDEX(v01_HousingCap,G514)*EXP(v01_CapsByProject*SUMPRODUCT((Cap_Point&lt;=I514)*(Cap_Kind="Housing")*Cap_Ln))</x:f>
        <x:v>100</x:v>
      </x:c>
      <x:c r="M514" s="10" t="n">
        <x:f>INDEX(v01_GroupCap,G514)*v01_CohesionFactor*EXP(v01_CapsByProject*SUMPRODUCT((Cap_Point&lt;=I514)*(Cap_Kind="Group")*Cap_Ln))</x:f>
        <x:v>500</x:v>
      </x:c>
      <x:c r="N514" s="32" t="n">
        <x:f>MIN(J514,L514,M514)</x:f>
        <x:v>60</x:v>
      </x:c>
      <x:c r="O514" s="10" t="n">
        <x:f>AE513*N514</x:f>
        <x:v>180</x:v>
      </x:c>
      <x:c r="P514" s="9" t="n">
        <x:f>MIN(1,(AB513/(AE513*IF(v01_GroupInCrowding=1,N514,MIN(J514,L514))))^v01_CrowdingExp)</x:f>
        <x:v>0.015271008719904307</x:v>
      </x:c>
      <x:c r="Q514" s="9" t="n">
        <x:f>IF(D514=1,INDEX(v01_WinterMult,G514),1)</x:f>
        <x:v>1</x:v>
      </x:c>
      <x:c r="R514" s="9" t="n">
        <x:f>H514*Z513*v01_WomenShare*v01_BaseFertility*INDEX(v01_FertMult,G514)*Arch_Fertility*(1-P514)</x:f>
        <x:v>1.5054643092846907</x:v>
      </x:c>
      <x:c r="S514" s="9" t="n">
        <x:f>H514*Y513*INDEX(v01_MortChild,G514)/4*Q514</x:f>
        <x:v>0.3559981999993981</x:v>
      </x:c>
      <x:c r="T514" s="9" t="n">
        <x:f>H514*Z513*INDEX(v01_MortAdult,G514)*Arch_AdultMort/4*Q514</x:f>
        <x:v>0.11324524386843146</x:v>
      </x:c>
      <x:c r="U514" s="9" t="n">
        <x:f>H514*AA513*INDEX(v01_MortElder,G514)/4*Q514</x:f>
        <x:v>0.19640236185937512</x:v>
      </x:c>
      <x:c r="V514" s="9" t="n">
        <x:f>H514*MAX(0,AB513-O514)*v01_OvercapLoss</x:f>
        <x:v>0</x:v>
      </x:c>
      <x:c r="W514" s="9" t="n">
        <x:f>H514*Y513/(v01_ChildYears*4)</x:f>
        <x:v>0.7265269387742818</x:v>
      </x:c>
      <x:c r="X514" s="9" t="n">
        <x:f>H514*Z513/(v01_AdultYears*4)</x:f>
        <x:v>0.3044226985710523</x:v>
      </x:c>
      <x:c r="Y514" s="32" t="n">
        <x:f>Y513+R514-S514-W514-Y513*V514/AB513</x:f>
        <x:v>41.10844774187078</x:v>
      </x:c>
      <x:c r="Z514" s="32" t="n">
        <x:f>Z513+W514-X514-T514-Z513*V514/AB513</x:f>
        <x:v>38.057273619145285</x:v>
      </x:c>
      <x:c r="AA514" s="32" t="n">
        <x:f>AA513+X514-U514-AA513*V514/AB513</x:f>
        <x:v>11.331012442961683</x:v>
      </x:c>
      <x:c r="AB514" s="10" t="n">
        <x:f>Y514+Z514+AA514</x:f>
        <x:v>90.49673380397775</x:v>
      </x:c>
      <x:c r="AC514" s="8" t="n">
        <x:f>IF(AND(v01_WinterTrigger=1,D514=1,AB513/AE513&gt;=K514),1,0)</x:f>
        <x:v>0</x:v>
      </x:c>
      <x:c r="AD514" s="8" t="n">
        <x:f>H514*IF(AND(OR(AB513/AE513&gt;=v01_FissionTrigger*N514,AC514=1),AB513/AE513*v01_DaughterShare&gt;=v01_MinDaughter),MAX(1,ROUND(AE513*v01_FissionRate,0)),0)</x:f>
        <x:v>0</x:v>
      </x:c>
      <x:c r="AE514" s="8" t="n">
        <x:f>IF(H514=1,MAX(1,MIN(INDEX(v01_Smax,G514),AE513+AD514)),AE513)</x:f>
        <x:v>3</x:v>
      </x:c>
      <x:c r="AF514" s="8" t="n">
        <x:f>MAX(0,AE514-AE513)</x:f>
        <x:v>0</x:v>
      </x:c>
      <x:c r="AG514" s="9" t="str">
        <x:f>IF(AF514&gt;0,B514,"")</x:f>
      </x:c>
      <x:c r="AH514" s="9" t="n">
        <x:f>IF(F514&gt;=1,1,(1+v01_LowTiesShare*(AE514-1))/AE514)</x:f>
        <x:v>1</x:v>
      </x:c>
      <x:c r="AI514" s="32" t="n">
        <x:f>(Z514+v01_ElderCommons*INDEX(LM_Elder,G514)*AA514)*AH514</x:f>
        <x:v>72.05031094803033</x:v>
      </x:c>
      <x:c r="AJ514" s="32" t="n">
        <x:f>H514*v01_CommonsCoef*AI514^v01_CommonsExp*INDEX(LM_Commons,G514)</x:f>
        <x:v>25.03424026672182</x:v>
      </x:c>
      <x:c r="AK514" s="32" t="n">
        <x:f>H514*v01_RoleScale*Arch_Roles*(AE514*(INDEX(v01_ElderRolePerSett,G514)*v01_OutElder*INDEX(LM_Elder,G514)+INDEX(v01_ShamanPerSett,G514)*v01_OutShaman)+Z514*(INDEX(v01_PriestShare,G514)*v01_OutPriest+INDEX(v01_ScribeShare,G514)*v01_OutScribe*INDEX(LM_Scribe,G514)+INDEX(v01_ScholarShare,G514)*v01_OutScholar*INDEX(LM_Scholar,G514)+INDEX(v01_ResearcherShare,G514)*v01_OutResearcher*INDEX(LM_Researcher,G514)))</x:f>
        <x:v>9</x:v>
      </x:c>
      <x:c r="AL514" s="32" t="n">
        <x:f>H514*v01_RoleScale*Arch_Roles*AE514*INDEX(v01_MonasteryPerSett,G514)*v01_OutMonastery*INDEX(LM_Monastery,G514)</x:f>
        <x:v>0</x:v>
      </x:c>
      <x:c r="AM514" s="32" t="n">
        <x:f>(AJ514+AK514+AL514)/4*INDEX(LM_All,G514)*INDEX(v01_Boon,G514)*Arch_Insight</x:f>
        <x:v>8.939305920056153</x:v>
      </x:c>
      <x:c r="AN514" s="32" t="n">
        <x:f>H514*(v01_KHPerAdult*Z514+v01_KHOfCommons*AJ514/4*INDEX(LM_All,G514))*v01_KHUsable*Arch_KH</x:f>
        <x:v>1.332004576670085</x:v>
      </x:c>
      <x:c r="AO514" s="32" t="n">
        <x:f>MIN(AP513+AN514,AM514*v01_KHMaxRatio)</x:f>
        <x:v>1.332004576670085</x:v>
      </x:c>
      <x:c r="AP514" s="32" t="n">
        <x:f>AP513+AN514-AO514</x:f>
        <x:v>0</x:v>
      </x:c>
      <x:c r="AQ514" s="32" t="n">
        <x:f>AM514+AO514</x:f>
        <x:v>10.271310496726239</x:v>
      </x:c>
      <x:c r="AR514" s="10" t="n">
        <x:f>IF(H514=1,INDEX(v01_Req,G514),0)</x:f>
        <x:v>4006.9599999999996</x:v>
      </x:c>
      <x:c r="AS514" s="32" t="n">
        <x:f>IF(H514=1,IF(E514=1,AS513-AR513,AS513)+AQ514,0)</x:f>
        <x:v>261.5009270764853</x:v>
      </x:c>
      <x:c r="AT514" s="11" t="n">
        <x:f>IF(AR514&gt;0,MIN(1,AS514/AR514),1)</x:f>
        <x:v>0.06526167645209469</x:v>
      </x:c>
      <x:c r="AU514" s="10" t="n">
        <x:f>AB514/INDEX(v01_RepScale,G514)</x:f>
        <x:v>45.248366901988874</x:v>
      </x:c>
      <x:c r="AV514" s="32" t="n">
        <x:f>AM514*60/v01_SeasonSeconds</x:f>
        <x:v>35.75722368022461</x:v>
      </x:c>
    </x:row>
    <x:row r="515">
      <x:c r="A515" s="8" t="n">
        <x:f>A514+1</x:f>
        <x:v>512</x:v>
      </x:c>
      <x:c r="B515" s="9" t="n">
        <x:f>A515*v01_SeasonSeconds/60</x:f>
        <x:v>128</x:v>
      </x:c>
      <x:c r="C515" s="9" t="n">
        <x:f>A515/4</x:f>
        <x:v>128</x:v>
      </x:c>
      <x:c r="D515" s="8" t="n">
        <x:f>IF(MOD(A515,4)=0,1,0)</x:f>
        <x:v>1</x:v>
      </x:c>
      <x:c r="E515" s="8" t="n">
        <x:f>IF(AND(F514&lt;=9,AS514&gt;=AR514),1,0)</x:f>
        <x:v>0</x:v>
      </x:c>
      <x:c r="F515" s="8" t="n">
        <x:f>MIN(10,F514+E515)</x:f>
        <x:v>2</x:v>
      </x:c>
      <x:c r="G515" s="8" t="n">
        <x:f>MIN(F515,9)+1</x:f>
        <x:v>3</x:v>
      </x:c>
      <x:c r="H515" s="8" t="n">
        <x:f>IF(F515&lt;=9,1,0)</x:f>
        <x:v>1</x:v>
      </x:c>
      <x:c r="I515" s="9" t="n">
        <x:f>MIN(10,F514+IF(AR514&gt;0,MIN(1,AS514/AR514),1))</x:f>
        <x:v>2.065261676452095</x:v>
      </x:c>
      <x:c r="J515" s="32" t="n">
        <x:f>INDEX(v01_FoodCap,G515)*Arch_FoodCap*EXP(v01_CapsByProject*SUMPRODUCT((Cap_Point&lt;=I515)*(Cap_Kind="Food")*Cap_Ln))</x:f>
        <x:v>60</x:v>
      </x:c>
      <x:c r="K515" s="32" t="n">
        <x:f>J515*MIN(1,v01_LeanBase*EXP(v01_CapsByProject*SUMPRODUCT((Cap_Point&lt;=I515)*(Cap_Kind="Lean")*Cap_Ln)))</x:f>
        <x:v>60</x:v>
      </x:c>
      <x:c r="L515" s="10" t="n">
        <x:f>INDEX(v01_HousingCap,G515)*EXP(v01_CapsByProject*SUMPRODUCT((Cap_Point&lt;=I515)*(Cap_Kind="Housing")*Cap_Ln))</x:f>
        <x:v>100</x:v>
      </x:c>
      <x:c r="M515" s="10" t="n">
        <x:f>INDEX(v01_GroupCap,G515)*v01_CohesionFactor*EXP(v01_CapsByProject*SUMPRODUCT((Cap_Point&lt;=I515)*(Cap_Kind="Group")*Cap_Ln))</x:f>
        <x:v>500</x:v>
      </x:c>
      <x:c r="N515" s="32" t="n">
        <x:f>MIN(J515,L515,M515)</x:f>
        <x:v>60</x:v>
      </x:c>
      <x:c r="O515" s="10" t="n">
        <x:f>AE514*N515</x:f>
        <x:v>180</x:v>
      </x:c>
      <x:c r="P515" s="9" t="n">
        <x:f>MIN(1,(AB514/(AE514*IF(v01_GroupInCrowding=1,N515,MIN(J515,L515))))^v01_CrowdingExp)</x:f>
        <x:v>0.016149623401202493</x:v>
      </x:c>
      <x:c r="Q515" s="9" t="n">
        <x:f>IF(D515=1,INDEX(v01_WinterMult,G515),1)</x:f>
        <x:v>1.3</x:v>
      </x:c>
      <x:c r="R515" s="9" t="n">
        <x:f>H515*Z514*v01_WomenShare*v01_BaseFertility*INDEX(v01_FertMult,G515)*Arch_Fertility*(1-P515)</x:f>
        <x:v>1.5164278507920426</x:v>
      </x:c>
      <x:c r="S515" s="9" t="n">
        <x:f>H515*Y514*INDEX(v01_MortChild,G515)/4*Q515</x:f>
        <x:v>0.46760859306378016</x:v>
      </x:c>
      <x:c r="T515" s="9" t="n">
        <x:f>H515*Z514*INDEX(v01_MortAdult,G515)*Arch_AdultMort/4*Q515</x:f>
        <x:v>0.1484233671146666</x:v>
      </x:c>
      <x:c r="U515" s="9" t="n">
        <x:f>H515*AA514*INDEX(v01_MortElder,G515)/4*Q515</x:f>
        <x:v>0.2577805330773783</x:v>
      </x:c>
      <x:c r="V515" s="9" t="n">
        <x:f>H515*MAX(0,AB514-O515)*v01_OvercapLoss</x:f>
        <x:v>0</x:v>
      </x:c>
      <x:c r="W515" s="9" t="n">
        <x:f>H515*Y514/(v01_ChildYears*4)</x:f>
        <x:v>0.7340794239619782</x:v>
      </x:c>
      <x:c r="X515" s="9" t="n">
        <x:f>H515*Z514/(v01_AdultYears*4)</x:f>
        <x:v>0.306913496928591</x:v>
      </x:c>
      <x:c r="Y515" s="32" t="n">
        <x:f>Y514+R515-S515-W515-Y514*V515/AB514</x:f>
        <x:v>41.423187575637066</x:v>
      </x:c>
      <x:c r="Z515" s="32" t="n">
        <x:f>Z514+W515-X515-T515-Z514*V515/AB514</x:f>
        <x:v>38.336016179064</x:v>
      </x:c>
      <x:c r="AA515" s="32" t="n">
        <x:f>AA514+X515-U515-AA514*V515/AB514</x:f>
        <x:v>11.380145406812895</x:v>
      </x:c>
      <x:c r="AB515" s="10" t="n">
        <x:f>Y515+Z515+AA515</x:f>
        <x:v>91.13934916151398</x:v>
      </x:c>
      <x:c r="AC515" s="8" t="n">
        <x:f>IF(AND(v01_WinterTrigger=1,D515=1,AB514/AE514&gt;=K515),1,0)</x:f>
        <x:v>0</x:v>
      </x:c>
      <x:c r="AD515" s="8" t="n">
        <x:f>H515*IF(AND(OR(AB514/AE514&gt;=v01_FissionTrigger*N515,AC515=1),AB514/AE514*v01_DaughterShare&gt;=v01_MinDaughter),MAX(1,ROUND(AE514*v01_FissionRate,0)),0)</x:f>
        <x:v>0</x:v>
      </x:c>
      <x:c r="AE515" s="8" t="n">
        <x:f>IF(H515=1,MAX(1,MIN(INDEX(v01_Smax,G515),AE514+AD515)),AE514)</x:f>
        <x:v>3</x:v>
      </x:c>
      <x:c r="AF515" s="8" t="n">
        <x:f>MAX(0,AE515-AE514)</x:f>
        <x:v>0</x:v>
      </x:c>
      <x:c r="AG515" s="9" t="str">
        <x:f>IF(AF515&gt;0,B515,"")</x:f>
      </x:c>
      <x:c r="AH515" s="9" t="n">
        <x:f>IF(F515&gt;=1,1,(1+v01_LowTiesShare*(AE515-1))/AE515)</x:f>
        <x:v>1</x:v>
      </x:c>
      <x:c r="AI515" s="32" t="n">
        <x:f>(Z515+v01_ElderCommons*INDEX(LM_Elder,G515)*AA515)*AH515</x:f>
        <x:v>72.47645239950269</x:v>
      </x:c>
      <x:c r="AJ515" s="32" t="n">
        <x:f>H515*v01_CommonsCoef*AI515^v01_CommonsExp*INDEX(LM_Commons,G515)</x:f>
        <x:v>25.16003979378875</x:v>
      </x:c>
      <x:c r="AK515" s="32" t="n">
        <x:f>H515*v01_RoleScale*Arch_Roles*(AE515*(INDEX(v01_ElderRolePerSett,G515)*v01_OutElder*INDEX(LM_Elder,G515)+INDEX(v01_ShamanPerSett,G515)*v01_OutShaman)+Z515*(INDEX(v01_PriestShare,G515)*v01_OutPriest+INDEX(v01_ScribeShare,G515)*v01_OutScribe*INDEX(LM_Scribe,G515)+INDEX(v01_ScholarShare,G515)*v01_OutScholar*INDEX(LM_Scholar,G515)+INDEX(v01_ResearcherShare,G515)*v01_OutResearcher*INDEX(LM_Researcher,G515)))</x:f>
        <x:v>9</x:v>
      </x:c>
      <x:c r="AL515" s="32" t="n">
        <x:f>H515*v01_RoleScale*Arch_Roles*AE515*INDEX(v01_MonasteryPerSett,G515)*v01_OutMonastery*INDEX(LM_Monastery,G515)</x:f>
        <x:v>0</x:v>
      </x:c>
      <x:c r="AM515" s="32" t="n">
        <x:f>(AJ515+AK515+AL515)/4*INDEX(LM_All,G515)*INDEX(v01_Boon,G515)*Arch_Insight</x:f>
        <x:v>8.972347952087327</x:v>
      </x:c>
      <x:c r="AN515" s="32" t="n">
        <x:f>H515*(v01_KHPerAdult*Z515+v01_KHOfCommons*AJ515/4*INDEX(LM_All,G515))*v01_KHUsable*Arch_KH</x:f>
        <x:v>1.34176056626724</x:v>
      </x:c>
      <x:c r="AO515" s="32" t="n">
        <x:f>MIN(AP514+AN515,AM515*v01_KHMaxRatio)</x:f>
        <x:v>1.34176056626724</x:v>
      </x:c>
      <x:c r="AP515" s="32" t="n">
        <x:f>AP514+AN515-AO515</x:f>
        <x:v>0</x:v>
      </x:c>
      <x:c r="AQ515" s="32" t="n">
        <x:f>AM515+AO515</x:f>
        <x:v>10.314108518354567</x:v>
      </x:c>
      <x:c r="AR515" s="10" t="n">
        <x:f>IF(H515=1,INDEX(v01_Req,G515),0)</x:f>
        <x:v>4006.9599999999996</x:v>
      </x:c>
      <x:c r="AS515" s="32" t="n">
        <x:f>IF(H515=1,IF(E515=1,AS514-AR514,AS514)+AQ515,0)</x:f>
        <x:v>271.81503559483986</x:v>
      </x:c>
      <x:c r="AT515" s="11" t="n">
        <x:f>IF(AR515&gt;0,MIN(1,AS515/AR515),1)</x:f>
        <x:v>0.06783572473766643</x:v>
      </x:c>
      <x:c r="AU515" s="10" t="n">
        <x:f>AB515/INDEX(v01_RepScale,G515)</x:f>
        <x:v>45.56967458075699</x:v>
      </x:c>
      <x:c r="AV515" s="32" t="n">
        <x:f>AM515*60/v01_SeasonSeconds</x:f>
        <x:v>35.88939180834931</x:v>
      </x:c>
    </x:row>
    <x:row r="516">
      <x:c r="A516" s="8" t="n">
        <x:f>A515+1</x:f>
        <x:v>513</x:v>
      </x:c>
      <x:c r="B516" s="9" t="n">
        <x:f>A516*v01_SeasonSeconds/60</x:f>
        <x:v>128.25</x:v>
      </x:c>
      <x:c r="C516" s="9" t="n">
        <x:f>A516/4</x:f>
        <x:v>128.25</x:v>
      </x:c>
      <x:c r="D516" s="8" t="n">
        <x:f>IF(MOD(A516,4)=0,1,0)</x:f>
        <x:v>0</x:v>
      </x:c>
      <x:c r="E516" s="8" t="n">
        <x:f>IF(AND(F515&lt;=9,AS515&gt;=AR515),1,0)</x:f>
        <x:v>0</x:v>
      </x:c>
      <x:c r="F516" s="8" t="n">
        <x:f>MIN(10,F515+E516)</x:f>
        <x:v>2</x:v>
      </x:c>
      <x:c r="G516" s="8" t="n">
        <x:f>MIN(F516,9)+1</x:f>
        <x:v>3</x:v>
      </x:c>
      <x:c r="H516" s="8" t="n">
        <x:f>IF(F516&lt;=9,1,0)</x:f>
        <x:v>1</x:v>
      </x:c>
      <x:c r="I516" s="9" t="n">
        <x:f>MIN(10,F515+IF(AR515&gt;0,MIN(1,AS515/AR515),1))</x:f>
        <x:v>2.0678357247376664</x:v>
      </x:c>
      <x:c r="J516" s="32" t="n">
        <x:f>INDEX(v01_FoodCap,G516)*Arch_FoodCap*EXP(v01_CapsByProject*SUMPRODUCT((Cap_Point&lt;=I516)*(Cap_Kind="Food")*Cap_Ln))</x:f>
        <x:v>60</x:v>
      </x:c>
      <x:c r="K516" s="32" t="n">
        <x:f>J516*MIN(1,v01_LeanBase*EXP(v01_CapsByProject*SUMPRODUCT((Cap_Point&lt;=I516)*(Cap_Kind="Lean")*Cap_Ln)))</x:f>
        <x:v>60</x:v>
      </x:c>
      <x:c r="L516" s="10" t="n">
        <x:f>INDEX(v01_HousingCap,G516)*EXP(v01_CapsByProject*SUMPRODUCT((Cap_Point&lt;=I516)*(Cap_Kind="Housing")*Cap_Ln))</x:f>
        <x:v>100</x:v>
      </x:c>
      <x:c r="M516" s="10" t="n">
        <x:f>INDEX(v01_GroupCap,G516)*v01_CohesionFactor*EXP(v01_CapsByProject*SUMPRODUCT((Cap_Point&lt;=I516)*(Cap_Kind="Group")*Cap_Ln))</x:f>
        <x:v>500</x:v>
      </x:c>
      <x:c r="N516" s="32" t="n">
        <x:f>MIN(J516,L516,M516)</x:f>
        <x:v>60</x:v>
      </x:c>
      <x:c r="O516" s="10" t="n">
        <x:f>AE515*N516</x:f>
        <x:v>180</x:v>
      </x:c>
      <x:c r="P516" s="9" t="n">
        <x:f>MIN(1,(AB515/(AE515*IF(v01_GroupInCrowding=1,N516,MIN(J516,L516))))^v01_CrowdingExp)</x:f>
        <x:v>0.016850023340534967</x:v>
      </x:c>
      <x:c r="Q516" s="9" t="n">
        <x:f>IF(D516=1,INDEX(v01_WinterMult,G516),1)</x:f>
        <x:v>1</x:v>
      </x:c>
      <x:c r="R516" s="9" t="n">
        <x:f>H516*Z515*v01_WomenShare*v01_BaseFertility*INDEX(v01_FertMult,G516)*Arch_Fertility*(1-P516)</x:f>
        <x:v>1.5264471631723777</x:v>
      </x:c>
      <x:c r="S516" s="9" t="n">
        <x:f>H516*Y515*INDEX(v01_MortChild,G516)/4*Q516</x:f>
        <x:v>0.36245289128682434</x:v>
      </x:c>
      <x:c r="T516" s="9" t="n">
        <x:f>H516*Z515*INDEX(v01_MortAdult,G516)*Arch_AdultMort/4*Q516</x:f>
        <x:v>0.11500804853719201</x:v>
      </x:c>
      <x:c r="U516" s="9" t="n">
        <x:f>H516*AA515*INDEX(v01_MortElder,G516)/4*Q516</x:f>
        <x:v>0.19915254461922569</x:v>
      </x:c>
      <x:c r="V516" s="9" t="n">
        <x:f>H516*MAX(0,AB515-O516)*v01_OvercapLoss</x:f>
        <x:v>0</x:v>
      </x:c>
      <x:c r="W516" s="9" t="n">
        <x:f>H516*Y515/(v01_ChildYears*4)</x:f>
        <x:v>0.7396997781363762</x:v>
      </x:c>
      <x:c r="X516" s="9" t="n">
        <x:f>H516*Z515/(v01_AdultYears*4)</x:f>
        <x:v>0.30916142079890324</x:v>
      </x:c>
      <x:c r="Y516" s="32" t="n">
        <x:f>Y515+R516-S516-W516-Y515*V516/AB515</x:f>
        <x:v>41.847482069386245</x:v>
      </x:c>
      <x:c r="Z516" s="32" t="n">
        <x:f>Z515+W516-X516-T516-Z515*V516/AB515</x:f>
        <x:v>38.65154648786429</x:v>
      </x:c>
      <x:c r="AA516" s="32" t="n">
        <x:f>AA515+X516-U516-AA515*V516/AB515</x:f>
        <x:v>11.490154282992572</x:v>
      </x:c>
      <x:c r="AB516" s="10" t="n">
        <x:f>Y516+Z516+AA516</x:f>
        <x:v>91.98918284024312</x:v>
      </x:c>
      <x:c r="AC516" s="8" t="n">
        <x:f>IF(AND(v01_WinterTrigger=1,D516=1,AB515/AE515&gt;=K516),1,0)</x:f>
        <x:v>0</x:v>
      </x:c>
      <x:c r="AD516" s="8" t="n">
        <x:f>H516*IF(AND(OR(AB515/AE515&gt;=v01_FissionTrigger*N516,AC516=1),AB515/AE515*v01_DaughterShare&gt;=v01_MinDaughter),MAX(1,ROUND(AE515*v01_FissionRate,0)),0)</x:f>
        <x:v>0</x:v>
      </x:c>
      <x:c r="AE516" s="8" t="n">
        <x:f>IF(H516=1,MAX(1,MIN(INDEX(v01_Smax,G516),AE515+AD516)),AE515)</x:f>
        <x:v>3</x:v>
      </x:c>
      <x:c r="AF516" s="8" t="n">
        <x:f>MAX(0,AE516-AE515)</x:f>
        <x:v>0</x:v>
      </x:c>
      <x:c r="AG516" s="9" t="str">
        <x:f>IF(AF516&gt;0,B516,"")</x:f>
      </x:c>
      <x:c r="AH516" s="9" t="n">
        <x:f>IF(F516&gt;=1,1,(1+v01_LowTiesShare*(AE516-1))/AE516)</x:f>
        <x:v>1</x:v>
      </x:c>
      <x:c r="AI516" s="32" t="n">
        <x:f>(Z516+v01_ElderCommons*INDEX(LM_Elder,G516)*AA516)*AH516</x:f>
        <x:v>73.12200933684201</x:v>
      </x:c>
      <x:c r="AJ516" s="32" t="n">
        <x:f>H516*v01_CommonsCoef*AI516^v01_CommonsExp*INDEX(LM_Commons,G516)</x:f>
        <x:v>25.350401084419016</x:v>
      </x:c>
      <x:c r="AK516" s="32" t="n">
        <x:f>H516*v01_RoleScale*Arch_Roles*(AE516*(INDEX(v01_ElderRolePerSett,G516)*v01_OutElder*INDEX(LM_Elder,G516)+INDEX(v01_ShamanPerSett,G516)*v01_OutShaman)+Z516*(INDEX(v01_PriestShare,G516)*v01_OutPriest+INDEX(v01_ScribeShare,G516)*v01_OutScribe*INDEX(LM_Scribe,G516)+INDEX(v01_ScholarShare,G516)*v01_OutScholar*INDEX(LM_Scholar,G516)+INDEX(v01_ResearcherShare,G516)*v01_OutResearcher*INDEX(LM_Researcher,G516)))</x:f>
        <x:v>9</x:v>
      </x:c>
      <x:c r="AL516" s="32" t="n">
        <x:f>H516*v01_RoleScale*Arch_Roles*AE516*INDEX(v01_MonasteryPerSett,G516)*v01_OutMonastery*INDEX(LM_Monastery,G516)</x:f>
        <x:v>0</x:v>
      </x:c>
      <x:c r="AM516" s="32" t="n">
        <x:f>(AJ516+AK516+AL516)/4*INDEX(LM_All,G516)*INDEX(v01_Boon,G516)*Arch_Insight</x:f>
        <x:v>9.022347534829432</x:v>
      </x:c>
      <x:c r="AN516" s="32" t="n">
        <x:f>H516*(v01_KHPerAdult*Z516+v01_KHOfCommons*AJ516/4*INDEX(LM_All,G516))*v01_KHUsable*Arch_KH</x:f>
        <x:v>1.35280412707525</x:v>
      </x:c>
      <x:c r="AO516" s="32" t="n">
        <x:f>MIN(AP515+AN516,AM516*v01_KHMaxRatio)</x:f>
        <x:v>1.35280412707525</x:v>
      </x:c>
      <x:c r="AP516" s="32" t="n">
        <x:f>AP515+AN516-AO516</x:f>
        <x:v>0</x:v>
      </x:c>
      <x:c r="AQ516" s="32" t="n">
        <x:f>AM516+AO516</x:f>
        <x:v>10.375151661904683</x:v>
      </x:c>
      <x:c r="AR516" s="10" t="n">
        <x:f>IF(H516=1,INDEX(v01_Req,G516),0)</x:f>
        <x:v>4006.9599999999996</x:v>
      </x:c>
      <x:c r="AS516" s="32" t="n">
        <x:f>IF(H516=1,IF(E516=1,AS515-AR515,AS515)+AQ516,0)</x:f>
        <x:v>282.19018725674454</x:v>
      </x:c>
      <x:c r="AT516" s="11" t="n">
        <x:f>IF(AR516&gt;0,MIN(1,AS516/AR516),1)</x:f>
        <x:v>0.07042500730148156</x:v>
      </x:c>
      <x:c r="AU516" s="10" t="n">
        <x:f>AB516/INDEX(v01_RepScale,G516)</x:f>
        <x:v>45.99459142012156</x:v>
      </x:c>
      <x:c r="AV516" s="32" t="n">
        <x:f>AM516*60/v01_SeasonSeconds</x:f>
        <x:v>36.08939013931773</x:v>
      </x:c>
    </x:row>
    <x:row r="517">
      <x:c r="A517" s="8" t="n">
        <x:f>A516+1</x:f>
        <x:v>514</x:v>
      </x:c>
      <x:c r="B517" s="9" t="n">
        <x:f>A517*v01_SeasonSeconds/60</x:f>
        <x:v>128.5</x:v>
      </x:c>
      <x:c r="C517" s="9" t="n">
        <x:f>A517/4</x:f>
        <x:v>128.5</x:v>
      </x:c>
      <x:c r="D517" s="8" t="n">
        <x:f>IF(MOD(A517,4)=0,1,0)</x:f>
        <x:v>0</x:v>
      </x:c>
      <x:c r="E517" s="8" t="n">
        <x:f>IF(AND(F516&lt;=9,AS516&gt;=AR516),1,0)</x:f>
        <x:v>0</x:v>
      </x:c>
      <x:c r="F517" s="8" t="n">
        <x:f>MIN(10,F516+E517)</x:f>
        <x:v>2</x:v>
      </x:c>
      <x:c r="G517" s="8" t="n">
        <x:f>MIN(F517,9)+1</x:f>
        <x:v>3</x:v>
      </x:c>
      <x:c r="H517" s="8" t="n">
        <x:f>IF(F517&lt;=9,1,0)</x:f>
        <x:v>1</x:v>
      </x:c>
      <x:c r="I517" s="9" t="n">
        <x:f>MIN(10,F516+IF(AR516&gt;0,MIN(1,AS516/AR516),1))</x:f>
        <x:v>2.0704250073014814</x:v>
      </x:c>
      <x:c r="J517" s="32" t="n">
        <x:f>INDEX(v01_FoodCap,G517)*Arch_FoodCap*EXP(v01_CapsByProject*SUMPRODUCT((Cap_Point&lt;=I517)*(Cap_Kind="Food")*Cap_Ln))</x:f>
        <x:v>60</x:v>
      </x:c>
      <x:c r="K517" s="32" t="n">
        <x:f>J517*MIN(1,v01_LeanBase*EXP(v01_CapsByProject*SUMPRODUCT((Cap_Point&lt;=I517)*(Cap_Kind="Lean")*Cap_Ln)))</x:f>
        <x:v>60</x:v>
      </x:c>
      <x:c r="L517" s="10" t="n">
        <x:f>INDEX(v01_HousingCap,G517)*EXP(v01_CapsByProject*SUMPRODUCT((Cap_Point&lt;=I517)*(Cap_Kind="Housing")*Cap_Ln))</x:f>
        <x:v>100</x:v>
      </x:c>
      <x:c r="M517" s="10" t="n">
        <x:f>INDEX(v01_GroupCap,G517)*v01_CohesionFactor*EXP(v01_CapsByProject*SUMPRODUCT((Cap_Point&lt;=I517)*(Cap_Kind="Group")*Cap_Ln))</x:f>
        <x:v>500</x:v>
      </x:c>
      <x:c r="N517" s="32" t="n">
        <x:f>MIN(J517,L517,M517)</x:f>
        <x:v>60</x:v>
      </x:c>
      <x:c r="O517" s="10" t="n">
        <x:f>AE516*N517</x:f>
        <x:v>180</x:v>
      </x:c>
      <x:c r="P517" s="9" t="n">
        <x:f>MIN(1,(AB516/(AE516*IF(v01_GroupInCrowding=1,N517,MIN(J517,L517))))^v01_CrowdingExp)</x:f>
        <x:v>0.01781498803651476</x:v>
      </x:c>
      <x:c r="Q517" s="9" t="n">
        <x:f>IF(D517=1,INDEX(v01_WinterMult,G517),1)</x:f>
        <x:v>1</x:v>
      </x:c>
      <x:c r="R517" s="9" t="n">
        <x:f>H517*Z516*v01_WomenShare*v01_BaseFertility*INDEX(v01_FertMult,G517)*Arch_Fertility*(1-P517)</x:f>
        <x:v>1.537500270808403</x:v>
      </x:c>
      <x:c r="S517" s="9" t="n">
        <x:f>H517*Y516*INDEX(v01_MortChild,G517)/4*Q517</x:f>
        <x:v>0.3661654681071297</x:v>
      </x:c>
      <x:c r="T517" s="9" t="n">
        <x:f>H517*Z516*INDEX(v01_MortAdult,G517)*Arch_AdultMort/4*Q517</x:f>
        <x:v>0.11595463946359287</x:v>
      </x:c>
      <x:c r="U517" s="9" t="n">
        <x:f>H517*AA516*INDEX(v01_MortElder,G517)/4*Q517</x:f>
        <x:v>0.20107769995237004</x:v>
      </x:c>
      <x:c r="V517" s="9" t="n">
        <x:f>H517*MAX(0,AB516-O517)*v01_OvercapLoss</x:f>
        <x:v>0</x:v>
      </x:c>
      <x:c r="W517" s="9" t="n">
        <x:f>H517*Y516/(v01_ChildYears*4)</x:f>
        <x:v>0.7472764655247544</x:v>
      </x:c>
      <x:c r="X517" s="9" t="n">
        <x:f>H517*Z516/(v01_AdultYears*4)</x:f>
        <x:v>0.3117060200634217</x:v>
      </x:c>
      <x:c r="Y517" s="32" t="n">
        <x:f>Y516+R517-S517-W517-Y516*V517/AB516</x:f>
        <x:v>42.271540406562764</x:v>
      </x:c>
      <x:c r="Z517" s="32" t="n">
        <x:f>Z516+W517-X517-T517-Z516*V517/AB516</x:f>
        <x:v>38.97116229386203</x:v>
      </x:c>
      <x:c r="AA517" s="32" t="n">
        <x:f>AA516+X517-U517-AA516*V517/AB516</x:f>
        <x:v>11.600782603103625</x:v>
      </x:c>
      <x:c r="AB517" s="10" t="n">
        <x:f>Y517+Z517+AA517</x:f>
        <x:v>92.84348530352841</x:v>
      </x:c>
      <x:c r="AC517" s="8" t="n">
        <x:f>IF(AND(v01_WinterTrigger=1,D517=1,AB516/AE516&gt;=K517),1,0)</x:f>
        <x:v>0</x:v>
      </x:c>
      <x:c r="AD517" s="8" t="n">
        <x:f>H517*IF(AND(OR(AB516/AE516&gt;=v01_FissionTrigger*N517,AC517=1),AB516/AE516*v01_DaughterShare&gt;=v01_MinDaughter),MAX(1,ROUND(AE516*v01_FissionRate,0)),0)</x:f>
        <x:v>0</x:v>
      </x:c>
      <x:c r="AE517" s="8" t="n">
        <x:f>IF(H517=1,MAX(1,MIN(INDEX(v01_Smax,G517),AE516+AD517)),AE516)</x:f>
        <x:v>3</x:v>
      </x:c>
      <x:c r="AF517" s="8" t="n">
        <x:f>MAX(0,AE517-AE516)</x:f>
        <x:v>0</x:v>
      </x:c>
      <x:c r="AG517" s="9" t="str">
        <x:f>IF(AF517&gt;0,B517,"")</x:f>
      </x:c>
      <x:c r="AH517" s="9" t="n">
        <x:f>IF(F517&gt;=1,1,(1+v01_LowTiesShare*(AE517-1))/AE517)</x:f>
        <x:v>1</x:v>
      </x:c>
      <x:c r="AI517" s="32" t="n">
        <x:f>(Z517+v01_ElderCommons*INDEX(LM_Elder,G517)*AA517)*AH517</x:f>
        <x:v>73.7735101031729</x:v>
      </x:c>
      <x:c r="AJ517" s="32" t="n">
        <x:f>H517*v01_CommonsCoef*AI517^v01_CommonsExp*INDEX(LM_Commons,G517)</x:f>
        <x:v>25.54225967718619</x:v>
      </x:c>
      <x:c r="AK517" s="32" t="n">
        <x:f>H517*v01_RoleScale*Arch_Roles*(AE517*(INDEX(v01_ElderRolePerSett,G517)*v01_OutElder*INDEX(LM_Elder,G517)+INDEX(v01_ShamanPerSett,G517)*v01_OutShaman)+Z517*(INDEX(v01_PriestShare,G517)*v01_OutPriest+INDEX(v01_ScribeShare,G517)*v01_OutScribe*INDEX(LM_Scribe,G517)+INDEX(v01_ScholarShare,G517)*v01_OutScholar*INDEX(LM_Scholar,G517)+INDEX(v01_ResearcherShare,G517)*v01_OutResearcher*INDEX(LM_Researcher,G517)))</x:f>
        <x:v>9</x:v>
      </x:c>
      <x:c r="AL517" s="32" t="n">
        <x:f>H517*v01_RoleScale*Arch_Roles*AE517*INDEX(v01_MonasteryPerSett,G517)*v01_OutMonastery*INDEX(LM_Monastery,G517)</x:f>
        <x:v>0</x:v>
      </x:c>
      <x:c r="AM517" s="32" t="n">
        <x:f>(AJ517+AK517+AL517)/4*INDEX(LM_All,G517)*INDEX(v01_Boon,G517)*Arch_Insight</x:f>
        <x:v>9.072740393335936</x:v>
      </x:c>
      <x:c r="AN517" s="32" t="n">
        <x:f>H517*(v01_KHPerAdult*Z517+v01_KHOfCommons*AJ517/4*INDEX(LM_All,G517))*v01_KHUsable*Arch_KH</x:f>
        <x:v>1.363990680285171</x:v>
      </x:c>
      <x:c r="AO517" s="32" t="n">
        <x:f>MIN(AP516+AN517,AM517*v01_KHMaxRatio)</x:f>
        <x:v>1.363990680285171</x:v>
      </x:c>
      <x:c r="AP517" s="32" t="n">
        <x:f>AP516+AN517-AO517</x:f>
        <x:v>0</x:v>
      </x:c>
      <x:c r="AQ517" s="32" t="n">
        <x:f>AM517+AO517</x:f>
        <x:v>10.436731073621107</x:v>
      </x:c>
      <x:c r="AR517" s="10" t="n">
        <x:f>IF(H517=1,INDEX(v01_Req,G517),0)</x:f>
        <x:v>4006.9599999999996</x:v>
      </x:c>
      <x:c r="AS517" s="32" t="n">
        <x:f>IF(H517=1,IF(E517=1,AS516-AR516,AS516)+AQ517,0)</x:f>
        <x:v>292.62691833036564</x:v>
      </x:c>
      <x:c r="AT517" s="11" t="n">
        <x:f>IF(AR517&gt;0,MIN(1,AS517/AR517),1)</x:f>
        <x:v>0.0730296579777102</x:v>
      </x:c>
      <x:c r="AU517" s="10" t="n">
        <x:f>AB517/INDEX(v01_RepScale,G517)</x:f>
        <x:v>46.421742651764205</x:v>
      </x:c>
      <x:c r="AV517" s="32" t="n">
        <x:f>AM517*60/v01_SeasonSeconds</x:f>
        <x:v>36.29096157334374</x:v>
      </x:c>
    </x:row>
    <x:row r="518">
      <x:c r="A518" s="8" t="n">
        <x:f>A517+1</x:f>
        <x:v>515</x:v>
      </x:c>
      <x:c r="B518" s="9" t="n">
        <x:f>A518*v01_SeasonSeconds/60</x:f>
        <x:v>128.75</x:v>
      </x:c>
      <x:c r="C518" s="9" t="n">
        <x:f>A518/4</x:f>
        <x:v>128.75</x:v>
      </x:c>
      <x:c r="D518" s="8" t="n">
        <x:f>IF(MOD(A518,4)=0,1,0)</x:f>
        <x:v>0</x:v>
      </x:c>
      <x:c r="E518" s="8" t="n">
        <x:f>IF(AND(F517&lt;=9,AS517&gt;=AR517),1,0)</x:f>
        <x:v>0</x:v>
      </x:c>
      <x:c r="F518" s="8" t="n">
        <x:f>MIN(10,F517+E518)</x:f>
        <x:v>2</x:v>
      </x:c>
      <x:c r="G518" s="8" t="n">
        <x:f>MIN(F518,9)+1</x:f>
        <x:v>3</x:v>
      </x:c>
      <x:c r="H518" s="8" t="n">
        <x:f>IF(F518&lt;=9,1,0)</x:f>
        <x:v>1</x:v>
      </x:c>
      <x:c r="I518" s="9" t="n">
        <x:f>MIN(10,F517+IF(AR517&gt;0,MIN(1,AS517/AR517),1))</x:f>
        <x:v>2.07302965797771</x:v>
      </x:c>
      <x:c r="J518" s="32" t="n">
        <x:f>INDEX(v01_FoodCap,G518)*Arch_FoodCap*EXP(v01_CapsByProject*SUMPRODUCT((Cap_Point&lt;=I518)*(Cap_Kind="Food")*Cap_Ln))</x:f>
        <x:v>60</x:v>
      </x:c>
      <x:c r="K518" s="32" t="n">
        <x:f>J518*MIN(1,v01_LeanBase*EXP(v01_CapsByProject*SUMPRODUCT((Cap_Point&lt;=I518)*(Cap_Kind="Lean")*Cap_Ln)))</x:f>
        <x:v>60</x:v>
      </x:c>
      <x:c r="L518" s="10" t="n">
        <x:f>INDEX(v01_HousingCap,G518)*EXP(v01_CapsByProject*SUMPRODUCT((Cap_Point&lt;=I518)*(Cap_Kind="Housing")*Cap_Ln))</x:f>
        <x:v>100</x:v>
      </x:c>
      <x:c r="M518" s="10" t="n">
        <x:f>INDEX(v01_GroupCap,G518)*v01_CohesionFactor*EXP(v01_CapsByProject*SUMPRODUCT((Cap_Point&lt;=I518)*(Cap_Kind="Group")*Cap_Ln))</x:f>
        <x:v>500</x:v>
      </x:c>
      <x:c r="N518" s="32" t="n">
        <x:f>MIN(J518,L518,M518)</x:f>
        <x:v>60</x:v>
      </x:c>
      <x:c r="O518" s="10" t="n">
        <x:f>AE517*N518</x:f>
        <x:v>180</x:v>
      </x:c>
      <x:c r="P518" s="9" t="n">
        <x:f>MIN(1,(AB517/(AE517*IF(v01_GroupInCrowding=1,N518,MIN(J518,L518))))^v01_CrowdingExp)</x:f>
        <x:v>0.01883100858051192</x:v>
      </x:c>
      <x:c r="Q518" s="9" t="n">
        <x:f>IF(D518=1,INDEX(v01_WinterMult,G518),1)</x:f>
        <x:v>1</x:v>
      </x:c>
      <x:c r="R518" s="9" t="n">
        <x:f>H518*Z517*v01_WomenShare*v01_BaseFertility*INDEX(v01_FertMult,G518)*Arch_Fertility*(1-P518)</x:f>
        <x:v>1.5486104880937086</x:v>
      </x:c>
      <x:c r="S518" s="9" t="n">
        <x:f>H518*Y517*INDEX(v01_MortChild,G518)/4*Q518</x:f>
        <x:v>0.3698759785574242</x:v>
      </x:c>
      <x:c r="T518" s="9" t="n">
        <x:f>H518*Z517*INDEX(v01_MortAdult,G518)*Arch_AdultMort/4*Q518</x:f>
        <x:v>0.11691348688158609</x:v>
      </x:c>
      <x:c r="U518" s="9" t="n">
        <x:f>H518*AA517*INDEX(v01_MortElder,G518)/4*Q518</x:f>
        <x:v>0.20301369555431345</x:v>
      </x:c>
      <x:c r="V518" s="9" t="n">
        <x:f>H518*MAX(0,AB517-O518)*v01_OvercapLoss</x:f>
        <x:v>0</x:v>
      </x:c>
      <x:c r="W518" s="9" t="n">
        <x:f>H518*Y517/(v01_ChildYears*4)</x:f>
        <x:v>0.7548489358314779</x:v>
      </x:c>
      <x:c r="X518" s="9" t="n">
        <x:f>H518*Z517/(v01_AdultYears*4)</x:f>
        <x:v>0.31428356688598413</x:v>
      </x:c>
      <x:c r="Y518" s="32" t="n">
        <x:f>Y517+R518-S518-W518-Y517*V518/AB517</x:f>
        <x:v>42.69542598026757</x:v>
      </x:c>
      <x:c r="Z518" s="32" t="n">
        <x:f>Z517+W518-X518-T518-Z517*V518/AB517</x:f>
        <x:v>39.294814175925936</x:v>
      </x:c>
      <x:c r="AA518" s="32" t="n">
        <x:f>AA517+X518-U518-AA517*V518/AB517</x:f>
        <x:v>11.712052474435296</x:v>
      </x:c>
      <x:c r="AB518" s="10" t="n">
        <x:f>Y518+Z518+AA518</x:f>
        <x:v>93.7022926306288</x:v>
      </x:c>
      <x:c r="AC518" s="8" t="n">
        <x:f>IF(AND(v01_WinterTrigger=1,D518=1,AB517/AE517&gt;=K518),1,0)</x:f>
        <x:v>0</x:v>
      </x:c>
      <x:c r="AD518" s="8" t="n">
        <x:f>H518*IF(AND(OR(AB517/AE517&gt;=v01_FissionTrigger*N518,AC518=1),AB517/AE517*v01_DaughterShare&gt;=v01_MinDaughter),MAX(1,ROUND(AE517*v01_FissionRate,0)),0)</x:f>
        <x:v>0</x:v>
      </x:c>
      <x:c r="AE518" s="8" t="n">
        <x:f>IF(H518=1,MAX(1,MIN(INDEX(v01_Smax,G518),AE517+AD518)),AE517)</x:f>
        <x:v>3</x:v>
      </x:c>
      <x:c r="AF518" s="8" t="n">
        <x:f>MAX(0,AE518-AE517)</x:f>
        <x:v>0</x:v>
      </x:c>
      <x:c r="AG518" s="9" t="str">
        <x:f>IF(AF518&gt;0,B518,"")</x:f>
      </x:c>
      <x:c r="AH518" s="9" t="n">
        <x:f>IF(F518&gt;=1,1,(1+v01_LowTiesShare*(AE518-1))/AE518)</x:f>
        <x:v>1</x:v>
      </x:c>
      <x:c r="AI518" s="32" t="n">
        <x:f>(Z518+v01_ElderCommons*INDEX(LM_Elder,G518)*AA518)*AH518</x:f>
        <x:v>74.43097159923182</x:v>
      </x:c>
      <x:c r="AJ518" s="32" t="n">
        <x:f>H518*v01_CommonsCoef*AI518^v01_CommonsExp*INDEX(LM_Commons,G518)</x:f>
        <x:v>25.735616156371826</x:v>
      </x:c>
      <x:c r="AK518" s="32" t="n">
        <x:f>H518*v01_RoleScale*Arch_Roles*(AE518*(INDEX(v01_ElderRolePerSett,G518)*v01_OutElder*INDEX(LM_Elder,G518)+INDEX(v01_ShamanPerSett,G518)*v01_OutShaman)+Z518*(INDEX(v01_PriestShare,G518)*v01_OutPriest+INDEX(v01_ScribeShare,G518)*v01_OutScribe*INDEX(LM_Scribe,G518)+INDEX(v01_ScholarShare,G518)*v01_OutScholar*INDEX(LM_Scholar,G518)+INDEX(v01_ResearcherShare,G518)*v01_OutResearcher*INDEX(LM_Researcher,G518)))</x:f>
        <x:v>9</x:v>
      </x:c>
      <x:c r="AL518" s="32" t="n">
        <x:f>H518*v01_RoleScale*Arch_Roles*AE518*INDEX(v01_MonasteryPerSett,G518)*v01_OutMonastery*INDEX(LM_Monastery,G518)</x:f>
        <x:v>0</x:v>
      </x:c>
      <x:c r="AM518" s="32" t="n">
        <x:f>(AJ518+AK518+AL518)/4*INDEX(LM_All,G518)*INDEX(v01_Boon,G518)*Arch_Insight</x:f>
        <x:v>9.123526681072036</x:v>
      </x:c>
      <x:c r="AN518" s="32" t="n">
        <x:f>H518*(v01_KHPerAdult*Z518+v01_KHOfCommons*AJ518/4*INDEX(LM_All,G518))*v01_KHUsable*Arch_KH</x:f>
        <x:v>1.3753184961574079</x:v>
      </x:c>
      <x:c r="AO518" s="32" t="n">
        <x:f>MIN(AP517+AN518,AM518*v01_KHMaxRatio)</x:f>
        <x:v>1.3753184961574079</x:v>
      </x:c>
      <x:c r="AP518" s="32" t="n">
        <x:f>AP517+AN518-AO518</x:f>
        <x:v>0</x:v>
      </x:c>
      <x:c r="AQ518" s="32" t="n">
        <x:f>AM518+AO518</x:f>
        <x:v>10.498845177229445</x:v>
      </x:c>
      <x:c r="AR518" s="10" t="n">
        <x:f>IF(H518=1,INDEX(v01_Req,G518),0)</x:f>
        <x:v>4006.9599999999996</x:v>
      </x:c>
      <x:c r="AS518" s="32" t="n">
        <x:f>IF(H518=1,IF(E518=1,AS517-AR517,AS517)+AQ518,0)</x:f>
        <x:v>303.1257635075951</x:v>
      </x:c>
      <x:c r="AT518" s="11" t="n">
        <x:f>IF(AR518&gt;0,MIN(1,AS518/AR518),1)</x:f>
        <x:v>0.07564981020713836</x:v>
      </x:c>
      <x:c r="AU518" s="10" t="n">
        <x:f>AB518/INDEX(v01_RepScale,G518)</x:f>
        <x:v>46.8511463153144</x:v>
      </x:c>
      <x:c r="AV518" s="32" t="n">
        <x:f>AM518*60/v01_SeasonSeconds</x:f>
        <x:v>36.494106724288145</x:v>
      </x:c>
    </x:row>
    <x:row r="519">
      <x:c r="A519" s="8" t="n">
        <x:f>A518+1</x:f>
        <x:v>516</x:v>
      </x:c>
      <x:c r="B519" s="9" t="n">
        <x:f>A519*v01_SeasonSeconds/60</x:f>
        <x:v>129</x:v>
      </x:c>
      <x:c r="C519" s="9" t="n">
        <x:f>A519/4</x:f>
        <x:v>129</x:v>
      </x:c>
      <x:c r="D519" s="8" t="n">
        <x:f>IF(MOD(A519,4)=0,1,0)</x:f>
        <x:v>1</x:v>
      </x:c>
      <x:c r="E519" s="8" t="n">
        <x:f>IF(AND(F518&lt;=9,AS518&gt;=AR518),1,0)</x:f>
        <x:v>0</x:v>
      </x:c>
      <x:c r="F519" s="8" t="n">
        <x:f>MIN(10,F518+E519)</x:f>
        <x:v>2</x:v>
      </x:c>
      <x:c r="G519" s="8" t="n">
        <x:f>MIN(F519,9)+1</x:f>
        <x:v>3</x:v>
      </x:c>
      <x:c r="H519" s="8" t="n">
        <x:f>IF(F519&lt;=9,1,0)</x:f>
        <x:v>1</x:v>
      </x:c>
      <x:c r="I519" s="9" t="n">
        <x:f>MIN(10,F518+IF(AR518&gt;0,MIN(1,AS518/AR518),1))</x:f>
        <x:v>2.0756498102071386</x:v>
      </x:c>
      <x:c r="J519" s="32" t="n">
        <x:f>INDEX(v01_FoodCap,G519)*Arch_FoodCap*EXP(v01_CapsByProject*SUMPRODUCT((Cap_Point&lt;=I519)*(Cap_Kind="Food")*Cap_Ln))</x:f>
        <x:v>60</x:v>
      </x:c>
      <x:c r="K519" s="32" t="n">
        <x:f>J519*MIN(1,v01_LeanBase*EXP(v01_CapsByProject*SUMPRODUCT((Cap_Point&lt;=I519)*(Cap_Kind="Lean")*Cap_Ln)))</x:f>
        <x:v>60</x:v>
      </x:c>
      <x:c r="L519" s="10" t="n">
        <x:f>INDEX(v01_HousingCap,G519)*EXP(v01_CapsByProject*SUMPRODUCT((Cap_Point&lt;=I519)*(Cap_Kind="Housing")*Cap_Ln))</x:f>
        <x:v>100</x:v>
      </x:c>
      <x:c r="M519" s="10" t="n">
        <x:f>INDEX(v01_GroupCap,G519)*v01_CohesionFactor*EXP(v01_CapsByProject*SUMPRODUCT((Cap_Point&lt;=I519)*(Cap_Kind="Group")*Cap_Ln))</x:f>
        <x:v>500</x:v>
      </x:c>
      <x:c r="N519" s="32" t="n">
        <x:f>MIN(J519,L519,M519)</x:f>
        <x:v>60</x:v>
      </x:c>
      <x:c r="O519" s="10" t="n">
        <x:f>AE518*N519</x:f>
        <x:v>180</x:v>
      </x:c>
      <x:c r="P519" s="9" t="n">
        <x:f>MIN(1,(AB518/(AE518*IF(v01_GroupInCrowding=1,N519,MIN(J519,L519))))^v01_CrowdingExp)</x:f>
        <x:v>0.019900604615717504</x:v>
      </x:c>
      <x:c r="Q519" s="9" t="n">
        <x:f>IF(D519=1,INDEX(v01_WinterMult,G519),1)</x:f>
        <x:v>1.3</x:v>
      </x:c>
      <x:c r="R519" s="9" t="n">
        <x:f>H519*Z518*v01_WomenShare*v01_BaseFertility*INDEX(v01_FertMult,G519)*Arch_Fertility*(1-P519)</x:f>
        <x:v>1.5597693564302912</x:v>
      </x:c>
      <x:c r="S519" s="9" t="n">
        <x:f>H519*Y518*INDEX(v01_MortChild,G519)/4*Q519</x:f>
        <x:v>0.48566047052554373</x:v>
      </x:c>
      <x:c r="T519" s="9" t="n">
        <x:f>H519*Z518*INDEX(v01_MortAdult,G519)*Arch_AdultMort/4*Q519</x:f>
        <x:v>0.15324977528611117</x:v>
      </x:c>
      <x:c r="U519" s="9" t="n">
        <x:f>H519*AA518*INDEX(v01_MortElder,G519)/4*Q519</x:f>
        <x:v>0.26644919379340304</x:v>
      </x:c>
      <x:c r="V519" s="9" t="n">
        <x:f>H519*MAX(0,AB518-O519)*v01_OvercapLoss</x:f>
        <x:v>0</x:v>
      </x:c>
      <x:c r="W519" s="9" t="n">
        <x:f>H519*Y518/(v01_ChildYears*4)</x:f>
        <x:v>0.7624183210762067</x:v>
      </x:c>
      <x:c r="X519" s="9" t="n">
        <x:f>H519*Z518/(v01_AdultYears*4)</x:f>
        <x:v>0.31689366270908015</x:v>
      </x:c>
      <x:c r="Y519" s="32" t="n">
        <x:f>Y518+R519-S519-W519-Y518*V519/AB518</x:f>
        <x:v>43.00711654509612</x:v>
      </x:c>
      <x:c r="Z519" s="32" t="n">
        <x:f>Z518+W519-X519-T519-Z518*V519/AB518</x:f>
        <x:v>39.58708905900695</x:v>
      </x:c>
      <x:c r="AA519" s="32" t="n">
        <x:f>AA518+X519-U519-AA518*V519/AB518</x:f>
        <x:v>11.762496943350975</x:v>
      </x:c>
      <x:c r="AB519" s="10" t="n">
        <x:f>Y519+Z519+AA519</x:f>
        <x:v>94.35670254745403</x:v>
      </x:c>
      <x:c r="AC519" s="8" t="n">
        <x:f>IF(AND(v01_WinterTrigger=1,D519=1,AB518/AE518&gt;=K519),1,0)</x:f>
        <x:v>0</x:v>
      </x:c>
      <x:c r="AD519" s="8" t="n">
        <x:f>H519*IF(AND(OR(AB518/AE518&gt;=v01_FissionTrigger*N519,AC519=1),AB518/AE518*v01_DaughterShare&gt;=v01_MinDaughter),MAX(1,ROUND(AE518*v01_FissionRate,0)),0)</x:f>
        <x:v>0</x:v>
      </x:c>
      <x:c r="AE519" s="8" t="n">
        <x:f>IF(H519=1,MAX(1,MIN(INDEX(v01_Smax,G519),AE518+AD519)),AE518)</x:f>
        <x:v>3</x:v>
      </x:c>
      <x:c r="AF519" s="8" t="n">
        <x:f>MAX(0,AE519-AE518)</x:f>
        <x:v>0</x:v>
      </x:c>
      <x:c r="AG519" s="9" t="str">
        <x:f>IF(AF519&gt;0,B519,"")</x:f>
      </x:c>
      <x:c r="AH519" s="9" t="n">
        <x:f>IF(F519&gt;=1,1,(1+v01_LowTiesShare*(AE519-1))/AE519)</x:f>
        <x:v>1</x:v>
      </x:c>
      <x:c r="AI519" s="32" t="n">
        <x:f>(Z519+v01_ElderCommons*INDEX(LM_Elder,G519)*AA519)*AH519</x:f>
        <x:v>74.87457988905987</x:v>
      </x:c>
      <x:c r="AJ519" s="32" t="n">
        <x:f>H519*v01_CommonsCoef*AI519^v01_CommonsExp*INDEX(LM_Commons,G519)</x:f>
        <x:v>25.865934553830666</x:v>
      </x:c>
      <x:c r="AK519" s="32" t="n">
        <x:f>H519*v01_RoleScale*Arch_Roles*(AE519*(INDEX(v01_ElderRolePerSett,G519)*v01_OutElder*INDEX(LM_Elder,G519)+INDEX(v01_ShamanPerSett,G519)*v01_OutShaman)+Z519*(INDEX(v01_PriestShare,G519)*v01_OutPriest+INDEX(v01_ScribeShare,G519)*v01_OutScribe*INDEX(LM_Scribe,G519)+INDEX(v01_ScholarShare,G519)*v01_OutScholar*INDEX(LM_Scholar,G519)+INDEX(v01_ResearcherShare,G519)*v01_OutResearcher*INDEX(LM_Researcher,G519)))</x:f>
        <x:v>9</x:v>
      </x:c>
      <x:c r="AL519" s="32" t="n">
        <x:f>H519*v01_RoleScale*Arch_Roles*AE519*INDEX(v01_MonasteryPerSett,G519)*v01_OutMonastery*INDEX(LM_Monastery,G519)</x:f>
        <x:v>0</x:v>
      </x:c>
      <x:c r="AM519" s="32" t="n">
        <x:f>(AJ519+AK519+AL519)/4*INDEX(LM_All,G519)*INDEX(v01_Boon,G519)*Arch_Insight</x:f>
        <x:v>9.157755622654586</x:v>
      </x:c>
      <x:c r="AN519" s="32" t="n">
        <x:f>H519*(v01_KHPerAdult*Z519+v01_KHOfCommons*AJ519/4*INDEX(LM_All,G519))*v01_KHUsable*Arch_KH</x:f>
        <x:v>1.3855481170652433</x:v>
      </x:c>
      <x:c r="AO519" s="32" t="n">
        <x:f>MIN(AP518+AN519,AM519*v01_KHMaxRatio)</x:f>
        <x:v>1.3855481170652433</x:v>
      </x:c>
      <x:c r="AP519" s="32" t="n">
        <x:f>AP518+AN519-AO519</x:f>
        <x:v>0</x:v>
      </x:c>
      <x:c r="AQ519" s="32" t="n">
        <x:f>AM519+AO519</x:f>
        <x:v>10.543303739719828</x:v>
      </x:c>
      <x:c r="AR519" s="10" t="n">
        <x:f>IF(H519=1,INDEX(v01_Req,G519),0)</x:f>
        <x:v>4006.9599999999996</x:v>
      </x:c>
      <x:c r="AS519" s="32" t="n">
        <x:f>IF(H519=1,IF(E519=1,AS518-AR518,AS518)+AQ519,0)</x:f>
        <x:v>313.6690672473149</x:v>
      </x:c>
      <x:c r="AT519" s="11" t="n">
        <x:f>IF(AR519&gt;0,MIN(1,AS519/AR519),1)</x:f>
        <x:v>0.07828105777130666</x:v>
      </x:c>
      <x:c r="AU519" s="10" t="n">
        <x:f>AB519/INDEX(v01_RepScale,G519)</x:f>
        <x:v>47.17835127372702</x:v>
      </x:c>
      <x:c r="AV519" s="32" t="n">
        <x:f>AM519*60/v01_SeasonSeconds</x:f>
        <x:v>36.63102249061834</x:v>
      </x:c>
    </x:row>
    <x:row r="520">
      <x:c r="A520" s="8" t="n">
        <x:f>A519+1</x:f>
        <x:v>517</x:v>
      </x:c>
      <x:c r="B520" s="9" t="n">
        <x:f>A520*v01_SeasonSeconds/60</x:f>
        <x:v>129.25</x:v>
      </x:c>
      <x:c r="C520" s="9" t="n">
        <x:f>A520/4</x:f>
        <x:v>129.25</x:v>
      </x:c>
      <x:c r="D520" s="8" t="n">
        <x:f>IF(MOD(A520,4)=0,1,0)</x:f>
        <x:v>0</x:v>
      </x:c>
      <x:c r="E520" s="8" t="n">
        <x:f>IF(AND(F519&lt;=9,AS519&gt;=AR519),1,0)</x:f>
        <x:v>0</x:v>
      </x:c>
      <x:c r="F520" s="8" t="n">
        <x:f>MIN(10,F519+E520)</x:f>
        <x:v>2</x:v>
      </x:c>
      <x:c r="G520" s="8" t="n">
        <x:f>MIN(F520,9)+1</x:f>
        <x:v>3</x:v>
      </x:c>
      <x:c r="H520" s="8" t="n">
        <x:f>IF(F520&lt;=9,1,0)</x:f>
        <x:v>1</x:v>
      </x:c>
      <x:c r="I520" s="9" t="n">
        <x:f>MIN(10,F519+IF(AR519&gt;0,MIN(1,AS519/AR519),1))</x:f>
        <x:v>2.0782810577713065</x:v>
      </x:c>
      <x:c r="J520" s="32" t="n">
        <x:f>INDEX(v01_FoodCap,G520)*Arch_FoodCap*EXP(v01_CapsByProject*SUMPRODUCT((Cap_Point&lt;=I520)*(Cap_Kind="Food")*Cap_Ln))</x:f>
        <x:v>60</x:v>
      </x:c>
      <x:c r="K520" s="32" t="n">
        <x:f>J520*MIN(1,v01_LeanBase*EXP(v01_CapsByProject*SUMPRODUCT((Cap_Point&lt;=I520)*(Cap_Kind="Lean")*Cap_Ln)))</x:f>
        <x:v>60</x:v>
      </x:c>
      <x:c r="L520" s="10" t="n">
        <x:f>INDEX(v01_HousingCap,G520)*EXP(v01_CapsByProject*SUMPRODUCT((Cap_Point&lt;=I520)*(Cap_Kind="Housing")*Cap_Ln))</x:f>
        <x:v>100</x:v>
      </x:c>
      <x:c r="M520" s="10" t="n">
        <x:f>INDEX(v01_GroupCap,G520)*v01_CohesionFactor*EXP(v01_CapsByProject*SUMPRODUCT((Cap_Point&lt;=I520)*(Cap_Kind="Group")*Cap_Ln))</x:f>
        <x:v>500</x:v>
      </x:c>
      <x:c r="N520" s="32" t="n">
        <x:f>MIN(J520,L520,M520)</x:f>
        <x:v>60</x:v>
      </x:c>
      <x:c r="O520" s="10" t="n">
        <x:f>AE519*N520</x:f>
        <x:v>180</x:v>
      </x:c>
      <x:c r="P520" s="9" t="n">
        <x:f>MIN(1,(AB519/(AE519*IF(v01_GroupInCrowding=1,N520,MIN(J520,L520))))^v01_CrowdingExp)</x:f>
        <x:v>0.020749206905435608</x:v>
      </x:c>
      <x:c r="Q520" s="9" t="n">
        <x:f>IF(D520=1,INDEX(v01_WinterMult,G520),1)</x:f>
        <x:v>1</x:v>
      </x:c>
      <x:c r="R520" s="9" t="n">
        <x:f>H520*Z519*v01_WomenShare*v01_BaseFertility*INDEX(v01_FertMult,G520)*Arch_Fertility*(1-P520)</x:f>
        <x:v>1.5700103784721773</x:v>
      </x:c>
      <x:c r="S520" s="9" t="n">
        <x:f>H520*Y519*INDEX(v01_MortChild,G520)/4*Q520</x:f>
        <x:v>0.3763122697695911</x:v>
      </x:c>
      <x:c r="T520" s="9" t="n">
        <x:f>H520*Z519*INDEX(v01_MortAdult,G520)*Arch_AdultMort/4*Q520</x:f>
        <x:v>0.11876126717702085</x:v>
      </x:c>
      <x:c r="U520" s="9" t="n">
        <x:f>H520*AA519*INDEX(v01_MortElder,G520)/4*Q520</x:f>
        <x:v>0.20584369650864207</x:v>
      </x:c>
      <x:c r="V520" s="9" t="n">
        <x:f>H520*MAX(0,AB519-O520)*v01_OvercapLoss</x:f>
        <x:v>0</x:v>
      </x:c>
      <x:c r="W520" s="9" t="n">
        <x:f>H520*Y519/(v01_ChildYears*4)</x:f>
        <x:v>0.7679842240195736</x:v>
      </x:c>
      <x:c r="X520" s="9" t="n">
        <x:f>H520*Z519/(v01_AdultYears*4)</x:f>
        <x:v>0.319250718217798</x:v>
      </x:c>
      <x:c r="Y520" s="32" t="n">
        <x:f>Y519+R520-S520-W520-Y519*V520/AB519</x:f>
        <x:v>43.43283042977913</x:v>
      </x:c>
      <x:c r="Z520" s="32" t="n">
        <x:f>Z519+W520-X520-T520-Z519*V520/AB519</x:f>
        <x:v>39.917061297631705</x:v>
      </x:c>
      <x:c r="AA520" s="32" t="n">
        <x:f>AA519+X520-U520-AA519*V520/AB519</x:f>
        <x:v>11.87590396506013</x:v>
      </x:c>
      <x:c r="AB520" s="10" t="n">
        <x:f>Y520+Z520+AA520</x:f>
        <x:v>95.22579569247097</x:v>
      </x:c>
      <x:c r="AC520" s="8" t="n">
        <x:f>IF(AND(v01_WinterTrigger=1,D520=1,AB519/AE519&gt;=K520),1,0)</x:f>
        <x:v>0</x:v>
      </x:c>
      <x:c r="AD520" s="8" t="n">
        <x:f>H520*IF(AND(OR(AB519/AE519&gt;=v01_FissionTrigger*N520,AC520=1),AB519/AE519*v01_DaughterShare&gt;=v01_MinDaughter),MAX(1,ROUND(AE519*v01_FissionRate,0)),0)</x:f>
        <x:v>0</x:v>
      </x:c>
      <x:c r="AE520" s="8" t="n">
        <x:f>IF(H520=1,MAX(1,MIN(INDEX(v01_Smax,G520),AE519+AD520)),AE519)</x:f>
        <x:v>3</x:v>
      </x:c>
      <x:c r="AF520" s="8" t="n">
        <x:f>MAX(0,AE520-AE519)</x:f>
        <x:v>0</x:v>
      </x:c>
      <x:c r="AG520" s="9" t="str">
        <x:f>IF(AF520&gt;0,B520,"")</x:f>
      </x:c>
      <x:c r="AH520" s="9" t="n">
        <x:f>IF(F520&gt;=1,1,(1+v01_LowTiesShare*(AE520-1))/AE520)</x:f>
        <x:v>1</x:v>
      </x:c>
      <x:c r="AI520" s="32" t="n">
        <x:f>(Z520+v01_ElderCommons*INDEX(LM_Elder,G520)*AA520)*AH520</x:f>
        <x:v>75.5447731928121</x:v>
      </x:c>
      <x:c r="AJ520" s="32" t="n">
        <x:f>H520*v01_CommonsCoef*AI520^v01_CommonsExp*INDEX(LM_Commons,G520)</x:f>
        <x:v>26.06259731628307</x:v>
      </x:c>
      <x:c r="AK520" s="32" t="n">
        <x:f>H520*v01_RoleScale*Arch_Roles*(AE520*(INDEX(v01_ElderRolePerSett,G520)*v01_OutElder*INDEX(LM_Elder,G520)+INDEX(v01_ShamanPerSett,G520)*v01_OutShaman)+Z520*(INDEX(v01_PriestShare,G520)*v01_OutPriest+INDEX(v01_ScribeShare,G520)*v01_OutScribe*INDEX(LM_Scribe,G520)+INDEX(v01_ScholarShare,G520)*v01_OutScholar*INDEX(LM_Scholar,G520)+INDEX(v01_ResearcherShare,G520)*v01_OutResearcher*INDEX(LM_Researcher,G520)))</x:f>
        <x:v>9</x:v>
      </x:c>
      <x:c r="AL520" s="32" t="n">
        <x:f>H520*v01_RoleScale*Arch_Roles*AE520*INDEX(v01_MonasteryPerSett,G520)*v01_OutMonastery*INDEX(LM_Monastery,G520)</x:f>
        <x:v>0</x:v>
      </x:c>
      <x:c r="AM520" s="32" t="n">
        <x:f>(AJ520+AK520+AL520)/4*INDEX(LM_All,G520)*INDEX(v01_Boon,G520)*Arch_Insight</x:f>
        <x:v>9.209410326354975</x:v>
      </x:c>
      <x:c r="AN520" s="32" t="n">
        <x:f>H520*(v01_KHPerAdult*Z520+v01_KHOfCommons*AJ520/4*INDEX(LM_All,G520))*v01_KHUsable*Arch_KH</x:f>
        <x:v>1.3970971454171097</x:v>
      </x:c>
      <x:c r="AO520" s="32" t="n">
        <x:f>MIN(AP519+AN520,AM520*v01_KHMaxRatio)</x:f>
        <x:v>1.3970971454171097</x:v>
      </x:c>
      <x:c r="AP520" s="32" t="n">
        <x:f>AP519+AN520-AO520</x:f>
        <x:v>0</x:v>
      </x:c>
      <x:c r="AQ520" s="32" t="n">
        <x:f>AM520+AO520</x:f>
        <x:v>10.606507471772085</x:v>
      </x:c>
      <x:c r="AR520" s="10" t="n">
        <x:f>IF(H520=1,INDEX(v01_Req,G520),0)</x:f>
        <x:v>4006.9599999999996</x:v>
      </x:c>
      <x:c r="AS520" s="32" t="n">
        <x:f>IF(H520=1,IF(E520=1,AS519-AR519,AS519)+AQ520,0)</x:f>
        <x:v>324.275574719087</x:v>
      </x:c>
      <x:c r="AT520" s="11" t="n">
        <x:f>IF(AR520&gt;0,MIN(1,AS520/AR520),1)</x:f>
        <x:v>0.0809280788226204</x:v>
      </x:c>
      <x:c r="AU520" s="10" t="n">
        <x:f>AB520/INDEX(v01_RepScale,G520)</x:f>
        <x:v>47.612897846235484</x:v>
      </x:c>
      <x:c r="AV520" s="32" t="n">
        <x:f>AM520*60/v01_SeasonSeconds</x:f>
        <x:v>36.8376413054199</x:v>
      </x:c>
    </x:row>
    <x:row r="521">
      <x:c r="A521" s="8" t="n">
        <x:f>A520+1</x:f>
        <x:v>518</x:v>
      </x:c>
      <x:c r="B521" s="9" t="n">
        <x:f>A521*v01_SeasonSeconds/60</x:f>
        <x:v>129.5</x:v>
      </x:c>
      <x:c r="C521" s="9" t="n">
        <x:f>A521/4</x:f>
        <x:v>129.5</x:v>
      </x:c>
      <x:c r="D521" s="8" t="n">
        <x:f>IF(MOD(A521,4)=0,1,0)</x:f>
        <x:v>0</x:v>
      </x:c>
      <x:c r="E521" s="8" t="n">
        <x:f>IF(AND(F520&lt;=9,AS520&gt;=AR520),1,0)</x:f>
        <x:v>0</x:v>
      </x:c>
      <x:c r="F521" s="8" t="n">
        <x:f>MIN(10,F520+E521)</x:f>
        <x:v>2</x:v>
      </x:c>
      <x:c r="G521" s="8" t="n">
        <x:f>MIN(F521,9)+1</x:f>
        <x:v>3</x:v>
      </x:c>
      <x:c r="H521" s="8" t="n">
        <x:f>IF(F521&lt;=9,1,0)</x:f>
        <x:v>1</x:v>
      </x:c>
      <x:c r="I521" s="9" t="n">
        <x:f>MIN(10,F520+IF(AR520&gt;0,MIN(1,AS520/AR520),1))</x:f>
        <x:v>2.0809280788226205</x:v>
      </x:c>
      <x:c r="J521" s="32" t="n">
        <x:f>INDEX(v01_FoodCap,G521)*Arch_FoodCap*EXP(v01_CapsByProject*SUMPRODUCT((Cap_Point&lt;=I521)*(Cap_Kind="Food")*Cap_Ln))</x:f>
        <x:v>60</x:v>
      </x:c>
      <x:c r="K521" s="32" t="n">
        <x:f>J521*MIN(1,v01_LeanBase*EXP(v01_CapsByProject*SUMPRODUCT((Cap_Point&lt;=I521)*(Cap_Kind="Lean")*Cap_Ln)))</x:f>
        <x:v>60</x:v>
      </x:c>
      <x:c r="L521" s="10" t="n">
        <x:f>INDEX(v01_HousingCap,G521)*EXP(v01_CapsByProject*SUMPRODUCT((Cap_Point&lt;=I521)*(Cap_Kind="Housing")*Cap_Ln))</x:f>
        <x:v>100</x:v>
      </x:c>
      <x:c r="M521" s="10" t="n">
        <x:f>INDEX(v01_GroupCap,G521)*v01_CohesionFactor*EXP(v01_CapsByProject*SUMPRODUCT((Cap_Point&lt;=I521)*(Cap_Kind="Group")*Cap_Ln))</x:f>
        <x:v>500</x:v>
      </x:c>
      <x:c r="N521" s="32" t="n">
        <x:f>MIN(J521,L521,M521)</x:f>
        <x:v>60</x:v>
      </x:c>
      <x:c r="O521" s="10" t="n">
        <x:f>AE520*N521</x:f>
        <x:v>180</x:v>
      </x:c>
      <x:c r="P521" s="9" t="n">
        <x:f>MIN(1,(AB520/(AE520*IF(v01_GroupInCrowding=1,N521,MIN(J521,L521))))^v01_CrowdingExp)</x:f>
        <x:v>0.021922628827233993</x:v>
      </x:c>
      <x:c r="Q521" s="9" t="n">
        <x:f>IF(D521=1,INDEX(v01_WinterMult,G521),1)</x:f>
        <x:v>1</x:v>
      </x:c>
      <x:c r="R521" s="9" t="n">
        <x:f>H521*Z520*v01_WomenShare*v01_BaseFertility*INDEX(v01_FertMult,G521)*Arch_Fertility*(1-P521)</x:f>
        <x:v>1.5811999623466562</x:v>
      </x:c>
      <x:c r="S521" s="9" t="n">
        <x:f>H521*Y520*INDEX(v01_MortChild,G521)/4*Q521</x:f>
        <x:v>0.38003726626056744</x:v>
      </x:c>
      <x:c r="T521" s="9" t="n">
        <x:f>H521*Z520*INDEX(v01_MortAdult,G521)*Arch_AdultMort/4*Q521</x:f>
        <x:v>0.11975118389289512</x:v>
      </x:c>
      <x:c r="U521" s="9" t="n">
        <x:f>H521*AA520*INDEX(v01_MortElder,G521)/4*Q521</x:f>
        <x:v>0.2078283193885523</x:v>
      </x:c>
      <x:c r="V521" s="9" t="n">
        <x:f>H521*MAX(0,AB520-O521)*v01_OvercapLoss</x:f>
        <x:v>0</x:v>
      </x:c>
      <x:c r="W521" s="9" t="n">
        <x:f>H521*Y520/(v01_ChildYears*4)</x:f>
        <x:v>0.7755862576746273</x:v>
      </x:c>
      <x:c r="X521" s="9" t="n">
        <x:f>H521*Z520/(v01_AdultYears*4)</x:f>
        <x:v>0.3219117846583202</x:v>
      </x:c>
      <x:c r="Y521" s="32" t="n">
        <x:f>Y520+R521-S521-W521-Y520*V521/AB520</x:f>
        <x:v>43.8584068681906</x:v>
      </x:c>
      <x:c r="Z521" s="32" t="n">
        <x:f>Z520+W521-X521-T521-Z520*V521/AB520</x:f>
        <x:v>40.250984586755116</x:v>
      </x:c>
      <x:c r="AA521" s="32" t="n">
        <x:f>AA520+X521-U521-AA520*V521/AB520</x:f>
        <x:v>11.989987430329899</x:v>
      </x:c>
      <x:c r="AB521" s="10" t="n">
        <x:f>Y521+Z521+AA521</x:f>
        <x:v>96.09937888527563</x:v>
      </x:c>
      <x:c r="AC521" s="8" t="n">
        <x:f>IF(AND(v01_WinterTrigger=1,D521=1,AB520/AE520&gt;=K521),1,0)</x:f>
        <x:v>0</x:v>
      </x:c>
      <x:c r="AD521" s="8" t="n">
        <x:f>H521*IF(AND(OR(AB520/AE520&gt;=v01_FissionTrigger*N521,AC521=1),AB520/AE520*v01_DaughterShare&gt;=v01_MinDaughter),MAX(1,ROUND(AE520*v01_FissionRate,0)),0)</x:f>
        <x:v>0</x:v>
      </x:c>
      <x:c r="AE521" s="8" t="n">
        <x:f>IF(H521=1,MAX(1,MIN(INDEX(v01_Smax,G521),AE520+AD521)),AE520)</x:f>
        <x:v>3</x:v>
      </x:c>
      <x:c r="AF521" s="8" t="n">
        <x:f>MAX(0,AE521-AE520)</x:f>
        <x:v>0</x:v>
      </x:c>
      <x:c r="AG521" s="9" t="str">
        <x:f>IF(AF521&gt;0,B521,"")</x:f>
      </x:c>
      <x:c r="AH521" s="9" t="n">
        <x:f>IF(F521&gt;=1,1,(1+v01_LowTiesShare*(AE521-1))/AE521)</x:f>
        <x:v>1</x:v>
      </x:c>
      <x:c r="AI521" s="32" t="n">
        <x:f>(Z521+v01_ElderCommons*INDEX(LM_Elder,G521)*AA521)*AH521</x:f>
        <x:v>76.22094687774481</x:v>
      </x:c>
      <x:c r="AJ521" s="32" t="n">
        <x:f>H521*v01_CommonsCoef*AI521^v01_CommonsExp*INDEX(LM_Commons,G521)</x:f>
        <x:v>26.260749936960092</x:v>
      </x:c>
      <x:c r="AK521" s="32" t="n">
        <x:f>H521*v01_RoleScale*Arch_Roles*(AE521*(INDEX(v01_ElderRolePerSett,G521)*v01_OutElder*INDEX(LM_Elder,G521)+INDEX(v01_ShamanPerSett,G521)*v01_OutShaman)+Z521*(INDEX(v01_PriestShare,G521)*v01_OutPriest+INDEX(v01_ScribeShare,G521)*v01_OutScribe*INDEX(LM_Scribe,G521)+INDEX(v01_ScholarShare,G521)*v01_OutScholar*INDEX(LM_Scholar,G521)+INDEX(v01_ResearcherShare,G521)*v01_OutResearcher*INDEX(LM_Researcher,G521)))</x:f>
        <x:v>9</x:v>
      </x:c>
      <x:c r="AL521" s="32" t="n">
        <x:f>H521*v01_RoleScale*Arch_Roles*AE521*INDEX(v01_MonasteryPerSett,G521)*v01_OutMonastery*INDEX(LM_Monastery,G521)</x:f>
        <x:v>0</x:v>
      </x:c>
      <x:c r="AM521" s="32" t="n">
        <x:f>(AJ521+AK521+AL521)/4*INDEX(LM_All,G521)*INDEX(v01_Boon,G521)*Arch_Insight</x:f>
        <x:v>9.261456350629674</x:v>
      </x:c>
      <x:c r="AN521" s="32" t="n">
        <x:f>H521*(v01_KHPerAdult*Z521+v01_KHOfCommons*AJ521/4*INDEX(LM_All,G521))*v01_KHUsable*Arch_KH</x:f>
        <x:v>1.408784460536429</x:v>
      </x:c>
      <x:c r="AO521" s="32" t="n">
        <x:f>MIN(AP520+AN521,AM521*v01_KHMaxRatio)</x:f>
        <x:v>1.408784460536429</x:v>
      </x:c>
      <x:c r="AP521" s="32" t="n">
        <x:f>AP520+AN521-AO521</x:f>
        <x:v>0</x:v>
      </x:c>
      <x:c r="AQ521" s="32" t="n">
        <x:f>AM521+AO521</x:f>
        <x:v>10.670240811166103</x:v>
      </x:c>
      <x:c r="AR521" s="10" t="n">
        <x:f>IF(H521=1,INDEX(v01_Req,G521),0)</x:f>
        <x:v>4006.9599999999996</x:v>
      </x:c>
      <x:c r="AS521" s="32" t="n">
        <x:f>IF(H521=1,IF(E521=1,AS520-AR520,AS520)+AQ521,0)</x:f>
        <x:v>334.94581553025307</x:v>
      </x:c>
      <x:c r="AT521" s="11" t="n">
        <x:f>IF(AR521&gt;0,MIN(1,AS521/AR521),1)</x:f>
        <x:v>0.08359100553293597</x:v>
      </x:c>
      <x:c r="AU521" s="10" t="n">
        <x:f>AB521/INDEX(v01_RepScale,G521)</x:f>
        <x:v>48.04968944263781</x:v>
      </x:c>
      <x:c r="AV521" s="32" t="n">
        <x:f>AM521*60/v01_SeasonSeconds</x:f>
        <x:v>37.045825402518695</x:v>
      </x:c>
    </x:row>
    <x:row r="522">
      <x:c r="A522" s="8" t="n">
        <x:f>A521+1</x:f>
        <x:v>519</x:v>
      </x:c>
      <x:c r="B522" s="9" t="n">
        <x:f>A522*v01_SeasonSeconds/60</x:f>
        <x:v>129.75</x:v>
      </x:c>
      <x:c r="C522" s="9" t="n">
        <x:f>A522/4</x:f>
        <x:v>129.75</x:v>
      </x:c>
      <x:c r="D522" s="8" t="n">
        <x:f>IF(MOD(A522,4)=0,1,0)</x:f>
        <x:v>0</x:v>
      </x:c>
      <x:c r="E522" s="8" t="n">
        <x:f>IF(AND(F521&lt;=9,AS521&gt;=AR521),1,0)</x:f>
        <x:v>0</x:v>
      </x:c>
      <x:c r="F522" s="8" t="n">
        <x:f>MIN(10,F521+E522)</x:f>
        <x:v>2</x:v>
      </x:c>
      <x:c r="G522" s="8" t="n">
        <x:f>MIN(F522,9)+1</x:f>
        <x:v>3</x:v>
      </x:c>
      <x:c r="H522" s="8" t="n">
        <x:f>IF(F522&lt;=9,1,0)</x:f>
        <x:v>1</x:v>
      </x:c>
      <x:c r="I522" s="9" t="n">
        <x:f>MIN(10,F521+IF(AR521&gt;0,MIN(1,AS521/AR521),1))</x:f>
        <x:v>2.083591005532936</x:v>
      </x:c>
      <x:c r="J522" s="32" t="n">
        <x:f>INDEX(v01_FoodCap,G522)*Arch_FoodCap*EXP(v01_CapsByProject*SUMPRODUCT((Cap_Point&lt;=I522)*(Cap_Kind="Food")*Cap_Ln))</x:f>
        <x:v>60</x:v>
      </x:c>
      <x:c r="K522" s="32" t="n">
        <x:f>J522*MIN(1,v01_LeanBase*EXP(v01_CapsByProject*SUMPRODUCT((Cap_Point&lt;=I522)*(Cap_Kind="Lean")*Cap_Ln)))</x:f>
        <x:v>60</x:v>
      </x:c>
      <x:c r="L522" s="10" t="n">
        <x:f>INDEX(v01_HousingCap,G522)*EXP(v01_CapsByProject*SUMPRODUCT((Cap_Point&lt;=I522)*(Cap_Kind="Housing")*Cap_Ln))</x:f>
        <x:v>100</x:v>
      </x:c>
      <x:c r="M522" s="10" t="n">
        <x:f>INDEX(v01_GroupCap,G522)*v01_CohesionFactor*EXP(v01_CapsByProject*SUMPRODUCT((Cap_Point&lt;=I522)*(Cap_Kind="Group")*Cap_Ln))</x:f>
        <x:v>500</x:v>
      </x:c>
      <x:c r="N522" s="32" t="n">
        <x:f>MIN(J522,L522,M522)</x:f>
        <x:v>60</x:v>
      </x:c>
      <x:c r="O522" s="10" t="n">
        <x:f>AE521*N522</x:f>
        <x:v>180</x:v>
      </x:c>
      <x:c r="P522" s="9" t="n">
        <x:f>MIN(1,(AB521/(AE521*IF(v01_GroupInCrowding=1,N522,MIN(J522,L522))))^v01_CrowdingExp)</x:f>
        <x:v>0.023157328356129808</x:v>
      </x:c>
      <x:c r="Q522" s="9" t="n">
        <x:f>IF(D522=1,INDEX(v01_WinterMult,G522),1)</x:f>
        <x:v>1</x:v>
      </x:c>
      <x:c r="R522" s="9" t="n">
        <x:f>H522*Z521*v01_WomenShare*v01_BaseFertility*INDEX(v01_FertMult,G522)*Arch_Fertility*(1-P522)</x:f>
        <x:v>1.592414612460895</x:v>
      </x:c>
      <x:c r="S522" s="9" t="n">
        <x:f>H522*Y521*INDEX(v01_MortChild,G522)/4*Q522</x:f>
        <x:v>0.38376106009666777</x:v>
      </x:c>
      <x:c r="T522" s="9" t="n">
        <x:f>H522*Z521*INDEX(v01_MortAdult,G522)*Arch_AdultMort/4*Q522</x:f>
        <x:v>0.12075295376026535</x:v>
      </x:c>
      <x:c r="U522" s="9" t="n">
        <x:f>H522*AA521*INDEX(v01_MortElder,G522)/4*Q522</x:f>
        <x:v>0.20982478003077326</x:v>
      </x:c>
      <x:c r="V522" s="9" t="n">
        <x:f>H522*MAX(0,AB521-O522)*v01_OvercapLoss</x:f>
        <x:v>0</x:v>
      </x:c>
      <x:c r="W522" s="9" t="n">
        <x:f>H522*Y521/(v01_ChildYears*4)</x:f>
        <x:v>0.783185836931975</x:v>
      </x:c>
      <x:c r="X522" s="9" t="n">
        <x:f>H522*Z521/(v01_AdultYears*4)</x:f>
        <x:v>0.32460471440931543</x:v>
      </x:c>
      <x:c r="Y522" s="32" t="n">
        <x:f>Y521+R522-S522-W522-Y521*V522/AB521</x:f>
        <x:v>44.28387458362285</x:v>
      </x:c>
      <x:c r="Z522" s="32" t="n">
        <x:f>Z521+W522-X522-T522-Z521*V522/AB521</x:f>
        <x:v>40.58881275551751</x:v>
      </x:c>
      <x:c r="AA522" s="32" t="n">
        <x:f>AA521+X522-U522-AA521*V522/AB521</x:f>
        <x:v>12.10476736470844</x:v>
      </x:c>
      <x:c r="AB522" s="10" t="n">
        <x:f>Y522+Z522+AA522</x:f>
        <x:v>96.97745470384879</x:v>
      </x:c>
      <x:c r="AC522" s="8" t="n">
        <x:f>IF(AND(v01_WinterTrigger=1,D522=1,AB521/AE521&gt;=K522),1,0)</x:f>
        <x:v>0</x:v>
      </x:c>
      <x:c r="AD522" s="8" t="n">
        <x:f>H522*IF(AND(OR(AB521/AE521&gt;=v01_FissionTrigger*N522,AC522=1),AB521/AE521*v01_DaughterShare&gt;=v01_MinDaughter),MAX(1,ROUND(AE521*v01_FissionRate,0)),0)</x:f>
        <x:v>0</x:v>
      </x:c>
      <x:c r="AE522" s="8" t="n">
        <x:f>IF(H522=1,MAX(1,MIN(INDEX(v01_Smax,G522),AE521+AD522)),AE521)</x:f>
        <x:v>3</x:v>
      </x:c>
      <x:c r="AF522" s="8" t="n">
        <x:f>MAX(0,AE522-AE521)</x:f>
        <x:v>0</x:v>
      </x:c>
      <x:c r="AG522" s="9" t="str">
        <x:f>IF(AF522&gt;0,B522,"")</x:f>
      </x:c>
      <x:c r="AH522" s="9" t="n">
        <x:f>IF(F522&gt;=1,1,(1+v01_LowTiesShare*(AE522-1))/AE522)</x:f>
        <x:v>1</x:v>
      </x:c>
      <x:c r="AI522" s="32" t="n">
        <x:f>(Z522+v01_ElderCommons*INDEX(LM_Elder,G522)*AA522)*AH522</x:f>
        <x:v>76.90311484964283</x:v>
      </x:c>
      <x:c r="AJ522" s="32" t="n">
        <x:f>H522*v01_CommonsCoef*AI522^v01_CommonsExp*INDEX(LM_Commons,G522)</x:f>
        <x:v>26.460392169384047</x:v>
      </x:c>
      <x:c r="AK522" s="32" t="n">
        <x:f>H522*v01_RoleScale*Arch_Roles*(AE522*(INDEX(v01_ElderRolePerSett,G522)*v01_OutElder*INDEX(LM_Elder,G522)+INDEX(v01_ShamanPerSett,G522)*v01_OutShaman)+Z522*(INDEX(v01_PriestShare,G522)*v01_OutPriest+INDEX(v01_ScribeShare,G522)*v01_OutScribe*INDEX(LM_Scribe,G522)+INDEX(v01_ScholarShare,G522)*v01_OutScholar*INDEX(LM_Scholar,G522)+INDEX(v01_ResearcherShare,G522)*v01_OutResearcher*INDEX(LM_Researcher,G522)))</x:f>
        <x:v>9</x:v>
      </x:c>
      <x:c r="AL522" s="32" t="n">
        <x:f>H522*v01_RoleScale*Arch_Roles*AE522*INDEX(v01_MonasteryPerSett,G522)*v01_OutMonastery*INDEX(LM_Monastery,G522)</x:f>
        <x:v>0</x:v>
      </x:c>
      <x:c r="AM522" s="32" t="n">
        <x:f>(AJ522+AK522+AL522)/4*INDEX(LM_All,G522)*INDEX(v01_Boon,G522)*Arch_Insight</x:f>
        <x:v>9.313893630739779</x:v>
      </x:c>
      <x:c r="AN522" s="32" t="n">
        <x:f>H522*(v01_KHPerAdult*Z522+v01_KHOfCommons*AJ522/4*INDEX(LM_All,G522))*v01_KHUsable*Arch_KH</x:f>
        <x:v>1.4206084464431126</x:v>
      </x:c>
      <x:c r="AO522" s="32" t="n">
        <x:f>MIN(AP521+AN522,AM522*v01_KHMaxRatio)</x:f>
        <x:v>1.4206084464431126</x:v>
      </x:c>
      <x:c r="AP522" s="32" t="n">
        <x:f>AP521+AN522-AO522</x:f>
        <x:v>0</x:v>
      </x:c>
      <x:c r="AQ522" s="32" t="n">
        <x:f>AM522+AO522</x:f>
        <x:v>10.734502077182892</x:v>
      </x:c>
      <x:c r="AR522" s="10" t="n">
        <x:f>IF(H522=1,INDEX(v01_Req,G522),0)</x:f>
        <x:v>4006.9599999999996</x:v>
      </x:c>
      <x:c r="AS522" s="32" t="n">
        <x:f>IF(H522=1,IF(E522=1,AS521-AR521,AS521)+AQ522,0)</x:f>
        <x:v>345.68031760743594</x:v>
      </x:c>
      <x:c r="AT522" s="11" t="n">
        <x:f>IF(AR522&gt;0,MIN(1,AS522/AR522),1)</x:f>
        <x:v>0.08626996965465988</x:v>
      </x:c>
      <x:c r="AU522" s="10" t="n">
        <x:f>AB522/INDEX(v01_RepScale,G522)</x:f>
        <x:v>48.488727351924396</x:v>
      </x:c>
      <x:c r="AV522" s="32" t="n">
        <x:f>AM522*60/v01_SeasonSeconds</x:f>
        <x:v>37.255574522959115</x:v>
      </x:c>
    </x:row>
    <x:row r="523">
      <x:c r="A523" s="8" t="n">
        <x:f>A522+1</x:f>
        <x:v>520</x:v>
      </x:c>
      <x:c r="B523" s="9" t="n">
        <x:f>A523*v01_SeasonSeconds/60</x:f>
        <x:v>130</x:v>
      </x:c>
      <x:c r="C523" s="9" t="n">
        <x:f>A523/4</x:f>
        <x:v>130</x:v>
      </x:c>
      <x:c r="D523" s="8" t="n">
        <x:f>IF(MOD(A523,4)=0,1,0)</x:f>
        <x:v>1</x:v>
      </x:c>
      <x:c r="E523" s="8" t="n">
        <x:f>IF(AND(F522&lt;=9,AS522&gt;=AR522),1,0)</x:f>
        <x:v>0</x:v>
      </x:c>
      <x:c r="F523" s="8" t="n">
        <x:f>MIN(10,F522+E523)</x:f>
        <x:v>2</x:v>
      </x:c>
      <x:c r="G523" s="8" t="n">
        <x:f>MIN(F523,9)+1</x:f>
        <x:v>3</x:v>
      </x:c>
      <x:c r="H523" s="8" t="n">
        <x:f>IF(F523&lt;=9,1,0)</x:f>
        <x:v>1</x:v>
      </x:c>
      <x:c r="I523" s="9" t="n">
        <x:f>MIN(10,F522+IF(AR522&gt;0,MIN(1,AS522/AR522),1))</x:f>
        <x:v>2.08626996965466</x:v>
      </x:c>
      <x:c r="J523" s="32" t="n">
        <x:f>INDEX(v01_FoodCap,G523)*Arch_FoodCap*EXP(v01_CapsByProject*SUMPRODUCT((Cap_Point&lt;=I523)*(Cap_Kind="Food")*Cap_Ln))</x:f>
        <x:v>60</x:v>
      </x:c>
      <x:c r="K523" s="32" t="n">
        <x:f>J523*MIN(1,v01_LeanBase*EXP(v01_CapsByProject*SUMPRODUCT((Cap_Point&lt;=I523)*(Cap_Kind="Lean")*Cap_Ln)))</x:f>
        <x:v>60</x:v>
      </x:c>
      <x:c r="L523" s="10" t="n">
        <x:f>INDEX(v01_HousingCap,G523)*EXP(v01_CapsByProject*SUMPRODUCT((Cap_Point&lt;=I523)*(Cap_Kind="Housing")*Cap_Ln))</x:f>
        <x:v>100</x:v>
      </x:c>
      <x:c r="M523" s="10" t="n">
        <x:f>INDEX(v01_GroupCap,G523)*v01_CohesionFactor*EXP(v01_CapsByProject*SUMPRODUCT((Cap_Point&lt;=I523)*(Cap_Kind="Group")*Cap_Ln))</x:f>
        <x:v>500</x:v>
      </x:c>
      <x:c r="N523" s="32" t="n">
        <x:f>MIN(J523,L523,M523)</x:f>
        <x:v>60</x:v>
      </x:c>
      <x:c r="O523" s="10" t="n">
        <x:f>AE522*N523</x:f>
        <x:v>180</x:v>
      </x:c>
      <x:c r="P523" s="9" t="n">
        <x:f>MIN(1,(AB522/(AE522*IF(v01_GroupInCrowding=1,N523,MIN(J523,L523))))^v01_CrowdingExp)</x:f>
        <x:v>0.024456238290183993</x:v>
      </x:c>
      <x:c r="Q523" s="9" t="n">
        <x:f>IF(D523=1,INDEX(v01_WinterMult,G523),1)</x:f>
        <x:v>1.3</x:v>
      </x:c>
      <x:c r="R523" s="9" t="n">
        <x:f>H523*Z522*v01_WomenShare*v01_BaseFertility*INDEX(v01_FertMult,G523)*Arch_Fertility*(1-P523)</x:f>
        <x:v>1.603644604693543</x:v>
      </x:c>
      <x:c r="S523" s="9" t="n">
        <x:f>H523*Y522*INDEX(v01_MortChild,G523)/4*Q523</x:f>
        <x:v>0.50372907338871</x:v>
      </x:c>
      <x:c r="T523" s="9" t="n">
        <x:f>H523*Z522*INDEX(v01_MortAdult,G523)*Arch_AdultMort/4*Q523</x:f>
        <x:v>0.1582963697465183</x:v>
      </x:c>
      <x:c r="U523" s="9" t="n">
        <x:f>H523*AA522*INDEX(v01_MortElder,G523)/4*Q523</x:f>
        <x:v>0.27538345754711707</x:v>
      </x:c>
      <x:c r="V523" s="9" t="n">
        <x:f>H523*MAX(0,AB522-O523)*v01_OvercapLoss</x:f>
        <x:v>0</x:v>
      </x:c>
      <x:c r="W523" s="9" t="n">
        <x:f>H523*Y522/(v01_ChildYears*4)</x:f>
        <x:v>0.7907834747075508</x:v>
      </x:c>
      <x:c r="X523" s="9" t="n">
        <x:f>H523*Z522/(v01_AdultYears*4)</x:f>
        <x:v>0.3273291351251412</x:v>
      </x:c>
      <x:c r="Y523" s="32" t="n">
        <x:f>Y522+R523-S523-W523-Y522*V523/AB522</x:f>
        <x:v>44.593006640220125</x:v>
      </x:c>
      <x:c r="Z523" s="32" t="n">
        <x:f>Z522+W523-X523-T523-Z522*V523/AB522</x:f>
        <x:v>40.893970725353405</x:v>
      </x:c>
      <x:c r="AA523" s="32" t="n">
        <x:f>AA522+X523-U523-AA522*V523/AB522</x:f>
        <x:v>12.156713042286466</x:v>
      </x:c>
      <x:c r="AB523" s="10" t="n">
        <x:f>Y523+Z523+AA523</x:f>
        <x:v>97.64369040785999</x:v>
      </x:c>
      <x:c r="AC523" s="8" t="n">
        <x:f>IF(AND(v01_WinterTrigger=1,D523=1,AB522/AE522&gt;=K523),1,0)</x:f>
        <x:v>0</x:v>
      </x:c>
      <x:c r="AD523" s="8" t="n">
        <x:f>H523*IF(AND(OR(AB522/AE522&gt;=v01_FissionTrigger*N523,AC523=1),AB522/AE522*v01_DaughterShare&gt;=v01_MinDaughter),MAX(1,ROUND(AE522*v01_FissionRate,0)),0)</x:f>
        <x:v>0</x:v>
      </x:c>
      <x:c r="AE523" s="8" t="n">
        <x:f>IF(H523=1,MAX(1,MIN(INDEX(v01_Smax,G523),AE522+AD523)),AE522)</x:f>
        <x:v>3</x:v>
      </x:c>
      <x:c r="AF523" s="8" t="n">
        <x:f>MAX(0,AE523-AE522)</x:f>
        <x:v>0</x:v>
      </x:c>
      <x:c r="AG523" s="9" t="str">
        <x:f>IF(AF523&gt;0,B523,"")</x:f>
      </x:c>
      <x:c r="AH523" s="9" t="n">
        <x:f>IF(F523&gt;=1,1,(1+v01_LowTiesShare*(AE523-1))/AE523)</x:f>
        <x:v>1</x:v>
      </x:c>
      <x:c r="AI523" s="32" t="n">
        <x:f>(Z523+v01_ElderCommons*INDEX(LM_Elder,G523)*AA523)*AH523</x:f>
        <x:v>77.3641098522128</x:v>
      </x:c>
      <x:c r="AJ523" s="32" t="n">
        <x:f>H523*v01_CommonsCoef*AI523^v01_CommonsExp*INDEX(LM_Commons,G523)</x:f>
        <x:v>26.59515578042749</x:v>
      </x:c>
      <x:c r="AK523" s="32" t="n">
        <x:f>H523*v01_RoleScale*Arch_Roles*(AE523*(INDEX(v01_ElderRolePerSett,G523)*v01_OutElder*INDEX(LM_Elder,G523)+INDEX(v01_ShamanPerSett,G523)*v01_OutShaman)+Z523*(INDEX(v01_PriestShare,G523)*v01_OutPriest+INDEX(v01_ScribeShare,G523)*v01_OutScribe*INDEX(LM_Scribe,G523)+INDEX(v01_ScholarShare,G523)*v01_OutScholar*INDEX(LM_Scholar,G523)+INDEX(v01_ResearcherShare,G523)*v01_OutResearcher*INDEX(LM_Researcher,G523)))</x:f>
        <x:v>9</x:v>
      </x:c>
      <x:c r="AL523" s="32" t="n">
        <x:f>H523*v01_RoleScale*Arch_Roles*AE523*INDEX(v01_MonasteryPerSett,G523)*v01_OutMonastery*INDEX(LM_Monastery,G523)</x:f>
        <x:v>0</x:v>
      </x:c>
      <x:c r="AM523" s="32" t="n">
        <x:f>(AJ523+AK523+AL523)/4*INDEX(LM_All,G523)*INDEX(v01_Boon,G523)*Arch_Insight</x:f>
        <x:v>9.349290135452907</x:v>
      </x:c>
      <x:c r="AN523" s="32" t="n">
        <x:f>H523*(v01_KHPerAdult*Z523+v01_KHOfCommons*AJ523/4*INDEX(LM_All,G523))*v01_KHUsable*Arch_KH</x:f>
        <x:v>1.431288975387369</x:v>
      </x:c>
      <x:c r="AO523" s="32" t="n">
        <x:f>MIN(AP522+AN523,AM523*v01_KHMaxRatio)</x:f>
        <x:v>1.431288975387369</x:v>
      </x:c>
      <x:c r="AP523" s="32" t="n">
        <x:f>AP522+AN523-AO523</x:f>
        <x:v>0</x:v>
      </x:c>
      <x:c r="AQ523" s="32" t="n">
        <x:f>AM523+AO523</x:f>
        <x:v>10.780579110840277</x:v>
      </x:c>
      <x:c r="AR523" s="10" t="n">
        <x:f>IF(H523=1,INDEX(v01_Req,G523),0)</x:f>
        <x:v>4006.9599999999996</x:v>
      </x:c>
      <x:c r="AS523" s="32" t="n">
        <x:f>IF(H523=1,IF(E523=1,AS522-AR522,AS522)+AQ523,0)</x:f>
        <x:v>356.4608967182762</x:v>
      </x:c>
      <x:c r="AT523" s="11" t="n">
        <x:f>IF(AR523&gt;0,MIN(1,AS523/AR523),1)</x:f>
        <x:v>0.08896043302610364</x:v>
      </x:c>
      <x:c r="AU523" s="10" t="n">
        <x:f>AB523/INDEX(v01_RepScale,G523)</x:f>
        <x:v>48.821845203929996</x:v>
      </x:c>
      <x:c r="AV523" s="32" t="n">
        <x:f>AM523*60/v01_SeasonSeconds</x:f>
        <x:v>37.39716054181163</x:v>
      </x:c>
    </x:row>
    <x:row r="524">
      <x:c r="A524" s="8" t="n">
        <x:f>A523+1</x:f>
        <x:v>521</x:v>
      </x:c>
      <x:c r="B524" s="9" t="n">
        <x:f>A524*v01_SeasonSeconds/60</x:f>
        <x:v>130.25</x:v>
      </x:c>
      <x:c r="C524" s="9" t="n">
        <x:f>A524/4</x:f>
        <x:v>130.25</x:v>
      </x:c>
      <x:c r="D524" s="8" t="n">
        <x:f>IF(MOD(A524,4)=0,1,0)</x:f>
        <x:v>0</x:v>
      </x:c>
      <x:c r="E524" s="8" t="n">
        <x:f>IF(AND(F523&lt;=9,AS523&gt;=AR523),1,0)</x:f>
        <x:v>0</x:v>
      </x:c>
      <x:c r="F524" s="8" t="n">
        <x:f>MIN(10,F523+E524)</x:f>
        <x:v>2</x:v>
      </x:c>
      <x:c r="G524" s="8" t="n">
        <x:f>MIN(F524,9)+1</x:f>
        <x:v>3</x:v>
      </x:c>
      <x:c r="H524" s="8" t="n">
        <x:f>IF(F524&lt;=9,1,0)</x:f>
        <x:v>1</x:v>
      </x:c>
      <x:c r="I524" s="9" t="n">
        <x:f>MIN(10,F523+IF(AR523&gt;0,MIN(1,AS523/AR523),1))</x:f>
        <x:v>2.0889604330261036</x:v>
      </x:c>
      <x:c r="J524" s="32" t="n">
        <x:f>INDEX(v01_FoodCap,G524)*Arch_FoodCap*EXP(v01_CapsByProject*SUMPRODUCT((Cap_Point&lt;=I524)*(Cap_Kind="Food")*Cap_Ln))</x:f>
        <x:v>60</x:v>
      </x:c>
      <x:c r="K524" s="32" t="n">
        <x:f>J524*MIN(1,v01_LeanBase*EXP(v01_CapsByProject*SUMPRODUCT((Cap_Point&lt;=I524)*(Cap_Kind="Lean")*Cap_Ln)))</x:f>
        <x:v>60</x:v>
      </x:c>
      <x:c r="L524" s="10" t="n">
        <x:f>INDEX(v01_HousingCap,G524)*EXP(v01_CapsByProject*SUMPRODUCT((Cap_Point&lt;=I524)*(Cap_Kind="Housing")*Cap_Ln))</x:f>
        <x:v>100</x:v>
      </x:c>
      <x:c r="M524" s="10" t="n">
        <x:f>INDEX(v01_GroupCap,G524)*v01_CohesionFactor*EXP(v01_CapsByProject*SUMPRODUCT((Cap_Point&lt;=I524)*(Cap_Kind="Group")*Cap_Ln))</x:f>
        <x:v>500</x:v>
      </x:c>
      <x:c r="N524" s="32" t="n">
        <x:f>MIN(J524,L524,M524)</x:f>
        <x:v>60</x:v>
      </x:c>
      <x:c r="O524" s="10" t="n">
        <x:f>AE523*N524</x:f>
        <x:v>180</x:v>
      </x:c>
      <x:c r="P524" s="9" t="n">
        <x:f>MIN(1,(AB523/(AE523*IF(v01_GroupInCrowding=1,N524,MIN(J524,L524))))^v01_CrowdingExp)</x:f>
        <x:v>0.025481798650675805</x:v>
      </x:c>
      <x:c r="Q524" s="9" t="n">
        <x:f>IF(D524=1,INDEX(v01_WinterMult,G524),1)</x:f>
        <x:v>1</x:v>
      </x:c>
      <x:c r="R524" s="9" t="n">
        <x:f>H524*Z523*v01_WomenShare*v01_BaseFertility*INDEX(v01_FertMult,G524)*Arch_Fertility*(1-P524)</x:f>
        <x:v>1.6140027112907847</x:v>
      </x:c>
      <x:c r="S524" s="9" t="n">
        <x:f>H524*Y523*INDEX(v01_MortChild,G524)/4*Q524</x:f>
        <x:v>0.39018880810192613</x:v>
      </x:c>
      <x:c r="T524" s="9" t="n">
        <x:f>H524*Z523*INDEX(v01_MortAdult,G524)*Arch_AdultMort/4*Q524</x:f>
        <x:v>0.12268191217606021</x:v>
      </x:c>
      <x:c r="U524" s="9" t="n">
        <x:f>H524*AA523*INDEX(v01_MortElder,G524)/4*Q524</x:f>
        <x:v>0.21274247824001316</x:v>
      </x:c>
      <x:c r="V524" s="9" t="n">
        <x:f>H524*MAX(0,AB523-O524)*v01_OvercapLoss</x:f>
        <x:v>0</x:v>
      </x:c>
      <x:c r="W524" s="9" t="n">
        <x:f>H524*Y523/(v01_ChildYears*4)</x:f>
        <x:v>0.7963036900039308</x:v>
      </x:c>
      <x:c r="X524" s="9" t="n">
        <x:f>H524*Z523/(v01_AdultYears*4)</x:f>
        <x:v>0.32979008649478553</x:v>
      </x:c>
      <x:c r="Y524" s="32" t="n">
        <x:f>Y523+R524-S524-W524-Y523*V524/AB523</x:f>
        <x:v>45.020516853405056</x:v>
      </x:c>
      <x:c r="Z524" s="32" t="n">
        <x:f>Z523+W524-X524-T524-Z523*V524/AB523</x:f>
        <x:v>41.23780241668649</x:v>
      </x:c>
      <x:c r="AA524" s="32" t="n">
        <x:f>AA523+X524-U524-AA523*V524/AB523</x:f>
        <x:v>12.273760650541238</x:v>
      </x:c>
      <x:c r="AB524" s="10" t="n">
        <x:f>Y524+Z524+AA524</x:f>
        <x:v>98.53207992063278</x:v>
      </x:c>
      <x:c r="AC524" s="8" t="n">
        <x:f>IF(AND(v01_WinterTrigger=1,D524=1,AB523/AE523&gt;=K524),1,0)</x:f>
        <x:v>0</x:v>
      </x:c>
      <x:c r="AD524" s="8" t="n">
        <x:f>H524*IF(AND(OR(AB523/AE523&gt;=v01_FissionTrigger*N524,AC524=1),AB523/AE523*v01_DaughterShare&gt;=v01_MinDaughter),MAX(1,ROUND(AE523*v01_FissionRate,0)),0)</x:f>
        <x:v>0</x:v>
      </x:c>
      <x:c r="AE524" s="8" t="n">
        <x:f>IF(H524=1,MAX(1,MIN(INDEX(v01_Smax,G524),AE523+AD524)),AE523)</x:f>
        <x:v>3</x:v>
      </x:c>
      <x:c r="AF524" s="8" t="n">
        <x:f>MAX(0,AE524-AE523)</x:f>
        <x:v>0</x:v>
      </x:c>
      <x:c r="AG524" s="9" t="str">
        <x:f>IF(AF524&gt;0,B524,"")</x:f>
      </x:c>
      <x:c r="AH524" s="9" t="n">
        <x:f>IF(F524&gt;=1,1,(1+v01_LowTiesShare*(AE524-1))/AE524)</x:f>
        <x:v>1</x:v>
      </x:c>
      <x:c r="AI524" s="32" t="n">
        <x:f>(Z524+v01_ElderCommons*INDEX(LM_Elder,G524)*AA524)*AH524</x:f>
        <x:v>78.05908436831021</x:v>
      </x:c>
      <x:c r="AJ524" s="32" t="n">
        <x:f>H524*v01_CommonsCoef*AI524^v01_CommonsExp*INDEX(LM_Commons,G524)</x:f>
        <x:v>26.7980917896023</x:v>
      </x:c>
      <x:c r="AK524" s="32" t="n">
        <x:f>H524*v01_RoleScale*Arch_Roles*(AE524*(INDEX(v01_ElderRolePerSett,G524)*v01_OutElder*INDEX(LM_Elder,G524)+INDEX(v01_ShamanPerSett,G524)*v01_OutShaman)+Z524*(INDEX(v01_PriestShare,G524)*v01_OutPriest+INDEX(v01_ScribeShare,G524)*v01_OutScribe*INDEX(LM_Scribe,G524)+INDEX(v01_ScholarShare,G524)*v01_OutScholar*INDEX(LM_Scholar,G524)+INDEX(v01_ResearcherShare,G524)*v01_OutResearcher*INDEX(LM_Researcher,G524)))</x:f>
        <x:v>9</x:v>
      </x:c>
      <x:c r="AL524" s="32" t="n">
        <x:f>H524*v01_RoleScale*Arch_Roles*AE524*INDEX(v01_MonasteryPerSett,G524)*v01_OutMonastery*INDEX(LM_Monastery,G524)</x:f>
        <x:v>0</x:v>
      </x:c>
      <x:c r="AM524" s="32" t="n">
        <x:f>(AJ524+AK524+AL524)/4*INDEX(LM_All,G524)*INDEX(v01_Boon,G524)*Arch_Insight</x:f>
        <x:v>9.402592546612727</x:v>
      </x:c>
      <x:c r="AN524" s="32" t="n">
        <x:f>H524*(v01_KHPerAdult*Z524+v01_KHOfCommons*AJ524/4*INDEX(LM_All,G524))*v01_KHUsable*Arch_KH</x:f>
        <x:v>1.4433230845840272</x:v>
      </x:c>
      <x:c r="AO524" s="32" t="n">
        <x:f>MIN(AP523+AN524,AM524*v01_KHMaxRatio)</x:f>
        <x:v>1.4433230845840272</x:v>
      </x:c>
      <x:c r="AP524" s="32" t="n">
        <x:f>AP523+AN524-AO524</x:f>
        <x:v>0</x:v>
      </x:c>
      <x:c r="AQ524" s="32" t="n">
        <x:f>AM524+AO524</x:f>
        <x:v>10.845915631196753</x:v>
      </x:c>
      <x:c r="AR524" s="10" t="n">
        <x:f>IF(H524=1,INDEX(v01_Req,G524),0)</x:f>
        <x:v>4006.9599999999996</x:v>
      </x:c>
      <x:c r="AS524" s="32" t="n">
        <x:f>IF(H524=1,IF(E524=1,AS523-AR523,AS523)+AQ524,0)</x:f>
        <x:v>367.306812349473</x:v>
      </x:c>
      <x:c r="AT524" s="11" t="n">
        <x:f>IF(AR524&gt;0,MIN(1,AS524/AR524),1)</x:f>
        <x:v>0.09166720215561748</x:v>
      </x:c>
      <x:c r="AU524" s="10" t="n">
        <x:f>AB524/INDEX(v01_RepScale,G524)</x:f>
        <x:v>49.26603996031639</x:v>
      </x:c>
      <x:c r="AV524" s="32" t="n">
        <x:f>AM524*60/v01_SeasonSeconds</x:f>
        <x:v>37.61037018645091</x:v>
      </x:c>
    </x:row>
    <x:row r="525">
      <x:c r="A525" s="8" t="n">
        <x:f>A524+1</x:f>
        <x:v>522</x:v>
      </x:c>
      <x:c r="B525" s="9" t="n">
        <x:f>A525*v01_SeasonSeconds/60</x:f>
        <x:v>130.5</x:v>
      </x:c>
      <x:c r="C525" s="9" t="n">
        <x:f>A525/4</x:f>
        <x:v>130.5</x:v>
      </x:c>
      <x:c r="D525" s="8" t="n">
        <x:f>IF(MOD(A525,4)=0,1,0)</x:f>
        <x:v>0</x:v>
      </x:c>
      <x:c r="E525" s="8" t="n">
        <x:f>IF(AND(F524&lt;=9,AS524&gt;=AR524),1,0)</x:f>
        <x:v>0</x:v>
      </x:c>
      <x:c r="F525" s="8" t="n">
        <x:f>MIN(10,F524+E525)</x:f>
        <x:v>2</x:v>
      </x:c>
      <x:c r="G525" s="8" t="n">
        <x:f>MIN(F525,9)+1</x:f>
        <x:v>3</x:v>
      </x:c>
      <x:c r="H525" s="8" t="n">
        <x:f>IF(F525&lt;=9,1,0)</x:f>
        <x:v>1</x:v>
      </x:c>
      <x:c r="I525" s="9" t="n">
        <x:f>MIN(10,F524+IF(AR524&gt;0,MIN(1,AS524/AR524),1))</x:f>
        <x:v>2.0916672021556173</x:v>
      </x:c>
      <x:c r="J525" s="32" t="n">
        <x:f>INDEX(v01_FoodCap,G525)*Arch_FoodCap*EXP(v01_CapsByProject*SUMPRODUCT((Cap_Point&lt;=I525)*(Cap_Kind="Food")*Cap_Ln))</x:f>
        <x:v>60</x:v>
      </x:c>
      <x:c r="K525" s="32" t="n">
        <x:f>J525*MIN(1,v01_LeanBase*EXP(v01_CapsByProject*SUMPRODUCT((Cap_Point&lt;=I525)*(Cap_Kind="Lean")*Cap_Ln)))</x:f>
        <x:v>60</x:v>
      </x:c>
      <x:c r="L525" s="10" t="n">
        <x:f>INDEX(v01_HousingCap,G525)*EXP(v01_CapsByProject*SUMPRODUCT((Cap_Point&lt;=I525)*(Cap_Kind="Housing")*Cap_Ln))</x:f>
        <x:v>100</x:v>
      </x:c>
      <x:c r="M525" s="10" t="n">
        <x:f>INDEX(v01_GroupCap,G525)*v01_CohesionFactor*EXP(v01_CapsByProject*SUMPRODUCT((Cap_Point&lt;=I525)*(Cap_Kind="Group")*Cap_Ln))</x:f>
        <x:v>500</x:v>
      </x:c>
      <x:c r="N525" s="32" t="n">
        <x:f>MIN(J525,L525,M525)</x:f>
        <x:v>60</x:v>
      </x:c>
      <x:c r="O525" s="10" t="n">
        <x:f>AE524*N525</x:f>
        <x:v>180</x:v>
      </x:c>
      <x:c r="P525" s="9" t="n">
        <x:f>MIN(1,(AB524/(AE524*IF(v01_GroupInCrowding=1,N525,MIN(J525,L525))))^v01_CrowdingExp)</x:f>
        <x:v>0.02690486839360694</x:v>
      </x:c>
      <x:c r="Q525" s="9" t="n">
        <x:f>IF(D525=1,INDEX(v01_WinterMult,G525),1)</x:f>
        <x:v>1</x:v>
      </x:c>
      <x:c r="R525" s="9" t="n">
        <x:f>H525*Z524*v01_WomenShare*v01_BaseFertility*INDEX(v01_FertMult,G525)*Arch_Fertility*(1-P525)</x:f>
        <x:v>1.6251963431778713</x:v>
      </x:c>
      <x:c r="S525" s="9" t="n">
        <x:f>H525*Y524*INDEX(v01_MortChild,G525)/4*Q525</x:f>
        <x:v>0.3939295224672943</x:v>
      </x:c>
      <x:c r="T525" s="9" t="n">
        <x:f>H525*Z524*INDEX(v01_MortAdult,G525)*Arch_AdultMort/4*Q525</x:f>
        <x:v>0.12371340725005948</x:v>
      </x:c>
      <x:c r="U525" s="9" t="n">
        <x:f>H525*AA524*INDEX(v01_MortElder,G525)/4*Q525</x:f>
        <x:v>0.21479081138447167</x:v>
      </x:c>
      <x:c r="V525" s="9" t="n">
        <x:f>H525*MAX(0,AB524-O525)*v01_OvercapLoss</x:f>
        <x:v>0</x:v>
      </x:c>
      <x:c r="W525" s="9" t="n">
        <x:f>H525*Y524/(v01_ChildYears*4)</x:f>
        <x:v>0.8039378009536617</x:v>
      </x:c>
      <x:c r="X525" s="9" t="n">
        <x:f>H525*Z524/(v01_AdultYears*4)</x:f>
        <x:v>0.33256292271521365</x:v>
      </x:c>
      <x:c r="Y525" s="32" t="n">
        <x:f>Y524+R525-S525-W525-Y524*V525/AB524</x:f>
        <x:v>45.44784587316197</x:v>
      </x:c>
      <x:c r="Z525" s="32" t="n">
        <x:f>Z524+W525-X525-T525-Z524*V525/AB524</x:f>
        <x:v>41.585463887674884</x:v>
      </x:c>
      <x:c r="AA525" s="32" t="n">
        <x:f>AA524+X525-U525-AA524*V525/AB524</x:f>
        <x:v>12.39153276187198</x:v>
      </x:c>
      <x:c r="AB525" s="10" t="n">
        <x:f>Y525+Z525+AA525</x:f>
        <x:v>99.42484252270884</x:v>
      </x:c>
      <x:c r="AC525" s="8" t="n">
        <x:f>IF(AND(v01_WinterTrigger=1,D525=1,AB524/AE524&gt;=K525),1,0)</x:f>
        <x:v>0</x:v>
      </x:c>
      <x:c r="AD525" s="8" t="n">
        <x:f>H525*IF(AND(OR(AB524/AE524&gt;=v01_FissionTrigger*N525,AC525=1),AB524/AE524*v01_DaughterShare&gt;=v01_MinDaughter),MAX(1,ROUND(AE524*v01_FissionRate,0)),0)</x:f>
        <x:v>0</x:v>
      </x:c>
      <x:c r="AE525" s="8" t="n">
        <x:f>IF(H525=1,MAX(1,MIN(INDEX(v01_Smax,G525),AE524+AD525)),AE524)</x:f>
        <x:v>3</x:v>
      </x:c>
      <x:c r="AF525" s="8" t="n">
        <x:f>MAX(0,AE525-AE524)</x:f>
        <x:v>0</x:v>
      </x:c>
      <x:c r="AG525" s="9" t="str">
        <x:f>IF(AF525&gt;0,B525,"")</x:f>
      </x:c>
      <x:c r="AH525" s="9" t="n">
        <x:f>IF(F525&gt;=1,1,(1+v01_LowTiesShare*(AE525-1))/AE525)</x:f>
        <x:v>1</x:v>
      </x:c>
      <x:c r="AI525" s="32" t="n">
        <x:f>(Z525+v01_ElderCommons*INDEX(LM_Elder,G525)*AA525)*AH525</x:f>
        <x:v>78.76006217329083</x:v>
      </x:c>
      <x:c r="AJ525" s="32" t="n">
        <x:f>H525*v01_CommonsCoef*AI525^v01_CommonsExp*INDEX(LM_Commons,G525)</x:f>
        <x:v>27.002506438056923</x:v>
      </x:c>
      <x:c r="AK525" s="32" t="n">
        <x:f>H525*v01_RoleScale*Arch_Roles*(AE525*(INDEX(v01_ElderRolePerSett,G525)*v01_OutElder*INDEX(LM_Elder,G525)+INDEX(v01_ShamanPerSett,G525)*v01_OutShaman)+Z525*(INDEX(v01_PriestShare,G525)*v01_OutPriest+INDEX(v01_ScribeShare,G525)*v01_OutScribe*INDEX(LM_Scribe,G525)+INDEX(v01_ScholarShare,G525)*v01_OutScholar*INDEX(LM_Scholar,G525)+INDEX(v01_ResearcherShare,G525)*v01_OutResearcher*INDEX(LM_Researcher,G525)))</x:f>
        <x:v>9</x:v>
      </x:c>
      <x:c r="AL525" s="32" t="n">
        <x:f>H525*v01_RoleScale*Arch_Roles*AE525*INDEX(v01_MonasteryPerSett,G525)*v01_OutMonastery*INDEX(LM_Monastery,G525)</x:f>
        <x:v>0</x:v>
      </x:c>
      <x:c r="AM525" s="32" t="n">
        <x:f>(AJ525+AK525+AL525)/4*INDEX(LM_All,G525)*INDEX(v01_Boon,G525)*Arch_Insight</x:f>
        <x:v>9.456283331620888</x:v>
      </x:c>
      <x:c r="AN525" s="32" t="n">
        <x:f>H525*(v01_KHPerAdult*Z525+v01_KHOfCommons*AJ525/4*INDEX(LM_All,G525))*v01_KHUsable*Arch_KH</x:f>
        <x:v>1.455491236068621</x:v>
      </x:c>
      <x:c r="AO525" s="32" t="n">
        <x:f>MIN(AP524+AN525,AM525*v01_KHMaxRatio)</x:f>
        <x:v>1.455491236068621</x:v>
      </x:c>
      <x:c r="AP525" s="32" t="n">
        <x:f>AP524+AN525-AO525</x:f>
        <x:v>0</x:v>
      </x:c>
      <x:c r="AQ525" s="32" t="n">
        <x:f>AM525+AO525</x:f>
        <x:v>10.911774567689509</x:v>
      </x:c>
      <x:c r="AR525" s="10" t="n">
        <x:f>IF(H525=1,INDEX(v01_Req,G525),0)</x:f>
        <x:v>4006.9599999999996</x:v>
      </x:c>
      <x:c r="AS525" s="32" t="n">
        <x:f>IF(H525=1,IF(E525=1,AS524-AR524,AS524)+AQ525,0)</x:f>
        <x:v>378.2185869171625</x:v>
      </x:c>
      <x:c r="AT525" s="11" t="n">
        <x:f>IF(AR525&gt;0,MIN(1,AS525/AR525),1)</x:f>
        <x:v>0.09439040742037917</x:v>
      </x:c>
      <x:c r="AU525" s="10" t="n">
        <x:f>AB525/INDEX(v01_RepScale,G525)</x:f>
        <x:v>49.71242126135442</x:v>
      </x:c>
      <x:c r="AV525" s="32" t="n">
        <x:f>AM525*60/v01_SeasonSeconds</x:f>
        <x:v>37.82513332648355</x:v>
      </x:c>
    </x:row>
    <x:row r="526">
      <x:c r="A526" s="8" t="n">
        <x:f>A525+1</x:f>
        <x:v>523</x:v>
      </x:c>
      <x:c r="B526" s="9" t="n">
        <x:f>A526*v01_SeasonSeconds/60</x:f>
        <x:v>130.75</x:v>
      </x:c>
      <x:c r="C526" s="9" t="n">
        <x:f>A526/4</x:f>
        <x:v>130.75</x:v>
      </x:c>
      <x:c r="D526" s="8" t="n">
        <x:f>IF(MOD(A526,4)=0,1,0)</x:f>
        <x:v>0</x:v>
      </x:c>
      <x:c r="E526" s="8" t="n">
        <x:f>IF(AND(F525&lt;=9,AS525&gt;=AR525),1,0)</x:f>
        <x:v>0</x:v>
      </x:c>
      <x:c r="F526" s="8" t="n">
        <x:f>MIN(10,F525+E526)</x:f>
        <x:v>2</x:v>
      </x:c>
      <x:c r="G526" s="8" t="n">
        <x:f>MIN(F526,9)+1</x:f>
        <x:v>3</x:v>
      </x:c>
      <x:c r="H526" s="8" t="n">
        <x:f>IF(F526&lt;=9,1,0)</x:f>
        <x:v>1</x:v>
      </x:c>
      <x:c r="I526" s="9" t="n">
        <x:f>MIN(10,F525+IF(AR525&gt;0,MIN(1,AS525/AR525),1))</x:f>
        <x:v>2.094390407420379</x:v>
      </x:c>
      <x:c r="J526" s="32" t="n">
        <x:f>INDEX(v01_FoodCap,G526)*Arch_FoodCap*EXP(v01_CapsByProject*SUMPRODUCT((Cap_Point&lt;=I526)*(Cap_Kind="Food")*Cap_Ln))</x:f>
        <x:v>60</x:v>
      </x:c>
      <x:c r="K526" s="32" t="n">
        <x:f>J526*MIN(1,v01_LeanBase*EXP(v01_CapsByProject*SUMPRODUCT((Cap_Point&lt;=I526)*(Cap_Kind="Lean")*Cap_Ln)))</x:f>
        <x:v>60</x:v>
      </x:c>
      <x:c r="L526" s="10" t="n">
        <x:f>INDEX(v01_HousingCap,G526)*EXP(v01_CapsByProject*SUMPRODUCT((Cap_Point&lt;=I526)*(Cap_Kind="Housing")*Cap_Ln))</x:f>
        <x:v>100</x:v>
      </x:c>
      <x:c r="M526" s="10" t="n">
        <x:f>INDEX(v01_GroupCap,G526)*v01_CohesionFactor*EXP(v01_CapsByProject*SUMPRODUCT((Cap_Point&lt;=I526)*(Cap_Kind="Group")*Cap_Ln))</x:f>
        <x:v>500</x:v>
      </x:c>
      <x:c r="N526" s="32" t="n">
        <x:f>MIN(J526,L526,M526)</x:f>
        <x:v>60</x:v>
      </x:c>
      <x:c r="O526" s="10" t="n">
        <x:f>AE525*N526</x:f>
        <x:v>180</x:v>
      </x:c>
      <x:c r="P526" s="9" t="n">
        <x:f>MIN(1,(AB525/(AE525*IF(v01_GroupInCrowding=1,N526,MIN(J526,L526))))^v01_CrowdingExp)</x:f>
        <x:v>0.028401052857141028</x:v>
      </x:c>
      <x:c r="Q526" s="9" t="n">
        <x:f>IF(D526=1,INDEX(v01_WinterMult,G526),1)</x:f>
        <x:v>1</x:v>
      </x:c>
      <x:c r="R526" s="9" t="n">
        <x:f>H526*Z525*v01_WomenShare*v01_BaseFertility*INDEX(v01_FertMult,G526)*Arch_Fertility*(1-P526)</x:f>
        <x:v>1.6363779136533485</x:v>
      </x:c>
      <x:c r="S526" s="9" t="n">
        <x:f>H526*Y525*INDEX(v01_MortChild,G526)/4*Q526</x:f>
        <x:v>0.39766865139016727</x:v>
      </x:c>
      <x:c r="T526" s="9" t="n">
        <x:f>H526*Z525*INDEX(v01_MortAdult,G526)*Arch_AdultMort/4*Q526</x:f>
        <x:v>0.12475639166302466</x:v>
      </x:c>
      <x:c r="U526" s="9" t="n">
        <x:f>H526*AA525*INDEX(v01_MortElder,G526)/4*Q526</x:f>
        <x:v>0.21685182333275968</x:v>
      </x:c>
      <x:c r="V526" s="9" t="n">
        <x:f>H526*MAX(0,AB525-O526)*v01_OvercapLoss</x:f>
        <x:v>0</x:v>
      </x:c>
      <x:c r="W526" s="9" t="n">
        <x:f>H526*Y525/(v01_ChildYears*4)</x:f>
        <x:v>0.8115686763064637</x:v>
      </x:c>
      <x:c r="X526" s="9" t="n">
        <x:f>H526*Z525/(v01_AdultYears*4)</x:f>
        <x:v>0.3353666442554426</x:v>
      </x:c>
      <x:c r="Y526" s="32" t="n">
        <x:f>Y525+R526-S526-W526-Y525*V526/AB525</x:f>
        <x:v>45.87498645911868</x:v>
      </x:c>
      <x:c r="Z526" s="32" t="n">
        <x:f>Z525+W526-X526-T526-Z525*V526/AB525</x:f>
        <x:v>41.93690952806288</x:v>
      </x:c>
      <x:c r="AA526" s="32" t="n">
        <x:f>AA525+X526-U526-AA525*V526/AB525</x:f>
        <x:v>12.510047582794662</x:v>
      </x:c>
      <x:c r="AB526" s="10" t="n">
        <x:f>Y526+Z526+AA526</x:f>
        <x:v>100.32194356997621</x:v>
      </x:c>
      <x:c r="AC526" s="8" t="n">
        <x:f>IF(AND(v01_WinterTrigger=1,D526=1,AB525/AE525&gt;=K526),1,0)</x:f>
        <x:v>0</x:v>
      </x:c>
      <x:c r="AD526" s="8" t="n">
        <x:f>H526*IF(AND(OR(AB525/AE525&gt;=v01_FissionTrigger*N526,AC526=1),AB525/AE525*v01_DaughterShare&gt;=v01_MinDaughter),MAX(1,ROUND(AE525*v01_FissionRate,0)),0)</x:f>
        <x:v>0</x:v>
      </x:c>
      <x:c r="AE526" s="8" t="n">
        <x:f>IF(H526=1,MAX(1,MIN(INDEX(v01_Smax,G526),AE525+AD526)),AE525)</x:f>
        <x:v>3</x:v>
      </x:c>
      <x:c r="AF526" s="8" t="n">
        <x:f>MAX(0,AE526-AE525)</x:f>
        <x:v>0</x:v>
      </x:c>
      <x:c r="AG526" s="9" t="str">
        <x:f>IF(AF526&gt;0,B526,"")</x:f>
      </x:c>
      <x:c r="AH526" s="9" t="n">
        <x:f>IF(F526&gt;=1,1,(1+v01_LowTiesShare*(AE526-1))/AE526)</x:f>
        <x:v>1</x:v>
      </x:c>
      <x:c r="AI526" s="32" t="n">
        <x:f>(Z526+v01_ElderCommons*INDEX(LM_Elder,G526)*AA526)*AH526</x:f>
        <x:v>79.46705227644686</x:v>
      </x:c>
      <x:c r="AJ526" s="32" t="n">
        <x:f>H526*v01_CommonsCoef*AI526^v01_CommonsExp*INDEX(LM_Commons,G526)</x:f>
        <x:v>27.208398123137776</x:v>
      </x:c>
      <x:c r="AK526" s="32" t="n">
        <x:f>H526*v01_RoleScale*Arch_Roles*(AE526*(INDEX(v01_ElderRolePerSett,G526)*v01_OutElder*INDEX(LM_Elder,G526)+INDEX(v01_ShamanPerSett,G526)*v01_OutShaman)+Z526*(INDEX(v01_PriestShare,G526)*v01_OutPriest+INDEX(v01_ScribeShare,G526)*v01_OutScribe*INDEX(LM_Scribe,G526)+INDEX(v01_ScholarShare,G526)*v01_OutScholar*INDEX(LM_Scholar,G526)+INDEX(v01_ResearcherShare,G526)*v01_OutResearcher*INDEX(LM_Researcher,G526)))</x:f>
        <x:v>9</x:v>
      </x:c>
      <x:c r="AL526" s="32" t="n">
        <x:f>H526*v01_RoleScale*Arch_Roles*AE526*INDEX(v01_MonasteryPerSett,G526)*v01_OutMonastery*INDEX(LM_Monastery,G526)</x:f>
        <x:v>0</x:v>
      </x:c>
      <x:c r="AM526" s="32" t="n">
        <x:f>(AJ526+AK526+AL526)/4*INDEX(LM_All,G526)*INDEX(v01_Boon,G526)*Arch_Insight</x:f>
        <x:v>9.510362069530405</x:v>
      </x:c>
      <x:c r="AN526" s="32" t="n">
        <x:f>H526*(v01_KHPerAdult*Z526+v01_KHOfCommons*AJ526/4*INDEX(LM_All,G526))*v01_KHUsable*Arch_KH</x:f>
        <x:v>1.4677918334822009</x:v>
      </x:c>
      <x:c r="AO526" s="32" t="n">
        <x:f>MIN(AP525+AN526,AM526*v01_KHMaxRatio)</x:f>
        <x:v>1.4677918334822009</x:v>
      </x:c>
      <x:c r="AP526" s="32" t="n">
        <x:f>AP525+AN526-AO526</x:f>
        <x:v>0</x:v>
      </x:c>
      <x:c r="AQ526" s="32" t="n">
        <x:f>AM526+AO526</x:f>
        <x:v>10.978153903012606</x:v>
      </x:c>
      <x:c r="AR526" s="10" t="n">
        <x:f>IF(H526=1,INDEX(v01_Req,G526),0)</x:f>
        <x:v>4006.9599999999996</x:v>
      </x:c>
      <x:c r="AS526" s="32" t="n">
        <x:f>IF(H526=1,IF(E526=1,AS525-AR525,AS525)+AQ526,0)</x:f>
        <x:v>389.1967408201751</x:v>
      </x:c>
      <x:c r="AT526" s="11" t="n">
        <x:f>IF(AR526&gt;0,MIN(1,AS526/AR526),1)</x:f>
        <x:v>0.09713017869411601</x:v>
      </x:c>
      <x:c r="AU526" s="10" t="n">
        <x:f>AB526/INDEX(v01_RepScale,G526)</x:f>
        <x:v>50.16097178498811</x:v>
      </x:c>
      <x:c r="AV526" s="32" t="n">
        <x:f>AM526*60/v01_SeasonSeconds</x:f>
        <x:v>38.04144827812162</x:v>
      </x:c>
    </x:row>
    <x:row r="527">
      <x:c r="A527" s="8" t="n">
        <x:f>A526+1</x:f>
        <x:v>524</x:v>
      </x:c>
      <x:c r="B527" s="9" t="n">
        <x:f>A527*v01_SeasonSeconds/60</x:f>
        <x:v>131</x:v>
      </x:c>
      <x:c r="C527" s="9" t="n">
        <x:f>A527/4</x:f>
        <x:v>131</x:v>
      </x:c>
      <x:c r="D527" s="8" t="n">
        <x:f>IF(MOD(A527,4)=0,1,0)</x:f>
        <x:v>1</x:v>
      </x:c>
      <x:c r="E527" s="8" t="n">
        <x:f>IF(AND(F526&lt;=9,AS526&gt;=AR526),1,0)</x:f>
        <x:v>0</x:v>
      </x:c>
      <x:c r="F527" s="8" t="n">
        <x:f>MIN(10,F526+E527)</x:f>
        <x:v>2</x:v>
      </x:c>
      <x:c r="G527" s="8" t="n">
        <x:f>MIN(F527,9)+1</x:f>
        <x:v>3</x:v>
      </x:c>
      <x:c r="H527" s="8" t="n">
        <x:f>IF(F527&lt;=9,1,0)</x:f>
        <x:v>1</x:v>
      </x:c>
      <x:c r="I527" s="9" t="n">
        <x:f>MIN(10,F526+IF(AR526&gt;0,MIN(1,AS526/AR526),1))</x:f>
        <x:v>2.097130178694116</x:v>
      </x:c>
      <x:c r="J527" s="32" t="n">
        <x:f>INDEX(v01_FoodCap,G527)*Arch_FoodCap*EXP(v01_CapsByProject*SUMPRODUCT((Cap_Point&lt;=I527)*(Cap_Kind="Food")*Cap_Ln))</x:f>
        <x:v>60</x:v>
      </x:c>
      <x:c r="K527" s="32" t="n">
        <x:f>J527*MIN(1,v01_LeanBase*EXP(v01_CapsByProject*SUMPRODUCT((Cap_Point&lt;=I527)*(Cap_Kind="Lean")*Cap_Ln)))</x:f>
        <x:v>60</x:v>
      </x:c>
      <x:c r="L527" s="10" t="n">
        <x:f>INDEX(v01_HousingCap,G527)*EXP(v01_CapsByProject*SUMPRODUCT((Cap_Point&lt;=I527)*(Cap_Kind="Housing")*Cap_Ln))</x:f>
        <x:v>100</x:v>
      </x:c>
      <x:c r="M527" s="10" t="n">
        <x:f>INDEX(v01_GroupCap,G527)*v01_CohesionFactor*EXP(v01_CapsByProject*SUMPRODUCT((Cap_Point&lt;=I527)*(Cap_Kind="Group")*Cap_Ln))</x:f>
        <x:v>500</x:v>
      </x:c>
      <x:c r="N527" s="32" t="n">
        <x:f>MIN(J527,L527,M527)</x:f>
        <x:v>60</x:v>
      </x:c>
      <x:c r="O527" s="10" t="n">
        <x:f>AE526*N527</x:f>
        <x:v>180</x:v>
      </x:c>
      <x:c r="P527" s="9" t="n">
        <x:f>MIN(1,(AB526/(AE526*IF(v01_GroupInCrowding=1,N527,MIN(J527,L527))))^v01_CrowdingExp)</x:f>
        <x:v>0.029973716352080265</x:v>
      </x:c>
      <x:c r="Q527" s="9" t="n">
        <x:f>IF(D527=1,INDEX(v01_WinterMult,G527),1)</x:f>
        <x:v>1.3</x:v>
      </x:c>
      <x:c r="R527" s="9" t="n">
        <x:f>H527*Z526*v01_WomenShare*v01_BaseFertility*INDEX(v01_FertMult,G527)*Arch_Fertility*(1-P527)</x:f>
        <x:v>1.6475361321360276</x:v>
      </x:c>
      <x:c r="S527" s="9" t="n">
        <x:f>H527*Y526*INDEX(v01_MortChild,G527)/4*Q527</x:f>
        <x:v>0.521827970972475</x:v>
      </x:c>
      <x:c r="T527" s="9" t="n">
        <x:f>H527*Z526*INDEX(v01_MortAdult,G527)*Arch_AdultMort/4*Q527</x:f>
        <x:v>0.1635539471594452</x:v>
      </x:c>
      <x:c r="U527" s="9" t="n">
        <x:f>H527*AA526*INDEX(v01_MortElder,G527)/4*Q527</x:f>
        <x:v>0.2846035825085786</x:v>
      </x:c>
      <x:c r="V527" s="9" t="n">
        <x:f>H527*MAX(0,AB526-O527)*v01_OvercapLoss</x:f>
        <x:v>0</x:v>
      </x:c>
      <x:c r="W527" s="9" t="n">
        <x:f>H527*Y526/(v01_ChildYears*4)</x:f>
        <x:v>0.8191961867699764</x:v>
      </x:c>
      <x:c r="X527" s="9" t="n">
        <x:f>H527*Z526/(v01_AdultYears*4)</x:f>
        <x:v>0.33820088329082965</x:v>
      </x:c>
      <x:c r="Y527" s="32" t="n">
        <x:f>Y526+R527-S527-W527-Y526*V527/AB526</x:f>
        <x:v>46.18149843351225</x:v>
      </x:c>
      <x:c r="Z527" s="32" t="n">
        <x:f>Z526+W527-X527-T527-Z526*V527/AB526</x:f>
        <x:v>42.25435088438258</x:v>
      </x:c>
      <x:c r="AA527" s="32" t="n">
        <x:f>AA526+X527-U527-AA526*V527/AB526</x:f>
        <x:v>12.563644883576913</x:v>
      </x:c>
      <x:c r="AB527" s="10" t="n">
        <x:f>Y527+Z527+AA527</x:f>
        <x:v>100.99949420147175</x:v>
      </x:c>
      <x:c r="AC527" s="8" t="n">
        <x:f>IF(AND(v01_WinterTrigger=1,D527=1,AB526/AE526&gt;=K527),1,0)</x:f>
        <x:v>0</x:v>
      </x:c>
      <x:c r="AD527" s="8" t="n">
        <x:f>H527*IF(AND(OR(AB526/AE526&gt;=v01_FissionTrigger*N527,AC527=1),AB526/AE526*v01_DaughterShare&gt;=v01_MinDaughter),MAX(1,ROUND(AE526*v01_FissionRate,0)),0)</x:f>
        <x:v>0</x:v>
      </x:c>
      <x:c r="AE527" s="8" t="n">
        <x:f>IF(H527=1,MAX(1,MIN(INDEX(v01_Smax,G527),AE526+AD527)),AE526)</x:f>
        <x:v>3</x:v>
      </x:c>
      <x:c r="AF527" s="8" t="n">
        <x:f>MAX(0,AE527-AE526)</x:f>
        <x:v>0</x:v>
      </x:c>
      <x:c r="AG527" s="9" t="str">
        <x:f>IF(AF527&gt;0,B527,"")</x:f>
      </x:c>
      <x:c r="AH527" s="9" t="n">
        <x:f>IF(F527&gt;=1,1,(1+v01_LowTiesShare*(AE527-1))/AE527)</x:f>
        <x:v>1</x:v>
      </x:c>
      <x:c r="AI527" s="32" t="n">
        <x:f>(Z527+v01_ElderCommons*INDEX(LM_Elder,G527)*AA527)*AH527</x:f>
        <x:v>79.94528553511333</x:v>
      </x:c>
      <x:c r="AJ527" s="32" t="n">
        <x:f>H527*v01_CommonsCoef*AI527^v01_CommonsExp*INDEX(LM_Commons,G527)</x:f>
        <x:v>27.34751472446238</x:v>
      </x:c>
      <x:c r="AK527" s="32" t="n">
        <x:f>H527*v01_RoleScale*Arch_Roles*(AE527*(INDEX(v01_ElderRolePerSett,G527)*v01_OutElder*INDEX(LM_Elder,G527)+INDEX(v01_ShamanPerSett,G527)*v01_OutShaman)+Z527*(INDEX(v01_PriestShare,G527)*v01_OutPriest+INDEX(v01_ScribeShare,G527)*v01_OutScribe*INDEX(LM_Scribe,G527)+INDEX(v01_ScholarShare,G527)*v01_OutScholar*INDEX(LM_Scholar,G527)+INDEX(v01_ResearcherShare,G527)*v01_OutResearcher*INDEX(LM_Researcher,G527)))</x:f>
        <x:v>9</x:v>
      </x:c>
      <x:c r="AL527" s="32" t="n">
        <x:f>H527*v01_RoleScale*Arch_Roles*AE527*INDEX(v01_MonasteryPerSett,G527)*v01_OutMonastery*INDEX(LM_Monastery,G527)</x:f>
        <x:v>0</x:v>
      </x:c>
      <x:c r="AM527" s="32" t="n">
        <x:f>(AJ527+AK527+AL527)/4*INDEX(LM_All,G527)*INDEX(v01_Boon,G527)*Arch_Insight</x:f>
        <x:v>9.546901914347071</x:v>
      </x:c>
      <x:c r="AN527" s="32" t="n">
        <x:f>H527*(v01_KHPerAdult*Z527+v01_KHOfCommons*AJ527/4*INDEX(LM_All,G527))*v01_KHUsable*Arch_KH</x:f>
        <x:v>1.4789022809533905</x:v>
      </x:c>
      <x:c r="AO527" s="32" t="n">
        <x:f>MIN(AP526+AN527,AM527*v01_KHMaxRatio)</x:f>
        <x:v>1.4789022809533905</x:v>
      </x:c>
      <x:c r="AP527" s="32" t="n">
        <x:f>AP526+AN527-AO527</x:f>
        <x:v>0</x:v>
      </x:c>
      <x:c r="AQ527" s="32" t="n">
        <x:f>AM527+AO527</x:f>
        <x:v>11.025804195300461</x:v>
      </x:c>
      <x:c r="AR527" s="10" t="n">
        <x:f>IF(H527=1,INDEX(v01_Req,G527),0)</x:f>
        <x:v>4006.9599999999996</x:v>
      </x:c>
      <x:c r="AS527" s="32" t="n">
        <x:f>IF(H527=1,IF(E527=1,AS526-AR526,AS526)+AQ527,0)</x:f>
        <x:v>400.22254501547553</x:v>
      </x:c>
      <x:c r="AT527" s="11" t="n">
        <x:f>IF(AR527&gt;0,MIN(1,AS527/AR527),1)</x:f>
        <x:v>0.09988184184905155</x:v>
      </x:c>
      <x:c r="AU527" s="10" t="n">
        <x:f>AB527/INDEX(v01_RepScale,G527)</x:f>
        <x:v>50.499747100735874</x:v>
      </x:c>
      <x:c r="AV527" s="32" t="n">
        <x:f>AM527*60/v01_SeasonSeconds</x:f>
        <x:v>38.187607657388284</x:v>
      </x:c>
    </x:row>
    <x:row r="528">
      <x:c r="A528" s="8" t="n">
        <x:f>A527+1</x:f>
        <x:v>525</x:v>
      </x:c>
      <x:c r="B528" s="9" t="n">
        <x:f>A528*v01_SeasonSeconds/60</x:f>
        <x:v>131.25</x:v>
      </x:c>
      <x:c r="C528" s="9" t="n">
        <x:f>A528/4</x:f>
        <x:v>131.25</x:v>
      </x:c>
      <x:c r="D528" s="8" t="n">
        <x:f>IF(MOD(A528,4)=0,1,0)</x:f>
        <x:v>0</x:v>
      </x:c>
      <x:c r="E528" s="8" t="n">
        <x:f>IF(AND(F527&lt;=9,AS527&gt;=AR527),1,0)</x:f>
        <x:v>0</x:v>
      </x:c>
      <x:c r="F528" s="8" t="n">
        <x:f>MIN(10,F527+E528)</x:f>
        <x:v>2</x:v>
      </x:c>
      <x:c r="G528" s="8" t="n">
        <x:f>MIN(F528,9)+1</x:f>
        <x:v>3</x:v>
      </x:c>
      <x:c r="H528" s="8" t="n">
        <x:f>IF(F528&lt;=9,1,0)</x:f>
        <x:v>1</x:v>
      </x:c>
      <x:c r="I528" s="9" t="n">
        <x:f>MIN(10,F527+IF(AR527&gt;0,MIN(1,AS527/AR527),1))</x:f>
        <x:v>2.0998818418490517</x:v>
      </x:c>
      <x:c r="J528" s="32" t="n">
        <x:f>INDEX(v01_FoodCap,G528)*Arch_FoodCap*EXP(v01_CapsByProject*SUMPRODUCT((Cap_Point&lt;=I528)*(Cap_Kind="Food")*Cap_Ln))</x:f>
        <x:v>60</x:v>
      </x:c>
      <x:c r="K528" s="32" t="n">
        <x:f>J528*MIN(1,v01_LeanBase*EXP(v01_CapsByProject*SUMPRODUCT((Cap_Point&lt;=I528)*(Cap_Kind="Lean")*Cap_Ln)))</x:f>
        <x:v>60</x:v>
      </x:c>
      <x:c r="L528" s="10" t="n">
        <x:f>INDEX(v01_HousingCap,G528)*EXP(v01_CapsByProject*SUMPRODUCT((Cap_Point&lt;=I528)*(Cap_Kind="Housing")*Cap_Ln))</x:f>
        <x:v>100</x:v>
      </x:c>
      <x:c r="M528" s="10" t="n">
        <x:f>INDEX(v01_GroupCap,G528)*v01_CohesionFactor*EXP(v01_CapsByProject*SUMPRODUCT((Cap_Point&lt;=I528)*(Cap_Kind="Group")*Cap_Ln))</x:f>
        <x:v>500</x:v>
      </x:c>
      <x:c r="N528" s="32" t="n">
        <x:f>MIN(J528,L528,M528)</x:f>
        <x:v>60</x:v>
      </x:c>
      <x:c r="O528" s="10" t="n">
        <x:f>AE527*N528</x:f>
        <x:v>180</x:v>
      </x:c>
      <x:c r="P528" s="9" t="n">
        <x:f>MIN(1,(AB527/(AE527*IF(v01_GroupInCrowding=1,N528,MIN(J528,L528))))^v01_CrowdingExp)</x:f>
        <x:v>0.031209022233892606</x:v>
      </x:c>
      <x:c r="Q528" s="9" t="n">
        <x:f>IF(D528=1,INDEX(v01_WinterMult,G528),1)</x:f>
        <x:v>1</x:v>
      </x:c>
      <x:c r="R528" s="9" t="n">
        <x:f>H528*Z527*v01_WomenShare*v01_BaseFertility*INDEX(v01_FertMult,G528)*Arch_Fertility*(1-P528)</x:f>
        <x:v>1.657893173280204</x:v>
      </x:c>
      <x:c r="S528" s="9" t="n">
        <x:f>H528*Y527*INDEX(v01_MortChild,G528)/4*Q528</x:f>
        <x:v>0.40408811129323224</x:v>
      </x:c>
      <x:c r="T528" s="9" t="n">
        <x:f>H528*Z527*INDEX(v01_MortAdult,G528)*Arch_AdultMort/4*Q528</x:f>
        <x:v>0.12676305265314775</x:v>
      </x:c>
      <x:c r="U528" s="9" t="n">
        <x:f>H528*AA527*INDEX(v01_MortElder,G528)/4*Q528</x:f>
        <x:v>0.219863785462596</x:v>
      </x:c>
      <x:c r="V528" s="9" t="n">
        <x:f>H528*MAX(0,AB527-O528)*v01_OvercapLoss</x:f>
        <x:v>0</x:v>
      </x:c>
      <x:c r="W528" s="9" t="n">
        <x:f>H528*Y527/(v01_ChildYears*4)</x:f>
        <x:v>0.8246696148841474</x:v>
      </x:c>
      <x:c r="X528" s="9" t="n">
        <x:f>H528*Z527/(v01_AdultYears*4)</x:f>
        <x:v>0.3407608942288918</x:v>
      </x:c>
      <x:c r="Y528" s="32" t="n">
        <x:f>Y527+R528-S528-W528-Y527*V528/AB527</x:f>
        <x:v>46.610633880615076</x:v>
      </x:c>
      <x:c r="Z528" s="32" t="n">
        <x:f>Z527+W528-X528-T528-Z527*V528/AB527</x:f>
        <x:v>42.61149655238469</x:v>
      </x:c>
      <x:c r="AA528" s="32" t="n">
        <x:f>AA527+X528-U528-AA527*V528/AB527</x:f>
        <x:v>12.684541992343208</x:v>
      </x:c>
      <x:c r="AB528" s="10" t="n">
        <x:f>Y528+Z528+AA528</x:f>
        <x:v>101.90667242534298</x:v>
      </x:c>
      <x:c r="AC528" s="8" t="n">
        <x:f>IF(AND(v01_WinterTrigger=1,D528=1,AB527/AE527&gt;=K528),1,0)</x:f>
        <x:v>0</x:v>
      </x:c>
      <x:c r="AD528" s="8" t="n">
        <x:f>H528*IF(AND(OR(AB527/AE527&gt;=v01_FissionTrigger*N528,AC528=1),AB527/AE527*v01_DaughterShare&gt;=v01_MinDaughter),MAX(1,ROUND(AE527*v01_FissionRate,0)),0)</x:f>
        <x:v>0</x:v>
      </x:c>
      <x:c r="AE528" s="8" t="n">
        <x:f>IF(H528=1,MAX(1,MIN(INDEX(v01_Smax,G528),AE527+AD528)),AE527)</x:f>
        <x:v>3</x:v>
      </x:c>
      <x:c r="AF528" s="8" t="n">
        <x:f>MAX(0,AE528-AE527)</x:f>
        <x:v>0</x:v>
      </x:c>
      <x:c r="AG528" s="9" t="str">
        <x:f>IF(AF528&gt;0,B528,"")</x:f>
      </x:c>
      <x:c r="AH528" s="9" t="n">
        <x:f>IF(F528&gt;=1,1,(1+v01_LowTiesShare*(AE528-1))/AE528)</x:f>
        <x:v>1</x:v>
      </x:c>
      <x:c r="AI528" s="32" t="n">
        <x:f>(Z528+v01_ElderCommons*INDEX(LM_Elder,G528)*AA528)*AH528</x:f>
        <x:v>80.66512252941432</x:v>
      </x:c>
      <x:c r="AJ528" s="32" t="n">
        <x:f>H528*v01_CommonsCoef*AI528^v01_CommonsExp*INDEX(LM_Commons,G528)</x:f>
        <x:v>27.556678138059556</x:v>
      </x:c>
      <x:c r="AK528" s="32" t="n">
        <x:f>H528*v01_RoleScale*Arch_Roles*(AE528*(INDEX(v01_ElderRolePerSett,G528)*v01_OutElder*INDEX(LM_Elder,G528)+INDEX(v01_ShamanPerSett,G528)*v01_OutShaman)+Z528*(INDEX(v01_PriestShare,G528)*v01_OutPriest+INDEX(v01_ScribeShare,G528)*v01_OutScribe*INDEX(LM_Scribe,G528)+INDEX(v01_ScholarShare,G528)*v01_OutScholar*INDEX(LM_Scholar,G528)+INDEX(v01_ResearcherShare,G528)*v01_OutResearcher*INDEX(LM_Researcher,G528)))</x:f>
        <x:v>9</x:v>
      </x:c>
      <x:c r="AL528" s="32" t="n">
        <x:f>H528*v01_RoleScale*Arch_Roles*AE528*INDEX(v01_MonasteryPerSett,G528)*v01_OutMonastery*INDEX(LM_Monastery,G528)</x:f>
        <x:v>0</x:v>
      </x:c>
      <x:c r="AM528" s="32" t="n">
        <x:f>(AJ528+AK528+AL528)/4*INDEX(LM_All,G528)*INDEX(v01_Boon,G528)*Arch_Insight</x:f>
        <x:v>9.601839992199704</x:v>
      </x:c>
      <x:c r="AN528" s="32" t="n">
        <x:f>H528*(v01_KHPerAdult*Z528+v01_KHOfCommons*AJ528/4*INDEX(LM_All,G528))*v01_KHUsable*Arch_KH</x:f>
        <x:v>1.491402379333464</x:v>
      </x:c>
      <x:c r="AO528" s="32" t="n">
        <x:f>MIN(AP527+AN528,AM528*v01_KHMaxRatio)</x:f>
        <x:v>1.491402379333464</x:v>
      </x:c>
      <x:c r="AP528" s="32" t="n">
        <x:f>AP527+AN528-AO528</x:f>
        <x:v>0</x:v>
      </x:c>
      <x:c r="AQ528" s="32" t="n">
        <x:f>AM528+AO528</x:f>
        <x:v>11.093242371533169</x:v>
      </x:c>
      <x:c r="AR528" s="10" t="n">
        <x:f>IF(H528=1,INDEX(v01_Req,G528),0)</x:f>
        <x:v>4006.9599999999996</x:v>
      </x:c>
      <x:c r="AS528" s="32" t="n">
        <x:f>IF(H528=1,IF(E528=1,AS527-AR527,AS527)+AQ528,0)</x:f>
        <x:v>411.3157873870087</x:v>
      </x:c>
      <x:c r="AT528" s="11" t="n">
        <x:f>IF(AR528&gt;0,MIN(1,AS528/AR528),1)</x:f>
        <x:v>0.10265033526339389</x:v>
      </x:c>
      <x:c r="AU528" s="10" t="n">
        <x:f>AB528/INDEX(v01_RepScale,G528)</x:f>
        <x:v>50.95333621267149</x:v>
      </x:c>
      <x:c r="AV528" s="32" t="n">
        <x:f>AM528*60/v01_SeasonSeconds</x:f>
        <x:v>38.407359968798815</x:v>
      </x:c>
    </x:row>
    <x:row r="529">
      <x:c r="A529" s="8" t="n">
        <x:f>A528+1</x:f>
        <x:v>526</x:v>
      </x:c>
      <x:c r="B529" s="9" t="n">
        <x:f>A529*v01_SeasonSeconds/60</x:f>
        <x:v>131.5</x:v>
      </x:c>
      <x:c r="C529" s="9" t="n">
        <x:f>A529/4</x:f>
        <x:v>131.5</x:v>
      </x:c>
      <x:c r="D529" s="8" t="n">
        <x:f>IF(MOD(A529,4)=0,1,0)</x:f>
        <x:v>0</x:v>
      </x:c>
      <x:c r="E529" s="8" t="n">
        <x:f>IF(AND(F528&lt;=9,AS528&gt;=AR528),1,0)</x:f>
        <x:v>0</x:v>
      </x:c>
      <x:c r="F529" s="8" t="n">
        <x:f>MIN(10,F528+E529)</x:f>
        <x:v>2</x:v>
      </x:c>
      <x:c r="G529" s="8" t="n">
        <x:f>MIN(F529,9)+1</x:f>
        <x:v>3</x:v>
      </x:c>
      <x:c r="H529" s="8" t="n">
        <x:f>IF(F529&lt;=9,1,0)</x:f>
        <x:v>1</x:v>
      </x:c>
      <x:c r="I529" s="9" t="n">
        <x:f>MIN(10,F528+IF(AR528&gt;0,MIN(1,AS528/AR528),1))</x:f>
        <x:v>2.102650335263394</x:v>
      </x:c>
      <x:c r="J529" s="32" t="n">
        <x:f>INDEX(v01_FoodCap,G529)*Arch_FoodCap*EXP(v01_CapsByProject*SUMPRODUCT((Cap_Point&lt;=I529)*(Cap_Kind="Food")*Cap_Ln))</x:f>
        <x:v>60</x:v>
      </x:c>
      <x:c r="K529" s="32" t="n">
        <x:f>J529*MIN(1,v01_LeanBase*EXP(v01_CapsByProject*SUMPRODUCT((Cap_Point&lt;=I529)*(Cap_Kind="Lean")*Cap_Ln)))</x:f>
        <x:v>60</x:v>
      </x:c>
      <x:c r="L529" s="10" t="n">
        <x:f>INDEX(v01_HousingCap,G529)*EXP(v01_CapsByProject*SUMPRODUCT((Cap_Point&lt;=I529)*(Cap_Kind="Housing")*Cap_Ln))</x:f>
        <x:v>100</x:v>
      </x:c>
      <x:c r="M529" s="10" t="n">
        <x:f>INDEX(v01_GroupCap,G529)*v01_CohesionFactor*EXP(v01_CapsByProject*SUMPRODUCT((Cap_Point&lt;=I529)*(Cap_Kind="Group")*Cap_Ln))</x:f>
        <x:v>500</x:v>
      </x:c>
      <x:c r="N529" s="32" t="n">
        <x:f>MIN(J529,L529,M529)</x:f>
        <x:v>60</x:v>
      </x:c>
      <x:c r="O529" s="10" t="n">
        <x:f>AE528*N529</x:f>
        <x:v>180</x:v>
      </x:c>
      <x:c r="P529" s="9" t="n">
        <x:f>MIN(1,(AB528/(AE528*IF(v01_GroupInCrowding=1,N529,MIN(J529,L529))))^v01_CrowdingExp)</x:f>
        <x:v>0.032929163145657595</x:v>
      </x:c>
      <x:c r="Q529" s="9" t="n">
        <x:f>IF(D529=1,INDEX(v01_WinterMult,G529),1)</x:f>
        <x:v>1</x:v>
      </x:c>
      <x:c r="R529" s="9" t="n">
        <x:f>H529*Z528*v01_WomenShare*v01_BaseFertility*INDEX(v01_FertMult,G529)*Arch_Fertility*(1-P529)</x:f>
        <x:v>1.668937593036489</x:v>
      </x:c>
      <x:c r="S529" s="9" t="n">
        <x:f>H529*Y528*INDEX(v01_MortChild,G529)/4*Q529</x:f>
        <x:v>0.40784304645538194</x:v>
      </x:c>
      <x:c r="T529" s="9" t="n">
        <x:f>H529*Z528*INDEX(v01_MortAdult,G529)*Arch_AdultMort/4*Q529</x:f>
        <x:v>0.12783448965715408</x:v>
      </x:c>
      <x:c r="U529" s="9" t="n">
        <x:f>H529*AA528*INDEX(v01_MortElder,G529)/4*Q529</x:f>
        <x:v>0.22197948486600616</x:v>
      </x:c>
      <x:c r="V529" s="9" t="n">
        <x:f>H529*MAX(0,AB528-O529)*v01_OvercapLoss</x:f>
        <x:v>0</x:v>
      </x:c>
      <x:c r="W529" s="9" t="n">
        <x:f>H529*Y528/(v01_ChildYears*4)</x:f>
        <x:v>0.8323327478681264</x:v>
      </x:c>
      <x:c r="X529" s="9" t="n">
        <x:f>H529*Z528/(v01_AdultYears*4)</x:f>
        <x:v>0.34364110122890884</x:v>
      </x:c>
      <x:c r="Y529" s="32" t="n">
        <x:f>Y528+R529-S529-W529-Y528*V529/AB528</x:f>
        <x:v>47.03939567932805</x:v>
      </x:c>
      <x:c r="Z529" s="32" t="n">
        <x:f>Z528+W529-X529-T529-Z528*V529/AB528</x:f>
        <x:v>42.97235370936676</x:v>
      </x:c>
      <x:c r="AA529" s="32" t="n">
        <x:f>AA528+X529-U529-AA528*V529/AB528</x:f>
        <x:v>12.806203608706111</x:v>
      </x:c>
      <x:c r="AB529" s="10" t="n">
        <x:f>Y529+Z529+AA529</x:f>
        <x:v>102.81795299740092</x:v>
      </x:c>
      <x:c r="AC529" s="8" t="n">
        <x:f>IF(AND(v01_WinterTrigger=1,D529=1,AB528/AE528&gt;=K529),1,0)</x:f>
        <x:v>0</x:v>
      </x:c>
      <x:c r="AD529" s="8" t="n">
        <x:f>H529*IF(AND(OR(AB528/AE528&gt;=v01_FissionTrigger*N529,AC529=1),AB528/AE528*v01_DaughterShare&gt;=v01_MinDaughter),MAX(1,ROUND(AE528*v01_FissionRate,0)),0)</x:f>
        <x:v>0</x:v>
      </x:c>
      <x:c r="AE529" s="8" t="n">
        <x:f>IF(H529=1,MAX(1,MIN(INDEX(v01_Smax,G529),AE528+AD529)),AE528)</x:f>
        <x:v>3</x:v>
      </x:c>
      <x:c r="AF529" s="8" t="n">
        <x:f>MAX(0,AE529-AE528)</x:f>
        <x:v>0</x:v>
      </x:c>
      <x:c r="AG529" s="9" t="str">
        <x:f>IF(AF529&gt;0,B529,"")</x:f>
      </x:c>
      <x:c r="AH529" s="9" t="n">
        <x:f>IF(F529&gt;=1,1,(1+v01_LowTiesShare*(AE529-1))/AE529)</x:f>
        <x:v>1</x:v>
      </x:c>
      <x:c r="AI529" s="32" t="n">
        <x:f>(Z529+v01_ElderCommons*INDEX(LM_Elder,G529)*AA529)*AH529</x:f>
        <x:v>81.3909645354851</x:v>
      </x:c>
      <x:c r="AJ529" s="32" t="n">
        <x:f>H529*v01_CommonsCoef*AI529^v01_CommonsExp*INDEX(LM_Commons,G529)</x:f>
        <x:v>27.76730313261736</x:v>
      </x:c>
      <x:c r="AK529" s="32" t="n">
        <x:f>H529*v01_RoleScale*Arch_Roles*(AE529*(INDEX(v01_ElderRolePerSett,G529)*v01_OutElder*INDEX(LM_Elder,G529)+INDEX(v01_ShamanPerSett,G529)*v01_OutShaman)+Z529*(INDEX(v01_PriestShare,G529)*v01_OutPriest+INDEX(v01_ScribeShare,G529)*v01_OutScribe*INDEX(LM_Scribe,G529)+INDEX(v01_ScholarShare,G529)*v01_OutScholar*INDEX(LM_Scholar,G529)+INDEX(v01_ResearcherShare,G529)*v01_OutResearcher*INDEX(LM_Researcher,G529)))</x:f>
        <x:v>9</x:v>
      </x:c>
      <x:c r="AL529" s="32" t="n">
        <x:f>H529*v01_RoleScale*Arch_Roles*AE529*INDEX(v01_MonasteryPerSett,G529)*v01_OutMonastery*INDEX(LM_Monastery,G529)</x:f>
        <x:v>0</x:v>
      </x:c>
      <x:c r="AM529" s="32" t="n">
        <x:f>(AJ529+AK529+AL529)/4*INDEX(LM_All,G529)*INDEX(v01_Boon,G529)*Arch_Insight</x:f>
        <x:v>9.657161963426526</x:v>
      </x:c>
      <x:c r="AN529" s="32" t="n">
        <x:f>H529*(v01_KHPerAdult*Z529+v01_KHOfCommons*AJ529/4*INDEX(LM_All,G529))*v01_KHUsable*Arch_KH</x:f>
        <x:v>1.5040323798278363</x:v>
      </x:c>
      <x:c r="AO529" s="32" t="n">
        <x:f>MIN(AP528+AN529,AM529*v01_KHMaxRatio)</x:f>
        <x:v>1.5040323798278363</x:v>
      </x:c>
      <x:c r="AP529" s="32" t="n">
        <x:f>AP528+AN529-AO529</x:f>
        <x:v>0</x:v>
      </x:c>
      <x:c r="AQ529" s="32" t="n">
        <x:f>AM529+AO529</x:f>
        <x:v>11.161194343254362</x:v>
      </x:c>
      <x:c r="AR529" s="10" t="n">
        <x:f>IF(H529=1,INDEX(v01_Req,G529),0)</x:f>
        <x:v>4006.9599999999996</x:v>
      </x:c>
      <x:c r="AS529" s="32" t="n">
        <x:f>IF(H529=1,IF(E529=1,AS528-AR528,AS528)+AQ529,0)</x:f>
        <x:v>422.47698173026305</x:v>
      </x:c>
      <x:c r="AT529" s="11" t="n">
        <x:f>IF(AR529&gt;0,MIN(1,AS529/AR529),1)</x:f>
        <x:v>0.10543578716290232</x:v>
      </x:c>
      <x:c r="AU529" s="10" t="n">
        <x:f>AB529/INDEX(v01_RepScale,G529)</x:f>
        <x:v>51.40897649870046</x:v>
      </x:c>
      <x:c r="AV529" s="32" t="n">
        <x:f>AM529*60/v01_SeasonSeconds</x:f>
        <x:v>38.628647853706106</x:v>
      </x:c>
    </x:row>
    <x:row r="530">
      <x:c r="A530" s="8" t="n">
        <x:f>A529+1</x:f>
        <x:v>527</x:v>
      </x:c>
      <x:c r="B530" s="9" t="n">
        <x:f>A530*v01_SeasonSeconds/60</x:f>
        <x:v>131.75</x:v>
      </x:c>
      <x:c r="C530" s="9" t="n">
        <x:f>A530/4</x:f>
        <x:v>131.75</x:v>
      </x:c>
      <x:c r="D530" s="8" t="n">
        <x:f>IF(MOD(A530,4)=0,1,0)</x:f>
        <x:v>0</x:v>
      </x:c>
      <x:c r="E530" s="8" t="n">
        <x:f>IF(AND(F529&lt;=9,AS529&gt;=AR529),1,0)</x:f>
        <x:v>0</x:v>
      </x:c>
      <x:c r="F530" s="8" t="n">
        <x:f>MIN(10,F529+E530)</x:f>
        <x:v>2</x:v>
      </x:c>
      <x:c r="G530" s="8" t="n">
        <x:f>MIN(F530,9)+1</x:f>
        <x:v>3</x:v>
      </x:c>
      <x:c r="H530" s="8" t="n">
        <x:f>IF(F530&lt;=9,1,0)</x:f>
        <x:v>1</x:v>
      </x:c>
      <x:c r="I530" s="9" t="n">
        <x:f>MIN(10,F529+IF(AR529&gt;0,MIN(1,AS529/AR529),1))</x:f>
        <x:v>2.1054357871629024</x:v>
      </x:c>
      <x:c r="J530" s="32" t="n">
        <x:f>INDEX(v01_FoodCap,G530)*Arch_FoodCap*EXP(v01_CapsByProject*SUMPRODUCT((Cap_Point&lt;=I530)*(Cap_Kind="Food")*Cap_Ln))</x:f>
        <x:v>60</x:v>
      </x:c>
      <x:c r="K530" s="32" t="n">
        <x:f>J530*MIN(1,v01_LeanBase*EXP(v01_CapsByProject*SUMPRODUCT((Cap_Point&lt;=I530)*(Cap_Kind="Lean")*Cap_Ln)))</x:f>
        <x:v>60</x:v>
      </x:c>
      <x:c r="L530" s="10" t="n">
        <x:f>INDEX(v01_HousingCap,G530)*EXP(v01_CapsByProject*SUMPRODUCT((Cap_Point&lt;=I530)*(Cap_Kind="Housing")*Cap_Ln))</x:f>
        <x:v>100</x:v>
      </x:c>
      <x:c r="M530" s="10" t="n">
        <x:f>INDEX(v01_GroupCap,G530)*v01_CohesionFactor*EXP(v01_CapsByProject*SUMPRODUCT((Cap_Point&lt;=I530)*(Cap_Kind="Group")*Cap_Ln))</x:f>
        <x:v>500</x:v>
      </x:c>
      <x:c r="N530" s="32" t="n">
        <x:f>MIN(J530,L530,M530)</x:f>
        <x:v>60</x:v>
      </x:c>
      <x:c r="O530" s="10" t="n">
        <x:f>AE529*N530</x:f>
        <x:v>180</x:v>
      </x:c>
      <x:c r="P530" s="9" t="n">
        <x:f>MIN(1,(AB529/(AE529*IF(v01_GroupInCrowding=1,N530,MIN(J530,L530))))^v01_CrowdingExp)</x:f>
        <x:v>0.0347359106403573</x:v>
      </x:c>
      <x:c r="Q530" s="9" t="n">
        <x:f>IF(D530=1,INDEX(v01_WinterMult,G530),1)</x:f>
        <x:v>1</x:v>
      </x:c>
      <x:c r="R530" s="9" t="n">
        <x:f>H530*Z529*v01_WomenShare*v01_BaseFertility*INDEX(v01_FertMult,G530)*Arch_Fertility*(1-P530)</x:f>
        <x:v>1.6799266297719508</x:v>
      </x:c>
      <x:c r="S530" s="9" t="n">
        <x:f>H530*Y529*INDEX(v01_MortChild,G530)/4*Q530</x:f>
        <x:v>0.41159471219412047</x:v>
      </x:c>
      <x:c r="T530" s="9" t="n">
        <x:f>H530*Z529*INDEX(v01_MortAdult,G530)*Arch_AdultMort/4*Q530</x:f>
        <x:v>0.12891706112810028</x:v>
      </x:c>
      <x:c r="U530" s="9" t="n">
        <x:f>H530*AA529*INDEX(v01_MortElder,G530)/4*Q530</x:f>
        <x:v>0.22410856315235697</x:v>
      </x:c>
      <x:c r="V530" s="9" t="n">
        <x:f>H530*MAX(0,AB529-O530)*v01_OvercapLoss</x:f>
        <x:v>0</x:v>
      </x:c>
      <x:c r="W530" s="9" t="n">
        <x:f>H530*Y529/(v01_ChildYears*4)</x:f>
        <x:v>0.8399892085594295</x:v>
      </x:c>
      <x:c r="X530" s="9" t="n">
        <x:f>H530*Z529/(v01_AdultYears*4)</x:f>
        <x:v>0.3465512395916674</x:v>
      </x:c>
      <x:c r="Y530" s="32" t="n">
        <x:f>Y529+R530-S530-W530-Y529*V530/AB529</x:f>
        <x:v>47.46773838834645</x:v>
      </x:c>
      <x:c r="Z530" s="32" t="n">
        <x:f>Z529+W530-X530-T530-Z529*V530/AB529</x:f>
        <x:v>43.33687461720642</x:v>
      </x:c>
      <x:c r="AA530" s="32" t="n">
        <x:f>AA529+X530-U530-AA529*V530/AB529</x:f>
        <x:v>12.92864628514542</x:v>
      </x:c>
      <x:c r="AB530" s="10" t="n">
        <x:f>Y530+Z530+AA530</x:f>
        <x:v>103.73325929069829</x:v>
      </x:c>
      <x:c r="AC530" s="8" t="n">
        <x:f>IF(AND(v01_WinterTrigger=1,D530=1,AB529/AE529&gt;=K530),1,0)</x:f>
        <x:v>0</x:v>
      </x:c>
      <x:c r="AD530" s="8" t="n">
        <x:f>H530*IF(AND(OR(AB529/AE529&gt;=v01_FissionTrigger*N530,AC530=1),AB529/AE529*v01_DaughterShare&gt;=v01_MinDaughter),MAX(1,ROUND(AE529*v01_FissionRate,0)),0)</x:f>
        <x:v>0</x:v>
      </x:c>
      <x:c r="AE530" s="8" t="n">
        <x:f>IF(H530=1,MAX(1,MIN(INDEX(v01_Smax,G530),AE529+AD530)),AE529)</x:f>
        <x:v>3</x:v>
      </x:c>
      <x:c r="AF530" s="8" t="n">
        <x:f>MAX(0,AE530-AE529)</x:f>
        <x:v>0</x:v>
      </x:c>
      <x:c r="AG530" s="9" t="str">
        <x:f>IF(AF530&gt;0,B530,"")</x:f>
      </x:c>
      <x:c r="AH530" s="9" t="n">
        <x:f>IF(F530&gt;=1,1,(1+v01_LowTiesShare*(AE530-1))/AE530)</x:f>
        <x:v>1</x:v>
      </x:c>
      <x:c r="AI530" s="32" t="n">
        <x:f>(Z530+v01_ElderCommons*INDEX(LM_Elder,G530)*AA530)*AH530</x:f>
        <x:v>82.12281347264269</x:v>
      </x:c>
      <x:c r="AJ530" s="32" t="n">
        <x:f>H530*v01_CommonsCoef*AI530^v01_CommonsExp*INDEX(LM_Commons,G530)</x:f>
        <x:v>27.979386155171028</x:v>
      </x:c>
      <x:c r="AK530" s="32" t="n">
        <x:f>H530*v01_RoleScale*Arch_Roles*(AE530*(INDEX(v01_ElderRolePerSett,G530)*v01_OutElder*INDEX(LM_Elder,G530)+INDEX(v01_ShamanPerSett,G530)*v01_OutShaman)+Z530*(INDEX(v01_PriestShare,G530)*v01_OutPriest+INDEX(v01_ScribeShare,G530)*v01_OutScribe*INDEX(LM_Scribe,G530)+INDEX(v01_ScholarShare,G530)*v01_OutScholar*INDEX(LM_Scholar,G530)+INDEX(v01_ResearcherShare,G530)*v01_OutResearcher*INDEX(LM_Researcher,G530)))</x:f>
        <x:v>9</x:v>
      </x:c>
      <x:c r="AL530" s="32" t="n">
        <x:f>H530*v01_RoleScale*Arch_Roles*AE530*INDEX(v01_MonasteryPerSett,G530)*v01_OutMonastery*INDEX(LM_Monastery,G530)</x:f>
        <x:v>0</x:v>
      </x:c>
      <x:c r="AM530" s="32" t="n">
        <x:f>(AJ530+AK530+AL530)/4*INDEX(LM_All,G530)*INDEX(v01_Boon,G530)*Arch_Insight</x:f>
        <x:v>9.71286689481914</x:v>
      </x:c>
      <x:c r="AN530" s="32" t="n">
        <x:f>H530*(v01_KHPerAdult*Z530+v01_KHOfCommons*AJ530/4*INDEX(LM_All,G530))*v01_KHUsable*Arch_KH</x:f>
        <x:v>1.5167906116022247</x:v>
      </x:c>
      <x:c r="AO530" s="32" t="n">
        <x:f>MIN(AP529+AN530,AM530*v01_KHMaxRatio)</x:f>
        <x:v>1.5167906116022247</x:v>
      </x:c>
      <x:c r="AP530" s="32" t="n">
        <x:f>AP529+AN530-AO530</x:f>
        <x:v>0</x:v>
      </x:c>
      <x:c r="AQ530" s="32" t="n">
        <x:f>AM530+AO530</x:f>
        <x:v>11.229657506421365</x:v>
      </x:c>
      <x:c r="AR530" s="10" t="n">
        <x:f>IF(H530=1,INDEX(v01_Req,G530),0)</x:f>
        <x:v>4006.9599999999996</x:v>
      </x:c>
      <x:c r="AS530" s="32" t="n">
        <x:f>IF(H530=1,IF(E530=1,AS529-AR529,AS529)+AQ530,0)</x:f>
        <x:v>433.7066392366844</x:v>
      </x:c>
      <x:c r="AT530" s="11" t="n">
        <x:f>IF(AR530&gt;0,MIN(1,AS530/AR530),1)</x:f>
        <x:v>0.1082383251234563</x:v>
      </x:c>
      <x:c r="AU530" s="10" t="n">
        <x:f>AB530/INDEX(v01_RepScale,G530)</x:f>
        <x:v>51.86662964534914</x:v>
      </x:c>
      <x:c r="AV530" s="32" t="n">
        <x:f>AM530*60/v01_SeasonSeconds</x:f>
        <x:v>38.85146757927656</x:v>
      </x:c>
    </x:row>
    <x:row r="531">
      <x:c r="A531" s="8" t="n">
        <x:f>A530+1</x:f>
        <x:v>528</x:v>
      </x:c>
      <x:c r="B531" s="9" t="n">
        <x:f>A531*v01_SeasonSeconds/60</x:f>
        <x:v>132</x:v>
      </x:c>
      <x:c r="C531" s="9" t="n">
        <x:f>A531/4</x:f>
        <x:v>132</x:v>
      </x:c>
      <x:c r="D531" s="8" t="n">
        <x:f>IF(MOD(A531,4)=0,1,0)</x:f>
        <x:v>1</x:v>
      </x:c>
      <x:c r="E531" s="8" t="n">
        <x:f>IF(AND(F530&lt;=9,AS530&gt;=AR530),1,0)</x:f>
        <x:v>0</x:v>
      </x:c>
      <x:c r="F531" s="8" t="n">
        <x:f>MIN(10,F530+E531)</x:f>
        <x:v>2</x:v>
      </x:c>
      <x:c r="G531" s="8" t="n">
        <x:f>MIN(F531,9)+1</x:f>
        <x:v>3</x:v>
      </x:c>
      <x:c r="H531" s="8" t="n">
        <x:f>IF(F531&lt;=9,1,0)</x:f>
        <x:v>1</x:v>
      </x:c>
      <x:c r="I531" s="9" t="n">
        <x:f>MIN(10,F530+IF(AR530&gt;0,MIN(1,AS530/AR530),1))</x:f>
        <x:v>2.108238325123456</x:v>
      </x:c>
      <x:c r="J531" s="32" t="n">
        <x:f>INDEX(v01_FoodCap,G531)*Arch_FoodCap*EXP(v01_CapsByProject*SUMPRODUCT((Cap_Point&lt;=I531)*(Cap_Kind="Food")*Cap_Ln))</x:f>
        <x:v>60</x:v>
      </x:c>
      <x:c r="K531" s="32" t="n">
        <x:f>J531*MIN(1,v01_LeanBase*EXP(v01_CapsByProject*SUMPRODUCT((Cap_Point&lt;=I531)*(Cap_Kind="Lean")*Cap_Ln)))</x:f>
        <x:v>60</x:v>
      </x:c>
      <x:c r="L531" s="10" t="n">
        <x:f>INDEX(v01_HousingCap,G531)*EXP(v01_CapsByProject*SUMPRODUCT((Cap_Point&lt;=I531)*(Cap_Kind="Housing")*Cap_Ln))</x:f>
        <x:v>100</x:v>
      </x:c>
      <x:c r="M531" s="10" t="n">
        <x:f>INDEX(v01_GroupCap,G531)*v01_CohesionFactor*EXP(v01_CapsByProject*SUMPRODUCT((Cap_Point&lt;=I531)*(Cap_Kind="Group")*Cap_Ln))</x:f>
        <x:v>500</x:v>
      </x:c>
      <x:c r="N531" s="32" t="n">
        <x:f>MIN(J531,L531,M531)</x:f>
        <x:v>60</x:v>
      </x:c>
      <x:c r="O531" s="10" t="n">
        <x:f>AE530*N531</x:f>
        <x:v>180</x:v>
      </x:c>
      <x:c r="P531" s="9" t="n">
        <x:f>MIN(1,(AB530/(AE530*IF(v01_GroupInCrowding=1,N531,MIN(J531,L531))))^v01_CrowdingExp)</x:f>
        <x:v>0.036633052724648084</x:v>
      </x:c>
      <x:c r="Q531" s="9" t="n">
        <x:f>IF(D531=1,INDEX(v01_WinterMult,G531),1)</x:f>
        <x:v>1.3</x:v>
      </x:c>
      <x:c r="R531" s="9" t="n">
        <x:f>H531*Z530*v01_WomenShare*v01_BaseFertility*INDEX(v01_FertMult,G531)*Arch_Fertility*(1-P531)</x:f>
        <x:v>1.6908471604795297</x:v>
      </x:c>
      <x:c r="S531" s="9" t="n">
        <x:f>H531*Y530*INDEX(v01_MortChild,G531)/4*Q531</x:f>
        <x:v>0.5399455241674409</x:v>
      </x:c>
      <x:c r="T531" s="9" t="n">
        <x:f>H531*Z530*INDEX(v01_MortAdult,G531)*Arch_AdultMort/4*Q531</x:f>
        <x:v>0.16901381100710505</x:v>
      </x:c>
      <x:c r="U531" s="9" t="n">
        <x:f>H531*AA530*INDEX(v01_MortElder,G531)/4*Q531</x:f>
        <x:v>0.29412670298705834</x:v>
      </x:c>
      <x:c r="V531" s="9" t="n">
        <x:f>H531*MAX(0,AB530-O531)*v01_OvercapLoss</x:f>
        <x:v>0</x:v>
      </x:c>
      <x:c r="W531" s="9" t="n">
        <x:f>H531*Y530/(v01_ChildYears*4)</x:f>
        <x:v>0.8476381855061865</x:v>
      </x:c>
      <x:c r="X531" s="9" t="n">
        <x:f>H531*Z530/(v01_AdultYears*4)</x:f>
        <x:v>0.3494909243323098</x:v>
      </x:c>
      <x:c r="Y531" s="32" t="n">
        <x:f>Y530+R531-S531-W531-Y530*V531/AB530</x:f>
        <x:v>47.77100183915235</x:v>
      </x:c>
      <x:c r="Z531" s="32" t="n">
        <x:f>Z530+W531-X531-T531-Z530*V531/AB530</x:f>
        <x:v>43.66600806737319</x:v>
      </x:c>
      <x:c r="AA531" s="32" t="n">
        <x:f>AA530+X531-U531-AA530*V531/AB530</x:f>
        <x:v>12.984010506490671</x:v>
      </x:c>
      <x:c r="AB531" s="10" t="n">
        <x:f>Y531+Z531+AA531</x:f>
        <x:v>104.42102041301621</x:v>
      </x:c>
      <x:c r="AC531" s="8" t="n">
        <x:f>IF(AND(v01_WinterTrigger=1,D531=1,AB530/AE530&gt;=K531),1,0)</x:f>
        <x:v>0</x:v>
      </x:c>
      <x:c r="AD531" s="8" t="n">
        <x:f>H531*IF(AND(OR(AB530/AE530&gt;=v01_FissionTrigger*N531,AC531=1),AB530/AE530*v01_DaughterShare&gt;=v01_MinDaughter),MAX(1,ROUND(AE530*v01_FissionRate,0)),0)</x:f>
        <x:v>0</x:v>
      </x:c>
      <x:c r="AE531" s="8" t="n">
        <x:f>IF(H531=1,MAX(1,MIN(INDEX(v01_Smax,G531),AE530+AD531)),AE530)</x:f>
        <x:v>3</x:v>
      </x:c>
      <x:c r="AF531" s="8" t="n">
        <x:f>MAX(0,AE531-AE530)</x:f>
        <x:v>0</x:v>
      </x:c>
      <x:c r="AG531" s="9" t="str">
        <x:f>IF(AF531&gt;0,B531,"")</x:f>
      </x:c>
      <x:c r="AH531" s="9" t="n">
        <x:f>IF(F531&gt;=1,1,(1+v01_LowTiesShare*(AE531-1))/AE531)</x:f>
        <x:v>1</x:v>
      </x:c>
      <x:c r="AI531" s="32" t="n">
        <x:f>(Z531+v01_ElderCommons*INDEX(LM_Elder,G531)*AA531)*AH531</x:f>
        <x:v>82.61803958684521</x:v>
      </x:c>
      <x:c r="AJ531" s="32" t="n">
        <x:f>H531*v01_CommonsCoef*AI531^v01_CommonsExp*INDEX(LM_Commons,G531)</x:f>
        <x:v>28.122737184137872</x:v>
      </x:c>
      <x:c r="AK531" s="32" t="n">
        <x:f>H531*v01_RoleScale*Arch_Roles*(AE531*(INDEX(v01_ElderRolePerSett,G531)*v01_OutElder*INDEX(LM_Elder,G531)+INDEX(v01_ShamanPerSett,G531)*v01_OutShaman)+Z531*(INDEX(v01_PriestShare,G531)*v01_OutPriest+INDEX(v01_ScribeShare,G531)*v01_OutScribe*INDEX(LM_Scribe,G531)+INDEX(v01_ScholarShare,G531)*v01_OutScholar*INDEX(LM_Scholar,G531)+INDEX(v01_ResearcherShare,G531)*v01_OutResearcher*INDEX(LM_Researcher,G531)))</x:f>
        <x:v>9</x:v>
      </x:c>
      <x:c r="AL531" s="32" t="n">
        <x:f>H531*v01_RoleScale*Arch_Roles*AE531*INDEX(v01_MonasteryPerSett,G531)*v01_OutMonastery*INDEX(LM_Monastery,G531)</x:f>
        <x:v>0</x:v>
      </x:c>
      <x:c r="AM531" s="32" t="n">
        <x:f>(AJ531+AK531+AL531)/4*INDEX(LM_All,G531)*INDEX(v01_Boon,G531)*Arch_Insight</x:f>
        <x:v>9.750518938521212</x:v>
      </x:c>
      <x:c r="AN531" s="32" t="n">
        <x:f>H531*(v01_KHPerAdult*Z531+v01_KHOfCommons*AJ531/4*INDEX(LM_All,G531))*v01_KHUsable*Arch_KH</x:f>
        <x:v>1.5283102823580619</x:v>
      </x:c>
      <x:c r="AO531" s="32" t="n">
        <x:f>MIN(AP530+AN531,AM531*v01_KHMaxRatio)</x:f>
        <x:v>1.5283102823580619</x:v>
      </x:c>
      <x:c r="AP531" s="32" t="n">
        <x:f>AP530+AN531-AO531</x:f>
        <x:v>0</x:v>
      </x:c>
      <x:c r="AQ531" s="32" t="n">
        <x:f>AM531+AO531</x:f>
        <x:v>11.278829220879274</x:v>
      </x:c>
      <x:c r="AR531" s="10" t="n">
        <x:f>IF(H531=1,INDEX(v01_Req,G531),0)</x:f>
        <x:v>4006.9599999999996</x:v>
      </x:c>
      <x:c r="AS531" s="32" t="n">
        <x:f>IF(H531=1,IF(E531=1,AS530-AR530,AS530)+AQ531,0)</x:f>
        <x:v>444.9854684575637</x:v>
      </x:c>
      <x:c r="AT531" s="11" t="n">
        <x:f>IF(AR531&gt;0,MIN(1,AS531/AR531),1)</x:f>
        <x:v>0.11105313466008239</x:v>
      </x:c>
      <x:c r="AU531" s="10" t="n">
        <x:f>AB531/INDEX(v01_RepScale,G531)</x:f>
        <x:v>52.210510206508104</x:v>
      </x:c>
      <x:c r="AV531" s="32" t="n">
        <x:f>AM531*60/v01_SeasonSeconds</x:f>
        <x:v>39.00207575408485</x:v>
      </x:c>
    </x:row>
    <x:row r="532">
      <x:c r="A532" s="8" t="n">
        <x:f>A531+1</x:f>
        <x:v>529</x:v>
      </x:c>
      <x:c r="B532" s="9" t="n">
        <x:f>A532*v01_SeasonSeconds/60</x:f>
        <x:v>132.25</x:v>
      </x:c>
      <x:c r="C532" s="9" t="n">
        <x:f>A532/4</x:f>
        <x:v>132.25</x:v>
      </x:c>
      <x:c r="D532" s="8" t="n">
        <x:f>IF(MOD(A532,4)=0,1,0)</x:f>
        <x:v>0</x:v>
      </x:c>
      <x:c r="E532" s="8" t="n">
        <x:f>IF(AND(F531&lt;=9,AS531&gt;=AR531),1,0)</x:f>
        <x:v>0</x:v>
      </x:c>
      <x:c r="F532" s="8" t="n">
        <x:f>MIN(10,F531+E532)</x:f>
        <x:v>2</x:v>
      </x:c>
      <x:c r="G532" s="8" t="n">
        <x:f>MIN(F532,9)+1</x:f>
        <x:v>3</x:v>
      </x:c>
      <x:c r="H532" s="8" t="n">
        <x:f>IF(F532&lt;=9,1,0)</x:f>
        <x:v>1</x:v>
      </x:c>
      <x:c r="I532" s="9" t="n">
        <x:f>MIN(10,F531+IF(AR531&gt;0,MIN(1,AS531/AR531),1))</x:f>
        <x:v>2.1110531346600823</x:v>
      </x:c>
      <x:c r="J532" s="32" t="n">
        <x:f>INDEX(v01_FoodCap,G532)*Arch_FoodCap*EXP(v01_CapsByProject*SUMPRODUCT((Cap_Point&lt;=I532)*(Cap_Kind="Food")*Cap_Ln))</x:f>
        <x:v>60</x:v>
      </x:c>
      <x:c r="K532" s="32" t="n">
        <x:f>J532*MIN(1,v01_LeanBase*EXP(v01_CapsByProject*SUMPRODUCT((Cap_Point&lt;=I532)*(Cap_Kind="Lean")*Cap_Ln)))</x:f>
        <x:v>60</x:v>
      </x:c>
      <x:c r="L532" s="10" t="n">
        <x:f>INDEX(v01_HousingCap,G532)*EXP(v01_CapsByProject*SUMPRODUCT((Cap_Point&lt;=I532)*(Cap_Kind="Housing")*Cap_Ln))</x:f>
        <x:v>100</x:v>
      </x:c>
      <x:c r="M532" s="10" t="n">
        <x:f>INDEX(v01_GroupCap,G532)*v01_CohesionFactor*EXP(v01_CapsByProject*SUMPRODUCT((Cap_Point&lt;=I532)*(Cap_Kind="Group")*Cap_Ln))</x:f>
        <x:v>500</x:v>
      </x:c>
      <x:c r="N532" s="32" t="n">
        <x:f>MIN(J532,L532,M532)</x:f>
        <x:v>60</x:v>
      </x:c>
      <x:c r="O532" s="10" t="n">
        <x:f>AE531*N532</x:f>
        <x:v>180</x:v>
      </x:c>
      <x:c r="P532" s="9" t="n">
        <x:f>MIN(1,(AB531/(AE531*IF(v01_GroupInCrowding=1,N532,MIN(J532,L532))))^v01_CrowdingExp)</x:f>
        <x:v>0.038114705334165354</x:v>
      </x:c>
      <x:c r="Q532" s="9" t="n">
        <x:f>IF(D532=1,INDEX(v01_WinterMult,G532),1)</x:f>
        <x:v>1</x:v>
      </x:c>
      <x:c r="R532" s="9" t="n">
        <x:f>H532*Z531*v01_WomenShare*v01_BaseFertility*INDEX(v01_FertMult,G532)*Arch_Fertility*(1-P532)</x:f>
        <x:v>1.701068486989022</x:v>
      </x:c>
      <x:c r="S532" s="9" t="n">
        <x:f>H532*Y531*INDEX(v01_MortChild,G532)/4*Q532</x:f>
        <x:v>0.41799626609258306</x:v>
      </x:c>
      <x:c r="T532" s="9" t="n">
        <x:f>H532*Z531*INDEX(v01_MortAdult,G532)*Arch_AdultMort/4*Q532</x:f>
        <x:v>0.1309980242021196</x:v>
      </x:c>
      <x:c r="U532" s="9" t="n">
        <x:f>H532*AA531*INDEX(v01_MortElder,G532)/4*Q532</x:f>
        <x:v>0.22722018386358678</x:v>
      </x:c>
      <x:c r="V532" s="9" t="n">
        <x:f>H532*MAX(0,AB531-O532)*v01_OvercapLoss</x:f>
        <x:v>0</x:v>
      </x:c>
      <x:c r="W532" s="9" t="n">
        <x:f>H532*Y531/(v01_ChildYears*4)</x:f>
        <x:v>0.8530536042705776</x:v>
      </x:c>
      <x:c r="X532" s="9" t="n">
        <x:f>H532*Z531/(v01_AdultYears*4)</x:f>
        <x:v>0.3521452263497838</x:v>
      </x:c>
      <x:c r="Y532" s="32" t="n">
        <x:f>Y531+R532-S532-W532-Y531*V532/AB531</x:f>
        <x:v>48.20102045577821</x:v>
      </x:c>
      <x:c r="Z532" s="32" t="n">
        <x:f>Z531+W532-X532-T532-Z531*V532/AB531</x:f>
        <x:v>44.035918421091864</x:v>
      </x:c>
      <x:c r="AA532" s="32" t="n">
        <x:f>AA531+X532-U532-AA531*V532/AB531</x:f>
        <x:v>13.108935548976868</x:v>
      </x:c>
      <x:c r="AB532" s="10" t="n">
        <x:f>Y532+Z532+AA532</x:f>
        <x:v>105.34587442584696</x:v>
      </x:c>
      <x:c r="AC532" s="8" t="n">
        <x:f>IF(AND(v01_WinterTrigger=1,D532=1,AB531/AE531&gt;=K532),1,0)</x:f>
        <x:v>0</x:v>
      </x:c>
      <x:c r="AD532" s="8" t="n">
        <x:f>H532*IF(AND(OR(AB531/AE531&gt;=v01_FissionTrigger*N532,AC532=1),AB531/AE531*v01_DaughterShare&gt;=v01_MinDaughter),MAX(1,ROUND(AE531*v01_FissionRate,0)),0)</x:f>
        <x:v>0</x:v>
      </x:c>
      <x:c r="AE532" s="8" t="n">
        <x:f>IF(H532=1,MAX(1,MIN(INDEX(v01_Smax,G532),AE531+AD532)),AE531)</x:f>
        <x:v>3</x:v>
      </x:c>
      <x:c r="AF532" s="8" t="n">
        <x:f>MAX(0,AE532-AE531)</x:f>
        <x:v>0</x:v>
      </x:c>
      <x:c r="AG532" s="9" t="str">
        <x:f>IF(AF532&gt;0,B532,"")</x:f>
      </x:c>
      <x:c r="AH532" s="9" t="n">
        <x:f>IF(F532&gt;=1,1,(1+v01_LowTiesShare*(AE532-1))/AE532)</x:f>
        <x:v>1</x:v>
      </x:c>
      <x:c r="AI532" s="32" t="n">
        <x:f>(Z532+v01_ElderCommons*INDEX(LM_Elder,G532)*AA532)*AH532</x:f>
        <x:v>83.36272506802247</x:v>
      </x:c>
      <x:c r="AJ532" s="32" t="n">
        <x:f>H532*v01_CommonsCoef*AI532^v01_CommonsExp*INDEX(LM_Commons,G532)</x:f>
        <x:v>28.338055926472002</x:v>
      </x:c>
      <x:c r="AK532" s="32" t="n">
        <x:f>H532*v01_RoleScale*Arch_Roles*(AE532*(INDEX(v01_ElderRolePerSett,G532)*v01_OutElder*INDEX(LM_Elder,G532)+INDEX(v01_ShamanPerSett,G532)*v01_OutShaman)+Z532*(INDEX(v01_PriestShare,G532)*v01_OutPriest+INDEX(v01_ScribeShare,G532)*v01_OutScribe*INDEX(LM_Scribe,G532)+INDEX(v01_ScholarShare,G532)*v01_OutScholar*INDEX(LM_Scholar,G532)+INDEX(v01_ResearcherShare,G532)*v01_OutResearcher*INDEX(LM_Researcher,G532)))</x:f>
        <x:v>9</x:v>
      </x:c>
      <x:c r="AL532" s="32" t="n">
        <x:f>H532*v01_RoleScale*Arch_Roles*AE532*INDEX(v01_MonasteryPerSett,G532)*v01_OutMonastery*INDEX(LM_Monastery,G532)</x:f>
        <x:v>0</x:v>
      </x:c>
      <x:c r="AM532" s="32" t="n">
        <x:f>(AJ532+AK532+AL532)/4*INDEX(LM_All,G532)*INDEX(v01_Boon,G532)*Arch_Insight</x:f>
        <x:v>9.807073751937411</x:v>
      </x:c>
      <x:c r="AN532" s="32" t="n">
        <x:f>H532*(v01_KHPerAdult*Z532+v01_KHOfCommons*AJ532/4*INDEX(LM_All,G532))*v01_KHUsable*Arch_KH</x:f>
        <x:v>1.541257144738215</x:v>
      </x:c>
      <x:c r="AO532" s="32" t="n">
        <x:f>MIN(AP531+AN532,AM532*v01_KHMaxRatio)</x:f>
        <x:v>1.541257144738215</x:v>
      </x:c>
      <x:c r="AP532" s="32" t="n">
        <x:f>AP531+AN532-AO532</x:f>
        <x:v>0</x:v>
      </x:c>
      <x:c r="AQ532" s="32" t="n">
        <x:f>AM532+AO532</x:f>
        <x:v>11.348330896675627</x:v>
      </x:c>
      <x:c r="AR532" s="10" t="n">
        <x:f>IF(H532=1,INDEX(v01_Req,G532),0)</x:f>
        <x:v>4006.9599999999996</x:v>
      </x:c>
      <x:c r="AS532" s="32" t="n">
        <x:f>IF(H532=1,IF(E532=1,AS531-AR531,AS531)+AQ532,0)</x:f>
        <x:v>456.3337993542393</x:v>
      </x:c>
      <x:c r="AT532" s="11" t="n">
        <x:f>IF(AR532&gt;0,MIN(1,AS532/AR532),1)</x:f>
        <x:v>0.11388528943494304</x:v>
      </x:c>
      <x:c r="AU532" s="10" t="n">
        <x:f>AB532/INDEX(v01_RepScale,G532)</x:f>
        <x:v>52.67293721292348</x:v>
      </x:c>
      <x:c r="AV532" s="32" t="n">
        <x:f>AM532*60/v01_SeasonSeconds</x:f>
        <x:v>39.228295007749644</x:v>
      </x:c>
    </x:row>
    <x:row r="533">
      <x:c r="A533" s="8" t="n">
        <x:f>A532+1</x:f>
        <x:v>530</x:v>
      </x:c>
      <x:c r="B533" s="9" t="n">
        <x:f>A533*v01_SeasonSeconds/60</x:f>
        <x:v>132.5</x:v>
      </x:c>
      <x:c r="C533" s="9" t="n">
        <x:f>A533/4</x:f>
        <x:v>132.5</x:v>
      </x:c>
      <x:c r="D533" s="8" t="n">
        <x:f>IF(MOD(A533,4)=0,1,0)</x:f>
        <x:v>0</x:v>
      </x:c>
      <x:c r="E533" s="8" t="n">
        <x:f>IF(AND(F532&lt;=9,AS532&gt;=AR532),1,0)</x:f>
        <x:v>0</x:v>
      </x:c>
      <x:c r="F533" s="8" t="n">
        <x:f>MIN(10,F532+E533)</x:f>
        <x:v>2</x:v>
      </x:c>
      <x:c r="G533" s="8" t="n">
        <x:f>MIN(F533,9)+1</x:f>
        <x:v>3</x:v>
      </x:c>
      <x:c r="H533" s="8" t="n">
        <x:f>IF(F533&lt;=9,1,0)</x:f>
        <x:v>1</x:v>
      </x:c>
      <x:c r="I533" s="9" t="n">
        <x:f>MIN(10,F532+IF(AR532&gt;0,MIN(1,AS532/AR532),1))</x:f>
        <x:v>2.113885289434943</x:v>
      </x:c>
      <x:c r="J533" s="32" t="n">
        <x:f>INDEX(v01_FoodCap,G533)*Arch_FoodCap*EXP(v01_CapsByProject*SUMPRODUCT((Cap_Point&lt;=I533)*(Cap_Kind="Food")*Cap_Ln))</x:f>
        <x:v>60</x:v>
      </x:c>
      <x:c r="K533" s="32" t="n">
        <x:f>J533*MIN(1,v01_LeanBase*EXP(v01_CapsByProject*SUMPRODUCT((Cap_Point&lt;=I533)*(Cap_Kind="Lean")*Cap_Ln)))</x:f>
        <x:v>60</x:v>
      </x:c>
      <x:c r="L533" s="10" t="n">
        <x:f>INDEX(v01_HousingCap,G533)*EXP(v01_CapsByProject*SUMPRODUCT((Cap_Point&lt;=I533)*(Cap_Kind="Housing")*Cap_Ln))</x:f>
        <x:v>100</x:v>
      </x:c>
      <x:c r="M533" s="10" t="n">
        <x:f>INDEX(v01_GroupCap,G533)*v01_CohesionFactor*EXP(v01_CapsByProject*SUMPRODUCT((Cap_Point&lt;=I533)*(Cap_Kind="Group")*Cap_Ln))</x:f>
        <x:v>500</x:v>
      </x:c>
      <x:c r="N533" s="32" t="n">
        <x:f>MIN(J533,L533,M533)</x:f>
        <x:v>60</x:v>
      </x:c>
      <x:c r="O533" s="10" t="n">
        <x:f>AE532*N533</x:f>
        <x:v>180</x:v>
      </x:c>
      <x:c r="P533" s="9" t="n">
        <x:f>MIN(1,(AB532/(AE532*IF(v01_GroupInCrowding=1,N533,MIN(J533,L533))))^v01_CrowdingExp)</x:f>
        <x:v>0.040185572841059856</x:v>
      </x:c>
      <x:c r="Q533" s="9" t="n">
        <x:f>IF(D533=1,INDEX(v01_WinterMult,G533),1)</x:f>
        <x:v>1</x:v>
      </x:c>
      <x:c r="R533" s="9" t="n">
        <x:f>H533*Z532*v01_WomenShare*v01_BaseFertility*INDEX(v01_FertMult,G533)*Arch_Fertility*(1-P533)</x:f>
        <x:v>1.7117855474572035</x:v>
      </x:c>
      <x:c r="S533" s="9" t="n">
        <x:f>H533*Y532*INDEX(v01_MortChild,G533)/4*Q533</x:f>
        <x:v>0.4217589289880594</x:v>
      </x:c>
      <x:c r="T533" s="9" t="n">
        <x:f>H533*Z532*INDEX(v01_MortAdult,G533)*Arch_AdultMort/4*Q533</x:f>
        <x:v>0.1321077552632756</x:v>
      </x:c>
      <x:c r="U533" s="9" t="n">
        <x:f>H533*AA532*INDEX(v01_MortElder,G533)/4*Q533</x:f>
        <x:v>0.22940637210709522</x:v>
      </x:c>
      <x:c r="V533" s="9" t="n">
        <x:f>H533*MAX(0,AB532-O533)*v01_OvercapLoss</x:f>
        <x:v>0</x:v>
      </x:c>
      <x:c r="W533" s="9" t="n">
        <x:f>H533*Y532/(v01_ChildYears*4)</x:f>
        <x:v>0.8607325081388967</x:v>
      </x:c>
      <x:c r="X533" s="9" t="n">
        <x:f>H533*Z532/(v01_AdultYears*4)</x:f>
        <x:v>0.3551283743636441</x:v>
      </x:c>
      <x:c r="Y533" s="32" t="n">
        <x:f>Y532+R533-S533-W533-Y532*V533/AB532</x:f>
        <x:v>48.63031456610846</x:v>
      </x:c>
      <x:c r="Z533" s="32" t="n">
        <x:f>Z532+W533-X533-T533-Z532*V533/AB532</x:f>
        <x:v>44.40941479960384</x:v>
      </x:c>
      <x:c r="AA533" s="32" t="n">
        <x:f>AA532+X533-U533-AA532*V533/AB532</x:f>
        <x:v>13.234657551233418</x:v>
      </x:c>
      <x:c r="AB533" s="10" t="n">
        <x:f>Y533+Z533+AA533</x:f>
        <x:v>106.27438691694573</x:v>
      </x:c>
      <x:c r="AC533" s="8" t="n">
        <x:f>IF(AND(v01_WinterTrigger=1,D533=1,AB532/AE532&gt;=K533),1,0)</x:f>
        <x:v>0</x:v>
      </x:c>
      <x:c r="AD533" s="8" t="n">
        <x:f>H533*IF(AND(OR(AB532/AE532&gt;=v01_FissionTrigger*N533,AC533=1),AB532/AE532*v01_DaughterShare&gt;=v01_MinDaughter),MAX(1,ROUND(AE532*v01_FissionRate,0)),0)</x:f>
        <x:v>0</x:v>
      </x:c>
      <x:c r="AE533" s="8" t="n">
        <x:f>IF(H533=1,MAX(1,MIN(INDEX(v01_Smax,G533),AE532+AD533)),AE532)</x:f>
        <x:v>3</x:v>
      </x:c>
      <x:c r="AF533" s="8" t="n">
        <x:f>MAX(0,AE533-AE532)</x:f>
        <x:v>0</x:v>
      </x:c>
      <x:c r="AG533" s="9" t="str">
        <x:f>IF(AF533&gt;0,B533,"")</x:f>
      </x:c>
      <x:c r="AH533" s="9" t="n">
        <x:f>IF(F533&gt;=1,1,(1+v01_LowTiesShare*(AE533-1))/AE533)</x:f>
        <x:v>1</x:v>
      </x:c>
      <x:c r="AI533" s="32" t="n">
        <x:f>(Z533+v01_ElderCommons*INDEX(LM_Elder,G533)*AA533)*AH533</x:f>
        <x:v>84.11338745330409</x:v>
      </x:c>
      <x:c r="AJ533" s="32" t="n">
        <x:f>H533*v01_CommonsCoef*AI533^v01_CommonsExp*INDEX(LM_Commons,G533)</x:f>
        <x:v>28.554811031709725</x:v>
      </x:c>
      <x:c r="AK533" s="32" t="n">
        <x:f>H533*v01_RoleScale*Arch_Roles*(AE533*(INDEX(v01_ElderRolePerSett,G533)*v01_OutElder*INDEX(LM_Elder,G533)+INDEX(v01_ShamanPerSett,G533)*v01_OutShaman)+Z533*(INDEX(v01_PriestShare,G533)*v01_OutPriest+INDEX(v01_ScribeShare,G533)*v01_OutScribe*INDEX(LM_Scribe,G533)+INDEX(v01_ScholarShare,G533)*v01_OutScholar*INDEX(LM_Scholar,G533)+INDEX(v01_ResearcherShare,G533)*v01_OutResearcher*INDEX(LM_Researcher,G533)))</x:f>
        <x:v>9</x:v>
      </x:c>
      <x:c r="AL533" s="32" t="n">
        <x:f>H533*v01_RoleScale*Arch_Roles*AE533*INDEX(v01_MonasteryPerSett,G533)*v01_OutMonastery*INDEX(LM_Monastery,G533)</x:f>
        <x:v>0</x:v>
      </x:c>
      <x:c r="AM533" s="32" t="n">
        <x:f>(AJ533+AK533+AL533)/4*INDEX(LM_All,G533)*INDEX(v01_Boon,G533)*Arch_Insight</x:f>
        <x:v>9.864005835047507</x:v>
      </x:c>
      <x:c r="AN533" s="32" t="n">
        <x:f>H533*(v01_KHPerAdult*Z533+v01_KHOfCommons*AJ533/4*INDEX(LM_All,G533))*v01_KHUsable*Arch_KH</x:f>
        <x:v>1.5543295179861343</x:v>
      </x:c>
      <x:c r="AO533" s="32" t="n">
        <x:f>MIN(AP532+AN533,AM533*v01_KHMaxRatio)</x:f>
        <x:v>1.5543295179861343</x:v>
      </x:c>
      <x:c r="AP533" s="32" t="n">
        <x:f>AP532+AN533-AO533</x:f>
        <x:v>0</x:v>
      </x:c>
      <x:c r="AQ533" s="32" t="n">
        <x:f>AM533+AO533</x:f>
        <x:v>11.418335353033642</x:v>
      </x:c>
      <x:c r="AR533" s="10" t="n">
        <x:f>IF(H533=1,INDEX(v01_Req,G533),0)</x:f>
        <x:v>4006.9599999999996</x:v>
      </x:c>
      <x:c r="AS533" s="32" t="n">
        <x:f>IF(H533=1,IF(E533=1,AS532-AR532,AS532)+AQ533,0)</x:f>
        <x:v>467.75213470727294</x:v>
      </x:c>
      <x:c r="AT533" s="11" t="n">
        <x:f>IF(AR533&gt;0,MIN(1,AS533/AR533),1)</x:f>
        <x:v>0.11673491492484901</x:v>
      </x:c>
      <x:c r="AU533" s="10" t="n">
        <x:f>AB533/INDEX(v01_RepScale,G533)</x:f>
        <x:v>53.137193458472865</x:v>
      </x:c>
      <x:c r="AV533" s="32" t="n">
        <x:f>AM533*60/v01_SeasonSeconds</x:f>
        <x:v>39.45602334019002</x:v>
      </x:c>
    </x:row>
    <x:row r="534">
      <x:c r="A534" s="8" t="n">
        <x:f>A533+1</x:f>
        <x:v>531</x:v>
      </x:c>
      <x:c r="B534" s="9" t="n">
        <x:f>A534*v01_SeasonSeconds/60</x:f>
        <x:v>132.75</x:v>
      </x:c>
      <x:c r="C534" s="9" t="n">
        <x:f>A534/4</x:f>
        <x:v>132.75</x:v>
      </x:c>
      <x:c r="D534" s="8" t="n">
        <x:f>IF(MOD(A534,4)=0,1,0)</x:f>
        <x:v>0</x:v>
      </x:c>
      <x:c r="E534" s="8" t="n">
        <x:f>IF(AND(F533&lt;=9,AS533&gt;=AR533),1,0)</x:f>
        <x:v>0</x:v>
      </x:c>
      <x:c r="F534" s="8" t="n">
        <x:f>MIN(10,F533+E534)</x:f>
        <x:v>2</x:v>
      </x:c>
      <x:c r="G534" s="8" t="n">
        <x:f>MIN(F534,9)+1</x:f>
        <x:v>3</x:v>
      </x:c>
      <x:c r="H534" s="8" t="n">
        <x:f>IF(F534&lt;=9,1,0)</x:f>
        <x:v>1</x:v>
      </x:c>
      <x:c r="I534" s="9" t="n">
        <x:f>MIN(10,F533+IF(AR533&gt;0,MIN(1,AS533/AR533),1))</x:f>
        <x:v>2.116734914924849</x:v>
      </x:c>
      <x:c r="J534" s="32" t="n">
        <x:f>INDEX(v01_FoodCap,G534)*Arch_FoodCap*EXP(v01_CapsByProject*SUMPRODUCT((Cap_Point&lt;=I534)*(Cap_Kind="Food")*Cap_Ln))</x:f>
        <x:v>60</x:v>
      </x:c>
      <x:c r="K534" s="32" t="n">
        <x:f>J534*MIN(1,v01_LeanBase*EXP(v01_CapsByProject*SUMPRODUCT((Cap_Point&lt;=I534)*(Cap_Kind="Lean")*Cap_Ln)))</x:f>
        <x:v>60</x:v>
      </x:c>
      <x:c r="L534" s="10" t="n">
        <x:f>INDEX(v01_HousingCap,G534)*EXP(v01_CapsByProject*SUMPRODUCT((Cap_Point&lt;=I534)*(Cap_Kind="Housing")*Cap_Ln))</x:f>
        <x:v>100</x:v>
      </x:c>
      <x:c r="M534" s="10" t="n">
        <x:f>INDEX(v01_GroupCap,G534)*v01_CohesionFactor*EXP(v01_CapsByProject*SUMPRODUCT((Cap_Point&lt;=I534)*(Cap_Kind="Group")*Cap_Ln))</x:f>
        <x:v>500</x:v>
      </x:c>
      <x:c r="N534" s="32" t="n">
        <x:f>MIN(J534,L534,M534)</x:f>
        <x:v>60</x:v>
      </x:c>
      <x:c r="O534" s="10" t="n">
        <x:f>AE533*N534</x:f>
        <x:v>180</x:v>
      </x:c>
      <x:c r="P534" s="9" t="n">
        <x:f>MIN(1,(AB533/(AE533*IF(v01_GroupInCrowding=1,N534,MIN(J534,L534))))^v01_CrowdingExp)</x:f>
        <x:v>0.04235811439760281</x:v>
      </x:c>
      <x:c r="Q534" s="9" t="n">
        <x:f>IF(D534=1,INDEX(v01_WinterMult,G534),1)</x:f>
        <x:v>1</x:v>
      </x:c>
      <x:c r="R534" s="9" t="n">
        <x:f>H534*Z533*v01_WomenShare*v01_BaseFertility*INDEX(v01_FertMult,G534)*Arch_Fertility*(1-P534)</x:f>
        <x:v>1.7223967869512609</x:v>
      </x:c>
      <x:c r="S534" s="9" t="n">
        <x:f>H534*Y533*INDEX(v01_MortChild,G534)/4*Q534</x:f>
        <x:v>0.42551525245344907</x:v>
      </x:c>
      <x:c r="T534" s="9" t="n">
        <x:f>H534*Z533*INDEX(v01_MortAdult,G534)*Arch_AdultMort/4*Q534</x:f>
        <x:v>0.1332282443988115</x:v>
      </x:c>
      <x:c r="U534" s="9" t="n">
        <x:f>H534*AA533*INDEX(v01_MortElder,G534)/4*Q534</x:f>
        <x:v>0.23160650714658484</x:v>
      </x:c>
      <x:c r="V534" s="9" t="n">
        <x:f>H534*MAX(0,AB533-O534)*v01_OvercapLoss</x:f>
        <x:v>0</x:v>
      </x:c>
      <x:c r="W534" s="9" t="n">
        <x:f>H534*Y533/(v01_ChildYears*4)</x:f>
        <x:v>0.8683984743947939</x:v>
      </x:c>
      <x:c r="X534" s="9" t="n">
        <x:f>H534*Z533/(v01_AdultYears*4)</x:f>
        <x:v>0.358140441932289</x:v>
      </x:c>
      <x:c r="Y534" s="32" t="n">
        <x:f>Y533+R534-S534-W534-Y533*V534/AB533</x:f>
        <x:v>49.05879762621147</x:v>
      </x:c>
      <x:c r="Z534" s="32" t="n">
        <x:f>Z533+W534-X534-T534-Z533*V534/AB533</x:f>
        <x:v>44.786444587667525</x:v>
      </x:c>
      <x:c r="AA534" s="32" t="n">
        <x:f>AA533+X534-U534-AA533*V534/AB533</x:f>
        <x:v>13.361191486019122</x:v>
      </x:c>
      <x:c r="AB534" s="10" t="n">
        <x:f>Y534+Z534+AA534</x:f>
        <x:v>107.20643369989813</x:v>
      </x:c>
      <x:c r="AC534" s="8" t="n">
        <x:f>IF(AND(v01_WinterTrigger=1,D534=1,AB533/AE533&gt;=K534),1,0)</x:f>
        <x:v>0</x:v>
      </x:c>
      <x:c r="AD534" s="8" t="n">
        <x:f>H534*IF(AND(OR(AB533/AE533&gt;=v01_FissionTrigger*N534,AC534=1),AB533/AE533*v01_DaughterShare&gt;=v01_MinDaughter),MAX(1,ROUND(AE533*v01_FissionRate,0)),0)</x:f>
        <x:v>0</x:v>
      </x:c>
      <x:c r="AE534" s="8" t="n">
        <x:f>IF(H534=1,MAX(1,MIN(INDEX(v01_Smax,G534),AE533+AD534)),AE533)</x:f>
        <x:v>3</x:v>
      </x:c>
      <x:c r="AF534" s="8" t="n">
        <x:f>MAX(0,AE534-AE533)</x:f>
        <x:v>0</x:v>
      </x:c>
      <x:c r="AG534" s="9" t="str">
        <x:f>IF(AF534&gt;0,B534,"")</x:f>
      </x:c>
      <x:c r="AH534" s="9" t="n">
        <x:f>IF(F534&gt;=1,1,(1+v01_LowTiesShare*(AE534-1))/AE534)</x:f>
        <x:v>1</x:v>
      </x:c>
      <x:c r="AI534" s="32" t="n">
        <x:f>(Z534+v01_ElderCommons*INDEX(LM_Elder,G534)*AA534)*AH534</x:f>
        <x:v>84.87001904572489</x:v>
      </x:c>
      <x:c r="AJ534" s="32" t="n">
        <x:f>H534*v01_CommonsCoef*AI534^v01_CommonsExp*INDEX(LM_Commons,G534)</x:f>
        <x:v>28.772996324471592</x:v>
      </x:c>
      <x:c r="AK534" s="32" t="n">
        <x:f>H534*v01_RoleScale*Arch_Roles*(AE534*(INDEX(v01_ElderRolePerSett,G534)*v01_OutElder*INDEX(LM_Elder,G534)+INDEX(v01_ShamanPerSett,G534)*v01_OutShaman)+Z534*(INDEX(v01_PriestShare,G534)*v01_OutPriest+INDEX(v01_ScribeShare,G534)*v01_OutScribe*INDEX(LM_Scribe,G534)+INDEX(v01_ScholarShare,G534)*v01_OutScholar*INDEX(LM_Scholar,G534)+INDEX(v01_ResearcherShare,G534)*v01_OutResearcher*INDEX(LM_Researcher,G534)))</x:f>
        <x:v>9</x:v>
      </x:c>
      <x:c r="AL534" s="32" t="n">
        <x:f>H534*v01_RoleScale*Arch_Roles*AE534*INDEX(v01_MonasteryPerSett,G534)*v01_OutMonastery*INDEX(LM_Monastery,G534)</x:f>
        <x:v>0</x:v>
      </x:c>
      <x:c r="AM534" s="32" t="n">
        <x:f>(AJ534+AK534+AL534)/4*INDEX(LM_All,G534)*INDEX(v01_Boon,G534)*Arch_Insight</x:f>
        <x:v>9.921313565849491</x:v>
      </x:c>
      <x:c r="AN534" s="32" t="n">
        <x:f>H534*(v01_KHPerAdult*Z534+v01_KHOfCommons*AJ534/4*INDEX(LM_All,G534))*v01_KHUsable*Arch_KH</x:f>
        <x:v>1.5675255605683633</x:v>
      </x:c>
      <x:c r="AO534" s="32" t="n">
        <x:f>MIN(AP533+AN534,AM534*v01_KHMaxRatio)</x:f>
        <x:v>1.5675255605683633</x:v>
      </x:c>
      <x:c r="AP534" s="32" t="n">
        <x:f>AP533+AN534-AO534</x:f>
        <x:v>0</x:v>
      </x:c>
      <x:c r="AQ534" s="32" t="n">
        <x:f>AM534+AO534</x:f>
        <x:v>11.488839126417854</x:v>
      </x:c>
      <x:c r="AR534" s="10" t="n">
        <x:f>IF(H534=1,INDEX(v01_Req,G534),0)</x:f>
        <x:v>4006.9599999999996</x:v>
      </x:c>
      <x:c r="AS534" s="32" t="n">
        <x:f>IF(H534=1,IF(E534=1,AS533-AR533,AS533)+AQ534,0)</x:f>
        <x:v>479.2409738336908</x:v>
      </x:c>
      <x:c r="AT534" s="11" t="n">
        <x:f>IF(AR534&gt;0,MIN(1,AS534/AR534),1)</x:f>
        <x:v>0.11960213574223123</x:v>
      </x:c>
      <x:c r="AU534" s="10" t="n">
        <x:f>AB534/INDEX(v01_RepScale,G534)</x:f>
        <x:v>53.603216849949064</x:v>
      </x:c>
      <x:c r="AV534" s="32" t="n">
        <x:f>AM534*60/v01_SeasonSeconds</x:f>
        <x:v>39.685254263397965</x:v>
      </x:c>
    </x:row>
    <x:row r="535">
      <x:c r="A535" s="8" t="n">
        <x:f>A534+1</x:f>
        <x:v>532</x:v>
      </x:c>
      <x:c r="B535" s="9" t="n">
        <x:f>A535*v01_SeasonSeconds/60</x:f>
        <x:v>133</x:v>
      </x:c>
      <x:c r="C535" s="9" t="n">
        <x:f>A535/4</x:f>
        <x:v>133</x:v>
      </x:c>
      <x:c r="D535" s="8" t="n">
        <x:f>IF(MOD(A535,4)=0,1,0)</x:f>
        <x:v>1</x:v>
      </x:c>
      <x:c r="E535" s="8" t="n">
        <x:f>IF(AND(F534&lt;=9,AS534&gt;=AR534),1,0)</x:f>
        <x:v>0</x:v>
      </x:c>
      <x:c r="F535" s="8" t="n">
        <x:f>MIN(10,F534+E535)</x:f>
        <x:v>2</x:v>
      </x:c>
      <x:c r="G535" s="8" t="n">
        <x:f>MIN(F535,9)+1</x:f>
        <x:v>3</x:v>
      </x:c>
      <x:c r="H535" s="8" t="n">
        <x:f>IF(F535&lt;=9,1,0)</x:f>
        <x:v>1</x:v>
      </x:c>
      <x:c r="I535" s="9" t="n">
        <x:f>MIN(10,F534+IF(AR534&gt;0,MIN(1,AS534/AR534),1))</x:f>
        <x:v>2.119602135742231</x:v>
      </x:c>
      <x:c r="J535" s="32" t="n">
        <x:f>INDEX(v01_FoodCap,G535)*Arch_FoodCap*EXP(v01_CapsByProject*SUMPRODUCT((Cap_Point&lt;=I535)*(Cap_Kind="Food")*Cap_Ln))</x:f>
        <x:v>60</x:v>
      </x:c>
      <x:c r="K535" s="32" t="n">
        <x:f>J535*MIN(1,v01_LeanBase*EXP(v01_CapsByProject*SUMPRODUCT((Cap_Point&lt;=I535)*(Cap_Kind="Lean")*Cap_Ln)))</x:f>
        <x:v>60</x:v>
      </x:c>
      <x:c r="L535" s="10" t="n">
        <x:f>INDEX(v01_HousingCap,G535)*EXP(v01_CapsByProject*SUMPRODUCT((Cap_Point&lt;=I535)*(Cap_Kind="Housing")*Cap_Ln))</x:f>
        <x:v>100</x:v>
      </x:c>
      <x:c r="M535" s="10" t="n">
        <x:f>INDEX(v01_GroupCap,G535)*v01_CohesionFactor*EXP(v01_CapsByProject*SUMPRODUCT((Cap_Point&lt;=I535)*(Cap_Kind="Group")*Cap_Ln))</x:f>
        <x:v>500</x:v>
      </x:c>
      <x:c r="N535" s="32" t="n">
        <x:f>MIN(J535,L535,M535)</x:f>
        <x:v>60</x:v>
      </x:c>
      <x:c r="O535" s="10" t="n">
        <x:f>AE534*N535</x:f>
        <x:v>180</x:v>
      </x:c>
      <x:c r="P535" s="9" t="n">
        <x:f>MIN(1,(AB534/(AE534*IF(v01_GroupInCrowding=1,N535,MIN(J535,L535))))^v01_CrowdingExp)</x:f>
        <x:v>0.04463649285003936</x:v>
      </x:c>
      <x:c r="Q535" s="9" t="n">
        <x:f>IF(D535=1,INDEX(v01_WinterMult,G535),1)</x:f>
        <x:v>1.3</x:v>
      </x:c>
      <x:c r="R535" s="9" t="n">
        <x:f>H535*Z534*v01_WomenShare*v01_BaseFertility*INDEX(v01_FertMult,G535)*Arch_Fertility*(1-P535)</x:f>
        <x:v>1.7328870583490825</x:v>
      </x:c>
      <x:c r="S535" s="9" t="n">
        <x:f>H535*Y534*INDEX(v01_MortChild,G535)/4*Q535</x:f>
        <x:v>0.5580438229981556</x:v>
      </x:c>
      <x:c r="T535" s="9" t="n">
        <x:f>H535*Z534*INDEX(v01_MortAdult,G535)*Arch_AdultMort/4*Q535</x:f>
        <x:v>0.17466713389190336</x:v>
      </x:c>
      <x:c r="U535" s="9" t="n">
        <x:f>H535*AA534*INDEX(v01_MortElder,G535)/4*Q535</x:f>
        <x:v>0.3039671063069351</x:v>
      </x:c>
      <x:c r="V535" s="9" t="n">
        <x:f>H535*MAX(0,AB534-O535)*v01_OvercapLoss</x:f>
        <x:v>0</x:v>
      </x:c>
      <x:c r="W535" s="9" t="n">
        <x:f>H535*Y534/(v01_ChildYears*4)</x:f>
        <x:v>0.8760499576109192</x:v>
      </x:c>
      <x:c r="X535" s="9" t="n">
        <x:f>H535*Z534/(v01_AdultYears*4)</x:f>
        <x:v>0.36118100473925424</x:v>
      </x:c>
      <x:c r="Y535" s="32" t="n">
        <x:f>Y534+R535-S535-W535-Y534*V535/AB534</x:f>
        <x:v>49.35759090395148</x:v>
      </x:c>
      <x:c r="Z535" s="32" t="n">
        <x:f>Z534+W535-X535-T535-Z534*V535/AB534</x:f>
        <x:v>45.12664640664729</x:v>
      </x:c>
      <x:c r="AA535" s="32" t="n">
        <x:f>AA534+X535-U535-AA534*V535/AB534</x:f>
        <x:v>13.418405384451441</x:v>
      </x:c>
      <x:c r="AB535" s="10" t="n">
        <x:f>Y535+Z535+AA535</x:f>
        <x:v>107.90264269505022</x:v>
      </x:c>
      <x:c r="AC535" s="8" t="n">
        <x:f>IF(AND(v01_WinterTrigger=1,D535=1,AB534/AE534&gt;=K535),1,0)</x:f>
        <x:v>0</x:v>
      </x:c>
      <x:c r="AD535" s="8" t="n">
        <x:f>H535*IF(AND(OR(AB534/AE534&gt;=v01_FissionTrigger*N535,AC535=1),AB534/AE534*v01_DaughterShare&gt;=v01_MinDaughter),MAX(1,ROUND(AE534*v01_FissionRate,0)),0)</x:f>
        <x:v>0</x:v>
      </x:c>
      <x:c r="AE535" s="8" t="n">
        <x:f>IF(H535=1,MAX(1,MIN(INDEX(v01_Smax,G535),AE534+AD535)),AE534)</x:f>
        <x:v>3</x:v>
      </x:c>
      <x:c r="AF535" s="8" t="n">
        <x:f>MAX(0,AE535-AE534)</x:f>
        <x:v>0</x:v>
      </x:c>
      <x:c r="AG535" s="9" t="str">
        <x:f>IF(AF535&gt;0,B535,"")</x:f>
      </x:c>
      <x:c r="AH535" s="9" t="n">
        <x:f>IF(F535&gt;=1,1,(1+v01_LowTiesShare*(AE535-1))/AE535)</x:f>
        <x:v>1</x:v>
      </x:c>
      <x:c r="AI535" s="32" t="n">
        <x:f>(Z535+v01_ElderCommons*INDEX(LM_Elder,G535)*AA535)*AH535</x:f>
        <x:v>85.38186256000162</x:v>
      </x:c>
      <x:c r="AJ535" s="32" t="n">
        <x:f>H535*v01_CommonsCoef*AI535^v01_CommonsExp*INDEX(LM_Commons,G535)</x:f>
        <x:v>28.920428030130722</x:v>
      </x:c>
      <x:c r="AK535" s="32" t="n">
        <x:f>H535*v01_RoleScale*Arch_Roles*(AE535*(INDEX(v01_ElderRolePerSett,G535)*v01_OutElder*INDEX(LM_Elder,G535)+INDEX(v01_ShamanPerSett,G535)*v01_OutShaman)+Z535*(INDEX(v01_PriestShare,G535)*v01_OutPriest+INDEX(v01_ScribeShare,G535)*v01_OutScribe*INDEX(LM_Scribe,G535)+INDEX(v01_ScholarShare,G535)*v01_OutScholar*INDEX(LM_Scholar,G535)+INDEX(v01_ResearcherShare,G535)*v01_OutResearcher*INDEX(LM_Researcher,G535)))</x:f>
        <x:v>9</x:v>
      </x:c>
      <x:c r="AL535" s="32" t="n">
        <x:f>H535*v01_RoleScale*Arch_Roles*AE535*INDEX(v01_MonasteryPerSett,G535)*v01_OutMonastery*INDEX(LM_Monastery,G535)</x:f>
        <x:v>0</x:v>
      </x:c>
      <x:c r="AM535" s="32" t="n">
        <x:f>(AJ535+AK535+AL535)/4*INDEX(LM_All,G535)*INDEX(v01_Boon,G535)*Arch_Insight</x:f>
        <x:v>9.960037424789022</x:v>
      </x:c>
      <x:c r="AN535" s="32" t="n">
        <x:f>H535*(v01_KHPerAdult*Z535+v01_KHOfCommons*AJ535/4*INDEX(LM_All,G535))*v01_KHUsable*Arch_KH</x:f>
        <x:v>1.579432624232655</x:v>
      </x:c>
      <x:c r="AO535" s="32" t="n">
        <x:f>MIN(AP534+AN535,AM535*v01_KHMaxRatio)</x:f>
        <x:v>1.579432624232655</x:v>
      </x:c>
      <x:c r="AP535" s="32" t="n">
        <x:f>AP534+AN535-AO535</x:f>
        <x:v>0</x:v>
      </x:c>
      <x:c r="AQ535" s="32" t="n">
        <x:f>AM535+AO535</x:f>
        <x:v>11.539470049021677</x:v>
      </x:c>
      <x:c r="AR535" s="10" t="n">
        <x:f>IF(H535=1,INDEX(v01_Req,G535),0)</x:f>
        <x:v>4006.9599999999996</x:v>
      </x:c>
      <x:c r="AS535" s="32" t="n">
        <x:f>IF(H535=1,IF(E535=1,AS534-AR534,AS534)+AQ535,0)</x:f>
        <x:v>490.7804438827125</x:v>
      </x:c>
      <x:c r="AT535" s="11" t="n">
        <x:f>IF(AR535&gt;0,MIN(1,AS535/AR535),1)</x:f>
        <x:v>0.12248199230406906</x:v>
      </x:c>
      <x:c r="AU535" s="10" t="n">
        <x:f>AB535/INDEX(v01_RepScale,G535)</x:f>
        <x:v>53.95132134752511</x:v>
      </x:c>
      <x:c r="AV535" s="32" t="n">
        <x:f>AM535*60/v01_SeasonSeconds</x:f>
        <x:v>39.840149699156086</x:v>
      </x:c>
    </x:row>
    <x:row r="536">
      <x:c r="A536" s="8" t="n">
        <x:f>A535+1</x:f>
        <x:v>533</x:v>
      </x:c>
      <x:c r="B536" s="9" t="n">
        <x:f>A536*v01_SeasonSeconds/60</x:f>
        <x:v>133.25</x:v>
      </x:c>
      <x:c r="C536" s="9" t="n">
        <x:f>A536/4</x:f>
        <x:v>133.25</x:v>
      </x:c>
      <x:c r="D536" s="8" t="n">
        <x:f>IF(MOD(A536,4)=0,1,0)</x:f>
        <x:v>0</x:v>
      </x:c>
      <x:c r="E536" s="8" t="n">
        <x:f>IF(AND(F535&lt;=9,AS535&gt;=AR535),1,0)</x:f>
        <x:v>0</x:v>
      </x:c>
      <x:c r="F536" s="8" t="n">
        <x:f>MIN(10,F535+E536)</x:f>
        <x:v>2</x:v>
      </x:c>
      <x:c r="G536" s="8" t="n">
        <x:f>MIN(F536,9)+1</x:f>
        <x:v>3</x:v>
      </x:c>
      <x:c r="H536" s="8" t="n">
        <x:f>IF(F536&lt;=9,1,0)</x:f>
        <x:v>1</x:v>
      </x:c>
      <x:c r="I536" s="9" t="n">
        <x:f>MIN(10,F535+IF(AR535&gt;0,MIN(1,AS535/AR535),1))</x:f>
        <x:v>2.122481992304069</x:v>
      </x:c>
      <x:c r="J536" s="32" t="n">
        <x:f>INDEX(v01_FoodCap,G536)*Arch_FoodCap*EXP(v01_CapsByProject*SUMPRODUCT((Cap_Point&lt;=I536)*(Cap_Kind="Food")*Cap_Ln))</x:f>
        <x:v>60</x:v>
      </x:c>
      <x:c r="K536" s="32" t="n">
        <x:f>J536*MIN(1,v01_LeanBase*EXP(v01_CapsByProject*SUMPRODUCT((Cap_Point&lt;=I536)*(Cap_Kind="Lean")*Cap_Ln)))</x:f>
        <x:v>60</x:v>
      </x:c>
      <x:c r="L536" s="10" t="n">
        <x:f>INDEX(v01_HousingCap,G536)*EXP(v01_CapsByProject*SUMPRODUCT((Cap_Point&lt;=I536)*(Cap_Kind="Housing")*Cap_Ln))</x:f>
        <x:v>100</x:v>
      </x:c>
      <x:c r="M536" s="10" t="n">
        <x:f>INDEX(v01_GroupCap,G536)*v01_CohesionFactor*EXP(v01_CapsByProject*SUMPRODUCT((Cap_Point&lt;=I536)*(Cap_Kind="Group")*Cap_Ln))</x:f>
        <x:v>500</x:v>
      </x:c>
      <x:c r="N536" s="32" t="n">
        <x:f>MIN(J536,L536,M536)</x:f>
        <x:v>60</x:v>
      </x:c>
      <x:c r="O536" s="10" t="n">
        <x:f>AE535*N536</x:f>
        <x:v>180</x:v>
      </x:c>
      <x:c r="P536" s="9" t="n">
        <x:f>MIN(1,(AB535/(AE535*IF(v01_GroupInCrowding=1,N536,MIN(J536,L536))))^v01_CrowdingExp)</x:f>
        <x:v>0.04640421788916928</x:v>
      </x:c>
      <x:c r="Q536" s="9" t="n">
        <x:f>IF(D536=1,INDEX(v01_WinterMult,G536),1)</x:f>
        <x:v>1</x:v>
      </x:c>
      <x:c r="R536" s="9" t="n">
        <x:f>H536*Z535*v01_WomenShare*v01_BaseFertility*INDEX(v01_FertMult,G536)*Arch_Fertility*(1-P536)</x:f>
        <x:v>1.7428194768045224</x:v>
      </x:c>
      <x:c r="S536" s="9" t="n">
        <x:f>H536*Y535*INDEX(v01_MortChild,G536)/4*Q536</x:f>
        <x:v>0.43187892040957554</x:v>
      </x:c>
      <x:c r="T536" s="9" t="n">
        <x:f>H536*Z535*INDEX(v01_MortAdult,G536)*Arch_AdultMort/4*Q536</x:f>
        <x:v>0.13537993921994187</x:v>
      </x:c>
      <x:c r="U536" s="9" t="n">
        <x:f>H536*AA535*INDEX(v01_MortElder,G536)/4*Q536</x:f>
        <x:v>0.23482209422790024</x:v>
      </x:c>
      <x:c r="V536" s="9" t="n">
        <x:f>H536*MAX(0,AB535-O536)*v01_OvercapLoss</x:f>
        <x:v>0</x:v>
      </x:c>
      <x:c r="W536" s="9" t="n">
        <x:f>H536*Y535/(v01_ChildYears*4)</x:f>
        <x:v>0.8813855518562764</x:v>
      </x:c>
      <x:c r="X536" s="9" t="n">
        <x:f>H536*Z535/(v01_AdultYears*4)</x:f>
        <x:v>0.36392456779554266</x:v>
      </x:c>
      <x:c r="Y536" s="32" t="n">
        <x:f>Y535+R536-S536-W536-Y535*V536/AB535</x:f>
        <x:v>49.78714590849015</x:v>
      </x:c>
      <x:c r="Z536" s="32" t="n">
        <x:f>Z535+W536-X536-T536-Z535*V536/AB535</x:f>
        <x:v>45.50872745148808</x:v>
      </x:c>
      <x:c r="AA536" s="32" t="n">
        <x:f>AA535+X536-U536-AA535*V536/AB535</x:f>
        <x:v>13.547507858019085</x:v>
      </x:c>
      <x:c r="AB536" s="10" t="n">
        <x:f>Y536+Z536+AA536</x:f>
        <x:v>108.84338121799732</x:v>
      </x:c>
      <x:c r="AC536" s="8" t="n">
        <x:f>IF(AND(v01_WinterTrigger=1,D536=1,AB535/AE535&gt;=K536),1,0)</x:f>
        <x:v>0</x:v>
      </x:c>
      <x:c r="AD536" s="8" t="n">
        <x:f>H536*IF(AND(OR(AB535/AE535&gt;=v01_FissionTrigger*N536,AC536=1),AB535/AE535*v01_DaughterShare&gt;=v01_MinDaughter),MAX(1,ROUND(AE535*v01_FissionRate,0)),0)</x:f>
        <x:v>0</x:v>
      </x:c>
      <x:c r="AE536" s="8" t="n">
        <x:f>IF(H536=1,MAX(1,MIN(INDEX(v01_Smax,G536),AE535+AD536)),AE535)</x:f>
        <x:v>3</x:v>
      </x:c>
      <x:c r="AF536" s="8" t="n">
        <x:f>MAX(0,AE536-AE535)</x:f>
        <x:v>0</x:v>
      </x:c>
      <x:c r="AG536" s="9" t="str">
        <x:f>IF(AF536&gt;0,B536,"")</x:f>
      </x:c>
      <x:c r="AH536" s="9" t="n">
        <x:f>IF(F536&gt;=1,1,(1+v01_LowTiesShare*(AE536-1))/AE536)</x:f>
        <x:v>1</x:v>
      </x:c>
      <x:c r="AI536" s="32" t="n">
        <x:f>(Z536+v01_ElderCommons*INDEX(LM_Elder,G536)*AA536)*AH536</x:f>
        <x:v>86.15125102554532</x:v>
      </x:c>
      <x:c r="AJ536" s="32" t="n">
        <x:f>H536*v01_CommonsCoef*AI536^v01_CommonsExp*INDEX(LM_Commons,G536)</x:f>
        <x:v>29.141794116674085</x:v>
      </x:c>
      <x:c r="AK536" s="32" t="n">
        <x:f>H536*v01_RoleScale*Arch_Roles*(AE536*(INDEX(v01_ElderRolePerSett,G536)*v01_OutElder*INDEX(LM_Elder,G536)+INDEX(v01_ShamanPerSett,G536)*v01_OutShaman)+Z536*(INDEX(v01_PriestShare,G536)*v01_OutPriest+INDEX(v01_ScribeShare,G536)*v01_OutScribe*INDEX(LM_Scribe,G536)+INDEX(v01_ScholarShare,G536)*v01_OutScholar*INDEX(LM_Scholar,G536)+INDEX(v01_ResearcherShare,G536)*v01_OutResearcher*INDEX(LM_Researcher,G536)))</x:f>
        <x:v>9</x:v>
      </x:c>
      <x:c r="AL536" s="32" t="n">
        <x:f>H536*v01_RoleScale*Arch_Roles*AE536*INDEX(v01_MonasteryPerSett,G536)*v01_OutMonastery*INDEX(LM_Monastery,G536)</x:f>
        <x:v>0</x:v>
      </x:c>
      <x:c r="AM536" s="32" t="n">
        <x:f>(AJ536+AK536+AL536)/4*INDEX(LM_All,G536)*INDEX(v01_Boon,G536)*Arch_Insight</x:f>
        <x:v>10.018180610957677</x:v>
      </x:c>
      <x:c r="AN536" s="32" t="n">
        <x:f>H536*(v01_KHPerAdult*Z536+v01_KHOfCommons*AJ536/4*INDEX(LM_All,G536))*v01_KHUsable*Arch_KH</x:f>
        <x:v>1.5928054608020825</x:v>
      </x:c>
      <x:c r="AO536" s="32" t="n">
        <x:f>MIN(AP535+AN536,AM536*v01_KHMaxRatio)</x:f>
        <x:v>1.5928054608020825</x:v>
      </x:c>
      <x:c r="AP536" s="32" t="n">
        <x:f>AP535+AN536-AO536</x:f>
        <x:v>0</x:v>
      </x:c>
      <x:c r="AQ536" s="32" t="n">
        <x:f>AM536+AO536</x:f>
        <x:v>11.61098607175976</x:v>
      </x:c>
      <x:c r="AR536" s="10" t="n">
        <x:f>IF(H536=1,INDEX(v01_Req,G536),0)</x:f>
        <x:v>4006.9599999999996</x:v>
      </x:c>
      <x:c r="AS536" s="32" t="n">
        <x:f>IF(H536=1,IF(E536=1,AS535-AR535,AS535)+AQ536,0)</x:f>
        <x:v>502.3914299544723</x:v>
      </x:c>
      <x:c r="AT536" s="11" t="n">
        <x:f>IF(AR536&gt;0,MIN(1,AS536/AR536),1)</x:f>
        <x:v>0.125379696816158</x:v>
      </x:c>
      <x:c r="AU536" s="10" t="n">
        <x:f>AB536/INDEX(v01_RepScale,G536)</x:f>
        <x:v>54.42169060899866</x:v>
      </x:c>
      <x:c r="AV536" s="32" t="n">
        <x:f>AM536*60/v01_SeasonSeconds</x:f>
        <x:v>40.072722443830706</x:v>
      </x:c>
    </x:row>
    <x:row r="537">
      <x:c r="A537" s="8" t="n">
        <x:f>A536+1</x:f>
        <x:v>534</x:v>
      </x:c>
      <x:c r="B537" s="9" t="n">
        <x:f>A537*v01_SeasonSeconds/60</x:f>
        <x:v>133.5</x:v>
      </x:c>
      <x:c r="C537" s="9" t="n">
        <x:f>A537/4</x:f>
        <x:v>133.5</x:v>
      </x:c>
      <x:c r="D537" s="8" t="n">
        <x:f>IF(MOD(A537,4)=0,1,0)</x:f>
        <x:v>0</x:v>
      </x:c>
      <x:c r="E537" s="8" t="n">
        <x:f>IF(AND(F536&lt;=9,AS536&gt;=AR536),1,0)</x:f>
        <x:v>0</x:v>
      </x:c>
      <x:c r="F537" s="8" t="n">
        <x:f>MIN(10,F536+E537)</x:f>
        <x:v>2</x:v>
      </x:c>
      <x:c r="G537" s="8" t="n">
        <x:f>MIN(F537,9)+1</x:f>
        <x:v>3</x:v>
      </x:c>
      <x:c r="H537" s="8" t="n">
        <x:f>IF(F537&lt;=9,1,0)</x:f>
        <x:v>1</x:v>
      </x:c>
      <x:c r="I537" s="9" t="n">
        <x:f>MIN(10,F536+IF(AR536&gt;0,MIN(1,AS536/AR536),1))</x:f>
        <x:v>2.125379696816158</x:v>
      </x:c>
      <x:c r="J537" s="32" t="n">
        <x:f>INDEX(v01_FoodCap,G537)*Arch_FoodCap*EXP(v01_CapsByProject*SUMPRODUCT((Cap_Point&lt;=I537)*(Cap_Kind="Food")*Cap_Ln))</x:f>
        <x:v>60</x:v>
      </x:c>
      <x:c r="K537" s="32" t="n">
        <x:f>J537*MIN(1,v01_LeanBase*EXP(v01_CapsByProject*SUMPRODUCT((Cap_Point&lt;=I537)*(Cap_Kind="Lean")*Cap_Ln)))</x:f>
        <x:v>60</x:v>
      </x:c>
      <x:c r="L537" s="10" t="n">
        <x:f>INDEX(v01_HousingCap,G537)*EXP(v01_CapsByProject*SUMPRODUCT((Cap_Point&lt;=I537)*(Cap_Kind="Housing")*Cap_Ln))</x:f>
        <x:v>100</x:v>
      </x:c>
      <x:c r="M537" s="10" t="n">
        <x:f>INDEX(v01_GroupCap,G537)*v01_CohesionFactor*EXP(v01_CapsByProject*SUMPRODUCT((Cap_Point&lt;=I537)*(Cap_Kind="Group")*Cap_Ln))</x:f>
        <x:v>500</x:v>
      </x:c>
      <x:c r="N537" s="32" t="n">
        <x:f>MIN(J537,L537,M537)</x:f>
        <x:v>60</x:v>
      </x:c>
      <x:c r="O537" s="10" t="n">
        <x:f>AE536*N537</x:f>
        <x:v>180</x:v>
      </x:c>
      <x:c r="P537" s="9" t="n">
        <x:f>MIN(1,(AB536/(AE536*IF(v01_GroupInCrowding=1,N537,MIN(J537,L537))))^v01_CrowdingExp)</x:f>
        <x:v>0.048885168603592793</x:v>
      </x:c>
      <x:c r="Q537" s="9" t="n">
        <x:f>IF(D537=1,INDEX(v01_WinterMult,G537),1)</x:f>
        <x:v>1</x:v>
      </x:c>
      <x:c r="R537" s="9" t="n">
        <x:f>H537*Z536*v01_WomenShare*v01_BaseFertility*INDEX(v01_FertMult,G537)*Arch_Fertility*(1-P537)</x:f>
        <x:v>1.753003038302029</x:v>
      </x:c>
      <x:c r="S537" s="9" t="n">
        <x:f>H537*Y536*INDEX(v01_MortChild,G537)/4*Q537</x:f>
        <x:v>0.4356375266992889</x:v>
      </x:c>
      <x:c r="T537" s="9" t="n">
        <x:f>H537*Z536*INDEX(v01_MortAdult,G537)*Arch_AdultMort/4*Q537</x:f>
        <x:v>0.13652618235446423</x:v>
      </x:c>
      <x:c r="U537" s="9" t="n">
        <x:f>H537*AA536*INDEX(v01_MortElder,G537)/4*Q537</x:f>
        <x:v>0.237081387515334</x:v>
      </x:c>
      <x:c r="V537" s="9" t="n">
        <x:f>H537*MAX(0,AB536-O537)*v01_OvercapLoss</x:f>
        <x:v>0</x:v>
      </x:c>
      <x:c r="W537" s="9" t="n">
        <x:f>H537*Y536/(v01_ChildYears*4)</x:f>
        <x:v>0.8890561769373242</x:v>
      </x:c>
      <x:c r="X537" s="9" t="n">
        <x:f>H537*Z536/(v01_AdultYears*4)</x:f>
        <x:v>0.3670058665442587</x:v>
      </x:c>
      <x:c r="Y537" s="32" t="n">
        <x:f>Y536+R537-S537-W537-Y536*V537/AB536</x:f>
        <x:v>50.21545524315557</x:v>
      </x:c>
      <x:c r="Z537" s="32" t="n">
        <x:f>Z536+W537-X537-T537-Z536*V537/AB536</x:f>
        <x:v>45.894251579526674</x:v>
      </x:c>
      <x:c r="AA537" s="32" t="n">
        <x:f>AA536+X537-U537-AA536*V537/AB536</x:f>
        <x:v>13.67743233704801</x:v>
      </x:c>
      <x:c r="AB537" s="10" t="n">
        <x:f>Y537+Z537+AA537</x:f>
        <x:v>109.78713915973026</x:v>
      </x:c>
      <x:c r="AC537" s="8" t="n">
        <x:f>IF(AND(v01_WinterTrigger=1,D537=1,AB536/AE536&gt;=K537),1,0)</x:f>
        <x:v>0</x:v>
      </x:c>
      <x:c r="AD537" s="8" t="n">
        <x:f>H537*IF(AND(OR(AB536/AE536&gt;=v01_FissionTrigger*N537,AC537=1),AB536/AE536*v01_DaughterShare&gt;=v01_MinDaughter),MAX(1,ROUND(AE536*v01_FissionRate,0)),0)</x:f>
        <x:v>0</x:v>
      </x:c>
      <x:c r="AE537" s="8" t="n">
        <x:f>IF(H537=1,MAX(1,MIN(INDEX(v01_Smax,G537),AE536+AD537)),AE536)</x:f>
        <x:v>3</x:v>
      </x:c>
      <x:c r="AF537" s="8" t="n">
        <x:f>MAX(0,AE537-AE536)</x:f>
        <x:v>0</x:v>
      </x:c>
      <x:c r="AG537" s="9" t="str">
        <x:f>IF(AF537&gt;0,B537,"")</x:f>
      </x:c>
      <x:c r="AH537" s="9" t="n">
        <x:f>IF(F537&gt;=1,1,(1+v01_LowTiesShare*(AE537-1))/AE537)</x:f>
        <x:v>1</x:v>
      </x:c>
      <x:c r="AI537" s="32" t="n">
        <x:f>(Z537+v01_ElderCommons*INDEX(LM_Elder,G537)*AA537)*AH537</x:f>
        <x:v>86.9265485906707</x:v>
      </x:c>
      <x:c r="AJ537" s="32" t="n">
        <x:f>H537*v01_CommonsCoef*AI537^v01_CommonsExp*INDEX(LM_Commons,G537)</x:f>
        <x:v>29.364560588420886</x:v>
      </x:c>
      <x:c r="AK537" s="32" t="n">
        <x:f>H537*v01_RoleScale*Arch_Roles*(AE537*(INDEX(v01_ElderRolePerSett,G537)*v01_OutElder*INDEX(LM_Elder,G537)+INDEX(v01_ShamanPerSett,G537)*v01_OutShaman)+Z537*(INDEX(v01_PriestShare,G537)*v01_OutPriest+INDEX(v01_ScribeShare,G537)*v01_OutScribe*INDEX(LM_Scribe,G537)+INDEX(v01_ScholarShare,G537)*v01_OutScholar*INDEX(LM_Scholar,G537)+INDEX(v01_ResearcherShare,G537)*v01_OutResearcher*INDEX(LM_Researcher,G537)))</x:f>
        <x:v>9</x:v>
      </x:c>
      <x:c r="AL537" s="32" t="n">
        <x:f>H537*v01_RoleScale*Arch_Roles*AE537*INDEX(v01_MonasteryPerSett,G537)*v01_OutMonastery*INDEX(LM_Monastery,G537)</x:f>
        <x:v>0</x:v>
      </x:c>
      <x:c r="AM537" s="32" t="n">
        <x:f>(AJ537+AK537+AL537)/4*INDEX(LM_All,G537)*INDEX(v01_Boon,G537)*Arch_Insight</x:f>
        <x:v>10.076691617052422</x:v>
      </x:c>
      <x:c r="AN537" s="32" t="n">
        <x:f>H537*(v01_KHPerAdult*Z537+v01_KHOfCommons*AJ537/4*INDEX(LM_All,G537))*v01_KHUsable*Arch_KH</x:f>
        <x:v>1.6062988052834335</x:v>
      </x:c>
      <x:c r="AO537" s="32" t="n">
        <x:f>MIN(AP536+AN537,AM537*v01_KHMaxRatio)</x:f>
        <x:v>1.6062988052834335</x:v>
      </x:c>
      <x:c r="AP537" s="32" t="n">
        <x:f>AP536+AN537-AO537</x:f>
        <x:v>0</x:v>
      </x:c>
      <x:c r="AQ537" s="32" t="n">
        <x:f>AM537+AO537</x:f>
        <x:v>11.682990422335855</x:v>
      </x:c>
      <x:c r="AR537" s="10" t="n">
        <x:f>IF(H537=1,INDEX(v01_Req,G537),0)</x:f>
        <x:v>4006.9599999999996</x:v>
      </x:c>
      <x:c r="AS537" s="32" t="n">
        <x:f>IF(H537=1,IF(E537=1,AS536-AR536,AS536)+AQ537,0)</x:f>
        <x:v>514.0744203768081</x:v>
      </x:c>
      <x:c r="AT537" s="11" t="n">
        <x:f>IF(AR537&gt;0,MIN(1,AS537/AR537),1)</x:f>
        <x:v>0.1282953711484038</x:v>
      </x:c>
      <x:c r="AU537" s="10" t="n">
        <x:f>AB537/INDEX(v01_RepScale,G537)</x:f>
        <x:v>54.89356957986513</x:v>
      </x:c>
      <x:c r="AV537" s="32" t="n">
        <x:f>AM537*60/v01_SeasonSeconds</x:f>
        <x:v>40.30676646820969</x:v>
      </x:c>
    </x:row>
    <x:row r="538">
      <x:c r="A538" s="8" t="n">
        <x:f>A537+1</x:f>
        <x:v>535</x:v>
      </x:c>
      <x:c r="B538" s="9" t="n">
        <x:f>A538*v01_SeasonSeconds/60</x:f>
        <x:v>133.75</x:v>
      </x:c>
      <x:c r="C538" s="9" t="n">
        <x:f>A538/4</x:f>
        <x:v>133.75</x:v>
      </x:c>
      <x:c r="D538" s="8" t="n">
        <x:f>IF(MOD(A538,4)=0,1,0)</x:f>
        <x:v>0</x:v>
      </x:c>
      <x:c r="E538" s="8" t="n">
        <x:f>IF(AND(F537&lt;=9,AS537&gt;=AR537),1,0)</x:f>
        <x:v>0</x:v>
      </x:c>
      <x:c r="F538" s="8" t="n">
        <x:f>MIN(10,F537+E538)</x:f>
        <x:v>2</x:v>
      </x:c>
      <x:c r="G538" s="8" t="n">
        <x:f>MIN(F538,9)+1</x:f>
        <x:v>3</x:v>
      </x:c>
      <x:c r="H538" s="8" t="n">
        <x:f>IF(F538&lt;=9,1,0)</x:f>
        <x:v>1</x:v>
      </x:c>
      <x:c r="I538" s="9" t="n">
        <x:f>MIN(10,F537+IF(AR537&gt;0,MIN(1,AS537/AR537),1))</x:f>
        <x:v>2.1282953711484036</x:v>
      </x:c>
      <x:c r="J538" s="32" t="n">
        <x:f>INDEX(v01_FoodCap,G538)*Arch_FoodCap*EXP(v01_CapsByProject*SUMPRODUCT((Cap_Point&lt;=I538)*(Cap_Kind="Food")*Cap_Ln))</x:f>
        <x:v>60</x:v>
      </x:c>
      <x:c r="K538" s="32" t="n">
        <x:f>J538*MIN(1,v01_LeanBase*EXP(v01_CapsByProject*SUMPRODUCT((Cap_Point&lt;=I538)*(Cap_Kind="Lean")*Cap_Ln)))</x:f>
        <x:v>60</x:v>
      </x:c>
      <x:c r="L538" s="10" t="n">
        <x:f>INDEX(v01_HousingCap,G538)*EXP(v01_CapsByProject*SUMPRODUCT((Cap_Point&lt;=I538)*(Cap_Kind="Housing")*Cap_Ln))</x:f>
        <x:v>100</x:v>
      </x:c>
      <x:c r="M538" s="10" t="n">
        <x:f>INDEX(v01_GroupCap,G538)*v01_CohesionFactor*EXP(v01_CapsByProject*SUMPRODUCT((Cap_Point&lt;=I538)*(Cap_Kind="Group")*Cap_Ln))</x:f>
        <x:v>500</x:v>
      </x:c>
      <x:c r="N538" s="32" t="n">
        <x:f>MIN(J538,L538,M538)</x:f>
        <x:v>60</x:v>
      </x:c>
      <x:c r="O538" s="10" t="n">
        <x:f>AE537*N538</x:f>
        <x:v>180</x:v>
      </x:c>
      <x:c r="P538" s="9" t="n">
        <x:f>MIN(1,(AB537/(AE537*IF(v01_GroupInCrowding=1,N538,MIN(J538,L538))))^v01_CrowdingExp)</x:f>
        <x:v>0.05148417756801466</x:v>
      </x:c>
      <x:c r="Q538" s="9" t="n">
        <x:f>IF(D538=1,INDEX(v01_WinterMult,G538),1)</x:f>
        <x:v>1</x:v>
      </x:c>
      <x:c r="R538" s="9" t="n">
        <x:f>H538*Z537*v01_WomenShare*v01_BaseFertility*INDEX(v01_FertMult,G538)*Arch_Fertility*(1-P538)</x:f>
        <x:v>1.7630226631651351</x:v>
      </x:c>
      <x:c r="S538" s="9" t="n">
        <x:f>H538*Y537*INDEX(v01_MortChild,G538)/4*Q538</x:f>
        <x:v>0.43938523337761126</x:v>
      </x:c>
      <x:c r="T538" s="9" t="n">
        <x:f>H538*Z537*INDEX(v01_MortAdult,G538)*Arch_AdultMort/4*Q538</x:f>
        <x:v>0.13768275473858002</x:v>
      </x:c>
      <x:c r="U538" s="9" t="n">
        <x:f>H538*AA537*INDEX(v01_MortElder,G538)/4*Q538</x:f>
        <x:v>0.2393550658983402</x:v>
      </x:c>
      <x:c r="V538" s="9" t="n">
        <x:f>H538*MAX(0,AB537-O538)*v01_OvercapLoss</x:f>
        <x:v>0</x:v>
      </x:c>
      <x:c r="W538" s="9" t="n">
        <x:f>H538*Y537/(v01_ChildYears*4)</x:f>
        <x:v>0.8967045579134922</x:v>
      </x:c>
      <x:c r="X538" s="9" t="n">
        <x:f>H538*Z537/(v01_AdultYears*4)</x:f>
        <x:v>0.37011493209295704</x:v>
      </x:c>
      <x:c r="Y538" s="32" t="n">
        <x:f>Y537+R538-S538-W538-Y537*V538/AB537</x:f>
        <x:v>50.6423881150296</x:v>
      </x:c>
      <x:c r="Z538" s="32" t="n">
        <x:f>Z537+W538-X538-T538-Z537*V538/AB537</x:f>
        <x:v>46.28315845060863</x:v>
      </x:c>
      <x:c r="AA538" s="32" t="n">
        <x:f>AA537+X538-U538-AA537*V538/AB537</x:f>
        <x:v>13.808192203242626</x:v>
      </x:c>
      <x:c r="AB538" s="10" t="n">
        <x:f>Y538+Z538+AA538</x:f>
        <x:v>110.73373876888085</x:v>
      </x:c>
      <x:c r="AC538" s="8" t="n">
        <x:f>IF(AND(v01_WinterTrigger=1,D538=1,AB537/AE537&gt;=K538),1,0)</x:f>
        <x:v>0</x:v>
      </x:c>
      <x:c r="AD538" s="8" t="n">
        <x:f>H538*IF(AND(OR(AB537/AE537&gt;=v01_FissionTrigger*N538,AC538=1),AB537/AE537*v01_DaughterShare&gt;=v01_MinDaughter),MAX(1,ROUND(AE537*v01_FissionRate,0)),0)</x:f>
        <x:v>0</x:v>
      </x:c>
      <x:c r="AE538" s="8" t="n">
        <x:f>IF(H538=1,MAX(1,MIN(INDEX(v01_Smax,G538),AE537+AD538)),AE537)</x:f>
        <x:v>3</x:v>
      </x:c>
      <x:c r="AF538" s="8" t="n">
        <x:f>MAX(0,AE538-AE537)</x:f>
        <x:v>0</x:v>
      </x:c>
      <x:c r="AG538" s="9" t="str">
        <x:f>IF(AF538&gt;0,B538,"")</x:f>
      </x:c>
      <x:c r="AH538" s="9" t="n">
        <x:f>IF(F538&gt;=1,1,(1+v01_LowTiesShare*(AE538-1))/AE538)</x:f>
        <x:v>1</x:v>
      </x:c>
      <x:c r="AI538" s="32" t="n">
        <x:f>(Z538+v01_ElderCommons*INDEX(LM_Elder,G538)*AA538)*AH538</x:f>
        <x:v>87.70773506033652</x:v>
      </x:c>
      <x:c r="AJ538" s="32" t="n">
        <x:f>H538*v01_CommonsCoef*AI538^v01_CommonsExp*INDEX(LM_Commons,G538)</x:f>
        <x:v>29.588717893657257</x:v>
      </x:c>
      <x:c r="AK538" s="32" t="n">
        <x:f>H538*v01_RoleScale*Arch_Roles*(AE538*(INDEX(v01_ElderRolePerSett,G538)*v01_OutElder*INDEX(LM_Elder,G538)+INDEX(v01_ShamanPerSett,G538)*v01_OutShaman)+Z538*(INDEX(v01_PriestShare,G538)*v01_OutPriest+INDEX(v01_ScribeShare,G538)*v01_OutScribe*INDEX(LM_Scribe,G538)+INDEX(v01_ScholarShare,G538)*v01_OutScholar*INDEX(LM_Scholar,G538)+INDEX(v01_ResearcherShare,G538)*v01_OutResearcher*INDEX(LM_Researcher,G538)))</x:f>
        <x:v>9</x:v>
      </x:c>
      <x:c r="AL538" s="32" t="n">
        <x:f>H538*v01_RoleScale*Arch_Roles*AE538*INDEX(v01_MonasteryPerSett,G538)*v01_OutMonastery*INDEX(LM_Monastery,G538)</x:f>
        <x:v>0</x:v>
      </x:c>
      <x:c r="AM538" s="32" t="n">
        <x:f>(AJ538+AK538+AL538)/4*INDEX(LM_All,G538)*INDEX(v01_Boon,G538)*Arch_Insight</x:f>
        <x:v>10.135567934255914</x:v>
      </x:c>
      <x:c r="AN538" s="32" t="n">
        <x:f>H538*(v01_KHPerAdult*Z538+v01_KHOfCommons*AJ538/4*INDEX(LM_All,G538))*v01_KHUsable*Arch_KH</x:f>
        <x:v>1.6199105457713021</x:v>
      </x:c>
      <x:c r="AO538" s="32" t="n">
        <x:f>MIN(AP537+AN538,AM538*v01_KHMaxRatio)</x:f>
        <x:v>1.6199105457713021</x:v>
      </x:c>
      <x:c r="AP538" s="32" t="n">
        <x:f>AP537+AN538-AO538</x:f>
        <x:v>0</x:v>
      </x:c>
      <x:c r="AQ538" s="32" t="n">
        <x:f>AM538+AO538</x:f>
        <x:v>11.755478480027216</x:v>
      </x:c>
      <x:c r="AR538" s="10" t="n">
        <x:f>IF(H538=1,INDEX(v01_Req,G538),0)</x:f>
        <x:v>4006.9599999999996</x:v>
      </x:c>
      <x:c r="AS538" s="32" t="n">
        <x:f>IF(H538=1,IF(E538=1,AS537-AR537,AS537)+AQ538,0)</x:f>
        <x:v>525.8298988568354</x:v>
      </x:c>
      <x:c r="AT538" s="11" t="n">
        <x:f>IF(AR538&gt;0,MIN(1,AS538/AR538),1)</x:f>
        <x:v>0.13122913601753833</x:v>
      </x:c>
      <x:c r="AU538" s="10" t="n">
        <x:f>AB538/INDEX(v01_RepScale,G538)</x:f>
        <x:v>55.36686938444043</x:v>
      </x:c>
      <x:c r="AV538" s="32" t="n">
        <x:f>AM538*60/v01_SeasonSeconds</x:f>
        <x:v>40.542271737023654</x:v>
      </x:c>
    </x:row>
    <x:row r="539">
      <x:c r="A539" s="8" t="n">
        <x:f>A538+1</x:f>
        <x:v>536</x:v>
      </x:c>
      <x:c r="B539" s="9" t="n">
        <x:f>A539*v01_SeasonSeconds/60</x:f>
        <x:v>134</x:v>
      </x:c>
      <x:c r="C539" s="9" t="n">
        <x:f>A539/4</x:f>
        <x:v>134</x:v>
      </x:c>
      <x:c r="D539" s="8" t="n">
        <x:f>IF(MOD(A539,4)=0,1,0)</x:f>
        <x:v>1</x:v>
      </x:c>
      <x:c r="E539" s="8" t="n">
        <x:f>IF(AND(F538&lt;=9,AS538&gt;=AR538),1,0)</x:f>
        <x:v>0</x:v>
      </x:c>
      <x:c r="F539" s="8" t="n">
        <x:f>MIN(10,F538+E539)</x:f>
        <x:v>2</x:v>
      </x:c>
      <x:c r="G539" s="8" t="n">
        <x:f>MIN(F539,9)+1</x:f>
        <x:v>3</x:v>
      </x:c>
      <x:c r="H539" s="8" t="n">
        <x:f>IF(F539&lt;=9,1,0)</x:f>
        <x:v>1</x:v>
      </x:c>
      <x:c r="I539" s="9" t="n">
        <x:f>MIN(10,F538+IF(AR538&gt;0,MIN(1,AS538/AR538),1))</x:f>
        <x:v>2.1312291360175384</x:v>
      </x:c>
      <x:c r="J539" s="32" t="n">
        <x:f>INDEX(v01_FoodCap,G539)*Arch_FoodCap*EXP(v01_CapsByProject*SUMPRODUCT((Cap_Point&lt;=I539)*(Cap_Kind="Food")*Cap_Ln))</x:f>
        <x:v>60</x:v>
      </x:c>
      <x:c r="K539" s="32" t="n">
        <x:f>J539*MIN(1,v01_LeanBase*EXP(v01_CapsByProject*SUMPRODUCT((Cap_Point&lt;=I539)*(Cap_Kind="Lean")*Cap_Ln)))</x:f>
        <x:v>60</x:v>
      </x:c>
      <x:c r="L539" s="10" t="n">
        <x:f>INDEX(v01_HousingCap,G539)*EXP(v01_CapsByProject*SUMPRODUCT((Cap_Point&lt;=I539)*(Cap_Kind="Housing")*Cap_Ln))</x:f>
        <x:v>100</x:v>
      </x:c>
      <x:c r="M539" s="10" t="n">
        <x:f>INDEX(v01_GroupCap,G539)*v01_CohesionFactor*EXP(v01_CapsByProject*SUMPRODUCT((Cap_Point&lt;=I539)*(Cap_Kind="Group")*Cap_Ln))</x:f>
        <x:v>500</x:v>
      </x:c>
      <x:c r="N539" s="32" t="n">
        <x:f>MIN(J539,L539,M539)</x:f>
        <x:v>60</x:v>
      </x:c>
      <x:c r="O539" s="10" t="n">
        <x:f>AE538*N539</x:f>
        <x:v>180</x:v>
      </x:c>
      <x:c r="P539" s="9" t="n">
        <x:f>MIN(1,(AB538/(AE538*IF(v01_GroupInCrowding=1,N539,MIN(J539,L539))))^v01_CrowdingExp)</x:f>
        <x:v>0.05420567419326604</x:v>
      </x:c>
      <x:c r="Q539" s="9" t="n">
        <x:f>IF(D539=1,INDEX(v01_WinterMult,G539),1)</x:f>
        <x:v>1.3</x:v>
      </x:c>
      <x:c r="R539" s="9" t="n">
        <x:f>H539*Z538*v01_WomenShare*v01_BaseFertility*INDEX(v01_FertMult,G539)*Arch_Fertility*(1-P539)</x:f>
        <x:v>1.772861120041485</x:v>
      </x:c>
      <x:c r="S539" s="9" t="n">
        <x:f>H539*Y538*INDEX(v01_MortChild,G539)/4*Q539</x:f>
        <x:v>0.5760571648084617</x:v>
      </x:c>
      <x:c r="T539" s="9" t="n">
        <x:f>H539*Z538*INDEX(v01_MortAdult,G539)*Arch_AdultMort/4*Q539</x:f>
        <x:v>0.18050431795737368</x:v>
      </x:c>
      <x:c r="U539" s="9" t="n">
        <x:f>H539*AA538*INDEX(v01_MortElder,G539)/4*Q539</x:f>
        <x:v>0.3141363726237698</x:v>
      </x:c>
      <x:c r="V539" s="9" t="n">
        <x:f>H539*MAX(0,AB538-O539)*v01_OvercapLoss</x:f>
        <x:v>0</x:v>
      </x:c>
      <x:c r="W539" s="9" t="n">
        <x:f>H539*Y538/(v01_ChildYears*4)</x:f>
        <x:v>0.9043283591969571</x:v>
      </x:c>
      <x:c r="X539" s="9" t="n">
        <x:f>H539*Z538/(v01_AdultYears*4)</x:f>
        <x:v>0.37325127782748896</x:v>
      </x:c>
      <x:c r="Y539" s="32" t="n">
        <x:f>Y538+R539-S539-W539-Y538*V539/AB538</x:f>
        <x:v>50.93486371106566</x:v>
      </x:c>
      <x:c r="Z539" s="32" t="n">
        <x:f>Z538+W539-X539-T539-Z538*V539/AB538</x:f>
        <x:v>46.63373121402073</x:v>
      </x:c>
      <x:c r="AA539" s="32" t="n">
        <x:f>AA538+X539-U539-AA538*V539/AB538</x:f>
        <x:v>13.867307108446346</x:v>
      </x:c>
      <x:c r="AB539" s="10" t="n">
        <x:f>Y539+Z539+AA539</x:f>
        <x:v>111.43590203353273</x:v>
      </x:c>
      <x:c r="AC539" s="8" t="n">
        <x:f>IF(AND(v01_WinterTrigger=1,D539=1,AB538/AE538&gt;=K539),1,0)</x:f>
        <x:v>0</x:v>
      </x:c>
      <x:c r="AD539" s="8" t="n">
        <x:f>H539*IF(AND(OR(AB538/AE538&gt;=v01_FissionTrigger*N539,AC539=1),AB538/AE538*v01_DaughterShare&gt;=v01_MinDaughter),MAX(1,ROUND(AE538*v01_FissionRate,0)),0)</x:f>
        <x:v>0</x:v>
      </x:c>
      <x:c r="AE539" s="8" t="n">
        <x:f>IF(H539=1,MAX(1,MIN(INDEX(v01_Smax,G539),AE538+AD539)),AE538)</x:f>
        <x:v>3</x:v>
      </x:c>
      <x:c r="AF539" s="8" t="n">
        <x:f>MAX(0,AE539-AE538)</x:f>
        <x:v>0</x:v>
      </x:c>
      <x:c r="AG539" s="9" t="str">
        <x:f>IF(AF539&gt;0,B539,"")</x:f>
      </x:c>
      <x:c r="AH539" s="9" t="n">
        <x:f>IF(F539&gt;=1,1,(1+v01_LowTiesShare*(AE539-1))/AE539)</x:f>
        <x:v>1</x:v>
      </x:c>
      <x:c r="AI539" s="32" t="n">
        <x:f>(Z539+v01_ElderCommons*INDEX(LM_Elder,G539)*AA539)*AH539</x:f>
        <x:v>88.23565253935976</x:v>
      </x:c>
      <x:c r="AJ539" s="32" t="n">
        <x:f>H539*v01_CommonsCoef*AI539^v01_CommonsExp*INDEX(LM_Commons,G539)</x:f>
        <x:v>29.74003135710278</x:v>
      </x:c>
      <x:c r="AK539" s="32" t="n">
        <x:f>H539*v01_RoleScale*Arch_Roles*(AE539*(INDEX(v01_ElderRolePerSett,G539)*v01_OutElder*INDEX(LM_Elder,G539)+INDEX(v01_ShamanPerSett,G539)*v01_OutShaman)+Z539*(INDEX(v01_PriestShare,G539)*v01_OutPriest+INDEX(v01_ScribeShare,G539)*v01_OutScribe*INDEX(LM_Scribe,G539)+INDEX(v01_ScholarShare,G539)*v01_OutScholar*INDEX(LM_Scholar,G539)+INDEX(v01_ResearcherShare,G539)*v01_OutResearcher*INDEX(LM_Researcher,G539)))</x:f>
        <x:v>9</x:v>
      </x:c>
      <x:c r="AL539" s="32" t="n">
        <x:f>H539*v01_RoleScale*Arch_Roles*AE539*INDEX(v01_MonasteryPerSett,G539)*v01_OutMonastery*INDEX(LM_Monastery,G539)</x:f>
        <x:v>0</x:v>
      </x:c>
      <x:c r="AM539" s="32" t="n">
        <x:f>(AJ539+AK539+AL539)/4*INDEX(LM_All,G539)*INDEX(v01_Boon,G539)*Arch_Insight</x:f>
        <x:v>10.175311361139027</x:v>
      </x:c>
      <x:c r="AN539" s="32" t="n">
        <x:f>H539*(v01_KHPerAdult*Z539+v01_KHOfCommons*AJ539/4*INDEX(LM_All,G539))*v01_KHUsable*Arch_KH</x:f>
        <x:v>1.6321805924907256</x:v>
      </x:c>
      <x:c r="AO539" s="32" t="n">
        <x:f>MIN(AP538+AN539,AM539*v01_KHMaxRatio)</x:f>
        <x:v>1.6321805924907256</x:v>
      </x:c>
      <x:c r="AP539" s="32" t="n">
        <x:f>AP538+AN539-AO539</x:f>
        <x:v>0</x:v>
      </x:c>
      <x:c r="AQ539" s="32" t="n">
        <x:f>AM539+AO539</x:f>
        <x:v>11.807491953629752</x:v>
      </x:c>
      <x:c r="AR539" s="10" t="n">
        <x:f>IF(H539=1,INDEX(v01_Req,G539),0)</x:f>
        <x:v>4006.9599999999996</x:v>
      </x:c>
      <x:c r="AS539" s="32" t="n">
        <x:f>IF(H539=1,IF(E539=1,AS538-AR538,AS538)+AQ539,0)</x:f>
        <x:v>537.6373908104651</x:v>
      </x:c>
      <x:c r="AT539" s="11" t="n">
        <x:f>IF(AR539&gt;0,MIN(1,AS539/AR539),1)</x:f>
        <x:v>0.13417588166851308</x:v>
      </x:c>
      <x:c r="AU539" s="10" t="n">
        <x:f>AB539/INDEX(v01_RepScale,G539)</x:f>
        <x:v>55.717951016766364</x:v>
      </x:c>
      <x:c r="AV539" s="32" t="n">
        <x:f>AM539*60/v01_SeasonSeconds</x:f>
        <x:v>40.70124544455611</x:v>
      </x:c>
    </x:row>
    <x:row r="540">
      <x:c r="A540" s="8" t="n">
        <x:f>A539+1</x:f>
        <x:v>537</x:v>
      </x:c>
      <x:c r="B540" s="9" t="n">
        <x:f>A540*v01_SeasonSeconds/60</x:f>
        <x:v>134.25</x:v>
      </x:c>
      <x:c r="C540" s="9" t="n">
        <x:f>A540/4</x:f>
        <x:v>134.25</x:v>
      </x:c>
      <x:c r="D540" s="8" t="n">
        <x:f>IF(MOD(A540,4)=0,1,0)</x:f>
        <x:v>0</x:v>
      </x:c>
      <x:c r="E540" s="8" t="n">
        <x:f>IF(AND(F539&lt;=9,AS539&gt;=AR539),1,0)</x:f>
        <x:v>0</x:v>
      </x:c>
      <x:c r="F540" s="8" t="n">
        <x:f>MIN(10,F539+E540)</x:f>
        <x:v>2</x:v>
      </x:c>
      <x:c r="G540" s="8" t="n">
        <x:f>MIN(F540,9)+1</x:f>
        <x:v>3</x:v>
      </x:c>
      <x:c r="H540" s="8" t="n">
        <x:f>IF(F540&lt;=9,1,0)</x:f>
        <x:v>1</x:v>
      </x:c>
      <x:c r="I540" s="9" t="n">
        <x:f>MIN(10,F539+IF(AR539&gt;0,MIN(1,AS539/AR539),1))</x:f>
        <x:v>2.1341758816685132</x:v>
      </x:c>
      <x:c r="J540" s="32" t="n">
        <x:f>INDEX(v01_FoodCap,G540)*Arch_FoodCap*EXP(v01_CapsByProject*SUMPRODUCT((Cap_Point&lt;=I540)*(Cap_Kind="Food")*Cap_Ln))</x:f>
        <x:v>60</x:v>
      </x:c>
      <x:c r="K540" s="32" t="n">
        <x:f>J540*MIN(1,v01_LeanBase*EXP(v01_CapsByProject*SUMPRODUCT((Cap_Point&lt;=I540)*(Cap_Kind="Lean")*Cap_Ln)))</x:f>
        <x:v>60</x:v>
      </x:c>
      <x:c r="L540" s="10" t="n">
        <x:f>INDEX(v01_HousingCap,G540)*EXP(v01_CapsByProject*SUMPRODUCT((Cap_Point&lt;=I540)*(Cap_Kind="Housing")*Cap_Ln))</x:f>
        <x:v>100</x:v>
      </x:c>
      <x:c r="M540" s="10" t="n">
        <x:f>INDEX(v01_GroupCap,G540)*v01_CohesionFactor*EXP(v01_CapsByProject*SUMPRODUCT((Cap_Point&lt;=I540)*(Cap_Kind="Group")*Cap_Ln))</x:f>
        <x:v>500</x:v>
      </x:c>
      <x:c r="N540" s="32" t="n">
        <x:f>MIN(J540,L540,M540)</x:f>
        <x:v>60</x:v>
      </x:c>
      <x:c r="O540" s="10" t="n">
        <x:f>AE539*N540</x:f>
        <x:v>180</x:v>
      </x:c>
      <x:c r="P540" s="9" t="n">
        <x:f>MIN(1,(AB539/(AE539*IF(v01_GroupInCrowding=1,N540,MIN(J540,L540))))^v01_CrowdingExp)</x:f>
        <x:v>0.05630095565356066</x:v>
      </x:c>
      <x:c r="Q540" s="9" t="n">
        <x:f>IF(D540=1,INDEX(v01_WinterMult,G540),1)</x:f>
        <x:v>1</x:v>
      </x:c>
      <x:c r="R540" s="9" t="n">
        <x:f>H540*Z539*v01_WomenShare*v01_BaseFertility*INDEX(v01_FertMult,G540)*Arch_Fertility*(1-P540)</x:f>
        <x:v>1.782332407029693</x:v>
      </x:c>
      <x:c r="S540" s="9" t="n">
        <x:f>H540*Y539*INDEX(v01_MortChild,G540)/4*Q540</x:f>
        <x:v>0.44568005747182454</x:v>
      </x:c>
      <x:c r="T540" s="9" t="n">
        <x:f>H540*Z539*INDEX(v01_MortAdult,G540)*Arch_AdultMort/4*Q540</x:f>
        <x:v>0.1399011936420622</x:v>
      </x:c>
      <x:c r="U540" s="9" t="n">
        <x:f>H540*AA539*INDEX(v01_MortElder,G540)/4*Q540</x:f>
        <x:v>0.24267787439781108</x:v>
      </x:c>
      <x:c r="V540" s="9" t="n">
        <x:f>H540*MAX(0,AB539-O540)*v01_OvercapLoss</x:f>
        <x:v>0</x:v>
      </x:c>
      <x:c r="W540" s="9" t="n">
        <x:f>H540*Y539/(v01_ChildYears*4)</x:f>
        <x:v>0.9095511376976011</x:v>
      </x:c>
      <x:c r="X540" s="9" t="n">
        <x:f>H540*Z539/(v01_AdultYears*4)</x:f>
        <x:v>0.37607847753242524</x:v>
      </x:c>
      <x:c r="Y540" s="32" t="n">
        <x:f>Y539+R540-S540-W540-Y539*V540/AB539</x:f>
        <x:v>51.36196492292593</x:v>
      </x:c>
      <x:c r="Z540" s="32" t="n">
        <x:f>Z539+W540-X540-T540-Z539*V540/AB539</x:f>
        <x:v>47.02730268054384</x:v>
      </x:c>
      <x:c r="AA540" s="32" t="n">
        <x:f>AA539+X540-U540-AA539*V540/AB539</x:f>
        <x:v>14.00070771158096</x:v>
      </x:c>
      <x:c r="AB540" s="10" t="n">
        <x:f>Y540+Z540+AA540</x:f>
        <x:v>112.38997531505072</x:v>
      </x:c>
      <x:c r="AC540" s="8" t="n">
        <x:f>IF(AND(v01_WinterTrigger=1,D540=1,AB539/AE539&gt;=K540),1,0)</x:f>
        <x:v>0</x:v>
      </x:c>
      <x:c r="AD540" s="8" t="n">
        <x:f>H540*IF(AND(OR(AB539/AE539&gt;=v01_FissionTrigger*N540,AC540=1),AB539/AE539*v01_DaughterShare&gt;=v01_MinDaughter),MAX(1,ROUND(AE539*v01_FissionRate,0)),0)</x:f>
        <x:v>0</x:v>
      </x:c>
      <x:c r="AE540" s="8" t="n">
        <x:f>IF(H540=1,MAX(1,MIN(INDEX(v01_Smax,G540),AE539+AD540)),AE539)</x:f>
        <x:v>3</x:v>
      </x:c>
      <x:c r="AF540" s="8" t="n">
        <x:f>MAX(0,AE540-AE539)</x:f>
        <x:v>0</x:v>
      </x:c>
      <x:c r="AG540" s="9" t="str">
        <x:f>IF(AF540&gt;0,B540,"")</x:f>
      </x:c>
      <x:c r="AH540" s="9" t="n">
        <x:f>IF(F540&gt;=1,1,(1+v01_LowTiesShare*(AE540-1))/AE540)</x:f>
        <x:v>1</x:v>
      </x:c>
      <x:c r="AI540" s="32" t="n">
        <x:f>(Z540+v01_ElderCommons*INDEX(LM_Elder,G540)*AA540)*AH540</x:f>
        <x:v>89.02942581528671</x:v>
      </x:c>
      <x:c r="AJ540" s="32" t="n">
        <x:f>H540*v01_CommonsCoef*AI540^v01_CommonsExp*INDEX(LM_Commons,G540)</x:f>
        <x:v>29.96729010328674</x:v>
      </x:c>
      <x:c r="AK540" s="32" t="n">
        <x:f>H540*v01_RoleScale*Arch_Roles*(AE540*(INDEX(v01_ElderRolePerSett,G540)*v01_OutElder*INDEX(LM_Elder,G540)+INDEX(v01_ShamanPerSett,G540)*v01_OutShaman)+Z540*(INDEX(v01_PriestShare,G540)*v01_OutPriest+INDEX(v01_ScribeShare,G540)*v01_OutScribe*INDEX(LM_Scribe,G540)+INDEX(v01_ScholarShare,G540)*v01_OutScholar*INDEX(LM_Scholar,G540)+INDEX(v01_ResearcherShare,G540)*v01_OutResearcher*INDEX(LM_Researcher,G540)))</x:f>
        <x:v>9</x:v>
      </x:c>
      <x:c r="AL540" s="32" t="n">
        <x:f>H540*v01_RoleScale*Arch_Roles*AE540*INDEX(v01_MonasteryPerSett,G540)*v01_OutMonastery*INDEX(LM_Monastery,G540)</x:f>
        <x:v>0</x:v>
      </x:c>
      <x:c r="AM540" s="32" t="n">
        <x:f>(AJ540+AK540+AL540)/4*INDEX(LM_All,G540)*INDEX(v01_Boon,G540)*Arch_Insight</x:f>
        <x:v>10.235002291191408</x:v>
      </x:c>
      <x:c r="AN540" s="32" t="n">
        <x:f>H540*(v01_KHPerAdult*Z540+v01_KHOfCommons*AJ540/4*INDEX(LM_All,G540))*v01_KHUsable*Arch_KH</x:f>
        <x:v>1.6459555938190342</x:v>
      </x:c>
      <x:c r="AO540" s="32" t="n">
        <x:f>MIN(AP539+AN540,AM540*v01_KHMaxRatio)</x:f>
        <x:v>1.6459555938190342</x:v>
      </x:c>
      <x:c r="AP540" s="32" t="n">
        <x:f>AP539+AN540-AO540</x:f>
        <x:v>0</x:v>
      </x:c>
      <x:c r="AQ540" s="32" t="n">
        <x:f>AM540+AO540</x:f>
        <x:v>11.880957885010442</x:v>
      </x:c>
      <x:c r="AR540" s="10" t="n">
        <x:f>IF(H540=1,INDEX(v01_Req,G540),0)</x:f>
        <x:v>4006.9599999999996</x:v>
      </x:c>
      <x:c r="AS540" s="32" t="n">
        <x:f>IF(H540=1,IF(E540=1,AS539-AR539,AS539)+AQ540,0)</x:f>
        <x:v>549.5183486954755</x:v>
      </x:c>
      <x:c r="AT540" s="11" t="n">
        <x:f>IF(AR540&gt;0,MIN(1,AS540/AR540),1)</x:f>
        <x:v>0.13714096190016262</x:v>
      </x:c>
      <x:c r="AU540" s="10" t="n">
        <x:f>AB540/INDEX(v01_RepScale,G540)</x:f>
        <x:v>56.19498765752536</x:v>
      </x:c>
      <x:c r="AV540" s="32" t="n">
        <x:f>AM540*60/v01_SeasonSeconds</x:f>
        <x:v>40.940009164765634</x:v>
      </x:c>
    </x:row>
    <x:row r="541">
      <x:c r="A541" s="8" t="n">
        <x:f>A540+1</x:f>
        <x:v>538</x:v>
      </x:c>
      <x:c r="B541" s="9" t="n">
        <x:f>A541*v01_SeasonSeconds/60</x:f>
        <x:v>134.5</x:v>
      </x:c>
      <x:c r="C541" s="9" t="n">
        <x:f>A541/4</x:f>
        <x:v>134.5</x:v>
      </x:c>
      <x:c r="D541" s="8" t="n">
        <x:f>IF(MOD(A541,4)=0,1,0)</x:f>
        <x:v>0</x:v>
      </x:c>
      <x:c r="E541" s="8" t="n">
        <x:f>IF(AND(F540&lt;=9,AS540&gt;=AR540),1,0)</x:f>
        <x:v>0</x:v>
      </x:c>
      <x:c r="F541" s="8" t="n">
        <x:f>MIN(10,F540+E541)</x:f>
        <x:v>2</x:v>
      </x:c>
      <x:c r="G541" s="8" t="n">
        <x:f>MIN(F541,9)+1</x:f>
        <x:v>3</x:v>
      </x:c>
      <x:c r="H541" s="8" t="n">
        <x:f>IF(F541&lt;=9,1,0)</x:f>
        <x:v>1</x:v>
      </x:c>
      <x:c r="I541" s="9" t="n">
        <x:f>MIN(10,F540+IF(AR540&gt;0,MIN(1,AS540/AR540),1))</x:f>
        <x:v>2.1371409619001627</x:v>
      </x:c>
      <x:c r="J541" s="32" t="n">
        <x:f>INDEX(v01_FoodCap,G541)*Arch_FoodCap*EXP(v01_CapsByProject*SUMPRODUCT((Cap_Point&lt;=I541)*(Cap_Kind="Food")*Cap_Ln))</x:f>
        <x:v>60</x:v>
      </x:c>
      <x:c r="K541" s="32" t="n">
        <x:f>J541*MIN(1,v01_LeanBase*EXP(v01_CapsByProject*SUMPRODUCT((Cap_Point&lt;=I541)*(Cap_Kind="Lean")*Cap_Ln)))</x:f>
        <x:v>60</x:v>
      </x:c>
      <x:c r="L541" s="10" t="n">
        <x:f>INDEX(v01_HousingCap,G541)*EXP(v01_CapsByProject*SUMPRODUCT((Cap_Point&lt;=I541)*(Cap_Kind="Housing")*Cap_Ln))</x:f>
        <x:v>100</x:v>
      </x:c>
      <x:c r="M541" s="10" t="n">
        <x:f>INDEX(v01_GroupCap,G541)*v01_CohesionFactor*EXP(v01_CapsByProject*SUMPRODUCT((Cap_Point&lt;=I541)*(Cap_Kind="Group")*Cap_Ln))</x:f>
        <x:v>500</x:v>
      </x:c>
      <x:c r="N541" s="32" t="n">
        <x:f>MIN(J541,L541,M541)</x:f>
        <x:v>60</x:v>
      </x:c>
      <x:c r="O541" s="10" t="n">
        <x:f>AE540*N541</x:f>
        <x:v>180</x:v>
      </x:c>
      <x:c r="P541" s="9" t="n">
        <x:f>MIN(1,(AB540/(AE540*IF(v01_GroupInCrowding=1,N541,MIN(J541,L541))))^v01_CrowdingExp)</x:f>
        <x:v>0.05925573976550047</x:v>
      </x:c>
      <x:c r="Q541" s="9" t="n">
        <x:f>IF(D541=1,INDEX(v01_WinterMult,G541),1)</x:f>
        <x:v>1</x:v>
      </x:c>
      <x:c r="R541" s="9" t="n">
        <x:f>H541*Z540*v01_WomenShare*v01_BaseFertility*INDEX(v01_FertMult,G541)*Arch_Fertility*(1-P541)</x:f>
        <x:v>1.7917469353768007</x:v>
      </x:c>
      <x:c r="S541" s="9" t="n">
        <x:f>H541*Y540*INDEX(v01_MortChild,G541)/4*Q541</x:f>
        <x:v>0.4494171930756019</x:v>
      </x:c>
      <x:c r="T541" s="9" t="n">
        <x:f>H541*Z540*INDEX(v01_MortAdult,G541)*Arch_AdultMort/4*Q541</x:f>
        <x:v>0.14108190804163154</x:v>
      </x:c>
      <x:c r="U541" s="9" t="n">
        <x:f>H541*AA540*INDEX(v01_MortElder,G541)/4*Q541</x:f>
        <x:v>0.2450123849526668</x:v>
      </x:c>
      <x:c r="V541" s="9" t="n">
        <x:f>H541*MAX(0,AB540-O541)*v01_OvercapLoss</x:f>
        <x:v>0</x:v>
      </x:c>
      <x:c r="W541" s="9" t="n">
        <x:f>H541*Y540/(v01_ChildYears*4)</x:f>
        <x:v>0.9171779450522487</x:v>
      </x:c>
      <x:c r="X541" s="9" t="n">
        <x:f>H541*Z540/(v01_AdultYears*4)</x:f>
        <x:v>0.37925244097212774</x:v>
      </x:c>
      <x:c r="Y541" s="32" t="n">
        <x:f>Y540+R541-S541-W541-Y540*V541/AB540</x:f>
        <x:v>51.78711672017487</x:v>
      </x:c>
      <x:c r="Z541" s="32" t="n">
        <x:f>Z540+W541-X541-T541-Z540*V541/AB540</x:f>
        <x:v>47.42414627658233</x:v>
      </x:c>
      <x:c r="AA541" s="32" t="n">
        <x:f>AA540+X541-U541-AA540*V541/AB540</x:f>
        <x:v>14.134947767600421</x:v>
      </x:c>
      <x:c r="AB541" s="10" t="n">
        <x:f>Y541+Z541+AA541</x:f>
        <x:v>113.34621076435762</x:v>
      </x:c>
      <x:c r="AC541" s="8" t="n">
        <x:f>IF(AND(v01_WinterTrigger=1,D541=1,AB540/AE540&gt;=K541),1,0)</x:f>
        <x:v>0</x:v>
      </x:c>
      <x:c r="AD541" s="8" t="n">
        <x:f>H541*IF(AND(OR(AB540/AE540&gt;=v01_FissionTrigger*N541,AC541=1),AB540/AE540*v01_DaughterShare&gt;=v01_MinDaughter),MAX(1,ROUND(AE540*v01_FissionRate,0)),0)</x:f>
        <x:v>0</x:v>
      </x:c>
      <x:c r="AE541" s="8" t="n">
        <x:f>IF(H541=1,MAX(1,MIN(INDEX(v01_Smax,G541),AE540+AD541)),AE540)</x:f>
        <x:v>3</x:v>
      </x:c>
      <x:c r="AF541" s="8" t="n">
        <x:f>MAX(0,AE541-AE540)</x:f>
        <x:v>0</x:v>
      </x:c>
      <x:c r="AG541" s="9" t="str">
        <x:f>IF(AF541&gt;0,B541,"")</x:f>
      </x:c>
      <x:c r="AH541" s="9" t="n">
        <x:f>IF(F541&gt;=1,1,(1+v01_LowTiesShare*(AE541-1))/AE541)</x:f>
        <x:v>1</x:v>
      </x:c>
      <x:c r="AI541" s="32" t="n">
        <x:f>(Z541+v01_ElderCommons*INDEX(LM_Elder,G541)*AA541)*AH541</x:f>
        <x:v>89.82898957938359</x:v>
      </x:c>
      <x:c r="AJ541" s="32" t="n">
        <x:f>H541*v01_CommonsCoef*AI541^v01_CommonsExp*INDEX(LM_Commons,G541)</x:f>
        <x:v>30.19589962084925</x:v>
      </x:c>
      <x:c r="AK541" s="32" t="n">
        <x:f>H541*v01_RoleScale*Arch_Roles*(AE541*(INDEX(v01_ElderRolePerSett,G541)*v01_OutElder*INDEX(LM_Elder,G541)+INDEX(v01_ShamanPerSett,G541)*v01_OutShaman)+Z541*(INDEX(v01_PriestShare,G541)*v01_OutPriest+INDEX(v01_ScribeShare,G541)*v01_OutScribe*INDEX(LM_Scribe,G541)+INDEX(v01_ScholarShare,G541)*v01_OutScholar*INDEX(LM_Scholar,G541)+INDEX(v01_ResearcherShare,G541)*v01_OutResearcher*INDEX(LM_Researcher,G541)))</x:f>
        <x:v>9</x:v>
      </x:c>
      <x:c r="AL541" s="32" t="n">
        <x:f>H541*v01_RoleScale*Arch_Roles*AE541*INDEX(v01_MonasteryPerSett,G541)*v01_OutMonastery*INDEX(LM_Monastery,G541)</x:f>
        <x:v>0</x:v>
      </x:c>
      <x:c r="AM541" s="32" t="n">
        <x:f>(AJ541+AK541+AL541)/4*INDEX(LM_All,G541)*INDEX(v01_Boon,G541)*Arch_Insight</x:f>
        <x:v>10.295048009788685</x:v>
      </x:c>
      <x:c r="AN541" s="32" t="n">
        <x:f>H541*(v01_KHPerAdult*Z541+v01_KHOfCommons*AJ541/4*INDEX(LM_All,G541))*v01_KHUsable*Arch_KH</x:f>
        <x:v>1.6598451196803814</x:v>
      </x:c>
      <x:c r="AO541" s="32" t="n">
        <x:f>MIN(AP540+AN541,AM541*v01_KHMaxRatio)</x:f>
        <x:v>1.6598451196803814</x:v>
      </x:c>
      <x:c r="AP541" s="32" t="n">
        <x:f>AP540+AN541-AO541</x:f>
        <x:v>0</x:v>
      </x:c>
      <x:c r="AQ541" s="32" t="n">
        <x:f>AM541+AO541</x:f>
        <x:v>11.954893129469067</x:v>
      </x:c>
      <x:c r="AR541" s="10" t="n">
        <x:f>IF(H541=1,INDEX(v01_Req,G541),0)</x:f>
        <x:v>4006.9599999999996</x:v>
      </x:c>
      <x:c r="AS541" s="32" t="n">
        <x:f>IF(H541=1,IF(E541=1,AS540-AR540,AS540)+AQ541,0)</x:f>
        <x:v>561.4732418249446</x:v>
      </x:c>
      <x:c r="AT541" s="11" t="n">
        <x:f>IF(AR541&gt;0,MIN(1,AS541/AR541),1)</x:f>
        <x:v>0.14012449383695985</x:v>
      </x:c>
      <x:c r="AU541" s="10" t="n">
        <x:f>AB541/INDEX(v01_RepScale,G541)</x:f>
        <x:v>56.67310538217881</x:v>
      </x:c>
      <x:c r="AV541" s="32" t="n">
        <x:f>AM541*60/v01_SeasonSeconds</x:f>
        <x:v>41.18019203915474</x:v>
      </x:c>
    </x:row>
    <x:row r="542">
      <x:c r="A542" s="8" t="n">
        <x:f>A541+1</x:f>
        <x:v>539</x:v>
      </x:c>
      <x:c r="B542" s="9" t="n">
        <x:f>A542*v01_SeasonSeconds/60</x:f>
        <x:v>134.75</x:v>
      </x:c>
      <x:c r="C542" s="9" t="n">
        <x:f>A542/4</x:f>
        <x:v>134.75</x:v>
      </x:c>
      <x:c r="D542" s="8" t="n">
        <x:f>IF(MOD(A542,4)=0,1,0)</x:f>
        <x:v>0</x:v>
      </x:c>
      <x:c r="E542" s="8" t="n">
        <x:f>IF(AND(F541&lt;=9,AS541&gt;=AR541),1,0)</x:f>
        <x:v>0</x:v>
      </x:c>
      <x:c r="F542" s="8" t="n">
        <x:f>MIN(10,F541+E542)</x:f>
        <x:v>2</x:v>
      </x:c>
      <x:c r="G542" s="8" t="n">
        <x:f>MIN(F542,9)+1</x:f>
        <x:v>3</x:v>
      </x:c>
      <x:c r="H542" s="8" t="n">
        <x:f>IF(F542&lt;=9,1,0)</x:f>
        <x:v>1</x:v>
      </x:c>
      <x:c r="I542" s="9" t="n">
        <x:f>MIN(10,F541+IF(AR541&gt;0,MIN(1,AS541/AR541),1))</x:f>
        <x:v>2.14012449383696</x:v>
      </x:c>
      <x:c r="J542" s="32" t="n">
        <x:f>INDEX(v01_FoodCap,G542)*Arch_FoodCap*EXP(v01_CapsByProject*SUMPRODUCT((Cap_Point&lt;=I542)*(Cap_Kind="Food")*Cap_Ln))</x:f>
        <x:v>60</x:v>
      </x:c>
      <x:c r="K542" s="32" t="n">
        <x:f>J542*MIN(1,v01_LeanBase*EXP(v01_CapsByProject*SUMPRODUCT((Cap_Point&lt;=I542)*(Cap_Kind="Lean")*Cap_Ln)))</x:f>
        <x:v>60</x:v>
      </x:c>
      <x:c r="L542" s="10" t="n">
        <x:f>INDEX(v01_HousingCap,G542)*EXP(v01_CapsByProject*SUMPRODUCT((Cap_Point&lt;=I542)*(Cap_Kind="Housing")*Cap_Ln))</x:f>
        <x:v>100</x:v>
      </x:c>
      <x:c r="M542" s="10" t="n">
        <x:f>INDEX(v01_GroupCap,G542)*v01_CohesionFactor*EXP(v01_CapsByProject*SUMPRODUCT((Cap_Point&lt;=I542)*(Cap_Kind="Group")*Cap_Ln))</x:f>
        <x:v>500</x:v>
      </x:c>
      <x:c r="N542" s="32" t="n">
        <x:f>MIN(J542,L542,M542)</x:f>
        <x:v>60</x:v>
      </x:c>
      <x:c r="O542" s="10" t="n">
        <x:f>AE541*N542</x:f>
        <x:v>180</x:v>
      </x:c>
      <x:c r="P542" s="9" t="n">
        <x:f>MIN(1,(AB541/(AE541*IF(v01_GroupInCrowding=1,N542,MIN(J542,L542))))^v01_CrowdingExp)</x:f>
        <x:v>0.06234577174015698</x:v>
      </x:c>
      <x:c r="Q542" s="9" t="n">
        <x:f>IF(D542=1,INDEX(v01_WinterMult,G542),1)</x:f>
        <x:v>1</x:v>
      </x:c>
      <x:c r="R542" s="9" t="n">
        <x:f>H542*Z541*v01_WomenShare*v01_BaseFertility*INDEX(v01_FertMult,G542)*Arch_Fertility*(1-P542)</x:f>
        <x:v>1.8009317767529538</x:v>
      </x:c>
      <x:c r="S542" s="9" t="n">
        <x:f>H542*Y541*INDEX(v01_MortChild,G542)/4*Q542</x:f>
        <x:v>0.4531372713015302</x:v>
      </x:c>
      <x:c r="T542" s="9" t="n">
        <x:f>H542*Z541*INDEX(v01_MortAdult,G542)*Arch_AdultMort/4*Q542</x:f>
        <x:v>0.142272438829747</x:v>
      </x:c>
      <x:c r="U542" s="9" t="n">
        <x:f>H542*AA541*INDEX(v01_MortElder,G542)/4*Q542</x:f>
        <x:v>0.2473615859330074</x:v>
      </x:c>
      <x:c r="V542" s="9" t="n">
        <x:f>H542*MAX(0,AB541-O542)*v01_OvercapLoss</x:f>
        <x:v>0</x:v>
      </x:c>
      <x:c r="W542" s="9" t="n">
        <x:f>H542*Y541/(v01_ChildYears*4)</x:f>
        <x:v>0.9247699414316941</x:v>
      </x:c>
      <x:c r="X542" s="9" t="n">
        <x:f>H542*Z541/(v01_AdultYears*4)</x:f>
        <x:v>0.3824527925530833</x:v>
      </x:c>
      <x:c r="Y542" s="32" t="n">
        <x:f>Y541+R542-S542-W542-Y541*V542/AB541</x:f>
        <x:v>52.210141284194606</x:v>
      </x:c>
      <x:c r="Z542" s="32" t="n">
        <x:f>Z541+W542-X542-T542-Z541*V542/AB541</x:f>
        <x:v>47.82419098663119</x:v>
      </x:c>
      <x:c r="AA542" s="32" t="n">
        <x:f>AA541+X542-U542-AA541*V542/AB541</x:f>
        <x:v>14.270038974220498</x:v>
      </x:c>
      <x:c r="AB542" s="10" t="n">
        <x:f>Y542+Z542+AA542</x:f>
        <x:v>114.30437124504628</x:v>
      </x:c>
      <x:c r="AC542" s="8" t="n">
        <x:f>IF(AND(v01_WinterTrigger=1,D542=1,AB541/AE541&gt;=K542),1,0)</x:f>
        <x:v>0</x:v>
      </x:c>
      <x:c r="AD542" s="8" t="n">
        <x:f>H542*IF(AND(OR(AB541/AE541&gt;=v01_FissionTrigger*N542,AC542=1),AB541/AE541*v01_DaughterShare&gt;=v01_MinDaughter),MAX(1,ROUND(AE541*v01_FissionRate,0)),0)</x:f>
        <x:v>0</x:v>
      </x:c>
      <x:c r="AE542" s="8" t="n">
        <x:f>IF(H542=1,MAX(1,MIN(INDEX(v01_Smax,G542),AE541+AD542)),AE541)</x:f>
        <x:v>3</x:v>
      </x:c>
      <x:c r="AF542" s="8" t="n">
        <x:f>MAX(0,AE542-AE541)</x:f>
        <x:v>0</x:v>
      </x:c>
      <x:c r="AG542" s="9" t="str">
        <x:f>IF(AF542&gt;0,B542,"")</x:f>
      </x:c>
      <x:c r="AH542" s="9" t="n">
        <x:f>IF(F542&gt;=1,1,(1+v01_LowTiesShare*(AE542-1))/AE542)</x:f>
        <x:v>1</x:v>
      </x:c>
      <x:c r="AI542" s="32" t="n">
        <x:f>(Z542+v01_ElderCommons*INDEX(LM_Elder,G542)*AA542)*AH542</x:f>
        <x:v>90.63430790929269</x:v>
      </x:c>
      <x:c r="AJ542" s="32" t="n">
        <x:f>H542*v01_CommonsCoef*AI542^v01_CommonsExp*INDEX(LM_Commons,G542)</x:f>
        <x:v>30.425846150800936</x:v>
      </x:c>
      <x:c r="AK542" s="32" t="n">
        <x:f>H542*v01_RoleScale*Arch_Roles*(AE542*(INDEX(v01_ElderRolePerSett,G542)*v01_OutElder*INDEX(LM_Elder,G542)+INDEX(v01_ShamanPerSett,G542)*v01_OutShaman)+Z542*(INDEX(v01_PriestShare,G542)*v01_OutPriest+INDEX(v01_ScribeShare,G542)*v01_OutScribe*INDEX(LM_Scribe,G542)+INDEX(v01_ScholarShare,G542)*v01_OutScholar*INDEX(LM_Scholar,G542)+INDEX(v01_ResearcherShare,G542)*v01_OutResearcher*INDEX(LM_Researcher,G542)))</x:f>
        <x:v>9</x:v>
      </x:c>
      <x:c r="AL542" s="32" t="n">
        <x:f>H542*v01_RoleScale*Arch_Roles*AE542*INDEX(v01_MonasteryPerSett,G542)*v01_OutMonastery*INDEX(LM_Monastery,G542)</x:f>
        <x:v>0</x:v>
      </x:c>
      <x:c r="AM542" s="32" t="n">
        <x:f>(AJ542+AK542+AL542)/4*INDEX(LM_All,G542)*INDEX(v01_Boon,G542)*Arch_Insight</x:f>
        <x:v>10.355444903046308</x:v>
      </x:c>
      <x:c r="AN542" s="32" t="n">
        <x:f>H542*(v01_KHPerAdult*Z542+v01_KHOfCommons*AJ542/4*INDEX(LM_All,G542))*v01_KHUsable*Arch_KH</x:f>
        <x:v>1.6738466845320914</x:v>
      </x:c>
      <x:c r="AO542" s="32" t="n">
        <x:f>MIN(AP541+AN542,AM542*v01_KHMaxRatio)</x:f>
        <x:v>1.6738466845320914</x:v>
      </x:c>
      <x:c r="AP542" s="32" t="n">
        <x:f>AP541+AN542-AO542</x:f>
        <x:v>0</x:v>
      </x:c>
      <x:c r="AQ542" s="32" t="n">
        <x:f>AM542+AO542</x:f>
        <x:v>12.029291587578399</x:v>
      </x:c>
      <x:c r="AR542" s="10" t="n">
        <x:f>IF(H542=1,INDEX(v01_Req,G542),0)</x:f>
        <x:v>4006.9599999999996</x:v>
      </x:c>
      <x:c r="AS542" s="32" t="n">
        <x:f>IF(H542=1,IF(E542=1,AS541-AR541,AS541)+AQ542,0)</x:f>
        <x:v>573.502533412523</x:v>
      </x:c>
      <x:c r="AT542" s="11" t="n">
        <x:f>IF(AR542&gt;0,MIN(1,AS542/AR542),1)</x:f>
        <x:v>0.14312659308116954</x:v>
      </x:c>
      <x:c r="AU542" s="10" t="n">
        <x:f>AB542/INDEX(v01_RepScale,G542)</x:f>
        <x:v>57.15218562252314</x:v>
      </x:c>
      <x:c r="AV542" s="32" t="n">
        <x:f>AM542*60/v01_SeasonSeconds</x:f>
        <x:v>41.42177961218523</x:v>
      </x:c>
    </x:row>
    <x:row r="543">
      <x:c r="A543" s="8" t="n">
        <x:f>A542+1</x:f>
        <x:v>540</x:v>
      </x:c>
      <x:c r="B543" s="9" t="n">
        <x:f>A543*v01_SeasonSeconds/60</x:f>
        <x:v>135</x:v>
      </x:c>
      <x:c r="C543" s="9" t="n">
        <x:f>A543/4</x:f>
        <x:v>135</x:v>
      </x:c>
      <x:c r="D543" s="8" t="n">
        <x:f>IF(MOD(A543,4)=0,1,0)</x:f>
        <x:v>1</x:v>
      </x:c>
      <x:c r="E543" s="8" t="n">
        <x:f>IF(AND(F542&lt;=9,AS542&gt;=AR542),1,0)</x:f>
        <x:v>0</x:v>
      </x:c>
      <x:c r="F543" s="8" t="n">
        <x:f>MIN(10,F542+E543)</x:f>
        <x:v>2</x:v>
      </x:c>
      <x:c r="G543" s="8" t="n">
        <x:f>MIN(F543,9)+1</x:f>
        <x:v>3</x:v>
      </x:c>
      <x:c r="H543" s="8" t="n">
        <x:f>IF(F543&lt;=9,1,0)</x:f>
        <x:v>1</x:v>
      </x:c>
      <x:c r="I543" s="9" t="n">
        <x:f>MIN(10,F542+IF(AR542&gt;0,MIN(1,AS542/AR542),1))</x:f>
        <x:v>2.1431265930811696</x:v>
      </x:c>
      <x:c r="J543" s="32" t="n">
        <x:f>INDEX(v01_FoodCap,G543)*Arch_FoodCap*EXP(v01_CapsByProject*SUMPRODUCT((Cap_Point&lt;=I543)*(Cap_Kind="Food")*Cap_Ln))</x:f>
        <x:v>60</x:v>
      </x:c>
      <x:c r="K543" s="32" t="n">
        <x:f>J543*MIN(1,v01_LeanBase*EXP(v01_CapsByProject*SUMPRODUCT((Cap_Point&lt;=I543)*(Cap_Kind="Lean")*Cap_Ln)))</x:f>
        <x:v>60</x:v>
      </x:c>
      <x:c r="L543" s="10" t="n">
        <x:f>INDEX(v01_HousingCap,G543)*EXP(v01_CapsByProject*SUMPRODUCT((Cap_Point&lt;=I543)*(Cap_Kind="Housing")*Cap_Ln))</x:f>
        <x:v>100</x:v>
      </x:c>
      <x:c r="M543" s="10" t="n">
        <x:f>INDEX(v01_GroupCap,G543)*v01_CohesionFactor*EXP(v01_CapsByProject*SUMPRODUCT((Cap_Point&lt;=I543)*(Cap_Kind="Group")*Cap_Ln))</x:f>
        <x:v>500</x:v>
      </x:c>
      <x:c r="N543" s="32" t="n">
        <x:f>MIN(J543,L543,M543)</x:f>
        <x:v>60</x:v>
      </x:c>
      <x:c r="O543" s="10" t="n">
        <x:f>AE542*N543</x:f>
        <x:v>180</x:v>
      </x:c>
      <x:c r="P543" s="9" t="n">
        <x:f>MIN(1,(AB542/(AE542*IF(v01_GroupInCrowding=1,N543,MIN(J543,L543))))^v01_CrowdingExp)</x:f>
        <x:v>0.06557555935629217</x:v>
      </x:c>
      <x:c r="Q543" s="9" t="n">
        <x:f>IF(D543=1,INDEX(v01_WinterMult,G543),1)</x:f>
        <x:v>1.3</x:v>
      </x:c>
      <x:c r="R543" s="9" t="n">
        <x:f>H543*Z542*v01_WomenShare*v01_BaseFertility*INDEX(v01_FertMult,G543)*Arch_Fertility*(1-P543)</x:f>
        <x:v>1.8098677629327886</x:v>
      </x:c>
      <x:c r="S543" s="9" t="n">
        <x:f>H543*Y542*INDEX(v01_MortChild,G543)/4*Q543</x:f>
        <x:v>0.5938903571077138</x:v>
      </x:c>
      <x:c r="T543" s="9" t="n">
        <x:f>H543*Z542*INDEX(v01_MortAdult,G543)*Arch_AdultMort/4*Q543</x:f>
        <x:v>0.18651434484786164</x:v>
      </x:c>
      <x:c r="U543" s="9" t="n">
        <x:f>H543*AA542*INDEX(v01_MortElder,G543)/4*Q543</x:f>
        <x:v>0.32464338666351633</x:v>
      </x:c>
      <x:c r="V543" s="9" t="n">
        <x:f>H543*MAX(0,AB542-O543)*v01_OvercapLoss</x:f>
        <x:v>0</x:v>
      </x:c>
      <x:c r="W543" s="9" t="n">
        <x:f>H543*Y542/(v01_ChildYears*4)</x:f>
        <x:v>0.9323239515034751</x:v>
      </x:c>
      <x:c r="X543" s="9" t="n">
        <x:f>H543*Z542/(v01_AdultYears*4)</x:f>
        <x:v>0.38567895956960635</x:v>
      </x:c>
      <x:c r="Y543" s="32" t="n">
        <x:f>Y542+R543-S543-W543-Y542*V543/AB542</x:f>
        <x:v>52.49379473851621</x:v>
      </x:c>
      <x:c r="Z543" s="32" t="n">
        <x:f>Z542+W543-X543-T543-Z542*V543/AB542</x:f>
        <x:v>48.1843216337172</x:v>
      </x:c>
      <x:c r="AA543" s="32" t="n">
        <x:f>AA542+X543-U543-AA542*V543/AB542</x:f>
        <x:v>14.331074547126587</x:v>
      </x:c>
      <x:c r="AB543" s="10" t="n">
        <x:f>Y543+Z543+AA543</x:f>
        <x:v>115.00919091936</x:v>
      </x:c>
      <x:c r="AC543" s="8" t="n">
        <x:f>IF(AND(v01_WinterTrigger=1,D543=1,AB542/AE542&gt;=K543),1,0)</x:f>
        <x:v>0</x:v>
      </x:c>
      <x:c r="AD543" s="8" t="n">
        <x:f>H543*IF(AND(OR(AB542/AE542&gt;=v01_FissionTrigger*N543,AC543=1),AB542/AE542*v01_DaughterShare&gt;=v01_MinDaughter),MAX(1,ROUND(AE542*v01_FissionRate,0)),0)</x:f>
        <x:v>0</x:v>
      </x:c>
      <x:c r="AE543" s="8" t="n">
        <x:f>IF(H543=1,MAX(1,MIN(INDEX(v01_Smax,G543),AE542+AD543)),AE542)</x:f>
        <x:v>3</x:v>
      </x:c>
      <x:c r="AF543" s="8" t="n">
        <x:f>MAX(0,AE543-AE542)</x:f>
        <x:v>0</x:v>
      </x:c>
      <x:c r="AG543" s="9" t="str">
        <x:f>IF(AF543&gt;0,B543,"")</x:f>
      </x:c>
      <x:c r="AH543" s="9" t="n">
        <x:f>IF(F543&gt;=1,1,(1+v01_LowTiesShare*(AE543-1))/AE543)</x:f>
        <x:v>1</x:v>
      </x:c>
      <x:c r="AI543" s="32" t="n">
        <x:f>(Z543+v01_ElderCommons*INDEX(LM_Elder,G543)*AA543)*AH543</x:f>
        <x:v>91.17754527509695</x:v>
      </x:c>
      <x:c r="AJ543" s="32" t="n">
        <x:f>H543*v01_CommonsCoef*AI543^v01_CommonsExp*INDEX(LM_Commons,G543)</x:f>
        <x:v>30.58078623144265</x:v>
      </x:c>
      <x:c r="AK543" s="32" t="n">
        <x:f>H543*v01_RoleScale*Arch_Roles*(AE543*(INDEX(v01_ElderRolePerSett,G543)*v01_OutElder*INDEX(LM_Elder,G543)+INDEX(v01_ShamanPerSett,G543)*v01_OutShaman)+Z543*(INDEX(v01_PriestShare,G543)*v01_OutPriest+INDEX(v01_ScribeShare,G543)*v01_OutScribe*INDEX(LM_Scribe,G543)+INDEX(v01_ScholarShare,G543)*v01_OutScholar*INDEX(LM_Scholar,G543)+INDEX(v01_ResearcherShare,G543)*v01_OutResearcher*INDEX(LM_Researcher,G543)))</x:f>
        <x:v>9</x:v>
      </x:c>
      <x:c r="AL543" s="32" t="n">
        <x:f>H543*v01_RoleScale*Arch_Roles*AE543*INDEX(v01_MonasteryPerSett,G543)*v01_OutMonastery*INDEX(LM_Monastery,G543)</x:f>
        <x:v>0</x:v>
      </x:c>
      <x:c r="AM543" s="32" t="n">
        <x:f>(AJ543+AK543+AL543)/4*INDEX(LM_All,G543)*INDEX(v01_Boon,G543)*Arch_Insight</x:f>
        <x:v>10.396140883602358</x:v>
      </x:c>
      <x:c r="AN543" s="32" t="n">
        <x:f>H543*(v01_KHPerAdult*Z543+v01_KHOfCommons*AJ543/4*INDEX(LM_All,G543))*v01_KHUsable*Arch_KH</x:f>
        <x:v>1.686451257180102</x:v>
      </x:c>
      <x:c r="AO543" s="32" t="n">
        <x:f>MIN(AP542+AN543,AM543*v01_KHMaxRatio)</x:f>
        <x:v>1.686451257180102</x:v>
      </x:c>
      <x:c r="AP543" s="32" t="n">
        <x:f>AP542+AN543-AO543</x:f>
        <x:v>0</x:v>
      </x:c>
      <x:c r="AQ543" s="32" t="n">
        <x:f>AM543+AO543</x:f>
        <x:v>12.08259214078246</x:v>
      </x:c>
      <x:c r="AR543" s="10" t="n">
        <x:f>IF(H543=1,INDEX(v01_Req,G543),0)</x:f>
        <x:v>4006.9599999999996</x:v>
      </x:c>
      <x:c r="AS543" s="32" t="n">
        <x:f>IF(H543=1,IF(E543=1,AS542-AR542,AS542)+AQ543,0)</x:f>
        <x:v>585.5851255533055</x:v>
      </x:c>
      <x:c r="AT543" s="11" t="n">
        <x:f>IF(AR543&gt;0,MIN(1,AS543/AR543),1)</x:f>
        <x:v>0.1461419943182127</x:v>
      </x:c>
      <x:c r="AU543" s="10" t="n">
        <x:f>AB543/INDEX(v01_RepScale,G543)</x:f>
        <x:v>57.50459545968</x:v>
      </x:c>
      <x:c r="AV543" s="32" t="n">
        <x:f>AM543*60/v01_SeasonSeconds</x:f>
        <x:v>41.58456353440943</x:v>
      </x:c>
    </x:row>
    <x:row r="544">
      <x:c r="A544" s="8" t="n">
        <x:f>A543+1</x:f>
        <x:v>541</x:v>
      </x:c>
      <x:c r="B544" s="9" t="n">
        <x:f>A544*v01_SeasonSeconds/60</x:f>
        <x:v>135.25</x:v>
      </x:c>
      <x:c r="C544" s="9" t="n">
        <x:f>A544/4</x:f>
        <x:v>135.25</x:v>
      </x:c>
      <x:c r="D544" s="8" t="n">
        <x:f>IF(MOD(A544,4)=0,1,0)</x:f>
        <x:v>0</x:v>
      </x:c>
      <x:c r="E544" s="8" t="n">
        <x:f>IF(AND(F543&lt;=9,AS543&gt;=AR543),1,0)</x:f>
        <x:v>0</x:v>
      </x:c>
      <x:c r="F544" s="8" t="n">
        <x:f>MIN(10,F543+E544)</x:f>
        <x:v>2</x:v>
      </x:c>
      <x:c r="G544" s="8" t="n">
        <x:f>MIN(F544,9)+1</x:f>
        <x:v>3</x:v>
      </x:c>
      <x:c r="H544" s="8" t="n">
        <x:f>IF(F544&lt;=9,1,0)</x:f>
        <x:v>1</x:v>
      </x:c>
      <x:c r="I544" s="9" t="n">
        <x:f>MIN(10,F543+IF(AR543&gt;0,MIN(1,AS543/AR543),1))</x:f>
        <x:v>2.1461419943182127</x:v>
      </x:c>
      <x:c r="J544" s="32" t="n">
        <x:f>INDEX(v01_FoodCap,G544)*Arch_FoodCap*EXP(v01_CapsByProject*SUMPRODUCT((Cap_Point&lt;=I544)*(Cap_Kind="Food")*Cap_Ln))</x:f>
        <x:v>60</x:v>
      </x:c>
      <x:c r="K544" s="32" t="n">
        <x:f>J544*MIN(1,v01_LeanBase*EXP(v01_CapsByProject*SUMPRODUCT((Cap_Point&lt;=I544)*(Cap_Kind="Lean")*Cap_Ln)))</x:f>
        <x:v>60</x:v>
      </x:c>
      <x:c r="L544" s="10" t="n">
        <x:f>INDEX(v01_HousingCap,G544)*EXP(v01_CapsByProject*SUMPRODUCT((Cap_Point&lt;=I544)*(Cap_Kind="Housing")*Cap_Ln))</x:f>
        <x:v>100</x:v>
      </x:c>
      <x:c r="M544" s="10" t="n">
        <x:f>INDEX(v01_GroupCap,G544)*v01_CohesionFactor*EXP(v01_CapsByProject*SUMPRODUCT((Cap_Point&lt;=I544)*(Cap_Kind="Group")*Cap_Ln))</x:f>
        <x:v>500</x:v>
      </x:c>
      <x:c r="N544" s="32" t="n">
        <x:f>MIN(J544,L544,M544)</x:f>
        <x:v>60</x:v>
      </x:c>
      <x:c r="O544" s="10" t="n">
        <x:f>AE543*N544</x:f>
        <x:v>180</x:v>
      </x:c>
      <x:c r="P544" s="9" t="n">
        <x:f>MIN(1,(AB543/(AE543*IF(v01_GroupInCrowding=1,N544,MIN(J544,L544))))^v01_CrowdingExp)</x:f>
        <x:v>0.06803936609870581</x:v>
      </x:c>
      <x:c r="Q544" s="9" t="n">
        <x:f>IF(D544=1,INDEX(v01_WinterMult,G544),1)</x:f>
        <x:v>1</x:v>
      </x:c>
      <x:c r="R544" s="9" t="n">
        <x:f>H544*Z543*v01_WomenShare*v01_BaseFertility*INDEX(v01_FertMult,G544)*Arch_Fertility*(1-P544)</x:f>
        <x:v>1.8186885828214485</x:v>
      </x:c>
      <x:c r="S544" s="9" t="n">
        <x:f>H544*Y543*INDEX(v01_MortChild,G544)/4*Q544</x:f>
        <x:v>0.45932070396201685</x:v>
      </x:c>
      <x:c r="T544" s="9" t="n">
        <x:f>H544*Z543*INDEX(v01_MortAdult,G544)*Arch_AdultMort/4*Q544</x:f>
        <x:v>0.1445529649011516</x:v>
      </x:c>
      <x:c r="U544" s="9" t="n">
        <x:f>H544*AA543*INDEX(v01_MortElder,G544)/4*Q544</x:f>
        <x:v>0.2507938045747153</x:v>
      </x:c>
      <x:c r="V544" s="9" t="n">
        <x:f>H544*MAX(0,AB543-O544)*v01_OvercapLoss</x:f>
        <x:v>0</x:v>
      </x:c>
      <x:c r="W544" s="9" t="n">
        <x:f>H544*Y543/(v01_ChildYears*4)</x:f>
        <x:v>0.937389191759218</x:v>
      </x:c>
      <x:c r="X544" s="9" t="n">
        <x:f>H544*Z543/(v01_AdultYears*4)</x:f>
        <x:v>0.3885832389815903</x:v>
      </x:c>
      <x:c r="Y544" s="32" t="n">
        <x:f>Y543+R544-S544-W544-Y543*V544/AB543</x:f>
        <x:v>52.91577342561643</x:v>
      </x:c>
      <x:c r="Z544" s="32" t="n">
        <x:f>Z543+W544-X544-T544-Z543*V544/AB543</x:f>
        <x:v>48.58857462159367</x:v>
      </x:c>
      <x:c r="AA544" s="32" t="n">
        <x:f>AA543+X544-U544-AA543*V544/AB543</x:f>
        <x:v>14.468863981533461</x:v>
      </x:c>
      <x:c r="AB544" s="10" t="n">
        <x:f>Y544+Z544+AA544</x:f>
        <x:v>115.97321202874356</x:v>
      </x:c>
      <x:c r="AC544" s="8" t="n">
        <x:f>IF(AND(v01_WinterTrigger=1,D544=1,AB543/AE543&gt;=K544),1,0)</x:f>
        <x:v>0</x:v>
      </x:c>
      <x:c r="AD544" s="8" t="n">
        <x:f>H544*IF(AND(OR(AB543/AE543&gt;=v01_FissionTrigger*N544,AC544=1),AB543/AE543*v01_DaughterShare&gt;=v01_MinDaughter),MAX(1,ROUND(AE543*v01_FissionRate,0)),0)</x:f>
        <x:v>0</x:v>
      </x:c>
      <x:c r="AE544" s="8" t="n">
        <x:f>IF(H544=1,MAX(1,MIN(INDEX(v01_Smax,G544),AE543+AD544)),AE543)</x:f>
        <x:v>3</x:v>
      </x:c>
      <x:c r="AF544" s="8" t="n">
        <x:f>MAX(0,AE544-AE543)</x:f>
        <x:v>0</x:v>
      </x:c>
      <x:c r="AG544" s="9" t="str">
        <x:f>IF(AF544&gt;0,B544,"")</x:f>
      </x:c>
      <x:c r="AH544" s="9" t="n">
        <x:f>IF(F544&gt;=1,1,(1+v01_LowTiesShare*(AE544-1))/AE544)</x:f>
        <x:v>1</x:v>
      </x:c>
      <x:c r="AI544" s="32" t="n">
        <x:f>(Z544+v01_ElderCommons*INDEX(LM_Elder,G544)*AA544)*AH544</x:f>
        <x:v>91.99516656619406</x:v>
      </x:c>
      <x:c r="AJ544" s="32" t="n">
        <x:f>H544*v01_CommonsCoef*AI544^v01_CommonsExp*INDEX(LM_Commons,G544)</x:f>
        <x:v>30.81372441535873</x:v>
      </x:c>
      <x:c r="AK544" s="32" t="n">
        <x:f>H544*v01_RoleScale*Arch_Roles*(AE544*(INDEX(v01_ElderRolePerSett,G544)*v01_OutElder*INDEX(LM_Elder,G544)+INDEX(v01_ShamanPerSett,G544)*v01_OutShaman)+Z544*(INDEX(v01_PriestShare,G544)*v01_OutPriest+INDEX(v01_ScribeShare,G544)*v01_OutScribe*INDEX(LM_Scribe,G544)+INDEX(v01_ScholarShare,G544)*v01_OutScholar*INDEX(LM_Scholar,G544)+INDEX(v01_ResearcherShare,G544)*v01_OutResearcher*INDEX(LM_Researcher,G544)))</x:f>
        <x:v>9</x:v>
      </x:c>
      <x:c r="AL544" s="32" t="n">
        <x:f>H544*v01_RoleScale*Arch_Roles*AE544*INDEX(v01_MonasteryPerSett,G544)*v01_OutMonastery*INDEX(LM_Monastery,G544)</x:f>
        <x:v>0</x:v>
      </x:c>
      <x:c r="AM544" s="32" t="n">
        <x:f>(AJ544+AK544+AL544)/4*INDEX(LM_All,G544)*INDEX(v01_Boon,G544)*Arch_Insight</x:f>
        <x:v>10.457323553471566</x:v>
      </x:c>
      <x:c r="AN544" s="32" t="n">
        <x:f>H544*(v01_KHPerAdult*Z544+v01_KHOfCommons*AJ544/4*INDEX(LM_All,G544))*v01_KHUsable*Arch_KH</x:f>
        <x:v>1.7006001117557785</x:v>
      </x:c>
      <x:c r="AO544" s="32" t="n">
        <x:f>MIN(AP543+AN544,AM544*v01_KHMaxRatio)</x:f>
        <x:v>1.7006001117557785</x:v>
      </x:c>
      <x:c r="AP544" s="32" t="n">
        <x:f>AP543+AN544-AO544</x:f>
        <x:v>0</x:v>
      </x:c>
      <x:c r="AQ544" s="32" t="n">
        <x:f>AM544+AO544</x:f>
        <x:v>12.157923665227344</x:v>
      </x:c>
      <x:c r="AR544" s="10" t="n">
        <x:f>IF(H544=1,INDEX(v01_Req,G544),0)</x:f>
        <x:v>4006.9599999999996</x:v>
      </x:c>
      <x:c r="AS544" s="32" t="n">
        <x:f>IF(H544=1,IF(E544=1,AS543-AR543,AS543)+AQ544,0)</x:f>
        <x:v>597.7430492185329</x:v>
      </x:c>
      <x:c r="AT544" s="11" t="n">
        <x:f>IF(AR544&gt;0,MIN(1,AS544/AR544),1)</x:f>
        <x:v>0.14917619572407334</x:v>
      </x:c>
      <x:c r="AU544" s="10" t="n">
        <x:f>AB544/INDEX(v01_RepScale,G544)</x:f>
        <x:v>57.98660601437178</x:v>
      </x:c>
      <x:c r="AV544" s="32" t="n">
        <x:f>AM544*60/v01_SeasonSeconds</x:f>
        <x:v>41.829294213886264</x:v>
      </x:c>
    </x:row>
    <x:row r="545">
      <x:c r="A545" s="8" t="n">
        <x:f>A544+1</x:f>
        <x:v>542</x:v>
      </x:c>
      <x:c r="B545" s="9" t="n">
        <x:f>A545*v01_SeasonSeconds/60</x:f>
        <x:v>135.5</x:v>
      </x:c>
      <x:c r="C545" s="9" t="n">
        <x:f>A545/4</x:f>
        <x:v>135.5</x:v>
      </x:c>
      <x:c r="D545" s="8" t="n">
        <x:f>IF(MOD(A545,4)=0,1,0)</x:f>
        <x:v>0</x:v>
      </x:c>
      <x:c r="E545" s="8" t="n">
        <x:f>IF(AND(F544&lt;=9,AS544&gt;=AR544),1,0)</x:f>
        <x:v>0</x:v>
      </x:c>
      <x:c r="F545" s="8" t="n">
        <x:f>MIN(10,F544+E545)</x:f>
        <x:v>2</x:v>
      </x:c>
      <x:c r="G545" s="8" t="n">
        <x:f>MIN(F545,9)+1</x:f>
        <x:v>3</x:v>
      </x:c>
      <x:c r="H545" s="8" t="n">
        <x:f>IF(F545&lt;=9,1,0)</x:f>
        <x:v>1</x:v>
      </x:c>
      <x:c r="I545" s="9" t="n">
        <x:f>MIN(10,F544+IF(AR544&gt;0,MIN(1,AS544/AR544),1))</x:f>
        <x:v>2.149176195724073</x:v>
      </x:c>
      <x:c r="J545" s="32" t="n">
        <x:f>INDEX(v01_FoodCap,G545)*Arch_FoodCap*EXP(v01_CapsByProject*SUMPRODUCT((Cap_Point&lt;=I545)*(Cap_Kind="Food")*Cap_Ln))</x:f>
        <x:v>60</x:v>
      </x:c>
      <x:c r="K545" s="32" t="n">
        <x:f>J545*MIN(1,v01_LeanBase*EXP(v01_CapsByProject*SUMPRODUCT((Cap_Point&lt;=I545)*(Cap_Kind="Lean")*Cap_Ln)))</x:f>
        <x:v>60</x:v>
      </x:c>
      <x:c r="L545" s="10" t="n">
        <x:f>INDEX(v01_HousingCap,G545)*EXP(v01_CapsByProject*SUMPRODUCT((Cap_Point&lt;=I545)*(Cap_Kind="Housing")*Cap_Ln))</x:f>
        <x:v>100</x:v>
      </x:c>
      <x:c r="M545" s="10" t="n">
        <x:f>INDEX(v01_GroupCap,G545)*v01_CohesionFactor*EXP(v01_CapsByProject*SUMPRODUCT((Cap_Point&lt;=I545)*(Cap_Kind="Group")*Cap_Ln))</x:f>
        <x:v>500</x:v>
      </x:c>
      <x:c r="N545" s="32" t="n">
        <x:f>MIN(J545,L545,M545)</x:f>
        <x:v>60</x:v>
      </x:c>
      <x:c r="O545" s="10" t="n">
        <x:f>AE544*N545</x:f>
        <x:v>180</x:v>
      </x:c>
      <x:c r="P545" s="9" t="n">
        <x:f>MIN(1,(AB544/(AE544*IF(v01_GroupInCrowding=1,N545,MIN(J545,L545))))^v01_CrowdingExp)</x:f>
        <x:v>0.07153376496810612</x:v>
      </x:c>
      <x:c r="Q545" s="9" t="n">
        <x:f>IF(D545=1,INDEX(v01_WinterMult,G545),1)</x:f>
        <x:v>1</x:v>
      </x:c>
      <x:c r="R545" s="9" t="n">
        <x:f>H545*Z544*v01_WomenShare*v01_BaseFertility*INDEX(v01_FertMult,G545)*Arch_Fertility*(1-P545)</x:f>
        <x:v>1.8270704632513308</x:v>
      </x:c>
      <x:c r="S545" s="9" t="n">
        <x:f>H545*Y544*INDEX(v01_MortChild,G545)/4*Q545</x:f>
        <x:v>0.4630130174741438</x:v>
      </x:c>
      <x:c r="T545" s="9" t="n">
        <x:f>H545*Z544*INDEX(v01_MortAdult,G545)*Arch_AdultMort/4*Q545</x:f>
        <x:v>0.145765723864781</x:v>
      </x:c>
      <x:c r="U545" s="9" t="n">
        <x:f>H545*AA544*INDEX(v01_MortElder,G545)/4*Q545</x:f>
        <x:v>0.2532051196768356</x:v>
      </x:c>
      <x:c r="V545" s="9" t="n">
        <x:f>H545*MAX(0,AB544-O545)*v01_OvercapLoss</x:f>
        <x:v>0</x:v>
      </x:c>
      <x:c r="W545" s="9" t="n">
        <x:f>H545*Y544/(v01_ChildYears*4)</x:f>
        <x:v>0.9449245254574362</x:v>
      </x:c>
      <x:c r="X545" s="9" t="n">
        <x:f>H545*Z544/(v01_AdultYears*4)</x:f>
        <x:v>0.3918433437225296</x:v>
      </x:c>
      <x:c r="Y545" s="32" t="n">
        <x:f>Y544+R545-S545-W545-Y544*V545/AB544</x:f>
        <x:v>53.334906345936176</x:v>
      </x:c>
      <x:c r="Z545" s="32" t="n">
        <x:f>Z544+W545-X545-T545-Z544*V545/AB544</x:f>
        <x:v>48.9958900794638</x:v>
      </x:c>
      <x:c r="AA545" s="32" t="n">
        <x:f>AA544+X545-U545-AA544*V545/AB544</x:f>
        <x:v>14.607502205579156</x:v>
      </x:c>
      <x:c r="AB545" s="10" t="n">
        <x:f>Y545+Z545+AA545</x:f>
        <x:v>116.93829863097912</x:v>
      </x:c>
      <x:c r="AC545" s="8" t="n">
        <x:f>IF(AND(v01_WinterTrigger=1,D545=1,AB544/AE544&gt;=K545),1,0)</x:f>
        <x:v>0</x:v>
      </x:c>
      <x:c r="AD545" s="8" t="n">
        <x:f>H545*IF(AND(OR(AB544/AE544&gt;=v01_FissionTrigger*N545,AC545=1),AB544/AE544*v01_DaughterShare&gt;=v01_MinDaughter),MAX(1,ROUND(AE544*v01_FissionRate,0)),0)</x:f>
        <x:v>0</x:v>
      </x:c>
      <x:c r="AE545" s="8" t="n">
        <x:f>IF(H545=1,MAX(1,MIN(INDEX(v01_Smax,G545),AE544+AD545)),AE544)</x:f>
        <x:v>3</x:v>
      </x:c>
      <x:c r="AF545" s="8" t="n">
        <x:f>MAX(0,AE545-AE544)</x:f>
        <x:v>0</x:v>
      </x:c>
      <x:c r="AG545" s="9" t="str">
        <x:f>IF(AF545&gt;0,B545,"")</x:f>
      </x:c>
      <x:c r="AH545" s="9" t="n">
        <x:f>IF(F545&gt;=1,1,(1+v01_LowTiesShare*(AE545-1))/AE545)</x:f>
        <x:v>1</x:v>
      </x:c>
      <x:c r="AI545" s="32" t="n">
        <x:f>(Z545+v01_ElderCommons*INDEX(LM_Elder,G545)*AA545)*AH545</x:f>
        <x:v>92.81839669620126</x:v>
      </x:c>
      <x:c r="AJ545" s="32" t="n">
        <x:f>H545*v01_CommonsCoef*AI545^v01_CommonsExp*INDEX(LM_Commons,G545)</x:f>
        <x:v>31.047947010944547</x:v>
      </x:c>
      <x:c r="AK545" s="32" t="n">
        <x:f>H545*v01_RoleScale*Arch_Roles*(AE545*(INDEX(v01_ElderRolePerSett,G545)*v01_OutElder*INDEX(LM_Elder,G545)+INDEX(v01_ShamanPerSett,G545)*v01_OutShaman)+Z545*(INDEX(v01_PriestShare,G545)*v01_OutPriest+INDEX(v01_ScribeShare,G545)*v01_OutScribe*INDEX(LM_Scribe,G545)+INDEX(v01_ScholarShare,G545)*v01_OutScholar*INDEX(LM_Scholar,G545)+INDEX(v01_ResearcherShare,G545)*v01_OutResearcher*INDEX(LM_Researcher,G545)))</x:f>
        <x:v>9</x:v>
      </x:c>
      <x:c r="AL545" s="32" t="n">
        <x:f>H545*v01_RoleScale*Arch_Roles*AE545*INDEX(v01_MonasteryPerSett,G545)*v01_OutMonastery*INDEX(LM_Monastery,G545)</x:f>
        <x:v>0</x:v>
      </x:c>
      <x:c r="AM545" s="32" t="n">
        <x:f>(AJ545+AK545+AL545)/4*INDEX(LM_All,G545)*INDEX(v01_Boon,G545)*Arch_Insight</x:f>
        <x:v>10.518843582093403</x:v>
      </x:c>
      <x:c r="AN545" s="32" t="n">
        <x:f>H545*(v01_KHPerAdult*Z545+v01_KHOfCommons*AJ545/4*INDEX(LM_All,G545))*v01_KHUsable*Arch_KH</x:f>
        <x:v>1.714856152781233</x:v>
      </x:c>
      <x:c r="AO545" s="32" t="n">
        <x:f>MIN(AP544+AN545,AM545*v01_KHMaxRatio)</x:f>
        <x:v>1.714856152781233</x:v>
      </x:c>
      <x:c r="AP545" s="32" t="n">
        <x:f>AP544+AN545-AO545</x:f>
        <x:v>0</x:v>
      </x:c>
      <x:c r="AQ545" s="32" t="n">
        <x:f>AM545+AO545</x:f>
        <x:v>12.233699734874635</x:v>
      </x:c>
      <x:c r="AR545" s="10" t="n">
        <x:f>IF(H545=1,INDEX(v01_Req,G545),0)</x:f>
        <x:v>4006.9599999999996</x:v>
      </x:c>
      <x:c r="AS545" s="32" t="n">
        <x:f>IF(H545=1,IF(E545=1,AS544-AR544,AS544)+AQ545,0)</x:f>
        <x:v>609.9767489534075</x:v>
      </x:c>
      <x:c r="AT545" s="11" t="n">
        <x:f>IF(AR545&gt;0,MIN(1,AS545/AR545),1)</x:f>
        <x:v>0.1522293082420108</x:v>
      </x:c>
      <x:c r="AU545" s="10" t="n">
        <x:f>AB545/INDEX(v01_RepScale,G545)</x:f>
        <x:v>58.46914931548956</x:v>
      </x:c>
      <x:c r="AV545" s="32" t="n">
        <x:f>AM545*60/v01_SeasonSeconds</x:f>
        <x:v>42.07537432837361</x:v>
      </x:c>
    </x:row>
    <x:row r="546">
      <x:c r="A546" s="8" t="n">
        <x:f>A545+1</x:f>
        <x:v>543</x:v>
      </x:c>
      <x:c r="B546" s="9" t="n">
        <x:f>A546*v01_SeasonSeconds/60</x:f>
        <x:v>135.75</x:v>
      </x:c>
      <x:c r="C546" s="9" t="n">
        <x:f>A546/4</x:f>
        <x:v>135.75</x:v>
      </x:c>
      <x:c r="D546" s="8" t="n">
        <x:f>IF(MOD(A546,4)=0,1,0)</x:f>
        <x:v>0</x:v>
      </x:c>
      <x:c r="E546" s="8" t="n">
        <x:f>IF(AND(F545&lt;=9,AS545&gt;=AR545),1,0)</x:f>
        <x:v>0</x:v>
      </x:c>
      <x:c r="F546" s="8" t="n">
        <x:f>MIN(10,F545+E546)</x:f>
        <x:v>2</x:v>
      </x:c>
      <x:c r="G546" s="8" t="n">
        <x:f>MIN(F546,9)+1</x:f>
        <x:v>3</x:v>
      </x:c>
      <x:c r="H546" s="8" t="n">
        <x:f>IF(F546&lt;=9,1,0)</x:f>
        <x:v>1</x:v>
      </x:c>
      <x:c r="I546" s="9" t="n">
        <x:f>MIN(10,F545+IF(AR545&gt;0,MIN(1,AS545/AR545),1))</x:f>
        <x:v>2.1522293082420108</x:v>
      </x:c>
      <x:c r="J546" s="32" t="n">
        <x:f>INDEX(v01_FoodCap,G546)*Arch_FoodCap*EXP(v01_CapsByProject*SUMPRODUCT((Cap_Point&lt;=I546)*(Cap_Kind="Food")*Cap_Ln))</x:f>
        <x:v>60</x:v>
      </x:c>
      <x:c r="K546" s="32" t="n">
        <x:f>J546*MIN(1,v01_LeanBase*EXP(v01_CapsByProject*SUMPRODUCT((Cap_Point&lt;=I546)*(Cap_Kind="Lean")*Cap_Ln)))</x:f>
        <x:v>60</x:v>
      </x:c>
      <x:c r="L546" s="10" t="n">
        <x:f>INDEX(v01_HousingCap,G546)*EXP(v01_CapsByProject*SUMPRODUCT((Cap_Point&lt;=I546)*(Cap_Kind="Housing")*Cap_Ln))</x:f>
        <x:v>100</x:v>
      </x:c>
      <x:c r="M546" s="10" t="n">
        <x:f>INDEX(v01_GroupCap,G546)*v01_CohesionFactor*EXP(v01_CapsByProject*SUMPRODUCT((Cap_Point&lt;=I546)*(Cap_Kind="Group")*Cap_Ln))</x:f>
        <x:v>500</x:v>
      </x:c>
      <x:c r="N546" s="32" t="n">
        <x:f>MIN(J546,L546,M546)</x:f>
        <x:v>60</x:v>
      </x:c>
      <x:c r="O546" s="10" t="n">
        <x:f>AE545*N546</x:f>
        <x:v>180</x:v>
      </x:c>
      <x:c r="P546" s="9" t="n">
        <x:f>MIN(1,(AB545/(AE545*IF(v01_GroupInCrowding=1,N546,MIN(J546,L546))))^v01_CrowdingExp)</x:f>
        <x:v>0.07518056662591557</x:v>
      </x:c>
      <x:c r="Q546" s="9" t="n">
        <x:f>IF(D546=1,INDEX(v01_WinterMult,G546),1)</x:f>
        <x:v>1</x:v>
      </x:c>
      <x:c r="R546" s="9" t="n">
        <x:f>H546*Z545*v01_WomenShare*v01_BaseFertility*INDEX(v01_FertMult,G546)*Arch_Fertility*(1-P546)</x:f>
        <x:v>1.8351502276884197</x:v>
      </x:c>
      <x:c r="S546" s="9" t="n">
        <x:f>H546*Y545*INDEX(v01_MortChild,G546)/4*Q546</x:f>
        <x:v>0.4666804305269416</x:v>
      </x:c>
      <x:c r="T546" s="9" t="n">
        <x:f>H546*Z545*INDEX(v01_MortAdult,G546)*Arch_AdultMort/4*Q546</x:f>
        <x:v>0.1469876702383914</x:v>
      </x:c>
      <x:c r="U546" s="9" t="n">
        <x:f>H546*AA545*INDEX(v01_MortElder,G546)/4*Q546</x:f>
        <x:v>0.25563128859763523</x:v>
      </x:c>
      <x:c r="V546" s="9" t="n">
        <x:f>H546*MAX(0,AB545-O546)*v01_OvercapLoss</x:f>
        <x:v>0</x:v>
      </x:c>
      <x:c r="W546" s="9" t="n">
        <x:f>H546*Y545/(v01_ChildYears*4)</x:f>
        <x:v>0.9524090418917174</x:v>
      </x:c>
      <x:c r="X546" s="9" t="n">
        <x:f>H546*Z545/(v01_AdultYears*4)</x:f>
        <x:v>0.3951281458021274</x:v>
      </x:c>
      <x:c r="Y546" s="32" t="n">
        <x:f>Y545+R546-S546-W546-Y545*V546/AB545</x:f>
        <x:v>53.75096710120593</x:v>
      </x:c>
      <x:c r="Z546" s="32" t="n">
        <x:f>Z545+W546-X546-T546-Z545*V546/AB545</x:f>
        <x:v>49.406183305315004</x:v>
      </x:c>
      <x:c r="AA546" s="32" t="n">
        <x:f>AA545+X546-U546-AA545*V546/AB545</x:f>
        <x:v>14.746999062783647</x:v>
      </x:c>
      <x:c r="AB546" s="10" t="n">
        <x:f>Y546+Z546+AA546</x:f>
        <x:v>117.90414946930458</x:v>
      </x:c>
      <x:c r="AC546" s="8" t="n">
        <x:f>IF(AND(v01_WinterTrigger=1,D546=1,AB545/AE545&gt;=K546),1,0)</x:f>
        <x:v>0</x:v>
      </x:c>
      <x:c r="AD546" s="8" t="n">
        <x:f>H546*IF(AND(OR(AB545/AE545&gt;=v01_FissionTrigger*N546,AC546=1),AB545/AE545*v01_DaughterShare&gt;=v01_MinDaughter),MAX(1,ROUND(AE545*v01_FissionRate,0)),0)</x:f>
        <x:v>0</x:v>
      </x:c>
      <x:c r="AE546" s="8" t="n">
        <x:f>IF(H546=1,MAX(1,MIN(INDEX(v01_Smax,G546),AE545+AD546)),AE545)</x:f>
        <x:v>3</x:v>
      </x:c>
      <x:c r="AF546" s="8" t="n">
        <x:f>MAX(0,AE546-AE545)</x:f>
        <x:v>0</x:v>
      </x:c>
      <x:c r="AG546" s="9" t="str">
        <x:f>IF(AF546&gt;0,B546,"")</x:f>
      </x:c>
      <x:c r="AH546" s="9" t="n">
        <x:f>IF(F546&gt;=1,1,(1+v01_LowTiesShare*(AE546-1))/AE546)</x:f>
        <x:v>1</x:v>
      </x:c>
      <x:c r="AI546" s="32" t="n">
        <x:f>(Z546+v01_ElderCommons*INDEX(LM_Elder,G546)*AA546)*AH546</x:f>
        <x:v>93.64718049366596</x:v>
      </x:c>
      <x:c r="AJ546" s="32" t="n">
        <x:f>H546*v01_CommonsCoef*AI546^v01_CommonsExp*INDEX(LM_Commons,G546)</x:f>
        <x:v>31.283435161509267</x:v>
      </x:c>
      <x:c r="AK546" s="32" t="n">
        <x:f>H546*v01_RoleScale*Arch_Roles*(AE546*(INDEX(v01_ElderRolePerSett,G546)*v01_OutElder*INDEX(LM_Elder,G546)+INDEX(v01_ShamanPerSett,G546)*v01_OutShaman)+Z546*(INDEX(v01_PriestShare,G546)*v01_OutPriest+INDEX(v01_ScribeShare,G546)*v01_OutScribe*INDEX(LM_Scribe,G546)+INDEX(v01_ScholarShare,G546)*v01_OutScholar*INDEX(LM_Scholar,G546)+INDEX(v01_ResearcherShare,G546)*v01_OutResearcher*INDEX(LM_Researcher,G546)))</x:f>
        <x:v>9</x:v>
      </x:c>
      <x:c r="AL546" s="32" t="n">
        <x:f>H546*v01_RoleScale*Arch_Roles*AE546*INDEX(v01_MonasteryPerSett,G546)*v01_OutMonastery*INDEX(LM_Monastery,G546)</x:f>
        <x:v>0</x:v>
      </x:c>
      <x:c r="AM546" s="32" t="n">
        <x:f>(AJ546+AK546+AL546)/4*INDEX(LM_All,G546)*INDEX(v01_Boon,G546)*Arch_Insight</x:f>
        <x:v>10.580696016640168</x:v>
      </x:c>
      <x:c r="AN546" s="32" t="n">
        <x:f>H546*(v01_KHPerAdult*Z546+v01_KHOfCommons*AJ546/4*INDEX(LM_All,G546))*v01_KHUsable*Arch_KH</x:f>
        <x:v>1.729216415686025</x:v>
      </x:c>
      <x:c r="AO546" s="32" t="n">
        <x:f>MIN(AP545+AN546,AM546*v01_KHMaxRatio)</x:f>
        <x:v>1.729216415686025</x:v>
      </x:c>
      <x:c r="AP546" s="32" t="n">
        <x:f>AP545+AN546-AO546</x:f>
        <x:v>0</x:v>
      </x:c>
      <x:c r="AQ546" s="32" t="n">
        <x:f>AM546+AO546</x:f>
        <x:v>12.309912432326193</x:v>
      </x:c>
      <x:c r="AR546" s="10" t="n">
        <x:f>IF(H546=1,INDEX(v01_Req,G546),0)</x:f>
        <x:v>4006.9599999999996</x:v>
      </x:c>
      <x:c r="AS546" s="32" t="n">
        <x:f>IF(H546=1,IF(E546=1,AS545-AR545,AS545)+AQ546,0)</x:f>
        <x:v>622.2866613857337</x:v>
      </x:c>
      <x:c r="AT546" s="11" t="n">
        <x:f>IF(AR546&gt;0,MIN(1,AS546/AR546),1)</x:f>
        <x:v>0.15530144083937295</x:v>
      </x:c>
      <x:c r="AU546" s="10" t="n">
        <x:f>AB546/INDEX(v01_RepScale,G546)</x:f>
        <x:v>58.95207473465229</x:v>
      </x:c>
      <x:c r="AV546" s="32" t="n">
        <x:f>AM546*60/v01_SeasonSeconds</x:f>
        <x:v>42.32278406656067</x:v>
      </x:c>
    </x:row>
    <x:row r="547">
      <x:c r="A547" s="8" t="n">
        <x:f>A546+1</x:f>
        <x:v>544</x:v>
      </x:c>
      <x:c r="B547" s="9" t="n">
        <x:f>A547*v01_SeasonSeconds/60</x:f>
        <x:v>136</x:v>
      </x:c>
      <x:c r="C547" s="9" t="n">
        <x:f>A547/4</x:f>
        <x:v>136</x:v>
      </x:c>
      <x:c r="D547" s="8" t="n">
        <x:f>IF(MOD(A547,4)=0,1,0)</x:f>
        <x:v>1</x:v>
      </x:c>
      <x:c r="E547" s="8" t="n">
        <x:f>IF(AND(F546&lt;=9,AS546&gt;=AR546),1,0)</x:f>
        <x:v>0</x:v>
      </x:c>
      <x:c r="F547" s="8" t="n">
        <x:f>MIN(10,F546+E547)</x:f>
        <x:v>2</x:v>
      </x:c>
      <x:c r="G547" s="8" t="n">
        <x:f>MIN(F547,9)+1</x:f>
        <x:v>3</x:v>
      </x:c>
      <x:c r="H547" s="8" t="n">
        <x:f>IF(F547&lt;=9,1,0)</x:f>
        <x:v>1</x:v>
      </x:c>
      <x:c r="I547" s="9" t="n">
        <x:f>MIN(10,F546+IF(AR546&gt;0,MIN(1,AS546/AR546),1))</x:f>
        <x:v>2.155301440839373</x:v>
      </x:c>
      <x:c r="J547" s="32" t="n">
        <x:f>INDEX(v01_FoodCap,G547)*Arch_FoodCap*EXP(v01_CapsByProject*SUMPRODUCT((Cap_Point&lt;=I547)*(Cap_Kind="Food")*Cap_Ln))</x:f>
        <x:v>60</x:v>
      </x:c>
      <x:c r="K547" s="32" t="n">
        <x:f>J547*MIN(1,v01_LeanBase*EXP(v01_CapsByProject*SUMPRODUCT((Cap_Point&lt;=I547)*(Cap_Kind="Lean")*Cap_Ln)))</x:f>
        <x:v>60</x:v>
      </x:c>
      <x:c r="L547" s="10" t="n">
        <x:f>INDEX(v01_HousingCap,G547)*EXP(v01_CapsByProject*SUMPRODUCT((Cap_Point&lt;=I547)*(Cap_Kind="Housing")*Cap_Ln))</x:f>
        <x:v>100</x:v>
      </x:c>
      <x:c r="M547" s="10" t="n">
        <x:f>INDEX(v01_GroupCap,G547)*v01_CohesionFactor*EXP(v01_CapsByProject*SUMPRODUCT((Cap_Point&lt;=I547)*(Cap_Kind="Group")*Cap_Ln))</x:f>
        <x:v>500</x:v>
      </x:c>
      <x:c r="N547" s="32" t="n">
        <x:f>MIN(J547,L547,M547)</x:f>
        <x:v>60</x:v>
      </x:c>
      <x:c r="O547" s="10" t="n">
        <x:f>AE546*N547</x:f>
        <x:v>180</x:v>
      </x:c>
      <x:c r="P547" s="9" t="n">
        <x:f>MIN(1,(AB546/(AE546*IF(v01_GroupInCrowding=1,N547,MIN(J547,L547))))^v01_CrowdingExp)</x:f>
        <x:v>0.07898406980586034</x:v>
      </x:c>
      <x:c r="Q547" s="9" t="n">
        <x:f>IF(D547=1,INDEX(v01_WinterMult,G547),1)</x:f>
        <x:v>1.3</x:v>
      </x:c>
      <x:c r="R547" s="9" t="n">
        <x:f>H547*Z546*v01_WomenShare*v01_BaseFertility*INDEX(v01_FertMult,G547)*Arch_Fertility*(1-P547)</x:f>
        <x:v>1.8429072159086182</x:v>
      </x:c>
      <x:c r="S547" s="9" t="n">
        <x:f>H547*Y546*INDEX(v01_MortChild,G547)/4*Q547</x:f>
        <x:v>0.6114172507762176</x:v>
      </x:c>
      <x:c r="T547" s="9" t="n">
        <x:f>H547*Z546*INDEX(v01_MortAdult,G547)*Arch_AdultMort/4*Q547</x:f>
        <x:v>0.19268411489072854</x:v>
      </x:c>
      <x:c r="U547" s="9" t="n">
        <x:f>H547*AA546*INDEX(v01_MortElder,G547)/4*Q547</x:f>
        <x:v>0.33549422867832807</x:v>
      </x:c>
      <x:c r="V547" s="9" t="n">
        <x:f>H547*MAX(0,AB546-O547)*v01_OvercapLoss</x:f>
        <x:v>0</x:v>
      </x:c>
      <x:c r="W547" s="9" t="n">
        <x:f>H547*Y546/(v01_ChildYears*4)</x:f>
        <x:v>0.9598386982358201</x:v>
      </x:c>
      <x:c r="X547" s="9" t="n">
        <x:f>H547*Z546/(v01_AdultYears*4)</x:f>
        <x:v>0.39843696213963714</x:v>
      </x:c>
      <x:c r="Y547" s="32" t="n">
        <x:f>Y546+R547-S547-W547-Y546*V547/AB546</x:f>
        <x:v>54.022618368102506</x:v>
      </x:c>
      <x:c r="Z547" s="32" t="n">
        <x:f>Z546+W547-X547-T547-Z546*V547/AB546</x:f>
        <x:v>49.77490092652046</x:v>
      </x:c>
      <x:c r="AA547" s="32" t="n">
        <x:f>AA546+X547-U547-AA546*V547/AB546</x:f>
        <x:v>14.809941796244956</x:v>
      </x:c>
      <x:c r="AB547" s="10" t="n">
        <x:f>Y547+Z547+AA547</x:f>
        <x:v>118.60746109086791</x:v>
      </x:c>
      <x:c r="AC547" s="8" t="n">
        <x:f>IF(AND(v01_WinterTrigger=1,D547=1,AB546/AE546&gt;=K547),1,0)</x:f>
        <x:v>0</x:v>
      </x:c>
      <x:c r="AD547" s="8" t="n">
        <x:f>H547*IF(AND(OR(AB546/AE546&gt;=v01_FissionTrigger*N547,AC547=1),AB546/AE546*v01_DaughterShare&gt;=v01_MinDaughter),MAX(1,ROUND(AE546*v01_FissionRate,0)),0)</x:f>
        <x:v>0</x:v>
      </x:c>
      <x:c r="AE547" s="8" t="n">
        <x:f>IF(H547=1,MAX(1,MIN(INDEX(v01_Smax,G547),AE546+AD547)),AE546)</x:f>
        <x:v>3</x:v>
      </x:c>
      <x:c r="AF547" s="8" t="n">
        <x:f>MAX(0,AE547-AE546)</x:f>
        <x:v>0</x:v>
      </x:c>
      <x:c r="AG547" s="9" t="str">
        <x:f>IF(AF547&gt;0,B547,"")</x:f>
      </x:c>
      <x:c r="AH547" s="9" t="n">
        <x:f>IF(F547&gt;=1,1,(1+v01_LowTiesShare*(AE547-1))/AE547)</x:f>
        <x:v>1</x:v>
      </x:c>
      <x:c r="AI547" s="32" t="n">
        <x:f>(Z547+v01_ElderCommons*INDEX(LM_Elder,G547)*AA547)*AH547</x:f>
        <x:v>94.20472631525533</x:v>
      </x:c>
      <x:c r="AJ547" s="32" t="n">
        <x:f>H547*v01_CommonsCoef*AI547^v01_CommonsExp*INDEX(LM_Commons,G547)</x:f>
        <x:v>31.44167859405056</x:v>
      </x:c>
      <x:c r="AK547" s="32" t="n">
        <x:f>H547*v01_RoleScale*Arch_Roles*(AE547*(INDEX(v01_ElderRolePerSett,G547)*v01_OutElder*INDEX(LM_Elder,G547)+INDEX(v01_ShamanPerSett,G547)*v01_OutShaman)+Z547*(INDEX(v01_PriestShare,G547)*v01_OutPriest+INDEX(v01_ScribeShare,G547)*v01_OutScribe*INDEX(LM_Scribe,G547)+INDEX(v01_ScholarShare,G547)*v01_OutScholar*INDEX(LM_Scholar,G547)+INDEX(v01_ResearcherShare,G547)*v01_OutResearcher*INDEX(LM_Researcher,G547)))</x:f>
        <x:v>9</x:v>
      </x:c>
      <x:c r="AL547" s="32" t="n">
        <x:f>H547*v01_RoleScale*Arch_Roles*AE547*INDEX(v01_MonasteryPerSett,G547)*v01_OutMonastery*INDEX(LM_Monastery,G547)</x:f>
        <x:v>0</x:v>
      </x:c>
      <x:c r="AM547" s="32" t="n">
        <x:f>(AJ547+AK547+AL547)/4*INDEX(LM_All,G547)*INDEX(v01_Boon,G547)*Arch_Insight</x:f>
        <x:v>10.622259643218591</x:v>
      </x:c>
      <x:c r="AN547" s="32" t="n">
        <x:f>H547*(v01_KHPerAdult*Z547+v01_KHOfCommons*AJ547/4*INDEX(LM_All,G547))*v01_KHUsable*Arch_KH</x:f>
        <x:v>1.7421215324282162</x:v>
      </x:c>
      <x:c r="AO547" s="32" t="n">
        <x:f>MIN(AP546+AN547,AM547*v01_KHMaxRatio)</x:f>
        <x:v>1.7421215324282162</x:v>
      </x:c>
      <x:c r="AP547" s="32" t="n">
        <x:f>AP546+AN547-AO547</x:f>
        <x:v>0</x:v>
      </x:c>
      <x:c r="AQ547" s="32" t="n">
        <x:f>AM547+AO547</x:f>
        <x:v>12.364381175646807</x:v>
      </x:c>
      <x:c r="AR547" s="10" t="n">
        <x:f>IF(H547=1,INDEX(v01_Req,G547),0)</x:f>
        <x:v>4006.9599999999996</x:v>
      </x:c>
      <x:c r="AS547" s="32" t="n">
        <x:f>IF(H547=1,IF(E547=1,AS546-AR546,AS546)+AQ547,0)</x:f>
        <x:v>634.6510425613806</x:v>
      </x:c>
      <x:c r="AT547" s="11" t="n">
        <x:f>IF(AR547&gt;0,MIN(1,AS547/AR547),1)</x:f>
        <x:v>0.15838716696981767</x:v>
      </x:c>
      <x:c r="AU547" s="10" t="n">
        <x:f>AB547/INDEX(v01_RepScale,G547)</x:f>
        <x:v>59.30373054543396</x:v>
      </x:c>
      <x:c r="AV547" s="32" t="n">
        <x:f>AM547*60/v01_SeasonSeconds</x:f>
        <x:v>42.489038572874364</x:v>
      </x:c>
    </x:row>
    <x:row r="548">
      <x:c r="A548" s="8" t="n">
        <x:f>A547+1</x:f>
        <x:v>545</x:v>
      </x:c>
      <x:c r="B548" s="9" t="n">
        <x:f>A548*v01_SeasonSeconds/60</x:f>
        <x:v>136.25</x:v>
      </x:c>
      <x:c r="C548" s="9" t="n">
        <x:f>A548/4</x:f>
        <x:v>136.25</x:v>
      </x:c>
      <x:c r="D548" s="8" t="n">
        <x:f>IF(MOD(A548,4)=0,1,0)</x:f>
        <x:v>0</x:v>
      </x:c>
      <x:c r="E548" s="8" t="n">
        <x:f>IF(AND(F547&lt;=9,AS547&gt;=AR547),1,0)</x:f>
        <x:v>0</x:v>
      </x:c>
      <x:c r="F548" s="8" t="n">
        <x:f>MIN(10,F547+E548)</x:f>
        <x:v>2</x:v>
      </x:c>
      <x:c r="G548" s="8" t="n">
        <x:f>MIN(F548,9)+1</x:f>
        <x:v>3</x:v>
      </x:c>
      <x:c r="H548" s="8" t="n">
        <x:f>IF(F548&lt;=9,1,0)</x:f>
        <x:v>1</x:v>
      </x:c>
      <x:c r="I548" s="9" t="n">
        <x:f>MIN(10,F547+IF(AR547&gt;0,MIN(1,AS547/AR547),1))</x:f>
        <x:v>2.158387166969818</x:v>
      </x:c>
      <x:c r="J548" s="32" t="n">
        <x:f>INDEX(v01_FoodCap,G548)*Arch_FoodCap*EXP(v01_CapsByProject*SUMPRODUCT((Cap_Point&lt;=I548)*(Cap_Kind="Food")*Cap_Ln))</x:f>
        <x:v>60</x:v>
      </x:c>
      <x:c r="K548" s="32" t="n">
        <x:f>J548*MIN(1,v01_LeanBase*EXP(v01_CapsByProject*SUMPRODUCT((Cap_Point&lt;=I548)*(Cap_Kind="Lean")*Cap_Ln)))</x:f>
        <x:v>60</x:v>
      </x:c>
      <x:c r="L548" s="10" t="n">
        <x:f>INDEX(v01_HousingCap,G548)*EXP(v01_CapsByProject*SUMPRODUCT((Cap_Point&lt;=I548)*(Cap_Kind="Housing")*Cap_Ln))</x:f>
        <x:v>100</x:v>
      </x:c>
      <x:c r="M548" s="10" t="n">
        <x:f>INDEX(v01_GroupCap,G548)*v01_CohesionFactor*EXP(v01_CapsByProject*SUMPRODUCT((Cap_Point&lt;=I548)*(Cap_Kind="Group")*Cap_Ln))</x:f>
        <x:v>500</x:v>
      </x:c>
      <x:c r="N548" s="32" t="n">
        <x:f>MIN(J548,L548,M548)</x:f>
        <x:v>60</x:v>
      </x:c>
      <x:c r="O548" s="10" t="n">
        <x:f>AE547*N548</x:f>
        <x:v>180</x:v>
      </x:c>
      <x:c r="P548" s="9" t="n">
        <x:f>MIN(1,(AB547/(AE547*IF(v01_GroupInCrowding=1,N548,MIN(J548,L548))))^v01_CrowdingExp)</x:f>
        <x:v>0.08185345705324262</x:v>
      </x:c>
      <x:c r="Q548" s="9" t="n">
        <x:f>IF(D548=1,INDEX(v01_WinterMult,G548),1)</x:f>
        <x:v>1</x:v>
      </x:c>
      <x:c r="R548" s="9" t="n">
        <x:f>H548*Z547*v01_WomenShare*v01_BaseFertility*INDEX(v01_FertMult,G548)*Arch_Fertility*(1-P548)</x:f>
        <x:v>1.8508764550536858</x:v>
      </x:c>
      <x:c r="S548" s="9" t="n">
        <x:f>H548*Y547*INDEX(v01_MortChild,G548)/4*Q548</x:f>
        <x:v>0.47269791072089695</x:v>
      </x:c>
      <x:c r="T548" s="9" t="n">
        <x:f>H548*Z547*INDEX(v01_MortAdult,G548)*Arch_AdultMort/4*Q548</x:f>
        <x:v>0.1493247027795614</x:v>
      </x:c>
      <x:c r="U548" s="9" t="n">
        <x:f>H548*AA547*INDEX(v01_MortElder,G548)/4*Q548</x:f>
        <x:v>0.25917398143428677</x:v>
      </x:c>
      <x:c r="V548" s="9" t="n">
        <x:f>H548*MAX(0,AB547-O548)*v01_OvercapLoss</x:f>
        <x:v>0</x:v>
      </x:c>
      <x:c r="W548" s="9" t="n">
        <x:f>H548*Y547/(v01_ChildYears*4)</x:f>
        <x:v>0.9646896137161162</x:v>
      </x:c>
      <x:c r="X548" s="9" t="n">
        <x:f>H548*Z547/(v01_AdultYears*4)</x:f>
        <x:v>0.4014104913429069</x:v>
      </x:c>
      <x:c r="Y548" s="32" t="n">
        <x:f>Y547+R548-S548-W548-Y547*V548/AB547</x:f>
        <x:v>54.43610729871918</x:v>
      </x:c>
      <x:c r="Z548" s="32" t="n">
        <x:f>Z547+W548-X548-T548-Z547*V548/AB547</x:f>
        <x:v>50.18885534611411</x:v>
      </x:c>
      <x:c r="AA548" s="32" t="n">
        <x:f>AA547+X548-U548-AA547*V548/AB547</x:f>
        <x:v>14.952178306153575</x:v>
      </x:c>
      <x:c r="AB548" s="10" t="n">
        <x:f>Y548+Z548+AA548</x:f>
        <x:v>119.57714095098686</x:v>
      </x:c>
      <x:c r="AC548" s="8" t="n">
        <x:f>IF(AND(v01_WinterTrigger=1,D548=1,AB547/AE547&gt;=K548),1,0)</x:f>
        <x:v>0</x:v>
      </x:c>
      <x:c r="AD548" s="8" t="n">
        <x:f>H548*IF(AND(OR(AB547/AE547&gt;=v01_FissionTrigger*N548,AC548=1),AB547/AE547*v01_DaughterShare&gt;=v01_MinDaughter),MAX(1,ROUND(AE547*v01_FissionRate,0)),0)</x:f>
        <x:v>0</x:v>
      </x:c>
      <x:c r="AE548" s="8" t="n">
        <x:f>IF(H548=1,MAX(1,MIN(INDEX(v01_Smax,G548),AE547+AD548)),AE547)</x:f>
        <x:v>3</x:v>
      </x:c>
      <x:c r="AF548" s="8" t="n">
        <x:f>MAX(0,AE548-AE547)</x:f>
        <x:v>0</x:v>
      </x:c>
      <x:c r="AG548" s="9" t="str">
        <x:f>IF(AF548&gt;0,B548,"")</x:f>
      </x:c>
      <x:c r="AH548" s="9" t="n">
        <x:f>IF(F548&gt;=1,1,(1+v01_LowTiesShare*(AE548-1))/AE548)</x:f>
        <x:v>1</x:v>
      </x:c>
      <x:c r="AI548" s="32" t="n">
        <x:f>(Z548+v01_ElderCommons*INDEX(LM_Elder,G548)*AA548)*AH548</x:f>
        <x:v>95.04539026457483</x:v>
      </x:c>
      <x:c r="AJ548" s="32" t="n">
        <x:f>H548*v01_CommonsCoef*AI548^v01_CommonsExp*INDEX(LM_Commons,G548)</x:f>
        <x:v>31.680011828744878</x:v>
      </x:c>
      <x:c r="AK548" s="32" t="n">
        <x:f>H548*v01_RoleScale*Arch_Roles*(AE548*(INDEX(v01_ElderRolePerSett,G548)*v01_OutElder*INDEX(LM_Elder,G548)+INDEX(v01_ShamanPerSett,G548)*v01_OutShaman)+Z548*(INDEX(v01_PriestShare,G548)*v01_OutPriest+INDEX(v01_ScribeShare,G548)*v01_OutScribe*INDEX(LM_Scribe,G548)+INDEX(v01_ScholarShare,G548)*v01_OutScholar*INDEX(LM_Scholar,G548)+INDEX(v01_ResearcherShare,G548)*v01_OutResearcher*INDEX(LM_Researcher,G548)))</x:f>
        <x:v>9</x:v>
      </x:c>
      <x:c r="AL548" s="32" t="n">
        <x:f>H548*v01_RoleScale*Arch_Roles*AE548*INDEX(v01_MonasteryPerSett,G548)*v01_OutMonastery*INDEX(LM_Monastery,G548)</x:f>
        <x:v>0</x:v>
      </x:c>
      <x:c r="AM548" s="32" t="n">
        <x:f>(AJ548+AK548+AL548)/4*INDEX(LM_All,G548)*INDEX(v01_Boon,G548)*Arch_Insight</x:f>
        <x:v>10.684859356893773</x:v>
      </x:c>
      <x:c r="AN548" s="32" t="n">
        <x:f>H548*(v01_KHPerAdult*Z548+v01_KHOfCommons*AJ548/4*INDEX(LM_All,G548))*v01_KHUsable*Arch_KH</x:f>
        <x:v>1.7566099371139938</x:v>
      </x:c>
      <x:c r="AO548" s="32" t="n">
        <x:f>MIN(AP547+AN548,AM548*v01_KHMaxRatio)</x:f>
        <x:v>1.7566099371139938</x:v>
      </x:c>
      <x:c r="AP548" s="32" t="n">
        <x:f>AP547+AN548-AO548</x:f>
        <x:v>0</x:v>
      </x:c>
      <x:c r="AQ548" s="32" t="n">
        <x:f>AM548+AO548</x:f>
        <x:v>12.441469294007767</x:v>
      </x:c>
      <x:c r="AR548" s="10" t="n">
        <x:f>IF(H548=1,INDEX(v01_Req,G548),0)</x:f>
        <x:v>4006.9599999999996</x:v>
      </x:c>
      <x:c r="AS548" s="32" t="n">
        <x:f>IF(H548=1,IF(E548=1,AS547-AR547,AS547)+AQ548,0)</x:f>
        <x:v>647.0925118553884</x:v>
      </x:c>
      <x:c r="AT548" s="11" t="n">
        <x:f>IF(AR548&gt;0,MIN(1,AS548/AR548),1)</x:f>
        <x:v>0.1614921316547678</x:v>
      </x:c>
      <x:c r="AU548" s="10" t="n">
        <x:f>AB548/INDEX(v01_RepScale,G548)</x:f>
        <x:v>59.78857047549343</x:v>
      </x:c>
      <x:c r="AV548" s="32" t="n">
        <x:f>AM548*60/v01_SeasonSeconds</x:f>
        <x:v>42.73943742757509</x:v>
      </x:c>
    </x:row>
    <x:row r="549">
      <x:c r="A549" s="8" t="n">
        <x:f>A548+1</x:f>
        <x:v>546</x:v>
      </x:c>
      <x:c r="B549" s="9" t="n">
        <x:f>A549*v01_SeasonSeconds/60</x:f>
        <x:v>136.5</x:v>
      </x:c>
      <x:c r="C549" s="9" t="n">
        <x:f>A549/4</x:f>
        <x:v>136.5</x:v>
      </x:c>
      <x:c r="D549" s="8" t="n">
        <x:f>IF(MOD(A549,4)=0,1,0)</x:f>
        <x:v>0</x:v>
      </x:c>
      <x:c r="E549" s="8" t="n">
        <x:f>IF(AND(F548&lt;=9,AS548&gt;=AR548),1,0)</x:f>
        <x:v>0</x:v>
      </x:c>
      <x:c r="F549" s="8" t="n">
        <x:f>MIN(10,F548+E549)</x:f>
        <x:v>2</x:v>
      </x:c>
      <x:c r="G549" s="8" t="n">
        <x:f>MIN(F549,9)+1</x:f>
        <x:v>3</x:v>
      </x:c>
      <x:c r="H549" s="8" t="n">
        <x:f>IF(F549&lt;=9,1,0)</x:f>
        <x:v>1</x:v>
      </x:c>
      <x:c r="I549" s="9" t="n">
        <x:f>MIN(10,F548+IF(AR548&gt;0,MIN(1,AS548/AR548),1))</x:f>
        <x:v>2.161492131654768</x:v>
      </x:c>
      <x:c r="J549" s="32" t="n">
        <x:f>INDEX(v01_FoodCap,G549)*Arch_FoodCap*EXP(v01_CapsByProject*SUMPRODUCT((Cap_Point&lt;=I549)*(Cap_Kind="Food")*Cap_Ln))</x:f>
        <x:v>60</x:v>
      </x:c>
      <x:c r="K549" s="32" t="n">
        <x:f>J549*MIN(1,v01_LeanBase*EXP(v01_CapsByProject*SUMPRODUCT((Cap_Point&lt;=I549)*(Cap_Kind="Lean")*Cap_Ln)))</x:f>
        <x:v>60</x:v>
      </x:c>
      <x:c r="L549" s="10" t="n">
        <x:f>INDEX(v01_HousingCap,G549)*EXP(v01_CapsByProject*SUMPRODUCT((Cap_Point&lt;=I549)*(Cap_Kind="Housing")*Cap_Ln))</x:f>
        <x:v>100</x:v>
      </x:c>
      <x:c r="M549" s="10" t="n">
        <x:f>INDEX(v01_GroupCap,G549)*v01_CohesionFactor*EXP(v01_CapsByProject*SUMPRODUCT((Cap_Point&lt;=I549)*(Cap_Kind="Group")*Cap_Ln))</x:f>
        <x:v>500</x:v>
      </x:c>
      <x:c r="N549" s="32" t="n">
        <x:f>MIN(J549,L549,M549)</x:f>
        <x:v>60</x:v>
      </x:c>
      <x:c r="O549" s="10" t="n">
        <x:f>AE548*N549</x:f>
        <x:v>180</x:v>
      </x:c>
      <x:c r="P549" s="9" t="n">
        <x:f>MIN(1,(AB548/(AE548*IF(v01_GroupInCrowding=1,N549,MIN(J549,L549))))^v01_CrowdingExp)</x:f>
        <x:v>0.08595159922396073</x:v>
      </x:c>
      <x:c r="Q549" s="9" t="n">
        <x:f>IF(D549=1,INDEX(v01_WinterMult,G549),1)</x:f>
        <x:v>1</x:v>
      </x:c>
      <x:c r="R549" s="9" t="n">
        <x:f>H549*Z548*v01_WomenShare*v01_BaseFertility*INDEX(v01_FertMult,G549)*Arch_Fertility*(1-P549)</x:f>
        <x:v>1.8579392401187707</x:v>
      </x:c>
      <x:c r="S549" s="9" t="n">
        <x:f>H549*Y548*INDEX(v01_MortChild,G549)/4*Q549</x:f>
        <x:v>0.47631593886379286</x:v>
      </x:c>
      <x:c r="T549" s="9" t="n">
        <x:f>H549*Z548*INDEX(v01_MortAdult,G549)*Arch_AdultMort/4*Q549</x:f>
        <x:v>0.15056656603834234</x:v>
      </x:c>
      <x:c r="U549" s="9" t="n">
        <x:f>H549*AA548*INDEX(v01_MortElder,G549)/4*Q549</x:f>
        <x:v>0.2616631203576876</x:v>
      </x:c>
      <x:c r="V549" s="9" t="n">
        <x:f>H549*MAX(0,AB548-O549)*v01_OvercapLoss</x:f>
        <x:v>0</x:v>
      </x:c>
      <x:c r="W549" s="9" t="n">
        <x:f>H549*Y548/(v01_ChildYears*4)</x:f>
        <x:v>0.9720733446199853</x:v>
      </x:c>
      <x:c r="X549" s="9" t="n">
        <x:f>H549*Z548/(v01_AdultYears*4)</x:f>
        <x:v>0.4047488334364041</x:v>
      </x:c>
      <x:c r="Y549" s="32" t="n">
        <x:f>Y548+R549-S549-W549-Y548*V549/AB548</x:f>
        <x:v>54.84565725535417</x:v>
      </x:c>
      <x:c r="Z549" s="32" t="n">
        <x:f>Z548+W549-X549-T549-Z548*V549/AB548</x:f>
        <x:v>50.605613291259345</x:v>
      </x:c>
      <x:c r="AA549" s="32" t="n">
        <x:f>AA548+X549-U549-AA548*V549/AB548</x:f>
        <x:v>15.095264019232292</x:v>
      </x:c>
      <x:c r="AB549" s="10" t="n">
        <x:f>Y549+Z549+AA549</x:f>
        <x:v>120.5465345658458</x:v>
      </x:c>
      <x:c r="AC549" s="8" t="n">
        <x:f>IF(AND(v01_WinterTrigger=1,D549=1,AB548/AE548&gt;=K549),1,0)</x:f>
        <x:v>0</x:v>
      </x:c>
      <x:c r="AD549" s="8" t="n">
        <x:f>H549*IF(AND(OR(AB548/AE548&gt;=v01_FissionTrigger*N549,AC549=1),AB548/AE548*v01_DaughterShare&gt;=v01_MinDaughter),MAX(1,ROUND(AE548*v01_FissionRate,0)),0)</x:f>
        <x:v>0</x:v>
      </x:c>
      <x:c r="AE549" s="8" t="n">
        <x:f>IF(H549=1,MAX(1,MIN(INDEX(v01_Smax,G549),AE548+AD549)),AE548)</x:f>
        <x:v>3</x:v>
      </x:c>
      <x:c r="AF549" s="8" t="n">
        <x:f>MAX(0,AE549-AE548)</x:f>
        <x:v>0</x:v>
      </x:c>
      <x:c r="AG549" s="9" t="str">
        <x:f>IF(AF549&gt;0,B549,"")</x:f>
      </x:c>
      <x:c r="AH549" s="9" t="n">
        <x:f>IF(F549&gt;=1,1,(1+v01_LowTiesShare*(AE549-1))/AE549)</x:f>
        <x:v>1</x:v>
      </x:c>
      <x:c r="AI549" s="32" t="n">
        <x:f>(Z549+v01_ElderCommons*INDEX(LM_Elder,G549)*AA549)*AH549</x:f>
        <x:v>95.89140534895623</x:v>
      </x:c>
      <x:c r="AJ549" s="32" t="n">
        <x:f>H549*v01_CommonsCoef*AI549^v01_CommonsExp*INDEX(LM_Commons,G549)</x:f>
        <x:v>31.919543126699924</x:v>
      </x:c>
      <x:c r="AK549" s="32" t="n">
        <x:f>H549*v01_RoleScale*Arch_Roles*(AE549*(INDEX(v01_ElderRolePerSett,G549)*v01_OutElder*INDEX(LM_Elder,G549)+INDEX(v01_ShamanPerSett,G549)*v01_OutShaman)+Z549*(INDEX(v01_PriestShare,G549)*v01_OutPriest+INDEX(v01_ScribeShare,G549)*v01_OutScribe*INDEX(LM_Scribe,G549)+INDEX(v01_ScholarShare,G549)*v01_OutScholar*INDEX(LM_Scholar,G549)+INDEX(v01_ResearcherShare,G549)*v01_OutResearcher*INDEX(LM_Researcher,G549)))</x:f>
        <x:v>9</x:v>
      </x:c>
      <x:c r="AL549" s="32" t="n">
        <x:f>H549*v01_RoleScale*Arch_Roles*AE549*INDEX(v01_MonasteryPerSett,G549)*v01_OutMonastery*INDEX(LM_Monastery,G549)</x:f>
        <x:v>0</x:v>
      </x:c>
      <x:c r="AM549" s="32" t="n">
        <x:f>(AJ549+AK549+AL549)/4*INDEX(LM_All,G549)*INDEX(v01_Boon,G549)*Arch_Insight</x:f>
        <x:v>10.747773749372275</x:v>
      </x:c>
      <x:c r="AN549" s="32" t="n">
        <x:f>H549*(v01_KHPerAdult*Z549+v01_KHOfCommons*AJ549/4*INDEX(LM_All,G549))*v01_KHUsable*Arch_KH</x:f>
        <x:v>1.7711964651940773</x:v>
      </x:c>
      <x:c r="AO549" s="32" t="n">
        <x:f>MIN(AP548+AN549,AM549*v01_KHMaxRatio)</x:f>
        <x:v>1.7711964651940773</x:v>
      </x:c>
      <x:c r="AP549" s="32" t="n">
        <x:f>AP548+AN549-AO549</x:f>
        <x:v>0</x:v>
      </x:c>
      <x:c r="AQ549" s="32" t="n">
        <x:f>AM549+AO549</x:f>
        <x:v>12.518970214566352</x:v>
      </x:c>
      <x:c r="AR549" s="10" t="n">
        <x:f>IF(H549=1,INDEX(v01_Req,G549),0)</x:f>
        <x:v>4006.9599999999996</x:v>
      </x:c>
      <x:c r="AS549" s="32" t="n">
        <x:f>IF(H549=1,IF(E549=1,AS548-AR548,AS548)+AQ549,0)</x:f>
        <x:v>659.6114820699547</x:v>
      </x:c>
      <x:c r="AT549" s="11" t="n">
        <x:f>IF(AR549&gt;0,MIN(1,AS549/AR549),1)</x:f>
        <x:v>0.1646164379155157</x:v>
      </x:c>
      <x:c r="AU549" s="10" t="n">
        <x:f>AB549/INDEX(v01_RepScale,G549)</x:f>
        <x:v>60.2732672829229</x:v>
      </x:c>
      <x:c r="AV549" s="32" t="n">
        <x:f>AM549*60/v01_SeasonSeconds</x:f>
        <x:v>42.9910949974891</x:v>
      </x:c>
    </x:row>
    <x:row r="550">
      <x:c r="A550" s="8" t="n">
        <x:f>A549+1</x:f>
        <x:v>547</x:v>
      </x:c>
      <x:c r="B550" s="9" t="n">
        <x:f>A550*v01_SeasonSeconds/60</x:f>
        <x:v>136.75</x:v>
      </x:c>
      <x:c r="C550" s="9" t="n">
        <x:f>A550/4</x:f>
        <x:v>136.75</x:v>
      </x:c>
      <x:c r="D550" s="8" t="n">
        <x:f>IF(MOD(A550,4)=0,1,0)</x:f>
        <x:v>0</x:v>
      </x:c>
      <x:c r="E550" s="8" t="n">
        <x:f>IF(AND(F549&lt;=9,AS549&gt;=AR549),1,0)</x:f>
        <x:v>0</x:v>
      </x:c>
      <x:c r="F550" s="8" t="n">
        <x:f>MIN(10,F549+E550)</x:f>
        <x:v>2</x:v>
      </x:c>
      <x:c r="G550" s="8" t="n">
        <x:f>MIN(F550,9)+1</x:f>
        <x:v>3</x:v>
      </x:c>
      <x:c r="H550" s="8" t="n">
        <x:f>IF(F550&lt;=9,1,0)</x:f>
        <x:v>1</x:v>
      </x:c>
      <x:c r="I550" s="9" t="n">
        <x:f>MIN(10,F549+IF(AR549&gt;0,MIN(1,AS549/AR549),1))</x:f>
        <x:v>2.1646164379155155</x:v>
      </x:c>
      <x:c r="J550" s="32" t="n">
        <x:f>INDEX(v01_FoodCap,G550)*Arch_FoodCap*EXP(v01_CapsByProject*SUMPRODUCT((Cap_Point&lt;=I550)*(Cap_Kind="Food")*Cap_Ln))</x:f>
        <x:v>60</x:v>
      </x:c>
      <x:c r="K550" s="32" t="n">
        <x:f>J550*MIN(1,v01_LeanBase*EXP(v01_CapsByProject*SUMPRODUCT((Cap_Point&lt;=I550)*(Cap_Kind="Lean")*Cap_Ln)))</x:f>
        <x:v>60</x:v>
      </x:c>
      <x:c r="L550" s="10" t="n">
        <x:f>INDEX(v01_HousingCap,G550)*EXP(v01_CapsByProject*SUMPRODUCT((Cap_Point&lt;=I550)*(Cap_Kind="Housing")*Cap_Ln))</x:f>
        <x:v>100</x:v>
      </x:c>
      <x:c r="M550" s="10" t="n">
        <x:f>INDEX(v01_GroupCap,G550)*v01_CohesionFactor*EXP(v01_CapsByProject*SUMPRODUCT((Cap_Point&lt;=I550)*(Cap_Kind="Group")*Cap_Ln))</x:f>
        <x:v>500</x:v>
      </x:c>
      <x:c r="N550" s="32" t="n">
        <x:f>MIN(J550,L550,M550)</x:f>
        <x:v>60</x:v>
      </x:c>
      <x:c r="O550" s="10" t="n">
        <x:f>AE549*N550</x:f>
        <x:v>180</x:v>
      </x:c>
      <x:c r="P550" s="9" t="n">
        <x:f>MIN(1,(AB549/(AE549*IF(v01_GroupInCrowding=1,N550,MIN(J550,L550))))^v01_CrowdingExp)</x:f>
        <x:v>0.09021803194213089</x:v>
      </x:c>
      <x:c r="Q550" s="9" t="n">
        <x:f>IF(D550=1,INDEX(v01_WinterMult,G550),1)</x:f>
        <x:v>1</x:v>
      </x:c>
      <x:c r="R550" s="9" t="n">
        <x:f>H550*Z549*v01_WomenShare*v01_BaseFertility*INDEX(v01_FertMult,G550)*Arch_Fertility*(1-P550)</x:f>
        <x:v>1.8646230154233443</x:v>
      </x:c>
      <x:c r="S550" s="9" t="n">
        <x:f>H550*Y549*INDEX(v01_MortChild,G550)/4*Q550</x:f>
        <x:v>0.479899500984349</x:v>
      </x:c>
      <x:c r="T550" s="9" t="n">
        <x:f>H550*Z549*INDEX(v01_MortAdult,G550)*Arch_AdultMort/4*Q550</x:f>
        <x:v>0.15181683987377803</x:v>
      </x:c>
      <x:c r="U550" s="9" t="n">
        <x:f>H550*AA549*INDEX(v01_MortElder,G550)/4*Q550</x:f>
        <x:v>0.26416712033656514</x:v>
      </x:c>
      <x:c r="V550" s="9" t="n">
        <x:f>H550*MAX(0,AB549-O550)*v01_OvercapLoss</x:f>
        <x:v>0</x:v>
      </x:c>
      <x:c r="W550" s="9" t="n">
        <x:f>H550*Y549/(v01_ChildYears*4)</x:f>
        <x:v>0.979386736702753</x:v>
      </x:c>
      <x:c r="X550" s="9" t="n">
        <x:f>H550*Z549/(v01_AdultYears*4)</x:f>
        <x:v>0.4081097846069302</x:v>
      </x:c>
      <x:c r="Y550" s="32" t="n">
        <x:f>Y549+R550-S550-W550-Y549*V550/AB549</x:f>
        <x:v>55.250994033090414</x:v>
      </x:c>
      <x:c r="Z550" s="32" t="n">
        <x:f>Z549+W550-X550-T550-Z549*V550/AB549</x:f>
        <x:v>51.025073403481386</x:v>
      </x:c>
      <x:c r="AA550" s="32" t="n">
        <x:f>AA549+X550-U550-AA549*V550/AB549</x:f>
        <x:v>15.239206683502658</x:v>
      </x:c>
      <x:c r="AB550" s="10" t="n">
        <x:f>Y550+Z550+AA550</x:f>
        <x:v>121.51527412007445</x:v>
      </x:c>
      <x:c r="AC550" s="8" t="n">
        <x:f>IF(AND(v01_WinterTrigger=1,D550=1,AB549/AE549&gt;=K550),1,0)</x:f>
        <x:v>0</x:v>
      </x:c>
      <x:c r="AD550" s="8" t="n">
        <x:f>H550*IF(AND(OR(AB549/AE549&gt;=v01_FissionTrigger*N550,AC550=1),AB549/AE549*v01_DaughterShare&gt;=v01_MinDaughter),MAX(1,ROUND(AE549*v01_FissionRate,0)),0)</x:f>
        <x:v>0</x:v>
      </x:c>
      <x:c r="AE550" s="8" t="n">
        <x:f>IF(H550=1,MAX(1,MIN(INDEX(v01_Smax,G550),AE549+AD550)),AE549)</x:f>
        <x:v>3</x:v>
      </x:c>
      <x:c r="AF550" s="8" t="n">
        <x:f>MAX(0,AE550-AE549)</x:f>
        <x:v>0</x:v>
      </x:c>
      <x:c r="AG550" s="9" t="str">
        <x:f>IF(AF550&gt;0,B550,"")</x:f>
      </x:c>
      <x:c r="AH550" s="9" t="n">
        <x:f>IF(F550&gt;=1,1,(1+v01_LowTiesShare*(AE550-1))/AE550)</x:f>
        <x:v>1</x:v>
      </x:c>
      <x:c r="AI550" s="32" t="n">
        <x:f>(Z550+v01_ElderCommons*INDEX(LM_Elder,G550)*AA550)*AH550</x:f>
        <x:v>96.74269345398936</x:v>
      </x:c>
      <x:c r="AJ550" s="32" t="n">
        <x:f>H550*v01_CommonsCoef*AI550^v01_CommonsExp*INDEX(LM_Commons,G550)</x:f>
        <x:v>32.16024761847733</x:v>
      </x:c>
      <x:c r="AK550" s="32" t="n">
        <x:f>H550*v01_RoleScale*Arch_Roles*(AE550*(INDEX(v01_ElderRolePerSett,G550)*v01_OutElder*INDEX(LM_Elder,G550)+INDEX(v01_ShamanPerSett,G550)*v01_OutShaman)+Z550*(INDEX(v01_PriestShare,G550)*v01_OutPriest+INDEX(v01_ScribeShare,G550)*v01_OutScribe*INDEX(LM_Scribe,G550)+INDEX(v01_ScholarShare,G550)*v01_OutScholar*INDEX(LM_Scholar,G550)+INDEX(v01_ResearcherShare,G550)*v01_OutResearcher*INDEX(LM_Researcher,G550)))</x:f>
        <x:v>9</x:v>
      </x:c>
      <x:c r="AL550" s="32" t="n">
        <x:f>H550*v01_RoleScale*Arch_Roles*AE550*INDEX(v01_MonasteryPerSett,G550)*v01_OutMonastery*INDEX(LM_Monastery,G550)</x:f>
        <x:v>0</x:v>
      </x:c>
      <x:c r="AM550" s="32" t="n">
        <x:f>(AJ550+AK550+AL550)/4*INDEX(LM_All,G550)*INDEX(v01_Boon,G550)*Arch_Insight</x:f>
        <x:v>10.810996288540684</x:v>
      </x:c>
      <x:c r="AN550" s="32" t="n">
        <x:f>H550*(v01_KHPerAdult*Z550+v01_KHOfCommons*AJ550/4*INDEX(LM_All,G550))*v01_KHUsable*Arch_KH</x:f>
        <x:v>1.7858775691218485</x:v>
      </x:c>
      <x:c r="AO550" s="32" t="n">
        <x:f>MIN(AP549+AN550,AM550*v01_KHMaxRatio)</x:f>
        <x:v>1.7858775691218485</x:v>
      </x:c>
      <x:c r="AP550" s="32" t="n">
        <x:f>AP549+AN550-AO550</x:f>
        <x:v>0</x:v>
      </x:c>
      <x:c r="AQ550" s="32" t="n">
        <x:f>AM550+AO550</x:f>
        <x:v>12.596873857662533</x:v>
      </x:c>
      <x:c r="AR550" s="10" t="n">
        <x:f>IF(H550=1,INDEX(v01_Req,G550),0)</x:f>
        <x:v>4006.9599999999996</x:v>
      </x:c>
      <x:c r="AS550" s="32" t="n">
        <x:f>IF(H550=1,IF(E550=1,AS549-AR549,AS549)+AQ550,0)</x:f>
        <x:v>672.2083559276173</x:v>
      </x:c>
      <x:c r="AT550" s="11" t="n">
        <x:f>IF(AR550&gt;0,MIN(1,AS550/AR550),1)</x:f>
        <x:v>0.16776018625781575</x:v>
      </x:c>
      <x:c r="AU550" s="10" t="n">
        <x:f>AB550/INDEX(v01_RepScale,G550)</x:f>
        <x:v>60.757637060037226</x:v>
      </x:c>
      <x:c r="AV550" s="32" t="n">
        <x:f>AM550*60/v01_SeasonSeconds</x:f>
        <x:v>43.243985154162736</x:v>
      </x:c>
    </x:row>
    <x:row r="551">
      <x:c r="A551" s="8" t="n">
        <x:f>A550+1</x:f>
        <x:v>548</x:v>
      </x:c>
      <x:c r="B551" s="9" t="n">
        <x:f>A551*v01_SeasonSeconds/60</x:f>
        <x:v>137</x:v>
      </x:c>
      <x:c r="C551" s="9" t="n">
        <x:f>A551/4</x:f>
        <x:v>137</x:v>
      </x:c>
      <x:c r="D551" s="8" t="n">
        <x:f>IF(MOD(A551,4)=0,1,0)</x:f>
        <x:v>1</x:v>
      </x:c>
      <x:c r="E551" s="8" t="n">
        <x:f>IF(AND(F550&lt;=9,AS550&gt;=AR550),1,0)</x:f>
        <x:v>0</x:v>
      </x:c>
      <x:c r="F551" s="8" t="n">
        <x:f>MIN(10,F550+E551)</x:f>
        <x:v>2</x:v>
      </x:c>
      <x:c r="G551" s="8" t="n">
        <x:f>MIN(F551,9)+1</x:f>
        <x:v>3</x:v>
      </x:c>
      <x:c r="H551" s="8" t="n">
        <x:f>IF(F551&lt;=9,1,0)</x:f>
        <x:v>1</x:v>
      </x:c>
      <x:c r="I551" s="9" t="n">
        <x:f>MIN(10,F550+IF(AR550&gt;0,MIN(1,AS550/AR550),1))</x:f>
        <x:v>2.1677601862578157</x:v>
      </x:c>
      <x:c r="J551" s="32" t="n">
        <x:f>INDEX(v01_FoodCap,G551)*Arch_FoodCap*EXP(v01_CapsByProject*SUMPRODUCT((Cap_Point&lt;=I551)*(Cap_Kind="Food")*Cap_Ln))</x:f>
        <x:v>60</x:v>
      </x:c>
      <x:c r="K551" s="32" t="n">
        <x:f>J551*MIN(1,v01_LeanBase*EXP(v01_CapsByProject*SUMPRODUCT((Cap_Point&lt;=I551)*(Cap_Kind="Lean")*Cap_Ln)))</x:f>
        <x:v>60</x:v>
      </x:c>
      <x:c r="L551" s="10" t="n">
        <x:f>INDEX(v01_HousingCap,G551)*EXP(v01_CapsByProject*SUMPRODUCT((Cap_Point&lt;=I551)*(Cap_Kind="Housing")*Cap_Ln))</x:f>
        <x:v>100</x:v>
      </x:c>
      <x:c r="M551" s="10" t="n">
        <x:f>INDEX(v01_GroupCap,G551)*v01_CohesionFactor*EXP(v01_CapsByProject*SUMPRODUCT((Cap_Point&lt;=I551)*(Cap_Kind="Group")*Cap_Ln))</x:f>
        <x:v>500</x:v>
      </x:c>
      <x:c r="N551" s="32" t="n">
        <x:f>MIN(J551,L551,M551)</x:f>
        <x:v>60</x:v>
      </x:c>
      <x:c r="O551" s="10" t="n">
        <x:f>AE550*N551</x:f>
        <x:v>180</x:v>
      </x:c>
      <x:c r="P551" s="9" t="n">
        <x:f>MIN(1,(AB550/(AE550*IF(v01_GroupInCrowding=1,N551,MIN(J551,L551))))^v01_CrowdingExp)</x:f>
        <x:v>0.09465644614918273</x:v>
      </x:c>
      <x:c r="Q551" s="9" t="n">
        <x:f>IF(D551=1,INDEX(v01_WinterMult,G551),1)</x:f>
        <x:v>1.3</x:v>
      </x:c>
      <x:c r="R551" s="9" t="n">
        <x:f>H551*Z550*v01_WomenShare*v01_BaseFertility*INDEX(v01_FertMult,G551)*Arch_Fertility*(1-P551)</x:f>
        <x:v>1.8709064622695692</x:v>
      </x:c>
      <x:c r="S551" s="9" t="n">
        <x:f>H551*Y550*INDEX(v01_MortChild,G551)/4*Q551</x:f>
        <x:v>0.6284800571264035</x:v>
      </x:c>
      <x:c r="T551" s="9" t="n">
        <x:f>H551*Z550*INDEX(v01_MortAdult,G551)*Arch_AdultMort/4*Q551</x:f>
        <x:v>0.19899778627357742</x:v>
      </x:c>
      <x:c r="U551" s="9" t="n">
        <x:f>H551*AA550*INDEX(v01_MortElder,G551)/4*Q551</x:f>
        <x:v>0.34669195204968556</x:v>
      </x:c>
      <x:c r="V551" s="9" t="n">
        <x:f>H551*MAX(0,AB550-O551)*v01_OvercapLoss</x:f>
        <x:v>0</x:v>
      </x:c>
      <x:c r="W551" s="9" t="n">
        <x:f>H551*Y550/(v01_ChildYears*4)</x:f>
        <x:v>0.9866248934480432</x:v>
      </x:c>
      <x:c r="X551" s="9" t="n">
        <x:f>H551*Z550/(v01_AdultYears*4)</x:f>
        <x:v>0.41149252744743053</x:v>
      </x:c>
      <x:c r="Y551" s="32" t="n">
        <x:f>Y550+R551-S551-W551-Y550*V551/AB550</x:f>
        <x:v>55.50679554478553</x:v>
      </x:c>
      <x:c r="Z551" s="32" t="n">
        <x:f>Z550+W551-X551-T551-Z550*V551/AB550</x:f>
        <x:v>51.40120798320842</x:v>
      </x:c>
      <x:c r="AA551" s="32" t="n">
        <x:f>AA550+X551-U551-AA550*V551/AB550</x:f>
        <x:v>15.304007258900404</x:v>
      </x:c>
      <x:c r="AB551" s="10" t="n">
        <x:f>Y551+Z551+AA551</x:f>
        <x:v>122.21201078689435</x:v>
      </x:c>
      <x:c r="AC551" s="8" t="n">
        <x:f>IF(AND(v01_WinterTrigger=1,D551=1,AB550/AE550&gt;=K551),1,0)</x:f>
        <x:v>0</x:v>
      </x:c>
      <x:c r="AD551" s="8" t="n">
        <x:f>H551*IF(AND(OR(AB550/AE550&gt;=v01_FissionTrigger*N551,AC551=1),AB550/AE550*v01_DaughterShare&gt;=v01_MinDaughter),MAX(1,ROUND(AE550*v01_FissionRate,0)),0)</x:f>
        <x:v>0</x:v>
      </x:c>
      <x:c r="AE551" s="8" t="n">
        <x:f>IF(H551=1,MAX(1,MIN(INDEX(v01_Smax,G551),AE550+AD551)),AE550)</x:f>
        <x:v>3</x:v>
      </x:c>
      <x:c r="AF551" s="8" t="n">
        <x:f>MAX(0,AE551-AE550)</x:f>
        <x:v>0</x:v>
      </x:c>
      <x:c r="AG551" s="9" t="str">
        <x:f>IF(AF551&gt;0,B551,"")</x:f>
      </x:c>
      <x:c r="AH551" s="9" t="n">
        <x:f>IF(F551&gt;=1,1,(1+v01_LowTiesShare*(AE551-1))/AE551)</x:f>
        <x:v>1</x:v>
      </x:c>
      <x:c r="AI551" s="32" t="n">
        <x:f>(Z551+v01_ElderCommons*INDEX(LM_Elder,G551)*AA551)*AH551</x:f>
        <x:v>97.31322975990963</x:v>
      </x:c>
      <x:c r="AJ551" s="32" t="n">
        <x:f>H551*v01_CommonsCoef*AI551^v01_CommonsExp*INDEX(LM_Commons,G551)</x:f>
        <x:v>32.321390720228834</x:v>
      </x:c>
      <x:c r="AK551" s="32" t="n">
        <x:f>H551*v01_RoleScale*Arch_Roles*(AE551*(INDEX(v01_ElderRolePerSett,G551)*v01_OutElder*INDEX(LM_Elder,G551)+INDEX(v01_ShamanPerSett,G551)*v01_OutShaman)+Z551*(INDEX(v01_PriestShare,G551)*v01_OutPriest+INDEX(v01_ScribeShare,G551)*v01_OutScribe*INDEX(LM_Scribe,G551)+INDEX(v01_ScholarShare,G551)*v01_OutScholar*INDEX(LM_Scholar,G551)+INDEX(v01_ResearcherShare,G551)*v01_OutResearcher*INDEX(LM_Researcher,G551)))</x:f>
        <x:v>9</x:v>
      </x:c>
      <x:c r="AL551" s="32" t="n">
        <x:f>H551*v01_RoleScale*Arch_Roles*AE551*INDEX(v01_MonasteryPerSett,G551)*v01_OutMonastery*INDEX(LM_Monastery,G551)</x:f>
        <x:v>0</x:v>
      </x:c>
      <x:c r="AM551" s="32" t="n">
        <x:f>(AJ551+AK551+AL551)/4*INDEX(LM_All,G551)*INDEX(v01_Boon,G551)*Arch_Insight</x:f>
        <x:v>10.853321531360104</x:v>
      </x:c>
      <x:c r="AN551" s="32" t="n">
        <x:f>H551*(v01_KHPerAdult*Z551+v01_KHOfCommons*AJ551/4*INDEX(LM_All,G551))*v01_KHUsable*Arch_KH</x:f>
        <x:v>1.7990422794122949</x:v>
      </x:c>
      <x:c r="AO551" s="32" t="n">
        <x:f>MIN(AP550+AN551,AM551*v01_KHMaxRatio)</x:f>
        <x:v>1.7990422794122949</x:v>
      </x:c>
      <x:c r="AP551" s="32" t="n">
        <x:f>AP550+AN551-AO551</x:f>
        <x:v>0</x:v>
      </x:c>
      <x:c r="AQ551" s="32" t="n">
        <x:f>AM551+AO551</x:f>
        <x:v>12.652363810772398</x:v>
      </x:c>
      <x:c r="AR551" s="10" t="n">
        <x:f>IF(H551=1,INDEX(v01_Req,G551),0)</x:f>
        <x:v>4006.9599999999996</x:v>
      </x:c>
      <x:c r="AS551" s="32" t="n">
        <x:f>IF(H551=1,IF(E551=1,AS550-AR550,AS550)+AQ551,0)</x:f>
        <x:v>684.8607197383897</x:v>
      </x:c>
      <x:c r="AT551" s="11" t="n">
        <x:f>IF(AR551&gt;0,MIN(1,AS551/AR551),1)</x:f>
        <x:v>0.17091778299219101</x:v>
      </x:c>
      <x:c r="AU551" s="10" t="n">
        <x:f>AB551/INDEX(v01_RepScale,G551)</x:f>
        <x:v>61.10600539344718</x:v>
      </x:c>
      <x:c r="AV551" s="32" t="n">
        <x:f>AM551*60/v01_SeasonSeconds</x:f>
        <x:v>43.413286125440415</x:v>
      </x:c>
    </x:row>
    <x:row r="552">
      <x:c r="A552" s="8" t="n">
        <x:f>A551+1</x:f>
        <x:v>549</x:v>
      </x:c>
      <x:c r="B552" s="9" t="n">
        <x:f>A552*v01_SeasonSeconds/60</x:f>
        <x:v>137.25</x:v>
      </x:c>
      <x:c r="C552" s="9" t="n">
        <x:f>A552/4</x:f>
        <x:v>137.25</x:v>
      </x:c>
      <x:c r="D552" s="8" t="n">
        <x:f>IF(MOD(A552,4)=0,1,0)</x:f>
        <x:v>0</x:v>
      </x:c>
      <x:c r="E552" s="8" t="n">
        <x:f>IF(AND(F551&lt;=9,AS551&gt;=AR551),1,0)</x:f>
        <x:v>0</x:v>
      </x:c>
      <x:c r="F552" s="8" t="n">
        <x:f>MIN(10,F551+E552)</x:f>
        <x:v>2</x:v>
      </x:c>
      <x:c r="G552" s="8" t="n">
        <x:f>MIN(F552,9)+1</x:f>
        <x:v>3</x:v>
      </x:c>
      <x:c r="H552" s="8" t="n">
        <x:f>IF(F552&lt;=9,1,0)</x:f>
        <x:v>1</x:v>
      </x:c>
      <x:c r="I552" s="9" t="n">
        <x:f>MIN(10,F551+IF(AR551&gt;0,MIN(1,AS551/AR551),1))</x:f>
        <x:v>2.170917782992191</x:v>
      </x:c>
      <x:c r="J552" s="32" t="n">
        <x:f>INDEX(v01_FoodCap,G552)*Arch_FoodCap*EXP(v01_CapsByProject*SUMPRODUCT((Cap_Point&lt;=I552)*(Cap_Kind="Food")*Cap_Ln))</x:f>
        <x:v>60</x:v>
      </x:c>
      <x:c r="K552" s="32" t="n">
        <x:f>J552*MIN(1,v01_LeanBase*EXP(v01_CapsByProject*SUMPRODUCT((Cap_Point&lt;=I552)*(Cap_Kind="Lean")*Cap_Ln)))</x:f>
        <x:v>60</x:v>
      </x:c>
      <x:c r="L552" s="10" t="n">
        <x:f>INDEX(v01_HousingCap,G552)*EXP(v01_CapsByProject*SUMPRODUCT((Cap_Point&lt;=I552)*(Cap_Kind="Housing")*Cap_Ln))</x:f>
        <x:v>100</x:v>
      </x:c>
      <x:c r="M552" s="10" t="n">
        <x:f>INDEX(v01_GroupCap,G552)*v01_CohesionFactor*EXP(v01_CapsByProject*SUMPRODUCT((Cap_Point&lt;=I552)*(Cap_Kind="Group")*Cap_Ln))</x:f>
        <x:v>500</x:v>
      </x:c>
      <x:c r="N552" s="32" t="n">
        <x:f>MIN(J552,L552,M552)</x:f>
        <x:v>60</x:v>
      </x:c>
      <x:c r="O552" s="10" t="n">
        <x:f>AE551*N552</x:f>
        <x:v>180</x:v>
      </x:c>
      <x:c r="P552" s="9" t="n">
        <x:f>MIN(1,(AB551/(AE551*IF(v01_GroupInCrowding=1,N552,MIN(J552,L552))))^v01_CrowdingExp)</x:f>
        <x:v>0.09795989426918118</x:v>
      </x:c>
      <x:c r="Q552" s="9" t="n">
        <x:f>IF(D552=1,INDEX(v01_WinterMult,G552),1)</x:f>
        <x:v>1</x:v>
      </x:c>
      <x:c r="R552" s="9" t="n">
        <x:f>H552*Z551*v01_WomenShare*v01_BaseFertility*INDEX(v01_FertMult,G552)*Arch_Fertility*(1-P552)</x:f>
        <x:v>1.8778210188965379</x:v>
      </x:c>
      <x:c r="S552" s="9" t="n">
        <x:f>H552*Y551*INDEX(v01_MortChild,G552)/4*Q552</x:f>
        <x:v>0.48568446101687346</x:v>
      </x:c>
      <x:c r="T552" s="9" t="n">
        <x:f>H552*Z551*INDEX(v01_MortAdult,G552)*Arch_AdultMort/4*Q552</x:f>
        <x:v>0.15420362394962528</x:v>
      </x:c>
      <x:c r="U552" s="9" t="n">
        <x:f>H552*AA551*INDEX(v01_MortElder,G552)/4*Q552</x:f>
        <x:v>0.2678201270307571</x:v>
      </x:c>
      <x:c r="V552" s="9" t="n">
        <x:f>H552*MAX(0,AB551-O552)*v01_OvercapLoss</x:f>
        <x:v>0</x:v>
      </x:c>
      <x:c r="W552" s="9" t="n">
        <x:f>H552*Y551/(v01_ChildYears*4)</x:f>
        <x:v>0.991192777585456</x:v>
      </x:c>
      <x:c r="X552" s="9" t="n">
        <x:f>H552*Z551/(v01_AdultYears*4)</x:f>
        <x:v>0.414525870832326</x:v>
      </x:c>
      <x:c r="Y552" s="32" t="n">
        <x:f>Y551+R552-S552-W552-Y551*V552/AB551</x:f>
        <x:v>55.907739325079746</x:v>
      </x:c>
      <x:c r="Z552" s="32" t="n">
        <x:f>Z551+W552-X552-T552-Z551*V552/AB551</x:f>
        <x:v>51.82367126601192</x:v>
      </x:c>
      <x:c r="AA552" s="32" t="n">
        <x:f>AA551+X552-U552-AA551*V552/AB551</x:f>
        <x:v>15.450713002701972</x:v>
      </x:c>
      <x:c r="AB552" s="10" t="n">
        <x:f>Y552+Z552+AA552</x:f>
        <x:v>123.18212359379365</x:v>
      </x:c>
      <x:c r="AC552" s="8" t="n">
        <x:f>IF(AND(v01_WinterTrigger=1,D552=1,AB551/AE551&gt;=K552),1,0)</x:f>
        <x:v>0</x:v>
      </x:c>
      <x:c r="AD552" s="8" t="n">
        <x:f>H552*IF(AND(OR(AB551/AE551&gt;=v01_FissionTrigger*N552,AC552=1),AB551/AE551*v01_DaughterShare&gt;=v01_MinDaughter),MAX(1,ROUND(AE551*v01_FissionRate,0)),0)</x:f>
        <x:v>0</x:v>
      </x:c>
      <x:c r="AE552" s="8" t="n">
        <x:f>IF(H552=1,MAX(1,MIN(INDEX(v01_Smax,G552),AE551+AD552)),AE551)</x:f>
        <x:v>3</x:v>
      </x:c>
      <x:c r="AF552" s="8" t="n">
        <x:f>MAX(0,AE552-AE551)</x:f>
        <x:v>0</x:v>
      </x:c>
      <x:c r="AG552" s="9" t="str">
        <x:f>IF(AF552&gt;0,B552,"")</x:f>
      </x:c>
      <x:c r="AH552" s="9" t="n">
        <x:f>IF(F552&gt;=1,1,(1+v01_LowTiesShare*(AE552-1))/AE552)</x:f>
        <x:v>1</x:v>
      </x:c>
      <x:c r="AI552" s="32" t="n">
        <x:f>(Z552+v01_ElderCommons*INDEX(LM_Elder,G552)*AA552)*AH552</x:f>
        <x:v>98.17581027411784</x:v>
      </x:c>
      <x:c r="AJ552" s="32" t="n">
        <x:f>H552*v01_CommonsCoef*AI552^v01_CommonsExp*INDEX(LM_Commons,G552)</x:f>
        <x:v>32.564750545429014</x:v>
      </x:c>
      <x:c r="AK552" s="32" t="n">
        <x:f>H552*v01_RoleScale*Arch_Roles*(AE552*(INDEX(v01_ElderRolePerSett,G552)*v01_OutElder*INDEX(LM_Elder,G552)+INDEX(v01_ShamanPerSett,G552)*v01_OutShaman)+Z552*(INDEX(v01_PriestShare,G552)*v01_OutPriest+INDEX(v01_ScribeShare,G552)*v01_OutScribe*INDEX(LM_Scribe,G552)+INDEX(v01_ScholarShare,G552)*v01_OutScholar*INDEX(LM_Scholar,G552)+INDEX(v01_ResearcherShare,G552)*v01_OutResearcher*INDEX(LM_Researcher,G552)))</x:f>
        <x:v>9</x:v>
      </x:c>
      <x:c r="AL552" s="32" t="n">
        <x:f>H552*v01_RoleScale*Arch_Roles*AE552*INDEX(v01_MonasteryPerSett,G552)*v01_OutMonastery*INDEX(LM_Monastery,G552)</x:f>
        <x:v>0</x:v>
      </x:c>
      <x:c r="AM552" s="32" t="n">
        <x:f>(AJ552+AK552+AL552)/4*INDEX(LM_All,G552)*INDEX(v01_Boon,G552)*Arch_Insight</x:f>
        <x:v>10.91724151044784</x:v>
      </x:c>
      <x:c r="AN552" s="32" t="n">
        <x:f>H552*(v01_KHPerAdult*Z552+v01_KHOfCommons*AJ552/4*INDEX(LM_All,G552))*v01_KHUsable*Arch_KH</x:f>
        <x:v>1.8138284943104173</x:v>
      </x:c>
      <x:c r="AO552" s="32" t="n">
        <x:f>MIN(AP551+AN552,AM552*v01_KHMaxRatio)</x:f>
        <x:v>1.8138284943104173</x:v>
      </x:c>
      <x:c r="AP552" s="32" t="n">
        <x:f>AP551+AN552-AO552</x:f>
        <x:v>0</x:v>
      </x:c>
      <x:c r="AQ552" s="32" t="n">
        <x:f>AM552+AO552</x:f>
        <x:v>12.731070004758257</x:v>
      </x:c>
      <x:c r="AR552" s="10" t="n">
        <x:f>IF(H552=1,INDEX(v01_Req,G552),0)</x:f>
        <x:v>4006.9599999999996</x:v>
      </x:c>
      <x:c r="AS552" s="32" t="n">
        <x:f>IF(H552=1,IF(E552=1,AS551-AR551,AS551)+AQ552,0)</x:f>
        <x:v>697.591789743148</x:v>
      </x:c>
      <x:c r="AT552" s="11" t="n">
        <x:f>IF(AR552&gt;0,MIN(1,AS552/AR552),1)</x:f>
        <x:v>0.17409502209733763</x:v>
      </x:c>
      <x:c r="AU552" s="10" t="n">
        <x:f>AB552/INDEX(v01_RepScale,G552)</x:f>
        <x:v>61.591061796896824</x:v>
      </x:c>
      <x:c r="AV552" s="32" t="n">
        <x:f>AM552*60/v01_SeasonSeconds</x:f>
        <x:v>43.66896604179136</x:v>
      </x:c>
    </x:row>
    <x:row r="553">
      <x:c r="A553" s="8" t="n">
        <x:f>A552+1</x:f>
        <x:v>550</x:v>
      </x:c>
      <x:c r="B553" s="9" t="n">
        <x:f>A553*v01_SeasonSeconds/60</x:f>
        <x:v>137.5</x:v>
      </x:c>
      <x:c r="C553" s="9" t="n">
        <x:f>A553/4</x:f>
        <x:v>137.5</x:v>
      </x:c>
      <x:c r="D553" s="8" t="n">
        <x:f>IF(MOD(A553,4)=0,1,0)</x:f>
        <x:v>0</x:v>
      </x:c>
      <x:c r="E553" s="8" t="n">
        <x:f>IF(AND(F552&lt;=9,AS552&gt;=AR552),1,0)</x:f>
        <x:v>0</x:v>
      </x:c>
      <x:c r="F553" s="8" t="n">
        <x:f>MIN(10,F552+E553)</x:f>
        <x:v>2</x:v>
      </x:c>
      <x:c r="G553" s="8" t="n">
        <x:f>MIN(F553,9)+1</x:f>
        <x:v>3</x:v>
      </x:c>
      <x:c r="H553" s="8" t="n">
        <x:f>IF(F553&lt;=9,1,0)</x:f>
        <x:v>1</x:v>
      </x:c>
      <x:c r="I553" s="9" t="n">
        <x:f>MIN(10,F552+IF(AR552&gt;0,MIN(1,AS552/AR552),1))</x:f>
        <x:v>2.1740950220973376</x:v>
      </x:c>
      <x:c r="J553" s="32" t="n">
        <x:f>INDEX(v01_FoodCap,G553)*Arch_FoodCap*EXP(v01_CapsByProject*SUMPRODUCT((Cap_Point&lt;=I553)*(Cap_Kind="Food")*Cap_Ln))</x:f>
        <x:v>60</x:v>
      </x:c>
      <x:c r="K553" s="32" t="n">
        <x:f>J553*MIN(1,v01_LeanBase*EXP(v01_CapsByProject*SUMPRODUCT((Cap_Point&lt;=I553)*(Cap_Kind="Lean")*Cap_Ln)))</x:f>
        <x:v>60</x:v>
      </x:c>
      <x:c r="L553" s="10" t="n">
        <x:f>INDEX(v01_HousingCap,G553)*EXP(v01_CapsByProject*SUMPRODUCT((Cap_Point&lt;=I553)*(Cap_Kind="Housing")*Cap_Ln))</x:f>
        <x:v>100</x:v>
      </x:c>
      <x:c r="M553" s="10" t="n">
        <x:f>INDEX(v01_GroupCap,G553)*v01_CohesionFactor*EXP(v01_CapsByProject*SUMPRODUCT((Cap_Point&lt;=I553)*(Cap_Kind="Group")*Cap_Ln))</x:f>
        <x:v>500</x:v>
      </x:c>
      <x:c r="N553" s="32" t="n">
        <x:f>MIN(J553,L553,M553)</x:f>
        <x:v>60</x:v>
      </x:c>
      <x:c r="O553" s="10" t="n">
        <x:f>AE552*N553</x:f>
        <x:v>180</x:v>
      </x:c>
      <x:c r="P553" s="9" t="n">
        <x:f>MIN(1,(AB552/(AE552*IF(v01_GroupInCrowding=1,N553,MIN(J553,L553))))^v01_CrowdingExp)</x:f>
        <x:v>0.10271907274341402</x:v>
      </x:c>
      <x:c r="Q553" s="9" t="n">
        <x:f>IF(D553=1,INDEX(v01_WinterMult,G553),1)</x:f>
        <x:v>1</x:v>
      </x:c>
      <x:c r="R553" s="9" t="n">
        <x:f>H553*Z552*v01_WomenShare*v01_BaseFertility*INDEX(v01_FertMult,G553)*Arch_Fertility*(1-P553)</x:f>
        <x:v>1.8832658682000107</x:v>
      </x:c>
      <x:c r="S553" s="9" t="n">
        <x:f>H553*Y552*INDEX(v01_MortChild,G553)/4*Q553</x:f>
        <x:v>0.48919271909444784</x:v>
      </x:c>
      <x:c r="T553" s="9" t="n">
        <x:f>H553*Z552*INDEX(v01_MortAdult,G553)*Arch_AdultMort/4*Q553</x:f>
        <x:v>0.15547101379803577</x:v>
      </x:c>
      <x:c r="U553" s="9" t="n">
        <x:f>H553*AA552*INDEX(v01_MortElder,G553)/4*Q553</x:f>
        <x:v>0.27038747754728454</x:v>
      </x:c>
      <x:c r="V553" s="9" t="n">
        <x:f>H553*MAX(0,AB552-O553)*v01_OvercapLoss</x:f>
        <x:v>0</x:v>
      </x:c>
      <x:c r="W553" s="9" t="n">
        <x:f>H553*Y552/(v01_ChildYears*4)</x:f>
        <x:v>0.9983524879478526</x:v>
      </x:c>
      <x:c r="X553" s="9" t="n">
        <x:f>H553*Z552/(v01_AdultYears*4)</x:f>
        <x:v>0.4179328327904187</x:v>
      </x:c>
      <x:c r="Y553" s="32" t="n">
        <x:f>Y552+R553-S553-W553-Y552*V553/AB552</x:f>
        <x:v>56.303459986237456</x:v>
      </x:c>
      <x:c r="Z553" s="32" t="n">
        <x:f>Z552+W553-X553-T553-Z552*V553/AB552</x:f>
        <x:v>52.24861990737132</x:v>
      </x:c>
      <x:c r="AA553" s="32" t="n">
        <x:f>AA552+X553-U553-AA552*V553/AB552</x:f>
        <x:v>15.598258357945106</x:v>
      </x:c>
      <x:c r="AB553" s="10" t="n">
        <x:f>Y553+Z553+AA553</x:f>
        <x:v>124.15033825155388</x:v>
      </x:c>
      <x:c r="AC553" s="8" t="n">
        <x:f>IF(AND(v01_WinterTrigger=1,D553=1,AB552/AE552&gt;=K553),1,0)</x:f>
        <x:v>0</x:v>
      </x:c>
      <x:c r="AD553" s="8" t="n">
        <x:f>H553*IF(AND(OR(AB552/AE552&gt;=v01_FissionTrigger*N553,AC553=1),AB552/AE552*v01_DaughterShare&gt;=v01_MinDaughter),MAX(1,ROUND(AE552*v01_FissionRate,0)),0)</x:f>
        <x:v>0</x:v>
      </x:c>
      <x:c r="AE553" s="8" t="n">
        <x:f>IF(H553=1,MAX(1,MIN(INDEX(v01_Smax,G553),AE552+AD553)),AE552)</x:f>
        <x:v>3</x:v>
      </x:c>
      <x:c r="AF553" s="8" t="n">
        <x:f>MAX(0,AE553-AE552)</x:f>
        <x:v>0</x:v>
      </x:c>
      <x:c r="AG553" s="9" t="str">
        <x:f>IF(AF553&gt;0,B553,"")</x:f>
      </x:c>
      <x:c r="AH553" s="9" t="n">
        <x:f>IF(F553&gt;=1,1,(1+v01_LowTiesShare*(AE553-1))/AE553)</x:f>
        <x:v>1</x:v>
      </x:c>
      <x:c r="AI553" s="32" t="n">
        <x:f>(Z553+v01_ElderCommons*INDEX(LM_Elder,G553)*AA553)*AH553</x:f>
        <x:v>99.04339498120663</x:v>
      </x:c>
      <x:c r="AJ553" s="32" t="n">
        <x:f>H553*v01_CommonsCoef*AI553^v01_CommonsExp*INDEX(LM_Commons,G553)</x:f>
        <x:v>32.80919889515558</x:v>
      </x:c>
      <x:c r="AK553" s="32" t="n">
        <x:f>H553*v01_RoleScale*Arch_Roles*(AE553*(INDEX(v01_ElderRolePerSett,G553)*v01_OutElder*INDEX(LM_Elder,G553)+INDEX(v01_ShamanPerSett,G553)*v01_OutShaman)+Z553*(INDEX(v01_PriestShare,G553)*v01_OutPriest+INDEX(v01_ScribeShare,G553)*v01_OutScribe*INDEX(LM_Scribe,G553)+INDEX(v01_ScholarShare,G553)*v01_OutScholar*INDEX(LM_Scholar,G553)+INDEX(v01_ResearcherShare,G553)*v01_OutResearcher*INDEX(LM_Researcher,G553)))</x:f>
        <x:v>9</x:v>
      </x:c>
      <x:c r="AL553" s="32" t="n">
        <x:f>H553*v01_RoleScale*Arch_Roles*AE553*INDEX(v01_MonasteryPerSett,G553)*v01_OutMonastery*INDEX(LM_Monastery,G553)</x:f>
        <x:v>0</x:v>
      </x:c>
      <x:c r="AM553" s="32" t="n">
        <x:f>(AJ553+AK553+AL553)/4*INDEX(LM_All,G553)*INDEX(v01_Boon,G553)*Arch_Insight</x:f>
        <x:v>10.981447397305708</x:v>
      </x:c>
      <x:c r="AN553" s="32" t="n">
        <x:f>H553*(v01_KHPerAdult*Z553+v01_KHOfCommons*AJ553/4*INDEX(LM_All,G553))*v01_KHUsable*Arch_KH</x:f>
        <x:v>1.828701696757996</x:v>
      </x:c>
      <x:c r="AO553" s="32" t="n">
        <x:f>MIN(AP552+AN553,AM553*v01_KHMaxRatio)</x:f>
        <x:v>1.828701696757996</x:v>
      </x:c>
      <x:c r="AP553" s="32" t="n">
        <x:f>AP552+AN553-AO553</x:f>
        <x:v>0</x:v>
      </x:c>
      <x:c r="AQ553" s="32" t="n">
        <x:f>AM553+AO553</x:f>
        <x:v>12.810149094063704</x:v>
      </x:c>
      <x:c r="AR553" s="10" t="n">
        <x:f>IF(H553=1,INDEX(v01_Req,G553),0)</x:f>
        <x:v>4006.9599999999996</x:v>
      </x:c>
      <x:c r="AS553" s="32" t="n">
        <x:f>IF(H553=1,IF(E553=1,AS552-AR552,AS552)+AQ553,0)</x:f>
        <x:v>710.4019388372117</x:v>
      </x:c>
      <x:c r="AT553" s="11" t="n">
        <x:f>IF(AR553&gt;0,MIN(1,AS553/AR553),1)</x:f>
        <x:v>0.17729199663515777</x:v>
      </x:c>
      <x:c r="AU553" s="10" t="n">
        <x:f>AB553/INDEX(v01_RepScale,G553)</x:f>
        <x:v>62.07516912577694</x:v>
      </x:c>
      <x:c r="AV553" s="32" t="n">
        <x:f>AM553*60/v01_SeasonSeconds</x:f>
        <x:v>43.92578958922283</x:v>
      </x:c>
    </x:row>
    <x:row r="554">
      <x:c r="A554" s="8" t="n">
        <x:f>A553+1</x:f>
        <x:v>551</x:v>
      </x:c>
      <x:c r="B554" s="9" t="n">
        <x:f>A554*v01_SeasonSeconds/60</x:f>
        <x:v>137.75</x:v>
      </x:c>
      <x:c r="C554" s="9" t="n">
        <x:f>A554/4</x:f>
        <x:v>137.75</x:v>
      </x:c>
      <x:c r="D554" s="8" t="n">
        <x:f>IF(MOD(A554,4)=0,1,0)</x:f>
        <x:v>0</x:v>
      </x:c>
      <x:c r="E554" s="8" t="n">
        <x:f>IF(AND(F553&lt;=9,AS553&gt;=AR553),1,0)</x:f>
        <x:v>0</x:v>
      </x:c>
      <x:c r="F554" s="8" t="n">
        <x:f>MIN(10,F553+E554)</x:f>
        <x:v>2</x:v>
      </x:c>
      <x:c r="G554" s="8" t="n">
        <x:f>MIN(F554,9)+1</x:f>
        <x:v>3</x:v>
      </x:c>
      <x:c r="H554" s="8" t="n">
        <x:f>IF(F554&lt;=9,1,0)</x:f>
        <x:v>1</x:v>
      </x:c>
      <x:c r="I554" s="9" t="n">
        <x:f>MIN(10,F553+IF(AR553&gt;0,MIN(1,AS553/AR553),1))</x:f>
        <x:v>2.177291996635158</x:v>
      </x:c>
      <x:c r="J554" s="32" t="n">
        <x:f>INDEX(v01_FoodCap,G554)*Arch_FoodCap*EXP(v01_CapsByProject*SUMPRODUCT((Cap_Point&lt;=I554)*(Cap_Kind="Food")*Cap_Ln))</x:f>
        <x:v>60</x:v>
      </x:c>
      <x:c r="K554" s="32" t="n">
        <x:f>J554*MIN(1,v01_LeanBase*EXP(v01_CapsByProject*SUMPRODUCT((Cap_Point&lt;=I554)*(Cap_Kind="Lean")*Cap_Ln)))</x:f>
        <x:v>60</x:v>
      </x:c>
      <x:c r="L554" s="10" t="n">
        <x:f>INDEX(v01_HousingCap,G554)*EXP(v01_CapsByProject*SUMPRODUCT((Cap_Point&lt;=I554)*(Cap_Kind="Housing")*Cap_Ln))</x:f>
        <x:v>100</x:v>
      </x:c>
      <x:c r="M554" s="10" t="n">
        <x:f>INDEX(v01_GroupCap,G554)*v01_CohesionFactor*EXP(v01_CapsByProject*SUMPRODUCT((Cap_Point&lt;=I554)*(Cap_Kind="Group")*Cap_Ln))</x:f>
        <x:v>500</x:v>
      </x:c>
      <x:c r="N554" s="32" t="n">
        <x:f>MIN(J554,L554,M554)</x:f>
        <x:v>60</x:v>
      </x:c>
      <x:c r="O554" s="10" t="n">
        <x:f>AE553*N554</x:f>
        <x:v>180</x:v>
      </x:c>
      <x:c r="P554" s="9" t="n">
        <x:f>MIN(1,(AB553/(AE553*IF(v01_GroupInCrowding=1,N554,MIN(J554,L554))))^v01_CrowdingExp)</x:f>
        <x:v>0.10765951331832498</x:v>
      </x:c>
      <x:c r="Q554" s="9" t="n">
        <x:f>IF(D554=1,INDEX(v01_WinterMult,G554),1)</x:f>
        <x:v>1</x:v>
      </x:c>
      <x:c r="R554" s="9" t="n">
        <x:f>H554*Z553*v01_WomenShare*v01_BaseFertility*INDEX(v01_FertMult,G554)*Arch_Fertility*(1-P554)</x:f>
        <x:v>1.888254136121878</x:v>
      </x:c>
      <x:c r="S554" s="9" t="n">
        <x:f>H554*Y553*INDEX(v01_MortChild,G554)/4*Q554</x:f>
        <x:v>0.4926552748795778</x:v>
      </x:c>
      <x:c r="T554" s="9" t="n">
        <x:f>H554*Z553*INDEX(v01_MortAdult,G554)*Arch_AdultMort/4*Q554</x:f>
        <x:v>0.15674585972211397</x:v>
      </x:c>
      <x:c r="U554" s="9" t="n">
        <x:f>H554*AA553*INDEX(v01_MortElder,G554)/4*Q554</x:f>
        <x:v>0.2729695212640394</x:v>
      </x:c>
      <x:c r="V554" s="9" t="n">
        <x:f>H554*MAX(0,AB553-O554)*v01_OvercapLoss</x:f>
        <x:v>0</x:v>
      </x:c>
      <x:c r="W554" s="9" t="n">
        <x:f>H554*Y553/(v01_ChildYears*4)</x:f>
        <x:v>1.005418928325669</x:v>
      </x:c>
      <x:c r="X554" s="9" t="n">
        <x:f>H554*Z553/(v01_AdultYears*4)</x:f>
        <x:v>0.42135983796267196</x:v>
      </x:c>
      <x:c r="Y554" s="32" t="n">
        <x:f>Y553+R554-S554-W554-Y553*V554/AB553</x:f>
        <x:v>56.693639919154094</x:v>
      </x:c>
      <x:c r="Z554" s="32" t="n">
        <x:f>Z553+W554-X554-T554-Z553*V554/AB553</x:f>
        <x:v>52.675933138012205</x:v>
      </x:c>
      <x:c r="AA554" s="32" t="n">
        <x:f>AA553+X554-U554-AA553*V554/AB553</x:f>
        <x:v>15.746648674643739</x:v>
      </x:c>
      <x:c r="AB554" s="10" t="n">
        <x:f>Y554+Z554+AA554</x:f>
        <x:v>125.11622173181003</x:v>
      </x:c>
      <x:c r="AC554" s="8" t="n">
        <x:f>IF(AND(v01_WinterTrigger=1,D554=1,AB553/AE553&gt;=K554),1,0)</x:f>
        <x:v>0</x:v>
      </x:c>
      <x:c r="AD554" s="8" t="n">
        <x:f>H554*IF(AND(OR(AB553/AE553&gt;=v01_FissionTrigger*N554,AC554=1),AB553/AE553*v01_DaughterShare&gt;=v01_MinDaughter),MAX(1,ROUND(AE553*v01_FissionRate,0)),0)</x:f>
        <x:v>0</x:v>
      </x:c>
      <x:c r="AE554" s="8" t="n">
        <x:f>IF(H554=1,MAX(1,MIN(INDEX(v01_Smax,G554),AE553+AD554)),AE553)</x:f>
        <x:v>3</x:v>
      </x:c>
      <x:c r="AF554" s="8" t="n">
        <x:f>MAX(0,AE554-AE553)</x:f>
        <x:v>0</x:v>
      </x:c>
      <x:c r="AG554" s="9" t="str">
        <x:f>IF(AF554&gt;0,B554,"")</x:f>
      </x:c>
      <x:c r="AH554" s="9" t="n">
        <x:f>IF(F554&gt;=1,1,(1+v01_LowTiesShare*(AE554-1))/AE554)</x:f>
        <x:v>1</x:v>
      </x:c>
      <x:c r="AI554" s="32" t="n">
        <x:f>(Z554+v01_ElderCommons*INDEX(LM_Elder,G554)*AA554)*AH554</x:f>
        <x:v>99.91587916194342</x:v>
      </x:c>
      <x:c r="AJ554" s="32" t="n">
        <x:f>H554*v01_CommonsCoef*AI554^v01_CommonsExp*INDEX(LM_Commons,G554)</x:f>
        <x:v>33.05470400394883</x:v>
      </x:c>
      <x:c r="AK554" s="32" t="n">
        <x:f>H554*v01_RoleScale*Arch_Roles*(AE554*(INDEX(v01_ElderRolePerSett,G554)*v01_OutElder*INDEX(LM_Elder,G554)+INDEX(v01_ShamanPerSett,G554)*v01_OutShaman)+Z554*(INDEX(v01_PriestShare,G554)*v01_OutPriest+INDEX(v01_ScribeShare,G554)*v01_OutScribe*INDEX(LM_Scribe,G554)+INDEX(v01_ScholarShare,G554)*v01_OutScholar*INDEX(LM_Scholar,G554)+INDEX(v01_ResearcherShare,G554)*v01_OutResearcher*INDEX(LM_Researcher,G554)))</x:f>
        <x:v>9</x:v>
      </x:c>
      <x:c r="AL554" s="32" t="n">
        <x:f>H554*v01_RoleScale*Arch_Roles*AE554*INDEX(v01_MonasteryPerSett,G554)*v01_OutMonastery*INDEX(LM_Monastery,G554)</x:f>
        <x:v>0</x:v>
      </x:c>
      <x:c r="AM554" s="32" t="n">
        <x:f>(AJ554+AK554+AL554)/4*INDEX(LM_All,G554)*INDEX(v01_Boon,G554)*Arch_Insight</x:f>
        <x:v>11.045930848537184</x:v>
      </x:c>
      <x:c r="AN554" s="32" t="n">
        <x:f>H554*(v01_KHPerAdult*Z554+v01_KHOfCommons*AJ554/4*INDEX(LM_All,G554))*v01_KHUsable*Arch_KH</x:f>
        <x:v>1.8436576598304273</x:v>
      </x:c>
      <x:c r="AO554" s="32" t="n">
        <x:f>MIN(AP553+AN554,AM554*v01_KHMaxRatio)</x:f>
        <x:v>1.8436576598304273</x:v>
      </x:c>
      <x:c r="AP554" s="32" t="n">
        <x:f>AP553+AN554-AO554</x:f>
        <x:v>0</x:v>
      </x:c>
      <x:c r="AQ554" s="32" t="n">
        <x:f>AM554+AO554</x:f>
        <x:v>12.889588508367611</x:v>
      </x:c>
      <x:c r="AR554" s="10" t="n">
        <x:f>IF(H554=1,INDEX(v01_Req,G554),0)</x:f>
        <x:v>4006.9599999999996</x:v>
      </x:c>
      <x:c r="AS554" s="32" t="n">
        <x:f>IF(H554=1,IF(E554=1,AS553-AR553,AS553)+AQ554,0)</x:f>
        <x:v>723.2915273455793</x:v>
      </x:c>
      <x:c r="AT554" s="11" t="n">
        <x:f>IF(AR554&gt;0,MIN(1,AS554/AR554),1)</x:f>
        <x:v>0.1805087965304319</x:v>
      </x:c>
      <x:c r="AU554" s="10" t="n">
        <x:f>AB554/INDEX(v01_RepScale,G554)</x:f>
        <x:v>62.558110865905014</x:v>
      </x:c>
      <x:c r="AV554" s="32" t="n">
        <x:f>AM554*60/v01_SeasonSeconds</x:f>
        <x:v>44.183723394148736</x:v>
      </x:c>
    </x:row>
    <x:row r="555">
      <x:c r="A555" s="8" t="n">
        <x:f>A554+1</x:f>
        <x:v>552</x:v>
      </x:c>
      <x:c r="B555" s="9" t="n">
        <x:f>A555*v01_SeasonSeconds/60</x:f>
        <x:v>138</x:v>
      </x:c>
      <x:c r="C555" s="9" t="n">
        <x:f>A555/4</x:f>
        <x:v>138</x:v>
      </x:c>
      <x:c r="D555" s="8" t="n">
        <x:f>IF(MOD(A555,4)=0,1,0)</x:f>
        <x:v>1</x:v>
      </x:c>
      <x:c r="E555" s="8" t="n">
        <x:f>IF(AND(F554&lt;=9,AS554&gt;=AR554),1,0)</x:f>
        <x:v>0</x:v>
      </x:c>
      <x:c r="F555" s="8" t="n">
        <x:f>MIN(10,F554+E555)</x:f>
        <x:v>2</x:v>
      </x:c>
      <x:c r="G555" s="8" t="n">
        <x:f>MIN(F555,9)+1</x:f>
        <x:v>3</x:v>
      </x:c>
      <x:c r="H555" s="8" t="n">
        <x:f>IF(F555&lt;=9,1,0)</x:f>
        <x:v>1</x:v>
      </x:c>
      <x:c r="I555" s="9" t="n">
        <x:f>MIN(10,F554+IF(AR554&gt;0,MIN(1,AS554/AR554),1))</x:f>
        <x:v>2.180508796530432</x:v>
      </x:c>
      <x:c r="J555" s="32" t="n">
        <x:f>INDEX(v01_FoodCap,G555)*Arch_FoodCap*EXP(v01_CapsByProject*SUMPRODUCT((Cap_Point&lt;=I555)*(Cap_Kind="Food")*Cap_Ln))</x:f>
        <x:v>60</x:v>
      </x:c>
      <x:c r="K555" s="32" t="n">
        <x:f>J555*MIN(1,v01_LeanBase*EXP(v01_CapsByProject*SUMPRODUCT((Cap_Point&lt;=I555)*(Cap_Kind="Lean")*Cap_Ln)))</x:f>
        <x:v>60</x:v>
      </x:c>
      <x:c r="L555" s="10" t="n">
        <x:f>INDEX(v01_HousingCap,G555)*EXP(v01_CapsByProject*SUMPRODUCT((Cap_Point&lt;=I555)*(Cap_Kind="Housing")*Cap_Ln))</x:f>
        <x:v>100</x:v>
      </x:c>
      <x:c r="M555" s="10" t="n">
        <x:f>INDEX(v01_GroupCap,G555)*v01_CohesionFactor*EXP(v01_CapsByProject*SUMPRODUCT((Cap_Point&lt;=I555)*(Cap_Kind="Group")*Cap_Ln))</x:f>
        <x:v>500</x:v>
      </x:c>
      <x:c r="N555" s="32" t="n">
        <x:f>MIN(J555,L555,M555)</x:f>
        <x:v>60</x:v>
      </x:c>
      <x:c r="O555" s="10" t="n">
        <x:f>AE554*N555</x:f>
        <x:v>180</x:v>
      </x:c>
      <x:c r="P555" s="9" t="n">
        <x:f>MIN(1,(AB554/(AE554*IF(v01_GroupInCrowding=1,N555,MIN(J555,L555))))^v01_CrowdingExp)</x:f>
        <x:v>0.11278379289698387</x:v>
      </x:c>
      <x:c r="Q555" s="9" t="n">
        <x:f>IF(D555=1,INDEX(v01_WinterMult,G555),1)</x:f>
        <x:v>1.3</x:v>
      </x:c>
      <x:c r="R555" s="9" t="n">
        <x:f>H555*Z554*v01_WomenShare*v01_BaseFertility*INDEX(v01_FertMult,G555)*Arch_Fertility*(1-P555)</x:f>
        <x:v>1.8927651349749304</x:v>
      </x:c>
      <x:c r="S555" s="9" t="n">
        <x:f>H555*Y554*INDEX(v01_MortChild,G555)/4*Q555</x:f>
        <x:v>0.6448901540803779</x:v>
      </x:c>
      <x:c r="T555" s="9" t="n">
        <x:f>H555*Z554*INDEX(v01_MortAdult,G555)*Arch_AdultMort/4*Q555</x:f>
        <x:v>0.2054361392382476</x:v>
      </x:c>
      <x:c r="U555" s="9" t="n">
        <x:f>H555*AA554*INDEX(v01_MortElder,G555)/4*Q555</x:f>
        <x:v>0.35823625734814507</x:v>
      </x:c>
      <x:c r="V555" s="9" t="n">
        <x:f>H555*MAX(0,AB554-O555)*v01_OvercapLoss</x:f>
        <x:v>0</x:v>
      </x:c>
      <x:c r="W555" s="9" t="n">
        <x:f>H555*Y554/(v01_ChildYears*4)</x:f>
        <x:v>1.0123864271277516</x:v>
      </x:c>
      <x:c r="X555" s="9" t="n">
        <x:f>H555*Z554/(v01_AdultYears*4)</x:f>
        <x:v>0.4248059124033242</x:v>
      </x:c>
      <x:c r="Y555" s="32" t="n">
        <x:f>Y554+R555-S555-W555-Y554*V555/AB554</x:f>
        <x:v>56.929128472920894</x:v>
      </x:c>
      <x:c r="Z555" s="32" t="n">
        <x:f>Z554+W555-X555-T555-Z554*V555/AB554</x:f>
        <x:v>53.05807751349839</x:v>
      </x:c>
      <x:c r="AA555" s="32" t="n">
        <x:f>AA554+X555-U555-AA554*V555/AB554</x:f>
        <x:v>15.813218329698918</x:v>
      </x:c>
      <x:c r="AB555" s="10" t="n">
        <x:f>Y555+Z555+AA555</x:f>
        <x:v>125.8004243161182</x:v>
      </x:c>
      <x:c r="AC555" s="8" t="n">
        <x:f>IF(AND(v01_WinterTrigger=1,D555=1,AB554/AE554&gt;=K555),1,0)</x:f>
        <x:v>0</x:v>
      </x:c>
      <x:c r="AD555" s="8" t="n">
        <x:f>H555*IF(AND(OR(AB554/AE554&gt;=v01_FissionTrigger*N555,AC555=1),AB554/AE554*v01_DaughterShare&gt;=v01_MinDaughter),MAX(1,ROUND(AE554*v01_FissionRate,0)),0)</x:f>
        <x:v>0</x:v>
      </x:c>
      <x:c r="AE555" s="8" t="n">
        <x:f>IF(H555=1,MAX(1,MIN(INDEX(v01_Smax,G555),AE554+AD555)),AE554)</x:f>
        <x:v>3</x:v>
      </x:c>
      <x:c r="AF555" s="8" t="n">
        <x:f>MAX(0,AE555-AE554)</x:f>
        <x:v>0</x:v>
      </x:c>
      <x:c r="AG555" s="9" t="str">
        <x:f>IF(AF555&gt;0,B555,"")</x:f>
      </x:c>
      <x:c r="AH555" s="9" t="n">
        <x:f>IF(F555&gt;=1,1,(1+v01_LowTiesShare*(AE555-1))/AE555)</x:f>
        <x:v>1</x:v>
      </x:c>
      <x:c r="AI555" s="32" t="n">
        <x:f>(Z555+v01_ElderCommons*INDEX(LM_Elder,G555)*AA555)*AH555</x:f>
        <x:v>100.49773250259514</x:v>
      </x:c>
      <x:c r="AJ555" s="32" t="n">
        <x:f>H555*v01_CommonsCoef*AI555^v01_CommonsExp*INDEX(LM_Commons,G555)</x:f>
        <x:v>33.21825075302159</x:v>
      </x:c>
      <x:c r="AK555" s="32" t="n">
        <x:f>H555*v01_RoleScale*Arch_Roles*(AE555*(INDEX(v01_ElderRolePerSett,G555)*v01_OutElder*INDEX(LM_Elder,G555)+INDEX(v01_ShamanPerSett,G555)*v01_OutShaman)+Z555*(INDEX(v01_PriestShare,G555)*v01_OutPriest+INDEX(v01_ScribeShare,G555)*v01_OutScribe*INDEX(LM_Scribe,G555)+INDEX(v01_ScholarShare,G555)*v01_OutScholar*INDEX(LM_Scholar,G555)+INDEX(v01_ResearcherShare,G555)*v01_OutResearcher*INDEX(LM_Researcher,G555)))</x:f>
        <x:v>9</x:v>
      </x:c>
      <x:c r="AL555" s="32" t="n">
        <x:f>H555*v01_RoleScale*Arch_Roles*AE555*INDEX(v01_MonasteryPerSett,G555)*v01_OutMonastery*INDEX(LM_Monastery,G555)</x:f>
        <x:v>0</x:v>
      </x:c>
      <x:c r="AM555" s="32" t="n">
        <x:f>(AJ555+AK555+AL555)/4*INDEX(LM_All,G555)*INDEX(v01_Boon,G555)*Arch_Insight</x:f>
        <x:v>11.088887424348327</x:v>
      </x:c>
      <x:c r="AN555" s="32" t="n">
        <x:f>H555*(v01_KHPerAdult*Z555+v01_KHOfCommons*AJ555/4*INDEX(LM_All,G555))*v01_KHUsable*Arch_KH</x:f>
        <x:v>1.8570327129724435</x:v>
      </x:c>
      <x:c r="AO555" s="32" t="n">
        <x:f>MIN(AP554+AN555,AM555*v01_KHMaxRatio)</x:f>
        <x:v>1.8570327129724435</x:v>
      </x:c>
      <x:c r="AP555" s="32" t="n">
        <x:f>AP554+AN555-AO555</x:f>
        <x:v>0</x:v>
      </x:c>
      <x:c r="AQ555" s="32" t="n">
        <x:f>AM555+AO555</x:f>
        <x:v>12.94592013732077</x:v>
      </x:c>
      <x:c r="AR555" s="10" t="n">
        <x:f>IF(H555=1,INDEX(v01_Req,G555),0)</x:f>
        <x:v>4006.9599999999996</x:v>
      </x:c>
      <x:c r="AS555" s="32" t="n">
        <x:f>IF(H555=1,IF(E555=1,AS554-AR554,AS554)+AQ555,0)</x:f>
        <x:v>736.2374474829</x:v>
      </x:c>
      <x:c r="AT555" s="11" t="n">
        <x:f>IF(AR555&gt;0,MIN(1,AS555/AR555),1)</x:f>
        <x:v>0.18373965487124905</x:v>
      </x:c>
      <x:c r="AU555" s="10" t="n">
        <x:f>AB555/INDEX(v01_RepScale,G555)</x:f>
        <x:v>62.9002121580591</x:v>
      </x:c>
      <x:c r="AV555" s="32" t="n">
        <x:f>AM555*60/v01_SeasonSeconds</x:f>
        <x:v>44.35554969739331</x:v>
      </x:c>
    </x:row>
    <x:row r="556">
      <x:c r="A556" s="8" t="n">
        <x:f>A555+1</x:f>
        <x:v>553</x:v>
      </x:c>
      <x:c r="B556" s="9" t="n">
        <x:f>A556*v01_SeasonSeconds/60</x:f>
        <x:v>138.25</x:v>
      </x:c>
      <x:c r="C556" s="9" t="n">
        <x:f>A556/4</x:f>
        <x:v>138.25</x:v>
      </x:c>
      <x:c r="D556" s="8" t="n">
        <x:f>IF(MOD(A556,4)=0,1,0)</x:f>
        <x:v>0</x:v>
      </x:c>
      <x:c r="E556" s="8" t="n">
        <x:f>IF(AND(F555&lt;=9,AS555&gt;=AR555),1,0)</x:f>
        <x:v>0</x:v>
      </x:c>
      <x:c r="F556" s="8" t="n">
        <x:f>MIN(10,F555+E556)</x:f>
        <x:v>2</x:v>
      </x:c>
      <x:c r="G556" s="8" t="n">
        <x:f>MIN(F556,9)+1</x:f>
        <x:v>3</x:v>
      </x:c>
      <x:c r="H556" s="8" t="n">
        <x:f>IF(F556&lt;=9,1,0)</x:f>
        <x:v>1</x:v>
      </x:c>
      <x:c r="I556" s="9" t="n">
        <x:f>MIN(10,F555+IF(AR555&gt;0,MIN(1,AS555/AR555),1))</x:f>
        <x:v>2.183739654871249</x:v>
      </x:c>
      <x:c r="J556" s="32" t="n">
        <x:f>INDEX(v01_FoodCap,G556)*Arch_FoodCap*EXP(v01_CapsByProject*SUMPRODUCT((Cap_Point&lt;=I556)*(Cap_Kind="Food")*Cap_Ln))</x:f>
        <x:v>60</x:v>
      </x:c>
      <x:c r="K556" s="32" t="n">
        <x:f>J556*MIN(1,v01_LeanBase*EXP(v01_CapsByProject*SUMPRODUCT((Cap_Point&lt;=I556)*(Cap_Kind="Lean")*Cap_Ln)))</x:f>
        <x:v>60</x:v>
      </x:c>
      <x:c r="L556" s="10" t="n">
        <x:f>INDEX(v01_HousingCap,G556)*EXP(v01_CapsByProject*SUMPRODUCT((Cap_Point&lt;=I556)*(Cap_Kind="Housing")*Cap_Ln))</x:f>
        <x:v>100</x:v>
      </x:c>
      <x:c r="M556" s="10" t="n">
        <x:f>INDEX(v01_GroupCap,G556)*v01_CohesionFactor*EXP(v01_CapsByProject*SUMPRODUCT((Cap_Point&lt;=I556)*(Cap_Kind="Group")*Cap_Ln))</x:f>
        <x:v>500</x:v>
      </x:c>
      <x:c r="N556" s="32" t="n">
        <x:f>MIN(J556,L556,M556)</x:f>
        <x:v>60</x:v>
      </x:c>
      <x:c r="O556" s="10" t="n">
        <x:f>AE555*N556</x:f>
        <x:v>180</x:v>
      </x:c>
      <x:c r="P556" s="9" t="n">
        <x:f>MIN(1,(AB555/(AE555*IF(v01_GroupInCrowding=1,N556,MIN(J556,L556))))^v01_CrowdingExp)</x:f>
        <x:v>0.11653532860433997</x:v>
      </x:c>
      <x:c r="Q556" s="9" t="n">
        <x:f>IF(D556=1,INDEX(v01_WinterMult,G556),1)</x:f>
        <x:v>1</x:v>
      </x:c>
      <x:c r="R556" s="9" t="n">
        <x:f>H556*Z555*v01_WomenShare*v01_BaseFertility*INDEX(v01_FertMult,G556)*Arch_Fertility*(1-P556)</x:f>
        <x:v>1.8984349491216068</x:v>
      </x:c>
      <x:c r="S556" s="9" t="n">
        <x:f>H556*Y555*INDEX(v01_MortChild,G556)/4*Q556</x:f>
        <x:v>0.49812987413805787</x:v>
      </x:c>
      <x:c r="T556" s="9" t="n">
        <x:f>H556*Z555*INDEX(v01_MortAdult,G556)*Arch_AdultMort/4*Q556</x:f>
        <x:v>0.15917423254049518</x:v>
      </x:c>
      <x:c r="U556" s="9" t="n">
        <x:f>H556*AA555*INDEX(v01_MortElder,G556)/4*Q556</x:f>
        <x:v>0.2767313207697311</x:v>
      </x:c>
      <x:c r="V556" s="9" t="n">
        <x:f>H556*MAX(0,AB555-O556)*v01_OvercapLoss</x:f>
        <x:v>0</x:v>
      </x:c>
      <x:c r="W556" s="9" t="n">
        <x:f>H556*Y555/(v01_ChildYears*4)</x:f>
        <x:v>1.0165915798735874</x:v>
      </x:c>
      <x:c r="X556" s="9" t="n">
        <x:f>H556*Z555/(v01_AdultYears*4)</x:f>
        <x:v>0.4278877218830515</x:v>
      </x:c>
      <x:c r="Y556" s="32" t="n">
        <x:f>Y555+R556-S556-W556-Y555*V556/AB555</x:f>
        <x:v>57.31284196803085</x:v>
      </x:c>
      <x:c r="Z556" s="32" t="n">
        <x:f>Z555+W556-X556-T556-Z555*V556/AB555</x:f>
        <x:v>53.487607138948434</x:v>
      </x:c>
      <x:c r="AA556" s="32" t="n">
        <x:f>AA555+X556-U556-AA555*V556/AB555</x:f>
        <x:v>15.964374730812239</x:v>
      </x:c>
      <x:c r="AB556" s="10" t="n">
        <x:f>Y556+Z556+AA556</x:f>
        <x:v>126.76482383779152</x:v>
      </x:c>
      <x:c r="AC556" s="8" t="n">
        <x:f>IF(AND(v01_WinterTrigger=1,D556=1,AB555/AE555&gt;=K556),1,0)</x:f>
        <x:v>0</x:v>
      </x:c>
      <x:c r="AD556" s="8" t="n">
        <x:f>H556*IF(AND(OR(AB555/AE555&gt;=v01_FissionTrigger*N556,AC556=1),AB555/AE555*v01_DaughterShare&gt;=v01_MinDaughter),MAX(1,ROUND(AE555*v01_FissionRate,0)),0)</x:f>
        <x:v>0</x:v>
      </x:c>
      <x:c r="AE556" s="8" t="n">
        <x:f>IF(H556=1,MAX(1,MIN(INDEX(v01_Smax,G556),AE555+AD556)),AE555)</x:f>
        <x:v>3</x:v>
      </x:c>
      <x:c r="AF556" s="8" t="n">
        <x:f>MAX(0,AE556-AE555)</x:f>
        <x:v>0</x:v>
      </x:c>
      <x:c r="AG556" s="9" t="str">
        <x:f>IF(AF556&gt;0,B556,"")</x:f>
      </x:c>
      <x:c r="AH556" s="9" t="n">
        <x:f>IF(F556&gt;=1,1,(1+v01_LowTiesShare*(AE556-1))/AE556)</x:f>
        <x:v>1</x:v>
      </x:c>
      <x:c r="AI556" s="32" t="n">
        <x:f>(Z556+v01_ElderCommons*INDEX(LM_Elder,G556)*AA556)*AH556</x:f>
        <x:v>101.38073133138515</x:v>
      </x:c>
      <x:c r="AJ556" s="32" t="n">
        <x:f>H556*v01_CommonsCoef*AI556^v01_CommonsExp*INDEX(LM_Commons,G556)</x:f>
        <x:v>33.46617227440009</x:v>
      </x:c>
      <x:c r="AK556" s="32" t="n">
        <x:f>H556*v01_RoleScale*Arch_Roles*(AE556*(INDEX(v01_ElderRolePerSett,G556)*v01_OutElder*INDEX(LM_Elder,G556)+INDEX(v01_ShamanPerSett,G556)*v01_OutShaman)+Z556*(INDEX(v01_PriestShare,G556)*v01_OutPriest+INDEX(v01_ScribeShare,G556)*v01_OutScribe*INDEX(LM_Scribe,G556)+INDEX(v01_ScholarShare,G556)*v01_OutScholar*INDEX(LM_Scholar,G556)+INDEX(v01_ResearcherShare,G556)*v01_OutResearcher*INDEX(LM_Researcher,G556)))</x:f>
        <x:v>9</x:v>
      </x:c>
      <x:c r="AL556" s="32" t="n">
        <x:f>H556*v01_RoleScale*Arch_Roles*AE556*INDEX(v01_MonasteryPerSett,G556)*v01_OutMonastery*INDEX(LM_Monastery,G556)</x:f>
        <x:v>0</x:v>
      </x:c>
      <x:c r="AM556" s="32" t="n">
        <x:f>(AJ556+AK556+AL556)/4*INDEX(LM_All,G556)*INDEX(v01_Boon,G556)*Arch_Insight</x:f>
        <x:v>11.154005561447898</x:v>
      </x:c>
      <x:c r="AN556" s="32" t="n">
        <x:f>H556*(v01_KHPerAdult*Z556+v01_KHOfCommons*AJ556/4*INDEX(LM_All,G556))*v01_KHUsable*Arch_KH</x:f>
        <x:v>1.8720662498631953</x:v>
      </x:c>
      <x:c r="AO556" s="32" t="n">
        <x:f>MIN(AP555+AN556,AM556*v01_KHMaxRatio)</x:f>
        <x:v>1.8720662498631953</x:v>
      </x:c>
      <x:c r="AP556" s="32" t="n">
        <x:f>AP555+AN556-AO556</x:f>
        <x:v>0</x:v>
      </x:c>
      <x:c r="AQ556" s="32" t="n">
        <x:f>AM556+AO556</x:f>
        <x:v>13.026071811311093</x:v>
      </x:c>
      <x:c r="AR556" s="10" t="n">
        <x:f>IF(H556=1,INDEX(v01_Req,G556),0)</x:f>
        <x:v>4006.9599999999996</x:v>
      </x:c>
      <x:c r="AS556" s="32" t="n">
        <x:f>IF(H556=1,IF(E556=1,AS555-AR555,AS555)+AQ556,0)</x:f>
        <x:v>749.2635192942112</x:v>
      </x:c>
      <x:c r="AT556" s="11" t="n">
        <x:f>IF(AR556&gt;0,MIN(1,AS556/AR556),1)</x:f>
        <x:v>0.18699051632514704</x:v>
      </x:c>
      <x:c r="AU556" s="10" t="n">
        <x:f>AB556/INDEX(v01_RepScale,G556)</x:f>
        <x:v>63.38241191889576</x:v>
      </x:c>
      <x:c r="AV556" s="32" t="n">
        <x:f>AM556*60/v01_SeasonSeconds</x:f>
        <x:v>44.61602224579159</x:v>
      </x:c>
    </x:row>
    <x:row r="557">
      <x:c r="A557" s="8" t="n">
        <x:f>A556+1</x:f>
        <x:v>554</x:v>
      </x:c>
      <x:c r="B557" s="9" t="n">
        <x:f>A557*v01_SeasonSeconds/60</x:f>
        <x:v>138.5</x:v>
      </x:c>
      <x:c r="C557" s="9" t="n">
        <x:f>A557/4</x:f>
        <x:v>138.5</x:v>
      </x:c>
      <x:c r="D557" s="8" t="n">
        <x:f>IF(MOD(A557,4)=0,1,0)</x:f>
        <x:v>0</x:v>
      </x:c>
      <x:c r="E557" s="8" t="n">
        <x:f>IF(AND(F556&lt;=9,AS556&gt;=AR556),1,0)</x:f>
        <x:v>0</x:v>
      </x:c>
      <x:c r="F557" s="8" t="n">
        <x:f>MIN(10,F556+E557)</x:f>
        <x:v>2</x:v>
      </x:c>
      <x:c r="G557" s="8" t="n">
        <x:f>MIN(F557,9)+1</x:f>
        <x:v>3</x:v>
      </x:c>
      <x:c r="H557" s="8" t="n">
        <x:f>IF(F557&lt;=9,1,0)</x:f>
        <x:v>1</x:v>
      </x:c>
      <x:c r="I557" s="9" t="n">
        <x:f>MIN(10,F556+IF(AR556&gt;0,MIN(1,AS556/AR556),1))</x:f>
        <x:v>2.186990516325147</x:v>
      </x:c>
      <x:c r="J557" s="32" t="n">
        <x:f>INDEX(v01_FoodCap,G557)*Arch_FoodCap*EXP(v01_CapsByProject*SUMPRODUCT((Cap_Point&lt;=I557)*(Cap_Kind="Food")*Cap_Ln))</x:f>
        <x:v>60</x:v>
      </x:c>
      <x:c r="K557" s="32" t="n">
        <x:f>J557*MIN(1,v01_LeanBase*EXP(v01_CapsByProject*SUMPRODUCT((Cap_Point&lt;=I557)*(Cap_Kind="Lean")*Cap_Ln)))</x:f>
        <x:v>60</x:v>
      </x:c>
      <x:c r="L557" s="10" t="n">
        <x:f>INDEX(v01_HousingCap,G557)*EXP(v01_CapsByProject*SUMPRODUCT((Cap_Point&lt;=I557)*(Cap_Kind="Housing")*Cap_Ln))</x:f>
        <x:v>100</x:v>
      </x:c>
      <x:c r="M557" s="10" t="n">
        <x:f>INDEX(v01_GroupCap,G557)*v01_CohesionFactor*EXP(v01_CapsByProject*SUMPRODUCT((Cap_Point&lt;=I557)*(Cap_Kind="Group")*Cap_Ln))</x:f>
        <x:v>500</x:v>
      </x:c>
      <x:c r="N557" s="32" t="n">
        <x:f>MIN(J557,L557,M557)</x:f>
        <x:v>60</x:v>
      </x:c>
      <x:c r="O557" s="10" t="n">
        <x:f>AE556*N557</x:f>
        <x:v>180</x:v>
      </x:c>
      <x:c r="P557" s="9" t="n">
        <x:f>MIN(1,(AB556/(AE556*IF(v01_GroupInCrowding=1,N557,MIN(J557,L557))))^v01_CrowdingExp)</x:f>
        <x:v>0.12199934886778498</x:v>
      </x:c>
      <x:c r="Q557" s="9" t="n">
        <x:f>IF(D557=1,INDEX(v01_WinterMult,G557),1)</x:f>
        <x:v>1</x:v>
      </x:c>
      <x:c r="R557" s="9" t="n">
        <x:f>H557*Z556*v01_WomenShare*v01_BaseFertility*INDEX(v01_FertMult,G557)*Arch_Fertility*(1-P557)</x:f>
        <x:v>1.901967232767784</x:v>
      </x:c>
      <x:c r="S557" s="9" t="n">
        <x:f>H557*Y556*INDEX(v01_MortChild,G557)/4*Q557</x:f>
        <x:v>0.50148736722027</x:v>
      </x:c>
      <x:c r="T557" s="9" t="n">
        <x:f>H557*Z556*INDEX(v01_MortAdult,G557)*Arch_AdultMort/4*Q557</x:f>
        <x:v>0.1604628214168453</x:v>
      </x:c>
      <x:c r="U557" s="9" t="n">
        <x:f>H557*AA556*INDEX(v01_MortElder,G557)/4*Q557</x:f>
        <x:v>0.2793765577892142</x:v>
      </x:c>
      <x:c r="V557" s="9" t="n">
        <x:f>H557*MAX(0,AB556-O557)*v01_OvercapLoss</x:f>
        <x:v>0</x:v>
      </x:c>
      <x:c r="W557" s="9" t="n">
        <x:f>H557*Y556/(v01_ChildYears*4)</x:f>
        <x:v>1.0234436065719794</x:v>
      </x:c>
      <x:c r="X557" s="9" t="n">
        <x:f>H557*Z556/(v01_AdultYears*4)</x:f>
        <x:v>0.4313516704753906</x:v>
      </x:c>
      <x:c r="Y557" s="32" t="n">
        <x:f>Y556+R557-S557-W557-Y556*V557/AB556</x:f>
        <x:v>57.68987822700638</x:v>
      </x:c>
      <x:c r="Z557" s="32" t="n">
        <x:f>Z556+W557-X557-T557-Z556*V557/AB556</x:f>
        <x:v>53.91923625362818</x:v>
      </x:c>
      <x:c r="AA557" s="32" t="n">
        <x:f>AA556+X557-U557-AA556*V557/AB556</x:f>
        <x:v>16.116349843498416</x:v>
      </x:c>
      <x:c r="AB557" s="10" t="n">
        <x:f>Y557+Z557+AA557</x:f>
        <x:v>127.72546432413297</x:v>
      </x:c>
      <x:c r="AC557" s="8" t="n">
        <x:f>IF(AND(v01_WinterTrigger=1,D557=1,AB556/AE556&gt;=K557),1,0)</x:f>
        <x:v>0</x:v>
      </x:c>
      <x:c r="AD557" s="8" t="n">
        <x:f>H557*IF(AND(OR(AB556/AE556&gt;=v01_FissionTrigger*N557,AC557=1),AB556/AE556*v01_DaughterShare&gt;=v01_MinDaughter),MAX(1,ROUND(AE556*v01_FissionRate,0)),0)</x:f>
        <x:v>0</x:v>
      </x:c>
      <x:c r="AE557" s="8" t="n">
        <x:f>IF(H557=1,MAX(1,MIN(INDEX(v01_Smax,G557),AE556+AD557)),AE556)</x:f>
        <x:v>3</x:v>
      </x:c>
      <x:c r="AF557" s="8" t="n">
        <x:f>MAX(0,AE557-AE556)</x:f>
        <x:v>0</x:v>
      </x:c>
      <x:c r="AG557" s="9" t="str">
        <x:f>IF(AF557&gt;0,B557,"")</x:f>
      </x:c>
      <x:c r="AH557" s="9" t="n">
        <x:f>IF(F557&gt;=1,1,(1+v01_LowTiesShare*(AE557-1))/AE557)</x:f>
        <x:v>1</x:v>
      </x:c>
      <x:c r="AI557" s="32" t="n">
        <x:f>(Z557+v01_ElderCommons*INDEX(LM_Elder,G557)*AA557)*AH557</x:f>
        <x:v>102.26828578412344</x:v>
      </x:c>
      <x:c r="AJ557" s="32" t="n">
        <x:f>H557*v01_CommonsCoef*AI557^v01_CommonsExp*INDEX(LM_Commons,G557)</x:f>
        <x:v>33.71504669224148</x:v>
      </x:c>
      <x:c r="AK557" s="32" t="n">
        <x:f>H557*v01_RoleScale*Arch_Roles*(AE557*(INDEX(v01_ElderRolePerSett,G557)*v01_OutElder*INDEX(LM_Elder,G557)+INDEX(v01_ShamanPerSett,G557)*v01_OutShaman)+Z557*(INDEX(v01_PriestShare,G557)*v01_OutPriest+INDEX(v01_ScribeShare,G557)*v01_OutScribe*INDEX(LM_Scribe,G557)+INDEX(v01_ScholarShare,G557)*v01_OutScholar*INDEX(LM_Scholar,G557)+INDEX(v01_ResearcherShare,G557)*v01_OutResearcher*INDEX(LM_Researcher,G557)))</x:f>
        <x:v>9</x:v>
      </x:c>
      <x:c r="AL557" s="32" t="n">
        <x:f>H557*v01_RoleScale*Arch_Roles*AE557*INDEX(v01_MonasteryPerSett,G557)*v01_OutMonastery*INDEX(LM_Monastery,G557)</x:f>
        <x:v>0</x:v>
      </x:c>
      <x:c r="AM557" s="32" t="n">
        <x:f>(AJ557+AK557+AL557)/4*INDEX(LM_All,G557)*INDEX(v01_Boon,G557)*Arch_Insight</x:f>
        <x:v>11.21937398275905</x:v>
      </x:c>
      <x:c r="AN557" s="32" t="n">
        <x:f>H557*(v01_KHPerAdult*Z557+v01_KHOfCommons*AJ557/4*INDEX(LM_All,G557))*v01_KHUsable*Arch_KH</x:f>
        <x:v>1.887173268876986</x:v>
      </x:c>
      <x:c r="AO557" s="32" t="n">
        <x:f>MIN(AP556+AN557,AM557*v01_KHMaxRatio)</x:f>
        <x:v>1.887173268876986</x:v>
      </x:c>
      <x:c r="AP557" s="32" t="n">
        <x:f>AP556+AN557-AO557</x:f>
        <x:v>0</x:v>
      </x:c>
      <x:c r="AQ557" s="32" t="n">
        <x:f>AM557+AO557</x:f>
        <x:v>13.106547251636036</x:v>
      </x:c>
      <x:c r="AR557" s="10" t="n">
        <x:f>IF(H557=1,INDEX(v01_Req,G557),0)</x:f>
        <x:v>4006.9599999999996</x:v>
      </x:c>
      <x:c r="AS557" s="32" t="n">
        <x:f>IF(H557=1,IF(E557=1,AS556-AR556,AS556)+AQ557,0)</x:f>
        <x:v>762.3700665458472</x:v>
      </x:c>
      <x:c r="AT557" s="11" t="n">
        <x:f>IF(AR557&gt;0,MIN(1,AS557/AR557),1)</x:f>
        <x:v>0.19026146169311578</x:v>
      </x:c>
      <x:c r="AU557" s="10" t="n">
        <x:f>AB557/INDEX(v01_RepScale,G557)</x:f>
        <x:v>63.862732162066486</x:v>
      </x:c>
      <x:c r="AV557" s="32" t="n">
        <x:f>AM557*60/v01_SeasonSeconds</x:f>
        <x:v>44.8774959310362</x:v>
      </x:c>
    </x:row>
    <x:row r="558">
      <x:c r="A558" s="8" t="n">
        <x:f>A557+1</x:f>
        <x:v>555</x:v>
      </x:c>
      <x:c r="B558" s="9" t="n">
        <x:f>A558*v01_SeasonSeconds/60</x:f>
        <x:v>138.75</x:v>
      </x:c>
      <x:c r="C558" s="9" t="n">
        <x:f>A558/4</x:f>
        <x:v>138.75</x:v>
      </x:c>
      <x:c r="D558" s="8" t="n">
        <x:f>IF(MOD(A558,4)=0,1,0)</x:f>
        <x:v>0</x:v>
      </x:c>
      <x:c r="E558" s="8" t="n">
        <x:f>IF(AND(F557&lt;=9,AS557&gt;=AR557),1,0)</x:f>
        <x:v>0</x:v>
      </x:c>
      <x:c r="F558" s="8" t="n">
        <x:f>MIN(10,F557+E558)</x:f>
        <x:v>2</x:v>
      </x:c>
      <x:c r="G558" s="8" t="n">
        <x:f>MIN(F558,9)+1</x:f>
        <x:v>3</x:v>
      </x:c>
      <x:c r="H558" s="8" t="n">
        <x:f>IF(F558&lt;=9,1,0)</x:f>
        <x:v>1</x:v>
      </x:c>
      <x:c r="I558" s="9" t="n">
        <x:f>MIN(10,F557+IF(AR557&gt;0,MIN(1,AS557/AR557),1))</x:f>
        <x:v>2.1902614616931158</x:v>
      </x:c>
      <x:c r="J558" s="32" t="n">
        <x:f>INDEX(v01_FoodCap,G558)*Arch_FoodCap*EXP(v01_CapsByProject*SUMPRODUCT((Cap_Point&lt;=I558)*(Cap_Kind="Food")*Cap_Ln))</x:f>
        <x:v>60</x:v>
      </x:c>
      <x:c r="K558" s="32" t="n">
        <x:f>J558*MIN(1,v01_LeanBase*EXP(v01_CapsByProject*SUMPRODUCT((Cap_Point&lt;=I558)*(Cap_Kind="Lean")*Cap_Ln)))</x:f>
        <x:v>60</x:v>
      </x:c>
      <x:c r="L558" s="10" t="n">
        <x:f>INDEX(v01_HousingCap,G558)*EXP(v01_CapsByProject*SUMPRODUCT((Cap_Point&lt;=I558)*(Cap_Kind="Housing")*Cap_Ln))</x:f>
        <x:v>100</x:v>
      </x:c>
      <x:c r="M558" s="10" t="n">
        <x:f>INDEX(v01_GroupCap,G558)*v01_CohesionFactor*EXP(v01_CapsByProject*SUMPRODUCT((Cap_Point&lt;=I558)*(Cap_Kind="Group")*Cap_Ln))</x:f>
        <x:v>500</x:v>
      </x:c>
      <x:c r="N558" s="32" t="n">
        <x:f>MIN(J558,L558,M558)</x:f>
        <x:v>60</x:v>
      </x:c>
      <x:c r="O558" s="10" t="n">
        <x:f>AE557*N558</x:f>
        <x:v>180</x:v>
      </x:c>
      <x:c r="P558" s="9" t="n">
        <x:f>MIN(1,(AB557/(AE557*IF(v01_GroupInCrowding=1,N558,MIN(J558,L558))))^v01_CrowdingExp)</x:f>
        <x:v>0.12765267215994466</x:v>
      </x:c>
      <x:c r="Q558" s="9" t="n">
        <x:f>IF(D558=1,INDEX(v01_WinterMult,G558),1)</x:f>
        <x:v>1</x:v>
      </x:c>
      <x:c r="R558" s="9" t="n">
        <x:f>H558*Z557*v01_WomenShare*v01_BaseFertility*INDEX(v01_FertMult,G558)*Arch_Fertility*(1-P558)</x:f>
        <x:v>1.9049702174336818</x:v>
      </x:c>
      <x:c r="S558" s="9" t="n">
        <x:f>H558*Y557*INDEX(v01_MortChild,G558)/4*Q558</x:f>
        <x:v>0.5047864344863059</x:v>
      </x:c>
      <x:c r="T558" s="9" t="n">
        <x:f>H558*Z557*INDEX(v01_MortAdult,G558)*Arch_AdultMort/4*Q558</x:f>
        <x:v>0.16175770876088455</x:v>
      </x:c>
      <x:c r="U558" s="9" t="n">
        <x:f>H558*AA557*INDEX(v01_MortElder,G558)/4*Q558</x:f>
        <x:v>0.2820361222612223</x:v>
      </x:c>
      <x:c r="V558" s="9" t="n">
        <x:f>H558*MAX(0,AB557-O558)*v01_OvercapLoss</x:f>
        <x:v>0</x:v>
      </x:c>
      <x:c r="W558" s="9" t="n">
        <x:f>H558*Y557/(v01_ChildYears*4)</x:f>
        <x:v>1.0301763969108282</x:v>
      </x:c>
      <x:c r="X558" s="9" t="n">
        <x:f>H558*Z557/(v01_AdultYears*4)</x:f>
        <x:v>0.4348325504324853</x:v>
      </x:c>
      <x:c r="Y558" s="32" t="n">
        <x:f>Y557+R558-S558-W558-Y557*V558/AB557</x:f>
        <x:v>58.05988561304293</x:v>
      </x:c>
      <x:c r="Z558" s="32" t="n">
        <x:f>Z557+W558-X558-T558-Z557*V558/AB557</x:f>
        <x:v>54.35282239134563</x:v>
      </x:c>
      <x:c r="AA558" s="32" t="n">
        <x:f>AA557+X558-U558-AA557*V558/AB557</x:f>
        <x:v>16.26914627166968</x:v>
      </x:c>
      <x:c r="AB558" s="10" t="n">
        <x:f>Y558+Z558+AA558</x:f>
        <x:v>128.68185427605823</x:v>
      </x:c>
      <x:c r="AC558" s="8" t="n">
        <x:f>IF(AND(v01_WinterTrigger=1,D558=1,AB557/AE557&gt;=K558),1,0)</x:f>
        <x:v>0</x:v>
      </x:c>
      <x:c r="AD558" s="8" t="n">
        <x:f>H558*IF(AND(OR(AB557/AE557&gt;=v01_FissionTrigger*N558,AC558=1),AB557/AE557*v01_DaughterShare&gt;=v01_MinDaughter),MAX(1,ROUND(AE557*v01_FissionRate,0)),0)</x:f>
        <x:v>0</x:v>
      </x:c>
      <x:c r="AE558" s="8" t="n">
        <x:f>IF(H558=1,MAX(1,MIN(INDEX(v01_Smax,G558),AE557+AD558)),AE557)</x:f>
        <x:v>3</x:v>
      </x:c>
      <x:c r="AF558" s="8" t="n">
        <x:f>MAX(0,AE558-AE557)</x:f>
        <x:v>0</x:v>
      </x:c>
      <x:c r="AG558" s="9" t="str">
        <x:f>IF(AF558&gt;0,B558,"")</x:f>
      </x:c>
      <x:c r="AH558" s="9" t="n">
        <x:f>IF(F558&gt;=1,1,(1+v01_LowTiesShare*(AE558-1))/AE558)</x:f>
        <x:v>1</x:v>
      </x:c>
      <x:c r="AI558" s="32" t="n">
        <x:f>(Z558+v01_ElderCommons*INDEX(LM_Elder,G558)*AA558)*AH558</x:f>
        <x:v>103.16026120635468</x:v>
      </x:c>
      <x:c r="AJ558" s="32" t="n">
        <x:f>H558*v01_CommonsCoef*AI558^v01_CommonsExp*INDEX(LM_Commons,G558)</x:f>
        <x:v>33.96483457375651</x:v>
      </x:c>
      <x:c r="AK558" s="32" t="n">
        <x:f>H558*v01_RoleScale*Arch_Roles*(AE558*(INDEX(v01_ElderRolePerSett,G558)*v01_OutElder*INDEX(LM_Elder,G558)+INDEX(v01_ShamanPerSett,G558)*v01_OutShaman)+Z558*(INDEX(v01_PriestShare,G558)*v01_OutPriest+INDEX(v01_ScribeShare,G558)*v01_OutScribe*INDEX(LM_Scribe,G558)+INDEX(v01_ScholarShare,G558)*v01_OutScholar*INDEX(LM_Scholar,G558)+INDEX(v01_ResearcherShare,G558)*v01_OutResearcher*INDEX(LM_Researcher,G558)))</x:f>
        <x:v>9</x:v>
      </x:c>
      <x:c r="AL558" s="32" t="n">
        <x:f>H558*v01_RoleScale*Arch_Roles*AE558*INDEX(v01_MonasteryPerSett,G558)*v01_OutMonastery*INDEX(LM_Monastery,G558)</x:f>
        <x:v>0</x:v>
      </x:c>
      <x:c r="AM558" s="32" t="n">
        <x:f>(AJ558+AK558+AL558)/4*INDEX(LM_All,G558)*INDEX(v01_Boon,G558)*Arch_Insight</x:f>
        <x:v>11.284982331013232</x:v>
      </x:c>
      <x:c r="AN558" s="32" t="n">
        <x:f>H558*(v01_KHPerAdult*Z558+v01_KHOfCommons*AJ558/4*INDEX(LM_All,G558))*v01_KHUsable*Arch_KH</x:f>
        <x:v>1.9023487836970971</x:v>
      </x:c>
      <x:c r="AO558" s="32" t="n">
        <x:f>MIN(AP557+AN558,AM558*v01_KHMaxRatio)</x:f>
        <x:v>1.9023487836970971</x:v>
      </x:c>
      <x:c r="AP558" s="32" t="n">
        <x:f>AP557+AN558-AO558</x:f>
        <x:v>0</x:v>
      </x:c>
      <x:c r="AQ558" s="32" t="n">
        <x:f>AM558+AO558</x:f>
        <x:v>13.187331114710329</x:v>
      </x:c>
      <x:c r="AR558" s="10" t="n">
        <x:f>IF(H558=1,INDEX(v01_Req,G558),0)</x:f>
        <x:v>4006.9599999999996</x:v>
      </x:c>
      <x:c r="AS558" s="32" t="n">
        <x:f>IF(H558=1,IF(E558=1,AS557-AR557,AS557)+AQ558,0)</x:f>
        <x:v>775.5573976605575</x:v>
      </x:c>
      <x:c r="AT558" s="11" t="n">
        <x:f>IF(AR558&gt;0,MIN(1,AS558/AR558),1)</x:f>
        <x:v>0.19355256794691178</x:v>
      </x:c>
      <x:c r="AU558" s="10" t="n">
        <x:f>AB558/INDEX(v01_RepScale,G558)</x:f>
        <x:v>64.34092713802912</x:v>
      </x:c>
      <x:c r="AV558" s="32" t="n">
        <x:f>AM558*60/v01_SeasonSeconds</x:f>
        <x:v>45.13992932405293</x:v>
      </x:c>
    </x:row>
    <x:row r="559">
      <x:c r="A559" s="8" t="n">
        <x:f>A558+1</x:f>
        <x:v>556</x:v>
      </x:c>
      <x:c r="B559" s="9" t="n">
        <x:f>A559*v01_SeasonSeconds/60</x:f>
        <x:v>139</x:v>
      </x:c>
      <x:c r="C559" s="9" t="n">
        <x:f>A559/4</x:f>
        <x:v>139</x:v>
      </x:c>
      <x:c r="D559" s="8" t="n">
        <x:f>IF(MOD(A559,4)=0,1,0)</x:f>
        <x:v>1</x:v>
      </x:c>
      <x:c r="E559" s="8" t="n">
        <x:f>IF(AND(F558&lt;=9,AS558&gt;=AR558),1,0)</x:f>
        <x:v>0</x:v>
      </x:c>
      <x:c r="F559" s="8" t="n">
        <x:f>MIN(10,F558+E559)</x:f>
        <x:v>2</x:v>
      </x:c>
      <x:c r="G559" s="8" t="n">
        <x:f>MIN(F559,9)+1</x:f>
        <x:v>3</x:v>
      </x:c>
      <x:c r="H559" s="8" t="n">
        <x:f>IF(F559&lt;=9,1,0)</x:f>
        <x:v>1</x:v>
      </x:c>
      <x:c r="I559" s="9" t="n">
        <x:f>MIN(10,F558+IF(AR558&gt;0,MIN(1,AS558/AR558),1))</x:f>
        <x:v>2.1935525679469117</x:v>
      </x:c>
      <x:c r="J559" s="32" t="n">
        <x:f>INDEX(v01_FoodCap,G559)*Arch_FoodCap*EXP(v01_CapsByProject*SUMPRODUCT((Cap_Point&lt;=I559)*(Cap_Kind="Food")*Cap_Ln))</x:f>
        <x:v>60</x:v>
      </x:c>
      <x:c r="K559" s="32" t="n">
        <x:f>J559*MIN(1,v01_LeanBase*EXP(v01_CapsByProject*SUMPRODUCT((Cap_Point&lt;=I559)*(Cap_Kind="Lean")*Cap_Ln)))</x:f>
        <x:v>60</x:v>
      </x:c>
      <x:c r="L559" s="10" t="n">
        <x:f>INDEX(v01_HousingCap,G559)*EXP(v01_CapsByProject*SUMPRODUCT((Cap_Point&lt;=I559)*(Cap_Kind="Housing")*Cap_Ln))</x:f>
        <x:v>100</x:v>
      </x:c>
      <x:c r="M559" s="10" t="n">
        <x:f>INDEX(v01_GroupCap,G559)*v01_CohesionFactor*EXP(v01_CapsByProject*SUMPRODUCT((Cap_Point&lt;=I559)*(Cap_Kind="Group")*Cap_Ln))</x:f>
        <x:v>500</x:v>
      </x:c>
      <x:c r="N559" s="32" t="n">
        <x:f>MIN(J559,L559,M559)</x:f>
        <x:v>60</x:v>
      </x:c>
      <x:c r="O559" s="10" t="n">
        <x:f>AE558*N559</x:f>
        <x:v>180</x:v>
      </x:c>
      <x:c r="P559" s="9" t="n">
        <x:f>MIN(1,(AB558/(AE558*IF(v01_GroupInCrowding=1,N559,MIN(J559,L559))))^v01_CrowdingExp)</x:f>
        <x:v>0.13349617785289428</x:v>
      </x:c>
      <x:c r="Q559" s="9" t="n">
        <x:f>IF(D559=1,INDEX(v01_WinterMult,G559),1)</x:f>
        <x:v>1.3</x:v>
      </x:c>
      <x:c r="R559" s="9" t="n">
        <x:f>H559*Z558*v01_WomenShare*v01_BaseFertility*INDEX(v01_FertMult,G559)*Arch_Fertility*(1-P559)</x:f>
        <x:v>1.9074255980366435</x:v>
      </x:c>
      <x:c r="S559" s="9" t="n">
        <x:f>H559*Y558*INDEX(v01_MortChild,G559)/4*Q559</x:f>
        <x:v>0.6604311988483634</x:v>
      </x:c>
      <x:c r="T559" s="9" t="n">
        <x:f>H559*Z558*INDEX(v01_MortAdult,G559)*Arch_AdultMort/4*Q559</x:f>
        <x:v>0.211976007326248</x:v>
      </x:c>
      <x:c r="U559" s="9" t="n">
        <x:f>H559*AA558*INDEX(v01_MortElder,G559)/4*Q559</x:f>
        <x:v>0.37012307768048525</x:v>
      </x:c>
      <x:c r="V559" s="9" t="n">
        <x:f>H559*MAX(0,AB558-O559)*v01_OvercapLoss</x:f>
        <x:v>0</x:v>
      </x:c>
      <x:c r="W559" s="9" t="n">
        <x:f>H559*Y558/(v01_ChildYears*4)</x:f>
        <x:v>1.0367836716614809</x:v>
      </x:c>
      <x:c r="X559" s="9" t="n">
        <x:f>H559*Z558/(v01_AdultYears*4)</x:f>
        <x:v>0.4383292128334325</x:v>
      </x:c>
      <x:c r="Y559" s="32" t="n">
        <x:f>Y558+R559-S559-W559-Y558*V559/AB558</x:f>
        <x:v>58.27009634056973</x:v>
      </x:c>
      <x:c r="Z559" s="32" t="n">
        <x:f>Z558+W559-X559-T559-Z558*V559/AB558</x:f>
        <x:v>54.739300842847435</x:v>
      </x:c>
      <x:c r="AA559" s="32" t="n">
        <x:f>AA558+X559-U559-AA558*V559/AB558</x:f>
        <x:v>16.337352406822628</x:v>
      </x:c>
      <x:c r="AB559" s="10" t="n">
        <x:f>Y559+Z559+AA559</x:f>
        <x:v>129.3467495902398</x:v>
      </x:c>
      <x:c r="AC559" s="8" t="n">
        <x:f>IF(AND(v01_WinterTrigger=1,D559=1,AB558/AE558&gt;=K559),1,0)</x:f>
        <x:v>0</x:v>
      </x:c>
      <x:c r="AD559" s="8" t="n">
        <x:f>H559*IF(AND(OR(AB558/AE558&gt;=v01_FissionTrigger*N559,AC559=1),AB558/AE558*v01_DaughterShare&gt;=v01_MinDaughter),MAX(1,ROUND(AE558*v01_FissionRate,0)),0)</x:f>
        <x:v>0</x:v>
      </x:c>
      <x:c r="AE559" s="8" t="n">
        <x:f>IF(H559=1,MAX(1,MIN(INDEX(v01_Smax,G559),AE558+AD559)),AE558)</x:f>
        <x:v>3</x:v>
      </x:c>
      <x:c r="AF559" s="8" t="n">
        <x:f>MAX(0,AE559-AE558)</x:f>
        <x:v>0</x:v>
      </x:c>
      <x:c r="AG559" s="9" t="str">
        <x:f>IF(AF559&gt;0,B559,"")</x:f>
      </x:c>
      <x:c r="AH559" s="9" t="n">
        <x:f>IF(F559&gt;=1,1,(1+v01_LowTiesShare*(AE559-1))/AE559)</x:f>
        <x:v>1</x:v>
      </x:c>
      <x:c r="AI559" s="32" t="n">
        <x:f>(Z559+v01_ElderCommons*INDEX(LM_Elder,G559)*AA559)*AH559</x:f>
        <x:v>103.75135806331531</x:v>
      </x:c>
      <x:c r="AJ559" s="32" t="n">
        <x:f>H559*v01_CommonsCoef*AI559^v01_CommonsExp*INDEX(LM_Commons,G559)</x:f>
        <x:v>34.13018616576496</x:v>
      </x:c>
      <x:c r="AK559" s="32" t="n">
        <x:f>H559*v01_RoleScale*Arch_Roles*(AE559*(INDEX(v01_ElderRolePerSett,G559)*v01_OutElder*INDEX(LM_Elder,G559)+INDEX(v01_ShamanPerSett,G559)*v01_OutShaman)+Z559*(INDEX(v01_PriestShare,G559)*v01_OutPriest+INDEX(v01_ScribeShare,G559)*v01_OutScribe*INDEX(LM_Scribe,G559)+INDEX(v01_ScholarShare,G559)*v01_OutScholar*INDEX(LM_Scholar,G559)+INDEX(v01_ResearcherShare,G559)*v01_OutResearcher*INDEX(LM_Researcher,G559)))</x:f>
        <x:v>9</x:v>
      </x:c>
      <x:c r="AL559" s="32" t="n">
        <x:f>H559*v01_RoleScale*Arch_Roles*AE559*INDEX(v01_MonasteryPerSett,G559)*v01_OutMonastery*INDEX(LM_Monastery,G559)</x:f>
        <x:v>0</x:v>
      </x:c>
      <x:c r="AM559" s="32" t="n">
        <x:f>(AJ559+AK559+AL559)/4*INDEX(LM_All,G559)*INDEX(v01_Boon,G559)*Arch_Insight</x:f>
        <x:v>11.328412960101701</x:v>
      </x:c>
      <x:c r="AN559" s="32" t="n">
        <x:f>H559*(v01_KHPerAdult*Z559+v01_KHOfCommons*AJ559/4*INDEX(LM_All,G559))*v01_KHUsable*Arch_KH</x:f>
        <x:v>1.9158755294996601</x:v>
      </x:c>
      <x:c r="AO559" s="32" t="n">
        <x:f>MIN(AP558+AN559,AM559*v01_KHMaxRatio)</x:f>
        <x:v>1.9158755294996601</x:v>
      </x:c>
      <x:c r="AP559" s="32" t="n">
        <x:f>AP558+AN559-AO559</x:f>
        <x:v>0</x:v>
      </x:c>
      <x:c r="AQ559" s="32" t="n">
        <x:f>AM559+AO559</x:f>
        <x:v>13.244288489601361</x:v>
      </x:c>
      <x:c r="AR559" s="10" t="n">
        <x:f>IF(H559=1,INDEX(v01_Req,G559),0)</x:f>
        <x:v>4006.9599999999996</x:v>
      </x:c>
      <x:c r="AS559" s="32" t="n">
        <x:f>IF(H559=1,IF(E559=1,AS558-AR558,AS558)+AQ559,0)</x:f>
        <x:v>788.8016861501588</x:v>
      </x:c>
      <x:c r="AT559" s="11" t="n">
        <x:f>IF(AR559&gt;0,MIN(1,AS559/AR559),1)</x:f>
        <x:v>0.19685788881100857</x:v>
      </x:c>
      <x:c r="AU559" s="10" t="n">
        <x:f>AB559/INDEX(v01_RepScale,G559)</x:f>
        <x:v>64.6733747951199</x:v>
      </x:c>
      <x:c r="AV559" s="32" t="n">
        <x:f>AM559*60/v01_SeasonSeconds</x:f>
        <x:v>45.313651840406806</x:v>
      </x:c>
    </x:row>
    <x:row r="560">
      <x:c r="A560" s="8" t="n">
        <x:f>A559+1</x:f>
        <x:v>557</x:v>
      </x:c>
      <x:c r="B560" s="9" t="n">
        <x:f>A560*v01_SeasonSeconds/60</x:f>
        <x:v>139.25</x:v>
      </x:c>
      <x:c r="C560" s="9" t="n">
        <x:f>A560/4</x:f>
        <x:v>139.25</x:v>
      </x:c>
      <x:c r="D560" s="8" t="n">
        <x:f>IF(MOD(A560,4)=0,1,0)</x:f>
        <x:v>0</x:v>
      </x:c>
      <x:c r="E560" s="8" t="n">
        <x:f>IF(AND(F559&lt;=9,AS559&gt;=AR559),1,0)</x:f>
        <x:v>0</x:v>
      </x:c>
      <x:c r="F560" s="8" t="n">
        <x:f>MIN(10,F559+E560)</x:f>
        <x:v>2</x:v>
      </x:c>
      <x:c r="G560" s="8" t="n">
        <x:f>MIN(F560,9)+1</x:f>
        <x:v>3</x:v>
      </x:c>
      <x:c r="H560" s="8" t="n">
        <x:f>IF(F560&lt;=9,1,0)</x:f>
        <x:v>1</x:v>
      </x:c>
      <x:c r="I560" s="9" t="n">
        <x:f>MIN(10,F559+IF(AR559&gt;0,MIN(1,AS559/AR559),1))</x:f>
        <x:v>2.1968578888110084</x:v>
      </x:c>
      <x:c r="J560" s="32" t="n">
        <x:f>INDEX(v01_FoodCap,G560)*Arch_FoodCap*EXP(v01_CapsByProject*SUMPRODUCT((Cap_Point&lt;=I560)*(Cap_Kind="Food")*Cap_Ln))</x:f>
        <x:v>60</x:v>
      </x:c>
      <x:c r="K560" s="32" t="n">
        <x:f>J560*MIN(1,v01_LeanBase*EXP(v01_CapsByProject*SUMPRODUCT((Cap_Point&lt;=I560)*(Cap_Kind="Lean")*Cap_Ln)))</x:f>
        <x:v>60</x:v>
      </x:c>
      <x:c r="L560" s="10" t="n">
        <x:f>INDEX(v01_HousingCap,G560)*EXP(v01_CapsByProject*SUMPRODUCT((Cap_Point&lt;=I560)*(Cap_Kind="Housing")*Cap_Ln))</x:f>
        <x:v>100</x:v>
      </x:c>
      <x:c r="M560" s="10" t="n">
        <x:f>INDEX(v01_GroupCap,G560)*v01_CohesionFactor*EXP(v01_CapsByProject*SUMPRODUCT((Cap_Point&lt;=I560)*(Cap_Kind="Group")*Cap_Ln))</x:f>
        <x:v>500</x:v>
      </x:c>
      <x:c r="N560" s="32" t="n">
        <x:f>MIN(J560,L560,M560)</x:f>
        <x:v>60</x:v>
      </x:c>
      <x:c r="O560" s="10" t="n">
        <x:f>AE559*N560</x:f>
        <x:v>180</x:v>
      </x:c>
      <x:c r="P560" s="9" t="n">
        <x:f>MIN(1,(AB559/(AE559*IF(v01_GroupInCrowding=1,N560,MIN(J560,L560))))^v01_CrowdingExp)</x:f>
        <x:v>0.13768863264960585</x:v>
      </x:c>
      <x:c r="Q560" s="9" t="n">
        <x:f>IF(D560=1,INDEX(v01_WinterMult,G560),1)</x:f>
        <x:v>1</x:v>
      </x:c>
      <x:c r="R560" s="9" t="n">
        <x:f>H560*Z559*v01_WomenShare*v01_BaseFertility*INDEX(v01_FertMult,G560)*Arch_Fertility*(1-P560)</x:f>
        <x:v>1.9116940149828143</x:v>
      </x:c>
      <x:c r="S560" s="9" t="n">
        <x:f>H560*Y559*INDEX(v01_MortChild,G560)/4*Q560</x:f>
        <x:v>0.5098633429799851</x:v>
      </x:c>
      <x:c r="T560" s="9" t="n">
        <x:f>H560*Z559*INDEX(v01_MortAdult,G560)*Arch_AdultMort/4*Q560</x:f>
        <x:v>0.16421790252854232</x:v>
      </x:c>
      <x:c r="U560" s="9" t="n">
        <x:f>H560*AA559*INDEX(v01_MortElder,G560)/4*Q560</x:f>
        <x:v>0.285903667119396</x:v>
      </x:c>
      <x:c r="V560" s="9" t="n">
        <x:f>H560*MAX(0,AB559-O560)*v01_OvercapLoss</x:f>
        <x:v>0</x:v>
      </x:c>
      <x:c r="W560" s="9" t="n">
        <x:f>H560*Y559/(v01_ChildYears*4)</x:f>
        <x:v>1.040537434653031</x:v>
      </x:c>
      <x:c r="X560" s="9" t="n">
        <x:f>H560*Z559/(v01_AdultYears*4)</x:f>
        <x:v>0.44144597453909223</x:v>
      </x:c>
      <x:c r="Y560" s="32" t="n">
        <x:f>Y559+R560-S560-W560-Y559*V560/AB559</x:f>
        <x:v>58.63138957791953</x:v>
      </x:c>
      <x:c r="Z560" s="32" t="n">
        <x:f>Z559+W560-X560-T560-Z559*V560/AB559</x:f>
        <x:v>55.17417440043283</x:v>
      </x:c>
      <x:c r="AA560" s="32" t="n">
        <x:f>AA559+X560-U560-AA559*V560/AB559</x:f>
        <x:v>16.492894714242325</x:v>
      </x:c>
      <x:c r="AB560" s="10" t="n">
        <x:f>Y560+Z560+AA560</x:f>
        <x:v>130.2984586925947</x:v>
      </x:c>
      <x:c r="AC560" s="8" t="n">
        <x:f>IF(AND(v01_WinterTrigger=1,D560=1,AB559/AE559&gt;=K560),1,0)</x:f>
        <x:v>0</x:v>
      </x:c>
      <x:c r="AD560" s="8" t="n">
        <x:f>H560*IF(AND(OR(AB559/AE559&gt;=v01_FissionTrigger*N560,AC560=1),AB559/AE559*v01_DaughterShare&gt;=v01_MinDaughter),MAX(1,ROUND(AE559*v01_FissionRate,0)),0)</x:f>
        <x:v>0</x:v>
      </x:c>
      <x:c r="AE560" s="8" t="n">
        <x:f>IF(H560=1,MAX(1,MIN(INDEX(v01_Smax,G560),AE559+AD560)),AE559)</x:f>
        <x:v>3</x:v>
      </x:c>
      <x:c r="AF560" s="8" t="n">
        <x:f>MAX(0,AE560-AE559)</x:f>
        <x:v>0</x:v>
      </x:c>
      <x:c r="AG560" s="9" t="str">
        <x:f>IF(AF560&gt;0,B560,"")</x:f>
      </x:c>
      <x:c r="AH560" s="9" t="n">
        <x:f>IF(F560&gt;=1,1,(1+v01_LowTiesShare*(AE560-1))/AE560)</x:f>
        <x:v>1</x:v>
      </x:c>
      <x:c r="AI560" s="32" t="n">
        <x:f>(Z560+v01_ElderCommons*INDEX(LM_Elder,G560)*AA560)*AH560</x:f>
        <x:v>104.65285854315981</x:v>
      </x:c>
      <x:c r="AJ560" s="32" t="n">
        <x:f>H560*v01_CommonsCoef*AI560^v01_CommonsExp*INDEX(LM_Commons,G560)</x:f>
        <x:v>34.382097426379325</x:v>
      </x:c>
      <x:c r="AK560" s="32" t="n">
        <x:f>H560*v01_RoleScale*Arch_Roles*(AE560*(INDEX(v01_ElderRolePerSett,G560)*v01_OutElder*INDEX(LM_Elder,G560)+INDEX(v01_ShamanPerSett,G560)*v01_OutShaman)+Z560*(INDEX(v01_PriestShare,G560)*v01_OutPriest+INDEX(v01_ScribeShare,G560)*v01_OutScribe*INDEX(LM_Scribe,G560)+INDEX(v01_ScholarShare,G560)*v01_OutScholar*INDEX(LM_Scholar,G560)+INDEX(v01_ResearcherShare,G560)*v01_OutResearcher*INDEX(LM_Researcher,G560)))</x:f>
        <x:v>9</x:v>
      </x:c>
      <x:c r="AL560" s="32" t="n">
        <x:f>H560*v01_RoleScale*Arch_Roles*AE560*INDEX(v01_MonasteryPerSett,G560)*v01_OutMonastery*INDEX(LM_Monastery,G560)</x:f>
        <x:v>0</x:v>
      </x:c>
      <x:c r="AM560" s="32" t="n">
        <x:f>(AJ560+AK560+AL560)/4*INDEX(LM_All,G560)*INDEX(v01_Boon,G560)*Arch_Insight</x:f>
        <x:v>11.394579027147444</x:v>
      </x:c>
      <x:c r="AN560" s="32" t="n">
        <x:f>H560*(v01_KHPerAdult*Z560+v01_KHOfCommons*AJ560/4*INDEX(LM_All,G560))*v01_KHUsable*Arch_KH</x:f>
        <x:v>1.931096104015149</x:v>
      </x:c>
      <x:c r="AO560" s="32" t="n">
        <x:f>MIN(AP559+AN560,AM560*v01_KHMaxRatio)</x:f>
        <x:v>1.931096104015149</x:v>
      </x:c>
      <x:c r="AP560" s="32" t="n">
        <x:f>AP559+AN560-AO560</x:f>
        <x:v>0</x:v>
      </x:c>
      <x:c r="AQ560" s="32" t="n">
        <x:f>AM560+AO560</x:f>
        <x:v>13.325675131162592</x:v>
      </x:c>
      <x:c r="AR560" s="10" t="n">
        <x:f>IF(H560=1,INDEX(v01_Req,G560),0)</x:f>
        <x:v>4006.9599999999996</x:v>
      </x:c>
      <x:c r="AS560" s="32" t="n">
        <x:f>IF(H560=1,IF(E560=1,AS559-AR559,AS559)+AQ560,0)</x:f>
        <x:v>802.1273612813214</x:v>
      </x:c>
      <x:c r="AT560" s="11" t="n">
        <x:f>IF(AR560&gt;0,MIN(1,AS560/AR560),1)</x:f>
        <x:v>0.20018352099380116</x:v>
      </x:c>
      <x:c r="AU560" s="10" t="n">
        <x:f>AB560/INDEX(v01_RepScale,G560)</x:f>
        <x:v>65.14922934629735</x:v>
      </x:c>
      <x:c r="AV560" s="32" t="n">
        <x:f>AM560*60/v01_SeasonSeconds</x:f>
        <x:v>45.578316108589775</x:v>
      </x:c>
    </x:row>
    <x:row r="561">
      <x:c r="A561" s="8" t="n">
        <x:f>A560+1</x:f>
        <x:v>558</x:v>
      </x:c>
      <x:c r="B561" s="9" t="n">
        <x:f>A561*v01_SeasonSeconds/60</x:f>
        <x:v>139.5</x:v>
      </x:c>
      <x:c r="C561" s="9" t="n">
        <x:f>A561/4</x:f>
        <x:v>139.5</x:v>
      </x:c>
      <x:c r="D561" s="8" t="n">
        <x:f>IF(MOD(A561,4)=0,1,0)</x:f>
        <x:v>0</x:v>
      </x:c>
      <x:c r="E561" s="8" t="n">
        <x:f>IF(AND(F560&lt;=9,AS560&gt;=AR560),1,0)</x:f>
        <x:v>0</x:v>
      </x:c>
      <x:c r="F561" s="8" t="n">
        <x:f>MIN(10,F560+E561)</x:f>
        <x:v>2</x:v>
      </x:c>
      <x:c r="G561" s="8" t="n">
        <x:f>MIN(F561,9)+1</x:f>
        <x:v>3</x:v>
      </x:c>
      <x:c r="H561" s="8" t="n">
        <x:f>IF(F561&lt;=9,1,0)</x:f>
        <x:v>1</x:v>
      </x:c>
      <x:c r="I561" s="9" t="n">
        <x:f>MIN(10,F560+IF(AR560&gt;0,MIN(1,AS560/AR560),1))</x:f>
        <x:v>2.200183520993801</x:v>
      </x:c>
      <x:c r="J561" s="32" t="n">
        <x:f>INDEX(v01_FoodCap,G561)*Arch_FoodCap*EXP(v01_CapsByProject*SUMPRODUCT((Cap_Point&lt;=I561)*(Cap_Kind="Food")*Cap_Ln))</x:f>
        <x:v>60</x:v>
      </x:c>
      <x:c r="K561" s="32" t="n">
        <x:f>J561*MIN(1,v01_LeanBase*EXP(v01_CapsByProject*SUMPRODUCT((Cap_Point&lt;=I561)*(Cap_Kind="Lean")*Cap_Ln)))</x:f>
        <x:v>60</x:v>
      </x:c>
      <x:c r="L561" s="10" t="n">
        <x:f>INDEX(v01_HousingCap,G561)*EXP(v01_CapsByProject*SUMPRODUCT((Cap_Point&lt;=I561)*(Cap_Kind="Housing")*Cap_Ln))</x:f>
        <x:v>100</x:v>
      </x:c>
      <x:c r="M561" s="10" t="n">
        <x:f>INDEX(v01_GroupCap,G561)*v01_CohesionFactor*EXP(v01_CapsByProject*SUMPRODUCT((Cap_Point&lt;=I561)*(Cap_Kind="Group")*Cap_Ln))</x:f>
        <x:v>500</x:v>
      </x:c>
      <x:c r="N561" s="32" t="n">
        <x:f>MIN(J561,L561,M561)</x:f>
        <x:v>60</x:v>
      </x:c>
      <x:c r="O561" s="10" t="n">
        <x:f>AE560*N561</x:f>
        <x:v>180</x:v>
      </x:c>
      <x:c r="P561" s="9" t="n">
        <x:f>MIN(1,(AB560/(AE560*IF(v01_GroupInCrowding=1,N561,MIN(J561,L561))))^v01_CrowdingExp)</x:f>
        <x:v>0.14388006988232707</x:v>
      </x:c>
      <x:c r="Q561" s="9" t="n">
        <x:f>IF(D561=1,INDEX(v01_WinterMult,G561),1)</x:f>
        <x:v>1</x:v>
      </x:c>
      <x:c r="R561" s="9" t="n">
        <x:f>H561*Z560*v01_WomenShare*v01_BaseFertility*INDEX(v01_FertMult,G561)*Arch_Fertility*(1-P561)</x:f>
        <x:v>1.913046268445954</x:v>
      </x:c>
      <x:c r="S561" s="9" t="n">
        <x:f>H561*Y560*INDEX(v01_MortChild,G561)/4*Q561</x:f>
        <x:v>0.5130246588067959</x:v>
      </x:c>
      <x:c r="T561" s="9" t="n">
        <x:f>H561*Z560*INDEX(v01_MortAdult,G561)*Arch_AdultMort/4*Q561</x:f>
        <x:v>0.1655225232012985</x:v>
      </x:c>
      <x:c r="U561" s="9" t="n">
        <x:f>H561*AA560*INDEX(v01_MortElder,G561)/4*Q561</x:f>
        <x:v>0.28862565749924074</x:v>
      </x:c>
      <x:c r="V561" s="9" t="n">
        <x:f>H561*MAX(0,AB560-O561)*v01_OvercapLoss</x:f>
        <x:v>0</x:v>
      </x:c>
      <x:c r="W561" s="9" t="n">
        <x:f>H561*Y560/(v01_ChildYears*4)</x:f>
        <x:v>1.0469890996057059</x:v>
      </x:c>
      <x:c r="X561" s="9" t="n">
        <x:f>H561*Z560/(v01_AdultYears*4)</x:f>
        <x:v>0.4449530193583293</x:v>
      </x:c>
      <x:c r="Y561" s="32" t="n">
        <x:f>Y560+R561-S561-W561-Y560*V561/AB560</x:f>
        <x:v>58.98442208795298</x:v>
      </x:c>
      <x:c r="Z561" s="32" t="n">
        <x:f>Z560+W561-X561-T561-Z560*V561/AB560</x:f>
        <x:v>55.61068795747891</x:v>
      </x:c>
      <x:c r="AA561" s="32" t="n">
        <x:f>AA560+X561-U561-AA560*V561/AB560</x:f>
        <x:v>16.649222076101413</x:v>
      </x:c>
      <x:c r="AB561" s="10" t="n">
        <x:f>Y561+Z561+AA561</x:f>
        <x:v>131.2443321215333</x:v>
      </x:c>
      <x:c r="AC561" s="8" t="n">
        <x:f>IF(AND(v01_WinterTrigger=1,D561=1,AB560/AE560&gt;=K561),1,0)</x:f>
        <x:v>0</x:v>
      </x:c>
      <x:c r="AD561" s="8" t="n">
        <x:f>H561*IF(AND(OR(AB560/AE560&gt;=v01_FissionTrigger*N561,AC561=1),AB560/AE560*v01_DaughterShare&gt;=v01_MinDaughter),MAX(1,ROUND(AE560*v01_FissionRate,0)),0)</x:f>
        <x:v>0</x:v>
      </x:c>
      <x:c r="AE561" s="8" t="n">
        <x:f>IF(H561=1,MAX(1,MIN(INDEX(v01_Smax,G561),AE560+AD561)),AE560)</x:f>
        <x:v>3</x:v>
      </x:c>
      <x:c r="AF561" s="8" t="n">
        <x:f>MAX(0,AE561-AE560)</x:f>
        <x:v>0</x:v>
      </x:c>
      <x:c r="AG561" s="9" t="str">
        <x:f>IF(AF561&gt;0,B561,"")</x:f>
      </x:c>
      <x:c r="AH561" s="9" t="n">
        <x:f>IF(F561&gt;=1,1,(1+v01_LowTiesShare*(AE561-1))/AE561)</x:f>
        <x:v>1</x:v>
      </x:c>
      <x:c r="AI561" s="32" t="n">
        <x:f>(Z561+v01_ElderCommons*INDEX(LM_Elder,G561)*AA561)*AH561</x:f>
        <x:v>105.55835418578314</x:v>
      </x:c>
      <x:c r="AJ561" s="32" t="n">
        <x:f>H561*v01_CommonsCoef*AI561^v01_CommonsExp*INDEX(LM_Commons,G561)</x:f>
        <x:v>34.63479762041633</x:v>
      </x:c>
      <x:c r="AK561" s="32" t="n">
        <x:f>H561*v01_RoleScale*Arch_Roles*(AE561*(INDEX(v01_ElderRolePerSett,G561)*v01_OutElder*INDEX(LM_Elder,G561)+INDEX(v01_ShamanPerSett,G561)*v01_OutShaman)+Z561*(INDEX(v01_PriestShare,G561)*v01_OutPriest+INDEX(v01_ScribeShare,G561)*v01_OutScribe*INDEX(LM_Scribe,G561)+INDEX(v01_ScholarShare,G561)*v01_OutScholar*INDEX(LM_Scholar,G561)+INDEX(v01_ResearcherShare,G561)*v01_OutResearcher*INDEX(LM_Researcher,G561)))</x:f>
        <x:v>9</x:v>
      </x:c>
      <x:c r="AL561" s="32" t="n">
        <x:f>H561*v01_RoleScale*Arch_Roles*AE561*INDEX(v01_MonasteryPerSett,G561)*v01_OutMonastery*INDEX(LM_Monastery,G561)</x:f>
        <x:v>0</x:v>
      </x:c>
      <x:c r="AM561" s="32" t="n">
        <x:f>(AJ561+AK561+AL561)/4*INDEX(LM_All,G561)*INDEX(v01_Boon,G561)*Arch_Insight</x:f>
        <x:v>11.460952312487475</x:v>
      </x:c>
      <x:c r="AN561" s="32" t="n">
        <x:f>H561*(v01_KHPerAdult*Z561+v01_KHOfCommons*AJ561/4*INDEX(LM_All,G561))*v01_KHUsable*Arch_KH</x:f>
        <x:v>1.9463740785117618</x:v>
      </x:c>
      <x:c r="AO561" s="32" t="n">
        <x:f>MIN(AP560+AN561,AM561*v01_KHMaxRatio)</x:f>
        <x:v>1.9463740785117618</x:v>
      </x:c>
      <x:c r="AP561" s="32" t="n">
        <x:f>AP560+AN561-AO561</x:f>
        <x:v>0</x:v>
      </x:c>
      <x:c r="AQ561" s="32" t="n">
        <x:f>AM561+AO561</x:f>
        <x:v>13.407326390999236</x:v>
      </x:c>
      <x:c r="AR561" s="10" t="n">
        <x:f>IF(H561=1,INDEX(v01_Req,G561),0)</x:f>
        <x:v>4006.9599999999996</x:v>
      </x:c>
      <x:c r="AS561" s="32" t="n">
        <x:f>IF(H561=1,IF(E561=1,AS560-AR560,AS560)+AQ561,0)</x:f>
        <x:v>815.5346876723207</x:v>
      </x:c>
      <x:c r="AT561" s="11" t="n">
        <x:f>IF(AR561&gt;0,MIN(1,AS561/AR561),1)</x:f>
        <x:v>0.2035295305349494</x:v>
      </x:c>
      <x:c r="AU561" s="10" t="n">
        <x:f>AB561/INDEX(v01_RepScale,G561)</x:f>
        <x:v>65.62216606076665</x:v>
      </x:c>
      <x:c r="AV561" s="32" t="n">
        <x:f>AM561*60/v01_SeasonSeconds</x:f>
        <x:v>45.8438092499499</x:v>
      </x:c>
    </x:row>
    <x:row r="562">
      <x:c r="A562" s="8" t="n">
        <x:f>A561+1</x:f>
        <x:v>559</x:v>
      </x:c>
      <x:c r="B562" s="9" t="n">
        <x:f>A562*v01_SeasonSeconds/60</x:f>
        <x:v>139.75</x:v>
      </x:c>
      <x:c r="C562" s="9" t="n">
        <x:f>A562/4</x:f>
        <x:v>139.75</x:v>
      </x:c>
      <x:c r="D562" s="8" t="n">
        <x:f>IF(MOD(A562,4)=0,1,0)</x:f>
        <x:v>0</x:v>
      </x:c>
      <x:c r="E562" s="8" t="n">
        <x:f>IF(AND(F561&lt;=9,AS561&gt;=AR561),1,0)</x:f>
        <x:v>0</x:v>
      </x:c>
      <x:c r="F562" s="8" t="n">
        <x:f>MIN(10,F561+E562)</x:f>
        <x:v>2</x:v>
      </x:c>
      <x:c r="G562" s="8" t="n">
        <x:f>MIN(F562,9)+1</x:f>
        <x:v>3</x:v>
      </x:c>
      <x:c r="H562" s="8" t="n">
        <x:f>IF(F562&lt;=9,1,0)</x:f>
        <x:v>1</x:v>
      </x:c>
      <x:c r="I562" s="9" t="n">
        <x:f>MIN(10,F561+IF(AR561&gt;0,MIN(1,AS561/AR561),1))</x:f>
        <x:v>2.2035295305349494</x:v>
      </x:c>
      <x:c r="J562" s="32" t="n">
        <x:f>INDEX(v01_FoodCap,G562)*Arch_FoodCap*EXP(v01_CapsByProject*SUMPRODUCT((Cap_Point&lt;=I562)*(Cap_Kind="Food")*Cap_Ln))</x:f>
        <x:v>60</x:v>
      </x:c>
      <x:c r="K562" s="32" t="n">
        <x:f>J562*MIN(1,v01_LeanBase*EXP(v01_CapsByProject*SUMPRODUCT((Cap_Point&lt;=I562)*(Cap_Kind="Lean")*Cap_Ln)))</x:f>
        <x:v>60</x:v>
      </x:c>
      <x:c r="L562" s="10" t="n">
        <x:f>INDEX(v01_HousingCap,G562)*EXP(v01_CapsByProject*SUMPRODUCT((Cap_Point&lt;=I562)*(Cap_Kind="Housing")*Cap_Ln))</x:f>
        <x:v>100</x:v>
      </x:c>
      <x:c r="M562" s="10" t="n">
        <x:f>INDEX(v01_GroupCap,G562)*v01_CohesionFactor*EXP(v01_CapsByProject*SUMPRODUCT((Cap_Point&lt;=I562)*(Cap_Kind="Group")*Cap_Ln))</x:f>
        <x:v>500</x:v>
      </x:c>
      <x:c r="N562" s="32" t="n">
        <x:f>MIN(J562,L562,M562)</x:f>
        <x:v>60</x:v>
      </x:c>
      <x:c r="O562" s="10" t="n">
        <x:f>AE561*N562</x:f>
        <x:v>180</x:v>
      </x:c>
      <x:c r="P562" s="9" t="n">
        <x:f>MIN(1,(AB561/(AE561*IF(v01_GroupInCrowding=1,N562,MIN(J562,L562))))^v01_CrowdingExp)</x:f>
        <x:v>0.1502617049978643</x:v>
      </x:c>
      <x:c r="Q562" s="9" t="n">
        <x:f>IF(D562=1,INDEX(v01_WinterMult,G562),1)</x:f>
        <x:v>1</x:v>
      </x:c>
      <x:c r="R562" s="9" t="n">
        <x:f>H562*Z561*v01_WomenShare*v01_BaseFertility*INDEX(v01_FertMult,G562)*Arch_Fertility*(1-P562)</x:f>
        <x:v>1.9138085123397992</x:v>
      </x:c>
      <x:c r="S562" s="9" t="n">
        <x:f>H562*Y561*INDEX(v01_MortChild,G562)/4*Q562</x:f>
        <x:v>0.5161136932695886</x:v>
      </x:c>
      <x:c r="T562" s="9" t="n">
        <x:f>H562*Z561*INDEX(v01_MortAdult,G562)*Arch_AdultMort/4*Q562</x:f>
        <x:v>0.16683206387243674</x:v>
      </x:c>
      <x:c r="U562" s="9" t="n">
        <x:f>H562*AA561*INDEX(v01_MortElder,G562)/4*Q562</x:f>
        <x:v>0.2913613863317748</x:v>
      </x:c>
      <x:c r="V562" s="9" t="n">
        <x:f>H562*MAX(0,AB561-O562)*v01_OvercapLoss</x:f>
        <x:v>0</x:v>
      </x:c>
      <x:c r="W562" s="9" t="n">
        <x:f>H562*Y561/(v01_ChildYears*4)</x:f>
        <x:v>1.0532932515705888</x:v>
      </x:c>
      <x:c r="X562" s="9" t="n">
        <x:f>H562*Z561/(v01_AdultYears*4)</x:f>
        <x:v>0.4484732899796686</x:v>
      </x:c>
      <x:c r="Y562" s="32" t="n">
        <x:f>Y561+R562-S562-W562-Y561*V562/AB561</x:f>
        <x:v>59.3288236554526</x:v>
      </x:c>
      <x:c r="Z562" s="32" t="n">
        <x:f>Z561+W562-X562-T562-Z561*V562/AB561</x:f>
        <x:v>56.048675855197395</x:v>
      </x:c>
      <x:c r="AA562" s="32" t="n">
        <x:f>AA561+X562-U562-AA561*V562/AB561</x:f>
        <x:v>16.806333979749308</x:v>
      </x:c>
      <x:c r="AB562" s="10" t="n">
        <x:f>Y562+Z562+AA562</x:f>
        <x:v>132.1838334903993</x:v>
      </x:c>
      <x:c r="AC562" s="8" t="n">
        <x:f>IF(AND(v01_WinterTrigger=1,D562=1,AB561/AE561&gt;=K562),1,0)</x:f>
        <x:v>0</x:v>
      </x:c>
      <x:c r="AD562" s="8" t="n">
        <x:f>H562*IF(AND(OR(AB561/AE561&gt;=v01_FissionTrigger*N562,AC562=1),AB561/AE561*v01_DaughterShare&gt;=v01_MinDaughter),MAX(1,ROUND(AE561*v01_FissionRate,0)),0)</x:f>
        <x:v>0</x:v>
      </x:c>
      <x:c r="AE562" s="8" t="n">
        <x:f>IF(H562=1,MAX(1,MIN(INDEX(v01_Smax,G562),AE561+AD562)),AE561)</x:f>
        <x:v>3</x:v>
      </x:c>
      <x:c r="AF562" s="8" t="n">
        <x:f>MAX(0,AE562-AE561)</x:f>
        <x:v>0</x:v>
      </x:c>
      <x:c r="AG562" s="9" t="str">
        <x:f>IF(AF562&gt;0,B562,"")</x:f>
      </x:c>
      <x:c r="AH562" s="9" t="n">
        <x:f>IF(F562&gt;=1,1,(1+v01_LowTiesShare*(AE562-1))/AE562)</x:f>
        <x:v>1</x:v>
      </x:c>
      <x:c r="AI562" s="32" t="n">
        <x:f>(Z562+v01_ElderCommons*INDEX(LM_Elder,G562)*AA562)*AH562</x:f>
        <x:v>106.46767779444531</x:v>
      </x:c>
      <x:c r="AJ562" s="32" t="n">
        <x:f>H562*v01_CommonsCoef*AI562^v01_CommonsExp*INDEX(LM_Commons,G562)</x:f>
        <x:v>34.888239090584285</x:v>
      </x:c>
      <x:c r="AK562" s="32" t="n">
        <x:f>H562*v01_RoleScale*Arch_Roles*(AE562*(INDEX(v01_ElderRolePerSett,G562)*v01_OutElder*INDEX(LM_Elder,G562)+INDEX(v01_ShamanPerSett,G562)*v01_OutShaman)+Z562*(INDEX(v01_PriestShare,G562)*v01_OutPriest+INDEX(v01_ScribeShare,G562)*v01_OutScribe*INDEX(LM_Scribe,G562)+INDEX(v01_ScholarShare,G562)*v01_OutScholar*INDEX(LM_Scholar,G562)+INDEX(v01_ResearcherShare,G562)*v01_OutResearcher*INDEX(LM_Researcher,G562)))</x:f>
        <x:v>9</x:v>
      </x:c>
      <x:c r="AL562" s="32" t="n">
        <x:f>H562*v01_RoleScale*Arch_Roles*AE562*INDEX(v01_MonasteryPerSett,G562)*v01_OutMonastery*INDEX(LM_Monastery,G562)</x:f>
        <x:v>0</x:v>
      </x:c>
      <x:c r="AM562" s="32" t="n">
        <x:f>(AJ562+AK562+AL562)/4*INDEX(LM_All,G562)*INDEX(v01_Boon,G562)*Arch_Insight</x:f>
        <x:v>11.527520298636277</x:v>
      </x:c>
      <x:c r="AN562" s="32" t="n">
        <x:f>H562*(v01_KHPerAdult*Z562+v01_KHOfCommons*AJ562/4*INDEX(LM_All,G562))*v01_KHUsable*Arch_KH</x:f>
        <x:v>1.961703654931909</x:v>
      </x:c>
      <x:c r="AO562" s="32" t="n">
        <x:f>MIN(AP561+AN562,AM562*v01_KHMaxRatio)</x:f>
        <x:v>1.961703654931909</x:v>
      </x:c>
      <x:c r="AP562" s="32" t="n">
        <x:f>AP561+AN562-AO562</x:f>
        <x:v>0</x:v>
      </x:c>
      <x:c r="AQ562" s="32" t="n">
        <x:f>AM562+AO562</x:f>
        <x:v>13.489223953568187</x:v>
      </x:c>
      <x:c r="AR562" s="10" t="n">
        <x:f>IF(H562=1,INDEX(v01_Req,G562),0)</x:f>
        <x:v>4006.9599999999996</x:v>
      </x:c>
      <x:c r="AS562" s="32" t="n">
        <x:f>IF(H562=1,IF(E562=1,AS561-AR561,AS561)+AQ562,0)</x:f>
        <x:v>829.0239116258889</x:v>
      </x:c>
      <x:c r="AT562" s="11" t="n">
        <x:f>IF(AR562&gt;0,MIN(1,AS562/AR562),1)</x:f>
        <x:v>0.2068959789031807</x:v>
      </x:c>
      <x:c r="AU562" s="10" t="n">
        <x:f>AB562/INDEX(v01_RepScale,G562)</x:f>
        <x:v>66.09191674519965</x:v>
      </x:c>
      <x:c r="AV562" s="32" t="n">
        <x:f>AM562*60/v01_SeasonSeconds</x:f>
        <x:v>46.11008119454511</x:v>
      </x:c>
    </x:row>
    <x:row r="563">
      <x:c r="A563" s="8" t="n">
        <x:f>A562+1</x:f>
        <x:v>560</x:v>
      </x:c>
      <x:c r="B563" s="9" t="n">
        <x:f>A563*v01_SeasonSeconds/60</x:f>
        <x:v>140</x:v>
      </x:c>
      <x:c r="C563" s="9" t="n">
        <x:f>A563/4</x:f>
        <x:v>140</x:v>
      </x:c>
      <x:c r="D563" s="8" t="n">
        <x:f>IF(MOD(A563,4)=0,1,0)</x:f>
        <x:v>1</x:v>
      </x:c>
      <x:c r="E563" s="8" t="n">
        <x:f>IF(AND(F562&lt;=9,AS562&gt;=AR562),1,0)</x:f>
        <x:v>0</x:v>
      </x:c>
      <x:c r="F563" s="8" t="n">
        <x:f>MIN(10,F562+E563)</x:f>
        <x:v>2</x:v>
      </x:c>
      <x:c r="G563" s="8" t="n">
        <x:f>MIN(F563,9)+1</x:f>
        <x:v>3</x:v>
      </x:c>
      <x:c r="H563" s="8" t="n">
        <x:f>IF(F563&lt;=9,1,0)</x:f>
        <x:v>1</x:v>
      </x:c>
      <x:c r="I563" s="9" t="n">
        <x:f>MIN(10,F562+IF(AR562&gt;0,MIN(1,AS562/AR562),1))</x:f>
        <x:v>2.2068959789031806</x:v>
      </x:c>
      <x:c r="J563" s="32" t="n">
        <x:f>INDEX(v01_FoodCap,G563)*Arch_FoodCap*EXP(v01_CapsByProject*SUMPRODUCT((Cap_Point&lt;=I563)*(Cap_Kind="Food")*Cap_Ln))</x:f>
        <x:v>60</x:v>
      </x:c>
      <x:c r="K563" s="32" t="n">
        <x:f>J563*MIN(1,v01_LeanBase*EXP(v01_CapsByProject*SUMPRODUCT((Cap_Point&lt;=I563)*(Cap_Kind="Lean")*Cap_Ln)))</x:f>
        <x:v>60</x:v>
      </x:c>
      <x:c r="L563" s="10" t="n">
        <x:f>INDEX(v01_HousingCap,G563)*EXP(v01_CapsByProject*SUMPRODUCT((Cap_Point&lt;=I563)*(Cap_Kind="Housing")*Cap_Ln))</x:f>
        <x:v>100</x:v>
      </x:c>
      <x:c r="M563" s="10" t="n">
        <x:f>INDEX(v01_GroupCap,G563)*v01_CohesionFactor*EXP(v01_CapsByProject*SUMPRODUCT((Cap_Point&lt;=I563)*(Cap_Kind="Group")*Cap_Ln))</x:f>
        <x:v>500</x:v>
      </x:c>
      <x:c r="N563" s="32" t="n">
        <x:f>MIN(J563,L563,M563)</x:f>
        <x:v>60</x:v>
      </x:c>
      <x:c r="O563" s="10" t="n">
        <x:f>AE562*N563</x:f>
        <x:v>180</x:v>
      </x:c>
      <x:c r="P563" s="9" t="n">
        <x:f>MIN(1,(AB562/(AE562*IF(v01_GroupInCrowding=1,N563,MIN(J563,L563))))^v01_CrowdingExp)</x:f>
        <x:v>0.15683212466869384</x:v>
      </x:c>
      <x:c r="Q563" s="9" t="n">
        <x:f>IF(D563=1,INDEX(v01_WinterMult,G563),1)</x:f>
        <x:v>1.3</x:v>
      </x:c>
      <x:c r="R563" s="9" t="n">
        <x:f>H563*Z562*v01_WomenShare*v01_BaseFertility*INDEX(v01_FertMult,G563)*Arch_Fertility*(1-P563)</x:f>
        <x:v>1.9139669389063747</x:v>
      </x:c>
      <x:c r="S563" s="9" t="n">
        <x:f>H563*Y562*INDEX(v01_MortChild,G563)/4*Q563</x:f>
        <x:v>0.6748653690807734</x:v>
      </x:c>
      <x:c r="T563" s="9" t="n">
        <x:f>H563*Z562*INDEX(v01_MortAdult,G563)*Arch_AdultMort/4*Q563</x:f>
        <x:v>0.21858983583526986</x:v>
      </x:c>
      <x:c r="U563" s="9" t="n">
        <x:f>H563*AA562*INDEX(v01_MortElder,G563)/4*Q563</x:f>
        <x:v>0.3823440980392968</x:v>
      </x:c>
      <x:c r="V563" s="9" t="n">
        <x:f>H563*MAX(0,AB562-O563)*v01_OvercapLoss</x:f>
        <x:v>0</x:v>
      </x:c>
      <x:c r="W563" s="9" t="n">
        <x:f>H563*Y562/(v01_ChildYears*4)</x:f>
        <x:v>1.0594432795616535</x:v>
      </x:c>
      <x:c r="X563" s="9" t="n">
        <x:f>H563*Z562/(v01_AdultYears*4)</x:f>
        <x:v>0.4520054504451403</x:v>
      </x:c>
      <x:c r="Y563" s="32" t="n">
        <x:f>Y562+R563-S563-W563-Y562*V563/AB562</x:f>
        <x:v>59.508481945716554</x:v>
      </x:c>
      <x:c r="Z563" s="32" t="n">
        <x:f>Z562+W563-X563-T563-Z562*V563/AB562</x:f>
        <x:v>56.43752384847864</x:v>
      </x:c>
      <x:c r="AA563" s="32" t="n">
        <x:f>AA562+X563-U563-AA562*V563/AB562</x:f>
        <x:v>16.87599533215515</x:v>
      </x:c>
      <x:c r="AB563" s="10" t="n">
        <x:f>Y563+Z563+AA563</x:f>
        <x:v>132.82200112635036</x:v>
      </x:c>
      <x:c r="AC563" s="8" t="n">
        <x:f>IF(AND(v01_WinterTrigger=1,D563=1,AB562/AE562&gt;=K563),1,0)</x:f>
        <x:v>0</x:v>
      </x:c>
      <x:c r="AD563" s="8" t="n">
        <x:f>H563*IF(AND(OR(AB562/AE562&gt;=v01_FissionTrigger*N563,AC563=1),AB562/AE562*v01_DaughterShare&gt;=v01_MinDaughter),MAX(1,ROUND(AE562*v01_FissionRate,0)),0)</x:f>
        <x:v>0</x:v>
      </x:c>
      <x:c r="AE563" s="8" t="n">
        <x:f>IF(H563=1,MAX(1,MIN(INDEX(v01_Smax,G563),AE562+AD563)),AE562)</x:f>
        <x:v>3</x:v>
      </x:c>
      <x:c r="AF563" s="8" t="n">
        <x:f>MAX(0,AE563-AE562)</x:f>
        <x:v>0</x:v>
      </x:c>
      <x:c r="AG563" s="9" t="str">
        <x:f>IF(AF563&gt;0,B563,"")</x:f>
      </x:c>
      <x:c r="AH563" s="9" t="n">
        <x:f>IF(F563&gt;=1,1,(1+v01_LowTiesShare*(AE563-1))/AE563)</x:f>
        <x:v>1</x:v>
      </x:c>
      <x:c r="AI563" s="32" t="n">
        <x:f>(Z563+v01_ElderCommons*INDEX(LM_Elder,G563)*AA563)*AH563</x:f>
        <x:v>107.06550984494409</x:v>
      </x:c>
      <x:c r="AJ563" s="32" t="n">
        <x:f>H563*v01_CommonsCoef*AI563^v01_CommonsExp*INDEX(LM_Commons,G563)</x:f>
        <x:v>35.05468642532881</x:v>
      </x:c>
      <x:c r="AK563" s="32" t="n">
        <x:f>H563*v01_RoleScale*Arch_Roles*(AE563*(INDEX(v01_ElderRolePerSett,G563)*v01_OutElder*INDEX(LM_Elder,G563)+INDEX(v01_ShamanPerSett,G563)*v01_OutShaman)+Z563*(INDEX(v01_PriestShare,G563)*v01_OutPriest+INDEX(v01_ScribeShare,G563)*v01_OutScribe*INDEX(LM_Scribe,G563)+INDEX(v01_ScholarShare,G563)*v01_OutScholar*INDEX(LM_Scholar,G563)+INDEX(v01_ResearcherShare,G563)*v01_OutResearcher*INDEX(LM_Researcher,G563)))</x:f>
        <x:v>9</x:v>
      </x:c>
      <x:c r="AL563" s="32" t="n">
        <x:f>H563*v01_RoleScale*Arch_Roles*AE563*INDEX(v01_MonasteryPerSett,G563)*v01_OutMonastery*INDEX(LM_Monastery,G563)</x:f>
        <x:v>0</x:v>
      </x:c>
      <x:c r="AM563" s="32" t="n">
        <x:f>(AJ563+AK563+AL563)/4*INDEX(LM_All,G563)*INDEX(v01_Boon,G563)*Arch_Insight</x:f>
        <x:v>11.571238731402769</x:v>
      </x:c>
      <x:c r="AN563" s="32" t="n">
        <x:f>H563*(v01_KHPerAdult*Z563+v01_KHOfCommons*AJ563/4*INDEX(LM_All,G563))*v01_KHUsable*Arch_KH</x:f>
        <x:v>1.9753133346967526</x:v>
      </x:c>
      <x:c r="AO563" s="32" t="n">
        <x:f>MIN(AP562+AN563,AM563*v01_KHMaxRatio)</x:f>
        <x:v>1.9753133346967526</x:v>
      </x:c>
      <x:c r="AP563" s="32" t="n">
        <x:f>AP562+AN563-AO563</x:f>
        <x:v>0</x:v>
      </x:c>
      <x:c r="AQ563" s="32" t="n">
        <x:f>AM563+AO563</x:f>
        <x:v>13.54655206609952</x:v>
      </x:c>
      <x:c r="AR563" s="10" t="n">
        <x:f>IF(H563=1,INDEX(v01_Req,G563),0)</x:f>
        <x:v>4006.9599999999996</x:v>
      </x:c>
      <x:c r="AS563" s="32" t="n">
        <x:f>IF(H563=1,IF(E563=1,AS562-AR562,AS562)+AQ563,0)</x:f>
        <x:v>842.5704636919884</x:v>
      </x:c>
      <x:c r="AT563" s="11" t="n">
        <x:f>IF(AR563&gt;0,MIN(1,AS563/AR563),1)</x:f>
        <x:v>0.2102767344051322</x:v>
      </x:c>
      <x:c r="AU563" s="10" t="n">
        <x:f>AB563/INDEX(v01_RepScale,G563)</x:f>
        <x:v>66.41100056317518</x:v>
      </x:c>
      <x:c r="AV563" s="32" t="n">
        <x:f>AM563*60/v01_SeasonSeconds</x:f>
        <x:v>46.284954925611075</x:v>
      </x:c>
    </x:row>
    <x:row r="564">
      <x:c r="A564" s="8" t="n">
        <x:f>A563+1</x:f>
        <x:v>561</x:v>
      </x:c>
      <x:c r="B564" s="9" t="n">
        <x:f>A564*v01_SeasonSeconds/60</x:f>
        <x:v>140.25</x:v>
      </x:c>
      <x:c r="C564" s="9" t="n">
        <x:f>A564/4</x:f>
        <x:v>140.25</x:v>
      </x:c>
      <x:c r="D564" s="8" t="n">
        <x:f>IF(MOD(A564,4)=0,1,0)</x:f>
        <x:v>0</x:v>
      </x:c>
      <x:c r="E564" s="8" t="n">
        <x:f>IF(AND(F563&lt;=9,AS563&gt;=AR563),1,0)</x:f>
        <x:v>0</x:v>
      </x:c>
      <x:c r="F564" s="8" t="n">
        <x:f>MIN(10,F563+E564)</x:f>
        <x:v>2</x:v>
      </x:c>
      <x:c r="G564" s="8" t="n">
        <x:f>MIN(F564,9)+1</x:f>
        <x:v>3</x:v>
      </x:c>
      <x:c r="H564" s="8" t="n">
        <x:f>IF(F564&lt;=9,1,0)</x:f>
        <x:v>1</x:v>
      </x:c>
      <x:c r="I564" s="9" t="n">
        <x:f>MIN(10,F563+IF(AR563&gt;0,MIN(1,AS563/AR563),1))</x:f>
        <x:v>2.210276734405132</x:v>
      </x:c>
      <x:c r="J564" s="32" t="n">
        <x:f>INDEX(v01_FoodCap,G564)*Arch_FoodCap*EXP(v01_CapsByProject*SUMPRODUCT((Cap_Point&lt;=I564)*(Cap_Kind="Food")*Cap_Ln))</x:f>
        <x:v>60</x:v>
      </x:c>
      <x:c r="K564" s="32" t="n">
        <x:f>J564*MIN(1,v01_LeanBase*EXP(v01_CapsByProject*SUMPRODUCT((Cap_Point&lt;=I564)*(Cap_Kind="Lean")*Cap_Ln)))</x:f>
        <x:v>60</x:v>
      </x:c>
      <x:c r="L564" s="10" t="n">
        <x:f>INDEX(v01_HousingCap,G564)*EXP(v01_CapsByProject*SUMPRODUCT((Cap_Point&lt;=I564)*(Cap_Kind="Housing")*Cap_Ln))</x:f>
        <x:v>100</x:v>
      </x:c>
      <x:c r="M564" s="10" t="n">
        <x:f>INDEX(v01_GroupCap,G564)*v01_CohesionFactor*EXP(v01_CapsByProject*SUMPRODUCT((Cap_Point&lt;=I564)*(Cap_Kind="Group")*Cap_Ln))</x:f>
        <x:v>500</x:v>
      </x:c>
      <x:c r="N564" s="32" t="n">
        <x:f>MIN(J564,L564,M564)</x:f>
        <x:v>60</x:v>
      </x:c>
      <x:c r="O564" s="10" t="n">
        <x:f>AE563*N564</x:f>
        <x:v>180</x:v>
      </x:c>
      <x:c r="P564" s="9" t="n">
        <x:f>MIN(1,(AB563/(AE563*IF(v01_GroupInCrowding=1,N564,MIN(J564,L564))))^v01_CrowdingExp)</x:f>
        <x:v>0.1614303112674785</x:v>
      </x:c>
      <x:c r="Q564" s="9" t="n">
        <x:f>IF(D564=1,INDEX(v01_WinterMult,G564),1)</x:f>
        <x:v>1</x:v>
      </x:c>
      <x:c r="R564" s="9" t="n">
        <x:f>H564*Z563*v01_WomenShare*v01_BaseFertility*INDEX(v01_FertMult,G564)*Arch_Fertility*(1-P564)</x:f>
        <x:v>1.916735270661346</x:v>
      </x:c>
      <x:c r="S564" s="9" t="n">
        <x:f>H564*Y563*INDEX(v01_MortChild,G564)/4*Q564</x:f>
        <x:v>0.5206992170250199</x:v>
      </x:c>
      <x:c r="T564" s="9" t="n">
        <x:f>H564*Z563*INDEX(v01_MortAdult,G564)*Arch_AdultMort/4*Q564</x:f>
        <x:v>0.1693125715454359</x:v>
      </x:c>
      <x:c r="U564" s="9" t="n">
        <x:f>H564*AA563*INDEX(v01_MortElder,G564)/4*Q564</x:f>
        <x:v>0.29532991831271516</x:v>
      </x:c>
      <x:c r="V564" s="9" t="n">
        <x:f>H564*MAX(0,AB563-O564)*v01_OvercapLoss</x:f>
        <x:v>0</x:v>
      </x:c>
      <x:c r="W564" s="9" t="n">
        <x:f>H564*Y563/(v01_ChildYears*4)</x:f>
        <x:v>1.062651463316367</x:v>
      </x:c>
      <x:c r="X564" s="9" t="n">
        <x:f>H564*Z563/(v01_AdultYears*4)</x:f>
        <x:v>0.4551413213586987</x:v>
      </x:c>
      <x:c r="Y564" s="32" t="n">
        <x:f>Y563+R564-S564-W564-Y563*V564/AB563</x:f>
        <x:v>59.84186653603652</x:v>
      </x:c>
      <x:c r="Z564" s="32" t="n">
        <x:f>Z563+W564-X564-T564-Z563*V564/AB563</x:f>
        <x:v>56.875721418890876</x:v>
      </x:c>
      <x:c r="AA564" s="32" t="n">
        <x:f>AA563+X564-U564-AA563*V564/AB563</x:f>
        <x:v>17.035806735201135</x:v>
      </x:c>
      <x:c r="AB564" s="10" t="n">
        <x:f>Y564+Z564+AA564</x:f>
        <x:v>133.75339469012852</x:v>
      </x:c>
      <x:c r="AC564" s="8" t="n">
        <x:f>IF(AND(v01_WinterTrigger=1,D564=1,AB563/AE563&gt;=K564),1,0)</x:f>
        <x:v>0</x:v>
      </x:c>
      <x:c r="AD564" s="8" t="n">
        <x:f>H564*IF(AND(OR(AB563/AE563&gt;=v01_FissionTrigger*N564,AC564=1),AB563/AE563*v01_DaughterShare&gt;=v01_MinDaughter),MAX(1,ROUND(AE563*v01_FissionRate,0)),0)</x:f>
        <x:v>0</x:v>
      </x:c>
      <x:c r="AE564" s="8" t="n">
        <x:f>IF(H564=1,MAX(1,MIN(INDEX(v01_Smax,G564),AE563+AD564)),AE563)</x:f>
        <x:v>3</x:v>
      </x:c>
      <x:c r="AF564" s="8" t="n">
        <x:f>MAX(0,AE564-AE563)</x:f>
        <x:v>0</x:v>
      </x:c>
      <x:c r="AG564" s="9" t="str">
        <x:f>IF(AF564&gt;0,B564,"")</x:f>
      </x:c>
      <x:c r="AH564" s="9" t="n">
        <x:f>IF(F564&gt;=1,1,(1+v01_LowTiesShare*(AE564-1))/AE564)</x:f>
        <x:v>1</x:v>
      </x:c>
      <x:c r="AI564" s="32" t="n">
        <x:f>(Z564+v01_ElderCommons*INDEX(LM_Elder,G564)*AA564)*AH564</x:f>
        <x:v>107.98314162449428</x:v>
      </x:c>
      <x:c r="AJ564" s="32" t="n">
        <x:f>H564*v01_CommonsCoef*AI564^v01_CommonsExp*INDEX(LM_Commons,G564)</x:f>
        <x:v>35.3099010310791</x:v>
      </x:c>
      <x:c r="AK564" s="32" t="n">
        <x:f>H564*v01_RoleScale*Arch_Roles*(AE564*(INDEX(v01_ElderRolePerSett,G564)*v01_OutElder*INDEX(LM_Elder,G564)+INDEX(v01_ShamanPerSett,G564)*v01_OutShaman)+Z564*(INDEX(v01_PriestShare,G564)*v01_OutPriest+INDEX(v01_ScribeShare,G564)*v01_OutScribe*INDEX(LM_Scribe,G564)+INDEX(v01_ScholarShare,G564)*v01_OutScholar*INDEX(LM_Scholar,G564)+INDEX(v01_ResearcherShare,G564)*v01_OutResearcher*INDEX(LM_Researcher,G564)))</x:f>
        <x:v>9</x:v>
      </x:c>
      <x:c r="AL564" s="32" t="n">
        <x:f>H564*v01_RoleScale*Arch_Roles*AE564*INDEX(v01_MonasteryPerSett,G564)*v01_OutMonastery*INDEX(LM_Monastery,G564)</x:f>
        <x:v>0</x:v>
      </x:c>
      <x:c r="AM564" s="32" t="n">
        <x:f>(AJ564+AK564+AL564)/4*INDEX(LM_All,G564)*INDEX(v01_Boon,G564)*Arch_Insight</x:f>
        <x:v>11.638272442694369</x:v>
      </x:c>
      <x:c r="AN564" s="32" t="n">
        <x:f>H564*(v01_KHPerAdult*Z564+v01_KHOfCommons*AJ564/4*INDEX(LM_All,G564))*v01_KHUsable*Arch_KH</x:f>
        <x:v>1.9906502496611809</x:v>
      </x:c>
      <x:c r="AO564" s="32" t="n">
        <x:f>MIN(AP563+AN564,AM564*v01_KHMaxRatio)</x:f>
        <x:v>1.9906502496611809</x:v>
      </x:c>
      <x:c r="AP564" s="32" t="n">
        <x:f>AP563+AN564-AO564</x:f>
        <x:v>0</x:v>
      </x:c>
      <x:c r="AQ564" s="32" t="n">
        <x:f>AM564+AO564</x:f>
        <x:v>13.62892269235555</x:v>
      </x:c>
      <x:c r="AR564" s="10" t="n">
        <x:f>IF(H564=1,INDEX(v01_Req,G564),0)</x:f>
        <x:v>4006.9599999999996</x:v>
      </x:c>
      <x:c r="AS564" s="32" t="n">
        <x:f>IF(H564=1,IF(E564=1,AS563-AR563,AS563)+AQ564,0)</x:f>
        <x:v>856.1993863843439</x:v>
      </x:c>
      <x:c r="AT564" s="11" t="n">
        <x:f>IF(AR564&gt;0,MIN(1,AS564/AR564),1)</x:f>
        <x:v>0.2136780467946633</x:v>
      </x:c>
      <x:c r="AU564" s="10" t="n">
        <x:f>AB564/INDEX(v01_RepScale,G564)</x:f>
        <x:v>66.87669734506426</x:v>
      </x:c>
      <x:c r="AV564" s="32" t="n">
        <x:f>AM564*60/v01_SeasonSeconds</x:f>
        <x:v>46.553089770777476</x:v>
      </x:c>
    </x:row>
    <x:row r="565">
      <x:c r="A565" s="8" t="n">
        <x:f>A564+1</x:f>
        <x:v>562</x:v>
      </x:c>
      <x:c r="B565" s="9" t="n">
        <x:f>A565*v01_SeasonSeconds/60</x:f>
        <x:v>140.5</x:v>
      </x:c>
      <x:c r="C565" s="9" t="n">
        <x:f>A565/4</x:f>
        <x:v>140.5</x:v>
      </x:c>
      <x:c r="D565" s="8" t="n">
        <x:f>IF(MOD(A565,4)=0,1,0)</x:f>
        <x:v>0</x:v>
      </x:c>
      <x:c r="E565" s="8" t="n">
        <x:f>IF(AND(F564&lt;=9,AS564&gt;=AR564),1,0)</x:f>
        <x:v>0</x:v>
      </x:c>
      <x:c r="F565" s="8" t="n">
        <x:f>MIN(10,F564+E565)</x:f>
        <x:v>2</x:v>
      </x:c>
      <x:c r="G565" s="8" t="n">
        <x:f>MIN(F565,9)+1</x:f>
        <x:v>3</x:v>
      </x:c>
      <x:c r="H565" s="8" t="n">
        <x:f>IF(F565&lt;=9,1,0)</x:f>
        <x:v>1</x:v>
      </x:c>
      <x:c r="I565" s="9" t="n">
        <x:f>MIN(10,F564+IF(AR564&gt;0,MIN(1,AS564/AR564),1))</x:f>
        <x:v>2.213678046794663</x:v>
      </x:c>
      <x:c r="J565" s="32" t="n">
        <x:f>INDEX(v01_FoodCap,G565)*Arch_FoodCap*EXP(v01_CapsByProject*SUMPRODUCT((Cap_Point&lt;=I565)*(Cap_Kind="Food")*Cap_Ln))</x:f>
        <x:v>60</x:v>
      </x:c>
      <x:c r="K565" s="32" t="n">
        <x:f>J565*MIN(1,v01_LeanBase*EXP(v01_CapsByProject*SUMPRODUCT((Cap_Point&lt;=I565)*(Cap_Kind="Lean")*Cap_Ln)))</x:f>
        <x:v>60</x:v>
      </x:c>
      <x:c r="L565" s="10" t="n">
        <x:f>INDEX(v01_HousingCap,G565)*EXP(v01_CapsByProject*SUMPRODUCT((Cap_Point&lt;=I565)*(Cap_Kind="Housing")*Cap_Ln))</x:f>
        <x:v>100</x:v>
      </x:c>
      <x:c r="M565" s="10" t="n">
        <x:f>INDEX(v01_GroupCap,G565)*v01_CohesionFactor*EXP(v01_CapsByProject*SUMPRODUCT((Cap_Point&lt;=I565)*(Cap_Kind="Group")*Cap_Ln))</x:f>
        <x:v>500</x:v>
      </x:c>
      <x:c r="N565" s="32" t="n">
        <x:f>MIN(J565,L565,M565)</x:f>
        <x:v>60</x:v>
      </x:c>
      <x:c r="O565" s="10" t="n">
        <x:f>AE564*N565</x:f>
        <x:v>180</x:v>
      </x:c>
      <x:c r="P565" s="9" t="n">
        <x:f>MIN(1,(AB564/(AE564*IF(v01_GroupInCrowding=1,N565,MIN(J565,L565))))^v01_CrowdingExp)</x:f>
        <x:v>0.16834252978981268</x:v>
      </x:c>
      <x:c r="Q565" s="9" t="n">
        <x:f>IF(D565=1,INDEX(v01_WinterMult,G565),1)</x:f>
        <x:v>1</x:v>
      </x:c>
      <x:c r="R565" s="9" t="n">
        <x:f>H565*Z564*v01_WomenShare*v01_BaseFertility*INDEX(v01_FertMult,G565)*Arch_Fertility*(1-P565)</x:f>
        <x:v>1.9156953029603732</x:v>
      </x:c>
      <x:c r="S565" s="9" t="n">
        <x:f>H565*Y564*INDEX(v01_MortChild,G565)/4*Q565</x:f>
        <x:v>0.5236163321903196</x:v>
      </x:c>
      <x:c r="T565" s="9" t="n">
        <x:f>H565*Z564*INDEX(v01_MortAdult,G565)*Arch_AdultMort/4*Q565</x:f>
        <x:v>0.17062716425667263</x:v>
      </x:c>
      <x:c r="U565" s="9" t="n">
        <x:f>H565*AA564*INDEX(v01_MortElder,G565)/4*Q565</x:f>
        <x:v>0.2981266178660199</x:v>
      </x:c>
      <x:c r="V565" s="9" t="n">
        <x:f>H565*MAX(0,AB564-O565)*v01_OvercapLoss</x:f>
        <x:v>0</x:v>
      </x:c>
      <x:c r="W565" s="9" t="n">
        <x:f>H565*Y564/(v01_ChildYears*4)</x:f>
        <x:v>1.0686047595720807</x:v>
      </x:c>
      <x:c r="X565" s="9" t="n">
        <x:f>H565*Z564/(v01_AdultYears*4)</x:f>
        <x:v>0.4586751727329909</x:v>
      </x:c>
      <x:c r="Y565" s="32" t="n">
        <x:f>Y564+R565-S565-W565-Y564*V565/AB564</x:f>
        <x:v>60.16534074723449</x:v>
      </x:c>
      <x:c r="Z565" s="32" t="n">
        <x:f>Z564+W565-X565-T565-Z564*V565/AB564</x:f>
        <x:v>57.3150238414733</x:v>
      </x:c>
      <x:c r="AA565" s="32" t="n">
        <x:f>AA564+X565-U565-AA564*V565/AB564</x:f>
        <x:v>17.196355290068105</x:v>
      </x:c>
      <x:c r="AB565" s="10" t="n">
        <x:f>Y565+Z565+AA565</x:f>
        <x:v>134.67671987877588</x:v>
      </x:c>
      <x:c r="AC565" s="8" t="n">
        <x:f>IF(AND(v01_WinterTrigger=1,D565=1,AB564/AE564&gt;=K565),1,0)</x:f>
        <x:v>0</x:v>
      </x:c>
      <x:c r="AD565" s="8" t="n">
        <x:f>H565*IF(AND(OR(AB564/AE564&gt;=v01_FissionTrigger*N565,AC565=1),AB564/AE564*v01_DaughterShare&gt;=v01_MinDaughter),MAX(1,ROUND(AE564*v01_FissionRate,0)),0)</x:f>
        <x:v>0</x:v>
      </x:c>
      <x:c r="AE565" s="8" t="n">
        <x:f>IF(H565=1,MAX(1,MIN(INDEX(v01_Smax,G565),AE564+AD565)),AE564)</x:f>
        <x:v>3</x:v>
      </x:c>
      <x:c r="AF565" s="8" t="n">
        <x:f>MAX(0,AE565-AE564)</x:f>
        <x:v>0</x:v>
      </x:c>
      <x:c r="AG565" s="9" t="str">
        <x:f>IF(AF565&gt;0,B565,"")</x:f>
      </x:c>
      <x:c r="AH565" s="9" t="n">
        <x:f>IF(F565&gt;=1,1,(1+v01_LowTiesShare*(AE565-1))/AE565)</x:f>
        <x:v>1</x:v>
      </x:c>
      <x:c r="AI565" s="32" t="n">
        <x:f>(Z565+v01_ElderCommons*INDEX(LM_Elder,G565)*AA565)*AH565</x:f>
        <x:v>108.90408971167761</x:v>
      </x:c>
      <x:c r="AJ565" s="32" t="n">
        <x:f>H565*v01_CommonsCoef*AI565^v01_CommonsExp*INDEX(LM_Commons,G565)</x:f>
        <x:v>35.56571110205477</x:v>
      </x:c>
      <x:c r="AK565" s="32" t="n">
        <x:f>H565*v01_RoleScale*Arch_Roles*(AE565*(INDEX(v01_ElderRolePerSett,G565)*v01_OutElder*INDEX(LM_Elder,G565)+INDEX(v01_ShamanPerSett,G565)*v01_OutShaman)+Z565*(INDEX(v01_PriestShare,G565)*v01_OutPriest+INDEX(v01_ScribeShare,G565)*v01_OutScribe*INDEX(LM_Scribe,G565)+INDEX(v01_ScholarShare,G565)*v01_OutScholar*INDEX(LM_Scholar,G565)+INDEX(v01_ResearcherShare,G565)*v01_OutResearcher*INDEX(LM_Researcher,G565)))</x:f>
        <x:v>9</x:v>
      </x:c>
      <x:c r="AL565" s="32" t="n">
        <x:f>H565*v01_RoleScale*Arch_Roles*AE565*INDEX(v01_MonasteryPerSett,G565)*v01_OutMonastery*INDEX(LM_Monastery,G565)</x:f>
        <x:v>0</x:v>
      </x:c>
      <x:c r="AM565" s="32" t="n">
        <x:f>(AJ565+AK565+AL565)/4*INDEX(LM_All,G565)*INDEX(v01_Boon,G565)*Arch_Insight</x:f>
        <x:v>11.705462556649072</x:v>
      </x:c>
      <x:c r="AN565" s="32" t="n">
        <x:f>H565*(v01_KHPerAdult*Z565+v01_KHOfCommons*AJ565/4*INDEX(LM_All,G565))*v01_KHUsable*Arch_KH</x:f>
        <x:v>2.0060258344515653</x:v>
      </x:c>
      <x:c r="AO565" s="32" t="n">
        <x:f>MIN(AP564+AN565,AM565*v01_KHMaxRatio)</x:f>
        <x:v>2.0060258344515653</x:v>
      </x:c>
      <x:c r="AP565" s="32" t="n">
        <x:f>AP564+AN565-AO565</x:f>
        <x:v>0</x:v>
      </x:c>
      <x:c r="AQ565" s="32" t="n">
        <x:f>AM565+AO565</x:f>
        <x:v>13.711488391100637</x:v>
      </x:c>
      <x:c r="AR565" s="10" t="n">
        <x:f>IF(H565=1,INDEX(v01_Req,G565),0)</x:f>
        <x:v>4006.9599999999996</x:v>
      </x:c>
      <x:c r="AS565" s="32" t="n">
        <x:f>IF(H565=1,IF(E565=1,AS564-AR564,AS564)+AQ565,0)</x:f>
        <x:v>869.9108747754445</x:v>
      </x:c>
      <x:c r="AT565" s="11" t="n">
        <x:f>IF(AR565&gt;0,MIN(1,AS565/AR565),1)</x:f>
        <x:v>0.21709996475518714</x:v>
      </x:c>
      <x:c r="AU565" s="10" t="n">
        <x:f>AB565/INDEX(v01_RepScale,G565)</x:f>
        <x:v>67.33835993938794</x:v>
      </x:c>
      <x:c r="AV565" s="32" t="n">
        <x:f>AM565*60/v01_SeasonSeconds</x:f>
        <x:v>46.82185022659629</x:v>
      </x:c>
    </x:row>
    <x:row r="566">
      <x:c r="A566" s="8" t="n">
        <x:f>A565+1</x:f>
        <x:v>563</x:v>
      </x:c>
      <x:c r="B566" s="9" t="n">
        <x:f>A566*v01_SeasonSeconds/60</x:f>
        <x:v>140.75</x:v>
      </x:c>
      <x:c r="C566" s="9" t="n">
        <x:f>A566/4</x:f>
        <x:v>140.75</x:v>
      </x:c>
      <x:c r="D566" s="8" t="n">
        <x:f>IF(MOD(A566,4)=0,1,0)</x:f>
        <x:v>0</x:v>
      </x:c>
      <x:c r="E566" s="8" t="n">
        <x:f>IF(AND(F565&lt;=9,AS565&gt;=AR565),1,0)</x:f>
        <x:v>0</x:v>
      </x:c>
      <x:c r="F566" s="8" t="n">
        <x:f>MIN(10,F565+E566)</x:f>
        <x:v>2</x:v>
      </x:c>
      <x:c r="G566" s="8" t="n">
        <x:f>MIN(F566,9)+1</x:f>
        <x:v>3</x:v>
      </x:c>
      <x:c r="H566" s="8" t="n">
        <x:f>IF(F566&lt;=9,1,0)</x:f>
        <x:v>1</x:v>
      </x:c>
      <x:c r="I566" s="9" t="n">
        <x:f>MIN(10,F565+IF(AR565&gt;0,MIN(1,AS565/AR565),1))</x:f>
        <x:v>2.217099964755187</x:v>
      </x:c>
      <x:c r="J566" s="32" t="n">
        <x:f>INDEX(v01_FoodCap,G566)*Arch_FoodCap*EXP(v01_CapsByProject*SUMPRODUCT((Cap_Point&lt;=I566)*(Cap_Kind="Food")*Cap_Ln))</x:f>
        <x:v>60</x:v>
      </x:c>
      <x:c r="K566" s="32" t="n">
        <x:f>J566*MIN(1,v01_LeanBase*EXP(v01_CapsByProject*SUMPRODUCT((Cap_Point&lt;=I566)*(Cap_Kind="Lean")*Cap_Ln)))</x:f>
        <x:v>60</x:v>
      </x:c>
      <x:c r="L566" s="10" t="n">
        <x:f>INDEX(v01_HousingCap,G566)*EXP(v01_CapsByProject*SUMPRODUCT((Cap_Point&lt;=I566)*(Cap_Kind="Housing")*Cap_Ln))</x:f>
        <x:v>100</x:v>
      </x:c>
      <x:c r="M566" s="10" t="n">
        <x:f>INDEX(v01_GroupCap,G566)*v01_CohesionFactor*EXP(v01_CapsByProject*SUMPRODUCT((Cap_Point&lt;=I566)*(Cap_Kind="Group")*Cap_Ln))</x:f>
        <x:v>500</x:v>
      </x:c>
      <x:c r="N566" s="32" t="n">
        <x:f>MIN(J566,L566,M566)</x:f>
        <x:v>60</x:v>
      </x:c>
      <x:c r="O566" s="10" t="n">
        <x:f>AE565*N566</x:f>
        <x:v>180</x:v>
      </x:c>
      <x:c r="P566" s="9" t="n">
        <x:f>MIN(1,(AB565/(AE565*IF(v01_GroupInCrowding=1,N566,MIN(J566,L566))))^v01_CrowdingExp)</x:f>
        <x:v>0.1754365796484885</x:v>
      </x:c>
      <x:c r="Q566" s="9" t="n">
        <x:f>IF(D566=1,INDEX(v01_WinterMult,G566),1)</x:f>
        <x:v>1</x:v>
      </x:c>
      <x:c r="R566" s="9" t="n">
        <x:f>H566*Z565*v01_WomenShare*v01_BaseFertility*INDEX(v01_FertMult,G566)*Arch_Fertility*(1-P566)</x:f>
        <x:v>1.9140248198982732</x:v>
      </x:c>
      <x:c r="S566" s="9" t="n">
        <x:f>H566*Y565*INDEX(v01_MortChild,G566)/4*Q566</x:f>
        <x:v>0.5264467315383018</x:v>
      </x:c>
      <x:c r="T566" s="9" t="n">
        <x:f>H566*Z565*INDEX(v01_MortAdult,G566)*Arch_AdultMort/4*Q566</x:f>
        <x:v>0.1719450715244199</x:v>
      </x:c>
      <x:c r="U566" s="9" t="n">
        <x:f>H566*AA565*INDEX(v01_MortElder,G566)/4*Q566</x:f>
        <x:v>0.3009362175761919</x:v>
      </x:c>
      <x:c r="V566" s="9" t="n">
        <x:f>H566*MAX(0,AB565-O566)*v01_OvercapLoss</x:f>
        <x:v>0</x:v>
      </x:c>
      <x:c r="W566" s="9" t="n">
        <x:f>H566*Y565/(v01_ChildYears*4)</x:f>
        <x:v>1.0743810847720445</x:v>
      </x:c>
      <x:c r="X566" s="9" t="n">
        <x:f>H566*Z565/(v01_AdultYears*4)</x:f>
        <x:v>0.46221793420542984</x:v>
      </x:c>
      <x:c r="Y566" s="32" t="n">
        <x:f>Y565+R566-S566-W566-Y565*V566/AB565</x:f>
        <x:v>60.47853775082242</x:v>
      </x:c>
      <x:c r="Z566" s="32" t="n">
        <x:f>Z565+W566-X566-T566-Z565*V566/AB565</x:f>
        <x:v>57.755241920515495</x:v>
      </x:c>
      <x:c r="AA566" s="32" t="n">
        <x:f>AA565+X566-U566-AA565*V566/AB565</x:f>
        <x:v>17.35763700669734</x:v>
      </x:c>
      <x:c r="AB566" s="10" t="n">
        <x:f>Y566+Z566+AA566</x:f>
        <x:v>135.59141667803524</x:v>
      </x:c>
      <x:c r="AC566" s="8" t="n">
        <x:f>IF(AND(v01_WinterTrigger=1,D566=1,AB565/AE565&gt;=K566),1,0)</x:f>
        <x:v>0</x:v>
      </x:c>
      <x:c r="AD566" s="8" t="n">
        <x:f>H566*IF(AND(OR(AB565/AE565&gt;=v01_FissionTrigger*N566,AC566=1),AB565/AE565*v01_DaughterShare&gt;=v01_MinDaughter),MAX(1,ROUND(AE565*v01_FissionRate,0)),0)</x:f>
        <x:v>0</x:v>
      </x:c>
      <x:c r="AE566" s="8" t="n">
        <x:f>IF(H566=1,MAX(1,MIN(INDEX(v01_Smax,G566),AE565+AD566)),AE565)</x:f>
        <x:v>3</x:v>
      </x:c>
      <x:c r="AF566" s="8" t="n">
        <x:f>MAX(0,AE566-AE565)</x:f>
        <x:v>0</x:v>
      </x:c>
      <x:c r="AG566" s="9" t="str">
        <x:f>IF(AF566&gt;0,B566,"")</x:f>
      </x:c>
      <x:c r="AH566" s="9" t="n">
        <x:f>IF(F566&gt;=1,1,(1+v01_LowTiesShare*(AE566-1))/AE566)</x:f>
        <x:v>1</x:v>
      </x:c>
      <x:c r="AI566" s="32" t="n">
        <x:f>(Z566+v01_ElderCommons*INDEX(LM_Elder,G566)*AA566)*AH566</x:f>
        <x:v>109.82815294060751</x:v>
      </x:c>
      <x:c r="AJ566" s="32" t="n">
        <x:f>H566*v01_CommonsCoef*AI566^v01_CommonsExp*INDEX(LM_Commons,G566)</x:f>
        <x:v>35.822060529258714</x:v>
      </x:c>
      <x:c r="AK566" s="32" t="n">
        <x:f>H566*v01_RoleScale*Arch_Roles*(AE566*(INDEX(v01_ElderRolePerSett,G566)*v01_OutElder*INDEX(LM_Elder,G566)+INDEX(v01_ShamanPerSett,G566)*v01_OutShaman)+Z566*(INDEX(v01_PriestShare,G566)*v01_OutPriest+INDEX(v01_ScribeShare,G566)*v01_OutScribe*INDEX(LM_Scribe,G566)+INDEX(v01_ScholarShare,G566)*v01_OutScholar*INDEX(LM_Scholar,G566)+INDEX(v01_ResearcherShare,G566)*v01_OutResearcher*INDEX(LM_Researcher,G566)))</x:f>
        <x:v>9</x:v>
      </x:c>
      <x:c r="AL566" s="32" t="n">
        <x:f>H566*v01_RoleScale*Arch_Roles*AE566*INDEX(v01_MonasteryPerSett,G566)*v01_OutMonastery*INDEX(LM_Monastery,G566)</x:f>
        <x:v>0</x:v>
      </x:c>
      <x:c r="AM566" s="32" t="n">
        <x:f>(AJ566+AK566+AL566)/4*INDEX(LM_All,G566)*INDEX(v01_Boon,G566)*Arch_Insight</x:f>
        <x:v>11.772794335888108</x:v>
      </x:c>
      <x:c r="AN566" s="32" t="n">
        <x:f>H566*(v01_KHPerAdult*Z566+v01_KHOfCommons*AJ566/4*INDEX(LM_All,G566))*v01_KHUsable*Arch_KH</x:f>
        <x:v>2.021433467218042</x:v>
      </x:c>
      <x:c r="AO566" s="32" t="n">
        <x:f>MIN(AP565+AN566,AM566*v01_KHMaxRatio)</x:f>
        <x:v>2.021433467218042</x:v>
      </x:c>
      <x:c r="AP566" s="32" t="n">
        <x:f>AP565+AN566-AO566</x:f>
        <x:v>0</x:v>
      </x:c>
      <x:c r="AQ566" s="32" t="n">
        <x:f>AM566+AO566</x:f>
        <x:v>13.79422780310615</x:v>
      </x:c>
      <x:c r="AR566" s="10" t="n">
        <x:f>IF(H566=1,INDEX(v01_Req,G566),0)</x:f>
        <x:v>4006.9599999999996</x:v>
      </x:c>
      <x:c r="AS566" s="32" t="n">
        <x:f>IF(H566=1,IF(E566=1,AS565-AR565,AS565)+AQ566,0)</x:f>
        <x:v>883.7051025785507</x:v>
      </x:c>
      <x:c r="AT566" s="11" t="n">
        <x:f>IF(AR566&gt;0,MIN(1,AS566/AR566),1)</x:f>
        <x:v>0.22054253163958484</x:v>
      </x:c>
      <x:c r="AU566" s="10" t="n">
        <x:f>AB566/INDEX(v01_RepScale,G566)</x:f>
        <x:v>67.79570833901762</x:v>
      </x:c>
      <x:c r="AV566" s="32" t="n">
        <x:f>AM566*60/v01_SeasonSeconds</x:f>
        <x:v>47.09117734355243</x:v>
      </x:c>
    </x:row>
    <x:row r="567">
      <x:c r="A567" s="8" t="n">
        <x:f>A566+1</x:f>
        <x:v>564</x:v>
      </x:c>
      <x:c r="B567" s="9" t="n">
        <x:f>A567*v01_SeasonSeconds/60</x:f>
        <x:v>141</x:v>
      </x:c>
      <x:c r="C567" s="9" t="n">
        <x:f>A567/4</x:f>
        <x:v>141</x:v>
      </x:c>
      <x:c r="D567" s="8" t="n">
        <x:f>IF(MOD(A567,4)=0,1,0)</x:f>
        <x:v>1</x:v>
      </x:c>
      <x:c r="E567" s="8" t="n">
        <x:f>IF(AND(F566&lt;=9,AS566&gt;=AR566),1,0)</x:f>
        <x:v>0</x:v>
      </x:c>
      <x:c r="F567" s="8" t="n">
        <x:f>MIN(10,F566+E567)</x:f>
        <x:v>2</x:v>
      </x:c>
      <x:c r="G567" s="8" t="n">
        <x:f>MIN(F567,9)+1</x:f>
        <x:v>3</x:v>
      </x:c>
      <x:c r="H567" s="8" t="n">
        <x:f>IF(F567&lt;=9,1,0)</x:f>
        <x:v>1</x:v>
      </x:c>
      <x:c r="I567" s="9" t="n">
        <x:f>MIN(10,F566+IF(AR566&gt;0,MIN(1,AS566/AR566),1))</x:f>
        <x:v>2.220542531639585</x:v>
      </x:c>
      <x:c r="J567" s="32" t="n">
        <x:f>INDEX(v01_FoodCap,G567)*Arch_FoodCap*EXP(v01_CapsByProject*SUMPRODUCT((Cap_Point&lt;=I567)*(Cap_Kind="Food")*Cap_Ln))</x:f>
        <x:v>60</x:v>
      </x:c>
      <x:c r="K567" s="32" t="n">
        <x:f>J567*MIN(1,v01_LeanBase*EXP(v01_CapsByProject*SUMPRODUCT((Cap_Point&lt;=I567)*(Cap_Kind="Lean")*Cap_Ln)))</x:f>
        <x:v>60</x:v>
      </x:c>
      <x:c r="L567" s="10" t="n">
        <x:f>INDEX(v01_HousingCap,G567)*EXP(v01_CapsByProject*SUMPRODUCT((Cap_Point&lt;=I567)*(Cap_Kind="Housing")*Cap_Ln))</x:f>
        <x:v>100</x:v>
      </x:c>
      <x:c r="M567" s="10" t="n">
        <x:f>INDEX(v01_GroupCap,G567)*v01_CohesionFactor*EXP(v01_CapsByProject*SUMPRODUCT((Cap_Point&lt;=I567)*(Cap_Kind="Group")*Cap_Ln))</x:f>
        <x:v>500</x:v>
      </x:c>
      <x:c r="N567" s="32" t="n">
        <x:f>MIN(J567,L567,M567)</x:f>
        <x:v>60</x:v>
      </x:c>
      <x:c r="O567" s="10" t="n">
        <x:f>AE566*N567</x:f>
        <x:v>180</x:v>
      </x:c>
      <x:c r="P567" s="9" t="n">
        <x:f>MIN(1,(AB566/(AE566*IF(v01_GroupInCrowding=1,N567,MIN(J567,L567))))^v01_CrowdingExp)</x:f>
        <x:v>0.1827082506016089</x:v>
      </x:c>
      <x:c r="Q567" s="9" t="n">
        <x:f>IF(D567=1,INDEX(v01_WinterMult,G567),1)</x:f>
        <x:v>1.3</x:v>
      </x:c>
      <x:c r="R567" s="9" t="n">
        <x:f>H567*Z566*v01_WomenShare*v01_BaseFertility*INDEX(v01_FertMult,G567)*Arch_Fertility*(1-P567)</x:f>
        <x:v>1.9117167495988892</x:v>
      </x:c>
      <x:c r="S567" s="9" t="n">
        <x:f>H567*Y566*INDEX(v01_MortChild,G567)/4*Q567</x:f>
        <x:v>0.6879433669156051</x:v>
      </x:c>
      <x:c r="T567" s="9" t="n">
        <x:f>H567*Z566*INDEX(v01_MortAdult,G567)*Arch_AdultMort/4*Q567</x:f>
        <x:v>0.2252454434900104</x:v>
      </x:c>
      <x:c r="U567" s="9" t="n">
        <x:f>H567*AA566*INDEX(v01_MortElder,G567)/4*Q567</x:f>
        <x:v>0.39488624190236454</x:v>
      </x:c>
      <x:c r="V567" s="9" t="n">
        <x:f>H567*MAX(0,AB566-O567)*v01_OvercapLoss</x:f>
        <x:v>0</x:v>
      </x:c>
      <x:c r="W567" s="9" t="n">
        <x:f>H567*Y566/(v01_ChildYears*4)</x:f>
        <x:v>1.0799738884075432</x:v>
      </x:c>
      <x:c r="X567" s="9" t="n">
        <x:f>H567*Z566/(v01_AdultYears*4)</x:f>
        <x:v>0.4657680800041572</x:v>
      </x:c>
      <x:c r="Y567" s="32" t="n">
        <x:f>Y566+R567-S567-W567-Y566*V567/AB566</x:f>
        <x:v>60.62233724509816</x:v>
      </x:c>
      <x:c r="Z567" s="32" t="n">
        <x:f>Z566+W567-X567-T567-Z566*V567/AB566</x:f>
        <x:v>58.14420228542887</x:v>
      </x:c>
      <x:c r="AA567" s="32" t="n">
        <x:f>AA566+X567-U567-AA566*V567/AB566</x:f>
        <x:v>17.428518844799132</x:v>
      </x:c>
      <x:c r="AB567" s="10" t="n">
        <x:f>Y567+Z567+AA567</x:f>
        <x:v>136.19505837532617</x:v>
      </x:c>
      <x:c r="AC567" s="8" t="n">
        <x:f>IF(AND(v01_WinterTrigger=1,D567=1,AB566/AE566&gt;=K567),1,0)</x:f>
        <x:v>0</x:v>
      </x:c>
      <x:c r="AD567" s="8" t="n">
        <x:f>H567*IF(AND(OR(AB566/AE566&gt;=v01_FissionTrigger*N567,AC567=1),AB566/AE566*v01_DaughterShare&gt;=v01_MinDaughter),MAX(1,ROUND(AE566*v01_FissionRate,0)),0)</x:f>
        <x:v>0</x:v>
      </x:c>
      <x:c r="AE567" s="8" t="n">
        <x:f>IF(H567=1,MAX(1,MIN(INDEX(v01_Smax,G567),AE566+AD567)),AE566)</x:f>
        <x:v>3</x:v>
      </x:c>
      <x:c r="AF567" s="8" t="n">
        <x:f>MAX(0,AE567-AE566)</x:f>
        <x:v>0</x:v>
      </x:c>
      <x:c r="AG567" s="9" t="str">
        <x:f>IF(AF567&gt;0,B567,"")</x:f>
      </x:c>
      <x:c r="AH567" s="9" t="n">
        <x:f>IF(F567&gt;=1,1,(1+v01_LowTiesShare*(AE567-1))/AE567)</x:f>
        <x:v>1</x:v>
      </x:c>
      <x:c r="AI567" s="32" t="n">
        <x:f>(Z567+v01_ElderCommons*INDEX(LM_Elder,G567)*AA567)*AH567</x:f>
        <x:v>110.42975881982628</x:v>
      </x:c>
      <x:c r="AJ567" s="32" t="n">
        <x:f>H567*v01_CommonsCoef*AI567^v01_CommonsExp*INDEX(LM_Commons,G567)</x:f>
        <x:v>35.98878133399921</x:v>
      </x:c>
      <x:c r="AK567" s="32" t="n">
        <x:f>H567*v01_RoleScale*Arch_Roles*(AE567*(INDEX(v01_ElderRolePerSett,G567)*v01_OutElder*INDEX(LM_Elder,G567)+INDEX(v01_ShamanPerSett,G567)*v01_OutShaman)+Z567*(INDEX(v01_PriestShare,G567)*v01_OutPriest+INDEX(v01_ScribeShare,G567)*v01_OutScribe*INDEX(LM_Scribe,G567)+INDEX(v01_ScholarShare,G567)*v01_OutScholar*INDEX(LM_Scholar,G567)+INDEX(v01_ResearcherShare,G567)*v01_OutResearcher*INDEX(LM_Researcher,G567)))</x:f>
        <x:v>9</x:v>
      </x:c>
      <x:c r="AL567" s="32" t="n">
        <x:f>H567*v01_RoleScale*Arch_Roles*AE567*INDEX(v01_MonasteryPerSett,G567)*v01_OutMonastery*INDEX(LM_Monastery,G567)</x:f>
        <x:v>0</x:v>
      </x:c>
      <x:c r="AM567" s="32" t="n">
        <x:f>(AJ567+AK567+AL567)/4*INDEX(LM_All,G567)*INDEX(v01_Boon,G567)*Arch_Insight</x:f>
        <x:v>11.81658459725823</x:v>
      </x:c>
      <x:c r="AN567" s="32" t="n">
        <x:f>H567*(v01_KHPerAdult*Z567+v01_KHOfCommons*AJ567/4*INDEX(LM_All,G567))*v01_KHUsable*Arch_KH</x:f>
        <x:v>2.03504707999001</x:v>
      </x:c>
      <x:c r="AO567" s="32" t="n">
        <x:f>MIN(AP566+AN567,AM567*v01_KHMaxRatio)</x:f>
        <x:v>2.03504707999001</x:v>
      </x:c>
      <x:c r="AP567" s="32" t="n">
        <x:f>AP566+AN567-AO567</x:f>
        <x:v>0</x:v>
      </x:c>
      <x:c r="AQ567" s="32" t="n">
        <x:f>AM567+AO567</x:f>
        <x:v>13.851631677248239</x:v>
      </x:c>
      <x:c r="AR567" s="10" t="n">
        <x:f>IF(H567=1,INDEX(v01_Req,G567),0)</x:f>
        <x:v>4006.9599999999996</x:v>
      </x:c>
      <x:c r="AS567" s="32" t="n">
        <x:f>IF(H567=1,IF(E567=1,AS566-AR566,AS566)+AQ567,0)</x:f>
        <x:v>897.556734255799</x:v>
      </x:c>
      <x:c r="AT567" s="11" t="n">
        <x:f>IF(AR567&gt;0,MIN(1,AS567/AR567),1)</x:f>
        <x:v>0.22399942456520633</x:v>
      </x:c>
      <x:c r="AU567" s="10" t="n">
        <x:f>AB567/INDEX(v01_RepScale,G567)</x:f>
        <x:v>68.09752918766308</x:v>
      </x:c>
      <x:c r="AV567" s="32" t="n">
        <x:f>AM567*60/v01_SeasonSeconds</x:f>
        <x:v>47.26633838903292</x:v>
      </x:c>
    </x:row>
    <x:row r="568">
      <x:c r="A568" s="8" t="n">
        <x:f>A567+1</x:f>
        <x:v>565</x:v>
      </x:c>
      <x:c r="B568" s="9" t="n">
        <x:f>A568*v01_SeasonSeconds/60</x:f>
        <x:v>141.25</x:v>
      </x:c>
      <x:c r="C568" s="9" t="n">
        <x:f>A568/4</x:f>
        <x:v>141.25</x:v>
      </x:c>
      <x:c r="D568" s="8" t="n">
        <x:f>IF(MOD(A568,4)=0,1,0)</x:f>
        <x:v>0</x:v>
      </x:c>
      <x:c r="E568" s="8" t="n">
        <x:f>IF(AND(F567&lt;=9,AS567&gt;=AR567),1,0)</x:f>
        <x:v>0</x:v>
      </x:c>
      <x:c r="F568" s="8" t="n">
        <x:f>MIN(10,F567+E568)</x:f>
        <x:v>2</x:v>
      </x:c>
      <x:c r="G568" s="8" t="n">
        <x:f>MIN(F568,9)+1</x:f>
        <x:v>3</x:v>
      </x:c>
      <x:c r="H568" s="8" t="n">
        <x:f>IF(F568&lt;=9,1,0)</x:f>
        <x:v>1</x:v>
      </x:c>
      <x:c r="I568" s="9" t="n">
        <x:f>MIN(10,F567+IF(AR567&gt;0,MIN(1,AS567/AR567),1))</x:f>
        <x:v>2.223999424565206</x:v>
      </x:c>
      <x:c r="J568" s="32" t="n">
        <x:f>INDEX(v01_FoodCap,G568)*Arch_FoodCap*EXP(v01_CapsByProject*SUMPRODUCT((Cap_Point&lt;=I568)*(Cap_Kind="Food")*Cap_Ln))</x:f>
        <x:v>60</x:v>
      </x:c>
      <x:c r="K568" s="32" t="n">
        <x:f>J568*MIN(1,v01_LeanBase*EXP(v01_CapsByProject*SUMPRODUCT((Cap_Point&lt;=I568)*(Cap_Kind="Lean")*Cap_Ln)))</x:f>
        <x:v>60</x:v>
      </x:c>
      <x:c r="L568" s="10" t="n">
        <x:f>INDEX(v01_HousingCap,G568)*EXP(v01_CapsByProject*SUMPRODUCT((Cap_Point&lt;=I568)*(Cap_Kind="Housing")*Cap_Ln))</x:f>
        <x:v>100</x:v>
      </x:c>
      <x:c r="M568" s="10" t="n">
        <x:f>INDEX(v01_GroupCap,G568)*v01_CohesionFactor*EXP(v01_CapsByProject*SUMPRODUCT((Cap_Point&lt;=I568)*(Cap_Kind="Group")*Cap_Ln))</x:f>
        <x:v>500</x:v>
      </x:c>
      <x:c r="N568" s="32" t="n">
        <x:f>MIN(J568,L568,M568)</x:f>
        <x:v>60</x:v>
      </x:c>
      <x:c r="O568" s="10" t="n">
        <x:f>AE567*N568</x:f>
        <x:v>180</x:v>
      </x:c>
      <x:c r="P568" s="9" t="n">
        <x:f>MIN(1,(AB567/(AE567*IF(v01_GroupInCrowding=1,N568,MIN(J568,L568))))^v01_CrowdingExp)</x:f>
        <x:v>0.18764330358268932</x:v>
      </x:c>
      <x:c r="Q568" s="9" t="n">
        <x:f>IF(D568=1,INDEX(v01_WinterMult,G568),1)</x:f>
        <x:v>1</x:v>
      </x:c>
      <x:c r="R568" s="9" t="n">
        <x:f>H568*Z567*v01_WomenShare*v01_BaseFertility*INDEX(v01_FertMult,G568)*Arch_Fertility*(1-P568)</x:f>
        <x:v>1.912970199418639</x:v>
      </x:c>
      <x:c r="S568" s="9" t="n">
        <x:f>H568*Y567*INDEX(v01_MortChild,G568)/4*Q568</x:f>
        <x:v>0.5304454508946089</x:v>
      </x:c>
      <x:c r="T568" s="9" t="n">
        <x:f>H568*Z567*INDEX(v01_MortAdult,G568)*Arch_AdultMort/4*Q568</x:f>
        <x:v>0.17443260685628661</x:v>
      </x:c>
      <x:c r="U568" s="9" t="n">
        <x:f>H568*AA567*INDEX(v01_MortElder,G568)/4*Q568</x:f>
        <x:v>0.30499907978398483</x:v>
      </x:c>
      <x:c r="V568" s="9" t="n">
        <x:f>H568*MAX(0,AB567-O568)*v01_OvercapLoss</x:f>
        <x:v>0</x:v>
      </x:c>
      <x:c r="W568" s="9" t="n">
        <x:f>H568*Y567/(v01_ChildYears*4)</x:f>
        <x:v>1.08254173651961</x:v>
      </x:c>
      <x:c r="X568" s="9" t="n">
        <x:f>H568*Z567/(v01_AdultYears*4)</x:f>
        <x:v>0.4689048571405554</x:v>
      </x:c>
      <x:c r="Y568" s="32" t="n">
        <x:f>Y567+R568-S568-W568-Y567*V568/AB567</x:f>
        <x:v>60.92232025710258</x:v>
      </x:c>
      <x:c r="Z568" s="32" t="n">
        <x:f>Z567+W568-X568-T568-Z567*V568/AB567</x:f>
        <x:v>58.58340655795163</x:v>
      </x:c>
      <x:c r="AA568" s="32" t="n">
        <x:f>AA567+X568-U568-AA567*V568/AB567</x:f>
        <x:v>17.5924246221557</x:v>
      </x:c>
      <x:c r="AB568" s="10" t="n">
        <x:f>Y568+Z568+AA568</x:f>
        <x:v>137.0981514372099</x:v>
      </x:c>
      <x:c r="AC568" s="8" t="n">
        <x:f>IF(AND(v01_WinterTrigger=1,D568=1,AB567/AE567&gt;=K568),1,0)</x:f>
        <x:v>0</x:v>
      </x:c>
      <x:c r="AD568" s="8" t="n">
        <x:f>H568*IF(AND(OR(AB567/AE567&gt;=v01_FissionTrigger*N568,AC568=1),AB567/AE567*v01_DaughterShare&gt;=v01_MinDaughter),MAX(1,ROUND(AE567*v01_FissionRate,0)),0)</x:f>
        <x:v>0</x:v>
      </x:c>
      <x:c r="AE568" s="8" t="n">
        <x:f>IF(H568=1,MAX(1,MIN(INDEX(v01_Smax,G568),AE567+AD568)),AE567)</x:f>
        <x:v>3</x:v>
      </x:c>
      <x:c r="AF568" s="8" t="n">
        <x:f>MAX(0,AE568-AE567)</x:f>
        <x:v>0</x:v>
      </x:c>
      <x:c r="AG568" s="9" t="str">
        <x:f>IF(AF568&gt;0,B568,"")</x:f>
      </x:c>
      <x:c r="AH568" s="9" t="n">
        <x:f>IF(F568&gt;=1,1,(1+v01_LowTiesShare*(AE568-1))/AE568)</x:f>
        <x:v>1</x:v>
      </x:c>
      <x:c r="AI568" s="32" t="n">
        <x:f>(Z568+v01_ElderCommons*INDEX(LM_Elder,G568)*AA568)*AH568</x:f>
        <x:v>111.36068042441873</x:v>
      </x:c>
      <x:c r="AJ568" s="32" t="n">
        <x:f>H568*v01_CommonsCoef*AI568^v01_CommonsExp*INDEX(LM_Commons,G568)</x:f>
        <x:v>36.24649607880463</x:v>
      </x:c>
      <x:c r="AK568" s="32" t="n">
        <x:f>H568*v01_RoleScale*Arch_Roles*(AE568*(INDEX(v01_ElderRolePerSett,G568)*v01_OutElder*INDEX(LM_Elder,G568)+INDEX(v01_ShamanPerSett,G568)*v01_OutShaman)+Z568*(INDEX(v01_PriestShare,G568)*v01_OutPriest+INDEX(v01_ScribeShare,G568)*v01_OutScribe*INDEX(LM_Scribe,G568)+INDEX(v01_ScholarShare,G568)*v01_OutScholar*INDEX(LM_Scholar,G568)+INDEX(v01_ResearcherShare,G568)*v01_OutResearcher*INDEX(LM_Researcher,G568)))</x:f>
        <x:v>9</x:v>
      </x:c>
      <x:c r="AL568" s="32" t="n">
        <x:f>H568*v01_RoleScale*Arch_Roles*AE568*INDEX(v01_MonasteryPerSett,G568)*v01_OutMonastery*INDEX(LM_Monastery,G568)</x:f>
        <x:v>0</x:v>
      </x:c>
      <x:c r="AM568" s="32" t="n">
        <x:f>(AJ568+AK568+AL568)/4*INDEX(LM_All,G568)*INDEX(v01_Boon,G568)*Arch_Insight</x:f>
        <x:v>11.884274985698529</x:v>
      </x:c>
      <x:c r="AN568" s="32" t="n">
        <x:f>H568*(v01_KHPerAdult*Z568+v01_KHOfCommons*AJ568/4*INDEX(LM_All,G568))*v01_KHUsable*Arch_KH</x:f>
        <x:v>2.0504192295283072</x:v>
      </x:c>
      <x:c r="AO568" s="32" t="n">
        <x:f>MIN(AP567+AN568,AM568*v01_KHMaxRatio)</x:f>
        <x:v>2.0504192295283072</x:v>
      </x:c>
      <x:c r="AP568" s="32" t="n">
        <x:f>AP567+AN568-AO568</x:f>
        <x:v>0</x:v>
      </x:c>
      <x:c r="AQ568" s="32" t="n">
        <x:f>AM568+AO568</x:f>
        <x:v>13.934694215226836</x:v>
      </x:c>
      <x:c r="AR568" s="10" t="n">
        <x:f>IF(H568=1,INDEX(v01_Req,G568),0)</x:f>
        <x:v>4006.9599999999996</x:v>
      </x:c>
      <x:c r="AS568" s="32" t="n">
        <x:f>IF(H568=1,IF(E568=1,AS567-AR567,AS567)+AQ568,0)</x:f>
        <x:v>911.4914284710259</x:v>
      </x:c>
      <x:c r="AT568" s="11" t="n">
        <x:f>IF(AR568&gt;0,MIN(1,AS568/AR568),1)</x:f>
        <x:v>0.22747704705587926</x:v>
      </x:c>
      <x:c r="AU568" s="10" t="n">
        <x:f>AB568/INDEX(v01_RepScale,G568)</x:f>
        <x:v>68.54907571860495</x:v>
      </x:c>
      <x:c r="AV568" s="32" t="n">
        <x:f>AM568*60/v01_SeasonSeconds</x:f>
        <x:v>47.537099942794114</x:v>
      </x:c>
    </x:row>
    <x:row r="569">
      <x:c r="A569" s="8" t="n">
        <x:f>A568+1</x:f>
        <x:v>566</x:v>
      </x:c>
      <x:c r="B569" s="9" t="n">
        <x:f>A569*v01_SeasonSeconds/60</x:f>
        <x:v>141.5</x:v>
      </x:c>
      <x:c r="C569" s="9" t="n">
        <x:f>A569/4</x:f>
        <x:v>141.5</x:v>
      </x:c>
      <x:c r="D569" s="8" t="n">
        <x:f>IF(MOD(A569,4)=0,1,0)</x:f>
        <x:v>0</x:v>
      </x:c>
      <x:c r="E569" s="8" t="n">
        <x:f>IF(AND(F568&lt;=9,AS568&gt;=AR568),1,0)</x:f>
        <x:v>0</x:v>
      </x:c>
      <x:c r="F569" s="8" t="n">
        <x:f>MIN(10,F568+E569)</x:f>
        <x:v>2</x:v>
      </x:c>
      <x:c r="G569" s="8" t="n">
        <x:f>MIN(F569,9)+1</x:f>
        <x:v>3</x:v>
      </x:c>
      <x:c r="H569" s="8" t="n">
        <x:f>IF(F569&lt;=9,1,0)</x:f>
        <x:v>1</x:v>
      </x:c>
      <x:c r="I569" s="9" t="n">
        <x:f>MIN(10,F568+IF(AR568&gt;0,MIN(1,AS568/AR568),1))</x:f>
        <x:v>2.227477047055879</x:v>
      </x:c>
      <x:c r="J569" s="32" t="n">
        <x:f>INDEX(v01_FoodCap,G569)*Arch_FoodCap*EXP(v01_CapsByProject*SUMPRODUCT((Cap_Point&lt;=I569)*(Cap_Kind="Food")*Cap_Ln))</x:f>
        <x:v>60</x:v>
      </x:c>
      <x:c r="K569" s="32" t="n">
        <x:f>J569*MIN(1,v01_LeanBase*EXP(v01_CapsByProject*SUMPRODUCT((Cap_Point&lt;=I569)*(Cap_Kind="Lean")*Cap_Ln)))</x:f>
        <x:v>60</x:v>
      </x:c>
      <x:c r="L569" s="10" t="n">
        <x:f>INDEX(v01_HousingCap,G569)*EXP(v01_CapsByProject*SUMPRODUCT((Cap_Point&lt;=I569)*(Cap_Kind="Housing")*Cap_Ln))</x:f>
        <x:v>100</x:v>
      </x:c>
      <x:c r="M569" s="10" t="n">
        <x:f>INDEX(v01_GroupCap,G569)*v01_CohesionFactor*EXP(v01_CapsByProject*SUMPRODUCT((Cap_Point&lt;=I569)*(Cap_Kind="Group")*Cap_Ln))</x:f>
        <x:v>500</x:v>
      </x:c>
      <x:c r="N569" s="32" t="n">
        <x:f>MIN(J569,L569,M569)</x:f>
        <x:v>60</x:v>
      </x:c>
      <x:c r="O569" s="10" t="n">
        <x:f>AE568*N569</x:f>
        <x:v>180</x:v>
      </x:c>
      <x:c r="P569" s="9" t="n">
        <x:f>MIN(1,(AB568/(AE568*IF(v01_GroupInCrowding=1,N569,MIN(J569,L569))))^v01_CrowdingExp)</x:f>
        <x:v>0.19523360044671972</x:v>
      </x:c>
      <x:c r="Q569" s="9" t="n">
        <x:f>IF(D569=1,INDEX(v01_WinterMult,G569),1)</x:f>
        <x:v>1</x:v>
      </x:c>
      <x:c r="R569" s="9" t="n">
        <x:f>H569*Z568*v01_WomenShare*v01_BaseFertility*INDEX(v01_FertMult,G569)*Arch_Fertility*(1-P569)</x:f>
        <x:v>1.909411265352955</x:v>
      </x:c>
      <x:c r="S569" s="9" t="n">
        <x:f>H569*Y568*INDEX(v01_MortChild,G569)/4*Q569</x:f>
        <x:v>0.5330703022496476</x:v>
      </x:c>
      <x:c r="T569" s="9" t="n">
        <x:f>H569*Z568*INDEX(v01_MortAdult,G569)*Arch_AdultMort/4*Q569</x:f>
        <x:v>0.1757502196738549</x:v>
      </x:c>
      <x:c r="U569" s="9" t="n">
        <x:f>H569*AA568*INDEX(v01_MortElder,G569)/4*Q569</x:f>
        <x:v>0.3078674308877248</x:v>
      </x:c>
      <x:c r="V569" s="9" t="n">
        <x:f>H569*MAX(0,AB568-O569)*v01_OvercapLoss</x:f>
        <x:v>0</x:v>
      </x:c>
      <x:c r="W569" s="9" t="n">
        <x:f>H569*Y568/(v01_ChildYears*4)</x:f>
        <x:v>1.0878985760196889</x:v>
      </x:c>
      <x:c r="X569" s="9" t="n">
        <x:f>H569*Z568/(v01_AdultYears*4)</x:f>
        <x:v>0.4724468270802551</x:v>
      </x:c>
      <x:c r="Y569" s="32" t="n">
        <x:f>Y568+R569-S569-W569-Y568*V569/AB568</x:f>
        <x:v>61.2107626441862</x:v>
      </x:c>
      <x:c r="Z569" s="32" t="n">
        <x:f>Z568+W569-X569-T569-Z568*V569/AB568</x:f>
        <x:v>59.02310808721722</x:v>
      </x:c>
      <x:c r="AA569" s="32" t="n">
        <x:f>AA568+X569-U569-AA568*V569/AB568</x:f>
        <x:v>17.75700401834823</x:v>
      </x:c>
      <x:c r="AB569" s="10" t="n">
        <x:f>Y569+Z569+AA569</x:f>
        <x:v>137.99087474975164</x:v>
      </x:c>
      <x:c r="AC569" s="8" t="n">
        <x:f>IF(AND(v01_WinterTrigger=1,D569=1,AB568/AE568&gt;=K569),1,0)</x:f>
        <x:v>0</x:v>
      </x:c>
      <x:c r="AD569" s="8" t="n">
        <x:f>H569*IF(AND(OR(AB568/AE568&gt;=v01_FissionTrigger*N569,AC569=1),AB568/AE568*v01_DaughterShare&gt;=v01_MinDaughter),MAX(1,ROUND(AE568*v01_FissionRate,0)),0)</x:f>
        <x:v>0</x:v>
      </x:c>
      <x:c r="AE569" s="8" t="n">
        <x:f>IF(H569=1,MAX(1,MIN(INDEX(v01_Smax,G569),AE568+AD569)),AE568)</x:f>
        <x:v>3</x:v>
      </x:c>
      <x:c r="AF569" s="8" t="n">
        <x:f>MAX(0,AE569-AE568)</x:f>
        <x:v>0</x:v>
      </x:c>
      <x:c r="AG569" s="9" t="str">
        <x:f>IF(AF569&gt;0,B569,"")</x:f>
      </x:c>
      <x:c r="AH569" s="9" t="n">
        <x:f>IF(F569&gt;=1,1,(1+v01_LowTiesShare*(AE569-1))/AE569)</x:f>
        <x:v>1</x:v>
      </x:c>
      <x:c r="AI569" s="32" t="n">
        <x:f>(Z569+v01_ElderCommons*INDEX(LM_Elder,G569)*AA569)*AH569</x:f>
        <x:v>112.2941201422619</x:v>
      </x:c>
      <x:c r="AJ569" s="32" t="n">
        <x:f>H569*v01_CommonsCoef*AI569^v01_CommonsExp*INDEX(LM_Commons,G569)</x:f>
        <x:v>36.50458366783558</x:v>
      </x:c>
      <x:c r="AK569" s="32" t="n">
        <x:f>H569*v01_RoleScale*Arch_Roles*(AE569*(INDEX(v01_ElderRolePerSett,G569)*v01_OutElder*INDEX(LM_Elder,G569)+INDEX(v01_ShamanPerSett,G569)*v01_OutShaman)+Z569*(INDEX(v01_PriestShare,G569)*v01_OutPriest+INDEX(v01_ScribeShare,G569)*v01_OutScribe*INDEX(LM_Scribe,G569)+INDEX(v01_ScholarShare,G569)*v01_OutScholar*INDEX(LM_Scholar,G569)+INDEX(v01_ResearcherShare,G569)*v01_OutResearcher*INDEX(LM_Researcher,G569)))</x:f>
        <x:v>9</x:v>
      </x:c>
      <x:c r="AL569" s="32" t="n">
        <x:f>H569*v01_RoleScale*Arch_Roles*AE569*INDEX(v01_MonasteryPerSett,G569)*v01_OutMonastery*INDEX(LM_Monastery,G569)</x:f>
        <x:v>0</x:v>
      </x:c>
      <x:c r="AM569" s="32" t="n">
        <x:f>(AJ569+AK569+AL569)/4*INDEX(LM_All,G569)*INDEX(v01_Boon,G569)*Arch_Insight</x:f>
        <x:v>11.95206330400494</x:v>
      </x:c>
      <x:c r="AN569" s="32" t="n">
        <x:f>H569*(v01_KHPerAdult*Z569+v01_KHOfCommons*AJ569/4*INDEX(LM_All,G569))*v01_KHUsable*Arch_KH</x:f>
        <x:v>2.065808783052603</x:v>
      </x:c>
      <x:c r="AO569" s="32" t="n">
        <x:f>MIN(AP568+AN569,AM569*v01_KHMaxRatio)</x:f>
        <x:v>2.065808783052603</x:v>
      </x:c>
      <x:c r="AP569" s="32" t="n">
        <x:f>AP568+AN569-AO569</x:f>
        <x:v>0</x:v>
      </x:c>
      <x:c r="AQ569" s="32" t="n">
        <x:f>AM569+AO569</x:f>
        <x:v>14.017872087057542</x:v>
      </x:c>
      <x:c r="AR569" s="10" t="n">
        <x:f>IF(H569=1,INDEX(v01_Req,G569),0)</x:f>
        <x:v>4006.9599999999996</x:v>
      </x:c>
      <x:c r="AS569" s="32" t="n">
        <x:f>IF(H569=1,IF(E569=1,AS568-AR568,AS568)+AQ569,0)</x:f>
        <x:v>925.5093005580834</x:v>
      </x:c>
      <x:c r="AT569" s="11" t="n">
        <x:f>IF(AR569&gt;0,MIN(1,AS569/AR569),1)</x:f>
        <x:v>0.2309754278949836</x:v>
      </x:c>
      <x:c r="AU569" s="10" t="n">
        <x:f>AB569/INDEX(v01_RepScale,G569)</x:f>
        <x:v>68.99543737487582</x:v>
      </x:c>
      <x:c r="AV569" s="32" t="n">
        <x:f>AM569*60/v01_SeasonSeconds</x:f>
        <x:v>47.80825321601976</x:v>
      </x:c>
    </x:row>
    <x:row r="570">
      <x:c r="A570" s="8" t="n">
        <x:f>A569+1</x:f>
        <x:v>567</x:v>
      </x:c>
      <x:c r="B570" s="9" t="n">
        <x:f>A570*v01_SeasonSeconds/60</x:f>
        <x:v>141.75</x:v>
      </x:c>
      <x:c r="C570" s="9" t="n">
        <x:f>A570/4</x:f>
        <x:v>141.75</x:v>
      </x:c>
      <x:c r="D570" s="8" t="n">
        <x:f>IF(MOD(A570,4)=0,1,0)</x:f>
        <x:v>0</x:v>
      </x:c>
      <x:c r="E570" s="8" t="n">
        <x:f>IF(AND(F569&lt;=9,AS569&gt;=AR569),1,0)</x:f>
        <x:v>0</x:v>
      </x:c>
      <x:c r="F570" s="8" t="n">
        <x:f>MIN(10,F569+E570)</x:f>
        <x:v>2</x:v>
      </x:c>
      <x:c r="G570" s="8" t="n">
        <x:f>MIN(F570,9)+1</x:f>
        <x:v>3</x:v>
      </x:c>
      <x:c r="H570" s="8" t="n">
        <x:f>IF(F570&lt;=9,1,0)</x:f>
        <x:v>1</x:v>
      </x:c>
      <x:c r="I570" s="9" t="n">
        <x:f>MIN(10,F569+IF(AR569&gt;0,MIN(1,AS569/AR569),1))</x:f>
        <x:v>2.2309754278949834</x:v>
      </x:c>
      <x:c r="J570" s="32" t="n">
        <x:f>INDEX(v01_FoodCap,G570)*Arch_FoodCap*EXP(v01_CapsByProject*SUMPRODUCT((Cap_Point&lt;=I570)*(Cap_Kind="Food")*Cap_Ln))</x:f>
        <x:v>60</x:v>
      </x:c>
      <x:c r="K570" s="32" t="n">
        <x:f>J570*MIN(1,v01_LeanBase*EXP(v01_CapsByProject*SUMPRODUCT((Cap_Point&lt;=I570)*(Cap_Kind="Lean")*Cap_Ln)))</x:f>
        <x:v>60</x:v>
      </x:c>
      <x:c r="L570" s="10" t="n">
        <x:f>INDEX(v01_HousingCap,G570)*EXP(v01_CapsByProject*SUMPRODUCT((Cap_Point&lt;=I570)*(Cap_Kind="Housing")*Cap_Ln))</x:f>
        <x:v>100</x:v>
      </x:c>
      <x:c r="M570" s="10" t="n">
        <x:f>INDEX(v01_GroupCap,G570)*v01_CohesionFactor*EXP(v01_CapsByProject*SUMPRODUCT((Cap_Point&lt;=I570)*(Cap_Kind="Group")*Cap_Ln))</x:f>
        <x:v>500</x:v>
      </x:c>
      <x:c r="N570" s="32" t="n">
        <x:f>MIN(J570,L570,M570)</x:f>
        <x:v>60</x:v>
      </x:c>
      <x:c r="O570" s="10" t="n">
        <x:f>AE569*N570</x:f>
        <x:v>180</x:v>
      </x:c>
      <x:c r="P570" s="9" t="n">
        <x:f>MIN(1,(AB569/(AE569*IF(v01_GroupInCrowding=1,N570,MIN(J570,L570))))^v01_CrowdingExp)</x:f>
        <x:v>0.2029865095581945</x:v>
      </x:c>
      <x:c r="Q570" s="9" t="n">
        <x:f>IF(D570=1,INDEX(v01_WinterMult,G570),1)</x:f>
        <x:v>1</x:v>
      </x:c>
      <x:c r="R570" s="9" t="n">
        <x:f>H570*Z569*v01_WomenShare*v01_BaseFertility*INDEX(v01_FertMult,G570)*Arch_Fertility*(1-P570)</x:f>
        <x:v>1.9052096424293368</x:v>
      </x:c>
      <x:c r="S570" s="9" t="n">
        <x:f>H570*Y569*INDEX(v01_MortChild,G570)/4*Q570</x:f>
        <x:v>0.5355941731366293</x:v>
      </x:c>
      <x:c r="T570" s="9" t="n">
        <x:f>H570*Z569*INDEX(v01_MortAdult,G570)*Arch_AdultMort/4*Q570</x:f>
        <x:v>0.17706932426165164</x:v>
      </x:c>
      <x:c r="U570" s="9" t="n">
        <x:f>H570*AA569*INDEX(v01_MortElder,G570)/4*Q570</x:f>
        <x:v>0.31074757032109407</x:v>
      </x:c>
      <x:c r="V570" s="9" t="n">
        <x:f>H570*MAX(0,AB569-O570)*v01_OvercapLoss</x:f>
        <x:v>0</x:v>
      </x:c>
      <x:c r="W570" s="9" t="n">
        <x:f>H570*Y569/(v01_ChildYears*4)</x:f>
        <x:v>1.0930493329318964</x:v>
      </x:c>
      <x:c r="X570" s="9" t="n">
        <x:f>H570*Z569/(v01_AdultYears*4)</x:f>
        <x:v>0.47599280715497755</x:v>
      </x:c>
      <x:c r="Y570" s="32" t="n">
        <x:f>Y569+R570-S570-W570-Y569*V570/AB569</x:f>
        <x:v>61.487328780547</x:v>
      </x:c>
      <x:c r="Z570" s="32" t="n">
        <x:f>Z569+W570-X570-T570-Z569*V570/AB569</x:f>
        <x:v>59.46309528873248</x:v>
      </x:c>
      <x:c r="AA570" s="32" t="n">
        <x:f>AA569+X570-U570-AA569*V570/AB569</x:f>
        <x:v>17.922249255182113</x:v>
      </x:c>
      <x:c r="AB570" s="10" t="n">
        <x:f>Y570+Z570+AA570</x:f>
        <x:v>138.8726733244616</x:v>
      </x:c>
      <x:c r="AC570" s="8" t="n">
        <x:f>IF(AND(v01_WinterTrigger=1,D570=1,AB569/AE569&gt;=K570),1,0)</x:f>
        <x:v>0</x:v>
      </x:c>
      <x:c r="AD570" s="8" t="n">
        <x:f>H570*IF(AND(OR(AB569/AE569&gt;=v01_FissionTrigger*N570,AC570=1),AB569/AE569*v01_DaughterShare&gt;=v01_MinDaughter),MAX(1,ROUND(AE569*v01_FissionRate,0)),0)</x:f>
        <x:v>0</x:v>
      </x:c>
      <x:c r="AE570" s="8" t="n">
        <x:f>IF(H570=1,MAX(1,MIN(INDEX(v01_Smax,G570),AE569+AD570)),AE569)</x:f>
        <x:v>3</x:v>
      </x:c>
      <x:c r="AF570" s="8" t="n">
        <x:f>MAX(0,AE570-AE569)</x:f>
        <x:v>0</x:v>
      </x:c>
      <x:c r="AG570" s="9" t="str">
        <x:f>IF(AF570&gt;0,B570,"")</x:f>
      </x:c>
      <x:c r="AH570" s="9" t="n">
        <x:f>IF(F570&gt;=1,1,(1+v01_LowTiesShare*(AE570-1))/AE570)</x:f>
        <x:v>1</x:v>
      </x:c>
      <x:c r="AI570" s="32" t="n">
        <x:f>(Z570+v01_ElderCommons*INDEX(LM_Elder,G570)*AA570)*AH570</x:f>
        <x:v>113.22984305427883</x:v>
      </x:c>
      <x:c r="AJ570" s="32" t="n">
        <x:f>H570*v01_CommonsCoef*AI570^v01_CommonsExp*INDEX(LM_Commons,G570)</x:f>
        <x:v>36.76297975623102</x:v>
      </x:c>
      <x:c r="AK570" s="32" t="n">
        <x:f>H570*v01_RoleScale*Arch_Roles*(AE570*(INDEX(v01_ElderRolePerSett,G570)*v01_OutElder*INDEX(LM_Elder,G570)+INDEX(v01_ShamanPerSett,G570)*v01_OutShaman)+Z570*(INDEX(v01_PriestShare,G570)*v01_OutPriest+INDEX(v01_ScribeShare,G570)*v01_OutScribe*INDEX(LM_Scribe,G570)+INDEX(v01_ScholarShare,G570)*v01_OutScholar*INDEX(LM_Scholar,G570)+INDEX(v01_ResearcherShare,G570)*v01_OutResearcher*INDEX(LM_Researcher,G570)))</x:f>
        <x:v>9</x:v>
      </x:c>
      <x:c r="AL570" s="32" t="n">
        <x:f>H570*v01_RoleScale*Arch_Roles*AE570*INDEX(v01_MonasteryPerSett,G570)*v01_OutMonastery*INDEX(LM_Monastery,G570)</x:f>
        <x:v>0</x:v>
      </x:c>
      <x:c r="AM570" s="32" t="n">
        <x:f>(AJ570+AK570+AL570)/4*INDEX(LM_All,G570)*INDEX(v01_Boon,G570)*Arch_Insight</x:f>
        <x:v>12.019932651597552</x:v>
      </x:c>
      <x:c r="AN570" s="32" t="n">
        <x:f>H570*(v01_KHPerAdult*Z570+v01_KHOfCommons*AJ570/4*INDEX(LM_All,G570))*v01_KHUsable*Arch_KH</x:f>
        <x:v>2.0812083351056367</x:v>
      </x:c>
      <x:c r="AO570" s="32" t="n">
        <x:f>MIN(AP569+AN570,AM570*v01_KHMaxRatio)</x:f>
        <x:v>2.0812083351056367</x:v>
      </x:c>
      <x:c r="AP570" s="32" t="n">
        <x:f>AP569+AN570-AO570</x:f>
        <x:v>0</x:v>
      </x:c>
      <x:c r="AQ570" s="32" t="n">
        <x:f>AM570+AO570</x:f>
        <x:v>14.10114098670319</x:v>
      </x:c>
      <x:c r="AR570" s="10" t="n">
        <x:f>IF(H570=1,INDEX(v01_Req,G570),0)</x:f>
        <x:v>4006.9599999999996</x:v>
      </x:c>
      <x:c r="AS570" s="32" t="n">
        <x:f>IF(H570=1,IF(E570=1,AS569-AR569,AS569)+AQ570,0)</x:f>
        <x:v>939.6104415447866</x:v>
      </x:c>
      <x:c r="AT570" s="11" t="n">
        <x:f>IF(AR570&gt;0,MIN(1,AS570/AR570),1)</x:f>
        <x:v>0.23449458979994475</x:v>
      </x:c>
      <x:c r="AU570" s="10" t="n">
        <x:f>AB570/INDEX(v01_RepScale,G570)</x:f>
        <x:v>69.4363366622308</x:v>
      </x:c>
      <x:c r="AV570" s="32" t="n">
        <x:f>AM570*60/v01_SeasonSeconds</x:f>
        <x:v>48.07973060639021</x:v>
      </x:c>
    </x:row>
    <x:row r="571">
      <x:c r="A571" s="8" t="n">
        <x:f>A570+1</x:f>
        <x:v>568</x:v>
      </x:c>
      <x:c r="B571" s="9" t="n">
        <x:f>A571*v01_SeasonSeconds/60</x:f>
        <x:v>142</x:v>
      </x:c>
      <x:c r="C571" s="9" t="n">
        <x:f>A571/4</x:f>
        <x:v>142</x:v>
      </x:c>
      <x:c r="D571" s="8" t="n">
        <x:f>IF(MOD(A571,4)=0,1,0)</x:f>
        <x:v>1</x:v>
      </x:c>
      <x:c r="E571" s="8" t="n">
        <x:f>IF(AND(F570&lt;=9,AS570&gt;=AR570),1,0)</x:f>
        <x:v>0</x:v>
      </x:c>
      <x:c r="F571" s="8" t="n">
        <x:f>MIN(10,F570+E571)</x:f>
        <x:v>2</x:v>
      </x:c>
      <x:c r="G571" s="8" t="n">
        <x:f>MIN(F571,9)+1</x:f>
        <x:v>3</x:v>
      </x:c>
      <x:c r="H571" s="8" t="n">
        <x:f>IF(F571&lt;=9,1,0)</x:f>
        <x:v>1</x:v>
      </x:c>
      <x:c r="I571" s="9" t="n">
        <x:f>MIN(10,F570+IF(AR570&gt;0,MIN(1,AS570/AR570),1))</x:f>
        <x:v>2.2344945897999446</x:v>
      </x:c>
      <x:c r="J571" s="32" t="n">
        <x:f>INDEX(v01_FoodCap,G571)*Arch_FoodCap*EXP(v01_CapsByProject*SUMPRODUCT((Cap_Point&lt;=I571)*(Cap_Kind="Food")*Cap_Ln))</x:f>
        <x:v>60</x:v>
      </x:c>
      <x:c r="K571" s="32" t="n">
        <x:f>J571*MIN(1,v01_LeanBase*EXP(v01_CapsByProject*SUMPRODUCT((Cap_Point&lt;=I571)*(Cap_Kind="Lean")*Cap_Ln)))</x:f>
        <x:v>60</x:v>
      </x:c>
      <x:c r="L571" s="10" t="n">
        <x:f>INDEX(v01_HousingCap,G571)*EXP(v01_CapsByProject*SUMPRODUCT((Cap_Point&lt;=I571)*(Cap_Kind="Housing")*Cap_Ln))</x:f>
        <x:v>100</x:v>
      </x:c>
      <x:c r="M571" s="10" t="n">
        <x:f>INDEX(v01_GroupCap,G571)*v01_CohesionFactor*EXP(v01_CapsByProject*SUMPRODUCT((Cap_Point&lt;=I571)*(Cap_Kind="Group")*Cap_Ln))</x:f>
        <x:v>500</x:v>
      </x:c>
      <x:c r="N571" s="32" t="n">
        <x:f>MIN(J571,L571,M571)</x:f>
        <x:v>60</x:v>
      </x:c>
      <x:c r="O571" s="10" t="n">
        <x:f>AE570*N571</x:f>
        <x:v>180</x:v>
      </x:c>
      <x:c r="P571" s="9" t="n">
        <x:f>MIN(1,(AB570/(AE570*IF(v01_GroupInCrowding=1,N571,MIN(J571,L571))))^v01_CrowdingExp)</x:f>
        <x:v>0.2108947382450529</x:v>
      </x:c>
      <x:c r="Q571" s="9" t="n">
        <x:f>IF(D571=1,INDEX(v01_WinterMult,G571),1)</x:f>
        <x:v>1.3</x:v>
      </x:c>
      <x:c r="R571" s="9" t="n">
        <x:f>H571*Z570*v01_WomenShare*v01_BaseFertility*INDEX(v01_FertMult,G571)*Arch_Fertility*(1-P571)</x:f>
        <x:v>1.9003669755892716</x:v>
      </x:c>
      <x:c r="S571" s="9" t="n">
        <x:f>H571*Y570*INDEX(v01_MortChild,G571)/4*Q571</x:f>
        <x:v>0.6994183648787222</x:v>
      </x:c>
      <x:c r="T571" s="9" t="n">
        <x:f>H571*Z570*INDEX(v01_MortAdult,G571)*Arch_AdultMort/4*Q571</x:f>
        <x:v>0.2319060716260567</x:v>
      </x:c>
      <x:c r="U571" s="9" t="n">
        <x:f>H571*AA570*INDEX(v01_MortElder,G571)/4*Q571</x:f>
        <x:v>0.4077311705553931</x:v>
      </x:c>
      <x:c r="V571" s="9" t="n">
        <x:f>H571*MAX(0,AB570-O571)*v01_OvercapLoss</x:f>
        <x:v>0</x:v>
      </x:c>
      <x:c r="W571" s="9" t="n">
        <x:f>H571*Y570/(v01_ChildYears*4)</x:f>
        <x:v>1.0979880139383393</x:v>
      </x:c>
      <x:c r="X571" s="9" t="n">
        <x:f>H571*Z570/(v01_AdultYears*4)</x:f>
        <x:v>0.47954109103816517</x:v>
      </x:c>
      <x:c r="Y571" s="32" t="n">
        <x:f>Y570+R571-S571-W571-Y570*V571/AB570</x:f>
        <x:v>61.59028937731921</x:v>
      </x:c>
      <x:c r="Z571" s="32" t="n">
        <x:f>Z570+W571-X571-T571-Z570*V571/AB570</x:f>
        <x:v>59.8496361400066</x:v>
      </x:c>
      <x:c r="AA571" s="32" t="n">
        <x:f>AA570+X571-U571-AA570*V571/AB570</x:f>
        <x:v>17.994059175664884</x:v>
      </x:c>
      <x:c r="AB571" s="10" t="n">
        <x:f>Y571+Z571+AA571</x:f>
        <x:v>139.4339846929907</x:v>
      </x:c>
      <x:c r="AC571" s="8" t="n">
        <x:f>IF(AND(v01_WinterTrigger=1,D571=1,AB570/AE570&gt;=K571),1,0)</x:f>
        <x:v>0</x:v>
      </x:c>
      <x:c r="AD571" s="8" t="n">
        <x:f>H571*IF(AND(OR(AB570/AE570&gt;=v01_FissionTrigger*N571,AC571=1),AB570/AE570*v01_DaughterShare&gt;=v01_MinDaughter),MAX(1,ROUND(AE570*v01_FissionRate,0)),0)</x:f>
        <x:v>0</x:v>
      </x:c>
      <x:c r="AE571" s="8" t="n">
        <x:f>IF(H571=1,MAX(1,MIN(INDEX(v01_Smax,G571),AE570+AD571)),AE570)</x:f>
        <x:v>3</x:v>
      </x:c>
      <x:c r="AF571" s="8" t="n">
        <x:f>MAX(0,AE571-AE570)</x:f>
        <x:v>0</x:v>
      </x:c>
      <x:c r="AG571" s="9" t="str">
        <x:f>IF(AF571&gt;0,B571,"")</x:f>
      </x:c>
      <x:c r="AH571" s="9" t="n">
        <x:f>IF(F571&gt;=1,1,(1+v01_LowTiesShare*(AE571-1))/AE571)</x:f>
        <x:v>1</x:v>
      </x:c>
      <x:c r="AI571" s="32" t="n">
        <x:f>(Z571+v01_ElderCommons*INDEX(LM_Elder,G571)*AA571)*AH571</x:f>
        <x:v>113.83181366700126</x:v>
      </x:c>
      <x:c r="AJ571" s="32" t="n">
        <x:f>H571*v01_CommonsCoef*AI571^v01_CommonsExp*INDEX(LM_Commons,G571)</x:f>
        <x:v>36.92904210192566</x:v>
      </x:c>
      <x:c r="AK571" s="32" t="n">
        <x:f>H571*v01_RoleScale*Arch_Roles*(AE571*(INDEX(v01_ElderRolePerSett,G571)*v01_OutElder*INDEX(LM_Elder,G571)+INDEX(v01_ShamanPerSett,G571)*v01_OutShaman)+Z571*(INDEX(v01_PriestShare,G571)*v01_OutPriest+INDEX(v01_ScribeShare,G571)*v01_OutScribe*INDEX(LM_Scribe,G571)+INDEX(v01_ScholarShare,G571)*v01_OutScholar*INDEX(LM_Scholar,G571)+INDEX(v01_ResearcherShare,G571)*v01_OutResearcher*INDEX(LM_Researcher,G571)))</x:f>
        <x:v>9</x:v>
      </x:c>
      <x:c r="AL571" s="32" t="n">
        <x:f>H571*v01_RoleScale*Arch_Roles*AE571*INDEX(v01_MonasteryPerSett,G571)*v01_OutMonastery*INDEX(LM_Monastery,G571)</x:f>
        <x:v>0</x:v>
      </x:c>
      <x:c r="AM571" s="32" t="n">
        <x:f>(AJ571+AK571+AL571)/4*INDEX(LM_All,G571)*INDEX(v01_Boon,G571)*Arch_Insight</x:f>
        <x:v>12.063549964583911</x:v>
      </x:c>
      <x:c r="AN571" s="32" t="n">
        <x:f>H571*(v01_KHPerAdult*Z571+v01_KHOfCommons*AJ571/4*INDEX(LM_All,G571))*v01_KHUsable*Arch_KH</x:f>
        <x:v>2.094737264900231</x:v>
      </x:c>
      <x:c r="AO571" s="32" t="n">
        <x:f>MIN(AP570+AN571,AM571*v01_KHMaxRatio)</x:f>
        <x:v>2.094737264900231</x:v>
      </x:c>
      <x:c r="AP571" s="32" t="n">
        <x:f>AP570+AN571-AO571</x:f>
        <x:v>0</x:v>
      </x:c>
      <x:c r="AQ571" s="32" t="n">
        <x:f>AM571+AO571</x:f>
        <x:v>14.158287229484142</x:v>
      </x:c>
      <x:c r="AR571" s="10" t="n">
        <x:f>IF(H571=1,INDEX(v01_Req,G571),0)</x:f>
        <x:v>4006.9599999999996</x:v>
      </x:c>
      <x:c r="AS571" s="32" t="n">
        <x:f>IF(H571=1,IF(E571=1,AS570-AR570,AS570)+AQ571,0)</x:f>
        <x:v>953.7687287742707</x:v>
      </x:c>
      <x:c r="AT571" s="11" t="n">
        <x:f>IF(AR571&gt;0,MIN(1,AS571/AR571),1)</x:f>
        <x:v>0.23802801345016442</x:v>
      </x:c>
      <x:c r="AU571" s="10" t="n">
        <x:f>AB571/INDEX(v01_RepScale,G571)</x:f>
        <x:v>69.71699234649535</x:v>
      </x:c>
      <x:c r="AV571" s="32" t="n">
        <x:f>AM571*60/v01_SeasonSeconds</x:f>
        <x:v>48.254199858335646</x:v>
      </x:c>
    </x:row>
    <x:row r="572">
      <x:c r="A572" s="8" t="n">
        <x:f>A571+1</x:f>
        <x:v>569</x:v>
      </x:c>
      <x:c r="B572" s="9" t="n">
        <x:f>A572*v01_SeasonSeconds/60</x:f>
        <x:v>142.25</x:v>
      </x:c>
      <x:c r="C572" s="9" t="n">
        <x:f>A572/4</x:f>
        <x:v>142.25</x:v>
      </x:c>
      <x:c r="D572" s="8" t="n">
        <x:f>IF(MOD(A572,4)=0,1,0)</x:f>
        <x:v>0</x:v>
      </x:c>
      <x:c r="E572" s="8" t="n">
        <x:f>IF(AND(F571&lt;=9,AS571&gt;=AR571),1,0)</x:f>
        <x:v>0</x:v>
      </x:c>
      <x:c r="F572" s="8" t="n">
        <x:f>MIN(10,F571+E572)</x:f>
        <x:v>2</x:v>
      </x:c>
      <x:c r="G572" s="8" t="n">
        <x:f>MIN(F572,9)+1</x:f>
        <x:v>3</x:v>
      </x:c>
      <x:c r="H572" s="8" t="n">
        <x:f>IF(F572&lt;=9,1,0)</x:f>
        <x:v>1</x:v>
      </x:c>
      <x:c r="I572" s="9" t="n">
        <x:f>MIN(10,F571+IF(AR571&gt;0,MIN(1,AS571/AR571),1))</x:f>
        <x:v>2.2380280134501644</x:v>
      </x:c>
      <x:c r="J572" s="32" t="n">
        <x:f>INDEX(v01_FoodCap,G572)*Arch_FoodCap*EXP(v01_CapsByProject*SUMPRODUCT((Cap_Point&lt;=I572)*(Cap_Kind="Food")*Cap_Ln))</x:f>
        <x:v>60</x:v>
      </x:c>
      <x:c r="K572" s="32" t="n">
        <x:f>J572*MIN(1,v01_LeanBase*EXP(v01_CapsByProject*SUMPRODUCT((Cap_Point&lt;=I572)*(Cap_Kind="Lean")*Cap_Ln)))</x:f>
        <x:v>60</x:v>
      </x:c>
      <x:c r="L572" s="10" t="n">
        <x:f>INDEX(v01_HousingCap,G572)*EXP(v01_CapsByProject*SUMPRODUCT((Cap_Point&lt;=I572)*(Cap_Kind="Housing")*Cap_Ln))</x:f>
        <x:v>100</x:v>
      </x:c>
      <x:c r="M572" s="10" t="n">
        <x:f>INDEX(v01_GroupCap,G572)*v01_CohesionFactor*EXP(v01_CapsByProject*SUMPRODUCT((Cap_Point&lt;=I572)*(Cap_Kind="Group")*Cap_Ln))</x:f>
        <x:v>500</x:v>
      </x:c>
      <x:c r="N572" s="32" t="n">
        <x:f>MIN(J572,L572,M572)</x:f>
        <x:v>60</x:v>
      </x:c>
      <x:c r="O572" s="10" t="n">
        <x:f>AE571*N572</x:f>
        <x:v>180</x:v>
      </x:c>
      <x:c r="P572" s="9" t="n">
        <x:f>MIN(1,(AB571/(AE571*IF(v01_GroupInCrowding=1,N572,MIN(J572,L572))))^v01_CrowdingExp)</x:f>
        <x:v>0.21606120869290416</x:v>
      </x:c>
      <x:c r="Q572" s="9" t="n">
        <x:f>IF(D572=1,INDEX(v01_WinterMult,G572),1)</x:f>
        <x:v>1</x:v>
      </x:c>
      <x:c r="R572" s="9" t="n">
        <x:f>H572*Z571*v01_WomenShare*v01_BaseFertility*INDEX(v01_FertMult,G572)*Arch_Fertility*(1-P572)</x:f>
        <x:v>1.9001972823385336</x:v>
      </x:c>
      <x:c r="S572" s="9" t="n">
        <x:f>H572*Y571*INDEX(v01_MortChild,G572)/4*Q572</x:f>
        <x:v>0.5389150320515431</x:v>
      </x:c>
      <x:c r="T572" s="9" t="n">
        <x:f>H572*Z571*INDEX(v01_MortAdult,G572)*Arch_AdultMort/4*Q572</x:f>
        <x:v>0.1795489084200198</x:v>
      </x:c>
      <x:c r="U572" s="9" t="n">
        <x:f>H572*AA571*INDEX(v01_MortElder,G572)/4*Q572</x:f>
        <x:v>0.3148960355741355</x:v>
      </x:c>
      <x:c r="V572" s="9" t="n">
        <x:f>H572*MAX(0,AB571-O572)*v01_OvercapLoss</x:f>
        <x:v>0</x:v>
      </x:c>
      <x:c r="W572" s="9" t="n">
        <x:f>H572*Y571/(v01_ChildYears*4)</x:f>
        <x:v>1.0998265960235574</x:v>
      </x:c>
      <x:c r="X572" s="9" t="n">
        <x:f>H572*Z571/(v01_AdultYears*4)</x:f>
        <x:v>0.48265835596779516</x:v>
      </x:c>
      <x:c r="Y572" s="32" t="n">
        <x:f>Y571+R572-S572-W572-Y571*V572/AB571</x:f>
        <x:v>61.851745031582645</x:v>
      </x:c>
      <x:c r="Z572" s="32" t="n">
        <x:f>Z571+W572-X572-T572-Z571*V572/AB571</x:f>
        <x:v>60.28725547164235</x:v>
      </x:c>
      <x:c r="AA572" s="32" t="n">
        <x:f>AA571+X572-U572-AA571*V572/AB571</x:f>
        <x:v>18.161821496058543</x:v>
      </x:c>
      <x:c r="AB572" s="10" t="n">
        <x:f>Y572+Z572+AA572</x:f>
        <x:v>140.30082199928353</x:v>
      </x:c>
      <x:c r="AC572" s="8" t="n">
        <x:f>IF(AND(v01_WinterTrigger=1,D572=1,AB571/AE571&gt;=K572),1,0)</x:f>
        <x:v>0</x:v>
      </x:c>
      <x:c r="AD572" s="8" t="n">
        <x:f>H572*IF(AND(OR(AB571/AE571&gt;=v01_FissionTrigger*N572,AC572=1),AB571/AE571*v01_DaughterShare&gt;=v01_MinDaughter),MAX(1,ROUND(AE571*v01_FissionRate,0)),0)</x:f>
        <x:v>0</x:v>
      </x:c>
      <x:c r="AE572" s="8" t="n">
        <x:f>IF(H572=1,MAX(1,MIN(INDEX(v01_Smax,G572),AE571+AD572)),AE571)</x:f>
        <x:v>3</x:v>
      </x:c>
      <x:c r="AF572" s="8" t="n">
        <x:f>MAX(0,AE572-AE571)</x:f>
        <x:v>0</x:v>
      </x:c>
      <x:c r="AG572" s="9" t="str">
        <x:f>IF(AF572&gt;0,B572,"")</x:f>
      </x:c>
      <x:c r="AH572" s="9" t="n">
        <x:f>IF(F572&gt;=1,1,(1+v01_LowTiesShare*(AE572-1))/AE572)</x:f>
        <x:v>1</x:v>
      </x:c>
      <x:c r="AI572" s="32" t="n">
        <x:f>(Z572+v01_ElderCommons*INDEX(LM_Elder,G572)*AA572)*AH572</x:f>
        <x:v>114.77271995981798</x:v>
      </x:c>
      <x:c r="AJ572" s="32" t="n">
        <x:f>H572*v01_CommonsCoef*AI572^v01_CommonsExp*INDEX(LM_Commons,G572)</x:f>
        <x:v>37.18834132731885</x:v>
      </x:c>
      <x:c r="AK572" s="32" t="n">
        <x:f>H572*v01_RoleScale*Arch_Roles*(AE572*(INDEX(v01_ElderRolePerSett,G572)*v01_OutElder*INDEX(LM_Elder,G572)+INDEX(v01_ShamanPerSett,G572)*v01_OutShaman)+Z572*(INDEX(v01_PriestShare,G572)*v01_OutPriest+INDEX(v01_ScribeShare,G572)*v01_OutScribe*INDEX(LM_Scribe,G572)+INDEX(v01_ScholarShare,G572)*v01_OutScholar*INDEX(LM_Scholar,G572)+INDEX(v01_ResearcherShare,G572)*v01_OutResearcher*INDEX(LM_Researcher,G572)))</x:f>
        <x:v>9</x:v>
      </x:c>
      <x:c r="AL572" s="32" t="n">
        <x:f>H572*v01_RoleScale*Arch_Roles*AE572*INDEX(v01_MonasteryPerSett,G572)*v01_OutMonastery*INDEX(LM_Monastery,G572)</x:f>
        <x:v>0</x:v>
      </x:c>
      <x:c r="AM572" s="32" t="n">
        <x:f>(AJ572+AK572+AL572)/4*INDEX(LM_All,G572)*INDEX(v01_Boon,G572)*Arch_Insight</x:f>
        <x:v>12.131656526753591</x:v>
      </x:c>
      <x:c r="AN572" s="32" t="n">
        <x:f>H572*(v01_KHPerAdult*Z572+v01_KHOfCommons*AJ572/4*INDEX(LM_All,G572))*v01_KHUsable*Arch_KH</x:f>
        <x:v>2.1100539415074824</x:v>
      </x:c>
      <x:c r="AO572" s="32" t="n">
        <x:f>MIN(AP571+AN572,AM572*v01_KHMaxRatio)</x:f>
        <x:v>2.1100539415074824</x:v>
      </x:c>
      <x:c r="AP572" s="32" t="n">
        <x:f>AP571+AN572-AO572</x:f>
        <x:v>0</x:v>
      </x:c>
      <x:c r="AQ572" s="32" t="n">
        <x:f>AM572+AO572</x:f>
        <x:v>14.241710468261074</x:v>
      </x:c>
      <x:c r="AR572" s="10" t="n">
        <x:f>IF(H572=1,INDEX(v01_Req,G572),0)</x:f>
        <x:v>4006.9599999999996</x:v>
      </x:c>
      <x:c r="AS572" s="32" t="n">
        <x:f>IF(H572=1,IF(E572=1,AS571-AR571,AS571)+AQ572,0)</x:f>
        <x:v>968.0104392425318</x:v>
      </x:c>
      <x:c r="AT572" s="11" t="n">
        <x:f>IF(AR572&gt;0,MIN(1,AS572/AR572),1)</x:f>
        <x:v>0.2415822566840028</x:v>
      </x:c>
      <x:c r="AU572" s="10" t="n">
        <x:f>AB572/INDEX(v01_RepScale,G572)</x:f>
        <x:v>70.15041099964176</x:v>
      </x:c>
      <x:c r="AV572" s="32" t="n">
        <x:f>AM572*60/v01_SeasonSeconds</x:f>
        <x:v>48.526626107014366</x:v>
      </x:c>
    </x:row>
    <x:row r="573">
      <x:c r="A573" s="8" t="n">
        <x:f>A572+1</x:f>
        <x:v>570</x:v>
      </x:c>
      <x:c r="B573" s="9" t="n">
        <x:f>A573*v01_SeasonSeconds/60</x:f>
        <x:v>142.5</x:v>
      </x:c>
      <x:c r="C573" s="9" t="n">
        <x:f>A573/4</x:f>
        <x:v>142.5</x:v>
      </x:c>
      <x:c r="D573" s="8" t="n">
        <x:f>IF(MOD(A573,4)=0,1,0)</x:f>
        <x:v>0</x:v>
      </x:c>
      <x:c r="E573" s="8" t="n">
        <x:f>IF(AND(F572&lt;=9,AS572&gt;=AR572),1,0)</x:f>
        <x:v>0</x:v>
      </x:c>
      <x:c r="F573" s="8" t="n">
        <x:f>MIN(10,F572+E573)</x:f>
        <x:v>2</x:v>
      </x:c>
      <x:c r="G573" s="8" t="n">
        <x:f>MIN(F573,9)+1</x:f>
        <x:v>3</x:v>
      </x:c>
      <x:c r="H573" s="8" t="n">
        <x:f>IF(F573&lt;=9,1,0)</x:f>
        <x:v>1</x:v>
      </x:c>
      <x:c r="I573" s="9" t="n">
        <x:f>MIN(10,F572+IF(AR572&gt;0,MIN(1,AS572/AR572),1))</x:f>
        <x:v>2.2415822566840027</x:v>
      </x:c>
      <x:c r="J573" s="32" t="n">
        <x:f>INDEX(v01_FoodCap,G573)*Arch_FoodCap*EXP(v01_CapsByProject*SUMPRODUCT((Cap_Point&lt;=I573)*(Cap_Kind="Food")*Cap_Ln))</x:f>
        <x:v>60</x:v>
      </x:c>
      <x:c r="K573" s="32" t="n">
        <x:f>J573*MIN(1,v01_LeanBase*EXP(v01_CapsByProject*SUMPRODUCT((Cap_Point&lt;=I573)*(Cap_Kind="Lean")*Cap_Ln)))</x:f>
        <x:v>60</x:v>
      </x:c>
      <x:c r="L573" s="10" t="n">
        <x:f>INDEX(v01_HousingCap,G573)*EXP(v01_CapsByProject*SUMPRODUCT((Cap_Point&lt;=I573)*(Cap_Kind="Housing")*Cap_Ln))</x:f>
        <x:v>100</x:v>
      </x:c>
      <x:c r="M573" s="10" t="n">
        <x:f>INDEX(v01_GroupCap,G573)*v01_CohesionFactor*EXP(v01_CapsByProject*SUMPRODUCT((Cap_Point&lt;=I573)*(Cap_Kind="Group")*Cap_Ln))</x:f>
        <x:v>500</x:v>
      </x:c>
      <x:c r="N573" s="32" t="n">
        <x:f>MIN(J573,L573,M573)</x:f>
        <x:v>60</x:v>
      </x:c>
      <x:c r="O573" s="10" t="n">
        <x:f>AE572*N573</x:f>
        <x:v>180</x:v>
      </x:c>
      <x:c r="P573" s="9" t="n">
        <x:f>MIN(1,(AB572/(AE572*IF(v01_GroupInCrowding=1,N573,MIN(J573,L573))))^v01_CrowdingExp)</x:f>
        <x:v>0.2242468041153526</x:v>
      </x:c>
      <x:c r="Q573" s="9" t="n">
        <x:f>IF(D573=1,INDEX(v01_WinterMult,G573),1)</x:f>
        <x:v>1</x:v>
      </x:c>
      <x:c r="R573" s="9" t="n">
        <x:f>H573*Z572*v01_WomenShare*v01_BaseFertility*INDEX(v01_FertMult,G573)*Arch_Fertility*(1-P573)</x:f>
        <x:v>1.8941052596812502</x:v>
      </x:c>
      <x:c r="S573" s="9" t="n">
        <x:f>H573*Y572*INDEX(v01_MortChild,G573)/4*Q573</x:f>
        <x:v>0.5412027690263482</x:v>
      </x:c>
      <x:c r="T573" s="9" t="n">
        <x:f>H573*Z572*INDEX(v01_MortAdult,G573)*Arch_AdultMort/4*Q573</x:f>
        <x:v>0.18086176641492704</x:v>
      </x:c>
      <x:c r="U573" s="9" t="n">
        <x:f>H573*AA572*INDEX(v01_MortElder,G573)/4*Q573</x:f>
        <x:v>0.31783187618102454</x:v>
      </x:c>
      <x:c r="V573" s="9" t="n">
        <x:f>H573*MAX(0,AB572-O573)*v01_OvercapLoss</x:f>
        <x:v>0</x:v>
      </x:c>
      <x:c r="W573" s="9" t="n">
        <x:f>H573*Y572/(v01_ChildYears*4)</x:f>
        <x:v>1.1044954469925472</x:v>
      </x:c>
      <x:c r="X573" s="9" t="n">
        <x:f>H573*Z572/(v01_AdultYears*4)</x:f>
        <x:v>0.48618754412614795</x:v>
      </x:c>
      <x:c r="Y573" s="32" t="n">
        <x:f>Y572+R573-S573-W573-Y572*V573/AB572</x:f>
        <x:v>62.100152075245</x:v>
      </x:c>
      <x:c r="Z573" s="32" t="n">
        <x:f>Z572+W573-X573-T573-Z572*V573/AB572</x:f>
        <x:v>60.72470160809382</x:v>
      </x:c>
      <x:c r="AA573" s="32" t="n">
        <x:f>AA572+X573-U573-AA572*V573/AB572</x:f>
        <x:v>18.33017716400367</x:v>
      </x:c>
      <x:c r="AB573" s="10" t="n">
        <x:f>Y573+Z573+AA573</x:f>
        <x:v>141.1550308473425</x:v>
      </x:c>
      <x:c r="AC573" s="8" t="n">
        <x:f>IF(AND(v01_WinterTrigger=1,D573=1,AB572/AE572&gt;=K573),1,0)</x:f>
        <x:v>0</x:v>
      </x:c>
      <x:c r="AD573" s="8" t="n">
        <x:f>H573*IF(AND(OR(AB572/AE572&gt;=v01_FissionTrigger*N573,AC573=1),AB572/AE572*v01_DaughterShare&gt;=v01_MinDaughter),MAX(1,ROUND(AE572*v01_FissionRate,0)),0)</x:f>
        <x:v>0</x:v>
      </x:c>
      <x:c r="AE573" s="8" t="n">
        <x:f>IF(H573=1,MAX(1,MIN(INDEX(v01_Smax,G573),AE572+AD573)),AE572)</x:f>
        <x:v>3</x:v>
      </x:c>
      <x:c r="AF573" s="8" t="n">
        <x:f>MAX(0,AE573-AE572)</x:f>
        <x:v>0</x:v>
      </x:c>
      <x:c r="AG573" s="9" t="str">
        <x:f>IF(AF573&gt;0,B573,"")</x:f>
      </x:c>
      <x:c r="AH573" s="9" t="n">
        <x:f>IF(F573&gt;=1,1,(1+v01_LowTiesShare*(AE573-1))/AE573)</x:f>
        <x:v>1</x:v>
      </x:c>
      <x:c r="AI573" s="32" t="n">
        <x:f>(Z573+v01_ElderCommons*INDEX(LM_Elder,G573)*AA573)*AH573</x:f>
        <x:v>115.71523310010483</x:v>
      </x:c>
      <x:c r="AJ573" s="32" t="n">
        <x:f>H573*v01_CommonsCoef*AI573^v01_CommonsExp*INDEX(LM_Commons,G573)</x:f>
        <x:v>37.44776389199184</x:v>
      </x:c>
      <x:c r="AK573" s="32" t="n">
        <x:f>H573*v01_RoleScale*Arch_Roles*(AE573*(INDEX(v01_ElderRolePerSett,G573)*v01_OutElder*INDEX(LM_Elder,G573)+INDEX(v01_ShamanPerSett,G573)*v01_OutShaman)+Z573*(INDEX(v01_PriestShare,G573)*v01_OutPriest+INDEX(v01_ScribeShare,G573)*v01_OutScribe*INDEX(LM_Scribe,G573)+INDEX(v01_ScholarShare,G573)*v01_OutScholar*INDEX(LM_Scholar,G573)+INDEX(v01_ResearcherShare,G573)*v01_OutResearcher*INDEX(LM_Researcher,G573)))</x:f>
        <x:v>9</x:v>
      </x:c>
      <x:c r="AL573" s="32" t="n">
        <x:f>H573*v01_RoleScale*Arch_Roles*AE573*INDEX(v01_MonasteryPerSett,G573)*v01_OutMonastery*INDEX(LM_Monastery,G573)</x:f>
        <x:v>0</x:v>
      </x:c>
      <x:c r="AM573" s="32" t="n">
        <x:f>(AJ573+AK573+AL573)/4*INDEX(LM_All,G573)*INDEX(v01_Boon,G573)*Arch_Insight</x:f>
        <x:v>12.199795484755981</x:v>
      </x:c>
      <x:c r="AN573" s="32" t="n">
        <x:f>H573*(v01_KHPerAdult*Z573+v01_KHOfCommons*AJ573/4*INDEX(LM_All,G573))*v01_KHUsable*Arch_KH</x:f>
        <x:v>2.1253645562832837</x:v>
      </x:c>
      <x:c r="AO573" s="32" t="n">
        <x:f>MIN(AP572+AN573,AM573*v01_KHMaxRatio)</x:f>
        <x:v>2.1253645562832837</x:v>
      </x:c>
      <x:c r="AP573" s="32" t="n">
        <x:f>AP572+AN573-AO573</x:f>
        <x:v>0</x:v>
      </x:c>
      <x:c r="AQ573" s="32" t="n">
        <x:f>AM573+AO573</x:f>
        <x:v>14.325160041039265</x:v>
      </x:c>
      <x:c r="AR573" s="10" t="n">
        <x:f>IF(H573=1,INDEX(v01_Req,G573),0)</x:f>
        <x:v>4006.9599999999996</x:v>
      </x:c>
      <x:c r="AS573" s="32" t="n">
        <x:f>IF(H573=1,IF(E573=1,AS572-AR572,AS572)+AQ573,0)</x:f>
        <x:v>982.335599283571</x:v>
      </x:c>
      <x:c r="AT573" s="11" t="n">
        <x:f>IF(AR573&gt;0,MIN(1,AS573/AR573),1)</x:f>
        <x:v>0.24515732607352483</x:v>
      </x:c>
      <x:c r="AU573" s="10" t="n">
        <x:f>AB573/INDEX(v01_RepScale,G573)</x:f>
        <x:v>70.57751542367124</x:v>
      </x:c>
      <x:c r="AV573" s="32" t="n">
        <x:f>AM573*60/v01_SeasonSeconds</x:f>
        <x:v>48.799181939023924</x:v>
      </x:c>
    </x:row>
    <x:row r="574">
      <x:c r="A574" s="8" t="n">
        <x:f>A573+1</x:f>
        <x:v>571</x:v>
      </x:c>
      <x:c r="B574" s="9" t="n">
        <x:f>A574*v01_SeasonSeconds/60</x:f>
        <x:v>142.75</x:v>
      </x:c>
      <x:c r="C574" s="9" t="n">
        <x:f>A574/4</x:f>
        <x:v>142.75</x:v>
      </x:c>
      <x:c r="D574" s="8" t="n">
        <x:f>IF(MOD(A574,4)=0,1,0)</x:f>
        <x:v>0</x:v>
      </x:c>
      <x:c r="E574" s="8" t="n">
        <x:f>IF(AND(F573&lt;=9,AS573&gt;=AR573),1,0)</x:f>
        <x:v>0</x:v>
      </x:c>
      <x:c r="F574" s="8" t="n">
        <x:f>MIN(10,F573+E574)</x:f>
        <x:v>2</x:v>
      </x:c>
      <x:c r="G574" s="8" t="n">
        <x:f>MIN(F574,9)+1</x:f>
        <x:v>3</x:v>
      </x:c>
      <x:c r="H574" s="8" t="n">
        <x:f>IF(F574&lt;=9,1,0)</x:f>
        <x:v>1</x:v>
      </x:c>
      <x:c r="I574" s="9" t="n">
        <x:f>MIN(10,F573+IF(AR573&gt;0,MIN(1,AS573/AR573),1))</x:f>
        <x:v>2.245157326073525</x:v>
      </x:c>
      <x:c r="J574" s="32" t="n">
        <x:f>INDEX(v01_FoodCap,G574)*Arch_FoodCap*EXP(v01_CapsByProject*SUMPRODUCT((Cap_Point&lt;=I574)*(Cap_Kind="Food")*Cap_Ln))</x:f>
        <x:v>60</x:v>
      </x:c>
      <x:c r="K574" s="32" t="n">
        <x:f>J574*MIN(1,v01_LeanBase*EXP(v01_CapsByProject*SUMPRODUCT((Cap_Point&lt;=I574)*(Cap_Kind="Lean")*Cap_Ln)))</x:f>
        <x:v>60</x:v>
      </x:c>
      <x:c r="L574" s="10" t="n">
        <x:f>INDEX(v01_HousingCap,G574)*EXP(v01_CapsByProject*SUMPRODUCT((Cap_Point&lt;=I574)*(Cap_Kind="Housing")*Cap_Ln))</x:f>
        <x:v>100</x:v>
      </x:c>
      <x:c r="M574" s="10" t="n">
        <x:f>INDEX(v01_GroupCap,G574)*v01_CohesionFactor*EXP(v01_CapsByProject*SUMPRODUCT((Cap_Point&lt;=I574)*(Cap_Kind="Group")*Cap_Ln))</x:f>
        <x:v>500</x:v>
      </x:c>
      <x:c r="N574" s="32" t="n">
        <x:f>MIN(J574,L574,M574)</x:f>
        <x:v>60</x:v>
      </x:c>
      <x:c r="O574" s="10" t="n">
        <x:f>AE573*N574</x:f>
        <x:v>180</x:v>
      </x:c>
      <x:c r="P574" s="9" t="n">
        <x:f>MIN(1,(AB573/(AE573*IF(v01_GroupInCrowding=1,N574,MIN(J574,L574))))^v01_CrowdingExp)</x:f>
        <x:v>0.23256434725807132</x:v>
      </x:c>
      <x:c r="Q574" s="9" t="n">
        <x:f>IF(D574=1,INDEX(v01_WinterMult,G574),1)</x:f>
        <x:v>1</x:v>
      </x:c>
      <x:c r="R574" s="9" t="n">
        <x:f>H574*Z573*v01_WomenShare*v01_BaseFertility*INDEX(v01_FertMult,G574)*Arch_Fertility*(1-P574)</x:f>
        <x:v>1.8873931911547364</x:v>
      </x:c>
      <x:c r="S574" s="9" t="n">
        <x:f>H574*Y573*INDEX(v01_MortChild,G574)/4*Q574</x:f>
        <x:v>0.5433763306583937</x:v>
      </x:c>
      <x:c r="T574" s="9" t="n">
        <x:f>H574*Z573*INDEX(v01_MortAdult,G574)*Arch_AdultMort/4*Q574</x:f>
        <x:v>0.18217410482428145</x:v>
      </x:c>
      <x:c r="U574" s="9" t="n">
        <x:f>H574*AA573*INDEX(v01_MortElder,G574)/4*Q574</x:f>
        <x:v>0.3207781003700642</x:v>
      </x:c>
      <x:c r="V574" s="9" t="n">
        <x:f>H574*MAX(0,AB573-O574)*v01_OvercapLoss</x:f>
        <x:v>0</x:v>
      </x:c>
      <x:c r="W574" s="9" t="n">
        <x:f>H574*Y573/(v01_ChildYears*4)</x:f>
        <x:v>1.1089312870579464</x:v>
      </x:c>
      <x:c r="X574" s="9" t="n">
        <x:f>H574*Z573/(v01_AdultYears*4)</x:f>
        <x:v>0.4897153355491437</x:v>
      </x:c>
      <x:c r="Y574" s="32" t="n">
        <x:f>Y573+R574-S574-W574-Y573*V574/AB573</x:f>
        <x:v>62.33523764868339</x:v>
      </x:c>
      <x:c r="Z574" s="32" t="n">
        <x:f>Z573+W574-X574-T574-Z573*V574/AB573</x:f>
        <x:v>61.16174345477834</x:v>
      </x:c>
      <x:c r="AA574" s="32" t="n">
        <x:f>AA573+X574-U574-AA573*V574/AB573</x:f>
        <x:v>18.499114399182748</x:v>
      </x:c>
      <x:c r="AB574" s="10" t="n">
        <x:f>Y574+Z574+AA574</x:f>
        <x:v>141.9960955026445</x:v>
      </x:c>
      <x:c r="AC574" s="8" t="n">
        <x:f>IF(AND(v01_WinterTrigger=1,D574=1,AB573/AE573&gt;=K574),1,0)</x:f>
        <x:v>0</x:v>
      </x:c>
      <x:c r="AD574" s="8" t="n">
        <x:f>H574*IF(AND(OR(AB573/AE573&gt;=v01_FissionTrigger*N574,AC574=1),AB573/AE573*v01_DaughterShare&gt;=v01_MinDaughter),MAX(1,ROUND(AE573*v01_FissionRate,0)),0)</x:f>
        <x:v>0</x:v>
      </x:c>
      <x:c r="AE574" s="8" t="n">
        <x:f>IF(H574=1,MAX(1,MIN(INDEX(v01_Smax,G574),AE573+AD574)),AE573)</x:f>
        <x:v>3</x:v>
      </x:c>
      <x:c r="AF574" s="8" t="n">
        <x:f>MAX(0,AE574-AE573)</x:f>
        <x:v>0</x:v>
      </x:c>
      <x:c r="AG574" s="9" t="str">
        <x:f>IF(AF574&gt;0,B574,"")</x:f>
      </x:c>
      <x:c r="AH574" s="9" t="n">
        <x:f>IF(F574&gt;=1,1,(1+v01_LowTiesShare*(AE574-1))/AE574)</x:f>
        <x:v>1</x:v>
      </x:c>
      <x:c r="AI574" s="32" t="n">
        <x:f>(Z574+v01_ElderCommons*INDEX(LM_Elder,G574)*AA574)*AH574</x:f>
        <x:v>116.65908665232658</x:v>
      </x:c>
      <x:c r="AJ574" s="32" t="n">
        <x:f>H574*v01_CommonsCoef*AI574^v01_CommonsExp*INDEX(LM_Commons,G574)</x:f>
        <x:v>37.707237960490566</x:v>
      </x:c>
      <x:c r="AK574" s="32" t="n">
        <x:f>H574*v01_RoleScale*Arch_Roles*(AE574*(INDEX(v01_ElderRolePerSett,G574)*v01_OutElder*INDEX(LM_Elder,G574)+INDEX(v01_ShamanPerSett,G574)*v01_OutShaman)+Z574*(INDEX(v01_PriestShare,G574)*v01_OutPriest+INDEX(v01_ScribeShare,G574)*v01_OutScribe*INDEX(LM_Scribe,G574)+INDEX(v01_ScholarShare,G574)*v01_OutScholar*INDEX(LM_Scholar,G574)+INDEX(v01_ResearcherShare,G574)*v01_OutResearcher*INDEX(LM_Researcher,G574)))</x:f>
        <x:v>9</x:v>
      </x:c>
      <x:c r="AL574" s="32" t="n">
        <x:f>H574*v01_RoleScale*Arch_Roles*AE574*INDEX(v01_MonasteryPerSett,G574)*v01_OutMonastery*INDEX(LM_Monastery,G574)</x:f>
        <x:v>0</x:v>
      </x:c>
      <x:c r="AM574" s="32" t="n">
        <x:f>(AJ574+AK574+AL574)/4*INDEX(LM_All,G574)*INDEX(v01_Boon,G574)*Arch_Insight</x:f>
        <x:v>12.2679479705601</x:v>
      </x:c>
      <x:c r="AN574" s="32" t="n">
        <x:f>H574*(v01_KHPerAdult*Z574+v01_KHOfCommons*AJ574/4*INDEX(LM_All,G574))*v01_KHUsable*Arch_KH</x:f>
        <x:v>2.140661020917242</x:v>
      </x:c>
      <x:c r="AO574" s="32" t="n">
        <x:f>MIN(AP573+AN574,AM574*v01_KHMaxRatio)</x:f>
        <x:v>2.140661020917242</x:v>
      </x:c>
      <x:c r="AP574" s="32" t="n">
        <x:f>AP573+AN574-AO574</x:f>
        <x:v>0</x:v>
      </x:c>
      <x:c r="AQ574" s="32" t="n">
        <x:f>AM574+AO574</x:f>
        <x:v>14.40860899147734</x:v>
      </x:c>
      <x:c r="AR574" s="10" t="n">
        <x:f>IF(H574=1,INDEX(v01_Req,G574),0)</x:f>
        <x:v>4006.9599999999996</x:v>
      </x:c>
      <x:c r="AS574" s="32" t="n">
        <x:f>IF(H574=1,IF(E574=1,AS573-AR573,AS573)+AQ574,0)</x:f>
        <x:v>996.7442082750483</x:v>
      </x:c>
      <x:c r="AT574" s="11" t="n">
        <x:f>IF(AR574&gt;0,MIN(1,AS574/AR574),1)</x:f>
        <x:v>0.24875322146341577</x:v>
      </x:c>
      <x:c r="AU574" s="10" t="n">
        <x:f>AB574/INDEX(v01_RepScale,G574)</x:f>
        <x:v>70.99804775132225</x:v>
      </x:c>
      <x:c r="AV574" s="32" t="n">
        <x:f>AM574*60/v01_SeasonSeconds</x:f>
        <x:v>49.0717918822404</x:v>
      </x:c>
    </x:row>
    <x:row r="575">
      <x:c r="A575" s="8" t="n">
        <x:f>A574+1</x:f>
        <x:v>572</x:v>
      </x:c>
      <x:c r="B575" s="9" t="n">
        <x:f>A575*v01_SeasonSeconds/60</x:f>
        <x:v>143</x:v>
      </x:c>
      <x:c r="C575" s="9" t="n">
        <x:f>A575/4</x:f>
        <x:v>143</x:v>
      </x:c>
      <x:c r="D575" s="8" t="n">
        <x:f>IF(MOD(A575,4)=0,1,0)</x:f>
        <x:v>1</x:v>
      </x:c>
      <x:c r="E575" s="8" t="n">
        <x:f>IF(AND(F574&lt;=9,AS574&gt;=AR574),1,0)</x:f>
        <x:v>0</x:v>
      </x:c>
      <x:c r="F575" s="8" t="n">
        <x:f>MIN(10,F574+E575)</x:f>
        <x:v>2</x:v>
      </x:c>
      <x:c r="G575" s="8" t="n">
        <x:f>MIN(F575,9)+1</x:f>
        <x:v>3</x:v>
      </x:c>
      <x:c r="H575" s="8" t="n">
        <x:f>IF(F575&lt;=9,1,0)</x:f>
        <x:v>1</x:v>
      </x:c>
      <x:c r="I575" s="9" t="n">
        <x:f>MIN(10,F574+IF(AR574&gt;0,MIN(1,AS574/AR574),1))</x:f>
        <x:v>2.248753221463416</x:v>
      </x:c>
      <x:c r="J575" s="32" t="n">
        <x:f>INDEX(v01_FoodCap,G575)*Arch_FoodCap*EXP(v01_CapsByProject*SUMPRODUCT((Cap_Point&lt;=I575)*(Cap_Kind="Food")*Cap_Ln))</x:f>
        <x:v>60</x:v>
      </x:c>
      <x:c r="K575" s="32" t="n">
        <x:f>J575*MIN(1,v01_LeanBase*EXP(v01_CapsByProject*SUMPRODUCT((Cap_Point&lt;=I575)*(Cap_Kind="Lean")*Cap_Ln)))</x:f>
        <x:v>60</x:v>
      </x:c>
      <x:c r="L575" s="10" t="n">
        <x:f>INDEX(v01_HousingCap,G575)*EXP(v01_CapsByProject*SUMPRODUCT((Cap_Point&lt;=I575)*(Cap_Kind="Housing")*Cap_Ln))</x:f>
        <x:v>100</x:v>
      </x:c>
      <x:c r="M575" s="10" t="n">
        <x:f>INDEX(v01_GroupCap,G575)*v01_CohesionFactor*EXP(v01_CapsByProject*SUMPRODUCT((Cap_Point&lt;=I575)*(Cap_Kind="Group")*Cap_Ln))</x:f>
        <x:v>500</x:v>
      </x:c>
      <x:c r="N575" s="32" t="n">
        <x:f>MIN(J575,L575,M575)</x:f>
        <x:v>60</x:v>
      </x:c>
      <x:c r="O575" s="10" t="n">
        <x:f>AE574*N575</x:f>
        <x:v>180</x:v>
      </x:c>
      <x:c r="P575" s="9" t="n">
        <x:f>MIN(1,(AB574/(AE574*IF(v01_GroupInCrowding=1,N575,MIN(J575,L575))))^v01_CrowdingExp)</x:f>
        <x:v>0.24100351976516904</x:v>
      </x:c>
      <x:c r="Q575" s="9" t="n">
        <x:f>IF(D575=1,INDEX(v01_WinterMult,G575),1)</x:f>
        <x:v>1.3</x:v>
      </x:c>
      <x:c r="R575" s="9" t="n">
        <x:f>H575*Z574*v01_WomenShare*v01_BaseFertility*INDEX(v01_FertMult,G575)*Arch_Fertility*(1-P575)</x:f>
        <x:v>1.8800726942917003</x:v>
      </x:c>
      <x:c r="S575" s="9" t="n">
        <x:f>H575*Y574*INDEX(v01_MortChild,G575)/4*Q575</x:f>
        <x:v>0.7090633282537736</x:v>
      </x:c>
      <x:c r="T575" s="9" t="n">
        <x:f>H575*Z574*INDEX(v01_MortAdult,G575)*Arch_AdultMort/4*Q575</x:f>
        <x:v>0.23853079947363556</x:v>
      </x:c>
      <x:c r="U575" s="9" t="n">
        <x:f>H575*AA574*INDEX(v01_MortElder,G575)/4*Q575</x:f>
        <x:v>0.4208548525814076</x:v>
      </x:c>
      <x:c r="V575" s="9" t="n">
        <x:f>H575*MAX(0,AB574-O575)*v01_OvercapLoss</x:f>
        <x:v>0</x:v>
      </x:c>
      <x:c r="W575" s="9" t="n">
        <x:f>H575*Y574/(v01_ChildYears*4)</x:f>
        <x:v>1.113129243726489</x:v>
      </x:c>
      <x:c r="X575" s="9" t="n">
        <x:f>H575*Z574/(v01_AdultYears*4)</x:f>
        <x:v>0.49323986657079305</x:v>
      </x:c>
      <x:c r="Y575" s="32" t="n">
        <x:f>Y574+R575-S575-W575-Y574*V575/AB574</x:f>
        <x:v>62.39311777099482</x:v>
      </x:c>
      <x:c r="Z575" s="32" t="n">
        <x:f>Z574+W575-X575-T575-Z574*V575/AB574</x:f>
        <x:v>61.543102032460396</x:v>
      </x:c>
      <x:c r="AA575" s="32" t="n">
        <x:f>AA574+X575-U575-AA574*V575/AB574</x:f>
        <x:v>18.571499413172134</x:v>
      </x:c>
      <x:c r="AB575" s="10" t="n">
        <x:f>Y575+Z575+AA575</x:f>
        <x:v>142.50771921662735</x:v>
      </x:c>
      <x:c r="AC575" s="8" t="n">
        <x:f>IF(AND(v01_WinterTrigger=1,D575=1,AB574/AE574&gt;=K575),1,0)</x:f>
        <x:v>0</x:v>
      </x:c>
      <x:c r="AD575" s="8" t="n">
        <x:f>H575*IF(AND(OR(AB574/AE574&gt;=v01_FissionTrigger*N575,AC575=1),AB574/AE574*v01_DaughterShare&gt;=v01_MinDaughter),MAX(1,ROUND(AE574*v01_FissionRate,0)),0)</x:f>
        <x:v>0</x:v>
      </x:c>
      <x:c r="AE575" s="8" t="n">
        <x:f>IF(H575=1,MAX(1,MIN(INDEX(v01_Smax,G575),AE574+AD575)),AE574)</x:f>
        <x:v>3</x:v>
      </x:c>
      <x:c r="AF575" s="8" t="n">
        <x:f>MAX(0,AE575-AE574)</x:f>
        <x:v>0</x:v>
      </x:c>
      <x:c r="AG575" s="9" t="str">
        <x:f>IF(AF575&gt;0,B575,"")</x:f>
      </x:c>
      <x:c r="AH575" s="9" t="n">
        <x:f>IF(F575&gt;=1,1,(1+v01_LowTiesShare*(AE575-1))/AE575)</x:f>
        <x:v>1</x:v>
      </x:c>
      <x:c r="AI575" s="32" t="n">
        <x:f>(Z575+v01_ElderCommons*INDEX(LM_Elder,G575)*AA575)*AH575</x:f>
        <x:v>117.2576002719768</x:v>
      </x:c>
      <x:c r="AJ575" s="32" t="n">
        <x:f>H575*v01_CommonsCoef*AI575^v01_CommonsExp*INDEX(LM_Commons,G575)</x:f>
        <x:v>37.87161164845167</x:v>
      </x:c>
      <x:c r="AK575" s="32" t="n">
        <x:f>H575*v01_RoleScale*Arch_Roles*(AE575*(INDEX(v01_ElderRolePerSett,G575)*v01_OutElder*INDEX(LM_Elder,G575)+INDEX(v01_ShamanPerSett,G575)*v01_OutShaman)+Z575*(INDEX(v01_PriestShare,G575)*v01_OutPriest+INDEX(v01_ScribeShare,G575)*v01_OutScribe*INDEX(LM_Scribe,G575)+INDEX(v01_ScholarShare,G575)*v01_OutScholar*INDEX(LM_Scholar,G575)+INDEX(v01_ResearcherShare,G575)*v01_OutResearcher*INDEX(LM_Researcher,G575)))</x:f>
        <x:v>9</x:v>
      </x:c>
      <x:c r="AL575" s="32" t="n">
        <x:f>H575*v01_RoleScale*Arch_Roles*AE575*INDEX(v01_MonasteryPerSett,G575)*v01_OutMonastery*INDEX(LM_Monastery,G575)</x:f>
        <x:v>0</x:v>
      </x:c>
      <x:c r="AM575" s="32" t="n">
        <x:f>(AJ575+AK575+AL575)/4*INDEX(LM_All,G575)*INDEX(v01_Boon,G575)*Arch_Insight</x:f>
        <x:v>12.311121747038634</x:v>
      </x:c>
      <x:c r="AN575" s="32" t="n">
        <x:f>H575*(v01_KHPerAdult*Z575+v01_KHOfCommons*AJ575/4*INDEX(LM_All,G575))*v01_KHUsable*Arch_KH</x:f>
        <x:v>2.154008571136114</x:v>
      </x:c>
      <x:c r="AO575" s="32" t="n">
        <x:f>MIN(AP574+AN575,AM575*v01_KHMaxRatio)</x:f>
        <x:v>2.154008571136114</x:v>
      </x:c>
      <x:c r="AP575" s="32" t="n">
        <x:f>AP574+AN575-AO575</x:f>
        <x:v>0</x:v>
      </x:c>
      <x:c r="AQ575" s="32" t="n">
        <x:f>AM575+AO575</x:f>
        <x:v>14.465130318174747</x:v>
      </x:c>
      <x:c r="AR575" s="10" t="n">
        <x:f>IF(H575=1,INDEX(v01_Req,G575),0)</x:f>
        <x:v>4006.9599999999996</x:v>
      </x:c>
      <x:c r="AS575" s="32" t="n">
        <x:f>IF(H575=1,IF(E575=1,AS574-AR574,AS574)+AQ575,0)</x:f>
        <x:v>1011.209338593223</x:v>
      </x:c>
      <x:c r="AT575" s="11" t="n">
        <x:f>IF(AR575&gt;0,MIN(1,AS575/AR575),1)</x:f>
        <x:v>0.2523632226409106</x:v>
      </x:c>
      <x:c r="AU575" s="10" t="n">
        <x:f>AB575/INDEX(v01_RepScale,G575)</x:f>
        <x:v>71.25385960831368</x:v>
      </x:c>
      <x:c r="AV575" s="32" t="n">
        <x:f>AM575*60/v01_SeasonSeconds</x:f>
        <x:v>49.244486988154534</x:v>
      </x:c>
    </x:row>
    <x:row r="576">
      <x:c r="A576" s="8" t="n">
        <x:f>A575+1</x:f>
        <x:v>573</x:v>
      </x:c>
      <x:c r="B576" s="9" t="n">
        <x:f>A576*v01_SeasonSeconds/60</x:f>
        <x:v>143.25</x:v>
      </x:c>
      <x:c r="C576" s="9" t="n">
        <x:f>A576/4</x:f>
        <x:v>143.25</x:v>
      </x:c>
      <x:c r="D576" s="8" t="n">
        <x:f>IF(MOD(A576,4)=0,1,0)</x:f>
        <x:v>0</x:v>
      </x:c>
      <x:c r="E576" s="8" t="n">
        <x:f>IF(AND(F575&lt;=9,AS575&gt;=AR575),1,0)</x:f>
        <x:v>0</x:v>
      </x:c>
      <x:c r="F576" s="8" t="n">
        <x:f>MIN(10,F575+E576)</x:f>
        <x:v>2</x:v>
      </x:c>
      <x:c r="G576" s="8" t="n">
        <x:f>MIN(F576,9)+1</x:f>
        <x:v>3</x:v>
      </x:c>
      <x:c r="H576" s="8" t="n">
        <x:f>IF(F576&lt;=9,1,0)</x:f>
        <x:v>1</x:v>
      </x:c>
      <x:c r="I576" s="9" t="n">
        <x:f>MIN(10,F575+IF(AR575&gt;0,MIN(1,AS575/AR575),1))</x:f>
        <x:v>2.2523632226409105</x:v>
      </x:c>
      <x:c r="J576" s="32" t="n">
        <x:f>INDEX(v01_FoodCap,G576)*Arch_FoodCap*EXP(v01_CapsByProject*SUMPRODUCT((Cap_Point&lt;=I576)*(Cap_Kind="Food")*Cap_Ln))</x:f>
        <x:v>60</x:v>
      </x:c>
      <x:c r="K576" s="32" t="n">
        <x:f>J576*MIN(1,v01_LeanBase*EXP(v01_CapsByProject*SUMPRODUCT((Cap_Point&lt;=I576)*(Cap_Kind="Lean")*Cap_Ln)))</x:f>
        <x:v>60</x:v>
      </x:c>
      <x:c r="L576" s="10" t="n">
        <x:f>INDEX(v01_HousingCap,G576)*EXP(v01_CapsByProject*SUMPRODUCT((Cap_Point&lt;=I576)*(Cap_Kind="Housing")*Cap_Ln))</x:f>
        <x:v>100</x:v>
      </x:c>
      <x:c r="M576" s="10" t="n">
        <x:f>INDEX(v01_GroupCap,G576)*v01_CohesionFactor*EXP(v01_CapsByProject*SUMPRODUCT((Cap_Point&lt;=I576)*(Cap_Kind="Group")*Cap_Ln))</x:f>
        <x:v>500</x:v>
      </x:c>
      <x:c r="N576" s="32" t="n">
        <x:f>MIN(J576,L576,M576)</x:f>
        <x:v>60</x:v>
      </x:c>
      <x:c r="O576" s="10" t="n">
        <x:f>AE575*N576</x:f>
        <x:v>180</x:v>
      </x:c>
      <x:c r="P576" s="9" t="n">
        <x:f>MIN(1,(AB575/(AE575*IF(v01_GroupInCrowding=1,N576,MIN(J576,L576))))^v01_CrowdingExp)</x:f>
        <x:v>0.24626081127363586</x:v>
      </x:c>
      <x:c r="Q576" s="9" t="n">
        <x:f>IF(D576=1,INDEX(v01_WinterMult,G576),1)</x:f>
        <x:v>1</x:v>
      </x:c>
      <x:c r="R576" s="9" t="n">
        <x:f>H576*Z575*v01_WomenShare*v01_BaseFertility*INDEX(v01_FertMult,G576)*Arch_Fertility*(1-P576)</x:f>
        <x:v>1.878691635804847</x:v>
      </x:c>
      <x:c r="S576" s="9" t="n">
        <x:f>H576*Y575*INDEX(v01_MortChild,G576)/4*Q576</x:f>
        <x:v>0.5459397804962047</x:v>
      </x:c>
      <x:c r="T576" s="9" t="n">
        <x:f>H576*Z575*INDEX(v01_MortAdult,G576)*Arch_AdultMort/4*Q576</x:f>
        <x:v>0.18462930609738118</x:v>
      </x:c>
      <x:c r="U576" s="9" t="n">
        <x:f>H576*AA575*INDEX(v01_MortElder,G576)/4*Q576</x:f>
        <x:v>0.32500123973051237</x:v>
      </x:c>
      <x:c r="V576" s="9" t="n">
        <x:f>H576*MAX(0,AB575-O576)*v01_OvercapLoss</x:f>
        <x:v>0</x:v>
      </x:c>
      <x:c r="W576" s="9" t="n">
        <x:f>H576*Y575/(v01_ChildYears*4)</x:f>
        <x:v>1.1141628173391933</x:v>
      </x:c>
      <x:c r="X576" s="9" t="n">
        <x:f>H576*Z575/(v01_AdultYears*4)</x:f>
        <x:v>0.4963153389714548</x:v>
      </x:c>
      <x:c r="Y576" s="32" t="n">
        <x:f>Y575+R576-S576-W576-Y575*V576/AB575</x:f>
        <x:v>62.611706808964264</x:v>
      </x:c>
      <x:c r="Z576" s="32" t="n">
        <x:f>Z575+W576-X576-T576-Z575*V576/AB575</x:f>
        <x:v>61.976320204730754</x:v>
      </x:c>
      <x:c r="AA576" s="32" t="n">
        <x:f>AA575+X576-U576-AA575*V576/AB575</x:f>
        <x:v>18.74281351241308</x:v>
      </x:c>
      <x:c r="AB576" s="10" t="n">
        <x:f>Y576+Z576+AA576</x:f>
        <x:v>143.3308405261081</x:v>
      </x:c>
      <x:c r="AC576" s="8" t="n">
        <x:f>IF(AND(v01_WinterTrigger=1,D576=1,AB575/AE575&gt;=K576),1,0)</x:f>
        <x:v>0</x:v>
      </x:c>
      <x:c r="AD576" s="8" t="n">
        <x:f>H576*IF(AND(OR(AB575/AE575&gt;=v01_FissionTrigger*N576,AC576=1),AB575/AE575*v01_DaughterShare&gt;=v01_MinDaughter),MAX(1,ROUND(AE575*v01_FissionRate,0)),0)</x:f>
        <x:v>0</x:v>
      </x:c>
      <x:c r="AE576" s="8" t="n">
        <x:f>IF(H576=1,MAX(1,MIN(INDEX(v01_Smax,G576),AE575+AD576)),AE575)</x:f>
        <x:v>3</x:v>
      </x:c>
      <x:c r="AF576" s="8" t="n">
        <x:f>MAX(0,AE576-AE575)</x:f>
        <x:v>0</x:v>
      </x:c>
      <x:c r="AG576" s="9" t="str">
        <x:f>IF(AF576&gt;0,B576,"")</x:f>
      </x:c>
      <x:c r="AH576" s="9" t="n">
        <x:f>IF(F576&gt;=1,1,(1+v01_LowTiesShare*(AE576-1))/AE576)</x:f>
        <x:v>1</x:v>
      </x:c>
      <x:c r="AI576" s="32" t="n">
        <x:f>(Z576+v01_ElderCommons*INDEX(LM_Elder,G576)*AA576)*AH576</x:f>
        <x:v>118.20476074196999</x:v>
      </x:c>
      <x:c r="AJ576" s="32" t="n">
        <x:f>H576*v01_CommonsCoef*AI576^v01_CommonsExp*INDEX(LM_Commons,G576)</x:f>
        <x:v>38.13147970758107</x:v>
      </x:c>
      <x:c r="AK576" s="32" t="n">
        <x:f>H576*v01_RoleScale*Arch_Roles*(AE576*(INDEX(v01_ElderRolePerSett,G576)*v01_OutElder*INDEX(LM_Elder,G576)+INDEX(v01_ShamanPerSett,G576)*v01_OutShaman)+Z576*(INDEX(v01_PriestShare,G576)*v01_OutPriest+INDEX(v01_ScribeShare,G576)*v01_OutScribe*INDEX(LM_Scribe,G576)+INDEX(v01_ScholarShare,G576)*v01_OutScholar*INDEX(LM_Scholar,G576)+INDEX(v01_ResearcherShare,G576)*v01_OutResearcher*INDEX(LM_Researcher,G576)))</x:f>
        <x:v>9</x:v>
      </x:c>
      <x:c r="AL576" s="32" t="n">
        <x:f>H576*v01_RoleScale*Arch_Roles*AE576*INDEX(v01_MonasteryPerSett,G576)*v01_OutMonastery*INDEX(LM_Monastery,G576)</x:f>
        <x:v>0</x:v>
      </x:c>
      <x:c r="AM576" s="32" t="n">
        <x:f>(AJ576+AK576+AL576)/4*INDEX(LM_All,G576)*INDEX(v01_Boon,G576)*Arch_Insight</x:f>
        <x:v>12.37937771694434</x:v>
      </x:c>
      <x:c r="AN576" s="32" t="n">
        <x:f>H576*(v01_KHPerAdult*Z576+v01_KHOfCommons*AJ576/4*INDEX(LM_All,G576))*v01_KHUsable*Arch_KH</x:f>
        <x:v>2.1691712071655767</x:v>
      </x:c>
      <x:c r="AO576" s="32" t="n">
        <x:f>MIN(AP575+AN576,AM576*v01_KHMaxRatio)</x:f>
        <x:v>2.1691712071655767</x:v>
      </x:c>
      <x:c r="AP576" s="32" t="n">
        <x:f>AP575+AN576-AO576</x:f>
        <x:v>0</x:v>
      </x:c>
      <x:c r="AQ576" s="32" t="n">
        <x:f>AM576+AO576</x:f>
        <x:v>14.548548924109916</x:v>
      </x:c>
      <x:c r="AR576" s="10" t="n">
        <x:f>IF(H576=1,INDEX(v01_Req,G576),0)</x:f>
        <x:v>4006.9599999999996</x:v>
      </x:c>
      <x:c r="AS576" s="32" t="n">
        <x:f>IF(H576=1,IF(E576=1,AS575-AR575,AS575)+AQ576,0)</x:f>
        <x:v>1025.7578875173328</x:v>
      </x:c>
      <x:c r="AT576" s="11" t="n">
        <x:f>IF(AR576&gt;0,MIN(1,AS576/AR576),1)</x:f>
        <x:v>0.2559940422458255</x:v>
      </x:c>
      <x:c r="AU576" s="10" t="n">
        <x:f>AB576/INDEX(v01_RepScale,G576)</x:f>
        <x:v>71.66542026305405</x:v>
      </x:c>
      <x:c r="AV576" s="32" t="n">
        <x:f>AM576*60/v01_SeasonSeconds</x:f>
        <x:v>49.51751086777736</x:v>
      </x:c>
    </x:row>
    <x:row r="577">
      <x:c r="A577" s="8" t="n">
        <x:f>A576+1</x:f>
        <x:v>574</x:v>
      </x:c>
      <x:c r="B577" s="9" t="n">
        <x:f>A577*v01_SeasonSeconds/60</x:f>
        <x:v>143.5</x:v>
      </x:c>
      <x:c r="C577" s="9" t="n">
        <x:f>A577/4</x:f>
        <x:v>143.5</x:v>
      </x:c>
      <x:c r="D577" s="8" t="n">
        <x:f>IF(MOD(A577,4)=0,1,0)</x:f>
        <x:v>0</x:v>
      </x:c>
      <x:c r="E577" s="8" t="n">
        <x:f>IF(AND(F576&lt;=9,AS576&gt;=AR576),1,0)</x:f>
        <x:v>0</x:v>
      </x:c>
      <x:c r="F577" s="8" t="n">
        <x:f>MIN(10,F576+E577)</x:f>
        <x:v>2</x:v>
      </x:c>
      <x:c r="G577" s="8" t="n">
        <x:f>MIN(F577,9)+1</x:f>
        <x:v>3</x:v>
      </x:c>
      <x:c r="H577" s="8" t="n">
        <x:f>IF(F577&lt;=9,1,0)</x:f>
        <x:v>1</x:v>
      </x:c>
      <x:c r="I577" s="9" t="n">
        <x:f>MIN(10,F576+IF(AR576&gt;0,MIN(1,AS576/AR576),1))</x:f>
        <x:v>2.2559940422458253</x:v>
      </x:c>
      <x:c r="J577" s="32" t="n">
        <x:f>INDEX(v01_FoodCap,G577)*Arch_FoodCap*EXP(v01_CapsByProject*SUMPRODUCT((Cap_Point&lt;=I577)*(Cap_Kind="Food")*Cap_Ln))</x:f>
        <x:v>60</x:v>
      </x:c>
      <x:c r="K577" s="32" t="n">
        <x:f>J577*MIN(1,v01_LeanBase*EXP(v01_CapsByProject*SUMPRODUCT((Cap_Point&lt;=I577)*(Cap_Kind="Lean")*Cap_Ln)))</x:f>
        <x:v>60</x:v>
      </x:c>
      <x:c r="L577" s="10" t="n">
        <x:f>INDEX(v01_HousingCap,G577)*EXP(v01_CapsByProject*SUMPRODUCT((Cap_Point&lt;=I577)*(Cap_Kind="Housing")*Cap_Ln))</x:f>
        <x:v>100</x:v>
      </x:c>
      <x:c r="M577" s="10" t="n">
        <x:f>INDEX(v01_GroupCap,G577)*v01_CohesionFactor*EXP(v01_CapsByProject*SUMPRODUCT((Cap_Point&lt;=I577)*(Cap_Kind="Group")*Cap_Ln))</x:f>
        <x:v>500</x:v>
      </x:c>
      <x:c r="N577" s="32" t="n">
        <x:f>MIN(J577,L577,M577)</x:f>
        <x:v>60</x:v>
      </x:c>
      <x:c r="O577" s="10" t="n">
        <x:f>AE576*N577</x:f>
        <x:v>180</x:v>
      </x:c>
      <x:c r="P577" s="9" t="n">
        <x:f>MIN(1,(AB576/(AE576*IF(v01_GroupInCrowding=1,N577,MIN(J577,L577))))^v01_CrowdingExp)</x:f>
        <x:v>0.25491938114025076</x:v>
      </x:c>
      <x:c r="Q577" s="9" t="n">
        <x:f>IF(D577=1,INDEX(v01_WinterMult,G577),1)</x:f>
        <x:v>1</x:v>
      </x:c>
      <x:c r="R577" s="9" t="n">
        <x:f>H577*Z576*v01_WomenShare*v01_BaseFertility*INDEX(v01_FertMult,G577)*Arch_Fertility*(1-P577)</x:f>
        <x:v>1.8701828780180263</x:v>
      </x:c>
      <x:c r="S577" s="9" t="n">
        <x:f>H577*Y576*INDEX(v01_MortChild,G577)/4*Q577</x:f>
        <x:v>0.5478524345784374</x:v>
      </x:c>
      <x:c r="T577" s="9" t="n">
        <x:f>H577*Z576*INDEX(v01_MortAdult,G577)*Arch_AdultMort/4*Q577</x:f>
        <x:v>0.18592896061419226</x:v>
      </x:c>
      <x:c r="U577" s="9" t="n">
        <x:f>H577*AA576*INDEX(v01_MortElder,G577)/4*Q577</x:f>
        <x:v>0.3279992364672289</x:v>
      </x:c>
      <x:c r="V577" s="9" t="n">
        <x:f>H577*MAX(0,AB576-O577)*v01_OvercapLoss</x:f>
        <x:v>0</x:v>
      </x:c>
      <x:c r="W577" s="9" t="n">
        <x:f>H577*Y576/(v01_ChildYears*4)</x:f>
        <x:v>1.118066193017219</x:v>
      </x:c>
      <x:c r="X577" s="9" t="n">
        <x:f>H577*Z576/(v01_AdultYears*4)</x:f>
        <x:v>0.49980903390911896</x:v>
      </x:c>
      <x:c r="Y577" s="32" t="n">
        <x:f>Y576+R577-S577-W577-Y576*V577/AB576</x:f>
        <x:v>62.81597105938663</x:v>
      </x:c>
      <x:c r="Z577" s="32" t="n">
        <x:f>Z576+W577-X577-T577-Z576*V577/AB576</x:f>
        <x:v>62.40864840322467</x:v>
      </x:c>
      <x:c r="AA577" s="32" t="n">
        <x:f>AA576+X577-U577-AA576*V577/AB576</x:f>
        <x:v>18.91462330985497</x:v>
      </x:c>
      <x:c r="AB577" s="10" t="n">
        <x:f>Y577+Z577+AA577</x:f>
        <x:v>144.13924277246625</x:v>
      </x:c>
      <x:c r="AC577" s="8" t="n">
        <x:f>IF(AND(v01_WinterTrigger=1,D577=1,AB576/AE576&gt;=K577),1,0)</x:f>
        <x:v>0</x:v>
      </x:c>
      <x:c r="AD577" s="8" t="n">
        <x:f>H577*IF(AND(OR(AB576/AE576&gt;=v01_FissionTrigger*N577,AC577=1),AB576/AE576*v01_DaughterShare&gt;=v01_MinDaughter),MAX(1,ROUND(AE576*v01_FissionRate,0)),0)</x:f>
        <x:v>0</x:v>
      </x:c>
      <x:c r="AE577" s="8" t="n">
        <x:f>IF(H577=1,MAX(1,MIN(INDEX(v01_Smax,G577),AE576+AD577)),AE576)</x:f>
        <x:v>3</x:v>
      </x:c>
      <x:c r="AF577" s="8" t="n">
        <x:f>MAX(0,AE577-AE576)</x:f>
        <x:v>0</x:v>
      </x:c>
      <x:c r="AG577" s="9" t="str">
        <x:f>IF(AF577&gt;0,B577,"")</x:f>
      </x:c>
      <x:c r="AH577" s="9" t="n">
        <x:f>IF(F577&gt;=1,1,(1+v01_LowTiesShare*(AE577-1))/AE577)</x:f>
        <x:v>1</x:v>
      </x:c>
      <x:c r="AI577" s="32" t="n">
        <x:f>(Z577+v01_ElderCommons*INDEX(LM_Elder,G577)*AA577)*AH577</x:f>
        <x:v>119.15251833278958</x:v>
      </x:c>
      <x:c r="AJ577" s="32" t="n">
        <x:f>H577*v01_CommonsCoef*AI577^v01_CommonsExp*INDEX(LM_Commons,G577)</x:f>
        <x:v>38.391199141689135</x:v>
      </x:c>
      <x:c r="AK577" s="32" t="n">
        <x:f>H577*v01_RoleScale*Arch_Roles*(AE577*(INDEX(v01_ElderRolePerSett,G577)*v01_OutElder*INDEX(LM_Elder,G577)+INDEX(v01_ShamanPerSett,G577)*v01_OutShaman)+Z577*(INDEX(v01_PriestShare,G577)*v01_OutPriest+INDEX(v01_ScribeShare,G577)*v01_OutScribe*INDEX(LM_Scribe,G577)+INDEX(v01_ScholarShare,G577)*v01_OutScholar*INDEX(LM_Scholar,G577)+INDEX(v01_ResearcherShare,G577)*v01_OutResearcher*INDEX(LM_Researcher,G577)))</x:f>
        <x:v>9</x:v>
      </x:c>
      <x:c r="AL577" s="32" t="n">
        <x:f>H577*v01_RoleScale*Arch_Roles*AE577*INDEX(v01_MonasteryPerSett,G577)*v01_OutMonastery*INDEX(LM_Monastery,G577)</x:f>
        <x:v>0</x:v>
      </x:c>
      <x:c r="AM577" s="32" t="n">
        <x:f>(AJ577+AK577+AL577)/4*INDEX(LM_All,G577)*INDEX(v01_Boon,G577)*Arch_Insight</x:f>
        <x:v>12.447594649559287</x:v>
      </x:c>
      <x:c r="AN577" s="32" t="n">
        <x:f>H577*(v01_KHPerAdult*Z577+v01_KHOfCommons*AJ577/4*INDEX(LM_All,G577))*v01_KHUsable*Arch_KH</x:f>
        <x:v>2.1843026941128634</x:v>
      </x:c>
      <x:c r="AO577" s="32" t="n">
        <x:f>MIN(AP576+AN577,AM577*v01_KHMaxRatio)</x:f>
        <x:v>2.1843026941128634</x:v>
      </x:c>
      <x:c r="AP577" s="32" t="n">
        <x:f>AP576+AN577-AO577</x:f>
        <x:v>0</x:v>
      </x:c>
      <x:c r="AQ577" s="32" t="n">
        <x:f>AM577+AO577</x:f>
        <x:v>14.63189734367215</x:v>
      </x:c>
      <x:c r="AR577" s="10" t="n">
        <x:f>IF(H577=1,INDEX(v01_Req,G577),0)</x:f>
        <x:v>4006.9599999999996</x:v>
      </x:c>
      <x:c r="AS577" s="32" t="n">
        <x:f>IF(H577=1,IF(E577=1,AS576-AR576,AS576)+AQ577,0)</x:f>
        <x:v>1040.389784861005</x:v>
      </x:c>
      <x:c r="AT577" s="11" t="n">
        <x:f>IF(AR577&gt;0,MIN(1,AS577/AR577),1)</x:f>
        <x:v>0.2596456627620453</x:v>
      </x:c>
      <x:c r="AU577" s="10" t="n">
        <x:f>AB577/INDEX(v01_RepScale,G577)</x:f>
        <x:v>72.06962138623312</x:v>
      </x:c>
      <x:c r="AV577" s="32" t="n">
        <x:f>AM577*60/v01_SeasonSeconds</x:f>
        <x:v>49.79037859823715</x:v>
      </x:c>
    </x:row>
    <x:row r="578">
      <x:c r="A578" s="8" t="n">
        <x:f>A577+1</x:f>
        <x:v>575</x:v>
      </x:c>
      <x:c r="B578" s="9" t="n">
        <x:f>A578*v01_SeasonSeconds/60</x:f>
        <x:v>143.75</x:v>
      </x:c>
      <x:c r="C578" s="9" t="n">
        <x:f>A578/4</x:f>
        <x:v>143.75</x:v>
      </x:c>
      <x:c r="D578" s="8" t="n">
        <x:f>IF(MOD(A578,4)=0,1,0)</x:f>
        <x:v>0</x:v>
      </x:c>
      <x:c r="E578" s="8" t="n">
        <x:f>IF(AND(F577&lt;=9,AS577&gt;=AR577),1,0)</x:f>
        <x:v>0</x:v>
      </x:c>
      <x:c r="F578" s="8" t="n">
        <x:f>MIN(10,F577+E578)</x:f>
        <x:v>2</x:v>
      </x:c>
      <x:c r="G578" s="8" t="n">
        <x:f>MIN(F578,9)+1</x:f>
        <x:v>3</x:v>
      </x:c>
      <x:c r="H578" s="8" t="n">
        <x:f>IF(F578&lt;=9,1,0)</x:f>
        <x:v>1</x:v>
      </x:c>
      <x:c r="I578" s="9" t="n">
        <x:f>MIN(10,F577+IF(AR577&gt;0,MIN(1,AS577/AR577),1))</x:f>
        <x:v>2.259645662762045</x:v>
      </x:c>
      <x:c r="J578" s="32" t="n">
        <x:f>INDEX(v01_FoodCap,G578)*Arch_FoodCap*EXP(v01_CapsByProject*SUMPRODUCT((Cap_Point&lt;=I578)*(Cap_Kind="Food")*Cap_Ln))</x:f>
        <x:v>60</x:v>
      </x:c>
      <x:c r="K578" s="32" t="n">
        <x:f>J578*MIN(1,v01_LeanBase*EXP(v01_CapsByProject*SUMPRODUCT((Cap_Point&lt;=I578)*(Cap_Kind="Lean")*Cap_Ln)))</x:f>
        <x:v>60</x:v>
      </x:c>
      <x:c r="L578" s="10" t="n">
        <x:f>INDEX(v01_HousingCap,G578)*EXP(v01_CapsByProject*SUMPRODUCT((Cap_Point&lt;=I578)*(Cap_Kind="Housing")*Cap_Ln))</x:f>
        <x:v>100</x:v>
      </x:c>
      <x:c r="M578" s="10" t="n">
        <x:f>INDEX(v01_GroupCap,G578)*v01_CohesionFactor*EXP(v01_CapsByProject*SUMPRODUCT((Cap_Point&lt;=I578)*(Cap_Kind="Group")*Cap_Ln))</x:f>
        <x:v>500</x:v>
      </x:c>
      <x:c r="N578" s="32" t="n">
        <x:f>MIN(J578,L578,M578)</x:f>
        <x:v>60</x:v>
      </x:c>
      <x:c r="O578" s="10" t="n">
        <x:f>AE577*N578</x:f>
        <x:v>180</x:v>
      </x:c>
      <x:c r="P578" s="9" t="n">
        <x:f>MIN(1,(AB577/(AE577*IF(v01_GroupInCrowding=1,N578,MIN(J578,L578))))^v01_CrowdingExp)</x:f>
        <x:v>0.2636685837765671</x:v>
      </x:c>
      <x:c r="Q578" s="9" t="n">
        <x:f>IF(D578=1,INDEX(v01_WinterMult,G578),1)</x:f>
        <x:v>1</x:v>
      </x:c>
      <x:c r="R578" s="9" t="n">
        <x:f>H578*Z577*v01_WomenShare*v01_BaseFertility*INDEX(v01_FertMult,G578)*Arch_Fertility*(1-P578)</x:f>
        <x:v>1.8611146627651365</x:v>
      </x:c>
      <x:c r="S578" s="9" t="n">
        <x:f>H578*Y577*INDEX(v01_MortChild,G578)/4*Q578</x:f>
        <x:v>0.549639746769633</x:v>
      </x:c>
      <x:c r="T578" s="9" t="n">
        <x:f>H578*Z577*INDEX(v01_MortAdult,G578)*Arch_AdultMort/4*Q578</x:f>
        <x:v>0.187225945209674</x:v>
      </x:c>
      <x:c r="U578" s="9" t="n">
        <x:f>H578*AA577*INDEX(v01_MortElder,G578)/4*Q578</x:f>
        <x:v>0.33100590792246204</x:v>
      </x:c>
      <x:c r="V578" s="9" t="n">
        <x:f>H578*MAX(0,AB577-O578)*v01_OvercapLoss</x:f>
        <x:v>0</x:v>
      </x:c>
      <x:c r="W578" s="9" t="n">
        <x:f>H578*Y577/(v01_ChildYears*4)</x:f>
        <x:v>1.1217137689176184</x:v>
      </x:c>
      <x:c r="X578" s="9" t="n">
        <x:f>H578*Z577/(v01_AdultYears*4)</x:f>
        <x:v>0.5032955516389086</x:v>
      </x:c>
      <x:c r="Y578" s="32" t="n">
        <x:f>Y577+R578-S578-W578-Y577*V578/AB577</x:f>
        <x:v>63.005732206464515</x:v>
      </x:c>
      <x:c r="Z578" s="32" t="n">
        <x:f>Z577+W578-X578-T578-Z577*V578/AB577</x:f>
        <x:v>62.8398406752937</x:v>
      </x:c>
      <x:c r="AA578" s="32" t="n">
        <x:f>AA577+X578-U578-AA577*V578/AB577</x:f>
        <x:v>19.086912953571417</x:v>
      </x:c>
      <x:c r="AB578" s="10" t="n">
        <x:f>Y578+Z578+AA578</x:f>
        <x:v>144.93248583532963</x:v>
      </x:c>
      <x:c r="AC578" s="8" t="n">
        <x:f>IF(AND(v01_WinterTrigger=1,D578=1,AB577/AE577&gt;=K578),1,0)</x:f>
        <x:v>0</x:v>
      </x:c>
      <x:c r="AD578" s="8" t="n">
        <x:f>H578*IF(AND(OR(AB577/AE577&gt;=v01_FissionTrigger*N578,AC578=1),AB577/AE577*v01_DaughterShare&gt;=v01_MinDaughter),MAX(1,ROUND(AE577*v01_FissionRate,0)),0)</x:f>
        <x:v>0</x:v>
      </x:c>
      <x:c r="AE578" s="8" t="n">
        <x:f>IF(H578=1,MAX(1,MIN(INDEX(v01_Smax,G578),AE577+AD578)),AE577)</x:f>
        <x:v>3</x:v>
      </x:c>
      <x:c r="AF578" s="8" t="n">
        <x:f>MAX(0,AE578-AE577)</x:f>
        <x:v>0</x:v>
      </x:c>
      <x:c r="AG578" s="9" t="str">
        <x:f>IF(AF578&gt;0,B578,"")</x:f>
      </x:c>
      <x:c r="AH578" s="9" t="n">
        <x:f>IF(F578&gt;=1,1,(1+v01_LowTiesShare*(AE578-1))/AE578)</x:f>
        <x:v>1</x:v>
      </x:c>
      <x:c r="AI578" s="32" t="n">
        <x:f>(Z578+v01_ElderCommons*INDEX(LM_Elder,G578)*AA578)*AH578</x:f>
        <x:v>120.10057953600796</x:v>
      </x:c>
      <x:c r="AJ578" s="32" t="n">
        <x:f>H578*v01_CommonsCoef*AI578^v01_CommonsExp*INDEX(LM_Commons,G578)</x:f>
        <x:v>38.6506919318956</x:v>
      </x:c>
      <x:c r="AK578" s="32" t="n">
        <x:f>H578*v01_RoleScale*Arch_Roles*(AE578*(INDEX(v01_ElderRolePerSett,G578)*v01_OutElder*INDEX(LM_Elder,G578)+INDEX(v01_ShamanPerSett,G578)*v01_OutShaman)+Z578*(INDEX(v01_PriestShare,G578)*v01_OutPriest+INDEX(v01_ScribeShare,G578)*v01_OutScribe*INDEX(LM_Scribe,G578)+INDEX(v01_ScholarShare,G578)*v01_OutScholar*INDEX(LM_Scholar,G578)+INDEX(v01_ResearcherShare,G578)*v01_OutResearcher*INDEX(LM_Researcher,G578)))</x:f>
        <x:v>9</x:v>
      </x:c>
      <x:c r="AL578" s="32" t="n">
        <x:f>H578*v01_RoleScale*Arch_Roles*AE578*INDEX(v01_MonasteryPerSett,G578)*v01_OutMonastery*INDEX(LM_Monastery,G578)</x:f>
        <x:v>0</x:v>
      </x:c>
      <x:c r="AM578" s="32" t="n">
        <x:f>(AJ578+AK578+AL578)/4*INDEX(LM_All,G578)*INDEX(v01_Boon,G578)*Arch_Insight</x:f>
        <x:v>12.515752052736953</x:v>
      </x:c>
      <x:c r="AN578" s="32" t="n">
        <x:f>H578*(v01_KHPerAdult*Z578+v01_KHOfCommons*AJ578/4*INDEX(LM_All,G578))*v01_KHUsable*Arch_KH</x:f>
        <x:v>2.1993944236352796</x:v>
      </x:c>
      <x:c r="AO578" s="32" t="n">
        <x:f>MIN(AP577+AN578,AM578*v01_KHMaxRatio)</x:f>
        <x:v>2.1993944236352796</x:v>
      </x:c>
      <x:c r="AP578" s="32" t="n">
        <x:f>AP577+AN578-AO578</x:f>
        <x:v>0</x:v>
      </x:c>
      <x:c r="AQ578" s="32" t="n">
        <x:f>AM578+AO578</x:f>
        <x:v>14.715146476372233</x:v>
      </x:c>
      <x:c r="AR578" s="10" t="n">
        <x:f>IF(H578=1,INDEX(v01_Req,G578),0)</x:f>
        <x:v>4006.9599999999996</x:v>
      </x:c>
      <x:c r="AS578" s="32" t="n">
        <x:f>IF(H578=1,IF(E578=1,AS577-AR577,AS577)+AQ578,0)</x:f>
        <x:v>1055.1049313373771</x:v>
      </x:c>
      <x:c r="AT578" s="11" t="n">
        <x:f>IF(AR578&gt;0,MIN(1,AS578/AR578),1)</x:f>
        <x:v>0.26331805941096925</x:v>
      </x:c>
      <x:c r="AU578" s="10" t="n">
        <x:f>AB578/INDEX(v01_RepScale,G578)</x:f>
        <x:v>72.46624291766481</x:v>
      </x:c>
      <x:c r="AV578" s="32" t="n">
        <x:f>AM578*60/v01_SeasonSeconds</x:f>
        <x:v>50.063008210947814</x:v>
      </x:c>
    </x:row>
    <x:row r="579">
      <x:c r="A579" s="8" t="n">
        <x:f>A578+1</x:f>
        <x:v>576</x:v>
      </x:c>
      <x:c r="B579" s="9" t="n">
        <x:f>A579*v01_SeasonSeconds/60</x:f>
        <x:v>144</x:v>
      </x:c>
      <x:c r="C579" s="9" t="n">
        <x:f>A579/4</x:f>
        <x:v>144</x:v>
      </x:c>
      <x:c r="D579" s="8" t="n">
        <x:f>IF(MOD(A579,4)=0,1,0)</x:f>
        <x:v>1</x:v>
      </x:c>
      <x:c r="E579" s="8" t="n">
        <x:f>IF(AND(F578&lt;=9,AS578&gt;=AR578),1,0)</x:f>
        <x:v>0</x:v>
      </x:c>
      <x:c r="F579" s="8" t="n">
        <x:f>MIN(10,F578+E579)</x:f>
        <x:v>2</x:v>
      </x:c>
      <x:c r="G579" s="8" t="n">
        <x:f>MIN(F579,9)+1</x:f>
        <x:v>3</x:v>
      </x:c>
      <x:c r="H579" s="8" t="n">
        <x:f>IF(F579&lt;=9,1,0)</x:f>
        <x:v>1</x:v>
      </x:c>
      <x:c r="I579" s="9" t="n">
        <x:f>MIN(10,F578+IF(AR578&gt;0,MIN(1,AS578/AR578),1))</x:f>
        <x:v>2.2633180594109694</x:v>
      </x:c>
      <x:c r="J579" s="32" t="n">
        <x:f>INDEX(v01_FoodCap,G579)*Arch_FoodCap*EXP(v01_CapsByProject*SUMPRODUCT((Cap_Point&lt;=I579)*(Cap_Kind="Food")*Cap_Ln))</x:f>
        <x:v>60</x:v>
      </x:c>
      <x:c r="K579" s="32" t="n">
        <x:f>J579*MIN(1,v01_LeanBase*EXP(v01_CapsByProject*SUMPRODUCT((Cap_Point&lt;=I579)*(Cap_Kind="Lean")*Cap_Ln)))</x:f>
        <x:v>60</x:v>
      </x:c>
      <x:c r="L579" s="10" t="n">
        <x:f>INDEX(v01_HousingCap,G579)*EXP(v01_CapsByProject*SUMPRODUCT((Cap_Point&lt;=I579)*(Cap_Kind="Housing")*Cap_Ln))</x:f>
        <x:v>100</x:v>
      </x:c>
      <x:c r="M579" s="10" t="n">
        <x:f>INDEX(v01_GroupCap,G579)*v01_CohesionFactor*EXP(v01_CapsByProject*SUMPRODUCT((Cap_Point&lt;=I579)*(Cap_Kind="Group")*Cap_Ln))</x:f>
        <x:v>500</x:v>
      </x:c>
      <x:c r="N579" s="32" t="n">
        <x:f>MIN(J579,L579,M579)</x:f>
        <x:v>60</x:v>
      </x:c>
      <x:c r="O579" s="10" t="n">
        <x:f>AE578*N579</x:f>
        <x:v>180</x:v>
      </x:c>
      <x:c r="P579" s="9" t="n">
        <x:f>MIN(1,(AB578/(AE578*IF(v01_GroupInCrowding=1,N579,MIN(J579,L579))))^v01_CrowdingExp)</x:f>
        <x:v>0.27249555117262486</x:v>
      </x:c>
      <x:c r="Q579" s="9" t="n">
        <x:f>IF(D579=1,INDEX(v01_WinterMult,G579),1)</x:f>
        <x:v>1.3</x:v>
      </x:c>
      <x:c r="R579" s="9" t="n">
        <x:f>H579*Z578*v01_WomenShare*v01_BaseFertility*INDEX(v01_FertMult,G579)*Arch_Fertility*(1-P579)</x:f>
        <x:v>1.8515086780226246</x:v>
      </x:c>
      <x:c r="S579" s="9" t="n">
        <x:f>H579*Y578*INDEX(v01_MortChild,G579)/4*Q579</x:f>
        <x:v>0.7166902038485339</x:v>
      </x:c>
      <x:c r="T579" s="9" t="n">
        <x:f>H579*Z578*INDEX(v01_MortAdult,G579)*Arch_AdultMort/4*Q579</x:f>
        <x:v>0.24507537863364542</x:v>
      </x:c>
      <x:c r="U579" s="9" t="n">
        <x:f>H579*AA578*INDEX(v01_MortElder,G579)/4*Q579</x:f>
        <x:v>0.4342272696937498</x:v>
      </x:c>
      <x:c r="V579" s="9" t="n">
        <x:f>H579*MAX(0,AB578-O579)*v01_OvercapLoss</x:f>
        <x:v>0</x:v>
      </x:c>
      <x:c r="W579" s="9" t="n">
        <x:f>H579*Y578/(v01_ChildYears*4)</x:f>
        <x:v>1.1251023608297235</x:v>
      </x:c>
      <x:c r="X579" s="9" t="n">
        <x:f>H579*Z578/(v01_AdultYears*4)</x:f>
        <x:v>0.5067729086717234</x:v>
      </x:c>
      <x:c r="Y579" s="32" t="n">
        <x:f>Y578+R579-S579-W579-Y578*V579/AB578</x:f>
        <x:v>63.01544831980889</x:v>
      </x:c>
      <x:c r="Z579" s="32" t="n">
        <x:f>Z578+W579-X579-T579-Z578*V579/AB578</x:f>
        <x:v>63.21309474881806</x:v>
      </x:c>
      <x:c r="AA579" s="32" t="n">
        <x:f>AA578+X579-U579-AA578*V579/AB578</x:f>
        <x:v>19.15945859254939</x:v>
      </x:c>
      <x:c r="AB579" s="10" t="n">
        <x:f>Y579+Z579+AA579</x:f>
        <x:v>145.38800166117633</x:v>
      </x:c>
      <x:c r="AC579" s="8" t="n">
        <x:f>IF(AND(v01_WinterTrigger=1,D579=1,AB578/AE578&gt;=K579),1,0)</x:f>
        <x:v>0</x:v>
      </x:c>
      <x:c r="AD579" s="8" t="n">
        <x:f>H579*IF(AND(OR(AB578/AE578&gt;=v01_FissionTrigger*N579,AC579=1),AB578/AE578*v01_DaughterShare&gt;=v01_MinDaughter),MAX(1,ROUND(AE578*v01_FissionRate,0)),0)</x:f>
        <x:v>0</x:v>
      </x:c>
      <x:c r="AE579" s="8" t="n">
        <x:f>IF(H579=1,MAX(1,MIN(INDEX(v01_Smax,G579),AE578+AD579)),AE578)</x:f>
        <x:v>3</x:v>
      </x:c>
      <x:c r="AF579" s="8" t="n">
        <x:f>MAX(0,AE579-AE578)</x:f>
        <x:v>0</x:v>
      </x:c>
      <x:c r="AG579" s="9" t="str">
        <x:f>IF(AF579&gt;0,B579,"")</x:f>
      </x:c>
      <x:c r="AH579" s="9" t="n">
        <x:f>IF(F579&gt;=1,1,(1+v01_LowTiesShare*(AE579-1))/AE579)</x:f>
        <x:v>1</x:v>
      </x:c>
      <x:c r="AI579" s="32" t="n">
        <x:f>(Z579+v01_ElderCommons*INDEX(LM_Elder,G579)*AA579)*AH579</x:f>
        <x:v>120.69147052646623</x:v>
      </x:c>
      <x:c r="AJ579" s="32" t="n">
        <x:f>H579*v01_CommonsCoef*AI579^v01_CommonsExp*INDEX(LM_Commons,G579)</x:f>
        <x:v>38.81226853827553</x:v>
      </x:c>
      <x:c r="AK579" s="32" t="n">
        <x:f>H579*v01_RoleScale*Arch_Roles*(AE579*(INDEX(v01_ElderRolePerSett,G579)*v01_OutElder*INDEX(LM_Elder,G579)+INDEX(v01_ShamanPerSett,G579)*v01_OutShaman)+Z579*(INDEX(v01_PriestShare,G579)*v01_OutPriest+INDEX(v01_ScribeShare,G579)*v01_OutScribe*INDEX(LM_Scribe,G579)+INDEX(v01_ScholarShare,G579)*v01_OutScholar*INDEX(LM_Scholar,G579)+INDEX(v01_ResearcherShare,G579)*v01_OutResearcher*INDEX(LM_Researcher,G579)))</x:f>
        <x:v>9</x:v>
      </x:c>
      <x:c r="AL579" s="32" t="n">
        <x:f>H579*v01_RoleScale*Arch_Roles*AE579*INDEX(v01_MonasteryPerSett,G579)*v01_OutMonastery*INDEX(LM_Monastery,G579)</x:f>
        <x:v>0</x:v>
      </x:c>
      <x:c r="AM579" s="32" t="n">
        <x:f>(AJ579+AK579+AL579)/4*INDEX(LM_All,G579)*INDEX(v01_Boon,G579)*Arch_Insight</x:f>
        <x:v>12.558191158256431</x:v>
      </x:c>
      <x:c r="AN579" s="32" t="n">
        <x:f>H579*(v01_KHPerAdult*Z579+v01_KHOfCommons*AJ579/4*INDEX(LM_All,G579))*v01_KHUsable*Arch_KH</x:f>
        <x:v>2.212458316208632</x:v>
      </x:c>
      <x:c r="AO579" s="32" t="n">
        <x:f>MIN(AP578+AN579,AM579*v01_KHMaxRatio)</x:f>
        <x:v>2.212458316208632</x:v>
      </x:c>
      <x:c r="AP579" s="32" t="n">
        <x:f>AP578+AN579-AO579</x:f>
        <x:v>0</x:v>
      </x:c>
      <x:c r="AQ579" s="32" t="n">
        <x:f>AM579+AO579</x:f>
        <x:v>14.770649474465063</x:v>
      </x:c>
      <x:c r="AR579" s="10" t="n">
        <x:f>IF(H579=1,INDEX(v01_Req,G579),0)</x:f>
        <x:v>4006.9599999999996</x:v>
      </x:c>
      <x:c r="AS579" s="32" t="n">
        <x:f>IF(H579=1,IF(E579=1,AS578-AR578,AS578)+AQ579,0)</x:f>
        <x:v>1069.8755808118422</x:v>
      </x:c>
      <x:c r="AT579" s="11" t="n">
        <x:f>IF(AR579&gt;0,MIN(1,AS579/AR579),1)</x:f>
        <x:v>0.2670043077075494</x:v>
      </x:c>
      <x:c r="AU579" s="10" t="n">
        <x:f>AB579/INDEX(v01_RepScale,G579)</x:f>
        <x:v>72.69400083058817</x:v>
      </x:c>
      <x:c r="AV579" s="32" t="n">
        <x:f>AM579*60/v01_SeasonSeconds</x:f>
        <x:v>50.232764633025724</x:v>
      </x:c>
    </x:row>
    <x:row r="580">
      <x:c r="A580" s="8" t="n">
        <x:f>A579+1</x:f>
        <x:v>577</x:v>
      </x:c>
      <x:c r="B580" s="9" t="n">
        <x:f>A580*v01_SeasonSeconds/60</x:f>
        <x:v>144.25</x:v>
      </x:c>
      <x:c r="C580" s="9" t="n">
        <x:f>A580/4</x:f>
        <x:v>144.25</x:v>
      </x:c>
      <x:c r="D580" s="8" t="n">
        <x:f>IF(MOD(A580,4)=0,1,0)</x:f>
        <x:v>0</x:v>
      </x:c>
      <x:c r="E580" s="8" t="n">
        <x:f>IF(AND(F579&lt;=9,AS579&gt;=AR579),1,0)</x:f>
        <x:v>0</x:v>
      </x:c>
      <x:c r="F580" s="8" t="n">
        <x:f>MIN(10,F579+E580)</x:f>
        <x:v>2</x:v>
      </x:c>
      <x:c r="G580" s="8" t="n">
        <x:f>MIN(F580,9)+1</x:f>
        <x:v>3</x:v>
      </x:c>
      <x:c r="H580" s="8" t="n">
        <x:f>IF(F580&lt;=9,1,0)</x:f>
        <x:v>1</x:v>
      </x:c>
      <x:c r="I580" s="9" t="n">
        <x:f>MIN(10,F579+IF(AR579&gt;0,MIN(1,AS579/AR579),1))</x:f>
        <x:v>2.2670043077075492</x:v>
      </x:c>
      <x:c r="J580" s="32" t="n">
        <x:f>INDEX(v01_FoodCap,G580)*Arch_FoodCap*EXP(v01_CapsByProject*SUMPRODUCT((Cap_Point&lt;=I580)*(Cap_Kind="Food")*Cap_Ln))</x:f>
        <x:v>60</x:v>
      </x:c>
      <x:c r="K580" s="32" t="n">
        <x:f>J580*MIN(1,v01_LeanBase*EXP(v01_CapsByProject*SUMPRODUCT((Cap_Point&lt;=I580)*(Cap_Kind="Lean")*Cap_Ln)))</x:f>
        <x:v>60</x:v>
      </x:c>
      <x:c r="L580" s="10" t="n">
        <x:f>INDEX(v01_HousingCap,G580)*EXP(v01_CapsByProject*SUMPRODUCT((Cap_Point&lt;=I580)*(Cap_Kind="Housing")*Cap_Ln))</x:f>
        <x:v>100</x:v>
      </x:c>
      <x:c r="M580" s="10" t="n">
        <x:f>INDEX(v01_GroupCap,G580)*v01_CohesionFactor*EXP(v01_CapsByProject*SUMPRODUCT((Cap_Point&lt;=I580)*(Cap_Kind="Group")*Cap_Ln))</x:f>
        <x:v>500</x:v>
      </x:c>
      <x:c r="N580" s="32" t="n">
        <x:f>MIN(J580,L580,M580)</x:f>
        <x:v>60</x:v>
      </x:c>
      <x:c r="O580" s="10" t="n">
        <x:f>AE579*N580</x:f>
        <x:v>180</x:v>
      </x:c>
      <x:c r="P580" s="9" t="n">
        <x:f>MIN(1,(AB579/(AE579*IF(v01_GroupInCrowding=1,N580,MIN(J580,L580))))^v01_CrowdingExp)</x:f>
        <x:v>0.27767473943247334</x:v>
      </x:c>
      <x:c r="Q580" s="9" t="n">
        <x:f>IF(D580=1,INDEX(v01_WinterMult,G580),1)</x:f>
        <x:v>1</x:v>
      </x:c>
      <x:c r="R580" s="9" t="n">
        <x:f>H580*Z579*v01_WomenShare*v01_BaseFertility*INDEX(v01_FertMult,G580)*Arch_Fertility*(1-P580)</x:f>
        <x:v>1.8492468129966502</x:v>
      </x:c>
      <x:c r="S580" s="9" t="n">
        <x:f>H580*Y579*INDEX(v01_MortChild,G580)/4*Q580</x:f>
        <x:v>0.5513851727983279</x:v>
      </x:c>
      <x:c r="T580" s="9" t="n">
        <x:f>H580*Z579*INDEX(v01_MortAdult,G580)*Arch_AdultMort/4*Q580</x:f>
        <x:v>0.18963928424645418</x:v>
      </x:c>
      <x:c r="U580" s="9" t="n">
        <x:f>H580*AA579*INDEX(v01_MortElder,G580)/4*Q580</x:f>
        <x:v>0.3352905253696144</x:v>
      </x:c>
      <x:c r="V580" s="9" t="n">
        <x:f>H580*MAX(0,AB579-O580)*v01_OvercapLoss</x:f>
        <x:v>0</x:v>
      </x:c>
      <x:c r="W580" s="9" t="n">
        <x:f>H580*Y579/(v01_ChildYears*4)</x:f>
        <x:v>1.1252758628537303</x:v>
      </x:c>
      <x:c r="X580" s="9" t="n">
        <x:f>H580*Z579/(v01_AdultYears*4)</x:f>
        <x:v>0.5097830221678875</x:v>
      </x:c>
      <x:c r="Y580" s="32" t="n">
        <x:f>Y579+R580-S580-W580-Y579*V580/AB579</x:f>
        <x:v>63.18803409715347</x:v>
      </x:c>
      <x:c r="Z580" s="32" t="n">
        <x:f>Z579+W580-X580-T580-Z579*V580/AB579</x:f>
        <x:v>63.63894830525745</x:v>
      </x:c>
      <x:c r="AA580" s="32" t="n">
        <x:f>AA579+X580-U580-AA579*V580/AB579</x:f>
        <x:v>19.333951089347664</x:v>
      </x:c>
      <x:c r="AB580" s="10" t="n">
        <x:f>Y580+Z580+AA580</x:f>
        <x:v>146.16093349175858</x:v>
      </x:c>
      <x:c r="AC580" s="8" t="n">
        <x:f>IF(AND(v01_WinterTrigger=1,D580=1,AB579/AE579&gt;=K580),1,0)</x:f>
        <x:v>0</x:v>
      </x:c>
      <x:c r="AD580" s="8" t="n">
        <x:f>H580*IF(AND(OR(AB579/AE579&gt;=v01_FissionTrigger*N580,AC580=1),AB579/AE579*v01_DaughterShare&gt;=v01_MinDaughter),MAX(1,ROUND(AE579*v01_FissionRate,0)),0)</x:f>
        <x:v>0</x:v>
      </x:c>
      <x:c r="AE580" s="8" t="n">
        <x:f>IF(H580=1,MAX(1,MIN(INDEX(v01_Smax,G580),AE579+AD580)),AE579)</x:f>
        <x:v>3</x:v>
      </x:c>
      <x:c r="AF580" s="8" t="n">
        <x:f>MAX(0,AE580-AE579)</x:f>
        <x:v>0</x:v>
      </x:c>
      <x:c r="AG580" s="9" t="str">
        <x:f>IF(AF580&gt;0,B580,"")</x:f>
      </x:c>
      <x:c r="AH580" s="9" t="n">
        <x:f>IF(F580&gt;=1,1,(1+v01_LowTiesShare*(AE580-1))/AE580)</x:f>
        <x:v>1</x:v>
      </x:c>
      <x:c r="AI580" s="32" t="n">
        <x:f>(Z580+v01_ElderCommons*INDEX(LM_Elder,G580)*AA580)*AH580</x:f>
        <x:v>121.64080157330045</x:v>
      </x:c>
      <x:c r="AJ580" s="32" t="n">
        <x:f>H580*v01_CommonsCoef*AI580^v01_CommonsExp*INDEX(LM_Commons,G580)</x:f>
        <x:v>39.07161095186227</x:v>
      </x:c>
      <x:c r="AK580" s="32" t="n">
        <x:f>H580*v01_RoleScale*Arch_Roles*(AE580*(INDEX(v01_ElderRolePerSett,G580)*v01_OutElder*INDEX(LM_Elder,G580)+INDEX(v01_ShamanPerSett,G580)*v01_OutShaman)+Z580*(INDEX(v01_PriestShare,G580)*v01_OutPriest+INDEX(v01_ScribeShare,G580)*v01_OutScribe*INDEX(LM_Scribe,G580)+INDEX(v01_ScholarShare,G580)*v01_OutScholar*INDEX(LM_Scholar,G580)+INDEX(v01_ResearcherShare,G580)*v01_OutResearcher*INDEX(LM_Researcher,G580)))</x:f>
        <x:v>9</x:v>
      </x:c>
      <x:c r="AL580" s="32" t="n">
        <x:f>H580*v01_RoleScale*Arch_Roles*AE580*INDEX(v01_MonasteryPerSett,G580)*v01_OutMonastery*INDEX(LM_Monastery,G580)</x:f>
        <x:v>0</x:v>
      </x:c>
      <x:c r="AM580" s="32" t="n">
        <x:f>(AJ580+AK580+AL580)/4*INDEX(LM_All,G580)*INDEX(v01_Boon,G580)*Arch_Insight</x:f>
        <x:v>12.626309064075073</x:v>
      </x:c>
      <x:c r="AN580" s="32" t="n">
        <x:f>H580*(v01_KHPerAdult*Z580+v01_KHOfCommons*AJ580/4*INDEX(LM_All,G580))*v01_KHUsable*Arch_KH</x:f>
        <x:v>2.227363190684011</x:v>
      </x:c>
      <x:c r="AO580" s="32" t="n">
        <x:f>MIN(AP579+AN580,AM580*v01_KHMaxRatio)</x:f>
        <x:v>2.227363190684011</x:v>
      </x:c>
      <x:c r="AP580" s="32" t="n">
        <x:f>AP579+AN580-AO580</x:f>
        <x:v>0</x:v>
      </x:c>
      <x:c r="AQ580" s="32" t="n">
        <x:f>AM580+AO580</x:f>
        <x:v>14.853672254759084</x:v>
      </x:c>
      <x:c r="AR580" s="10" t="n">
        <x:f>IF(H580=1,INDEX(v01_Req,G580),0)</x:f>
        <x:v>4006.9599999999996</x:v>
      </x:c>
      <x:c r="AS580" s="32" t="n">
        <x:f>IF(H580=1,IF(E580=1,AS579-AR579,AS579)+AQ580,0)</x:f>
        <x:v>1084.7292530666011</x:v>
      </x:c>
      <x:c r="AT580" s="11" t="n">
        <x:f>IF(AR580&gt;0,MIN(1,AS580/AR580),1)</x:f>
        <x:v>0.27071127564702446</x:v>
      </x:c>
      <x:c r="AU580" s="10" t="n">
        <x:f>AB580/INDEX(v01_RepScale,G580)</x:f>
        <x:v>73.08046674587929</x:v>
      </x:c>
      <x:c r="AV580" s="32" t="n">
        <x:f>AM580*60/v01_SeasonSeconds</x:f>
        <x:v>50.505236256300286</x:v>
      </x:c>
    </x:row>
    <x:row r="581">
      <x:c r="A581" s="8" t="n">
        <x:f>A580+1</x:f>
        <x:v>578</x:v>
      </x:c>
      <x:c r="B581" s="9" t="n">
        <x:f>A581*v01_SeasonSeconds/60</x:f>
        <x:v>144.5</x:v>
      </x:c>
      <x:c r="C581" s="9" t="n">
        <x:f>A581/4</x:f>
        <x:v>144.5</x:v>
      </x:c>
      <x:c r="D581" s="8" t="n">
        <x:f>IF(MOD(A581,4)=0,1,0)</x:f>
        <x:v>0</x:v>
      </x:c>
      <x:c r="E581" s="8" t="n">
        <x:f>IF(AND(F580&lt;=9,AS580&gt;=AR580),1,0)</x:f>
        <x:v>0</x:v>
      </x:c>
      <x:c r="F581" s="8" t="n">
        <x:f>MIN(10,F580+E581)</x:f>
        <x:v>2</x:v>
      </x:c>
      <x:c r="G581" s="8" t="n">
        <x:f>MIN(F581,9)+1</x:f>
        <x:v>3</x:v>
      </x:c>
      <x:c r="H581" s="8" t="n">
        <x:f>IF(F581&lt;=9,1,0)</x:f>
        <x:v>1</x:v>
      </x:c>
      <x:c r="I581" s="9" t="n">
        <x:f>MIN(10,F580+IF(AR580&gt;0,MIN(1,AS580/AR580),1))</x:f>
        <x:v>2.2707112756470247</x:v>
      </x:c>
      <x:c r="J581" s="32" t="n">
        <x:f>INDEX(v01_FoodCap,G581)*Arch_FoodCap*EXP(v01_CapsByProject*SUMPRODUCT((Cap_Point&lt;=I581)*(Cap_Kind="Food")*Cap_Ln))</x:f>
        <x:v>60</x:v>
      </x:c>
      <x:c r="K581" s="32" t="n">
        <x:f>J581*MIN(1,v01_LeanBase*EXP(v01_CapsByProject*SUMPRODUCT((Cap_Point&lt;=I581)*(Cap_Kind="Lean")*Cap_Ln)))</x:f>
        <x:v>60</x:v>
      </x:c>
      <x:c r="L581" s="10" t="n">
        <x:f>INDEX(v01_HousingCap,G581)*EXP(v01_CapsByProject*SUMPRODUCT((Cap_Point&lt;=I581)*(Cap_Kind="Housing")*Cap_Ln))</x:f>
        <x:v>100</x:v>
      </x:c>
      <x:c r="M581" s="10" t="n">
        <x:f>INDEX(v01_GroupCap,G581)*v01_CohesionFactor*EXP(v01_CapsByProject*SUMPRODUCT((Cap_Point&lt;=I581)*(Cap_Kind="Group")*Cap_Ln))</x:f>
        <x:v>500</x:v>
      </x:c>
      <x:c r="N581" s="32" t="n">
        <x:f>MIN(J581,L581,M581)</x:f>
        <x:v>60</x:v>
      </x:c>
      <x:c r="O581" s="10" t="n">
        <x:f>AE580*N581</x:f>
        <x:v>180</x:v>
      </x:c>
      <x:c r="P581" s="9" t="n">
        <x:f>MIN(1,(AB580/(AE580*IF(v01_GroupInCrowding=1,N581,MIN(J581,L581))))^v01_CrowdingExp)</x:f>
        <x:v>0.28665057538233385</x:v>
      </x:c>
      <x:c r="Q581" s="9" t="n">
        <x:f>IF(D581=1,INDEX(v01_WinterMult,G581),1)</x:f>
        <x:v>1</x:v>
      </x:c>
      <x:c r="R581" s="9" t="n">
        <x:f>H581*Z580*v01_WomenShare*v01_BaseFertility*INDEX(v01_FertMult,G581)*Arch_Fertility*(1-P581)</x:f>
        <x:v>1.8385706898515664</x:v>
      </x:c>
      <x:c r="S581" s="9" t="n">
        <x:f>H581*Y580*INDEX(v01_MortChild,G581)/4*Q581</x:f>
        <x:v>0.5528952983500929</x:v>
      </x:c>
      <x:c r="T581" s="9" t="n">
        <x:f>H581*Z580*INDEX(v01_MortAdult,G581)*Arch_AdultMort/4*Q581</x:f>
        <x:v>0.19091684491577235</x:v>
      </x:c>
      <x:c r="U581" s="9" t="n">
        <x:f>H581*AA580*INDEX(v01_MortElder,G581)/4*Q581</x:f>
        <x:v>0.33834414406358415</x:v>
      </x:c>
      <x:c r="V581" s="9" t="n">
        <x:f>H581*MAX(0,AB580-O581)*v01_OvercapLoss</x:f>
        <x:v>0</x:v>
      </x:c>
      <x:c r="W581" s="9" t="n">
        <x:f>H581*Y580/(v01_ChildYears*4)</x:f>
        <x:v>1.1283577517348833</x:v>
      </x:c>
      <x:c r="X581" s="9" t="n">
        <x:f>H581*Z580/(v01_AdultYears*4)</x:f>
        <x:v>0.5132173250423988</x:v>
      </x:c>
      <x:c r="Y581" s="32" t="n">
        <x:f>Y580+R581-S581-W581-Y580*V581/AB580</x:f>
        <x:v>63.345351736920065</x:v>
      </x:c>
      <x:c r="Z581" s="32" t="n">
        <x:f>Z580+W581-X581-T581-Z580*V581/AB580</x:f>
        <x:v>64.06317188703416</x:v>
      </x:c>
      <x:c r="AA581" s="32" t="n">
        <x:f>AA580+X581-U581-AA580*V581/AB580</x:f>
        <x:v>19.50882427032648</x:v>
      </x:c>
      <x:c r="AB581" s="10" t="n">
        <x:f>Y581+Z581+AA581</x:f>
        <x:v>146.9173478942807</x:v>
      </x:c>
      <x:c r="AC581" s="8" t="n">
        <x:f>IF(AND(v01_WinterTrigger=1,D581=1,AB580/AE580&gt;=K581),1,0)</x:f>
        <x:v>0</x:v>
      </x:c>
      <x:c r="AD581" s="8" t="n">
        <x:f>H581*IF(AND(OR(AB580/AE580&gt;=v01_FissionTrigger*N581,AC581=1),AB580/AE580*v01_DaughterShare&gt;=v01_MinDaughter),MAX(1,ROUND(AE580*v01_FissionRate,0)),0)</x:f>
        <x:v>0</x:v>
      </x:c>
      <x:c r="AE581" s="8" t="n">
        <x:f>IF(H581=1,MAX(1,MIN(INDEX(v01_Smax,G581),AE580+AD581)),AE580)</x:f>
        <x:v>3</x:v>
      </x:c>
      <x:c r="AF581" s="8" t="n">
        <x:f>MAX(0,AE581-AE580)</x:f>
        <x:v>0</x:v>
      </x:c>
      <x:c r="AG581" s="9" t="str">
        <x:f>IF(AF581&gt;0,B581,"")</x:f>
      </x:c>
      <x:c r="AH581" s="9" t="n">
        <x:f>IF(F581&gt;=1,1,(1+v01_LowTiesShare*(AE581-1))/AE581)</x:f>
        <x:v>1</x:v>
      </x:c>
      <x:c r="AI581" s="32" t="n">
        <x:f>(Z581+v01_ElderCommons*INDEX(LM_Elder,G581)*AA581)*AH581</x:f>
        <x:v>122.58964469801359</x:v>
      </x:c>
      <x:c r="AJ581" s="32" t="n">
        <x:f>H581*v01_CommonsCoef*AI581^v01_CommonsExp*INDEX(LM_Commons,G581)</x:f>
        <x:v>39.33051687948142</x:v>
      </x:c>
      <x:c r="AK581" s="32" t="n">
        <x:f>H581*v01_RoleScale*Arch_Roles*(AE581*(INDEX(v01_ElderRolePerSett,G581)*v01_OutElder*INDEX(LM_Elder,G581)+INDEX(v01_ShamanPerSett,G581)*v01_OutShaman)+Z581*(INDEX(v01_PriestShare,G581)*v01_OutPriest+INDEX(v01_ScribeShare,G581)*v01_OutScribe*INDEX(LM_Scribe,G581)+INDEX(v01_ScholarShare,G581)*v01_OutScholar*INDEX(LM_Scholar,G581)+INDEX(v01_ResearcherShare,G581)*v01_OutResearcher*INDEX(LM_Researcher,G581)))</x:f>
        <x:v>9</x:v>
      </x:c>
      <x:c r="AL581" s="32" t="n">
        <x:f>H581*v01_RoleScale*Arch_Roles*AE581*INDEX(v01_MonasteryPerSett,G581)*v01_OutMonastery*INDEX(LM_Monastery,G581)</x:f>
        <x:v>0</x:v>
      </x:c>
      <x:c r="AM581" s="32" t="n">
        <x:f>(AJ581+AK581+AL581)/4*INDEX(LM_All,G581)*INDEX(v01_Boon,G581)*Arch_Insight</x:f>
        <x:v>12.694312324126292</x:v>
      </x:c>
      <x:c r="AN581" s="32" t="n">
        <x:f>H581*(v01_KHPerAdult*Z581+v01_KHOfCommons*AJ581/4*INDEX(LM_All,G581))*v01_KHUsable*Arch_KH</x:f>
        <x:v>2.2422110160461957</x:v>
      </x:c>
      <x:c r="AO581" s="32" t="n">
        <x:f>MIN(AP580+AN581,AM581*v01_KHMaxRatio)</x:f>
        <x:v>2.2422110160461957</x:v>
      </x:c>
      <x:c r="AP581" s="32" t="n">
        <x:f>AP580+AN581-AO581</x:f>
        <x:v>0</x:v>
      </x:c>
      <x:c r="AQ581" s="32" t="n">
        <x:f>AM581+AO581</x:f>
        <x:v>14.936523340172489</x:v>
      </x:c>
      <x:c r="AR581" s="10" t="n">
        <x:f>IF(H581=1,INDEX(v01_Req,G581),0)</x:f>
        <x:v>4006.9599999999996</x:v>
      </x:c>
      <x:c r="AS581" s="32" t="n">
        <x:f>IF(H581=1,IF(E581=1,AS580-AR580,AS580)+AQ581,0)</x:f>
        <x:v>1099.6657764067736</x:v>
      </x:c>
      <x:c r="AT581" s="11" t="n">
        <x:f>IF(AR581&gt;0,MIN(1,AS581/AR581),1)</x:f>
        <x:v>0.2744389203802318</x:v>
      </x:c>
      <x:c r="AU581" s="10" t="n">
        <x:f>AB581/INDEX(v01_RepScale,G581)</x:f>
        <x:v>73.45867394714035</x:v>
      </x:c>
      <x:c r="AV581" s="32" t="n">
        <x:f>AM581*60/v01_SeasonSeconds</x:f>
        <x:v>50.77724929650517</x:v>
      </x:c>
    </x:row>
    <x:row r="582">
      <x:c r="A582" s="8" t="n">
        <x:f>A581+1</x:f>
        <x:v>579</x:v>
      </x:c>
      <x:c r="B582" s="9" t="n">
        <x:f>A582*v01_SeasonSeconds/60</x:f>
        <x:v>144.75</x:v>
      </x:c>
      <x:c r="C582" s="9" t="n">
        <x:f>A582/4</x:f>
        <x:v>144.75</x:v>
      </x:c>
      <x:c r="D582" s="8" t="n">
        <x:f>IF(MOD(A582,4)=0,1,0)</x:f>
        <x:v>0</x:v>
      </x:c>
      <x:c r="E582" s="8" t="n">
        <x:f>IF(AND(F581&lt;=9,AS581&gt;=AR581),1,0)</x:f>
        <x:v>0</x:v>
      </x:c>
      <x:c r="F582" s="8" t="n">
        <x:f>MIN(10,F581+E582)</x:f>
        <x:v>2</x:v>
      </x:c>
      <x:c r="G582" s="8" t="n">
        <x:f>MIN(F582,9)+1</x:f>
        <x:v>3</x:v>
      </x:c>
      <x:c r="H582" s="8" t="n">
        <x:f>IF(F582&lt;=9,1,0)</x:f>
        <x:v>1</x:v>
      </x:c>
      <x:c r="I582" s="9" t="n">
        <x:f>MIN(10,F581+IF(AR581&gt;0,MIN(1,AS581/AR581),1))</x:f>
        <x:v>2.274438920380232</x:v>
      </x:c>
      <x:c r="J582" s="32" t="n">
        <x:f>INDEX(v01_FoodCap,G582)*Arch_FoodCap*EXP(v01_CapsByProject*SUMPRODUCT((Cap_Point&lt;=I582)*(Cap_Kind="Food")*Cap_Ln))</x:f>
        <x:v>60</x:v>
      </x:c>
      <x:c r="K582" s="32" t="n">
        <x:f>J582*MIN(1,v01_LeanBase*EXP(v01_CapsByProject*SUMPRODUCT((Cap_Point&lt;=I582)*(Cap_Kind="Lean")*Cap_Ln)))</x:f>
        <x:v>60</x:v>
      </x:c>
      <x:c r="L582" s="10" t="n">
        <x:f>INDEX(v01_HousingCap,G582)*EXP(v01_CapsByProject*SUMPRODUCT((Cap_Point&lt;=I582)*(Cap_Kind="Housing")*Cap_Ln))</x:f>
        <x:v>100</x:v>
      </x:c>
      <x:c r="M582" s="10" t="n">
        <x:f>INDEX(v01_GroupCap,G582)*v01_CohesionFactor*EXP(v01_CapsByProject*SUMPRODUCT((Cap_Point&lt;=I582)*(Cap_Kind="Group")*Cap_Ln))</x:f>
        <x:v>500</x:v>
      </x:c>
      <x:c r="N582" s="32" t="n">
        <x:f>MIN(J582,L582,M582)</x:f>
        <x:v>60</x:v>
      </x:c>
      <x:c r="O582" s="10" t="n">
        <x:f>AE581*N582</x:f>
        <x:v>180</x:v>
      </x:c>
      <x:c r="P582" s="9" t="n">
        <x:f>MIN(1,(AB581/(AE581*IF(v01_GroupInCrowding=1,N582,MIN(J582,L582))))^v01_CrowdingExp)</x:f>
        <x:v>0.29566740482141657</x:v>
      </x:c>
      <x:c r="Q582" s="9" t="n">
        <x:f>IF(D582=1,INDEX(v01_WinterMult,G582),1)</x:f>
        <x:v>1</x:v>
      </x:c>
      <x:c r="R582" s="9" t="n">
        <x:f>H582*Z581*v01_WomenShare*v01_BaseFertility*INDEX(v01_FertMult,G582)*Arch_Fertility*(1-P582)</x:f>
        <x:v>1.8274320944779407</x:v>
      </x:c>
      <x:c r="S582" s="9" t="n">
        <x:f>H582*Y581*INDEX(v01_MortChild,G582)/4*Q582</x:f>
        <x:v>0.5542718276980506</x:v>
      </x:c>
      <x:c r="T582" s="9" t="n">
        <x:f>H582*Z581*INDEX(v01_MortAdult,G582)*Arch_AdultMort/4*Q582</x:f>
        <x:v>0.19218951566110248</x:v>
      </x:c>
      <x:c r="U582" s="9" t="n">
        <x:f>H582*AA581*INDEX(v01_MortElder,G582)/4*Q582</x:f>
        <x:v>0.3414044247307134</x:v>
      </x:c>
      <x:c r="V582" s="9" t="n">
        <x:f>H582*MAX(0,AB581-O582)*v01_OvercapLoss</x:f>
        <x:v>0</x:v>
      </x:c>
      <x:c r="W582" s="9" t="n">
        <x:f>H582*Y581/(v01_ChildYears*4)</x:f>
        <x:v>1.131166995302144</x:v>
      </x:c>
      <x:c r="X582" s="9" t="n">
        <x:f>H582*Z581/(v01_AdultYears*4)</x:f>
        <x:v>0.5166384829599528</x:v>
      </x:c>
      <x:c r="Y582" s="32" t="n">
        <x:f>Y581+R582-S582-W582-Y581*V582/AB581</x:f>
        <x:v>63.48734500839782</x:v>
      </x:c>
      <x:c r="Z582" s="32" t="n">
        <x:f>Z581+W582-X582-T582-Z581*V582/AB581</x:f>
        <x:v>64.48551088371525</x:v>
      </x:c>
      <x:c r="AA582" s="32" t="n">
        <x:f>AA581+X582-U582-AA581*V582/AB581</x:f>
        <x:v>19.684058328555718</x:v>
      </x:c>
      <x:c r="AB582" s="10" t="n">
        <x:f>Y582+Z582+AA582</x:f>
        <x:v>147.6569142206688</x:v>
      </x:c>
      <x:c r="AC582" s="8" t="n">
        <x:f>IF(AND(v01_WinterTrigger=1,D582=1,AB581/AE581&gt;=K582),1,0)</x:f>
        <x:v>0</x:v>
      </x:c>
      <x:c r="AD582" s="8" t="n">
        <x:f>H582*IF(AND(OR(AB581/AE581&gt;=v01_FissionTrigger*N582,AC582=1),AB581/AE581*v01_DaughterShare&gt;=v01_MinDaughter),MAX(1,ROUND(AE581*v01_FissionRate,0)),0)</x:f>
        <x:v>0</x:v>
      </x:c>
      <x:c r="AE582" s="8" t="n">
        <x:f>IF(H582=1,MAX(1,MIN(INDEX(v01_Smax,G582),AE581+AD582)),AE581)</x:f>
        <x:v>3</x:v>
      </x:c>
      <x:c r="AF582" s="8" t="n">
        <x:f>MAX(0,AE582-AE581)</x:f>
        <x:v>0</x:v>
      </x:c>
      <x:c r="AG582" s="9" t="str">
        <x:f>IF(AF582&gt;0,B582,"")</x:f>
      </x:c>
      <x:c r="AH582" s="9" t="n">
        <x:f>IF(F582&gt;=1,1,(1+v01_LowTiesShare*(AE582-1))/AE582)</x:f>
        <x:v>1</x:v>
      </x:c>
      <x:c r="AI582" s="32" t="n">
        <x:f>(Z582+v01_ElderCommons*INDEX(LM_Elder,G582)*AA582)*AH582</x:f>
        <x:v>123.5376858693824</x:v>
      </x:c>
      <x:c r="AJ582" s="32" t="n">
        <x:f>H582*v01_CommonsCoef*AI582^v01_CommonsExp*INDEX(LM_Commons,G582)</x:f>
        <x:v>39.58890394388868</x:v>
      </x:c>
      <x:c r="AK582" s="32" t="n">
        <x:f>H582*v01_RoleScale*Arch_Roles*(AE582*(INDEX(v01_ElderRolePerSett,G582)*v01_OutElder*INDEX(LM_Elder,G582)+INDEX(v01_ShamanPerSett,G582)*v01_OutShaman)+Z582*(INDEX(v01_PriestShare,G582)*v01_OutPriest+INDEX(v01_ScribeShare,G582)*v01_OutScribe*INDEX(LM_Scribe,G582)+INDEX(v01_ScholarShare,G582)*v01_OutScholar*INDEX(LM_Scholar,G582)+INDEX(v01_ResearcherShare,G582)*v01_OutResearcher*INDEX(LM_Researcher,G582)))</x:f>
        <x:v>9</x:v>
      </x:c>
      <x:c r="AL582" s="32" t="n">
        <x:f>H582*v01_RoleScale*Arch_Roles*AE582*INDEX(v01_MonasteryPerSett,G582)*v01_OutMonastery*INDEX(LM_Monastery,G582)</x:f>
        <x:v>0</x:v>
      </x:c>
      <x:c r="AM582" s="32" t="n">
        <x:f>(AJ582+AK582+AL582)/4*INDEX(LM_All,G582)*INDEX(v01_Boon,G582)*Arch_Insight</x:f>
        <x:v>12.76217930151201</x:v>
      </x:c>
      <x:c r="AN582" s="32" t="n">
        <x:f>H582*(v01_KHPerAdult*Z582+v01_KHOfCommons*AJ582/4*INDEX(LM_All,G582))*v01_KHUsable*Arch_KH</x:f>
        <x:v>2.2569928809300337</x:v>
      </x:c>
      <x:c r="AO582" s="32" t="n">
        <x:f>MIN(AP581+AN582,AM582*v01_KHMaxRatio)</x:f>
        <x:v>2.2569928809300337</x:v>
      </x:c>
      <x:c r="AP582" s="32" t="n">
        <x:f>AP581+AN582-AO582</x:f>
        <x:v>0</x:v>
      </x:c>
      <x:c r="AQ582" s="32" t="n">
        <x:f>AM582+AO582</x:f>
        <x:v>15.019172182442043</x:v>
      </x:c>
      <x:c r="AR582" s="10" t="n">
        <x:f>IF(H582=1,INDEX(v01_Req,G582),0)</x:f>
        <x:v>4006.9599999999996</x:v>
      </x:c>
      <x:c r="AS582" s="32" t="n">
        <x:f>IF(H582=1,IF(E582=1,AS581-AR581,AS581)+AQ582,0)</x:f>
        <x:v>1114.6849485892155</x:v>
      </x:c>
      <x:c r="AT582" s="11" t="n">
        <x:f>IF(AR582&gt;0,MIN(1,AS582/AR582),1)</x:f>
        <x:v>0.2781871914342084</x:v>
      </x:c>
      <x:c r="AU582" s="10" t="n">
        <x:f>AB582/INDEX(v01_RepScale,G582)</x:f>
        <x:v>73.8284571103344</x:v>
      </x:c>
      <x:c r="AV582" s="32" t="n">
        <x:f>AM582*60/v01_SeasonSeconds</x:f>
        <x:v>51.04871720604804</x:v>
      </x:c>
    </x:row>
    <x:row r="583">
      <x:c r="A583" s="8" t="n">
        <x:f>A582+1</x:f>
        <x:v>580</x:v>
      </x:c>
      <x:c r="B583" s="9" t="n">
        <x:f>A583*v01_SeasonSeconds/60</x:f>
        <x:v>145</x:v>
      </x:c>
      <x:c r="C583" s="9" t="n">
        <x:f>A583/4</x:f>
        <x:v>145</x:v>
      </x:c>
      <x:c r="D583" s="8" t="n">
        <x:f>IF(MOD(A583,4)=0,1,0)</x:f>
        <x:v>1</x:v>
      </x:c>
      <x:c r="E583" s="8" t="n">
        <x:f>IF(AND(F582&lt;=9,AS582&gt;=AR582),1,0)</x:f>
        <x:v>0</x:v>
      </x:c>
      <x:c r="F583" s="8" t="n">
        <x:f>MIN(10,F582+E583)</x:f>
        <x:v>2</x:v>
      </x:c>
      <x:c r="G583" s="8" t="n">
        <x:f>MIN(F583,9)+1</x:f>
        <x:v>3</x:v>
      </x:c>
      <x:c r="H583" s="8" t="n">
        <x:f>IF(F583&lt;=9,1,0)</x:f>
        <x:v>1</x:v>
      </x:c>
      <x:c r="I583" s="9" t="n">
        <x:f>MIN(10,F582+IF(AR582&gt;0,MIN(1,AS582/AR582),1))</x:f>
        <x:v>2.2781871914342084</x:v>
      </x:c>
      <x:c r="J583" s="32" t="n">
        <x:f>INDEX(v01_FoodCap,G583)*Arch_FoodCap*EXP(v01_CapsByProject*SUMPRODUCT((Cap_Point&lt;=I583)*(Cap_Kind="Food")*Cap_Ln))</x:f>
        <x:v>60</x:v>
      </x:c>
      <x:c r="K583" s="32" t="n">
        <x:f>J583*MIN(1,v01_LeanBase*EXP(v01_CapsByProject*SUMPRODUCT((Cap_Point&lt;=I583)*(Cap_Kind="Lean")*Cap_Ln)))</x:f>
        <x:v>60</x:v>
      </x:c>
      <x:c r="L583" s="10" t="n">
        <x:f>INDEX(v01_HousingCap,G583)*EXP(v01_CapsByProject*SUMPRODUCT((Cap_Point&lt;=I583)*(Cap_Kind="Housing")*Cap_Ln))</x:f>
        <x:v>100</x:v>
      </x:c>
      <x:c r="M583" s="10" t="n">
        <x:f>INDEX(v01_GroupCap,G583)*v01_CohesionFactor*EXP(v01_CapsByProject*SUMPRODUCT((Cap_Point&lt;=I583)*(Cap_Kind="Group")*Cap_Ln))</x:f>
        <x:v>500</x:v>
      </x:c>
      <x:c r="N583" s="32" t="n">
        <x:f>MIN(J583,L583,M583)</x:f>
        <x:v>60</x:v>
      </x:c>
      <x:c r="O583" s="10" t="n">
        <x:f>AE582*N583</x:f>
        <x:v>180</x:v>
      </x:c>
      <x:c r="P583" s="9" t="n">
        <x:f>MIN(1,(AB582/(AE582*IF(v01_GroupInCrowding=1,N583,MIN(J583,L583))))^v01_CrowdingExp)</x:f>
        <x:v>0.30471069543540125</x:v>
      </x:c>
      <x:c r="Q583" s="9" t="n">
        <x:f>IF(D583=1,INDEX(v01_WinterMult,G583),1)</x:f>
        <x:v>1.3</x:v>
      </x:c>
      <x:c r="R583" s="9" t="n">
        <x:f>H583*Z582*v01_WomenShare*v01_BaseFertility*INDEX(v01_FertMult,G583)*Arch_Fertility*(1-P583)</x:f>
        <x:v>1.8158614836816653</x:v>
      </x:c>
      <x:c r="S583" s="9" t="n">
        <x:f>H583*Y582*INDEX(v01_MortChild,G583)/4*Q583</x:f>
        <x:v>0.7221685494705253</x:v>
      </x:c>
      <x:c r="T583" s="9" t="n">
        <x:f>H583*Z582*INDEX(v01_MortAdult,G583)*Arch_AdultMort/4*Q583</x:f>
        <x:v>0.2514934924464895</x:v>
      </x:c>
      <x:c r="U583" s="9" t="n">
        <x:f>H583*AA582*INDEX(v01_MortElder,G583)/4*Q583</x:f>
        <x:v>0.4478123269746426</x:v>
      </x:c>
      <x:c r="V583" s="9" t="n">
        <x:f>H583*MAX(0,AB582-O583)*v01_OvercapLoss</x:f>
        <x:v>0</x:v>
      </x:c>
      <x:c r="W583" s="9" t="n">
        <x:f>H583*Y582/(v01_ChildYears*4)</x:f>
        <x:v>1.1337025894356754</x:v>
      </x:c>
      <x:c r="X583" s="9" t="n">
        <x:f>H583*Z582/(v01_AdultYears*4)</x:f>
        <x:v>0.5200444426106069</x:v>
      </x:c>
      <x:c r="Y583" s="32" t="n">
        <x:f>Y582+R583-S583-W583-Y582*V583/AB582</x:f>
        <x:v>63.44733535317328</x:v>
      </x:c>
      <x:c r="Z583" s="32" t="n">
        <x:f>Z582+W583-X583-T583-Z582*V583/AB582</x:f>
        <x:v>64.84767553809382</x:v>
      </x:c>
      <x:c r="AA583" s="32" t="n">
        <x:f>AA582+X583-U583-AA582*V583/AB582</x:f>
        <x:v>19.756290444191684</x:v>
      </x:c>
      <x:c r="AB583" s="10" t="n">
        <x:f>Y583+Z583+AA583</x:f>
        <x:v>148.0513013354588</x:v>
      </x:c>
      <x:c r="AC583" s="8" t="n">
        <x:f>IF(AND(v01_WinterTrigger=1,D583=1,AB582/AE582&gt;=K583),1,0)</x:f>
        <x:v>0</x:v>
      </x:c>
      <x:c r="AD583" s="8" t="n">
        <x:f>H583*IF(AND(OR(AB582/AE582&gt;=v01_FissionTrigger*N583,AC583=1),AB582/AE582*v01_DaughterShare&gt;=v01_MinDaughter),MAX(1,ROUND(AE582*v01_FissionRate,0)),0)</x:f>
        <x:v>0</x:v>
      </x:c>
      <x:c r="AE583" s="8" t="n">
        <x:f>IF(H583=1,MAX(1,MIN(INDEX(v01_Smax,G583),AE582+AD583)),AE582)</x:f>
        <x:v>3</x:v>
      </x:c>
      <x:c r="AF583" s="8" t="n">
        <x:f>MAX(0,AE583-AE582)</x:f>
        <x:v>0</x:v>
      </x:c>
      <x:c r="AG583" s="9" t="str">
        <x:f>IF(AF583&gt;0,B583,"")</x:f>
      </x:c>
      <x:c r="AH583" s="9" t="n">
        <x:f>IF(F583&gt;=1,1,(1+v01_LowTiesShare*(AE583-1))/AE583)</x:f>
        <x:v>1</x:v>
      </x:c>
      <x:c r="AI583" s="32" t="n">
        <x:f>(Z583+v01_ElderCommons*INDEX(LM_Elder,G583)*AA583)*AH583</x:f>
        <x:v>124.11654687066888</x:v>
      </x:c>
      <x:c r="AJ583" s="32" t="n">
        <x:f>H583*v01_CommonsCoef*AI583^v01_CommonsExp*INDEX(LM_Commons,G583)</x:f>
        <x:v>39.74652522646094</x:v>
      </x:c>
      <x:c r="AK583" s="32" t="n">
        <x:f>H583*v01_RoleScale*Arch_Roles*(AE583*(INDEX(v01_ElderRolePerSett,G583)*v01_OutElder*INDEX(LM_Elder,G583)+INDEX(v01_ShamanPerSett,G583)*v01_OutShaman)+Z583*(INDEX(v01_PriestShare,G583)*v01_OutPriest+INDEX(v01_ScribeShare,G583)*v01_OutScribe*INDEX(LM_Scribe,G583)+INDEX(v01_ScholarShare,G583)*v01_OutScholar*INDEX(LM_Scholar,G583)+INDEX(v01_ResearcherShare,G583)*v01_OutResearcher*INDEX(LM_Researcher,G583)))</x:f>
        <x:v>9</x:v>
      </x:c>
      <x:c r="AL583" s="32" t="n">
        <x:f>H583*v01_RoleScale*Arch_Roles*AE583*INDEX(v01_MonasteryPerSett,G583)*v01_OutMonastery*INDEX(LM_Monastery,G583)</x:f>
        <x:v>0</x:v>
      </x:c>
      <x:c r="AM583" s="32" t="n">
        <x:f>(AJ583+AK583+AL583)/4*INDEX(LM_All,G583)*INDEX(v01_Boon,G583)*Arch_Insight</x:f>
        <x:v>12.80357951651263</x:v>
      </x:c>
      <x:c r="AN583" s="32" t="n">
        <x:f>H583*(v01_KHPerAdult*Z583+v01_KHOfCommons*AJ583/4*INDEX(LM_All,G583))*v01_KHUsable*Arch_KH</x:f>
        <x:v>2.269668643833284</x:v>
      </x:c>
      <x:c r="AO583" s="32" t="n">
        <x:f>MIN(AP582+AN583,AM583*v01_KHMaxRatio)</x:f>
        <x:v>2.269668643833284</x:v>
      </x:c>
      <x:c r="AP583" s="32" t="n">
        <x:f>AP582+AN583-AO583</x:f>
        <x:v>0</x:v>
      </x:c>
      <x:c r="AQ583" s="32" t="n">
        <x:f>AM583+AO583</x:f>
        <x:v>15.073248160345912</x:v>
      </x:c>
      <x:c r="AR583" s="10" t="n">
        <x:f>IF(H583=1,INDEX(v01_Req,G583),0)</x:f>
        <x:v>4006.9599999999996</x:v>
      </x:c>
      <x:c r="AS583" s="32" t="n">
        <x:f>IF(H583=1,IF(E583=1,AS582-AR582,AS582)+AQ583,0)</x:f>
        <x:v>1129.7581967495614</x:v>
      </x:c>
      <x:c r="AT583" s="11" t="n">
        <x:f>IF(AR583&gt;0,MIN(1,AS583/AR583),1)</x:f>
        <x:v>0.28194895800046954</x:v>
      </x:c>
      <x:c r="AU583" s="10" t="n">
        <x:f>AB583/INDEX(v01_RepScale,G583)</x:f>
        <x:v>74.0256506677294</x:v>
      </x:c>
      <x:c r="AV583" s="32" t="n">
        <x:f>AM583*60/v01_SeasonSeconds</x:f>
        <x:v>51.21431806605052</x:v>
      </x:c>
    </x:row>
    <x:row r="584">
      <x:c r="A584" s="8" t="n">
        <x:f>A583+1</x:f>
        <x:v>581</x:v>
      </x:c>
      <x:c r="B584" s="9" t="n">
        <x:f>A584*v01_SeasonSeconds/60</x:f>
        <x:v>145.25</x:v>
      </x:c>
      <x:c r="C584" s="9" t="n">
        <x:f>A584/4</x:f>
        <x:v>145.25</x:v>
      </x:c>
      <x:c r="D584" s="8" t="n">
        <x:f>IF(MOD(A584,4)=0,1,0)</x:f>
        <x:v>0</x:v>
      </x:c>
      <x:c r="E584" s="8" t="n">
        <x:f>IF(AND(F583&lt;=9,AS583&gt;=AR583),1,0)</x:f>
        <x:v>0</x:v>
      </x:c>
      <x:c r="F584" s="8" t="n">
        <x:f>MIN(10,F583+E584)</x:f>
        <x:v>2</x:v>
      </x:c>
      <x:c r="G584" s="8" t="n">
        <x:f>MIN(F584,9)+1</x:f>
        <x:v>3</x:v>
      </x:c>
      <x:c r="H584" s="8" t="n">
        <x:f>IF(F584&lt;=9,1,0)</x:f>
        <x:v>1</x:v>
      </x:c>
      <x:c r="I584" s="9" t="n">
        <x:f>MIN(10,F583+IF(AR583&gt;0,MIN(1,AS583/AR583),1))</x:f>
        <x:v>2.2819489580004695</x:v>
      </x:c>
      <x:c r="J584" s="32" t="n">
        <x:f>INDEX(v01_FoodCap,G584)*Arch_FoodCap*EXP(v01_CapsByProject*SUMPRODUCT((Cap_Point&lt;=I584)*(Cap_Kind="Food")*Cap_Ln))</x:f>
        <x:v>60</x:v>
      </x:c>
      <x:c r="K584" s="32" t="n">
        <x:f>J584*MIN(1,v01_LeanBase*EXP(v01_CapsByProject*SUMPRODUCT((Cap_Point&lt;=I584)*(Cap_Kind="Lean")*Cap_Ln)))</x:f>
        <x:v>60</x:v>
      </x:c>
      <x:c r="L584" s="10" t="n">
        <x:f>INDEX(v01_HousingCap,G584)*EXP(v01_CapsByProject*SUMPRODUCT((Cap_Point&lt;=I584)*(Cap_Kind="Housing")*Cap_Ln))</x:f>
        <x:v>100</x:v>
      </x:c>
      <x:c r="M584" s="10" t="n">
        <x:f>INDEX(v01_GroupCap,G584)*v01_CohesionFactor*EXP(v01_CapsByProject*SUMPRODUCT((Cap_Point&lt;=I584)*(Cap_Kind="Group")*Cap_Ln))</x:f>
        <x:v>500</x:v>
      </x:c>
      <x:c r="N584" s="32" t="n">
        <x:f>MIN(J584,L584,M584)</x:f>
        <x:v>60</x:v>
      </x:c>
      <x:c r="O584" s="10" t="n">
        <x:f>AE583*N584</x:f>
        <x:v>180</x:v>
      </x:c>
      <x:c r="P584" s="9" t="n">
        <x:f>MIN(1,(AB583/(AE583*IF(v01_GroupInCrowding=1,N584,MIN(J584,L584))))^v01_CrowdingExp)</x:f>
        <x:v>0.3096266570898331</x:v>
      </x:c>
      <x:c r="Q584" s="9" t="n">
        <x:f>IF(D584=1,INDEX(v01_WinterMult,G584),1)</x:f>
        <x:v>1</x:v>
      </x:c>
      <x:c r="R584" s="9" t="n">
        <x:f>H584*Z583*v01_WomenShare*v01_BaseFertility*INDEX(v01_FertMult,G584)*Arch_Fertility*(1-P584)</x:f>
        <x:v>1.8131488149181012</x:v>
      </x:c>
      <x:c r="S584" s="9" t="n">
        <x:f>H584*Y583*INDEX(v01_MortChild,G584)/4*Q584</x:f>
        <x:v>0.5551641843402663</x:v>
      </x:c>
      <x:c r="T584" s="9" t="n">
        <x:f>H584*Z583*INDEX(v01_MortAdult,G584)*Arch_AdultMort/4*Q584</x:f>
        <x:v>0.19454302661428147</x:v>
      </x:c>
      <x:c r="U584" s="9" t="n">
        <x:f>H584*AA583*INDEX(v01_MortElder,G584)/4*Q584</x:f>
        <x:v>0.3457350827733545</x:v>
      </x:c>
      <x:c r="V584" s="9" t="n">
        <x:f>H584*MAX(0,AB583-O584)*v01_OvercapLoss</x:f>
        <x:v>0</x:v>
      </x:c>
      <x:c r="W584" s="9" t="n">
        <x:f>H584*Y583/(v01_ChildYears*4)</x:f>
        <x:v>1.1329881313066656</x:v>
      </x:c>
      <x:c r="X584" s="9" t="n">
        <x:f>H584*Z583/(v01_AdultYears*4)</x:f>
        <x:v>0.5229651253072083</x:v>
      </x:c>
      <x:c r="Y584" s="32" t="n">
        <x:f>Y583+R584-S584-W584-Y583*V584/AB583</x:f>
        <x:v>63.57233185244444</x:v>
      </x:c>
      <x:c r="Z584" s="32" t="n">
        <x:f>Z583+W584-X584-T584-Z583*V584/AB583</x:f>
        <x:v>65.26315551747899</x:v>
      </x:c>
      <x:c r="AA584" s="32" t="n">
        <x:f>AA583+X584-U584-AA583*V584/AB583</x:f>
        <x:v>19.933520486725538</x:v>
      </x:c>
      <x:c r="AB584" s="10" t="n">
        <x:f>Y584+Z584+AA584</x:f>
        <x:v>148.76900785664898</x:v>
      </x:c>
      <x:c r="AC584" s="8" t="n">
        <x:f>IF(AND(v01_WinterTrigger=1,D584=1,AB583/AE583&gt;=K584),1,0)</x:f>
        <x:v>0</x:v>
      </x:c>
      <x:c r="AD584" s="8" t="n">
        <x:f>H584*IF(AND(OR(AB583/AE583&gt;=v01_FissionTrigger*N584,AC584=1),AB583/AE583*v01_DaughterShare&gt;=v01_MinDaughter),MAX(1,ROUND(AE583*v01_FissionRate,0)),0)</x:f>
        <x:v>0</x:v>
      </x:c>
      <x:c r="AE584" s="8" t="n">
        <x:f>IF(H584=1,MAX(1,MIN(INDEX(v01_Smax,G584),AE583+AD584)),AE583)</x:f>
        <x:v>3</x:v>
      </x:c>
      <x:c r="AF584" s="8" t="n">
        <x:f>MAX(0,AE584-AE583)</x:f>
        <x:v>0</x:v>
      </x:c>
      <x:c r="AG584" s="9" t="str">
        <x:f>IF(AF584&gt;0,B584,"")</x:f>
      </x:c>
      <x:c r="AH584" s="9" t="n">
        <x:f>IF(F584&gt;=1,1,(1+v01_LowTiesShare*(AE584-1))/AE584)</x:f>
        <x:v>1</x:v>
      </x:c>
      <x:c r="AI584" s="32" t="n">
        <x:f>(Z584+v01_ElderCommons*INDEX(LM_Elder,G584)*AA584)*AH584</x:f>
        <x:v>125.0637169776556</x:v>
      </x:c>
      <x:c r="AJ584" s="32" t="n">
        <x:f>H584*v01_CommonsCoef*AI584^v01_CommonsExp*INDEX(LM_Commons,G584)</x:f>
        <x:v>40.00419796782788</x:v>
      </x:c>
      <x:c r="AK584" s="32" t="n">
        <x:f>H584*v01_RoleScale*Arch_Roles*(AE584*(INDEX(v01_ElderRolePerSett,G584)*v01_OutElder*INDEX(LM_Elder,G584)+INDEX(v01_ShamanPerSett,G584)*v01_OutShaman)+Z584*(INDEX(v01_PriestShare,G584)*v01_OutPriest+INDEX(v01_ScribeShare,G584)*v01_OutScribe*INDEX(LM_Scribe,G584)+INDEX(v01_ScholarShare,G584)*v01_OutScholar*INDEX(LM_Scholar,G584)+INDEX(v01_ResearcherShare,G584)*v01_OutResearcher*INDEX(LM_Researcher,G584)))</x:f>
        <x:v>9</x:v>
      </x:c>
      <x:c r="AL584" s="32" t="n">
        <x:f>H584*v01_RoleScale*Arch_Roles*AE584*INDEX(v01_MonasteryPerSett,G584)*v01_OutMonastery*INDEX(LM_Monastery,G584)</x:f>
        <x:v>0</x:v>
      </x:c>
      <x:c r="AM584" s="32" t="n">
        <x:f>(AJ584+AK584+AL584)/4*INDEX(LM_All,G584)*INDEX(v01_Boon,G584)*Arch_Insight</x:f>
        <x:v>12.87125887248729</x:v>
      </x:c>
      <x:c r="AN584" s="32" t="n">
        <x:f>H584*(v01_KHPerAdult*Z584+v01_KHOfCommons*AJ584/4*INDEX(LM_All,G584))*v01_KHUsable*Arch_KH</x:f>
        <x:v>2.2842104431117645</x:v>
      </x:c>
      <x:c r="AO584" s="32" t="n">
        <x:f>MIN(AP583+AN584,AM584*v01_KHMaxRatio)</x:f>
        <x:v>2.2842104431117645</x:v>
      </x:c>
      <x:c r="AP584" s="32" t="n">
        <x:f>AP583+AN584-AO584</x:f>
        <x:v>0</x:v>
      </x:c>
      <x:c r="AQ584" s="32" t="n">
        <x:f>AM584+AO584</x:f>
        <x:v>15.155469315599055</x:v>
      </x:c>
      <x:c r="AR584" s="10" t="n">
        <x:f>IF(H584=1,INDEX(v01_Req,G584),0)</x:f>
        <x:v>4006.9599999999996</x:v>
      </x:c>
      <x:c r="AS584" s="32" t="n">
        <x:f>IF(H584=1,IF(E584=1,AS583-AR583,AS583)+AQ584,0)</x:f>
        <x:v>1144.9136660651604</x:v>
      </x:c>
      <x:c r="AT584" s="11" t="n">
        <x:f>IF(AR584&gt;0,MIN(1,AS584/AR584),1)</x:f>
        <x:v>0.2857312441514666</x:v>
      </x:c>
      <x:c r="AU584" s="10" t="n">
        <x:f>AB584/INDEX(v01_RepScale,G584)</x:f>
        <x:v>74.38450392832449</x:v>
      </x:c>
      <x:c r="AV584" s="32" t="n">
        <x:f>AM584*60/v01_SeasonSeconds</x:f>
        <x:v>51.48503548994916</x:v>
      </x:c>
    </x:row>
    <x:row r="585">
      <x:c r="A585" s="8" t="n">
        <x:f>A584+1</x:f>
        <x:v>582</x:v>
      </x:c>
      <x:c r="B585" s="9" t="n">
        <x:f>A585*v01_SeasonSeconds/60</x:f>
        <x:v>145.5</x:v>
      </x:c>
      <x:c r="C585" s="9" t="n">
        <x:f>A585/4</x:f>
        <x:v>145.5</x:v>
      </x:c>
      <x:c r="D585" s="8" t="n">
        <x:f>IF(MOD(A585,4)=0,1,0)</x:f>
        <x:v>0</x:v>
      </x:c>
      <x:c r="E585" s="8" t="n">
        <x:f>IF(AND(F584&lt;=9,AS584&gt;=AR584),1,0)</x:f>
        <x:v>0</x:v>
      </x:c>
      <x:c r="F585" s="8" t="n">
        <x:f>MIN(10,F584+E585)</x:f>
        <x:v>2</x:v>
      </x:c>
      <x:c r="G585" s="8" t="n">
        <x:f>MIN(F585,9)+1</x:f>
        <x:v>3</x:v>
      </x:c>
      <x:c r="H585" s="8" t="n">
        <x:f>IF(F585&lt;=9,1,0)</x:f>
        <x:v>1</x:v>
      </x:c>
      <x:c r="I585" s="9" t="n">
        <x:f>MIN(10,F584+IF(AR584&gt;0,MIN(1,AS584/AR584),1))</x:f>
        <x:v>2.285731244151467</x:v>
      </x:c>
      <x:c r="J585" s="32" t="n">
        <x:f>INDEX(v01_FoodCap,G585)*Arch_FoodCap*EXP(v01_CapsByProject*SUMPRODUCT((Cap_Point&lt;=I585)*(Cap_Kind="Food")*Cap_Ln))</x:f>
        <x:v>60</x:v>
      </x:c>
      <x:c r="K585" s="32" t="n">
        <x:f>J585*MIN(1,v01_LeanBase*EXP(v01_CapsByProject*SUMPRODUCT((Cap_Point&lt;=I585)*(Cap_Kind="Lean")*Cap_Ln)))</x:f>
        <x:v>60</x:v>
      </x:c>
      <x:c r="L585" s="10" t="n">
        <x:f>INDEX(v01_HousingCap,G585)*EXP(v01_CapsByProject*SUMPRODUCT((Cap_Point&lt;=I585)*(Cap_Kind="Housing")*Cap_Ln))</x:f>
        <x:v>100</x:v>
      </x:c>
      <x:c r="M585" s="10" t="n">
        <x:f>INDEX(v01_GroupCap,G585)*v01_CohesionFactor*EXP(v01_CapsByProject*SUMPRODUCT((Cap_Point&lt;=I585)*(Cap_Kind="Group")*Cap_Ln))</x:f>
        <x:v>500</x:v>
      </x:c>
      <x:c r="N585" s="32" t="n">
        <x:f>MIN(J585,L585,M585)</x:f>
        <x:v>60</x:v>
      </x:c>
      <x:c r="O585" s="10" t="n">
        <x:f>AE584*N585</x:f>
        <x:v>180</x:v>
      </x:c>
      <x:c r="P585" s="9" t="n">
        <x:f>MIN(1,(AB584/(AE584*IF(v01_GroupInCrowding=1,N585,MIN(J585,L585))))^v01_CrowdingExp)</x:f>
        <x:v>0.3187423495187436</x:v>
      </x:c>
      <x:c r="Q585" s="9" t="n">
        <x:f>IF(D585=1,INDEX(v01_WinterMult,G585),1)</x:f>
        <x:v>1</x:v>
      </x:c>
      <x:c r="R585" s="9" t="n">
        <x:f>H585*Z584*v01_WomenShare*v01_BaseFertility*INDEX(v01_FertMult,G585)*Arch_Fertility*(1-P585)</x:f>
        <x:v>1.8006714716286387</x:v>
      </x:c>
      <x:c r="S585" s="9" t="n">
        <x:f>H585*Y584*INDEX(v01_MortChild,G585)/4*Q585</x:f>
        <x:v>0.556257903708889</x:v>
      </x:c>
      <x:c r="T585" s="9" t="n">
        <x:f>H585*Z584*INDEX(v01_MortAdult,G585)*Arch_AdultMort/4*Q585</x:f>
        <x:v>0.19578946655243698</x:v>
      </x:c>
      <x:c r="U585" s="9" t="n">
        <x:f>H585*AA584*INDEX(v01_MortElder,G585)/4*Q585</x:f>
        <x:v>0.34883660851769693</x:v>
      </x:c>
      <x:c r="V585" s="9" t="n">
        <x:f>H585*MAX(0,AB584-O585)*v01_OvercapLoss</x:f>
        <x:v>0</x:v>
      </x:c>
      <x:c r="W585" s="9" t="n">
        <x:f>H585*Y584/(v01_ChildYears*4)</x:f>
        <x:v>1.1352202116507937</x:v>
      </x:c>
      <x:c r="X585" s="9" t="n">
        <x:f>H585*Z584/(v01_AdultYears*4)</x:f>
        <x:v>0.52631577030225</x:v>
      </x:c>
      <x:c r="Y585" s="32" t="n">
        <x:f>Y584+R585-S585-W585-Y584*V585/AB584</x:f>
        <x:v>63.6815252087134</x:v>
      </x:c>
      <x:c r="Z585" s="32" t="n">
        <x:f>Z584+W585-X585-T585-Z584*V585/AB584</x:f>
        <x:v>65.6762704922751</x:v>
      </x:c>
      <x:c r="AA585" s="32" t="n">
        <x:f>AA584+X585-U585-AA584*V585/AB584</x:f>
        <x:v>20.11099964851009</x:v>
      </x:c>
      <x:c r="AB585" s="10" t="n">
        <x:f>Y585+Z585+AA585</x:f>
        <x:v>149.4687953494986</x:v>
      </x:c>
      <x:c r="AC585" s="8" t="n">
        <x:f>IF(AND(v01_WinterTrigger=1,D585=1,AB584/AE584&gt;=K585),1,0)</x:f>
        <x:v>0</x:v>
      </x:c>
      <x:c r="AD585" s="8" t="n">
        <x:f>H585*IF(AND(OR(AB584/AE584&gt;=v01_FissionTrigger*N585,AC585=1),AB584/AE584*v01_DaughterShare&gt;=v01_MinDaughter),MAX(1,ROUND(AE584*v01_FissionRate,0)),0)</x:f>
        <x:v>0</x:v>
      </x:c>
      <x:c r="AE585" s="8" t="n">
        <x:f>IF(H585=1,MAX(1,MIN(INDEX(v01_Smax,G585),AE584+AD585)),AE584)</x:f>
        <x:v>3</x:v>
      </x:c>
      <x:c r="AF585" s="8" t="n">
        <x:f>MAX(0,AE585-AE584)</x:f>
        <x:v>0</x:v>
      </x:c>
      <x:c r="AG585" s="9" t="str">
        <x:f>IF(AF585&gt;0,B585,"")</x:f>
      </x:c>
      <x:c r="AH585" s="9" t="n">
        <x:f>IF(F585&gt;=1,1,(1+v01_LowTiesShare*(AE585-1))/AE585)</x:f>
        <x:v>1</x:v>
      </x:c>
      <x:c r="AI585" s="32" t="n">
        <x:f>(Z585+v01_ElderCommons*INDEX(LM_Elder,G585)*AA585)*AH585</x:f>
        <x:v>126.00926943780537</x:v>
      </x:c>
      <x:c r="AJ585" s="32" t="n">
        <x:f>H585*v01_CommonsCoef*AI585^v01_CommonsExp*INDEX(LM_Commons,G585)</x:f>
        <x:v>40.261138824844124</x:v>
      </x:c>
      <x:c r="AK585" s="32" t="n">
        <x:f>H585*v01_RoleScale*Arch_Roles*(AE585*(INDEX(v01_ElderRolePerSett,G585)*v01_OutElder*INDEX(LM_Elder,G585)+INDEX(v01_ShamanPerSett,G585)*v01_OutShaman)+Z585*(INDEX(v01_PriestShare,G585)*v01_OutPriest+INDEX(v01_ScribeShare,G585)*v01_OutScribe*INDEX(LM_Scribe,G585)+INDEX(v01_ScholarShare,G585)*v01_OutScholar*INDEX(LM_Scholar,G585)+INDEX(v01_ResearcherShare,G585)*v01_OutResearcher*INDEX(LM_Researcher,G585)))</x:f>
        <x:v>9</x:v>
      </x:c>
      <x:c r="AL585" s="32" t="n">
        <x:f>H585*v01_RoleScale*Arch_Roles*AE585*INDEX(v01_MonasteryPerSett,G585)*v01_OutMonastery*INDEX(LM_Monastery,G585)</x:f>
        <x:v>0</x:v>
      </x:c>
      <x:c r="AM585" s="32" t="n">
        <x:f>(AJ585+AK585+AL585)/4*INDEX(LM_All,G585)*INDEX(v01_Boon,G585)*Arch_Insight</x:f>
        <x:v>12.938745994462964</x:v>
      </x:c>
      <x:c r="AN585" s="32" t="n">
        <x:f>H585*(v01_KHPerAdult*Z585+v01_KHOfCommons*AJ585/4*INDEX(LM_All,G585))*v01_KHUsable*Arch_KH</x:f>
        <x:v>2.298669467229628</x:v>
      </x:c>
      <x:c r="AO585" s="32" t="n">
        <x:f>MIN(AP584+AN585,AM585*v01_KHMaxRatio)</x:f>
        <x:v>2.298669467229628</x:v>
      </x:c>
      <x:c r="AP585" s="32" t="n">
        <x:f>AP584+AN585-AO585</x:f>
        <x:v>0</x:v>
      </x:c>
      <x:c r="AQ585" s="32" t="n">
        <x:f>AM585+AO585</x:f>
        <x:v>15.237415461692592</x:v>
      </x:c>
      <x:c r="AR585" s="10" t="n">
        <x:f>IF(H585=1,INDEX(v01_Req,G585),0)</x:f>
        <x:v>4006.9599999999996</x:v>
      </x:c>
      <x:c r="AS585" s="32" t="n">
        <x:f>IF(H585=1,IF(E585=1,AS584-AR584,AS584)+AQ585,0)</x:f>
        <x:v>1160.151081526853</x:v>
      </x:c>
      <x:c r="AT585" s="11" t="n">
        <x:f>IF(AR585&gt;0,MIN(1,AS585/AR585),1)</x:f>
        <x:v>0.2895339812543307</x:v>
      </x:c>
      <x:c r="AU585" s="10" t="n">
        <x:f>AB585/INDEX(v01_RepScale,G585)</x:f>
        <x:v>74.7343976747493</x:v>
      </x:c>
      <x:c r="AV585" s="32" t="n">
        <x:f>AM585*60/v01_SeasonSeconds</x:f>
        <x:v>51.75498397785186</x:v>
      </x:c>
    </x:row>
    <x:row r="586">
      <x:c r="A586" s="8" t="n">
        <x:f>A585+1</x:f>
        <x:v>583</x:v>
      </x:c>
      <x:c r="B586" s="9" t="n">
        <x:f>A586*v01_SeasonSeconds/60</x:f>
        <x:v>145.75</x:v>
      </x:c>
      <x:c r="C586" s="9" t="n">
        <x:f>A586/4</x:f>
        <x:v>145.75</x:v>
      </x:c>
      <x:c r="D586" s="8" t="n">
        <x:f>IF(MOD(A586,4)=0,1,0)</x:f>
        <x:v>0</x:v>
      </x:c>
      <x:c r="E586" s="8" t="n">
        <x:f>IF(AND(F585&lt;=9,AS585&gt;=AR585),1,0)</x:f>
        <x:v>0</x:v>
      </x:c>
      <x:c r="F586" s="8" t="n">
        <x:f>MIN(10,F585+E586)</x:f>
        <x:v>2</x:v>
      </x:c>
      <x:c r="G586" s="8" t="n">
        <x:f>MIN(F586,9)+1</x:f>
        <x:v>3</x:v>
      </x:c>
      <x:c r="H586" s="8" t="n">
        <x:f>IF(F586&lt;=9,1,0)</x:f>
        <x:v>1</x:v>
      </x:c>
      <x:c r="I586" s="9" t="n">
        <x:f>MIN(10,F585+IF(AR585&gt;0,MIN(1,AS585/AR585),1))</x:f>
        <x:v>2.2895339812543307</x:v>
      </x:c>
      <x:c r="J586" s="32" t="n">
        <x:f>INDEX(v01_FoodCap,G586)*Arch_FoodCap*EXP(v01_CapsByProject*SUMPRODUCT((Cap_Point&lt;=I586)*(Cap_Kind="Food")*Cap_Ln))</x:f>
        <x:v>60</x:v>
      </x:c>
      <x:c r="K586" s="32" t="n">
        <x:f>J586*MIN(1,v01_LeanBase*EXP(v01_CapsByProject*SUMPRODUCT((Cap_Point&lt;=I586)*(Cap_Kind="Lean")*Cap_Ln)))</x:f>
        <x:v>60</x:v>
      </x:c>
      <x:c r="L586" s="10" t="n">
        <x:f>INDEX(v01_HousingCap,G586)*EXP(v01_CapsByProject*SUMPRODUCT((Cap_Point&lt;=I586)*(Cap_Kind="Housing")*Cap_Ln))</x:f>
        <x:v>100</x:v>
      </x:c>
      <x:c r="M586" s="10" t="n">
        <x:f>INDEX(v01_GroupCap,G586)*v01_CohesionFactor*EXP(v01_CapsByProject*SUMPRODUCT((Cap_Point&lt;=I586)*(Cap_Kind="Group")*Cap_Ln))</x:f>
        <x:v>500</x:v>
      </x:c>
      <x:c r="N586" s="32" t="n">
        <x:f>MIN(J586,L586,M586)</x:f>
        <x:v>60</x:v>
      </x:c>
      <x:c r="O586" s="10" t="n">
        <x:f>AE585*N586</x:f>
        <x:v>180</x:v>
      </x:c>
      <x:c r="P586" s="9" t="n">
        <x:f>MIN(1,(AB585/(AE585*IF(v01_GroupInCrowding=1,N586,MIN(J586,L586))))^v01_CrowdingExp)</x:f>
        <x:v>0.32784470613131683</x:v>
      </x:c>
      <x:c r="Q586" s="9" t="n">
        <x:f>IF(D586=1,INDEX(v01_WinterMult,G586),1)</x:f>
        <x:v>1</x:v>
      </x:c>
      <x:c r="R586" s="9" t="n">
        <x:f>H586*Z585*v01_WomenShare*v01_BaseFertility*INDEX(v01_FertMult,G586)*Arch_Fertility*(1-P586)</x:f>
        <x:v>1.787858442163839</x:v>
      </x:c>
      <x:c r="S586" s="9" t="n">
        <x:f>H586*Y585*INDEX(v01_MortChild,G586)/4*Q586</x:f>
        <x:v>0.5572133455762424</x:v>
      </x:c>
      <x:c r="T586" s="9" t="n">
        <x:f>H586*Z585*INDEX(v01_MortAdult,G586)*Arch_AdultMort/4*Q586</x:f>
        <x:v>0.1970288114768253</x:v>
      </x:c>
      <x:c r="U586" s="9" t="n">
        <x:f>H586*AA585*INDEX(v01_MortElder,G586)/4*Q586</x:f>
        <x:v>0.3519424938489266</x:v>
      </x:c>
      <x:c r="V586" s="9" t="n">
        <x:f>H586*MAX(0,AB585-O586)*v01_OvercapLoss</x:f>
        <x:v>0</x:v>
      </x:c>
      <x:c r="W586" s="9" t="n">
        <x:f>H586*Y585/(v01_ChildYears*4)</x:f>
        <x:v>1.1371700930127393</x:v>
      </x:c>
      <x:c r="X586" s="9" t="n">
        <x:f>H586*Z585/(v01_AdultYears*4)</x:f>
        <x:v>0.5296473426796379</x:v>
      </x:c>
      <x:c r="Y586" s="32" t="n">
        <x:f>Y585+R586-S586-W586-Y585*V586/AB585</x:f>
        <x:v>63.77500021228826</x:v>
      </x:c>
      <x:c r="Z586" s="32" t="n">
        <x:f>Z585+W586-X586-T586-Z585*V586/AB585</x:f>
        <x:v>66.08676443113137</x:v>
      </x:c>
      <x:c r="AA586" s="32" t="n">
        <x:f>AA585+X586-U586-AA585*V586/AB585</x:f>
        <x:v>20.288704497340802</x:v>
      </x:c>
      <x:c r="AB586" s="10" t="n">
        <x:f>Y586+Z586+AA586</x:f>
        <x:v>150.15046914076044</x:v>
      </x:c>
      <x:c r="AC586" s="8" t="n">
        <x:f>IF(AND(v01_WinterTrigger=1,D586=1,AB585/AE585&gt;=K586),1,0)</x:f>
        <x:v>0</x:v>
      </x:c>
      <x:c r="AD586" s="8" t="n">
        <x:f>H586*IF(AND(OR(AB585/AE585&gt;=v01_FissionTrigger*N586,AC586=1),AB585/AE585*v01_DaughterShare&gt;=v01_MinDaughter),MAX(1,ROUND(AE585*v01_FissionRate,0)),0)</x:f>
        <x:v>0</x:v>
      </x:c>
      <x:c r="AE586" s="8" t="n">
        <x:f>IF(H586=1,MAX(1,MIN(INDEX(v01_Smax,G586),AE585+AD586)),AE585)</x:f>
        <x:v>3</x:v>
      </x:c>
      <x:c r="AF586" s="8" t="n">
        <x:f>MAX(0,AE586-AE585)</x:f>
        <x:v>0</x:v>
      </x:c>
      <x:c r="AG586" s="9" t="str">
        <x:f>IF(AF586&gt;0,B586,"")</x:f>
      </x:c>
      <x:c r="AH586" s="9" t="n">
        <x:f>IF(F586&gt;=1,1,(1+v01_LowTiesShare*(AE586-1))/AE586)</x:f>
        <x:v>1</x:v>
      </x:c>
      <x:c r="AI586" s="32" t="n">
        <x:f>(Z586+v01_ElderCommons*INDEX(LM_Elder,G586)*AA586)*AH586</x:f>
        <x:v>126.95287792315378</x:v>
      </x:c>
      <x:c r="AJ586" s="32" t="n">
        <x:f>H586*v01_CommonsCoef*AI586^v01_CommonsExp*INDEX(LM_Commons,G586)</x:f>
        <x:v>40.51726327616856</x:v>
      </x:c>
      <x:c r="AK586" s="32" t="n">
        <x:f>H586*v01_RoleScale*Arch_Roles*(AE586*(INDEX(v01_ElderRolePerSett,G586)*v01_OutElder*INDEX(LM_Elder,G586)+INDEX(v01_ShamanPerSett,G586)*v01_OutShaman)+Z586*(INDEX(v01_PriestShare,G586)*v01_OutPriest+INDEX(v01_ScribeShare,G586)*v01_OutScribe*INDEX(LM_Scribe,G586)+INDEX(v01_ScholarShare,G586)*v01_OutScholar*INDEX(LM_Scholar,G586)+INDEX(v01_ResearcherShare,G586)*v01_OutResearcher*INDEX(LM_Researcher,G586)))</x:f>
        <x:v>9</x:v>
      </x:c>
      <x:c r="AL586" s="32" t="n">
        <x:f>H586*v01_RoleScale*Arch_Roles*AE586*INDEX(v01_MonasteryPerSett,G586)*v01_OutMonastery*INDEX(LM_Monastery,G586)</x:f>
        <x:v>0</x:v>
      </x:c>
      <x:c r="AM586" s="32" t="n">
        <x:f>(AJ586+AK586+AL586)/4*INDEX(LM_All,G586)*INDEX(v01_Boon,G586)*Arch_Insight</x:f>
        <x:v>13.006018682381148</x:v>
      </x:c>
      <x:c r="AN586" s="32" t="n">
        <x:f>H586*(v01_KHPerAdult*Z586+v01_KHOfCommons*AJ586/4*INDEX(LM_All,G586))*v01_KHUsable*Arch_KH</x:f>
        <x:v>2.313036755089598</x:v>
      </x:c>
      <x:c r="AO586" s="32" t="n">
        <x:f>MIN(AP585+AN586,AM586*v01_KHMaxRatio)</x:f>
        <x:v>2.313036755089598</x:v>
      </x:c>
      <x:c r="AP586" s="32" t="n">
        <x:f>AP585+AN586-AO586</x:f>
        <x:v>0</x:v>
      </x:c>
      <x:c r="AQ586" s="32" t="n">
        <x:f>AM586+AO586</x:f>
        <x:v>15.319055437470746</x:v>
      </x:c>
      <x:c r="AR586" s="10" t="n">
        <x:f>IF(H586=1,INDEX(v01_Req,G586),0)</x:f>
        <x:v>4006.9599999999996</x:v>
      </x:c>
      <x:c r="AS586" s="32" t="n">
        <x:f>IF(H586=1,IF(E586=1,AS585-AR585,AS585)+AQ586,0)</x:f>
        <x:v>1175.4701369643237</x:v>
      </x:c>
      <x:c r="AT586" s="11" t="n">
        <x:f>IF(AR586&gt;0,MIN(1,AS586/AR586),1)</x:f>
        <x:v>0.29335709289943596</x:v>
      </x:c>
      <x:c r="AU586" s="10" t="n">
        <x:f>AB586/INDEX(v01_RepScale,G586)</x:f>
        <x:v>75.07523457038022</x:v>
      </x:c>
      <x:c r="AV586" s="32" t="n">
        <x:f>AM586*60/v01_SeasonSeconds</x:f>
        <x:v>52.02407472952459</x:v>
      </x:c>
    </x:row>
    <x:row r="587">
      <x:c r="A587" s="8" t="n">
        <x:f>A586+1</x:f>
        <x:v>584</x:v>
      </x:c>
      <x:c r="B587" s="9" t="n">
        <x:f>A587*v01_SeasonSeconds/60</x:f>
        <x:v>146</x:v>
      </x:c>
      <x:c r="C587" s="9" t="n">
        <x:f>A587/4</x:f>
        <x:v>146</x:v>
      </x:c>
      <x:c r="D587" s="8" t="n">
        <x:f>IF(MOD(A587,4)=0,1,0)</x:f>
        <x:v>1</x:v>
      </x:c>
      <x:c r="E587" s="8" t="n">
        <x:f>IF(AND(F586&lt;=9,AS586&gt;=AR586),1,0)</x:f>
        <x:v>0</x:v>
      </x:c>
      <x:c r="F587" s="8" t="n">
        <x:f>MIN(10,F586+E587)</x:f>
        <x:v>2</x:v>
      </x:c>
      <x:c r="G587" s="8" t="n">
        <x:f>MIN(F587,9)+1</x:f>
        <x:v>3</x:v>
      </x:c>
      <x:c r="H587" s="8" t="n">
        <x:f>IF(F587&lt;=9,1,0)</x:f>
        <x:v>1</x:v>
      </x:c>
      <x:c r="I587" s="9" t="n">
        <x:f>MIN(10,F586+IF(AR586&gt;0,MIN(1,AS586/AR586),1))</x:f>
        <x:v>2.293357092899436</x:v>
      </x:c>
      <x:c r="J587" s="32" t="n">
        <x:f>INDEX(v01_FoodCap,G587)*Arch_FoodCap*EXP(v01_CapsByProject*SUMPRODUCT((Cap_Point&lt;=I587)*(Cap_Kind="Food")*Cap_Ln))</x:f>
        <x:v>60</x:v>
      </x:c>
      <x:c r="K587" s="32" t="n">
        <x:f>J587*MIN(1,v01_LeanBase*EXP(v01_CapsByProject*SUMPRODUCT((Cap_Point&lt;=I587)*(Cap_Kind="Lean")*Cap_Ln)))</x:f>
        <x:v>60</x:v>
      </x:c>
      <x:c r="L587" s="10" t="n">
        <x:f>INDEX(v01_HousingCap,G587)*EXP(v01_CapsByProject*SUMPRODUCT((Cap_Point&lt;=I587)*(Cap_Kind="Housing")*Cap_Ln))</x:f>
        <x:v>100</x:v>
      </x:c>
      <x:c r="M587" s="10" t="n">
        <x:f>INDEX(v01_GroupCap,G587)*v01_CohesionFactor*EXP(v01_CapsByProject*SUMPRODUCT((Cap_Point&lt;=I587)*(Cap_Kind="Group")*Cap_Ln))</x:f>
        <x:v>500</x:v>
      </x:c>
      <x:c r="N587" s="32" t="n">
        <x:f>MIN(J587,L587,M587)</x:f>
        <x:v>60</x:v>
      </x:c>
      <x:c r="O587" s="10" t="n">
        <x:f>AE586*N587</x:f>
        <x:v>180</x:v>
      </x:c>
      <x:c r="P587" s="9" t="n">
        <x:f>MIN(1,(AB586/(AE586*IF(v01_GroupInCrowding=1,N587,MIN(J587,L587))))^v01_CrowdingExp)</x:f>
        <x:v>0.3369187108198625</x:v>
      </x:c>
      <x:c r="Q587" s="9" t="n">
        <x:f>IF(D587=1,INDEX(v01_WinterMult,G587),1)</x:f>
        <x:v>1.3</x:v>
      </x:c>
      <x:c r="R587" s="9" t="n">
        <x:f>H587*Z586*v01_WomenShare*v01_BaseFertility*INDEX(v01_FertMult,G587)*Arch_Fertility*(1-P587)</x:f>
        <x:v>1.7747463267479149</x:v>
      </x:c>
      <x:c r="S587" s="9" t="n">
        <x:f>H587*Y586*INDEX(v01_MortChild,G587)/4*Q587</x:f>
        <x:v>0.7254406274147791</x:v>
      </x:c>
      <x:c r="T587" s="9" t="n">
        <x:f>H587*Z586*INDEX(v01_MortAdult,G587)*Arch_AdultMort/4*Q587</x:f>
        <x:v>0.25773838128141235</x:v>
      </x:c>
      <x:c r="U587" s="9" t="n">
        <x:f>H587*AA586*INDEX(v01_MortElder,G587)/4*Q587</x:f>
        <x:v>0.46156802731450336</x:v>
      </x:c>
      <x:c r="V587" s="9" t="n">
        <x:f>H587*MAX(0,AB586-O587)*v01_OvercapLoss</x:f>
        <x:v>0</x:v>
      </x:c>
      <x:c r="W587" s="9" t="n">
        <x:f>H587*Y586/(v01_ChildYears*4)</x:f>
        <x:v>1.1388392895051476</x:v>
      </x:c>
      <x:c r="X587" s="9" t="n">
        <x:f>H587*Z586/(v01_AdultYears*4)</x:f>
        <x:v>0.5329577776704143</x:v>
      </x:c>
      <x:c r="Y587" s="32" t="n">
        <x:f>Y586+R587-S587-W587-Y586*V587/AB586</x:f>
        <x:v>63.685466622116245</x:v>
      </x:c>
      <x:c r="Z587" s="32" t="n">
        <x:f>Z586+W587-X587-T587-Z586*V587/AB586</x:f>
        <x:v>66.43490756168468</x:v>
      </x:c>
      <x:c r="AA587" s="32" t="n">
        <x:f>AA586+X587-U587-AA586*V587/AB586</x:f>
        <x:v>20.360094247696715</x:v>
      </x:c>
      <x:c r="AB587" s="10" t="n">
        <x:f>Y587+Z587+AA587</x:f>
        <x:v>150.48046843149763</x:v>
      </x:c>
      <x:c r="AC587" s="8" t="n">
        <x:f>IF(AND(v01_WinterTrigger=1,D587=1,AB586/AE586&gt;=K587),1,0)</x:f>
        <x:v>0</x:v>
      </x:c>
      <x:c r="AD587" s="8" t="n">
        <x:f>H587*IF(AND(OR(AB586/AE586&gt;=v01_FissionTrigger*N587,AC587=1),AB586/AE586*v01_DaughterShare&gt;=v01_MinDaughter),MAX(1,ROUND(AE586*v01_FissionRate,0)),0)</x:f>
        <x:v>0</x:v>
      </x:c>
      <x:c r="AE587" s="8" t="n">
        <x:f>IF(H587=1,MAX(1,MIN(INDEX(v01_Smax,G587),AE586+AD587)),AE586)</x:f>
        <x:v>3</x:v>
      </x:c>
      <x:c r="AF587" s="8" t="n">
        <x:f>MAX(0,AE587-AE586)</x:f>
        <x:v>0</x:v>
      </x:c>
      <x:c r="AG587" s="9" t="str">
        <x:f>IF(AF587&gt;0,B587,"")</x:f>
      </x:c>
      <x:c r="AH587" s="9" t="n">
        <x:f>IF(F587&gt;=1,1,(1+v01_LowTiesShare*(AE587-1))/AE587)</x:f>
        <x:v>1</x:v>
      </x:c>
      <x:c r="AI587" s="32" t="n">
        <x:f>(Z587+v01_ElderCommons*INDEX(LM_Elder,G587)*AA587)*AH587</x:f>
        <x:v>127.51519030477482</x:v>
      </x:c>
      <x:c r="AJ587" s="32" t="n">
        <x:f>H587*v01_CommonsCoef*AI587^v01_CommonsExp*INDEX(LM_Commons,G587)</x:f>
        <x:v>40.669756334328305</x:v>
      </x:c>
      <x:c r="AK587" s="32" t="n">
        <x:f>H587*v01_RoleScale*Arch_Roles*(AE587*(INDEX(v01_ElderRolePerSett,G587)*v01_OutElder*INDEX(LM_Elder,G587)+INDEX(v01_ShamanPerSett,G587)*v01_OutShaman)+Z587*(INDEX(v01_PriestShare,G587)*v01_OutPriest+INDEX(v01_ScribeShare,G587)*v01_OutScribe*INDEX(LM_Scribe,G587)+INDEX(v01_ScholarShare,G587)*v01_OutScholar*INDEX(LM_Scholar,G587)+INDEX(v01_ResearcherShare,G587)*v01_OutResearcher*INDEX(LM_Researcher,G587)))</x:f>
        <x:v>9</x:v>
      </x:c>
      <x:c r="AL587" s="32" t="n">
        <x:f>H587*v01_RoleScale*Arch_Roles*AE587*INDEX(v01_MonasteryPerSett,G587)*v01_OutMonastery*INDEX(LM_Monastery,G587)</x:f>
        <x:v>0</x:v>
      </x:c>
      <x:c r="AM587" s="32" t="n">
        <x:f>(AJ587+AK587+AL587)/4*INDEX(LM_All,G587)*INDEX(v01_Boon,G587)*Arch_Insight</x:f>
        <x:v>13.046071937188417</x:v>
      </x:c>
      <x:c r="AN587" s="32" t="n">
        <x:f>H587*(v01_KHPerAdult*Z587+v01_KHOfCommons*AJ587/4*INDEX(LM_All,G587))*v01_KHUsable*Arch_KH</x:f>
        <x:v>2.3252217646589637</x:v>
      </x:c>
      <x:c r="AO587" s="32" t="n">
        <x:f>MIN(AP586+AN587,AM587*v01_KHMaxRatio)</x:f>
        <x:v>2.3252217646589637</x:v>
      </x:c>
      <x:c r="AP587" s="32" t="n">
        <x:f>AP586+AN587-AO587</x:f>
        <x:v>0</x:v>
      </x:c>
      <x:c r="AQ587" s="32" t="n">
        <x:f>AM587+AO587</x:f>
        <x:v>15.371293701847382</x:v>
      </x:c>
      <x:c r="AR587" s="10" t="n">
        <x:f>IF(H587=1,INDEX(v01_Req,G587),0)</x:f>
        <x:v>4006.9599999999996</x:v>
      </x:c>
      <x:c r="AS587" s="32" t="n">
        <x:f>IF(H587=1,IF(E587=1,AS586-AR586,AS586)+AQ587,0)</x:f>
        <x:v>1190.8414306661712</x:v>
      </x:c>
      <x:c r="AT587" s="11" t="n">
        <x:f>IF(AR587&gt;0,MIN(1,AS587/AR587),1)</x:f>
        <x:v>0.29719324142646075</x:v>
      </x:c>
      <x:c r="AU587" s="10" t="n">
        <x:f>AB587/INDEX(v01_RepScale,G587)</x:f>
        <x:v>75.24023421574881</x:v>
      </x:c>
      <x:c r="AV587" s="32" t="n">
        <x:f>AM587*60/v01_SeasonSeconds</x:f>
        <x:v>52.18428774875367</x:v>
      </x:c>
    </x:row>
    <x:row r="588">
      <x:c r="A588" s="8" t="n">
        <x:f>A587+1</x:f>
        <x:v>585</x:v>
      </x:c>
      <x:c r="B588" s="9" t="n">
        <x:f>A588*v01_SeasonSeconds/60</x:f>
        <x:v>146.25</x:v>
      </x:c>
      <x:c r="C588" s="9" t="n">
        <x:f>A588/4</x:f>
        <x:v>146.25</x:v>
      </x:c>
      <x:c r="D588" s="8" t="n">
        <x:f>IF(MOD(A588,4)=0,1,0)</x:f>
        <x:v>0</x:v>
      </x:c>
      <x:c r="E588" s="8" t="n">
        <x:f>IF(AND(F587&lt;=9,AS587&gt;=AR587),1,0)</x:f>
        <x:v>0</x:v>
      </x:c>
      <x:c r="F588" s="8" t="n">
        <x:f>MIN(10,F587+E588)</x:f>
        <x:v>2</x:v>
      </x:c>
      <x:c r="G588" s="8" t="n">
        <x:f>MIN(F588,9)+1</x:f>
        <x:v>3</x:v>
      </x:c>
      <x:c r="H588" s="8" t="n">
        <x:f>IF(F588&lt;=9,1,0)</x:f>
        <x:v>1</x:v>
      </x:c>
      <x:c r="I588" s="9" t="n">
        <x:f>MIN(10,F587+IF(AR587&gt;0,MIN(1,AS587/AR587),1))</x:f>
        <x:v>2.2971932414264606</x:v>
      </x:c>
      <x:c r="J588" s="32" t="n">
        <x:f>INDEX(v01_FoodCap,G588)*Arch_FoodCap*EXP(v01_CapsByProject*SUMPRODUCT((Cap_Point&lt;=I588)*(Cap_Kind="Food")*Cap_Ln))</x:f>
        <x:v>60</x:v>
      </x:c>
      <x:c r="K588" s="32" t="n">
        <x:f>J588*MIN(1,v01_LeanBase*EXP(v01_CapsByProject*SUMPRODUCT((Cap_Point&lt;=I588)*(Cap_Kind="Lean")*Cap_Ln)))</x:f>
        <x:v>60</x:v>
      </x:c>
      <x:c r="L588" s="10" t="n">
        <x:f>INDEX(v01_HousingCap,G588)*EXP(v01_CapsByProject*SUMPRODUCT((Cap_Point&lt;=I588)*(Cap_Kind="Housing")*Cap_Ln))</x:f>
        <x:v>100</x:v>
      </x:c>
      <x:c r="M588" s="10" t="n">
        <x:f>INDEX(v01_GroupCap,G588)*v01_CohesionFactor*EXP(v01_CapsByProject*SUMPRODUCT((Cap_Point&lt;=I588)*(Cap_Kind="Group")*Cap_Ln))</x:f>
        <x:v>500</x:v>
      </x:c>
      <x:c r="N588" s="32" t="n">
        <x:f>MIN(J588,L588,M588)</x:f>
        <x:v>60</x:v>
      </x:c>
      <x:c r="O588" s="10" t="n">
        <x:f>AE587*N588</x:f>
        <x:v>180</x:v>
      </x:c>
      <x:c r="P588" s="9" t="n">
        <x:f>MIN(1,(AB587/(AE587*IF(v01_GroupInCrowding=1,N588,MIN(J588,L588))))^v01_CrowdingExp)</x:f>
        <x:v>0.34138605433383246</x:v>
      </x:c>
      <x:c r="Q588" s="9" t="n">
        <x:f>IF(D588=1,INDEX(v01_WinterMult,G588),1)</x:f>
        <x:v>1</x:v>
      </x:c>
      <x:c r="R588" s="9" t="n">
        <x:f>H588*Z587*v01_WomenShare*v01_BaseFertility*INDEX(v01_FertMult,G588)*Arch_Fertility*(1-P588)</x:f>
        <x:v>1.7720757422663145</x:v>
      </x:c>
      <x:c r="S588" s="9" t="n">
        <x:f>H588*Y587*INDEX(v01_MortChild,G588)/4*Q588</x:f>
        <x:v>0.5572478329435172</x:v>
      </x:c>
      <x:c r="T588" s="9" t="n">
        <x:f>H588*Z587*INDEX(v01_MortAdult,G588)*Arch_AdultMort/4*Q588</x:f>
        <x:v>0.19930472268505406</x:v>
      </x:c>
      <x:c r="U588" s="9" t="n">
        <x:f>H588*AA587*INDEX(v01_MortElder,G588)/4*Q588</x:f>
        <x:v>0.35630164933469255</x:v>
      </x:c>
      <x:c r="V588" s="9" t="n">
        <x:f>H588*MAX(0,AB587-O588)*v01_OvercapLoss</x:f>
        <x:v>0</x:v>
      </x:c>
      <x:c r="W588" s="9" t="n">
        <x:f>H588*Y587/(v01_ChildYears*4)</x:f>
        <x:v>1.137240475394933</x:v>
      </x:c>
      <x:c r="X588" s="9" t="n">
        <x:f>H588*Z587/(v01_AdultYears*4)</x:f>
        <x:v>0.5357653835619732</x:v>
      </x:c>
      <x:c r="Y588" s="32" t="n">
        <x:f>Y587+R588-S588-W588-Y587*V588/AB587</x:f>
        <x:v>63.76305405604411</x:v>
      </x:c>
      <x:c r="Z588" s="32" t="n">
        <x:f>Z587+W588-X588-T588-Z587*V588/AB587</x:f>
        <x:v>66.83707793083258</x:v>
      </x:c>
      <x:c r="AA588" s="32" t="n">
        <x:f>AA587+X588-U588-AA587*V588/AB587</x:f>
        <x:v>20.539557981923995</x:v>
      </x:c>
      <x:c r="AB588" s="10" t="n">
        <x:f>Y588+Z588+AA588</x:f>
        <x:v>151.1396899688007</x:v>
      </x:c>
      <x:c r="AC588" s="8" t="n">
        <x:f>IF(AND(v01_WinterTrigger=1,D588=1,AB587/AE587&gt;=K588),1,0)</x:f>
        <x:v>0</x:v>
      </x:c>
      <x:c r="AD588" s="8" t="n">
        <x:f>H588*IF(AND(OR(AB587/AE587&gt;=v01_FissionTrigger*N588,AC588=1),AB587/AE587*v01_DaughterShare&gt;=v01_MinDaughter),MAX(1,ROUND(AE587*v01_FissionRate,0)),0)</x:f>
        <x:v>0</x:v>
      </x:c>
      <x:c r="AE588" s="8" t="n">
        <x:f>IF(H588=1,MAX(1,MIN(INDEX(v01_Smax,G588),AE587+AD588)),AE587)</x:f>
        <x:v>3</x:v>
      </x:c>
      <x:c r="AF588" s="8" t="n">
        <x:f>MAX(0,AE588-AE587)</x:f>
        <x:v>0</x:v>
      </x:c>
      <x:c r="AG588" s="9" t="str">
        <x:f>IF(AF588&gt;0,B588,"")</x:f>
      </x:c>
      <x:c r="AH588" s="9" t="n">
        <x:f>IF(F588&gt;=1,1,(1+v01_LowTiesShare*(AE588-1))/AE588)</x:f>
        <x:v>1</x:v>
      </x:c>
      <x:c r="AI588" s="32" t="n">
        <x:f>(Z588+v01_ElderCommons*INDEX(LM_Elder,G588)*AA588)*AH588</x:f>
        <x:v>128.45575187660455</x:v>
      </x:c>
      <x:c r="AJ588" s="32" t="n">
        <x:f>H588*v01_CommonsCoef*AI588^v01_CommonsExp*INDEX(LM_Commons,G588)</x:f>
        <x:v>40.92460135947552</x:v>
      </x:c>
      <x:c r="AK588" s="32" t="n">
        <x:f>H588*v01_RoleScale*Arch_Roles*(AE588*(INDEX(v01_ElderRolePerSett,G588)*v01_OutElder*INDEX(LM_Elder,G588)+INDEX(v01_ShamanPerSett,G588)*v01_OutShaman)+Z588*(INDEX(v01_PriestShare,G588)*v01_OutPriest+INDEX(v01_ScribeShare,G588)*v01_OutScribe*INDEX(LM_Scribe,G588)+INDEX(v01_ScholarShare,G588)*v01_OutScholar*INDEX(LM_Scholar,G588)+INDEX(v01_ResearcherShare,G588)*v01_OutResearcher*INDEX(LM_Researcher,G588)))</x:f>
        <x:v>9</x:v>
      </x:c>
      <x:c r="AL588" s="32" t="n">
        <x:f>H588*v01_RoleScale*Arch_Roles*AE588*INDEX(v01_MonasteryPerSett,G588)*v01_OutMonastery*INDEX(LM_Monastery,G588)</x:f>
        <x:v>0</x:v>
      </x:c>
      <x:c r="AM588" s="32" t="n">
        <x:f>(AJ588+AK588+AL588)/4*INDEX(LM_All,G588)*INDEX(v01_Boon,G588)*Arch_Insight</x:f>
        <x:v>13.11300857582474</x:v>
      </x:c>
      <x:c r="AN588" s="32" t="n">
        <x:f>H588*(v01_KHPerAdult*Z588+v01_KHOfCommons*AJ588/4*INDEX(LM_All,G588))*v01_KHUsable*Arch_KH</x:f>
        <x:v>2.3392977275791402</x:v>
      </x:c>
      <x:c r="AO588" s="32" t="n">
        <x:f>MIN(AP587+AN588,AM588*v01_KHMaxRatio)</x:f>
        <x:v>2.3392977275791402</x:v>
      </x:c>
      <x:c r="AP588" s="32" t="n">
        <x:f>AP587+AN588-AO588</x:f>
        <x:v>0</x:v>
      </x:c>
      <x:c r="AQ588" s="32" t="n">
        <x:f>AM588+AO588</x:f>
        <x:v>15.45230630340388</x:v>
      </x:c>
      <x:c r="AR588" s="10" t="n">
        <x:f>IF(H588=1,INDEX(v01_Req,G588),0)</x:f>
        <x:v>4006.9599999999996</x:v>
      </x:c>
      <x:c r="AS588" s="32" t="n">
        <x:f>IF(H588=1,IF(E588=1,AS587-AR587,AS587)+AQ588,0)</x:f>
        <x:v>1206.293736969575</x:v>
      </x:c>
      <x:c r="AT588" s="11" t="n">
        <x:f>IF(AR588&gt;0,MIN(1,AS588/AR588),1)</x:f>
        <x:v>0.301049607924605</x:v>
      </x:c>
      <x:c r="AU588" s="10" t="n">
        <x:f>AB588/INDEX(v01_RepScale,G588)</x:f>
        <x:v>75.56984498440035</x:v>
      </x:c>
      <x:c r="AV588" s="32" t="n">
        <x:f>AM588*60/v01_SeasonSeconds</x:f>
        <x:v>52.45203430329896</x:v>
      </x:c>
    </x:row>
    <x:row r="589">
      <x:c r="A589" s="8" t="n">
        <x:f>A588+1</x:f>
        <x:v>586</x:v>
      </x:c>
      <x:c r="B589" s="9" t="n">
        <x:f>A589*v01_SeasonSeconds/60</x:f>
        <x:v>146.5</x:v>
      </x:c>
      <x:c r="C589" s="9" t="n">
        <x:f>A589/4</x:f>
        <x:v>146.5</x:v>
      </x:c>
      <x:c r="D589" s="8" t="n">
        <x:f>IF(MOD(A589,4)=0,1,0)</x:f>
        <x:v>0</x:v>
      </x:c>
      <x:c r="E589" s="8" t="n">
        <x:f>IF(AND(F588&lt;=9,AS588&gt;=AR588),1,0)</x:f>
        <x:v>0</x:v>
      </x:c>
      <x:c r="F589" s="8" t="n">
        <x:f>MIN(10,F588+E589)</x:f>
        <x:v>2</x:v>
      </x:c>
      <x:c r="G589" s="8" t="n">
        <x:f>MIN(F589,9)+1</x:f>
        <x:v>3</x:v>
      </x:c>
      <x:c r="H589" s="8" t="n">
        <x:f>IF(F589&lt;=9,1,0)</x:f>
        <x:v>1</x:v>
      </x:c>
      <x:c r="I589" s="9" t="n">
        <x:f>MIN(10,F588+IF(AR588&gt;0,MIN(1,AS588/AR588),1))</x:f>
        <x:v>2.301049607924605</x:v>
      </x:c>
      <x:c r="J589" s="32" t="n">
        <x:f>INDEX(v01_FoodCap,G589)*Arch_FoodCap*EXP(v01_CapsByProject*SUMPRODUCT((Cap_Point&lt;=I589)*(Cap_Kind="Food")*Cap_Ln))</x:f>
        <x:v>60</x:v>
      </x:c>
      <x:c r="K589" s="32" t="n">
        <x:f>J589*MIN(1,v01_LeanBase*EXP(v01_CapsByProject*SUMPRODUCT((Cap_Point&lt;=I589)*(Cap_Kind="Lean")*Cap_Ln)))</x:f>
        <x:v>60</x:v>
      </x:c>
      <x:c r="L589" s="10" t="n">
        <x:f>INDEX(v01_HousingCap,G589)*EXP(v01_CapsByProject*SUMPRODUCT((Cap_Point&lt;=I589)*(Cap_Kind="Housing")*Cap_Ln))</x:f>
        <x:v>100</x:v>
      </x:c>
      <x:c r="M589" s="10" t="n">
        <x:f>INDEX(v01_GroupCap,G589)*v01_CohesionFactor*EXP(v01_CapsByProject*SUMPRODUCT((Cap_Point&lt;=I589)*(Cap_Kind="Group")*Cap_Ln))</x:f>
        <x:v>500</x:v>
      </x:c>
      <x:c r="N589" s="32" t="n">
        <x:f>MIN(J589,L589,M589)</x:f>
        <x:v>60</x:v>
      </x:c>
      <x:c r="O589" s="10" t="n">
        <x:f>AE588*N589</x:f>
        <x:v>180</x:v>
      </x:c>
      <x:c r="P589" s="9" t="n">
        <x:f>MIN(1,(AB588/(AE588*IF(v01_GroupInCrowding=1,N589,MIN(J589,L589))))^v01_CrowdingExp)</x:f>
        <x:v>0.350458123710186</x:v>
      </x:c>
      <x:c r="Q589" s="9" t="n">
        <x:f>IF(D589=1,INDEX(v01_WinterMult,G589),1)</x:f>
        <x:v>1</x:v>
      </x:c>
      <x:c r="R589" s="9" t="n">
        <x:f>H589*Z588*v01_WomenShare*v01_BaseFertility*INDEX(v01_FertMult,G589)*Arch_Fertility*(1-P589)</x:f>
        <x:v>1.7582459806993214</x:v>
      </x:c>
      <x:c r="S589" s="9" t="n">
        <x:f>H589*Y588*INDEX(v01_MortChild,G589)/4*Q589</x:f>
        <x:v>0.557926722990386</x:v>
      </x:c>
      <x:c r="T589" s="9" t="n">
        <x:f>H589*Z588*INDEX(v01_MortAdult,G589)*Arch_AdultMort/4*Q589</x:f>
        <x:v>0.20051123379249775</x:v>
      </x:c>
      <x:c r="U589" s="9" t="n">
        <x:f>H589*AA588*INDEX(v01_MortElder,G589)/4*Q589</x:f>
        <x:v>0.35944226468366997</x:v>
      </x:c>
      <x:c r="V589" s="9" t="n">
        <x:f>H589*MAX(0,AB588-O589)*v01_OvercapLoss</x:f>
        <x:v>0</x:v>
      </x:c>
      <x:c r="W589" s="9" t="n">
        <x:f>H589*Y588/(v01_ChildYears*4)</x:f>
        <x:v>1.138625965286502</x:v>
      </x:c>
      <x:c r="X589" s="9" t="n">
        <x:f>H589*Z588/(v01_AdultYears*4)</x:f>
        <x:v>0.5390086929905853</x:v>
      </x:c>
      <x:c r="Y589" s="32" t="n">
        <x:f>Y588+R589-S589-W589-Y588*V589/AB588</x:f>
        <x:v>63.82474734846655</x:v>
      </x:c>
      <x:c r="Z589" s="32" t="n">
        <x:f>Z588+W589-X589-T589-Z588*V589/AB588</x:f>
        <x:v>67.236183969336</x:v>
      </x:c>
      <x:c r="AA589" s="32" t="n">
        <x:f>AA588+X589-U589-AA588*V589/AB588</x:f>
        <x:v>20.71912441023091</x:v>
      </x:c>
      <x:c r="AB589" s="10" t="n">
        <x:f>Y589+Z589+AA589</x:f>
        <x:v>151.78005572803346</x:v>
      </x:c>
      <x:c r="AC589" s="8" t="n">
        <x:f>IF(AND(v01_WinterTrigger=1,D589=1,AB588/AE588&gt;=K589),1,0)</x:f>
        <x:v>0</x:v>
      </x:c>
      <x:c r="AD589" s="8" t="n">
        <x:f>H589*IF(AND(OR(AB588/AE588&gt;=v01_FissionTrigger*N589,AC589=1),AB588/AE588*v01_DaughterShare&gt;=v01_MinDaughter),MAX(1,ROUND(AE588*v01_FissionRate,0)),0)</x:f>
        <x:v>0</x:v>
      </x:c>
      <x:c r="AE589" s="8" t="n">
        <x:f>IF(H589=1,MAX(1,MIN(INDEX(v01_Smax,G589),AE588+AD589)),AE588)</x:f>
        <x:v>3</x:v>
      </x:c>
      <x:c r="AF589" s="8" t="n">
        <x:f>MAX(0,AE589-AE588)</x:f>
        <x:v>0</x:v>
      </x:c>
      <x:c r="AG589" s="9" t="str">
        <x:f>IF(AF589&gt;0,B589,"")</x:f>
      </x:c>
      <x:c r="AH589" s="9" t="n">
        <x:f>IF(F589&gt;=1,1,(1+v01_LowTiesShare*(AE589-1))/AE589)</x:f>
        <x:v>1</x:v>
      </x:c>
      <x:c r="AI589" s="32" t="n">
        <x:f>(Z589+v01_ElderCommons*INDEX(LM_Elder,G589)*AA589)*AH589</x:f>
        <x:v>129.39355720002874</x:v>
      </x:c>
      <x:c r="AJ589" s="32" t="n">
        <x:f>H589*v01_CommonsCoef*AI589^v01_CommonsExp*INDEX(LM_Commons,G589)</x:f>
        <x:v>41.17842105782327</x:v>
      </x:c>
      <x:c r="AK589" s="32" t="n">
        <x:f>H589*v01_RoleScale*Arch_Roles*(AE589*(INDEX(v01_ElderRolePerSett,G589)*v01_OutElder*INDEX(LM_Elder,G589)+INDEX(v01_ShamanPerSett,G589)*v01_OutShaman)+Z589*(INDEX(v01_PriestShare,G589)*v01_OutPriest+INDEX(v01_ScribeShare,G589)*v01_OutScribe*INDEX(LM_Scribe,G589)+INDEX(v01_ScholarShare,G589)*v01_OutScholar*INDEX(LM_Scholar,G589)+INDEX(v01_ResearcherShare,G589)*v01_OutResearcher*INDEX(LM_Researcher,G589)))</x:f>
        <x:v>9</x:v>
      </x:c>
      <x:c r="AL589" s="32" t="n">
        <x:f>H589*v01_RoleScale*Arch_Roles*AE589*INDEX(v01_MonasteryPerSett,G589)*v01_OutMonastery*INDEX(LM_Monastery,G589)</x:f>
        <x:v>0</x:v>
      </x:c>
      <x:c r="AM589" s="32" t="n">
        <x:f>(AJ589+AK589+AL589)/4*INDEX(LM_All,G589)*INDEX(v01_Boon,G589)*Arch_Insight</x:f>
        <x:v>13.179675905968892</x:v>
      </x:c>
      <x:c r="AN589" s="32" t="n">
        <x:f>H589*(v01_KHPerAdult*Z589+v01_KHOfCommons*AJ589/4*INDEX(LM_All,G589))*v01_KHUsable*Arch_KH</x:f>
        <x:v>2.35326643892676</x:v>
      </x:c>
      <x:c r="AO589" s="32" t="n">
        <x:f>MIN(AP588+AN589,AM589*v01_KHMaxRatio)</x:f>
        <x:v>2.35326643892676</x:v>
      </x:c>
      <x:c r="AP589" s="32" t="n">
        <x:f>AP588+AN589-AO589</x:f>
        <x:v>0</x:v>
      </x:c>
      <x:c r="AQ589" s="32" t="n">
        <x:f>AM589+AO589</x:f>
        <x:v>15.532942344895652</x:v>
      </x:c>
      <x:c r="AR589" s="10" t="n">
        <x:f>IF(H589=1,INDEX(v01_Req,G589),0)</x:f>
        <x:v>4006.9599999999996</x:v>
      </x:c>
      <x:c r="AS589" s="32" t="n">
        <x:f>IF(H589=1,IF(E589=1,AS588-AR588,AS588)+AQ589,0)</x:f>
        <x:v>1221.8266793144708</x:v>
      </x:c>
      <x:c r="AT589" s="11" t="n">
        <x:f>IF(AR589&gt;0,MIN(1,AS589/AR589),1)</x:f>
        <x:v>0.3049260984173715</x:v>
      </x:c>
      <x:c r="AU589" s="10" t="n">
        <x:f>AB589/INDEX(v01_RepScale,G589)</x:f>
        <x:v>75.89002786401673</x:v>
      </x:c>
      <x:c r="AV589" s="32" t="n">
        <x:f>AM589*60/v01_SeasonSeconds</x:f>
        <x:v>52.71870362387556</x:v>
      </x:c>
    </x:row>
    <x:row r="590">
      <x:c r="A590" s="8" t="n">
        <x:f>A589+1</x:f>
        <x:v>587</x:v>
      </x:c>
      <x:c r="B590" s="9" t="n">
        <x:f>A590*v01_SeasonSeconds/60</x:f>
        <x:v>146.75</x:v>
      </x:c>
      <x:c r="C590" s="9" t="n">
        <x:f>A590/4</x:f>
        <x:v>146.75</x:v>
      </x:c>
      <x:c r="D590" s="8" t="n">
        <x:f>IF(MOD(A590,4)=0,1,0)</x:f>
        <x:v>0</x:v>
      </x:c>
      <x:c r="E590" s="8" t="n">
        <x:f>IF(AND(F589&lt;=9,AS589&gt;=AR589),1,0)</x:f>
        <x:v>0</x:v>
      </x:c>
      <x:c r="F590" s="8" t="n">
        <x:f>MIN(10,F589+E590)</x:f>
        <x:v>2</x:v>
      </x:c>
      <x:c r="G590" s="8" t="n">
        <x:f>MIN(F590,9)+1</x:f>
        <x:v>3</x:v>
      </x:c>
      <x:c r="H590" s="8" t="n">
        <x:f>IF(F590&lt;=9,1,0)</x:f>
        <x:v>1</x:v>
      </x:c>
      <x:c r="I590" s="9" t="n">
        <x:f>MIN(10,F589+IF(AR589&gt;0,MIN(1,AS589/AR589),1))</x:f>
        <x:v>2.3049260984173716</x:v>
      </x:c>
      <x:c r="J590" s="32" t="n">
        <x:f>INDEX(v01_FoodCap,G590)*Arch_FoodCap*EXP(v01_CapsByProject*SUMPRODUCT((Cap_Point&lt;=I590)*(Cap_Kind="Food")*Cap_Ln))</x:f>
        <x:v>60</x:v>
      </x:c>
      <x:c r="K590" s="32" t="n">
        <x:f>J590*MIN(1,v01_LeanBase*EXP(v01_CapsByProject*SUMPRODUCT((Cap_Point&lt;=I590)*(Cap_Kind="Lean")*Cap_Ln)))</x:f>
        <x:v>60</x:v>
      </x:c>
      <x:c r="L590" s="10" t="n">
        <x:f>INDEX(v01_HousingCap,G590)*EXP(v01_CapsByProject*SUMPRODUCT((Cap_Point&lt;=I590)*(Cap_Kind="Housing")*Cap_Ln))</x:f>
        <x:v>100</x:v>
      </x:c>
      <x:c r="M590" s="10" t="n">
        <x:f>INDEX(v01_GroupCap,G590)*v01_CohesionFactor*EXP(v01_CapsByProject*SUMPRODUCT((Cap_Point&lt;=I590)*(Cap_Kind="Group")*Cap_Ln))</x:f>
        <x:v>500</x:v>
      </x:c>
      <x:c r="N590" s="32" t="n">
        <x:f>MIN(J590,L590,M590)</x:f>
        <x:v>60</x:v>
      </x:c>
      <x:c r="O590" s="10" t="n">
        <x:f>AE589*N590</x:f>
        <x:v>180</x:v>
      </x:c>
      <x:c r="P590" s="9" t="n">
        <x:f>MIN(1,(AB589/(AE589*IF(v01_GroupInCrowding=1,N590,MIN(J590,L590))))^v01_CrowdingExp)</x:f>
        <x:v>0.3594621909694758</x:v>
      </x:c>
      <x:c r="Q590" s="9" t="n">
        <x:f>IF(D590=1,INDEX(v01_WinterMult,G590),1)</x:f>
        <x:v>1</x:v>
      </x:c>
      <x:c r="R590" s="9" t="n">
        <x:f>H590*Z589*v01_WomenShare*v01_BaseFertility*INDEX(v01_FertMult,G590)*Arch_Fertility*(1-P590)</x:f>
        <x:v>1.7442263776753155</x:v>
      </x:c>
      <x:c r="S590" s="9" t="n">
        <x:f>H590*Y589*INDEX(v01_MortChild,G590)/4*Q590</x:f>
        <x:v>0.5584665392990824</x:v>
      </x:c>
      <x:c r="T590" s="9" t="n">
        <x:f>H590*Z589*INDEX(v01_MortAdult,G590)*Arch_AdultMort/4*Q590</x:f>
        <x:v>0.201708551908008</x:v>
      </x:c>
      <x:c r="U590" s="9" t="n">
        <x:f>H590*AA589*INDEX(v01_MortElder,G590)/4*Q590</x:f>
        <x:v>0.36258467717904097</x:v>
      </x:c>
      <x:c r="V590" s="9" t="n">
        <x:f>H590*MAX(0,AB589-O590)*v01_OvercapLoss</x:f>
        <x:v>0</x:v>
      </x:c>
      <x:c r="W590" s="9" t="n">
        <x:f>H590*Y589/(v01_ChildYears*4)</x:f>
        <x:v>1.139727631222617</x:v>
      </x:c>
      <x:c r="X590" s="9" t="n">
        <x:f>H590*Z589/(v01_AdultYears*4)</x:f>
        <x:v>0.5422272900752902</x:v>
      </x:c>
      <x:c r="Y590" s="32" t="n">
        <x:f>Y589+R590-S590-W590-Y589*V590/AB589</x:f>
        <x:v>63.87077955562017</x:v>
      </x:c>
      <x:c r="Z590" s="32" t="n">
        <x:f>Z589+W590-X590-T590-Z589*V590/AB589</x:f>
        <x:v>67.63197575857531</x:v>
      </x:c>
      <x:c r="AA590" s="32" t="n">
        <x:f>AA589+X590-U590-AA589*V590/AB589</x:f>
        <x:v>20.89876702312716</x:v>
      </x:c>
      <x:c r="AB590" s="10" t="n">
        <x:f>Y590+Z590+AA590</x:f>
        <x:v>152.40152233732263</x:v>
      </x:c>
      <x:c r="AC590" s="8" t="n">
        <x:f>IF(AND(v01_WinterTrigger=1,D590=1,AB589/AE589&gt;=K590),1,0)</x:f>
        <x:v>0</x:v>
      </x:c>
      <x:c r="AD590" s="8" t="n">
        <x:f>H590*IF(AND(OR(AB589/AE589&gt;=v01_FissionTrigger*N590,AC590=1),AB589/AE589*v01_DaughterShare&gt;=v01_MinDaughter),MAX(1,ROUND(AE589*v01_FissionRate,0)),0)</x:f>
        <x:v>0</x:v>
      </x:c>
      <x:c r="AE590" s="8" t="n">
        <x:f>IF(H590=1,MAX(1,MIN(INDEX(v01_Smax,G590),AE589+AD590)),AE589)</x:f>
        <x:v>3</x:v>
      </x:c>
      <x:c r="AF590" s="8" t="n">
        <x:f>MAX(0,AE590-AE589)</x:f>
        <x:v>0</x:v>
      </x:c>
      <x:c r="AG590" s="9" t="str">
        <x:f>IF(AF590&gt;0,B590,"")</x:f>
      </x:c>
      <x:c r="AH590" s="9" t="n">
        <x:f>IF(F590&gt;=1,1,(1+v01_LowTiesShare*(AE590-1))/AE590)</x:f>
        <x:v>1</x:v>
      </x:c>
      <x:c r="AI590" s="32" t="n">
        <x:f>(Z590+v01_ElderCommons*INDEX(LM_Elder,G590)*AA590)*AH590</x:f>
        <x:v>130.32827682795678</x:v>
      </x:c>
      <x:c r="AJ590" s="32" t="n">
        <x:f>H590*v01_CommonsCoef*AI590^v01_CommonsExp*INDEX(LM_Commons,G590)</x:f>
        <x:v>41.431131167131234</x:v>
      </x:c>
      <x:c r="AK590" s="32" t="n">
        <x:f>H590*v01_RoleScale*Arch_Roles*(AE590*(INDEX(v01_ElderRolePerSett,G590)*v01_OutElder*INDEX(LM_Elder,G590)+INDEX(v01_ShamanPerSett,G590)*v01_OutShaman)+Z590*(INDEX(v01_PriestShare,G590)*v01_OutPriest+INDEX(v01_ScribeShare,G590)*v01_OutScribe*INDEX(LM_Scribe,G590)+INDEX(v01_ScholarShare,G590)*v01_OutScholar*INDEX(LM_Scholar,G590)+INDEX(v01_ResearcherShare,G590)*v01_OutResearcher*INDEX(LM_Researcher,G590)))</x:f>
        <x:v>9</x:v>
      </x:c>
      <x:c r="AL590" s="32" t="n">
        <x:f>H590*v01_RoleScale*Arch_Roles*AE590*INDEX(v01_MonasteryPerSett,G590)*v01_OutMonastery*INDEX(LM_Monastery,G590)</x:f>
        <x:v>0</x:v>
      </x:c>
      <x:c r="AM590" s="32" t="n">
        <x:f>(AJ590+AK590+AL590)/4*INDEX(LM_All,G590)*INDEX(v01_Boon,G590)*Arch_Insight</x:f>
        <x:v>13.246051795616813</x:v>
      </x:c>
      <x:c r="AN590" s="32" t="n">
        <x:f>H590*(v01_KHPerAdult*Z590+v01_KHOfCommons*AJ590/4*INDEX(LM_All,G590))*v01_KHUsable*Arch_KH</x:f>
        <x:v>2.3671191515501357</x:v>
      </x:c>
      <x:c r="AO590" s="32" t="n">
        <x:f>MIN(AP589+AN590,AM590*v01_KHMaxRatio)</x:f>
        <x:v>2.3671191515501357</x:v>
      </x:c>
      <x:c r="AP590" s="32" t="n">
        <x:f>AP589+AN590-AO590</x:f>
        <x:v>0</x:v>
      </x:c>
      <x:c r="AQ590" s="32" t="n">
        <x:f>AM590+AO590</x:f>
        <x:v>15.61317094716695</x:v>
      </x:c>
      <x:c r="AR590" s="10" t="n">
        <x:f>IF(H590=1,INDEX(v01_Req,G590),0)</x:f>
        <x:v>4006.9599999999996</x:v>
      </x:c>
      <x:c r="AS590" s="32" t="n">
        <x:f>IF(H590=1,IF(E590=1,AS589-AR589,AS589)+AQ590,0)</x:f>
        <x:v>1237.4398502616377</x:v>
      </x:c>
      <x:c r="AT590" s="11" t="n">
        <x:f>IF(AR590&gt;0,MIN(1,AS590/AR590),1)</x:f>
        <x:v>0.30882261122188337</x:v>
      </x:c>
      <x:c r="AU590" s="10" t="n">
        <x:f>AB590/INDEX(v01_RepScale,G590)</x:f>
        <x:v>76.20076116866132</x:v>
      </x:c>
      <x:c r="AV590" s="32" t="n">
        <x:f>AM590*60/v01_SeasonSeconds</x:f>
        <x:v>52.98420718246725</x:v>
      </x:c>
    </x:row>
    <x:row r="591">
      <x:c r="A591" s="8" t="n">
        <x:f>A590+1</x:f>
        <x:v>588</x:v>
      </x:c>
      <x:c r="B591" s="9" t="n">
        <x:f>A591*v01_SeasonSeconds/60</x:f>
        <x:v>147</x:v>
      </x:c>
      <x:c r="C591" s="9" t="n">
        <x:f>A591/4</x:f>
        <x:v>147</x:v>
      </x:c>
      <x:c r="D591" s="8" t="n">
        <x:f>IF(MOD(A591,4)=0,1,0)</x:f>
        <x:v>1</x:v>
      </x:c>
      <x:c r="E591" s="8" t="n">
        <x:f>IF(AND(F590&lt;=9,AS590&gt;=AR590),1,0)</x:f>
        <x:v>0</x:v>
      </x:c>
      <x:c r="F591" s="8" t="n">
        <x:f>MIN(10,F590+E591)</x:f>
        <x:v>2</x:v>
      </x:c>
      <x:c r="G591" s="8" t="n">
        <x:f>MIN(F591,9)+1</x:f>
        <x:v>3</x:v>
      </x:c>
      <x:c r="H591" s="8" t="n">
        <x:f>IF(F591&lt;=9,1,0)</x:f>
        <x:v>1</x:v>
      </x:c>
      <x:c r="I591" s="9" t="n">
        <x:f>MIN(10,F590+IF(AR590&gt;0,MIN(1,AS590/AR590),1))</x:f>
        <x:v>2.3088226112218835</x:v>
      </x:c>
      <x:c r="J591" s="32" t="n">
        <x:f>INDEX(v01_FoodCap,G591)*Arch_FoodCap*EXP(v01_CapsByProject*SUMPRODUCT((Cap_Point&lt;=I591)*(Cap_Kind="Food")*Cap_Ln))</x:f>
        <x:v>60</x:v>
      </x:c>
      <x:c r="K591" s="32" t="n">
        <x:f>J591*MIN(1,v01_LeanBase*EXP(v01_CapsByProject*SUMPRODUCT((Cap_Point&lt;=I591)*(Cap_Kind="Lean")*Cap_Ln)))</x:f>
        <x:v>60</x:v>
      </x:c>
      <x:c r="L591" s="10" t="n">
        <x:f>INDEX(v01_HousingCap,G591)*EXP(v01_CapsByProject*SUMPRODUCT((Cap_Point&lt;=I591)*(Cap_Kind="Housing")*Cap_Ln))</x:f>
        <x:v>100</x:v>
      </x:c>
      <x:c r="M591" s="10" t="n">
        <x:f>INDEX(v01_GroupCap,G591)*v01_CohesionFactor*EXP(v01_CapsByProject*SUMPRODUCT((Cap_Point&lt;=I591)*(Cap_Kind="Group")*Cap_Ln))</x:f>
        <x:v>500</x:v>
      </x:c>
      <x:c r="N591" s="32" t="n">
        <x:f>MIN(J591,L591,M591)</x:f>
        <x:v>60</x:v>
      </x:c>
      <x:c r="O591" s="10" t="n">
        <x:f>AE590*N591</x:f>
        <x:v>180</x:v>
      </x:c>
      <x:c r="P591" s="9" t="n">
        <x:f>MIN(1,(AB590/(AE590*IF(v01_GroupInCrowding=1,N591,MIN(J591,L591))))^v01_CrowdingExp)</x:f>
        <x:v>0.3683840350010032</x:v>
      </x:c>
      <x:c r="Q591" s="9" t="n">
        <x:f>IF(D591=1,INDEX(v01_WinterMult,G591),1)</x:f>
        <x:v>1.3</x:v>
      </x:c>
      <x:c r="R591" s="9" t="n">
        <x:f>H591*Z590*v01_WomenShare*v01_BaseFertility*INDEX(v01_FertMult,G591)*Arch_Fertility*(1-P591)</x:f>
        <x:v>1.7300561431584225</x:v>
      </x:c>
      <x:c r="S591" s="9" t="n">
        <x:f>H591*Y590*INDEX(v01_MortChild,G591)/4*Q591</x:f>
        <x:v>0.7265301174451795</x:v>
      </x:c>
      <x:c r="T591" s="9" t="n">
        <x:f>H591*Z590*INDEX(v01_MortAdult,G591)*Arch_AdultMort/4*Q591</x:f>
        <x:v>0.2637647054584437</x:v>
      </x:c>
      <x:c r="U591" s="9" t="n">
        <x:f>H591*AA590*INDEX(v01_MortElder,G591)/4*Q591</x:f>
        <x:v>0.475446949776143</x:v>
      </x:c>
      <x:c r="V591" s="9" t="n">
        <x:f>H591*MAX(0,AB590-O591)*v01_OvercapLoss</x:f>
        <x:v>0</x:v>
      </x:c>
      <x:c r="W591" s="9" t="n">
        <x:f>H591*Y590/(v01_ChildYears*4)</x:f>
        <x:v>1.1405496349217887</x:v>
      </x:c>
      <x:c r="X591" s="9" t="n">
        <x:f>H591*Z590/(v01_AdultYears*4)</x:f>
        <x:v>0.5454191593433493</x:v>
      </x:c>
      <x:c r="Y591" s="32" t="n">
        <x:f>Y590+R591-S591-W591-Y590*V591/AB590</x:f>
        <x:v>63.73375594641163</x:v>
      </x:c>
      <x:c r="Z591" s="32" t="n">
        <x:f>Z590+W591-X591-T591-Z590*V591/AB590</x:f>
        <x:v>67.9633415286953</x:v>
      </x:c>
      <x:c r="AA591" s="32" t="n">
        <x:f>AA590+X591-U591-AA590*V591/AB590</x:f>
        <x:v>20.968739232694368</x:v>
      </x:c>
      <x:c r="AB591" s="10" t="n">
        <x:f>Y591+Z591+AA591</x:f>
        <x:v>152.66583670780128</x:v>
      </x:c>
      <x:c r="AC591" s="8" t="n">
        <x:f>IF(AND(v01_WinterTrigger=1,D591=1,AB590/AE590&gt;=K591),1,0)</x:f>
        <x:v>0</x:v>
      </x:c>
      <x:c r="AD591" s="8" t="n">
        <x:f>H591*IF(AND(OR(AB590/AE590&gt;=v01_FissionTrigger*N591,AC591=1),AB590/AE590*v01_DaughterShare&gt;=v01_MinDaughter),MAX(1,ROUND(AE590*v01_FissionRate,0)),0)</x:f>
        <x:v>0</x:v>
      </x:c>
      <x:c r="AE591" s="8" t="n">
        <x:f>IF(H591=1,MAX(1,MIN(INDEX(v01_Smax,G591),AE590+AD591)),AE590)</x:f>
        <x:v>3</x:v>
      </x:c>
      <x:c r="AF591" s="8" t="n">
        <x:f>MAX(0,AE591-AE590)</x:f>
        <x:v>0</x:v>
      </x:c>
      <x:c r="AG591" s="9" t="str">
        <x:f>IF(AF591&gt;0,B591,"")</x:f>
      </x:c>
      <x:c r="AH591" s="9" t="n">
        <x:f>IF(F591&gt;=1,1,(1+v01_LowTiesShare*(AE591-1))/AE591)</x:f>
        <x:v>1</x:v>
      </x:c>
      <x:c r="AI591" s="32" t="n">
        <x:f>(Z591+v01_ElderCommons*INDEX(LM_Elder,G591)*AA591)*AH591</x:f>
        <x:v>130.8695592267784</x:v>
      </x:c>
      <x:c r="AJ591" s="32" t="n">
        <x:f>H591*v01_CommonsCoef*AI591^v01_CommonsExp*INDEX(LM_Commons,G591)</x:f>
        <x:v>41.577347498531275</x:v>
      </x:c>
      <x:c r="AK591" s="32" t="n">
        <x:f>H591*v01_RoleScale*Arch_Roles*(AE591*(INDEX(v01_ElderRolePerSett,G591)*v01_OutElder*INDEX(LM_Elder,G591)+INDEX(v01_ShamanPerSett,G591)*v01_OutShaman)+Z591*(INDEX(v01_PriestShare,G591)*v01_OutPriest+INDEX(v01_ScribeShare,G591)*v01_OutScribe*INDEX(LM_Scribe,G591)+INDEX(v01_ScholarShare,G591)*v01_OutScholar*INDEX(LM_Scholar,G591)+INDEX(v01_ResearcherShare,G591)*v01_OutResearcher*INDEX(LM_Researcher,G591)))</x:f>
        <x:v>9</x:v>
      </x:c>
      <x:c r="AL591" s="32" t="n">
        <x:f>H591*v01_RoleScale*Arch_Roles*AE591*INDEX(v01_MonasteryPerSett,G591)*v01_OutMonastery*INDEX(LM_Monastery,G591)</x:f>
        <x:v>0</x:v>
      </x:c>
      <x:c r="AM591" s="32" t="n">
        <x:f>(AJ591+AK591+AL591)/4*INDEX(LM_All,G591)*INDEX(v01_Boon,G591)*Arch_Insight</x:f>
        <x:v>13.284456428911104</x:v>
      </x:c>
      <x:c r="AN591" s="32" t="n">
        <x:f>H591*(v01_KHPerAdult*Z591+v01_KHOfCommons*AJ591/4*INDEX(LM_All,G591))*v01_KHUsable*Arch_KH</x:f>
        <x:v>2.3787169535043353</x:v>
      </x:c>
      <x:c r="AO591" s="32" t="n">
        <x:f>MIN(AP590+AN591,AM591*v01_KHMaxRatio)</x:f>
        <x:v>2.3787169535043353</x:v>
      </x:c>
      <x:c r="AP591" s="32" t="n">
        <x:f>AP590+AN591-AO591</x:f>
        <x:v>0</x:v>
      </x:c>
      <x:c r="AQ591" s="32" t="n">
        <x:f>AM591+AO591</x:f>
        <x:v>15.66317338241544</x:v>
      </x:c>
      <x:c r="AR591" s="10" t="n">
        <x:f>IF(H591=1,INDEX(v01_Req,G591),0)</x:f>
        <x:v>4006.9599999999996</x:v>
      </x:c>
      <x:c r="AS591" s="32" t="n">
        <x:f>IF(H591=1,IF(E591=1,AS590-AR590,AS590)+AQ591,0)</x:f>
        <x:v>1253.103023644053</x:v>
      </x:c>
      <x:c r="AT591" s="11" t="n">
        <x:f>IF(AR591&gt;0,MIN(1,AS591/AR591),1)</x:f>
        <x:v>0.31273160292192914</x:v>
      </x:c>
      <x:c r="AU591" s="10" t="n">
        <x:f>AB591/INDEX(v01_RepScale,G591)</x:f>
        <x:v>76.33291835390064</x:v>
      </x:c>
      <x:c r="AV591" s="32" t="n">
        <x:f>AM591*60/v01_SeasonSeconds</x:f>
        <x:v>53.13782571564442</x:v>
      </x:c>
    </x:row>
    <x:row r="592">
      <x:c r="A592" s="8" t="n">
        <x:f>A591+1</x:f>
        <x:v>589</x:v>
      </x:c>
      <x:c r="B592" s="9" t="n">
        <x:f>A592*v01_SeasonSeconds/60</x:f>
        <x:v>147.25</x:v>
      </x:c>
      <x:c r="C592" s="9" t="n">
        <x:f>A592/4</x:f>
        <x:v>147.25</x:v>
      </x:c>
      <x:c r="D592" s="8" t="n">
        <x:f>IF(MOD(A592,4)=0,1,0)</x:f>
        <x:v>0</x:v>
      </x:c>
      <x:c r="E592" s="8" t="n">
        <x:f>IF(AND(F591&lt;=9,AS591&gt;=AR591),1,0)</x:f>
        <x:v>0</x:v>
      </x:c>
      <x:c r="F592" s="8" t="n">
        <x:f>MIN(10,F591+E592)</x:f>
        <x:v>2</x:v>
      </x:c>
      <x:c r="G592" s="8" t="n">
        <x:f>MIN(F592,9)+1</x:f>
        <x:v>3</x:v>
      </x:c>
      <x:c r="H592" s="8" t="n">
        <x:f>IF(F592&lt;=9,1,0)</x:f>
        <x:v>1</x:v>
      </x:c>
      <x:c r="I592" s="9" t="n">
        <x:f>MIN(10,F591+IF(AR591&gt;0,MIN(1,AS591/AR591),1))</x:f>
        <x:v>2.312731602921929</x:v>
      </x:c>
      <x:c r="J592" s="32" t="n">
        <x:f>INDEX(v01_FoodCap,G592)*Arch_FoodCap*EXP(v01_CapsByProject*SUMPRODUCT((Cap_Point&lt;=I592)*(Cap_Kind="Food")*Cap_Ln))</x:f>
        <x:v>60</x:v>
      </x:c>
      <x:c r="K592" s="32" t="n">
        <x:f>J592*MIN(1,v01_LeanBase*EXP(v01_CapsByProject*SUMPRODUCT((Cap_Point&lt;=I592)*(Cap_Kind="Lean")*Cap_Ln)))</x:f>
        <x:v>60</x:v>
      </x:c>
      <x:c r="L592" s="10" t="n">
        <x:f>INDEX(v01_HousingCap,G592)*EXP(v01_CapsByProject*SUMPRODUCT((Cap_Point&lt;=I592)*(Cap_Kind="Housing")*Cap_Ln))</x:f>
        <x:v>100</x:v>
      </x:c>
      <x:c r="M592" s="10" t="n">
        <x:f>INDEX(v01_GroupCap,G592)*v01_CohesionFactor*EXP(v01_CapsByProject*SUMPRODUCT((Cap_Point&lt;=I592)*(Cap_Kind="Group")*Cap_Ln))</x:f>
        <x:v>500</x:v>
      </x:c>
      <x:c r="N592" s="32" t="n">
        <x:f>MIN(J592,L592,M592)</x:f>
        <x:v>60</x:v>
      </x:c>
      <x:c r="O592" s="10" t="n">
        <x:f>AE591*N592</x:f>
        <x:v>180</x:v>
      </x:c>
      <x:c r="P592" s="9" t="n">
        <x:f>MIN(1,(AB591/(AE591*IF(v01_GroupInCrowding=1,N592,MIN(J592,L592))))^v01_CrowdingExp)</x:f>
        <x:v>0.3722340889582131</x:v>
      </x:c>
      <x:c r="Q592" s="9" t="n">
        <x:f>IF(D592=1,INDEX(v01_WinterMult,G592),1)</x:f>
        <x:v>1</x:v>
      </x:c>
      <x:c r="R592" s="9" t="n">
        <x:f>H592*Z591*v01_WomenShare*v01_BaseFertility*INDEX(v01_FertMult,G592)*Arch_Fertility*(1-P592)</x:f>
        <x:v>1.7279352949943232</x:v>
      </x:c>
      <x:c r="S592" s="9" t="n">
        <x:f>H592*Y591*INDEX(v01_MortChild,G592)/4*Q592</x:f>
        <x:v>0.5576703645311017</x:v>
      </x:c>
      <x:c r="T592" s="9" t="n">
        <x:f>H592*Z591*INDEX(v01_MortAdult,G592)*Arch_AdultMort/4*Q592</x:f>
        <x:v>0.20389002458608588</x:v>
      </x:c>
      <x:c r="U592" s="9" t="n">
        <x:f>H592*AA591*INDEX(v01_MortElder,G592)/4*Q592</x:f>
        <x:v>0.3669529365721515</x:v>
      </x:c>
      <x:c r="V592" s="9" t="n">
        <x:f>H592*MAX(0,AB591-O592)*v01_OvercapLoss</x:f>
        <x:v>0</x:v>
      </x:c>
      <x:c r="W592" s="9" t="n">
        <x:f>H592*Y591/(v01_ChildYears*4)</x:f>
        <x:v>1.1381027847573504</x:v>
      </x:c>
      <x:c r="X592" s="9" t="n">
        <x:f>H592*Z591/(v01_AdultYears*4)</x:f>
        <x:v>0.5480914639410911</x:v>
      </x:c>
      <x:c r="Y592" s="32" t="n">
        <x:f>Y591+R592-S592-W592-Y591*V592/AB591</x:f>
        <x:v>63.76591809211749</x:v>
      </x:c>
      <x:c r="Z592" s="32" t="n">
        <x:f>Z591+W592-X592-T592-Z591*V592/AB591</x:f>
        <x:v>68.34946282492547</x:v>
      </x:c>
      <x:c r="AA592" s="32" t="n">
        <x:f>AA591+X592-U592-AA591*V592/AB591</x:f>
        <x:v>21.14987776006331</x:v>
      </x:c>
      <x:c r="AB592" s="10" t="n">
        <x:f>Y592+Z592+AA592</x:f>
        <x:v>153.26525867710626</x:v>
      </x:c>
      <x:c r="AC592" s="8" t="n">
        <x:f>IF(AND(v01_WinterTrigger=1,D592=1,AB591/AE591&gt;=K592),1,0)</x:f>
        <x:v>0</x:v>
      </x:c>
      <x:c r="AD592" s="8" t="n">
        <x:f>H592*IF(AND(OR(AB591/AE591&gt;=v01_FissionTrigger*N592,AC592=1),AB591/AE591*v01_DaughterShare&gt;=v01_MinDaughter),MAX(1,ROUND(AE591*v01_FissionRate,0)),0)</x:f>
        <x:v>0</x:v>
      </x:c>
      <x:c r="AE592" s="8" t="n">
        <x:f>IF(H592=1,MAX(1,MIN(INDEX(v01_Smax,G592),AE591+AD592)),AE591)</x:f>
        <x:v>3</x:v>
      </x:c>
      <x:c r="AF592" s="8" t="n">
        <x:f>MAX(0,AE592-AE591)</x:f>
        <x:v>0</x:v>
      </x:c>
      <x:c r="AG592" s="9" t="str">
        <x:f>IF(AF592&gt;0,B592,"")</x:f>
      </x:c>
      <x:c r="AH592" s="9" t="n">
        <x:f>IF(F592&gt;=1,1,(1+v01_LowTiesShare*(AE592-1))/AE592)</x:f>
        <x:v>1</x:v>
      </x:c>
      <x:c r="AI592" s="32" t="n">
        <x:f>(Z592+v01_ElderCommons*INDEX(LM_Elder,G592)*AA592)*AH592</x:f>
        <x:v>131.79909610511538</x:v>
      </x:c>
      <x:c r="AJ592" s="32" t="n">
        <x:f>H592*v01_CommonsCoef*AI592^v01_CommonsExp*INDEX(LM_Commons,G592)</x:f>
        <x:v>41.82823146309506</x:v>
      </x:c>
      <x:c r="AK592" s="32" t="n">
        <x:f>H592*v01_RoleScale*Arch_Roles*(AE592*(INDEX(v01_ElderRolePerSett,G592)*v01_OutElder*INDEX(LM_Elder,G592)+INDEX(v01_ShamanPerSett,G592)*v01_OutShaman)+Z592*(INDEX(v01_PriestShare,G592)*v01_OutPriest+INDEX(v01_ScribeShare,G592)*v01_OutScribe*INDEX(LM_Scribe,G592)+INDEX(v01_ScholarShare,G592)*v01_OutScholar*INDEX(LM_Scholar,G592)+INDEX(v01_ResearcherShare,G592)*v01_OutResearcher*INDEX(LM_Researcher,G592)))</x:f>
        <x:v>9</x:v>
      </x:c>
      <x:c r="AL592" s="32" t="n">
        <x:f>H592*v01_RoleScale*Arch_Roles*AE592*INDEX(v01_MonasteryPerSett,G592)*v01_OutMonastery*INDEX(LM_Monastery,G592)</x:f>
        <x:v>0</x:v>
      </x:c>
      <x:c r="AM592" s="32" t="n">
        <x:f>(AJ592+AK592+AL592)/4*INDEX(LM_All,G592)*INDEX(v01_Boon,G592)*Arch_Insight</x:f>
        <x:v>13.35035267022856</x:v>
      </x:c>
      <x:c r="AN592" s="32" t="n">
        <x:f>H592*(v01_KHPerAdult*Z592+v01_KHOfCommons*AJ592/4*INDEX(LM_All,G592))*v01_KHUsable*Arch_KH</x:f>
        <x:v>2.392231198872391</x:v>
      </x:c>
      <x:c r="AO592" s="32" t="n">
        <x:f>MIN(AP591+AN592,AM592*v01_KHMaxRatio)</x:f>
        <x:v>2.392231198872391</x:v>
      </x:c>
      <x:c r="AP592" s="32" t="n">
        <x:f>AP591+AN592-AO592</x:f>
        <x:v>0</x:v>
      </x:c>
      <x:c r="AQ592" s="32" t="n">
        <x:f>AM592+AO592</x:f>
        <x:v>15.742583869100951</x:v>
      </x:c>
      <x:c r="AR592" s="10" t="n">
        <x:f>IF(H592=1,INDEX(v01_Req,G592),0)</x:f>
        <x:v>4006.9599999999996</x:v>
      </x:c>
      <x:c r="AS592" s="32" t="n">
        <x:f>IF(H592=1,IF(E592=1,AS591-AR591,AS591)+AQ592,0)</x:f>
        <x:v>1268.8456075131542</x:v>
      </x:c>
      <x:c r="AT592" s="11" t="n">
        <x:f>IF(AR592&gt;0,MIN(1,AS592/AR592),1)</x:f>
        <x:v>0.31666041276008605</x:v>
      </x:c>
      <x:c r="AU592" s="10" t="n">
        <x:f>AB592/INDEX(v01_RepScale,G592)</x:f>
        <x:v>76.63262933855313</x:v>
      </x:c>
      <x:c r="AV592" s="32" t="n">
        <x:f>AM592*60/v01_SeasonSeconds</x:f>
        <x:v>53.40141068091423</x:v>
      </x:c>
    </x:row>
    <x:row r="593">
      <x:c r="A593" s="8" t="n">
        <x:f>A592+1</x:f>
        <x:v>590</x:v>
      </x:c>
      <x:c r="B593" s="9" t="n">
        <x:f>A593*v01_SeasonSeconds/60</x:f>
        <x:v>147.5</x:v>
      </x:c>
      <x:c r="C593" s="9" t="n">
        <x:f>A593/4</x:f>
        <x:v>147.5</x:v>
      </x:c>
      <x:c r="D593" s="8" t="n">
        <x:f>IF(MOD(A593,4)=0,1,0)</x:f>
        <x:v>0</x:v>
      </x:c>
      <x:c r="E593" s="8" t="n">
        <x:f>IF(AND(F592&lt;=9,AS592&gt;=AR592),1,0)</x:f>
        <x:v>0</x:v>
      </x:c>
      <x:c r="F593" s="8" t="n">
        <x:f>MIN(10,F592+E593)</x:f>
        <x:v>2</x:v>
      </x:c>
      <x:c r="G593" s="8" t="n">
        <x:f>MIN(F593,9)+1</x:f>
        <x:v>3</x:v>
      </x:c>
      <x:c r="H593" s="8" t="n">
        <x:f>IF(F593&lt;=9,1,0)</x:f>
        <x:v>1</x:v>
      </x:c>
      <x:c r="I593" s="9" t="n">
        <x:f>MIN(10,F592+IF(AR592&gt;0,MIN(1,AS592/AR592),1))</x:f>
        <x:v>2.3166604127600863</x:v>
      </x:c>
      <x:c r="J593" s="32" t="n">
        <x:f>INDEX(v01_FoodCap,G593)*Arch_FoodCap*EXP(v01_CapsByProject*SUMPRODUCT((Cap_Point&lt;=I593)*(Cap_Kind="Food")*Cap_Ln))</x:f>
        <x:v>60</x:v>
      </x:c>
      <x:c r="K593" s="32" t="n">
        <x:f>J593*MIN(1,v01_LeanBase*EXP(v01_CapsByProject*SUMPRODUCT((Cap_Point&lt;=I593)*(Cap_Kind="Lean")*Cap_Ln)))</x:f>
        <x:v>60</x:v>
      </x:c>
      <x:c r="L593" s="10" t="n">
        <x:f>INDEX(v01_HousingCap,G593)*EXP(v01_CapsByProject*SUMPRODUCT((Cap_Point&lt;=I593)*(Cap_Kind="Housing")*Cap_Ln))</x:f>
        <x:v>100</x:v>
      </x:c>
      <x:c r="M593" s="10" t="n">
        <x:f>INDEX(v01_GroupCap,G593)*v01_CohesionFactor*EXP(v01_CapsByProject*SUMPRODUCT((Cap_Point&lt;=I593)*(Cap_Kind="Group")*Cap_Ln))</x:f>
        <x:v>500</x:v>
      </x:c>
      <x:c r="N593" s="32" t="n">
        <x:f>MIN(J593,L593,M593)</x:f>
        <x:v>60</x:v>
      </x:c>
      <x:c r="O593" s="10" t="n">
        <x:f>AE592*N593</x:f>
        <x:v>180</x:v>
      </x:c>
      <x:c r="P593" s="9" t="n">
        <x:f>MIN(1,(AB592/(AE592*IF(v01_GroupInCrowding=1,N593,MIN(J593,L593))))^v01_CrowdingExp)</x:f>
        <x:v>0.3810897821848353</x:v>
      </x:c>
      <x:c r="Q593" s="9" t="n">
        <x:f>IF(D593=1,INDEX(v01_WinterMult,G593),1)</x:f>
        <x:v>1</x:v>
      </x:c>
      <x:c r="R593" s="9" t="n">
        <x:f>H593*Z592*v01_WomenShare*v01_BaseFertility*INDEX(v01_FertMult,G593)*Arch_Fertility*(1-P593)</x:f>
        <x:v>1.7132383274432268</x:v>
      </x:c>
      <x:c r="S593" s="9" t="n">
        <x:f>H593*Y592*INDEX(v01_MortChild,G593)/4*Q593</x:f>
        <x:v>0.5579517833060281</x:v>
      </x:c>
      <x:c r="T593" s="9" t="n">
        <x:f>H593*Z592*INDEX(v01_MortAdult,G593)*Arch_AdultMort/4*Q593</x:f>
        <x:v>0.2050483884747764</x:v>
      </x:c>
      <x:c r="U593" s="9" t="n">
        <x:f>H593*AA592*INDEX(v01_MortElder,G593)/4*Q593</x:f>
        <x:v>0.37012286080110796</x:v>
      </x:c>
      <x:c r="V593" s="9" t="n">
        <x:f>H593*MAX(0,AB592-O593)*v01_OvercapLoss</x:f>
        <x:v>0</x:v>
      </x:c>
      <x:c r="W593" s="9" t="n">
        <x:f>H593*Y592/(v01_ChildYears*4)</x:f>
        <x:v>1.1386771087878123</x:v>
      </x:c>
      <x:c r="X593" s="9" t="n">
        <x:f>H593*Z592/(v01_AdultYears*4)</x:f>
        <x:v>0.5512053453623021</x:v>
      </x:c>
      <x:c r="Y593" s="32" t="n">
        <x:f>Y592+R593-S593-W593-Y592*V593/AB592</x:f>
        <x:v>63.782527527466875</x:v>
      </x:c>
      <x:c r="Z593" s="32" t="n">
        <x:f>Z592+W593-X593-T593-Z592*V593/AB592</x:f>
        <x:v>68.7318861998762</x:v>
      </x:c>
      <x:c r="AA593" s="32" t="n">
        <x:f>AA592+X593-U593-AA592*V593/AB592</x:f>
        <x:v>21.330960244624503</x:v>
      </x:c>
      <x:c r="AB593" s="10" t="n">
        <x:f>Y593+Z593+AA593</x:f>
        <x:v>153.84537397196758</x:v>
      </x:c>
      <x:c r="AC593" s="8" t="n">
        <x:f>IF(AND(v01_WinterTrigger=1,D593=1,AB592/AE592&gt;=K593),1,0)</x:f>
        <x:v>0</x:v>
      </x:c>
      <x:c r="AD593" s="8" t="n">
        <x:f>H593*IF(AND(OR(AB592/AE592&gt;=v01_FissionTrigger*N593,AC593=1),AB592/AE592*v01_DaughterShare&gt;=v01_MinDaughter),MAX(1,ROUND(AE592*v01_FissionRate,0)),0)</x:f>
        <x:v>1</x:v>
      </x:c>
      <x:c r="AE593" s="8" t="n">
        <x:f>IF(H593=1,MAX(1,MIN(INDEX(v01_Smax,G593),AE592+AD593)),AE592)</x:f>
        <x:v>4</x:v>
      </x:c>
      <x:c r="AF593" s="8" t="n">
        <x:f>MAX(0,AE593-AE592)</x:f>
        <x:v>1</x:v>
      </x:c>
      <x:c r="AG593" s="9" t="n">
        <x:f>IF(AF593&gt;0,B593,"")</x:f>
        <x:v>147.5</x:v>
      </x:c>
      <x:c r="AH593" s="9" t="n">
        <x:f>IF(F593&gt;=1,1,(1+v01_LowTiesShare*(AE593-1))/AE593)</x:f>
        <x:v>1</x:v>
      </x:c>
      <x:c r="AI593" s="32" t="n">
        <x:f>(Z593+v01_ElderCommons*INDEX(LM_Elder,G593)*AA593)*AH593</x:f>
        <x:v>132.72476693374972</x:v>
      </x:c>
      <x:c r="AJ593" s="32" t="n">
        <x:f>H593*v01_CommonsCoef*AI593^v01_CommonsExp*INDEX(LM_Commons,G593)</x:f>
        <x:v>42.07780834970979</x:v>
      </x:c>
      <x:c r="AK593" s="32" t="n">
        <x:f>H593*v01_RoleScale*Arch_Roles*(AE593*(INDEX(v01_ElderRolePerSett,G593)*v01_OutElder*INDEX(LM_Elder,G593)+INDEX(v01_ShamanPerSett,G593)*v01_OutShaman)+Z593*(INDEX(v01_PriestShare,G593)*v01_OutPriest+INDEX(v01_ScribeShare,G593)*v01_OutScribe*INDEX(LM_Scribe,G593)+INDEX(v01_ScholarShare,G593)*v01_OutScholar*INDEX(LM_Scholar,G593)+INDEX(v01_ResearcherShare,G593)*v01_OutResearcher*INDEX(LM_Researcher,G593)))</x:f>
        <x:v>12</x:v>
      </x:c>
      <x:c r="AL593" s="32" t="n">
        <x:f>H593*v01_RoleScale*Arch_Roles*AE593*INDEX(v01_MonasteryPerSett,G593)*v01_OutMonastery*INDEX(LM_Monastery,G593)</x:f>
        <x:v>0</x:v>
      </x:c>
      <x:c r="AM593" s="32" t="n">
        <x:f>(AJ593+AK593+AL593)/4*INDEX(LM_All,G593)*INDEX(v01_Boon,G593)*Arch_Insight</x:f>
        <x:v>14.20387434935346</x:v>
      </x:c>
      <x:c r="AN593" s="32" t="n">
        <x:f>H593*(v01_KHPerAdult*Z593+v01_KHOfCommons*AJ593/4*INDEX(LM_All,G593))*v01_KHUsable*Arch_KH</x:f>
        <x:v>2.405616016995667</x:v>
      </x:c>
      <x:c r="AO593" s="32" t="n">
        <x:f>MIN(AP592+AN593,AM593*v01_KHMaxRatio)</x:f>
        <x:v>2.405616016995667</x:v>
      </x:c>
      <x:c r="AP593" s="32" t="n">
        <x:f>AP592+AN593-AO593</x:f>
        <x:v>0</x:v>
      </x:c>
      <x:c r="AQ593" s="32" t="n">
        <x:f>AM593+AO593</x:f>
        <x:v>16.609490366349128</x:v>
      </x:c>
      <x:c r="AR593" s="10" t="n">
        <x:f>IF(H593=1,INDEX(v01_Req,G593),0)</x:f>
        <x:v>4006.9599999999996</x:v>
      </x:c>
      <x:c r="AS593" s="32" t="n">
        <x:f>IF(H593=1,IF(E593=1,AS592-AR592,AS592)+AQ593,0)</x:f>
        <x:v>1285.4550978795032</x:v>
      </x:c>
      <x:c r="AT593" s="11" t="n">
        <x:f>IF(AR593&gt;0,MIN(1,AS593/AR593),1)</x:f>
        <x:v>0.3208055727732504</x:v>
      </x:c>
      <x:c r="AU593" s="10" t="n">
        <x:f>AB593/INDEX(v01_RepScale,G593)</x:f>
        <x:v>76.92268698598379</x:v>
      </x:c>
      <x:c r="AV593" s="32" t="n">
        <x:f>AM593*60/v01_SeasonSeconds</x:f>
        <x:v>56.81549739741384</x:v>
      </x:c>
    </x:row>
    <x:row r="594">
      <x:c r="A594" s="8" t="n">
        <x:f>A593+1</x:f>
        <x:v>591</x:v>
      </x:c>
      <x:c r="B594" s="9" t="n">
        <x:f>A594*v01_SeasonSeconds/60</x:f>
        <x:v>147.75</x:v>
      </x:c>
      <x:c r="C594" s="9" t="n">
        <x:f>A594/4</x:f>
        <x:v>147.75</x:v>
      </x:c>
      <x:c r="D594" s="8" t="n">
        <x:f>IF(MOD(A594,4)=0,1,0)</x:f>
        <x:v>0</x:v>
      </x:c>
      <x:c r="E594" s="8" t="n">
        <x:f>IF(AND(F593&lt;=9,AS593&gt;=AR593),1,0)</x:f>
        <x:v>0</x:v>
      </x:c>
      <x:c r="F594" s="8" t="n">
        <x:f>MIN(10,F593+E594)</x:f>
        <x:v>2</x:v>
      </x:c>
      <x:c r="G594" s="8" t="n">
        <x:f>MIN(F594,9)+1</x:f>
        <x:v>3</x:v>
      </x:c>
      <x:c r="H594" s="8" t="n">
        <x:f>IF(F594&lt;=9,1,0)</x:f>
        <x:v>1</x:v>
      </x:c>
      <x:c r="I594" s="9" t="n">
        <x:f>MIN(10,F593+IF(AR593&gt;0,MIN(1,AS593/AR593),1))</x:f>
        <x:v>2.32080557277325</x:v>
      </x:c>
      <x:c r="J594" s="32" t="n">
        <x:f>INDEX(v01_FoodCap,G594)*Arch_FoodCap*EXP(v01_CapsByProject*SUMPRODUCT((Cap_Point&lt;=I594)*(Cap_Kind="Food")*Cap_Ln))</x:f>
        <x:v>60</x:v>
      </x:c>
      <x:c r="K594" s="32" t="n">
        <x:f>J594*MIN(1,v01_LeanBase*EXP(v01_CapsByProject*SUMPRODUCT((Cap_Point&lt;=I594)*(Cap_Kind="Lean")*Cap_Ln)))</x:f>
        <x:v>60</x:v>
      </x:c>
      <x:c r="L594" s="10" t="n">
        <x:f>INDEX(v01_HousingCap,G594)*EXP(v01_CapsByProject*SUMPRODUCT((Cap_Point&lt;=I594)*(Cap_Kind="Housing")*Cap_Ln))</x:f>
        <x:v>100</x:v>
      </x:c>
      <x:c r="M594" s="10" t="n">
        <x:f>INDEX(v01_GroupCap,G594)*v01_CohesionFactor*EXP(v01_CapsByProject*SUMPRODUCT((Cap_Point&lt;=I594)*(Cap_Kind="Group")*Cap_Ln))</x:f>
        <x:v>500</x:v>
      </x:c>
      <x:c r="N594" s="32" t="n">
        <x:f>MIN(J594,L594,M594)</x:f>
        <x:v>60</x:v>
      </x:c>
      <x:c r="O594" s="10" t="n">
        <x:f>AE593*N594</x:f>
        <x:v>240</x:v>
      </x:c>
      <x:c r="P594" s="9" t="n">
        <x:f>MIN(1,(AB593/(AE593*IF(v01_GroupInCrowding=1,N594,MIN(J594,L594))))^v01_CrowdingExp)</x:f>
        <x:v>0.06938078363081579</x:v>
      </x:c>
      <x:c r="Q594" s="9" t="n">
        <x:f>IF(D594=1,INDEX(v01_WinterMult,G594),1)</x:f>
        <x:v>1</x:v>
      </x:c>
      <x:c r="R594" s="9" t="n">
        <x:f>H594*Z593*v01_WomenShare*v01_BaseFertility*INDEX(v01_FertMult,G594)*Arch_Fertility*(1-P594)</x:f>
        <x:v>2.590510170033642</x:v>
      </x:c>
      <x:c r="S594" s="9" t="n">
        <x:f>H594*Y593*INDEX(v01_MortChild,G594)/4*Q594</x:f>
        <x:v>0.5580971158653352</x:v>
      </x:c>
      <x:c r="T594" s="9" t="n">
        <x:f>H594*Z593*INDEX(v01_MortAdult,G594)*Arch_AdultMort/4*Q594</x:f>
        <x:v>0.2061956585996286</x:v>
      </x:c>
      <x:c r="U594" s="9" t="n">
        <x:f>H594*AA593*INDEX(v01_MortElder,G594)/4*Q594</x:f>
        <x:v>0.37329180428092884</x:v>
      </x:c>
      <x:c r="V594" s="9" t="n">
        <x:f>H594*MAX(0,AB593-O594)*v01_OvercapLoss</x:f>
        <x:v>0</x:v>
      </x:c>
      <x:c r="W594" s="9" t="n">
        <x:f>H594*Y593/(v01_ChildYears*4)</x:f>
        <x:v>1.1389737058476228</x:v>
      </x:c>
      <x:c r="X594" s="9" t="n">
        <x:f>H594*Z593/(v01_AdultYears*4)</x:f>
        <x:v>0.5542894048377113</x:v>
      </x:c>
      <x:c r="Y594" s="32" t="n">
        <x:f>Y593+R594-S594-W594-Y593*V594/AB593</x:f>
        <x:v>64.67596687578757</x:v>
      </x:c>
      <x:c r="Z594" s="32" t="n">
        <x:f>Z593+W594-X594-T594-Z593*V594/AB593</x:f>
        <x:v>69.11037484228648</x:v>
      </x:c>
      <x:c r="AA594" s="32" t="n">
        <x:f>AA593+X594-U594-AA593*V594/AB593</x:f>
        <x:v>21.511957845181286</x:v>
      </x:c>
      <x:c r="AB594" s="10" t="n">
        <x:f>Y594+Z594+AA594</x:f>
        <x:v>155.2982995632553</x:v>
      </x:c>
      <x:c r="AC594" s="8" t="n">
        <x:f>IF(AND(v01_WinterTrigger=1,D594=1,AB593/AE593&gt;=K594),1,0)</x:f>
        <x:v>0</x:v>
      </x:c>
      <x:c r="AD594" s="8" t="n">
        <x:f>H594*IF(AND(OR(AB593/AE593&gt;=v01_FissionTrigger*N594,AC594=1),AB593/AE593*v01_DaughterShare&gt;=v01_MinDaughter),MAX(1,ROUND(AE593*v01_FissionRate,0)),0)</x:f>
        <x:v>0</x:v>
      </x:c>
      <x:c r="AE594" s="8" t="n">
        <x:f>IF(H594=1,MAX(1,MIN(INDEX(v01_Smax,G594),AE593+AD594)),AE593)</x:f>
        <x:v>4</x:v>
      </x:c>
      <x:c r="AF594" s="8" t="n">
        <x:f>MAX(0,AE594-AE593)</x:f>
        <x:v>0</x:v>
      </x:c>
      <x:c r="AG594" s="9" t="str">
        <x:f>IF(AF594&gt;0,B594,"")</x:f>
      </x:c>
      <x:c r="AH594" s="9" t="n">
        <x:f>IF(F594&gt;=1,1,(1+v01_LowTiesShare*(AE594-1))/AE594)</x:f>
        <x:v>1</x:v>
      </x:c>
      <x:c r="AI594" s="32" t="n">
        <x:f>(Z594+v01_ElderCommons*INDEX(LM_Elder,G594)*AA594)*AH594</x:f>
        <x:v>133.64624837783032</x:v>
      </x:c>
      <x:c r="AJ594" s="32" t="n">
        <x:f>H594*v01_CommonsCoef*AI594^v01_CommonsExp*INDEX(LM_Commons,G594)</x:f>
        <x:v>42.32599650972888</x:v>
      </x:c>
      <x:c r="AK594" s="32" t="n">
        <x:f>H594*v01_RoleScale*Arch_Roles*(AE594*(INDEX(v01_ElderRolePerSett,G594)*v01_OutElder*INDEX(LM_Elder,G594)+INDEX(v01_ShamanPerSett,G594)*v01_OutShaman)+Z594*(INDEX(v01_PriestShare,G594)*v01_OutPriest+INDEX(v01_ScribeShare,G594)*v01_OutScribe*INDEX(LM_Scribe,G594)+INDEX(v01_ScholarShare,G594)*v01_OutScholar*INDEX(LM_Scholar,G594)+INDEX(v01_ResearcherShare,G594)*v01_OutResearcher*INDEX(LM_Researcher,G594)))</x:f>
        <x:v>12</x:v>
      </x:c>
      <x:c r="AL594" s="32" t="n">
        <x:f>H594*v01_RoleScale*Arch_Roles*AE594*INDEX(v01_MonasteryPerSett,G594)*v01_OutMonastery*INDEX(LM_Monastery,G594)</x:f>
        <x:v>0</x:v>
      </x:c>
      <x:c r="AM594" s="32" t="n">
        <x:f>(AJ594+AK594+AL594)/4*INDEX(LM_All,G594)*INDEX(v01_Boon,G594)*Arch_Insight</x:f>
        <x:v>14.269062520758476</x:v>
      </x:c>
      <x:c r="AN594" s="32" t="n">
        <x:f>H594*(v01_KHPerAdult*Z594+v01_KHOfCommons*AJ594/4*INDEX(LM_All,G594))*v01_KHUsable*Arch_KH</x:f>
        <x:v>2.4188631194800267</x:v>
      </x:c>
      <x:c r="AO594" s="32" t="n">
        <x:f>MIN(AP593+AN594,AM594*v01_KHMaxRatio)</x:f>
        <x:v>2.4188631194800267</x:v>
      </x:c>
      <x:c r="AP594" s="32" t="n">
        <x:f>AP593+AN594-AO594</x:f>
        <x:v>0</x:v>
      </x:c>
      <x:c r="AQ594" s="32" t="n">
        <x:f>AM594+AO594</x:f>
        <x:v>16.687925640238504</x:v>
      </x:c>
      <x:c r="AR594" s="10" t="n">
        <x:f>IF(H594=1,INDEX(v01_Req,G594),0)</x:f>
        <x:v>4006.9599999999996</x:v>
      </x:c>
      <x:c r="AS594" s="32" t="n">
        <x:f>IF(H594=1,IF(E594=1,AS593-AR593,AS593)+AQ594,0)</x:f>
        <x:v>1302.1430235197417</x:v>
      </x:c>
      <x:c r="AT594" s="11" t="n">
        <x:f>IF(AR594&gt;0,MIN(1,AS594/AR594),1)</x:f>
        <x:v>0.3249703075448075</x:v>
      </x:c>
      <x:c r="AU594" s="10" t="n">
        <x:f>AB594/INDEX(v01_RepScale,G594)</x:f>
        <x:v>77.64914978162766</x:v>
      </x:c>
      <x:c r="AV594" s="32" t="n">
        <x:f>AM594*60/v01_SeasonSeconds</x:f>
        <x:v>57.076250083033905</x:v>
      </x:c>
    </x:row>
    <x:row r="595">
      <x:c r="A595" s="8" t="n">
        <x:f>A594+1</x:f>
        <x:v>592</x:v>
      </x:c>
      <x:c r="B595" s="9" t="n">
        <x:f>A595*v01_SeasonSeconds/60</x:f>
        <x:v>148</x:v>
      </x:c>
      <x:c r="C595" s="9" t="n">
        <x:f>A595/4</x:f>
        <x:v>148</x:v>
      </x:c>
      <x:c r="D595" s="8" t="n">
        <x:f>IF(MOD(A595,4)=0,1,0)</x:f>
        <x:v>1</x:v>
      </x:c>
      <x:c r="E595" s="8" t="n">
        <x:f>IF(AND(F594&lt;=9,AS594&gt;=AR594),1,0)</x:f>
        <x:v>0</x:v>
      </x:c>
      <x:c r="F595" s="8" t="n">
        <x:f>MIN(10,F594+E595)</x:f>
        <x:v>2</x:v>
      </x:c>
      <x:c r="G595" s="8" t="n">
        <x:f>MIN(F595,9)+1</x:f>
        <x:v>3</x:v>
      </x:c>
      <x:c r="H595" s="8" t="n">
        <x:f>IF(F595&lt;=9,1,0)</x:f>
        <x:v>1</x:v>
      </x:c>
      <x:c r="I595" s="9" t="n">
        <x:f>MIN(10,F594+IF(AR594&gt;0,MIN(1,AS594/AR594),1))</x:f>
        <x:v>2.3249703075448074</x:v>
      </x:c>
      <x:c r="J595" s="32" t="n">
        <x:f>INDEX(v01_FoodCap,G595)*Arch_FoodCap*EXP(v01_CapsByProject*SUMPRODUCT((Cap_Point&lt;=I595)*(Cap_Kind="Food")*Cap_Ln))</x:f>
        <x:v>60</x:v>
      </x:c>
      <x:c r="K595" s="32" t="n">
        <x:f>J595*MIN(1,v01_LeanBase*EXP(v01_CapsByProject*SUMPRODUCT((Cap_Point&lt;=I595)*(Cap_Kind="Lean")*Cap_Ln)))</x:f>
        <x:v>60</x:v>
      </x:c>
      <x:c r="L595" s="10" t="n">
        <x:f>INDEX(v01_HousingCap,G595)*EXP(v01_CapsByProject*SUMPRODUCT((Cap_Point&lt;=I595)*(Cap_Kind="Housing")*Cap_Ln))</x:f>
        <x:v>100</x:v>
      </x:c>
      <x:c r="M595" s="10" t="n">
        <x:f>INDEX(v01_GroupCap,G595)*v01_CohesionFactor*EXP(v01_CapsByProject*SUMPRODUCT((Cap_Point&lt;=I595)*(Cap_Kind="Group")*Cap_Ln))</x:f>
        <x:v>500</x:v>
      </x:c>
      <x:c r="N595" s="32" t="n">
        <x:f>MIN(J595,L595,M595)</x:f>
        <x:v>60</x:v>
      </x:c>
      <x:c r="O595" s="10" t="n">
        <x:f>AE594*N595</x:f>
        <x:v>240</x:v>
      </x:c>
      <x:c r="P595" s="9" t="n">
        <x:f>MIN(1,(AB594/(AE594*IF(v01_GroupInCrowding=1,N595,MIN(J595,L595))))^v01_CrowdingExp)</x:f>
        <x:v>0.07340620165724848</x:v>
      </x:c>
      <x:c r="Q595" s="9" t="n">
        <x:f>IF(D595=1,INDEX(v01_WinterMult,G595),1)</x:f>
        <x:v>1.3</x:v>
      </x:c>
      <x:c r="R595" s="9" t="n">
        <x:f>H595*Z594*v01_WomenShare*v01_BaseFertility*INDEX(v01_FertMult,G595)*Arch_Fertility*(1-P595)</x:f>
        <x:v>2.5935084115652254</x:v>
      </x:c>
      <x:c r="S595" s="9" t="n">
        <x:f>H595*Y594*INDEX(v01_MortChild,G595)/4*Q595</x:f>
        <x:v>0.7356891232120836</x:v>
      </x:c>
      <x:c r="T595" s="9" t="n">
        <x:f>H595*Z594*INDEX(v01_MortAdult,G595)*Arch_AdultMort/4*Q595</x:f>
        <x:v>0.26953046188491725</x:v>
      </x:c>
      <x:c r="U595" s="9" t="n">
        <x:f>H595*AA594*INDEX(v01_MortElder,G595)/4*Q595</x:f>
        <x:v>0.48939704097787434</x:v>
      </x:c>
      <x:c r="V595" s="9" t="n">
        <x:f>H595*MAX(0,AB594-O595)*v01_OvercapLoss</x:f>
        <x:v>0</x:v>
      </x:c>
      <x:c r="W595" s="9" t="n">
        <x:f>H595*Y594/(v01_ChildYears*4)</x:f>
        <x:v>1.154927979924778</x:v>
      </x:c>
      <x:c r="X595" s="9" t="n">
        <x:f>H595*Z594/(v01_AdultYears*4)</x:f>
        <x:v>0.5573417325990845</x:v>
      </x:c>
      <x:c r="Y595" s="32" t="n">
        <x:f>Y594+R595-S595-W595-Y594*V595/AB594</x:f>
        <x:v>65.37885818421593</x:v>
      </x:c>
      <x:c r="Z595" s="32" t="n">
        <x:f>Z594+W595-X595-T595-Z594*V595/AB594</x:f>
        <x:v>69.43843062772726</x:v>
      </x:c>
      <x:c r="AA595" s="32" t="n">
        <x:f>AA594+X595-U595-AA594*V595/AB594</x:f>
        <x:v>21.579902536802496</x:v>
      </x:c>
      <x:c r="AB595" s="10" t="n">
        <x:f>Y595+Z595+AA595</x:f>
        <x:v>156.39719134874568</x:v>
      </x:c>
      <x:c r="AC595" s="8" t="n">
        <x:f>IF(AND(v01_WinterTrigger=1,D595=1,AB594/AE594&gt;=K595),1,0)</x:f>
        <x:v>0</x:v>
      </x:c>
      <x:c r="AD595" s="8" t="n">
        <x:f>H595*IF(AND(OR(AB594/AE594&gt;=v01_FissionTrigger*N595,AC595=1),AB594/AE594*v01_DaughterShare&gt;=v01_MinDaughter),MAX(1,ROUND(AE594*v01_FissionRate,0)),0)</x:f>
        <x:v>0</x:v>
      </x:c>
      <x:c r="AE595" s="8" t="n">
        <x:f>IF(H595=1,MAX(1,MIN(INDEX(v01_Smax,G595),AE594+AD595)),AE594)</x:f>
        <x:v>4</x:v>
      </x:c>
      <x:c r="AF595" s="8" t="n">
        <x:f>MAX(0,AE595-AE594)</x:f>
        <x:v>0</x:v>
      </x:c>
      <x:c r="AG595" s="9" t="str">
        <x:f>IF(AF595&gt;0,B595,"")</x:f>
      </x:c>
      <x:c r="AH595" s="9" t="n">
        <x:f>IF(F595&gt;=1,1,(1+v01_LowTiesShare*(AE595-1))/AE595)</x:f>
        <x:v>1</x:v>
      </x:c>
      <x:c r="AI595" s="32" t="n">
        <x:f>(Z595+v01_ElderCommons*INDEX(LM_Elder,G595)*AA595)*AH595</x:f>
        <x:v>134.17813823813475</x:v>
      </x:c>
      <x:c r="AJ595" s="32" t="n">
        <x:f>H595*v01_CommonsCoef*AI595^v01_CommonsExp*INDEX(LM_Commons,G595)</x:f>
        <x:v>42.46913670430285</x:v>
      </x:c>
      <x:c r="AK595" s="32" t="n">
        <x:f>H595*v01_RoleScale*Arch_Roles*(AE595*(INDEX(v01_ElderRolePerSett,G595)*v01_OutElder*INDEX(LM_Elder,G595)+INDEX(v01_ShamanPerSett,G595)*v01_OutShaman)+Z595*(INDEX(v01_PriestShare,G595)*v01_OutPriest+INDEX(v01_ScribeShare,G595)*v01_OutScribe*INDEX(LM_Scribe,G595)+INDEX(v01_ScholarShare,G595)*v01_OutScholar*INDEX(LM_Scholar,G595)+INDEX(v01_ResearcherShare,G595)*v01_OutResearcher*INDEX(LM_Researcher,G595)))</x:f>
        <x:v>12</x:v>
      </x:c>
      <x:c r="AL595" s="32" t="n">
        <x:f>H595*v01_RoleScale*Arch_Roles*AE595*INDEX(v01_MonasteryPerSett,G595)*v01_OutMonastery*INDEX(LM_Monastery,G595)</x:f>
        <x:v>0</x:v>
      </x:c>
      <x:c r="AM595" s="32" t="n">
        <x:f>(AJ595+AK595+AL595)/4*INDEX(LM_All,G595)*INDEX(v01_Boon,G595)*Arch_Insight</x:f>
        <x:v>14.306659187489544</x:v>
      </x:c>
      <x:c r="AN595" s="32" t="n">
        <x:f>H595*(v01_KHPerAdult*Z595+v01_KHOfCommons*AJ595/4*INDEX(LM_All,G595))*v01_KHUsable*Arch_KH</x:f>
        <x:v>2.430345071970454</x:v>
      </x:c>
      <x:c r="AO595" s="32" t="n">
        <x:f>MIN(AP594+AN595,AM595*v01_KHMaxRatio)</x:f>
        <x:v>2.430345071970454</x:v>
      </x:c>
      <x:c r="AP595" s="32" t="n">
        <x:f>AP594+AN595-AO595</x:f>
        <x:v>0</x:v>
      </x:c>
      <x:c r="AQ595" s="32" t="n">
        <x:f>AM595+AO595</x:f>
        <x:v>16.737004259459997</x:v>
      </x:c>
      <x:c r="AR595" s="10" t="n">
        <x:f>IF(H595=1,INDEX(v01_Req,G595),0)</x:f>
        <x:v>4006.9599999999996</x:v>
      </x:c>
      <x:c r="AS595" s="32" t="n">
        <x:f>IF(H595=1,IF(E595=1,AS594-AR594,AS594)+AQ595,0)</x:f>
        <x:v>1318.8800277792018</x:v>
      </x:c>
      <x:c r="AT595" s="11" t="n">
        <x:f>IF(AR595&gt;0,MIN(1,AS595/AR595),1)</x:f>
        <x:v>0.32914729065905374</x:v>
      </x:c>
      <x:c r="AU595" s="10" t="n">
        <x:f>AB595/INDEX(v01_RepScale,G595)</x:f>
        <x:v>78.19859567437284</x:v>
      </x:c>
      <x:c r="AV595" s="32" t="n">
        <x:f>AM595*60/v01_SeasonSeconds</x:f>
        <x:v>57.226636749958175</x:v>
      </x:c>
    </x:row>
    <x:row r="596">
      <x:c r="A596" s="8" t="n">
        <x:f>A595+1</x:f>
        <x:v>593</x:v>
      </x:c>
      <x:c r="B596" s="9" t="n">
        <x:f>A596*v01_SeasonSeconds/60</x:f>
        <x:v>148.25</x:v>
      </x:c>
      <x:c r="C596" s="9" t="n">
        <x:f>A596/4</x:f>
        <x:v>148.25</x:v>
      </x:c>
      <x:c r="D596" s="8" t="n">
        <x:f>IF(MOD(A596,4)=0,1,0)</x:f>
        <x:v>0</x:v>
      </x:c>
      <x:c r="E596" s="8" t="n">
        <x:f>IF(AND(F595&lt;=9,AS595&gt;=AR595),1,0)</x:f>
        <x:v>0</x:v>
      </x:c>
      <x:c r="F596" s="8" t="n">
        <x:f>MIN(10,F595+E596)</x:f>
        <x:v>2</x:v>
      </x:c>
      <x:c r="G596" s="8" t="n">
        <x:f>MIN(F596,9)+1</x:f>
        <x:v>3</x:v>
      </x:c>
      <x:c r="H596" s="8" t="n">
        <x:f>IF(F596&lt;=9,1,0)</x:f>
        <x:v>1</x:v>
      </x:c>
      <x:c r="I596" s="9" t="n">
        <x:f>MIN(10,F595+IF(AR595&gt;0,MIN(1,AS595/AR595),1))</x:f>
        <x:v>2.3291472906590536</x:v>
      </x:c>
      <x:c r="J596" s="32" t="n">
        <x:f>INDEX(v01_FoodCap,G596)*Arch_FoodCap*EXP(v01_CapsByProject*SUMPRODUCT((Cap_Point&lt;=I596)*(Cap_Kind="Food")*Cap_Ln))</x:f>
        <x:v>60</x:v>
      </x:c>
      <x:c r="K596" s="32" t="n">
        <x:f>J596*MIN(1,v01_LeanBase*EXP(v01_CapsByProject*SUMPRODUCT((Cap_Point&lt;=I596)*(Cap_Kind="Lean")*Cap_Ln)))</x:f>
        <x:v>60</x:v>
      </x:c>
      <x:c r="L596" s="10" t="n">
        <x:f>INDEX(v01_HousingCap,G596)*EXP(v01_CapsByProject*SUMPRODUCT((Cap_Point&lt;=I596)*(Cap_Kind="Housing")*Cap_Ln))</x:f>
        <x:v>100</x:v>
      </x:c>
      <x:c r="M596" s="10" t="n">
        <x:f>INDEX(v01_GroupCap,G596)*v01_CohesionFactor*EXP(v01_CapsByProject*SUMPRODUCT((Cap_Point&lt;=I596)*(Cap_Kind="Group")*Cap_Ln))</x:f>
        <x:v>500</x:v>
      </x:c>
      <x:c r="N596" s="32" t="n">
        <x:f>MIN(J596,L596,M596)</x:f>
        <x:v>60</x:v>
      </x:c>
      <x:c r="O596" s="10" t="n">
        <x:f>AE595*N596</x:f>
        <x:v>240</x:v>
      </x:c>
      <x:c r="P596" s="9" t="n">
        <x:f>MIN(1,(AB595/(AE595*IF(v01_GroupInCrowding=1,N596,MIN(J596,L596))))^v01_CrowdingExp)</x:f>
        <x:v>0.07657839274138858</x:v>
      </x:c>
      <x:c r="Q596" s="9" t="n">
        <x:f>IF(D596=1,INDEX(v01_WinterMult,G596),1)</x:f>
        <x:v>1</x:v>
      </x:c>
      <x:c r="R596" s="9" t="n">
        <x:f>H596*Z595*v01_WomenShare*v01_BaseFertility*INDEX(v01_FertMult,G596)*Arch_Fertility*(1-P596)</x:f>
        <x:v>2.596898362238746</x:v>
      </x:c>
      <x:c r="S596" s="9" t="n">
        <x:f>H596*Y595*INDEX(v01_MortChild,G596)/4*Q596</x:f>
        <x:v>0.5720650091118894</x:v>
      </x:c>
      <x:c r="T596" s="9" t="n">
        <x:f>H596*Z595*INDEX(v01_MortAdult,G596)*Arch_AdultMort/4*Q596</x:f>
        <x:v>0.20831529188318176</x:v>
      </x:c>
      <x:c r="U596" s="9" t="n">
        <x:f>H596*AA595*INDEX(v01_MortElder,G596)/4*Q596</x:f>
        <x:v>0.37764829439404374</x:v>
      </x:c>
      <x:c r="V596" s="9" t="n">
        <x:f>H596*MAX(0,AB595-O596)*v01_OvercapLoss</x:f>
        <x:v>0</x:v>
      </x:c>
      <x:c r="W596" s="9" t="n">
        <x:f>H596*Y595/(v01_ChildYears*4)</x:f>
        <x:v>1.1674796104324272</x:v>
      </x:c>
      <x:c r="X596" s="9" t="n">
        <x:f>H596*Z595/(v01_AdultYears*4)</x:f>
        <x:v>0.559987343771994</x:v>
      </x:c>
      <x:c r="Y596" s="32" t="n">
        <x:f>Y595+R596-S596-W596-Y595*V596/AB595</x:f>
        <x:v>66.23621192691036</x:v>
      </x:c>
      <x:c r="Z596" s="32" t="n">
        <x:f>Z595+W596-X596-T596-Z595*V596/AB595</x:f>
        <x:v>69.8376076025045</x:v>
      </x:c>
      <x:c r="AA596" s="32" t="n">
        <x:f>AA595+X596-U596-AA595*V596/AB595</x:f>
        <x:v>21.762241586180448</x:v>
      </x:c>
      <x:c r="AB596" s="10" t="n">
        <x:f>Y596+Z596+AA596</x:f>
        <x:v>157.8360611155953</x:v>
      </x:c>
      <x:c r="AC596" s="8" t="n">
        <x:f>IF(AND(v01_WinterTrigger=1,D596=1,AB595/AE595&gt;=K596),1,0)</x:f>
        <x:v>0</x:v>
      </x:c>
      <x:c r="AD596" s="8" t="n">
        <x:f>H596*IF(AND(OR(AB595/AE595&gt;=v01_FissionTrigger*N596,AC596=1),AB595/AE595*v01_DaughterShare&gt;=v01_MinDaughter),MAX(1,ROUND(AE595*v01_FissionRate,0)),0)</x:f>
        <x:v>0</x:v>
      </x:c>
      <x:c r="AE596" s="8" t="n">
        <x:f>IF(H596=1,MAX(1,MIN(INDEX(v01_Smax,G596),AE595+AD596)),AE595)</x:f>
        <x:v>4</x:v>
      </x:c>
      <x:c r="AF596" s="8" t="n">
        <x:f>MAX(0,AE596-AE595)</x:f>
        <x:v>0</x:v>
      </x:c>
      <x:c r="AG596" s="9" t="str">
        <x:f>IF(AF596&gt;0,B596,"")</x:f>
      </x:c>
      <x:c r="AH596" s="9" t="n">
        <x:f>IF(F596&gt;=1,1,(1+v01_LowTiesShare*(AE596-1))/AE596)</x:f>
        <x:v>1</x:v>
      </x:c>
      <x:c r="AI596" s="32" t="n">
        <x:f>(Z596+v01_ElderCommons*INDEX(LM_Elder,G596)*AA596)*AH596</x:f>
        <x:v>135.12433236104584</x:v>
      </x:c>
      <x:c r="AJ596" s="32" t="n">
        <x:f>H596*v01_CommonsCoef*AI596^v01_CommonsExp*INDEX(LM_Commons,G596)</x:f>
        <x:v>42.7235628332633</x:v>
      </x:c>
      <x:c r="AK596" s="32" t="n">
        <x:f>H596*v01_RoleScale*Arch_Roles*(AE596*(INDEX(v01_ElderRolePerSett,G596)*v01_OutElder*INDEX(LM_Elder,G596)+INDEX(v01_ShamanPerSett,G596)*v01_OutShaman)+Z596*(INDEX(v01_PriestShare,G596)*v01_OutPriest+INDEX(v01_ScribeShare,G596)*v01_OutScribe*INDEX(LM_Scribe,G596)+INDEX(v01_ScholarShare,G596)*v01_OutScholar*INDEX(LM_Scholar,G596)+INDEX(v01_ResearcherShare,G596)*v01_OutResearcher*INDEX(LM_Researcher,G596)))</x:f>
        <x:v>12</x:v>
      </x:c>
      <x:c r="AL596" s="32" t="n">
        <x:f>H596*v01_RoleScale*Arch_Roles*AE596*INDEX(v01_MonasteryPerSett,G596)*v01_OutMonastery*INDEX(LM_Monastery,G596)</x:f>
        <x:v>0</x:v>
      </x:c>
      <x:c r="AM596" s="32" t="n">
        <x:f>(AJ596+AK596+AL596)/4*INDEX(LM_All,G596)*INDEX(v01_Boon,G596)*Arch_Insight</x:f>
        <x:v>14.373485800424312</x:v>
      </x:c>
      <x:c r="AN596" s="32" t="n">
        <x:f>H596*(v01_KHPerAdult*Z596+v01_KHOfCommons*AJ596/4*INDEX(LM_All,G596))*v01_KHUsable*Arch_KH</x:f>
        <x:v>2.444316266087658</x:v>
      </x:c>
      <x:c r="AO596" s="32" t="n">
        <x:f>MIN(AP595+AN596,AM596*v01_KHMaxRatio)</x:f>
        <x:v>2.444316266087658</x:v>
      </x:c>
      <x:c r="AP596" s="32" t="n">
        <x:f>AP595+AN596-AO596</x:f>
        <x:v>0</x:v>
      </x:c>
      <x:c r="AQ596" s="32" t="n">
        <x:f>AM596+AO596</x:f>
        <x:v>16.81780206651197</x:v>
      </x:c>
      <x:c r="AR596" s="10" t="n">
        <x:f>IF(H596=1,INDEX(v01_Req,G596),0)</x:f>
        <x:v>4006.9599999999996</x:v>
      </x:c>
      <x:c r="AS596" s="32" t="n">
        <x:f>IF(H596=1,IF(E596=1,AS595-AR595,AS595)+AQ596,0)</x:f>
        <x:v>1335.6978298457138</x:v>
      </x:c>
      <x:c r="AT596" s="11" t="n">
        <x:f>IF(AR596&gt;0,MIN(1,AS596/AR596),1)</x:f>
        <x:v>0.3333444381390665</x:v>
      </x:c>
      <x:c r="AU596" s="10" t="n">
        <x:f>AB596/INDEX(v01_RepScale,G596)</x:f>
        <x:v>78.91803055779765</x:v>
      </x:c>
      <x:c r="AV596" s="32" t="n">
        <x:f>AM596*60/v01_SeasonSeconds</x:f>
        <x:v>57.49394320169725</x:v>
      </x:c>
    </x:row>
    <x:row r="597">
      <x:c r="A597" s="8" t="n">
        <x:f>A596+1</x:f>
        <x:v>594</x:v>
      </x:c>
      <x:c r="B597" s="9" t="n">
        <x:f>A597*v01_SeasonSeconds/60</x:f>
        <x:v>148.5</x:v>
      </x:c>
      <x:c r="C597" s="9" t="n">
        <x:f>A597/4</x:f>
        <x:v>148.5</x:v>
      </x:c>
      <x:c r="D597" s="8" t="n">
        <x:f>IF(MOD(A597,4)=0,1,0)</x:f>
        <x:v>0</x:v>
      </x:c>
      <x:c r="E597" s="8" t="n">
        <x:f>IF(AND(F596&lt;=9,AS596&gt;=AR596),1,0)</x:f>
        <x:v>0</x:v>
      </x:c>
      <x:c r="F597" s="8" t="n">
        <x:f>MIN(10,F596+E597)</x:f>
        <x:v>2</x:v>
      </x:c>
      <x:c r="G597" s="8" t="n">
        <x:f>MIN(F597,9)+1</x:f>
        <x:v>3</x:v>
      </x:c>
      <x:c r="H597" s="8" t="n">
        <x:f>IF(F597&lt;=9,1,0)</x:f>
        <x:v>1</x:v>
      </x:c>
      <x:c r="I597" s="9" t="n">
        <x:f>MIN(10,F596+IF(AR596&gt;0,MIN(1,AS596/AR596),1))</x:f>
        <x:v>2.3333444381390667</x:v>
      </x:c>
      <x:c r="J597" s="32" t="n">
        <x:f>INDEX(v01_FoodCap,G597)*Arch_FoodCap*EXP(v01_CapsByProject*SUMPRODUCT((Cap_Point&lt;=I597)*(Cap_Kind="Food")*Cap_Ln))</x:f>
        <x:v>60</x:v>
      </x:c>
      <x:c r="K597" s="32" t="n">
        <x:f>J597*MIN(1,v01_LeanBase*EXP(v01_CapsByProject*SUMPRODUCT((Cap_Point&lt;=I597)*(Cap_Kind="Lean")*Cap_Ln)))</x:f>
        <x:v>60</x:v>
      </x:c>
      <x:c r="L597" s="10" t="n">
        <x:f>INDEX(v01_HousingCap,G597)*EXP(v01_CapsByProject*SUMPRODUCT((Cap_Point&lt;=I597)*(Cap_Kind="Housing")*Cap_Ln))</x:f>
        <x:v>100</x:v>
      </x:c>
      <x:c r="M597" s="10" t="n">
        <x:f>INDEX(v01_GroupCap,G597)*v01_CohesionFactor*EXP(v01_CapsByProject*SUMPRODUCT((Cap_Point&lt;=I597)*(Cap_Kind="Group")*Cap_Ln))</x:f>
        <x:v>500</x:v>
      </x:c>
      <x:c r="N597" s="32" t="n">
        <x:f>MIN(J597,L597,M597)</x:f>
        <x:v>60</x:v>
      </x:c>
      <x:c r="O597" s="10" t="n">
        <x:f>AE596*N597</x:f>
        <x:v>240</x:v>
      </x:c>
      <x:c r="P597" s="9" t="n">
        <x:f>MIN(1,(AB596/(AE596*IF(v01_GroupInCrowding=1,N597,MIN(J597,L597))))^v01_CrowdingExp)</x:f>
        <x:v>0.08090399281852392</x:v>
      </x:c>
      <x:c r="Q597" s="9" t="n">
        <x:f>IF(D597=1,INDEX(v01_WinterMult,G597),1)</x:f>
        <x:v>1</x:v>
      </x:c>
      <x:c r="R597" s="9" t="n">
        <x:f>H597*Z596*v01_WomenShare*v01_BaseFertility*INDEX(v01_FertMult,G597)*Arch_Fertility*(1-P597)</x:f>
        <x:v>2.599592385092028</x:v>
      </x:c>
      <x:c r="S597" s="9" t="n">
        <x:f>H597*Y596*INDEX(v01_MortChild,G597)/4*Q597</x:f>
        <x:v>0.5795668543604657</x:v>
      </x:c>
      <x:c r="T597" s="9" t="n">
        <x:f>H597*Z596*INDEX(v01_MortAdult,G597)*Arch_AdultMort/4*Q597</x:f>
        <x:v>0.20951282280751352</x:v>
      </x:c>
      <x:c r="U597" s="9" t="n">
        <x:f>H597*AA596*INDEX(v01_MortElder,G597)/4*Q597</x:f>
        <x:v>0.38083922775815787</x:v>
      </x:c>
      <x:c r="V597" s="9" t="n">
        <x:f>H597*MAX(0,AB596-O597)*v01_OvercapLoss</x:f>
        <x:v>0</x:v>
      </x:c>
      <x:c r="W597" s="9" t="n">
        <x:f>H597*Y596/(v01_ChildYears*4)</x:f>
        <x:v>1.1827894986948277</x:v>
      </x:c>
      <x:c r="X597" s="9" t="n">
        <x:f>H597*Z596/(v01_AdultYears*4)</x:f>
        <x:v>0.5632065129234234</x:v>
      </x:c>
      <x:c r="Y597" s="32" t="n">
        <x:f>Y596+R597-S597-W597-Y596*V597/AB596</x:f>
        <x:v>67.07344795894709</x:v>
      </x:c>
      <x:c r="Z597" s="32" t="n">
        <x:f>Z596+W597-X597-T597-Z596*V597/AB596</x:f>
        <x:v>70.2476777654684</x:v>
      </x:c>
      <x:c r="AA597" s="32" t="n">
        <x:f>AA596+X597-U597-AA596*V597/AB596</x:f>
        <x:v>21.94460887134571</x:v>
      </x:c>
      <x:c r="AB597" s="10" t="n">
        <x:f>Y597+Z597+AA597</x:f>
        <x:v>159.2657345957612</x:v>
      </x:c>
      <x:c r="AC597" s="8" t="n">
        <x:f>IF(AND(v01_WinterTrigger=1,D597=1,AB596/AE596&gt;=K597),1,0)</x:f>
        <x:v>0</x:v>
      </x:c>
      <x:c r="AD597" s="8" t="n">
        <x:f>H597*IF(AND(OR(AB596/AE596&gt;=v01_FissionTrigger*N597,AC597=1),AB596/AE596*v01_DaughterShare&gt;=v01_MinDaughter),MAX(1,ROUND(AE596*v01_FissionRate,0)),0)</x:f>
        <x:v>0</x:v>
      </x:c>
      <x:c r="AE597" s="8" t="n">
        <x:f>IF(H597=1,MAX(1,MIN(INDEX(v01_Smax,G597),AE596+AD597)),AE596)</x:f>
        <x:v>4</x:v>
      </x:c>
      <x:c r="AF597" s="8" t="n">
        <x:f>MAX(0,AE597-AE596)</x:f>
        <x:v>0</x:v>
      </x:c>
      <x:c r="AG597" s="9" t="str">
        <x:f>IF(AF597&gt;0,B597,"")</x:f>
      </x:c>
      <x:c r="AH597" s="9" t="n">
        <x:f>IF(F597&gt;=1,1,(1+v01_LowTiesShare*(AE597-1))/AE597)</x:f>
        <x:v>1</x:v>
      </x:c>
      <x:c r="AI597" s="32" t="n">
        <x:f>(Z597+v01_ElderCommons*INDEX(LM_Elder,G597)*AA597)*AH597</x:f>
        <x:v>136.08150437950553</x:v>
      </x:c>
      <x:c r="AJ597" s="32" t="n">
        <x:f>H597*v01_CommonsCoef*AI597^v01_CommonsExp*INDEX(LM_Commons,G597)</x:f>
        <x:v>42.98066909596471</x:v>
      </x:c>
      <x:c r="AK597" s="32" t="n">
        <x:f>H597*v01_RoleScale*Arch_Roles*(AE597*(INDEX(v01_ElderRolePerSett,G597)*v01_OutElder*INDEX(LM_Elder,G597)+INDEX(v01_ShamanPerSett,G597)*v01_OutShaman)+Z597*(INDEX(v01_PriestShare,G597)*v01_OutPriest+INDEX(v01_ScribeShare,G597)*v01_OutScribe*INDEX(LM_Scribe,G597)+INDEX(v01_ScholarShare,G597)*v01_OutScholar*INDEX(LM_Scholar,G597)+INDEX(v01_ResearcherShare,G597)*v01_OutResearcher*INDEX(LM_Researcher,G597)))</x:f>
        <x:v>12</x:v>
      </x:c>
      <x:c r="AL597" s="32" t="n">
        <x:f>H597*v01_RoleScale*Arch_Roles*AE597*INDEX(v01_MonasteryPerSett,G597)*v01_OutMonastery*INDEX(LM_Monastery,G597)</x:f>
        <x:v>0</x:v>
      </x:c>
      <x:c r="AM597" s="32" t="n">
        <x:f>(AJ597+AK597+AL597)/4*INDEX(LM_All,G597)*INDEX(v01_Boon,G597)*Arch_Insight</x:f>
        <x:v>14.44101636723698</x:v>
      </x:c>
      <x:c r="AN597" s="32" t="n">
        <x:f>H597*(v01_KHPerAdult*Z597+v01_KHOfCommons*AJ597/4*INDEX(LM_All,G597))*v01_KHUsable*Arch_KH</x:f>
        <x:v>2.4586687217913936</x:v>
      </x:c>
      <x:c r="AO597" s="32" t="n">
        <x:f>MIN(AP596+AN597,AM597*v01_KHMaxRatio)</x:f>
        <x:v>2.4586687217913936</x:v>
      </x:c>
      <x:c r="AP597" s="32" t="n">
        <x:f>AP596+AN597-AO597</x:f>
        <x:v>0</x:v>
      </x:c>
      <x:c r="AQ597" s="32" t="n">
        <x:f>AM597+AO597</x:f>
        <x:v>16.899685089028374</x:v>
      </x:c>
      <x:c r="AR597" s="10" t="n">
        <x:f>IF(H597=1,INDEX(v01_Req,G597),0)</x:f>
        <x:v>4006.9599999999996</x:v>
      </x:c>
      <x:c r="AS597" s="32" t="n">
        <x:f>IF(H597=1,IF(E597=1,AS596-AR596,AS596)+AQ597,0)</x:f>
        <x:v>1352.5975149347423</x:v>
      </x:c>
      <x:c r="AT597" s="11" t="n">
        <x:f>IF(AR597&gt;0,MIN(1,AS597/AR597),1)</x:f>
        <x:v>0.3375620208174632</x:v>
      </x:c>
      <x:c r="AU597" s="10" t="n">
        <x:f>AB597/INDEX(v01_RepScale,G597)</x:f>
        <x:v>79.6328672978806</x:v>
      </x:c>
      <x:c r="AV597" s="32" t="n">
        <x:f>AM597*60/v01_SeasonSeconds</x:f>
        <x:v>57.76406546894792</x:v>
      </x:c>
    </x:row>
    <x:row r="598">
      <x:c r="A598" s="8" t="n">
        <x:f>A597+1</x:f>
        <x:v>595</x:v>
      </x:c>
      <x:c r="B598" s="9" t="n">
        <x:f>A598*v01_SeasonSeconds/60</x:f>
        <x:v>148.75</x:v>
      </x:c>
      <x:c r="C598" s="9" t="n">
        <x:f>A598/4</x:f>
        <x:v>148.75</x:v>
      </x:c>
      <x:c r="D598" s="8" t="n">
        <x:f>IF(MOD(A598,4)=0,1,0)</x:f>
        <x:v>0</x:v>
      </x:c>
      <x:c r="E598" s="8" t="n">
        <x:f>IF(AND(F597&lt;=9,AS597&gt;=AR597),1,0)</x:f>
        <x:v>0</x:v>
      </x:c>
      <x:c r="F598" s="8" t="n">
        <x:f>MIN(10,F597+E598)</x:f>
        <x:v>2</x:v>
      </x:c>
      <x:c r="G598" s="8" t="n">
        <x:f>MIN(F598,9)+1</x:f>
        <x:v>3</x:v>
      </x:c>
      <x:c r="H598" s="8" t="n">
        <x:f>IF(F598&lt;=9,1,0)</x:f>
        <x:v>1</x:v>
      </x:c>
      <x:c r="I598" s="9" t="n">
        <x:f>MIN(10,F597+IF(AR597&gt;0,MIN(1,AS597/AR597),1))</x:f>
        <x:v>2.3375620208174634</x:v>
      </x:c>
      <x:c r="J598" s="32" t="n">
        <x:f>INDEX(v01_FoodCap,G598)*Arch_FoodCap*EXP(v01_CapsByProject*SUMPRODUCT((Cap_Point&lt;=I598)*(Cap_Kind="Food")*Cap_Ln))</x:f>
        <x:v>60</x:v>
      </x:c>
      <x:c r="K598" s="32" t="n">
        <x:f>J598*MIN(1,v01_LeanBase*EXP(v01_CapsByProject*SUMPRODUCT((Cap_Point&lt;=I598)*(Cap_Kind="Lean")*Cap_Ln)))</x:f>
        <x:v>60</x:v>
      </x:c>
      <x:c r="L598" s="10" t="n">
        <x:f>INDEX(v01_HousingCap,G598)*EXP(v01_CapsByProject*SUMPRODUCT((Cap_Point&lt;=I598)*(Cap_Kind="Housing")*Cap_Ln))</x:f>
        <x:v>100</x:v>
      </x:c>
      <x:c r="M598" s="10" t="n">
        <x:f>INDEX(v01_GroupCap,G598)*v01_CohesionFactor*EXP(v01_CapsByProject*SUMPRODUCT((Cap_Point&lt;=I598)*(Cap_Kind="Group")*Cap_Ln))</x:f>
        <x:v>500</x:v>
      </x:c>
      <x:c r="N598" s="32" t="n">
        <x:f>MIN(J598,L598,M598)</x:f>
        <x:v>60</x:v>
      </x:c>
      <x:c r="O598" s="10" t="n">
        <x:f>AE597*N598</x:f>
        <x:v>240</x:v>
      </x:c>
      <x:c r="P598" s="9" t="n">
        <x:f>MIN(1,(AB597/(AE597*IF(v01_GroupInCrowding=1,N598,MIN(J598,L598))))^v01_CrowdingExp)</x:f>
        <x:v>0.0854017252492884</x:v>
      </x:c>
      <x:c r="Q598" s="9" t="n">
        <x:f>IF(D598=1,INDEX(v01_WinterMult,G598),1)</x:f>
        <x:v>1</x:v>
      </x:c>
      <x:c r="R598" s="9" t="n">
        <x:f>H598*Z597*v01_WomenShare*v01_BaseFertility*INDEX(v01_FertMult,G598)*Arch_Fertility*(1-P598)</x:f>
        <x:v>2.6020603980264236</x:v>
      </x:c>
      <x:c r="S598" s="9" t="n">
        <x:f>H598*Y597*INDEX(v01_MortChild,G598)/4*Q598</x:f>
        <x:v>0.586892669640787</x:v>
      </x:c>
      <x:c r="T598" s="9" t="n">
        <x:f>H598*Z597*INDEX(v01_MortAdult,G598)*Arch_AdultMort/4*Q598</x:f>
        <x:v>0.2107430332964052</x:v>
      </x:c>
      <x:c r="U598" s="9" t="n">
        <x:f>H598*AA597*INDEX(v01_MortElder,G598)/4*Q598</x:f>
        <x:v>0.38403065524854996</x:v>
      </x:c>
      <x:c r="V598" s="9" t="n">
        <x:f>H598*MAX(0,AB597-O598)*v01_OvercapLoss</x:f>
        <x:v>0</x:v>
      </x:c>
      <x:c r="W598" s="9" t="n">
        <x:f>H598*Y597/(v01_ChildYears*4)</x:f>
        <x:v>1.197740142124055</x:v>
      </x:c>
      <x:c r="X598" s="9" t="n">
        <x:f>H598*Z597/(v01_AdultYears*4)</x:f>
        <x:v>0.5665135303666806</x:v>
      </x:c>
      <x:c r="Y598" s="32" t="n">
        <x:f>Y597+R598-S598-W598-Y597*V598/AB597</x:f>
        <x:v>67.89087554520866</x:v>
      </x:c>
      <x:c r="Z598" s="32" t="n">
        <x:f>Z597+W598-X598-T598-Z597*V598/AB597</x:f>
        <x:v>70.66816134392937</x:v>
      </x:c>
      <x:c r="AA598" s="32" t="n">
        <x:f>AA597+X598-U598-AA597*V598/AB597</x:f>
        <x:v>22.12709174646384</x:v>
      </x:c>
      <x:c r="AB598" s="10" t="n">
        <x:f>Y598+Z598+AA598</x:f>
        <x:v>160.68612863560188</x:v>
      </x:c>
      <x:c r="AC598" s="8" t="n">
        <x:f>IF(AND(v01_WinterTrigger=1,D598=1,AB597/AE597&gt;=K598),1,0)</x:f>
        <x:v>0</x:v>
      </x:c>
      <x:c r="AD598" s="8" t="n">
        <x:f>H598*IF(AND(OR(AB597/AE597&gt;=v01_FissionTrigger*N598,AC598=1),AB597/AE597*v01_DaughterShare&gt;=v01_MinDaughter),MAX(1,ROUND(AE597*v01_FissionRate,0)),0)</x:f>
        <x:v>0</x:v>
      </x:c>
      <x:c r="AE598" s="8" t="n">
        <x:f>IF(H598=1,MAX(1,MIN(INDEX(v01_Smax,G598),AE597+AD598)),AE597)</x:f>
        <x:v>4</x:v>
      </x:c>
      <x:c r="AF598" s="8" t="n">
        <x:f>MAX(0,AE598-AE597)</x:f>
        <x:v>0</x:v>
      </x:c>
      <x:c r="AG598" s="9" t="str">
        <x:f>IF(AF598&gt;0,B598,"")</x:f>
      </x:c>
      <x:c r="AH598" s="9" t="n">
        <x:f>IF(F598&gt;=1,1,(1+v01_LowTiesShare*(AE598-1))/AE598)</x:f>
        <x:v>1</x:v>
      </x:c>
      <x:c r="AI598" s="32" t="n">
        <x:f>(Z598+v01_ElderCommons*INDEX(LM_Elder,G598)*AA598)*AH598</x:f>
        <x:v>137.0494365833209</x:v>
      </x:c>
      <x:c r="AJ598" s="32" t="n">
        <x:f>H598*v01_CommonsCoef*AI598^v01_CommonsExp*INDEX(LM_Commons,G598)</x:f>
        <x:v>43.2403899496348</x:v>
      </x:c>
      <x:c r="AK598" s="32" t="n">
        <x:f>H598*v01_RoleScale*Arch_Roles*(AE598*(INDEX(v01_ElderRolePerSett,G598)*v01_OutElder*INDEX(LM_Elder,G598)+INDEX(v01_ShamanPerSett,G598)*v01_OutShaman)+Z598*(INDEX(v01_PriestShare,G598)*v01_OutPriest+INDEX(v01_ScribeShare,G598)*v01_OutScribe*INDEX(LM_Scribe,G598)+INDEX(v01_ScholarShare,G598)*v01_OutScholar*INDEX(LM_Scholar,G598)+INDEX(v01_ResearcherShare,G598)*v01_OutResearcher*INDEX(LM_Researcher,G598)))</x:f>
        <x:v>12</x:v>
      </x:c>
      <x:c r="AL598" s="32" t="n">
        <x:f>H598*v01_RoleScale*Arch_Roles*AE598*INDEX(v01_MonasteryPerSett,G598)*v01_OutMonastery*INDEX(LM_Monastery,G598)</x:f>
        <x:v>0</x:v>
      </x:c>
      <x:c r="AM598" s="32" t="n">
        <x:f>(AJ598+AK598+AL598)/4*INDEX(LM_All,G598)*INDEX(v01_Boon,G598)*Arch_Insight</x:f>
        <x:v>14.509233672708765</x:v>
      </x:c>
      <x:c r="AN598" s="32" t="n">
        <x:f>H598*(v01_KHPerAdult*Z598+v01_KHOfCommons*AJ598/4*INDEX(LM_All,G598))*v01_KHUsable*Arch_KH</x:f>
        <x:v>2.473385647037528</x:v>
      </x:c>
      <x:c r="AO598" s="32" t="n">
        <x:f>MIN(AP597+AN598,AM598*v01_KHMaxRatio)</x:f>
        <x:v>2.473385647037528</x:v>
      </x:c>
      <x:c r="AP598" s="32" t="n">
        <x:f>AP597+AN598-AO598</x:f>
        <x:v>0</x:v>
      </x:c>
      <x:c r="AQ598" s="32" t="n">
        <x:f>AM598+AO598</x:f>
        <x:v>16.98261931974629</x:v>
      </x:c>
      <x:c r="AR598" s="10" t="n">
        <x:f>IF(H598=1,INDEX(v01_Req,G598),0)</x:f>
        <x:v>4006.9599999999996</x:v>
      </x:c>
      <x:c r="AS598" s="32" t="n">
        <x:f>IF(H598=1,IF(E598=1,AS597-AR597,AS597)+AQ598,0)</x:f>
        <x:v>1369.5801342544887</x:v>
      </x:c>
      <x:c r="AT598" s="11" t="n">
        <x:f>IF(AR598&gt;0,MIN(1,AS598/AR598),1)</x:f>
        <x:v>0.34180030103981296</x:v>
      </x:c>
      <x:c r="AU598" s="10" t="n">
        <x:f>AB598/INDEX(v01_RepScale,G598)</x:f>
        <x:v>80.34306431780094</x:v>
      </x:c>
      <x:c r="AV598" s="32" t="n">
        <x:f>AM598*60/v01_SeasonSeconds</x:f>
        <x:v>58.03693469083506</x:v>
      </x:c>
    </x:row>
    <x:row r="599">
      <x:c r="A599" s="8" t="n">
        <x:f>A598+1</x:f>
        <x:v>596</x:v>
      </x:c>
      <x:c r="B599" s="9" t="n">
        <x:f>A599*v01_SeasonSeconds/60</x:f>
        <x:v>149</x:v>
      </x:c>
      <x:c r="C599" s="9" t="n">
        <x:f>A599/4</x:f>
        <x:v>149</x:v>
      </x:c>
      <x:c r="D599" s="8" t="n">
        <x:f>IF(MOD(A599,4)=0,1,0)</x:f>
        <x:v>1</x:v>
      </x:c>
      <x:c r="E599" s="8" t="n">
        <x:f>IF(AND(F598&lt;=9,AS598&gt;=AR598),1,0)</x:f>
        <x:v>0</x:v>
      </x:c>
      <x:c r="F599" s="8" t="n">
        <x:f>MIN(10,F598+E599)</x:f>
        <x:v>2</x:v>
      </x:c>
      <x:c r="G599" s="8" t="n">
        <x:f>MIN(F599,9)+1</x:f>
        <x:v>3</x:v>
      </x:c>
      <x:c r="H599" s="8" t="n">
        <x:f>IF(F599&lt;=9,1,0)</x:f>
        <x:v>1</x:v>
      </x:c>
      <x:c r="I599" s="9" t="n">
        <x:f>MIN(10,F598+IF(AR598&gt;0,MIN(1,AS598/AR598),1))</x:f>
        <x:v>2.3418003010398127</x:v>
      </x:c>
      <x:c r="J599" s="32" t="n">
        <x:f>INDEX(v01_FoodCap,G599)*Arch_FoodCap*EXP(v01_CapsByProject*SUMPRODUCT((Cap_Point&lt;=I599)*(Cap_Kind="Food")*Cap_Ln))</x:f>
        <x:v>60</x:v>
      </x:c>
      <x:c r="K599" s="32" t="n">
        <x:f>J599*MIN(1,v01_LeanBase*EXP(v01_CapsByProject*SUMPRODUCT((Cap_Point&lt;=I599)*(Cap_Kind="Lean")*Cap_Ln)))</x:f>
        <x:v>60</x:v>
      </x:c>
      <x:c r="L599" s="10" t="n">
        <x:f>INDEX(v01_HousingCap,G599)*EXP(v01_CapsByProject*SUMPRODUCT((Cap_Point&lt;=I599)*(Cap_Kind="Housing")*Cap_Ln))</x:f>
        <x:v>100</x:v>
      </x:c>
      <x:c r="M599" s="10" t="n">
        <x:f>INDEX(v01_GroupCap,G599)*v01_CohesionFactor*EXP(v01_CapsByProject*SUMPRODUCT((Cap_Point&lt;=I599)*(Cap_Kind="Group")*Cap_Ln))</x:f>
        <x:v>500</x:v>
      </x:c>
      <x:c r="N599" s="32" t="n">
        <x:f>MIN(J599,L599,M599)</x:f>
        <x:v>60</x:v>
      </x:c>
      <x:c r="O599" s="10" t="n">
        <x:f>AE598*N599</x:f>
        <x:v>240</x:v>
      </x:c>
      <x:c r="P599" s="9" t="n">
        <x:f>MIN(1,(AB598/(AE598*IF(v01_GroupInCrowding=1,N599,MIN(J599,L599))))^v01_CrowdingExp)</x:f>
        <x:v>0.09007471050802836</x:v>
      </x:c>
      <x:c r="Q599" s="9" t="n">
        <x:f>IF(D599=1,INDEX(v01_WinterMult,G599),1)</x:f>
        <x:v>1.3</x:v>
      </x:c>
      <x:c r="R599" s="9" t="n">
        <x:f>H599*Z598*v01_WomenShare*v01_BaseFertility*INDEX(v01_FertMult,G599)*Arch_Fertility*(1-P599)</x:f>
        <x:v>2.6042612603339816</x:v>
      </x:c>
      <x:c r="S599" s="9" t="n">
        <x:f>H599*Y598*INDEX(v01_MortChild,G599)/4*Q599</x:f>
        <x:v>0.7722587093267486</x:v>
      </x:c>
      <x:c r="T599" s="9" t="n">
        <x:f>H599*Z598*INDEX(v01_MortAdult,G599)*Arch_AdultMort/4*Q599</x:f>
        <x:v>0.27560582924132454</x:v>
      </x:c>
      <x:c r="U599" s="9" t="n">
        <x:f>H599*AA598*INDEX(v01_MortElder,G599)/4*Q599</x:f>
        <x:v>0.5033913372320524</x:v>
      </x:c>
      <x:c r="V599" s="9" t="n">
        <x:f>H599*MAX(0,AB598-O599)*v01_OvercapLoss</x:f>
        <x:v>0</x:v>
      </x:c>
      <x:c r="W599" s="9" t="n">
        <x:f>H599*Y598/(v01_ChildYears*4)</x:f>
        <x:v>1.2123370633072974</x:v>
      </x:c>
      <x:c r="X599" s="9" t="n">
        <x:f>H599*Z598/(v01_AdultYears*4)</x:f>
        <x:v>0.5699045269671723</x:v>
      </x:c>
      <x:c r="Y599" s="32" t="n">
        <x:f>Y598+R599-S599-W599-Y598*V599/AB598</x:f>
        <x:v>68.51054103290859</x:v>
      </x:c>
      <x:c r="Z599" s="32" t="n">
        <x:f>Z598+W599-X599-T599-Z598*V599/AB598</x:f>
        <x:v>71.03498805102817</x:v>
      </x:c>
      <x:c r="AA599" s="32" t="n">
        <x:f>AA598+X599-U599-AA598*V599/AB598</x:f>
        <x:v>22.19360493619896</x:v>
      </x:c>
      <x:c r="AB599" s="10" t="n">
        <x:f>Y599+Z599+AA599</x:f>
        <x:v>161.7391340201357</x:v>
      </x:c>
      <x:c r="AC599" s="8" t="n">
        <x:f>IF(AND(v01_WinterTrigger=1,D599=1,AB598/AE598&gt;=K599),1,0)</x:f>
        <x:v>0</x:v>
      </x:c>
      <x:c r="AD599" s="8" t="n">
        <x:f>H599*IF(AND(OR(AB598/AE598&gt;=v01_FissionTrigger*N599,AC599=1),AB598/AE598*v01_DaughterShare&gt;=v01_MinDaughter),MAX(1,ROUND(AE598*v01_FissionRate,0)),0)</x:f>
        <x:v>0</x:v>
      </x:c>
      <x:c r="AE599" s="8" t="n">
        <x:f>IF(H599=1,MAX(1,MIN(INDEX(v01_Smax,G599),AE598+AD599)),AE598)</x:f>
        <x:v>4</x:v>
      </x:c>
      <x:c r="AF599" s="8" t="n">
        <x:f>MAX(0,AE599-AE598)</x:f>
        <x:v>0</x:v>
      </x:c>
      <x:c r="AG599" s="9" t="str">
        <x:f>IF(AF599&gt;0,B599,"")</x:f>
      </x:c>
      <x:c r="AH599" s="9" t="n">
        <x:f>IF(F599&gt;=1,1,(1+v01_LowTiesShare*(AE599-1))/AE599)</x:f>
        <x:v>1</x:v>
      </x:c>
      <x:c r="AI599" s="32" t="n">
        <x:f>(Z599+v01_ElderCommons*INDEX(LM_Elder,G599)*AA599)*AH599</x:f>
        <x:v>137.61580285962503</x:v>
      </x:c>
      <x:c r="AJ599" s="32" t="n">
        <x:f>H599*v01_CommonsCoef*AI599^v01_CommonsExp*INDEX(LM_Commons,G599)</x:f>
        <x:v>43.39223276392966</x:v>
      </x:c>
      <x:c r="AK599" s="32" t="n">
        <x:f>H599*v01_RoleScale*Arch_Roles*(AE599*(INDEX(v01_ElderRolePerSett,G599)*v01_OutElder*INDEX(LM_Elder,G599)+INDEX(v01_ShamanPerSett,G599)*v01_OutShaman)+Z599*(INDEX(v01_PriestShare,G599)*v01_OutPriest+INDEX(v01_ScribeShare,G599)*v01_OutScribe*INDEX(LM_Scribe,G599)+INDEX(v01_ScholarShare,G599)*v01_OutScholar*INDEX(LM_Scholar,G599)+INDEX(v01_ResearcherShare,G599)*v01_OutResearcher*INDEX(LM_Researcher,G599)))</x:f>
        <x:v>12</x:v>
      </x:c>
      <x:c r="AL599" s="32" t="n">
        <x:f>H599*v01_RoleScale*Arch_Roles*AE599*INDEX(v01_MonasteryPerSett,G599)*v01_OutMonastery*INDEX(LM_Monastery,G599)</x:f>
        <x:v>0</x:v>
      </x:c>
      <x:c r="AM599" s="32" t="n">
        <x:f>(AJ599+AK599+AL599)/4*INDEX(LM_All,G599)*INDEX(v01_Boon,G599)*Arch_Insight</x:f>
        <x:v>14.5491161369009</x:v>
      </x:c>
      <x:c r="AN599" s="32" t="n">
        <x:f>H599*(v01_KHPerAdult*Z599+v01_KHOfCommons*AJ599/4*INDEX(LM_All,G599))*v01_KHUsable*Arch_KH</x:f>
        <x:v>2.4862245817859856</x:v>
      </x:c>
      <x:c r="AO599" s="32" t="n">
        <x:f>MIN(AP598+AN599,AM599*v01_KHMaxRatio)</x:f>
        <x:v>2.4862245817859856</x:v>
      </x:c>
      <x:c r="AP599" s="32" t="n">
        <x:f>AP598+AN599-AO599</x:f>
        <x:v>0</x:v>
      </x:c>
      <x:c r="AQ599" s="32" t="n">
        <x:f>AM599+AO599</x:f>
        <x:v>17.035340718686886</x:v>
      </x:c>
      <x:c r="AR599" s="10" t="n">
        <x:f>IF(H599=1,INDEX(v01_Req,G599),0)</x:f>
        <x:v>4006.9599999999996</x:v>
      </x:c>
      <x:c r="AS599" s="32" t="n">
        <x:f>IF(H599=1,IF(E599=1,AS598-AR598,AS598)+AQ599,0)</x:f>
        <x:v>1386.6154749731757</x:v>
      </x:c>
      <x:c r="AT599" s="11" t="n">
        <x:f>IF(AR599&gt;0,MIN(1,AS599/AR599),1)</x:f>
        <x:v>0.3460517387179248</x:v>
      </x:c>
      <x:c r="AU599" s="10" t="n">
        <x:f>AB599/INDEX(v01_RepScale,G599)</x:f>
        <x:v>80.86956701006785</x:v>
      </x:c>
      <x:c r="AV599" s="32" t="n">
        <x:f>AM599*60/v01_SeasonSeconds</x:f>
        <x:v>58.1964645476036</x:v>
      </x:c>
    </x:row>
    <x:row r="600">
      <x:c r="A600" s="8" t="n">
        <x:f>A599+1</x:f>
        <x:v>597</x:v>
      </x:c>
      <x:c r="B600" s="9" t="n">
        <x:f>A600*v01_SeasonSeconds/60</x:f>
        <x:v>149.25</x:v>
      </x:c>
      <x:c r="C600" s="9" t="n">
        <x:f>A600/4</x:f>
        <x:v>149.25</x:v>
      </x:c>
      <x:c r="D600" s="8" t="n">
        <x:f>IF(MOD(A600,4)=0,1,0)</x:f>
        <x:v>0</x:v>
      </x:c>
      <x:c r="E600" s="8" t="n">
        <x:f>IF(AND(F599&lt;=9,AS599&gt;=AR599),1,0)</x:f>
        <x:v>0</x:v>
      </x:c>
      <x:c r="F600" s="8" t="n">
        <x:f>MIN(10,F599+E600)</x:f>
        <x:v>2</x:v>
      </x:c>
      <x:c r="G600" s="8" t="n">
        <x:f>MIN(F600,9)+1</x:f>
        <x:v>3</x:v>
      </x:c>
      <x:c r="H600" s="8" t="n">
        <x:f>IF(F600&lt;=9,1,0)</x:f>
        <x:v>1</x:v>
      </x:c>
      <x:c r="I600" s="9" t="n">
        <x:f>MIN(10,F599+IF(AR599&gt;0,MIN(1,AS599/AR599),1))</x:f>
        <x:v>2.3460517387179247</x:v>
      </x:c>
      <x:c r="J600" s="32" t="n">
        <x:f>INDEX(v01_FoodCap,G600)*Arch_FoodCap*EXP(v01_CapsByProject*SUMPRODUCT((Cap_Point&lt;=I600)*(Cap_Kind="Food")*Cap_Ln))</x:f>
        <x:v>60</x:v>
      </x:c>
      <x:c r="K600" s="32" t="n">
        <x:f>J600*MIN(1,v01_LeanBase*EXP(v01_CapsByProject*SUMPRODUCT((Cap_Point&lt;=I600)*(Cap_Kind="Lean")*Cap_Ln)))</x:f>
        <x:v>60</x:v>
      </x:c>
      <x:c r="L600" s="10" t="n">
        <x:f>INDEX(v01_HousingCap,G600)*EXP(v01_CapsByProject*SUMPRODUCT((Cap_Point&lt;=I600)*(Cap_Kind="Housing")*Cap_Ln))</x:f>
        <x:v>100</x:v>
      </x:c>
      <x:c r="M600" s="10" t="n">
        <x:f>INDEX(v01_GroupCap,G600)*v01_CohesionFactor*EXP(v01_CapsByProject*SUMPRODUCT((Cap_Point&lt;=I600)*(Cap_Kind="Group")*Cap_Ln))</x:f>
        <x:v>500</x:v>
      </x:c>
      <x:c r="N600" s="32" t="n">
        <x:f>MIN(J600,L600,M600)</x:f>
        <x:v>60</x:v>
      </x:c>
      <x:c r="O600" s="10" t="n">
        <x:f>AE599*N600</x:f>
        <x:v>240</x:v>
      </x:c>
      <x:c r="P600" s="9" t="n">
        <x:f>MIN(1,(AB599/(AE599*IF(v01_GroupInCrowding=1,N600,MIN(J600,L600))))^v01_CrowdingExp)</x:f>
        <x:v>0.0936748983892582</x:v>
      </x:c>
      <x:c r="Q600" s="9" t="n">
        <x:f>IF(D600=1,INDEX(v01_WinterMult,G600),1)</x:f>
        <x:v>1</x:v>
      </x:c>
      <x:c r="R600" s="9" t="n">
        <x:f>H600*Z599*v01_WomenShare*v01_BaseFertility*INDEX(v01_FertMult,G600)*Arch_Fertility*(1-P600)</x:f>
        <x:v>2.60742210691227</x:v>
      </x:c>
      <x:c r="S600" s="9" t="n">
        <x:f>H600*Y599*INDEX(v01_MortChild,G600)/4*Q600</x:f>
        <x:v>0.5994672340379502</x:v>
      </x:c>
      <x:c r="T600" s="9" t="n">
        <x:f>H600*Z599*INDEX(v01_MortAdult,G600)*Arch_AdultMort/4*Q600</x:f>
        <x:v>0.2131049641530845</x:v>
      </x:c>
      <x:c r="U600" s="9" t="n">
        <x:f>H600*AA599*INDEX(v01_MortElder,G600)/4*Q600</x:f>
        <x:v>0.3883880863834818</x:v>
      </x:c>
      <x:c r="V600" s="9" t="n">
        <x:f>H600*MAX(0,AB599-O600)*v01_OvercapLoss</x:f>
        <x:v>0</x:v>
      </x:c>
      <x:c r="W600" s="9" t="n">
        <x:f>H600*Y599/(v01_ChildYears*4)</x:f>
        <x:v>1.2234025184447963</x:v>
      </x:c>
      <x:c r="X600" s="9" t="n">
        <x:f>H600*Z599/(v01_AdultYears*4)</x:f>
        <x:v>0.5728628068631304</x:v>
      </x:c>
      <x:c r="Y600" s="32" t="n">
        <x:f>Y599+R600-S600-W600-Y599*V600/AB599</x:f>
        <x:v>69.29509338733811</x:v>
      </x:c>
      <x:c r="Z600" s="32" t="n">
        <x:f>Z599+W600-X600-T600-Z599*V600/AB599</x:f>
        <x:v>71.47242279845675</x:v>
      </x:c>
      <x:c r="AA600" s="32" t="n">
        <x:f>AA599+X600-U600-AA599*V600/AB599</x:f>
        <x:v>22.378079656678608</x:v>
      </x:c>
      <x:c r="AB600" s="10" t="n">
        <x:f>Y600+Z600+AA600</x:f>
        <x:v>163.14559584247348</x:v>
      </x:c>
      <x:c r="AC600" s="8" t="n">
        <x:f>IF(AND(v01_WinterTrigger=1,D600=1,AB599/AE599&gt;=K600),1,0)</x:f>
        <x:v>0</x:v>
      </x:c>
      <x:c r="AD600" s="8" t="n">
        <x:f>H600*IF(AND(OR(AB599/AE599&gt;=v01_FissionTrigger*N600,AC600=1),AB599/AE599*v01_DaughterShare&gt;=v01_MinDaughter),MAX(1,ROUND(AE599*v01_FissionRate,0)),0)</x:f>
        <x:v>0</x:v>
      </x:c>
      <x:c r="AE600" s="8" t="n">
        <x:f>IF(H600=1,MAX(1,MIN(INDEX(v01_Smax,G600),AE599+AD600)),AE599)</x:f>
        <x:v>4</x:v>
      </x:c>
      <x:c r="AF600" s="8" t="n">
        <x:f>MAX(0,AE600-AE599)</x:f>
        <x:v>0</x:v>
      </x:c>
      <x:c r="AG600" s="9" t="str">
        <x:f>IF(AF600&gt;0,B600,"")</x:f>
      </x:c>
      <x:c r="AH600" s="9" t="n">
        <x:f>IF(F600&gt;=1,1,(1+v01_LowTiesShare*(AE600-1))/AE600)</x:f>
        <x:v>1</x:v>
      </x:c>
      <x:c r="AI600" s="32" t="n">
        <x:f>(Z600+v01_ElderCommons*INDEX(LM_Elder,G600)*AA600)*AH600</x:f>
        <x:v>138.6066617684926</x:v>
      </x:c>
      <x:c r="AJ600" s="32" t="n">
        <x:f>H600*v01_CommonsCoef*AI600^v01_CommonsExp*INDEX(LM_Commons,G600)</x:f>
        <x:v>43.65765694762686</x:v>
      </x:c>
      <x:c r="AK600" s="32" t="n">
        <x:f>H600*v01_RoleScale*Arch_Roles*(AE600*(INDEX(v01_ElderRolePerSett,G600)*v01_OutElder*INDEX(LM_Elder,G600)+INDEX(v01_ShamanPerSett,G600)*v01_OutShaman)+Z600*(INDEX(v01_PriestShare,G600)*v01_OutPriest+INDEX(v01_ScribeShare,G600)*v01_OutScribe*INDEX(LM_Scribe,G600)+INDEX(v01_ScholarShare,G600)*v01_OutScholar*INDEX(LM_Scholar,G600)+INDEX(v01_ResearcherShare,G600)*v01_OutResearcher*INDEX(LM_Researcher,G600)))</x:f>
        <x:v>12</x:v>
      </x:c>
      <x:c r="AL600" s="32" t="n">
        <x:f>H600*v01_RoleScale*Arch_Roles*AE600*INDEX(v01_MonasteryPerSett,G600)*v01_OutMonastery*INDEX(LM_Monastery,G600)</x:f>
        <x:v>0</x:v>
      </x:c>
      <x:c r="AM600" s="32" t="n">
        <x:f>(AJ600+AK600+AL600)/4*INDEX(LM_All,G600)*INDEX(v01_Boon,G600)*Arch_Insight</x:f>
        <x:v>14.618831457650117</x:v>
      </x:c>
      <x:c r="AN600" s="32" t="n">
        <x:f>H600*(v01_KHPerAdult*Z600+v01_KHOfCommons*AJ600/4*INDEX(LM_All,G600))*v01_KHUsable*Arch_KH</x:f>
        <x:v>2.501534797945986</x:v>
      </x:c>
      <x:c r="AO600" s="32" t="n">
        <x:f>MIN(AP599+AN600,AM600*v01_KHMaxRatio)</x:f>
        <x:v>2.501534797945986</x:v>
      </x:c>
      <x:c r="AP600" s="32" t="n">
        <x:f>AP599+AN600-AO600</x:f>
        <x:v>0</x:v>
      </x:c>
      <x:c r="AQ600" s="32" t="n">
        <x:f>AM600+AO600</x:f>
        <x:v>17.120366255596103</x:v>
      </x:c>
      <x:c r="AR600" s="10" t="n">
        <x:f>IF(H600=1,INDEX(v01_Req,G600),0)</x:f>
        <x:v>4006.9599999999996</x:v>
      </x:c>
      <x:c r="AS600" s="32" t="n">
        <x:f>IF(H600=1,IF(E600=1,AS599-AR599,AS599)+AQ600,0)</x:f>
        <x:v>1403.7358412287717</x:v>
      </x:c>
      <x:c r="AT600" s="11" t="n">
        <x:f>IF(AR600&gt;0,MIN(1,AS600/AR600),1)</x:f>
        <x:v>0.35032439585839936</x:v>
      </x:c>
      <x:c r="AU600" s="10" t="n">
        <x:f>AB600/INDEX(v01_RepScale,G600)</x:f>
        <x:v>81.57279792123674</x:v>
      </x:c>
      <x:c r="AV600" s="32" t="n">
        <x:f>AM600*60/v01_SeasonSeconds</x:f>
        <x:v>58.47532583060047</x:v>
      </x:c>
    </x:row>
    <x:row r="601">
      <x:c r="A601" s="8" t="n">
        <x:f>A600+1</x:f>
        <x:v>598</x:v>
      </x:c>
      <x:c r="B601" s="9" t="n">
        <x:f>A601*v01_SeasonSeconds/60</x:f>
        <x:v>149.5</x:v>
      </x:c>
      <x:c r="C601" s="9" t="n">
        <x:f>A601/4</x:f>
        <x:v>149.5</x:v>
      </x:c>
      <x:c r="D601" s="8" t="n">
        <x:f>IF(MOD(A601,4)=0,1,0)</x:f>
        <x:v>0</x:v>
      </x:c>
      <x:c r="E601" s="8" t="n">
        <x:f>IF(AND(F600&lt;=9,AS600&gt;=AR600),1,0)</x:f>
        <x:v>0</x:v>
      </x:c>
      <x:c r="F601" s="8" t="n">
        <x:f>MIN(10,F600+E601)</x:f>
        <x:v>2</x:v>
      </x:c>
      <x:c r="G601" s="8" t="n">
        <x:f>MIN(F601,9)+1</x:f>
        <x:v>3</x:v>
      </x:c>
      <x:c r="H601" s="8" t="n">
        <x:f>IF(F601&lt;=9,1,0)</x:f>
        <x:v>1</x:v>
      </x:c>
      <x:c r="I601" s="9" t="n">
        <x:f>MIN(10,F600+IF(AR600&gt;0,MIN(1,AS600/AR600),1))</x:f>
        <x:v>2.3503243958583995</x:v>
      </x:c>
      <x:c r="J601" s="32" t="n">
        <x:f>INDEX(v01_FoodCap,G601)*Arch_FoodCap*EXP(v01_CapsByProject*SUMPRODUCT((Cap_Point&lt;=I601)*(Cap_Kind="Food")*Cap_Ln))</x:f>
        <x:v>60</x:v>
      </x:c>
      <x:c r="K601" s="32" t="n">
        <x:f>J601*MIN(1,v01_LeanBase*EXP(v01_CapsByProject*SUMPRODUCT((Cap_Point&lt;=I601)*(Cap_Kind="Lean")*Cap_Ln)))</x:f>
        <x:v>60</x:v>
      </x:c>
      <x:c r="L601" s="10" t="n">
        <x:f>INDEX(v01_HousingCap,G601)*EXP(v01_CapsByProject*SUMPRODUCT((Cap_Point&lt;=I601)*(Cap_Kind="Housing")*Cap_Ln))</x:f>
        <x:v>100</x:v>
      </x:c>
      <x:c r="M601" s="10" t="n">
        <x:f>INDEX(v01_GroupCap,G601)*v01_CohesionFactor*EXP(v01_CapsByProject*SUMPRODUCT((Cap_Point&lt;=I601)*(Cap_Kind="Group")*Cap_Ln))</x:f>
        <x:v>500</x:v>
      </x:c>
      <x:c r="N601" s="32" t="n">
        <x:f>MIN(J601,L601,M601)</x:f>
        <x:v>60</x:v>
      </x:c>
      <x:c r="O601" s="10" t="n">
        <x:f>AE600*N601</x:f>
        <x:v>240</x:v>
      </x:c>
      <x:c r="P601" s="9" t="n">
        <x:f>MIN(1,(AB600/(AE600*IF(v01_GroupInCrowding=1,N601,MIN(J601,L601))))^v01_CrowdingExp)</x:f>
        <x:v>0.09866989727792518</x:v>
      </x:c>
      <x:c r="Q601" s="9" t="n">
        <x:f>IF(D601=1,INDEX(v01_WinterMult,G601),1)</x:f>
        <x:v>1</x:v>
      </x:c>
      <x:c r="R601" s="9" t="n">
        <x:f>H601*Z600*v01_WomenShare*v01_BaseFertility*INDEX(v01_FertMult,G601)*Arch_Fertility*(1-P601)</x:f>
        <x:v>2.6090199704005075</x:v>
      </x:c>
      <x:c r="S601" s="9" t="n">
        <x:f>H601*Y600*INDEX(v01_MortChild,G601)/4*Q601</x:f>
        <x:v>0.6063320671392085</x:v>
      </x:c>
      <x:c r="T601" s="9" t="n">
        <x:f>H601*Z600*INDEX(v01_MortAdult,G601)*Arch_AdultMort/4*Q601</x:f>
        <x:v>0.21441726839537026</x:v>
      </x:c>
      <x:c r="U601" s="9" t="n">
        <x:f>H601*AA600*INDEX(v01_MortElder,G601)/4*Q601</x:f>
        <x:v>0.3916163939918757</x:v>
      </x:c>
      <x:c r="V601" s="9" t="n">
        <x:f>H601*MAX(0,AB600-O601)*v01_OvercapLoss</x:f>
        <x:v>0</x:v>
      </x:c>
      <x:c r="W601" s="9" t="n">
        <x:f>H601*Y600/(v01_ChildYears*4)</x:f>
        <x:v>1.237412381916752</x:v>
      </x:c>
      <x:c r="X601" s="9" t="n">
        <x:f>H601*Z600/(v01_AdultYears*4)</x:f>
        <x:v>0.5763905064391673</x:v>
      </x:c>
      <x:c r="Y601" s="32" t="n">
        <x:f>Y600+R601-S601-W601-Y600*V601/AB600</x:f>
        <x:v>70.06036890868266</x:v>
      </x:c>
      <x:c r="Z601" s="32" t="n">
        <x:f>Z600+W601-X601-T601-Z600*V601/AB600</x:f>
        <x:v>71.91902740553897</x:v>
      </x:c>
      <x:c r="AA601" s="32" t="n">
        <x:f>AA600+X601-U601-AA600*V601/AB600</x:f>
        <x:v>22.5628537691259</x:v>
      </x:c>
      <x:c r="AB601" s="10" t="n">
        <x:f>Y601+Z601+AA601</x:f>
        <x:v>164.5422500833475</x:v>
      </x:c>
      <x:c r="AC601" s="8" t="n">
        <x:f>IF(AND(v01_WinterTrigger=1,D601=1,AB600/AE600&gt;=K601),1,0)</x:f>
        <x:v>0</x:v>
      </x:c>
      <x:c r="AD601" s="8" t="n">
        <x:f>H601*IF(AND(OR(AB600/AE600&gt;=v01_FissionTrigger*N601,AC601=1),AB600/AE600*v01_DaughterShare&gt;=v01_MinDaughter),MAX(1,ROUND(AE600*v01_FissionRate,0)),0)</x:f>
        <x:v>0</x:v>
      </x:c>
      <x:c r="AE601" s="8" t="n">
        <x:f>IF(H601=1,MAX(1,MIN(INDEX(v01_Smax,G601),AE600+AD601)),AE600)</x:f>
        <x:v>4</x:v>
      </x:c>
      <x:c r="AF601" s="8" t="n">
        <x:f>MAX(0,AE601-AE600)</x:f>
        <x:v>0</x:v>
      </x:c>
      <x:c r="AG601" s="9" t="str">
        <x:f>IF(AF601&gt;0,B601,"")</x:f>
      </x:c>
      <x:c r="AH601" s="9" t="n">
        <x:f>IF(F601&gt;=1,1,(1+v01_LowTiesShare*(AE601-1))/AE601)</x:f>
        <x:v>1</x:v>
      </x:c>
      <x:c r="AI601" s="32" t="n">
        <x:f>(Z601+v01_ElderCommons*INDEX(LM_Elder,G601)*AA601)*AH601</x:f>
        <x:v>139.60758871291668</x:v>
      </x:c>
      <x:c r="AJ601" s="32" t="n">
        <x:f>H601*v01_CommonsCoef*AI601^v01_CommonsExp*INDEX(LM_Commons,G601)</x:f>
        <x:v>43.9254892760483</x:v>
      </x:c>
      <x:c r="AK601" s="32" t="n">
        <x:f>H601*v01_RoleScale*Arch_Roles*(AE601*(INDEX(v01_ElderRolePerSett,G601)*v01_OutElder*INDEX(LM_Elder,G601)+INDEX(v01_ShamanPerSett,G601)*v01_OutShaman)+Z601*(INDEX(v01_PriestShare,G601)*v01_OutPriest+INDEX(v01_ScribeShare,G601)*v01_OutScribe*INDEX(LM_Scribe,G601)+INDEX(v01_ScholarShare,G601)*v01_OutScholar*INDEX(LM_Scholar,G601)+INDEX(v01_ResearcherShare,G601)*v01_OutResearcher*INDEX(LM_Researcher,G601)))</x:f>
        <x:v>12</x:v>
      </x:c>
      <x:c r="AL601" s="32" t="n">
        <x:f>H601*v01_RoleScale*Arch_Roles*AE601*INDEX(v01_MonasteryPerSett,G601)*v01_OutMonastery*INDEX(LM_Monastery,G601)</x:f>
        <x:v>0</x:v>
      </x:c>
      <x:c r="AM601" s="32" t="n">
        <x:f>(AJ601+AK601+AL601)/4*INDEX(LM_All,G601)*INDEX(v01_Boon,G601)*Arch_Insight</x:f>
        <x:v>14.689179292662061</x:v>
      </x:c>
      <x:c r="AN601" s="32" t="n">
        <x:f>H601*(v01_KHPerAdult*Z601+v01_KHOfCommons*AJ601/4*INDEX(LM_All,G601))*v01_KHUsable*Arch_KH</x:f>
        <x:v>2.5171659591938638</x:v>
      </x:c>
      <x:c r="AO601" s="32" t="n">
        <x:f>MIN(AP600+AN601,AM601*v01_KHMaxRatio)</x:f>
        <x:v>2.5171659591938638</x:v>
      </x:c>
      <x:c r="AP601" s="32" t="n">
        <x:f>AP600+AN601-AO601</x:f>
        <x:v>0</x:v>
      </x:c>
      <x:c r="AQ601" s="32" t="n">
        <x:f>AM601+AO601</x:f>
        <x:v>17.206345251855925</x:v>
      </x:c>
      <x:c r="AR601" s="10" t="n">
        <x:f>IF(H601=1,INDEX(v01_Req,G601),0)</x:f>
        <x:v>4006.9599999999996</x:v>
      </x:c>
      <x:c r="AS601" s="32" t="n">
        <x:f>IF(H601=1,IF(E601=1,AS600-AR600,AS600)+AQ601,0)</x:f>
        <x:v>1420.9421864806277</x:v>
      </x:c>
      <x:c r="AT601" s="11" t="n">
        <x:f>IF(AR601&gt;0,MIN(1,AS601/AR601),1)</x:f>
        <x:v>0.35461851041204</x:v>
      </x:c>
      <x:c r="AU601" s="10" t="n">
        <x:f>AB601/INDEX(v01_RepScale,G601)</x:f>
        <x:v>82.27112504167376</x:v>
      </x:c>
      <x:c r="AV601" s="32" t="n">
        <x:f>AM601*60/v01_SeasonSeconds</x:f>
        <x:v>58.756717170648244</x:v>
      </x:c>
    </x:row>
    <x:row r="602">
      <x:c r="A602" s="8" t="n">
        <x:f>A601+1</x:f>
        <x:v>599</x:v>
      </x:c>
      <x:c r="B602" s="9" t="n">
        <x:f>A602*v01_SeasonSeconds/60</x:f>
        <x:v>149.75</x:v>
      </x:c>
      <x:c r="C602" s="9" t="n">
        <x:f>A602/4</x:f>
        <x:v>149.75</x:v>
      </x:c>
      <x:c r="D602" s="8" t="n">
        <x:f>IF(MOD(A602,4)=0,1,0)</x:f>
        <x:v>0</x:v>
      </x:c>
      <x:c r="E602" s="8" t="n">
        <x:f>IF(AND(F601&lt;=9,AS601&gt;=AR601),1,0)</x:f>
        <x:v>0</x:v>
      </x:c>
      <x:c r="F602" s="8" t="n">
        <x:f>MIN(10,F601+E602)</x:f>
        <x:v>2</x:v>
      </x:c>
      <x:c r="G602" s="8" t="n">
        <x:f>MIN(F602,9)+1</x:f>
        <x:v>3</x:v>
      </x:c>
      <x:c r="H602" s="8" t="n">
        <x:f>IF(F602&lt;=9,1,0)</x:f>
        <x:v>1</x:v>
      </x:c>
      <x:c r="I602" s="9" t="n">
        <x:f>MIN(10,F601+IF(AR601&gt;0,MIN(1,AS601/AR601),1))</x:f>
        <x:v>2.35461851041204</x:v>
      </x:c>
      <x:c r="J602" s="32" t="n">
        <x:f>INDEX(v01_FoodCap,G602)*Arch_FoodCap*EXP(v01_CapsByProject*SUMPRODUCT((Cap_Point&lt;=I602)*(Cap_Kind="Food")*Cap_Ln))</x:f>
        <x:v>60</x:v>
      </x:c>
      <x:c r="K602" s="32" t="n">
        <x:f>J602*MIN(1,v01_LeanBase*EXP(v01_CapsByProject*SUMPRODUCT((Cap_Point&lt;=I602)*(Cap_Kind="Lean")*Cap_Ln)))</x:f>
        <x:v>60</x:v>
      </x:c>
      <x:c r="L602" s="10" t="n">
        <x:f>INDEX(v01_HousingCap,G602)*EXP(v01_CapsByProject*SUMPRODUCT((Cap_Point&lt;=I602)*(Cap_Kind="Housing")*Cap_Ln))</x:f>
        <x:v>100</x:v>
      </x:c>
      <x:c r="M602" s="10" t="n">
        <x:f>INDEX(v01_GroupCap,G602)*v01_CohesionFactor*EXP(v01_CapsByProject*SUMPRODUCT((Cap_Point&lt;=I602)*(Cap_Kind="Group")*Cap_Ln))</x:f>
        <x:v>500</x:v>
      </x:c>
      <x:c r="N602" s="32" t="n">
        <x:f>MIN(J602,L602,M602)</x:f>
        <x:v>60</x:v>
      </x:c>
      <x:c r="O602" s="10" t="n">
        <x:f>AE601*N602</x:f>
        <x:v>240</x:v>
      </x:c>
      <x:c r="P602" s="9" t="n">
        <x:f>MIN(1,(AB601/(AE601*IF(v01_GroupInCrowding=1,N602,MIN(J602,L602))))^v01_CrowdingExp)</x:f>
        <x:v>0.1038477618956225</x:v>
      </x:c>
      <x:c r="Q602" s="9" t="n">
        <x:f>IF(D602=1,INDEX(v01_WinterMult,G602),1)</x:f>
        <x:v>1</x:v>
      </x:c>
      <x:c r="R602" s="9" t="n">
        <x:f>H602*Z601*v01_WomenShare*v01_BaseFertility*INDEX(v01_FertMult,G602)*Arch_Fertility*(1-P602)</x:f>
        <x:v>2.6102410935564344</x:v>
      </x:c>
      <x:c r="S602" s="9" t="n">
        <x:f>H602*Y601*INDEX(v01_MortChild,G602)/4*Q602</x:f>
        <x:v>0.6130282279509733</x:v>
      </x:c>
      <x:c r="T602" s="9" t="n">
        <x:f>H602*Z601*INDEX(v01_MortAdult,G602)*Arch_AdultMort/4*Q602</x:f>
        <x:v>0.2157570822166169</x:v>
      </x:c>
      <x:c r="U602" s="9" t="n">
        <x:f>H602*AA601*INDEX(v01_MortElder,G602)/4*Q602</x:f>
        <x:v>0.3948499409597033</x:v>
      </x:c>
      <x:c r="V602" s="9" t="n">
        <x:f>H602*MAX(0,AB601-O602)*v01_OvercapLoss</x:f>
        <x:v>0</x:v>
      </x:c>
      <x:c r="W602" s="9" t="n">
        <x:f>H602*Y601/(v01_ChildYears*4)</x:f>
        <x:v>1.251078016226476</x:v>
      </x:c>
      <x:c r="X602" s="9" t="n">
        <x:f>H602*Z601/(v01_AdultYears*4)</x:f>
        <x:v>0.579992156496282</x:v>
      </x:c>
      <x:c r="Y602" s="32" t="n">
        <x:f>Y601+R602-S602-W602-Y601*V602/AB601</x:f>
        <x:v>70.80650375806165</x:v>
      </x:c>
      <x:c r="Z602" s="32" t="n">
        <x:f>Z601+W602-X602-T602-Z601*V602/AB601</x:f>
        <x:v>72.37435618305254</x:v>
      </x:c>
      <x:c r="AA602" s="32" t="n">
        <x:f>AA601+X602-U602-AA601*V602/AB601</x:f>
        <x:v>22.74799598466248</x:v>
      </x:c>
      <x:c r="AB602" s="10" t="n">
        <x:f>Y602+Z602+AA602</x:f>
        <x:v>165.92885592577667</x:v>
      </x:c>
      <x:c r="AC602" s="8" t="n">
        <x:f>IF(AND(v01_WinterTrigger=1,D602=1,AB601/AE601&gt;=K602),1,0)</x:f>
        <x:v>0</x:v>
      </x:c>
      <x:c r="AD602" s="8" t="n">
        <x:f>H602*IF(AND(OR(AB601/AE601&gt;=v01_FissionTrigger*N602,AC602=1),AB601/AE601*v01_DaughterShare&gt;=v01_MinDaughter),MAX(1,ROUND(AE601*v01_FissionRate,0)),0)</x:f>
        <x:v>0</x:v>
      </x:c>
      <x:c r="AE602" s="8" t="n">
        <x:f>IF(H602=1,MAX(1,MIN(INDEX(v01_Smax,G602),AE601+AD602)),AE601)</x:f>
        <x:v>4</x:v>
      </x:c>
      <x:c r="AF602" s="8" t="n">
        <x:f>MAX(0,AE602-AE601)</x:f>
        <x:v>0</x:v>
      </x:c>
      <x:c r="AG602" s="9" t="str">
        <x:f>IF(AF602&gt;0,B602,"")</x:f>
      </x:c>
      <x:c r="AH602" s="9" t="n">
        <x:f>IF(F602&gt;=1,1,(1+v01_LowTiesShare*(AE602-1))/AE602)</x:f>
        <x:v>1</x:v>
      </x:c>
      <x:c r="AI602" s="32" t="n">
        <x:f>(Z602+v01_ElderCommons*INDEX(LM_Elder,G602)*AA602)*AH602</x:f>
        <x:v>140.61834413703997</x:v>
      </x:c>
      <x:c r="AJ602" s="32" t="n">
        <x:f>H602*v01_CommonsCoef*AI602^v01_CommonsExp*INDEX(LM_Commons,G602)</x:f>
        <x:v>44.19565942058476</x:v>
      </x:c>
      <x:c r="AK602" s="32" t="n">
        <x:f>H602*v01_RoleScale*Arch_Roles*(AE602*(INDEX(v01_ElderRolePerSett,G602)*v01_OutElder*INDEX(LM_Elder,G602)+INDEX(v01_ShamanPerSett,G602)*v01_OutShaman)+Z602*(INDEX(v01_PriestShare,G602)*v01_OutPriest+INDEX(v01_ScribeShare,G602)*v01_OutScribe*INDEX(LM_Scribe,G602)+INDEX(v01_ScholarShare,G602)*v01_OutScholar*INDEX(LM_Scholar,G602)+INDEX(v01_ResearcherShare,G602)*v01_OutResearcher*INDEX(LM_Researcher,G602)))</x:f>
        <x:v>12</x:v>
      </x:c>
      <x:c r="AL602" s="32" t="n">
        <x:f>H602*v01_RoleScale*Arch_Roles*AE602*INDEX(v01_MonasteryPerSett,G602)*v01_OutMonastery*INDEX(LM_Monastery,G602)</x:f>
        <x:v>0</x:v>
      </x:c>
      <x:c r="AM602" s="32" t="n">
        <x:f>(AJ602+AK602+AL602)/4*INDEX(LM_All,G602)*INDEX(v01_Boon,G602)*Arch_Insight</x:f>
        <x:v>14.760141169687964</x:v>
      </x:c>
      <x:c r="AN602" s="32" t="n">
        <x:f>H602*(v01_KHPerAdult*Z602+v01_KHOfCommons*AJ602/4*INDEX(LM_All,G602))*v01_KHUsable*Arch_KH</x:f>
        <x:v>2.533102466406839</x:v>
      </x:c>
      <x:c r="AO602" s="32" t="n">
        <x:f>MIN(AP601+AN602,AM602*v01_KHMaxRatio)</x:f>
        <x:v>2.533102466406839</x:v>
      </x:c>
      <x:c r="AP602" s="32" t="n">
        <x:f>AP601+AN602-AO602</x:f>
        <x:v>0</x:v>
      </x:c>
      <x:c r="AQ602" s="32" t="n">
        <x:f>AM602+AO602</x:f>
        <x:v>17.293243636094804</x:v>
      </x:c>
      <x:c r="AR602" s="10" t="n">
        <x:f>IF(H602=1,INDEX(v01_Req,G602),0)</x:f>
        <x:v>4006.9599999999996</x:v>
      </x:c>
      <x:c r="AS602" s="32" t="n">
        <x:f>IF(H602=1,IF(E602=1,AS601-AR601,AS601)+AQ602,0)</x:f>
        <x:v>1438.2354301167225</x:v>
      </x:c>
      <x:c r="AT602" s="11" t="n">
        <x:f>IF(AR602&gt;0,MIN(1,AS602/AR602),1)</x:f>
        <x:v>0.35893431182660235</x:v>
      </x:c>
      <x:c r="AU602" s="10" t="n">
        <x:f>AB602/INDEX(v01_RepScale,G602)</x:f>
        <x:v>82.96442796288834</x:v>
      </x:c>
      <x:c r="AV602" s="32" t="n">
        <x:f>AM602*60/v01_SeasonSeconds</x:f>
        <x:v>59.040564678751856</x:v>
      </x:c>
    </x:row>
    <x:row r="603">
      <x:c r="A603" s="8" t="n">
        <x:f>A602+1</x:f>
        <x:v>600</x:v>
      </x:c>
      <x:c r="B603" s="9" t="n">
        <x:f>A603*v01_SeasonSeconds/60</x:f>
        <x:v>150</x:v>
      </x:c>
      <x:c r="C603" s="9" t="n">
        <x:f>A603/4</x:f>
        <x:v>150</x:v>
      </x:c>
      <x:c r="D603" s="8" t="n">
        <x:f>IF(MOD(A603,4)=0,1,0)</x:f>
        <x:v>1</x:v>
      </x:c>
      <x:c r="E603" s="8" t="n">
        <x:f>IF(AND(F602&lt;=9,AS602&gt;=AR602),1,0)</x:f>
        <x:v>0</x:v>
      </x:c>
      <x:c r="F603" s="8" t="n">
        <x:f>MIN(10,F602+E603)</x:f>
        <x:v>2</x:v>
      </x:c>
      <x:c r="G603" s="8" t="n">
        <x:f>MIN(F603,9)+1</x:f>
        <x:v>3</x:v>
      </x:c>
      <x:c r="H603" s="8" t="n">
        <x:f>IF(F603&lt;=9,1,0)</x:f>
        <x:v>1</x:v>
      </x:c>
      <x:c r="I603" s="9" t="n">
        <x:f>MIN(10,F602+IF(AR602&gt;0,MIN(1,AS602/AR602),1))</x:f>
        <x:v>2.3589343118266024</x:v>
      </x:c>
      <x:c r="J603" s="32" t="n">
        <x:f>INDEX(v01_FoodCap,G603)*Arch_FoodCap*EXP(v01_CapsByProject*SUMPRODUCT((Cap_Point&lt;=I603)*(Cap_Kind="Food")*Cap_Ln))</x:f>
        <x:v>60</x:v>
      </x:c>
      <x:c r="K603" s="32" t="n">
        <x:f>J603*MIN(1,v01_LeanBase*EXP(v01_CapsByProject*SUMPRODUCT((Cap_Point&lt;=I603)*(Cap_Kind="Lean")*Cap_Ln)))</x:f>
        <x:v>60</x:v>
      </x:c>
      <x:c r="L603" s="10" t="n">
        <x:f>INDEX(v01_HousingCap,G603)*EXP(v01_CapsByProject*SUMPRODUCT((Cap_Point&lt;=I603)*(Cap_Kind="Housing")*Cap_Ln))</x:f>
        <x:v>100</x:v>
      </x:c>
      <x:c r="M603" s="10" t="n">
        <x:f>INDEX(v01_GroupCap,G603)*v01_CohesionFactor*EXP(v01_CapsByProject*SUMPRODUCT((Cap_Point&lt;=I603)*(Cap_Kind="Group")*Cap_Ln))</x:f>
        <x:v>500</x:v>
      </x:c>
      <x:c r="N603" s="32" t="n">
        <x:f>MIN(J603,L603,M603)</x:f>
        <x:v>60</x:v>
      </x:c>
      <x:c r="O603" s="10" t="n">
        <x:f>AE602*N603</x:f>
        <x:v>240</x:v>
      </x:c>
      <x:c r="P603" s="9" t="n">
        <x:f>MIN(1,(AB602/(AE602*IF(v01_GroupInCrowding=1,N603,MIN(J603,L603))))^v01_CrowdingExp)</x:f>
        <x:v>0.10921041621110804</x:v>
      </x:c>
      <x:c r="Q603" s="9" t="n">
        <x:f>IF(D603=1,INDEX(v01_WinterMult,G603),1)</x:f>
        <x:v>1.3</x:v>
      </x:c>
      <x:c r="R603" s="9" t="n">
        <x:f>H603*Z602*v01_WomenShare*v01_BaseFertility*INDEX(v01_FertMult,G603)*Arch_Fertility*(1-P603)</x:f>
        <x:v>2.611048066162261</x:v>
      </x:c>
      <x:c r="S603" s="9" t="n">
        <x:f>H603*Y602*INDEX(v01_MortChild,G603)/4*Q603</x:f>
        <x:v>0.8054239802479514</x:v>
      </x:c>
      <x:c r="T603" s="9" t="n">
        <x:f>H603*Z602*INDEX(v01_MortAdult,G603)*Arch_AdultMort/4*Q603</x:f>
        <x:v>0.28225998911390493</x:v>
      </x:c>
      <x:c r="U603" s="9" t="n">
        <x:f>H603*AA602*INDEX(v01_MortElder,G603)/4*Q603</x:f>
        <x:v>0.5175169086510715</x:v>
      </x:c>
      <x:c r="V603" s="9" t="n">
        <x:f>H603*MAX(0,AB602-O603)*v01_OvercapLoss</x:f>
        <x:v>0</x:v>
      </x:c>
      <x:c r="W603" s="9" t="n">
        <x:f>H603*Y602/(v01_ChildYears*4)</x:f>
        <x:v>1.2644018528225296</x:v>
      </x:c>
      <x:c r="X603" s="9" t="n">
        <x:f>H603*Z602/(v01_AdultYears*4)</x:f>
        <x:v>0.5836641627665528</x:v>
      </x:c>
      <x:c r="Y603" s="32" t="n">
        <x:f>Y602+R603-S603-W603-Y602*V603/AB602</x:f>
        <x:v>71.34772599115342</x:v>
      </x:c>
      <x:c r="Z603" s="32" t="n">
        <x:f>Z602+W603-X603-T603-Z602*V603/AB602</x:f>
        <x:v>72.77283388399461</x:v>
      </x:c>
      <x:c r="AA603" s="32" t="n">
        <x:f>AA602+X603-U603-AA602*V603/AB602</x:f>
        <x:v>22.814143238777962</x:v>
      </x:c>
      <x:c r="AB603" s="10" t="n">
        <x:f>Y603+Z603+AA603</x:f>
        <x:v>166.93470311392602</x:v>
      </x:c>
      <x:c r="AC603" s="8" t="n">
        <x:f>IF(AND(v01_WinterTrigger=1,D603=1,AB602/AE602&gt;=K603),1,0)</x:f>
        <x:v>0</x:v>
      </x:c>
      <x:c r="AD603" s="8" t="n">
        <x:f>H603*IF(AND(OR(AB602/AE602&gt;=v01_FissionTrigger*N603,AC603=1),AB602/AE602*v01_DaughterShare&gt;=v01_MinDaughter),MAX(1,ROUND(AE602*v01_FissionRate,0)),0)</x:f>
        <x:v>0</x:v>
      </x:c>
      <x:c r="AE603" s="8" t="n">
        <x:f>IF(H603=1,MAX(1,MIN(INDEX(v01_Smax,G603),AE602+AD603)),AE602)</x:f>
        <x:v>4</x:v>
      </x:c>
      <x:c r="AF603" s="8" t="n">
        <x:f>MAX(0,AE603-AE602)</x:f>
        <x:v>0</x:v>
      </x:c>
      <x:c r="AG603" s="9" t="str">
        <x:f>IF(AF603&gt;0,B603,"")</x:f>
      </x:c>
      <x:c r="AH603" s="9" t="n">
        <x:f>IF(F603&gt;=1,1,(1+v01_LowTiesShare*(AE603-1))/AE603)</x:f>
        <x:v>1</x:v>
      </x:c>
      <x:c r="AI603" s="32" t="n">
        <x:f>(Z603+v01_ElderCommons*INDEX(LM_Elder,G603)*AA603)*AH603</x:f>
        <x:v>141.2152636003285</x:v>
      </x:c>
      <x:c r="AJ603" s="32" t="n">
        <x:f>H603*v01_CommonsCoef*AI603^v01_CommonsExp*INDEX(LM_Commons,G603)</x:f>
        <x:v>44.35507627645885</x:v>
      </x:c>
      <x:c r="AK603" s="32" t="n">
        <x:f>H603*v01_RoleScale*Arch_Roles*(AE603*(INDEX(v01_ElderRolePerSett,G603)*v01_OutElder*INDEX(LM_Elder,G603)+INDEX(v01_ShamanPerSett,G603)*v01_OutShaman)+Z603*(INDEX(v01_PriestShare,G603)*v01_OutPriest+INDEX(v01_ScribeShare,G603)*v01_OutScribe*INDEX(LM_Scribe,G603)+INDEX(v01_ScholarShare,G603)*v01_OutScholar*INDEX(LM_Scholar,G603)+INDEX(v01_ResearcherShare,G603)*v01_OutResearcher*INDEX(LM_Researcher,G603)))</x:f>
        <x:v>12</x:v>
      </x:c>
      <x:c r="AL603" s="32" t="n">
        <x:f>H603*v01_RoleScale*Arch_Roles*AE603*INDEX(v01_MonasteryPerSett,G603)*v01_OutMonastery*INDEX(LM_Monastery,G603)</x:f>
        <x:v>0</x:v>
      </x:c>
      <x:c r="AM603" s="32" t="n">
        <x:f>(AJ603+AK603+AL603)/4*INDEX(LM_All,G603)*INDEX(v01_Boon,G603)*Arch_Insight</x:f>
        <x:v>14.802013003238644</x:v>
      </x:c>
      <x:c r="AN603" s="32" t="n">
        <x:f>H603*(v01_KHPerAdult*Z603+v01_KHOfCommons*AJ603/4*INDEX(LM_All,G603))*v01_KHUsable*Arch_KH</x:f>
        <x:v>2.547049185939811</x:v>
      </x:c>
      <x:c r="AO603" s="32" t="n">
        <x:f>MIN(AP602+AN603,AM603*v01_KHMaxRatio)</x:f>
        <x:v>2.547049185939811</x:v>
      </x:c>
      <x:c r="AP603" s="32" t="n">
        <x:f>AP602+AN603-AO603</x:f>
        <x:v>0</x:v>
      </x:c>
      <x:c r="AQ603" s="32" t="n">
        <x:f>AM603+AO603</x:f>
        <x:v>17.349062189178454</x:v>
      </x:c>
      <x:c r="AR603" s="10" t="n">
        <x:f>IF(H603=1,INDEX(v01_Req,G603),0)</x:f>
        <x:v>4006.9599999999996</x:v>
      </x:c>
      <x:c r="AS603" s="32" t="n">
        <x:f>IF(H603=1,IF(E603=1,AS602-AR602,AS602)+AQ603,0)</x:f>
        <x:v>1455.584492305901</x:v>
      </x:c>
      <x:c r="AT603" s="11" t="n">
        <x:f>IF(AR603&gt;0,MIN(1,AS603/AR603),1)</x:f>
        <x:v>0.36326404364054077</x:v>
      </x:c>
      <x:c r="AU603" s="10" t="n">
        <x:f>AB603/INDEX(v01_RepScale,G603)</x:f>
        <x:v>83.46735155696301</x:v>
      </x:c>
      <x:c r="AV603" s="32" t="n">
        <x:f>AM603*60/v01_SeasonSeconds</x:f>
        <x:v>59.208052012954575</x:v>
      </x:c>
    </x:row>
    <x:row r="604">
      <x:c r="A604" s="8" t="n">
        <x:f>A603+1</x:f>
        <x:v>601</x:v>
      </x:c>
      <x:c r="B604" s="9" t="n">
        <x:f>A604*v01_SeasonSeconds/60</x:f>
        <x:v>150.25</x:v>
      </x:c>
      <x:c r="C604" s="9" t="n">
        <x:f>A604/4</x:f>
        <x:v>150.25</x:v>
      </x:c>
      <x:c r="D604" s="8" t="n">
        <x:f>IF(MOD(A604,4)=0,1,0)</x:f>
        <x:v>0</x:v>
      </x:c>
      <x:c r="E604" s="8" t="n">
        <x:f>IF(AND(F603&lt;=9,AS603&gt;=AR603),1,0)</x:f>
        <x:v>0</x:v>
      </x:c>
      <x:c r="F604" s="8" t="n">
        <x:f>MIN(10,F603+E604)</x:f>
        <x:v>2</x:v>
      </x:c>
      <x:c r="G604" s="8" t="n">
        <x:f>MIN(F604,9)+1</x:f>
        <x:v>3</x:v>
      </x:c>
      <x:c r="H604" s="8" t="n">
        <x:f>IF(F604&lt;=9,1,0)</x:f>
        <x:v>1</x:v>
      </x:c>
      <x:c r="I604" s="9" t="n">
        <x:f>MIN(10,F603+IF(AR603&gt;0,MIN(1,AS603/AR603),1))</x:f>
        <x:v>2.363264043640541</x:v>
      </x:c>
      <x:c r="J604" s="32" t="n">
        <x:f>INDEX(v01_FoodCap,G604)*Arch_FoodCap*EXP(v01_CapsByProject*SUMPRODUCT((Cap_Point&lt;=I604)*(Cap_Kind="Food")*Cap_Ln))</x:f>
        <x:v>60</x:v>
      </x:c>
      <x:c r="K604" s="32" t="n">
        <x:f>J604*MIN(1,v01_LeanBase*EXP(v01_CapsByProject*SUMPRODUCT((Cap_Point&lt;=I604)*(Cap_Kind="Lean")*Cap_Ln)))</x:f>
        <x:v>60</x:v>
      </x:c>
      <x:c r="L604" s="10" t="n">
        <x:f>INDEX(v01_HousingCap,G604)*EXP(v01_CapsByProject*SUMPRODUCT((Cap_Point&lt;=I604)*(Cap_Kind="Housing")*Cap_Ln))</x:f>
        <x:v>100</x:v>
      </x:c>
      <x:c r="M604" s="10" t="n">
        <x:f>INDEX(v01_GroupCap,G604)*v01_CohesionFactor*EXP(v01_CapsByProject*SUMPRODUCT((Cap_Point&lt;=I604)*(Cap_Kind="Group")*Cap_Ln))</x:f>
        <x:v>500</x:v>
      </x:c>
      <x:c r="N604" s="32" t="n">
        <x:f>MIN(J604,L604,M604)</x:f>
        <x:v>60</x:v>
      </x:c>
      <x:c r="O604" s="10" t="n">
        <x:f>AE603*N604</x:f>
        <x:v>240</x:v>
      </x:c>
      <x:c r="P604" s="9" t="n">
        <x:f>MIN(1,(AB603/(AE603*IF(v01_GroupInCrowding=1,N604,MIN(J604,L604))))^v01_CrowdingExp)</x:f>
        <x:v>0.11324324986694545</x:v>
      </x:c>
      <x:c r="Q604" s="9" t="n">
        <x:f>IF(D604=1,INDEX(v01_WinterMult,G604),1)</x:f>
        <x:v>1</x:v>
      </x:c>
      <x:c r="R604" s="9" t="n">
        <x:f>H604*Z603*v01_WomenShare*v01_BaseFertility*INDEX(v01_FertMult,G604)*Arch_Fertility*(1-P604)</x:f>
        <x:v>2.61353796775422</x:v>
      </x:c>
      <x:c r="S604" s="9" t="n">
        <x:f>H604*Y603*INDEX(v01_MortChild,G604)/4*Q604</x:f>
        <x:v>0.6242926024225925</x:v>
      </x:c>
      <x:c r="T604" s="9" t="n">
        <x:f>H604*Z603*INDEX(v01_MortAdult,G604)*Arch_AdultMort/4*Q604</x:f>
        <x:v>0.21831850165198383</x:v>
      </x:c>
      <x:c r="U604" s="9" t="n">
        <x:f>H604*AA603*INDEX(v01_MortElder,G604)/4*Q604</x:f>
        <x:v>0.39924750667861436</x:v>
      </x:c>
      <x:c r="V604" s="9" t="n">
        <x:f>H604*MAX(0,AB603-O604)*v01_OvercapLoss</x:f>
        <x:v>0</x:v>
      </x:c>
      <x:c r="W604" s="9" t="n">
        <x:f>H604*Y603/(v01_ChildYears*4)</x:f>
        <x:v>1.2740665355563112</x:v>
      </x:c>
      <x:c r="X604" s="9" t="n">
        <x:f>H604*Z603/(v01_AdultYears*4)</x:f>
        <x:v>0.5868776926128597</x:v>
      </x:c>
      <x:c r="Y604" s="32" t="n">
        <x:f>Y603+R604-S604-W604-Y603*V604/AB603</x:f>
        <x:v>72.06290482092874</x:v>
      </x:c>
      <x:c r="Z604" s="32" t="n">
        <x:f>Z603+W604-X604-T604-Z603*V604/AB603</x:f>
        <x:v>73.24170422528609</x:v>
      </x:c>
      <x:c r="AA604" s="32" t="n">
        <x:f>AA603+X604-U604-AA603*V604/AB603</x:f>
        <x:v>23.00177342471221</x:v>
      </x:c>
      <x:c r="AB604" s="10" t="n">
        <x:f>Y604+Z604+AA604</x:f>
        <x:v>168.30638247092702</x:v>
      </x:c>
      <x:c r="AC604" s="8" t="n">
        <x:f>IF(AND(v01_WinterTrigger=1,D604=1,AB603/AE603&gt;=K604),1,0)</x:f>
        <x:v>0</x:v>
      </x:c>
      <x:c r="AD604" s="8" t="n">
        <x:f>H604*IF(AND(OR(AB603/AE603&gt;=v01_FissionTrigger*N604,AC604=1),AB603/AE603*v01_DaughterShare&gt;=v01_MinDaughter),MAX(1,ROUND(AE603*v01_FissionRate,0)),0)</x:f>
        <x:v>0</x:v>
      </x:c>
      <x:c r="AE604" s="8" t="n">
        <x:f>IF(H604=1,MAX(1,MIN(INDEX(v01_Smax,G604),AE603+AD604)),AE603)</x:f>
        <x:v>4</x:v>
      </x:c>
      <x:c r="AF604" s="8" t="n">
        <x:f>MAX(0,AE604-AE603)</x:f>
        <x:v>0</x:v>
      </x:c>
      <x:c r="AG604" s="9" t="str">
        <x:f>IF(AF604&gt;0,B604,"")</x:f>
      </x:c>
      <x:c r="AH604" s="9" t="n">
        <x:f>IF(F604&gt;=1,1,(1+v01_LowTiesShare*(AE604-1))/AE604)</x:f>
        <x:v>1</x:v>
      </x:c>
      <x:c r="AI604" s="32" t="n">
        <x:f>(Z604+v01_ElderCommons*INDEX(LM_Elder,G604)*AA604)*AH604</x:f>
        <x:v>142.2470244994227</x:v>
      </x:c>
      <x:c r="AJ604" s="32" t="n">
        <x:f>H604*v01_CommonsCoef*AI604^v01_CommonsExp*INDEX(LM_Commons,G604)</x:f>
        <x:v>44.63038647400332</x:v>
      </x:c>
      <x:c r="AK604" s="32" t="n">
        <x:f>H604*v01_RoleScale*Arch_Roles*(AE604*(INDEX(v01_ElderRolePerSett,G604)*v01_OutElder*INDEX(LM_Elder,G604)+INDEX(v01_ShamanPerSett,G604)*v01_OutShaman)+Z604*(INDEX(v01_PriestShare,G604)*v01_OutPriest+INDEX(v01_ScribeShare,G604)*v01_OutScribe*INDEX(LM_Scribe,G604)+INDEX(v01_ScholarShare,G604)*v01_OutScholar*INDEX(LM_Scholar,G604)+INDEX(v01_ResearcherShare,G604)*v01_OutResearcher*INDEX(LM_Researcher,G604)))</x:f>
        <x:v>12</x:v>
      </x:c>
      <x:c r="AL604" s="32" t="n">
        <x:f>H604*v01_RoleScale*Arch_Roles*AE604*INDEX(v01_MonasteryPerSett,G604)*v01_OutMonastery*INDEX(LM_Monastery,G604)</x:f>
        <x:v>0</x:v>
      </x:c>
      <x:c r="AM604" s="32" t="n">
        <x:f>(AJ604+AK604+AL604)/4*INDEX(LM_All,G604)*INDEX(v01_Boon,G604)*Arch_Insight</x:f>
        <x:v>14.874324947312434</x:v>
      </x:c>
      <x:c r="AN604" s="32" t="n">
        <x:f>H604*(v01_KHPerAdult*Z604+v01_KHOfCommons*AJ604/4*INDEX(LM_All,G604))*v01_KHUsable*Arch_KH</x:f>
        <x:v>2.563459647885013</x:v>
      </x:c>
      <x:c r="AO604" s="32" t="n">
        <x:f>MIN(AP603+AN604,AM604*v01_KHMaxRatio)</x:f>
        <x:v>2.563459647885013</x:v>
      </x:c>
      <x:c r="AP604" s="32" t="n">
        <x:f>AP603+AN604-AO604</x:f>
        <x:v>0</x:v>
      </x:c>
      <x:c r="AQ604" s="32" t="n">
        <x:f>AM604+AO604</x:f>
        <x:v>17.43778459519745</x:v>
      </x:c>
      <x:c r="AR604" s="10" t="n">
        <x:f>IF(H604=1,INDEX(v01_Req,G604),0)</x:f>
        <x:v>4006.9599999999996</x:v>
      </x:c>
      <x:c r="AS604" s="32" t="n">
        <x:f>IF(H604=1,IF(E604=1,AS603-AR603,AS603)+AQ604,0)</x:f>
        <x:v>1473.0222769010984</x:v>
      </x:c>
      <x:c r="AT604" s="11" t="n">
        <x:f>IF(AR604&gt;0,MIN(1,AS604/AR604),1)</x:f>
        <x:v>0.3676159175287746</x:v>
      </x:c>
      <x:c r="AU604" s="10" t="n">
        <x:f>AB604/INDEX(v01_RepScale,G604)</x:f>
        <x:v>84.15319123546351</x:v>
      </x:c>
      <x:c r="AV604" s="32" t="n">
        <x:f>AM604*60/v01_SeasonSeconds</x:f>
        <x:v>59.49729978924974</x:v>
      </x:c>
    </x:row>
    <x:row r="605">
      <x:c r="A605" s="8" t="n">
        <x:f>A604+1</x:f>
        <x:v>602</x:v>
      </x:c>
      <x:c r="B605" s="9" t="n">
        <x:f>A605*v01_SeasonSeconds/60</x:f>
        <x:v>150.5</x:v>
      </x:c>
      <x:c r="C605" s="9" t="n">
        <x:f>A605/4</x:f>
        <x:v>150.5</x:v>
      </x:c>
      <x:c r="D605" s="8" t="n">
        <x:f>IF(MOD(A605,4)=0,1,0)</x:f>
        <x:v>0</x:v>
      </x:c>
      <x:c r="E605" s="8" t="n">
        <x:f>IF(AND(F604&lt;=9,AS604&gt;=AR604),1,0)</x:f>
        <x:v>0</x:v>
      </x:c>
      <x:c r="F605" s="8" t="n">
        <x:f>MIN(10,F604+E605)</x:f>
        <x:v>2</x:v>
      </x:c>
      <x:c r="G605" s="8" t="n">
        <x:f>MIN(F605,9)+1</x:f>
        <x:v>3</x:v>
      </x:c>
      <x:c r="H605" s="8" t="n">
        <x:f>IF(F605&lt;=9,1,0)</x:f>
        <x:v>1</x:v>
      </x:c>
      <x:c r="I605" s="9" t="n">
        <x:f>MIN(10,F604+IF(AR604&gt;0,MIN(1,AS604/AR604),1))</x:f>
        <x:v>2.3676159175287745</x:v>
      </x:c>
      <x:c r="J605" s="32" t="n">
        <x:f>INDEX(v01_FoodCap,G605)*Arch_FoodCap*EXP(v01_CapsByProject*SUMPRODUCT((Cap_Point&lt;=I605)*(Cap_Kind="Food")*Cap_Ln))</x:f>
        <x:v>60</x:v>
      </x:c>
      <x:c r="K605" s="32" t="n">
        <x:f>J605*MIN(1,v01_LeanBase*EXP(v01_CapsByProject*SUMPRODUCT((Cap_Point&lt;=I605)*(Cap_Kind="Lean")*Cap_Ln)))</x:f>
        <x:v>60</x:v>
      </x:c>
      <x:c r="L605" s="10" t="n">
        <x:f>INDEX(v01_HousingCap,G605)*EXP(v01_CapsByProject*SUMPRODUCT((Cap_Point&lt;=I605)*(Cap_Kind="Housing")*Cap_Ln))</x:f>
        <x:v>100</x:v>
      </x:c>
      <x:c r="M605" s="10" t="n">
        <x:f>INDEX(v01_GroupCap,G605)*v01_CohesionFactor*EXP(v01_CapsByProject*SUMPRODUCT((Cap_Point&lt;=I605)*(Cap_Kind="Group")*Cap_Ln))</x:f>
        <x:v>500</x:v>
      </x:c>
      <x:c r="N605" s="32" t="n">
        <x:f>MIN(J605,L605,M605)</x:f>
        <x:v>60</x:v>
      </x:c>
      <x:c r="O605" s="10" t="n">
        <x:f>AE604*N605</x:f>
        <x:v>240</x:v>
      </x:c>
      <x:c r="P605" s="9" t="n">
        <x:f>MIN(1,(AB604/(AE604*IF(v01_GroupInCrowding=1,N605,MIN(J605,L605))))^v01_CrowdingExp)</x:f>
        <x:v>0.11894222617185653</x:v>
      </x:c>
      <x:c r="Q605" s="9" t="n">
        <x:f>IF(D605=1,INDEX(v01_WinterMult,G605),1)</x:f>
        <x:v>1</x:v>
      </x:c>
      <x:c r="R605" s="9" t="n">
        <x:f>H605*Z604*v01_WomenShare*v01_BaseFertility*INDEX(v01_FertMult,G605)*Arch_Fertility*(1-P605)</x:f>
        <x:v>2.61347200148245</x:v>
      </x:c>
      <x:c r="S605" s="9" t="n">
        <x:f>H605*Y604*INDEX(v01_MortChild,G605)/4*Q605</x:f>
        <x:v>0.6305504171831265</x:v>
      </x:c>
      <x:c r="T605" s="9" t="n">
        <x:f>H605*Z604*INDEX(v01_MortAdult,G605)*Arch_AdultMort/4*Q605</x:f>
        <x:v>0.21972511267585826</x:v>
      </x:c>
      <x:c r="U605" s="9" t="n">
        <x:f>H605*AA604*INDEX(v01_MortElder,G605)/4*Q605</x:f>
        <x:v>0.40253103493246367</x:v>
      </x:c>
      <x:c r="V605" s="9" t="n">
        <x:f>H605*MAX(0,AB604-O605)*v01_OvercapLoss</x:f>
        <x:v>0</x:v>
      </x:c>
      <x:c r="W605" s="9" t="n">
        <x:f>H605*Y604/(v01_ChildYears*4)</x:f>
        <x:v>1.2868375860880132</x:v>
      </x:c>
      <x:c r="X605" s="9" t="n">
        <x:f>H605*Z604/(v01_AdultYears*4)</x:f>
        <x:v>0.5906589050426297</x:v>
      </x:c>
      <x:c r="Y605" s="32" t="n">
        <x:f>Y604+R605-S605-W605-Y604*V605/AB604</x:f>
        <x:v>72.75898881914004</x:v>
      </x:c>
      <x:c r="Z605" s="32" t="n">
        <x:f>Z604+W605-X605-T605-Z604*V605/AB604</x:f>
        <x:v>73.7181577936556</x:v>
      </x:c>
      <x:c r="AA605" s="32" t="n">
        <x:f>AA604+X605-U605-AA604*V605/AB604</x:f>
        <x:v>23.189901294822377</x:v>
      </x:c>
      <x:c r="AB605" s="10" t="n">
        <x:f>Y605+Z605+AA605</x:f>
        <x:v>169.66704790761804</x:v>
      </x:c>
      <x:c r="AC605" s="8" t="n">
        <x:f>IF(AND(v01_WinterTrigger=1,D605=1,AB604/AE604&gt;=K605),1,0)</x:f>
        <x:v>0</x:v>
      </x:c>
      <x:c r="AD605" s="8" t="n">
        <x:f>H605*IF(AND(OR(AB604/AE604&gt;=v01_FissionTrigger*N605,AC605=1),AB604/AE604*v01_DaughterShare&gt;=v01_MinDaughter),MAX(1,ROUND(AE604*v01_FissionRate,0)),0)</x:f>
        <x:v>0</x:v>
      </x:c>
      <x:c r="AE605" s="8" t="n">
        <x:f>IF(H605=1,MAX(1,MIN(INDEX(v01_Smax,G605),AE604+AD605)),AE604)</x:f>
        <x:v>4</x:v>
      </x:c>
      <x:c r="AF605" s="8" t="n">
        <x:f>MAX(0,AE605-AE604)</x:f>
        <x:v>0</x:v>
      </x:c>
      <x:c r="AG605" s="9" t="str">
        <x:f>IF(AF605&gt;0,B605,"")</x:f>
      </x:c>
      <x:c r="AH605" s="9" t="n">
        <x:f>IF(F605&gt;=1,1,(1+v01_LowTiesShare*(AE605-1))/AE605)</x:f>
        <x:v>1</x:v>
      </x:c>
      <x:c r="AI605" s="32" t="n">
        <x:f>(Z605+v01_ElderCommons*INDEX(LM_Elder,G605)*AA605)*AH605</x:f>
        <x:v>143.28786167812274</x:v>
      </x:c>
      <x:c r="AJ605" s="32" t="n">
        <x:f>H605*v01_CommonsCoef*AI605^v01_CommonsExp*INDEX(LM_Commons,G605)</x:f>
        <x:v>44.90781521229057</x:v>
      </x:c>
      <x:c r="AK605" s="32" t="n">
        <x:f>H605*v01_RoleScale*Arch_Roles*(AE605*(INDEX(v01_ElderRolePerSett,G605)*v01_OutElder*INDEX(LM_Elder,G605)+INDEX(v01_ShamanPerSett,G605)*v01_OutShaman)+Z605*(INDEX(v01_PriestShare,G605)*v01_OutPriest+INDEX(v01_ScribeShare,G605)*v01_OutScribe*INDEX(LM_Scribe,G605)+INDEX(v01_ScholarShare,G605)*v01_OutScholar*INDEX(LM_Scholar,G605)+INDEX(v01_ResearcherShare,G605)*v01_OutResearcher*INDEX(LM_Researcher,G605)))</x:f>
        <x:v>12</x:v>
      </x:c>
      <x:c r="AL605" s="32" t="n">
        <x:f>H605*v01_RoleScale*Arch_Roles*AE605*INDEX(v01_MonasteryPerSett,G605)*v01_OutMonastery*INDEX(LM_Monastery,G605)</x:f>
        <x:v>0</x:v>
      </x:c>
      <x:c r="AM605" s="32" t="n">
        <x:f>(AJ605+AK605+AL605)/4*INDEX(LM_All,G605)*INDEX(v01_Boon,G605)*Arch_Insight</x:f>
        <x:v>14.947193339353195</x:v>
      </x:c>
      <x:c r="AN605" s="32" t="n">
        <x:f>H605*(v01_KHPerAdult*Z605+v01_KHOfCommons*AJ605/4*INDEX(LM_All,G605))*v01_KHUsable*Arch_KH</x:f>
        <x:v>2.580135522777946</x:v>
      </x:c>
      <x:c r="AO605" s="32" t="n">
        <x:f>MIN(AP604+AN605,AM605*v01_KHMaxRatio)</x:f>
        <x:v>2.580135522777946</x:v>
      </x:c>
      <x:c r="AP605" s="32" t="n">
        <x:f>AP604+AN605-AO605</x:f>
        <x:v>0</x:v>
      </x:c>
      <x:c r="AQ605" s="32" t="n">
        <x:f>AM605+AO605</x:f>
        <x:v>17.527328862131142</x:v>
      </x:c>
      <x:c r="AR605" s="10" t="n">
        <x:f>IF(H605=1,INDEX(v01_Req,G605),0)</x:f>
        <x:v>4006.9599999999996</x:v>
      </x:c>
      <x:c r="AS605" s="32" t="n">
        <x:f>IF(H605=1,IF(E605=1,AS604-AR604,AS604)+AQ605,0)</x:f>
        <x:v>1490.5496057632295</x:v>
      </x:c>
      <x:c r="AT605" s="11" t="n">
        <x:f>IF(AR605&gt;0,MIN(1,AS605/AR605),1)</x:f>
        <x:v>0.371990138599644</x:v>
      </x:c>
      <x:c r="AU605" s="10" t="n">
        <x:f>AB605/INDEX(v01_RepScale,G605)</x:f>
        <x:v>84.83352395380902</x:v>
      </x:c>
      <x:c r="AV605" s="32" t="n">
        <x:f>AM605*60/v01_SeasonSeconds</x:f>
        <x:v>59.78877335741278</x:v>
      </x:c>
    </x:row>
    <x:row r="606">
      <x:c r="A606" s="8" t="n">
        <x:f>A605+1</x:f>
        <x:v>603</x:v>
      </x:c>
      <x:c r="B606" s="9" t="n">
        <x:f>A606*v01_SeasonSeconds/60</x:f>
        <x:v>150.75</x:v>
      </x:c>
      <x:c r="C606" s="9" t="n">
        <x:f>A606/4</x:f>
        <x:v>150.75</x:v>
      </x:c>
      <x:c r="D606" s="8" t="n">
        <x:f>IF(MOD(A606,4)=0,1,0)</x:f>
        <x:v>0</x:v>
      </x:c>
      <x:c r="E606" s="8" t="n">
        <x:f>IF(AND(F605&lt;=9,AS605&gt;=AR605),1,0)</x:f>
        <x:v>0</x:v>
      </x:c>
      <x:c r="F606" s="8" t="n">
        <x:f>MIN(10,F605+E606)</x:f>
        <x:v>2</x:v>
      </x:c>
      <x:c r="G606" s="8" t="n">
        <x:f>MIN(F606,9)+1</x:f>
        <x:v>3</x:v>
      </x:c>
      <x:c r="H606" s="8" t="n">
        <x:f>IF(F606&lt;=9,1,0)</x:f>
        <x:v>1</x:v>
      </x:c>
      <x:c r="I606" s="9" t="n">
        <x:f>MIN(10,F605+IF(AR605&gt;0,MIN(1,AS605/AR605),1))</x:f>
        <x:v>2.371990138599644</x:v>
      </x:c>
      <x:c r="J606" s="32" t="n">
        <x:f>INDEX(v01_FoodCap,G606)*Arch_FoodCap*EXP(v01_CapsByProject*SUMPRODUCT((Cap_Point&lt;=I606)*(Cap_Kind="Food")*Cap_Ln))</x:f>
        <x:v>60</x:v>
      </x:c>
      <x:c r="K606" s="32" t="n">
        <x:f>J606*MIN(1,v01_LeanBase*EXP(v01_CapsByProject*SUMPRODUCT((Cap_Point&lt;=I606)*(Cap_Kind="Lean")*Cap_Ln)))</x:f>
        <x:v>60</x:v>
      </x:c>
      <x:c r="L606" s="10" t="n">
        <x:f>INDEX(v01_HousingCap,G606)*EXP(v01_CapsByProject*SUMPRODUCT((Cap_Point&lt;=I606)*(Cap_Kind="Housing")*Cap_Ln))</x:f>
        <x:v>100</x:v>
      </x:c>
      <x:c r="M606" s="10" t="n">
        <x:f>INDEX(v01_GroupCap,G606)*v01_CohesionFactor*EXP(v01_CapsByProject*SUMPRODUCT((Cap_Point&lt;=I606)*(Cap_Kind="Group")*Cap_Ln))</x:f>
        <x:v>500</x:v>
      </x:c>
      <x:c r="N606" s="32" t="n">
        <x:f>MIN(J606,L606,M606)</x:f>
        <x:v>60</x:v>
      </x:c>
      <x:c r="O606" s="10" t="n">
        <x:f>AE605*N606</x:f>
        <x:v>240</x:v>
      </x:c>
      <x:c r="P606" s="9" t="n">
        <x:f>MIN(1,(AB605/(AE605*IF(v01_GroupInCrowding=1,N606,MIN(J606,L606))))^v01_CrowdingExp)</x:f>
        <x:v>0.1248295976167411</x:v>
      </x:c>
      <x:c r="Q606" s="9" t="n">
        <x:f>IF(D606=1,INDEX(v01_WinterMult,G606),1)</x:f>
        <x:v>1</x:v>
      </x:c>
      <x:c r="R606" s="9" t="n">
        <x:f>H606*Z605*v01_WomenShare*v01_BaseFertility*INDEX(v01_FertMult,G606)*Arch_Fertility*(1-P606)</x:f>
        <x:v>2.6128959676786594</x:v>
      </x:c>
      <x:c r="S606" s="9" t="n">
        <x:f>H606*Y605*INDEX(v01_MortChild,G606)/4*Q606</x:f>
        <x:v>0.6366411521674754</x:v>
      </x:c>
      <x:c r="T606" s="9" t="n">
        <x:f>H606*Z605*INDEX(v01_MortAdult,G606)*Arch_AdultMort/4*Q606</x:f>
        <x:v>0.22115447338096683</x:v>
      </x:c>
      <x:c r="U606" s="9" t="n">
        <x:f>H606*AA605*INDEX(v01_MortElder,G606)/4*Q606</x:f>
        <x:v>0.4058232726593916</x:v>
      </x:c>
      <x:c r="V606" s="9" t="n">
        <x:f>H606*MAX(0,AB605-O606)*v01_OvercapLoss</x:f>
        <x:v>0</x:v>
      </x:c>
      <x:c r="W606" s="9" t="n">
        <x:f>H606*Y605/(v01_ChildYears*4)</x:f>
        <x:v>1.2992676574846436</x:v>
      </x:c>
      <x:c r="X606" s="9" t="n">
        <x:f>H606*Z605/(v01_AdultYears*4)</x:f>
        <x:v>0.5945012725294807</x:v>
      </x:c>
      <x:c r="Y606" s="32" t="n">
        <x:f>Y605+R606-S606-W606-Y605*V606/AB605</x:f>
        <x:v>73.43597597716658</x:v>
      </x:c>
      <x:c r="Z606" s="32" t="n">
        <x:f>Z605+W606-X606-T606-Z605*V606/AB605</x:f>
        <x:v>74.20176970522981</x:v>
      </x:c>
      <x:c r="AA606" s="32" t="n">
        <x:f>AA605+X606-U606-AA605*V606/AB605</x:f>
        <x:v>23.378579294692468</x:v>
      </x:c>
      <x:c r="AB606" s="10" t="n">
        <x:f>Y606+Z606+AA606</x:f>
        <x:v>171.01632497708883</x:v>
      </x:c>
      <x:c r="AC606" s="8" t="n">
        <x:f>IF(AND(v01_WinterTrigger=1,D606=1,AB605/AE605&gt;=K606),1,0)</x:f>
        <x:v>0</x:v>
      </x:c>
      <x:c r="AD606" s="8" t="n">
        <x:f>H606*IF(AND(OR(AB605/AE605&gt;=v01_FissionTrigger*N606,AC606=1),AB605/AE605*v01_DaughterShare&gt;=v01_MinDaughter),MAX(1,ROUND(AE605*v01_FissionRate,0)),0)</x:f>
        <x:v>0</x:v>
      </x:c>
      <x:c r="AE606" s="8" t="n">
        <x:f>IF(H606=1,MAX(1,MIN(INDEX(v01_Smax,G606),AE605+AD606)),AE605)</x:f>
        <x:v>4</x:v>
      </x:c>
      <x:c r="AF606" s="8" t="n">
        <x:f>MAX(0,AE606-AE605)</x:f>
        <x:v>0</x:v>
      </x:c>
      <x:c r="AG606" s="9" t="str">
        <x:f>IF(AF606&gt;0,B606,"")</x:f>
      </x:c>
      <x:c r="AH606" s="9" t="n">
        <x:f>IF(F606&gt;=1,1,(1+v01_LowTiesShare*(AE606-1))/AE606)</x:f>
        <x:v>1</x:v>
      </x:c>
      <x:c r="AI606" s="32" t="n">
        <x:f>(Z606+v01_ElderCommons*INDEX(LM_Elder,G606)*AA606)*AH606</x:f>
        <x:v>144.33750758930722</x:v>
      </x:c>
      <x:c r="AJ606" s="32" t="n">
        <x:f>H606*v01_CommonsCoef*AI606^v01_CommonsExp*INDEX(LM_Commons,G606)</x:f>
        <x:v>45.18728590208122</x:v>
      </x:c>
      <x:c r="AK606" s="32" t="n">
        <x:f>H606*v01_RoleScale*Arch_Roles*(AE606*(INDEX(v01_ElderRolePerSett,G606)*v01_OutElder*INDEX(LM_Elder,G606)+INDEX(v01_ShamanPerSett,G606)*v01_OutShaman)+Z606*(INDEX(v01_PriestShare,G606)*v01_OutPriest+INDEX(v01_ScribeShare,G606)*v01_OutScribe*INDEX(LM_Scribe,G606)+INDEX(v01_ScholarShare,G606)*v01_OutScholar*INDEX(LM_Scholar,G606)+INDEX(v01_ResearcherShare,G606)*v01_OutResearcher*INDEX(LM_Researcher,G606)))</x:f>
        <x:v>12</x:v>
      </x:c>
      <x:c r="AL606" s="32" t="n">
        <x:f>H606*v01_RoleScale*Arch_Roles*AE606*INDEX(v01_MonasteryPerSett,G606)*v01_OutMonastery*INDEX(LM_Monastery,G606)</x:f>
        <x:v>0</x:v>
      </x:c>
      <x:c r="AM606" s="32" t="n">
        <x:f>(AJ606+AK606+AL606)/4*INDEX(LM_All,G606)*INDEX(v01_Boon,G606)*Arch_Insight</x:f>
        <x:v>15.02059806271852</x:v>
      </x:c>
      <x:c r="AN606" s="32" t="n">
        <x:f>H606*(v01_KHPerAdult*Z606+v01_KHOfCommons*AJ606/4*INDEX(LM_All,G606))*v01_KHUsable*Arch_KH</x:f>
        <x:v>2.597061939683043</x:v>
      </x:c>
      <x:c r="AO606" s="32" t="n">
        <x:f>MIN(AP605+AN606,AM606*v01_KHMaxRatio)</x:f>
        <x:v>2.597061939683043</x:v>
      </x:c>
      <x:c r="AP606" s="32" t="n">
        <x:f>AP605+AN606-AO606</x:f>
        <x:v>0</x:v>
      </x:c>
      <x:c r="AQ606" s="32" t="n">
        <x:f>AM606+AO606</x:f>
        <x:v>17.617660002401564</x:v>
      </x:c>
      <x:c r="AR606" s="10" t="n">
        <x:f>IF(H606=1,INDEX(v01_Req,G606),0)</x:f>
        <x:v>4006.9599999999996</x:v>
      </x:c>
      <x:c r="AS606" s="32" t="n">
        <x:f>IF(H606=1,IF(E606=1,AS605-AR605,AS605)+AQ606,0)</x:f>
        <x:v>1508.167265765631</x:v>
      </x:c>
      <x:c r="AT606" s="11" t="n">
        <x:f>IF(AR606&gt;0,MIN(1,AS606/AR606),1)</x:f>
        <x:v>0.37638690322978796</x:v>
      </x:c>
      <x:c r="AU606" s="10" t="n">
        <x:f>AB606/INDEX(v01_RepScale,G606)</x:f>
        <x:v>85.50816248854441</x:v>
      </x:c>
      <x:c r="AV606" s="32" t="n">
        <x:f>AM606*60/v01_SeasonSeconds</x:f>
        <x:v>60.08239225087407</x:v>
      </x:c>
    </x:row>
    <x:row r="607">
      <x:c r="A607" s="8" t="n">
        <x:f>A606+1</x:f>
        <x:v>604</x:v>
      </x:c>
      <x:c r="B607" s="9" t="n">
        <x:f>A607*v01_SeasonSeconds/60</x:f>
        <x:v>151</x:v>
      </x:c>
      <x:c r="C607" s="9" t="n">
        <x:f>A607/4</x:f>
        <x:v>151</x:v>
      </x:c>
      <x:c r="D607" s="8" t="n">
        <x:f>IF(MOD(A607,4)=0,1,0)</x:f>
        <x:v>1</x:v>
      </x:c>
      <x:c r="E607" s="8" t="n">
        <x:f>IF(AND(F606&lt;=9,AS606&gt;=AR606),1,0)</x:f>
        <x:v>0</x:v>
      </x:c>
      <x:c r="F607" s="8" t="n">
        <x:f>MIN(10,F606+E607)</x:f>
        <x:v>2</x:v>
      </x:c>
      <x:c r="G607" s="8" t="n">
        <x:f>MIN(F607,9)+1</x:f>
        <x:v>3</x:v>
      </x:c>
      <x:c r="H607" s="8" t="n">
        <x:f>IF(F607&lt;=9,1,0)</x:f>
        <x:v>1</x:v>
      </x:c>
      <x:c r="I607" s="9" t="n">
        <x:f>MIN(10,F606+IF(AR606&gt;0,MIN(1,AS606/AR606),1))</x:f>
        <x:v>2.376386903229788</x:v>
      </x:c>
      <x:c r="J607" s="32" t="n">
        <x:f>INDEX(v01_FoodCap,G607)*Arch_FoodCap*EXP(v01_CapsByProject*SUMPRODUCT((Cap_Point&lt;=I607)*(Cap_Kind="Food")*Cap_Ln))</x:f>
        <x:v>60</x:v>
      </x:c>
      <x:c r="K607" s="32" t="n">
        <x:f>J607*MIN(1,v01_LeanBase*EXP(v01_CapsByProject*SUMPRODUCT((Cap_Point&lt;=I607)*(Cap_Kind="Lean")*Cap_Ln)))</x:f>
        <x:v>60</x:v>
      </x:c>
      <x:c r="L607" s="10" t="n">
        <x:f>INDEX(v01_HousingCap,G607)*EXP(v01_CapsByProject*SUMPRODUCT((Cap_Point&lt;=I607)*(Cap_Kind="Housing")*Cap_Ln))</x:f>
        <x:v>100</x:v>
      </x:c>
      <x:c r="M607" s="10" t="n">
        <x:f>INDEX(v01_GroupCap,G607)*v01_CohesionFactor*EXP(v01_CapsByProject*SUMPRODUCT((Cap_Point&lt;=I607)*(Cap_Kind="Group")*Cap_Ln))</x:f>
        <x:v>500</x:v>
      </x:c>
      <x:c r="N607" s="32" t="n">
        <x:f>MIN(J607,L607,M607)</x:f>
        <x:v>60</x:v>
      </x:c>
      <x:c r="O607" s="10" t="n">
        <x:f>AE606*N607</x:f>
        <x:v>240</x:v>
      </x:c>
      <x:c r="P607" s="9" t="n">
        <x:f>MIN(1,(AB606/(AE606*IF(v01_GroupInCrowding=1,N607,MIN(J607,L607))))^v01_CrowdingExp)</x:f>
        <x:v>0.13090552198942773</x:v>
      </x:c>
      <x:c r="Q607" s="9" t="n">
        <x:f>IF(D607=1,INDEX(v01_WinterMult,G607),1)</x:f>
        <x:v>1.3</x:v>
      </x:c>
      <x:c r="R607" s="9" t="n">
        <x:f>H607*Z606*v01_WomenShare*v01_BaseFertility*INDEX(v01_FertMult,G607)*Arch_Fertility*(1-P607)</x:f>
        <x:v>2.6117781065318098</x:v>
      </x:c>
      <x:c r="S607" s="9" t="n">
        <x:f>H607*Y606*INDEX(v01_MortChild,G607)/4*Q607</x:f>
        <x:v>0.8353342267402699</x:v>
      </x:c>
      <x:c r="T607" s="9" t="n">
        <x:f>H607*Z606*INDEX(v01_MortAdult,G607)*Arch_AdultMort/4*Q607</x:f>
        <x:v>0.2893869018503963</x:v>
      </x:c>
      <x:c r="U607" s="9" t="n">
        <x:f>H607*AA606*INDEX(v01_MortElder,G607)/4*Q607</x:f>
        <x:v>0.5318626789542537</x:v>
      </x:c>
      <x:c r="V607" s="9" t="n">
        <x:f>H607*MAX(0,AB606-O607)*v01_OvercapLoss</x:f>
        <x:v>0</x:v>
      </x:c>
      <x:c r="W607" s="9" t="n">
        <x:f>H607*Y606/(v01_ChildYears*4)</x:f>
        <x:v>1.3113567138779747</x:v>
      </x:c>
      <x:c r="X607" s="9" t="n">
        <x:f>H607*Z606/(v01_AdultYears*4)</x:f>
        <x:v>0.5984013685905629</x:v>
      </x:c>
      <x:c r="Y607" s="32" t="n">
        <x:f>Y606+R607-S607-W607-Y606*V607/AB606</x:f>
        <x:v>73.90106314308015</x:v>
      </x:c>
      <x:c r="Z607" s="32" t="n">
        <x:f>Z606+W607-X607-T607-Z606*V607/AB606</x:f>
        <x:v>74.62533814866683</x:v>
      </x:c>
      <x:c r="AA607" s="32" t="n">
        <x:f>AA606+X607-U607-AA606*V607/AB606</x:f>
        <x:v>23.445117984328775</x:v>
      </x:c>
      <x:c r="AB607" s="10" t="n">
        <x:f>Y607+Z607+AA607</x:f>
        <x:v>171.97151927607575</x:v>
      </x:c>
      <x:c r="AC607" s="8" t="n">
        <x:f>IF(AND(v01_WinterTrigger=1,D607=1,AB606/AE606&gt;=K607),1,0)</x:f>
        <x:v>0</x:v>
      </x:c>
      <x:c r="AD607" s="8" t="n">
        <x:f>H607*IF(AND(OR(AB606/AE606&gt;=v01_FissionTrigger*N607,AC607=1),AB606/AE606*v01_DaughterShare&gt;=v01_MinDaughter),MAX(1,ROUND(AE606*v01_FissionRate,0)),0)</x:f>
        <x:v>0</x:v>
      </x:c>
      <x:c r="AE607" s="8" t="n">
        <x:f>IF(H607=1,MAX(1,MIN(INDEX(v01_Smax,G607),AE606+AD607)),AE606)</x:f>
        <x:v>4</x:v>
      </x:c>
      <x:c r="AF607" s="8" t="n">
        <x:f>MAX(0,AE607-AE606)</x:f>
        <x:v>0</x:v>
      </x:c>
      <x:c r="AG607" s="9" t="str">
        <x:f>IF(AF607&gt;0,B607,"")</x:f>
      </x:c>
      <x:c r="AH607" s="9" t="n">
        <x:f>IF(F607&gt;=1,1,(1+v01_LowTiesShare*(AE607-1))/AE607)</x:f>
        <x:v>1</x:v>
      </x:c>
      <x:c r="AI607" s="32" t="n">
        <x:f>(Z607+v01_ElderCommons*INDEX(LM_Elder,G607)*AA607)*AH607</x:f>
        <x:v>144.96069210165314</x:v>
      </x:c>
      <x:c r="AJ607" s="32" t="n">
        <x:f>H607*v01_CommonsCoef*AI607^v01_CommonsExp*INDEX(LM_Commons,G607)</x:f>
        <x:v>45.35306593075283</x:v>
      </x:c>
      <x:c r="AK607" s="32" t="n">
        <x:f>H607*v01_RoleScale*Arch_Roles*(AE607*(INDEX(v01_ElderRolePerSett,G607)*v01_OutElder*INDEX(LM_Elder,G607)+INDEX(v01_ShamanPerSett,G607)*v01_OutShaman)+Z607*(INDEX(v01_PriestShare,G607)*v01_OutPriest+INDEX(v01_ScribeShare,G607)*v01_OutScribe*INDEX(LM_Scribe,G607)+INDEX(v01_ScholarShare,G607)*v01_OutScholar*INDEX(LM_Scholar,G607)+INDEX(v01_ResearcherShare,G607)*v01_OutResearcher*INDEX(LM_Researcher,G607)))</x:f>
        <x:v>12</x:v>
      </x:c>
      <x:c r="AL607" s="32" t="n">
        <x:f>H607*v01_RoleScale*Arch_Roles*AE607*INDEX(v01_MonasteryPerSett,G607)*v01_OutMonastery*INDEX(LM_Monastery,G607)</x:f>
        <x:v>0</x:v>
      </x:c>
      <x:c r="AM607" s="32" t="n">
        <x:f>(AJ607+AK607+AL607)/4*INDEX(LM_All,G607)*INDEX(v01_Boon,G607)*Arch_Insight</x:f>
        <x:v>15.064141223374296</x:v>
      </x:c>
      <x:c r="AN607" s="32" t="n">
        <x:f>H607*(v01_KHPerAdult*Z607+v01_KHOfCommons*AJ607/4*INDEX(LM_All,G607))*v01_KHUsable*Arch_KH</x:f>
        <x:v>2.611886835203339</x:v>
      </x:c>
      <x:c r="AO607" s="32" t="n">
        <x:f>MIN(AP606+AN607,AM607*v01_KHMaxRatio)</x:f>
        <x:v>2.611886835203339</x:v>
      </x:c>
      <x:c r="AP607" s="32" t="n">
        <x:f>AP606+AN607-AO607</x:f>
        <x:v>0</x:v>
      </x:c>
      <x:c r="AQ607" s="32" t="n">
        <x:f>AM607+AO607</x:f>
        <x:v>17.676028058577636</x:v>
      </x:c>
      <x:c r="AR607" s="10" t="n">
        <x:f>IF(H607=1,INDEX(v01_Req,G607),0)</x:f>
        <x:v>4006.9599999999996</x:v>
      </x:c>
      <x:c r="AS607" s="32" t="n">
        <x:f>IF(H607=1,IF(E607=1,AS606-AR606,AS606)+AQ607,0)</x:f>
        <x:v>1525.8432938242088</x:v>
      </x:c>
      <x:c r="AT607" s="11" t="n">
        <x:f>IF(AR607&gt;0,MIN(1,AS607/AR607),1)</x:f>
        <x:v>0.38079823452797357</x:v>
      </x:c>
      <x:c r="AU607" s="10" t="n">
        <x:f>AB607/INDEX(v01_RepScale,G607)</x:f>
        <x:v>85.98575963803788</x:v>
      </x:c>
      <x:c r="AV607" s="32" t="n">
        <x:f>AM607*60/v01_SeasonSeconds</x:f>
        <x:v>60.256564893497185</x:v>
      </x:c>
    </x:row>
    <x:row r="608">
      <x:c r="A608" s="8" t="n">
        <x:f>A607+1</x:f>
        <x:v>605</x:v>
      </x:c>
      <x:c r="B608" s="9" t="n">
        <x:f>A608*v01_SeasonSeconds/60</x:f>
        <x:v>151.25</x:v>
      </x:c>
      <x:c r="C608" s="9" t="n">
        <x:f>A608/4</x:f>
        <x:v>151.25</x:v>
      </x:c>
      <x:c r="D608" s="8" t="n">
        <x:f>IF(MOD(A608,4)=0,1,0)</x:f>
        <x:v>0</x:v>
      </x:c>
      <x:c r="E608" s="8" t="n">
        <x:f>IF(AND(F607&lt;=9,AS607&gt;=AR607),1,0)</x:f>
        <x:v>0</x:v>
      </x:c>
      <x:c r="F608" s="8" t="n">
        <x:f>MIN(10,F607+E608)</x:f>
        <x:v>2</x:v>
      </x:c>
      <x:c r="G608" s="8" t="n">
        <x:f>MIN(F608,9)+1</x:f>
        <x:v>3</x:v>
      </x:c>
      <x:c r="H608" s="8" t="n">
        <x:f>IF(F608&lt;=9,1,0)</x:f>
        <x:v>1</x:v>
      </x:c>
      <x:c r="I608" s="9" t="n">
        <x:f>MIN(10,F607+IF(AR607&gt;0,MIN(1,AS607/AR607),1))</x:f>
        <x:v>2.3807982345279735</x:v>
      </x:c>
      <x:c r="J608" s="32" t="n">
        <x:f>INDEX(v01_FoodCap,G608)*Arch_FoodCap*EXP(v01_CapsByProject*SUMPRODUCT((Cap_Point&lt;=I608)*(Cap_Kind="Food")*Cap_Ln))</x:f>
        <x:v>60</x:v>
      </x:c>
      <x:c r="K608" s="32" t="n">
        <x:f>J608*MIN(1,v01_LeanBase*EXP(v01_CapsByProject*SUMPRODUCT((Cap_Point&lt;=I608)*(Cap_Kind="Lean")*Cap_Ln)))</x:f>
        <x:v>60</x:v>
      </x:c>
      <x:c r="L608" s="10" t="n">
        <x:f>INDEX(v01_HousingCap,G608)*EXP(v01_CapsByProject*SUMPRODUCT((Cap_Point&lt;=I608)*(Cap_Kind="Housing")*Cap_Ln))</x:f>
        <x:v>100</x:v>
      </x:c>
      <x:c r="M608" s="10" t="n">
        <x:f>INDEX(v01_GroupCap,G608)*v01_CohesionFactor*EXP(v01_CapsByProject*SUMPRODUCT((Cap_Point&lt;=I608)*(Cap_Kind="Group")*Cap_Ln))</x:f>
        <x:v>500</x:v>
      </x:c>
      <x:c r="N608" s="32" t="n">
        <x:f>MIN(J608,L608,M608)</x:f>
        <x:v>60</x:v>
      </x:c>
      <x:c r="O608" s="10" t="n">
        <x:f>AE607*N608</x:f>
        <x:v>240</x:v>
      </x:c>
      <x:c r="P608" s="9" t="n">
        <x:f>MIN(1,(AB607/(AE607*IF(v01_GroupInCrowding=1,N608,MIN(J608,L608))))^v01_CrowdingExp)</x:f>
        <x:v>0.1353541942719007</x:v>
      </x:c>
      <x:c r="Q608" s="9" t="n">
        <x:f>IF(D608=1,INDEX(v01_WinterMult,G608),1)</x:f>
        <x:v>1</x:v>
      </x:c>
      <x:c r="R608" s="9" t="n">
        <x:f>H608*Z607*v01_WomenShare*v01_BaseFertility*INDEX(v01_FertMult,G608)*Arch_Fertility*(1-P608)</x:f>
        <x:v>2.613241668067079</x:v>
      </x:c>
      <x:c r="S608" s="9" t="n">
        <x:f>H608*Y607*INDEX(v01_MortChild,G608)/4*Q608</x:f>
        <x:v>0.6466343025019514</x:v>
      </x:c>
      <x:c r="T608" s="9" t="n">
        <x:f>H608*Z607*INDEX(v01_MortAdult,G608)*Arch_AdultMort/4*Q608</x:f>
        <x:v>0.2238760144460005</x:v>
      </x:c>
      <x:c r="U608" s="9" t="n">
        <x:f>H608*AA607*INDEX(v01_MortElder,G608)/4*Q608</x:f>
        <x:v>0.4102895647257536</x:v>
      </x:c>
      <x:c r="V608" s="9" t="n">
        <x:f>H608*MAX(0,AB607-O608)*v01_OvercapLoss</x:f>
        <x:v>0</x:v>
      </x:c>
      <x:c r="W608" s="9" t="n">
        <x:f>H608*Y607/(v01_ChildYears*4)</x:f>
        <x:v>1.3196618418407169</x:v>
      </x:c>
      <x:c r="X608" s="9" t="n">
        <x:f>H608*Z607/(v01_AdultYears*4)</x:f>
        <x:v>0.6018172431344099</x:v>
      </x:c>
      <x:c r="Y608" s="32" t="n">
        <x:f>Y607+R608-S608-W608-Y607*V608/AB607</x:f>
        <x:v>74.54800866680456</x:v>
      </x:c>
      <x:c r="Z608" s="32" t="n">
        <x:f>Z607+W608-X608-T608-Z607*V608/AB607</x:f>
        <x:v>75.11930673292713</x:v>
      </x:c>
      <x:c r="AA608" s="32" t="n">
        <x:f>AA607+X608-U608-AA607*V608/AB607</x:f>
        <x:v>23.63664566273743</x:v>
      </x:c>
      <x:c r="AB608" s="10" t="n">
        <x:f>Y608+Z608+AA608</x:f>
        <x:v>173.30396106246914</x:v>
      </x:c>
      <x:c r="AC608" s="8" t="n">
        <x:f>IF(AND(v01_WinterTrigger=1,D608=1,AB607/AE607&gt;=K608),1,0)</x:f>
        <x:v>0</x:v>
      </x:c>
      <x:c r="AD608" s="8" t="n">
        <x:f>H608*IF(AND(OR(AB607/AE607&gt;=v01_FissionTrigger*N608,AC608=1),AB607/AE607*v01_DaughterShare&gt;=v01_MinDaughter),MAX(1,ROUND(AE607*v01_FissionRate,0)),0)</x:f>
        <x:v>0</x:v>
      </x:c>
      <x:c r="AE608" s="8" t="n">
        <x:f>IF(H608=1,MAX(1,MIN(INDEX(v01_Smax,G608),AE607+AD608)),AE607)</x:f>
        <x:v>4</x:v>
      </x:c>
      <x:c r="AF608" s="8" t="n">
        <x:f>MAX(0,AE608-AE607)</x:f>
        <x:v>0</x:v>
      </x:c>
      <x:c r="AG608" s="9" t="str">
        <x:f>IF(AF608&gt;0,B608,"")</x:f>
      </x:c>
      <x:c r="AH608" s="9" t="n">
        <x:f>IF(F608&gt;=1,1,(1+v01_LowTiesShare*(AE608-1))/AE608)</x:f>
        <x:v>1</x:v>
      </x:c>
      <x:c r="AI608" s="32" t="n">
        <x:f>(Z608+v01_ElderCommons*INDEX(LM_Elder,G608)*AA608)*AH608</x:f>
        <x:v>146.0292437211394</x:v>
      </x:c>
      <x:c r="AJ608" s="32" t="n">
        <x:f>H608*v01_CommonsCoef*AI608^v01_CommonsExp*INDEX(LM_Commons,G608)</x:f>
        <x:v>45.63707443233665</x:v>
      </x:c>
      <x:c r="AK608" s="32" t="n">
        <x:f>H608*v01_RoleScale*Arch_Roles*(AE608*(INDEX(v01_ElderRolePerSett,G608)*v01_OutElder*INDEX(LM_Elder,G608)+INDEX(v01_ShamanPerSett,G608)*v01_OutShaman)+Z608*(INDEX(v01_PriestShare,G608)*v01_OutPriest+INDEX(v01_ScribeShare,G608)*v01_OutScribe*INDEX(LM_Scribe,G608)+INDEX(v01_ScholarShare,G608)*v01_OutScholar*INDEX(LM_Scholar,G608)+INDEX(v01_ResearcherShare,G608)*v01_OutResearcher*INDEX(LM_Researcher,G608)))</x:f>
        <x:v>12</x:v>
      </x:c>
      <x:c r="AL608" s="32" t="n">
        <x:f>H608*v01_RoleScale*Arch_Roles*AE608*INDEX(v01_MonasteryPerSett,G608)*v01_OutMonastery*INDEX(LM_Monastery,G608)</x:f>
        <x:v>0</x:v>
      </x:c>
      <x:c r="AM608" s="32" t="n">
        <x:f>(AJ608+AK608+AL608)/4*INDEX(LM_All,G608)*INDEX(v01_Boon,G608)*Arch_Insight</x:f>
        <x:v>15.138737831368422</x:v>
      </x:c>
      <x:c r="AN608" s="32" t="n">
        <x:f>H608*(v01_KHPerAdult*Z608+v01_KHOfCommons*AJ608/4*INDEX(LM_All,G608))*v01_KHUsable*Arch_KH</x:f>
        <x:v>2.6291757356524497</x:v>
      </x:c>
      <x:c r="AO608" s="32" t="n">
        <x:f>MIN(AP607+AN608,AM608*v01_KHMaxRatio)</x:f>
        <x:v>2.6291757356524497</x:v>
      </x:c>
      <x:c r="AP608" s="32" t="n">
        <x:f>AP607+AN608-AO608</x:f>
        <x:v>0</x:v>
      </x:c>
      <x:c r="AQ608" s="32" t="n">
        <x:f>AM608+AO608</x:f>
        <x:v>17.767913567020873</x:v>
      </x:c>
      <x:c r="AR608" s="10" t="n">
        <x:f>IF(H608=1,INDEX(v01_Req,G608),0)</x:f>
        <x:v>4006.9599999999996</x:v>
      </x:c>
      <x:c r="AS608" s="32" t="n">
        <x:f>IF(H608=1,IF(E608=1,AS607-AR607,AS607)+AQ608,0)</x:f>
        <x:v>1543.6112073912298</x:v>
      </x:c>
      <x:c r="AT608" s="11" t="n">
        <x:f>IF(AR608&gt;0,MIN(1,AS608/AR608),1)</x:f>
        <x:v>0.38523249730250114</x:v>
      </x:c>
      <x:c r="AU608" s="10" t="n">
        <x:f>AB608/INDEX(v01_RepScale,G608)</x:f>
        <x:v>86.65198053123457</x:v>
      </x:c>
      <x:c r="AV608" s="32" t="n">
        <x:f>AM608*60/v01_SeasonSeconds</x:f>
        <x:v>60.55495132547369</x:v>
      </x:c>
    </x:row>
    <x:row r="609">
      <x:c r="A609" s="8" t="n">
        <x:f>A608+1</x:f>
        <x:v>606</x:v>
      </x:c>
      <x:c r="B609" s="9" t="n">
        <x:f>A609*v01_SeasonSeconds/60</x:f>
        <x:v>151.5</x:v>
      </x:c>
      <x:c r="C609" s="9" t="n">
        <x:f>A609/4</x:f>
        <x:v>151.5</x:v>
      </x:c>
      <x:c r="D609" s="8" t="n">
        <x:f>IF(MOD(A609,4)=0,1,0)</x:f>
        <x:v>0</x:v>
      </x:c>
      <x:c r="E609" s="8" t="n">
        <x:f>IF(AND(F608&lt;=9,AS608&gt;=AR608),1,0)</x:f>
        <x:v>0</x:v>
      </x:c>
      <x:c r="F609" s="8" t="n">
        <x:f>MIN(10,F608+E609)</x:f>
        <x:v>2</x:v>
      </x:c>
      <x:c r="G609" s="8" t="n">
        <x:f>MIN(F609,9)+1</x:f>
        <x:v>3</x:v>
      </x:c>
      <x:c r="H609" s="8" t="n">
        <x:f>IF(F609&lt;=9,1,0)</x:f>
        <x:v>1</x:v>
      </x:c>
      <x:c r="I609" s="9" t="n">
        <x:f>MIN(10,F608+IF(AR608&gt;0,MIN(1,AS608/AR608),1))</x:f>
        <x:v>2.385232497302501</x:v>
      </x:c>
      <x:c r="J609" s="32" t="n">
        <x:f>INDEX(v01_FoodCap,G609)*Arch_FoodCap*EXP(v01_CapsByProject*SUMPRODUCT((Cap_Point&lt;=I609)*(Cap_Kind="Food")*Cap_Ln))</x:f>
        <x:v>60</x:v>
      </x:c>
      <x:c r="K609" s="32" t="n">
        <x:f>J609*MIN(1,v01_LeanBase*EXP(v01_CapsByProject*SUMPRODUCT((Cap_Point&lt;=I609)*(Cap_Kind="Lean")*Cap_Ln)))</x:f>
        <x:v>60</x:v>
      </x:c>
      <x:c r="L609" s="10" t="n">
        <x:f>INDEX(v01_HousingCap,G609)*EXP(v01_CapsByProject*SUMPRODUCT((Cap_Point&lt;=I609)*(Cap_Kind="Housing")*Cap_Ln))</x:f>
        <x:v>100</x:v>
      </x:c>
      <x:c r="M609" s="10" t="n">
        <x:f>INDEX(v01_GroupCap,G609)*v01_CohesionFactor*EXP(v01_CapsByProject*SUMPRODUCT((Cap_Point&lt;=I609)*(Cap_Kind="Group")*Cap_Ln))</x:f>
        <x:v>500</x:v>
      </x:c>
      <x:c r="N609" s="32" t="n">
        <x:f>MIN(J609,L609,M609)</x:f>
        <x:v>60</x:v>
      </x:c>
      <x:c r="O609" s="10" t="n">
        <x:f>AE608*N609</x:f>
        <x:v>240</x:v>
      </x:c>
      <x:c r="P609" s="9" t="n">
        <x:f>MIN(1,(AB608/(AE608*IF(v01_GroupInCrowding=1,N609,MIN(J609,L609))))^v01_CrowdingExp)</x:f>
        <x:v>0.1417697209454093</x:v>
      </x:c>
      <x:c r="Q609" s="9" t="n">
        <x:f>IF(D609=1,INDEX(v01_WinterMult,G609),1)</x:f>
        <x:v>1</x:v>
      </x:c>
      <x:c r="R609" s="9" t="n">
        <x:f>H609*Z608*v01_WomenShare*v01_BaseFertility*INDEX(v01_FertMult,G609)*Arch_Fertility*(1-P609)</x:f>
        <x:v>2.6110213749813918</x:v>
      </x:c>
      <x:c r="S609" s="9" t="n">
        <x:f>H609*Y608*INDEX(v01_MortChild,G609)/4*Q609</x:f>
        <x:v>0.6522950758345399</x:v>
      </x:c>
      <x:c r="T609" s="9" t="n">
        <x:f>H609*Z608*INDEX(v01_MortAdult,G609)*Arch_AdultMort/4*Q609</x:f>
        <x:v>0.2253579201987814</x:v>
      </x:c>
      <x:c r="U609" s="9" t="n">
        <x:f>H609*AA608*INDEX(v01_MortElder,G609)/4*Q609</x:f>
        <x:v>0.41364129909790504</x:v>
      </x:c>
      <x:c r="V609" s="9" t="n">
        <x:f>H609*MAX(0,AB608-O609)*v01_OvercapLoss</x:f>
        <x:v>0</x:v>
      </x:c>
      <x:c r="W609" s="9" t="n">
        <x:f>H609*Y608/(v01_ChildYears*4)</x:f>
        <x:v>1.331214440478653</x:v>
      </x:c>
      <x:c r="X609" s="9" t="n">
        <x:f>H609*Z608/(v01_AdultYears*4)</x:f>
        <x:v>0.6058008607494123</x:v>
      </x:c>
      <x:c r="Y609" s="32" t="n">
        <x:f>Y608+R609-S609-W609-Y608*V609/AB608</x:f>
        <x:v>75.17552052547276</x:v>
      </x:c>
      <x:c r="Z609" s="32" t="n">
        <x:f>Z608+W609-X609-T609-Z608*V609/AB608</x:f>
        <x:v>75.61936239245759</x:v>
      </x:c>
      <x:c r="AA609" s="32" t="n">
        <x:f>AA608+X609-U609-AA608*V609/AB608</x:f>
        <x:v>23.828805224388937</x:v>
      </x:c>
      <x:c r="AB609" s="10" t="n">
        <x:f>Y609+Z609+AA609</x:f>
        <x:v>174.62368814231928</x:v>
      </x:c>
      <x:c r="AC609" s="8" t="n">
        <x:f>IF(AND(v01_WinterTrigger=1,D609=1,AB608/AE608&gt;=K609),1,0)</x:f>
        <x:v>0</x:v>
      </x:c>
      <x:c r="AD609" s="8" t="n">
        <x:f>H609*IF(AND(OR(AB608/AE608&gt;=v01_FissionTrigger*N609,AC609=1),AB608/AE608*v01_DaughterShare&gt;=v01_MinDaughter),MAX(1,ROUND(AE608*v01_FissionRate,0)),0)</x:f>
        <x:v>0</x:v>
      </x:c>
      <x:c r="AE609" s="8" t="n">
        <x:f>IF(H609=1,MAX(1,MIN(INDEX(v01_Smax,G609),AE608+AD609)),AE608)</x:f>
        <x:v>4</x:v>
      </x:c>
      <x:c r="AF609" s="8" t="n">
        <x:f>MAX(0,AE609-AE608)</x:f>
        <x:v>0</x:v>
      </x:c>
      <x:c r="AG609" s="9" t="str">
        <x:f>IF(AF609&gt;0,B609,"")</x:f>
      </x:c>
      <x:c r="AH609" s="9" t="n">
        <x:f>IF(F609&gt;=1,1,(1+v01_LowTiesShare*(AE609-1))/AE609)</x:f>
        <x:v>1</x:v>
      </x:c>
      <x:c r="AI609" s="32" t="n">
        <x:f>(Z609+v01_ElderCommons*INDEX(LM_Elder,G609)*AA609)*AH609</x:f>
        <x:v>147.1057780656244</x:v>
      </x:c>
      <x:c r="AJ609" s="32" t="n">
        <x:f>H609*v01_CommonsCoef*AI609^v01_CommonsExp*INDEX(LM_Commons,G609)</x:f>
        <x:v>45.92288959351729</x:v>
      </x:c>
      <x:c r="AK609" s="32" t="n">
        <x:f>H609*v01_RoleScale*Arch_Roles*(AE609*(INDEX(v01_ElderRolePerSett,G609)*v01_OutElder*INDEX(LM_Elder,G609)+INDEX(v01_ShamanPerSett,G609)*v01_OutShaman)+Z609*(INDEX(v01_PriestShare,G609)*v01_OutPriest+INDEX(v01_ScribeShare,G609)*v01_OutScribe*INDEX(LM_Scribe,G609)+INDEX(v01_ScholarShare,G609)*v01_OutScholar*INDEX(LM_Scholar,G609)+INDEX(v01_ResearcherShare,G609)*v01_OutResearcher*INDEX(LM_Researcher,G609)))</x:f>
        <x:v>12</x:v>
      </x:c>
      <x:c r="AL609" s="32" t="n">
        <x:f>H609*v01_RoleScale*Arch_Roles*AE609*INDEX(v01_MonasteryPerSett,G609)*v01_OutMonastery*INDEX(LM_Monastery,G609)</x:f>
        <x:v>0</x:v>
      </x:c>
      <x:c r="AM609" s="32" t="n">
        <x:f>(AJ609+AK609+AL609)/4*INDEX(LM_All,G609)*INDEX(v01_Boon,G609)*Arch_Insight</x:f>
        <x:v>15.213808969797274</x:v>
      </x:c>
      <x:c r="AN609" s="32" t="n">
        <x:f>H609*(v01_KHPerAdult*Z609+v01_KHOfCommons*AJ609/4*INDEX(LM_All,G609))*v01_KHUsable*Arch_KH</x:f>
        <x:v>2.6466776837360158</x:v>
      </x:c>
      <x:c r="AO609" s="32" t="n">
        <x:f>MIN(AP608+AN609,AM609*v01_KHMaxRatio)</x:f>
        <x:v>2.6466776837360158</x:v>
      </x:c>
      <x:c r="AP609" s="32" t="n">
        <x:f>AP608+AN609-AO609</x:f>
        <x:v>0</x:v>
      </x:c>
      <x:c r="AQ609" s="32" t="n">
        <x:f>AM609+AO609</x:f>
        <x:v>17.86048665353329</x:v>
      </x:c>
      <x:c r="AR609" s="10" t="n">
        <x:f>IF(H609=1,INDEX(v01_Req,G609),0)</x:f>
        <x:v>4006.9599999999996</x:v>
      </x:c>
      <x:c r="AS609" s="32" t="n">
        <x:f>IF(H609=1,IF(E609=1,AS608-AR608,AS608)+AQ609,0)</x:f>
        <x:v>1561.4716940447631</x:v>
      </x:c>
      <x:c r="AT609" s="11" t="n">
        <x:f>IF(AR609&gt;0,MIN(1,AS609/AR609),1)</x:f>
        <x:v>0.38968986314931103</x:v>
      </x:c>
      <x:c r="AU609" s="10" t="n">
        <x:f>AB609/INDEX(v01_RepScale,G609)</x:f>
        <x:v>87.31184407115964</x:v>
      </x:c>
      <x:c r="AV609" s="32" t="n">
        <x:f>AM609*60/v01_SeasonSeconds</x:f>
        <x:v>60.855235879189095</x:v>
      </x:c>
    </x:row>
    <x:row r="610">
      <x:c r="A610" s="8" t="n">
        <x:f>A609+1</x:f>
        <x:v>607</x:v>
      </x:c>
      <x:c r="B610" s="9" t="n">
        <x:f>A610*v01_SeasonSeconds/60</x:f>
        <x:v>151.75</x:v>
      </x:c>
      <x:c r="C610" s="9" t="n">
        <x:f>A610/4</x:f>
        <x:v>151.75</x:v>
      </x:c>
      <x:c r="D610" s="8" t="n">
        <x:f>IF(MOD(A610,4)=0,1,0)</x:f>
        <x:v>0</x:v>
      </x:c>
      <x:c r="E610" s="8" t="n">
        <x:f>IF(AND(F609&lt;=9,AS609&gt;=AR609),1,0)</x:f>
        <x:v>0</x:v>
      </x:c>
      <x:c r="F610" s="8" t="n">
        <x:f>MIN(10,F609+E610)</x:f>
        <x:v>2</x:v>
      </x:c>
      <x:c r="G610" s="8" t="n">
        <x:f>MIN(F610,9)+1</x:f>
        <x:v>3</x:v>
      </x:c>
      <x:c r="H610" s="8" t="n">
        <x:f>IF(F610&lt;=9,1,0)</x:f>
        <x:v>1</x:v>
      </x:c>
      <x:c r="I610" s="9" t="n">
        <x:f>MIN(10,F609+IF(AR609&gt;0,MIN(1,AS609/AR609),1))</x:f>
        <x:v>2.389689863149311</x:v>
      </x:c>
      <x:c r="J610" s="32" t="n">
        <x:f>INDEX(v01_FoodCap,G610)*Arch_FoodCap*EXP(v01_CapsByProject*SUMPRODUCT((Cap_Point&lt;=I610)*(Cap_Kind="Food")*Cap_Ln))</x:f>
        <x:v>60</x:v>
      </x:c>
      <x:c r="K610" s="32" t="n">
        <x:f>J610*MIN(1,v01_LeanBase*EXP(v01_CapsByProject*SUMPRODUCT((Cap_Point&lt;=I610)*(Cap_Kind="Lean")*Cap_Ln)))</x:f>
        <x:v>60</x:v>
      </x:c>
      <x:c r="L610" s="10" t="n">
        <x:f>INDEX(v01_HousingCap,G610)*EXP(v01_CapsByProject*SUMPRODUCT((Cap_Point&lt;=I610)*(Cap_Kind="Housing")*Cap_Ln))</x:f>
        <x:v>100</x:v>
      </x:c>
      <x:c r="M610" s="10" t="n">
        <x:f>INDEX(v01_GroupCap,G610)*v01_CohesionFactor*EXP(v01_CapsByProject*SUMPRODUCT((Cap_Point&lt;=I610)*(Cap_Kind="Group")*Cap_Ln))</x:f>
        <x:v>500</x:v>
      </x:c>
      <x:c r="N610" s="32" t="n">
        <x:f>MIN(J610,L610,M610)</x:f>
        <x:v>60</x:v>
      </x:c>
      <x:c r="O610" s="10" t="n">
        <x:f>AE609*N610</x:f>
        <x:v>240</x:v>
      </x:c>
      <x:c r="P610" s="9" t="n">
        <x:f>MIN(1,(AB609/(AE609*IF(v01_GroupInCrowding=1,N610,MIN(J610,L610))))^v01_CrowdingExp)</x:f>
        <x:v>0.1483718421280956</x:v>
      </x:c>
      <x:c r="Q610" s="9" t="n">
        <x:f>IF(D610=1,INDEX(v01_WinterMult,G610),1)</x:f>
        <x:v>1</x:v>
      </x:c>
      <x:c r="R610" s="9" t="n">
        <x:f>H610*Z609*v01_WomenShare*v01_BaseFertility*INDEX(v01_FertMult,G610)*Arch_Fertility*(1-P610)</x:f>
        <x:v>2.6081829208963327</x:v>
      </x:c>
      <x:c r="S610" s="9" t="n">
        <x:f>H610*Y609*INDEX(v01_MortChild,G610)/4*Q610</x:f>
        <x:v>0.6577858045978867</x:v>
      </x:c>
      <x:c r="T610" s="9" t="n">
        <x:f>H610*Z609*INDEX(v01_MortAdult,G610)*Arch_AdultMort/4*Q610</x:f>
        <x:v>0.22685808717737277</x:v>
      </x:c>
      <x:c r="U610" s="9" t="n">
        <x:f>H610*AA609*INDEX(v01_MortElder,G610)/4*Q610</x:f>
        <x:v>0.41700409142680644</x:v>
      </x:c>
      <x:c r="V610" s="9" t="n">
        <x:f>H610*MAX(0,AB609-O610)*v01_OvercapLoss</x:f>
        <x:v>0</x:v>
      </x:c>
      <x:c r="W610" s="9" t="n">
        <x:f>H610*Y609/(v01_ChildYears*4)</x:f>
        <x:v>1.3424200093834422</x:v>
      </x:c>
      <x:c r="X610" s="9" t="n">
        <x:f>H610*Z609/(v01_AdultYears*4)</x:f>
        <x:v>0.6098335676811096</x:v>
      </x:c>
      <x:c r="Y610" s="32" t="n">
        <x:f>Y609+R610-S610-W610-Y609*V610/AB609</x:f>
        <x:v>75.78349763238775</x:v>
      </x:c>
      <x:c r="Z610" s="32" t="n">
        <x:f>Z609+W610-X610-T610-Z609*V610/AB609</x:f>
        <x:v>76.12509074698255</x:v>
      </x:c>
      <x:c r="AA610" s="32" t="n">
        <x:f>AA609+X610-U610-AA609*V610/AB609</x:f>
        <x:v>24.02163470064324</x:v>
      </x:c>
      <x:c r="AB610" s="10" t="n">
        <x:f>Y610+Z610+AA610</x:f>
        <x:v>175.93022308001355</x:v>
      </x:c>
      <x:c r="AC610" s="8" t="n">
        <x:f>IF(AND(v01_WinterTrigger=1,D610=1,AB609/AE609&gt;=K610),1,0)</x:f>
        <x:v>0</x:v>
      </x:c>
      <x:c r="AD610" s="8" t="n">
        <x:f>H610*IF(AND(OR(AB609/AE609&gt;=v01_FissionTrigger*N610,AC610=1),AB609/AE609*v01_DaughterShare&gt;=v01_MinDaughter),MAX(1,ROUND(AE609*v01_FissionRate,0)),0)</x:f>
        <x:v>0</x:v>
      </x:c>
      <x:c r="AE610" s="8" t="n">
        <x:f>IF(H610=1,MAX(1,MIN(INDEX(v01_Smax,G610),AE609+AD610)),AE609)</x:f>
        <x:v>4</x:v>
      </x:c>
      <x:c r="AF610" s="8" t="n">
        <x:f>MAX(0,AE610-AE609)</x:f>
        <x:v>0</x:v>
      </x:c>
      <x:c r="AG610" s="9" t="str">
        <x:f>IF(AF610&gt;0,B610,"")</x:f>
      </x:c>
      <x:c r="AH610" s="9" t="n">
        <x:f>IF(F610&gt;=1,1,(1+v01_LowTiesShare*(AE610-1))/AE610)</x:f>
        <x:v>1</x:v>
      </x:c>
      <x:c r="AI610" s="32" t="n">
        <x:f>(Z610+v01_ElderCommons*INDEX(LM_Elder,G610)*AA610)*AH610</x:f>
        <x:v>148.18999484891228</x:v>
      </x:c>
      <x:c r="AJ610" s="32" t="n">
        <x:f>H610*v01_CommonsCoef*AI610^v01_CommonsExp*INDEX(LM_Commons,G610)</x:f>
        <x:v>46.210427475988446</x:v>
      </x:c>
      <x:c r="AK610" s="32" t="n">
        <x:f>H610*v01_RoleScale*Arch_Roles*(AE610*(INDEX(v01_ElderRolePerSett,G610)*v01_OutElder*INDEX(LM_Elder,G610)+INDEX(v01_ShamanPerSett,G610)*v01_OutShaman)+Z610*(INDEX(v01_PriestShare,G610)*v01_OutPriest+INDEX(v01_ScribeShare,G610)*v01_OutScribe*INDEX(LM_Scribe,G610)+INDEX(v01_ScholarShare,G610)*v01_OutScholar*INDEX(LM_Scholar,G610)+INDEX(v01_ResearcherShare,G610)*v01_OutResearcher*INDEX(LM_Researcher,G610)))</x:f>
        <x:v>12</x:v>
      </x:c>
      <x:c r="AL610" s="32" t="n">
        <x:f>H610*v01_RoleScale*Arch_Roles*AE610*INDEX(v01_MonasteryPerSett,G610)*v01_OutMonastery*INDEX(LM_Monastery,G610)</x:f>
        <x:v>0</x:v>
      </x:c>
      <x:c r="AM610" s="32" t="n">
        <x:f>(AJ610+AK610+AL610)/4*INDEX(LM_All,G610)*INDEX(v01_Boon,G610)*Arch_Insight</x:f>
        <x:v>15.28933259174009</x:v>
      </x:c>
      <x:c r="AN610" s="32" t="n">
        <x:f>H610*(v01_KHPerAdult*Z610+v01_KHOfCommons*AJ610/4*INDEX(LM_All,G610))*v01_KHUsable*Arch_KH</x:f>
        <x:v>2.6643781761443894</x:v>
      </x:c>
      <x:c r="AO610" s="32" t="n">
        <x:f>MIN(AP609+AN610,AM610*v01_KHMaxRatio)</x:f>
        <x:v>2.6643781761443894</x:v>
      </x:c>
      <x:c r="AP610" s="32" t="n">
        <x:f>AP609+AN610-AO610</x:f>
        <x:v>0</x:v>
      </x:c>
      <x:c r="AQ610" s="32" t="n">
        <x:f>AM610+AO610</x:f>
        <x:v>17.95371076788448</x:v>
      </x:c>
      <x:c r="AR610" s="10" t="n">
        <x:f>IF(H610=1,INDEX(v01_Req,G610),0)</x:f>
        <x:v>4006.9599999999996</x:v>
      </x:c>
      <x:c r="AS610" s="32" t="n">
        <x:f>IF(H610=1,IF(E610=1,AS609-AR609,AS609)+AQ610,0)</x:f>
        <x:v>1579.4254048126477</x:v>
      </x:c>
      <x:c r="AT610" s="11" t="n">
        <x:f>IF(AR610&gt;0,MIN(1,AS610/AR610),1)</x:f>
        <x:v>0.39417049454265773</x:v>
      </x:c>
      <x:c r="AU610" s="10" t="n">
        <x:f>AB610/INDEX(v01_RepScale,G610)</x:f>
        <x:v>87.96511154000677</x:v>
      </x:c>
      <x:c r="AV610" s="32" t="n">
        <x:f>AM610*60/v01_SeasonSeconds</x:f>
        <x:v>61.15733036696036</x:v>
      </x:c>
    </x:row>
    <x:row r="611">
      <x:c r="A611" s="8" t="n">
        <x:f>A610+1</x:f>
        <x:v>608</x:v>
      </x:c>
      <x:c r="B611" s="9" t="n">
        <x:f>A611*v01_SeasonSeconds/60</x:f>
        <x:v>152</x:v>
      </x:c>
      <x:c r="C611" s="9" t="n">
        <x:f>A611/4</x:f>
        <x:v>152</x:v>
      </x:c>
      <x:c r="D611" s="8" t="n">
        <x:f>IF(MOD(A611,4)=0,1,0)</x:f>
        <x:v>1</x:v>
      </x:c>
      <x:c r="E611" s="8" t="n">
        <x:f>IF(AND(F610&lt;=9,AS610&gt;=AR610),1,0)</x:f>
        <x:v>0</x:v>
      </x:c>
      <x:c r="F611" s="8" t="n">
        <x:f>MIN(10,F610+E611)</x:f>
        <x:v>2</x:v>
      </x:c>
      <x:c r="G611" s="8" t="n">
        <x:f>MIN(F611,9)+1</x:f>
        <x:v>3</x:v>
      </x:c>
      <x:c r="H611" s="8" t="n">
        <x:f>IF(F611&lt;=9,1,0)</x:f>
        <x:v>1</x:v>
      </x:c>
      <x:c r="I611" s="9" t="n">
        <x:f>MIN(10,F610+IF(AR610&gt;0,MIN(1,AS610/AR610),1))</x:f>
        <x:v>2.394170494542658</x:v>
      </x:c>
      <x:c r="J611" s="32" t="n">
        <x:f>INDEX(v01_FoodCap,G611)*Arch_FoodCap*EXP(v01_CapsByProject*SUMPRODUCT((Cap_Point&lt;=I611)*(Cap_Kind="Food")*Cap_Ln))</x:f>
        <x:v>60</x:v>
      </x:c>
      <x:c r="K611" s="32" t="n">
        <x:f>J611*MIN(1,v01_LeanBase*EXP(v01_CapsByProject*SUMPRODUCT((Cap_Point&lt;=I611)*(Cap_Kind="Lean")*Cap_Ln)))</x:f>
        <x:v>60</x:v>
      </x:c>
      <x:c r="L611" s="10" t="n">
        <x:f>INDEX(v01_HousingCap,G611)*EXP(v01_CapsByProject*SUMPRODUCT((Cap_Point&lt;=I611)*(Cap_Kind="Housing")*Cap_Ln))</x:f>
        <x:v>100</x:v>
      </x:c>
      <x:c r="M611" s="10" t="n">
        <x:f>INDEX(v01_GroupCap,G611)*v01_CohesionFactor*EXP(v01_CapsByProject*SUMPRODUCT((Cap_Point&lt;=I611)*(Cap_Kind="Group")*Cap_Ln))</x:f>
        <x:v>500</x:v>
      </x:c>
      <x:c r="N611" s="32" t="n">
        <x:f>MIN(J611,L611,M611)</x:f>
        <x:v>60</x:v>
      </x:c>
      <x:c r="O611" s="10" t="n">
        <x:f>AE610*N611</x:f>
        <x:v>240</x:v>
      </x:c>
      <x:c r="P611" s="9" t="n">
        <x:f>MIN(1,(AB610/(AE610*IF(v01_GroupInCrowding=1,N611,MIN(J611,L611))))^v01_CrowdingExp)</x:f>
        <x:v>0.15515839197442316</x:v>
      </x:c>
      <x:c r="Q611" s="9" t="n">
        <x:f>IF(D611=1,INDEX(v01_WinterMult,G611),1)</x:f>
        <x:v>1.3</x:v>
      </x:c>
      <x:c r="R611" s="9" t="n">
        <x:f>H611*Z610*v01_WomenShare*v01_BaseFertility*INDEX(v01_FertMult,G611)*Arch_Fertility*(1-P611)</x:f>
        <x:v>2.604702585149835</x:v>
      </x:c>
      <x:c r="S611" s="9" t="n">
        <x:f>H611*Y610*INDEX(v01_MortChild,G611)/4*Q611</x:f>
        <x:v>0.8620372855684107</x:v>
      </x:c>
      <x:c r="T611" s="9" t="n">
        <x:f>H611*Z610*INDEX(v01_MortAdult,G611)*Arch_AdultMort/4*Q611</x:f>
        <x:v>0.29688785391323197</x:v>
      </x:c>
      <x:c r="U611" s="9" t="n">
        <x:f>H611*AA610*INDEX(v01_MortElder,G611)/4*Q611</x:f>
        <x:v>0.5464921894396338</x:v>
      </x:c>
      <x:c r="V611" s="9" t="n">
        <x:f>H611*MAX(0,AB610-O611)*v01_OvercapLoss</x:f>
        <x:v>0</x:v>
      </x:c>
      <x:c r="W611" s="9" t="n">
        <x:f>H611*Y610/(v01_ChildYears*4)</x:f>
        <x:v>1.3532767434354955</x:v>
      </x:c>
      <x:c r="X611" s="9" t="n">
        <x:f>H611*Z610/(v01_AdultYears*4)</x:f>
        <x:v>0.613912022153085</x:v>
      </x:c>
      <x:c r="Y611" s="32" t="n">
        <x:f>Y610+R611-S611-W611-Y610*V611/AB610</x:f>
        <x:v>76.17288618853368</x:v>
      </x:c>
      <x:c r="Z611" s="32" t="n">
        <x:f>Z610+W611-X611-T611-Z610*V611/AB610</x:f>
        <x:v>76.56756761435173</x:v>
      </x:c>
      <x:c r="AA611" s="32" t="n">
        <x:f>AA610+X611-U611-AA610*V611/AB610</x:f>
        <x:v>24.08905453335669</x:v>
      </x:c>
      <x:c r="AB611" s="10" t="n">
        <x:f>Y611+Z611+AA611</x:f>
        <x:v>176.8295083362421</x:v>
      </x:c>
      <x:c r="AC611" s="8" t="n">
        <x:f>IF(AND(v01_WinterTrigger=1,D611=1,AB610/AE610&gt;=K611),1,0)</x:f>
        <x:v>0</x:v>
      </x:c>
      <x:c r="AD611" s="8" t="n">
        <x:f>H611*IF(AND(OR(AB610/AE610&gt;=v01_FissionTrigger*N611,AC611=1),AB610/AE610*v01_DaughterShare&gt;=v01_MinDaughter),MAX(1,ROUND(AE610*v01_FissionRate,0)),0)</x:f>
        <x:v>0</x:v>
      </x:c>
      <x:c r="AE611" s="8" t="n">
        <x:f>IF(H611=1,MAX(1,MIN(INDEX(v01_Smax,G611),AE610+AD611)),AE610)</x:f>
        <x:v>4</x:v>
      </x:c>
      <x:c r="AF611" s="8" t="n">
        <x:f>MAX(0,AE611-AE610)</x:f>
        <x:v>0</x:v>
      </x:c>
      <x:c r="AG611" s="9" t="str">
        <x:f>IF(AF611&gt;0,B611,"")</x:f>
      </x:c>
      <x:c r="AH611" s="9" t="n">
        <x:f>IF(F611&gt;=1,1,(1+v01_LowTiesShare*(AE611-1))/AE611)</x:f>
        <x:v>1</x:v>
      </x:c>
      <x:c r="AI611" s="32" t="n">
        <x:f>(Z611+v01_ElderCommons*INDEX(LM_Elder,G611)*AA611)*AH611</x:f>
        <x:v>148.83473121442182</x:v>
      </x:c>
      <x:c r="AJ611" s="32" t="n">
        <x:f>H611*v01_CommonsCoef*AI611^v01_CommonsExp*INDEX(LM_Commons,G611)</x:f>
        <x:v>46.38126398789809</x:v>
      </x:c>
      <x:c r="AK611" s="32" t="n">
        <x:f>H611*v01_RoleScale*Arch_Roles*(AE611*(INDEX(v01_ElderRolePerSett,G611)*v01_OutElder*INDEX(LM_Elder,G611)+INDEX(v01_ShamanPerSett,G611)*v01_OutShaman)+Z611*(INDEX(v01_PriestShare,G611)*v01_OutPriest+INDEX(v01_ScribeShare,G611)*v01_OutScribe*INDEX(LM_Scribe,G611)+INDEX(v01_ScholarShare,G611)*v01_OutScholar*INDEX(LM_Scholar,G611)+INDEX(v01_ResearcherShare,G611)*v01_OutResearcher*INDEX(LM_Researcher,G611)))</x:f>
        <x:v>12</x:v>
      </x:c>
      <x:c r="AL611" s="32" t="n">
        <x:f>H611*v01_RoleScale*Arch_Roles*AE611*INDEX(v01_MonasteryPerSett,G611)*v01_OutMonastery*INDEX(LM_Monastery,G611)</x:f>
        <x:v>0</x:v>
      </x:c>
      <x:c r="AM611" s="32" t="n">
        <x:f>(AJ611+AK611+AL611)/4*INDEX(LM_All,G611)*INDEX(v01_Boon,G611)*Arch_Insight</x:f>
        <x:v>15.334203869321357</x:v>
      </x:c>
      <x:c r="AN611" s="32" t="n">
        <x:f>H611*(v01_KHPerAdult*Z611+v01_KHOfCommons*AJ611/4*INDEX(LM_All,G611))*v01_KHUsable*Arch_KH</x:f>
        <x:v>2.6798648665023106</x:v>
      </x:c>
      <x:c r="AO611" s="32" t="n">
        <x:f>MIN(AP610+AN611,AM611*v01_KHMaxRatio)</x:f>
        <x:v>2.6798648665023106</x:v>
      </x:c>
      <x:c r="AP611" s="32" t="n">
        <x:f>AP610+AN611-AO611</x:f>
        <x:v>0</x:v>
      </x:c>
      <x:c r="AQ611" s="32" t="n">
        <x:f>AM611+AO611</x:f>
        <x:v>18.014068735823667</x:v>
      </x:c>
      <x:c r="AR611" s="10" t="n">
        <x:f>IF(H611=1,INDEX(v01_Req,G611),0)</x:f>
        <x:v>4006.9599999999996</x:v>
      </x:c>
      <x:c r="AS611" s="32" t="n">
        <x:f>IF(H611=1,IF(E611=1,AS610-AR610,AS610)+AQ611,0)</x:f>
        <x:v>1597.4394735484714</x:v>
      </x:c>
      <x:c r="AT611" s="11" t="n">
        <x:f>IF(AR611&gt;0,MIN(1,AS611/AR611),1)</x:f>
        <x:v>0.3986661892178788</x:v>
      </x:c>
      <x:c r="AU611" s="10" t="n">
        <x:f>AB611/INDEX(v01_RepScale,G611)</x:f>
        <x:v>88.41475416812105</x:v>
      </x:c>
      <x:c r="AV611" s="32" t="n">
        <x:f>AM611*60/v01_SeasonSeconds</x:f>
        <x:v>61.33681547728543</x:v>
      </x:c>
    </x:row>
    <x:row r="612">
      <x:c r="A612" s="8" t="n">
        <x:f>A611+1</x:f>
        <x:v>609</x:v>
      </x:c>
      <x:c r="B612" s="9" t="n">
        <x:f>A612*v01_SeasonSeconds/60</x:f>
        <x:v>152.25</x:v>
      </x:c>
      <x:c r="C612" s="9" t="n">
        <x:f>A612/4</x:f>
        <x:v>152.25</x:v>
      </x:c>
      <x:c r="D612" s="8" t="n">
        <x:f>IF(MOD(A612,4)=0,1,0)</x:f>
        <x:v>0</x:v>
      </x:c>
      <x:c r="E612" s="8" t="n">
        <x:f>IF(AND(F611&lt;=9,AS611&gt;=AR611),1,0)</x:f>
        <x:v>0</x:v>
      </x:c>
      <x:c r="F612" s="8" t="n">
        <x:f>MIN(10,F611+E612)</x:f>
        <x:v>2</x:v>
      </x:c>
      <x:c r="G612" s="8" t="n">
        <x:f>MIN(F612,9)+1</x:f>
        <x:v>3</x:v>
      </x:c>
      <x:c r="H612" s="8" t="n">
        <x:f>IF(F612&lt;=9,1,0)</x:f>
        <x:v>1</x:v>
      </x:c>
      <x:c r="I612" s="9" t="n">
        <x:f>MIN(10,F611+IF(AR611&gt;0,MIN(1,AS611/AR611),1))</x:f>
        <x:v>2.3986661892178787</x:v>
      </x:c>
      <x:c r="J612" s="32" t="n">
        <x:f>INDEX(v01_FoodCap,G612)*Arch_FoodCap*EXP(v01_CapsByProject*SUMPRODUCT((Cap_Point&lt;=I612)*(Cap_Kind="Food")*Cap_Ln))</x:f>
        <x:v>60</x:v>
      </x:c>
      <x:c r="K612" s="32" t="n">
        <x:f>J612*MIN(1,v01_LeanBase*EXP(v01_CapsByProject*SUMPRODUCT((Cap_Point&lt;=I612)*(Cap_Kind="Lean")*Cap_Ln)))</x:f>
        <x:v>60</x:v>
      </x:c>
      <x:c r="L612" s="10" t="n">
        <x:f>INDEX(v01_HousingCap,G612)*EXP(v01_CapsByProject*SUMPRODUCT((Cap_Point&lt;=I612)*(Cap_Kind="Housing")*Cap_Ln))</x:f>
        <x:v>100</x:v>
      </x:c>
      <x:c r="M612" s="10" t="n">
        <x:f>INDEX(v01_GroupCap,G612)*v01_CohesionFactor*EXP(v01_CapsByProject*SUMPRODUCT((Cap_Point&lt;=I612)*(Cap_Kind="Group")*Cap_Ln))</x:f>
        <x:v>500</x:v>
      </x:c>
      <x:c r="N612" s="32" t="n">
        <x:f>MIN(J612,L612,M612)</x:f>
        <x:v>60</x:v>
      </x:c>
      <x:c r="O612" s="10" t="n">
        <x:f>AE611*N612</x:f>
        <x:v>240</x:v>
      </x:c>
      <x:c r="P612" s="9" t="n">
        <x:f>MIN(1,(AB611/(AE611*IF(v01_GroupInCrowding=1,N612,MIN(J612,L612))))^v01_CrowdingExp)</x:f>
        <x:v>0.1599782663536067</x:v>
      </x:c>
      <x:c r="Q612" s="9" t="n">
        <x:f>IF(D612=1,INDEX(v01_WinterMult,G612),1)</x:f>
        <x:v>1</x:v>
      </x:c>
      <x:c r="R612" s="9" t="n">
        <x:f>H612*Z611*v01_WomenShare*v01_BaseFertility*INDEX(v01_FertMult,G612)*Arch_Fertility*(1-P612)</x:f>
        <x:v>2.604896045984055</x:v>
      </x:c>
      <x:c r="S612" s="9" t="n">
        <x:f>H612*Y611*INDEX(v01_MortChild,G612)/4*Q612</x:f>
        <x:v>0.6665127541496698</x:v>
      </x:c>
      <x:c r="T612" s="9" t="n">
        <x:f>H612*Z611*INDEX(v01_MortAdult,G612)*Arch_AdultMort/4*Q612</x:f>
        <x:v>0.2297027028430552</x:v>
      </x:c>
      <x:c r="U612" s="9" t="n">
        <x:f>H612*AA611*INDEX(v01_MortElder,G612)/4*Q612</x:f>
        <x:v>0.4215584543337421</x:v>
      </x:c>
      <x:c r="V612" s="9" t="n">
        <x:f>H612*MAX(0,AB611-O612)*v01_OvercapLoss</x:f>
        <x:v>0</x:v>
      </x:c>
      <x:c r="W612" s="9" t="n">
        <x:f>H612*Y611/(v01_ChildYears*4)</x:f>
        <x:v>1.36023011050953</x:v>
      </x:c>
      <x:c r="X612" s="9" t="n">
        <x:f>H612*Z611/(v01_AdultYears*4)</x:f>
        <x:v>0.6174803839867075</x:v>
      </x:c>
      <x:c r="Y612" s="32" t="n">
        <x:f>Y611+R612-S612-W612-Y611*V612/AB611</x:f>
        <x:v>76.75103936985853</x:v>
      </x:c>
      <x:c r="Z612" s="32" t="n">
        <x:f>Z611+W612-X612-T612-Z611*V612/AB611</x:f>
        <x:v>77.0806146380315</x:v>
      </x:c>
      <x:c r="AA612" s="32" t="n">
        <x:f>AA611+X612-U612-AA611*V612/AB611</x:f>
        <x:v>24.284976463009656</x:v>
      </x:c>
      <x:c r="AB612" s="10" t="n">
        <x:f>Y612+Z612+AA612</x:f>
        <x:v>178.1166304708997</x:v>
      </x:c>
      <x:c r="AC612" s="8" t="n">
        <x:f>IF(AND(v01_WinterTrigger=1,D612=1,AB611/AE611&gt;=K612),1,0)</x:f>
        <x:v>0</x:v>
      </x:c>
      <x:c r="AD612" s="8" t="n">
        <x:f>H612*IF(AND(OR(AB611/AE611&gt;=v01_FissionTrigger*N612,AC612=1),AB611/AE611*v01_DaughterShare&gt;=v01_MinDaughter),MAX(1,ROUND(AE611*v01_FissionRate,0)),0)</x:f>
        <x:v>0</x:v>
      </x:c>
      <x:c r="AE612" s="8" t="n">
        <x:f>IF(H612=1,MAX(1,MIN(INDEX(v01_Smax,G612),AE611+AD612)),AE611)</x:f>
        <x:v>4</x:v>
      </x:c>
      <x:c r="AF612" s="8" t="n">
        <x:f>MAX(0,AE612-AE611)</x:f>
        <x:v>0</x:v>
      </x:c>
      <x:c r="AG612" s="9" t="str">
        <x:f>IF(AF612&gt;0,B612,"")</x:f>
      </x:c>
      <x:c r="AH612" s="9" t="n">
        <x:f>IF(F612&gt;=1,1,(1+v01_LowTiesShare*(AE612-1))/AE612)</x:f>
        <x:v>1</x:v>
      </x:c>
      <x:c r="AI612" s="32" t="n">
        <x:f>(Z612+v01_ElderCommons*INDEX(LM_Elder,G612)*AA612)*AH612</x:f>
        <x:v>149.93554402706047</x:v>
      </x:c>
      <x:c r="AJ612" s="32" t="n">
        <x:f>H612*v01_CommonsCoef*AI612^v01_CommonsExp*INDEX(LM_Commons,G612)</x:f>
        <x:v>46.67269139870195</x:v>
      </x:c>
      <x:c r="AK612" s="32" t="n">
        <x:f>H612*v01_RoleScale*Arch_Roles*(AE612*(INDEX(v01_ElderRolePerSett,G612)*v01_OutElder*INDEX(LM_Elder,G612)+INDEX(v01_ShamanPerSett,G612)*v01_OutShaman)+Z612*(INDEX(v01_PriestShare,G612)*v01_OutPriest+INDEX(v01_ScribeShare,G612)*v01_OutScribe*INDEX(LM_Scribe,G612)+INDEX(v01_ScholarShare,G612)*v01_OutScholar*INDEX(LM_Scholar,G612)+INDEX(v01_ResearcherShare,G612)*v01_OutResearcher*INDEX(LM_Researcher,G612)))</x:f>
        <x:v>12</x:v>
      </x:c>
      <x:c r="AL612" s="32" t="n">
        <x:f>H612*v01_RoleScale*Arch_Roles*AE612*INDEX(v01_MonasteryPerSett,G612)*v01_OutMonastery*INDEX(LM_Monastery,G612)</x:f>
        <x:v>0</x:v>
      </x:c>
      <x:c r="AM612" s="32" t="n">
        <x:f>(AJ612+AK612+AL612)/4*INDEX(LM_All,G612)*INDEX(v01_Boon,G612)*Arch_Insight</x:f>
        <x:v>15.410749100190309</x:v>
      </x:c>
      <x:c r="AN612" s="32" t="n">
        <x:f>H612*(v01_KHPerAdult*Z612+v01_KHOfCommons*AJ612/4*INDEX(LM_All,G612))*v01_KHUsable*Arch_KH</x:f>
        <x:v>2.6978215123311027</x:v>
      </x:c>
      <x:c r="AO612" s="32" t="n">
        <x:f>MIN(AP611+AN612,AM612*v01_KHMaxRatio)</x:f>
        <x:v>2.6978215123311027</x:v>
      </x:c>
      <x:c r="AP612" s="32" t="n">
        <x:f>AP611+AN612-AO612</x:f>
        <x:v>0</x:v>
      </x:c>
      <x:c r="AQ612" s="32" t="n">
        <x:f>AM612+AO612</x:f>
        <x:v>18.10857061252141</x:v>
      </x:c>
      <x:c r="AR612" s="10" t="n">
        <x:f>IF(H612=1,INDEX(v01_Req,G612),0)</x:f>
        <x:v>4006.9599999999996</x:v>
      </x:c>
      <x:c r="AS612" s="32" t="n">
        <x:f>IF(H612=1,IF(E612=1,AS611-AR611,AS611)+AQ612,0)</x:f>
        <x:v>1615.5480441609927</x:v>
      </x:c>
      <x:c r="AT612" s="11" t="n">
        <x:f>IF(AR612&gt;0,MIN(1,AS612/AR612),1)</x:f>
        <x:v>0.4031854683253621</x:v>
      </x:c>
      <x:c r="AU612" s="10" t="n">
        <x:f>AB612/INDEX(v01_RepScale,G612)</x:f>
        <x:v>89.05831523544985</x:v>
      </x:c>
      <x:c r="AV612" s="32" t="n">
        <x:f>AM612*60/v01_SeasonSeconds</x:f>
        <x:v>61.642996400761234</x:v>
      </x:c>
    </x:row>
    <x:row r="613">
      <x:c r="A613" s="8" t="n">
        <x:f>A612+1</x:f>
        <x:v>610</x:v>
      </x:c>
      <x:c r="B613" s="9" t="n">
        <x:f>A613*v01_SeasonSeconds/60</x:f>
        <x:v>152.5</x:v>
      </x:c>
      <x:c r="C613" s="9" t="n">
        <x:f>A613/4</x:f>
        <x:v>152.5</x:v>
      </x:c>
      <x:c r="D613" s="8" t="n">
        <x:f>IF(MOD(A613,4)=0,1,0)</x:f>
        <x:v>0</x:v>
      </x:c>
      <x:c r="E613" s="8" t="n">
        <x:f>IF(AND(F612&lt;=9,AS612&gt;=AR612),1,0)</x:f>
        <x:v>0</x:v>
      </x:c>
      <x:c r="F613" s="8" t="n">
        <x:f>MIN(10,F612+E613)</x:f>
        <x:v>2</x:v>
      </x:c>
      <x:c r="G613" s="8" t="n">
        <x:f>MIN(F613,9)+1</x:f>
        <x:v>3</x:v>
      </x:c>
      <x:c r="H613" s="8" t="n">
        <x:f>IF(F613&lt;=9,1,0)</x:f>
        <x:v>1</x:v>
      </x:c>
      <x:c r="I613" s="9" t="n">
        <x:f>MIN(10,F612+IF(AR612&gt;0,MIN(1,AS612/AR612),1))</x:f>
        <x:v>2.403185468325362</x:v>
      </x:c>
      <x:c r="J613" s="32" t="n">
        <x:f>INDEX(v01_FoodCap,G613)*Arch_FoodCap*EXP(v01_CapsByProject*SUMPRODUCT((Cap_Point&lt;=I613)*(Cap_Kind="Food")*Cap_Ln))</x:f>
        <x:v>60</x:v>
      </x:c>
      <x:c r="K613" s="32" t="n">
        <x:f>J613*MIN(1,v01_LeanBase*EXP(v01_CapsByProject*SUMPRODUCT((Cap_Point&lt;=I613)*(Cap_Kind="Lean")*Cap_Ln)))</x:f>
        <x:v>60</x:v>
      </x:c>
      <x:c r="L613" s="10" t="n">
        <x:f>INDEX(v01_HousingCap,G613)*EXP(v01_CapsByProject*SUMPRODUCT((Cap_Point&lt;=I613)*(Cap_Kind="Housing")*Cap_Ln))</x:f>
        <x:v>100</x:v>
      </x:c>
      <x:c r="M613" s="10" t="n">
        <x:f>INDEX(v01_GroupCap,G613)*v01_CohesionFactor*EXP(v01_CapsByProject*SUMPRODUCT((Cap_Point&lt;=I613)*(Cap_Kind="Group")*Cap_Ln))</x:f>
        <x:v>500</x:v>
      </x:c>
      <x:c r="N613" s="32" t="n">
        <x:f>MIN(J613,L613,M613)</x:f>
        <x:v>60</x:v>
      </x:c>
      <x:c r="O613" s="10" t="n">
        <x:f>AE612*N613</x:f>
        <x:v>240</x:v>
      </x:c>
      <x:c r="P613" s="9" t="n">
        <x:f>MIN(1,(AB612/(AE612*IF(v01_GroupInCrowding=1,N613,MIN(J613,L613))))^v01_CrowdingExp)</x:f>
        <x:v>0.16709343006840274</x:v>
      </x:c>
      <x:c r="Q613" s="9" t="n">
        <x:f>IF(D613=1,INDEX(v01_WinterMult,G613),1)</x:f>
        <x:v>1</x:v>
      </x:c>
      <x:c r="R613" s="9" t="n">
        <x:f>H613*Z612*v01_WomenShare*v01_BaseFertility*INDEX(v01_FertMult,G613)*Arch_Fertility*(1-P613)</x:f>
        <x:v>2.600138489028475</x:v>
      </x:c>
      <x:c r="S613" s="9" t="n">
        <x:f>H613*Y612*INDEX(v01_MortChild,G613)/4*Q613</x:f>
        <x:v>0.6715715944862622</x:v>
      </x:c>
      <x:c r="T613" s="9" t="n">
        <x:f>H613*Z612*INDEX(v01_MortAdult,G613)*Arch_AdultMort/4*Q613</x:f>
        <x:v>0.23124184391409452</x:v>
      </x:c>
      <x:c r="U613" s="9" t="n">
        <x:f>H613*AA612*INDEX(v01_MortElder,G613)/4*Q613</x:f>
        <x:v>0.424987088102669</x:v>
      </x:c>
      <x:c r="V613" s="9" t="n">
        <x:f>H613*MAX(0,AB612-O613)*v01_OvercapLoss</x:f>
        <x:v>0</x:v>
      </x:c>
      <x:c r="W613" s="9" t="n">
        <x:f>H613*Y612/(v01_ChildYears*4)</x:f>
        <x:v>1.3705542744617596</x:v>
      </x:c>
      <x:c r="X613" s="9" t="n">
        <x:f>H613*Z612/(v01_AdultYears*4)</x:f>
        <x:v>0.621617859984125</x:v>
      </x:c>
      <x:c r="Y613" s="32" t="n">
        <x:f>Y612+R613-S613-W613-Y612*V613/AB612</x:f>
        <x:v>77.309051989939</x:v>
      </x:c>
      <x:c r="Z613" s="32" t="n">
        <x:f>Z612+W613-X613-T613-Z612*V613/AB612</x:f>
        <x:v>77.59830920859504</x:v>
      </x:c>
      <x:c r="AA613" s="32" t="n">
        <x:f>AA612+X613-U613-AA612*V613/AB612</x:f>
        <x:v>24.48160723489111</x:v>
      </x:c>
      <x:c r="AB613" s="10" t="n">
        <x:f>Y613+Z613+AA613</x:f>
        <x:v>179.38896843342513</x:v>
      </x:c>
      <x:c r="AC613" s="8" t="n">
        <x:f>IF(AND(v01_WinterTrigger=1,D613=1,AB612/AE612&gt;=K613),1,0)</x:f>
        <x:v>0</x:v>
      </x:c>
      <x:c r="AD613" s="8" t="n">
        <x:f>H613*IF(AND(OR(AB612/AE612&gt;=v01_FissionTrigger*N613,AC613=1),AB612/AE612*v01_DaughterShare&gt;=v01_MinDaughter),MAX(1,ROUND(AE612*v01_FissionRate,0)),0)</x:f>
        <x:v>0</x:v>
      </x:c>
      <x:c r="AE613" s="8" t="n">
        <x:f>IF(H613=1,MAX(1,MIN(INDEX(v01_Smax,G613),AE612+AD613)),AE612)</x:f>
        <x:v>4</x:v>
      </x:c>
      <x:c r="AF613" s="8" t="n">
        <x:f>MAX(0,AE613-AE612)</x:f>
        <x:v>0</x:v>
      </x:c>
      <x:c r="AG613" s="9" t="str">
        <x:f>IF(AF613&gt;0,B613,"")</x:f>
      </x:c>
      <x:c r="AH613" s="9" t="n">
        <x:f>IF(F613&gt;=1,1,(1+v01_LowTiesShare*(AE613-1))/AE613)</x:f>
        <x:v>1</x:v>
      </x:c>
      <x:c r="AI613" s="32" t="n">
        <x:f>(Z613+v01_ElderCommons*INDEX(LM_Elder,G613)*AA613)*AH613</x:f>
        <x:v>151.04313091326839</x:v>
      </x:c>
      <x:c r="AJ613" s="32" t="n">
        <x:f>H613*v01_CommonsCoef*AI613^v01_CommonsExp*INDEX(LM_Commons,G613)</x:f>
        <x:v>46.965588434070014</x:v>
      </x:c>
      <x:c r="AK613" s="32" t="n">
        <x:f>H613*v01_RoleScale*Arch_Roles*(AE613*(INDEX(v01_ElderRolePerSett,G613)*v01_OutElder*INDEX(LM_Elder,G613)+INDEX(v01_ShamanPerSett,G613)*v01_OutShaman)+Z613*(INDEX(v01_PriestShare,G613)*v01_OutPriest+INDEX(v01_ScribeShare,G613)*v01_OutScribe*INDEX(LM_Scribe,G613)+INDEX(v01_ScholarShare,G613)*v01_OutScholar*INDEX(LM_Scholar,G613)+INDEX(v01_ResearcherShare,G613)*v01_OutResearcher*INDEX(LM_Researcher,G613)))</x:f>
        <x:v>12</x:v>
      </x:c>
      <x:c r="AL613" s="32" t="n">
        <x:f>H613*v01_RoleScale*Arch_Roles*AE613*INDEX(v01_MonasteryPerSett,G613)*v01_OutMonastery*INDEX(LM_Monastery,G613)</x:f>
        <x:v>0</x:v>
      </x:c>
      <x:c r="AM613" s="32" t="n">
        <x:f>(AJ613+AK613+AL613)/4*INDEX(LM_All,G613)*INDEX(v01_Boon,G613)*Arch_Insight</x:f>
        <x:v>15.4876803371362</x:v>
      </x:c>
      <x:c r="AN613" s="32" t="n">
        <x:f>H613*(v01_KHPerAdult*Z613+v01_KHOfCommons*AJ613/4*INDEX(LM_All,G613))*v01_KHUsable*Arch_KH</x:f>
        <x:v>2.7159408223008263</x:v>
      </x:c>
      <x:c r="AO613" s="32" t="n">
        <x:f>MIN(AP612+AN613,AM613*v01_KHMaxRatio)</x:f>
        <x:v>2.7159408223008263</x:v>
      </x:c>
      <x:c r="AP613" s="32" t="n">
        <x:f>AP612+AN613-AO613</x:f>
        <x:v>0</x:v>
      </x:c>
      <x:c r="AQ613" s="32" t="n">
        <x:f>AM613+AO613</x:f>
        <x:v>18.203621159437027</x:v>
      </x:c>
      <x:c r="AR613" s="10" t="n">
        <x:f>IF(H613=1,INDEX(v01_Req,G613),0)</x:f>
        <x:v>4006.9599999999996</x:v>
      </x:c>
      <x:c r="AS613" s="32" t="n">
        <x:f>IF(H613=1,IF(E613=1,AS612-AR612,AS612)+AQ613,0)</x:f>
        <x:v>1633.7516653204298</x:v>
      </x:c>
      <x:c r="AT613" s="11" t="n">
        <x:f>IF(AR613&gt;0,MIN(1,AS613/AR613),1)</x:f>
        <x:v>0.4077284687944052</x:v>
      </x:c>
      <x:c r="AU613" s="10" t="n">
        <x:f>AB613/INDEX(v01_RepScale,G613)</x:f>
        <x:v>89.69448421671257</x:v>
      </x:c>
      <x:c r="AV613" s="32" t="n">
        <x:f>AM613*60/v01_SeasonSeconds</x:f>
        <x:v>61.9507213485448</x:v>
      </x:c>
    </x:row>
    <x:row r="614">
      <x:c r="A614" s="8" t="n">
        <x:f>A613+1</x:f>
        <x:v>611</x:v>
      </x:c>
      <x:c r="B614" s="9" t="n">
        <x:f>A614*v01_SeasonSeconds/60</x:f>
        <x:v>152.75</x:v>
      </x:c>
      <x:c r="C614" s="9" t="n">
        <x:f>A614/4</x:f>
        <x:v>152.75</x:v>
      </x:c>
      <x:c r="D614" s="8" t="n">
        <x:f>IF(MOD(A614,4)=0,1,0)</x:f>
        <x:v>0</x:v>
      </x:c>
      <x:c r="E614" s="8" t="n">
        <x:f>IF(AND(F613&lt;=9,AS613&gt;=AR613),1,0)</x:f>
        <x:v>0</x:v>
      </x:c>
      <x:c r="F614" s="8" t="n">
        <x:f>MIN(10,F613+E614)</x:f>
        <x:v>2</x:v>
      </x:c>
      <x:c r="G614" s="8" t="n">
        <x:f>MIN(F614,9)+1</x:f>
        <x:v>3</x:v>
      </x:c>
      <x:c r="H614" s="8" t="n">
        <x:f>IF(F614&lt;=9,1,0)</x:f>
        <x:v>1</x:v>
      </x:c>
      <x:c r="I614" s="9" t="n">
        <x:f>MIN(10,F613+IF(AR613&gt;0,MIN(1,AS613/AR613),1))</x:f>
        <x:v>2.407728468794405</x:v>
      </x:c>
      <x:c r="J614" s="32" t="n">
        <x:f>INDEX(v01_FoodCap,G614)*Arch_FoodCap*EXP(v01_CapsByProject*SUMPRODUCT((Cap_Point&lt;=I614)*(Cap_Kind="Food")*Cap_Ln))</x:f>
        <x:v>60</x:v>
      </x:c>
      <x:c r="K614" s="32" t="n">
        <x:f>J614*MIN(1,v01_LeanBase*EXP(v01_CapsByProject*SUMPRODUCT((Cap_Point&lt;=I614)*(Cap_Kind="Lean")*Cap_Ln)))</x:f>
        <x:v>60</x:v>
      </x:c>
      <x:c r="L614" s="10" t="n">
        <x:f>INDEX(v01_HousingCap,G614)*EXP(v01_CapsByProject*SUMPRODUCT((Cap_Point&lt;=I614)*(Cap_Kind="Housing")*Cap_Ln))</x:f>
        <x:v>100</x:v>
      </x:c>
      <x:c r="M614" s="10" t="n">
        <x:f>INDEX(v01_GroupCap,G614)*v01_CohesionFactor*EXP(v01_CapsByProject*SUMPRODUCT((Cap_Point&lt;=I614)*(Cap_Kind="Group")*Cap_Ln))</x:f>
        <x:v>500</x:v>
      </x:c>
      <x:c r="N614" s="32" t="n">
        <x:f>MIN(J614,L614,M614)</x:f>
        <x:v>60</x:v>
      </x:c>
      <x:c r="O614" s="10" t="n">
        <x:f>AE613*N614</x:f>
        <x:v>240</x:v>
      </x:c>
      <x:c r="P614" s="9" t="n">
        <x:f>MIN(1,(AB613/(AE613*IF(v01_GroupInCrowding=1,N614,MIN(J614,L614))))^v01_CrowdingExp)</x:f>
        <x:v>0.17438412424384322</x:v>
      </x:c>
      <x:c r="Q614" s="9" t="n">
        <x:f>IF(D614=1,INDEX(v01_WinterMult,G614),1)</x:f>
        <x:v>1</x:v>
      </x:c>
      <x:c r="R614" s="9" t="n">
        <x:f>H614*Z613*v01_WomenShare*v01_BaseFertility*INDEX(v01_FertMult,G614)*Arch_Fertility*(1-P614)</x:f>
        <x:v>2.594689038585275</x:v>
      </x:c>
      <x:c r="S614" s="9" t="n">
        <x:f>H614*Y613*INDEX(v01_MortChild,G614)/4*Q614</x:f>
        <x:v>0.6764542049119663</x:v>
      </x:c>
      <x:c r="T614" s="9" t="n">
        <x:f>H614*Z613*INDEX(v01_MortAdult,G614)*Arch_AdultMort/4*Q614</x:f>
        <x:v>0.23279492762578513</x:v>
      </x:c>
      <x:c r="U614" s="9" t="n">
        <x:f>H614*AA613*INDEX(v01_MortElder,G614)/4*Q614</x:f>
        <x:v>0.4284281266105945</x:v>
      </x:c>
      <x:c r="V614" s="9" t="n">
        <x:f>H614*MAX(0,AB613-O614)*v01_OvercapLoss</x:f>
        <x:v>0</x:v>
      </x:c>
      <x:c r="W614" s="9" t="n">
        <x:f>H614*Y613/(v01_ChildYears*4)</x:f>
        <x:v>1.3805187855346248</x:v>
      </x:c>
      <x:c r="X614" s="9" t="n">
        <x:f>H614*Z613/(v01_AdultYears*4)</x:f>
        <x:v>0.6257928161983471</x:v>
      </x:c>
      <x:c r="Y614" s="32" t="n">
        <x:f>Y613+R614-S614-W614-Y613*V614/AB613</x:f>
        <x:v>77.84676803807768</x:v>
      </x:c>
      <x:c r="Z614" s="32" t="n">
        <x:f>Z613+W614-X614-T614-Z613*V614/AB613</x:f>
        <x:v>78.12024025030553</x:v>
      </x:c>
      <x:c r="AA614" s="32" t="n">
        <x:f>AA613+X614-U614-AA613*V614/AB613</x:f>
        <x:v>24.678971924478866</x:v>
      </x:c>
      <x:c r="AB614" s="10" t="n">
        <x:f>Y614+Z614+AA614</x:f>
        <x:v>180.6459802128621</x:v>
      </x:c>
      <x:c r="AC614" s="8" t="n">
        <x:f>IF(AND(v01_WinterTrigger=1,D614=1,AB613/AE613&gt;=K614),1,0)</x:f>
        <x:v>0</x:v>
      </x:c>
      <x:c r="AD614" s="8" t="n">
        <x:f>H614*IF(AND(OR(AB613/AE613&gt;=v01_FissionTrigger*N614,AC614=1),AB613/AE613*v01_DaughterShare&gt;=v01_MinDaughter),MAX(1,ROUND(AE613*v01_FissionRate,0)),0)</x:f>
        <x:v>0</x:v>
      </x:c>
      <x:c r="AE614" s="8" t="n">
        <x:f>IF(H614=1,MAX(1,MIN(INDEX(v01_Smax,G614),AE613+AD614)),AE613)</x:f>
        <x:v>4</x:v>
      </x:c>
      <x:c r="AF614" s="8" t="n">
        <x:f>MAX(0,AE614-AE613)</x:f>
        <x:v>0</x:v>
      </x:c>
      <x:c r="AG614" s="9" t="str">
        <x:f>IF(AF614&gt;0,B614,"")</x:f>
      </x:c>
      <x:c r="AH614" s="9" t="n">
        <x:f>IF(F614&gt;=1,1,(1+v01_LowTiesShare*(AE614-1))/AE614)</x:f>
        <x:v>1</x:v>
      </x:c>
      <x:c r="AI614" s="32" t="n">
        <x:f>(Z614+v01_ElderCommons*INDEX(LM_Elder,G614)*AA614)*AH614</x:f>
        <x:v>152.15715602374212</x:v>
      </x:c>
      <x:c r="AJ614" s="32" t="n">
        <x:f>H614*v01_CommonsCoef*AI614^v01_CommonsExp*INDEX(LM_Commons,G614)</x:f>
        <x:v>47.25986323057419</x:v>
      </x:c>
      <x:c r="AK614" s="32" t="n">
        <x:f>H614*v01_RoleScale*Arch_Roles*(AE614*(INDEX(v01_ElderRolePerSett,G614)*v01_OutElder*INDEX(LM_Elder,G614)+INDEX(v01_ShamanPerSett,G614)*v01_OutShaman)+Z614*(INDEX(v01_PriestShare,G614)*v01_OutPriest+INDEX(v01_ScribeShare,G614)*v01_OutScribe*INDEX(LM_Scribe,G614)+INDEX(v01_ScholarShare,G614)*v01_OutScholar*INDEX(LM_Scholar,G614)+INDEX(v01_ResearcherShare,G614)*v01_OutResearcher*INDEX(LM_Researcher,G614)))</x:f>
        <x:v>12</x:v>
      </x:c>
      <x:c r="AL614" s="32" t="n">
        <x:f>H614*v01_RoleScale*Arch_Roles*AE614*INDEX(v01_MonasteryPerSett,G614)*v01_OutMonastery*INDEX(LM_Monastery,G614)</x:f>
        <x:v>0</x:v>
      </x:c>
      <x:c r="AM614" s="32" t="n">
        <x:f>(AJ614+AK614+AL614)/4*INDEX(LM_All,G614)*INDEX(v01_Boon,G614)*Arch_Insight</x:f>
        <x:v>15.5649734516555</x:v>
      </x:c>
      <x:c r="AN614" s="32" t="n">
        <x:f>H614*(v01_KHPerAdult*Z614+v01_KHOfCommons*AJ614/4*INDEX(LM_All,G614))*v01_KHUsable*Arch_KH</x:f>
        <x:v>2.7342084087606935</x:v>
      </x:c>
      <x:c r="AO614" s="32" t="n">
        <x:f>MIN(AP613+AN614,AM614*v01_KHMaxRatio)</x:f>
        <x:v>2.7342084087606935</x:v>
      </x:c>
      <x:c r="AP614" s="32" t="n">
        <x:f>AP613+AN614-AO614</x:f>
        <x:v>0</x:v>
      </x:c>
      <x:c r="AQ614" s="32" t="n">
        <x:f>AM614+AO614</x:f>
        <x:v>18.299181860416194</x:v>
      </x:c>
      <x:c r="AR614" s="10" t="n">
        <x:f>IF(H614=1,INDEX(v01_Req,G614),0)</x:f>
        <x:v>4006.9599999999996</x:v>
      </x:c>
      <x:c r="AS614" s="32" t="n">
        <x:f>IF(H614=1,IF(E614=1,AS613-AR613,AS613)+AQ614,0)</x:f>
        <x:v>1652.050847180846</x:v>
      </x:c>
      <x:c r="AT614" s="11" t="n">
        <x:f>IF(AR614&gt;0,MIN(1,AS614/AR614),1)</x:f>
        <x:v>0.4122953179419925</x:v>
      </x:c>
      <x:c r="AU614" s="10" t="n">
        <x:f>AB614/INDEX(v01_RepScale,G614)</x:f>
        <x:v>90.32299010643105</x:v>
      </x:c>
      <x:c r="AV614" s="32" t="n">
        <x:f>AM614*60/v01_SeasonSeconds</x:f>
        <x:v>62.259893806622</x:v>
      </x:c>
    </x:row>
    <x:row r="615">
      <x:c r="A615" s="8" t="n">
        <x:f>A614+1</x:f>
        <x:v>612</x:v>
      </x:c>
      <x:c r="B615" s="9" t="n">
        <x:f>A615*v01_SeasonSeconds/60</x:f>
        <x:v>153</x:v>
      </x:c>
      <x:c r="C615" s="9" t="n">
        <x:f>A615/4</x:f>
        <x:v>153</x:v>
      </x:c>
      <x:c r="D615" s="8" t="n">
        <x:f>IF(MOD(A615,4)=0,1,0)</x:f>
        <x:v>1</x:v>
      </x:c>
      <x:c r="E615" s="8" t="n">
        <x:f>IF(AND(F614&lt;=9,AS614&gt;=AR614),1,0)</x:f>
        <x:v>0</x:v>
      </x:c>
      <x:c r="F615" s="8" t="n">
        <x:f>MIN(10,F614+E615)</x:f>
        <x:v>2</x:v>
      </x:c>
      <x:c r="G615" s="8" t="n">
        <x:f>MIN(F615,9)+1</x:f>
        <x:v>3</x:v>
      </x:c>
      <x:c r="H615" s="8" t="n">
        <x:f>IF(F615&lt;=9,1,0)</x:f>
        <x:v>1</x:v>
      </x:c>
      <x:c r="I615" s="9" t="n">
        <x:f>MIN(10,F614+IF(AR614&gt;0,MIN(1,AS614/AR614),1))</x:f>
        <x:v>2.4122953179419926</x:v>
      </x:c>
      <x:c r="J615" s="32" t="n">
        <x:f>INDEX(v01_FoodCap,G615)*Arch_FoodCap*EXP(v01_CapsByProject*SUMPRODUCT((Cap_Point&lt;=I615)*(Cap_Kind="Food")*Cap_Ln))</x:f>
        <x:v>60</x:v>
      </x:c>
      <x:c r="K615" s="32" t="n">
        <x:f>J615*MIN(1,v01_LeanBase*EXP(v01_CapsByProject*SUMPRODUCT((Cap_Point&lt;=I615)*(Cap_Kind="Lean")*Cap_Ln)))</x:f>
        <x:v>60</x:v>
      </x:c>
      <x:c r="L615" s="10" t="n">
        <x:f>INDEX(v01_HousingCap,G615)*EXP(v01_CapsByProject*SUMPRODUCT((Cap_Point&lt;=I615)*(Cap_Kind="Housing")*Cap_Ln))</x:f>
        <x:v>100</x:v>
      </x:c>
      <x:c r="M615" s="10" t="n">
        <x:f>INDEX(v01_GroupCap,G615)*v01_CohesionFactor*EXP(v01_CapsByProject*SUMPRODUCT((Cap_Point&lt;=I615)*(Cap_Kind="Group")*Cap_Ln))</x:f>
        <x:v>500</x:v>
      </x:c>
      <x:c r="N615" s="32" t="n">
        <x:f>MIN(J615,L615,M615)</x:f>
        <x:v>60</x:v>
      </x:c>
      <x:c r="O615" s="10" t="n">
        <x:f>AE614*N615</x:f>
        <x:v>240</x:v>
      </x:c>
      <x:c r="P615" s="9" t="n">
        <x:f>MIN(1,(AB614/(AE614*IF(v01_GroupInCrowding=1,N615,MIN(J615,L615))))^v01_CrowdingExp)</x:f>
        <x:v>0.18184541758163658</x:v>
      </x:c>
      <x:c r="Q615" s="9" t="n">
        <x:f>IF(D615=1,INDEX(v01_WinterMult,G615),1)</x:f>
        <x:v>1.3</x:v>
      </x:c>
      <x:c r="R615" s="9" t="n">
        <x:f>H615*Z614*v01_WomenShare*v01_BaseFertility*INDEX(v01_FertMult,G615)*Arch_Fertility*(1-P615)</x:f>
        <x:v>2.5885345178866435</x:v>
      </x:c>
      <x:c r="S615" s="9" t="n">
        <x:f>H615*Y614*INDEX(v01_MortChild,G615)/4*Q615</x:f>
        <x:v>0.8855069864331337</x:v>
      </x:c>
      <x:c r="T615" s="9" t="n">
        <x:f>H615*Z614*INDEX(v01_MortAdult,G615)*Arch_AdultMort/4*Q615</x:f>
        <x:v>0.3046689369761916</x:v>
      </x:c>
      <x:c r="U615" s="9" t="n">
        <x:f>H615*AA614*INDEX(v01_MortElder,G615)/4*Q615</x:f>
        <x:v>0.5614466112818942</x:v>
      </x:c>
      <x:c r="V615" s="9" t="n">
        <x:f>H615*MAX(0,AB614-O615)*v01_OvercapLoss</x:f>
        <x:v>0</x:v>
      </x:c>
      <x:c r="W615" s="9" t="n">
        <x:f>H615*Y614/(v01_ChildYears*4)</x:f>
        <x:v>1.3901208578228157</x:v>
      </x:c>
      <x:c r="X615" s="9" t="n">
        <x:f>H615*Z614/(v01_AdultYears*4)</x:f>
        <x:v>0.6300019375024639</x:v>
      </x:c>
      <x:c r="Y615" s="32" t="n">
        <x:f>Y614+R615-S615-W615-Y614*V615/AB614</x:f>
        <x:v>78.15967471170838</x:v>
      </x:c>
      <x:c r="Z615" s="32" t="n">
        <x:f>Z614+W615-X615-T615-Z614*V615/AB614</x:f>
        <x:v>78.5756902336497</x:v>
      </x:c>
      <x:c r="AA615" s="32" t="n">
        <x:f>AA614+X615-U615-AA614*V615/AB614</x:f>
        <x:v>24.747527250699434</x:v>
      </x:c>
      <x:c r="AB615" s="10" t="n">
        <x:f>Y615+Z615+AA615</x:f>
        <x:v>181.4828921960575</x:v>
      </x:c>
      <x:c r="AC615" s="8" t="n">
        <x:f>IF(AND(v01_WinterTrigger=1,D615=1,AB614/AE614&gt;=K615),1,0)</x:f>
        <x:v>0</x:v>
      </x:c>
      <x:c r="AD615" s="8" t="n">
        <x:f>H615*IF(AND(OR(AB614/AE614&gt;=v01_FissionTrigger*N615,AC615=1),AB614/AE614*v01_DaughterShare&gt;=v01_MinDaughter),MAX(1,ROUND(AE614*v01_FissionRate,0)),0)</x:f>
        <x:v>0</x:v>
      </x:c>
      <x:c r="AE615" s="8" t="n">
        <x:f>IF(H615=1,MAX(1,MIN(INDEX(v01_Smax,G615),AE614+AD615)),AE614)</x:f>
        <x:v>4</x:v>
      </x:c>
      <x:c r="AF615" s="8" t="n">
        <x:f>MAX(0,AE615-AE614)</x:f>
        <x:v>0</x:v>
      </x:c>
      <x:c r="AG615" s="9" t="str">
        <x:f>IF(AF615&gt;0,B615,"")</x:f>
      </x:c>
      <x:c r="AH615" s="9" t="n">
        <x:f>IF(F615&gt;=1,1,(1+v01_LowTiesShare*(AE615-1))/AE615)</x:f>
        <x:v>1</x:v>
      </x:c>
      <x:c r="AI615" s="32" t="n">
        <x:f>(Z615+v01_ElderCommons*INDEX(LM_Elder,G615)*AA615)*AH615</x:f>
        <x:v>152.818271985748</x:v>
      </x:c>
      <x:c r="AJ615" s="32" t="n">
        <x:f>H615*v01_CommonsCoef*AI615^v01_CommonsExp*INDEX(LM_Commons,G615)</x:f>
        <x:v>47.434347120488546</x:v>
      </x:c>
      <x:c r="AK615" s="32" t="n">
        <x:f>H615*v01_RoleScale*Arch_Roles*(AE615*(INDEX(v01_ElderRolePerSett,G615)*v01_OutElder*INDEX(LM_Elder,G615)+INDEX(v01_ShamanPerSett,G615)*v01_OutShaman)+Z615*(INDEX(v01_PriestShare,G615)*v01_OutPriest+INDEX(v01_ScribeShare,G615)*v01_OutScribe*INDEX(LM_Scribe,G615)+INDEX(v01_ScholarShare,G615)*v01_OutScholar*INDEX(LM_Scholar,G615)+INDEX(v01_ResearcherShare,G615)*v01_OutResearcher*INDEX(LM_Researcher,G615)))</x:f>
        <x:v>12</x:v>
      </x:c>
      <x:c r="AL615" s="32" t="n">
        <x:f>H615*v01_RoleScale*Arch_Roles*AE615*INDEX(v01_MonasteryPerSett,G615)*v01_OutMonastery*INDEX(LM_Monastery,G615)</x:f>
        <x:v>0</x:v>
      </x:c>
      <x:c r="AM615" s="32" t="n">
        <x:f>(AJ615+AK615+AL615)/4*INDEX(LM_All,G615)*INDEX(v01_Boon,G615)*Arch_Insight</x:f>
        <x:v>15.610802735865818</x:v>
      </x:c>
      <x:c r="AN615" s="32" t="n">
        <x:f>H615*(v01_KHPerAdult*Z615+v01_KHOfCommons*AJ615/4*INDEX(LM_All,G615))*v01_KHUsable*Arch_KH</x:f>
        <x:v>2.7501491581777393</x:v>
      </x:c>
      <x:c r="AO615" s="32" t="n">
        <x:f>MIN(AP614+AN615,AM615*v01_KHMaxRatio)</x:f>
        <x:v>2.7501491581777393</x:v>
      </x:c>
      <x:c r="AP615" s="32" t="n">
        <x:f>AP614+AN615-AO615</x:f>
        <x:v>0</x:v>
      </x:c>
      <x:c r="AQ615" s="32" t="n">
        <x:f>AM615+AO615</x:f>
        <x:v>18.360951894043556</x:v>
      </x:c>
      <x:c r="AR615" s="10" t="n">
        <x:f>IF(H615=1,INDEX(v01_Req,G615),0)</x:f>
        <x:v>4006.9599999999996</x:v>
      </x:c>
      <x:c r="AS615" s="32" t="n">
        <x:f>IF(H615=1,IF(E615=1,AS614-AR614,AS614)+AQ615,0)</x:f>
        <x:v>1670.4117990748896</x:v>
      </x:c>
      <x:c r="AT615" s="11" t="n">
        <x:f>IF(AR615&gt;0,MIN(1,AS615/AR615),1)</x:f>
        <x:v>0.4168775827746945</x:v>
      </x:c>
      <x:c r="AU615" s="10" t="n">
        <x:f>AB615/INDEX(v01_RepScale,G615)</x:f>
        <x:v>90.74144609802875</x:v>
      </x:c>
      <x:c r="AV615" s="32" t="n">
        <x:f>AM615*60/v01_SeasonSeconds</x:f>
        <x:v>62.443210943463264</x:v>
      </x:c>
    </x:row>
    <x:row r="616">
      <x:c r="A616" s="8" t="n">
        <x:f>A615+1</x:f>
        <x:v>613</x:v>
      </x:c>
      <x:c r="B616" s="9" t="n">
        <x:f>A616*v01_SeasonSeconds/60</x:f>
        <x:v>153.25</x:v>
      </x:c>
      <x:c r="C616" s="9" t="n">
        <x:f>A616/4</x:f>
        <x:v>153.25</x:v>
      </x:c>
      <x:c r="D616" s="8" t="n">
        <x:f>IF(MOD(A616,4)=0,1,0)</x:f>
        <x:v>0</x:v>
      </x:c>
      <x:c r="E616" s="8" t="n">
        <x:f>IF(AND(F615&lt;=9,AS615&gt;=AR615),1,0)</x:f>
        <x:v>0</x:v>
      </x:c>
      <x:c r="F616" s="8" t="n">
        <x:f>MIN(10,F615+E616)</x:f>
        <x:v>2</x:v>
      </x:c>
      <x:c r="G616" s="8" t="n">
        <x:f>MIN(F616,9)+1</x:f>
        <x:v>3</x:v>
      </x:c>
      <x:c r="H616" s="8" t="n">
        <x:f>IF(F616&lt;=9,1,0)</x:f>
        <x:v>1</x:v>
      </x:c>
      <x:c r="I616" s="9" t="n">
        <x:f>MIN(10,F615+IF(AR615&gt;0,MIN(1,AS615/AR615),1))</x:f>
        <x:v>2.4168775827746947</x:v>
      </x:c>
      <x:c r="J616" s="32" t="n">
        <x:f>INDEX(v01_FoodCap,G616)*Arch_FoodCap*EXP(v01_CapsByProject*SUMPRODUCT((Cap_Point&lt;=I616)*(Cap_Kind="Food")*Cap_Ln))</x:f>
        <x:v>60</x:v>
      </x:c>
      <x:c r="K616" s="32" t="n">
        <x:f>J616*MIN(1,v01_LeanBase*EXP(v01_CapsByProject*SUMPRODUCT((Cap_Point&lt;=I616)*(Cap_Kind="Lean")*Cap_Ln)))</x:f>
        <x:v>60</x:v>
      </x:c>
      <x:c r="L616" s="10" t="n">
        <x:f>INDEX(v01_HousingCap,G616)*EXP(v01_CapsByProject*SUMPRODUCT((Cap_Point&lt;=I616)*(Cap_Kind="Housing")*Cap_Ln))</x:f>
        <x:v>100</x:v>
      </x:c>
      <x:c r="M616" s="10" t="n">
        <x:f>INDEX(v01_GroupCap,G616)*v01_CohesionFactor*EXP(v01_CapsByProject*SUMPRODUCT((Cap_Point&lt;=I616)*(Cap_Kind="Group")*Cap_Ln))</x:f>
        <x:v>500</x:v>
      </x:c>
      <x:c r="N616" s="32" t="n">
        <x:f>MIN(J616,L616,M616)</x:f>
        <x:v>60</x:v>
      </x:c>
      <x:c r="O616" s="10" t="n">
        <x:f>AE615*N616</x:f>
        <x:v>240</x:v>
      </x:c>
      <x:c r="P616" s="9" t="n">
        <x:f>MIN(1,(AB615/(AE615*IF(v01_GroupInCrowding=1,N616,MIN(J616,L616))))^v01_CrowdingExp)</x:f>
        <x:v>0.1869591394318192</x:v>
      </x:c>
      <x:c r="Q616" s="9" t="n">
        <x:f>IF(D616=1,INDEX(v01_WinterMult,G616),1)</x:f>
        <x:v>1</x:v>
      </x:c>
      <x:c r="R616" s="9" t="n">
        <x:f>H616*Z615*v01_WomenShare*v01_BaseFertility*INDEX(v01_FertMult,G616)*Arch_Fertility*(1-P616)</x:f>
        <x:v>2.5873524956958667</x:v>
      </x:c>
      <x:c r="S616" s="9" t="n">
        <x:f>H616*Y615*INDEX(v01_MortChild,G616)/4*Q616</x:f>
        <x:v>0.6838971537274484</x:v>
      </x:c>
      <x:c r="T616" s="9" t="n">
        <x:f>H616*Z615*INDEX(v01_MortAdult,G616)*Arch_AdultMort/4*Q616</x:f>
        <x:v>0.2357270707009491</x:v>
      </x:c>
      <x:c r="U616" s="9" t="n">
        <x:f>H616*AA615*INDEX(v01_MortElder,G616)/4*Q616</x:f>
        <x:v>0.43308172688724017</x:v>
      </x:c>
      <x:c r="V616" s="9" t="n">
        <x:f>H616*MAX(0,AB615-O616)*v01_OvercapLoss</x:f>
        <x:v>0</x:v>
      </x:c>
      <x:c r="W616" s="9" t="n">
        <x:f>H616*Y615/(v01_ChildYears*4)</x:f>
        <x:v>1.3957084769947925</x:v>
      </x:c>
      <x:c r="X616" s="9" t="n">
        <x:f>H616*Z615/(v01_AdultYears*4)</x:f>
        <x:v>0.6336749212391104</x:v>
      </x:c>
      <x:c r="Y616" s="32" t="n">
        <x:f>Y615+R616-S616-W616-Y615*V616/AB615</x:f>
        <x:v>78.667421576682</x:v>
      </x:c>
      <x:c r="Z616" s="32" t="n">
        <x:f>Z615+W616-X616-T616-Z615*V616/AB615</x:f>
        <x:v>79.10199671870444</x:v>
      </x:c>
      <x:c r="AA616" s="32" t="n">
        <x:f>AA615+X616-U616-AA615*V616/AB615</x:f>
        <x:v>24.948120445051302</x:v>
      </x:c>
      <x:c r="AB616" s="10" t="n">
        <x:f>Y616+Z616+AA616</x:f>
        <x:v>182.71753874043776</x:v>
      </x:c>
      <x:c r="AC616" s="8" t="n">
        <x:f>IF(AND(v01_WinterTrigger=1,D616=1,AB615/AE615&gt;=K616),1,0)</x:f>
        <x:v>0</x:v>
      </x:c>
      <x:c r="AD616" s="8" t="n">
        <x:f>H616*IF(AND(OR(AB615/AE615&gt;=v01_FissionTrigger*N616,AC616=1),AB615/AE615*v01_DaughterShare&gt;=v01_MinDaughter),MAX(1,ROUND(AE615*v01_FissionRate,0)),0)</x:f>
        <x:v>0</x:v>
      </x:c>
      <x:c r="AE616" s="8" t="n">
        <x:f>IF(H616=1,MAX(1,MIN(INDEX(v01_Smax,G616),AE615+AD616)),AE615)</x:f>
        <x:v>4</x:v>
      </x:c>
      <x:c r="AF616" s="8" t="n">
        <x:f>MAX(0,AE616-AE615)</x:f>
        <x:v>0</x:v>
      </x:c>
      <x:c r="AG616" s="9" t="str">
        <x:f>IF(AF616&gt;0,B616,"")</x:f>
      </x:c>
      <x:c r="AH616" s="9" t="n">
        <x:f>IF(F616&gt;=1,1,(1+v01_LowTiesShare*(AE616-1))/AE616)</x:f>
        <x:v>1</x:v>
      </x:c>
      <x:c r="AI616" s="32" t="n">
        <x:f>(Z616+v01_ElderCommons*INDEX(LM_Elder,G616)*AA616)*AH616</x:f>
        <x:v>153.94635805385835</x:v>
      </x:c>
      <x:c r="AJ616" s="32" t="n">
        <x:f>H616*v01_CommonsCoef*AI616^v01_CommonsExp*INDEX(LM_Commons,G616)</x:f>
        <x:v>47.73181424310201</x:v>
      </x:c>
      <x:c r="AK616" s="32" t="n">
        <x:f>H616*v01_RoleScale*Arch_Roles*(AE616*(INDEX(v01_ElderRolePerSett,G616)*v01_OutElder*INDEX(LM_Elder,G616)+INDEX(v01_ShamanPerSett,G616)*v01_OutShaman)+Z616*(INDEX(v01_PriestShare,G616)*v01_OutPriest+INDEX(v01_ScribeShare,G616)*v01_OutScribe*INDEX(LM_Scribe,G616)+INDEX(v01_ScholarShare,G616)*v01_OutScholar*INDEX(LM_Scholar,G616)+INDEX(v01_ResearcherShare,G616)*v01_OutResearcher*INDEX(LM_Researcher,G616)))</x:f>
        <x:v>12</x:v>
      </x:c>
      <x:c r="AL616" s="32" t="n">
        <x:f>H616*v01_RoleScale*Arch_Roles*AE616*INDEX(v01_MonasteryPerSett,G616)*v01_OutMonastery*INDEX(LM_Monastery,G616)</x:f>
        <x:v>0</x:v>
      </x:c>
      <x:c r="AM616" s="32" t="n">
        <x:f>(AJ616+AK616+AL616)/4*INDEX(LM_All,G616)*INDEX(v01_Boon,G616)*Arch_Insight</x:f>
        <x:v>15.68893433478976</x:v>
      </x:c>
      <x:c r="AN616" s="32" t="n">
        <x:f>H616*(v01_KHPerAdult*Z616+v01_KHOfCommons*AJ616/4*INDEX(LM_All,G616))*v01_KHUsable*Arch_KH</x:f>
        <x:v>2.768569885154655</x:v>
      </x:c>
      <x:c r="AO616" s="32" t="n">
        <x:f>MIN(AP615+AN616,AM616*v01_KHMaxRatio)</x:f>
        <x:v>2.768569885154655</x:v>
      </x:c>
      <x:c r="AP616" s="32" t="n">
        <x:f>AP615+AN616-AO616</x:f>
        <x:v>0</x:v>
      </x:c>
      <x:c r="AQ616" s="32" t="n">
        <x:f>AM616+AO616</x:f>
        <x:v>18.457504219944415</x:v>
      </x:c>
      <x:c r="AR616" s="10" t="n">
        <x:f>IF(H616=1,INDEX(v01_Req,G616),0)</x:f>
        <x:v>4006.9599999999996</x:v>
      </x:c>
      <x:c r="AS616" s="32" t="n">
        <x:f>IF(H616=1,IF(E616=1,AS615-AR615,AS615)+AQ616,0)</x:f>
        <x:v>1688.869303294834</x:v>
      </x:c>
      <x:c r="AT616" s="11" t="n">
        <x:f>IF(AR616&gt;0,MIN(1,AS616/AR616),1)</x:f>
        <x:v>0.42148394376156345</x:v>
      </x:c>
      <x:c r="AU616" s="10" t="n">
        <x:f>AB616/INDEX(v01_RepScale,G616)</x:f>
        <x:v>91.35876937021888</x:v>
      </x:c>
      <x:c r="AV616" s="32" t="n">
        <x:f>AM616*60/v01_SeasonSeconds</x:f>
        <x:v>62.75573733915904</x:v>
      </x:c>
    </x:row>
    <x:row r="617">
      <x:c r="A617" s="8" t="n">
        <x:f>A616+1</x:f>
        <x:v>614</x:v>
      </x:c>
      <x:c r="B617" s="9" t="n">
        <x:f>A617*v01_SeasonSeconds/60</x:f>
        <x:v>153.5</x:v>
      </x:c>
      <x:c r="C617" s="9" t="n">
        <x:f>A617/4</x:f>
        <x:v>153.5</x:v>
      </x:c>
      <x:c r="D617" s="8" t="n">
        <x:f>IF(MOD(A617,4)=0,1,0)</x:f>
        <x:v>0</x:v>
      </x:c>
      <x:c r="E617" s="8" t="n">
        <x:f>IF(AND(F616&lt;=9,AS616&gt;=AR616),1,0)</x:f>
        <x:v>0</x:v>
      </x:c>
      <x:c r="F617" s="8" t="n">
        <x:f>MIN(10,F616+E617)</x:f>
        <x:v>2</x:v>
      </x:c>
      <x:c r="G617" s="8" t="n">
        <x:f>MIN(F617,9)+1</x:f>
        <x:v>3</x:v>
      </x:c>
      <x:c r="H617" s="8" t="n">
        <x:f>IF(F617&lt;=9,1,0)</x:f>
        <x:v>1</x:v>
      </x:c>
      <x:c r="I617" s="9" t="n">
        <x:f>MIN(10,F616+IF(AR616&gt;0,MIN(1,AS616/AR616),1))</x:f>
        <x:v>2.4214839437615634</x:v>
      </x:c>
      <x:c r="J617" s="32" t="n">
        <x:f>INDEX(v01_FoodCap,G617)*Arch_FoodCap*EXP(v01_CapsByProject*SUMPRODUCT((Cap_Point&lt;=I617)*(Cap_Kind="Food")*Cap_Ln))</x:f>
        <x:v>60</x:v>
      </x:c>
      <x:c r="K617" s="32" t="n">
        <x:f>J617*MIN(1,v01_LeanBase*EXP(v01_CapsByProject*SUMPRODUCT((Cap_Point&lt;=I617)*(Cap_Kind="Lean")*Cap_Ln)))</x:f>
        <x:v>60</x:v>
      </x:c>
      <x:c r="L617" s="10" t="n">
        <x:f>INDEX(v01_HousingCap,G617)*EXP(v01_CapsByProject*SUMPRODUCT((Cap_Point&lt;=I617)*(Cap_Kind="Housing")*Cap_Ln))</x:f>
        <x:v>100</x:v>
      </x:c>
      <x:c r="M617" s="10" t="n">
        <x:f>INDEX(v01_GroupCap,G617)*v01_CohesionFactor*EXP(v01_CapsByProject*SUMPRODUCT((Cap_Point&lt;=I617)*(Cap_Kind="Group")*Cap_Ln))</x:f>
        <x:v>500</x:v>
      </x:c>
      <x:c r="N617" s="32" t="n">
        <x:f>MIN(J617,L617,M617)</x:f>
        <x:v>60</x:v>
      </x:c>
      <x:c r="O617" s="10" t="n">
        <x:f>AE616*N617</x:f>
        <x:v>240</x:v>
      </x:c>
      <x:c r="P617" s="9" t="n">
        <x:f>MIN(1,(AB616/(AE616*IF(v01_GroupInCrowding=1,N617,MIN(J617,L617))))^v01_CrowdingExp)</x:f>
        <x:v>0.1947215280239953</x:v>
      </x:c>
      <x:c r="Q617" s="9" t="n">
        <x:f>IF(D617=1,INDEX(v01_WinterMult,G617),1)</x:f>
        <x:v>1</x:v>
      </x:c>
      <x:c r="R617" s="9" t="n">
        <x:f>H617*Z616*v01_WomenShare*v01_BaseFertility*INDEX(v01_FertMult,G617)*Arch_Fertility*(1-P617)</x:f>
        <x:v>2.5798149694395147</x:v>
      </x:c>
      <x:c r="S617" s="9" t="n">
        <x:f>H617*Y616*INDEX(v01_MortChild,G617)/4*Q617</x:f>
        <x:v>0.6883399387959676</x:v>
      </x:c>
      <x:c r="T617" s="9" t="n">
        <x:f>H617*Z616*INDEX(v01_MortAdult,G617)*Arch_AdultMort/4*Q617</x:f>
        <x:v>0.23730599015611334</x:v>
      </x:c>
      <x:c r="U617" s="9" t="n">
        <x:f>H617*AA616*INDEX(v01_MortElder,G617)/4*Q617</x:f>
        <x:v>0.4365921077883978</x:v>
      </x:c>
      <x:c r="V617" s="9" t="n">
        <x:f>H617*MAX(0,AB616-O617)*v01_OvercapLoss</x:f>
        <x:v>0</x:v>
      </x:c>
      <x:c r="W617" s="9" t="n">
        <x:f>H617*Y616/(v01_ChildYears*4)</x:f>
        <x:v>1.4047753852978928</x:v>
      </x:c>
      <x:c r="X617" s="9" t="n">
        <x:f>H617*Z616/(v01_AdultYears*4)</x:f>
        <x:v>0.6379193283766488</x:v>
      </x:c>
      <x:c r="Y617" s="32" t="n">
        <x:f>Y616+R617-S617-W617-Y616*V617/AB616</x:f>
        <x:v>79.15412122202765</x:v>
      </x:c>
      <x:c r="Z617" s="32" t="n">
        <x:f>Z616+W617-X617-T617-Z616*V617/AB616</x:f>
        <x:v>79.63154678546957</x:v>
      </x:c>
      <x:c r="AA617" s="32" t="n">
        <x:f>AA616+X617-U617-AA616*V617/AB616</x:f>
        <x:v>25.149447665639556</x:v>
      </x:c>
      <x:c r="AB617" s="10" t="n">
        <x:f>Y617+Z617+AA617</x:f>
        <x:v>183.9351156731368</x:v>
      </x:c>
      <x:c r="AC617" s="8" t="n">
        <x:f>IF(AND(v01_WinterTrigger=1,D617=1,AB616/AE616&gt;=K617),1,0)</x:f>
        <x:v>0</x:v>
      </x:c>
      <x:c r="AD617" s="8" t="n">
        <x:f>H617*IF(AND(OR(AB616/AE616&gt;=v01_FissionTrigger*N617,AC617=1),AB616/AE616*v01_DaughterShare&gt;=v01_MinDaughter),MAX(1,ROUND(AE616*v01_FissionRate,0)),0)</x:f>
        <x:v>0</x:v>
      </x:c>
      <x:c r="AE617" s="8" t="n">
        <x:f>IF(H617=1,MAX(1,MIN(INDEX(v01_Smax,G617),AE616+AD617)),AE616)</x:f>
        <x:v>4</x:v>
      </x:c>
      <x:c r="AF617" s="8" t="n">
        <x:f>MAX(0,AE617-AE616)</x:f>
        <x:v>0</x:v>
      </x:c>
      <x:c r="AG617" s="9" t="str">
        <x:f>IF(AF617&gt;0,B617,"")</x:f>
      </x:c>
      <x:c r="AH617" s="9" t="n">
        <x:f>IF(F617&gt;=1,1,(1+v01_LowTiesShare*(AE617-1))/AE617)</x:f>
        <x:v>1</x:v>
      </x:c>
      <x:c r="AI617" s="32" t="n">
        <x:f>(Z617+v01_ElderCommons*INDEX(LM_Elder,G617)*AA617)*AH617</x:f>
        <x:v>155.07988978238825</x:v>
      </x:c>
      <x:c r="AJ617" s="32" t="n">
        <x:f>H617*v01_CommonsCoef*AI617^v01_CommonsExp*INDEX(LM_Commons,G617)</x:f>
        <x:v>48.030388186577184</x:v>
      </x:c>
      <x:c r="AK617" s="32" t="n">
        <x:f>H617*v01_RoleScale*Arch_Roles*(AE617*(INDEX(v01_ElderRolePerSett,G617)*v01_OutElder*INDEX(LM_Elder,G617)+INDEX(v01_ShamanPerSett,G617)*v01_OutShaman)+Z617*(INDEX(v01_PriestShare,G617)*v01_OutPriest+INDEX(v01_ScribeShare,G617)*v01_OutScribe*INDEX(LM_Scribe,G617)+INDEX(v01_ScholarShare,G617)*v01_OutScholar*INDEX(LM_Scholar,G617)+INDEX(v01_ResearcherShare,G617)*v01_OutResearcher*INDEX(LM_Researcher,G617)))</x:f>
        <x:v>12</x:v>
      </x:c>
      <x:c r="AL617" s="32" t="n">
        <x:f>H617*v01_RoleScale*Arch_Roles*AE617*INDEX(v01_MonasteryPerSett,G617)*v01_OutMonastery*INDEX(LM_Monastery,G617)</x:f>
        <x:v>0</x:v>
      </x:c>
      <x:c r="AM617" s="32" t="n">
        <x:f>(AJ617+AK617+AL617)/4*INDEX(LM_All,G617)*INDEX(v01_Boon,G617)*Arch_Insight</x:f>
        <x:v>15.767356647130663</x:v>
      </x:c>
      <x:c r="AN617" s="32" t="n">
        <x:f>H617*(v01_KHPerAdult*Z617+v01_KHOfCommons*AJ617/4*INDEX(LM_All,G617))*v01_KHUsable*Arch_KH</x:f>
        <x:v>2.7871041374914345</x:v>
      </x:c>
      <x:c r="AO617" s="32" t="n">
        <x:f>MIN(AP616+AN617,AM617*v01_KHMaxRatio)</x:f>
        <x:v>2.7871041374914345</x:v>
      </x:c>
      <x:c r="AP617" s="32" t="n">
        <x:f>AP616+AN617-AO617</x:f>
        <x:v>0</x:v>
      </x:c>
      <x:c r="AQ617" s="32" t="n">
        <x:f>AM617+AO617</x:f>
        <x:v>18.554460784622098</x:v>
      </x:c>
      <x:c r="AR617" s="10" t="n">
        <x:f>IF(H617=1,INDEX(v01_Req,G617),0)</x:f>
        <x:v>4006.9599999999996</x:v>
      </x:c>
      <x:c r="AS617" s="32" t="n">
        <x:f>IF(H617=1,IF(E617=1,AS616-AR616,AS616)+AQ617,0)</x:f>
        <x:v>1707.423764079456</x:v>
      </x:c>
      <x:c r="AT617" s="11" t="n">
        <x:f>IF(AR617&gt;0,MIN(1,AS617/AR617),1)</x:f>
        <x:v>0.4261145017867551</x:v>
      </x:c>
      <x:c r="AU617" s="10" t="n">
        <x:f>AB617/INDEX(v01_RepScale,G617)</x:f>
        <x:v>91.9675578365684</x:v>
      </x:c>
      <x:c r="AV617" s="32" t="n">
        <x:f>AM617*60/v01_SeasonSeconds</x:f>
        <x:v>63.06942658852265</x:v>
      </x:c>
    </x:row>
    <x:row r="618">
      <x:c r="A618" s="8" t="n">
        <x:f>A617+1</x:f>
        <x:v>615</x:v>
      </x:c>
      <x:c r="B618" s="9" t="n">
        <x:f>A618*v01_SeasonSeconds/60</x:f>
        <x:v>153.75</x:v>
      </x:c>
      <x:c r="C618" s="9" t="n">
        <x:f>A618/4</x:f>
        <x:v>153.75</x:v>
      </x:c>
      <x:c r="D618" s="8" t="n">
        <x:f>IF(MOD(A618,4)=0,1,0)</x:f>
        <x:v>0</x:v>
      </x:c>
      <x:c r="E618" s="8" t="n">
        <x:f>IF(AND(F617&lt;=9,AS617&gt;=AR617),1,0)</x:f>
        <x:v>0</x:v>
      </x:c>
      <x:c r="F618" s="8" t="n">
        <x:f>MIN(10,F617+E618)</x:f>
        <x:v>2</x:v>
      </x:c>
      <x:c r="G618" s="8" t="n">
        <x:f>MIN(F618,9)+1</x:f>
        <x:v>3</x:v>
      </x:c>
      <x:c r="H618" s="8" t="n">
        <x:f>IF(F618&lt;=9,1,0)</x:f>
        <x:v>1</x:v>
      </x:c>
      <x:c r="I618" s="9" t="n">
        <x:f>MIN(10,F617+IF(AR617&gt;0,MIN(1,AS617/AR617),1))</x:f>
        <x:v>2.426114501786755</x:v>
      </x:c>
      <x:c r="J618" s="32" t="n">
        <x:f>INDEX(v01_FoodCap,G618)*Arch_FoodCap*EXP(v01_CapsByProject*SUMPRODUCT((Cap_Point&lt;=I618)*(Cap_Kind="Food")*Cap_Ln))</x:f>
        <x:v>60</x:v>
      </x:c>
      <x:c r="K618" s="32" t="n">
        <x:f>J618*MIN(1,v01_LeanBase*EXP(v01_CapsByProject*SUMPRODUCT((Cap_Point&lt;=I618)*(Cap_Kind="Lean")*Cap_Ln)))</x:f>
        <x:v>60</x:v>
      </x:c>
      <x:c r="L618" s="10" t="n">
        <x:f>INDEX(v01_HousingCap,G618)*EXP(v01_CapsByProject*SUMPRODUCT((Cap_Point&lt;=I618)*(Cap_Kind="Housing")*Cap_Ln))</x:f>
        <x:v>100</x:v>
      </x:c>
      <x:c r="M618" s="10" t="n">
        <x:f>INDEX(v01_GroupCap,G618)*v01_CohesionFactor*EXP(v01_CapsByProject*SUMPRODUCT((Cap_Point&lt;=I618)*(Cap_Kind="Group")*Cap_Ln))</x:f>
        <x:v>500</x:v>
      </x:c>
      <x:c r="N618" s="32" t="n">
        <x:f>MIN(J618,L618,M618)</x:f>
        <x:v>60</x:v>
      </x:c>
      <x:c r="O618" s="10" t="n">
        <x:f>AE617*N618</x:f>
        <x:v>240</x:v>
      </x:c>
      <x:c r="P618" s="9" t="n">
        <x:f>MIN(1,(AB617/(AE617*IF(v01_GroupInCrowding=1,N618,MIN(J618,L618))))^v01_CrowdingExp)</x:f>
        <x:v>0.20263779376642732</x:v>
      </x:c>
      <x:c r="Q618" s="9" t="n">
        <x:f>IF(D618=1,INDEX(v01_WinterMult,G618),1)</x:f>
        <x:v>1</x:v>
      </x:c>
      <x:c r="R618" s="9" t="n">
        <x:f>H618*Z617*v01_WomenShare*v01_BaseFertility*INDEX(v01_FertMult,G618)*Arch_Fertility*(1-P618)</x:f>
        <x:v>2.571555026141486</x:v>
      </x:c>
      <x:c r="S618" s="9" t="n">
        <x:f>H618*Y617*INDEX(v01_MortChild,G618)/4*Q618</x:f>
        <x:v>0.6925985606927421</x:v>
      </x:c>
      <x:c r="T618" s="9" t="n">
        <x:f>H618*Z617*INDEX(v01_MortAdult,G618)*Arch_AdultMort/4*Q618</x:f>
        <x:v>0.2388946403564087</x:v>
      </x:c>
      <x:c r="U618" s="9" t="n">
        <x:f>H618*AA617*INDEX(v01_MortElder,G618)/4*Q618</x:f>
        <x:v>0.44011533414869225</x:v>
      </x:c>
      <x:c r="V618" s="9" t="n">
        <x:f>H618*MAX(0,AB617-O618)*v01_OvercapLoss</x:f>
        <x:v>0</x:v>
      </x:c>
      <x:c r="W618" s="9" t="n">
        <x:f>H618*Y617/(v01_ChildYears*4)</x:f>
        <x:v>1.413466450393351</x:v>
      </x:c>
      <x:c r="X618" s="9" t="n">
        <x:f>H618*Z617/(v01_AdultYears*4)</x:f>
        <x:v>0.6421898934312061</x:v>
      </x:c>
      <x:c r="Y618" s="32" t="n">
        <x:f>Y617+R618-S618-W618-Y617*V618/AB617</x:f>
        <x:v>79.61961123708303</x:v>
      </x:c>
      <x:c r="Z618" s="32" t="n">
        <x:f>Z617+W618-X618-T618-Z617*V618/AB617</x:f>
        <x:v>80.16392870207531</x:v>
      </x:c>
      <x:c r="AA618" s="32" t="n">
        <x:f>AA617+X618-U618-AA617*V618/AB617</x:f>
        <x:v>25.351522224922068</x:v>
      </x:c>
      <x:c r="AB618" s="10" t="n">
        <x:f>Y618+Z618+AA618</x:f>
        <x:v>185.1350621640804</x:v>
      </x:c>
      <x:c r="AC618" s="8" t="n">
        <x:f>IF(AND(v01_WinterTrigger=1,D618=1,AB617/AE617&gt;=K618),1,0)</x:f>
        <x:v>0</x:v>
      </x:c>
      <x:c r="AD618" s="8" t="n">
        <x:f>H618*IF(AND(OR(AB617/AE617&gt;=v01_FissionTrigger*N618,AC618=1),AB617/AE617*v01_DaughterShare&gt;=v01_MinDaughter),MAX(1,ROUND(AE617*v01_FissionRate,0)),0)</x:f>
        <x:v>0</x:v>
      </x:c>
      <x:c r="AE618" s="8" t="n">
        <x:f>IF(H618=1,MAX(1,MIN(INDEX(v01_Smax,G618),AE617+AD618)),AE617)</x:f>
        <x:v>4</x:v>
      </x:c>
      <x:c r="AF618" s="8" t="n">
        <x:f>MAX(0,AE618-AE617)</x:f>
        <x:v>0</x:v>
      </x:c>
      <x:c r="AG618" s="9" t="str">
        <x:f>IF(AF618&gt;0,B618,"")</x:f>
      </x:c>
      <x:c r="AH618" s="9" t="n">
        <x:f>IF(F618&gt;=1,1,(1+v01_LowTiesShare*(AE618-1))/AE618)</x:f>
        <x:v>1</x:v>
      </x:c>
      <x:c r="AI618" s="32" t="n">
        <x:f>(Z618+v01_ElderCommons*INDEX(LM_Elder,G618)*AA618)*AH618</x:f>
        <x:v>156.21849537684153</x:v>
      </x:c>
      <x:c r="AJ618" s="32" t="n">
        <x:f>H618*v01_CommonsCoef*AI618^v01_CommonsExp*INDEX(LM_Commons,G618)</x:f>
        <x:v>48.329969217420306</x:v>
      </x:c>
      <x:c r="AK618" s="32" t="n">
        <x:f>H618*v01_RoleScale*Arch_Roles*(AE618*(INDEX(v01_ElderRolePerSett,G618)*v01_OutElder*INDEX(LM_Elder,G618)+INDEX(v01_ShamanPerSett,G618)*v01_OutShaman)+Z618*(INDEX(v01_PriestShare,G618)*v01_OutPriest+INDEX(v01_ScribeShare,G618)*v01_OutScribe*INDEX(LM_Scribe,G618)+INDEX(v01_ScholarShare,G618)*v01_OutScholar*INDEX(LM_Scholar,G618)+INDEX(v01_ResearcherShare,G618)*v01_OutResearcher*INDEX(LM_Researcher,G618)))</x:f>
        <x:v>12</x:v>
      </x:c>
      <x:c r="AL618" s="32" t="n">
        <x:f>H618*v01_RoleScale*Arch_Roles*AE618*INDEX(v01_MonasteryPerSett,G618)*v01_OutMonastery*INDEX(LM_Monastery,G618)</x:f>
        <x:v>0</x:v>
      </x:c>
      <x:c r="AM618" s="32" t="n">
        <x:f>(AJ618+AK618+AL618)/4*INDEX(LM_All,G618)*INDEX(v01_Boon,G618)*Arch_Insight</x:f>
        <x:v>15.84604347726305</x:v>
      </x:c>
      <x:c r="AN618" s="32" t="n">
        <x:f>H618*(v01_KHPerAdult*Z618+v01_KHOfCommons*AJ618/4*INDEX(LM_All,G618))*v01_KHUsable*Arch_KH</x:f>
        <x:v>2.8057375045726354</x:v>
      </x:c>
      <x:c r="AO618" s="32" t="n">
        <x:f>MIN(AP617+AN618,AM618*v01_KHMaxRatio)</x:f>
        <x:v>2.8057375045726354</x:v>
      </x:c>
      <x:c r="AP618" s="32" t="n">
        <x:f>AP617+AN618-AO618</x:f>
        <x:v>0</x:v>
      </x:c>
      <x:c r="AQ618" s="32" t="n">
        <x:f>AM618+AO618</x:f>
        <x:v>18.651780981835685</x:v>
      </x:c>
      <x:c r="AR618" s="10" t="n">
        <x:f>IF(H618=1,INDEX(v01_Req,G618),0)</x:f>
        <x:v>4006.9599999999996</x:v>
      </x:c>
      <x:c r="AS618" s="32" t="n">
        <x:f>IF(H618=1,IF(E618=1,AS617-AR617,AS617)+AQ618,0)</x:f>
        <x:v>1726.0755450612917</x:v>
      </x:c>
      <x:c r="AT618" s="11" t="n">
        <x:f>IF(AR618&gt;0,MIN(1,AS618/AR618),1)</x:f>
        <x:v>0.4307693476004981</x:v>
      </x:c>
      <x:c r="AU618" s="10" t="n">
        <x:f>AB618/INDEX(v01_RepScale,G618)</x:f>
        <x:v>92.5675310820402</x:v>
      </x:c>
      <x:c r="AV618" s="32" t="n">
        <x:f>AM618*60/v01_SeasonSeconds</x:f>
        <x:v>63.3841739090522</x:v>
      </x:c>
    </x:row>
    <x:row r="619">
      <x:c r="A619" s="8" t="n">
        <x:f>A618+1</x:f>
        <x:v>616</x:v>
      </x:c>
      <x:c r="B619" s="9" t="n">
        <x:f>A619*v01_SeasonSeconds/60</x:f>
        <x:v>154</x:v>
      </x:c>
      <x:c r="C619" s="9" t="n">
        <x:f>A619/4</x:f>
        <x:v>154</x:v>
      </x:c>
      <x:c r="D619" s="8" t="n">
        <x:f>IF(MOD(A619,4)=0,1,0)</x:f>
        <x:v>1</x:v>
      </x:c>
      <x:c r="E619" s="8" t="n">
        <x:f>IF(AND(F618&lt;=9,AS618&gt;=AR618),1,0)</x:f>
        <x:v>0</x:v>
      </x:c>
      <x:c r="F619" s="8" t="n">
        <x:f>MIN(10,F618+E619)</x:f>
        <x:v>2</x:v>
      </x:c>
      <x:c r="G619" s="8" t="n">
        <x:f>MIN(F619,9)+1</x:f>
        <x:v>3</x:v>
      </x:c>
      <x:c r="H619" s="8" t="n">
        <x:f>IF(F619&lt;=9,1,0)</x:f>
        <x:v>1</x:v>
      </x:c>
      <x:c r="I619" s="9" t="n">
        <x:f>MIN(10,F618+IF(AR618&gt;0,MIN(1,AS618/AR618),1))</x:f>
        <x:v>2.4307693476004983</x:v>
      </x:c>
      <x:c r="J619" s="32" t="n">
        <x:f>INDEX(v01_FoodCap,G619)*Arch_FoodCap*EXP(v01_CapsByProject*SUMPRODUCT((Cap_Point&lt;=I619)*(Cap_Kind="Food")*Cap_Ln))</x:f>
        <x:v>60</x:v>
      </x:c>
      <x:c r="K619" s="32" t="n">
        <x:f>J619*MIN(1,v01_LeanBase*EXP(v01_CapsByProject*SUMPRODUCT((Cap_Point&lt;=I619)*(Cap_Kind="Lean")*Cap_Ln)))</x:f>
        <x:v>60</x:v>
      </x:c>
      <x:c r="L619" s="10" t="n">
        <x:f>INDEX(v01_HousingCap,G619)*EXP(v01_CapsByProject*SUMPRODUCT((Cap_Point&lt;=I619)*(Cap_Kind="Housing")*Cap_Ln))</x:f>
        <x:v>100</x:v>
      </x:c>
      <x:c r="M619" s="10" t="n">
        <x:f>INDEX(v01_GroupCap,G619)*v01_CohesionFactor*EXP(v01_CapsByProject*SUMPRODUCT((Cap_Point&lt;=I619)*(Cap_Kind="Group")*Cap_Ln))</x:f>
        <x:v>500</x:v>
      </x:c>
      <x:c r="N619" s="32" t="n">
        <x:f>MIN(J619,L619,M619)</x:f>
        <x:v>60</x:v>
      </x:c>
      <x:c r="O619" s="10" t="n">
        <x:f>AE618*N619</x:f>
        <x:v>240</x:v>
      </x:c>
      <x:c r="P619" s="9" t="n">
        <x:f>MIN(1,(AB618/(AE618*IF(v01_GroupInCrowding=1,N619,MIN(J619,L619))))^v01_CrowdingExp)</x:f>
        <x:v>0.2107000347424361</x:v>
      </x:c>
      <x:c r="Q619" s="9" t="n">
        <x:f>IF(D619=1,INDEX(v01_WinterMult,G619),1)</x:f>
        <x:v>1.3</x:v>
      </x:c>
      <x:c r="R619" s="9" t="n">
        <x:f>H619*Z618*v01_WomenShare*v01_BaseFertility*INDEX(v01_FertMult,G619)*Arch_Fertility*(1-P619)</x:f>
        <x:v>2.5625721386480436</x:v>
      </x:c>
      <x:c r="S619" s="9" t="n">
        <x:f>H619*Y618*INDEX(v01_MortChild,G619)/4*Q619</x:f>
        <x:v>0.9056730778218197</x:v>
      </x:c>
      <x:c r="T619" s="9" t="n">
        <x:f>H619*Z618*INDEX(v01_MortAdult,G619)*Arch_AdultMort/4*Q619</x:f>
        <x:v>0.31263932193809374</x:v>
      </x:c>
      <x:c r="U619" s="9" t="n">
        <x:f>H619*AA618*INDEX(v01_MortElder,G619)/4*Q619</x:f>
        <x:v>0.5767471306169771</x:v>
      </x:c>
      <x:c r="V619" s="9" t="n">
        <x:f>H619*MAX(0,AB618-O619)*v01_OvercapLoss</x:f>
        <x:v>0</x:v>
      </x:c>
      <x:c r="W619" s="9" t="n">
        <x:f>H619*Y618/(v01_ChildYears*4)</x:f>
        <x:v>1.4217787720907684</x:v>
      </x:c>
      <x:c r="X619" s="9" t="n">
        <x:f>H619*Z618/(v01_AdultYears*4)</x:f>
        <x:v>0.6464832959844783</x:v>
      </x:c>
      <x:c r="Y619" s="32" t="n">
        <x:f>Y618+R619-S619-W619-Y618*V619/AB618</x:f>
        <x:v>79.8547315258185</x:v>
      </x:c>
      <x:c r="Z619" s="32" t="n">
        <x:f>Z618+W619-X619-T619-Z618*V619/AB618</x:f>
        <x:v>80.62658485624351</x:v>
      </x:c>
      <x:c r="AA619" s="32" t="n">
        <x:f>AA618+X619-U619-AA618*V619/AB618</x:f>
        <x:v>25.42125839028957</x:v>
      </x:c>
      <x:c r="AB619" s="10" t="n">
        <x:f>Y619+Z619+AA619</x:f>
        <x:v>185.90257477235158</x:v>
      </x:c>
      <x:c r="AC619" s="8" t="n">
        <x:f>IF(AND(v01_WinterTrigger=1,D619=1,AB618/AE618&gt;=K619),1,0)</x:f>
        <x:v>0</x:v>
      </x:c>
      <x:c r="AD619" s="8" t="n">
        <x:f>H619*IF(AND(OR(AB618/AE618&gt;=v01_FissionTrigger*N619,AC619=1),AB618/AE618*v01_DaughterShare&gt;=v01_MinDaughter),MAX(1,ROUND(AE618*v01_FissionRate,0)),0)</x:f>
        <x:v>0</x:v>
      </x:c>
      <x:c r="AE619" s="8" t="n">
        <x:f>IF(H619=1,MAX(1,MIN(INDEX(v01_Smax,G619),AE618+AD619)),AE618)</x:f>
        <x:v>4</x:v>
      </x:c>
      <x:c r="AF619" s="8" t="n">
        <x:f>MAX(0,AE619-AE618)</x:f>
        <x:v>0</x:v>
      </x:c>
      <x:c r="AG619" s="9" t="str">
        <x:f>IF(AF619&gt;0,B619,"")</x:f>
      </x:c>
      <x:c r="AH619" s="9" t="n">
        <x:f>IF(F619&gt;=1,1,(1+v01_LowTiesShare*(AE619-1))/AE619)</x:f>
        <x:v>1</x:v>
      </x:c>
      <x:c r="AI619" s="32" t="n">
        <x:f>(Z619+v01_ElderCommons*INDEX(LM_Elder,G619)*AA619)*AH619</x:f>
        <x:v>156.89036002711222</x:v>
      </x:c>
      <x:c r="AJ619" s="32" t="n">
        <x:f>H619*v01_CommonsCoef*AI619^v01_CommonsExp*INDEX(LM_Commons,G619)</x:f>
        <x:v>48.50659126167995</x:v>
      </x:c>
      <x:c r="AK619" s="32" t="n">
        <x:f>H619*v01_RoleScale*Arch_Roles*(AE619*(INDEX(v01_ElderRolePerSett,G619)*v01_OutElder*INDEX(LM_Elder,G619)+INDEX(v01_ShamanPerSett,G619)*v01_OutShaman)+Z619*(INDEX(v01_PriestShare,G619)*v01_OutPriest+INDEX(v01_ScribeShare,G619)*v01_OutScribe*INDEX(LM_Scribe,G619)+INDEX(v01_ScholarShare,G619)*v01_OutScholar*INDEX(LM_Scholar,G619)+INDEX(v01_ResearcherShare,G619)*v01_OutResearcher*INDEX(LM_Researcher,G619)))</x:f>
        <x:v>12</x:v>
      </x:c>
      <x:c r="AL619" s="32" t="n">
        <x:f>H619*v01_RoleScale*Arch_Roles*AE619*INDEX(v01_MonasteryPerSett,G619)*v01_OutMonastery*INDEX(LM_Monastery,G619)</x:f>
        <x:v>0</x:v>
      </x:c>
      <x:c r="AM619" s="32" t="n">
        <x:f>(AJ619+AK619+AL619)/4*INDEX(LM_All,G619)*INDEX(v01_Boon,G619)*Arch_Insight</x:f>
        <x:v>15.892434361075624</x:v>
      </x:c>
      <x:c r="AN619" s="32" t="n">
        <x:f>H619*(v01_KHPerAdult*Z619+v01_KHOfCommons*AJ619/4*INDEX(LM_All,G619))*v01_KHUsable*Arch_KH</x:f>
        <x:v>2.8219304699685233</x:v>
      </x:c>
      <x:c r="AO619" s="32" t="n">
        <x:f>MIN(AP618+AN619,AM619*v01_KHMaxRatio)</x:f>
        <x:v>2.8219304699685233</x:v>
      </x:c>
      <x:c r="AP619" s="32" t="n">
        <x:f>AP618+AN619-AO619</x:f>
        <x:v>0</x:v>
      </x:c>
      <x:c r="AQ619" s="32" t="n">
        <x:f>AM619+AO619</x:f>
        <x:v>18.714364831044147</x:v>
      </x:c>
      <x:c r="AR619" s="10" t="n">
        <x:f>IF(H619=1,INDEX(v01_Req,G619),0)</x:f>
        <x:v>4006.9599999999996</x:v>
      </x:c>
      <x:c r="AS619" s="32" t="n">
        <x:f>IF(H619=1,IF(E619=1,AS618-AR618,AS618)+AQ619,0)</x:f>
        <x:v>1744.7899098923358</x:v>
      </x:c>
      <x:c r="AT619" s="11" t="n">
        <x:f>IF(AR619&gt;0,MIN(1,AS619/AR619),1)</x:f>
        <x:v>0.4354398121998562</x:v>
      </x:c>
      <x:c r="AU619" s="10" t="n">
        <x:f>AB619/INDEX(v01_RepScale,G619)</x:f>
        <x:v>92.95128738617579</x:v>
      </x:c>
      <x:c r="AV619" s="32" t="n">
        <x:f>AM619*60/v01_SeasonSeconds</x:f>
        <x:v>63.5697374443025</x:v>
      </x:c>
    </x:row>
    <x:row r="620">
      <x:c r="A620" s="8" t="n">
        <x:f>A619+1</x:f>
        <x:v>617</x:v>
      </x:c>
      <x:c r="B620" s="9" t="n">
        <x:f>A620*v01_SeasonSeconds/60</x:f>
        <x:v>154.25</x:v>
      </x:c>
      <x:c r="C620" s="9" t="n">
        <x:f>A620/4</x:f>
        <x:v>154.25</x:v>
      </x:c>
      <x:c r="D620" s="8" t="n">
        <x:f>IF(MOD(A620,4)=0,1,0)</x:f>
        <x:v>0</x:v>
      </x:c>
      <x:c r="E620" s="8" t="n">
        <x:f>IF(AND(F619&lt;=9,AS619&gt;=AR619),1,0)</x:f>
        <x:v>0</x:v>
      </x:c>
      <x:c r="F620" s="8" t="n">
        <x:f>MIN(10,F619+E620)</x:f>
        <x:v>2</x:v>
      </x:c>
      <x:c r="G620" s="8" t="n">
        <x:f>MIN(F620,9)+1</x:f>
        <x:v>3</x:v>
      </x:c>
      <x:c r="H620" s="8" t="n">
        <x:f>IF(F620&lt;=9,1,0)</x:f>
        <x:v>1</x:v>
      </x:c>
      <x:c r="I620" s="9" t="n">
        <x:f>MIN(10,F619+IF(AR619&gt;0,MIN(1,AS619/AR619),1))</x:f>
        <x:v>2.4354398121998564</x:v>
      </x:c>
      <x:c r="J620" s="32" t="n">
        <x:f>INDEX(v01_FoodCap,G620)*Arch_FoodCap*EXP(v01_CapsByProject*SUMPRODUCT((Cap_Point&lt;=I620)*(Cap_Kind="Food")*Cap_Ln))</x:f>
        <x:v>60</x:v>
      </x:c>
      <x:c r="K620" s="32" t="n">
        <x:f>J620*MIN(1,v01_LeanBase*EXP(v01_CapsByProject*SUMPRODUCT((Cap_Point&lt;=I620)*(Cap_Kind="Lean")*Cap_Ln)))</x:f>
        <x:v>60</x:v>
      </x:c>
      <x:c r="L620" s="10" t="n">
        <x:f>INDEX(v01_HousingCap,G620)*EXP(v01_CapsByProject*SUMPRODUCT((Cap_Point&lt;=I620)*(Cap_Kind="Housing")*Cap_Ln))</x:f>
        <x:v>100</x:v>
      </x:c>
      <x:c r="M620" s="10" t="n">
        <x:f>INDEX(v01_GroupCap,G620)*v01_CohesionFactor*EXP(v01_CapsByProject*SUMPRODUCT((Cap_Point&lt;=I620)*(Cap_Kind="Group")*Cap_Ln))</x:f>
        <x:v>500</x:v>
      </x:c>
      <x:c r="N620" s="32" t="n">
        <x:f>MIN(J620,L620,M620)</x:f>
        <x:v>60</x:v>
      </x:c>
      <x:c r="O620" s="10" t="n">
        <x:f>AE619*N620</x:f>
        <x:v>240</x:v>
      </x:c>
      <x:c r="P620" s="9" t="n">
        <x:f>MIN(1,(AB619/(AE619*IF(v01_GroupInCrowding=1,N620,MIN(J620,L620))))^v01_CrowdingExp)</x:f>
        <x:v>0.21599563703543426</x:v>
      </x:c>
      <x:c r="Q620" s="9" t="n">
        <x:f>IF(D620=1,INDEX(v01_WinterMult,G620),1)</x:f>
        <x:v>1</x:v>
      </x:c>
      <x:c r="R620" s="9" t="n">
        <x:f>H620*Z619*v01_WomenShare*v01_BaseFertility*INDEX(v01_FertMult,G620)*Arch_Fertility*(1-P620)</x:f>
        <x:v>2.560069569078222</x:v>
      </x:c>
      <x:c r="S620" s="9" t="n">
        <x:f>H620*Y619*INDEX(v01_MortChild,G620)/4*Q620</x:f>
        <x:v>0.6987289008509119</x:v>
      </x:c>
      <x:c r="T620" s="9" t="n">
        <x:f>H620*Z619*INDEX(v01_MortAdult,G620)*Arch_AdultMort/4*Q620</x:f>
        <x:v>0.24187975456873054</x:v>
      </x:c>
      <x:c r="U620" s="9" t="n">
        <x:f>H620*AA619*INDEX(v01_MortElder,G620)/4*Q620</x:f>
        <x:v>0.4448720218300675</x:v>
      </x:c>
      <x:c r="V620" s="9" t="n">
        <x:f>H620*MAX(0,AB619-O620)*v01_OvercapLoss</x:f>
        <x:v>0</x:v>
      </x:c>
      <x:c r="W620" s="9" t="n">
        <x:f>H620*Y619/(v01_ChildYears*4)</x:f>
        <x:v>1.4259773486753302</x:v>
      </x:c>
      <x:c r="X620" s="9" t="n">
        <x:f>H620*Z619/(v01_AdultYears*4)</x:f>
        <x:v>0.6502143940019638</x:v>
      </x:c>
      <x:c r="Y620" s="32" t="n">
        <x:f>Y619+R620-S620-W620-Y619*V620/AB619</x:f>
        <x:v>80.29009484537048</x:v>
      </x:c>
      <x:c r="Z620" s="32" t="n">
        <x:f>Z619+W620-X620-T620-Z619*V620/AB619</x:f>
        <x:v>81.16046805634815</x:v>
      </x:c>
      <x:c r="AA620" s="32" t="n">
        <x:f>AA619+X620-U620-AA619*V620/AB619</x:f>
        <x:v>25.626600762461464</x:v>
      </x:c>
      <x:c r="AB620" s="10" t="n">
        <x:f>Y620+Z620+AA620</x:f>
        <x:v>187.0771636641801</x:v>
      </x:c>
      <x:c r="AC620" s="8" t="n">
        <x:f>IF(AND(v01_WinterTrigger=1,D620=1,AB619/AE619&gt;=K620),1,0)</x:f>
        <x:v>0</x:v>
      </x:c>
      <x:c r="AD620" s="8" t="n">
        <x:f>H620*IF(AND(OR(AB619/AE619&gt;=v01_FissionTrigger*N620,AC620=1),AB619/AE619*v01_DaughterShare&gt;=v01_MinDaughter),MAX(1,ROUND(AE619*v01_FissionRate,0)),0)</x:f>
        <x:v>0</x:v>
      </x:c>
      <x:c r="AE620" s="8" t="n">
        <x:f>IF(H620=1,MAX(1,MIN(INDEX(v01_Smax,G620),AE619+AD620)),AE619)</x:f>
        <x:v>4</x:v>
      </x:c>
      <x:c r="AF620" s="8" t="n">
        <x:f>MAX(0,AE620-AE619)</x:f>
        <x:v>0</x:v>
      </x:c>
      <x:c r="AG620" s="9" t="str">
        <x:f>IF(AF620&gt;0,B620,"")</x:f>
      </x:c>
      <x:c r="AH620" s="9" t="n">
        <x:f>IF(F620&gt;=1,1,(1+v01_LowTiesShare*(AE620-1))/AE620)</x:f>
        <x:v>1</x:v>
      </x:c>
      <x:c r="AI620" s="32" t="n">
        <x:f>(Z620+v01_ElderCommons*INDEX(LM_Elder,G620)*AA620)*AH620</x:f>
        <x:v>158.04027034373254</x:v>
      </x:c>
      <x:c r="AJ620" s="32" t="n">
        <x:f>H620*v01_CommonsCoef*AI620^v01_CommonsExp*INDEX(LM_Commons,G620)</x:f>
        <x:v>48.808620690986835</x:v>
      </x:c>
      <x:c r="AK620" s="32" t="n">
        <x:f>H620*v01_RoleScale*Arch_Roles*(AE620*(INDEX(v01_ElderRolePerSett,G620)*v01_OutElder*INDEX(LM_Elder,G620)+INDEX(v01_ShamanPerSett,G620)*v01_OutShaman)+Z620*(INDEX(v01_PriestShare,G620)*v01_OutPriest+INDEX(v01_ScribeShare,G620)*v01_OutScribe*INDEX(LM_Scribe,G620)+INDEX(v01_ScholarShare,G620)*v01_OutScholar*INDEX(LM_Scholar,G620)+INDEX(v01_ResearcherShare,G620)*v01_OutResearcher*INDEX(LM_Researcher,G620)))</x:f>
        <x:v>12</x:v>
      </x:c>
      <x:c r="AL620" s="32" t="n">
        <x:f>H620*v01_RoleScale*Arch_Roles*AE620*INDEX(v01_MonasteryPerSett,G620)*v01_OutMonastery*INDEX(LM_Monastery,G620)</x:f>
        <x:v>0</x:v>
      </x:c>
      <x:c r="AM620" s="32" t="n">
        <x:f>(AJ620+AK620+AL620)/4*INDEX(LM_All,G620)*INDEX(v01_Boon,G620)*Arch_Insight</x:f>
        <x:v>15.97176427836701</x:v>
      </x:c>
      <x:c r="AN620" s="32" t="n">
        <x:f>H620*(v01_KHPerAdult*Z620+v01_KHOfCommons*AJ620/4*INDEX(LM_All,G620))*v01_KHUsable*Arch_KH</x:f>
        <x:v>2.840616381972185</x:v>
      </x:c>
      <x:c r="AO620" s="32" t="n">
        <x:f>MIN(AP619+AN620,AM620*v01_KHMaxRatio)</x:f>
        <x:v>2.840616381972185</x:v>
      </x:c>
      <x:c r="AP620" s="32" t="n">
        <x:f>AP619+AN620-AO620</x:f>
        <x:v>0</x:v>
      </x:c>
      <x:c r="AQ620" s="32" t="n">
        <x:f>AM620+AO620</x:f>
        <x:v>18.812380660339194</x:v>
      </x:c>
      <x:c r="AR620" s="10" t="n">
        <x:f>IF(H620=1,INDEX(v01_Req,G620),0)</x:f>
        <x:v>4006.9599999999996</x:v>
      </x:c>
      <x:c r="AS620" s="32" t="n">
        <x:f>IF(H620=1,IF(E620=1,AS619-AR619,AS619)+AQ620,0)</x:f>
        <x:v>1763.602290552675</x:v>
      </x:c>
      <x:c r="AT620" s="11" t="n">
        <x:f>IF(AR620&gt;0,MIN(1,AS620/AR620),1)</x:f>
        <x:v>0.44013473819371174</x:v>
      </x:c>
      <x:c r="AU620" s="10" t="n">
        <x:f>AB620/INDEX(v01_RepScale,G620)</x:f>
        <x:v>93.53858183209005</x:v>
      </x:c>
      <x:c r="AV620" s="32" t="n">
        <x:f>AM620*60/v01_SeasonSeconds</x:f>
        <x:v>63.88705711346804</x:v>
      </x:c>
    </x:row>
    <x:row r="621">
      <x:c r="A621" s="8" t="n">
        <x:f>A620+1</x:f>
        <x:v>618</x:v>
      </x:c>
      <x:c r="B621" s="9" t="n">
        <x:f>A621*v01_SeasonSeconds/60</x:f>
        <x:v>154.5</x:v>
      </x:c>
      <x:c r="C621" s="9" t="n">
        <x:f>A621/4</x:f>
        <x:v>154.5</x:v>
      </x:c>
      <x:c r="D621" s="8" t="n">
        <x:f>IF(MOD(A621,4)=0,1,0)</x:f>
        <x:v>0</x:v>
      </x:c>
      <x:c r="E621" s="8" t="n">
        <x:f>IF(AND(F620&lt;=9,AS620&gt;=AR620),1,0)</x:f>
        <x:v>0</x:v>
      </x:c>
      <x:c r="F621" s="8" t="n">
        <x:f>MIN(10,F620+E621)</x:f>
        <x:v>2</x:v>
      </x:c>
      <x:c r="G621" s="8" t="n">
        <x:f>MIN(F621,9)+1</x:f>
        <x:v>3</x:v>
      </x:c>
      <x:c r="H621" s="8" t="n">
        <x:f>IF(F621&lt;=9,1,0)</x:f>
        <x:v>1</x:v>
      </x:c>
      <x:c r="I621" s="9" t="n">
        <x:f>MIN(10,F620+IF(AR620&gt;0,MIN(1,AS620/AR620),1))</x:f>
        <x:v>2.440134738193712</x:v>
      </x:c>
      <x:c r="J621" s="32" t="n">
        <x:f>INDEX(v01_FoodCap,G621)*Arch_FoodCap*EXP(v01_CapsByProject*SUMPRODUCT((Cap_Point&lt;=I621)*(Cap_Kind="Food")*Cap_Ln))</x:f>
        <x:v>60</x:v>
      </x:c>
      <x:c r="K621" s="32" t="n">
        <x:f>J621*MIN(1,v01_LeanBase*EXP(v01_CapsByProject*SUMPRODUCT((Cap_Point&lt;=I621)*(Cap_Kind="Lean")*Cap_Ln)))</x:f>
        <x:v>60</x:v>
      </x:c>
      <x:c r="L621" s="10" t="n">
        <x:f>INDEX(v01_HousingCap,G621)*EXP(v01_CapsByProject*SUMPRODUCT((Cap_Point&lt;=I621)*(Cap_Kind="Housing")*Cap_Ln))</x:f>
        <x:v>100</x:v>
      </x:c>
      <x:c r="M621" s="10" t="n">
        <x:f>INDEX(v01_GroupCap,G621)*v01_CohesionFactor*EXP(v01_CapsByProject*SUMPRODUCT((Cap_Point&lt;=I621)*(Cap_Kind="Group")*Cap_Ln))</x:f>
        <x:v>500</x:v>
      </x:c>
      <x:c r="N621" s="32" t="n">
        <x:f>MIN(J621,L621,M621)</x:f>
        <x:v>60</x:v>
      </x:c>
      <x:c r="O621" s="10" t="n">
        <x:f>AE620*N621</x:f>
        <x:v>240</x:v>
      </x:c>
      <x:c r="P621" s="9" t="n">
        <x:f>MIN(1,(AB620/(AE620*IF(v01_GroupInCrowding=1,N621,MIN(J621,L621))))^v01_CrowdingExp)</x:f>
        <x:v>0.22431442908854338</x:v>
      </x:c>
      <x:c r="Q621" s="9" t="n">
        <x:f>IF(D621=1,INDEX(v01_WinterMult,G621),1)</x:f>
        <x:v>1</x:v>
      </x:c>
      <x:c r="R621" s="9" t="n">
        <x:f>H621*Z620*v01_WomenShare*v01_BaseFertility*INDEX(v01_FertMult,G621)*Arch_Fertility*(1-P621)</x:f>
        <x:v>2.5496776619890427</x:v>
      </x:c>
      <x:c r="S621" s="9" t="n">
        <x:f>H621*Y620*INDEX(v01_MortChild,G621)/4*Q621</x:f>
        <x:v>0.7025383298969917</x:v>
      </x:c>
      <x:c r="T621" s="9" t="n">
        <x:f>H621*Z620*INDEX(v01_MortAdult,G621)*Arch_AdultMort/4*Q621</x:f>
        <x:v>0.24348140416904446</x:v>
      </x:c>
      <x:c r="U621" s="9" t="n">
        <x:f>H621*AA620*INDEX(v01_MortElder,G621)/4*Q621</x:f>
        <x:v>0.44846551334307566</x:v>
      </x:c>
      <x:c r="V621" s="9" t="n">
        <x:f>H621*MAX(0,AB620-O621)*v01_OvercapLoss</x:f>
        <x:v>0</x:v>
      </x:c>
      <x:c r="W621" s="9" t="n">
        <x:f>H621*Y620/(v01_ChildYears*4)</x:f>
        <x:v>1.43375169366733</x:v>
      </x:c>
      <x:c r="X621" s="9" t="n">
        <x:f>H621*Z620/(v01_AdultYears*4)</x:f>
        <x:v>0.654519903680227</x:v>
      </x:c>
      <x:c r="Y621" s="32" t="n">
        <x:f>Y620+R621-S621-W621-Y620*V621/AB620</x:f>
        <x:v>80.70348248379518</x:v>
      </x:c>
      <x:c r="Z621" s="32" t="n">
        <x:f>Z620+W621-X621-T621-Z620*V621/AB620</x:f>
        <x:v>81.69621844216621</x:v>
      </x:c>
      <x:c r="AA621" s="32" t="n">
        <x:f>AA620+X621-U621-AA620*V621/AB620</x:f>
        <x:v>25.832655152798615</x:v>
      </x:c>
      <x:c r="AB621" s="10" t="n">
        <x:f>Y621+Z621+AA621</x:f>
        <x:v>188.23235607876</x:v>
      </x:c>
      <x:c r="AC621" s="8" t="n">
        <x:f>IF(AND(v01_WinterTrigger=1,D621=1,AB620/AE620&gt;=K621),1,0)</x:f>
        <x:v>0</x:v>
      </x:c>
      <x:c r="AD621" s="8" t="n">
        <x:f>H621*IF(AND(OR(AB620/AE620&gt;=v01_FissionTrigger*N621,AC621=1),AB620/AE620*v01_DaughterShare&gt;=v01_MinDaughter),MAX(1,ROUND(AE620*v01_FissionRate,0)),0)</x:f>
        <x:v>0</x:v>
      </x:c>
      <x:c r="AE621" s="8" t="n">
        <x:f>IF(H621=1,MAX(1,MIN(INDEX(v01_Smax,G621),AE620+AD621)),AE620)</x:f>
        <x:v>4</x:v>
      </x:c>
      <x:c r="AF621" s="8" t="n">
        <x:f>MAX(0,AE621-AE620)</x:f>
        <x:v>0</x:v>
      </x:c>
      <x:c r="AG621" s="9" t="str">
        <x:f>IF(AF621&gt;0,B621,"")</x:f>
      </x:c>
      <x:c r="AH621" s="9" t="n">
        <x:f>IF(F621&gt;=1,1,(1+v01_LowTiesShare*(AE621-1))/AE621)</x:f>
        <x:v>1</x:v>
      </x:c>
      <x:c r="AI621" s="32" t="n">
        <x:f>(Z621+v01_ElderCommons*INDEX(LM_Elder,G621)*AA621)*AH621</x:f>
        <x:v>159.19418390056205</x:v>
      </x:c>
      <x:c r="AJ621" s="32" t="n">
        <x:f>H621*v01_CommonsCoef*AI621^v01_CommonsExp*INDEX(LM_Commons,G621)</x:f>
        <x:v>49.11137041029045</x:v>
      </x:c>
      <x:c r="AK621" s="32" t="n">
        <x:f>H621*v01_RoleScale*Arch_Roles*(AE621*(INDEX(v01_ElderRolePerSett,G621)*v01_OutElder*INDEX(LM_Elder,G621)+INDEX(v01_ShamanPerSett,G621)*v01_OutShaman)+Z621*(INDEX(v01_PriestShare,G621)*v01_OutPriest+INDEX(v01_ScribeShare,G621)*v01_OutScribe*INDEX(LM_Scribe,G621)+INDEX(v01_ScholarShare,G621)*v01_OutScholar*INDEX(LM_Scholar,G621)+INDEX(v01_ResearcherShare,G621)*v01_OutResearcher*INDEX(LM_Researcher,G621)))</x:f>
        <x:v>12</x:v>
      </x:c>
      <x:c r="AL621" s="32" t="n">
        <x:f>H621*v01_RoleScale*Arch_Roles*AE621*INDEX(v01_MonasteryPerSett,G621)*v01_OutMonastery*INDEX(LM_Monastery,G621)</x:f>
        <x:v>0</x:v>
      </x:c>
      <x:c r="AM621" s="32" t="n">
        <x:f>(AJ621+AK621+AL621)/4*INDEX(LM_All,G621)*INDEX(v01_Boon,G621)*Arch_Insight</x:f>
        <x:v>16.05128338432785</x:v>
      </x:c>
      <x:c r="AN621" s="32" t="n">
        <x:f>H621*(v01_KHPerAdult*Z621+v01_KHOfCommons*AJ621/4*INDEX(LM_All,G621))*v01_KHUsable*Arch_KH</x:f>
        <x:v>2.8593676454758175</x:v>
      </x:c>
      <x:c r="AO621" s="32" t="n">
        <x:f>MIN(AP620+AN621,AM621*v01_KHMaxRatio)</x:f>
        <x:v>2.8593676454758175</x:v>
      </x:c>
      <x:c r="AP621" s="32" t="n">
        <x:f>AP620+AN621-AO621</x:f>
        <x:v>0</x:v>
      </x:c>
      <x:c r="AQ621" s="32" t="n">
        <x:f>AM621+AO621</x:f>
        <x:v>18.910651029803667</x:v>
      </x:c>
      <x:c r="AR621" s="10" t="n">
        <x:f>IF(H621=1,INDEX(v01_Req,G621),0)</x:f>
        <x:v>4006.9599999999996</x:v>
      </x:c>
      <x:c r="AS621" s="32" t="n">
        <x:f>IF(H621=1,IF(E621=1,AS620-AR620,AS620)+AQ621,0)</x:f>
        <x:v>1782.5129415824786</x:v>
      </x:c>
      <x:c r="AT621" s="11" t="n">
        <x:f>IF(AR621&gt;0,MIN(1,AS621/AR621),1)</x:f>
        <x:v>0.44485418910657426</x:v>
      </x:c>
      <x:c r="AU621" s="10" t="n">
        <x:f>AB621/INDEX(v01_RepScale,G621)</x:f>
        <x:v>94.11617803938</x:v>
      </x:c>
      <x:c r="AV621" s="32" t="n">
        <x:f>AM621*60/v01_SeasonSeconds</x:f>
        <x:v>64.2051335373114</x:v>
      </x:c>
    </x:row>
    <x:row r="622">
      <x:c r="A622" s="8" t="n">
        <x:f>A621+1</x:f>
        <x:v>619</x:v>
      </x:c>
      <x:c r="B622" s="9" t="n">
        <x:f>A622*v01_SeasonSeconds/60</x:f>
        <x:v>154.75</x:v>
      </x:c>
      <x:c r="C622" s="9" t="n">
        <x:f>A622/4</x:f>
        <x:v>154.75</x:v>
      </x:c>
      <x:c r="D622" s="8" t="n">
        <x:f>IF(MOD(A622,4)=0,1,0)</x:f>
        <x:v>0</x:v>
      </x:c>
      <x:c r="E622" s="8" t="n">
        <x:f>IF(AND(F621&lt;=9,AS621&gt;=AR621),1,0)</x:f>
        <x:v>0</x:v>
      </x:c>
      <x:c r="F622" s="8" t="n">
        <x:f>MIN(10,F621+E622)</x:f>
        <x:v>2</x:v>
      </x:c>
      <x:c r="G622" s="8" t="n">
        <x:f>MIN(F622,9)+1</x:f>
        <x:v>3</x:v>
      </x:c>
      <x:c r="H622" s="8" t="n">
        <x:f>IF(F622&lt;=9,1,0)</x:f>
        <x:v>1</x:v>
      </x:c>
      <x:c r="I622" s="9" t="n">
        <x:f>MIN(10,F621+IF(AR621&gt;0,MIN(1,AS621/AR621),1))</x:f>
        <x:v>2.4448541891065743</x:v>
      </x:c>
      <x:c r="J622" s="32" t="n">
        <x:f>INDEX(v01_FoodCap,G622)*Arch_FoodCap*EXP(v01_CapsByProject*SUMPRODUCT((Cap_Point&lt;=I622)*(Cap_Kind="Food")*Cap_Ln))</x:f>
        <x:v>60</x:v>
      </x:c>
      <x:c r="K622" s="32" t="n">
        <x:f>J622*MIN(1,v01_LeanBase*EXP(v01_CapsByProject*SUMPRODUCT((Cap_Point&lt;=I622)*(Cap_Kind="Lean")*Cap_Ln)))</x:f>
        <x:v>60</x:v>
      </x:c>
      <x:c r="L622" s="10" t="n">
        <x:f>INDEX(v01_HousingCap,G622)*EXP(v01_CapsByProject*SUMPRODUCT((Cap_Point&lt;=I622)*(Cap_Kind="Housing")*Cap_Ln))</x:f>
        <x:v>100</x:v>
      </x:c>
      <x:c r="M622" s="10" t="n">
        <x:f>INDEX(v01_GroupCap,G622)*v01_CohesionFactor*EXP(v01_CapsByProject*SUMPRODUCT((Cap_Point&lt;=I622)*(Cap_Kind="Group")*Cap_Ln))</x:f>
        <x:v>500</x:v>
      </x:c>
      <x:c r="N622" s="32" t="n">
        <x:f>MIN(J622,L622,M622)</x:f>
        <x:v>60</x:v>
      </x:c>
      <x:c r="O622" s="10" t="n">
        <x:f>AE621*N622</x:f>
        <x:v>240</x:v>
      </x:c>
      <x:c r="P622" s="9" t="n">
        <x:f>MIN(1,(AB621/(AE621*IF(v01_GroupInCrowding=1,N622,MIN(J622,L622))))^v01_CrowdingExp)</x:f>
        <x:v>0.23275457135782088</x:v>
      </x:c>
      <x:c r="Q622" s="9" t="n">
        <x:f>IF(D622=1,INDEX(v01_WinterMult,G622),1)</x:f>
        <x:v>1</x:v>
      </x:c>
      <x:c r="R622" s="9" t="n">
        <x:f>H622*Z621*v01_WomenShare*v01_BaseFertility*INDEX(v01_FertMult,G622)*Arch_Fertility*(1-P622)</x:f>
        <x:v>2.538582530552749</x:v>
      </x:c>
      <x:c r="S622" s="9" t="n">
        <x:f>H622*Y621*INDEX(v01_MortChild,G622)/4*Q622</x:f>
        <x:v>0.7061554717332079</x:v>
      </x:c>
      <x:c r="T622" s="9" t="n">
        <x:f>H622*Z621*INDEX(v01_MortAdult,G622)*Arch_AdultMort/4*Q622</x:f>
        <x:v>0.24508865532649865</x:v>
      </x:c>
      <x:c r="U622" s="9" t="n">
        <x:f>H622*AA621*INDEX(v01_MortElder,G622)/4*Q622</x:f>
        <x:v>0.45207146517397584</x:v>
      </x:c>
      <x:c r="V622" s="9" t="n">
        <x:f>H622*MAX(0,AB621-O622)*v01_OvercapLoss</x:f>
        <x:v>0</x:v>
      </x:c>
      <x:c r="W622" s="9" t="n">
        <x:f>H622*Y621/(v01_ChildYears*4)</x:f>
        <x:v>1.441133615782057</x:v>
      </x:c>
      <x:c r="X622" s="9" t="n">
        <x:f>H622*Z621/(v01_AdultYears*4)</x:f>
        <x:v>0.658840471307792</x:v>
      </x:c>
      <x:c r="Y622" s="32" t="n">
        <x:f>Y621+R622-S622-W622-Y621*V622/AB621</x:f>
        <x:v>81.09477592683267</x:v>
      </x:c>
      <x:c r="Z622" s="32" t="n">
        <x:f>Z621+W622-X622-T622-Z621*V622/AB621</x:f>
        <x:v>82.23342293131397</x:v>
      </x:c>
      <x:c r="AA622" s="32" t="n">
        <x:f>AA621+X622-U622-AA621*V622/AB621</x:f>
        <x:v>26.03942415893243</x:v>
      </x:c>
      <x:c r="AB622" s="10" t="n">
        <x:f>Y622+Z622+AA622</x:f>
        <x:v>189.36762301707907</x:v>
      </x:c>
      <x:c r="AC622" s="8" t="n">
        <x:f>IF(AND(v01_WinterTrigger=1,D622=1,AB621/AE621&gt;=K622),1,0)</x:f>
        <x:v>0</x:v>
      </x:c>
      <x:c r="AD622" s="8" t="n">
        <x:f>H622*IF(AND(OR(AB621/AE621&gt;=v01_FissionTrigger*N622,AC622=1),AB621/AE621*v01_DaughterShare&gt;=v01_MinDaughter),MAX(1,ROUND(AE621*v01_FissionRate,0)),0)</x:f>
        <x:v>0</x:v>
      </x:c>
      <x:c r="AE622" s="8" t="n">
        <x:f>IF(H622=1,MAX(1,MIN(INDEX(v01_Smax,G622),AE621+AD622)),AE621)</x:f>
        <x:v>4</x:v>
      </x:c>
      <x:c r="AF622" s="8" t="n">
        <x:f>MAX(0,AE622-AE621)</x:f>
        <x:v>0</x:v>
      </x:c>
      <x:c r="AG622" s="9" t="str">
        <x:f>IF(AF622&gt;0,B622,"")</x:f>
      </x:c>
      <x:c r="AH622" s="9" t="n">
        <x:f>IF(F622&gt;=1,1,(1+v01_LowTiesShare*(AE622-1))/AE622)</x:f>
        <x:v>1</x:v>
      </x:c>
      <x:c r="AI622" s="32" t="n">
        <x:f>(Z622+v01_ElderCommons*INDEX(LM_Elder,G622)*AA622)*AH622</x:f>
        <x:v>160.35169540811125</x:v>
      </x:c>
      <x:c r="AJ622" s="32" t="n">
        <x:f>H622*v01_CommonsCoef*AI622^v01_CommonsExp*INDEX(LM_Commons,G622)</x:f>
        <x:v>49.41473358355382</x:v>
      </x:c>
      <x:c r="AK622" s="32" t="n">
        <x:f>H622*v01_RoleScale*Arch_Roles*(AE622*(INDEX(v01_ElderRolePerSett,G622)*v01_OutElder*INDEX(LM_Elder,G622)+INDEX(v01_ShamanPerSett,G622)*v01_OutShaman)+Z622*(INDEX(v01_PriestShare,G622)*v01_OutPriest+INDEX(v01_ScribeShare,G622)*v01_OutScribe*INDEX(LM_Scribe,G622)+INDEX(v01_ScholarShare,G622)*v01_OutScholar*INDEX(LM_Scholar,G622)+INDEX(v01_ResearcherShare,G622)*v01_OutResearcher*INDEX(LM_Researcher,G622)))</x:f>
        <x:v>12</x:v>
      </x:c>
      <x:c r="AL622" s="32" t="n">
        <x:f>H622*v01_RoleScale*Arch_Roles*AE622*INDEX(v01_MonasteryPerSett,G622)*v01_OutMonastery*INDEX(LM_Monastery,G622)</x:f>
        <x:v>0</x:v>
      </x:c>
      <x:c r="AM622" s="32" t="n">
        <x:f>(AJ622+AK622+AL622)/4*INDEX(LM_All,G622)*INDEX(v01_Boon,G622)*Arch_Insight</x:f>
        <x:v>16.130963617805307</x:v>
      </x:c>
      <x:c r="AN622" s="32" t="n">
        <x:f>H622*(v01_KHPerAdult*Z622+v01_KHOfCommons*AJ622/4*INDEX(LM_All,G622))*v01_KHUsable*Arch_KH</x:f>
        <x:v>2.878169802595989</x:v>
      </x:c>
      <x:c r="AO622" s="32" t="n">
        <x:f>MIN(AP621+AN622,AM622*v01_KHMaxRatio)</x:f>
        <x:v>2.878169802595989</x:v>
      </x:c>
      <x:c r="AP622" s="32" t="n">
        <x:f>AP621+AN622-AO622</x:f>
        <x:v>0</x:v>
      </x:c>
      <x:c r="AQ622" s="32" t="n">
        <x:f>AM622+AO622</x:f>
        <x:v>19.009133420401295</x:v>
      </x:c>
      <x:c r="AR622" s="10" t="n">
        <x:f>IF(H622=1,INDEX(v01_Req,G622),0)</x:f>
        <x:v>4006.9599999999996</x:v>
      </x:c>
      <x:c r="AS622" s="32" t="n">
        <x:f>IF(H622=1,IF(E622=1,AS621-AR621,AS621)+AQ622,0)</x:f>
        <x:v>1801.5220750028798</x:v>
      </x:c>
      <x:c r="AT622" s="11" t="n">
        <x:f>IF(AR622&gt;0,MIN(1,AS622/AR622),1)</x:f>
        <x:v>0.4495982178516581</x:v>
      </x:c>
      <x:c r="AU622" s="10" t="n">
        <x:f>AB622/INDEX(v01_RepScale,G622)</x:f>
        <x:v>94.68381150853953</x:v>
      </x:c>
      <x:c r="AV622" s="32" t="n">
        <x:f>AM622*60/v01_SeasonSeconds</x:f>
        <x:v>64.52385447122123</x:v>
      </x:c>
    </x:row>
    <x:row r="623">
      <x:c r="A623" s="8" t="n">
        <x:f>A622+1</x:f>
        <x:v>620</x:v>
      </x:c>
      <x:c r="B623" s="9" t="n">
        <x:f>A623*v01_SeasonSeconds/60</x:f>
        <x:v>155</x:v>
      </x:c>
      <x:c r="C623" s="9" t="n">
        <x:f>A623/4</x:f>
        <x:v>155</x:v>
      </x:c>
      <x:c r="D623" s="8" t="n">
        <x:f>IF(MOD(A623,4)=0,1,0)</x:f>
        <x:v>1</x:v>
      </x:c>
      <x:c r="E623" s="8" t="n">
        <x:f>IF(AND(F622&lt;=9,AS622&gt;=AR622),1,0)</x:f>
        <x:v>0</x:v>
      </x:c>
      <x:c r="F623" s="8" t="n">
        <x:f>MIN(10,F622+E623)</x:f>
        <x:v>2</x:v>
      </x:c>
      <x:c r="G623" s="8" t="n">
        <x:f>MIN(F623,9)+1</x:f>
        <x:v>3</x:v>
      </x:c>
      <x:c r="H623" s="8" t="n">
        <x:f>IF(F623&lt;=9,1,0)</x:f>
        <x:v>1</x:v>
      </x:c>
      <x:c r="I623" s="9" t="n">
        <x:f>MIN(10,F622+IF(AR622&gt;0,MIN(1,AS622/AR622),1))</x:f>
        <x:v>2.449598217851658</x:v>
      </x:c>
      <x:c r="J623" s="32" t="n">
        <x:f>INDEX(v01_FoodCap,G623)*Arch_FoodCap*EXP(v01_CapsByProject*SUMPRODUCT((Cap_Point&lt;=I623)*(Cap_Kind="Food")*Cap_Ln))</x:f>
        <x:v>60</x:v>
      </x:c>
      <x:c r="K623" s="32" t="n">
        <x:f>J623*MIN(1,v01_LeanBase*EXP(v01_CapsByProject*SUMPRODUCT((Cap_Point&lt;=I623)*(Cap_Kind="Lean")*Cap_Ln)))</x:f>
        <x:v>60</x:v>
      </x:c>
      <x:c r="L623" s="10" t="n">
        <x:f>INDEX(v01_HousingCap,G623)*EXP(v01_CapsByProject*SUMPRODUCT((Cap_Point&lt;=I623)*(Cap_Kind="Housing")*Cap_Ln))</x:f>
        <x:v>100</x:v>
      </x:c>
      <x:c r="M623" s="10" t="n">
        <x:f>INDEX(v01_GroupCap,G623)*v01_CohesionFactor*EXP(v01_CapsByProject*SUMPRODUCT((Cap_Point&lt;=I623)*(Cap_Kind="Group")*Cap_Ln))</x:f>
        <x:v>500</x:v>
      </x:c>
      <x:c r="N623" s="32" t="n">
        <x:f>MIN(J623,L623,M623)</x:f>
        <x:v>60</x:v>
      </x:c>
      <x:c r="O623" s="10" t="n">
        <x:f>AE622*N623</x:f>
        <x:v>240</x:v>
      </x:c>
      <x:c r="P623" s="9" t="n">
        <x:f>MIN(1,(AB622/(AE622*IF(v01_GroupInCrowding=1,N623,MIN(J623,L623))))^v01_CrowdingExp)</x:f>
        <x:v>0.24130533113284974</x:v>
      </x:c>
      <x:c r="Q623" s="9" t="n">
        <x:f>IF(D623=1,INDEX(v01_WinterMult,G623),1)</x:f>
        <x:v>1.3</x:v>
      </x:c>
      <x:c r="R623" s="9" t="n">
        <x:f>H623*Z622*v01_WomenShare*v01_BaseFertility*INDEX(v01_FertMult,G623)*Arch_Fertility*(1-P623)</x:f>
        <x:v>2.526797413017766</x:v>
      </x:c>
      <x:c r="S623" s="9" t="n">
        <x:f>H623*Y622*INDEX(v01_MortChild,G623)/4*Q623</x:f>
        <x:v>0.9224530761677217</x:v>
      </x:c>
      <x:c r="T623" s="9" t="n">
        <x:f>H623*Z622*INDEX(v01_MortAdult,G623)*Arch_AdultMort/4*Q623</x:f>
        <x:v>0.3207103494321245</x:v>
      </x:c>
      <x:c r="U623" s="9" t="n">
        <x:f>H623*AA622*INDEX(v01_MortElder,G623)/4*Q623</x:f>
        <x:v>0.5923968996157128</x:v>
      </x:c>
      <x:c r="V623" s="9" t="n">
        <x:f>H623*MAX(0,AB622-O623)*v01_OvercapLoss</x:f>
        <x:v>0</x:v>
      </x:c>
      <x:c r="W623" s="9" t="n">
        <x:f>H623*Y622/(v01_ChildYears*4)</x:f>
        <x:v>1.4481209986934405</x:v>
      </x:c>
      <x:c r="X623" s="9" t="n">
        <x:f>H623*Z622/(v01_AdultYears*4)</x:f>
        <x:v>0.6631727655751126</x:v>
      </x:c>
      <x:c r="Y623" s="32" t="n">
        <x:f>Y622+R623-S623-W623-Y622*V623/AB622</x:f>
        <x:v>81.25099926498926</x:v>
      </x:c>
      <x:c r="Z623" s="32" t="n">
        <x:f>Z622+W623-X623-T623-Z622*V623/AB622</x:f>
        <x:v>82.69766081500018</x:v>
      </x:c>
      <x:c r="AA623" s="32" t="n">
        <x:f>AA622+X623-U623-AA622*V623/AB622</x:f>
        <x:v>26.110200024891828</x:v>
      </x:c>
      <x:c r="AB623" s="10" t="n">
        <x:f>Y623+Z623+AA623</x:f>
        <x:v>190.0588601048813</x:v>
      </x:c>
      <x:c r="AC623" s="8" t="n">
        <x:f>IF(AND(v01_WinterTrigger=1,D623=1,AB622/AE622&gt;=K623),1,0)</x:f>
        <x:v>0</x:v>
      </x:c>
      <x:c r="AD623" s="8" t="n">
        <x:f>H623*IF(AND(OR(AB622/AE622&gt;=v01_FissionTrigger*N623,AC623=1),AB622/AE622*v01_DaughterShare&gt;=v01_MinDaughter),MAX(1,ROUND(AE622*v01_FissionRate,0)),0)</x:f>
        <x:v>0</x:v>
      </x:c>
      <x:c r="AE623" s="8" t="n">
        <x:f>IF(H623=1,MAX(1,MIN(INDEX(v01_Smax,G623),AE622+AD623)),AE622)</x:f>
        <x:v>4</x:v>
      </x:c>
      <x:c r="AF623" s="8" t="n">
        <x:f>MAX(0,AE623-AE622)</x:f>
        <x:v>0</x:v>
      </x:c>
      <x:c r="AG623" s="9" t="str">
        <x:f>IF(AF623&gt;0,B623,"")</x:f>
      </x:c>
      <x:c r="AH623" s="9" t="n">
        <x:f>IF(F623&gt;=1,1,(1+v01_LowTiesShare*(AE623-1))/AE623)</x:f>
        <x:v>1</x:v>
      </x:c>
      <x:c r="AI623" s="32" t="n">
        <x:f>(Z623+v01_ElderCommons*INDEX(LM_Elder,G623)*AA623)*AH623</x:f>
        <x:v>161.02826088967566</x:v>
      </x:c>
      <x:c r="AJ623" s="32" t="n">
        <x:f>H623*v01_CommonsCoef*AI623^v01_CommonsExp*INDEX(LM_Commons,G623)</x:f>
        <x:v>49.59189715803957</x:v>
      </x:c>
      <x:c r="AK623" s="32" t="n">
        <x:f>H623*v01_RoleScale*Arch_Roles*(AE623*(INDEX(v01_ElderRolePerSett,G623)*v01_OutElder*INDEX(LM_Elder,G623)+INDEX(v01_ShamanPerSett,G623)*v01_OutShaman)+Z623*(INDEX(v01_PriestShare,G623)*v01_OutPriest+INDEX(v01_ScribeShare,G623)*v01_OutScribe*INDEX(LM_Scribe,G623)+INDEX(v01_ScholarShare,G623)*v01_OutScholar*INDEX(LM_Scholar,G623)+INDEX(v01_ResearcherShare,G623)*v01_OutResearcher*INDEX(LM_Researcher,G623)))</x:f>
        <x:v>12</x:v>
      </x:c>
      <x:c r="AL623" s="32" t="n">
        <x:f>H623*v01_RoleScale*Arch_Roles*AE623*INDEX(v01_MonasteryPerSett,G623)*v01_OutMonastery*INDEX(LM_Monastery,G623)</x:f>
        <x:v>0</x:v>
      </x:c>
      <x:c r="AM623" s="32" t="n">
        <x:f>(AJ623+AK623+AL623)/4*INDEX(LM_All,G623)*INDEX(v01_Boon,G623)*Arch_Insight</x:f>
        <x:v>16.17749673791633</x:v>
      </x:c>
      <x:c r="AN623" s="32" t="n">
        <x:f>H623*(v01_KHPerAdult*Z623+v01_KHOfCommons*AJ623/4*INDEX(LM_All,G623))*v01_KHUsable*Arch_KH</x:f>
        <x:v>2.894418128525006</x:v>
      </x:c>
      <x:c r="AO623" s="32" t="n">
        <x:f>MIN(AP622+AN623,AM623*v01_KHMaxRatio)</x:f>
        <x:v>2.894418128525006</x:v>
      </x:c>
      <x:c r="AP623" s="32" t="n">
        <x:f>AP622+AN623-AO623</x:f>
        <x:v>0</x:v>
      </x:c>
      <x:c r="AQ623" s="32" t="n">
        <x:f>AM623+AO623</x:f>
        <x:v>19.071914866441336</x:v>
      </x:c>
      <x:c r="AR623" s="10" t="n">
        <x:f>IF(H623=1,INDEX(v01_Req,G623),0)</x:f>
        <x:v>4006.9599999999996</x:v>
      </x:c>
      <x:c r="AS623" s="32" t="n">
        <x:f>IF(H623=1,IF(E623=1,AS622-AR622,AS622)+AQ623,0)</x:f>
        <x:v>1820.5939898693211</x:v>
      </x:c>
      <x:c r="AT623" s="11" t="n">
        <x:f>IF(AR623&gt;0,MIN(1,AS623/AR623),1)</x:f>
        <x:v>0.4543579146957597</x:v>
      </x:c>
      <x:c r="AU623" s="10" t="n">
        <x:f>AB623/INDEX(v01_RepScale,G623)</x:f>
        <x:v>95.02943005244065</x:v>
      </x:c>
      <x:c r="AV623" s="32" t="n">
        <x:f>AM623*60/v01_SeasonSeconds</x:f>
        <x:v>64.70998695166531</x:v>
      </x:c>
    </x:row>
    <x:row r="624">
      <x:c r="A624" s="8" t="n">
        <x:f>A623+1</x:f>
        <x:v>621</x:v>
      </x:c>
      <x:c r="B624" s="9" t="n">
        <x:f>A624*v01_SeasonSeconds/60</x:f>
        <x:v>155.25</x:v>
      </x:c>
      <x:c r="C624" s="9" t="n">
        <x:f>A624/4</x:f>
        <x:v>155.25</x:v>
      </x:c>
      <x:c r="D624" s="8" t="n">
        <x:f>IF(MOD(A624,4)=0,1,0)</x:f>
        <x:v>0</x:v>
      </x:c>
      <x:c r="E624" s="8" t="n">
        <x:f>IF(AND(F623&lt;=9,AS623&gt;=AR623),1,0)</x:f>
        <x:v>0</x:v>
      </x:c>
      <x:c r="F624" s="8" t="n">
        <x:f>MIN(10,F623+E624)</x:f>
        <x:v>2</x:v>
      </x:c>
      <x:c r="G624" s="8" t="n">
        <x:f>MIN(F624,9)+1</x:f>
        <x:v>3</x:v>
      </x:c>
      <x:c r="H624" s="8" t="n">
        <x:f>IF(F624&lt;=9,1,0)</x:f>
        <x:v>1</x:v>
      </x:c>
      <x:c r="I624" s="9" t="n">
        <x:f>MIN(10,F623+IF(AR623&gt;0,MIN(1,AS623/AR623),1))</x:f>
        <x:v>2.45435791469576</x:v>
      </x:c>
      <x:c r="J624" s="32" t="n">
        <x:f>INDEX(v01_FoodCap,G624)*Arch_FoodCap*EXP(v01_CapsByProject*SUMPRODUCT((Cap_Point&lt;=I624)*(Cap_Kind="Food")*Cap_Ln))</x:f>
        <x:v>60</x:v>
      </x:c>
      <x:c r="K624" s="32" t="n">
        <x:f>J624*MIN(1,v01_LeanBase*EXP(v01_CapsByProject*SUMPRODUCT((Cap_Point&lt;=I624)*(Cap_Kind="Lean")*Cap_Ln)))</x:f>
        <x:v>60</x:v>
      </x:c>
      <x:c r="L624" s="10" t="n">
        <x:f>INDEX(v01_HousingCap,G624)*EXP(v01_CapsByProject*SUMPRODUCT((Cap_Point&lt;=I624)*(Cap_Kind="Housing")*Cap_Ln))</x:f>
        <x:v>100</x:v>
      </x:c>
      <x:c r="M624" s="10" t="n">
        <x:f>INDEX(v01_GroupCap,G624)*v01_CohesionFactor*EXP(v01_CapsByProject*SUMPRODUCT((Cap_Point&lt;=I624)*(Cap_Kind="Group")*Cap_Ln))</x:f>
        <x:v>500</x:v>
      </x:c>
      <x:c r="N624" s="32" t="n">
        <x:f>MIN(J624,L624,M624)</x:f>
        <x:v>60</x:v>
      </x:c>
      <x:c r="O624" s="10" t="n">
        <x:f>AE623*N624</x:f>
        <x:v>240</x:v>
      </x:c>
      <x:c r="P624" s="9" t="n">
        <x:f>MIN(1,(AB623/(AE623*IF(v01_GroupInCrowding=1,N624,MIN(J624,L624))))^v01_CrowdingExp)</x:f>
        <x:v>0.24663872749360816</x:v>
      </x:c>
      <x:c r="Q624" s="9" t="n">
        <x:f>IF(D624=1,INDEX(v01_WinterMult,G624),1)</x:f>
        <x:v>1</x:v>
      </x:c>
      <x:c r="R624" s="9" t="n">
        <x:f>H624*Z623*v01_WomenShare*v01_BaseFertility*INDEX(v01_FertMult,G624)*Arch_Fertility*(1-P624)</x:f>
        <x:v>2.5231992068880658</x:v>
      </x:c>
      <x:c r="S624" s="9" t="n">
        <x:f>H624*Y623*INDEX(v01_MortChild,G624)/4*Q624</x:f>
        <x:v>0.7109462435686561</x:v>
      </x:c>
      <x:c r="T624" s="9" t="n">
        <x:f>H624*Z623*INDEX(v01_MortAdult,G624)*Arch_AdultMort/4*Q624</x:f>
        <x:v>0.24809298244500053</x:v>
      </x:c>
      <x:c r="U624" s="9" t="n">
        <x:f>H624*AA623*INDEX(v01_MortElder,G624)/4*Q624</x:f>
        <x:v>0.456928500435607</x:v>
      </x:c>
      <x:c r="V624" s="9" t="n">
        <x:f>H624*MAX(0,AB623-O624)*v01_OvercapLoss</x:f>
        <x:v>0</x:v>
      </x:c>
      <x:c r="W624" s="9" t="n">
        <x:f>H624*Y623/(v01_ChildYears*4)</x:f>
        <x:v>1.4509107011605225</x:v>
      </x:c>
      <x:c r="X624" s="9" t="n">
        <x:f>H624*Z623/(v01_AdultYears*4)</x:f>
        <x:v>0.6669166194758078</x:v>
      </x:c>
      <x:c r="Y624" s="32" t="n">
        <x:f>Y623+R624-S624-W624-Y623*V624/AB623</x:f>
        <x:v>81.61234152714815</x:v>
      </x:c>
      <x:c r="Z624" s="32" t="n">
        <x:f>Z623+W624-X624-T624-Z623*V624/AB623</x:f>
        <x:v>83.23356191423989</x:v>
      </x:c>
      <x:c r="AA624" s="32" t="n">
        <x:f>AA623+X624-U624-AA623*V624/AB623</x:f>
        <x:v>26.32018814393203</x:v>
      </x:c>
      <x:c r="AB624" s="10" t="n">
        <x:f>Y624+Z624+AA624</x:f>
        <x:v>191.16609158532006</x:v>
      </x:c>
      <x:c r="AC624" s="8" t="n">
        <x:f>IF(AND(v01_WinterTrigger=1,D624=1,AB623/AE623&gt;=K624),1,0)</x:f>
        <x:v>0</x:v>
      </x:c>
      <x:c r="AD624" s="8" t="n">
        <x:f>H624*IF(AND(OR(AB623/AE623&gt;=v01_FissionTrigger*N624,AC624=1),AB623/AE623*v01_DaughterShare&gt;=v01_MinDaughter),MAX(1,ROUND(AE623*v01_FissionRate,0)),0)</x:f>
        <x:v>0</x:v>
      </x:c>
      <x:c r="AE624" s="8" t="n">
        <x:f>IF(H624=1,MAX(1,MIN(INDEX(v01_Smax,G624),AE623+AD624)),AE623)</x:f>
        <x:v>4</x:v>
      </x:c>
      <x:c r="AF624" s="8" t="n">
        <x:f>MAX(0,AE624-AE623)</x:f>
        <x:v>0</x:v>
      </x:c>
      <x:c r="AG624" s="9" t="str">
        <x:f>IF(AF624&gt;0,B624,"")</x:f>
      </x:c>
      <x:c r="AH624" s="9" t="n">
        <x:f>IF(F624&gt;=1,1,(1+v01_LowTiesShare*(AE624-1))/AE624)</x:f>
        <x:v>1</x:v>
      </x:c>
      <x:c r="AI624" s="32" t="n">
        <x:f>(Z624+v01_ElderCommons*INDEX(LM_Elder,G624)*AA624)*AH624</x:f>
        <x:v>162.19412634603597</x:v>
      </x:c>
      <x:c r="AJ624" s="32" t="n">
        <x:f>H624*v01_CommonsCoef*AI624^v01_CommonsExp*INDEX(LM_Commons,G624)</x:f>
        <x:v>49.896925885364155</x:v>
      </x:c>
      <x:c r="AK624" s="32" t="n">
        <x:f>H624*v01_RoleScale*Arch_Roles*(AE624*(INDEX(v01_ElderRolePerSett,G624)*v01_OutElder*INDEX(LM_Elder,G624)+INDEX(v01_ShamanPerSett,G624)*v01_OutShaman)+Z624*(INDEX(v01_PriestShare,G624)*v01_OutPriest+INDEX(v01_ScribeShare,G624)*v01_OutScribe*INDEX(LM_Scribe,G624)+INDEX(v01_ScholarShare,G624)*v01_OutScholar*INDEX(LM_Scholar,G624)+INDEX(v01_ResearcherShare,G624)*v01_OutResearcher*INDEX(LM_Researcher,G624)))</x:f>
        <x:v>12</x:v>
      </x:c>
      <x:c r="AL624" s="32" t="n">
        <x:f>H624*v01_RoleScale*Arch_Roles*AE624*INDEX(v01_MonasteryPerSett,G624)*v01_OutMonastery*INDEX(LM_Monastery,G624)</x:f>
        <x:v>0</x:v>
      </x:c>
      <x:c r="AM624" s="32" t="n">
        <x:f>(AJ624+AK624+AL624)/4*INDEX(LM_All,G624)*INDEX(v01_Boon,G624)*Arch_Insight</x:f>
        <x:v>16.257614439577676</x:v>
      </x:c>
      <x:c r="AN624" s="32" t="n">
        <x:f>H624*(v01_KHPerAdult*Z624+v01_KHOfCommons*AJ624/4*INDEX(LM_All,G624))*v01_KHUsable*Arch_KH</x:f>
        <x:v>2.913174666998396</x:v>
      </x:c>
      <x:c r="AO624" s="32" t="n">
        <x:f>MIN(AP623+AN624,AM624*v01_KHMaxRatio)</x:f>
        <x:v>2.913174666998396</x:v>
      </x:c>
      <x:c r="AP624" s="32" t="n">
        <x:f>AP623+AN624-AO624</x:f>
        <x:v>0</x:v>
      </x:c>
      <x:c r="AQ624" s="32" t="n">
        <x:f>AM624+AO624</x:f>
        <x:v>19.170789106576073</x:v>
      </x:c>
      <x:c r="AR624" s="10" t="n">
        <x:f>IF(H624=1,INDEX(v01_Req,G624),0)</x:f>
        <x:v>4006.9599999999996</x:v>
      </x:c>
      <x:c r="AS624" s="32" t="n">
        <x:f>IF(H624=1,IF(E624=1,AS623-AR623,AS623)+AQ624,0)</x:f>
        <x:v>1839.7647789758971</x:v>
      </x:c>
      <x:c r="AT624" s="11" t="n">
        <x:f>IF(AR624&gt;0,MIN(1,AS624/AR624),1)</x:f>
        <x:v>0.45914228716430844</x:v>
      </x:c>
      <x:c r="AU624" s="10" t="n">
        <x:f>AB624/INDEX(v01_RepScale,G624)</x:f>
        <x:v>95.58304579266003</x:v>
      </x:c>
      <x:c r="AV624" s="32" t="n">
        <x:f>AM624*60/v01_SeasonSeconds</x:f>
        <x:v>65.0304577583107</x:v>
      </x:c>
    </x:row>
    <x:row r="625">
      <x:c r="A625" s="8" t="n">
        <x:f>A624+1</x:f>
        <x:v>622</x:v>
      </x:c>
      <x:c r="B625" s="9" t="n">
        <x:f>A625*v01_SeasonSeconds/60</x:f>
        <x:v>155.5</x:v>
      </x:c>
      <x:c r="C625" s="9" t="n">
        <x:f>A625/4</x:f>
        <x:v>155.5</x:v>
      </x:c>
      <x:c r="D625" s="8" t="n">
        <x:f>IF(MOD(A625,4)=0,1,0)</x:f>
        <x:v>0</x:v>
      </x:c>
      <x:c r="E625" s="8" t="n">
        <x:f>IF(AND(F624&lt;=9,AS624&gt;=AR624),1,0)</x:f>
        <x:v>0</x:v>
      </x:c>
      <x:c r="F625" s="8" t="n">
        <x:f>MIN(10,F624+E625)</x:f>
        <x:v>2</x:v>
      </x:c>
      <x:c r="G625" s="8" t="n">
        <x:f>MIN(F625,9)+1</x:f>
        <x:v>3</x:v>
      </x:c>
      <x:c r="H625" s="8" t="n">
        <x:f>IF(F625&lt;=9,1,0)</x:f>
        <x:v>1</x:v>
      </x:c>
      <x:c r="I625" s="9" t="n">
        <x:f>MIN(10,F624+IF(AR624&gt;0,MIN(1,AS624/AR624),1))</x:f>
        <x:v>2.4591422871643083</x:v>
      </x:c>
      <x:c r="J625" s="32" t="n">
        <x:f>INDEX(v01_FoodCap,G625)*Arch_FoodCap*EXP(v01_CapsByProject*SUMPRODUCT((Cap_Point&lt;=I625)*(Cap_Kind="Food")*Cap_Ln))</x:f>
        <x:v>60</x:v>
      </x:c>
      <x:c r="K625" s="32" t="n">
        <x:f>J625*MIN(1,v01_LeanBase*EXP(v01_CapsByProject*SUMPRODUCT((Cap_Point&lt;=I625)*(Cap_Kind="Lean")*Cap_Ln)))</x:f>
        <x:v>60</x:v>
      </x:c>
      <x:c r="L625" s="10" t="n">
        <x:f>INDEX(v01_HousingCap,G625)*EXP(v01_CapsByProject*SUMPRODUCT((Cap_Point&lt;=I625)*(Cap_Kind="Housing")*Cap_Ln))</x:f>
        <x:v>100</x:v>
      </x:c>
      <x:c r="M625" s="10" t="n">
        <x:f>INDEX(v01_GroupCap,G625)*v01_CohesionFactor*EXP(v01_CapsByProject*SUMPRODUCT((Cap_Point&lt;=I625)*(Cap_Kind="Group")*Cap_Ln))</x:f>
        <x:v>500</x:v>
      </x:c>
      <x:c r="N625" s="32" t="n">
        <x:f>MIN(J625,L625,M625)</x:f>
        <x:v>60</x:v>
      </x:c>
      <x:c r="O625" s="10" t="n">
        <x:f>AE624*N625</x:f>
        <x:v>240</x:v>
      </x:c>
      <x:c r="P625" s="9" t="n">
        <x:f>MIN(1,(AB624/(AE624*IF(v01_GroupInCrowding=1,N625,MIN(J625,L625))))^v01_CrowdingExp)</x:f>
        <x:v>0.25538637045231743</x:v>
      </x:c>
      <x:c r="Q625" s="9" t="n">
        <x:f>IF(D625=1,INDEX(v01_WinterMult,G625),1)</x:f>
        <x:v>1</x:v>
      </x:c>
      <x:c r="R625" s="9" t="n">
        <x:f>H625*Z624*v01_WomenShare*v01_BaseFertility*INDEX(v01_FertMult,G625)*Arch_Fertility*(1-P625)</x:f>
        <x:v>2.510062207804329</x:v>
      </x:c>
      <x:c r="S625" s="9" t="n">
        <x:f>H625*Y624*INDEX(v01_MortChild,G625)/4*Q625</x:f>
        <x:v>0.7141079883625463</x:v>
      </x:c>
      <x:c r="T625" s="9" t="n">
        <x:f>H625*Z624*INDEX(v01_MortAdult,G625)*Arch_AdultMort/4*Q625</x:f>
        <x:v>0.24970068574271967</x:v>
      </x:c>
      <x:c r="U625" s="9" t="n">
        <x:f>H625*AA624*INDEX(v01_MortElder,G625)/4*Q625</x:f>
        <x:v>0.46060329251881055</x:v>
      </x:c>
      <x:c r="V625" s="9" t="n">
        <x:f>H625*MAX(0,AB624-O625)*v01_OvercapLoss</x:f>
        <x:v>0</x:v>
      </x:c>
      <x:c r="W625" s="9" t="n">
        <x:f>H625*Y624/(v01_ChildYears*4)</x:f>
        <x:v>1.457363241556217</x:v>
      </x:c>
      <x:c r="X625" s="9" t="n">
        <x:f>H625*Z624/(v01_AdultYears*4)</x:f>
        <x:v>0.6712384025341926</x:v>
      </x:c>
      <x:c r="Y625" s="32" t="n">
        <x:f>Y624+R625-S625-W625-Y624*V625/AB624</x:f>
        <x:v>81.9509325050337</x:v>
      </x:c>
      <x:c r="Z625" s="32" t="n">
        <x:f>Z624+W625-X625-T625-Z624*V625/AB624</x:f>
        <x:v>83.7699860675192</x:v>
      </x:c>
      <x:c r="AA625" s="32" t="n">
        <x:f>AA624+X625-U625-AA624*V625/AB624</x:f>
        <x:v>26.53082325394741</x:v>
      </x:c>
      <x:c r="AB625" s="10" t="n">
        <x:f>Y625+Z625+AA625</x:f>
        <x:v>192.2517418265003</x:v>
      </x:c>
      <x:c r="AC625" s="8" t="n">
        <x:f>IF(AND(v01_WinterTrigger=1,D625=1,AB624/AE624&gt;=K625),1,0)</x:f>
        <x:v>0</x:v>
      </x:c>
      <x:c r="AD625" s="8" t="n">
        <x:f>H625*IF(AND(OR(AB624/AE624&gt;=v01_FissionTrigger*N625,AC625=1),AB624/AE624*v01_DaughterShare&gt;=v01_MinDaughter),MAX(1,ROUND(AE624*v01_FissionRate,0)),0)</x:f>
        <x:v>0</x:v>
      </x:c>
      <x:c r="AE625" s="8" t="n">
        <x:f>IF(H625=1,MAX(1,MIN(INDEX(v01_Smax,G625),AE624+AD625)),AE624)</x:f>
        <x:v>4</x:v>
      </x:c>
      <x:c r="AF625" s="8" t="n">
        <x:f>MAX(0,AE625-AE624)</x:f>
        <x:v>0</x:v>
      </x:c>
      <x:c r="AG625" s="9" t="str">
        <x:f>IF(AF625&gt;0,B625,"")</x:f>
      </x:c>
      <x:c r="AH625" s="9" t="n">
        <x:f>IF(F625&gt;=1,1,(1+v01_LowTiesShare*(AE625-1))/AE625)</x:f>
        <x:v>1</x:v>
      </x:c>
      <x:c r="AI625" s="32" t="n">
        <x:f>(Z625+v01_ElderCommons*INDEX(LM_Elder,G625)*AA625)*AH625</x:f>
        <x:v>163.36245582936144</x:v>
      </x:c>
      <x:c r="AJ625" s="32" t="n">
        <x:f>H625*v01_CommonsCoef*AI625^v01_CommonsExp*INDEX(LM_Commons,G625)</x:f>
        <x:v>50.20226953048729</x:v>
      </x:c>
      <x:c r="AK625" s="32" t="n">
        <x:f>H625*v01_RoleScale*Arch_Roles*(AE625*(INDEX(v01_ElderRolePerSett,G625)*v01_OutElder*INDEX(LM_Elder,G625)+INDEX(v01_ShamanPerSett,G625)*v01_OutShaman)+Z625*(INDEX(v01_PriestShare,G625)*v01_OutPriest+INDEX(v01_ScribeShare,G625)*v01_OutScribe*INDEX(LM_Scribe,G625)+INDEX(v01_ScholarShare,G625)*v01_OutScholar*INDEX(LM_Scholar,G625)+INDEX(v01_ResearcherShare,G625)*v01_OutResearcher*INDEX(LM_Researcher,G625)))</x:f>
        <x:v>12</x:v>
      </x:c>
      <x:c r="AL625" s="32" t="n">
        <x:f>H625*v01_RoleScale*Arch_Roles*AE625*INDEX(v01_MonasteryPerSett,G625)*v01_OutMonastery*INDEX(LM_Monastery,G625)</x:f>
        <x:v>0</x:v>
      </x:c>
      <x:c r="AM625" s="32" t="n">
        <x:f>(AJ625+AK625+AL625)/4*INDEX(LM_All,G625)*INDEX(v01_Boon,G625)*Arch_Insight</x:f>
        <x:v>16.33781485636705</x:v>
      </x:c>
      <x:c r="AN625" s="32" t="n">
        <x:f>H625*(v01_KHPerAdult*Z625+v01_KHOfCommons*AJ625/4*INDEX(LM_All,G625))*v01_KHUsable*Arch_KH</x:f>
        <x:v>2.931949512363172</x:v>
      </x:c>
      <x:c r="AO625" s="32" t="n">
        <x:f>MIN(AP624+AN625,AM625*v01_KHMaxRatio)</x:f>
        <x:v>2.931949512363172</x:v>
      </x:c>
      <x:c r="AP625" s="32" t="n">
        <x:f>AP624+AN625-AO625</x:f>
        <x:v>0</x:v>
      </x:c>
      <x:c r="AQ625" s="32" t="n">
        <x:f>AM625+AO625</x:f>
        <x:v>19.269764368730222</x:v>
      </x:c>
      <x:c r="AR625" s="10" t="n">
        <x:f>IF(H625=1,INDEX(v01_Req,G625),0)</x:f>
        <x:v>4006.9599999999996</x:v>
      </x:c>
      <x:c r="AS625" s="32" t="n">
        <x:f>IF(H625=1,IF(E625=1,AS624-AR624,AS624)+AQ625,0)</x:f>
        <x:v>1859.0345433446273</x:v>
      </x:c>
      <x:c r="AT625" s="11" t="n">
        <x:f>IF(AR625&gt;0,MIN(1,AS625/AR625),1)</x:f>
        <x:v>0.4639513604689409</x:v>
      </x:c>
      <x:c r="AU625" s="10" t="n">
        <x:f>AB625/INDEX(v01_RepScale,G625)</x:f>
        <x:v>96.12587091325015</x:v>
      </x:c>
      <x:c r="AV625" s="32" t="n">
        <x:f>AM625*60/v01_SeasonSeconds</x:f>
        <x:v>65.3512594254682</x:v>
      </x:c>
    </x:row>
    <x:row r="626">
      <x:c r="A626" s="8" t="n">
        <x:f>A625+1</x:f>
        <x:v>623</x:v>
      </x:c>
      <x:c r="B626" s="9" t="n">
        <x:f>A626*v01_SeasonSeconds/60</x:f>
        <x:v>155.75</x:v>
      </x:c>
      <x:c r="C626" s="9" t="n">
        <x:f>A626/4</x:f>
        <x:v>155.75</x:v>
      </x:c>
      <x:c r="D626" s="8" t="n">
        <x:f>IF(MOD(A626,4)=0,1,0)</x:f>
        <x:v>0</x:v>
      </x:c>
      <x:c r="E626" s="8" t="n">
        <x:f>IF(AND(F625&lt;=9,AS625&gt;=AR625),1,0)</x:f>
        <x:v>0</x:v>
      </x:c>
      <x:c r="F626" s="8" t="n">
        <x:f>MIN(10,F625+E626)</x:f>
        <x:v>2</x:v>
      </x:c>
      <x:c r="G626" s="8" t="n">
        <x:f>MIN(F626,9)+1</x:f>
        <x:v>3</x:v>
      </x:c>
      <x:c r="H626" s="8" t="n">
        <x:f>IF(F626&lt;=9,1,0)</x:f>
        <x:v>1</x:v>
      </x:c>
      <x:c r="I626" s="9" t="n">
        <x:f>MIN(10,F625+IF(AR625&gt;0,MIN(1,AS625/AR625),1))</x:f>
        <x:v>2.4639513604689407</x:v>
      </x:c>
      <x:c r="J626" s="32" t="n">
        <x:f>INDEX(v01_FoodCap,G626)*Arch_FoodCap*EXP(v01_CapsByProject*SUMPRODUCT((Cap_Point&lt;=I626)*(Cap_Kind="Food")*Cap_Ln))</x:f>
        <x:v>60</x:v>
      </x:c>
      <x:c r="K626" s="32" t="n">
        <x:f>J626*MIN(1,v01_LeanBase*EXP(v01_CapsByProject*SUMPRODUCT((Cap_Point&lt;=I626)*(Cap_Kind="Lean")*Cap_Ln)))</x:f>
        <x:v>60</x:v>
      </x:c>
      <x:c r="L626" s="10" t="n">
        <x:f>INDEX(v01_HousingCap,G626)*EXP(v01_CapsByProject*SUMPRODUCT((Cap_Point&lt;=I626)*(Cap_Kind="Housing")*Cap_Ln))</x:f>
        <x:v>100</x:v>
      </x:c>
      <x:c r="M626" s="10" t="n">
        <x:f>INDEX(v01_GroupCap,G626)*v01_CohesionFactor*EXP(v01_CapsByProject*SUMPRODUCT((Cap_Point&lt;=I626)*(Cap_Kind="Group")*Cap_Ln))</x:f>
        <x:v>500</x:v>
      </x:c>
      <x:c r="N626" s="32" t="n">
        <x:f>MIN(J626,L626,M626)</x:f>
        <x:v>60</x:v>
      </x:c>
      <x:c r="O626" s="10" t="n">
        <x:f>AE625*N626</x:f>
        <x:v>240</x:v>
      </x:c>
      <x:c r="P626" s="9" t="n">
        <x:f>MIN(1,(AB625/(AE625*IF(v01_GroupInCrowding=1,N626,MIN(J626,L626))))^v01_CrowdingExp)</x:f>
        <x:v>0.264213040759704</x:v>
      </x:c>
      <x:c r="Q626" s="9" t="n">
        <x:f>IF(D626=1,INDEX(v01_WinterMult,G626),1)</x:f>
        <x:v>1</x:v>
      </x:c>
      <x:c r="R626" s="9" t="n">
        <x:f>H626*Z625*v01_WomenShare*v01_BaseFertility*INDEX(v01_FertMult,G626)*Arch_Fertility*(1-P626)</x:f>
        <x:v>2.4962929646309875</x:v>
      </x:c>
      <x:c r="S626" s="9" t="n">
        <x:f>H626*Y625*INDEX(v01_MortChild,G626)/4*Q626</x:f>
        <x:v>0.717070659419045</x:v>
      </x:c>
      <x:c r="T626" s="9" t="n">
        <x:f>H626*Z625*INDEX(v01_MortAdult,G626)*Arch_AdultMort/4*Q626</x:f>
        <x:v>0.2513099582025576</x:v>
      </x:c>
      <x:c r="U626" s="9" t="n">
        <x:f>H626*AA625*INDEX(v01_MortElder,G626)/4*Q626</x:f>
        <x:v>0.4642894069440797</x:v>
      </x:c>
      <x:c r="V626" s="9" t="n">
        <x:f>H626*MAX(0,AB625-O626)*v01_OvercapLoss</x:f>
        <x:v>0</x:v>
      </x:c>
      <x:c r="W626" s="9" t="n">
        <x:f>H626*Y625/(v01_ChildYears*4)</x:f>
        <x:v>1.4634095090184591</x:v>
      </x:c>
      <x:c r="X626" s="9" t="n">
        <x:f>H626*Z625/(v01_AdultYears*4)</x:f>
        <x:v>0.6755644037703161</x:v>
      </x:c>
      <x:c r="Y626" s="32" t="n">
        <x:f>Y625+R626-S626-W626-Y625*V626/AB625</x:f>
        <x:v>82.26674530122717</x:v>
      </x:c>
      <x:c r="Z626" s="32" t="n">
        <x:f>Z625+W626-X626-T626-Z625*V626/AB625</x:f>
        <x:v>84.3065212145648</x:v>
      </x:c>
      <x:c r="AA626" s="32" t="n">
        <x:f>AA625+X626-U626-AA625*V626/AB625</x:f>
        <x:v>26.742098250773648</x:v>
      </x:c>
      <x:c r="AB626" s="10" t="n">
        <x:f>Y626+Z626+AA626</x:f>
        <x:v>193.3153647665656</x:v>
      </x:c>
      <x:c r="AC626" s="8" t="n">
        <x:f>IF(AND(v01_WinterTrigger=1,D626=1,AB625/AE625&gt;=K626),1,0)</x:f>
        <x:v>0</x:v>
      </x:c>
      <x:c r="AD626" s="8" t="n">
        <x:f>H626*IF(AND(OR(AB625/AE625&gt;=v01_FissionTrigger*N626,AC626=1),AB625/AE625*v01_DaughterShare&gt;=v01_MinDaughter),MAX(1,ROUND(AE625*v01_FissionRate,0)),0)</x:f>
        <x:v>0</x:v>
      </x:c>
      <x:c r="AE626" s="8" t="n">
        <x:f>IF(H626=1,MAX(1,MIN(INDEX(v01_Smax,G626),AE625+AD626)),AE625)</x:f>
        <x:v>4</x:v>
      </x:c>
      <x:c r="AF626" s="8" t="n">
        <x:f>MAX(0,AE626-AE625)</x:f>
        <x:v>0</x:v>
      </x:c>
      <x:c r="AG626" s="9" t="str">
        <x:f>IF(AF626&gt;0,B626,"")</x:f>
      </x:c>
      <x:c r="AH626" s="9" t="n">
        <x:f>IF(F626&gt;=1,1,(1+v01_LowTiesShare*(AE626-1))/AE626)</x:f>
        <x:v>1</x:v>
      </x:c>
      <x:c r="AI626" s="32" t="n">
        <x:f>(Z626+v01_ElderCommons*INDEX(LM_Elder,G626)*AA626)*AH626</x:f>
        <x:v>164.53281596688572</x:v>
      </x:c>
      <x:c r="AJ626" s="32" t="n">
        <x:f>H626*v01_CommonsCoef*AI626^v01_CommonsExp*INDEX(LM_Commons,G626)</x:f>
        <x:v>50.507815646734116</x:v>
      </x:c>
      <x:c r="AK626" s="32" t="n">
        <x:f>H626*v01_RoleScale*Arch_Roles*(AE626*(INDEX(v01_ElderRolePerSett,G626)*v01_OutElder*INDEX(LM_Elder,G626)+INDEX(v01_ShamanPerSett,G626)*v01_OutShaman)+Z626*(INDEX(v01_PriestShare,G626)*v01_OutPriest+INDEX(v01_ScribeShare,G626)*v01_OutScribe*INDEX(LM_Scribe,G626)+INDEX(v01_ScholarShare,G626)*v01_OutScholar*INDEX(LM_Scholar,G626)+INDEX(v01_ResearcherShare,G626)*v01_OutResearcher*INDEX(LM_Researcher,G626)))</x:f>
        <x:v>12</x:v>
      </x:c>
      <x:c r="AL626" s="32" t="n">
        <x:f>H626*v01_RoleScale*Arch_Roles*AE626*INDEX(v01_MonasteryPerSett,G626)*v01_OutMonastery*INDEX(LM_Monastery,G626)</x:f>
        <x:v>0</x:v>
      </x:c>
      <x:c r="AM626" s="32" t="n">
        <x:f>(AJ626+AK626+AL626)/4*INDEX(LM_All,G626)*INDEX(v01_Boon,G626)*Arch_Insight</x:f>
        <x:v>16.418068453462507</x:v>
      </x:c>
      <x:c r="AN626" s="32" t="n">
        <x:f>H626*(v01_KHPerAdult*Z626+v01_KHOfCommons*AJ626/4*INDEX(LM_All,G626))*v01_KHUsable*Arch_KH</x:f>
        <x:v>2.950728242509768</x:v>
      </x:c>
      <x:c r="AO626" s="32" t="n">
        <x:f>MIN(AP625+AN626,AM626*v01_KHMaxRatio)</x:f>
        <x:v>2.950728242509768</x:v>
      </x:c>
      <x:c r="AP626" s="32" t="n">
        <x:f>AP625+AN626-AO626</x:f>
        <x:v>0</x:v>
      </x:c>
      <x:c r="AQ626" s="32" t="n">
        <x:f>AM626+AO626</x:f>
        <x:v>19.368796695972275</x:v>
      </x:c>
      <x:c r="AR626" s="10" t="n">
        <x:f>IF(H626=1,INDEX(v01_Req,G626),0)</x:f>
        <x:v>4006.9599999999996</x:v>
      </x:c>
      <x:c r="AS626" s="32" t="n">
        <x:f>IF(H626=1,IF(E626=1,AS625-AR625,AS625)+AQ626,0)</x:f>
        <x:v>1878.4033400405997</x:v>
      </x:c>
      <x:c r="AT626" s="11" t="n">
        <x:f>IF(AR626&gt;0,MIN(1,AS626/AR626),1)</x:f>
        <x:v>0.46878514885114897</x:v>
      </x:c>
      <x:c r="AU626" s="10" t="n">
        <x:f>AB626/INDEX(v01_RepScale,G626)</x:f>
        <x:v>96.6576823832828</x:v>
      </x:c>
      <x:c r="AV626" s="32" t="n">
        <x:f>AM626*60/v01_SeasonSeconds</x:f>
        <x:v>65.67227381385003</x:v>
      </x:c>
    </x:row>
    <x:row r="627">
      <x:c r="A627" s="8" t="n">
        <x:f>A626+1</x:f>
        <x:v>624</x:v>
      </x:c>
      <x:c r="B627" s="9" t="n">
        <x:f>A627*v01_SeasonSeconds/60</x:f>
        <x:v>156</x:v>
      </x:c>
      <x:c r="C627" s="9" t="n">
        <x:f>A627/4</x:f>
        <x:v>156</x:v>
      </x:c>
      <x:c r="D627" s="8" t="n">
        <x:f>IF(MOD(A627,4)=0,1,0)</x:f>
        <x:v>1</x:v>
      </x:c>
      <x:c r="E627" s="8" t="n">
        <x:f>IF(AND(F626&lt;=9,AS626&gt;=AR626),1,0)</x:f>
        <x:v>0</x:v>
      </x:c>
      <x:c r="F627" s="8" t="n">
        <x:f>MIN(10,F626+E627)</x:f>
        <x:v>2</x:v>
      </x:c>
      <x:c r="G627" s="8" t="n">
        <x:f>MIN(F627,9)+1</x:f>
        <x:v>3</x:v>
      </x:c>
      <x:c r="H627" s="8" t="n">
        <x:f>IF(F627&lt;=9,1,0)</x:f>
        <x:v>1</x:v>
      </x:c>
      <x:c r="I627" s="9" t="n">
        <x:f>MIN(10,F626+IF(AR626&gt;0,MIN(1,AS626/AR626),1))</x:f>
        <x:v>2.4687851488511487</x:v>
      </x:c>
      <x:c r="J627" s="32" t="n">
        <x:f>INDEX(v01_FoodCap,G627)*Arch_FoodCap*EXP(v01_CapsByProject*SUMPRODUCT((Cap_Point&lt;=I627)*(Cap_Kind="Food")*Cap_Ln))</x:f>
        <x:v>60</x:v>
      </x:c>
      <x:c r="K627" s="32" t="n">
        <x:f>J627*MIN(1,v01_LeanBase*EXP(v01_CapsByProject*SUMPRODUCT((Cap_Point&lt;=I627)*(Cap_Kind="Lean")*Cap_Ln)))</x:f>
        <x:v>60</x:v>
      </x:c>
      <x:c r="L627" s="10" t="n">
        <x:f>INDEX(v01_HousingCap,G627)*EXP(v01_CapsByProject*SUMPRODUCT((Cap_Point&lt;=I627)*(Cap_Kind="Housing")*Cap_Ln))</x:f>
        <x:v>100</x:v>
      </x:c>
      <x:c r="M627" s="10" t="n">
        <x:f>INDEX(v01_GroupCap,G627)*v01_CohesionFactor*EXP(v01_CapsByProject*SUMPRODUCT((Cap_Point&lt;=I627)*(Cap_Kind="Group")*Cap_Ln))</x:f>
        <x:v>500</x:v>
      </x:c>
      <x:c r="N627" s="32" t="n">
        <x:f>MIN(J627,L627,M627)</x:f>
        <x:v>60</x:v>
      </x:c>
      <x:c r="O627" s="10" t="n">
        <x:f>AE626*N627</x:f>
        <x:v>240</x:v>
      </x:c>
      <x:c r="P627" s="9" t="n">
        <x:f>MIN(1,(AB626/(AE626*IF(v01_GroupInCrowding=1,N627,MIN(J627,L627))))^v01_CrowdingExp)</x:f>
        <x:v>0.27310571565869346</x:v>
      </x:c>
      <x:c r="Q627" s="9" t="n">
        <x:f>IF(D627=1,INDEX(v01_WinterMult,G627),1)</x:f>
        <x:v>1.3</x:v>
      </x:c>
      <x:c r="R627" s="9" t="n">
        <x:f>H627*Z626*v01_WomenShare*v01_BaseFertility*INDEX(v01_FertMult,G627)*Arch_Fertility*(1-P627)</x:f>
        <x:v>2.4819181003444335</x:v>
      </x:c>
      <x:c r="S627" s="9" t="n">
        <x:f>H627*Y626*INDEX(v01_MortChild,G627)/4*Q627</x:f>
        <x:v>0.9357842278014592</x:v>
      </x:c>
      <x:c r="T627" s="9" t="n">
        <x:f>H627*Z626*INDEX(v01_MortAdult,G627)*Arch_AdultMort/4*Q627</x:f>
        <x:v>0.32879543273680273</x:v>
      </x:c>
      <x:c r="U627" s="9" t="n">
        <x:f>H627*AA626*INDEX(v01_MortElder,G627)/4*Q627</x:f>
        <x:v>0.6083827352051006</x:v>
      </x:c>
      <x:c r="V627" s="9" t="n">
        <x:f>H627*MAX(0,AB626-O627)*v01_OvercapLoss</x:f>
        <x:v>0</x:v>
      </x:c>
      <x:c r="W627" s="9" t="n">
        <x:f>H627*Y626/(v01_ChildYears*4)</x:f>
        <x:v>1.4690490232361995</x:v>
      </x:c>
      <x:c r="X627" s="9" t="n">
        <x:f>H627*Z626/(v01_AdultYears*4)</x:f>
        <x:v>0.679891300117458</x:v>
      </x:c>
      <x:c r="Y627" s="32" t="n">
        <x:f>Y626+R627-S627-W627-Y626*V627/AB626</x:f>
        <x:v>82.34383015053395</x:v>
      </x:c>
      <x:c r="Z627" s="32" t="n">
        <x:f>Z626+W627-X627-T627-Z626*V627/AB626</x:f>
        <x:v>84.76688350494673</x:v>
      </x:c>
      <x:c r="AA627" s="32" t="n">
        <x:f>AA626+X627-U627-AA626*V627/AB626</x:f>
        <x:v>26.813606815686004</x:v>
      </x:c>
      <x:c r="AB627" s="10" t="n">
        <x:f>Y627+Z627+AA627</x:f>
        <x:v>193.92432047116668</x:v>
      </x:c>
      <x:c r="AC627" s="8" t="n">
        <x:f>IF(AND(v01_WinterTrigger=1,D627=1,AB626/AE626&gt;=K627),1,0)</x:f>
        <x:v>0</x:v>
      </x:c>
      <x:c r="AD627" s="8" t="n">
        <x:f>H627*IF(AND(OR(AB626/AE626&gt;=v01_FissionTrigger*N627,AC627=1),AB626/AE626*v01_DaughterShare&gt;=v01_MinDaughter),MAX(1,ROUND(AE626*v01_FissionRate,0)),0)</x:f>
        <x:v>0</x:v>
      </x:c>
      <x:c r="AE627" s="8" t="n">
        <x:f>IF(H627=1,MAX(1,MIN(INDEX(v01_Smax,G627),AE626+AD627)),AE626)</x:f>
        <x:v>4</x:v>
      </x:c>
      <x:c r="AF627" s="8" t="n">
        <x:f>MAX(0,AE627-AE626)</x:f>
        <x:v>0</x:v>
      </x:c>
      <x:c r="AG627" s="9" t="str">
        <x:f>IF(AF627&gt;0,B627,"")</x:f>
      </x:c>
      <x:c r="AH627" s="9" t="n">
        <x:f>IF(F627&gt;=1,1,(1+v01_LowTiesShare*(AE627-1))/AE627)</x:f>
        <x:v>1</x:v>
      </x:c>
      <x:c r="AI627" s="32" t="n">
        <x:f>(Z627+v01_ElderCommons*INDEX(LM_Elder,G627)*AA627)*AH627</x:f>
        <x:v>165.20770395200475</x:v>
      </x:c>
      <x:c r="AJ627" s="32" t="n">
        <x:f>H627*v01_CommonsCoef*AI627^v01_CommonsExp*INDEX(LM_Commons,G627)</x:f>
        <x:v>50.683860471170235</x:v>
      </x:c>
      <x:c r="AK627" s="32" t="n">
        <x:f>H627*v01_RoleScale*Arch_Roles*(AE627*(INDEX(v01_ElderRolePerSett,G627)*v01_OutElder*INDEX(LM_Elder,G627)+INDEX(v01_ShamanPerSett,G627)*v01_OutShaman)+Z627*(INDEX(v01_PriestShare,G627)*v01_OutPriest+INDEX(v01_ScribeShare,G627)*v01_OutScribe*INDEX(LM_Scribe,G627)+INDEX(v01_ScholarShare,G627)*v01_OutScholar*INDEX(LM_Scholar,G627)+INDEX(v01_ResearcherShare,G627)*v01_OutResearcher*INDEX(LM_Researcher,G627)))</x:f>
        <x:v>12</x:v>
      </x:c>
      <x:c r="AL627" s="32" t="n">
        <x:f>H627*v01_RoleScale*Arch_Roles*AE627*INDEX(v01_MonasteryPerSett,G627)*v01_OutMonastery*INDEX(LM_Monastery,G627)</x:f>
        <x:v>0</x:v>
      </x:c>
      <x:c r="AM627" s="32" t="n">
        <x:f>(AJ627+AK627+AL627)/4*INDEX(LM_All,G627)*INDEX(v01_Boon,G627)*Arch_Insight</x:f>
        <x:v>16.464307726880804</x:v>
      </x:c>
      <x:c r="AN627" s="32" t="n">
        <x:f>H627*(v01_KHPerAdult*Z627+v01_KHOfCommons*AJ627/4*INDEX(LM_All,G627))*v01_KHUsable*Arch_KH</x:f>
        <x:v>2.966840922673136</x:v>
      </x:c>
      <x:c r="AO627" s="32" t="n">
        <x:f>MIN(AP626+AN627,AM627*v01_KHMaxRatio)</x:f>
        <x:v>2.966840922673136</x:v>
      </x:c>
      <x:c r="AP627" s="32" t="n">
        <x:f>AP626+AN627-AO627</x:f>
        <x:v>0</x:v>
      </x:c>
      <x:c r="AQ627" s="32" t="n">
        <x:f>AM627+AO627</x:f>
        <x:v>19.43114864955394</x:v>
      </x:c>
      <x:c r="AR627" s="10" t="n">
        <x:f>IF(H627=1,INDEX(v01_Req,G627),0)</x:f>
        <x:v>4006.9599999999996</x:v>
      </x:c>
      <x:c r="AS627" s="32" t="n">
        <x:f>IF(H627=1,IF(E627=1,AS626-AR626,AS626)+AQ627,0)</x:f>
        <x:v>1897.8344886901536</x:v>
      </x:c>
      <x:c r="AT627" s="11" t="n">
        <x:f>IF(AR627&gt;0,MIN(1,AS627/AR627),1)</x:f>
        <x:v>0.4736344981457648</x:v>
      </x:c>
      <x:c r="AU627" s="10" t="n">
        <x:f>AB627/INDEX(v01_RepScale,G627)</x:f>
        <x:v>96.96216023558334</x:v>
      </x:c>
      <x:c r="AV627" s="32" t="n">
        <x:f>AM627*60/v01_SeasonSeconds</x:f>
        <x:v>65.85723090752322</x:v>
      </x:c>
    </x:row>
    <x:row r="628">
      <x:c r="A628" s="8" t="n">
        <x:f>A627+1</x:f>
        <x:v>625</x:v>
      </x:c>
      <x:c r="B628" s="9" t="n">
        <x:f>A628*v01_SeasonSeconds/60</x:f>
        <x:v>156.25</x:v>
      </x:c>
      <x:c r="C628" s="9" t="n">
        <x:f>A628/4</x:f>
        <x:v>156.25</x:v>
      </x:c>
      <x:c r="D628" s="8" t="n">
        <x:f>IF(MOD(A628,4)=0,1,0)</x:f>
        <x:v>0</x:v>
      </x:c>
      <x:c r="E628" s="8" t="n">
        <x:f>IF(AND(F627&lt;=9,AS627&gt;=AR627),1,0)</x:f>
        <x:v>0</x:v>
      </x:c>
      <x:c r="F628" s="8" t="n">
        <x:f>MIN(10,F627+E628)</x:f>
        <x:v>2</x:v>
      </x:c>
      <x:c r="G628" s="8" t="n">
        <x:f>MIN(F628,9)+1</x:f>
        <x:v>3</x:v>
      </x:c>
      <x:c r="H628" s="8" t="n">
        <x:f>IF(F628&lt;=9,1,0)</x:f>
        <x:v>1</x:v>
      </x:c>
      <x:c r="I628" s="9" t="n">
        <x:f>MIN(10,F627+IF(AR627&gt;0,MIN(1,AS627/AR627),1))</x:f>
        <x:v>2.4736344981457647</x:v>
      </x:c>
      <x:c r="J628" s="32" t="n">
        <x:f>INDEX(v01_FoodCap,G628)*Arch_FoodCap*EXP(v01_CapsByProject*SUMPRODUCT((Cap_Point&lt;=I628)*(Cap_Kind="Food")*Cap_Ln))</x:f>
        <x:v>60</x:v>
      </x:c>
      <x:c r="K628" s="32" t="n">
        <x:f>J628*MIN(1,v01_LeanBase*EXP(v01_CapsByProject*SUMPRODUCT((Cap_Point&lt;=I628)*(Cap_Kind="Lean")*Cap_Ln)))</x:f>
        <x:v>60</x:v>
      </x:c>
      <x:c r="L628" s="10" t="n">
        <x:f>INDEX(v01_HousingCap,G628)*EXP(v01_CapsByProject*SUMPRODUCT((Cap_Point&lt;=I628)*(Cap_Kind="Housing")*Cap_Ln))</x:f>
        <x:v>100</x:v>
      </x:c>
      <x:c r="M628" s="10" t="n">
        <x:f>INDEX(v01_GroupCap,G628)*v01_CohesionFactor*EXP(v01_CapsByProject*SUMPRODUCT((Cap_Point&lt;=I628)*(Cap_Kind="Group")*Cap_Ln))</x:f>
        <x:v>500</x:v>
      </x:c>
      <x:c r="N628" s="32" t="n">
        <x:f>MIN(J628,L628,M628)</x:f>
        <x:v>60</x:v>
      </x:c>
      <x:c r="O628" s="10" t="n">
        <x:f>AE627*N628</x:f>
        <x:v>240</x:v>
      </x:c>
      <x:c r="P628" s="9" t="n">
        <x:f>MIN(1,(AB627/(AE627*IF(v01_GroupInCrowding=1,N628,MIN(J628,L628))))^v01_CrowdingExp)</x:f>
        <x:v>0.2783083391449399</x:v>
      </x:c>
      <x:c r="Q628" s="9" t="n">
        <x:f>IF(D628=1,INDEX(v01_WinterMult,G628),1)</x:f>
        <x:v>1</x:v>
      </x:c>
      <x:c r="R628" s="9" t="n">
        <x:f>H628*Z627*v01_WomenShare*v01_BaseFertility*INDEX(v01_FertMult,G628)*Arch_Fertility*(1-P628)</x:f>
        <x:v>2.4776098941587925</x:v>
      </x:c>
      <x:c r="S628" s="9" t="n">
        <x:f>H628*Y627*INDEX(v01_MortChild,G628)/4*Q628</x:f>
        <x:v>0.7205085138171721</x:v>
      </x:c>
      <x:c r="T628" s="9" t="n">
        <x:f>H628*Z627*INDEX(v01_MortAdult,G628)*Arch_AdultMort/4*Q628</x:f>
        <x:v>0.2543006505148402</x:v>
      </x:c>
      <x:c r="U628" s="9" t="n">
        <x:f>H628*AA627*INDEX(v01_MortElder,G628)/4*Q628</x:f>
        <x:v>0.4692381192745051</x:v>
      </x:c>
      <x:c r="V628" s="9" t="n">
        <x:f>H628*MAX(0,AB627-O628)*v01_OvercapLoss</x:f>
        <x:v>0</x:v>
      </x:c>
      <x:c r="W628" s="9" t="n">
        <x:f>H628*Y627/(v01_ChildYears*4)</x:f>
        <x:v>1.4704255384023919</x:v>
      </x:c>
      <x:c r="X628" s="9" t="n">
        <x:f>H628*Z627/(v01_AdultYears*4)</x:f>
        <x:v>0.6836038992334414</x:v>
      </x:c>
      <x:c r="Y628" s="32" t="n">
        <x:f>Y627+R628-S628-W628-Y627*V628/AB627</x:f>
        <x:v>82.63050599247318</x:v>
      </x:c>
      <x:c r="Z628" s="32" t="n">
        <x:f>Z627+W628-X628-T628-Z627*V628/AB627</x:f>
        <x:v>85.29940449360085</x:v>
      </x:c>
      <x:c r="AA628" s="32" t="n">
        <x:f>AA627+X628-U628-AA627*V628/AB627</x:f>
        <x:v>27.027972595644943</x:v>
      </x:c>
      <x:c r="AB628" s="10" t="n">
        <x:f>Y628+Z628+AA628</x:f>
        <x:v>194.95788308171896</x:v>
      </x:c>
      <x:c r="AC628" s="8" t="n">
        <x:f>IF(AND(v01_WinterTrigger=1,D628=1,AB627/AE627&gt;=K628),1,0)</x:f>
        <x:v>0</x:v>
      </x:c>
      <x:c r="AD628" s="8" t="n">
        <x:f>H628*IF(AND(OR(AB627/AE627&gt;=v01_FissionTrigger*N628,AC628=1),AB627/AE627*v01_DaughterShare&gt;=v01_MinDaughter),MAX(1,ROUND(AE627*v01_FissionRate,0)),0)</x:f>
        <x:v>0</x:v>
      </x:c>
      <x:c r="AE628" s="8" t="n">
        <x:f>IF(H628=1,MAX(1,MIN(INDEX(v01_Smax,G628),AE627+AD628)),AE627)</x:f>
        <x:v>4</x:v>
      </x:c>
      <x:c r="AF628" s="8" t="n">
        <x:f>MAX(0,AE628-AE627)</x:f>
        <x:v>0</x:v>
      </x:c>
      <x:c r="AG628" s="9" t="str">
        <x:f>IF(AF628&gt;0,B628,"")</x:f>
      </x:c>
      <x:c r="AH628" s="9" t="n">
        <x:f>IF(F628&gt;=1,1,(1+v01_LowTiesShare*(AE628-1))/AE628)</x:f>
        <x:v>1</x:v>
      </x:c>
      <x:c r="AI628" s="32" t="n">
        <x:f>(Z628+v01_ElderCommons*INDEX(LM_Elder,G628)*AA628)*AH628</x:f>
        <x:v>166.38332228053568</x:v>
      </x:c>
      <x:c r="AJ628" s="32" t="n">
        <x:f>H628*v01_CommonsCoef*AI628^v01_CommonsExp*INDEX(LM_Commons,G628)</x:f>
        <x:v>50.990263779763175</x:v>
      </x:c>
      <x:c r="AK628" s="32" t="n">
        <x:f>H628*v01_RoleScale*Arch_Roles*(AE628*(INDEX(v01_ElderRolePerSett,G628)*v01_OutElder*INDEX(LM_Elder,G628)+INDEX(v01_ShamanPerSett,G628)*v01_OutShaman)+Z628*(INDEX(v01_PriestShare,G628)*v01_OutPriest+INDEX(v01_ScribeShare,G628)*v01_OutScribe*INDEX(LM_Scribe,G628)+INDEX(v01_ScholarShare,G628)*v01_OutScholar*INDEX(LM_Scholar,G628)+INDEX(v01_ResearcherShare,G628)*v01_OutResearcher*INDEX(LM_Researcher,G628)))</x:f>
        <x:v>12</x:v>
      </x:c>
      <x:c r="AL628" s="32" t="n">
        <x:f>H628*v01_RoleScale*Arch_Roles*AE628*INDEX(v01_MonasteryPerSett,G628)*v01_OutMonastery*INDEX(LM_Monastery,G628)</x:f>
        <x:v>0</x:v>
      </x:c>
      <x:c r="AM628" s="32" t="n">
        <x:f>(AJ628+AK628+AL628)/4*INDEX(LM_All,G628)*INDEX(v01_Boon,G628)*Arch_Insight</x:f>
        <x:v>16.54478647090342</x:v>
      </x:c>
      <x:c r="AN628" s="32" t="n">
        <x:f>H628*(v01_KHPerAdult*Z628+v01_KHOfCommons*AJ628/4*INDEX(LM_All,G628))*v01_KHUsable*Arch_KH</x:f>
        <x:v>2.9854791572760297</x:v>
      </x:c>
      <x:c r="AO628" s="32" t="n">
        <x:f>MIN(AP627+AN628,AM628*v01_KHMaxRatio)</x:f>
        <x:v>2.9854791572760297</x:v>
      </x:c>
      <x:c r="AP628" s="32" t="n">
        <x:f>AP627+AN628-AO628</x:f>
        <x:v>0</x:v>
      </x:c>
      <x:c r="AQ628" s="32" t="n">
        <x:f>AM628+AO628</x:f>
        <x:v>19.53026562817945</x:v>
      </x:c>
      <x:c r="AR628" s="10" t="n">
        <x:f>IF(H628=1,INDEX(v01_Req,G628),0)</x:f>
        <x:v>4006.9599999999996</x:v>
      </x:c>
      <x:c r="AS628" s="32" t="n">
        <x:f>IF(H628=1,IF(E628=1,AS627-AR627,AS627)+AQ628,0)</x:f>
        <x:v>1917.364754318333</x:v>
      </x:c>
      <x:c r="AT628" s="11" t="n">
        <x:f>IF(AR628&gt;0,MIN(1,AS628/AR628),1)</x:f>
        <x:v>0.4785085836440427</x:v>
      </x:c>
      <x:c r="AU628" s="10" t="n">
        <x:f>AB628/INDEX(v01_RepScale,G628)</x:f>
        <x:v>97.47894154085948</x:v>
      </x:c>
      <x:c r="AV628" s="32" t="n">
        <x:f>AM628*60/v01_SeasonSeconds</x:f>
        <x:v>66.17914588361369</x:v>
      </x:c>
    </x:row>
    <x:row r="629">
      <x:c r="A629" s="8" t="n">
        <x:f>A628+1</x:f>
        <x:v>626</x:v>
      </x:c>
      <x:c r="B629" s="9" t="n">
        <x:f>A629*v01_SeasonSeconds/60</x:f>
        <x:v>156.5</x:v>
      </x:c>
      <x:c r="C629" s="9" t="n">
        <x:f>A629/4</x:f>
        <x:v>156.5</x:v>
      </x:c>
      <x:c r="D629" s="8" t="n">
        <x:f>IF(MOD(A629,4)=0,1,0)</x:f>
        <x:v>0</x:v>
      </x:c>
      <x:c r="E629" s="8" t="n">
        <x:f>IF(AND(F628&lt;=9,AS628&gt;=AR628),1,0)</x:f>
        <x:v>0</x:v>
      </x:c>
      <x:c r="F629" s="8" t="n">
        <x:f>MIN(10,F628+E629)</x:f>
        <x:v>2</x:v>
      </x:c>
      <x:c r="G629" s="8" t="n">
        <x:f>MIN(F629,9)+1</x:f>
        <x:v>3</x:v>
      </x:c>
      <x:c r="H629" s="8" t="n">
        <x:f>IF(F629&lt;=9,1,0)</x:f>
        <x:v>1</x:v>
      </x:c>
      <x:c r="I629" s="9" t="n">
        <x:f>MIN(10,F628+IF(AR628&gt;0,MIN(1,AS628/AR628),1))</x:f>
        <x:v>2.4785085836440426</x:v>
      </x:c>
      <x:c r="J629" s="32" t="n">
        <x:f>INDEX(v01_FoodCap,G629)*Arch_FoodCap*EXP(v01_CapsByProject*SUMPRODUCT((Cap_Point&lt;=I629)*(Cap_Kind="Food")*Cap_Ln))</x:f>
        <x:v>60</x:v>
      </x:c>
      <x:c r="K629" s="32" t="n">
        <x:f>J629*MIN(1,v01_LeanBase*EXP(v01_CapsByProject*SUMPRODUCT((Cap_Point&lt;=I629)*(Cap_Kind="Lean")*Cap_Ln)))</x:f>
        <x:v>60</x:v>
      </x:c>
      <x:c r="L629" s="10" t="n">
        <x:f>INDEX(v01_HousingCap,G629)*EXP(v01_CapsByProject*SUMPRODUCT((Cap_Point&lt;=I629)*(Cap_Kind="Housing")*Cap_Ln))</x:f>
        <x:v>100</x:v>
      </x:c>
      <x:c r="M629" s="10" t="n">
        <x:f>INDEX(v01_GroupCap,G629)*v01_CohesionFactor*EXP(v01_CapsByProject*SUMPRODUCT((Cap_Point&lt;=I629)*(Cap_Kind="Group")*Cap_Ln))</x:f>
        <x:v>500</x:v>
      </x:c>
      <x:c r="N629" s="32" t="n">
        <x:f>MIN(J629,L629,M629)</x:f>
        <x:v>60</x:v>
      </x:c>
      <x:c r="O629" s="10" t="n">
        <x:f>AE628*N629</x:f>
        <x:v>240</x:v>
      </x:c>
      <x:c r="P629" s="9" t="n">
        <x:f>MIN(1,(AB628/(AE628*IF(v01_GroupInCrowding=1,N629,MIN(J629,L629))))^v01_CrowdingExp)</x:f>
        <x:v>0.28732760487505826</x:v>
      </x:c>
      <x:c r="Q629" s="9" t="n">
        <x:f>IF(D629=1,INDEX(v01_WinterMult,G629),1)</x:f>
        <x:v>1</x:v>
      </x:c>
      <x:c r="R629" s="9" t="n">
        <x:f>H629*Z628*v01_WomenShare*v01_BaseFertility*INDEX(v01_FertMult,G629)*Arch_Fertility*(1-P629)</x:f>
        <x:v>2.4620165015790225</x:v>
      </x:c>
      <x:c r="S629" s="9" t="n">
        <x:f>H629*Y628*INDEX(v01_MortChild,G629)/4*Q629</x:f>
        <x:v>0.7230169274341404</x:v>
      </x:c>
      <x:c r="T629" s="9" t="n">
        <x:f>H629*Z628*INDEX(v01_MortAdult,G629)*Arch_AdultMort/4*Q629</x:f>
        <x:v>0.25589821348080255</x:v>
      </x:c>
      <x:c r="U629" s="9" t="n">
        <x:f>H629*AA628*INDEX(v01_MortElder,G629)/4*Q629</x:f>
        <x:v>0.47298952042378656</x:v>
      </x:c>
      <x:c r="V629" s="9" t="n">
        <x:f>H629*MAX(0,AB628-O629)*v01_OvercapLoss</x:f>
        <x:v>0</x:v>
      </x:c>
      <x:c r="W629" s="9" t="n">
        <x:f>H629*Y628/(v01_ChildYears*4)</x:f>
        <x:v>1.4755447498655925</x:v>
      </x:c>
      <x:c r="X629" s="9" t="n">
        <x:f>H629*Z628/(v01_AdultYears*4)</x:f>
        <x:v>0.6878984233354907</x:v>
      </x:c>
      <x:c r="Y629" s="32" t="n">
        <x:f>Y628+R629-S629-W629-Y628*V629/AB628</x:f>
        <x:v>82.89396081675247</x:v>
      </x:c>
      <x:c r="Z629" s="32" t="n">
        <x:f>Z628+W629-X629-T629-Z628*V629/AB628</x:f>
        <x:v>85.83115260665014</x:v>
      </x:c>
      <x:c r="AA629" s="32" t="n">
        <x:f>AA628+X629-U629-AA628*V629/AB628</x:f>
        <x:v>27.242881498556645</x:v>
      </x:c>
      <x:c r="AB629" s="10" t="n">
        <x:f>Y629+Z629+AA629</x:f>
        <x:v>195.96799492195925</x:v>
      </x:c>
      <x:c r="AC629" s="8" t="n">
        <x:f>IF(AND(v01_WinterTrigger=1,D629=1,AB628/AE628&gt;=K629),1,0)</x:f>
        <x:v>0</x:v>
      </x:c>
      <x:c r="AD629" s="8" t="n">
        <x:f>H629*IF(AND(OR(AB628/AE628&gt;=v01_FissionTrigger*N629,AC629=1),AB628/AE628*v01_DaughterShare&gt;=v01_MinDaughter),MAX(1,ROUND(AE628*v01_FissionRate,0)),0)</x:f>
        <x:v>0</x:v>
      </x:c>
      <x:c r="AE629" s="8" t="n">
        <x:f>IF(H629=1,MAX(1,MIN(INDEX(v01_Smax,G629),AE628+AD629)),AE628)</x:f>
        <x:v>4</x:v>
      </x:c>
      <x:c r="AF629" s="8" t="n">
        <x:f>MAX(0,AE629-AE628)</x:f>
        <x:v>0</x:v>
      </x:c>
      <x:c r="AG629" s="9" t="str">
        <x:f>IF(AF629&gt;0,B629,"")</x:f>
      </x:c>
      <x:c r="AH629" s="9" t="n">
        <x:f>IF(F629&gt;=1,1,(1+v01_LowTiesShare*(AE629-1))/AE629)</x:f>
        <x:v>1</x:v>
      </x:c>
      <x:c r="AI629" s="32" t="n">
        <x:f>(Z629+v01_ElderCommons*INDEX(LM_Elder,G629)*AA629)*AH629</x:f>
        <x:v>167.5597971023201</x:v>
      </x:c>
      <x:c r="AJ629" s="32" t="n">
        <x:f>H629*v01_CommonsCoef*AI629^v01_CommonsExp*INDEX(LM_Commons,G629)</x:f>
        <x:v>51.29656538846145</x:v>
      </x:c>
      <x:c r="AK629" s="32" t="n">
        <x:f>H629*v01_RoleScale*Arch_Roles*(AE629*(INDEX(v01_ElderRolePerSett,G629)*v01_OutElder*INDEX(LM_Elder,G629)+INDEX(v01_ShamanPerSett,G629)*v01_OutShaman)+Z629*(INDEX(v01_PriestShare,G629)*v01_OutPriest+INDEX(v01_ScribeShare,G629)*v01_OutScribe*INDEX(LM_Scribe,G629)+INDEX(v01_ScholarShare,G629)*v01_OutScholar*INDEX(LM_Scholar,G629)+INDEX(v01_ResearcherShare,G629)*v01_OutResearcher*INDEX(LM_Researcher,G629)))</x:f>
        <x:v>12</x:v>
      </x:c>
      <x:c r="AL629" s="32" t="n">
        <x:f>H629*v01_RoleScale*Arch_Roles*AE629*INDEX(v01_MonasteryPerSett,G629)*v01_OutMonastery*INDEX(LM_Monastery,G629)</x:f>
        <x:v>0</x:v>
      </x:c>
      <x:c r="AM629" s="32" t="n">
        <x:f>(AJ629+AK629+AL629)/4*INDEX(LM_All,G629)*INDEX(v01_Boon,G629)*Arch_Insight</x:f>
        <x:v>16.625238502813076</x:v>
      </x:c>
      <x:c r="AN629" s="32" t="n">
        <x:f>H629*(v01_KHPerAdult*Z629+v01_KHOfCommons*AJ629/4*INDEX(LM_All,G629))*v01_KHUsable*Arch_KH</x:f>
        <x:v>3.0040903412327546</x:v>
      </x:c>
      <x:c r="AO629" s="32" t="n">
        <x:f>MIN(AP628+AN629,AM629*v01_KHMaxRatio)</x:f>
        <x:v>3.0040903412327546</x:v>
      </x:c>
      <x:c r="AP629" s="32" t="n">
        <x:f>AP628+AN629-AO629</x:f>
        <x:v>0</x:v>
      </x:c>
      <x:c r="AQ629" s="32" t="n">
        <x:f>AM629+AO629</x:f>
        <x:v>19.62932884404583</x:v>
      </x:c>
      <x:c r="AR629" s="10" t="n">
        <x:f>IF(H629=1,INDEX(v01_Req,G629),0)</x:f>
        <x:v>4006.9599999999996</x:v>
      </x:c>
      <x:c r="AS629" s="32" t="n">
        <x:f>IF(H629=1,IF(E629=1,AS628-AR628,AS628)+AQ629,0)</x:f>
        <x:v>1936.994083162379</x:v>
      </x:c>
      <x:c r="AT629" s="11" t="n">
        <x:f>IF(AR629&gt;0,MIN(1,AS629/AR629),1)</x:f>
        <x:v>0.48340739192863896</x:v>
      </x:c>
      <x:c r="AU629" s="10" t="n">
        <x:f>AB629/INDEX(v01_RepScale,G629)</x:f>
        <x:v>97.98399746097962</x:v>
      </x:c>
      <x:c r="AV629" s="32" t="n">
        <x:f>AM629*60/v01_SeasonSeconds</x:f>
        <x:v>66.5009540112523</x:v>
      </x:c>
    </x:row>
    <x:row r="630">
      <x:c r="A630" s="8" t="n">
        <x:f>A629+1</x:f>
        <x:v>627</x:v>
      </x:c>
      <x:c r="B630" s="9" t="n">
        <x:f>A630*v01_SeasonSeconds/60</x:f>
        <x:v>156.75</x:v>
      </x:c>
      <x:c r="C630" s="9" t="n">
        <x:f>A630/4</x:f>
        <x:v>156.75</x:v>
      </x:c>
      <x:c r="D630" s="8" t="n">
        <x:f>IF(MOD(A630,4)=0,1,0)</x:f>
        <x:v>0</x:v>
      </x:c>
      <x:c r="E630" s="8" t="n">
        <x:f>IF(AND(F629&lt;=9,AS629&gt;=AR629),1,0)</x:f>
        <x:v>0</x:v>
      </x:c>
      <x:c r="F630" s="8" t="n">
        <x:f>MIN(10,F629+E630)</x:f>
        <x:v>2</x:v>
      </x:c>
      <x:c r="G630" s="8" t="n">
        <x:f>MIN(F630,9)+1</x:f>
        <x:v>3</x:v>
      </x:c>
      <x:c r="H630" s="8" t="n">
        <x:f>IF(F630&lt;=9,1,0)</x:f>
        <x:v>1</x:v>
      </x:c>
      <x:c r="I630" s="9" t="n">
        <x:f>MIN(10,F629+IF(AR629&gt;0,MIN(1,AS629/AR629),1))</x:f>
        <x:v>2.483407391928639</x:v>
      </x:c>
      <x:c r="J630" s="32" t="n">
        <x:f>INDEX(v01_FoodCap,G630)*Arch_FoodCap*EXP(v01_CapsByProject*SUMPRODUCT((Cap_Point&lt;=I630)*(Cap_Kind="Food")*Cap_Ln))</x:f>
        <x:v>60</x:v>
      </x:c>
      <x:c r="K630" s="32" t="n">
        <x:f>J630*MIN(1,v01_LeanBase*EXP(v01_CapsByProject*SUMPRODUCT((Cap_Point&lt;=I630)*(Cap_Kind="Lean")*Cap_Ln)))</x:f>
        <x:v>60</x:v>
      </x:c>
      <x:c r="L630" s="10" t="n">
        <x:f>INDEX(v01_HousingCap,G630)*EXP(v01_CapsByProject*SUMPRODUCT((Cap_Point&lt;=I630)*(Cap_Kind="Housing")*Cap_Ln))</x:f>
        <x:v>100</x:v>
      </x:c>
      <x:c r="M630" s="10" t="n">
        <x:f>INDEX(v01_GroupCap,G630)*v01_CohesionFactor*EXP(v01_CapsByProject*SUMPRODUCT((Cap_Point&lt;=I630)*(Cap_Kind="Group")*Cap_Ln))</x:f>
        <x:v>500</x:v>
      </x:c>
      <x:c r="N630" s="32" t="n">
        <x:f>MIN(J630,L630,M630)</x:f>
        <x:v>60</x:v>
      </x:c>
      <x:c r="O630" s="10" t="n">
        <x:f>AE629*N630</x:f>
        <x:v>240</x:v>
      </x:c>
      <x:c r="P630" s="9" t="n">
        <x:f>MIN(1,(AB629/(AE629*IF(v01_GroupInCrowding=1,N630,MIN(J630,L630))))^v01_CrowdingExp)</x:f>
        <x:v>0.2963762811251959</x:v>
      </x:c>
      <x:c r="Q630" s="9" t="n">
        <x:f>IF(D630=1,INDEX(v01_WinterMult,G630),1)</x:f>
        <x:v>1</x:v>
      </x:c>
      <x:c r="R630" s="9" t="n">
        <x:f>H630*Z629*v01_WomenShare*v01_BaseFertility*INDEX(v01_FertMult,G630)*Arch_Fertility*(1-P630)</x:f>
        <x:v>2.4459098090922815</x:v>
      </x:c>
      <x:c r="S630" s="9" t="n">
        <x:f>H630*Y629*INDEX(v01_MortChild,G630)/4*Q630</x:f>
        <x:v>0.7253221571465842</x:v>
      </x:c>
      <x:c r="T630" s="9" t="n">
        <x:f>H630*Z629*INDEX(v01_MortAdult,G630)*Arch_AdultMort/4*Q630</x:f>
        <x:v>0.2574934578199504</x:v>
      </x:c>
      <x:c r="U630" s="9" t="n">
        <x:f>H630*AA629*INDEX(v01_MortElder,G630)/4*Q630</x:f>
        <x:v>0.47675042622474134</x:v>
      </x:c>
      <x:c r="V630" s="9" t="n">
        <x:f>H630*MAX(0,AB629-O630)*v01_OvercapLoss</x:f>
        <x:v>0</x:v>
      </x:c>
      <x:c r="W630" s="9" t="n">
        <x:f>H630*Y629/(v01_ChildYears*4)</x:f>
        <x:v>1.4802493002991512</x:v>
      </x:c>
      <x:c r="X630" s="9" t="n">
        <x:f>H630*Z629/(v01_AdultYears*4)</x:f>
        <x:v>0.6921867145697591</x:v>
      </x:c>
      <x:c r="Y630" s="32" t="n">
        <x:f>Y629+R630-S630-W630-Y629*V630/AB629</x:f>
        <x:v>83.13429916839902</x:v>
      </x:c>
      <x:c r="Z630" s="32" t="n">
        <x:f>Z629+W630-X630-T630-Z629*V630/AB629</x:f>
        <x:v>86.36172173455958</x:v>
      </x:c>
      <x:c r="AA630" s="32" t="n">
        <x:f>AA629+X630-U630-AA629*V630/AB629</x:f>
        <x:v>27.458317786901663</x:v>
      </x:c>
      <x:c r="AB630" s="10" t="n">
        <x:f>Y630+Z630+AA630</x:f>
        <x:v>196.95433868986026</x:v>
      </x:c>
      <x:c r="AC630" s="8" t="n">
        <x:f>IF(AND(v01_WinterTrigger=1,D630=1,AB629/AE629&gt;=K630),1,0)</x:f>
        <x:v>0</x:v>
      </x:c>
      <x:c r="AD630" s="8" t="n">
        <x:f>H630*IF(AND(OR(AB629/AE629&gt;=v01_FissionTrigger*N630,AC630=1),AB629/AE629*v01_DaughterShare&gt;=v01_MinDaughter),MAX(1,ROUND(AE629*v01_FissionRate,0)),0)</x:f>
        <x:v>0</x:v>
      </x:c>
      <x:c r="AE630" s="8" t="n">
        <x:f>IF(H630=1,MAX(1,MIN(INDEX(v01_Smax,G630),AE629+AD630)),AE629)</x:f>
        <x:v>4</x:v>
      </x:c>
      <x:c r="AF630" s="8" t="n">
        <x:f>MAX(0,AE630-AE629)</x:f>
        <x:v>0</x:v>
      </x:c>
      <x:c r="AG630" s="9" t="str">
        <x:f>IF(AF630&gt;0,B630,"")</x:f>
      </x:c>
      <x:c r="AH630" s="9" t="n">
        <x:f>IF(F630&gt;=1,1,(1+v01_LowTiesShare*(AE630-1))/AE630)</x:f>
        <x:v>1</x:v>
      </x:c>
      <x:c r="AI630" s="32" t="n">
        <x:f>(Z630+v01_ElderCommons*INDEX(LM_Elder,G630)*AA630)*AH630</x:f>
        <x:v>168.73667509526456</x:v>
      </x:c>
      <x:c r="AJ630" s="32" t="n">
        <x:f>H630*v01_CommonsCoef*AI630^v01_CommonsExp*INDEX(LM_Commons,G630)</x:f>
        <x:v>51.60264937464864</x:v>
      </x:c>
      <x:c r="AK630" s="32" t="n">
        <x:f>H630*v01_RoleScale*Arch_Roles*(AE630*(INDEX(v01_ElderRolePerSett,G630)*v01_OutElder*INDEX(LM_Elder,G630)+INDEX(v01_ShamanPerSett,G630)*v01_OutShaman)+Z630*(INDEX(v01_PriestShare,G630)*v01_OutPriest+INDEX(v01_ScribeShare,G630)*v01_OutScribe*INDEX(LM_Scribe,G630)+INDEX(v01_ScholarShare,G630)*v01_OutScholar*INDEX(LM_Scholar,G630)+INDEX(v01_ResearcherShare,G630)*v01_OutResearcher*INDEX(LM_Researcher,G630)))</x:f>
        <x:v>12</x:v>
      </x:c>
      <x:c r="AL630" s="32" t="n">
        <x:f>H630*v01_RoleScale*Arch_Roles*AE630*INDEX(v01_MonasteryPerSett,G630)*v01_OutMonastery*INDEX(LM_Monastery,G630)</x:f>
        <x:v>0</x:v>
      </x:c>
      <x:c r="AM630" s="32" t="n">
        <x:f>(AJ630+AK630+AL630)/4*INDEX(LM_All,G630)*INDEX(v01_Boon,G630)*Arch_Insight</x:f>
        <x:v>16.705633374810056</x:v>
      </x:c>
      <x:c r="AN630" s="32" t="n">
        <x:f>H630*(v01_KHPerAdult*Z630+v01_KHOfCommons*AJ630/4*INDEX(LM_All,G630))*v01_KHUsable*Arch_KH</x:f>
        <x:v>3.0226602607095856</x:v>
      </x:c>
      <x:c r="AO630" s="32" t="n">
        <x:f>MIN(AP629+AN630,AM630*v01_KHMaxRatio)</x:f>
        <x:v>3.0226602607095856</x:v>
      </x:c>
      <x:c r="AP630" s="32" t="n">
        <x:f>AP629+AN630-AO630</x:f>
        <x:v>0</x:v>
      </x:c>
      <x:c r="AQ630" s="32" t="n">
        <x:f>AM630+AO630</x:f>
        <x:v>19.72829363551964</x:v>
      </x:c>
      <x:c r="AR630" s="10" t="n">
        <x:f>IF(H630=1,INDEX(v01_Req,G630),0)</x:f>
        <x:v>4006.9599999999996</x:v>
      </x:c>
      <x:c r="AS630" s="32" t="n">
        <x:f>IF(H630=1,IF(E630=1,AS629-AR629,AS629)+AQ630,0)</x:f>
        <x:v>1956.7223767978985</x:v>
      </x:c>
      <x:c r="AT630" s="11" t="n">
        <x:f>IF(AR630&gt;0,MIN(1,AS630/AR630),1)</x:f>
        <x:v>0.4883308984361957</x:v>
      </x:c>
      <x:c r="AU630" s="10" t="n">
        <x:f>AB630/INDEX(v01_RepScale,G630)</x:f>
        <x:v>98.47716934493013</x:v>
      </x:c>
      <x:c r="AV630" s="32" t="n">
        <x:f>AM630*60/v01_SeasonSeconds</x:f>
        <x:v>66.82253349924022</x:v>
      </x:c>
    </x:row>
    <x:row r="631">
      <x:c r="A631" s="8" t="n">
        <x:f>A630+1</x:f>
        <x:v>628</x:v>
      </x:c>
      <x:c r="B631" s="9" t="n">
        <x:f>A631*v01_SeasonSeconds/60</x:f>
        <x:v>157</x:v>
      </x:c>
      <x:c r="C631" s="9" t="n">
        <x:f>A631/4</x:f>
        <x:v>157</x:v>
      </x:c>
      <x:c r="D631" s="8" t="n">
        <x:f>IF(MOD(A631,4)=0,1,0)</x:f>
        <x:v>1</x:v>
      </x:c>
      <x:c r="E631" s="8" t="n">
        <x:f>IF(AND(F630&lt;=9,AS630&gt;=AR630),1,0)</x:f>
        <x:v>0</x:v>
      </x:c>
      <x:c r="F631" s="8" t="n">
        <x:f>MIN(10,F630+E631)</x:f>
        <x:v>2</x:v>
      </x:c>
      <x:c r="G631" s="8" t="n">
        <x:f>MIN(F631,9)+1</x:f>
        <x:v>3</x:v>
      </x:c>
      <x:c r="H631" s="8" t="n">
        <x:f>IF(F631&lt;=9,1,0)</x:f>
        <x:v>1</x:v>
      </x:c>
      <x:c r="I631" s="9" t="n">
        <x:f>MIN(10,F630+IF(AR630&gt;0,MIN(1,AS630/AR630),1))</x:f>
        <x:v>2.4883308984361956</x:v>
      </x:c>
      <x:c r="J631" s="32" t="n">
        <x:f>INDEX(v01_FoodCap,G631)*Arch_FoodCap*EXP(v01_CapsByProject*SUMPRODUCT((Cap_Point&lt;=I631)*(Cap_Kind="Food")*Cap_Ln))</x:f>
        <x:v>60</x:v>
      </x:c>
      <x:c r="K631" s="32" t="n">
        <x:f>J631*MIN(1,v01_LeanBase*EXP(v01_CapsByProject*SUMPRODUCT((Cap_Point&lt;=I631)*(Cap_Kind="Lean")*Cap_Ln)))</x:f>
        <x:v>60</x:v>
      </x:c>
      <x:c r="L631" s="10" t="n">
        <x:f>INDEX(v01_HousingCap,G631)*EXP(v01_CapsByProject*SUMPRODUCT((Cap_Point&lt;=I631)*(Cap_Kind="Housing")*Cap_Ln))</x:f>
        <x:v>100</x:v>
      </x:c>
      <x:c r="M631" s="10" t="n">
        <x:f>INDEX(v01_GroupCap,G631)*v01_CohesionFactor*EXP(v01_CapsByProject*SUMPRODUCT((Cap_Point&lt;=I631)*(Cap_Kind="Group")*Cap_Ln))</x:f>
        <x:v>500</x:v>
      </x:c>
      <x:c r="N631" s="32" t="n">
        <x:f>MIN(J631,L631,M631)</x:f>
        <x:v>60</x:v>
      </x:c>
      <x:c r="O631" s="10" t="n">
        <x:f>AE630*N631</x:f>
        <x:v>240</x:v>
      </x:c>
      <x:c r="P631" s="9" t="n">
        <x:f>MIN(1,(AB630/(AE630*IF(v01_GroupInCrowding=1,N631,MIN(J631,L631))))^v01_CrowdingExp)</x:f>
        <x:v>0.305439966518912</x:v>
      </x:c>
      <x:c r="Q631" s="9" t="n">
        <x:f>IF(D631=1,INDEX(v01_WinterMult,G631),1)</x:f>
        <x:v>1.3</x:v>
      </x:c>
      <x:c r="R631" s="9" t="n">
        <x:f>H631*Z630*v01_WomenShare*v01_BaseFertility*INDEX(v01_FertMult,G631)*Arch_Fertility*(1-P631)</x:f>
        <x:v>2.4293277137473246</x:v>
      </x:c>
      <x:c r="S631" s="9" t="n">
        <x:f>H631*Y630*INDEX(v01_MortChild,G631)/4*Q631</x:f>
        <x:v>0.945652653040539</x:v>
      </x:c>
      <x:c r="T631" s="9" t="n">
        <x:f>H631*Z630*INDEX(v01_MortAdult,G631)*Arch_AdultMort/4*Q631</x:f>
        <x:v>0.33681071476478236</x:v>
      </x:c>
      <x:c r="U631" s="9" t="n">
        <x:f>H631*AA630*INDEX(v01_MortElder,G631)/4*Q631</x:f>
        <x:v>0.6246767296520129</x:v>
      </x:c>
      <x:c r="V631" s="9" t="n">
        <x:f>H631*MAX(0,AB630-O631)*v01_OvercapLoss</x:f>
        <x:v>0</x:v>
      </x:c>
      <x:c r="W631" s="9" t="n">
        <x:f>H631*Y630/(v01_ChildYears*4)</x:f>
        <x:v>1.484541056578554</x:v>
      </x:c>
      <x:c r="X631" s="9" t="n">
        <x:f>H631*Z630/(v01_AdultYears*4)</x:f>
        <x:v>0.6964654978593514</x:v>
      </x:c>
      <x:c r="Y631" s="32" t="n">
        <x:f>Y630+R631-S631-W631-Y630*V631/AB630</x:f>
        <x:v>83.13343317252726</x:v>
      </x:c>
      <x:c r="Z631" s="32" t="n">
        <x:f>Z630+W631-X631-T631-Z630*V631/AB630</x:f>
        <x:v>86.812986578514</x:v>
      </x:c>
      <x:c r="AA631" s="32" t="n">
        <x:f>AA630+X631-U631-AA630*V631/AB630</x:f>
        <x:v>27.530106555109</x:v>
      </x:c>
      <x:c r="AB631" s="10" t="n">
        <x:f>Y631+Z631+AA631</x:f>
        <x:v>197.47652630615028</x:v>
      </x:c>
      <x:c r="AC631" s="8" t="n">
        <x:f>IF(AND(v01_WinterTrigger=1,D631=1,AB630/AE630&gt;=K631),1,0)</x:f>
        <x:v>0</x:v>
      </x:c>
      <x:c r="AD631" s="8" t="n">
        <x:f>H631*IF(AND(OR(AB630/AE630&gt;=v01_FissionTrigger*N631,AC631=1),AB630/AE630*v01_DaughterShare&gt;=v01_MinDaughter),MAX(1,ROUND(AE630*v01_FissionRate,0)),0)</x:f>
        <x:v>0</x:v>
      </x:c>
      <x:c r="AE631" s="8" t="n">
        <x:f>IF(H631=1,MAX(1,MIN(INDEX(v01_Smax,G631),AE630+AD631)),AE630)</x:f>
        <x:v>4</x:v>
      </x:c>
      <x:c r="AF631" s="8" t="n">
        <x:f>MAX(0,AE631-AE630)</x:f>
        <x:v>0</x:v>
      </x:c>
      <x:c r="AG631" s="9" t="str">
        <x:f>IF(AF631&gt;0,B631,"")</x:f>
      </x:c>
      <x:c r="AH631" s="9" t="n">
        <x:f>IF(F631&gt;=1,1,(1+v01_LowTiesShare*(AE631-1))/AE631)</x:f>
        <x:v>1</x:v>
      </x:c>
      <x:c r="AI631" s="32" t="n">
        <x:f>(Z631+v01_ElderCommons*INDEX(LM_Elder,G631)*AA631)*AH631</x:f>
        <x:v>169.403306243841</x:v>
      </x:c>
      <x:c r="AJ631" s="32" t="n">
        <x:f>H631*v01_CommonsCoef*AI631^v01_CommonsExp*INDEX(LM_Commons,G631)</x:f>
        <x:v>51.7758855284136</x:v>
      </x:c>
      <x:c r="AK631" s="32" t="n">
        <x:f>H631*v01_RoleScale*Arch_Roles*(AE631*(INDEX(v01_ElderRolePerSett,G631)*v01_OutElder*INDEX(LM_Elder,G631)+INDEX(v01_ShamanPerSett,G631)*v01_OutShaman)+Z631*(INDEX(v01_PriestShare,G631)*v01_OutPriest+INDEX(v01_ScribeShare,G631)*v01_OutScribe*INDEX(LM_Scribe,G631)+INDEX(v01_ScholarShare,G631)*v01_OutScholar*INDEX(LM_Scholar,G631)+INDEX(v01_ResearcherShare,G631)*v01_OutResearcher*INDEX(LM_Researcher,G631)))</x:f>
        <x:v>12</x:v>
      </x:c>
      <x:c r="AL631" s="32" t="n">
        <x:f>H631*v01_RoleScale*Arch_Roles*AE631*INDEX(v01_MonasteryPerSett,G631)*v01_OutMonastery*INDEX(LM_Monastery,G631)</x:f>
        <x:v>0</x:v>
      </x:c>
      <x:c r="AM631" s="32" t="n">
        <x:f>(AJ631+AK631+AL631)/4*INDEX(LM_All,G631)*INDEX(v01_Boon,G631)*Arch_Insight</x:f>
        <x:v>16.751134933322383</x:v>
      </x:c>
      <x:c r="AN631" s="32" t="n">
        <x:f>H631*(v01_KHPerAdult*Z631+v01_KHOfCommons*AJ631/4*INDEX(LM_All,G631))*v01_KHUsable*Arch_KH</x:f>
        <x:v>3.0384545302479897</x:v>
      </x:c>
      <x:c r="AO631" s="32" t="n">
        <x:f>MIN(AP630+AN631,AM631*v01_KHMaxRatio)</x:f>
        <x:v>3.0384545302479897</x:v>
      </x:c>
      <x:c r="AP631" s="32" t="n">
        <x:f>AP630+AN631-AO631</x:f>
        <x:v>0</x:v>
      </x:c>
      <x:c r="AQ631" s="32" t="n">
        <x:f>AM631+AO631</x:f>
        <x:v>19.789589463570373</x:v>
      </x:c>
      <x:c r="AR631" s="10" t="n">
        <x:f>IF(H631=1,INDEX(v01_Req,G631),0)</x:f>
        <x:v>4006.9599999999996</x:v>
      </x:c>
      <x:c r="AS631" s="32" t="n">
        <x:f>IF(H631=1,IF(E631=1,AS630-AR630,AS630)+AQ631,0)</x:f>
        <x:v>1976.5119662614688</x:v>
      </x:c>
      <x:c r="AT631" s="11" t="n">
        <x:f>IF(AR631&gt;0,MIN(1,AS631/AR631),1)</x:f>
        <x:v>0.4932697022833942</x:v>
      </x:c>
      <x:c r="AU631" s="10" t="n">
        <x:f>AB631/INDEX(v01_RepScale,G631)</x:f>
        <x:v>98.73826315307514</x:v>
      </x:c>
      <x:c r="AV631" s="32" t="n">
        <x:f>AM631*60/v01_SeasonSeconds</x:f>
        <x:v>67.00453973328953</x:v>
      </x:c>
    </x:row>
    <x:row r="632">
      <x:c r="A632" s="8" t="n">
        <x:f>A631+1</x:f>
        <x:v>629</x:v>
      </x:c>
      <x:c r="B632" s="9" t="n">
        <x:f>A632*v01_SeasonSeconds/60</x:f>
        <x:v>157.25</x:v>
      </x:c>
      <x:c r="C632" s="9" t="n">
        <x:f>A632/4</x:f>
        <x:v>157.25</x:v>
      </x:c>
      <x:c r="D632" s="8" t="n">
        <x:f>IF(MOD(A632,4)=0,1,0)</x:f>
        <x:v>0</x:v>
      </x:c>
      <x:c r="E632" s="8" t="n">
        <x:f>IF(AND(F631&lt;=9,AS631&gt;=AR631),1,0)</x:f>
        <x:v>0</x:v>
      </x:c>
      <x:c r="F632" s="8" t="n">
        <x:f>MIN(10,F631+E632)</x:f>
        <x:v>2</x:v>
      </x:c>
      <x:c r="G632" s="8" t="n">
        <x:f>MIN(F632,9)+1</x:f>
        <x:v>3</x:v>
      </x:c>
      <x:c r="H632" s="8" t="n">
        <x:f>IF(F632&lt;=9,1,0)</x:f>
        <x:v>1</x:v>
      </x:c>
      <x:c r="I632" s="9" t="n">
        <x:f>MIN(10,F631+IF(AR631&gt;0,MIN(1,AS631/AR631),1))</x:f>
        <x:v>2.4932697022833943</x:v>
      </x:c>
      <x:c r="J632" s="32" t="n">
        <x:f>INDEX(v01_FoodCap,G632)*Arch_FoodCap*EXP(v01_CapsByProject*SUMPRODUCT((Cap_Point&lt;=I632)*(Cap_Kind="Food")*Cap_Ln))</x:f>
        <x:v>60</x:v>
      </x:c>
      <x:c r="K632" s="32" t="n">
        <x:f>J632*MIN(1,v01_LeanBase*EXP(v01_CapsByProject*SUMPRODUCT((Cap_Point&lt;=I632)*(Cap_Kind="Lean")*Cap_Ln)))</x:f>
        <x:v>60</x:v>
      </x:c>
      <x:c r="L632" s="10" t="n">
        <x:f>INDEX(v01_HousingCap,G632)*EXP(v01_CapsByProject*SUMPRODUCT((Cap_Point&lt;=I632)*(Cap_Kind="Housing")*Cap_Ln))</x:f>
        <x:v>100</x:v>
      </x:c>
      <x:c r="M632" s="10" t="n">
        <x:f>INDEX(v01_GroupCap,G632)*v01_CohesionFactor*EXP(v01_CapsByProject*SUMPRODUCT((Cap_Point&lt;=I632)*(Cap_Kind="Group")*Cap_Ln))</x:f>
        <x:v>500</x:v>
      </x:c>
      <x:c r="N632" s="32" t="n">
        <x:f>MIN(J632,L632,M632)</x:f>
        <x:v>60</x:v>
      </x:c>
      <x:c r="O632" s="10" t="n">
        <x:f>AE631*N632</x:f>
        <x:v>240</x:v>
      </x:c>
      <x:c r="P632" s="9" t="n">
        <x:f>MIN(1,(AB631/(AE631*IF(v01_GroupInCrowding=1,N632,MIN(J632,L632))))^v01_CrowdingExp)</x:f>
        <x:v>0.3103311886610781</x:v>
      </x:c>
      <x:c r="Q632" s="9" t="n">
        <x:f>IF(D632=1,INDEX(v01_WinterMult,G632),1)</x:f>
        <x:v>1</x:v>
      </x:c>
      <x:c r="R632" s="9" t="n">
        <x:f>H632*Z631*v01_WomenShare*v01_BaseFertility*INDEX(v01_FertMult,G632)*Arch_Fertility*(1-P632)</x:f>
        <x:v>2.424824475126614</x:v>
      </x:c>
      <x:c r="S632" s="9" t="n">
        <x:f>H632*Y631*INDEX(v01_MortChild,G632)/4*Q632</x:f>
        <x:v>0.7274175402596136</x:v>
      </x:c>
      <x:c r="T632" s="9" t="n">
        <x:f>H632*Z631*INDEX(v01_MortAdult,G632)*Arch_AdultMort/4*Q632</x:f>
        <x:v>0.260438959735542</x:v>
      </x:c>
      <x:c r="U632" s="9" t="n">
        <x:f>H632*AA631*INDEX(v01_MortElder,G632)/4*Q632</x:f>
        <x:v>0.48177686471440756</x:v>
      </x:c>
      <x:c r="V632" s="9" t="n">
        <x:f>H632*MAX(0,AB631-O632)*v01_OvercapLoss</x:f>
        <x:v>0</x:v>
      </x:c>
      <x:c r="W632" s="9" t="n">
        <x:f>H632*Y631/(v01_ChildYears*4)</x:f>
        <x:v>1.4845255923665583</x:v>
      </x:c>
      <x:c r="X632" s="9" t="n">
        <x:f>H632*Z631/(v01_AdultYears*4)</x:f>
        <x:v>0.7001047304718871</x:v>
      </x:c>
      <x:c r="Y632" s="32" t="n">
        <x:f>Y631+R632-S632-W632-Y631*V632/AB631</x:f>
        <x:v>83.34631451502771</x:v>
      </x:c>
      <x:c r="Z632" s="32" t="n">
        <x:f>Z631+W632-X632-T632-Z631*V632/AB631</x:f>
        <x:v>87.33696848067312</x:v>
      </x:c>
      <x:c r="AA632" s="32" t="n">
        <x:f>AA631+X632-U632-AA631*V632/AB631</x:f>
        <x:v>27.74843442086648</x:v>
      </x:c>
      <x:c r="AB632" s="10" t="n">
        <x:f>Y632+Z632+AA632</x:f>
        <x:v>198.43171741656732</x:v>
      </x:c>
      <x:c r="AC632" s="8" t="n">
        <x:f>IF(AND(v01_WinterTrigger=1,D632=1,AB631/AE631&gt;=K632),1,0)</x:f>
        <x:v>0</x:v>
      </x:c>
      <x:c r="AD632" s="8" t="n">
        <x:f>H632*IF(AND(OR(AB631/AE631&gt;=v01_FissionTrigger*N632,AC632=1),AB631/AE631*v01_DaughterShare&gt;=v01_MinDaughter),MAX(1,ROUND(AE631*v01_FissionRate,0)),0)</x:f>
        <x:v>0</x:v>
      </x:c>
      <x:c r="AE632" s="8" t="n">
        <x:f>IF(H632=1,MAX(1,MIN(INDEX(v01_Smax,G632),AE631+AD632)),AE631)</x:f>
        <x:v>4</x:v>
      </x:c>
      <x:c r="AF632" s="8" t="n">
        <x:f>MAX(0,AE632-AE631)</x:f>
        <x:v>0</x:v>
      </x:c>
      <x:c r="AG632" s="9" t="str">
        <x:f>IF(AF632&gt;0,B632,"")</x:f>
      </x:c>
      <x:c r="AH632" s="9" t="n">
        <x:f>IF(F632&gt;=1,1,(1+v01_LowTiesShare*(AE632-1))/AE632)</x:f>
        <x:v>1</x:v>
      </x:c>
      <x:c r="AI632" s="32" t="n">
        <x:f>(Z632+v01_ElderCommons*INDEX(LM_Elder,G632)*AA632)*AH632</x:f>
        <x:v>170.58227174327254</x:v>
      </x:c>
      <x:c r="AJ632" s="32" t="n">
        <x:f>H632*v01_CommonsCoef*AI632^v01_CommonsExp*INDEX(LM_Commons,G632)</x:f>
        <x:v>52.08201104630283</x:v>
      </x:c>
      <x:c r="AK632" s="32" t="n">
        <x:f>H632*v01_RoleScale*Arch_Roles*(AE632*(INDEX(v01_ElderRolePerSett,G632)*v01_OutElder*INDEX(LM_Elder,G632)+INDEX(v01_ShamanPerSett,G632)*v01_OutShaman)+Z632*(INDEX(v01_PriestShare,G632)*v01_OutPriest+INDEX(v01_ScribeShare,G632)*v01_OutScribe*INDEX(LM_Scribe,G632)+INDEX(v01_ScholarShare,G632)*v01_OutScholar*INDEX(LM_Scholar,G632)+INDEX(v01_ResearcherShare,G632)*v01_OutResearcher*INDEX(LM_Researcher,G632)))</x:f>
        <x:v>12</x:v>
      </x:c>
      <x:c r="AL632" s="32" t="n">
        <x:f>H632*v01_RoleScale*Arch_Roles*AE632*INDEX(v01_MonasteryPerSett,G632)*v01_OutMonastery*INDEX(LM_Monastery,G632)</x:f>
        <x:v>0</x:v>
      </x:c>
      <x:c r="AM632" s="32" t="n">
        <x:f>(AJ632+AK632+AL632)/4*INDEX(LM_All,G632)*INDEX(v01_Boon,G632)*Arch_Insight</x:f>
        <x:v>16.831540713880475</x:v>
      </x:c>
      <x:c r="AN632" s="32" t="n">
        <x:f>H632*(v01_KHPerAdult*Z632+v01_KHOfCommons*AJ632/4*INDEX(LM_All,G632))*v01_KHUsable*Arch_KH</x:f>
        <x:v>3.0567938968235593</x:v>
      </x:c>
      <x:c r="AO632" s="32" t="n">
        <x:f>MIN(AP631+AN632,AM632*v01_KHMaxRatio)</x:f>
        <x:v>3.0567938968235593</x:v>
      </x:c>
      <x:c r="AP632" s="32" t="n">
        <x:f>AP631+AN632-AO632</x:f>
        <x:v>0</x:v>
      </x:c>
      <x:c r="AQ632" s="32" t="n">
        <x:f>AM632+AO632</x:f>
        <x:v>19.888334610704035</x:v>
      </x:c>
      <x:c r="AR632" s="10" t="n">
        <x:f>IF(H632=1,INDEX(v01_Req,G632),0)</x:f>
        <x:v>4006.9599999999996</x:v>
      </x:c>
      <x:c r="AS632" s="32" t="n">
        <x:f>IF(H632=1,IF(E632=1,AS631-AR631,AS631)+AQ632,0)</x:f>
        <x:v>1996.400300872173</x:v>
      </x:c>
      <x:c r="AT632" s="11" t="n">
        <x:f>IF(AR632&gt;0,MIN(1,AS632/AR632),1)</x:f>
        <x:v>0.4982331495378474</x:v>
      </x:c>
      <x:c r="AU632" s="10" t="n">
        <x:f>AB632/INDEX(v01_RepScale,G632)</x:f>
        <x:v>99.21585870828366</x:v>
      </x:c>
      <x:c r="AV632" s="32" t="n">
        <x:f>AM632*60/v01_SeasonSeconds</x:f>
        <x:v>67.3261628555219</x:v>
      </x:c>
    </x:row>
    <x:row r="633">
      <x:c r="A633" s="8" t="n">
        <x:f>A632+1</x:f>
        <x:v>630</x:v>
      </x:c>
      <x:c r="B633" s="9" t="n">
        <x:f>A633*v01_SeasonSeconds/60</x:f>
        <x:v>157.5</x:v>
      </x:c>
      <x:c r="C633" s="9" t="n">
        <x:f>A633/4</x:f>
        <x:v>157.5</x:v>
      </x:c>
      <x:c r="D633" s="8" t="n">
        <x:f>IF(MOD(A633,4)=0,1,0)</x:f>
        <x:v>0</x:v>
      </x:c>
      <x:c r="E633" s="8" t="n">
        <x:f>IF(AND(F632&lt;=9,AS632&gt;=AR632),1,0)</x:f>
        <x:v>0</x:v>
      </x:c>
      <x:c r="F633" s="8" t="n">
        <x:f>MIN(10,F632+E633)</x:f>
        <x:v>2</x:v>
      </x:c>
      <x:c r="G633" s="8" t="n">
        <x:f>MIN(F633,9)+1</x:f>
        <x:v>3</x:v>
      </x:c>
      <x:c r="H633" s="8" t="n">
        <x:f>IF(F633&lt;=9,1,0)</x:f>
        <x:v>1</x:v>
      </x:c>
      <x:c r="I633" s="9" t="n">
        <x:f>MIN(10,F632+IF(AR632&gt;0,MIN(1,AS632/AR632),1))</x:f>
        <x:v>2.4982331495378474</x:v>
      </x:c>
      <x:c r="J633" s="32" t="n">
        <x:f>INDEX(v01_FoodCap,G633)*Arch_FoodCap*EXP(v01_CapsByProject*SUMPRODUCT((Cap_Point&lt;=I633)*(Cap_Kind="Food")*Cap_Ln))</x:f>
        <x:v>60</x:v>
      </x:c>
      <x:c r="K633" s="32" t="n">
        <x:f>J633*MIN(1,v01_LeanBase*EXP(v01_CapsByProject*SUMPRODUCT((Cap_Point&lt;=I633)*(Cap_Kind="Lean")*Cap_Ln)))</x:f>
        <x:v>60</x:v>
      </x:c>
      <x:c r="L633" s="10" t="n">
        <x:f>INDEX(v01_HousingCap,G633)*EXP(v01_CapsByProject*SUMPRODUCT((Cap_Point&lt;=I633)*(Cap_Kind="Housing")*Cap_Ln))</x:f>
        <x:v>100</x:v>
      </x:c>
      <x:c r="M633" s="10" t="n">
        <x:f>INDEX(v01_GroupCap,G633)*v01_CohesionFactor*EXP(v01_CapsByProject*SUMPRODUCT((Cap_Point&lt;=I633)*(Cap_Kind="Group")*Cap_Ln))</x:f>
        <x:v>500</x:v>
      </x:c>
      <x:c r="N633" s="32" t="n">
        <x:f>MIN(J633,L633,M633)</x:f>
        <x:v>60</x:v>
      </x:c>
      <x:c r="O633" s="10" t="n">
        <x:f>AE632*N633</x:f>
        <x:v>240</x:v>
      </x:c>
      <x:c r="P633" s="9" t="n">
        <x:f>MIN(1,(AB632/(AE632*IF(v01_GroupInCrowding=1,N633,MIN(J633,L633))))^v01_CrowdingExp)</x:f>
        <x:v>0.3194472081433897</x:v>
      </x:c>
      <x:c r="Q633" s="9" t="n">
        <x:f>IF(D633=1,INDEX(v01_WinterMult,G633),1)</x:f>
        <x:v>1</x:v>
      </x:c>
      <x:c r="R633" s="9" t="n">
        <x:f>H633*Z632*v01_WomenShare*v01_BaseFertility*INDEX(v01_FertMult,G633)*Arch_Fertility*(1-P633)</x:f>
        <x:v>2.4072154181385024</x:v>
      </x:c>
      <x:c r="S633" s="9" t="n">
        <x:f>H633*Y632*INDEX(v01_MortChild,G633)/4*Q633</x:f>
        <x:v>0.7292802520064926</x:v>
      </x:c>
      <x:c r="T633" s="9" t="n">
        <x:f>H633*Z632*INDEX(v01_MortAdult,G633)*Arch_AdultMort/4*Q633</x:f>
        <x:v>0.2620109054420194</x:v>
      </x:c>
      <x:c r="U633" s="9" t="n">
        <x:f>H633*AA632*INDEX(v01_MortElder,G633)/4*Q633</x:f>
        <x:v>0.48559760236516347</x:v>
      </x:c>
      <x:c r="V633" s="9" t="n">
        <x:f>H633*MAX(0,AB632-O633)*v01_OvercapLoss</x:f>
        <x:v>0</x:v>
      </x:c>
      <x:c r="W633" s="9" t="n">
        <x:f>H633*Y632/(v01_ChildYears*4)</x:f>
        <x:v>1.4883270449112092</x:v>
      </x:c>
      <x:c r="X633" s="9" t="n">
        <x:f>H633*Z632/(v01_AdultYears*4)</x:f>
        <x:v>0.7043303909731703</x:v>
      </x:c>
      <x:c r="Y633" s="32" t="n">
        <x:f>Y632+R633-S633-W633-Y632*V633/AB632</x:f>
        <x:v>83.53592263624851</x:v>
      </x:c>
      <x:c r="Z633" s="32" t="n">
        <x:f>Z632+W633-X633-T633-Z632*V633/AB632</x:f>
        <x:v>87.85895422916914</x:v>
      </x:c>
      <x:c r="AA633" s="32" t="n">
        <x:f>AA632+X633-U633-AA632*V633/AB632</x:f>
        <x:v>27.967167209474486</x:v>
      </x:c>
      <x:c r="AB633" s="10" t="n">
        <x:f>Y633+Z633+AA633</x:f>
        <x:v>199.36204407489214</x:v>
      </x:c>
      <x:c r="AC633" s="8" t="n">
        <x:f>IF(AND(v01_WinterTrigger=1,D633=1,AB632/AE632&gt;=K633),1,0)</x:f>
        <x:v>0</x:v>
      </x:c>
      <x:c r="AD633" s="8" t="n">
        <x:f>H633*IF(AND(OR(AB632/AE632&gt;=v01_FissionTrigger*N633,AC633=1),AB632/AE632*v01_DaughterShare&gt;=v01_MinDaughter),MAX(1,ROUND(AE632*v01_FissionRate,0)),0)</x:f>
        <x:v>0</x:v>
      </x:c>
      <x:c r="AE633" s="8" t="n">
        <x:f>IF(H633=1,MAX(1,MIN(INDEX(v01_Smax,G633),AE632+AD633)),AE632)</x:f>
        <x:v>4</x:v>
      </x:c>
      <x:c r="AF633" s="8" t="n">
        <x:f>MAX(0,AE633-AE632)</x:f>
        <x:v>0</x:v>
      </x:c>
      <x:c r="AG633" s="9" t="str">
        <x:f>IF(AF633&gt;0,B633,"")</x:f>
      </x:c>
      <x:c r="AH633" s="9" t="n">
        <x:f>IF(F633&gt;=1,1,(1+v01_LowTiesShare*(AE633-1))/AE633)</x:f>
        <x:v>1</x:v>
      </x:c>
      <x:c r="AI633" s="32" t="n">
        <x:f>(Z633+v01_ElderCommons*INDEX(LM_Elder,G633)*AA633)*AH633</x:f>
        <x:v>171.7604558575926</x:v>
      </x:c>
      <x:c r="AJ633" s="32" t="n">
        <x:f>H633*v01_CommonsCoef*AI633^v01_CommonsExp*INDEX(LM_Commons,G633)</x:f>
        <x:v>52.38761678504442</x:v>
      </x:c>
      <x:c r="AK633" s="32" t="n">
        <x:f>H633*v01_RoleScale*Arch_Roles*(AE633*(INDEX(v01_ElderRolePerSett,G633)*v01_OutElder*INDEX(LM_Elder,G633)+INDEX(v01_ShamanPerSett,G633)*v01_OutShaman)+Z633*(INDEX(v01_PriestShare,G633)*v01_OutPriest+INDEX(v01_ScribeShare,G633)*v01_OutScribe*INDEX(LM_Scribe,G633)+INDEX(v01_ScholarShare,G633)*v01_OutScholar*INDEX(LM_Scholar,G633)+INDEX(v01_ResearcherShare,G633)*v01_OutResearcher*INDEX(LM_Researcher,G633)))</x:f>
        <x:v>12</x:v>
      </x:c>
      <x:c r="AL633" s="32" t="n">
        <x:f>H633*v01_RoleScale*Arch_Roles*AE633*INDEX(v01_MonasteryPerSett,G633)*v01_OutMonastery*INDEX(LM_Monastery,G633)</x:f>
        <x:v>0</x:v>
      </x:c>
      <x:c r="AM633" s="32" t="n">
        <x:f>(AJ633+AK633+AL633)/4*INDEX(LM_All,G633)*INDEX(v01_Boon,G633)*Arch_Insight</x:f>
        <x:v>16.911809971196824</x:v>
      </x:c>
      <x:c r="AN633" s="32" t="n">
        <x:f>H633*(v01_KHPerAdult*Z633+v01_KHOfCommons*AJ633/4*INDEX(LM_All,G633))*v01_KHUsable*Arch_KH</x:f>
        <x:v>3.07506339802092</x:v>
      </x:c>
      <x:c r="AO633" s="32" t="n">
        <x:f>MIN(AP632+AN633,AM633*v01_KHMaxRatio)</x:f>
        <x:v>3.07506339802092</x:v>
      </x:c>
      <x:c r="AP633" s="32" t="n">
        <x:f>AP632+AN633-AO633</x:f>
        <x:v>0</x:v>
      </x:c>
      <x:c r="AQ633" s="32" t="n">
        <x:f>AM633+AO633</x:f>
        <x:v>19.986873369217744</x:v>
      </x:c>
      <x:c r="AR633" s="10" t="n">
        <x:f>IF(H633=1,INDEX(v01_Req,G633),0)</x:f>
        <x:v>4006.9599999999996</x:v>
      </x:c>
      <x:c r="AS633" s="32" t="n">
        <x:f>IF(H633=1,IF(E633=1,AS632-AR632,AS632)+AQ633,0)</x:f>
        <x:v>2016.3871742413908</x:v>
      </x:c>
      <x:c r="AT633" s="11" t="n">
        <x:f>IF(AR633&gt;0,MIN(1,AS633/AR633),1)</x:f>
        <x:v>0.5032211886920236</x:v>
      </x:c>
      <x:c r="AU633" s="10" t="n">
        <x:f>AB633/INDEX(v01_RepScale,G633)</x:f>
        <x:v>99.68102203744607</x:v>
      </x:c>
      <x:c r="AV633" s="32" t="n">
        <x:f>AM633*60/v01_SeasonSeconds</x:f>
        <x:v>67.6472398847873</x:v>
      </x:c>
    </x:row>
    <x:row r="634">
      <x:c r="A634" s="8" t="n">
        <x:f>A633+1</x:f>
        <x:v>631</x:v>
      </x:c>
      <x:c r="B634" s="9" t="n">
        <x:f>A634*v01_SeasonSeconds/60</x:f>
        <x:v>157.75</x:v>
      </x:c>
      <x:c r="C634" s="9" t="n">
        <x:f>A634/4</x:f>
        <x:v>157.75</x:v>
      </x:c>
      <x:c r="D634" s="8" t="n">
        <x:f>IF(MOD(A634,4)=0,1,0)</x:f>
        <x:v>0</x:v>
      </x:c>
      <x:c r="E634" s="8" t="n">
        <x:f>IF(AND(F633&lt;=9,AS633&gt;=AR633),1,0)</x:f>
        <x:v>0</x:v>
      </x:c>
      <x:c r="F634" s="8" t="n">
        <x:f>MIN(10,F633+E634)</x:f>
        <x:v>2</x:v>
      </x:c>
      <x:c r="G634" s="8" t="n">
        <x:f>MIN(F634,9)+1</x:f>
        <x:v>3</x:v>
      </x:c>
      <x:c r="H634" s="8" t="n">
        <x:f>IF(F634&lt;=9,1,0)</x:f>
        <x:v>1</x:v>
      </x:c>
      <x:c r="I634" s="9" t="n">
        <x:f>MIN(10,F633+IF(AR633&gt;0,MIN(1,AS633/AR633),1))</x:f>
        <x:v>2.5032211886920237</x:v>
      </x:c>
      <x:c r="J634" s="32" t="n">
        <x:f>INDEX(v01_FoodCap,G634)*Arch_FoodCap*EXP(v01_CapsByProject*SUMPRODUCT((Cap_Point&lt;=I634)*(Cap_Kind="Food")*Cap_Ln))</x:f>
        <x:v>60</x:v>
      </x:c>
      <x:c r="K634" s="32" t="n">
        <x:f>J634*MIN(1,v01_LeanBase*EXP(v01_CapsByProject*SUMPRODUCT((Cap_Point&lt;=I634)*(Cap_Kind="Lean")*Cap_Ln)))</x:f>
        <x:v>60</x:v>
      </x:c>
      <x:c r="L634" s="10" t="n">
        <x:f>INDEX(v01_HousingCap,G634)*EXP(v01_CapsByProject*SUMPRODUCT((Cap_Point&lt;=I634)*(Cap_Kind="Housing")*Cap_Ln))</x:f>
        <x:v>100</x:v>
      </x:c>
      <x:c r="M634" s="10" t="n">
        <x:f>INDEX(v01_GroupCap,G634)*v01_CohesionFactor*EXP(v01_CapsByProject*SUMPRODUCT((Cap_Point&lt;=I634)*(Cap_Kind="Group")*Cap_Ln))</x:f>
        <x:v>500</x:v>
      </x:c>
      <x:c r="N634" s="32" t="n">
        <x:f>MIN(J634,L634,M634)</x:f>
        <x:v>60</x:v>
      </x:c>
      <x:c r="O634" s="10" t="n">
        <x:f>AE633*N634</x:f>
        <x:v>240</x:v>
      </x:c>
      <x:c r="P634" s="9" t="n">
        <x:f>MIN(1,(AB633/(AE633*IF(v01_GroupInCrowding=1,N634,MIN(J634,L634))))^v01_CrowdingExp)</x:f>
        <x:v>0.32853936762819447</x:v>
      </x:c>
      <x:c r="Q634" s="9" t="n">
        <x:f>IF(D634=1,INDEX(v01_WinterMult,G634),1)</x:f>
        <x:v>1</x:v>
      </x:c>
      <x:c r="R634" s="9" t="n">
        <x:f>H634*Z633*v01_WomenShare*v01_BaseFertility*INDEX(v01_FertMult,G634)*Arch_Fertility*(1-P634)</x:f>
        <x:v>2.389250073132859</x:v>
      </x:c>
      <x:c r="S634" s="9" t="n">
        <x:f>H634*Y633*INDEX(v01_MortChild,G634)/4*Q634</x:f>
        <x:v>0.7309393230671746</x:v>
      </x:c>
      <x:c r="T634" s="9" t="n">
        <x:f>H634*Z633*INDEX(v01_MortAdult,G634)*Arch_AdultMort/4*Q634</x:f>
        <x:v>0.2635768626875074</x:v>
      </x:c>
      <x:c r="U634" s="9" t="n">
        <x:f>H634*AA633*INDEX(v01_MortElder,G634)/4*Q634</x:f>
        <x:v>0.48942542616580353</x:v>
      </x:c>
      <x:c r="V634" s="9" t="n">
        <x:f>H634*MAX(0,AB633-O634)*v01_OvercapLoss</x:f>
        <x:v>0</x:v>
      </x:c>
      <x:c r="W634" s="9" t="n">
        <x:f>H634*Y633/(v01_ChildYears*4)</x:f>
        <x:v>1.4917129042187234</x:v>
      </x:c>
      <x:c r="X634" s="9" t="n">
        <x:f>H634*Z633/(v01_AdultYears*4)</x:f>
        <x:v>0.7085399534610415</x:v>
      </x:c>
      <x:c r="Y634" s="32" t="n">
        <x:f>Y633+R634-S634-W634-Y633*V634/AB633</x:f>
        <x:v>83.70252048209547</x:v>
      </x:c>
      <x:c r="Z634" s="32" t="n">
        <x:f>Z633+W634-X634-T634-Z633*V634/AB633</x:f>
        <x:v>88.37855031723933</x:v>
      </x:c>
      <x:c r="AA634" s="32" t="n">
        <x:f>AA633+X634-U634-AA633*V634/AB633</x:f>
        <x:v>28.186281736769725</x:v>
      </x:c>
      <x:c r="AB634" s="10" t="n">
        <x:f>Y634+Z634+AA634</x:f>
        <x:v>200.2673525361045</x:v>
      </x:c>
      <x:c r="AC634" s="8" t="n">
        <x:f>IF(AND(v01_WinterTrigger=1,D634=1,AB633/AE633&gt;=K634),1,0)</x:f>
        <x:v>0</x:v>
      </x:c>
      <x:c r="AD634" s="8" t="n">
        <x:f>H634*IF(AND(OR(AB633/AE633&gt;=v01_FissionTrigger*N634,AC634=1),AB633/AE633*v01_DaughterShare&gt;=v01_MinDaughter),MAX(1,ROUND(AE633*v01_FissionRate,0)),0)</x:f>
        <x:v>0</x:v>
      </x:c>
      <x:c r="AE634" s="8" t="n">
        <x:f>IF(H634=1,MAX(1,MIN(INDEX(v01_Smax,G634),AE633+AD634)),AE633)</x:f>
        <x:v>4</x:v>
      </x:c>
      <x:c r="AF634" s="8" t="n">
        <x:f>MAX(0,AE634-AE633)</x:f>
        <x:v>0</x:v>
      </x:c>
      <x:c r="AG634" s="9" t="str">
        <x:f>IF(AF634&gt;0,B634,"")</x:f>
      </x:c>
      <x:c r="AH634" s="9" t="n">
        <x:f>IF(F634&gt;=1,1,(1+v01_LowTiesShare*(AE634-1))/AE634)</x:f>
        <x:v>1</x:v>
      </x:c>
      <x:c r="AI634" s="32" t="n">
        <x:f>(Z634+v01_ElderCommons*INDEX(LM_Elder,G634)*AA634)*AH634</x:f>
        <x:v>172.93739552754852</x:v>
      </x:c>
      <x:c r="AJ634" s="32" t="n">
        <x:f>H634*v01_CommonsCoef*AI634^v01_CommonsExp*INDEX(LM_Commons,G634)</x:f>
        <x:v>52.69258594336735</x:v>
      </x:c>
      <x:c r="AK634" s="32" t="n">
        <x:f>H634*v01_RoleScale*Arch_Roles*(AE634*(INDEX(v01_ElderRolePerSett,G634)*v01_OutElder*INDEX(LM_Elder,G634)+INDEX(v01_ShamanPerSett,G634)*v01_OutShaman)+Z634*(INDEX(v01_PriestShare,G634)*v01_OutPriest+INDEX(v01_ScribeShare,G634)*v01_OutScribe*INDEX(LM_Scribe,G634)+INDEX(v01_ScholarShare,G634)*v01_OutScholar*INDEX(LM_Scholar,G634)+INDEX(v01_ResearcherShare,G634)*v01_OutResearcher*INDEX(LM_Researcher,G634)))</x:f>
        <x:v>12</x:v>
      </x:c>
      <x:c r="AL634" s="32" t="n">
        <x:f>H634*v01_RoleScale*Arch_Roles*AE634*INDEX(v01_MonasteryPerSett,G634)*v01_OutMonastery*INDEX(LM_Monastery,G634)</x:f>
        <x:v>0</x:v>
      </x:c>
      <x:c r="AM634" s="32" t="n">
        <x:f>(AJ634+AK634+AL634)/4*INDEX(LM_All,G634)*INDEX(v01_Boon,G634)*Arch_Insight</x:f>
        <x:v>16.99191202668758</x:v>
      </x:c>
      <x:c r="AN634" s="32" t="n">
        <x:f>H634*(v01_KHPerAdult*Z634+v01_KHOfCommons*AJ634/4*INDEX(LM_All,G634))*v01_KHUsable*Arch_KH</x:f>
        <x:v>3.0932492611033764</x:v>
      </x:c>
      <x:c r="AO634" s="32" t="n">
        <x:f>MIN(AP633+AN634,AM634*v01_KHMaxRatio)</x:f>
        <x:v>3.0932492611033764</x:v>
      </x:c>
      <x:c r="AP634" s="32" t="n">
        <x:f>AP633+AN634-AO634</x:f>
        <x:v>0</x:v>
      </x:c>
      <x:c r="AQ634" s="32" t="n">
        <x:f>AM634+AO634</x:f>
        <x:v>20.085161287790957</x:v>
      </x:c>
      <x:c r="AR634" s="10" t="n">
        <x:f>IF(H634=1,INDEX(v01_Req,G634),0)</x:f>
        <x:v>4006.9599999999996</x:v>
      </x:c>
      <x:c r="AS634" s="32" t="n">
        <x:f>IF(H634=1,IF(E634=1,AS633-AR633,AS633)+AQ634,0)</x:f>
        <x:v>2036.4723355291817</x:v>
      </x:c>
      <x:c r="AT634" s="11" t="n">
        <x:f>IF(AR634&gt;0,MIN(1,AS634/AR634),1)</x:f>
        <x:v>0.5082337571448634</x:v>
      </x:c>
      <x:c r="AU634" s="10" t="n">
        <x:f>AB634/INDEX(v01_RepScale,G634)</x:f>
        <x:v>100.13367626805226</x:v>
      </x:c>
      <x:c r="AV634" s="32" t="n">
        <x:f>AM634*60/v01_SeasonSeconds</x:f>
        <x:v>67.96764810675032</x:v>
      </x:c>
    </x:row>
    <x:row r="635">
      <x:c r="A635" s="8" t="n">
        <x:f>A634+1</x:f>
        <x:v>632</x:v>
      </x:c>
      <x:c r="B635" s="9" t="n">
        <x:f>A635*v01_SeasonSeconds/60</x:f>
        <x:v>158</x:v>
      </x:c>
      <x:c r="C635" s="9" t="n">
        <x:f>A635/4</x:f>
        <x:v>158</x:v>
      </x:c>
      <x:c r="D635" s="8" t="n">
        <x:f>IF(MOD(A635,4)=0,1,0)</x:f>
        <x:v>1</x:v>
      </x:c>
      <x:c r="E635" s="8" t="n">
        <x:f>IF(AND(F634&lt;=9,AS634&gt;=AR634),1,0)</x:f>
        <x:v>0</x:v>
      </x:c>
      <x:c r="F635" s="8" t="n">
        <x:f>MIN(10,F634+E635)</x:f>
        <x:v>2</x:v>
      </x:c>
      <x:c r="G635" s="8" t="n">
        <x:f>MIN(F635,9)+1</x:f>
        <x:v>3</x:v>
      </x:c>
      <x:c r="H635" s="8" t="n">
        <x:f>IF(F635&lt;=9,1,0)</x:f>
        <x:v>1</x:v>
      </x:c>
      <x:c r="I635" s="9" t="n">
        <x:f>MIN(10,F634+IF(AR634&gt;0,MIN(1,AS634/AR634),1))</x:f>
        <x:v>2.5082337571448634</x:v>
      </x:c>
      <x:c r="J635" s="32" t="n">
        <x:f>INDEX(v01_FoodCap,G635)*Arch_FoodCap*EXP(v01_CapsByProject*SUMPRODUCT((Cap_Point&lt;=I635)*(Cap_Kind="Food")*Cap_Ln))</x:f>
        <x:v>60</x:v>
      </x:c>
      <x:c r="K635" s="32" t="n">
        <x:f>J635*MIN(1,v01_LeanBase*EXP(v01_CapsByProject*SUMPRODUCT((Cap_Point&lt;=I635)*(Cap_Kind="Lean")*Cap_Ln)))</x:f>
        <x:v>60</x:v>
      </x:c>
      <x:c r="L635" s="10" t="n">
        <x:f>INDEX(v01_HousingCap,G635)*EXP(v01_CapsByProject*SUMPRODUCT((Cap_Point&lt;=I635)*(Cap_Kind="Housing")*Cap_Ln))</x:f>
        <x:v>100</x:v>
      </x:c>
      <x:c r="M635" s="10" t="n">
        <x:f>INDEX(v01_GroupCap,G635)*v01_CohesionFactor*EXP(v01_CapsByProject*SUMPRODUCT((Cap_Point&lt;=I635)*(Cap_Kind="Group")*Cap_Ln))</x:f>
        <x:v>500</x:v>
      </x:c>
      <x:c r="N635" s="32" t="n">
        <x:f>MIN(J635,L635,M635)</x:f>
        <x:v>60</x:v>
      </x:c>
      <x:c r="O635" s="10" t="n">
        <x:f>AE634*N635</x:f>
        <x:v>240</x:v>
      </x:c>
      <x:c r="P635" s="9" t="n">
        <x:f>MIN(1,(AB634/(AE634*IF(v01_GroupInCrowding=1,N635,MIN(J635,L635))))^v01_CrowdingExp)</x:f>
        <x:v>0.33759304400899837</x:v>
      </x:c>
      <x:c r="Q635" s="9" t="n">
        <x:f>IF(D635=1,INDEX(v01_WinterMult,G635),1)</x:f>
        <x:v>1.3</x:v>
      </x:c>
      <x:c r="R635" s="9" t="n">
        <x:f>H635*Z634*v01_WomenShare*v01_BaseFertility*INDEX(v01_FertMult,G635)*Arch_Fertility*(1-P635)</x:f>
        <x:v>2.3709739428668732</x:v>
      </x:c>
      <x:c r="S635" s="9" t="n">
        <x:f>H635*Y634*INDEX(v01_MortChild,G635)/4*Q635</x:f>
        <x:v>0.952116170483836</x:v>
      </x:c>
      <x:c r="T635" s="9" t="n">
        <x:f>H635*Z634*INDEX(v01_MortAdult,G635)*Arch_AdultMort/4*Q635</x:f>
        <x:v>0.34467634623723337</x:v>
      </x:c>
      <x:c r="U635" s="9" t="n">
        <x:f>H635*AA634*INDEX(v01_MortElder,G635)/4*Q635</x:f>
        <x:v>0.6412379095115113</x:v>
      </x:c>
      <x:c r="V635" s="9" t="n">
        <x:f>H635*MAX(0,AB634-O635)*v01_OvercapLoss</x:f>
        <x:v>0</x:v>
      </x:c>
      <x:c r="W635" s="9" t="n">
        <x:f>H635*Y634/(v01_ChildYears*4)</x:f>
        <x:v>1.4946878657517046</x:v>
      </x:c>
      <x:c r="X635" s="9" t="n">
        <x:f>H635*Z634/(v01_AdultYears*4)</x:f>
        <x:v>0.7127302444938656</x:v>
      </x:c>
      <x:c r="Y635" s="32" t="n">
        <x:f>Y634+R635-S635-W635-Y634*V635/AB634</x:f>
        <x:v>83.6266903887268</x:v>
      </x:c>
      <x:c r="Z635" s="32" t="n">
        <x:f>Z634+W635-X635-T635-Z634*V635/AB634</x:f>
        <x:v>88.81583159225993</x:v>
      </x:c>
      <x:c r="AA635" s="32" t="n">
        <x:f>AA634+X635-U635-AA634*V635/AB634</x:f>
        <x:v>28.25777407175208</x:v>
      </x:c>
      <x:c r="AB635" s="10" t="n">
        <x:f>Y635+Z635+AA635</x:f>
        <x:v>200.7002960527388</x:v>
      </x:c>
      <x:c r="AC635" s="8" t="n">
        <x:f>IF(AND(v01_WinterTrigger=1,D635=1,AB634/AE634&gt;=K635),1,0)</x:f>
        <x:v>0</x:v>
      </x:c>
      <x:c r="AD635" s="8" t="n">
        <x:f>H635*IF(AND(OR(AB634/AE634&gt;=v01_FissionTrigger*N635,AC635=1),AB634/AE634*v01_DaughterShare&gt;=v01_MinDaughter),MAX(1,ROUND(AE634*v01_FissionRate,0)),0)</x:f>
        <x:v>0</x:v>
      </x:c>
      <x:c r="AE635" s="8" t="n">
        <x:f>IF(H635=1,MAX(1,MIN(INDEX(v01_Smax,G635),AE634+AD635)),AE634)</x:f>
        <x:v>4</x:v>
      </x:c>
      <x:c r="AF635" s="8" t="n">
        <x:f>MAX(0,AE635-AE634)</x:f>
        <x:v>0</x:v>
      </x:c>
      <x:c r="AG635" s="9" t="str">
        <x:f>IF(AF635&gt;0,B635,"")</x:f>
      </x:c>
      <x:c r="AH635" s="9" t="n">
        <x:f>IF(F635&gt;=1,1,(1+v01_LowTiesShare*(AE635-1))/AE635)</x:f>
        <x:v>1</x:v>
      </x:c>
      <x:c r="AI635" s="32" t="n">
        <x:f>(Z635+v01_ElderCommons*INDEX(LM_Elder,G635)*AA635)*AH635</x:f>
        <x:v>173.58915380751617</x:v>
      </x:c>
      <x:c r="AJ635" s="32" t="n">
        <x:f>H635*v01_CommonsCoef*AI635^v01_CommonsExp*INDEX(LM_Commons,G635)</x:f>
        <x:v>52.86133582810172</x:v>
      </x:c>
      <x:c r="AK635" s="32" t="n">
        <x:f>H635*v01_RoleScale*Arch_Roles*(AE635*(INDEX(v01_ElderRolePerSett,G635)*v01_OutElder*INDEX(LM_Elder,G635)+INDEX(v01_ShamanPerSett,G635)*v01_OutShaman)+Z635*(INDEX(v01_PriestShare,G635)*v01_OutPriest+INDEX(v01_ScribeShare,G635)*v01_OutScribe*INDEX(LM_Scribe,G635)+INDEX(v01_ScholarShare,G635)*v01_OutScholar*INDEX(LM_Scholar,G635)+INDEX(v01_ResearcherShare,G635)*v01_OutResearcher*INDEX(LM_Researcher,G635)))</x:f>
        <x:v>12</x:v>
      </x:c>
      <x:c r="AL635" s="32" t="n">
        <x:f>H635*v01_RoleScale*Arch_Roles*AE635*INDEX(v01_MonasteryPerSett,G635)*v01_OutMonastery*INDEX(LM_Monastery,G635)</x:f>
        <x:v>0</x:v>
      </x:c>
      <x:c r="AM635" s="32" t="n">
        <x:f>(AJ635+AK635+AL635)/4*INDEX(LM_All,G635)*INDEX(v01_Boon,G635)*Arch_Insight</x:f>
        <x:v>17.03623523859984</x:v>
      </x:c>
      <x:c r="AN635" s="32" t="n">
        <x:f>H635*(v01_KHPerAdult*Z635+v01_KHOfCommons*AJ635/4*INDEX(LM_All,G635))*v01_KHUsable*Arch_KH</x:f>
        <x:v>3.1085541057290973</x:v>
      </x:c>
      <x:c r="AO635" s="32" t="n">
        <x:f>MIN(AP634+AN635,AM635*v01_KHMaxRatio)</x:f>
        <x:v>3.1085541057290973</x:v>
      </x:c>
      <x:c r="AP635" s="32" t="n">
        <x:f>AP634+AN635-AO635</x:f>
        <x:v>0</x:v>
      </x:c>
      <x:c r="AQ635" s="32" t="n">
        <x:f>AM635+AO635</x:f>
        <x:v>20.144789344328938</x:v>
      </x:c>
      <x:c r="AR635" s="10" t="n">
        <x:f>IF(H635=1,INDEX(v01_Req,G635),0)</x:f>
        <x:v>4006.9599999999996</x:v>
      </x:c>
      <x:c r="AS635" s="32" t="n">
        <x:f>IF(H635=1,IF(E635=1,AS634-AR634,AS634)+AQ635,0)</x:f>
        <x:v>2056.6171248735104</x:v>
      </x:c>
      <x:c r="AT635" s="11" t="n">
        <x:f>IF(AR635&gt;0,MIN(1,AS635/AR635),1)</x:f>
        <x:v>0.5132612067186871</x:v>
      </x:c>
      <x:c r="AU635" s="10" t="n">
        <x:f>AB635/INDEX(v01_RepScale,G635)</x:f>
        <x:v>100.3501480263694</x:v>
      </x:c>
      <x:c r="AV635" s="32" t="n">
        <x:f>AM635*60/v01_SeasonSeconds</x:f>
        <x:v>68.14494095439936</x:v>
      </x:c>
    </x:row>
    <x:row r="636">
      <x:c r="A636" s="8" t="n">
        <x:f>A635+1</x:f>
        <x:v>633</x:v>
      </x:c>
      <x:c r="B636" s="9" t="n">
        <x:f>A636*v01_SeasonSeconds/60</x:f>
        <x:v>158.25</x:v>
      </x:c>
      <x:c r="C636" s="9" t="n">
        <x:f>A636/4</x:f>
        <x:v>158.25</x:v>
      </x:c>
      <x:c r="D636" s="8" t="n">
        <x:f>IF(MOD(A636,4)=0,1,0)</x:f>
        <x:v>0</x:v>
      </x:c>
      <x:c r="E636" s="8" t="n">
        <x:f>IF(AND(F635&lt;=9,AS635&gt;=AR635),1,0)</x:f>
        <x:v>0</x:v>
      </x:c>
      <x:c r="F636" s="8" t="n">
        <x:f>MIN(10,F635+E636)</x:f>
        <x:v>2</x:v>
      </x:c>
      <x:c r="G636" s="8" t="n">
        <x:f>MIN(F636,9)+1</x:f>
        <x:v>3</x:v>
      </x:c>
      <x:c r="H636" s="8" t="n">
        <x:f>IF(F636&lt;=9,1,0)</x:f>
        <x:v>1</x:v>
      </x:c>
      <x:c r="I636" s="9" t="n">
        <x:f>MIN(10,F635+IF(AR635&gt;0,MIN(1,AS635/AR635),1))</x:f>
        <x:v>2.513261206718687</x:v>
      </x:c>
      <x:c r="J636" s="32" t="n">
        <x:f>INDEX(v01_FoodCap,G636)*Arch_FoodCap*EXP(v01_CapsByProject*SUMPRODUCT((Cap_Point&lt;=I636)*(Cap_Kind="Food")*Cap_Ln))</x:f>
        <x:v>60</x:v>
      </x:c>
      <x:c r="K636" s="32" t="n">
        <x:f>J636*MIN(1,v01_LeanBase*EXP(v01_CapsByProject*SUMPRODUCT((Cap_Point&lt;=I636)*(Cap_Kind="Lean")*Cap_Ln)))</x:f>
        <x:v>60</x:v>
      </x:c>
      <x:c r="L636" s="10" t="n">
        <x:f>INDEX(v01_HousingCap,G636)*EXP(v01_CapsByProject*SUMPRODUCT((Cap_Point&lt;=I636)*(Cap_Kind="Housing")*Cap_Ln))</x:f>
        <x:v>100</x:v>
      </x:c>
      <x:c r="M636" s="10" t="n">
        <x:f>INDEX(v01_GroupCap,G636)*v01_CohesionFactor*EXP(v01_CapsByProject*SUMPRODUCT((Cap_Point&lt;=I636)*(Cap_Kind="Group")*Cap_Ln))</x:f>
        <x:v>500</x:v>
      </x:c>
      <x:c r="N636" s="32" t="n">
        <x:f>MIN(J636,L636,M636)</x:f>
        <x:v>60</x:v>
      </x:c>
      <x:c r="O636" s="10" t="n">
        <x:f>AE635*N636</x:f>
        <x:v>240</x:v>
      </x:c>
      <x:c r="P636" s="9" t="n">
        <x:f>MIN(1,(AB635/(AE635*IF(v01_GroupInCrowding=1,N636,MIN(J636,L636))))^v01_CrowdingExp)</x:f>
        <x:v>0.3419956864769138</x:v>
      </x:c>
      <x:c r="Q636" s="9" t="n">
        <x:f>IF(D636=1,INDEX(v01_WinterMult,G636),1)</x:f>
        <x:v>1</x:v>
      </x:c>
      <x:c r="R636" s="9" t="n">
        <x:f>H636*Z635*v01_WomenShare*v01_BaseFertility*INDEX(v01_FertMult,G636)*Arch_Fertility*(1-P636)</x:f>
        <x:v>2.3668686120223046</x:v>
      </x:c>
      <x:c r="S636" s="9" t="n">
        <x:f>H636*Y635*INDEX(v01_MortChild,G636)/4*Q636</x:f>
        <x:v>0.7317335409013596</x:v>
      </x:c>
      <x:c r="T636" s="9" t="n">
        <x:f>H636*Z635*INDEX(v01_MortAdult,G636)*Arch_AdultMort/4*Q636</x:f>
        <x:v>0.26644749477677976</x:v>
      </x:c>
      <x:c r="U636" s="9" t="n">
        <x:f>H636*AA635*INDEX(v01_MortElder,G636)/4*Q636</x:f>
        <x:v>0.49451104625566145</x:v>
      </x:c>
      <x:c r="V636" s="9" t="n">
        <x:f>H636*MAX(0,AB635-O636)*v01_OvercapLoss</x:f>
        <x:v>0</x:v>
      </x:c>
      <x:c r="W636" s="9" t="n">
        <x:f>H636*Y635/(v01_ChildYears*4)</x:f>
        <x:v>1.49333375694155</x:v>
      </x:c>
      <x:c r="X636" s="9" t="n">
        <x:f>H636*Z635/(v01_AdultYears*4)</x:f>
        <x:v>0.7162567063891929</x:v>
      </x:c>
      <x:c r="Y636" s="32" t="n">
        <x:f>Y635+R636-S636-W636-Y635*V636/AB635</x:f>
        <x:v>83.76849170290619</x:v>
      </x:c>
      <x:c r="Z636" s="32" t="n">
        <x:f>Z635+W636-X636-T636-Z635*V636/AB635</x:f>
        <x:v>89.3264611480355</x:v>
      </x:c>
      <x:c r="AA636" s="32" t="n">
        <x:f>AA635+X636-U636-AA635*V636/AB635</x:f>
        <x:v>28.479519731885613</x:v>
      </x:c>
      <x:c r="AB636" s="10" t="n">
        <x:f>Y636+Z636+AA636</x:f>
        <x:v>201.5744725828273</x:v>
      </x:c>
      <x:c r="AC636" s="8" t="n">
        <x:f>IF(AND(v01_WinterTrigger=1,D636=1,AB635/AE635&gt;=K636),1,0)</x:f>
        <x:v>0</x:v>
      </x:c>
      <x:c r="AD636" s="8" t="n">
        <x:f>H636*IF(AND(OR(AB635/AE635&gt;=v01_FissionTrigger*N636,AC636=1),AB635/AE635*v01_DaughterShare&gt;=v01_MinDaughter),MAX(1,ROUND(AE635*v01_FissionRate,0)),0)</x:f>
        <x:v>0</x:v>
      </x:c>
      <x:c r="AE636" s="8" t="n">
        <x:f>IF(H636=1,MAX(1,MIN(INDEX(v01_Smax,G636),AE635+AD636)),AE635)</x:f>
        <x:v>4</x:v>
      </x:c>
      <x:c r="AF636" s="8" t="n">
        <x:f>MAX(0,AE636-AE635)</x:f>
        <x:v>0</x:v>
      </x:c>
      <x:c r="AG636" s="9" t="str">
        <x:f>IF(AF636&gt;0,B636,"")</x:f>
      </x:c>
      <x:c r="AH636" s="9" t="n">
        <x:f>IF(F636&gt;=1,1,(1+v01_LowTiesShare*(AE636-1))/AE636)</x:f>
        <x:v>1</x:v>
      </x:c>
      <x:c r="AI636" s="32" t="n">
        <x:f>(Z636+v01_ElderCommons*INDEX(LM_Elder,G636)*AA636)*AH636</x:f>
        <x:v>174.76502034369236</x:v>
      </x:c>
      <x:c r="AJ636" s="32" t="n">
        <x:f>H636*v01_CommonsCoef*AI636^v01_CommonsExp*INDEX(LM_Commons,G636)</x:f>
        <x:v>53.16554505406255</x:v>
      </x:c>
      <x:c r="AK636" s="32" t="n">
        <x:f>H636*v01_RoleScale*Arch_Roles*(AE636*(INDEX(v01_ElderRolePerSett,G636)*v01_OutElder*INDEX(LM_Elder,G636)+INDEX(v01_ShamanPerSett,G636)*v01_OutShaman)+Z636*(INDEX(v01_PriestShare,G636)*v01_OutPriest+INDEX(v01_ScribeShare,G636)*v01_OutScribe*INDEX(LM_Scribe,G636)+INDEX(v01_ScholarShare,G636)*v01_OutScholar*INDEX(LM_Scholar,G636)+INDEX(v01_ResearcherShare,G636)*v01_OutResearcher*INDEX(LM_Researcher,G636)))</x:f>
        <x:v>12</x:v>
      </x:c>
      <x:c r="AL636" s="32" t="n">
        <x:f>H636*v01_RoleScale*Arch_Roles*AE636*INDEX(v01_MonasteryPerSett,G636)*v01_OutMonastery*INDEX(LM_Monastery,G636)</x:f>
        <x:v>0</x:v>
      </x:c>
      <x:c r="AM636" s="32" t="n">
        <x:f>(AJ636+AK636+AL636)/4*INDEX(LM_All,G636)*INDEX(v01_Boon,G636)*Arch_Insight</x:f>
        <x:v>17.116137693106115</x:v>
      </x:c>
      <x:c r="AN636" s="32" t="n">
        <x:f>H636*(v01_KHPerAdult*Z636+v01_KHOfCommons*AJ636/4*INDEX(LM_All,G636))*v01_KHUsable*Arch_KH</x:f>
        <x:v>3.126426140181243</x:v>
      </x:c>
      <x:c r="AO636" s="32" t="n">
        <x:f>MIN(AP635+AN636,AM636*v01_KHMaxRatio)</x:f>
        <x:v>3.126426140181243</x:v>
      </x:c>
      <x:c r="AP636" s="32" t="n">
        <x:f>AP635+AN636-AO636</x:f>
        <x:v>0</x:v>
      </x:c>
      <x:c r="AQ636" s="32" t="n">
        <x:f>AM636+AO636</x:f>
        <x:v>20.242563833287356</x:v>
      </x:c>
      <x:c r="AR636" s="10" t="n">
        <x:f>IF(H636=1,INDEX(v01_Req,G636),0)</x:f>
        <x:v>4006.9599999999996</x:v>
      </x:c>
      <x:c r="AS636" s="32" t="n">
        <x:f>IF(H636=1,IF(E636=1,AS635-AR635,AS635)+AQ636,0)</x:f>
        <x:v>2076.859688706798</x:v>
      </x:c>
      <x:c r="AT636" s="11" t="n">
        <x:f>IF(AR636&gt;0,MIN(1,AS636/AR636),1)</x:f>
        <x:v>0.5183130574567248</x:v>
      </x:c>
      <x:c r="AU636" s="10" t="n">
        <x:f>AB636/INDEX(v01_RepScale,G636)</x:f>
        <x:v>100.78723629141365</x:v>
      </x:c>
      <x:c r="AV636" s="32" t="n">
        <x:f>AM636*60/v01_SeasonSeconds</x:f>
        <x:v>68.46455077242446</x:v>
      </x:c>
    </x:row>
    <x:row r="637">
      <x:c r="A637" s="8" t="n">
        <x:f>A636+1</x:f>
        <x:v>634</x:v>
      </x:c>
      <x:c r="B637" s="9" t="n">
        <x:f>A637*v01_SeasonSeconds/60</x:f>
        <x:v>158.5</x:v>
      </x:c>
      <x:c r="C637" s="9" t="n">
        <x:f>A637/4</x:f>
        <x:v>158.5</x:v>
      </x:c>
      <x:c r="D637" s="8" t="n">
        <x:f>IF(MOD(A637,4)=0,1,0)</x:f>
        <x:v>0</x:v>
      </x:c>
      <x:c r="E637" s="8" t="n">
        <x:f>IF(AND(F636&lt;=9,AS636&gt;=AR636),1,0)</x:f>
        <x:v>0</x:v>
      </x:c>
      <x:c r="F637" s="8" t="n">
        <x:f>MIN(10,F636+E637)</x:f>
        <x:v>2</x:v>
      </x:c>
      <x:c r="G637" s="8" t="n">
        <x:f>MIN(F637,9)+1</x:f>
        <x:v>3</x:v>
      </x:c>
      <x:c r="H637" s="8" t="n">
        <x:f>IF(F637&lt;=9,1,0)</x:f>
        <x:v>1</x:v>
      </x:c>
      <x:c r="I637" s="9" t="n">
        <x:f>MIN(10,F636+IF(AR636&gt;0,MIN(1,AS636/AR636),1))</x:f>
        <x:v>2.5183130574567247</x:v>
      </x:c>
      <x:c r="J637" s="32" t="n">
        <x:f>INDEX(v01_FoodCap,G637)*Arch_FoodCap*EXP(v01_CapsByProject*SUMPRODUCT((Cap_Point&lt;=I637)*(Cap_Kind="Food")*Cap_Ln))</x:f>
        <x:v>60</x:v>
      </x:c>
      <x:c r="K637" s="32" t="n">
        <x:f>J637*MIN(1,v01_LeanBase*EXP(v01_CapsByProject*SUMPRODUCT((Cap_Point&lt;=I637)*(Cap_Kind="Lean")*Cap_Ln)))</x:f>
        <x:v>60</x:v>
      </x:c>
      <x:c r="L637" s="10" t="n">
        <x:f>INDEX(v01_HousingCap,G637)*EXP(v01_CapsByProject*SUMPRODUCT((Cap_Point&lt;=I637)*(Cap_Kind="Housing")*Cap_Ln))</x:f>
        <x:v>100</x:v>
      </x:c>
      <x:c r="M637" s="10" t="n">
        <x:f>INDEX(v01_GroupCap,G637)*v01_CohesionFactor*EXP(v01_CapsByProject*SUMPRODUCT((Cap_Point&lt;=I637)*(Cap_Kind="Group")*Cap_Ln))</x:f>
        <x:v>500</x:v>
      </x:c>
      <x:c r="N637" s="32" t="n">
        <x:f>MIN(J637,L637,M637)</x:f>
        <x:v>60</x:v>
      </x:c>
      <x:c r="O637" s="10" t="n">
        <x:f>AE636*N637</x:f>
        <x:v>240</x:v>
      </x:c>
      <x:c r="P637" s="9" t="n">
        <x:f>MIN(1,(AB636/(AE636*IF(v01_GroupInCrowding=1,N637,MIN(J637,L637))))^v01_CrowdingExp)</x:f>
        <x:v>0.35103121932263376</x:v>
      </x:c>
      <x:c r="Q637" s="9" t="n">
        <x:f>IF(D637=1,INDEX(v01_WinterMult,G637),1)</x:f>
        <x:v>1</x:v>
      </x:c>
      <x:c r="R637" s="9" t="n">
        <x:f>H637*Z636*v01_WomenShare*v01_BaseFertility*INDEX(v01_FertMult,G637)*Arch_Fertility*(1-P637)</x:f>
        <x:v>2.347788425225322</x:v>
      </x:c>
      <x:c r="S637" s="9" t="n">
        <x:f>H637*Y636*INDEX(v01_MortChild,G637)/4*Q637</x:f>
        <x:v>0.7329743024004293</x:v>
      </x:c>
      <x:c r="T637" s="9" t="n">
        <x:f>H637*Z636*INDEX(v01_MortAdult,G637)*Arch_AdultMort/4*Q637</x:f>
        <x:v>0.26797938344410654</x:v>
      </x:c>
      <x:c r="U637" s="9" t="n">
        <x:f>H637*AA636*INDEX(v01_MortElder,G637)/4*Q637</x:f>
        <x:v>0.49839159530799826</x:v>
      </x:c>
      <x:c r="V637" s="9" t="n">
        <x:f>H637*MAX(0,AB636-O637)*v01_OvercapLoss</x:f>
        <x:v>0</x:v>
      </x:c>
      <x:c r="W637" s="9" t="n">
        <x:f>H637*Y636/(v01_ChildYears*4)</x:f>
        <x:v>1.495865923266182</x:v>
      </x:c>
      <x:c r="X637" s="9" t="n">
        <x:f>H637*Z636/(v01_AdultYears*4)</x:f>
        <x:v>0.7203746866777057</x:v>
      </x:c>
      <x:c r="Y637" s="32" t="n">
        <x:f>Y636+R637-S637-W637-Y636*V637/AB636</x:f>
        <x:v>83.88743990246489</x:v>
      </x:c>
      <x:c r="Z637" s="32" t="n">
        <x:f>Z636+W637-X637-T637-Z636*V637/AB636</x:f>
        <x:v>89.83397300117988</x:v>
      </x:c>
      <x:c r="AA637" s="32" t="n">
        <x:f>AA636+X637-U637-AA636*V637/AB636</x:f>
        <x:v>28.701502823255318</x:v>
      </x:c>
      <x:c r="AB637" s="10" t="n">
        <x:f>Y637+Z637+AA637</x:f>
        <x:v>202.42291572690007</x:v>
      </x:c>
      <x:c r="AC637" s="8" t="n">
        <x:f>IF(AND(v01_WinterTrigger=1,D637=1,AB636/AE636&gt;=K637),1,0)</x:f>
        <x:v>0</x:v>
      </x:c>
      <x:c r="AD637" s="8" t="n">
        <x:f>H637*IF(AND(OR(AB636/AE636&gt;=v01_FissionTrigger*N637,AC637=1),AB636/AE636*v01_DaughterShare&gt;=v01_MinDaughter),MAX(1,ROUND(AE636*v01_FissionRate,0)),0)</x:f>
        <x:v>0</x:v>
      </x:c>
      <x:c r="AE637" s="8" t="n">
        <x:f>IF(H637=1,MAX(1,MIN(INDEX(v01_Smax,G637),AE636+AD637)),AE636)</x:f>
        <x:v>4</x:v>
      </x:c>
      <x:c r="AF637" s="8" t="n">
        <x:f>MAX(0,AE637-AE636)</x:f>
        <x:v>0</x:v>
      </x:c>
      <x:c r="AG637" s="9" t="str">
        <x:f>IF(AF637&gt;0,B637,"")</x:f>
      </x:c>
      <x:c r="AH637" s="9" t="n">
        <x:f>IF(F637&gt;=1,1,(1+v01_LowTiesShare*(AE637-1))/AE637)</x:f>
        <x:v>1</x:v>
      </x:c>
      <x:c r="AI637" s="32" t="n">
        <x:f>(Z637+v01_ElderCommons*INDEX(LM_Elder,G637)*AA637)*AH637</x:f>
        <x:v>175.93848147094585</x:v>
      </x:c>
      <x:c r="AJ637" s="32" t="n">
        <x:f>H637*v01_CommonsCoef*AI637^v01_CommonsExp*INDEX(LM_Commons,G637)</x:f>
        <x:v>53.46882604646242</x:v>
      </x:c>
      <x:c r="AK637" s="32" t="n">
        <x:f>H637*v01_RoleScale*Arch_Roles*(AE637*(INDEX(v01_ElderRolePerSett,G637)*v01_OutElder*INDEX(LM_Elder,G637)+INDEX(v01_ShamanPerSett,G637)*v01_OutShaman)+Z637*(INDEX(v01_PriestShare,G637)*v01_OutPriest+INDEX(v01_ScribeShare,G637)*v01_OutScribe*INDEX(LM_Scribe,G637)+INDEX(v01_ScholarShare,G637)*v01_OutScholar*INDEX(LM_Scholar,G637)+INDEX(v01_ResearcherShare,G637)*v01_OutResearcher*INDEX(LM_Researcher,G637)))</x:f>
        <x:v>12</x:v>
      </x:c>
      <x:c r="AL637" s="32" t="n">
        <x:f>H637*v01_RoleScale*Arch_Roles*AE637*INDEX(v01_MonasteryPerSett,G637)*v01_OutMonastery*INDEX(LM_Monastery,G637)</x:f>
        <x:v>0</x:v>
      </x:c>
      <x:c r="AM637" s="32" t="n">
        <x:f>(AJ637+AK637+AL637)/4*INDEX(LM_All,G637)*INDEX(v01_Boon,G637)*Arch_Insight</x:f>
        <x:v>17.195796341266146</x:v>
      </x:c>
      <x:c r="AN637" s="32" t="n">
        <x:f>H637*(v01_KHPerAdult*Z637+v01_KHOfCommons*AJ637/4*INDEX(LM_All,G637))*v01_KHUsable*Arch_KH</x:f>
        <x:v>3.144189055041296</x:v>
      </x:c>
      <x:c r="AO637" s="32" t="n">
        <x:f>MIN(AP636+AN637,AM637*v01_KHMaxRatio)</x:f>
        <x:v>3.144189055041296</x:v>
      </x:c>
      <x:c r="AP637" s="32" t="n">
        <x:f>AP636+AN637-AO637</x:f>
        <x:v>0</x:v>
      </x:c>
      <x:c r="AQ637" s="32" t="n">
        <x:f>AM637+AO637</x:f>
        <x:v>20.33998539630744</x:v>
      </x:c>
      <x:c r="AR637" s="10" t="n">
        <x:f>IF(H637=1,INDEX(v01_Req,G637),0)</x:f>
        <x:v>4006.9599999999996</x:v>
      </x:c>
      <x:c r="AS637" s="32" t="n">
        <x:f>IF(H637=1,IF(E637=1,AS636-AR636,AS636)+AQ637,0)</x:f>
        <x:v>2097.1996741031053</x:v>
      </x:c>
      <x:c r="AT637" s="11" t="n">
        <x:f>IF(AR637&gt;0,MIN(1,AS637/AR637),1)</x:f>
        <x:v>0.5233892212807478</x:v>
      </x:c>
      <x:c r="AU637" s="10" t="n">
        <x:f>AB637/INDEX(v01_RepScale,G637)</x:f>
        <x:v>101.21145786345004</x:v>
      </x:c>
      <x:c r="AV637" s="32" t="n">
        <x:f>AM637*60/v01_SeasonSeconds</x:f>
        <x:v>68.78318536506458</x:v>
      </x:c>
    </x:row>
    <x:row r="638">
      <x:c r="A638" s="8" t="n">
        <x:f>A637+1</x:f>
        <x:v>635</x:v>
      </x:c>
      <x:c r="B638" s="9" t="n">
        <x:f>A638*v01_SeasonSeconds/60</x:f>
        <x:v>158.75</x:v>
      </x:c>
      <x:c r="C638" s="9" t="n">
        <x:f>A638/4</x:f>
        <x:v>158.75</x:v>
      </x:c>
      <x:c r="D638" s="8" t="n">
        <x:f>IF(MOD(A638,4)=0,1,0)</x:f>
        <x:v>0</x:v>
      </x:c>
      <x:c r="E638" s="8" t="n">
        <x:f>IF(AND(F637&lt;=9,AS637&gt;=AR637),1,0)</x:f>
        <x:v>0</x:v>
      </x:c>
      <x:c r="F638" s="8" t="n">
        <x:f>MIN(10,F637+E638)</x:f>
        <x:v>2</x:v>
      </x:c>
      <x:c r="G638" s="8" t="n">
        <x:f>MIN(F638,9)+1</x:f>
        <x:v>3</x:v>
      </x:c>
      <x:c r="H638" s="8" t="n">
        <x:f>IF(F638&lt;=9,1,0)</x:f>
        <x:v>1</x:v>
      </x:c>
      <x:c r="I638" s="9" t="n">
        <x:f>MIN(10,F637+IF(AR637&gt;0,MIN(1,AS637/AR637),1))</x:f>
        <x:v>2.523389221280748</x:v>
      </x:c>
      <x:c r="J638" s="32" t="n">
        <x:f>INDEX(v01_FoodCap,G638)*Arch_FoodCap*EXP(v01_CapsByProject*SUMPRODUCT((Cap_Point&lt;=I638)*(Cap_Kind="Food")*Cap_Ln))</x:f>
        <x:v>60</x:v>
      </x:c>
      <x:c r="K638" s="32" t="n">
        <x:f>J638*MIN(1,v01_LeanBase*EXP(v01_CapsByProject*SUMPRODUCT((Cap_Point&lt;=I638)*(Cap_Kind="Lean")*Cap_Ln)))</x:f>
        <x:v>60</x:v>
      </x:c>
      <x:c r="L638" s="10" t="n">
        <x:f>INDEX(v01_HousingCap,G638)*EXP(v01_CapsByProject*SUMPRODUCT((Cap_Point&lt;=I638)*(Cap_Kind="Housing")*Cap_Ln))</x:f>
        <x:v>100</x:v>
      </x:c>
      <x:c r="M638" s="10" t="n">
        <x:f>INDEX(v01_GroupCap,G638)*v01_CohesionFactor*EXP(v01_CapsByProject*SUMPRODUCT((Cap_Point&lt;=I638)*(Cap_Kind="Group")*Cap_Ln))</x:f>
        <x:v>500</x:v>
      </x:c>
      <x:c r="N638" s="32" t="n">
        <x:f>MIN(J638,L638,M638)</x:f>
        <x:v>60</x:v>
      </x:c>
      <x:c r="O638" s="10" t="n">
        <x:f>AE637*N638</x:f>
        <x:v>240</x:v>
      </x:c>
      <x:c r="P638" s="9" t="n">
        <x:f>MIN(1,(AB637/(AE637*IF(v01_GroupInCrowding=1,N638,MIN(J638,L638))))^v01_CrowdingExp)</x:f>
        <x:v>0.3599901409856033</x:v>
      </x:c>
      <x:c r="Q638" s="9" t="n">
        <x:f>IF(D638=1,INDEX(v01_WinterMult,G638),1)</x:f>
        <x:v>1</x:v>
      </x:c>
      <x:c r="R638" s="9" t="n">
        <x:f>H638*Z637*v01_WomenShare*v01_BaseFertility*INDEX(v01_FertMult,G638)*Arch_Fertility*(1-P638)</x:f>
        <x:v>2.3285324500051248</x:v>
      </x:c>
      <x:c r="S638" s="9" t="n">
        <x:f>H638*Y637*INDEX(v01_MortChild,G638)/4*Q638</x:f>
        <x:v>0.7340150991465678</x:v>
      </x:c>
      <x:c r="T638" s="9" t="n">
        <x:f>H638*Z637*INDEX(v01_MortAdult,G638)*Arch_AdultMort/4*Q638</x:f>
        <x:v>0.26950191900353965</x:v>
      </x:c>
      <x:c r="U638" s="9" t="n">
        <x:f>H638*AA637*INDEX(v01_MortElder,G638)/4*Q638</x:f>
        <x:v>0.5022762994069682</x:v>
      </x:c>
      <x:c r="V638" s="9" t="n">
        <x:f>H638*MAX(0,AB637-O638)*v01_OvercapLoss</x:f>
        <x:v>0</x:v>
      </x:c>
      <x:c r="W638" s="9" t="n">
        <x:f>H638*Y637/(v01_ChildYears*4)</x:f>
        <x:v>1.4979899982583016</x:v>
      </x:c>
      <x:c r="X638" s="9" t="n">
        <x:f>H638*Z637/(v01_AdultYears*4)</x:f>
        <x:v>0.7244675242030636</x:v>
      </x:c>
      <x:c r="Y638" s="32" t="n">
        <x:f>Y637+R638-S638-W638-Y637*V638/AB637</x:f>
        <x:v>83.98396725506514</x:v>
      </x:c>
      <x:c r="Z638" s="32" t="n">
        <x:f>Z637+W638-X638-T638-Z637*V638/AB637</x:f>
        <x:v>90.33799355623158</x:v>
      </x:c>
      <x:c r="AA638" s="32" t="n">
        <x:f>AA637+X638-U638-AA637*V638/AB637</x:f>
        <x:v>28.923694048051413</x:v>
      </x:c>
      <x:c r="AB638" s="10" t="n">
        <x:f>Y638+Z638+AA638</x:f>
        <x:v>203.24565485934812</x:v>
      </x:c>
      <x:c r="AC638" s="8" t="n">
        <x:f>IF(AND(v01_WinterTrigger=1,D638=1,AB637/AE637&gt;=K638),1,0)</x:f>
        <x:v>0</x:v>
      </x:c>
      <x:c r="AD638" s="8" t="n">
        <x:f>H638*IF(AND(OR(AB637/AE637&gt;=v01_FissionTrigger*N638,AC638=1),AB637/AE637*v01_DaughterShare&gt;=v01_MinDaughter),MAX(1,ROUND(AE637*v01_FissionRate,0)),0)</x:f>
        <x:v>0</x:v>
      </x:c>
      <x:c r="AE638" s="8" t="n">
        <x:f>IF(H638=1,MAX(1,MIN(INDEX(v01_Smax,G638),AE637+AD638)),AE637)</x:f>
        <x:v>4</x:v>
      </x:c>
      <x:c r="AF638" s="8" t="n">
        <x:f>MAX(0,AE638-AE637)</x:f>
        <x:v>0</x:v>
      </x:c>
      <x:c r="AG638" s="9" t="str">
        <x:f>IF(AF638&gt;0,B638,"")</x:f>
      </x:c>
      <x:c r="AH638" s="9" t="n">
        <x:f>IF(F638&gt;=1,1,(1+v01_LowTiesShare*(AE638-1))/AE638)</x:f>
        <x:v>1</x:v>
      </x:c>
      <x:c r="AI638" s="32" t="n">
        <x:f>(Z638+v01_ElderCommons*INDEX(LM_Elder,G638)*AA638)*AH638</x:f>
        <x:v>177.1090757003858</x:v>
      </x:c>
      <x:c r="AJ638" s="32" t="n">
        <x:f>H638*v01_CommonsCoef*AI638^v01_CommonsExp*INDEX(LM_Commons,G638)</x:f>
        <x:v>53.77106392704355</x:v>
      </x:c>
      <x:c r="AK638" s="32" t="n">
        <x:f>H638*v01_RoleScale*Arch_Roles*(AE638*(INDEX(v01_ElderRolePerSett,G638)*v01_OutElder*INDEX(LM_Elder,G638)+INDEX(v01_ShamanPerSett,G638)*v01_OutShaman)+Z638*(INDEX(v01_PriestShare,G638)*v01_OutPriest+INDEX(v01_ScribeShare,G638)*v01_OutScribe*INDEX(LM_Scribe,G638)+INDEX(v01_ScholarShare,G638)*v01_OutScholar*INDEX(LM_Scholar,G638)+INDEX(v01_ResearcherShare,G638)*v01_OutResearcher*INDEX(LM_Researcher,G638)))</x:f>
        <x:v>12</x:v>
      </x:c>
      <x:c r="AL638" s="32" t="n">
        <x:f>H638*v01_RoleScale*Arch_Roles*AE638*INDEX(v01_MonasteryPerSett,G638)*v01_OutMonastery*INDEX(LM_Monastery,G638)</x:f>
        <x:v>0</x:v>
      </x:c>
      <x:c r="AM638" s="32" t="n">
        <x:f>(AJ638+AK638+AL638)/4*INDEX(LM_All,G638)*INDEX(v01_Boon,G638)*Arch_Insight</x:f>
        <x:v>17.27518100958753</x:v>
      </x:c>
      <x:c r="AN638" s="32" t="n">
        <x:f>H638*(v01_KHPerAdult*Z638+v01_KHOfCommons*AJ638/4*INDEX(LM_All,G638))*v01_KHUsable*Arch_KH</x:f>
        <x:v>3.161829774468105</x:v>
      </x:c>
      <x:c r="AO638" s="32" t="n">
        <x:f>MIN(AP637+AN638,AM638*v01_KHMaxRatio)</x:f>
        <x:v>3.161829774468105</x:v>
      </x:c>
      <x:c r="AP638" s="32" t="n">
        <x:f>AP637+AN638-AO638</x:f>
        <x:v>0</x:v>
      </x:c>
      <x:c r="AQ638" s="32" t="n">
        <x:f>AM638+AO638</x:f>
        <x:v>20.437010784055637</x:v>
      </x:c>
      <x:c r="AR638" s="10" t="n">
        <x:f>IF(H638=1,INDEX(v01_Req,G638),0)</x:f>
        <x:v>4006.9599999999996</x:v>
      </x:c>
      <x:c r="AS638" s="32" t="n">
        <x:f>IF(H638=1,IF(E638=1,AS637-AR637,AS637)+AQ638,0)</x:f>
        <x:v>2117.6366848871608</x:v>
      </x:c>
      <x:c r="AT638" s="11" t="n">
        <x:f>IF(AR638&gt;0,MIN(1,AS638/AR638),1)</x:f>
        <x:v>0.5284895993189752</x:v>
      </x:c>
      <x:c r="AU638" s="10" t="n">
        <x:f>AB638/INDEX(v01_RepScale,G638)</x:f>
        <x:v>101.62282742967406</x:v>
      </x:c>
      <x:c r="AV638" s="32" t="n">
        <x:f>AM638*60/v01_SeasonSeconds</x:f>
        <x:v>69.10072403835012</x:v>
      </x:c>
    </x:row>
    <x:row r="639">
      <x:c r="A639" s="8" t="n">
        <x:f>A638+1</x:f>
        <x:v>636</x:v>
      </x:c>
      <x:c r="B639" s="9" t="n">
        <x:f>A639*v01_SeasonSeconds/60</x:f>
        <x:v>159</x:v>
      </x:c>
      <x:c r="C639" s="9" t="n">
        <x:f>A639/4</x:f>
        <x:v>159</x:v>
      </x:c>
      <x:c r="D639" s="8" t="n">
        <x:f>IF(MOD(A639,4)=0,1,0)</x:f>
        <x:v>1</x:v>
      </x:c>
      <x:c r="E639" s="8" t="n">
        <x:f>IF(AND(F638&lt;=9,AS638&gt;=AR638),1,0)</x:f>
        <x:v>0</x:v>
      </x:c>
      <x:c r="F639" s="8" t="n">
        <x:f>MIN(10,F638+E639)</x:f>
        <x:v>2</x:v>
      </x:c>
      <x:c r="G639" s="8" t="n">
        <x:f>MIN(F639,9)+1</x:f>
        <x:v>3</x:v>
      </x:c>
      <x:c r="H639" s="8" t="n">
        <x:f>IF(F639&lt;=9,1,0)</x:f>
        <x:v>1</x:v>
      </x:c>
      <x:c r="I639" s="9" t="n">
        <x:f>MIN(10,F638+IF(AR638&gt;0,MIN(1,AS638/AR638),1))</x:f>
        <x:v>2.5284895993189753</x:v>
      </x:c>
      <x:c r="J639" s="32" t="n">
        <x:f>INDEX(v01_FoodCap,G639)*Arch_FoodCap*EXP(v01_CapsByProject*SUMPRODUCT((Cap_Point&lt;=I639)*(Cap_Kind="Food")*Cap_Ln))</x:f>
        <x:v>60</x:v>
      </x:c>
      <x:c r="K639" s="32" t="n">
        <x:f>J639*MIN(1,v01_LeanBase*EXP(v01_CapsByProject*SUMPRODUCT((Cap_Point&lt;=I639)*(Cap_Kind="Lean")*Cap_Ln)))</x:f>
        <x:v>60</x:v>
      </x:c>
      <x:c r="L639" s="10" t="n">
        <x:f>INDEX(v01_HousingCap,G639)*EXP(v01_CapsByProject*SUMPRODUCT((Cap_Point&lt;=I639)*(Cap_Kind="Housing")*Cap_Ln))</x:f>
        <x:v>100</x:v>
      </x:c>
      <x:c r="M639" s="10" t="n">
        <x:f>INDEX(v01_GroupCap,G639)*v01_CohesionFactor*EXP(v01_CapsByProject*SUMPRODUCT((Cap_Point&lt;=I639)*(Cap_Kind="Group")*Cap_Ln))</x:f>
        <x:v>500</x:v>
      </x:c>
      <x:c r="N639" s="32" t="n">
        <x:f>MIN(J639,L639,M639)</x:f>
        <x:v>60</x:v>
      </x:c>
      <x:c r="O639" s="10" t="n">
        <x:f>AE638*N639</x:f>
        <x:v>240</x:v>
      </x:c>
      <x:c r="P639" s="9" t="n">
        <x:f>MIN(1,(AB638/(AE638*IF(v01_GroupInCrowding=1,N639,MIN(J639,L639))))^v01_CrowdingExp)</x:f>
        <x:v>0.36885881597501885</x:v>
      </x:c>
      <x:c r="Q639" s="9" t="n">
        <x:f>IF(D639=1,INDEX(v01_WinterMult,G639),1)</x:f>
        <x:v>1.3</x:v>
      </x:c>
      <x:c r="R639" s="9" t="n">
        <x:f>H639*Z638*v01_WomenShare*v01_BaseFertility*INDEX(v01_FertMult,G639)*Arch_Fertility*(1-P639)</x:f>
        <x:v>2.3091491427286055</x:v>
      </x:c>
      <x:c r="S639" s="9" t="n">
        <x:f>H639*Y638*INDEX(v01_MortChild,G639)/4*Q639</x:f>
        <x:v>0.9553176275263661</x:v>
      </x:c>
      <x:c r="T639" s="9" t="n">
        <x:f>H639*Z638*INDEX(v01_MortAdult,G639)*Arch_AdultMort/4*Q639</x:f>
        <x:v>0.35231817486930317</x:v>
      </x:c>
      <x:c r="U639" s="9" t="n">
        <x:f>H639*AA638*INDEX(v01_MortElder,G639)/4*Q639</x:f>
        <x:v>0.6580140395931698</x:v>
      </x:c>
      <x:c r="V639" s="9" t="n">
        <x:f>H639*MAX(0,AB638-O639)*v01_OvercapLoss</x:f>
        <x:v>0</x:v>
      </x:c>
      <x:c r="W639" s="9" t="n">
        <x:f>H639*Y638/(v01_ChildYears*4)</x:f>
        <x:v>1.4997137009833061</x:v>
      </x:c>
      <x:c r="X639" s="9" t="n">
        <x:f>H639*Z638/(v01_AdultYears*4)</x:f>
        <x:v>0.7285322060986418</x:v>
      </x:c>
      <x:c r="Y639" s="32" t="n">
        <x:f>Y638+R639-S639-W639-Y638*V639/AB638</x:f>
        <x:v>83.83808506928406</x:v>
      </x:c>
      <x:c r="Z639" s="32" t="n">
        <x:f>Z638+W639-X639-T639-Z638*V639/AB638</x:f>
        <x:v>90.75685687624694</x:v>
      </x:c>
      <x:c r="AA639" s="32" t="n">
        <x:f>AA638+X639-U639-AA638*V639/AB638</x:f>
        <x:v>28.994212214556885</x:v>
      </x:c>
      <x:c r="AB639" s="10" t="n">
        <x:f>Y639+Z639+AA639</x:f>
        <x:v>203.58915416008787</x:v>
      </x:c>
      <x:c r="AC639" s="8" t="n">
        <x:f>IF(AND(v01_WinterTrigger=1,D639=1,AB638/AE638&gt;=K639),1,0)</x:f>
        <x:v>0</x:v>
      </x:c>
      <x:c r="AD639" s="8" t="n">
        <x:f>H639*IF(AND(OR(AB638/AE638&gt;=v01_FissionTrigger*N639,AC639=1),AB638/AE638*v01_DaughterShare&gt;=v01_MinDaughter),MAX(1,ROUND(AE638*v01_FissionRate,0)),0)</x:f>
        <x:v>0</x:v>
      </x:c>
      <x:c r="AE639" s="8" t="n">
        <x:f>IF(H639=1,MAX(1,MIN(INDEX(v01_Smax,G639),AE638+AD639)),AE638)</x:f>
        <x:v>4</x:v>
      </x:c>
      <x:c r="AF639" s="8" t="n">
        <x:f>MAX(0,AE639-AE638)</x:f>
        <x:v>0</x:v>
      </x:c>
      <x:c r="AG639" s="9" t="str">
        <x:f>IF(AF639&gt;0,B639,"")</x:f>
      </x:c>
      <x:c r="AH639" s="9" t="n">
        <x:f>IF(F639&gt;=1,1,(1+v01_LowTiesShare*(AE639-1))/AE639)</x:f>
        <x:v>1</x:v>
      </x:c>
      <x:c r="AI639" s="32" t="n">
        <x:f>(Z639+v01_ElderCommons*INDEX(LM_Elder,G639)*AA639)*AH639</x:f>
        <x:v>177.7394935199176</x:v>
      </x:c>
      <x:c r="AJ639" s="32" t="n">
        <x:f>H639*v01_CommonsCoef*AI639^v01_CommonsExp*INDEX(LM_Commons,G639)</x:f>
        <x:v>53.93370844203825</x:v>
      </x:c>
      <x:c r="AK639" s="32" t="n">
        <x:f>H639*v01_RoleScale*Arch_Roles*(AE639*(INDEX(v01_ElderRolePerSett,G639)*v01_OutElder*INDEX(LM_Elder,G639)+INDEX(v01_ShamanPerSett,G639)*v01_OutShaman)+Z639*(INDEX(v01_PriestShare,G639)*v01_OutPriest+INDEX(v01_ScribeShare,G639)*v01_OutScribe*INDEX(LM_Scribe,G639)+INDEX(v01_ScholarShare,G639)*v01_OutScholar*INDEX(LM_Scholar,G639)+INDEX(v01_ResearcherShare,G639)*v01_OutResearcher*INDEX(LM_Researcher,G639)))</x:f>
        <x:v>12</x:v>
      </x:c>
      <x:c r="AL639" s="32" t="n">
        <x:f>H639*v01_RoleScale*Arch_Roles*AE639*INDEX(v01_MonasteryPerSett,G639)*v01_OutMonastery*INDEX(LM_Monastery,G639)</x:f>
        <x:v>0</x:v>
      </x:c>
      <x:c r="AM639" s="32" t="n">
        <x:f>(AJ639+AK639+AL639)/4*INDEX(LM_All,G639)*INDEX(v01_Boon,G639)*Arch_Insight</x:f>
        <x:v>17.31790060797911</x:v>
      </x:c>
      <x:c r="AN639" s="32" t="n">
        <x:f>H639*(v01_KHPerAdult*Z639+v01_KHOfCommons*AJ639/4*INDEX(LM_All,G639))*v01_KHUsable*Arch_KH</x:f>
        <x:v>3.1764899906686432</x:v>
      </x:c>
      <x:c r="AO639" s="32" t="n">
        <x:f>MIN(AP638+AN639,AM639*v01_KHMaxRatio)</x:f>
        <x:v>3.1764899906686432</x:v>
      </x:c>
      <x:c r="AP639" s="32" t="n">
        <x:f>AP638+AN639-AO639</x:f>
        <x:v>0</x:v>
      </x:c>
      <x:c r="AQ639" s="32" t="n">
        <x:f>AM639+AO639</x:f>
        <x:v>20.49439059864775</x:v>
      </x:c>
      <x:c r="AR639" s="10" t="n">
        <x:f>IF(H639=1,INDEX(v01_Req,G639),0)</x:f>
        <x:v>4006.9599999999996</x:v>
      </x:c>
      <x:c r="AS639" s="32" t="n">
        <x:f>IF(H639=1,IF(E639=1,AS638-AR638,AS638)+AQ639,0)</x:f>
        <x:v>2138.1310754858087</x:v>
      </x:c>
      <x:c r="AT639" s="11" t="n">
        <x:f>IF(AR639&gt;0,MIN(1,AS639/AR639),1)</x:f>
        <x:v>0.5336042973939866</x:v>
      </x:c>
      <x:c r="AU639" s="10" t="n">
        <x:f>AB639/INDEX(v01_RepScale,G639)</x:f>
        <x:v>101.79457708004394</x:v>
      </x:c>
      <x:c r="AV639" s="32" t="n">
        <x:f>AM639*60/v01_SeasonSeconds</x:f>
        <x:v>69.27160243191643</x:v>
      </x:c>
    </x:row>
    <x:row r="640">
      <x:c r="A640" s="8" t="n">
        <x:f>A639+1</x:f>
        <x:v>637</x:v>
      </x:c>
      <x:c r="B640" s="9" t="n">
        <x:f>A640*v01_SeasonSeconds/60</x:f>
        <x:v>159.25</x:v>
      </x:c>
      <x:c r="C640" s="9" t="n">
        <x:f>A640/4</x:f>
        <x:v>159.25</x:v>
      </x:c>
      <x:c r="D640" s="8" t="n">
        <x:f>IF(MOD(A640,4)=0,1,0)</x:f>
        <x:v>0</x:v>
      </x:c>
      <x:c r="E640" s="8" t="n">
        <x:f>IF(AND(F639&lt;=9,AS639&gt;=AR639),1,0)</x:f>
        <x:v>0</x:v>
      </x:c>
      <x:c r="F640" s="8" t="n">
        <x:f>MIN(10,F639+E640)</x:f>
        <x:v>2</x:v>
      </x:c>
      <x:c r="G640" s="8" t="n">
        <x:f>MIN(F640,9)+1</x:f>
        <x:v>3</x:v>
      </x:c>
      <x:c r="H640" s="8" t="n">
        <x:f>IF(F640&lt;=9,1,0)</x:f>
        <x:v>1</x:v>
      </x:c>
      <x:c r="I640" s="9" t="n">
        <x:f>MIN(10,F639+IF(AR639&gt;0,MIN(1,AS639/AR639),1))</x:f>
        <x:v>2.5336042973939867</x:v>
      </x:c>
      <x:c r="J640" s="32" t="n">
        <x:f>INDEX(v01_FoodCap,G640)*Arch_FoodCap*EXP(v01_CapsByProject*SUMPRODUCT((Cap_Point&lt;=I640)*(Cap_Kind="Food")*Cap_Ln))</x:f>
        <x:v>60</x:v>
      </x:c>
      <x:c r="K640" s="32" t="n">
        <x:f>J640*MIN(1,v01_LeanBase*EXP(v01_CapsByProject*SUMPRODUCT((Cap_Point&lt;=I640)*(Cap_Kind="Lean")*Cap_Ln)))</x:f>
        <x:v>60</x:v>
      </x:c>
      <x:c r="L640" s="10" t="n">
        <x:f>INDEX(v01_HousingCap,G640)*EXP(v01_CapsByProject*SUMPRODUCT((Cap_Point&lt;=I640)*(Cap_Kind="Housing")*Cap_Ln))</x:f>
        <x:v>100</x:v>
      </x:c>
      <x:c r="M640" s="10" t="n">
        <x:f>INDEX(v01_GroupCap,G640)*v01_CohesionFactor*EXP(v01_CapsByProject*SUMPRODUCT((Cap_Point&lt;=I640)*(Cap_Kind="Group")*Cap_Ln))</x:f>
        <x:v>500</x:v>
      </x:c>
      <x:c r="N640" s="32" t="n">
        <x:f>MIN(J640,L640,M640)</x:f>
        <x:v>60</x:v>
      </x:c>
      <x:c r="O640" s="10" t="n">
        <x:f>AE639*N640</x:f>
        <x:v>240</x:v>
      </x:c>
      <x:c r="P640" s="9" t="n">
        <x:f>MIN(1,(AB639/(AE639*IF(v01_GroupInCrowding=1,N640,MIN(J640,L640))))^v01_CrowdingExp)</x:f>
        <x:v>0.3726150378082934</x:v>
      </x:c>
      <x:c r="Q640" s="9" t="n">
        <x:f>IF(D640=1,INDEX(v01_WinterMult,G640),1)</x:f>
        <x:v>1</x:v>
      </x:c>
      <x:c r="R640" s="9" t="n">
        <x:f>H640*Z639*v01_WomenShare*v01_BaseFertility*INDEX(v01_FertMult,G640)*Arch_Fertility*(1-P640)</x:f>
        <x:v>2.3060492324076636</x:v>
      </x:c>
      <x:c r="S640" s="9" t="n">
        <x:f>H640*Y639*INDEX(v01_MortChild,G640)/4*Q640</x:f>
        <x:v>0.7335832443562356</x:v>
      </x:c>
      <x:c r="T640" s="9" t="n">
        <x:f>H640*Z639*INDEX(v01_MortAdult,G640)*Arch_AdultMort/4*Q640</x:f>
        <x:v>0.2722705706287408</x:v>
      </x:c>
      <x:c r="U640" s="9" t="n">
        <x:f>H640*AA639*INDEX(v01_MortElder,G640)/4*Q640</x:f>
        <x:v>0.5073987137547455</x:v>
      </x:c>
      <x:c r="V640" s="9" t="n">
        <x:f>H640*MAX(0,AB639-O640)*v01_OvercapLoss</x:f>
        <x:v>0</x:v>
      </x:c>
      <x:c r="W640" s="9" t="n">
        <x:f>H640*Y639/(v01_ChildYears*4)</x:f>
        <x:v>1.497108661951501</x:v>
      </x:c>
      <x:c r="X640" s="9" t="n">
        <x:f>H640*Z639/(v01_AdultYears*4)</x:f>
        <x:v>0.7319101360987657</x:v>
      </x:c>
      <x:c r="Y640" s="32" t="n">
        <x:f>Y639+R640-S640-W640-Y639*V640/AB639</x:f>
        <x:v>83.91344239538398</x:v>
      </x:c>
      <x:c r="Z640" s="32" t="n">
        <x:f>Z639+W640-X640-T640-Z639*V640/AB639</x:f>
        <x:v>91.24978483147095</x:v>
      </x:c>
      <x:c r="AA640" s="32" t="n">
        <x:f>AA639+X640-U640-AA639*V640/AB639</x:f>
        <x:v>29.218723636900904</x:v>
      </x:c>
      <x:c r="AB640" s="10" t="n">
        <x:f>Y640+Z640+AA640</x:f>
        <x:v>204.38195086375583</x:v>
      </x:c>
      <x:c r="AC640" s="8" t="n">
        <x:f>IF(AND(v01_WinterTrigger=1,D640=1,AB639/AE639&gt;=K640),1,0)</x:f>
        <x:v>0</x:v>
      </x:c>
      <x:c r="AD640" s="8" t="n">
        <x:f>H640*IF(AND(OR(AB639/AE639&gt;=v01_FissionTrigger*N640,AC640=1),AB639/AE639*v01_DaughterShare&gt;=v01_MinDaughter),MAX(1,ROUND(AE639*v01_FissionRate,0)),0)</x:f>
        <x:v>0</x:v>
      </x:c>
      <x:c r="AE640" s="8" t="n">
        <x:f>IF(H640=1,MAX(1,MIN(INDEX(v01_Smax,G640),AE639+AD640)),AE639)</x:f>
        <x:v>4</x:v>
      </x:c>
      <x:c r="AF640" s="8" t="n">
        <x:f>MAX(0,AE640-AE639)</x:f>
        <x:v>0</x:v>
      </x:c>
      <x:c r="AG640" s="9" t="str">
        <x:f>IF(AF640&gt;0,B640,"")</x:f>
      </x:c>
      <x:c r="AH640" s="9" t="n">
        <x:f>IF(F640&gt;=1,1,(1+v01_LowTiesShare*(AE640-1))/AE640)</x:f>
        <x:v>1</x:v>
      </x:c>
      <x:c r="AI640" s="32" t="n">
        <x:f>(Z640+v01_ElderCommons*INDEX(LM_Elder,G640)*AA640)*AH640</x:f>
        <x:v>178.90595574217366</x:v>
      </x:c>
      <x:c r="AJ640" s="32" t="n">
        <x:f>H640*v01_CommonsCoef*AI640^v01_CommonsExp*INDEX(LM_Commons,G640)</x:f>
        <x:v>54.23442176461114</x:v>
      </x:c>
      <x:c r="AK640" s="32" t="n">
        <x:f>H640*v01_RoleScale*Arch_Roles*(AE640*(INDEX(v01_ElderRolePerSett,G640)*v01_OutElder*INDEX(LM_Elder,G640)+INDEX(v01_ShamanPerSett,G640)*v01_OutShaman)+Z640*(INDEX(v01_PriestShare,G640)*v01_OutPriest+INDEX(v01_ScribeShare,G640)*v01_OutScribe*INDEX(LM_Scribe,G640)+INDEX(v01_ScholarShare,G640)*v01_OutScholar*INDEX(LM_Scholar,G640)+INDEX(v01_ResearcherShare,G640)*v01_OutResearcher*INDEX(LM_Researcher,G640)))</x:f>
        <x:v>12</x:v>
      </x:c>
      <x:c r="AL640" s="32" t="n">
        <x:f>H640*v01_RoleScale*Arch_Roles*AE640*INDEX(v01_MonasteryPerSett,G640)*v01_OutMonastery*INDEX(LM_Monastery,G640)</x:f>
        <x:v>0</x:v>
      </x:c>
      <x:c r="AM640" s="32" t="n">
        <x:f>(AJ640+AK640+AL640)/4*INDEX(LM_All,G640)*INDEX(v01_Boon,G640)*Arch_Insight</x:f>
        <x:v>17.396884841611143</x:v>
      </x:c>
      <x:c r="AN640" s="32" t="n">
        <x:f>H640*(v01_KHPerAdult*Z640+v01_KHOfCommons*AJ640/4*INDEX(LM_All,G640))*v01_KHUsable*Arch_KH</x:f>
        <x:v>3.193742469101483</x:v>
      </x:c>
      <x:c r="AO640" s="32" t="n">
        <x:f>MIN(AP639+AN640,AM640*v01_KHMaxRatio)</x:f>
        <x:v>3.193742469101483</x:v>
      </x:c>
      <x:c r="AP640" s="32" t="n">
        <x:f>AP639+AN640-AO640</x:f>
        <x:v>0</x:v>
      </x:c>
      <x:c r="AQ640" s="32" t="n">
        <x:f>AM640+AO640</x:f>
        <x:v>20.590627310712627</x:v>
      </x:c>
      <x:c r="AR640" s="10" t="n">
        <x:f>IF(H640=1,INDEX(v01_Req,G640),0)</x:f>
        <x:v>4006.9599999999996</x:v>
      </x:c>
      <x:c r="AS640" s="32" t="n">
        <x:f>IF(H640=1,IF(E640=1,AS639-AR639,AS639)+AQ640,0)</x:f>
        <x:v>2158.721702796521</x:v>
      </x:c>
      <x:c r="AT640" s="11" t="n">
        <x:f>IF(AR640&gt;0,MIN(1,AS640/AR640),1)</x:f>
        <x:v>0.5387430128567596</x:v>
      </x:c>
      <x:c r="AU640" s="10" t="n">
        <x:f>AB640/INDEX(v01_RepScale,G640)</x:f>
        <x:v>102.19097543187792</x:v>
      </x:c>
      <x:c r="AV640" s="32" t="n">
        <x:f>AM640*60/v01_SeasonSeconds</x:f>
        <x:v>69.58753936644457</x:v>
      </x:c>
    </x:row>
    <x:row r="641">
      <x:c r="A641" s="8" t="n">
        <x:f>A640+1</x:f>
        <x:v>638</x:v>
      </x:c>
      <x:c r="B641" s="9" t="n">
        <x:f>A641*v01_SeasonSeconds/60</x:f>
        <x:v>159.5</x:v>
      </x:c>
      <x:c r="C641" s="9" t="n">
        <x:f>A641/4</x:f>
        <x:v>159.5</x:v>
      </x:c>
      <x:c r="D641" s="8" t="n">
        <x:f>IF(MOD(A641,4)=0,1,0)</x:f>
        <x:v>0</x:v>
      </x:c>
      <x:c r="E641" s="8" t="n">
        <x:f>IF(AND(F640&lt;=9,AS640&gt;=AR640),1,0)</x:f>
        <x:v>0</x:v>
      </x:c>
      <x:c r="F641" s="8" t="n">
        <x:f>MIN(10,F640+E641)</x:f>
        <x:v>2</x:v>
      </x:c>
      <x:c r="G641" s="8" t="n">
        <x:f>MIN(F641,9)+1</x:f>
        <x:v>3</x:v>
      </x:c>
      <x:c r="H641" s="8" t="n">
        <x:f>IF(F641&lt;=9,1,0)</x:f>
        <x:v>1</x:v>
      </x:c>
      <x:c r="I641" s="9" t="n">
        <x:f>MIN(10,F640+IF(AR640&gt;0,MIN(1,AS640/AR640),1))</x:f>
        <x:v>2.5387430128567594</x:v>
      </x:c>
      <x:c r="J641" s="32" t="n">
        <x:f>INDEX(v01_FoodCap,G641)*Arch_FoodCap*EXP(v01_CapsByProject*SUMPRODUCT((Cap_Point&lt;=I641)*(Cap_Kind="Food")*Cap_Ln))</x:f>
        <x:v>60</x:v>
      </x:c>
      <x:c r="K641" s="32" t="n">
        <x:f>J641*MIN(1,v01_LeanBase*EXP(v01_CapsByProject*SUMPRODUCT((Cap_Point&lt;=I641)*(Cap_Kind="Lean")*Cap_Ln)))</x:f>
        <x:v>60</x:v>
      </x:c>
      <x:c r="L641" s="10" t="n">
        <x:f>INDEX(v01_HousingCap,G641)*EXP(v01_CapsByProject*SUMPRODUCT((Cap_Point&lt;=I641)*(Cap_Kind="Housing")*Cap_Ln))</x:f>
        <x:v>100</x:v>
      </x:c>
      <x:c r="M641" s="10" t="n">
        <x:f>INDEX(v01_GroupCap,G641)*v01_CohesionFactor*EXP(v01_CapsByProject*SUMPRODUCT((Cap_Point&lt;=I641)*(Cap_Kind="Group")*Cap_Ln))</x:f>
        <x:v>500</x:v>
      </x:c>
      <x:c r="N641" s="32" t="n">
        <x:f>MIN(J641,L641,M641)</x:f>
        <x:v>60</x:v>
      </x:c>
      <x:c r="O641" s="10" t="n">
        <x:f>AE640*N641</x:f>
        <x:v>240</x:v>
      </x:c>
      <x:c r="P641" s="9" t="n">
        <x:f>MIN(1,(AB640/(AE640*IF(v01_GroupInCrowding=1,N641,MIN(J641,L641))))^v01_CrowdingExp)</x:f>
        <x:v>0.3814062375650686</x:v>
      </x:c>
      <x:c r="Q641" s="9" t="n">
        <x:f>IF(D641=1,INDEX(v01_WinterMult,G641),1)</x:f>
        <x:v>1</x:v>
      </x:c>
      <x:c r="R641" s="9" t="n">
        <x:f>H641*Z640*v01_WomenShare*v01_BaseFertility*INDEX(v01_FertMult,G641)*Arch_Fertility*(1-P641)</x:f>
        <x:v>2.2860851826712403</x:v>
      </x:c>
      <x:c r="S641" s="9" t="n">
        <x:f>H641*Y640*INDEX(v01_MortChild,G641)/4*Q641</x:f>
        <x:v>0.7342426209596099</x:v>
      </x:c>
      <x:c r="T641" s="9" t="n">
        <x:f>H641*Z640*INDEX(v01_MortAdult,G641)*Arch_AdultMort/4*Q641</x:f>
        <x:v>0.27374935449441284</x:v>
      </x:c>
      <x:c r="U641" s="9" t="n">
        <x:f>H641*AA640*INDEX(v01_MortElder,G641)/4*Q641</x:f>
        <x:v>0.5113276636457659</x:v>
      </x:c>
      <x:c r="V641" s="9" t="n">
        <x:f>H641*MAX(0,AB640-O641)*v01_OvercapLoss</x:f>
        <x:v>0</x:v>
      </x:c>
      <x:c r="W641" s="9" t="n">
        <x:f>H641*Y640/(v01_ChildYears*4)</x:f>
        <x:v>1.4984543284889997</x:v>
      </x:c>
      <x:c r="X641" s="9" t="n">
        <x:f>H641*Z640/(v01_AdultYears*4)</x:f>
        <x:v>0.7358853615441205</x:v>
      </x:c>
      <x:c r="Y641" s="32" t="n">
        <x:f>Y640+R641-S641-W641-Y640*V641/AB640</x:f>
        <x:v>83.96683062860662</x:v>
      </x:c>
      <x:c r="Z641" s="32" t="n">
        <x:f>Z640+W641-X641-T641-Z640*V641/AB640</x:f>
        <x:v>91.73860444392142</x:v>
      </x:c>
      <x:c r="AA641" s="32" t="n">
        <x:f>AA640+X641-U641-AA640*V641/AB640</x:f>
        <x:v>29.44328133479926</x:v>
      </x:c>
      <x:c r="AB641" s="10" t="n">
        <x:f>Y641+Z641+AA641</x:f>
        <x:v>205.14871640732727</x:v>
      </x:c>
      <x:c r="AC641" s="8" t="n">
        <x:f>IF(AND(v01_WinterTrigger=1,D641=1,AB640/AE640&gt;=K641),1,0)</x:f>
        <x:v>0</x:v>
      </x:c>
      <x:c r="AD641" s="8" t="n">
        <x:f>H641*IF(AND(OR(AB640/AE640&gt;=v01_FissionTrigger*N641,AC641=1),AB640/AE640*v01_DaughterShare&gt;=v01_MinDaughter),MAX(1,ROUND(AE640*v01_FissionRate,0)),0)</x:f>
        <x:v>1</x:v>
      </x:c>
      <x:c r="AE641" s="8" t="n">
        <x:f>IF(H641=1,MAX(1,MIN(INDEX(v01_Smax,G641),AE640+AD641)),AE640)</x:f>
        <x:v>5</x:v>
      </x:c>
      <x:c r="AF641" s="8" t="n">
        <x:f>MAX(0,AE641-AE640)</x:f>
        <x:v>1</x:v>
      </x:c>
      <x:c r="AG641" s="9" t="n">
        <x:f>IF(AF641&gt;0,B641,"")</x:f>
        <x:v>159.5</x:v>
      </x:c>
      <x:c r="AH641" s="9" t="n">
        <x:f>IF(F641&gt;=1,1,(1+v01_LowTiesShare*(AE641-1))/AE641)</x:f>
        <x:v>1</x:v>
      </x:c>
      <x:c r="AI641" s="32" t="n">
        <x:f>(Z641+v01_ElderCommons*INDEX(LM_Elder,G641)*AA641)*AH641</x:f>
        <x:v>180.0684484483192</x:v>
      </x:c>
      <x:c r="AJ641" s="32" t="n">
        <x:f>H641*v01_CommonsCoef*AI641^v01_CommonsExp*INDEX(LM_Commons,G641)</x:f>
        <x:v>54.53381928949272</x:v>
      </x:c>
      <x:c r="AK641" s="32" t="n">
        <x:f>H641*v01_RoleScale*Arch_Roles*(AE641*(INDEX(v01_ElderRolePerSett,G641)*v01_OutElder*INDEX(LM_Elder,G641)+INDEX(v01_ShamanPerSett,G641)*v01_OutShaman)+Z641*(INDEX(v01_PriestShare,G641)*v01_OutPriest+INDEX(v01_ScribeShare,G641)*v01_OutScribe*INDEX(LM_Scribe,G641)+INDEX(v01_ScholarShare,G641)*v01_OutScholar*INDEX(LM_Scholar,G641)+INDEX(v01_ResearcherShare,G641)*v01_OutResearcher*INDEX(LM_Researcher,G641)))</x:f>
        <x:v>15</x:v>
      </x:c>
      <x:c r="AL641" s="32" t="n">
        <x:f>H641*v01_RoleScale*Arch_Roles*AE641*INDEX(v01_MonasteryPerSett,G641)*v01_OutMonastery*INDEX(LM_Monastery,G641)</x:f>
        <x:v>0</x:v>
      </x:c>
      <x:c r="AM641" s="32" t="n">
        <x:f>(AJ641+AK641+AL641)/4*INDEX(LM_All,G641)*INDEX(v01_Boon,G641)*Arch_Insight</x:f>
        <x:v>18.263492222755822</x:v>
      </x:c>
      <x:c r="AN641" s="32" t="n">
        <x:f>H641*(v01_KHPerAdult*Z641+v01_KHOfCommons*AJ641/4*INDEX(LM_All,G641))*v01_KHUsable*Arch_KH</x:f>
        <x:v>3.2108511555372496</x:v>
      </x:c>
      <x:c r="AO641" s="32" t="n">
        <x:f>MIN(AP640+AN641,AM641*v01_KHMaxRatio)</x:f>
        <x:v>3.2108511555372496</x:v>
      </x:c>
      <x:c r="AP641" s="32" t="n">
        <x:f>AP640+AN641-AO641</x:f>
        <x:v>0</x:v>
      </x:c>
      <x:c r="AQ641" s="32" t="n">
        <x:f>AM641+AO641</x:f>
        <x:v>21.47434337829307</x:v>
      </x:c>
      <x:c r="AR641" s="10" t="n">
        <x:f>IF(H641=1,INDEX(v01_Req,G641),0)</x:f>
        <x:v>4006.9599999999996</x:v>
      </x:c>
      <x:c r="AS641" s="32" t="n">
        <x:f>IF(H641=1,IF(E641=1,AS640-AR640,AS640)+AQ641,0)</x:f>
        <x:v>2180.1960461748145</x:v>
      </x:c>
      <x:c r="AT641" s="11" t="n">
        <x:f>IF(AR641&gt;0,MIN(1,AS641/AR641),1)</x:f>
        <x:v>0.5441022735876612</x:v>
      </x:c>
      <x:c r="AU641" s="10" t="n">
        <x:f>AB641/INDEX(v01_RepScale,G641)</x:f>
        <x:v>102.57435820366364</x:v>
      </x:c>
      <x:c r="AV641" s="32" t="n">
        <x:f>AM641*60/v01_SeasonSeconds</x:f>
        <x:v>73.05396889102329</x:v>
      </x:c>
    </x:row>
    <x:row r="642">
      <x:c r="A642" s="8" t="n">
        <x:f>A641+1</x:f>
        <x:v>639</x:v>
      </x:c>
      <x:c r="B642" s="9" t="n">
        <x:f>A642*v01_SeasonSeconds/60</x:f>
        <x:v>159.75</x:v>
      </x:c>
      <x:c r="C642" s="9" t="n">
        <x:f>A642/4</x:f>
        <x:v>159.75</x:v>
      </x:c>
      <x:c r="D642" s="8" t="n">
        <x:f>IF(MOD(A642,4)=0,1,0)</x:f>
        <x:v>0</x:v>
      </x:c>
      <x:c r="E642" s="8" t="n">
        <x:f>IF(AND(F641&lt;=9,AS641&gt;=AR641),1,0)</x:f>
        <x:v>0</x:v>
      </x:c>
      <x:c r="F642" s="8" t="n">
        <x:f>MIN(10,F641+E642)</x:f>
        <x:v>2</x:v>
      </x:c>
      <x:c r="G642" s="8" t="n">
        <x:f>MIN(F642,9)+1</x:f>
        <x:v>3</x:v>
      </x:c>
      <x:c r="H642" s="8" t="n">
        <x:f>IF(F642&lt;=9,1,0)</x:f>
        <x:v>1</x:v>
      </x:c>
      <x:c r="I642" s="9" t="n">
        <x:f>MIN(10,F641+IF(AR641&gt;0,MIN(1,AS641/AR641),1))</x:f>
        <x:v>2.544102273587661</x:v>
      </x:c>
      <x:c r="J642" s="32" t="n">
        <x:f>INDEX(v01_FoodCap,G642)*Arch_FoodCap*EXP(v01_CapsByProject*SUMPRODUCT((Cap_Point&lt;=I642)*(Cap_Kind="Food")*Cap_Ln))</x:f>
        <x:v>60</x:v>
      </x:c>
      <x:c r="K642" s="32" t="n">
        <x:f>J642*MIN(1,v01_LeanBase*EXP(v01_CapsByProject*SUMPRODUCT((Cap_Point&lt;=I642)*(Cap_Kind="Lean")*Cap_Ln)))</x:f>
        <x:v>60</x:v>
      </x:c>
      <x:c r="L642" s="10" t="n">
        <x:f>INDEX(v01_HousingCap,G642)*EXP(v01_CapsByProject*SUMPRODUCT((Cap_Point&lt;=I642)*(Cap_Kind="Housing")*Cap_Ln))</x:f>
        <x:v>100</x:v>
      </x:c>
      <x:c r="M642" s="10" t="n">
        <x:f>INDEX(v01_GroupCap,G642)*v01_CohesionFactor*EXP(v01_CapsByProject*SUMPRODUCT((Cap_Point&lt;=I642)*(Cap_Kind="Group")*Cap_Ln))</x:f>
        <x:v>500</x:v>
      </x:c>
      <x:c r="N642" s="32" t="n">
        <x:f>MIN(J642,L642,M642)</x:f>
        <x:v>60</x:v>
      </x:c>
      <x:c r="O642" s="10" t="n">
        <x:f>AE641*N642</x:f>
        <x:v>300</x:v>
      </x:c>
      <x:c r="P642" s="9" t="n">
        <x:f>MIN(1,(AB641/(AE641*IF(v01_GroupInCrowding=1,N642,MIN(J642,L642))))^v01_CrowdingExp)</x:f>
        <x:v>0.10225517482315699</x:v>
      </x:c>
      <x:c r="Q642" s="9" t="n">
        <x:f>IF(D642=1,INDEX(v01_WinterMult,G642),1)</x:f>
        <x:v>1</x:v>
      </x:c>
      <x:c r="R642" s="9" t="n">
        <x:f>H642*Z641*v01_WomenShare*v01_BaseFertility*INDEX(v01_FertMult,G642)*Arch_Fertility*(1-P642)</x:f>
        <x:v>3.335493225043269</x:v>
      </x:c>
      <x:c r="S642" s="9" t="n">
        <x:f>H642*Y641*INDEX(v01_MortChild,G642)/4*Q642</x:f>
        <x:v>0.734709768000308</x:v>
      </x:c>
      <x:c r="T642" s="9" t="n">
        <x:f>H642*Z641*INDEX(v01_MortAdult,G642)*Arch_AdultMort/4*Q642</x:f>
        <x:v>0.27521581333176426</x:v>
      </x:c>
      <x:c r="U642" s="9" t="n">
        <x:f>H642*AA641*INDEX(v01_MortElder,G642)/4*Q642</x:f>
        <x:v>0.515257423358987</x:v>
      </x:c>
      <x:c r="V642" s="9" t="n">
        <x:f>H642*MAX(0,AB641-O642)*v01_OvercapLoss</x:f>
        <x:v>0</x:v>
      </x:c>
      <x:c r="W642" s="9" t="n">
        <x:f>H642*Y641/(v01_ChildYears*4)</x:f>
        <x:v>1.4994076897965467</x:v>
      </x:c>
      <x:c r="X642" s="9" t="n">
        <x:f>H642*Z641/(v01_AdultYears*4)</x:f>
        <x:v>0.7398274551929147</x:v>
      </x:c>
      <x:c r="Y642" s="32" t="n">
        <x:f>Y641+R642-S642-W642-Y641*V642/AB641</x:f>
        <x:v>85.06820639585303</x:v>
      </x:c>
      <x:c r="Z642" s="32" t="n">
        <x:f>Z641+W642-X642-T642-Z641*V642/AB641</x:f>
        <x:v>92.22296886519328</x:v>
      </x:c>
      <x:c r="AA642" s="32" t="n">
        <x:f>AA641+X642-U642-AA641*V642/AB641</x:f>
        <x:v>29.667851366633187</x:v>
      </x:c>
      <x:c r="AB642" s="10" t="n">
        <x:f>Y642+Z642+AA642</x:f>
        <x:v>206.9590266276795</x:v>
      </x:c>
      <x:c r="AC642" s="8" t="n">
        <x:f>IF(AND(v01_WinterTrigger=1,D642=1,AB641/AE641&gt;=K642),1,0)</x:f>
        <x:v>0</x:v>
      </x:c>
      <x:c r="AD642" s="8" t="n">
        <x:f>H642*IF(AND(OR(AB641/AE641&gt;=v01_FissionTrigger*N642,AC642=1),AB641/AE641*v01_DaughterShare&gt;=v01_MinDaughter),MAX(1,ROUND(AE641*v01_FissionRate,0)),0)</x:f>
        <x:v>0</x:v>
      </x:c>
      <x:c r="AE642" s="8" t="n">
        <x:f>IF(H642=1,MAX(1,MIN(INDEX(v01_Smax,G642),AE641+AD642)),AE641)</x:f>
        <x:v>5</x:v>
      </x:c>
      <x:c r="AF642" s="8" t="n">
        <x:f>MAX(0,AE642-AE641)</x:f>
        <x:v>0</x:v>
      </x:c>
      <x:c r="AG642" s="9" t="str">
        <x:f>IF(AF642&gt;0,B642,"")</x:f>
      </x:c>
      <x:c r="AH642" s="9" t="n">
        <x:f>IF(F642&gt;=1,1,(1+v01_LowTiesShare*(AE642-1))/AE642)</x:f>
        <x:v>1</x:v>
      </x:c>
      <x:c r="AI642" s="32" t="n">
        <x:f>(Z642+v01_ElderCommons*INDEX(LM_Elder,G642)*AA642)*AH642</x:f>
        <x:v>181.22652296509284</x:v>
      </x:c>
      <x:c r="AJ642" s="32" t="n">
        <x:f>H642*v01_CommonsCoef*AI642^v01_CommonsExp*INDEX(LM_Commons,G642)</x:f>
        <x:v>54.831790775269546</x:v>
      </x:c>
      <x:c r="AK642" s="32" t="n">
        <x:f>H642*v01_RoleScale*Arch_Roles*(AE642*(INDEX(v01_ElderRolePerSett,G642)*v01_OutElder*INDEX(LM_Elder,G642)+INDEX(v01_ShamanPerSett,G642)*v01_OutShaman)+Z642*(INDEX(v01_PriestShare,G642)*v01_OutPriest+INDEX(v01_ScribeShare,G642)*v01_OutScribe*INDEX(LM_Scribe,G642)+INDEX(v01_ScholarShare,G642)*v01_OutScholar*INDEX(LM_Scholar,G642)+INDEX(v01_ResearcherShare,G642)*v01_OutResearcher*INDEX(LM_Researcher,G642)))</x:f>
        <x:v>15</x:v>
      </x:c>
      <x:c r="AL642" s="32" t="n">
        <x:f>H642*v01_RoleScale*Arch_Roles*AE642*INDEX(v01_MonasteryPerSett,G642)*v01_OutMonastery*INDEX(LM_Monastery,G642)</x:f>
        <x:v>0</x:v>
      </x:c>
      <x:c r="AM642" s="32" t="n">
        <x:f>(AJ642+AK642+AL642)/4*INDEX(LM_All,G642)*INDEX(v01_Boon,G642)*Arch_Insight</x:f>
        <x:v>18.341756295816893</x:v>
      </x:c>
      <x:c r="AN642" s="32" t="n">
        <x:f>H642*(v01_KHPerAdult*Z642+v01_KHOfCommons*AJ642/4*INDEX(LM_All,G642))*v01_KHUsable*Arch_KH</x:f>
        <x:v>3.227803910281765</x:v>
      </x:c>
      <x:c r="AO642" s="32" t="n">
        <x:f>MIN(AP641+AN642,AM642*v01_KHMaxRatio)</x:f>
        <x:v>3.227803910281765</x:v>
      </x:c>
      <x:c r="AP642" s="32" t="n">
        <x:f>AP641+AN642-AO642</x:f>
        <x:v>0</x:v>
      </x:c>
      <x:c r="AQ642" s="32" t="n">
        <x:f>AM642+AO642</x:f>
        <x:v>21.569560206098657</x:v>
      </x:c>
      <x:c r="AR642" s="10" t="n">
        <x:f>IF(H642=1,INDEX(v01_Req,G642),0)</x:f>
        <x:v>4006.9599999999996</x:v>
      </x:c>
      <x:c r="AS642" s="32" t="n">
        <x:f>IF(H642=1,IF(E642=1,AS641-AR641,AS641)+AQ642,0)</x:f>
        <x:v>2201.765606380913</x:v>
      </x:c>
      <x:c r="AT642" s="11" t="n">
        <x:f>IF(AR642&gt;0,MIN(1,AS642/AR642),1)</x:f>
        <x:v>0.5494852971781384</x:v>
      </x:c>
      <x:c r="AU642" s="10" t="n">
        <x:f>AB642/INDEX(v01_RepScale,G642)</x:f>
        <x:v>103.47951331383975</x:v>
      </x:c>
      <x:c r="AV642" s="32" t="n">
        <x:f>AM642*60/v01_SeasonSeconds</x:f>
        <x:v>73.36702518326757</x:v>
      </x:c>
    </x:row>
    <x:row r="643">
      <x:c r="A643" s="8" t="n">
        <x:f>A642+1</x:f>
        <x:v>640</x:v>
      </x:c>
      <x:c r="B643" s="9" t="n">
        <x:f>A643*v01_SeasonSeconds/60</x:f>
        <x:v>160</x:v>
      </x:c>
      <x:c r="C643" s="9" t="n">
        <x:f>A643/4</x:f>
        <x:v>160</x:v>
      </x:c>
      <x:c r="D643" s="8" t="n">
        <x:f>IF(MOD(A643,4)=0,1,0)</x:f>
        <x:v>1</x:v>
      </x:c>
      <x:c r="E643" s="8" t="n">
        <x:f>IF(AND(F642&lt;=9,AS642&gt;=AR642),1,0)</x:f>
        <x:v>0</x:v>
      </x:c>
      <x:c r="F643" s="8" t="n">
        <x:f>MIN(10,F642+E643)</x:f>
        <x:v>2</x:v>
      </x:c>
      <x:c r="G643" s="8" t="n">
        <x:f>MIN(F643,9)+1</x:f>
        <x:v>3</x:v>
      </x:c>
      <x:c r="H643" s="8" t="n">
        <x:f>IF(F643&lt;=9,1,0)</x:f>
        <x:v>1</x:v>
      </x:c>
      <x:c r="I643" s="9" t="n">
        <x:f>MIN(10,F642+IF(AR642&gt;0,MIN(1,AS642/AR642),1))</x:f>
        <x:v>2.5494852971781383</x:v>
      </x:c>
      <x:c r="J643" s="32" t="n">
        <x:f>INDEX(v01_FoodCap,G643)*Arch_FoodCap*EXP(v01_CapsByProject*SUMPRODUCT((Cap_Point&lt;=I643)*(Cap_Kind="Food")*Cap_Ln))</x:f>
        <x:v>60</x:v>
      </x:c>
      <x:c r="K643" s="32" t="n">
        <x:f>J643*MIN(1,v01_LeanBase*EXP(v01_CapsByProject*SUMPRODUCT((Cap_Point&lt;=I643)*(Cap_Kind="Lean")*Cap_Ln)))</x:f>
        <x:v>60</x:v>
      </x:c>
      <x:c r="L643" s="10" t="n">
        <x:f>INDEX(v01_HousingCap,G643)*EXP(v01_CapsByProject*SUMPRODUCT((Cap_Point&lt;=I643)*(Cap_Kind="Housing")*Cap_Ln))</x:f>
        <x:v>100</x:v>
      </x:c>
      <x:c r="M643" s="10" t="n">
        <x:f>INDEX(v01_GroupCap,G643)*v01_CohesionFactor*EXP(v01_CapsByProject*SUMPRODUCT((Cap_Point&lt;=I643)*(Cap_Kind="Group")*Cap_Ln))</x:f>
        <x:v>500</x:v>
      </x:c>
      <x:c r="N643" s="32" t="n">
        <x:f>MIN(J643,L643,M643)</x:f>
        <x:v>60</x:v>
      </x:c>
      <x:c r="O643" s="10" t="n">
        <x:f>AE642*N643</x:f>
        <x:v>300</x:v>
      </x:c>
      <x:c r="P643" s="9" t="n">
        <x:f>MIN(1,(AB642/(AE642*IF(v01_GroupInCrowding=1,N643,MIN(J643,L643))))^v01_CrowdingExp)</x:f>
        <x:v>0.10779005920995265</x:v>
      </x:c>
      <x:c r="Q643" s="9" t="n">
        <x:f>IF(D643=1,INDEX(v01_WinterMult,G643),1)</x:f>
        <x:v>1.3</x:v>
      </x:c>
      <x:c r="R643" s="9" t="n">
        <x:f>H643*Z642*v01_WomenShare*v01_BaseFertility*INDEX(v01_FertMult,G643)*Arch_Fertility*(1-P643)</x:f>
        <x:v>3.332431108423207</x:v>
      </x:c>
      <x:c r="S643" s="9" t="n">
        <x:f>H643*Y642*INDEX(v01_MortChild,G643)/4*Q643</x:f>
        <x:v>0.9676508477528283</x:v>
      </x:c>
      <x:c r="T643" s="9" t="n">
        <x:f>H643*Z642*INDEX(v01_MortAdult,G643)*Arch_AdultMort/4*Q643</x:f>
        <x:v>0.3596695785742538</x:v>
      </x:c>
      <x:c r="U643" s="9" t="n">
        <x:f>H643*AA642*INDEX(v01_MortElder,G643)/4*Q643</x:f>
        <x:v>0.674943618590905</x:v>
      </x:c>
      <x:c r="V643" s="9" t="n">
        <x:f>H643*MAX(0,AB642-O643)*v01_OvercapLoss</x:f>
        <x:v>0</x:v>
      </x:c>
      <x:c r="W643" s="9" t="n">
        <x:f>H643*Y642/(v01_ChildYears*4)</x:f>
        <x:v>1.5190751142116612</x:v>
      </x:c>
      <x:c r="X643" s="9" t="n">
        <x:f>H643*Z642/(v01_AdultYears*4)</x:f>
        <x:v>0.743733619880591</x:v>
      </x:c>
      <x:c r="Y643" s="32" t="n">
        <x:f>Y642+R643-S643-W643-Y642*V643/AB642</x:f>
        <x:v>85.91391154231175</x:v>
      </x:c>
      <x:c r="Z643" s="32" t="n">
        <x:f>Z642+W643-X643-T643-Z642*V643/AB642</x:f>
        <x:v>92.6386407809501</x:v>
      </x:c>
      <x:c r="AA643" s="32" t="n">
        <x:f>AA642+X643-U643-AA642*V643/AB642</x:f>
        <x:v>29.73664136792287</x:v>
      </x:c>
      <x:c r="AB643" s="10" t="n">
        <x:f>Y643+Z643+AA643</x:f>
        <x:v>208.28919369118472</x:v>
      </x:c>
      <x:c r="AC643" s="8" t="n">
        <x:f>IF(AND(v01_WinterTrigger=1,D643=1,AB642/AE642&gt;=K643),1,0)</x:f>
        <x:v>0</x:v>
      </x:c>
      <x:c r="AD643" s="8" t="n">
        <x:f>H643*IF(AND(OR(AB642/AE642&gt;=v01_FissionTrigger*N643,AC643=1),AB642/AE642*v01_DaughterShare&gt;=v01_MinDaughter),MAX(1,ROUND(AE642*v01_FissionRate,0)),0)</x:f>
        <x:v>0</x:v>
      </x:c>
      <x:c r="AE643" s="8" t="n">
        <x:f>IF(H643=1,MAX(1,MIN(INDEX(v01_Smax,G643),AE642+AD643)),AE642)</x:f>
        <x:v>5</x:v>
      </x:c>
      <x:c r="AF643" s="8" t="n">
        <x:f>MAX(0,AE643-AE642)</x:f>
        <x:v>0</x:v>
      </x:c>
      <x:c r="AG643" s="9" t="str">
        <x:f>IF(AF643&gt;0,B643,"")</x:f>
      </x:c>
      <x:c r="AH643" s="9" t="n">
        <x:f>IF(F643&gt;=1,1,(1+v01_LowTiesShare*(AE643-1))/AE643)</x:f>
        <x:v>1</x:v>
      </x:c>
      <x:c r="AI643" s="32" t="n">
        <x:f>(Z643+v01_ElderCommons*INDEX(LM_Elder,G643)*AA643)*AH643</x:f>
        <x:v>181.8485648847187</x:v>
      </x:c>
      <x:c r="AJ643" s="32" t="n">
        <x:f>H643*v01_CommonsCoef*AI643^v01_CommonsExp*INDEX(LM_Commons,G643)</x:f>
        <x:v>54.99172359068726</x:v>
      </x:c>
      <x:c r="AK643" s="32" t="n">
        <x:f>H643*v01_RoleScale*Arch_Roles*(AE643*(INDEX(v01_ElderRolePerSett,G643)*v01_OutElder*INDEX(LM_Elder,G643)+INDEX(v01_ShamanPerSett,G643)*v01_OutShaman)+Z643*(INDEX(v01_PriestShare,G643)*v01_OutPriest+INDEX(v01_ScribeShare,G643)*v01_OutScribe*INDEX(LM_Scribe,G643)+INDEX(v01_ScholarShare,G643)*v01_OutScholar*INDEX(LM_Scholar,G643)+INDEX(v01_ResearcherShare,G643)*v01_OutResearcher*INDEX(LM_Researcher,G643)))</x:f>
        <x:v>15</x:v>
      </x:c>
      <x:c r="AL643" s="32" t="n">
        <x:f>H643*v01_RoleScale*Arch_Roles*AE643*INDEX(v01_MonasteryPerSett,G643)*v01_OutMonastery*INDEX(LM_Monastery,G643)</x:f>
        <x:v>0</x:v>
      </x:c>
      <x:c r="AM643" s="32" t="n">
        <x:f>(AJ643+AK643+AL643)/4*INDEX(LM_All,G643)*INDEX(v01_Boon,G643)*Arch_Insight</x:f>
        <x:v>18.383763649366447</x:v>
      </x:c>
      <x:c r="AN643" s="32" t="n">
        <x:f>H643*(v01_KHPerAdult*Z643+v01_KHOfCommons*AJ643/4*INDEX(LM_All,G643))*v01_KHUsable*Arch_KH</x:f>
        <x:v>3.242352427333253</x:v>
      </x:c>
      <x:c r="AO643" s="32" t="n">
        <x:f>MIN(AP642+AN643,AM643*v01_KHMaxRatio)</x:f>
        <x:v>3.242352427333253</x:v>
      </x:c>
      <x:c r="AP643" s="32" t="n">
        <x:f>AP642+AN643-AO643</x:f>
        <x:v>0</x:v>
      </x:c>
      <x:c r="AQ643" s="32" t="n">
        <x:f>AM643+AO643</x:f>
        <x:v>21.6261160766997</x:v>
      </x:c>
      <x:c r="AR643" s="10" t="n">
        <x:f>IF(H643=1,INDEX(v01_Req,G643),0)</x:f>
        <x:v>4006.9599999999996</x:v>
      </x:c>
      <x:c r="AS643" s="32" t="n">
        <x:f>IF(H643=1,IF(E643=1,AS642-AR642,AS642)+AQ643,0)</x:f>
        <x:v>2223.391722457613</x:v>
      </x:c>
      <x:c r="AT643" s="11" t="n">
        <x:f>IF(AR643&gt;0,MIN(1,AS643/AR643),1)</x:f>
        <x:v>0.554882435177195</x:v>
      </x:c>
      <x:c r="AU643" s="10" t="n">
        <x:f>AB643/INDEX(v01_RepScale,G643)</x:f>
        <x:v>104.14459684559236</x:v>
      </x:c>
      <x:c r="AV643" s="32" t="n">
        <x:f>AM643*60/v01_SeasonSeconds</x:f>
        <x:v>73.53505459746579</x:v>
      </x:c>
    </x:row>
    <x:row r="644">
      <x:c r="A644" s="8" t="n">
        <x:f>A643+1</x:f>
        <x:v>641</x:v>
      </x:c>
      <x:c r="B644" s="9" t="n">
        <x:f>A644*v01_SeasonSeconds/60</x:f>
        <x:v>160.25</x:v>
      </x:c>
      <x:c r="C644" s="9" t="n">
        <x:f>A644/4</x:f>
        <x:v>160.25</x:v>
      </x:c>
      <x:c r="D644" s="8" t="n">
        <x:f>IF(MOD(A644,4)=0,1,0)</x:f>
        <x:v>0</x:v>
      </x:c>
      <x:c r="E644" s="8" t="n">
        <x:f>IF(AND(F643&lt;=9,AS643&gt;=AR643),1,0)</x:f>
        <x:v>0</x:v>
      </x:c>
      <x:c r="F644" s="8" t="n">
        <x:f>MIN(10,F643+E644)</x:f>
        <x:v>2</x:v>
      </x:c>
      <x:c r="G644" s="8" t="n">
        <x:f>MIN(F644,9)+1</x:f>
        <x:v>3</x:v>
      </x:c>
      <x:c r="H644" s="8" t="n">
        <x:f>IF(F644&lt;=9,1,0)</x:f>
        <x:v>1</x:v>
      </x:c>
      <x:c r="I644" s="9" t="n">
        <x:f>MIN(10,F643+IF(AR643&gt;0,MIN(1,AS643/AR643),1))</x:f>
        <x:v>2.554882435177195</x:v>
      </x:c>
      <x:c r="J644" s="32" t="n">
        <x:f>INDEX(v01_FoodCap,G644)*Arch_FoodCap*EXP(v01_CapsByProject*SUMPRODUCT((Cap_Point&lt;=I644)*(Cap_Kind="Food")*Cap_Ln))</x:f>
        <x:v>60</x:v>
      </x:c>
      <x:c r="K644" s="32" t="n">
        <x:f>J644*MIN(1,v01_LeanBase*EXP(v01_CapsByProject*SUMPRODUCT((Cap_Point&lt;=I644)*(Cap_Kind="Lean")*Cap_Ln)))</x:f>
        <x:v>60</x:v>
      </x:c>
      <x:c r="L644" s="10" t="n">
        <x:f>INDEX(v01_HousingCap,G644)*EXP(v01_CapsByProject*SUMPRODUCT((Cap_Point&lt;=I644)*(Cap_Kind="Housing")*Cap_Ln))</x:f>
        <x:v>100</x:v>
      </x:c>
      <x:c r="M644" s="10" t="n">
        <x:f>INDEX(v01_GroupCap,G644)*v01_CohesionFactor*EXP(v01_CapsByProject*SUMPRODUCT((Cap_Point&lt;=I644)*(Cap_Kind="Group")*Cap_Ln))</x:f>
        <x:v>500</x:v>
      </x:c>
      <x:c r="N644" s="32" t="n">
        <x:f>MIN(J644,L644,M644)</x:f>
        <x:v>60</x:v>
      </x:c>
      <x:c r="O644" s="10" t="n">
        <x:f>AE643*N644</x:f>
        <x:v>300</x:v>
      </x:c>
      <x:c r="P644" s="9" t="n">
        <x:f>MIN(1,(AB643/(AE643*IF(v01_GroupInCrowding=1,N644,MIN(J644,L644))))^v01_CrowdingExp)</x:f>
        <x:v>0.11201415430963858</x:v>
      </x:c>
      <x:c r="Q644" s="9" t="n">
        <x:f>IF(D644=1,INDEX(v01_WinterMult,G644),1)</x:f>
        <x:v>1</x:v>
      </x:c>
      <x:c r="R644" s="9" t="n">
        <x:f>H644*Z643*v01_WomenShare*v01_BaseFertility*INDEX(v01_FertMult,G644)*Arch_Fertility*(1-P644)</x:f>
        <x:v>3.331602971987842</x:v>
      </x:c>
      <x:c r="S644" s="9" t="n">
        <x:f>H644*Y643*INDEX(v01_MortChild,G644)/4*Q644</x:f>
        <x:v>0.7517467259952278</x:v>
      </x:c>
      <x:c r="T644" s="9" t="n">
        <x:f>H644*Z643*INDEX(v01_MortAdult,G644)*Arch_AdultMort/4*Q644</x:f>
        <x:v>0.2779159223428503</x:v>
      </x:c>
      <x:c r="U644" s="9" t="n">
        <x:f>H644*AA643*INDEX(v01_MortElder,G644)/4*Q644</x:f>
        <x:v>0.5203912239386503</x:v>
      </x:c>
      <x:c r="V644" s="9" t="n">
        <x:f>H644*MAX(0,AB643-O644)*v01_OvercapLoss</x:f>
        <x:v>0</x:v>
      </x:c>
      <x:c r="W644" s="9" t="n">
        <x:f>H644*Y643/(v01_ChildYears*4)</x:f>
        <x:v>1.5341769918269956</x:v>
      </x:c>
      <x:c r="X644" s="9" t="n">
        <x:f>H644*Z643/(v01_AdultYears*4)</x:f>
        <x:v>0.7470858127495975</x:v>
      </x:c>
      <x:c r="Y644" s="32" t="n">
        <x:f>Y643+R644-S644-W644-Y643*V644/AB643</x:f>
        <x:v>86.95959079647737</x:v>
      </x:c>
      <x:c r="Z644" s="32" t="n">
        <x:f>Z643+W644-X644-T644-Z643*V644/AB643</x:f>
        <x:v>93.14781603768463</x:v>
      </x:c>
      <x:c r="AA644" s="32" t="n">
        <x:f>AA643+X644-U644-AA643*V644/AB643</x:f>
        <x:v>29.963335956733818</x:v>
      </x:c>
      <x:c r="AB644" s="10" t="n">
        <x:f>Y644+Z644+AA644</x:f>
        <x:v>210.07074279089585</x:v>
      </x:c>
      <x:c r="AC644" s="8" t="n">
        <x:f>IF(AND(v01_WinterTrigger=1,D644=1,AB643/AE643&gt;=K644),1,0)</x:f>
        <x:v>0</x:v>
      </x:c>
      <x:c r="AD644" s="8" t="n">
        <x:f>H644*IF(AND(OR(AB643/AE643&gt;=v01_FissionTrigger*N644,AC644=1),AB643/AE643*v01_DaughterShare&gt;=v01_MinDaughter),MAX(1,ROUND(AE643*v01_FissionRate,0)),0)</x:f>
        <x:v>0</x:v>
      </x:c>
      <x:c r="AE644" s="8" t="n">
        <x:f>IF(H644=1,MAX(1,MIN(INDEX(v01_Smax,G644),AE643+AD644)),AE643)</x:f>
        <x:v>5</x:v>
      </x:c>
      <x:c r="AF644" s="8" t="n">
        <x:f>MAX(0,AE644-AE643)</x:f>
        <x:v>0</x:v>
      </x:c>
      <x:c r="AG644" s="9" t="str">
        <x:f>IF(AF644&gt;0,B644,"")</x:f>
      </x:c>
      <x:c r="AH644" s="9" t="n">
        <x:f>IF(F644&gt;=1,1,(1+v01_LowTiesShare*(AE644-1))/AE644)</x:f>
        <x:v>1</x:v>
      </x:c>
      <x:c r="AI644" s="32" t="n">
        <x:f>(Z644+v01_ElderCommons*INDEX(LM_Elder,G644)*AA644)*AH644</x:f>
        <x:v>183.0378239078861</x:v>
      </x:c>
      <x:c r="AJ644" s="32" t="n">
        <x:f>H644*v01_CommonsCoef*AI644^v01_CommonsExp*INDEX(LM_Commons,G644)</x:f>
        <x:v>55.2972651557953</x:v>
      </x:c>
      <x:c r="AK644" s="32" t="n">
        <x:f>H644*v01_RoleScale*Arch_Roles*(AE644*(INDEX(v01_ElderRolePerSett,G644)*v01_OutElder*INDEX(LM_Elder,G644)+INDEX(v01_ShamanPerSett,G644)*v01_OutShaman)+Z644*(INDEX(v01_PriestShare,G644)*v01_OutPriest+INDEX(v01_ScribeShare,G644)*v01_OutScribe*INDEX(LM_Scribe,G644)+INDEX(v01_ScholarShare,G644)*v01_OutScholar*INDEX(LM_Scholar,G644)+INDEX(v01_ResearcherShare,G644)*v01_OutResearcher*INDEX(LM_Researcher,G644)))</x:f>
        <x:v>15</x:v>
      </x:c>
      <x:c r="AL644" s="32" t="n">
        <x:f>H644*v01_RoleScale*Arch_Roles*AE644*INDEX(v01_MonasteryPerSett,G644)*v01_OutMonastery*INDEX(LM_Monastery,G644)</x:f>
        <x:v>0</x:v>
      </x:c>
      <x:c r="AM644" s="32" t="n">
        <x:f>(AJ644+AK644+AL644)/4*INDEX(LM_All,G644)*INDEX(v01_Boon,G644)*Arch_Insight</x:f>
        <x:v>18.464016051076857</x:v>
      </x:c>
      <x:c r="AN644" s="32" t="n">
        <x:f>H644*(v01_KHPerAdult*Z644+v01_KHOfCommons*AJ644/4*INDEX(LM_All,G644))*v01_KHUsable*Arch_KH</x:f>
        <x:v>3.2601735613189624</x:v>
      </x:c>
      <x:c r="AO644" s="32" t="n">
        <x:f>MIN(AP643+AN644,AM644*v01_KHMaxRatio)</x:f>
        <x:v>3.2601735613189624</x:v>
      </x:c>
      <x:c r="AP644" s="32" t="n">
        <x:f>AP643+AN644-AO644</x:f>
        <x:v>0</x:v>
      </x:c>
      <x:c r="AQ644" s="32" t="n">
        <x:f>AM644+AO644</x:f>
        <x:v>21.72418961239582</x:v>
      </x:c>
      <x:c r="AR644" s="10" t="n">
        <x:f>IF(H644=1,INDEX(v01_Req,G644),0)</x:f>
        <x:v>4006.9599999999996</x:v>
      </x:c>
      <x:c r="AS644" s="32" t="n">
        <x:f>IF(H644=1,IF(E644=1,AS643-AR643,AS643)+AQ644,0)</x:f>
        <x:v>2245.115912070009</x:v>
      </x:c>
      <x:c r="AT644" s="11" t="n">
        <x:f>IF(AR644&gt;0,MIN(1,AS644/AR644),1)</x:f>
        <x:v>0.5603040489722906</x:v>
      </x:c>
      <x:c r="AU644" s="10" t="n">
        <x:f>AB644/INDEX(v01_RepScale,G644)</x:f>
        <x:v>105.03537139544792</x:v>
      </x:c>
      <x:c r="AV644" s="32" t="n">
        <x:f>AM644*60/v01_SeasonSeconds</x:f>
        <x:v>73.85606420430743</x:v>
      </x:c>
    </x:row>
    <x:row r="645">
      <x:c r="A645" s="8" t="n">
        <x:f>A644+1</x:f>
        <x:v>642</x:v>
      </x:c>
      <x:c r="B645" s="9" t="n">
        <x:f>A645*v01_SeasonSeconds/60</x:f>
        <x:v>160.5</x:v>
      </x:c>
      <x:c r="C645" s="9" t="n">
        <x:f>A645/4</x:f>
        <x:v>160.5</x:v>
      </x:c>
      <x:c r="D645" s="8" t="n">
        <x:f>IF(MOD(A645,4)=0,1,0)</x:f>
        <x:v>0</x:v>
      </x:c>
      <x:c r="E645" s="8" t="n">
        <x:f>IF(AND(F644&lt;=9,AS644&gt;=AR644),1,0)</x:f>
        <x:v>0</x:v>
      </x:c>
      <x:c r="F645" s="8" t="n">
        <x:f>MIN(10,F644+E645)</x:f>
        <x:v>2</x:v>
      </x:c>
      <x:c r="G645" s="8" t="n">
        <x:f>MIN(F645,9)+1</x:f>
        <x:v>3</x:v>
      </x:c>
      <x:c r="H645" s="8" t="n">
        <x:f>IF(F645&lt;=9,1,0)</x:f>
        <x:v>1</x:v>
      </x:c>
      <x:c r="I645" s="9" t="n">
        <x:f>MIN(10,F644+IF(AR644&gt;0,MIN(1,AS644/AR644),1))</x:f>
        <x:v>2.5603040489722906</x:v>
      </x:c>
      <x:c r="J645" s="32" t="n">
        <x:f>INDEX(v01_FoodCap,G645)*Arch_FoodCap*EXP(v01_CapsByProject*SUMPRODUCT((Cap_Point&lt;=I645)*(Cap_Kind="Food")*Cap_Ln))</x:f>
        <x:v>60</x:v>
      </x:c>
      <x:c r="K645" s="32" t="n">
        <x:f>J645*MIN(1,v01_LeanBase*EXP(v01_CapsByProject*SUMPRODUCT((Cap_Point&lt;=I645)*(Cap_Kind="Lean")*Cap_Ln)))</x:f>
        <x:v>60</x:v>
      </x:c>
      <x:c r="L645" s="10" t="n">
        <x:f>INDEX(v01_HousingCap,G645)*EXP(v01_CapsByProject*SUMPRODUCT((Cap_Point&lt;=I645)*(Cap_Kind="Housing")*Cap_Ln))</x:f>
        <x:v>100</x:v>
      </x:c>
      <x:c r="M645" s="10" t="n">
        <x:f>INDEX(v01_GroupCap,G645)*v01_CohesionFactor*EXP(v01_CapsByProject*SUMPRODUCT((Cap_Point&lt;=I645)*(Cap_Kind="Group")*Cap_Ln))</x:f>
        <x:v>500</x:v>
      </x:c>
      <x:c r="N645" s="32" t="n">
        <x:f>MIN(J645,L645,M645)</x:f>
        <x:v>60</x:v>
      </x:c>
      <x:c r="O645" s="10" t="n">
        <x:f>AE644*N645</x:f>
        <x:v>300</x:v>
      </x:c>
      <x:c r="P645" s="9" t="n">
        <x:f>MIN(1,(AB644/(AE644*IF(v01_GroupInCrowding=1,N645,MIN(J645,L645))))^v01_CrowdingExp)</x:f>
        <x:v>0.11788699517239878</x:v>
      </x:c>
      <x:c r="Q645" s="9" t="n">
        <x:f>IF(D645=1,INDEX(v01_WinterMult,G645),1)</x:f>
        <x:v>1</x:v>
      </x:c>
      <x:c r="R645" s="9" t="n">
        <x:f>H645*Z644*v01_WomenShare*v01_BaseFertility*INDEX(v01_FertMult,G645)*Arch_Fertility*(1-P645)</x:f>
        <x:v>3.3277594458742903</x:v>
      </x:c>
      <x:c r="S645" s="9" t="n">
        <x:f>H645*Y644*INDEX(v01_MortChild,G645)/4*Q645</x:f>
        <x:v>0.7608964194691771</x:v>
      </x:c>
      <x:c r="T645" s="9" t="n">
        <x:f>H645*Z644*INDEX(v01_MortAdult,G645)*Arch_AdultMort/4*Q645</x:f>
        <x:v>0.2794434481130539</x:v>
      </x:c>
      <x:c r="U645" s="9" t="n">
        <x:f>H645*AA644*INDEX(v01_MortElder,G645)/4*Q645</x:f>
        <x:v>0.5243583792428419</x:v>
      </x:c>
      <x:c r="V645" s="9" t="n">
        <x:f>H645*MAX(0,AB644-O645)*v01_OvercapLoss</x:f>
        <x:v>0</x:v>
      </x:c>
      <x:c r="W645" s="9" t="n">
        <x:f>H645*Y644/(v01_ChildYears*4)</x:f>
        <x:v>1.5528498356513816</x:v>
      </x:c>
      <x:c r="X645" s="9" t="n">
        <x:f>H645*Z644/(v01_AdultYears*4)</x:f>
        <x:v>0.7511920648200374</x:v>
      </x:c>
      <x:c r="Y645" s="32" t="n">
        <x:f>Y644+R645-S645-W645-Y644*V645/AB644</x:f>
        <x:v>87.9736039872311</x:v>
      </x:c>
      <x:c r="Z645" s="32" t="n">
        <x:f>Z644+W645-X645-T645-Z644*V645/AB644</x:f>
        <x:v>93.67003036040293</x:v>
      </x:c>
      <x:c r="AA645" s="32" t="n">
        <x:f>AA644+X645-U645-AA644*V645/AB644</x:f>
        <x:v>30.190169642311016</x:v>
      </x:c>
      <x:c r="AB645" s="10" t="n">
        <x:f>Y645+Z645+AA645</x:f>
        <x:v>211.83380398994504</x:v>
      </x:c>
      <x:c r="AC645" s="8" t="n">
        <x:f>IF(AND(v01_WinterTrigger=1,D645=1,AB644/AE644&gt;=K645),1,0)</x:f>
        <x:v>0</x:v>
      </x:c>
      <x:c r="AD645" s="8" t="n">
        <x:f>H645*IF(AND(OR(AB644/AE644&gt;=v01_FissionTrigger*N645,AC645=1),AB644/AE644*v01_DaughterShare&gt;=v01_MinDaughter),MAX(1,ROUND(AE644*v01_FissionRate,0)),0)</x:f>
        <x:v>0</x:v>
      </x:c>
      <x:c r="AE645" s="8" t="n">
        <x:f>IF(H645=1,MAX(1,MIN(INDEX(v01_Smax,G645),AE644+AD645)),AE644)</x:f>
        <x:v>5</x:v>
      </x:c>
      <x:c r="AF645" s="8" t="n">
        <x:f>MAX(0,AE645-AE644)</x:f>
        <x:v>0</x:v>
      </x:c>
      <x:c r="AG645" s="9" t="str">
        <x:f>IF(AF645&gt;0,B645,"")</x:f>
      </x:c>
      <x:c r="AH645" s="9" t="n">
        <x:f>IF(F645&gt;=1,1,(1+v01_LowTiesShare*(AE645-1))/AE645)</x:f>
        <x:v>1</x:v>
      </x:c>
      <x:c r="AI645" s="32" t="n">
        <x:f>(Z645+v01_ElderCommons*INDEX(LM_Elder,G645)*AA645)*AH645</x:f>
        <x:v>184.240539287336</x:v>
      </x:c>
      <x:c r="AJ645" s="32" t="n">
        <x:f>H645*v01_CommonsCoef*AI645^v01_CommonsExp*INDEX(LM_Commons,G645)</x:f>
        <x:v>55.60596119507082</x:v>
      </x:c>
      <x:c r="AK645" s="32" t="n">
        <x:f>H645*v01_RoleScale*Arch_Roles*(AE645*(INDEX(v01_ElderRolePerSett,G645)*v01_OutElder*INDEX(LM_Elder,G645)+INDEX(v01_ShamanPerSett,G645)*v01_OutShaman)+Z645*(INDEX(v01_PriestShare,G645)*v01_OutPriest+INDEX(v01_ScribeShare,G645)*v01_OutScribe*INDEX(LM_Scribe,G645)+INDEX(v01_ScholarShare,G645)*v01_OutScholar*INDEX(LM_Scholar,G645)+INDEX(v01_ResearcherShare,G645)*v01_OutResearcher*INDEX(LM_Researcher,G645)))</x:f>
        <x:v>15</x:v>
      </x:c>
      <x:c r="AL645" s="32" t="n">
        <x:f>H645*v01_RoleScale*Arch_Roles*AE645*INDEX(v01_MonasteryPerSett,G645)*v01_OutMonastery*INDEX(LM_Monastery,G645)</x:f>
        <x:v>0</x:v>
      </x:c>
      <x:c r="AM645" s="32" t="n">
        <x:f>(AJ645+AK645+AL645)/4*INDEX(LM_All,G645)*INDEX(v01_Boon,G645)*Arch_Insight</x:f>
        <x:v>18.545096995142817</x:v>
      </x:c>
      <x:c r="AN645" s="32" t="n">
        <x:f>H645*(v01_KHPerAdult*Z645+v01_KHOfCommons*AJ645/4*INDEX(LM_All,G645))*v01_KHUsable*Arch_KH</x:f>
        <x:v>3.2784510626141024</x:v>
      </x:c>
      <x:c r="AO645" s="32" t="n">
        <x:f>MIN(AP644+AN645,AM645*v01_KHMaxRatio)</x:f>
        <x:v>3.2784510626141024</x:v>
      </x:c>
      <x:c r="AP645" s="32" t="n">
        <x:f>AP644+AN645-AO645</x:f>
        <x:v>0</x:v>
      </x:c>
      <x:c r="AQ645" s="32" t="n">
        <x:f>AM645+AO645</x:f>
        <x:v>21.82354805775692</x:v>
      </x:c>
      <x:c r="AR645" s="10" t="n">
        <x:f>IF(H645=1,INDEX(v01_Req,G645),0)</x:f>
        <x:v>4006.9599999999996</x:v>
      </x:c>
      <x:c r="AS645" s="32" t="n">
        <x:f>IF(H645=1,IF(E645=1,AS644-AR644,AS644)+AQ645,0)</x:f>
        <x:v>2266.939460127766</x:v>
      </x:c>
      <x:c r="AT645" s="11" t="n">
        <x:f>IF(AR645&gt;0,MIN(1,AS645/AR645),1)</x:f>
        <x:v>0.5657504592328764</x:v>
      </x:c>
      <x:c r="AU645" s="10" t="n">
        <x:f>AB645/INDEX(v01_RepScale,G645)</x:f>
        <x:v>105.91690199497252</x:v>
      </x:c>
      <x:c r="AV645" s="32" t="n">
        <x:f>AM645*60/v01_SeasonSeconds</x:f>
        <x:v>74.18038798057127</x:v>
      </x:c>
    </x:row>
    <x:row r="646">
      <x:c r="A646" s="8" t="n">
        <x:f>A645+1</x:f>
        <x:v>643</x:v>
      </x:c>
      <x:c r="B646" s="9" t="n">
        <x:f>A646*v01_SeasonSeconds/60</x:f>
        <x:v>160.75</x:v>
      </x:c>
      <x:c r="C646" s="9" t="n">
        <x:f>A646/4</x:f>
        <x:v>160.75</x:v>
      </x:c>
      <x:c r="D646" s="8" t="n">
        <x:f>IF(MOD(A646,4)=0,1,0)</x:f>
        <x:v>0</x:v>
      </x:c>
      <x:c r="E646" s="8" t="n">
        <x:f>IF(AND(F645&lt;=9,AS645&gt;=AR645),1,0)</x:f>
        <x:v>0</x:v>
      </x:c>
      <x:c r="F646" s="8" t="n">
        <x:f>MIN(10,F645+E646)</x:f>
        <x:v>2</x:v>
      </x:c>
      <x:c r="G646" s="8" t="n">
        <x:f>MIN(F646,9)+1</x:f>
        <x:v>3</x:v>
      </x:c>
      <x:c r="H646" s="8" t="n">
        <x:f>IF(F646&lt;=9,1,0)</x:f>
        <x:v>1</x:v>
      </x:c>
      <x:c r="I646" s="9" t="n">
        <x:f>MIN(10,F645+IF(AR645&gt;0,MIN(1,AS645/AR645),1))</x:f>
        <x:v>2.565750459232876</x:v>
      </x:c>
      <x:c r="J646" s="32" t="n">
        <x:f>INDEX(v01_FoodCap,G646)*Arch_FoodCap*EXP(v01_CapsByProject*SUMPRODUCT((Cap_Point&lt;=I646)*(Cap_Kind="Food")*Cap_Ln))</x:f>
        <x:v>60</x:v>
      </x:c>
      <x:c r="K646" s="32" t="n">
        <x:f>J646*MIN(1,v01_LeanBase*EXP(v01_CapsByProject*SUMPRODUCT((Cap_Point&lt;=I646)*(Cap_Kind="Lean")*Cap_Ln)))</x:f>
        <x:v>60</x:v>
      </x:c>
      <x:c r="L646" s="10" t="n">
        <x:f>INDEX(v01_HousingCap,G646)*EXP(v01_CapsByProject*SUMPRODUCT((Cap_Point&lt;=I646)*(Cap_Kind="Housing")*Cap_Ln))</x:f>
        <x:v>100</x:v>
      </x:c>
      <x:c r="M646" s="10" t="n">
        <x:f>INDEX(v01_GroupCap,G646)*v01_CohesionFactor*EXP(v01_CapsByProject*SUMPRODUCT((Cap_Point&lt;=I646)*(Cap_Kind="Group")*Cap_Ln))</x:f>
        <x:v>500</x:v>
      </x:c>
      <x:c r="N646" s="32" t="n">
        <x:f>MIN(J646,L646,M646)</x:f>
        <x:v>60</x:v>
      </x:c>
      <x:c r="O646" s="10" t="n">
        <x:f>AE645*N646</x:f>
        <x:v>300</x:v>
      </x:c>
      <x:c r="P646" s="9" t="n">
        <x:f>MIN(1,(AB645/(AE645*IF(v01_GroupInCrowding=1,N646,MIN(J646,L646))))^v01_CrowdingExp)</x:f>
        <x:v>0.12394929537944228</x:v>
      </x:c>
      <x:c r="Q646" s="9" t="n">
        <x:f>IF(D646=1,INDEX(v01_WinterMult,G646),1)</x:f>
        <x:v>1</x:v>
      </x:c>
      <x:c r="R646" s="9" t="n">
        <x:f>H646*Z645*v01_WomenShare*v01_BaseFertility*INDEX(v01_FertMult,G646)*Arch_Fertility*(1-P646)</x:f>
        <x:v>3.3234176920119305</x:v>
      </x:c>
      <x:c r="S646" s="9" t="n">
        <x:f>H646*Y645*INDEX(v01_MortChild,G646)/4*Q646</x:f>
        <x:v>0.7697690348882722</x:v>
      </x:c>
      <x:c r="T646" s="9" t="n">
        <x:f>H646*Z645*INDEX(v01_MortAdult,G646)*Arch_AdultMort/4*Q646</x:f>
        <x:v>0.2810100910812088</x:v>
      </x:c>
      <x:c r="U646" s="9" t="n">
        <x:f>H646*AA645*INDEX(v01_MortElder,G646)/4*Q646</x:f>
        <x:v>0.5283279687404429</x:v>
      </x:c>
      <x:c r="V646" s="9" t="n">
        <x:f>H646*MAX(0,AB645-O646)*v01_OvercapLoss</x:f>
        <x:v>0</x:v>
      </x:c>
      <x:c r="W646" s="9" t="n">
        <x:f>H646*Y645/(v01_ChildYears*4)</x:f>
        <x:v>1.5709572140576982</x:v>
      </x:c>
      <x:c r="X646" s="9" t="n">
        <x:f>H646*Z645/(v01_AdultYears*4)</x:f>
        <x:v>0.7554034706484107</x:v>
      </x:c>
      <x:c r="Y646" s="32" t="n">
        <x:f>Y645+R646-S646-W646-Y645*V646/AB645</x:f>
        <x:v>88.95629543029706</x:v>
      </x:c>
      <x:c r="Z646" s="32" t="n">
        <x:f>Z645+W646-X646-T646-Z645*V646/AB645</x:f>
        <x:v>94.204574012731</x:v>
      </x:c>
      <x:c r="AA646" s="32" t="n">
        <x:f>AA645+X646-U646-AA645*V646/AB645</x:f>
        <x:v>30.417245144218985</x:v>
      </x:c>
      <x:c r="AB646" s="10" t="n">
        <x:f>Y646+Z646+AA646</x:f>
        <x:v>213.57811458724703</x:v>
      </x:c>
      <x:c r="AC646" s="8" t="n">
        <x:f>IF(AND(v01_WinterTrigger=1,D646=1,AB645/AE645&gt;=K646),1,0)</x:f>
        <x:v>0</x:v>
      </x:c>
      <x:c r="AD646" s="8" t="n">
        <x:f>H646*IF(AND(OR(AB645/AE645&gt;=v01_FissionTrigger*N646,AC646=1),AB645/AE645*v01_DaughterShare&gt;=v01_MinDaughter),MAX(1,ROUND(AE645*v01_FissionRate,0)),0)</x:f>
        <x:v>0</x:v>
      </x:c>
      <x:c r="AE646" s="8" t="n">
        <x:f>IF(H646=1,MAX(1,MIN(INDEX(v01_Smax,G646),AE645+AD646)),AE645)</x:f>
        <x:v>5</x:v>
      </x:c>
      <x:c r="AF646" s="8" t="n">
        <x:f>MAX(0,AE646-AE645)</x:f>
        <x:v>0</x:v>
      </x:c>
      <x:c r="AG646" s="9" t="str">
        <x:f>IF(AF646&gt;0,B646,"")</x:f>
      </x:c>
      <x:c r="AH646" s="9" t="n">
        <x:f>IF(F646&gt;=1,1,(1+v01_LowTiesShare*(AE646-1))/AE646)</x:f>
        <x:v>1</x:v>
      </x:c>
      <x:c r="AI646" s="32" t="n">
        <x:f>(Z646+v01_ElderCommons*INDEX(LM_Elder,G646)*AA646)*AH646</x:f>
        <x:v>185.45630944538794</x:v>
      </x:c>
      <x:c r="AJ646" s="32" t="n">
        <x:f>H646*v01_CommonsCoef*AI646^v01_CommonsExp*INDEX(LM_Commons,G646)</x:f>
        <x:v>55.917700894577735</x:v>
      </x:c>
      <x:c r="AK646" s="32" t="n">
        <x:f>H646*v01_RoleScale*Arch_Roles*(AE646*(INDEX(v01_ElderRolePerSett,G646)*v01_OutElder*INDEX(LM_Elder,G646)+INDEX(v01_ShamanPerSett,G646)*v01_OutShaman)+Z646*(INDEX(v01_PriestShare,G646)*v01_OutPriest+INDEX(v01_ScribeShare,G646)*v01_OutScribe*INDEX(LM_Scribe,G646)+INDEX(v01_ScholarShare,G646)*v01_OutScholar*INDEX(LM_Scholar,G646)+INDEX(v01_ResearcherShare,G646)*v01_OutResearcher*INDEX(LM_Researcher,G646)))</x:f>
        <x:v>15</x:v>
      </x:c>
      <x:c r="AL646" s="32" t="n">
        <x:f>H646*v01_RoleScale*Arch_Roles*AE646*INDEX(v01_MonasteryPerSett,G646)*v01_OutMonastery*INDEX(LM_Monastery,G646)</x:f>
        <x:v>0</x:v>
      </x:c>
      <x:c r="AM646" s="32" t="n">
        <x:f>(AJ646+AK646+AL646)/4*INDEX(LM_All,G646)*INDEX(v01_Boon,G646)*Arch_Insight</x:f>
        <x:v>18.62697737559143</x:v>
      </x:c>
      <x:c r="AN646" s="32" t="n">
        <x:f>H646*(v01_KHPerAdult*Z646+v01_KHOfCommons*AJ646/4*INDEX(LM_All,G646))*v01_KHUsable*Arch_KH</x:f>
        <x:v>3.297160090445585</x:v>
      </x:c>
      <x:c r="AO646" s="32" t="n">
        <x:f>MIN(AP645+AN646,AM646*v01_KHMaxRatio)</x:f>
        <x:v>3.297160090445585</x:v>
      </x:c>
      <x:c r="AP646" s="32" t="n">
        <x:f>AP645+AN646-AO646</x:f>
        <x:v>0</x:v>
      </x:c>
      <x:c r="AQ646" s="32" t="n">
        <x:f>AM646+AO646</x:f>
        <x:v>21.924137466037017</x:v>
      </x:c>
      <x:c r="AR646" s="10" t="n">
        <x:f>IF(H646=1,INDEX(v01_Req,G646),0)</x:f>
        <x:v>4006.9599999999996</x:v>
      </x:c>
      <x:c r="AS646" s="32" t="n">
        <x:f>IF(H646=1,IF(E646=1,AS645-AR645,AS645)+AQ646,0)</x:f>
        <x:v>2288.8635975938028</x:v>
      </x:c>
      <x:c r="AT646" s="11" t="n">
        <x:f>IF(AR646&gt;0,MIN(1,AS646/AR646),1)</x:f>
        <x:v>0.5712219731651434</x:v>
      </x:c>
      <x:c r="AU646" s="10" t="n">
        <x:f>AB646/INDEX(v01_RepScale,G646)</x:f>
        <x:v>106.78905729362351</x:v>
      </x:c>
      <x:c r="AV646" s="32" t="n">
        <x:f>AM646*60/v01_SeasonSeconds</x:f>
        <x:v>74.50790950236572</x:v>
      </x:c>
    </x:row>
    <x:row r="647">
      <x:c r="A647" s="8" t="n">
        <x:f>A646+1</x:f>
        <x:v>644</x:v>
      </x:c>
      <x:c r="B647" s="9" t="n">
        <x:f>A647*v01_SeasonSeconds/60</x:f>
        <x:v>161</x:v>
      </x:c>
      <x:c r="C647" s="9" t="n">
        <x:f>A647/4</x:f>
        <x:v>161</x:v>
      </x:c>
      <x:c r="D647" s="8" t="n">
        <x:f>IF(MOD(A647,4)=0,1,0)</x:f>
        <x:v>1</x:v>
      </x:c>
      <x:c r="E647" s="8" t="n">
        <x:f>IF(AND(F646&lt;=9,AS646&gt;=AR646),1,0)</x:f>
        <x:v>0</x:v>
      </x:c>
      <x:c r="F647" s="8" t="n">
        <x:f>MIN(10,F646+E647)</x:f>
        <x:v>2</x:v>
      </x:c>
      <x:c r="G647" s="8" t="n">
        <x:f>MIN(F647,9)+1</x:f>
        <x:v>3</x:v>
      </x:c>
      <x:c r="H647" s="8" t="n">
        <x:f>IF(F647&lt;=9,1,0)</x:f>
        <x:v>1</x:v>
      </x:c>
      <x:c r="I647" s="9" t="n">
        <x:f>MIN(10,F646+IF(AR646&gt;0,MIN(1,AS646/AR646),1))</x:f>
        <x:v>2.5712219731651436</x:v>
      </x:c>
      <x:c r="J647" s="32" t="n">
        <x:f>INDEX(v01_FoodCap,G647)*Arch_FoodCap*EXP(v01_CapsByProject*SUMPRODUCT((Cap_Point&lt;=I647)*(Cap_Kind="Food")*Cap_Ln))</x:f>
        <x:v>60</x:v>
      </x:c>
      <x:c r="K647" s="32" t="n">
        <x:f>J647*MIN(1,v01_LeanBase*EXP(v01_CapsByProject*SUMPRODUCT((Cap_Point&lt;=I647)*(Cap_Kind="Lean")*Cap_Ln)))</x:f>
        <x:v>60</x:v>
      </x:c>
      <x:c r="L647" s="10" t="n">
        <x:f>INDEX(v01_HousingCap,G647)*EXP(v01_CapsByProject*SUMPRODUCT((Cap_Point&lt;=I647)*(Cap_Kind="Housing")*Cap_Ln))</x:f>
        <x:v>100</x:v>
      </x:c>
      <x:c r="M647" s="10" t="n">
        <x:f>INDEX(v01_GroupCap,G647)*v01_CohesionFactor*EXP(v01_CapsByProject*SUMPRODUCT((Cap_Point&lt;=I647)*(Cap_Kind="Group")*Cap_Ln))</x:f>
        <x:v>500</x:v>
      </x:c>
      <x:c r="N647" s="32" t="n">
        <x:f>MIN(J647,L647,M647)</x:f>
        <x:v>60</x:v>
      </x:c>
      <x:c r="O647" s="10" t="n">
        <x:f>AE646*N647</x:f>
        <x:v>300</x:v>
      </x:c>
      <x:c r="P647" s="9" t="n">
        <x:f>MIN(1,(AB646/(AE646*IF(v01_GroupInCrowding=1,N647,MIN(J647,L647))))^v01_CrowdingExp)</x:f>
        <x:v>0.13020059286774288</x:v>
      </x:c>
      <x:c r="Q647" s="9" t="n">
        <x:f>IF(D647=1,INDEX(v01_WinterMult,G647),1)</x:f>
        <x:v>1.3</x:v>
      </x:c>
      <x:c r="R647" s="9" t="n">
        <x:f>H647*Z646*v01_WomenShare*v01_BaseFertility*INDEX(v01_FertMult,G647)*Arch_Fertility*(1-P647)</x:f>
        <x:v>3.31853284632952</x:v>
      </x:c>
      <x:c r="S647" s="9" t="n">
        <x:f>H647*Y646*INDEX(v01_MortChild,G647)/4*Q647</x:f>
        <x:v>1.0118778605196292</x:v>
      </x:c>
      <x:c r="T647" s="9" t="n">
        <x:f>H647*Z646*INDEX(v01_MortAdult,G647)*Arch_AdultMort/4*Q647</x:f>
        <x:v>0.3673978386496509</x:v>
      </x:c>
      <x:c r="U647" s="9" t="n">
        <x:f>H647*AA646*INDEX(v01_MortElder,G647)/4*Q647</x:f>
        <x:v>0.691992327030982</x:v>
      </x:c>
      <x:c r="V647" s="9" t="n">
        <x:f>H647*MAX(0,AB646-O647)*v01_OvercapLoss</x:f>
        <x:v>0</x:v>
      </x:c>
      <x:c r="W647" s="9" t="n">
        <x:f>H647*Y646/(v01_ChildYears*4)</x:f>
        <x:v>1.588505275541019</x:v>
      </x:c>
      <x:c r="X647" s="9" t="n">
        <x:f>H647*Z646/(v01_AdultYears*4)</x:f>
        <x:v>0.7597143065542823</x:v>
      </x:c>
      <x:c r="Y647" s="32" t="n">
        <x:f>Y646+R647-S647-W647-Y646*V647/AB646</x:f>
        <x:v>89.67444514056592</x:v>
      </x:c>
      <x:c r="Z647" s="32" t="n">
        <x:f>Z646+W647-X647-T647-Z646*V647/AB646</x:f>
        <x:v>94.66596714306809</x:v>
      </x:c>
      <x:c r="AA647" s="32" t="n">
        <x:f>AA646+X647-U647-AA646*V647/AB646</x:f>
        <x:v>30.484967123742287</x:v>
      </x:c>
      <x:c r="AB647" s="10" t="n">
        <x:f>Y647+Z647+AA647</x:f>
        <x:v>214.8253794073763</x:v>
      </x:c>
      <x:c r="AC647" s="8" t="n">
        <x:f>IF(AND(v01_WinterTrigger=1,D647=1,AB646/AE646&gt;=K647),1,0)</x:f>
        <x:v>0</x:v>
      </x:c>
      <x:c r="AD647" s="8" t="n">
        <x:f>H647*IF(AND(OR(AB646/AE646&gt;=v01_FissionTrigger*N647,AC647=1),AB646/AE646*v01_DaughterShare&gt;=v01_MinDaughter),MAX(1,ROUND(AE646*v01_FissionRate,0)),0)</x:f>
        <x:v>0</x:v>
      </x:c>
      <x:c r="AE647" s="8" t="n">
        <x:f>IF(H647=1,MAX(1,MIN(INDEX(v01_Smax,G647),AE646+AD647)),AE646)</x:f>
        <x:v>5</x:v>
      </x:c>
      <x:c r="AF647" s="8" t="n">
        <x:f>MAX(0,AE647-AE646)</x:f>
        <x:v>0</x:v>
      </x:c>
      <x:c r="AG647" s="9" t="str">
        <x:f>IF(AF647&gt;0,B647,"")</x:f>
      </x:c>
      <x:c r="AH647" s="9" t="n">
        <x:f>IF(F647&gt;=1,1,(1+v01_LowTiesShare*(AE647-1))/AE647)</x:f>
        <x:v>1</x:v>
      </x:c>
      <x:c r="AI647" s="32" t="n">
        <x:f>(Z647+v01_ElderCommons*INDEX(LM_Elder,G647)*AA647)*AH647</x:f>
        <x:v>186.12086851429495</x:v>
      </x:c>
      <x:c r="AJ647" s="32" t="n">
        <x:f>H647*v01_CommonsCoef*AI647^v01_CommonsExp*INDEX(LM_Commons,G647)</x:f>
        <x:v>56.087973050413915</x:v>
      </x:c>
      <x:c r="AK647" s="32" t="n">
        <x:f>H647*v01_RoleScale*Arch_Roles*(AE647*(INDEX(v01_ElderRolePerSett,G647)*v01_OutElder*INDEX(LM_Elder,G647)+INDEX(v01_ShamanPerSett,G647)*v01_OutShaman)+Z647*(INDEX(v01_PriestShare,G647)*v01_OutPriest+INDEX(v01_ScribeShare,G647)*v01_OutScribe*INDEX(LM_Scribe,G647)+INDEX(v01_ScholarShare,G647)*v01_OutScholar*INDEX(LM_Scholar,G647)+INDEX(v01_ResearcherShare,G647)*v01_OutResearcher*INDEX(LM_Researcher,G647)))</x:f>
        <x:v>15</x:v>
      </x:c>
      <x:c r="AL647" s="32" t="n">
        <x:f>H647*v01_RoleScale*Arch_Roles*AE647*INDEX(v01_MonasteryPerSett,G647)*v01_OutMonastery*INDEX(LM_Monastery,G647)</x:f>
        <x:v>0</x:v>
      </x:c>
      <x:c r="AM647" s="32" t="n">
        <x:f>(AJ647+AK647+AL647)/4*INDEX(LM_All,G647)*INDEX(v01_Boon,G647)*Arch_Insight</x:f>
        <x:v>18.67170042152278</x:v>
      </x:c>
      <x:c r="AN647" s="32" t="n">
        <x:f>H647*(v01_KHPerAdult*Z647+v01_KHOfCommons*AJ647/4*INDEX(LM_All,G647))*v01_KHUsable*Arch_KH</x:f>
        <x:v>3.313308850007383</x:v>
      </x:c>
      <x:c r="AO647" s="32" t="n">
        <x:f>MIN(AP646+AN647,AM647*v01_KHMaxRatio)</x:f>
        <x:v>3.313308850007383</x:v>
      </x:c>
      <x:c r="AP647" s="32" t="n">
        <x:f>AP646+AN647-AO647</x:f>
        <x:v>0</x:v>
      </x:c>
      <x:c r="AQ647" s="32" t="n">
        <x:f>AM647+AO647</x:f>
        <x:v>21.98500927153016</x:v>
      </x:c>
      <x:c r="AR647" s="10" t="n">
        <x:f>IF(H647=1,INDEX(v01_Req,G647),0)</x:f>
        <x:v>4006.9599999999996</x:v>
      </x:c>
      <x:c r="AS647" s="32" t="n">
        <x:f>IF(H647=1,IF(E647=1,AS646-AR646,AS646)+AQ647,0)</x:f>
        <x:v>2310.848606865333</x:v>
      </x:c>
      <x:c r="AT647" s="11" t="n">
        <x:f>IF(AR647&gt;0,MIN(1,AS647/AR647),1)</x:f>
        <x:v>0.5767086786155422</x:v>
      </x:c>
      <x:c r="AU647" s="10" t="n">
        <x:f>AB647/INDEX(v01_RepScale,G647)</x:f>
        <x:v>107.41268970368814</x:v>
      </x:c>
      <x:c r="AV647" s="32" t="n">
        <x:f>AM647*60/v01_SeasonSeconds</x:f>
        <x:v>74.68680168609112</x:v>
      </x:c>
    </x:row>
    <x:row r="648">
      <x:c r="A648" s="8" t="n">
        <x:f>A647+1</x:f>
        <x:v>645</x:v>
      </x:c>
      <x:c r="B648" s="9" t="n">
        <x:f>A648*v01_SeasonSeconds/60</x:f>
        <x:v>161.25</x:v>
      </x:c>
      <x:c r="C648" s="9" t="n">
        <x:f>A648/4</x:f>
        <x:v>161.25</x:v>
      </x:c>
      <x:c r="D648" s="8" t="n">
        <x:f>IF(MOD(A648,4)=0,1,0)</x:f>
        <x:v>0</x:v>
      </x:c>
      <x:c r="E648" s="8" t="n">
        <x:f>IF(AND(F647&lt;=9,AS647&gt;=AR647),1,0)</x:f>
        <x:v>0</x:v>
      </x:c>
      <x:c r="F648" s="8" t="n">
        <x:f>MIN(10,F647+E648)</x:f>
        <x:v>2</x:v>
      </x:c>
      <x:c r="G648" s="8" t="n">
        <x:f>MIN(F648,9)+1</x:f>
        <x:v>3</x:v>
      </x:c>
      <x:c r="H648" s="8" t="n">
        <x:f>IF(F648&lt;=9,1,0)</x:f>
        <x:v>1</x:v>
      </x:c>
      <x:c r="I648" s="9" t="n">
        <x:f>MIN(10,F647+IF(AR647&gt;0,MIN(1,AS647/AR647),1))</x:f>
        <x:v>2.5767086786155424</x:v>
      </x:c>
      <x:c r="J648" s="32" t="n">
        <x:f>INDEX(v01_FoodCap,G648)*Arch_FoodCap*EXP(v01_CapsByProject*SUMPRODUCT((Cap_Point&lt;=I648)*(Cap_Kind="Food")*Cap_Ln))</x:f>
        <x:v>60</x:v>
      </x:c>
      <x:c r="K648" s="32" t="n">
        <x:f>J648*MIN(1,v01_LeanBase*EXP(v01_CapsByProject*SUMPRODUCT((Cap_Point&lt;=I648)*(Cap_Kind="Lean")*Cap_Ln)))</x:f>
        <x:v>60</x:v>
      </x:c>
      <x:c r="L648" s="10" t="n">
        <x:f>INDEX(v01_HousingCap,G648)*EXP(v01_CapsByProject*SUMPRODUCT((Cap_Point&lt;=I648)*(Cap_Kind="Housing")*Cap_Ln))</x:f>
        <x:v>100</x:v>
      </x:c>
      <x:c r="M648" s="10" t="n">
        <x:f>INDEX(v01_GroupCap,G648)*v01_CohesionFactor*EXP(v01_CapsByProject*SUMPRODUCT((Cap_Point&lt;=I648)*(Cap_Kind="Group")*Cap_Ln))</x:f>
        <x:v>500</x:v>
      </x:c>
      <x:c r="N648" s="32" t="n">
        <x:f>MIN(J648,L648,M648)</x:f>
        <x:v>60</x:v>
      </x:c>
      <x:c r="O648" s="10" t="n">
        <x:f>AE647*N648</x:f>
        <x:v>300</x:v>
      </x:c>
      <x:c r="P648" s="9" t="n">
        <x:f>MIN(1,(AB647/(AE647*IF(v01_GroupInCrowding=1,N648,MIN(J648,L648))))^v01_CrowdingExp)</x:f>
        <x:v>0.134829832989336</x:v>
      </x:c>
      <x:c r="Q648" s="9" t="n">
        <x:f>IF(D648=1,INDEX(v01_WinterMult,G648),1)</x:f>
        <x:v>1</x:v>
      </x:c>
      <x:c r="R648" s="9" t="n">
        <x:f>H648*Z647*v01_WomenShare*v01_BaseFertility*INDEX(v01_FertMult,G648)*Arch_Fertility*(1-P648)</x:f>
        <x:v>3.317037909437467</x:v>
      </x:c>
      <x:c r="S648" s="9" t="n">
        <x:f>H648*Y647*INDEX(v01_MortChild,G648)/4*Q648</x:f>
        <x:v>0.7846513949799518</x:v>
      </x:c>
      <x:c r="T648" s="9" t="n">
        <x:f>H648*Z647*INDEX(v01_MortAdult,G648)*Arch_AdultMort/4*Q648</x:f>
        <x:v>0.2839979014292043</x:v>
      </x:c>
      <x:c r="U648" s="9" t="n">
        <x:f>H648*AA647*INDEX(v01_MortElder,G648)/4*Q648</x:f>
        <x:v>0.5334869246654901</x:v>
      </x:c>
      <x:c r="V648" s="9" t="n">
        <x:f>H648*MAX(0,AB647-O648)*v01_OvercapLoss</x:f>
        <x:v>0</x:v>
      </x:c>
      <x:c r="W648" s="9" t="n">
        <x:f>H648*Y647/(v01_ChildYears*4)</x:f>
        <x:v>1.6013293775101058</x:v>
      </x:c>
      <x:c r="X648" s="9" t="n">
        <x:f>H648*Z647/(v01_AdultYears*4)</x:f>
        <x:v>0.7634352188957104</x:v>
      </x:c>
      <x:c r="Y648" s="32" t="n">
        <x:f>Y647+R648-S648-W648-Y647*V648/AB647</x:f>
        <x:v>90.60550227751334</x:v>
      </x:c>
      <x:c r="Z648" s="32" t="n">
        <x:f>Z647+W648-X648-T648-Z647*V648/AB647</x:f>
        <x:v>95.21986340025329</x:v>
      </x:c>
      <x:c r="AA648" s="32" t="n">
        <x:f>AA647+X648-U648-AA647*V648/AB647</x:f>
        <x:v>30.71491541797251</x:v>
      </x:c>
      <x:c r="AB648" s="10" t="n">
        <x:f>Y648+Z648+AA648</x:f>
        <x:v>216.54028109573915</x:v>
      </x:c>
      <x:c r="AC648" s="8" t="n">
        <x:f>IF(AND(v01_WinterTrigger=1,D648=1,AB647/AE647&gt;=K648),1,0)</x:f>
        <x:v>0</x:v>
      </x:c>
      <x:c r="AD648" s="8" t="n">
        <x:f>H648*IF(AND(OR(AB647/AE647&gt;=v01_FissionTrigger*N648,AC648=1),AB647/AE647*v01_DaughterShare&gt;=v01_MinDaughter),MAX(1,ROUND(AE647*v01_FissionRate,0)),0)</x:f>
        <x:v>0</x:v>
      </x:c>
      <x:c r="AE648" s="8" t="n">
        <x:f>IF(H648=1,MAX(1,MIN(INDEX(v01_Smax,G648),AE647+AD648)),AE647)</x:f>
        <x:v>5</x:v>
      </x:c>
      <x:c r="AF648" s="8" t="n">
        <x:f>MAX(0,AE648-AE647)</x:f>
        <x:v>0</x:v>
      </x:c>
      <x:c r="AG648" s="9" t="str">
        <x:f>IF(AF648&gt;0,B648,"")</x:f>
      </x:c>
      <x:c r="AH648" s="9" t="n">
        <x:f>IF(F648&gt;=1,1,(1+v01_LowTiesShare*(AE648-1))/AE648)</x:f>
        <x:v>1</x:v>
      </x:c>
      <x:c r="AI648" s="32" t="n">
        <x:f>(Z648+v01_ElderCommons*INDEX(LM_Elder,G648)*AA648)*AH648</x:f>
        <x:v>187.3646096541708</x:v>
      </x:c>
      <x:c r="AJ648" s="32" t="n">
        <x:f>H648*v01_CommonsCoef*AI648^v01_CommonsExp*INDEX(LM_Commons,G648)</x:f>
        <x:v>56.406397525074</x:v>
      </x:c>
      <x:c r="AK648" s="32" t="n">
        <x:f>H648*v01_RoleScale*Arch_Roles*(AE648*(INDEX(v01_ElderRolePerSett,G648)*v01_OutElder*INDEX(LM_Elder,G648)+INDEX(v01_ShamanPerSett,G648)*v01_OutShaman)+Z648*(INDEX(v01_PriestShare,G648)*v01_OutPriest+INDEX(v01_ScribeShare,G648)*v01_OutScribe*INDEX(LM_Scribe,G648)+INDEX(v01_ScholarShare,G648)*v01_OutScholar*INDEX(LM_Scholar,G648)+INDEX(v01_ResearcherShare,G648)*v01_OutResearcher*INDEX(LM_Researcher,G648)))</x:f>
        <x:v>15</x:v>
      </x:c>
      <x:c r="AL648" s="32" t="n">
        <x:f>H648*v01_RoleScale*Arch_Roles*AE648*INDEX(v01_MonasteryPerSett,G648)*v01_OutMonastery*INDEX(LM_Monastery,G648)</x:f>
        <x:v>0</x:v>
      </x:c>
      <x:c r="AM648" s="32" t="n">
        <x:f>(AJ648+AK648+AL648)/4*INDEX(LM_All,G648)*INDEX(v01_Boon,G648)*Arch_Insight</x:f>
        <x:v>18.755336599945217</x:v>
      </x:c>
      <x:c r="AN648" s="32" t="n">
        <x:f>H648*(v01_KHPerAdult*Z648+v01_KHOfCommons*AJ648/4*INDEX(LM_All,G648))*v01_KHUsable*Arch_KH</x:f>
        <x:v>3.332695219008865</x:v>
      </x:c>
      <x:c r="AO648" s="32" t="n">
        <x:f>MIN(AP647+AN648,AM648*v01_KHMaxRatio)</x:f>
        <x:v>3.332695219008865</x:v>
      </x:c>
      <x:c r="AP648" s="32" t="n">
        <x:f>AP647+AN648-AO648</x:f>
        <x:v>0</x:v>
      </x:c>
      <x:c r="AQ648" s="32" t="n">
        <x:f>AM648+AO648</x:f>
        <x:v>22.088031818954082</x:v>
      </x:c>
      <x:c r="AR648" s="10" t="n">
        <x:f>IF(H648=1,INDEX(v01_Req,G648),0)</x:f>
        <x:v>4006.9599999999996</x:v>
      </x:c>
      <x:c r="AS648" s="32" t="n">
        <x:f>IF(H648=1,IF(E648=1,AS647-AR647,AS647)+AQ648,0)</x:f>
        <x:v>2332.936638684287</x:v>
      </x:c>
      <x:c r="AT648" s="11" t="n">
        <x:f>IF(AR648&gt;0,MIN(1,AS648/AR648),1)</x:f>
        <x:v>0.5822210949658313</x:v>
      </x:c>
      <x:c r="AU648" s="10" t="n">
        <x:f>AB648/INDEX(v01_RepScale,G648)</x:f>
        <x:v>108.27014054786957</x:v>
      </x:c>
      <x:c r="AV648" s="32" t="n">
        <x:f>AM648*60/v01_SeasonSeconds</x:f>
        <x:v>75.02134639978087</x:v>
      </x:c>
    </x:row>
    <x:row r="649">
      <x:c r="A649" s="8" t="n">
        <x:f>A648+1</x:f>
        <x:v>646</x:v>
      </x:c>
      <x:c r="B649" s="9" t="n">
        <x:f>A649*v01_SeasonSeconds/60</x:f>
        <x:v>161.5</x:v>
      </x:c>
      <x:c r="C649" s="9" t="n">
        <x:f>A649/4</x:f>
        <x:v>161.5</x:v>
      </x:c>
      <x:c r="D649" s="8" t="n">
        <x:f>IF(MOD(A649,4)=0,1,0)</x:f>
        <x:v>0</x:v>
      </x:c>
      <x:c r="E649" s="8" t="n">
        <x:f>IF(AND(F648&lt;=9,AS648&gt;=AR648),1,0)</x:f>
        <x:v>0</x:v>
      </x:c>
      <x:c r="F649" s="8" t="n">
        <x:f>MIN(10,F648+E649)</x:f>
        <x:v>2</x:v>
      </x:c>
      <x:c r="G649" s="8" t="n">
        <x:f>MIN(F649,9)+1</x:f>
        <x:v>3</x:v>
      </x:c>
      <x:c r="H649" s="8" t="n">
        <x:f>IF(F649&lt;=9,1,0)</x:f>
        <x:v>1</x:v>
      </x:c>
      <x:c r="I649" s="9" t="n">
        <x:f>MIN(10,F648+IF(AR648&gt;0,MIN(1,AS648/AR648),1))</x:f>
        <x:v>2.5822210949658313</x:v>
      </x:c>
      <x:c r="J649" s="32" t="n">
        <x:f>INDEX(v01_FoodCap,G649)*Arch_FoodCap*EXP(v01_CapsByProject*SUMPRODUCT((Cap_Point&lt;=I649)*(Cap_Kind="Food")*Cap_Ln))</x:f>
        <x:v>60</x:v>
      </x:c>
      <x:c r="K649" s="32" t="n">
        <x:f>J649*MIN(1,v01_LeanBase*EXP(v01_CapsByProject*SUMPRODUCT((Cap_Point&lt;=I649)*(Cap_Kind="Lean")*Cap_Ln)))</x:f>
        <x:v>60</x:v>
      </x:c>
      <x:c r="L649" s="10" t="n">
        <x:f>INDEX(v01_HousingCap,G649)*EXP(v01_CapsByProject*SUMPRODUCT((Cap_Point&lt;=I649)*(Cap_Kind="Housing")*Cap_Ln))</x:f>
        <x:v>100</x:v>
      </x:c>
      <x:c r="M649" s="10" t="n">
        <x:f>INDEX(v01_GroupCap,G649)*v01_CohesionFactor*EXP(v01_CapsByProject*SUMPRODUCT((Cap_Point&lt;=I649)*(Cap_Kind="Group")*Cap_Ln))</x:f>
        <x:v>500</x:v>
      </x:c>
      <x:c r="N649" s="32" t="n">
        <x:f>MIN(J649,L649,M649)</x:f>
        <x:v>60</x:v>
      </x:c>
      <x:c r="O649" s="10" t="n">
        <x:f>AE648*N649</x:f>
        <x:v>300</x:v>
      </x:c>
      <x:c r="P649" s="9" t="n">
        <x:f>MIN(1,(AB648/(AE648*IF(v01_GroupInCrowding=1,N649,MIN(J649,L649))))^v01_CrowdingExp)</x:f>
        <x:v>0.1414179863212971</x:v>
      </x:c>
      <x:c r="Q649" s="9" t="n">
        <x:f>IF(D649=1,INDEX(v01_WinterMult,G649),1)</x:f>
        <x:v>1</x:v>
      </x:c>
      <x:c r="R649" s="9" t="n">
        <x:f>H649*Z648*v01_WomenShare*v01_BaseFertility*INDEX(v01_FertMult,G649)*Arch_Fertility*(1-P649)</x:f>
        <x:v>3.31103951344622</x:v>
      </x:c>
      <x:c r="S649" s="9" t="n">
        <x:f>H649*Y648*INDEX(v01_MortChild,G649)/4*Q649</x:f>
        <x:v>0.7927981449282417</x:v>
      </x:c>
      <x:c r="T649" s="9" t="n">
        <x:f>H649*Z648*INDEX(v01_MortAdult,G649)*Arch_AdultMort/4*Q649</x:f>
        <x:v>0.28565959020075987</x:v>
      </x:c>
      <x:c r="U649" s="9" t="n">
        <x:f>H649*AA648*INDEX(v01_MortElder,G649)/4*Q649</x:f>
        <x:v>0.537511019814519</x:v>
      </x:c>
      <x:c r="V649" s="9" t="n">
        <x:f>H649*MAX(0,AB648-O649)*v01_OvercapLoss</x:f>
        <x:v>0</x:v>
      </x:c>
      <x:c r="W649" s="9" t="n">
        <x:f>H649*Y648/(v01_ChildYears*4)</x:f>
        <x:v>1.6179553978127381</x:v>
      </x:c>
      <x:c r="X649" s="9" t="n">
        <x:f>H649*Z648/(v01_AdultYears*4)</x:f>
        <x:v>0.767902124195591</x:v>
      </x:c>
      <x:c r="Y649" s="32" t="n">
        <x:f>Y648+R649-S649-W649-Y648*V649/AB648</x:f>
        <x:v>91.50578824821858</x:v>
      </x:c>
      <x:c r="Z649" s="32" t="n">
        <x:f>Z648+W649-X649-T649-Z648*V649/AB648</x:f>
        <x:v>95.78425708366967</x:v>
      </x:c>
      <x:c r="AA649" s="32" t="n">
        <x:f>AA648+X649-U649-AA648*V649/AB648</x:f>
        <x:v>30.94530652235358</x:v>
      </x:c>
      <x:c r="AB649" s="10" t="n">
        <x:f>Y649+Z649+AA649</x:f>
        <x:v>218.23535185424183</x:v>
      </x:c>
      <x:c r="AC649" s="8" t="n">
        <x:f>IF(AND(v01_WinterTrigger=1,D649=1,AB648/AE648&gt;=K649),1,0)</x:f>
        <x:v>0</x:v>
      </x:c>
      <x:c r="AD649" s="8" t="n">
        <x:f>H649*IF(AND(OR(AB648/AE648&gt;=v01_FissionTrigger*N649,AC649=1),AB648/AE648*v01_DaughterShare&gt;=v01_MinDaughter),MAX(1,ROUND(AE648*v01_FissionRate,0)),0)</x:f>
        <x:v>0</x:v>
      </x:c>
      <x:c r="AE649" s="8" t="n">
        <x:f>IF(H649=1,MAX(1,MIN(INDEX(v01_Smax,G649),AE648+AD649)),AE648)</x:f>
        <x:v>5</x:v>
      </x:c>
      <x:c r="AF649" s="8" t="n">
        <x:f>MAX(0,AE649-AE648)</x:f>
        <x:v>0</x:v>
      </x:c>
      <x:c r="AG649" s="9" t="str">
        <x:f>IF(AF649&gt;0,B649,"")</x:f>
      </x:c>
      <x:c r="AH649" s="9" t="n">
        <x:f>IF(F649&gt;=1,1,(1+v01_LowTiesShare*(AE649-1))/AE649)</x:f>
        <x:v>1</x:v>
      </x:c>
      <x:c r="AI649" s="32" t="n">
        <x:f>(Z649+v01_ElderCommons*INDEX(LM_Elder,G649)*AA649)*AH649</x:f>
        <x:v>188.6201766507304</x:v>
      </x:c>
      <x:c r="AJ649" s="32" t="n">
        <x:f>H649*v01_CommonsCoef*AI649^v01_CommonsExp*INDEX(LM_Commons,G649)</x:f>
        <x:v>56.72752824318586</x:v>
      </x:c>
      <x:c r="AK649" s="32" t="n">
        <x:f>H649*v01_RoleScale*Arch_Roles*(AE649*(INDEX(v01_ElderRolePerSett,G649)*v01_OutElder*INDEX(LM_Elder,G649)+INDEX(v01_ShamanPerSett,G649)*v01_OutShaman)+Z649*(INDEX(v01_PriestShare,G649)*v01_OutPriest+INDEX(v01_ScribeShare,G649)*v01_OutScribe*INDEX(LM_Scribe,G649)+INDEX(v01_ScholarShare,G649)*v01_OutScholar*INDEX(LM_Scholar,G649)+INDEX(v01_ResearcherShare,G649)*v01_OutResearcher*INDEX(LM_Researcher,G649)))</x:f>
        <x:v>15</x:v>
      </x:c>
      <x:c r="AL649" s="32" t="n">
        <x:f>H649*v01_RoleScale*Arch_Roles*AE649*INDEX(v01_MonasteryPerSett,G649)*v01_OutMonastery*INDEX(LM_Monastery,G649)</x:f>
        <x:v>0</x:v>
      </x:c>
      <x:c r="AM649" s="32" t="n">
        <x:f>(AJ649+AK649+AL649)/4*INDEX(LM_All,G649)*INDEX(v01_Boon,G649)*Arch_Insight</x:f>
        <x:v>18.839683590124285</x:v>
      </x:c>
      <x:c r="AN649" s="32" t="n">
        <x:f>H649*(v01_KHPerAdult*Z649+v01_KHOfCommons*AJ649/4*INDEX(LM_All,G649))*v01_KHUsable*Arch_KH</x:f>
        <x:v>3.3524489979284384</x:v>
      </x:c>
      <x:c r="AO649" s="32" t="n">
        <x:f>MIN(AP648+AN649,AM649*v01_KHMaxRatio)</x:f>
        <x:v>3.3524489979284384</x:v>
      </x:c>
      <x:c r="AP649" s="32" t="n">
        <x:f>AP648+AN649-AO649</x:f>
        <x:v>0</x:v>
      </x:c>
      <x:c r="AQ649" s="32" t="n">
        <x:f>AM649+AO649</x:f>
        <x:v>22.192132588052722</x:v>
      </x:c>
      <x:c r="AR649" s="10" t="n">
        <x:f>IF(H649=1,INDEX(v01_Req,G649),0)</x:f>
        <x:v>4006.9599999999996</x:v>
      </x:c>
      <x:c r="AS649" s="32" t="n">
        <x:f>IF(H649=1,IF(E649=1,AS648-AR648,AS648)+AQ649,0)</x:f>
        <x:v>2355.1287712723397</x:v>
      </x:c>
      <x:c r="AT649" s="11" t="n">
        <x:f>IF(AR649&gt;0,MIN(1,AS649/AR649),1)</x:f>
        <x:v>0.5877594913032174</x:v>
      </x:c>
      <x:c r="AU649" s="10" t="n">
        <x:f>AB649/INDEX(v01_RepScale,G649)</x:f>
        <x:v>109.11767592712091</x:v>
      </x:c>
      <x:c r="AV649" s="32" t="n">
        <x:f>AM649*60/v01_SeasonSeconds</x:f>
        <x:v>75.35873436049714</x:v>
      </x:c>
    </x:row>
    <x:row r="650">
      <x:c r="A650" s="8" t="n">
        <x:f>A649+1</x:f>
        <x:v>647</x:v>
      </x:c>
      <x:c r="B650" s="9" t="n">
        <x:f>A650*v01_SeasonSeconds/60</x:f>
        <x:v>161.75</x:v>
      </x:c>
      <x:c r="C650" s="9" t="n">
        <x:f>A650/4</x:f>
        <x:v>161.75</x:v>
      </x:c>
      <x:c r="D650" s="8" t="n">
        <x:f>IF(MOD(A650,4)=0,1,0)</x:f>
        <x:v>0</x:v>
      </x:c>
      <x:c r="E650" s="8" t="n">
        <x:f>IF(AND(F649&lt;=9,AS649&gt;=AR649),1,0)</x:f>
        <x:v>0</x:v>
      </x:c>
      <x:c r="F650" s="8" t="n">
        <x:f>MIN(10,F649+E650)</x:f>
        <x:v>2</x:v>
      </x:c>
      <x:c r="G650" s="8" t="n">
        <x:f>MIN(F650,9)+1</x:f>
        <x:v>3</x:v>
      </x:c>
      <x:c r="H650" s="8" t="n">
        <x:f>IF(F650&lt;=9,1,0)</x:f>
        <x:v>1</x:v>
      </x:c>
      <x:c r="I650" s="9" t="n">
        <x:f>MIN(10,F649+IF(AR649&gt;0,MIN(1,AS649/AR649),1))</x:f>
        <x:v>2.5877594913032174</x:v>
      </x:c>
      <x:c r="J650" s="32" t="n">
        <x:f>INDEX(v01_FoodCap,G650)*Arch_FoodCap*EXP(v01_CapsByProject*SUMPRODUCT((Cap_Point&lt;=I650)*(Cap_Kind="Food")*Cap_Ln))</x:f>
        <x:v>60</x:v>
      </x:c>
      <x:c r="K650" s="32" t="n">
        <x:f>J650*MIN(1,v01_LeanBase*EXP(v01_CapsByProject*SUMPRODUCT((Cap_Point&lt;=I650)*(Cap_Kind="Lean")*Cap_Ln)))</x:f>
        <x:v>60</x:v>
      </x:c>
      <x:c r="L650" s="10" t="n">
        <x:f>INDEX(v01_HousingCap,G650)*EXP(v01_CapsByProject*SUMPRODUCT((Cap_Point&lt;=I650)*(Cap_Kind="Housing")*Cap_Ln))</x:f>
        <x:v>100</x:v>
      </x:c>
      <x:c r="M650" s="10" t="n">
        <x:f>INDEX(v01_GroupCap,G650)*v01_CohesionFactor*EXP(v01_CapsByProject*SUMPRODUCT((Cap_Point&lt;=I650)*(Cap_Kind="Group")*Cap_Ln))</x:f>
        <x:v>500</x:v>
      </x:c>
      <x:c r="N650" s="32" t="n">
        <x:f>MIN(J650,L650,M650)</x:f>
        <x:v>60</x:v>
      </x:c>
      <x:c r="O650" s="10" t="n">
        <x:f>AE649*N650</x:f>
        <x:v>300</x:v>
      </x:c>
      <x:c r="P650" s="9" t="n">
        <x:f>MIN(1,(AB649/(AE649*IF(v01_GroupInCrowding=1,N650,MIN(J650,L650))))^v01_CrowdingExp)</x:f>
        <x:v>0.148191430556331</x:v>
      </x:c>
      <x:c r="Q650" s="9" t="n">
        <x:f>IF(D650=1,INDEX(v01_WinterMult,G650),1)</x:f>
        <x:v>1</x:v>
      </x:c>
      <x:c r="R650" s="9" t="n">
        <x:f>H650*Z649*v01_WomenShare*v01_BaseFertility*INDEX(v01_FertMult,G650)*Arch_Fertility*(1-P650)</x:f>
        <x:v>3.304388965567444</x:v>
      </x:c>
      <x:c r="S650" s="9" t="n">
        <x:f>H650*Y649*INDEX(v01_MortChild,G650)/4*Q650</x:f>
        <x:v>0.8006756471719126</x:v>
      </x:c>
      <x:c r="T650" s="9" t="n">
        <x:f>H650*Z649*INDEX(v01_MortAdult,G650)*Arch_AdultMort/4*Q650</x:f>
        <x:v>0.287352771251009</x:v>
      </x:c>
      <x:c r="U650" s="9" t="n">
        <x:f>H650*AA649*INDEX(v01_MortElder,G650)/4*Q650</x:f>
        <x:v>0.5415428641411877</x:v>
      </x:c>
      <x:c r="V650" s="9" t="n">
        <x:f>H650*MAX(0,AB649-O650)*v01_OvercapLoss</x:f>
        <x:v>0</x:v>
      </x:c>
      <x:c r="W650" s="9" t="n">
        <x:f>H650*Y649/(v01_ChildYears*4)</x:f>
        <x:v>1.6340319330039033</x:v>
      </x:c>
      <x:c r="X650" s="9" t="n">
        <x:f>H650*Z649/(v01_AdultYears*4)</x:f>
        <x:v>0.7724536861586264</x:v>
      </x:c>
      <x:c r="Y650" s="32" t="n">
        <x:f>Y649+R650-S650-W650-Y649*V650/AB649</x:f>
        <x:v>92.37546963361021</x:v>
      </x:c>
      <x:c r="Z650" s="32" t="n">
        <x:f>Z649+W650-X650-T650-Z649*V650/AB649</x:f>
        <x:v>96.35848255926393</x:v>
      </x:c>
      <x:c r="AA650" s="32" t="n">
        <x:f>AA649+X650-U650-AA649*V650/AB649</x:f>
        <x:v>31.176217344371018</x:v>
      </x:c>
      <x:c r="AB650" s="10" t="n">
        <x:f>Y650+Z650+AA650</x:f>
        <x:v>219.91016953724517</x:v>
      </x:c>
      <x:c r="AC650" s="8" t="n">
        <x:f>IF(AND(v01_WinterTrigger=1,D650=1,AB649/AE649&gt;=K650),1,0)</x:f>
        <x:v>0</x:v>
      </x:c>
      <x:c r="AD650" s="8" t="n">
        <x:f>H650*IF(AND(OR(AB649/AE649&gt;=v01_FissionTrigger*N650,AC650=1),AB649/AE649*v01_DaughterShare&gt;=v01_MinDaughter),MAX(1,ROUND(AE649*v01_FissionRate,0)),0)</x:f>
        <x:v>0</x:v>
      </x:c>
      <x:c r="AE650" s="8" t="n">
        <x:f>IF(H650=1,MAX(1,MIN(INDEX(v01_Smax,G650),AE649+AD650)),AE649)</x:f>
        <x:v>5</x:v>
      </x:c>
      <x:c r="AF650" s="8" t="n">
        <x:f>MAX(0,AE650-AE649)</x:f>
        <x:v>0</x:v>
      </x:c>
      <x:c r="AG650" s="9" t="str">
        <x:f>IF(AF650&gt;0,B650,"")</x:f>
      </x:c>
      <x:c r="AH650" s="9" t="n">
        <x:f>IF(F650&gt;=1,1,(1+v01_LowTiesShare*(AE650-1))/AE650)</x:f>
        <x:v>1</x:v>
      </x:c>
      <x:c r="AI650" s="32" t="n">
        <x:f>(Z650+v01_ElderCommons*INDEX(LM_Elder,G650)*AA650)*AH650</x:f>
        <x:v>189.88713459237698</x:v>
      </x:c>
      <x:c r="AJ650" s="32" t="n">
        <x:f>H650*v01_CommonsCoef*AI650^v01_CommonsExp*INDEX(LM_Commons,G650)</x:f>
        <x:v>57.05124751717976</x:v>
      </x:c>
      <x:c r="AK650" s="32" t="n">
        <x:f>H650*v01_RoleScale*Arch_Roles*(AE650*(INDEX(v01_ElderRolePerSett,G650)*v01_OutElder*INDEX(LM_Elder,G650)+INDEX(v01_ShamanPerSett,G650)*v01_OutShaman)+Z650*(INDEX(v01_PriestShare,G650)*v01_OutPriest+INDEX(v01_ScribeShare,G650)*v01_OutScribe*INDEX(LM_Scribe,G650)+INDEX(v01_ScholarShare,G650)*v01_OutScholar*INDEX(LM_Scholar,G650)+INDEX(v01_ResearcherShare,G650)*v01_OutResearcher*INDEX(LM_Researcher,G650)))</x:f>
        <x:v>15</x:v>
      </x:c>
      <x:c r="AL650" s="32" t="n">
        <x:f>H650*v01_RoleScale*Arch_Roles*AE650*INDEX(v01_MonasteryPerSett,G650)*v01_OutMonastery*INDEX(LM_Monastery,G650)</x:f>
        <x:v>0</x:v>
      </x:c>
      <x:c r="AM650" s="32" t="n">
        <x:f>(AJ650+AK650+AL650)/4*INDEX(LM_All,G650)*INDEX(v01_Boon,G650)*Arch_Insight</x:f>
        <x:v>18.924710480684244</x:v>
      </x:c>
      <x:c r="AN650" s="32" t="n">
        <x:f>H650*(v01_KHPerAdult*Z650+v01_KHOfCommons*AJ650/4*INDEX(LM_All,G650))*v01_KHUsable*Arch_KH</x:f>
        <x:v>3.3725468895742376</x:v>
      </x:c>
      <x:c r="AO650" s="32" t="n">
        <x:f>MIN(AP649+AN650,AM650*v01_KHMaxRatio)</x:f>
        <x:v>3.3725468895742376</x:v>
      </x:c>
      <x:c r="AP650" s="32" t="n">
        <x:f>AP649+AN650-AO650</x:f>
        <x:v>0</x:v>
      </x:c>
      <x:c r="AQ650" s="32" t="n">
        <x:f>AM650+AO650</x:f>
        <x:v>22.29725737025848</x:v>
      </x:c>
      <x:c r="AR650" s="10" t="n">
        <x:f>IF(H650=1,INDEX(v01_Req,G650),0)</x:f>
        <x:v>4006.9599999999996</x:v>
      </x:c>
      <x:c r="AS650" s="32" t="n">
        <x:f>IF(H650=1,IF(E650=1,AS649-AR649,AS649)+AQ650,0)</x:f>
        <x:v>2377.4260286425983</x:v>
      </x:c>
      <x:c r="AT650" s="11" t="n">
        <x:f>IF(AR650&gt;0,MIN(1,AS650/AR650),1)</x:f>
        <x:v>0.5933241231863055</x:v>
      </x:c>
      <x:c r="AU650" s="10" t="n">
        <x:f>AB650/INDEX(v01_RepScale,G650)</x:f>
        <x:v>109.95508476862258</x:v>
      </x:c>
      <x:c r="AV650" s="32" t="n">
        <x:f>AM650*60/v01_SeasonSeconds</x:f>
        <x:v>75.69884192273697</x:v>
      </x:c>
    </x:row>
    <x:row r="651">
      <x:c r="A651" s="8" t="n">
        <x:f>A650+1</x:f>
        <x:v>648</x:v>
      </x:c>
      <x:c r="B651" s="9" t="n">
        <x:f>A651*v01_SeasonSeconds/60</x:f>
        <x:v>162</x:v>
      </x:c>
      <x:c r="C651" s="9" t="n">
        <x:f>A651/4</x:f>
        <x:v>162</x:v>
      </x:c>
      <x:c r="D651" s="8" t="n">
        <x:f>IF(MOD(A651,4)=0,1,0)</x:f>
        <x:v>1</x:v>
      </x:c>
      <x:c r="E651" s="8" t="n">
        <x:f>IF(AND(F650&lt;=9,AS650&gt;=AR650),1,0)</x:f>
        <x:v>0</x:v>
      </x:c>
      <x:c r="F651" s="8" t="n">
        <x:f>MIN(10,F650+E651)</x:f>
        <x:v>2</x:v>
      </x:c>
      <x:c r="G651" s="8" t="n">
        <x:f>MIN(F651,9)+1</x:f>
        <x:v>3</x:v>
      </x:c>
      <x:c r="H651" s="8" t="n">
        <x:f>IF(F651&lt;=9,1,0)</x:f>
        <x:v>1</x:v>
      </x:c>
      <x:c r="I651" s="9" t="n">
        <x:f>MIN(10,F650+IF(AR650&gt;0,MIN(1,AS650/AR650),1))</x:f>
        <x:v>2.5933241231863056</x:v>
      </x:c>
      <x:c r="J651" s="32" t="n">
        <x:f>INDEX(v01_FoodCap,G651)*Arch_FoodCap*EXP(v01_CapsByProject*SUMPRODUCT((Cap_Point&lt;=I651)*(Cap_Kind="Food")*Cap_Ln))</x:f>
        <x:v>60</x:v>
      </x:c>
      <x:c r="K651" s="32" t="n">
        <x:f>J651*MIN(1,v01_LeanBase*EXP(v01_CapsByProject*SUMPRODUCT((Cap_Point&lt;=I651)*(Cap_Kind="Lean")*Cap_Ln)))</x:f>
        <x:v>60</x:v>
      </x:c>
      <x:c r="L651" s="10" t="n">
        <x:f>INDEX(v01_HousingCap,G651)*EXP(v01_CapsByProject*SUMPRODUCT((Cap_Point&lt;=I651)*(Cap_Kind="Housing")*Cap_Ln))</x:f>
        <x:v>100</x:v>
      </x:c>
      <x:c r="M651" s="10" t="n">
        <x:f>INDEX(v01_GroupCap,G651)*v01_CohesionFactor*EXP(v01_CapsByProject*SUMPRODUCT((Cap_Point&lt;=I651)*(Cap_Kind="Group")*Cap_Ln))</x:f>
        <x:v>500</x:v>
      </x:c>
      <x:c r="N651" s="32" t="n">
        <x:f>MIN(J651,L651,M651)</x:f>
        <x:v>60</x:v>
      </x:c>
      <x:c r="O651" s="10" t="n">
        <x:f>AE650*N651</x:f>
        <x:v>300</x:v>
      </x:c>
      <x:c r="P651" s="9" t="n">
        <x:f>MIN(1,(AB650/(AE650*IF(v01_GroupInCrowding=1,N651,MIN(J651,L651))))^v01_CrowdingExp)</x:f>
        <x:v>0.15514734637443084</x:v>
      </x:c>
      <x:c r="Q651" s="9" t="n">
        <x:f>IF(D651=1,INDEX(v01_WinterMult,G651),1)</x:f>
        <x:v>1.3</x:v>
      </x:c>
      <x:c r="R651" s="9" t="n">
        <x:f>H651*Z650*v01_WomenShare*v01_BaseFertility*INDEX(v01_FertMult,G651)*Arch_Fertility*(1-P651)</x:f>
        <x:v>3.297053147425854</x:v>
      </x:c>
      <x:c r="S651" s="9" t="n">
        <x:f>H651*Y650*INDEX(v01_MortChild,G651)/4*Q651</x:f>
        <x:v>1.0507709670823162</x:v>
      </x:c>
      <x:c r="T651" s="9" t="n">
        <x:f>H651*Z650*INDEX(v01_MortAdult,G651)*Arch_AdultMort/4*Q651</x:f>
        <x:v>0.37579808198112935</x:v>
      </x:c>
      <x:c r="U651" s="9" t="n">
        <x:f>H651*AA650*INDEX(v01_MortElder,G651)/4*Q651</x:f>
        <x:v>0.7092589445844407</x:v>
      </x:c>
      <x:c r="V651" s="9" t="n">
        <x:f>H651*MAX(0,AB650-O651)*v01_OvercapLoss</x:f>
        <x:v>0</x:v>
      </x:c>
      <x:c r="W651" s="9" t="n">
        <x:f>H651*Y650/(v01_ChildYears*4)</x:f>
        <x:v>1.6495619577430394</x:v>
      </x:c>
      <x:c r="X651" s="9" t="n">
        <x:f>H651*Z650/(v01_AdultYears*4)</x:f>
        <x:v>0.7770845367682575</x:v>
      </x:c>
      <x:c r="Y651" s="32" t="n">
        <x:f>Y650+R651-S651-W651-Y650*V651/AB650</x:f>
        <x:v>92.9721898562107</x:v>
      </x:c>
      <x:c r="Z651" s="32" t="n">
        <x:f>Z650+W651-X651-T651-Z650*V651/AB650</x:f>
        <x:v>96.85516189825759</x:v>
      </x:c>
      <x:c r="AA651" s="32" t="n">
        <x:f>AA650+X651-U651-AA650*V651/AB650</x:f>
        <x:v>31.244042936554834</x:v>
      </x:c>
      <x:c r="AB651" s="10" t="n">
        <x:f>Y651+Z651+AA651</x:f>
        <x:v>221.0713946910231</x:v>
      </x:c>
      <x:c r="AC651" s="8" t="n">
        <x:f>IF(AND(v01_WinterTrigger=1,D651=1,AB650/AE650&gt;=K651),1,0)</x:f>
        <x:v>0</x:v>
      </x:c>
      <x:c r="AD651" s="8" t="n">
        <x:f>H651*IF(AND(OR(AB650/AE650&gt;=v01_FissionTrigger*N651,AC651=1),AB650/AE650*v01_DaughterShare&gt;=v01_MinDaughter),MAX(1,ROUND(AE650*v01_FissionRate,0)),0)</x:f>
        <x:v>0</x:v>
      </x:c>
      <x:c r="AE651" s="8" t="n">
        <x:f>IF(H651=1,MAX(1,MIN(INDEX(v01_Smax,G651),AE650+AD651)),AE650)</x:f>
        <x:v>5</x:v>
      </x:c>
      <x:c r="AF651" s="8" t="n">
        <x:f>MAX(0,AE651-AE650)</x:f>
        <x:v>0</x:v>
      </x:c>
      <x:c r="AG651" s="9" t="str">
        <x:f>IF(AF651&gt;0,B651,"")</x:f>
      </x:c>
      <x:c r="AH651" s="9" t="n">
        <x:f>IF(F651&gt;=1,1,(1+v01_LowTiesShare*(AE651-1))/AE651)</x:f>
        <x:v>1</x:v>
      </x:c>
      <x:c r="AI651" s="32" t="n">
        <x:f>(Z651+v01_ElderCommons*INDEX(LM_Elder,G651)*AA651)*AH651</x:f>
        <x:v>190.58729070792208</x:v>
      </x:c>
      <x:c r="AJ651" s="32" t="n">
        <x:f>H651*v01_CommonsCoef*AI651^v01_CommonsExp*INDEX(LM_Commons,G651)</x:f>
        <x:v>57.23000468654785</x:v>
      </x:c>
      <x:c r="AK651" s="32" t="n">
        <x:f>H651*v01_RoleScale*Arch_Roles*(AE651*(INDEX(v01_ElderRolePerSett,G651)*v01_OutElder*INDEX(LM_Elder,G651)+INDEX(v01_ShamanPerSett,G651)*v01_OutShaman)+Z651*(INDEX(v01_PriestShare,G651)*v01_OutPriest+INDEX(v01_ScribeShare,G651)*v01_OutScribe*INDEX(LM_Scribe,G651)+INDEX(v01_ScholarShare,G651)*v01_OutScholar*INDEX(LM_Scholar,G651)+INDEX(v01_ResearcherShare,G651)*v01_OutResearcher*INDEX(LM_Researcher,G651)))</x:f>
        <x:v>15</x:v>
      </x:c>
      <x:c r="AL651" s="32" t="n">
        <x:f>H651*v01_RoleScale*Arch_Roles*AE651*INDEX(v01_MonasteryPerSett,G651)*v01_OutMonastery*INDEX(LM_Monastery,G651)</x:f>
        <x:v>0</x:v>
      </x:c>
      <x:c r="AM651" s="32" t="n">
        <x:f>(AJ651+AK651+AL651)/4*INDEX(LM_All,G651)*INDEX(v01_Boon,G651)*Arch_Insight</x:f>
        <x:v>18.971662168451083</x:v>
      </x:c>
      <x:c r="AN651" s="32" t="n">
        <x:f>H651*(v01_KHPerAdult*Z651+v01_KHOfCommons*AJ651/4*INDEX(LM_All,G651))*v01_KHUsable*Arch_KH</x:f>
        <x:v>3.389930666439016</x:v>
      </x:c>
      <x:c r="AO651" s="32" t="n">
        <x:f>MIN(AP650+AN651,AM651*v01_KHMaxRatio)</x:f>
        <x:v>3.389930666439016</x:v>
      </x:c>
      <x:c r="AP651" s="32" t="n">
        <x:f>AP650+AN651-AO651</x:f>
        <x:v>0</x:v>
      </x:c>
      <x:c r="AQ651" s="32" t="n">
        <x:f>AM651+AO651</x:f>
        <x:v>22.3615928348901</x:v>
      </x:c>
      <x:c r="AR651" s="10" t="n">
        <x:f>IF(H651=1,INDEX(v01_Req,G651),0)</x:f>
        <x:v>4006.9599999999996</x:v>
      </x:c>
      <x:c r="AS651" s="32" t="n">
        <x:f>IF(H651=1,IF(E651=1,AS650-AR650,AS650)+AQ651,0)</x:f>
        <x:v>2399.7876214774883</x:v>
      </x:c>
      <x:c r="AT651" s="11" t="n">
        <x:f>IF(AR651&gt;0,MIN(1,AS651/AR651),1)</x:f>
        <x:v>0.5989048109982352</x:v>
      </x:c>
      <x:c r="AU651" s="10" t="n">
        <x:f>AB651/INDEX(v01_RepScale,G651)</x:f>
        <x:v>110.53569734551155</x:v>
      </x:c>
      <x:c r="AV651" s="32" t="n">
        <x:f>AM651*60/v01_SeasonSeconds</x:f>
        <x:v>75.88664867380433</x:v>
      </x:c>
    </x:row>
    <x:row r="652">
      <x:c r="A652" s="8" t="n">
        <x:f>A651+1</x:f>
        <x:v>649</x:v>
      </x:c>
      <x:c r="B652" s="9" t="n">
        <x:f>A652*v01_SeasonSeconds/60</x:f>
        <x:v>162.25</x:v>
      </x:c>
      <x:c r="C652" s="9" t="n">
        <x:f>A652/4</x:f>
        <x:v>162.25</x:v>
      </x:c>
      <x:c r="D652" s="8" t="n">
        <x:f>IF(MOD(A652,4)=0,1,0)</x:f>
        <x:v>0</x:v>
      </x:c>
      <x:c r="E652" s="8" t="n">
        <x:f>IF(AND(F651&lt;=9,AS651&gt;=AR651),1,0)</x:f>
        <x:v>0</x:v>
      </x:c>
      <x:c r="F652" s="8" t="n">
        <x:f>MIN(10,F651+E652)</x:f>
        <x:v>2</x:v>
      </x:c>
      <x:c r="G652" s="8" t="n">
        <x:f>MIN(F652,9)+1</x:f>
        <x:v>3</x:v>
      </x:c>
      <x:c r="H652" s="8" t="n">
        <x:f>IF(F652&lt;=9,1,0)</x:f>
        <x:v>1</x:v>
      </x:c>
      <x:c r="I652" s="9" t="n">
        <x:f>MIN(10,F651+IF(AR651&gt;0,MIN(1,AS651/AR651),1))</x:f>
        <x:v>2.5989048109982353</x:v>
      </x:c>
      <x:c r="J652" s="32" t="n">
        <x:f>INDEX(v01_FoodCap,G652)*Arch_FoodCap*EXP(v01_CapsByProject*SUMPRODUCT((Cap_Point&lt;=I652)*(Cap_Kind="Food")*Cap_Ln))</x:f>
        <x:v>60</x:v>
      </x:c>
      <x:c r="K652" s="32" t="n">
        <x:f>J652*MIN(1,v01_LeanBase*EXP(v01_CapsByProject*SUMPRODUCT((Cap_Point&lt;=I652)*(Cap_Kind="Lean")*Cap_Ln)))</x:f>
        <x:v>60</x:v>
      </x:c>
      <x:c r="L652" s="10" t="n">
        <x:f>INDEX(v01_HousingCap,G652)*EXP(v01_CapsByProject*SUMPRODUCT((Cap_Point&lt;=I652)*(Cap_Kind="Housing")*Cap_Ln))</x:f>
        <x:v>100</x:v>
      </x:c>
      <x:c r="M652" s="10" t="n">
        <x:f>INDEX(v01_GroupCap,G652)*v01_CohesionFactor*EXP(v01_CapsByProject*SUMPRODUCT((Cap_Point&lt;=I652)*(Cap_Kind="Group")*Cap_Ln))</x:f>
        <x:v>500</x:v>
      </x:c>
      <x:c r="N652" s="32" t="n">
        <x:f>MIN(J652,L652,M652)</x:f>
        <x:v>60</x:v>
      </x:c>
      <x:c r="O652" s="10" t="n">
        <x:f>AE651*N652</x:f>
        <x:v>300</x:v>
      </x:c>
      <x:c r="P652" s="9" t="n">
        <x:f>MIN(1,(AB651/(AE651*IF(v01_GroupInCrowding=1,N652,MIN(J652,L652))))^v01_CrowdingExp)</x:f>
        <x:v>0.1601281840077193</x:v>
      </x:c>
      <x:c r="Q652" s="9" t="n">
        <x:f>IF(D652=1,INDEX(v01_WinterMult,G652),1)</x:f>
        <x:v>1</x:v>
      </x:c>
      <x:c r="R652" s="9" t="n">
        <x:f>H652*Z651*v01_WomenShare*v01_BaseFertility*INDEX(v01_FertMult,G652)*Arch_Fertility*(1-P652)</x:f>
        <x:v>3.294509788824496</x:v>
      </x:c>
      <x:c r="S652" s="9" t="n">
        <x:f>H652*Y651*INDEX(v01_MortChild,G652)/4*Q652</x:f>
        <x:v>0.8135066612418438</x:v>
      </x:c>
      <x:c r="T652" s="9" t="n">
        <x:f>H652*Z651*INDEX(v01_MortAdult,G652)*Arch_AdultMort/4*Q652</x:f>
        <x:v>0.2905654856947728</x:v>
      </x:c>
      <x:c r="U652" s="9" t="n">
        <x:f>H652*AA651*INDEX(v01_MortElder,G652)/4*Q652</x:f>
        <x:v>0.5467707513897097</x:v>
      </x:c>
      <x:c r="V652" s="9" t="n">
        <x:f>H652*MAX(0,AB651-O652)*v01_OvercapLoss</x:f>
        <x:v>0</x:v>
      </x:c>
      <x:c r="W652" s="9" t="n">
        <x:f>H652*Y651/(v01_ChildYears*4)</x:f>
        <x:v>1.6602176760037626</x:v>
      </x:c>
      <x:c r="X652" s="9" t="n">
        <x:f>H652*Z651/(v01_AdultYears*4)</x:f>
        <x:v>0.781090015308529</x:v>
      </x:c>
      <x:c r="Y652" s="32" t="n">
        <x:f>Y651+R652-S652-W652-Y651*V652/AB651</x:f>
        <x:v>93.79297530778959</x:v>
      </x:c>
      <x:c r="Z652" s="32" t="n">
        <x:f>Z651+W652-X652-T652-Z651*V652/AB651</x:f>
        <x:v>97.44372407325805</x:v>
      </x:c>
      <x:c r="AA652" s="32" t="n">
        <x:f>AA651+X652-U652-AA651*V652/AB651</x:f>
        <x:v>31.478362200473654</x:v>
      </x:c>
      <x:c r="AB652" s="10" t="n">
        <x:f>Y652+Z652+AA652</x:f>
        <x:v>222.7150615815213</x:v>
      </x:c>
      <x:c r="AC652" s="8" t="n">
        <x:f>IF(AND(v01_WinterTrigger=1,D652=1,AB651/AE651&gt;=K652),1,0)</x:f>
        <x:v>0</x:v>
      </x:c>
      <x:c r="AD652" s="8" t="n">
        <x:f>H652*IF(AND(OR(AB651/AE651&gt;=v01_FissionTrigger*N652,AC652=1),AB651/AE651*v01_DaughterShare&gt;=v01_MinDaughter),MAX(1,ROUND(AE651*v01_FissionRate,0)),0)</x:f>
        <x:v>0</x:v>
      </x:c>
      <x:c r="AE652" s="8" t="n">
        <x:f>IF(H652=1,MAX(1,MIN(INDEX(v01_Smax,G652),AE651+AD652)),AE651)</x:f>
        <x:v>5</x:v>
      </x:c>
      <x:c r="AF652" s="8" t="n">
        <x:f>MAX(0,AE652-AE651)</x:f>
        <x:v>0</x:v>
      </x:c>
      <x:c r="AG652" s="9" t="str">
        <x:f>IF(AF652&gt;0,B652,"")</x:f>
      </x:c>
      <x:c r="AH652" s="9" t="n">
        <x:f>IF(F652&gt;=1,1,(1+v01_LowTiesShare*(AE652-1))/AE652)</x:f>
        <x:v>1</x:v>
      </x:c>
      <x:c r="AI652" s="32" t="n">
        <x:f>(Z652+v01_ElderCommons*INDEX(LM_Elder,G652)*AA652)*AH652</x:f>
        <x:v>191.87881067467902</x:v>
      </x:c>
      <x:c r="AJ652" s="32" t="n">
        <x:f>H652*v01_CommonsCoef*AI652^v01_CommonsExp*INDEX(LM_Commons,G652)</x:f>
        <x:v>57.55948516301155</x:v>
      </x:c>
      <x:c r="AK652" s="32" t="n">
        <x:f>H652*v01_RoleScale*Arch_Roles*(AE652*(INDEX(v01_ElderRolePerSett,G652)*v01_OutElder*INDEX(LM_Elder,G652)+INDEX(v01_ShamanPerSett,G652)*v01_OutShaman)+Z652*(INDEX(v01_PriestShare,G652)*v01_OutPriest+INDEX(v01_ScribeShare,G652)*v01_OutScribe*INDEX(LM_Scribe,G652)+INDEX(v01_ScholarShare,G652)*v01_OutScholar*INDEX(LM_Scholar,G652)+INDEX(v01_ResearcherShare,G652)*v01_OutResearcher*INDEX(LM_Researcher,G652)))</x:f>
        <x:v>15</x:v>
      </x:c>
      <x:c r="AL652" s="32" t="n">
        <x:f>H652*v01_RoleScale*Arch_Roles*AE652*INDEX(v01_MonasteryPerSett,G652)*v01_OutMonastery*INDEX(LM_Monastery,G652)</x:f>
        <x:v>0</x:v>
      </x:c>
      <x:c r="AM652" s="32" t="n">
        <x:f>(AJ652+AK652+AL652)/4*INDEX(LM_All,G652)*INDEX(v01_Boon,G652)*Arch_Insight</x:f>
        <x:v>19.05820227484725</x:v>
      </x:c>
      <x:c r="AN652" s="32" t="n">
        <x:f>H652*(v01_KHPerAdult*Z652+v01_KHOfCommons*AJ652/4*INDEX(LM_All,G652))*v01_KHUsable*Arch_KH</x:f>
        <x:v>3.410530342564032</x:v>
      </x:c>
      <x:c r="AO652" s="32" t="n">
        <x:f>MIN(AP651+AN652,AM652*v01_KHMaxRatio)</x:f>
        <x:v>3.410530342564032</x:v>
      </x:c>
      <x:c r="AP652" s="32" t="n">
        <x:f>AP651+AN652-AO652</x:f>
        <x:v>0</x:v>
      </x:c>
      <x:c r="AQ652" s="32" t="n">
        <x:f>AM652+AO652</x:f>
        <x:v>22.468732617411284</x:v>
      </x:c>
      <x:c r="AR652" s="10" t="n">
        <x:f>IF(H652=1,INDEX(v01_Req,G652),0)</x:f>
        <x:v>4006.9599999999996</x:v>
      </x:c>
      <x:c r="AS652" s="32" t="n">
        <x:f>IF(H652=1,IF(E652=1,AS651-AR651,AS651)+AQ652,0)</x:f>
        <x:v>2422.2563540948995</x:v>
      </x:c>
      <x:c r="AT652" s="11" t="n">
        <x:f>IF(AR652&gt;0,MIN(1,AS652/AR652),1)</x:f>
        <x:v>0.604512237230943</x:v>
      </x:c>
      <x:c r="AU652" s="10" t="n">
        <x:f>AB652/INDEX(v01_RepScale,G652)</x:f>
        <x:v>111.35753079076065</x:v>
      </x:c>
      <x:c r="AV652" s="32" t="n">
        <x:f>AM652*60/v01_SeasonSeconds</x:f>
        <x:v>76.232809099389</x:v>
      </x:c>
    </x:row>
    <x:row r="653">
      <x:c r="A653" s="8" t="n">
        <x:f>A652+1</x:f>
        <x:v>650</x:v>
      </x:c>
      <x:c r="B653" s="9" t="n">
        <x:f>A653*v01_SeasonSeconds/60</x:f>
        <x:v>162.5</x:v>
      </x:c>
      <x:c r="C653" s="9" t="n">
        <x:f>A653/4</x:f>
        <x:v>162.5</x:v>
      </x:c>
      <x:c r="D653" s="8" t="n">
        <x:f>IF(MOD(A653,4)=0,1,0)</x:f>
        <x:v>0</x:v>
      </x:c>
      <x:c r="E653" s="8" t="n">
        <x:f>IF(AND(F652&lt;=9,AS652&gt;=AR652),1,0)</x:f>
        <x:v>0</x:v>
      </x:c>
      <x:c r="F653" s="8" t="n">
        <x:f>MIN(10,F652+E653)</x:f>
        <x:v>2</x:v>
      </x:c>
      <x:c r="G653" s="8" t="n">
        <x:f>MIN(F653,9)+1</x:f>
        <x:v>3</x:v>
      </x:c>
      <x:c r="H653" s="8" t="n">
        <x:f>IF(F653&lt;=9,1,0)</x:f>
        <x:v>1</x:v>
      </x:c>
      <x:c r="I653" s="9" t="n">
        <x:f>MIN(10,F652+IF(AR652&gt;0,MIN(1,AS652/AR652),1))</x:f>
        <x:v>2.604512237230943</x:v>
      </x:c>
      <x:c r="J653" s="32" t="n">
        <x:f>INDEX(v01_FoodCap,G653)*Arch_FoodCap*EXP(v01_CapsByProject*SUMPRODUCT((Cap_Point&lt;=I653)*(Cap_Kind="Food")*Cap_Ln))</x:f>
        <x:v>60</x:v>
      </x:c>
      <x:c r="K653" s="32" t="n">
        <x:f>J653*MIN(1,v01_LeanBase*EXP(v01_CapsByProject*SUMPRODUCT((Cap_Point&lt;=I653)*(Cap_Kind="Lean")*Cap_Ln)))</x:f>
        <x:v>60</x:v>
      </x:c>
      <x:c r="L653" s="10" t="n">
        <x:f>INDEX(v01_HousingCap,G653)*EXP(v01_CapsByProject*SUMPRODUCT((Cap_Point&lt;=I653)*(Cap_Kind="Housing")*Cap_Ln))</x:f>
        <x:v>100</x:v>
      </x:c>
      <x:c r="M653" s="10" t="n">
        <x:f>INDEX(v01_GroupCap,G653)*v01_CohesionFactor*EXP(v01_CapsByProject*SUMPRODUCT((Cap_Point&lt;=I653)*(Cap_Kind="Group")*Cap_Ln))</x:f>
        <x:v>500</x:v>
      </x:c>
      <x:c r="N653" s="32" t="n">
        <x:f>MIN(J653,L653,M653)</x:f>
        <x:v>60</x:v>
      </x:c>
      <x:c r="O653" s="10" t="n">
        <x:f>AE652*N653</x:f>
        <x:v>300</x:v>
      </x:c>
      <x:c r="P653" s="9" t="n">
        <x:f>MIN(1,(AB652/(AE652*IF(v01_GroupInCrowding=1,N653,MIN(J653,L653))))^v01_CrowdingExp)</x:f>
        <x:v>0.1674056071736451</x:v>
      </x:c>
      <x:c r="Q653" s="9" t="n">
        <x:f>IF(D653=1,INDEX(v01_WinterMult,G653),1)</x:f>
        <x:v>1</x:v>
      </x:c>
      <x:c r="R653" s="9" t="n">
        <x:f>H653*Z652*v01_WomenShare*v01_BaseFertility*INDEX(v01_FertMult,G653)*Arch_Fertility*(1-P653)</x:f>
        <x:v>3.2858094803202826</x:v>
      </x:c>
      <x:c r="S653" s="9" t="n">
        <x:f>H653*Y652*INDEX(v01_MortChild,G653)/4*Q653</x:f>
        <x:v>0.820688533943159</x:v>
      </x:c>
      <x:c r="T653" s="9" t="n">
        <x:f>H653*Z652*INDEX(v01_MortAdult,G653)*Arch_AdultMort/4*Q653</x:f>
        <x:v>0.29233117221977417</x:v>
      </x:c>
      <x:c r="U653" s="9" t="n">
        <x:f>H653*AA652*INDEX(v01_MortElder,G653)/4*Q653</x:f>
        <x:v>0.550871338508289</x:v>
      </x:c>
      <x:c r="V653" s="9" t="n">
        <x:f>H653*MAX(0,AB652-O653)*v01_OvercapLoss</x:f>
        <x:v>0</x:v>
      </x:c>
      <x:c r="W653" s="9" t="n">
        <x:f>H653*Y652/(v01_ChildYears*4)</x:f>
        <x:v>1.6748745590676712</x:v>
      </x:c>
      <x:c r="X653" s="9" t="n">
        <x:f>H653*Z652/(v01_AdultYears*4)</x:f>
        <x:v>0.7858364844617585</x:v>
      </x:c>
      <x:c r="Y653" s="32" t="n">
        <x:f>Y652+R653-S653-W653-Y652*V653/AB652</x:f>
        <x:v>94.58322169509904</x:v>
      </x:c>
      <x:c r="Z653" s="32" t="n">
        <x:f>Z652+W653-X653-T653-Z652*V653/AB652</x:f>
        <x:v>98.0404309756442</x:v>
      </x:c>
      <x:c r="AA653" s="32" t="n">
        <x:f>AA652+X653-U653-AA652*V653/AB652</x:f>
        <x:v>31.713327346427125</x:v>
      </x:c>
      <x:c r="AB653" s="10" t="n">
        <x:f>Y653+Z653+AA653</x:f>
        <x:v>224.33698001717036</x:v>
      </x:c>
      <x:c r="AC653" s="8" t="n">
        <x:f>IF(AND(v01_WinterTrigger=1,D653=1,AB652/AE652&gt;=K653),1,0)</x:f>
        <x:v>0</x:v>
      </x:c>
      <x:c r="AD653" s="8" t="n">
        <x:f>H653*IF(AND(OR(AB652/AE652&gt;=v01_FissionTrigger*N653,AC653=1),AB652/AE652*v01_DaughterShare&gt;=v01_MinDaughter),MAX(1,ROUND(AE652*v01_FissionRate,0)),0)</x:f>
        <x:v>0</x:v>
      </x:c>
      <x:c r="AE653" s="8" t="n">
        <x:f>IF(H653=1,MAX(1,MIN(INDEX(v01_Smax,G653),AE652+AD653)),AE652)</x:f>
        <x:v>5</x:v>
      </x:c>
      <x:c r="AF653" s="8" t="n">
        <x:f>MAX(0,AE653-AE652)</x:f>
        <x:v>0</x:v>
      </x:c>
      <x:c r="AG653" s="9" t="str">
        <x:f>IF(AF653&gt;0,B653,"")</x:f>
      </x:c>
      <x:c r="AH653" s="9" t="n">
        <x:f>IF(F653&gt;=1,1,(1+v01_LowTiesShare*(AE653-1))/AE653)</x:f>
        <x:v>1</x:v>
      </x:c>
      <x:c r="AI653" s="32" t="n">
        <x:f>(Z653+v01_ElderCommons*INDEX(LM_Elder,G653)*AA653)*AH653</x:f>
        <x:v>193.1804130149256</x:v>
      </x:c>
      <x:c r="AJ653" s="32" t="n">
        <x:f>H653*v01_CommonsCoef*AI653^v01_CommonsExp*INDEX(LM_Commons,G653)</x:f>
        <x:v>57.8912013727648</x:v>
      </x:c>
      <x:c r="AK653" s="32" t="n">
        <x:f>H653*v01_RoleScale*Arch_Roles*(AE653*(INDEX(v01_ElderRolePerSett,G653)*v01_OutElder*INDEX(LM_Elder,G653)+INDEX(v01_ShamanPerSett,G653)*v01_OutShaman)+Z653*(INDEX(v01_PriestShare,G653)*v01_OutPriest+INDEX(v01_ScribeShare,G653)*v01_OutScribe*INDEX(LM_Scribe,G653)+INDEX(v01_ScholarShare,G653)*v01_OutScholar*INDEX(LM_Scholar,G653)+INDEX(v01_ResearcherShare,G653)*v01_OutResearcher*INDEX(LM_Researcher,G653)))</x:f>
        <x:v>15</x:v>
      </x:c>
      <x:c r="AL653" s="32" t="n">
        <x:f>H653*v01_RoleScale*Arch_Roles*AE653*INDEX(v01_MonasteryPerSett,G653)*v01_OutMonastery*INDEX(LM_Monastery,G653)</x:f>
        <x:v>0</x:v>
      </x:c>
      <x:c r="AM653" s="32" t="n">
        <x:f>(AJ653+AK653+AL653)/4*INDEX(LM_All,G653)*INDEX(v01_Boon,G653)*Arch_Insight</x:f>
        <x:v>19.145329610565252</x:v>
      </x:c>
      <x:c r="AN653" s="32" t="n">
        <x:f>H653*(v01_KHPerAdult*Z653+v01_KHOfCommons*AJ653/4*INDEX(LM_All,G653))*v01_KHUsable*Arch_KH</x:f>
        <x:v>3.431415084147547</x:v>
      </x:c>
      <x:c r="AO653" s="32" t="n">
        <x:f>MIN(AP652+AN653,AM653*v01_KHMaxRatio)</x:f>
        <x:v>3.431415084147547</x:v>
      </x:c>
      <x:c r="AP653" s="32" t="n">
        <x:f>AP652+AN653-AO653</x:f>
        <x:v>0</x:v>
      </x:c>
      <x:c r="AQ653" s="32" t="n">
        <x:f>AM653+AO653</x:f>
        <x:v>22.5767446947128</x:v>
      </x:c>
      <x:c r="AR653" s="10" t="n">
        <x:f>IF(H653=1,INDEX(v01_Req,G653),0)</x:f>
        <x:v>4006.9599999999996</x:v>
      </x:c>
      <x:c r="AS653" s="32" t="n">
        <x:f>IF(H653=1,IF(E653=1,AS652-AR652,AS652)+AQ653,0)</x:f>
        <x:v>2444.8330987896124</x:v>
      </x:c>
      <x:c r="AT653" s="11" t="n">
        <x:f>IF(AR653&gt;0,MIN(1,AS653/AR653),1)</x:f>
        <x:v>0.6101466195793351</x:v>
      </x:c>
      <x:c r="AU653" s="10" t="n">
        <x:f>AB653/INDEX(v01_RepScale,G653)</x:f>
        <x:v>112.16849000858518</x:v>
      </x:c>
      <x:c r="AV653" s="32" t="n">
        <x:f>AM653*60/v01_SeasonSeconds</x:f>
        <x:v>76.58131844226101</x:v>
      </x:c>
    </x:row>
    <x:row r="654">
      <x:c r="A654" s="8" t="n">
        <x:f>A653+1</x:f>
        <x:v>651</x:v>
      </x:c>
      <x:c r="B654" s="9" t="n">
        <x:f>A654*v01_SeasonSeconds/60</x:f>
        <x:v>162.75</x:v>
      </x:c>
      <x:c r="C654" s="9" t="n">
        <x:f>A654/4</x:f>
        <x:v>162.75</x:v>
      </x:c>
      <x:c r="D654" s="8" t="n">
        <x:f>IF(MOD(A654,4)=0,1,0)</x:f>
        <x:v>0</x:v>
      </x:c>
      <x:c r="E654" s="8" t="n">
        <x:f>IF(AND(F653&lt;=9,AS653&gt;=AR653),1,0)</x:f>
        <x:v>0</x:v>
      </x:c>
      <x:c r="F654" s="8" t="n">
        <x:f>MIN(10,F653+E654)</x:f>
        <x:v>2</x:v>
      </x:c>
      <x:c r="G654" s="8" t="n">
        <x:f>MIN(F654,9)+1</x:f>
        <x:v>3</x:v>
      </x:c>
      <x:c r="H654" s="8" t="n">
        <x:f>IF(F654&lt;=9,1,0)</x:f>
        <x:v>1</x:v>
      </x:c>
      <x:c r="I654" s="9" t="n">
        <x:f>MIN(10,F653+IF(AR653&gt;0,MIN(1,AS653/AR653),1))</x:f>
        <x:v>2.6101466195793352</x:v>
      </x:c>
      <x:c r="J654" s="32" t="n">
        <x:f>INDEX(v01_FoodCap,G654)*Arch_FoodCap*EXP(v01_CapsByProject*SUMPRODUCT((Cap_Point&lt;=I654)*(Cap_Kind="Food")*Cap_Ln))</x:f>
        <x:v>60</x:v>
      </x:c>
      <x:c r="K654" s="32" t="n">
        <x:f>J654*MIN(1,v01_LeanBase*EXP(v01_CapsByProject*SUMPRODUCT((Cap_Point&lt;=I654)*(Cap_Kind="Lean")*Cap_Ln)))</x:f>
        <x:v>60</x:v>
      </x:c>
      <x:c r="L654" s="10" t="n">
        <x:f>INDEX(v01_HousingCap,G654)*EXP(v01_CapsByProject*SUMPRODUCT((Cap_Point&lt;=I654)*(Cap_Kind="Housing")*Cap_Ln))</x:f>
        <x:v>100</x:v>
      </x:c>
      <x:c r="M654" s="10" t="n">
        <x:f>INDEX(v01_GroupCap,G654)*v01_CohesionFactor*EXP(v01_CapsByProject*SUMPRODUCT((Cap_Point&lt;=I654)*(Cap_Kind="Group")*Cap_Ln))</x:f>
        <x:v>500</x:v>
      </x:c>
      <x:c r="N654" s="32" t="n">
        <x:f>MIN(J654,L654,M654)</x:f>
        <x:v>60</x:v>
      </x:c>
      <x:c r="O654" s="10" t="n">
        <x:f>AE653*N654</x:f>
        <x:v>300</x:v>
      </x:c>
      <x:c r="P654" s="9" t="n">
        <x:f>MIN(1,(AB653/(AE653*IF(v01_GroupInCrowding=1,N654,MIN(J654,L654))))^v01_CrowdingExp)</x:f>
        <x:v>0.17485485154180916</x:v>
      </x:c>
      <x:c r="Q654" s="9" t="n">
        <x:f>IF(D654=1,INDEX(v01_WinterMult,G654),1)</x:f>
        <x:v>1</x:v>
      </x:c>
      <x:c r="R654" s="9" t="n">
        <x:f>H654*Z653*v01_WomenShare*v01_BaseFertility*INDEX(v01_FertMult,G654)*Arch_Fertility*(1-P654)</x:f>
        <x:v>3.276352231878269</x:v>
      </x:c>
      <x:c r="S654" s="9" t="n">
        <x:f>H654*Y653*INDEX(v01_MortChild,G654)/4*Q654</x:f>
        <x:v>0.8276031898321167</x:v>
      </x:c>
      <x:c r="T654" s="9" t="n">
        <x:f>H654*Z653*INDEX(v01_MortAdult,G654)*Arch_AdultMort/4*Q654</x:f>
        <x:v>0.2941212929269326</x:v>
      </x:c>
      <x:c r="U654" s="9" t="n">
        <x:f>H654*AA653*INDEX(v01_MortElder,G654)/4*Q654</x:f>
        <x:v>0.5549832285624747</x:v>
      </x:c>
      <x:c r="V654" s="9" t="n">
        <x:f>H654*MAX(0,AB653-O654)*v01_OvercapLoss</x:f>
        <x:v>0</x:v>
      </x:c>
      <x:c r="W654" s="9" t="n">
        <x:f>H654*Y653/(v01_ChildYears*4)</x:f>
        <x:v>1.688986101698197</x:v>
      </x:c>
      <x:c r="X654" s="9" t="n">
        <x:f>H654*Z653/(v01_AdultYears*4)</x:f>
        <x:v>0.7906486369003565</x:v>
      </x:c>
      <x:c r="Y654" s="32" t="n">
        <x:f>Y653+R654-S654-W654-Y653*V654/AB653</x:f>
        <x:v>95.342984635447</x:v>
      </x:c>
      <x:c r="Z654" s="32" t="n">
        <x:f>Z653+W654-X654-T654-Z653*V654/AB653</x:f>
        <x:v>98.6446471475151</x:v>
      </x:c>
      <x:c r="AA654" s="32" t="n">
        <x:f>AA653+X654-U654-AA653*V654/AB653</x:f>
        <x:v>31.948992754765005</x:v>
      </x:c>
      <x:c r="AB654" s="10" t="n">
        <x:f>Y654+Z654+AA654</x:f>
        <x:v>225.9366245377271</x:v>
      </x:c>
      <x:c r="AC654" s="8" t="n">
        <x:f>IF(AND(v01_WinterTrigger=1,D654=1,AB653/AE653&gt;=K654),1,0)</x:f>
        <x:v>0</x:v>
      </x:c>
      <x:c r="AD654" s="8" t="n">
        <x:f>H654*IF(AND(OR(AB653/AE653&gt;=v01_FissionTrigger*N654,AC654=1),AB653/AE653*v01_DaughterShare&gt;=v01_MinDaughter),MAX(1,ROUND(AE653*v01_FissionRate,0)),0)</x:f>
        <x:v>0</x:v>
      </x:c>
      <x:c r="AE654" s="8" t="n">
        <x:f>IF(H654=1,MAX(1,MIN(INDEX(v01_Smax,G654),AE653+AD654)),AE653)</x:f>
        <x:v>5</x:v>
      </x:c>
      <x:c r="AF654" s="8" t="n">
        <x:f>MAX(0,AE654-AE653)</x:f>
        <x:v>0</x:v>
      </x:c>
      <x:c r="AG654" s="9" t="str">
        <x:f>IF(AF654&gt;0,B654,"")</x:f>
      </x:c>
      <x:c r="AH654" s="9" t="n">
        <x:f>IF(F654&gt;=1,1,(1+v01_LowTiesShare*(AE654-1))/AE654)</x:f>
        <x:v>1</x:v>
      </x:c>
      <x:c r="AI654" s="32" t="n">
        <x:f>(Z654+v01_ElderCommons*INDEX(LM_Elder,G654)*AA654)*AH654</x:f>
        <x:v>194.4916254118101</x:v>
      </x:c>
      <x:c r="AJ654" s="32" t="n">
        <x:f>H654*v01_CommonsCoef*AI654^v01_CommonsExp*INDEX(LM_Commons,G654)</x:f>
        <x:v>58.22502792601729</x:v>
      </x:c>
      <x:c r="AK654" s="32" t="n">
        <x:f>H654*v01_RoleScale*Arch_Roles*(AE654*(INDEX(v01_ElderRolePerSett,G654)*v01_OutElder*INDEX(LM_Elder,G654)+INDEX(v01_ShamanPerSett,G654)*v01_OutShaman)+Z654*(INDEX(v01_PriestShare,G654)*v01_OutPriest+INDEX(v01_ScribeShare,G654)*v01_OutScribe*INDEX(LM_Scribe,G654)+INDEX(v01_ScholarShare,G654)*v01_OutScholar*INDEX(LM_Scholar,G654)+INDEX(v01_ResearcherShare,G654)*v01_OutResearcher*INDEX(LM_Researcher,G654)))</x:f>
        <x:v>15</x:v>
      </x:c>
      <x:c r="AL654" s="32" t="n">
        <x:f>H654*v01_RoleScale*Arch_Roles*AE654*INDEX(v01_MonasteryPerSett,G654)*v01_OutMonastery*INDEX(LM_Monastery,G654)</x:f>
        <x:v>0</x:v>
      </x:c>
      <x:c r="AM654" s="32" t="n">
        <x:f>(AJ654+AK654+AL654)/4*INDEX(LM_All,G654)*INDEX(v01_Boon,G654)*Arch_Insight</x:f>
        <x:v>19.233011241192976</x:v>
      </x:c>
      <x:c r="AN654" s="32" t="n">
        <x:f>H654*(v01_KHPerAdult*Z654+v01_KHOfCommons*AJ654/4*INDEX(LM_All,G654))*v01_KHUsable*Arch_KH</x:f>
        <x:v>3.4525626501630287</x:v>
      </x:c>
      <x:c r="AO654" s="32" t="n">
        <x:f>MIN(AP653+AN654,AM654*v01_KHMaxRatio)</x:f>
        <x:v>3.4525626501630287</x:v>
      </x:c>
      <x:c r="AP654" s="32" t="n">
        <x:f>AP653+AN654-AO654</x:f>
        <x:v>0</x:v>
      </x:c>
      <x:c r="AQ654" s="32" t="n">
        <x:f>AM654+AO654</x:f>
        <x:v>22.685573891356004</x:v>
      </x:c>
      <x:c r="AR654" s="10" t="n">
        <x:f>IF(H654=1,INDEX(v01_Req,G654),0)</x:f>
        <x:v>4006.9599999999996</x:v>
      </x:c>
      <x:c r="AS654" s="32" t="n">
        <x:f>IF(H654=1,IF(E654=1,AS653-AR653,AS653)+AQ654,0)</x:f>
        <x:v>2467.5186726809684</x:v>
      </x:c>
      <x:c r="AT654" s="11" t="n">
        <x:f>IF(AR654&gt;0,MIN(1,AS654/AR654),1)</x:f>
        <x:v>0.6158081619684171</x:v>
      </x:c>
      <x:c r="AU654" s="10" t="n">
        <x:f>AB654/INDEX(v01_RepScale,G654)</x:f>
        <x:v>112.96831226886356</x:v>
      </x:c>
      <x:c r="AV654" s="32" t="n">
        <x:f>AM654*60/v01_SeasonSeconds</x:f>
        <x:v>76.9320449647719</x:v>
      </x:c>
    </x:row>
    <x:row r="655">
      <x:c r="A655" s="8" t="n">
        <x:f>A654+1</x:f>
        <x:v>652</x:v>
      </x:c>
      <x:c r="B655" s="9" t="n">
        <x:f>A655*v01_SeasonSeconds/60</x:f>
        <x:v>163</x:v>
      </x:c>
      <x:c r="C655" s="9" t="n">
        <x:f>A655/4</x:f>
        <x:v>163</x:v>
      </x:c>
      <x:c r="D655" s="8" t="n">
        <x:f>IF(MOD(A655,4)=0,1,0)</x:f>
        <x:v>1</x:v>
      </x:c>
      <x:c r="E655" s="8" t="n">
        <x:f>IF(AND(F654&lt;=9,AS654&gt;=AR654),1,0)</x:f>
        <x:v>0</x:v>
      </x:c>
      <x:c r="F655" s="8" t="n">
        <x:f>MIN(10,F654+E655)</x:f>
        <x:v>2</x:v>
      </x:c>
      <x:c r="G655" s="8" t="n">
        <x:f>MIN(F655,9)+1</x:f>
        <x:v>3</x:v>
      </x:c>
      <x:c r="H655" s="8" t="n">
        <x:f>IF(F655&lt;=9,1,0)</x:f>
        <x:v>1</x:v>
      </x:c>
      <x:c r="I655" s="9" t="n">
        <x:f>MIN(10,F654+IF(AR654&gt;0,MIN(1,AS654/AR654),1))</x:f>
        <x:v>2.6158081619684173</x:v>
      </x:c>
      <x:c r="J655" s="32" t="n">
        <x:f>INDEX(v01_FoodCap,G655)*Arch_FoodCap*EXP(v01_CapsByProject*SUMPRODUCT((Cap_Point&lt;=I655)*(Cap_Kind="Food")*Cap_Ln))</x:f>
        <x:v>60</x:v>
      </x:c>
      <x:c r="K655" s="32" t="n">
        <x:f>J655*MIN(1,v01_LeanBase*EXP(v01_CapsByProject*SUMPRODUCT((Cap_Point&lt;=I655)*(Cap_Kind="Lean")*Cap_Ln)))</x:f>
        <x:v>60</x:v>
      </x:c>
      <x:c r="L655" s="10" t="n">
        <x:f>INDEX(v01_HousingCap,G655)*EXP(v01_CapsByProject*SUMPRODUCT((Cap_Point&lt;=I655)*(Cap_Kind="Housing")*Cap_Ln))</x:f>
        <x:v>100</x:v>
      </x:c>
      <x:c r="M655" s="10" t="n">
        <x:f>INDEX(v01_GroupCap,G655)*v01_CohesionFactor*EXP(v01_CapsByProject*SUMPRODUCT((Cap_Point&lt;=I655)*(Cap_Kind="Group")*Cap_Ln))</x:f>
        <x:v>500</x:v>
      </x:c>
      <x:c r="N655" s="32" t="n">
        <x:f>MIN(J655,L655,M655)</x:f>
        <x:v>60</x:v>
      </x:c>
      <x:c r="O655" s="10" t="n">
        <x:f>AE654*N655</x:f>
        <x:v>300</x:v>
      </x:c>
      <x:c r="P655" s="9" t="n">
        <x:f>MIN(1,(AB654/(AE654*IF(v01_GroupInCrowding=1,N655,MIN(J655,L655))))^v01_CrowdingExp)</x:f>
        <x:v>0.1824703431131331</x:v>
      </x:c>
      <x:c r="Q655" s="9" t="n">
        <x:f>IF(D655=1,INDEX(v01_WinterMult,G655),1)</x:f>
        <x:v>1.3</x:v>
      </x:c>
      <x:c r="R655" s="9" t="n">
        <x:f>H655*Z654*v01_WomenShare*v01_BaseFertility*INDEX(v01_FertMult,G655)*Arch_Fertility*(1-P655)</x:f>
        <x:v>3.2661194437174803</x:v>
      </x:c>
      <x:c r="S655" s="9" t="n">
        <x:f>H655*Y654*INDEX(v01_MortChild,G655)/4*Q655</x:f>
        <x:v>1.0845264502282097</x:v>
      </x:c>
      <x:c r="T655" s="9" t="n">
        <x:f>H655*Z654*INDEX(v01_MortAdult,G655)*Arch_AdultMort/4*Q655</x:f>
        <x:v>0.3847141238753089</x:v>
      </x:c>
      <x:c r="U655" s="9" t="n">
        <x:f>H655*AA654*INDEX(v01_MortElder,G655)/4*Q655</x:f>
        <x:v>0.726839585170904</x:v>
      </x:c>
      <x:c r="V655" s="9" t="n">
        <x:f>H655*MAX(0,AB654-O655)*v01_OvercapLoss</x:f>
        <x:v>0</x:v>
      </x:c>
      <x:c r="W655" s="9" t="n">
        <x:f>H655*Y654/(v01_ChildYears*4)</x:f>
        <x:v>1.7025532970615536</x:v>
      </x:c>
      <x:c r="X655" s="9" t="n">
        <x:f>H655*Z654/(v01_AdultYears*4)</x:f>
        <x:v>0.7955213479638314</x:v>
      </x:c>
      <x:c r="Y655" s="32" t="n">
        <x:f>Y654+R655-S655-W655-Y654*V655/AB654</x:f>
        <x:v>95.82202433187472</x:v>
      </x:c>
      <x:c r="Z655" s="32" t="n">
        <x:f>Z654+W655-X655-T655-Z654*V655/AB654</x:f>
        <x:v>99.16696497273752</x:v>
      </x:c>
      <x:c r="AA655" s="32" t="n">
        <x:f>AA654+X655-U655-AA654*V655/AB654</x:f>
        <x:v>32.01767451755793</x:v>
      </x:c>
      <x:c r="AB655" s="10" t="n">
        <x:f>Y655+Z655+AA655</x:f>
        <x:v>227.00666382217017</x:v>
      </x:c>
      <x:c r="AC655" s="8" t="n">
        <x:f>IF(AND(v01_WinterTrigger=1,D655=1,AB654/AE654&gt;=K655),1,0)</x:f>
        <x:v>0</x:v>
      </x:c>
      <x:c r="AD655" s="8" t="n">
        <x:f>H655*IF(AND(OR(AB654/AE654&gt;=v01_FissionTrigger*N655,AC655=1),AB654/AE654*v01_DaughterShare&gt;=v01_MinDaughter),MAX(1,ROUND(AE654*v01_FissionRate,0)),0)</x:f>
        <x:v>0</x:v>
      </x:c>
      <x:c r="AE655" s="8" t="n">
        <x:f>IF(H655=1,MAX(1,MIN(INDEX(v01_Smax,G655),AE654+AD655)),AE654)</x:f>
        <x:v>5</x:v>
      </x:c>
      <x:c r="AF655" s="8" t="n">
        <x:f>MAX(0,AE655-AE654)</x:f>
        <x:v>0</x:v>
      </x:c>
      <x:c r="AG655" s="9" t="str">
        <x:f>IF(AF655&gt;0,B655,"")</x:f>
      </x:c>
      <x:c r="AH655" s="9" t="n">
        <x:f>IF(F655&gt;=1,1,(1+v01_LowTiesShare*(AE655-1))/AE655)</x:f>
        <x:v>1</x:v>
      </x:c>
      <x:c r="AI655" s="32" t="n">
        <x:f>(Z655+v01_ElderCommons*INDEX(LM_Elder,G655)*AA655)*AH655</x:f>
        <x:v>195.21998852541128</x:v>
      </x:c>
      <x:c r="AJ655" s="32" t="n">
        <x:f>H655*v01_CommonsCoef*AI655^v01_CommonsExp*INDEX(LM_Commons,G655)</x:f>
        <x:v>58.410318721450274</x:v>
      </x:c>
      <x:c r="AK655" s="32" t="n">
        <x:f>H655*v01_RoleScale*Arch_Roles*(AE655*(INDEX(v01_ElderRolePerSett,G655)*v01_OutElder*INDEX(LM_Elder,G655)+INDEX(v01_ShamanPerSett,G655)*v01_OutShaman)+Z655*(INDEX(v01_PriestShare,G655)*v01_OutPriest+INDEX(v01_ScribeShare,G655)*v01_OutScribe*INDEX(LM_Scribe,G655)+INDEX(v01_ScholarShare,G655)*v01_OutScholar*INDEX(LM_Scholar,G655)+INDEX(v01_ResearcherShare,G655)*v01_OutResearcher*INDEX(LM_Researcher,G655)))</x:f>
        <x:v>15</x:v>
      </x:c>
      <x:c r="AL655" s="32" t="n">
        <x:f>H655*v01_RoleScale*Arch_Roles*AE655*INDEX(v01_MonasteryPerSett,G655)*v01_OutMonastery*INDEX(LM_Monastery,G655)</x:f>
        <x:v>0</x:v>
      </x:c>
      <x:c r="AM655" s="32" t="n">
        <x:f>(AJ655+AK655+AL655)/4*INDEX(LM_All,G655)*INDEX(v01_Boon,G655)*Arch_Insight</x:f>
        <x:v>19.28167902668092</x:v>
      </x:c>
      <x:c r="AN655" s="32" t="n">
        <x:f>H655*(v01_KHPerAdult*Z655+v01_KHOfCommons*AJ655/4*INDEX(LM_All,G655))*v01_KHUsable*Arch_KH</x:f>
        <x:v>3.470843774045813</x:v>
      </x:c>
      <x:c r="AO655" s="32" t="n">
        <x:f>MIN(AP654+AN655,AM655*v01_KHMaxRatio)</x:f>
        <x:v>3.470843774045813</x:v>
      </x:c>
      <x:c r="AP655" s="32" t="n">
        <x:f>AP654+AN655-AO655</x:f>
        <x:v>0</x:v>
      </x:c>
      <x:c r="AQ655" s="32" t="n">
        <x:f>AM655+AO655</x:f>
        <x:v>22.752522800726734</x:v>
      </x:c>
      <x:c r="AR655" s="10" t="n">
        <x:f>IF(H655=1,INDEX(v01_Req,G655),0)</x:f>
        <x:v>4006.9599999999996</x:v>
      </x:c>
      <x:c r="AS655" s="32" t="n">
        <x:f>IF(H655=1,IF(E655=1,AS654-AR654,AS654)+AQ655,0)</x:f>
        <x:v>2490.271195481695</x:v>
      </x:c>
      <x:c r="AT655" s="11" t="n">
        <x:f>IF(AR655&gt;0,MIN(1,AS655/AR655),1)</x:f>
        <x:v>0.6214864125126518</x:v>
      </x:c>
      <x:c r="AU655" s="10" t="n">
        <x:f>AB655/INDEX(v01_RepScale,G655)</x:f>
        <x:v>113.50333191108508</x:v>
      </x:c>
      <x:c r="AV655" s="32" t="n">
        <x:f>AM655*60/v01_SeasonSeconds</x:f>
        <x:v>77.12671610672368</x:v>
      </x:c>
    </x:row>
    <x:row r="656">
      <x:c r="A656" s="8" t="n">
        <x:f>A655+1</x:f>
        <x:v>653</x:v>
      </x:c>
      <x:c r="B656" s="9" t="n">
        <x:f>A656*v01_SeasonSeconds/60</x:f>
        <x:v>163.25</x:v>
      </x:c>
      <x:c r="C656" s="9" t="n">
        <x:f>A656/4</x:f>
        <x:v>163.25</x:v>
      </x:c>
      <x:c r="D656" s="8" t="n">
        <x:f>IF(MOD(A656,4)=0,1,0)</x:f>
        <x:v>0</x:v>
      </x:c>
      <x:c r="E656" s="8" t="n">
        <x:f>IF(AND(F655&lt;=9,AS655&gt;=AR655),1,0)</x:f>
        <x:v>0</x:v>
      </x:c>
      <x:c r="F656" s="8" t="n">
        <x:f>MIN(10,F655+E656)</x:f>
        <x:v>2</x:v>
      </x:c>
      <x:c r="G656" s="8" t="n">
        <x:f>MIN(F656,9)+1</x:f>
        <x:v>3</x:v>
      </x:c>
      <x:c r="H656" s="8" t="n">
        <x:f>IF(F656&lt;=9,1,0)</x:f>
        <x:v>1</x:v>
      </x:c>
      <x:c r="I656" s="9" t="n">
        <x:f>MIN(10,F655+IF(AR655&gt;0,MIN(1,AS655/AR655),1))</x:f>
        <x:v>2.6214864125126516</x:v>
      </x:c>
      <x:c r="J656" s="32" t="n">
        <x:f>INDEX(v01_FoodCap,G656)*Arch_FoodCap*EXP(v01_CapsByProject*SUMPRODUCT((Cap_Point&lt;=I656)*(Cap_Kind="Food")*Cap_Ln))</x:f>
        <x:v>60</x:v>
      </x:c>
      <x:c r="K656" s="32" t="n">
        <x:f>J656*MIN(1,v01_LeanBase*EXP(v01_CapsByProject*SUMPRODUCT((Cap_Point&lt;=I656)*(Cap_Kind="Lean")*Cap_Ln)))</x:f>
        <x:v>60</x:v>
      </x:c>
      <x:c r="L656" s="10" t="n">
        <x:f>INDEX(v01_HousingCap,G656)*EXP(v01_CapsByProject*SUMPRODUCT((Cap_Point&lt;=I656)*(Cap_Kind="Housing")*Cap_Ln))</x:f>
        <x:v>100</x:v>
      </x:c>
      <x:c r="M656" s="10" t="n">
        <x:f>INDEX(v01_GroupCap,G656)*v01_CohesionFactor*EXP(v01_CapsByProject*SUMPRODUCT((Cap_Point&lt;=I656)*(Cap_Kind="Group")*Cap_Ln))</x:f>
        <x:v>500</x:v>
      </x:c>
      <x:c r="N656" s="32" t="n">
        <x:f>MIN(J656,L656,M656)</x:f>
        <x:v>60</x:v>
      </x:c>
      <x:c r="O656" s="10" t="n">
        <x:f>AE655*N656</x:f>
        <x:v>300</x:v>
      </x:c>
      <x:c r="P656" s="9" t="n">
        <x:f>MIN(1,(AB655/(AE655*IF(v01_GroupInCrowding=1,N656,MIN(J656,L656))))^v01_CrowdingExp)</x:f>
        <x:v>0.18771721776442948</x:v>
      </x:c>
      <x:c r="Q656" s="9" t="n">
        <x:f>IF(D656=1,INDEX(v01_WinterMult,G656),1)</x:f>
        <x:v>1</x:v>
      </x:c>
      <x:c r="R656" s="9" t="n">
        <x:f>H656*Z655*v01_WomenShare*v01_BaseFertility*INDEX(v01_FertMult,G656)*Arch_Fertility*(1-P656)</x:f>
        <x:v>3.2623405376634595</x:v>
      </x:c>
      <x:c r="S656" s="9" t="n">
        <x:f>H656*Y655*INDEX(v01_MortChild,G656)/4*Q656</x:f>
        <x:v>0.8384427129039038</x:v>
      </x:c>
      <x:c r="T656" s="9" t="n">
        <x:f>H656*Z655*INDEX(v01_MortAdult,G656)*Arch_AdultMort/4*Q656</x:f>
        <x:v>0.2975008949182126</x:v>
      </x:c>
      <x:c r="U656" s="9" t="n">
        <x:f>H656*AA655*INDEX(v01_MortElder,G656)/4*Q656</x:f>
        <x:v>0.5603093040572638</x:v>
      </x:c>
      <x:c r="V656" s="9" t="n">
        <x:f>H656*MAX(0,AB655-O656)*v01_OvercapLoss</x:f>
        <x:v>0</x:v>
      </x:c>
      <x:c r="W656" s="9" t="n">
        <x:f>H656*Y655/(v01_ChildYears*4)</x:f>
        <x:v>1.7111075773549056</x:v>
      </x:c>
      <x:c r="X656" s="9" t="n">
        <x:f>H656*Z655/(v01_AdultYears*4)</x:f>
        <x:v>0.7997335884898187</x:v>
      </x:c>
      <x:c r="Y656" s="32" t="n">
        <x:f>Y655+R656-S656-W656-Y655*V656/AB655</x:f>
        <x:v>96.53481457927937</x:v>
      </x:c>
      <x:c r="Z656" s="32" t="n">
        <x:f>Z655+W656-X656-T656-Z655*V656/AB655</x:f>
        <x:v>99.7808380666844</x:v>
      </x:c>
      <x:c r="AA656" s="32" t="n">
        <x:f>AA655+X656-U656-AA655*V656/AB655</x:f>
        <x:v>32.25709880199049</x:v>
      </x:c>
      <x:c r="AB656" s="10" t="n">
        <x:f>Y656+Z656+AA656</x:f>
        <x:v>228.57275144795426</x:v>
      </x:c>
      <x:c r="AC656" s="8" t="n">
        <x:f>IF(AND(v01_WinterTrigger=1,D656=1,AB655/AE655&gt;=K656),1,0)</x:f>
        <x:v>0</x:v>
      </x:c>
      <x:c r="AD656" s="8" t="n">
        <x:f>H656*IF(AND(OR(AB655/AE655&gt;=v01_FissionTrigger*N656,AC656=1),AB655/AE655*v01_DaughterShare&gt;=v01_MinDaughter),MAX(1,ROUND(AE655*v01_FissionRate,0)),0)</x:f>
        <x:v>0</x:v>
      </x:c>
      <x:c r="AE656" s="8" t="n">
        <x:f>IF(H656=1,MAX(1,MIN(INDEX(v01_Smax,G656),AE655+AD656)),AE655)</x:f>
        <x:v>5</x:v>
      </x:c>
      <x:c r="AF656" s="8" t="n">
        <x:f>MAX(0,AE656-AE655)</x:f>
        <x:v>0</x:v>
      </x:c>
      <x:c r="AG656" s="9" t="str">
        <x:f>IF(AF656&gt;0,B656,"")</x:f>
      </x:c>
      <x:c r="AH656" s="9" t="n">
        <x:f>IF(F656&gt;=1,1,(1+v01_LowTiesShare*(AE656-1))/AE656)</x:f>
        <x:v>1</x:v>
      </x:c>
      <x:c r="AI656" s="32" t="n">
        <x:f>(Z656+v01_ElderCommons*INDEX(LM_Elder,G656)*AA656)*AH656</x:f>
        <x:v>196.55213447265587</x:v>
      </x:c>
      <x:c r="AJ656" s="32" t="n">
        <x:f>H656*v01_CommonsCoef*AI656^v01_CommonsExp*INDEX(LM_Commons,G656)</x:f>
        <x:v>58.74894002976395</x:v>
      </x:c>
      <x:c r="AK656" s="32" t="n">
        <x:f>H656*v01_RoleScale*Arch_Roles*(AE656*(INDEX(v01_ElderRolePerSett,G656)*v01_OutElder*INDEX(LM_Elder,G656)+INDEX(v01_ShamanPerSett,G656)*v01_OutShaman)+Z656*(INDEX(v01_PriestShare,G656)*v01_OutPriest+INDEX(v01_ScribeShare,G656)*v01_OutScribe*INDEX(LM_Scribe,G656)+INDEX(v01_ScholarShare,G656)*v01_OutScholar*INDEX(LM_Scholar,G656)+INDEX(v01_ResearcherShare,G656)*v01_OutResearcher*INDEX(LM_Researcher,G656)))</x:f>
        <x:v>15</x:v>
      </x:c>
      <x:c r="AL656" s="32" t="n">
        <x:f>H656*v01_RoleScale*Arch_Roles*AE656*INDEX(v01_MonasteryPerSett,G656)*v01_OutMonastery*INDEX(LM_Monastery,G656)</x:f>
        <x:v>0</x:v>
      </x:c>
      <x:c r="AM656" s="32" t="n">
        <x:f>(AJ656+AK656+AL656)/4*INDEX(LM_All,G656)*INDEX(v01_Boon,G656)*Arch_Insight</x:f>
        <x:v>19.370620029692688</x:v>
      </x:c>
      <x:c r="AN656" s="32" t="n">
        <x:f>H656*(v01_KHPerAdult*Z656+v01_KHOfCommons*AJ656/4*INDEX(LM_All,G656))*v01_KHUsable*Arch_KH</x:f>
        <x:v>3.492329332333954</x:v>
      </x:c>
      <x:c r="AO656" s="32" t="n">
        <x:f>MIN(AP655+AN656,AM656*v01_KHMaxRatio)</x:f>
        <x:v>3.492329332333954</x:v>
      </x:c>
      <x:c r="AP656" s="32" t="n">
        <x:f>AP655+AN656-AO656</x:f>
        <x:v>0</x:v>
      </x:c>
      <x:c r="AQ656" s="32" t="n">
        <x:f>AM656+AO656</x:f>
        <x:v>22.86294936202664</x:v>
      </x:c>
      <x:c r="AR656" s="10" t="n">
        <x:f>IF(H656=1,INDEX(v01_Req,G656),0)</x:f>
        <x:v>4006.9599999999996</x:v>
      </x:c>
      <x:c r="AS656" s="32" t="n">
        <x:f>IF(H656=1,IF(E656=1,AS655-AR655,AS655)+AQ656,0)</x:f>
        <x:v>2513.1341448437215</x:v>
      </x:c>
      <x:c r="AT656" s="11" t="n">
        <x:f>IF(AR656&gt;0,MIN(1,AS656/AR656),1)</x:f>
        <x:v>0.627192221745094</x:v>
      </x:c>
      <x:c r="AU656" s="10" t="n">
        <x:f>AB656/INDEX(v01_RepScale,G656)</x:f>
        <x:v>114.28637572397713</x:v>
      </x:c>
      <x:c r="AV656" s="32" t="n">
        <x:f>AM656*60/v01_SeasonSeconds</x:f>
        <x:v>77.48248011877075</x:v>
      </x:c>
    </x:row>
    <x:row r="657">
      <x:c r="A657" s="8" t="n">
        <x:f>A656+1</x:f>
        <x:v>654</x:v>
      </x:c>
      <x:c r="B657" s="9" t="n">
        <x:f>A657*v01_SeasonSeconds/60</x:f>
        <x:v>163.5</x:v>
      </x:c>
      <x:c r="C657" s="9" t="n">
        <x:f>A657/4</x:f>
        <x:v>163.5</x:v>
      </x:c>
      <x:c r="D657" s="8" t="n">
        <x:f>IF(MOD(A657,4)=0,1,0)</x:f>
        <x:v>0</x:v>
      </x:c>
      <x:c r="E657" s="8" t="n">
        <x:f>IF(AND(F656&lt;=9,AS656&gt;=AR656),1,0)</x:f>
        <x:v>0</x:v>
      </x:c>
      <x:c r="F657" s="8" t="n">
        <x:f>MIN(10,F656+E657)</x:f>
        <x:v>2</x:v>
      </x:c>
      <x:c r="G657" s="8" t="n">
        <x:f>MIN(F657,9)+1</x:f>
        <x:v>3</x:v>
      </x:c>
      <x:c r="H657" s="8" t="n">
        <x:f>IF(F657&lt;=9,1,0)</x:f>
        <x:v>1</x:v>
      </x:c>
      <x:c r="I657" s="9" t="n">
        <x:f>MIN(10,F656+IF(AR656&gt;0,MIN(1,AS656/AR656),1))</x:f>
        <x:v>2.6271922217450943</x:v>
      </x:c>
      <x:c r="J657" s="32" t="n">
        <x:f>INDEX(v01_FoodCap,G657)*Arch_FoodCap*EXP(v01_CapsByProject*SUMPRODUCT((Cap_Point&lt;=I657)*(Cap_Kind="Food")*Cap_Ln))</x:f>
        <x:v>60</x:v>
      </x:c>
      <x:c r="K657" s="32" t="n">
        <x:f>J657*MIN(1,v01_LeanBase*EXP(v01_CapsByProject*SUMPRODUCT((Cap_Point&lt;=I657)*(Cap_Kind="Lean")*Cap_Ln)))</x:f>
        <x:v>60</x:v>
      </x:c>
      <x:c r="L657" s="10" t="n">
        <x:f>INDEX(v01_HousingCap,G657)*EXP(v01_CapsByProject*SUMPRODUCT((Cap_Point&lt;=I657)*(Cap_Kind="Housing")*Cap_Ln))</x:f>
        <x:v>100</x:v>
      </x:c>
      <x:c r="M657" s="10" t="n">
        <x:f>INDEX(v01_GroupCap,G657)*v01_CohesionFactor*EXP(v01_CapsByProject*SUMPRODUCT((Cap_Point&lt;=I657)*(Cap_Kind="Group")*Cap_Ln))</x:f>
        <x:v>500</x:v>
      </x:c>
      <x:c r="N657" s="32" t="n">
        <x:f>MIN(J657,L657,M657)</x:f>
        <x:v>60</x:v>
      </x:c>
      <x:c r="O657" s="10" t="n">
        <x:f>AE656*N657</x:f>
        <x:v>300</x:v>
      </x:c>
      <x:c r="P657" s="9" t="n">
        <x:f>MIN(1,(AB656/(AE656*IF(v01_GroupInCrowding=1,N657,MIN(J657,L657))))^v01_CrowdingExp)</x:f>
        <x:v>0.195622681895471</x:v>
      </x:c>
      <x:c r="Q657" s="9" t="n">
        <x:f>IF(D657=1,INDEX(v01_WinterMult,G657),1)</x:f>
        <x:v>1</x:v>
      </x:c>
      <x:c r="R657" s="9" t="n">
        <x:f>H657*Z656*v01_WomenShare*v01_BaseFertility*INDEX(v01_FertMult,G657)*Arch_Fertility*(1-P657)</x:f>
        <x:v>3.250588438353227</x:v>
      </x:c>
      <x:c r="S657" s="9" t="n">
        <x:f>H657*Y656*INDEX(v01_MortChild,G657)/4*Q657</x:f>
        <x:v>0.8446796275686945</x:v>
      </x:c>
      <x:c r="T657" s="9" t="n">
        <x:f>H657*Z656*INDEX(v01_MortAdult,G657)*Arch_AdultMort/4*Q657</x:f>
        <x:v>0.2993425142000532</x:v>
      </x:c>
      <x:c r="U657" s="9" t="n">
        <x:f>H657*AA656*INDEX(v01_MortElder,G657)/4*Q657</x:f>
        <x:v>0.5644992290348336</x:v>
      </x:c>
      <x:c r="V657" s="9" t="n">
        <x:f>H657*MAX(0,AB656-O657)*v01_OvercapLoss</x:f>
        <x:v>0</x:v>
      </x:c>
      <x:c r="W657" s="9" t="n">
        <x:f>H657*Y656/(v01_ChildYears*4)</x:f>
        <x:v>1.7238359746299887</x:v>
      </x:c>
      <x:c r="X657" s="9" t="n">
        <x:f>H657*Z656/(v01_AdultYears*4)</x:f>
        <x:v>0.8046841779571322</x:v>
      </x:c>
      <x:c r="Y657" s="32" t="n">
        <x:f>Y656+R657-S657-W657-Y656*V657/AB656</x:f>
        <x:v>97.21688741543392</x:v>
      </x:c>
      <x:c r="Z657" s="32" t="n">
        <x:f>Z656+W657-X657-T657-Z656*V657/AB656</x:f>
        <x:v>100.40064734915721</x:v>
      </x:c>
      <x:c r="AA657" s="32" t="n">
        <x:f>AA656+X657-U657-AA656*V657/AB656</x:f>
        <x:v>32.497283750912786</x:v>
      </x:c>
      <x:c r="AB657" s="10" t="n">
        <x:f>Y657+Z657+AA657</x:f>
        <x:v>230.11481851550394</x:v>
      </x:c>
      <x:c r="AC657" s="8" t="n">
        <x:f>IF(AND(v01_WinterTrigger=1,D657=1,AB656/AE656&gt;=K657),1,0)</x:f>
        <x:v>0</x:v>
      </x:c>
      <x:c r="AD657" s="8" t="n">
        <x:f>H657*IF(AND(OR(AB656/AE656&gt;=v01_FissionTrigger*N657,AC657=1),AB656/AE656*v01_DaughterShare&gt;=v01_MinDaughter),MAX(1,ROUND(AE656*v01_FissionRate,0)),0)</x:f>
        <x:v>0</x:v>
      </x:c>
      <x:c r="AE657" s="8" t="n">
        <x:f>IF(H657=1,MAX(1,MIN(INDEX(v01_Smax,G657),AE656+AD657)),AE656)</x:f>
        <x:v>5</x:v>
      </x:c>
      <x:c r="AF657" s="8" t="n">
        <x:f>MAX(0,AE657-AE656)</x:f>
        <x:v>0</x:v>
      </x:c>
      <x:c r="AG657" s="9" t="str">
        <x:f>IF(AF657&gt;0,B657,"")</x:f>
      </x:c>
      <x:c r="AH657" s="9" t="n">
        <x:f>IF(F657&gt;=1,1,(1+v01_LowTiesShare*(AE657-1))/AE657)</x:f>
        <x:v>1</x:v>
      </x:c>
      <x:c r="AI657" s="32" t="n">
        <x:f>(Z657+v01_ElderCommons*INDEX(LM_Elder,G657)*AA657)*AH657</x:f>
        <x:v>197.89249860189557</x:v>
      </x:c>
      <x:c r="AJ657" s="32" t="n">
        <x:f>H657*v01_CommonsCoef*AI657^v01_CommonsExp*INDEX(LM_Commons,G657)</x:f>
        <x:v>59.08930306966572</x:v>
      </x:c>
      <x:c r="AK657" s="32" t="n">
        <x:f>H657*v01_RoleScale*Arch_Roles*(AE657*(INDEX(v01_ElderRolePerSett,G657)*v01_OutElder*INDEX(LM_Elder,G657)+INDEX(v01_ShamanPerSett,G657)*v01_OutShaman)+Z657*(INDEX(v01_PriestShare,G657)*v01_OutPriest+INDEX(v01_ScribeShare,G657)*v01_OutScribe*INDEX(LM_Scribe,G657)+INDEX(v01_ScholarShare,G657)*v01_OutScholar*INDEX(LM_Scholar,G657)+INDEX(v01_ResearcherShare,G657)*v01_OutResearcher*INDEX(LM_Researcher,G657)))</x:f>
        <x:v>15</x:v>
      </x:c>
      <x:c r="AL657" s="32" t="n">
        <x:f>H657*v01_RoleScale*Arch_Roles*AE657*INDEX(v01_MonasteryPerSett,G657)*v01_OutMonastery*INDEX(LM_Monastery,G657)</x:f>
        <x:v>0</x:v>
      </x:c>
      <x:c r="AM657" s="32" t="n">
        <x:f>(AJ657+AK657+AL657)/4*INDEX(LM_All,G657)*INDEX(v01_Boon,G657)*Arch_Insight</x:f>
        <x:v>19.460018509391883</x:v>
      </x:c>
      <x:c r="AN657" s="32" t="n">
        <x:f>H657*(v01_KHPerAdult*Z657+v01_KHOfCommons*AJ657/4*INDEX(LM_All,G657))*v01_KHUsable*Arch_KH</x:f>
        <x:v>3.5140226572205027</x:v>
      </x:c>
      <x:c r="AO657" s="32" t="n">
        <x:f>MIN(AP656+AN657,AM657*v01_KHMaxRatio)</x:f>
        <x:v>3.5140226572205027</x:v>
      </x:c>
      <x:c r="AP657" s="32" t="n">
        <x:f>AP656+AN657-AO657</x:f>
        <x:v>0</x:v>
      </x:c>
      <x:c r="AQ657" s="32" t="n">
        <x:f>AM657+AO657</x:f>
        <x:v>22.974041166612388</x:v>
      </x:c>
      <x:c r="AR657" s="10" t="n">
        <x:f>IF(H657=1,INDEX(v01_Req,G657),0)</x:f>
        <x:v>4006.9599999999996</x:v>
      </x:c>
      <x:c r="AS657" s="32" t="n">
        <x:f>IF(H657=1,IF(E657=1,AS656-AR656,AS656)+AQ657,0)</x:f>
        <x:v>2536.108186010334</x:v>
      </x:c>
      <x:c r="AT657" s="11" t="n">
        <x:f>IF(AR657&gt;0,MIN(1,AS657/AR657),1)</x:f>
        <x:v>0.632925755687687</x:v>
      </x:c>
      <x:c r="AU657" s="10" t="n">
        <x:f>AB657/INDEX(v01_RepScale,G657)</x:f>
        <x:v>115.05740925775197</x:v>
      </x:c>
      <x:c r="AV657" s="32" t="n">
        <x:f>AM657*60/v01_SeasonSeconds</x:f>
        <x:v>77.84007403756753</x:v>
      </x:c>
    </x:row>
    <x:row r="658">
      <x:c r="A658" s="8" t="n">
        <x:f>A657+1</x:f>
        <x:v>655</x:v>
      </x:c>
      <x:c r="B658" s="9" t="n">
        <x:f>A658*v01_SeasonSeconds/60</x:f>
        <x:v>163.75</x:v>
      </x:c>
      <x:c r="C658" s="9" t="n">
        <x:f>A658/4</x:f>
        <x:v>163.75</x:v>
      </x:c>
      <x:c r="D658" s="8" t="n">
        <x:f>IF(MOD(A658,4)=0,1,0)</x:f>
        <x:v>0</x:v>
      </x:c>
      <x:c r="E658" s="8" t="n">
        <x:f>IF(AND(F657&lt;=9,AS657&gt;=AR657),1,0)</x:f>
        <x:v>0</x:v>
      </x:c>
      <x:c r="F658" s="8" t="n">
        <x:f>MIN(10,F657+E658)</x:f>
        <x:v>2</x:v>
      </x:c>
      <x:c r="G658" s="8" t="n">
        <x:f>MIN(F658,9)+1</x:f>
        <x:v>3</x:v>
      </x:c>
      <x:c r="H658" s="8" t="n">
        <x:f>IF(F658&lt;=9,1,0)</x:f>
        <x:v>1</x:v>
      </x:c>
      <x:c r="I658" s="9" t="n">
        <x:f>MIN(10,F657+IF(AR657&gt;0,MIN(1,AS657/AR657),1))</x:f>
        <x:v>2.632925755687687</x:v>
      </x:c>
      <x:c r="J658" s="32" t="n">
        <x:f>INDEX(v01_FoodCap,G658)*Arch_FoodCap*EXP(v01_CapsByProject*SUMPRODUCT((Cap_Point&lt;=I658)*(Cap_Kind="Food")*Cap_Ln))</x:f>
        <x:v>60</x:v>
      </x:c>
      <x:c r="K658" s="32" t="n">
        <x:f>J658*MIN(1,v01_LeanBase*EXP(v01_CapsByProject*SUMPRODUCT((Cap_Point&lt;=I658)*(Cap_Kind="Lean")*Cap_Ln)))</x:f>
        <x:v>60</x:v>
      </x:c>
      <x:c r="L658" s="10" t="n">
        <x:f>INDEX(v01_HousingCap,G658)*EXP(v01_CapsByProject*SUMPRODUCT((Cap_Point&lt;=I658)*(Cap_Kind="Housing")*Cap_Ln))</x:f>
        <x:v>100</x:v>
      </x:c>
      <x:c r="M658" s="10" t="n">
        <x:f>INDEX(v01_GroupCap,G658)*v01_CohesionFactor*EXP(v01_CapsByProject*SUMPRODUCT((Cap_Point&lt;=I658)*(Cap_Kind="Group")*Cap_Ln))</x:f>
        <x:v>500</x:v>
      </x:c>
      <x:c r="N658" s="32" t="n">
        <x:f>MIN(J658,L658,M658)</x:f>
        <x:v>60</x:v>
      </x:c>
      <x:c r="O658" s="10" t="n">
        <x:f>AE657*N658</x:f>
        <x:v>300</x:v>
      </x:c>
      <x:c r="P658" s="9" t="n">
        <x:f>MIN(1,(AB657/(AE657*IF(v01_GroupInCrowding=1,N658,MIN(J658,L658))))^v01_CrowdingExp)</x:f>
        <x:v>0.20367606249851905</x:v>
      </x:c>
      <x:c r="Q658" s="9" t="n">
        <x:f>IF(D658=1,INDEX(v01_WinterMult,G658),1)</x:f>
        <x:v>1</x:v>
      </x:c>
      <x:c r="R658" s="9" t="n">
        <x:f>H658*Z657*v01_WomenShare*v01_BaseFertility*INDEX(v01_FertMult,G658)*Arch_Fertility*(1-P658)</x:f>
        <x:v>3.2380332724035297</x:v>
      </x:c>
      <x:c r="S658" s="9" t="n">
        <x:f>H658*Y657*INDEX(v01_MortChild,G658)/4*Q658</x:f>
        <x:v>0.8506477648850469</x:v>
      </x:c>
      <x:c r="T658" s="9" t="n">
        <x:f>H658*Z657*INDEX(v01_MortAdult,G658)*Arch_AdultMort/4*Q658</x:f>
        <x:v>0.30120194204747164</x:v>
      </x:c>
      <x:c r="U658" s="9" t="n">
        <x:f>H658*AA657*INDEX(v01_MortElder,G658)/4*Q658</x:f>
        <x:v>0.5687024656409738</x:v>
      </x:c>
      <x:c r="V658" s="9" t="n">
        <x:f>H658*MAX(0,AB657-O658)*v01_OvercapLoss</x:f>
        <x:v>0</x:v>
      </x:c>
      <x:c r="W658" s="9" t="n">
        <x:f>H658*Y657/(v01_ChildYears*4)</x:f>
        <x:v>1.736015846704177</x:v>
      </x:c>
      <x:c r="X658" s="9" t="n">
        <x:f>H658*Z657/(v01_AdultYears*4)</x:f>
        <x:v>0.8096826399125582</x:v>
      </x:c>
      <x:c r="Y658" s="32" t="n">
        <x:f>Y657+R658-S658-W658-Y657*V658/AB657</x:f>
        <x:v>97.86825707624821</x:v>
      </x:c>
      <x:c r="Z658" s="32" t="n">
        <x:f>Z657+W658-X658-T658-Z657*V658/AB657</x:f>
        <x:v>101.02577861390137</x:v>
      </x:c>
      <x:c r="AA658" s="32" t="n">
        <x:f>AA657+X658-U658-AA657*V658/AB657</x:f>
        <x:v>32.73826392518437</x:v>
      </x:c>
      <x:c r="AB658" s="10" t="n">
        <x:f>Y658+Z658+AA658</x:f>
        <x:v>231.63229961533392</x:v>
      </x:c>
      <x:c r="AC658" s="8" t="n">
        <x:f>IF(AND(v01_WinterTrigger=1,D658=1,AB657/AE657&gt;=K658),1,0)</x:f>
        <x:v>0</x:v>
      </x:c>
      <x:c r="AD658" s="8" t="n">
        <x:f>H658*IF(AND(OR(AB657/AE657&gt;=v01_FissionTrigger*N658,AC658=1),AB657/AE657*v01_DaughterShare&gt;=v01_MinDaughter),MAX(1,ROUND(AE657*v01_FissionRate,0)),0)</x:f>
        <x:v>0</x:v>
      </x:c>
      <x:c r="AE658" s="8" t="n">
        <x:f>IF(H658=1,MAX(1,MIN(INDEX(v01_Smax,G658),AE657+AD658)),AE657)</x:f>
        <x:v>5</x:v>
      </x:c>
      <x:c r="AF658" s="8" t="n">
        <x:f>MAX(0,AE658-AE657)</x:f>
        <x:v>0</x:v>
      </x:c>
      <x:c r="AG658" s="9" t="str">
        <x:f>IF(AF658&gt;0,B658,"")</x:f>
      </x:c>
      <x:c r="AH658" s="9" t="n">
        <x:f>IF(F658&gt;=1,1,(1+v01_LowTiesShare*(AE658-1))/AE658)</x:f>
        <x:v>1</x:v>
      </x:c>
      <x:c r="AI658" s="32" t="n">
        <x:f>(Z658+v01_ElderCommons*INDEX(LM_Elder,G658)*AA658)*AH658</x:f>
        <x:v>199.2405703894545</x:v>
      </x:c>
      <x:c r="AJ658" s="32" t="n">
        <x:f>H658*v01_CommonsCoef*AI658^v01_CommonsExp*INDEX(LM_Commons,G658)</x:f>
        <x:v>59.43127472968486</x:v>
      </x:c>
      <x:c r="AK658" s="32" t="n">
        <x:f>H658*v01_RoleScale*Arch_Roles*(AE658*(INDEX(v01_ElderRolePerSett,G658)*v01_OutElder*INDEX(LM_Elder,G658)+INDEX(v01_ShamanPerSett,G658)*v01_OutShaman)+Z658*(INDEX(v01_PriestShare,G658)*v01_OutPriest+INDEX(v01_ScribeShare,G658)*v01_OutScribe*INDEX(LM_Scribe,G658)+INDEX(v01_ScholarShare,G658)*v01_OutScholar*INDEX(LM_Scholar,G658)+INDEX(v01_ResearcherShare,G658)*v01_OutResearcher*INDEX(LM_Researcher,G658)))</x:f>
        <x:v>15</x:v>
      </x:c>
      <x:c r="AL658" s="32" t="n">
        <x:f>H658*v01_RoleScale*Arch_Roles*AE658*INDEX(v01_MonasteryPerSett,G658)*v01_OutMonastery*INDEX(LM_Monastery,G658)</x:f>
        <x:v>0</x:v>
      </x:c>
      <x:c r="AM658" s="32" t="n">
        <x:f>(AJ658+AK658+AL658)/4*INDEX(LM_All,G658)*INDEX(v01_Boon,G658)*Arch_Insight</x:f>
        <x:v>19.549839503218788</x:v>
      </x:c>
      <x:c r="AN658" s="32" t="n">
        <x:f>H658*(v01_KHPerAdult*Z658+v01_KHOfCommons*AJ658/4*INDEX(LM_All,G658))*v01_KHUsable*Arch_KH</x:f>
        <x:v>3.535902251486548</x:v>
      </x:c>
      <x:c r="AO658" s="32" t="n">
        <x:f>MIN(AP657+AN658,AM658*v01_KHMaxRatio)</x:f>
        <x:v>3.535902251486548</x:v>
      </x:c>
      <x:c r="AP658" s="32" t="n">
        <x:f>AP657+AN658-AO658</x:f>
        <x:v>0</x:v>
      </x:c>
      <x:c r="AQ658" s="32" t="n">
        <x:f>AM658+AO658</x:f>
        <x:v>23.085741754705335</x:v>
      </x:c>
      <x:c r="AR658" s="10" t="n">
        <x:f>IF(H658=1,INDEX(v01_Req,G658),0)</x:f>
        <x:v>4006.9599999999996</x:v>
      </x:c>
      <x:c r="AS658" s="32" t="n">
        <x:f>IF(H658=1,IF(E658=1,AS657-AR657,AS657)+AQ658,0)</x:f>
        <x:v>2559.1939277650395</x:v>
      </x:c>
      <x:c r="AT658" s="11" t="n">
        <x:f>IF(AR658&gt;0,MIN(1,AS658/AR658),1)</x:f>
        <x:v>0.6386871662719468</x:v>
      </x:c>
      <x:c r="AU658" s="10" t="n">
        <x:f>AB658/INDEX(v01_RepScale,G658)</x:f>
        <x:v>115.81614980766696</x:v>
      </x:c>
      <x:c r="AV658" s="32" t="n">
        <x:f>AM658*60/v01_SeasonSeconds</x:f>
        <x:v>78.19935801287515</x:v>
      </x:c>
    </x:row>
    <x:row r="659">
      <x:c r="A659" s="8" t="n">
        <x:f>A658+1</x:f>
        <x:v>656</x:v>
      </x:c>
      <x:c r="B659" s="9" t="n">
        <x:f>A659*v01_SeasonSeconds/60</x:f>
        <x:v>164</x:v>
      </x:c>
      <x:c r="C659" s="9" t="n">
        <x:f>A659/4</x:f>
        <x:v>164</x:v>
      </x:c>
      <x:c r="D659" s="8" t="n">
        <x:f>IF(MOD(A659,4)=0,1,0)</x:f>
        <x:v>1</x:v>
      </x:c>
      <x:c r="E659" s="8" t="n">
        <x:f>IF(AND(F658&lt;=9,AS658&gt;=AR658),1,0)</x:f>
        <x:v>0</x:v>
      </x:c>
      <x:c r="F659" s="8" t="n">
        <x:f>MIN(10,F658+E659)</x:f>
        <x:v>2</x:v>
      </x:c>
      <x:c r="G659" s="8" t="n">
        <x:f>MIN(F659,9)+1</x:f>
        <x:v>3</x:v>
      </x:c>
      <x:c r="H659" s="8" t="n">
        <x:f>IF(F659&lt;=9,1,0)</x:f>
        <x:v>1</x:v>
      </x:c>
      <x:c r="I659" s="9" t="n">
        <x:f>MIN(10,F658+IF(AR658&gt;0,MIN(1,AS658/AR658),1))</x:f>
        <x:v>2.638687166271947</x:v>
      </x:c>
      <x:c r="J659" s="32" t="n">
        <x:f>INDEX(v01_FoodCap,G659)*Arch_FoodCap*EXP(v01_CapsByProject*SUMPRODUCT((Cap_Point&lt;=I659)*(Cap_Kind="Food")*Cap_Ln))</x:f>
        <x:v>60</x:v>
      </x:c>
      <x:c r="K659" s="32" t="n">
        <x:f>J659*MIN(1,v01_LeanBase*EXP(v01_CapsByProject*SUMPRODUCT((Cap_Point&lt;=I659)*(Cap_Kind="Lean")*Cap_Ln)))</x:f>
        <x:v>60</x:v>
      </x:c>
      <x:c r="L659" s="10" t="n">
        <x:f>INDEX(v01_HousingCap,G659)*EXP(v01_CapsByProject*SUMPRODUCT((Cap_Point&lt;=I659)*(Cap_Kind="Housing")*Cap_Ln))</x:f>
        <x:v>100</x:v>
      </x:c>
      <x:c r="M659" s="10" t="n">
        <x:f>INDEX(v01_GroupCap,G659)*v01_CohesionFactor*EXP(v01_CapsByProject*SUMPRODUCT((Cap_Point&lt;=I659)*(Cap_Kind="Group")*Cap_Ln))</x:f>
        <x:v>500</x:v>
      </x:c>
      <x:c r="N659" s="32" t="n">
        <x:f>MIN(J659,L659,M659)</x:f>
        <x:v>60</x:v>
      </x:c>
      <x:c r="O659" s="10" t="n">
        <x:f>AE658*N659</x:f>
        <x:v>300</x:v>
      </x:c>
      <x:c r="P659" s="9" t="n">
        <x:f>MIN(1,(AB658/(AE658*IF(v01_GroupInCrowding=1,N659,MIN(J659,L659))))^v01_CrowdingExp)</x:f>
        <x:v>0.21186888672285548</x:v>
      </x:c>
      <x:c r="Q659" s="9" t="n">
        <x:f>IF(D659=1,INDEX(v01_WinterMult,G659),1)</x:f>
        <x:v>1.3</x:v>
      </x:c>
      <x:c r="R659" s="9" t="n">
        <x:f>H659*Z658*v01_WomenShare*v01_BaseFertility*INDEX(v01_FertMult,G659)*Arch_Fertility*(1-P659)</x:f>
        <x:v>3.224673154430909</x:v>
      </x:c>
      <x:c r="S659" s="9" t="n">
        <x:f>H659*Y658*INDEX(v01_MortChild,G659)/4*Q659</x:f>
        <x:v>1.1132514242423237</x:v>
      </x:c>
      <x:c r="T659" s="9" t="n">
        <x:f>H659*Z658*INDEX(v01_MortAdult,G659)*Arch_AdultMort/4*Q659</x:f>
        <x:v>0.39400053659421536</x:v>
      </x:c>
      <x:c r="U659" s="9" t="n">
        <x:f>H659*AA658*INDEX(v01_MortElder,G659)/4*Q659</x:f>
        <x:v>0.7447955042979445</x:v>
      </x:c>
      <x:c r="V659" s="9" t="n">
        <x:f>H659*MAX(0,AB658-O659)*v01_OvercapLoss</x:f>
        <x:v>0</x:v>
      </x:c>
      <x:c r="W659" s="9" t="n">
        <x:f>H659*Y658/(v01_ChildYears*4)</x:f>
        <x:v>1.7476474477901467</x:v>
      </x:c>
      <x:c r="X659" s="9" t="n">
        <x:f>H659*Z658/(v01_AdultYears*4)</x:f>
        <x:v>0.8147240210798498</x:v>
      </x:c>
      <x:c r="Y659" s="32" t="n">
        <x:f>Y658+R659-S659-W659-Y658*V659/AB658</x:f>
        <x:v>98.23203135864665</x:v>
      </x:c>
      <x:c r="Z659" s="32" t="n">
        <x:f>Z658+W659-X659-T659-Z658*V659/AB658</x:f>
        <x:v>101.56470150401744</x:v>
      </x:c>
      <x:c r="AA659" s="32" t="n">
        <x:f>AA658+X659-U659-AA658*V659/AB658</x:f>
        <x:v>32.80819244196627</x:v>
      </x:c>
      <x:c r="AB659" s="10" t="n">
        <x:f>Y659+Z659+AA659</x:f>
        <x:v>232.60492530463037</x:v>
      </x:c>
      <x:c r="AC659" s="8" t="n">
        <x:f>IF(AND(v01_WinterTrigger=1,D659=1,AB658/AE658&gt;=K659),1,0)</x:f>
        <x:v>0</x:v>
      </x:c>
      <x:c r="AD659" s="8" t="n">
        <x:f>H659*IF(AND(OR(AB658/AE658&gt;=v01_FissionTrigger*N659,AC659=1),AB658/AE658*v01_DaughterShare&gt;=v01_MinDaughter),MAX(1,ROUND(AE658*v01_FissionRate,0)),0)</x:f>
        <x:v>0</x:v>
      </x:c>
      <x:c r="AE659" s="8" t="n">
        <x:f>IF(H659=1,MAX(1,MIN(INDEX(v01_Smax,G659),AE658+AD659)),AE658)</x:f>
        <x:v>5</x:v>
      </x:c>
      <x:c r="AF659" s="8" t="n">
        <x:f>MAX(0,AE659-AE658)</x:f>
        <x:v>0</x:v>
      </x:c>
      <x:c r="AG659" s="9" t="str">
        <x:f>IF(AF659&gt;0,B659,"")</x:f>
      </x:c>
      <x:c r="AH659" s="9" t="n">
        <x:f>IF(F659&gt;=1,1,(1+v01_LowTiesShare*(AE659-1))/AE659)</x:f>
        <x:v>1</x:v>
      </x:c>
      <x:c r="AI659" s="32" t="n">
        <x:f>(Z659+v01_ElderCommons*INDEX(LM_Elder,G659)*AA659)*AH659</x:f>
        <x:v>199.98927882991626</x:v>
      </x:c>
      <x:c r="AJ659" s="32" t="n">
        <x:f>H659*v01_CommonsCoef*AI659^v01_CommonsExp*INDEX(LM_Commons,G659)</x:f>
        <x:v>59.621053086903515</x:v>
      </x:c>
      <x:c r="AK659" s="32" t="n">
        <x:f>H659*v01_RoleScale*Arch_Roles*(AE659*(INDEX(v01_ElderRolePerSett,G659)*v01_OutElder*INDEX(LM_Elder,G659)+INDEX(v01_ShamanPerSett,G659)*v01_OutShaman)+Z659*(INDEX(v01_PriestShare,G659)*v01_OutPriest+INDEX(v01_ScribeShare,G659)*v01_OutScribe*INDEX(LM_Scribe,G659)+INDEX(v01_ScholarShare,G659)*v01_OutScholar*INDEX(LM_Scholar,G659)+INDEX(v01_ResearcherShare,G659)*v01_OutResearcher*INDEX(LM_Researcher,G659)))</x:f>
        <x:v>15</x:v>
      </x:c>
      <x:c r="AL659" s="32" t="n">
        <x:f>H659*v01_RoleScale*Arch_Roles*AE659*INDEX(v01_MonasteryPerSett,G659)*v01_OutMonastery*INDEX(LM_Monastery,G659)</x:f>
        <x:v>0</x:v>
      </x:c>
      <x:c r="AM659" s="32" t="n">
        <x:f>(AJ659+AK659+AL659)/4*INDEX(LM_All,G659)*INDEX(v01_Boon,G659)*Arch_Insight</x:f>
        <x:v>19.599685974857</x:v>
      </x:c>
      <x:c r="AN659" s="32" t="n">
        <x:f>H659*(v01_KHPerAdult*Z659+v01_KHOfCommons*AJ659/4*INDEX(LM_All,G659))*v01_KHUsable*Arch_KH</x:f>
        <x:v>3.5547645526406106</x:v>
      </x:c>
      <x:c r="AO659" s="32" t="n">
        <x:f>MIN(AP658+AN659,AM659*v01_KHMaxRatio)</x:f>
        <x:v>3.5547645526406106</x:v>
      </x:c>
      <x:c r="AP659" s="32" t="n">
        <x:f>AP658+AN659-AO659</x:f>
        <x:v>0</x:v>
      </x:c>
      <x:c r="AQ659" s="32" t="n">
        <x:f>AM659+AO659</x:f>
        <x:v>23.15445052749761</x:v>
      </x:c>
      <x:c r="AR659" s="10" t="n">
        <x:f>IF(H659=1,INDEX(v01_Req,G659),0)</x:f>
        <x:v>4006.9599999999996</x:v>
      </x:c>
      <x:c r="AS659" s="32" t="n">
        <x:f>IF(H659=1,IF(E659=1,AS658-AR658,AS658)+AQ659,0)</x:f>
        <x:v>2582.3483782925373</x:v>
      </x:c>
      <x:c r="AT659" s="11" t="n">
        <x:f>IF(AR659&gt;0,MIN(1,AS659/AR659),1)</x:f>
        <x:v>0.6444657242130037</x:v>
      </x:c>
      <x:c r="AU659" s="10" t="n">
        <x:f>AB659/INDEX(v01_RepScale,G659)</x:f>
        <x:v>116.30246265231519</x:v>
      </x:c>
      <x:c r="AV659" s="32" t="n">
        <x:f>AM659*60/v01_SeasonSeconds</x:f>
        <x:v>78.398743899428</x:v>
      </x:c>
    </x:row>
    <x:row r="660">
      <x:c r="A660" s="8" t="n">
        <x:f>A659+1</x:f>
        <x:v>657</x:v>
      </x:c>
      <x:c r="B660" s="9" t="n">
        <x:f>A660*v01_SeasonSeconds/60</x:f>
        <x:v>164.25</x:v>
      </x:c>
      <x:c r="C660" s="9" t="n">
        <x:f>A660/4</x:f>
        <x:v>164.25</x:v>
      </x:c>
      <x:c r="D660" s="8" t="n">
        <x:f>IF(MOD(A660,4)=0,1,0)</x:f>
        <x:v>0</x:v>
      </x:c>
      <x:c r="E660" s="8" t="n">
        <x:f>IF(AND(F659&lt;=9,AS659&gt;=AR659),1,0)</x:f>
        <x:v>0</x:v>
      </x:c>
      <x:c r="F660" s="8" t="n">
        <x:f>MIN(10,F659+E660)</x:f>
        <x:v>2</x:v>
      </x:c>
      <x:c r="G660" s="8" t="n">
        <x:f>MIN(F660,9)+1</x:f>
        <x:v>3</x:v>
      </x:c>
      <x:c r="H660" s="8" t="n">
        <x:f>IF(F660&lt;=9,1,0)</x:f>
        <x:v>1</x:v>
      </x:c>
      <x:c r="I660" s="9" t="n">
        <x:f>MIN(10,F659+IF(AR659&gt;0,MIN(1,AS659/AR659),1))</x:f>
        <x:v>2.6444657242130036</x:v>
      </x:c>
      <x:c r="J660" s="32" t="n">
        <x:f>INDEX(v01_FoodCap,G660)*Arch_FoodCap*EXP(v01_CapsByProject*SUMPRODUCT((Cap_Point&lt;=I660)*(Cap_Kind="Food")*Cap_Ln))</x:f>
        <x:v>60</x:v>
      </x:c>
      <x:c r="K660" s="32" t="n">
        <x:f>J660*MIN(1,v01_LeanBase*EXP(v01_CapsByProject*SUMPRODUCT((Cap_Point&lt;=I660)*(Cap_Kind="Lean")*Cap_Ln)))</x:f>
        <x:v>60</x:v>
      </x:c>
      <x:c r="L660" s="10" t="n">
        <x:f>INDEX(v01_HousingCap,G660)*EXP(v01_CapsByProject*SUMPRODUCT((Cap_Point&lt;=I660)*(Cap_Kind="Housing")*Cap_Ln))</x:f>
        <x:v>100</x:v>
      </x:c>
      <x:c r="M660" s="10" t="n">
        <x:f>INDEX(v01_GroupCap,G660)*v01_CohesionFactor*EXP(v01_CapsByProject*SUMPRODUCT((Cap_Point&lt;=I660)*(Cap_Kind="Group")*Cap_Ln))</x:f>
        <x:v>500</x:v>
      </x:c>
      <x:c r="N660" s="32" t="n">
        <x:f>MIN(J660,L660,M660)</x:f>
        <x:v>60</x:v>
      </x:c>
      <x:c r="O660" s="10" t="n">
        <x:f>AE659*N660</x:f>
        <x:v>300</x:v>
      </x:c>
      <x:c r="P660" s="9" t="n">
        <x:f>MIN(1,(AB659/(AE659*IF(v01_GroupInCrowding=1,N660,MIN(J660,L660))))^v01_CrowdingExp)</x:f>
        <x:v>0.2172630692954256</x:v>
      </x:c>
      <x:c r="Q660" s="9" t="n">
        <x:f>IF(D660=1,INDEX(v01_WinterMult,G660),1)</x:f>
        <x:v>1</x:v>
      </x:c>
      <x:c r="R660" s="9" t="n">
        <x:f>H660*Z659*v01_WomenShare*v01_BaseFertility*INDEX(v01_FertMult,G660)*Arch_Fertility*(1-P660)</x:f>
        <x:v>3.219686930288826</x:v>
      </x:c>
      <x:c r="S660" s="9" t="n">
        <x:f>H660*Y659*INDEX(v01_MortChild,G660)/4*Q660</x:f>
        <x:v>0.8595302743881583</x:v>
      </x:c>
      <x:c r="T660" s="9" t="n">
        <x:f>H660*Z659*INDEX(v01_MortAdult,G660)*Arch_AdultMort/4*Q660</x:f>
        <x:v>0.3046941045120523</x:v>
      </x:c>
      <x:c r="U660" s="9" t="n">
        <x:f>H660*AA659*INDEX(v01_MortElder,G660)/4*Q660</x:f>
        <x:v>0.5741433677344098</x:v>
      </x:c>
      <x:c r="V660" s="9" t="n">
        <x:f>H660*MAX(0,AB659-O660)*v01_OvercapLoss</x:f>
        <x:v>0</x:v>
      </x:c>
      <x:c r="W660" s="9" t="n">
        <x:f>H660*Y659/(v01_ChildYears*4)</x:f>
        <x:v>1.7541434171186903</x:v>
      </x:c>
      <x:c r="X660" s="9" t="n">
        <x:f>H660*Z659/(v01_AdultYears*4)</x:f>
        <x:v>0.8190701734194954</x:v>
      </x:c>
      <x:c r="Y660" s="32" t="n">
        <x:f>Y659+R660-S660-W660-Y659*V660/AB659</x:f>
        <x:v>98.83804459742863</x:v>
      </x:c>
      <x:c r="Z660" s="32" t="n">
        <x:f>Z659+W660-X660-T660-Z659*V660/AB659</x:f>
        <x:v>102.19508064320458</x:v>
      </x:c>
      <x:c r="AA660" s="32" t="n">
        <x:f>AA659+X660-U660-AA659*V660/AB659</x:f>
        <x:v>33.05311924765136</x:v>
      </x:c>
      <x:c r="AB660" s="10" t="n">
        <x:f>Y660+Z660+AA660</x:f>
        <x:v>234.08624448828456</x:v>
      </x:c>
      <x:c r="AC660" s="8" t="n">
        <x:f>IF(AND(v01_WinterTrigger=1,D660=1,AB659/AE659&gt;=K660),1,0)</x:f>
        <x:v>0</x:v>
      </x:c>
      <x:c r="AD660" s="8" t="n">
        <x:f>H660*IF(AND(OR(AB659/AE659&gt;=v01_FissionTrigger*N660,AC660=1),AB659/AE659*v01_DaughterShare&gt;=v01_MinDaughter),MAX(1,ROUND(AE659*v01_FissionRate,0)),0)</x:f>
        <x:v>0</x:v>
      </x:c>
      <x:c r="AE660" s="8" t="n">
        <x:f>IF(H660=1,MAX(1,MIN(INDEX(v01_Smax,G660),AE659+AD660)),AE659)</x:f>
        <x:v>5</x:v>
      </x:c>
      <x:c r="AF660" s="8" t="n">
        <x:f>MAX(0,AE660-AE659)</x:f>
        <x:v>0</x:v>
      </x:c>
      <x:c r="AG660" s="9" t="str">
        <x:f>IF(AF660&gt;0,B660,"")</x:f>
      </x:c>
      <x:c r="AH660" s="9" t="n">
        <x:f>IF(F660&gt;=1,1,(1+v01_LowTiesShare*(AE660-1))/AE660)</x:f>
        <x:v>1</x:v>
      </x:c>
      <x:c r="AI660" s="32" t="n">
        <x:f>(Z660+v01_ElderCommons*INDEX(LM_Elder,G660)*AA660)*AH660</x:f>
        <x:v>201.35443838615868</x:v>
      </x:c>
      <x:c r="AJ660" s="32" t="n">
        <x:f>H660*v01_CommonsCoef*AI660^v01_CommonsExp*INDEX(LM_Commons,G660)</x:f>
        <x:v>59.966812050926464</x:v>
      </x:c>
      <x:c r="AK660" s="32" t="n">
        <x:f>H660*v01_RoleScale*Arch_Roles*(AE660*(INDEX(v01_ElderRolePerSett,G660)*v01_OutElder*INDEX(LM_Elder,G660)+INDEX(v01_ShamanPerSett,G660)*v01_OutShaman)+Z660*(INDEX(v01_PriestShare,G660)*v01_OutPriest+INDEX(v01_ScribeShare,G660)*v01_OutScribe*INDEX(LM_Scribe,G660)+INDEX(v01_ScholarShare,G660)*v01_OutScholar*INDEX(LM_Scholar,G660)+INDEX(v01_ResearcherShare,G660)*v01_OutResearcher*INDEX(LM_Researcher,G660)))</x:f>
        <x:v>15</x:v>
      </x:c>
      <x:c r="AL660" s="32" t="n">
        <x:f>H660*v01_RoleScale*Arch_Roles*AE660*INDEX(v01_MonasteryPerSett,G660)*v01_OutMonastery*INDEX(LM_Monastery,G660)</x:f>
        <x:v>0</x:v>
      </x:c>
      <x:c r="AM660" s="32" t="n">
        <x:f>(AJ660+AK660+AL660)/4*INDEX(LM_All,G660)*INDEX(v01_Boon,G660)*Arch_Insight</x:f>
        <x:v>19.69050172775115</x:v>
      </x:c>
      <x:c r="AN660" s="32" t="n">
        <x:f>H660*(v01_KHPerAdult*Z660+v01_KHOfCommons*AJ660/4*INDEX(LM_All,G660))*v01_KHUsable*Arch_KH</x:f>
        <x:v>3.57682782251216</x:v>
      </x:c>
      <x:c r="AO660" s="32" t="n">
        <x:f>MIN(AP659+AN660,AM660*v01_KHMaxRatio)</x:f>
        <x:v>3.57682782251216</x:v>
      </x:c>
      <x:c r="AP660" s="32" t="n">
        <x:f>AP659+AN660-AO660</x:f>
        <x:v>0</x:v>
      </x:c>
      <x:c r="AQ660" s="32" t="n">
        <x:f>AM660+AO660</x:f>
        <x:v>23.267329550263312</x:v>
      </x:c>
      <x:c r="AR660" s="10" t="n">
        <x:f>IF(H660=1,INDEX(v01_Req,G660),0)</x:f>
        <x:v>4006.9599999999996</x:v>
      </x:c>
      <x:c r="AS660" s="32" t="n">
        <x:f>IF(H660=1,IF(E660=1,AS659-AR659,AS659)+AQ660,0)</x:f>
        <x:v>2605.6157078428005</x:v>
      </x:c>
      <x:c r="AT660" s="11" t="n">
        <x:f>IF(AR660&gt;0,MIN(1,AS660/AR660),1)</x:f>
        <x:v>0.650272452892667</x:v>
      </x:c>
      <x:c r="AU660" s="10" t="n">
        <x:f>AB660/INDEX(v01_RepScale,G660)</x:f>
        <x:v>117.04312224414228</x:v>
      </x:c>
      <x:c r="AV660" s="32" t="n">
        <x:f>AM660*60/v01_SeasonSeconds</x:f>
        <x:v>78.7620069110046</x:v>
      </x:c>
    </x:row>
    <x:row r="661">
      <x:c r="A661" s="8" t="n">
        <x:f>A660+1</x:f>
        <x:v>658</x:v>
      </x:c>
      <x:c r="B661" s="9" t="n">
        <x:f>A661*v01_SeasonSeconds/60</x:f>
        <x:v>164.5</x:v>
      </x:c>
      <x:c r="C661" s="9" t="n">
        <x:f>A661/4</x:f>
        <x:v>164.5</x:v>
      </x:c>
      <x:c r="D661" s="8" t="n">
        <x:f>IF(MOD(A661,4)=0,1,0)</x:f>
        <x:v>0</x:v>
      </x:c>
      <x:c r="E661" s="8" t="n">
        <x:f>IF(AND(F660&lt;=9,AS660&gt;=AR660),1,0)</x:f>
        <x:v>0</x:v>
      </x:c>
      <x:c r="F661" s="8" t="n">
        <x:f>MIN(10,F660+E661)</x:f>
        <x:v>2</x:v>
      </x:c>
      <x:c r="G661" s="8" t="n">
        <x:f>MIN(F661,9)+1</x:f>
        <x:v>3</x:v>
      </x:c>
      <x:c r="H661" s="8" t="n">
        <x:f>IF(F661&lt;=9,1,0)</x:f>
        <x:v>1</x:v>
      </x:c>
      <x:c r="I661" s="9" t="n">
        <x:f>MIN(10,F660+IF(AR660&gt;0,MIN(1,AS660/AR660),1))</x:f>
        <x:v>2.650272452892667</x:v>
      </x:c>
      <x:c r="J661" s="32" t="n">
        <x:f>INDEX(v01_FoodCap,G661)*Arch_FoodCap*EXP(v01_CapsByProject*SUMPRODUCT((Cap_Point&lt;=I661)*(Cap_Kind="Food")*Cap_Ln))</x:f>
        <x:v>60</x:v>
      </x:c>
      <x:c r="K661" s="32" t="n">
        <x:f>J661*MIN(1,v01_LeanBase*EXP(v01_CapsByProject*SUMPRODUCT((Cap_Point&lt;=I661)*(Cap_Kind="Lean")*Cap_Ln)))</x:f>
        <x:v>60</x:v>
      </x:c>
      <x:c r="L661" s="10" t="n">
        <x:f>INDEX(v01_HousingCap,G661)*EXP(v01_CapsByProject*SUMPRODUCT((Cap_Point&lt;=I661)*(Cap_Kind="Housing")*Cap_Ln))</x:f>
        <x:v>100</x:v>
      </x:c>
      <x:c r="M661" s="10" t="n">
        <x:f>INDEX(v01_GroupCap,G661)*v01_CohesionFactor*EXP(v01_CapsByProject*SUMPRODUCT((Cap_Point&lt;=I661)*(Cap_Kind="Group")*Cap_Ln))</x:f>
        <x:v>500</x:v>
      </x:c>
      <x:c r="N661" s="32" t="n">
        <x:f>MIN(J661,L661,M661)</x:f>
        <x:v>60</x:v>
      </x:c>
      <x:c r="O661" s="10" t="n">
        <x:f>AE660*N661</x:f>
        <x:v>300</x:v>
      </x:c>
      <x:c r="P661" s="9" t="n">
        <x:f>MIN(1,(AB660/(AE660*IF(v01_GroupInCrowding=1,N661,MIN(J661,L661))))^v01_CrowdingExp)</x:f>
        <x:v>0.22569806555167948</x:v>
      </x:c>
      <x:c r="Q661" s="9" t="n">
        <x:f>IF(D661=1,INDEX(v01_WinterMult,G661),1)</x:f>
        <x:v>1</x:v>
      </x:c>
      <x:c r="R661" s="9" t="n">
        <x:f>H661*Z660*v01_WomenShare*v01_BaseFertility*INDEX(v01_FertMult,G661)*Arch_Fertility*(1-P661)</x:f>
        <x:v>3.2047588696419846</x:v>
      </x:c>
      <x:c r="S661" s="9" t="n">
        <x:f>H661*Y660*INDEX(v01_MortChild,G661)/4*Q661</x:f>
        <x:v>0.8648328902275007</x:v>
      </x:c>
      <x:c r="T661" s="9" t="n">
        <x:f>H661*Z660*INDEX(v01_MortAdult,G661)*Arch_AdultMort/4*Q661</x:f>
        <x:v>0.3065852419296137</x:v>
      </x:c>
      <x:c r="U661" s="9" t="n">
        <x:f>H661*AA660*INDEX(v01_MortElder,G661)/4*Q661</x:f>
        <x:v>0.5784295868338989</x:v>
      </x:c>
      <x:c r="V661" s="9" t="n">
        <x:f>H661*MAX(0,AB660-O661)*v01_OvercapLoss</x:f>
        <x:v>0</x:v>
      </x:c>
      <x:c r="W661" s="9" t="n">
        <x:f>H661*Y660/(v01_ChildYears*4)</x:f>
        <x:v>1.7649650820969398</x:v>
      </x:c>
      <x:c r="X661" s="9" t="n">
        <x:f>H661*Z660/(v01_AdultYears*4)</x:f>
        <x:v>0.8241538761548756</x:v>
      </x:c>
      <x:c r="Y661" s="32" t="n">
        <x:f>Y660+R661-S661-W661-Y660*V661/AB660</x:f>
        <x:v>99.41300549474617</x:v>
      </x:c>
      <x:c r="Z661" s="32" t="n">
        <x:f>Z660+W661-X661-T661-Z660*V661/AB660</x:f>
        <x:v>102.82930660721702</x:v>
      </x:c>
      <x:c r="AA661" s="32" t="n">
        <x:f>AA660+X661-U661-AA660*V661/AB660</x:f>
        <x:v>33.298843536972335</x:v>
      </x:c>
      <x:c r="AB661" s="10" t="n">
        <x:f>Y661+Z661+AA661</x:f>
        <x:v>235.54115563893552</x:v>
      </x:c>
      <x:c r="AC661" s="8" t="n">
        <x:f>IF(AND(v01_WinterTrigger=1,D661=1,AB660/AE660&gt;=K661),1,0)</x:f>
        <x:v>0</x:v>
      </x:c>
      <x:c r="AD661" s="8" t="n">
        <x:f>H661*IF(AND(OR(AB660/AE660&gt;=v01_FissionTrigger*N661,AC661=1),AB660/AE660*v01_DaughterShare&gt;=v01_MinDaughter),MAX(1,ROUND(AE660*v01_FissionRate,0)),0)</x:f>
        <x:v>0</x:v>
      </x:c>
      <x:c r="AE661" s="8" t="n">
        <x:f>IF(H661=1,MAX(1,MIN(INDEX(v01_Smax,G661),AE660+AD661)),AE660)</x:f>
        <x:v>5</x:v>
      </x:c>
      <x:c r="AF661" s="8" t="n">
        <x:f>MAX(0,AE661-AE660)</x:f>
        <x:v>0</x:v>
      </x:c>
      <x:c r="AG661" s="9" t="str">
        <x:f>IF(AF661&gt;0,B661,"")</x:f>
      </x:c>
      <x:c r="AH661" s="9" t="n">
        <x:f>IF(F661&gt;=1,1,(1+v01_LowTiesShare*(AE661-1))/AE661)</x:f>
        <x:v>1</x:v>
      </x:c>
      <x:c r="AI661" s="32" t="n">
        <x:f>(Z661+v01_ElderCommons*INDEX(LM_Elder,G661)*AA661)*AH661</x:f>
        <x:v>202.72583721813402</x:v>
      </x:c>
      <x:c r="AJ661" s="32" t="n">
        <x:f>H661*v01_CommonsCoef*AI661^v01_CommonsExp*INDEX(LM_Commons,G661)</x:f>
        <x:v>60.31379739532609</x:v>
      </x:c>
      <x:c r="AK661" s="32" t="n">
        <x:f>H661*v01_RoleScale*Arch_Roles*(AE661*(INDEX(v01_ElderRolePerSett,G661)*v01_OutElder*INDEX(LM_Elder,G661)+INDEX(v01_ShamanPerSett,G661)*v01_OutShaman)+Z661*(INDEX(v01_PriestShare,G661)*v01_OutPriest+INDEX(v01_ScribeShare,G661)*v01_OutScribe*INDEX(LM_Scribe,G661)+INDEX(v01_ScholarShare,G661)*v01_OutScholar*INDEX(LM_Scholar,G661)+INDEX(v01_ResearcherShare,G661)*v01_OutResearcher*INDEX(LM_Researcher,G661)))</x:f>
        <x:v>15</x:v>
      </x:c>
      <x:c r="AL661" s="32" t="n">
        <x:f>H661*v01_RoleScale*Arch_Roles*AE661*INDEX(v01_MonasteryPerSett,G661)*v01_OutMonastery*INDEX(LM_Monastery,G661)</x:f>
        <x:v>0</x:v>
      </x:c>
      <x:c r="AM661" s="32" t="n">
        <x:f>(AJ661+AK661+AL661)/4*INDEX(LM_All,G661)*INDEX(v01_Boon,G661)*Arch_Insight</x:f>
        <x:v>19.78163959711612</x:v>
      </x:c>
      <x:c r="AN661" s="32" t="n">
        <x:f>H661*(v01_KHPerAdult*Z661+v01_KHOfCommons*AJ661/4*INDEX(LM_All,G661))*v01_KHUsable*Arch_KH</x:f>
        <x:v>3.599025731252596</x:v>
      </x:c>
      <x:c r="AO661" s="32" t="n">
        <x:f>MIN(AP660+AN661,AM661*v01_KHMaxRatio)</x:f>
        <x:v>3.599025731252596</x:v>
      </x:c>
      <x:c r="AP661" s="32" t="n">
        <x:f>AP660+AN661-AO661</x:f>
        <x:v>0</x:v>
      </x:c>
      <x:c r="AQ661" s="32" t="n">
        <x:f>AM661+AO661</x:f>
        <x:v>23.380665328368714</x:v>
      </x:c>
      <x:c r="AR661" s="10" t="n">
        <x:f>IF(H661=1,INDEX(v01_Req,G661),0)</x:f>
        <x:v>4006.9599999999996</x:v>
      </x:c>
      <x:c r="AS661" s="32" t="n">
        <x:f>IF(H661=1,IF(E661=1,AS660-AR660,AS660)+AQ661,0)</x:f>
        <x:v>2628.996373171169</x:v>
      </x:c>
      <x:c r="AT661" s="11" t="n">
        <x:f>IF(AR661&gt;0,MIN(1,AS661/AR661),1)</x:f>
        <x:v>0.6561074663014279</x:v>
      </x:c>
      <x:c r="AU661" s="10" t="n">
        <x:f>AB661/INDEX(v01_RepScale,G661)</x:f>
        <x:v>117.77057781946776</x:v>
      </x:c>
      <x:c r="AV661" s="32" t="n">
        <x:f>AM661*60/v01_SeasonSeconds</x:f>
        <x:v>79.12655838846447</x:v>
      </x:c>
    </x:row>
    <x:row r="662">
      <x:c r="A662" s="8" t="n">
        <x:f>A661+1</x:f>
        <x:v>659</x:v>
      </x:c>
      <x:c r="B662" s="9" t="n">
        <x:f>A662*v01_SeasonSeconds/60</x:f>
        <x:v>164.75</x:v>
      </x:c>
      <x:c r="C662" s="9" t="n">
        <x:f>A662/4</x:f>
        <x:v>164.75</x:v>
      </x:c>
      <x:c r="D662" s="8" t="n">
        <x:f>IF(MOD(A662,4)=0,1,0)</x:f>
        <x:v>0</x:v>
      </x:c>
      <x:c r="E662" s="8" t="n">
        <x:f>IF(AND(F661&lt;=9,AS661&gt;=AR661),1,0)</x:f>
        <x:v>0</x:v>
      </x:c>
      <x:c r="F662" s="8" t="n">
        <x:f>MIN(10,F661+E662)</x:f>
        <x:v>2</x:v>
      </x:c>
      <x:c r="G662" s="8" t="n">
        <x:f>MIN(F662,9)+1</x:f>
        <x:v>3</x:v>
      </x:c>
      <x:c r="H662" s="8" t="n">
        <x:f>IF(F662&lt;=9,1,0)</x:f>
        <x:v>1</x:v>
      </x:c>
      <x:c r="I662" s="9" t="n">
        <x:f>MIN(10,F661+IF(AR661&gt;0,MIN(1,AS661/AR661),1))</x:f>
        <x:v>2.656107466301428</x:v>
      </x:c>
      <x:c r="J662" s="32" t="n">
        <x:f>INDEX(v01_FoodCap,G662)*Arch_FoodCap*EXP(v01_CapsByProject*SUMPRODUCT((Cap_Point&lt;=I662)*(Cap_Kind="Food")*Cap_Ln))</x:f>
        <x:v>60</x:v>
      </x:c>
      <x:c r="K662" s="32" t="n">
        <x:f>J662*MIN(1,v01_LeanBase*EXP(v01_CapsByProject*SUMPRODUCT((Cap_Point&lt;=I662)*(Cap_Kind="Lean")*Cap_Ln)))</x:f>
        <x:v>60</x:v>
      </x:c>
      <x:c r="L662" s="10" t="n">
        <x:f>INDEX(v01_HousingCap,G662)*EXP(v01_CapsByProject*SUMPRODUCT((Cap_Point&lt;=I662)*(Cap_Kind="Housing")*Cap_Ln))</x:f>
        <x:v>100</x:v>
      </x:c>
      <x:c r="M662" s="10" t="n">
        <x:f>INDEX(v01_GroupCap,G662)*v01_CohesionFactor*EXP(v01_CapsByProject*SUMPRODUCT((Cap_Point&lt;=I662)*(Cap_Kind="Group")*Cap_Ln))</x:f>
        <x:v>500</x:v>
      </x:c>
      <x:c r="N662" s="32" t="n">
        <x:f>MIN(J662,L662,M662)</x:f>
        <x:v>60</x:v>
      </x:c>
      <x:c r="O662" s="10" t="n">
        <x:f>AE661*N662</x:f>
        <x:v>300</x:v>
      </x:c>
      <x:c r="P662" s="9" t="n">
        <x:f>MIN(1,(AB661/(AE661*IF(v01_GroupInCrowding=1,N662,MIN(J662,L662))))^v01_CrowdingExp)</x:f>
        <x:v>0.234246591772728</x:v>
      </x:c>
      <x:c r="Q662" s="9" t="n">
        <x:f>IF(D662=1,INDEX(v01_WinterMult,G662),1)</x:f>
        <x:v>1</x:v>
      </x:c>
      <x:c r="R662" s="9" t="n">
        <x:f>H662*Z661*v01_WomenShare*v01_BaseFertility*INDEX(v01_FertMult,G662)*Arch_Fertility*(1-P662)</x:f>
        <x:v>3.1890466260050054</x:v>
      </x:c>
      <x:c r="S662" s="9" t="n">
        <x:f>H662*Y661*INDEX(v01_MortChild,G662)/4*Q662</x:f>
        <x:v>0.8698637980790291</x:v>
      </x:c>
      <x:c r="T662" s="9" t="n">
        <x:f>H662*Z661*INDEX(v01_MortAdult,G662)*Arch_AdultMort/4*Q662</x:f>
        <x:v>0.3084879198216511</x:v>
      </x:c>
      <x:c r="U662" s="9" t="n">
        <x:f>H662*AA661*INDEX(v01_MortElder,G662)/4*Q662</x:f>
        <x:v>0.5827297618970159</x:v>
      </x:c>
      <x:c r="V662" s="9" t="n">
        <x:f>H662*MAX(0,AB661-O662)*v01_OvercapLoss</x:f>
        <x:v>0</x:v>
      </x:c>
      <x:c r="W662" s="9" t="n">
        <x:f>H662*Y661/(v01_ChildYears*4)</x:f>
        <x:v>1.7752322409776102</x:v>
      </x:c>
      <x:c r="X662" s="9" t="n">
        <x:f>H662*Z661/(v01_AdultYears*4)</x:f>
        <x:v>0.829268601671105</x:v>
      </x:c>
      <x:c r="Y662" s="32" t="n">
        <x:f>Y661+R662-S662-W662-Y661*V662/AB661</x:f>
        <x:v>99.95695608169454</x:v>
      </x:c>
      <x:c r="Z662" s="32" t="n">
        <x:f>Z661+W662-X662-T662-Z661*V662/AB661</x:f>
        <x:v>103.46678232670189</x:v>
      </x:c>
      <x:c r="AA662" s="32" t="n">
        <x:f>AA661+X662-U662-AA661*V662/AB661</x:f>
        <x:v>33.545382376746424</x:v>
      </x:c>
      <x:c r="AB662" s="10" t="n">
        <x:f>Y662+Z662+AA662</x:f>
        <x:v>236.96912078514288</x:v>
      </x:c>
      <x:c r="AC662" s="8" t="n">
        <x:f>IF(AND(v01_WinterTrigger=1,D662=1,AB661/AE661&gt;=K662),1,0)</x:f>
        <x:v>0</x:v>
      </x:c>
      <x:c r="AD662" s="8" t="n">
        <x:f>H662*IF(AND(OR(AB661/AE661&gt;=v01_FissionTrigger*N662,AC662=1),AB661/AE661*v01_DaughterShare&gt;=v01_MinDaughter),MAX(1,ROUND(AE661*v01_FissionRate,0)),0)</x:f>
        <x:v>0</x:v>
      </x:c>
      <x:c r="AE662" s="8" t="n">
        <x:f>IF(H662=1,MAX(1,MIN(INDEX(v01_Smax,G662),AE661+AD662)),AE661)</x:f>
        <x:v>5</x:v>
      </x:c>
      <x:c r="AF662" s="8" t="n">
        <x:f>MAX(0,AE662-AE661)</x:f>
        <x:v>0</x:v>
      </x:c>
      <x:c r="AG662" s="9" t="str">
        <x:f>IF(AF662&gt;0,B662,"")</x:f>
      </x:c>
      <x:c r="AH662" s="9" t="n">
        <x:f>IF(F662&gt;=1,1,(1+v01_LowTiesShare*(AE662-1))/AE662)</x:f>
        <x:v>1</x:v>
      </x:c>
      <x:c r="AI662" s="32" t="n">
        <x:f>(Z662+v01_ElderCommons*INDEX(LM_Elder,G662)*AA662)*AH662</x:f>
        <x:v>204.10292945694115</x:v>
      </x:c>
      <x:c r="AJ662" s="32" t="n">
        <x:f>H662*v01_CommonsCoef*AI662^v01_CommonsExp*INDEX(LM_Commons,G662)</x:f>
        <x:v>60.66186915289446</x:v>
      </x:c>
      <x:c r="AK662" s="32" t="n">
        <x:f>H662*v01_RoleScale*Arch_Roles*(AE662*(INDEX(v01_ElderRolePerSett,G662)*v01_OutElder*INDEX(LM_Elder,G662)+INDEX(v01_ShamanPerSett,G662)*v01_OutShaman)+Z662*(INDEX(v01_PriestShare,G662)*v01_OutPriest+INDEX(v01_ScribeShare,G662)*v01_OutScribe*INDEX(LM_Scribe,G662)+INDEX(v01_ScholarShare,G662)*v01_OutScholar*INDEX(LM_Scholar,G662)+INDEX(v01_ResearcherShare,G662)*v01_OutResearcher*INDEX(LM_Researcher,G662)))</x:f>
        <x:v>15</x:v>
      </x:c>
      <x:c r="AL662" s="32" t="n">
        <x:f>H662*v01_RoleScale*Arch_Roles*AE662*INDEX(v01_MonasteryPerSett,G662)*v01_OutMonastery*INDEX(LM_Monastery,G662)</x:f>
        <x:v>0</x:v>
      </x:c>
      <x:c r="AM662" s="32" t="n">
        <x:f>(AJ662+AK662+AL662)/4*INDEX(LM_All,G662)*INDEX(v01_Boon,G662)*Arch_Insight</x:f>
        <x:v>19.873062819689935</x:v>
      </x:c>
      <x:c r="AN662" s="32" t="n">
        <x:f>H662*(v01_KHPerAdult*Z662+v01_KHOfCommons*AJ662/4*INDEX(LM_All,G662))*v01_KHUsable*Arch_KH</x:f>
        <x:v>3.621337381434566</x:v>
      </x:c>
      <x:c r="AO662" s="32" t="n">
        <x:f>MIN(AP661+AN662,AM662*v01_KHMaxRatio)</x:f>
        <x:v>3.621337381434566</x:v>
      </x:c>
      <x:c r="AP662" s="32" t="n">
        <x:f>AP661+AN662-AO662</x:f>
        <x:v>0</x:v>
      </x:c>
      <x:c r="AQ662" s="32" t="n">
        <x:f>AM662+AO662</x:f>
        <x:v>23.4944002011245</x:v>
      </x:c>
      <x:c r="AR662" s="10" t="n">
        <x:f>IF(H662=1,INDEX(v01_Req,G662),0)</x:f>
        <x:v>4006.9599999999996</x:v>
      </x:c>
      <x:c r="AS662" s="32" t="n">
        <x:f>IF(H662=1,IF(E662=1,AS661-AR661,AS661)+AQ662,0)</x:f>
        <x:v>2652.4907733722935</x:v>
      </x:c>
      <x:c r="AT662" s="11" t="n">
        <x:f>IF(AR662&gt;0,MIN(1,AS662/AR662),1)</x:f>
        <x:v>0.6619708640396444</x:v>
      </x:c>
      <x:c r="AU662" s="10" t="n">
        <x:f>AB662/INDEX(v01_RepScale,G662)</x:f>
        <x:v>118.48456039257144</x:v>
      </x:c>
      <x:c r="AV662" s="32" t="n">
        <x:f>AM662*60/v01_SeasonSeconds</x:f>
        <x:v>79.49225127875974</x:v>
      </x:c>
    </x:row>
    <x:row r="663">
      <x:c r="A663" s="8" t="n">
        <x:f>A662+1</x:f>
        <x:v>660</x:v>
      </x:c>
      <x:c r="B663" s="9" t="n">
        <x:f>A663*v01_SeasonSeconds/60</x:f>
        <x:v>165</x:v>
      </x:c>
      <x:c r="C663" s="9" t="n">
        <x:f>A663/4</x:f>
        <x:v>165</x:v>
      </x:c>
      <x:c r="D663" s="8" t="n">
        <x:f>IF(MOD(A663,4)=0,1,0)</x:f>
        <x:v>1</x:v>
      </x:c>
      <x:c r="E663" s="8" t="n">
        <x:f>IF(AND(F662&lt;=9,AS662&gt;=AR662),1,0)</x:f>
        <x:v>0</x:v>
      </x:c>
      <x:c r="F663" s="8" t="n">
        <x:f>MIN(10,F662+E663)</x:f>
        <x:v>2</x:v>
      </x:c>
      <x:c r="G663" s="8" t="n">
        <x:f>MIN(F663,9)+1</x:f>
        <x:v>3</x:v>
      </x:c>
      <x:c r="H663" s="8" t="n">
        <x:f>IF(F663&lt;=9,1,0)</x:f>
        <x:v>1</x:v>
      </x:c>
      <x:c r="I663" s="9" t="n">
        <x:f>MIN(10,F662+IF(AR662&gt;0,MIN(1,AS662/AR662),1))</x:f>
        <x:v>2.6619708640396444</x:v>
      </x:c>
      <x:c r="J663" s="32" t="n">
        <x:f>INDEX(v01_FoodCap,G663)*Arch_FoodCap*EXP(v01_CapsByProject*SUMPRODUCT((Cap_Point&lt;=I663)*(Cap_Kind="Food")*Cap_Ln))</x:f>
        <x:v>60</x:v>
      </x:c>
      <x:c r="K663" s="32" t="n">
        <x:f>J663*MIN(1,v01_LeanBase*EXP(v01_CapsByProject*SUMPRODUCT((Cap_Point&lt;=I663)*(Cap_Kind="Lean")*Cap_Ln)))</x:f>
        <x:v>60</x:v>
      </x:c>
      <x:c r="L663" s="10" t="n">
        <x:f>INDEX(v01_HousingCap,G663)*EXP(v01_CapsByProject*SUMPRODUCT((Cap_Point&lt;=I663)*(Cap_Kind="Housing")*Cap_Ln))</x:f>
        <x:v>100</x:v>
      </x:c>
      <x:c r="M663" s="10" t="n">
        <x:f>INDEX(v01_GroupCap,G663)*v01_CohesionFactor*EXP(v01_CapsByProject*SUMPRODUCT((Cap_Point&lt;=I663)*(Cap_Kind="Group")*Cap_Ln))</x:f>
        <x:v>500</x:v>
      </x:c>
      <x:c r="N663" s="32" t="n">
        <x:f>MIN(J663,L663,M663)</x:f>
        <x:v>60</x:v>
      </x:c>
      <x:c r="O663" s="10" t="n">
        <x:f>AE662*N663</x:f>
        <x:v>300</x:v>
      </x:c>
      <x:c r="P663" s="9" t="n">
        <x:f>MIN(1,(AB662/(AE662*IF(v01_GroupInCrowding=1,N663,MIN(J663,L663))))^v01_CrowdingExp)</x:f>
        <x:v>0.24289748323875554</x:v>
      </x:c>
      <x:c r="Q663" s="9" t="n">
        <x:f>IF(D663=1,INDEX(v01_WinterMult,G663),1)</x:f>
        <x:v>1.3</x:v>
      </x:c>
      <x:c r="R663" s="9" t="n">
        <x:f>H663*Z662*v01_WomenShare*v01_BaseFertility*INDEX(v01_FertMult,G663)*Arch_Fertility*(1-P663)</x:f>
        <x:v>3.17256593267972</x:v>
      </x:c>
      <x:c r="S663" s="9" t="n">
        <x:f>H663*Y662*INDEX(v01_MortChild,G663)/4*Q663</x:f>
        <x:v>1.1370103754292755</x:v>
      </x:c>
      <x:c r="T663" s="9" t="n">
        <x:f>H663*Z662*INDEX(v01_MortAdult,G663)*Arch_AdultMort/4*Q663</x:f>
        <x:v>0.40352045107413737</x:v>
      </x:c>
      <x:c r="U663" s="9" t="n">
        <x:f>H663*AA662*INDEX(v01_MortElder,G663)/4*Q663</x:f>
        <x:v>0.7631574490709814</x:v>
      </x:c>
      <x:c r="V663" s="9" t="n">
        <x:f>H663*MAX(0,AB662-O663)*v01_OvercapLoss</x:f>
        <x:v>0</x:v>
      </x:c>
      <x:c r="W663" s="9" t="n">
        <x:f>H663*Y662/(v01_ChildYears*4)</x:f>
        <x:v>1.784945644315974</x:v>
      </x:c>
      <x:c r="X663" s="9" t="n">
        <x:f>H663*Z662/(v01_AdultYears*4)</x:f>
        <x:v>0.8344095348927572</x:v>
      </x:c>
      <x:c r="Y663" s="32" t="n">
        <x:f>Y662+R663-S663-W663-Y662*V663/AB662</x:f>
        <x:v>100.20756599462902</x:v>
      </x:c>
      <x:c r="Z663" s="32" t="n">
        <x:f>Z662+W663-X663-T663-Z662*V663/AB662</x:f>
        <x:v>104.01379798505096</x:v>
      </x:c>
      <x:c r="AA663" s="32" t="n">
        <x:f>AA662+X663-U663-AA662*V663/AB662</x:f>
        <x:v>33.6166344625682</x:v>
      </x:c>
      <x:c r="AB663" s="10" t="n">
        <x:f>Y663+Z663+AA663</x:f>
        <x:v>237.8379984422482</x:v>
      </x:c>
      <x:c r="AC663" s="8" t="n">
        <x:f>IF(AND(v01_WinterTrigger=1,D663=1,AB662/AE662&gt;=K663),1,0)</x:f>
        <x:v>0</x:v>
      </x:c>
      <x:c r="AD663" s="8" t="n">
        <x:f>H663*IF(AND(OR(AB662/AE662&gt;=v01_FissionTrigger*N663,AC663=1),AB662/AE662*v01_DaughterShare&gt;=v01_MinDaughter),MAX(1,ROUND(AE662*v01_FissionRate,0)),0)</x:f>
        <x:v>0</x:v>
      </x:c>
      <x:c r="AE663" s="8" t="n">
        <x:f>IF(H663=1,MAX(1,MIN(INDEX(v01_Smax,G663),AE662+AD663)),AE662)</x:f>
        <x:v>5</x:v>
      </x:c>
      <x:c r="AF663" s="8" t="n">
        <x:f>MAX(0,AE663-AE662)</x:f>
        <x:v>0</x:v>
      </x:c>
      <x:c r="AG663" s="9" t="str">
        <x:f>IF(AF663&gt;0,B663,"")</x:f>
      </x:c>
      <x:c r="AH663" s="9" t="n">
        <x:f>IF(F663&gt;=1,1,(1+v01_LowTiesShare*(AE663-1))/AE663)</x:f>
        <x:v>1</x:v>
      </x:c>
      <x:c r="AI663" s="32" t="n">
        <x:f>(Z663+v01_ElderCommons*INDEX(LM_Elder,G663)*AA663)*AH663</x:f>
        <x:v>204.86370137275554</x:v>
      </x:c>
      <x:c r="AJ663" s="32" t="n">
        <x:f>H663*v01_CommonsCoef*AI663^v01_CommonsExp*INDEX(LM_Commons,G663)</x:f>
        <x:v>60.85400955482043</x:v>
      </x:c>
      <x:c r="AK663" s="32" t="n">
        <x:f>H663*v01_RoleScale*Arch_Roles*(AE663*(INDEX(v01_ElderRolePerSett,G663)*v01_OutElder*INDEX(LM_Elder,G663)+INDEX(v01_ShamanPerSett,G663)*v01_OutShaman)+Z663*(INDEX(v01_PriestShare,G663)*v01_OutPriest+INDEX(v01_ScribeShare,G663)*v01_OutScribe*INDEX(LM_Scribe,G663)+INDEX(v01_ScholarShare,G663)*v01_OutScholar*INDEX(LM_Scholar,G663)+INDEX(v01_ResearcherShare,G663)*v01_OutResearcher*INDEX(LM_Researcher,G663)))</x:f>
        <x:v>15</x:v>
      </x:c>
      <x:c r="AL663" s="32" t="n">
        <x:f>H663*v01_RoleScale*Arch_Roles*AE663*INDEX(v01_MonasteryPerSett,G663)*v01_OutMonastery*INDEX(LM_Monastery,G663)</x:f>
        <x:v>0</x:v>
      </x:c>
      <x:c r="AM663" s="32" t="n">
        <x:f>(AJ663+AK663+AL663)/4*INDEX(LM_All,G663)*INDEX(v01_Boon,G663)*Arch_Insight</x:f>
        <x:v>19.923529697133304</x:v>
      </x:c>
      <x:c r="AN663" s="32" t="n">
        <x:f>H663*(v01_KHPerAdult*Z663+v01_KHOfCommons*AJ663/4*INDEX(LM_All,G663))*v01_KHUsable*Arch_KH</x:f>
        <x:v>3.6404829294767835</x:v>
      </x:c>
      <x:c r="AO663" s="32" t="n">
        <x:f>MIN(AP662+AN663,AM663*v01_KHMaxRatio)</x:f>
        <x:v>3.6404829294767835</x:v>
      </x:c>
      <x:c r="AP663" s="32" t="n">
        <x:f>AP662+AN663-AO663</x:f>
        <x:v>0</x:v>
      </x:c>
      <x:c r="AQ663" s="32" t="n">
        <x:f>AM663+AO663</x:f>
        <x:v>23.564012626610086</x:v>
      </x:c>
      <x:c r="AR663" s="10" t="n">
        <x:f>IF(H663=1,INDEX(v01_Req,G663),0)</x:f>
        <x:v>4006.9599999999996</x:v>
      </x:c>
      <x:c r="AS663" s="32" t="n">
        <x:f>IF(H663=1,IF(E663=1,AS662-AR662,AS662)+AQ663,0)</x:f>
        <x:v>2676.0547859989038</x:v>
      </x:c>
      <x:c r="AT663" s="11" t="n">
        <x:f>IF(AR663&gt;0,MIN(1,AS663/AR663),1)</x:f>
        <x:v>0.6678516346554255</x:v>
      </x:c>
      <x:c r="AU663" s="10" t="n">
        <x:f>AB663/INDEX(v01_RepScale,G663)</x:f>
        <x:v>118.9189992211241</x:v>
      </x:c>
      <x:c r="AV663" s="32" t="n">
        <x:f>AM663*60/v01_SeasonSeconds</x:f>
        <x:v>79.69411878853322</x:v>
      </x:c>
    </x:row>
    <x:row r="664">
      <x:c r="A664" s="8" t="n">
        <x:f>A663+1</x:f>
        <x:v>661</x:v>
      </x:c>
      <x:c r="B664" s="9" t="n">
        <x:f>A664*v01_SeasonSeconds/60</x:f>
        <x:v>165.25</x:v>
      </x:c>
      <x:c r="C664" s="9" t="n">
        <x:f>A664/4</x:f>
        <x:v>165.25</x:v>
      </x:c>
      <x:c r="D664" s="8" t="n">
        <x:f>IF(MOD(A664,4)=0,1,0)</x:f>
        <x:v>0</x:v>
      </x:c>
      <x:c r="E664" s="8" t="n">
        <x:f>IF(AND(F663&lt;=9,AS663&gt;=AR663),1,0)</x:f>
        <x:v>0</x:v>
      </x:c>
      <x:c r="F664" s="8" t="n">
        <x:f>MIN(10,F663+E664)</x:f>
        <x:v>2</x:v>
      </x:c>
      <x:c r="G664" s="8" t="n">
        <x:f>MIN(F664,9)+1</x:f>
        <x:v>3</x:v>
      </x:c>
      <x:c r="H664" s="8" t="n">
        <x:f>IF(F664&lt;=9,1,0)</x:f>
        <x:v>1</x:v>
      </x:c>
      <x:c r="I664" s="9" t="n">
        <x:f>MIN(10,F663+IF(AR663&gt;0,MIN(1,AS663/AR663),1))</x:f>
        <x:v>2.6678516346554257</x:v>
      </x:c>
      <x:c r="J664" s="32" t="n">
        <x:f>INDEX(v01_FoodCap,G664)*Arch_FoodCap*EXP(v01_CapsByProject*SUMPRODUCT((Cap_Point&lt;=I664)*(Cap_Kind="Food")*Cap_Ln))</x:f>
        <x:v>60</x:v>
      </x:c>
      <x:c r="K664" s="32" t="n">
        <x:f>J664*MIN(1,v01_LeanBase*EXP(v01_CapsByProject*SUMPRODUCT((Cap_Point&lt;=I664)*(Cap_Kind="Lean")*Cap_Ln)))</x:f>
        <x:v>60</x:v>
      </x:c>
      <x:c r="L664" s="10" t="n">
        <x:f>INDEX(v01_HousingCap,G664)*EXP(v01_CapsByProject*SUMPRODUCT((Cap_Point&lt;=I664)*(Cap_Kind="Housing")*Cap_Ln))</x:f>
        <x:v>100</x:v>
      </x:c>
      <x:c r="M664" s="10" t="n">
        <x:f>INDEX(v01_GroupCap,G664)*v01_CohesionFactor*EXP(v01_CapsByProject*SUMPRODUCT((Cap_Point&lt;=I664)*(Cap_Kind="Group")*Cap_Ln))</x:f>
        <x:v>500</x:v>
      </x:c>
      <x:c r="N664" s="32" t="n">
        <x:f>MIN(J664,L664,M664)</x:f>
        <x:v>60</x:v>
      </x:c>
      <x:c r="O664" s="10" t="n">
        <x:f>AE663*N664</x:f>
        <x:v>300</x:v>
      </x:c>
      <x:c r="P664" s="9" t="n">
        <x:f>MIN(1,(AB663/(AE663*IF(v01_GroupInCrowding=1,N664,MIN(J664,L664))))^v01_CrowdingExp)</x:f>
        <x:v>0.2482903952150332</x:v>
      </x:c>
      <x:c r="Q664" s="9" t="n">
        <x:f>IF(D664=1,INDEX(v01_WinterMult,G664),1)</x:f>
        <x:v>1</x:v>
      </x:c>
      <x:c r="R664" s="9" t="n">
        <x:f>H664*Z663*v01_WomenShare*v01_BaseFertility*INDEX(v01_FertMult,G664)*Arch_Fertility*(1-P664)</x:f>
        <x:v>3.166620924508804</x:v>
      </x:c>
      <x:c r="S664" s="9" t="n">
        <x:f>H664*Y663*INDEX(v01_MortChild,G664)/4*Q664</x:f>
        <x:v>0.8768162024530041</x:v>
      </x:c>
      <x:c r="T664" s="9" t="n">
        <x:f>H664*Z663*INDEX(v01_MortAdult,G664)*Arch_AdultMort/4*Q664</x:f>
        <x:v>0.3120413939551529</x:v>
      </x:c>
      <x:c r="U664" s="9" t="n">
        <x:f>H664*AA663*INDEX(v01_MortElder,G664)/4*Q664</x:f>
        <x:v>0.5882911030949436</x:v>
      </x:c>
      <x:c r="V664" s="9" t="n">
        <x:f>H664*MAX(0,AB663-O664)*v01_OvercapLoss</x:f>
        <x:v>0</x:v>
      </x:c>
      <x:c r="W664" s="9" t="n">
        <x:f>H664*Y663/(v01_ChildYears*4)</x:f>
        <x:v>1.789420821332661</x:v>
      </x:c>
      <x:c r="X664" s="9" t="n">
        <x:f>H664*Z663/(v01_AdultYears*4)</x:f>
        <x:v>0.8388209514923465</x:v>
      </x:c>
      <x:c r="Y664" s="32" t="n">
        <x:f>Y663+R664-S664-W664-Y663*V664/AB663</x:f>
        <x:v>100.70794989535217</x:v>
      </x:c>
      <x:c r="Z664" s="32" t="n">
        <x:f>Z663+W664-X664-T664-Z663*V664/AB663</x:f>
        <x:v>104.6523564609361</x:v>
      </x:c>
      <x:c r="AA664" s="32" t="n">
        <x:f>AA663+X664-U664-AA663*V664/AB663</x:f>
        <x:v>33.8671643109656</x:v>
      </x:c>
      <x:c r="AB664" s="10" t="n">
        <x:f>Y664+Z664+AA664</x:f>
        <x:v>239.22747066725387</x:v>
      </x:c>
      <x:c r="AC664" s="8" t="n">
        <x:f>IF(AND(v01_WinterTrigger=1,D664=1,AB663/AE663&gt;=K664),1,0)</x:f>
        <x:v>0</x:v>
      </x:c>
      <x:c r="AD664" s="8" t="n">
        <x:f>H664*IF(AND(OR(AB663/AE663&gt;=v01_FissionTrigger*N664,AC664=1),AB663/AE663*v01_DaughterShare&gt;=v01_MinDaughter),MAX(1,ROUND(AE663*v01_FissionRate,0)),0)</x:f>
        <x:v>0</x:v>
      </x:c>
      <x:c r="AE664" s="8" t="n">
        <x:f>IF(H664=1,MAX(1,MIN(INDEX(v01_Smax,G664),AE663+AD664)),AE663)</x:f>
        <x:v>5</x:v>
      </x:c>
      <x:c r="AF664" s="8" t="n">
        <x:f>MAX(0,AE664-AE663)</x:f>
        <x:v>0</x:v>
      </x:c>
      <x:c r="AG664" s="9" t="str">
        <x:f>IF(AF664&gt;0,B664,"")</x:f>
      </x:c>
      <x:c r="AH664" s="9" t="n">
        <x:f>IF(F664&gt;=1,1,(1+v01_LowTiesShare*(AE664-1))/AE664)</x:f>
        <x:v>1</x:v>
      </x:c>
      <x:c r="AI664" s="32" t="n">
        <x:f>(Z664+v01_ElderCommons*INDEX(LM_Elder,G664)*AA664)*AH664</x:f>
        <x:v>206.25384939383292</x:v>
      </x:c>
      <x:c r="AJ664" s="32" t="n">
        <x:f>H664*v01_CommonsCoef*AI664^v01_CommonsExp*INDEX(LM_Commons,G664)</x:f>
        <x:v>61.204828991260214</x:v>
      </x:c>
      <x:c r="AK664" s="32" t="n">
        <x:f>H664*v01_RoleScale*Arch_Roles*(AE664*(INDEX(v01_ElderRolePerSett,G664)*v01_OutElder*INDEX(LM_Elder,G664)+INDEX(v01_ShamanPerSett,G664)*v01_OutShaman)+Z664*(INDEX(v01_PriestShare,G664)*v01_OutPriest+INDEX(v01_ScribeShare,G664)*v01_OutScribe*INDEX(LM_Scribe,G664)+INDEX(v01_ScholarShare,G664)*v01_OutScholar*INDEX(LM_Scholar,G664)+INDEX(v01_ResearcherShare,G664)*v01_OutResearcher*INDEX(LM_Researcher,G664)))</x:f>
        <x:v>15</x:v>
      </x:c>
      <x:c r="AL664" s="32" t="n">
        <x:f>H664*v01_RoleScale*Arch_Roles*AE664*INDEX(v01_MonasteryPerSett,G664)*v01_OutMonastery*INDEX(LM_Monastery,G664)</x:f>
        <x:v>0</x:v>
      </x:c>
      <x:c r="AM664" s="32" t="n">
        <x:f>(AJ664+AK664+AL664)/4*INDEX(LM_All,G664)*INDEX(v01_Boon,G664)*Arch_Insight</x:f>
        <x:v>20.01567461473569</x:v>
      </x:c>
      <x:c r="AN664" s="32" t="n">
        <x:f>H664*(v01_KHPerAdult*Z664+v01_KHOfCommons*AJ664/4*INDEX(LM_All,G664))*v01_KHUsable*Arch_KH</x:f>
        <x:v>3.6628324761327633</x:v>
      </x:c>
      <x:c r="AO664" s="32" t="n">
        <x:f>MIN(AP663+AN664,AM664*v01_KHMaxRatio)</x:f>
        <x:v>3.6628324761327633</x:v>
      </x:c>
      <x:c r="AP664" s="32" t="n">
        <x:f>AP663+AN664-AO664</x:f>
        <x:v>0</x:v>
      </x:c>
      <x:c r="AQ664" s="32" t="n">
        <x:f>AM664+AO664</x:f>
        <x:v>23.678507090868454</x:v>
      </x:c>
      <x:c r="AR664" s="10" t="n">
        <x:f>IF(H664=1,INDEX(v01_Req,G664),0)</x:f>
        <x:v>4006.9599999999996</x:v>
      </x:c>
      <x:c r="AS664" s="32" t="n">
        <x:f>IF(H664=1,IF(E664=1,AS663-AR663,AS663)+AQ664,0)</x:f>
        <x:v>2699.7332930897724</x:v>
      </x:c>
      <x:c r="AT664" s="11" t="n">
        <x:f>IF(AR664&gt;0,MIN(1,AS664/AR664),1)</x:f>
        <x:v>0.6737609791686896</x:v>
      </x:c>
      <x:c r="AU664" s="10" t="n">
        <x:f>AB664/INDEX(v01_RepScale,G664)</x:f>
        <x:v>119.61373533362693</x:v>
      </x:c>
      <x:c r="AV664" s="32" t="n">
        <x:f>AM664*60/v01_SeasonSeconds</x:f>
        <x:v>80.06269845894276</x:v>
      </x:c>
    </x:row>
    <x:row r="665">
      <x:c r="A665" s="8" t="n">
        <x:f>A664+1</x:f>
        <x:v>662</x:v>
      </x:c>
      <x:c r="B665" s="9" t="n">
        <x:f>A665*v01_SeasonSeconds/60</x:f>
        <x:v>165.5</x:v>
      </x:c>
      <x:c r="C665" s="9" t="n">
        <x:f>A665/4</x:f>
        <x:v>165.5</x:v>
      </x:c>
      <x:c r="D665" s="8" t="n">
        <x:f>IF(MOD(A665,4)=0,1,0)</x:f>
        <x:v>0</x:v>
      </x:c>
      <x:c r="E665" s="8" t="n">
        <x:f>IF(AND(F664&lt;=9,AS664&gt;=AR664),1,0)</x:f>
        <x:v>0</x:v>
      </x:c>
      <x:c r="F665" s="8" t="n">
        <x:f>MIN(10,F664+E665)</x:f>
        <x:v>2</x:v>
      </x:c>
      <x:c r="G665" s="8" t="n">
        <x:f>MIN(F665,9)+1</x:f>
        <x:v>3</x:v>
      </x:c>
      <x:c r="H665" s="8" t="n">
        <x:f>IF(F665&lt;=9,1,0)</x:f>
        <x:v>1</x:v>
      </x:c>
      <x:c r="I665" s="9" t="n">
        <x:f>MIN(10,F664+IF(AR664&gt;0,MIN(1,AS664/AR664),1))</x:f>
        <x:v>2.67376097916869</x:v>
      </x:c>
      <x:c r="J665" s="32" t="n">
        <x:f>INDEX(v01_FoodCap,G665)*Arch_FoodCap*EXP(v01_CapsByProject*SUMPRODUCT((Cap_Point&lt;=I665)*(Cap_Kind="Food")*Cap_Ln))</x:f>
        <x:v>60</x:v>
      </x:c>
      <x:c r="K665" s="32" t="n">
        <x:f>J665*MIN(1,v01_LeanBase*EXP(v01_CapsByProject*SUMPRODUCT((Cap_Point&lt;=I665)*(Cap_Kind="Lean")*Cap_Ln)))</x:f>
        <x:v>60</x:v>
      </x:c>
      <x:c r="L665" s="10" t="n">
        <x:f>INDEX(v01_HousingCap,G665)*EXP(v01_CapsByProject*SUMPRODUCT((Cap_Point&lt;=I665)*(Cap_Kind="Housing")*Cap_Ln))</x:f>
        <x:v>100</x:v>
      </x:c>
      <x:c r="M665" s="10" t="n">
        <x:f>INDEX(v01_GroupCap,G665)*v01_CohesionFactor*EXP(v01_CapsByProject*SUMPRODUCT((Cap_Point&lt;=I665)*(Cap_Kind="Group")*Cap_Ln))</x:f>
        <x:v>500</x:v>
      </x:c>
      <x:c r="N665" s="32" t="n">
        <x:f>MIN(J665,L665,M665)</x:f>
        <x:v>60</x:v>
      </x:c>
      <x:c r="O665" s="10" t="n">
        <x:f>AE664*N665</x:f>
        <x:v>300</x:v>
      </x:c>
      <x:c r="P665" s="9" t="n">
        <x:f>MIN(1,(AB664/(AE664*IF(v01_GroupInCrowding=1,N665,MIN(J665,L665))))^v01_CrowdingExp)</x:f>
        <x:v>0.2571217189841069</x:v>
      </x:c>
      <x:c r="Q665" s="9" t="n">
        <x:f>IF(D665=1,INDEX(v01_WinterMult,G665),1)</x:f>
        <x:v>1</x:v>
      </x:c>
      <x:c r="R665" s="9" t="n">
        <x:f>H665*Z664*v01_WomenShare*v01_BaseFertility*INDEX(v01_FertMult,G665)*Arch_Fertility*(1-P665)</x:f>
        <x:v>3.14863048821449</x:v>
      </x:c>
      <x:c r="S665" s="9" t="n">
        <x:f>H665*Y664*INDEX(v01_MortChild,G665)/4*Q665</x:f>
        <x:v>0.8811945615843316</x:v>
      </x:c>
      <x:c r="T665" s="9" t="n">
        <x:f>H665*Z664*INDEX(v01_MortAdult,G665)*Arch_AdultMort/4*Q665</x:f>
        <x:v>0.3139570693828083</x:v>
      </x:c>
      <x:c r="U665" s="9" t="n">
        <x:f>H665*AA664*INDEX(v01_MortElder,G665)/4*Q665</x:f>
        <x:v>0.5926753754418981</x:v>
      </x:c>
      <x:c r="V665" s="9" t="n">
        <x:f>H665*MAX(0,AB664-O665)*v01_OvercapLoss</x:f>
        <x:v>0</x:v>
      </x:c>
      <x:c r="W665" s="9" t="n">
        <x:f>H665*Y664/(v01_ChildYears*4)</x:f>
        <x:v>1.7983562481312887</x:v>
      </x:c>
      <x:c r="X665" s="9" t="n">
        <x:f>H665*Z664/(v01_AdultYears*4)</x:f>
        <x:v>0.8439706166204525</x:v>
      </x:c>
      <x:c r="Y665" s="32" t="n">
        <x:f>Y664+R665-S665-W665-Y664*V665/AB664</x:f>
        <x:v>101.17702957385104</x:v>
      </x:c>
      <x:c r="Z665" s="32" t="n">
        <x:f>Z664+W665-X665-T665-Z664*V665/AB664</x:f>
        <x:v>105.29278502306413</x:v>
      </x:c>
      <x:c r="AA665" s="32" t="n">
        <x:f>AA664+X665-U665-AA664*V665/AB664</x:f>
        <x:v>34.11845955214415</x:v>
      </x:c>
      <x:c r="AB665" s="10" t="n">
        <x:f>Y665+Z665+AA665</x:f>
        <x:v>240.58827414905932</x:v>
      </x:c>
      <x:c r="AC665" s="8" t="n">
        <x:f>IF(AND(v01_WinterTrigger=1,D665=1,AB664/AE664&gt;=K665),1,0)</x:f>
        <x:v>0</x:v>
      </x:c>
      <x:c r="AD665" s="8" t="n">
        <x:f>H665*IF(AND(OR(AB664/AE664&gt;=v01_FissionTrigger*N665,AC665=1),AB664/AE664*v01_DaughterShare&gt;=v01_MinDaughter),MAX(1,ROUND(AE664*v01_FissionRate,0)),0)</x:f>
        <x:v>0</x:v>
      </x:c>
      <x:c r="AE665" s="8" t="n">
        <x:f>IF(H665=1,MAX(1,MIN(INDEX(v01_Smax,G665),AE664+AD665)),AE664)</x:f>
        <x:v>5</x:v>
      </x:c>
      <x:c r="AF665" s="8" t="n">
        <x:f>MAX(0,AE665-AE664)</x:f>
        <x:v>0</x:v>
      </x:c>
      <x:c r="AG665" s="9" t="str">
        <x:f>IF(AF665&gt;0,B665,"")</x:f>
      </x:c>
      <x:c r="AH665" s="9" t="n">
        <x:f>IF(F665&gt;=1,1,(1+v01_LowTiesShare*(AE665-1))/AE665)</x:f>
        <x:v>1</x:v>
      </x:c>
      <x:c r="AI665" s="32" t="n">
        <x:f>(Z665+v01_ElderCommons*INDEX(LM_Elder,G665)*AA665)*AH665</x:f>
        <x:v>207.64816367949658</x:v>
      </x:c>
      <x:c r="AJ665" s="32" t="n">
        <x:f>H665*v01_CommonsCoef*AI665^v01_CommonsExp*INDEX(LM_Commons,G665)</x:f>
        <x:v>61.55634373741001</x:v>
      </x:c>
      <x:c r="AK665" s="32" t="n">
        <x:f>H665*v01_RoleScale*Arch_Roles*(AE665*(INDEX(v01_ElderRolePerSett,G665)*v01_OutElder*INDEX(LM_Elder,G665)+INDEX(v01_ShamanPerSett,G665)*v01_OutShaman)+Z665*(INDEX(v01_PriestShare,G665)*v01_OutPriest+INDEX(v01_ScribeShare,G665)*v01_OutScribe*INDEX(LM_Scribe,G665)+INDEX(v01_ScholarShare,G665)*v01_OutScholar*INDEX(LM_Scholar,G665)+INDEX(v01_ResearcherShare,G665)*v01_OutResearcher*INDEX(LM_Researcher,G665)))</x:f>
        <x:v>15</x:v>
      </x:c>
      <x:c r="AL665" s="32" t="n">
        <x:f>H665*v01_RoleScale*Arch_Roles*AE665*INDEX(v01_MonasteryPerSett,G665)*v01_OutMonastery*INDEX(LM_Monastery,G665)</x:f>
        <x:v>0</x:v>
      </x:c>
      <x:c r="AM665" s="32" t="n">
        <x:f>(AJ665+AK665+AL665)/4*INDEX(LM_All,G665)*INDEX(v01_Boon,G665)*Arch_Insight</x:f>
        <x:v>20.108002159779094</x:v>
      </x:c>
      <x:c r="AN665" s="32" t="n">
        <x:f>H665*(v01_KHPerAdult*Z665+v01_KHOfCommons*AJ665/4*INDEX(LM_All,G665))*v01_KHUsable*Arch_KH</x:f>
        <x:v>3.685247475807244</x:v>
      </x:c>
      <x:c r="AO665" s="32" t="n">
        <x:f>MIN(AP664+AN665,AM665*v01_KHMaxRatio)</x:f>
        <x:v>3.685247475807244</x:v>
      </x:c>
      <x:c r="AP665" s="32" t="n">
        <x:f>AP664+AN665-AO665</x:f>
        <x:v>0</x:v>
      </x:c>
      <x:c r="AQ665" s="32" t="n">
        <x:f>AM665+AO665</x:f>
        <x:v>23.79324963558634</x:v>
      </x:c>
      <x:c r="AR665" s="10" t="n">
        <x:f>IF(H665=1,INDEX(v01_Req,G665),0)</x:f>
        <x:v>4006.9599999999996</x:v>
      </x:c>
      <x:c r="AS665" s="32" t="n">
        <x:f>IF(H665=1,IF(E665=1,AS664-AR664,AS664)+AQ665,0)</x:f>
        <x:v>2723.526542725359</x:v>
      </x:c>
      <x:c r="AT665" s="11" t="n">
        <x:f>IF(AR665&gt;0,MIN(1,AS665/AR665),1)</x:f>
        <x:v>0.679698959491824</x:v>
      </x:c>
      <x:c r="AU665" s="10" t="n">
        <x:f>AB665/INDEX(v01_RepScale,G665)</x:f>
        <x:v>120.29413707452966</x:v>
      </x:c>
      <x:c r="AV665" s="32" t="n">
        <x:f>AM665*60/v01_SeasonSeconds</x:f>
        <x:v>80.43200863911638</x:v>
      </x:c>
    </x:row>
    <x:row r="666">
      <x:c r="A666" s="8" t="n">
        <x:f>A665+1</x:f>
        <x:v>663</x:v>
      </x:c>
      <x:c r="B666" s="9" t="n">
        <x:f>A666*v01_SeasonSeconds/60</x:f>
        <x:v>165.75</x:v>
      </x:c>
      <x:c r="C666" s="9" t="n">
        <x:f>A666/4</x:f>
        <x:v>165.75</x:v>
      </x:c>
      <x:c r="D666" s="8" t="n">
        <x:f>IF(MOD(A666,4)=0,1,0)</x:f>
        <x:v>0</x:v>
      </x:c>
      <x:c r="E666" s="8" t="n">
        <x:f>IF(AND(F665&lt;=9,AS665&gt;=AR665),1,0)</x:f>
        <x:v>0</x:v>
      </x:c>
      <x:c r="F666" s="8" t="n">
        <x:f>MIN(10,F665+E666)</x:f>
        <x:v>2</x:v>
      </x:c>
      <x:c r="G666" s="8" t="n">
        <x:f>MIN(F666,9)+1</x:f>
        <x:v>3</x:v>
      </x:c>
      <x:c r="H666" s="8" t="n">
        <x:f>IF(F666&lt;=9,1,0)</x:f>
        <x:v>1</x:v>
      </x:c>
      <x:c r="I666" s="9" t="n">
        <x:f>MIN(10,F665+IF(AR665&gt;0,MIN(1,AS665/AR665),1))</x:f>
        <x:v>2.679698959491824</x:v>
      </x:c>
      <x:c r="J666" s="32" t="n">
        <x:f>INDEX(v01_FoodCap,G666)*Arch_FoodCap*EXP(v01_CapsByProject*SUMPRODUCT((Cap_Point&lt;=I666)*(Cap_Kind="Food")*Cap_Ln))</x:f>
        <x:v>60</x:v>
      </x:c>
      <x:c r="K666" s="32" t="n">
        <x:f>J666*MIN(1,v01_LeanBase*EXP(v01_CapsByProject*SUMPRODUCT((Cap_Point&lt;=I666)*(Cap_Kind="Lean")*Cap_Ln)))</x:f>
        <x:v>60</x:v>
      </x:c>
      <x:c r="L666" s="10" t="n">
        <x:f>INDEX(v01_HousingCap,G666)*EXP(v01_CapsByProject*SUMPRODUCT((Cap_Point&lt;=I666)*(Cap_Kind="Housing")*Cap_Ln))</x:f>
        <x:v>100</x:v>
      </x:c>
      <x:c r="M666" s="10" t="n">
        <x:f>INDEX(v01_GroupCap,G666)*v01_CohesionFactor*EXP(v01_CapsByProject*SUMPRODUCT((Cap_Point&lt;=I666)*(Cap_Kind="Group")*Cap_Ln))</x:f>
        <x:v>500</x:v>
      </x:c>
      <x:c r="N666" s="32" t="n">
        <x:f>MIN(J666,L666,M666)</x:f>
        <x:v>60</x:v>
      </x:c>
      <x:c r="O666" s="10" t="n">
        <x:f>AE665*N666</x:f>
        <x:v>300</x:v>
      </x:c>
      <x:c r="P666" s="9" t="n">
        <x:f>MIN(1,(AB665/(AE665*IF(v01_GroupInCrowding=1,N666,MIN(J666,L666))))^v01_CrowdingExp)</x:f>
        <x:v>0.2660230156203541</x:v>
      </x:c>
      <x:c r="Q666" s="9" t="n">
        <x:f>IF(D666=1,INDEX(v01_WinterMult,G666),1)</x:f>
        <x:v>1</x:v>
      </x:c>
      <x:c r="R666" s="9" t="n">
        <x:f>H666*Z665*v01_WomenShare*v01_BaseFertility*INDEX(v01_FertMult,G666)*Arch_Fertility*(1-P666)</x:f>
        <x:v>3.1299404735406</x:v>
      </x:c>
      <x:c r="S666" s="9" t="n">
        <x:f>H666*Y665*INDEX(v01_MortChild,G666)/4*Q666</x:f>
        <x:v>0.8852990087711967</x:v>
      </x:c>
      <x:c r="T666" s="9" t="n">
        <x:f>H666*Z665*INDEX(v01_MortAdult,G666)*Arch_AdultMort/4*Q666</x:f>
        <x:v>0.3158783550691924</x:v>
      </x:c>
      <x:c r="U666" s="9" t="n">
        <x:f>H666*AA665*INDEX(v01_MortElder,G666)/4*Q666</x:f>
        <x:v>0.5970730421625228</x:v>
      </x:c>
      <x:c r="V666" s="9" t="n">
        <x:f>H666*MAX(0,AB665-O666)*v01_OvercapLoss</x:f>
        <x:v>0</x:v>
      </x:c>
      <x:c r="W666" s="9" t="n">
        <x:f>H666*Y665/(v01_ChildYears*4)</x:f>
        <x:v>1.8067326709616258</x:v>
      </x:c>
      <x:c r="X666" s="9" t="n">
        <x:f>H666*Z665/(v01_AdultYears*4)</x:f>
        <x:v>0.8491353630892269</x:v>
      </x:c>
      <x:c r="Y666" s="32" t="n">
        <x:f>Y665+R666-S666-W666-Y665*V666/AB665</x:f>
        <x:v>101.61493836765882</x:v>
      </x:c>
      <x:c r="Z666" s="32" t="n">
        <x:f>Z665+W666-X666-T666-Z665*V666/AB665</x:f>
        <x:v>105.93450397586733</x:v>
      </x:c>
      <x:c r="AA666" s="32" t="n">
        <x:f>AA665+X666-U666-AA665*V666/AB665</x:f>
        <x:v>34.37052187307086</x:v>
      </x:c>
      <x:c r="AB666" s="10" t="n">
        <x:f>Y666+Z666+AA666</x:f>
        <x:v>241.919964216597</x:v>
      </x:c>
      <x:c r="AC666" s="8" t="n">
        <x:f>IF(AND(v01_WinterTrigger=1,D666=1,AB665/AE665&gt;=K666),1,0)</x:f>
        <x:v>0</x:v>
      </x:c>
      <x:c r="AD666" s="8" t="n">
        <x:f>H666*IF(AND(OR(AB665/AE665&gt;=v01_FissionTrigger*N666,AC666=1),AB665/AE665*v01_DaughterShare&gt;=v01_MinDaughter),MAX(1,ROUND(AE665*v01_FissionRate,0)),0)</x:f>
        <x:v>0</x:v>
      </x:c>
      <x:c r="AE666" s="8" t="n">
        <x:f>IF(H666=1,MAX(1,MIN(INDEX(v01_Smax,G666),AE665+AD666)),AE665)</x:f>
        <x:v>5</x:v>
      </x:c>
      <x:c r="AF666" s="8" t="n">
        <x:f>MAX(0,AE666-AE665)</x:f>
        <x:v>0</x:v>
      </x:c>
      <x:c r="AG666" s="9" t="str">
        <x:f>IF(AF666&gt;0,B666,"")</x:f>
      </x:c>
      <x:c r="AH666" s="9" t="n">
        <x:f>IF(F666&gt;=1,1,(1+v01_LowTiesShare*(AE666-1))/AE666)</x:f>
        <x:v>1</x:v>
      </x:c>
      <x:c r="AI666" s="32" t="n">
        <x:f>(Z666+v01_ElderCommons*INDEX(LM_Elder,G666)*AA666)*AH666</x:f>
        <x:v>209.0460695950799</x:v>
      </x:c>
      <x:c r="AJ666" s="32" t="n">
        <x:f>H666*v01_CommonsCoef*AI666^v01_CommonsExp*INDEX(LM_Commons,G666)</x:f>
        <x:v>61.908408711316596</x:v>
      </x:c>
      <x:c r="AK666" s="32" t="n">
        <x:f>H666*v01_RoleScale*Arch_Roles*(AE666*(INDEX(v01_ElderRolePerSett,G666)*v01_OutElder*INDEX(LM_Elder,G666)+INDEX(v01_ShamanPerSett,G666)*v01_OutShaman)+Z666*(INDEX(v01_PriestShare,G666)*v01_OutPriest+INDEX(v01_ScribeShare,G666)*v01_OutScribe*INDEX(LM_Scribe,G666)+INDEX(v01_ScholarShare,G666)*v01_OutScholar*INDEX(LM_Scholar,G666)+INDEX(v01_ResearcherShare,G666)*v01_OutResearcher*INDEX(LM_Researcher,G666)))</x:f>
        <x:v>15</x:v>
      </x:c>
      <x:c r="AL666" s="32" t="n">
        <x:f>H666*v01_RoleScale*Arch_Roles*AE666*INDEX(v01_MonasteryPerSett,G666)*v01_OutMonastery*INDEX(LM_Monastery,G666)</x:f>
        <x:v>0</x:v>
      </x:c>
      <x:c r="AM666" s="32" t="n">
        <x:f>(AJ666+AK666+AL666)/4*INDEX(LM_All,G666)*INDEX(v01_Boon,G666)*Arch_Insight</x:f>
        <x:v>20.200474225581747</x:v>
      </x:c>
      <x:c r="AN666" s="32" t="n">
        <x:f>H666*(v01_KHPerAdult*Z666+v01_KHOfCommons*AJ666/4*INDEX(LM_All,G666))*v01_KHUsable*Arch_KH</x:f>
        <x:v>3.7077076391553567</x:v>
      </x:c>
      <x:c r="AO666" s="32" t="n">
        <x:f>MIN(AP665+AN666,AM666*v01_KHMaxRatio)</x:f>
        <x:v>3.7077076391553567</x:v>
      </x:c>
      <x:c r="AP666" s="32" t="n">
        <x:f>AP665+AN666-AO666</x:f>
        <x:v>0</x:v>
      </x:c>
      <x:c r="AQ666" s="32" t="n">
        <x:f>AM666+AO666</x:f>
        <x:v>23.908181864737102</x:v>
      </x:c>
      <x:c r="AR666" s="10" t="n">
        <x:f>IF(H666=1,INDEX(v01_Req,G666),0)</x:f>
        <x:v>4006.9599999999996</x:v>
      </x:c>
      <x:c r="AS666" s="32" t="n">
        <x:f>IF(H666=1,IF(E666=1,AS665-AR665,AS665)+AQ666,0)</x:f>
        <x:v>2747.434724590096</x:v>
      </x:c>
      <x:c r="AT666" s="11" t="n">
        <x:f>IF(AR666&gt;0,MIN(1,AS666/AR666),1)</x:f>
        <x:v>0.6856656229635674</x:v>
      </x:c>
      <x:c r="AU666" s="10" t="n">
        <x:f>AB666/INDEX(v01_RepScale,G666)</x:f>
        <x:v>120.9599821082985</x:v>
      </x:c>
      <x:c r="AV666" s="32" t="n">
        <x:f>AM666*60/v01_SeasonSeconds</x:f>
        <x:v>80.80189690232699</x:v>
      </x:c>
    </x:row>
    <x:row r="667">
      <x:c r="A667" s="8" t="n">
        <x:f>A666+1</x:f>
        <x:v>664</x:v>
      </x:c>
      <x:c r="B667" s="9" t="n">
        <x:f>A667*v01_SeasonSeconds/60</x:f>
        <x:v>166</x:v>
      </x:c>
      <x:c r="C667" s="9" t="n">
        <x:f>A667/4</x:f>
        <x:v>166</x:v>
      </x:c>
      <x:c r="D667" s="8" t="n">
        <x:f>IF(MOD(A667,4)=0,1,0)</x:f>
        <x:v>1</x:v>
      </x:c>
      <x:c r="E667" s="8" t="n">
        <x:f>IF(AND(F666&lt;=9,AS666&gt;=AR666),1,0)</x:f>
        <x:v>0</x:v>
      </x:c>
      <x:c r="F667" s="8" t="n">
        <x:f>MIN(10,F666+E667)</x:f>
        <x:v>2</x:v>
      </x:c>
      <x:c r="G667" s="8" t="n">
        <x:f>MIN(F667,9)+1</x:f>
        <x:v>3</x:v>
      </x:c>
      <x:c r="H667" s="8" t="n">
        <x:f>IF(F667&lt;=9,1,0)</x:f>
        <x:v>1</x:v>
      </x:c>
      <x:c r="I667" s="9" t="n">
        <x:f>MIN(10,F666+IF(AR666&gt;0,MIN(1,AS666/AR666),1))</x:f>
        <x:v>2.685665622963567</x:v>
      </x:c>
      <x:c r="J667" s="32" t="n">
        <x:f>INDEX(v01_FoodCap,G667)*Arch_FoodCap*EXP(v01_CapsByProject*SUMPRODUCT((Cap_Point&lt;=I667)*(Cap_Kind="Food")*Cap_Ln))</x:f>
        <x:v>60</x:v>
      </x:c>
      <x:c r="K667" s="32" t="n">
        <x:f>J667*MIN(1,v01_LeanBase*EXP(v01_CapsByProject*SUMPRODUCT((Cap_Point&lt;=I667)*(Cap_Kind="Lean")*Cap_Ln)))</x:f>
        <x:v>60</x:v>
      </x:c>
      <x:c r="L667" s="10" t="n">
        <x:f>INDEX(v01_HousingCap,G667)*EXP(v01_CapsByProject*SUMPRODUCT((Cap_Point&lt;=I667)*(Cap_Kind="Housing")*Cap_Ln))</x:f>
        <x:v>100</x:v>
      </x:c>
      <x:c r="M667" s="10" t="n">
        <x:f>INDEX(v01_GroupCap,G667)*v01_CohesionFactor*EXP(v01_CapsByProject*SUMPRODUCT((Cap_Point&lt;=I667)*(Cap_Kind="Group")*Cap_Ln))</x:f>
        <x:v>500</x:v>
      </x:c>
      <x:c r="N667" s="32" t="n">
        <x:f>MIN(J667,L667,M667)</x:f>
        <x:v>60</x:v>
      </x:c>
      <x:c r="O667" s="10" t="n">
        <x:f>AE666*N667</x:f>
        <x:v>300</x:v>
      </x:c>
      <x:c r="P667" s="9" t="n">
        <x:f>MIN(1,(AB666/(AE666*IF(v01_GroupInCrowding=1,N667,MIN(J667,L667))))^v01_CrowdingExp)</x:f>
        <x:v>0.2749810267105796</x:v>
      </x:c>
      <x:c r="Q667" s="9" t="n">
        <x:f>IF(D667=1,INDEX(v01_WinterMult,G667),1)</x:f>
        <x:v>1.3</x:v>
      </x:c>
      <x:c r="R667" s="9" t="n">
        <x:f>H667*Z666*v01_WomenShare*v01_BaseFertility*INDEX(v01_FertMult,G667)*Arch_Fertility*(1-P667)</x:f>
        <x:v>3.1105832749945477</x:v>
      </x:c>
      <x:c r="S667" s="9" t="n">
        <x:f>H667*Y666*INDEX(v01_MortChild,G667)/4*Q667</x:f>
        <x:v>1.1558699239321193</x:v>
      </x:c>
      <x:c r="T667" s="9" t="n">
        <x:f>H667*Z666*INDEX(v01_MortAdult,G667)*Arch_AdultMort/4*Q667</x:f>
        <x:v>0.4131445655058826</x:v>
      </x:c>
      <x:c r="U667" s="9" t="n">
        <x:f>H667*AA666*INDEX(v01_MortElder,G667)/4*Q667</x:f>
        <x:v>0.7819293726123621</x:v>
      </x:c>
      <x:c r="V667" s="9" t="n">
        <x:f>H667*MAX(0,AB666-O667)*v01_OvercapLoss</x:f>
        <x:v>0</x:v>
      </x:c>
      <x:c r="W667" s="9" t="n">
        <x:f>H667*Y666/(v01_ChildYears*4)</x:f>
        <x:v>1.8145524708510503</x:v>
      </x:c>
      <x:c r="X667" s="9" t="n">
        <x:f>H667*Z666/(v01_AdultYears*4)</x:f>
        <x:v>0.854310515934414</x:v>
      </x:c>
      <x:c r="Y667" s="32" t="n">
        <x:f>Y666+R667-S667-W667-Y666*V667/AB666</x:f>
        <x:v>101.7550992478702</x:v>
      </x:c>
      <x:c r="Z667" s="32" t="n">
        <x:f>Z666+W667-X667-T667-Z666*V667/AB666</x:f>
        <x:v>106.48160136527808</x:v>
      </x:c>
      <x:c r="AA667" s="32" t="n">
        <x:f>AA666+X667-U667-AA666*V667/AB666</x:f>
        <x:v>34.44290301639291</x:v>
      </x:c>
      <x:c r="AB667" s="10" t="n">
        <x:f>Y667+Z667+AA667</x:f>
        <x:v>242.6796036295412</x:v>
      </x:c>
      <x:c r="AC667" s="8" t="n">
        <x:f>IF(AND(v01_WinterTrigger=1,D667=1,AB666/AE666&gt;=K667),1,0)</x:f>
        <x:v>0</x:v>
      </x:c>
      <x:c r="AD667" s="8" t="n">
        <x:f>H667*IF(AND(OR(AB666/AE666&gt;=v01_FissionTrigger*N667,AC667=1),AB666/AE666*v01_DaughterShare&gt;=v01_MinDaughter),MAX(1,ROUND(AE666*v01_FissionRate,0)),0)</x:f>
        <x:v>0</x:v>
      </x:c>
      <x:c r="AE667" s="8" t="n">
        <x:f>IF(H667=1,MAX(1,MIN(INDEX(v01_Smax,G667),AE666+AD667)),AE666)</x:f>
        <x:v>5</x:v>
      </x:c>
      <x:c r="AF667" s="8" t="n">
        <x:f>MAX(0,AE667-AE666)</x:f>
        <x:v>0</x:v>
      </x:c>
      <x:c r="AG667" s="9" t="str">
        <x:f>IF(AF667&gt;0,B667,"")</x:f>
      </x:c>
      <x:c r="AH667" s="9" t="n">
        <x:f>IF(F667&gt;=1,1,(1+v01_LowTiesShare*(AE667-1))/AE667)</x:f>
        <x:v>1</x:v>
      </x:c>
      <x:c r="AI667" s="32" t="n">
        <x:f>(Z667+v01_ElderCommons*INDEX(LM_Elder,G667)*AA667)*AH667</x:f>
        <x:v>209.8103104144568</x:v>
      </x:c>
      <x:c r="AJ667" s="32" t="n">
        <x:f>H667*v01_CommonsCoef*AI667^v01_CommonsExp*INDEX(LM_Commons,G667)</x:f>
        <x:v>62.100734650671846</x:v>
      </x:c>
      <x:c r="AK667" s="32" t="n">
        <x:f>H667*v01_RoleScale*Arch_Roles*(AE667*(INDEX(v01_ElderRolePerSett,G667)*v01_OutElder*INDEX(LM_Elder,G667)+INDEX(v01_ShamanPerSett,G667)*v01_OutShaman)+Z667*(INDEX(v01_PriestShare,G667)*v01_OutPriest+INDEX(v01_ScribeShare,G667)*v01_OutScribe*INDEX(LM_Scribe,G667)+INDEX(v01_ScholarShare,G667)*v01_OutScholar*INDEX(LM_Scholar,G667)+INDEX(v01_ResearcherShare,G667)*v01_OutResearcher*INDEX(LM_Researcher,G667)))</x:f>
        <x:v>15</x:v>
      </x:c>
      <x:c r="AL667" s="32" t="n">
        <x:f>H667*v01_RoleScale*Arch_Roles*AE667*INDEX(v01_MonasteryPerSett,G667)*v01_OutMonastery*INDEX(LM_Monastery,G667)</x:f>
        <x:v>0</x:v>
      </x:c>
      <x:c r="AM667" s="32" t="n">
        <x:f>(AJ667+AK667+AL667)/4*INDEX(LM_All,G667)*INDEX(v01_Boon,G667)*Arch_Insight</x:f>
        <x:v>20.250989835590527</x:v>
      </x:c>
      <x:c r="AN667" s="32" t="n">
        <x:f>H667*(v01_KHPerAdult*Z667+v01_KHOfCommons*AJ667/4*INDEX(LM_All,G667))*v01_KHUsable*Arch_KH</x:f>
        <x:v>3.726856047784733</x:v>
      </x:c>
      <x:c r="AO667" s="32" t="n">
        <x:f>MIN(AP666+AN667,AM667*v01_KHMaxRatio)</x:f>
        <x:v>3.726856047784733</x:v>
      </x:c>
      <x:c r="AP667" s="32" t="n">
        <x:f>AP666+AN667-AO667</x:f>
        <x:v>0</x:v>
      </x:c>
      <x:c r="AQ667" s="32" t="n">
        <x:f>AM667+AO667</x:f>
        <x:v>23.97784588337526</x:v>
      </x:c>
      <x:c r="AR667" s="10" t="n">
        <x:f>IF(H667=1,INDEX(v01_Req,G667),0)</x:f>
        <x:v>4006.9599999999996</x:v>
      </x:c>
      <x:c r="AS667" s="32" t="n">
        <x:f>IF(H667=1,IF(E667=1,AS666-AR666,AS666)+AQ667,0)</x:f>
        <x:v>2771.412570473471</x:v>
      </x:c>
      <x:c r="AT667" s="11" t="n">
        <x:f>IF(AR667&gt;0,MIN(1,AS667/AR667),1)</x:f>
        <x:v>0.6916496721887594</x:v>
      </x:c>
      <x:c r="AU667" s="10" t="n">
        <x:f>AB667/INDEX(v01_RepScale,G667)</x:f>
        <x:v>121.3398018147706</x:v>
      </x:c>
      <x:c r="AV667" s="32" t="n">
        <x:f>AM667*60/v01_SeasonSeconds</x:f>
        <x:v>81.00395934236211</x:v>
      </x:c>
    </x:row>
    <x:row r="668">
      <x:c r="A668" s="8" t="n">
        <x:f>A667+1</x:f>
        <x:v>665</x:v>
      </x:c>
      <x:c r="B668" s="9" t="n">
        <x:f>A668*v01_SeasonSeconds/60</x:f>
        <x:v>166.25</x:v>
      </x:c>
      <x:c r="C668" s="9" t="n">
        <x:f>A668/4</x:f>
        <x:v>166.25</x:v>
      </x:c>
      <x:c r="D668" s="8" t="n">
        <x:f>IF(MOD(A668,4)=0,1,0)</x:f>
        <x:v>0</x:v>
      </x:c>
      <x:c r="E668" s="8" t="n">
        <x:f>IF(AND(F667&lt;=9,AS667&gt;=AR667),1,0)</x:f>
        <x:v>0</x:v>
      </x:c>
      <x:c r="F668" s="8" t="n">
        <x:f>MIN(10,F667+E668)</x:f>
        <x:v>2</x:v>
      </x:c>
      <x:c r="G668" s="8" t="n">
        <x:f>MIN(F668,9)+1</x:f>
        <x:v>3</x:v>
      </x:c>
      <x:c r="H668" s="8" t="n">
        <x:f>IF(F668&lt;=9,1,0)</x:f>
        <x:v>1</x:v>
      </x:c>
      <x:c r="I668" s="9" t="n">
        <x:f>MIN(10,F667+IF(AR667&gt;0,MIN(1,AS667/AR667),1))</x:f>
        <x:v>2.6916496721887593</x:v>
      </x:c>
      <x:c r="J668" s="32" t="n">
        <x:f>INDEX(v01_FoodCap,G668)*Arch_FoodCap*EXP(v01_CapsByProject*SUMPRODUCT((Cap_Point&lt;=I668)*(Cap_Kind="Food")*Cap_Ln))</x:f>
        <x:v>60</x:v>
      </x:c>
      <x:c r="K668" s="32" t="n">
        <x:f>J668*MIN(1,v01_LeanBase*EXP(v01_CapsByProject*SUMPRODUCT((Cap_Point&lt;=I668)*(Cap_Kind="Lean")*Cap_Ln)))</x:f>
        <x:v>60</x:v>
      </x:c>
      <x:c r="L668" s="10" t="n">
        <x:f>INDEX(v01_HousingCap,G668)*EXP(v01_CapsByProject*SUMPRODUCT((Cap_Point&lt;=I668)*(Cap_Kind="Housing")*Cap_Ln))</x:f>
        <x:v>100</x:v>
      </x:c>
      <x:c r="M668" s="10" t="n">
        <x:f>INDEX(v01_GroupCap,G668)*v01_CohesionFactor*EXP(v01_CapsByProject*SUMPRODUCT((Cap_Point&lt;=I668)*(Cap_Kind="Group")*Cap_Ln))</x:f>
        <x:v>500</x:v>
      </x:c>
      <x:c r="N668" s="32" t="n">
        <x:f>MIN(J668,L668,M668)</x:f>
        <x:v>60</x:v>
      </x:c>
      <x:c r="O668" s="10" t="n">
        <x:f>AE667*N668</x:f>
        <x:v>300</x:v>
      </x:c>
      <x:c r="P668" s="9" t="n">
        <x:f>MIN(1,(AB667/(AE667*IF(v01_GroupInCrowding=1,N668,MIN(J668,L668))))^v01_CrowdingExp)</x:f>
        <x:v>0.2802025822646477</x:v>
      </x:c>
      <x:c r="Q668" s="9" t="n">
        <x:f>IF(D668=1,INDEX(v01_WinterMult,G668),1)</x:f>
        <x:v>1</x:v>
      </x:c>
      <x:c r="R668" s="9" t="n">
        <x:f>H668*Z667*v01_WomenShare*v01_BaseFertility*INDEX(v01_FertMult,G668)*Arch_Fertility*(1-P668)</x:f>
        <x:v>3.1041298588116195</x:v>
      </x:c>
      <x:c r="S668" s="9" t="n">
        <x:f>H668*Y667*INDEX(v01_MortChild,G668)/4*Q668</x:f>
        <x:v>0.8903571184188643</x:v>
      </x:c>
      <x:c r="T668" s="9" t="n">
        <x:f>H668*Z667*INDEX(v01_MortAdult,G668)*Arch_AdultMort/4*Q668</x:f>
        <x:v>0.31944480409583426</x:v>
      </x:c>
      <x:c r="U668" s="9" t="n">
        <x:f>H668*AA667*INDEX(v01_MortElder,G668)/4*Q668</x:f>
        <x:v>0.602750802786876</x:v>
      </x:c>
      <x:c r="V668" s="9" t="n">
        <x:f>H668*MAX(0,AB667-O668)*v01_OvercapLoss</x:f>
        <x:v>0</x:v>
      </x:c>
      <x:c r="W668" s="9" t="n">
        <x:f>H668*Y667/(v01_ChildYears*4)</x:f>
        <x:v>1.8170553437119679</x:v>
      </x:c>
      <x:c r="X668" s="9" t="n">
        <x:f>H668*Z667/(v01_AdultYears*4)</x:f>
        <x:v>0.8587225916554684</x:v>
      </x:c>
      <x:c r="Y668" s="32" t="n">
        <x:f>Y667+R668-S668-W668-Y667*V668/AB667</x:f>
        <x:v>102.15181664455099</x:v>
      </x:c>
      <x:c r="Z668" s="32" t="n">
        <x:f>Z667+W668-X668-T668-Z667*V668/AB667</x:f>
        <x:v>107.12048931323875</x:v>
      </x:c>
      <x:c r="AA668" s="32" t="n">
        <x:f>AA667+X668-U668-AA667*V668/AB667</x:f>
        <x:v>34.698874805261504</x:v>
      </x:c>
      <x:c r="AB668" s="10" t="n">
        <x:f>Y668+Z668+AA668</x:f>
        <x:v>243.97118076305125</x:v>
      </x:c>
      <x:c r="AC668" s="8" t="n">
        <x:f>IF(AND(v01_WinterTrigger=1,D668=1,AB667/AE667&gt;=K668),1,0)</x:f>
        <x:v>0</x:v>
      </x:c>
      <x:c r="AD668" s="8" t="n">
        <x:f>H668*IF(AND(OR(AB667/AE667&gt;=v01_FissionTrigger*N668,AC668=1),AB667/AE667*v01_DaughterShare&gt;=v01_MinDaughter),MAX(1,ROUND(AE667*v01_FissionRate,0)),0)</x:f>
        <x:v>0</x:v>
      </x:c>
      <x:c r="AE668" s="8" t="n">
        <x:f>IF(H668=1,MAX(1,MIN(INDEX(v01_Smax,G668),AE667+AD668)),AE667)</x:f>
        <x:v>5</x:v>
      </x:c>
      <x:c r="AF668" s="8" t="n">
        <x:f>MAX(0,AE668-AE667)</x:f>
        <x:v>0</x:v>
      </x:c>
      <x:c r="AG668" s="9" t="str">
        <x:f>IF(AF668&gt;0,B668,"")</x:f>
      </x:c>
      <x:c r="AH668" s="9" t="n">
        <x:f>IF(F668&gt;=1,1,(1+v01_LowTiesShare*(AE668-1))/AE668)</x:f>
        <x:v>1</x:v>
      </x:c>
      <x:c r="AI668" s="32" t="n">
        <x:f>(Z668+v01_ElderCommons*INDEX(LM_Elder,G668)*AA668)*AH668</x:f>
        <x:v>211.21711372902325</x:v>
      </x:c>
      <x:c r="AJ668" s="32" t="n">
        <x:f>H668*v01_CommonsCoef*AI668^v01_CommonsExp*INDEX(LM_Commons,G668)</x:f>
        <x:v>62.454491066533365</x:v>
      </x:c>
      <x:c r="AK668" s="32" t="n">
        <x:f>H668*v01_RoleScale*Arch_Roles*(AE668*(INDEX(v01_ElderRolePerSett,G668)*v01_OutElder*INDEX(LM_Elder,G668)+INDEX(v01_ShamanPerSett,G668)*v01_OutShaman)+Z668*(INDEX(v01_PriestShare,G668)*v01_OutPriest+INDEX(v01_ScribeShare,G668)*v01_OutScribe*INDEX(LM_Scribe,G668)+INDEX(v01_ScholarShare,G668)*v01_OutScholar*INDEX(LM_Scholar,G668)+INDEX(v01_ResearcherShare,G668)*v01_OutResearcher*INDEX(LM_Researcher,G668)))</x:f>
        <x:v>15</x:v>
      </x:c>
      <x:c r="AL668" s="32" t="n">
        <x:f>H668*v01_RoleScale*Arch_Roles*AE668*INDEX(v01_MonasteryPerSett,G668)*v01_OutMonastery*INDEX(LM_Monastery,G668)</x:f>
        <x:v>0</x:v>
      </x:c>
      <x:c r="AM668" s="32" t="n">
        <x:f>(AJ668+AK668+AL668)/4*INDEX(LM_All,G668)*INDEX(v01_Boon,G668)*Arch_Insight</x:f>
        <x:v>20.343906169194153</x:v>
      </x:c>
      <x:c r="AN668" s="32" t="n">
        <x:f>H668*(v01_KHPerAdult*Z668+v01_KHOfCommons*AJ668/4*INDEX(LM_All,G668))*v01_KHUsable*Arch_KH</x:f>
        <x:v>3.7492171259633564</x:v>
      </x:c>
      <x:c r="AO668" s="32" t="n">
        <x:f>MIN(AP667+AN668,AM668*v01_KHMaxRatio)</x:f>
        <x:v>3.7492171259633564</x:v>
      </x:c>
      <x:c r="AP668" s="32" t="n">
        <x:f>AP667+AN668-AO668</x:f>
        <x:v>0</x:v>
      </x:c>
      <x:c r="AQ668" s="32" t="n">
        <x:f>AM668+AO668</x:f>
        <x:v>24.093123295157508</x:v>
      </x:c>
      <x:c r="AR668" s="10" t="n">
        <x:f>IF(H668=1,INDEX(v01_Req,G668),0)</x:f>
        <x:v>4006.9599999999996</x:v>
      </x:c>
      <x:c r="AS668" s="32" t="n">
        <x:f>IF(H668=1,IF(E668=1,AS667-AR667,AS667)+AQ668,0)</x:f>
        <x:v>2795.5056937686286</x:v>
      </x:c>
      <x:c r="AT668" s="11" t="n">
        <x:f>IF(AR668&gt;0,MIN(1,AS668/AR668),1)</x:f>
        <x:v>0.6976624907083248</x:v>
      </x:c>
      <x:c r="AU668" s="10" t="n">
        <x:f>AB668/INDEX(v01_RepScale,G668)</x:f>
        <x:v>121.98559038152563</x:v>
      </x:c>
      <x:c r="AV668" s="32" t="n">
        <x:f>AM668*60/v01_SeasonSeconds</x:f>
        <x:v>81.37562467677661</x:v>
      </x:c>
    </x:row>
    <x:row r="669">
      <x:c r="A669" s="8" t="n">
        <x:f>A668+1</x:f>
        <x:v>666</x:v>
      </x:c>
      <x:c r="B669" s="9" t="n">
        <x:f>A669*v01_SeasonSeconds/60</x:f>
        <x:v>166.5</x:v>
      </x:c>
      <x:c r="C669" s="9" t="n">
        <x:f>A669/4</x:f>
        <x:v>166.5</x:v>
      </x:c>
      <x:c r="D669" s="8" t="n">
        <x:f>IF(MOD(A669,4)=0,1,0)</x:f>
        <x:v>0</x:v>
      </x:c>
      <x:c r="E669" s="8" t="n">
        <x:f>IF(AND(F668&lt;=9,AS668&gt;=AR668),1,0)</x:f>
        <x:v>0</x:v>
      </x:c>
      <x:c r="F669" s="8" t="n">
        <x:f>MIN(10,F668+E669)</x:f>
        <x:v>2</x:v>
      </x:c>
      <x:c r="G669" s="8" t="n">
        <x:f>MIN(F669,9)+1</x:f>
        <x:v>3</x:v>
      </x:c>
      <x:c r="H669" s="8" t="n">
        <x:f>IF(F669&lt;=9,1,0)</x:f>
        <x:v>1</x:v>
      </x:c>
      <x:c r="I669" s="9" t="n">
        <x:f>MIN(10,F668+IF(AR668&gt;0,MIN(1,AS668/AR668),1))</x:f>
        <x:v>2.697662490708325</x:v>
      </x:c>
      <x:c r="J669" s="32" t="n">
        <x:f>INDEX(v01_FoodCap,G669)*Arch_FoodCap*EXP(v01_CapsByProject*SUMPRODUCT((Cap_Point&lt;=I669)*(Cap_Kind="Food")*Cap_Ln))</x:f>
        <x:v>60</x:v>
      </x:c>
      <x:c r="K669" s="32" t="n">
        <x:f>J669*MIN(1,v01_LeanBase*EXP(v01_CapsByProject*SUMPRODUCT((Cap_Point&lt;=I669)*(Cap_Kind="Lean")*Cap_Ln)))</x:f>
        <x:v>60</x:v>
      </x:c>
      <x:c r="L669" s="10" t="n">
        <x:f>INDEX(v01_HousingCap,G669)*EXP(v01_CapsByProject*SUMPRODUCT((Cap_Point&lt;=I669)*(Cap_Kind="Housing")*Cap_Ln))</x:f>
        <x:v>100</x:v>
      </x:c>
      <x:c r="M669" s="10" t="n">
        <x:f>INDEX(v01_GroupCap,G669)*v01_CohesionFactor*EXP(v01_CapsByProject*SUMPRODUCT((Cap_Point&lt;=I669)*(Cap_Kind="Group")*Cap_Ln))</x:f>
        <x:v>500</x:v>
      </x:c>
      <x:c r="N669" s="32" t="n">
        <x:f>MIN(J669,L669,M669)</x:f>
        <x:v>60</x:v>
      </x:c>
      <x:c r="O669" s="10" t="n">
        <x:f>AE668*N669</x:f>
        <x:v>300</x:v>
      </x:c>
      <x:c r="P669" s="9" t="n">
        <x:f>MIN(1,(AB668/(AE668*IF(v01_GroupInCrowding=1,N669,MIN(J669,L669))))^v01_CrowdingExp)</x:f>
        <x:v>0.28927016290722174</x:v>
      </x:c>
      <x:c r="Q669" s="9" t="n">
        <x:f>IF(D669=1,INDEX(v01_WinterMult,G669),1)</x:f>
        <x:v>1</x:v>
      </x:c>
      <x:c r="R669" s="9" t="n">
        <x:f>H669*Z668*v01_WomenShare*v01_BaseFertility*INDEX(v01_FertMult,G669)*Arch_Fertility*(1-P669)</x:f>
        <x:v>3.083415980715323</x:v>
      </x:c>
      <x:c r="S669" s="9" t="n">
        <x:f>H669*Y668*INDEX(v01_MortChild,G669)/4*Q669</x:f>
        <x:v>0.8938283956398213</x:v>
      </x:c>
      <x:c r="T669" s="9" t="n">
        <x:f>H669*Z668*INDEX(v01_MortAdult,G669)*Arch_AdultMort/4*Q669</x:f>
        <x:v>0.32136146793971626</x:v>
      </x:c>
      <x:c r="U669" s="9" t="n">
        <x:f>H669*AA668*INDEX(v01_MortElder,G669)/4*Q669</x:f>
        <x:v>0.6072303090920764</x:v>
      </x:c>
      <x:c r="V669" s="9" t="n">
        <x:f>H669*MAX(0,AB668-O669)*v01_OvercapLoss</x:f>
        <x:v>0</x:v>
      </x:c>
      <x:c r="W669" s="9" t="n">
        <x:f>H669*Y668/(v01_ChildYears*4)</x:f>
        <x:v>1.8241395829384106</x:v>
      </x:c>
      <x:c r="X669" s="9" t="n">
        <x:f>H669*Z668/(v01_AdultYears*4)</x:f>
        <x:v>0.8638749138164415</x:v>
      </x:c>
      <x:c r="Y669" s="32" t="n">
        <x:f>Y668+R669-S669-W669-Y668*V669/AB668</x:f>
        <x:v>102.51726464668809</x:v>
      </x:c>
      <x:c r="Z669" s="32" t="n">
        <x:f>Z668+W669-X669-T669-Z668*V669/AB668</x:f>
        <x:v>107.75939251442101</x:v>
      </x:c>
      <x:c r="AA669" s="32" t="n">
        <x:f>AA668+X669-U669-AA668*V669/AB668</x:f>
        <x:v>34.95551940998587</x:v>
      </x:c>
      <x:c r="AB669" s="10" t="n">
        <x:f>Y669+Z669+AA669</x:f>
        <x:v>245.23217657109495</x:v>
      </x:c>
      <x:c r="AC669" s="8" t="n">
        <x:f>IF(AND(v01_WinterTrigger=1,D669=1,AB668/AE668&gt;=K669),1,0)</x:f>
        <x:v>0</x:v>
      </x:c>
      <x:c r="AD669" s="8" t="n">
        <x:f>H669*IF(AND(OR(AB668/AE668&gt;=v01_FissionTrigger*N669,AC669=1),AB668/AE668*v01_DaughterShare&gt;=v01_MinDaughter),MAX(1,ROUND(AE668*v01_FissionRate,0)),0)</x:f>
        <x:v>0</x:v>
      </x:c>
      <x:c r="AE669" s="8" t="n">
        <x:f>IF(H669=1,MAX(1,MIN(INDEX(v01_Smax,G669),AE668+AD669)),AE668)</x:f>
        <x:v>5</x:v>
      </x:c>
      <x:c r="AF669" s="8" t="n">
        <x:f>MAX(0,AE669-AE668)</x:f>
        <x:v>0</x:v>
      </x:c>
      <x:c r="AG669" s="9" t="str">
        <x:f>IF(AF669&gt;0,B669,"")</x:f>
      </x:c>
      <x:c r="AH669" s="9" t="n">
        <x:f>IF(F669&gt;=1,1,(1+v01_LowTiesShare*(AE669-1))/AE669)</x:f>
        <x:v>1</x:v>
      </x:c>
      <x:c r="AI669" s="32" t="n">
        <x:f>(Z669+v01_ElderCommons*INDEX(LM_Elder,G669)*AA669)*AH669</x:f>
        <x:v>212.6259507443786</x:v>
      </x:c>
      <x:c r="AJ669" s="32" t="n">
        <x:f>H669*v01_CommonsCoef*AI669^v01_CommonsExp*INDEX(LM_Commons,G669)</x:f>
        <x:v>62.80840486068603</x:v>
      </x:c>
      <x:c r="AK669" s="32" t="n">
        <x:f>H669*v01_RoleScale*Arch_Roles*(AE669*(INDEX(v01_ElderRolePerSett,G669)*v01_OutElder*INDEX(LM_Elder,G669)+INDEX(v01_ShamanPerSett,G669)*v01_OutShaman)+Z669*(INDEX(v01_PriestShare,G669)*v01_OutPriest+INDEX(v01_ScribeShare,G669)*v01_OutScribe*INDEX(LM_Scribe,G669)+INDEX(v01_ScholarShare,G669)*v01_OutScholar*INDEX(LM_Scholar,G669)+INDEX(v01_ResearcherShare,G669)*v01_OutResearcher*INDEX(LM_Researcher,G669)))</x:f>
        <x:v>15</x:v>
      </x:c>
      <x:c r="AL669" s="32" t="n">
        <x:f>H669*v01_RoleScale*Arch_Roles*AE669*INDEX(v01_MonasteryPerSett,G669)*v01_OutMonastery*INDEX(LM_Monastery,G669)</x:f>
        <x:v>0</x:v>
      </x:c>
      <x:c r="AM669" s="32" t="n">
        <x:f>(AJ669+AK669+AL669)/4*INDEX(LM_All,G669)*INDEX(v01_Boon,G669)*Arch_Insight</x:f>
        <x:v>20.436863839189567</x:v>
      </x:c>
      <x:c r="AN669" s="32" t="n">
        <x:f>H669*(v01_KHPerAdult*Z669+v01_KHOfCommons*AJ669/4*INDEX(LM_All,G669))*v01_KHUsable*Arch_KH</x:f>
        <x:v>3.7715787380047354</x:v>
      </x:c>
      <x:c r="AO669" s="32" t="n">
        <x:f>MIN(AP668+AN669,AM669*v01_KHMaxRatio)</x:f>
        <x:v>3.7715787380047354</x:v>
      </x:c>
      <x:c r="AP669" s="32" t="n">
        <x:f>AP668+AN669-AO669</x:f>
        <x:v>0</x:v>
      </x:c>
      <x:c r="AQ669" s="32" t="n">
        <x:f>AM669+AO669</x:f>
        <x:v>24.2084425771943</x:v>
      </x:c>
      <x:c r="AR669" s="10" t="n">
        <x:f>IF(H669=1,INDEX(v01_Req,G669),0)</x:f>
        <x:v>4006.9599999999996</x:v>
      </x:c>
      <x:c r="AS669" s="32" t="n">
        <x:f>IF(H669=1,IF(E669=1,AS668-AR668,AS668)+AQ669,0)</x:f>
        <x:v>2819.7141363458227</x:v>
      </x:c>
      <x:c r="AT669" s="11" t="n">
        <x:f>IF(AR669&gt;0,MIN(1,AS669/AR669),1)</x:f>
        <x:v>0.703704088971645</x:v>
      </x:c>
      <x:c r="AU669" s="10" t="n">
        <x:f>AB669/INDEX(v01_RepScale,G669)</x:f>
        <x:v>122.61608828554748</x:v>
      </x:c>
      <x:c r="AV669" s="32" t="n">
        <x:f>AM669*60/v01_SeasonSeconds</x:f>
        <x:v>81.74745535675827</x:v>
      </x:c>
    </x:row>
    <x:row r="670">
      <x:c r="A670" s="8" t="n">
        <x:f>A669+1</x:f>
        <x:v>667</x:v>
      </x:c>
      <x:c r="B670" s="9" t="n">
        <x:f>A670*v01_SeasonSeconds/60</x:f>
        <x:v>166.75</x:v>
      </x:c>
      <x:c r="C670" s="9" t="n">
        <x:f>A670/4</x:f>
        <x:v>166.75</x:v>
      </x:c>
      <x:c r="D670" s="8" t="n">
        <x:f>IF(MOD(A670,4)=0,1,0)</x:f>
        <x:v>0</x:v>
      </x:c>
      <x:c r="E670" s="8" t="n">
        <x:f>IF(AND(F669&lt;=9,AS669&gt;=AR669),1,0)</x:f>
        <x:v>0</x:v>
      </x:c>
      <x:c r="F670" s="8" t="n">
        <x:f>MIN(10,F669+E670)</x:f>
        <x:v>2</x:v>
      </x:c>
      <x:c r="G670" s="8" t="n">
        <x:f>MIN(F670,9)+1</x:f>
        <x:v>3</x:v>
      </x:c>
      <x:c r="H670" s="8" t="n">
        <x:f>IF(F670&lt;=9,1,0)</x:f>
        <x:v>1</x:v>
      </x:c>
      <x:c r="I670" s="9" t="n">
        <x:f>MIN(10,F669+IF(AR669&gt;0,MIN(1,AS669/AR669),1))</x:f>
        <x:v>2.7037040889716453</x:v>
      </x:c>
      <x:c r="J670" s="32" t="n">
        <x:f>INDEX(v01_FoodCap,G670)*Arch_FoodCap*EXP(v01_CapsByProject*SUMPRODUCT((Cap_Point&lt;=I670)*(Cap_Kind="Food")*Cap_Ln))</x:f>
        <x:v>60</x:v>
      </x:c>
      <x:c r="K670" s="32" t="n">
        <x:f>J670*MIN(1,v01_LeanBase*EXP(v01_CapsByProject*SUMPRODUCT((Cap_Point&lt;=I670)*(Cap_Kind="Lean")*Cap_Ln)))</x:f>
        <x:v>60</x:v>
      </x:c>
      <x:c r="L670" s="10" t="n">
        <x:f>INDEX(v01_HousingCap,G670)*EXP(v01_CapsByProject*SUMPRODUCT((Cap_Point&lt;=I670)*(Cap_Kind="Housing")*Cap_Ln))</x:f>
        <x:v>100</x:v>
      </x:c>
      <x:c r="M670" s="10" t="n">
        <x:f>INDEX(v01_GroupCap,G670)*v01_CohesionFactor*EXP(v01_CapsByProject*SUMPRODUCT((Cap_Point&lt;=I670)*(Cap_Kind="Group")*Cap_Ln))</x:f>
        <x:v>500</x:v>
      </x:c>
      <x:c r="N670" s="32" t="n">
        <x:f>MIN(J670,L670,M670)</x:f>
        <x:v>60</x:v>
      </x:c>
      <x:c r="O670" s="10" t="n">
        <x:f>AE669*N670</x:f>
        <x:v>300</x:v>
      </x:c>
      <x:c r="P670" s="9" t="n">
        <x:f>MIN(1,(AB669/(AE669*IF(v01_GroupInCrowding=1,N670,MIN(J670,L670))))^v01_CrowdingExp)</x:f>
        <x:v>0.29835765716562335</x:v>
      </x:c>
      <x:c r="Q670" s="9" t="n">
        <x:f>IF(D670=1,INDEX(v01_WinterMult,G670),1)</x:f>
        <x:v>1</x:v>
      </x:c>
      <x:c r="R670" s="9" t="n">
        <x:f>H670*Z669*v01_WomenShare*v01_BaseFertility*INDEX(v01_FertMult,G670)*Arch_Fertility*(1-P670)</x:f>
        <x:v>3.062146381362216</x:v>
      </x:c>
      <x:c r="S670" s="9" t="n">
        <x:f>H670*Y669*INDEX(v01_MortChild,G670)/4*Q670</x:f>
        <x:v>0.8970260656585208</x:v>
      </x:c>
      <x:c r="T670" s="9" t="n">
        <x:f>H670*Z669*INDEX(v01_MortAdult,G670)*Arch_AdultMort/4*Q670</x:f>
        <x:v>0.32327817754326305</x:v>
      </x:c>
      <x:c r="U670" s="9" t="n">
        <x:f>H670*AA669*INDEX(v01_MortElder,G670)/4*Q670</x:f>
        <x:v>0.6117215896747528</x:v>
      </x:c>
      <x:c r="V670" s="9" t="n">
        <x:f>H670*MAX(0,AB669-O670)*v01_OvercapLoss</x:f>
        <x:v>0</x:v>
      </x:c>
      <x:c r="W670" s="9" t="n">
        <x:f>H670*Y669/(v01_ChildYears*4)</x:f>
        <x:v>1.8306654401194302</x:v>
      </x:c>
      <x:c r="X670" s="9" t="n">
        <x:f>H670*Z669/(v01_AdultYears*4)</x:f>
        <x:v>0.8690273589872662</x:v>
      </x:c>
      <x:c r="Y670" s="32" t="n">
        <x:f>Y669+R670-S670-W670-Y669*V670/AB669</x:f>
        <x:v>102.85171952227235</x:v>
      </x:c>
      <x:c r="Z670" s="32" t="n">
        <x:f>Z669+W670-X670-T670-Z669*V670/AB669</x:f>
        <x:v>108.39775241800992</x:v>
      </x:c>
      <x:c r="AA670" s="32" t="n">
        <x:f>AA669+X670-U670-AA669*V670/AB669</x:f>
        <x:v>35.212825179298385</x:v>
      </x:c>
      <x:c r="AB670" s="10" t="n">
        <x:f>Y670+Z670+AA670</x:f>
        <x:v>246.46229711958065</x:v>
      </x:c>
      <x:c r="AC670" s="8" t="n">
        <x:f>IF(AND(v01_WinterTrigger=1,D670=1,AB669/AE669&gt;=K670),1,0)</x:f>
        <x:v>0</x:v>
      </x:c>
      <x:c r="AD670" s="8" t="n">
        <x:f>H670*IF(AND(OR(AB669/AE669&gt;=v01_FissionTrigger*N670,AC670=1),AB669/AE669*v01_DaughterShare&gt;=v01_MinDaughter),MAX(1,ROUND(AE669*v01_FissionRate,0)),0)</x:f>
        <x:v>0</x:v>
      </x:c>
      <x:c r="AE670" s="8" t="n">
        <x:f>IF(H670=1,MAX(1,MIN(INDEX(v01_Smax,G670),AE669+AD670)),AE669)</x:f>
        <x:v>5</x:v>
      </x:c>
      <x:c r="AF670" s="8" t="n">
        <x:f>MAX(0,AE670-AE669)</x:f>
        <x:v>0</x:v>
      </x:c>
      <x:c r="AG670" s="9" t="str">
        <x:f>IF(AF670&gt;0,B670,"")</x:f>
      </x:c>
      <x:c r="AH670" s="9" t="n">
        <x:f>IF(F670&gt;=1,1,(1+v01_LowTiesShare*(AE670-1))/AE670)</x:f>
        <x:v>1</x:v>
      </x:c>
      <x:c r="AI670" s="32" t="n">
        <x:f>(Z670+v01_ElderCommons*INDEX(LM_Elder,G670)*AA670)*AH670</x:f>
        <x:v>214.03622795590508</x:v>
      </x:c>
      <x:c r="AJ670" s="32" t="n">
        <x:f>H670*v01_CommonsCoef*AI670^v01_CommonsExp*INDEX(LM_Commons,G670)</x:f>
        <x:v>63.16232833066895</x:v>
      </x:c>
      <x:c r="AK670" s="32" t="n">
        <x:f>H670*v01_RoleScale*Arch_Roles*(AE670*(INDEX(v01_ElderRolePerSett,G670)*v01_OutElder*INDEX(LM_Elder,G670)+INDEX(v01_ShamanPerSett,G670)*v01_OutShaman)+Z670*(INDEX(v01_PriestShare,G670)*v01_OutPriest+INDEX(v01_ScribeShare,G670)*v01_OutScribe*INDEX(LM_Scribe,G670)+INDEX(v01_ScholarShare,G670)*v01_OutScholar*INDEX(LM_Scholar,G670)+INDEX(v01_ResearcherShare,G670)*v01_OutResearcher*INDEX(LM_Researcher,G670)))</x:f>
        <x:v>15</x:v>
      </x:c>
      <x:c r="AL670" s="32" t="n">
        <x:f>H670*v01_RoleScale*Arch_Roles*AE670*INDEX(v01_MonasteryPerSett,G670)*v01_OutMonastery*INDEX(LM_Monastery,G670)</x:f>
        <x:v>0</x:v>
      </x:c>
      <x:c r="AM670" s="32" t="n">
        <x:f>(AJ670+AK670+AL670)/4*INDEX(LM_All,G670)*INDEX(v01_Boon,G670)*Arch_Insight</x:f>
        <x:v>20.52982405060226</x:v>
      </x:c>
      <x:c r="AN670" s="32" t="n">
        <x:f>H670*(v01_KHPerAdult*Z670+v01_KHOfCommons*AJ670/4*INDEX(LM_All,G670))*v01_KHUsable*Arch_KH</x:f>
        <x:v>3.793921334630347</x:v>
      </x:c>
      <x:c r="AO670" s="32" t="n">
        <x:f>MIN(AP669+AN670,AM670*v01_KHMaxRatio)</x:f>
        <x:v>3.793921334630347</x:v>
      </x:c>
      <x:c r="AP670" s="32" t="n">
        <x:f>AP669+AN670-AO670</x:f>
        <x:v>0</x:v>
      </x:c>
      <x:c r="AQ670" s="32" t="n">
        <x:f>AM670+AO670</x:f>
        <x:v>24.32374538523261</x:v>
      </x:c>
      <x:c r="AR670" s="10" t="n">
        <x:f>IF(H670=1,INDEX(v01_Req,G670),0)</x:f>
        <x:v>4006.9599999999996</x:v>
      </x:c>
      <x:c r="AS670" s="32" t="n">
        <x:f>IF(H670=1,IF(E670=1,AS669-AR669,AS669)+AQ670,0)</x:f>
        <x:v>2844.037881731055</x:v>
      </x:c>
      <x:c r="AT670" s="11" t="n">
        <x:f>IF(AR670&gt;0,MIN(1,AS670/AR670),1)</x:f>
        <x:v>0.7097744628673747</x:v>
      </x:c>
      <x:c r="AU670" s="10" t="n">
        <x:f>AB670/INDEX(v01_RepScale,G670)</x:f>
        <x:v>123.23114855979033</x:v>
      </x:c>
      <x:c r="AV670" s="32" t="n">
        <x:f>AM670*60/v01_SeasonSeconds</x:f>
        <x:v>82.11929620240905</x:v>
      </x:c>
    </x:row>
    <x:row r="671">
      <x:c r="A671" s="8" t="n">
        <x:f>A670+1</x:f>
        <x:v>668</x:v>
      </x:c>
      <x:c r="B671" s="9" t="n">
        <x:f>A671*v01_SeasonSeconds/60</x:f>
        <x:v>167</x:v>
      </x:c>
      <x:c r="C671" s="9" t="n">
        <x:f>A671/4</x:f>
        <x:v>167</x:v>
      </x:c>
      <x:c r="D671" s="8" t="n">
        <x:f>IF(MOD(A671,4)=0,1,0)</x:f>
        <x:v>1</x:v>
      </x:c>
      <x:c r="E671" s="8" t="n">
        <x:f>IF(AND(F670&lt;=9,AS670&gt;=AR670),1,0)</x:f>
        <x:v>0</x:v>
      </x:c>
      <x:c r="F671" s="8" t="n">
        <x:f>MIN(10,F670+E671)</x:f>
        <x:v>2</x:v>
      </x:c>
      <x:c r="G671" s="8" t="n">
        <x:f>MIN(F671,9)+1</x:f>
        <x:v>3</x:v>
      </x:c>
      <x:c r="H671" s="8" t="n">
        <x:f>IF(F671&lt;=9,1,0)</x:f>
        <x:v>1</x:v>
      </x:c>
      <x:c r="I671" s="9" t="n">
        <x:f>MIN(10,F670+IF(AR670&gt;0,MIN(1,AS670/AR670),1))</x:f>
        <x:v>2.7097744628673746</x:v>
      </x:c>
      <x:c r="J671" s="32" t="n">
        <x:f>INDEX(v01_FoodCap,G671)*Arch_FoodCap*EXP(v01_CapsByProject*SUMPRODUCT((Cap_Point&lt;=I671)*(Cap_Kind="Food")*Cap_Ln))</x:f>
        <x:v>60</x:v>
      </x:c>
      <x:c r="K671" s="32" t="n">
        <x:f>J671*MIN(1,v01_LeanBase*EXP(v01_CapsByProject*SUMPRODUCT((Cap_Point&lt;=I671)*(Cap_Kind="Lean")*Cap_Ln)))</x:f>
        <x:v>60</x:v>
      </x:c>
      <x:c r="L671" s="10" t="n">
        <x:f>INDEX(v01_HousingCap,G671)*EXP(v01_CapsByProject*SUMPRODUCT((Cap_Point&lt;=I671)*(Cap_Kind="Housing")*Cap_Ln))</x:f>
        <x:v>100</x:v>
      </x:c>
      <x:c r="M671" s="10" t="n">
        <x:f>INDEX(v01_GroupCap,G671)*v01_CohesionFactor*EXP(v01_CapsByProject*SUMPRODUCT((Cap_Point&lt;=I671)*(Cap_Kind="Group")*Cap_Ln))</x:f>
        <x:v>500</x:v>
      </x:c>
      <x:c r="N671" s="32" t="n">
        <x:f>MIN(J671,L671,M671)</x:f>
        <x:v>60</x:v>
      </x:c>
      <x:c r="O671" s="10" t="n">
        <x:f>AE670*N671</x:f>
        <x:v>300</x:v>
      </x:c>
      <x:c r="P671" s="9" t="n">
        <x:f>MIN(1,(AB670/(AE670*IF(v01_GroupInCrowding=1,N671,MIN(J671,L671))))^v01_CrowdingExp)</x:f>
        <x:v>0.30745065553961787</x:v>
      </x:c>
      <x:c r="Q671" s="9" t="n">
        <x:f>IF(D671=1,INDEX(v01_WinterMult,G671),1)</x:f>
        <x:v>1.3</x:v>
      </x:c>
      <x:c r="R671" s="9" t="n">
        <x:f>H671*Z670*v01_WomenShare*v01_BaseFertility*INDEX(v01_FertMult,G671)*Arch_Fertility*(1-P671)</x:f>
        <x:v>3.0403670913118983</x:v>
      </x:c>
      <x:c r="S671" s="9" t="n">
        <x:f>H671*Y670*INDEX(v01_MortChild,G671)/4*Q671</x:f>
        <x:v>1.1699383095658482</x:v>
      </x:c>
      <x:c r="T671" s="9" t="n">
        <x:f>H671*Z670*INDEX(v01_MortAdult,G671)*Arch_AdultMort/4*Q671</x:f>
        <x:v>0.4227512344302387</x:v>
      </x:c>
      <x:c r="U671" s="9" t="n">
        <x:f>H671*AA670*INDEX(v01_MortElder,G671)/4*Q671</x:f>
        <x:v>0.8010917728290383</x:v>
      </x:c>
      <x:c r="V671" s="9" t="n">
        <x:f>H671*MAX(0,AB670-O671)*v01_OvercapLoss</x:f>
        <x:v>0</x:v>
      </x:c>
      <x:c r="W671" s="9" t="n">
        <x:f>H671*Y670/(v01_ChildYears*4)</x:f>
        <x:v>1.8366378486120063</x:v>
      </x:c>
      <x:c r="X671" s="9" t="n">
        <x:f>H671*Z670/(v01_AdultYears*4)</x:f>
        <x:v>0.8741754227258864</x:v>
      </x:c>
      <x:c r="Y671" s="32" t="n">
        <x:f>Y670+R671-S671-W671-Y670*V671/AB670</x:f>
        <x:v>102.88551045540639</x:v>
      </x:c>
      <x:c r="Z671" s="32" t="n">
        <x:f>Z670+W671-X671-T671-Z670*V671/AB670</x:f>
        <x:v>108.9374636094658</x:v>
      </x:c>
      <x:c r="AA671" s="32" t="n">
        <x:f>AA670+X671-U671-AA670*V671/AB670</x:f>
        <x:v>35.28590882919523</x:v>
      </x:c>
      <x:c r="AB671" s="10" t="n">
        <x:f>Y671+Z671+AA671</x:f>
        <x:v>247.10888289406742</x:v>
      </x:c>
      <x:c r="AC671" s="8" t="n">
        <x:f>IF(AND(v01_WinterTrigger=1,D671=1,AB670/AE670&gt;=K671),1,0)</x:f>
        <x:v>0</x:v>
      </x:c>
      <x:c r="AD671" s="8" t="n">
        <x:f>H671*IF(AND(OR(AB670/AE670&gt;=v01_FissionTrigger*N671,AC671=1),AB670/AE670*v01_DaughterShare&gt;=v01_MinDaughter),MAX(1,ROUND(AE670*v01_FissionRate,0)),0)</x:f>
        <x:v>0</x:v>
      </x:c>
      <x:c r="AE671" s="8" t="n">
        <x:f>IF(H671=1,MAX(1,MIN(INDEX(v01_Smax,G671),AE670+AD671)),AE670)</x:f>
        <x:v>5</x:v>
      </x:c>
      <x:c r="AF671" s="8" t="n">
        <x:f>MAX(0,AE671-AE670)</x:f>
        <x:v>0</x:v>
      </x:c>
      <x:c r="AG671" s="9" t="str">
        <x:f>IF(AF671&gt;0,B671,"")</x:f>
      </x:c>
      <x:c r="AH671" s="9" t="n">
        <x:f>IF(F671&gt;=1,1,(1+v01_LowTiesShare*(AE671-1))/AE671)</x:f>
        <x:v>1</x:v>
      </x:c>
      <x:c r="AI671" s="32" t="n">
        <x:f>(Z671+v01_ElderCommons*INDEX(LM_Elder,G671)*AA671)*AH671</x:f>
        <x:v>214.7951900970515</x:v>
      </x:c>
      <x:c r="AJ671" s="32" t="n">
        <x:f>H671*v01_CommonsCoef*AI671^v01_CommonsExp*INDEX(LM_Commons,G671)</x:f>
        <x:v>63.35265275421498</x:v>
      </x:c>
      <x:c r="AK671" s="32" t="n">
        <x:f>H671*v01_RoleScale*Arch_Roles*(AE671*(INDEX(v01_ElderRolePerSett,G671)*v01_OutElder*INDEX(LM_Elder,G671)+INDEX(v01_ShamanPerSett,G671)*v01_OutShaman)+Z671*(INDEX(v01_PriestShare,G671)*v01_OutPriest+INDEX(v01_ScribeShare,G671)*v01_OutScribe*INDEX(LM_Scribe,G671)+INDEX(v01_ScholarShare,G671)*v01_OutScholar*INDEX(LM_Scholar,G671)+INDEX(v01_ResearcherShare,G671)*v01_OutResearcher*INDEX(LM_Researcher,G671)))</x:f>
        <x:v>15</x:v>
      </x:c>
      <x:c r="AL671" s="32" t="n">
        <x:f>H671*v01_RoleScale*Arch_Roles*AE671*INDEX(v01_MonasteryPerSett,G671)*v01_OutMonastery*INDEX(LM_Monastery,G671)</x:f>
        <x:v>0</x:v>
      </x:c>
      <x:c r="AM671" s="32" t="n">
        <x:f>(AJ671+AK671+AL671)/4*INDEX(LM_All,G671)*INDEX(v01_Boon,G671)*Arch_Insight</x:f>
        <x:v>20.579813949974273</x:v>
      </x:c>
      <x:c r="AN671" s="32" t="n">
        <x:f>H671*(v01_KHPerAdult*Z671+v01_KHOfCommons*AJ671/4*INDEX(LM_All,G671))*v01_KHUsable*Arch_KH</x:f>
        <x:v>3.8128112263313025</x:v>
      </x:c>
      <x:c r="AO671" s="32" t="n">
        <x:f>MIN(AP670+AN671,AM671*v01_KHMaxRatio)</x:f>
        <x:v>3.8128112263313025</x:v>
      </x:c>
      <x:c r="AP671" s="32" t="n">
        <x:f>AP670+AN671-AO671</x:f>
        <x:v>0</x:v>
      </x:c>
      <x:c r="AQ671" s="32" t="n">
        <x:f>AM671+AO671</x:f>
        <x:v>24.392625176305575</x:v>
      </x:c>
      <x:c r="AR671" s="10" t="n">
        <x:f>IF(H671=1,INDEX(v01_Req,G671),0)</x:f>
        <x:v>4006.9599999999996</x:v>
      </x:c>
      <x:c r="AS671" s="32" t="n">
        <x:f>IF(H671=1,IF(E671=1,AS670-AR670,AS670)+AQ671,0)</x:f>
        <x:v>2868.4305069073607</x:v>
      </x:c>
      <x:c r="AT671" s="11" t="n">
        <x:f>IF(AR671&gt;0,MIN(1,AS671/AR671),1)</x:f>
        <x:v>0.7158620268002079</x:v>
      </x:c>
      <x:c r="AU671" s="10" t="n">
        <x:f>AB671/INDEX(v01_RepScale,G671)</x:f>
        <x:v>123.55444144703371</x:v>
      </x:c>
      <x:c r="AV671" s="32" t="n">
        <x:f>AM671*60/v01_SeasonSeconds</x:f>
        <x:v>82.31925579989709</x:v>
      </x:c>
    </x:row>
    <x:row r="672">
      <x:c r="A672" s="8" t="n">
        <x:f>A671+1</x:f>
        <x:v>669</x:v>
      </x:c>
      <x:c r="B672" s="9" t="n">
        <x:f>A672*v01_SeasonSeconds/60</x:f>
        <x:v>167.25</x:v>
      </x:c>
      <x:c r="C672" s="9" t="n">
        <x:f>A672/4</x:f>
        <x:v>167.25</x:v>
      </x:c>
      <x:c r="D672" s="8" t="n">
        <x:f>IF(MOD(A672,4)=0,1,0)</x:f>
        <x:v>0</x:v>
      </x:c>
      <x:c r="E672" s="8" t="n">
        <x:f>IF(AND(F671&lt;=9,AS671&gt;=AR671),1,0)</x:f>
        <x:v>0</x:v>
      </x:c>
      <x:c r="F672" s="8" t="n">
        <x:f>MIN(10,F671+E672)</x:f>
        <x:v>2</x:v>
      </x:c>
      <x:c r="G672" s="8" t="n">
        <x:f>MIN(F672,9)+1</x:f>
        <x:v>3</x:v>
      </x:c>
      <x:c r="H672" s="8" t="n">
        <x:f>IF(F672&lt;=9,1,0)</x:f>
        <x:v>1</x:v>
      </x:c>
      <x:c r="I672" s="9" t="n">
        <x:f>MIN(10,F671+IF(AR671&gt;0,MIN(1,AS671/AR671),1))</x:f>
        <x:v>2.715862026800208</x:v>
      </x:c>
      <x:c r="J672" s="32" t="n">
        <x:f>INDEX(v01_FoodCap,G672)*Arch_FoodCap*EXP(v01_CapsByProject*SUMPRODUCT((Cap_Point&lt;=I672)*(Cap_Kind="Food")*Cap_Ln))</x:f>
        <x:v>60</x:v>
      </x:c>
      <x:c r="K672" s="32" t="n">
        <x:f>J672*MIN(1,v01_LeanBase*EXP(v01_CapsByProject*SUMPRODUCT((Cap_Point&lt;=I672)*(Cap_Kind="Lean")*Cap_Ln)))</x:f>
        <x:v>60</x:v>
      </x:c>
      <x:c r="L672" s="10" t="n">
        <x:f>INDEX(v01_HousingCap,G672)*EXP(v01_CapsByProject*SUMPRODUCT((Cap_Point&lt;=I672)*(Cap_Kind="Housing")*Cap_Ln))</x:f>
        <x:v>100</x:v>
      </x:c>
      <x:c r="M672" s="10" t="n">
        <x:f>INDEX(v01_GroupCap,G672)*v01_CohesionFactor*EXP(v01_CapsByProject*SUMPRODUCT((Cap_Point&lt;=I672)*(Cap_Kind="Group")*Cap_Ln))</x:f>
        <x:v>500</x:v>
      </x:c>
      <x:c r="N672" s="32" t="n">
        <x:f>MIN(J672,L672,M672)</x:f>
        <x:v>60</x:v>
      </x:c>
      <x:c r="O672" s="10" t="n">
        <x:f>AE671*N672</x:f>
        <x:v>300</x:v>
      </x:c>
      <x:c r="P672" s="9" t="n">
        <x:f>MIN(1,(AB671/(AE671*IF(v01_GroupInCrowding=1,N672,MIN(J672,L672))))^v01_CrowdingExp)</x:f>
        <x:v>0.3123220280220094</x:v>
      </x:c>
      <x:c r="Q672" s="9" t="n">
        <x:f>IF(D672=1,INDEX(v01_WinterMult,G672),1)</x:f>
        <x:v>1</x:v>
      </x:c>
      <x:c r="R672" s="9" t="n">
        <x:f>H672*Z671*v01_WomenShare*v01_BaseFertility*INDEX(v01_FertMult,G672)*Arch_Fertility*(1-P672)</x:f>
        <x:v>3.0340127089190356</x:v>
      </x:c>
      <x:c r="S672" s="9" t="n">
        <x:f>H672*Y671*INDEX(v01_MortChild,G672)/4*Q672</x:f>
        <x:v>0.900248216484806</x:v>
      </x:c>
      <x:c r="T672" s="9" t="n">
        <x:f>H672*Z671*INDEX(v01_MortAdult,G672)*Arch_AdultMort/4*Q672</x:f>
        <x:v>0.3268123908283974</x:v>
      </x:c>
      <x:c r="U672" s="9" t="n">
        <x:f>H672*AA671*INDEX(v01_MortElder,G672)/4*Q672</x:f>
        <x:v>0.6175034045109166</x:v>
      </x:c>
      <x:c r="V672" s="9" t="n">
        <x:f>H672*MAX(0,AB671-O672)*v01_OvercapLoss</x:f>
        <x:v>0</x:v>
      </x:c>
      <x:c r="W672" s="9" t="n">
        <x:f>H672*Y671/(v01_ChildYears*4)</x:f>
        <x:v>1.837241258132257</x:v>
      </x:c>
      <x:c r="X672" s="9" t="n">
        <x:f>H672*Z671/(v01_AdultYears*4)</x:f>
        <x:v>0.8785279323344015</x:v>
      </x:c>
      <x:c r="Y672" s="32" t="n">
        <x:f>Y671+R672-S672-W672-Y671*V672/AB671</x:f>
        <x:v>103.18203368970836</x:v>
      </x:c>
      <x:c r="Z672" s="32" t="n">
        <x:f>Z671+W672-X672-T672-Z671*V672/AB671</x:f>
        <x:v>109.56936454443525</x:v>
      </x:c>
      <x:c r="AA672" s="32" t="n">
        <x:f>AA671+X672-U672-AA671*V672/AB671</x:f>
        <x:v>35.54693335701871</x:v>
      </x:c>
      <x:c r="AB672" s="10" t="n">
        <x:f>Y672+Z672+AA672</x:f>
        <x:v>248.2983315911623</x:v>
      </x:c>
      <x:c r="AC672" s="8" t="n">
        <x:f>IF(AND(v01_WinterTrigger=1,D672=1,AB671/AE671&gt;=K672),1,0)</x:f>
        <x:v>0</x:v>
      </x:c>
      <x:c r="AD672" s="8" t="n">
        <x:f>H672*IF(AND(OR(AB671/AE671&gt;=v01_FissionTrigger*N672,AC672=1),AB671/AE671*v01_DaughterShare&gt;=v01_MinDaughter),MAX(1,ROUND(AE671*v01_FissionRate,0)),0)</x:f>
        <x:v>0</x:v>
      </x:c>
      <x:c r="AE672" s="8" t="n">
        <x:f>IF(H672=1,MAX(1,MIN(INDEX(v01_Smax,G672),AE671+AD672)),AE671)</x:f>
        <x:v>5</x:v>
      </x:c>
      <x:c r="AF672" s="8" t="n">
        <x:f>MAX(0,AE672-AE671)</x:f>
        <x:v>0</x:v>
      </x:c>
      <x:c r="AG672" s="9" t="str">
        <x:f>IF(AF672&gt;0,B672,"")</x:f>
      </x:c>
      <x:c r="AH672" s="9" t="n">
        <x:f>IF(F672&gt;=1,1,(1+v01_LowTiesShare*(AE672-1))/AE672)</x:f>
        <x:v>1</x:v>
      </x:c>
      <x:c r="AI672" s="32" t="n">
        <x:f>(Z672+v01_ElderCommons*INDEX(LM_Elder,G672)*AA672)*AH672</x:f>
        <x:v>216.21016461549138</x:v>
      </x:c>
      <x:c r="AJ672" s="32" t="n">
        <x:f>H672*v01_CommonsCoef*AI672^v01_CommonsExp*INDEX(LM_Commons,G672)</x:f>
        <x:v>63.70721599987996</x:v>
      </x:c>
      <x:c r="AK672" s="32" t="n">
        <x:f>H672*v01_RoleScale*Arch_Roles*(AE672*(INDEX(v01_ElderRolePerSett,G672)*v01_OutElder*INDEX(LM_Elder,G672)+INDEX(v01_ShamanPerSett,G672)*v01_OutShaman)+Z672*(INDEX(v01_PriestShare,G672)*v01_OutPriest+INDEX(v01_ScribeShare,G672)*v01_OutScribe*INDEX(LM_Scribe,G672)+INDEX(v01_ScholarShare,G672)*v01_OutScholar*INDEX(LM_Scholar,G672)+INDEX(v01_ResearcherShare,G672)*v01_OutResearcher*INDEX(LM_Researcher,G672)))</x:f>
        <x:v>15</x:v>
      </x:c>
      <x:c r="AL672" s="32" t="n">
        <x:f>H672*v01_RoleScale*Arch_Roles*AE672*INDEX(v01_MonasteryPerSett,G672)*v01_OutMonastery*INDEX(LM_Monastery,G672)</x:f>
        <x:v>0</x:v>
      </x:c>
      <x:c r="AM672" s="32" t="n">
        <x:f>(AJ672+AK672+AL672)/4*INDEX(LM_All,G672)*INDEX(v01_Boon,G672)*Arch_Insight</x:f>
        <x:v>20.67294220246847</x:v>
      </x:c>
      <x:c r="AN672" s="32" t="n">
        <x:f>H672*(v01_KHPerAdult*Z672+v01_KHOfCommons*AJ672/4*INDEX(LM_All,G672))*v01_KHUsable*Arch_KH</x:f>
        <x:v>3.8349277590552338</x:v>
      </x:c>
      <x:c r="AO672" s="32" t="n">
        <x:f>MIN(AP671+AN672,AM672*v01_KHMaxRatio)</x:f>
        <x:v>3.8349277590552338</x:v>
      </x:c>
      <x:c r="AP672" s="32" t="n">
        <x:f>AP671+AN672-AO672</x:f>
        <x:v>0</x:v>
      </x:c>
      <x:c r="AQ672" s="32" t="n">
        <x:f>AM672+AO672</x:f>
        <x:v>24.507869961523703</x:v>
      </x:c>
      <x:c r="AR672" s="10" t="n">
        <x:f>IF(H672=1,INDEX(v01_Req,G672),0)</x:f>
        <x:v>4006.9599999999996</x:v>
      </x:c>
      <x:c r="AS672" s="32" t="n">
        <x:f>IF(H672=1,IF(E672=1,AS671-AR671,AS671)+AQ672,0)</x:f>
        <x:v>2892.9383768688845</x:v>
      </x:c>
      <x:c r="AT672" s="11" t="n">
        <x:f>IF(AR672&gt;0,MIN(1,AS672/AR672),1)</x:f>
        <x:v>0.7219783518849414</x:v>
      </x:c>
      <x:c r="AU672" s="10" t="n">
        <x:f>AB672/INDEX(v01_RepScale,G672)</x:f>
        <x:v>124.14916579558115</x:v>
      </x:c>
      <x:c r="AV672" s="32" t="n">
        <x:f>AM672*60/v01_SeasonSeconds</x:f>
        <x:v>82.69176880987388</x:v>
      </x:c>
    </x:row>
    <x:row r="673">
      <x:c r="A673" s="8" t="n">
        <x:f>A672+1</x:f>
        <x:v>670</x:v>
      </x:c>
      <x:c r="B673" s="9" t="n">
        <x:f>A673*v01_SeasonSeconds/60</x:f>
        <x:v>167.5</x:v>
      </x:c>
      <x:c r="C673" s="9" t="n">
        <x:f>A673/4</x:f>
        <x:v>167.5</x:v>
      </x:c>
      <x:c r="D673" s="8" t="n">
        <x:f>IF(MOD(A673,4)=0,1,0)</x:f>
        <x:v>0</x:v>
      </x:c>
      <x:c r="E673" s="8" t="n">
        <x:f>IF(AND(F672&lt;=9,AS672&gt;=AR672),1,0)</x:f>
        <x:v>0</x:v>
      </x:c>
      <x:c r="F673" s="8" t="n">
        <x:f>MIN(10,F672+E673)</x:f>
        <x:v>2</x:v>
      </x:c>
      <x:c r="G673" s="8" t="n">
        <x:f>MIN(F673,9)+1</x:f>
        <x:v>3</x:v>
      </x:c>
      <x:c r="H673" s="8" t="n">
        <x:f>IF(F673&lt;=9,1,0)</x:f>
        <x:v>1</x:v>
      </x:c>
      <x:c r="I673" s="9" t="n">
        <x:f>MIN(10,F672+IF(AR672&gt;0,MIN(1,AS672/AR672),1))</x:f>
        <x:v>2.7219783518849416</x:v>
      </x:c>
      <x:c r="J673" s="32" t="n">
        <x:f>INDEX(v01_FoodCap,G673)*Arch_FoodCap*EXP(v01_CapsByProject*SUMPRODUCT((Cap_Point&lt;=I673)*(Cap_Kind="Food")*Cap_Ln))</x:f>
        <x:v>60</x:v>
      </x:c>
      <x:c r="K673" s="32" t="n">
        <x:f>J673*MIN(1,v01_LeanBase*EXP(v01_CapsByProject*SUMPRODUCT((Cap_Point&lt;=I673)*(Cap_Kind="Lean")*Cap_Ln)))</x:f>
        <x:v>60</x:v>
      </x:c>
      <x:c r="L673" s="10" t="n">
        <x:f>INDEX(v01_HousingCap,G673)*EXP(v01_CapsByProject*SUMPRODUCT((Cap_Point&lt;=I673)*(Cap_Kind="Housing")*Cap_Ln))</x:f>
        <x:v>100</x:v>
      </x:c>
      <x:c r="M673" s="10" t="n">
        <x:f>INDEX(v01_GroupCap,G673)*v01_CohesionFactor*EXP(v01_CapsByProject*SUMPRODUCT((Cap_Point&lt;=I673)*(Cap_Kind="Group")*Cap_Ln))</x:f>
        <x:v>500</x:v>
      </x:c>
      <x:c r="N673" s="32" t="n">
        <x:f>MIN(J673,L673,M673)</x:f>
        <x:v>60</x:v>
      </x:c>
      <x:c r="O673" s="10" t="n">
        <x:f>AE672*N673</x:f>
        <x:v>300</x:v>
      </x:c>
      <x:c r="P673" s="9" t="n">
        <x:f>MIN(1,(AB672/(AE672*IF(v01_GroupInCrowding=1,N673,MIN(J673,L673))))^v01_CrowdingExp)</x:f>
        <x:v>0.32145136920179257</x:v>
      </x:c>
      <x:c r="Q673" s="9" t="n">
        <x:f>IF(D673=1,INDEX(v01_WinterMult,G673),1)</x:f>
        <x:v>1</x:v>
      </x:c>
      <x:c r="R673" s="9" t="n">
        <x:f>H673*Z672*v01_WomenShare*v01_BaseFertility*INDEX(v01_FertMult,G673)*Arch_Fertility*(1-P673)</x:f>
        <x:v>3.0110997627067757</x:v>
      </x:c>
      <x:c r="S673" s="9" t="n">
        <x:f>H673*Y672*INDEX(v01_MortChild,G673)/4*Q673</x:f>
        <x:v>0.9028427947849482</x:v>
      </x:c>
      <x:c r="T673" s="9" t="n">
        <x:f>H673*Z672*INDEX(v01_MortAdult,G673)*Arch_AdultMort/4*Q673</x:f>
        <x:v>0.3287080936333057</x:v>
      </x:c>
      <x:c r="U673" s="9" t="n">
        <x:f>H673*AA672*INDEX(v01_MortElder,G673)/4*Q673</x:f>
        <x:v>0.6220713337478274</x:v>
      </x:c>
      <x:c r="V673" s="9" t="n">
        <x:f>H673*MAX(0,AB672-O673)*v01_OvercapLoss</x:f>
        <x:v>0</x:v>
      </x:c>
      <x:c r="W673" s="9" t="n">
        <x:f>H673*Y672/(v01_ChildYears*4)</x:f>
        <x:v>1.8425363158876493</x:v>
      </x:c>
      <x:c r="X673" s="9" t="n">
        <x:f>H673*Z672/(v01_AdultYears*4)</x:f>
        <x:v>0.8836239076164133</x:v>
      </x:c>
      <x:c r="Y673" s="32" t="n">
        <x:f>Y672+R673-S673-W673-Y672*V673/AB672</x:f>
        <x:v>103.44775434174255</x:v>
      </x:c>
      <x:c r="Z673" s="32" t="n">
        <x:f>Z672+W673-X673-T673-Z672*V673/AB672</x:f>
        <x:v>110.19956885907318</x:v>
      </x:c>
      <x:c r="AA673" s="32" t="n">
        <x:f>AA672+X673-U673-AA672*V673/AB672</x:f>
        <x:v>35.808485930887294</x:v>
      </x:c>
      <x:c r="AB673" s="10" t="n">
        <x:f>Y673+Z673+AA673</x:f>
        <x:v>249.455809131703</x:v>
      </x:c>
      <x:c r="AC673" s="8" t="n">
        <x:f>IF(AND(v01_WinterTrigger=1,D673=1,AB672/AE672&gt;=K673),1,0)</x:f>
        <x:v>0</x:v>
      </x:c>
      <x:c r="AD673" s="8" t="n">
        <x:f>H673*IF(AND(OR(AB672/AE672&gt;=v01_FissionTrigger*N673,AC673=1),AB672/AE672*v01_DaughterShare&gt;=v01_MinDaughter),MAX(1,ROUND(AE672*v01_FissionRate,0)),0)</x:f>
        <x:v>0</x:v>
      </x:c>
      <x:c r="AE673" s="8" t="n">
        <x:f>IF(H673=1,MAX(1,MIN(INDEX(v01_Smax,G673),AE672+AD673)),AE672)</x:f>
        <x:v>5</x:v>
      </x:c>
      <x:c r="AF673" s="8" t="n">
        <x:f>MAX(0,AE673-AE672)</x:f>
        <x:v>0</x:v>
      </x:c>
      <x:c r="AG673" s="9" t="str">
        <x:f>IF(AF673&gt;0,B673,"")</x:f>
      </x:c>
      <x:c r="AH673" s="9" t="n">
        <x:f>IF(F673&gt;=1,1,(1+v01_LowTiesShare*(AE673-1))/AE673)</x:f>
        <x:v>1</x:v>
      </x:c>
      <x:c r="AI673" s="32" t="n">
        <x:f>(Z673+v01_ElderCommons*INDEX(LM_Elder,G673)*AA673)*AH673</x:f>
        <x:v>217.62502665173508</x:v>
      </x:c>
      <x:c r="AJ673" s="32" t="n">
        <x:f>H673*v01_CommonsCoef*AI673^v01_CommonsExp*INDEX(LM_Commons,G673)</x:f>
        <x:v>64.06140320667079</x:v>
      </x:c>
      <x:c r="AK673" s="32" t="n">
        <x:f>H673*v01_RoleScale*Arch_Roles*(AE673*(INDEX(v01_ElderRolePerSett,G673)*v01_OutElder*INDEX(LM_Elder,G673)+INDEX(v01_ShamanPerSett,G673)*v01_OutShaman)+Z673*(INDEX(v01_PriestShare,G673)*v01_OutPriest+INDEX(v01_ScribeShare,G673)*v01_OutScribe*INDEX(LM_Scribe,G673)+INDEX(v01_ScholarShare,G673)*v01_OutScholar*INDEX(LM_Scholar,G673)+INDEX(v01_ResearcherShare,G673)*v01_OutResearcher*INDEX(LM_Researcher,G673)))</x:f>
        <x:v>15</x:v>
      </x:c>
      <x:c r="AL673" s="32" t="n">
        <x:f>H673*v01_RoleScale*Arch_Roles*AE673*INDEX(v01_MonasteryPerSett,G673)*v01_OutMonastery*INDEX(LM_Monastery,G673)</x:f>
        <x:v>0</x:v>
      </x:c>
      <x:c r="AM673" s="32" t="n">
        <x:f>(AJ673+AK673+AL673)/4*INDEX(LM_All,G673)*INDEX(v01_Boon,G673)*Arch_Insight</x:f>
        <x:v>20.76597168600212</x:v>
      </x:c>
      <x:c r="AN673" s="32" t="n">
        <x:f>H673*(v01_KHPerAdult*Z673+v01_KHOfCommons*AJ673/4*INDEX(LM_All,G673))*v01_KHUsable*Arch_KH</x:f>
        <x:v>3.8569849100675615</x:v>
      </x:c>
      <x:c r="AO673" s="32" t="n">
        <x:f>MIN(AP672+AN673,AM673*v01_KHMaxRatio)</x:f>
        <x:v>3.8569849100675615</x:v>
      </x:c>
      <x:c r="AP673" s="32" t="n">
        <x:f>AP672+AN673-AO673</x:f>
        <x:v>0</x:v>
      </x:c>
      <x:c r="AQ673" s="32" t="n">
        <x:f>AM673+AO673</x:f>
        <x:v>24.622956596069685</x:v>
      </x:c>
      <x:c r="AR673" s="10" t="n">
        <x:f>IF(H673=1,INDEX(v01_Req,G673),0)</x:f>
        <x:v>4006.9599999999996</x:v>
      </x:c>
      <x:c r="AS673" s="32" t="n">
        <x:f>IF(H673=1,IF(E673=1,AS672-AR672,AS672)+AQ673,0)</x:f>
        <x:v>2917.5613334649543</x:v>
      </x:c>
      <x:c r="AT673" s="11" t="n">
        <x:f>IF(AR673&gt;0,MIN(1,AS673/AR673),1)</x:f>
        <x:v>0.7281233986525831</x:v>
      </x:c>
      <x:c r="AU673" s="10" t="n">
        <x:f>AB673/INDEX(v01_RepScale,G673)</x:f>
        <x:v>124.7279045658515</x:v>
      </x:c>
      <x:c r="AV673" s="32" t="n">
        <x:f>AM673*60/v01_SeasonSeconds</x:f>
        <x:v>83.06388674400849</x:v>
      </x:c>
    </x:row>
    <x:row r="674">
      <x:c r="A674" s="8" t="n">
        <x:f>A673+1</x:f>
        <x:v>671</x:v>
      </x:c>
      <x:c r="B674" s="9" t="n">
        <x:f>A674*v01_SeasonSeconds/60</x:f>
        <x:v>167.75</x:v>
      </x:c>
      <x:c r="C674" s="9" t="n">
        <x:f>A674/4</x:f>
        <x:v>167.75</x:v>
      </x:c>
      <x:c r="D674" s="8" t="n">
        <x:f>IF(MOD(A674,4)=0,1,0)</x:f>
        <x:v>0</x:v>
      </x:c>
      <x:c r="E674" s="8" t="n">
        <x:f>IF(AND(F673&lt;=9,AS673&gt;=AR673),1,0)</x:f>
        <x:v>0</x:v>
      </x:c>
      <x:c r="F674" s="8" t="n">
        <x:f>MIN(10,F673+E674)</x:f>
        <x:v>2</x:v>
      </x:c>
      <x:c r="G674" s="8" t="n">
        <x:f>MIN(F674,9)+1</x:f>
        <x:v>3</x:v>
      </x:c>
      <x:c r="H674" s="8" t="n">
        <x:f>IF(F674&lt;=9,1,0)</x:f>
        <x:v>1</x:v>
      </x:c>
      <x:c r="I674" s="9" t="n">
        <x:f>MIN(10,F673+IF(AR673&gt;0,MIN(1,AS673/AR673),1))</x:f>
        <x:v>2.728123398652583</x:v>
      </x:c>
      <x:c r="J674" s="32" t="n">
        <x:f>INDEX(v01_FoodCap,G674)*Arch_FoodCap*EXP(v01_CapsByProject*SUMPRODUCT((Cap_Point&lt;=I674)*(Cap_Kind="Food")*Cap_Ln))</x:f>
        <x:v>60</x:v>
      </x:c>
      <x:c r="K674" s="32" t="n">
        <x:f>J674*MIN(1,v01_LeanBase*EXP(v01_CapsByProject*SUMPRODUCT((Cap_Point&lt;=I674)*(Cap_Kind="Lean")*Cap_Ln)))</x:f>
        <x:v>60</x:v>
      </x:c>
      <x:c r="L674" s="10" t="n">
        <x:f>INDEX(v01_HousingCap,G674)*EXP(v01_CapsByProject*SUMPRODUCT((Cap_Point&lt;=I674)*(Cap_Kind="Housing")*Cap_Ln))</x:f>
        <x:v>100</x:v>
      </x:c>
      <x:c r="M674" s="10" t="n">
        <x:f>INDEX(v01_GroupCap,G674)*v01_CohesionFactor*EXP(v01_CapsByProject*SUMPRODUCT((Cap_Point&lt;=I674)*(Cap_Kind="Group")*Cap_Ln))</x:f>
        <x:v>500</x:v>
      </x:c>
      <x:c r="N674" s="32" t="n">
        <x:f>MIN(J674,L674,M674)</x:f>
        <x:v>60</x:v>
      </x:c>
      <x:c r="O674" s="10" t="n">
        <x:f>AE673*N674</x:f>
        <x:v>300</x:v>
      </x:c>
      <x:c r="P674" s="9" t="n">
        <x:f>MIN(1,(AB673/(AE673*IF(v01_GroupInCrowding=1,N674,MIN(J674,L674))))^v01_CrowdingExp)</x:f>
        <x:v>0.33054774831428807</x:v>
      </x:c>
      <x:c r="Q674" s="9" t="n">
        <x:f>IF(D674=1,INDEX(v01_WinterMult,G674),1)</x:f>
        <x:v>1</x:v>
      </x:c>
      <x:c r="R674" s="9" t="n">
        <x:f>H674*Z673*v01_WomenShare*v01_BaseFertility*INDEX(v01_FertMult,G674)*Arch_Fertility*(1-P674)</x:f>
        <x:v>2.987820655053799</x:v>
      </x:c>
      <x:c r="S674" s="9" t="n">
        <x:f>H674*Y673*INDEX(v01_MortChild,G674)/4*Q674</x:f>
        <x:v>0.9051678504902474</x:v>
      </x:c>
      <x:c r="T674" s="9" t="n">
        <x:f>H674*Z673*INDEX(v01_MortAdult,G674)*Arch_AdultMort/4*Q674</x:f>
        <x:v>0.33059870657721957</x:v>
      </x:c>
      <x:c r="U674" s="9" t="n">
        <x:f>H674*AA673*INDEX(v01_MortElder,G674)/4*Q674</x:f>
        <x:v>0.6266485037905277</x:v>
      </x:c>
      <x:c r="V674" s="9" t="n">
        <x:f>H674*MAX(0,AB673-O674)*v01_OvercapLoss</x:f>
        <x:v>0</x:v>
      </x:c>
      <x:c r="W674" s="9" t="n">
        <x:f>H674*Y673/(v01_ChildYears*4)</x:f>
        <x:v>1.847281327531117</x:v>
      </x:c>
      <x:c r="X674" s="9" t="n">
        <x:f>H674*Z673/(v01_AdultYears*4)</x:f>
        <x:v>0.8887062004763966</x:v>
      </x:c>
      <x:c r="Y674" s="32" t="n">
        <x:f>Y673+R674-S674-W674-Y673*V674/AB673</x:f>
        <x:v>103.68312581877498</x:v>
      </x:c>
      <x:c r="Z674" s="32" t="n">
        <x:f>Z673+W674-X674-T674-Z673*V674/AB673</x:f>
        <x:v>110.82754527955069</x:v>
      </x:c>
      <x:c r="AA674" s="32" t="n">
        <x:f>AA673+X674-U674-AA673*V674/AB673</x:f>
        <x:v>36.070543627573166</x:v>
      </x:c>
      <x:c r="AB674" s="10" t="n">
        <x:f>Y674+Z674+AA674</x:f>
        <x:v>250.58121472589883</x:v>
      </x:c>
      <x:c r="AC674" s="8" t="n">
        <x:f>IF(AND(v01_WinterTrigger=1,D674=1,AB673/AE673&gt;=K674),1,0)</x:f>
        <x:v>0</x:v>
      </x:c>
      <x:c r="AD674" s="8" t="n">
        <x:f>H674*IF(AND(OR(AB673/AE673&gt;=v01_FissionTrigger*N674,AC674=1),AB673/AE673*v01_DaughterShare&gt;=v01_MinDaughter),MAX(1,ROUND(AE673*v01_FissionRate,0)),0)</x:f>
        <x:v>0</x:v>
      </x:c>
      <x:c r="AE674" s="8" t="n">
        <x:f>IF(H674=1,MAX(1,MIN(INDEX(v01_Smax,G674),AE673+AD674)),AE673)</x:f>
        <x:v>5</x:v>
      </x:c>
      <x:c r="AF674" s="8" t="n">
        <x:f>MAX(0,AE674-AE673)</x:f>
        <x:v>0</x:v>
      </x:c>
      <x:c r="AG674" s="9" t="str">
        <x:f>IF(AF674&gt;0,B674,"")</x:f>
      </x:c>
      <x:c r="AH674" s="9" t="n">
        <x:f>IF(F674&gt;=1,1,(1+v01_LowTiesShare*(AE674-1))/AE674)</x:f>
        <x:v>1</x:v>
      </x:c>
      <x:c r="AI674" s="32" t="n">
        <x:f>(Z674+v01_ElderCommons*INDEX(LM_Elder,G674)*AA674)*AH674</x:f>
        <x:v>219.0391761622702</x:v>
      </x:c>
      <x:c r="AJ674" s="32" t="n">
        <x:f>H674*v01_CommonsCoef*AI674^v01_CommonsExp*INDEX(LM_Commons,G674)</x:f>
        <x:v>64.41506706495022</x:v>
      </x:c>
      <x:c r="AK674" s="32" t="n">
        <x:f>H674*v01_RoleScale*Arch_Roles*(AE674*(INDEX(v01_ElderRolePerSett,G674)*v01_OutElder*INDEX(LM_Elder,G674)+INDEX(v01_ShamanPerSett,G674)*v01_OutShaman)+Z674*(INDEX(v01_PriestShare,G674)*v01_OutPriest+INDEX(v01_ScribeShare,G674)*v01_OutScribe*INDEX(LM_Scribe,G674)+INDEX(v01_ScholarShare,G674)*v01_OutScholar*INDEX(LM_Scholar,G674)+INDEX(v01_ResearcherShare,G674)*v01_OutResearcher*INDEX(LM_Researcher,G674)))</x:f>
        <x:v>15</x:v>
      </x:c>
      <x:c r="AL674" s="32" t="n">
        <x:f>H674*v01_RoleScale*Arch_Roles*AE674*INDEX(v01_MonasteryPerSett,G674)*v01_OutMonastery*INDEX(LM_Monastery,G674)</x:f>
        <x:v>0</x:v>
      </x:c>
      <x:c r="AM674" s="32" t="n">
        <x:f>(AJ674+AK674+AL674)/4*INDEX(LM_All,G674)*INDEX(v01_Boon,G674)*Arch_Insight</x:f>
        <x:v>20.85886370877833</x:v>
      </x:c>
      <x:c r="AN674" s="32" t="n">
        <x:f>H674*(v01_KHPerAdult*Z674+v01_KHOfCommons*AJ674/4*INDEX(LM_All,G674))*v01_KHUsable*Arch_KH</x:f>
        <x:v>3.878964084784274</x:v>
      </x:c>
      <x:c r="AO674" s="32" t="n">
        <x:f>MIN(AP673+AN674,AM674*v01_KHMaxRatio)</x:f>
        <x:v>3.878964084784274</x:v>
      </x:c>
      <x:c r="AP674" s="32" t="n">
        <x:f>AP673+AN674-AO674</x:f>
        <x:v>0</x:v>
      </x:c>
      <x:c r="AQ674" s="32" t="n">
        <x:f>AM674+AO674</x:f>
        <x:v>24.737827793562605</x:v>
      </x:c>
      <x:c r="AR674" s="10" t="n">
        <x:f>IF(H674=1,INDEX(v01_Req,G674),0)</x:f>
        <x:v>4006.9599999999996</x:v>
      </x:c>
      <x:c r="AS674" s="32" t="n">
        <x:f>IF(H674=1,IF(E674=1,AS673-AR673,AS673)+AQ674,0)</x:f>
        <x:v>2942.299161258517</x:v>
      </x:c>
      <x:c r="AT674" s="11" t="n">
        <x:f>IF(AR674&gt;0,MIN(1,AS674/AR674),1)</x:f>
        <x:v>0.7342971133374222</x:v>
      </x:c>
      <x:c r="AU674" s="10" t="n">
        <x:f>AB674/INDEX(v01_RepScale,G674)</x:f>
        <x:v>125.29060736294942</x:v>
      </x:c>
      <x:c r="AV674" s="32" t="n">
        <x:f>AM674*60/v01_SeasonSeconds</x:f>
        <x:v>83.4354548351133</x:v>
      </x:c>
    </x:row>
    <x:row r="675">
      <x:c r="A675" s="8" t="n">
        <x:f>A674+1</x:f>
        <x:v>672</x:v>
      </x:c>
      <x:c r="B675" s="9" t="n">
        <x:f>A675*v01_SeasonSeconds/60</x:f>
        <x:v>168</x:v>
      </x:c>
      <x:c r="C675" s="9" t="n">
        <x:f>A675/4</x:f>
        <x:v>168</x:v>
      </x:c>
      <x:c r="D675" s="8" t="n">
        <x:f>IF(MOD(A675,4)=0,1,0)</x:f>
        <x:v>1</x:v>
      </x:c>
      <x:c r="E675" s="8" t="n">
        <x:f>IF(AND(F674&lt;=9,AS674&gt;=AR674),1,0)</x:f>
        <x:v>0</x:v>
      </x:c>
      <x:c r="F675" s="8" t="n">
        <x:f>MIN(10,F674+E675)</x:f>
        <x:v>2</x:v>
      </x:c>
      <x:c r="G675" s="8" t="n">
        <x:f>MIN(F675,9)+1</x:f>
        <x:v>3</x:v>
      </x:c>
      <x:c r="H675" s="8" t="n">
        <x:f>IF(F675&lt;=9,1,0)</x:f>
        <x:v>1</x:v>
      </x:c>
      <x:c r="I675" s="9" t="n">
        <x:f>MIN(10,F674+IF(AR674&gt;0,MIN(1,AS674/AR674),1))</x:f>
        <x:v>2.7342971133374223</x:v>
      </x:c>
      <x:c r="J675" s="32" t="n">
        <x:f>INDEX(v01_FoodCap,G675)*Arch_FoodCap*EXP(v01_CapsByProject*SUMPRODUCT((Cap_Point&lt;=I675)*(Cap_Kind="Food")*Cap_Ln))</x:f>
        <x:v>60</x:v>
      </x:c>
      <x:c r="K675" s="32" t="n">
        <x:f>J675*MIN(1,v01_LeanBase*EXP(v01_CapsByProject*SUMPRODUCT((Cap_Point&lt;=I675)*(Cap_Kind="Lean")*Cap_Ln)))</x:f>
        <x:v>60</x:v>
      </x:c>
      <x:c r="L675" s="10" t="n">
        <x:f>INDEX(v01_HousingCap,G675)*EXP(v01_CapsByProject*SUMPRODUCT((Cap_Point&lt;=I675)*(Cap_Kind="Housing")*Cap_Ln))</x:f>
        <x:v>100</x:v>
      </x:c>
      <x:c r="M675" s="10" t="n">
        <x:f>INDEX(v01_GroupCap,G675)*v01_CohesionFactor*EXP(v01_CapsByProject*SUMPRODUCT((Cap_Point&lt;=I675)*(Cap_Kind="Group")*Cap_Ln))</x:f>
        <x:v>500</x:v>
      </x:c>
      <x:c r="N675" s="32" t="n">
        <x:f>MIN(J675,L675,M675)</x:f>
        <x:v>60</x:v>
      </x:c>
      <x:c r="O675" s="10" t="n">
        <x:f>AE674*N675</x:f>
        <x:v>300</x:v>
      </x:c>
      <x:c r="P675" s="9" t="n">
        <x:f>MIN(1,(AB674/(AE674*IF(v01_GroupInCrowding=1,N675,MIN(J675,L675))))^v01_CrowdingExp)</x:f>
        <x:v>0.33959675594705513</x:v>
      </x:c>
      <x:c r="Q675" s="9" t="n">
        <x:f>IF(D675=1,INDEX(v01_WinterMult,G675),1)</x:f>
        <x:v>1.3</x:v>
      </x:c>
      <x:c r="R675" s="9" t="n">
        <x:f>H675*Z674*v01_WomenShare*v01_BaseFertility*INDEX(v01_FertMult,G675)*Arch_Fertility*(1-P675)</x:f>
        <x:v>2.9642302525381163</x:v>
      </x:c>
      <x:c r="S675" s="9" t="n">
        <x:f>H675*Y674*INDEX(v01_MortChild,G675)/4*Q675</x:f>
        <x:v>1.1793955561885656</x:v>
      </x:c>
      <x:c r="T675" s="9" t="n">
        <x:f>H675*Z674*INDEX(v01_MortAdult,G675)*Arch_AdultMort/4*Q675</x:f>
        <x:v>0.4322274265902477</x:v>
      </x:c>
      <x:c r="U675" s="9" t="n">
        <x:f>H675*AA674*INDEX(v01_MortElder,G675)/4*Q675</x:f>
        <x:v>0.8206048675272897</x:v>
      </x:c>
      <x:c r="V675" s="9" t="n">
        <x:f>H675*MAX(0,AB674-O675)*v01_OvercapLoss</x:f>
        <x:v>0</x:v>
      </x:c>
      <x:c r="W675" s="9" t="n">
        <x:f>H675*Y674/(v01_ChildYears*4)</x:f>
        <x:v>1.8514843896209818</x:v>
      </x:c>
      <x:c r="X675" s="9" t="n">
        <x:f>H675*Z674/(v01_AdultYears*4)</x:f>
        <x:v>0.8937705264479895</x:v>
      </x:c>
      <x:c r="Y675" s="32" t="n">
        <x:f>Y674+R675-S675-W675-Y674*V675/AB674</x:f>
        <x:v>103.61647612550355</x:v>
      </x:c>
      <x:c r="Z675" s="32" t="n">
        <x:f>Z674+W675-X675-T675-Z674*V675/AB674</x:f>
        <x:v>111.35303171613343</x:v>
      </x:c>
      <x:c r="AA675" s="32" t="n">
        <x:f>AA674+X675-U675-AA674*V675/AB674</x:f>
        <x:v>36.143709286493866</x:v>
      </x:c>
      <x:c r="AB675" s="10" t="n">
        <x:f>Y675+Z675+AA675</x:f>
        <x:v>251.11321712813086</x:v>
      </x:c>
      <x:c r="AC675" s="8" t="n">
        <x:f>IF(AND(v01_WinterTrigger=1,D675=1,AB674/AE674&gt;=K675),1,0)</x:f>
        <x:v>0</x:v>
      </x:c>
      <x:c r="AD675" s="8" t="n">
        <x:f>H675*IF(AND(OR(AB674/AE674&gt;=v01_FissionTrigger*N675,AC675=1),AB674/AE674*v01_DaughterShare&gt;=v01_MinDaughter),MAX(1,ROUND(AE674*v01_FissionRate,0)),0)</x:f>
        <x:v>0</x:v>
      </x:c>
      <x:c r="AE675" s="8" t="n">
        <x:f>IF(H675=1,MAX(1,MIN(INDEX(v01_Smax,G675),AE674+AD675)),AE674)</x:f>
        <x:v>5</x:v>
      </x:c>
      <x:c r="AF675" s="8" t="n">
        <x:f>MAX(0,AE675-AE674)</x:f>
        <x:v>0</x:v>
      </x:c>
      <x:c r="AG675" s="9" t="str">
        <x:f>IF(AF675&gt;0,B675,"")</x:f>
      </x:c>
      <x:c r="AH675" s="9" t="n">
        <x:f>IF(F675&gt;=1,1,(1+v01_LowTiesShare*(AE675-1))/AE675)</x:f>
        <x:v>1</x:v>
      </x:c>
      <x:c r="AI675" s="32" t="n">
        <x:f>(Z675+v01_ElderCommons*INDEX(LM_Elder,G675)*AA675)*AH675</x:f>
        <x:v>219.78415957561504</x:v>
      </x:c>
      <x:c r="AJ675" s="32" t="n">
        <x:f>H675*v01_CommonsCoef*AI675^v01_CommonsExp*INDEX(LM_Commons,G675)</x:f>
        <x:v>64.60124171361696</x:v>
      </x:c>
      <x:c r="AK675" s="32" t="n">
        <x:f>H675*v01_RoleScale*Arch_Roles*(AE675*(INDEX(v01_ElderRolePerSett,G675)*v01_OutElder*INDEX(LM_Elder,G675)+INDEX(v01_ShamanPerSett,G675)*v01_OutShaman)+Z675*(INDEX(v01_PriestShare,G675)*v01_OutPriest+INDEX(v01_ScribeShare,G675)*v01_OutScribe*INDEX(LM_Scribe,G675)+INDEX(v01_ScholarShare,G675)*v01_OutScholar*INDEX(LM_Scholar,G675)+INDEX(v01_ResearcherShare,G675)*v01_OutResearcher*INDEX(LM_Researcher,G675)))</x:f>
        <x:v>15</x:v>
      </x:c>
      <x:c r="AL675" s="32" t="n">
        <x:f>H675*v01_RoleScale*Arch_Roles*AE675*INDEX(v01_MonasteryPerSett,G675)*v01_OutMonastery*INDEX(LM_Monastery,G675)</x:f>
        <x:v>0</x:v>
      </x:c>
      <x:c r="AM675" s="32" t="n">
        <x:f>(AJ675+AK675+AL675)/4*INDEX(LM_All,G675)*INDEX(v01_Boon,G675)*Arch_Insight</x:f>
        <x:v>20.907763643842202</x:v>
      </x:c>
      <x:c r="AN675" s="32" t="n">
        <x:f>H675*(v01_KHPerAdult*Z675+v01_KHOfCommons*AJ675/4*INDEX(LM_All,G675))*v01_KHUsable*Arch_KH</x:f>
        <x:v>3.89735611006467</x:v>
      </x:c>
      <x:c r="AO675" s="32" t="n">
        <x:f>MIN(AP674+AN675,AM675*v01_KHMaxRatio)</x:f>
        <x:v>3.89735611006467</x:v>
      </x:c>
      <x:c r="AP675" s="32" t="n">
        <x:f>AP674+AN675-AO675</x:f>
        <x:v>0</x:v>
      </x:c>
      <x:c r="AQ675" s="32" t="n">
        <x:f>AM675+AO675</x:f>
        <x:v>24.805119753906872</x:v>
      </x:c>
      <x:c r="AR675" s="10" t="n">
        <x:f>IF(H675=1,INDEX(v01_Req,G675),0)</x:f>
        <x:v>4006.9599999999996</x:v>
      </x:c>
      <x:c r="AS675" s="32" t="n">
        <x:f>IF(H675=1,IF(E675=1,AS674-AR674,AS674)+AQ675,0)</x:f>
        <x:v>2967.104281012424</x:v>
      </x:c>
      <x:c r="AT675" s="11" t="n">
        <x:f>IF(AR675&gt;0,MIN(1,AS675/AR675),1)</x:f>
        <x:v>0.7404876217911894</x:v>
      </x:c>
      <x:c r="AU675" s="10" t="n">
        <x:f>AB675/INDEX(v01_RepScale,G675)</x:f>
        <x:v>125.55660856406543</x:v>
      </x:c>
      <x:c r="AV675" s="32" t="n">
        <x:f>AM675*60/v01_SeasonSeconds</x:f>
        <x:v>83.63105457536881</x:v>
      </x:c>
    </x:row>
    <x:row r="676">
      <x:c r="A676" s="8" t="n">
        <x:f>A675+1</x:f>
        <x:v>673</x:v>
      </x:c>
      <x:c r="B676" s="9" t="n">
        <x:f>A676*v01_SeasonSeconds/60</x:f>
        <x:v>168.25</x:v>
      </x:c>
      <x:c r="C676" s="9" t="n">
        <x:f>A676/4</x:f>
        <x:v>168.25</x:v>
      </x:c>
      <x:c r="D676" s="8" t="n">
        <x:f>IF(MOD(A676,4)=0,1,0)</x:f>
        <x:v>0</x:v>
      </x:c>
      <x:c r="E676" s="8" t="n">
        <x:f>IF(AND(F675&lt;=9,AS675&gt;=AR675),1,0)</x:f>
        <x:v>0</x:v>
      </x:c>
      <x:c r="F676" s="8" t="n">
        <x:f>MIN(10,F675+E676)</x:f>
        <x:v>2</x:v>
      </x:c>
      <x:c r="G676" s="8" t="n">
        <x:f>MIN(F676,9)+1</x:f>
        <x:v>3</x:v>
      </x:c>
      <x:c r="H676" s="8" t="n">
        <x:f>IF(F676&lt;=9,1,0)</x:f>
        <x:v>1</x:v>
      </x:c>
      <x:c r="I676" s="9" t="n">
        <x:f>MIN(10,F675+IF(AR675&gt;0,MIN(1,AS675/AR675),1))</x:f>
        <x:v>2.7404876217911895</x:v>
      </x:c>
      <x:c r="J676" s="32" t="n">
        <x:f>INDEX(v01_FoodCap,G676)*Arch_FoodCap*EXP(v01_CapsByProject*SUMPRODUCT((Cap_Point&lt;=I676)*(Cap_Kind="Food")*Cap_Ln))</x:f>
        <x:v>60</x:v>
      </x:c>
      <x:c r="K676" s="32" t="n">
        <x:f>J676*MIN(1,v01_LeanBase*EXP(v01_CapsByProject*SUMPRODUCT((Cap_Point&lt;=I676)*(Cap_Kind="Lean")*Cap_Ln)))</x:f>
        <x:v>60</x:v>
      </x:c>
      <x:c r="L676" s="10" t="n">
        <x:f>INDEX(v01_HousingCap,G676)*EXP(v01_CapsByProject*SUMPRODUCT((Cap_Point&lt;=I676)*(Cap_Kind="Housing")*Cap_Ln))</x:f>
        <x:v>100</x:v>
      </x:c>
      <x:c r="M676" s="10" t="n">
        <x:f>INDEX(v01_GroupCap,G676)*v01_CohesionFactor*EXP(v01_CapsByProject*SUMPRODUCT((Cap_Point&lt;=I676)*(Cap_Kind="Group")*Cap_Ln))</x:f>
        <x:v>500</x:v>
      </x:c>
      <x:c r="N676" s="32" t="n">
        <x:f>MIN(J676,L676,M676)</x:f>
        <x:v>60</x:v>
      </x:c>
      <x:c r="O676" s="10" t="n">
        <x:f>AE675*N676</x:f>
        <x:v>300</x:v>
      </x:c>
      <x:c r="P676" s="9" t="n">
        <x:f>MIN(1,(AB675/(AE675*IF(v01_GroupInCrowding=1,N676,MIN(J676,L676))))^v01_CrowdingExp)</x:f>
        <x:v>0.34394571551143155</x:v>
      </x:c>
      <x:c r="Q676" s="9" t="n">
        <x:f>IF(D676=1,INDEX(v01_WinterMult,G676),1)</x:f>
        <x:v>1</x:v>
      </x:c>
      <x:c r="R676" s="9" t="n">
        <x:f>H676*Z675*v01_WomenShare*v01_BaseFertility*INDEX(v01_FertMult,G676)*Arch_Fertility*(1-P676)</x:f>
        <x:v>2.958672158700512</x:v>
      </x:c>
      <x:c r="S676" s="9" t="n">
        <x:f>H676*Y675*INDEX(v01_MortChild,G676)/4*Q676</x:f>
        <x:v>0.9066441660981561</x:v>
      </x:c>
      <x:c r="T676" s="9" t="n">
        <x:f>H676*Z675*INDEX(v01_MortAdult,G676)*Arch_AdultMort/4*Q676</x:f>
        <x:v>0.3340590951484003</x:v>
      </x:c>
      <x:c r="U676" s="9" t="n">
        <x:f>H676*AA675*INDEX(v01_MortElder,G676)/4*Q676</x:f>
        <x:v>0.6325149125136427</x:v>
      </x:c>
      <x:c r="V676" s="9" t="n">
        <x:f>H676*MAX(0,AB675-O676)*v01_OvercapLoss</x:f>
        <x:v>0</x:v>
      </x:c>
      <x:c r="W676" s="9" t="n">
        <x:f>H676*Y675/(v01_ChildYears*4)</x:f>
        <x:v>1.8502942165268492</x:v>
      </x:c>
      <x:c r="X676" s="9" t="n">
        <x:f>H676*Z675/(v01_AdultYears*4)</x:f>
        <x:v>0.8980083202913987</x:v>
      </x:c>
      <x:c r="Y676" s="32" t="n">
        <x:f>Y675+R676-S676-W676-Y675*V676/AB675</x:f>
        <x:v>103.81820990157905</x:v>
      </x:c>
      <x:c r="Z676" s="32" t="n">
        <x:f>Z675+W676-X676-T676-Z675*V676/AB675</x:f>
        <x:v>111.97125851722048</x:v>
      </x:c>
      <x:c r="AA676" s="32" t="n">
        <x:f>AA675+X676-U676-AA675*V676/AB675</x:f>
        <x:v>36.40920269427162</x:v>
      </x:c>
      <x:c r="AB676" s="10" t="n">
        <x:f>Y676+Z676+AA676</x:f>
        <x:v>252.19867111307113</x:v>
      </x:c>
      <x:c r="AC676" s="8" t="n">
        <x:f>IF(AND(v01_WinterTrigger=1,D676=1,AB675/AE675&gt;=K676),1,0)</x:f>
        <x:v>0</x:v>
      </x:c>
      <x:c r="AD676" s="8" t="n">
        <x:f>H676*IF(AND(OR(AB675/AE675&gt;=v01_FissionTrigger*N676,AC676=1),AB675/AE675*v01_DaughterShare&gt;=v01_MinDaughter),MAX(1,ROUND(AE675*v01_FissionRate,0)),0)</x:f>
        <x:v>0</x:v>
      </x:c>
      <x:c r="AE676" s="8" t="n">
        <x:f>IF(H676=1,MAX(1,MIN(INDEX(v01_Smax,G676),AE675+AD676)),AE675)</x:f>
        <x:v>5</x:v>
      </x:c>
      <x:c r="AF676" s="8" t="n">
        <x:f>MAX(0,AE676-AE675)</x:f>
        <x:v>0</x:v>
      </x:c>
      <x:c r="AG676" s="9" t="str">
        <x:f>IF(AF676&gt;0,B676,"")</x:f>
      </x:c>
      <x:c r="AH676" s="9" t="n">
        <x:f>IF(F676&gt;=1,1,(1+v01_LowTiesShare*(AE676-1))/AE676)</x:f>
        <x:v>1</x:v>
      </x:c>
      <x:c r="AI676" s="32" t="n">
        <x:f>(Z676+v01_ElderCommons*INDEX(LM_Elder,G676)*AA676)*AH676</x:f>
        <x:v>221.19886660003533</x:v>
      </x:c>
      <x:c r="AJ676" s="32" t="n">
        <x:f>H676*v01_CommonsCoef*AI676^v01_CommonsExp*INDEX(LM_Commons,G676)</x:f>
        <x:v>64.95452306909426</x:v>
      </x:c>
      <x:c r="AK676" s="32" t="n">
        <x:f>H676*v01_RoleScale*Arch_Roles*(AE676*(INDEX(v01_ElderRolePerSett,G676)*v01_OutElder*INDEX(LM_Elder,G676)+INDEX(v01_ShamanPerSett,G676)*v01_OutShaman)+Z676*(INDEX(v01_PriestShare,G676)*v01_OutPriest+INDEX(v01_ScribeShare,G676)*v01_OutScribe*INDEX(LM_Scribe,G676)+INDEX(v01_ScholarShare,G676)*v01_OutScholar*INDEX(LM_Scholar,G676)+INDEX(v01_ResearcherShare,G676)*v01_OutResearcher*INDEX(LM_Researcher,G676)))</x:f>
        <x:v>15</x:v>
      </x:c>
      <x:c r="AL676" s="32" t="n">
        <x:f>H676*v01_RoleScale*Arch_Roles*AE676*INDEX(v01_MonasteryPerSett,G676)*v01_OutMonastery*INDEX(LM_Monastery,G676)</x:f>
        <x:v>0</x:v>
      </x:c>
      <x:c r="AM676" s="32" t="n">
        <x:f>(AJ676+AK676+AL676)/4*INDEX(LM_All,G676)*INDEX(v01_Boon,G676)*Arch_Insight</x:f>
        <x:v>21.00055519986679</x:v>
      </x:c>
      <x:c r="AN676" s="32" t="n">
        <x:f>H676*(v01_KHPerAdult*Z676+v01_KHOfCommons*AJ676/4*INDEX(LM_All,G676))*v01_KHUsable*Arch_KH</x:f>
        <x:v>3.918994048102717</x:v>
      </x:c>
      <x:c r="AO676" s="32" t="n">
        <x:f>MIN(AP675+AN676,AM676*v01_KHMaxRatio)</x:f>
        <x:v>3.918994048102717</x:v>
      </x:c>
      <x:c r="AP676" s="32" t="n">
        <x:f>AP675+AN676-AO676</x:f>
        <x:v>0</x:v>
      </x:c>
      <x:c r="AQ676" s="32" t="n">
        <x:f>AM676+AO676</x:f>
        <x:v>24.919549247969506</x:v>
      </x:c>
      <x:c r="AR676" s="10" t="n">
        <x:f>IF(H676=1,INDEX(v01_Req,G676),0)</x:f>
        <x:v>4006.9599999999996</x:v>
      </x:c>
      <x:c r="AS676" s="32" t="n">
        <x:f>IF(H676=1,IF(E676=1,AS675-AR675,AS675)+AQ676,0)</x:f>
        <x:v>2992.0238302603934</x:v>
      </x:c>
      <x:c r="AT676" s="11" t="n">
        <x:f>IF(AR676&gt;0,MIN(1,AS676/AR676),1)</x:f>
        <x:v>0.7467066879281036</x:v>
      </x:c>
      <x:c r="AU676" s="10" t="n">
        <x:f>AB676/INDEX(v01_RepScale,G676)</x:f>
        <x:v>126.09933555653556</x:v>
      </x:c>
      <x:c r="AV676" s="32" t="n">
        <x:f>AM676*60/v01_SeasonSeconds</x:f>
        <x:v>84.00222079946715</x:v>
      </x:c>
    </x:row>
    <x:row r="677">
      <x:c r="A677" s="8" t="n">
        <x:f>A676+1</x:f>
        <x:v>674</x:v>
      </x:c>
      <x:c r="B677" s="9" t="n">
        <x:f>A677*v01_SeasonSeconds/60</x:f>
        <x:v>168.5</x:v>
      </x:c>
      <x:c r="C677" s="9" t="n">
        <x:f>A677/4</x:f>
        <x:v>168.5</x:v>
      </x:c>
      <x:c r="D677" s="8" t="n">
        <x:f>IF(MOD(A677,4)=0,1,0)</x:f>
        <x:v>0</x:v>
      </x:c>
      <x:c r="E677" s="8" t="n">
        <x:f>IF(AND(F676&lt;=9,AS676&gt;=AR676),1,0)</x:f>
        <x:v>0</x:v>
      </x:c>
      <x:c r="F677" s="8" t="n">
        <x:f>MIN(10,F676+E677)</x:f>
        <x:v>2</x:v>
      </x:c>
      <x:c r="G677" s="8" t="n">
        <x:f>MIN(F677,9)+1</x:f>
        <x:v>3</x:v>
      </x:c>
      <x:c r="H677" s="8" t="n">
        <x:f>IF(F677&lt;=9,1,0)</x:f>
        <x:v>1</x:v>
      </x:c>
      <x:c r="I677" s="9" t="n">
        <x:f>MIN(10,F676+IF(AR676&gt;0,MIN(1,AS676/AR676),1))</x:f>
        <x:v>2.7467066879281035</x:v>
      </x:c>
      <x:c r="J677" s="32" t="n">
        <x:f>INDEX(v01_FoodCap,G677)*Arch_FoodCap*EXP(v01_CapsByProject*SUMPRODUCT((Cap_Point&lt;=I677)*(Cap_Kind="Food")*Cap_Ln))</x:f>
        <x:v>60</x:v>
      </x:c>
      <x:c r="K677" s="32" t="n">
        <x:f>J677*MIN(1,v01_LeanBase*EXP(v01_CapsByProject*SUMPRODUCT((Cap_Point&lt;=I677)*(Cap_Kind="Lean")*Cap_Ln)))</x:f>
        <x:v>60</x:v>
      </x:c>
      <x:c r="L677" s="10" t="n">
        <x:f>INDEX(v01_HousingCap,G677)*EXP(v01_CapsByProject*SUMPRODUCT((Cap_Point&lt;=I677)*(Cap_Kind="Housing")*Cap_Ln))</x:f>
        <x:v>100</x:v>
      </x:c>
      <x:c r="M677" s="10" t="n">
        <x:f>INDEX(v01_GroupCap,G677)*v01_CohesionFactor*EXP(v01_CapsByProject*SUMPRODUCT((Cap_Point&lt;=I677)*(Cap_Kind="Group")*Cap_Ln))</x:f>
        <x:v>500</x:v>
      </x:c>
      <x:c r="N677" s="32" t="n">
        <x:f>MIN(J677,L677,M677)</x:f>
        <x:v>60</x:v>
      </x:c>
      <x:c r="O677" s="10" t="n">
        <x:f>AE676*N677</x:f>
        <x:v>300</x:v>
      </x:c>
      <x:c r="P677" s="9" t="n">
        <x:f>MIN(1,(AB676/(AE676*IF(v01_GroupInCrowding=1,N677,MIN(J677,L677))))^v01_CrowdingExp)</x:f>
        <x:v>0.35296304288401903</x:v>
      </x:c>
      <x:c r="Q677" s="9" t="n">
        <x:f>IF(D677=1,INDEX(v01_WinterMult,G677),1)</x:f>
        <x:v>1</x:v>
      </x:c>
      <x:c r="R677" s="9" t="n">
        <x:f>H677*Z676*v01_WomenShare*v01_BaseFertility*INDEX(v01_FertMult,G677)*Arch_Fertility*(1-P677)</x:f>
        <x:v>2.934206467014883</x:v>
      </x:c>
      <x:c r="S677" s="9" t="n">
        <x:f>H677*Y676*INDEX(v01_MortChild,G677)/4*Q677</x:f>
        <x:v>0.9084093366388168</x:v>
      </x:c>
      <x:c r="T677" s="9" t="n">
        <x:f>H677*Z676*INDEX(v01_MortAdult,G677)*Arch_AdultMort/4*Q677</x:f>
        <x:v>0.33591377555166146</x:v>
      </x:c>
      <x:c r="U677" s="9" t="n">
        <x:f>H677*AA676*INDEX(v01_MortElder,G677)/4*Q677</x:f>
        <x:v>0.6371610471497534</x:v>
      </x:c>
      <x:c r="V677" s="9" t="n">
        <x:f>H677*MAX(0,AB676-O677)*v01_OvercapLoss</x:f>
        <x:v>0</x:v>
      </x:c>
      <x:c r="W677" s="9" t="n">
        <x:f>H677*Y676/(v01_ChildYears*4)</x:f>
        <x:v>1.8538966053853403</x:v>
      </x:c>
      <x:c r="X677" s="9" t="n">
        <x:f>H677*Z676/(v01_AdultYears*4)</x:f>
        <x:v>0.9029940203001652</x:v>
      </x:c>
      <x:c r="Y677" s="32" t="n">
        <x:f>Y676+R677-S677-W677-Y676*V677/AB676</x:f>
        <x:v>103.99011042656979</x:v>
      </x:c>
      <x:c r="Z677" s="32" t="n">
        <x:f>Z676+W677-X677-T677-Z676*V677/AB676</x:f>
        <x:v>112.58624732675399</x:v>
      </x:c>
      <x:c r="AA677" s="32" t="n">
        <x:f>AA676+X677-U677-AA676*V677/AB676</x:f>
        <x:v>36.67503566742203</x:v>
      </x:c>
      <x:c r="AB677" s="10" t="n">
        <x:f>Y677+Z677+AA677</x:f>
        <x:v>253.2513934207458</x:v>
      </x:c>
      <x:c r="AC677" s="8" t="n">
        <x:f>IF(AND(v01_WinterTrigger=1,D677=1,AB676/AE676&gt;=K677),1,0)</x:f>
        <x:v>0</x:v>
      </x:c>
      <x:c r="AD677" s="8" t="n">
        <x:f>H677*IF(AND(OR(AB676/AE676&gt;=v01_FissionTrigger*N677,AC677=1),AB676/AE676*v01_DaughterShare&gt;=v01_MinDaughter),MAX(1,ROUND(AE676*v01_FissionRate,0)),0)</x:f>
        <x:v>0</x:v>
      </x:c>
      <x:c r="AE677" s="8" t="n">
        <x:f>IF(H677=1,MAX(1,MIN(INDEX(v01_Smax,G677),AE676+AD677)),AE676)</x:f>
        <x:v>5</x:v>
      </x:c>
      <x:c r="AF677" s="8" t="n">
        <x:f>MAX(0,AE677-AE676)</x:f>
        <x:v>0</x:v>
      </x:c>
      <x:c r="AG677" s="9" t="str">
        <x:f>IF(AF677&gt;0,B677,"")</x:f>
      </x:c>
      <x:c r="AH677" s="9" t="n">
        <x:f>IF(F677&gt;=1,1,(1+v01_LowTiesShare*(AE677-1))/AE677)</x:f>
        <x:v>1</x:v>
      </x:c>
      <x:c r="AI677" s="32" t="n">
        <x:f>(Z677+v01_ElderCommons*INDEX(LM_Elder,G677)*AA677)*AH677</x:f>
        <x:v>222.61135432902006</x:v>
      </x:c>
      <x:c r="AJ677" s="32" t="n">
        <x:f>H677*v01_CommonsCoef*AI677^v01_CommonsExp*INDEX(LM_Commons,G677)</x:f>
        <x:v>65.30691225770157</x:v>
      </x:c>
      <x:c r="AK677" s="32" t="n">
        <x:f>H677*v01_RoleScale*Arch_Roles*(AE677*(INDEX(v01_ElderRolePerSett,G677)*v01_OutElder*INDEX(LM_Elder,G677)+INDEX(v01_ShamanPerSett,G677)*v01_OutShaman)+Z677*(INDEX(v01_PriestShare,G677)*v01_OutPriest+INDEX(v01_ScribeShare,G677)*v01_OutScribe*INDEX(LM_Scribe,G677)+INDEX(v01_ScholarShare,G677)*v01_OutScholar*INDEX(LM_Scholar,G677)+INDEX(v01_ResearcherShare,G677)*v01_OutResearcher*INDEX(LM_Researcher,G677)))</x:f>
        <x:v>15</x:v>
      </x:c>
      <x:c r="AL677" s="32" t="n">
        <x:f>H677*v01_RoleScale*Arch_Roles*AE677*INDEX(v01_MonasteryPerSett,G677)*v01_OutMonastery*INDEX(LM_Monastery,G677)</x:f>
        <x:v>0</x:v>
      </x:c>
      <x:c r="AM677" s="32" t="n">
        <x:f>(AJ677+AK677+AL677)/4*INDEX(LM_All,G677)*INDEX(v01_Boon,G677)*Arch_Insight</x:f>
        <x:v>21.093112422686925</x:v>
      </x:c>
      <x:c r="AN677" s="32" t="n">
        <x:f>H677*(v01_KHPerAdult*Z677+v01_KHOfCommons*AJ677/4*INDEX(LM_All,G677))*v01_KHUsable*Arch_KH</x:f>
        <x:v>3.94051865643639</x:v>
      </x:c>
      <x:c r="AO677" s="32" t="n">
        <x:f>MIN(AP676+AN677,AM677*v01_KHMaxRatio)</x:f>
        <x:v>3.94051865643639</x:v>
      </x:c>
      <x:c r="AP677" s="32" t="n">
        <x:f>AP676+AN677-AO677</x:f>
        <x:v>0</x:v>
      </x:c>
      <x:c r="AQ677" s="32" t="n">
        <x:f>AM677+AO677</x:f>
        <x:v>25.033631079123314</x:v>
      </x:c>
      <x:c r="AR677" s="10" t="n">
        <x:f>IF(H677=1,INDEX(v01_Req,G677),0)</x:f>
        <x:v>4006.9599999999996</x:v>
      </x:c>
      <x:c r="AS677" s="32" t="n">
        <x:f>IF(H677=1,IF(E677=1,AS676-AR676,AS676)+AQ677,0)</x:f>
        <x:v>3017.0574613395165</x:v>
      </x:c>
      <x:c r="AT677" s="11" t="n">
        <x:f>IF(AR677&gt;0,MIN(1,AS677/AR677),1)</x:f>
        <x:v>0.752954224983408</x:v>
      </x:c>
      <x:c r="AU677" s="10" t="n">
        <x:f>AB677/INDEX(v01_RepScale,G677)</x:f>
        <x:v>126.6256967103729</x:v>
      </x:c>
      <x:c r="AV677" s="32" t="n">
        <x:f>AM677*60/v01_SeasonSeconds</x:f>
        <x:v>84.3724496907477</x:v>
      </x:c>
    </x:row>
    <x:row r="678">
      <x:c r="A678" s="8" t="n">
        <x:f>A677+1</x:f>
        <x:v>675</x:v>
      </x:c>
      <x:c r="B678" s="9" t="n">
        <x:f>A678*v01_SeasonSeconds/60</x:f>
        <x:v>168.75</x:v>
      </x:c>
      <x:c r="C678" s="9" t="n">
        <x:f>A678/4</x:f>
        <x:v>168.75</x:v>
      </x:c>
      <x:c r="D678" s="8" t="n">
        <x:f>IF(MOD(A678,4)=0,1,0)</x:f>
        <x:v>0</x:v>
      </x:c>
      <x:c r="E678" s="8" t="n">
        <x:f>IF(AND(F677&lt;=9,AS677&gt;=AR677),1,0)</x:f>
        <x:v>0</x:v>
      </x:c>
      <x:c r="F678" s="8" t="n">
        <x:f>MIN(10,F677+E678)</x:f>
        <x:v>2</x:v>
      </x:c>
      <x:c r="G678" s="8" t="n">
        <x:f>MIN(F678,9)+1</x:f>
        <x:v>3</x:v>
      </x:c>
      <x:c r="H678" s="8" t="n">
        <x:f>IF(F678&lt;=9,1,0)</x:f>
        <x:v>1</x:v>
      </x:c>
      <x:c r="I678" s="9" t="n">
        <x:f>MIN(10,F677+IF(AR677&gt;0,MIN(1,AS677/AR677),1))</x:f>
        <x:v>2.752954224983408</x:v>
      </x:c>
      <x:c r="J678" s="32" t="n">
        <x:f>INDEX(v01_FoodCap,G678)*Arch_FoodCap*EXP(v01_CapsByProject*SUMPRODUCT((Cap_Point&lt;=I678)*(Cap_Kind="Food")*Cap_Ln))</x:f>
        <x:v>60</x:v>
      </x:c>
      <x:c r="K678" s="32" t="n">
        <x:f>J678*MIN(1,v01_LeanBase*EXP(v01_CapsByProject*SUMPRODUCT((Cap_Point&lt;=I678)*(Cap_Kind="Lean")*Cap_Ln)))</x:f>
        <x:v>60</x:v>
      </x:c>
      <x:c r="L678" s="10" t="n">
        <x:f>INDEX(v01_HousingCap,G678)*EXP(v01_CapsByProject*SUMPRODUCT((Cap_Point&lt;=I678)*(Cap_Kind="Housing")*Cap_Ln))</x:f>
        <x:v>100</x:v>
      </x:c>
      <x:c r="M678" s="10" t="n">
        <x:f>INDEX(v01_GroupCap,G678)*v01_CohesionFactor*EXP(v01_CapsByProject*SUMPRODUCT((Cap_Point&lt;=I678)*(Cap_Kind="Group")*Cap_Ln))</x:f>
        <x:v>500</x:v>
      </x:c>
      <x:c r="N678" s="32" t="n">
        <x:f>MIN(J678,L678,M678)</x:f>
        <x:v>60</x:v>
      </x:c>
      <x:c r="O678" s="10" t="n">
        <x:f>AE677*N678</x:f>
        <x:v>300</x:v>
      </x:c>
      <x:c r="P678" s="9" t="n">
        <x:f>MIN(1,(AB677/(AE677*IF(v01_GroupInCrowding=1,N678,MIN(J678,L678))))^v01_CrowdingExp)</x:f>
        <x:v>0.36189579188274446</x:v>
      </x:c>
      <x:c r="Q678" s="9" t="n">
        <x:f>IF(D678=1,INDEX(v01_WinterMult,G678),1)</x:f>
        <x:v>1</x:v>
      </x:c>
      <x:c r="R678" s="9" t="n">
        <x:f>H678*Z677*v01_WomenShare*v01_BaseFertility*INDEX(v01_FertMult,G678)*Arch_Fertility*(1-P678)</x:f>
        <x:v>2.9095912069109393</x:v>
      </x:c>
      <x:c r="S678" s="9" t="n">
        <x:f>H678*Y677*INDEX(v01_MortChild,G678)/4*Q678</x:f>
        <x:v>0.9099134662324857</x:v>
      </x:c>
      <x:c r="T678" s="9" t="n">
        <x:f>H678*Z677*INDEX(v01_MortAdult,G678)*Arch_AdultMort/4*Q678</x:f>
        <x:v>0.33775874198026196</x:v>
      </x:c>
      <x:c r="U678" s="9" t="n">
        <x:f>H678*AA677*INDEX(v01_MortElder,G678)/4*Q678</x:f>
        <x:v>0.6418131241798856</x:v>
      </x:c>
      <x:c r="V678" s="9" t="n">
        <x:f>H678*MAX(0,AB677-O678)*v01_OvercapLoss</x:f>
        <x:v>0</x:v>
      </x:c>
      <x:c r="W678" s="9" t="n">
        <x:f>H678*Y677/(v01_ChildYears*4)</x:f>
        <x:v>1.8569662576173176</x:v>
      </x:c>
      <x:c r="X678" s="9" t="n">
        <x:f>H678*Z677/(v01_AdultYears*4)</x:f>
        <x:v>0.9079536074738225</x:v>
      </x:c>
      <x:c r="Y678" s="32" t="n">
        <x:f>Y677+R678-S678-W678-Y677*V678/AB677</x:f>
        <x:v>104.13282190963093</x:v>
      </x:c>
      <x:c r="Z678" s="32" t="n">
        <x:f>Z677+W678-X678-T678-Z677*V678/AB677</x:f>
        <x:v>113.19750123491721</x:v>
      </x:c>
      <x:c r="AA678" s="32" t="n">
        <x:f>AA677+X678-U678-AA677*V678/AB677</x:f>
        <x:v>36.94117615071597</x:v>
      </x:c>
      <x:c r="AB678" s="10" t="n">
        <x:f>Y678+Z678+AA678</x:f>
        <x:v>254.2714992952641</x:v>
      </x:c>
      <x:c r="AC678" s="8" t="n">
        <x:f>IF(AND(v01_WinterTrigger=1,D678=1,AB677/AE677&gt;=K678),1,0)</x:f>
        <x:v>0</x:v>
      </x:c>
      <x:c r="AD678" s="8" t="n">
        <x:f>H678*IF(AND(OR(AB677/AE677&gt;=v01_FissionTrigger*N678,AC678=1),AB677/AE677*v01_DaughterShare&gt;=v01_MinDaughter),MAX(1,ROUND(AE677*v01_FissionRate,0)),0)</x:f>
        <x:v>0</x:v>
      </x:c>
      <x:c r="AE678" s="8" t="n">
        <x:f>IF(H678=1,MAX(1,MIN(INDEX(v01_Smax,G678),AE677+AD678)),AE677)</x:f>
        <x:v>5</x:v>
      </x:c>
      <x:c r="AF678" s="8" t="n">
        <x:f>MAX(0,AE678-AE677)</x:f>
        <x:v>0</x:v>
      </x:c>
      <x:c r="AG678" s="9" t="str">
        <x:f>IF(AF678&gt;0,B678,"")</x:f>
      </x:c>
      <x:c r="AH678" s="9" t="n">
        <x:f>IF(F678&gt;=1,1,(1+v01_LowTiesShare*(AE678-1))/AE678)</x:f>
        <x:v>1</x:v>
      </x:c>
      <x:c r="AI678" s="32" t="n">
        <x:f>(Z678+v01_ElderCommons*INDEX(LM_Elder,G678)*AA678)*AH678</x:f>
        <x:v>224.02102968706512</x:v>
      </x:c>
      <x:c r="AJ678" s="32" t="n">
        <x:f>H678*v01_CommonsCoef*AI678^v01_CommonsExp*INDEX(LM_Commons,G678)</x:f>
        <x:v>65.6582655777502</x:v>
      </x:c>
      <x:c r="AK678" s="32" t="n">
        <x:f>H678*v01_RoleScale*Arch_Roles*(AE678*(INDEX(v01_ElderRolePerSett,G678)*v01_OutElder*INDEX(LM_Elder,G678)+INDEX(v01_ShamanPerSett,G678)*v01_OutShaman)+Z678*(INDEX(v01_PriestShare,G678)*v01_OutPriest+INDEX(v01_ScribeShare,G678)*v01_OutScribe*INDEX(LM_Scribe,G678)+INDEX(v01_ScholarShare,G678)*v01_OutScholar*INDEX(LM_Scholar,G678)+INDEX(v01_ResearcherShare,G678)*v01_OutResearcher*INDEX(LM_Researcher,G678)))</x:f>
        <x:v>15</x:v>
      </x:c>
      <x:c r="AL678" s="32" t="n">
        <x:f>H678*v01_RoleScale*Arch_Roles*AE678*INDEX(v01_MonasteryPerSett,G678)*v01_OutMonastery*INDEX(LM_Monastery,G678)</x:f>
        <x:v>0</x:v>
      </x:c>
      <x:c r="AM678" s="32" t="n">
        <x:f>(AJ678+AK678+AL678)/4*INDEX(LM_All,G678)*INDEX(v01_Boon,G678)*Arch_Insight</x:f>
        <x:v>21.18539756815595</x:v>
      </x:c>
      <x:c r="AN678" s="32" t="n">
        <x:f>H678*(v01_KHPerAdult*Z678+v01_KHOfCommons*AJ678/4*INDEX(LM_All,G678))*v01_KHUsable*Arch_KH</x:f>
        <x:v>3.9619125432221027</x:v>
      </x:c>
      <x:c r="AO678" s="32" t="n">
        <x:f>MIN(AP677+AN678,AM678*v01_KHMaxRatio)</x:f>
        <x:v>3.9619125432221027</x:v>
      </x:c>
      <x:c r="AP678" s="32" t="n">
        <x:f>AP677+AN678-AO678</x:f>
        <x:v>0</x:v>
      </x:c>
      <x:c r="AQ678" s="32" t="n">
        <x:f>AM678+AO678</x:f>
        <x:v>25.14731011137805</x:v>
      </x:c>
      <x:c r="AR678" s="10" t="n">
        <x:f>IF(H678=1,INDEX(v01_Req,G678),0)</x:f>
        <x:v>4006.9599999999996</x:v>
      </x:c>
      <x:c r="AS678" s="32" t="n">
        <x:f>IF(H678=1,IF(E678=1,AS677-AR677,AS677)+AQ678,0)</x:f>
        <x:v>3042.2047714508944</x:v>
      </x:c>
      <x:c r="AT678" s="11" t="n">
        <x:f>IF(AR678&gt;0,MIN(1,AS678/AR678),1)</x:f>
        <x:v>0.7592301324322915</x:v>
      </x:c>
      <x:c r="AU678" s="10" t="n">
        <x:f>AB678/INDEX(v01_RepScale,G678)</x:f>
        <x:v>127.13574964763205</x:v>
      </x:c>
      <x:c r="AV678" s="32" t="n">
        <x:f>AM678*60/v01_SeasonSeconds</x:f>
        <x:v>84.7415902726238</x:v>
      </x:c>
    </x:row>
    <x:row r="679">
      <x:c r="A679" s="8" t="n">
        <x:f>A678+1</x:f>
        <x:v>676</x:v>
      </x:c>
      <x:c r="B679" s="9" t="n">
        <x:f>A679*v01_SeasonSeconds/60</x:f>
        <x:v>169</x:v>
      </x:c>
      <x:c r="C679" s="9" t="n">
        <x:f>A679/4</x:f>
        <x:v>169</x:v>
      </x:c>
      <x:c r="D679" s="8" t="n">
        <x:f>IF(MOD(A679,4)=0,1,0)</x:f>
        <x:v>1</x:v>
      </x:c>
      <x:c r="E679" s="8" t="n">
        <x:f>IF(AND(F678&lt;=9,AS678&gt;=AR678),1,0)</x:f>
        <x:v>0</x:v>
      </x:c>
      <x:c r="F679" s="8" t="n">
        <x:f>MIN(10,F678+E679)</x:f>
        <x:v>2</x:v>
      </x:c>
      <x:c r="G679" s="8" t="n">
        <x:f>MIN(F679,9)+1</x:f>
        <x:v>3</x:v>
      </x:c>
      <x:c r="H679" s="8" t="n">
        <x:f>IF(F679&lt;=9,1,0)</x:f>
        <x:v>1</x:v>
      </x:c>
      <x:c r="I679" s="9" t="n">
        <x:f>MIN(10,F678+IF(AR678&gt;0,MIN(1,AS678/AR678),1))</x:f>
        <x:v>2.7592301324322914</x:v>
      </x:c>
      <x:c r="J679" s="32" t="n">
        <x:f>INDEX(v01_FoodCap,G679)*Arch_FoodCap*EXP(v01_CapsByProject*SUMPRODUCT((Cap_Point&lt;=I679)*(Cap_Kind="Food")*Cap_Ln))</x:f>
        <x:v>60</x:v>
      </x:c>
      <x:c r="K679" s="32" t="n">
        <x:f>J679*MIN(1,v01_LeanBase*EXP(v01_CapsByProject*SUMPRODUCT((Cap_Point&lt;=I679)*(Cap_Kind="Lean")*Cap_Ln)))</x:f>
        <x:v>60</x:v>
      </x:c>
      <x:c r="L679" s="10" t="n">
        <x:f>INDEX(v01_HousingCap,G679)*EXP(v01_CapsByProject*SUMPRODUCT((Cap_Point&lt;=I679)*(Cap_Kind="Housing")*Cap_Ln))</x:f>
        <x:v>100</x:v>
      </x:c>
      <x:c r="M679" s="10" t="n">
        <x:f>INDEX(v01_GroupCap,G679)*v01_CohesionFactor*EXP(v01_CapsByProject*SUMPRODUCT((Cap_Point&lt;=I679)*(Cap_Kind="Group")*Cap_Ln))</x:f>
        <x:v>500</x:v>
      </x:c>
      <x:c r="N679" s="32" t="n">
        <x:f>MIN(J679,L679,M679)</x:f>
        <x:v>60</x:v>
      </x:c>
      <x:c r="O679" s="10" t="n">
        <x:f>AE678*N679</x:f>
        <x:v>300</x:v>
      </x:c>
      <x:c r="P679" s="9" t="n">
        <x:f>MIN(1,(AB678/(AE678*IF(v01_GroupInCrowding=1,N679,MIN(J679,L679))))^v01_CrowdingExp)</x:f>
        <x:v>0.3707307200737229</x:v>
      </x:c>
      <x:c r="Q679" s="9" t="n">
        <x:f>IF(D679=1,INDEX(v01_WinterMult,G679),1)</x:f>
        <x:v>1.3</x:v>
      </x:c>
      <x:c r="R679" s="9" t="n">
        <x:f>H679*Z678*v01_WomenShare*v01_BaseFertility*INDEX(v01_FertMult,G679)*Arch_Fertility*(1-P679)</x:f>
        <x:v>2.884884258707784</x:v>
      </x:c>
      <x:c r="S679" s="9" t="n">
        <x:f>H679*Y678*INDEX(v01_MortChild,G679)/4*Q679</x:f>
        <x:v>1.184510849222052</x:v>
      </x:c>
      <x:c r="T679" s="9" t="n">
        <x:f>H679*Z678*INDEX(v01_MortAdult,G679)*Arch_AdultMort/4*Q679</x:f>
        <x:v>0.44147025481617713</x:v>
      </x:c>
      <x:c r="U679" s="9" t="n">
        <x:f>H679*AA678*INDEX(v01_MortElder,G679)/4*Q679</x:f>
        <x:v>0.8404117574287885</x:v>
      </x:c>
      <x:c r="V679" s="9" t="n">
        <x:f>H679*MAX(0,AB678-O679)*v01_OvercapLoss</x:f>
        <x:v>0</x:v>
      </x:c>
      <x:c r="W679" s="9" t="n">
        <x:f>H679*Y678/(v01_ChildYears*4)</x:f>
        <x:v>1.8595146769576953</x:v>
      </x:c>
      <x:c r="X679" s="9" t="n">
        <x:f>H679*Z678/(v01_AdultYears*4)</x:f>
        <x:v>0.9128830744751388</x:v>
      </x:c>
      <x:c r="Y679" s="32" t="n">
        <x:f>Y678+R679-S679-W679-Y678*V679/AB678</x:f>
        <x:v>103.97368064215897</x:v>
      </x:c>
      <x:c r="Z679" s="32" t="n">
        <x:f>Z678+W679-X679-T679-Z678*V679/AB678</x:f>
        <x:v>113.7026625825836</x:v>
      </x:c>
      <x:c r="AA679" s="32" t="n">
        <x:f>AA678+X679-U679-AA678*V679/AB678</x:f>
        <x:v>37.01364746776232</x:v>
      </x:c>
      <x:c r="AB679" s="10" t="n">
        <x:f>Y679+Z679+AA679</x:f>
        <x:v>254.6899906925049</x:v>
      </x:c>
      <x:c r="AC679" s="8" t="n">
        <x:f>IF(AND(v01_WinterTrigger=1,D679=1,AB678/AE678&gt;=K679),1,0)</x:f>
        <x:v>0</x:v>
      </x:c>
      <x:c r="AD679" s="8" t="n">
        <x:f>H679*IF(AND(OR(AB678/AE678&gt;=v01_FissionTrigger*N679,AC679=1),AB678/AE678*v01_DaughterShare&gt;=v01_MinDaughter),MAX(1,ROUND(AE678*v01_FissionRate,0)),0)</x:f>
        <x:v>0</x:v>
      </x:c>
      <x:c r="AE679" s="8" t="n">
        <x:f>IF(H679=1,MAX(1,MIN(INDEX(v01_Smax,G679),AE678+AD679)),AE678)</x:f>
        <x:v>5</x:v>
      </x:c>
      <x:c r="AF679" s="8" t="n">
        <x:f>MAX(0,AE679-AE678)</x:f>
        <x:v>0</x:v>
      </x:c>
      <x:c r="AG679" s="9" t="str">
        <x:f>IF(AF679&gt;0,B679,"")</x:f>
      </x:c>
      <x:c r="AH679" s="9" t="n">
        <x:f>IF(F679&gt;=1,1,(1+v01_LowTiesShare*(AE679-1))/AE679)</x:f>
        <x:v>1</x:v>
      </x:c>
      <x:c r="AI679" s="32" t="n">
        <x:f>(Z679+v01_ElderCommons*INDEX(LM_Elder,G679)*AA679)*AH679</x:f>
        <x:v>224.74360498587055</x:v>
      </x:c>
      <x:c r="AJ679" s="32" t="n">
        <x:f>H679*v01_CommonsCoef*AI679^v01_CommonsExp*INDEX(LM_Commons,G679)</x:f>
        <x:v>65.83823458062562</x:v>
      </x:c>
      <x:c r="AK679" s="32" t="n">
        <x:f>H679*v01_RoleScale*Arch_Roles*(AE679*(INDEX(v01_ElderRolePerSett,G679)*v01_OutElder*INDEX(LM_Elder,G679)+INDEX(v01_ShamanPerSett,G679)*v01_OutShaman)+Z679*(INDEX(v01_PriestShare,G679)*v01_OutPriest+INDEX(v01_ScribeShare,G679)*v01_OutScribe*INDEX(LM_Scribe,G679)+INDEX(v01_ScholarShare,G679)*v01_OutScholar*INDEX(LM_Scholar,G679)+INDEX(v01_ResearcherShare,G679)*v01_OutResearcher*INDEX(LM_Researcher,G679)))</x:f>
        <x:v>15</x:v>
      </x:c>
      <x:c r="AL679" s="32" t="n">
        <x:f>H679*v01_RoleScale*Arch_Roles*AE679*INDEX(v01_MonasteryPerSett,G679)*v01_OutMonastery*INDEX(LM_Monastery,G679)</x:f>
        <x:v>0</x:v>
      </x:c>
      <x:c r="AM679" s="32" t="n">
        <x:f>(AJ679+AK679+AL679)/4*INDEX(LM_All,G679)*INDEX(v01_Boon,G679)*Arch_Insight</x:f>
        <x:v>21.23266755156745</x:v>
      </x:c>
      <x:c r="AN679" s="32" t="n">
        <x:f>H679*(v01_KHPerAdult*Z679+v01_KHOfCommons*AJ679/4*INDEX(LM_All,G679))*v01_KHUsable*Arch_KH</x:f>
        <x:v>3.979593190390426</x:v>
      </x:c>
      <x:c r="AO679" s="32" t="n">
        <x:f>MIN(AP678+AN679,AM679*v01_KHMaxRatio)</x:f>
        <x:v>3.979593190390426</x:v>
      </x:c>
      <x:c r="AP679" s="32" t="n">
        <x:f>AP678+AN679-AO679</x:f>
        <x:v>0</x:v>
      </x:c>
      <x:c r="AQ679" s="32" t="n">
        <x:f>AM679+AO679</x:f>
        <x:v>25.212260741957873</x:v>
      </x:c>
      <x:c r="AR679" s="10" t="n">
        <x:f>IF(H679=1,INDEX(v01_Req,G679),0)</x:f>
        <x:v>4006.9599999999996</x:v>
      </x:c>
      <x:c r="AS679" s="32" t="n">
        <x:f>IF(H679=1,IF(E679=1,AS678-AR678,AS678)+AQ679,0)</x:f>
        <x:v>3067.4170321928523</x:v>
      </x:c>
      <x:c r="AT679" s="11" t="n">
        <x:f>IF(AR679&gt;0,MIN(1,AS679/AR679),1)</x:f>
        <x:v>0.7655222493343713</x:v>
      </x:c>
      <x:c r="AU679" s="10" t="n">
        <x:f>AB679/INDEX(v01_RepScale,G679)</x:f>
        <x:v>127.34499534625245</x:v>
      </x:c>
      <x:c r="AV679" s="32" t="n">
        <x:f>AM679*60/v01_SeasonSeconds</x:f>
        <x:v>84.9306702062698</x:v>
      </x:c>
    </x:row>
    <x:row r="680">
      <x:c r="A680" s="8" t="n">
        <x:f>A679+1</x:f>
        <x:v>677</x:v>
      </x:c>
      <x:c r="B680" s="9" t="n">
        <x:f>A680*v01_SeasonSeconds/60</x:f>
        <x:v>169.25</x:v>
      </x:c>
      <x:c r="C680" s="9" t="n">
        <x:f>A680/4</x:f>
        <x:v>169.25</x:v>
      </x:c>
      <x:c r="D680" s="8" t="n">
        <x:f>IF(MOD(A680,4)=0,1,0)</x:f>
        <x:v>0</x:v>
      </x:c>
      <x:c r="E680" s="8" t="n">
        <x:f>IF(AND(F679&lt;=9,AS679&gt;=AR679),1,0)</x:f>
        <x:v>0</x:v>
      </x:c>
      <x:c r="F680" s="8" t="n">
        <x:f>MIN(10,F679+E680)</x:f>
        <x:v>2</x:v>
      </x:c>
      <x:c r="G680" s="8" t="n">
        <x:f>MIN(F680,9)+1</x:f>
        <x:v>3</x:v>
      </x:c>
      <x:c r="H680" s="8" t="n">
        <x:f>IF(F680&lt;=9,1,0)</x:f>
        <x:v>1</x:v>
      </x:c>
      <x:c r="I680" s="9" t="n">
        <x:f>MIN(10,F679+IF(AR679&gt;0,MIN(1,AS679/AR679),1))</x:f>
        <x:v>2.765522249334371</x:v>
      </x:c>
      <x:c r="J680" s="32" t="n">
        <x:f>INDEX(v01_FoodCap,G680)*Arch_FoodCap*EXP(v01_CapsByProject*SUMPRODUCT((Cap_Point&lt;=I680)*(Cap_Kind="Food")*Cap_Ln))</x:f>
        <x:v>60</x:v>
      </x:c>
      <x:c r="K680" s="32" t="n">
        <x:f>J680*MIN(1,v01_LeanBase*EXP(v01_CapsByProject*SUMPRODUCT((Cap_Point&lt;=I680)*(Cap_Kind="Lean")*Cap_Ln)))</x:f>
        <x:v>60</x:v>
      </x:c>
      <x:c r="L680" s="10" t="n">
        <x:f>INDEX(v01_HousingCap,G680)*EXP(v01_CapsByProject*SUMPRODUCT((Cap_Point&lt;=I680)*(Cap_Kind="Housing")*Cap_Ln))</x:f>
        <x:v>100</x:v>
      </x:c>
      <x:c r="M680" s="10" t="n">
        <x:f>INDEX(v01_GroupCap,G680)*v01_CohesionFactor*EXP(v01_CapsByProject*SUMPRODUCT((Cap_Point&lt;=I680)*(Cap_Kind="Group")*Cap_Ln))</x:f>
        <x:v>500</x:v>
      </x:c>
      <x:c r="N680" s="32" t="n">
        <x:f>MIN(J680,L680,M680)</x:f>
        <x:v>60</x:v>
      </x:c>
      <x:c r="O680" s="10" t="n">
        <x:f>AE679*N680</x:f>
        <x:v>300</x:v>
      </x:c>
      <x:c r="P680" s="9" t="n">
        <x:f>MIN(1,(AB679/(AE679*IF(v01_GroupInCrowding=1,N680,MIN(J680,L680))))^v01_CrowdingExp)</x:f>
        <x:v>0.374406807852948</x:v>
      </x:c>
      <x:c r="Q680" s="9" t="n">
        <x:f>IF(D680=1,INDEX(v01_WinterMult,G680),1)</x:f>
        <x:v>1</x:v>
      </x:c>
      <x:c r="R680" s="9" t="n">
        <x:f>H680*Z679*v01_WomenShare*v01_BaseFertility*INDEX(v01_FertMult,G680)*Arch_Fertility*(1-P680)</x:f>
        <x:v>2.8808302714466345</x:v>
      </x:c>
      <x:c r="S680" s="9" t="n">
        <x:f>H680*Y679*INDEX(v01_MortChild,G680)/4*Q680</x:f>
        <x:v>0.909769705618891</x:v>
      </x:c>
      <x:c r="T680" s="9" t="n">
        <x:f>H680*Z679*INDEX(v01_MortAdult,G680)*Arch_AdultMort/4*Q680</x:f>
        <x:v>0.3411079877477508</x:v>
      </x:c>
      <x:c r="U680" s="9" t="n">
        <x:f>H680*AA679*INDEX(v01_MortElder,G680)/4*Q680</x:f>
        <x:v>0.6477388306858406</x:v>
      </x:c>
      <x:c r="V680" s="9" t="n">
        <x:f>H680*MAX(0,AB679-O680)*v01_OvercapLoss</x:f>
        <x:v>0</x:v>
      </x:c>
      <x:c r="W680" s="9" t="n">
        <x:f>H680*Y679/(v01_ChildYears*4)</x:f>
        <x:v>1.8566728686099816</x:v>
      </x:c>
      <x:c r="X680" s="9" t="n">
        <x:f>H680*Z679/(v01_AdultYears*4)</x:f>
        <x:v>0.916956956311158</x:v>
      </x:c>
      <x:c r="Y680" s="32" t="n">
        <x:f>Y679+R680-S680-W680-Y679*V680/AB679</x:f>
        <x:v>104.08806833937675</x:v>
      </x:c>
      <x:c r="Z680" s="32" t="n">
        <x:f>Z679+W680-X680-T680-Z679*V680/AB679</x:f>
        <x:v>114.30127050713467</x:v>
      </x:c>
      <x:c r="AA680" s="32" t="n">
        <x:f>AA679+X680-U680-AA679*V680/AB679</x:f>
        <x:v>37.28286559338764</x:v>
      </x:c>
      <x:c r="AB680" s="10" t="n">
        <x:f>Y680+Z680+AA680</x:f>
        <x:v>255.67220443989905</x:v>
      </x:c>
      <x:c r="AC680" s="8" t="n">
        <x:f>IF(AND(v01_WinterTrigger=1,D680=1,AB679/AE679&gt;=K680),1,0)</x:f>
        <x:v>0</x:v>
      </x:c>
      <x:c r="AD680" s="8" t="n">
        <x:f>H680*IF(AND(OR(AB679/AE679&gt;=v01_FissionTrigger*N680,AC680=1),AB679/AE679*v01_DaughterShare&gt;=v01_MinDaughter),MAX(1,ROUND(AE679*v01_FissionRate,0)),0)</x:f>
        <x:v>0</x:v>
      </x:c>
      <x:c r="AE680" s="8" t="n">
        <x:f>IF(H680=1,MAX(1,MIN(INDEX(v01_Smax,G680),AE679+AD680)),AE679)</x:f>
        <x:v>5</x:v>
      </x:c>
      <x:c r="AF680" s="8" t="n">
        <x:f>MAX(0,AE680-AE679)</x:f>
        <x:v>0</x:v>
      </x:c>
      <x:c r="AG680" s="9" t="str">
        <x:f>IF(AF680&gt;0,B680,"")</x:f>
      </x:c>
      <x:c r="AH680" s="9" t="n">
        <x:f>IF(F680&gt;=1,1,(1+v01_LowTiesShare*(AE680-1))/AE680)</x:f>
        <x:v>1</x:v>
      </x:c>
      <x:c r="AI680" s="32" t="n">
        <x:f>(Z680+v01_ElderCommons*INDEX(LM_Elder,G680)*AA680)*AH680</x:f>
        <x:v>226.14986728729758</x:v>
      </x:c>
      <x:c r="AJ680" s="32" t="n">
        <x:f>H680*v01_CommonsCoef*AI680^v01_CommonsExp*INDEX(LM_Commons,G680)</x:f>
        <x:v>66.1882383523021</x:v>
      </x:c>
      <x:c r="AK680" s="32" t="n">
        <x:f>H680*v01_RoleScale*Arch_Roles*(AE680*(INDEX(v01_ElderRolePerSett,G680)*v01_OutElder*INDEX(LM_Elder,G680)+INDEX(v01_ShamanPerSett,G680)*v01_OutShaman)+Z680*(INDEX(v01_PriestShare,G680)*v01_OutPriest+INDEX(v01_ScribeShare,G680)*v01_OutScribe*INDEX(LM_Scribe,G680)+INDEX(v01_ScholarShare,G680)*v01_OutScholar*INDEX(LM_Scholar,G680)+INDEX(v01_ResearcherShare,G680)*v01_OutResearcher*INDEX(LM_Researcher,G680)))</x:f>
        <x:v>15</x:v>
      </x:c>
      <x:c r="AL680" s="32" t="n">
        <x:f>H680*v01_RoleScale*Arch_Roles*AE680*INDEX(v01_MonasteryPerSett,G680)*v01_OutMonastery*INDEX(LM_Monastery,G680)</x:f>
        <x:v>0</x:v>
      </x:c>
      <x:c r="AM680" s="32" t="n">
        <x:f>(AJ680+AK680+AL680)/4*INDEX(LM_All,G680)*INDEX(v01_Boon,G680)*Arch_Insight</x:f>
        <x:v>21.324598229721847</x:v>
      </x:c>
      <x:c r="AN680" s="32" t="n">
        <x:f>H680*(v01_KHPerAdult*Z680+v01_KHOfCommons*AJ680/4*INDEX(LM_All,G680))*v01_KHUsable*Arch_KH</x:f>
        <x:v>4.000544467749713</x:v>
      </x:c>
      <x:c r="AO680" s="32" t="n">
        <x:f>MIN(AP679+AN680,AM680*v01_KHMaxRatio)</x:f>
        <x:v>4.000544467749713</x:v>
      </x:c>
      <x:c r="AP680" s="32" t="n">
        <x:f>AP679+AN680-AO680</x:f>
        <x:v>0</x:v>
      </x:c>
      <x:c r="AQ680" s="32" t="n">
        <x:f>AM680+AO680</x:f>
        <x:v>25.32514269747156</x:v>
      </x:c>
      <x:c r="AR680" s="10" t="n">
        <x:f>IF(H680=1,INDEX(v01_Req,G680),0)</x:f>
        <x:v>4006.9599999999996</x:v>
      </x:c>
      <x:c r="AS680" s="32" t="n">
        <x:f>IF(H680=1,IF(E680=1,AS679-AR679,AS679)+AQ680,0)</x:f>
        <x:v>3092.742174890324</x:v>
      </x:c>
      <x:c r="AT680" s="11" t="n">
        <x:f>IF(AR680&gt;0,MIN(1,AS680/AR680),1)</x:f>
        <x:v>0.771842537706971</x:v>
      </x:c>
      <x:c r="AU680" s="10" t="n">
        <x:f>AB680/INDEX(v01_RepScale,G680)</x:f>
        <x:v>127.83610221994952</x:v>
      </x:c>
      <x:c r="AV680" s="32" t="n">
        <x:f>AM680*60/v01_SeasonSeconds</x:f>
        <x:v>85.29839291888739</x:v>
      </x:c>
    </x:row>
    <x:row r="681">
      <x:c r="A681" s="8" t="n">
        <x:f>A680+1</x:f>
        <x:v>678</x:v>
      </x:c>
      <x:c r="B681" s="9" t="n">
        <x:f>A681*v01_SeasonSeconds/60</x:f>
        <x:v>169.5</x:v>
      </x:c>
      <x:c r="C681" s="9" t="n">
        <x:f>A681/4</x:f>
        <x:v>169.5</x:v>
      </x:c>
      <x:c r="D681" s="8" t="n">
        <x:f>IF(MOD(A681,4)=0,1,0)</x:f>
        <x:v>0</x:v>
      </x:c>
      <x:c r="E681" s="8" t="n">
        <x:f>IF(AND(F680&lt;=9,AS680&gt;=AR680),1,0)</x:f>
        <x:v>0</x:v>
      </x:c>
      <x:c r="F681" s="8" t="n">
        <x:f>MIN(10,F680+E681)</x:f>
        <x:v>2</x:v>
      </x:c>
      <x:c r="G681" s="8" t="n">
        <x:f>MIN(F681,9)+1</x:f>
        <x:v>3</x:v>
      </x:c>
      <x:c r="H681" s="8" t="n">
        <x:f>IF(F681&lt;=9,1,0)</x:f>
        <x:v>1</x:v>
      </x:c>
      <x:c r="I681" s="9" t="n">
        <x:f>MIN(10,F680+IF(AR680&gt;0,MIN(1,AS680/AR680),1))</x:f>
        <x:v>2.771842537706971</x:v>
      </x:c>
      <x:c r="J681" s="32" t="n">
        <x:f>INDEX(v01_FoodCap,G681)*Arch_FoodCap*EXP(v01_CapsByProject*SUMPRODUCT((Cap_Point&lt;=I681)*(Cap_Kind="Food")*Cap_Ln))</x:f>
        <x:v>60</x:v>
      </x:c>
      <x:c r="K681" s="32" t="n">
        <x:f>J681*MIN(1,v01_LeanBase*EXP(v01_CapsByProject*SUMPRODUCT((Cap_Point&lt;=I681)*(Cap_Kind="Lean")*Cap_Ln)))</x:f>
        <x:v>60</x:v>
      </x:c>
      <x:c r="L681" s="10" t="n">
        <x:f>INDEX(v01_HousingCap,G681)*EXP(v01_CapsByProject*SUMPRODUCT((Cap_Point&lt;=I681)*(Cap_Kind="Housing")*Cap_Ln))</x:f>
        <x:v>100</x:v>
      </x:c>
      <x:c r="M681" s="10" t="n">
        <x:f>INDEX(v01_GroupCap,G681)*v01_CohesionFactor*EXP(v01_CapsByProject*SUMPRODUCT((Cap_Point&lt;=I681)*(Cap_Kind="Group")*Cap_Ln))</x:f>
        <x:v>500</x:v>
      </x:c>
      <x:c r="N681" s="32" t="n">
        <x:f>MIN(J681,L681,M681)</x:f>
        <x:v>60</x:v>
      </x:c>
      <x:c r="O681" s="10" t="n">
        <x:f>AE680*N681</x:f>
        <x:v>300</x:v>
      </x:c>
      <x:c r="P681" s="9" t="n">
        <x:f>MIN(1,(AB680/(AE680*IF(v01_GroupInCrowding=1,N681,MIN(J681,L681))))^v01_CrowdingExp)</x:f>
        <x:v>0.38315417988118267</x:v>
      </x:c>
      <x:c r="Q681" s="9" t="n">
        <x:f>IF(D681=1,INDEX(v01_WinterMult,G681),1)</x:f>
        <x:v>1</x:v>
      </x:c>
      <x:c r="R681" s="9" t="n">
        <x:f>H681*Z680*v01_WomenShare*v01_BaseFertility*INDEX(v01_FertMult,G681)*Arch_Fertility*(1-P681)</x:f>
        <x:v>2.8555035683371495</x:v>
      </x:c>
      <x:c r="S681" s="9" t="n">
        <x:f>H681*Y680*INDEX(v01_MortChild,G681)/4*Q681</x:f>
        <x:v>0.9107705979695466</x:v>
      </x:c>
      <x:c r="T681" s="9" t="n">
        <x:f>H681*Z680*INDEX(v01_MortAdult,G681)*Arch_AdultMort/4*Q681</x:f>
        <x:v>0.34290381152140403</x:v>
      </x:c>
      <x:c r="U681" s="9" t="n">
        <x:f>H681*AA680*INDEX(v01_MortElder,G681)/4*Q681</x:f>
        <x:v>0.6524501478842838</x:v>
      </x:c>
      <x:c r="V681" s="9" t="n">
        <x:f>H681*MAX(0,AB680-O681)*v01_OvercapLoss</x:f>
        <x:v>0</x:v>
      </x:c>
      <x:c r="W681" s="9" t="n">
        <x:f>H681*Y680/(v01_ChildYears*4)</x:f>
        <x:v>1.8587155060602991</x:v>
      </x:c>
      <x:c r="X681" s="9" t="n">
        <x:f>H681*Z680/(v01_AdultYears*4)</x:f>
        <x:v>0.9217844395736667</x:v>
      </x:c>
      <x:c r="Y681" s="32" t="n">
        <x:f>Y680+R681-S681-W681-Y680*V681/AB680</x:f>
        <x:v>104.17408580368406</x:v>
      </x:c>
      <x:c r="Z681" s="32" t="n">
        <x:f>Z680+W681-X681-T681-Z680*V681/AB680</x:f>
        <x:v>114.89529776209989</x:v>
      </x:c>
      <x:c r="AA681" s="32" t="n">
        <x:f>AA680+X681-U681-AA680*V681/AB680</x:f>
        <x:v>37.55219988507702</x:v>
      </x:c>
      <x:c r="AB681" s="10" t="n">
        <x:f>Y681+Z681+AA681</x:f>
        <x:v>256.62158345086095</x:v>
      </x:c>
      <x:c r="AC681" s="8" t="n">
        <x:f>IF(AND(v01_WinterTrigger=1,D681=1,AB680/AE680&gt;=K681),1,0)</x:f>
        <x:v>0</x:v>
      </x:c>
      <x:c r="AD681" s="8" t="n">
        <x:f>H681*IF(AND(OR(AB680/AE680&gt;=v01_FissionTrigger*N681,AC681=1),AB680/AE680*v01_DaughterShare&gt;=v01_MinDaughter),MAX(1,ROUND(AE680*v01_FissionRate,0)),0)</x:f>
        <x:v>2</x:v>
      </x:c>
      <x:c r="AE681" s="8" t="n">
        <x:f>IF(H681=1,MAX(1,MIN(INDEX(v01_Smax,G681),AE680+AD681)),AE680)</x:f>
        <x:v>7</x:v>
      </x:c>
      <x:c r="AF681" s="8" t="n">
        <x:f>MAX(0,AE681-AE680)</x:f>
        <x:v>2</x:v>
      </x:c>
      <x:c r="AG681" s="9" t="n">
        <x:f>IF(AF681&gt;0,B681,"")</x:f>
        <x:v>169.5</x:v>
      </x:c>
      <x:c r="AH681" s="9" t="n">
        <x:f>IF(F681&gt;=1,1,(1+v01_LowTiesShare*(AE681-1))/AE681)</x:f>
        <x:v>1</x:v>
      </x:c>
      <x:c r="AI681" s="32" t="n">
        <x:f>(Z681+v01_ElderCommons*INDEX(LM_Elder,G681)*AA681)*AH681</x:f>
        <x:v>227.55189741733096</x:v>
      </x:c>
      <x:c r="AJ681" s="32" t="n">
        <x:f>H681*v01_CommonsCoef*AI681^v01_CommonsExp*INDEX(LM_Commons,G681)</x:f>
        <x:v>66.53686393760889</x:v>
      </x:c>
      <x:c r="AK681" s="32" t="n">
        <x:f>H681*v01_RoleScale*Arch_Roles*(AE681*(INDEX(v01_ElderRolePerSett,G681)*v01_OutElder*INDEX(LM_Elder,G681)+INDEX(v01_ShamanPerSett,G681)*v01_OutShaman)+Z681*(INDEX(v01_PriestShare,G681)*v01_OutPriest+INDEX(v01_ScribeShare,G681)*v01_OutScribe*INDEX(LM_Scribe,G681)+INDEX(v01_ScholarShare,G681)*v01_OutScholar*INDEX(LM_Scholar,G681)+INDEX(v01_ResearcherShare,G681)*v01_OutResearcher*INDEX(LM_Researcher,G681)))</x:f>
        <x:v>21</x:v>
      </x:c>
      <x:c r="AL681" s="32" t="n">
        <x:f>H681*v01_RoleScale*Arch_Roles*AE681*INDEX(v01_MonasteryPerSett,G681)*v01_OutMonastery*INDEX(LM_Monastery,G681)</x:f>
        <x:v>0</x:v>
      </x:c>
      <x:c r="AM681" s="32" t="n">
        <x:f>(AJ681+AK681+AL681)/4*INDEX(LM_All,G681)*INDEX(v01_Boon,G681)*Arch_Insight</x:f>
        <x:v>22.99210441861258</x:v>
      </x:c>
      <x:c r="AN681" s="32" t="n">
        <x:f>H681*(v01_KHPerAdult*Z681+v01_KHOfCommons*AJ681/4*INDEX(LM_All,G681))*v01_KHUsable*Arch_KH</x:f>
        <x:v>4.021335421673496</x:v>
      </x:c>
      <x:c r="AO681" s="32" t="n">
        <x:f>MIN(AP680+AN681,AM681*v01_KHMaxRatio)</x:f>
        <x:v>4.021335421673496</x:v>
      </x:c>
      <x:c r="AP681" s="32" t="n">
        <x:f>AP680+AN681-AO681</x:f>
        <x:v>0</x:v>
      </x:c>
      <x:c r="AQ681" s="32" t="n">
        <x:f>AM681+AO681</x:f>
        <x:v>27.013439840286075</x:v>
      </x:c>
      <x:c r="AR681" s="10" t="n">
        <x:f>IF(H681=1,INDEX(v01_Req,G681),0)</x:f>
        <x:v>4006.9599999999996</x:v>
      </x:c>
      <x:c r="AS681" s="32" t="n">
        <x:f>IF(H681=1,IF(E681=1,AS680-AR680,AS680)+AQ681,0)</x:f>
        <x:v>3119.75561473061</x:v>
      </x:c>
      <x:c r="AT681" s="11" t="n">
        <x:f>IF(AR681&gt;0,MIN(1,AS681/AR681),1)</x:f>
        <x:v>0.7785841672316695</x:v>
      </x:c>
      <x:c r="AU681" s="10" t="n">
        <x:f>AB681/INDEX(v01_RepScale,G681)</x:f>
        <x:v>128.31079172543048</x:v>
      </x:c>
      <x:c r="AV681" s="32" t="n">
        <x:f>AM681*60/v01_SeasonSeconds</x:f>
        <x:v>91.96841767445032</x:v>
      </x:c>
    </x:row>
    <x:row r="682">
      <x:c r="A682" s="8" t="n">
        <x:f>A681+1</x:f>
        <x:v>679</x:v>
      </x:c>
      <x:c r="B682" s="9" t="n">
        <x:f>A682*v01_SeasonSeconds/60</x:f>
        <x:v>169.75</x:v>
      </x:c>
      <x:c r="C682" s="9" t="n">
        <x:f>A682/4</x:f>
        <x:v>169.75</x:v>
      </x:c>
      <x:c r="D682" s="8" t="n">
        <x:f>IF(MOD(A682,4)=0,1,0)</x:f>
        <x:v>0</x:v>
      </x:c>
      <x:c r="E682" s="8" t="n">
        <x:f>IF(AND(F681&lt;=9,AS681&gt;=AR681),1,0)</x:f>
        <x:v>0</x:v>
      </x:c>
      <x:c r="F682" s="8" t="n">
        <x:f>MIN(10,F681+E682)</x:f>
        <x:v>2</x:v>
      </x:c>
      <x:c r="G682" s="8" t="n">
        <x:f>MIN(F682,9)+1</x:f>
        <x:v>3</x:v>
      </x:c>
      <x:c r="H682" s="8" t="n">
        <x:f>IF(F682&lt;=9,1,0)</x:f>
        <x:v>1</x:v>
      </x:c>
      <x:c r="I682" s="9" t="n">
        <x:f>MIN(10,F681+IF(AR681&gt;0,MIN(1,AS681/AR681),1))</x:f>
        <x:v>2.7785841672316693</x:v>
      </x:c>
      <x:c r="J682" s="32" t="n">
        <x:f>INDEX(v01_FoodCap,G682)*Arch_FoodCap*EXP(v01_CapsByProject*SUMPRODUCT((Cap_Point&lt;=I682)*(Cap_Kind="Food")*Cap_Ln))</x:f>
        <x:v>60</x:v>
      </x:c>
      <x:c r="K682" s="32" t="n">
        <x:f>J682*MIN(1,v01_LeanBase*EXP(v01_CapsByProject*SUMPRODUCT((Cap_Point&lt;=I682)*(Cap_Kind="Lean")*Cap_Ln)))</x:f>
        <x:v>60</x:v>
      </x:c>
      <x:c r="L682" s="10" t="n">
        <x:f>INDEX(v01_HousingCap,G682)*EXP(v01_CapsByProject*SUMPRODUCT((Cap_Point&lt;=I682)*(Cap_Kind="Housing")*Cap_Ln))</x:f>
        <x:v>100</x:v>
      </x:c>
      <x:c r="M682" s="10" t="n">
        <x:f>INDEX(v01_GroupCap,G682)*v01_CohesionFactor*EXP(v01_CapsByProject*SUMPRODUCT((Cap_Point&lt;=I682)*(Cap_Kind="Group")*Cap_Ln))</x:f>
        <x:v>500</x:v>
      </x:c>
      <x:c r="N682" s="32" t="n">
        <x:f>MIN(J682,L682,M682)</x:f>
        <x:v>60</x:v>
      </x:c>
      <x:c r="O682" s="10" t="n">
        <x:f>AE681*N682</x:f>
        <x:v>420</x:v>
      </x:c>
      <x:c r="P682" s="9" t="n">
        <x:f>MIN(1,(AB681/(AE681*IF(v01_GroupInCrowding=1,N682,MIN(J682,L682))))^v01_CrowdingExp)</x:f>
        <x:v>0.052031139842447935</x:v>
      </x:c>
      <x:c r="Q682" s="9" t="n">
        <x:f>IF(D682=1,INDEX(v01_WinterMult,G682),1)</x:f>
        <x:v>1</x:v>
      </x:c>
      <x:c r="R682" s="9" t="n">
        <x:f>H682*Z681*v01_WomenShare*v01_BaseFertility*INDEX(v01_FertMult,G682)*Arch_Fertility*(1-P682)</x:f>
        <x:v>4.411145160508515</x:v>
      </x:c>
      <x:c r="S682" s="9" t="n">
        <x:f>H682*Y681*INDEX(v01_MortChild,G682)/4*Q682</x:f>
        <x:v>0.9115232507822356</x:v>
      </x:c>
      <x:c r="T682" s="9" t="n">
        <x:f>H682*Z681*INDEX(v01_MortAdult,G682)*Arch_AdultMort/4*Q682</x:f>
        <x:v>0.34468589328629967</x:v>
      </x:c>
      <x:c r="U682" s="9" t="n">
        <x:f>H682*AA681*INDEX(v01_MortElder,G682)/4*Q682</x:f>
        <x:v>0.657163497988848</x:v>
      </x:c>
      <x:c r="V682" s="9" t="n">
        <x:f>H682*MAX(0,AB681-O682)*v01_OvercapLoss</x:f>
        <x:v>0</x:v>
      </x:c>
      <x:c r="W682" s="9" t="n">
        <x:f>H682*Y681/(v01_ChildYears*4)</x:f>
        <x:v>1.860251532208644</x:v>
      </x:c>
      <x:c r="X682" s="9" t="n">
        <x:f>H682*Z681/(v01_AdultYears*4)</x:f>
        <x:v>0.9265749819524184</x:v>
      </x:c>
      <x:c r="Y682" s="32" t="n">
        <x:f>Y681+R682-S682-W682-Y681*V682/AB681</x:f>
        <x:v>105.81345618120169</x:v>
      </x:c>
      <x:c r="Z682" s="32" t="n">
        <x:f>Z681+W682-X682-T682-Z681*V682/AB681</x:f>
        <x:v>115.48428841906983</x:v>
      </x:c>
      <x:c r="AA682" s="32" t="n">
        <x:f>AA681+X682-U682-AA681*V682/AB681</x:f>
        <x:v>37.821611369040596</x:v>
      </x:c>
      <x:c r="AB682" s="10" t="n">
        <x:f>Y682+Z682+AA682</x:f>
        <x:v>259.1193559693121</x:v>
      </x:c>
      <x:c r="AC682" s="8" t="n">
        <x:f>IF(AND(v01_WinterTrigger=1,D682=1,AB681/AE681&gt;=K682),1,0)</x:f>
        <x:v>0</x:v>
      </x:c>
      <x:c r="AD682" s="8" t="n">
        <x:f>H682*IF(AND(OR(AB681/AE681&gt;=v01_FissionTrigger*N682,AC682=1),AB681/AE681*v01_DaughterShare&gt;=v01_MinDaughter),MAX(1,ROUND(AE681*v01_FissionRate,0)),0)</x:f>
        <x:v>0</x:v>
      </x:c>
      <x:c r="AE682" s="8" t="n">
        <x:f>IF(H682=1,MAX(1,MIN(INDEX(v01_Smax,G682),AE681+AD682)),AE681)</x:f>
        <x:v>7</x:v>
      </x:c>
      <x:c r="AF682" s="8" t="n">
        <x:f>MAX(0,AE682-AE681)</x:f>
        <x:v>0</x:v>
      </x:c>
      <x:c r="AG682" s="9" t="str">
        <x:f>IF(AF682&gt;0,B682,"")</x:f>
      </x:c>
      <x:c r="AH682" s="9" t="n">
        <x:f>IF(F682&gt;=1,1,(1+v01_LowTiesShare*(AE682-1))/AE682)</x:f>
        <x:v>1</x:v>
      </x:c>
      <x:c r="AI682" s="32" t="n">
        <x:f>(Z682+v01_ElderCommons*INDEX(LM_Elder,G682)*AA682)*AH682</x:f>
        <x:v>228.94912252619162</x:v>
      </x:c>
      <x:c r="AJ682" s="32" t="n">
        <x:f>H682*v01_CommonsCoef*AI682^v01_CommonsExp*INDEX(LM_Commons,G682)</x:f>
        <x:v>66.88397431381773</x:v>
      </x:c>
      <x:c r="AK682" s="32" t="n">
        <x:f>H682*v01_RoleScale*Arch_Roles*(AE682*(INDEX(v01_ElderRolePerSett,G682)*v01_OutElder*INDEX(LM_Elder,G682)+INDEX(v01_ShamanPerSett,G682)*v01_OutShaman)+Z682*(INDEX(v01_PriestShare,G682)*v01_OutPriest+INDEX(v01_ScribeShare,G682)*v01_OutScribe*INDEX(LM_Scribe,G682)+INDEX(v01_ScholarShare,G682)*v01_OutScholar*INDEX(LM_Scholar,G682)+INDEX(v01_ResearcherShare,G682)*v01_OutResearcher*INDEX(LM_Researcher,G682)))</x:f>
        <x:v>21</x:v>
      </x:c>
      <x:c r="AL682" s="32" t="n">
        <x:f>H682*v01_RoleScale*Arch_Roles*AE682*INDEX(v01_MonasteryPerSett,G682)*v01_OutMonastery*INDEX(LM_Monastery,G682)</x:f>
        <x:v>0</x:v>
      </x:c>
      <x:c r="AM682" s="32" t="n">
        <x:f>(AJ682+AK682+AL682)/4*INDEX(LM_All,G682)*INDEX(v01_Boon,G682)*Arch_Insight</x:f>
        <x:v>23.083275128363688</x:v>
      </x:c>
      <x:c r="AN682" s="32" t="n">
        <x:f>H682*(v01_KHPerAdult*Z682+v01_KHOfCommons*AJ682/4*INDEX(LM_All,G682))*v01_KHUsable*Arch_KH</x:f>
        <x:v>4.041950094667444</x:v>
      </x:c>
      <x:c r="AO682" s="32" t="n">
        <x:f>MIN(AP681+AN682,AM682*v01_KHMaxRatio)</x:f>
        <x:v>4.041950094667444</x:v>
      </x:c>
      <x:c r="AP682" s="32" t="n">
        <x:f>AP681+AN682-AO682</x:f>
        <x:v>0</x:v>
      </x:c>
      <x:c r="AQ682" s="32" t="n">
        <x:f>AM682+AO682</x:f>
        <x:v>27.12522522303113</x:v>
      </x:c>
      <x:c r="AR682" s="10" t="n">
        <x:f>IF(H682=1,INDEX(v01_Req,G682),0)</x:f>
        <x:v>4006.9599999999996</x:v>
      </x:c>
      <x:c r="AS682" s="32" t="n">
        <x:f>IF(H682=1,IF(E682=1,AS681-AR681,AS681)+AQ682,0)</x:f>
        <x:v>3146.880839953641</x:v>
      </x:c>
      <x:c r="AT682" s="11" t="n">
        <x:f>IF(AR682&gt;0,MIN(1,AS682/AR682),1)</x:f>
        <x:v>0.7853536945598761</x:v>
      </x:c>
      <x:c r="AU682" s="10" t="n">
        <x:f>AB682/INDEX(v01_RepScale,G682)</x:f>
        <x:v>129.55967798465605</x:v>
      </x:c>
      <x:c r="AV682" s="32" t="n">
        <x:f>AM682*60/v01_SeasonSeconds</x:f>
        <x:v>92.33310051345475</x:v>
      </x:c>
    </x:row>
    <x:row r="683">
      <x:c r="A683" s="8" t="n">
        <x:f>A682+1</x:f>
        <x:v>680</x:v>
      </x:c>
      <x:c r="B683" s="9" t="n">
        <x:f>A683*v01_SeasonSeconds/60</x:f>
        <x:v>170</x:v>
      </x:c>
      <x:c r="C683" s="9" t="n">
        <x:f>A683/4</x:f>
        <x:v>170</x:v>
      </x:c>
      <x:c r="D683" s="8" t="n">
        <x:f>IF(MOD(A683,4)=0,1,0)</x:f>
        <x:v>1</x:v>
      </x:c>
      <x:c r="E683" s="8" t="n">
        <x:f>IF(AND(F682&lt;=9,AS682&gt;=AR682),1,0)</x:f>
        <x:v>0</x:v>
      </x:c>
      <x:c r="F683" s="8" t="n">
        <x:f>MIN(10,F682+E683)</x:f>
        <x:v>2</x:v>
      </x:c>
      <x:c r="G683" s="8" t="n">
        <x:f>MIN(F683,9)+1</x:f>
        <x:v>3</x:v>
      </x:c>
      <x:c r="H683" s="8" t="n">
        <x:f>IF(F683&lt;=9,1,0)</x:f>
        <x:v>1</x:v>
      </x:c>
      <x:c r="I683" s="9" t="n">
        <x:f>MIN(10,F682+IF(AR682&gt;0,MIN(1,AS682/AR682),1))</x:f>
        <x:v>2.785353694559876</x:v>
      </x:c>
      <x:c r="J683" s="32" t="n">
        <x:f>INDEX(v01_FoodCap,G683)*Arch_FoodCap*EXP(v01_CapsByProject*SUMPRODUCT((Cap_Point&lt;=I683)*(Cap_Kind="Food")*Cap_Ln))</x:f>
        <x:v>60</x:v>
      </x:c>
      <x:c r="K683" s="32" t="n">
        <x:f>J683*MIN(1,v01_LeanBase*EXP(v01_CapsByProject*SUMPRODUCT((Cap_Point&lt;=I683)*(Cap_Kind="Lean")*Cap_Ln)))</x:f>
        <x:v>60</x:v>
      </x:c>
      <x:c r="L683" s="10" t="n">
        <x:f>INDEX(v01_HousingCap,G683)*EXP(v01_CapsByProject*SUMPRODUCT((Cap_Point&lt;=I683)*(Cap_Kind="Housing")*Cap_Ln))</x:f>
        <x:v>100</x:v>
      </x:c>
      <x:c r="M683" s="10" t="n">
        <x:f>INDEX(v01_GroupCap,G683)*v01_CohesionFactor*EXP(v01_CapsByProject*SUMPRODUCT((Cap_Point&lt;=I683)*(Cap_Kind="Group")*Cap_Ln))</x:f>
        <x:v>500</x:v>
      </x:c>
      <x:c r="N683" s="32" t="n">
        <x:f>MIN(J683,L683,M683)</x:f>
        <x:v>60</x:v>
      </x:c>
      <x:c r="O683" s="10" t="n">
        <x:f>AE682*N683</x:f>
        <x:v>420</x:v>
      </x:c>
      <x:c r="P683" s="9" t="n">
        <x:f>MIN(1,(AB682/(AE682*IF(v01_GroupInCrowding=1,N683,MIN(J683,L683))))^v01_CrowdingExp)</x:f>
        <x:v>0.055144650822909605</x:v>
      </x:c>
      <x:c r="Q683" s="9" t="n">
        <x:f>IF(D683=1,INDEX(v01_WinterMult,G683),1)</x:f>
        <x:v>1.3</x:v>
      </x:c>
      <x:c r="R683" s="9" t="n">
        <x:f>H683*Z682*v01_WomenShare*v01_BaseFertility*INDEX(v01_FertMult,G683)*Arch_Fertility*(1-P683)</x:f>
        <x:v>4.419195880176055</x:v>
      </x:c>
      <x:c r="S683" s="9" t="n">
        <x:f>H683*Y682*INDEX(v01_MortChild,G683)/4*Q683</x:f>
        <x:v>1.2036280640611694</x:v>
      </x:c>
      <x:c r="T683" s="9" t="n">
        <x:f>H683*Z682*INDEX(v01_MortAdult,G683)*Arch_AdultMort/4*Q683</x:f>
        <x:v>0.4503887248343723</x:v>
      </x:c>
      <x:c r="U683" s="9" t="n">
        <x:f>H683*AA682*INDEX(v01_MortElder,G683)/4*Q683</x:f>
        <x:v>0.8604416586456737</x:v>
      </x:c>
      <x:c r="V683" s="9" t="n">
        <x:f>H683*MAX(0,AB682-O683)*v01_OvercapLoss</x:f>
        <x:v>0</x:v>
      </x:c>
      <x:c r="W683" s="9" t="n">
        <x:f>H683*Y682/(v01_ChildYears*4)</x:f>
        <x:v>1.8895260032357444</x:v>
      </x:c>
      <x:c r="X683" s="9" t="n">
        <x:f>H683*Z682/(v01_AdultYears*4)</x:f>
        <x:v>0.9313249066054018</x:v>
      </x:c>
      <x:c r="Y683" s="32" t="n">
        <x:f>Y682+R683-S683-W683-Y682*V683/AB682</x:f>
        <x:v>107.13949799408083</x:v>
      </x:c>
      <x:c r="Z683" s="32" t="n">
        <x:f>Z682+W683-X683-T683-Z682*V683/AB682</x:f>
        <x:v>115.9921007908658</x:v>
      </x:c>
      <x:c r="AA683" s="32" t="n">
        <x:f>AA682+X683-U683-AA682*V683/AB682</x:f>
        <x:v>37.892494617000324</x:v>
      </x:c>
      <x:c r="AB683" s="10" t="n">
        <x:f>Y683+Z683+AA683</x:f>
        <x:v>261.02409340194697</x:v>
      </x:c>
      <x:c r="AC683" s="8" t="n">
        <x:f>IF(AND(v01_WinterTrigger=1,D683=1,AB682/AE682&gt;=K683),1,0)</x:f>
        <x:v>0</x:v>
      </x:c>
      <x:c r="AD683" s="8" t="n">
        <x:f>H683*IF(AND(OR(AB682/AE682&gt;=v01_FissionTrigger*N683,AC683=1),AB682/AE682*v01_DaughterShare&gt;=v01_MinDaughter),MAX(1,ROUND(AE682*v01_FissionRate,0)),0)</x:f>
        <x:v>0</x:v>
      </x:c>
      <x:c r="AE683" s="8" t="n">
        <x:f>IF(H683=1,MAX(1,MIN(INDEX(v01_Smax,G683),AE682+AD683)),AE682)</x:f>
        <x:v>7</x:v>
      </x:c>
      <x:c r="AF683" s="8" t="n">
        <x:f>MAX(0,AE683-AE682)</x:f>
        <x:v>0</x:v>
      </x:c>
      <x:c r="AG683" s="9" t="str">
        <x:f>IF(AF683&gt;0,B683,"")</x:f>
      </x:c>
      <x:c r="AH683" s="9" t="n">
        <x:f>IF(F683&gt;=1,1,(1+v01_LowTiesShare*(AE683-1))/AE683)</x:f>
        <x:v>1</x:v>
      </x:c>
      <x:c r="AI683" s="32" t="n">
        <x:f>(Z683+v01_ElderCommons*INDEX(LM_Elder,G683)*AA683)*AH683</x:f>
        <x:v>229.66958464186678</x:v>
      </x:c>
      <x:c r="AJ683" s="32" t="n">
        <x:f>H683*v01_CommonsCoef*AI683^v01_CommonsExp*INDEX(LM_Commons,G683)</x:f>
        <x:v>67.06283330449324</x:v>
      </x:c>
      <x:c r="AK683" s="32" t="n">
        <x:f>H683*v01_RoleScale*Arch_Roles*(AE683*(INDEX(v01_ElderRolePerSett,G683)*v01_OutElder*INDEX(LM_Elder,G683)+INDEX(v01_ShamanPerSett,G683)*v01_OutShaman)+Z683*(INDEX(v01_PriestShare,G683)*v01_OutPriest+INDEX(v01_ScribeShare,G683)*v01_OutScribe*INDEX(LM_Scribe,G683)+INDEX(v01_ScholarShare,G683)*v01_OutScholar*INDEX(LM_Scholar,G683)+INDEX(v01_ResearcherShare,G683)*v01_OutResearcher*INDEX(LM_Researcher,G683)))</x:f>
        <x:v>21</x:v>
      </x:c>
      <x:c r="AL683" s="32" t="n">
        <x:f>H683*v01_RoleScale*Arch_Roles*AE683*INDEX(v01_MonasteryPerSett,G683)*v01_OutMonastery*INDEX(LM_Monastery,G683)</x:f>
        <x:v>0</x:v>
      </x:c>
      <x:c r="AM683" s="32" t="n">
        <x:f>(AJ683+AK683+AL683)/4*INDEX(LM_All,G683)*INDEX(v01_Boon,G683)*Arch_Insight</x:f>
        <x:v>23.1302535601333</x:v>
      </x:c>
      <x:c r="AN683" s="32" t="n">
        <x:f>H683*(v01_KHPerAdult*Z683+v01_KHOfCommons*AJ683/4*INDEX(LM_All,G683))*v01_KHUsable*Arch_KH</x:f>
        <x:v>4.059723527680304</x:v>
      </x:c>
      <x:c r="AO683" s="32" t="n">
        <x:f>MIN(AP682+AN683,AM683*v01_KHMaxRatio)</x:f>
        <x:v>4.059723527680304</x:v>
      </x:c>
      <x:c r="AP683" s="32" t="n">
        <x:f>AP682+AN683-AO683</x:f>
        <x:v>0</x:v>
      </x:c>
      <x:c r="AQ683" s="32" t="n">
        <x:f>AM683+AO683</x:f>
        <x:v>27.189977087813606</x:v>
      </x:c>
      <x:c r="AR683" s="10" t="n">
        <x:f>IF(H683=1,INDEX(v01_Req,G683),0)</x:f>
        <x:v>4006.9599999999996</x:v>
      </x:c>
      <x:c r="AS683" s="32" t="n">
        <x:f>IF(H683=1,IF(E683=1,AS682-AR682,AS682)+AQ683,0)</x:f>
        <x:v>3174.0708170414546</x:v>
      </x:c>
      <x:c r="AT683" s="11" t="n">
        <x:f>IF(AR683&gt;0,MIN(1,AS683/AR683),1)</x:f>
        <x:v>0.7921393817361428</x:v>
      </x:c>
      <x:c r="AU683" s="10" t="n">
        <x:f>AB683/INDEX(v01_RepScale,G683)</x:f>
        <x:v>130.51204670097349</x:v>
      </x:c>
      <x:c r="AV683" s="32" t="n">
        <x:f>AM683*60/v01_SeasonSeconds</x:f>
        <x:v>92.5210142405332</x:v>
      </x:c>
    </x:row>
    <x:row r="684">
      <x:c r="A684" s="8" t="n">
        <x:f>A683+1</x:f>
        <x:v>681</x:v>
      </x:c>
      <x:c r="B684" s="9" t="n">
        <x:f>A684*v01_SeasonSeconds/60</x:f>
        <x:v>170.25</x:v>
      </x:c>
      <x:c r="C684" s="9" t="n">
        <x:f>A684/4</x:f>
        <x:v>170.25</x:v>
      </x:c>
      <x:c r="D684" s="8" t="n">
        <x:f>IF(MOD(A684,4)=0,1,0)</x:f>
        <x:v>0</x:v>
      </x:c>
      <x:c r="E684" s="8" t="n">
        <x:f>IF(AND(F683&lt;=9,AS683&gt;=AR683),1,0)</x:f>
        <x:v>0</x:v>
      </x:c>
      <x:c r="F684" s="8" t="n">
        <x:f>MIN(10,F683+E684)</x:f>
        <x:v>2</x:v>
      </x:c>
      <x:c r="G684" s="8" t="n">
        <x:f>MIN(F684,9)+1</x:f>
        <x:v>3</x:v>
      </x:c>
      <x:c r="H684" s="8" t="n">
        <x:f>IF(F684&lt;=9,1,0)</x:f>
        <x:v>1</x:v>
      </x:c>
      <x:c r="I684" s="9" t="n">
        <x:f>MIN(10,F683+IF(AR683&gt;0,MIN(1,AS683/AR683),1))</x:f>
        <x:v>2.792139381736143</x:v>
      </x:c>
      <x:c r="J684" s="32" t="n">
        <x:f>INDEX(v01_FoodCap,G684)*Arch_FoodCap*EXP(v01_CapsByProject*SUMPRODUCT((Cap_Point&lt;=I684)*(Cap_Kind="Food")*Cap_Ln))</x:f>
        <x:v>60</x:v>
      </x:c>
      <x:c r="K684" s="32" t="n">
        <x:f>J684*MIN(1,v01_LeanBase*EXP(v01_CapsByProject*SUMPRODUCT((Cap_Point&lt;=I684)*(Cap_Kind="Lean")*Cap_Ln)))</x:f>
        <x:v>60</x:v>
      </x:c>
      <x:c r="L684" s="10" t="n">
        <x:f>INDEX(v01_HousingCap,G684)*EXP(v01_CapsByProject*SUMPRODUCT((Cap_Point&lt;=I684)*(Cap_Kind="Housing")*Cap_Ln))</x:f>
        <x:v>100</x:v>
      </x:c>
      <x:c r="M684" s="10" t="n">
        <x:f>INDEX(v01_GroupCap,G684)*v01_CohesionFactor*EXP(v01_CapsByProject*SUMPRODUCT((Cap_Point&lt;=I684)*(Cap_Kind="Group")*Cap_Ln))</x:f>
        <x:v>500</x:v>
      </x:c>
      <x:c r="N684" s="32" t="n">
        <x:f>MIN(J684,L684,M684)</x:f>
        <x:v>60</x:v>
      </x:c>
      <x:c r="O684" s="10" t="n">
        <x:f>AE683*N684</x:f>
        <x:v>420</x:v>
      </x:c>
      <x:c r="P684" s="9" t="n">
        <x:f>MIN(1,(AB683/(AE683*IF(v01_GroupInCrowding=1,N684,MIN(J684,L684))))^v01_CrowdingExp)</x:f>
        <x:v>0.05762193441329299</x:v>
      </x:c>
      <x:c r="Q684" s="9" t="n">
        <x:f>IF(D684=1,INDEX(v01_WinterMult,G684),1)</x:f>
        <x:v>1</x:v>
      </x:c>
      <x:c r="R684" s="9" t="n">
        <x:f>H684*Z683*v01_WomenShare*v01_BaseFertility*INDEX(v01_FertMult,G684)*Arch_Fertility*(1-P684)</x:f>
        <x:v>4.426990668448696</x:v>
      </x:c>
      <x:c r="S684" s="9" t="n">
        <x:f>H684*Y683*INDEX(v01_MortChild,G684)/4*Q684</x:f>
        <x:v>0.9374706074482073</x:v>
      </x:c>
      <x:c r="T684" s="9" t="n">
        <x:f>H684*Z683*INDEX(v01_MortAdult,G684)*Arch_AdultMort/4*Q684</x:f>
        <x:v>0.3479763023725974</x:v>
      </x:c>
      <x:c r="U684" s="9" t="n">
        <x:f>H684*AA683*INDEX(v01_MortElder,G684)/4*Q684</x:f>
        <x:v>0.6631186557975057</x:v>
      </x:c>
      <x:c r="V684" s="9" t="n">
        <x:f>H684*MAX(0,AB683-O684)*v01_OvercapLoss</x:f>
        <x:v>0</x:v>
      </x:c>
      <x:c r="W684" s="9" t="n">
        <x:f>H684*Y683/(v01_ChildYears*4)</x:f>
        <x:v>1.913205321322872</x:v>
      </x:c>
      <x:c r="X684" s="9" t="n">
        <x:f>H684*Z683/(v01_AdultYears*4)</x:f>
        <x:v>0.9354201676682726</x:v>
      </x:c>
      <x:c r="Y684" s="32" t="n">
        <x:f>Y683+R684-S684-W684-Y683*V684/AB683</x:f>
        <x:v>108.71581273375844</x:v>
      </x:c>
      <x:c r="Z684" s="32" t="n">
        <x:f>Z683+W684-X684-T684-Z683*V684/AB683</x:f>
        <x:v>116.62190964214781</x:v>
      </x:c>
      <x:c r="AA684" s="32" t="n">
        <x:f>AA683+X684-U684-AA683*V684/AB683</x:f>
        <x:v>38.16479612887109</x:v>
      </x:c>
      <x:c r="AB684" s="10" t="n">
        <x:f>Y684+Z684+AA684</x:f>
        <x:v>263.50251850477736</x:v>
      </x:c>
      <x:c r="AC684" s="8" t="n">
        <x:f>IF(AND(v01_WinterTrigger=1,D684=1,AB683/AE683&gt;=K684),1,0)</x:f>
        <x:v>0</x:v>
      </x:c>
      <x:c r="AD684" s="8" t="n">
        <x:f>H684*IF(AND(OR(AB683/AE683&gt;=v01_FissionTrigger*N684,AC684=1),AB683/AE683*v01_DaughterShare&gt;=v01_MinDaughter),MAX(1,ROUND(AE683*v01_FissionRate,0)),0)</x:f>
        <x:v>0</x:v>
      </x:c>
      <x:c r="AE684" s="8" t="n">
        <x:f>IF(H684=1,MAX(1,MIN(INDEX(v01_Smax,G684),AE683+AD684)),AE683)</x:f>
        <x:v>7</x:v>
      </x:c>
      <x:c r="AF684" s="8" t="n">
        <x:f>MAX(0,AE684-AE683)</x:f>
        <x:v>0</x:v>
      </x:c>
      <x:c r="AG684" s="9" t="str">
        <x:f>IF(AF684&gt;0,B684,"")</x:f>
      </x:c>
      <x:c r="AH684" s="9" t="n">
        <x:f>IF(F684&gt;=1,1,(1+v01_LowTiesShare*(AE684-1))/AE684)</x:f>
        <x:v>1</x:v>
      </x:c>
      <x:c r="AI684" s="32" t="n">
        <x:f>(Z684+v01_ElderCommons*INDEX(LM_Elder,G684)*AA684)*AH684</x:f>
        <x:v>231.1162980287611</x:v>
      </x:c>
      <x:c r="AJ684" s="32" t="n">
        <x:f>H684*v01_CommonsCoef*AI684^v01_CommonsExp*INDEX(LM_Commons,G684)</x:f>
        <x:v>67.42173466868047</x:v>
      </x:c>
      <x:c r="AK684" s="32" t="n">
        <x:f>H684*v01_RoleScale*Arch_Roles*(AE684*(INDEX(v01_ElderRolePerSett,G684)*v01_OutElder*INDEX(LM_Elder,G684)+INDEX(v01_ShamanPerSett,G684)*v01_OutShaman)+Z684*(INDEX(v01_PriestShare,G684)*v01_OutPriest+INDEX(v01_ScribeShare,G684)*v01_OutScribe*INDEX(LM_Scribe,G684)+INDEX(v01_ScholarShare,G684)*v01_OutScholar*INDEX(LM_Scholar,G684)+INDEX(v01_ResearcherShare,G684)*v01_OutResearcher*INDEX(LM_Researcher,G684)))</x:f>
        <x:v>21</x:v>
      </x:c>
      <x:c r="AL684" s="32" t="n">
        <x:f>H684*v01_RoleScale*Arch_Roles*AE684*INDEX(v01_MonasteryPerSett,G684)*v01_OutMonastery*INDEX(LM_Monastery,G684)</x:f>
        <x:v>0</x:v>
      </x:c>
      <x:c r="AM684" s="32" t="n">
        <x:f>(AJ684+AK684+AL684)/4*INDEX(LM_All,G684)*INDEX(v01_Boon,G684)*Arch_Insight</x:f>
        <x:v>23.224521246570603</x:v>
      </x:c>
      <x:c r="AN684" s="32" t="n">
        <x:f>H684*(v01_KHPerAdult*Z684+v01_KHOfCommons*AJ684/4*INDEX(LM_All,G684))*v01_KHUsable*Arch_KH</x:f>
        <x:v>4.081766837475174</x:v>
      </x:c>
      <x:c r="AO684" s="32" t="n">
        <x:f>MIN(AP683+AN684,AM684*v01_KHMaxRatio)</x:f>
        <x:v>4.081766837475174</x:v>
      </x:c>
      <x:c r="AP684" s="32" t="n">
        <x:f>AP683+AN684-AO684</x:f>
        <x:v>0</x:v>
      </x:c>
      <x:c r="AQ684" s="32" t="n">
        <x:f>AM684+AO684</x:f>
        <x:v>27.306288084045775</x:v>
      </x:c>
      <x:c r="AR684" s="10" t="n">
        <x:f>IF(H684=1,INDEX(v01_Req,G684),0)</x:f>
        <x:v>4006.9599999999996</x:v>
      </x:c>
      <x:c r="AS684" s="32" t="n">
        <x:f>IF(H684=1,IF(E684=1,AS683-AR683,AS683)+AQ684,0)</x:f>
        <x:v>3201.3771051255003</x:v>
      </x:c>
      <x:c r="AT684" s="11" t="n">
        <x:f>IF(AR684&gt;0,MIN(1,AS684/AR684),1)</x:f>
        <x:v>0.7989540961540671</x:v>
      </x:c>
      <x:c r="AU684" s="10" t="n">
        <x:f>AB684/INDEX(v01_RepScale,G684)</x:f>
        <x:v>131.75125925238868</x:v>
      </x:c>
      <x:c r="AV684" s="32" t="n">
        <x:f>AM684*60/v01_SeasonSeconds</x:f>
        <x:v>92.89808498628241</x:v>
      </x:c>
    </x:row>
    <x:row r="685">
      <x:c r="A685" s="8" t="n">
        <x:f>A684+1</x:f>
        <x:v>682</x:v>
      </x:c>
      <x:c r="B685" s="9" t="n">
        <x:f>A685*v01_SeasonSeconds/60</x:f>
        <x:v>170.5</x:v>
      </x:c>
      <x:c r="C685" s="9" t="n">
        <x:f>A685/4</x:f>
        <x:v>170.5</x:v>
      </x:c>
      <x:c r="D685" s="8" t="n">
        <x:f>IF(MOD(A685,4)=0,1,0)</x:f>
        <x:v>0</x:v>
      </x:c>
      <x:c r="E685" s="8" t="n">
        <x:f>IF(AND(F684&lt;=9,AS684&gt;=AR684),1,0)</x:f>
        <x:v>0</x:v>
      </x:c>
      <x:c r="F685" s="8" t="n">
        <x:f>MIN(10,F684+E685)</x:f>
        <x:v>2</x:v>
      </x:c>
      <x:c r="G685" s="8" t="n">
        <x:f>MIN(F685,9)+1</x:f>
        <x:v>3</x:v>
      </x:c>
      <x:c r="H685" s="8" t="n">
        <x:f>IF(F685&lt;=9,1,0)</x:f>
        <x:v>1</x:v>
      </x:c>
      <x:c r="I685" s="9" t="n">
        <x:f>MIN(10,F684+IF(AR684&gt;0,MIN(1,AS684/AR684),1))</x:f>
        <x:v>2.798954096154067</x:v>
      </x:c>
      <x:c r="J685" s="32" t="n">
        <x:f>INDEX(v01_FoodCap,G685)*Arch_FoodCap*EXP(v01_CapsByProject*SUMPRODUCT((Cap_Point&lt;=I685)*(Cap_Kind="Food")*Cap_Ln))</x:f>
        <x:v>60</x:v>
      </x:c>
      <x:c r="K685" s="32" t="n">
        <x:f>J685*MIN(1,v01_LeanBase*EXP(v01_CapsByProject*SUMPRODUCT((Cap_Point&lt;=I685)*(Cap_Kind="Lean")*Cap_Ln)))</x:f>
        <x:v>60</x:v>
      </x:c>
      <x:c r="L685" s="10" t="n">
        <x:f>INDEX(v01_HousingCap,G685)*EXP(v01_CapsByProject*SUMPRODUCT((Cap_Point&lt;=I685)*(Cap_Kind="Housing")*Cap_Ln))</x:f>
        <x:v>100</x:v>
      </x:c>
      <x:c r="M685" s="10" t="n">
        <x:f>INDEX(v01_GroupCap,G685)*v01_CohesionFactor*EXP(v01_CapsByProject*SUMPRODUCT((Cap_Point&lt;=I685)*(Cap_Kind="Group")*Cap_Ln))</x:f>
        <x:v>500</x:v>
      </x:c>
      <x:c r="N685" s="32" t="n">
        <x:f>MIN(J685,L685,M685)</x:f>
        <x:v>60</x:v>
      </x:c>
      <x:c r="O685" s="10" t="n">
        <x:f>AE684*N685</x:f>
        <x:v>420</x:v>
      </x:c>
      <x:c r="P685" s="9" t="n">
        <x:f>MIN(1,(AB684/(AE684*IF(v01_GroupInCrowding=1,N685,MIN(J685,L685))))^v01_CrowdingExp)</x:f>
        <x:v>0.06098357504078751</x:v>
      </x:c>
      <x:c r="Q685" s="9" t="n">
        <x:f>IF(D685=1,INDEX(v01_WinterMult,G685),1)</x:f>
        <x:v>1</x:v>
      </x:c>
      <x:c r="R685" s="9" t="n">
        <x:f>H685*Z684*v01_WomenShare*v01_BaseFertility*INDEX(v01_FertMult,G685)*Arch_Fertility*(1-P685)</x:f>
        <x:v>4.435150490895481</x:v>
      </x:c>
      <x:c r="S685" s="9" t="n">
        <x:f>H685*Y684*INDEX(v01_MortChild,G685)/4*Q685</x:f>
        <x:v>0.9512633614203865</x:v>
      </x:c>
      <x:c r="T685" s="9" t="n">
        <x:f>H685*Z684*INDEX(v01_MortAdult,G685)*Arch_AdultMort/4*Q685</x:f>
        <x:v>0.34986572892644346</x:v>
      </x:c>
      <x:c r="U685" s="9" t="n">
        <x:f>H685*AA684*INDEX(v01_MortElder,G685)/4*Q685</x:f>
        <x:v>0.6678839322552441</x:v>
      </x:c>
      <x:c r="V685" s="9" t="n">
        <x:f>H685*MAX(0,AB684-O685)*v01_OvercapLoss</x:f>
        <x:v>0</x:v>
      </x:c>
      <x:c r="W685" s="9" t="n">
        <x:f>H685*Y684/(v01_ChildYears*4)</x:f>
        <x:v>1.941353798817115</x:v>
      </x:c>
      <x:c r="X685" s="9" t="n">
        <x:f>H685*Z684/(v01_AdultYears*4)</x:f>
        <x:v>0.9404992713076437</x:v>
      </x:c>
      <x:c r="Y685" s="32" t="n">
        <x:f>Y684+R685-S685-W685-Y684*V685/AB684</x:f>
        <x:v>110.25834606441641</x:v>
      </x:c>
      <x:c r="Z685" s="32" t="n">
        <x:f>Z684+W685-X685-T685-Z684*V685/AB684</x:f>
        <x:v>117.27289844073084</x:v>
      </x:c>
      <x:c r="AA685" s="32" t="n">
        <x:f>AA684+X685-U685-AA684*V685/AB684</x:f>
        <x:v>38.43741146792349</x:v>
      </x:c>
      <x:c r="AB685" s="10" t="n">
        <x:f>Y685+Z685+AA685</x:f>
        <x:v>265.9686559730707</x:v>
      </x:c>
      <x:c r="AC685" s="8" t="n">
        <x:f>IF(AND(v01_WinterTrigger=1,D685=1,AB684/AE684&gt;=K685),1,0)</x:f>
        <x:v>0</x:v>
      </x:c>
      <x:c r="AD685" s="8" t="n">
        <x:f>H685*IF(AND(OR(AB684/AE684&gt;=v01_FissionTrigger*N685,AC685=1),AB684/AE684*v01_DaughterShare&gt;=v01_MinDaughter),MAX(1,ROUND(AE684*v01_FissionRate,0)),0)</x:f>
        <x:v>0</x:v>
      </x:c>
      <x:c r="AE685" s="8" t="n">
        <x:f>IF(H685=1,MAX(1,MIN(INDEX(v01_Smax,G685),AE684+AD685)),AE684)</x:f>
        <x:v>7</x:v>
      </x:c>
      <x:c r="AF685" s="8" t="n">
        <x:f>MAX(0,AE685-AE684)</x:f>
        <x:v>0</x:v>
      </x:c>
      <x:c r="AG685" s="9" t="str">
        <x:f>IF(AF685&gt;0,B685,"")</x:f>
      </x:c>
      <x:c r="AH685" s="9" t="n">
        <x:f>IF(F685&gt;=1,1,(1+v01_LowTiesShare*(AE685-1))/AE685)</x:f>
        <x:v>1</x:v>
      </x:c>
      <x:c r="AI685" s="32" t="n">
        <x:f>(Z685+v01_ElderCommons*INDEX(LM_Elder,G685)*AA685)*AH685</x:f>
        <x:v>232.58513284450132</x:v>
      </x:c>
      <x:c r="AJ685" s="32" t="n">
        <x:f>H685*v01_CommonsCoef*AI685^v01_CommonsExp*INDEX(LM_Commons,G685)</x:f>
        <x:v>67.78577934004541</x:v>
      </x:c>
      <x:c r="AK685" s="32" t="n">
        <x:f>H685*v01_RoleScale*Arch_Roles*(AE685*(INDEX(v01_ElderRolePerSett,G685)*v01_OutElder*INDEX(LM_Elder,G685)+INDEX(v01_ShamanPerSett,G685)*v01_OutShaman)+Z685*(INDEX(v01_PriestShare,G685)*v01_OutPriest+INDEX(v01_ScribeShare,G685)*v01_OutScribe*INDEX(LM_Scribe,G685)+INDEX(v01_ScholarShare,G685)*v01_OutScholar*INDEX(LM_Scholar,G685)+INDEX(v01_ResearcherShare,G685)*v01_OutResearcher*INDEX(LM_Researcher,G685)))</x:f>
        <x:v>21</x:v>
      </x:c>
      <x:c r="AL685" s="32" t="n">
        <x:f>H685*v01_RoleScale*Arch_Roles*AE685*INDEX(v01_MonasteryPerSett,G685)*v01_OutMonastery*INDEX(LM_Monastery,G685)</x:f>
        <x:v>0</x:v>
      </x:c>
      <x:c r="AM685" s="32" t="n">
        <x:f>(AJ685+AK685+AL685)/4*INDEX(LM_All,G685)*INDEX(v01_Boon,G685)*Arch_Insight</x:f>
        <x:v>23.3201398547838</x:v>
      </x:c>
      <x:c r="AN685" s="32" t="n">
        <x:f>H685*(v01_KHPerAdult*Z685+v01_KHOfCommons*AJ685/4*INDEX(LM_All,G685))*v01_KHUsable*Arch_KH</x:f>
        <x:v>4.104551445425579</x:v>
      </x:c>
      <x:c r="AO685" s="32" t="n">
        <x:f>MIN(AP684+AN685,AM685*v01_KHMaxRatio)</x:f>
        <x:v>4.104551445425579</x:v>
      </x:c>
      <x:c r="AP685" s="32" t="n">
        <x:f>AP684+AN685-AO685</x:f>
        <x:v>0</x:v>
      </x:c>
      <x:c r="AQ685" s="32" t="n">
        <x:f>AM685+AO685</x:f>
        <x:v>27.42469130020938</x:v>
      </x:c>
      <x:c r="AR685" s="10" t="n">
        <x:f>IF(H685=1,INDEX(v01_Req,G685),0)</x:f>
        <x:v>4006.9599999999996</x:v>
      </x:c>
      <x:c r="AS685" s="32" t="n">
        <x:f>IF(H685=1,IF(E685=1,AS684-AR684,AS684)+AQ685,0)</x:f>
        <x:v>3228.8017964257097</x:v>
      </x:c>
      <x:c r="AT685" s="11" t="n">
        <x:f>IF(AR685&gt;0,MIN(1,AS685/AR685),1)</x:f>
        <x:v>0.805798359960097</x:v>
      </x:c>
      <x:c r="AU685" s="10" t="n">
        <x:f>AB685/INDEX(v01_RepScale,G685)</x:f>
        <x:v>132.98432798653536</x:v>
      </x:c>
      <x:c r="AV685" s="32" t="n">
        <x:f>AM685*60/v01_SeasonSeconds</x:f>
        <x:v>93.2805594191352</x:v>
      </x:c>
    </x:row>
    <x:row r="686">
      <x:c r="A686" s="8" t="n">
        <x:f>A685+1</x:f>
        <x:v>683</x:v>
      </x:c>
      <x:c r="B686" s="9" t="n">
        <x:f>A686*v01_SeasonSeconds/60</x:f>
        <x:v>170.75</x:v>
      </x:c>
      <x:c r="C686" s="9" t="n">
        <x:f>A686/4</x:f>
        <x:v>170.75</x:v>
      </x:c>
      <x:c r="D686" s="8" t="n">
        <x:f>IF(MOD(A686,4)=0,1,0)</x:f>
        <x:v>0</x:v>
      </x:c>
      <x:c r="E686" s="8" t="n">
        <x:f>IF(AND(F685&lt;=9,AS685&gt;=AR685),1,0)</x:f>
        <x:v>0</x:v>
      </x:c>
      <x:c r="F686" s="8" t="n">
        <x:f>MIN(10,F685+E686)</x:f>
        <x:v>2</x:v>
      </x:c>
      <x:c r="G686" s="8" t="n">
        <x:f>MIN(F686,9)+1</x:f>
        <x:v>3</x:v>
      </x:c>
      <x:c r="H686" s="8" t="n">
        <x:f>IF(F686&lt;=9,1,0)</x:f>
        <x:v>1</x:v>
      </x:c>
      <x:c r="I686" s="9" t="n">
        <x:f>MIN(10,F685+IF(AR685&gt;0,MIN(1,AS685/AR685),1))</x:f>
        <x:v>2.805798359960097</x:v>
      </x:c>
      <x:c r="J686" s="32" t="n">
        <x:f>INDEX(v01_FoodCap,G686)*Arch_FoodCap*EXP(v01_CapsByProject*SUMPRODUCT((Cap_Point&lt;=I686)*(Cap_Kind="Food")*Cap_Ln))</x:f>
        <x:v>60</x:v>
      </x:c>
      <x:c r="K686" s="32" t="n">
        <x:f>J686*MIN(1,v01_LeanBase*EXP(v01_CapsByProject*SUMPRODUCT((Cap_Point&lt;=I686)*(Cap_Kind="Lean")*Cap_Ln)))</x:f>
        <x:v>60</x:v>
      </x:c>
      <x:c r="L686" s="10" t="n">
        <x:f>INDEX(v01_HousingCap,G686)*EXP(v01_CapsByProject*SUMPRODUCT((Cap_Point&lt;=I686)*(Cap_Kind="Housing")*Cap_Ln))</x:f>
        <x:v>100</x:v>
      </x:c>
      <x:c r="M686" s="10" t="n">
        <x:f>INDEX(v01_GroupCap,G686)*v01_CohesionFactor*EXP(v01_CapsByProject*SUMPRODUCT((Cap_Point&lt;=I686)*(Cap_Kind="Group")*Cap_Ln))</x:f>
        <x:v>500</x:v>
      </x:c>
      <x:c r="N686" s="32" t="n">
        <x:f>MIN(J686,L686,M686)</x:f>
        <x:v>60</x:v>
      </x:c>
      <x:c r="O686" s="10" t="n">
        <x:f>AE685*N686</x:f>
        <x:v>420</x:v>
      </x:c>
      <x:c r="P686" s="9" t="n">
        <x:f>MIN(1,(AB685/(AE685*IF(v01_GroupInCrowding=1,N686,MIN(J686,L686))))^v01_CrowdingExp)</x:f>
        <x:v>0.06448920298597911</x:v>
      </x:c>
      <x:c r="Q686" s="9" t="n">
        <x:f>IF(D686=1,INDEX(v01_WinterMult,G686),1)</x:f>
        <x:v>1</x:v>
      </x:c>
      <x:c r="R686" s="9" t="n">
        <x:f>H686*Z685*v01_WomenShare*v01_BaseFertility*INDEX(v01_FertMult,G686)*Arch_Fertility*(1-P686)</x:f>
        <x:v>4.443257538881514</x:v>
      </x:c>
      <x:c r="S686" s="9" t="n">
        <x:f>H686*Y685*INDEX(v01_MortChild,G686)/4*Q686</x:f>
        <x:v>0.9647605280636438</x:v>
      </x:c>
      <x:c r="T686" s="9" t="n">
        <x:f>H686*Z685*INDEX(v01_MortAdult,G686)*Arch_AdultMort/4*Q686</x:f>
        <x:v>0.3518186953221925</x:v>
      </x:c>
      <x:c r="U686" s="9" t="n">
        <x:f>H686*AA685*INDEX(v01_MortElder,G686)/4*Q686</x:f>
        <x:v>0.6726547006886612</x:v>
      </x:c>
      <x:c r="V686" s="9" t="n">
        <x:f>H686*MAX(0,AB685-O686)*v01_OvercapLoss</x:f>
        <x:v>0</x:v>
      </x:c>
      <x:c r="W686" s="9" t="n">
        <x:f>H686*Y685/(v01_ChildYears*4)</x:f>
        <x:v>1.968899036864579</x:v>
      </x:c>
      <x:c r="X686" s="9" t="n">
        <x:f>H686*Z685/(v01_AdultYears*4)</x:f>
        <x:v>0.9457491809736358</x:v>
      </x:c>
      <x:c r="Y686" s="32" t="n">
        <x:f>Y685+R686-S686-W686-Y685*V686/AB685</x:f>
        <x:v>111.76794403836969</x:v>
      </x:c>
      <x:c r="Z686" s="32" t="n">
        <x:f>Z685+W686-X686-T686-Z685*V686/AB685</x:f>
        <x:v>117.9442296012996</x:v>
      </x:c>
      <x:c r="AA686" s="32" t="n">
        <x:f>AA685+X686-U686-AA685*V686/AB685</x:f>
        <x:v>38.710505948208464</x:v>
      </x:c>
      <x:c r="AB686" s="10" t="n">
        <x:f>Y686+Z686+AA686</x:f>
        <x:v>268.4226795878777</x:v>
      </x:c>
      <x:c r="AC686" s="8" t="n">
        <x:f>IF(AND(v01_WinterTrigger=1,D686=1,AB685/AE685&gt;=K686),1,0)</x:f>
        <x:v>0</x:v>
      </x:c>
      <x:c r="AD686" s="8" t="n">
        <x:f>H686*IF(AND(OR(AB685/AE685&gt;=v01_FissionTrigger*N686,AC686=1),AB685/AE685*v01_DaughterShare&gt;=v01_MinDaughter),MAX(1,ROUND(AE685*v01_FissionRate,0)),0)</x:f>
        <x:v>0</x:v>
      </x:c>
      <x:c r="AE686" s="8" t="n">
        <x:f>IF(H686=1,MAX(1,MIN(INDEX(v01_Smax,G686),AE685+AD686)),AE685)</x:f>
        <x:v>7</x:v>
      </x:c>
      <x:c r="AF686" s="8" t="n">
        <x:f>MAX(0,AE686-AE685)</x:f>
        <x:v>0</x:v>
      </x:c>
      <x:c r="AG686" s="9" t="str">
        <x:f>IF(AF686&gt;0,B686,"")</x:f>
      </x:c>
      <x:c r="AH686" s="9" t="n">
        <x:f>IF(F686&gt;=1,1,(1+v01_LowTiesShare*(AE686-1))/AE686)</x:f>
        <x:v>1</x:v>
      </x:c>
      <x:c r="AI686" s="32" t="n">
        <x:f>(Z686+v01_ElderCommons*INDEX(LM_Elder,G686)*AA686)*AH686</x:f>
        <x:v>234.075747445925</x:v>
      </x:c>
      <x:c r="AJ686" s="32" t="n">
        <x:f>H686*v01_CommonsCoef*AI686^v01_CommonsExp*INDEX(LM_Commons,G686)</x:f>
        <x:v>68.15486965531032</x:v>
      </x:c>
      <x:c r="AK686" s="32" t="n">
        <x:f>H686*v01_RoleScale*Arch_Roles*(AE686*(INDEX(v01_ElderRolePerSett,G686)*v01_OutElder*INDEX(LM_Elder,G686)+INDEX(v01_ShamanPerSett,G686)*v01_OutShaman)+Z686*(INDEX(v01_PriestShare,G686)*v01_OutPriest+INDEX(v01_ScribeShare,G686)*v01_OutScribe*INDEX(LM_Scribe,G686)+INDEX(v01_ScholarShare,G686)*v01_OutScholar*INDEX(LM_Scholar,G686)+INDEX(v01_ResearcherShare,G686)*v01_OutResearcher*INDEX(LM_Researcher,G686)))</x:f>
        <x:v>21</x:v>
      </x:c>
      <x:c r="AL686" s="32" t="n">
        <x:f>H686*v01_RoleScale*Arch_Roles*AE686*INDEX(v01_MonasteryPerSett,G686)*v01_OutMonastery*INDEX(LM_Monastery,G686)</x:f>
        <x:v>0</x:v>
      </x:c>
      <x:c r="AM686" s="32" t="n">
        <x:f>(AJ686+AK686+AL686)/4*INDEX(LM_All,G686)*INDEX(v01_Boon,G686)*Arch_Insight</x:f>
        <x:v>23.4170837329026</x:v>
      </x:c>
      <x:c r="AN686" s="32" t="n">
        <x:f>H686*(v01_KHPerAdult*Z686+v01_KHOfCommons*AJ686/4*INDEX(LM_All,G686))*v01_KHUsable*Arch_KH</x:f>
        <x:v>4.128048036045486</x:v>
      </x:c>
      <x:c r="AO686" s="32" t="n">
        <x:f>MIN(AP685+AN686,AM686*v01_KHMaxRatio)</x:f>
        <x:v>4.128048036045486</x:v>
      </x:c>
      <x:c r="AP686" s="32" t="n">
        <x:f>AP685+AN686-AO686</x:f>
        <x:v>0</x:v>
      </x:c>
      <x:c r="AQ686" s="32" t="n">
        <x:f>AM686+AO686</x:f>
        <x:v>27.54513176894809</x:v>
      </x:c>
      <x:c r="AR686" s="10" t="n">
        <x:f>IF(H686=1,INDEX(v01_Req,G686),0)</x:f>
        <x:v>4006.9599999999996</x:v>
      </x:c>
      <x:c r="AS686" s="32" t="n">
        <x:f>IF(H686=1,IF(E686=1,AS685-AR685,AS685)+AQ686,0)</x:f>
        <x:v>3256.3469281946577</x:v>
      </x:c>
      <x:c r="AT686" s="11" t="n">
        <x:f>IF(AR686&gt;0,MIN(1,AS686/AR686),1)</x:f>
        <x:v>0.8126726815827106</x:v>
      </x:c>
      <x:c r="AU686" s="10" t="n">
        <x:f>AB686/INDEX(v01_RepScale,G686)</x:f>
        <x:v>134.21133979393886</x:v>
      </x:c>
      <x:c r="AV686" s="32" t="n">
        <x:f>AM686*60/v01_SeasonSeconds</x:f>
        <x:v>93.6683349316104</x:v>
      </x:c>
    </x:row>
    <x:row r="687">
      <x:c r="A687" s="8" t="n">
        <x:f>A686+1</x:f>
        <x:v>684</x:v>
      </x:c>
      <x:c r="B687" s="9" t="n">
        <x:f>A687*v01_SeasonSeconds/60</x:f>
        <x:v>171</x:v>
      </x:c>
      <x:c r="C687" s="9" t="n">
        <x:f>A687/4</x:f>
        <x:v>171</x:v>
      </x:c>
      <x:c r="D687" s="8" t="n">
        <x:f>IF(MOD(A687,4)=0,1,0)</x:f>
        <x:v>1</x:v>
      </x:c>
      <x:c r="E687" s="8" t="n">
        <x:f>IF(AND(F686&lt;=9,AS686&gt;=AR686),1,0)</x:f>
        <x:v>0</x:v>
      </x:c>
      <x:c r="F687" s="8" t="n">
        <x:f>MIN(10,F686+E687)</x:f>
        <x:v>2</x:v>
      </x:c>
      <x:c r="G687" s="8" t="n">
        <x:f>MIN(F687,9)+1</x:f>
        <x:v>3</x:v>
      </x:c>
      <x:c r="H687" s="8" t="n">
        <x:f>IF(F687&lt;=9,1,0)</x:f>
        <x:v>1</x:v>
      </x:c>
      <x:c r="I687" s="9" t="n">
        <x:f>MIN(10,F686+IF(AR686&gt;0,MIN(1,AS686/AR686),1))</x:f>
        <x:v>2.8126726815827103</x:v>
      </x:c>
      <x:c r="J687" s="32" t="n">
        <x:f>INDEX(v01_FoodCap,G687)*Arch_FoodCap*EXP(v01_CapsByProject*SUMPRODUCT((Cap_Point&lt;=I687)*(Cap_Kind="Food")*Cap_Ln))</x:f>
        <x:v>60</x:v>
      </x:c>
      <x:c r="K687" s="32" t="n">
        <x:f>J687*MIN(1,v01_LeanBase*EXP(v01_CapsByProject*SUMPRODUCT((Cap_Point&lt;=I687)*(Cap_Kind="Lean")*Cap_Ln)))</x:f>
        <x:v>60</x:v>
      </x:c>
      <x:c r="L687" s="10" t="n">
        <x:f>INDEX(v01_HousingCap,G687)*EXP(v01_CapsByProject*SUMPRODUCT((Cap_Point&lt;=I687)*(Cap_Kind="Housing")*Cap_Ln))</x:f>
        <x:v>100</x:v>
      </x:c>
      <x:c r="M687" s="10" t="n">
        <x:f>INDEX(v01_GroupCap,G687)*v01_CohesionFactor*EXP(v01_CapsByProject*SUMPRODUCT((Cap_Point&lt;=I687)*(Cap_Kind="Group")*Cap_Ln))</x:f>
        <x:v>500</x:v>
      </x:c>
      <x:c r="N687" s="32" t="n">
        <x:f>MIN(J687,L687,M687)</x:f>
        <x:v>60</x:v>
      </x:c>
      <x:c r="O687" s="10" t="n">
        <x:f>AE686*N687</x:f>
        <x:v>420</x:v>
      </x:c>
      <x:c r="P687" s="9" t="n">
        <x:f>MIN(1,(AB686/(AE686*IF(v01_GroupInCrowding=1,N687,MIN(J687,L687))))^v01_CrowdingExp)</x:f>
        <x:v>0.06814272589362022</x:v>
      </x:c>
      <x:c r="Q687" s="9" t="n">
        <x:f>IF(D687=1,INDEX(v01_WinterMult,G687),1)</x:f>
        <x:v>1.3</x:v>
      </x:c>
      <x:c r="R687" s="9" t="n">
        <x:f>H687*Z686*v01_WomenShare*v01_BaseFertility*INDEX(v01_FertMult,G687)*Arch_Fertility*(1-P687)</x:f>
        <x:v>4.451241125860183</x:v>
      </x:c>
      <x:c r="S687" s="9" t="n">
        <x:f>H687*Y686*INDEX(v01_MortChild,G687)/4*Q687</x:f>
        <x:v>1.2713603634364554</x:v>
      </x:c>
      <x:c r="T687" s="9" t="n">
        <x:f>H687*Z686*INDEX(v01_MortAdult,G687)*Arch_AdultMort/4*Q687</x:f>
        <x:v>0.4599824954450684</x:v>
      </x:c>
      <x:c r="U687" s="9" t="n">
        <x:f>H687*AA686*INDEX(v01_MortElder,G687)/4*Q687</x:f>
        <x:v>0.8806640103217427</x:v>
      </x:c>
      <x:c r="V687" s="9" t="n">
        <x:f>H687*MAX(0,AB686-O687)*v01_OvercapLoss</x:f>
        <x:v>0</x:v>
      </x:c>
      <x:c r="W687" s="9" t="n">
        <x:f>H687*Y686/(v01_ChildYears*4)</x:f>
        <x:v>1.9958561435423159</x:v>
      </x:c>
      <x:c r="X687" s="9" t="n">
        <x:f>H687*Z686/(v01_AdultYears*4)</x:f>
        <x:v>0.9511631419459645</x:v>
      </x:c>
      <x:c r="Y687" s="32" t="n">
        <x:f>Y686+R687-S687-W687-Y686*V687/AB686</x:f>
        <x:v>112.9519686572511</x:v>
      </x:c>
      <x:c r="Z687" s="32" t="n">
        <x:f>Z686+W687-X687-T687-Z686*V687/AB686</x:f>
        <x:v>118.52894010745086</x:v>
      </x:c>
      <x:c r="AA687" s="32" t="n">
        <x:f>AA686+X687-U687-AA686*V687/AB686</x:f>
        <x:v>38.78100507983268</x:v>
      </x:c>
      <x:c r="AB687" s="10" t="n">
        <x:f>Y687+Z687+AA687</x:f>
        <x:v>270.26191384453466</x:v>
      </x:c>
      <x:c r="AC687" s="8" t="n">
        <x:f>IF(AND(v01_WinterTrigger=1,D687=1,AB686/AE686&gt;=K687),1,0)</x:f>
        <x:v>0</x:v>
      </x:c>
      <x:c r="AD687" s="8" t="n">
        <x:f>H687*IF(AND(OR(AB686/AE686&gt;=v01_FissionTrigger*N687,AC687=1),AB686/AE686*v01_DaughterShare&gt;=v01_MinDaughter),MAX(1,ROUND(AE686*v01_FissionRate,0)),0)</x:f>
        <x:v>0</x:v>
      </x:c>
      <x:c r="AE687" s="8" t="n">
        <x:f>IF(H687=1,MAX(1,MIN(INDEX(v01_Smax,G687),AE686+AD687)),AE686)</x:f>
        <x:v>7</x:v>
      </x:c>
      <x:c r="AF687" s="8" t="n">
        <x:f>MAX(0,AE687-AE686)</x:f>
        <x:v>0</x:v>
      </x:c>
      <x:c r="AG687" s="9" t="str">
        <x:f>IF(AF687&gt;0,B687,"")</x:f>
      </x:c>
      <x:c r="AH687" s="9" t="n">
        <x:f>IF(F687&gt;=1,1,(1+v01_LowTiesShare*(AE687-1))/AE687)</x:f>
        <x:v>1</x:v>
      </x:c>
      <x:c r="AI687" s="32" t="n">
        <x:f>(Z687+v01_ElderCommons*INDEX(LM_Elder,G687)*AA687)*AH687</x:f>
        <x:v>234.8719553469489</x:v>
      </x:c>
      <x:c r="AJ687" s="32" t="n">
        <x:f>H687*v01_CommonsCoef*AI687^v01_CommonsExp*INDEX(LM_Commons,G687)</x:f>
        <x:v>68.35187373395182</x:v>
      </x:c>
      <x:c r="AK687" s="32" t="n">
        <x:f>H687*v01_RoleScale*Arch_Roles*(AE687*(INDEX(v01_ElderRolePerSett,G687)*v01_OutElder*INDEX(LM_Elder,G687)+INDEX(v01_ShamanPerSett,G687)*v01_OutShaman)+Z687*(INDEX(v01_PriestShare,G687)*v01_OutPriest+INDEX(v01_ScribeShare,G687)*v01_OutScribe*INDEX(LM_Scribe,G687)+INDEX(v01_ScholarShare,G687)*v01_OutScholar*INDEX(LM_Scholar,G687)+INDEX(v01_ResearcherShare,G687)*v01_OutResearcher*INDEX(LM_Researcher,G687)))</x:f>
        <x:v>21</x:v>
      </x:c>
      <x:c r="AL687" s="32" t="n">
        <x:f>H687*v01_RoleScale*Arch_Roles*AE687*INDEX(v01_MonasteryPerSett,G687)*v01_OutMonastery*INDEX(LM_Monastery,G687)</x:f>
        <x:v>0</x:v>
      </x:c>
      <x:c r="AM687" s="32" t="n">
        <x:f>(AJ687+AK687+AL687)/4*INDEX(LM_All,G687)*INDEX(v01_Boon,G687)*Arch_Insight</x:f>
        <x:v>23.46882808543328</x:v>
      </x:c>
      <x:c r="AN687" s="32" t="n">
        <x:f>H687*(v01_KHPerAdult*Z687+v01_KHOfCommons*AJ687/4*INDEX(LM_All,G687))*v01_KHUsable*Arch_KH</x:f>
        <x:v>4.14851290376078</x:v>
      </x:c>
      <x:c r="AO687" s="32" t="n">
        <x:f>MIN(AP686+AN687,AM687*v01_KHMaxRatio)</x:f>
        <x:v>4.14851290376078</x:v>
      </x:c>
      <x:c r="AP687" s="32" t="n">
        <x:f>AP686+AN687-AO687</x:f>
        <x:v>0</x:v>
      </x:c>
      <x:c r="AQ687" s="32" t="n">
        <x:f>AM687+AO687</x:f>
        <x:v>27.617340989194062</x:v>
      </x:c>
      <x:c r="AR687" s="10" t="n">
        <x:f>IF(H687=1,INDEX(v01_Req,G687),0)</x:f>
        <x:v>4006.9599999999996</x:v>
      </x:c>
      <x:c r="AS687" s="32" t="n">
        <x:f>IF(H687=1,IF(E687=1,AS686-AR686,AS686)+AQ687,0)</x:f>
        <x:v>3283.9642691838517</x:v>
      </x:c>
      <x:c r="AT687" s="11" t="n">
        <x:f>IF(AR687&gt;0,MIN(1,AS687/AR687),1)</x:f>
        <x:v>0.8195650241539352</x:v>
      </x:c>
      <x:c r="AU687" s="10" t="n">
        <x:f>AB687/INDEX(v01_RepScale,G687)</x:f>
        <x:v>135.13095692226733</x:v>
      </x:c>
      <x:c r="AV687" s="32" t="n">
        <x:f>AM687*60/v01_SeasonSeconds</x:f>
        <x:v>93.87531234173312</x:v>
      </x:c>
    </x:row>
    <x:row r="688">
      <x:c r="A688" s="8" t="n">
        <x:f>A687+1</x:f>
        <x:v>685</x:v>
      </x:c>
      <x:c r="B688" s="9" t="n">
        <x:f>A688*v01_SeasonSeconds/60</x:f>
        <x:v>171.25</x:v>
      </x:c>
      <x:c r="C688" s="9" t="n">
        <x:f>A688/4</x:f>
        <x:v>171.25</x:v>
      </x:c>
      <x:c r="D688" s="8" t="n">
        <x:f>IF(MOD(A688,4)=0,1,0)</x:f>
        <x:v>0</x:v>
      </x:c>
      <x:c r="E688" s="8" t="n">
        <x:f>IF(AND(F687&lt;=9,AS687&gt;=AR687),1,0)</x:f>
        <x:v>0</x:v>
      </x:c>
      <x:c r="F688" s="8" t="n">
        <x:f>MIN(10,F687+E688)</x:f>
        <x:v>2</x:v>
      </x:c>
      <x:c r="G688" s="8" t="n">
        <x:f>MIN(F688,9)+1</x:f>
        <x:v>3</x:v>
      </x:c>
      <x:c r="H688" s="8" t="n">
        <x:f>IF(F688&lt;=9,1,0)</x:f>
        <x:v>1</x:v>
      </x:c>
      <x:c r="I688" s="9" t="n">
        <x:f>MIN(10,F687+IF(AR687&gt;0,MIN(1,AS687/AR687),1))</x:f>
        <x:v>2.819565024153935</x:v>
      </x:c>
      <x:c r="J688" s="32" t="n">
        <x:f>INDEX(v01_FoodCap,G688)*Arch_FoodCap*EXP(v01_CapsByProject*SUMPRODUCT((Cap_Point&lt;=I688)*(Cap_Kind="Food")*Cap_Ln))</x:f>
        <x:v>60</x:v>
      </x:c>
      <x:c r="K688" s="32" t="n">
        <x:f>J688*MIN(1,v01_LeanBase*EXP(v01_CapsByProject*SUMPRODUCT((Cap_Point&lt;=I688)*(Cap_Kind="Lean")*Cap_Ln)))</x:f>
        <x:v>60</x:v>
      </x:c>
      <x:c r="L688" s="10" t="n">
        <x:f>INDEX(v01_HousingCap,G688)*EXP(v01_CapsByProject*SUMPRODUCT((Cap_Point&lt;=I688)*(Cap_Kind="Housing")*Cap_Ln))</x:f>
        <x:v>100</x:v>
      </x:c>
      <x:c r="M688" s="10" t="n">
        <x:f>INDEX(v01_GroupCap,G688)*v01_CohesionFactor*EXP(v01_CapsByProject*SUMPRODUCT((Cap_Point&lt;=I688)*(Cap_Kind="Group")*Cap_Ln))</x:f>
        <x:v>500</x:v>
      </x:c>
      <x:c r="N688" s="32" t="n">
        <x:f>MIN(J688,L688,M688)</x:f>
        <x:v>60</x:v>
      </x:c>
      <x:c r="O688" s="10" t="n">
        <x:f>AE687*N688</x:f>
        <x:v>420</x:v>
      </x:c>
      <x:c r="P688" s="9" t="n">
        <x:f>MIN(1,(AB687/(AE687*IF(v01_GroupInCrowding=1,N688,MIN(J688,L688))))^v01_CrowdingExp)</x:f>
        <x:v>0.07099264298835646</x:v>
      </x:c>
      <x:c r="Q688" s="9" t="n">
        <x:f>IF(D688=1,INDEX(v01_WinterMult,G688),1)</x:f>
        <x:v>1</x:v>
      </x:c>
      <x:c r="R688" s="9" t="n">
        <x:f>H688*Z687*v01_WomenShare*v01_BaseFertility*INDEX(v01_FertMult,G688)*Arch_Fertility*(1-P688)</x:f>
        <x:v>4.45962742383388</x:v>
      </x:c>
      <x:c r="S688" s="9" t="n">
        <x:f>H688*Y687*INDEX(v01_MortChild,G688)/4*Q688</x:f>
        <x:v>0.9883297257509472</x:v>
      </x:c>
      <x:c r="T688" s="9" t="n">
        <x:f>H688*Z687*INDEX(v01_MortAdult,G688)*Arch_AdultMort/4*Q688</x:f>
        <x:v>0.3555868203223526</x:v>
      </x:c>
      <x:c r="U688" s="9" t="n">
        <x:f>H688*AA687*INDEX(v01_MortElder,G688)/4*Q688</x:f>
        <x:v>0.678667588897072</x:v>
      </x:c>
      <x:c r="V688" s="9" t="n">
        <x:f>H688*MAX(0,AB687-O688)*v01_OvercapLoss</x:f>
        <x:v>0</x:v>
      </x:c>
      <x:c r="W688" s="9" t="n">
        <x:f>H688*Y687/(v01_ChildYears*4)</x:f>
        <x:v>2.0169994403080556</x:v>
      </x:c>
      <x:c r="X688" s="9" t="n">
        <x:f>H688*Z687/(v01_AdultYears*4)</x:f>
        <x:v>0.955878549253636</x:v>
      </x:c>
      <x:c r="Y688" s="32" t="n">
        <x:f>Y687+R688-S688-W688-Y687*V688/AB687</x:f>
        <x:v>114.40626691502598</x:v>
      </x:c>
      <x:c r="Z688" s="32" t="n">
        <x:f>Z687+W688-X688-T688-Z687*V688/AB687</x:f>
        <x:v>119.23447417818292</x:v>
      </x:c>
      <x:c r="AA688" s="32" t="n">
        <x:f>AA687+X688-U688-AA687*V688/AB687</x:f>
        <x:v>39.058216040189244</x:v>
      </x:c>
      <x:c r="AB688" s="10" t="n">
        <x:f>Y688+Z688+AA688</x:f>
        <x:v>272.69895713339815</x:v>
      </x:c>
      <x:c r="AC688" s="8" t="n">
        <x:f>IF(AND(v01_WinterTrigger=1,D688=1,AB687/AE687&gt;=K688),1,0)</x:f>
        <x:v>0</x:v>
      </x:c>
      <x:c r="AD688" s="8" t="n">
        <x:f>H688*IF(AND(OR(AB687/AE687&gt;=v01_FissionTrigger*N688,AC688=1),AB687/AE687*v01_DaughterShare&gt;=v01_MinDaughter),MAX(1,ROUND(AE687*v01_FissionRate,0)),0)</x:f>
        <x:v>0</x:v>
      </x:c>
      <x:c r="AE688" s="8" t="n">
        <x:f>IF(H688=1,MAX(1,MIN(INDEX(v01_Smax,G688),AE687+AD688)),AE687)</x:f>
        <x:v>7</x:v>
      </x:c>
      <x:c r="AF688" s="8" t="n">
        <x:f>MAX(0,AE688-AE687)</x:f>
        <x:v>0</x:v>
      </x:c>
      <x:c r="AG688" s="9" t="str">
        <x:f>IF(AF688&gt;0,B688,"")</x:f>
      </x:c>
      <x:c r="AH688" s="9" t="n">
        <x:f>IF(F688&gt;=1,1,(1+v01_LowTiesShare*(AE688-1))/AE688)</x:f>
        <x:v>1</x:v>
      </x:c>
      <x:c r="AI688" s="32" t="n">
        <x:f>(Z688+v01_ElderCommons*INDEX(LM_Elder,G688)*AA688)*AH688</x:f>
        <x:v>236.40912229875065</x:v>
      </x:c>
      <x:c r="AJ688" s="32" t="n">
        <x:f>H688*v01_CommonsCoef*AI688^v01_CommonsExp*INDEX(LM_Commons,G688)</x:f>
        <x:v>68.73192880514337</x:v>
      </x:c>
      <x:c r="AK688" s="32" t="n">
        <x:f>H688*v01_RoleScale*Arch_Roles*(AE688*(INDEX(v01_ElderRolePerSett,G688)*v01_OutElder*INDEX(LM_Elder,G688)+INDEX(v01_ShamanPerSett,G688)*v01_OutShaman)+Z688*(INDEX(v01_PriestShare,G688)*v01_OutPriest+INDEX(v01_ScribeShare,G688)*v01_OutScribe*INDEX(LM_Scribe,G688)+INDEX(v01_ScholarShare,G688)*v01_OutScholar*INDEX(LM_Scholar,G688)+INDEX(v01_ResearcherShare,G688)*v01_OutResearcher*INDEX(LM_Researcher,G688)))</x:f>
        <x:v>21</x:v>
      </x:c>
      <x:c r="AL688" s="32" t="n">
        <x:f>H688*v01_RoleScale*Arch_Roles*AE688*INDEX(v01_MonasteryPerSett,G688)*v01_OutMonastery*INDEX(LM_Monastery,G688)</x:f>
        <x:v>0</x:v>
      </x:c>
      <x:c r="AM688" s="32" t="n">
        <x:f>(AJ688+AK688+AL688)/4*INDEX(LM_All,G688)*INDEX(v01_Boon,G688)*Arch_Insight</x:f>
        <x:v>23.568651925225936</x:v>
      </x:c>
      <x:c r="AN688" s="32" t="n">
        <x:f>H688*(v01_KHPerAdult*Z688+v01_KHOfCommons*AJ688/4*INDEX(LM_All,G688))*v01_KHUsable*Arch_KH</x:f>
        <x:v>4.173206596236402</x:v>
      </x:c>
      <x:c r="AO688" s="32" t="n">
        <x:f>MIN(AP687+AN688,AM688*v01_KHMaxRatio)</x:f>
        <x:v>4.173206596236402</x:v>
      </x:c>
      <x:c r="AP688" s="32" t="n">
        <x:f>AP687+AN688-AO688</x:f>
        <x:v>0</x:v>
      </x:c>
      <x:c r="AQ688" s="32" t="n">
        <x:f>AM688+AO688</x:f>
        <x:v>27.741858521462337</x:v>
      </x:c>
      <x:c r="AR688" s="10" t="n">
        <x:f>IF(H688=1,INDEX(v01_Req,G688),0)</x:f>
        <x:v>4006.9599999999996</x:v>
      </x:c>
      <x:c r="AS688" s="32" t="n">
        <x:f>IF(H688=1,IF(E688=1,AS687-AR687,AS687)+AQ688,0)</x:f>
        <x:v>3311.706127705314</x:v>
      </x:c>
      <x:c r="AT688" s="11" t="n">
        <x:f>IF(AR688&gt;0,MIN(1,AS688/AR688),1)</x:f>
        <x:v>0.8264884420371839</x:v>
      </x:c>
      <x:c r="AU688" s="10" t="n">
        <x:f>AB688/INDEX(v01_RepScale,G688)</x:f>
        <x:v>136.34947856669908</x:v>
      </x:c>
      <x:c r="AV688" s="32" t="n">
        <x:f>AM688*60/v01_SeasonSeconds</x:f>
        <x:v>94.27460770090374</x:v>
      </x:c>
    </x:row>
    <x:row r="689">
      <x:c r="A689" s="8" t="n">
        <x:f>A688+1</x:f>
        <x:v>686</x:v>
      </x:c>
      <x:c r="B689" s="9" t="n">
        <x:f>A689*v01_SeasonSeconds/60</x:f>
        <x:v>171.5</x:v>
      </x:c>
      <x:c r="C689" s="9" t="n">
        <x:f>A689/4</x:f>
        <x:v>171.5</x:v>
      </x:c>
      <x:c r="D689" s="8" t="n">
        <x:f>IF(MOD(A689,4)=0,1,0)</x:f>
        <x:v>0</x:v>
      </x:c>
      <x:c r="E689" s="8" t="n">
        <x:f>IF(AND(F688&lt;=9,AS688&gt;=AR688),1,0)</x:f>
        <x:v>0</x:v>
      </x:c>
      <x:c r="F689" s="8" t="n">
        <x:f>MIN(10,F688+E689)</x:f>
        <x:v>2</x:v>
      </x:c>
      <x:c r="G689" s="8" t="n">
        <x:f>MIN(F689,9)+1</x:f>
        <x:v>3</x:v>
      </x:c>
      <x:c r="H689" s="8" t="n">
        <x:f>IF(F689&lt;=9,1,0)</x:f>
        <x:v>1</x:v>
      </x:c>
      <x:c r="I689" s="9" t="n">
        <x:f>MIN(10,F688+IF(AR688&gt;0,MIN(1,AS688/AR688),1))</x:f>
        <x:v>2.826488442037184</x:v>
      </x:c>
      <x:c r="J689" s="32" t="n">
        <x:f>INDEX(v01_FoodCap,G689)*Arch_FoodCap*EXP(v01_CapsByProject*SUMPRODUCT((Cap_Point&lt;=I689)*(Cap_Kind="Food")*Cap_Ln))</x:f>
        <x:v>60</x:v>
      </x:c>
      <x:c r="K689" s="32" t="n">
        <x:f>J689*MIN(1,v01_LeanBase*EXP(v01_CapsByProject*SUMPRODUCT((Cap_Point&lt;=I689)*(Cap_Kind="Lean")*Cap_Ln)))</x:f>
        <x:v>60</x:v>
      </x:c>
      <x:c r="L689" s="10" t="n">
        <x:f>INDEX(v01_HousingCap,G689)*EXP(v01_CapsByProject*SUMPRODUCT((Cap_Point&lt;=I689)*(Cap_Kind="Housing")*Cap_Ln))</x:f>
        <x:v>100</x:v>
      </x:c>
      <x:c r="M689" s="10" t="n">
        <x:f>INDEX(v01_GroupCap,G689)*v01_CohesionFactor*EXP(v01_CapsByProject*SUMPRODUCT((Cap_Point&lt;=I689)*(Cap_Kind="Group")*Cap_Ln))</x:f>
        <x:v>500</x:v>
      </x:c>
      <x:c r="N689" s="32" t="n">
        <x:f>MIN(J689,L689,M689)</x:f>
        <x:v>60</x:v>
      </x:c>
      <x:c r="O689" s="10" t="n">
        <x:f>AE688*N689</x:f>
        <x:v>420</x:v>
      </x:c>
      <x:c r="P689" s="9" t="n">
        <x:f>MIN(1,(AB688/(AE688*IF(v01_GroupInCrowding=1,N689,MIN(J689,L689))))^v01_CrowdingExp)</x:f>
        <x:v>0.0749212682150909</x:v>
      </x:c>
      <x:c r="Q689" s="9" t="n">
        <x:f>IF(D689=1,INDEX(v01_WinterMult,G689),1)</x:f>
        <x:v>1</x:v>
      </x:c>
      <x:c r="R689" s="9" t="n">
        <x:f>H689*Z688*v01_WomenShare*v01_BaseFertility*INDEX(v01_FertMult,G689)*Arch_Fertility*(1-P689)</x:f>
        <x:v>4.467201684390655</x:v>
      </x:c>
      <x:c r="S689" s="9" t="n">
        <x:f>H689*Y688*INDEX(v01_MortChild,G689)/4*Q689</x:f>
        <x:v>1.0010548355064774</x:v>
      </x:c>
      <x:c r="T689" s="9" t="n">
        <x:f>H689*Z688*INDEX(v01_MortAdult,G689)*Arch_AdultMort/4*Q689</x:f>
        <x:v>0.3577034225345488</x:v>
      </x:c>
      <x:c r="U689" s="9" t="n">
        <x:f>H689*AA688*INDEX(v01_MortElder,G689)/4*Q689</x:f>
        <x:v>0.6835187807033118</x:v>
      </x:c>
      <x:c r="V689" s="9" t="n">
        <x:f>H689*MAX(0,AB688-O689)*v01_OvercapLoss</x:f>
        <x:v>0</x:v>
      </x:c>
      <x:c r="W689" s="9" t="n">
        <x:f>H689*Y688/(v01_ChildYears*4)</x:f>
        <x:v>2.0429690520540356</x:v>
      </x:c>
      <x:c r="X689" s="9" t="n">
        <x:f>H689*Z688/(v01_AdultYears*4)</x:f>
        <x:v>0.9615683401466365</x:v>
      </x:c>
      <x:c r="Y689" s="32" t="n">
        <x:f>Y688+R689-S689-W689-Y688*V689/AB688</x:f>
        <x:v>115.82944471185613</x:v>
      </x:c>
      <x:c r="Z689" s="32" t="n">
        <x:f>Z688+W689-X689-T689-Z688*V689/AB688</x:f>
        <x:v>119.95817146755576</x:v>
      </x:c>
      <x:c r="AA689" s="32" t="n">
        <x:f>AA688+X689-U689-AA688*V689/AB688</x:f>
        <x:v>39.33626559963257</x:v>
      </x:c>
      <x:c r="AB689" s="10" t="n">
        <x:f>Y689+Z689+AA689</x:f>
        <x:v>275.12388177904444</x:v>
      </x:c>
      <x:c r="AC689" s="8" t="n">
        <x:f>IF(AND(v01_WinterTrigger=1,D689=1,AB688/AE688&gt;=K689),1,0)</x:f>
        <x:v>0</x:v>
      </x:c>
      <x:c r="AD689" s="8" t="n">
        <x:f>H689*IF(AND(OR(AB688/AE688&gt;=v01_FissionTrigger*N689,AC689=1),AB688/AE688*v01_DaughterShare&gt;=v01_MinDaughter),MAX(1,ROUND(AE688*v01_FissionRate,0)),0)</x:f>
        <x:v>0</x:v>
      </x:c>
      <x:c r="AE689" s="8" t="n">
        <x:f>IF(H689=1,MAX(1,MIN(INDEX(v01_Smax,G689),AE688+AD689)),AE688)</x:f>
        <x:v>7</x:v>
      </x:c>
      <x:c r="AF689" s="8" t="n">
        <x:f>MAX(0,AE689-AE688)</x:f>
        <x:v>0</x:v>
      </x:c>
      <x:c r="AG689" s="9" t="str">
        <x:f>IF(AF689&gt;0,B689,"")</x:f>
      </x:c>
      <x:c r="AH689" s="9" t="n">
        <x:f>IF(F689&gt;=1,1,(1+v01_LowTiesShare*(AE689-1))/AE689)</x:f>
        <x:v>1</x:v>
      </x:c>
      <x:c r="AI689" s="32" t="n">
        <x:f>(Z689+v01_ElderCommons*INDEX(LM_Elder,G689)*AA689)*AH689</x:f>
        <x:v>237.96696826645348</x:v>
      </x:c>
      <x:c r="AJ689" s="32" t="n">
        <x:f>H689*v01_CommonsCoef*AI689^v01_CommonsExp*INDEX(LM_Commons,G689)</x:f>
        <x:v>69.11671864038802</x:v>
      </x:c>
      <x:c r="AK689" s="32" t="n">
        <x:f>H689*v01_RoleScale*Arch_Roles*(AE689*(INDEX(v01_ElderRolePerSett,G689)*v01_OutElder*INDEX(LM_Elder,G689)+INDEX(v01_ShamanPerSett,G689)*v01_OutShaman)+Z689*(INDEX(v01_PriestShare,G689)*v01_OutPriest+INDEX(v01_ScribeShare,G689)*v01_OutScribe*INDEX(LM_Scribe,G689)+INDEX(v01_ScholarShare,G689)*v01_OutScholar*INDEX(LM_Scholar,G689)+INDEX(v01_ResearcherShare,G689)*v01_OutResearcher*INDEX(LM_Researcher,G689)))</x:f>
        <x:v>21</x:v>
      </x:c>
      <x:c r="AL689" s="32" t="n">
        <x:f>H689*v01_RoleScale*Arch_Roles*AE689*INDEX(v01_MonasteryPerSett,G689)*v01_OutMonastery*INDEX(LM_Monastery,G689)</x:f>
        <x:v>0</x:v>
      </x:c>
      <x:c r="AM689" s="32" t="n">
        <x:f>(AJ689+AK689+AL689)/4*INDEX(LM_All,G689)*INDEX(v01_Boon,G689)*Arch_Insight</x:f>
        <x:v>23.669719380389413</x:v>
      </x:c>
      <x:c r="AN689" s="32" t="n">
        <x:f>H689*(v01_KHPerAdult*Z689+v01_KHOfCommons*AJ689/4*INDEX(LM_All,G689))*v01_KHUsable*Arch_KH</x:f>
        <x:v>4.1985360013644515</x:v>
      </x:c>
      <x:c r="AO689" s="32" t="n">
        <x:f>MIN(AP688+AN689,AM689*v01_KHMaxRatio)</x:f>
        <x:v>4.1985360013644515</x:v>
      </x:c>
      <x:c r="AP689" s="32" t="n">
        <x:f>AP688+AN689-AO689</x:f>
        <x:v>0</x:v>
      </x:c>
      <x:c r="AQ689" s="32" t="n">
        <x:f>AM689+AO689</x:f>
        <x:v>27.868255381753865</x:v>
      </x:c>
      <x:c r="AR689" s="10" t="n">
        <x:f>IF(H689=1,INDEX(v01_Req,G689),0)</x:f>
        <x:v>4006.9599999999996</x:v>
      </x:c>
      <x:c r="AS689" s="32" t="n">
        <x:f>IF(H689=1,IF(E689=1,AS688-AR688,AS688)+AQ689,0)</x:f>
        <x:v>3339.574383087068</x:v>
      </x:c>
      <x:c r="AT689" s="11" t="n">
        <x:f>IF(AR689&gt;0,MIN(1,AS689/AR689),1)</x:f>
        <x:v>0.8334434042483749</x:v>
      </x:c>
      <x:c r="AU689" s="10" t="n">
        <x:f>AB689/INDEX(v01_RepScale,G689)</x:f>
        <x:v>137.56194088952222</x:v>
      </x:c>
      <x:c r="AV689" s="32" t="n">
        <x:f>AM689*60/v01_SeasonSeconds</x:f>
        <x:v>94.67887752155765</x:v>
      </x:c>
    </x:row>
    <x:row r="690">
      <x:c r="A690" s="8" t="n">
        <x:f>A689+1</x:f>
        <x:v>687</x:v>
      </x:c>
      <x:c r="B690" s="9" t="n">
        <x:f>A690*v01_SeasonSeconds/60</x:f>
        <x:v>171.75</x:v>
      </x:c>
      <x:c r="C690" s="9" t="n">
        <x:f>A690/4</x:f>
        <x:v>171.75</x:v>
      </x:c>
      <x:c r="D690" s="8" t="n">
        <x:f>IF(MOD(A690,4)=0,1,0)</x:f>
        <x:v>0</x:v>
      </x:c>
      <x:c r="E690" s="8" t="n">
        <x:f>IF(AND(F689&lt;=9,AS689&gt;=AR689),1,0)</x:f>
        <x:v>0</x:v>
      </x:c>
      <x:c r="F690" s="8" t="n">
        <x:f>MIN(10,F689+E690)</x:f>
        <x:v>2</x:v>
      </x:c>
      <x:c r="G690" s="8" t="n">
        <x:f>MIN(F690,9)+1</x:f>
        <x:v>3</x:v>
      </x:c>
      <x:c r="H690" s="8" t="n">
        <x:f>IF(F690&lt;=9,1,0)</x:f>
        <x:v>1</x:v>
      </x:c>
      <x:c r="I690" s="9" t="n">
        <x:f>MIN(10,F689+IF(AR689&gt;0,MIN(1,AS689/AR689),1))</x:f>
        <x:v>2.833443404248375</x:v>
      </x:c>
      <x:c r="J690" s="32" t="n">
        <x:f>INDEX(v01_FoodCap,G690)*Arch_FoodCap*EXP(v01_CapsByProject*SUMPRODUCT((Cap_Point&lt;=I690)*(Cap_Kind="Food")*Cap_Ln))</x:f>
        <x:v>60</x:v>
      </x:c>
      <x:c r="K690" s="32" t="n">
        <x:f>J690*MIN(1,v01_LeanBase*EXP(v01_CapsByProject*SUMPRODUCT((Cap_Point&lt;=I690)*(Cap_Kind="Lean")*Cap_Ln)))</x:f>
        <x:v>60</x:v>
      </x:c>
      <x:c r="L690" s="10" t="n">
        <x:f>INDEX(v01_HousingCap,G690)*EXP(v01_CapsByProject*SUMPRODUCT((Cap_Point&lt;=I690)*(Cap_Kind="Housing")*Cap_Ln))</x:f>
        <x:v>100</x:v>
      </x:c>
      <x:c r="M690" s="10" t="n">
        <x:f>INDEX(v01_GroupCap,G690)*v01_CohesionFactor*EXP(v01_CapsByProject*SUMPRODUCT((Cap_Point&lt;=I690)*(Cap_Kind="Group")*Cap_Ln))</x:f>
        <x:v>500</x:v>
      </x:c>
      <x:c r="N690" s="32" t="n">
        <x:f>MIN(J690,L690,M690)</x:f>
        <x:v>60</x:v>
      </x:c>
      <x:c r="O690" s="10" t="n">
        <x:f>AE689*N690</x:f>
        <x:v>420</x:v>
      </x:c>
      <x:c r="P690" s="9" t="n">
        <x:f>MIN(1,(AB689/(AE689*IF(v01_GroupInCrowding=1,N690,MIN(J690,L690))))^v01_CrowdingExp)</x:f>
        <x:v>0.07900853336282154</x:v>
      </x:c>
      <x:c r="Q690" s="9" t="n">
        <x:f>IF(D690=1,INDEX(v01_WinterMult,G690),1)</x:f>
        <x:v>1</x:v>
      </x:c>
      <x:c r="R690" s="9" t="n">
        <x:f>H690*Z689*v01_WomenShare*v01_BaseFertility*INDEX(v01_FertMult,G690)*Arch_Fertility*(1-P690)</x:f>
        <x:v>4.474458317138241</x:v>
      </x:c>
      <x:c r="S690" s="9" t="n">
        <x:f>H690*Y689*INDEX(v01_MortChild,G690)/4*Q690</x:f>
        <x:v>1.0135076412287412</x:v>
      </x:c>
      <x:c r="T690" s="9" t="n">
        <x:f>H690*Z689*INDEX(v01_MortAdult,G690)*Arch_AdultMort/4*Q690</x:f>
        <x:v>0.35987451440266727</x:v>
      </x:c>
      <x:c r="U690" s="9" t="n">
        <x:f>H690*AA689*INDEX(v01_MortElder,G690)/4*Q690</x:f>
        <x:v>0.68838464799357</x:v>
      </x:c>
      <x:c r="V690" s="9" t="n">
        <x:f>H690*MAX(0,AB689-O690)*v01_OvercapLoss</x:f>
        <x:v>0</x:v>
      </x:c>
      <x:c r="W690" s="9" t="n">
        <x:f>H690*Y689/(v01_ChildYears*4)</x:f>
        <x:v>2.068382941283145</x:v>
      </x:c>
      <x:c r="X690" s="9" t="n">
        <x:f>H690*Z689/(v01_AdultYears*4)</x:f>
        <x:v>0.9674046086093206</x:v>
      </x:c>
      <x:c r="Y690" s="32" t="n">
        <x:f>Y689+R690-S690-W690-Y689*V690/AB689</x:f>
        <x:v>117.22201244648248</x:v>
      </x:c>
      <x:c r="Z690" s="32" t="n">
        <x:f>Z689+W690-X690-T690-Z689*V690/AB689</x:f>
        <x:v>120.69927528582693</x:v>
      </x:c>
      <x:c r="AA690" s="32" t="n">
        <x:f>AA689+X690-U690-AA689*V690/AB689</x:f>
        <x:v>39.61528556024832</x:v>
      </x:c>
      <x:c r="AB690" s="10" t="n">
        <x:f>Y690+Z690+AA690</x:f>
        <x:v>277.5365732925577</x:v>
      </x:c>
      <x:c r="AC690" s="8" t="n">
        <x:f>IF(AND(v01_WinterTrigger=1,D690=1,AB689/AE689&gt;=K690),1,0)</x:f>
        <x:v>0</x:v>
      </x:c>
      <x:c r="AD690" s="8" t="n">
        <x:f>H690*IF(AND(OR(AB689/AE689&gt;=v01_FissionTrigger*N690,AC690=1),AB689/AE689*v01_DaughterShare&gt;=v01_MinDaughter),MAX(1,ROUND(AE689*v01_FissionRate,0)),0)</x:f>
        <x:v>0</x:v>
      </x:c>
      <x:c r="AE690" s="8" t="n">
        <x:f>IF(H690=1,MAX(1,MIN(INDEX(v01_Smax,G690),AE689+AD690)),AE689)</x:f>
        <x:v>7</x:v>
      </x:c>
      <x:c r="AF690" s="8" t="n">
        <x:f>MAX(0,AE690-AE689)</x:f>
        <x:v>0</x:v>
      </x:c>
      <x:c r="AG690" s="9" t="str">
        <x:f>IF(AF690&gt;0,B690,"")</x:f>
      </x:c>
      <x:c r="AH690" s="9" t="n">
        <x:f>IF(F690&gt;=1,1,(1+v01_LowTiesShare*(AE690-1))/AE690)</x:f>
        <x:v>1</x:v>
      </x:c>
      <x:c r="AI690" s="32" t="n">
        <x:f>(Z690+v01_ElderCommons*INDEX(LM_Elder,G690)*AA690)*AH690</x:f>
        <x:v>239.5451319665719</x:v>
      </x:c>
      <x:c r="AJ690" s="32" t="n">
        <x:f>H690*v01_CommonsCoef*AI690^v01_CommonsExp*INDEX(LM_Commons,G690)</x:f>
        <x:v>69.50614190176292</x:v>
      </x:c>
      <x:c r="AK690" s="32" t="n">
        <x:f>H690*v01_RoleScale*Arch_Roles*(AE690*(INDEX(v01_ElderRolePerSett,G690)*v01_OutElder*INDEX(LM_Elder,G690)+INDEX(v01_ShamanPerSett,G690)*v01_OutShaman)+Z690*(INDEX(v01_PriestShare,G690)*v01_OutPriest+INDEX(v01_ScribeShare,G690)*v01_OutScribe*INDEX(LM_Scribe,G690)+INDEX(v01_ScholarShare,G690)*v01_OutScholar*INDEX(LM_Scholar,G690)+INDEX(v01_ResearcherShare,G690)*v01_OutResearcher*INDEX(LM_Researcher,G690)))</x:f>
        <x:v>21</x:v>
      </x:c>
      <x:c r="AL690" s="32" t="n">
        <x:f>H690*v01_RoleScale*Arch_Roles*AE690*INDEX(v01_MonasteryPerSett,G690)*v01_OutMonastery*INDEX(LM_Monastery,G690)</x:f>
        <x:v>0</x:v>
      </x:c>
      <x:c r="AM690" s="32" t="n">
        <x:f>(AJ690+AK690+AL690)/4*INDEX(LM_All,G690)*INDEX(v01_Boon,G690)*Arch_Insight</x:f>
        <x:v>23.772003833884913</x:v>
      </x:c>
      <x:c r="AN690" s="32" t="n">
        <x:f>H690*(v01_KHPerAdult*Z690+v01_KHOfCommons*AJ690/4*INDEX(LM_All,G690))*v01_KHUsable*Arch_KH</x:f>
        <x:v>4.224474635003943</x:v>
      </x:c>
      <x:c r="AO690" s="32" t="n">
        <x:f>MIN(AP689+AN690,AM690*v01_KHMaxRatio)</x:f>
        <x:v>4.224474635003943</x:v>
      </x:c>
      <x:c r="AP690" s="32" t="n">
        <x:f>AP689+AN690-AO690</x:f>
        <x:v>0</x:v>
      </x:c>
      <x:c r="AQ690" s="32" t="n">
        <x:f>AM690+AO690</x:f>
        <x:v>27.996478468888856</x:v>
      </x:c>
      <x:c r="AR690" s="10" t="n">
        <x:f>IF(H690=1,INDEX(v01_Req,G690),0)</x:f>
        <x:v>4006.9599999999996</x:v>
      </x:c>
      <x:c r="AS690" s="32" t="n">
        <x:f>IF(H690=1,IF(E690=1,AS689-AR689,AS689)+AQ690,0)</x:f>
        <x:v>3367.5708615559565</x:v>
      </x:c>
      <x:c r="AT690" s="11" t="n">
        <x:f>IF(AR690&gt;0,MIN(1,AS690/AR690),1)</x:f>
        <x:v>0.8404303665511902</x:v>
      </x:c>
      <x:c r="AU690" s="10" t="n">
        <x:f>AB690/INDEX(v01_RepScale,G690)</x:f>
        <x:v>138.76828664627885</x:v>
      </x:c>
      <x:c r="AV690" s="32" t="n">
        <x:f>AM690*60/v01_SeasonSeconds</x:f>
        <x:v>95.08801533553965</x:v>
      </x:c>
    </x:row>
    <x:row r="691">
      <x:c r="A691" s="8" t="n">
        <x:f>A690+1</x:f>
        <x:v>688</x:v>
      </x:c>
      <x:c r="B691" s="9" t="n">
        <x:f>A691*v01_SeasonSeconds/60</x:f>
        <x:v>172</x:v>
      </x:c>
      <x:c r="C691" s="9" t="n">
        <x:f>A691/4</x:f>
        <x:v>172</x:v>
      </x:c>
      <x:c r="D691" s="8" t="n">
        <x:f>IF(MOD(A691,4)=0,1,0)</x:f>
        <x:v>1</x:v>
      </x:c>
      <x:c r="E691" s="8" t="n">
        <x:f>IF(AND(F690&lt;=9,AS690&gt;=AR690),1,0)</x:f>
        <x:v>0</x:v>
      </x:c>
      <x:c r="F691" s="8" t="n">
        <x:f>MIN(10,F690+E691)</x:f>
        <x:v>2</x:v>
      </x:c>
      <x:c r="G691" s="8" t="n">
        <x:f>MIN(F691,9)+1</x:f>
        <x:v>3</x:v>
      </x:c>
      <x:c r="H691" s="8" t="n">
        <x:f>IF(F691&lt;=9,1,0)</x:f>
        <x:v>1</x:v>
      </x:c>
      <x:c r="I691" s="9" t="n">
        <x:f>MIN(10,F690+IF(AR690&gt;0,MIN(1,AS690/AR690),1))</x:f>
        <x:v>2.8404303665511903</x:v>
      </x:c>
      <x:c r="J691" s="32" t="n">
        <x:f>INDEX(v01_FoodCap,G691)*Arch_FoodCap*EXP(v01_CapsByProject*SUMPRODUCT((Cap_Point&lt;=I691)*(Cap_Kind="Food")*Cap_Ln))</x:f>
        <x:v>60</x:v>
      </x:c>
      <x:c r="K691" s="32" t="n">
        <x:f>J691*MIN(1,v01_LeanBase*EXP(v01_CapsByProject*SUMPRODUCT((Cap_Point&lt;=I691)*(Cap_Kind="Lean")*Cap_Ln)))</x:f>
        <x:v>60</x:v>
      </x:c>
      <x:c r="L691" s="10" t="n">
        <x:f>INDEX(v01_HousingCap,G691)*EXP(v01_CapsByProject*SUMPRODUCT((Cap_Point&lt;=I691)*(Cap_Kind="Housing")*Cap_Ln))</x:f>
        <x:v>100</x:v>
      </x:c>
      <x:c r="M691" s="10" t="n">
        <x:f>INDEX(v01_GroupCap,G691)*v01_CohesionFactor*EXP(v01_CapsByProject*SUMPRODUCT((Cap_Point&lt;=I691)*(Cap_Kind="Group")*Cap_Ln))</x:f>
        <x:v>500</x:v>
      </x:c>
      <x:c r="N691" s="32" t="n">
        <x:f>MIN(J691,L691,M691)</x:f>
        <x:v>60</x:v>
      </x:c>
      <x:c r="O691" s="10" t="n">
        <x:f>AE690*N691</x:f>
        <x:v>420</x:v>
      </x:c>
      <x:c r="P691" s="9" t="n">
        <x:f>MIN(1,(AB690/(AE690*IF(v01_GroupInCrowding=1,N691,MIN(J691,L691))))^v01_CrowdingExp)</x:f>
        <x:v>0.08325792605729686</x:v>
      </x:c>
      <x:c r="Q691" s="9" t="n">
        <x:f>IF(D691=1,INDEX(v01_WinterMult,G691),1)</x:f>
        <x:v>1.3</x:v>
      </x:c>
      <x:c r="R691" s="9" t="n">
        <x:f>H691*Z690*v01_WomenShare*v01_BaseFertility*INDEX(v01_FertMult,G691)*Arch_Fertility*(1-P691)</x:f>
        <x:v>4.481329209930864</x:v>
      </x:c>
      <x:c r="S691" s="9" t="n">
        <x:f>H691*Y690*INDEX(v01_MortChild,G691)/4*Q691</x:f>
        <x:v>1.3334003915787382</x:v>
      </x:c>
      <x:c r="T691" s="9" t="n">
        <x:f>H691*Z690*INDEX(v01_MortAdult,G691)*Arch_AdultMort/4*Q691</x:f>
        <x:v>0.47072717361472505</x:v>
      </x:c>
      <x:c r="U691" s="9" t="n">
        <x:f>H691*AA690*INDEX(v01_MortElder,G691)/4*Q691</x:f>
        <x:v>0.9012477464956494</x:v>
      </x:c>
      <x:c r="V691" s="9" t="n">
        <x:f>H691*MAX(0,AB690-O691)*v01_OvercapLoss</x:f>
        <x:v>0</x:v>
      </x:c>
      <x:c r="W691" s="9" t="n">
        <x:f>H691*Y690/(v01_ChildYears*4)</x:f>
        <x:v>2.093250222258616</x:v>
      </x:c>
      <x:c r="X691" s="9" t="n">
        <x:f>H691*Z690/(v01_AdultYears*4)</x:f>
        <x:v>0.9733812523050559</x:v>
      </x:c>
      <x:c r="Y691" s="32" t="n">
        <x:f>Y690+R691-S691-W691-Y690*V691/AB690</x:f>
        <x:v>118.27669104257599</x:v>
      </x:c>
      <x:c r="Z691" s="32" t="n">
        <x:f>Z690+W691-X691-T691-Z690*V691/AB690</x:f>
        <x:v>121.34841708216577</x:v>
      </x:c>
      <x:c r="AA691" s="32" t="n">
        <x:f>AA690+X691-U691-AA690*V691/AB690</x:f>
        <x:v>39.68741906605772</x:v>
      </x:c>
      <x:c r="AB691" s="10" t="n">
        <x:f>Y691+Z691+AA691</x:f>
        <x:v>279.31252719079947</x:v>
      </x:c>
      <x:c r="AC691" s="8" t="n">
        <x:f>IF(AND(v01_WinterTrigger=1,D691=1,AB690/AE690&gt;=K691),1,0)</x:f>
        <x:v>0</x:v>
      </x:c>
      <x:c r="AD691" s="8" t="n">
        <x:f>H691*IF(AND(OR(AB690/AE690&gt;=v01_FissionTrigger*N691,AC691=1),AB690/AE690*v01_DaughterShare&gt;=v01_MinDaughter),MAX(1,ROUND(AE690*v01_FissionRate,0)),0)</x:f>
        <x:v>0</x:v>
      </x:c>
      <x:c r="AE691" s="8" t="n">
        <x:f>IF(H691=1,MAX(1,MIN(INDEX(v01_Smax,G691),AE690+AD691)),AE690)</x:f>
        <x:v>7</x:v>
      </x:c>
      <x:c r="AF691" s="8" t="n">
        <x:f>MAX(0,AE691-AE690)</x:f>
        <x:v>0</x:v>
      </x:c>
      <x:c r="AG691" s="9" t="str">
        <x:f>IF(AF691&gt;0,B691,"")</x:f>
      </x:c>
      <x:c r="AH691" s="9" t="n">
        <x:f>IF(F691&gt;=1,1,(1+v01_LowTiesShare*(AE691-1))/AE691)</x:f>
        <x:v>1</x:v>
      </x:c>
      <x:c r="AI691" s="32" t="n">
        <x:f>(Z691+v01_ElderCommons*INDEX(LM_Elder,G691)*AA691)*AH691</x:f>
        <x:v>240.41067428033892</x:v>
      </x:c>
      <x:c r="AJ691" s="32" t="n">
        <x:f>H691*v01_CommonsCoef*AI691^v01_CommonsExp*INDEX(LM_Commons,G691)</x:f>
        <x:v>69.71955718530684</x:v>
      </x:c>
      <x:c r="AK691" s="32" t="n">
        <x:f>H691*v01_RoleScale*Arch_Roles*(AE691*(INDEX(v01_ElderRolePerSett,G691)*v01_OutElder*INDEX(LM_Elder,G691)+INDEX(v01_ShamanPerSett,G691)*v01_OutShaman)+Z691*(INDEX(v01_PriestShare,G691)*v01_OutPriest+INDEX(v01_ScribeShare,G691)*v01_OutScribe*INDEX(LM_Scribe,G691)+INDEX(v01_ScholarShare,G691)*v01_OutScholar*INDEX(LM_Scholar,G691)+INDEX(v01_ResearcherShare,G691)*v01_OutResearcher*INDEX(LM_Researcher,G691)))</x:f>
        <x:v>21</x:v>
      </x:c>
      <x:c r="AL691" s="32" t="n">
        <x:f>H691*v01_RoleScale*Arch_Roles*AE691*INDEX(v01_MonasteryPerSett,G691)*v01_OutMonastery*INDEX(LM_Monastery,G691)</x:f>
        <x:v>0</x:v>
      </x:c>
      <x:c r="AM691" s="32" t="n">
        <x:f>(AJ691+AK691+AL691)/4*INDEX(LM_All,G691)*INDEX(v01_Boon,G691)*Arch_Insight</x:f>
        <x:v>23.82805869195325</x:v>
      </x:c>
      <x:c r="AN691" s="32" t="n">
        <x:f>H691*(v01_KHPerAdult*Z691+v01_KHOfCommons*AJ691/4*INDEX(LM_All,G691))*v01_KHUsable*Arch_KH</x:f>
        <x:v>4.247194597875802</x:v>
      </x:c>
      <x:c r="AO691" s="32" t="n">
        <x:f>MIN(AP690+AN691,AM691*v01_KHMaxRatio)</x:f>
        <x:v>4.247194597875802</x:v>
      </x:c>
      <x:c r="AP691" s="32" t="n">
        <x:f>AP690+AN691-AO691</x:f>
        <x:v>0</x:v>
      </x:c>
      <x:c r="AQ691" s="32" t="n">
        <x:f>AM691+AO691</x:f>
        <x:v>28.07525328982905</x:v>
      </x:c>
      <x:c r="AR691" s="10" t="n">
        <x:f>IF(H691=1,INDEX(v01_Req,G691),0)</x:f>
        <x:v>4006.9599999999996</x:v>
      </x:c>
      <x:c r="AS691" s="32" t="n">
        <x:f>IF(H691=1,IF(E691=1,AS690-AR690,AS690)+AQ691,0)</x:f>
        <x:v>3395.6461148457856</x:v>
      </x:c>
      <x:c r="AT691" s="11" t="n">
        <x:f>IF(AR691&gt;0,MIN(1,AS691/AR691),1)</x:f>
        <x:v>0.8474369883517145</x:v>
      </x:c>
      <x:c r="AU691" s="10" t="n">
        <x:f>AB691/INDEX(v01_RepScale,G691)</x:f>
        <x:v>139.65626359539974</x:v>
      </x:c>
      <x:c r="AV691" s="32" t="n">
        <x:f>AM691*60/v01_SeasonSeconds</x:f>
        <x:v>95.312234767813</x:v>
      </x:c>
    </x:row>
    <x:row r="692">
      <x:c r="A692" s="8" t="n">
        <x:f>A691+1</x:f>
        <x:v>689</x:v>
      </x:c>
      <x:c r="B692" s="9" t="n">
        <x:f>A692*v01_SeasonSeconds/60</x:f>
        <x:v>172.25</x:v>
      </x:c>
      <x:c r="C692" s="9" t="n">
        <x:f>A692/4</x:f>
        <x:v>172.25</x:v>
      </x:c>
      <x:c r="D692" s="8" t="n">
        <x:f>IF(MOD(A692,4)=0,1,0)</x:f>
        <x:v>0</x:v>
      </x:c>
      <x:c r="E692" s="8" t="n">
        <x:f>IF(AND(F691&lt;=9,AS691&gt;=AR691),1,0)</x:f>
        <x:v>0</x:v>
      </x:c>
      <x:c r="F692" s="8" t="n">
        <x:f>MIN(10,F691+E692)</x:f>
        <x:v>2</x:v>
      </x:c>
      <x:c r="G692" s="8" t="n">
        <x:f>MIN(F692,9)+1</x:f>
        <x:v>3</x:v>
      </x:c>
      <x:c r="H692" s="8" t="n">
        <x:f>IF(F692&lt;=9,1,0)</x:f>
        <x:v>1</x:v>
      </x:c>
      <x:c r="I692" s="9" t="n">
        <x:f>MIN(10,F691+IF(AR691&gt;0,MIN(1,AS691/AR691),1))</x:f>
        <x:v>2.8474369883517143</x:v>
      </x:c>
      <x:c r="J692" s="32" t="n">
        <x:f>INDEX(v01_FoodCap,G692)*Arch_FoodCap*EXP(v01_CapsByProject*SUMPRODUCT((Cap_Point&lt;=I692)*(Cap_Kind="Food")*Cap_Ln))</x:f>
        <x:v>60</x:v>
      </x:c>
      <x:c r="K692" s="32" t="n">
        <x:f>J692*MIN(1,v01_LeanBase*EXP(v01_CapsByProject*SUMPRODUCT((Cap_Point&lt;=I692)*(Cap_Kind="Lean")*Cap_Ln)))</x:f>
        <x:v>60</x:v>
      </x:c>
      <x:c r="L692" s="10" t="n">
        <x:f>INDEX(v01_HousingCap,G692)*EXP(v01_CapsByProject*SUMPRODUCT((Cap_Point&lt;=I692)*(Cap_Kind="Housing")*Cap_Ln))</x:f>
        <x:v>100</x:v>
      </x:c>
      <x:c r="M692" s="10" t="n">
        <x:f>INDEX(v01_GroupCap,G692)*v01_CohesionFactor*EXP(v01_CapsByProject*SUMPRODUCT((Cap_Point&lt;=I692)*(Cap_Kind="Group")*Cap_Ln))</x:f>
        <x:v>500</x:v>
      </x:c>
      <x:c r="N692" s="32" t="n">
        <x:f>MIN(J692,L692,M692)</x:f>
        <x:v>60</x:v>
      </x:c>
      <x:c r="O692" s="10" t="n">
        <x:f>AE691*N692</x:f>
        <x:v>420</x:v>
      </x:c>
      <x:c r="P692" s="9" t="n">
        <x:f>MIN(1,(AB691/(AE691*IF(v01_GroupInCrowding=1,N692,MIN(J692,L692))))^v01_CrowdingExp)</x:f>
        <x:v>0.08650610206673297</x:v>
      </x:c>
      <x:c r="Q692" s="9" t="n">
        <x:f>IF(D692=1,INDEX(v01_WinterMult,G692),1)</x:f>
        <x:v>1</x:v>
      </x:c>
      <x:c r="R692" s="9" t="n">
        <x:f>H692*Z691*v01_WomenShare*v01_BaseFertility*INDEX(v01_FertMult,G692)*Arch_Fertility*(1-P692)</x:f>
        <x:v>4.489467060400988</x:v>
      </x:c>
      <x:c r="S692" s="9" t="n">
        <x:f>H692*Y691*INDEX(v01_MortChild,G692)/4*Q692</x:f>
        <x:v>1.03492104662254</x:v>
      </x:c>
      <x:c r="T692" s="9" t="n">
        <x:f>H692*Z691*INDEX(v01_MortAdult,G692)*Arch_AdultMort/4*Q692</x:f>
        <x:v>0.3640452512464973</x:v>
      </x:c>
      <x:c r="U692" s="9" t="n">
        <x:f>H692*AA691*INDEX(v01_MortElder,G692)/4*Q692</x:f>
        <x:v>0.6945298336560102</x:v>
      </x:c>
      <x:c r="V692" s="9" t="n">
        <x:f>H692*MAX(0,AB691-O692)*v01_OvercapLoss</x:f>
        <x:v>0</x:v>
      </x:c>
      <x:c r="W692" s="9" t="n">
        <x:f>H692*Y691/(v01_ChildYears*4)</x:f>
        <x:v>2.1120837686174285</x:v>
      </x:c>
      <x:c r="X692" s="9" t="n">
        <x:f>H692*Z691/(v01_AdultYears*4)</x:f>
        <x:v>0.9786162667916594</x:v>
      </x:c>
      <x:c r="Y692" s="32" t="n">
        <x:f>Y691+R692-S692-W692-Y691*V692/AB691</x:f>
        <x:v>119.619153287737</x:v>
      </x:c>
      <x:c r="Z692" s="32" t="n">
        <x:f>Z691+W692-X692-T692-Z691*V692/AB691</x:f>
        <x:v>122.11783933274504</x:v>
      </x:c>
      <x:c r="AA692" s="32" t="n">
        <x:f>AA691+X692-U692-AA691*V692/AB691</x:f>
        <x:v>39.97150549919337</x:v>
      </x:c>
      <x:c r="AB692" s="10" t="n">
        <x:f>Y692+Z692+AA692</x:f>
        <x:v>281.7084981196754</x:v>
      </x:c>
      <x:c r="AC692" s="8" t="n">
        <x:f>IF(AND(v01_WinterTrigger=1,D692=1,AB691/AE691&gt;=K692),1,0)</x:f>
        <x:v>0</x:v>
      </x:c>
      <x:c r="AD692" s="8" t="n">
        <x:f>H692*IF(AND(OR(AB691/AE691&gt;=v01_FissionTrigger*N692,AC692=1),AB691/AE691*v01_DaughterShare&gt;=v01_MinDaughter),MAX(1,ROUND(AE691*v01_FissionRate,0)),0)</x:f>
        <x:v>0</x:v>
      </x:c>
      <x:c r="AE692" s="8" t="n">
        <x:f>IF(H692=1,MAX(1,MIN(INDEX(v01_Smax,G692),AE691+AD692)),AE691)</x:f>
        <x:v>7</x:v>
      </x:c>
      <x:c r="AF692" s="8" t="n">
        <x:f>MAX(0,AE692-AE691)</x:f>
        <x:v>0</x:v>
      </x:c>
      <x:c r="AG692" s="9" t="str">
        <x:f>IF(AF692&gt;0,B692,"")</x:f>
      </x:c>
      <x:c r="AH692" s="9" t="n">
        <x:f>IF(F692&gt;=1,1,(1+v01_LowTiesShare*(AE692-1))/AE692)</x:f>
        <x:v>1</x:v>
      </x:c>
      <x:c r="AI692" s="32" t="n">
        <x:f>(Z692+v01_ElderCommons*INDEX(LM_Elder,G692)*AA692)*AH692</x:f>
        <x:v>242.03235583032514</x:v>
      </x:c>
      <x:c r="AJ692" s="32" t="n">
        <x:f>H692*v01_CommonsCoef*AI692^v01_CommonsExp*INDEX(LM_Commons,G692)</x:f>
        <x:v>70.1191026193267</x:v>
      </x:c>
      <x:c r="AK692" s="32" t="n">
        <x:f>H692*v01_RoleScale*Arch_Roles*(AE692*(INDEX(v01_ElderRolePerSett,G692)*v01_OutElder*INDEX(LM_Elder,G692)+INDEX(v01_ShamanPerSett,G692)*v01_OutShaman)+Z692*(INDEX(v01_PriestShare,G692)*v01_OutPriest+INDEX(v01_ScribeShare,G692)*v01_OutScribe*INDEX(LM_Scribe,G692)+INDEX(v01_ScholarShare,G692)*v01_OutScholar*INDEX(LM_Scholar,G692)+INDEX(v01_ResearcherShare,G692)*v01_OutResearcher*INDEX(LM_Researcher,G692)))</x:f>
        <x:v>21</x:v>
      </x:c>
      <x:c r="AL692" s="32" t="n">
        <x:f>H692*v01_RoleScale*Arch_Roles*AE692*INDEX(v01_MonasteryPerSett,G692)*v01_OutMonastery*INDEX(LM_Monastery,G692)</x:f>
        <x:v>0</x:v>
      </x:c>
      <x:c r="AM692" s="32" t="n">
        <x:f>(AJ692+AK692+AL692)/4*INDEX(LM_All,G692)*INDEX(v01_Boon,G692)*Arch_Insight</x:f>
        <x:v>23.933001797357527</x:v>
      </x:c>
      <x:c r="AN692" s="32" t="n">
        <x:f>H692*(v01_KHPerAdult*Z692+v01_KHOfCommons*AJ692/4*INDEX(LM_All,G692))*v01_KHUsable*Arch_KH</x:f>
        <x:v>4.274124376646076</x:v>
      </x:c>
      <x:c r="AO692" s="32" t="n">
        <x:f>MIN(AP691+AN692,AM692*v01_KHMaxRatio)</x:f>
        <x:v>4.274124376646076</x:v>
      </x:c>
      <x:c r="AP692" s="32" t="n">
        <x:f>AP691+AN692-AO692</x:f>
        <x:v>0</x:v>
      </x:c>
      <x:c r="AQ692" s="32" t="n">
        <x:f>AM692+AO692</x:f>
        <x:v>28.2071261740036</x:v>
      </x:c>
      <x:c r="AR692" s="10" t="n">
        <x:f>IF(H692=1,INDEX(v01_Req,G692),0)</x:f>
        <x:v>4006.9599999999996</x:v>
      </x:c>
      <x:c r="AS692" s="32" t="n">
        <x:f>IF(H692=1,IF(E692=1,AS691-AR691,AS691)+AQ692,0)</x:f>
        <x:v>3423.853241019789</x:v>
      </x:c>
      <x:c r="AT692" s="11" t="n">
        <x:f>IF(AR692&gt;0,MIN(1,AS692/AR692),1)</x:f>
        <x:v>0.854476521108219</x:v>
      </x:c>
      <x:c r="AU692" s="10" t="n">
        <x:f>AB692/INDEX(v01_RepScale,G692)</x:f>
        <x:v>140.8542490598377</x:v>
      </x:c>
      <x:c r="AV692" s="32" t="n">
        <x:f>AM692*60/v01_SeasonSeconds</x:f>
        <x:v>95.7320071894301</x:v>
      </x:c>
    </x:row>
    <x:row r="693">
      <x:c r="A693" s="8" t="n">
        <x:f>A692+1</x:f>
        <x:v>690</x:v>
      </x:c>
      <x:c r="B693" s="9" t="n">
        <x:f>A693*v01_SeasonSeconds/60</x:f>
        <x:v>172.5</x:v>
      </x:c>
      <x:c r="C693" s="9" t="n">
        <x:f>A693/4</x:f>
        <x:v>172.5</x:v>
      </x:c>
      <x:c r="D693" s="8" t="n">
        <x:f>IF(MOD(A693,4)=0,1,0)</x:f>
        <x:v>0</x:v>
      </x:c>
      <x:c r="E693" s="8" t="n">
        <x:f>IF(AND(F692&lt;=9,AS692&gt;=AR692),1,0)</x:f>
        <x:v>0</x:v>
      </x:c>
      <x:c r="F693" s="8" t="n">
        <x:f>MIN(10,F692+E693)</x:f>
        <x:v>2</x:v>
      </x:c>
      <x:c r="G693" s="8" t="n">
        <x:f>MIN(F693,9)+1</x:f>
        <x:v>3</x:v>
      </x:c>
      <x:c r="H693" s="8" t="n">
        <x:f>IF(F693&lt;=9,1,0)</x:f>
        <x:v>1</x:v>
      </x:c>
      <x:c r="I693" s="9" t="n">
        <x:f>MIN(10,F692+IF(AR692&gt;0,MIN(1,AS692/AR692),1))</x:f>
        <x:v>2.854476521108219</x:v>
      </x:c>
      <x:c r="J693" s="32" t="n">
        <x:f>INDEX(v01_FoodCap,G693)*Arch_FoodCap*EXP(v01_CapsByProject*SUMPRODUCT((Cap_Point&lt;=I693)*(Cap_Kind="Food")*Cap_Ln))</x:f>
        <x:v>60</x:v>
      </x:c>
      <x:c r="K693" s="32" t="n">
        <x:f>J693*MIN(1,v01_LeanBase*EXP(v01_CapsByProject*SUMPRODUCT((Cap_Point&lt;=I693)*(Cap_Kind="Lean")*Cap_Ln)))</x:f>
        <x:v>60</x:v>
      </x:c>
      <x:c r="L693" s="10" t="n">
        <x:f>INDEX(v01_HousingCap,G693)*EXP(v01_CapsByProject*SUMPRODUCT((Cap_Point&lt;=I693)*(Cap_Kind="Housing")*Cap_Ln))</x:f>
        <x:v>100</x:v>
      </x:c>
      <x:c r="M693" s="10" t="n">
        <x:f>INDEX(v01_GroupCap,G693)*v01_CohesionFactor*EXP(v01_CapsByProject*SUMPRODUCT((Cap_Point&lt;=I693)*(Cap_Kind="Group")*Cap_Ln))</x:f>
        <x:v>500</x:v>
      </x:c>
      <x:c r="N693" s="32" t="n">
        <x:f>MIN(J693,L693,M693)</x:f>
        <x:v>60</x:v>
      </x:c>
      <x:c r="O693" s="10" t="n">
        <x:f>AE692*N693</x:f>
        <x:v>420</x:v>
      </x:c>
      <x:c r="P693" s="9" t="n">
        <x:f>MIN(1,(AB692/(AE692*IF(v01_GroupInCrowding=1,N693,MIN(J693,L693))))^v01_CrowdingExp)</x:f>
        <x:v>0.091055031136049</x:v>
      </x:c>
      <x:c r="Q693" s="9" t="n">
        <x:f>IF(D693=1,INDEX(v01_WinterMult,G693),1)</x:f>
        <x:v>1</x:v>
      </x:c>
      <x:c r="R693" s="9" t="n">
        <x:f>H693*Z692*v01_WomenShare*v01_BaseFertility*INDEX(v01_FertMult,G693)*Arch_Fertility*(1-P693)</x:f>
        <x:v>4.495435024636413</x:v>
      </x:c>
      <x:c r="S693" s="9" t="n">
        <x:f>H693*Y692*INDEX(v01_MortChild,G693)/4*Q693</x:f>
        <x:v>1.0466675912676988</x:v>
      </x:c>
      <x:c r="T693" s="9" t="n">
        <x:f>H693*Z692*INDEX(v01_MortAdult,G693)*Arch_AdultMort/4*Q693</x:f>
        <x:v>0.3663535179982351</x:v>
      </x:c>
      <x:c r="U693" s="9" t="n">
        <x:f>H693*AA692*INDEX(v01_MortElder,G693)/4*Q693</x:f>
        <x:v>0.699501346235884</x:v>
      </x:c>
      <x:c r="V693" s="9" t="n">
        <x:f>H693*MAX(0,AB692-O693)*v01_OvercapLoss</x:f>
        <x:v>0</x:v>
      </x:c>
      <x:c r="W693" s="9" t="n">
        <x:f>H693*Y692/(v01_ChildYears*4)</x:f>
        <x:v>2.1360563087095894</x:v>
      </x:c>
      <x:c r="X693" s="9" t="n">
        <x:f>H693*Z692/(v01_AdultYears*4)</x:f>
        <x:v>0.9848212849414922</x:v>
      </x:c>
      <x:c r="Y693" s="32" t="n">
        <x:f>Y692+R693-S693-W693-Y692*V693/AB692</x:f>
        <x:v>120.93186441239614</x:v>
      </x:c>
      <x:c r="Z693" s="32" t="n">
        <x:f>Z692+W693-X693-T693-Z692*V693/AB692</x:f>
        <x:v>122.9027208385149</x:v>
      </x:c>
      <x:c r="AA693" s="32" t="n">
        <x:f>AA692+X693-U693-AA692*V693/AB692</x:f>
        <x:v>40.256825437898975</x:v>
      </x:c>
      <x:c r="AB693" s="10" t="n">
        <x:f>Y693+Z693+AA693</x:f>
        <x:v>284.09141068881</x:v>
      </x:c>
      <x:c r="AC693" s="8" t="n">
        <x:f>IF(AND(v01_WinterTrigger=1,D693=1,AB692/AE692&gt;=K693),1,0)</x:f>
        <x:v>0</x:v>
      </x:c>
      <x:c r="AD693" s="8" t="n">
        <x:f>H693*IF(AND(OR(AB692/AE692&gt;=v01_FissionTrigger*N693,AC693=1),AB692/AE692*v01_DaughterShare&gt;=v01_MinDaughter),MAX(1,ROUND(AE692*v01_FissionRate,0)),0)</x:f>
        <x:v>0</x:v>
      </x:c>
      <x:c r="AE693" s="8" t="n">
        <x:f>IF(H693=1,MAX(1,MIN(INDEX(v01_Smax,G693),AE692+AD693)),AE692)</x:f>
        <x:v>7</x:v>
      </x:c>
      <x:c r="AF693" s="8" t="n">
        <x:f>MAX(0,AE693-AE692)</x:f>
        <x:v>0</x:v>
      </x:c>
      <x:c r="AG693" s="9" t="str">
        <x:f>IF(AF693&gt;0,B693,"")</x:f>
      </x:c>
      <x:c r="AH693" s="9" t="n">
        <x:f>IF(F693&gt;=1,1,(1+v01_LowTiesShare*(AE693-1))/AE693)</x:f>
        <x:v>1</x:v>
      </x:c>
      <x:c r="AI693" s="32" t="n">
        <x:f>(Z693+v01_ElderCommons*INDEX(LM_Elder,G693)*AA693)*AH693</x:f>
        <x:v>243.6731971522118</x:v>
      </x:c>
      <x:c r="AJ693" s="32" t="n">
        <x:f>H693*v01_CommonsCoef*AI693^v01_CommonsExp*INDEX(LM_Commons,G693)</x:f>
        <x:v>70.52296009584877</x:v>
      </x:c>
      <x:c r="AK693" s="32" t="n">
        <x:f>H693*v01_RoleScale*Arch_Roles*(AE693*(INDEX(v01_ElderRolePerSett,G693)*v01_OutElder*INDEX(LM_Elder,G693)+INDEX(v01_ShamanPerSett,G693)*v01_OutShaman)+Z693*(INDEX(v01_PriestShare,G693)*v01_OutPriest+INDEX(v01_ScribeShare,G693)*v01_OutScribe*INDEX(LM_Scribe,G693)+INDEX(v01_ScholarShare,G693)*v01_OutScholar*INDEX(LM_Scholar,G693)+INDEX(v01_ResearcherShare,G693)*v01_OutResearcher*INDEX(LM_Researcher,G693)))</x:f>
        <x:v>21</x:v>
      </x:c>
      <x:c r="AL693" s="32" t="n">
        <x:f>H693*v01_RoleScale*Arch_Roles*AE693*INDEX(v01_MonasteryPerSett,G693)*v01_OutMonastery*INDEX(LM_Monastery,G693)</x:f>
        <x:v>0</x:v>
      </x:c>
      <x:c r="AM693" s="32" t="n">
        <x:f>(AJ693+AK693+AL693)/4*INDEX(LM_All,G693)*INDEX(v01_Boon,G693)*Arch_Insight</x:f>
        <x:v>24.03907748767528</x:v>
      </x:c>
      <x:c r="AN693" s="32" t="n">
        <x:f>H693*(v01_KHPerAdult*Z693+v01_KHOfCommons*AJ693/4*INDEX(LM_All,G693))*v01_KHUsable*Arch_KH</x:f>
        <x:v>4.301595229348021</x:v>
      </x:c>
      <x:c r="AO693" s="32" t="n">
        <x:f>MIN(AP692+AN693,AM693*v01_KHMaxRatio)</x:f>
        <x:v>4.301595229348021</x:v>
      </x:c>
      <x:c r="AP693" s="32" t="n">
        <x:f>AP692+AN693-AO693</x:f>
        <x:v>0</x:v>
      </x:c>
      <x:c r="AQ693" s="32" t="n">
        <x:f>AM693+AO693</x:f>
        <x:v>28.3406727170233</x:v>
      </x:c>
      <x:c r="AR693" s="10" t="n">
        <x:f>IF(H693=1,INDEX(v01_Req,G693),0)</x:f>
        <x:v>4006.9599999999996</x:v>
      </x:c>
      <x:c r="AS693" s="32" t="n">
        <x:f>IF(H693=1,IF(E693=1,AS692-AR692,AS692)+AQ693,0)</x:f>
        <x:v>3452.193913736812</x:v>
      </x:c>
      <x:c r="AT693" s="11" t="n">
        <x:f>IF(AR693&gt;0,MIN(1,AS693/AR693),1)</x:f>
        <x:v>0.8615493825086381</x:v>
      </x:c>
      <x:c r="AU693" s="10" t="n">
        <x:f>AB693/INDEX(v01_RepScale,G693)</x:f>
        <x:v>142.045705344405</x:v>
      </x:c>
      <x:c r="AV693" s="32" t="n">
        <x:f>AM693*60/v01_SeasonSeconds</x:f>
        <x:v>96.15630995070111</x:v>
      </x:c>
    </x:row>
    <x:row r="694">
      <x:c r="A694" s="8" t="n">
        <x:f>A693+1</x:f>
        <x:v>691</x:v>
      </x:c>
      <x:c r="B694" s="9" t="n">
        <x:f>A694*v01_SeasonSeconds/60</x:f>
        <x:v>172.75</x:v>
      </x:c>
      <x:c r="C694" s="9" t="n">
        <x:f>A694/4</x:f>
        <x:v>172.75</x:v>
      </x:c>
      <x:c r="D694" s="8" t="n">
        <x:f>IF(MOD(A694,4)=0,1,0)</x:f>
        <x:v>0</x:v>
      </x:c>
      <x:c r="E694" s="8" t="n">
        <x:f>IF(AND(F693&lt;=9,AS693&gt;=AR693),1,0)</x:f>
        <x:v>0</x:v>
      </x:c>
      <x:c r="F694" s="8" t="n">
        <x:f>MIN(10,F693+E694)</x:f>
        <x:v>2</x:v>
      </x:c>
      <x:c r="G694" s="8" t="n">
        <x:f>MIN(F694,9)+1</x:f>
        <x:v>3</x:v>
      </x:c>
      <x:c r="H694" s="8" t="n">
        <x:f>IF(F694&lt;=9,1,0)</x:f>
        <x:v>1</x:v>
      </x:c>
      <x:c r="I694" s="9" t="n">
        <x:f>MIN(10,F693+IF(AR693&gt;0,MIN(1,AS693/AR693),1))</x:f>
        <x:v>2.861549382508638</x:v>
      </x:c>
      <x:c r="J694" s="32" t="n">
        <x:f>INDEX(v01_FoodCap,G694)*Arch_FoodCap*EXP(v01_CapsByProject*SUMPRODUCT((Cap_Point&lt;=I694)*(Cap_Kind="Food")*Cap_Ln))</x:f>
        <x:v>60</x:v>
      </x:c>
      <x:c r="K694" s="32" t="n">
        <x:f>J694*MIN(1,v01_LeanBase*EXP(v01_CapsByProject*SUMPRODUCT((Cap_Point&lt;=I694)*(Cap_Kind="Lean")*Cap_Ln)))</x:f>
        <x:v>60</x:v>
      </x:c>
      <x:c r="L694" s="10" t="n">
        <x:f>INDEX(v01_HousingCap,G694)*EXP(v01_CapsByProject*SUMPRODUCT((Cap_Point&lt;=I694)*(Cap_Kind="Housing")*Cap_Ln))</x:f>
        <x:v>100</x:v>
      </x:c>
      <x:c r="M694" s="10" t="n">
        <x:f>INDEX(v01_GroupCap,G694)*v01_CohesionFactor*EXP(v01_CapsByProject*SUMPRODUCT((Cap_Point&lt;=I694)*(Cap_Kind="Group")*Cap_Ln))</x:f>
        <x:v>500</x:v>
      </x:c>
      <x:c r="N694" s="32" t="n">
        <x:f>MIN(J694,L694,M694)</x:f>
        <x:v>60</x:v>
      </x:c>
      <x:c r="O694" s="10" t="n">
        <x:f>AE693*N694</x:f>
        <x:v>420</x:v>
      </x:c>
      <x:c r="P694" s="9" t="n">
        <x:f>MIN(1,(AB693/(AE693*IF(v01_GroupInCrowding=1,N694,MIN(J694,L694))))^v01_CrowdingExp)</x:f>
        <x:v>0.09577515809611871</x:v>
      </x:c>
      <x:c r="Q694" s="9" t="n">
        <x:f>IF(D694=1,INDEX(v01_WinterMult,G694),1)</x:f>
        <x:v>1</x:v>
      </x:c>
      <x:c r="R694" s="9" t="n">
        <x:f>H694*Z693*v01_WomenShare*v01_BaseFertility*INDEX(v01_FertMult,G694)*Arch_Fertility*(1-P694)</x:f>
        <x:v>4.500833579450401</x:v>
      </x:c>
      <x:c r="S694" s="9" t="n">
        <x:f>H694*Y693*INDEX(v01_MortChild,G694)/4*Q694</x:f>
        <x:v>1.0581538136084663</x:v>
      </x:c>
      <x:c r="T694" s="9" t="n">
        <x:f>H694*Z693*INDEX(v01_MortAdult,G694)*Arch_AdultMort/4*Q694</x:f>
        <x:v>0.36870816251554467</x:v>
      </x:c>
      <x:c r="U694" s="9" t="n">
        <x:f>H694*AA693*INDEX(v01_MortElder,G694)/4*Q694</x:f>
        <x:v>0.7044944451632321</x:v>
      </x:c>
      <x:c r="V694" s="9" t="n">
        <x:f>H694*MAX(0,AB693-O694)*v01_OvercapLoss</x:f>
        <x:v>0</x:v>
      </x:c>
      <x:c r="W694" s="9" t="n">
        <x:f>H694*Y693/(v01_ChildYears*4)</x:f>
        <x:v>2.1594975787927884</x:v>
      </x:c>
      <x:c r="X694" s="9" t="n">
        <x:f>H694*Z693/(v01_AdultYears*4)</x:f>
        <x:v>0.9911509745041523</x:v>
      </x:c>
      <x:c r="Y694" s="32" t="n">
        <x:f>Y693+R694-S694-W694-Y693*V694/AB693</x:f>
        <x:v>122.21504659944527</x:v>
      </x:c>
      <x:c r="Z694" s="32" t="n">
        <x:f>Z693+W694-X694-T694-Z693*V694/AB693</x:f>
        <x:v>123.702359280288</x:v>
      </x:c>
      <x:c r="AA694" s="32" t="n">
        <x:f>AA693+X694-U694-AA693*V694/AB693</x:f>
        <x:v>40.54348196723989</x:v>
      </x:c>
      <x:c r="AB694" s="10" t="n">
        <x:f>Y694+Z694+AA694</x:f>
        <x:v>286.46088784697315</x:v>
      </x:c>
      <x:c r="AC694" s="8" t="n">
        <x:f>IF(AND(v01_WinterTrigger=1,D694=1,AB693/AE693&gt;=K694),1,0)</x:f>
        <x:v>0</x:v>
      </x:c>
      <x:c r="AD694" s="8" t="n">
        <x:f>H694*IF(AND(OR(AB693/AE693&gt;=v01_FissionTrigger*N694,AC694=1),AB693/AE693*v01_DaughterShare&gt;=v01_MinDaughter),MAX(1,ROUND(AE693*v01_FissionRate,0)),0)</x:f>
        <x:v>0</x:v>
      </x:c>
      <x:c r="AE694" s="8" t="n">
        <x:f>IF(H694=1,MAX(1,MIN(INDEX(v01_Smax,G694),AE693+AD694)),AE693)</x:f>
        <x:v>7</x:v>
      </x:c>
      <x:c r="AF694" s="8" t="n">
        <x:f>MAX(0,AE694-AE693)</x:f>
        <x:v>0</x:v>
      </x:c>
      <x:c r="AG694" s="9" t="str">
        <x:f>IF(AF694&gt;0,B694,"")</x:f>
      </x:c>
      <x:c r="AH694" s="9" t="n">
        <x:f>IF(F694&gt;=1,1,(1+v01_LowTiesShare*(AE694-1))/AE694)</x:f>
        <x:v>1</x:v>
      </x:c>
      <x:c r="AI694" s="32" t="n">
        <x:f>(Z694+v01_ElderCommons*INDEX(LM_Elder,G694)*AA694)*AH694</x:f>
        <x:v>245.33280518200766</x:v>
      </x:c>
      <x:c r="AJ694" s="32" t="n">
        <x:f>H694*v01_CommonsCoef*AI694^v01_CommonsExp*INDEX(LM_Commons,G694)</x:f>
        <x:v>70.93102186054051</x:v>
      </x:c>
      <x:c r="AK694" s="32" t="n">
        <x:f>H694*v01_RoleScale*Arch_Roles*(AE694*(INDEX(v01_ElderRolePerSett,G694)*v01_OutElder*INDEX(LM_Elder,G694)+INDEX(v01_ShamanPerSett,G694)*v01_OutShaman)+Z694*(INDEX(v01_PriestShare,G694)*v01_OutPriest+INDEX(v01_ScribeShare,G694)*v01_OutScribe*INDEX(LM_Scribe,G694)+INDEX(v01_ScholarShare,G694)*v01_OutScholar*INDEX(LM_Scholar,G694)+INDEX(v01_ResearcherShare,G694)*v01_OutResearcher*INDEX(LM_Researcher,G694)))</x:f>
        <x:v>21</x:v>
      </x:c>
      <x:c r="AL694" s="32" t="n">
        <x:f>H694*v01_RoleScale*Arch_Roles*AE694*INDEX(v01_MonasteryPerSett,G694)*v01_OutMonastery*INDEX(LM_Monastery,G694)</x:f>
        <x:v>0</x:v>
      </x:c>
      <x:c r="AM694" s="32" t="n">
        <x:f>(AJ694+AK694+AL694)/4*INDEX(LM_All,G694)*INDEX(v01_Boon,G694)*Arch_Insight</x:f>
        <x:v>24.146257460557592</x:v>
      </x:c>
      <x:c r="AN694" s="32" t="n">
        <x:f>H694*(v01_KHPerAdult*Z694+v01_KHOfCommons*AJ694/4*INDEX(LM_All,G694))*v01_KHUsable*Arch_KH</x:f>
        <x:v>4.32958257481008</x:v>
      </x:c>
      <x:c r="AO694" s="32" t="n">
        <x:f>MIN(AP693+AN694,AM694*v01_KHMaxRatio)</x:f>
        <x:v>4.32958257481008</x:v>
      </x:c>
      <x:c r="AP694" s="32" t="n">
        <x:f>AP693+AN694-AO694</x:f>
        <x:v>0</x:v>
      </x:c>
      <x:c r="AQ694" s="32" t="n">
        <x:f>AM694+AO694</x:f>
        <x:v>28.47584003536767</x:v>
      </x:c>
      <x:c r="AR694" s="10" t="n">
        <x:f>IF(H694=1,INDEX(v01_Req,G694),0)</x:f>
        <x:v>4006.9599999999996</x:v>
      </x:c>
      <x:c r="AS694" s="32" t="n">
        <x:f>IF(H694=1,IF(E694=1,AS693-AR693,AS693)+AQ694,0)</x:f>
        <x:v>3480.66975377218</x:v>
      </x:c>
      <x:c r="AT694" s="11" t="n">
        <x:f>IF(AR694&gt;0,MIN(1,AS694/AR694),1)</x:f>
        <x:v>0.8686559770429902</x:v>
      </x:c>
      <x:c r="AU694" s="10" t="n">
        <x:f>AB694/INDEX(v01_RepScale,G694)</x:f>
        <x:v>143.23044392348658</x:v>
      </x:c>
      <x:c r="AV694" s="32" t="n">
        <x:f>AM694*60/v01_SeasonSeconds</x:f>
        <x:v>96.58502984223037</x:v>
      </x:c>
    </x:row>
    <x:row r="695">
      <x:c r="A695" s="8" t="n">
        <x:f>A694+1</x:f>
        <x:v>692</x:v>
      </x:c>
      <x:c r="B695" s="9" t="n">
        <x:f>A695*v01_SeasonSeconds/60</x:f>
        <x:v>173</x:v>
      </x:c>
      <x:c r="C695" s="9" t="n">
        <x:f>A695/4</x:f>
        <x:v>173</x:v>
      </x:c>
      <x:c r="D695" s="8" t="n">
        <x:f>IF(MOD(A695,4)=0,1,0)</x:f>
        <x:v>1</x:v>
      </x:c>
      <x:c r="E695" s="8" t="n">
        <x:f>IF(AND(F694&lt;=9,AS694&gt;=AR694),1,0)</x:f>
        <x:v>0</x:v>
      </x:c>
      <x:c r="F695" s="8" t="n">
        <x:f>MIN(10,F694+E695)</x:f>
        <x:v>2</x:v>
      </x:c>
      <x:c r="G695" s="8" t="n">
        <x:f>MIN(F695,9)+1</x:f>
        <x:v>3</x:v>
      </x:c>
      <x:c r="H695" s="8" t="n">
        <x:f>IF(F695&lt;=9,1,0)</x:f>
        <x:v>1</x:v>
      </x:c>
      <x:c r="I695" s="9" t="n">
        <x:f>MIN(10,F694+IF(AR694&gt;0,MIN(1,AS694/AR694),1))</x:f>
        <x:v>2.86865597704299</x:v>
      </x:c>
      <x:c r="J695" s="32" t="n">
        <x:f>INDEX(v01_FoodCap,G695)*Arch_FoodCap*EXP(v01_CapsByProject*SUMPRODUCT((Cap_Point&lt;=I695)*(Cap_Kind="Food")*Cap_Ln))</x:f>
        <x:v>60</x:v>
      </x:c>
      <x:c r="K695" s="32" t="n">
        <x:f>J695*MIN(1,v01_LeanBase*EXP(v01_CapsByProject*SUMPRODUCT((Cap_Point&lt;=I695)*(Cap_Kind="Lean")*Cap_Ln)))</x:f>
        <x:v>60</x:v>
      </x:c>
      <x:c r="L695" s="10" t="n">
        <x:f>INDEX(v01_HousingCap,G695)*EXP(v01_CapsByProject*SUMPRODUCT((Cap_Point&lt;=I695)*(Cap_Kind="Housing")*Cap_Ln))</x:f>
        <x:v>100</x:v>
      </x:c>
      <x:c r="M695" s="10" t="n">
        <x:f>INDEX(v01_GroupCap,G695)*v01_CohesionFactor*EXP(v01_CapsByProject*SUMPRODUCT((Cap_Point&lt;=I695)*(Cap_Kind="Group")*Cap_Ln))</x:f>
        <x:v>500</x:v>
      </x:c>
      <x:c r="N695" s="32" t="n">
        <x:f>MIN(J695,L695,M695)</x:f>
        <x:v>60</x:v>
      </x:c>
      <x:c r="O695" s="10" t="n">
        <x:f>AE694*N695</x:f>
        <x:v>420</x:v>
      </x:c>
      <x:c r="P695" s="9" t="n">
        <x:f>MIN(1,(AB694/(AE694*IF(v01_GroupInCrowding=1,N695,MIN(J695,L695))))^v01_CrowdingExp)</x:f>
        <x:v>0.10066911701804482</x:v>
      </x:c>
      <x:c r="Q695" s="9" t="n">
        <x:f>IF(D695=1,INDEX(v01_WinterMult,G695),1)</x:f>
        <x:v>1.3</x:v>
      </x:c>
      <x:c r="R695" s="9" t="n">
        <x:f>H695*Z694*v01_WomenShare*v01_BaseFertility*INDEX(v01_FertMult,G695)*Arch_Fertility*(1-P695)</x:f>
        <x:v>4.505598755938945</x:v>
      </x:c>
      <x:c r="S695" s="9" t="n">
        <x:f>H695*Y694*INDEX(v01_MortChild,G695)/4*Q695</x:f>
        <x:v>1.39019615506869</x:v>
      </x:c>
      <x:c r="T695" s="9" t="n">
        <x:f>H695*Z694*INDEX(v01_MortAdult,G695)*Arch_AdultMort/4*Q695</x:f>
        <x:v>0.4824392011931232</x:v>
      </x:c>
      <x:c r="U695" s="9" t="n">
        <x:f>H695*AA694*INDEX(v01_MortElder,G695)/4*Q695</x:f>
        <x:v>0.9223642147547078</x:v>
      </x:c>
      <x:c r="V695" s="9" t="n">
        <x:f>H695*MAX(0,AB694-O695)*v01_OvercapLoss</x:f>
        <x:v>0</x:v>
      </x:c>
      <x:c r="W695" s="9" t="n">
        <x:f>H695*Y694/(v01_ChildYears*4)</x:f>
        <x:v>2.1824115464186655</x:v>
      </x:c>
      <x:c r="X695" s="9" t="n">
        <x:f>H695*Z694/(v01_AdultYears*4)</x:f>
        <x:v>0.9975996716152258</x:v>
      </x:c>
      <x:c r="Y695" s="32" t="n">
        <x:f>Y694+R695-S695-W695-Y694*V695/AB694</x:f>
        <x:v>123.14803765389686</x:v>
      </x:c>
      <x:c r="Z695" s="32" t="n">
        <x:f>Z694+W695-X695-T695-Z694*V695/AB694</x:f>
        <x:v>124.40473195389832</x:v>
      </x:c>
      <x:c r="AA695" s="32" t="n">
        <x:f>AA694+X695-U695-AA694*V695/AB694</x:f>
        <x:v>40.61871742410041</x:v>
      </x:c>
      <x:c r="AB695" s="10" t="n">
        <x:f>Y695+Z695+AA695</x:f>
        <x:v>288.1714870318956</x:v>
      </x:c>
      <x:c r="AC695" s="8" t="n">
        <x:f>IF(AND(v01_WinterTrigger=1,D695=1,AB694/AE694&gt;=K695),1,0)</x:f>
        <x:v>0</x:v>
      </x:c>
      <x:c r="AD695" s="8" t="n">
        <x:f>H695*IF(AND(OR(AB694/AE694&gt;=v01_FissionTrigger*N695,AC695=1),AB694/AE694*v01_DaughterShare&gt;=v01_MinDaughter),MAX(1,ROUND(AE694*v01_FissionRate,0)),0)</x:f>
        <x:v>0</x:v>
      </x:c>
      <x:c r="AE695" s="8" t="n">
        <x:f>IF(H695=1,MAX(1,MIN(INDEX(v01_Smax,G695),AE694+AD695)),AE694)</x:f>
        <x:v>7</x:v>
      </x:c>
      <x:c r="AF695" s="8" t="n">
        <x:f>MAX(0,AE695-AE694)</x:f>
        <x:v>0</x:v>
      </x:c>
      <x:c r="AG695" s="9" t="str">
        <x:f>IF(AF695&gt;0,B695,"")</x:f>
      </x:c>
      <x:c r="AH695" s="9" t="n">
        <x:f>IF(F695&gt;=1,1,(1+v01_LowTiesShare*(AE695-1))/AE695)</x:f>
        <x:v>1</x:v>
      </x:c>
      <x:c r="AI695" s="32" t="n">
        <x:f>(Z695+v01_ElderCommons*INDEX(LM_Elder,G695)*AA695)*AH695</x:f>
        <x:v>246.26088422619955</x:v>
      </x:c>
      <x:c r="AJ695" s="32" t="n">
        <x:f>H695*v01_CommonsCoef*AI695^v01_CommonsExp*INDEX(LM_Commons,G695)</x:f>
        <x:v>71.15903581504963</x:v>
      </x:c>
      <x:c r="AK695" s="32" t="n">
        <x:f>H695*v01_RoleScale*Arch_Roles*(AE695*(INDEX(v01_ElderRolePerSett,G695)*v01_OutElder*INDEX(LM_Elder,G695)+INDEX(v01_ShamanPerSett,G695)*v01_OutShaman)+Z695*(INDEX(v01_PriestShare,G695)*v01_OutPriest+INDEX(v01_ScribeShare,G695)*v01_OutScribe*INDEX(LM_Scribe,G695)+INDEX(v01_ScholarShare,G695)*v01_OutScholar*INDEX(LM_Scholar,G695)+INDEX(v01_ResearcherShare,G695)*v01_OutResearcher*INDEX(LM_Researcher,G695)))</x:f>
        <x:v>21</x:v>
      </x:c>
      <x:c r="AL695" s="32" t="n">
        <x:f>H695*v01_RoleScale*Arch_Roles*AE695*INDEX(v01_MonasteryPerSett,G695)*v01_OutMonastery*INDEX(LM_Monastery,G695)</x:f>
        <x:v>0</x:v>
      </x:c>
      <x:c r="AM695" s="32" t="n">
        <x:f>(AJ695+AK695+AL695)/4*INDEX(LM_All,G695)*INDEX(v01_Boon,G695)*Arch_Insight</x:f>
        <x:v>24.206146750796627</x:v>
      </x:c>
      <x:c r="AN695" s="32" t="n">
        <x:f>H695*(v01_KHPerAdult*Z695+v01_KHOfCommons*AJ695/4*INDEX(LM_All,G695))*v01_KHUsable*Arch_KH</x:f>
        <x:v>4.354165618386442</x:v>
      </x:c>
      <x:c r="AO695" s="32" t="n">
        <x:f>MIN(AP694+AN695,AM695*v01_KHMaxRatio)</x:f>
        <x:v>4.354165618386442</x:v>
      </x:c>
      <x:c r="AP695" s="32" t="n">
        <x:f>AP694+AN695-AO695</x:f>
        <x:v>0</x:v>
      </x:c>
      <x:c r="AQ695" s="32" t="n">
        <x:f>AM695+AO695</x:f>
        <x:v>28.56031236918307</x:v>
      </x:c>
      <x:c r="AR695" s="10" t="n">
        <x:f>IF(H695=1,INDEX(v01_Req,G695),0)</x:f>
        <x:v>4006.9599999999996</x:v>
      </x:c>
      <x:c r="AS695" s="32" t="n">
        <x:f>IF(H695=1,IF(E695=1,AS694-AR694,AS694)+AQ695,0)</x:f>
        <x:v>3509.230066141363</x:v>
      </x:c>
      <x:c r="AT695" s="11" t="n">
        <x:f>IF(AR695&gt;0,MIN(1,AS695/AR695),1)</x:f>
        <x:v>0.8757836529791571</x:v>
      </x:c>
      <x:c r="AU695" s="10" t="n">
        <x:f>AB695/INDEX(v01_RepScale,G695)</x:f>
        <x:v>144.0857435159478</x:v>
      </x:c>
      <x:c r="AV695" s="32" t="n">
        <x:f>AM695*60/v01_SeasonSeconds</x:f>
        <x:v>96.82458700318651</x:v>
      </x:c>
    </x:row>
    <x:row r="696">
      <x:c r="A696" s="8" t="n">
        <x:f>A695+1</x:f>
        <x:v>693</x:v>
      </x:c>
      <x:c r="B696" s="9" t="n">
        <x:f>A696*v01_SeasonSeconds/60</x:f>
        <x:v>173.25</x:v>
      </x:c>
      <x:c r="C696" s="9" t="n">
        <x:f>A696/4</x:f>
        <x:v>173.25</x:v>
      </x:c>
      <x:c r="D696" s="8" t="n">
        <x:f>IF(MOD(A696,4)=0,1,0)</x:f>
        <x:v>0</x:v>
      </x:c>
      <x:c r="E696" s="8" t="n">
        <x:f>IF(AND(F695&lt;=9,AS695&gt;=AR695),1,0)</x:f>
        <x:v>0</x:v>
      </x:c>
      <x:c r="F696" s="8" t="n">
        <x:f>MIN(10,F695+E696)</x:f>
        <x:v>2</x:v>
      </x:c>
      <x:c r="G696" s="8" t="n">
        <x:f>MIN(F696,9)+1</x:f>
        <x:v>3</x:v>
      </x:c>
      <x:c r="H696" s="8" t="n">
        <x:f>IF(F696&lt;=9,1,0)</x:f>
        <x:v>1</x:v>
      </x:c>
      <x:c r="I696" s="9" t="n">
        <x:f>MIN(10,F695+IF(AR695&gt;0,MIN(1,AS695/AR695),1))</x:f>
        <x:v>2.875783652979157</x:v>
      </x:c>
      <x:c r="J696" s="32" t="n">
        <x:f>INDEX(v01_FoodCap,G696)*Arch_FoodCap*EXP(v01_CapsByProject*SUMPRODUCT((Cap_Point&lt;=I696)*(Cap_Kind="Food")*Cap_Ln))</x:f>
        <x:v>60</x:v>
      </x:c>
      <x:c r="K696" s="32" t="n">
        <x:f>J696*MIN(1,v01_LeanBase*EXP(v01_CapsByProject*SUMPRODUCT((Cap_Point&lt;=I696)*(Cap_Kind="Lean")*Cap_Ln)))</x:f>
        <x:v>60</x:v>
      </x:c>
      <x:c r="L696" s="10" t="n">
        <x:f>INDEX(v01_HousingCap,G696)*EXP(v01_CapsByProject*SUMPRODUCT((Cap_Point&lt;=I696)*(Cap_Kind="Housing")*Cap_Ln))</x:f>
        <x:v>100</x:v>
      </x:c>
      <x:c r="M696" s="10" t="n">
        <x:f>INDEX(v01_GroupCap,G696)*v01_CohesionFactor*EXP(v01_CapsByProject*SUMPRODUCT((Cap_Point&lt;=I696)*(Cap_Kind="Group")*Cap_Ln))</x:f>
        <x:v>500</x:v>
      </x:c>
      <x:c r="N696" s="32" t="n">
        <x:f>MIN(J696,L696,M696)</x:f>
        <x:v>60</x:v>
      </x:c>
      <x:c r="O696" s="10" t="n">
        <x:f>AE695*N696</x:f>
        <x:v>420</x:v>
      </x:c>
      <x:c r="P696" s="9" t="n">
        <x:f>MIN(1,(AB695/(AE695*IF(v01_GroupInCrowding=1,N696,MIN(J696,L696))))^v01_CrowdingExp)</x:f>
        <x:v>0.10433026321689537</x:v>
      </x:c>
      <x:c r="Q696" s="9" t="n">
        <x:f>IF(D696=1,INDEX(v01_WinterMult,G696),1)</x:f>
        <x:v>1</x:v>
      </x:c>
      <x:c r="R696" s="9" t="n">
        <x:f>H696*Z695*v01_WomenShare*v01_BaseFertility*INDEX(v01_FertMult,G696)*Arch_Fertility*(1-P696)</x:f>
        <x:v>4.5127349177106915</x:v>
      </x:c>
      <x:c r="S696" s="9" t="n">
        <x:f>H696*Y695*INDEX(v01_MortChild,G696)/4*Q696</x:f>
        <x:v>1.0775453294715978</x:v>
      </x:c>
      <x:c r="T696" s="9" t="n">
        <x:f>H696*Z695*INDEX(v01_MortAdult,G696)*Arch_AdultMort/4*Q696</x:f>
        <x:v>0.37321419586169496</x:v>
      </x:c>
      <x:c r="U696" s="9" t="n">
        <x:f>H696*AA695*INDEX(v01_MortElder,G696)/4*Q696</x:f>
        <x:v>0.7108275549217572</x:v>
      </x:c>
      <x:c r="V696" s="9" t="n">
        <x:f>H696*MAX(0,AB695-O696)*v01_OvercapLoss</x:f>
        <x:v>0</x:v>
      </x:c>
      <x:c r="W696" s="9" t="n">
        <x:f>H696*Y695/(v01_ChildYears*4)</x:f>
        <x:v>2.199072100962444</x:v>
      </x:c>
      <x:c r="X696" s="9" t="n">
        <x:f>H696*Z695/(v01_AdultYears*4)</x:f>
        <x:v>1.0032639673701478</x:v>
      </x:c>
      <x:c r="Y696" s="32" t="n">
        <x:f>Y695+R696-S696-W696-Y695*V696/AB695</x:f>
        <x:v>124.38415514117351</x:v>
      </x:c>
      <x:c r="Z696" s="32" t="n">
        <x:f>Z695+W696-X696-T696-Z695*V696/AB695</x:f>
        <x:v>125.22732589162892</x:v>
      </x:c>
      <x:c r="AA696" s="32" t="n">
        <x:f>AA695+X696-U696-AA695*V696/AB695</x:f>
        <x:v>40.9111538365488</x:v>
      </x:c>
      <x:c r="AB696" s="10" t="n">
        <x:f>Y696+Z696+AA696</x:f>
        <x:v>290.52263486935124</x:v>
      </x:c>
      <x:c r="AC696" s="8" t="n">
        <x:f>IF(AND(v01_WinterTrigger=1,D696=1,AB695/AE695&gt;=K696),1,0)</x:f>
        <x:v>0</x:v>
      </x:c>
      <x:c r="AD696" s="8" t="n">
        <x:f>H696*IF(AND(OR(AB695/AE695&gt;=v01_FissionTrigger*N696,AC696=1),AB695/AE695*v01_DaughterShare&gt;=v01_MinDaughter),MAX(1,ROUND(AE695*v01_FissionRate,0)),0)</x:f>
        <x:v>0</x:v>
      </x:c>
      <x:c r="AE696" s="8" t="n">
        <x:f>IF(H696=1,MAX(1,MIN(INDEX(v01_Smax,G696),AE695+AD696)),AE695)</x:f>
        <x:v>7</x:v>
      </x:c>
      <x:c r="AF696" s="8" t="n">
        <x:f>MAX(0,AE696-AE695)</x:f>
        <x:v>0</x:v>
      </x:c>
      <x:c r="AG696" s="9" t="str">
        <x:f>IF(AF696&gt;0,B696,"")</x:f>
      </x:c>
      <x:c r="AH696" s="9" t="n">
        <x:f>IF(F696&gt;=1,1,(1+v01_LowTiesShare*(AE696-1))/AE696)</x:f>
        <x:v>1</x:v>
      </x:c>
      <x:c r="AI696" s="32" t="n">
        <x:f>(Z696+v01_ElderCommons*INDEX(LM_Elder,G696)*AA696)*AH696</x:f>
        <x:v>247.9607874012753</x:v>
      </x:c>
      <x:c r="AJ696" s="32" t="n">
        <x:f>H696*v01_CommonsCoef*AI696^v01_CommonsExp*INDEX(LM_Commons,G696)</x:f>
        <x:v>71.57634065870448</x:v>
      </x:c>
      <x:c r="AK696" s="32" t="n">
        <x:f>H696*v01_RoleScale*Arch_Roles*(AE696*(INDEX(v01_ElderRolePerSett,G696)*v01_OutElder*INDEX(LM_Elder,G696)+INDEX(v01_ShamanPerSett,G696)*v01_OutShaman)+Z696*(INDEX(v01_PriestShare,G696)*v01_OutPriest+INDEX(v01_ScribeShare,G696)*v01_OutScribe*INDEX(LM_Scribe,G696)+INDEX(v01_ScholarShare,G696)*v01_OutScholar*INDEX(LM_Scholar,G696)+INDEX(v01_ResearcherShare,G696)*v01_OutResearcher*INDEX(LM_Researcher,G696)))</x:f>
        <x:v>21</x:v>
      </x:c>
      <x:c r="AL696" s="32" t="n">
        <x:f>H696*v01_RoleScale*Arch_Roles*AE696*INDEX(v01_MonasteryPerSett,G696)*v01_OutMonastery*INDEX(LM_Monastery,G696)</x:f>
        <x:v>0</x:v>
      </x:c>
      <x:c r="AM696" s="32" t="n">
        <x:f>(AJ696+AK696+AL696)/4*INDEX(LM_All,G696)*INDEX(v01_Boon,G696)*Arch_Insight</x:f>
        <x:v>24.315754476137847</x:v>
      </x:c>
      <x:c r="AN696" s="32" t="n">
        <x:f>H696*(v01_KHPerAdult*Z696+v01_KHOfCommons*AJ696/4*INDEX(LM_All,G696))*v01_KHUsable*Arch_KH</x:f>
        <x:v>4.382956406207012</x:v>
      </x:c>
      <x:c r="AO696" s="32" t="n">
        <x:f>MIN(AP695+AN696,AM696*v01_KHMaxRatio)</x:f>
        <x:v>4.382956406207012</x:v>
      </x:c>
      <x:c r="AP696" s="32" t="n">
        <x:f>AP695+AN696-AO696</x:f>
        <x:v>0</x:v>
      </x:c>
      <x:c r="AQ696" s="32" t="n">
        <x:f>AM696+AO696</x:f>
        <x:v>28.69871088234486</x:v>
      </x:c>
      <x:c r="AR696" s="10" t="n">
        <x:f>IF(H696=1,INDEX(v01_Req,G696),0)</x:f>
        <x:v>4006.9599999999996</x:v>
      </x:c>
      <x:c r="AS696" s="32" t="n">
        <x:f>IF(H696=1,IF(E696=1,AS695-AR695,AS695)+AQ696,0)</x:f>
        <x:v>3537.928777023708</x:v>
      </x:c>
      <x:c r="AT696" s="11" t="n">
        <x:f>IF(AR696&gt;0,MIN(1,AS696/AR696),1)</x:f>
        <x:v>0.882945868444833</x:v>
      </x:c>
      <x:c r="AU696" s="10" t="n">
        <x:f>AB696/INDEX(v01_RepScale,G696)</x:f>
        <x:v>145.26131743467562</x:v>
      </x:c>
      <x:c r="AV696" s="32" t="n">
        <x:f>AM696*60/v01_SeasonSeconds</x:f>
        <x:v>97.26301790455139</x:v>
      </x:c>
    </x:row>
    <x:row r="697">
      <x:c r="A697" s="8" t="n">
        <x:f>A696+1</x:f>
        <x:v>694</x:v>
      </x:c>
      <x:c r="B697" s="9" t="n">
        <x:f>A697*v01_SeasonSeconds/60</x:f>
        <x:v>173.5</x:v>
      </x:c>
      <x:c r="C697" s="9" t="n">
        <x:f>A697/4</x:f>
        <x:v>173.5</x:v>
      </x:c>
      <x:c r="D697" s="8" t="n">
        <x:f>IF(MOD(A697,4)=0,1,0)</x:f>
        <x:v>0</x:v>
      </x:c>
      <x:c r="E697" s="8" t="n">
        <x:f>IF(AND(F696&lt;=9,AS696&gt;=AR696),1,0)</x:f>
        <x:v>0</x:v>
      </x:c>
      <x:c r="F697" s="8" t="n">
        <x:f>MIN(10,F696+E697)</x:f>
        <x:v>2</x:v>
      </x:c>
      <x:c r="G697" s="8" t="n">
        <x:f>MIN(F697,9)+1</x:f>
        <x:v>3</x:v>
      </x:c>
      <x:c r="H697" s="8" t="n">
        <x:f>IF(F697&lt;=9,1,0)</x:f>
        <x:v>1</x:v>
      </x:c>
      <x:c r="I697" s="9" t="n">
        <x:f>MIN(10,F696+IF(AR696&gt;0,MIN(1,AS696/AR696),1))</x:f>
        <x:v>2.882945868444833</x:v>
      </x:c>
      <x:c r="J697" s="32" t="n">
        <x:f>INDEX(v01_FoodCap,G697)*Arch_FoodCap*EXP(v01_CapsByProject*SUMPRODUCT((Cap_Point&lt;=I697)*(Cap_Kind="Food")*Cap_Ln))</x:f>
        <x:v>60</x:v>
      </x:c>
      <x:c r="K697" s="32" t="n">
        <x:f>J697*MIN(1,v01_LeanBase*EXP(v01_CapsByProject*SUMPRODUCT((Cap_Point&lt;=I697)*(Cap_Kind="Lean")*Cap_Ln)))</x:f>
        <x:v>60</x:v>
      </x:c>
      <x:c r="L697" s="10" t="n">
        <x:f>INDEX(v01_HousingCap,G697)*EXP(v01_CapsByProject*SUMPRODUCT((Cap_Point&lt;=I697)*(Cap_Kind="Housing")*Cap_Ln))</x:f>
        <x:v>100</x:v>
      </x:c>
      <x:c r="M697" s="10" t="n">
        <x:f>INDEX(v01_GroupCap,G697)*v01_CohesionFactor*EXP(v01_CapsByProject*SUMPRODUCT((Cap_Point&lt;=I697)*(Cap_Kind="Group")*Cap_Ln))</x:f>
        <x:v>500</x:v>
      </x:c>
      <x:c r="N697" s="32" t="n">
        <x:f>MIN(J697,L697,M697)</x:f>
        <x:v>60</x:v>
      </x:c>
      <x:c r="O697" s="10" t="n">
        <x:f>AE696*N697</x:f>
        <x:v>420</x:v>
      </x:c>
      <x:c r="P697" s="9" t="n">
        <x:f>MIN(1,(AB696/(AE696*IF(v01_GroupInCrowding=1,N697,MIN(J697,L697))))^v01_CrowdingExp)</x:f>
        <x:v>0.10954286703956978</x:v>
      </x:c>
      <x:c r="Q697" s="9" t="n">
        <x:f>IF(D697=1,INDEX(v01_WinterMult,G697),1)</x:f>
        <x:v>1</x:v>
      </x:c>
      <x:c r="R697" s="9" t="n">
        <x:f>H697*Z696*v01_WomenShare*v01_BaseFertility*INDEX(v01_FertMult,G697)*Arch_Fertility*(1-P697)</x:f>
        <x:v>4.516137406061334</x:v>
      </x:c>
      <x:c r="S697" s="9" t="n">
        <x:f>H697*Y696*INDEX(v01_MortChild,G697)/4*Q697</x:f>
        <x:v>1.0883613574852684</x:v>
      </x:c>
      <x:c r="T697" s="9" t="n">
        <x:f>H697*Z696*INDEX(v01_MortAdult,G697)*Arch_AdultMort/4*Q697</x:f>
        <x:v>0.37568197767488676</x:v>
      </x:c>
      <x:c r="U697" s="9" t="n">
        <x:f>H697*AA696*INDEX(v01_MortElder,G697)/4*Q697</x:f>
        <x:v>0.7159451921396041</x:v>
      </x:c>
      <x:c r="V697" s="9" t="n">
        <x:f>H697*MAX(0,AB696-O697)*v01_OvercapLoss</x:f>
        <x:v>0</x:v>
      </x:c>
      <x:c r="W697" s="9" t="n">
        <x:f>H697*Y696/(v01_ChildYears*4)</x:f>
        <x:v>2.2211456275209556</x:v>
      </x:c>
      <x:c r="X697" s="9" t="n">
        <x:f>H697*Z696/(v01_AdultYears*4)</x:f>
        <x:v>1.0098977894486203</x:v>
      </x:c>
      <x:c r="Y697" s="32" t="n">
        <x:f>Y696+R697-S697-W697-Y696*V697/AB696</x:f>
        <x:v>125.59078556222862</x:v>
      </x:c>
      <x:c r="Z697" s="32" t="n">
        <x:f>Z696+W697-X697-T697-Z696*V697/AB696</x:f>
        <x:v>126.06289175202637</x:v>
      </x:c>
      <x:c r="AA697" s="32" t="n">
        <x:f>AA696+X697-U697-AA696*V697/AB696</x:f>
        <x:v>41.205106433857814</x:v>
      </x:c>
      <x:c r="AB697" s="10" t="n">
        <x:f>Y697+Z697+AA697</x:f>
        <x:v>292.8587837481128</x:v>
      </x:c>
      <x:c r="AC697" s="8" t="n">
        <x:f>IF(AND(v01_WinterTrigger=1,D697=1,AB696/AE696&gt;=K697),1,0)</x:f>
        <x:v>0</x:v>
      </x:c>
      <x:c r="AD697" s="8" t="n">
        <x:f>H697*IF(AND(OR(AB696/AE696&gt;=v01_FissionTrigger*N697,AC697=1),AB696/AE696*v01_DaughterShare&gt;=v01_MinDaughter),MAX(1,ROUND(AE696*v01_FissionRate,0)),0)</x:f>
        <x:v>0</x:v>
      </x:c>
      <x:c r="AE697" s="8" t="n">
        <x:f>IF(H697=1,MAX(1,MIN(INDEX(v01_Smax,G697),AE696+AD697)),AE696)</x:f>
        <x:v>7</x:v>
      </x:c>
      <x:c r="AF697" s="8" t="n">
        <x:f>MAX(0,AE697-AE696)</x:f>
        <x:v>0</x:v>
      </x:c>
      <x:c r="AG697" s="9" t="str">
        <x:f>IF(AF697&gt;0,B697,"")</x:f>
      </x:c>
      <x:c r="AH697" s="9" t="n">
        <x:f>IF(F697&gt;=1,1,(1+v01_LowTiesShare*(AE697-1))/AE697)</x:f>
        <x:v>1</x:v>
      </x:c>
      <x:c r="AI697" s="32" t="n">
        <x:f>(Z697+v01_ElderCommons*INDEX(LM_Elder,G697)*AA697)*AH697</x:f>
        <x:v>249.6782110535998</x:v>
      </x:c>
      <x:c r="AJ697" s="32" t="n">
        <x:f>H697*v01_CommonsCoef*AI697^v01_CommonsExp*INDEX(LM_Commons,G697)</x:f>
        <x:v>71.99751100700924</x:v>
      </x:c>
      <x:c r="AK697" s="32" t="n">
        <x:f>H697*v01_RoleScale*Arch_Roles*(AE697*(INDEX(v01_ElderRolePerSett,G697)*v01_OutElder*INDEX(LM_Elder,G697)+INDEX(v01_ShamanPerSett,G697)*v01_OutShaman)+Z697*(INDEX(v01_PriestShare,G697)*v01_OutPriest+INDEX(v01_ScribeShare,G697)*v01_OutScribe*INDEX(LM_Scribe,G697)+INDEX(v01_ScholarShare,G697)*v01_OutScholar*INDEX(LM_Scholar,G697)+INDEX(v01_ResearcherShare,G697)*v01_OutResearcher*INDEX(LM_Researcher,G697)))</x:f>
        <x:v>21</x:v>
      </x:c>
      <x:c r="AL697" s="32" t="n">
        <x:f>H697*v01_RoleScale*Arch_Roles*AE697*INDEX(v01_MonasteryPerSett,G697)*v01_OutMonastery*INDEX(LM_Monastery,G697)</x:f>
        <x:v>0</x:v>
      </x:c>
      <x:c r="AM697" s="32" t="n">
        <x:f>(AJ697+AK697+AL697)/4*INDEX(LM_All,G697)*INDEX(v01_Boon,G697)*Arch_Insight</x:f>
        <x:v>24.426377500434768</x:v>
      </x:c>
      <x:c r="AN697" s="32" t="n">
        <x:f>H697*(v01_KHPerAdult*Z697+v01_KHOfCommons*AJ697/4*INDEX(LM_All,G697))*v01_KHUsable*Arch_KH</x:f>
        <x:v>4.412201211320923</x:v>
      </x:c>
      <x:c r="AO697" s="32" t="n">
        <x:f>MIN(AP696+AN697,AM697*v01_KHMaxRatio)</x:f>
        <x:v>4.412201211320923</x:v>
      </x:c>
      <x:c r="AP697" s="32" t="n">
        <x:f>AP696+AN697-AO697</x:f>
        <x:v>0</x:v>
      </x:c>
      <x:c r="AQ697" s="32" t="n">
        <x:f>AM697+AO697</x:f>
        <x:v>28.83857871175569</x:v>
      </x:c>
      <x:c r="AR697" s="10" t="n">
        <x:f>IF(H697=1,INDEX(v01_Req,G697),0)</x:f>
        <x:v>4006.9599999999996</x:v>
      </x:c>
      <x:c r="AS697" s="32" t="n">
        <x:f>IF(H697=1,IF(E697=1,AS696-AR696,AS696)+AQ697,0)</x:f>
        <x:v>3566.7673557354638</x:v>
      </x:c>
      <x:c r="AT697" s="11" t="n">
        <x:f>IF(AR697&gt;0,MIN(1,AS697/AR697),1)</x:f>
        <x:v>0.890142990131038</x:v>
      </x:c>
      <x:c r="AU697" s="10" t="n">
        <x:f>AB697/INDEX(v01_RepScale,G697)</x:f>
        <x:v>146.4293918740564</x:v>
      </x:c>
      <x:c r="AV697" s="32" t="n">
        <x:f>AM697*60/v01_SeasonSeconds</x:f>
        <x:v>97.70551000173906</x:v>
      </x:c>
    </x:row>
    <x:row r="698">
      <x:c r="A698" s="8" t="n">
        <x:f>A697+1</x:f>
        <x:v>695</x:v>
      </x:c>
      <x:c r="B698" s="9" t="n">
        <x:f>A698*v01_SeasonSeconds/60</x:f>
        <x:v>173.75</x:v>
      </x:c>
      <x:c r="C698" s="9" t="n">
        <x:f>A698/4</x:f>
        <x:v>173.75</x:v>
      </x:c>
      <x:c r="D698" s="8" t="n">
        <x:f>IF(MOD(A698,4)=0,1,0)</x:f>
        <x:v>0</x:v>
      </x:c>
      <x:c r="E698" s="8" t="n">
        <x:f>IF(AND(F697&lt;=9,AS697&gt;=AR697),1,0)</x:f>
        <x:v>0</x:v>
      </x:c>
      <x:c r="F698" s="8" t="n">
        <x:f>MIN(10,F697+E698)</x:f>
        <x:v>2</x:v>
      </x:c>
      <x:c r="G698" s="8" t="n">
        <x:f>MIN(F698,9)+1</x:f>
        <x:v>3</x:v>
      </x:c>
      <x:c r="H698" s="8" t="n">
        <x:f>IF(F698&lt;=9,1,0)</x:f>
        <x:v>1</x:v>
      </x:c>
      <x:c r="I698" s="9" t="n">
        <x:f>MIN(10,F697+IF(AR697&gt;0,MIN(1,AS697/AR697),1))</x:f>
        <x:v>2.890142990131038</x:v>
      </x:c>
      <x:c r="J698" s="32" t="n">
        <x:f>INDEX(v01_FoodCap,G698)*Arch_FoodCap*EXP(v01_CapsByProject*SUMPRODUCT((Cap_Point&lt;=I698)*(Cap_Kind="Food")*Cap_Ln))</x:f>
        <x:v>60</x:v>
      </x:c>
      <x:c r="K698" s="32" t="n">
        <x:f>J698*MIN(1,v01_LeanBase*EXP(v01_CapsByProject*SUMPRODUCT((Cap_Point&lt;=I698)*(Cap_Kind="Lean")*Cap_Ln)))</x:f>
        <x:v>60</x:v>
      </x:c>
      <x:c r="L698" s="10" t="n">
        <x:f>INDEX(v01_HousingCap,G698)*EXP(v01_CapsByProject*SUMPRODUCT((Cap_Point&lt;=I698)*(Cap_Kind="Housing")*Cap_Ln))</x:f>
        <x:v>100</x:v>
      </x:c>
      <x:c r="M698" s="10" t="n">
        <x:f>INDEX(v01_GroupCap,G698)*v01_CohesionFactor*EXP(v01_CapsByProject*SUMPRODUCT((Cap_Point&lt;=I698)*(Cap_Kind="Group")*Cap_Ln))</x:f>
        <x:v>500</x:v>
      </x:c>
      <x:c r="N698" s="32" t="n">
        <x:f>MIN(J698,L698,M698)</x:f>
        <x:v>60</x:v>
      </x:c>
      <x:c r="O698" s="10" t="n">
        <x:f>AE697*N698</x:f>
        <x:v>420</x:v>
      </x:c>
      <x:c r="P698" s="9" t="n">
        <x:f>MIN(1,(AB697/(AE697*IF(v01_GroupInCrowding=1,N698,MIN(J698,L698))))^v01_CrowdingExp)</x:f>
        <x:v>0.1149353927064357</x:v>
      </x:c>
      <x:c r="Q698" s="9" t="n">
        <x:f>IF(D698=1,INDEX(v01_WinterMult,G698),1)</x:f>
        <x:v>1</x:v>
      </x:c>
      <x:c r="R698" s="9" t="n">
        <x:f>H698*Z697*v01_WomenShare*v01_BaseFertility*INDEX(v01_FertMult,G698)*Arch_Fertility*(1-P698)</x:f>
        <x:v>4.5187390532033325</x:v>
      </x:c>
      <x:c r="S698" s="9" t="n">
        <x:f>H698*Y697*INDEX(v01_MortChild,G698)/4*Q698</x:f>
        <x:v>1.0989193736695004</x:v>
      </x:c>
      <x:c r="T698" s="9" t="n">
        <x:f>H698*Z697*INDEX(v01_MortAdult,G698)*Arch_AdultMort/4*Q698</x:f>
        <x:v>0.37818867525607913</x:v>
      </x:c>
      <x:c r="U698" s="9" t="n">
        <x:f>H698*AA697*INDEX(v01_MortElder,G698)/4*Q698</x:f>
        <x:v>0.7210893625925118</x:v>
      </x:c>
      <x:c r="V698" s="9" t="n">
        <x:f>H698*MAX(0,AB697-O698)*v01_OvercapLoss</x:f>
        <x:v>0</x:v>
      </x:c>
      <x:c r="W698" s="9" t="n">
        <x:f>H698*Y697/(v01_ChildYears*4)</x:f>
        <x:v>2.242692599325511</x:v>
      </x:c>
      <x:c r="X698" s="9" t="n">
        <x:f>H698*Z697/(v01_AdultYears*4)</x:f>
        <x:v>1.0166362238066644</x:v>
      </x:c>
      <x:c r="Y698" s="32" t="n">
        <x:f>Y697+R698-S698-W698-Y697*V698/AB697</x:f>
        <x:v>126.76791264243694</x:v>
      </x:c>
      <x:c r="Z698" s="32" t="n">
        <x:f>Z697+W698-X698-T698-Z697*V698/AB697</x:f>
        <x:v>126.91075945228913</x:v>
      </x:c>
      <x:c r="AA698" s="32" t="n">
        <x:f>AA697+X698-U698-AA697*V698/AB697</x:f>
        <x:v>41.50065329507196</x:v>
      </x:c>
      <x:c r="AB698" s="10" t="n">
        <x:f>Y698+Z698+AA698</x:f>
        <x:v>295.179325389798</x:v>
      </x:c>
      <x:c r="AC698" s="8" t="n">
        <x:f>IF(AND(v01_WinterTrigger=1,D698=1,AB697/AE697&gt;=K698),1,0)</x:f>
        <x:v>0</x:v>
      </x:c>
      <x:c r="AD698" s="8" t="n">
        <x:f>H698*IF(AND(OR(AB697/AE697&gt;=v01_FissionTrigger*N698,AC698=1),AB697/AE697*v01_DaughterShare&gt;=v01_MinDaughter),MAX(1,ROUND(AE697*v01_FissionRate,0)),0)</x:f>
        <x:v>0</x:v>
      </x:c>
      <x:c r="AE698" s="8" t="n">
        <x:f>IF(H698=1,MAX(1,MIN(INDEX(v01_Smax,G698),AE697+AD698)),AE697)</x:f>
        <x:v>7</x:v>
      </x:c>
      <x:c r="AF698" s="8" t="n">
        <x:f>MAX(0,AE698-AE697)</x:f>
        <x:v>0</x:v>
      </x:c>
      <x:c r="AG698" s="9" t="str">
        <x:f>IF(AF698&gt;0,B698,"")</x:f>
      </x:c>
      <x:c r="AH698" s="9" t="n">
        <x:f>IF(F698&gt;=1,1,(1+v01_LowTiesShare*(AE698-1))/AE698)</x:f>
        <x:v>1</x:v>
      </x:c>
      <x:c r="AI698" s="32" t="n">
        <x:f>(Z698+v01_ElderCommons*INDEX(LM_Elder,G698)*AA698)*AH698</x:f>
        <x:v>251.412719337505</x:v>
      </x:c>
      <x:c r="AJ698" s="32" t="n">
        <x:f>H698*v01_CommonsCoef*AI698^v01_CommonsExp*INDEX(LM_Commons,G698)</x:f>
        <x:v>72.422430257956</x:v>
      </x:c>
      <x:c r="AK698" s="32" t="n">
        <x:f>H698*v01_RoleScale*Arch_Roles*(AE698*(INDEX(v01_ElderRolePerSett,G698)*v01_OutElder*INDEX(LM_Elder,G698)+INDEX(v01_ShamanPerSett,G698)*v01_OutShaman)+Z698*(INDEX(v01_PriestShare,G698)*v01_OutPriest+INDEX(v01_ScribeShare,G698)*v01_OutScribe*INDEX(LM_Scribe,G698)+INDEX(v01_ScholarShare,G698)*v01_OutScholar*INDEX(LM_Scholar,G698)+INDEX(v01_ResearcherShare,G698)*v01_OutResearcher*INDEX(LM_Researcher,G698)))</x:f>
        <x:v>21</x:v>
      </x:c>
      <x:c r="AL698" s="32" t="n">
        <x:f>H698*v01_RoleScale*Arch_Roles*AE698*INDEX(v01_MonasteryPerSett,G698)*v01_OutMonastery*INDEX(LM_Monastery,G698)</x:f>
        <x:v>0</x:v>
      </x:c>
      <x:c r="AM698" s="32" t="n">
        <x:f>(AJ698+AK698+AL698)/4*INDEX(LM_All,G698)*INDEX(v01_Boon,G698)*Arch_Insight</x:f>
        <x:v>24.53798519744125</x:v>
      </x:c>
      <x:c r="AN698" s="32" t="n">
        <x:f>H698*(v01_KHPerAdult*Z698+v01_KHOfCommons*AJ698/4*INDEX(LM_All,G698))*v01_KHUsable*Arch_KH</x:f>
        <x:v>4.44187658083012</x:v>
      </x:c>
      <x:c r="AO698" s="32" t="n">
        <x:f>MIN(AP697+AN698,AM698*v01_KHMaxRatio)</x:f>
        <x:v>4.44187658083012</x:v>
      </x:c>
      <x:c r="AP698" s="32" t="n">
        <x:f>AP697+AN698-AO698</x:f>
        <x:v>0</x:v>
      </x:c>
      <x:c r="AQ698" s="32" t="n">
        <x:f>AM698+AO698</x:f>
        <x:v>28.97986177827137</x:v>
      </x:c>
      <x:c r="AR698" s="10" t="n">
        <x:f>IF(H698=1,INDEX(v01_Req,G698),0)</x:f>
        <x:v>4006.9599999999996</x:v>
      </x:c>
      <x:c r="AS698" s="32" t="n">
        <x:f>IF(H698=1,IF(E698=1,AS697-AR697,AS697)+AQ698,0)</x:f>
        <x:v>3595.747217513735</x:v>
      </x:c>
      <x:c r="AT698" s="11" t="n">
        <x:f>IF(AR698&gt;0,MIN(1,AS698/AR698),1)</x:f>
        <x:v>0.8973753712324893</x:v>
      </x:c>
      <x:c r="AU698" s="10" t="n">
        <x:f>AB698/INDEX(v01_RepScale,G698)</x:f>
        <x:v>147.589662694899</x:v>
      </x:c>
      <x:c r="AV698" s="32" t="n">
        <x:f>AM698*60/v01_SeasonSeconds</x:f>
        <x:v>98.151940789765</x:v>
      </x:c>
    </x:row>
    <x:row r="699">
      <x:c r="A699" s="8" t="n">
        <x:f>A698+1</x:f>
        <x:v>696</x:v>
      </x:c>
      <x:c r="B699" s="9" t="n">
        <x:f>A699*v01_SeasonSeconds/60</x:f>
        <x:v>174</x:v>
      </x:c>
      <x:c r="C699" s="9" t="n">
        <x:f>A699/4</x:f>
        <x:v>174</x:v>
      </x:c>
      <x:c r="D699" s="8" t="n">
        <x:f>IF(MOD(A699,4)=0,1,0)</x:f>
        <x:v>1</x:v>
      </x:c>
      <x:c r="E699" s="8" t="n">
        <x:f>IF(AND(F698&lt;=9,AS698&gt;=AR698),1,0)</x:f>
        <x:v>0</x:v>
      </x:c>
      <x:c r="F699" s="8" t="n">
        <x:f>MIN(10,F698+E699)</x:f>
        <x:v>2</x:v>
      </x:c>
      <x:c r="G699" s="8" t="n">
        <x:f>MIN(F699,9)+1</x:f>
        <x:v>3</x:v>
      </x:c>
      <x:c r="H699" s="8" t="n">
        <x:f>IF(F699&lt;=9,1,0)</x:f>
        <x:v>1</x:v>
      </x:c>
      <x:c r="I699" s="9" t="n">
        <x:f>MIN(10,F698+IF(AR698&gt;0,MIN(1,AS698/AR698),1))</x:f>
        <x:v>2.8973753712324894</x:v>
      </x:c>
      <x:c r="J699" s="32" t="n">
        <x:f>INDEX(v01_FoodCap,G699)*Arch_FoodCap*EXP(v01_CapsByProject*SUMPRODUCT((Cap_Point&lt;=I699)*(Cap_Kind="Food")*Cap_Ln))</x:f>
        <x:v>60</x:v>
      </x:c>
      <x:c r="K699" s="32" t="n">
        <x:f>J699*MIN(1,v01_LeanBase*EXP(v01_CapsByProject*SUMPRODUCT((Cap_Point&lt;=I699)*(Cap_Kind="Lean")*Cap_Ln)))</x:f>
        <x:v>60</x:v>
      </x:c>
      <x:c r="L699" s="10" t="n">
        <x:f>INDEX(v01_HousingCap,G699)*EXP(v01_CapsByProject*SUMPRODUCT((Cap_Point&lt;=I699)*(Cap_Kind="Housing")*Cap_Ln))</x:f>
        <x:v>100</x:v>
      </x:c>
      <x:c r="M699" s="10" t="n">
        <x:f>INDEX(v01_GroupCap,G699)*v01_CohesionFactor*EXP(v01_CapsByProject*SUMPRODUCT((Cap_Point&lt;=I699)*(Cap_Kind="Group")*Cap_Ln))</x:f>
        <x:v>500</x:v>
      </x:c>
      <x:c r="N699" s="32" t="n">
        <x:f>MIN(J699,L699,M699)</x:f>
        <x:v>60</x:v>
      </x:c>
      <x:c r="O699" s="10" t="n">
        <x:f>AE698*N699</x:f>
        <x:v>420</x:v>
      </x:c>
      <x:c r="P699" s="9" t="n">
        <x:f>MIN(1,(AB698/(AE698*IF(v01_GroupInCrowding=1,N699,MIN(J699,L699))))^v01_CrowdingExp)</x:f>
        <x:v>0.12050910826134993</x:v>
      </x:c>
      <x:c r="Q699" s="9" t="n">
        <x:f>IF(D699=1,INDEX(v01_WinterMult,G699),1)</x:f>
        <x:v>1.3</x:v>
      </x:c>
      <x:c r="R699" s="9" t="n">
        <x:f>H699*Z698*v01_WomenShare*v01_BaseFertility*INDEX(v01_FertMult,G699)*Arch_Fertility*(1-P699)</x:f>
        <x:v>4.520482708577885</x:v>
      </x:c>
      <x:c r="S699" s="9" t="n">
        <x:f>H699*Y698*INDEX(v01_MortChild,G699)/4*Q699</x:f>
        <x:v>1.4419850063077204</x:v>
      </x:c>
      <x:c r="T699" s="9" t="n">
        <x:f>H699*Z698*INDEX(v01_MortAdult,G699)*Arch_AdultMort/4*Q699</x:f>
        <x:v>0.49495196186392765</x:v>
      </x:c>
      <x:c r="U699" s="9" t="n">
        <x:f>H699*AA698*INDEX(v01_MortElder,G699)/4*Q699</x:f>
        <x:v>0.9441398624628873</x:v>
      </x:c>
      <x:c r="V699" s="9" t="n">
        <x:f>H699*MAX(0,AB698-O699)*v01_OvercapLoss</x:f>
        <x:v>0</x:v>
      </x:c>
      <x:c r="W699" s="9" t="n">
        <x:f>H699*Y698/(v01_ChildYears*4)</x:f>
        <x:v>2.2637127257578027</x:v>
      </x:c>
      <x:c r="X699" s="9" t="n">
        <x:f>H699*Z698/(v01_AdultYears*4)</x:f>
        <x:v>1.0234738665507188</x:v>
      </x:c>
      <x:c r="Y699" s="32" t="n">
        <x:f>Y698+R699-S699-W699-Y698*V699/AB698</x:f>
        <x:v>127.5826976189493</x:v>
      </x:c>
      <x:c r="Z699" s="32" t="n">
        <x:f>Z698+W699-X699-T699-Z698*V699/AB698</x:f>
        <x:v>127.65604634963228</x:v>
      </x:c>
      <x:c r="AA699" s="32" t="n">
        <x:f>AA698+X699-U699-AA698*V699/AB698</x:f>
        <x:v>41.57998729915979</x:v>
      </x:c>
      <x:c r="AB699" s="10" t="n">
        <x:f>Y699+Z699+AA699</x:f>
        <x:v>296.8187312677413</x:v>
      </x:c>
      <x:c r="AC699" s="8" t="n">
        <x:f>IF(AND(v01_WinterTrigger=1,D699=1,AB698/AE698&gt;=K699),1,0)</x:f>
        <x:v>0</x:v>
      </x:c>
      <x:c r="AD699" s="8" t="n">
        <x:f>H699*IF(AND(OR(AB698/AE698&gt;=v01_FissionTrigger*N699,AC699=1),AB698/AE698*v01_DaughterShare&gt;=v01_MinDaughter),MAX(1,ROUND(AE698*v01_FissionRate,0)),0)</x:f>
        <x:v>0</x:v>
      </x:c>
      <x:c r="AE699" s="8" t="n">
        <x:f>IF(H699=1,MAX(1,MIN(INDEX(v01_Smax,G699),AE698+AD699)),AE698)</x:f>
        <x:v>7</x:v>
      </x:c>
      <x:c r="AF699" s="8" t="n">
        <x:f>MAX(0,AE699-AE698)</x:f>
        <x:v>0</x:v>
      </x:c>
      <x:c r="AG699" s="9" t="str">
        <x:f>IF(AF699&gt;0,B699,"")</x:f>
      </x:c>
      <x:c r="AH699" s="9" t="n">
        <x:f>IF(F699&gt;=1,1,(1+v01_LowTiesShare*(AE699-1))/AE699)</x:f>
        <x:v>1</x:v>
      </x:c>
      <x:c r="AI699" s="32" t="n">
        <x:f>(Z699+v01_ElderCommons*INDEX(LM_Elder,G699)*AA699)*AH699</x:f>
        <x:v>252.39600824711164</x:v>
      </x:c>
      <x:c r="AJ699" s="32" t="n">
        <x:f>H699*v01_CommonsCoef*AI699^v01_CommonsExp*INDEX(LM_Commons,G699)</x:f>
        <x:v>72.6631206176884</x:v>
      </x:c>
      <x:c r="AK699" s="32" t="n">
        <x:f>H699*v01_RoleScale*Arch_Roles*(AE699*(INDEX(v01_ElderRolePerSett,G699)*v01_OutElder*INDEX(LM_Elder,G699)+INDEX(v01_ShamanPerSett,G699)*v01_OutShaman)+Z699*(INDEX(v01_PriestShare,G699)*v01_OutPriest+INDEX(v01_ScribeShare,G699)*v01_OutScribe*INDEX(LM_Scribe,G699)+INDEX(v01_ScholarShare,G699)*v01_OutScholar*INDEX(LM_Scholar,G699)+INDEX(v01_ResearcherShare,G699)*v01_OutResearcher*INDEX(LM_Researcher,G699)))</x:f>
        <x:v>21</x:v>
      </x:c>
      <x:c r="AL699" s="32" t="n">
        <x:f>H699*v01_RoleScale*Arch_Roles*AE699*INDEX(v01_MonasteryPerSett,G699)*v01_OutMonastery*INDEX(LM_Monastery,G699)</x:f>
        <x:v>0</x:v>
      </x:c>
      <x:c r="AM699" s="32" t="n">
        <x:f>(AJ699+AK699+AL699)/4*INDEX(LM_All,G699)*INDEX(v01_Boon,G699)*Arch_Insight</x:f>
        <x:v>24.60120402473972</x:v>
      </x:c>
      <x:c r="AN699" s="32" t="n">
        <x:f>H699*(v01_KHPerAdult*Z699+v01_KHOfCommons*AJ699/4*INDEX(LM_All,G699))*v01_KHUsable*Arch_KH</x:f>
        <x:v>4.467961622237129</x:v>
      </x:c>
      <x:c r="AO699" s="32" t="n">
        <x:f>MIN(AP698+AN699,AM699*v01_KHMaxRatio)</x:f>
        <x:v>4.467961622237129</x:v>
      </x:c>
      <x:c r="AP699" s="32" t="n">
        <x:f>AP698+AN699-AO699</x:f>
        <x:v>0</x:v>
      </x:c>
      <x:c r="AQ699" s="32" t="n">
        <x:f>AM699+AO699</x:f>
        <x:v>29.06916564697685</x:v>
      </x:c>
      <x:c r="AR699" s="10" t="n">
        <x:f>IF(H699=1,INDEX(v01_Req,G699),0)</x:f>
        <x:v>4006.9599999999996</x:v>
      </x:c>
      <x:c r="AS699" s="32" t="n">
        <x:f>IF(H699=1,IF(E699=1,AS698-AR698,AS698)+AQ699,0)</x:f>
        <x:v>3624.8163831607117</x:v>
      </x:c>
      <x:c r="AT699" s="11" t="n">
        <x:f>IF(AR699&gt;0,MIN(1,AS699/AR699),1)</x:f>
        <x:v>0.9046300395214107</x:v>
      </x:c>
      <x:c r="AU699" s="10" t="n">
        <x:f>AB699/INDEX(v01_RepScale,G699)</x:f>
        <x:v>148.40936563387066</x:v>
      </x:c>
      <x:c r="AV699" s="32" t="n">
        <x:f>AM699*60/v01_SeasonSeconds</x:f>
        <x:v>98.40481609895888</x:v>
      </x:c>
    </x:row>
    <x:row r="700">
      <x:c r="A700" s="8" t="n">
        <x:f>A699+1</x:f>
        <x:v>697</x:v>
      </x:c>
      <x:c r="B700" s="9" t="n">
        <x:f>A700*v01_SeasonSeconds/60</x:f>
        <x:v>174.25</x:v>
      </x:c>
      <x:c r="C700" s="9" t="n">
        <x:f>A700/4</x:f>
        <x:v>174.25</x:v>
      </x:c>
      <x:c r="D700" s="8" t="n">
        <x:f>IF(MOD(A700,4)=0,1,0)</x:f>
        <x:v>0</x:v>
      </x:c>
      <x:c r="E700" s="8" t="n">
        <x:f>IF(AND(F699&lt;=9,AS699&gt;=AR699),1,0)</x:f>
        <x:v>0</x:v>
      </x:c>
      <x:c r="F700" s="8" t="n">
        <x:f>MIN(10,F699+E700)</x:f>
        <x:v>2</x:v>
      </x:c>
      <x:c r="G700" s="8" t="n">
        <x:f>MIN(F700,9)+1</x:f>
        <x:v>3</x:v>
      </x:c>
      <x:c r="H700" s="8" t="n">
        <x:f>IF(F700&lt;=9,1,0)</x:f>
        <x:v>1</x:v>
      </x:c>
      <x:c r="I700" s="9" t="n">
        <x:f>MIN(10,F699+IF(AR699&gt;0,MIN(1,AS699/AR699),1))</x:f>
        <x:v>2.9046300395214106</x:v>
      </x:c>
      <x:c r="J700" s="32" t="n">
        <x:f>INDEX(v01_FoodCap,G700)*Arch_FoodCap*EXP(v01_CapsByProject*SUMPRODUCT((Cap_Point&lt;=I700)*(Cap_Kind="Food")*Cap_Ln))</x:f>
        <x:v>60</x:v>
      </x:c>
      <x:c r="K700" s="32" t="n">
        <x:f>J700*MIN(1,v01_LeanBase*EXP(v01_CapsByProject*SUMPRODUCT((Cap_Point&lt;=I700)*(Cap_Kind="Lean")*Cap_Ln)))</x:f>
        <x:v>60</x:v>
      </x:c>
      <x:c r="L700" s="10" t="n">
        <x:f>INDEX(v01_HousingCap,G700)*EXP(v01_CapsByProject*SUMPRODUCT((Cap_Point&lt;=I700)*(Cap_Kind="Housing")*Cap_Ln))</x:f>
        <x:v>100</x:v>
      </x:c>
      <x:c r="M700" s="10" t="n">
        <x:f>INDEX(v01_GroupCap,G700)*v01_CohesionFactor*EXP(v01_CapsByProject*SUMPRODUCT((Cap_Point&lt;=I700)*(Cap_Kind="Group")*Cap_Ln))</x:f>
        <x:v>500</x:v>
      </x:c>
      <x:c r="N700" s="32" t="n">
        <x:f>MIN(J700,L700,M700)</x:f>
        <x:v>60</x:v>
      </x:c>
      <x:c r="O700" s="10" t="n">
        <x:f>AE699*N700</x:f>
        <x:v>420</x:v>
      </x:c>
      <x:c r="P700" s="9" t="n">
        <x:f>MIN(1,(AB699/(AE699*IF(v01_GroupInCrowding=1,N700,MIN(J700,L700))))^v01_CrowdingExp)</x:f>
        <x:v>0.12458107783903247</x:v>
      </x:c>
      <x:c r="Q700" s="9" t="n">
        <x:f>IF(D700=1,INDEX(v01_WinterMult,G700),1)</x:f>
        <x:v>1</x:v>
      </x:c>
      <x:c r="R700" s="9" t="n">
        <x:f>H700*Z699*v01_WomenShare*v01_BaseFertility*INDEX(v01_FertMult,G700)*Arch_Fertility*(1-P700)</x:f>
        <x:v>4.525976999360386</x:v>
      </x:c>
      <x:c r="S700" s="9" t="n">
        <x:f>H700*Y699*INDEX(v01_MortChild,G700)/4*Q700</x:f>
        <x:v>1.1163486041658064</x:v>
      </x:c>
      <x:c r="T700" s="9" t="n">
        <x:f>H700*Z699*INDEX(v01_MortAdult,G700)*Arch_AdultMort/4*Q700</x:f>
        <x:v>0.3829681390488968</x:v>
      </x:c>
      <x:c r="U700" s="9" t="n">
        <x:f>H700*AA699*INDEX(v01_MortElder,G700)/4*Q700</x:f>
        <x:v>0.7276497777352964</x:v>
      </x:c>
      <x:c r="V700" s="9" t="n">
        <x:f>H700*MAX(0,AB699-O700)*v01_OvercapLoss</x:f>
        <x:v>0</x:v>
      </x:c>
      <x:c r="W700" s="9" t="n">
        <x:f>H700*Y699/(v01_ChildYears*4)</x:f>
        <x:v>2.2782624574812376</x:v>
      </x:c>
      <x:c r="X700" s="9" t="n">
        <x:f>H700*Z699/(v01_AdultYears*4)</x:f>
        <x:v>1.029484244755099</x:v>
      </x:c>
      <x:c r="Y700" s="32" t="n">
        <x:f>Y699+R700-S700-W700-Y699*V700/AB699</x:f>
        <x:v>128.71406355666264</x:v>
      </x:c>
      <x:c r="Z700" s="32" t="n">
        <x:f>Z699+W700-X700-T700-Z699*V700/AB699</x:f>
        <x:v>128.52185642330952</x:v>
      </x:c>
      <x:c r="AA700" s="32" t="n">
        <x:f>AA699+X700-U700-AA699*V700/AB699</x:f>
        <x:v>41.88182176617959</x:v>
      </x:c>
      <x:c r="AB700" s="10" t="n">
        <x:f>Y700+Z700+AA700</x:f>
        <x:v>299.11774174615175</x:v>
      </x:c>
      <x:c r="AC700" s="8" t="n">
        <x:f>IF(AND(v01_WinterTrigger=1,D700=1,AB699/AE699&gt;=K700),1,0)</x:f>
        <x:v>0</x:v>
      </x:c>
      <x:c r="AD700" s="8" t="n">
        <x:f>H700*IF(AND(OR(AB699/AE699&gt;=v01_FissionTrigger*N700,AC700=1),AB699/AE699*v01_DaughterShare&gt;=v01_MinDaughter),MAX(1,ROUND(AE699*v01_FissionRate,0)),0)</x:f>
        <x:v>0</x:v>
      </x:c>
      <x:c r="AE700" s="8" t="n">
        <x:f>IF(H700=1,MAX(1,MIN(INDEX(v01_Smax,G700),AE699+AD700)),AE699)</x:f>
        <x:v>7</x:v>
      </x:c>
      <x:c r="AF700" s="8" t="n">
        <x:f>MAX(0,AE700-AE699)</x:f>
        <x:v>0</x:v>
      </x:c>
      <x:c r="AG700" s="9" t="str">
        <x:f>IF(AF700&gt;0,B700,"")</x:f>
      </x:c>
      <x:c r="AH700" s="9" t="n">
        <x:f>IF(F700&gt;=1,1,(1+v01_LowTiesShare*(AE700-1))/AE700)</x:f>
        <x:v>1</x:v>
      </x:c>
      <x:c r="AI700" s="32" t="n">
        <x:f>(Z700+v01_ElderCommons*INDEX(LM_Elder,G700)*AA700)*AH700</x:f>
        <x:v>254.16732172184828</x:v>
      </x:c>
      <x:c r="AJ700" s="32" t="n">
        <x:f>H700*v01_CommonsCoef*AI700^v01_CommonsExp*INDEX(LM_Commons,G700)</x:f>
        <x:v>73.09634997403127</x:v>
      </x:c>
      <x:c r="AK700" s="32" t="n">
        <x:f>H700*v01_RoleScale*Arch_Roles*(AE700*(INDEX(v01_ElderRolePerSett,G700)*v01_OutElder*INDEX(LM_Elder,G700)+INDEX(v01_ShamanPerSett,G700)*v01_OutShaman)+Z700*(INDEX(v01_PriestShare,G700)*v01_OutPriest+INDEX(v01_ScribeShare,G700)*v01_OutScribe*INDEX(LM_Scribe,G700)+INDEX(v01_ScholarShare,G700)*v01_OutScholar*INDEX(LM_Scholar,G700)+INDEX(v01_ResearcherShare,G700)*v01_OutResearcher*INDEX(LM_Researcher,G700)))</x:f>
        <x:v>21</x:v>
      </x:c>
      <x:c r="AL700" s="32" t="n">
        <x:f>H700*v01_RoleScale*Arch_Roles*AE700*INDEX(v01_MonasteryPerSett,G700)*v01_OutMonastery*INDEX(LM_Monastery,G700)</x:f>
        <x:v>0</x:v>
      </x:c>
      <x:c r="AM700" s="32" t="n">
        <x:f>(AJ700+AK700+AL700)/4*INDEX(LM_All,G700)*INDEX(v01_Boon,G700)*Arch_Insight</x:f>
        <x:v>24.71499442286665</x:v>
      </x:c>
      <x:c r="AN700" s="32" t="n">
        <x:f>H700*(v01_KHPerAdult*Z700+v01_KHOfCommons*AJ700/4*INDEX(LM_All,G700))*v01_KHUsable*Arch_KH</x:f>
        <x:v>4.498264974815832</x:v>
      </x:c>
      <x:c r="AO700" s="32" t="n">
        <x:f>MIN(AP699+AN700,AM700*v01_KHMaxRatio)</x:f>
        <x:v>4.498264974815832</x:v>
      </x:c>
      <x:c r="AP700" s="32" t="n">
        <x:f>AP699+AN700-AO700</x:f>
        <x:v>0</x:v>
      </x:c>
      <x:c r="AQ700" s="32" t="n">
        <x:f>AM700+AO700</x:f>
        <x:v>29.21325939768248</x:v>
      </x:c>
      <x:c r="AR700" s="10" t="n">
        <x:f>IF(H700=1,INDEX(v01_Req,G700),0)</x:f>
        <x:v>4006.9599999999996</x:v>
      </x:c>
      <x:c r="AS700" s="32" t="n">
        <x:f>IF(H700=1,IF(E700=1,AS699-AR699,AS699)+AQ700,0)</x:f>
        <x:v>3654.0296425583942</x:v>
      </x:c>
      <x:c r="AT700" s="11" t="n">
        <x:f>IF(AR700&gt;0,MIN(1,AS700/AR700),1)</x:f>
        <x:v>0.9119206686761022</x:v>
      </x:c>
      <x:c r="AU700" s="10" t="n">
        <x:f>AB700/INDEX(v01_RepScale,G700)</x:f>
        <x:v>149.55887087307588</x:v>
      </x:c>
      <x:c r="AV700" s="32" t="n">
        <x:f>AM700*60/v01_SeasonSeconds</x:f>
        <x:v>98.8599776914666</x:v>
      </x:c>
    </x:row>
    <x:row r="701">
      <x:c r="A701" s="8" t="n">
        <x:f>A700+1</x:f>
        <x:v>698</x:v>
      </x:c>
      <x:c r="B701" s="9" t="n">
        <x:f>A701*v01_SeasonSeconds/60</x:f>
        <x:v>174.5</x:v>
      </x:c>
      <x:c r="C701" s="9" t="n">
        <x:f>A701/4</x:f>
        <x:v>174.5</x:v>
      </x:c>
      <x:c r="D701" s="8" t="n">
        <x:f>IF(MOD(A701,4)=0,1,0)</x:f>
        <x:v>0</x:v>
      </x:c>
      <x:c r="E701" s="8" t="n">
        <x:f>IF(AND(F700&lt;=9,AS700&gt;=AR700),1,0)</x:f>
        <x:v>0</x:v>
      </x:c>
      <x:c r="F701" s="8" t="n">
        <x:f>MIN(10,F700+E701)</x:f>
        <x:v>2</x:v>
      </x:c>
      <x:c r="G701" s="8" t="n">
        <x:f>MIN(F701,9)+1</x:f>
        <x:v>3</x:v>
      </x:c>
      <x:c r="H701" s="8" t="n">
        <x:f>IF(F701&lt;=9,1,0)</x:f>
        <x:v>1</x:v>
      </x:c>
      <x:c r="I701" s="9" t="n">
        <x:f>MIN(10,F700+IF(AR700&gt;0,MIN(1,AS700/AR700),1))</x:f>
        <x:v>2.9119206686761023</x:v>
      </x:c>
      <x:c r="J701" s="32" t="n">
        <x:f>INDEX(v01_FoodCap,G701)*Arch_FoodCap*EXP(v01_CapsByProject*SUMPRODUCT((Cap_Point&lt;=I701)*(Cap_Kind="Food")*Cap_Ln))</x:f>
        <x:v>60</x:v>
      </x:c>
      <x:c r="K701" s="32" t="n">
        <x:f>J701*MIN(1,v01_LeanBase*EXP(v01_CapsByProject*SUMPRODUCT((Cap_Point&lt;=I701)*(Cap_Kind="Lean")*Cap_Ln)))</x:f>
        <x:v>60</x:v>
      </x:c>
      <x:c r="L701" s="10" t="n">
        <x:f>INDEX(v01_HousingCap,G701)*EXP(v01_CapsByProject*SUMPRODUCT((Cap_Point&lt;=I701)*(Cap_Kind="Housing")*Cap_Ln))</x:f>
        <x:v>100</x:v>
      </x:c>
      <x:c r="M701" s="10" t="n">
        <x:f>INDEX(v01_GroupCap,G701)*v01_CohesionFactor*EXP(v01_CapsByProject*SUMPRODUCT((Cap_Point&lt;=I701)*(Cap_Kind="Group")*Cap_Ln))</x:f>
        <x:v>500</x:v>
      </x:c>
      <x:c r="N701" s="32" t="n">
        <x:f>MIN(J701,L701,M701)</x:f>
        <x:v>60</x:v>
      </x:c>
      <x:c r="O701" s="10" t="n">
        <x:f>AE700*N701</x:f>
        <x:v>420</x:v>
      </x:c>
      <x:c r="P701" s="9" t="n">
        <x:f>MIN(1,(AB700/(AE700*IF(v01_GroupInCrowding=1,N701,MIN(J701,L701))))^v01_CrowdingExp)</x:f>
        <x:v>0.13048401087280728</x:v>
      </x:c>
      <x:c r="Q701" s="9" t="n">
        <x:f>IF(D701=1,INDEX(v01_WinterMult,G701),1)</x:f>
        <x:v>1</x:v>
      </x:c>
      <x:c r="R701" s="9" t="n">
        <x:f>H701*Z700*v01_WomenShare*v01_BaseFertility*INDEX(v01_FertMult,G701)*Arch_Fertility*(1-P701)</x:f>
        <x:v>4.52594826905127</x:v>
      </x:c>
      <x:c r="S701" s="9" t="n">
        <x:f>H701*Y700*INDEX(v01_MortChild,G701)/4*Q701</x:f>
        <x:v>1.1262480561207981</x:v>
      </x:c>
      <x:c r="T701" s="9" t="n">
        <x:f>H701*Z700*INDEX(v01_MortAdult,G701)*Arch_AdultMort/4*Q701</x:f>
        <x:v>0.3855655692699286</x:v>
      </x:c>
      <x:c r="U701" s="9" t="n">
        <x:f>H701*AA700*INDEX(v01_MortElder,G701)/4*Q701</x:f>
        <x:v>0.7329318809081429</x:v>
      </x:c>
      <x:c r="V701" s="9" t="n">
        <x:f>H701*MAX(0,AB700-O701)*v01_OvercapLoss</x:f>
        <x:v>0</x:v>
      </x:c>
      <x:c r="W701" s="9" t="n">
        <x:f>H701*Y700/(v01_ChildYears*4)</x:f>
        <x:v>2.29846542065469</x:v>
      </x:c>
      <x:c r="X701" s="9" t="n">
        <x:f>H701*Z700/(v01_AdultYears*4)</x:f>
        <x:v>1.0364665840589478</x:v>
      </x:c>
      <x:c r="Y701" s="32" t="n">
        <x:f>Y700+R701-S701-W701-Y700*V701/AB700</x:f>
        <x:v>129.81529834893843</x:v>
      </x:c>
      <x:c r="Z701" s="32" t="n">
        <x:f>Z700+W701-X701-T701-Z700*V701/AB700</x:f>
        <x:v>129.39828969063532</x:v>
      </x:c>
      <x:c r="AA701" s="32" t="n">
        <x:f>AA700+X701-U701-AA700*V701/AB700</x:f>
        <x:v>42.1853564693304</x:v>
      </x:c>
      <x:c r="AB701" s="10" t="n">
        <x:f>Y701+Z701+AA701</x:f>
        <x:v>301.39894450890415</x:v>
      </x:c>
      <x:c r="AC701" s="8" t="n">
        <x:f>IF(AND(v01_WinterTrigger=1,D701=1,AB700/AE700&gt;=K701),1,0)</x:f>
        <x:v>0</x:v>
      </x:c>
      <x:c r="AD701" s="8" t="n">
        <x:f>H701*IF(AND(OR(AB700/AE700&gt;=v01_FissionTrigger*N701,AC701=1),AB700/AE700*v01_DaughterShare&gt;=v01_MinDaughter),MAX(1,ROUND(AE700*v01_FissionRate,0)),0)</x:f>
        <x:v>0</x:v>
      </x:c>
      <x:c r="AE701" s="8" t="n">
        <x:f>IF(H701=1,MAX(1,MIN(INDEX(v01_Smax,G701),AE700+AD701)),AE700)</x:f>
        <x:v>7</x:v>
      </x:c>
      <x:c r="AF701" s="8" t="n">
        <x:f>MAX(0,AE701-AE700)</x:f>
        <x:v>0</x:v>
      </x:c>
      <x:c r="AG701" s="9" t="str">
        <x:f>IF(AF701&gt;0,B701,"")</x:f>
      </x:c>
      <x:c r="AH701" s="9" t="n">
        <x:f>IF(F701&gt;=1,1,(1+v01_LowTiesShare*(AE701-1))/AE701)</x:f>
        <x:v>1</x:v>
      </x:c>
      <x:c r="AI701" s="32" t="n">
        <x:f>(Z701+v01_ElderCommons*INDEX(LM_Elder,G701)*AA701)*AH701</x:f>
        <x:v>255.95435909862653</x:v>
      </x:c>
      <x:c r="AJ701" s="32" t="n">
        <x:f>H701*v01_CommonsCoef*AI701^v01_CommonsExp*INDEX(LM_Commons,G701)</x:f>
        <x:v>73.53296641239405</x:v>
      </x:c>
      <x:c r="AK701" s="32" t="n">
        <x:f>H701*v01_RoleScale*Arch_Roles*(AE701*(INDEX(v01_ElderRolePerSett,G701)*v01_OutElder*INDEX(LM_Elder,G701)+INDEX(v01_ShamanPerSett,G701)*v01_OutShaman)+Z701*(INDEX(v01_PriestShare,G701)*v01_OutPriest+INDEX(v01_ScribeShare,G701)*v01_OutScribe*INDEX(LM_Scribe,G701)+INDEX(v01_ScholarShare,G701)*v01_OutScholar*INDEX(LM_Scholar,G701)+INDEX(v01_ResearcherShare,G701)*v01_OutResearcher*INDEX(LM_Researcher,G701)))</x:f>
        <x:v>21</x:v>
      </x:c>
      <x:c r="AL701" s="32" t="n">
        <x:f>H701*v01_RoleScale*Arch_Roles*AE701*INDEX(v01_MonasteryPerSett,G701)*v01_OutMonastery*INDEX(LM_Monastery,G701)</x:f>
        <x:v>0</x:v>
      </x:c>
      <x:c r="AM701" s="32" t="n">
        <x:f>(AJ701+AK701+AL701)/4*INDEX(LM_All,G701)*INDEX(v01_Boon,G701)*Arch_Insight</x:f>
        <x:v>24.829674459255372</x:v>
      </x:c>
      <x:c r="AN701" s="32" t="n">
        <x:f>H701*(v01_KHPerAdult*Z701+v01_KHOfCommons*AJ701/4*INDEX(LM_All,G701))*v01_KHUsable*Arch_KH</x:f>
        <x:v>4.528940139172237</x:v>
      </x:c>
      <x:c r="AO701" s="32" t="n">
        <x:f>MIN(AP700+AN701,AM701*v01_KHMaxRatio)</x:f>
        <x:v>4.528940139172237</x:v>
      </x:c>
      <x:c r="AP701" s="32" t="n">
        <x:f>AP700+AN701-AO701</x:f>
        <x:v>0</x:v>
      </x:c>
      <x:c r="AQ701" s="32" t="n">
        <x:f>AM701+AO701</x:f>
        <x:v>29.358614598427607</x:v>
      </x:c>
      <x:c r="AR701" s="10" t="n">
        <x:f>IF(H701=1,INDEX(v01_Req,G701),0)</x:f>
        <x:v>4006.9599999999996</x:v>
      </x:c>
      <x:c r="AS701" s="32" t="n">
        <x:f>IF(H701=1,IF(E701=1,AS700-AR700,AS700)+AQ701,0)</x:f>
        <x:v>3683.388257156822</x:v>
      </x:c>
      <x:c r="AT701" s="11" t="n">
        <x:f>IF(AR701&gt;0,MIN(1,AS701/AR701),1)</x:f>
        <x:v>0.9192475735112959</x:v>
      </x:c>
      <x:c r="AU701" s="10" t="n">
        <x:f>AB701/INDEX(v01_RepScale,G701)</x:f>
        <x:v>150.69947225445208</x:v>
      </x:c>
      <x:c r="AV701" s="32" t="n">
        <x:f>AM701*60/v01_SeasonSeconds</x:f>
        <x:v>99.31869783702149</x:v>
      </x:c>
    </x:row>
    <x:row r="702">
      <x:c r="A702" s="8" t="n">
        <x:f>A701+1</x:f>
        <x:v>699</x:v>
      </x:c>
      <x:c r="B702" s="9" t="n">
        <x:f>A702*v01_SeasonSeconds/60</x:f>
        <x:v>174.75</x:v>
      </x:c>
      <x:c r="C702" s="9" t="n">
        <x:f>A702/4</x:f>
        <x:v>174.75</x:v>
      </x:c>
      <x:c r="D702" s="8" t="n">
        <x:f>IF(MOD(A702,4)=0,1,0)</x:f>
        <x:v>0</x:v>
      </x:c>
      <x:c r="E702" s="8" t="n">
        <x:f>IF(AND(F701&lt;=9,AS701&gt;=AR701),1,0)</x:f>
        <x:v>0</x:v>
      </x:c>
      <x:c r="F702" s="8" t="n">
        <x:f>MIN(10,F701+E702)</x:f>
        <x:v>2</x:v>
      </x:c>
      <x:c r="G702" s="8" t="n">
        <x:f>MIN(F702,9)+1</x:f>
        <x:v>3</x:v>
      </x:c>
      <x:c r="H702" s="8" t="n">
        <x:f>IF(F702&lt;=9,1,0)</x:f>
        <x:v>1</x:v>
      </x:c>
      <x:c r="I702" s="9" t="n">
        <x:f>MIN(10,F701+IF(AR701&gt;0,MIN(1,AS701/AR701),1))</x:f>
        <x:v>2.9192475735112957</x:v>
      </x:c>
      <x:c r="J702" s="32" t="n">
        <x:f>INDEX(v01_FoodCap,G702)*Arch_FoodCap*EXP(v01_CapsByProject*SUMPRODUCT((Cap_Point&lt;=I702)*(Cap_Kind="Food")*Cap_Ln))</x:f>
        <x:v>60</x:v>
      </x:c>
      <x:c r="K702" s="32" t="n">
        <x:f>J702*MIN(1,v01_LeanBase*EXP(v01_CapsByProject*SUMPRODUCT((Cap_Point&lt;=I702)*(Cap_Kind="Lean")*Cap_Ln)))</x:f>
        <x:v>60</x:v>
      </x:c>
      <x:c r="L702" s="10" t="n">
        <x:f>INDEX(v01_HousingCap,G702)*EXP(v01_CapsByProject*SUMPRODUCT((Cap_Point&lt;=I702)*(Cap_Kind="Housing")*Cap_Ln))</x:f>
        <x:v>100</x:v>
      </x:c>
      <x:c r="M702" s="10" t="n">
        <x:f>INDEX(v01_GroupCap,G702)*v01_CohesionFactor*EXP(v01_CapsByProject*SUMPRODUCT((Cap_Point&lt;=I702)*(Cap_Kind="Group")*Cap_Ln))</x:f>
        <x:v>500</x:v>
      </x:c>
      <x:c r="N702" s="32" t="n">
        <x:f>MIN(J702,L702,M702)</x:f>
        <x:v>60</x:v>
      </x:c>
      <x:c r="O702" s="10" t="n">
        <x:f>AE701*N702</x:f>
        <x:v>420</x:v>
      </x:c>
      <x:c r="P702" s="9" t="n">
        <x:f>MIN(1,(AB701/(AE701*IF(v01_GroupInCrowding=1,N702,MIN(J702,L702))))^v01_CrowdingExp)</x:f>
        <x:v>0.13656978326056304</x:v>
      </x:c>
      <x:c r="Q702" s="9" t="n">
        <x:f>IF(D702=1,INDEX(v01_WinterMult,G702),1)</x:f>
        <x:v>1</x:v>
      </x:c>
      <x:c r="R702" s="9" t="n">
        <x:f>H702*Z701*v01_WomenShare*v01_BaseFertility*INDEX(v01_FertMult,G702)*Arch_Fertility*(1-P702)</x:f>
        <x:v>4.524918929188558</x:v>
      </x:c>
      <x:c r="S702" s="9" t="n">
        <x:f>H702*Y701*INDEX(v01_MortChild,G702)/4*Q702</x:f>
        <x:v>1.1358838605532113</x:v>
      </x:c>
      <x:c r="T702" s="9" t="n">
        <x:f>H702*Z701*INDEX(v01_MortAdult,G702)*Arch_AdultMort/4*Q702</x:f>
        <x:v>0.388194869071906</x:v>
      </x:c>
      <x:c r="U702" s="9" t="n">
        <x:f>H702*AA701*INDEX(v01_MortElder,G702)/4*Q702</x:f>
        <x:v>0.738243738213282</x:v>
      </x:c>
      <x:c r="V702" s="9" t="n">
        <x:f>H702*MAX(0,AB701-O702)*v01_OvercapLoss</x:f>
        <x:v>0</x:v>
      </x:c>
      <x:c r="W702" s="9" t="n">
        <x:f>H702*Y701/(v01_ChildYears*4)</x:f>
        <x:v>2.3181303276596146</x:v>
      </x:c>
      <x:c r="X702" s="9" t="n">
        <x:f>H702*Z701/(v01_AdultYears*4)</x:f>
        <x:v>1.043534594279317</x:v>
      </x:c>
      <x:c r="Y702" s="32" t="n">
        <x:f>Y701+R702-S702-W702-Y701*V702/AB701</x:f>
        <x:v>130.88620308991415</x:v>
      </x:c>
      <x:c r="Z702" s="32" t="n">
        <x:f>Z701+W702-X702-T702-Z701*V702/AB701</x:f>
        <x:v>130.28469055494372</x:v>
      </x:c>
      <x:c r="AA702" s="32" t="n">
        <x:f>AA701+X702-U702-AA701*V702/AB701</x:f>
        <x:v>42.49064732539643</x:v>
      </x:c>
      <x:c r="AB702" s="10" t="n">
        <x:f>Y702+Z702+AA702</x:f>
        <x:v>303.6615409702543</x:v>
      </x:c>
      <x:c r="AC702" s="8" t="n">
        <x:f>IF(AND(v01_WinterTrigger=1,D702=1,AB701/AE701&gt;=K702),1,0)</x:f>
        <x:v>0</x:v>
      </x:c>
      <x:c r="AD702" s="8" t="n">
        <x:f>H702*IF(AND(OR(AB701/AE701&gt;=v01_FissionTrigger*N702,AC702=1),AB701/AE701*v01_DaughterShare&gt;=v01_MinDaughter),MAX(1,ROUND(AE701*v01_FissionRate,0)),0)</x:f>
        <x:v>0</x:v>
      </x:c>
      <x:c r="AE702" s="8" t="n">
        <x:f>IF(H702=1,MAX(1,MIN(INDEX(v01_Smax,G702),AE701+AD702)),AE701)</x:f>
        <x:v>7</x:v>
      </x:c>
      <x:c r="AF702" s="8" t="n">
        <x:f>MAX(0,AE702-AE701)</x:f>
        <x:v>0</x:v>
      </x:c>
      <x:c r="AG702" s="9" t="str">
        <x:f>IF(AF702&gt;0,B702,"")</x:f>
      </x:c>
      <x:c r="AH702" s="9" t="n">
        <x:f>IF(F702&gt;=1,1,(1+v01_LowTiesShare*(AE702-1))/AE702)</x:f>
        <x:v>1</x:v>
      </x:c>
      <x:c r="AI702" s="32" t="n">
        <x:f>(Z702+v01_ElderCommons*INDEX(LM_Elder,G702)*AA702)*AH702</x:f>
        <x:v>257.75663253113305</x:v>
      </x:c>
      <x:c r="AJ702" s="32" t="n">
        <x:f>H702*v01_CommonsCoef*AI702^v01_CommonsExp*INDEX(LM_Commons,G702)</x:f>
        <x:v>73.97284251284192</x:v>
      </x:c>
      <x:c r="AK702" s="32" t="n">
        <x:f>H702*v01_RoleScale*Arch_Roles*(AE702*(INDEX(v01_ElderRolePerSett,G702)*v01_OutElder*INDEX(LM_Elder,G702)+INDEX(v01_ShamanPerSett,G702)*v01_OutShaman)+Z702*(INDEX(v01_PriestShare,G702)*v01_OutPriest+INDEX(v01_ScribeShare,G702)*v01_OutScribe*INDEX(LM_Scribe,G702)+INDEX(v01_ScholarShare,G702)*v01_OutScholar*INDEX(LM_Scholar,G702)+INDEX(v01_ResearcherShare,G702)*v01_OutResearcher*INDEX(LM_Researcher,G702)))</x:f>
        <x:v>21</x:v>
      </x:c>
      <x:c r="AL702" s="32" t="n">
        <x:f>H702*v01_RoleScale*Arch_Roles*AE702*INDEX(v01_MonasteryPerSett,G702)*v01_OutMonastery*INDEX(LM_Monastery,G702)</x:f>
        <x:v>0</x:v>
      </x:c>
      <x:c r="AM702" s="32" t="n">
        <x:f>(AJ702+AK702+AL702)/4*INDEX(LM_All,G702)*INDEX(v01_Boon,G702)*Arch_Insight</x:f>
        <x:v>24.945210666263634</x:v>
      </x:c>
      <x:c r="AN702" s="32" t="n">
        <x:f>H702*(v01_KHPerAdult*Z702+v01_KHOfCommons*AJ702/4*INDEX(LM_All,G702))*v01_KHUsable*Arch_KH</x:f>
        <x:v>4.55996416942303</x:v>
      </x:c>
      <x:c r="AO702" s="32" t="n">
        <x:f>MIN(AP701+AN702,AM702*v01_KHMaxRatio)</x:f>
        <x:v>4.55996416942303</x:v>
      </x:c>
      <x:c r="AP702" s="32" t="n">
        <x:f>AP701+AN702-AO702</x:f>
        <x:v>0</x:v>
      </x:c>
      <x:c r="AQ702" s="32" t="n">
        <x:f>AM702+AO702</x:f>
        <x:v>29.505174835686663</x:v>
      </x:c>
      <x:c r="AR702" s="10" t="n">
        <x:f>IF(H702=1,INDEX(v01_Req,G702),0)</x:f>
        <x:v>4006.9599999999996</x:v>
      </x:c>
      <x:c r="AS702" s="32" t="n">
        <x:f>IF(H702=1,IF(E702=1,AS701-AR701,AS701)+AQ702,0)</x:f>
        <x:v>3712.893431992509</x:v>
      </x:c>
      <x:c r="AT702" s="11" t="n">
        <x:f>IF(AR702&gt;0,MIN(1,AS702/AR702),1)</x:f>
        <x:v>0.92661105476284</x:v>
      </x:c>
      <x:c r="AU702" s="10" t="n">
        <x:f>AB702/INDEX(v01_RepScale,G702)</x:f>
        <x:v>151.83077048512715</x:v>
      </x:c>
      <x:c r="AV702" s="32" t="n">
        <x:f>AM702*60/v01_SeasonSeconds</x:f>
        <x:v>99.78084266505454</x:v>
      </x:c>
    </x:row>
    <x:row r="703">
      <x:c r="A703" s="8" t="n">
        <x:f>A702+1</x:f>
        <x:v>700</x:v>
      </x:c>
      <x:c r="B703" s="9" t="n">
        <x:f>A703*v01_SeasonSeconds/60</x:f>
        <x:v>175</x:v>
      </x:c>
      <x:c r="C703" s="9" t="n">
        <x:f>A703/4</x:f>
        <x:v>175</x:v>
      </x:c>
      <x:c r="D703" s="8" t="n">
        <x:f>IF(MOD(A703,4)=0,1,0)</x:f>
        <x:v>1</x:v>
      </x:c>
      <x:c r="E703" s="8" t="n">
        <x:f>IF(AND(F702&lt;=9,AS702&gt;=AR702),1,0)</x:f>
        <x:v>0</x:v>
      </x:c>
      <x:c r="F703" s="8" t="n">
        <x:f>MIN(10,F702+E703)</x:f>
        <x:v>2</x:v>
      </x:c>
      <x:c r="G703" s="8" t="n">
        <x:f>MIN(F703,9)+1</x:f>
        <x:v>3</x:v>
      </x:c>
      <x:c r="H703" s="8" t="n">
        <x:f>IF(F703&lt;=9,1,0)</x:f>
        <x:v>1</x:v>
      </x:c>
      <x:c r="I703" s="9" t="n">
        <x:f>MIN(10,F702+IF(AR702&gt;0,MIN(1,AS702/AR702),1))</x:f>
        <x:v>2.92661105476284</x:v>
      </x:c>
      <x:c r="J703" s="32" t="n">
        <x:f>INDEX(v01_FoodCap,G703)*Arch_FoodCap*EXP(v01_CapsByProject*SUMPRODUCT((Cap_Point&lt;=I703)*(Cap_Kind="Food")*Cap_Ln))</x:f>
        <x:v>60</x:v>
      </x:c>
      <x:c r="K703" s="32" t="n">
        <x:f>J703*MIN(1,v01_LeanBase*EXP(v01_CapsByProject*SUMPRODUCT((Cap_Point&lt;=I703)*(Cap_Kind="Lean")*Cap_Ln)))</x:f>
        <x:v>60</x:v>
      </x:c>
      <x:c r="L703" s="10" t="n">
        <x:f>INDEX(v01_HousingCap,G703)*EXP(v01_CapsByProject*SUMPRODUCT((Cap_Point&lt;=I703)*(Cap_Kind="Housing")*Cap_Ln))</x:f>
        <x:v>100</x:v>
      </x:c>
      <x:c r="M703" s="10" t="n">
        <x:f>INDEX(v01_GroupCap,G703)*v01_CohesionFactor*EXP(v01_CapsByProject*SUMPRODUCT((Cap_Point&lt;=I703)*(Cap_Kind="Group")*Cap_Ln))</x:f>
        <x:v>500</x:v>
      </x:c>
      <x:c r="N703" s="32" t="n">
        <x:f>MIN(J703,L703,M703)</x:f>
        <x:v>60</x:v>
      </x:c>
      <x:c r="O703" s="10" t="n">
        <x:f>AE702*N703</x:f>
        <x:v>420</x:v>
      </x:c>
      <x:c r="P703" s="9" t="n">
        <x:f>MIN(1,(AB702/(AE702*IF(v01_GroupInCrowding=1,N703,MIN(J703,L703))))^v01_CrowdingExp)</x:f>
        <x:v>0.14283775217012012</x:v>
      </x:c>
      <x:c r="Q703" s="9" t="n">
        <x:f>IF(D703=1,INDEX(v01_WinterMult,G703),1)</x:f>
        <x:v>1.3</x:v>
      </x:c>
      <x:c r="R703" s="9" t="n">
        <x:f>H703*Z702*v01_WomenShare*v01_BaseFertility*INDEX(v01_FertMult,G703)*Arch_Fertility*(1-P703)</x:f>
        <x:v>4.522842287662783</x:v>
      </x:c>
      <x:c r="S703" s="9" t="n">
        <x:f>H703*Y702*INDEX(v01_MortChild,G703)/4*Q703</x:f>
        <x:v>1.4888305601477736</x:v>
      </x:c>
      <x:c r="T703" s="9" t="n">
        <x:f>H703*Z702*INDEX(v01_MortAdult,G703)*Arch_AdultMort/4*Q703</x:f>
        <x:v>0.5081102931642806</x:v>
      </x:c>
      <x:c r="U703" s="9" t="n">
        <x:f>H703*AA702*INDEX(v01_MortElder,G703)/4*Q703</x:f>
        <x:v>0.9666622266527689</x:v>
      </x:c>
      <x:c r="V703" s="9" t="n">
        <x:f>H703*MAX(0,AB702-O703)*v01_OvercapLoss</x:f>
        <x:v>0</x:v>
      </x:c>
      <x:c r="W703" s="9" t="n">
        <x:f>H703*Y702/(v01_ChildYears*4)</x:f>
        <x:v>2.3372536266056096</x:v>
      </x:c>
      <x:c r="X703" s="9" t="n">
        <x:f>H703*Z702/(v01_AdultYears*4)</x:f>
        <x:v>1.0506829883463202</x:v>
      </x:c>
      <x:c r="Y703" s="32" t="n">
        <x:f>Y702+R703-S703-W703-Y702*V703/AB702</x:f>
        <x:v>131.58296119082357</x:v>
      </x:c>
      <x:c r="Z703" s="32" t="n">
        <x:f>Z702+W703-X703-T703-Z702*V703/AB702</x:f>
        <x:v>131.06315090003872</x:v>
      </x:c>
      <x:c r="AA703" s="32" t="n">
        <x:f>AA702+X703-U703-AA702*V703/AB702</x:f>
        <x:v>42.574668087089975</x:v>
      </x:c>
      <x:c r="AB703" s="10" t="n">
        <x:f>Y703+Z703+AA703</x:f>
        <x:v>305.2207801779523</x:v>
      </x:c>
      <x:c r="AC703" s="8" t="n">
        <x:f>IF(AND(v01_WinterTrigger=1,D703=1,AB702/AE702&gt;=K703),1,0)</x:f>
        <x:v>0</x:v>
      </x:c>
      <x:c r="AD703" s="8" t="n">
        <x:f>H703*IF(AND(OR(AB702/AE702&gt;=v01_FissionTrigger*N703,AC703=1),AB702/AE702*v01_DaughterShare&gt;=v01_MinDaughter),MAX(1,ROUND(AE702*v01_FissionRate,0)),0)</x:f>
        <x:v>0</x:v>
      </x:c>
      <x:c r="AE703" s="8" t="n">
        <x:f>IF(H703=1,MAX(1,MIN(INDEX(v01_Smax,G703),AE702+AD703)),AE702)</x:f>
        <x:v>7</x:v>
      </x:c>
      <x:c r="AF703" s="8" t="n">
        <x:f>MAX(0,AE703-AE702)</x:f>
        <x:v>0</x:v>
      </x:c>
      <x:c r="AG703" s="9" t="str">
        <x:f>IF(AF703&gt;0,B703,"")</x:f>
      </x:c>
      <x:c r="AH703" s="9" t="n">
        <x:f>IF(F703&gt;=1,1,(1+v01_LowTiesShare*(AE703-1))/AE703)</x:f>
        <x:v>1</x:v>
      </x:c>
      <x:c r="AI703" s="32" t="n">
        <x:f>(Z703+v01_ElderCommons*INDEX(LM_Elder,G703)*AA703)*AH703</x:f>
        <x:v>258.78715516130865</x:v>
      </x:c>
      <x:c r="AJ703" s="32" t="n">
        <x:f>H703*v01_CommonsCoef*AI703^v01_CommonsExp*INDEX(LM_Commons,G703)</x:f>
        <x:v>74.22415199320648</x:v>
      </x:c>
      <x:c r="AK703" s="32" t="n">
        <x:f>H703*v01_RoleScale*Arch_Roles*(AE703*(INDEX(v01_ElderRolePerSett,G703)*v01_OutElder*INDEX(LM_Elder,G703)+INDEX(v01_ShamanPerSett,G703)*v01_OutShaman)+Z703*(INDEX(v01_PriestShare,G703)*v01_OutPriest+INDEX(v01_ScribeShare,G703)*v01_OutScribe*INDEX(LM_Scribe,G703)+INDEX(v01_ScholarShare,G703)*v01_OutScholar*INDEX(LM_Scholar,G703)+INDEX(v01_ResearcherShare,G703)*v01_OutResearcher*INDEX(LM_Researcher,G703)))</x:f>
        <x:v>21</x:v>
      </x:c>
      <x:c r="AL703" s="32" t="n">
        <x:f>H703*v01_RoleScale*Arch_Roles*AE703*INDEX(v01_MonasteryPerSett,G703)*v01_OutMonastery*INDEX(LM_Monastery,G703)</x:f>
        <x:v>0</x:v>
      </x:c>
      <x:c r="AM703" s="32" t="n">
        <x:f>(AJ703+AK703+AL703)/4*INDEX(LM_All,G703)*INDEX(v01_Boon,G703)*Arch_Insight</x:f>
        <x:v>25.011218671965636</x:v>
      </x:c>
      <x:c r="AN703" s="32" t="n">
        <x:f>H703*(v01_KHPerAdult*Z703+v01_KHOfCommons*AJ703/4*INDEX(LM_All,G703))*v01_KHUsable*Arch_KH</x:f>
        <x:v>4.587210281501355</x:v>
      </x:c>
      <x:c r="AO703" s="32" t="n">
        <x:f>MIN(AP702+AN703,AM703*v01_KHMaxRatio)</x:f>
        <x:v>4.587210281501355</x:v>
      </x:c>
      <x:c r="AP703" s="32" t="n">
        <x:f>AP702+AN703-AO703</x:f>
        <x:v>0</x:v>
      </x:c>
      <x:c r="AQ703" s="32" t="n">
        <x:f>AM703+AO703</x:f>
        <x:v>29.598428953466993</x:v>
      </x:c>
      <x:c r="AR703" s="10" t="n">
        <x:f>IF(H703=1,INDEX(v01_Req,G703),0)</x:f>
        <x:v>4006.9599999999996</x:v>
      </x:c>
      <x:c r="AS703" s="32" t="n">
        <x:f>IF(H703=1,IF(E703=1,AS702-AR702,AS702)+AQ703,0)</x:f>
        <x:v>3742.491860945976</x:v>
      </x:c>
      <x:c r="AT703" s="11" t="n">
        <x:f>IF(AR703&gt;0,MIN(1,AS703/AR703),1)</x:f>
        <x:v>0.9339978090487493</x:v>
      </x:c>
      <x:c r="AU703" s="10" t="n">
        <x:f>AB703/INDEX(v01_RepScale,G703)</x:f>
        <x:v>152.61039008897615</x:v>
      </x:c>
      <x:c r="AV703" s="32" t="n">
        <x:f>AM703*60/v01_SeasonSeconds</x:f>
        <x:v>100.04487468786255</x:v>
      </x:c>
    </x:row>
    <x:row r="704">
      <x:c r="A704" s="8" t="n">
        <x:f>A703+1</x:f>
        <x:v>701</x:v>
      </x:c>
      <x:c r="B704" s="9" t="n">
        <x:f>A704*v01_SeasonSeconds/60</x:f>
        <x:v>175.25</x:v>
      </x:c>
      <x:c r="C704" s="9" t="n">
        <x:f>A704/4</x:f>
        <x:v>175.25</x:v>
      </x:c>
      <x:c r="D704" s="8" t="n">
        <x:f>IF(MOD(A704,4)=0,1,0)</x:f>
        <x:v>0</x:v>
      </x:c>
      <x:c r="E704" s="8" t="n">
        <x:f>IF(AND(F703&lt;=9,AS703&gt;=AR703),1,0)</x:f>
        <x:v>0</x:v>
      </x:c>
      <x:c r="F704" s="8" t="n">
        <x:f>MIN(10,F703+E704)</x:f>
        <x:v>2</x:v>
      </x:c>
      <x:c r="G704" s="8" t="n">
        <x:f>MIN(F704,9)+1</x:f>
        <x:v>3</x:v>
      </x:c>
      <x:c r="H704" s="8" t="n">
        <x:f>IF(F704&lt;=9,1,0)</x:f>
        <x:v>1</x:v>
      </x:c>
      <x:c r="I704" s="9" t="n">
        <x:f>MIN(10,F703+IF(AR703&gt;0,MIN(1,AS703/AR703),1))</x:f>
        <x:v>2.9339978090487495</x:v>
      </x:c>
      <x:c r="J704" s="32" t="n">
        <x:f>INDEX(v01_FoodCap,G704)*Arch_FoodCap*EXP(v01_CapsByProject*SUMPRODUCT((Cap_Point&lt;=I704)*(Cap_Kind="Food")*Cap_Ln))</x:f>
        <x:v>60</x:v>
      </x:c>
      <x:c r="K704" s="32" t="n">
        <x:f>J704*MIN(1,v01_LeanBase*EXP(v01_CapsByProject*SUMPRODUCT((Cap_Point&lt;=I704)*(Cap_Kind="Lean")*Cap_Ln)))</x:f>
        <x:v>60</x:v>
      </x:c>
      <x:c r="L704" s="10" t="n">
        <x:f>INDEX(v01_HousingCap,G704)*EXP(v01_CapsByProject*SUMPRODUCT((Cap_Point&lt;=I704)*(Cap_Kind="Housing")*Cap_Ln))</x:f>
        <x:v>100</x:v>
      </x:c>
      <x:c r="M704" s="10" t="n">
        <x:f>INDEX(v01_GroupCap,G704)*v01_CohesionFactor*EXP(v01_CapsByProject*SUMPRODUCT((Cap_Point&lt;=I704)*(Cap_Kind="Group")*Cap_Ln))</x:f>
        <x:v>500</x:v>
      </x:c>
      <x:c r="N704" s="32" t="n">
        <x:f>MIN(J704,L704,M704)</x:f>
        <x:v>60</x:v>
      </x:c>
      <x:c r="O704" s="10" t="n">
        <x:f>AE703*N704</x:f>
        <x:v>420</x:v>
      </x:c>
      <x:c r="P704" s="9" t="n">
        <x:f>MIN(1,(AB703/(AE703*IF(v01_GroupInCrowding=1,N704,MIN(J704,L704))))^v01_CrowdingExp)</x:f>
        <x:v>0.1472952854305478</x:v>
      </x:c>
      <x:c r="Q704" s="9" t="n">
        <x:f>IF(D704=1,INDEX(v01_WinterMult,G704),1)</x:f>
        <x:v>1</x:v>
      </x:c>
      <x:c r="R704" s="9" t="n">
        <x:f>H704*Z703*v01_WomenShare*v01_BaseFertility*INDEX(v01_FertMult,G704)*Arch_Fertility*(1-P704)</x:f>
        <x:v>4.526205750491018</x:v>
      </x:c>
      <x:c r="S704" s="9" t="n">
        <x:f>H704*Y703*INDEX(v01_MortChild,G704)/4*Q704</x:f>
        <x:v>1.1513509104197064</x:v>
      </x:c>
      <x:c r="T704" s="9" t="n">
        <x:f>H704*Z703*INDEX(v01_MortAdult,G704)*Arch_AdultMort/4*Q704</x:f>
        <x:v>0.3931894527001162</x:v>
      </x:c>
      <x:c r="U704" s="9" t="n">
        <x:f>H704*AA703*INDEX(v01_MortElder,G704)/4*Q704</x:f>
        <x:v>0.7450566915240746</x:v>
      </x:c>
      <x:c r="V704" s="9" t="n">
        <x:f>H704*MAX(0,AB703-O704)*v01_OvercapLoss</x:f>
        <x:v>0</x:v>
      </x:c>
      <x:c r="W704" s="9" t="n">
        <x:f>H704*Y703/(v01_ChildYears*4)</x:f>
        <x:v>2.3496957355504207</x:v>
      </x:c>
      <x:c r="X704" s="9" t="n">
        <x:f>H704*Z703/(v01_AdultYears*4)</x:f>
        <x:v>1.056960894355151</x:v>
      </x:c>
      <x:c r="Y704" s="32" t="n">
        <x:f>Y703+R704-S704-W704-Y703*V704/AB703</x:f>
        <x:v>132.60812029534446</x:v>
      </x:c>
      <x:c r="Z704" s="32" t="n">
        <x:f>Z703+W704-X704-T704-Z703*V704/AB703</x:f>
        <x:v>131.9626962885339</x:v>
      </x:c>
      <x:c r="AA704" s="32" t="n">
        <x:f>AA703+X704-U704-AA703*V704/AB703</x:f>
        <x:v>42.88657228992105</x:v>
      </x:c>
      <x:c r="AB704" s="10" t="n">
        <x:f>Y704+Z704+AA704</x:f>
        <x:v>307.4573888737994</x:v>
      </x:c>
      <x:c r="AC704" s="8" t="n">
        <x:f>IF(AND(v01_WinterTrigger=1,D704=1,AB703/AE703&gt;=K704),1,0)</x:f>
        <x:v>0</x:v>
      </x:c>
      <x:c r="AD704" s="8" t="n">
        <x:f>H704*IF(AND(OR(AB703/AE703&gt;=v01_FissionTrigger*N704,AC704=1),AB703/AE703*v01_DaughterShare&gt;=v01_MinDaughter),MAX(1,ROUND(AE703*v01_FissionRate,0)),0)</x:f>
        <x:v>0</x:v>
      </x:c>
      <x:c r="AE704" s="8" t="n">
        <x:f>IF(H704=1,MAX(1,MIN(INDEX(v01_Smax,G704),AE703+AD704)),AE703)</x:f>
        <x:v>7</x:v>
      </x:c>
      <x:c r="AF704" s="8" t="n">
        <x:f>MAX(0,AE704-AE703)</x:f>
        <x:v>0</x:v>
      </x:c>
      <x:c r="AG704" s="9" t="str">
        <x:f>IF(AF704&gt;0,B704,"")</x:f>
      </x:c>
      <x:c r="AH704" s="9" t="n">
        <x:f>IF(F704&gt;=1,1,(1+v01_LowTiesShare*(AE704-1))/AE704)</x:f>
        <x:v>1</x:v>
      </x:c>
      <x:c r="AI704" s="32" t="n">
        <x:f>(Z704+v01_ElderCommons*INDEX(LM_Elder,G704)*AA704)*AH704</x:f>
        <x:v>260.62241315829704</x:v>
      </x:c>
      <x:c r="AJ704" s="32" t="n">
        <x:f>H704*v01_CommonsCoef*AI704^v01_CommonsExp*INDEX(LM_Commons,G704)</x:f>
        <x:v>74.67133794284916</x:v>
      </x:c>
      <x:c r="AK704" s="32" t="n">
        <x:f>H704*v01_RoleScale*Arch_Roles*(AE704*(INDEX(v01_ElderRolePerSett,G704)*v01_OutElder*INDEX(LM_Elder,G704)+INDEX(v01_ShamanPerSett,G704)*v01_OutShaman)+Z704*(INDEX(v01_PriestShare,G704)*v01_OutPriest+INDEX(v01_ScribeShare,G704)*v01_OutScribe*INDEX(LM_Scribe,G704)+INDEX(v01_ScholarShare,G704)*v01_OutScholar*INDEX(LM_Scholar,G704)+INDEX(v01_ResearcherShare,G704)*v01_OutResearcher*INDEX(LM_Researcher,G704)))</x:f>
        <x:v>21</x:v>
      </x:c>
      <x:c r="AL704" s="32" t="n">
        <x:f>H704*v01_RoleScale*Arch_Roles*AE704*INDEX(v01_MonasteryPerSett,G704)*v01_OutMonastery*INDEX(LM_Monastery,G704)</x:f>
        <x:v>0</x:v>
      </x:c>
      <x:c r="AM704" s="32" t="n">
        <x:f>(AJ704+AK704+AL704)/4*INDEX(LM_All,G704)*INDEX(v01_Boon,G704)*Arch_Insight</x:f>
        <x:v>25.128674856551473</x:v>
      </x:c>
      <x:c r="AN704" s="32" t="n">
        <x:f>H704*(v01_KHPerAdult*Z704+v01_KHOfCommons*AJ704/4*INDEX(LM_All,G704))*v01_KHUsable*Arch_KH</x:f>
        <x:v>4.618694370098686</x:v>
      </x:c>
      <x:c r="AO704" s="32" t="n">
        <x:f>MIN(AP703+AN704,AM704*v01_KHMaxRatio)</x:f>
        <x:v>4.618694370098686</x:v>
      </x:c>
      <x:c r="AP704" s="32" t="n">
        <x:f>AP703+AN704-AO704</x:f>
        <x:v>0</x:v>
      </x:c>
      <x:c r="AQ704" s="32" t="n">
        <x:f>AM704+AO704</x:f>
        <x:v>29.74736922665016</x:v>
      </x:c>
      <x:c r="AR704" s="10" t="n">
        <x:f>IF(H704=1,INDEX(v01_Req,G704),0)</x:f>
        <x:v>4006.9599999999996</x:v>
      </x:c>
      <x:c r="AS704" s="32" t="n">
        <x:f>IF(H704=1,IF(E704=1,AS703-AR703,AS703)+AQ704,0)</x:f>
        <x:v>3772.2392301726263</x:v>
      </x:c>
      <x:c r="AT704" s="11" t="n">
        <x:f>IF(AR704&gt;0,MIN(1,AS704/AR704),1)</x:f>
        <x:v>0.9414217337264726</x:v>
      </x:c>
      <x:c r="AU704" s="10" t="n">
        <x:f>AB704/INDEX(v01_RepScale,G704)</x:f>
        <x:v>153.7286944368997</x:v>
      </x:c>
      <x:c r="AV704" s="32" t="n">
        <x:f>AM704*60/v01_SeasonSeconds</x:f>
        <x:v>100.5146994262059</x:v>
      </x:c>
    </x:row>
    <x:row r="705">
      <x:c r="A705" s="8" t="n">
        <x:f>A704+1</x:f>
        <x:v>702</x:v>
      </x:c>
      <x:c r="B705" s="9" t="n">
        <x:f>A705*v01_SeasonSeconds/60</x:f>
        <x:v>175.5</x:v>
      </x:c>
      <x:c r="C705" s="9" t="n">
        <x:f>A705/4</x:f>
        <x:v>175.5</x:v>
      </x:c>
      <x:c r="D705" s="8" t="n">
        <x:f>IF(MOD(A705,4)=0,1,0)</x:f>
        <x:v>0</x:v>
      </x:c>
      <x:c r="E705" s="8" t="n">
        <x:f>IF(AND(F704&lt;=9,AS704&gt;=AR704),1,0)</x:f>
        <x:v>0</x:v>
      </x:c>
      <x:c r="F705" s="8" t="n">
        <x:f>MIN(10,F704+E705)</x:f>
        <x:v>2</x:v>
      </x:c>
      <x:c r="G705" s="8" t="n">
        <x:f>MIN(F705,9)+1</x:f>
        <x:v>3</x:v>
      </x:c>
      <x:c r="H705" s="8" t="n">
        <x:f>IF(F705&lt;=9,1,0)</x:f>
        <x:v>1</x:v>
      </x:c>
      <x:c r="I705" s="9" t="n">
        <x:f>MIN(10,F704+IF(AR704&gt;0,MIN(1,AS704/AR704),1))</x:f>
        <x:v>2.9414217337264725</x:v>
      </x:c>
      <x:c r="J705" s="32" t="n">
        <x:f>INDEX(v01_FoodCap,G705)*Arch_FoodCap*EXP(v01_CapsByProject*SUMPRODUCT((Cap_Point&lt;=I705)*(Cap_Kind="Food")*Cap_Ln))</x:f>
        <x:v>60</x:v>
      </x:c>
      <x:c r="K705" s="32" t="n">
        <x:f>J705*MIN(1,v01_LeanBase*EXP(v01_CapsByProject*SUMPRODUCT((Cap_Point&lt;=I705)*(Cap_Kind="Lean")*Cap_Ln)))</x:f>
        <x:v>60</x:v>
      </x:c>
      <x:c r="L705" s="10" t="n">
        <x:f>INDEX(v01_HousingCap,G705)*EXP(v01_CapsByProject*SUMPRODUCT((Cap_Point&lt;=I705)*(Cap_Kind="Housing")*Cap_Ln))</x:f>
        <x:v>100</x:v>
      </x:c>
      <x:c r="M705" s="10" t="n">
        <x:f>INDEX(v01_GroupCap,G705)*v01_CohesionFactor*EXP(v01_CapsByProject*SUMPRODUCT((Cap_Point&lt;=I705)*(Cap_Kind="Group")*Cap_Ln))</x:f>
        <x:v>500</x:v>
      </x:c>
      <x:c r="N705" s="32" t="n">
        <x:f>MIN(J705,L705,M705)</x:f>
        <x:v>60</x:v>
      </x:c>
      <x:c r="O705" s="10" t="n">
        <x:f>AE704*N705</x:f>
        <x:v>420</x:v>
      </x:c>
      <x:c r="P705" s="9" t="n">
        <x:f>MIN(1,(AB704/(AE704*IF(v01_GroupInCrowding=1,N705,MIN(J705,L705))))^v01_CrowdingExp)</x:f>
        <x:v>0.15389122790859427</x:v>
      </x:c>
      <x:c r="Q705" s="9" t="n">
        <x:f>IF(D705=1,INDEX(v01_WinterMult,G705),1)</x:f>
        <x:v>1</x:v>
      </x:c>
      <x:c r="R705" s="9" t="n">
        <x:f>H705*Z704*v01_WomenShare*v01_BaseFertility*INDEX(v01_FertMult,G705)*Arch_Fertility*(1-P705)</x:f>
        <x:v>4.522019194201783</x:v>
      </x:c>
      <x:c r="S705" s="9" t="n">
        <x:f>H705*Y704*INDEX(v01_MortChild,G705)/4*Q705</x:f>
        <x:v>1.1603210525842642</x:v>
      </x:c>
      <x:c r="T705" s="9" t="n">
        <x:f>H705*Z704*INDEX(v01_MortAdult,G705)*Arch_AdultMort/4*Q705</x:f>
        <x:v>0.3958880888656017</x:v>
      </x:c>
      <x:c r="U705" s="9" t="n">
        <x:f>H705*AA704*INDEX(v01_MortElder,G705)/4*Q705</x:f>
        <x:v>0.7505150150736184</x:v>
      </x:c>
      <x:c r="V705" s="9" t="n">
        <x:f>H705*MAX(0,AB704-O705)*v01_OvercapLoss</x:f>
        <x:v>0</x:v>
      </x:c>
      <x:c r="W705" s="9" t="n">
        <x:f>H705*Y704/(v01_ChildYears*4)</x:f>
        <x:v>2.368002148131151</x:v>
      </x:c>
      <x:c r="X705" s="9" t="n">
        <x:f>H705*Z704/(v01_AdultYears*4)</x:f>
        <x:v>1.0642152926494668</x:v>
      </x:c>
      <x:c r="Y705" s="32" t="n">
        <x:f>Y704+R705-S705-W705-Y704*V705/AB704</x:f>
        <x:v>133.60181628883083</x:v>
      </x:c>
      <x:c r="Z705" s="32" t="n">
        <x:f>Z704+W705-X705-T705-Z704*V705/AB704</x:f>
        <x:v>132.87059505514998</x:v>
      </x:c>
      <x:c r="AA705" s="32" t="n">
        <x:f>AA704+X705-U705-AA704*V705/AB704</x:f>
        <x:v>43.200272567496896</x:v>
      </x:c>
      <x:c r="AB705" s="10" t="n">
        <x:f>Y705+Z705+AA705</x:f>
        <x:v>309.6726839114777</x:v>
      </x:c>
      <x:c r="AC705" s="8" t="n">
        <x:f>IF(AND(v01_WinterTrigger=1,D705=1,AB704/AE704&gt;=K705),1,0)</x:f>
        <x:v>0</x:v>
      </x:c>
      <x:c r="AD705" s="8" t="n">
        <x:f>H705*IF(AND(OR(AB704/AE704&gt;=v01_FissionTrigger*N705,AC705=1),AB704/AE704*v01_DaughterShare&gt;=v01_MinDaughter),MAX(1,ROUND(AE704*v01_FissionRate,0)),0)</x:f>
        <x:v>0</x:v>
      </x:c>
      <x:c r="AE705" s="8" t="n">
        <x:f>IF(H705=1,MAX(1,MIN(INDEX(v01_Smax,G705),AE704+AD705)),AE704)</x:f>
        <x:v>7</x:v>
      </x:c>
      <x:c r="AF705" s="8" t="n">
        <x:f>MAX(0,AE705-AE704)</x:f>
        <x:v>0</x:v>
      </x:c>
      <x:c r="AG705" s="9" t="str">
        <x:f>IF(AF705&gt;0,B705,"")</x:f>
      </x:c>
      <x:c r="AH705" s="9" t="n">
        <x:f>IF(F705&gt;=1,1,(1+v01_LowTiesShare*(AE705-1))/AE705)</x:f>
        <x:v>1</x:v>
      </x:c>
      <x:c r="AI705" s="32" t="n">
        <x:f>(Z705+v01_ElderCommons*INDEX(LM_Elder,G705)*AA705)*AH705</x:f>
        <x:v>262.4714127576407</x:v>
      </x:c>
      <x:c r="AJ705" s="32" t="n">
        <x:f>H705*v01_CommonsCoef*AI705^v01_CommonsExp*INDEX(LM_Commons,G705)</x:f>
        <x:v>75.12139481188888</x:v>
      </x:c>
      <x:c r="AK705" s="32" t="n">
        <x:f>H705*v01_RoleScale*Arch_Roles*(AE705*(INDEX(v01_ElderRolePerSett,G705)*v01_OutElder*INDEX(LM_Elder,G705)+INDEX(v01_ShamanPerSett,G705)*v01_OutShaman)+Z705*(INDEX(v01_PriestShare,G705)*v01_OutPriest+INDEX(v01_ScribeShare,G705)*v01_OutScribe*INDEX(LM_Scribe,G705)+INDEX(v01_ScholarShare,G705)*v01_OutScholar*INDEX(LM_Scholar,G705)+INDEX(v01_ResearcherShare,G705)*v01_OutResearcher*INDEX(LM_Researcher,G705)))</x:f>
        <x:v>21</x:v>
      </x:c>
      <x:c r="AL705" s="32" t="n">
        <x:f>H705*v01_RoleScale*Arch_Roles*AE705*INDEX(v01_MonasteryPerSett,G705)*v01_OutMonastery*INDEX(LM_Monastery,G705)</x:f>
        <x:v>0</x:v>
      </x:c>
      <x:c r="AM705" s="32" t="n">
        <x:f>(AJ705+AK705+AL705)/4*INDEX(LM_All,G705)*INDEX(v01_Boon,G705)*Arch_Insight</x:f>
        <x:v>25.246885106060187</x:v>
      </x:c>
      <x:c r="AN705" s="32" t="n">
        <x:f>H705*(v01_KHPerAdult*Z705+v01_KHOfCommons*AJ705/4*INDEX(LM_All,G705))*v01_KHUsable*Arch_KH</x:f>
        <x:v>4.650470826930249</x:v>
      </x:c>
      <x:c r="AO705" s="32" t="n">
        <x:f>MIN(AP704+AN705,AM705*v01_KHMaxRatio)</x:f>
        <x:v>4.650470826930249</x:v>
      </x:c>
      <x:c r="AP705" s="32" t="n">
        <x:f>AP704+AN705-AO705</x:f>
        <x:v>0</x:v>
      </x:c>
      <x:c r="AQ705" s="32" t="n">
        <x:f>AM705+AO705</x:f>
        <x:v>29.897355932990436</x:v>
      </x:c>
      <x:c r="AR705" s="10" t="n">
        <x:f>IF(H705=1,INDEX(v01_Req,G705),0)</x:f>
        <x:v>4006.9599999999996</x:v>
      </x:c>
      <x:c r="AS705" s="32" t="n">
        <x:f>IF(H705=1,IF(E705=1,AS704-AR704,AS704)+AQ705,0)</x:f>
        <x:v>3802.136586105617</x:v>
      </x:c>
      <x:c r="AT705" s="11" t="n">
        <x:f>IF(AR705&gt;0,MIN(1,AS705/AR705),1)</x:f>
        <x:v>0.9488830899498916</x:v>
      </x:c>
      <x:c r="AU705" s="10" t="n">
        <x:f>AB705/INDEX(v01_RepScale,G705)</x:f>
        <x:v>154.83634195573885</x:v>
      </x:c>
      <x:c r="AV705" s="32" t="n">
        <x:f>AM705*60/v01_SeasonSeconds</x:f>
        <x:v>100.98754042424075</x:v>
      </x:c>
    </x:row>
    <x:row r="706">
      <x:c r="A706" s="8" t="n">
        <x:f>A705+1</x:f>
        <x:v>703</x:v>
      </x:c>
      <x:c r="B706" s="9" t="n">
        <x:f>A706*v01_SeasonSeconds/60</x:f>
        <x:v>175.75</x:v>
      </x:c>
      <x:c r="C706" s="9" t="n">
        <x:f>A706/4</x:f>
        <x:v>175.75</x:v>
      </x:c>
      <x:c r="D706" s="8" t="n">
        <x:f>IF(MOD(A706,4)=0,1,0)</x:f>
        <x:v>0</x:v>
      </x:c>
      <x:c r="E706" s="8" t="n">
        <x:f>IF(AND(F705&lt;=9,AS705&gt;=AR705),1,0)</x:f>
        <x:v>0</x:v>
      </x:c>
      <x:c r="F706" s="8" t="n">
        <x:f>MIN(10,F705+E706)</x:f>
        <x:v>2</x:v>
      </x:c>
      <x:c r="G706" s="8" t="n">
        <x:f>MIN(F706,9)+1</x:f>
        <x:v>3</x:v>
      </x:c>
      <x:c r="H706" s="8" t="n">
        <x:f>IF(F706&lt;=9,1,0)</x:f>
        <x:v>1</x:v>
      </x:c>
      <x:c r="I706" s="9" t="n">
        <x:f>MIN(10,F705+IF(AR705&gt;0,MIN(1,AS705/AR705),1))</x:f>
        <x:v>2.9488830899498915</x:v>
      </x:c>
      <x:c r="J706" s="32" t="n">
        <x:f>INDEX(v01_FoodCap,G706)*Arch_FoodCap*EXP(v01_CapsByProject*SUMPRODUCT((Cap_Point&lt;=I706)*(Cap_Kind="Food")*Cap_Ln))</x:f>
        <x:v>60</x:v>
      </x:c>
      <x:c r="K706" s="32" t="n">
        <x:f>J706*MIN(1,v01_LeanBase*EXP(v01_CapsByProject*SUMPRODUCT((Cap_Point&lt;=I706)*(Cap_Kind="Lean")*Cap_Ln)))</x:f>
        <x:v>60</x:v>
      </x:c>
      <x:c r="L706" s="10" t="n">
        <x:f>INDEX(v01_HousingCap,G706)*EXP(v01_CapsByProject*SUMPRODUCT((Cap_Point&lt;=I706)*(Cap_Kind="Housing")*Cap_Ln))</x:f>
        <x:v>100</x:v>
      </x:c>
      <x:c r="M706" s="10" t="n">
        <x:f>INDEX(v01_GroupCap,G706)*v01_CohesionFactor*EXP(v01_CapsByProject*SUMPRODUCT((Cap_Point&lt;=I706)*(Cap_Kind="Group")*Cap_Ln))</x:f>
        <x:v>500</x:v>
      </x:c>
      <x:c r="N706" s="32" t="n">
        <x:f>MIN(J706,L706,M706)</x:f>
        <x:v>60</x:v>
      </x:c>
      <x:c r="O706" s="10" t="n">
        <x:f>AE705*N706</x:f>
        <x:v>420</x:v>
      </x:c>
      <x:c r="P706" s="9" t="n">
        <x:f>MIN(1,(AB705/(AE705*IF(v01_GroupInCrowding=1,N706,MIN(J706,L706))))^v01_CrowdingExp)</x:f>
        <x:v>0.16066513613810243</x:v>
      </x:c>
      <x:c r="Q706" s="9" t="n">
        <x:f>IF(D706=1,INDEX(v01_WinterMult,G706),1)</x:f>
        <x:v>1</x:v>
      </x:c>
      <x:c r="R706" s="9" t="n">
        <x:f>H706*Z705*v01_WomenShare*v01_BaseFertility*INDEX(v01_FertMult,G706)*Arch_Fertility*(1-P706)</x:f>
        <x:v>4.516678373880477</x:v>
      </x:c>
      <x:c r="S706" s="9" t="n">
        <x:f>H706*Y705*INDEX(v01_MortChild,G706)/4*Q706</x:f>
        <x:v>1.16901589252727</x:v>
      </x:c>
      <x:c r="T706" s="9" t="n">
        <x:f>H706*Z705*INDEX(v01_MortAdult,G706)*Arch_AdultMort/4*Q706</x:f>
        <x:v>0.39861178516544993</x:v>
      </x:c>
      <x:c r="U706" s="9" t="n">
        <x:f>H706*AA705*INDEX(v01_MortElder,G706)/4*Q706</x:f>
        <x:v>0.7560047699311957</x:v>
      </x:c>
      <x:c r="V706" s="9" t="n">
        <x:f>H706*MAX(0,AB705-O706)*v01_OvercapLoss</x:f>
        <x:v>0</x:v>
      </x:c>
      <x:c r="W706" s="9" t="n">
        <x:f>H706*Y705/(v01_ChildYears*4)</x:f>
        <x:v>2.3857467194434077</x:v>
      </x:c>
      <x:c r="X706" s="9" t="n">
        <x:f>H706*Z705/(v01_AdultYears*4)</x:f>
        <x:v>1.0715370568963707</x:v>
      </x:c>
      <x:c r="Y706" s="32" t="n">
        <x:f>Y705+R706-S706-W706-Y705*V706/AB705</x:f>
        <x:v>134.5637320507406</x:v>
      </x:c>
      <x:c r="Z706" s="32" t="n">
        <x:f>Z705+W706-X706-T706-Z705*V706/AB705</x:f>
        <x:v>133.78619293253155</x:v>
      </x:c>
      <x:c r="AA706" s="32" t="n">
        <x:f>AA705+X706-U706-AA705*V706/AB705</x:f>
        <x:v>43.51580485446207</x:v>
      </x:c>
      <x:c r="AB706" s="10" t="n">
        <x:f>Y706+Z706+AA706</x:f>
        <x:v>311.86572983773425</x:v>
      </x:c>
      <x:c r="AC706" s="8" t="n">
        <x:f>IF(AND(v01_WinterTrigger=1,D706=1,AB705/AE705&gt;=K706),1,0)</x:f>
        <x:v>0</x:v>
      </x:c>
      <x:c r="AD706" s="8" t="n">
        <x:f>H706*IF(AND(OR(AB705/AE705&gt;=v01_FissionTrigger*N706,AC706=1),AB705/AE705*v01_DaughterShare&gt;=v01_MinDaughter),MAX(1,ROUND(AE705*v01_FissionRate,0)),0)</x:f>
        <x:v>0</x:v>
      </x:c>
      <x:c r="AE706" s="8" t="n">
        <x:f>IF(H706=1,MAX(1,MIN(INDEX(v01_Smax,G706),AE705+AD706)),AE705)</x:f>
        <x:v>7</x:v>
      </x:c>
      <x:c r="AF706" s="8" t="n">
        <x:f>MAX(0,AE706-AE705)</x:f>
        <x:v>0</x:v>
      </x:c>
      <x:c r="AG706" s="9" t="str">
        <x:f>IF(AF706&gt;0,B706,"")</x:f>
      </x:c>
      <x:c r="AH706" s="9" t="n">
        <x:f>IF(F706&gt;=1,1,(1+v01_LowTiesShare*(AE706-1))/AE706)</x:f>
        <x:v>1</x:v>
      </x:c>
      <x:c r="AI706" s="32" t="n">
        <x:f>(Z706+v01_ElderCommons*INDEX(LM_Elder,G706)*AA706)*AH706</x:f>
        <x:v>264.33360749591776</x:v>
      </x:c>
      <x:c r="AJ706" s="32" t="n">
        <x:f>H706*v01_CommonsCoef*AI706^v01_CommonsExp*INDEX(LM_Commons,G706)</x:f>
        <x:v>75.57418303877031</x:v>
      </x:c>
      <x:c r="AK706" s="32" t="n">
        <x:f>H706*v01_RoleScale*Arch_Roles*(AE706*(INDEX(v01_ElderRolePerSett,G706)*v01_OutElder*INDEX(LM_Elder,G706)+INDEX(v01_ShamanPerSett,G706)*v01_OutShaman)+Z706*(INDEX(v01_PriestShare,G706)*v01_OutPriest+INDEX(v01_ScribeShare,G706)*v01_OutScribe*INDEX(LM_Scribe,G706)+INDEX(v01_ScholarShare,G706)*v01_OutScholar*INDEX(LM_Scholar,G706)+INDEX(v01_ResearcherShare,G706)*v01_OutResearcher*INDEX(LM_Researcher,G706)))</x:f>
        <x:v>21</x:v>
      </x:c>
      <x:c r="AL706" s="32" t="n">
        <x:f>H706*v01_RoleScale*Arch_Roles*AE706*INDEX(v01_MonasteryPerSett,G706)*v01_OutMonastery*INDEX(LM_Monastery,G706)</x:f>
        <x:v>0</x:v>
      </x:c>
      <x:c r="AM706" s="32" t="n">
        <x:f>(AJ706+AK706+AL706)/4*INDEX(LM_All,G706)*INDEX(v01_Boon,G706)*Arch_Insight</x:f>
        <x:v>25.365812763777015</x:v>
      </x:c>
      <x:c r="AN706" s="32" t="n">
        <x:f>H706*(v01_KHPerAdult*Z706+v01_KHOfCommons*AJ706/4*INDEX(LM_All,G706))*v01_KHUsable*Arch_KH</x:f>
        <x:v>4.6825167526386045</x:v>
      </x:c>
      <x:c r="AO706" s="32" t="n">
        <x:f>MIN(AP705+AN706,AM706*v01_KHMaxRatio)</x:f>
        <x:v>4.6825167526386045</x:v>
      </x:c>
      <x:c r="AP706" s="32" t="n">
        <x:f>AP705+AN706-AO706</x:f>
        <x:v>0</x:v>
      </x:c>
      <x:c r="AQ706" s="32" t="n">
        <x:f>AM706+AO706</x:f>
        <x:v>30.04832951641562</x:v>
      </x:c>
      <x:c r="AR706" s="10" t="n">
        <x:f>IF(H706=1,INDEX(v01_Req,G706),0)</x:f>
        <x:v>4006.9599999999996</x:v>
      </x:c>
      <x:c r="AS706" s="32" t="n">
        <x:f>IF(H706=1,IF(E706=1,AS705-AR705,AS705)+AQ706,0)</x:f>
        <x:v>3832.184915622033</x:v>
      </x:c>
      <x:c r="AT706" s="11" t="n">
        <x:f>IF(AR706&gt;0,MIN(1,AS706/AR706),1)</x:f>
        <x:v>0.9563821240097313</x:v>
      </x:c>
      <x:c r="AU706" s="10" t="n">
        <x:f>AB706/INDEX(v01_RepScale,G706)</x:f>
        <x:v>155.93286491886712</x:v>
      </x:c>
      <x:c r="AV706" s="32" t="n">
        <x:f>AM706*60/v01_SeasonSeconds</x:f>
        <x:v>101.46325105510806</x:v>
      </x:c>
    </x:row>
    <x:row r="707">
      <x:c r="A707" s="8" t="n">
        <x:f>A706+1</x:f>
        <x:v>704</x:v>
      </x:c>
      <x:c r="B707" s="9" t="n">
        <x:f>A707*v01_SeasonSeconds/60</x:f>
        <x:v>176</x:v>
      </x:c>
      <x:c r="C707" s="9" t="n">
        <x:f>A707/4</x:f>
        <x:v>176</x:v>
      </x:c>
      <x:c r="D707" s="8" t="n">
        <x:f>IF(MOD(A707,4)=0,1,0)</x:f>
        <x:v>1</x:v>
      </x:c>
      <x:c r="E707" s="8" t="n">
        <x:f>IF(AND(F706&lt;=9,AS706&gt;=AR706),1,0)</x:f>
        <x:v>0</x:v>
      </x:c>
      <x:c r="F707" s="8" t="n">
        <x:f>MIN(10,F706+E707)</x:f>
        <x:v>2</x:v>
      </x:c>
      <x:c r="G707" s="8" t="n">
        <x:f>MIN(F707,9)+1</x:f>
        <x:v>3</x:v>
      </x:c>
      <x:c r="H707" s="8" t="n">
        <x:f>IF(F707&lt;=9,1,0)</x:f>
        <x:v>1</x:v>
      </x:c>
      <x:c r="I707" s="9" t="n">
        <x:f>MIN(10,F706+IF(AR706&gt;0,MIN(1,AS706/AR706),1))</x:f>
        <x:v>2.9563821240097314</x:v>
      </x:c>
      <x:c r="J707" s="32" t="n">
        <x:f>INDEX(v01_FoodCap,G707)*Arch_FoodCap*EXP(v01_CapsByProject*SUMPRODUCT((Cap_Point&lt;=I707)*(Cap_Kind="Food")*Cap_Ln))</x:f>
        <x:v>60</x:v>
      </x:c>
      <x:c r="K707" s="32" t="n">
        <x:f>J707*MIN(1,v01_LeanBase*EXP(v01_CapsByProject*SUMPRODUCT((Cap_Point&lt;=I707)*(Cap_Kind="Lean")*Cap_Ln)))</x:f>
        <x:v>60</x:v>
      </x:c>
      <x:c r="L707" s="10" t="n">
        <x:f>INDEX(v01_HousingCap,G707)*EXP(v01_CapsByProject*SUMPRODUCT((Cap_Point&lt;=I707)*(Cap_Kind="Housing")*Cap_Ln))</x:f>
        <x:v>100</x:v>
      </x:c>
      <x:c r="M707" s="10" t="n">
        <x:f>INDEX(v01_GroupCap,G707)*v01_CohesionFactor*EXP(v01_CapsByProject*SUMPRODUCT((Cap_Point&lt;=I707)*(Cap_Kind="Group")*Cap_Ln))</x:f>
        <x:v>500</x:v>
      </x:c>
      <x:c r="N707" s="32" t="n">
        <x:f>MIN(J707,L707,M707)</x:f>
        <x:v>60</x:v>
      </x:c>
      <x:c r="O707" s="10" t="n">
        <x:f>AE706*N707</x:f>
        <x:v>420</x:v>
      </x:c>
      <x:c r="P707" s="9" t="n">
        <x:f>MIN(1,(AB706/(AE706*IF(v01_GroupInCrowding=1,N707,MIN(J707,L707))))^v01_CrowdingExp)</x:f>
        <x:v>0.16761395761372944</x:v>
      </x:c>
      <x:c r="Q707" s="9" t="n">
        <x:f>IF(D707=1,INDEX(v01_WinterMult,G707),1)</x:f>
        <x:v>1.3</x:v>
      </x:c>
      <x:c r="R707" s="9" t="n">
        <x:f>H707*Z706*v01_WomenShare*v01_BaseFertility*INDEX(v01_FertMult,G707)*Arch_Fertility*(1-P707)</x:f>
        <x:v>4.510151266271958</x:v>
      </x:c>
      <x:c r="S707" s="9" t="n">
        <x:f>H707*Y706*INDEX(v01_MortChild,G707)/4*Q707</x:f>
        <x:v>1.5306624520771746</x:v>
      </x:c>
      <x:c r="T707" s="9" t="n">
        <x:f>H707*Z706*INDEX(v01_MortAdult,G707)*Arch_AdultMort/4*Q707</x:f>
        <x:v>0.5217661524368731</x:v>
      </x:c>
      <x:c r="U707" s="9" t="n">
        <x:f>H707*AA706*INDEX(v01_MortElder,G707)/4*Q707</x:f>
        <x:v>0.9899845604390122</x:v>
      </x:c>
      <x:c r="V707" s="9" t="n">
        <x:f>H707*MAX(0,AB706-O707)*v01_OvercapLoss</x:f>
        <x:v>0</x:v>
      </x:c>
      <x:c r="W707" s="9" t="n">
        <x:f>H707*Y706/(v01_ChildYears*4)</x:f>
        <x:v>2.402923786620368</x:v>
      </x:c>
      <x:c r="X707" s="9" t="n">
        <x:f>H707*Z706/(v01_AdultYears*4)</x:f>
        <x:v>1.078920910746222</x:v>
      </x:c>
      <x:c r="Y707" s="32" t="n">
        <x:f>Y706+R707-S707-W707-Y706*V707/AB706</x:f>
        <x:v>135.14029707831503</x:v>
      </x:c>
      <x:c r="Z707" s="32" t="n">
        <x:f>Z706+W707-X707-T707-Z706*V707/AB706</x:f>
        <x:v>134.5884296559688</x:v>
      </x:c>
      <x:c r="AA707" s="32" t="n">
        <x:f>AA706+X707-U707-AA706*V707/AB706</x:f>
        <x:v>43.604741204769276</x:v>
      </x:c>
      <x:c r="AB707" s="10" t="n">
        <x:f>Y707+Z707+AA707</x:f>
        <x:v>313.3334679390531</x:v>
      </x:c>
      <x:c r="AC707" s="8" t="n">
        <x:f>IF(AND(v01_WinterTrigger=1,D707=1,AB706/AE706&gt;=K707),1,0)</x:f>
        <x:v>0</x:v>
      </x:c>
      <x:c r="AD707" s="8" t="n">
        <x:f>H707*IF(AND(OR(AB706/AE706&gt;=v01_FissionTrigger*N707,AC707=1),AB706/AE706*v01_DaughterShare&gt;=v01_MinDaughter),MAX(1,ROUND(AE706*v01_FissionRate,0)),0)</x:f>
        <x:v>0</x:v>
      </x:c>
      <x:c r="AE707" s="8" t="n">
        <x:f>IF(H707=1,MAX(1,MIN(INDEX(v01_Smax,G707),AE706+AD707)),AE706)</x:f>
        <x:v>7</x:v>
      </x:c>
      <x:c r="AF707" s="8" t="n">
        <x:f>MAX(0,AE707-AE706)</x:f>
        <x:v>0</x:v>
      </x:c>
      <x:c r="AG707" s="9" t="str">
        <x:f>IF(AF707&gt;0,B707,"")</x:f>
      </x:c>
      <x:c r="AH707" s="9" t="n">
        <x:f>IF(F707&gt;=1,1,(1+v01_LowTiesShare*(AE707-1))/AE707)</x:f>
        <x:v>1</x:v>
      </x:c>
      <x:c r="AI707" s="32" t="n">
        <x:f>(Z707+v01_ElderCommons*INDEX(LM_Elder,G707)*AA707)*AH707</x:f>
        <x:v>265.40265327027663</x:v>
      </x:c>
      <x:c r="AJ707" s="32" t="n">
        <x:f>H707*v01_CommonsCoef*AI707^v01_CommonsExp*INDEX(LM_Commons,G707)</x:f>
        <x:v>75.83390265795592</x:v>
      </x:c>
      <x:c r="AK707" s="32" t="n">
        <x:f>H707*v01_RoleScale*Arch_Roles*(AE707*(INDEX(v01_ElderRolePerSett,G707)*v01_OutElder*INDEX(LM_Elder,G707)+INDEX(v01_ShamanPerSett,G707)*v01_OutShaman)+Z707*(INDEX(v01_PriestShare,G707)*v01_OutPriest+INDEX(v01_ScribeShare,G707)*v01_OutScribe*INDEX(LM_Scribe,G707)+INDEX(v01_ScholarShare,G707)*v01_OutScholar*INDEX(LM_Scholar,G707)+INDEX(v01_ResearcherShare,G707)*v01_OutResearcher*INDEX(LM_Researcher,G707)))</x:f>
        <x:v>21</x:v>
      </x:c>
      <x:c r="AL707" s="32" t="n">
        <x:f>H707*v01_RoleScale*Arch_Roles*AE707*INDEX(v01_MonasteryPerSett,G707)*v01_OutMonastery*INDEX(LM_Monastery,G707)</x:f>
        <x:v>0</x:v>
      </x:c>
      <x:c r="AM707" s="32" t="n">
        <x:f>(AJ707+AK707+AL707)/4*INDEX(LM_All,G707)*INDEX(v01_Boon,G707)*Arch_Insight</x:f>
        <x:v>25.43402974500373</x:v>
      </x:c>
      <x:c r="AN707" s="32" t="n">
        <x:f>H707*(v01_KHPerAdult*Z707+v01_KHOfCommons*AJ707/4*INDEX(LM_All,G707))*v01_KHUsable*Arch_KH</x:f>
        <x:v>4.7105950379589085</x:v>
      </x:c>
      <x:c r="AO707" s="32" t="n">
        <x:f>MIN(AP706+AN707,AM707*v01_KHMaxRatio)</x:f>
        <x:v>4.7105950379589085</x:v>
      </x:c>
      <x:c r="AP707" s="32" t="n">
        <x:f>AP706+AN707-AO707</x:f>
        <x:v>0</x:v>
      </x:c>
      <x:c r="AQ707" s="32" t="n">
        <x:f>AM707+AO707</x:f>
        <x:v>30.144624782962637</x:v>
      </x:c>
      <x:c r="AR707" s="10" t="n">
        <x:f>IF(H707=1,INDEX(v01_Req,G707),0)</x:f>
        <x:v>4006.9599999999996</x:v>
      </x:c>
      <x:c r="AS707" s="32" t="n">
        <x:f>IF(H707=1,IF(E707=1,AS706-AR706,AS706)+AQ707,0)</x:f>
        <x:v>3862.3295404049954</x:v>
      </x:c>
      <x:c r="AT707" s="11" t="n">
        <x:f>IF(AR707&gt;0,MIN(1,AS707/AR707),1)</x:f>
        <x:v>0.9639051900705262</x:v>
      </x:c>
      <x:c r="AU707" s="10" t="n">
        <x:f>AB707/INDEX(v01_RepScale,G707)</x:f>
        <x:v>156.66673396952655</x:v>
      </x:c>
      <x:c r="AV707" s="32" t="n">
        <x:f>AM707*60/v01_SeasonSeconds</x:f>
        <x:v>101.73611898001492</x:v>
      </x:c>
    </x:row>
    <x:row r="708">
      <x:c r="A708" s="8" t="n">
        <x:f>A707+1</x:f>
        <x:v>705</x:v>
      </x:c>
      <x:c r="B708" s="9" t="n">
        <x:f>A708*v01_SeasonSeconds/60</x:f>
        <x:v>176.25</x:v>
      </x:c>
      <x:c r="C708" s="9" t="n">
        <x:f>A708/4</x:f>
        <x:v>176.25</x:v>
      </x:c>
      <x:c r="D708" s="8" t="n">
        <x:f>IF(MOD(A708,4)=0,1,0)</x:f>
        <x:v>0</x:v>
      </x:c>
      <x:c r="E708" s="8" t="n">
        <x:f>IF(AND(F707&lt;=9,AS707&gt;=AR707),1,0)</x:f>
        <x:v>0</x:v>
      </x:c>
      <x:c r="F708" s="8" t="n">
        <x:f>MIN(10,F707+E708)</x:f>
        <x:v>2</x:v>
      </x:c>
      <x:c r="G708" s="8" t="n">
        <x:f>MIN(F708,9)+1</x:f>
        <x:v>3</x:v>
      </x:c>
      <x:c r="H708" s="8" t="n">
        <x:f>IF(F708&lt;=9,1,0)</x:f>
        <x:v>1</x:v>
      </x:c>
      <x:c r="I708" s="9" t="n">
        <x:f>MIN(10,F707+IF(AR707&gt;0,MIN(1,AS707/AR707),1))</x:f>
        <x:v>2.963905190070526</x:v>
      </x:c>
      <x:c r="J708" s="32" t="n">
        <x:f>INDEX(v01_FoodCap,G708)*Arch_FoodCap*EXP(v01_CapsByProject*SUMPRODUCT((Cap_Point&lt;=I708)*(Cap_Kind="Food")*Cap_Ln))</x:f>
        <x:v>60</x:v>
      </x:c>
      <x:c r="K708" s="32" t="n">
        <x:f>J708*MIN(1,v01_LeanBase*EXP(v01_CapsByProject*SUMPRODUCT((Cap_Point&lt;=I708)*(Cap_Kind="Lean")*Cap_Ln)))</x:f>
        <x:v>60</x:v>
      </x:c>
      <x:c r="L708" s="10" t="n">
        <x:f>INDEX(v01_HousingCap,G708)*EXP(v01_CapsByProject*SUMPRODUCT((Cap_Point&lt;=I708)*(Cap_Kind="Housing")*Cap_Ln))</x:f>
        <x:v>100</x:v>
      </x:c>
      <x:c r="M708" s="10" t="n">
        <x:f>INDEX(v01_GroupCap,G708)*v01_CohesionFactor*EXP(v01_CapsByProject*SUMPRODUCT((Cap_Point&lt;=I708)*(Cap_Kind="Group")*Cap_Ln))</x:f>
        <x:v>500</x:v>
      </x:c>
      <x:c r="N708" s="32" t="n">
        <x:f>MIN(J708,L708,M708)</x:f>
        <x:v>60</x:v>
      </x:c>
      <x:c r="O708" s="10" t="n">
        <x:f>AE707*N708</x:f>
        <x:v>420</x:v>
      </x:c>
      <x:c r="P708" s="9" t="n">
        <x:f>MIN(1,(AB707/(AE707*IF(v01_GroupInCrowding=1,N708,MIN(J708,L708))))^v01_CrowdingExp)</x:f>
        <x:v>0.17240306016499787</x:v>
      </x:c>
      <x:c r="Q708" s="9" t="n">
        <x:f>IF(D708=1,INDEX(v01_WinterMult,G708),1)</x:f>
        <x:v>1</x:v>
      </x:c>
      <x:c r="R708" s="9" t="n">
        <x:f>H708*Z707*v01_WomenShare*v01_BaseFertility*INDEX(v01_FertMult,G708)*Arch_Fertility*(1-P708)</x:f>
        <x:v>4.511091387079369</x:v>
      </x:c>
      <x:c r="S708" s="9" t="n">
        <x:f>H708*Y707*INDEX(v01_MortChild,G708)/4*Q708</x:f>
        <x:v>1.1824775994352565</x:v>
      </x:c>
      <x:c r="T708" s="9" t="n">
        <x:f>H708*Z707*INDEX(v01_MortAdult,G708)*Arch_AdultMort/4*Q708</x:f>
        <x:v>0.4037652889679064</x:v>
      </x:c>
      <x:c r="U708" s="9" t="n">
        <x:f>H708*AA707*INDEX(v01_MortElder,G708)/4*Q708</x:f>
        <x:v>0.7630829710834623</x:v>
      </x:c>
      <x:c r="V708" s="9" t="n">
        <x:f>H708*MAX(0,AB707-O708)*v01_OvercapLoss</x:f>
        <x:v>0</x:v>
      </x:c>
      <x:c r="W708" s="9" t="n">
        <x:f>H708*Y707/(v01_ChildYears*4)</x:f>
        <x:v>2.413219590684197</x:v>
      </x:c>
      <x:c r="X708" s="9" t="n">
        <x:f>H708*Z707/(v01_AdultYears*4)</x:f>
        <x:v>1.085390561741684</x:v>
      </x:c>
      <x:c r="Y708" s="32" t="n">
        <x:f>Y707+R708-S708-W708-Y707*V708/AB707</x:f>
        <x:v>136.05569127527494</x:v>
      </x:c>
      <x:c r="Z708" s="32" t="n">
        <x:f>Z707+W708-X708-T708-Z707*V708/AB707</x:f>
        <x:v>135.5124933959434</x:v>
      </x:c>
      <x:c r="AA708" s="32" t="n">
        <x:f>AA707+X708-U708-AA707*V708/AB707</x:f>
        <x:v>43.927048795427496</x:v>
      </x:c>
      <x:c r="AB708" s="10" t="n">
        <x:f>Y708+Z708+AA708</x:f>
        <x:v>315.4952334666458</x:v>
      </x:c>
      <x:c r="AC708" s="8" t="n">
        <x:f>IF(AND(v01_WinterTrigger=1,D708=1,AB707/AE707&gt;=K708),1,0)</x:f>
        <x:v>0</x:v>
      </x:c>
      <x:c r="AD708" s="8" t="n">
        <x:f>H708*IF(AND(OR(AB707/AE707&gt;=v01_FissionTrigger*N708,AC708=1),AB707/AE707*v01_DaughterShare&gt;=v01_MinDaughter),MAX(1,ROUND(AE707*v01_FissionRate,0)),0)</x:f>
        <x:v>0</x:v>
      </x:c>
      <x:c r="AE708" s="8" t="n">
        <x:f>IF(H708=1,MAX(1,MIN(INDEX(v01_Smax,G708),AE707+AD708)),AE707)</x:f>
        <x:v>7</x:v>
      </x:c>
      <x:c r="AF708" s="8" t="n">
        <x:f>MAX(0,AE708-AE707)</x:f>
        <x:v>0</x:v>
      </x:c>
      <x:c r="AG708" s="9" t="str">
        <x:f>IF(AF708&gt;0,B708,"")</x:f>
      </x:c>
      <x:c r="AH708" s="9" t="n">
        <x:f>IF(F708&gt;=1,1,(1+v01_LowTiesShare*(AE708-1))/AE708)</x:f>
        <x:v>1</x:v>
      </x:c>
      <x:c r="AI708" s="32" t="n">
        <x:f>(Z708+v01_ElderCommons*INDEX(LM_Elder,G708)*AA708)*AH708</x:f>
        <x:v>267.2936397822259</x:v>
      </x:c>
      <x:c r="AJ708" s="32" t="n">
        <x:f>H708*v01_CommonsCoef*AI708^v01_CommonsExp*INDEX(LM_Commons,G708)</x:f>
        <x:v>76.29292518322701</x:v>
      </x:c>
      <x:c r="AK708" s="32" t="n">
        <x:f>H708*v01_RoleScale*Arch_Roles*(AE708*(INDEX(v01_ElderRolePerSett,G708)*v01_OutElder*INDEX(LM_Elder,G708)+INDEX(v01_ShamanPerSett,G708)*v01_OutShaman)+Z708*(INDEX(v01_PriestShare,G708)*v01_OutPriest+INDEX(v01_ScribeShare,G708)*v01_OutScribe*INDEX(LM_Scribe,G708)+INDEX(v01_ScholarShare,G708)*v01_OutScholar*INDEX(LM_Scholar,G708)+INDEX(v01_ResearcherShare,G708)*v01_OutResearcher*INDEX(LM_Researcher,G708)))</x:f>
        <x:v>21</x:v>
      </x:c>
      <x:c r="AL708" s="32" t="n">
        <x:f>H708*v01_RoleScale*Arch_Roles*AE708*INDEX(v01_MonasteryPerSett,G708)*v01_OutMonastery*INDEX(LM_Monastery,G708)</x:f>
        <x:v>0</x:v>
      </x:c>
      <x:c r="AM708" s="32" t="n">
        <x:f>(AJ708+AK708+AL708)/4*INDEX(LM_All,G708)*INDEX(v01_Boon,G708)*Arch_Insight</x:f>
        <x:v>25.55459488015697</x:v>
      </x:c>
      <x:c r="AN708" s="32" t="n">
        <x:f>H708*(v01_KHPerAdult*Z708+v01_KHOfCommons*AJ708/4*INDEX(LM_All,G708))*v01_KHUsable*Arch_KH</x:f>
        <x:v>4.74293726885802</x:v>
      </x:c>
      <x:c r="AO708" s="32" t="n">
        <x:f>MIN(AP707+AN708,AM708*v01_KHMaxRatio)</x:f>
        <x:v>4.74293726885802</x:v>
      </x:c>
      <x:c r="AP708" s="32" t="n">
        <x:f>AP707+AN708-AO708</x:f>
        <x:v>0</x:v>
      </x:c>
      <x:c r="AQ708" s="32" t="n">
        <x:f>AM708+AO708</x:f>
        <x:v>30.29753214901499</x:v>
      </x:c>
      <x:c r="AR708" s="10" t="n">
        <x:f>IF(H708=1,INDEX(v01_Req,G708),0)</x:f>
        <x:v>4006.9599999999996</x:v>
      </x:c>
      <x:c r="AS708" s="32" t="n">
        <x:f>IF(H708=1,IF(E708=1,AS707-AR707,AS707)+AQ708,0)</x:f>
        <x:v>3892.6270725540103</x:v>
      </x:c>
      <x:c r="AT708" s="11" t="n">
        <x:f>IF(AR708&gt;0,MIN(1,AS708/AR708),1)</x:f>
        <x:v>0.9714664165736645</x:v>
      </x:c>
      <x:c r="AU708" s="10" t="n">
        <x:f>AB708/INDEX(v01_RepScale,G708)</x:f>
        <x:v>157.7476167333229</x:v>
      </x:c>
      <x:c r="AV708" s="32" t="n">
        <x:f>AM708*60/v01_SeasonSeconds</x:f>
        <x:v>102.21837952062788</x:v>
      </x:c>
    </x:row>
    <x:row r="709">
      <x:c r="A709" s="8" t="n">
        <x:f>A708+1</x:f>
        <x:v>706</x:v>
      </x:c>
      <x:c r="B709" s="9" t="n">
        <x:f>A709*v01_SeasonSeconds/60</x:f>
        <x:v>176.5</x:v>
      </x:c>
      <x:c r="C709" s="9" t="n">
        <x:f>A709/4</x:f>
        <x:v>176.5</x:v>
      </x:c>
      <x:c r="D709" s="8" t="n">
        <x:f>IF(MOD(A709,4)=0,1,0)</x:f>
        <x:v>0</x:v>
      </x:c>
      <x:c r="E709" s="8" t="n">
        <x:f>IF(AND(F708&lt;=9,AS708&gt;=AR708),1,0)</x:f>
        <x:v>0</x:v>
      </x:c>
      <x:c r="F709" s="8" t="n">
        <x:f>MIN(10,F708+E709)</x:f>
        <x:v>2</x:v>
      </x:c>
      <x:c r="G709" s="8" t="n">
        <x:f>MIN(F709,9)+1</x:f>
        <x:v>3</x:v>
      </x:c>
      <x:c r="H709" s="8" t="n">
        <x:f>IF(F709&lt;=9,1,0)</x:f>
        <x:v>1</x:v>
      </x:c>
      <x:c r="I709" s="9" t="n">
        <x:f>MIN(10,F708+IF(AR708&gt;0,MIN(1,AS708/AR708),1))</x:f>
        <x:v>2.9714664165736644</x:v>
      </x:c>
      <x:c r="J709" s="32" t="n">
        <x:f>INDEX(v01_FoodCap,G709)*Arch_FoodCap*EXP(v01_CapsByProject*SUMPRODUCT((Cap_Point&lt;=I709)*(Cap_Kind="Food")*Cap_Ln))</x:f>
        <x:v>60</x:v>
      </x:c>
      <x:c r="K709" s="32" t="n">
        <x:f>J709*MIN(1,v01_LeanBase*EXP(v01_CapsByProject*SUMPRODUCT((Cap_Point&lt;=I709)*(Cap_Kind="Lean")*Cap_Ln)))</x:f>
        <x:v>60</x:v>
      </x:c>
      <x:c r="L709" s="10" t="n">
        <x:f>INDEX(v01_HousingCap,G709)*EXP(v01_CapsByProject*SUMPRODUCT((Cap_Point&lt;=I709)*(Cap_Kind="Housing")*Cap_Ln))</x:f>
        <x:v>100</x:v>
      </x:c>
      <x:c r="M709" s="10" t="n">
        <x:f>INDEX(v01_GroupCap,G709)*v01_CohesionFactor*EXP(v01_CapsByProject*SUMPRODUCT((Cap_Point&lt;=I709)*(Cap_Kind="Group")*Cap_Ln))</x:f>
        <x:v>500</x:v>
      </x:c>
      <x:c r="N709" s="32" t="n">
        <x:f>MIN(J709,L709,M709)</x:f>
        <x:v>60</x:v>
      </x:c>
      <x:c r="O709" s="10" t="n">
        <x:f>AE708*N709</x:f>
        <x:v>420</x:v>
      </x:c>
      <x:c r="P709" s="9" t="n">
        <x:f>MIN(1,(AB708/(AE708*IF(v01_GroupInCrowding=1,N709,MIN(J709,L709))))^v01_CrowdingExp)</x:f>
        <x:v>0.17966400277819936</x:v>
      </x:c>
      <x:c r="Q709" s="9" t="n">
        <x:f>IF(D709=1,INDEX(v01_WinterMult,G709),1)</x:f>
        <x:v>1</x:v>
      </x:c>
      <x:c r="R709" s="9" t="n">
        <x:f>H709*Z708*v01_WomenShare*v01_BaseFertility*INDEX(v01_FertMult,G709)*Arch_Fertility*(1-P709)</x:f>
        <x:v>4.502213944441943</x:v>
      </x:c>
      <x:c r="S709" s="9" t="n">
        <x:f>H709*Y708*INDEX(v01_MortChild,G709)/4*Q709</x:f>
        <x:v>1.1904872986586559</x:v>
      </x:c>
      <x:c r="T709" s="9" t="n">
        <x:f>H709*Z708*INDEX(v01_MortAdult,G709)*Arch_AdultMort/4*Q709</x:f>
        <x:v>0.40653748018783026</x:v>
      </x:c>
      <x:c r="U709" s="9" t="n">
        <x:f>H709*AA708*INDEX(v01_MortElder,G709)/4*Q709</x:f>
        <x:v>0.7687233539199813</x:v>
      </x:c>
      <x:c r="V709" s="9" t="n">
        <x:f>H709*MAX(0,AB708-O709)*v01_OvercapLoss</x:f>
        <x:v>0</x:v>
      </x:c>
      <x:c r="W709" s="9" t="n">
        <x:f>H709*Y708/(v01_ChildYears*4)</x:f>
        <x:v>2.4295659156299094</x:v>
      </x:c>
      <x:c r="X709" s="9" t="n">
        <x:f>H709*Z708/(v01_AdultYears*4)</x:f>
        <x:v>1.0928426886769629</x:v>
      </x:c>
      <x:c r="Y709" s="32" t="n">
        <x:f>Y708+R709-S709-W709-Y708*V709/AB708</x:f>
        <x:v>136.93785200542828</x:v>
      </x:c>
      <x:c r="Z709" s="32" t="n">
        <x:f>Z708+W709-X709-T709-Z708*V709/AB708</x:f>
        <x:v>136.44267914270853</x:v>
      </x:c>
      <x:c r="AA709" s="32" t="n">
        <x:f>AA708+X709-U709-AA708*V709/AB708</x:f>
        <x:v>44.251168130184475</x:v>
      </x:c>
      <x:c r="AB709" s="10" t="n">
        <x:f>Y709+Z709+AA709</x:f>
        <x:v>317.63169927832126</x:v>
      </x:c>
      <x:c r="AC709" s="8" t="n">
        <x:f>IF(AND(v01_WinterTrigger=1,D709=1,AB708/AE708&gt;=K709),1,0)</x:f>
        <x:v>0</x:v>
      </x:c>
      <x:c r="AD709" s="8" t="n">
        <x:f>H709*IF(AND(OR(AB708/AE708&gt;=v01_FissionTrigger*N709,AC709=1),AB708/AE708*v01_DaughterShare&gt;=v01_MinDaughter),MAX(1,ROUND(AE708*v01_FissionRate,0)),0)</x:f>
        <x:v>0</x:v>
      </x:c>
      <x:c r="AE709" s="8" t="n">
        <x:f>IF(H709=1,MAX(1,MIN(INDEX(v01_Smax,G709),AE708+AD709)),AE708)</x:f>
        <x:v>7</x:v>
      </x:c>
      <x:c r="AF709" s="8" t="n">
        <x:f>MAX(0,AE709-AE708)</x:f>
        <x:v>0</x:v>
      </x:c>
      <x:c r="AG709" s="9" t="str">
        <x:f>IF(AF709&gt;0,B709,"")</x:f>
      </x:c>
      <x:c r="AH709" s="9" t="n">
        <x:f>IF(F709&gt;=1,1,(1+v01_LowTiesShare*(AE709-1))/AE709)</x:f>
        <x:v>1</x:v>
      </x:c>
      <x:c r="AI709" s="32" t="n">
        <x:f>(Z709+v01_ElderCommons*INDEX(LM_Elder,G709)*AA709)*AH709</x:f>
        <x:v>269.19618353326194</x:v>
      </x:c>
      <x:c r="AJ709" s="32" t="n">
        <x:f>H709*v01_CommonsCoef*AI709^v01_CommonsExp*INDEX(LM_Commons,G709)</x:f>
        <x:v>76.75426182191869</x:v>
      </x:c>
      <x:c r="AK709" s="32" t="n">
        <x:f>H709*v01_RoleScale*Arch_Roles*(AE709*(INDEX(v01_ElderRolePerSett,G709)*v01_OutElder*INDEX(LM_Elder,G709)+INDEX(v01_ShamanPerSett,G709)*v01_OutShaman)+Z709*(INDEX(v01_PriestShare,G709)*v01_OutPriest+INDEX(v01_ScribeShare,G709)*v01_OutScribe*INDEX(LM_Scribe,G709)+INDEX(v01_ScholarShare,G709)*v01_OutScholar*INDEX(LM_Scholar,G709)+INDEX(v01_ResearcherShare,G709)*v01_OutResearcher*INDEX(LM_Researcher,G709)))</x:f>
        <x:v>21</x:v>
      </x:c>
      <x:c r="AL709" s="32" t="n">
        <x:f>H709*v01_RoleScale*Arch_Roles*AE709*INDEX(v01_MonasteryPerSett,G709)*v01_OutMonastery*INDEX(LM_Monastery,G709)</x:f>
        <x:v>0</x:v>
      </x:c>
      <x:c r="AM709" s="32" t="n">
        <x:f>(AJ709+AK709+AL709)/4*INDEX(LM_All,G709)*INDEX(v01_Boon,G709)*Arch_Insight</x:f>
        <x:v>25.67576783166333</x:v>
      </x:c>
      <x:c r="AN709" s="32" t="n">
        <x:f>H709*(v01_KHPerAdult*Z709+v01_KHOfCommons*AJ709/4*INDEX(LM_All,G709))*v01_KHUsable*Arch_KH</x:f>
        <x:v>4.775493769994799</x:v>
      </x:c>
      <x:c r="AO709" s="32" t="n">
        <x:f>MIN(AP708+AN709,AM709*v01_KHMaxRatio)</x:f>
        <x:v>4.775493769994799</x:v>
      </x:c>
      <x:c r="AP709" s="32" t="n">
        <x:f>AP708+AN709-AO709</x:f>
        <x:v>0</x:v>
      </x:c>
      <x:c r="AQ709" s="32" t="n">
        <x:f>AM709+AO709</x:f>
        <x:v>30.45126160165813</x:v>
      </x:c>
      <x:c r="AR709" s="10" t="n">
        <x:f>IF(H709=1,INDEX(v01_Req,G709),0)</x:f>
        <x:v>4006.9599999999996</x:v>
      </x:c>
      <x:c r="AS709" s="32" t="n">
        <x:f>IF(H709=1,IF(E709=1,AS708-AR708,AS708)+AQ709,0)</x:f>
        <x:v>3923.0783341556685</x:v>
      </x:c>
      <x:c r="AT709" s="11" t="n">
        <x:f>IF(AR709&gt;0,MIN(1,AS709/AR709),1)</x:f>
        <x:v>0.9790660086838074</x:v>
      </x:c>
      <x:c r="AU709" s="10" t="n">
        <x:f>AB709/INDEX(v01_RepScale,G709)</x:f>
        <x:v>158.81584963916063</x:v>
      </x:c>
      <x:c r="AV709" s="32" t="n">
        <x:f>AM709*60/v01_SeasonSeconds</x:f>
        <x:v>102.70307132665332</x:v>
      </x:c>
    </x:row>
    <x:row r="710">
      <x:c r="A710" s="8" t="n">
        <x:f>A709+1</x:f>
        <x:v>707</x:v>
      </x:c>
      <x:c r="B710" s="9" t="n">
        <x:f>A710*v01_SeasonSeconds/60</x:f>
        <x:v>176.75</x:v>
      </x:c>
      <x:c r="C710" s="9" t="n">
        <x:f>A710/4</x:f>
        <x:v>176.75</x:v>
      </x:c>
      <x:c r="D710" s="8" t="n">
        <x:f>IF(MOD(A710,4)=0,1,0)</x:f>
        <x:v>0</x:v>
      </x:c>
      <x:c r="E710" s="8" t="n">
        <x:f>IF(AND(F709&lt;=9,AS709&gt;=AR709),1,0)</x:f>
        <x:v>0</x:v>
      </x:c>
      <x:c r="F710" s="8" t="n">
        <x:f>MIN(10,F709+E710)</x:f>
        <x:v>2</x:v>
      </x:c>
      <x:c r="G710" s="8" t="n">
        <x:f>MIN(F710,9)+1</x:f>
        <x:v>3</x:v>
      </x:c>
      <x:c r="H710" s="8" t="n">
        <x:f>IF(F710&lt;=9,1,0)</x:f>
        <x:v>1</x:v>
      </x:c>
      <x:c r="I710" s="9" t="n">
        <x:f>MIN(10,F709+IF(AR709&gt;0,MIN(1,AS709/AR709),1))</x:f>
        <x:v>2.9790660086838074</x:v>
      </x:c>
      <x:c r="J710" s="32" t="n">
        <x:f>INDEX(v01_FoodCap,G710)*Arch_FoodCap*EXP(v01_CapsByProject*SUMPRODUCT((Cap_Point&lt;=I710)*(Cap_Kind="Food")*Cap_Ln))</x:f>
        <x:v>60</x:v>
      </x:c>
      <x:c r="K710" s="32" t="n">
        <x:f>J710*MIN(1,v01_LeanBase*EXP(v01_CapsByProject*SUMPRODUCT((Cap_Point&lt;=I710)*(Cap_Kind="Lean")*Cap_Ln)))</x:f>
        <x:v>60</x:v>
      </x:c>
      <x:c r="L710" s="10" t="n">
        <x:f>INDEX(v01_HousingCap,G710)*EXP(v01_CapsByProject*SUMPRODUCT((Cap_Point&lt;=I710)*(Cap_Kind="Housing")*Cap_Ln))</x:f>
        <x:v>100</x:v>
      </x:c>
      <x:c r="M710" s="10" t="n">
        <x:f>INDEX(v01_GroupCap,G710)*v01_CohesionFactor*EXP(v01_CapsByProject*SUMPRODUCT((Cap_Point&lt;=I710)*(Cap_Kind="Group")*Cap_Ln))</x:f>
        <x:v>500</x:v>
      </x:c>
      <x:c r="N710" s="32" t="n">
        <x:f>MIN(J710,L710,M710)</x:f>
        <x:v>60</x:v>
      </x:c>
      <x:c r="O710" s="10" t="n">
        <x:f>AE709*N710</x:f>
        <x:v>420</x:v>
      </x:c>
      <x:c r="P710" s="9" t="n">
        <x:f>MIN(1,(AB709/(AE709*IF(v01_GroupInCrowding=1,N710,MIN(J710,L710))))^v01_CrowdingExp)</x:f>
        <x:v>0.18708858299315484</x:v>
      </x:c>
      <x:c r="Q710" s="9" t="n">
        <x:f>IF(D710=1,INDEX(v01_WinterMult,G710),1)</x:f>
        <x:v>1</x:v>
      </x:c>
      <x:c r="R710" s="9" t="n">
        <x:f>H710*Z709*v01_WomenShare*v01_BaseFertility*INDEX(v01_FertMult,G710)*Arch_Fertility*(1-P710)</x:f>
        <x:v>4.492090371505435</x:v>
      </x:c>
      <x:c r="S710" s="9" t="n">
        <x:f>H710*Y709*INDEX(v01_MortChild,G710)/4*Q710</x:f>
        <x:v>1.1982062050474975</x:v>
      </x:c>
      <x:c r="T710" s="9" t="n">
        <x:f>H710*Z709*INDEX(v01_MortAdult,G710)*Arch_AdultMort/4*Q710</x:f>
        <x:v>0.40932803742812557</x:v>
      </x:c>
      <x:c r="U710" s="9" t="n">
        <x:f>H710*AA709*INDEX(v01_MortElder,G710)/4*Q710</x:f>
        <x:v>0.7743954422782284</x:v>
      </x:c>
      <x:c r="V710" s="9" t="n">
        <x:f>H710*MAX(0,AB709-O710)*v01_OvercapLoss</x:f>
        <x:v>0</x:v>
      </x:c>
      <x:c r="W710" s="9" t="n">
        <x:f>H710*Y709/(v01_ChildYears*4)</x:f>
        <x:v>2.4453187858112195</x:v>
      </x:c>
      <x:c r="X710" s="9" t="n">
        <x:f>H710*Z709/(v01_AdultYears*4)</x:f>
        <x:v>1.100344186634746</x:v>
      </x:c>
      <x:c r="Y710" s="32" t="n">
        <x:f>Y709+R710-S710-W710-Y709*V710/AB709</x:f>
        <x:v>137.78641738607502</x:v>
      </x:c>
      <x:c r="Z710" s="32" t="n">
        <x:f>Z709+W710-X710-T710-Z709*V710/AB709</x:f>
        <x:v>137.37832570445687</x:v>
      </x:c>
      <x:c r="AA710" s="32" t="n">
        <x:f>AA709+X710-U710-AA709*V710/AB709</x:f>
        <x:v>44.57711687454099</x:v>
      </x:c>
      <x:c r="AB710" s="10" t="n">
        <x:f>Y710+Z710+AA710</x:f>
        <x:v>319.7418599650729</x:v>
      </x:c>
      <x:c r="AC710" s="8" t="n">
        <x:f>IF(AND(v01_WinterTrigger=1,D710=1,AB709/AE709&gt;=K710),1,0)</x:f>
        <x:v>0</x:v>
      </x:c>
      <x:c r="AD710" s="8" t="n">
        <x:f>H710*IF(AND(OR(AB709/AE709&gt;=v01_FissionTrigger*N710,AC710=1),AB709/AE709*v01_DaughterShare&gt;=v01_MinDaughter),MAX(1,ROUND(AE709*v01_FissionRate,0)),0)</x:f>
        <x:v>0</x:v>
      </x:c>
      <x:c r="AE710" s="8" t="n">
        <x:f>IF(H710=1,MAX(1,MIN(INDEX(v01_Smax,G710),AE709+AD710)),AE709)</x:f>
        <x:v>7</x:v>
      </x:c>
      <x:c r="AF710" s="8" t="n">
        <x:f>MAX(0,AE710-AE709)</x:f>
        <x:v>0</x:v>
      </x:c>
      <x:c r="AG710" s="9" t="str">
        <x:f>IF(AF710&gt;0,B710,"")</x:f>
      </x:c>
      <x:c r="AH710" s="9" t="n">
        <x:f>IF(F710&gt;=1,1,(1+v01_LowTiesShare*(AE710-1))/AE710)</x:f>
        <x:v>1</x:v>
      </x:c>
      <x:c r="AI710" s="32" t="n">
        <x:f>(Z710+v01_ElderCommons*INDEX(LM_Elder,G710)*AA710)*AH710</x:f>
        <x:v>271.10967632807984</x:v>
      </x:c>
      <x:c r="AJ710" s="32" t="n">
        <x:f>H710*v01_CommonsCoef*AI710^v01_CommonsExp*INDEX(LM_Commons,G710)</x:f>
        <x:v>77.21776039001493</x:v>
      </x:c>
      <x:c r="AK710" s="32" t="n">
        <x:f>H710*v01_RoleScale*Arch_Roles*(AE710*(INDEX(v01_ElderRolePerSett,G710)*v01_OutElder*INDEX(LM_Elder,G710)+INDEX(v01_ShamanPerSett,G710)*v01_OutShaman)+Z710*(INDEX(v01_PriestShare,G710)*v01_OutPriest+INDEX(v01_ScribeShare,G710)*v01_OutScribe*INDEX(LM_Scribe,G710)+INDEX(v01_ScholarShare,G710)*v01_OutScholar*INDEX(LM_Scholar,G710)+INDEX(v01_ResearcherShare,G710)*v01_OutResearcher*INDEX(LM_Researcher,G710)))</x:f>
        <x:v>21</x:v>
      </x:c>
      <x:c r="AL710" s="32" t="n">
        <x:f>H710*v01_RoleScale*Arch_Roles*AE710*INDEX(v01_MonasteryPerSett,G710)*v01_OutMonastery*INDEX(LM_Monastery,G710)</x:f>
        <x:v>0</x:v>
      </x:c>
      <x:c r="AM710" s="32" t="n">
        <x:f>(AJ710+AK710+AL710)/4*INDEX(LM_All,G710)*INDEX(v01_Boon,G710)*Arch_Insight</x:f>
        <x:v>25.797508627439857</x:v>
      </x:c>
      <x:c r="AN710" s="32" t="n">
        <x:f>H710*(v01_KHPerAdult*Z710+v01_KHOfCommons*AJ710/4*INDEX(LM_All,G710))*v01_KHUsable*Arch_KH</x:f>
        <x:v>4.808241399655991</x:v>
      </x:c>
      <x:c r="AO710" s="32" t="n">
        <x:f>MIN(AP709+AN710,AM710*v01_KHMaxRatio)</x:f>
        <x:v>4.808241399655991</x:v>
      </x:c>
      <x:c r="AP710" s="32" t="n">
        <x:f>AP709+AN710-AO710</x:f>
        <x:v>0</x:v>
      </x:c>
      <x:c r="AQ710" s="32" t="n">
        <x:f>AM710+AO710</x:f>
        <x:v>30.605750027095848</x:v>
      </x:c>
      <x:c r="AR710" s="10" t="n">
        <x:f>IF(H710=1,INDEX(v01_Req,G710),0)</x:f>
        <x:v>4006.9599999999996</x:v>
      </x:c>
      <x:c r="AS710" s="32" t="n">
        <x:f>IF(H710=1,IF(E710=1,AS709-AR709,AS709)+AQ710,0)</x:f>
        <x:v>3953.6840841827643</x:v>
      </x:c>
      <x:c r="AT710" s="11" t="n">
        <x:f>IF(AR710&gt;0,MIN(1,AS710/AR710),1)</x:f>
        <x:v>0.9867041558145738</x:v>
      </x:c>
      <x:c r="AU710" s="10" t="n">
        <x:f>AB710/INDEX(v01_RepScale,G710)</x:f>
        <x:v>159.87092998253644</x:v>
      </x:c>
      <x:c r="AV710" s="32" t="n">
        <x:f>AM710*60/v01_SeasonSeconds</x:f>
        <x:v>103.19003450975943</x:v>
      </x:c>
    </x:row>
    <x:row r="711">
      <x:c r="A711" s="8" t="n">
        <x:f>A710+1</x:f>
        <x:v>708</x:v>
      </x:c>
      <x:c r="B711" s="9" t="n">
        <x:f>A711*v01_SeasonSeconds/60</x:f>
        <x:v>177</x:v>
      </x:c>
      <x:c r="C711" s="9" t="n">
        <x:f>A711/4</x:f>
        <x:v>177</x:v>
      </x:c>
      <x:c r="D711" s="8" t="n">
        <x:f>IF(MOD(A711,4)=0,1,0)</x:f>
        <x:v>1</x:v>
      </x:c>
      <x:c r="E711" s="8" t="n">
        <x:f>IF(AND(F710&lt;=9,AS710&gt;=AR710),1,0)</x:f>
        <x:v>0</x:v>
      </x:c>
      <x:c r="F711" s="8" t="n">
        <x:f>MIN(10,F710+E711)</x:f>
        <x:v>2</x:v>
      </x:c>
      <x:c r="G711" s="8" t="n">
        <x:f>MIN(F711,9)+1</x:f>
        <x:v>3</x:v>
      </x:c>
      <x:c r="H711" s="8" t="n">
        <x:f>IF(F711&lt;=9,1,0)</x:f>
        <x:v>1</x:v>
      </x:c>
      <x:c r="I711" s="9" t="n">
        <x:f>MIN(10,F710+IF(AR710&gt;0,MIN(1,AS710/AR710),1))</x:f>
        <x:v>2.9867041558145737</x:v>
      </x:c>
      <x:c r="J711" s="32" t="n">
        <x:f>INDEX(v01_FoodCap,G711)*Arch_FoodCap*EXP(v01_CapsByProject*SUMPRODUCT((Cap_Point&lt;=I711)*(Cap_Kind="Food")*Cap_Ln))</x:f>
        <x:v>60</x:v>
      </x:c>
      <x:c r="K711" s="32" t="n">
        <x:f>J711*MIN(1,v01_LeanBase*EXP(v01_CapsByProject*SUMPRODUCT((Cap_Point&lt;=I711)*(Cap_Kind="Lean")*Cap_Ln)))</x:f>
        <x:v>60</x:v>
      </x:c>
      <x:c r="L711" s="10" t="n">
        <x:f>INDEX(v01_HousingCap,G711)*EXP(v01_CapsByProject*SUMPRODUCT((Cap_Point&lt;=I711)*(Cap_Kind="Housing")*Cap_Ln))</x:f>
        <x:v>100</x:v>
      </x:c>
      <x:c r="M711" s="10" t="n">
        <x:f>INDEX(v01_GroupCap,G711)*v01_CohesionFactor*EXP(v01_CapsByProject*SUMPRODUCT((Cap_Point&lt;=I711)*(Cap_Kind="Group")*Cap_Ln))</x:f>
        <x:v>500</x:v>
      </x:c>
      <x:c r="N711" s="32" t="n">
        <x:f>MIN(J711,L711,M711)</x:f>
        <x:v>60</x:v>
      </x:c>
      <x:c r="O711" s="10" t="n">
        <x:f>AE710*N711</x:f>
        <x:v>420</x:v>
      </x:c>
      <x:c r="P711" s="9" t="n">
        <x:f>MIN(1,(AB710/(AE710*IF(v01_GroupInCrowding=1,N711,MIN(J711,L711))))^v01_CrowdingExp)</x:f>
        <x:v>0.19467099084147746</x:v>
      </x:c>
      <x:c r="Q711" s="9" t="n">
        <x:f>IF(D711=1,INDEX(v01_WinterMult,G711),1)</x:f>
        <x:v>1.3</x:v>
      </x:c>
      <x:c r="R711" s="9" t="n">
        <x:f>H711*Z710*v01_WomenShare*v01_BaseFertility*INDEX(v01_FertMult,G711)*Arch_Fertility*(1-P711)</x:f>
        <x:v>4.480707412236796</x:v>
      </x:c>
      <x:c r="S711" s="9" t="n">
        <x:f>H711*Y710*INDEX(v01_MortChild,G711)/4*Q711</x:f>
        <x:v>1.5673204977666033</x:v>
      </x:c>
      <x:c r="T711" s="9" t="n">
        <x:f>H711*Z710*INDEX(v01_MortAdult,G711)*Arch_AdultMort/4*Q711</x:f>
        <x:v>0.5357754702473818</x:v>
      </x:c>
      <x:c r="U711" s="9" t="n">
        <x:f>H711*AA710*INDEX(v01_MortElder,G711)/4*Q711</x:f>
        <x:v>1.0141294088958077</x:v>
      </x:c>
      <x:c r="V711" s="9" t="n">
        <x:f>H711*MAX(0,AB710-O711)*v01_OvercapLoss</x:f>
        <x:v>0</x:v>
      </x:c>
      <x:c r="W711" s="9" t="n">
        <x:f>H711*Y710/(v01_ChildYears*4)</x:f>
        <x:v>2.460471739037054</x:v>
      </x:c>
      <x:c r="X711" s="9" t="n">
        <x:f>H711*Z710/(v01_AdultYears*4)</x:f>
        <x:v>1.1078897234230394</x:v>
      </x:c>
      <x:c r="Y711" s="32" t="n">
        <x:f>Y710+R711-S711-W711-Y710*V711/AB710</x:f>
        <x:v>138.23933256150815</x:v>
      </x:c>
      <x:c r="Z711" s="32" t="n">
        <x:f>Z710+W711-X711-T711-Z710*V711/AB710</x:f>
        <x:v>138.1951322498235</x:v>
      </x:c>
      <x:c r="AA711" s="32" t="n">
        <x:f>AA710+X711-U711-AA710*V711/AB710</x:f>
        <x:v>44.67087718906823</x:v>
      </x:c>
      <x:c r="AB711" s="10" t="n">
        <x:f>Y711+Z711+AA711</x:f>
        <x:v>321.10534200039984</x:v>
      </x:c>
      <x:c r="AC711" s="8" t="n">
        <x:f>IF(AND(v01_WinterTrigger=1,D711=1,AB710/AE710&gt;=K711),1,0)</x:f>
        <x:v>0</x:v>
      </x:c>
      <x:c r="AD711" s="8" t="n">
        <x:f>H711*IF(AND(OR(AB710/AE710&gt;=v01_FissionTrigger*N711,AC711=1),AB710/AE710*v01_DaughterShare&gt;=v01_MinDaughter),MAX(1,ROUND(AE710*v01_FissionRate,0)),0)</x:f>
        <x:v>0</x:v>
      </x:c>
      <x:c r="AE711" s="8" t="n">
        <x:f>IF(H711=1,MAX(1,MIN(INDEX(v01_Smax,G711),AE710+AD711)),AE710)</x:f>
        <x:v>7</x:v>
      </x:c>
      <x:c r="AF711" s="8" t="n">
        <x:f>MAX(0,AE711-AE710)</x:f>
        <x:v>0</x:v>
      </x:c>
      <x:c r="AG711" s="9" t="str">
        <x:f>IF(AF711&gt;0,B711,"")</x:f>
      </x:c>
      <x:c r="AH711" s="9" t="n">
        <x:f>IF(F711&gt;=1,1,(1+v01_LowTiesShare*(AE711-1))/AE711)</x:f>
        <x:v>1</x:v>
      </x:c>
      <x:c r="AI711" s="32" t="n">
        <x:f>(Z711+v01_ElderCommons*INDEX(LM_Elder,G711)*AA711)*AH711</x:f>
        <x:v>272.2077638170282</x:v>
      </x:c>
      <x:c r="AJ711" s="32" t="n">
        <x:f>H711*v01_CommonsCoef*AI711^v01_CommonsExp*INDEX(LM_Commons,G711)</x:f>
        <x:v>77.4835244857687</x:v>
      </x:c>
      <x:c r="AK711" s="32" t="n">
        <x:f>H711*v01_RoleScale*Arch_Roles*(AE711*(INDEX(v01_ElderRolePerSett,G711)*v01_OutElder*INDEX(LM_Elder,G711)+INDEX(v01_ShamanPerSett,G711)*v01_OutShaman)+Z711*(INDEX(v01_PriestShare,G711)*v01_OutPriest+INDEX(v01_ScribeShare,G711)*v01_OutScribe*INDEX(LM_Scribe,G711)+INDEX(v01_ScholarShare,G711)*v01_OutScholar*INDEX(LM_Scholar,G711)+INDEX(v01_ResearcherShare,G711)*v01_OutResearcher*INDEX(LM_Researcher,G711)))</x:f>
        <x:v>21</x:v>
      </x:c>
      <x:c r="AL711" s="32" t="n">
        <x:f>H711*v01_RoleScale*Arch_Roles*AE711*INDEX(v01_MonasteryPerSett,G711)*v01_OutMonastery*INDEX(LM_Monastery,G711)</x:f>
        <x:v>0</x:v>
      </x:c>
      <x:c r="AM711" s="32" t="n">
        <x:f>(AJ711+AK711+AL711)/4*INDEX(LM_All,G711)*INDEX(v01_Boon,G711)*Arch_Insight</x:f>
        <x:v>25.86731322821518</x:v>
      </x:c>
      <x:c r="AN711" s="32" t="n">
        <x:f>H711*(v01_KHPerAdult*Z711+v01_KHOfCommons*AJ711/4*INDEX(LM_All,G711))*v01_KHUsable*Arch_KH</x:f>
        <x:v>4.836829628743823</x:v>
      </x:c>
      <x:c r="AO711" s="32" t="n">
        <x:f>MIN(AP710+AN711,AM711*v01_KHMaxRatio)</x:f>
        <x:v>4.836829628743823</x:v>
      </x:c>
      <x:c r="AP711" s="32" t="n">
        <x:f>AP710+AN711-AO711</x:f>
        <x:v>0</x:v>
      </x:c>
      <x:c r="AQ711" s="32" t="n">
        <x:f>AM711+AO711</x:f>
        <x:v>30.704142856959002</x:v>
      </x:c>
      <x:c r="AR711" s="10" t="n">
        <x:f>IF(H711=1,INDEX(v01_Req,G711),0)</x:f>
        <x:v>4006.9599999999996</x:v>
      </x:c>
      <x:c r="AS711" s="32" t="n">
        <x:f>IF(H711=1,IF(E711=1,AS710-AR710,AS710)+AQ711,0)</x:f>
        <x:v>3984.3882270397235</x:v>
      </x:c>
      <x:c r="AT711" s="11" t="n">
        <x:f>IF(AR711&gt;0,MIN(1,AS711/AR711),1)</x:f>
        <x:v>0.9943668584262693</x:v>
      </x:c>
      <x:c r="AU711" s="10" t="n">
        <x:f>AB711/INDEX(v01_RepScale,G711)</x:f>
        <x:v>160.55267100019992</x:v>
      </x:c>
      <x:c r="AV711" s="32" t="n">
        <x:f>AM711*60/v01_SeasonSeconds</x:f>
        <x:v>103.46925291286074</x:v>
      </x:c>
    </x:row>
    <x:row r="712">
      <x:c r="A712" s="8" t="n">
        <x:f>A711+1</x:f>
        <x:v>709</x:v>
      </x:c>
      <x:c r="B712" s="9" t="n">
        <x:f>A712*v01_SeasonSeconds/60</x:f>
        <x:v>177.25</x:v>
      </x:c>
      <x:c r="C712" s="9" t="n">
        <x:f>A712/4</x:f>
        <x:v>177.25</x:v>
      </x:c>
      <x:c r="D712" s="8" t="n">
        <x:f>IF(MOD(A712,4)=0,1,0)</x:f>
        <x:v>0</x:v>
      </x:c>
      <x:c r="E712" s="8" t="n">
        <x:f>IF(AND(F711&lt;=9,AS711&gt;=AR711),1,0)</x:f>
        <x:v>0</x:v>
      </x:c>
      <x:c r="F712" s="8" t="n">
        <x:f>MIN(10,F711+E712)</x:f>
        <x:v>2</x:v>
      </x:c>
      <x:c r="G712" s="8" t="n">
        <x:f>MIN(F712,9)+1</x:f>
        <x:v>3</x:v>
      </x:c>
      <x:c r="H712" s="8" t="n">
        <x:f>IF(F712&lt;=9,1,0)</x:f>
        <x:v>1</x:v>
      </x:c>
      <x:c r="I712" s="9" t="n">
        <x:f>MIN(10,F711+IF(AR711&gt;0,MIN(1,AS711/AR711),1))</x:f>
        <x:v>2.994366858426269</x:v>
      </x:c>
      <x:c r="J712" s="32" t="n">
        <x:f>INDEX(v01_FoodCap,G712)*Arch_FoodCap*EXP(v01_CapsByProject*SUMPRODUCT((Cap_Point&lt;=I712)*(Cap_Kind="Food")*Cap_Ln))</x:f>
        <x:v>60</x:v>
      </x:c>
      <x:c r="K712" s="32" t="n">
        <x:f>J712*MIN(1,v01_LeanBase*EXP(v01_CapsByProject*SUMPRODUCT((Cap_Point&lt;=I712)*(Cap_Kind="Lean")*Cap_Ln)))</x:f>
        <x:v>60</x:v>
      </x:c>
      <x:c r="L712" s="10" t="n">
        <x:f>INDEX(v01_HousingCap,G712)*EXP(v01_CapsByProject*SUMPRODUCT((Cap_Point&lt;=I712)*(Cap_Kind="Housing")*Cap_Ln))</x:f>
        <x:v>100</x:v>
      </x:c>
      <x:c r="M712" s="10" t="n">
        <x:f>INDEX(v01_GroupCap,G712)*v01_CohesionFactor*EXP(v01_CapsByProject*SUMPRODUCT((Cap_Point&lt;=I712)*(Cap_Kind="Group")*Cap_Ln))</x:f>
        <x:v>500</x:v>
      </x:c>
      <x:c r="N712" s="32" t="n">
        <x:f>MIN(J712,L712,M712)</x:f>
        <x:v>60</x:v>
      </x:c>
      <x:c r="O712" s="10" t="n">
        <x:f>AE711*N712</x:f>
        <x:v>420</x:v>
      </x:c>
      <x:c r="P712" s="9" t="n">
        <x:f>MIN(1,(AB711/(AE711*IF(v01_GroupInCrowding=1,N712,MIN(J712,L712))))^v01_CrowdingExp)</x:f>
        <x:v>0.19970523141306795</x:v>
      </x:c>
      <x:c r="Q712" s="9" t="n">
        <x:f>IF(D712=1,INDEX(v01_WinterMult,G712),1)</x:f>
        <x:v>1</x:v>
      </x:c>
      <x:c r="R712" s="9" t="n">
        <x:f>H712*Z711*v01_WomenShare*v01_BaseFertility*INDEX(v01_FertMult,G712)*Arch_Fertility*(1-P712)</x:f>
        <x:v>4.479172076040375</x:v>
      </x:c>
      <x:c r="S712" s="9" t="n">
        <x:f>H712*Y711*INDEX(v01_MortChild,G712)/4*Q712</x:f>
        <x:v>1.2095941599131965</x:v>
      </x:c>
      <x:c r="T712" s="9" t="n">
        <x:f>H712*Z711*INDEX(v01_MortAdult,G712)*Arch_AdultMort/4*Q712</x:f>
        <x:v>0.41458539674947054</x:v>
      </x:c>
      <x:c r="U712" s="9" t="n">
        <x:f>H712*AA711*INDEX(v01_MortElder,G712)/4*Q712</x:f>
        <x:v>0.7817403508086941</x:v>
      </x:c>
      <x:c r="V712" s="9" t="n">
        <x:f>H712*MAX(0,AB711-O712)*v01_OvercapLoss</x:f>
        <x:v>0</x:v>
      </x:c>
      <x:c r="W712" s="9" t="n">
        <x:f>H712*Y711/(v01_ChildYears*4)</x:f>
        <x:v>2.4685595100269313</x:v>
      </x:c>
      <x:c r="X712" s="9" t="n">
        <x:f>H712*Z711/(v01_AdultYears*4)</x:f>
        <x:v>1.1144768729824477</x:v>
      </x:c>
      <x:c r="Y712" s="32" t="n">
        <x:f>Y711+R712-S712-W712-Y711*V712/AB711</x:f>
        <x:v>139.04035096760842</x:v>
      </x:c>
      <x:c r="Z712" s="32" t="n">
        <x:f>Z711+W712-X712-T712-Z711*V712/AB711</x:f>
        <x:v>139.13462949011853</x:v>
      </x:c>
      <x:c r="AA712" s="32" t="n">
        <x:f>AA711+X712-U712-AA711*V712/AB711</x:f>
        <x:v>45.00361371124198</x:v>
      </x:c>
      <x:c r="AB712" s="10" t="n">
        <x:f>Y712+Z712+AA712</x:f>
        <x:v>323.17859416896897</x:v>
      </x:c>
      <x:c r="AC712" s="8" t="n">
        <x:f>IF(AND(v01_WinterTrigger=1,D712=1,AB711/AE711&gt;=K712),1,0)</x:f>
        <x:v>0</x:v>
      </x:c>
      <x:c r="AD712" s="8" t="n">
        <x:f>H712*IF(AND(OR(AB711/AE711&gt;=v01_FissionTrigger*N712,AC712=1),AB711/AE711*v01_DaughterShare&gt;=v01_MinDaughter),MAX(1,ROUND(AE711*v01_FissionRate,0)),0)</x:f>
        <x:v>0</x:v>
      </x:c>
      <x:c r="AE712" s="8" t="n">
        <x:f>IF(H712=1,MAX(1,MIN(INDEX(v01_Smax,G712),AE711+AD712)),AE711)</x:f>
        <x:v>7</x:v>
      </x:c>
      <x:c r="AF712" s="8" t="n">
        <x:f>MAX(0,AE712-AE711)</x:f>
        <x:v>0</x:v>
      </x:c>
      <x:c r="AG712" s="9" t="str">
        <x:f>IF(AF712&gt;0,B712,"")</x:f>
      </x:c>
      <x:c r="AH712" s="9" t="n">
        <x:f>IF(F712&gt;=1,1,(1+v01_LowTiesShare*(AE712-1))/AE712)</x:f>
        <x:v>1</x:v>
      </x:c>
      <x:c r="AI712" s="32" t="n">
        <x:f>(Z712+v01_ElderCommons*INDEX(LM_Elder,G712)*AA712)*AH712</x:f>
        <x:v>274.14547062384446</x:v>
      </x:c>
      <x:c r="AJ712" s="32" t="n">
        <x:f>H712*v01_CommonsCoef*AI712^v01_CommonsExp*INDEX(LM_Commons,G712)</x:f>
        <x:v>77.9521053561754</x:v>
      </x:c>
      <x:c r="AK712" s="32" t="n">
        <x:f>H712*v01_RoleScale*Arch_Roles*(AE712*(INDEX(v01_ElderRolePerSett,G712)*v01_OutElder*INDEX(LM_Elder,G712)+INDEX(v01_ShamanPerSett,G712)*v01_OutShaman)+Z712*(INDEX(v01_PriestShare,G712)*v01_OutPriest+INDEX(v01_ScribeShare,G712)*v01_OutScribe*INDEX(LM_Scribe,G712)+INDEX(v01_ScholarShare,G712)*v01_OutScholar*INDEX(LM_Scholar,G712)+INDEX(v01_ResearcherShare,G712)*v01_OutResearcher*INDEX(LM_Researcher,G712)))</x:f>
        <x:v>21</x:v>
      </x:c>
      <x:c r="AL712" s="32" t="n">
        <x:f>H712*v01_RoleScale*Arch_Roles*AE712*INDEX(v01_MonasteryPerSett,G712)*v01_OutMonastery*INDEX(LM_Monastery,G712)</x:f>
        <x:v>0</x:v>
      </x:c>
      <x:c r="AM712" s="32" t="n">
        <x:f>(AJ712+AK712+AL712)/4*INDEX(LM_All,G712)*INDEX(v01_Boon,G712)*Arch_Insight</x:f>
        <x:v>25.990388922457942</x:v>
      </x:c>
      <x:c r="AN712" s="32" t="n">
        <x:f>H712*(v01_KHPerAdult*Z712+v01_KHOfCommons*AJ712/4*INDEX(LM_All,G712))*v01_KHUsable*Arch_KH</x:f>
        <x:v>4.8697120321541485</x:v>
      </x:c>
      <x:c r="AO712" s="32" t="n">
        <x:f>MIN(AP711+AN712,AM712*v01_KHMaxRatio)</x:f>
        <x:v>4.8697120321541485</x:v>
      </x:c>
      <x:c r="AP712" s="32" t="n">
        <x:f>AP711+AN712-AO712</x:f>
        <x:v>0</x:v>
      </x:c>
      <x:c r="AQ712" s="32" t="n">
        <x:f>AM712+AO712</x:f>
        <x:v>30.86010095461209</x:v>
      </x:c>
      <x:c r="AR712" s="10" t="n">
        <x:f>IF(H712=1,INDEX(v01_Req,G712),0)</x:f>
        <x:v>4006.9599999999996</x:v>
      </x:c>
      <x:c r="AS712" s="32" t="n">
        <x:f>IF(H712=1,IF(E712=1,AS711-AR711,AS711)+AQ712,0)</x:f>
        <x:v>4015.2483279943353</x:v>
      </x:c>
      <x:c r="AT712" s="11" t="n">
        <x:f>IF(AR712&gt;0,MIN(1,AS712/AR712),1)</x:f>
        <x:v>1</x:v>
      </x:c>
      <x:c r="AU712" s="10" t="n">
        <x:f>AB712/INDEX(v01_RepScale,G712)</x:f>
        <x:v>161.58929708448449</x:v>
      </x:c>
      <x:c r="AV712" s="32" t="n">
        <x:f>AM712*60/v01_SeasonSeconds</x:f>
        <x:v>103.96155568983177</x:v>
      </x:c>
    </x:row>
    <x:row r="713">
      <x:c r="A713" s="8" t="n">
        <x:f>A712+1</x:f>
        <x:v>710</x:v>
      </x:c>
      <x:c r="B713" s="9" t="n">
        <x:f>A713*v01_SeasonSeconds/60</x:f>
        <x:v>177.5</x:v>
      </x:c>
      <x:c r="C713" s="9" t="n">
        <x:f>A713/4</x:f>
        <x:v>177.5</x:v>
      </x:c>
      <x:c r="D713" s="8" t="n">
        <x:f>IF(MOD(A713,4)=0,1,0)</x:f>
        <x:v>0</x:v>
      </x:c>
      <x:c r="E713" s="8" t="n">
        <x:f>IF(AND(F712&lt;=9,AS712&gt;=AR712),1,0)</x:f>
        <x:v>1</x:v>
      </x:c>
      <x:c r="F713" s="8" t="n">
        <x:f>MIN(10,F712+E713)</x:f>
        <x:v>3</x:v>
      </x:c>
      <x:c r="G713" s="8" t="n">
        <x:f>MIN(F713,9)+1</x:f>
        <x:v>4</x:v>
      </x:c>
      <x:c r="H713" s="8" t="n">
        <x:f>IF(F713&lt;=9,1,0)</x:f>
        <x:v>1</x:v>
      </x:c>
      <x:c r="I713" s="9" t="n">
        <x:f>MIN(10,F712+IF(AR712&gt;0,MIN(1,AS712/AR712),1))</x:f>
        <x:v>3</x:v>
      </x:c>
      <x:c r="J713" s="32" t="n">
        <x:f>INDEX(v01_FoodCap,G713)*Arch_FoodCap*EXP(v01_CapsByProject*SUMPRODUCT((Cap_Point&lt;=I713)*(Cap_Kind="Food")*Cap_Ln))</x:f>
        <x:v>120</x:v>
      </x:c>
      <x:c r="K713" s="32" t="n">
        <x:f>J713*MIN(1,v01_LeanBase*EXP(v01_CapsByProject*SUMPRODUCT((Cap_Point&lt;=I713)*(Cap_Kind="Lean")*Cap_Ln)))</x:f>
        <x:v>120</x:v>
      </x:c>
      <x:c r="L713" s="10" t="n">
        <x:f>INDEX(v01_HousingCap,G713)*EXP(v01_CapsByProject*SUMPRODUCT((Cap_Point&lt;=I713)*(Cap_Kind="Housing")*Cap_Ln))</x:f>
        <x:v>200</x:v>
      </x:c>
      <x:c r="M713" s="10" t="n">
        <x:f>INDEX(v01_GroupCap,G713)*v01_CohesionFactor*EXP(v01_CapsByProject*SUMPRODUCT((Cap_Point&lt;=I713)*(Cap_Kind="Group")*Cap_Ln))</x:f>
        <x:v>5000</x:v>
      </x:c>
      <x:c r="N713" s="32" t="n">
        <x:f>MIN(J713,L713,M713)</x:f>
        <x:v>120</x:v>
      </x:c>
      <x:c r="O713" s="10" t="n">
        <x:f>AE712*N713</x:f>
        <x:v>840</x:v>
      </x:c>
      <x:c r="P713" s="9" t="n">
        <x:f>MIN(1,(AB712/(AE712*IF(v01_GroupInCrowding=1,N713,MIN(J713,L713))))^v01_CrowdingExp)</x:f>
        <x:v>0.003243245380750623</x:v>
      </x:c>
      <x:c r="Q713" s="9" t="n">
        <x:f>IF(D713=1,INDEX(v01_WinterMult,G713),1)</x:f>
        <x:v>1</x:v>
      </x:c>
      <x:c r="R713" s="9" t="n">
        <x:f>H713*Z712*v01_WomenShare*v01_BaseFertility*INDEX(v01_FertMult,G713)*Arch_Fertility*(1-P713)</x:f>
        <x:v>5.408651888083168</x:v>
      </x:c>
      <x:c r="S713" s="9" t="n">
        <x:f>H713*Y712*INDEX(v01_MortChild,G713)/4*Q713</x:f>
        <x:v>1.0428026322570632</x:v>
      </x:c>
      <x:c r="T713" s="9" t="n">
        <x:f>H713*Z712*INDEX(v01_MortAdult,G713)*Arch_AdultMort/4*Q713</x:f>
        <x:v>0.38262023109782595</x:v>
      </x:c>
      <x:c r="U713" s="9" t="n">
        <x:f>H713*AA712*INDEX(v01_MortElder,G713)/4*Q713</x:f>
        <x:v>0.7313087228076822</x:v>
      </x:c>
      <x:c r="V713" s="9" t="n">
        <x:f>H713*MAX(0,AB712-O713)*v01_OvercapLoss</x:f>
        <x:v>0</x:v>
      </x:c>
      <x:c r="W713" s="9" t="n">
        <x:f>H713*Y712/(v01_ChildYears*4)</x:f>
        <x:v>2.4828634101358644</x:v>
      </x:c>
      <x:c r="X713" s="9" t="n">
        <x:f>H713*Z712/(v01_AdultYears*4)</x:f>
        <x:v>1.1220534636299881</x:v>
      </x:c>
      <x:c r="Y713" s="32" t="n">
        <x:f>Y712+R713-S713-W713-Y712*V713/AB712</x:f>
        <x:v>140.92333681329865</x:v>
      </x:c>
      <x:c r="Z713" s="32" t="n">
        <x:f>Z712+W713-X713-T713-Z712*V713/AB712</x:f>
        <x:v>140.1128192055266</x:v>
      </x:c>
      <x:c r="AA713" s="32" t="n">
        <x:f>AA712+X713-U713-AA712*V713/AB712</x:f>
        <x:v>45.39435845206429</x:v>
      </x:c>
      <x:c r="AB713" s="10" t="n">
        <x:f>Y713+Z713+AA713</x:f>
        <x:v>326.43051447088953</x:v>
      </x:c>
      <x:c r="AC713" s="8" t="n">
        <x:f>IF(AND(v01_WinterTrigger=1,D713=1,AB712/AE712&gt;=K713),1,0)</x:f>
        <x:v>0</x:v>
      </x:c>
      <x:c r="AD713" s="8" t="n">
        <x:f>H713*IF(AND(OR(AB712/AE712&gt;=v01_FissionTrigger*N713,AC713=1),AB712/AE712*v01_DaughterShare&gt;=v01_MinDaughter),MAX(1,ROUND(AE712*v01_FissionRate,0)),0)</x:f>
        <x:v>0</x:v>
      </x:c>
      <x:c r="AE713" s="8" t="n">
        <x:f>IF(H713=1,MAX(1,MIN(INDEX(v01_Smax,G713),AE712+AD713)),AE712)</x:f>
        <x:v>7</x:v>
      </x:c>
      <x:c r="AF713" s="8" t="n">
        <x:f>MAX(0,AE713-AE712)</x:f>
        <x:v>0</x:v>
      </x:c>
      <x:c r="AG713" s="9" t="str">
        <x:f>IF(AF713&gt;0,B713,"")</x:f>
      </x:c>
      <x:c r="AH713" s="9" t="n">
        <x:f>IF(F713&gt;=1,1,(1+v01_LowTiesShare*(AE713-1))/AE713)</x:f>
        <x:v>1</x:v>
      </x:c>
      <x:c r="AI713" s="32" t="n">
        <x:f>(Z713+v01_ElderCommons*INDEX(LM_Elder,G713)*AA713)*AH713</x:f>
        <x:v>276.2958945617195</x:v>
      </x:c>
      <x:c r="AJ713" s="32" t="n">
        <x:f>H713*v01_CommonsCoef*AI713^v01_CommonsExp*INDEX(LM_Commons,G713)</x:f>
        <x:v>78.47154486298298</x:v>
      </x:c>
      <x:c r="AK713" s="32" t="n">
        <x:f>H713*v01_RoleScale*Arch_Roles*(AE713*(INDEX(v01_ElderRolePerSett,G713)*v01_OutElder*INDEX(LM_Elder,G713)+INDEX(v01_ShamanPerSett,G713)*v01_OutShaman)+Z713*(INDEX(v01_PriestShare,G713)*v01_OutPriest+INDEX(v01_ScribeShare,G713)*v01_OutScribe*INDEX(LM_Scribe,G713)+INDEX(v01_ScholarShare,G713)*v01_OutScholar*INDEX(LM_Scholar,G713)+INDEX(v01_ResearcherShare,G713)*v01_OutResearcher*INDEX(LM_Researcher,G713)))</x:f>
        <x:v>21.980789734438687</x:v>
      </x:c>
      <x:c r="AL713" s="32" t="n">
        <x:f>H713*v01_RoleScale*Arch_Roles*AE713*INDEX(v01_MonasteryPerSett,G713)*v01_OutMonastery*INDEX(LM_Monastery,G713)</x:f>
        <x:v>0</x:v>
      </x:c>
      <x:c r="AM713" s="32" t="n">
        <x:f>(AJ713+AK713+AL713)/4*INDEX(LM_All,G713)*INDEX(v01_Boon,G713)*Arch_Insight</x:f>
        <x:v>27.044044346831626</x:v>
      </x:c>
      <x:c r="AN713" s="32" t="n">
        <x:f>H713*(v01_KHPerAdult*Z713+v01_KHOfCommons*AJ713/4*INDEX(LM_All,G713))*v01_KHUsable*Arch_KH</x:f>
        <x:v>4.9039486721934304</x:v>
      </x:c>
      <x:c r="AO713" s="32" t="n">
        <x:f>MIN(AP712+AN713,AM713*v01_KHMaxRatio)</x:f>
        <x:v>4.9039486721934304</x:v>
      </x:c>
      <x:c r="AP713" s="32" t="n">
        <x:f>AP712+AN713-AO713</x:f>
        <x:v>0</x:v>
      </x:c>
      <x:c r="AQ713" s="32" t="n">
        <x:f>AM713+AO713</x:f>
        <x:v>31.947993019025056</x:v>
      </x:c>
      <x:c r="AR713" s="10" t="n">
        <x:f>IF(H713=1,INDEX(v01_Req,G713),0)</x:f>
        <x:v>9805.661999999998</x:v>
      </x:c>
      <x:c r="AS713" s="32" t="n">
        <x:f>IF(H713=1,IF(E713=1,AS712-AR712,AS712)+AQ713,0)</x:f>
        <x:v>40.236321013360815</x:v>
      </x:c>
      <x:c r="AT713" s="11" t="n">
        <x:f>IF(AR713&gt;0,MIN(1,AS713/AR713),1)</x:f>
        <x:v>0.004103376295589305</x:v>
      </x:c>
      <x:c r="AU713" s="10" t="n">
        <x:f>AB713/INDEX(v01_RepScale,G713)</x:f>
        <x:v>65.2861028941779</x:v>
      </x:c>
      <x:c r="AV713" s="32" t="n">
        <x:f>AM713*60/v01_SeasonSeconds</x:f>
        <x:v>108.1761773873265</x:v>
      </x:c>
    </x:row>
    <x:row r="714">
      <x:c r="A714" s="8" t="n">
        <x:f>A713+1</x:f>
        <x:v>711</x:v>
      </x:c>
      <x:c r="B714" s="9" t="n">
        <x:f>A714*v01_SeasonSeconds/60</x:f>
        <x:v>177.75</x:v>
      </x:c>
      <x:c r="C714" s="9" t="n">
        <x:f>A714/4</x:f>
        <x:v>177.75</x:v>
      </x:c>
      <x:c r="D714" s="8" t="n">
        <x:f>IF(MOD(A714,4)=0,1,0)</x:f>
        <x:v>0</x:v>
      </x:c>
      <x:c r="E714" s="8" t="n">
        <x:f>IF(AND(F713&lt;=9,AS713&gt;=AR713),1,0)</x:f>
        <x:v>0</x:v>
      </x:c>
      <x:c r="F714" s="8" t="n">
        <x:f>MIN(10,F713+E714)</x:f>
        <x:v>3</x:v>
      </x:c>
      <x:c r="G714" s="8" t="n">
        <x:f>MIN(F714,9)+1</x:f>
        <x:v>4</x:v>
      </x:c>
      <x:c r="H714" s="8" t="n">
        <x:f>IF(F714&lt;=9,1,0)</x:f>
        <x:v>1</x:v>
      </x:c>
      <x:c r="I714" s="9" t="n">
        <x:f>MIN(10,F713+IF(AR713&gt;0,MIN(1,AS713/AR713),1))</x:f>
        <x:v>3.004103376295589</x:v>
      </x:c>
      <x:c r="J714" s="32" t="n">
        <x:f>INDEX(v01_FoodCap,G714)*Arch_FoodCap*EXP(v01_CapsByProject*SUMPRODUCT((Cap_Point&lt;=I714)*(Cap_Kind="Food")*Cap_Ln))</x:f>
        <x:v>120</x:v>
      </x:c>
      <x:c r="K714" s="32" t="n">
        <x:f>J714*MIN(1,v01_LeanBase*EXP(v01_CapsByProject*SUMPRODUCT((Cap_Point&lt;=I714)*(Cap_Kind="Lean")*Cap_Ln)))</x:f>
        <x:v>120</x:v>
      </x:c>
      <x:c r="L714" s="10" t="n">
        <x:f>INDEX(v01_HousingCap,G714)*EXP(v01_CapsByProject*SUMPRODUCT((Cap_Point&lt;=I714)*(Cap_Kind="Housing")*Cap_Ln))</x:f>
        <x:v>200</x:v>
      </x:c>
      <x:c r="M714" s="10" t="n">
        <x:f>INDEX(v01_GroupCap,G714)*v01_CohesionFactor*EXP(v01_CapsByProject*SUMPRODUCT((Cap_Point&lt;=I714)*(Cap_Kind="Group")*Cap_Ln))</x:f>
        <x:v>5000</x:v>
      </x:c>
      <x:c r="N714" s="32" t="n">
        <x:f>MIN(J714,L714,M714)</x:f>
        <x:v>120</x:v>
      </x:c>
      <x:c r="O714" s="10" t="n">
        <x:f>AE713*N714</x:f>
        <x:v>840</x:v>
      </x:c>
      <x:c r="P714" s="9" t="n">
        <x:f>MIN(1,(AB713/(AE713*IF(v01_GroupInCrowding=1,N714,MIN(J714,L714))))^v01_CrowdingExp)</x:f>
        <x:v>0.003444044708533313</x:v>
      </x:c>
      <x:c r="Q714" s="9" t="n">
        <x:f>IF(D714=1,INDEX(v01_WinterMult,G714),1)</x:f>
        <x:v>1</x:v>
      </x:c>
      <x:c r="R714" s="9" t="n">
        <x:f>H714*Z713*v01_WomenShare*v01_BaseFertility*INDEX(v01_FertMult,G714)*Arch_Fertility*(1-P714)</x:f>
        <x:v>5.44558031128582</x:v>
      </x:c>
      <x:c r="S714" s="9" t="n">
        <x:f>H714*Y713*INDEX(v01_MortChild,G714)/4*Q714</x:f>
        <x:v>1.0569250260997398</x:v>
      </x:c>
      <x:c r="T714" s="9" t="n">
        <x:f>H714*Z713*INDEX(v01_MortAdult,G714)*Arch_AdultMort/4*Q714</x:f>
        <x:v>0.3853102528151981</x:v>
      </x:c>
      <x:c r="U714" s="9" t="n">
        <x:f>H714*AA713*INDEX(v01_MortElder,G714)/4*Q714</x:f>
        <x:v>0.7376583248460448</x:v>
      </x:c>
      <x:c r="V714" s="9" t="n">
        <x:f>H714*MAX(0,AB713-O714)*v01_OvercapLoss</x:f>
        <x:v>0</x:v>
      </x:c>
      <x:c r="W714" s="9" t="n">
        <x:f>H714*Y713/(v01_ChildYears*4)</x:f>
        <x:v>2.516488157380333</x:v>
      </x:c>
      <x:c r="X714" s="9" t="n">
        <x:f>H714*Z713/(v01_AdultYears*4)</x:f>
        <x:v>1.12994209036715</x:v>
      </x:c>
      <x:c r="Y714" s="32" t="n">
        <x:f>Y713+R714-S714-W714-Y713*V714/AB713</x:f>
        <x:v>142.79550394110439</x:v>
      </x:c>
      <x:c r="Z714" s="32" t="n">
        <x:f>Z713+W714-X714-T714-Z713*V714/AB713</x:f>
        <x:v>141.1140550197246</x:v>
      </x:c>
      <x:c r="AA714" s="32" t="n">
        <x:f>AA713+X714-U714-AA713*V714/AB713</x:f>
        <x:v>45.786642217585396</x:v>
      </x:c>
      <x:c r="AB714" s="10" t="n">
        <x:f>Y714+Z714+AA714</x:f>
        <x:v>329.69620117841436</x:v>
      </x:c>
      <x:c r="AC714" s="8" t="n">
        <x:f>IF(AND(v01_WinterTrigger=1,D714=1,AB713/AE713&gt;=K714),1,0)</x:f>
        <x:v>0</x:v>
      </x:c>
      <x:c r="AD714" s="8" t="n">
        <x:f>H714*IF(AND(OR(AB713/AE713&gt;=v01_FissionTrigger*N714,AC714=1),AB713/AE713*v01_DaughterShare&gt;=v01_MinDaughter),MAX(1,ROUND(AE713*v01_FissionRate,0)),0)</x:f>
        <x:v>0</x:v>
      </x:c>
      <x:c r="AE714" s="8" t="n">
        <x:f>IF(H714=1,MAX(1,MIN(INDEX(v01_Smax,G714),AE713+AD714)),AE713)</x:f>
        <x:v>7</x:v>
      </x:c>
      <x:c r="AF714" s="8" t="n">
        <x:f>MAX(0,AE714-AE713)</x:f>
        <x:v>0</x:v>
      </x:c>
      <x:c r="AG714" s="9" t="str">
        <x:f>IF(AF714&gt;0,B714,"")</x:f>
      </x:c>
      <x:c r="AH714" s="9" t="n">
        <x:f>IF(F714&gt;=1,1,(1+v01_LowTiesShare*(AE714-1))/AE714)</x:f>
        <x:v>1</x:v>
      </x:c>
      <x:c r="AI714" s="32" t="n">
        <x:f>(Z714+v01_ElderCommons*INDEX(LM_Elder,G714)*AA714)*AH714</x:f>
        <x:v>278.4739816724808</x:v>
      </x:c>
      <x:c r="AJ714" s="32" t="n">
        <x:f>H714*v01_CommonsCoef*AI714^v01_CommonsExp*INDEX(LM_Commons,G714)</x:f>
        <x:v>78.99704867096496</x:v>
      </x:c>
      <x:c r="AK714" s="32" t="n">
        <x:f>H714*v01_RoleScale*Arch_Roles*(AE714*(INDEX(v01_ElderRolePerSett,G714)*v01_OutElder*INDEX(LM_Elder,G714)+INDEX(v01_ShamanPerSett,G714)*v01_OutShaman)+Z714*(INDEX(v01_PriestShare,G714)*v01_OutPriest+INDEX(v01_ScribeShare,G714)*v01_OutScribe*INDEX(LM_Scribe,G714)+INDEX(v01_ScholarShare,G714)*v01_OutScholar*INDEX(LM_Scholar,G714)+INDEX(v01_ResearcherShare,G714)*v01_OutResearcher*INDEX(LM_Researcher,G714)))</x:f>
        <x:v>21.98779838513807</x:v>
      </x:c>
      <x:c r="AL714" s="32" t="n">
        <x:f>H714*v01_RoleScale*Arch_Roles*AE714*INDEX(v01_MonasteryPerSett,G714)*v01_OutMonastery*INDEX(LM_Monastery,G714)</x:f>
        <x:v>0</x:v>
      </x:c>
      <x:c r="AM714" s="32" t="n">
        <x:f>(AJ714+AK714+AL714)/4*INDEX(LM_All,G714)*INDEX(v01_Boon,G714)*Arch_Insight</x:f>
        <x:v>27.187408765444044</x:v>
      </x:c>
      <x:c r="AN714" s="32" t="n">
        <x:f>H714*(v01_KHPerAdult*Z714+v01_KHOfCommons*AJ714/4*INDEX(LM_All,G714))*v01_KHUsable*Arch_KH</x:f>
        <x:v>4.9389919256903605</x:v>
      </x:c>
      <x:c r="AO714" s="32" t="n">
        <x:f>MIN(AP713+AN714,AM714*v01_KHMaxRatio)</x:f>
        <x:v>4.9389919256903605</x:v>
      </x:c>
      <x:c r="AP714" s="32" t="n">
        <x:f>AP713+AN714-AO714</x:f>
        <x:v>0</x:v>
      </x:c>
      <x:c r="AQ714" s="32" t="n">
        <x:f>AM714+AO714</x:f>
        <x:v>32.12640069113441</x:v>
      </x:c>
      <x:c r="AR714" s="10" t="n">
        <x:f>IF(H714=1,INDEX(v01_Req,G714),0)</x:f>
        <x:v>9805.661999999998</x:v>
      </x:c>
      <x:c r="AS714" s="32" t="n">
        <x:f>IF(H714=1,IF(E714=1,AS713-AR713,AS713)+AQ714,0)</x:f>
        <x:v>72.36272170449521</x:v>
      </x:c>
      <x:c r="AT714" s="11" t="n">
        <x:f>IF(AR714&gt;0,MIN(1,AS714/AR714),1)</x:f>
        <x:v>0.007379687542207271</x:v>
      </x:c>
      <x:c r="AU714" s="10" t="n">
        <x:f>AB714/INDEX(v01_RepScale,G714)</x:f>
        <x:v>65.93924023568287</x:v>
      </x:c>
      <x:c r="AV714" s="32" t="n">
        <x:f>AM714*60/v01_SeasonSeconds</x:f>
        <x:v>108.74963506177617</x:v>
      </x:c>
    </x:row>
    <x:row r="715">
      <x:c r="A715" s="8" t="n">
        <x:f>A714+1</x:f>
        <x:v>712</x:v>
      </x:c>
      <x:c r="B715" s="9" t="n">
        <x:f>A715*v01_SeasonSeconds/60</x:f>
        <x:v>178</x:v>
      </x:c>
      <x:c r="C715" s="9" t="n">
        <x:f>A715/4</x:f>
        <x:v>178</x:v>
      </x:c>
      <x:c r="D715" s="8" t="n">
        <x:f>IF(MOD(A715,4)=0,1,0)</x:f>
        <x:v>1</x:v>
      </x:c>
      <x:c r="E715" s="8" t="n">
        <x:f>IF(AND(F714&lt;=9,AS714&gt;=AR714),1,0)</x:f>
        <x:v>0</x:v>
      </x:c>
      <x:c r="F715" s="8" t="n">
        <x:f>MIN(10,F714+E715)</x:f>
        <x:v>3</x:v>
      </x:c>
      <x:c r="G715" s="8" t="n">
        <x:f>MIN(F715,9)+1</x:f>
        <x:v>4</x:v>
      </x:c>
      <x:c r="H715" s="8" t="n">
        <x:f>IF(F715&lt;=9,1,0)</x:f>
        <x:v>1</x:v>
      </x:c>
      <x:c r="I715" s="9" t="n">
        <x:f>MIN(10,F714+IF(AR714&gt;0,MIN(1,AS714/AR714),1))</x:f>
        <x:v>3.0073796875422074</x:v>
      </x:c>
      <x:c r="J715" s="32" t="n">
        <x:f>INDEX(v01_FoodCap,G715)*Arch_FoodCap*EXP(v01_CapsByProject*SUMPRODUCT((Cap_Point&lt;=I715)*(Cap_Kind="Food")*Cap_Ln))</x:f>
        <x:v>120</x:v>
      </x:c>
      <x:c r="K715" s="32" t="n">
        <x:f>J715*MIN(1,v01_LeanBase*EXP(v01_CapsByProject*SUMPRODUCT((Cap_Point&lt;=I715)*(Cap_Kind="Lean")*Cap_Ln)))</x:f>
        <x:v>120</x:v>
      </x:c>
      <x:c r="L715" s="10" t="n">
        <x:f>INDEX(v01_HousingCap,G715)*EXP(v01_CapsByProject*SUMPRODUCT((Cap_Point&lt;=I715)*(Cap_Kind="Housing")*Cap_Ln))</x:f>
        <x:v>200</x:v>
      </x:c>
      <x:c r="M715" s="10" t="n">
        <x:f>INDEX(v01_GroupCap,G715)*v01_CohesionFactor*EXP(v01_CapsByProject*SUMPRODUCT((Cap_Point&lt;=I715)*(Cap_Kind="Group")*Cap_Ln))</x:f>
        <x:v>5000</x:v>
      </x:c>
      <x:c r="N715" s="32" t="n">
        <x:f>MIN(J715,L715,M715)</x:f>
        <x:v>120</x:v>
      </x:c>
      <x:c r="O715" s="10" t="n">
        <x:f>AE714*N715</x:f>
        <x:v>840</x:v>
      </x:c>
      <x:c r="P715" s="9" t="n">
        <x:f>MIN(1,(AB714/(AE714*IF(v01_GroupInCrowding=1,N715,MIN(J715,L715))))^v01_CrowdingExp)</x:f>
        <x:v>0.0036560147779583045</x:v>
      </x:c>
      <x:c r="Q715" s="9" t="n">
        <x:f>IF(D715=1,INDEX(v01_WinterMult,G715),1)</x:f>
        <x:v>1.15</x:v>
      </x:c>
      <x:c r="R715" s="9" t="n">
        <x:f>H715*Z714*v01_WomenShare*v01_BaseFertility*INDEX(v01_FertMult,G715)*Arch_Fertility*(1-P715)</x:f>
        <x:v>5.4833274580186</x:v>
      </x:c>
      <x:c r="S715" s="9" t="n">
        <x:f>H715*Y714*INDEX(v01_MortChild,G715)/4*Q715</x:f>
        <x:v>1.2316112214920252</x:v>
      </x:c>
      <x:c r="T715" s="9" t="n">
        <x:f>H715*Z714*INDEX(v01_MortAdult,G715)*Arch_AdultMort/4*Q715</x:f>
        <x:v>0.44627319899987894</x:v>
      </x:c>
      <x:c r="U715" s="9" t="n">
        <x:f>H715*AA714*INDEX(v01_MortElder,G715)/4*Q715</x:f>
        <x:v>0.8556378764411271</x:v>
      </x:c>
      <x:c r="V715" s="9" t="n">
        <x:f>H715*MAX(0,AB714-O715)*v01_OvercapLoss</x:f>
        <x:v>0</x:v>
      </x:c>
      <x:c r="W715" s="9" t="n">
        <x:f>H715*Y714/(v01_ChildYears*4)</x:f>
        <x:v>2.549919713234007</x:v>
      </x:c>
      <x:c r="X715" s="9" t="n">
        <x:f>H715*Z714/(v01_AdultYears*4)</x:f>
        <x:v>1.1380165727397145</x:v>
      </x:c>
      <x:c r="Y715" s="32" t="n">
        <x:f>Y714+R715-S715-W715-Y714*V715/AB714</x:f>
        <x:v>144.49730046439697</x:v>
      </x:c>
      <x:c r="Z715" s="32" t="n">
        <x:f>Z714+W715-X715-T715-Z714*V715/AB714</x:f>
        <x:v>142.07968496121902</x:v>
      </x:c>
      <x:c r="AA715" s="32" t="n">
        <x:f>AA714+X715-U715-AA714*V715/AB714</x:f>
        <x:v>46.06902091388398</x:v>
      </x:c>
      <x:c r="AB715" s="10" t="n">
        <x:f>Y715+Z715+AA715</x:f>
        <x:v>332.6460063395</x:v>
      </x:c>
      <x:c r="AC715" s="8" t="n">
        <x:f>IF(AND(v01_WinterTrigger=1,D715=1,AB714/AE714&gt;=K715),1,0)</x:f>
        <x:v>0</x:v>
      </x:c>
      <x:c r="AD715" s="8" t="n">
        <x:f>H715*IF(AND(OR(AB714/AE714&gt;=v01_FissionTrigger*N715,AC715=1),AB714/AE714*v01_DaughterShare&gt;=v01_MinDaughter),MAX(1,ROUND(AE714*v01_FissionRate,0)),0)</x:f>
        <x:v>0</x:v>
      </x:c>
      <x:c r="AE715" s="8" t="n">
        <x:f>IF(H715=1,MAX(1,MIN(INDEX(v01_Smax,G715),AE714+AD715)),AE714)</x:f>
        <x:v>7</x:v>
      </x:c>
      <x:c r="AF715" s="8" t="n">
        <x:f>MAX(0,AE715-AE714)</x:f>
        <x:v>0</x:v>
      </x:c>
      <x:c r="AG715" s="9" t="str">
        <x:f>IF(AF715&gt;0,B715,"")</x:f>
      </x:c>
      <x:c r="AH715" s="9" t="n">
        <x:f>IF(F715&gt;=1,1,(1+v01_LowTiesShare*(AE715-1))/AE715)</x:f>
        <x:v>1</x:v>
      </x:c>
      <x:c r="AI715" s="32" t="n">
        <x:f>(Z715+v01_ElderCommons*INDEX(LM_Elder,G715)*AA715)*AH715</x:f>
        <x:v>280.28674770287097</x:v>
      </x:c>
      <x:c r="AJ715" s="32" t="n">
        <x:f>H715*v01_CommonsCoef*AI715^v01_CommonsExp*INDEX(LM_Commons,G715)</x:f>
        <x:v>79.43394195122549</x:v>
      </x:c>
      <x:c r="AK715" s="32" t="n">
        <x:f>H715*v01_RoleScale*Arch_Roles*(AE715*(INDEX(v01_ElderRolePerSett,G715)*v01_OutElder*INDEX(LM_Elder,G715)+INDEX(v01_ShamanPerSett,G715)*v01_OutShaman)+Z715*(INDEX(v01_PriestShare,G715)*v01_OutPriest+INDEX(v01_ScribeShare,G715)*v01_OutScribe*INDEX(LM_Scribe,G715)+INDEX(v01_ScholarShare,G715)*v01_OutScholar*INDEX(LM_Scholar,G715)+INDEX(v01_ResearcherShare,G715)*v01_OutResearcher*INDEX(LM_Researcher,G715)))</x:f>
        <x:v>21.994557794728532</x:v>
      </x:c>
      <x:c r="AL715" s="32" t="n">
        <x:f>H715*v01_RoleScale*Arch_Roles*AE715*INDEX(v01_MonasteryPerSett,G715)*v01_OutMonastery*INDEX(LM_Monastery,G715)</x:f>
        <x:v>0</x:v>
      </x:c>
      <x:c r="AM715" s="32" t="n">
        <x:f>(AJ715+AK715+AL715)/4*INDEX(LM_All,G715)*INDEX(v01_Boon,G715)*Arch_Insight</x:f>
        <x:v>27.306850121058186</x:v>
      </x:c>
      <x:c r="AN715" s="32" t="n">
        <x:f>H715*(v01_KHPerAdult*Z715+v01_KHOfCommons*AJ715/4*INDEX(LM_All,G715))*v01_KHUsable*Arch_KH</x:f>
        <x:v>4.972788973642666</x:v>
      </x:c>
      <x:c r="AO715" s="32" t="n">
        <x:f>MIN(AP714+AN715,AM715*v01_KHMaxRatio)</x:f>
        <x:v>4.972788973642666</x:v>
      </x:c>
      <x:c r="AP715" s="32" t="n">
        <x:f>AP714+AN715-AO715</x:f>
        <x:v>0</x:v>
      </x:c>
      <x:c r="AQ715" s="32" t="n">
        <x:f>AM715+AO715</x:f>
        <x:v>32.279639094700855</x:v>
      </x:c>
      <x:c r="AR715" s="10" t="n">
        <x:f>IF(H715=1,INDEX(v01_Req,G715),0)</x:f>
        <x:v>9805.661999999998</x:v>
      </x:c>
      <x:c r="AS715" s="32" t="n">
        <x:f>IF(H715=1,IF(E715=1,AS714-AR714,AS714)+AQ715,0)</x:f>
        <x:v>104.64236079919607</x:v>
      </x:c>
      <x:c r="AT715" s="11" t="n">
        <x:f>IF(AR715&gt;0,MIN(1,AS715/AR715),1)</x:f>
        <x:v>0.010671626331725088</x:v>
      </x:c>
      <x:c r="AU715" s="10" t="n">
        <x:f>AB715/INDEX(v01_RepScale,G715)</x:f>
        <x:v>66.52920126789999</x:v>
      </x:c>
      <x:c r="AV715" s="32" t="n">
        <x:f>AM715*60/v01_SeasonSeconds</x:f>
        <x:v>109.22740048423275</x:v>
      </x:c>
    </x:row>
    <x:row r="716">
      <x:c r="A716" s="8" t="n">
        <x:f>A715+1</x:f>
        <x:v>713</x:v>
      </x:c>
      <x:c r="B716" s="9" t="n">
        <x:f>A716*v01_SeasonSeconds/60</x:f>
        <x:v>178.25</x:v>
      </x:c>
      <x:c r="C716" s="9" t="n">
        <x:f>A716/4</x:f>
        <x:v>178.25</x:v>
      </x:c>
      <x:c r="D716" s="8" t="n">
        <x:f>IF(MOD(A716,4)=0,1,0)</x:f>
        <x:v>0</x:v>
      </x:c>
      <x:c r="E716" s="8" t="n">
        <x:f>IF(AND(F715&lt;=9,AS715&gt;=AR715),1,0)</x:f>
        <x:v>0</x:v>
      </x:c>
      <x:c r="F716" s="8" t="n">
        <x:f>MIN(10,F715+E716)</x:f>
        <x:v>3</x:v>
      </x:c>
      <x:c r="G716" s="8" t="n">
        <x:f>MIN(F716,9)+1</x:f>
        <x:v>4</x:v>
      </x:c>
      <x:c r="H716" s="8" t="n">
        <x:f>IF(F716&lt;=9,1,0)</x:f>
        <x:v>1</x:v>
      </x:c>
      <x:c r="I716" s="9" t="n">
        <x:f>MIN(10,F715+IF(AR715&gt;0,MIN(1,AS715/AR715),1))</x:f>
        <x:v>3.010671626331725</x:v>
      </x:c>
      <x:c r="J716" s="32" t="n">
        <x:f>INDEX(v01_FoodCap,G716)*Arch_FoodCap*EXP(v01_CapsByProject*SUMPRODUCT((Cap_Point&lt;=I716)*(Cap_Kind="Food")*Cap_Ln))</x:f>
        <x:v>120</x:v>
      </x:c>
      <x:c r="K716" s="32" t="n">
        <x:f>J716*MIN(1,v01_LeanBase*EXP(v01_CapsByProject*SUMPRODUCT((Cap_Point&lt;=I716)*(Cap_Kind="Lean")*Cap_Ln)))</x:f>
        <x:v>120</x:v>
      </x:c>
      <x:c r="L716" s="10" t="n">
        <x:f>INDEX(v01_HousingCap,G716)*EXP(v01_CapsByProject*SUMPRODUCT((Cap_Point&lt;=I716)*(Cap_Kind="Housing")*Cap_Ln))</x:f>
        <x:v>200</x:v>
      </x:c>
      <x:c r="M716" s="10" t="n">
        <x:f>INDEX(v01_GroupCap,G716)*v01_CohesionFactor*EXP(v01_CapsByProject*SUMPRODUCT((Cap_Point&lt;=I716)*(Cap_Kind="Group")*Cap_Ln))</x:f>
        <x:v>5000</x:v>
      </x:c>
      <x:c r="N716" s="32" t="n">
        <x:f>MIN(J716,L716,M716)</x:f>
        <x:v>120</x:v>
      </x:c>
      <x:c r="O716" s="10" t="n">
        <x:f>AE715*N716</x:f>
        <x:v>840</x:v>
      </x:c>
      <x:c r="P716" s="9" t="n">
        <x:f>MIN(1,(AB715/(AE715*IF(v01_GroupInCrowding=1,N716,MIN(J716,L716))))^v01_CrowdingExp)</x:f>
        <x:v>0.003856720500546527</x:v>
      </x:c>
      <x:c r="Q716" s="9" t="n">
        <x:f>IF(D716=1,INDEX(v01_WinterMult,G716),1)</x:f>
        <x:v>1</x:v>
      </x:c>
      <x:c r="R716" s="9" t="n">
        <x:f>H716*Z715*v01_WomenShare*v01_BaseFertility*INDEX(v01_FertMult,G716)*Arch_Fertility*(1-P716)</x:f>
        <x:v>5.519737209773198</x:v>
      </x:c>
      <x:c r="S716" s="9" t="n">
        <x:f>H716*Y715*INDEX(v01_MortChild,G716)/4*Q716</x:f>
        <x:v>1.0837297534829773</x:v>
      </x:c>
      <x:c r="T716" s="9" t="n">
        <x:f>H716*Z715*INDEX(v01_MortAdult,G716)*Arch_AdultMort/4*Q716</x:f>
        <x:v>0.39071913364335226</x:v>
      </x:c>
      <x:c r="U716" s="9" t="n">
        <x:f>H716*AA715*INDEX(v01_MortElder,G716)/4*Q716</x:f>
        <x:v>0.7486215898506148</x:v>
      </x:c>
      <x:c r="V716" s="9" t="n">
        <x:f>H716*MAX(0,AB715-O716)*v01_OvercapLoss</x:f>
        <x:v>0</x:v>
      </x:c>
      <x:c r="W716" s="9" t="n">
        <x:f>H716*Y715/(v01_ChildYears*4)</x:f>
        <x:v>2.5803089368642316</x:v>
      </x:c>
      <x:c r="X716" s="9" t="n">
        <x:f>H716*Z715/(v01_AdultYears*4)</x:f>
        <x:v>1.1458039109775726</x:v>
      </x:c>
      <x:c r="Y716" s="32" t="n">
        <x:f>Y715+R716-S716-W716-Y715*V716/AB715</x:f>
        <x:v>146.35299898382297</x:v>
      </x:c>
      <x:c r="Z716" s="32" t="n">
        <x:f>Z715+W716-X716-T716-Z715*V716/AB715</x:f>
        <x:v>143.12347085346232</x:v>
      </x:c>
      <x:c r="AA716" s="32" t="n">
        <x:f>AA715+X716-U716-AA715*V716/AB715</x:f>
        <x:v>46.46620323501094</x:v>
      </x:c>
      <x:c r="AB716" s="10" t="n">
        <x:f>Y716+Z716+AA716</x:f>
        <x:v>335.94267307229626</x:v>
      </x:c>
      <x:c r="AC716" s="8" t="n">
        <x:f>IF(AND(v01_WinterTrigger=1,D716=1,AB715/AE715&gt;=K716),1,0)</x:f>
        <x:v>0</x:v>
      </x:c>
      <x:c r="AD716" s="8" t="n">
        <x:f>H716*IF(AND(OR(AB715/AE715&gt;=v01_FissionTrigger*N716,AC716=1),AB715/AE715*v01_DaughterShare&gt;=v01_MinDaughter),MAX(1,ROUND(AE715*v01_FissionRate,0)),0)</x:f>
        <x:v>0</x:v>
      </x:c>
      <x:c r="AE716" s="8" t="n">
        <x:f>IF(H716=1,MAX(1,MIN(INDEX(v01_Smax,G716),AE715+AD716)),AE715)</x:f>
        <x:v>7</x:v>
      </x:c>
      <x:c r="AF716" s="8" t="n">
        <x:f>MAX(0,AE716-AE715)</x:f>
        <x:v>0</x:v>
      </x:c>
      <x:c r="AG716" s="9" t="str">
        <x:f>IF(AF716&gt;0,B716,"")</x:f>
      </x:c>
      <x:c r="AH716" s="9" t="n">
        <x:f>IF(F716&gt;=1,1,(1+v01_LowTiesShare*(AE716-1))/AE716)</x:f>
        <x:v>1</x:v>
      </x:c>
      <x:c r="AI716" s="32" t="n">
        <x:f>(Z716+v01_ElderCommons*INDEX(LM_Elder,G716)*AA716)*AH716</x:f>
        <x:v>282.52208055849513</x:v>
      </x:c>
      <x:c r="AJ716" s="32" t="n">
        <x:f>H716*v01_CommonsCoef*AI716^v01_CommonsExp*INDEX(LM_Commons,G716)</x:f>
        <x:v>79.97209477564583</x:v>
      </x:c>
      <x:c r="AK716" s="32" t="n">
        <x:f>H716*v01_RoleScale*Arch_Roles*(AE716*(INDEX(v01_ElderRolePerSett,G716)*v01_OutElder*INDEX(LM_Elder,G716)+INDEX(v01_ShamanPerSett,G716)*v01_OutShaman)+Z716*(INDEX(v01_PriestShare,G716)*v01_OutPriest+INDEX(v01_ScribeShare,G716)*v01_OutScribe*INDEX(LM_Scribe,G716)+INDEX(v01_ScholarShare,G716)*v01_OutScholar*INDEX(LM_Scholar,G716)+INDEX(v01_ResearcherShare,G716)*v01_OutResearcher*INDEX(LM_Researcher,G716)))</x:f>
        <x:v>22.001864295974237</x:v>
      </x:c>
      <x:c r="AL716" s="32" t="n">
        <x:f>H716*v01_RoleScale*Arch_Roles*AE716*INDEX(v01_MonasteryPerSett,G716)*v01_OutMonastery*INDEX(LM_Monastery,G716)</x:f>
        <x:v>0</x:v>
      </x:c>
      <x:c r="AM716" s="32" t="n">
        <x:f>(AJ716+AK716+AL716)/4*INDEX(LM_All,G716)*INDEX(v01_Boon,G716)*Arch_Insight</x:f>
        <x:v>27.45370012959033</x:v>
      </x:c>
      <x:c r="AN716" s="32" t="n">
        <x:f>H716*(v01_KHPerAdult*Z716+v01_KHOfCommons*AJ716/4*INDEX(LM_All,G716))*v01_KHUsable*Arch_KH</x:f>
        <x:v>5.009321479871181</x:v>
      </x:c>
      <x:c r="AO716" s="32" t="n">
        <x:f>MIN(AP715+AN716,AM716*v01_KHMaxRatio)</x:f>
        <x:v>5.009321479871181</x:v>
      </x:c>
      <x:c r="AP716" s="32" t="n">
        <x:f>AP715+AN716-AO716</x:f>
        <x:v>0</x:v>
      </x:c>
      <x:c r="AQ716" s="32" t="n">
        <x:f>AM716+AO716</x:f>
        <x:v>32.463021609461514</x:v>
      </x:c>
      <x:c r="AR716" s="10" t="n">
        <x:f>IF(H716=1,INDEX(v01_Req,G716),0)</x:f>
        <x:v>9805.661999999998</x:v>
      </x:c>
      <x:c r="AS716" s="32" t="n">
        <x:f>IF(H716=1,IF(E716=1,AS715-AR715,AS715)+AQ716,0)</x:f>
        <x:v>137.1053824086576</x:v>
      </x:c>
      <x:c r="AT716" s="11" t="n">
        <x:f>IF(AR716&gt;0,MIN(1,AS716/AR716),1)</x:f>
        <x:v>0.013982266817748522</x:v>
      </x:c>
      <x:c r="AU716" s="10" t="n">
        <x:f>AB716/INDEX(v01_RepScale,G716)</x:f>
        <x:v>67.18853461445926</x:v>
      </x:c>
      <x:c r="AV716" s="32" t="n">
        <x:f>AM716*60/v01_SeasonSeconds</x:f>
        <x:v>109.81480051836132</x:v>
      </x:c>
    </x:row>
    <x:row r="717">
      <x:c r="A717" s="8" t="n">
        <x:f>A716+1</x:f>
        <x:v>714</x:v>
      </x:c>
      <x:c r="B717" s="9" t="n">
        <x:f>A717*v01_SeasonSeconds/60</x:f>
        <x:v>178.5</x:v>
      </x:c>
      <x:c r="C717" s="9" t="n">
        <x:f>A717/4</x:f>
        <x:v>178.5</x:v>
      </x:c>
      <x:c r="D717" s="8" t="n">
        <x:f>IF(MOD(A717,4)=0,1,0)</x:f>
        <x:v>0</x:v>
      </x:c>
      <x:c r="E717" s="8" t="n">
        <x:f>IF(AND(F716&lt;=9,AS716&gt;=AR716),1,0)</x:f>
        <x:v>0</x:v>
      </x:c>
      <x:c r="F717" s="8" t="n">
        <x:f>MIN(10,F716+E717)</x:f>
        <x:v>3</x:v>
      </x:c>
      <x:c r="G717" s="8" t="n">
        <x:f>MIN(F717,9)+1</x:f>
        <x:v>4</x:v>
      </x:c>
      <x:c r="H717" s="8" t="n">
        <x:f>IF(F717&lt;=9,1,0)</x:f>
        <x:v>1</x:v>
      </x:c>
      <x:c r="I717" s="9" t="n">
        <x:f>MIN(10,F716+IF(AR716&gt;0,MIN(1,AS716/AR716),1))</x:f>
        <x:v>3.0139822668177487</x:v>
      </x:c>
      <x:c r="J717" s="32" t="n">
        <x:f>INDEX(v01_FoodCap,G717)*Arch_FoodCap*EXP(v01_CapsByProject*SUMPRODUCT((Cap_Point&lt;=I717)*(Cap_Kind="Food")*Cap_Ln))</x:f>
        <x:v>120</x:v>
      </x:c>
      <x:c r="K717" s="32" t="n">
        <x:f>J717*MIN(1,v01_LeanBase*EXP(v01_CapsByProject*SUMPRODUCT((Cap_Point&lt;=I717)*(Cap_Kind="Lean")*Cap_Ln)))</x:f>
        <x:v>120</x:v>
      </x:c>
      <x:c r="L717" s="10" t="n">
        <x:f>INDEX(v01_HousingCap,G717)*EXP(v01_CapsByProject*SUMPRODUCT((Cap_Point&lt;=I717)*(Cap_Kind="Housing")*Cap_Ln))</x:f>
        <x:v>200</x:v>
      </x:c>
      <x:c r="M717" s="10" t="n">
        <x:f>INDEX(v01_GroupCap,G717)*v01_CohesionFactor*EXP(v01_CapsByProject*SUMPRODUCT((Cap_Point&lt;=I717)*(Cap_Kind="Group")*Cap_Ln))</x:f>
        <x:v>5000</x:v>
      </x:c>
      <x:c r="N717" s="32" t="n">
        <x:f>MIN(J717,L717,M717)</x:f>
        <x:v>120</x:v>
      </x:c>
      <x:c r="O717" s="10" t="n">
        <x:f>AE716*N717</x:f>
        <x:v>840</x:v>
      </x:c>
      <x:c r="P717" s="9" t="n">
        <x:f>MIN(1,(AB716/(AE716*IF(v01_GroupInCrowding=1,N717,MIN(J717,L717))))^v01_CrowdingExp)</x:f>
        <x:v>0.00409180873281401</x:v>
      </x:c>
      <x:c r="Q717" s="9" t="n">
        <x:f>IF(D717=1,INDEX(v01_WinterMult,G717),1)</x:f>
        <x:v>1</x:v>
      </x:c>
      <x:c r="R717" s="9" t="n">
        <x:f>H717*Z716*v01_WomenShare*v01_BaseFertility*INDEX(v01_FertMult,G717)*Arch_Fertility*(1-P717)</x:f>
        <x:v>5.558975642436585</x:v>
      </x:c>
      <x:c r="S717" s="9" t="n">
        <x:f>H717*Y716*INDEX(v01_MortChild,G717)/4*Q717</x:f>
        <x:v>1.0976474923786723</x:v>
      </x:c>
      <x:c r="T717" s="9" t="n">
        <x:f>H717*Z716*INDEX(v01_MortAdult,G717)*Arch_AdultMort/4*Q717</x:f>
        <x:v>0.39358954484702136</x:v>
      </x:c>
      <x:c r="U717" s="9" t="n">
        <x:f>H717*AA716*INDEX(v01_MortElder,G717)/4*Q717</x:f>
        <x:v>0.7550758025689277</x:v>
      </x:c>
      <x:c r="V717" s="9" t="n">
        <x:f>H717*MAX(0,AB716-O717)*v01_OvercapLoss</x:f>
        <x:v>0</x:v>
      </x:c>
      <x:c r="W717" s="9" t="n">
        <x:f>H717*Y716/(v01_ChildYears*4)</x:f>
        <x:v>2.6134464104254103</x:v>
      </x:c>
      <x:c r="X717" s="9" t="n">
        <x:f>H717*Z716/(v01_AdultYears*4)</x:f>
        <x:v>1.1542215391408253</x:v>
      </x:c>
      <x:c r="Y717" s="32" t="n">
        <x:f>Y716+R717-S717-W717-Y716*V717/AB716</x:f>
        <x:v>148.20088072345547</x:v>
      </x:c>
      <x:c r="Z717" s="32" t="n">
        <x:f>Z716+W717-X717-T717-Z716*V717/AB716</x:f>
        <x:v>144.18910617989988</x:v>
      </x:c>
      <x:c r="AA717" s="32" t="n">
        <x:f>AA716+X717-U717-AA716*V717/AB716</x:f>
        <x:v>46.86534897158284</x:v>
      </x:c>
      <x:c r="AB717" s="10" t="n">
        <x:f>Y717+Z717+AA717</x:f>
        <x:v>339.25533587493817</x:v>
      </x:c>
      <x:c r="AC717" s="8" t="n">
        <x:f>IF(AND(v01_WinterTrigger=1,D717=1,AB716/AE716&gt;=K717),1,0)</x:f>
        <x:v>0</x:v>
      </x:c>
      <x:c r="AD717" s="8" t="n">
        <x:f>H717*IF(AND(OR(AB716/AE716&gt;=v01_FissionTrigger*N717,AC717=1),AB716/AE716*v01_DaughterShare&gt;=v01_MinDaughter),MAX(1,ROUND(AE716*v01_FissionRate,0)),0)</x:f>
        <x:v>0</x:v>
      </x:c>
      <x:c r="AE717" s="8" t="n">
        <x:f>IF(H717=1,MAX(1,MIN(INDEX(v01_Smax,G717),AE716+AD717)),AE716)</x:f>
        <x:v>7</x:v>
      </x:c>
      <x:c r="AF717" s="8" t="n">
        <x:f>MAX(0,AE717-AE716)</x:f>
        <x:v>0</x:v>
      </x:c>
      <x:c r="AG717" s="9" t="str">
        <x:f>IF(AF717&gt;0,B717,"")</x:f>
      </x:c>
      <x:c r="AH717" s="9" t="n">
        <x:f>IF(F717&gt;=1,1,(1+v01_LowTiesShare*(AE717-1))/AE717)</x:f>
        <x:v>1</x:v>
      </x:c>
      <x:c r="AI717" s="32" t="n">
        <x:f>(Z717+v01_ElderCommons*INDEX(LM_Elder,G717)*AA717)*AH717</x:f>
        <x:v>284.7851530946484</x:v>
      </x:c>
      <x:c r="AJ717" s="32" t="n">
        <x:f>H717*v01_CommonsCoef*AI717^v01_CommonsExp*INDEX(LM_Commons,G717)</x:f>
        <x:v>80.51627566406337</x:v>
      </x:c>
      <x:c r="AK717" s="32" t="n">
        <x:f>H717*v01_RoleScale*Arch_Roles*(AE717*(INDEX(v01_ElderRolePerSett,G717)*v01_OutElder*INDEX(LM_Elder,G717)+INDEX(v01_ShamanPerSett,G717)*v01_OutShaman)+Z717*(INDEX(v01_PriestShare,G717)*v01_OutPriest+INDEX(v01_ScribeShare,G717)*v01_OutScribe*INDEX(LM_Scribe,G717)+INDEX(v01_ScholarShare,G717)*v01_OutScholar*INDEX(LM_Scholar,G717)+INDEX(v01_ResearcherShare,G717)*v01_OutResearcher*INDEX(LM_Researcher,G717)))</x:f>
        <x:v>22.009323743259298</x:v>
      </x:c>
      <x:c r="AL717" s="32" t="n">
        <x:f>H717*v01_RoleScale*Arch_Roles*AE717*INDEX(v01_MonasteryPerSett,G717)*v01_OutMonastery*INDEX(LM_Monastery,G717)</x:f>
        <x:v>0</x:v>
      </x:c>
      <x:c r="AM717" s="32" t="n">
        <x:f>(AJ717+AK717+AL717)/4*INDEX(LM_All,G717)*INDEX(v01_Boon,G717)*Arch_Insight</x:f>
        <x:v>27.602214206062825</x:v>
      </x:c>
      <x:c r="AN717" s="32" t="n">
        <x:f>H717*(v01_KHPerAdult*Z717+v01_KHOfCommons*AJ717/4*INDEX(LM_All,G717))*v01_KHUsable*Arch_KH</x:f>
        <x:v>5.0466187162964955</x:v>
      </x:c>
      <x:c r="AO717" s="32" t="n">
        <x:f>MIN(AP716+AN717,AM717*v01_KHMaxRatio)</x:f>
        <x:v>5.0466187162964955</x:v>
      </x:c>
      <x:c r="AP717" s="32" t="n">
        <x:f>AP716+AN717-AO717</x:f>
        <x:v>0</x:v>
      </x:c>
      <x:c r="AQ717" s="32" t="n">
        <x:f>AM717+AO717</x:f>
        <x:v>32.64883292235932</x:v>
      </x:c>
      <x:c r="AR717" s="10" t="n">
        <x:f>IF(H717=1,INDEX(v01_Req,G717),0)</x:f>
        <x:v>9805.661999999998</x:v>
      </x:c>
      <x:c r="AS717" s="32" t="n">
        <x:f>IF(H717=1,IF(E717=1,AS716-AR716,AS716)+AQ717,0)</x:f>
        <x:v>169.7542153310169</x:v>
      </x:c>
      <x:c r="AT717" s="11" t="n">
        <x:f>IF(AR717&gt;0,MIN(1,AS717/AR717),1)</x:f>
        <x:v>0.01731185669371603</x:v>
      </x:c>
      <x:c r="AU717" s="10" t="n">
        <x:f>AB717/INDEX(v01_RepScale,G717)</x:f>
        <x:v>67.85106717498763</x:v>
      </x:c>
      <x:c r="AV717" s="32" t="n">
        <x:f>AM717*60/v01_SeasonSeconds</x:f>
        <x:v>110.40885682425129</x:v>
      </x:c>
    </x:row>
    <x:row r="718">
      <x:c r="A718" s="8" t="n">
        <x:f>A717+1</x:f>
        <x:v>715</x:v>
      </x:c>
      <x:c r="B718" s="9" t="n">
        <x:f>A718*v01_SeasonSeconds/60</x:f>
        <x:v>178.75</x:v>
      </x:c>
      <x:c r="C718" s="9" t="n">
        <x:f>A718/4</x:f>
        <x:v>178.75</x:v>
      </x:c>
      <x:c r="D718" s="8" t="n">
        <x:f>IF(MOD(A718,4)=0,1,0)</x:f>
        <x:v>0</x:v>
      </x:c>
      <x:c r="E718" s="8" t="n">
        <x:f>IF(AND(F717&lt;=9,AS717&gt;=AR717),1,0)</x:f>
        <x:v>0</x:v>
      </x:c>
      <x:c r="F718" s="8" t="n">
        <x:f>MIN(10,F717+E718)</x:f>
        <x:v>3</x:v>
      </x:c>
      <x:c r="G718" s="8" t="n">
        <x:f>MIN(F718,9)+1</x:f>
        <x:v>4</x:v>
      </x:c>
      <x:c r="H718" s="8" t="n">
        <x:f>IF(F718&lt;=9,1,0)</x:f>
        <x:v>1</x:v>
      </x:c>
      <x:c r="I718" s="9" t="n">
        <x:f>MIN(10,F717+IF(AR717&gt;0,MIN(1,AS717/AR717),1))</x:f>
        <x:v>3.017311856693716</x:v>
      </x:c>
      <x:c r="J718" s="32" t="n">
        <x:f>INDEX(v01_FoodCap,G718)*Arch_FoodCap*EXP(v01_CapsByProject*SUMPRODUCT((Cap_Point&lt;=I718)*(Cap_Kind="Food")*Cap_Ln))</x:f>
        <x:v>120</x:v>
      </x:c>
      <x:c r="K718" s="32" t="n">
        <x:f>J718*MIN(1,v01_LeanBase*EXP(v01_CapsByProject*SUMPRODUCT((Cap_Point&lt;=I718)*(Cap_Kind="Lean")*Cap_Ln)))</x:f>
        <x:v>120</x:v>
      </x:c>
      <x:c r="L718" s="10" t="n">
        <x:f>INDEX(v01_HousingCap,G718)*EXP(v01_CapsByProject*SUMPRODUCT((Cap_Point&lt;=I718)*(Cap_Kind="Housing")*Cap_Ln))</x:f>
        <x:v>200</x:v>
      </x:c>
      <x:c r="M718" s="10" t="n">
        <x:f>INDEX(v01_GroupCap,G718)*v01_CohesionFactor*EXP(v01_CapsByProject*SUMPRODUCT((Cap_Point&lt;=I718)*(Cap_Kind="Group")*Cap_Ln))</x:f>
        <x:v>5000</x:v>
      </x:c>
      <x:c r="N718" s="32" t="n">
        <x:f>MIN(J718,L718,M718)</x:f>
        <x:v>120</x:v>
      </x:c>
      <x:c r="O718" s="10" t="n">
        <x:f>AE717*N718</x:f>
        <x:v>840</x:v>
      </x:c>
      <x:c r="P718" s="9" t="n">
        <x:f>MIN(1,(AB717/(AE717*IF(v01_GroupInCrowding=1,N718,MIN(J718,L718))))^v01_CrowdingExp)</x:f>
        <x:v>0.004339946800879034</x:v>
      </x:c>
      <x:c r="Q718" s="9" t="n">
        <x:f>IF(D718=1,INDEX(v01_WinterMult,G718),1)</x:f>
        <x:v>1</x:v>
      </x:c>
      <x:c r="R718" s="9" t="n">
        <x:f>H718*Z717*v01_WomenShare*v01_BaseFertility*INDEX(v01_FertMult,G718)*Arch_Fertility*(1-P718)</x:f>
        <x:v>5.598969992062701</x:v>
      </x:c>
      <x:c r="S718" s="9" t="n">
        <x:f>H718*Y717*INDEX(v01_MortChild,G718)/4*Q718</x:f>
        <x:v>1.111506605425916</x:v>
      </x:c>
      <x:c r="T718" s="9" t="n">
        <x:f>H718*Z717*INDEX(v01_MortAdult,G718)*Arch_AdultMort/4*Q718</x:f>
        <x:v>0.3965200419947246</x:v>
      </x:c>
      <x:c r="U718" s="9" t="n">
        <x:f>H718*AA717*INDEX(v01_MortElder,G718)/4*Q718</x:f>
        <x:v>0.7615619207882212</x:v>
      </x:c>
      <x:c r="V718" s="9" t="n">
        <x:f>H718*MAX(0,AB717-O718)*v01_OvercapLoss</x:f>
        <x:v>0</x:v>
      </x:c>
      <x:c r="W718" s="9" t="n">
        <x:f>H718*Y717/(v01_ChildYears*4)</x:f>
        <x:v>2.6464442986331336</x:v>
      </x:c>
      <x:c r="X718" s="9" t="n">
        <x:f>H718*Z717/(v01_AdultYears*4)</x:f>
        <x:v>1.1628153724185475</x:v>
      </x:c>
      <x:c r="Y718" s="32" t="n">
        <x:f>Y717+R718-S718-W718-Y717*V718/AB717</x:f>
        <x:v>150.04189981145913</x:v>
      </x:c>
      <x:c r="Z718" s="32" t="n">
        <x:f>Z717+W718-X718-T718-Z717*V718/AB717</x:f>
        <x:v>145.27621506411973</x:v>
      </x:c>
      <x:c r="AA718" s="32" t="n">
        <x:f>AA717+X718-U718-AA717*V718/AB717</x:f>
        <x:v>47.26660242321317</x:v>
      </x:c>
      <x:c r="AB718" s="10" t="n">
        <x:f>Y718+Z718+AA718</x:f>
        <x:v>342.58471729879204</x:v>
      </x:c>
      <x:c r="AC718" s="8" t="n">
        <x:f>IF(AND(v01_WinterTrigger=1,D718=1,AB717/AE717&gt;=K718),1,0)</x:f>
        <x:v>0</x:v>
      </x:c>
      <x:c r="AD718" s="8" t="n">
        <x:f>H718*IF(AND(OR(AB717/AE717&gt;=v01_FissionTrigger*N718,AC718=1),AB717/AE717*v01_DaughterShare&gt;=v01_MinDaughter),MAX(1,ROUND(AE717*v01_FissionRate,0)),0)</x:f>
        <x:v>0</x:v>
      </x:c>
      <x:c r="AE718" s="8" t="n">
        <x:f>IF(H718=1,MAX(1,MIN(INDEX(v01_Smax,G718),AE717+AD718)),AE717)</x:f>
        <x:v>7</x:v>
      </x:c>
      <x:c r="AF718" s="8" t="n">
        <x:f>MAX(0,AE718-AE717)</x:f>
        <x:v>0</x:v>
      </x:c>
      <x:c r="AG718" s="9" t="str">
        <x:f>IF(AF718&gt;0,B718,"")</x:f>
      </x:c>
      <x:c r="AH718" s="9" t="n">
        <x:f>IF(F718&gt;=1,1,(1+v01_LowTiesShare*(AE718-1))/AE718)</x:f>
        <x:v>1</x:v>
      </x:c>
      <x:c r="AI718" s="32" t="n">
        <x:f>(Z718+v01_ElderCommons*INDEX(LM_Elder,G718)*AA718)*AH718</x:f>
        <x:v>287.0760223337593</x:v>
      </x:c>
      <x:c r="AJ718" s="32" t="n">
        <x:f>H718*v01_CommonsCoef*AI718^v01_CommonsExp*INDEX(LM_Commons,G718)</x:f>
        <x:v>81.06648033098682</x:v>
      </x:c>
      <x:c r="AK718" s="32" t="n">
        <x:f>H718*v01_RoleScale*Arch_Roles*(AE718*(INDEX(v01_ElderRolePerSett,G718)*v01_OutElder*INDEX(LM_Elder,G718)+INDEX(v01_ShamanPerSett,G718)*v01_OutShaman)+Z718*(INDEX(v01_PriestShare,G718)*v01_OutPriest+INDEX(v01_ScribeShare,G718)*v01_OutScribe*INDEX(LM_Scribe,G718)+INDEX(v01_ScholarShare,G718)*v01_OutScholar*INDEX(LM_Scholar,G718)+INDEX(v01_ResearcherShare,G718)*v01_OutResearcher*INDEX(LM_Researcher,G718)))</x:f>
        <x:v>22.01693350544884</x:v>
      </x:c>
      <x:c r="AL718" s="32" t="n">
        <x:f>H718*v01_RoleScale*Arch_Roles*AE718*INDEX(v01_MonasteryPerSett,G718)*v01_OutMonastery*INDEX(LM_Monastery,G718)</x:f>
        <x:v>0</x:v>
      </x:c>
      <x:c r="AM718" s="32" t="n">
        <x:f>(AJ718+AK718+AL718)/4*INDEX(LM_All,G718)*INDEX(v01_Boon,G718)*Arch_Insight</x:f>
        <x:v>27.7523904883632</x:v>
      </x:c>
      <x:c r="AN718" s="32" t="n">
        <x:f>H718*(v01_KHPerAdult*Z718+v01_KHOfCommons*AJ718/4*INDEX(LM_All,G718))*v01_KHUsable*Arch_KH</x:f>
        <x:v>5.08466752724419</x:v>
      </x:c>
      <x:c r="AO718" s="32" t="n">
        <x:f>MIN(AP717+AN718,AM718*v01_KHMaxRatio)</x:f>
        <x:v>5.08466752724419</x:v>
      </x:c>
      <x:c r="AP718" s="32" t="n">
        <x:f>AP717+AN718-AO718</x:f>
        <x:v>0</x:v>
      </x:c>
      <x:c r="AQ718" s="32" t="n">
        <x:f>AM718+AO718</x:f>
        <x:v>32.83705801560739</x:v>
      </x:c>
      <x:c r="AR718" s="10" t="n">
        <x:f>IF(H718=1,INDEX(v01_Req,G718),0)</x:f>
        <x:v>9805.661999999998</x:v>
      </x:c>
      <x:c r="AS718" s="32" t="n">
        <x:f>IF(H718=1,IF(E718=1,AS717-AR717,AS717)+AQ718,0)</x:f>
        <x:v>202.5912733466243</x:v>
      </x:c>
      <x:c r="AT718" s="11" t="n">
        <x:f>IF(AR718&gt;0,MIN(1,AS718/AR718),1)</x:f>
        <x:v>0.0206606421215237</x:v>
      </x:c>
      <x:c r="AU718" s="10" t="n">
        <x:f>AB718/INDEX(v01_RepScale,G718)</x:f>
        <x:v>68.51694345975841</x:v>
      </x:c>
      <x:c r="AV718" s="32" t="n">
        <x:f>AM718*60/v01_SeasonSeconds</x:f>
        <x:v>111.0095619534528</x:v>
      </x:c>
    </x:row>
    <x:row r="719">
      <x:c r="A719" s="8" t="n">
        <x:f>A718+1</x:f>
        <x:v>716</x:v>
      </x:c>
      <x:c r="B719" s="9" t="n">
        <x:f>A719*v01_SeasonSeconds/60</x:f>
        <x:v>179</x:v>
      </x:c>
      <x:c r="C719" s="9" t="n">
        <x:f>A719/4</x:f>
        <x:v>179</x:v>
      </x:c>
      <x:c r="D719" s="8" t="n">
        <x:f>IF(MOD(A719,4)=0,1,0)</x:f>
        <x:v>1</x:v>
      </x:c>
      <x:c r="E719" s="8" t="n">
        <x:f>IF(AND(F718&lt;=9,AS718&gt;=AR718),1,0)</x:f>
        <x:v>0</x:v>
      </x:c>
      <x:c r="F719" s="8" t="n">
        <x:f>MIN(10,F718+E719)</x:f>
        <x:v>3</x:v>
      </x:c>
      <x:c r="G719" s="8" t="n">
        <x:f>MIN(F719,9)+1</x:f>
        <x:v>4</x:v>
      </x:c>
      <x:c r="H719" s="8" t="n">
        <x:f>IF(F719&lt;=9,1,0)</x:f>
        <x:v>1</x:v>
      </x:c>
      <x:c r="I719" s="9" t="n">
        <x:f>MIN(10,F718+IF(AR718&gt;0,MIN(1,AS718/AR718),1))</x:f>
        <x:v>3.020660642121524</x:v>
      </x:c>
      <x:c r="J719" s="32" t="n">
        <x:f>INDEX(v01_FoodCap,G719)*Arch_FoodCap*EXP(v01_CapsByProject*SUMPRODUCT((Cap_Point&lt;=I719)*(Cap_Kind="Food")*Cap_Ln))</x:f>
        <x:v>120</x:v>
      </x:c>
      <x:c r="K719" s="32" t="n">
        <x:f>J719*MIN(1,v01_LeanBase*EXP(v01_CapsByProject*SUMPRODUCT((Cap_Point&lt;=I719)*(Cap_Kind="Lean")*Cap_Ln)))</x:f>
        <x:v>120</x:v>
      </x:c>
      <x:c r="L719" s="10" t="n">
        <x:f>INDEX(v01_HousingCap,G719)*EXP(v01_CapsByProject*SUMPRODUCT((Cap_Point&lt;=I719)*(Cap_Kind="Housing")*Cap_Ln))</x:f>
        <x:v>200</x:v>
      </x:c>
      <x:c r="M719" s="10" t="n">
        <x:f>INDEX(v01_GroupCap,G719)*v01_CohesionFactor*EXP(v01_CapsByProject*SUMPRODUCT((Cap_Point&lt;=I719)*(Cap_Kind="Group")*Cap_Ln))</x:f>
        <x:v>5000</x:v>
      </x:c>
      <x:c r="N719" s="32" t="n">
        <x:f>MIN(J719,L719,M719)</x:f>
        <x:v>120</x:v>
      </x:c>
      <x:c r="O719" s="10" t="n">
        <x:f>AE718*N719</x:f>
        <x:v>840</x:v>
      </x:c>
      <x:c r="P719" s="9" t="n">
        <x:f>MIN(1,(AB718/(AE718*IF(v01_GroupInCrowding=1,N719,MIN(J719,L719))))^v01_CrowdingExp)</x:f>
        <x:v>0.004601847205588704</x:v>
      </x:c>
      <x:c r="Q719" s="9" t="n">
        <x:f>IF(D719=1,INDEX(v01_WinterMult,G719),1)</x:f>
        <x:v>1.15</x:v>
      </x:c>
      <x:c r="R719" s="9" t="n">
        <x:f>H719*Z718*v01_WomenShare*v01_BaseFertility*INDEX(v01_FertMult,G719)*Arch_Fertility*(1-P719)</x:f>
        <x:v>5.6396993686717485</x:v>
      </x:c>
      <x:c r="S719" s="9" t="n">
        <x:f>H719*Y718*INDEX(v01_MortChild,G719)/4*Q719</x:f>
        <x:v>1.294111385873835</x:v>
      </x:c>
      <x:c r="T719" s="9" t="n">
        <x:f>H719*Z718*INDEX(v01_MortAdult,G719)*Arch_AdultMort/4*Q719</x:f>
        <x:v>0.4594360301402786</x:v>
      </x:c>
      <x:c r="U719" s="9" t="n">
        <x:f>H719*AA718*INDEX(v01_MortElder,G719)/4*Q719</x:f>
        <x:v>0.8832946327837962</x:v>
      </x:c>
      <x:c r="V719" s="9" t="n">
        <x:f>H719*MAX(0,AB718-O719)*v01_OvercapLoss</x:f>
        <x:v>0</x:v>
      </x:c>
      <x:c r="W719" s="9" t="n">
        <x:f>H719*Y718/(v01_ChildYears*4)</x:f>
        <x:v>2.6793196394903416</x:v>
      </x:c>
      <x:c r="X719" s="9" t="n">
        <x:f>H719*Z718/(v01_AdultYears*4)</x:f>
        <x:v>1.1715823795493525</x:v>
      </x:c>
      <x:c r="Y719" s="32" t="n">
        <x:f>Y718+R719-S719-W719-Y718*V719/AB718</x:f>
        <x:v>151.70816815476672</x:v>
      </x:c>
      <x:c r="Z719" s="32" t="n">
        <x:f>Z718+W719-X719-T719-Z718*V719/AB718</x:f>
        <x:v>146.32451629392042</x:v>
      </x:c>
      <x:c r="AA719" s="32" t="n">
        <x:f>AA718+X719-U719-AA718*V719/AB718</x:f>
        <x:v>47.55489016997873</x:v>
      </x:c>
      <x:c r="AB719" s="10" t="n">
        <x:f>Y719+Z719+AA719</x:f>
        <x:v>345.5875746186659</x:v>
      </x:c>
      <x:c r="AC719" s="8" t="n">
        <x:f>IF(AND(v01_WinterTrigger=1,D719=1,AB718/AE718&gt;=K719),1,0)</x:f>
        <x:v>0</x:v>
      </x:c>
      <x:c r="AD719" s="8" t="n">
        <x:f>H719*IF(AND(OR(AB718/AE718&gt;=v01_FissionTrigger*N719,AC719=1),AB718/AE718*v01_DaughterShare&gt;=v01_MinDaughter),MAX(1,ROUND(AE718*v01_FissionRate,0)),0)</x:f>
        <x:v>0</x:v>
      </x:c>
      <x:c r="AE719" s="8" t="n">
        <x:f>IF(H719=1,MAX(1,MIN(INDEX(v01_Smax,G719),AE718+AD719)),AE718)</x:f>
        <x:v>7</x:v>
      </x:c>
      <x:c r="AF719" s="8" t="n">
        <x:f>MAX(0,AE719-AE718)</x:f>
        <x:v>0</x:v>
      </x:c>
      <x:c r="AG719" s="9" t="str">
        <x:f>IF(AF719&gt;0,B719,"")</x:f>
      </x:c>
      <x:c r="AH719" s="9" t="n">
        <x:f>IF(F719&gt;=1,1,(1+v01_LowTiesShare*(AE719-1))/AE719)</x:f>
        <x:v>1</x:v>
      </x:c>
      <x:c r="AI719" s="32" t="n">
        <x:f>(Z719+v01_ElderCommons*INDEX(LM_Elder,G719)*AA719)*AH719</x:f>
        <x:v>288.98918680385657</x:v>
      </x:c>
      <x:c r="AJ719" s="32" t="n">
        <x:f>H719*v01_CommonsCoef*AI719^v01_CommonsExp*INDEX(LM_Commons,G719)</x:f>
        <x:v>81.52546592856474</x:v>
      </x:c>
      <x:c r="AK719" s="32" t="n">
        <x:f>H719*v01_RoleScale*Arch_Roles*(AE719*(INDEX(v01_ElderRolePerSett,G719)*v01_OutElder*INDEX(LM_Elder,G719)+INDEX(v01_ShamanPerSett,G719)*v01_OutShaman)+Z719*(INDEX(v01_PriestShare,G719)*v01_OutPriest+INDEX(v01_ScribeShare,G719)*v01_OutScribe*INDEX(LM_Scribe,G719)+INDEX(v01_ScholarShare,G719)*v01_OutScholar*INDEX(LM_Scholar,G719)+INDEX(v01_ResearcherShare,G719)*v01_OutResearcher*INDEX(LM_Researcher,G719)))</x:f>
        <x:v>22.024271614057444</x:v>
      </x:c>
      <x:c r="AL719" s="32" t="n">
        <x:f>H719*v01_RoleScale*Arch_Roles*AE719*INDEX(v01_MonasteryPerSett,G719)*v01_OutMonastery*INDEX(LM_Monastery,G719)</x:f>
        <x:v>0</x:v>
      </x:c>
      <x:c r="AM719" s="32" t="n">
        <x:f>(AJ719+AK719+AL719)/4*INDEX(LM_All,G719)*INDEX(v01_Boon,G719)*Arch_Insight</x:f>
        <x:v>27.877935395215083</x:v>
      </x:c>
      <x:c r="AN719" s="32" t="n">
        <x:f>H719*(v01_KHPerAdult*Z719+v01_KHOfCommons*AJ719/4*INDEX(LM_All,G719))*v01_KHUsable*Arch_KH</x:f>
        <x:v>5.121358070287215</x:v>
      </x:c>
      <x:c r="AO719" s="32" t="n">
        <x:f>MIN(AP718+AN719,AM719*v01_KHMaxRatio)</x:f>
        <x:v>5.121358070287215</x:v>
      </x:c>
      <x:c r="AP719" s="32" t="n">
        <x:f>AP718+AN719-AO719</x:f>
        <x:v>0</x:v>
      </x:c>
      <x:c r="AQ719" s="32" t="n">
        <x:f>AM719+AO719</x:f>
        <x:v>32.9992934655023</x:v>
      </x:c>
      <x:c r="AR719" s="10" t="n">
        <x:f>IF(H719=1,INDEX(v01_Req,G719),0)</x:f>
        <x:v>9805.661999999998</x:v>
      </x:c>
      <x:c r="AS719" s="32" t="n">
        <x:f>IF(H719=1,IF(E719=1,AS718-AR718,AS718)+AQ719,0)</x:f>
        <x:v>235.59056681212658</x:v>
      </x:c>
      <x:c r="AT719" s="11" t="n">
        <x:f>IF(AR719&gt;0,MIN(1,AS719/AR719),1)</x:f>
        <x:v>0.02402597262807209</x:v>
      </x:c>
      <x:c r="AU719" s="10" t="n">
        <x:f>AB719/INDEX(v01_RepScale,G719)</x:f>
        <x:v>69.11751492373318</x:v>
      </x:c>
      <x:c r="AV719" s="32" t="n">
        <x:f>AM719*60/v01_SeasonSeconds</x:f>
        <x:v>111.51174158086033</x:v>
      </x:c>
    </x:row>
    <x:row r="720">
      <x:c r="A720" s="8" t="n">
        <x:f>A719+1</x:f>
        <x:v>717</x:v>
      </x:c>
      <x:c r="B720" s="9" t="n">
        <x:f>A720*v01_SeasonSeconds/60</x:f>
        <x:v>179.25</x:v>
      </x:c>
      <x:c r="C720" s="9" t="n">
        <x:f>A720/4</x:f>
        <x:v>179.25</x:v>
      </x:c>
      <x:c r="D720" s="8" t="n">
        <x:f>IF(MOD(A720,4)=0,1,0)</x:f>
        <x:v>0</x:v>
      </x:c>
      <x:c r="E720" s="8" t="n">
        <x:f>IF(AND(F719&lt;=9,AS719&gt;=AR719),1,0)</x:f>
        <x:v>0</x:v>
      </x:c>
      <x:c r="F720" s="8" t="n">
        <x:f>MIN(10,F719+E720)</x:f>
        <x:v>3</x:v>
      </x:c>
      <x:c r="G720" s="8" t="n">
        <x:f>MIN(F720,9)+1</x:f>
        <x:v>4</x:v>
      </x:c>
      <x:c r="H720" s="8" t="n">
        <x:f>IF(F720&lt;=9,1,0)</x:f>
        <x:v>1</x:v>
      </x:c>
      <x:c r="I720" s="9" t="n">
        <x:f>MIN(10,F719+IF(AR719&gt;0,MIN(1,AS719/AR719),1))</x:f>
        <x:v>3.0240259726280723</x:v>
      </x:c>
      <x:c r="J720" s="32" t="n">
        <x:f>INDEX(v01_FoodCap,G720)*Arch_FoodCap*EXP(v01_CapsByProject*SUMPRODUCT((Cap_Point&lt;=I720)*(Cap_Kind="Food")*Cap_Ln))</x:f>
        <x:v>120</x:v>
      </x:c>
      <x:c r="K720" s="32" t="n">
        <x:f>J720*MIN(1,v01_LeanBase*EXP(v01_CapsByProject*SUMPRODUCT((Cap_Point&lt;=I720)*(Cap_Kind="Lean")*Cap_Ln)))</x:f>
        <x:v>120</x:v>
      </x:c>
      <x:c r="L720" s="10" t="n">
        <x:f>INDEX(v01_HousingCap,G720)*EXP(v01_CapsByProject*SUMPRODUCT((Cap_Point&lt;=I720)*(Cap_Kind="Housing")*Cap_Ln))</x:f>
        <x:v>200</x:v>
      </x:c>
      <x:c r="M720" s="10" t="n">
        <x:f>INDEX(v01_GroupCap,G720)*v01_CohesionFactor*EXP(v01_CapsByProject*SUMPRODUCT((Cap_Point&lt;=I720)*(Cap_Kind="Group")*Cap_Ln))</x:f>
        <x:v>5000</x:v>
      </x:c>
      <x:c r="N720" s="32" t="n">
        <x:f>MIN(J720,L720,M720)</x:f>
        <x:v>120</x:v>
      </x:c>
      <x:c r="O720" s="10" t="n">
        <x:f>AE719*N720</x:f>
        <x:v>840</x:v>
      </x:c>
      <x:c r="P720" s="9" t="n">
        <x:f>MIN(1,(AB719/(AE719*IF(v01_GroupInCrowding=1,N720,MIN(J720,L720))))^v01_CrowdingExp)</x:f>
        <x:v>0.004849232413825335</x:v>
      </x:c>
      <x:c r="Q720" s="9" t="n">
        <x:f>IF(D720=1,INDEX(v01_WinterMult,G720),1)</x:f>
        <x:v>1</x:v>
      </x:c>
      <x:c r="R720" s="9" t="n">
        <x:f>H720*Z719*v01_WomenShare*v01_BaseFertility*INDEX(v01_FertMult,G720)*Arch_Fertility*(1-P720)</x:f>
        <x:v>5.678983233556256</x:v>
      </x:c>
      <x:c r="S720" s="9" t="n">
        <x:f>H720*Y719*INDEX(v01_MortChild,G720)/4*Q720</x:f>
        <x:v>1.1378112611607505</x:v>
      </x:c>
      <x:c r="T720" s="9" t="n">
        <x:f>H720*Z719*INDEX(v01_MortAdult,G720)*Arch_AdultMort/4*Q720</x:f>
        <x:v>0.40239241980828117</x:v>
      </x:c>
      <x:c r="U720" s="9" t="n">
        <x:f>H720*AA719*INDEX(v01_MortElder,G720)/4*Q720</x:f>
        <x:v>0.7727669652621544</x:v>
      </x:c>
      <x:c r="V720" s="9" t="n">
        <x:f>H720*MAX(0,AB719-O720)*v01_OvercapLoss</x:f>
        <x:v>0</x:v>
      </x:c>
      <x:c r="W720" s="9" t="n">
        <x:f>H720*Y719/(v01_ChildYears*4)</x:f>
        <x:v>2.7090744313351203</x:v>
      </x:c>
      <x:c r="X720" s="9" t="n">
        <x:f>H720*Z719/(v01_AdultYears*4)</x:f>
        <x:v>1.1800364217251647</x:v>
      </x:c>
      <x:c r="Y720" s="32" t="n">
        <x:f>Y719+R720-S720-W720-Y719*V720/AB719</x:f>
        <x:v>153.54026569582712</x:v>
      </x:c>
      <x:c r="Z720" s="32" t="n">
        <x:f>Z719+W720-X720-T720-Z719*V720/AB719</x:f>
        <x:v>147.4511618837221</x:v>
      </x:c>
      <x:c r="AA720" s="32" t="n">
        <x:f>AA719+X720-U720-AA719*V720/AB719</x:f>
        <x:v>47.96215962644173</x:v>
      </x:c>
      <x:c r="AB720" s="10" t="n">
        <x:f>Y720+Z720+AA720</x:f>
        <x:v>348.95358720599097</x:v>
      </x:c>
      <x:c r="AC720" s="8" t="n">
        <x:f>IF(AND(v01_WinterTrigger=1,D720=1,AB719/AE719&gt;=K720),1,0)</x:f>
        <x:v>0</x:v>
      </x:c>
      <x:c r="AD720" s="8" t="n">
        <x:f>H720*IF(AND(OR(AB719/AE719&gt;=v01_FissionTrigger*N720,AC720=1),AB719/AE719*v01_DaughterShare&gt;=v01_MinDaughter),MAX(1,ROUND(AE719*v01_FissionRate,0)),0)</x:f>
        <x:v>0</x:v>
      </x:c>
      <x:c r="AE720" s="8" t="n">
        <x:f>IF(H720=1,MAX(1,MIN(INDEX(v01_Smax,G720),AE719+AD720)),AE719)</x:f>
        <x:v>7</x:v>
      </x:c>
      <x:c r="AF720" s="8" t="n">
        <x:f>MAX(0,AE720-AE719)</x:f>
        <x:v>0</x:v>
      </x:c>
      <x:c r="AG720" s="9" t="str">
        <x:f>IF(AF720&gt;0,B720,"")</x:f>
      </x:c>
      <x:c r="AH720" s="9" t="n">
        <x:f>IF(F720&gt;=1,1,(1+v01_LowTiesShare*(AE720-1))/AE720)</x:f>
        <x:v>1</x:v>
      </x:c>
      <x:c r="AI720" s="32" t="n">
        <x:f>(Z720+v01_ElderCommons*INDEX(LM_Elder,G720)*AA720)*AH720</x:f>
        <x:v>291.33764076304726</x:v>
      </x:c>
      <x:c r="AJ720" s="32" t="n">
        <x:f>H720*v01_CommonsCoef*AI720^v01_CommonsExp*INDEX(LM_Commons,G720)</x:f>
        <x:v>82.08825896904561</x:v>
      </x:c>
      <x:c r="AK720" s="32" t="n">
        <x:f>H720*v01_RoleScale*Arch_Roles*(AE720*(INDEX(v01_ElderRolePerSett,G720)*v01_OutElder*INDEX(LM_Elder,G720)+INDEX(v01_ShamanPerSett,G720)*v01_OutShaman)+Z720*(INDEX(v01_PriestShare,G720)*v01_OutPriest+INDEX(v01_ScribeShare,G720)*v01_OutScribe*INDEX(LM_Scribe,G720)+INDEX(v01_ScholarShare,G720)*v01_OutScholar*INDEX(LM_Scholar,G720)+INDEX(v01_ResearcherShare,G720)*v01_OutResearcher*INDEX(LM_Researcher,G720)))</x:f>
        <x:v>22.032158133186055</x:v>
      </x:c>
      <x:c r="AL720" s="32" t="n">
        <x:f>H720*v01_RoleScale*Arch_Roles*AE720*INDEX(v01_MonasteryPerSett,G720)*v01_OutMonastery*INDEX(LM_Monastery,G720)</x:f>
        <x:v>0</x:v>
      </x:c>
      <x:c r="AM720" s="32" t="n">
        <x:f>(AJ720+AK720+AL720)/4*INDEX(LM_All,G720)*INDEX(v01_Boon,G720)*Arch_Insight</x:f>
        <x:v>28.03157526212073</x:v>
      </x:c>
      <x:c r="AN720" s="32" t="n">
        <x:f>H720*(v01_KHPerAdult*Z720+v01_KHOfCommons*AJ720/4*INDEX(LM_All,G720))*v01_KHUsable*Arch_KH</x:f>
        <x:v>5.160790665930274</x:v>
      </x:c>
      <x:c r="AO720" s="32" t="n">
        <x:f>MIN(AP719+AN720,AM720*v01_KHMaxRatio)</x:f>
        <x:v>5.160790665930274</x:v>
      </x:c>
      <x:c r="AP720" s="32" t="n">
        <x:f>AP719+AN720-AO720</x:f>
        <x:v>0</x:v>
      </x:c>
      <x:c r="AQ720" s="32" t="n">
        <x:f>AM720+AO720</x:f>
        <x:v>33.192365928051004</x:v>
      </x:c>
      <x:c r="AR720" s="10" t="n">
        <x:f>IF(H720=1,INDEX(v01_Req,G720),0)</x:f>
        <x:v>9805.661999999998</x:v>
      </x:c>
      <x:c r="AS720" s="32" t="n">
        <x:f>IF(H720=1,IF(E720=1,AS719-AR719,AS719)+AQ720,0)</x:f>
        <x:v>268.78293274017756</x:v>
      </x:c>
      <x:c r="AT720" s="11" t="n">
        <x:f>IF(AR720&gt;0,MIN(1,AS720/AR720),1)</x:f>
        <x:v>0.02741099303037139</x:v>
      </x:c>
      <x:c r="AU720" s="10" t="n">
        <x:f>AB720/INDEX(v01_RepScale,G720)</x:f>
        <x:v>69.7907174411982</x:v>
      </x:c>
      <x:c r="AV720" s="32" t="n">
        <x:f>AM720*60/v01_SeasonSeconds</x:f>
        <x:v>112.12630104848292</x:v>
      </x:c>
    </x:row>
    <x:row r="721">
      <x:c r="A721" s="8" t="n">
        <x:f>A720+1</x:f>
        <x:v>718</x:v>
      </x:c>
      <x:c r="B721" s="9" t="n">
        <x:f>A721*v01_SeasonSeconds/60</x:f>
        <x:v>179.5</x:v>
      </x:c>
      <x:c r="C721" s="9" t="n">
        <x:f>A721/4</x:f>
        <x:v>179.5</x:v>
      </x:c>
      <x:c r="D721" s="8" t="n">
        <x:f>IF(MOD(A721,4)=0,1,0)</x:f>
        <x:v>0</x:v>
      </x:c>
      <x:c r="E721" s="8" t="n">
        <x:f>IF(AND(F720&lt;=9,AS720&gt;=AR720),1,0)</x:f>
        <x:v>0</x:v>
      </x:c>
      <x:c r="F721" s="8" t="n">
        <x:f>MIN(10,F720+E721)</x:f>
        <x:v>3</x:v>
      </x:c>
      <x:c r="G721" s="8" t="n">
        <x:f>MIN(F721,9)+1</x:f>
        <x:v>4</x:v>
      </x:c>
      <x:c r="H721" s="8" t="n">
        <x:f>IF(F721&lt;=9,1,0)</x:f>
        <x:v>1</x:v>
      </x:c>
      <x:c r="I721" s="9" t="n">
        <x:f>MIN(10,F720+IF(AR720&gt;0,MIN(1,AS720/AR720),1))</x:f>
        <x:v>3.0274109930303714</x:v>
      </x:c>
      <x:c r="J721" s="32" t="n">
        <x:f>INDEX(v01_FoodCap,G721)*Arch_FoodCap*EXP(v01_CapsByProject*SUMPRODUCT((Cap_Point&lt;=I721)*(Cap_Kind="Food")*Cap_Ln))</x:f>
        <x:v>120</x:v>
      </x:c>
      <x:c r="K721" s="32" t="n">
        <x:f>J721*MIN(1,v01_LeanBase*EXP(v01_CapsByProject*SUMPRODUCT((Cap_Point&lt;=I721)*(Cap_Kind="Lean")*Cap_Ln)))</x:f>
        <x:v>120</x:v>
      </x:c>
      <x:c r="L721" s="10" t="n">
        <x:f>INDEX(v01_HousingCap,G721)*EXP(v01_CapsByProject*SUMPRODUCT((Cap_Point&lt;=I721)*(Cap_Kind="Housing")*Cap_Ln))</x:f>
        <x:v>200</x:v>
      </x:c>
      <x:c r="M721" s="10" t="n">
        <x:f>INDEX(v01_GroupCap,G721)*v01_CohesionFactor*EXP(v01_CapsByProject*SUMPRODUCT((Cap_Point&lt;=I721)*(Cap_Kind="Group")*Cap_Ln))</x:f>
        <x:v>5000</x:v>
      </x:c>
      <x:c r="N721" s="32" t="n">
        <x:f>MIN(J721,L721,M721)</x:f>
        <x:v>120</x:v>
      </x:c>
      <x:c r="O721" s="10" t="n">
        <x:f>AE720*N721</x:f>
        <x:v>840</x:v>
      </x:c>
      <x:c r="P721" s="9" t="n">
        <x:f>MIN(1,(AB720/(AE720*IF(v01_GroupInCrowding=1,N721,MIN(J721,L721))))^v01_CrowdingExp)</x:f>
        <x:v>0.005139611435584525</x:v>
      </x:c>
      <x:c r="Q721" s="9" t="n">
        <x:f>IF(D721=1,INDEX(v01_WinterMult,G721),1)</x:f>
        <x:v>1</x:v>
      </x:c>
      <x:c r="R721" s="9" t="n">
        <x:f>H721*Z720*v01_WomenShare*v01_BaseFertility*INDEX(v01_FertMult,G721)*Arch_Fertility*(1-P721)</x:f>
        <x:v>5.721039488030659</x:v>
      </x:c>
      <x:c r="S721" s="9" t="n">
        <x:f>H721*Y720*INDEX(v01_MortChild,G721)/4*Q721</x:f>
        <x:v>1.1515519927187032</x:v>
      </x:c>
      <x:c r="T721" s="9" t="n">
        <x:f>H721*Z720*INDEX(v01_MortAdult,G721)*Arch_AdultMort/4*Q721</x:f>
        <x:v>0.4054906951802358</x:v>
      </x:c>
      <x:c r="U721" s="9" t="n">
        <x:f>H721*AA720*INDEX(v01_MortElder,G721)/4*Q721</x:f>
        <x:v>0.7793850939296781</x:v>
      </x:c>
      <x:c r="V721" s="9" t="n">
        <x:f>H721*MAX(0,AB720-O721)*v01_OvercapLoss</x:f>
        <x:v>0</x:v>
      </x:c>
      <x:c r="W721" s="9" t="n">
        <x:f>H721*Y720/(v01_ChildYears*4)</x:f>
        <x:v>2.7417904588540556</x:v>
      </x:c>
      <x:c r="X721" s="9" t="n">
        <x:f>H721*Z720/(v01_AdultYears*4)</x:f>
        <x:v>1.1891222732558235</x:v>
      </x:c>
      <x:c r="Y721" s="32" t="n">
        <x:f>Y720+R721-S721-W721-Y720*V721/AB720</x:f>
        <x:v>155.367962732285</x:v>
      </x:c>
      <x:c r="Z721" s="32" t="n">
        <x:f>Z720+W721-X721-T721-Z720*V721/AB720</x:f>
        <x:v>148.5983393741401</x:v>
      </x:c>
      <x:c r="AA721" s="32" t="n">
        <x:f>AA720+X721-U721-AA720*V721/AB720</x:f>
        <x:v>48.37189680576788</x:v>
      </x:c>
      <x:c r="AB721" s="10" t="n">
        <x:f>Y721+Z721+AA721</x:f>
        <x:v>352.33819891219304</x:v>
      </x:c>
      <x:c r="AC721" s="8" t="n">
        <x:f>IF(AND(v01_WinterTrigger=1,D721=1,AB720/AE720&gt;=K721),1,0)</x:f>
        <x:v>0</x:v>
      </x:c>
      <x:c r="AD721" s="8" t="n">
        <x:f>H721*IF(AND(OR(AB720/AE720&gt;=v01_FissionTrigger*N721,AC721=1),AB720/AE720*v01_DaughterShare&gt;=v01_MinDaughter),MAX(1,ROUND(AE720*v01_FissionRate,0)),0)</x:f>
        <x:v>0</x:v>
      </x:c>
      <x:c r="AE721" s="8" t="n">
        <x:f>IF(H721=1,MAX(1,MIN(INDEX(v01_Smax,G721),AE720+AD721)),AE720)</x:f>
        <x:v>7</x:v>
      </x:c>
      <x:c r="AF721" s="8" t="n">
        <x:f>MAX(0,AE721-AE720)</x:f>
        <x:v>0</x:v>
      </x:c>
      <x:c r="AG721" s="9" t="str">
        <x:f>IF(AF721&gt;0,B721,"")</x:f>
      </x:c>
      <x:c r="AH721" s="9" t="n">
        <x:f>IF(F721&gt;=1,1,(1+v01_LowTiesShare*(AE721-1))/AE721)</x:f>
        <x:v>1</x:v>
      </x:c>
      <x:c r="AI721" s="32" t="n">
        <x:f>(Z721+v01_ElderCommons*INDEX(LM_Elder,G721)*AA721)*AH721</x:f>
        <x:v>293.71402979144375</x:v>
      </x:c>
      <x:c r="AJ721" s="32" t="n">
        <x:f>H721*v01_CommonsCoef*AI721^v01_CommonsExp*INDEX(LM_Commons,G721)</x:f>
        <x:v>82.65705423305589</x:v>
      </x:c>
      <x:c r="AK721" s="32" t="n">
        <x:f>H721*v01_RoleScale*Arch_Roles*(AE721*(INDEX(v01_ElderRolePerSett,G721)*v01_OutElder*INDEX(LM_Elder,G721)+INDEX(v01_ShamanPerSett,G721)*v01_OutShaman)+Z721*(INDEX(v01_PriestShare,G721)*v01_OutPriest+INDEX(v01_ScribeShare,G721)*v01_OutScribe*INDEX(LM_Scribe,G721)+INDEX(v01_ScholarShare,G721)*v01_OutScholar*INDEX(LM_Scholar,G721)+INDEX(v01_ResearcherShare,G721)*v01_OutResearcher*INDEX(LM_Researcher,G721)))</x:f>
        <x:v>22.040188375618982</x:v>
      </x:c>
      <x:c r="AL721" s="32" t="n">
        <x:f>H721*v01_RoleScale*Arch_Roles*AE721*INDEX(v01_MonasteryPerSett,G721)*v01_OutMonastery*INDEX(LM_Monastery,G721)</x:f>
        <x:v>0</x:v>
      </x:c>
      <x:c r="AM721" s="32" t="n">
        <x:f>(AJ721+AK721+AL721)/4*INDEX(LM_All,G721)*INDEX(v01_Boon,G721)*Arch_Insight</x:f>
        <x:v>28.186869757158117</x:v>
      </x:c>
      <x:c r="AN721" s="32" t="n">
        <x:f>H721*(v01_KHPerAdult*Z721+v01_KHOfCommons*AJ721/4*INDEX(LM_All,G721))*v01_KHUsable*Arch_KH</x:f>
        <x:v>5.200941878094903</x:v>
      </x:c>
      <x:c r="AO721" s="32" t="n">
        <x:f>MIN(AP720+AN721,AM721*v01_KHMaxRatio)</x:f>
        <x:v>5.200941878094903</x:v>
      </x:c>
      <x:c r="AP721" s="32" t="n">
        <x:f>AP720+AN721-AO721</x:f>
        <x:v>0</x:v>
      </x:c>
      <x:c r="AQ721" s="32" t="n">
        <x:f>AM721+AO721</x:f>
        <x:v>33.38781163525302</x:v>
      </x:c>
      <x:c r="AR721" s="10" t="n">
        <x:f>IF(H721=1,INDEX(v01_Req,G721),0)</x:f>
        <x:v>9805.661999999998</x:v>
      </x:c>
      <x:c r="AS721" s="32" t="n">
        <x:f>IF(H721=1,IF(E721=1,AS720-AR720,AS720)+AQ721,0)</x:f>
        <x:v>302.17074437543056</x:v>
      </x:c>
      <x:c r="AT721" s="11" t="n">
        <x:f>IF(AR721&gt;0,MIN(1,AS721/AR721),1)</x:f>
        <x:v>0.03081594535641047</x:v>
      </x:c>
      <x:c r="AU721" s="10" t="n">
        <x:f>AB721/INDEX(v01_RepScale,G721)</x:f>
        <x:v>70.46763978243861</x:v>
      </x:c>
      <x:c r="AV721" s="32" t="n">
        <x:f>AM721*60/v01_SeasonSeconds</x:f>
        <x:v>112.74747902863247</x:v>
      </x:c>
    </x:row>
    <x:row r="722">
      <x:c r="A722" s="8" t="n">
        <x:f>A721+1</x:f>
        <x:v>719</x:v>
      </x:c>
      <x:c r="B722" s="9" t="n">
        <x:f>A722*v01_SeasonSeconds/60</x:f>
        <x:v>179.75</x:v>
      </x:c>
      <x:c r="C722" s="9" t="n">
        <x:f>A722/4</x:f>
        <x:v>179.75</x:v>
      </x:c>
      <x:c r="D722" s="8" t="n">
        <x:f>IF(MOD(A722,4)=0,1,0)</x:f>
        <x:v>0</x:v>
      </x:c>
      <x:c r="E722" s="8" t="n">
        <x:f>IF(AND(F721&lt;=9,AS721&gt;=AR721),1,0)</x:f>
        <x:v>0</x:v>
      </x:c>
      <x:c r="F722" s="8" t="n">
        <x:f>MIN(10,F721+E722)</x:f>
        <x:v>3</x:v>
      </x:c>
      <x:c r="G722" s="8" t="n">
        <x:f>MIN(F722,9)+1</x:f>
        <x:v>4</x:v>
      </x:c>
      <x:c r="H722" s="8" t="n">
        <x:f>IF(F722&lt;=9,1,0)</x:f>
        <x:v>1</x:v>
      </x:c>
      <x:c r="I722" s="9" t="n">
        <x:f>MIN(10,F721+IF(AR721&gt;0,MIN(1,AS721/AR721),1))</x:f>
        <x:v>3.0308159453564105</x:v>
      </x:c>
      <x:c r="J722" s="32" t="n">
        <x:f>INDEX(v01_FoodCap,G722)*Arch_FoodCap*EXP(v01_CapsByProject*SUMPRODUCT((Cap_Point&lt;=I722)*(Cap_Kind="Food")*Cap_Ln))</x:f>
        <x:v>120</x:v>
      </x:c>
      <x:c r="K722" s="32" t="n">
        <x:f>J722*MIN(1,v01_LeanBase*EXP(v01_CapsByProject*SUMPRODUCT((Cap_Point&lt;=I722)*(Cap_Kind="Lean")*Cap_Ln)))</x:f>
        <x:v>120</x:v>
      </x:c>
      <x:c r="L722" s="10" t="n">
        <x:f>INDEX(v01_HousingCap,G722)*EXP(v01_CapsByProject*SUMPRODUCT((Cap_Point&lt;=I722)*(Cap_Kind="Housing")*Cap_Ln))</x:f>
        <x:v>200</x:v>
      </x:c>
      <x:c r="M722" s="10" t="n">
        <x:f>INDEX(v01_GroupCap,G722)*v01_CohesionFactor*EXP(v01_CapsByProject*SUMPRODUCT((Cap_Point&lt;=I722)*(Cap_Kind="Group")*Cap_Ln))</x:f>
        <x:v>5000</x:v>
      </x:c>
      <x:c r="N722" s="32" t="n">
        <x:f>MIN(J722,L722,M722)</x:f>
        <x:v>120</x:v>
      </x:c>
      <x:c r="O722" s="10" t="n">
        <x:f>AE721*N722</x:f>
        <x:v>840</x:v>
      </x:c>
      <x:c r="P722" s="9" t="n">
        <x:f>MIN(1,(AB721/(AE721*IF(v01_GroupInCrowding=1,N722,MIN(J722,L722))))^v01_CrowdingExp)</x:f>
        <x:v>0.005446063031752181</x:v>
      </x:c>
      <x:c r="Q722" s="9" t="n">
        <x:f>IF(D722=1,INDEX(v01_WinterMult,G722),1)</x:f>
        <x:v>1</x:v>
      </x:c>
      <x:c r="R722" s="9" t="n">
        <x:f>H722*Z721*v01_WomenShare*v01_BaseFertility*INDEX(v01_FertMult,G722)*Arch_Fertility*(1-P722)</x:f>
        <x:v>5.763773474608299</x:v>
      </x:c>
      <x:c r="S722" s="9" t="n">
        <x:f>H722*Y721*INDEX(v01_MortChild,G722)/4*Q722</x:f>
        <x:v>1.1652597204921376</x:v>
      </x:c>
      <x:c r="T722" s="9" t="n">
        <x:f>H722*Z721*INDEX(v01_MortAdult,G722)*Arch_AdultMort/4*Q722</x:f>
        <x:v>0.40864543327888525</x:v>
      </x:c>
      <x:c r="U722" s="9" t="n">
        <x:f>H722*AA721*INDEX(v01_MortElder,G722)/4*Q722</x:f>
        <x:v>0.7860433230937282</x:v>
      </x:c>
      <x:c r="V722" s="9" t="n">
        <x:f>H722*MAX(0,AB721-O722)*v01_OvercapLoss</x:f>
        <x:v>0</x:v>
      </x:c>
      <x:c r="W722" s="9" t="n">
        <x:f>H722*Y721/(v01_ChildYears*4)</x:f>
        <x:v>2.7744279059336607</x:v>
      </x:c>
      <x:c r="X722" s="9" t="n">
        <x:f>H722*Z721/(v01_AdultYears*4)</x:f>
        <x:v>1.1983737046301621</x:v>
      </x:c>
      <x:c r="Y722" s="32" t="n">
        <x:f>Y721+R722-S722-W722-Y721*V722/AB721</x:f>
        <x:v>157.19204858046749</x:v>
      </x:c>
      <x:c r="Z722" s="32" t="n">
        <x:f>Z721+W722-X722-T722-Z721*V722/AB721</x:f>
        <x:v>149.7657481421647</x:v>
      </x:c>
      <x:c r="AA722" s="32" t="n">
        <x:f>AA721+X722-U722-AA721*V722/AB721</x:f>
        <x:v>48.78422718730432</x:v>
      </x:c>
      <x:c r="AB722" s="10" t="n">
        <x:f>Y722+Z722+AA722</x:f>
        <x:v>355.74202390993656</x:v>
      </x:c>
      <x:c r="AC722" s="8" t="n">
        <x:f>IF(AND(v01_WinterTrigger=1,D722=1,AB721/AE721&gt;=K722),1,0)</x:f>
        <x:v>0</x:v>
      </x:c>
      <x:c r="AD722" s="8" t="n">
        <x:f>H722*IF(AND(OR(AB721/AE721&gt;=v01_FissionTrigger*N722,AC722=1),AB721/AE721*v01_DaughterShare&gt;=v01_MinDaughter),MAX(1,ROUND(AE721*v01_FissionRate,0)),0)</x:f>
        <x:v>0</x:v>
      </x:c>
      <x:c r="AE722" s="8" t="n">
        <x:f>IF(H722=1,MAX(1,MIN(INDEX(v01_Smax,G722),AE721+AD722)),AE721)</x:f>
        <x:v>7</x:v>
      </x:c>
      <x:c r="AF722" s="8" t="n">
        <x:f>MAX(0,AE722-AE721)</x:f>
        <x:v>0</x:v>
      </x:c>
      <x:c r="AG722" s="9" t="str">
        <x:f>IF(AF722&gt;0,B722,"")</x:f>
      </x:c>
      <x:c r="AH722" s="9" t="n">
        <x:f>IF(F722&gt;=1,1,(1+v01_LowTiesShare*(AE722-1))/AE722)</x:f>
        <x:v>1</x:v>
      </x:c>
      <x:c r="AI722" s="32" t="n">
        <x:f>(Z722+v01_ElderCommons*INDEX(LM_Elder,G722)*AA722)*AH722</x:f>
        <x:v>296.1184297040777</x:v>
      </x:c>
      <x:c r="AJ722" s="32" t="n">
        <x:f>H722*v01_CommonsCoef*AI722^v01_CommonsExp*INDEX(LM_Commons,G722)</x:f>
        <x:v>83.23185186635129</x:v>
      </x:c>
      <x:c r="AK722" s="32" t="n">
        <x:f>H722*v01_RoleScale*Arch_Roles*(AE722*(INDEX(v01_ElderRolePerSett,G722)*v01_OutElder*INDEX(LM_Elder,G722)+INDEX(v01_ShamanPerSett,G722)*v01_OutShaman)+Z722*(INDEX(v01_PriestShare,G722)*v01_OutPriest+INDEX(v01_ScribeShare,G722)*v01_OutScribe*INDEX(LM_Scribe,G722)+INDEX(v01_ScholarShare,G722)*v01_OutScholar*INDEX(LM_Scholar,G722)+INDEX(v01_ResearcherShare,G722)*v01_OutResearcher*INDEX(LM_Researcher,G722)))</x:f>
        <x:v>22.04836023699515</x:v>
      </x:c>
      <x:c r="AL722" s="32" t="n">
        <x:f>H722*v01_RoleScale*Arch_Roles*AE722*INDEX(v01_MonasteryPerSett,G722)*v01_OutMonastery*INDEX(LM_Monastery,G722)</x:f>
        <x:v>0</x:v>
      </x:c>
      <x:c r="AM722" s="32" t="n">
        <x:f>(AJ722+AK722+AL722)/4*INDEX(LM_All,G722)*INDEX(v01_Boon,G722)*Arch_Insight</x:f>
        <x:v>28.343818353026318</x:v>
      </x:c>
      <x:c r="AN722" s="32" t="n">
        <x:f>H722*(v01_KHPerAdult*Z722+v01_KHOfCommons*AJ722/4*INDEX(LM_All,G722))*v01_KHUsable*Arch_KH</x:f>
        <x:v>5.241801184975765</x:v>
      </x:c>
      <x:c r="AO722" s="32" t="n">
        <x:f>MIN(AP721+AN722,AM722*v01_KHMaxRatio)</x:f>
        <x:v>5.241801184975765</x:v>
      </x:c>
      <x:c r="AP722" s="32" t="n">
        <x:f>AP721+AN722-AO722</x:f>
        <x:v>0</x:v>
      </x:c>
      <x:c r="AQ722" s="32" t="n">
        <x:f>AM722+AO722</x:f>
        <x:v>33.585619538002085</x:v>
      </x:c>
      <x:c r="AR722" s="10" t="n">
        <x:f>IF(H722=1,INDEX(v01_Req,G722),0)</x:f>
        <x:v>9805.661999999998</x:v>
      </x:c>
      <x:c r="AS722" s="32" t="n">
        <x:f>IF(H722=1,IF(E722=1,AS721-AR721,AS721)+AQ722,0)</x:f>
        <x:v>335.75636391343266</x:v>
      </x:c>
      <x:c r="AT722" s="11" t="n">
        <x:f>IF(AR722&gt;0,MIN(1,AS722/AR722),1)</x:f>
        <x:v>0.03424107050736939</x:v>
      </x:c>
      <x:c r="AU722" s="10" t="n">
        <x:f>AB722/INDEX(v01_RepScale,G722)</x:f>
        <x:v>71.14840478198731</x:v>
      </x:c>
      <x:c r="AV722" s="32" t="n">
        <x:f>AM722*60/v01_SeasonSeconds</x:f>
        <x:v>113.37527341210527</x:v>
      </x:c>
    </x:row>
    <x:row r="723">
      <x:c r="A723" s="8" t="n">
        <x:f>A722+1</x:f>
        <x:v>720</x:v>
      </x:c>
      <x:c r="B723" s="9" t="n">
        <x:f>A723*v01_SeasonSeconds/60</x:f>
        <x:v>180</x:v>
      </x:c>
      <x:c r="C723" s="9" t="n">
        <x:f>A723/4</x:f>
        <x:v>180</x:v>
      </x:c>
      <x:c r="D723" s="8" t="n">
        <x:f>IF(MOD(A723,4)=0,1,0)</x:f>
        <x:v>1</x:v>
      </x:c>
      <x:c r="E723" s="8" t="n">
        <x:f>IF(AND(F722&lt;=9,AS722&gt;=AR722),1,0)</x:f>
        <x:v>0</x:v>
      </x:c>
      <x:c r="F723" s="8" t="n">
        <x:f>MIN(10,F722+E723)</x:f>
        <x:v>3</x:v>
      </x:c>
      <x:c r="G723" s="8" t="n">
        <x:f>MIN(F723,9)+1</x:f>
        <x:v>4</x:v>
      </x:c>
      <x:c r="H723" s="8" t="n">
        <x:f>IF(F723&lt;=9,1,0)</x:f>
        <x:v>1</x:v>
      </x:c>
      <x:c r="I723" s="9" t="n">
        <x:f>MIN(10,F722+IF(AR722&gt;0,MIN(1,AS722/AR722),1))</x:f>
        <x:v>3.0342410705073695</x:v>
      </x:c>
      <x:c r="J723" s="32" t="n">
        <x:f>INDEX(v01_FoodCap,G723)*Arch_FoodCap*EXP(v01_CapsByProject*SUMPRODUCT((Cap_Point&lt;=I723)*(Cap_Kind="Food")*Cap_Ln))</x:f>
        <x:v>120</x:v>
      </x:c>
      <x:c r="K723" s="32" t="n">
        <x:f>J723*MIN(1,v01_LeanBase*EXP(v01_CapsByProject*SUMPRODUCT((Cap_Point&lt;=I723)*(Cap_Kind="Lean")*Cap_Ln)))</x:f>
        <x:v>120</x:v>
      </x:c>
      <x:c r="L723" s="10" t="n">
        <x:f>INDEX(v01_HousingCap,G723)*EXP(v01_CapsByProject*SUMPRODUCT((Cap_Point&lt;=I723)*(Cap_Kind="Housing")*Cap_Ln))</x:f>
        <x:v>200</x:v>
      </x:c>
      <x:c r="M723" s="10" t="n">
        <x:f>INDEX(v01_GroupCap,G723)*v01_CohesionFactor*EXP(v01_CapsByProject*SUMPRODUCT((Cap_Point&lt;=I723)*(Cap_Kind="Group")*Cap_Ln))</x:f>
        <x:v>5000</x:v>
      </x:c>
      <x:c r="N723" s="32" t="n">
        <x:f>MIN(J723,L723,M723)</x:f>
        <x:v>120</x:v>
      </x:c>
      <x:c r="O723" s="10" t="n">
        <x:f>AE722*N723</x:f>
        <x:v>840</x:v>
      </x:c>
      <x:c r="P723" s="9" t="n">
        <x:f>MIN(1,(AB722/(AE722*IF(v01_GroupInCrowding=1,N723,MIN(J723,L723))))^v01_CrowdingExp)</x:f>
        <x:v>0.00576946194256801</x:v>
      </x:c>
      <x:c r="Q723" s="9" t="n">
        <x:f>IF(D723=1,INDEX(v01_WinterMult,G723),1)</x:f>
        <x:v>1.15</x:v>
      </x:c>
      <x:c r="R723" s="9" t="n">
        <x:f>H723*Z722*v01_WomenShare*v01_BaseFertility*INDEX(v01_FertMult,G723)*Arch_Fertility*(1-P723)</x:f>
        <x:v>5.807165533960372</x:v>
      </x:c>
      <x:c r="S723" s="9" t="n">
        <x:f>H723*Y722*INDEX(v01_MortChild,G723)/4*Q723</x:f>
        <x:v>1.355781419006532</x:v>
      </x:c>
      <x:c r="T723" s="9" t="n">
        <x:f>H723*Z722*INDEX(v01_MortAdult,G723)*Arch_AdultMort/4*Q723</x:f>
        <x:v>0.4736341784995959</x:v>
      </x:c>
      <x:c r="U723" s="9" t="n">
        <x:f>H723*AA722*INDEX(v01_MortElder,G723)/4*Q723</x:f>
        <x:v>0.9116552455627494</x:v>
      </x:c>
      <x:c r="V723" s="9" t="n">
        <x:f>H723*MAX(0,AB722-O723)*v01_OvercapLoss</x:f>
        <x:v>0</x:v>
      </x:c>
      <x:c r="W723" s="9" t="n">
        <x:f>H723*Y722/(v01_ChildYears*4)</x:f>
        <x:v>2.8070008675083478</x:v>
      </x:c>
      <x:c r="X723" s="9" t="n">
        <x:f>H723*Z722/(v01_AdultYears*4)</x:f>
        <x:v>1.2077882914690703</x:v>
      </x:c>
      <x:c r="Y723" s="32" t="n">
        <x:f>Y722+R723-S723-W723-Y722*V723/AB722</x:f>
        <x:v>158.83643182791297</x:v>
      </x:c>
      <x:c r="Z723" s="32" t="n">
        <x:f>Z722+W723-X723-T723-Z722*V723/AB722</x:f>
        <x:v>150.8913265397044</x:v>
      </x:c>
      <x:c r="AA723" s="32" t="n">
        <x:f>AA722+X723-U723-AA722*V723/AB722</x:f>
        <x:v>49.08036023321064</x:v>
      </x:c>
      <x:c r="AB723" s="10" t="n">
        <x:f>Y723+Z723+AA723</x:f>
        <x:v>358.80811860082804</x:v>
      </x:c>
      <x:c r="AC723" s="8" t="n">
        <x:f>IF(AND(v01_WinterTrigger=1,D723=1,AB722/AE722&gt;=K723),1,0)</x:f>
        <x:v>0</x:v>
      </x:c>
      <x:c r="AD723" s="8" t="n">
        <x:f>H723*IF(AND(OR(AB722/AE722&gt;=v01_FissionTrigger*N723,AC723=1),AB722/AE722*v01_DaughterShare&gt;=v01_MinDaughter),MAX(1,ROUND(AE722*v01_FissionRate,0)),0)</x:f>
        <x:v>0</x:v>
      </x:c>
      <x:c r="AE723" s="8" t="n">
        <x:f>IF(H723=1,MAX(1,MIN(INDEX(v01_Smax,G723),AE722+AD723)),AE722)</x:f>
        <x:v>7</x:v>
      </x:c>
      <x:c r="AF723" s="8" t="n">
        <x:f>MAX(0,AE723-AE722)</x:f>
        <x:v>0</x:v>
      </x:c>
      <x:c r="AG723" s="9" t="str">
        <x:f>IF(AF723&gt;0,B723,"")</x:f>
      </x:c>
      <x:c r="AH723" s="9" t="n">
        <x:f>IF(F723&gt;=1,1,(1+v01_LowTiesShare*(AE723-1))/AE723)</x:f>
        <x:v>1</x:v>
      </x:c>
      <x:c r="AI723" s="32" t="n">
        <x:f>(Z723+v01_ElderCommons*INDEX(LM_Elder,G723)*AA723)*AH723</x:f>
        <x:v>298.1324072393363</x:v>
      </x:c>
      <x:c r="AJ723" s="32" t="n">
        <x:f>H723*v01_CommonsCoef*AI723^v01_CommonsExp*INDEX(LM_Commons,G723)</x:f>
        <x:v>83.71277609340251</x:v>
      </x:c>
      <x:c r="AK723" s="32" t="n">
        <x:f>H723*v01_RoleScale*Arch_Roles*(AE723*(INDEX(v01_ElderRolePerSett,G723)*v01_OutElder*INDEX(LM_Elder,G723)+INDEX(v01_ShamanPerSett,G723)*v01_OutShaman)+Z723*(INDEX(v01_PriestShare,G723)*v01_OutPriest+INDEX(v01_ScribeShare,G723)*v01_OutScribe*INDEX(LM_Scribe,G723)+INDEX(v01_ScholarShare,G723)*v01_OutScholar*INDEX(LM_Scholar,G723)+INDEX(v01_ResearcherShare,G723)*v01_OutResearcher*INDEX(LM_Researcher,G723)))</x:f>
        <x:v>22.05623928577793</x:v>
      </x:c>
      <x:c r="AL723" s="32" t="n">
        <x:f>H723*v01_RoleScale*Arch_Roles*AE723*INDEX(v01_MonasteryPerSett,G723)*v01_OutMonastery*INDEX(LM_Monastery,G723)</x:f>
        <x:v>0</x:v>
      </x:c>
      <x:c r="AM723" s="32" t="n">
        <x:f>(AJ723+AK723+AL723)/4*INDEX(LM_All,G723)*INDEX(v01_Boon,G723)*Arch_Insight</x:f>
        <x:v>28.47541526933005</x:v>
      </x:c>
      <x:c r="AN723" s="32" t="n">
        <x:f>H723*(v01_KHPerAdult*Z723+v01_KHOfCommons*AJ723/4*INDEX(LM_All,G723))*v01_KHUsable*Arch_KH</x:f>
        <x:v>5.281196428889654</x:v>
      </x:c>
      <x:c r="AO723" s="32" t="n">
        <x:f>MIN(AP722+AN723,AM723*v01_KHMaxRatio)</x:f>
        <x:v>5.281196428889654</x:v>
      </x:c>
      <x:c r="AP723" s="32" t="n">
        <x:f>AP722+AN723-AO723</x:f>
        <x:v>0</x:v>
      </x:c>
      <x:c r="AQ723" s="32" t="n">
        <x:f>AM723+AO723</x:f>
        <x:v>33.7566116982197</x:v>
      </x:c>
      <x:c r="AR723" s="10" t="n">
        <x:f>IF(H723=1,INDEX(v01_Req,G723),0)</x:f>
        <x:v>9805.661999999998</x:v>
      </x:c>
      <x:c r="AS723" s="32" t="n">
        <x:f>IF(H723=1,IF(E723=1,AS722-AR722,AS722)+AQ723,0)</x:f>
        <x:v>369.51297561165234</x:v>
      </x:c>
      <x:c r="AT723" s="11" t="n">
        <x:f>IF(AR723&gt;0,MIN(1,AS723/AR723),1)</x:f>
        <x:v>0.0376836337629884</x:v>
      </x:c>
      <x:c r="AU723" s="10" t="n">
        <x:f>AB723/INDEX(v01_RepScale,G723)</x:f>
        <x:v>71.7616237201656</x:v>
      </x:c>
      <x:c r="AV723" s="32" t="n">
        <x:f>AM723*60/v01_SeasonSeconds</x:f>
        <x:v>113.9016610773202</x:v>
      </x:c>
    </x:row>
    <x:row r="724">
      <x:c r="A724" s="8" t="n">
        <x:f>A723+1</x:f>
        <x:v>721</x:v>
      </x:c>
      <x:c r="B724" s="9" t="n">
        <x:f>A724*v01_SeasonSeconds/60</x:f>
        <x:v>180.25</x:v>
      </x:c>
      <x:c r="C724" s="9" t="n">
        <x:f>A724/4</x:f>
        <x:v>180.25</x:v>
      </x:c>
      <x:c r="D724" s="8" t="n">
        <x:f>IF(MOD(A724,4)=0,1,0)</x:f>
        <x:v>0</x:v>
      </x:c>
      <x:c r="E724" s="8" t="n">
        <x:f>IF(AND(F723&lt;=9,AS723&gt;=AR723),1,0)</x:f>
        <x:v>0</x:v>
      </x:c>
      <x:c r="F724" s="8" t="n">
        <x:f>MIN(10,F723+E724)</x:f>
        <x:v>3</x:v>
      </x:c>
      <x:c r="G724" s="8" t="n">
        <x:f>MIN(F724,9)+1</x:f>
        <x:v>4</x:v>
      </x:c>
      <x:c r="H724" s="8" t="n">
        <x:f>IF(F724&lt;=9,1,0)</x:f>
        <x:v>1</x:v>
      </x:c>
      <x:c r="I724" s="9" t="n">
        <x:f>MIN(10,F723+IF(AR723&gt;0,MIN(1,AS723/AR723),1))</x:f>
        <x:v>3.0376836337629882</x:v>
      </x:c>
      <x:c r="J724" s="32" t="n">
        <x:f>INDEX(v01_FoodCap,G724)*Arch_FoodCap*EXP(v01_CapsByProject*SUMPRODUCT((Cap_Point&lt;=I724)*(Cap_Kind="Food")*Cap_Ln))</x:f>
        <x:v>120</x:v>
      </x:c>
      <x:c r="K724" s="32" t="n">
        <x:f>J724*MIN(1,v01_LeanBase*EXP(v01_CapsByProject*SUMPRODUCT((Cap_Point&lt;=I724)*(Cap_Kind="Lean")*Cap_Ln)))</x:f>
        <x:v>120</x:v>
      </x:c>
      <x:c r="L724" s="10" t="n">
        <x:f>INDEX(v01_HousingCap,G724)*EXP(v01_CapsByProject*SUMPRODUCT((Cap_Point&lt;=I724)*(Cap_Kind="Housing")*Cap_Ln))</x:f>
        <x:v>200</x:v>
      </x:c>
      <x:c r="M724" s="10" t="n">
        <x:f>INDEX(v01_GroupCap,G724)*v01_CohesionFactor*EXP(v01_CapsByProject*SUMPRODUCT((Cap_Point&lt;=I724)*(Cap_Kind="Group")*Cap_Ln))</x:f>
        <x:v>5000</x:v>
      </x:c>
      <x:c r="N724" s="32" t="n">
        <x:f>MIN(J724,L724,M724)</x:f>
        <x:v>120</x:v>
      </x:c>
      <x:c r="O724" s="10" t="n">
        <x:f>AE723*N724</x:f>
        <x:v>840</x:v>
      </x:c>
      <x:c r="P724" s="9" t="n">
        <x:f>MIN(1,(AB723/(AE723*IF(v01_GroupInCrowding=1,N724,MIN(J724,L724))))^v01_CrowdingExp)</x:f>
        <x:v>0.006074322558992555</x:v>
      </x:c>
      <x:c r="Q724" s="9" t="n">
        <x:f>IF(D724=1,INDEX(v01_WinterMult,G724),1)</x:f>
        <x:v>1</x:v>
      </x:c>
      <x:c r="R724" s="9" t="n">
        <x:f>H724*Z723*v01_WomenShare*v01_BaseFertility*INDEX(v01_FertMult,G724)*Arch_Fertility*(1-P724)</x:f>
        <x:v>5.84901579408697</x:v>
      </x:c>
      <x:c r="S724" s="9" t="n">
        <x:f>H724*Y723*INDEX(v01_MortChild,G724)/4*Q724</x:f>
        <x:v>1.1912732387093472</x:v>
      </x:c>
      <x:c r="T724" s="9" t="n">
        <x:f>H724*Z723*INDEX(v01_MortAdult,G724)*Arch_AdultMort/4*Q724</x:f>
        <x:v>0.4149511479841871</x:v>
      </x:c>
      <x:c r="U724" s="9" t="n">
        <x:f>H724*AA723*INDEX(v01_MortElder,G724)/4*Q724</x:f>
        <x:v>0.797555853789673</x:v>
      </x:c>
      <x:c r="V724" s="9" t="n">
        <x:f>H724*MAX(0,AB723-O724)*v01_OvercapLoss</x:f>
        <x:v>0</x:v>
      </x:c>
      <x:c r="W724" s="9" t="n">
        <x:f>H724*Y723/(v01_ChildYears*4)</x:f>
        <x:v>2.8363648540698745</x:v>
      </x:c>
      <x:c r="X724" s="9" t="n">
        <x:f>H724*Z723/(v01_AdultYears*4)</x:f>
        <x:v>1.2168655366105194</x:v>
      </x:c>
      <x:c r="Y724" s="32" t="n">
        <x:f>Y723+R724-S724-W724-Y723*V724/AB723</x:f>
        <x:v>160.6578095292207</x:v>
      </x:c>
      <x:c r="Z724" s="32" t="n">
        <x:f>Z723+W724-X724-T724-Z723*V724/AB723</x:f>
        <x:v>152.09587470917955</x:v>
      </x:c>
      <x:c r="AA724" s="32" t="n">
        <x:f>AA723+X724-U724-AA723*V724/AB723</x:f>
        <x:v>49.499669916031486</x:v>
      </x:c>
      <x:c r="AB724" s="10" t="n">
        <x:f>Y724+Z724+AA724</x:f>
        <x:v>362.2533541544318</x:v>
      </x:c>
      <x:c r="AC724" s="8" t="n">
        <x:f>IF(AND(v01_WinterTrigger=1,D724=1,AB723/AE723&gt;=K724),1,0)</x:f>
        <x:v>0</x:v>
      </x:c>
      <x:c r="AD724" s="8" t="n">
        <x:f>H724*IF(AND(OR(AB723/AE723&gt;=v01_FissionTrigger*N724,AC724=1),AB723/AE723*v01_DaughterShare&gt;=v01_MinDaughter),MAX(1,ROUND(AE723*v01_FissionRate,0)),0)</x:f>
        <x:v>0</x:v>
      </x:c>
      <x:c r="AE724" s="8" t="n">
        <x:f>IF(H724=1,MAX(1,MIN(INDEX(v01_Smax,G724),AE723+AD724)),AE723)</x:f>
        <x:v>7</x:v>
      </x:c>
      <x:c r="AF724" s="8" t="n">
        <x:f>MAX(0,AE724-AE723)</x:f>
        <x:v>0</x:v>
      </x:c>
      <x:c r="AG724" s="9" t="str">
        <x:f>IF(AF724&gt;0,B724,"")</x:f>
      </x:c>
      <x:c r="AH724" s="9" t="n">
        <x:f>IF(F724&gt;=1,1,(1+v01_LowTiesShare*(AE724-1))/AE724)</x:f>
        <x:v>1</x:v>
      </x:c>
      <x:c r="AI724" s="32" t="n">
        <x:f>(Z724+v01_ElderCommons*INDEX(LM_Elder,G724)*AA724)*AH724</x:f>
        <x:v>300.594884457274</x:v>
      </x:c>
      <x:c r="AJ724" s="32" t="n">
        <x:f>H724*v01_CommonsCoef*AI724^v01_CommonsExp*INDEX(LM_Commons,G724)</x:f>
        <x:v>84.30013753733043</x:v>
      </x:c>
      <x:c r="AK724" s="32" t="n">
        <x:f>H724*v01_RoleScale*Arch_Roles*(AE724*(INDEX(v01_ElderRolePerSett,G724)*v01_OutElder*INDEX(LM_Elder,G724)+INDEX(v01_ShamanPerSett,G724)*v01_OutShaman)+Z724*(INDEX(v01_PriestShare,G724)*v01_OutPriest+INDEX(v01_ScribeShare,G724)*v01_OutScribe*INDEX(LM_Scribe,G724)+INDEX(v01_ScholarShare,G724)*v01_OutScholar*INDEX(LM_Scholar,G724)+INDEX(v01_ResearcherShare,G724)*v01_OutResearcher*INDEX(LM_Researcher,G724)))</x:f>
        <x:v>22.064671122964256</x:v>
      </x:c>
      <x:c r="AL724" s="32" t="n">
        <x:f>H724*v01_RoleScale*Arch_Roles*AE724*INDEX(v01_MonasteryPerSett,G724)*v01_OutMonastery*INDEX(LM_Monastery,G724)</x:f>
        <x:v>0</x:v>
      </x:c>
      <x:c r="AM724" s="32" t="n">
        <x:f>(AJ724+AK724+AL724)/4*INDEX(LM_All,G724)*INDEX(v01_Boon,G724)*Arch_Insight</x:f>
        <x:v>28.635816319047528</x:v>
      </x:c>
      <x:c r="AN724" s="32" t="n">
        <x:f>H724*(v01_KHPerAdult*Z724+v01_KHOfCommons*AJ724/4*INDEX(LM_All,G724))*v01_KHUsable*Arch_KH</x:f>
        <x:v>5.323355614821284</x:v>
      </x:c>
      <x:c r="AO724" s="32" t="n">
        <x:f>MIN(AP723+AN724,AM724*v01_KHMaxRatio)</x:f>
        <x:v>5.323355614821284</x:v>
      </x:c>
      <x:c r="AP724" s="32" t="n">
        <x:f>AP723+AN724-AO724</x:f>
        <x:v>0</x:v>
      </x:c>
      <x:c r="AQ724" s="32" t="n">
        <x:f>AM724+AO724</x:f>
        <x:v>33.95917193386881</x:v>
      </x:c>
      <x:c r="AR724" s="10" t="n">
        <x:f>IF(H724=1,INDEX(v01_Req,G724),0)</x:f>
        <x:v>9805.661999999998</x:v>
      </x:c>
      <x:c r="AS724" s="32" t="n">
        <x:f>IF(H724=1,IF(E724=1,AS723-AR723,AS723)+AQ724,0)</x:f>
        <x:v>403.4721475455211</x:v>
      </x:c>
      <x:c r="AT724" s="11" t="n">
        <x:f>IF(AR724&gt;0,MIN(1,AS724/AR724),1)</x:f>
        <x:v>0.04114685449544571</x:v>
      </x:c>
      <x:c r="AU724" s="10" t="n">
        <x:f>AB724/INDEX(v01_RepScale,G724)</x:f>
        <x:v>72.45067083088637</x:v>
      </x:c>
      <x:c r="AV724" s="32" t="n">
        <x:f>AM724*60/v01_SeasonSeconds</x:f>
        <x:v>114.54326527619011</x:v>
      </x:c>
    </x:row>
    <x:row r="725">
      <x:c r="A725" s="8" t="n">
        <x:f>A724+1</x:f>
        <x:v>722</x:v>
      </x:c>
      <x:c r="B725" s="9" t="n">
        <x:f>A725*v01_SeasonSeconds/60</x:f>
        <x:v>180.5</x:v>
      </x:c>
      <x:c r="C725" s="9" t="n">
        <x:f>A725/4</x:f>
        <x:v>180.5</x:v>
      </x:c>
      <x:c r="D725" s="8" t="n">
        <x:f>IF(MOD(A725,4)=0,1,0)</x:f>
        <x:v>0</x:v>
      </x:c>
      <x:c r="E725" s="8" t="n">
        <x:f>IF(AND(F724&lt;=9,AS724&gt;=AR724),1,0)</x:f>
        <x:v>0</x:v>
      </x:c>
      <x:c r="F725" s="8" t="n">
        <x:f>MIN(10,F724+E725)</x:f>
        <x:v>3</x:v>
      </x:c>
      <x:c r="G725" s="8" t="n">
        <x:f>MIN(F725,9)+1</x:f>
        <x:v>4</x:v>
      </x:c>
      <x:c r="H725" s="8" t="n">
        <x:f>IF(F725&lt;=9,1,0)</x:f>
        <x:v>1</x:v>
      </x:c>
      <x:c r="I725" s="9" t="n">
        <x:f>MIN(10,F724+IF(AR724&gt;0,MIN(1,AS724/AR724),1))</x:f>
        <x:v>3.041146854495446</x:v>
      </x:c>
      <x:c r="J725" s="32" t="n">
        <x:f>INDEX(v01_FoodCap,G725)*Arch_FoodCap*EXP(v01_CapsByProject*SUMPRODUCT((Cap_Point&lt;=I725)*(Cap_Kind="Food")*Cap_Ln))</x:f>
        <x:v>120</x:v>
      </x:c>
      <x:c r="K725" s="32" t="n">
        <x:f>J725*MIN(1,v01_LeanBase*EXP(v01_CapsByProject*SUMPRODUCT((Cap_Point&lt;=I725)*(Cap_Kind="Lean")*Cap_Ln)))</x:f>
        <x:v>120</x:v>
      </x:c>
      <x:c r="L725" s="10" t="n">
        <x:f>INDEX(v01_HousingCap,G725)*EXP(v01_CapsByProject*SUMPRODUCT((Cap_Point&lt;=I725)*(Cap_Kind="Housing")*Cap_Ln))</x:f>
        <x:v>200</x:v>
      </x:c>
      <x:c r="M725" s="10" t="n">
        <x:f>INDEX(v01_GroupCap,G725)*v01_CohesionFactor*EXP(v01_CapsByProject*SUMPRODUCT((Cap_Point&lt;=I725)*(Cap_Kind="Group")*Cap_Ln))</x:f>
        <x:v>5000</x:v>
      </x:c>
      <x:c r="N725" s="32" t="n">
        <x:f>MIN(J725,L725,M725)</x:f>
        <x:v>120</x:v>
      </x:c>
      <x:c r="O725" s="10" t="n">
        <x:f>AE724*N725</x:f>
        <x:v>840</x:v>
      </x:c>
      <x:c r="P725" s="9" t="n">
        <x:f>MIN(1,(AB724/(AE724*IF(v01_GroupInCrowding=1,N725,MIN(J725,L725))))^v01_CrowdingExp)</x:f>
        <x:v>0.006432781139100761</x:v>
      </x:c>
      <x:c r="Q725" s="9" t="n">
        <x:f>IF(D725=1,INDEX(v01_WinterMult,G725),1)</x:f>
        <x:v>1</x:v>
      </x:c>
      <x:c r="R725" s="9" t="n">
        <x:f>H725*Z724*v01_WomenShare*v01_BaseFertility*INDEX(v01_FertMult,G725)*Arch_Fertility*(1-P725)</x:f>
        <x:v>5.893581534165597</x:v>
      </x:c>
      <x:c r="S725" s="9" t="n">
        <x:f>H725*Y724*INDEX(v01_MortChild,G725)/4*Q725</x:f>
        <x:v>1.2049335714691554</x:v>
      </x:c>
      <x:c r="T725" s="9" t="n">
        <x:f>H725*Z724*INDEX(v01_MortAdult,G725)*Arch_AdultMort/4*Q725</x:f>
        <x:v>0.41826365545024374</x:v>
      </x:c>
      <x:c r="U725" s="9" t="n">
        <x:f>H725*AA724*INDEX(v01_MortElder,G725)/4*Q725</x:f>
        <x:v>0.8043696361355117</x:v>
      </x:c>
      <x:c r="V725" s="9" t="n">
        <x:f>H725*MAX(0,AB724-O725)*v01_OvercapLoss</x:f>
        <x:v>0</x:v>
      </x:c>
      <x:c r="W725" s="9" t="n">
        <x:f>H725*Y724/(v01_ChildYears*4)</x:f>
        <x:v>2.8688894558789415</x:v>
      </x:c>
      <x:c r="X725" s="9" t="n">
        <x:f>H725*Z724/(v01_AdultYears*4)</x:f>
        <x:v>1.226579634751448</x:v>
      </x:c>
      <x:c r="Y725" s="32" t="n">
        <x:f>Y724+R725-S725-W725-Y724*V725/AB724</x:f>
        <x:v>162.47756803603824</x:v>
      </x:c>
      <x:c r="Z725" s="32" t="n">
        <x:f>Z724+W725-X725-T725-Z724*V725/AB724</x:f>
        <x:v>153.3199208748568</x:v>
      </x:c>
      <x:c r="AA725" s="32" t="n">
        <x:f>AA724+X725-U725-AA724*V725/AB724</x:f>
        <x:v>49.92187991464742</x:v>
      </x:c>
      <x:c r="AB725" s="10" t="n">
        <x:f>Y725+Z725+AA725</x:f>
        <x:v>365.71936882554246</x:v>
      </x:c>
      <x:c r="AC725" s="8" t="n">
        <x:f>IF(AND(v01_WinterTrigger=1,D725=1,AB724/AE724&gt;=K725),1,0)</x:f>
        <x:v>0</x:v>
      </x:c>
      <x:c r="AD725" s="8" t="n">
        <x:f>H725*IF(AND(OR(AB724/AE724&gt;=v01_FissionTrigger*N725,AC725=1),AB724/AE724*v01_DaughterShare&gt;=v01_MinDaughter),MAX(1,ROUND(AE724*v01_FissionRate,0)),0)</x:f>
        <x:v>0</x:v>
      </x:c>
      <x:c r="AE725" s="8" t="n">
        <x:f>IF(H725=1,MAX(1,MIN(INDEX(v01_Smax,G725),AE724+AD725)),AE724)</x:f>
        <x:v>7</x:v>
      </x:c>
      <x:c r="AF725" s="8" t="n">
        <x:f>MAX(0,AE725-AE724)</x:f>
        <x:v>0</x:v>
      </x:c>
      <x:c r="AG725" s="9" t="str">
        <x:f>IF(AF725&gt;0,B725,"")</x:f>
      </x:c>
      <x:c r="AH725" s="9" t="n">
        <x:f>IF(F725&gt;=1,1,(1+v01_LowTiesShare*(AE725-1))/AE725)</x:f>
        <x:v>1</x:v>
      </x:c>
      <x:c r="AI725" s="32" t="n">
        <x:f>(Z725+v01_ElderCommons*INDEX(LM_Elder,G725)*AA725)*AH725</x:f>
        <x:v>303.08556061879904</x:v>
      </x:c>
      <x:c r="AJ725" s="32" t="n">
        <x:f>H725*v01_CommonsCoef*AI725^v01_CommonsExp*INDEX(LM_Commons,G725)</x:f>
        <x:v>84.8934913960732</x:v>
      </x:c>
      <x:c r="AK725" s="32" t="n">
        <x:f>H725*v01_RoleScale*Arch_Roles*(AE725*(INDEX(v01_ElderRolePerSett,G725)*v01_OutElder*INDEX(LM_Elder,G725)+INDEX(v01_ShamanPerSett,G725)*v01_OutShaman)+Z725*(INDEX(v01_PriestShare,G725)*v01_OutPriest+INDEX(v01_ScribeShare,G725)*v01_OutScribe*INDEX(LM_Scribe,G725)+INDEX(v01_ScholarShare,G725)*v01_OutScholar*INDEX(LM_Scholar,G725)+INDEX(v01_ResearcherShare,G725)*v01_OutResearcher*INDEX(LM_Researcher,G725)))</x:f>
        <x:v>22.073239446124</x:v>
      </x:c>
      <x:c r="AL725" s="32" t="n">
        <x:f>H725*v01_RoleScale*Arch_Roles*AE725*INDEX(v01_MonasteryPerSett,G725)*v01_OutMonastery*INDEX(LM_Monastery,G725)</x:f>
        <x:v>0</x:v>
      </x:c>
      <x:c r="AM725" s="32" t="n">
        <x:f>(AJ725+AK725+AL725)/4*INDEX(LM_All,G725)*INDEX(v01_Boon,G725)*Arch_Insight</x:f>
        <x:v>28.79786740771512</x:v>
      </x:c>
      <x:c r="AN725" s="32" t="n">
        <x:f>H725*(v01_KHPerAdult*Z725+v01_KHOfCommons*AJ725/4*INDEX(LM_All,G725))*v01_KHUsable*Arch_KH</x:f>
        <x:v>5.366197230619988</x:v>
      </x:c>
      <x:c r="AO725" s="32" t="n">
        <x:f>MIN(AP724+AN725,AM725*v01_KHMaxRatio)</x:f>
        <x:v>5.366197230619988</x:v>
      </x:c>
      <x:c r="AP725" s="32" t="n">
        <x:f>AP724+AN725-AO725</x:f>
        <x:v>0</x:v>
      </x:c>
      <x:c r="AQ725" s="32" t="n">
        <x:f>AM725+AO725</x:f>
        <x:v>34.164064638335105</x:v>
      </x:c>
      <x:c r="AR725" s="10" t="n">
        <x:f>IF(H725=1,INDEX(v01_Req,G725),0)</x:f>
        <x:v>9805.661999999998</x:v>
      </x:c>
      <x:c r="AS725" s="32" t="n">
        <x:f>IF(H725=1,IF(E725=1,AS724-AR724,AS724)+AQ725,0)</x:f>
        <x:v>437.63621218385623</x:v>
      </x:c>
      <x:c r="AT725" s="11" t="n">
        <x:f>IF(AR725&gt;0,MIN(1,AS725/AR725),1)</x:f>
        <x:v>0.04463097057433311</x:v>
      </x:c>
      <x:c r="AU725" s="10" t="n">
        <x:f>AB725/INDEX(v01_RepScale,G725)</x:f>
        <x:v>73.1438737651085</x:v>
      </x:c>
      <x:c r="AV725" s="32" t="n">
        <x:f>AM725*60/v01_SeasonSeconds</x:f>
        <x:v>115.19146963086048</x:v>
      </x:c>
    </x:row>
    <x:row r="726">
      <x:c r="A726" s="8" t="n">
        <x:f>A725+1</x:f>
        <x:v>723</x:v>
      </x:c>
      <x:c r="B726" s="9" t="n">
        <x:f>A726*v01_SeasonSeconds/60</x:f>
        <x:v>180.75</x:v>
      </x:c>
      <x:c r="C726" s="9" t="n">
        <x:f>A726/4</x:f>
        <x:v>180.75</x:v>
      </x:c>
      <x:c r="D726" s="8" t="n">
        <x:f>IF(MOD(A726,4)=0,1,0)</x:f>
        <x:v>0</x:v>
      </x:c>
      <x:c r="E726" s="8" t="n">
        <x:f>IF(AND(F725&lt;=9,AS725&gt;=AR725),1,0)</x:f>
        <x:v>0</x:v>
      </x:c>
      <x:c r="F726" s="8" t="n">
        <x:f>MIN(10,F725+E726)</x:f>
        <x:v>3</x:v>
      </x:c>
      <x:c r="G726" s="8" t="n">
        <x:f>MIN(F726,9)+1</x:f>
        <x:v>4</x:v>
      </x:c>
      <x:c r="H726" s="8" t="n">
        <x:f>IF(F726&lt;=9,1,0)</x:f>
        <x:v>1</x:v>
      </x:c>
      <x:c r="I726" s="9" t="n">
        <x:f>MIN(10,F725+IF(AR725&gt;0,MIN(1,AS725/AR725),1))</x:f>
        <x:v>3.044630970574333</x:v>
      </x:c>
      <x:c r="J726" s="32" t="n">
        <x:f>INDEX(v01_FoodCap,G726)*Arch_FoodCap*EXP(v01_CapsByProject*SUMPRODUCT((Cap_Point&lt;=I726)*(Cap_Kind="Food")*Cap_Ln))</x:f>
        <x:v>120</x:v>
      </x:c>
      <x:c r="K726" s="32" t="n">
        <x:f>J726*MIN(1,v01_LeanBase*EXP(v01_CapsByProject*SUMPRODUCT((Cap_Point&lt;=I726)*(Cap_Kind="Lean")*Cap_Ln)))</x:f>
        <x:v>120</x:v>
      </x:c>
      <x:c r="L726" s="10" t="n">
        <x:f>INDEX(v01_HousingCap,G726)*EXP(v01_CapsByProject*SUMPRODUCT((Cap_Point&lt;=I726)*(Cap_Kind="Housing")*Cap_Ln))</x:f>
        <x:v>200</x:v>
      </x:c>
      <x:c r="M726" s="10" t="n">
        <x:f>INDEX(v01_GroupCap,G726)*v01_CohesionFactor*EXP(v01_CapsByProject*SUMPRODUCT((Cap_Point&lt;=I726)*(Cap_Kind="Group")*Cap_Ln))</x:f>
        <x:v>5000</x:v>
      </x:c>
      <x:c r="N726" s="32" t="n">
        <x:f>MIN(J726,L726,M726)</x:f>
        <x:v>120</x:v>
      </x:c>
      <x:c r="O726" s="10" t="n">
        <x:f>AE725*N726</x:f>
        <x:v>840</x:v>
      </x:c>
      <x:c r="P726" s="9" t="n">
        <x:f>MIN(1,(AB725/(AE725*IF(v01_GroupInCrowding=1,N726,MIN(J726,L726))))^v01_CrowdingExp)</x:f>
        <x:v>0.006811018392606381</x:v>
      </x:c>
      <x:c r="Q726" s="9" t="n">
        <x:f>IF(D726=1,INDEX(v01_WinterMult,G726),1)</x:f>
        <x:v>1</x:v>
      </x:c>
      <x:c r="R726" s="9" t="n">
        <x:f>H726*Z725*v01_WomenShare*v01_BaseFertility*INDEX(v01_FertMult,G726)*Arch_Fertility*(1-P726)</x:f>
        <x:v>5.938750586879182</x:v>
      </x:c>
      <x:c r="S726" s="9" t="n">
        <x:f>H726*Y725*INDEX(v01_MortChild,G726)/4*Q726</x:f>
        <x:v>1.2185817602702866</x:v>
      </x:c>
      <x:c r="T726" s="9" t="n">
        <x:f>H726*Z725*INDEX(v01_MortAdult,G726)*Arch_AdultMort/4*Q726</x:f>
        <x:v>0.42162978240585613</x:v>
      </x:c>
      <x:c r="U726" s="9" t="n">
        <x:f>H726*AA725*INDEX(v01_MortElder,G726)/4*Q726</x:f>
        <x:v>0.8112305486130206</x:v>
      </x:c>
      <x:c r="V726" s="9" t="n">
        <x:f>H726*MAX(0,AB725-O726)*v01_OvercapLoss</x:f>
        <x:v>0</x:v>
      </x:c>
      <x:c r="W726" s="9" t="n">
        <x:f>H726*Y725/(v01_ChildYears*4)</x:f>
        <x:v>2.9013851435006828</x:v>
      </x:c>
      <x:c r="X726" s="9" t="n">
        <x:f>H726*Z725/(v01_AdultYears*4)</x:f>
        <x:v>1.236450974797232</x:v>
      </x:c>
      <x:c r="Y726" s="32" t="n">
        <x:f>Y725+R726-S726-W726-Y725*V726/AB725</x:f>
        <x:v>164.29635171914646</x:v>
      </x:c>
      <x:c r="Z726" s="32" t="n">
        <x:f>Z725+W726-X726-T726-Z725*V726/AB725</x:f>
        <x:v>154.56322526115437</x:v>
      </x:c>
      <x:c r="AA726" s="32" t="n">
        <x:f>AA725+X726-U726-AA725*V726/AB725</x:f>
        <x:v>50.34710034083163</x:v>
      </x:c>
      <x:c r="AB726" s="10" t="n">
        <x:f>Y726+Z726+AA726</x:f>
        <x:v>369.2066773211325</x:v>
      </x:c>
      <x:c r="AC726" s="8" t="n">
        <x:f>IF(AND(v01_WinterTrigger=1,D726=1,AB725/AE725&gt;=K726),1,0)</x:f>
        <x:v>0</x:v>
      </x:c>
      <x:c r="AD726" s="8" t="n">
        <x:f>H726*IF(AND(OR(AB725/AE725&gt;=v01_FissionTrigger*N726,AC726=1),AB725/AE725*v01_DaughterShare&gt;=v01_MinDaughter),MAX(1,ROUND(AE725*v01_FissionRate,0)),0)</x:f>
        <x:v>0</x:v>
      </x:c>
      <x:c r="AE726" s="8" t="n">
        <x:f>IF(H726=1,MAX(1,MIN(INDEX(v01_Smax,G726),AE725+AD726)),AE725)</x:f>
        <x:v>7</x:v>
      </x:c>
      <x:c r="AF726" s="8" t="n">
        <x:f>MAX(0,AE726-AE725)</x:f>
        <x:v>0</x:v>
      </x:c>
      <x:c r="AG726" s="9" t="str">
        <x:f>IF(AF726&gt;0,B726,"")</x:f>
      </x:c>
      <x:c r="AH726" s="9" t="n">
        <x:f>IF(F726&gt;=1,1,(1+v01_LowTiesShare*(AE726-1))/AE726)</x:f>
        <x:v>1</x:v>
      </x:c>
      <x:c r="AI726" s="32" t="n">
        <x:f>(Z726+v01_ElderCommons*INDEX(LM_Elder,G726)*AA726)*AH726</x:f>
        <x:v>305.6045262836493</x:v>
      </x:c>
      <x:c r="AJ726" s="32" t="n">
        <x:f>H726*v01_CommonsCoef*AI726^v01_CommonsExp*INDEX(LM_Commons,G726)</x:f>
        <x:v>85.49284122806435</x:v>
      </x:c>
      <x:c r="AK726" s="32" t="n">
        <x:f>H726*v01_RoleScale*Arch_Roles*(AE726*(INDEX(v01_ElderRolePerSett,G726)*v01_OutElder*INDEX(LM_Elder,G726)+INDEX(v01_ShamanPerSett,G726)*v01_OutShaman)+Z726*(INDEX(v01_PriestShare,G726)*v01_OutPriest+INDEX(v01_ScribeShare,G726)*v01_OutScribe*INDEX(LM_Scribe,G726)+INDEX(v01_ScholarShare,G726)*v01_OutScholar*INDEX(LM_Scholar,G726)+INDEX(v01_ResearcherShare,G726)*v01_OutResearcher*INDEX(LM_Researcher,G726)))</x:f>
        <x:v>22.08194257682808</x:v>
      </x:c>
      <x:c r="AL726" s="32" t="n">
        <x:f>H726*v01_RoleScale*Arch_Roles*AE726*INDEX(v01_MonasteryPerSett,G726)*v01_OutMonastery*INDEX(LM_Monastery,G726)</x:f>
        <x:v>0</x:v>
      </x:c>
      <x:c r="AM726" s="32" t="n">
        <x:f>(AJ726+AK726+AL726)/4*INDEX(LM_All,G726)*INDEX(v01_Boon,G726)*Arch_Insight</x:f>
        <x:v>28.961569041472615</x:v>
      </x:c>
      <x:c r="AN726" s="32" t="n">
        <x:f>H726*(v01_KHPerAdult*Z726+v01_KHOfCommons*AJ726/4*INDEX(LM_All,G726))*v01_KHUsable*Arch_KH</x:f>
        <x:v>5.4097128841404025</x:v>
      </x:c>
      <x:c r="AO726" s="32" t="n">
        <x:f>MIN(AP725+AN726,AM726*v01_KHMaxRatio)</x:f>
        <x:v>5.4097128841404025</x:v>
      </x:c>
      <x:c r="AP726" s="32" t="n">
        <x:f>AP725+AN726-AO726</x:f>
        <x:v>0</x:v>
      </x:c>
      <x:c r="AQ726" s="32" t="n">
        <x:f>AM726+AO726</x:f>
        <x:v>34.37128192561302</x:v>
      </x:c>
      <x:c r="AR726" s="10" t="n">
        <x:f>IF(H726=1,INDEX(v01_Req,G726),0)</x:f>
        <x:v>9805.661999999998</x:v>
      </x:c>
      <x:c r="AS726" s="32" t="n">
        <x:f>IF(H726=1,IF(E726=1,AS725-AR725,AS725)+AQ726,0)</x:f>
        <x:v>472.00749410946923</x:v>
      </x:c>
      <x:c r="AT726" s="11" t="n">
        <x:f>IF(AR726&gt;0,MIN(1,AS726/AR726),1)</x:f>
        <x:v>0.04813621906501257</x:v>
      </x:c>
      <x:c r="AU726" s="10" t="n">
        <x:f>AB726/INDEX(v01_RepScale,G726)</x:f>
        <x:v>73.84133546422649</x:v>
      </x:c>
      <x:c r="AV726" s="32" t="n">
        <x:f>AM726*60/v01_SeasonSeconds</x:f>
        <x:v>115.84627616589046</x:v>
      </x:c>
    </x:row>
    <x:row r="727">
      <x:c r="A727" s="8" t="n">
        <x:f>A726+1</x:f>
        <x:v>724</x:v>
      </x:c>
      <x:c r="B727" s="9" t="n">
        <x:f>A727*v01_SeasonSeconds/60</x:f>
        <x:v>181</x:v>
      </x:c>
      <x:c r="C727" s="9" t="n">
        <x:f>A727/4</x:f>
        <x:v>181</x:v>
      </x:c>
      <x:c r="D727" s="8" t="n">
        <x:f>IF(MOD(A727,4)=0,1,0)</x:f>
        <x:v>1</x:v>
      </x:c>
      <x:c r="E727" s="8" t="n">
        <x:f>IF(AND(F726&lt;=9,AS726&gt;=AR726),1,0)</x:f>
        <x:v>0</x:v>
      </x:c>
      <x:c r="F727" s="8" t="n">
        <x:f>MIN(10,F726+E727)</x:f>
        <x:v>3</x:v>
      </x:c>
      <x:c r="G727" s="8" t="n">
        <x:f>MIN(F727,9)+1</x:f>
        <x:v>4</x:v>
      </x:c>
      <x:c r="H727" s="8" t="n">
        <x:f>IF(F727&lt;=9,1,0)</x:f>
        <x:v>1</x:v>
      </x:c>
      <x:c r="I727" s="9" t="n">
        <x:f>MIN(10,F726+IF(AR726&gt;0,MIN(1,AS726/AR726),1))</x:f>
        <x:v>3.0481362190650128</x:v>
      </x:c>
      <x:c r="J727" s="32" t="n">
        <x:f>INDEX(v01_FoodCap,G727)*Arch_FoodCap*EXP(v01_CapsByProject*SUMPRODUCT((Cap_Point&lt;=I727)*(Cap_Kind="Food")*Cap_Ln))</x:f>
        <x:v>120</x:v>
      </x:c>
      <x:c r="K727" s="32" t="n">
        <x:f>J727*MIN(1,v01_LeanBase*EXP(v01_CapsByProject*SUMPRODUCT((Cap_Point&lt;=I727)*(Cap_Kind="Lean")*Cap_Ln)))</x:f>
        <x:v>120</x:v>
      </x:c>
      <x:c r="L727" s="10" t="n">
        <x:f>INDEX(v01_HousingCap,G727)*EXP(v01_CapsByProject*SUMPRODUCT((Cap_Point&lt;=I727)*(Cap_Kind="Housing")*Cap_Ln))</x:f>
        <x:v>200</x:v>
      </x:c>
      <x:c r="M727" s="10" t="n">
        <x:f>INDEX(v01_GroupCap,G727)*v01_CohesionFactor*EXP(v01_CapsByProject*SUMPRODUCT((Cap_Point&lt;=I727)*(Cap_Kind="Group")*Cap_Ln))</x:f>
        <x:v>5000</x:v>
      </x:c>
      <x:c r="N727" s="32" t="n">
        <x:f>MIN(J727,L727,M727)</x:f>
        <x:v>120</x:v>
      </x:c>
      <x:c r="O727" s="10" t="n">
        <x:f>AE726*N727</x:f>
        <x:v>840</x:v>
      </x:c>
      <x:c r="P727" s="9" t="n">
        <x:f>MIN(1,(AB726/(AE726*IF(v01_GroupInCrowding=1,N727,MIN(J727,L727))))^v01_CrowdingExp)</x:f>
        <x:v>0.007210104595964641</x:v>
      </x:c>
      <x:c r="Q727" s="9" t="n">
        <x:f>IF(D727=1,INDEX(v01_WinterMult,G727),1)</x:f>
        <x:v>1.15</x:v>
      </x:c>
      <x:c r="R727" s="9" t="n">
        <x:f>H727*Z726*v01_WomenShare*v01_BaseFertility*INDEX(v01_FertMult,G727)*Arch_Fertility*(1-P727)</x:f>
        <x:v>5.9845035213729405</x:v>
      </x:c>
      <x:c r="S727" s="9" t="n">
        <x:f>H727*Y726*INDEX(v01_MortChild,G727)/4*Q727</x:f>
        <x:v>1.4170560335776379</x:v>
      </x:c>
      <x:c r="T727" s="9" t="n">
        <x:f>H727*Z726*INDEX(v01_MortAdult,G727)*Arch_AdultMort/4*Q727</x:f>
        <x:v>0.4888061998884006</x:v>
      </x:c>
      <x:c r="U727" s="9" t="n">
        <x:f>H727*AA726*INDEX(v01_MortElder,G727)/4*Q727</x:f>
        <x:v>0.9408614376192911</x:v>
      </x:c>
      <x:c r="V727" s="9" t="n">
        <x:f>H727*MAX(0,AB726-O727)*v01_OvercapLoss</x:f>
        <x:v>0</x:v>
      </x:c>
      <x:c r="W727" s="9" t="n">
        <x:f>H727*Y726/(v01_ChildYears*4)</x:f>
        <x:v>2.9338634235561867</x:v>
      </x:c>
      <x:c r="X727" s="9" t="n">
        <x:f>H727*Z726/(v01_AdultYears*4)</x:f>
        <x:v>1.2464776230738255</x:v>
      </x:c>
      <x:c r="Y727" s="32" t="n">
        <x:f>Y726+R727-S727-W727-Y726*V727/AB726</x:f>
        <x:v>165.9299357833856</x:v>
      </x:c>
      <x:c r="Z727" s="32" t="n">
        <x:f>Z726+W727-X727-T727-Z726*V727/AB726</x:f>
        <x:v>155.76180486174835</x:v>
      </x:c>
      <x:c r="AA727" s="32" t="n">
        <x:f>AA726+X727-U727-AA726*V727/AB726</x:f>
        <x:v>50.65271652628616</x:v>
      </x:c>
      <x:c r="AB727" s="10" t="n">
        <x:f>Y727+Z727+AA727</x:f>
        <x:v>372.34445717142006</x:v>
      </x:c>
      <x:c r="AC727" s="8" t="n">
        <x:f>IF(AND(v01_WinterTrigger=1,D727=1,AB726/AE726&gt;=K727),1,0)</x:f>
        <x:v>0</x:v>
      </x:c>
      <x:c r="AD727" s="8" t="n">
        <x:f>H727*IF(AND(OR(AB726/AE726&gt;=v01_FissionTrigger*N727,AC727=1),AB726/AE726*v01_DaughterShare&gt;=v01_MinDaughter),MAX(1,ROUND(AE726*v01_FissionRate,0)),0)</x:f>
        <x:v>0</x:v>
      </x:c>
      <x:c r="AE727" s="8" t="n">
        <x:f>IF(H727=1,MAX(1,MIN(INDEX(v01_Smax,G727),AE726+AD727)),AE726)</x:f>
        <x:v>7</x:v>
      </x:c>
      <x:c r="AF727" s="8" t="n">
        <x:f>MAX(0,AE727-AE726)</x:f>
        <x:v>0</x:v>
      </x:c>
      <x:c r="AG727" s="9" t="str">
        <x:f>IF(AF727&gt;0,B727,"")</x:f>
      </x:c>
      <x:c r="AH727" s="9" t="n">
        <x:f>IF(F727&gt;=1,1,(1+v01_LowTiesShare*(AE727-1))/AE727)</x:f>
        <x:v>1</x:v>
      </x:c>
      <x:c r="AI727" s="32" t="n">
        <x:f>(Z727+v01_ElderCommons*INDEX(LM_Elder,G727)*AA727)*AH727</x:f>
        <x:v>307.71995444060684</x:v>
      </x:c>
      <x:c r="AJ727" s="32" t="n">
        <x:f>H727*v01_CommonsCoef*AI727^v01_CommonsExp*INDEX(LM_Commons,G727)</x:f>
        <x:v>85.99560299608689</x:v>
      </x:c>
      <x:c r="AK727" s="32" t="n">
        <x:f>H727*v01_RoleScale*Arch_Roles*(AE727*(INDEX(v01_ElderRolePerSett,G727)*v01_OutElder*INDEX(LM_Elder,G727)+INDEX(v01_ShamanPerSett,G727)*v01_OutShaman)+Z727*(INDEX(v01_PriestShare,G727)*v01_OutPriest+INDEX(v01_ScribeShare,G727)*v01_OutScribe*INDEX(LM_Scribe,G727)+INDEX(v01_ScholarShare,G727)*v01_OutScholar*INDEX(LM_Scholar,G727)+INDEX(v01_ResearcherShare,G727)*v01_OutResearcher*INDEX(LM_Researcher,G727)))</x:f>
        <x:v>22.090332634032237</x:v>
      </x:c>
      <x:c r="AL727" s="32" t="n">
        <x:f>H727*v01_RoleScale*Arch_Roles*AE727*INDEX(v01_MonasteryPerSett,G727)*v01_OutMonastery*INDEX(LM_Monastery,G727)</x:f>
        <x:v>0</x:v>
      </x:c>
      <x:c r="AM727" s="32" t="n">
        <x:f>(AJ727+AK727+AL727)/4*INDEX(LM_All,G727)*INDEX(v01_Boon,G727)*Arch_Insight</x:f>
        <x:v>29.09918269360718</x:v>
      </x:c>
      <x:c r="AN727" s="32" t="n">
        <x:f>H727*(v01_KHPerAdult*Z727+v01_KHOfCommons*AJ727/4*INDEX(LM_All,G727))*v01_KHUsable*Arch_KH</x:f>
        <x:v>5.451663170161192</x:v>
      </x:c>
      <x:c r="AO727" s="32" t="n">
        <x:f>MIN(AP726+AN727,AM727*v01_KHMaxRatio)</x:f>
        <x:v>5.451663170161192</x:v>
      </x:c>
      <x:c r="AP727" s="32" t="n">
        <x:f>AP726+AN727-AO727</x:f>
        <x:v>0</x:v>
      </x:c>
      <x:c r="AQ727" s="32" t="n">
        <x:f>AM727+AO727</x:f>
        <x:v>34.55084586376837</x:v>
      </x:c>
      <x:c r="AR727" s="10" t="n">
        <x:f>IF(H727=1,INDEX(v01_Req,G727),0)</x:f>
        <x:v>9805.661999999998</x:v>
      </x:c>
      <x:c r="AS727" s="32" t="n">
        <x:f>IF(H727=1,IF(E727=1,AS726-AR726,AS726)+AQ727,0)</x:f>
        <x:v>506.5583399732376</x:v>
      </x:c>
      <x:c r="AT727" s="11" t="n">
        <x:f>IF(AR727&gt;0,MIN(1,AS727/AR727),1)</x:f>
        <x:v>0.051659779826516324</x:v>
      </x:c>
      <x:c r="AU727" s="10" t="n">
        <x:f>AB727/INDEX(v01_RepScale,G727)</x:f>
        <x:v>74.46889143428402</x:v>
      </x:c>
      <x:c r="AV727" s="32" t="n">
        <x:f>AM727*60/v01_SeasonSeconds</x:f>
        <x:v>116.39673077442872</x:v>
      </x:c>
    </x:row>
    <x:row r="728">
      <x:c r="A728" s="8" t="n">
        <x:f>A727+1</x:f>
        <x:v>725</x:v>
      </x:c>
      <x:c r="B728" s="9" t="n">
        <x:f>A728*v01_SeasonSeconds/60</x:f>
        <x:v>181.25</x:v>
      </x:c>
      <x:c r="C728" s="9" t="n">
        <x:f>A728/4</x:f>
        <x:v>181.25</x:v>
      </x:c>
      <x:c r="D728" s="8" t="n">
        <x:f>IF(MOD(A728,4)=0,1,0)</x:f>
        <x:v>0</x:v>
      </x:c>
      <x:c r="E728" s="8" t="n">
        <x:f>IF(AND(F727&lt;=9,AS727&gt;=AR727),1,0)</x:f>
        <x:v>0</x:v>
      </x:c>
      <x:c r="F728" s="8" t="n">
        <x:f>MIN(10,F727+E728)</x:f>
        <x:v>3</x:v>
      </x:c>
      <x:c r="G728" s="8" t="n">
        <x:f>MIN(F728,9)+1</x:f>
        <x:v>4</x:v>
      </x:c>
      <x:c r="H728" s="8" t="n">
        <x:f>IF(F728&lt;=9,1,0)</x:f>
        <x:v>1</x:v>
      </x:c>
      <x:c r="I728" s="9" t="n">
        <x:f>MIN(10,F727+IF(AR727&gt;0,MIN(1,AS727/AR727),1))</x:f>
        <x:v>3.051659779826516</x:v>
      </x:c>
      <x:c r="J728" s="32" t="n">
        <x:f>INDEX(v01_FoodCap,G728)*Arch_FoodCap*EXP(v01_CapsByProject*SUMPRODUCT((Cap_Point&lt;=I728)*(Cap_Kind="Food")*Cap_Ln))</x:f>
        <x:v>120</x:v>
      </x:c>
      <x:c r="K728" s="32" t="n">
        <x:f>J728*MIN(1,v01_LeanBase*EXP(v01_CapsByProject*SUMPRODUCT((Cap_Point&lt;=I728)*(Cap_Kind="Lean")*Cap_Ln)))</x:f>
        <x:v>120</x:v>
      </x:c>
      <x:c r="L728" s="10" t="n">
        <x:f>INDEX(v01_HousingCap,G728)*EXP(v01_CapsByProject*SUMPRODUCT((Cap_Point&lt;=I728)*(Cap_Kind="Housing")*Cap_Ln))</x:f>
        <x:v>200</x:v>
      </x:c>
      <x:c r="M728" s="10" t="n">
        <x:f>INDEX(v01_GroupCap,G728)*v01_CohesionFactor*EXP(v01_CapsByProject*SUMPRODUCT((Cap_Point&lt;=I728)*(Cap_Kind="Group")*Cap_Ln))</x:f>
        <x:v>5000</x:v>
      </x:c>
      <x:c r="N728" s="32" t="n">
        <x:f>MIN(J728,L728,M728)</x:f>
        <x:v>120</x:v>
      </x:c>
      <x:c r="O728" s="10" t="n">
        <x:f>AE727*N728</x:f>
        <x:v>840</x:v>
      </x:c>
      <x:c r="P728" s="9" t="n">
        <x:f>MIN(1,(AB727/(AE727*IF(v01_GroupInCrowding=1,N728,MIN(J728,L728))))^v01_CrowdingExp)</x:f>
        <x:v>0.0075856647103041425</x:v>
      </x:c>
      <x:c r="Q728" s="9" t="n">
        <x:f>IF(D728=1,INDEX(v01_WinterMult,G728),1)</x:f>
        <x:v>1</x:v>
      </x:c>
      <x:c r="R728" s="9" t="n">
        <x:f>H728*Z727*v01_WomenShare*v01_BaseFertility*INDEX(v01_FertMult,G728)*Arch_Fertility*(1-P728)</x:f>
        <x:v>6.028629673380416</x:v>
      </x:c>
      <x:c r="S728" s="9" t="n">
        <x:f>H728*Y727*INDEX(v01_MortChild,G728)/4*Q728</x:f>
        <x:v>1.2444745183753918</x:v>
      </x:c>
      <x:c r="T728" s="9" t="n">
        <x:f>H728*Z727*INDEX(v01_MortAdult,G728)*Arch_AdultMort/4*Q728</x:f>
        <x:v>0.42834496336980793</x:v>
      </x:c>
      <x:c r="U728" s="9" t="n">
        <x:f>H728*AA727*INDEX(v01_MortElder,G728)/4*Q728</x:f>
        <x:v>0.8231066435521501</x:v>
      </x:c>
      <x:c r="V728" s="9" t="n">
        <x:f>H728*MAX(0,AB727-O728)*v01_OvercapLoss</x:f>
        <x:v>0</x:v>
      </x:c>
      <x:c r="W728" s="9" t="n">
        <x:f>H728*Y727/(v01_ChildYears*4)</x:f>
        <x:v>2.963034567560457</x:v>
      </x:c>
      <x:c r="X728" s="9" t="n">
        <x:f>H728*Z727/(v01_AdultYears*4)</x:f>
        <x:v>1.2561435875947446</x:v>
      </x:c>
      <x:c r="Y728" s="32" t="n">
        <x:f>Y727+R728-S728-W728-Y727*V728/AB727</x:f>
        <x:v>167.75105637083013</x:v>
      </x:c>
      <x:c r="Z728" s="32" t="n">
        <x:f>Z727+W728-X728-T728-Z727*V728/AB727</x:f>
        <x:v>157.04035087834427</x:v>
      </x:c>
      <x:c r="AA728" s="32" t="n">
        <x:f>AA727+X728-U728-AA727*V728/AB727</x:f>
        <x:v>51.085753470328754</x:v>
      </x:c>
      <x:c r="AB728" s="10" t="n">
        <x:f>Y728+Z728+AA728</x:f>
        <x:v>375.8771607195032</x:v>
      </x:c>
      <x:c r="AC728" s="8" t="n">
        <x:f>IF(AND(v01_WinterTrigger=1,D728=1,AB727/AE727&gt;=K728),1,0)</x:f>
        <x:v>0</x:v>
      </x:c>
      <x:c r="AD728" s="8" t="n">
        <x:f>H728*IF(AND(OR(AB727/AE727&gt;=v01_FissionTrigger*N728,AC728=1),AB727/AE727*v01_DaughterShare&gt;=v01_MinDaughter),MAX(1,ROUND(AE727*v01_FissionRate,0)),0)</x:f>
        <x:v>0</x:v>
      </x:c>
      <x:c r="AE728" s="8" t="n">
        <x:f>IF(H728=1,MAX(1,MIN(INDEX(v01_Smax,G728),AE727+AD728)),AE727)</x:f>
        <x:v>7</x:v>
      </x:c>
      <x:c r="AF728" s="8" t="n">
        <x:f>MAX(0,AE728-AE727)</x:f>
        <x:v>0</x:v>
      </x:c>
      <x:c r="AG728" s="9" t="str">
        <x:f>IF(AF728&gt;0,B728,"")</x:f>
      </x:c>
      <x:c r="AH728" s="9" t="n">
        <x:f>IF(F728&gt;=1,1,(1+v01_LowTiesShare*(AE728-1))/AE728)</x:f>
        <x:v>1</x:v>
      </x:c>
      <x:c r="AI728" s="32" t="n">
        <x:f>(Z728+v01_ElderCommons*INDEX(LM_Elder,G728)*AA728)*AH728</x:f>
        <x:v>310.2976112893305</x:v>
      </x:c>
      <x:c r="AJ728" s="32" t="n">
        <x:f>H728*v01_CommonsCoef*AI728^v01_CommonsExp*INDEX(LM_Commons,G728)</x:f>
        <x:v>86.60752004893291</x:v>
      </x:c>
      <x:c r="AK728" s="32" t="n">
        <x:f>H728*v01_RoleScale*Arch_Roles*(AE728*(INDEX(v01_ElderRolePerSett,G728)*v01_OutElder*INDEX(LM_Elder,G728)+INDEX(v01_ShamanPerSett,G728)*v01_OutShaman)+Z728*(INDEX(v01_PriestShare,G728)*v01_OutPriest+INDEX(v01_ScribeShare,G728)*v01_OutScribe*INDEX(LM_Scribe,G728)+INDEX(v01_ScholarShare,G728)*v01_OutScholar*INDEX(LM_Scholar,G728)+INDEX(v01_ResearcherShare,G728)*v01_OutResearcher*INDEX(LM_Researcher,G728)))</x:f>
        <x:v>22.09928245614841</x:v>
      </x:c>
      <x:c r="AL728" s="32" t="n">
        <x:f>H728*v01_RoleScale*Arch_Roles*AE728*INDEX(v01_MonasteryPerSett,G728)*v01_OutMonastery*INDEX(LM_Monastery,G728)</x:f>
        <x:v>0</x:v>
      </x:c>
      <x:c r="AM728" s="32" t="n">
        <x:f>(AJ728+AK728+AL728)/4*INDEX(LM_All,G728)*INDEX(v01_Boon,G728)*Arch_Insight</x:f>
        <x:v>29.26633412286214</x:v>
      </x:c>
      <x:c r="AN728" s="32" t="n">
        <x:f>H728*(v01_KHPerAdult*Z728+v01_KHOfCommons*AJ728/4*INDEX(LM_All,G728))*v01_KHUsable*Arch_KH</x:f>
        <x:v>5.4964122807420495</x:v>
      </x:c>
      <x:c r="AO728" s="32" t="n">
        <x:f>MIN(AP727+AN728,AM728*v01_KHMaxRatio)</x:f>
        <x:v>5.4964122807420495</x:v>
      </x:c>
      <x:c r="AP728" s="32" t="n">
        <x:f>AP727+AN728-AO728</x:f>
        <x:v>0</x:v>
      </x:c>
      <x:c r="AQ728" s="32" t="n">
        <x:f>AM728+AO728</x:f>
        <x:v>34.76274640360419</x:v>
      </x:c>
      <x:c r="AR728" s="10" t="n">
        <x:f>IF(H728=1,INDEX(v01_Req,G728),0)</x:f>
        <x:v>9805.661999999998</x:v>
      </x:c>
      <x:c r="AS728" s="32" t="n">
        <x:f>IF(H728=1,IF(E728=1,AS727-AR727,AS727)+AQ728,0)</x:f>
        <x:v>541.3210863768418</x:v>
      </x:c>
      <x:c r="AT728" s="11" t="n">
        <x:f>IF(AR728&gt;0,MIN(1,AS728/AR728),1)</x:f>
        <x:v>0.05520495060678635</x:v>
      </x:c>
      <x:c r="AU728" s="10" t="n">
        <x:f>AB728/INDEX(v01_RepScale,G728)</x:f>
        <x:v>75.17543214390064</x:v>
      </x:c>
      <x:c r="AV728" s="32" t="n">
        <x:f>AM728*60/v01_SeasonSeconds</x:f>
        <x:v>117.06533649144856</x:v>
      </x:c>
    </x:row>
    <x:row r="729">
      <x:c r="A729" s="8" t="n">
        <x:f>A728+1</x:f>
        <x:v>726</x:v>
      </x:c>
      <x:c r="B729" s="9" t="n">
        <x:f>A729*v01_SeasonSeconds/60</x:f>
        <x:v>181.5</x:v>
      </x:c>
      <x:c r="C729" s="9" t="n">
        <x:f>A729/4</x:f>
        <x:v>181.5</x:v>
      </x:c>
      <x:c r="D729" s="8" t="n">
        <x:f>IF(MOD(A729,4)=0,1,0)</x:f>
        <x:v>0</x:v>
      </x:c>
      <x:c r="E729" s="8" t="n">
        <x:f>IF(AND(F728&lt;=9,AS728&gt;=AR728),1,0)</x:f>
        <x:v>0</x:v>
      </x:c>
      <x:c r="F729" s="8" t="n">
        <x:f>MIN(10,F728+E729)</x:f>
        <x:v>3</x:v>
      </x:c>
      <x:c r="G729" s="8" t="n">
        <x:f>MIN(F729,9)+1</x:f>
        <x:v>4</x:v>
      </x:c>
      <x:c r="H729" s="8" t="n">
        <x:f>IF(F729&lt;=9,1,0)</x:f>
        <x:v>1</x:v>
      </x:c>
      <x:c r="I729" s="9" t="n">
        <x:f>MIN(10,F728+IF(AR728&gt;0,MIN(1,AS728/AR728),1))</x:f>
        <x:v>3.0552049506067864</x:v>
      </x:c>
      <x:c r="J729" s="32" t="n">
        <x:f>INDEX(v01_FoodCap,G729)*Arch_FoodCap*EXP(v01_CapsByProject*SUMPRODUCT((Cap_Point&lt;=I729)*(Cap_Kind="Food")*Cap_Ln))</x:f>
        <x:v>120</x:v>
      </x:c>
      <x:c r="K729" s="32" t="n">
        <x:f>J729*MIN(1,v01_LeanBase*EXP(v01_CapsByProject*SUMPRODUCT((Cap_Point&lt;=I729)*(Cap_Kind="Lean")*Cap_Ln)))</x:f>
        <x:v>120</x:v>
      </x:c>
      <x:c r="L729" s="10" t="n">
        <x:f>INDEX(v01_HousingCap,G729)*EXP(v01_CapsByProject*SUMPRODUCT((Cap_Point&lt;=I729)*(Cap_Kind="Housing")*Cap_Ln))</x:f>
        <x:v>200</x:v>
      </x:c>
      <x:c r="M729" s="10" t="n">
        <x:f>INDEX(v01_GroupCap,G729)*v01_CohesionFactor*EXP(v01_CapsByProject*SUMPRODUCT((Cap_Point&lt;=I729)*(Cap_Kind="Group")*Cap_Ln))</x:f>
        <x:v>5000</x:v>
      </x:c>
      <x:c r="N729" s="32" t="n">
        <x:f>MIN(J729,L729,M729)</x:f>
        <x:v>120</x:v>
      </x:c>
      <x:c r="O729" s="10" t="n">
        <x:f>AE728*N729</x:f>
        <x:v>840</x:v>
      </x:c>
      <x:c r="P729" s="9" t="n">
        <x:f>MIN(1,(AB728/(AE728*IF(v01_GroupInCrowding=1,N729,MIN(J729,L729))))^v01_CrowdingExp)</x:f>
        <x:v>0.00802786220706433</x:v>
      </x:c>
      <x:c r="Q729" s="9" t="n">
        <x:f>IF(D729=1,INDEX(v01_WinterMult,G729),1)</x:f>
        <x:v>1</x:v>
      </x:c>
      <x:c r="R729" s="9" t="n">
        <x:f>H729*Z728*v01_WomenShare*v01_BaseFertility*INDEX(v01_FertMult,G729)*Arch_Fertility*(1-P729)</x:f>
        <x:v>6.0754064506412115</x:v>
      </x:c>
      <x:c r="S729" s="9" t="n">
        <x:f>H729*Y728*INDEX(v01_MortChild,G729)/4*Q729</x:f>
        <x:v>1.258132922781226</x:v>
      </x:c>
      <x:c r="T729" s="9" t="n">
        <x:f>H729*Z728*INDEX(v01_MortAdult,G729)*Arch_AdultMort/4*Q729</x:f>
        <x:v>0.43186096491544673</x:v>
      </x:c>
      <x:c r="U729" s="9" t="n">
        <x:f>H729*AA728*INDEX(v01_MortElder,G729)/4*Q729</x:f>
        <x:v>0.8301434938928423</x:v>
      </x:c>
      <x:c r="V729" s="9" t="n">
        <x:f>H729*MAX(0,AB728-O729)*v01_OvercapLoss</x:f>
        <x:v>0</x:v>
      </x:c>
      <x:c r="W729" s="9" t="n">
        <x:f>H729*Y728/(v01_ChildYears*4)</x:f>
        <x:v>2.995554578050538</x:v>
      </x:c>
      <x:c r="X729" s="9" t="n">
        <x:f>H729*Z728/(v01_AdultYears*4)</x:f>
        <x:v>1.2664544425672926</x:v>
      </x:c>
      <x:c r="Y729" s="32" t="n">
        <x:f>Y728+R729-S729-W729-Y728*V729/AB728</x:f>
        <x:v>169.5727753206396</x:v>
      </x:c>
      <x:c r="Z729" s="32" t="n">
        <x:f>Z728+W729-X729-T729-Z728*V729/AB728</x:f>
        <x:v>158.33759004891206</x:v>
      </x:c>
      <x:c r="AA729" s="32" t="n">
        <x:f>AA728+X729-U729-AA728*V729/AB728</x:f>
        <x:v>51.52206441900321</x:v>
      </x:c>
      <x:c r="AB729" s="10" t="n">
        <x:f>Y729+Z729+AA729</x:f>
        <x:v>379.4324297885548</x:v>
      </x:c>
      <x:c r="AC729" s="8" t="n">
        <x:f>IF(AND(v01_WinterTrigger=1,D729=1,AB728/AE728&gt;=K729),1,0)</x:f>
        <x:v>0</x:v>
      </x:c>
      <x:c r="AD729" s="8" t="n">
        <x:f>H729*IF(AND(OR(AB728/AE728&gt;=v01_FissionTrigger*N729,AC729=1),AB728/AE728*v01_DaughterShare&gt;=v01_MinDaughter),MAX(1,ROUND(AE728*v01_FissionRate,0)),0)</x:f>
        <x:v>0</x:v>
      </x:c>
      <x:c r="AE729" s="8" t="n">
        <x:f>IF(H729=1,MAX(1,MIN(INDEX(v01_Smax,G729),AE728+AD729)),AE728)</x:f>
        <x:v>7</x:v>
      </x:c>
      <x:c r="AF729" s="8" t="n">
        <x:f>MAX(0,AE729-AE728)</x:f>
        <x:v>0</x:v>
      </x:c>
      <x:c r="AG729" s="9" t="str">
        <x:f>IF(AF729&gt;0,B729,"")</x:f>
      </x:c>
      <x:c r="AH729" s="9" t="n">
        <x:f>IF(F729&gt;=1,1,(1+v01_LowTiesShare*(AE729-1))/AE729)</x:f>
        <x:v>1</x:v>
      </x:c>
      <x:c r="AI729" s="32" t="n">
        <x:f>(Z729+v01_ElderCommons*INDEX(LM_Elder,G729)*AA729)*AH729</x:f>
        <x:v>312.9037833059217</x:v>
      </x:c>
      <x:c r="AJ729" s="32" t="n">
        <x:f>H729*v01_CommonsCoef*AI729^v01_CommonsExp*INDEX(LM_Commons,G729)</x:f>
        <x:v>87.22543171370127</x:v>
      </x:c>
      <x:c r="AK729" s="32" t="n">
        <x:f>H729*v01_RoleScale*Arch_Roles*(AE729*(INDEX(v01_ElderRolePerSett,G729)*v01_OutElder*INDEX(LM_Elder,G729)+INDEX(v01_ShamanPerSett,G729)*v01_OutShaman)+Z729*(INDEX(v01_PriestShare,G729)*v01_OutPriest+INDEX(v01_ScribeShare,G729)*v01_OutScribe*INDEX(LM_Scribe,G729)+INDEX(v01_ScholarShare,G729)*v01_OutScholar*INDEX(LM_Scholar,G729)+INDEX(v01_ResearcherShare,G729)*v01_OutResearcher*INDEX(LM_Researcher,G729)))</x:f>
        <x:v>22.108363130342383</x:v>
      </x:c>
      <x:c r="AL729" s="32" t="n">
        <x:f>H729*v01_RoleScale*Arch_Roles*AE729*INDEX(v01_MonasteryPerSett,G729)*v01_OutMonastery*INDEX(LM_Monastery,G729)</x:f>
        <x:v>0</x:v>
      </x:c>
      <x:c r="AM729" s="32" t="n">
        <x:f>(AJ729+AK729+AL729)/4*INDEX(LM_All,G729)*INDEX(v01_Boon,G729)*Arch_Insight</x:f>
        <x:v>29.435134665805975</x:v>
      </x:c>
      <x:c r="AN729" s="32" t="n">
        <x:f>H729*(v01_KHPerAdult*Z729+v01_KHOfCommons*AJ729/4*INDEX(LM_All,G729))*v01_KHUsable*Arch_KH</x:f>
        <x:v>5.5418156517119215</x:v>
      </x:c>
      <x:c r="AO729" s="32" t="n">
        <x:f>MIN(AP728+AN729,AM729*v01_KHMaxRatio)</x:f>
        <x:v>5.5418156517119215</x:v>
      </x:c>
      <x:c r="AP729" s="32" t="n">
        <x:f>AP728+AN729-AO729</x:f>
        <x:v>0</x:v>
      </x:c>
      <x:c r="AQ729" s="32" t="n">
        <x:f>AM729+AO729</x:f>
        <x:v>34.9769503175179</x:v>
      </x:c>
      <x:c r="AR729" s="10" t="n">
        <x:f>IF(H729=1,INDEX(v01_Req,G729),0)</x:f>
        <x:v>9805.661999999998</x:v>
      </x:c>
      <x:c r="AS729" s="32" t="n">
        <x:f>IF(H729=1,IF(E729=1,AS728-AR728,AS728)+AQ729,0)</x:f>
        <x:v>576.2980366943597</x:v>
      </x:c>
      <x:c r="AT729" s="11" t="n">
        <x:f>IF(AR729&gt;0,MIN(1,AS729/AR729),1)</x:f>
        <x:v>0.05877196630827779</x:v>
      </x:c>
      <x:c r="AU729" s="10" t="n">
        <x:f>AB729/INDEX(v01_RepScale,G729)</x:f>
        <x:v>75.88648595771096</x:v>
      </x:c>
      <x:c r="AV729" s="32" t="n">
        <x:f>AM729*60/v01_SeasonSeconds</x:f>
        <x:v>117.74053866322389</x:v>
      </x:c>
    </x:row>
    <x:row r="730">
      <x:c r="A730" s="8" t="n">
        <x:f>A729+1</x:f>
        <x:v>727</x:v>
      </x:c>
      <x:c r="B730" s="9" t="n">
        <x:f>A730*v01_SeasonSeconds/60</x:f>
        <x:v>181.75</x:v>
      </x:c>
      <x:c r="C730" s="9" t="n">
        <x:f>A730/4</x:f>
        <x:v>181.75</x:v>
      </x:c>
      <x:c r="D730" s="8" t="n">
        <x:f>IF(MOD(A730,4)=0,1,0)</x:f>
        <x:v>0</x:v>
      </x:c>
      <x:c r="E730" s="8" t="n">
        <x:f>IF(AND(F729&lt;=9,AS729&gt;=AR729),1,0)</x:f>
        <x:v>0</x:v>
      </x:c>
      <x:c r="F730" s="8" t="n">
        <x:f>MIN(10,F729+E730)</x:f>
        <x:v>3</x:v>
      </x:c>
      <x:c r="G730" s="8" t="n">
        <x:f>MIN(F730,9)+1</x:f>
        <x:v>4</x:v>
      </x:c>
      <x:c r="H730" s="8" t="n">
        <x:f>IF(F730&lt;=9,1,0)</x:f>
        <x:v>1</x:v>
      </x:c>
      <x:c r="I730" s="9" t="n">
        <x:f>MIN(10,F729+IF(AR729&gt;0,MIN(1,AS729/AR729),1))</x:f>
        <x:v>3.058771966308278</x:v>
      </x:c>
      <x:c r="J730" s="32" t="n">
        <x:f>INDEX(v01_FoodCap,G730)*Arch_FoodCap*EXP(v01_CapsByProject*SUMPRODUCT((Cap_Point&lt;=I730)*(Cap_Kind="Food")*Cap_Ln))</x:f>
        <x:v>120</x:v>
      </x:c>
      <x:c r="K730" s="32" t="n">
        <x:f>J730*MIN(1,v01_LeanBase*EXP(v01_CapsByProject*SUMPRODUCT((Cap_Point&lt;=I730)*(Cap_Kind="Lean")*Cap_Ln)))</x:f>
        <x:v>120</x:v>
      </x:c>
      <x:c r="L730" s="10" t="n">
        <x:f>INDEX(v01_HousingCap,G730)*EXP(v01_CapsByProject*SUMPRODUCT((Cap_Point&lt;=I730)*(Cap_Kind="Housing")*Cap_Ln))</x:f>
        <x:v>200</x:v>
      </x:c>
      <x:c r="M730" s="10" t="n">
        <x:f>INDEX(v01_GroupCap,G730)*v01_CohesionFactor*EXP(v01_CapsByProject*SUMPRODUCT((Cap_Point&lt;=I730)*(Cap_Kind="Group")*Cap_Ln))</x:f>
        <x:v>5000</x:v>
      </x:c>
      <x:c r="N730" s="32" t="n">
        <x:f>MIN(J730,L730,M730)</x:f>
        <x:v>120</x:v>
      </x:c>
      <x:c r="O730" s="10" t="n">
        <x:f>AE729*N730</x:f>
        <x:v>840</x:v>
      </x:c>
      <x:c r="P730" s="9" t="n">
        <x:f>MIN(1,(AB729/(AE729*IF(v01_GroupInCrowding=1,N730,MIN(J730,L730))))^v01_CrowdingExp)</x:f>
        <x:v>0.008494365914327812</x:v>
      </x:c>
      <x:c r="Q730" s="9" t="n">
        <x:f>IF(D730=1,INDEX(v01_WinterMult,G730),1)</x:f>
        <x:v>1</x:v>
      </x:c>
      <x:c r="R730" s="9" t="n">
        <x:f>H730*Z729*v01_WomenShare*v01_BaseFertility*INDEX(v01_FertMult,G730)*Arch_Fertility*(1-P730)</x:f>
        <x:v>6.122711892220707</x:v>
      </x:c>
      <x:c r="S730" s="9" t="n">
        <x:f>H730*Y729*INDEX(v01_MortChild,G730)/4*Q730</x:f>
        <x:v>1.271795814904797</x:v>
      </x:c>
      <x:c r="T730" s="9" t="n">
        <x:f>H730*Z729*INDEX(v01_MortAdult,G730)*Arch_AdultMort/4*Q730</x:f>
        <x:v>0.4354283726345081</x:v>
      </x:c>
      <x:c r="U730" s="9" t="n">
        <x:f>H730*AA729*INDEX(v01_MortElder,G730)/4*Q730</x:f>
        <x:v>0.8372335468088021</x:v>
      </x:c>
      <x:c r="V730" s="9" t="n">
        <x:f>H730*MAX(0,AB729-O730)*v01_OvercapLoss</x:f>
        <x:v>0</x:v>
      </x:c>
      <x:c r="W730" s="9" t="n">
        <x:f>H730*Y729/(v01_ChildYears*4)</x:f>
        <x:v>3.02808527358285</x:v>
      </x:c>
      <x:c r="X730" s="9" t="n">
        <x:f>H730*Z729/(v01_AdultYears*4)</x:f>
        <x:v>1.276916048781549</x:v>
      </x:c>
      <x:c r="Y730" s="32" t="n">
        <x:f>Y729+R730-S730-W730-Y729*V730/AB729</x:f>
        <x:v>171.39560612437265</x:v>
      </x:c>
      <x:c r="Z730" s="32" t="n">
        <x:f>Z729+W730-X730-T730-Z729*V730/AB729</x:f>
        <x:v>159.65333090107887</x:v>
      </x:c>
      <x:c r="AA730" s="32" t="n">
        <x:f>AA729+X730-U730-AA729*V730/AB729</x:f>
        <x:v>51.961746920975955</x:v>
      </x:c>
      <x:c r="AB730" s="10" t="n">
        <x:f>Y730+Z730+AA730</x:f>
        <x:v>383.0106839464275</x:v>
      </x:c>
      <x:c r="AC730" s="8" t="n">
        <x:f>IF(AND(v01_WinterTrigger=1,D730=1,AB729/AE729&gt;=K730),1,0)</x:f>
        <x:v>0</x:v>
      </x:c>
      <x:c r="AD730" s="8" t="n">
        <x:f>H730*IF(AND(OR(AB729/AE729&gt;=v01_FissionTrigger*N730,AC730=1),AB729/AE729*v01_DaughterShare&gt;=v01_MinDaughter),MAX(1,ROUND(AE729*v01_FissionRate,0)),0)</x:f>
        <x:v>0</x:v>
      </x:c>
      <x:c r="AE730" s="8" t="n">
        <x:f>IF(H730=1,MAX(1,MIN(INDEX(v01_Smax,G730),AE729+AD730)),AE729)</x:f>
        <x:v>7</x:v>
      </x:c>
      <x:c r="AF730" s="8" t="n">
        <x:f>MAX(0,AE730-AE729)</x:f>
        <x:v>0</x:v>
      </x:c>
      <x:c r="AG730" s="9" t="str">
        <x:f>IF(AF730&gt;0,B730,"")</x:f>
      </x:c>
      <x:c r="AH730" s="9" t="n">
        <x:f>IF(F730&gt;=1,1,(1+v01_LowTiesShare*(AE730-1))/AE730)</x:f>
        <x:v>1</x:v>
      </x:c>
      <x:c r="AI730" s="32" t="n">
        <x:f>(Z730+v01_ElderCommons*INDEX(LM_Elder,G730)*AA730)*AH730</x:f>
        <x:v>315.5385716640068</x:v>
      </x:c>
      <x:c r="AJ730" s="32" t="n">
        <x:f>H730*v01_CommonsCoef*AI730^v01_CommonsExp*INDEX(LM_Commons,G730)</x:f>
        <x:v>87.84934394369323</x:v>
      </x:c>
      <x:c r="AK730" s="32" t="n">
        <x:f>H730*v01_RoleScale*Arch_Roles*(AE730*(INDEX(v01_ElderRolePerSett,G730)*v01_OutElder*INDEX(LM_Elder,G730)+INDEX(v01_ShamanPerSett,G730)*v01_OutShaman)+Z730*(INDEX(v01_PriestShare,G730)*v01_OutPriest+INDEX(v01_ScribeShare,G730)*v01_OutScribe*INDEX(LM_Scribe,G730)+INDEX(v01_ScholarShare,G730)*v01_OutScholar*INDEX(LM_Scholar,G730)+INDEX(v01_ResearcherShare,G730)*v01_OutResearcher*INDEX(LM_Researcher,G730)))</x:f>
        <x:v>22.117573316307553</x:v>
      </x:c>
      <x:c r="AL730" s="32" t="n">
        <x:f>H730*v01_RoleScale*Arch_Roles*AE730*INDEX(v01_MonasteryPerSett,G730)*v01_OutMonastery*INDEX(LM_Monastery,G730)</x:f>
        <x:v>0</x:v>
      </x:c>
      <x:c r="AM730" s="32" t="n">
        <x:f>(AJ730+AK730+AL730)/4*INDEX(LM_All,G730)*INDEX(v01_Boon,G730)*Arch_Insight</x:f>
        <x:v>29.605585564361373</x:v>
      </x:c>
      <x:c r="AN730" s="32" t="n">
        <x:f>H730*(v01_KHPerAdult*Z730+v01_KHOfCommons*AJ730/4*INDEX(LM_All,G730))*v01_KHUsable*Arch_KH</x:f>
        <x:v>5.587866581537761</x:v>
      </x:c>
      <x:c r="AO730" s="32" t="n">
        <x:f>MIN(AP729+AN730,AM730*v01_KHMaxRatio)</x:f>
        <x:v>5.587866581537761</x:v>
      </x:c>
      <x:c r="AP730" s="32" t="n">
        <x:f>AP729+AN730-AO730</x:f>
        <x:v>0</x:v>
      </x:c>
      <x:c r="AQ730" s="32" t="n">
        <x:f>AM730+AO730</x:f>
        <x:v>35.19345214589914</x:v>
      </x:c>
      <x:c r="AR730" s="10" t="n">
        <x:f>IF(H730=1,INDEX(v01_Req,G730),0)</x:f>
        <x:v>9805.661999999998</x:v>
      </x:c>
      <x:c r="AS730" s="32" t="n">
        <x:f>IF(H730=1,IF(E730=1,AS729-AR729,AS729)+AQ730,0)</x:f>
        <x:v>611.4914888402589</x:v>
      </x:c>
      <x:c r="AT730" s="11" t="n">
        <x:f>IF(AR730&gt;0,MIN(1,AS730/AR730),1)</x:f>
        <x:v>0.06236106127666433</x:v>
      </x:c>
      <x:c r="AU730" s="10" t="n">
        <x:f>AB730/INDEX(v01_RepScale,G730)</x:f>
        <x:v>76.6021367892855</x:v>
      </x:c>
      <x:c r="AV730" s="32" t="n">
        <x:f>AM730*60/v01_SeasonSeconds</x:f>
        <x:v>118.4223422574455</x:v>
      </x:c>
    </x:row>
    <x:row r="731">
      <x:c r="A731" s="8" t="n">
        <x:f>A730+1</x:f>
        <x:v>728</x:v>
      </x:c>
      <x:c r="B731" s="9" t="n">
        <x:f>A731*v01_SeasonSeconds/60</x:f>
        <x:v>182</x:v>
      </x:c>
      <x:c r="C731" s="9" t="n">
        <x:f>A731/4</x:f>
        <x:v>182</x:v>
      </x:c>
      <x:c r="D731" s="8" t="n">
        <x:f>IF(MOD(A731,4)=0,1,0)</x:f>
        <x:v>1</x:v>
      </x:c>
      <x:c r="E731" s="8" t="n">
        <x:f>IF(AND(F730&lt;=9,AS730&gt;=AR730),1,0)</x:f>
        <x:v>0</x:v>
      </x:c>
      <x:c r="F731" s="8" t="n">
        <x:f>MIN(10,F730+E731)</x:f>
        <x:v>3</x:v>
      </x:c>
      <x:c r="G731" s="8" t="n">
        <x:f>MIN(F731,9)+1</x:f>
        <x:v>4</x:v>
      </x:c>
      <x:c r="H731" s="8" t="n">
        <x:f>IF(F731&lt;=9,1,0)</x:f>
        <x:v>1</x:v>
      </x:c>
      <x:c r="I731" s="9" t="n">
        <x:f>MIN(10,F730+IF(AR730&gt;0,MIN(1,AS730/AR730),1))</x:f>
        <x:v>3.0623610612766643</x:v>
      </x:c>
      <x:c r="J731" s="32" t="n">
        <x:f>INDEX(v01_FoodCap,G731)*Arch_FoodCap*EXP(v01_CapsByProject*SUMPRODUCT((Cap_Point&lt;=I731)*(Cap_Kind="Food")*Cap_Ln))</x:f>
        <x:v>120</x:v>
      </x:c>
      <x:c r="K731" s="32" t="n">
        <x:f>J731*MIN(1,v01_LeanBase*EXP(v01_CapsByProject*SUMPRODUCT((Cap_Point&lt;=I731)*(Cap_Kind="Lean")*Cap_Ln)))</x:f>
        <x:v>120</x:v>
      </x:c>
      <x:c r="L731" s="10" t="n">
        <x:f>INDEX(v01_HousingCap,G731)*EXP(v01_CapsByProject*SUMPRODUCT((Cap_Point&lt;=I731)*(Cap_Kind="Housing")*Cap_Ln))</x:f>
        <x:v>200</x:v>
      </x:c>
      <x:c r="M731" s="10" t="n">
        <x:f>INDEX(v01_GroupCap,G731)*v01_CohesionFactor*EXP(v01_CapsByProject*SUMPRODUCT((Cap_Point&lt;=I731)*(Cap_Kind="Group")*Cap_Ln))</x:f>
        <x:v>5000</x:v>
      </x:c>
      <x:c r="N731" s="32" t="n">
        <x:f>MIN(J731,L731,M731)</x:f>
        <x:v>120</x:v>
      </x:c>
      <x:c r="O731" s="10" t="n">
        <x:f>AE730*N731</x:f>
        <x:v>840</x:v>
      </x:c>
      <x:c r="P731" s="9" t="n">
        <x:f>MIN(1,(AB730/(AE730*IF(v01_GroupInCrowding=1,N731,MIN(J731,L731))))^v01_CrowdingExp)</x:f>
        <x:v>0.00898648006820212</x:v>
      </x:c>
      <x:c r="Q731" s="9" t="n">
        <x:f>IF(D731=1,INDEX(v01_WinterMult,G731),1)</x:f>
        <x:v>1.15</x:v>
      </x:c>
      <x:c r="R731" s="9" t="n">
        <x:f>H731*Z730*v01_WomenShare*v01_BaseFertility*INDEX(v01_FertMult,G731)*Arch_Fertility*(1-P731)</x:f>
        <x:v>6.170525767579456</x:v>
      </x:c>
      <x:c r="S731" s="9" t="n">
        <x:f>H731*Y730*INDEX(v01_MortChild,G731)/4*Q731</x:f>
        <x:v>1.478287102822714</x:v>
      </x:c>
      <x:c r="T731" s="9" t="n">
        <x:f>H731*Z730*INDEX(v01_MortAdult,G731)*Arch_AdultMort/4*Q731</x:f>
        <x:v>0.5049036589746618</x:v>
      </x:c>
      <x:c r="U731" s="9" t="n">
        <x:f>H731*AA730*INDEX(v01_MortElder,G731)/4*Q731</x:f>
        <x:v>0.9710351455857381</x:v>
      </x:c>
      <x:c r="V731" s="9" t="n">
        <x:f>H731*MAX(0,AB730-O731)*v01_OvercapLoss</x:f>
        <x:v>0</x:v>
      </x:c>
      <x:c r="W731" s="9" t="n">
        <x:f>H731*Y730/(v01_ChildYears*4)</x:f>
        <x:v>3.0606358236495117</x:v>
      </x:c>
      <x:c r="X731" s="9" t="n">
        <x:f>H731*Z730/(v01_AdultYears*4)</x:f>
        <x:v>1.2875268621054747</x:v>
      </x:c>
      <x:c r="Y731" s="32" t="n">
        <x:f>Y730+R731-S731-W731-Y730*V731/AB730</x:f>
        <x:v>173.02720896547987</x:v>
      </x:c>
      <x:c r="Z731" s="32" t="n">
        <x:f>Z730+W731-X731-T731-Z730*V731/AB730</x:f>
        <x:v>160.92153620364826</x:v>
      </x:c>
      <x:c r="AA731" s="32" t="n">
        <x:f>AA730+X731-U731-AA730*V731/AB730</x:f>
        <x:v>52.27823863749569</x:v>
      </x:c>
      <x:c r="AB731" s="10" t="n">
        <x:f>Y731+Z731+AA731</x:f>
        <x:v>386.2269838066238</x:v>
      </x:c>
      <x:c r="AC731" s="8" t="n">
        <x:f>IF(AND(v01_WinterTrigger=1,D731=1,AB730/AE730&gt;=K731),1,0)</x:f>
        <x:v>0</x:v>
      </x:c>
      <x:c r="AD731" s="8" t="n">
        <x:f>H731*IF(AND(OR(AB730/AE730&gt;=v01_FissionTrigger*N731,AC731=1),AB730/AE730*v01_DaughterShare&gt;=v01_MinDaughter),MAX(1,ROUND(AE730*v01_FissionRate,0)),0)</x:f>
        <x:v>0</x:v>
      </x:c>
      <x:c r="AE731" s="8" t="n">
        <x:f>IF(H731=1,MAX(1,MIN(INDEX(v01_Smax,G731),AE730+AD731)),AE730)</x:f>
        <x:v>7</x:v>
      </x:c>
      <x:c r="AF731" s="8" t="n">
        <x:f>MAX(0,AE731-AE730)</x:f>
        <x:v>0</x:v>
      </x:c>
      <x:c r="AG731" s="9" t="str">
        <x:f>IF(AF731&gt;0,B731,"")</x:f>
      </x:c>
      <x:c r="AH731" s="9" t="n">
        <x:f>IF(F731&gt;=1,1,(1+v01_LowTiesShare*(AE731-1))/AE731)</x:f>
        <x:v>1</x:v>
      </x:c>
      <x:c r="AI731" s="32" t="n">
        <x:f>(Z731+v01_ElderCommons*INDEX(LM_Elder,G731)*AA731)*AH731</x:f>
        <x:v>317.75625211613533</x:v>
      </x:c>
      <x:c r="AJ731" s="32" t="n">
        <x:f>H731*v01_CommonsCoef*AI731^v01_CommonsExp*INDEX(LM_Commons,G731)</x:f>
        <x:v>88.37388029547033</x:v>
      </x:c>
      <x:c r="AK731" s="32" t="n">
        <x:f>H731*v01_RoleScale*Arch_Roles*(AE731*(INDEX(v01_ElderRolePerSett,G731)*v01_OutElder*INDEX(LM_Elder,G731)+INDEX(v01_ShamanPerSett,G731)*v01_OutShaman)+Z731*(INDEX(v01_PriestShare,G731)*v01_OutPriest+INDEX(v01_ScribeShare,G731)*v01_OutScribe*INDEX(LM_Scribe,G731)+INDEX(v01_ScholarShare,G731)*v01_OutScholar*INDEX(LM_Scholar,G731)+INDEX(v01_ResearcherShare,G731)*v01_OutResearcher*INDEX(LM_Researcher,G731)))</x:f>
        <x:v>22.126450753425537</x:v>
      </x:c>
      <x:c r="AL731" s="32" t="n">
        <x:f>H731*v01_RoleScale*Arch_Roles*AE731*INDEX(v01_MonasteryPerSett,G731)*v01_OutMonastery*INDEX(LM_Monastery,G731)</x:f>
        <x:v>0</x:v>
      </x:c>
      <x:c r="AM731" s="32" t="n">
        <x:f>(AJ731+AK731+AL731)/4*INDEX(LM_All,G731)*INDEX(v01_Boon,G731)*Arch_Insight</x:f>
        <x:v>29.749192641488087</x:v>
      </x:c>
      <x:c r="AN731" s="32" t="n">
        <x:f>H731*(v01_KHPerAdult*Z731+v01_KHOfCommons*AJ731/4*INDEX(LM_All,G731))*v01_KHUsable*Arch_KH</x:f>
        <x:v>5.632253767127689</x:v>
      </x:c>
      <x:c r="AO731" s="32" t="n">
        <x:f>MIN(AP730+AN731,AM731*v01_KHMaxRatio)</x:f>
        <x:v>5.632253767127689</x:v>
      </x:c>
      <x:c r="AP731" s="32" t="n">
        <x:f>AP730+AN731-AO731</x:f>
        <x:v>0</x:v>
      </x:c>
      <x:c r="AQ731" s="32" t="n">
        <x:f>AM731+AO731</x:f>
        <x:v>35.38144640861577</x:v>
      </x:c>
      <x:c r="AR731" s="10" t="n">
        <x:f>IF(H731=1,INDEX(v01_Req,G731),0)</x:f>
        <x:v>9805.661999999998</x:v>
      </x:c>
      <x:c r="AS731" s="32" t="n">
        <x:f>IF(H731=1,IF(E731=1,AS730-AR730,AS730)+AQ731,0)</x:f>
        <x:v>646.8729352488747</x:v>
      </x:c>
      <x:c r="AT731" s="11" t="n">
        <x:f>IF(AR731&gt;0,MIN(1,AS731/AR731),1)</x:f>
        <x:v>0.06596932825635585</x:v>
      </x:c>
      <x:c r="AU731" s="10" t="n">
        <x:f>AB731/INDEX(v01_RepScale,G731)</x:f>
        <x:v>77.24539676132477</x:v>
      </x:c>
      <x:c r="AV731" s="32" t="n">
        <x:f>AM731*60/v01_SeasonSeconds</x:f>
        <x:v>118.99677056595235</x:v>
      </x:c>
    </x:row>
    <x:row r="732">
      <x:c r="A732" s="8" t="n">
        <x:f>A731+1</x:f>
        <x:v>729</x:v>
      </x:c>
      <x:c r="B732" s="9" t="n">
        <x:f>A732*v01_SeasonSeconds/60</x:f>
        <x:v>182.25</x:v>
      </x:c>
      <x:c r="C732" s="9" t="n">
        <x:f>A732/4</x:f>
        <x:v>182.25</x:v>
      </x:c>
      <x:c r="D732" s="8" t="n">
        <x:f>IF(MOD(A732,4)=0,1,0)</x:f>
        <x:v>0</x:v>
      </x:c>
      <x:c r="E732" s="8" t="n">
        <x:f>IF(AND(F731&lt;=9,AS731&gt;=AR731),1,0)</x:f>
        <x:v>0</x:v>
      </x:c>
      <x:c r="F732" s="8" t="n">
        <x:f>MIN(10,F731+E732)</x:f>
        <x:v>3</x:v>
      </x:c>
      <x:c r="G732" s="8" t="n">
        <x:f>MIN(F732,9)+1</x:f>
        <x:v>4</x:v>
      </x:c>
      <x:c r="H732" s="8" t="n">
        <x:f>IF(F732&lt;=9,1,0)</x:f>
        <x:v>1</x:v>
      </x:c>
      <x:c r="I732" s="9" t="n">
        <x:f>MIN(10,F731+IF(AR731&gt;0,MIN(1,AS731/AR731),1))</x:f>
        <x:v>3.065969328256356</x:v>
      </x:c>
      <x:c r="J732" s="32" t="n">
        <x:f>INDEX(v01_FoodCap,G732)*Arch_FoodCap*EXP(v01_CapsByProject*SUMPRODUCT((Cap_Point&lt;=I732)*(Cap_Kind="Food")*Cap_Ln))</x:f>
        <x:v>120</x:v>
      </x:c>
      <x:c r="K732" s="32" t="n">
        <x:f>J732*MIN(1,v01_LeanBase*EXP(v01_CapsByProject*SUMPRODUCT((Cap_Point&lt;=I732)*(Cap_Kind="Lean")*Cap_Ln)))</x:f>
        <x:v>120</x:v>
      </x:c>
      <x:c r="L732" s="10" t="n">
        <x:f>INDEX(v01_HousingCap,G732)*EXP(v01_CapsByProject*SUMPRODUCT((Cap_Point&lt;=I732)*(Cap_Kind="Housing")*Cap_Ln))</x:f>
        <x:v>200</x:v>
      </x:c>
      <x:c r="M732" s="10" t="n">
        <x:f>INDEX(v01_GroupCap,G732)*v01_CohesionFactor*EXP(v01_CapsByProject*SUMPRODUCT((Cap_Point&lt;=I732)*(Cap_Kind="Group")*Cap_Ln))</x:f>
        <x:v>5000</x:v>
      </x:c>
      <x:c r="N732" s="32" t="n">
        <x:f>MIN(J732,L732,M732)</x:f>
        <x:v>120</x:v>
      </x:c>
      <x:c r="O732" s="10" t="n">
        <x:f>AE731*N732</x:f>
        <x:v>840</x:v>
      </x:c>
      <x:c r="P732" s="9" t="n">
        <x:f>MIN(1,(AB731/(AE731*IF(v01_GroupInCrowding=1,N732,MIN(J732,L732))))^v01_CrowdingExp)</x:f>
        <x:v>0.009448871850463088</x:v>
      </x:c>
      <x:c r="Q732" s="9" t="n">
        <x:f>IF(D732=1,INDEX(v01_WinterMult,G732),1)</x:f>
        <x:v>1</x:v>
      </x:c>
      <x:c r="R732" s="9" t="n">
        <x:f>H732*Z731*v01_WomenShare*v01_BaseFertility*INDEX(v01_FertMult,G732)*Arch_Fertility*(1-P732)</x:f>
        <x:v>6.216639359973133</x:v>
      </x:c>
      <x:c r="S732" s="9" t="n">
        <x:f>H732*Y731*INDEX(v01_MortChild,G732)/4*Q732</x:f>
        <x:v>1.297704067241099</x:v>
      </x:c>
      <x:c r="T732" s="9" t="n">
        <x:f>H732*Z731*INDEX(v01_MortAdult,G732)*Arch_AdultMort/4*Q732</x:f>
        <x:v>0.44253422456003266</x:v>
      </x:c>
      <x:c r="U732" s="9" t="n">
        <x:f>H732*AA731*INDEX(v01_MortElder,G732)/4*Q732</x:f>
        <x:v>0.849521377859305</x:v>
      </x:c>
      <x:c r="V732" s="9" t="n">
        <x:f>H732*MAX(0,AB731-O732)*v01_OvercapLoss</x:f>
        <x:v>0</x:v>
      </x:c>
      <x:c r="W732" s="9" t="n">
        <x:f>H732*Y731/(v01_ChildYears*4)</x:f>
        <x:v>3.0897715886692834</x:v>
      </x:c>
      <x:c r="X732" s="9" t="n">
        <x:f>H732*Z731/(v01_AdultYears*4)</x:f>
        <x:v>1.2977543242229699</x:v>
      </x:c>
      <x:c r="Y732" s="32" t="n">
        <x:f>Y731+R732-S732-W732-Y731*V732/AB731</x:f>
        <x:v>174.85637266954262</x:v>
      </x:c>
      <x:c r="Z732" s="32" t="n">
        <x:f>Z731+W732-X732-T732-Z731*V732/AB731</x:f>
        <x:v>162.27101924353454</x:v>
      </x:c>
      <x:c r="AA732" s="32" t="n">
        <x:f>AA731+X732-U732-AA731*V732/AB731</x:f>
        <x:v>52.72647158385936</x:v>
      </x:c>
      <x:c r="AB732" s="10" t="n">
        <x:f>Y732+Z732+AA732</x:f>
        <x:v>389.8538634969365</x:v>
      </x:c>
      <x:c r="AC732" s="8" t="n">
        <x:f>IF(AND(v01_WinterTrigger=1,D732=1,AB731/AE731&gt;=K732),1,0)</x:f>
        <x:v>0</x:v>
      </x:c>
      <x:c r="AD732" s="8" t="n">
        <x:f>H732*IF(AND(OR(AB731/AE731&gt;=v01_FissionTrigger*N732,AC732=1),AB731/AE731*v01_DaughterShare&gt;=v01_MinDaughter),MAX(1,ROUND(AE731*v01_FissionRate,0)),0)</x:f>
        <x:v>0</x:v>
      </x:c>
      <x:c r="AE732" s="8" t="n">
        <x:f>IF(H732=1,MAX(1,MIN(INDEX(v01_Smax,G732),AE731+AD732)),AE731)</x:f>
        <x:v>7</x:v>
      </x:c>
      <x:c r="AF732" s="8" t="n">
        <x:f>MAX(0,AE732-AE731)</x:f>
        <x:v>0</x:v>
      </x:c>
      <x:c r="AG732" s="9" t="str">
        <x:f>IF(AF732&gt;0,B732,"")</x:f>
      </x:c>
      <x:c r="AH732" s="9" t="n">
        <x:f>IF(F732&gt;=1,1,(1+v01_LowTiesShare*(AE732-1))/AE732)</x:f>
        <x:v>1</x:v>
      </x:c>
      <x:c r="AI732" s="32" t="n">
        <x:f>(Z732+v01_ElderCommons*INDEX(LM_Elder,G732)*AA732)*AH732</x:f>
        <x:v>320.4504339951126</x:v>
      </x:c>
      <x:c r="AJ732" s="32" t="n">
        <x:f>H732*v01_CommonsCoef*AI732^v01_CommonsExp*INDEX(LM_Commons,G732)</x:f>
        <x:v>89.01038305581184</x:v>
      </x:c>
      <x:c r="AK732" s="32" t="n">
        <x:f>H732*v01_RoleScale*Arch_Roles*(AE732*(INDEX(v01_ElderRolePerSett,G732)*v01_OutElder*INDEX(LM_Elder,G732)+INDEX(v01_ShamanPerSett,G732)*v01_OutShaman)+Z732*(INDEX(v01_PriestShare,G732)*v01_OutPriest+INDEX(v01_ScribeShare,G732)*v01_OutScribe*INDEX(LM_Scribe,G732)+INDEX(v01_ScholarShare,G732)*v01_OutScholar*INDEX(LM_Scholar,G732)+INDEX(v01_ResearcherShare,G732)*v01_OutResearcher*INDEX(LM_Researcher,G732)))</x:f>
        <x:v>22.13589713470474</x:v>
      </x:c>
      <x:c r="AL732" s="32" t="n">
        <x:f>H732*v01_RoleScale*Arch_Roles*AE732*INDEX(v01_MonasteryPerSett,G732)*v01_OutMonastery*INDEX(LM_Monastery,G732)</x:f>
        <x:v>0</x:v>
      </x:c>
      <x:c r="AM732" s="32" t="n">
        <x:f>(AJ732+AK732+AL732)/4*INDEX(LM_All,G732)*INDEX(v01_Boon,G732)*Arch_Insight</x:f>
        <x:v>29.92309678519762</x:v>
      </x:c>
      <x:c r="AN732" s="32" t="n">
        <x:f>H732*(v01_KHPerAdult*Z732+v01_KHOfCommons*AJ732/4*INDEX(LM_All,G732))*v01_KHUsable*Arch_KH</x:f>
        <x:v>5.679485673523709</x:v>
      </x:c>
      <x:c r="AO732" s="32" t="n">
        <x:f>MIN(AP731+AN732,AM732*v01_KHMaxRatio)</x:f>
        <x:v>5.679485673523709</x:v>
      </x:c>
      <x:c r="AP732" s="32" t="n">
        <x:f>AP731+AN732-AO732</x:f>
        <x:v>0</x:v>
      </x:c>
      <x:c r="AQ732" s="32" t="n">
        <x:f>AM732+AO732</x:f>
        <x:v>35.60258245872133</x:v>
      </x:c>
      <x:c r="AR732" s="10" t="n">
        <x:f>IF(H732=1,INDEX(v01_Req,G732),0)</x:f>
        <x:v>9805.661999999998</x:v>
      </x:c>
      <x:c r="AS732" s="32" t="n">
        <x:f>IF(H732=1,IF(E732=1,AS731-AR731,AS731)+AQ732,0)</x:f>
        <x:v>682.475517707596</x:v>
      </x:c>
      <x:c r="AT732" s="11" t="n">
        <x:f>IF(AR732&gt;0,MIN(1,AS732/AR732),1)</x:f>
        <x:v>0.06960014710965931</x:v>
      </x:c>
      <x:c r="AU732" s="10" t="n">
        <x:f>AB732/INDEX(v01_RepScale,G732)</x:f>
        <x:v>77.97077269938731</x:v>
      </x:c>
      <x:c r="AV732" s="32" t="n">
        <x:f>AM732*60/v01_SeasonSeconds</x:f>
        <x:v>119.69238714079049</x:v>
      </x:c>
    </x:row>
    <x:row r="733">
      <x:c r="A733" s="8" t="n">
        <x:f>A732+1</x:f>
        <x:v>730</x:v>
      </x:c>
      <x:c r="B733" s="9" t="n">
        <x:f>A733*v01_SeasonSeconds/60</x:f>
        <x:v>182.5</x:v>
      </x:c>
      <x:c r="C733" s="9" t="n">
        <x:f>A733/4</x:f>
        <x:v>182.5</x:v>
      </x:c>
      <x:c r="D733" s="8" t="n">
        <x:f>IF(MOD(A733,4)=0,1,0)</x:f>
        <x:v>0</x:v>
      </x:c>
      <x:c r="E733" s="8" t="n">
        <x:f>IF(AND(F732&lt;=9,AS732&gt;=AR732),1,0)</x:f>
        <x:v>0</x:v>
      </x:c>
      <x:c r="F733" s="8" t="n">
        <x:f>MIN(10,F732+E733)</x:f>
        <x:v>3</x:v>
      </x:c>
      <x:c r="G733" s="8" t="n">
        <x:f>MIN(F733,9)+1</x:f>
        <x:v>4</x:v>
      </x:c>
      <x:c r="H733" s="8" t="n">
        <x:f>IF(F733&lt;=9,1,0)</x:f>
        <x:v>1</x:v>
      </x:c>
      <x:c r="I733" s="9" t="n">
        <x:f>MIN(10,F732+IF(AR732&gt;0,MIN(1,AS732/AR732),1))</x:f>
        <x:v>3.0696001471096594</x:v>
      </x:c>
      <x:c r="J733" s="32" t="n">
        <x:f>INDEX(v01_FoodCap,G733)*Arch_FoodCap*EXP(v01_CapsByProject*SUMPRODUCT((Cap_Point&lt;=I733)*(Cap_Kind="Food")*Cap_Ln))</x:f>
        <x:v>120</x:v>
      </x:c>
      <x:c r="K733" s="32" t="n">
        <x:f>J733*MIN(1,v01_LeanBase*EXP(v01_CapsByProject*SUMPRODUCT((Cap_Point&lt;=I733)*(Cap_Kind="Lean")*Cap_Ln)))</x:f>
        <x:v>120</x:v>
      </x:c>
      <x:c r="L733" s="10" t="n">
        <x:f>INDEX(v01_HousingCap,G733)*EXP(v01_CapsByProject*SUMPRODUCT((Cap_Point&lt;=I733)*(Cap_Kind="Housing")*Cap_Ln))</x:f>
        <x:v>200</x:v>
      </x:c>
      <x:c r="M733" s="10" t="n">
        <x:f>INDEX(v01_GroupCap,G733)*v01_CohesionFactor*EXP(v01_CapsByProject*SUMPRODUCT((Cap_Point&lt;=I733)*(Cap_Kind="Group")*Cap_Ln))</x:f>
        <x:v>5000</x:v>
      </x:c>
      <x:c r="N733" s="32" t="n">
        <x:f>MIN(J733,L733,M733)</x:f>
        <x:v>120</x:v>
      </x:c>
      <x:c r="O733" s="10" t="n">
        <x:f>AE732*N733</x:f>
        <x:v>840</x:v>
      </x:c>
      <x:c r="P733" s="9" t="n">
        <x:f>MIN(1,(AB732/(AE732*IF(v01_GroupInCrowding=1,N733,MIN(J733,L733))))^v01_CrowdingExp)</x:f>
        <x:v>0.009993907801369124</x:v>
      </x:c>
      <x:c r="Q733" s="9" t="n">
        <x:f>IF(D733=1,INDEX(v01_WinterMult,G733),1)</x:f>
        <x:v>1</x:v>
      </x:c>
      <x:c r="R733" s="9" t="n">
        <x:f>H733*Z732*v01_WomenShare*v01_BaseFertility*INDEX(v01_FertMult,G733)*Arch_Fertility*(1-P733)</x:f>
        <x:v>6.265322607896838</x:v>
      </x:c>
      <x:c r="S733" s="9" t="n">
        <x:f>H733*Y732*INDEX(v01_MortChild,G733)/4*Q733</x:f>
        <x:v>1.3114227950215696</x:v>
      </x:c>
      <x:c r="T733" s="9" t="n">
        <x:f>H733*Z732*INDEX(v01_MortAdult,G733)*Arch_AdultMort/4*Q733</x:f>
        <x:v>0.44624530291972</x:v>
      </x:c>
      <x:c r="U733" s="9" t="n">
        <x:f>H733*AA732*INDEX(v01_MortElder,G733)/4*Q733</x:f>
        <x:v>0.8568051632377146</x:v>
      </x:c>
      <x:c r="V733" s="9" t="n">
        <x:f>H733*MAX(0,AB732-O733)*v01_OvercapLoss</x:f>
        <x:v>0</x:v>
      </x:c>
      <x:c r="W733" s="9" t="n">
        <x:f>H733*Y732/(v01_ChildYears*4)</x:f>
        <x:v>3.1224352262418327</x:v>
      </x:c>
      <x:c r="X733" s="9" t="n">
        <x:f>H733*Z732/(v01_AdultYears*4)</x:f>
        <x:v>1.3086372519639882</x:v>
      </x:c>
      <x:c r="Y733" s="32" t="n">
        <x:f>Y732+R733-S733-W733-Y732*V733/AB732</x:f>
        <x:v>176.68783725617607</x:v>
      </x:c>
      <x:c r="Z733" s="32" t="n">
        <x:f>Z732+W733-X733-T733-Z732*V733/AB732</x:f>
        <x:v>163.63857191489265</x:v>
      </x:c>
      <x:c r="AA733" s="32" t="n">
        <x:f>AA732+X733-U733-AA732*V733/AB732</x:f>
        <x:v>53.17830367258563</x:v>
      </x:c>
      <x:c r="AB733" s="10" t="n">
        <x:f>Y733+Z733+AA733</x:f>
        <x:v>393.5047128436543</x:v>
      </x:c>
      <x:c r="AC733" s="8" t="n">
        <x:f>IF(AND(v01_WinterTrigger=1,D733=1,AB732/AE732&gt;=K733),1,0)</x:f>
        <x:v>0</x:v>
      </x:c>
      <x:c r="AD733" s="8" t="n">
        <x:f>H733*IF(AND(OR(AB732/AE732&gt;=v01_FissionTrigger*N733,AC733=1),AB732/AE732*v01_DaughterShare&gt;=v01_MinDaughter),MAX(1,ROUND(AE732*v01_FissionRate,0)),0)</x:f>
        <x:v>0</x:v>
      </x:c>
      <x:c r="AE733" s="8" t="n">
        <x:f>IF(H733=1,MAX(1,MIN(INDEX(v01_Smax,G733),AE732+AD733)),AE732)</x:f>
        <x:v>7</x:v>
      </x:c>
      <x:c r="AF733" s="8" t="n">
        <x:f>MAX(0,AE733-AE732)</x:f>
        <x:v>0</x:v>
      </x:c>
      <x:c r="AG733" s="9" t="str">
        <x:f>IF(AF733&gt;0,B733,"")</x:f>
      </x:c>
      <x:c r="AH733" s="9" t="n">
        <x:f>IF(F733&gt;=1,1,(1+v01_LowTiesShare*(AE733-1))/AE733)</x:f>
        <x:v>1</x:v>
      </x:c>
      <x:c r="AI733" s="32" t="n">
        <x:f>(Z733+v01_ElderCommons*INDEX(LM_Elder,G733)*AA733)*AH733</x:f>
        <x:v>323.17348293264956</x:v>
      </x:c>
      <x:c r="AJ733" s="32" t="n">
        <x:f>H733*v01_CommonsCoef*AI733^v01_CommonsExp*INDEX(LM_Commons,G733)</x:f>
        <x:v>89.65289055997808</x:v>
      </x:c>
      <x:c r="AK733" s="32" t="n">
        <x:f>H733*v01_RoleScale*Arch_Roles*(AE733*(INDEX(v01_ElderRolePerSett,G733)*v01_OutElder*INDEX(LM_Elder,G733)+INDEX(v01_ShamanPerSett,G733)*v01_OutShaman)+Z733*(INDEX(v01_PriestShare,G733)*v01_OutPriest+INDEX(v01_ScribeShare,G733)*v01_OutScribe*INDEX(LM_Scribe,G733)+INDEX(v01_ScholarShare,G733)*v01_OutScholar*INDEX(LM_Scholar,G733)+INDEX(v01_ResearcherShare,G733)*v01_OutResearcher*INDEX(LM_Researcher,G733)))</x:f>
        <x:v>22.14547000340425</x:v>
      </x:c>
      <x:c r="AL733" s="32" t="n">
        <x:f>H733*v01_RoleScale*Arch_Roles*AE733*INDEX(v01_MonasteryPerSett,G733)*v01_OutMonastery*INDEX(LM_Monastery,G733)</x:f>
        <x:v>0</x:v>
      </x:c>
      <x:c r="AM733" s="32" t="n">
        <x:f>(AJ733+AK733+AL733)/4*INDEX(LM_All,G733)*INDEX(v01_Boon,G733)*Arch_Insight</x:f>
        <x:v>30.098651595269025</x:v>
      </x:c>
      <x:c r="AN733" s="32" t="n">
        <x:f>H733*(v01_KHPerAdult*Z733+v01_KHOfCommons*AJ733/4*INDEX(LM_All,G733))*v01_KHUsable*Arch_KH</x:f>
        <x:v>5.727350017021243</x:v>
      </x:c>
      <x:c r="AO733" s="32" t="n">
        <x:f>MIN(AP732+AN733,AM733*v01_KHMaxRatio)</x:f>
        <x:v>5.727350017021243</x:v>
      </x:c>
      <x:c r="AP733" s="32" t="n">
        <x:f>AP732+AN733-AO733</x:f>
        <x:v>0</x:v>
      </x:c>
      <x:c r="AQ733" s="32" t="n">
        <x:f>AM733+AO733</x:f>
        <x:v>35.82600161229027</x:v>
      </x:c>
      <x:c r="AR733" s="10" t="n">
        <x:f>IF(H733=1,INDEX(v01_Req,G733),0)</x:f>
        <x:v>9805.661999999998</x:v>
      </x:c>
      <x:c r="AS733" s="32" t="n">
        <x:f>IF(H733=1,IF(E733=1,AS732-AR732,AS732)+AQ733,0)</x:f>
        <x:v>718.3015193198863</x:v>
      </x:c>
      <x:c r="AT733" s="11" t="n">
        <x:f>IF(AR733&gt;0,MIN(1,AS733/AR733),1)</x:f>
        <x:v>0.07325375067179415</x:v>
      </x:c>
      <x:c r="AU733" s="10" t="n">
        <x:f>AB733/INDEX(v01_RepScale,G733)</x:f>
        <x:v>78.70094256873087</x:v>
      </x:c>
      <x:c r="AV733" s="32" t="n">
        <x:f>AM733*60/v01_SeasonSeconds</x:f>
        <x:v>120.3946063810761</x:v>
      </x:c>
    </x:row>
    <x:row r="734">
      <x:c r="A734" s="8" t="n">
        <x:f>A733+1</x:f>
        <x:v>731</x:v>
      </x:c>
      <x:c r="B734" s="9" t="n">
        <x:f>A734*v01_SeasonSeconds/60</x:f>
        <x:v>182.75</x:v>
      </x:c>
      <x:c r="C734" s="9" t="n">
        <x:f>A734/4</x:f>
        <x:v>182.75</x:v>
      </x:c>
      <x:c r="D734" s="8" t="n">
        <x:f>IF(MOD(A734,4)=0,1,0)</x:f>
        <x:v>0</x:v>
      </x:c>
      <x:c r="E734" s="8" t="n">
        <x:f>IF(AND(F733&lt;=9,AS733&gt;=AR733),1,0)</x:f>
        <x:v>0</x:v>
      </x:c>
      <x:c r="F734" s="8" t="n">
        <x:f>MIN(10,F733+E734)</x:f>
        <x:v>3</x:v>
      </x:c>
      <x:c r="G734" s="8" t="n">
        <x:f>MIN(F734,9)+1</x:f>
        <x:v>4</x:v>
      </x:c>
      <x:c r="H734" s="8" t="n">
        <x:f>IF(F734&lt;=9,1,0)</x:f>
        <x:v>1</x:v>
      </x:c>
      <x:c r="I734" s="9" t="n">
        <x:f>MIN(10,F733+IF(AR733&gt;0,MIN(1,AS733/AR733),1))</x:f>
        <x:v>3.0732537506717943</x:v>
      </x:c>
      <x:c r="J734" s="32" t="n">
        <x:f>INDEX(v01_FoodCap,G734)*Arch_FoodCap*EXP(v01_CapsByProject*SUMPRODUCT((Cap_Point&lt;=I734)*(Cap_Kind="Food")*Cap_Ln))</x:f>
        <x:v>120</x:v>
      </x:c>
      <x:c r="K734" s="32" t="n">
        <x:f>J734*MIN(1,v01_LeanBase*EXP(v01_CapsByProject*SUMPRODUCT((Cap_Point&lt;=I734)*(Cap_Kind="Lean")*Cap_Ln)))</x:f>
        <x:v>120</x:v>
      </x:c>
      <x:c r="L734" s="10" t="n">
        <x:f>INDEX(v01_HousingCap,G734)*EXP(v01_CapsByProject*SUMPRODUCT((Cap_Point&lt;=I734)*(Cap_Kind="Housing")*Cap_Ln))</x:f>
        <x:v>200</x:v>
      </x:c>
      <x:c r="M734" s="10" t="n">
        <x:f>INDEX(v01_GroupCap,G734)*v01_CohesionFactor*EXP(v01_CapsByProject*SUMPRODUCT((Cap_Point&lt;=I734)*(Cap_Kind="Group")*Cap_Ln))</x:f>
        <x:v>5000</x:v>
      </x:c>
      <x:c r="N734" s="32" t="n">
        <x:f>MIN(J734,L734,M734)</x:f>
        <x:v>120</x:v>
      </x:c>
      <x:c r="O734" s="10" t="n">
        <x:f>AE733*N734</x:f>
        <x:v>840</x:v>
      </x:c>
      <x:c r="P734" s="9" t="n">
        <x:f>MIN(1,(AB733/(AE733*IF(v01_GroupInCrowding=1,N734,MIN(J734,L734))))^v01_CrowdingExp)</x:f>
        <x:v>0.010568756990107413</x:v>
      </x:c>
      <x:c r="Q734" s="9" t="n">
        <x:f>IF(D734=1,INDEX(v01_WinterMult,G734),1)</x:f>
        <x:v>1</x:v>
      </x:c>
      <x:c r="R734" s="9" t="n">
        <x:f>H734*Z733*v01_WomenShare*v01_BaseFertility*INDEX(v01_FertMult,G734)*Arch_Fertility*(1-P734)</x:f>
        <x:v>6.314455508950521</x:v>
      </x:c>
      <x:c r="S734" s="9" t="n">
        <x:f>H734*Y733*INDEX(v01_MortChild,G734)/4*Q734</x:f>
        <x:v>1.3251587794213204</x:v>
      </x:c>
      <x:c r="T734" s="9" t="n">
        <x:f>H734*Z733*INDEX(v01_MortAdult,G734)*Arch_AdultMort/4*Q734</x:f>
        <x:v>0.4500060727659548</x:v>
      </x:c>
      <x:c r="U734" s="9" t="n">
        <x:f>H734*AA733*INDEX(v01_MortElder,G734)/4*Q734</x:f>
        <x:v>0.8641474346795165</x:v>
      </x:c>
      <x:c r="V734" s="9" t="n">
        <x:f>H734*MAX(0,AB733-O734)*v01_OvercapLoss</x:f>
        <x:v>0</x:v>
      </x:c>
      <x:c r="W734" s="9" t="n">
        <x:f>H734*Y733/(v01_ChildYears*4)</x:f>
        <x:v>3.155139951003144</x:v>
      </x:c>
      <x:c r="X734" s="9" t="n">
        <x:f>H734*Z733/(v01_AdultYears*4)</x:f>
        <x:v>1.3196659025394568</x:v>
      </x:c>
      <x:c r="Y734" s="32" t="n">
        <x:f>Y733+R734-S734-W734-Y733*V734/AB733</x:f>
        <x:v>178.52199403470212</x:v>
      </x:c>
      <x:c r="Z734" s="32" t="n">
        <x:f>Z733+W734-X734-T734-Z733*V734/AB733</x:f>
        <x:v>165.0240398905904</x:v>
      </x:c>
      <x:c r="AA734" s="32" t="n">
        <x:f>AA733+X734-U734-AA733*V734/AB733</x:f>
        <x:v>53.63382214044557</x:v>
      </x:c>
      <x:c r="AB734" s="10" t="n">
        <x:f>Y734+Z734+AA734</x:f>
        <x:v>397.179856065738</x:v>
      </x:c>
      <x:c r="AC734" s="8" t="n">
        <x:f>IF(AND(v01_WinterTrigger=1,D734=1,AB733/AE733&gt;=K734),1,0)</x:f>
        <x:v>0</x:v>
      </x:c>
      <x:c r="AD734" s="8" t="n">
        <x:f>H734*IF(AND(OR(AB733/AE733&gt;=v01_FissionTrigger*N734,AC734=1),AB733/AE733*v01_DaughterShare&gt;=v01_MinDaughter),MAX(1,ROUND(AE733*v01_FissionRate,0)),0)</x:f>
        <x:v>0</x:v>
      </x:c>
      <x:c r="AE734" s="8" t="n">
        <x:f>IF(H734=1,MAX(1,MIN(INDEX(v01_Smax,G734),AE733+AD734)),AE733)</x:f>
        <x:v>7</x:v>
      </x:c>
      <x:c r="AF734" s="8" t="n">
        <x:f>MAX(0,AE734-AE733)</x:f>
        <x:v>0</x:v>
      </x:c>
      <x:c r="AG734" s="9" t="str">
        <x:f>IF(AF734&gt;0,B734,"")</x:f>
      </x:c>
      <x:c r="AH734" s="9" t="n">
        <x:f>IF(F734&gt;=1,1,(1+v01_LowTiesShare*(AE734-1))/AE734)</x:f>
        <x:v>1</x:v>
      </x:c>
      <x:c r="AI734" s="32" t="n">
        <x:f>(Z734+v01_ElderCommons*INDEX(LM_Elder,G734)*AA734)*AH734</x:f>
        <x:v>325.92550631192705</x:v>
      </x:c>
      <x:c r="AJ734" s="32" t="n">
        <x:f>H734*v01_CommonsCoef*AI734^v01_CommonsExp*INDEX(LM_Commons,G734)</x:f>
        <x:v>90.30141009726313</x:v>
      </x:c>
      <x:c r="AK734" s="32" t="n">
        <x:f>H734*v01_RoleScale*Arch_Roles*(AE734*(INDEX(v01_ElderRolePerSett,G734)*v01_OutElder*INDEX(LM_Elder,G734)+INDEX(v01_ShamanPerSett,G734)*v01_OutShaman)+Z734*(INDEX(v01_PriestShare,G734)*v01_OutPriest+INDEX(v01_ScribeShare,G734)*v01_OutScribe*INDEX(LM_Scribe,G734)+INDEX(v01_ScholarShare,G734)*v01_OutScholar*INDEX(LM_Scholar,G734)+INDEX(v01_ResearcherShare,G734)*v01_OutResearcher*INDEX(LM_Researcher,G734)))</x:f>
        <x:v>22.155168279234132</x:v>
      </x:c>
      <x:c r="AL734" s="32" t="n">
        <x:f>H734*v01_RoleScale*Arch_Roles*AE734*INDEX(v01_MonasteryPerSett,G734)*v01_OutMonastery*INDEX(LM_Monastery,G734)</x:f>
        <x:v>0</x:v>
      </x:c>
      <x:c r="AM734" s="32" t="n">
        <x:f>(AJ734+AK734+AL734)/4*INDEX(LM_All,G734)*INDEX(v01_Boon,G734)*Arch_Insight</x:f>
        <x:v>30.275858743306895</x:v>
      </x:c>
      <x:c r="AN734" s="32" t="n">
        <x:f>H734*(v01_KHPerAdult*Z734+v01_KHOfCommons*AJ734/4*INDEX(LM_All,G734))*v01_KHUsable*Arch_KH</x:f>
        <x:v>5.775841396170664</x:v>
      </x:c>
      <x:c r="AO734" s="32" t="n">
        <x:f>MIN(AP733+AN734,AM734*v01_KHMaxRatio)</x:f>
        <x:v>5.775841396170664</x:v>
      </x:c>
      <x:c r="AP734" s="32" t="n">
        <x:f>AP733+AN734-AO734</x:f>
        <x:v>0</x:v>
      </x:c>
      <x:c r="AQ734" s="32" t="n">
        <x:f>AM734+AO734</x:f>
        <x:v>36.05170013947756</x:v>
      </x:c>
      <x:c r="AR734" s="10" t="n">
        <x:f>IF(H734=1,INDEX(v01_Req,G734),0)</x:f>
        <x:v>9805.661999999998</x:v>
      </x:c>
      <x:c r="AS734" s="32" t="n">
        <x:f>IF(H734=1,IF(E734=1,AS733-AR733,AS733)+AQ734,0)</x:f>
        <x:v>754.3532194593639</x:v>
      </x:c>
      <x:c r="AT734" s="11" t="n">
        <x:f>IF(AR734&gt;0,MIN(1,AS734/AR734),1)</x:f>
        <x:v>0.07693037139760314</x:v>
      </x:c>
      <x:c r="AU734" s="10" t="n">
        <x:f>AB734/INDEX(v01_RepScale,G734)</x:f>
        <x:v>79.43597121314761</x:v>
      </x:c>
      <x:c r="AV734" s="32" t="n">
        <x:f>AM734*60/v01_SeasonSeconds</x:f>
        <x:v>121.10343497322758</x:v>
      </x:c>
    </x:row>
    <x:row r="735">
      <x:c r="A735" s="8" t="n">
        <x:f>A734+1</x:f>
        <x:v>732</x:v>
      </x:c>
      <x:c r="B735" s="9" t="n">
        <x:f>A735*v01_SeasonSeconds/60</x:f>
        <x:v>183</x:v>
      </x:c>
      <x:c r="C735" s="9" t="n">
        <x:f>A735/4</x:f>
        <x:v>183</x:v>
      </x:c>
      <x:c r="D735" s="8" t="n">
        <x:f>IF(MOD(A735,4)=0,1,0)</x:f>
        <x:v>1</x:v>
      </x:c>
      <x:c r="E735" s="8" t="n">
        <x:f>IF(AND(F734&lt;=9,AS734&gt;=AR734),1,0)</x:f>
        <x:v>0</x:v>
      </x:c>
      <x:c r="F735" s="8" t="n">
        <x:f>MIN(10,F734+E735)</x:f>
        <x:v>3</x:v>
      </x:c>
      <x:c r="G735" s="8" t="n">
        <x:f>MIN(F735,9)+1</x:f>
        <x:v>4</x:v>
      </x:c>
      <x:c r="H735" s="8" t="n">
        <x:f>IF(F735&lt;=9,1,0)</x:f>
        <x:v>1</x:v>
      </x:c>
      <x:c r="I735" s="9" t="n">
        <x:f>MIN(10,F734+IF(AR734&gt;0,MIN(1,AS734/AR734),1))</x:f>
        <x:v>3.0769303713976033</x:v>
      </x:c>
      <x:c r="J735" s="32" t="n">
        <x:f>INDEX(v01_FoodCap,G735)*Arch_FoodCap*EXP(v01_CapsByProject*SUMPRODUCT((Cap_Point&lt;=I735)*(Cap_Kind="Food")*Cap_Ln))</x:f>
        <x:v>120</x:v>
      </x:c>
      <x:c r="K735" s="32" t="n">
        <x:f>J735*MIN(1,v01_LeanBase*EXP(v01_CapsByProject*SUMPRODUCT((Cap_Point&lt;=I735)*(Cap_Kind="Lean")*Cap_Ln)))</x:f>
        <x:v>120</x:v>
      </x:c>
      <x:c r="L735" s="10" t="n">
        <x:f>INDEX(v01_HousingCap,G735)*EXP(v01_CapsByProject*SUMPRODUCT((Cap_Point&lt;=I735)*(Cap_Kind="Housing")*Cap_Ln))</x:f>
        <x:v>200</x:v>
      </x:c>
      <x:c r="M735" s="10" t="n">
        <x:f>INDEX(v01_GroupCap,G735)*v01_CohesionFactor*EXP(v01_CapsByProject*SUMPRODUCT((Cap_Point&lt;=I735)*(Cap_Kind="Group")*Cap_Ln))</x:f>
        <x:v>5000</x:v>
      </x:c>
      <x:c r="N735" s="32" t="n">
        <x:f>MIN(J735,L735,M735)</x:f>
        <x:v>120</x:v>
      </x:c>
      <x:c r="O735" s="10" t="n">
        <x:f>AE734*N735</x:f>
        <x:v>840</x:v>
      </x:c>
      <x:c r="P735" s="9" t="n">
        <x:f>MIN(1,(AB734/(AE734*IF(v01_GroupInCrowding=1,N735,MIN(J735,L735))))^v01_CrowdingExp)</x:f>
        <x:v>0.011175000935694165</x:v>
      </x:c>
      <x:c r="Q735" s="9" t="n">
        <x:f>IF(D735=1,INDEX(v01_WinterMult,G735),1)</x:f>
        <x:v>1.15</x:v>
      </x:c>
      <x:c r="R735" s="9" t="n">
        <x:f>H735*Z734*v01_WomenShare*v01_BaseFertility*INDEX(v01_FertMult,G735)*Arch_Fertility*(1-P735)</x:f>
        <x:v>6.3640159475256395</x:v>
      </x:c>
      <x:c r="S735" s="9" t="n">
        <x:f>H735*Y734*INDEX(v01_MortChild,G735)/4*Q735</x:f>
        <x:v>1.5397521985493057</x:v>
      </x:c>
      <x:c r="T735" s="9" t="n">
        <x:f>H735*Z734*INDEX(v01_MortAdult,G735)*Arch_AdultMort/4*Q735</x:f>
        <x:v>0.5218885261539921</x:v>
      </x:c>
      <x:c r="U735" s="9" t="n">
        <x:f>H735*AA734*INDEX(v01_MortElder,G735)/4*Q735</x:f>
        <x:v>1.0022820512495765</x:v>
      </x:c>
      <x:c r="V735" s="9" t="n">
        <x:f>H735*MAX(0,AB734-O735)*v01_OvercapLoss</x:f>
        <x:v>0</x:v>
      </x:c>
      <x:c r="W735" s="9" t="n">
        <x:f>H735*Y734/(v01_ChildYears*4)</x:f>
        <x:v>3.187892750619681</x:v>
      </x:c>
      <x:c r="X735" s="9" t="n">
        <x:f>H735*Z734/(v01_AdultYears*4)</x:f>
        <x:v>1.330839031375729</x:v>
      </x:c>
      <x:c r="Y735" s="32" t="n">
        <x:f>Y734+R735-S735-W735-Y734*V735/AB734</x:f>
        <x:v>180.15836503305877</x:v>
      </x:c>
      <x:c r="Z735" s="32" t="n">
        <x:f>Z734+W735-X735-T735-Z734*V735/AB734</x:f>
        <x:v>166.35920508368037</x:v>
      </x:c>
      <x:c r="AA735" s="32" t="n">
        <x:f>AA734+X735-U735-AA734*V735/AB734</x:f>
        <x:v>53.96237912057172</x:v>
      </x:c>
      <x:c r="AB735" s="10" t="n">
        <x:f>Y735+Z735+AA735</x:f>
        <x:v>400.47994923731085</x:v>
      </x:c>
      <x:c r="AC735" s="8" t="n">
        <x:f>IF(AND(v01_WinterTrigger=1,D735=1,AB734/AE734&gt;=K735),1,0)</x:f>
        <x:v>0</x:v>
      </x:c>
      <x:c r="AD735" s="8" t="n">
        <x:f>H735*IF(AND(OR(AB734/AE734&gt;=v01_FissionTrigger*N735,AC735=1),AB734/AE734*v01_DaughterShare&gt;=v01_MinDaughter),MAX(1,ROUND(AE734*v01_FissionRate,0)),0)</x:f>
        <x:v>0</x:v>
      </x:c>
      <x:c r="AE735" s="8" t="n">
        <x:f>IF(H735=1,MAX(1,MIN(INDEX(v01_Smax,G735),AE734+AD735)),AE734)</x:f>
        <x:v>7</x:v>
      </x:c>
      <x:c r="AF735" s="8" t="n">
        <x:f>MAX(0,AE735-AE734)</x:f>
        <x:v>0</x:v>
      </x:c>
      <x:c r="AG735" s="9" t="str">
        <x:f>IF(AF735&gt;0,B735,"")</x:f>
      </x:c>
      <x:c r="AH735" s="9" t="n">
        <x:f>IF(F735&gt;=1,1,(1+v01_LowTiesShare*(AE735-1))/AE735)</x:f>
        <x:v>1</x:v>
      </x:c>
      <x:c r="AI735" s="32" t="n">
        <x:f>(Z735+v01_ElderCommons*INDEX(LM_Elder,G735)*AA735)*AH735</x:f>
        <x:v>328.2463424453955</x:v>
      </x:c>
      <x:c r="AJ735" s="32" t="n">
        <x:f>H735*v01_CommonsCoef*AI735^v01_CommonsExp*INDEX(LM_Commons,G735)</x:f>
        <x:v>90.84768118771242</x:v>
      </x:c>
      <x:c r="AK735" s="32" t="n">
        <x:f>H735*v01_RoleScale*Arch_Roles*(AE735*(INDEX(v01_ElderRolePerSett,G735)*v01_OutElder*INDEX(LM_Elder,G735)+INDEX(v01_ShamanPerSett,G735)*v01_OutShaman)+Z735*(INDEX(v01_PriestShare,G735)*v01_OutPriest+INDEX(v01_ScribeShare,G735)*v01_OutScribe*INDEX(LM_Scribe,G735)+INDEX(v01_ScholarShare,G735)*v01_OutScholar*INDEX(LM_Scholar,G735)+INDEX(v01_ResearcherShare,G735)*v01_OutResearcher*INDEX(LM_Researcher,G735)))</x:f>
        <x:v>22.16451443558576</x:v>
      </x:c>
      <x:c r="AL735" s="32" t="n">
        <x:f>H735*v01_RoleScale*Arch_Roles*AE735*INDEX(v01_MonasteryPerSett,G735)*v01_OutMonastery*INDEX(LM_Monastery,G735)</x:f>
        <x:v>0</x:v>
      </x:c>
      <x:c r="AM735" s="32" t="n">
        <x:f>(AJ735+AK735+AL735)/4*INDEX(LM_All,G735)*INDEX(v01_Boon,G735)*Arch_Insight</x:f>
        <x:v>30.42544349434895</x:v>
      </x:c>
      <x:c r="AN735" s="32" t="n">
        <x:f>H735*(v01_KHPerAdult*Z735+v01_KHOfCommons*AJ735/4*INDEX(LM_All,G735))*v01_KHUsable*Arch_KH</x:f>
        <x:v>5.822572177928813</x:v>
      </x:c>
      <x:c r="AO735" s="32" t="n">
        <x:f>MIN(AP734+AN735,AM735*v01_KHMaxRatio)</x:f>
        <x:v>5.822572177928813</x:v>
      </x:c>
      <x:c r="AP735" s="32" t="n">
        <x:f>AP734+AN735-AO735</x:f>
        <x:v>0</x:v>
      </x:c>
      <x:c r="AQ735" s="32" t="n">
        <x:f>AM735+AO735</x:f>
        <x:v>36.248015672277766</x:v>
      </x:c>
      <x:c r="AR735" s="10" t="n">
        <x:f>IF(H735=1,INDEX(v01_Req,G735),0)</x:f>
        <x:v>9805.661999999998</x:v>
      </x:c>
      <x:c r="AS735" s="32" t="n">
        <x:f>IF(H735=1,IF(E735=1,AS734-AR734,AS734)+AQ735,0)</x:f>
        <x:v>790.6012351316417</x:v>
      </x:c>
      <x:c r="AT735" s="11" t="n">
        <x:f>IF(AR735&gt;0,MIN(1,AS735/AR735),1)</x:f>
        <x:v>0.08062701275361539</x:v>
      </x:c>
      <x:c r="AU735" s="10" t="n">
        <x:f>AB735/INDEX(v01_RepScale,G735)</x:f>
        <x:v>80.09598984746216</x:v>
      </x:c>
      <x:c r="AV735" s="32" t="n">
        <x:f>AM735*60/v01_SeasonSeconds</x:f>
        <x:v>121.7017739773958</x:v>
      </x:c>
    </x:row>
    <x:row r="736">
      <x:c r="A736" s="8" t="n">
        <x:f>A735+1</x:f>
        <x:v>733</x:v>
      </x:c>
      <x:c r="B736" s="9" t="n">
        <x:f>A736*v01_SeasonSeconds/60</x:f>
        <x:v>183.25</x:v>
      </x:c>
      <x:c r="C736" s="9" t="n">
        <x:f>A736/4</x:f>
        <x:v>183.25</x:v>
      </x:c>
      <x:c r="D736" s="8" t="n">
        <x:f>IF(MOD(A736,4)=0,1,0)</x:f>
        <x:v>0</x:v>
      </x:c>
      <x:c r="E736" s="8" t="n">
        <x:f>IF(AND(F735&lt;=9,AS735&gt;=AR735),1,0)</x:f>
        <x:v>0</x:v>
      </x:c>
      <x:c r="F736" s="8" t="n">
        <x:f>MIN(10,F735+E736)</x:f>
        <x:v>3</x:v>
      </x:c>
      <x:c r="G736" s="8" t="n">
        <x:f>MIN(F736,9)+1</x:f>
        <x:v>4</x:v>
      </x:c>
      <x:c r="H736" s="8" t="n">
        <x:f>IF(F736&lt;=9,1,0)</x:f>
        <x:v>1</x:v>
      </x:c>
      <x:c r="I736" s="9" t="n">
        <x:f>MIN(10,F735+IF(AR735&gt;0,MIN(1,AS735/AR735),1))</x:f>
        <x:v>3.0806270127536153</x:v>
      </x:c>
      <x:c r="J736" s="32" t="n">
        <x:f>INDEX(v01_FoodCap,G736)*Arch_FoodCap*EXP(v01_CapsByProject*SUMPRODUCT((Cap_Point&lt;=I736)*(Cap_Kind="Food")*Cap_Ln))</x:f>
        <x:v>120</x:v>
      </x:c>
      <x:c r="K736" s="32" t="n">
        <x:f>J736*MIN(1,v01_LeanBase*EXP(v01_CapsByProject*SUMPRODUCT((Cap_Point&lt;=I736)*(Cap_Kind="Lean")*Cap_Ln)))</x:f>
        <x:v>120</x:v>
      </x:c>
      <x:c r="L736" s="10" t="n">
        <x:f>INDEX(v01_HousingCap,G736)*EXP(v01_CapsByProject*SUMPRODUCT((Cap_Point&lt;=I736)*(Cap_Kind="Housing")*Cap_Ln))</x:f>
        <x:v>200</x:v>
      </x:c>
      <x:c r="M736" s="10" t="n">
        <x:f>INDEX(v01_GroupCap,G736)*v01_CohesionFactor*EXP(v01_CapsByProject*SUMPRODUCT((Cap_Point&lt;=I736)*(Cap_Kind="Group")*Cap_Ln))</x:f>
        <x:v>5000</x:v>
      </x:c>
      <x:c r="N736" s="32" t="n">
        <x:f>MIN(J736,L736,M736)</x:f>
        <x:v>120</x:v>
      </x:c>
      <x:c r="O736" s="10" t="n">
        <x:f>AE735*N736</x:f>
        <x:v>840</x:v>
      </x:c>
      <x:c r="P736" s="9" t="n">
        <x:f>MIN(1,(AB735/(AE735*IF(v01_GroupInCrowding=1,N736,MIN(J736,L736))))^v01_CrowdingExp)</x:f>
        <x:v>0.011743808124089051</x:v>
      </x:c>
      <x:c r="Q736" s="9" t="n">
        <x:f>IF(D736=1,INDEX(v01_WinterMult,G736),1)</x:f>
        <x:v>1</x:v>
      </x:c>
      <x:c r="R736" s="9" t="n">
        <x:f>H736*Z735*v01_WomenShare*v01_BaseFertility*INDEX(v01_FertMult,G736)*Arch_Fertility*(1-P736)</x:f>
        <x:v>6.411815065480565</x:v>
      </x:c>
      <x:c r="S736" s="9" t="n">
        <x:f>H736*Y735*INDEX(v01_MortChild,G736)/4*Q736</x:f>
        <x:v>1.3511877377479407</x:v>
      </x:c>
      <x:c r="T736" s="9" t="n">
        <x:f>H736*Z735*INDEX(v01_MortAdult,G736)*Arch_AdultMort/4*Q736</x:f>
        <x:v>0.45748781398012095</x:v>
      </x:c>
      <x:c r="U736" s="9" t="n">
        <x:f>H736*AA735*INDEX(v01_MortElder,G736)/4*Q736</x:f>
        <x:v>0.8768886607092905</x:v>
      </x:c>
      <x:c r="V736" s="9" t="n">
        <x:f>H736*MAX(0,AB735-O736)*v01_OvercapLoss</x:f>
        <x:v>0</x:v>
      </x:c>
      <x:c r="W736" s="9" t="n">
        <x:f>H736*Y735/(v01_ChildYears*4)</x:f>
        <x:v>3.2171136613046207</x:v>
      </x:c>
      <x:c r="X736" s="9" t="n">
        <x:f>H736*Z735/(v01_AdultYears*4)</x:f>
        <x:v>1.3416064926103255</x:v>
      </x:c>
      <x:c r="Y736" s="32" t="n">
        <x:f>Y735+R736-S736-W736-Y735*V736/AB735</x:f>
        <x:v>182.00187869948678</x:v>
      </x:c>
      <x:c r="Z736" s="32" t="n">
        <x:f>Z735+W736-X736-T736-Z735*V736/AB735</x:f>
        <x:v>167.7772244383945</x:v>
      </x:c>
      <x:c r="AA736" s="32" t="n">
        <x:f>AA735+X736-U736-AA735*V736/AB735</x:f>
        <x:v>54.42709695247275</x:v>
      </x:c>
      <x:c r="AB736" s="10" t="n">
        <x:f>Y736+Z736+AA736</x:f>
        <x:v>404.20620009035406</x:v>
      </x:c>
      <x:c r="AC736" s="8" t="n">
        <x:f>IF(AND(v01_WinterTrigger=1,D736=1,AB735/AE735&gt;=K736),1,0)</x:f>
        <x:v>0</x:v>
      </x:c>
      <x:c r="AD736" s="8" t="n">
        <x:f>H736*IF(AND(OR(AB735/AE735&gt;=v01_FissionTrigger*N736,AC736=1),AB735/AE735*v01_DaughterShare&gt;=v01_MinDaughter),MAX(1,ROUND(AE735*v01_FissionRate,0)),0)</x:f>
        <x:v>0</x:v>
      </x:c>
      <x:c r="AE736" s="8" t="n">
        <x:f>IF(H736=1,MAX(1,MIN(INDEX(v01_Smax,G736),AE735+AD736)),AE735)</x:f>
        <x:v>7</x:v>
      </x:c>
      <x:c r="AF736" s="8" t="n">
        <x:f>MAX(0,AE736-AE735)</x:f>
        <x:v>0</x:v>
      </x:c>
      <x:c r="AG736" s="9" t="str">
        <x:f>IF(AF736&gt;0,B736,"")</x:f>
      </x:c>
      <x:c r="AH736" s="9" t="n">
        <x:f>IF(F736&gt;=1,1,(1+v01_LowTiesShare*(AE736-1))/AE736)</x:f>
        <x:v>1</x:v>
      </x:c>
      <x:c r="AI736" s="32" t="n">
        <x:f>(Z736+v01_ElderCommons*INDEX(LM_Elder,G736)*AA736)*AH736</x:f>
        <x:v>331.05851529581275</x:v>
      </x:c>
      <x:c r="AJ736" s="32" t="n">
        <x:f>H736*v01_CommonsCoef*AI736^v01_CommonsExp*INDEX(LM_Commons,G736)</x:f>
        <x:v>91.50882609585847</x:v>
      </x:c>
      <x:c r="AK736" s="32" t="n">
        <x:f>H736*v01_RoleScale*Arch_Roles*(AE736*(INDEX(v01_ElderRolePerSett,G736)*v01_OutElder*INDEX(LM_Elder,G736)+INDEX(v01_ShamanPerSett,G736)*v01_OutShaman)+Z736*(INDEX(v01_PriestShare,G736)*v01_OutPriest+INDEX(v01_ScribeShare,G736)*v01_OutScribe*INDEX(LM_Scribe,G736)+INDEX(v01_ScholarShare,G736)*v01_OutScholar*INDEX(LM_Scholar,G736)+INDEX(v01_ResearcherShare,G736)*v01_OutResearcher*INDEX(LM_Researcher,G736)))</x:f>
        <x:v>22.17444057106876</x:v>
      </x:c>
      <x:c r="AL736" s="32" t="n">
        <x:f>H736*v01_RoleScale*Arch_Roles*AE736*INDEX(v01_MonasteryPerSett,G736)*v01_OutMonastery*INDEX(LM_Monastery,G736)</x:f>
        <x:v>0</x:v>
      </x:c>
      <x:c r="AM736" s="32" t="n">
        <x:f>(AJ736+AK736+AL736)/4*INDEX(LM_All,G736)*INDEX(v01_Boon,G736)*Arch_Insight</x:f>
        <x:v>30.606111023247223</x:v>
      </x:c>
      <x:c r="AN736" s="32" t="n">
        <x:f>H736*(v01_KHPerAdult*Z736+v01_KHOfCommons*AJ736/4*INDEX(LM_All,G736))*v01_KHUsable*Arch_KH</x:f>
        <x:v>5.872202855343808</x:v>
      </x:c>
      <x:c r="AO736" s="32" t="n">
        <x:f>MIN(AP735+AN736,AM736*v01_KHMaxRatio)</x:f>
        <x:v>5.872202855343808</x:v>
      </x:c>
      <x:c r="AP736" s="32" t="n">
        <x:f>AP735+AN736-AO736</x:f>
        <x:v>0</x:v>
      </x:c>
      <x:c r="AQ736" s="32" t="n">
        <x:f>AM736+AO736</x:f>
        <x:v>36.47831387859103</x:v>
      </x:c>
      <x:c r="AR736" s="10" t="n">
        <x:f>IF(H736=1,INDEX(v01_Req,G736),0)</x:f>
        <x:v>9805.661999999998</x:v>
      </x:c>
      <x:c r="AS736" s="32" t="n">
        <x:f>IF(H736=1,IF(E736=1,AS735-AR735,AS735)+AQ736,0)</x:f>
        <x:v>827.0795490102328</x:v>
      </x:c>
      <x:c r="AT736" s="11" t="n">
        <x:f>IF(AR736&gt;0,MIN(1,AS736/AR736),1)</x:f>
        <x:v>0.08434714035729897</x:v>
      </x:c>
      <x:c r="AU736" s="10" t="n">
        <x:f>AB736/INDEX(v01_RepScale,G736)</x:f>
        <x:v>80.8412400180708</x:v>
      </x:c>
      <x:c r="AV736" s="32" t="n">
        <x:f>AM736*60/v01_SeasonSeconds</x:f>
        <x:v>122.4244440929889</x:v>
      </x:c>
    </x:row>
    <x:row r="737">
      <x:c r="A737" s="8" t="n">
        <x:f>A736+1</x:f>
        <x:v>734</x:v>
      </x:c>
      <x:c r="B737" s="9" t="n">
        <x:f>A737*v01_SeasonSeconds/60</x:f>
        <x:v>183.5</x:v>
      </x:c>
      <x:c r="C737" s="9" t="n">
        <x:f>A737/4</x:f>
        <x:v>183.5</x:v>
      </x:c>
      <x:c r="D737" s="8" t="n">
        <x:f>IF(MOD(A737,4)=0,1,0)</x:f>
        <x:v>0</x:v>
      </x:c>
      <x:c r="E737" s="8" t="n">
        <x:f>IF(AND(F736&lt;=9,AS736&gt;=AR736),1,0)</x:f>
        <x:v>0</x:v>
      </x:c>
      <x:c r="F737" s="8" t="n">
        <x:f>MIN(10,F736+E737)</x:f>
        <x:v>3</x:v>
      </x:c>
      <x:c r="G737" s="8" t="n">
        <x:f>MIN(F737,9)+1</x:f>
        <x:v>4</x:v>
      </x:c>
      <x:c r="H737" s="8" t="n">
        <x:f>IF(F737&lt;=9,1,0)</x:f>
        <x:v>1</x:v>
      </x:c>
      <x:c r="I737" s="9" t="n">
        <x:f>MIN(10,F736+IF(AR736&gt;0,MIN(1,AS736/AR736),1))</x:f>
        <x:v>3.084347140357299</x:v>
      </x:c>
      <x:c r="J737" s="32" t="n">
        <x:f>INDEX(v01_FoodCap,G737)*Arch_FoodCap*EXP(v01_CapsByProject*SUMPRODUCT((Cap_Point&lt;=I737)*(Cap_Kind="Food")*Cap_Ln))</x:f>
        <x:v>120</x:v>
      </x:c>
      <x:c r="K737" s="32" t="n">
        <x:f>J737*MIN(1,v01_LeanBase*EXP(v01_CapsByProject*SUMPRODUCT((Cap_Point&lt;=I737)*(Cap_Kind="Lean")*Cap_Ln)))</x:f>
        <x:v>120</x:v>
      </x:c>
      <x:c r="L737" s="10" t="n">
        <x:f>INDEX(v01_HousingCap,G737)*EXP(v01_CapsByProject*SUMPRODUCT((Cap_Point&lt;=I737)*(Cap_Kind="Housing")*Cap_Ln))</x:f>
        <x:v>200</x:v>
      </x:c>
      <x:c r="M737" s="10" t="n">
        <x:f>INDEX(v01_GroupCap,G737)*v01_CohesionFactor*EXP(v01_CapsByProject*SUMPRODUCT((Cap_Point&lt;=I737)*(Cap_Kind="Group")*Cap_Ln))</x:f>
        <x:v>5000</x:v>
      </x:c>
      <x:c r="N737" s="32" t="n">
        <x:f>MIN(J737,L737,M737)</x:f>
        <x:v>120</x:v>
      </x:c>
      <x:c r="O737" s="10" t="n">
        <x:f>AE736*N737</x:f>
        <x:v>840</x:v>
      </x:c>
      <x:c r="P737" s="9" t="n">
        <x:f>MIN(1,(AB736/(AE736*IF(v01_GroupInCrowding=1,N737,MIN(J737,L737))))^v01_CrowdingExp)</x:f>
        <x:v>0.012414868067700896</x:v>
      </x:c>
      <x:c r="Q737" s="9" t="n">
        <x:f>IF(D737=1,INDEX(v01_WinterMult,G737),1)</x:f>
        <x:v>1</x:v>
      </x:c>
      <x:c r="R737" s="9" t="n">
        <x:f>H737*Z736*v01_WomenShare*v01_BaseFertility*INDEX(v01_FertMult,G737)*Arch_Fertility*(1-P737)</x:f>
        <x:v>6.462077400956846</x:v>
      </x:c>
      <x:c r="S737" s="9" t="n">
        <x:f>H737*Y736*INDEX(v01_MortChild,G737)/4*Q737</x:f>
        <x:v>1.3650140902461507</x:v>
      </x:c>
      <x:c r="T737" s="9" t="n">
        <x:f>H737*Z736*INDEX(v01_MortAdult,G737)*Arch_AdultMort/4*Q737</x:f>
        <x:v>0.4613873672055849</x:v>
      </x:c>
      <x:c r="U737" s="9" t="n">
        <x:f>H737*AA736*INDEX(v01_MortElder,G737)/4*Q737</x:f>
        <x:v>0.8844403254776823</x:v>
      </x:c>
      <x:c r="V737" s="9" t="n">
        <x:f>H737*MAX(0,AB736-O737)*v01_OvercapLoss</x:f>
        <x:v>0</x:v>
      </x:c>
      <x:c r="W737" s="9" t="n">
        <x:f>H737*Y736/(v01_ChildYears*4)</x:f>
        <x:v>3.250033548205121</x:v>
      </x:c>
      <x:c r="X737" s="9" t="n">
        <x:f>H737*Z736/(v01_AdultYears*4)</x:f>
        <x:v>1.3530421325676978</x:v>
      </x:c>
      <x:c r="Y737" s="32" t="n">
        <x:f>Y736+R737-S737-W737-Y736*V737/AB736</x:f>
        <x:v>183.84890846199235</x:v>
      </x:c>
      <x:c r="Z737" s="32" t="n">
        <x:f>Z736+W737-X737-T737-Z736*V737/AB736</x:f>
        <x:v>169.21282848682634</x:v>
      </x:c>
      <x:c r="AA737" s="32" t="n">
        <x:f>AA736+X737-U737-AA736*V737/AB736</x:f>
        <x:v>54.89569875956277</x:v>
      </x:c>
      <x:c r="AB737" s="10" t="n">
        <x:f>Y737+Z737+AA737</x:f>
        <x:v>407.95743570838147</x:v>
      </x:c>
      <x:c r="AC737" s="8" t="n">
        <x:f>IF(AND(v01_WinterTrigger=1,D737=1,AB736/AE736&gt;=K737),1,0)</x:f>
        <x:v>0</x:v>
      </x:c>
      <x:c r="AD737" s="8" t="n">
        <x:f>H737*IF(AND(OR(AB736/AE736&gt;=v01_FissionTrigger*N737,AC737=1),AB736/AE736*v01_DaughterShare&gt;=v01_MinDaughter),MAX(1,ROUND(AE736*v01_FissionRate,0)),0)</x:f>
        <x:v>0</x:v>
      </x:c>
      <x:c r="AE737" s="8" t="n">
        <x:f>IF(H737=1,MAX(1,MIN(INDEX(v01_Smax,G737),AE736+AD737)),AE736)</x:f>
        <x:v>7</x:v>
      </x:c>
      <x:c r="AF737" s="8" t="n">
        <x:f>MAX(0,AE737-AE736)</x:f>
        <x:v>0</x:v>
      </x:c>
      <x:c r="AG737" s="9" t="str">
        <x:f>IF(AF737&gt;0,B737,"")</x:f>
      </x:c>
      <x:c r="AH737" s="9" t="n">
        <x:f>IF(F737&gt;=1,1,(1+v01_LowTiesShare*(AE737-1))/AE737)</x:f>
        <x:v>1</x:v>
      </x:c>
      <x:c r="AI737" s="32" t="n">
        <x:f>(Z737+v01_ElderCommons*INDEX(LM_Elder,G737)*AA737)*AH737</x:f>
        <x:v>333.89992476551464</x:v>
      </x:c>
      <x:c r="AJ737" s="32" t="n">
        <x:f>H737*v01_CommonsCoef*AI737^v01_CommonsExp*INDEX(LM_Commons,G737)</x:f>
        <x:v>92.1759895318583</x:v>
      </x:c>
      <x:c r="AK737" s="32" t="n">
        <x:f>H737*v01_RoleScale*Arch_Roles*(AE737*(INDEX(v01_ElderRolePerSett,G737)*v01_OutElder*INDEX(LM_Elder,G737)+INDEX(v01_ShamanPerSett,G737)*v01_OutShaman)+Z737*(INDEX(v01_PriestShare,G737)*v01_OutPriest+INDEX(v01_ScribeShare,G737)*v01_OutScribe*INDEX(LM_Scribe,G737)+INDEX(v01_ScholarShare,G737)*v01_OutScholar*INDEX(LM_Scholar,G737)+INDEX(v01_ResearcherShare,G737)*v01_OutResearcher*INDEX(LM_Researcher,G737)))</x:f>
        <x:v>22.184489799407785</x:v>
      </x:c>
      <x:c r="AL737" s="32" t="n">
        <x:f>H737*v01_RoleScale*Arch_Roles*AE737*INDEX(v01_MonasteryPerSett,G737)*v01_OutMonastery*INDEX(LM_Monastery,G737)</x:f>
        <x:v>0</x:v>
      </x:c>
      <x:c r="AM737" s="32" t="n">
        <x:f>(AJ737+AK737+AL737)/4*INDEX(LM_All,G737)*INDEX(v01_Boon,G737)*Arch_Insight</x:f>
        <x:v>30.78843201558667</x:v>
      </x:c>
      <x:c r="AN737" s="32" t="n">
        <x:f>H737*(v01_KHPerAdult*Z737+v01_KHOfCommons*AJ737/4*INDEX(LM_All,G737))*v01_KHUsable*Arch_KH</x:f>
        <x:v>5.922448997038921</x:v>
      </x:c>
      <x:c r="AO737" s="32" t="n">
        <x:f>MIN(AP736+AN737,AM737*v01_KHMaxRatio)</x:f>
        <x:v>5.922448997038921</x:v>
      </x:c>
      <x:c r="AP737" s="32" t="n">
        <x:f>AP736+AN737-AO737</x:f>
        <x:v>0</x:v>
      </x:c>
      <x:c r="AQ737" s="32" t="n">
        <x:f>AM737+AO737</x:f>
        <x:v>36.71088101262559</x:v>
      </x:c>
      <x:c r="AR737" s="10" t="n">
        <x:f>IF(H737=1,INDEX(v01_Req,G737),0)</x:f>
        <x:v>9805.661999999998</x:v>
      </x:c>
      <x:c r="AS737" s="32" t="n">
        <x:f>IF(H737=1,IF(E737=1,AS736-AR736,AS736)+AQ737,0)</x:f>
        <x:v>863.7904300228583</x:v>
      </x:c>
      <x:c r="AT737" s="11" t="n">
        <x:f>IF(AR737&gt;0,MIN(1,AS737/AR737),1)</x:f>
        <x:v>0.08809098559820423</x:v>
      </x:c>
      <x:c r="AU737" s="10" t="n">
        <x:f>AB737/INDEX(v01_RepScale,G737)</x:f>
        <x:v>81.5914871416763</x:v>
      </x:c>
      <x:c r="AV737" s="32" t="n">
        <x:f>AM737*60/v01_SeasonSeconds</x:f>
        <x:v>123.15372806234669</x:v>
      </x:c>
    </x:row>
    <x:row r="738">
      <x:c r="A738" s="8" t="n">
        <x:f>A737+1</x:f>
        <x:v>735</x:v>
      </x:c>
      <x:c r="B738" s="9" t="n">
        <x:f>A738*v01_SeasonSeconds/60</x:f>
        <x:v>183.75</x:v>
      </x:c>
      <x:c r="C738" s="9" t="n">
        <x:f>A738/4</x:f>
        <x:v>183.75</x:v>
      </x:c>
      <x:c r="D738" s="8" t="n">
        <x:f>IF(MOD(A738,4)=0,1,0)</x:f>
        <x:v>0</x:v>
      </x:c>
      <x:c r="E738" s="8" t="n">
        <x:f>IF(AND(F737&lt;=9,AS737&gt;=AR737),1,0)</x:f>
        <x:v>0</x:v>
      </x:c>
      <x:c r="F738" s="8" t="n">
        <x:f>MIN(10,F737+E738)</x:f>
        <x:v>3</x:v>
      </x:c>
      <x:c r="G738" s="8" t="n">
        <x:f>MIN(F738,9)+1</x:f>
        <x:v>4</x:v>
      </x:c>
      <x:c r="H738" s="8" t="n">
        <x:f>IF(F738&lt;=9,1,0)</x:f>
        <x:v>1</x:v>
      </x:c>
      <x:c r="I738" s="9" t="n">
        <x:f>MIN(10,F737+IF(AR737&gt;0,MIN(1,AS737/AR737),1))</x:f>
        <x:v>3.088090985598204</x:v>
      </x:c>
      <x:c r="J738" s="32" t="n">
        <x:f>INDEX(v01_FoodCap,G738)*Arch_FoodCap*EXP(v01_CapsByProject*SUMPRODUCT((Cap_Point&lt;=I738)*(Cap_Kind="Food")*Cap_Ln))</x:f>
        <x:v>120</x:v>
      </x:c>
      <x:c r="K738" s="32" t="n">
        <x:f>J738*MIN(1,v01_LeanBase*EXP(v01_CapsByProject*SUMPRODUCT((Cap_Point&lt;=I738)*(Cap_Kind="Lean")*Cap_Ln)))</x:f>
        <x:v>120</x:v>
      </x:c>
      <x:c r="L738" s="10" t="n">
        <x:f>INDEX(v01_HousingCap,G738)*EXP(v01_CapsByProject*SUMPRODUCT((Cap_Point&lt;=I738)*(Cap_Kind="Housing")*Cap_Ln))</x:f>
        <x:v>200</x:v>
      </x:c>
      <x:c r="M738" s="10" t="n">
        <x:f>INDEX(v01_GroupCap,G738)*v01_CohesionFactor*EXP(v01_CapsByProject*SUMPRODUCT((Cap_Point&lt;=I738)*(Cap_Kind="Group")*Cap_Ln))</x:f>
        <x:v>5000</x:v>
      </x:c>
      <x:c r="N738" s="32" t="n">
        <x:f>MIN(J738,L738,M738)</x:f>
        <x:v>120</x:v>
      </x:c>
      <x:c r="O738" s="10" t="n">
        <x:f>AE737*N738</x:f>
        <x:v>840</x:v>
      </x:c>
      <x:c r="P738" s="9" t="n">
        <x:f>MIN(1,(AB737/(AE737*IF(v01_GroupInCrowding=1,N738,MIN(J738,L738))))^v01_CrowdingExp)</x:f>
        <x:v>0.013122403971480776</x:v>
      </x:c>
      <x:c r="Q738" s="9" t="n">
        <x:f>IF(D738=1,INDEX(v01_WinterMult,G738),1)</x:f>
        <x:v>1</x:v>
      </x:c>
      <x:c r="R738" s="9" t="n">
        <x:f>H738*Z737*v01_WomenShare*v01_BaseFertility*INDEX(v01_FertMult,G738)*Arch_Fertility*(1-P738)</x:f>
        <x:v>6.512701626376346</x:v>
      </x:c>
      <x:c r="S738" s="9" t="n">
        <x:f>H738*Y737*INDEX(v01_MortChild,G738)/4*Q738</x:f>
        <x:v>1.3788668134649427</x:v>
      </x:c>
      <x:c r="T738" s="9" t="n">
        <x:f>H738*Z737*INDEX(v01_MortAdult,G738)*Arch_AdultMort/4*Q738</x:f>
        <x:v>0.4653352783387724</x:v>
      </x:c>
      <x:c r="U738" s="9" t="n">
        <x:f>H738*AA737*INDEX(v01_MortElder,G738)/4*Q738</x:f>
        <x:v>0.8920551048428951</x:v>
      </x:c>
      <x:c r="V738" s="9" t="n">
        <x:f>H738*MAX(0,AB737-O738)*v01_OvercapLoss</x:f>
        <x:v>0</x:v>
      </x:c>
      <x:c r="W738" s="9" t="n">
        <x:f>H738*Y737/(v01_ChildYears*4)</x:f>
        <x:v>3.283016222535578</x:v>
      </x:c>
      <x:c r="X738" s="9" t="n">
        <x:f>H738*Z737/(v01_AdultYears*4)</x:f>
        <x:v>1.3646195845711802</x:v>
      </x:c>
      <x:c r="Y738" s="32" t="n">
        <x:f>Y737+R738-S738-W738-Y737*V738/AB737</x:f>
        <x:v>185.6997270523682</x:v>
      </x:c>
      <x:c r="Z738" s="32" t="n">
        <x:f>Z737+W738-X738-T738-Z737*V738/AB737</x:f>
        <x:v>170.66588984645193</x:v>
      </x:c>
      <x:c r="AA738" s="32" t="n">
        <x:f>AA737+X738-U738-AA737*V738/AB737</x:f>
        <x:v>55.36826323929105</x:v>
      </x:c>
      <x:c r="AB738" s="10" t="n">
        <x:f>Y738+Z738+AA738</x:f>
        <x:v>411.7338801381112</x:v>
      </x:c>
      <x:c r="AC738" s="8" t="n">
        <x:f>IF(AND(v01_WinterTrigger=1,D738=1,AB737/AE737&gt;=K738),1,0)</x:f>
        <x:v>0</x:v>
      </x:c>
      <x:c r="AD738" s="8" t="n">
        <x:f>H738*IF(AND(OR(AB737/AE737&gt;=v01_FissionTrigger*N738,AC738=1),AB737/AE737*v01_DaughterShare&gt;=v01_MinDaughter),MAX(1,ROUND(AE737*v01_FissionRate,0)),0)</x:f>
        <x:v>0</x:v>
      </x:c>
      <x:c r="AE738" s="8" t="n">
        <x:f>IF(H738=1,MAX(1,MIN(INDEX(v01_Smax,G738),AE737+AD738)),AE737)</x:f>
        <x:v>7</x:v>
      </x:c>
      <x:c r="AF738" s="8" t="n">
        <x:f>MAX(0,AE738-AE737)</x:f>
        <x:v>0</x:v>
      </x:c>
      <x:c r="AG738" s="9" t="str">
        <x:f>IF(AF738&gt;0,B738,"")</x:f>
      </x:c>
      <x:c r="AH738" s="9" t="n">
        <x:f>IF(F738&gt;=1,1,(1+v01_LowTiesShare*(AE738-1))/AE738)</x:f>
        <x:v>1</x:v>
      </x:c>
      <x:c r="AI738" s="32" t="n">
        <x:f>(Z738+v01_ElderCommons*INDEX(LM_Elder,G738)*AA738)*AH738</x:f>
        <x:v>336.77067956432506</x:v>
      </x:c>
      <x:c r="AJ738" s="32" t="n">
        <x:f>H738*v01_CommonsCoef*AI738^v01_CommonsExp*INDEX(LM_Commons,G738)</x:f>
        <x:v>92.84917897702452</x:v>
      </x:c>
      <x:c r="AK738" s="32" t="n">
        <x:f>H738*v01_RoleScale*Arch_Roles*(AE738*(INDEX(v01_ElderRolePerSett,G738)*v01_OutElder*INDEX(LM_Elder,G738)+INDEX(v01_ShamanPerSett,G738)*v01_OutShaman)+Z738*(INDEX(v01_PriestShare,G738)*v01_OutPriest+INDEX(v01_ScribeShare,G738)*v01_OutScribe*INDEX(LM_Scribe,G738)+INDEX(v01_ScholarShare,G738)*v01_OutScholar*INDEX(LM_Scholar,G738)+INDEX(v01_ResearcherShare,G738)*v01_OutResearcher*INDEX(LM_Researcher,G738)))</x:f>
        <x:v>22.194661228925163</x:v>
      </x:c>
      <x:c r="AL738" s="32" t="n">
        <x:f>H738*v01_RoleScale*Arch_Roles*AE738*INDEX(v01_MonasteryPerSett,G738)*v01_OutMonastery*INDEX(LM_Monastery,G738)</x:f>
        <x:v>0</x:v>
      </x:c>
      <x:c r="AM738" s="32" t="n">
        <x:f>(AJ738+AK738+AL738)/4*INDEX(LM_All,G738)*INDEX(v01_Boon,G738)*Arch_Insight</x:f>
        <x:v>30.972408245446314</x:v>
      </x:c>
      <x:c r="AN738" s="32" t="n">
        <x:f>H738*(v01_KHPerAdult*Z738+v01_KHOfCommons*AJ738/4*INDEX(LM_All,G738))*v01_KHUsable*Arch_KH</x:f>
        <x:v>5.973306144625817</x:v>
      </x:c>
      <x:c r="AO738" s="32" t="n">
        <x:f>MIN(AP737+AN738,AM738*v01_KHMaxRatio)</x:f>
        <x:v>5.973306144625817</x:v>
      </x:c>
      <x:c r="AP738" s="32" t="n">
        <x:f>AP737+AN738-AO738</x:f>
        <x:v>0</x:v>
      </x:c>
      <x:c r="AQ738" s="32" t="n">
        <x:f>AM738+AO738</x:f>
        <x:v>36.94571439007213</x:v>
      </x:c>
      <x:c r="AR738" s="10" t="n">
        <x:f>IF(H738=1,INDEX(v01_Req,G738),0)</x:f>
        <x:v>9805.661999999998</x:v>
      </x:c>
      <x:c r="AS738" s="32" t="n">
        <x:f>IF(H738=1,IF(E738=1,AS737-AR737,AS737)+AQ738,0)</x:f>
        <x:v>900.7361444129305</x:v>
      </x:c>
      <x:c r="AT738" s="11" t="n">
        <x:f>IF(AR738&gt;0,MIN(1,AS738/AR738),1)</x:f>
        <x:v>0.09185877959213061</x:v>
      </x:c>
      <x:c r="AU738" s="10" t="n">
        <x:f>AB738/INDEX(v01_RepScale,G738)</x:f>
        <x:v>82.34677602762224</x:v>
      </x:c>
      <x:c r="AV738" s="32" t="n">
        <x:f>AM738*60/v01_SeasonSeconds</x:f>
        <x:v>123.88963298178525</x:v>
      </x:c>
    </x:row>
    <x:row r="739">
      <x:c r="A739" s="8" t="n">
        <x:f>A738+1</x:f>
        <x:v>736</x:v>
      </x:c>
      <x:c r="B739" s="9" t="n">
        <x:f>A739*v01_SeasonSeconds/60</x:f>
        <x:v>184</x:v>
      </x:c>
      <x:c r="C739" s="9" t="n">
        <x:f>A739/4</x:f>
        <x:v>184</x:v>
      </x:c>
      <x:c r="D739" s="8" t="n">
        <x:f>IF(MOD(A739,4)=0,1,0)</x:f>
        <x:v>1</x:v>
      </x:c>
      <x:c r="E739" s="8" t="n">
        <x:f>IF(AND(F738&lt;=9,AS738&gt;=AR738),1,0)</x:f>
        <x:v>0</x:v>
      </x:c>
      <x:c r="F739" s="8" t="n">
        <x:f>MIN(10,F738+E739)</x:f>
        <x:v>3</x:v>
      </x:c>
      <x:c r="G739" s="8" t="n">
        <x:f>MIN(F739,9)+1</x:f>
        <x:v>4</x:v>
      </x:c>
      <x:c r="H739" s="8" t="n">
        <x:f>IF(F739&lt;=9,1,0)</x:f>
        <x:v>1</x:v>
      </x:c>
      <x:c r="I739" s="9" t="n">
        <x:f>MIN(10,F738+IF(AR738&gt;0,MIN(1,AS738/AR738),1))</x:f>
        <x:v>3.0918587795921306</x:v>
      </x:c>
      <x:c r="J739" s="32" t="n">
        <x:f>INDEX(v01_FoodCap,G739)*Arch_FoodCap*EXP(v01_CapsByProject*SUMPRODUCT((Cap_Point&lt;=I739)*(Cap_Kind="Food")*Cap_Ln))</x:f>
        <x:v>120</x:v>
      </x:c>
      <x:c r="K739" s="32" t="n">
        <x:f>J739*MIN(1,v01_LeanBase*EXP(v01_CapsByProject*SUMPRODUCT((Cap_Point&lt;=I739)*(Cap_Kind="Lean")*Cap_Ln)))</x:f>
        <x:v>120</x:v>
      </x:c>
      <x:c r="L739" s="10" t="n">
        <x:f>INDEX(v01_HousingCap,G739)*EXP(v01_CapsByProject*SUMPRODUCT((Cap_Point&lt;=I739)*(Cap_Kind="Housing")*Cap_Ln))</x:f>
        <x:v>200</x:v>
      </x:c>
      <x:c r="M739" s="10" t="n">
        <x:f>INDEX(v01_GroupCap,G739)*v01_CohesionFactor*EXP(v01_CapsByProject*SUMPRODUCT((Cap_Point&lt;=I739)*(Cap_Kind="Group")*Cap_Ln))</x:f>
        <x:v>5000</x:v>
      </x:c>
      <x:c r="N739" s="32" t="n">
        <x:f>MIN(J739,L739,M739)</x:f>
        <x:v>120</x:v>
      </x:c>
      <x:c r="O739" s="10" t="n">
        <x:f>AE738*N739</x:f>
        <x:v>840</x:v>
      </x:c>
      <x:c r="P739" s="9" t="n">
        <x:f>MIN(1,(AB738/(AE738*IF(v01_GroupInCrowding=1,N739,MIN(J739,L739))))^v01_CrowdingExp)</x:f>
        <x:v>0.013868321908836549</x:v>
      </x:c>
      <x:c r="Q739" s="9" t="n">
        <x:f>IF(D739=1,INDEX(v01_WinterMult,G739),1)</x:f>
        <x:v>1.15</x:v>
      </x:c>
      <x:c r="R739" s="9" t="n">
        <x:f>H739*Z738*v01_WomenShare*v01_BaseFertility*INDEX(v01_FertMult,G739)*Arch_Fertility*(1-P739)</x:f>
        <x:v>6.563662573540928</x:v>
      </x:c>
      <x:c r="S739" s="9" t="n">
        <x:f>H739*Y738*INDEX(v01_MortChild,G739)/4*Q739</x:f>
        <x:v>1.6016601458266755</x:v>
      </x:c>
      <x:c r="T739" s="9" t="n">
        <x:f>H739*Z738*INDEX(v01_MortAdult,G739)*Arch_AdultMort/4*Q739</x:f>
        <x:v>0.5397308766394041</x:v>
      </x:c>
      <x:c r="U739" s="9" t="n">
        <x:f>H739*AA738*INDEX(v01_MortElder,G739)/4*Q739</x:f>
        <x:v>1.0346944192842515</x:v>
      </x:c>
      <x:c r="V739" s="9" t="n">
        <x:f>H739*MAX(0,AB738-O739)*v01_OvercapLoss</x:f>
        <x:v>0</x:v>
      </x:c>
      <x:c r="W739" s="9" t="n">
        <x:f>H739*Y738/(v01_ChildYears*4)</x:f>
        <x:v>3.3160665545065746</x:v>
      </x:c>
      <x:c r="X739" s="9" t="n">
        <x:f>H739*Z738/(v01_AdultYears*4)</x:f>
        <x:v>1.3763378213423543</x:v>
      </x:c>
      <x:c r="Y739" s="32" t="n">
        <x:f>Y738+R739-S739-W739-Y738*V739/AB738</x:f>
        <x:v>187.34566292557588</x:v>
      </x:c>
      <x:c r="Z739" s="32" t="n">
        <x:f>Z738+W739-X739-T739-Z738*V739/AB738</x:f>
        <x:v>172.06588770297674</x:v>
      </x:c>
      <x:c r="AA739" s="32" t="n">
        <x:f>AA738+X739-U739-AA738*V739/AB738</x:f>
        <x:v>55.70990664134916</x:v>
      </x:c>
      <x:c r="AB739" s="10" t="n">
        <x:f>Y739+Z739+AA739</x:f>
        <x:v>415.1214572699018</x:v>
      </x:c>
      <x:c r="AC739" s="8" t="n">
        <x:f>IF(AND(v01_WinterTrigger=1,D739=1,AB738/AE738&gt;=K739),1,0)</x:f>
        <x:v>0</x:v>
      </x:c>
      <x:c r="AD739" s="8" t="n">
        <x:f>H739*IF(AND(OR(AB738/AE738&gt;=v01_FissionTrigger*N739,AC739=1),AB738/AE738*v01_DaughterShare&gt;=v01_MinDaughter),MAX(1,ROUND(AE738*v01_FissionRate,0)),0)</x:f>
        <x:v>0</x:v>
      </x:c>
      <x:c r="AE739" s="8" t="n">
        <x:f>IF(H739=1,MAX(1,MIN(INDEX(v01_Smax,G739),AE738+AD739)),AE738)</x:f>
        <x:v>7</x:v>
      </x:c>
      <x:c r="AF739" s="8" t="n">
        <x:f>MAX(0,AE739-AE738)</x:f>
        <x:v>0</x:v>
      </x:c>
      <x:c r="AG739" s="9" t="str">
        <x:f>IF(AF739&gt;0,B739,"")</x:f>
      </x:c>
      <x:c r="AH739" s="9" t="n">
        <x:f>IF(F739&gt;=1,1,(1+v01_LowTiesShare*(AE739-1))/AE739)</x:f>
        <x:v>1</x:v>
      </x:c>
      <x:c r="AI739" s="32" t="n">
        <x:f>(Z739+v01_ElderCommons*INDEX(LM_Elder,G739)*AA739)*AH739</x:f>
        <x:v>339.1956076270242</x:v>
      </x:c>
      <x:c r="AJ739" s="32" t="n">
        <x:f>H739*v01_CommonsCoef*AI739^v01_CommonsExp*INDEX(LM_Commons,G739)</x:f>
        <x:v>93.41715189110745</x:v>
      </x:c>
      <x:c r="AK739" s="32" t="n">
        <x:f>H739*v01_RoleScale*Arch_Roles*(AE739*(INDEX(v01_ElderRolePerSett,G739)*v01_OutElder*INDEX(LM_Elder,G739)+INDEX(v01_ShamanPerSett,G739)*v01_OutShaman)+Z739*(INDEX(v01_PriestShare,G739)*v01_OutPriest+INDEX(v01_ScribeShare,G739)*v01_OutScribe*INDEX(LM_Scribe,G739)+INDEX(v01_ScholarShare,G739)*v01_OutScholar*INDEX(LM_Scholar,G739)+INDEX(v01_ResearcherShare,G739)*v01_OutResearcher*INDEX(LM_Researcher,G739)))</x:f>
        <x:v>22.204461213920837</x:v>
      </x:c>
      <x:c r="AL739" s="32" t="n">
        <x:f>H739*v01_RoleScale*Arch_Roles*AE739*INDEX(v01_MonasteryPerSett,G739)*v01_OutMonastery*INDEX(LM_Monastery,G739)</x:f>
        <x:v>0</x:v>
      </x:c>
      <x:c r="AM739" s="32" t="n">
        <x:f>(AJ739+AK739+AL739)/4*INDEX(LM_All,G739)*INDEX(v01_Boon,G739)*Arch_Insight</x:f>
        <x:v>31.127957800045515</x:v>
      </x:c>
      <x:c r="AN739" s="32" t="n">
        <x:f>H739*(v01_KHPerAdult*Z739+v01_KHOfCommons*AJ739/4*INDEX(LM_All,G739))*v01_KHUsable*Arch_KH</x:f>
        <x:v>6.022306069604186</x:v>
      </x:c>
      <x:c r="AO739" s="32" t="n">
        <x:f>MIN(AP738+AN739,AM739*v01_KHMaxRatio)</x:f>
        <x:v>6.022306069604186</x:v>
      </x:c>
      <x:c r="AP739" s="32" t="n">
        <x:f>AP738+AN739-AO739</x:f>
        <x:v>0</x:v>
      </x:c>
      <x:c r="AQ739" s="32" t="n">
        <x:f>AM739+AO739</x:f>
        <x:v>37.1502638696497</x:v>
      </x:c>
      <x:c r="AR739" s="10" t="n">
        <x:f>IF(H739=1,INDEX(v01_Req,G739),0)</x:f>
        <x:v>9805.661999999998</x:v>
      </x:c>
      <x:c r="AS739" s="32" t="n">
        <x:f>IF(H739=1,IF(E739=1,AS738-AR738,AS738)+AQ739,0)</x:f>
        <x:v>937.8864082825802</x:v>
      </x:c>
      <x:c r="AT739" s="11" t="n">
        <x:f>IF(AR739&gt;0,MIN(1,AS739/AR739),1)</x:f>
        <x:v>0.09564743392976224</x:v>
      </x:c>
      <x:c r="AU739" s="10" t="n">
        <x:f>AB739/INDEX(v01_RepScale,G739)</x:f>
        <x:v>83.02429145398035</x:v>
      </x:c>
      <x:c r="AV739" s="32" t="n">
        <x:f>AM739*60/v01_SeasonSeconds</x:f>
        <x:v>124.51183120018206</x:v>
      </x:c>
    </x:row>
    <x:row r="740">
      <x:c r="A740" s="8" t="n">
        <x:f>A739+1</x:f>
        <x:v>737</x:v>
      </x:c>
      <x:c r="B740" s="9" t="n">
        <x:f>A740*v01_SeasonSeconds/60</x:f>
        <x:v>184.25</x:v>
      </x:c>
      <x:c r="C740" s="9" t="n">
        <x:f>A740/4</x:f>
        <x:v>184.25</x:v>
      </x:c>
      <x:c r="D740" s="8" t="n">
        <x:f>IF(MOD(A740,4)=0,1,0)</x:f>
        <x:v>0</x:v>
      </x:c>
      <x:c r="E740" s="8" t="n">
        <x:f>IF(AND(F739&lt;=9,AS739&gt;=AR739),1,0)</x:f>
        <x:v>0</x:v>
      </x:c>
      <x:c r="F740" s="8" t="n">
        <x:f>MIN(10,F739+E740)</x:f>
        <x:v>3</x:v>
      </x:c>
      <x:c r="G740" s="8" t="n">
        <x:f>MIN(F740,9)+1</x:f>
        <x:v>4</x:v>
      </x:c>
      <x:c r="H740" s="8" t="n">
        <x:f>IF(F740&lt;=9,1,0)</x:f>
        <x:v>1</x:v>
      </x:c>
      <x:c r="I740" s="9" t="n">
        <x:f>MIN(10,F739+IF(AR739&gt;0,MIN(1,AS739/AR739),1))</x:f>
        <x:v>3.0956474339297624</x:v>
      </x:c>
      <x:c r="J740" s="32" t="n">
        <x:f>INDEX(v01_FoodCap,G740)*Arch_FoodCap*EXP(v01_CapsByProject*SUMPRODUCT((Cap_Point&lt;=I740)*(Cap_Kind="Food")*Cap_Ln))</x:f>
        <x:v>120</x:v>
      </x:c>
      <x:c r="K740" s="32" t="n">
        <x:f>J740*MIN(1,v01_LeanBase*EXP(v01_CapsByProject*SUMPRODUCT((Cap_Point&lt;=I740)*(Cap_Kind="Lean")*Cap_Ln)))</x:f>
        <x:v>120</x:v>
      </x:c>
      <x:c r="L740" s="10" t="n">
        <x:f>INDEX(v01_HousingCap,G740)*EXP(v01_CapsByProject*SUMPRODUCT((Cap_Point&lt;=I740)*(Cap_Kind="Housing")*Cap_Ln))</x:f>
        <x:v>200</x:v>
      </x:c>
      <x:c r="M740" s="10" t="n">
        <x:f>INDEX(v01_GroupCap,G740)*v01_CohesionFactor*EXP(v01_CapsByProject*SUMPRODUCT((Cap_Point&lt;=I740)*(Cap_Kind="Group")*Cap_Ln))</x:f>
        <x:v>5000</x:v>
      </x:c>
      <x:c r="N740" s="32" t="n">
        <x:f>MIN(J740,L740,M740)</x:f>
        <x:v>120</x:v>
      </x:c>
      <x:c r="O740" s="10" t="n">
        <x:f>AE739*N740</x:f>
        <x:v>840</x:v>
      </x:c>
      <x:c r="P740" s="9" t="n">
        <x:f>MIN(1,(AB739/(AE739*IF(v01_GroupInCrowding=1,N740,MIN(J740,L740))))^v01_CrowdingExp)</x:f>
        <x:v>0.014567176329985514</x:v>
      </x:c>
      <x:c r="Q740" s="9" t="n">
        <x:f>IF(D740=1,INDEX(v01_WinterMult,G740),1)</x:f>
        <x:v>1</x:v>
      </x:c>
      <x:c r="R740" s="9" t="n">
        <x:f>H740*Z739*v01_WomenShare*v01_BaseFertility*INDEX(v01_FertMult,G740)*Arch_Fertility*(1-P740)</x:f>
        <x:v>6.612815569480847</x:v>
      </x:c>
      <x:c r="S740" s="9" t="n">
        <x:f>H740*Y739*INDEX(v01_MortChild,G740)/4*Q740</x:f>
        <x:v>1.405092471941819</x:v>
      </x:c>
      <x:c r="T740" s="9" t="n">
        <x:f>H740*Z739*INDEX(v01_MortAdult,G740)*Arch_AdultMort/4*Q740</x:f>
        <x:v>0.473181191183186</x:v>
      </x:c>
      <x:c r="U740" s="9" t="n">
        <x:f>H740*AA739*INDEX(v01_MortElder,G740)/4*Q740</x:f>
        <x:v>0.9052859829219239</x:v>
      </x:c>
      <x:c r="V740" s="9" t="n">
        <x:f>H740*MAX(0,AB739-O740)*v01_OvercapLoss</x:f>
        <x:v>0</x:v>
      </x:c>
      <x:c r="W740" s="9" t="n">
        <x:f>H740*Y739/(v01_ChildYears*4)</x:f>
        <x:v>3.3454582665281407</x:v>
      </x:c>
      <x:c r="X740" s="9" t="n">
        <x:f>H740*Z739/(v01_AdultYears*4)</x:f>
        <x:v>1.3876281266369093</x:v>
      </x:c>
      <x:c r="Y740" s="32" t="n">
        <x:f>Y739+R740-S740-W740-Y739*V740/AB739</x:f>
        <x:v>189.20792775658677</x:v>
      </x:c>
      <x:c r="Z740" s="32" t="n">
        <x:f>Z739+W740-X740-T740-Z739*V740/AB739</x:f>
        <x:v>173.55053665168478</x:v>
      </x:c>
      <x:c r="AA740" s="32" t="n">
        <x:f>AA739+X740-U740-AA739*V740/AB739</x:f>
        <x:v>56.192248785064145</x:v>
      </x:c>
      <x:c r="AB740" s="10" t="n">
        <x:f>Y740+Z740+AA740</x:f>
        <x:v>418.9507131933357</x:v>
      </x:c>
      <x:c r="AC740" s="8" t="n">
        <x:f>IF(AND(v01_WinterTrigger=1,D740=1,AB739/AE739&gt;=K740),1,0)</x:f>
        <x:v>0</x:v>
      </x:c>
      <x:c r="AD740" s="8" t="n">
        <x:f>H740*IF(AND(OR(AB739/AE739&gt;=v01_FissionTrigger*N740,AC740=1),AB739/AE739*v01_DaughterShare&gt;=v01_MinDaughter),MAX(1,ROUND(AE739*v01_FissionRate,0)),0)</x:f>
        <x:v>0</x:v>
      </x:c>
      <x:c r="AE740" s="8" t="n">
        <x:f>IF(H740=1,MAX(1,MIN(INDEX(v01_Smax,G740),AE739+AD740)),AE739)</x:f>
        <x:v>7</x:v>
      </x:c>
      <x:c r="AF740" s="8" t="n">
        <x:f>MAX(0,AE740-AE739)</x:f>
        <x:v>0</x:v>
      </x:c>
      <x:c r="AG740" s="9" t="str">
        <x:f>IF(AF740&gt;0,B740,"")</x:f>
      </x:c>
      <x:c r="AH740" s="9" t="n">
        <x:f>IF(F740&gt;=1,1,(1+v01_LowTiesShare*(AE740-1))/AE740)</x:f>
        <x:v>1</x:v>
      </x:c>
      <x:c r="AI740" s="32" t="n">
        <x:f>(Z740+v01_ElderCommons*INDEX(LM_Elder,G740)*AA740)*AH740</x:f>
        <x:v>342.1272830068772</x:v>
      </x:c>
      <x:c r="AJ740" s="32" t="n">
        <x:f>H740*v01_CommonsCoef*AI740^v01_CommonsExp*INDEX(LM_Commons,G740)</x:f>
        <x:v>94.1030040729729</x:v>
      </x:c>
      <x:c r="AK740" s="32" t="n">
        <x:f>H740*v01_RoleScale*Arch_Roles*(AE740*(INDEX(v01_ElderRolePerSett,G740)*v01_OutElder*INDEX(LM_Elder,G740)+INDEX(v01_ShamanPerSett,G740)*v01_OutShaman)+Z740*(INDEX(v01_PriestShare,G740)*v01_OutPriest+INDEX(v01_ScribeShare,G740)*v01_OutScribe*INDEX(LM_Scribe,G740)+INDEX(v01_ScholarShare,G740)*v01_OutScholar*INDEX(LM_Scholar,G740)+INDEX(v01_ResearcherShare,G740)*v01_OutResearcher*INDEX(LM_Researcher,G740)))</x:f>
        <x:v>22.214853756561794</x:v>
      </x:c>
      <x:c r="AL740" s="32" t="n">
        <x:f>H740*v01_RoleScale*Arch_Roles*AE740*INDEX(v01_MonasteryPerSett,G740)*v01_OutMonastery*INDEX(LM_Monastery,G740)</x:f>
        <x:v>0</x:v>
      </x:c>
      <x:c r="AM740" s="32" t="n">
        <x:f>(AJ740+AK740+AL740)/4*INDEX(LM_All,G740)*INDEX(v01_Boon,G740)*Arch_Insight</x:f>
        <x:v>31.315402654177177</x:v>
      </x:c>
      <x:c r="AN740" s="32" t="n">
        <x:f>H740*(v01_KHPerAdult*Z740+v01_KHOfCommons*AJ740/4*INDEX(LM_All,G740))*v01_KHUsable*Arch_KH</x:f>
        <x:v>6.074268782808968</x:v>
      </x:c>
      <x:c r="AO740" s="32" t="n">
        <x:f>MIN(AP739+AN740,AM740*v01_KHMaxRatio)</x:f>
        <x:v>6.074268782808968</x:v>
      </x:c>
      <x:c r="AP740" s="32" t="n">
        <x:f>AP739+AN740-AO740</x:f>
        <x:v>0</x:v>
      </x:c>
      <x:c r="AQ740" s="32" t="n">
        <x:f>AM740+AO740</x:f>
        <x:v>37.38967143698615</x:v>
      </x:c>
      <x:c r="AR740" s="10" t="n">
        <x:f>IF(H740=1,INDEX(v01_Req,G740),0)</x:f>
        <x:v>9805.661999999998</x:v>
      </x:c>
      <x:c r="AS740" s="32" t="n">
        <x:f>IF(H740=1,IF(E740=1,AS739-AR739,AS739)+AQ740,0)</x:f>
        <x:v>975.2760797195664</x:v>
      </x:c>
      <x:c r="AT740" s="11" t="n">
        <x:f>IF(AR740&gt;0,MIN(1,AS740/AR740),1)</x:f>
        <x:v>0.09946050350497157</x:v>
      </x:c>
      <x:c r="AU740" s="10" t="n">
        <x:f>AB740/INDEX(v01_RepScale,G740)</x:f>
        <x:v>83.79014263866713</x:v>
      </x:c>
      <x:c r="AV740" s="32" t="n">
        <x:f>AM740*60/v01_SeasonSeconds</x:f>
        <x:v>125.2616106167087</x:v>
      </x:c>
    </x:row>
    <x:row r="741">
      <x:c r="A741" s="8" t="n">
        <x:f>A740+1</x:f>
        <x:v>738</x:v>
      </x:c>
      <x:c r="B741" s="9" t="n">
        <x:f>A741*v01_SeasonSeconds/60</x:f>
        <x:v>184.5</x:v>
      </x:c>
      <x:c r="C741" s="9" t="n">
        <x:f>A741/4</x:f>
        <x:v>184.5</x:v>
      </x:c>
      <x:c r="D741" s="8" t="n">
        <x:f>IF(MOD(A741,4)=0,1,0)</x:f>
        <x:v>0</x:v>
      </x:c>
      <x:c r="E741" s="8" t="n">
        <x:f>IF(AND(F740&lt;=9,AS740&gt;=AR740),1,0)</x:f>
        <x:v>0</x:v>
      </x:c>
      <x:c r="F741" s="8" t="n">
        <x:f>MIN(10,F740+E741)</x:f>
        <x:v>3</x:v>
      </x:c>
      <x:c r="G741" s="8" t="n">
        <x:f>MIN(F741,9)+1</x:f>
        <x:v>4</x:v>
      </x:c>
      <x:c r="H741" s="8" t="n">
        <x:f>IF(F741&lt;=9,1,0)</x:f>
        <x:v>1</x:v>
      </x:c>
      <x:c r="I741" s="9" t="n">
        <x:f>MIN(10,F740+IF(AR740&gt;0,MIN(1,AS740/AR740),1))</x:f>
        <x:v>3.0994605035049716</x:v>
      </x:c>
      <x:c r="J741" s="32" t="n">
        <x:f>INDEX(v01_FoodCap,G741)*Arch_FoodCap*EXP(v01_CapsByProject*SUMPRODUCT((Cap_Point&lt;=I741)*(Cap_Kind="Food")*Cap_Ln))</x:f>
        <x:v>120</x:v>
      </x:c>
      <x:c r="K741" s="32" t="n">
        <x:f>J741*MIN(1,v01_LeanBase*EXP(v01_CapsByProject*SUMPRODUCT((Cap_Point&lt;=I741)*(Cap_Kind="Lean")*Cap_Ln)))</x:f>
        <x:v>120</x:v>
      </x:c>
      <x:c r="L741" s="10" t="n">
        <x:f>INDEX(v01_HousingCap,G741)*EXP(v01_CapsByProject*SUMPRODUCT((Cap_Point&lt;=I741)*(Cap_Kind="Housing")*Cap_Ln))</x:f>
        <x:v>200</x:v>
      </x:c>
      <x:c r="M741" s="10" t="n">
        <x:f>INDEX(v01_GroupCap,G741)*v01_CohesionFactor*EXP(v01_CapsByProject*SUMPRODUCT((Cap_Point&lt;=I741)*(Cap_Kind="Group")*Cap_Ln))</x:f>
        <x:v>5000</x:v>
      </x:c>
      <x:c r="N741" s="32" t="n">
        <x:f>MIN(J741,L741,M741)</x:f>
        <x:v>120</x:v>
      </x:c>
      <x:c r="O741" s="10" t="n">
        <x:f>AE740*N741</x:f>
        <x:v>840</x:v>
      </x:c>
      <x:c r="P741" s="9" t="n">
        <x:f>MIN(1,(AB740/(AE740*IF(v01_GroupInCrowding=1,N741,MIN(J741,L741))))^v01_CrowdingExp)</x:f>
        <x:v>0.015392242185681778</x:v>
      </x:c>
      <x:c r="Q741" s="9" t="n">
        <x:f>IF(D741=1,INDEX(v01_WinterMult,G741),1)</x:f>
        <x:v>1</x:v>
      </x:c>
      <x:c r="R741" s="9" t="n">
        <x:f>H741*Z740*v01_WomenShare*v01_BaseFertility*INDEX(v01_FertMult,G741)*Arch_Fertility*(1-P741)</x:f>
        <x:v>6.664288985643394</x:v>
      </x:c>
      <x:c r="S741" s="9" t="n">
        <x:f>H741*Y740*INDEX(v01_MortChild,G741)/4*Q741</x:f>
        <x:v>1.4190594581744007</x:v>
      </x:c>
      <x:c r="T741" s="9" t="n">
        <x:f>H741*Z740*INDEX(v01_MortAdult,G741)*Arch_AdultMort/4*Q741</x:f>
        <x:v>0.47726397579213314</x:v>
      </x:c>
      <x:c r="U741" s="9" t="n">
        <x:f>H741*AA740*INDEX(v01_MortElder,G741)/4*Q741</x:f>
        <x:v>0.9131240427572924</x:v>
      </x:c>
      <x:c r="V741" s="9" t="n">
        <x:f>H741*MAX(0,AB740-O741)*v01_OvercapLoss</x:f>
        <x:v>0</x:v>
      </x:c>
      <x:c r="W741" s="9" t="n">
        <x:f>H741*Y740/(v01_ChildYears*4)</x:f>
        <x:v>3.378712995653335</x:v>
      </x:c>
      <x:c r="X741" s="9" t="n">
        <x:f>H741*Z740/(v01_AdultYears*4)</x:f>
        <x:v>1.3996011020297159</x:v>
      </x:c>
      <x:c r="Y741" s="32" t="n">
        <x:f>Y740+R741-S741-W741-Y740*V741/AB740</x:f>
        <x:v>191.07444428840245</x:v>
      </x:c>
      <x:c r="Z741" s="32" t="n">
        <x:f>Z740+W741-X741-T741-Z740*V741/AB740</x:f>
        <x:v>175.05238456951625</x:v>
      </x:c>
      <x:c r="AA741" s="32" t="n">
        <x:f>AA740+X741-U741-AA740*V741/AB740</x:f>
        <x:v>56.67872584433657</x:v>
      </x:c>
      <x:c r="AB741" s="10" t="n">
        <x:f>Y741+Z741+AA741</x:f>
        <x:v>422.8055547022552</x:v>
      </x:c>
      <x:c r="AC741" s="8" t="n">
        <x:f>IF(AND(v01_WinterTrigger=1,D741=1,AB740/AE740&gt;=K741),1,0)</x:f>
        <x:v>0</x:v>
      </x:c>
      <x:c r="AD741" s="8" t="n">
        <x:f>H741*IF(AND(OR(AB740/AE740&gt;=v01_FissionTrigger*N741,AC741=1),AB740/AE740*v01_DaughterShare&gt;=v01_MinDaughter),MAX(1,ROUND(AE740*v01_FissionRate,0)),0)</x:f>
        <x:v>0</x:v>
      </x:c>
      <x:c r="AE741" s="8" t="n">
        <x:f>IF(H741=1,MAX(1,MIN(INDEX(v01_Smax,G741),AE740+AD741)),AE740)</x:f>
        <x:v>7</x:v>
      </x:c>
      <x:c r="AF741" s="8" t="n">
        <x:f>MAX(0,AE741-AE740)</x:f>
        <x:v>0</x:v>
      </x:c>
      <x:c r="AG741" s="9" t="str">
        <x:f>IF(AF741&gt;0,B741,"")</x:f>
      </x:c>
      <x:c r="AH741" s="9" t="n">
        <x:f>IF(F741&gt;=1,1,(1+v01_LowTiesShare*(AE741-1))/AE741)</x:f>
        <x:v>1</x:v>
      </x:c>
      <x:c r="AI741" s="32" t="n">
        <x:f>(Z741+v01_ElderCommons*INDEX(LM_Elder,G741)*AA741)*AH741</x:f>
        <x:v>345.088562102526</x:v>
      </x:c>
      <x:c r="AJ741" s="32" t="n">
        <x:f>H741*v01_CommonsCoef*AI741^v01_CommonsExp*INDEX(LM_Commons,G741)</x:f>
        <x:v>94.79488754898179</x:v>
      </x:c>
      <x:c r="AK741" s="32" t="n">
        <x:f>H741*v01_RoleScale*Arch_Roles*(AE741*(INDEX(v01_ElderRolePerSett,G741)*v01_OutElder*INDEX(LM_Elder,G741)+INDEX(v01_ShamanPerSett,G741)*v01_OutShaman)+Z741*(INDEX(v01_PriestShare,G741)*v01_OutPriest+INDEX(v01_ScribeShare,G741)*v01_OutScribe*INDEX(LM_Scribe,G741)+INDEX(v01_ScholarShare,G741)*v01_OutScholar*INDEX(LM_Scholar,G741)+INDEX(v01_ResearcherShare,G741)*v01_OutResearcher*INDEX(LM_Researcher,G741)))</x:f>
        <x:v>22.225366691986615</x:v>
      </x:c>
      <x:c r="AL741" s="32" t="n">
        <x:f>H741*v01_RoleScale*Arch_Roles*AE741*INDEX(v01_MonasteryPerSett,G741)*v01_OutMonastery*INDEX(LM_Monastery,G741)</x:f>
        <x:v>0</x:v>
      </x:c>
      <x:c r="AM741" s="32" t="n">
        <x:f>(AJ741+AK741+AL741)/4*INDEX(LM_All,G741)*INDEX(v01_Boon,G741)*Arch_Insight</x:f>
        <x:v>31.50450368180383</x:v>
      </x:c>
      <x:c r="AN741" s="32" t="n">
        <x:f>H741*(v01_KHPerAdult*Z741+v01_KHOfCommons*AJ741/4*INDEX(LM_All,G741))*v01_KHUsable*Arch_KH</x:f>
        <x:v>6.126833459933069</x:v>
      </x:c>
      <x:c r="AO741" s="32" t="n">
        <x:f>MIN(AP740+AN741,AM741*v01_KHMaxRatio)</x:f>
        <x:v>6.126833459933069</x:v>
      </x:c>
      <x:c r="AP741" s="32" t="n">
        <x:f>AP740+AN741-AO741</x:f>
        <x:v>0</x:v>
      </x:c>
      <x:c r="AQ741" s="32" t="n">
        <x:f>AM741+AO741</x:f>
        <x:v>37.6313371417369</x:v>
      </x:c>
      <x:c r="AR741" s="10" t="n">
        <x:f>IF(H741=1,INDEX(v01_Req,G741),0)</x:f>
        <x:v>9805.661999999998</x:v>
      </x:c>
      <x:c r="AS741" s="32" t="n">
        <x:f>IF(H741=1,IF(E741=1,AS740-AR740,AS740)+AQ741,0)</x:f>
        <x:v>1012.9074168613033</x:v>
      </x:c>
      <x:c r="AT741" s="11" t="n">
        <x:f>IF(AR741&gt;0,MIN(1,AS741/AR741),1)</x:f>
        <x:v>0.10329821860689299</x:v>
      </x:c>
      <x:c r="AU741" s="10" t="n">
        <x:f>AB741/INDEX(v01_RepScale,G741)</x:f>
        <x:v>84.56111094045104</x:v>
      </x:c>
      <x:c r="AV741" s="32" t="n">
        <x:f>AM741*60/v01_SeasonSeconds</x:f>
        <x:v>126.01801472721532</x:v>
      </x:c>
    </x:row>
    <x:row r="742">
      <x:c r="A742" s="8" t="n">
        <x:f>A741+1</x:f>
        <x:v>739</x:v>
      </x:c>
      <x:c r="B742" s="9" t="n">
        <x:f>A742*v01_SeasonSeconds/60</x:f>
        <x:v>184.75</x:v>
      </x:c>
      <x:c r="C742" s="9" t="n">
        <x:f>A742/4</x:f>
        <x:v>184.75</x:v>
      </x:c>
      <x:c r="D742" s="8" t="n">
        <x:f>IF(MOD(A742,4)=0,1,0)</x:f>
        <x:v>0</x:v>
      </x:c>
      <x:c r="E742" s="8" t="n">
        <x:f>IF(AND(F741&lt;=9,AS741&gt;=AR741),1,0)</x:f>
        <x:v>0</x:v>
      </x:c>
      <x:c r="F742" s="8" t="n">
        <x:f>MIN(10,F741+E742)</x:f>
        <x:v>3</x:v>
      </x:c>
      <x:c r="G742" s="8" t="n">
        <x:f>MIN(F742,9)+1</x:f>
        <x:v>4</x:v>
      </x:c>
      <x:c r="H742" s="8" t="n">
        <x:f>IF(F742&lt;=9,1,0)</x:f>
        <x:v>1</x:v>
      </x:c>
      <x:c r="I742" s="9" t="n">
        <x:f>MIN(10,F741+IF(AR741&gt;0,MIN(1,AS741/AR741),1))</x:f>
        <x:v>3.103298218606893</x:v>
      </x:c>
      <x:c r="J742" s="32" t="n">
        <x:f>INDEX(v01_FoodCap,G742)*Arch_FoodCap*EXP(v01_CapsByProject*SUMPRODUCT((Cap_Point&lt;=I742)*(Cap_Kind="Food")*Cap_Ln))</x:f>
        <x:v>120</x:v>
      </x:c>
      <x:c r="K742" s="32" t="n">
        <x:f>J742*MIN(1,v01_LeanBase*EXP(v01_CapsByProject*SUMPRODUCT((Cap_Point&lt;=I742)*(Cap_Kind="Lean")*Cap_Ln)))</x:f>
        <x:v>120</x:v>
      </x:c>
      <x:c r="L742" s="10" t="n">
        <x:f>INDEX(v01_HousingCap,G742)*EXP(v01_CapsByProject*SUMPRODUCT((Cap_Point&lt;=I742)*(Cap_Kind="Housing")*Cap_Ln))</x:f>
        <x:v>200</x:v>
      </x:c>
      <x:c r="M742" s="10" t="n">
        <x:f>INDEX(v01_GroupCap,G742)*v01_CohesionFactor*EXP(v01_CapsByProject*SUMPRODUCT((Cap_Point&lt;=I742)*(Cap_Kind="Group")*Cap_Ln))</x:f>
        <x:v>5000</x:v>
      </x:c>
      <x:c r="N742" s="32" t="n">
        <x:f>MIN(J742,L742,M742)</x:f>
        <x:v>120</x:v>
      </x:c>
      <x:c r="O742" s="10" t="n">
        <x:f>AE741*N742</x:f>
        <x:v>840</x:v>
      </x:c>
      <x:c r="P742" s="9" t="n">
        <x:f>MIN(1,(AB741/(AE741*IF(v01_GroupInCrowding=1,N742,MIN(J742,L742))))^v01_CrowdingExp)</x:f>
        <x:v>0.01626179153883228</x:v>
      </x:c>
      <x:c r="Q742" s="9" t="n">
        <x:f>IF(D742=1,INDEX(v01_WinterMult,G742),1)</x:f>
        <x:v>1</x:v>
      </x:c>
      <x:c r="R742" s="9" t="n">
        <x:f>H742*Z741*v01_WomenShare*v01_BaseFertility*INDEX(v01_FertMult,G742)*Arch_Fertility*(1-P742)</x:f>
        <x:v>6.71602304814758</x:v>
      </x:c>
      <x:c r="S742" s="9" t="n">
        <x:f>H742*Y741*INDEX(v01_MortChild,G742)/4*Q742</x:f>
        <x:v>1.4330583321630184</x:v>
      </x:c>
      <x:c r="T742" s="9" t="n">
        <x:f>H742*Z741*INDEX(v01_MortAdult,G742)*Arch_AdultMort/4*Q742</x:f>
        <x:v>0.48139405756616965</x:v>
      </x:c>
      <x:c r="U742" s="9" t="n">
        <x:f>H742*AA741*INDEX(v01_MortElder,G742)/4*Q742</x:f>
        <x:v>0.9210292949704693</x:v>
      </x:c>
      <x:c r="V742" s="9" t="n">
        <x:f>H742*MAX(0,AB741-O742)*v01_OvercapLoss</x:f>
        <x:v>0</x:v>
      </x:c>
      <x:c r="W742" s="9" t="n">
        <x:f>H742*Y741/(v01_ChildYears*4)</x:f>
        <x:v>3.4120436480071867</x:v>
      </x:c>
      <x:c r="X742" s="9" t="n">
        <x:f>H742*Z741/(v01_AdultYears*4)</x:f>
        <x:v>1.4117127787864214</x:v>
      </x:c>
      <x:c r="Y742" s="32" t="n">
        <x:f>Y741+R742-S742-W742-Y741*V742/AB741</x:f>
        <x:v>192.9453653563798</x:v>
      </x:c>
      <x:c r="Z742" s="32" t="n">
        <x:f>Z741+W742-X742-T742-Z741*V742/AB741</x:f>
        <x:v>176.57132138117086</x:v>
      </x:c>
      <x:c r="AA742" s="32" t="n">
        <x:f>AA741+X742-U742-AA741*V742/AB741</x:f>
        <x:v>57.169409328152526</x:v>
      </x:c>
      <x:c r="AB742" s="10" t="n">
        <x:f>Y742+Z742+AA742</x:f>
        <x:v>426.6860960657032</x:v>
      </x:c>
      <x:c r="AC742" s="8" t="n">
        <x:f>IF(AND(v01_WinterTrigger=1,D742=1,AB741/AE741&gt;=K742),1,0)</x:f>
        <x:v>0</x:v>
      </x:c>
      <x:c r="AD742" s="8" t="n">
        <x:f>H742*IF(AND(OR(AB741/AE741&gt;=v01_FissionTrigger*N742,AC742=1),AB741/AE741*v01_DaughterShare&gt;=v01_MinDaughter),MAX(1,ROUND(AE741*v01_FissionRate,0)),0)</x:f>
        <x:v>0</x:v>
      </x:c>
      <x:c r="AE742" s="8" t="n">
        <x:f>IF(H742=1,MAX(1,MIN(INDEX(v01_Smax,G742),AE741+AD742)),AE741)</x:f>
        <x:v>7</x:v>
      </x:c>
      <x:c r="AF742" s="8" t="n">
        <x:f>MAX(0,AE742-AE741)</x:f>
        <x:v>0</x:v>
      </x:c>
      <x:c r="AG742" s="9" t="str">
        <x:f>IF(AF742&gt;0,B742,"")</x:f>
      </x:c>
      <x:c r="AH742" s="9" t="n">
        <x:f>IF(F742&gt;=1,1,(1+v01_LowTiesShare*(AE742-1))/AE742)</x:f>
        <x:v>1</x:v>
      </x:c>
      <x:c r="AI742" s="32" t="n">
        <x:f>(Z742+v01_ElderCommons*INDEX(LM_Elder,G742)*AA742)*AH742</x:f>
        <x:v>348.0795493656284</x:v>
      </x:c>
      <x:c r="AJ742" s="32" t="n">
        <x:f>H742*v01_CommonsCoef*AI742^v01_CommonsExp*INDEX(LM_Commons,G742)</x:f>
        <x:v>95.49280871652559</x:v>
      </x:c>
      <x:c r="AK742" s="32" t="n">
        <x:f>H742*v01_RoleScale*Arch_Roles*(AE742*(INDEX(v01_ElderRolePerSett,G742)*v01_OutElder*INDEX(LM_Elder,G742)+INDEX(v01_ShamanPerSett,G742)*v01_OutShaman)+Z742*(INDEX(v01_PriestShare,G742)*v01_OutPriest+INDEX(v01_ScribeShare,G742)*v01_OutScribe*INDEX(LM_Scribe,G742)+INDEX(v01_ScholarShare,G742)*v01_OutScholar*INDEX(LM_Scholar,G742)+INDEX(v01_ResearcherShare,G742)*v01_OutResearcher*INDEX(LM_Researcher,G742)))</x:f>
        <x:v>22.235999249668197</x:v>
      </x:c>
      <x:c r="AL742" s="32" t="n">
        <x:f>H742*v01_RoleScale*Arch_Roles*AE742*INDEX(v01_MonasteryPerSett,G742)*v01_OutMonastery*INDEX(LM_Monastery,G742)</x:f>
        <x:v>0</x:v>
      </x:c>
      <x:c r="AM742" s="32" t="n">
        <x:f>(AJ742+AK742+AL742)/4*INDEX(LM_All,G742)*INDEX(v01_Boon,G742)*Arch_Insight</x:f>
        <x:v>31.69526239780484</x:v>
      </x:c>
      <x:c r="AN742" s="32" t="n">
        <x:f>H742*(v01_KHPerAdult*Z742+v01_KHOfCommons*AJ742/4*INDEX(LM_All,G742))*v01_KHUsable*Arch_KH</x:f>
        <x:v>6.179996248340981</x:v>
      </x:c>
      <x:c r="AO742" s="32" t="n">
        <x:f>MIN(AP741+AN742,AM742*v01_KHMaxRatio)</x:f>
        <x:v>6.179996248340981</x:v>
      </x:c>
      <x:c r="AP742" s="32" t="n">
        <x:f>AP741+AN742-AO742</x:f>
        <x:v>0</x:v>
      </x:c>
      <x:c r="AQ742" s="32" t="n">
        <x:f>AM742+AO742</x:f>
        <x:v>37.875258646145824</x:v>
      </x:c>
      <x:c r="AR742" s="10" t="n">
        <x:f>IF(H742=1,INDEX(v01_Req,G742),0)</x:f>
        <x:v>9805.661999999998</x:v>
      </x:c>
      <x:c r="AS742" s="32" t="n">
        <x:f>IF(H742=1,IF(E742=1,AS741-AR741,AS741)+AQ742,0)</x:f>
        <x:v>1050.782675507449</x:v>
      </x:c>
      <x:c r="AT742" s="11" t="n">
        <x:f>IF(AR742&gt;0,MIN(1,AS742/AR742),1)</x:f>
        <x:v>0.10716080928625209</x:v>
      </x:c>
      <x:c r="AU742" s="10" t="n">
        <x:f>AB742/INDEX(v01_RepScale,G742)</x:f>
        <x:v>85.33721921314064</x:v>
      </x:c>
      <x:c r="AV742" s="32" t="n">
        <x:f>AM742*60/v01_SeasonSeconds</x:f>
        <x:v>126.78104959121934</x:v>
      </x:c>
    </x:row>
    <x:row r="743">
      <x:c r="A743" s="8" t="n">
        <x:f>A742+1</x:f>
        <x:v>740</x:v>
      </x:c>
      <x:c r="B743" s="9" t="n">
        <x:f>A743*v01_SeasonSeconds/60</x:f>
        <x:v>185</x:v>
      </x:c>
      <x:c r="C743" s="9" t="n">
        <x:f>A743/4</x:f>
        <x:v>185</x:v>
      </x:c>
      <x:c r="D743" s="8" t="n">
        <x:f>IF(MOD(A743,4)=0,1,0)</x:f>
        <x:v>1</x:v>
      </x:c>
      <x:c r="E743" s="8" t="n">
        <x:f>IF(AND(F742&lt;=9,AS742&gt;=AR742),1,0)</x:f>
        <x:v>0</x:v>
      </x:c>
      <x:c r="F743" s="8" t="n">
        <x:f>MIN(10,F742+E743)</x:f>
        <x:v>3</x:v>
      </x:c>
      <x:c r="G743" s="8" t="n">
        <x:f>MIN(F743,9)+1</x:f>
        <x:v>4</x:v>
      </x:c>
      <x:c r="H743" s="8" t="n">
        <x:f>IF(F743&lt;=9,1,0)</x:f>
        <x:v>1</x:v>
      </x:c>
      <x:c r="I743" s="9" t="n">
        <x:f>MIN(10,F742+IF(AR742&gt;0,MIN(1,AS742/AR742),1))</x:f>
        <x:v>3.107160809286252</x:v>
      </x:c>
      <x:c r="J743" s="32" t="n">
        <x:f>INDEX(v01_FoodCap,G743)*Arch_FoodCap*EXP(v01_CapsByProject*SUMPRODUCT((Cap_Point&lt;=I743)*(Cap_Kind="Food")*Cap_Ln))</x:f>
        <x:v>120</x:v>
      </x:c>
      <x:c r="K743" s="32" t="n">
        <x:f>J743*MIN(1,v01_LeanBase*EXP(v01_CapsByProject*SUMPRODUCT((Cap_Point&lt;=I743)*(Cap_Kind="Lean")*Cap_Ln)))</x:f>
        <x:v>120</x:v>
      </x:c>
      <x:c r="L743" s="10" t="n">
        <x:f>INDEX(v01_HousingCap,G743)*EXP(v01_CapsByProject*SUMPRODUCT((Cap_Point&lt;=I743)*(Cap_Kind="Housing")*Cap_Ln))</x:f>
        <x:v>200</x:v>
      </x:c>
      <x:c r="M743" s="10" t="n">
        <x:f>INDEX(v01_GroupCap,G743)*v01_CohesionFactor*EXP(v01_CapsByProject*SUMPRODUCT((Cap_Point&lt;=I743)*(Cap_Kind="Group")*Cap_Ln))</x:f>
        <x:v>5000</x:v>
      </x:c>
      <x:c r="N743" s="32" t="n">
        <x:f>MIN(J743,L743,M743)</x:f>
        <x:v>120</x:v>
      </x:c>
      <x:c r="O743" s="10" t="n">
        <x:f>AE742*N743</x:f>
        <x:v>840</x:v>
      </x:c>
      <x:c r="P743" s="9" t="n">
        <x:f>MIN(1,(AB742/(AE742*IF(v01_GroupInCrowding=1,N743,MIN(J743,L743))))^v01_CrowdingExp)</x:f>
        <x:v>0.01717810412975065</x:v>
      </x:c>
      <x:c r="Q743" s="9" t="n">
        <x:f>IF(D743=1,INDEX(v01_WinterMult,G743),1)</x:f>
        <x:v>1.15</x:v>
      </x:c>
      <x:c r="R743" s="9" t="n">
        <x:f>H743*Z742*v01_WomenShare*v01_BaseFertility*INDEX(v01_FertMult,G743)*Arch_Fertility*(1-P743)</x:f>
        <x:v>6.767988272610141</x:v>
      </x:c>
      <x:c r="S743" s="9" t="n">
        <x:f>H743*Y742*INDEX(v01_MortChild,G743)/4*Q743</x:f>
        <x:v>1.6641537761987757</x:v>
      </x:c>
      <x:c r="T743" s="9" t="n">
        <x:f>H743*Z742*INDEX(v01_MortAdult,G743)*Arch_AdultMort/4*Q743</x:f>
        <x:v>0.5584068038679528</x:v>
      </x:c>
      <x:c r="U743" s="9" t="n">
        <x:f>H743*AA742*INDEX(v01_MortElder,G743)/4*Q743</x:f>
        <x:v>1.0683533368198503</x:v>
      </x:c>
      <x:c r="V743" s="9" t="n">
        <x:f>H743*MAX(0,AB742-O743)*v01_OvercapLoss</x:f>
        <x:v>0</x:v>
      </x:c>
      <x:c r="W743" s="9" t="n">
        <x:f>H743*Y742/(v01_ChildYears*4)</x:f>
        <x:v>3.4454529527924964</x:v>
      </x:c>
      <x:c r="X743" s="9" t="n">
        <x:f>H743*Z742/(v01_AdultYears*4)</x:f>
        <x:v>1.4239622692029907</x:v>
      </x:c>
      <x:c r="Y743" s="32" t="n">
        <x:f>Y742+R743-S743-W743-Y742*V743/AB742</x:f>
        <x:v>194.60374689999867</x:v>
      </x:c>
      <x:c r="Z743" s="32" t="n">
        <x:f>Z742+W743-X743-T743-Z742*V743/AB742</x:f>
        <x:v>178.0344052608924</x:v>
      </x:c>
      <x:c r="AA743" s="32" t="n">
        <x:f>AA742+X743-U743-AA742*V743/AB742</x:f>
        <x:v>57.52501826053566</x:v>
      </x:c>
      <x:c r="AB743" s="10" t="n">
        <x:f>Y743+Z743+AA743</x:f>
        <x:v>430.16317042142674</x:v>
      </x:c>
      <x:c r="AC743" s="8" t="n">
        <x:f>IF(AND(v01_WinterTrigger=1,D743=1,AB742/AE742&gt;=K743),1,0)</x:f>
        <x:v>0</x:v>
      </x:c>
      <x:c r="AD743" s="8" t="n">
        <x:f>H743*IF(AND(OR(AB742/AE742&gt;=v01_FissionTrigger*N743,AC743=1),AB742/AE742*v01_DaughterShare&gt;=v01_MinDaughter),MAX(1,ROUND(AE742*v01_FissionRate,0)),0)</x:f>
        <x:v>0</x:v>
      </x:c>
      <x:c r="AE743" s="8" t="n">
        <x:f>IF(H743=1,MAX(1,MIN(INDEX(v01_Smax,G743),AE742+AD743)),AE742)</x:f>
        <x:v>7</x:v>
      </x:c>
      <x:c r="AF743" s="8" t="n">
        <x:f>MAX(0,AE743-AE742)</x:f>
        <x:v>0</x:v>
      </x:c>
      <x:c r="AG743" s="9" t="str">
        <x:f>IF(AF743&gt;0,B743,"")</x:f>
      </x:c>
      <x:c r="AH743" s="9" t="n">
        <x:f>IF(F743&gt;=1,1,(1+v01_LowTiesShare*(AE743-1))/AE743)</x:f>
        <x:v>1</x:v>
      </x:c>
      <x:c r="AI743" s="32" t="n">
        <x:f>(Z743+v01_ElderCommons*INDEX(LM_Elder,G743)*AA743)*AH743</x:f>
        <x:v>350.6094600424994</x:v>
      </x:c>
      <x:c r="AJ743" s="32" t="n">
        <x:f>H743*v01_CommonsCoef*AI743^v01_CommonsExp*INDEX(LM_Commons,G743)</x:f>
        <x:v>96.08243946785974</x:v>
      </x:c>
      <x:c r="AK743" s="32" t="n">
        <x:f>H743*v01_RoleScale*Arch_Roles*(AE743*(INDEX(v01_ElderRolePerSett,G743)*v01_OutElder*INDEX(LM_Elder,G743)+INDEX(v01_ShamanPerSett,G743)*v01_OutShaman)+Z743*(INDEX(v01_PriestShare,G743)*v01_OutPriest+INDEX(v01_ScribeShare,G743)*v01_OutScribe*INDEX(LM_Scribe,G743)+INDEX(v01_ScholarShare,G743)*v01_OutScholar*INDEX(LM_Scholar,G743)+INDEX(v01_ResearcherShare,G743)*v01_OutResearcher*INDEX(LM_Researcher,G743)))</x:f>
        <x:v>22.246240836826246</x:v>
      </x:c>
      <x:c r="AL743" s="32" t="n">
        <x:f>H743*v01_RoleScale*Arch_Roles*AE743*INDEX(v01_MonasteryPerSett,G743)*v01_OutMonastery*INDEX(LM_Monastery,G743)</x:f>
        <x:v>0</x:v>
      </x:c>
      <x:c r="AM743" s="32" t="n">
        <x:f>(AJ743+AK743+AL743)/4*INDEX(LM_All,G743)*INDEX(v01_Boon,G743)*Arch_Insight</x:f>
        <x:v>31.85676162218461</x:v>
      </x:c>
      <x:c r="AN743" s="32" t="n">
        <x:f>H743*(v01_KHPerAdult*Z743+v01_KHOfCommons*AJ743/4*INDEX(LM_All,G743))*v01_KHUsable*Arch_KH</x:f>
        <x:v>6.231204184131235</x:v>
      </x:c>
      <x:c r="AO743" s="32" t="n">
        <x:f>MIN(AP742+AN743,AM743*v01_KHMaxRatio)</x:f>
        <x:v>6.231204184131235</x:v>
      </x:c>
      <x:c r="AP743" s="32" t="n">
        <x:f>AP742+AN743-AO743</x:f>
        <x:v>0</x:v>
      </x:c>
      <x:c r="AQ743" s="32" t="n">
        <x:f>AM743+AO743</x:f>
        <x:v>38.08796580631584</x:v>
      </x:c>
      <x:c r="AR743" s="10" t="n">
        <x:f>IF(H743=1,INDEX(v01_Req,G743),0)</x:f>
        <x:v>9805.661999999998</x:v>
      </x:c>
      <x:c r="AS743" s="32" t="n">
        <x:f>IF(H743=1,IF(E743=1,AS742-AR742,AS742)+AQ743,0)</x:f>
        <x:v>1088.870641313765</x:v>
      </x:c>
      <x:c r="AT743" s="11" t="n">
        <x:f>IF(AR743&gt;0,MIN(1,AS743/AR743),1)</x:f>
        <x:v>0.11104509224504834</x:v>
      </x:c>
      <x:c r="AU743" s="10" t="n">
        <x:f>AB743/INDEX(v01_RepScale,G743)</x:f>
        <x:v>86.03263408428535</x:v>
      </x:c>
      <x:c r="AV743" s="32" t="n">
        <x:f>AM743*60/v01_SeasonSeconds</x:f>
        <x:v>127.42704648873844</x:v>
      </x:c>
    </x:row>
    <x:row r="744">
      <x:c r="A744" s="8" t="n">
        <x:f>A743+1</x:f>
        <x:v>741</x:v>
      </x:c>
      <x:c r="B744" s="9" t="n">
        <x:f>A744*v01_SeasonSeconds/60</x:f>
        <x:v>185.25</x:v>
      </x:c>
      <x:c r="C744" s="9" t="n">
        <x:f>A744/4</x:f>
        <x:v>185.25</x:v>
      </x:c>
      <x:c r="D744" s="8" t="n">
        <x:f>IF(MOD(A744,4)=0,1,0)</x:f>
        <x:v>0</x:v>
      </x:c>
      <x:c r="E744" s="8" t="n">
        <x:f>IF(AND(F743&lt;=9,AS743&gt;=AR743),1,0)</x:f>
        <x:v>0</x:v>
      </x:c>
      <x:c r="F744" s="8" t="n">
        <x:f>MIN(10,F743+E744)</x:f>
        <x:v>3</x:v>
      </x:c>
      <x:c r="G744" s="8" t="n">
        <x:f>MIN(F744,9)+1</x:f>
        <x:v>4</x:v>
      </x:c>
      <x:c r="H744" s="8" t="n">
        <x:f>IF(F744&lt;=9,1,0)</x:f>
        <x:v>1</x:v>
      </x:c>
      <x:c r="I744" s="9" t="n">
        <x:f>MIN(10,F743+IF(AR743&gt;0,MIN(1,AS743/AR743),1))</x:f>
        <x:v>3.1110450922450483</x:v>
      </x:c>
      <x:c r="J744" s="32" t="n">
        <x:f>INDEX(v01_FoodCap,G744)*Arch_FoodCap*EXP(v01_CapsByProject*SUMPRODUCT((Cap_Point&lt;=I744)*(Cap_Kind="Food")*Cap_Ln))</x:f>
        <x:v>120</x:v>
      </x:c>
      <x:c r="K744" s="32" t="n">
        <x:f>J744*MIN(1,v01_LeanBase*EXP(v01_CapsByProject*SUMPRODUCT((Cap_Point&lt;=I744)*(Cap_Kind="Lean")*Cap_Ln)))</x:f>
        <x:v>120</x:v>
      </x:c>
      <x:c r="L744" s="10" t="n">
        <x:f>INDEX(v01_HousingCap,G744)*EXP(v01_CapsByProject*SUMPRODUCT((Cap_Point&lt;=I744)*(Cap_Kind="Housing")*Cap_Ln))</x:f>
        <x:v>200</x:v>
      </x:c>
      <x:c r="M744" s="10" t="n">
        <x:f>INDEX(v01_GroupCap,G744)*v01_CohesionFactor*EXP(v01_CapsByProject*SUMPRODUCT((Cap_Point&lt;=I744)*(Cap_Kind="Group")*Cap_Ln))</x:f>
        <x:v>5000</x:v>
      </x:c>
      <x:c r="N744" s="32" t="n">
        <x:f>MIN(J744,L744,M744)</x:f>
        <x:v>120</x:v>
      </x:c>
      <x:c r="O744" s="10" t="n">
        <x:f>AE743*N744</x:f>
        <x:v>840</x:v>
      </x:c>
      <x:c r="P744" s="9" t="n">
        <x:f>MIN(1,(AB743/(AE743*IF(v01_GroupInCrowding=1,N744,MIN(J744,L744))))^v01_CrowdingExp)</x:f>
        <x:v>0.018035310753515995</x:v>
      </x:c>
      <x:c r="Q744" s="9" t="n">
        <x:f>IF(D744=1,INDEX(v01_WinterMult,G744),1)</x:f>
        <x:v>1</x:v>
      </x:c>
      <x:c r="R744" s="9" t="n">
        <x:f>H744*Z743*v01_WomenShare*v01_BaseFertility*INDEX(v01_FertMult,G744)*Arch_Fertility*(1-P744)</x:f>
        <x:v>6.818116478050598</x:v>
      </x:c>
      <x:c r="S744" s="9" t="n">
        <x:f>H744*Y743*INDEX(v01_MortChild,G744)/4*Q744</x:f>
        <x:v>1.45952810174999</x:v>
      </x:c>
      <x:c r="T744" s="9" t="n">
        <x:f>H744*Z743*INDEX(v01_MortAdult,G744)*Arch_AdultMort/4*Q744</x:f>
        <x:v>0.4895946144674541</x:v>
      </x:c>
      <x:c r="U744" s="9" t="n">
        <x:f>H744*AA743*INDEX(v01_MortElder,G744)/4*Q744</x:f>
        <x:v>0.9347815467337045</x:v>
      </x:c>
      <x:c r="V744" s="9" t="n">
        <x:f>H744*MAX(0,AB743-O744)*v01_OvercapLoss</x:f>
        <x:v>0</x:v>
      </x:c>
      <x:c r="W744" s="9" t="n">
        <x:f>H744*Y743/(v01_ChildYears*4)</x:f>
        <x:v>3.4750669089285475</x:v>
      </x:c>
      <x:c r="X744" s="9" t="n">
        <x:f>H744*Z743/(v01_AdultYears*4)</x:f>
        <x:v>1.4357613327491323</x:v>
      </x:c>
      <x:c r="Y744" s="32" t="n">
        <x:f>Y743+R744-S744-W744-Y743*V744/AB743</x:f>
        <x:v>196.48726836737075</x:v>
      </x:c>
      <x:c r="Z744" s="32" t="n">
        <x:f>Z743+W744-X744-T744-Z743*V744/AB743</x:f>
        <x:v>179.58411622260437</x:v>
      </x:c>
      <x:c r="AA744" s="32" t="n">
        <x:f>AA743+X744-U744-AA743*V744/AB743</x:f>
        <x:v>58.02599804655109</x:v>
      </x:c>
      <x:c r="AB744" s="10" t="n">
        <x:f>Y744+Z744+AA744</x:f>
        <x:v>434.09738263652616</x:v>
      </x:c>
      <x:c r="AC744" s="8" t="n">
        <x:f>IF(AND(v01_WinterTrigger=1,D744=1,AB743/AE743&gt;=K744),1,0)</x:f>
        <x:v>0</x:v>
      </x:c>
      <x:c r="AD744" s="8" t="n">
        <x:f>H744*IF(AND(OR(AB743/AE743&gt;=v01_FissionTrigger*N744,AC744=1),AB743/AE743*v01_DaughterShare&gt;=v01_MinDaughter),MAX(1,ROUND(AE743*v01_FissionRate,0)),0)</x:f>
        <x:v>0</x:v>
      </x:c>
      <x:c r="AE744" s="8" t="n">
        <x:f>IF(H744=1,MAX(1,MIN(INDEX(v01_Smax,G744),AE743+AD744)),AE743)</x:f>
        <x:v>7</x:v>
      </x:c>
      <x:c r="AF744" s="8" t="n">
        <x:f>MAX(0,AE744-AE743)</x:f>
        <x:v>0</x:v>
      </x:c>
      <x:c r="AG744" s="9" t="str">
        <x:f>IF(AF744&gt;0,B744,"")</x:f>
      </x:c>
      <x:c r="AH744" s="9" t="n">
        <x:f>IF(F744&gt;=1,1,(1+v01_LowTiesShare*(AE744-1))/AE744)</x:f>
        <x:v>1</x:v>
      </x:c>
      <x:c r="AI744" s="32" t="n">
        <x:f>(Z744+v01_ElderCommons*INDEX(LM_Elder,G744)*AA744)*AH744</x:f>
        <x:v>353.66211036225764</x:v>
      </x:c>
      <x:c r="AJ744" s="32" t="n">
        <x:f>H744*v01_CommonsCoef*AI744^v01_CommonsExp*INDEX(LM_Commons,G744)</x:f>
        <x:v>96.79305325681943</x:v>
      </x:c>
      <x:c r="AK744" s="32" t="n">
        <x:f>H744*v01_RoleScale*Arch_Roles*(AE744*(INDEX(v01_ElderRolePerSett,G744)*v01_OutElder*INDEX(LM_Elder,G744)+INDEX(v01_ShamanPerSett,G744)*v01_OutShaman)+Z744*(INDEX(v01_PriestShare,G744)*v01_OutPriest+INDEX(v01_ScribeShare,G744)*v01_OutScribe*INDEX(LM_Scribe,G744)+INDEX(v01_ScholarShare,G744)*v01_OutScholar*INDEX(LM_Scholar,G744)+INDEX(v01_ResearcherShare,G744)*v01_OutResearcher*INDEX(LM_Researcher,G744)))</x:f>
        <x:v>22.25708881355823</x:v>
      </x:c>
      <x:c r="AL744" s="32" t="n">
        <x:f>H744*v01_RoleScale*Arch_Roles*AE744*INDEX(v01_MonasteryPerSett,G744)*v01_OutMonastery*INDEX(LM_Monastery,G744)</x:f>
        <x:v>0</x:v>
      </x:c>
      <x:c r="AM744" s="32" t="n">
        <x:f>(AJ744+AK744+AL744)/4*INDEX(LM_All,G744)*INDEX(v01_Boon,G744)*Arch_Insight</x:f>
        <x:v>32.05099547512694</x:v>
      </x:c>
      <x:c r="AN744" s="32" t="n">
        <x:f>H744*(v01_KHPerAdult*Z744+v01_KHOfCommons*AJ744/4*INDEX(LM_All,G744))*v01_KHUsable*Arch_KH</x:f>
        <x:v>6.285444067791153</x:v>
      </x:c>
      <x:c r="AO744" s="32" t="n">
        <x:f>MIN(AP743+AN744,AM744*v01_KHMaxRatio)</x:f>
        <x:v>6.285444067791153</x:v>
      </x:c>
      <x:c r="AP744" s="32" t="n">
        <x:f>AP743+AN744-AO744</x:f>
        <x:v>0</x:v>
      </x:c>
      <x:c r="AQ744" s="32" t="n">
        <x:f>AM744+AO744</x:f>
        <x:v>38.33643954291809</x:v>
      </x:c>
      <x:c r="AR744" s="10" t="n">
        <x:f>IF(H744=1,INDEX(v01_Req,G744),0)</x:f>
        <x:v>9805.661999999998</x:v>
      </x:c>
      <x:c r="AS744" s="32" t="n">
        <x:f>IF(H744=1,IF(E744=1,AS743-AR743,AS743)+AQ744,0)</x:f>
        <x:v>1127.207080856683</x:v>
      </x:c>
      <x:c r="AT744" s="11" t="n">
        <x:f>IF(AR744&gt;0,MIN(1,AS744/AR744),1)</x:f>
        <x:v>0.1149547150265513</x:v>
      </x:c>
      <x:c r="AU744" s="10" t="n">
        <x:f>AB744/INDEX(v01_RepScale,G744)</x:f>
        <x:v>86.81947652730523</x:v>
      </x:c>
      <x:c r="AV744" s="32" t="n">
        <x:f>AM744*60/v01_SeasonSeconds</x:f>
        <x:v>128.20398190050776</x:v>
      </x:c>
    </x:row>
    <x:row r="745">
      <x:c r="A745" s="8" t="n">
        <x:f>A744+1</x:f>
        <x:v>742</x:v>
      </x:c>
      <x:c r="B745" s="9" t="n">
        <x:f>A745*v01_SeasonSeconds/60</x:f>
        <x:v>185.5</x:v>
      </x:c>
      <x:c r="C745" s="9" t="n">
        <x:f>A745/4</x:f>
        <x:v>185.5</x:v>
      </x:c>
      <x:c r="D745" s="8" t="n">
        <x:f>IF(MOD(A745,4)=0,1,0)</x:f>
        <x:v>0</x:v>
      </x:c>
      <x:c r="E745" s="8" t="n">
        <x:f>IF(AND(F744&lt;=9,AS744&gt;=AR744),1,0)</x:f>
        <x:v>0</x:v>
      </x:c>
      <x:c r="F745" s="8" t="n">
        <x:f>MIN(10,F744+E745)</x:f>
        <x:v>3</x:v>
      </x:c>
      <x:c r="G745" s="8" t="n">
        <x:f>MIN(F745,9)+1</x:f>
        <x:v>4</x:v>
      </x:c>
      <x:c r="H745" s="8" t="n">
        <x:f>IF(F745&lt;=9,1,0)</x:f>
        <x:v>1</x:v>
      </x:c>
      <x:c r="I745" s="9" t="n">
        <x:f>MIN(10,F744+IF(AR744&gt;0,MIN(1,AS744/AR744),1))</x:f>
        <x:v>3.1149547150265513</x:v>
      </x:c>
      <x:c r="J745" s="32" t="n">
        <x:f>INDEX(v01_FoodCap,G745)*Arch_FoodCap*EXP(v01_CapsByProject*SUMPRODUCT((Cap_Point&lt;=I745)*(Cap_Kind="Food")*Cap_Ln))</x:f>
        <x:v>120</x:v>
      </x:c>
      <x:c r="K745" s="32" t="n">
        <x:f>J745*MIN(1,v01_LeanBase*EXP(v01_CapsByProject*SUMPRODUCT((Cap_Point&lt;=I745)*(Cap_Kind="Lean")*Cap_Ln)))</x:f>
        <x:v>120</x:v>
      </x:c>
      <x:c r="L745" s="10" t="n">
        <x:f>INDEX(v01_HousingCap,G745)*EXP(v01_CapsByProject*SUMPRODUCT((Cap_Point&lt;=I745)*(Cap_Kind="Housing")*Cap_Ln))</x:f>
        <x:v>200</x:v>
      </x:c>
      <x:c r="M745" s="10" t="n">
        <x:f>INDEX(v01_GroupCap,G745)*v01_CohesionFactor*EXP(v01_CapsByProject*SUMPRODUCT((Cap_Point&lt;=I745)*(Cap_Kind="Group")*Cap_Ln))</x:f>
        <x:v>5000</x:v>
      </x:c>
      <x:c r="N745" s="32" t="n">
        <x:f>MIN(J745,L745,M745)</x:f>
        <x:v>120</x:v>
      </x:c>
      <x:c r="O745" s="10" t="n">
        <x:f>AE744*N745</x:f>
        <x:v>840</x:v>
      </x:c>
      <x:c r="P745" s="9" t="n">
        <x:f>MIN(1,(AB744/(AE744*IF(v01_GroupInCrowding=1,N745,MIN(J745,L745))))^v01_CrowdingExp)</x:f>
        <x:v>0.01904790811428371</x:v>
      </x:c>
      <x:c r="Q745" s="9" t="n">
        <x:f>IF(D745=1,INDEX(v01_WinterMult,G745),1)</x:f>
        <x:v>1</x:v>
      </x:c>
      <x:c r="R745" s="9" t="n">
        <x:f>H745*Z744*v01_WomenShare*v01_BaseFertility*INDEX(v01_FertMult,G745)*Arch_Fertility*(1-P745)</x:f>
        <x:v>6.870373164642443</x:v>
      </x:c>
      <x:c r="S745" s="9" t="n">
        <x:f>H745*Y744*INDEX(v01_MortChild,G745)/4*Q745</x:f>
        <x:v>1.4736545127552805</x:v>
      </x:c>
      <x:c r="T745" s="9" t="n">
        <x:f>H745*Z744*INDEX(v01_MortAdult,G745)*Arch_AdultMort/4*Q745</x:f>
        <x:v>0.493856319612162</x:v>
      </x:c>
      <x:c r="U745" s="9" t="n">
        <x:f>H745*AA744*INDEX(v01_MortElder,G745)/4*Q745</x:f>
        <x:v>0.9429224682564552</x:v>
      </x:c>
      <x:c r="V745" s="9" t="n">
        <x:f>H745*MAX(0,AB744-O745)*v01_OvercapLoss</x:f>
        <x:v>0</x:v>
      </x:c>
      <x:c r="W745" s="9" t="n">
        <x:f>H745*Y744/(v01_ChildYears*4)</x:f>
        <x:v>3.5087012208459063</x:v>
      </x:c>
      <x:c r="X745" s="9" t="n">
        <x:f>H745*Z744/(v01_AdultYears*4)</x:f>
        <x:v>1.4482590017951964</x:v>
      </x:c>
      <x:c r="Y745" s="32" t="n">
        <x:f>Y744+R745-S745-W745-Y744*V745/AB744</x:f>
        <x:v>198.37528579841202</x:v>
      </x:c>
      <x:c r="Z745" s="32" t="n">
        <x:f>Z744+W745-X745-T745-Z744*V745/AB744</x:f>
        <x:v>181.1507021220429</x:v>
      </x:c>
      <x:c r="AA745" s="32" t="n">
        <x:f>AA744+X745-U745-AA744*V745/AB744</x:f>
        <x:v>58.531334580089826</x:v>
      </x:c>
      <x:c r="AB745" s="10" t="n">
        <x:f>Y745+Z745+AA745</x:f>
        <x:v>438.05732250054473</x:v>
      </x:c>
      <x:c r="AC745" s="8" t="n">
        <x:f>IF(AND(v01_WinterTrigger=1,D745=1,AB744/AE744&gt;=K745),1,0)</x:f>
        <x:v>0</x:v>
      </x:c>
      <x:c r="AD745" s="8" t="n">
        <x:f>H745*IF(AND(OR(AB744/AE744&gt;=v01_FissionTrigger*N745,AC745=1),AB744/AE744*v01_DaughterShare&gt;=v01_MinDaughter),MAX(1,ROUND(AE744*v01_FissionRate,0)),0)</x:f>
        <x:v>0</x:v>
      </x:c>
      <x:c r="AE745" s="8" t="n">
        <x:f>IF(H745=1,MAX(1,MIN(INDEX(v01_Smax,G745),AE744+AD745)),AE744)</x:f>
        <x:v>7</x:v>
      </x:c>
      <x:c r="AF745" s="8" t="n">
        <x:f>MAX(0,AE745-AE744)</x:f>
        <x:v>0</x:v>
      </x:c>
      <x:c r="AG745" s="9" t="str">
        <x:f>IF(AF745&gt;0,B745,"")</x:f>
      </x:c>
      <x:c r="AH745" s="9" t="n">
        <x:f>IF(F745&gt;=1,1,(1+v01_LowTiesShare*(AE745-1))/AE745)</x:f>
        <x:v>1</x:v>
      </x:c>
      <x:c r="AI745" s="32" t="n">
        <x:f>(Z745+v01_ElderCommons*INDEX(LM_Elder,G745)*AA745)*AH745</x:f>
        <x:v>356.74470586231234</x:v>
      </x:c>
      <x:c r="AJ745" s="32" t="n">
        <x:f>H745*v01_CommonsCoef*AI745^v01_CommonsExp*INDEX(LM_Commons,G745)</x:f>
        <x:v>97.50970484529252</x:v>
      </x:c>
      <x:c r="AK745" s="32" t="n">
        <x:f>H745*v01_RoleScale*Arch_Roles*(AE745*(INDEX(v01_ElderRolePerSett,G745)*v01_OutElder*INDEX(LM_Elder,G745)+INDEX(v01_ShamanPerSett,G745)*v01_OutShaman)+Z745*(INDEX(v01_PriestShare,G745)*v01_OutPriest+INDEX(v01_ScribeShare,G745)*v01_OutScribe*INDEX(LM_Scribe,G745)+INDEX(v01_ScholarShare,G745)*v01_OutScholar*INDEX(LM_Scholar,G745)+INDEX(v01_ResearcherShare,G745)*v01_OutResearcher*INDEX(LM_Researcher,G745)))</x:f>
        <x:v>22.2680549148543</x:v>
      </x:c>
      <x:c r="AL745" s="32" t="n">
        <x:f>H745*v01_RoleScale*Arch_Roles*AE745*INDEX(v01_MonasteryPerSett,G745)*v01_OutMonastery*INDEX(LM_Monastery,G745)</x:f>
        <x:v>0</x:v>
      </x:c>
      <x:c r="AM745" s="32" t="n">
        <x:f>(AJ745+AK745+AL745)/4*INDEX(LM_All,G745)*INDEX(v01_Boon,G745)*Arch_Insight</x:f>
        <x:v>32.24688664230108</x:v>
      </x:c>
      <x:c r="AN745" s="32" t="n">
        <x:f>H745*(v01_KHPerAdult*Z745+v01_KHOfCommons*AJ745/4*INDEX(LM_All,G745))*v01_KHUsable*Arch_KH</x:f>
        <x:v>6.340274574271501</x:v>
      </x:c>
      <x:c r="AO745" s="32" t="n">
        <x:f>MIN(AP744+AN745,AM745*v01_KHMaxRatio)</x:f>
        <x:v>6.340274574271501</x:v>
      </x:c>
      <x:c r="AP745" s="32" t="n">
        <x:f>AP744+AN745-AO745</x:f>
        <x:v>0</x:v>
      </x:c>
      <x:c r="AQ745" s="32" t="n">
        <x:f>AM745+AO745</x:f>
        <x:v>38.58716121657258</x:v>
      </x:c>
      <x:c r="AR745" s="10" t="n">
        <x:f>IF(H745=1,INDEX(v01_Req,G745),0)</x:f>
        <x:v>9805.661999999998</x:v>
      </x:c>
      <x:c r="AS745" s="32" t="n">
        <x:f>IF(H745=1,IF(E745=1,AS744-AR744,AS744)+AQ745,0)</x:f>
        <x:v>1165.7942420732556</x:v>
      </x:c>
      <x:c r="AT745" s="11" t="n">
        <x:f>IF(AR745&gt;0,MIN(1,AS745/AR745),1)</x:f>
        <x:v>0.1188899068796432</x:v>
      </x:c>
      <x:c r="AU745" s="10" t="n">
        <x:f>AB745/INDEX(v01_RepScale,G745)</x:f>
        <x:v>87.61146450010895</x:v>
      </x:c>
      <x:c r="AV745" s="32" t="n">
        <x:f>AM745*60/v01_SeasonSeconds</x:f>
        <x:v>128.9875465692043</x:v>
      </x:c>
    </x:row>
    <x:row r="746">
      <x:c r="A746" s="8" t="n">
        <x:f>A745+1</x:f>
        <x:v>743</x:v>
      </x:c>
      <x:c r="B746" s="9" t="n">
        <x:f>A746*v01_SeasonSeconds/60</x:f>
        <x:v>185.75</x:v>
      </x:c>
      <x:c r="C746" s="9" t="n">
        <x:f>A746/4</x:f>
        <x:v>185.75</x:v>
      </x:c>
      <x:c r="D746" s="8" t="n">
        <x:f>IF(MOD(A746,4)=0,1,0)</x:f>
        <x:v>0</x:v>
      </x:c>
      <x:c r="E746" s="8" t="n">
        <x:f>IF(AND(F745&lt;=9,AS745&gt;=AR745),1,0)</x:f>
        <x:v>0</x:v>
      </x:c>
      <x:c r="F746" s="8" t="n">
        <x:f>MIN(10,F745+E746)</x:f>
        <x:v>3</x:v>
      </x:c>
      <x:c r="G746" s="8" t="n">
        <x:f>MIN(F746,9)+1</x:f>
        <x:v>4</x:v>
      </x:c>
      <x:c r="H746" s="8" t="n">
        <x:f>IF(F746&lt;=9,1,0)</x:f>
        <x:v>1</x:v>
      </x:c>
      <x:c r="I746" s="9" t="n">
        <x:f>MIN(10,F745+IF(AR745&gt;0,MIN(1,AS745/AR745),1))</x:f>
        <x:v>3.118889906879643</x:v>
      </x:c>
      <x:c r="J746" s="32" t="n">
        <x:f>INDEX(v01_FoodCap,G746)*Arch_FoodCap*EXP(v01_CapsByProject*SUMPRODUCT((Cap_Point&lt;=I746)*(Cap_Kind="Food")*Cap_Ln))</x:f>
        <x:v>120</x:v>
      </x:c>
      <x:c r="K746" s="32" t="n">
        <x:f>J746*MIN(1,v01_LeanBase*EXP(v01_CapsByProject*SUMPRODUCT((Cap_Point&lt;=I746)*(Cap_Kind="Lean")*Cap_Ln)))</x:f>
        <x:v>120</x:v>
      </x:c>
      <x:c r="L746" s="10" t="n">
        <x:f>INDEX(v01_HousingCap,G746)*EXP(v01_CapsByProject*SUMPRODUCT((Cap_Point&lt;=I746)*(Cap_Kind="Housing")*Cap_Ln))</x:f>
        <x:v>200</x:v>
      </x:c>
      <x:c r="M746" s="10" t="n">
        <x:f>INDEX(v01_GroupCap,G746)*v01_CohesionFactor*EXP(v01_CapsByProject*SUMPRODUCT((Cap_Point&lt;=I746)*(Cap_Kind="Group")*Cap_Ln))</x:f>
        <x:v>5000</x:v>
      </x:c>
      <x:c r="N746" s="32" t="n">
        <x:f>MIN(J746,L746,M746)</x:f>
        <x:v>120</x:v>
      </x:c>
      <x:c r="O746" s="10" t="n">
        <x:f>AE745*N746</x:f>
        <x:v>840</x:v>
      </x:c>
      <x:c r="P746" s="9" t="n">
        <x:f>MIN(1,(AB745/(AE745*IF(v01_GroupInCrowding=1,N746,MIN(J746,L746))))^v01_CrowdingExp)</x:f>
        <x:v>0.02011453279772883</x:v>
      </x:c>
      <x:c r="Q746" s="9" t="n">
        <x:f>IF(D746=1,INDEX(v01_WinterMult,G746),1)</x:f>
        <x:v>1</x:v>
      </x:c>
      <x:c r="R746" s="9" t="n">
        <x:f>H746*Z745*v01_WomenShare*v01_BaseFertility*INDEX(v01_FertMult,G746)*Arch_Fertility*(1-P746)</x:f>
        <x:v>6.922770674932222</x:v>
      </x:c>
      <x:c r="S746" s="9" t="n">
        <x:f>H746*Y745*INDEX(v01_MortChild,G746)/4*Q746</x:f>
        <x:v>1.4878146434880901</x:v>
      </x:c>
      <x:c r="T746" s="9" t="n">
        <x:f>H746*Z745*INDEX(v01_MortAdult,G746)*Arch_AdultMort/4*Q746</x:f>
        <x:v>0.49816443083561796</x:v>
      </x:c>
      <x:c r="U746" s="9" t="n">
        <x:f>H746*AA745*INDEX(v01_MortElder,G746)/4*Q746</x:f>
        <x:v>0.9511341869264597</x:v>
      </x:c>
      <x:c r="V746" s="9" t="n">
        <x:f>H746*MAX(0,AB745-O746)*v01_OvercapLoss</x:f>
        <x:v>0</x:v>
      </x:c>
      <x:c r="W746" s="9" t="n">
        <x:f>H746*Y745/(v01_ChildYears*4)</x:f>
        <x:v>3.542415817828786</x:v>
      </x:c>
      <x:c r="X746" s="9" t="n">
        <x:f>H746*Z745/(v01_AdultYears*4)</x:f>
        <x:v>1.460892759048733</x:v>
      </x:c>
      <x:c r="Y746" s="32" t="n">
        <x:f>Y745+R746-S746-W746-Y745*V746/AB745</x:f>
        <x:v>200.26782601202737</x:v>
      </x:c>
      <x:c r="Z746" s="32" t="n">
        <x:f>Z745+W746-X746-T746-Z745*V746/AB745</x:f>
        <x:v>182.73406074998732</x:v>
      </x:c>
      <x:c r="AA746" s="32" t="n">
        <x:f>AA745+X746-U746-AA745*V746/AB745</x:f>
        <x:v>59.0410931522121</x:v>
      </x:c>
      <x:c r="AB746" s="10" t="n">
        <x:f>Y746+Z746+AA746</x:f>
        <x:v>442.0429799142268</x:v>
      </x:c>
      <x:c r="AC746" s="8" t="n">
        <x:f>IF(AND(v01_WinterTrigger=1,D746=1,AB745/AE745&gt;=K746),1,0)</x:f>
        <x:v>0</x:v>
      </x:c>
      <x:c r="AD746" s="8" t="n">
        <x:f>H746*IF(AND(OR(AB745/AE745&gt;=v01_FissionTrigger*N746,AC746=1),AB745/AE745*v01_DaughterShare&gt;=v01_MinDaughter),MAX(1,ROUND(AE745*v01_FissionRate,0)),0)</x:f>
        <x:v>0</x:v>
      </x:c>
      <x:c r="AE746" s="8" t="n">
        <x:f>IF(H746=1,MAX(1,MIN(INDEX(v01_Smax,G746),AE745+AD746)),AE745)</x:f>
        <x:v>7</x:v>
      </x:c>
      <x:c r="AF746" s="8" t="n">
        <x:f>MAX(0,AE746-AE745)</x:f>
        <x:v>0</x:v>
      </x:c>
      <x:c r="AG746" s="9" t="str">
        <x:f>IF(AF746&gt;0,B746,"")</x:f>
      </x:c>
      <x:c r="AH746" s="9" t="n">
        <x:f>IF(F746&gt;=1,1,(1+v01_LowTiesShare*(AE746-1))/AE746)</x:f>
        <x:v>1</x:v>
      </x:c>
      <x:c r="AI746" s="32" t="n">
        <x:f>(Z746+v01_ElderCommons*INDEX(LM_Elder,G746)*AA746)*AH746</x:f>
        <x:v>359.8573402066236</x:v>
      </x:c>
      <x:c r="AJ746" s="32" t="n">
        <x:f>H746*v01_CommonsCoef*AI746^v01_CommonsExp*INDEX(LM_Commons,G746)</x:f>
        <x:v>98.23239808910338</x:v>
      </x:c>
      <x:c r="AK746" s="32" t="n">
        <x:f>H746*v01_RoleScale*Arch_Roles*(AE746*(INDEX(v01_ElderRolePerSett,G746)*v01_OutElder*INDEX(LM_Elder,G746)+INDEX(v01_ShamanPerSett,G746)*v01_OutShaman)+Z746*(INDEX(v01_PriestShare,G746)*v01_OutPriest+INDEX(v01_ScribeShare,G746)*v01_OutScribe*INDEX(LM_Scribe,G746)+INDEX(v01_ScholarShare,G746)*v01_OutScholar*INDEX(LM_Scholar,G746)+INDEX(v01_ResearcherShare,G746)*v01_OutResearcher*INDEX(LM_Researcher,G746)))</x:f>
        <x:v>22.27913842524991</x:v>
      </x:c>
      <x:c r="AL746" s="32" t="n">
        <x:f>H746*v01_RoleScale*Arch_Roles*AE746*INDEX(v01_MonasteryPerSett,G746)*v01_OutMonastery*INDEX(LM_Monastery,G746)</x:f>
        <x:v>0</x:v>
      </x:c>
      <x:c r="AM746" s="32" t="n">
        <x:f>(AJ746+AK746+AL746)/4*INDEX(LM_All,G746)*INDEX(v01_Boon,G746)*Arch_Insight</x:f>
        <x:v>32.44443596916305</x:v>
      </x:c>
      <x:c r="AN746" s="32" t="n">
        <x:f>H746*(v01_KHPerAdult*Z746+v01_KHOfCommons*AJ746/4*INDEX(LM_All,G746))*v01_KHUsable*Arch_KH</x:f>
        <x:v>6.395692126249556</x:v>
      </x:c>
      <x:c r="AO746" s="32" t="n">
        <x:f>MIN(AP745+AN746,AM746*v01_KHMaxRatio)</x:f>
        <x:v>6.395692126249556</x:v>
      </x:c>
      <x:c r="AP746" s="32" t="n">
        <x:f>AP745+AN746-AO746</x:f>
        <x:v>0</x:v>
      </x:c>
      <x:c r="AQ746" s="32" t="n">
        <x:f>AM746+AO746</x:f>
        <x:v>38.84012809541261</x:v>
      </x:c>
      <x:c r="AR746" s="10" t="n">
        <x:f>IF(H746=1,INDEX(v01_Req,G746),0)</x:f>
        <x:v>9805.661999999998</x:v>
      </x:c>
      <x:c r="AS746" s="32" t="n">
        <x:f>IF(H746=1,IF(E746=1,AS745-AR745,AS745)+AQ746,0)</x:f>
        <x:v>1204.6343701686683</x:v>
      </x:c>
      <x:c r="AT746" s="11" t="n">
        <x:f>IF(AR746&gt;0,MIN(1,AS746/AR746),1)</x:f>
        <x:v>0.12285089677460517</x:v>
      </x:c>
      <x:c r="AU746" s="10" t="n">
        <x:f>AB746/INDEX(v01_RepScale,G746)</x:f>
        <x:v>88.40859598284536</x:v>
      </x:c>
      <x:c r="AV746" s="32" t="n">
        <x:f>AM746*60/v01_SeasonSeconds</x:f>
        <x:v>129.7777438766522</x:v>
      </x:c>
    </x:row>
    <x:row r="747">
      <x:c r="A747" s="8" t="n">
        <x:f>A746+1</x:f>
        <x:v>744</x:v>
      </x:c>
      <x:c r="B747" s="9" t="n">
        <x:f>A747*v01_SeasonSeconds/60</x:f>
        <x:v>186</x:v>
      </x:c>
      <x:c r="C747" s="9" t="n">
        <x:f>A747/4</x:f>
        <x:v>186</x:v>
      </x:c>
      <x:c r="D747" s="8" t="n">
        <x:f>IF(MOD(A747,4)=0,1,0)</x:f>
        <x:v>1</x:v>
      </x:c>
      <x:c r="E747" s="8" t="n">
        <x:f>IF(AND(F746&lt;=9,AS746&gt;=AR746),1,0)</x:f>
        <x:v>0</x:v>
      </x:c>
      <x:c r="F747" s="8" t="n">
        <x:f>MIN(10,F746+E747)</x:f>
        <x:v>3</x:v>
      </x:c>
      <x:c r="G747" s="8" t="n">
        <x:f>MIN(F747,9)+1</x:f>
        <x:v>4</x:v>
      </x:c>
      <x:c r="H747" s="8" t="n">
        <x:f>IF(F747&lt;=9,1,0)</x:f>
        <x:v>1</x:v>
      </x:c>
      <x:c r="I747" s="9" t="n">
        <x:f>MIN(10,F746+IF(AR746&gt;0,MIN(1,AS746/AR746),1))</x:f>
        <x:v>3.1228508967746054</x:v>
      </x:c>
      <x:c r="J747" s="32" t="n">
        <x:f>INDEX(v01_FoodCap,G747)*Arch_FoodCap*EXP(v01_CapsByProject*SUMPRODUCT((Cap_Point&lt;=I747)*(Cap_Kind="Food")*Cap_Ln))</x:f>
        <x:v>120</x:v>
      </x:c>
      <x:c r="K747" s="32" t="n">
        <x:f>J747*MIN(1,v01_LeanBase*EXP(v01_CapsByProject*SUMPRODUCT((Cap_Point&lt;=I747)*(Cap_Kind="Lean")*Cap_Ln)))</x:f>
        <x:v>120</x:v>
      </x:c>
      <x:c r="L747" s="10" t="n">
        <x:f>INDEX(v01_HousingCap,G747)*EXP(v01_CapsByProject*SUMPRODUCT((Cap_Point&lt;=I747)*(Cap_Kind="Housing")*Cap_Ln))</x:f>
        <x:v>200</x:v>
      </x:c>
      <x:c r="M747" s="10" t="n">
        <x:f>INDEX(v01_GroupCap,G747)*v01_CohesionFactor*EXP(v01_CapsByProject*SUMPRODUCT((Cap_Point&lt;=I747)*(Cap_Kind="Group")*Cap_Ln))</x:f>
        <x:v>5000</x:v>
      </x:c>
      <x:c r="N747" s="32" t="n">
        <x:f>MIN(J747,L747,M747)</x:f>
        <x:v>120</x:v>
      </x:c>
      <x:c r="O747" s="10" t="n">
        <x:f>AE746*N747</x:f>
        <x:v>840</x:v>
      </x:c>
      <x:c r="P747" s="9" t="n">
        <x:f>MIN(1,(AB746/(AE746*IF(v01_GroupInCrowding=1,N747,MIN(J747,L747))))^v01_CrowdingExp)</x:f>
        <x:v>0.021237885311444125</x:v>
      </x:c>
      <x:c r="Q747" s="9" t="n">
        <x:f>IF(D747=1,INDEX(v01_WinterMult,G747),1)</x:f>
        <x:v>1.15</x:v>
      </x:c>
      <x:c r="R747" s="9" t="n">
        <x:f>H747*Z746*v01_WomenShare*v01_BaseFertility*INDEX(v01_FertMult,G747)*Arch_Fertility*(1-P747)</x:f>
        <x:v>6.9752738532861</x:v>
      </x:c>
      <x:c r="S747" s="9" t="n">
        <x:f>H747*Y746*INDEX(v01_MortChild,G747)/4*Q747</x:f>
        <x:v>1.7273099993537357</x:v>
      </x:c>
      <x:c r="T747" s="9" t="n">
        <x:f>H747*Z746*INDEX(v01_MortAdult,G747)*Arch_AdultMort/4*Q747</x:f>
        <x:v>0.5778964671218347</x:v>
      </x:c>
      <x:c r="U747" s="9" t="n">
        <x:f>H747*AA746*INDEX(v01_MortElder,G747)/4*Q747</x:f>
        <x:v>1.1033304282819636</x:v>
      </x:c>
      <x:c r="V747" s="9" t="n">
        <x:f>H747*MAX(0,AB746-O747)*v01_OvercapLoss</x:f>
        <x:v>0</x:v>
      </x:c>
      <x:c r="W747" s="9" t="n">
        <x:f>H747*Y746/(v01_ChildYears*4)</x:f>
        <x:v>3.576211178786203</x:v>
      </x:c>
      <x:c r="X747" s="9" t="n">
        <x:f>H747*Z746/(v01_AdultYears*4)</x:f>
        <x:v>1.4736617802418333</x:v>
      </x:c>
      <x:c r="Y747" s="32" t="n">
        <x:f>Y746+R747-S747-W747-Y746*V747/AB746</x:f>
        <x:v>201.93957868717354</x:v>
      </x:c>
      <x:c r="Z747" s="32" t="n">
        <x:f>Z746+W747-X747-T747-Z746*V747/AB746</x:f>
        <x:v>184.25871368140986</x:v>
      </x:c>
      <x:c r="AA747" s="32" t="n">
        <x:f>AA746+X747-U747-AA746*V747/AB746</x:f>
        <x:v>59.41142450417197</x:v>
      </x:c>
      <x:c r="AB747" s="10" t="n">
        <x:f>Y747+Z747+AA747</x:f>
        <x:v>445.60971687275537</x:v>
      </x:c>
      <x:c r="AC747" s="8" t="n">
        <x:f>IF(AND(v01_WinterTrigger=1,D747=1,AB746/AE746&gt;=K747),1,0)</x:f>
        <x:v>0</x:v>
      </x:c>
      <x:c r="AD747" s="8" t="n">
        <x:f>H747*IF(AND(OR(AB746/AE746&gt;=v01_FissionTrigger*N747,AC747=1),AB746/AE746*v01_DaughterShare&gt;=v01_MinDaughter),MAX(1,ROUND(AE746*v01_FissionRate,0)),0)</x:f>
        <x:v>0</x:v>
      </x:c>
      <x:c r="AE747" s="8" t="n">
        <x:f>IF(H747=1,MAX(1,MIN(INDEX(v01_Smax,G747),AE746+AD747)),AE746)</x:f>
        <x:v>7</x:v>
      </x:c>
      <x:c r="AF747" s="8" t="n">
        <x:f>MAX(0,AE747-AE746)</x:f>
        <x:v>0</x:v>
      </x:c>
      <x:c r="AG747" s="9" t="str">
        <x:f>IF(AF747&gt;0,B747,"")</x:f>
      </x:c>
      <x:c r="AH747" s="9" t="n">
        <x:f>IF(F747&gt;=1,1,(1+v01_LowTiesShare*(AE747-1))/AE747)</x:f>
        <x:v>1</x:v>
      </x:c>
      <x:c r="AI747" s="32" t="n">
        <x:f>(Z747+v01_ElderCommons*INDEX(LM_Elder,G747)*AA747)*AH747</x:f>
        <x:v>362.4929871939257</x:v>
      </x:c>
      <x:c r="AJ747" s="32" t="n">
        <x:f>H747*v01_CommonsCoef*AI747^v01_CommonsExp*INDEX(LM_Commons,G747)</x:f>
        <x:v>98.84361109524575</x:v>
      </x:c>
      <x:c r="AK747" s="32" t="n">
        <x:f>H747*v01_RoleScale*Arch_Roles*(AE747*(INDEX(v01_ElderRolePerSett,G747)*v01_OutElder*INDEX(LM_Elder,G747)+INDEX(v01_ShamanPerSett,G747)*v01_OutShaman)+Z747*(INDEX(v01_PriestShare,G747)*v01_OutPriest+INDEX(v01_ScribeShare,G747)*v01_OutScribe*INDEX(LM_Scribe,G747)+INDEX(v01_ScholarShare,G747)*v01_OutScholar*INDEX(LM_Scholar,G747)+INDEX(v01_ResearcherShare,G747)*v01_OutResearcher*INDEX(LM_Researcher,G747)))</x:f>
        <x:v>22.28981099576987</x:v>
      </x:c>
      <x:c r="AL747" s="32" t="n">
        <x:f>H747*v01_RoleScale*Arch_Roles*AE747*INDEX(v01_MonasteryPerSett,G747)*v01_OutMonastery*INDEX(LM_Monastery,G747)</x:f>
        <x:v>0</x:v>
      </x:c>
      <x:c r="AM747" s="32" t="n">
        <x:f>(AJ747+AK747+AL747)/4*INDEX(LM_All,G747)*INDEX(v01_Boon,G747)*Arch_Insight</x:f>
        <x:v>32.61186165599565</x:v>
      </x:c>
      <x:c r="AN747" s="32" t="n">
        <x:f>H747*(v01_KHPerAdult*Z747+v01_KHOfCommons*AJ747/4*INDEX(LM_All,G747))*v01_KHUsable*Arch_KH</x:f>
        <x:v>6.449054978849344</x:v>
      </x:c>
      <x:c r="AO747" s="32" t="n">
        <x:f>MIN(AP746+AN747,AM747*v01_KHMaxRatio)</x:f>
        <x:v>6.449054978849344</x:v>
      </x:c>
      <x:c r="AP747" s="32" t="n">
        <x:f>AP746+AN747-AO747</x:f>
        <x:v>0</x:v>
      </x:c>
      <x:c r="AQ747" s="32" t="n">
        <x:f>AM747+AO747</x:f>
        <x:v>39.06091663484499</x:v>
      </x:c>
      <x:c r="AR747" s="10" t="n">
        <x:f>IF(H747=1,INDEX(v01_Req,G747),0)</x:f>
        <x:v>9805.661999999998</x:v>
      </x:c>
      <x:c r="AS747" s="32" t="n">
        <x:f>IF(H747=1,IF(E747=1,AS746-AR746,AS746)+AQ747,0)</x:f>
        <x:v>1243.6952868035132</x:v>
      </x:c>
      <x:c r="AT747" s="11" t="n">
        <x:f>IF(AR747&gt;0,MIN(1,AS747/AR747),1)</x:f>
        <x:v>0.12683440310338184</x:v>
      </x:c>
      <x:c r="AU747" s="10" t="n">
        <x:f>AB747/INDEX(v01_RepScale,G747)</x:f>
        <x:v>89.12194337455108</x:v>
      </x:c>
      <x:c r="AV747" s="32" t="n">
        <x:f>AM747*60/v01_SeasonSeconds</x:f>
        <x:v>130.4474466239826</x:v>
      </x:c>
    </x:row>
    <x:row r="748">
      <x:c r="A748" s="8" t="n">
        <x:f>A747+1</x:f>
        <x:v>745</x:v>
      </x:c>
      <x:c r="B748" s="9" t="n">
        <x:f>A748*v01_SeasonSeconds/60</x:f>
        <x:v>186.25</x:v>
      </x:c>
      <x:c r="C748" s="9" t="n">
        <x:f>A748/4</x:f>
        <x:v>186.25</x:v>
      </x:c>
      <x:c r="D748" s="8" t="n">
        <x:f>IF(MOD(A748,4)=0,1,0)</x:f>
        <x:v>0</x:v>
      </x:c>
      <x:c r="E748" s="8" t="n">
        <x:f>IF(AND(F747&lt;=9,AS747&gt;=AR747),1,0)</x:f>
        <x:v>0</x:v>
      </x:c>
      <x:c r="F748" s="8" t="n">
        <x:f>MIN(10,F747+E748)</x:f>
        <x:v>3</x:v>
      </x:c>
      <x:c r="G748" s="8" t="n">
        <x:f>MIN(F748,9)+1</x:f>
        <x:v>4</x:v>
      </x:c>
      <x:c r="H748" s="8" t="n">
        <x:f>IF(F748&lt;=9,1,0)</x:f>
        <x:v>1</x:v>
      </x:c>
      <x:c r="I748" s="9" t="n">
        <x:f>MIN(10,F747+IF(AR747&gt;0,MIN(1,AS747/AR747),1))</x:f>
        <x:v>3.126834403103382</x:v>
      </x:c>
      <x:c r="J748" s="32" t="n">
        <x:f>INDEX(v01_FoodCap,G748)*Arch_FoodCap*EXP(v01_CapsByProject*SUMPRODUCT((Cap_Point&lt;=I748)*(Cap_Kind="Food")*Cap_Ln))</x:f>
        <x:v>120</x:v>
      </x:c>
      <x:c r="K748" s="32" t="n">
        <x:f>J748*MIN(1,v01_LeanBase*EXP(v01_CapsByProject*SUMPRODUCT((Cap_Point&lt;=I748)*(Cap_Kind="Lean")*Cap_Ln)))</x:f>
        <x:v>120</x:v>
      </x:c>
      <x:c r="L748" s="10" t="n">
        <x:f>INDEX(v01_HousingCap,G748)*EXP(v01_CapsByProject*SUMPRODUCT((Cap_Point&lt;=I748)*(Cap_Kind="Housing")*Cap_Ln))</x:f>
        <x:v>200</x:v>
      </x:c>
      <x:c r="M748" s="10" t="n">
        <x:f>INDEX(v01_GroupCap,G748)*v01_CohesionFactor*EXP(v01_CapsByProject*SUMPRODUCT((Cap_Point&lt;=I748)*(Cap_Kind="Group")*Cap_Ln))</x:f>
        <x:v>5000</x:v>
      </x:c>
      <x:c r="N748" s="32" t="n">
        <x:f>MIN(J748,L748,M748)</x:f>
        <x:v>120</x:v>
      </x:c>
      <x:c r="O748" s="10" t="n">
        <x:f>AE747*N748</x:f>
        <x:v>840</x:v>
      </x:c>
      <x:c r="P748" s="9" t="n">
        <x:f>MIN(1,(AB747/(AE747*IF(v01_GroupInCrowding=1,N748,MIN(J748,L748))))^v01_CrowdingExp)</x:f>
        <x:v>0.022287030020086706</x:v>
      </x:c>
      <x:c r="Q748" s="9" t="n">
        <x:f>IF(D748=1,INDEX(v01_WinterMult,G748),1)</x:f>
        <x:v>1</x:v>
      </x:c>
      <x:c r="R748" s="9" t="n">
        <x:f>H748*Z747*v01_WomenShare*v01_BaseFertility*INDEX(v01_FertMult,G748)*Arch_Fertility*(1-P748)</x:f>
        <x:v>7.025933233727058</x:v>
      </x:c>
      <x:c r="S748" s="9" t="n">
        <x:f>H748*Y747*INDEX(v01_MortChild,G748)/4*Q748</x:f>
        <x:v>1.5145468401538014</x:v>
      </x:c>
      <x:c r="T748" s="9" t="n">
        <x:f>H748*Z747*INDEX(v01_MortAdult,G748)*Arch_AdultMort/4*Q748</x:f>
        <x:v>0.5067114626238771</x:v>
      </x:c>
      <x:c r="U748" s="9" t="n">
        <x:f>H748*AA747*INDEX(v01_MortElder,G748)/4*Q748</x:f>
        <x:v>0.9654356481927945</x:v>
      </x:c>
      <x:c r="V748" s="9" t="n">
        <x:f>H748*MAX(0,AB747-O748)*v01_OvercapLoss</x:f>
        <x:v>0</x:v>
      </x:c>
      <x:c r="W748" s="9" t="n">
        <x:f>H748*Y747/(v01_ChildYears*4)</x:f>
        <x:v>3.606063905128099</x:v>
      </x:c>
      <x:c r="X748" s="9" t="n">
        <x:f>H748*Z747/(v01_AdultYears*4)</x:f>
        <x:v>1.4859573683984666</x:v>
      </x:c>
      <x:c r="Y748" s="32" t="n">
        <x:f>Y747+R748-S748-W748-Y747*V748/AB747</x:f>
        <x:v>203.84490117561867</x:v>
      </x:c>
      <x:c r="Z748" s="32" t="n">
        <x:f>Z747+W748-X748-T748-Z747*V748/AB747</x:f>
        <x:v>185.87210875551563</x:v>
      </x:c>
      <x:c r="AA748" s="32" t="n">
        <x:f>AA747+X748-U748-AA747*V748/AB747</x:f>
        <x:v>59.93194622437764</x:v>
      </x:c>
      <x:c r="AB748" s="10" t="n">
        <x:f>Y748+Z748+AA748</x:f>
        <x:v>449.6489561555119</x:v>
      </x:c>
      <x:c r="AC748" s="8" t="n">
        <x:f>IF(AND(v01_WinterTrigger=1,D748=1,AB747/AE747&gt;=K748),1,0)</x:f>
        <x:v>0</x:v>
      </x:c>
      <x:c r="AD748" s="8" t="n">
        <x:f>H748*IF(AND(OR(AB747/AE747&gt;=v01_FissionTrigger*N748,AC748=1),AB747/AE747*v01_DaughterShare&gt;=v01_MinDaughter),MAX(1,ROUND(AE747*v01_FissionRate,0)),0)</x:f>
        <x:v>0</x:v>
      </x:c>
      <x:c r="AE748" s="8" t="n">
        <x:f>IF(H748=1,MAX(1,MIN(INDEX(v01_Smax,G748),AE747+AD748)),AE747)</x:f>
        <x:v>7</x:v>
      </x:c>
      <x:c r="AF748" s="8" t="n">
        <x:f>MAX(0,AE748-AE747)</x:f>
        <x:v>0</x:v>
      </x:c>
      <x:c r="AG748" s="9" t="str">
        <x:f>IF(AF748&gt;0,B748,"")</x:f>
      </x:c>
      <x:c r="AH748" s="9" t="n">
        <x:f>IF(F748&gt;=1,1,(1+v01_LowTiesShare*(AE748-1))/AE748)</x:f>
        <x:v>1</x:v>
      </x:c>
      <x:c r="AI748" s="32" t="n">
        <x:f>(Z748+v01_ElderCommons*INDEX(LM_Elder,G748)*AA748)*AH748</x:f>
        <x:v>365.6679474286485</x:v>
      </x:c>
      <x:c r="AJ748" s="32" t="n">
        <x:f>H748*v01_CommonsCoef*AI748^v01_CommonsExp*INDEX(LM_Commons,G748)</x:f>
        <x:v>99.57900797342694</x:v>
      </x:c>
      <x:c r="AK748" s="32" t="n">
        <x:f>H748*v01_RoleScale*Arch_Roles*(AE748*(INDEX(v01_ElderRolePerSett,G748)*v01_OutElder*INDEX(LM_Elder,G748)+INDEX(v01_ShamanPerSett,G748)*v01_OutShaman)+Z748*(INDEX(v01_PriestShare,G748)*v01_OutPriest+INDEX(v01_ScribeShare,G748)*v01_OutScribe*INDEX(LM_Scribe,G748)+INDEX(v01_ScholarShare,G748)*v01_OutScholar*INDEX(LM_Scholar,G748)+INDEX(v01_ResearcherShare,G748)*v01_OutResearcher*INDEX(LM_Researcher,G748)))</x:f>
        <x:v>22.30110476128861</x:v>
      </x:c>
      <x:c r="AL748" s="32" t="n">
        <x:f>H748*v01_RoleScale*Arch_Roles*AE748*INDEX(v01_MonasteryPerSett,G748)*v01_OutMonastery*INDEX(LM_Monastery,G748)</x:f>
        <x:v>0</x:v>
      </x:c>
      <x:c r="AM748" s="32" t="n">
        <x:f>(AJ748+AK748+AL748)/4*INDEX(LM_All,G748)*INDEX(v01_Boon,G748)*Arch_Insight</x:f>
        <x:v>32.81288769448956</x:v>
      </x:c>
      <x:c r="AN748" s="32" t="n">
        <x:f>H748*(v01_KHPerAdult*Z748+v01_KHOfCommons*AJ748/4*INDEX(LM_All,G748))*v01_KHUsable*Arch_KH</x:f>
        <x:v>6.505523806443047</x:v>
      </x:c>
      <x:c r="AO748" s="32" t="n">
        <x:f>MIN(AP747+AN748,AM748*v01_KHMaxRatio)</x:f>
        <x:v>6.505523806443047</x:v>
      </x:c>
      <x:c r="AP748" s="32" t="n">
        <x:f>AP747+AN748-AO748</x:f>
        <x:v>0</x:v>
      </x:c>
      <x:c r="AQ748" s="32" t="n">
        <x:f>AM748+AO748</x:f>
        <x:v>39.318411500932605</x:v>
      </x:c>
      <x:c r="AR748" s="10" t="n">
        <x:f>IF(H748=1,INDEX(v01_Req,G748),0)</x:f>
        <x:v>9805.661999999998</x:v>
      </x:c>
      <x:c r="AS748" s="32" t="n">
        <x:f>IF(H748=1,IF(E748=1,AS747-AR747,AS747)+AQ748,0)</x:f>
        <x:v>1283.0136983044458</x:v>
      </x:c>
      <x:c r="AT748" s="11" t="n">
        <x:f>IF(AR748&gt;0,MIN(1,AS748/AR748),1)</x:f>
        <x:v>0.13084416924675213</x:v>
      </x:c>
      <x:c r="AU748" s="10" t="n">
        <x:f>AB748/INDEX(v01_RepScale,G748)</x:f>
        <x:v>89.92979123110237</x:v>
      </x:c>
      <x:c r="AV748" s="32" t="n">
        <x:f>AM748*60/v01_SeasonSeconds</x:f>
        <x:v>131.25155077795824</x:v>
      </x:c>
    </x:row>
    <x:row r="749">
      <x:c r="A749" s="8" t="n">
        <x:f>A748+1</x:f>
        <x:v>746</x:v>
      </x:c>
      <x:c r="B749" s="9" t="n">
        <x:f>A749*v01_SeasonSeconds/60</x:f>
        <x:v>186.5</x:v>
      </x:c>
      <x:c r="C749" s="9" t="n">
        <x:f>A749/4</x:f>
        <x:v>186.5</x:v>
      </x:c>
      <x:c r="D749" s="8" t="n">
        <x:f>IF(MOD(A749,4)=0,1,0)</x:f>
        <x:v>0</x:v>
      </x:c>
      <x:c r="E749" s="8" t="n">
        <x:f>IF(AND(F748&lt;=9,AS748&gt;=AR748),1,0)</x:f>
        <x:v>0</x:v>
      </x:c>
      <x:c r="F749" s="8" t="n">
        <x:f>MIN(10,F748+E749)</x:f>
        <x:v>3</x:v>
      </x:c>
      <x:c r="G749" s="8" t="n">
        <x:f>MIN(F749,9)+1</x:f>
        <x:v>4</x:v>
      </x:c>
      <x:c r="H749" s="8" t="n">
        <x:f>IF(F749&lt;=9,1,0)</x:f>
        <x:v>1</x:v>
      </x:c>
      <x:c r="I749" s="9" t="n">
        <x:f>MIN(10,F748+IF(AR748&gt;0,MIN(1,AS748/AR748),1))</x:f>
        <x:v>3.1308441692467524</x:v>
      </x:c>
      <x:c r="J749" s="32" t="n">
        <x:f>INDEX(v01_FoodCap,G749)*Arch_FoodCap*EXP(v01_CapsByProject*SUMPRODUCT((Cap_Point&lt;=I749)*(Cap_Kind="Food")*Cap_Ln))</x:f>
        <x:v>120</x:v>
      </x:c>
      <x:c r="K749" s="32" t="n">
        <x:f>J749*MIN(1,v01_LeanBase*EXP(v01_CapsByProject*SUMPRODUCT((Cap_Point&lt;=I749)*(Cap_Kind="Lean")*Cap_Ln)))</x:f>
        <x:v>120</x:v>
      </x:c>
      <x:c r="L749" s="10" t="n">
        <x:f>INDEX(v01_HousingCap,G749)*EXP(v01_CapsByProject*SUMPRODUCT((Cap_Point&lt;=I749)*(Cap_Kind="Housing")*Cap_Ln))</x:f>
        <x:v>200</x:v>
      </x:c>
      <x:c r="M749" s="10" t="n">
        <x:f>INDEX(v01_GroupCap,G749)*v01_CohesionFactor*EXP(v01_CapsByProject*SUMPRODUCT((Cap_Point&lt;=I749)*(Cap_Kind="Group")*Cap_Ln))</x:f>
        <x:v>5000</x:v>
      </x:c>
      <x:c r="N749" s="32" t="n">
        <x:f>MIN(J749,L749,M749)</x:f>
        <x:v>120</x:v>
      </x:c>
      <x:c r="O749" s="10" t="n">
        <x:f>AE748*N749</x:f>
        <x:v>840</x:v>
      </x:c>
      <x:c r="P749" s="9" t="n">
        <x:f>MIN(1,(AB748/(AE748*IF(v01_GroupInCrowding=1,N749,MIN(J749,L749))))^v01_CrowdingExp)</x:f>
        <x:v>0.02352696036990035</x:v>
      </x:c>
      <x:c r="Q749" s="9" t="n">
        <x:f>IF(D749=1,INDEX(v01_WinterMult,G749),1)</x:f>
        <x:v>1</x:v>
      </x:c>
      <x:c r="R749" s="9" t="n">
        <x:f>H749*Z748*v01_WomenShare*v01_BaseFertility*INDEX(v01_FertMult,G749)*Arch_Fertility*(1-P749)</x:f>
        <x:v>7.078465017739237</x:v>
      </x:c>
      <x:c r="S749" s="9" t="n">
        <x:f>H749*Y748*INDEX(v01_MortChild,G749)/4*Q749</x:f>
        <x:v>1.52883675881714</x:v>
      </x:c>
      <x:c r="T749" s="9" t="n">
        <x:f>H749*Z748*INDEX(v01_MortAdult,G749)*Arch_AdultMort/4*Q749</x:f>
        <x:v>0.5111482990776679</x:v>
      </x:c>
      <x:c r="U749" s="9" t="n">
        <x:f>H749*AA748*INDEX(v01_MortElder,G749)/4*Q749</x:f>
        <x:v>0.9738941261461367</x:v>
      </x:c>
      <x:c r="V749" s="9" t="n">
        <x:f>H749*MAX(0,AB748-O749)*v01_OvercapLoss</x:f>
        <x:v>0</x:v>
      </x:c>
      <x:c r="W749" s="9" t="n">
        <x:f>H749*Y748/(v01_ChildYears*4)</x:f>
        <x:v>3.6400875209931907</x:v>
      </x:c>
      <x:c r="X749" s="9" t="n">
        <x:f>H749*Z748/(v01_AdultYears*4)</x:f>
        <x:v>1.4989686189960938</x:v>
      </x:c>
      <x:c r="Y749" s="32" t="n">
        <x:f>Y748+R749-S749-W749-Y748*V749/AB748</x:f>
        <x:v>205.7544419135476</x:v>
      </x:c>
      <x:c r="Z749" s="32" t="n">
        <x:f>Z748+W749-X749-T749-Z748*V749/AB748</x:f>
        <x:v>187.50207935843505</x:v>
      </x:c>
      <x:c r="AA749" s="32" t="n">
        <x:f>AA748+X749-U749-AA748*V749/AB748</x:f>
        <x:v>60.4570207172276</x:v>
      </x:c>
      <x:c r="AB749" s="10" t="n">
        <x:f>Y749+Z749+AA749</x:f>
        <x:v>453.7135419892102</x:v>
      </x:c>
      <x:c r="AC749" s="8" t="n">
        <x:f>IF(AND(v01_WinterTrigger=1,D749=1,AB748/AE748&gt;=K749),1,0)</x:f>
        <x:v>0</x:v>
      </x:c>
      <x:c r="AD749" s="8" t="n">
        <x:f>H749*IF(AND(OR(AB748/AE748&gt;=v01_FissionTrigger*N749,AC749=1),AB748/AE748*v01_DaughterShare&gt;=v01_MinDaughter),MAX(1,ROUND(AE748*v01_FissionRate,0)),0)</x:f>
        <x:v>0</x:v>
      </x:c>
      <x:c r="AE749" s="8" t="n">
        <x:f>IF(H749=1,MAX(1,MIN(INDEX(v01_Smax,G749),AE748+AD749)),AE748)</x:f>
        <x:v>7</x:v>
      </x:c>
      <x:c r="AF749" s="8" t="n">
        <x:f>MAX(0,AE749-AE748)</x:f>
        <x:v>0</x:v>
      </x:c>
      <x:c r="AG749" s="9" t="str">
        <x:f>IF(AF749&gt;0,B749,"")</x:f>
      </x:c>
      <x:c r="AH749" s="9" t="n">
        <x:f>IF(F749&gt;=1,1,(1+v01_LowTiesShare*(AE749-1))/AE749)</x:f>
        <x:v>1</x:v>
      </x:c>
      <x:c r="AI749" s="32" t="n">
        <x:f>(Z749+v01_ElderCommons*INDEX(LM_Elder,G749)*AA749)*AH749</x:f>
        <x:v>368.8731415101179</x:v>
      </x:c>
      <x:c r="AJ749" s="32" t="n">
        <x:f>H749*v01_CommonsCoef*AI749^v01_CommonsExp*INDEX(LM_Commons,G749)</x:f>
        <x:v>100.32043688367652</x:v>
      </x:c>
      <x:c r="AK749" s="32" t="n">
        <x:f>H749*v01_RoleScale*Arch_Roles*(AE749*(INDEX(v01_ElderRolePerSett,G749)*v01_OutElder*INDEX(LM_Elder,G749)+INDEX(v01_ShamanPerSett,G749)*v01_OutShaman)+Z749*(INDEX(v01_PriestShare,G749)*v01_OutPriest+INDEX(v01_ScribeShare,G749)*v01_OutScribe*INDEX(LM_Scribe,G749)+INDEX(v01_ScholarShare,G749)*v01_OutScholar*INDEX(LM_Scholar,G749)+INDEX(v01_ResearcherShare,G749)*v01_OutResearcher*INDEX(LM_Researcher,G749)))</x:f>
        <x:v>22.312514555509047</x:v>
      </x:c>
      <x:c r="AL749" s="32" t="n">
        <x:f>H749*v01_RoleScale*Arch_Roles*AE749*INDEX(v01_MonasteryPerSett,G749)*v01_OutMonastery*INDEX(LM_Monastery,G749)</x:f>
        <x:v>0</x:v>
      </x:c>
      <x:c r="AM749" s="32" t="n">
        <x:f>(AJ749+AK749+AL749)/4*INDEX(LM_All,G749)*INDEX(v01_Boon,G749)*Arch_Insight</x:f>
        <x:v>33.01556893023479</x:v>
      </x:c>
      <x:c r="AN749" s="32" t="n">
        <x:f>H749*(v01_KHPerAdult*Z749+v01_KHOfCommons*AJ749/4*INDEX(LM_All,G749))*v01_KHUsable*Arch_KH</x:f>
        <x:v>6.562572777545227</x:v>
      </x:c>
      <x:c r="AO749" s="32" t="n">
        <x:f>MIN(AP748+AN749,AM749*v01_KHMaxRatio)</x:f>
        <x:v>6.562572777545227</x:v>
      </x:c>
      <x:c r="AP749" s="32" t="n">
        <x:f>AP748+AN749-AO749</x:f>
        <x:v>0</x:v>
      </x:c>
      <x:c r="AQ749" s="32" t="n">
        <x:f>AM749+AO749</x:f>
        <x:v>39.57814170778002</x:v>
      </x:c>
      <x:c r="AR749" s="10" t="n">
        <x:f>IF(H749=1,INDEX(v01_Req,G749),0)</x:f>
        <x:v>9805.661999999998</x:v>
      </x:c>
      <x:c r="AS749" s="32" t="n">
        <x:f>IF(H749=1,IF(E749=1,AS748-AR748,AS748)+AQ749,0)</x:f>
        <x:v>1322.591840012226</x:v>
      </x:c>
      <x:c r="AT749" s="11" t="n">
        <x:f>IF(AR749&gt;0,MIN(1,AS749/AR749),1)</x:f>
        <x:v>0.13488042316900442</x:v>
      </x:c>
      <x:c r="AU749" s="10" t="n">
        <x:f>AB749/INDEX(v01_RepScale,G749)</x:f>
        <x:v>90.74270839784205</x:v>
      </x:c>
      <x:c r="AV749" s="32" t="n">
        <x:f>AM749*60/v01_SeasonSeconds</x:f>
        <x:v>132.06227572093917</x:v>
      </x:c>
    </x:row>
    <x:row r="750">
      <x:c r="A750" s="8" t="n">
        <x:f>A749+1</x:f>
        <x:v>747</x:v>
      </x:c>
      <x:c r="B750" s="9" t="n">
        <x:f>A750*v01_SeasonSeconds/60</x:f>
        <x:v>186.75</x:v>
      </x:c>
      <x:c r="C750" s="9" t="n">
        <x:f>A750/4</x:f>
        <x:v>186.75</x:v>
      </x:c>
      <x:c r="D750" s="8" t="n">
        <x:f>IF(MOD(A750,4)=0,1,0)</x:f>
        <x:v>0</x:v>
      </x:c>
      <x:c r="E750" s="8" t="n">
        <x:f>IF(AND(F749&lt;=9,AS749&gt;=AR749),1,0)</x:f>
        <x:v>0</x:v>
      </x:c>
      <x:c r="F750" s="8" t="n">
        <x:f>MIN(10,F749+E750)</x:f>
        <x:v>3</x:v>
      </x:c>
      <x:c r="G750" s="8" t="n">
        <x:f>MIN(F750,9)+1</x:f>
        <x:v>4</x:v>
      </x:c>
      <x:c r="H750" s="8" t="n">
        <x:f>IF(F750&lt;=9,1,0)</x:f>
        <x:v>1</x:v>
      </x:c>
      <x:c r="I750" s="9" t="n">
        <x:f>MIN(10,F749+IF(AR749&gt;0,MIN(1,AS749/AR749),1))</x:f>
        <x:v>3.1348804231690046</x:v>
      </x:c>
      <x:c r="J750" s="32" t="n">
        <x:f>INDEX(v01_FoodCap,G750)*Arch_FoodCap*EXP(v01_CapsByProject*SUMPRODUCT((Cap_Point&lt;=I750)*(Cap_Kind="Food")*Cap_Ln))</x:f>
        <x:v>120</x:v>
      </x:c>
      <x:c r="K750" s="32" t="n">
        <x:f>J750*MIN(1,v01_LeanBase*EXP(v01_CapsByProject*SUMPRODUCT((Cap_Point&lt;=I750)*(Cap_Kind="Lean")*Cap_Ln)))</x:f>
        <x:v>120</x:v>
      </x:c>
      <x:c r="L750" s="10" t="n">
        <x:f>INDEX(v01_HousingCap,G750)*EXP(v01_CapsByProject*SUMPRODUCT((Cap_Point&lt;=I750)*(Cap_Kind="Housing")*Cap_Ln))</x:f>
        <x:v>200</x:v>
      </x:c>
      <x:c r="M750" s="10" t="n">
        <x:f>INDEX(v01_GroupCap,G750)*v01_CohesionFactor*EXP(v01_CapsByProject*SUMPRODUCT((Cap_Point&lt;=I750)*(Cap_Kind="Group")*Cap_Ln))</x:f>
        <x:v>5000</x:v>
      </x:c>
      <x:c r="N750" s="32" t="n">
        <x:f>MIN(J750,L750,M750)</x:f>
        <x:v>120</x:v>
      </x:c>
      <x:c r="O750" s="10" t="n">
        <x:f>AE749*N750</x:f>
        <x:v>840</x:v>
      </x:c>
      <x:c r="P750" s="9" t="n">
        <x:f>MIN(1,(AB749/(AE749*IF(v01_GroupInCrowding=1,N750,MIN(J750,L750))))^v01_CrowdingExp)</x:f>
        <x:v>0.024832173543113602</x:v>
      </x:c>
      <x:c r="Q750" s="9" t="n">
        <x:f>IF(D750=1,INDEX(v01_WinterMult,G750),1)</x:f>
        <x:v>1</x:v>
      </x:c>
      <x:c r="R750" s="9" t="n">
        <x:f>H750*Z749*v01_WomenShare*v01_BaseFertility*INDEX(v01_FertMult,G750)*Arch_Fertility*(1-P750)</x:f>
        <x:v>7.130993812180357</x:v>
      </x:c>
      <x:c r="S750" s="9" t="n">
        <x:f>H750*Y749*INDEX(v01_MortChild,G750)/4*Q750</x:f>
        <x:v>1.543158314351607</x:v>
      </x:c>
      <x:c r="T750" s="9" t="n">
        <x:f>H750*Z749*INDEX(v01_MortAdult,G750)*Arch_AdultMort/4*Q750</x:f>
        <x:v>0.5156307182356964</x:v>
      </x:c>
      <x:c r="U750" s="9" t="n">
        <x:f>H750*AA749*INDEX(v01_MortElder,G750)/4*Q750</x:f>
        <x:v>0.9824265866549485</x:v>
      </x:c>
      <x:c r="V750" s="9" t="n">
        <x:f>H750*MAX(0,AB749-O750)*v01_OvercapLoss</x:f>
        <x:v>0</x:v>
      </x:c>
      <x:c r="W750" s="9" t="n">
        <x:f>H750*Y749/(v01_ChildYears*4)</x:f>
        <x:v>3.6741864627419214</x:v>
      </x:c>
      <x:c r="X750" s="9" t="n">
        <x:f>H750*Z749/(v01_AdultYears*4)</x:f>
        <x:v>1.512113543213186</x:v>
      </x:c>
      <x:c r="Y750" s="32" t="n">
        <x:f>Y749+R750-S750-W750-Y749*V750/AB749</x:f>
        <x:v>207.66809094863441</x:v>
      </x:c>
      <x:c r="Z750" s="32" t="n">
        <x:f>Z749+W750-X750-T750-Z749*V750/AB749</x:f>
        <x:v>189.1485215597281</x:v>
      </x:c>
      <x:c r="AA750" s="32" t="n">
        <x:f>AA749+X750-U750-AA749*V750/AB749</x:f>
        <x:v>60.986707673785844</x:v>
      </x:c>
      <x:c r="AB750" s="10" t="n">
        <x:f>Y750+Z750+AA750</x:f>
        <x:v>457.80332018214835</x:v>
      </x:c>
      <x:c r="AC750" s="8" t="n">
        <x:f>IF(AND(v01_WinterTrigger=1,D750=1,AB749/AE749&gt;=K750),1,0)</x:f>
        <x:v>0</x:v>
      </x:c>
      <x:c r="AD750" s="8" t="n">
        <x:f>H750*IF(AND(OR(AB749/AE749&gt;=v01_FissionTrigger*N750,AC750=1),AB749/AE749*v01_DaughterShare&gt;=v01_MinDaughter),MAX(1,ROUND(AE749*v01_FissionRate,0)),0)</x:f>
        <x:v>0</x:v>
      </x:c>
      <x:c r="AE750" s="8" t="n">
        <x:f>IF(H750=1,MAX(1,MIN(INDEX(v01_Smax,G750),AE749+AD750)),AE749)</x:f>
        <x:v>7</x:v>
      </x:c>
      <x:c r="AF750" s="8" t="n">
        <x:f>MAX(0,AE750-AE749)</x:f>
        <x:v>0</x:v>
      </x:c>
      <x:c r="AG750" s="9" t="str">
        <x:f>IF(AF750&gt;0,B750,"")</x:f>
      </x:c>
      <x:c r="AH750" s="9" t="n">
        <x:f>IF(F750&gt;=1,1,(1+v01_LowTiesShare*(AE750-1))/AE750)</x:f>
        <x:v>1</x:v>
      </x:c>
      <x:c r="AI750" s="32" t="n">
        <x:f>(Z750+v01_ElderCommons*INDEX(LM_Elder,G750)*AA750)*AH750</x:f>
        <x:v>372.1086445810856</x:v>
      </x:c>
      <x:c r="AJ750" s="32" t="n">
        <x:f>H750*v01_CommonsCoef*AI750^v01_CommonsExp*INDEX(LM_Commons,G750)</x:f>
        <x:v>101.06789744919082</x:v>
      </x:c>
      <x:c r="AK750" s="32" t="n">
        <x:f>H750*v01_RoleScale*Arch_Roles*(AE750*(INDEX(v01_ElderRolePerSett,G750)*v01_OutElder*INDEX(LM_Elder,G750)+INDEX(v01_ShamanPerSett,G750)*v01_OutShaman)+Z750*(INDEX(v01_PriestShare,G750)*v01_OutPriest+INDEX(v01_ScribeShare,G750)*v01_OutScribe*INDEX(LM_Scribe,G750)+INDEX(v01_ScholarShare,G750)*v01_OutScholar*INDEX(LM_Scholar,G750)+INDEX(v01_ResearcherShare,G750)*v01_OutResearcher*INDEX(LM_Researcher,G750)))</x:f>
        <x:v>22.324039650918095</x:v>
      </x:c>
      <x:c r="AL750" s="32" t="n">
        <x:f>H750*v01_RoleScale*Arch_Roles*AE750*INDEX(v01_MonasteryPerSett,G750)*v01_OutMonastery*INDEX(LM_Monastery,G750)</x:f>
        <x:v>0</x:v>
      </x:c>
      <x:c r="AM750" s="32" t="n">
        <x:f>(AJ750+AK750+AL750)/4*INDEX(LM_All,G750)*INDEX(v01_Boon,G750)*Arch_Insight</x:f>
        <x:v>33.21990506592424</x:v>
      </x:c>
      <x:c r="AN750" s="32" t="n">
        <x:f>H750*(v01_KHPerAdult*Z750+v01_KHOfCommons*AJ750/4*INDEX(LM_All,G750))*v01_KHUsable*Arch_KH</x:f>
        <x:v>6.620198254590483</x:v>
      </x:c>
      <x:c r="AO750" s="32" t="n">
        <x:f>MIN(AP749+AN750,AM750*v01_KHMaxRatio)</x:f>
        <x:v>6.620198254590483</x:v>
      </x:c>
      <x:c r="AP750" s="32" t="n">
        <x:f>AP749+AN750-AO750</x:f>
        <x:v>0</x:v>
      </x:c>
      <x:c r="AQ750" s="32" t="n">
        <x:f>AM750+AO750</x:f>
        <x:v>39.84010332051472</x:v>
      </x:c>
      <x:c r="AR750" s="10" t="n">
        <x:f>IF(H750=1,INDEX(v01_Req,G750),0)</x:f>
        <x:v>9805.661999999998</x:v>
      </x:c>
      <x:c r="AS750" s="32" t="n">
        <x:f>IF(H750=1,IF(E750=1,AS749-AR749,AS749)+AQ750,0)</x:f>
        <x:v>1362.4319433327407</x:v>
      </x:c>
      <x:c r="AT750" s="11" t="n">
        <x:f>IF(AR750&gt;0,MIN(1,AS750/AR750),1)</x:f>
        <x:v>0.13894339243314127</x:v>
      </x:c>
      <x:c r="AU750" s="10" t="n">
        <x:f>AB750/INDEX(v01_RepScale,G750)</x:f>
        <x:v>91.56066403642967</x:v>
      </x:c>
      <x:c r="AV750" s="32" t="n">
        <x:f>AM750*60/v01_SeasonSeconds</x:f>
        <x:v>132.87962026369695</x:v>
      </x:c>
    </x:row>
    <x:row r="751">
      <x:c r="A751" s="8" t="n">
        <x:f>A750+1</x:f>
        <x:v>748</x:v>
      </x:c>
      <x:c r="B751" s="9" t="n">
        <x:f>A751*v01_SeasonSeconds/60</x:f>
        <x:v>187</x:v>
      </x:c>
      <x:c r="C751" s="9" t="n">
        <x:f>A751/4</x:f>
        <x:v>187</x:v>
      </x:c>
      <x:c r="D751" s="8" t="n">
        <x:f>IF(MOD(A751,4)=0,1,0)</x:f>
        <x:v>1</x:v>
      </x:c>
      <x:c r="E751" s="8" t="n">
        <x:f>IF(AND(F750&lt;=9,AS750&gt;=AR750),1,0)</x:f>
        <x:v>0</x:v>
      </x:c>
      <x:c r="F751" s="8" t="n">
        <x:f>MIN(10,F750+E751)</x:f>
        <x:v>3</x:v>
      </x:c>
      <x:c r="G751" s="8" t="n">
        <x:f>MIN(F751,9)+1</x:f>
        <x:v>4</x:v>
      </x:c>
      <x:c r="H751" s="8" t="n">
        <x:f>IF(F751&lt;=9,1,0)</x:f>
        <x:v>1</x:v>
      </x:c>
      <x:c r="I751" s="9" t="n">
        <x:f>MIN(10,F750+IF(AR750&gt;0,MIN(1,AS750/AR750),1))</x:f>
        <x:v>3.1389433924331414</x:v>
      </x:c>
      <x:c r="J751" s="32" t="n">
        <x:f>INDEX(v01_FoodCap,G751)*Arch_FoodCap*EXP(v01_CapsByProject*SUMPRODUCT((Cap_Point&lt;=I751)*(Cap_Kind="Food")*Cap_Ln))</x:f>
        <x:v>120</x:v>
      </x:c>
      <x:c r="K751" s="32" t="n">
        <x:f>J751*MIN(1,v01_LeanBase*EXP(v01_CapsByProject*SUMPRODUCT((Cap_Point&lt;=I751)*(Cap_Kind="Lean")*Cap_Ln)))</x:f>
        <x:v>120</x:v>
      </x:c>
      <x:c r="L751" s="10" t="n">
        <x:f>INDEX(v01_HousingCap,G751)*EXP(v01_CapsByProject*SUMPRODUCT((Cap_Point&lt;=I751)*(Cap_Kind="Housing")*Cap_Ln))</x:f>
        <x:v>200</x:v>
      </x:c>
      <x:c r="M751" s="10" t="n">
        <x:f>INDEX(v01_GroupCap,G751)*v01_CohesionFactor*EXP(v01_CapsByProject*SUMPRODUCT((Cap_Point&lt;=I751)*(Cap_Kind="Group")*Cap_Ln))</x:f>
        <x:v>5000</x:v>
      </x:c>
      <x:c r="N751" s="32" t="n">
        <x:f>MIN(J751,L751,M751)</x:f>
        <x:v>120</x:v>
      </x:c>
      <x:c r="O751" s="10" t="n">
        <x:f>AE750*N751</x:f>
        <x:v>840</x:v>
      </x:c>
      <x:c r="P751" s="9" t="n">
        <x:f>MIN(1,(AB750/(AE750*IF(v01_GroupInCrowding=1,N751,MIN(J751,L751))))^v01_CrowdingExp)</x:f>
        <x:v>0.026205829545375522</x:v>
      </x:c>
      <x:c r="Q751" s="9" t="n">
        <x:f>IF(D751=1,INDEX(v01_WinterMult,G751),1)</x:f>
        <x:v>1.15</x:v>
      </x:c>
      <x:c r="R751" s="9" t="n">
        <x:f>H751*Z750*v01_WomenShare*v01_BaseFertility*INDEX(v01_FertMult,G751)*Arch_Fertility*(1-P751)</x:f>
        <x:v>7.183477378153988</x:v>
      </x:c>
      <x:c r="S751" s="9" t="n">
        <x:f>H751*Y750*INDEX(v01_MortChild,G751)/4*Q751</x:f>
        <x:v>1.7911372844319715</x:v>
      </x:c>
      <x:c r="T751" s="9" t="n">
        <x:f>H751*Z750*INDEX(v01_MortAdult,G751)*Arch_AdultMort/4*Q751</x:f>
        <x:v>0.5981821994326401</x:v>
      </x:c>
      <x:c r="U751" s="9" t="n">
        <x:f>H751*AA750*INDEX(v01_MortElder,G751)/4*Q751</x:f>
        <x:v>1.1396890996538729</x:v>
      </x:c>
      <x:c r="V751" s="9" t="n">
        <x:f>H751*MAX(0,AB750-O751)*v01_OvercapLoss</x:f>
        <x:v>0</x:v>
      </x:c>
      <x:c r="W751" s="9" t="n">
        <x:f>H751*Y750/(v01_ChildYears*4)</x:f>
        <x:v>3.7083587669399</x:v>
      </x:c>
      <x:c r="X751" s="9" t="n">
        <x:f>H751*Z750/(v01_AdultYears*4)</x:f>
        <x:v>1.525391302901033</x:v>
      </x:c>
      <x:c r="Y751" s="32" t="n">
        <x:f>Y750+R751-S751-W751-Y750*V751/AB750</x:f>
        <x:v>209.3520722754165</x:v>
      </x:c>
      <x:c r="Z751" s="32" t="n">
        <x:f>Z750+W751-X751-T751-Z750*V751/AB750</x:f>
        <x:v>190.73330682433433</x:v>
      </x:c>
      <x:c r="AA751" s="32" t="n">
        <x:f>AA750+X751-U751-AA750*V751/AB750</x:f>
        <x:v>61.37240987703301</x:v>
      </x:c>
      <x:c r="AB751" s="10" t="n">
        <x:f>Y751+Z751+AA751</x:f>
        <x:v>461.4577889767839</x:v>
      </x:c>
      <x:c r="AC751" s="8" t="n">
        <x:f>IF(AND(v01_WinterTrigger=1,D751=1,AB750/AE750&gt;=K751),1,0)</x:f>
        <x:v>0</x:v>
      </x:c>
      <x:c r="AD751" s="8" t="n">
        <x:f>H751*IF(AND(OR(AB750/AE750&gt;=v01_FissionTrigger*N751,AC751=1),AB750/AE750*v01_DaughterShare&gt;=v01_MinDaughter),MAX(1,ROUND(AE750*v01_FissionRate,0)),0)</x:f>
        <x:v>0</x:v>
      </x:c>
      <x:c r="AE751" s="8" t="n">
        <x:f>IF(H751=1,MAX(1,MIN(INDEX(v01_Smax,G751),AE750+AD751)),AE750)</x:f>
        <x:v>7</x:v>
      </x:c>
      <x:c r="AF751" s="8" t="n">
        <x:f>MAX(0,AE751-AE750)</x:f>
        <x:v>0</x:v>
      </x:c>
      <x:c r="AG751" s="9" t="str">
        <x:f>IF(AF751&gt;0,B751,"")</x:f>
      </x:c>
      <x:c r="AH751" s="9" t="n">
        <x:f>IF(F751&gt;=1,1,(1+v01_LowTiesShare*(AE751-1))/AE751)</x:f>
        <x:v>1</x:v>
      </x:c>
      <x:c r="AI751" s="32" t="n">
        <x:f>(Z751+v01_ElderCommons*INDEX(LM_Elder,G751)*AA751)*AH751</x:f>
        <x:v>374.85053645543337</x:v>
      </x:c>
      <x:c r="AJ751" s="32" t="n">
        <x:f>H751*v01_CommonsCoef*AI751^v01_CommonsExp*INDEX(LM_Commons,G751)</x:f>
        <x:v>101.70056174067656</x:v>
      </x:c>
      <x:c r="AK751" s="32" t="n">
        <x:f>H751*v01_RoleScale*Arch_Roles*(AE751*(INDEX(v01_ElderRolePerSett,G751)*v01_OutElder*INDEX(LM_Elder,G751)+INDEX(v01_ShamanPerSett,G751)*v01_OutShaman)+Z751*(INDEX(v01_PriestShare,G751)*v01_OutPriest+INDEX(v01_ScribeShare,G751)*v01_OutScribe*INDEX(LM_Scribe,G751)+INDEX(v01_ScholarShare,G751)*v01_OutScholar*INDEX(LM_Scholar,G751)+INDEX(v01_ResearcherShare,G751)*v01_OutResearcher*INDEX(LM_Researcher,G751)))</x:f>
        <x:v>22.33513314777034</x:v>
      </x:c>
      <x:c r="AL751" s="32" t="n">
        <x:f>H751*v01_RoleScale*Arch_Roles*AE751*INDEX(v01_MonasteryPerSett,G751)*v01_OutMonastery*INDEX(LM_Monastery,G751)</x:f>
        <x:v>0</x:v>
      </x:c>
      <x:c r="AM751" s="32" t="n">
        <x:f>(AJ751+AK751+AL751)/4*INDEX(LM_All,G751)*INDEX(v01_Boon,G751)*Arch_Insight</x:f>
        <x:v>33.39321924768221</x:v>
      </x:c>
      <x:c r="AN751" s="32" t="n">
        <x:f>H751*(v01_KHPerAdult*Z751+v01_KHOfCommons*AJ751/4*INDEX(LM_All,G751))*v01_KHUsable*Arch_KH</x:f>
        <x:v>6.675665738851701</x:v>
      </x:c>
      <x:c r="AO751" s="32" t="n">
        <x:f>MIN(AP750+AN751,AM751*v01_KHMaxRatio)</x:f>
        <x:v>6.675665738851701</x:v>
      </x:c>
      <x:c r="AP751" s="32" t="n">
        <x:f>AP750+AN751-AO751</x:f>
        <x:v>0</x:v>
      </x:c>
      <x:c r="AQ751" s="32" t="n">
        <x:f>AM751+AO751</x:f>
        <x:v>40.06888498653391</x:v>
      </x:c>
      <x:c r="AR751" s="10" t="n">
        <x:f>IF(H751=1,INDEX(v01_Req,G751),0)</x:f>
        <x:v>9805.661999999998</x:v>
      </x:c>
      <x:c r="AS751" s="32" t="n">
        <x:f>IF(H751=1,IF(E751=1,AS750-AR750,AS750)+AQ751,0)</x:f>
        <x:v>1402.5008283192747</x:v>
      </x:c>
      <x:c r="AT751" s="11" t="n">
        <x:f>IF(AR751&gt;0,MIN(1,AS751/AR751),1)</x:f>
        <x:v>0.14302969328529527</x:v>
      </x:c>
      <x:c r="AU751" s="10" t="n">
        <x:f>AB751/INDEX(v01_RepScale,G751)</x:f>
        <x:v>92.29155779535678</x:v>
      </x:c>
      <x:c r="AV751" s="32" t="n">
        <x:f>AM751*60/v01_SeasonSeconds</x:f>
        <x:v>133.57287699072884</x:v>
      </x:c>
    </x:row>
    <x:row r="752">
      <x:c r="A752" s="8" t="n">
        <x:f>A751+1</x:f>
        <x:v>749</x:v>
      </x:c>
      <x:c r="B752" s="9" t="n">
        <x:f>A752*v01_SeasonSeconds/60</x:f>
        <x:v>187.25</x:v>
      </x:c>
      <x:c r="C752" s="9" t="n">
        <x:f>A752/4</x:f>
        <x:v>187.25</x:v>
      </x:c>
      <x:c r="D752" s="8" t="n">
        <x:f>IF(MOD(A752,4)=0,1,0)</x:f>
        <x:v>0</x:v>
      </x:c>
      <x:c r="E752" s="8" t="n">
        <x:f>IF(AND(F751&lt;=9,AS751&gt;=AR751),1,0)</x:f>
        <x:v>0</x:v>
      </x:c>
      <x:c r="F752" s="8" t="n">
        <x:f>MIN(10,F751+E752)</x:f>
        <x:v>3</x:v>
      </x:c>
      <x:c r="G752" s="8" t="n">
        <x:f>MIN(F752,9)+1</x:f>
        <x:v>4</x:v>
      </x:c>
      <x:c r="H752" s="8" t="n">
        <x:f>IF(F752&lt;=9,1,0)</x:f>
        <x:v>1</x:v>
      </x:c>
      <x:c r="I752" s="9" t="n">
        <x:f>MIN(10,F751+IF(AR751&gt;0,MIN(1,AS751/AR751),1))</x:f>
        <x:v>3.1430296932852952</x:v>
      </x:c>
      <x:c r="J752" s="32" t="n">
        <x:f>INDEX(v01_FoodCap,G752)*Arch_FoodCap*EXP(v01_CapsByProject*SUMPRODUCT((Cap_Point&lt;=I752)*(Cap_Kind="Food")*Cap_Ln))</x:f>
        <x:v>120</x:v>
      </x:c>
      <x:c r="K752" s="32" t="n">
        <x:f>J752*MIN(1,v01_LeanBase*EXP(v01_CapsByProject*SUMPRODUCT((Cap_Point&lt;=I752)*(Cap_Kind="Lean")*Cap_Ln)))</x:f>
        <x:v>120</x:v>
      </x:c>
      <x:c r="L752" s="10" t="n">
        <x:f>INDEX(v01_HousingCap,G752)*EXP(v01_CapsByProject*SUMPRODUCT((Cap_Point&lt;=I752)*(Cap_Kind="Housing")*Cap_Ln))</x:f>
        <x:v>200</x:v>
      </x:c>
      <x:c r="M752" s="10" t="n">
        <x:f>INDEX(v01_GroupCap,G752)*v01_CohesionFactor*EXP(v01_CapsByProject*SUMPRODUCT((Cap_Point&lt;=I752)*(Cap_Kind="Group")*Cap_Ln))</x:f>
        <x:v>5000</x:v>
      </x:c>
      <x:c r="N752" s="32" t="n">
        <x:f>MIN(J752,L752,M752)</x:f>
        <x:v>120</x:v>
      </x:c>
      <x:c r="O752" s="10" t="n">
        <x:f>AE751*N752</x:f>
        <x:v>840</x:v>
      </x:c>
      <x:c r="P752" s="9" t="n">
        <x:f>MIN(1,(AB751/(AE751*IF(v01_GroupInCrowding=1,N752,MIN(J752,L752))))^v01_CrowdingExp)</x:f>
        <x:v>0.027486292819525564</x:v>
      </x:c>
      <x:c r="Q752" s="9" t="n">
        <x:f>IF(D752=1,INDEX(v01_WinterMult,G752),1)</x:f>
        <x:v>1</x:v>
      </x:c>
      <x:c r="R752" s="9" t="n">
        <x:f>H752*Z751*v01_WomenShare*v01_BaseFertility*INDEX(v01_FertMult,G752)*Arch_Fertility*(1-P752)</x:f>
        <x:v>7.234139456798446</x:v>
      </x:c>
      <x:c r="S752" s="9" t="n">
        <x:f>H752*Y751*INDEX(v01_MortChild,G752)/4*Q752</x:f>
        <x:v>1.5701405420656238</x:v>
      </x:c>
      <x:c r="T752" s="9" t="n">
        <x:f>H752*Z751*INDEX(v01_MortAdult,G752)*Arch_AdultMort/4*Q752</x:f>
        <x:v>0.5245165937669194</x:v>
      </x:c>
      <x:c r="U752" s="9" t="n">
        <x:f>H752*AA751*INDEX(v01_MortElder,G752)/4*Q752</x:f>
        <x:v>0.9973016605017864</x:v>
      </x:c>
      <x:c r="V752" s="9" t="n">
        <x:f>H752*MAX(0,AB751-O752)*v01_OvercapLoss</x:f>
        <x:v>0</x:v>
      </x:c>
      <x:c r="W752" s="9" t="n">
        <x:f>H752*Y751/(v01_ChildYears*4)</x:f>
        <x:v>3.738429862061009</x:v>
      </x:c>
      <x:c r="X752" s="9" t="n">
        <x:f>H752*Z751/(v01_AdultYears*4)</x:f>
        <x:v>1.5381718292285027</x:v>
      </x:c>
      <x:c r="Y752" s="32" t="n">
        <x:f>Y751+R752-S752-W752-Y751*V752/AB751</x:f>
        <x:v>211.27764132808835</x:v>
      </x:c>
      <x:c r="Z752" s="32" t="n">
        <x:f>Z751+W752-X752-T752-Z751*V752/AB751</x:f>
        <x:v>192.4090482633999</x:v>
      </x:c>
      <x:c r="AA752" s="32" t="n">
        <x:f>AA751+X752-U752-AA751*V752/AB751</x:f>
        <x:v>61.91328004575973</x:v>
      </x:c>
      <x:c r="AB752" s="10" t="n">
        <x:f>Y752+Z752+AA752</x:f>
        <x:v>465.599969637248</x:v>
      </x:c>
      <x:c r="AC752" s="8" t="n">
        <x:f>IF(AND(v01_WinterTrigger=1,D752=1,AB751/AE751&gt;=K752),1,0)</x:f>
        <x:v>0</x:v>
      </x:c>
      <x:c r="AD752" s="8" t="n">
        <x:f>H752*IF(AND(OR(AB751/AE751&gt;=v01_FissionTrigger*N752,AC752=1),AB751/AE751*v01_DaughterShare&gt;=v01_MinDaughter),MAX(1,ROUND(AE751*v01_FissionRate,0)),0)</x:f>
        <x:v>0</x:v>
      </x:c>
      <x:c r="AE752" s="8" t="n">
        <x:f>IF(H752=1,MAX(1,MIN(INDEX(v01_Smax,G752),AE751+AD752)),AE751)</x:f>
        <x:v>7</x:v>
      </x:c>
      <x:c r="AF752" s="8" t="n">
        <x:f>MAX(0,AE752-AE751)</x:f>
        <x:v>0</x:v>
      </x:c>
      <x:c r="AG752" s="9" t="str">
        <x:f>IF(AF752&gt;0,B752,"")</x:f>
      </x:c>
      <x:c r="AH752" s="9" t="n">
        <x:f>IF(F752&gt;=1,1,(1+v01_LowTiesShare*(AE752-1))/AE752)</x:f>
        <x:v>1</x:v>
      </x:c>
      <x:c r="AI752" s="32" t="n">
        <x:f>(Z752+v01_ElderCommons*INDEX(LM_Elder,G752)*AA752)*AH752</x:f>
        <x:v>378.1488884006791</x:v>
      </x:c>
      <x:c r="AJ752" s="32" t="n">
        <x:f>H752*v01_CommonsCoef*AI752^v01_CommonsExp*INDEX(LM_Commons,G752)</x:f>
        <x:v>102.46070491121628</x:v>
      </x:c>
      <x:c r="AK752" s="32" t="n">
        <x:f>H752*v01_RoleScale*Arch_Roles*(AE752*(INDEX(v01_ElderRolePerSett,G752)*v01_OutElder*INDEX(LM_Elder,G752)+INDEX(v01_ShamanPerSett,G752)*v01_OutShaman)+Z752*(INDEX(v01_PriestShare,G752)*v01_OutPriest+INDEX(v01_ScribeShare,G752)*v01_OutScribe*INDEX(LM_Scribe,G752)+INDEX(v01_ScholarShare,G752)*v01_OutScholar*INDEX(LM_Scholar,G752)+INDEX(v01_ResearcherShare,G752)*v01_OutResearcher*INDEX(LM_Researcher,G752)))</x:f>
        <x:v>22.3468633378438</x:v>
      </x:c>
      <x:c r="AL752" s="32" t="n">
        <x:f>H752*v01_RoleScale*Arch_Roles*AE752*INDEX(v01_MonasteryPerSett,G752)*v01_OutMonastery*INDEX(LM_Monastery,G752)</x:f>
        <x:v>0</x:v>
      </x:c>
      <x:c r="AM752" s="32" t="n">
        <x:f>(AJ752+AK752+AL752)/4*INDEX(LM_All,G752)*INDEX(v01_Boon,G752)*Arch_Insight</x:f>
        <x:v>33.601025044115104</x:v>
      </x:c>
      <x:c r="AN752" s="32" t="n">
        <x:f>H752*(v01_KHPerAdult*Z752+v01_KHOfCommons*AJ752/4*INDEX(LM_All,G752))*v01_KHUsable*Arch_KH</x:f>
        <x:v>6.734316689218997</x:v>
      </x:c>
      <x:c r="AO752" s="32" t="n">
        <x:f>MIN(AP751+AN752,AM752*v01_KHMaxRatio)</x:f>
        <x:v>6.734316689218997</x:v>
      </x:c>
      <x:c r="AP752" s="32" t="n">
        <x:f>AP751+AN752-AO752</x:f>
        <x:v>0</x:v>
      </x:c>
      <x:c r="AQ752" s="32" t="n">
        <x:f>AM752+AO752</x:f>
        <x:v>40.335341733334104</x:v>
      </x:c>
      <x:c r="AR752" s="10" t="n">
        <x:f>IF(H752=1,INDEX(v01_Req,G752),0)</x:f>
        <x:v>9805.661999999998</x:v>
      </x:c>
      <x:c r="AS752" s="32" t="n">
        <x:f>IF(H752=1,IF(E752=1,AS751-AR751,AS751)+AQ752,0)</x:f>
        <x:v>1442.8361700526088</x:v>
      </x:c>
      <x:c r="AT752" s="11" t="n">
        <x:f>IF(AR752&gt;0,MIN(1,AS752/AR752),1)</x:f>
        <x:v>0.14714316790162757</x:v>
      </x:c>
      <x:c r="AU752" s="10" t="n">
        <x:f>AB752/INDEX(v01_RepScale,G752)</x:f>
        <x:v>93.1199939274496</x:v>
      </x:c>
      <x:c r="AV752" s="32" t="n">
        <x:f>AM752*60/v01_SeasonSeconds</x:f>
        <x:v>134.40410017646042</x:v>
      </x:c>
    </x:row>
    <x:row r="753">
      <x:c r="A753" s="8" t="n">
        <x:f>A752+1</x:f>
        <x:v>750</x:v>
      </x:c>
      <x:c r="B753" s="9" t="n">
        <x:f>A753*v01_SeasonSeconds/60</x:f>
        <x:v>187.5</x:v>
      </x:c>
      <x:c r="C753" s="9" t="n">
        <x:f>A753/4</x:f>
        <x:v>187.5</x:v>
      </x:c>
      <x:c r="D753" s="8" t="n">
        <x:f>IF(MOD(A753,4)=0,1,0)</x:f>
        <x:v>0</x:v>
      </x:c>
      <x:c r="E753" s="8" t="n">
        <x:f>IF(AND(F752&lt;=9,AS752&gt;=AR752),1,0)</x:f>
        <x:v>0</x:v>
      </x:c>
      <x:c r="F753" s="8" t="n">
        <x:f>MIN(10,F752+E753)</x:f>
        <x:v>3</x:v>
      </x:c>
      <x:c r="G753" s="8" t="n">
        <x:f>MIN(F753,9)+1</x:f>
        <x:v>4</x:v>
      </x:c>
      <x:c r="H753" s="8" t="n">
        <x:f>IF(F753&lt;=9,1,0)</x:f>
        <x:v>1</x:v>
      </x:c>
      <x:c r="I753" s="9" t="n">
        <x:f>MIN(10,F752+IF(AR752&gt;0,MIN(1,AS752/AR752),1))</x:f>
        <x:v>3.1471431679016275</x:v>
      </x:c>
      <x:c r="J753" s="32" t="n">
        <x:f>INDEX(v01_FoodCap,G753)*Arch_FoodCap*EXP(v01_CapsByProject*SUMPRODUCT((Cap_Point&lt;=I753)*(Cap_Kind="Food")*Cap_Ln))</x:f>
        <x:v>120</x:v>
      </x:c>
      <x:c r="K753" s="32" t="n">
        <x:f>J753*MIN(1,v01_LeanBase*EXP(v01_CapsByProject*SUMPRODUCT((Cap_Point&lt;=I753)*(Cap_Kind="Lean")*Cap_Ln)))</x:f>
        <x:v>120</x:v>
      </x:c>
      <x:c r="L753" s="10" t="n">
        <x:f>INDEX(v01_HousingCap,G753)*EXP(v01_CapsByProject*SUMPRODUCT((Cap_Point&lt;=I753)*(Cap_Kind="Housing")*Cap_Ln))</x:f>
        <x:v>200</x:v>
      </x:c>
      <x:c r="M753" s="10" t="n">
        <x:f>INDEX(v01_GroupCap,G753)*v01_CohesionFactor*EXP(v01_CapsByProject*SUMPRODUCT((Cap_Point&lt;=I753)*(Cap_Kind="Group")*Cap_Ln))</x:f>
        <x:v>5000</x:v>
      </x:c>
      <x:c r="N753" s="32" t="n">
        <x:f>MIN(J753,L753,M753)</x:f>
        <x:v>120</x:v>
      </x:c>
      <x:c r="O753" s="10" t="n">
        <x:f>AE752*N753</x:f>
        <x:v>840</x:v>
      </x:c>
      <x:c r="P753" s="9" t="n">
        <x:f>MIN(1,(AB752/(AE752*IF(v01_GroupInCrowding=1,N753,MIN(J753,L753))))^v01_CrowdingExp)</x:f>
        <x:v>0.02900026347206313</x:v>
      </x:c>
      <x:c r="Q753" s="9" t="n">
        <x:f>IF(D753=1,INDEX(v01_WinterMult,G753),1)</x:f>
        <x:v>1</x:v>
      </x:c>
      <x:c r="R753" s="9" t="n">
        <x:f>H753*Z752*v01_WomenShare*v01_BaseFertility*INDEX(v01_FertMult,G753)*Arch_Fertility*(1-P753)</x:f>
        <x:v>7.2863362716047435</x:v>
      </x:c>
      <x:c r="S753" s="9" t="n">
        <x:f>H753*Y752*INDEX(v01_MortChild,G753)/4*Q753</x:f>
        <x:v>1.5845823099606626</x:v>
      </x:c>
      <x:c r="T753" s="9" t="n">
        <x:f>H753*Z752*INDEX(v01_MortAdult,G753)*Arch_AdultMort/4*Q753</x:f>
        <x:v>0.5291248827243498</x:v>
      </x:c>
      <x:c r="U753" s="9" t="n">
        <x:f>H753*AA752*INDEX(v01_MortElder,G753)/4*Q753</x:f>
        <x:v>1.0060908007435956</x:v>
      </x:c>
      <x:c r="V753" s="9" t="n">
        <x:f>H753*MAX(0,AB752-O753)*v01_OvercapLoss</x:f>
        <x:v>0</x:v>
      </x:c>
      <x:c r="W753" s="9" t="n">
        <x:f>H753*Y752/(v01_ChildYears*4)</x:f>
        <x:v>3.7728150237158635</x:v>
      </x:c>
      <x:c r="X753" s="9" t="n">
        <x:f>H753*Z752/(v01_AdultYears*4)</x:f>
        <x:v>1.5516858730919347</x:v>
      </x:c>
      <x:c r="Y753" s="32" t="n">
        <x:f>Y752+R753-S753-W753-Y752*V753/AB752</x:f>
        <x:v>213.20658026601657</x:v>
      </x:c>
      <x:c r="Z753" s="32" t="n">
        <x:f>Z752+W753-X753-T753-Z752*V753/AB752</x:f>
        <x:v>194.10105253129947</x:v>
      </x:c>
      <x:c r="AA753" s="32" t="n">
        <x:f>AA752+X753-U753-AA752*V753/AB752</x:f>
        <x:v>62.45887511810807</x:v>
      </x:c>
      <x:c r="AB753" s="10" t="n">
        <x:f>Y753+Z753+AA753</x:f>
        <x:v>469.7665079154241</x:v>
      </x:c>
      <x:c r="AC753" s="8" t="n">
        <x:f>IF(AND(v01_WinterTrigger=1,D753=1,AB752/AE752&gt;=K753),1,0)</x:f>
        <x:v>0</x:v>
      </x:c>
      <x:c r="AD753" s="8" t="n">
        <x:f>H753*IF(AND(OR(AB752/AE752&gt;=v01_FissionTrigger*N753,AC753=1),AB752/AE752*v01_DaughterShare&gt;=v01_MinDaughter),MAX(1,ROUND(AE752*v01_FissionRate,0)),0)</x:f>
        <x:v>0</x:v>
      </x:c>
      <x:c r="AE753" s="8" t="n">
        <x:f>IF(H753=1,MAX(1,MIN(INDEX(v01_Smax,G753),AE752+AD753)),AE752)</x:f>
        <x:v>7</x:v>
      </x:c>
      <x:c r="AF753" s="8" t="n">
        <x:f>MAX(0,AE753-AE752)</x:f>
        <x:v>0</x:v>
      </x:c>
      <x:c r="AG753" s="9" t="str">
        <x:f>IF(AF753&gt;0,B753,"")</x:f>
      </x:c>
      <x:c r="AH753" s="9" t="n">
        <x:f>IF(F753&gt;=1,1,(1+v01_LowTiesShare*(AE753-1))/AE753)</x:f>
        <x:v>1</x:v>
      </x:c>
      <x:c r="AI753" s="32" t="n">
        <x:f>(Z753+v01_ElderCommons*INDEX(LM_Elder,G753)*AA753)*AH753</x:f>
        <x:v>381.4776778856237</x:v>
      </x:c>
      <x:c r="AJ753" s="32" t="n">
        <x:f>H753*v01_CommonsCoef*AI753^v01_CommonsExp*INDEX(LM_Commons,G753)</x:f>
        <x:v>103.22685509408811</x:v>
      </x:c>
      <x:c r="AK753" s="32" t="n">
        <x:f>H753*v01_RoleScale*Arch_Roles*(AE753*(INDEX(v01_ElderRolePerSett,G753)*v01_OutElder*INDEX(LM_Elder,G753)+INDEX(v01_ShamanPerSett,G753)*v01_OutShaman)+Z753*(INDEX(v01_PriestShare,G753)*v01_OutPriest+INDEX(v01_ScribeShare,G753)*v01_OutScribe*INDEX(LM_Scribe,G753)+INDEX(v01_ScholarShare,G753)*v01_OutScholar*INDEX(LM_Scholar,G753)+INDEX(v01_ResearcherShare,G753)*v01_OutResearcher*INDEX(LM_Researcher,G753)))</x:f>
        <x:v>22.358707367719095</x:v>
      </x:c>
      <x:c r="AL753" s="32" t="n">
        <x:f>H753*v01_RoleScale*Arch_Roles*AE753*INDEX(v01_MonasteryPerSett,G753)*v01_OutMonastery*INDEX(LM_Monastery,G753)</x:f>
        <x:v>0</x:v>
      </x:c>
      <x:c r="AM753" s="32" t="n">
        <x:f>(AJ753+AK753+AL753)/4*INDEX(LM_All,G753)*INDEX(v01_Boon,G753)*Arch_Insight</x:f>
        <x:v>33.810478712618014</x:v>
      </x:c>
      <x:c r="AN753" s="32" t="n">
        <x:f>H753*(v01_KHPerAdult*Z753+v01_KHOfCommons*AJ753/4*INDEX(LM_All,G753))*v01_KHUsable*Arch_KH</x:f>
        <x:v>6.7935368385954815</x:v>
      </x:c>
      <x:c r="AO753" s="32" t="n">
        <x:f>MIN(AP752+AN753,AM753*v01_KHMaxRatio)</x:f>
        <x:v>6.7935368385954815</x:v>
      </x:c>
      <x:c r="AP753" s="32" t="n">
        <x:f>AP752+AN753-AO753</x:f>
        <x:v>0</x:v>
      </x:c>
      <x:c r="AQ753" s="32" t="n">
        <x:f>AM753+AO753</x:f>
        <x:v>40.60401555121349</x:v>
      </x:c>
      <x:c r="AR753" s="10" t="n">
        <x:f>IF(H753=1,INDEX(v01_Req,G753),0)</x:f>
        <x:v>9805.661999999998</x:v>
      </x:c>
      <x:c r="AS753" s="32" t="n">
        <x:f>IF(H753=1,IF(E753=1,AS752-AR752,AS752)+AQ753,0)</x:f>
        <x:v>1483.4401856038223</x:v>
      </x:c>
      <x:c r="AT753" s="11" t="n">
        <x:f>IF(AR753&gt;0,MIN(1,AS753/AR753),1)</x:f>
        <x:v>0.15128404238324986</x:v>
      </x:c>
      <x:c r="AU753" s="10" t="n">
        <x:f>AB753/INDEX(v01_RepScale,G753)</x:f>
        <x:v>93.95330158308482</x:v>
      </x:c>
      <x:c r="AV753" s="32" t="n">
        <x:f>AM753*60/v01_SeasonSeconds</x:f>
        <x:v>135.24191485047206</x:v>
      </x:c>
    </x:row>
    <x:row r="754">
      <x:c r="A754" s="8" t="n">
        <x:f>A753+1</x:f>
        <x:v>751</x:v>
      </x:c>
      <x:c r="B754" s="9" t="n">
        <x:f>A754*v01_SeasonSeconds/60</x:f>
        <x:v>187.75</x:v>
      </x:c>
      <x:c r="C754" s="9" t="n">
        <x:f>A754/4</x:f>
        <x:v>187.75</x:v>
      </x:c>
      <x:c r="D754" s="8" t="n">
        <x:f>IF(MOD(A754,4)=0,1,0)</x:f>
        <x:v>0</x:v>
      </x:c>
      <x:c r="E754" s="8" t="n">
        <x:f>IF(AND(F753&lt;=9,AS753&gt;=AR753),1,0)</x:f>
        <x:v>0</x:v>
      </x:c>
      <x:c r="F754" s="8" t="n">
        <x:f>MIN(10,F753+E754)</x:f>
        <x:v>3</x:v>
      </x:c>
      <x:c r="G754" s="8" t="n">
        <x:f>MIN(F754,9)+1</x:f>
        <x:v>4</x:v>
      </x:c>
      <x:c r="H754" s="8" t="n">
        <x:f>IF(F754&lt;=9,1,0)</x:f>
        <x:v>1</x:v>
      </x:c>
      <x:c r="I754" s="9" t="n">
        <x:f>MIN(10,F753+IF(AR753&gt;0,MIN(1,AS753/AR753),1))</x:f>
        <x:v>3.1512840423832498</x:v>
      </x:c>
      <x:c r="J754" s="32" t="n">
        <x:f>INDEX(v01_FoodCap,G754)*Arch_FoodCap*EXP(v01_CapsByProject*SUMPRODUCT((Cap_Point&lt;=I754)*(Cap_Kind="Food")*Cap_Ln))</x:f>
        <x:v>120</x:v>
      </x:c>
      <x:c r="K754" s="32" t="n">
        <x:f>J754*MIN(1,v01_LeanBase*EXP(v01_CapsByProject*SUMPRODUCT((Cap_Point&lt;=I754)*(Cap_Kind="Lean")*Cap_Ln)))</x:f>
        <x:v>120</x:v>
      </x:c>
      <x:c r="L754" s="10" t="n">
        <x:f>INDEX(v01_HousingCap,G754)*EXP(v01_CapsByProject*SUMPRODUCT((Cap_Point&lt;=I754)*(Cap_Kind="Housing")*Cap_Ln))</x:f>
        <x:v>200</x:v>
      </x:c>
      <x:c r="M754" s="10" t="n">
        <x:f>INDEX(v01_GroupCap,G754)*v01_CohesionFactor*EXP(v01_CapsByProject*SUMPRODUCT((Cap_Point&lt;=I754)*(Cap_Kind="Group")*Cap_Ln))</x:f>
        <x:v>5000</x:v>
      </x:c>
      <x:c r="N754" s="32" t="n">
        <x:f>MIN(J754,L754,M754)</x:f>
        <x:v>120</x:v>
      </x:c>
      <x:c r="O754" s="10" t="n">
        <x:f>AE753*N754</x:f>
        <x:v>840</x:v>
      </x:c>
      <x:c r="P754" s="9" t="n">
        <x:f>MIN(1,(AB753/(AE753*IF(v01_GroupInCrowding=1,N754,MIN(J754,L754))))^v01_CrowdingExp)</x:f>
        <x:v>0.030592613946195953</x:v>
      </x:c>
      <x:c r="Q754" s="9" t="n">
        <x:f>IF(D754=1,INDEX(v01_WinterMult,G754),1)</x:f>
        <x:v>1</x:v>
      </x:c>
      <x:c r="R754" s="9" t="n">
        <x:f>H754*Z753*v01_WomenShare*v01_BaseFertility*INDEX(v01_FertMult,G754)*Arch_Fertility*(1-P754)</x:f>
        <x:v>7.338356764621706</x:v>
      </x:c>
      <x:c r="S754" s="9" t="n">
        <x:f>H754*Y753*INDEX(v01_MortChild,G754)/4*Q754</x:f>
        <x:v>1.5990493519951243</x:v>
      </x:c>
      <x:c r="T754" s="9" t="n">
        <x:f>H754*Z753*INDEX(v01_MortAdult,G754)*Arch_AdultMort/4*Q754</x:f>
        <x:v>0.5337778944610735</x:v>
      </x:c>
      <x:c r="U754" s="9" t="n">
        <x:f>H754*AA753*INDEX(v01_MortElder,G754)/4*Q754</x:f>
        <x:v>1.0149567206692562</x:v>
      </x:c>
      <x:c r="V754" s="9" t="n">
        <x:f>H754*MAX(0,AB753-O754)*v01_OvercapLoss</x:f>
        <x:v>0</x:v>
      </x:c>
      <x:c r="W754" s="9" t="n">
        <x:f>H754*Y753/(v01_ChildYears*4)</x:f>
        <x:v>3.807260361893153</x:v>
      </x:c>
      <x:c r="X754" s="9" t="n">
        <x:f>H754*Z753/(v01_AdultYears*4)</x:f>
        <x:v>1.5653310688008022</x:v>
      </x:c>
      <x:c r="Y754" s="32" t="n">
        <x:f>Y753+R754-S754-W754-Y753*V754/AB753</x:f>
        <x:v>215.13862731675</x:v>
      </x:c>
      <x:c r="Z754" s="32" t="n">
        <x:f>Z753+W754-X754-T754-Z753*V754/AB753</x:f>
        <x:v>195.80920392993073</x:v>
      </x:c>
      <x:c r="AA754" s="32" t="n">
        <x:f>AA753+X754-U754-AA753*V754/AB753</x:f>
        <x:v>63.009249466239616</x:v>
      </x:c>
      <x:c r="AB754" s="10" t="n">
        <x:f>Y754+Z754+AA754</x:f>
        <x:v>473.95708071292034</x:v>
      </x:c>
      <x:c r="AC754" s="8" t="n">
        <x:f>IF(AND(v01_WinterTrigger=1,D754=1,AB753/AE753&gt;=K754),1,0)</x:f>
        <x:v>0</x:v>
      </x:c>
      <x:c r="AD754" s="8" t="n">
        <x:f>H754*IF(AND(OR(AB753/AE753&gt;=v01_FissionTrigger*N754,AC754=1),AB753/AE753*v01_DaughterShare&gt;=v01_MinDaughter),MAX(1,ROUND(AE753*v01_FissionRate,0)),0)</x:f>
        <x:v>0</x:v>
      </x:c>
      <x:c r="AE754" s="8" t="n">
        <x:f>IF(H754=1,MAX(1,MIN(INDEX(v01_Smax,G754),AE753+AD754)),AE753)</x:f>
        <x:v>7</x:v>
      </x:c>
      <x:c r="AF754" s="8" t="n">
        <x:f>MAX(0,AE754-AE753)</x:f>
        <x:v>0</x:v>
      </x:c>
      <x:c r="AG754" s="9" t="str">
        <x:f>IF(AF754&gt;0,B754,"")</x:f>
      </x:c>
      <x:c r="AH754" s="9" t="n">
        <x:f>IF(F754&gt;=1,1,(1+v01_LowTiesShare*(AE754-1))/AE754)</x:f>
        <x:v>1</x:v>
      </x:c>
      <x:c r="AI754" s="32" t="n">
        <x:f>(Z754+v01_ElderCommons*INDEX(LM_Elder,G754)*AA754)*AH754</x:f>
        <x:v>384.83695232864955</x:v>
      </x:c>
      <x:c r="AJ754" s="32" t="n">
        <x:f>H754*v01_CommonsCoef*AI754^v01_CommonsExp*INDEX(LM_Commons,G754)</x:f>
        <x:v>103.9990057041083</x:v>
      </x:c>
      <x:c r="AK754" s="32" t="n">
        <x:f>H754*v01_RoleScale*Arch_Roles*(AE754*(INDEX(v01_ElderRolePerSett,G754)*v01_OutElder*INDEX(LM_Elder,G754)+INDEX(v01_ShamanPerSett,G754)*v01_OutShaman)+Z754*(INDEX(v01_PriestShare,G754)*v01_OutPriest+INDEX(v01_ScribeShare,G754)*v01_OutScribe*INDEX(LM_Scribe,G754)+INDEX(v01_ScholarShare,G754)*v01_OutScholar*INDEX(LM_Scholar,G754)+INDEX(v01_ResearcherShare,G754)*v01_OutResearcher*INDEX(LM_Researcher,G754)))</x:f>
        <x:v>22.370664427509514</x:v>
      </x:c>
      <x:c r="AL754" s="32" t="n">
        <x:f>H754*v01_RoleScale*Arch_Roles*AE754*INDEX(v01_MonasteryPerSett,G754)*v01_OutMonastery*INDEX(LM_Monastery,G754)</x:f>
        <x:v>0</x:v>
      </x:c>
      <x:c r="AM754" s="32" t="n">
        <x:f>(AJ754+AK754+AL754)/4*INDEX(LM_All,G754)*INDEX(v01_Boon,G754)*Arch_Insight</x:f>
        <x:v>34.021578262270424</x:v>
      </x:c>
      <x:c r="AN754" s="32" t="n">
        <x:f>H754*(v01_KHPerAdult*Z754+v01_KHOfCommons*AJ754/4*INDEX(LM_All,G754))*v01_KHUsable*Arch_KH</x:f>
        <x:v>6.853322137547576</x:v>
      </x:c>
      <x:c r="AO754" s="32" t="n">
        <x:f>MIN(AP753+AN754,AM754*v01_KHMaxRatio)</x:f>
        <x:v>6.853322137547576</x:v>
      </x:c>
      <x:c r="AP754" s="32" t="n">
        <x:f>AP753+AN754-AO754</x:f>
        <x:v>0</x:v>
      </x:c>
      <x:c r="AQ754" s="32" t="n">
        <x:f>AM754+AO754</x:f>
        <x:v>40.874900399818</x:v>
      </x:c>
      <x:c r="AR754" s="10" t="n">
        <x:f>IF(H754=1,INDEX(v01_Req,G754),0)</x:f>
        <x:v>9805.661999999998</x:v>
      </x:c>
      <x:c r="AS754" s="32" t="n">
        <x:f>IF(H754=1,IF(E754=1,AS753-AR753,AS753)+AQ754,0)</x:f>
        <x:v>1524.3150860036403</x:v>
      </x:c>
      <x:c r="AT754" s="11" t="n">
        <x:f>IF(AR754&gt;0,MIN(1,AS754/AR754),1)</x:f>
        <x:v>0.1554525422152671</x:v>
      </x:c>
      <x:c r="AU754" s="10" t="n">
        <x:f>AB754/INDEX(v01_RepScale,G754)</x:f>
        <x:v>94.79141614258407</x:v>
      </x:c>
      <x:c r="AV754" s="32" t="n">
        <x:f>AM754*60/v01_SeasonSeconds</x:f>
        <x:v>136.0863130490817</x:v>
      </x:c>
    </x:row>
    <x:row r="755">
      <x:c r="A755" s="8" t="n">
        <x:f>A754+1</x:f>
        <x:v>752</x:v>
      </x:c>
      <x:c r="B755" s="9" t="n">
        <x:f>A755*v01_SeasonSeconds/60</x:f>
        <x:v>188</x:v>
      </x:c>
      <x:c r="C755" s="9" t="n">
        <x:f>A755/4</x:f>
        <x:v>188</x:v>
      </x:c>
      <x:c r="D755" s="8" t="n">
        <x:f>IF(MOD(A755,4)=0,1,0)</x:f>
        <x:v>1</x:v>
      </x:c>
      <x:c r="E755" s="8" t="n">
        <x:f>IF(AND(F754&lt;=9,AS754&gt;=AR754),1,0)</x:f>
        <x:v>0</x:v>
      </x:c>
      <x:c r="F755" s="8" t="n">
        <x:f>MIN(10,F754+E755)</x:f>
        <x:v>3</x:v>
      </x:c>
      <x:c r="G755" s="8" t="n">
        <x:f>MIN(F755,9)+1</x:f>
        <x:v>4</x:v>
      </x:c>
      <x:c r="H755" s="8" t="n">
        <x:f>IF(F755&lt;=9,1,0)</x:f>
        <x:v>1</x:v>
      </x:c>
      <x:c r="I755" s="9" t="n">
        <x:f>MIN(10,F754+IF(AR754&gt;0,MIN(1,AS754/AR754),1))</x:f>
        <x:v>3.1554525422152673</x:v>
      </x:c>
      <x:c r="J755" s="32" t="n">
        <x:f>INDEX(v01_FoodCap,G755)*Arch_FoodCap*EXP(v01_CapsByProject*SUMPRODUCT((Cap_Point&lt;=I755)*(Cap_Kind="Food")*Cap_Ln))</x:f>
        <x:v>120</x:v>
      </x:c>
      <x:c r="K755" s="32" t="n">
        <x:f>J755*MIN(1,v01_LeanBase*EXP(v01_CapsByProject*SUMPRODUCT((Cap_Point&lt;=I755)*(Cap_Kind="Lean")*Cap_Ln)))</x:f>
        <x:v>120</x:v>
      </x:c>
      <x:c r="L755" s="10" t="n">
        <x:f>INDEX(v01_HousingCap,G755)*EXP(v01_CapsByProject*SUMPRODUCT((Cap_Point&lt;=I755)*(Cap_Kind="Housing")*Cap_Ln))</x:f>
        <x:v>200</x:v>
      </x:c>
      <x:c r="M755" s="10" t="n">
        <x:f>INDEX(v01_GroupCap,G755)*v01_CohesionFactor*EXP(v01_CapsByProject*SUMPRODUCT((Cap_Point&lt;=I755)*(Cap_Kind="Group")*Cap_Ln))</x:f>
        <x:v>5000</x:v>
      </x:c>
      <x:c r="N755" s="32" t="n">
        <x:f>MIN(J755,L755,M755)</x:f>
        <x:v>120</x:v>
      </x:c>
      <x:c r="O755" s="10" t="n">
        <x:f>AE754*N755</x:f>
        <x:v>840</x:v>
      </x:c>
      <x:c r="P755" s="9" t="n">
        <x:f>MIN(1,(AB754/(AE754*IF(v01_GroupInCrowding=1,N755,MIN(J755,L755))))^v01_CrowdingExp)</x:f>
        <x:v>0.03226698435941967</x:v>
      </x:c>
      <x:c r="Q755" s="9" t="n">
        <x:f>IF(D755=1,INDEX(v01_WinterMult,G755),1)</x:f>
        <x:v>1.15</x:v>
      </x:c>
      <x:c r="R755" s="9" t="n">
        <x:f>H755*Z754*v01_WomenShare*v01_BaseFertility*INDEX(v01_FertMult,G755)*Arch_Fertility*(1-P755)</x:f>
        <x:v>7.3901502249624365</x:v>
      </x:c>
      <x:c r="S755" s="9" t="n">
        <x:f>H755*Y754*INDEX(v01_MortChild,G755)/4*Q755</x:f>
        <x:v>1.8555706606069684</x:v>
      </x:c>
      <x:c r="T755" s="9" t="n">
        <x:f>H755*Z754*INDEX(v01_MortAdult,G755)*Arch_AdultMort/4*Q755</x:f>
        <x:v>0.6192466074284059</x:v>
      </x:c>
      <x:c r="U755" s="9" t="n">
        <x:f>H755*AA754*INDEX(v01_MortElder,G755)/4*Q755</x:f>
        <x:v>1.1774853494003528</x:v>
      </x:c>
      <x:c r="V755" s="9" t="n">
        <x:f>H755*MAX(0,AB754-O755)*v01_OvercapLoss</x:f>
        <x:v>0</x:v>
      </x:c>
      <x:c r="W755" s="9" t="n">
        <x:f>H755*Y754/(v01_ChildYears*4)</x:f>
        <x:v>3.8417612020848213</x:v>
      </x:c>
      <x:c r="X755" s="9" t="n">
        <x:f>H755*Z754/(v01_AdultYears*4)</x:f>
        <x:v>1.579106483305893</x:v>
      </x:c>
      <x:c r="Y755" s="32" t="n">
        <x:f>Y754+R755-S755-W755-Y754*V755/AB754</x:f>
        <x:v>216.83144567902065</x:v>
      </x:c>
      <x:c r="Z755" s="32" t="n">
        <x:f>Z754+W755-X755-T755-Z754*V755/AB754</x:f>
        <x:v>197.45261204128124</x:v>
      </x:c>
      <x:c r="AA755" s="32" t="n">
        <x:f>AA754+X755-U755-AA754*V755/AB754</x:f>
        <x:v>63.41087060014517</x:v>
      </x:c>
      <x:c r="AB755" s="10" t="n">
        <x:f>Y755+Z755+AA755</x:f>
        <x:v>477.6949283204471</x:v>
      </x:c>
      <x:c r="AC755" s="8" t="n">
        <x:f>IF(AND(v01_WinterTrigger=1,D755=1,AB754/AE754&gt;=K755),1,0)</x:f>
        <x:v>0</x:v>
      </x:c>
      <x:c r="AD755" s="8" t="n">
        <x:f>H755*IF(AND(OR(AB754/AE754&gt;=v01_FissionTrigger*N755,AC755=1),AB754/AE754*v01_DaughterShare&gt;=v01_MinDaughter),MAX(1,ROUND(AE754*v01_FissionRate,0)),0)</x:f>
        <x:v>0</x:v>
      </x:c>
      <x:c r="AE755" s="8" t="n">
        <x:f>IF(H755=1,MAX(1,MIN(INDEX(v01_Smax,G755),AE754+AD755)),AE754)</x:f>
        <x:v>7</x:v>
      </x:c>
      <x:c r="AF755" s="8" t="n">
        <x:f>MAX(0,AE755-AE754)</x:f>
        <x:v>0</x:v>
      </x:c>
      <x:c r="AG755" s="9" t="str">
        <x:f>IF(AF755&gt;0,B755,"")</x:f>
      </x:c>
      <x:c r="AH755" s="9" t="n">
        <x:f>IF(F755&gt;=1,1,(1+v01_LowTiesShare*(AE755-1))/AE755)</x:f>
        <x:v>1</x:v>
      </x:c>
      <x:c r="AI755" s="32" t="n">
        <x:f>(Z755+v01_ElderCommons*INDEX(LM_Elder,G755)*AA755)*AH755</x:f>
        <x:v>387.6852238417167</x:v>
      </x:c>
      <x:c r="AJ755" s="32" t="n">
        <x:f>H755*v01_CommonsCoef*AI755^v01_CommonsExp*INDEX(LM_Commons,G755)</x:f>
        <x:v>104.65290711339937</x:v>
      </x:c>
      <x:c r="AK755" s="32" t="n">
        <x:f>H755*v01_RoleScale*Arch_Roles*(AE755*(INDEX(v01_ElderRolePerSett,G755)*v01_OutElder*INDEX(LM_Elder,G755)+INDEX(v01_ShamanPerSett,G755)*v01_OutShaman)+Z755*(INDEX(v01_PriestShare,G755)*v01_OutPriest+INDEX(v01_ScribeShare,G755)*v01_OutScribe*INDEX(LM_Scribe,G755)+INDEX(v01_ScholarShare,G755)*v01_OutScholar*INDEX(LM_Scholar,G755)+INDEX(v01_ResearcherShare,G755)*v01_OutResearcher*INDEX(LM_Researcher,G755)))</x:f>
        <x:v>22.38216828428897</x:v>
      </x:c>
      <x:c r="AL755" s="32" t="n">
        <x:f>H755*v01_RoleScale*Arch_Roles*AE755*INDEX(v01_MonasteryPerSett,G755)*v01_OutMonastery*INDEX(LM_Monastery,G755)</x:f>
        <x:v>0</x:v>
      </x:c>
      <x:c r="AM755" s="32" t="n">
        <x:f>(AJ755+AK755+AL755)/4*INDEX(LM_All,G755)*INDEX(v01_Boon,G755)*Arch_Insight</x:f>
        <x:v>34.20072043548467</x:v>
      </x:c>
      <x:c r="AN755" s="32" t="n">
        <x:f>H755*(v01_KHPerAdult*Z755+v01_KHOfCommons*AJ755/4*INDEX(LM_All,G755))*v01_KHUsable*Arch_KH</x:f>
        <x:v>6.910841421444844</x:v>
      </x:c>
      <x:c r="AO755" s="32" t="n">
        <x:f>MIN(AP754+AN755,AM755*v01_KHMaxRatio)</x:f>
        <x:v>6.910841421444844</x:v>
      </x:c>
      <x:c r="AP755" s="32" t="n">
        <x:f>AP754+AN755-AO755</x:f>
        <x:v>0</x:v>
      </x:c>
      <x:c r="AQ755" s="32" t="n">
        <x:f>AM755+AO755</x:f>
        <x:v>41.11156185692951</x:v>
      </x:c>
      <x:c r="AR755" s="10" t="n">
        <x:f>IF(H755=1,INDEX(v01_Req,G755),0)</x:f>
        <x:v>9805.661999999998</x:v>
      </x:c>
      <x:c r="AS755" s="32" t="n">
        <x:f>IF(H755=1,IF(E755=1,AS754-AR754,AS754)+AQ755,0)</x:f>
        <x:v>1565.4266478605698</x:v>
      </x:c>
      <x:c r="AT755" s="11" t="n">
        <x:f>IF(AR755&gt;0,MIN(1,AS755/AR755),1)</x:f>
        <x:v>0.15964517723133534</x:v>
      </x:c>
      <x:c r="AU755" s="10" t="n">
        <x:f>AB755/INDEX(v01_RepScale,G755)</x:f>
        <x:v>95.53898566408942</x:v>
      </x:c>
      <x:c r="AV755" s="32" t="n">
        <x:f>AM755*60/v01_SeasonSeconds</x:f>
        <x:v>136.80288174193868</x:v>
      </x:c>
    </x:row>
    <x:row r="756">
      <x:c r="A756" s="8" t="n">
        <x:f>A755+1</x:f>
        <x:v>753</x:v>
      </x:c>
      <x:c r="B756" s="9" t="n">
        <x:f>A756*v01_SeasonSeconds/60</x:f>
        <x:v>188.25</x:v>
      </x:c>
      <x:c r="C756" s="9" t="n">
        <x:f>A756/4</x:f>
        <x:v>188.25</x:v>
      </x:c>
      <x:c r="D756" s="8" t="n">
        <x:f>IF(MOD(A756,4)=0,1,0)</x:f>
        <x:v>0</x:v>
      </x:c>
      <x:c r="E756" s="8" t="n">
        <x:f>IF(AND(F755&lt;=9,AS755&gt;=AR755),1,0)</x:f>
        <x:v>0</x:v>
      </x:c>
      <x:c r="F756" s="8" t="n">
        <x:f>MIN(10,F755+E756)</x:f>
        <x:v>3</x:v>
      </x:c>
      <x:c r="G756" s="8" t="n">
        <x:f>MIN(F756,9)+1</x:f>
        <x:v>4</x:v>
      </x:c>
      <x:c r="H756" s="8" t="n">
        <x:f>IF(F756&lt;=9,1,0)</x:f>
        <x:v>1</x:v>
      </x:c>
      <x:c r="I756" s="9" t="n">
        <x:f>MIN(10,F755+IF(AR755&gt;0,MIN(1,AS755/AR755),1))</x:f>
        <x:v>3.159645177231335</x:v>
      </x:c>
      <x:c r="J756" s="32" t="n">
        <x:f>INDEX(v01_FoodCap,G756)*Arch_FoodCap*EXP(v01_CapsByProject*SUMPRODUCT((Cap_Point&lt;=I756)*(Cap_Kind="Food")*Cap_Ln))</x:f>
        <x:v>120</x:v>
      </x:c>
      <x:c r="K756" s="32" t="n">
        <x:f>J756*MIN(1,v01_LeanBase*EXP(v01_CapsByProject*SUMPRODUCT((Cap_Point&lt;=I756)*(Cap_Kind="Lean")*Cap_Ln)))</x:f>
        <x:v>120</x:v>
      </x:c>
      <x:c r="L756" s="10" t="n">
        <x:f>INDEX(v01_HousingCap,G756)*EXP(v01_CapsByProject*SUMPRODUCT((Cap_Point&lt;=I756)*(Cap_Kind="Housing")*Cap_Ln))</x:f>
        <x:v>200</x:v>
      </x:c>
      <x:c r="M756" s="10" t="n">
        <x:f>INDEX(v01_GroupCap,G756)*v01_CohesionFactor*EXP(v01_CapsByProject*SUMPRODUCT((Cap_Point&lt;=I756)*(Cap_Kind="Group")*Cap_Ln))</x:f>
        <x:v>5000</x:v>
      </x:c>
      <x:c r="N756" s="32" t="n">
        <x:f>MIN(J756,L756,M756)</x:f>
        <x:v>120</x:v>
      </x:c>
      <x:c r="O756" s="10" t="n">
        <x:f>AE755*N756</x:f>
        <x:v>840</x:v>
      </x:c>
      <x:c r="P756" s="9" t="n">
        <x:f>MIN(1,(AB755/(AE755*IF(v01_GroupInCrowding=1,N756,MIN(J756,L756))))^v01_CrowdingExp)</x:f>
        <x:v>0.03382424147303711</x:v>
      </x:c>
      <x:c r="Q756" s="9" t="n">
        <x:f>IF(D756=1,INDEX(v01_WinterMult,G756),1)</x:f>
        <x:v>1</x:v>
      </x:c>
      <x:c r="R756" s="9" t="n">
        <x:f>H756*Z755*v01_WomenShare*v01_BaseFertility*INDEX(v01_FertMult,G756)*Arch_Fertility*(1-P756)</x:f>
        <x:v>7.440183161272486</x:v>
      </x:c>
      <x:c r="S756" s="9" t="n">
        <x:f>H756*Y755*INDEX(v01_MortChild,G756)/4*Q756</x:f>
        <x:v>1.6262358425926549</x:v>
      </x:c>
      <x:c r="T756" s="9" t="n">
        <x:f>H756*Z755*INDEX(v01_MortAdult,G756)*Arch_AdultMort/4*Q756</x:f>
        <x:v>0.5429946831135234</x:v>
      </x:c>
      <x:c r="U756" s="9" t="n">
        <x:f>H756*AA755*INDEX(v01_MortElder,G756)/4*Q756</x:f>
        <x:v>1.0304266472523589</x:v>
      </x:c>
      <x:c r="V756" s="9" t="n">
        <x:f>H756*MAX(0,AB755-O756)*v01_OvercapLoss</x:f>
        <x:v>0</x:v>
      </x:c>
      <x:c r="W756" s="9" t="n">
        <x:f>H756*Y755/(v01_ChildYears*4)</x:f>
        <x:v>3.871990101411083</x:v>
      </x:c>
      <x:c r="X756" s="9" t="n">
        <x:f>H756*Z755/(v01_AdultYears*4)</x:f>
        <x:v>1.5923597745264617</x:v>
      </x:c>
      <x:c r="Y756" s="32" t="n">
        <x:f>Y755+R756-S756-W756-Y755*V756/AB755</x:f>
        <x:v>218.7734028962894</x:v>
      </x:c>
      <x:c r="Z756" s="32" t="n">
        <x:f>Z755+W756-X756-T756-Z755*V756/AB755</x:f>
        <x:v>199.18924768505232</x:v>
      </x:c>
      <x:c r="AA756" s="32" t="n">
        <x:f>AA755+X756-U756-AA755*V756/AB755</x:f>
        <x:v>63.97280372741927</x:v>
      </x:c>
      <x:c r="AB756" s="10" t="n">
        <x:f>Y756+Z756+AA756</x:f>
        <x:v>481.935454308761</x:v>
      </x:c>
      <x:c r="AC756" s="8" t="n">
        <x:f>IF(AND(v01_WinterTrigger=1,D756=1,AB755/AE755&gt;=K756),1,0)</x:f>
        <x:v>0</x:v>
      </x:c>
      <x:c r="AD756" s="8" t="n">
        <x:f>H756*IF(AND(OR(AB755/AE755&gt;=v01_FissionTrigger*N756,AC756=1),AB755/AE755*v01_DaughterShare&gt;=v01_MinDaughter),MAX(1,ROUND(AE755*v01_FissionRate,0)),0)</x:f>
        <x:v>0</x:v>
      </x:c>
      <x:c r="AE756" s="8" t="n">
        <x:f>IF(H756=1,MAX(1,MIN(INDEX(v01_Smax,G756),AE755+AD756)),AE755)</x:f>
        <x:v>7</x:v>
      </x:c>
      <x:c r="AF756" s="8" t="n">
        <x:f>MAX(0,AE756-AE755)</x:f>
        <x:v>0</x:v>
      </x:c>
      <x:c r="AG756" s="9" t="str">
        <x:f>IF(AF756&gt;0,B756,"")</x:f>
      </x:c>
      <x:c r="AH756" s="9" t="n">
        <x:f>IF(F756&gt;=1,1,(1+v01_LowTiesShare*(AE756-1))/AE756)</x:f>
        <x:v>1</x:v>
      </x:c>
      <x:c r="AI756" s="32" t="n">
        <x:f>(Z756+v01_ElderCommons*INDEX(LM_Elder,G756)*AA756)*AH756</x:f>
        <x:v>391.10765886731014</x:v>
      </x:c>
      <x:c r="AJ756" s="32" t="n">
        <x:f>H756*v01_CommonsCoef*AI756^v01_CommonsExp*INDEX(LM_Commons,G756)</x:f>
        <x:v>105.43767191817793</x:v>
      </x:c>
      <x:c r="AK756" s="32" t="n">
        <x:f>H756*v01_RoleScale*Arch_Roles*(AE756*(INDEX(v01_ElderRolePerSett,G756)*v01_OutElder*INDEX(LM_Elder,G756)+INDEX(v01_ShamanPerSett,G756)*v01_OutShaman)+Z756*(INDEX(v01_PriestShare,G756)*v01_OutPriest+INDEX(v01_ScribeShare,G756)*v01_OutScribe*INDEX(LM_Scribe,G756)+INDEX(v01_ScholarShare,G756)*v01_OutScholar*INDEX(LM_Scholar,G756)+INDEX(v01_ResearcherShare,G756)*v01_OutResearcher*INDEX(LM_Researcher,G756)))</x:f>
        <x:v>22.394324733795365</x:v>
      </x:c>
      <x:c r="AL756" s="32" t="n">
        <x:f>H756*v01_RoleScale*Arch_Roles*AE756*INDEX(v01_MonasteryPerSett,G756)*v01_OutMonastery*INDEX(LM_Monastery,G756)</x:f>
        <x:v>0</x:v>
      </x:c>
      <x:c r="AM756" s="32" t="n">
        <x:f>(AJ756+AK756+AL756)/4*INDEX(LM_All,G756)*INDEX(v01_Boon,G756)*Arch_Insight</x:f>
        <x:v>34.415269692385344</x:v>
      </x:c>
      <x:c r="AN756" s="32" t="n">
        <x:f>H756*(v01_KHPerAdult*Z756+v01_KHOfCommons*AJ756/4*INDEX(LM_All,G756))*v01_KHUsable*Arch_KH</x:f>
        <x:v>6.971623668976832</x:v>
      </x:c>
      <x:c r="AO756" s="32" t="n">
        <x:f>MIN(AP755+AN756,AM756*v01_KHMaxRatio)</x:f>
        <x:v>6.971623668976832</x:v>
      </x:c>
      <x:c r="AP756" s="32" t="n">
        <x:f>AP755+AN756-AO756</x:f>
        <x:v>0</x:v>
      </x:c>
      <x:c r="AQ756" s="32" t="n">
        <x:f>AM756+AO756</x:f>
        <x:v>41.386893361362176</x:v>
      </x:c>
      <x:c r="AR756" s="10" t="n">
        <x:f>IF(H756=1,INDEX(v01_Req,G756),0)</x:f>
        <x:v>9805.661999999998</x:v>
      </x:c>
      <x:c r="AS756" s="32" t="n">
        <x:f>IF(H756=1,IF(E756=1,AS755-AR755,AS755)+AQ756,0)</x:f>
        <x:v>1606.813541221932</x:v>
      </x:c>
      <x:c r="AT756" s="11" t="n">
        <x:f>IF(AR756&gt;0,MIN(1,AS756/AR756),1)</x:f>
        <x:v>0.16386589107618968</x:v>
      </x:c>
      <x:c r="AU756" s="10" t="n">
        <x:f>AB756/INDEX(v01_RepScale,G756)</x:f>
        <x:v>96.3870908617522</x:v>
      </x:c>
      <x:c r="AV756" s="32" t="n">
        <x:f>AM756*60/v01_SeasonSeconds</x:f>
        <x:v>137.66107876954138</x:v>
      </x:c>
    </x:row>
    <x:row r="757">
      <x:c r="A757" s="8" t="n">
        <x:f>A756+1</x:f>
        <x:v>754</x:v>
      </x:c>
      <x:c r="B757" s="9" t="n">
        <x:f>A757*v01_SeasonSeconds/60</x:f>
        <x:v>188.5</x:v>
      </x:c>
      <x:c r="C757" s="9" t="n">
        <x:f>A757/4</x:f>
        <x:v>188.5</x:v>
      </x:c>
      <x:c r="D757" s="8" t="n">
        <x:f>IF(MOD(A757,4)=0,1,0)</x:f>
        <x:v>0</x:v>
      </x:c>
      <x:c r="E757" s="8" t="n">
        <x:f>IF(AND(F756&lt;=9,AS756&gt;=AR756),1,0)</x:f>
        <x:v>0</x:v>
      </x:c>
      <x:c r="F757" s="8" t="n">
        <x:f>MIN(10,F756+E757)</x:f>
        <x:v>3</x:v>
      </x:c>
      <x:c r="G757" s="8" t="n">
        <x:f>MIN(F757,9)+1</x:f>
        <x:v>4</x:v>
      </x:c>
      <x:c r="H757" s="8" t="n">
        <x:f>IF(F757&lt;=9,1,0)</x:f>
        <x:v>1</x:v>
      </x:c>
      <x:c r="I757" s="9" t="n">
        <x:f>MIN(10,F756+IF(AR756&gt;0,MIN(1,AS756/AR756),1))</x:f>
        <x:v>3.1638658910761897</x:v>
      </x:c>
      <x:c r="J757" s="32" t="n">
        <x:f>INDEX(v01_FoodCap,G757)*Arch_FoodCap*EXP(v01_CapsByProject*SUMPRODUCT((Cap_Point&lt;=I757)*(Cap_Kind="Food")*Cap_Ln))</x:f>
        <x:v>120</x:v>
      </x:c>
      <x:c r="K757" s="32" t="n">
        <x:f>J757*MIN(1,v01_LeanBase*EXP(v01_CapsByProject*SUMPRODUCT((Cap_Point&lt;=I757)*(Cap_Kind="Lean")*Cap_Ln)))</x:f>
        <x:v>120</x:v>
      </x:c>
      <x:c r="L757" s="10" t="n">
        <x:f>INDEX(v01_HousingCap,G757)*EXP(v01_CapsByProject*SUMPRODUCT((Cap_Point&lt;=I757)*(Cap_Kind="Housing")*Cap_Ln))</x:f>
        <x:v>200</x:v>
      </x:c>
      <x:c r="M757" s="10" t="n">
        <x:f>INDEX(v01_GroupCap,G757)*v01_CohesionFactor*EXP(v01_CapsByProject*SUMPRODUCT((Cap_Point&lt;=I757)*(Cap_Kind="Group")*Cap_Ln))</x:f>
        <x:v>5000</x:v>
      </x:c>
      <x:c r="N757" s="32" t="n">
        <x:f>MIN(J757,L757,M757)</x:f>
        <x:v>120</x:v>
      </x:c>
      <x:c r="O757" s="10" t="n">
        <x:f>AE756*N757</x:f>
        <x:v>840</x:v>
      </x:c>
      <x:c r="P757" s="9" t="n">
        <x:f>MIN(1,(AB756/(AE756*IF(v01_GroupInCrowding=1,N757,MIN(J757,L757))))^v01_CrowdingExp)</x:f>
        <x:v>0.035666257905134016</x:v>
      </x:c>
      <x:c r="Q757" s="9" t="n">
        <x:f>IF(D757=1,INDEX(v01_WinterMult,G757),1)</x:f>
        <x:v>1</x:v>
      </x:c>
      <x:c r="R757" s="9" t="n">
        <x:f>H757*Z756*v01_WomenShare*v01_BaseFertility*INDEX(v01_FertMult,G757)*Arch_Fertility*(1-P757)</x:f>
        <x:v>7.491311591602318</x:v>
      </x:c>
      <x:c r="S757" s="9" t="n">
        <x:f>H757*Y756*INDEX(v01_MortChild,G757)/4*Q757</x:f>
        <x:v>1.6408005217221706</x:v>
      </x:c>
      <x:c r="T757" s="9" t="n">
        <x:f>H757*Z756*INDEX(v01_MortAdult,G757)*Arch_AdultMort/4*Q757</x:f>
        <x:v>0.5477704311338939</x:v>
      </x:c>
      <x:c r="U757" s="9" t="n">
        <x:f>H757*AA756*INDEX(v01_MortElder,G757)/4*Q757</x:f>
        <x:v>1.0395580605705632</x:v>
      </x:c>
      <x:c r="V757" s="9" t="n">
        <x:f>H757*MAX(0,AB756-O757)*v01_OvercapLoss</x:f>
        <x:v>0</x:v>
      </x:c>
      <x:c r="W757" s="9" t="n">
        <x:f>H757*Y756/(v01_ChildYears*4)</x:f>
        <x:v>3.906667908862311</x:v>
      </x:c>
      <x:c r="X757" s="9" t="n">
        <x:f>H757*Z756/(v01_AdultYears*4)</x:f>
        <x:v>1.6063649006859058</x:v>
      </x:c>
      <x:c r="Y757" s="32" t="n">
        <x:f>Y756+R757-S757-W757-Y756*V757/AB756</x:f>
        <x:v>220.71724605730722</x:v>
      </x:c>
      <x:c r="Z757" s="32" t="n">
        <x:f>Z756+W757-X757-T757-Z756*V757/AB756</x:f>
        <x:v>200.94178026209482</x:v>
      </x:c>
      <x:c r="AA757" s="32" t="n">
        <x:f>AA756+X757-U757-AA756*V757/AB756</x:f>
        <x:v>64.53961056753462</x:v>
      </x:c>
      <x:c r="AB757" s="10" t="n">
        <x:f>Y757+Z757+AA757</x:f>
        <x:v>486.1986368869367</x:v>
      </x:c>
      <x:c r="AC757" s="8" t="n">
        <x:f>IF(AND(v01_WinterTrigger=1,D757=1,AB756/AE756&gt;=K757),1,0)</x:f>
        <x:v>0</x:v>
      </x:c>
      <x:c r="AD757" s="8" t="n">
        <x:f>H757*IF(AND(OR(AB756/AE756&gt;=v01_FissionTrigger*N757,AC757=1),AB756/AE756*v01_DaughterShare&gt;=v01_MinDaughter),MAX(1,ROUND(AE756*v01_FissionRate,0)),0)</x:f>
        <x:v>0</x:v>
      </x:c>
      <x:c r="AE757" s="8" t="n">
        <x:f>IF(H757=1,MAX(1,MIN(INDEX(v01_Smax,G757),AE756+AD757)),AE756)</x:f>
        <x:v>7</x:v>
      </x:c>
      <x:c r="AF757" s="8" t="n">
        <x:f>MAX(0,AE757-AE756)</x:f>
        <x:v>0</x:v>
      </x:c>
      <x:c r="AG757" s="9" t="str">
        <x:f>IF(AF757&gt;0,B757,"")</x:f>
      </x:c>
      <x:c r="AH757" s="9" t="n">
        <x:f>IF(F757&gt;=1,1,(1+v01_LowTiesShare*(AE757-1))/AE757)</x:f>
        <x:v>1</x:v>
      </x:c>
      <x:c r="AI757" s="32" t="n">
        <x:f>(Z757+v01_ElderCommons*INDEX(LM_Elder,G757)*AA757)*AH757</x:f>
        <x:v>394.5606119646987</x:v>
      </x:c>
      <x:c r="AJ757" s="32" t="n">
        <x:f>H757*v01_CommonsCoef*AI757^v01_CommonsExp*INDEX(LM_Commons,G757)</x:f>
        <x:v>106.2283913266292</x:v>
      </x:c>
      <x:c r="AK757" s="32" t="n">
        <x:f>H757*v01_RoleScale*Arch_Roles*(AE757*(INDEX(v01_ElderRolePerSett,G757)*v01_OutElder*INDEX(LM_Elder,G757)+INDEX(v01_ShamanPerSett,G757)*v01_OutShaman)+Z757*(INDEX(v01_PriestShare,G757)*v01_OutPriest+INDEX(v01_ScribeShare,G757)*v01_OutScribe*INDEX(LM_Scribe,G757)+INDEX(v01_ScholarShare,G757)*v01_OutScholar*INDEX(LM_Scholar,G757)+INDEX(v01_ResearcherShare,G757)*v01_OutResearcher*INDEX(LM_Researcher,G757)))</x:f>
        <x:v>22.406592461834663</x:v>
      </x:c>
      <x:c r="AL757" s="32" t="n">
        <x:f>H757*v01_RoleScale*Arch_Roles*AE757*INDEX(v01_MonasteryPerSett,G757)*v01_OutMonastery*INDEX(LM_Monastery,G757)</x:f>
        <x:v>0</x:v>
      </x:c>
      <x:c r="AM757" s="32" t="n">
        <x:f>(AJ757+AK757+AL757)/4*INDEX(LM_All,G757)*INDEX(v01_Boon,G757)*Arch_Insight</x:f>
        <x:v>34.63145202220591</x:v>
      </x:c>
      <x:c r="AN757" s="32" t="n">
        <x:f>H757*(v01_KHPerAdult*Z757+v01_KHOfCommons*AJ757/4*INDEX(LM_All,G757))*v01_KHUsable*Arch_KH</x:f>
        <x:v>7.032962309173318</x:v>
      </x:c>
      <x:c r="AO757" s="32" t="n">
        <x:f>MIN(AP756+AN757,AM757*v01_KHMaxRatio)</x:f>
        <x:v>7.032962309173318</x:v>
      </x:c>
      <x:c r="AP757" s="32" t="n">
        <x:f>AP756+AN757-AO757</x:f>
        <x:v>0</x:v>
      </x:c>
      <x:c r="AQ757" s="32" t="n">
        <x:f>AM757+AO757</x:f>
        <x:v>41.664414331379234</x:v>
      </x:c>
      <x:c r="AR757" s="10" t="n">
        <x:f>IF(H757=1,INDEX(v01_Req,G757),0)</x:f>
        <x:v>9805.661999999998</x:v>
      </x:c>
      <x:c r="AS757" s="32" t="n">
        <x:f>IF(H757=1,IF(E757=1,AS756-AR756,AS756)+AQ757,0)</x:f>
        <x:v>1648.4779555533112</x:v>
      </x:c>
      <x:c r="AT757" s="11" t="n">
        <x:f>IF(AR757&gt;0,MIN(1,AS757/AR757),1)</x:f>
        <x:v>0.16811490703568116</x:v>
      </x:c>
      <x:c r="AU757" s="10" t="n">
        <x:f>AB757/INDEX(v01_RepScale,G757)</x:f>
        <x:v>97.23972737738734</x:v>
      </x:c>
      <x:c r="AV757" s="32" t="n">
        <x:f>AM757*60/v01_SeasonSeconds</x:f>
        <x:v>138.52580808882365</x:v>
      </x:c>
    </x:row>
    <x:row r="758">
      <x:c r="A758" s="8" t="n">
        <x:f>A757+1</x:f>
        <x:v>755</x:v>
      </x:c>
      <x:c r="B758" s="9" t="n">
        <x:f>A758*v01_SeasonSeconds/60</x:f>
        <x:v>188.75</x:v>
      </x:c>
      <x:c r="C758" s="9" t="n">
        <x:f>A758/4</x:f>
        <x:v>188.75</x:v>
      </x:c>
      <x:c r="D758" s="8" t="n">
        <x:f>IF(MOD(A758,4)=0,1,0)</x:f>
        <x:v>0</x:v>
      </x:c>
      <x:c r="E758" s="8" t="n">
        <x:f>IF(AND(F757&lt;=9,AS757&gt;=AR757),1,0)</x:f>
        <x:v>0</x:v>
      </x:c>
      <x:c r="F758" s="8" t="n">
        <x:f>MIN(10,F757+E758)</x:f>
        <x:v>3</x:v>
      </x:c>
      <x:c r="G758" s="8" t="n">
        <x:f>MIN(F758,9)+1</x:f>
        <x:v>4</x:v>
      </x:c>
      <x:c r="H758" s="8" t="n">
        <x:f>IF(F758&lt;=9,1,0)</x:f>
        <x:v>1</x:v>
      </x:c>
      <x:c r="I758" s="9" t="n">
        <x:f>MIN(10,F757+IF(AR757&gt;0,MIN(1,AS757/AR757),1))</x:f>
        <x:v>3.1681149070356813</x:v>
      </x:c>
      <x:c r="J758" s="32" t="n">
        <x:f>INDEX(v01_FoodCap,G758)*Arch_FoodCap*EXP(v01_CapsByProject*SUMPRODUCT((Cap_Point&lt;=I758)*(Cap_Kind="Food")*Cap_Ln))</x:f>
        <x:v>120</x:v>
      </x:c>
      <x:c r="K758" s="32" t="n">
        <x:f>J758*MIN(1,v01_LeanBase*EXP(v01_CapsByProject*SUMPRODUCT((Cap_Point&lt;=I758)*(Cap_Kind="Lean")*Cap_Ln)))</x:f>
        <x:v>120</x:v>
      </x:c>
      <x:c r="L758" s="10" t="n">
        <x:f>INDEX(v01_HousingCap,G758)*EXP(v01_CapsByProject*SUMPRODUCT((Cap_Point&lt;=I758)*(Cap_Kind="Housing")*Cap_Ln))</x:f>
        <x:v>200</x:v>
      </x:c>
      <x:c r="M758" s="10" t="n">
        <x:f>INDEX(v01_GroupCap,G758)*v01_CohesionFactor*EXP(v01_CapsByProject*SUMPRODUCT((Cap_Point&lt;=I758)*(Cap_Kind="Group")*Cap_Ln))</x:f>
        <x:v>5000</x:v>
      </x:c>
      <x:c r="N758" s="32" t="n">
        <x:f>MIN(J758,L758,M758)</x:f>
        <x:v>120</x:v>
      </x:c>
      <x:c r="O758" s="10" t="n">
        <x:f>AE757*N758</x:f>
        <x:v>840</x:v>
      </x:c>
      <x:c r="P758" s="9" t="n">
        <x:f>MIN(1,(AB757/(AE757*IF(v01_GroupInCrowding=1,N758,MIN(J758,L758))))^v01_CrowdingExp)</x:f>
        <x:v>0.03760163289805684</x:v>
      </x:c>
      <x:c r="Q758" s="9" t="n">
        <x:f>IF(D758=1,INDEX(v01_WinterMult,G758),1)</x:f>
        <x:v>1</x:v>
      </x:c>
      <x:c r="R758" s="9" t="n">
        <x:f>H758*Z757*v01_WomenShare*v01_BaseFertility*INDEX(v01_FertMult,G758)*Arch_Fertility*(1-P758)</x:f>
        <x:v>7.542055607065103</x:v>
      </x:c>
      <x:c r="S758" s="9" t="n">
        <x:f>H758*Y757*INDEX(v01_MortChild,G758)/4*Q758</x:f>
        <x:v>1.655379345429804</x:v>
      </x:c>
      <x:c r="T758" s="9" t="n">
        <x:f>H758*Z757*INDEX(v01_MortAdult,G758)*Arch_AdultMort/4*Q758</x:f>
        <x:v>0.5525898957207608</x:v>
      </x:c>
      <x:c r="U758" s="9" t="n">
        <x:f>H758*AA757*INDEX(v01_MortElder,G758)/4*Q758</x:f>
        <x:v>1.0487686717224376</x:v>
      </x:c>
      <x:c r="V758" s="9" t="n">
        <x:f>H758*MAX(0,AB757-O758)*v01_OvercapLoss</x:f>
        <x:v>0</x:v>
      </x:c>
      <x:c r="W758" s="9" t="n">
        <x:f>H758*Y757/(v01_ChildYears*4)</x:f>
        <x:v>3.941379393880486</x:v>
      </x:c>
      <x:c r="X758" s="9" t="n">
        <x:f>H758*Z757/(v01_AdultYears*4)</x:f>
        <x:v>1.6204982279201194</x:v>
      </x:c>
      <x:c r="Y758" s="32" t="n">
        <x:f>Y757+R758-S758-W758-Y757*V758/AB757</x:f>
        <x:v>222.66254292506204</x:v>
      </x:c>
      <x:c r="Z758" s="32" t="n">
        <x:f>Z757+W758-X758-T758-Z757*V758/AB757</x:f>
        <x:v>202.71007153233444</x:v>
      </x:c>
      <x:c r="AA758" s="32" t="n">
        <x:f>AA757+X758-U758-AA757*V758/AB757</x:f>
        <x:v>65.1113401237323</x:v>
      </x:c>
      <x:c r="AB758" s="10" t="n">
        <x:f>Y758+Z758+AA758</x:f>
        <x:v>490.4839545811288</x:v>
      </x:c>
      <x:c r="AC758" s="8" t="n">
        <x:f>IF(AND(v01_WinterTrigger=1,D758=1,AB757/AE757&gt;=K758),1,0)</x:f>
        <x:v>0</x:v>
      </x:c>
      <x:c r="AD758" s="8" t="n">
        <x:f>H758*IF(AND(OR(AB757/AE757&gt;=v01_FissionTrigger*N758,AC758=1),AB757/AE757*v01_DaughterShare&gt;=v01_MinDaughter),MAX(1,ROUND(AE757*v01_FissionRate,0)),0)</x:f>
        <x:v>0</x:v>
      </x:c>
      <x:c r="AE758" s="8" t="n">
        <x:f>IF(H758=1,MAX(1,MIN(INDEX(v01_Smax,G758),AE757+AD758)),AE757)</x:f>
        <x:v>7</x:v>
      </x:c>
      <x:c r="AF758" s="8" t="n">
        <x:f>MAX(0,AE758-AE757)</x:f>
        <x:v>0</x:v>
      </x:c>
      <x:c r="AG758" s="9" t="str">
        <x:f>IF(AF758&gt;0,B758,"")</x:f>
      </x:c>
      <x:c r="AH758" s="9" t="n">
        <x:f>IF(F758&gt;=1,1,(1+v01_LowTiesShare*(AE758-1))/AE758)</x:f>
        <x:v>1</x:v>
      </x:c>
      <x:c r="AI758" s="32" t="n">
        <x:f>(Z758+v01_ElderCommons*INDEX(LM_Elder,G758)*AA758)*AH758</x:f>
        <x:v>398.04409190353135</x:v>
      </x:c>
      <x:c r="AJ758" s="32" t="n">
        <x:f>H758*v01_CommonsCoef*AI758^v01_CommonsExp*INDEX(LM_Commons,G758)</x:f>
        <x:v>107.02505023851847</x:v>
      </x:c>
      <x:c r="AK758" s="32" t="n">
        <x:f>H758*v01_RoleScale*Arch_Roles*(AE758*(INDEX(v01_ElderRolePerSett,G758)*v01_OutElder*INDEX(LM_Elder,G758)+INDEX(v01_ShamanPerSett,G758)*v01_OutShaman)+Z758*(INDEX(v01_PriestShare,G758)*v01_OutPriest+INDEX(v01_ScribeShare,G758)*v01_OutScribe*INDEX(LM_Scribe,G758)+INDEX(v01_ScholarShare,G758)*v01_OutScholar*INDEX(LM_Scholar,G758)+INDEX(v01_ResearcherShare,G758)*v01_OutResearcher*INDEX(LM_Researcher,G758)))</x:f>
        <x:v>22.418970500726342</x:v>
      </x:c>
      <x:c r="AL758" s="32" t="n">
        <x:f>H758*v01_RoleScale*Arch_Roles*AE758*INDEX(v01_MonasteryPerSett,G758)*v01_OutMonastery*INDEX(LM_Monastery,G758)</x:f>
        <x:v>0</x:v>
      </x:c>
      <x:c r="AM758" s="32" t="n">
        <x:f>(AJ758+AK758+AL758)/4*INDEX(LM_All,G758)*INDEX(v01_Boon,G758)*Arch_Insight</x:f>
        <x:v>34.849263099099566</x:v>
      </x:c>
      <x:c r="AN758" s="32" t="n">
        <x:f>H758*(v01_KHPerAdult*Z758+v01_KHOfCommons*AJ758/4*INDEX(LM_All,G758))*v01_KHUsable*Arch_KH</x:f>
        <x:v>7.094852503631705</x:v>
      </x:c>
      <x:c r="AO758" s="32" t="n">
        <x:f>MIN(AP757+AN758,AM758*v01_KHMaxRatio)</x:f>
        <x:v>7.094852503631705</x:v>
      </x:c>
      <x:c r="AP758" s="32" t="n">
        <x:f>AP757+AN758-AO758</x:f>
        <x:v>0</x:v>
      </x:c>
      <x:c r="AQ758" s="32" t="n">
        <x:f>AM758+AO758</x:f>
        <x:v>41.94411560273127</x:v>
      </x:c>
      <x:c r="AR758" s="10" t="n">
        <x:f>IF(H758=1,INDEX(v01_Req,G758),0)</x:f>
        <x:v>9805.661999999998</x:v>
      </x:c>
      <x:c r="AS758" s="32" t="n">
        <x:f>IF(H758=1,IF(E758=1,AS757-AR757,AS757)+AQ758,0)</x:f>
        <x:v>1690.4220711560424</x:v>
      </x:c>
      <x:c r="AT758" s="11" t="n">
        <x:f>IF(AR758&gt;0,MIN(1,AS758/AR758),1)</x:f>
        <x:v>0.17239244746107327</x:v>
      </x:c>
      <x:c r="AU758" s="10" t="n">
        <x:f>AB758/INDEX(v01_RepScale,G758)</x:f>
        <x:v>98.09679091622576</x:v>
      </x:c>
      <x:c r="AV758" s="32" t="n">
        <x:f>AM758*60/v01_SeasonSeconds</x:f>
        <x:v>139.39705239639827</x:v>
      </x:c>
    </x:row>
    <x:row r="759">
      <x:c r="A759" s="8" t="n">
        <x:f>A758+1</x:f>
        <x:v>756</x:v>
      </x:c>
      <x:c r="B759" s="9" t="n">
        <x:f>A759*v01_SeasonSeconds/60</x:f>
        <x:v>189</x:v>
      </x:c>
      <x:c r="C759" s="9" t="n">
        <x:f>A759/4</x:f>
        <x:v>189</x:v>
      </x:c>
      <x:c r="D759" s="8" t="n">
        <x:f>IF(MOD(A759,4)=0,1,0)</x:f>
        <x:v>1</x:v>
      </x:c>
      <x:c r="E759" s="8" t="n">
        <x:f>IF(AND(F758&lt;=9,AS758&gt;=AR758),1,0)</x:f>
        <x:v>0</x:v>
      </x:c>
      <x:c r="F759" s="8" t="n">
        <x:f>MIN(10,F758+E759)</x:f>
        <x:v>3</x:v>
      </x:c>
      <x:c r="G759" s="8" t="n">
        <x:f>MIN(F759,9)+1</x:f>
        <x:v>4</x:v>
      </x:c>
      <x:c r="H759" s="8" t="n">
        <x:f>IF(F759&lt;=9,1,0)</x:f>
        <x:v>1</x:v>
      </x:c>
      <x:c r="I759" s="9" t="n">
        <x:f>MIN(10,F758+IF(AR758&gt;0,MIN(1,AS758/AR758),1))</x:f>
        <x:v>3.1723924474610734</x:v>
      </x:c>
      <x:c r="J759" s="32" t="n">
        <x:f>INDEX(v01_FoodCap,G759)*Arch_FoodCap*EXP(v01_CapsByProject*SUMPRODUCT((Cap_Point&lt;=I759)*(Cap_Kind="Food")*Cap_Ln))</x:f>
        <x:v>120</x:v>
      </x:c>
      <x:c r="K759" s="32" t="n">
        <x:f>J759*MIN(1,v01_LeanBase*EXP(v01_CapsByProject*SUMPRODUCT((Cap_Point&lt;=I759)*(Cap_Kind="Lean")*Cap_Ln)))</x:f>
        <x:v>120</x:v>
      </x:c>
      <x:c r="L759" s="10" t="n">
        <x:f>INDEX(v01_HousingCap,G759)*EXP(v01_CapsByProject*SUMPRODUCT((Cap_Point&lt;=I759)*(Cap_Kind="Housing")*Cap_Ln))</x:f>
        <x:v>200</x:v>
      </x:c>
      <x:c r="M759" s="10" t="n">
        <x:f>INDEX(v01_GroupCap,G759)*v01_CohesionFactor*EXP(v01_CapsByProject*SUMPRODUCT((Cap_Point&lt;=I759)*(Cap_Kind="Group")*Cap_Ln))</x:f>
        <x:v>5000</x:v>
      </x:c>
      <x:c r="N759" s="32" t="n">
        <x:f>MIN(J759,L759,M759)</x:f>
        <x:v>120</x:v>
      </x:c>
      <x:c r="O759" s="10" t="n">
        <x:f>AE758*N759</x:f>
        <x:v>840</x:v>
      </x:c>
      <x:c r="P759" s="9" t="n">
        <x:f>MIN(1,(AB758/(AE758*IF(v01_GroupInCrowding=1,N759,MIN(J759,L759))))^v01_CrowdingExp)</x:f>
        <x:v>0.03963447516687389</x:v>
      </x:c>
      <x:c r="Q759" s="9" t="n">
        <x:f>IF(D759=1,INDEX(v01_WinterMult,G759),1)</x:f>
        <x:v>1.15</x:v>
      </x:c>
      <x:c r="R759" s="9" t="n">
        <x:f>H759*Z758*v01_WomenShare*v01_BaseFertility*INDEX(v01_FertMult,G759)*Arch_Fertility*(1-P759)</x:f>
        <x:v>7.592354805208325</x:v>
      </x:c>
      <x:c r="S759" s="9" t="n">
        <x:f>H759*Y758*INDEX(v01_MortChild,G759)/4*Q759</x:f>
        <x:v>1.9204644327286597</x:v>
      </x:c>
      <x:c r="T759" s="9" t="n">
        <x:f>H759*Z758*INDEX(v01_MortAdult,G759)*Arch_AdultMort/4*Q759</x:f>
        <x:v>0.6410706012210077</x:v>
      </x:c>
      <x:c r="U759" s="9" t="n">
        <x:f>H759*AA758*INDEX(v01_MortElder,G759)/4*Q759</x:f>
        <x:v>1.2167681685622476</x:v>
      </x:c>
      <x:c r="V759" s="9" t="n">
        <x:f>H759*MAX(0,AB758-O759)*v01_OvercapLoss</x:f>
        <x:v>0</x:v>
      </x:c>
      <x:c r="W759" s="9" t="n">
        <x:f>H759*Y758/(v01_ChildYears*4)</x:f>
        <x:v>3.9761168379475365</x:v>
      </x:c>
      <x:c r="X759" s="9" t="n">
        <x:f>H759*Z758/(v01_AdultYears*4)</x:f>
        <x:v>1.6347586413897939</x:v>
      </x:c>
      <x:c r="Y759" s="32" t="n">
        <x:f>Y758+R759-S759-W759-Y758*V759/AB758</x:f>
        <x:v>224.35831645959416</x:v>
      </x:c>
      <x:c r="Z759" s="32" t="n">
        <x:f>Z758+W759-X759-T759-Z758*V759/AB758</x:f>
        <x:v>204.41035912767117</x:v>
      </x:c>
      <x:c r="AA759" s="32" t="n">
        <x:f>AA758+X759-U759-AA758*V759/AB758</x:f>
        <x:v>65.52933059655984</x:v>
      </x:c>
      <x:c r="AB759" s="10" t="n">
        <x:f>Y759+Z759+AA759</x:f>
        <x:v>494.2980061838251</x:v>
      </x:c>
      <x:c r="AC759" s="8" t="n">
        <x:f>IF(AND(v01_WinterTrigger=1,D759=1,AB758/AE758&gt;=K759),1,0)</x:f>
        <x:v>0</x:v>
      </x:c>
      <x:c r="AD759" s="8" t="n">
        <x:f>H759*IF(AND(OR(AB758/AE758&gt;=v01_FissionTrigger*N759,AC759=1),AB758/AE758*v01_DaughterShare&gt;=v01_MinDaughter),MAX(1,ROUND(AE758*v01_FissionRate,0)),0)</x:f>
        <x:v>0</x:v>
      </x:c>
      <x:c r="AE759" s="8" t="n">
        <x:f>IF(H759=1,MAX(1,MIN(INDEX(v01_Smax,G759),AE758+AD759)),AE758)</x:f>
        <x:v>7</x:v>
      </x:c>
      <x:c r="AF759" s="8" t="n">
        <x:f>MAX(0,AE759-AE758)</x:f>
        <x:v>0</x:v>
      </x:c>
      <x:c r="AG759" s="9" t="str">
        <x:f>IF(AF759&gt;0,B759,"")</x:f>
      </x:c>
      <x:c r="AH759" s="9" t="n">
        <x:f>IF(F759&gt;=1,1,(1+v01_LowTiesShare*(AE759-1))/AE759)</x:f>
        <x:v>1</x:v>
      </x:c>
      <x:c r="AI759" s="32" t="n">
        <x:f>(Z759+v01_ElderCommons*INDEX(LM_Elder,G759)*AA759)*AH759</x:f>
        <x:v>400.9983509173507</x:v>
      </x:c>
      <x:c r="AJ759" s="32" t="n">
        <x:f>H759*v01_CommonsCoef*AI759^v01_CommonsExp*INDEX(LM_Commons,G759)</x:f>
        <x:v>107.69985886114466</x:v>
      </x:c>
      <x:c r="AK759" s="32" t="n">
        <x:f>H759*v01_RoleScale*Arch_Roles*(AE759*(INDEX(v01_ElderRolePerSett,G759)*v01_OutElder*INDEX(LM_Elder,G759)+INDEX(v01_ShamanPerSett,G759)*v01_OutShaman)+Z759*(INDEX(v01_PriestShare,G759)*v01_OutPriest+INDEX(v01_ScribeShare,G759)*v01_OutScribe*INDEX(LM_Scribe,G759)+INDEX(v01_ScholarShare,G759)*v01_OutScholar*INDEX(LM_Scholar,G759)+INDEX(v01_ResearcherShare,G759)*v01_OutResearcher*INDEX(LM_Researcher,G759)))</x:f>
        <x:v>22.430872513893696</x:v>
      </x:c>
      <x:c r="AL759" s="32" t="n">
        <x:f>H759*v01_RoleScale*Arch_Roles*AE759*INDEX(v01_MonasteryPerSett,G759)*v01_OutMonastery*INDEX(LM_Monastery,G759)</x:f>
        <x:v>0</x:v>
      </x:c>
      <x:c r="AM759" s="32" t="n">
        <x:f>(AJ759+AK759+AL759)/4*INDEX(LM_All,G759)*INDEX(v01_Boon,G759)*Arch_Insight</x:f>
        <x:v>35.03414116054303</x:v>
      </x:c>
      <x:c r="AN759" s="32" t="n">
        <x:f>H759*(v01_KHPerAdult*Z759+v01_KHOfCommons*AJ759/4*INDEX(LM_All,G759))*v01_KHUsable*Arch_KH</x:f>
        <x:v>7.154362569468492</x:v>
      </x:c>
      <x:c r="AO759" s="32" t="n">
        <x:f>MIN(AP758+AN759,AM759*v01_KHMaxRatio)</x:f>
        <x:v>7.154362569468492</x:v>
      </x:c>
      <x:c r="AP759" s="32" t="n">
        <x:f>AP758+AN759-AO759</x:f>
        <x:v>0</x:v>
      </x:c>
      <x:c r="AQ759" s="32" t="n">
        <x:f>AM759+AO759</x:f>
        <x:v>42.18850373001152</x:v>
      </x:c>
      <x:c r="AR759" s="10" t="n">
        <x:f>IF(H759=1,INDEX(v01_Req,G759),0)</x:f>
        <x:v>9805.661999999998</x:v>
      </x:c>
      <x:c r="AS759" s="32" t="n">
        <x:f>IF(H759=1,IF(E759=1,AS758-AR758,AS758)+AQ759,0)</x:f>
        <x:v>1732.6105748860539</x:v>
      </x:c>
      <x:c r="AT759" s="11" t="n">
        <x:f>IF(AR759&gt;0,MIN(1,AS759/AR759),1)</x:f>
        <x:v>0.1766949110509881</x:v>
      </x:c>
      <x:c r="AU759" s="10" t="n">
        <x:f>AB759/INDEX(v01_RepScale,G759)</x:f>
        <x:v>98.85960123676503</x:v>
      </x:c>
      <x:c r="AV759" s="32" t="n">
        <x:f>AM759*60/v01_SeasonSeconds</x:f>
        <x:v>140.13656464217212</x:v>
      </x:c>
    </x:row>
    <x:row r="760">
      <x:c r="A760" s="8" t="n">
        <x:f>A759+1</x:f>
        <x:v>757</x:v>
      </x:c>
      <x:c r="B760" s="9" t="n">
        <x:f>A760*v01_SeasonSeconds/60</x:f>
        <x:v>189.25</x:v>
      </x:c>
      <x:c r="C760" s="9" t="n">
        <x:f>A760/4</x:f>
        <x:v>189.25</x:v>
      </x:c>
      <x:c r="D760" s="8" t="n">
        <x:f>IF(MOD(A760,4)=0,1,0)</x:f>
        <x:v>0</x:v>
      </x:c>
      <x:c r="E760" s="8" t="n">
        <x:f>IF(AND(F759&lt;=9,AS759&gt;=AR759),1,0)</x:f>
        <x:v>0</x:v>
      </x:c>
      <x:c r="F760" s="8" t="n">
        <x:f>MIN(10,F759+E760)</x:f>
        <x:v>3</x:v>
      </x:c>
      <x:c r="G760" s="8" t="n">
        <x:f>MIN(F760,9)+1</x:f>
        <x:v>4</x:v>
      </x:c>
      <x:c r="H760" s="8" t="n">
        <x:f>IF(F760&lt;=9,1,0)</x:f>
        <x:v>1</x:v>
      </x:c>
      <x:c r="I760" s="9" t="n">
        <x:f>MIN(10,F759+IF(AR759&gt;0,MIN(1,AS759/AR759),1))</x:f>
        <x:v>3.176694911050988</x:v>
      </x:c>
      <x:c r="J760" s="32" t="n">
        <x:f>INDEX(v01_FoodCap,G760)*Arch_FoodCap*EXP(v01_CapsByProject*SUMPRODUCT((Cap_Point&lt;=I760)*(Cap_Kind="Food")*Cap_Ln))</x:f>
        <x:v>120</x:v>
      </x:c>
      <x:c r="K760" s="32" t="n">
        <x:f>J760*MIN(1,v01_LeanBase*EXP(v01_CapsByProject*SUMPRODUCT((Cap_Point&lt;=I760)*(Cap_Kind="Lean")*Cap_Ln)))</x:f>
        <x:v>120</x:v>
      </x:c>
      <x:c r="L760" s="10" t="n">
        <x:f>INDEX(v01_HousingCap,G760)*EXP(v01_CapsByProject*SUMPRODUCT((Cap_Point&lt;=I760)*(Cap_Kind="Housing")*Cap_Ln))</x:f>
        <x:v>200</x:v>
      </x:c>
      <x:c r="M760" s="10" t="n">
        <x:f>INDEX(v01_GroupCap,G760)*v01_CohesionFactor*EXP(v01_CapsByProject*SUMPRODUCT((Cap_Point&lt;=I760)*(Cap_Kind="Group")*Cap_Ln))</x:f>
        <x:v>5000</x:v>
      </x:c>
      <x:c r="N760" s="32" t="n">
        <x:f>MIN(J760,L760,M760)</x:f>
        <x:v>120</x:v>
      </x:c>
      <x:c r="O760" s="10" t="n">
        <x:f>AE759*N760</x:f>
        <x:v>840</x:v>
      </x:c>
      <x:c r="P760" s="9" t="n">
        <x:f>MIN(1,(AB759/(AE759*IF(v01_GroupInCrowding=1,N760,MIN(J760,L760))))^v01_CrowdingExp)</x:f>
        <x:v>0.04152000868746371</x:v>
      </x:c>
      <x:c r="Q760" s="9" t="n">
        <x:f>IF(D760=1,INDEX(v01_WinterMult,G760),1)</x:f>
        <x:v>1</x:v>
      </x:c>
      <x:c r="R760" s="9" t="n">
        <x:f>H760*Z759*v01_WomenShare*v01_BaseFertility*INDEX(v01_FertMult,G760)*Arch_Fertility*(1-P760)</x:f>
        <x:v>7.641006330394425</x:v>
      </x:c>
      <x:c r="S760" s="9" t="n">
        <x:f>H760*Y759*INDEX(v01_MortChild,G760)/4*Q760</x:f>
        <x:v>1.682687373446956</x:v>
      </x:c>
      <x:c r="T760" s="9" t="n">
        <x:f>H760*Z759*INDEX(v01_MortAdult,G760)*Arch_AdultMort/4*Q760</x:f>
        <x:v>0.5621284876010957</x:v>
      </x:c>
      <x:c r="U760" s="9" t="n">
        <x:f>H760*AA759*INDEX(v01_MortElder,G760)/4*Q760</x:f>
        <x:v>1.0648516221940976</x:v>
      </x:c>
      <x:c r="V760" s="9" t="n">
        <x:f>H760*MAX(0,AB759-O760)*v01_OvercapLoss</x:f>
        <x:v>0</x:v>
      </x:c>
      <x:c r="W760" s="9" t="n">
        <x:f>H760*Y759/(v01_ChildYears*4)</x:f>
        <x:v>4.006398508207039</x:v>
      </x:c>
      <x:c r="X760" s="9" t="n">
        <x:f>H760*Z759/(v01_AdultYears*4)</x:f>
        <x:v>1.6484706381263805</x:v>
      </x:c>
      <x:c r="Y760" s="32" t="n">
        <x:f>Y759+R760-S760-W760-Y759*V760/AB759</x:f>
        <x:v>226.3102369083346</x:v>
      </x:c>
      <x:c r="Z760" s="32" t="n">
        <x:f>Z759+W760-X760-T760-Z759*V760/AB759</x:f>
        <x:v>206.20615851015074</x:v>
      </x:c>
      <x:c r="AA760" s="32" t="n">
        <x:f>AA759+X760-U760-AA759*V760/AB759</x:f>
        <x:v>66.11294961249213</x:v>
      </x:c>
      <x:c r="AB760" s="10" t="n">
        <x:f>Y760+Z760+AA760</x:f>
        <x:v>498.62934503097745</x:v>
      </x:c>
      <x:c r="AC760" s="8" t="n">
        <x:f>IF(AND(v01_WinterTrigger=1,D760=1,AB759/AE759&gt;=K760),1,0)</x:f>
        <x:v>0</x:v>
      </x:c>
      <x:c r="AD760" s="8" t="n">
        <x:f>H760*IF(AND(OR(AB759/AE759&gt;=v01_FissionTrigger*N760,AC760=1),AB759/AE759*v01_DaughterShare&gt;=v01_MinDaughter),MAX(1,ROUND(AE759*v01_FissionRate,0)),0)</x:f>
        <x:v>0</x:v>
      </x:c>
      <x:c r="AE760" s="8" t="n">
        <x:f>IF(H760=1,MAX(1,MIN(INDEX(v01_Smax,G760),AE759+AD760)),AE759)</x:f>
        <x:v>7</x:v>
      </x:c>
      <x:c r="AF760" s="8" t="n">
        <x:f>MAX(0,AE760-AE759)</x:f>
        <x:v>0</x:v>
      </x:c>
      <x:c r="AG760" s="9" t="str">
        <x:f>IF(AF760&gt;0,B760,"")</x:f>
      </x:c>
      <x:c r="AH760" s="9" t="n">
        <x:f>IF(F760&gt;=1,1,(1+v01_LowTiesShare*(AE760-1))/AE760)</x:f>
        <x:v>1</x:v>
      </x:c>
      <x:c r="AI760" s="32" t="n">
        <x:f>(Z760+v01_ElderCommons*INDEX(LM_Elder,G760)*AA760)*AH760</x:f>
        <x:v>404.5450073476271</x:v>
      </x:c>
      <x:c r="AJ760" s="32" t="n">
        <x:f>H760*v01_CommonsCoef*AI760^v01_CommonsExp*INDEX(LM_Commons,G760)</x:f>
        <x:v>108.5089983266143</x:v>
      </x:c>
      <x:c r="AK760" s="32" t="n">
        <x:f>H760*v01_RoleScale*Arch_Roles*(AE760*(INDEX(v01_ElderRolePerSett,G760)*v01_OutElder*INDEX(LM_Elder,G760)+INDEX(v01_ShamanPerSett,G760)*v01_OutShaman)+Z760*(INDEX(v01_PriestShare,G760)*v01_OutPriest+INDEX(v01_ScribeShare,G760)*v01_OutScribe*INDEX(LM_Scribe,G760)+INDEX(v01_ScholarShare,G760)*v01_OutScholar*INDEX(LM_Scholar,G760)+INDEX(v01_ResearcherShare,G760)*v01_OutResearcher*INDEX(LM_Researcher,G760)))</x:f>
        <x:v>22.443443109571056</x:v>
      </x:c>
      <x:c r="AL760" s="32" t="n">
        <x:f>H760*v01_RoleScale*Arch_Roles*AE760*INDEX(v01_MonasteryPerSett,G760)*v01_OutMonastery*INDEX(LM_Monastery,G760)</x:f>
        <x:v>0</x:v>
      </x:c>
      <x:c r="AM760" s="32" t="n">
        <x:f>(AJ760+AK760+AL760)/4*INDEX(LM_All,G760)*INDEX(v01_Boon,G760)*Arch_Insight</x:f>
        <x:v>35.255364125872376</x:v>
      </x:c>
      <x:c r="AN760" s="32" t="n">
        <x:f>H760*(v01_KHPerAdult*Z760+v01_KHOfCommons*AJ760/4*INDEX(LM_All,G760))*v01_KHUsable*Arch_KH</x:f>
        <x:v>7.217215547855275</x:v>
      </x:c>
      <x:c r="AO760" s="32" t="n">
        <x:f>MIN(AP759+AN760,AM760*v01_KHMaxRatio)</x:f>
        <x:v>7.217215547855275</x:v>
      </x:c>
      <x:c r="AP760" s="32" t="n">
        <x:f>AP759+AN760-AO760</x:f>
        <x:v>0</x:v>
      </x:c>
      <x:c r="AQ760" s="32" t="n">
        <x:f>AM760+AO760</x:f>
        <x:v>42.47257967372765</x:v>
      </x:c>
      <x:c r="AR760" s="10" t="n">
        <x:f>IF(H760=1,INDEX(v01_Req,G760),0)</x:f>
        <x:v>9805.661999999998</x:v>
      </x:c>
      <x:c r="AS760" s="32" t="n">
        <x:f>IF(H760=1,IF(E760=1,AS759-AR759,AS759)+AQ760,0)</x:f>
        <x:v>1775.0831545597816</x:v>
      </x:c>
      <x:c r="AT760" s="11" t="n">
        <x:f>IF(AR760&gt;0,MIN(1,AS760/AR760),1)</x:f>
        <x:v>0.18102634524418462</x:v>
      </x:c>
      <x:c r="AU760" s="10" t="n">
        <x:f>AB760/INDEX(v01_RepScale,G760)</x:f>
        <x:v>99.7258690061955</x:v>
      </x:c>
      <x:c r="AV760" s="32" t="n">
        <x:f>AM760*60/v01_SeasonSeconds</x:f>
        <x:v>141.0214565034895</x:v>
      </x:c>
    </x:row>
    <x:row r="761">
      <x:c r="A761" s="8" t="n">
        <x:f>A760+1</x:f>
        <x:v>758</x:v>
      </x:c>
      <x:c r="B761" s="9" t="n">
        <x:f>A761*v01_SeasonSeconds/60</x:f>
        <x:v>189.5</x:v>
      </x:c>
      <x:c r="C761" s="9" t="n">
        <x:f>A761/4</x:f>
        <x:v>189.5</x:v>
      </x:c>
      <x:c r="D761" s="8" t="n">
        <x:f>IF(MOD(A761,4)=0,1,0)</x:f>
        <x:v>0</x:v>
      </x:c>
      <x:c r="E761" s="8" t="n">
        <x:f>IF(AND(F760&lt;=9,AS760&gt;=AR760),1,0)</x:f>
        <x:v>0</x:v>
      </x:c>
      <x:c r="F761" s="8" t="n">
        <x:f>MIN(10,F760+E761)</x:f>
        <x:v>3</x:v>
      </x:c>
      <x:c r="G761" s="8" t="n">
        <x:f>MIN(F761,9)+1</x:f>
        <x:v>4</x:v>
      </x:c>
      <x:c r="H761" s="8" t="n">
        <x:f>IF(F761&lt;=9,1,0)</x:f>
        <x:v>1</x:v>
      </x:c>
      <x:c r="I761" s="9" t="n">
        <x:f>MIN(10,F760+IF(AR760&gt;0,MIN(1,AS760/AR760),1))</x:f>
        <x:v>3.1810263452441845</x:v>
      </x:c>
      <x:c r="J761" s="32" t="n">
        <x:f>INDEX(v01_FoodCap,G761)*Arch_FoodCap*EXP(v01_CapsByProject*SUMPRODUCT((Cap_Point&lt;=I761)*(Cap_Kind="Food")*Cap_Ln))</x:f>
        <x:v>120</x:v>
      </x:c>
      <x:c r="K761" s="32" t="n">
        <x:f>J761*MIN(1,v01_LeanBase*EXP(v01_CapsByProject*SUMPRODUCT((Cap_Point&lt;=I761)*(Cap_Kind="Lean")*Cap_Ln)))</x:f>
        <x:v>120</x:v>
      </x:c>
      <x:c r="L761" s="10" t="n">
        <x:f>INDEX(v01_HousingCap,G761)*EXP(v01_CapsByProject*SUMPRODUCT((Cap_Point&lt;=I761)*(Cap_Kind="Housing")*Cap_Ln))</x:f>
        <x:v>200</x:v>
      </x:c>
      <x:c r="M761" s="10" t="n">
        <x:f>INDEX(v01_GroupCap,G761)*v01_CohesionFactor*EXP(v01_CapsByProject*SUMPRODUCT((Cap_Point&lt;=I761)*(Cap_Kind="Group")*Cap_Ln))</x:f>
        <x:v>5000</x:v>
      </x:c>
      <x:c r="N761" s="32" t="n">
        <x:f>MIN(J761,L761,M761)</x:f>
        <x:v>120</x:v>
      </x:c>
      <x:c r="O761" s="10" t="n">
        <x:f>AE760*N761</x:f>
        <x:v>840</x:v>
      </x:c>
      <x:c r="P761" s="9" t="n">
        <x:f>MIN(1,(AB760/(AE760*IF(v01_GroupInCrowding=1,N761,MIN(J761,L761))))^v01_CrowdingExp)</x:f>
        <x:v>0.04375133266424615</x:v>
      </x:c>
      <x:c r="Q761" s="9" t="n">
        <x:f>IF(D761=1,INDEX(v01_WinterMult,G761),1)</x:f>
        <x:v>1</x:v>
      </x:c>
      <x:c r="R761" s="9" t="n">
        <x:f>H761*Z760*v01_WomenShare*v01_BaseFertility*INDEX(v01_FertMult,G761)*Arch_Fertility*(1-P761)</x:f>
        <x:v>7.690190206598517</x:v>
      </x:c>
      <x:c r="S761" s="9" t="n">
        <x:f>H761*Y760*INDEX(v01_MortChild,G761)/4*Q761</x:f>
        <x:v>1.6973267768125093</x:v>
      </x:c>
      <x:c r="T761" s="9" t="n">
        <x:f>H761*Z760*INDEX(v01_MortAdult,G761)*Arch_AdultMort/4*Q761</x:f>
        <x:v>0.5670669359029145</x:v>
      </x:c>
      <x:c r="U761" s="9" t="n">
        <x:f>H761*AA760*INDEX(v01_MortElder,G761)/4*Q761</x:f>
        <x:v>1.0743354312029971</x:v>
      </x:c>
      <x:c r="V761" s="9" t="n">
        <x:f>H761*MAX(0,AB760-O761)*v01_OvercapLoss</x:f>
        <x:v>0</x:v>
      </x:c>
      <x:c r="W761" s="9" t="n">
        <x:f>H761*Y760/(v01_ChildYears*4)</x:f>
        <x:v>4.041254230505975</x:v>
      </x:c>
      <x:c r="X761" s="9" t="n">
        <x:f>H761*Z760/(v01_AdultYears*4)</x:f>
        <x:v>1.662952891210893</x:v>
      </x:c>
      <x:c r="Y761" s="32" t="n">
        <x:f>Y760+R761-S761-W761-Y760*V761/AB760</x:f>
        <x:v>228.26184610761462</x:v>
      </x:c>
      <x:c r="Z761" s="32" t="n">
        <x:f>Z760+W761-X761-T761-Z760*V761/AB760</x:f>
        <x:v>208.01739291354292</x:v>
      </x:c>
      <x:c r="AA761" s="32" t="n">
        <x:f>AA760+X761-U761-AA760*V761/AB760</x:f>
        <x:v>66.70156707250003</x:v>
      </x:c>
      <x:c r="AB761" s="10" t="n">
        <x:f>Y761+Z761+AA761</x:f>
        <x:v>502.9808060936576</x:v>
      </x:c>
      <x:c r="AC761" s="8" t="n">
        <x:f>IF(AND(v01_WinterTrigger=1,D761=1,AB760/AE760&gt;=K761),1,0)</x:f>
        <x:v>0</x:v>
      </x:c>
      <x:c r="AD761" s="8" t="n">
        <x:f>H761*IF(AND(OR(AB760/AE760&gt;=v01_FissionTrigger*N761,AC761=1),AB760/AE760*v01_DaughterShare&gt;=v01_MinDaughter),MAX(1,ROUND(AE760*v01_FissionRate,0)),0)</x:f>
        <x:v>0</x:v>
      </x:c>
      <x:c r="AE761" s="8" t="n">
        <x:f>IF(H761=1,MAX(1,MIN(INDEX(v01_Smax,G761),AE760+AD761)),AE760)</x:f>
        <x:v>7</x:v>
      </x:c>
      <x:c r="AF761" s="8" t="n">
        <x:f>MAX(0,AE761-AE760)</x:f>
        <x:v>0</x:v>
      </x:c>
      <x:c r="AG761" s="9" t="str">
        <x:f>IF(AF761&gt;0,B761,"")</x:f>
      </x:c>
      <x:c r="AH761" s="9" t="n">
        <x:f>IF(F761&gt;=1,1,(1+v01_LowTiesShare*(AE761-1))/AE761)</x:f>
        <x:v>1</x:v>
      </x:c>
      <x:c r="AI761" s="32" t="n">
        <x:f>(Z761+v01_ElderCommons*INDEX(LM_Elder,G761)*AA761)*AH761</x:f>
        <x:v>408.122094131043</x:v>
      </x:c>
      <x:c r="AJ761" s="32" t="n">
        <x:f>H761*v01_CommonsCoef*AI761^v01_CommonsExp*INDEX(LM_Commons,G761)</x:f>
        <x:v>109.32400314687983</x:v>
      </x:c>
      <x:c r="AK761" s="32" t="n">
        <x:f>H761*v01_RoleScale*Arch_Roles*(AE761*(INDEX(v01_ElderRolePerSett,G761)*v01_OutElder*INDEX(LM_Elder,G761)+INDEX(v01_ShamanPerSett,G761)*v01_OutShaman)+Z761*(INDEX(v01_PriestShare,G761)*v01_OutPriest+INDEX(v01_ScribeShare,G761)*v01_OutScribe*INDEX(LM_Scribe,G761)+INDEX(v01_ScholarShare,G761)*v01_OutScholar*INDEX(LM_Scholar,G761)+INDEX(v01_ResearcherShare,G761)*v01_OutResearcher*INDEX(LM_Researcher,G761)))</x:f>
        <x:v>22.4561217503948</x:v>
      </x:c>
      <x:c r="AL761" s="32" t="n">
        <x:f>H761*v01_RoleScale*Arch_Roles*AE761*INDEX(v01_MonasteryPerSett,G761)*v01_OutMonastery*INDEX(LM_Monastery,G761)</x:f>
        <x:v>0</x:v>
      </x:c>
      <x:c r="AM761" s="32" t="n">
        <x:f>(AJ761+AK761+AL761)/4*INDEX(LM_All,G761)*INDEX(v01_Boon,G761)*Arch_Insight</x:f>
        <x:v>35.47819526580102</x:v>
      </x:c>
      <x:c r="AN761" s="32" t="n">
        <x:f>H761*(v01_KHPerAdult*Z761+v01_KHOfCommons*AJ761/4*INDEX(LM_All,G761))*v01_KHUsable*Arch_KH</x:f>
        <x:v>7.280608751974003</x:v>
      </x:c>
      <x:c r="AO761" s="32" t="n">
        <x:f>MIN(AP760+AN761,AM761*v01_KHMaxRatio)</x:f>
        <x:v>7.280608751974003</x:v>
      </x:c>
      <x:c r="AP761" s="32" t="n">
        <x:f>AP760+AN761-AO761</x:f>
        <x:v>0</x:v>
      </x:c>
      <x:c r="AQ761" s="32" t="n">
        <x:f>AM761+AO761</x:f>
        <x:v>42.75880401777502</x:v>
      </x:c>
      <x:c r="AR761" s="10" t="n">
        <x:f>IF(H761=1,INDEX(v01_Req,G761),0)</x:f>
        <x:v>9805.661999999998</x:v>
      </x:c>
      <x:c r="AS761" s="32" t="n">
        <x:f>IF(H761=1,IF(E761=1,AS760-AR760,AS760)+AQ761,0)</x:f>
        <x:v>1817.8419585775566</x:v>
      </x:c>
      <x:c r="AT761" s="11" t="n">
        <x:f>IF(AR761&gt;0,MIN(1,AS761/AR761),1)</x:f>
        <x:v>0.18538696913860145</x:v>
      </x:c>
      <x:c r="AU761" s="10" t="n">
        <x:f>AB761/INDEX(v01_RepScale,G761)</x:f>
        <x:v>100.59616121873151</x:v>
      </x:c>
      <x:c r="AV761" s="32" t="n">
        <x:f>AM761*60/v01_SeasonSeconds</x:f>
        <x:v>141.91278106320408</x:v>
      </x:c>
    </x:row>
    <x:row r="762">
      <x:c r="A762" s="8" t="n">
        <x:f>A761+1</x:f>
        <x:v>759</x:v>
      </x:c>
      <x:c r="B762" s="9" t="n">
        <x:f>A762*v01_SeasonSeconds/60</x:f>
        <x:v>189.75</x:v>
      </x:c>
      <x:c r="C762" s="9" t="n">
        <x:f>A762/4</x:f>
        <x:v>189.75</x:v>
      </x:c>
      <x:c r="D762" s="8" t="n">
        <x:f>IF(MOD(A762,4)=0,1,0)</x:f>
        <x:v>0</x:v>
      </x:c>
      <x:c r="E762" s="8" t="n">
        <x:f>IF(AND(F761&lt;=9,AS761&gt;=AR761),1,0)</x:f>
        <x:v>0</x:v>
      </x:c>
      <x:c r="F762" s="8" t="n">
        <x:f>MIN(10,F761+E762)</x:f>
        <x:v>3</x:v>
      </x:c>
      <x:c r="G762" s="8" t="n">
        <x:f>MIN(F762,9)+1</x:f>
        <x:v>4</x:v>
      </x:c>
      <x:c r="H762" s="8" t="n">
        <x:f>IF(F762&lt;=9,1,0)</x:f>
        <x:v>1</x:v>
      </x:c>
      <x:c r="I762" s="9" t="n">
        <x:f>MIN(10,F761+IF(AR761&gt;0,MIN(1,AS761/AR761),1))</x:f>
        <x:v>3.1853869691386016</x:v>
      </x:c>
      <x:c r="J762" s="32" t="n">
        <x:f>INDEX(v01_FoodCap,G762)*Arch_FoodCap*EXP(v01_CapsByProject*SUMPRODUCT((Cap_Point&lt;=I762)*(Cap_Kind="Food")*Cap_Ln))</x:f>
        <x:v>120</x:v>
      </x:c>
      <x:c r="K762" s="32" t="n">
        <x:f>J762*MIN(1,v01_LeanBase*EXP(v01_CapsByProject*SUMPRODUCT((Cap_Point&lt;=I762)*(Cap_Kind="Lean")*Cap_Ln)))</x:f>
        <x:v>120</x:v>
      </x:c>
      <x:c r="L762" s="10" t="n">
        <x:f>INDEX(v01_HousingCap,G762)*EXP(v01_CapsByProject*SUMPRODUCT((Cap_Point&lt;=I762)*(Cap_Kind="Housing")*Cap_Ln))</x:f>
        <x:v>200</x:v>
      </x:c>
      <x:c r="M762" s="10" t="n">
        <x:f>INDEX(v01_GroupCap,G762)*v01_CohesionFactor*EXP(v01_CapsByProject*SUMPRODUCT((Cap_Point&lt;=I762)*(Cap_Kind="Group")*Cap_Ln))</x:f>
        <x:v>5000</x:v>
      </x:c>
      <x:c r="N762" s="32" t="n">
        <x:f>MIN(J762,L762,M762)</x:f>
        <x:v>120</x:v>
      </x:c>
      <x:c r="O762" s="10" t="n">
        <x:f>AE761*N762</x:f>
        <x:v>840</x:v>
      </x:c>
      <x:c r="P762" s="9" t="n">
        <x:f>MIN(1,(AB761/(AE761*IF(v01_GroupInCrowding=1,N762,MIN(J762,L762))))^v01_CrowdingExp)</x:f>
        <x:v>0.046092764759234725</x:v>
      </x:c>
      <x:c r="Q762" s="9" t="n">
        <x:f>IF(D762=1,INDEX(v01_WinterMult,G762),1)</x:f>
        <x:v>1</x:v>
      </x:c>
      <x:c r="R762" s="9" t="n">
        <x:f>H762*Z761*v01_WomenShare*v01_BaseFertility*INDEX(v01_FertMult,G762)*Arch_Fertility*(1-P762)</x:f>
        <x:v>7.738742550089838</x:v>
      </x:c>
      <x:c r="S762" s="9" t="n">
        <x:f>H762*Y761*INDEX(v01_MortChild,G762)/4*Q762</x:f>
        <x:v>1.7119638458071096</x:v>
      </x:c>
      <x:c r="T762" s="9" t="n">
        <x:f>H762*Z761*INDEX(v01_MortAdult,G762)*Arch_AdultMort/4*Q762</x:f>
        <x:v>0.572047830512243</x:v>
      </x:c>
      <x:c r="U762" s="9" t="n">
        <x:f>H762*AA761*INDEX(v01_MortElder,G762)/4*Q762</x:f>
        <x:v>1.0839004649281254</x:v>
      </x:c>
      <x:c r="V762" s="9" t="n">
        <x:f>H762*MAX(0,AB761-O762)*v01_OvercapLoss</x:f>
        <x:v>0</x:v>
      </x:c>
      <x:c r="W762" s="9" t="n">
        <x:f>H762*Y761/(v01_ChildYears*4)</x:f>
        <x:v>4.076104394778833</x:v>
      </x:c>
      <x:c r="X762" s="9" t="n">
        <x:f>H762*Z761/(v01_AdultYears*4)</x:f>
        <x:v>1.6775596202705074</x:v>
      </x:c>
      <x:c r="Y762" s="32" t="n">
        <x:f>Y761+R762-S762-W762-Y761*V762/AB761</x:f>
        <x:v>230.2125204171185</x:v>
      </x:c>
      <x:c r="Z762" s="32" t="n">
        <x:f>Z761+W762-X762-T762-Z761*V762/AB761</x:f>
        <x:v>209.843889857539</x:v>
      </x:c>
      <x:c r="AA762" s="32" t="n">
        <x:f>AA761+X762-U762-AA761*V762/AB761</x:f>
        <x:v>67.29522622784242</x:v>
      </x:c>
      <x:c r="AB762" s="10" t="n">
        <x:f>Y762+Z762+AA762</x:f>
        <x:v>507.35163650249996</x:v>
      </x:c>
      <x:c r="AC762" s="8" t="n">
        <x:f>IF(AND(v01_WinterTrigger=1,D762=1,AB761/AE761&gt;=K762),1,0)</x:f>
        <x:v>0</x:v>
      </x:c>
      <x:c r="AD762" s="8" t="n">
        <x:f>H762*IF(AND(OR(AB761/AE761&gt;=v01_FissionTrigger*N762,AC762=1),AB761/AE761*v01_DaughterShare&gt;=v01_MinDaughter),MAX(1,ROUND(AE761*v01_FissionRate,0)),0)</x:f>
        <x:v>0</x:v>
      </x:c>
      <x:c r="AE762" s="8" t="n">
        <x:f>IF(H762=1,MAX(1,MIN(INDEX(v01_Smax,G762),AE761+AD762)),AE761)</x:f>
        <x:v>7</x:v>
      </x:c>
      <x:c r="AF762" s="8" t="n">
        <x:f>MAX(0,AE762-AE761)</x:f>
        <x:v>0</x:v>
      </x:c>
      <x:c r="AG762" s="9" t="str">
        <x:f>IF(AF762&gt;0,B762,"")</x:f>
      </x:c>
      <x:c r="AH762" s="9" t="n">
        <x:f>IF(F762&gt;=1,1,(1+v01_LowTiesShare*(AE762-1))/AE762)</x:f>
        <x:v>1</x:v>
      </x:c>
      <x:c r="AI762" s="32" t="n">
        <x:f>(Z762+v01_ElderCommons*INDEX(LM_Elder,G762)*AA762)*AH762</x:f>
        <x:v>411.72956854106627</x:v>
      </x:c>
      <x:c r="AJ762" s="32" t="n">
        <x:f>H762*v01_CommonsCoef*AI762^v01_CommonsExp*INDEX(LM_Commons,G762)</x:f>
        <x:v>110.14484703558728</x:v>
      </x:c>
      <x:c r="AK762" s="32" t="n">
        <x:f>H762*v01_RoleScale*Arch_Roles*(AE762*(INDEX(v01_ElderRolePerSett,G762)*v01_OutElder*INDEX(LM_Elder,G762)+INDEX(v01_ShamanPerSett,G762)*v01_OutShaman)+Z762*(INDEX(v01_PriestShare,G762)*v01_OutPriest+INDEX(v01_ScribeShare,G762)*v01_OutScribe*INDEX(LM_Scribe,G762)+INDEX(v01_ScholarShare,G762)*v01_OutScholar*INDEX(LM_Scholar,G762)+INDEX(v01_ResearcherShare,G762)*v01_OutResearcher*INDEX(LM_Researcher,G762)))</x:f>
        <x:v>22.468907229002774</x:v>
      </x:c>
      <x:c r="AL762" s="32" t="n">
        <x:f>H762*v01_RoleScale*Arch_Roles*AE762*INDEX(v01_MonasteryPerSett,G762)*v01_OutMonastery*INDEX(LM_Monastery,G762)</x:f>
        <x:v>0</x:v>
      </x:c>
      <x:c r="AM762" s="32" t="n">
        <x:f>(AJ762+AK762+AL762)/4*INDEX(LM_All,G762)*INDEX(v01_Boon,G762)*Arch_Insight</x:f>
        <x:v>35.70262717839769</x:v>
      </x:c>
      <x:c r="AN762" s="32" t="n">
        <x:f>H762*(v01_KHPerAdult*Z762+v01_KHOfCommons*AJ762/4*INDEX(LM_All,G762))*v01_KHUsable*Arch_KH</x:f>
        <x:v>7.3445361450138655</x:v>
      </x:c>
      <x:c r="AO762" s="32" t="n">
        <x:f>MIN(AP761+AN762,AM762*v01_KHMaxRatio)</x:f>
        <x:v>7.3445361450138655</x:v>
      </x:c>
      <x:c r="AP762" s="32" t="n">
        <x:f>AP761+AN762-AO762</x:f>
        <x:v>0</x:v>
      </x:c>
      <x:c r="AQ762" s="32" t="n">
        <x:f>AM762+AO762</x:f>
        <x:v>43.04716332341155</x:v>
      </x:c>
      <x:c r="AR762" s="10" t="n">
        <x:f>IF(H762=1,INDEX(v01_Req,G762),0)</x:f>
        <x:v>9805.661999999998</x:v>
      </x:c>
      <x:c r="AS762" s="32" t="n">
        <x:f>IF(H762=1,IF(E762=1,AS761-AR761,AS761)+AQ762,0)</x:f>
        <x:v>1860.8891219009681</x:v>
      </x:c>
      <x:c r="AT762" s="11" t="n">
        <x:f>IF(AR762&gt;0,MIN(1,AS762/AR762),1)</x:f>
        <x:v>0.18977700046166882</x:v>
      </x:c>
      <x:c r="AU762" s="10" t="n">
        <x:f>AB762/INDEX(v01_RepScale,G762)</x:f>
        <x:v>101.47032730049999</x:v>
      </x:c>
      <x:c r="AV762" s="32" t="n">
        <x:f>AM762*60/v01_SeasonSeconds</x:f>
        <x:v>142.81050871359076</x:v>
      </x:c>
    </x:row>
    <x:row r="763">
      <x:c r="A763" s="8" t="n">
        <x:f>A762+1</x:f>
        <x:v>760</x:v>
      </x:c>
      <x:c r="B763" s="9" t="n">
        <x:f>A763*v01_SeasonSeconds/60</x:f>
        <x:v>190</x:v>
      </x:c>
      <x:c r="C763" s="9" t="n">
        <x:f>A763/4</x:f>
        <x:v>190</x:v>
      </x:c>
      <x:c r="D763" s="8" t="n">
        <x:f>IF(MOD(A763,4)=0,1,0)</x:f>
        <x:v>1</x:v>
      </x:c>
      <x:c r="E763" s="8" t="n">
        <x:f>IF(AND(F762&lt;=9,AS762&gt;=AR762),1,0)</x:f>
        <x:v>0</x:v>
      </x:c>
      <x:c r="F763" s="8" t="n">
        <x:f>MIN(10,F762+E763)</x:f>
        <x:v>3</x:v>
      </x:c>
      <x:c r="G763" s="8" t="n">
        <x:f>MIN(F763,9)+1</x:f>
        <x:v>4</x:v>
      </x:c>
      <x:c r="H763" s="8" t="n">
        <x:f>IF(F763&lt;=9,1,0)</x:f>
        <x:v>1</x:v>
      </x:c>
      <x:c r="I763" s="9" t="n">
        <x:f>MIN(10,F762+IF(AR762&gt;0,MIN(1,AS762/AR762),1))</x:f>
        <x:v>3.189777000461669</x:v>
      </x:c>
      <x:c r="J763" s="32" t="n">
        <x:f>INDEX(v01_FoodCap,G763)*Arch_FoodCap*EXP(v01_CapsByProject*SUMPRODUCT((Cap_Point&lt;=I763)*(Cap_Kind="Food")*Cap_Ln))</x:f>
        <x:v>120</x:v>
      </x:c>
      <x:c r="K763" s="32" t="n">
        <x:f>J763*MIN(1,v01_LeanBase*EXP(v01_CapsByProject*SUMPRODUCT((Cap_Point&lt;=I763)*(Cap_Kind="Lean")*Cap_Ln)))</x:f>
        <x:v>120</x:v>
      </x:c>
      <x:c r="L763" s="10" t="n">
        <x:f>INDEX(v01_HousingCap,G763)*EXP(v01_CapsByProject*SUMPRODUCT((Cap_Point&lt;=I763)*(Cap_Kind="Housing")*Cap_Ln))</x:f>
        <x:v>200</x:v>
      </x:c>
      <x:c r="M763" s="10" t="n">
        <x:f>INDEX(v01_GroupCap,G763)*v01_CohesionFactor*EXP(v01_CapsByProject*SUMPRODUCT((Cap_Point&lt;=I763)*(Cap_Kind="Group")*Cap_Ln))</x:f>
        <x:v>5000</x:v>
      </x:c>
      <x:c r="N763" s="32" t="n">
        <x:f>MIN(J763,L763,M763)</x:f>
        <x:v>120</x:v>
      </x:c>
      <x:c r="O763" s="10" t="n">
        <x:f>AE762*N763</x:f>
        <x:v>840</x:v>
      </x:c>
      <x:c r="P763" s="9" t="n">
        <x:f>MIN(1,(AB762/(AE762*IF(v01_GroupInCrowding=1,N763,MIN(J763,L763))))^v01_CrowdingExp)</x:f>
        <x:v>0.0485488198159411</x:v>
      </x:c>
      <x:c r="Q763" s="9" t="n">
        <x:f>IF(D763=1,INDEX(v01_WinterMult,G763),1)</x:f>
        <x:v>1.15</x:v>
      </x:c>
      <x:c r="R763" s="9" t="n">
        <x:f>H763*Z762*v01_WomenShare*v01_BaseFertility*INDEX(v01_FertMult,G763)*Arch_Fertility*(1-P763)</x:f>
        <x:v>7.786592449715398</x:v>
      </x:c>
      <x:c r="S763" s="9" t="n">
        <x:f>H763*Y762*INDEX(v01_MortChild,G763)/4*Q763</x:f>
        <x:v>1.9855829885976466</x:v>
      </x:c>
      <x:c r="T763" s="9" t="n">
        <x:f>H763*Z762*INDEX(v01_MortAdult,G763)*Arch_AdultMort/4*Q763</x:f>
        <x:v>0.663631301674467</x:v>
      </x:c>
      <x:c r="U763" s="9" t="n">
        <x:f>H763*AA762*INDEX(v01_MortElder,G763)/4*Q763</x:f>
        <x:v>1.2575795401328052</x:v>
      </x:c>
      <x:c r="V763" s="9" t="n">
        <x:f>H763*MAX(0,AB762-O763)*v01_OvercapLoss</x:f>
        <x:v>0</x:v>
      </x:c>
      <x:c r="W763" s="9" t="n">
        <x:f>H763*Y762/(v01_ChildYears*4)</x:f>
        <x:v>4.110937864591402</x:v>
      </x:c>
      <x:c r="X763" s="9" t="n">
        <x:f>H763*Z762/(v01_AdultYears*4)</x:f>
        <x:v>1.6922894343349921</x:v>
      </x:c>
      <x:c r="Y763" s="32" t="n">
        <x:f>Y762+R763-S763-W763-Y762*V763/AB762</x:f>
        <x:v>231.90259201364483</x:v>
      </x:c>
      <x:c r="Z763" s="32" t="n">
        <x:f>Z762+W763-X763-T763-Z762*V763/AB762</x:f>
        <x:v>211.59890698612097</x:v>
      </x:c>
      <x:c r="AA763" s="32" t="n">
        <x:f>AA762+X763-U763-AA762*V763/AB762</x:f>
        <x:v>67.7299361220446</x:v>
      </x:c>
      <x:c r="AB763" s="10" t="n">
        <x:f>Y763+Z763+AA763</x:f>
        <x:v>511.23143512181036</x:v>
      </x:c>
      <x:c r="AC763" s="8" t="n">
        <x:f>IF(AND(v01_WinterTrigger=1,D763=1,AB762/AE762&gt;=K763),1,0)</x:f>
        <x:v>0</x:v>
      </x:c>
      <x:c r="AD763" s="8" t="n">
        <x:f>H763*IF(AND(OR(AB762/AE762&gt;=v01_FissionTrigger*N763,AC763=1),AB762/AE762*v01_DaughterShare&gt;=v01_MinDaughter),MAX(1,ROUND(AE762*v01_FissionRate,0)),0)</x:f>
        <x:v>0</x:v>
      </x:c>
      <x:c r="AE763" s="8" t="n">
        <x:f>IF(H763=1,MAX(1,MIN(INDEX(v01_Smax,G763),AE762+AD763)),AE762)</x:f>
        <x:v>7</x:v>
      </x:c>
      <x:c r="AF763" s="8" t="n">
        <x:f>MAX(0,AE763-AE762)</x:f>
        <x:v>0</x:v>
      </x:c>
      <x:c r="AG763" s="9" t="str">
        <x:f>IF(AF763&gt;0,B763,"")</x:f>
      </x:c>
      <x:c r="AH763" s="9" t="n">
        <x:f>IF(F763&gt;=1,1,(1+v01_LowTiesShare*(AE763-1))/AE763)</x:f>
        <x:v>1</x:v>
      </x:c>
      <x:c r="AI763" s="32" t="n">
        <x:f>(Z763+v01_ElderCommons*INDEX(LM_Elder,G763)*AA763)*AH763</x:f>
        <x:v>414.7887153522548</x:v>
      </x:c>
      <x:c r="AJ763" s="32" t="n">
        <x:f>H763*v01_CommonsCoef*AI763^v01_CommonsExp*INDEX(LM_Commons,G763)</x:f>
        <x:v>110.84007940058414</x:v>
      </x:c>
      <x:c r="AK763" s="32" t="n">
        <x:f>H763*v01_RoleScale*Arch_Roles*(AE763*(INDEX(v01_ElderRolePerSett,G763)*v01_OutElder*INDEX(LM_Elder,G763)+INDEX(v01_ShamanPerSett,G763)*v01_OutShaman)+Z763*(INDEX(v01_PriestShare,G763)*v01_OutPriest+INDEX(v01_ScribeShare,G763)*v01_OutScribe*INDEX(LM_Scribe,G763)+INDEX(v01_ScholarShare,G763)*v01_OutScholar*INDEX(LM_Scholar,G763)+INDEX(v01_ResearcherShare,G763)*v01_OutResearcher*INDEX(LM_Researcher,G763)))</x:f>
        <x:v>22.481192348902848</x:v>
      </x:c>
      <x:c r="AL763" s="32" t="n">
        <x:f>H763*v01_RoleScale*Arch_Roles*AE763*INDEX(v01_MonasteryPerSett,G763)*v01_OutMonastery*INDEX(LM_Monastery,G763)</x:f>
        <x:v>0</x:v>
      </x:c>
      <x:c r="AM763" s="32" t="n">
        <x:f>(AJ763+AK763+AL763)/4*INDEX(LM_All,G763)*INDEX(v01_Boon,G763)*Arch_Insight</x:f>
        <x:v>35.89310691502496</x:v>
      </x:c>
      <x:c r="AN763" s="32" t="n">
        <x:f>H763*(v01_KHPerAdult*Z763+v01_KHOfCommons*AJ763/4*INDEX(LM_All,G763))*v01_KHUsable*Arch_KH</x:f>
        <x:v>7.405961744514234</x:v>
      </x:c>
      <x:c r="AO763" s="32" t="n">
        <x:f>MIN(AP762+AN763,AM763*v01_KHMaxRatio)</x:f>
        <x:v>7.405961744514234</x:v>
      </x:c>
      <x:c r="AP763" s="32" t="n">
        <x:f>AP762+AN763-AO763</x:f>
        <x:v>0</x:v>
      </x:c>
      <x:c r="AQ763" s="32" t="n">
        <x:f>AM763+AO763</x:f>
        <x:v>43.299068659539195</x:v>
      </x:c>
      <x:c r="AR763" s="10" t="n">
        <x:f>IF(H763=1,INDEX(v01_Req,G763),0)</x:f>
        <x:v>9805.661999999998</x:v>
      </x:c>
      <x:c r="AS763" s="32" t="n">
        <x:f>IF(H763=1,IF(E763=1,AS762-AR762,AS762)+AQ763,0)</x:f>
        <x:v>1904.1881905605073</x:v>
      </x:c>
      <x:c r="AT763" s="11" t="n">
        <x:f>IF(AR763&gt;0,MIN(1,AS763/AR763),1)</x:f>
        <x:v>0.19419272156846806</x:v>
      </x:c>
      <x:c r="AU763" s="10" t="n">
        <x:f>AB763/INDEX(v01_RepScale,G763)</x:f>
        <x:v>102.24628702436208</x:v>
      </x:c>
      <x:c r="AV763" s="32" t="n">
        <x:f>AM763*60/v01_SeasonSeconds</x:f>
        <x:v>143.57242766009983</x:v>
      </x:c>
    </x:row>
    <x:row r="764">
      <x:c r="A764" s="8" t="n">
        <x:f>A763+1</x:f>
        <x:v>761</x:v>
      </x:c>
      <x:c r="B764" s="9" t="n">
        <x:f>A764*v01_SeasonSeconds/60</x:f>
        <x:v>190.25</x:v>
      </x:c>
      <x:c r="C764" s="9" t="n">
        <x:f>A764/4</x:f>
        <x:v>190.25</x:v>
      </x:c>
      <x:c r="D764" s="8" t="n">
        <x:f>IF(MOD(A764,4)=0,1,0)</x:f>
        <x:v>0</x:v>
      </x:c>
      <x:c r="E764" s="8" t="n">
        <x:f>IF(AND(F763&lt;=9,AS763&gt;=AR763),1,0)</x:f>
        <x:v>0</x:v>
      </x:c>
      <x:c r="F764" s="8" t="n">
        <x:f>MIN(10,F763+E764)</x:f>
        <x:v>3</x:v>
      </x:c>
      <x:c r="G764" s="8" t="n">
        <x:f>MIN(F764,9)+1</x:f>
        <x:v>4</x:v>
      </x:c>
      <x:c r="H764" s="8" t="n">
        <x:f>IF(F764&lt;=9,1,0)</x:f>
        <x:v>1</x:v>
      </x:c>
      <x:c r="I764" s="9" t="n">
        <x:f>MIN(10,F763+IF(AR763&gt;0,MIN(1,AS763/AR763),1))</x:f>
        <x:v>3.1941927215684682</x:v>
      </x:c>
      <x:c r="J764" s="32" t="n">
        <x:f>INDEX(v01_FoodCap,G764)*Arch_FoodCap*EXP(v01_CapsByProject*SUMPRODUCT((Cap_Point&lt;=I764)*(Cap_Kind="Food")*Cap_Ln))</x:f>
        <x:v>120</x:v>
      </x:c>
      <x:c r="K764" s="32" t="n">
        <x:f>J764*MIN(1,v01_LeanBase*EXP(v01_CapsByProject*SUMPRODUCT((Cap_Point&lt;=I764)*(Cap_Kind="Lean")*Cap_Ln)))</x:f>
        <x:v>120</x:v>
      </x:c>
      <x:c r="L764" s="10" t="n">
        <x:f>INDEX(v01_HousingCap,G764)*EXP(v01_CapsByProject*SUMPRODUCT((Cap_Point&lt;=I764)*(Cap_Kind="Housing")*Cap_Ln))</x:f>
        <x:v>200</x:v>
      </x:c>
      <x:c r="M764" s="10" t="n">
        <x:f>INDEX(v01_GroupCap,G764)*v01_CohesionFactor*EXP(v01_CapsByProject*SUMPRODUCT((Cap_Point&lt;=I764)*(Cap_Kind="Group")*Cap_Ln))</x:f>
        <x:v>5000</x:v>
      </x:c>
      <x:c r="N764" s="32" t="n">
        <x:f>MIN(J764,L764,M764)</x:f>
        <x:v>120</x:v>
      </x:c>
      <x:c r="O764" s="10" t="n">
        <x:f>AE763*N764</x:f>
        <x:v>840</x:v>
      </x:c>
      <x:c r="P764" s="9" t="n">
        <x:f>MIN(1,(AB763/(AE763*IF(v01_GroupInCrowding=1,N764,MIN(J764,L764))))^v01_CrowdingExp)</x:f>
        <x:v>0.05081940611744569</x:v>
      </x:c>
      <x:c r="Q764" s="9" t="n">
        <x:f>IF(D764=1,INDEX(v01_WinterMult,G764),1)</x:f>
        <x:v>1</x:v>
      </x:c>
      <x:c r="R764" s="9" t="n">
        <x:f>H764*Z763*v01_WomenShare*v01_BaseFertility*INDEX(v01_FertMult,G764)*Arch_Fertility*(1-P764)</x:f>
        <x:v>7.832977471721441</x:v>
      </x:c>
      <x:c r="S764" s="9" t="n">
        <x:f>H764*Y763*INDEX(v01_MortChild,G764)/4*Q764</x:f>
        <x:v>1.7392694401023363</x:v>
      </x:c>
      <x:c r="T764" s="9" t="n">
        <x:f>H764*Z763*INDEX(v01_MortAdult,G764)*Arch_AdultMort/4*Q764</x:f>
        <x:v>0.5818969942118326</x:v>
      </x:c>
      <x:c r="U764" s="9" t="n">
        <x:f>H764*AA763*INDEX(v01_MortElder,G764)/4*Q764</x:f>
        <x:v>1.1006114619832248</x:v>
      </x:c>
      <x:c r="V764" s="9" t="n">
        <x:f>H764*MAX(0,AB763-O764)*v01_OvercapLoss</x:f>
        <x:v>0</x:v>
      </x:c>
      <x:c r="W764" s="9" t="n">
        <x:f>H764*Y763/(v01_ChildYears*4)</x:f>
        <x:v>4.141117714529372</x:v>
      </x:c>
      <x:c r="X764" s="9" t="n">
        <x:f>H764*Z763/(v01_AdultYears*4)</x:f>
        <x:v>1.706442798275169</x:v>
      </x:c>
      <x:c r="Y764" s="32" t="n">
        <x:f>Y763+R764-S764-W764-Y763*V764/AB763</x:f>
        <x:v>233.85518233073458</x:v>
      </x:c>
      <x:c r="Z764" s="32" t="n">
        <x:f>Z763+W764-X764-T764-Z763*V764/AB763</x:f>
        <x:v>213.45168490816334</x:v>
      </x:c>
      <x:c r="AA764" s="32" t="n">
        <x:f>AA763+X764-U764-AA763*V764/AB763</x:f>
        <x:v>68.33576745833655</x:v>
      </x:c>
      <x:c r="AB764" s="10" t="n">
        <x:f>Y764+Z764+AA764</x:f>
        <x:v>515.6426346972345</x:v>
      </x:c>
      <x:c r="AC764" s="8" t="n">
        <x:f>IF(AND(v01_WinterTrigger=1,D764=1,AB763/AE763&gt;=K764),1,0)</x:f>
        <x:v>0</x:v>
      </x:c>
      <x:c r="AD764" s="8" t="n">
        <x:f>H764*IF(AND(OR(AB763/AE763&gt;=v01_FissionTrigger*N764,AC764=1),AB763/AE763*v01_DaughterShare&gt;=v01_MinDaughter),MAX(1,ROUND(AE763*v01_FissionRate,0)),0)</x:f>
        <x:v>0</x:v>
      </x:c>
      <x:c r="AE764" s="8" t="n">
        <x:f>IF(H764=1,MAX(1,MIN(INDEX(v01_Smax,G764),AE763+AD764)),AE763)</x:f>
        <x:v>7</x:v>
      </x:c>
      <x:c r="AF764" s="8" t="n">
        <x:f>MAX(0,AE764-AE763)</x:f>
        <x:v>0</x:v>
      </x:c>
      <x:c r="AG764" s="9" t="str">
        <x:f>IF(AF764&gt;0,B764,"")</x:f>
      </x:c>
      <x:c r="AH764" s="9" t="n">
        <x:f>IF(F764&gt;=1,1,(1+v01_LowTiesShare*(AE764-1))/AE764)</x:f>
        <x:v>1</x:v>
      </x:c>
      <x:c r="AI764" s="32" t="n">
        <x:f>(Z764+v01_ElderCommons*INDEX(LM_Elder,G764)*AA764)*AH764</x:f>
        <x:v>418.458987283173</x:v>
      </x:c>
      <x:c r="AJ764" s="32" t="n">
        <x:f>H764*v01_CommonsCoef*AI764^v01_CommonsExp*INDEX(LM_Commons,G764)</x:f>
        <x:v>111.67318437284636</x:v>
      </x:c>
      <x:c r="AK764" s="32" t="n">
        <x:f>H764*v01_RoleScale*Arch_Roles*(AE764*(INDEX(v01_ElderRolePerSett,G764)*v01_OutElder*INDEX(LM_Elder,G764)+INDEX(v01_ShamanPerSett,G764)*v01_OutShaman)+Z764*(INDEX(v01_PriestShare,G764)*v01_OutPriest+INDEX(v01_ScribeShare,G764)*v01_OutScribe*INDEX(LM_Scribe,G764)+INDEX(v01_ScholarShare,G764)*v01_OutScholar*INDEX(LM_Scholar,G764)+INDEX(v01_ResearcherShare,G764)*v01_OutResearcher*INDEX(LM_Researcher,G764)))</x:f>
        <x:v>22.494161794357144</x:v>
      </x:c>
      <x:c r="AL764" s="32" t="n">
        <x:f>H764*v01_RoleScale*Arch_Roles*AE764*INDEX(v01_MonasteryPerSett,G764)*v01_OutMonastery*INDEX(LM_Monastery,G764)</x:f>
        <x:v>0</x:v>
      </x:c>
      <x:c r="AM764" s="32" t="n">
        <x:f>(AJ764+AK764+AL764)/4*INDEX(LM_All,G764)*INDEX(v01_Boon,G764)*Arch_Insight</x:f>
        <x:v>36.12088931714777</x:v>
      </x:c>
      <x:c r="AN764" s="32" t="n">
        <x:f>H764*(v01_KHPerAdult*Z764+v01_KHOfCommons*AJ764/4*INDEX(LM_All,G764))*v01_KHUsable*Arch_KH</x:f>
        <x:v>7.470808971785717</x:v>
      </x:c>
      <x:c r="AO764" s="32" t="n">
        <x:f>MIN(AP763+AN764,AM764*v01_KHMaxRatio)</x:f>
        <x:v>7.470808971785717</x:v>
      </x:c>
      <x:c r="AP764" s="32" t="n">
        <x:f>AP763+AN764-AO764</x:f>
        <x:v>0</x:v>
      </x:c>
      <x:c r="AQ764" s="32" t="n">
        <x:f>AM764+AO764</x:f>
        <x:v>43.591698288933486</x:v>
      </x:c>
      <x:c r="AR764" s="10" t="n">
        <x:f>IF(H764=1,INDEX(v01_Req,G764),0)</x:f>
        <x:v>9805.661999999998</x:v>
      </x:c>
      <x:c r="AS764" s="32" t="n">
        <x:f>IF(H764=1,IF(E764=1,AS763-AR763,AS763)+AQ764,0)</x:f>
        <x:v>1947.7798888494408</x:v>
      </x:c>
      <x:c r="AT764" s="11" t="n">
        <x:f>IF(AR764&gt;0,MIN(1,AS764/AR764),1)</x:f>
        <x:v>0.1986382855996302</x:v>
      </x:c>
      <x:c r="AU764" s="10" t="n">
        <x:f>AB764/INDEX(v01_RepScale,G764)</x:f>
        <x:v>103.1285269394469</x:v>
      </x:c>
      <x:c r="AV764" s="32" t="n">
        <x:f>AM764*60/v01_SeasonSeconds</x:f>
        <x:v>144.48355726859108</x:v>
      </x:c>
    </x:row>
    <x:row r="765">
      <x:c r="A765" s="8" t="n">
        <x:f>A764+1</x:f>
        <x:v>762</x:v>
      </x:c>
      <x:c r="B765" s="9" t="n">
        <x:f>A765*v01_SeasonSeconds/60</x:f>
        <x:v>190.5</x:v>
      </x:c>
      <x:c r="C765" s="9" t="n">
        <x:f>A765/4</x:f>
        <x:v>190.5</x:v>
      </x:c>
      <x:c r="D765" s="8" t="n">
        <x:f>IF(MOD(A765,4)=0,1,0)</x:f>
        <x:v>0</x:v>
      </x:c>
      <x:c r="E765" s="8" t="n">
        <x:f>IF(AND(F764&lt;=9,AS764&gt;=AR764),1,0)</x:f>
        <x:v>0</x:v>
      </x:c>
      <x:c r="F765" s="8" t="n">
        <x:f>MIN(10,F764+E765)</x:f>
        <x:v>3</x:v>
      </x:c>
      <x:c r="G765" s="8" t="n">
        <x:f>MIN(F765,9)+1</x:f>
        <x:v>4</x:v>
      </x:c>
      <x:c r="H765" s="8" t="n">
        <x:f>IF(F765&lt;=9,1,0)</x:f>
        <x:v>1</x:v>
      </x:c>
      <x:c r="I765" s="9" t="n">
        <x:f>MIN(10,F764+IF(AR764&gt;0,MIN(1,AS764/AR764),1))</x:f>
        <x:v>3.19863828559963</x:v>
      </x:c>
      <x:c r="J765" s="32" t="n">
        <x:f>INDEX(v01_FoodCap,G765)*Arch_FoodCap*EXP(v01_CapsByProject*SUMPRODUCT((Cap_Point&lt;=I765)*(Cap_Kind="Food")*Cap_Ln))</x:f>
        <x:v>120</x:v>
      </x:c>
      <x:c r="K765" s="32" t="n">
        <x:f>J765*MIN(1,v01_LeanBase*EXP(v01_CapsByProject*SUMPRODUCT((Cap_Point&lt;=I765)*(Cap_Kind="Lean")*Cap_Ln)))</x:f>
        <x:v>120</x:v>
      </x:c>
      <x:c r="L765" s="10" t="n">
        <x:f>INDEX(v01_HousingCap,G765)*EXP(v01_CapsByProject*SUMPRODUCT((Cap_Point&lt;=I765)*(Cap_Kind="Housing")*Cap_Ln))</x:f>
        <x:v>200</x:v>
      </x:c>
      <x:c r="M765" s="10" t="n">
        <x:f>INDEX(v01_GroupCap,G765)*v01_CohesionFactor*EXP(v01_CapsByProject*SUMPRODUCT((Cap_Point&lt;=I765)*(Cap_Kind="Group")*Cap_Ln))</x:f>
        <x:v>5000</x:v>
      </x:c>
      <x:c r="N765" s="32" t="n">
        <x:f>MIN(J765,L765,M765)</x:f>
        <x:v>120</x:v>
      </x:c>
      <x:c r="O765" s="10" t="n">
        <x:f>AE764*N765</x:f>
        <x:v>840</x:v>
      </x:c>
      <x:c r="P765" s="9" t="n">
        <x:f>MIN(1,(AB764/(AE764*IF(v01_GroupInCrowding=1,N765,MIN(J765,L765))))^v01_CrowdingExp)</x:f>
        <x:v>0.0535078124707866</x:v>
      </x:c>
      <x:c r="Q765" s="9" t="n">
        <x:f>IF(D765=1,INDEX(v01_WinterMult,G765),1)</x:f>
        <x:v>1</x:v>
      </x:c>
      <x:c r="R765" s="9" t="n">
        <x:f>H765*Z764*v01_WomenShare*v01_BaseFertility*INDEX(v01_FertMult,G765)*Arch_Fertility*(1-P765)</x:f>
        <x:v>7.879183735040433</x:v>
      </x:c>
      <x:c r="S765" s="9" t="n">
        <x:f>H765*Y764*INDEX(v01_MortChild,G765)/4*Q765</x:f>
        <x:v>1.7539138674805093</x:v>
      </x:c>
      <x:c r="T765" s="9" t="n">
        <x:f>H765*Z764*INDEX(v01_MortAdult,G765)*Arch_AdultMort/4*Q765</x:f>
        <x:v>0.5869921334974492</x:v>
      </x:c>
      <x:c r="U765" s="9" t="n">
        <x:f>H765*AA764*INDEX(v01_MortElder,G765)/4*Q765</x:f>
        <x:v>1.110456221197969</x:v>
      </x:c>
      <x:c r="V765" s="9" t="n">
        <x:f>H765*MAX(0,AB764-O765)*v01_OvercapLoss</x:f>
        <x:v>0</x:v>
      </x:c>
      <x:c r="W765" s="9" t="n">
        <x:f>H765*Y764/(v01_ChildYears*4)</x:f>
        <x:v>4.1759853987631175</x:v>
      </x:c>
      <x:c r="X765" s="9" t="n">
        <x:f>H765*Z764/(v01_AdultYears*4)</x:f>
        <x:v>1.7213845557109948</x:v>
      </x:c>
      <x:c r="Y765" s="32" t="n">
        <x:f>Y764+R765-S765-W765-Y764*V765/AB764</x:f>
        <x:v>235.80446679953138</x:v>
      </x:c>
      <x:c r="Z765" s="32" t="n">
        <x:f>Z764+W765-X765-T765-Z764*V765/AB764</x:f>
        <x:v>215.31929361771802</x:v>
      </x:c>
      <x:c r="AA765" s="32" t="n">
        <x:f>AA764+X765-U765-AA764*V765/AB764</x:f>
        <x:v>68.94669579284958</x:v>
      </x:c>
      <x:c r="AB765" s="10" t="n">
        <x:f>Y765+Z765+AA765</x:f>
        <x:v>520.070456210099</x:v>
      </x:c>
      <x:c r="AC765" s="8" t="n">
        <x:f>IF(AND(v01_WinterTrigger=1,D765=1,AB764/AE764&gt;=K765),1,0)</x:f>
        <x:v>0</x:v>
      </x:c>
      <x:c r="AD765" s="8" t="n">
        <x:f>H765*IF(AND(OR(AB764/AE764&gt;=v01_FissionTrigger*N765,AC765=1),AB764/AE764*v01_DaughterShare&gt;=v01_MinDaughter),MAX(1,ROUND(AE764*v01_FissionRate,0)),0)</x:f>
        <x:v>0</x:v>
      </x:c>
      <x:c r="AE765" s="8" t="n">
        <x:f>IF(H765=1,MAX(1,MIN(INDEX(v01_Smax,G765),AE764+AD765)),AE764)</x:f>
        <x:v>7</x:v>
      </x:c>
      <x:c r="AF765" s="8" t="n">
        <x:f>MAX(0,AE765-AE764)</x:f>
        <x:v>0</x:v>
      </x:c>
      <x:c r="AG765" s="9" t="str">
        <x:f>IF(AF765&gt;0,B765,"")</x:f>
      </x:c>
      <x:c r="AH765" s="9" t="n">
        <x:f>IF(F765&gt;=1,1,(1+v01_LowTiesShare*(AE765-1))/AE765)</x:f>
        <x:v>1</x:v>
      </x:c>
      <x:c r="AI765" s="32" t="n">
        <x:f>(Z765+v01_ElderCommons*INDEX(LM_Elder,G765)*AA765)*AH765</x:f>
        <x:v>422.15938099626675</x:v>
      </x:c>
      <x:c r="AJ765" s="32" t="n">
        <x:f>H765*v01_CommonsCoef*AI765^v01_CommonsExp*INDEX(LM_Commons,G765)</x:f>
        <x:v>112.51201775570472</x:v>
      </x:c>
      <x:c r="AK765" s="32" t="n">
        <x:f>H765*v01_RoleScale*Arch_Roles*(AE765*(INDEX(v01_ElderRolePerSett,G765)*v01_OutElder*INDEX(LM_Elder,G765)+INDEX(v01_ShamanPerSett,G765)*v01_OutShaman)+Z765*(INDEX(v01_PriestShare,G765)*v01_OutPriest+INDEX(v01_ScribeShare,G765)*v01_OutScribe*INDEX(LM_Scribe,G765)+INDEX(v01_ScholarShare,G765)*v01_OutScholar*INDEX(LM_Scholar,G765)+INDEX(v01_ResearcherShare,G765)*v01_OutResearcher*INDEX(LM_Researcher,G765)))</x:f>
        <x:v>22.507235055324028</x:v>
      </x:c>
      <x:c r="AL765" s="32" t="n">
        <x:f>H765*v01_RoleScale*Arch_Roles*AE765*INDEX(v01_MonasteryPerSett,G765)*v01_OutMonastery*INDEX(LM_Monastery,G765)</x:f>
        <x:v>0</x:v>
      </x:c>
      <x:c r="AM765" s="32" t="n">
        <x:f>(AJ765+AK765+AL765)/4*INDEX(LM_All,G765)*INDEX(v01_Boon,G765)*Arch_Insight</x:f>
        <x:v>36.35024188667543</x:v>
      </x:c>
      <x:c r="AN765" s="32" t="n">
        <x:f>H765*(v01_KHPerAdult*Z765+v01_KHOfCommons*AJ765/4*INDEX(LM_All,G765))*v01_KHUsable*Arch_KH</x:f>
        <x:v>7.53617527662013</x:v>
      </x:c>
      <x:c r="AO765" s="32" t="n">
        <x:f>MIN(AP764+AN765,AM765*v01_KHMaxRatio)</x:f>
        <x:v>7.53617527662013</x:v>
      </x:c>
      <x:c r="AP765" s="32" t="n">
        <x:f>AP764+AN765-AO765</x:f>
        <x:v>0</x:v>
      </x:c>
      <x:c r="AQ765" s="32" t="n">
        <x:f>AM765+AO765</x:f>
        <x:v>43.886417163295555</x:v>
      </x:c>
      <x:c r="AR765" s="10" t="n">
        <x:f>IF(H765=1,INDEX(v01_Req,G765),0)</x:f>
        <x:v>9805.661999999998</x:v>
      </x:c>
      <x:c r="AS765" s="32" t="n">
        <x:f>IF(H765=1,IF(E765=1,AS764-AR764,AS764)+AQ765,0)</x:f>
        <x:v>1991.6663060127364</x:v>
      </x:c>
      <x:c r="AT765" s="11" t="n">
        <x:f>IF(AR765&gt;0,MIN(1,AS765/AR765),1)</x:f>
        <x:v>0.2031139056203178</x:v>
      </x:c>
      <x:c r="AU765" s="10" t="n">
        <x:f>AB765/INDEX(v01_RepScale,G765)</x:f>
        <x:v>104.0140912420198</x:v>
      </x:c>
      <x:c r="AV765" s="32" t="n">
        <x:f>AM765*60/v01_SeasonSeconds</x:f>
        <x:v>145.4009675467017</x:v>
      </x:c>
    </x:row>
    <x:row r="766">
      <x:c r="A766" s="8" t="n">
        <x:f>A765+1</x:f>
        <x:v>763</x:v>
      </x:c>
      <x:c r="B766" s="9" t="n">
        <x:f>A766*v01_SeasonSeconds/60</x:f>
        <x:v>190.75</x:v>
      </x:c>
      <x:c r="C766" s="9" t="n">
        <x:f>A766/4</x:f>
        <x:v>190.75</x:v>
      </x:c>
      <x:c r="D766" s="8" t="n">
        <x:f>IF(MOD(A766,4)=0,1,0)</x:f>
        <x:v>0</x:v>
      </x:c>
      <x:c r="E766" s="8" t="n">
        <x:f>IF(AND(F765&lt;=9,AS765&gt;=AR765),1,0)</x:f>
        <x:v>0</x:v>
      </x:c>
      <x:c r="F766" s="8" t="n">
        <x:f>MIN(10,F765+E766)</x:f>
        <x:v>3</x:v>
      </x:c>
      <x:c r="G766" s="8" t="n">
        <x:f>MIN(F766,9)+1</x:f>
        <x:v>4</x:v>
      </x:c>
      <x:c r="H766" s="8" t="n">
        <x:f>IF(F766&lt;=9,1,0)</x:f>
        <x:v>1</x:v>
      </x:c>
      <x:c r="I766" s="9" t="n">
        <x:f>MIN(10,F765+IF(AR765&gt;0,MIN(1,AS765/AR765),1))</x:f>
        <x:v>3.203113905620318</x:v>
      </x:c>
      <x:c r="J766" s="32" t="n">
        <x:f>INDEX(v01_FoodCap,G766)*Arch_FoodCap*EXP(v01_CapsByProject*SUMPRODUCT((Cap_Point&lt;=I766)*(Cap_Kind="Food")*Cap_Ln))</x:f>
        <x:v>120</x:v>
      </x:c>
      <x:c r="K766" s="32" t="n">
        <x:f>J766*MIN(1,v01_LeanBase*EXP(v01_CapsByProject*SUMPRODUCT((Cap_Point&lt;=I766)*(Cap_Kind="Lean")*Cap_Ln)))</x:f>
        <x:v>120</x:v>
      </x:c>
      <x:c r="L766" s="10" t="n">
        <x:f>INDEX(v01_HousingCap,G766)*EXP(v01_CapsByProject*SUMPRODUCT((Cap_Point&lt;=I766)*(Cap_Kind="Housing")*Cap_Ln))</x:f>
        <x:v>200</x:v>
      </x:c>
      <x:c r="M766" s="10" t="n">
        <x:f>INDEX(v01_GroupCap,G766)*v01_CohesionFactor*EXP(v01_CapsByProject*SUMPRODUCT((Cap_Point&lt;=I766)*(Cap_Kind="Group")*Cap_Ln))</x:f>
        <x:v>5000</x:v>
      </x:c>
      <x:c r="N766" s="32" t="n">
        <x:f>MIN(J766,L766,M766)</x:f>
        <x:v>120</x:v>
      </x:c>
      <x:c r="O766" s="10" t="n">
        <x:f>AE765*N766</x:f>
        <x:v>840</x:v>
      </x:c>
      <x:c r="P766" s="9" t="n">
        <x:f>MIN(1,(AB765/(AE765*IF(v01_GroupInCrowding=1,N766,MIN(J766,L766))))^v01_CrowdingExp)</x:f>
        <x:v>0.056324505034579954</x:v>
      </x:c>
      <x:c r="Q766" s="9" t="n">
        <x:f>IF(D766=1,INDEX(v01_WinterMult,G766),1)</x:f>
        <x:v>1</x:v>
      </x:c>
      <x:c r="R766" s="9" t="n">
        <x:f>H766*Z765*v01_WomenShare*v01_BaseFertility*INDEX(v01_FertMult,G766)*Arch_Fertility*(1-P766)</x:f>
        <x:v>7.924470098231881</x:v>
      </x:c>
      <x:c r="S766" s="9" t="n">
        <x:f>H766*Y765*INDEX(v01_MortChild,G766)/4*Q766</x:f>
        <x:v>1.7685335009964853</x:v>
      </x:c>
      <x:c r="T766" s="9" t="n">
        <x:f>H766*Z765*INDEX(v01_MortAdult,G766)*Arch_AdultMort/4*Q766</x:f>
        <x:v>0.5921280574487245</x:v>
      </x:c>
      <x:c r="U766" s="9" t="n">
        <x:f>H766*AA765*INDEX(v01_MortElder,G766)/4*Q766</x:f>
        <x:v>1.1203838066338057</x:v>
      </x:c>
      <x:c r="V766" s="9" t="n">
        <x:f>H766*MAX(0,AB765-O766)*v01_OvercapLoss</x:f>
        <x:v>0</x:v>
      </x:c>
      <x:c r="W766" s="9" t="n">
        <x:f>H766*Y765/(v01_ChildYears*4)</x:f>
        <x:v>4.210794049991632</x:v>
      </x:c>
      <x:c r="X766" s="9" t="n">
        <x:f>H766*Z765/(v01_AdultYears*4)</x:f>
        <x:v>1.7364459162719195</x:v>
      </x:c>
      <x:c r="Y766" s="32" t="n">
        <x:f>Y765+R766-S766-W766-Y765*V766/AB765</x:f>
        <x:v>237.74960934677517</x:v>
      </x:c>
      <x:c r="Z766" s="32" t="n">
        <x:f>Z765+W766-X766-T766-Z765*V766/AB765</x:f>
        <x:v>217.201513693989</x:v>
      </x:c>
      <x:c r="AA766" s="32" t="n">
        <x:f>AA765+X766-U766-AA765*V766/AB765</x:f>
        <x:v>69.56275790248769</x:v>
      </x:c>
      <x:c r="AB766" s="10" t="n">
        <x:f>Y766+Z766+AA766</x:f>
        <x:v>524.5138809432518</x:v>
      </x:c>
      <x:c r="AC766" s="8" t="n">
        <x:f>IF(AND(v01_WinterTrigger=1,D766=1,AB765/AE765&gt;=K766),1,0)</x:f>
        <x:v>0</x:v>
      </x:c>
      <x:c r="AD766" s="8" t="n">
        <x:f>H766*IF(AND(OR(AB765/AE765&gt;=v01_FissionTrigger*N766,AC766=1),AB765/AE765*v01_DaughterShare&gt;=v01_MinDaughter),MAX(1,ROUND(AE765*v01_FissionRate,0)),0)</x:f>
        <x:v>0</x:v>
      </x:c>
      <x:c r="AE766" s="8" t="n">
        <x:f>IF(H766=1,MAX(1,MIN(INDEX(v01_Smax,G766),AE765+AD766)),AE765)</x:f>
        <x:v>7</x:v>
      </x:c>
      <x:c r="AF766" s="8" t="n">
        <x:f>MAX(0,AE766-AE765)</x:f>
        <x:v>0</x:v>
      </x:c>
      <x:c r="AG766" s="9" t="str">
        <x:f>IF(AF766&gt;0,B766,"")</x:f>
      </x:c>
      <x:c r="AH766" s="9" t="n">
        <x:f>IF(F766&gt;=1,1,(1+v01_LowTiesShare*(AE766-1))/AE766)</x:f>
        <x:v>1</x:v>
      </x:c>
      <x:c r="AI766" s="32" t="n">
        <x:f>(Z766+v01_ElderCommons*INDEX(LM_Elder,G766)*AA766)*AH766</x:f>
        <x:v>425.88978740145205</x:v>
      </x:c>
      <x:c r="AJ766" s="32" t="n">
        <x:f>H766*v01_CommonsCoef*AI766^v01_CommonsExp*INDEX(LM_Commons,G766)</x:f>
        <x:v>113.35653903216935</x:v>
      </x:c>
      <x:c r="AK766" s="32" t="n">
        <x:f>H766*v01_RoleScale*Arch_Roles*(AE766*(INDEX(v01_ElderRolePerSett,G766)*v01_OutElder*INDEX(LM_Elder,G766)+INDEX(v01_ShamanPerSett,G766)*v01_OutShaman)+Z766*(INDEX(v01_PriestShare,G766)*v01_OutPriest+INDEX(v01_ScribeShare,G766)*v01_OutScribe*INDEX(LM_Scribe,G766)+INDEX(v01_ScholarShare,G766)*v01_OutScholar*INDEX(LM_Scholar,G766)+INDEX(v01_ResearcherShare,G766)*v01_OutResearcher*INDEX(LM_Researcher,G766)))</x:f>
        <x:v>22.520410595857925</x:v>
      </x:c>
      <x:c r="AL766" s="32" t="n">
        <x:f>H766*v01_RoleScale*Arch_Roles*AE766*INDEX(v01_MonasteryPerSett,G766)*v01_OutMonastery*INDEX(LM_Monastery,G766)</x:f>
        <x:v>0</x:v>
      </x:c>
      <x:c r="AM766" s="32" t="n">
        <x:f>(AJ766+AK766+AL766)/4*INDEX(LM_All,G766)*INDEX(v01_Boon,G766)*Arch_Insight</x:f>
        <x:v>36.581153302004935</x:v>
      </x:c>
      <x:c r="AN766" s="32" t="n">
        <x:f>H766*(v01_KHPerAdult*Z766+v01_KHOfCommons*AJ766/4*INDEX(LM_All,G766))*v01_KHUsable*Arch_KH</x:f>
        <x:v>7.602052979289615</x:v>
      </x:c>
      <x:c r="AO766" s="32" t="n">
        <x:f>MIN(AP765+AN766,AM766*v01_KHMaxRatio)</x:f>
        <x:v>7.602052979289615</x:v>
      </x:c>
      <x:c r="AP766" s="32" t="n">
        <x:f>AP765+AN766-AO766</x:f>
        <x:v>0</x:v>
      </x:c>
      <x:c r="AQ766" s="32" t="n">
        <x:f>AM766+AO766</x:f>
        <x:v>44.18320628129455</x:v>
      </x:c>
      <x:c r="AR766" s="10" t="n">
        <x:f>IF(H766=1,INDEX(v01_Req,G766),0)</x:f>
        <x:v>9805.661999999998</x:v>
      </x:c>
      <x:c r="AS766" s="32" t="n">
        <x:f>IF(H766=1,IF(E766=1,AS765-AR765,AS765)+AQ766,0)</x:f>
        <x:v>2035.849512294031</x:v>
      </x:c>
      <x:c r="AT766" s="11" t="n">
        <x:f>IF(AR766&gt;0,MIN(1,AS766/AR766),1)</x:f>
        <x:v>0.20761979275790163</x:v>
      </x:c>
      <x:c r="AU766" s="10" t="n">
        <x:f>AB766/INDEX(v01_RepScale,G766)</x:f>
        <x:v>104.90277618865036</x:v>
      </x:c>
      <x:c r="AV766" s="32" t="n">
        <x:f>AM766*60/v01_SeasonSeconds</x:f>
        <x:v>146.32461320801974</x:v>
      </x:c>
    </x:row>
    <x:row r="767">
      <x:c r="A767" s="8" t="n">
        <x:f>A766+1</x:f>
        <x:v>764</x:v>
      </x:c>
      <x:c r="B767" s="9" t="n">
        <x:f>A767*v01_SeasonSeconds/60</x:f>
        <x:v>191</x:v>
      </x:c>
      <x:c r="C767" s="9" t="n">
        <x:f>A767/4</x:f>
        <x:v>191</x:v>
      </x:c>
      <x:c r="D767" s="8" t="n">
        <x:f>IF(MOD(A767,4)=0,1,0)</x:f>
        <x:v>1</x:v>
      </x:c>
      <x:c r="E767" s="8" t="n">
        <x:f>IF(AND(F766&lt;=9,AS766&gt;=AR766),1,0)</x:f>
        <x:v>0</x:v>
      </x:c>
      <x:c r="F767" s="8" t="n">
        <x:f>MIN(10,F766+E767)</x:f>
        <x:v>3</x:v>
      </x:c>
      <x:c r="G767" s="8" t="n">
        <x:f>MIN(F767,9)+1</x:f>
        <x:v>4</x:v>
      </x:c>
      <x:c r="H767" s="8" t="n">
        <x:f>IF(F767&lt;=9,1,0)</x:f>
        <x:v>1</x:v>
      </x:c>
      <x:c r="I767" s="9" t="n">
        <x:f>MIN(10,F766+IF(AR766&gt;0,MIN(1,AS766/AR766),1))</x:f>
        <x:v>3.2076197927579018</x:v>
      </x:c>
      <x:c r="J767" s="32" t="n">
        <x:f>INDEX(v01_FoodCap,G767)*Arch_FoodCap*EXP(v01_CapsByProject*SUMPRODUCT((Cap_Point&lt;=I767)*(Cap_Kind="Food")*Cap_Ln))</x:f>
        <x:v>120</x:v>
      </x:c>
      <x:c r="K767" s="32" t="n">
        <x:f>J767*MIN(1,v01_LeanBase*EXP(v01_CapsByProject*SUMPRODUCT((Cap_Point&lt;=I767)*(Cap_Kind="Lean")*Cap_Ln)))</x:f>
        <x:v>120</x:v>
      </x:c>
      <x:c r="L767" s="10" t="n">
        <x:f>INDEX(v01_HousingCap,G767)*EXP(v01_CapsByProject*SUMPRODUCT((Cap_Point&lt;=I767)*(Cap_Kind="Housing")*Cap_Ln))</x:f>
        <x:v>200</x:v>
      </x:c>
      <x:c r="M767" s="10" t="n">
        <x:f>INDEX(v01_GroupCap,G767)*v01_CohesionFactor*EXP(v01_CapsByProject*SUMPRODUCT((Cap_Point&lt;=I767)*(Cap_Kind="Group")*Cap_Ln))</x:f>
        <x:v>5000</x:v>
      </x:c>
      <x:c r="N767" s="32" t="n">
        <x:f>MIN(J767,L767,M767)</x:f>
        <x:v>120</x:v>
      </x:c>
      <x:c r="O767" s="10" t="n">
        <x:f>AE766*N767</x:f>
        <x:v>840</x:v>
      </x:c>
      <x:c r="P767" s="9" t="n">
        <x:f>MIN(1,(AB766/(AE766*IF(v01_GroupInCrowding=1,N767,MIN(J767,L767))))^v01_CrowdingExp)</x:f>
        <x:v>0.05927426804742065</x:v>
      </x:c>
      <x:c r="Q767" s="9" t="n">
        <x:f>IF(D767=1,INDEX(v01_WinterMult,G767),1)</x:f>
        <x:v>1.15</x:v>
      </x:c>
      <x:c r="R767" s="9" t="n">
        <x:f>H767*Z766*v01_WomenShare*v01_BaseFertility*INDEX(v01_FertMult,G767)*Arch_Fertility*(1-P767)</x:f>
        <x:v>7.9687550650884535</x:v>
      </x:c>
      <x:c r="S767" s="9" t="n">
        <x:f>H767*Y766*INDEX(v01_MortChild,G767)/4*Q767</x:f>
        <x:v>2.050590380615936</x:v>
      </x:c>
      <x:c r="T767" s="9" t="n">
        <x:f>H767*Z766*INDEX(v01_MortAdult,G767)*Arch_AdultMort/4*Q767</x:f>
        <x:v>0.6868997870572402</x:v>
      </x:c>
      <x:c r="U767" s="9" t="n">
        <x:f>H767*AA766*INDEX(v01_MortElder,G767)/4*Q767</x:f>
        <x:v>1.2999540383027386</x:v>
      </x:c>
      <x:c r="V767" s="9" t="n">
        <x:f>H767*MAX(0,AB766-O767)*v01_OvercapLoss</x:f>
        <x:v>0</x:v>
      </x:c>
      <x:c r="W767" s="9" t="n">
        <x:f>H767*Y766/(v01_ChildYears*4)</x:f>
        <x:v>4.245528738335271</x:v>
      </x:c>
      <x:c r="X767" s="9" t="n">
        <x:f>H767*Z766/(v01_AdultYears*4)</x:f>
        <x:v>1.7516251104353953</x:v>
      </x:c>
      <x:c r="Y767" s="32" t="n">
        <x:f>Y766+R767-S767-W767-Y766*V767/AB766</x:f>
        <x:v>239.4222452929124</x:v>
      </x:c>
      <x:c r="Z767" s="32" t="n">
        <x:f>Z766+W767-X767-T767-Z766*V767/AB766</x:f>
        <x:v>219.00851753483167</x:v>
      </x:c>
      <x:c r="AA767" s="32" t="n">
        <x:f>AA766+X767-U767-AA766*V767/AB766</x:f>
        <x:v>70.01442897462034</x:v>
      </x:c>
      <x:c r="AB767" s="10" t="n">
        <x:f>Y767+Z767+AA767</x:f>
        <x:v>528.4451918023644</x:v>
      </x:c>
      <x:c r="AC767" s="8" t="n">
        <x:f>IF(AND(v01_WinterTrigger=1,D767=1,AB766/AE766&gt;=K767),1,0)</x:f>
        <x:v>0</x:v>
      </x:c>
      <x:c r="AD767" s="8" t="n">
        <x:f>H767*IF(AND(OR(AB766/AE766&gt;=v01_FissionTrigger*N767,AC767=1),AB766/AE766*v01_DaughterShare&gt;=v01_MinDaughter),MAX(1,ROUND(AE766*v01_FissionRate,0)),0)</x:f>
        <x:v>0</x:v>
      </x:c>
      <x:c r="AE767" s="8" t="n">
        <x:f>IF(H767=1,MAX(1,MIN(INDEX(v01_Smax,G767),AE766+AD767)),AE766)</x:f>
        <x:v>7</x:v>
      </x:c>
      <x:c r="AF767" s="8" t="n">
        <x:f>MAX(0,AE767-AE766)</x:f>
        <x:v>0</x:v>
      </x:c>
      <x:c r="AG767" s="9" t="str">
        <x:f>IF(AF767&gt;0,B767,"")</x:f>
      </x:c>
      <x:c r="AH767" s="9" t="n">
        <x:f>IF(F767&gt;=1,1,(1+v01_LowTiesShare*(AE767-1))/AE767)</x:f>
        <x:v>1</x:v>
      </x:c>
      <x:c r="AI767" s="32" t="n">
        <x:f>(Z767+v01_ElderCommons*INDEX(LM_Elder,G767)*AA767)*AH767</x:f>
        <x:v>429.0518044586927</x:v>
      </x:c>
      <x:c r="AJ767" s="32" t="n">
        <x:f>H767*v01_CommonsCoef*AI767^v01_CommonsExp*INDEX(LM_Commons,G767)</x:f>
        <x:v>114.0715147179051</x:v>
      </x:c>
      <x:c r="AK767" s="32" t="n">
        <x:f>H767*v01_RoleScale*Arch_Roles*(AE767*(INDEX(v01_ElderRolePerSett,G767)*v01_OutElder*INDEX(LM_Elder,G767)+INDEX(v01_ShamanPerSett,G767)*v01_OutShaman)+Z767*(INDEX(v01_PriestShare,G767)*v01_OutPriest+INDEX(v01_ScribeShare,G767)*v01_OutScribe*INDEX(LM_Scribe,G767)+INDEX(v01_ScholarShare,G767)*v01_OutScholar*INDEX(LM_Scholar,G767)+INDEX(v01_ResearcherShare,G767)*v01_OutResearcher*INDEX(LM_Researcher,G767)))</x:f>
        <x:v>22.53305962274382</x:v>
      </x:c>
      <x:c r="AL767" s="32" t="n">
        <x:f>H767*v01_RoleScale*Arch_Roles*AE767*INDEX(v01_MonasteryPerSett,G767)*v01_OutMonastery*INDEX(LM_Monastery,G767)</x:f>
        <x:v>0</x:v>
      </x:c>
      <x:c r="AM767" s="32" t="n">
        <x:f>(AJ767+AK767+AL767)/4*INDEX(LM_All,G767)*INDEX(v01_Boon,G767)*Arch_Insight</x:f>
        <x:v>36.777046359890086</x:v>
      </x:c>
      <x:c r="AN767" s="32" t="n">
        <x:f>H767*(v01_KHPerAdult*Z767+v01_KHOfCommons*AJ767/4*INDEX(LM_All,G767))*v01_KHUsable*Arch_KH</x:f>
        <x:v>7.665298113719108</x:v>
      </x:c>
      <x:c r="AO767" s="32" t="n">
        <x:f>MIN(AP766+AN767,AM767*v01_KHMaxRatio)</x:f>
        <x:v>7.665298113719108</x:v>
      </x:c>
      <x:c r="AP767" s="32" t="n">
        <x:f>AP766+AN767-AO767</x:f>
        <x:v>0</x:v>
      </x:c>
      <x:c r="AQ767" s="32" t="n">
        <x:f>AM767+AO767</x:f>
        <x:v>44.4423444736092</x:v>
      </x:c>
      <x:c r="AR767" s="10" t="n">
        <x:f>IF(H767=1,INDEX(v01_Req,G767),0)</x:f>
        <x:v>9805.661999999998</x:v>
      </x:c>
      <x:c r="AS767" s="32" t="n">
        <x:f>IF(H767=1,IF(E767=1,AS766-AR766,AS766)+AQ767,0)</x:f>
        <x:v>2080.29185676764</x:v>
      </x:c>
      <x:c r="AT767" s="11" t="n">
        <x:f>IF(AR767&gt;0,MIN(1,AS767/AR767),1)</x:f>
        <x:v>0.21215210729960307</x:v>
      </x:c>
      <x:c r="AU767" s="10" t="n">
        <x:f>AB767/INDEX(v01_RepScale,G767)</x:f>
        <x:v>105.68903836047289</x:v>
      </x:c>
      <x:c r="AV767" s="32" t="n">
        <x:f>AM767*60/v01_SeasonSeconds</x:f>
        <x:v>147.10818543956034</x:v>
      </x:c>
    </x:row>
    <x:row r="768">
      <x:c r="A768" s="8" t="n">
        <x:f>A767+1</x:f>
        <x:v>765</x:v>
      </x:c>
      <x:c r="B768" s="9" t="n">
        <x:f>A768*v01_SeasonSeconds/60</x:f>
        <x:v>191.25</x:v>
      </x:c>
      <x:c r="C768" s="9" t="n">
        <x:f>A768/4</x:f>
        <x:v>191.25</x:v>
      </x:c>
      <x:c r="D768" s="8" t="n">
        <x:f>IF(MOD(A768,4)=0,1,0)</x:f>
        <x:v>0</x:v>
      </x:c>
      <x:c r="E768" s="8" t="n">
        <x:f>IF(AND(F767&lt;=9,AS767&gt;=AR767),1,0)</x:f>
        <x:v>0</x:v>
      </x:c>
      <x:c r="F768" s="8" t="n">
        <x:f>MIN(10,F767+E768)</x:f>
        <x:v>3</x:v>
      </x:c>
      <x:c r="G768" s="8" t="n">
        <x:f>MIN(F768,9)+1</x:f>
        <x:v>4</x:v>
      </x:c>
      <x:c r="H768" s="8" t="n">
        <x:f>IF(F768&lt;=9,1,0)</x:f>
        <x:v>1</x:v>
      </x:c>
      <x:c r="I768" s="9" t="n">
        <x:f>MIN(10,F767+IF(AR767&gt;0,MIN(1,AS767/AR767),1))</x:f>
        <x:v>3.212152107299603</x:v>
      </x:c>
      <x:c r="J768" s="32" t="n">
        <x:f>INDEX(v01_FoodCap,G768)*Arch_FoodCap*EXP(v01_CapsByProject*SUMPRODUCT((Cap_Point&lt;=I768)*(Cap_Kind="Food")*Cap_Ln))</x:f>
        <x:v>120</x:v>
      </x:c>
      <x:c r="K768" s="32" t="n">
        <x:f>J768*MIN(1,v01_LeanBase*EXP(v01_CapsByProject*SUMPRODUCT((Cap_Point&lt;=I768)*(Cap_Kind="Lean")*Cap_Ln)))</x:f>
        <x:v>120</x:v>
      </x:c>
      <x:c r="L768" s="10" t="n">
        <x:f>INDEX(v01_HousingCap,G768)*EXP(v01_CapsByProject*SUMPRODUCT((Cap_Point&lt;=I768)*(Cap_Kind="Housing")*Cap_Ln))</x:f>
        <x:v>200</x:v>
      </x:c>
      <x:c r="M768" s="10" t="n">
        <x:f>INDEX(v01_GroupCap,G768)*v01_CohesionFactor*EXP(v01_CapsByProject*SUMPRODUCT((Cap_Point&lt;=I768)*(Cap_Kind="Group")*Cap_Ln))</x:f>
        <x:v>5000</x:v>
      </x:c>
      <x:c r="N768" s="32" t="n">
        <x:f>MIN(J768,L768,M768)</x:f>
        <x:v>120</x:v>
      </x:c>
      <x:c r="O768" s="10" t="n">
        <x:f>AE767*N768</x:f>
        <x:v>840</x:v>
      </x:c>
      <x:c r="P768" s="9" t="n">
        <x:f>MIN(1,(AB767/(AE767*IF(v01_GroupInCrowding=1,N768,MIN(J768,L768))))^v01_CrowdingExp)</x:f>
        <x:v>0.06199033565480059</x:v>
      </x:c>
      <x:c r="Q768" s="9" t="n">
        <x:f>IF(D768=1,INDEX(v01_WinterMult,G768),1)</x:f>
        <x:v>1</x:v>
      </x:c>
      <x:c r="R768" s="9" t="n">
        <x:f>H768*Z767*v01_WomenShare*v01_BaseFertility*INDEX(v01_FertMult,G768)*Arch_Fertility*(1-P768)</x:f>
        <x:v>8.011852134841899</x:v>
      </x:c>
      <x:c r="S768" s="9" t="n">
        <x:f>H768*Y767*INDEX(v01_MortChild,G768)/4*Q768</x:f>
        <x:v>1.795666839696843</x:v>
      </x:c>
      <x:c r="T768" s="9" t="n">
        <x:f>H768*Z767*INDEX(v01_MortAdult,G768)*Arch_AdultMort/4*Q768</x:f>
        <x:v>0.602273423220787</x:v>
      </x:c>
      <x:c r="U768" s="9" t="n">
        <x:f>H768*AA767*INDEX(v01_MortElder,G768)/4*Q768</x:f>
        <x:v>1.1377344708375807</x:v>
      </x:c>
      <x:c r="V768" s="9" t="n">
        <x:f>H768*MAX(0,AB767-O768)*v01_OvercapLoss</x:f>
        <x:v>0</x:v>
      </x:c>
      <x:c r="W768" s="9" t="n">
        <x:f>H768*Y767/(v01_ChildYears*4)</x:f>
        <x:v>4.2753972373734355</x:v>
      </x:c>
      <x:c r="X768" s="9" t="n">
        <x:f>H768*Z767/(v01_AdultYears*4)</x:f>
        <x:v>1.7661977220550942</x:v>
      </x:c>
      <x:c r="Y768" s="32" t="n">
        <x:f>Y767+R768-S768-W768-Y767*V768/AB767</x:f>
        <x:v>241.36303335068402</x:v>
      </x:c>
      <x:c r="Z768" s="32" t="n">
        <x:f>Z767+W768-X768-T768-Z767*V768/AB767</x:f>
        <x:v>220.9154436269292</x:v>
      </x:c>
      <x:c r="AA768" s="32" t="n">
        <x:f>AA767+X768-U768-AA767*V768/AB767</x:f>
        <x:v>70.64289222583785</x:v>
      </x:c>
      <x:c r="AB768" s="10" t="n">
        <x:f>Y768+Z768+AA768</x:f>
        <x:v>532.921369203451</x:v>
      </x:c>
      <x:c r="AC768" s="8" t="n">
        <x:f>IF(AND(v01_WinterTrigger=1,D768=1,AB767/AE767&gt;=K768),1,0)</x:f>
        <x:v>0</x:v>
      </x:c>
      <x:c r="AD768" s="8" t="n">
        <x:f>H768*IF(AND(OR(AB767/AE767&gt;=v01_FissionTrigger*N768,AC768=1),AB767/AE767*v01_DaughterShare&gt;=v01_MinDaughter),MAX(1,ROUND(AE767*v01_FissionRate,0)),0)</x:f>
        <x:v>0</x:v>
      </x:c>
      <x:c r="AE768" s="8" t="n">
        <x:f>IF(H768=1,MAX(1,MIN(INDEX(v01_Smax,G768),AE767+AD768)),AE767)</x:f>
        <x:v>7</x:v>
      </x:c>
      <x:c r="AF768" s="8" t="n">
        <x:f>MAX(0,AE768-AE767)</x:f>
        <x:v>0</x:v>
      </x:c>
      <x:c r="AG768" s="9" t="str">
        <x:f>IF(AF768&gt;0,B768,"")</x:f>
      </x:c>
      <x:c r="AH768" s="9" t="n">
        <x:f>IF(F768&gt;=1,1,(1+v01_LowTiesShare*(AE768-1))/AE768)</x:f>
        <x:v>1</x:v>
      </x:c>
      <x:c r="AI768" s="32" t="n">
        <x:f>(Z768+v01_ElderCommons*INDEX(LM_Elder,G768)*AA768)*AH768</x:f>
        <x:v>432.84412030444275</x:v>
      </x:c>
      <x:c r="AJ768" s="32" t="n">
        <x:f>H768*v01_CommonsCoef*AI768^v01_CommonsExp*INDEX(LM_Commons,G768)</x:f>
        <x:v>114.92796839625623</x:v>
      </x:c>
      <x:c r="AK768" s="32" t="n">
        <x:f>H768*v01_RoleScale*Arch_Roles*(AE768*(INDEX(v01_ElderRolePerSett,G768)*v01_OutElder*INDEX(LM_Elder,G768)+INDEX(v01_ShamanPerSett,G768)*v01_OutShaman)+Z768*(INDEX(v01_PriestShare,G768)*v01_OutPriest+INDEX(v01_ScribeShare,G768)*v01_OutScribe*INDEX(LM_Scribe,G768)+INDEX(v01_ScholarShare,G768)*v01_OutScholar*INDEX(LM_Scholar,G768)+INDEX(v01_ResearcherShare,G768)*v01_OutResearcher*INDEX(LM_Researcher,G768)))</x:f>
        <x:v>22.546408105388505</x:v>
      </x:c>
      <x:c r="AL768" s="32" t="n">
        <x:f>H768*v01_RoleScale*Arch_Roles*AE768*INDEX(v01_MonasteryPerSett,G768)*v01_OutMonastery*INDEX(LM_Monastery,G768)</x:f>
        <x:v>0</x:v>
      </x:c>
      <x:c r="AM768" s="32" t="n">
        <x:f>(AJ768+AK768+AL768)/4*INDEX(LM_All,G768)*INDEX(v01_Boon,G768)*Arch_Insight</x:f>
        <x:v>37.011216808085365</x:v>
      </x:c>
      <x:c r="AN768" s="32" t="n">
        <x:f>H768*(v01_KHPerAdult*Z768+v01_KHOfCommons*AJ768/4*INDEX(LM_All,G768))*v01_KHUsable*Arch_KH</x:f>
        <x:v>7.732040526942522</x:v>
      </x:c>
      <x:c r="AO768" s="32" t="n">
        <x:f>MIN(AP767+AN768,AM768*v01_KHMaxRatio)</x:f>
        <x:v>7.732040526942522</x:v>
      </x:c>
      <x:c r="AP768" s="32" t="n">
        <x:f>AP767+AN768-AO768</x:f>
        <x:v>0</x:v>
      </x:c>
      <x:c r="AQ768" s="32" t="n">
        <x:f>AM768+AO768</x:f>
        <x:v>44.743257335027884</x:v>
      </x:c>
      <x:c r="AR768" s="10" t="n">
        <x:f>IF(H768=1,INDEX(v01_Req,G768),0)</x:f>
        <x:v>9805.661999999998</x:v>
      </x:c>
      <x:c r="AS768" s="32" t="n">
        <x:f>IF(H768=1,IF(E768=1,AS767-AR767,AS767)+AQ768,0)</x:f>
        <x:v>2125.035114102668</x:v>
      </x:c>
      <x:c r="AT768" s="11" t="n">
        <x:f>IF(AR768&gt;0,MIN(1,AS768/AR768),1)</x:f>
        <x:v>0.21671510950537234</x:v>
      </x:c>
      <x:c r="AU768" s="10" t="n">
        <x:f>AB768/INDEX(v01_RepScale,G768)</x:f>
        <x:v>106.5842738406902</x:v>
      </x:c>
      <x:c r="AV768" s="32" t="n">
        <x:f>AM768*60/v01_SeasonSeconds</x:f>
        <x:v>148.04486723234146</x:v>
      </x:c>
    </x:row>
    <x:row r="769">
      <x:c r="A769" s="8" t="n">
        <x:f>A768+1</x:f>
        <x:v>766</x:v>
      </x:c>
      <x:c r="B769" s="9" t="n">
        <x:f>A769*v01_SeasonSeconds/60</x:f>
        <x:v>191.5</x:v>
      </x:c>
      <x:c r="C769" s="9" t="n">
        <x:f>A769/4</x:f>
        <x:v>191.5</x:v>
      </x:c>
      <x:c r="D769" s="8" t="n">
        <x:f>IF(MOD(A769,4)=0,1,0)</x:f>
        <x:v>0</x:v>
      </x:c>
      <x:c r="E769" s="8" t="n">
        <x:f>IF(AND(F768&lt;=9,AS768&gt;=AR768),1,0)</x:f>
        <x:v>0</x:v>
      </x:c>
      <x:c r="F769" s="8" t="n">
        <x:f>MIN(10,F768+E769)</x:f>
        <x:v>3</x:v>
      </x:c>
      <x:c r="G769" s="8" t="n">
        <x:f>MIN(F769,9)+1</x:f>
        <x:v>4</x:v>
      </x:c>
      <x:c r="H769" s="8" t="n">
        <x:f>IF(F769&lt;=9,1,0)</x:f>
        <x:v>1</x:v>
      </x:c>
      <x:c r="I769" s="9" t="n">
        <x:f>MIN(10,F768+IF(AR768&gt;0,MIN(1,AS768/AR768),1))</x:f>
        <x:v>3.2167151095053725</x:v>
      </x:c>
      <x:c r="J769" s="32" t="n">
        <x:f>INDEX(v01_FoodCap,G769)*Arch_FoodCap*EXP(v01_CapsByProject*SUMPRODUCT((Cap_Point&lt;=I769)*(Cap_Kind="Food")*Cap_Ln))</x:f>
        <x:v>120</x:v>
      </x:c>
      <x:c r="K769" s="32" t="n">
        <x:f>J769*MIN(1,v01_LeanBase*EXP(v01_CapsByProject*SUMPRODUCT((Cap_Point&lt;=I769)*(Cap_Kind="Lean")*Cap_Ln)))</x:f>
        <x:v>120</x:v>
      </x:c>
      <x:c r="L769" s="10" t="n">
        <x:f>INDEX(v01_HousingCap,G769)*EXP(v01_CapsByProject*SUMPRODUCT((Cap_Point&lt;=I769)*(Cap_Kind="Housing")*Cap_Ln))</x:f>
        <x:v>200</x:v>
      </x:c>
      <x:c r="M769" s="10" t="n">
        <x:f>INDEX(v01_GroupCap,G769)*v01_CohesionFactor*EXP(v01_CapsByProject*SUMPRODUCT((Cap_Point&lt;=I769)*(Cap_Kind="Group")*Cap_Ln))</x:f>
        <x:v>5000</x:v>
      </x:c>
      <x:c r="N769" s="32" t="n">
        <x:f>MIN(J769,L769,M769)</x:f>
        <x:v>120</x:v>
      </x:c>
      <x:c r="O769" s="10" t="n">
        <x:f>AE768*N769</x:f>
        <x:v>840</x:v>
      </x:c>
      <x:c r="P769" s="9" t="n">
        <x:f>MIN(1,(AB768/(AE768*IF(v01_GroupInCrowding=1,N769,MIN(J769,L769))))^v01_CrowdingExp)</x:f>
        <x:v>0.06520833237801582</x:v>
      </x:c>
      <x:c r="Q769" s="9" t="n">
        <x:f>IF(D769=1,INDEX(v01_WinterMult,G769),1)</x:f>
        <x:v>1</x:v>
      </x:c>
      <x:c r="R769" s="9" t="n">
        <x:f>H769*Z768*v01_WomenShare*v01_BaseFertility*INDEX(v01_FertMult,G769)*Arch_Fertility*(1-P769)</x:f>
        <x:v>8.053886722107237</x:v>
      </x:c>
      <x:c r="S769" s="9" t="n">
        <x:f>H769*Y768*INDEX(v01_MortChild,G769)/4*Q769</x:f>
        <x:v>1.81022275013013</x:v>
      </x:c>
      <x:c r="T769" s="9" t="n">
        <x:f>H769*Z768*INDEX(v01_MortAdult,G769)*Arch_AdultMort/4*Q769</x:f>
        <x:v>0.6075174699740553</x:v>
      </x:c>
      <x:c r="U769" s="9" t="n">
        <x:f>H769*AA768*INDEX(v01_MortElder,G769)/4*Q769</x:f>
        <x:v>1.1479469986698652</x:v>
      </x:c>
      <x:c r="V769" s="9" t="n">
        <x:f>H769*MAX(0,AB768-O769)*v01_OvercapLoss</x:f>
        <x:v>0</x:v>
      </x:c>
      <x:c r="W769" s="9" t="n">
        <x:f>H769*Y768/(v01_ChildYears*4)</x:f>
        <x:v>4.3100541669765</x:v>
      </x:c>
      <x:c r="X769" s="9" t="n">
        <x:f>H769*Z768/(v01_AdultYears*4)</x:f>
        <x:v>1.7815761582816871</x:v>
      </x:c>
      <x:c r="Y769" s="32" t="n">
        <x:f>Y768+R769-S769-W769-Y768*V769/AB768</x:f>
        <x:v>243.29664315568462</x:v>
      </x:c>
      <x:c r="Z769" s="32" t="n">
        <x:f>Z768+W769-X769-T769-Z768*V769/AB768</x:f>
        <x:v>222.83640416564995</x:v>
      </x:c>
      <x:c r="AA769" s="32" t="n">
        <x:f>AA768+X769-U769-AA768*V769/AB768</x:f>
        <x:v>71.27652138544967</x:v>
      </x:c>
      <x:c r="AB769" s="10" t="n">
        <x:f>Y769+Z769+AA769</x:f>
        <x:v>537.4095687067843</x:v>
      </x:c>
      <x:c r="AC769" s="8" t="n">
        <x:f>IF(AND(v01_WinterTrigger=1,D769=1,AB768/AE768&gt;=K769),1,0)</x:f>
        <x:v>0</x:v>
      </x:c>
      <x:c r="AD769" s="8" t="n">
        <x:f>H769*IF(AND(OR(AB768/AE768&gt;=v01_FissionTrigger*N769,AC769=1),AB768/AE768*v01_DaughterShare&gt;=v01_MinDaughter),MAX(1,ROUND(AE768*v01_FissionRate,0)),0)</x:f>
        <x:v>0</x:v>
      </x:c>
      <x:c r="AE769" s="8" t="n">
        <x:f>IF(H769=1,MAX(1,MIN(INDEX(v01_Smax,G769),AE768+AD769)),AE768)</x:f>
        <x:v>7</x:v>
      </x:c>
      <x:c r="AF769" s="8" t="n">
        <x:f>MAX(0,AE769-AE768)</x:f>
        <x:v>0</x:v>
      </x:c>
      <x:c r="AG769" s="9" t="str">
        <x:f>IF(AF769&gt;0,B769,"")</x:f>
      </x:c>
      <x:c r="AH769" s="9" t="n">
        <x:f>IF(F769&gt;=1,1,(1+v01_LowTiesShare*(AE769-1))/AE769)</x:f>
        <x:v>1</x:v>
      </x:c>
      <x:c r="AI769" s="32" t="n">
        <x:f>(Z769+v01_ElderCommons*INDEX(LM_Elder,G769)*AA769)*AH769</x:f>
        <x:v>436.665968321999</x:v>
      </x:c>
      <x:c r="AJ769" s="32" t="n">
        <x:f>H769*v01_CommonsCoef*AI769^v01_CommonsExp*INDEX(LM_Commons,G769)</x:f>
        <x:v>115.78995361892163</x:v>
      </x:c>
      <x:c r="AK769" s="32" t="n">
        <x:f>H769*v01_RoleScale*Arch_Roles*(AE769*(INDEX(v01_ElderRolePerSett,G769)*v01_OutElder*INDEX(LM_Elder,G769)+INDEX(v01_ShamanPerSett,G769)*v01_OutShaman)+Z769*(INDEX(v01_PriestShare,G769)*v01_OutPriest+INDEX(v01_ScribeShare,G769)*v01_OutScribe*INDEX(LM_Scribe,G769)+INDEX(v01_ScholarShare,G769)*v01_OutScholar*INDEX(LM_Scholar,G769)+INDEX(v01_ResearcherShare,G769)*v01_OutResearcher*INDEX(LM_Researcher,G769)))</x:f>
        <x:v>22.55985482915955</x:v>
      </x:c>
      <x:c r="AL769" s="32" t="n">
        <x:f>H769*v01_RoleScale*Arch_Roles*AE769*INDEX(v01_MonasteryPerSett,G769)*v01_OutMonastery*INDEX(LM_Monastery,G769)</x:f>
        <x:v>0</x:v>
      </x:c>
      <x:c r="AM769" s="32" t="n">
        <x:f>(AJ769+AK769+AL769)/4*INDEX(LM_All,G769)*INDEX(v01_Boon,G769)*Arch_Insight</x:f>
        <x:v>37.246902922071094</x:v>
      </x:c>
      <x:c r="AN769" s="32" t="n">
        <x:f>H769*(v01_KHPerAdult*Z769+v01_KHOfCommons*AJ769/4*INDEX(LM_All,G769))*v01_KHUsable*Arch_KH</x:f>
        <x:v>7.799274145797748</x:v>
      </x:c>
      <x:c r="AO769" s="32" t="n">
        <x:f>MIN(AP768+AN769,AM769*v01_KHMaxRatio)</x:f>
        <x:v>7.799274145797748</x:v>
      </x:c>
      <x:c r="AP769" s="32" t="n">
        <x:f>AP768+AN769-AO769</x:f>
        <x:v>0</x:v>
      </x:c>
      <x:c r="AQ769" s="32" t="n">
        <x:f>AM769+AO769</x:f>
        <x:v>45.04617706786884</x:v>
      </x:c>
      <x:c r="AR769" s="10" t="n">
        <x:f>IF(H769=1,INDEX(v01_Req,G769),0)</x:f>
        <x:v>9805.661999999998</x:v>
      </x:c>
      <x:c r="AS769" s="32" t="n">
        <x:f>IF(H769=1,IF(E769=1,AS768-AR768,AS768)+AQ769,0)</x:f>
        <x:v>2170.081291170537</x:v>
      </x:c>
      <x:c r="AT769" s="11" t="n">
        <x:f>IF(AR769&gt;0,MIN(1,AS769/AR769),1)</x:f>
        <x:v>0.22130900403976167</x:v>
      </x:c>
      <x:c r="AU769" s="10" t="n">
        <x:f>AB769/INDEX(v01_RepScale,G769)</x:f>
        <x:v>107.48191374135686</x:v>
      </x:c>
      <x:c r="AV769" s="32" t="n">
        <x:f>AM769*60/v01_SeasonSeconds</x:f>
        <x:v>148.98761168828437</x:v>
      </x:c>
    </x:row>
    <x:row r="770">
      <x:c r="A770" s="8" t="n">
        <x:f>A769+1</x:f>
        <x:v>767</x:v>
      </x:c>
      <x:c r="B770" s="9" t="n">
        <x:f>A770*v01_SeasonSeconds/60</x:f>
        <x:v>191.75</x:v>
      </x:c>
      <x:c r="C770" s="9" t="n">
        <x:f>A770/4</x:f>
        <x:v>191.75</x:v>
      </x:c>
      <x:c r="D770" s="8" t="n">
        <x:f>IF(MOD(A770,4)=0,1,0)</x:f>
        <x:v>0</x:v>
      </x:c>
      <x:c r="E770" s="8" t="n">
        <x:f>IF(AND(F769&lt;=9,AS769&gt;=AR769),1,0)</x:f>
        <x:v>0</x:v>
      </x:c>
      <x:c r="F770" s="8" t="n">
        <x:f>MIN(10,F769+E770)</x:f>
        <x:v>3</x:v>
      </x:c>
      <x:c r="G770" s="8" t="n">
        <x:f>MIN(F770,9)+1</x:f>
        <x:v>4</x:v>
      </x:c>
      <x:c r="H770" s="8" t="n">
        <x:f>IF(F770&lt;=9,1,0)</x:f>
        <x:v>1</x:v>
      </x:c>
      <x:c r="I770" s="9" t="n">
        <x:f>MIN(10,F769+IF(AR769&gt;0,MIN(1,AS769/AR769),1))</x:f>
        <x:v>3.2213090040397616</x:v>
      </x:c>
      <x:c r="J770" s="32" t="n">
        <x:f>INDEX(v01_FoodCap,G770)*Arch_FoodCap*EXP(v01_CapsByProject*SUMPRODUCT((Cap_Point&lt;=I770)*(Cap_Kind="Food")*Cap_Ln))</x:f>
        <x:v>120</x:v>
      </x:c>
      <x:c r="K770" s="32" t="n">
        <x:f>J770*MIN(1,v01_LeanBase*EXP(v01_CapsByProject*SUMPRODUCT((Cap_Point&lt;=I770)*(Cap_Kind="Lean")*Cap_Ln)))</x:f>
        <x:v>120</x:v>
      </x:c>
      <x:c r="L770" s="10" t="n">
        <x:f>INDEX(v01_HousingCap,G770)*EXP(v01_CapsByProject*SUMPRODUCT((Cap_Point&lt;=I770)*(Cap_Kind="Housing")*Cap_Ln))</x:f>
        <x:v>200</x:v>
      </x:c>
      <x:c r="M770" s="10" t="n">
        <x:f>INDEX(v01_GroupCap,G770)*v01_CohesionFactor*EXP(v01_CapsByProject*SUMPRODUCT((Cap_Point&lt;=I770)*(Cap_Kind="Group")*Cap_Ln))</x:f>
        <x:v>5000</x:v>
      </x:c>
      <x:c r="N770" s="32" t="n">
        <x:f>MIN(J770,L770,M770)</x:f>
        <x:v>120</x:v>
      </x:c>
      <x:c r="O770" s="10" t="n">
        <x:f>AE769*N770</x:f>
        <x:v>840</x:v>
      </x:c>
      <x:c r="P770" s="9" t="n">
        <x:f>MIN(1,(AB769/(AE769*IF(v01_GroupInCrowding=1,N770,MIN(J770,L770))))^v01_CrowdingExp)</x:f>
        <x:v>0.06857355312518522</x:v>
      </x:c>
      <x:c r="Q770" s="9" t="n">
        <x:f>IF(D770=1,INDEX(v01_WinterMult,G770),1)</x:f>
        <x:v>1</x:v>
      </x:c>
      <x:c r="R770" s="9" t="n">
        <x:f>H770*Z769*v01_WomenShare*v01_BaseFertility*INDEX(v01_FertMult,G770)*Arch_Fertility*(1-P770)</x:f>
        <x:v>8.094673086488488</x:v>
      </x:c>
      <x:c r="S770" s="9" t="n">
        <x:f>H770*Y769*INDEX(v01_MortChild,G770)/4*Q770</x:f>
        <x:v>1.8247248236676346</x:v>
      </x:c>
      <x:c r="T770" s="9" t="n">
        <x:f>H770*Z769*INDEX(v01_MortAdult,G770)*Arch_AdultMort/4*Q770</x:f>
        <x:v>0.6128001114555374</x:v>
      </x:c>
      <x:c r="U770" s="9" t="n">
        <x:f>H770*AA769*INDEX(v01_MortElder,G770)/4*Q770</x:f>
        <x:v>1.158243472513557</x:v>
      </x:c>
      <x:c r="V770" s="9" t="n">
        <x:f>H770*MAX(0,AB769-O770)*v01_OvercapLoss</x:f>
        <x:v>0</x:v>
      </x:c>
      <x:c r="W770" s="9" t="n">
        <x:f>H770*Y769/(v01_ChildYears*4)</x:f>
        <x:v>4.344582913494368</x:v>
      </x:c>
      <x:c r="X770" s="9" t="n">
        <x:f>H770*Z769/(v01_AdultYears*4)</x:f>
        <x:v>1.797067775529435</x:v>
      </x:c>
      <x:c r="Y770" s="32" t="n">
        <x:f>Y769+R770-S770-W770-Y769*V770/AB769</x:f>
        <x:v>245.2220085050111</x:v>
      </x:c>
      <x:c r="Z770" s="32" t="n">
        <x:f>Z769+W770-X770-T770-Z769*V770/AB769</x:f>
        <x:v>224.77111919215938</x:v>
      </x:c>
      <x:c r="AA770" s="32" t="n">
        <x:f>AA769+X770-U770-AA769*V770/AB769</x:f>
        <x:v>71.91534568846555</x:v>
      </x:c>
      <x:c r="AB770" s="10" t="n">
        <x:f>Y770+Z770+AA770</x:f>
        <x:v>541.9084733856361</x:v>
      </x:c>
      <x:c r="AC770" s="8" t="n">
        <x:f>IF(AND(v01_WinterTrigger=1,D770=1,AB769/AE769&gt;=K770),1,0)</x:f>
        <x:v>0</x:v>
      </x:c>
      <x:c r="AD770" s="8" t="n">
        <x:f>H770*IF(AND(OR(AB769/AE769&gt;=v01_FissionTrigger*N770,AC770=1),AB769/AE769*v01_DaughterShare&gt;=v01_MinDaughter),MAX(1,ROUND(AE769*v01_FissionRate,0)),0)</x:f>
        <x:v>0</x:v>
      </x:c>
      <x:c r="AE770" s="8" t="n">
        <x:f>IF(H770=1,MAX(1,MIN(INDEX(v01_Smax,G770),AE769+AD770)),AE769)</x:f>
        <x:v>7</x:v>
      </x:c>
      <x:c r="AF770" s="8" t="n">
        <x:f>MAX(0,AE770-AE769)</x:f>
        <x:v>0</x:v>
      </x:c>
      <x:c r="AG770" s="9" t="str">
        <x:f>IF(AF770&gt;0,B770,"")</x:f>
      </x:c>
      <x:c r="AH770" s="9" t="n">
        <x:f>IF(F770&gt;=1,1,(1+v01_LowTiesShare*(AE770-1))/AE770)</x:f>
        <x:v>1</x:v>
      </x:c>
      <x:c r="AI770" s="32" t="n">
        <x:f>(Z770+v01_ElderCommons*INDEX(LM_Elder,G770)*AA770)*AH770</x:f>
        <x:v>440.51715625755605</x:v>
      </x:c>
      <x:c r="AJ770" s="32" t="n">
        <x:f>H770*v01_CommonsCoef*AI770^v01_CommonsExp*INDEX(LM_Commons,G770)</x:f>
        <x:v>116.65741225193905</x:v>
      </x:c>
      <x:c r="AK770" s="32" t="n">
        <x:f>H770*v01_RoleScale*Arch_Roles*(AE770*(INDEX(v01_ElderRolePerSett,G770)*v01_OutElder*INDEX(LM_Elder,G770)+INDEX(v01_ShamanPerSett,G770)*v01_OutShaman)+Z770*(INDEX(v01_PriestShare,G770)*v01_OutPriest+INDEX(v01_ScribeShare,G770)*v01_OutScribe*INDEX(LM_Scribe,G770)+INDEX(v01_ScholarShare,G770)*v01_OutScholar*INDEX(LM_Scholar,G770)+INDEX(v01_ResearcherShare,G770)*v01_OutResearcher*INDEX(LM_Researcher,G770)))</x:f>
        <x:v>22.573397834345116</x:v>
      </x:c>
      <x:c r="AL770" s="32" t="n">
        <x:f>H770*v01_RoleScale*Arch_Roles*AE770*INDEX(v01_MonasteryPerSett,G770)*v01_OutMonastery*INDEX(LM_Monastery,G770)</x:f>
        <x:v>0</x:v>
      </x:c>
      <x:c r="AM770" s="32" t="n">
        <x:f>(AJ770+AK770+AL770)/4*INDEX(LM_All,G770)*INDEX(v01_Boon,G770)*Arch_Insight</x:f>
        <x:v>37.48408852326871</x:v>
      </x:c>
      <x:c r="AN770" s="32" t="n">
        <x:f>H770*(v01_KHPerAdult*Z770+v01_KHOfCommons*AJ770/4*INDEX(LM_All,G770))*v01_KHUsable*Arch_KH</x:f>
        <x:v>7.866989171725578</x:v>
      </x:c>
      <x:c r="AO770" s="32" t="n">
        <x:f>MIN(AP769+AN770,AM770*v01_KHMaxRatio)</x:f>
        <x:v>7.866989171725578</x:v>
      </x:c>
      <x:c r="AP770" s="32" t="n">
        <x:f>AP769+AN770-AO770</x:f>
        <x:v>0</x:v>
      </x:c>
      <x:c r="AQ770" s="32" t="n">
        <x:f>AM770+AO770</x:f>
        <x:v>45.35107769499429</x:v>
      </x:c>
      <x:c r="AR770" s="10" t="n">
        <x:f>IF(H770=1,INDEX(v01_Req,G770),0)</x:f>
        <x:v>9805.661999999998</x:v>
      </x:c>
      <x:c r="AS770" s="32" t="n">
        <x:f>IF(H770=1,IF(E770=1,AS769-AR769,AS769)+AQ770,0)</x:f>
        <x:v>2215.4323688655313</x:v>
      </x:c>
      <x:c r="AT770" s="11" t="n">
        <x:f>IF(AR770&gt;0,MIN(1,AS770/AR770),1)</x:f>
        <x:v>0.22593399291812544</x:v>
      </x:c>
      <x:c r="AU770" s="10" t="n">
        <x:f>AB770/INDEX(v01_RepScale,G770)</x:f>
        <x:v>108.38169467712721</x:v>
      </x:c>
      <x:c r="AV770" s="32" t="n">
        <x:f>AM770*60/v01_SeasonSeconds</x:f>
        <x:v>149.93635409307484</x:v>
      </x:c>
    </x:row>
    <x:row r="771">
      <x:c r="A771" s="8" t="n">
        <x:f>A770+1</x:f>
        <x:v>768</x:v>
      </x:c>
      <x:c r="B771" s="9" t="n">
        <x:f>A771*v01_SeasonSeconds/60</x:f>
        <x:v>192</x:v>
      </x:c>
      <x:c r="C771" s="9" t="n">
        <x:f>A771/4</x:f>
        <x:v>192</x:v>
      </x:c>
      <x:c r="D771" s="8" t="n">
        <x:f>IF(MOD(A771,4)=0,1,0)</x:f>
        <x:v>1</x:v>
      </x:c>
      <x:c r="E771" s="8" t="n">
        <x:f>IF(AND(F770&lt;=9,AS770&gt;=AR770),1,0)</x:f>
        <x:v>0</x:v>
      </x:c>
      <x:c r="F771" s="8" t="n">
        <x:f>MIN(10,F770+E771)</x:f>
        <x:v>3</x:v>
      </x:c>
      <x:c r="G771" s="8" t="n">
        <x:f>MIN(F771,9)+1</x:f>
        <x:v>4</x:v>
      </x:c>
      <x:c r="H771" s="8" t="n">
        <x:f>IF(F771&lt;=9,1,0)</x:f>
        <x:v>1</x:v>
      </x:c>
      <x:c r="I771" s="9" t="n">
        <x:f>MIN(10,F770+IF(AR770&gt;0,MIN(1,AS770/AR770),1))</x:f>
        <x:v>3.2259339929181254</x:v>
      </x:c>
      <x:c r="J771" s="32" t="n">
        <x:f>INDEX(v01_FoodCap,G771)*Arch_FoodCap*EXP(v01_CapsByProject*SUMPRODUCT((Cap_Point&lt;=I771)*(Cap_Kind="Food")*Cap_Ln))</x:f>
        <x:v>120</x:v>
      </x:c>
      <x:c r="K771" s="32" t="n">
        <x:f>J771*MIN(1,v01_LeanBase*EXP(v01_CapsByProject*SUMPRODUCT((Cap_Point&lt;=I771)*(Cap_Kind="Lean")*Cap_Ln)))</x:f>
        <x:v>120</x:v>
      </x:c>
      <x:c r="L771" s="10" t="n">
        <x:f>INDEX(v01_HousingCap,G771)*EXP(v01_CapsByProject*SUMPRODUCT((Cap_Point&lt;=I771)*(Cap_Kind="Housing")*Cap_Ln))</x:f>
        <x:v>200</x:v>
      </x:c>
      <x:c r="M771" s="10" t="n">
        <x:f>INDEX(v01_GroupCap,G771)*v01_CohesionFactor*EXP(v01_CapsByProject*SUMPRODUCT((Cap_Point&lt;=I771)*(Cap_Kind="Group")*Cap_Ln))</x:f>
        <x:v>5000</x:v>
      </x:c>
      <x:c r="N771" s="32" t="n">
        <x:f>MIN(J771,L771,M771)</x:f>
        <x:v>120</x:v>
      </x:c>
      <x:c r="O771" s="10" t="n">
        <x:f>AE770*N771</x:f>
        <x:v>840</x:v>
      </x:c>
      <x:c r="P771" s="9" t="n">
        <x:f>MIN(1,(AB770/(AE770*IF(v01_GroupInCrowding=1,N771,MIN(J771,L771))))^v01_CrowdingExp)</x:f>
        <x:v>0.07209081482829648</x:v>
      </x:c>
      <x:c r="Q771" s="9" t="n">
        <x:f>IF(D771=1,INDEX(v01_WinterMult,G771),1)</x:f>
        <x:v>1.15</x:v>
      </x:c>
      <x:c r="R771" s="9" t="n">
        <x:f>H771*Z770*v01_WomenShare*v01_BaseFertility*INDEX(v01_FertMult,G771)*Arch_Fertility*(1-P771)</x:f>
        <x:v>8.134120256329409</x:v>
      </x:c>
      <x:c r="S771" s="9" t="n">
        <x:f>H771*Y770*INDEX(v01_MortChild,G771)/4*Q771</x:f>
        <x:v>2.1150398233557204</x:v>
      </x:c>
      <x:c r="T771" s="9" t="n">
        <x:f>H771*Z770*INDEX(v01_MortAdult,G771)*Arch_AdultMort/4*Q771</x:f>
        <x:v>0.7108386644452039</x:v>
      </x:c>
      <x:c r="U771" s="9" t="n">
        <x:f>H771*AA770*INDEX(v01_MortElder,G771)/4*Q771</x:f>
        <x:v>1.3439180225532</x:v>
      </x:c>
      <x:c r="V771" s="9" t="n">
        <x:f>H771*MAX(0,AB770-O771)*v01_OvercapLoss</x:f>
        <x:v>0</x:v>
      </x:c>
      <x:c r="W771" s="9" t="n">
        <x:f>H771*Y770/(v01_ChildYears*4)</x:f>
        <x:v>4.378964437589484</x:v>
      </x:c>
      <x:c r="X771" s="9" t="n">
        <x:f>H771*Z770/(v01_AdultYears*4)</x:f>
        <x:v>1.8126703160658013</x:v>
      </x:c>
      <x:c r="Y771" s="32" t="n">
        <x:f>Y770+R771-S771-W771-Y770*V771/AB770</x:f>
        <x:v>246.8621245003953</x:v>
      </x:c>
      <x:c r="Z771" s="32" t="n">
        <x:f>Z770+W771-X771-T771-Z770*V771/AB770</x:f>
        <x:v>226.62657464923785</x:v>
      </x:c>
      <x:c r="AA771" s="32" t="n">
        <x:f>AA770+X771-U771-AA770*V771/AB770</x:f>
        <x:v>72.38409798197816</x:v>
      </x:c>
      <x:c r="AB771" s="10" t="n">
        <x:f>Y771+Z771+AA771</x:f>
        <x:v>545.8727971316113</x:v>
      </x:c>
      <x:c r="AC771" s="8" t="n">
        <x:f>IF(AND(v01_WinterTrigger=1,D771=1,AB770/AE770&gt;=K771),1,0)</x:f>
        <x:v>0</x:v>
      </x:c>
      <x:c r="AD771" s="8" t="n">
        <x:f>H771*IF(AND(OR(AB770/AE770&gt;=v01_FissionTrigger*N771,AC771=1),AB770/AE770*v01_DaughterShare&gt;=v01_MinDaughter),MAX(1,ROUND(AE770*v01_FissionRate,0)),0)</x:f>
        <x:v>0</x:v>
      </x:c>
      <x:c r="AE771" s="8" t="n">
        <x:f>IF(H771=1,MAX(1,MIN(INDEX(v01_Smax,G771),AE770+AD771)),AE770)</x:f>
        <x:v>7</x:v>
      </x:c>
      <x:c r="AF771" s="8" t="n">
        <x:f>MAX(0,AE771-AE770)</x:f>
        <x:v>0</x:v>
      </x:c>
      <x:c r="AG771" s="9" t="str">
        <x:f>IF(AF771&gt;0,B771,"")</x:f>
      </x:c>
      <x:c r="AH771" s="9" t="n">
        <x:f>IF(F771&gt;=1,1,(1+v01_LowTiesShare*(AE771-1))/AE771)</x:f>
        <x:v>1</x:v>
      </x:c>
      <x:c r="AI771" s="32" t="n">
        <x:f>(Z771+v01_ElderCommons*INDEX(LM_Elder,G771)*AA771)*AH771</x:f>
        <x:v>443.7788685951723</x:v>
      </x:c>
      <x:c r="AJ771" s="32" t="n">
        <x:f>H771*v01_CommonsCoef*AI771^v01_CommonsExp*INDEX(LM_Commons,G771)</x:f>
        <x:v>117.39120520367494</x:v>
      </x:c>
      <x:c r="AK771" s="32" t="n">
        <x:f>H771*v01_RoleScale*Arch_Roles*(AE771*(INDEX(v01_ElderRolePerSett,G771)*v01_OutElder*INDEX(LM_Elder,G771)+INDEX(v01_ShamanPerSett,G771)*v01_OutShaman)+Z771*(INDEX(v01_PriestShare,G771)*v01_OutPriest+INDEX(v01_ScribeShare,G771)*v01_OutScribe*INDEX(LM_Scribe,G771)+INDEX(v01_ScholarShare,G771)*v01_OutScholar*INDEX(LM_Scholar,G771)+INDEX(v01_ResearcherShare,G771)*v01_OutResearcher*INDEX(LM_Researcher,G771)))</x:f>
        <x:v>22.586386022544666</x:v>
      </x:c>
      <x:c r="AL771" s="32" t="n">
        <x:f>H771*v01_RoleScale*Arch_Roles*AE771*INDEX(v01_MonasteryPerSett,G771)*v01_OutMonastery*INDEX(LM_Monastery,G771)</x:f>
        <x:v>0</x:v>
      </x:c>
      <x:c r="AM771" s="32" t="n">
        <x:f>(AJ771+AK771+AL771)/4*INDEX(LM_All,G771)*INDEX(v01_Boon,G771)*Arch_Insight</x:f>
        <x:v>37.68513892539952</x:v>
      </x:c>
      <x:c r="AN771" s="32" t="n">
        <x:f>H771*(v01_KHPerAdult*Z771+v01_KHOfCommons*AJ771/4*INDEX(LM_All,G771))*v01_KHUsable*Arch_KH</x:f>
        <x:v>7.931930112723324</x:v>
      </x:c>
      <x:c r="AO771" s="32" t="n">
        <x:f>MIN(AP770+AN771,AM771*v01_KHMaxRatio)</x:f>
        <x:v>7.931930112723324</x:v>
      </x:c>
      <x:c r="AP771" s="32" t="n">
        <x:f>AP770+AN771-AO771</x:f>
        <x:v>0</x:v>
      </x:c>
      <x:c r="AQ771" s="32" t="n">
        <x:f>AM771+AO771</x:f>
        <x:v>45.61706903812284</x:v>
      </x:c>
      <x:c r="AR771" s="10" t="n">
        <x:f>IF(H771=1,INDEX(v01_Req,G771),0)</x:f>
        <x:v>9805.661999999998</x:v>
      </x:c>
      <x:c r="AS771" s="32" t="n">
        <x:f>IF(H771=1,IF(E771=1,AS770-AR770,AS770)+AQ771,0)</x:f>
        <x:v>2261.049437903654</x:v>
      </x:c>
      <x:c r="AT771" s="11" t="n">
        <x:f>IF(AR771&gt;0,MIN(1,AS771/AR771),1)</x:f>
        <x:v>0.23058610809791877</x:v>
      </x:c>
      <x:c r="AU771" s="10" t="n">
        <x:f>AB771/INDEX(v01_RepScale,G771)</x:f>
        <x:v>109.17455942632225</x:v>
      </x:c>
      <x:c r="AV771" s="32" t="n">
        <x:f>AM771*60/v01_SeasonSeconds</x:f>
        <x:v>150.74055570159808</x:v>
      </x:c>
    </x:row>
    <x:row r="772">
      <x:c r="A772" s="8" t="n">
        <x:f>A771+1</x:f>
        <x:v>769</x:v>
      </x:c>
      <x:c r="B772" s="9" t="n">
        <x:f>A772*v01_SeasonSeconds/60</x:f>
        <x:v>192.25</x:v>
      </x:c>
      <x:c r="C772" s="9" t="n">
        <x:f>A772/4</x:f>
        <x:v>192.25</x:v>
      </x:c>
      <x:c r="D772" s="8" t="n">
        <x:f>IF(MOD(A772,4)=0,1,0)</x:f>
        <x:v>0</x:v>
      </x:c>
      <x:c r="E772" s="8" t="n">
        <x:f>IF(AND(F771&lt;=9,AS771&gt;=AR771),1,0)</x:f>
        <x:v>0</x:v>
      </x:c>
      <x:c r="F772" s="8" t="n">
        <x:f>MIN(10,F771+E772)</x:f>
        <x:v>3</x:v>
      </x:c>
      <x:c r="G772" s="8" t="n">
        <x:f>MIN(F772,9)+1</x:f>
        <x:v>4</x:v>
      </x:c>
      <x:c r="H772" s="8" t="n">
        <x:f>IF(F772&lt;=9,1,0)</x:f>
        <x:v>1</x:v>
      </x:c>
      <x:c r="I772" s="9" t="n">
        <x:f>MIN(10,F771+IF(AR771&gt;0,MIN(1,AS771/AR771),1))</x:f>
        <x:v>3.230586108097919</x:v>
      </x:c>
      <x:c r="J772" s="32" t="n">
        <x:f>INDEX(v01_FoodCap,G772)*Arch_FoodCap*EXP(v01_CapsByProject*SUMPRODUCT((Cap_Point&lt;=I772)*(Cap_Kind="Food")*Cap_Ln))</x:f>
        <x:v>120</x:v>
      </x:c>
      <x:c r="K772" s="32" t="n">
        <x:f>J772*MIN(1,v01_LeanBase*EXP(v01_CapsByProject*SUMPRODUCT((Cap_Point&lt;=I772)*(Cap_Kind="Lean")*Cap_Ln)))</x:f>
        <x:v>120</x:v>
      </x:c>
      <x:c r="L772" s="10" t="n">
        <x:f>INDEX(v01_HousingCap,G772)*EXP(v01_CapsByProject*SUMPRODUCT((Cap_Point&lt;=I772)*(Cap_Kind="Housing")*Cap_Ln))</x:f>
        <x:v>200</x:v>
      </x:c>
      <x:c r="M772" s="10" t="n">
        <x:f>INDEX(v01_GroupCap,G772)*v01_CohesionFactor*EXP(v01_CapsByProject*SUMPRODUCT((Cap_Point&lt;=I772)*(Cap_Kind="Group")*Cap_Ln))</x:f>
        <x:v>5000</x:v>
      </x:c>
      <x:c r="N772" s="32" t="n">
        <x:f>MIN(J772,L772,M772)</x:f>
        <x:v>120</x:v>
      </x:c>
      <x:c r="O772" s="10" t="n">
        <x:f>AE771*N772</x:f>
        <x:v>840</x:v>
      </x:c>
      <x:c r="P772" s="9" t="n">
        <x:f>MIN(1,(AB771/(AE771*IF(v01_GroupInCrowding=1,N772,MIN(J772,L772))))^v01_CrowdingExp)</x:f>
        <x:v>0.07531352893923153</x:v>
      </x:c>
      <x:c r="Q772" s="9" t="n">
        <x:f>IF(D772=1,INDEX(v01_WinterMult,G772),1)</x:f>
        <x:v>1</x:v>
      </x:c>
      <x:c r="R772" s="9" t="n">
        <x:f>H772*Z771*v01_WomenShare*v01_BaseFertility*INDEX(v01_FertMult,G772)*Arch_Fertility*(1-P772)</x:f>
        <x:v>8.17278257487875</x:v>
      </x:c>
      <x:c r="S772" s="9" t="n">
        <x:f>H772*Y771*INDEX(v01_MortChild,G772)/4*Q772</x:f>
        <x:v>1.8514659337529649</x:v>
      </x:c>
      <x:c r="T772" s="9" t="n">
        <x:f>H772*Z771*INDEX(v01_MortAdult,G772)*Arch_AdultMort/4*Q772</x:f>
        <x:v>0.6232230802854041</x:v>
      </x:c>
      <x:c r="U772" s="9" t="n">
        <x:f>H772*AA771*INDEX(v01_MortElder,G772)/4*Q772</x:f>
        <x:v>1.1762415922071452</x:v>
      </x:c>
      <x:c r="V772" s="9" t="n">
        <x:f>H772*MAX(0,AB771-O772)*v01_OvercapLoss</x:f>
        <x:v>0</x:v>
      </x:c>
      <x:c r="W772" s="9" t="n">
        <x:f>H772*Y771/(v01_ChildYears*4)</x:f>
        <x:v>4.408252223221345</x:v>
      </x:c>
      <x:c r="X772" s="9" t="n">
        <x:f>H772*Z771/(v01_AdultYears*4)</x:f>
        <x:v>1.8276336665261117</x:v>
      </x:c>
      <x:c r="Y772" s="32" t="n">
        <x:f>Y771+R772-S772-W772-Y771*V772/AB771</x:f>
        <x:v>248.77518891829973</x:v>
      </x:c>
      <x:c r="Z772" s="32" t="n">
        <x:f>Z771+W772-X772-T772-Z771*V772/AB771</x:f>
        <x:v>228.58397012564768</x:v>
      </x:c>
      <x:c r="AA772" s="32" t="n">
        <x:f>AA771+X772-U772-AA771*V772/AB771</x:f>
        <x:v>73.03549005629712</x:v>
      </x:c>
      <x:c r="AB772" s="10" t="n">
        <x:f>Y772+Z772+AA772</x:f>
        <x:v>550.3946491002446</x:v>
      </x:c>
      <x:c r="AC772" s="8" t="n">
        <x:f>IF(AND(v01_WinterTrigger=1,D772=1,AB771/AE771&gt;=K772),1,0)</x:f>
        <x:v>0</x:v>
      </x:c>
      <x:c r="AD772" s="8" t="n">
        <x:f>H772*IF(AND(OR(AB771/AE771&gt;=v01_FissionTrigger*N772,AC772=1),AB771/AE771*v01_DaughterShare&gt;=v01_MinDaughter),MAX(1,ROUND(AE771*v01_FissionRate,0)),0)</x:f>
        <x:v>0</x:v>
      </x:c>
      <x:c r="AE772" s="8" t="n">
        <x:f>IF(H772=1,MAX(1,MIN(INDEX(v01_Smax,G772),AE771+AD772)),AE771)</x:f>
        <x:v>7</x:v>
      </x:c>
      <x:c r="AF772" s="8" t="n">
        <x:f>MAX(0,AE772-AE771)</x:f>
        <x:v>0</x:v>
      </x:c>
      <x:c r="AG772" s="9" t="str">
        <x:f>IF(AF772&gt;0,B772,"")</x:f>
      </x:c>
      <x:c r="AH772" s="9" t="n">
        <x:f>IF(F772&gt;=1,1,(1+v01_LowTiesShare*(AE772-1))/AE772)</x:f>
        <x:v>1</x:v>
      </x:c>
      <x:c r="AI772" s="32" t="n">
        <x:f>(Z772+v01_ElderCommons*INDEX(LM_Elder,G772)*AA772)*AH772</x:f>
        <x:v>447.69044029453903</x:v>
      </x:c>
      <x:c r="AJ772" s="32" t="n">
        <x:f>H772*v01_CommonsCoef*AI772^v01_CommonsExp*INDEX(LM_Commons,G772)</x:f>
        <x:v>118.27013246878722</x:v>
      </x:c>
      <x:c r="AK772" s="32" t="n">
        <x:f>H772*v01_RoleScale*Arch_Roles*(AE772*(INDEX(v01_ElderRolePerSett,G772)*v01_OutElder*INDEX(LM_Elder,G772)+INDEX(v01_ShamanPerSett,G772)*v01_OutShaman)+Z772*(INDEX(v01_PriestShare,G772)*v01_OutPriest+INDEX(v01_ScribeShare,G772)*v01_OutScribe*INDEX(LM_Scribe,G772)+INDEX(v01_ScholarShare,G772)*v01_OutScholar*INDEX(LM_Scholar,G772)+INDEX(v01_ResearcherShare,G772)*v01_OutResearcher*INDEX(LM_Researcher,G772)))</x:f>
        <x:v>22.600087790879535</x:v>
      </x:c>
      <x:c r="AL772" s="32" t="n">
        <x:f>H772*v01_RoleScale*Arch_Roles*AE772*INDEX(v01_MonasteryPerSett,G772)*v01_OutMonastery*INDEX(LM_Monastery,G772)</x:f>
        <x:v>0</x:v>
      </x:c>
      <x:c r="AM772" s="32" t="n">
        <x:f>(AJ772+AK772+AL772)/4*INDEX(LM_All,G772)*INDEX(v01_Boon,G772)*Arch_Insight</x:f>
        <x:v>37.92545488483004</x:v>
      </x:c>
      <x:c r="AN772" s="32" t="n">
        <x:f>H772*(v01_KHPerAdult*Z772+v01_KHOfCommons*AJ772/4*INDEX(LM_All,G772))*v01_KHUsable*Arch_KH</x:f>
        <x:v>8.00043895439767</x:v>
      </x:c>
      <x:c r="AO772" s="32" t="n">
        <x:f>MIN(AP771+AN772,AM772*v01_KHMaxRatio)</x:f>
        <x:v>8.00043895439767</x:v>
      </x:c>
      <x:c r="AP772" s="32" t="n">
        <x:f>AP771+AN772-AO772</x:f>
        <x:v>0</x:v>
      </x:c>
      <x:c r="AQ772" s="32" t="n">
        <x:f>AM772+AO772</x:f>
        <x:v>45.92589383922771</x:v>
      </x:c>
      <x:c r="AR772" s="10" t="n">
        <x:f>IF(H772=1,INDEX(v01_Req,G772),0)</x:f>
        <x:v>9805.661999999998</x:v>
      </x:c>
      <x:c r="AS772" s="32" t="n">
        <x:f>IF(H772=1,IF(E772=1,AS771-AR771,AS771)+AQ772,0)</x:f>
        <x:v>2306.9753317428817</x:v>
      </x:c>
      <x:c r="AT772" s="11" t="n">
        <x:f>IF(AR772&gt;0,MIN(1,AS772/AR772),1)</x:f>
        <x:v>0.23526971781638834</x:v>
      </x:c>
      <x:c r="AU772" s="10" t="n">
        <x:f>AB772/INDEX(v01_RepScale,G772)</x:f>
        <x:v>110.07892982004891</x:v>
      </x:c>
      <x:c r="AV772" s="32" t="n">
        <x:f>AM772*60/v01_SeasonSeconds</x:f>
        <x:v>151.70181953932016</x:v>
      </x:c>
    </x:row>
    <x:row r="773">
      <x:c r="A773" s="8" t="n">
        <x:f>A772+1</x:f>
        <x:v>770</x:v>
      </x:c>
      <x:c r="B773" s="9" t="n">
        <x:f>A773*v01_SeasonSeconds/60</x:f>
        <x:v>192.5</x:v>
      </x:c>
      <x:c r="C773" s="9" t="n">
        <x:f>A773/4</x:f>
        <x:v>192.5</x:v>
      </x:c>
      <x:c r="D773" s="8" t="n">
        <x:f>IF(MOD(A773,4)=0,1,0)</x:f>
        <x:v>0</x:v>
      </x:c>
      <x:c r="E773" s="8" t="n">
        <x:f>IF(AND(F772&lt;=9,AS772&gt;=AR772),1,0)</x:f>
        <x:v>0</x:v>
      </x:c>
      <x:c r="F773" s="8" t="n">
        <x:f>MIN(10,F772+E773)</x:f>
        <x:v>3</x:v>
      </x:c>
      <x:c r="G773" s="8" t="n">
        <x:f>MIN(F773,9)+1</x:f>
        <x:v>4</x:v>
      </x:c>
      <x:c r="H773" s="8" t="n">
        <x:f>IF(F773&lt;=9,1,0)</x:f>
        <x:v>1</x:v>
      </x:c>
      <x:c r="I773" s="9" t="n">
        <x:f>MIN(10,F772+IF(AR772&gt;0,MIN(1,AS772/AR772),1))</x:f>
        <x:v>3.2352697178163883</x:v>
      </x:c>
      <x:c r="J773" s="32" t="n">
        <x:f>INDEX(v01_FoodCap,G773)*Arch_FoodCap*EXP(v01_CapsByProject*SUMPRODUCT((Cap_Point&lt;=I773)*(Cap_Kind="Food")*Cap_Ln))</x:f>
        <x:v>120</x:v>
      </x:c>
      <x:c r="K773" s="32" t="n">
        <x:f>J773*MIN(1,v01_LeanBase*EXP(v01_CapsByProject*SUMPRODUCT((Cap_Point&lt;=I773)*(Cap_Kind="Lean")*Cap_Ln)))</x:f>
        <x:v>120</x:v>
      </x:c>
      <x:c r="L773" s="10" t="n">
        <x:f>INDEX(v01_HousingCap,G773)*EXP(v01_CapsByProject*SUMPRODUCT((Cap_Point&lt;=I773)*(Cap_Kind="Housing")*Cap_Ln))</x:f>
        <x:v>200</x:v>
      </x:c>
      <x:c r="M773" s="10" t="n">
        <x:f>INDEX(v01_GroupCap,G773)*v01_CohesionFactor*EXP(v01_CapsByProject*SUMPRODUCT((Cap_Point&lt;=I773)*(Cap_Kind="Group")*Cap_Ln))</x:f>
        <x:v>5000</x:v>
      </x:c>
      <x:c r="N773" s="32" t="n">
        <x:f>MIN(J773,L773,M773)</x:f>
        <x:v>120</x:v>
      </x:c>
      <x:c r="O773" s="10" t="n">
        <x:f>AE772*N773</x:f>
        <x:v>840</x:v>
      </x:c>
      <x:c r="P773" s="9" t="n">
        <x:f>MIN(1,(AB772/(AE772*IF(v01_GroupInCrowding=1,N773,MIN(J773,L773))))^v01_CrowdingExp)</x:f>
        <x:v>0.07913516314288076</x:v>
      </x:c>
      <x:c r="Q773" s="9" t="n">
        <x:f>IF(D773=1,INDEX(v01_WinterMult,G773),1)</x:f>
        <x:v>1</x:v>
      </x:c>
      <x:c r="R773" s="9" t="n">
        <x:f>H773*Z772*v01_WomenShare*v01_BaseFertility*INDEX(v01_FertMult,G773)*Arch_Fertility*(1-P773)</x:f>
        <x:v>8.209302673958382</x:v>
      </x:c>
      <x:c r="S773" s="9" t="n">
        <x:f>H773*Y772*INDEX(v01_MortChild,G773)/4*Q773</x:f>
        <x:v>1.8658139168872478</x:v>
      </x:c>
      <x:c r="T773" s="9" t="n">
        <x:f>H773*Z772*INDEX(v01_MortAdult,G773)*Arch_AdultMort/4*Q773</x:f>
        <x:v>0.6286059178455311</x:v>
      </x:c>
      <x:c r="U773" s="9" t="n">
        <x:f>H773*AA772*INDEX(v01_MortElder,G773)/4*Q773</x:f>
        <x:v>1.1868267134148283</x:v>
      </x:c>
      <x:c r="V773" s="9" t="n">
        <x:f>H773*MAX(0,AB772-O773)*v01_OvercapLoss</x:f>
        <x:v>0</x:v>
      </x:c>
      <x:c r="W773" s="9" t="n">
        <x:f>H773*Y772/(v01_ChildYears*4)</x:f>
        <x:v>4.442414087826781</x:v>
      </x:c>
      <x:c r="X773" s="9" t="n">
        <x:f>H773*Z772/(v01_AdultYears*4)</x:f>
        <x:v>1.8434191139165135</x:v>
      </x:c>
      <x:c r="Y773" s="32" t="n">
        <x:f>Y772+R773-S773-W773-Y772*V773/AB772</x:f>
        <x:v>250.67626358754407</x:v>
      </x:c>
      <x:c r="Z773" s="32" t="n">
        <x:f>Z772+W773-X773-T773-Z772*V773/AB772</x:f>
        <x:v>230.5543591817124</x:v>
      </x:c>
      <x:c r="AA773" s="32" t="n">
        <x:f>AA772+X773-U773-AA772*V773/AB772</x:f>
        <x:v>73.6920824567988</x:v>
      </x:c>
      <x:c r="AB773" s="10" t="n">
        <x:f>Y773+Z773+AA773</x:f>
        <x:v>554.9227052260553</x:v>
      </x:c>
      <x:c r="AC773" s="8" t="n">
        <x:f>IF(AND(v01_WinterTrigger=1,D773=1,AB772/AE772&gt;=K773),1,0)</x:f>
        <x:v>0</x:v>
      </x:c>
      <x:c r="AD773" s="8" t="n">
        <x:f>H773*IF(AND(OR(AB772/AE772&gt;=v01_FissionTrigger*N773,AC773=1),AB772/AE772*v01_DaughterShare&gt;=v01_MinDaughter),MAX(1,ROUND(AE772*v01_FissionRate,0)),0)</x:f>
        <x:v>0</x:v>
      </x:c>
      <x:c r="AE773" s="8" t="n">
        <x:f>IF(H773=1,MAX(1,MIN(INDEX(v01_Smax,G773),AE772+AD773)),AE772)</x:f>
        <x:v>7</x:v>
      </x:c>
      <x:c r="AF773" s="8" t="n">
        <x:f>MAX(0,AE773-AE772)</x:f>
        <x:v>0</x:v>
      </x:c>
      <x:c r="AG773" s="9" t="str">
        <x:f>IF(AF773&gt;0,B773,"")</x:f>
      </x:c>
      <x:c r="AH773" s="9" t="n">
        <x:f>IF(F773&gt;=1,1,(1+v01_LowTiesShare*(AE773-1))/AE773)</x:f>
        <x:v>1</x:v>
      </x:c>
      <x:c r="AI773" s="32" t="n">
        <x:f>(Z773+v01_ElderCommons*INDEX(LM_Elder,G773)*AA773)*AH773</x:f>
        <x:v>451.6306065521088</x:v>
      </x:c>
      <x:c r="AJ773" s="32" t="n">
        <x:f>H773*v01_CommonsCoef*AI773^v01_CommonsExp*INDEX(LM_Commons,G773)</x:f>
        <x:v>119.1543211156666</x:v>
      </x:c>
      <x:c r="AK773" s="32" t="n">
        <x:f>H773*v01_RoleScale*Arch_Roles*(AE773*(INDEX(v01_ElderRolePerSett,G773)*v01_OutElder*INDEX(LM_Elder,G773)+INDEX(v01_ShamanPerSett,G773)*v01_OutShaman)+Z773*(INDEX(v01_PriestShare,G773)*v01_OutPriest+INDEX(v01_ScribeShare,G773)*v01_OutScribe*INDEX(LM_Scribe,G773)+INDEX(v01_ScholarShare,G773)*v01_OutScholar*INDEX(LM_Scholar,G773)+INDEX(v01_ResearcherShare,G773)*v01_OutResearcher*INDEX(LM_Researcher,G773)))</x:f>
        <x:v>22.613880514271987</x:v>
      </x:c>
      <x:c r="AL773" s="32" t="n">
        <x:f>H773*v01_RoleScale*Arch_Roles*AE773*INDEX(v01_MonasteryPerSett,G773)*v01_OutMonastery*INDEX(LM_Monastery,G773)</x:f>
        <x:v>0</x:v>
      </x:c>
      <x:c r="AM773" s="32" t="n">
        <x:f>(AJ773+AK773+AL773)/4*INDEX(LM_All,G773)*INDEX(v01_Boon,G773)*Arch_Insight</x:f>
        <x:v>38.167211814597636</x:v>
      </x:c>
      <x:c r="AN773" s="32" t="n">
        <x:f>H773*(v01_KHPerAdult*Z773+v01_KHOfCommons*AJ773/4*INDEX(LM_All,G773))*v01_KHUsable*Arch_KH</x:f>
        <x:v>8.069402571359934</x:v>
      </x:c>
      <x:c r="AO773" s="32" t="n">
        <x:f>MIN(AP772+AN773,AM773*v01_KHMaxRatio)</x:f>
        <x:v>8.069402571359934</x:v>
      </x:c>
      <x:c r="AP773" s="32" t="n">
        <x:f>AP772+AN773-AO773</x:f>
        <x:v>0</x:v>
      </x:c>
      <x:c r="AQ773" s="32" t="n">
        <x:f>AM773+AO773</x:f>
        <x:v>46.236614385957566</x:v>
      </x:c>
      <x:c r="AR773" s="10" t="n">
        <x:f>IF(H773=1,INDEX(v01_Req,G773),0)</x:f>
        <x:v>9805.661999999998</x:v>
      </x:c>
      <x:c r="AS773" s="32" t="n">
        <x:f>IF(H773=1,IF(E773=1,AS772-AR772,AS772)+AQ773,0)</x:f>
        <x:v>2353.2119461288394</x:v>
      </x:c>
      <x:c r="AT773" s="11" t="n">
        <x:f>IF(AR773&gt;0,MIN(1,AS773/AR773),1)</x:f>
        <x:v>0.23998501540526684</x:v>
      </x:c>
      <x:c r="AU773" s="10" t="n">
        <x:f>AB773/INDEX(v01_RepScale,G773)</x:f>
        <x:v>110.98454104521106</x:v>
      </x:c>
      <x:c r="AV773" s="32" t="n">
        <x:f>AM773*60/v01_SeasonSeconds</x:f>
        <x:v>152.66884725839054</x:v>
      </x:c>
    </x:row>
    <x:row r="774">
      <x:c r="A774" s="8" t="n">
        <x:f>A773+1</x:f>
        <x:v>771</x:v>
      </x:c>
      <x:c r="B774" s="9" t="n">
        <x:f>A774*v01_SeasonSeconds/60</x:f>
        <x:v>192.75</x:v>
      </x:c>
      <x:c r="C774" s="9" t="n">
        <x:f>A774/4</x:f>
        <x:v>192.75</x:v>
      </x:c>
      <x:c r="D774" s="8" t="n">
        <x:f>IF(MOD(A774,4)=0,1,0)</x:f>
        <x:v>0</x:v>
      </x:c>
      <x:c r="E774" s="8" t="n">
        <x:f>IF(AND(F773&lt;=9,AS773&gt;=AR773),1,0)</x:f>
        <x:v>0</x:v>
      </x:c>
      <x:c r="F774" s="8" t="n">
        <x:f>MIN(10,F773+E774)</x:f>
        <x:v>3</x:v>
      </x:c>
      <x:c r="G774" s="8" t="n">
        <x:f>MIN(F774,9)+1</x:f>
        <x:v>4</x:v>
      </x:c>
      <x:c r="H774" s="8" t="n">
        <x:f>IF(F774&lt;=9,1,0)</x:f>
        <x:v>1</x:v>
      </x:c>
      <x:c r="I774" s="9" t="n">
        <x:f>MIN(10,F773+IF(AR773&gt;0,MIN(1,AS773/AR773),1))</x:f>
        <x:v>3.2399850154052667</x:v>
      </x:c>
      <x:c r="J774" s="32" t="n">
        <x:f>INDEX(v01_FoodCap,G774)*Arch_FoodCap*EXP(v01_CapsByProject*SUMPRODUCT((Cap_Point&lt;=I774)*(Cap_Kind="Food")*Cap_Ln))</x:f>
        <x:v>120</x:v>
      </x:c>
      <x:c r="K774" s="32" t="n">
        <x:f>J774*MIN(1,v01_LeanBase*EXP(v01_CapsByProject*SUMPRODUCT((Cap_Point&lt;=I774)*(Cap_Kind="Lean")*Cap_Ln)))</x:f>
        <x:v>120</x:v>
      </x:c>
      <x:c r="L774" s="10" t="n">
        <x:f>INDEX(v01_HousingCap,G774)*EXP(v01_CapsByProject*SUMPRODUCT((Cap_Point&lt;=I774)*(Cap_Kind="Housing")*Cap_Ln))</x:f>
        <x:v>200</x:v>
      </x:c>
      <x:c r="M774" s="10" t="n">
        <x:f>INDEX(v01_GroupCap,G774)*v01_CohesionFactor*EXP(v01_CapsByProject*SUMPRODUCT((Cap_Point&lt;=I774)*(Cap_Kind="Group")*Cap_Ln))</x:f>
        <x:v>5000</x:v>
      </x:c>
      <x:c r="N774" s="32" t="n">
        <x:f>MIN(J774,L774,M774)</x:f>
        <x:v>120</x:v>
      </x:c>
      <x:c r="O774" s="10" t="n">
        <x:f>AE773*N774</x:f>
        <x:v>840</x:v>
      </x:c>
      <x:c r="P774" s="9" t="n">
        <x:f>MIN(1,(AB773/(AE773*IF(v01_GroupInCrowding=1,N774,MIN(J774,L774))))^v01_CrowdingExp)</x:f>
        <x:v>0.0831226254925718</x:v>
      </x:c>
      <x:c r="Q774" s="9" t="n">
        <x:f>IF(D774=1,INDEX(v01_WinterMult,G774),1)</x:f>
        <x:v>1</x:v>
      </x:c>
      <x:c r="R774" s="9" t="n">
        <x:f>H774*Z773*v01_WomenShare*v01_BaseFertility*INDEX(v01_FertMult,G774)*Arch_Fertility*(1-P774)</x:f>
        <x:v>8.24421294558307</x:v>
      </x:c>
      <x:c r="S774" s="9" t="n">
        <x:f>H774*Y773*INDEX(v01_MortChild,G774)/4*Q774</x:f>
        <x:v>1.8800719769065806</x:v>
      </x:c>
      <x:c r="T774" s="9" t="n">
        <x:f>H774*Z773*INDEX(v01_MortAdult,G774)*Arch_AdultMort/4*Q774</x:f>
        <x:v>0.6340244877497091</x:v>
      </x:c>
      <x:c r="U774" s="9" t="n">
        <x:f>H774*AA773*INDEX(v01_MortElder,G774)/4*Q774</x:f>
        <x:v>1.1974963399229805</x:v>
      </x:c>
      <x:c r="V774" s="9" t="n">
        <x:f>H774*MAX(0,AB773-O774)*v01_OvercapLoss</x:f>
        <x:v>0</x:v>
      </x:c>
      <x:c r="W774" s="9" t="n">
        <x:f>H774*Y773/(v01_ChildYears*4)</x:f>
        <x:v>4.476361849777573</x:v>
      </x:c>
      <x:c r="X774" s="9" t="n">
        <x:f>H774*Z773/(v01_AdultYears*4)</x:f>
        <x:v>1.8593093482396161</x:v>
      </x:c>
      <x:c r="Y774" s="32" t="n">
        <x:f>Y773+R774-S774-W774-Y773*V774/AB773</x:f>
        <x:v>252.564042706443</x:v>
      </x:c>
      <x:c r="Z774" s="32" t="n">
        <x:f>Z773+W774-X774-T774-Z773*V774/AB773</x:f>
        <x:v>232.53738719550066</x:v>
      </x:c>
      <x:c r="AA774" s="32" t="n">
        <x:f>AA773+X774-U774-AA773*V774/AB773</x:f>
        <x:v>74.35389546511544</x:v>
      </x:c>
      <x:c r="AB774" s="10" t="n">
        <x:f>Y774+Z774+AA774</x:f>
        <x:v>559.4553253670591</x:v>
      </x:c>
      <x:c r="AC774" s="8" t="n">
        <x:f>IF(AND(v01_WinterTrigger=1,D774=1,AB773/AE773&gt;=K774),1,0)</x:f>
        <x:v>0</x:v>
      </x:c>
      <x:c r="AD774" s="8" t="n">
        <x:f>H774*IF(AND(OR(AB773/AE773&gt;=v01_FissionTrigger*N774,AC774=1),AB773/AE773*v01_DaughterShare&gt;=v01_MinDaughter),MAX(1,ROUND(AE773*v01_FissionRate,0)),0)</x:f>
        <x:v>0</x:v>
      </x:c>
      <x:c r="AE774" s="8" t="n">
        <x:f>IF(H774=1,MAX(1,MIN(INDEX(v01_Smax,G774),AE773+AD774)),AE773)</x:f>
        <x:v>7</x:v>
      </x:c>
      <x:c r="AF774" s="8" t="n">
        <x:f>MAX(0,AE774-AE773)</x:f>
        <x:v>0</x:v>
      </x:c>
      <x:c r="AG774" s="9" t="str">
        <x:f>IF(AF774&gt;0,B774,"")</x:f>
      </x:c>
      <x:c r="AH774" s="9" t="n">
        <x:f>IF(F774&gt;=1,1,(1+v01_LowTiesShare*(AE774-1))/AE774)</x:f>
        <x:v>1</x:v>
      </x:c>
      <x:c r="AI774" s="32" t="n">
        <x:f>(Z774+v01_ElderCommons*INDEX(LM_Elder,G774)*AA774)*AH774</x:f>
        <x:v>455.59907359084696</x:v>
      </x:c>
      <x:c r="AJ774" s="32" t="n">
        <x:f>H774*v01_CommonsCoef*AI774^v01_CommonsExp*INDEX(LM_Commons,G774)</x:f>
        <x:v>120.04369175806855</x:v>
      </x:c>
      <x:c r="AK774" s="32" t="n">
        <x:f>H774*v01_RoleScale*Arch_Roles*(AE774*(INDEX(v01_ElderRolePerSett,G774)*v01_OutElder*INDEX(LM_Elder,G774)+INDEX(v01_ShamanPerSett,G774)*v01_OutShaman)+Z774*(INDEX(v01_PriestShare,G774)*v01_OutPriest+INDEX(v01_ScribeShare,G774)*v01_OutScribe*INDEX(LM_Scribe,G774)+INDEX(v01_ScholarShare,G774)*v01_OutScholar*INDEX(LM_Scholar,G774)+INDEX(v01_ResearcherShare,G774)*v01_OutResearcher*INDEX(LM_Researcher,G774)))</x:f>
        <x:v>22.627761710368503</x:v>
      </x:c>
      <x:c r="AL774" s="32" t="n">
        <x:f>H774*v01_RoleScale*Arch_Roles*AE774*INDEX(v01_MonasteryPerSett,G774)*v01_OutMonastery*INDEX(LM_Monastery,G774)</x:f>
        <x:v>0</x:v>
      </x:c>
      <x:c r="AM774" s="32" t="n">
        <x:f>(AJ774+AK774+AL774)/4*INDEX(LM_All,G774)*INDEX(v01_Boon,G774)*Arch_Insight</x:f>
        <x:v>38.410387673820885</x:v>
      </x:c>
      <x:c r="AN774" s="32" t="n">
        <x:f>H774*(v01_KHPerAdult*Z774+v01_KHOfCommons*AJ774/4*INDEX(LM_All,G774))*v01_KHUsable*Arch_KH</x:f>
        <x:v>8.138808551842523</x:v>
      </x:c>
      <x:c r="AO774" s="32" t="n">
        <x:f>MIN(AP773+AN774,AM774*v01_KHMaxRatio)</x:f>
        <x:v>8.138808551842523</x:v>
      </x:c>
      <x:c r="AP774" s="32" t="n">
        <x:f>AP773+AN774-AO774</x:f>
        <x:v>0</x:v>
      </x:c>
      <x:c r="AQ774" s="32" t="n">
        <x:f>AM774+AO774</x:f>
        <x:v>46.54919622566341</x:v>
      </x:c>
      <x:c r="AR774" s="10" t="n">
        <x:f>IF(H774=1,INDEX(v01_Req,G774),0)</x:f>
        <x:v>9805.661999999998</x:v>
      </x:c>
      <x:c r="AS774" s="32" t="n">
        <x:f>IF(H774=1,IF(E774=1,AS773-AR773,AS773)+AQ774,0)</x:f>
        <x:v>2399.7611423545027</x:v>
      </x:c>
      <x:c r="AT774" s="11" t="n">
        <x:f>IF(AR774&gt;0,MIN(1,AS774/AR774),1)</x:f>
        <x:v>0.24473219068274055</x:v>
      </x:c>
      <x:c r="AU774" s="10" t="n">
        <x:f>AB774/INDEX(v01_RepScale,G774)</x:f>
        <x:v>111.89106507341182</x:v>
      </x:c>
      <x:c r="AV774" s="32" t="n">
        <x:f>AM774*60/v01_SeasonSeconds</x:f>
        <x:v>153.64155069528354</x:v>
      </x:c>
    </x:row>
    <x:row r="775">
      <x:c r="A775" s="8" t="n">
        <x:f>A774+1</x:f>
        <x:v>772</x:v>
      </x:c>
      <x:c r="B775" s="9" t="n">
        <x:f>A775*v01_SeasonSeconds/60</x:f>
        <x:v>193</x:v>
      </x:c>
      <x:c r="C775" s="9" t="n">
        <x:f>A775/4</x:f>
        <x:v>193</x:v>
      </x:c>
      <x:c r="D775" s="8" t="n">
        <x:f>IF(MOD(A775,4)=0,1,0)</x:f>
        <x:v>1</x:v>
      </x:c>
      <x:c r="E775" s="8" t="n">
        <x:f>IF(AND(F774&lt;=9,AS774&gt;=AR774),1,0)</x:f>
        <x:v>0</x:v>
      </x:c>
      <x:c r="F775" s="8" t="n">
        <x:f>MIN(10,F774+E775)</x:f>
        <x:v>3</x:v>
      </x:c>
      <x:c r="G775" s="8" t="n">
        <x:f>MIN(F775,9)+1</x:f>
        <x:v>4</x:v>
      </x:c>
      <x:c r="H775" s="8" t="n">
        <x:f>IF(F775&lt;=9,1,0)</x:f>
        <x:v>1</x:v>
      </x:c>
      <x:c r="I775" s="9" t="n">
        <x:f>MIN(10,F774+IF(AR774&gt;0,MIN(1,AS774/AR774),1))</x:f>
        <x:v>3.2447321906827407</x:v>
      </x:c>
      <x:c r="J775" s="32" t="n">
        <x:f>INDEX(v01_FoodCap,G775)*Arch_FoodCap*EXP(v01_CapsByProject*SUMPRODUCT((Cap_Point&lt;=I775)*(Cap_Kind="Food")*Cap_Ln))</x:f>
        <x:v>120</x:v>
      </x:c>
      <x:c r="K775" s="32" t="n">
        <x:f>J775*MIN(1,v01_LeanBase*EXP(v01_CapsByProject*SUMPRODUCT((Cap_Point&lt;=I775)*(Cap_Kind="Lean")*Cap_Ln)))</x:f>
        <x:v>120</x:v>
      </x:c>
      <x:c r="L775" s="10" t="n">
        <x:f>INDEX(v01_HousingCap,G775)*EXP(v01_CapsByProject*SUMPRODUCT((Cap_Point&lt;=I775)*(Cap_Kind="Housing")*Cap_Ln))</x:f>
        <x:v>200</x:v>
      </x:c>
      <x:c r="M775" s="10" t="n">
        <x:f>INDEX(v01_GroupCap,G775)*v01_CohesionFactor*EXP(v01_CapsByProject*SUMPRODUCT((Cap_Point&lt;=I775)*(Cap_Kind="Group")*Cap_Ln))</x:f>
        <x:v>5000</x:v>
      </x:c>
      <x:c r="N775" s="32" t="n">
        <x:f>MIN(J775,L775,M775)</x:f>
        <x:v>120</x:v>
      </x:c>
      <x:c r="O775" s="10" t="n">
        <x:f>AE774*N775</x:f>
        <x:v>840</x:v>
      </x:c>
      <x:c r="P775" s="9" t="n">
        <x:f>MIN(1,(AB774/(AE774*IF(v01_GroupInCrowding=1,N775,MIN(J775,L775))))^v01_CrowdingExp)</x:f>
        <x:v>0.0872804057902445</x:v>
      </x:c>
      <x:c r="Q775" s="9" t="n">
        <x:f>IF(D775=1,INDEX(v01_WinterMult,G775),1)</x:f>
        <x:v>1.15</x:v>
      </x:c>
      <x:c r="R775" s="9" t="n">
        <x:f>H775*Z774*v01_WomenShare*v01_BaseFertility*INDEX(v01_FertMult,G775)*Arch_Fertility*(1-P775)</x:f>
        <x:v>8.277415757507292</x:v>
      </x:c>
      <x:c r="S775" s="9" t="n">
        <x:f>H775*Y774*INDEX(v01_MortChild,G775)/4*Q775</x:f>
        <x:v>2.1783648683430705</x:v>
      </x:c>
      <x:c r="T775" s="9" t="n">
        <x:f>H775*Z774*INDEX(v01_MortAdult,G775)*Arch_AdultMort/4*Q775</x:f>
        <x:v>0.7353994870057707</x:v>
      </x:c>
      <x:c r="U775" s="9" t="n">
        <x:f>H775*AA774*INDEX(v01_MortElder,G775)/4*Q775</x:f>
        <x:v>1.3894884215043446</x:v>
      </x:c>
      <x:c r="V775" s="9" t="n">
        <x:f>H775*MAX(0,AB774-O775)*v01_OvercapLoss</x:f>
        <x:v>0</x:v>
      </x:c>
      <x:c r="W775" s="9" t="n">
        <x:f>H775*Y774/(v01_ChildYears*4)</x:f>
        <x:v>4.510072191186482</x:v>
      </x:c>
      <x:c r="X775" s="9" t="n">
        <x:f>H775*Z774/(v01_AdultYears*4)</x:f>
        <x:v>1.8753015096411343</x:v>
      </x:c>
      <x:c r="Y775" s="32" t="n">
        <x:f>Y774+R775-S775-W775-Y774*V775/AB774</x:f>
        <x:v>254.15302140442074</x:v>
      </x:c>
      <x:c r="Z775" s="32" t="n">
        <x:f>Z774+W775-X775-T775-Z774*V775/AB774</x:f>
        <x:v>234.43675839004024</x:v>
      </x:c>
      <x:c r="AA775" s="32" t="n">
        <x:f>AA774+X775-U775-AA774*V775/AB774</x:f>
        <x:v>74.83970855325224</x:v>
      </x:c>
      <x:c r="AB775" s="10" t="n">
        <x:f>Y775+Z775+AA775</x:f>
        <x:v>563.4294883477132</x:v>
      </x:c>
      <x:c r="AC775" s="8" t="n">
        <x:f>IF(AND(v01_WinterTrigger=1,D775=1,AB774/AE774&gt;=K775),1,0)</x:f>
        <x:v>0</x:v>
      </x:c>
      <x:c r="AD775" s="8" t="n">
        <x:f>H775*IF(AND(OR(AB774/AE774&gt;=v01_FissionTrigger*N775,AC775=1),AB774/AE774*v01_DaughterShare&gt;=v01_MinDaughter),MAX(1,ROUND(AE774*v01_FissionRate,0)),0)</x:f>
        <x:v>0</x:v>
      </x:c>
      <x:c r="AE775" s="8" t="n">
        <x:f>IF(H775=1,MAX(1,MIN(INDEX(v01_Smax,G775),AE774+AD775)),AE774)</x:f>
        <x:v>7</x:v>
      </x:c>
      <x:c r="AF775" s="8" t="n">
        <x:f>MAX(0,AE775-AE774)</x:f>
        <x:v>0</x:v>
      </x:c>
      <x:c r="AG775" s="9" t="str">
        <x:f>IF(AF775&gt;0,B775,"")</x:f>
      </x:c>
      <x:c r="AH775" s="9" t="n">
        <x:f>IF(F775&gt;=1,1,(1+v01_LowTiesShare*(AE775-1))/AE775)</x:f>
        <x:v>1</x:v>
      </x:c>
      <x:c r="AI775" s="32" t="n">
        <x:f>(Z775+v01_ElderCommons*INDEX(LM_Elder,G775)*AA775)*AH775</x:f>
        <x:v>458.95588404979696</x:v>
      </x:c>
      <x:c r="AJ775" s="32" t="n">
        <x:f>H775*v01_CommonsCoef*AI775^v01_CommonsExp*INDEX(LM_Commons,G775)</x:f>
        <x:v>120.79507737451398</x:v>
      </x:c>
      <x:c r="AK775" s="32" t="n">
        <x:f>H775*v01_RoleScale*Arch_Roles*(AE775*(INDEX(v01_ElderRolePerSett,G775)*v01_OutElder*INDEX(LM_Elder,G775)+INDEX(v01_ShamanPerSett,G775)*v01_OutShaman)+Z775*(INDEX(v01_PriestShare,G775)*v01_OutPriest+INDEX(v01_ScribeShare,G775)*v01_OutScribe*INDEX(LM_Scribe,G775)+INDEX(v01_ScholarShare,G775)*v01_OutScholar*INDEX(LM_Scholar,G775)+INDEX(v01_ResearcherShare,G775)*v01_OutResearcher*INDEX(LM_Researcher,G775)))</x:f>
        <x:v>22.641057308730282</x:v>
      </x:c>
      <x:c r="AL775" s="32" t="n">
        <x:f>H775*v01_RoleScale*Arch_Roles*AE775*INDEX(v01_MonasteryPerSett,G775)*v01_OutMonastery*INDEX(LM_Monastery,G775)</x:f>
        <x:v>0</x:v>
      </x:c>
      <x:c r="AM775" s="32" t="n">
        <x:f>(AJ775+AK775+AL775)/4*INDEX(LM_All,G775)*INDEX(v01_Boon,G775)*Arch_Insight</x:f>
        <x:v>38.61625718165576</x:v>
      </x:c>
      <x:c r="AN775" s="32" t="n">
        <x:f>H775*(v01_KHPerAdult*Z775+v01_KHOfCommons*AJ775/4*INDEX(LM_All,G775))*v01_KHUsable*Arch_KH</x:f>
        <x:v>8.20528654365141</x:v>
      </x:c>
      <x:c r="AO775" s="32" t="n">
        <x:f>MIN(AP774+AN775,AM775*v01_KHMaxRatio)</x:f>
        <x:v>8.20528654365141</x:v>
      </x:c>
      <x:c r="AP775" s="32" t="n">
        <x:f>AP774+AN775-AO775</x:f>
        <x:v>0</x:v>
      </x:c>
      <x:c r="AQ775" s="32" t="n">
        <x:f>AM775+AO775</x:f>
        <x:v>46.82154372530717</x:v>
      </x:c>
      <x:c r="AR775" s="10" t="n">
        <x:f>IF(H775=1,INDEX(v01_Req,G775),0)</x:f>
        <x:v>9805.661999999998</x:v>
      </x:c>
      <x:c r="AS775" s="32" t="n">
        <x:f>IF(H775=1,IF(E775=1,AS774-AR774,AS774)+AQ775,0)</x:f>
        <x:v>2446.5826860798097</x:v>
      </x:c>
      <x:c r="AT775" s="11" t="n">
        <x:f>IF(AR775&gt;0,MIN(1,AS775/AR775),1)</x:f>
        <x:v>0.24950714047453504</x:v>
      </x:c>
      <x:c r="AU775" s="10" t="n">
        <x:f>AB775/INDEX(v01_RepScale,G775)</x:f>
        <x:v>112.68589766954264</x:v>
      </x:c>
      <x:c r="AV775" s="32" t="n">
        <x:f>AM775*60/v01_SeasonSeconds</x:f>
        <x:v>154.46502872662305</x:v>
      </x:c>
    </x:row>
    <x:row r="776">
      <x:c r="A776" s="8" t="n">
        <x:f>A775+1</x:f>
        <x:v>773</x:v>
      </x:c>
      <x:c r="B776" s="9" t="n">
        <x:f>A776*v01_SeasonSeconds/60</x:f>
        <x:v>193.25</x:v>
      </x:c>
      <x:c r="C776" s="9" t="n">
        <x:f>A776/4</x:f>
        <x:v>193.25</x:v>
      </x:c>
      <x:c r="D776" s="8" t="n">
        <x:f>IF(MOD(A776,4)=0,1,0)</x:f>
        <x:v>0</x:v>
      </x:c>
      <x:c r="E776" s="8" t="n">
        <x:f>IF(AND(F775&lt;=9,AS775&gt;=AR775),1,0)</x:f>
        <x:v>0</x:v>
      </x:c>
      <x:c r="F776" s="8" t="n">
        <x:f>MIN(10,F775+E776)</x:f>
        <x:v>3</x:v>
      </x:c>
      <x:c r="G776" s="8" t="n">
        <x:f>MIN(F776,9)+1</x:f>
        <x:v>4</x:v>
      </x:c>
      <x:c r="H776" s="8" t="n">
        <x:f>IF(F776&lt;=9,1,0)</x:f>
        <x:v>1</x:v>
      </x:c>
      <x:c r="I776" s="9" t="n">
        <x:f>MIN(10,F775+IF(AR775&gt;0,MIN(1,AS775/AR775),1))</x:f>
        <x:v>3.249507140474535</x:v>
      </x:c>
      <x:c r="J776" s="32" t="n">
        <x:f>INDEX(v01_FoodCap,G776)*Arch_FoodCap*EXP(v01_CapsByProject*SUMPRODUCT((Cap_Point&lt;=I776)*(Cap_Kind="Food")*Cap_Ln))</x:f>
        <x:v>120</x:v>
      </x:c>
      <x:c r="K776" s="32" t="n">
        <x:f>J776*MIN(1,v01_LeanBase*EXP(v01_CapsByProject*SUMPRODUCT((Cap_Point&lt;=I776)*(Cap_Kind="Lean")*Cap_Ln)))</x:f>
        <x:v>120</x:v>
      </x:c>
      <x:c r="L776" s="10" t="n">
        <x:f>INDEX(v01_HousingCap,G776)*EXP(v01_CapsByProject*SUMPRODUCT((Cap_Point&lt;=I776)*(Cap_Kind="Housing")*Cap_Ln))</x:f>
        <x:v>200</x:v>
      </x:c>
      <x:c r="M776" s="10" t="n">
        <x:f>INDEX(v01_GroupCap,G776)*v01_CohesionFactor*EXP(v01_CapsByProject*SUMPRODUCT((Cap_Point&lt;=I776)*(Cap_Kind="Group")*Cap_Ln))</x:f>
        <x:v>5000</x:v>
      </x:c>
      <x:c r="N776" s="32" t="n">
        <x:f>MIN(J776,L776,M776)</x:f>
        <x:v>120</x:v>
      </x:c>
      <x:c r="O776" s="10" t="n">
        <x:f>AE775*N776</x:f>
        <x:v>840</x:v>
      </x:c>
      <x:c r="P776" s="9" t="n">
        <x:f>MIN(1,(AB775/(AE775*IF(v01_GroupInCrowding=1,N776,MIN(J776,L776))))^v01_CrowdingExp)</x:f>
        <x:v>0.09106714506632162</x:v>
      </x:c>
      <x:c r="Q776" s="9" t="n">
        <x:f>IF(D776=1,INDEX(v01_WinterMult,G776),1)</x:f>
        <x:v>1</x:v>
      </x:c>
      <x:c r="R776" s="9" t="n">
        <x:f>H776*Z775*v01_WomenShare*v01_BaseFertility*INDEX(v01_FertMult,G776)*Arch_Fertility*(1-P776)</x:f>
        <x:v>8.310403612089393</x:v>
      </x:c>
      <x:c r="S776" s="9" t="n">
        <x:f>H776*Y775*INDEX(v01_MortChild,G776)/4*Q776</x:f>
        <x:v>1.9061476605331555</x:v>
      </x:c>
      <x:c r="T776" s="9" t="n">
        <x:f>H776*Z775*INDEX(v01_MortAdult,G776)*Arch_AdultMort/4*Q776</x:f>
        <x:v>0.6447010855726106</x:v>
      </x:c>
      <x:c r="U776" s="9" t="n">
        <x:f>H776*AA775*INDEX(v01_MortElder,G776)/4*Q776</x:f>
        <x:v>1.216145263990349</x:v>
      </x:c>
      <x:c r="V776" s="9" t="n">
        <x:f>H776*MAX(0,AB775-O776)*v01_OvercapLoss</x:f>
        <x:v>0</x:v>
      </x:c>
      <x:c r="W776" s="9" t="n">
        <x:f>H776*Y775/(v01_ChildYears*4)</x:f>
        <x:v>4.538446810793228</x:v>
      </x:c>
      <x:c r="X776" s="9" t="n">
        <x:f>H776*Z775/(v01_AdultYears*4)</x:f>
        <x:v>1.890619019274518</x:v>
      </x:c>
      <x:c r="Y776" s="32" t="n">
        <x:f>Y775+R776-S776-W776-Y775*V776/AB775</x:f>
        <x:v>256.01883054518373</x:v>
      </x:c>
      <x:c r="Z776" s="32" t="n">
        <x:f>Z775+W776-X776-T776-Z775*V776/AB775</x:f>
        <x:v>236.43988509598634</x:v>
      </x:c>
      <x:c r="AA776" s="32" t="n">
        <x:f>AA775+X776-U776-AA775*V776/AB775</x:f>
        <x:v>75.5141823085364</x:v>
      </x:c>
      <x:c r="AB776" s="10" t="n">
        <x:f>Y776+Z776+AA776</x:f>
        <x:v>567.9728979497065</x:v>
      </x:c>
      <x:c r="AC776" s="8" t="n">
        <x:f>IF(AND(v01_WinterTrigger=1,D776=1,AB775/AE775&gt;=K776),1,0)</x:f>
        <x:v>0</x:v>
      </x:c>
      <x:c r="AD776" s="8" t="n">
        <x:f>H776*IF(AND(OR(AB775/AE775&gt;=v01_FissionTrigger*N776,AC776=1),AB775/AE775*v01_DaughterShare&gt;=v01_MinDaughter),MAX(1,ROUND(AE775*v01_FissionRate,0)),0)</x:f>
        <x:v>0</x:v>
      </x:c>
      <x:c r="AE776" s="8" t="n">
        <x:f>IF(H776=1,MAX(1,MIN(INDEX(v01_Smax,G776),AE775+AD776)),AE775)</x:f>
        <x:v>7</x:v>
      </x:c>
      <x:c r="AF776" s="8" t="n">
        <x:f>MAX(0,AE776-AE775)</x:f>
        <x:v>0</x:v>
      </x:c>
      <x:c r="AG776" s="9" t="str">
        <x:f>IF(AF776&gt;0,B776,"")</x:f>
      </x:c>
      <x:c r="AH776" s="9" t="n">
        <x:f>IF(F776&gt;=1,1,(1+v01_LowTiesShare*(AE776-1))/AE776)</x:f>
        <x:v>1</x:v>
      </x:c>
      <x:c r="AI776" s="32" t="n">
        <x:f>(Z776+v01_ElderCommons*INDEX(LM_Elder,G776)*AA776)*AH776</x:f>
        <x:v>462.9824320215955</x:v>
      </x:c>
      <x:c r="AJ776" s="32" t="n">
        <x:f>H776*v01_CommonsCoef*AI776^v01_CommonsExp*INDEX(LM_Commons,G776)</x:f>
        <x:v>121.6952902011092</x:v>
      </x:c>
      <x:c r="AK776" s="32" t="n">
        <x:f>H776*v01_RoleScale*Arch_Roles*(AE776*(INDEX(v01_ElderRolePerSett,G776)*v01_OutElder*INDEX(LM_Elder,G776)+INDEX(v01_ShamanPerSett,G776)*v01_OutShaman)+Z776*(INDEX(v01_PriestShare,G776)*v01_OutPriest+INDEX(v01_ScribeShare,G776)*v01_OutScribe*INDEX(LM_Scribe,G776)+INDEX(v01_ScholarShare,G776)*v01_OutScholar*INDEX(LM_Scholar,G776)+INDEX(v01_ResearcherShare,G776)*v01_OutResearcher*INDEX(LM_Researcher,G776)))</x:f>
        <x:v>22.655079195671906</x:v>
      </x:c>
      <x:c r="AL776" s="32" t="n">
        <x:f>H776*v01_RoleScale*Arch_Roles*AE776*INDEX(v01_MonasteryPerSett,G776)*v01_OutMonastery*INDEX(LM_Monastery,G776)</x:f>
        <x:v>0</x:v>
      </x:c>
      <x:c r="AM776" s="32" t="n">
        <x:f>(AJ776+AK776+AL776)/4*INDEX(LM_All,G776)*INDEX(v01_Boon,G776)*Arch_Insight</x:f>
        <x:v>38.862389879670104</x:v>
      </x:c>
      <x:c r="AN776" s="32" t="n">
        <x:f>H776*(v01_KHPerAdult*Z776+v01_KHOfCommons*AJ776/4*INDEX(LM_All,G776))*v01_KHUsable*Arch_KH</x:f>
        <x:v>8.275395978359523</x:v>
      </x:c>
      <x:c r="AO776" s="32" t="n">
        <x:f>MIN(AP775+AN776,AM776*v01_KHMaxRatio)</x:f>
        <x:v>8.275395978359523</x:v>
      </x:c>
      <x:c r="AP776" s="32" t="n">
        <x:f>AP775+AN776-AO776</x:f>
        <x:v>0</x:v>
      </x:c>
      <x:c r="AQ776" s="32" t="n">
        <x:f>AM776+AO776</x:f>
        <x:v>47.13778585802963</x:v>
      </x:c>
      <x:c r="AR776" s="10" t="n">
        <x:f>IF(H776=1,INDEX(v01_Req,G776),0)</x:f>
        <x:v>9805.661999999998</x:v>
      </x:c>
      <x:c r="AS776" s="32" t="n">
        <x:f>IF(H776=1,IF(E776=1,AS775-AR775,AS775)+AQ776,0)</x:f>
        <x:v>2493.720471937839</x:v>
      </x:c>
      <x:c r="AT776" s="11" t="n">
        <x:f>IF(AR776&gt;0,MIN(1,AS776/AR776),1)</x:f>
        <x:v>0.2543143412385456</x:v>
      </x:c>
      <x:c r="AU776" s="10" t="n">
        <x:f>AB776/INDEX(v01_RepScale,G776)</x:f>
        <x:v>113.5945795899413</x:v>
      </x:c>
      <x:c r="AV776" s="32" t="n">
        <x:f>AM776*60/v01_SeasonSeconds</x:f>
        <x:v>155.44955951868042</x:v>
      </x:c>
    </x:row>
    <x:row r="777">
      <x:c r="A777" s="8" t="n">
        <x:f>A776+1</x:f>
        <x:v>774</x:v>
      </x:c>
      <x:c r="B777" s="9" t="n">
        <x:f>A777*v01_SeasonSeconds/60</x:f>
        <x:v>193.5</x:v>
      </x:c>
      <x:c r="C777" s="9" t="n">
        <x:f>A777/4</x:f>
        <x:v>193.5</x:v>
      </x:c>
      <x:c r="D777" s="8" t="n">
        <x:f>IF(MOD(A777,4)=0,1,0)</x:f>
        <x:v>0</x:v>
      </x:c>
      <x:c r="E777" s="8" t="n">
        <x:f>IF(AND(F776&lt;=9,AS776&gt;=AR776),1,0)</x:f>
        <x:v>0</x:v>
      </x:c>
      <x:c r="F777" s="8" t="n">
        <x:f>MIN(10,F776+E777)</x:f>
        <x:v>3</x:v>
      </x:c>
      <x:c r="G777" s="8" t="n">
        <x:f>MIN(F777,9)+1</x:f>
        <x:v>4</x:v>
      </x:c>
      <x:c r="H777" s="8" t="n">
        <x:f>IF(F777&lt;=9,1,0)</x:f>
        <x:v>1</x:v>
      </x:c>
      <x:c r="I777" s="9" t="n">
        <x:f>MIN(10,F776+IF(AR776&gt;0,MIN(1,AS776/AR776),1))</x:f>
        <x:v>3.254314341238546</x:v>
      </x:c>
      <x:c r="J777" s="32" t="n">
        <x:f>INDEX(v01_FoodCap,G777)*Arch_FoodCap*EXP(v01_CapsByProject*SUMPRODUCT((Cap_Point&lt;=I777)*(Cap_Kind="Food")*Cap_Ln))</x:f>
        <x:v>120</x:v>
      </x:c>
      <x:c r="K777" s="32" t="n">
        <x:f>J777*MIN(1,v01_LeanBase*EXP(v01_CapsByProject*SUMPRODUCT((Cap_Point&lt;=I777)*(Cap_Kind="Lean")*Cap_Ln)))</x:f>
        <x:v>120</x:v>
      </x:c>
      <x:c r="L777" s="10" t="n">
        <x:f>INDEX(v01_HousingCap,G777)*EXP(v01_CapsByProject*SUMPRODUCT((Cap_Point&lt;=I777)*(Cap_Kind="Housing")*Cap_Ln))</x:f>
        <x:v>200</x:v>
      </x:c>
      <x:c r="M777" s="10" t="n">
        <x:f>INDEX(v01_GroupCap,G777)*v01_CohesionFactor*EXP(v01_CapsByProject*SUMPRODUCT((Cap_Point&lt;=I777)*(Cap_Kind="Group")*Cap_Ln))</x:f>
        <x:v>5000</x:v>
      </x:c>
      <x:c r="N777" s="32" t="n">
        <x:f>MIN(J777,L777,M777)</x:f>
        <x:v>120</x:v>
      </x:c>
      <x:c r="O777" s="10" t="n">
        <x:f>AE776*N777</x:f>
        <x:v>840</x:v>
      </x:c>
      <x:c r="P777" s="9" t="n">
        <x:f>MIN(1,(AB776/(AE776*IF(v01_GroupInCrowding=1,N777,MIN(J777,L777))))^v01_CrowdingExp)</x:f>
        <x:v>0.09556304093321498</x:v>
      </x:c>
      <x:c r="Q777" s="9" t="n">
        <x:f>IF(D777=1,INDEX(v01_WinterMult,G777),1)</x:f>
        <x:v>1</x:v>
      </x:c>
      <x:c r="R777" s="9" t="n">
        <x:f>H777*Z776*v01_WomenShare*v01_BaseFertility*INDEX(v01_FertMult,G777)*Arch_Fertility*(1-P777)</x:f>
        <x:v>8.339953856454244</x:v>
      </x:c>
      <x:c r="S777" s="9" t="n">
        <x:f>H777*Y776*INDEX(v01_MortChild,G777)/4*Q777</x:f>
        <x:v>1.920141229088878</x:v>
      </x:c>
      <x:c r="T777" s="9" t="n">
        <x:f>H777*Z776*INDEX(v01_MortAdult,G777)*Arch_AdultMort/4*Q777</x:f>
        <x:v>0.6502096840139624</x:v>
      </x:c>
      <x:c r="U777" s="9" t="n">
        <x:f>H777*AA776*INDEX(v01_MortElder,G777)/4*Q777</x:f>
        <x:v>1.2271054625137165</x:v>
      </x:c>
      <x:c r="V777" s="9" t="n">
        <x:f>H777*MAX(0,AB776-O777)*v01_OvercapLoss</x:f>
        <x:v>0</x:v>
      </x:c>
      <x:c r="W777" s="9" t="n">
        <x:f>H777*Y776/(v01_ChildYears*4)</x:f>
        <x:v>4.571764831163995</x:v>
      </x:c>
      <x:c r="X777" s="9" t="n">
        <x:f>H777*Z776/(v01_AdultYears*4)</x:f>
        <x:v>1.9067732669031157</x:v>
      </x:c>
      <x:c r="Y777" s="32" t="n">
        <x:f>Y776+R777-S777-W777-Y776*V777/AB776</x:f>
        <x:v>257.86687834138513</x:v>
      </x:c>
      <x:c r="Z777" s="32" t="n">
        <x:f>Z776+W777-X777-T777-Z776*V777/AB776</x:f>
        <x:v>238.45466697623326</x:v>
      </x:c>
      <x:c r="AA777" s="32" t="n">
        <x:f>AA776+X777-U777-AA776*V777/AB776</x:f>
        <x:v>76.1938501129258</x:v>
      </x:c>
      <x:c r="AB777" s="10" t="n">
        <x:f>Y777+Z777+AA777</x:f>
        <x:v>572.5153954305442</x:v>
      </x:c>
      <x:c r="AC777" s="8" t="n">
        <x:f>IF(AND(v01_WinterTrigger=1,D777=1,AB776/AE776&gt;=K777),1,0)</x:f>
        <x:v>0</x:v>
      </x:c>
      <x:c r="AD777" s="8" t="n">
        <x:f>H777*IF(AND(OR(AB776/AE776&gt;=v01_FissionTrigger*N777,AC777=1),AB776/AE776*v01_DaughterShare&gt;=v01_MinDaughter),MAX(1,ROUND(AE776*v01_FissionRate,0)),0)</x:f>
        <x:v>0</x:v>
      </x:c>
      <x:c r="AE777" s="8" t="n">
        <x:f>IF(H777=1,MAX(1,MIN(INDEX(v01_Smax,G777),AE776+AD777)),AE776)</x:f>
        <x:v>7</x:v>
      </x:c>
      <x:c r="AF777" s="8" t="n">
        <x:f>MAX(0,AE777-AE776)</x:f>
        <x:v>0</x:v>
      </x:c>
      <x:c r="AG777" s="9" t="str">
        <x:f>IF(AF777&gt;0,B777,"")</x:f>
      </x:c>
      <x:c r="AH777" s="9" t="n">
        <x:f>IF(F777&gt;=1,1,(1+v01_LowTiesShare*(AE777-1))/AE777)</x:f>
        <x:v>1</x:v>
      </x:c>
      <x:c r="AI777" s="32" t="n">
        <x:f>(Z777+v01_ElderCommons*INDEX(LM_Elder,G777)*AA777)*AH777</x:f>
        <x:v>467.0362173150106</x:v>
      </x:c>
      <x:c r="AJ777" s="32" t="n">
        <x:f>H777*v01_CommonsCoef*AI777^v01_CommonsExp*INDEX(LM_Commons,G777)</x:f>
        <x:v>122.60040693033714</x:v>
      </x:c>
      <x:c r="AK777" s="32" t="n">
        <x:f>H777*v01_RoleScale*Arch_Roles*(AE777*(INDEX(v01_ElderRolePerSett,G777)*v01_OutElder*INDEX(LM_Elder,G777)+INDEX(v01_ShamanPerSett,G777)*v01_OutShaman)+Z777*(INDEX(v01_PriestShare,G777)*v01_OutPriest+INDEX(v01_ScribeShare,G777)*v01_OutScribe*INDEX(LM_Scribe,G777)+INDEX(v01_ScholarShare,G777)*v01_OutScholar*INDEX(LM_Scholar,G777)+INDEX(v01_ResearcherShare,G777)*v01_OutResearcher*INDEX(LM_Researcher,G777)))</x:f>
        <x:v>22.66918266883363</x:v>
      </x:c>
      <x:c r="AL777" s="32" t="n">
        <x:f>H777*v01_RoleScale*Arch_Roles*AE777*INDEX(v01_MonasteryPerSett,G777)*v01_OutMonastery*INDEX(LM_Monastery,G777)</x:f>
        <x:v>0</x:v>
      </x:c>
      <x:c r="AM777" s="32" t="n">
        <x:f>(AJ777+AK777+AL777)/4*INDEX(LM_All,G777)*INDEX(v01_Boon,G777)*Arch_Insight</x:f>
        <x:v>39.109864784236116</x:v>
      </x:c>
      <x:c r="AN777" s="32" t="n">
        <x:f>H777*(v01_KHPerAdult*Z777+v01_KHOfCommons*AJ777/4*INDEX(LM_All,G777))*v01_KHUsable*Arch_KH</x:f>
        <x:v>8.345913344168164</x:v>
      </x:c>
      <x:c r="AO777" s="32" t="n">
        <x:f>MIN(AP776+AN777,AM777*v01_KHMaxRatio)</x:f>
        <x:v>8.345913344168164</x:v>
      </x:c>
      <x:c r="AP777" s="32" t="n">
        <x:f>AP776+AN777-AO777</x:f>
        <x:v>0</x:v>
      </x:c>
      <x:c r="AQ777" s="32" t="n">
        <x:f>AM777+AO777</x:f>
        <x:v>47.455778128404276</x:v>
      </x:c>
      <x:c r="AR777" s="10" t="n">
        <x:f>IF(H777=1,INDEX(v01_Req,G777),0)</x:f>
        <x:v>9805.661999999998</x:v>
      </x:c>
      <x:c r="AS777" s="32" t="n">
        <x:f>IF(H777=1,IF(E777=1,AS776-AR776,AS776)+AQ777,0)</x:f>
        <x:v>2541.1762500662435</x:v>
      </x:c>
      <x:c r="AT777" s="11" t="n">
        <x:f>IF(AR777&gt;0,MIN(1,AS777/AR777),1)</x:f>
        <x:v>0.25915397145712793</x:v>
      </x:c>
      <x:c r="AU777" s="10" t="n">
        <x:f>AB777/INDEX(v01_RepScale,G777)</x:f>
        <x:v>114.50307908610884</x:v>
      </x:c>
      <x:c r="AV777" s="32" t="n">
        <x:f>AM777*60/v01_SeasonSeconds</x:f>
        <x:v>156.43945913694446</x:v>
      </x:c>
    </x:row>
    <x:row r="778">
      <x:c r="A778" s="8" t="n">
        <x:f>A777+1</x:f>
        <x:v>775</x:v>
      </x:c>
      <x:c r="B778" s="9" t="n">
        <x:f>A778*v01_SeasonSeconds/60</x:f>
        <x:v>193.75</x:v>
      </x:c>
      <x:c r="C778" s="9" t="n">
        <x:f>A778/4</x:f>
        <x:v>193.75</x:v>
      </x:c>
      <x:c r="D778" s="8" t="n">
        <x:f>IF(MOD(A778,4)=0,1,0)</x:f>
        <x:v>0</x:v>
      </x:c>
      <x:c r="E778" s="8" t="n">
        <x:f>IF(AND(F777&lt;=9,AS777&gt;=AR777),1,0)</x:f>
        <x:v>0</x:v>
      </x:c>
      <x:c r="F778" s="8" t="n">
        <x:f>MIN(10,F777+E778)</x:f>
        <x:v>3</x:v>
      </x:c>
      <x:c r="G778" s="8" t="n">
        <x:f>MIN(F778,9)+1</x:f>
        <x:v>4</x:v>
      </x:c>
      <x:c r="H778" s="8" t="n">
        <x:f>IF(F778&lt;=9,1,0)</x:f>
        <x:v>1</x:v>
      </x:c>
      <x:c r="I778" s="9" t="n">
        <x:f>MIN(10,F777+IF(AR777&gt;0,MIN(1,AS777/AR777),1))</x:f>
        <x:v>3.259153971457128</x:v>
      </x:c>
      <x:c r="J778" s="32" t="n">
        <x:f>INDEX(v01_FoodCap,G778)*Arch_FoodCap*EXP(v01_CapsByProject*SUMPRODUCT((Cap_Point&lt;=I778)*(Cap_Kind="Food")*Cap_Ln))</x:f>
        <x:v>120</x:v>
      </x:c>
      <x:c r="K778" s="32" t="n">
        <x:f>J778*MIN(1,v01_LeanBase*EXP(v01_CapsByProject*SUMPRODUCT((Cap_Point&lt;=I778)*(Cap_Kind="Lean")*Cap_Ln)))</x:f>
        <x:v>120</x:v>
      </x:c>
      <x:c r="L778" s="10" t="n">
        <x:f>INDEX(v01_HousingCap,G778)*EXP(v01_CapsByProject*SUMPRODUCT((Cap_Point&lt;=I778)*(Cap_Kind="Housing")*Cap_Ln))</x:f>
        <x:v>200</x:v>
      </x:c>
      <x:c r="M778" s="10" t="n">
        <x:f>INDEX(v01_GroupCap,G778)*v01_CohesionFactor*EXP(v01_CapsByProject*SUMPRODUCT((Cap_Point&lt;=I778)*(Cap_Kind="Group")*Cap_Ln))</x:f>
        <x:v>5000</x:v>
      </x:c>
      <x:c r="N778" s="32" t="n">
        <x:f>MIN(J778,L778,M778)</x:f>
        <x:v>120</x:v>
      </x:c>
      <x:c r="O778" s="10" t="n">
        <x:f>AE777*N778</x:f>
        <x:v>840</x:v>
      </x:c>
      <x:c r="P778" s="9" t="n">
        <x:f>MIN(1,(AB777/(AE777*IF(v01_GroupInCrowding=1,N778,MIN(J778,L778))))^v01_CrowdingExp)</x:f>
        <x:v>0.10024144118705526</x:v>
      </x:c>
      <x:c r="Q778" s="9" t="n">
        <x:f>IF(D778=1,INDEX(v01_WinterMult,G778),1)</x:f>
        <x:v>1</x:v>
      </x:c>
      <x:c r="R778" s="9" t="n">
        <x:f>H778*Z777*v01_WomenShare*v01_BaseFertility*INDEX(v01_FertMult,G778)*Arch_Fertility*(1-P778)</x:f>
        <x:v>8.367513472529497</x:v>
      </x:c>
      <x:c r="S778" s="9" t="n">
        <x:f>H778*Y777*INDEX(v01_MortChild,G778)/4*Q778</x:f>
        <x:v>1.9340015875603884</x:v>
      </x:c>
      <x:c r="T778" s="9" t="n">
        <x:f>H778*Z777*INDEX(v01_MortAdult,G778)*Arch_AdultMort/4*Q778</x:f>
        <x:v>0.6557503341846415</x:v>
      </x:c>
      <x:c r="U778" s="9" t="n">
        <x:f>H778*AA777*INDEX(v01_MortElder,G778)/4*Q778</x:f>
        <x:v>1.2381500643350443</x:v>
      </x:c>
      <x:c r="V778" s="9" t="n">
        <x:f>H778*MAX(0,AB777-O778)*v01_OvercapLoss</x:f>
        <x:v>0</x:v>
      </x:c>
      <x:c r="W778" s="9" t="n">
        <x:f>H778*Y777/(v01_ChildYears*4)</x:f>
        <x:v>4.6047656846675915</x:v>
      </x:c>
      <x:c r="X778" s="9" t="n">
        <x:f>H778*Z777/(v01_AdultYears*4)</x:f>
        <x:v>1.9230215078728488</x:v>
      </x:c>
      <x:c r="Y778" s="32" t="n">
        <x:f>Y777+R778-S778-W778-Y777*V778/AB777</x:f>
        <x:v>259.69562454168664</x:v>
      </x:c>
      <x:c r="Z778" s="32" t="n">
        <x:f>Z777+W778-X778-T778-Z777*V778/AB777</x:f>
        <x:v>240.48066081884338</x:v>
      </x:c>
      <x:c r="AA778" s="32" t="n">
        <x:f>AA777+X778-U778-AA777*V778/AB777</x:f>
        <x:v>76.8787215564636</x:v>
      </x:c>
      <x:c r="AB778" s="10" t="n">
        <x:f>Y778+Z778+AA778</x:f>
        <x:v>577.0550069169936</x:v>
      </x:c>
      <x:c r="AC778" s="8" t="n">
        <x:f>IF(AND(v01_WinterTrigger=1,D778=1,AB777/AE777&gt;=K778),1,0)</x:f>
        <x:v>0</x:v>
      </x:c>
      <x:c r="AD778" s="8" t="n">
        <x:f>H778*IF(AND(OR(AB777/AE777&gt;=v01_FissionTrigger*N778,AC778=1),AB777/AE777*v01_DaughterShare&gt;=v01_MinDaughter),MAX(1,ROUND(AE777*v01_FissionRate,0)),0)</x:f>
        <x:v>0</x:v>
      </x:c>
      <x:c r="AE778" s="8" t="n">
        <x:f>IF(H778=1,MAX(1,MIN(INDEX(v01_Smax,G778),AE777+AD778)),AE777)</x:f>
        <x:v>7</x:v>
      </x:c>
      <x:c r="AF778" s="8" t="n">
        <x:f>MAX(0,AE778-AE777)</x:f>
        <x:v>0</x:v>
      </x:c>
      <x:c r="AG778" s="9" t="str">
        <x:f>IF(AF778&gt;0,B778,"")</x:f>
      </x:c>
      <x:c r="AH778" s="9" t="n">
        <x:f>IF(F778&gt;=1,1,(1+v01_LowTiesShare*(AE778-1))/AE778)</x:f>
        <x:v>1</x:v>
      </x:c>
      <x:c r="AI778" s="32" t="n">
        <x:f>(Z778+v01_ElderCommons*INDEX(LM_Elder,G778)*AA778)*AH778</x:f>
        <x:v>471.1168254882342</x:v>
      </x:c>
      <x:c r="AJ778" s="32" t="n">
        <x:f>H778*v01_CommonsCoef*AI778^v01_CommonsExp*INDEX(LM_Commons,G778)</x:f>
        <x:v>123.51032321623299</x:v>
      </x:c>
      <x:c r="AK778" s="32" t="n">
        <x:f>H778*v01_RoleScale*Arch_Roles*(AE778*(INDEX(v01_ElderRolePerSett,G778)*v01_OutElder*INDEX(LM_Elder,G778)+INDEX(v01_ShamanPerSett,G778)*v01_OutShaman)+Z778*(INDEX(v01_PriestShare,G778)*v01_OutPriest+INDEX(v01_ScribeShare,G778)*v01_OutScribe*INDEX(LM_Scribe,G778)+INDEX(v01_ScholarShare,G778)*v01_OutScholar*INDEX(LM_Scholar,G778)+INDEX(v01_ResearcherShare,G778)*v01_OutResearcher*INDEX(LM_Researcher,G778)))</x:f>
        <x:v>22.683364625731905</x:v>
      </x:c>
      <x:c r="AL778" s="32" t="n">
        <x:f>H778*v01_RoleScale*Arch_Roles*AE778*INDEX(v01_MonasteryPerSett,G778)*v01_OutMonastery*INDEX(LM_Monastery,G778)</x:f>
        <x:v>0</x:v>
      </x:c>
      <x:c r="AM778" s="32" t="n">
        <x:f>(AJ778+AK778+AL778)/4*INDEX(LM_All,G778)*INDEX(v01_Boon,G778)*Arch_Insight</x:f>
        <x:v>39.358652967797106</x:v>
      </x:c>
      <x:c r="AN778" s="32" t="n">
        <x:f>H778*(v01_KHPerAdult*Z778+v01_KHOfCommons*AJ778/4*INDEX(LM_All,G778))*v01_KHUsable*Arch_KH</x:f>
        <x:v>8.416823128659518</x:v>
      </x:c>
      <x:c r="AO778" s="32" t="n">
        <x:f>MIN(AP777+AN778,AM778*v01_KHMaxRatio)</x:f>
        <x:v>8.416823128659518</x:v>
      </x:c>
      <x:c r="AP778" s="32" t="n">
        <x:f>AP777+AN778-AO778</x:f>
        <x:v>0</x:v>
      </x:c>
      <x:c r="AQ778" s="32" t="n">
        <x:f>AM778+AO778</x:f>
        <x:v>47.77547609645662</x:v>
      </x:c>
      <x:c r="AR778" s="10" t="n">
        <x:f>IF(H778=1,INDEX(v01_Req,G778),0)</x:f>
        <x:v>9805.661999999998</x:v>
      </x:c>
      <x:c r="AS778" s="32" t="n">
        <x:f>IF(H778=1,IF(E778=1,AS777-AR777,AS777)+AQ778,0)</x:f>
        <x:v>2588.9517261627</x:v>
      </x:c>
      <x:c r="AT778" s="11" t="n">
        <x:f>IF(AR778&gt;0,MIN(1,AS778/AR778),1)</x:f>
        <x:v>0.26402620508056474</x:v>
      </x:c>
      <x:c r="AU778" s="10" t="n">
        <x:f>AB778/INDEX(v01_RepScale,G778)</x:f>
        <x:v>115.41100138339873</x:v>
      </x:c>
      <x:c r="AV778" s="32" t="n">
        <x:f>AM778*60/v01_SeasonSeconds</x:f>
        <x:v>157.43461187118842</x:v>
      </x:c>
    </x:row>
    <x:row r="779">
      <x:c r="A779" s="8" t="n">
        <x:f>A778+1</x:f>
        <x:v>776</x:v>
      </x:c>
      <x:c r="B779" s="9" t="n">
        <x:f>A779*v01_SeasonSeconds/60</x:f>
        <x:v>194</x:v>
      </x:c>
      <x:c r="C779" s="9" t="n">
        <x:f>A779/4</x:f>
        <x:v>194</x:v>
      </x:c>
      <x:c r="D779" s="8" t="n">
        <x:f>IF(MOD(A779,4)=0,1,0)</x:f>
        <x:v>1</x:v>
      </x:c>
      <x:c r="E779" s="8" t="n">
        <x:f>IF(AND(F778&lt;=9,AS778&gt;=AR778),1,0)</x:f>
        <x:v>0</x:v>
      </x:c>
      <x:c r="F779" s="8" t="n">
        <x:f>MIN(10,F778+E779)</x:f>
        <x:v>3</x:v>
      </x:c>
      <x:c r="G779" s="8" t="n">
        <x:f>MIN(F779,9)+1</x:f>
        <x:v>4</x:v>
      </x:c>
      <x:c r="H779" s="8" t="n">
        <x:f>IF(F779&lt;=9,1,0)</x:f>
        <x:v>1</x:v>
      </x:c>
      <x:c r="I779" s="9" t="n">
        <x:f>MIN(10,F778+IF(AR778&gt;0,MIN(1,AS778/AR778),1))</x:f>
        <x:v>3.264026205080565</x:v>
      </x:c>
      <x:c r="J779" s="32" t="n">
        <x:f>INDEX(v01_FoodCap,G779)*Arch_FoodCap*EXP(v01_CapsByProject*SUMPRODUCT((Cap_Point&lt;=I779)*(Cap_Kind="Food")*Cap_Ln))</x:f>
        <x:v>120</x:v>
      </x:c>
      <x:c r="K779" s="32" t="n">
        <x:f>J779*MIN(1,v01_LeanBase*EXP(v01_CapsByProject*SUMPRODUCT((Cap_Point&lt;=I779)*(Cap_Kind="Lean")*Cap_Ln)))</x:f>
        <x:v>120</x:v>
      </x:c>
      <x:c r="L779" s="10" t="n">
        <x:f>INDEX(v01_HousingCap,G779)*EXP(v01_CapsByProject*SUMPRODUCT((Cap_Point&lt;=I779)*(Cap_Kind="Housing")*Cap_Ln))</x:f>
        <x:v>200</x:v>
      </x:c>
      <x:c r="M779" s="10" t="n">
        <x:f>INDEX(v01_GroupCap,G779)*v01_CohesionFactor*EXP(v01_CapsByProject*SUMPRODUCT((Cap_Point&lt;=I779)*(Cap_Kind="Group")*Cap_Ln))</x:f>
        <x:v>5000</x:v>
      </x:c>
      <x:c r="N779" s="32" t="n">
        <x:f>MIN(J779,L779,M779)</x:f>
        <x:v>120</x:v>
      </x:c>
      <x:c r="O779" s="10" t="n">
        <x:f>AE778*N779</x:f>
        <x:v>840</x:v>
      </x:c>
      <x:c r="P779" s="9" t="n">
        <x:f>MIN(1,(AB778/(AE778*IF(v01_GroupInCrowding=1,N779,MIN(J779,L779))))^v01_CrowdingExp)</x:f>
        <x:v>0.10510601373456563</x:v>
      </x:c>
      <x:c r="Q779" s="9" t="n">
        <x:f>IF(D779=1,INDEX(v01_WinterMult,G779),1)</x:f>
        <x:v>1.15</x:v>
      </x:c>
      <x:c r="R779" s="9" t="n">
        <x:f>H779*Z778*v01_WomenShare*v01_BaseFertility*INDEX(v01_FertMult,G779)*Arch_Fertility*(1-P779)</x:f>
        <x:v>8.392983190016903</x:v>
      </x:c>
      <x:c r="S779" s="9" t="n">
        <x:f>H779*Y778*INDEX(v01_MortChild,G779)/4*Q779</x:f>
        <x:v>2.239874761672047</x:v>
      </x:c>
      <x:c r="T779" s="9" t="n">
        <x:f>H779*Z778*INDEX(v01_MortAdult,G779)*Arch_AdultMort/4*Q779</x:f>
        <x:v>0.7605200898395921</x:v>
      </x:c>
      <x:c r="U779" s="9" t="n">
        <x:f>H779*AA778*INDEX(v01_MortElder,G779)/4*Q779</x:f>
        <x:v>1.4366711090864135</x:v>
      </x:c>
      <x:c r="V779" s="9" t="n">
        <x:f>H779*MAX(0,AB778-O779)*v01_OvercapLoss</x:f>
        <x:v>0</x:v>
      </x:c>
      <x:c r="W779" s="9" t="n">
        <x:f>H779*Y778/(v01_ChildYears*4)</x:f>
        <x:v>4.637421866815833</x:v>
      </x:c>
      <x:c r="X779" s="9" t="n">
        <x:f>H779*Z778/(v01_AdultYears*4)</x:f>
        <x:v>1.939360167893898</x:v>
      </x:c>
      <x:c r="Y779" s="32" t="n">
        <x:f>Y778+R779-S779-W779-Y778*V779/AB778</x:f>
        <x:v>261.2113111032156</x:v>
      </x:c>
      <x:c r="Z779" s="32" t="n">
        <x:f>Z778+W779-X779-T779-Z778*V779/AB778</x:f>
        <x:v>242.4182024279257</x:v>
      </x:c>
      <x:c r="AA779" s="32" t="n">
        <x:f>AA778+X779-U779-AA778*V779/AB778</x:f>
        <x:v>77.38141061527108</x:v>
      </x:c>
      <x:c r="AB779" s="10" t="n">
        <x:f>Y779+Z779+AA779</x:f>
        <x:v>581.0109241464124</x:v>
      </x:c>
      <x:c r="AC779" s="8" t="n">
        <x:f>IF(AND(v01_WinterTrigger=1,D779=1,AB778/AE778&gt;=K779),1,0)</x:f>
        <x:v>0</x:v>
      </x:c>
      <x:c r="AD779" s="8" t="n">
        <x:f>H779*IF(AND(OR(AB778/AE778&gt;=v01_FissionTrigger*N779,AC779=1),AB778/AE778*v01_DaughterShare&gt;=v01_MinDaughter),MAX(1,ROUND(AE778*v01_FissionRate,0)),0)</x:f>
        <x:v>0</x:v>
      </x:c>
      <x:c r="AE779" s="8" t="n">
        <x:f>IF(H779=1,MAX(1,MIN(INDEX(v01_Smax,G779),AE778+AD779)),AE778)</x:f>
        <x:v>7</x:v>
      </x:c>
      <x:c r="AF779" s="8" t="n">
        <x:f>MAX(0,AE779-AE778)</x:f>
        <x:v>0</x:v>
      </x:c>
      <x:c r="AG779" s="9" t="str">
        <x:f>IF(AF779&gt;0,B779,"")</x:f>
      </x:c>
      <x:c r="AH779" s="9" t="n">
        <x:f>IF(F779&gt;=1,1,(1+v01_LowTiesShare*(AE779-1))/AE779)</x:f>
        <x:v>1</x:v>
      </x:c>
      <x:c r="AI779" s="32" t="n">
        <x:f>(Z779+v01_ElderCommons*INDEX(LM_Elder,G779)*AA779)*AH779</x:f>
        <x:v>474.562434273739</x:v>
      </x:c>
      <x:c r="AJ779" s="32" t="n">
        <x:f>H779*v01_CommonsCoef*AI779^v01_CommonsExp*INDEX(LM_Commons,G779)</x:f>
        <x:v>124.27772342464895</x:v>
      </x:c>
      <x:c r="AK779" s="32" t="n">
        <x:f>H779*v01_RoleScale*Arch_Roles*(AE779*(INDEX(v01_ElderRolePerSett,G779)*v01_OutElder*INDEX(LM_Elder,G779)+INDEX(v01_ShamanPerSett,G779)*v01_OutShaman)+Z779*(INDEX(v01_PriestShare,G779)*v01_OutPriest+INDEX(v01_ScribeShare,G779)*v01_OutScribe*INDEX(LM_Scribe,G779)+INDEX(v01_ScholarShare,G779)*v01_OutScholar*INDEX(LM_Scholar,G779)+INDEX(v01_ResearcherShare,G779)*v01_OutResearcher*INDEX(LM_Researcher,G779)))</x:f>
        <x:v>22.69692741699548</x:v>
      </x:c>
      <x:c r="AL779" s="32" t="n">
        <x:f>H779*v01_RoleScale*Arch_Roles*AE779*INDEX(v01_MonasteryPerSett,G779)*v01_OutMonastery*INDEX(LM_Monastery,G779)</x:f>
        <x:v>0</x:v>
      </x:c>
      <x:c r="AM779" s="32" t="n">
        <x:f>(AJ779+AK779+AL779)/4*INDEX(LM_All,G779)*INDEX(v01_Boon,G779)*Arch_Insight</x:f>
        <x:v>39.5689059010038</x:v>
      </x:c>
      <x:c r="AN779" s="32" t="n">
        <x:f>H779*(v01_KHPerAdult*Z779+v01_KHOfCommons*AJ779/4*INDEX(LM_All,G779))*v01_KHUsable*Arch_KH</x:f>
        <x:v>8.484637084977399</x:v>
      </x:c>
      <x:c r="AO779" s="32" t="n">
        <x:f>MIN(AP778+AN779,AM779*v01_KHMaxRatio)</x:f>
        <x:v>8.484637084977399</x:v>
      </x:c>
      <x:c r="AP779" s="32" t="n">
        <x:f>AP778+AN779-AO779</x:f>
        <x:v>0</x:v>
      </x:c>
      <x:c r="AQ779" s="32" t="n">
        <x:f>AM779+AO779</x:f>
        <x:v>48.0535429859812</x:v>
      </x:c>
      <x:c r="AR779" s="10" t="n">
        <x:f>IF(H779=1,INDEX(v01_Req,G779),0)</x:f>
        <x:v>9805.661999999998</x:v>
      </x:c>
      <x:c r="AS779" s="32" t="n">
        <x:f>IF(H779=1,IF(E779=1,AS778-AR778,AS778)+AQ779,0)</x:f>
        <x:v>2637.0052691486812</x:v>
      </x:c>
      <x:c r="AT779" s="11" t="n">
        <x:f>IF(AR779&gt;0,MIN(1,AS779/AR779),1)</x:f>
        <x:v>0.268926796492545</x:v>
      </x:c>
      <x:c r="AU779" s="10" t="n">
        <x:f>AB779/INDEX(v01_RepScale,G779)</x:f>
        <x:v>116.20218482928249</x:v>
      </x:c>
      <x:c r="AV779" s="32" t="n">
        <x:f>AM779*60/v01_SeasonSeconds</x:f>
        <x:v>158.27562360401524</x:v>
      </x:c>
    </x:row>
    <x:row r="780">
      <x:c r="A780" s="8" t="n">
        <x:f>A779+1</x:f>
        <x:v>777</x:v>
      </x:c>
      <x:c r="B780" s="9" t="n">
        <x:f>A780*v01_SeasonSeconds/60</x:f>
        <x:v>194.25</x:v>
      </x:c>
      <x:c r="C780" s="9" t="n">
        <x:f>A780/4</x:f>
        <x:v>194.25</x:v>
      </x:c>
      <x:c r="D780" s="8" t="n">
        <x:f>IF(MOD(A780,4)=0,1,0)</x:f>
        <x:v>0</x:v>
      </x:c>
      <x:c r="E780" s="8" t="n">
        <x:f>IF(AND(F779&lt;=9,AS779&gt;=AR779),1,0)</x:f>
        <x:v>0</x:v>
      </x:c>
      <x:c r="F780" s="8" t="n">
        <x:f>MIN(10,F779+E780)</x:f>
        <x:v>3</x:v>
      </x:c>
      <x:c r="G780" s="8" t="n">
        <x:f>MIN(F780,9)+1</x:f>
        <x:v>4</x:v>
      </x:c>
      <x:c r="H780" s="8" t="n">
        <x:f>IF(F780&lt;=9,1,0)</x:f>
        <x:v>1</x:v>
      </x:c>
      <x:c r="I780" s="9" t="n">
        <x:f>MIN(10,F779+IF(AR779&gt;0,MIN(1,AS779/AR779),1))</x:f>
        <x:v>3.268926796492545</x:v>
      </x:c>
      <x:c r="J780" s="32" t="n">
        <x:f>INDEX(v01_FoodCap,G780)*Arch_FoodCap*EXP(v01_CapsByProject*SUMPRODUCT((Cap_Point&lt;=I780)*(Cap_Kind="Food")*Cap_Ln))</x:f>
        <x:v>120</x:v>
      </x:c>
      <x:c r="K780" s="32" t="n">
        <x:f>J780*MIN(1,v01_LeanBase*EXP(v01_CapsByProject*SUMPRODUCT((Cap_Point&lt;=I780)*(Cap_Kind="Lean")*Cap_Ln)))</x:f>
        <x:v>120</x:v>
      </x:c>
      <x:c r="L780" s="10" t="n">
        <x:f>INDEX(v01_HousingCap,G780)*EXP(v01_CapsByProject*SUMPRODUCT((Cap_Point&lt;=I780)*(Cap_Kind="Housing")*Cap_Ln))</x:f>
        <x:v>200</x:v>
      </x:c>
      <x:c r="M780" s="10" t="n">
        <x:f>INDEX(v01_GroupCap,G780)*v01_CohesionFactor*EXP(v01_CapsByProject*SUMPRODUCT((Cap_Point&lt;=I780)*(Cap_Kind="Group")*Cap_Ln))</x:f>
        <x:v>5000</x:v>
      </x:c>
      <x:c r="N780" s="32" t="n">
        <x:f>MIN(J780,L780,M780)</x:f>
        <x:v>120</x:v>
      </x:c>
      <x:c r="O780" s="10" t="n">
        <x:f>AE779*N780</x:f>
        <x:v>840</x:v>
      </x:c>
      <x:c r="P780" s="9" t="n">
        <x:f>MIN(1,(AB779/(AE779*IF(v01_GroupInCrowding=1,N780,MIN(J780,L780))))^v01_CrowdingExp)</x:f>
        <x:v>0.10950402229978921</x:v>
      </x:c>
      <x:c r="Q780" s="9" t="n">
        <x:f>IF(D780=1,INDEX(v01_WinterMult,G780),1)</x:f>
        <x:v>1</x:v>
      </x:c>
      <x:c r="R780" s="9" t="n">
        <x:f>H780*Z779*v01_WomenShare*v01_BaseFertility*INDEX(v01_FertMult,G780)*Arch_Fertility*(1-P780)</x:f>
        <x:v>8.419024933151949</x:v>
      </x:c>
      <x:c r="S780" s="9" t="n">
        <x:f>H780*Y779*INDEX(v01_MortChild,G780)/4*Q780</x:f>
        <x:v>1.959084833274117</x:v>
      </x:c>
      <x:c r="T780" s="9" t="n">
        <x:f>H780*Z779*INDEX(v01_MortAdult,G780)*Arch_AdultMort/4*Q780</x:f>
        <x:v>0.6666500566767957</x:v>
      </x:c>
      <x:c r="U780" s="9" t="n">
        <x:f>H780*AA779*INDEX(v01_MortElder,G780)/4*Q780</x:f>
        <x:v>1.2574479224981552</x:v>
      </x:c>
      <x:c r="V780" s="9" t="n">
        <x:f>H780*MAX(0,AB779-O780)*v01_OvercapLoss</x:f>
        <x:v>0</x:v>
      </x:c>
      <x:c r="W780" s="9" t="n">
        <x:f>H780*Y779/(v01_ChildYears*4)</x:f>
        <x:v>4.664487698271707</x:v>
      </x:c>
      <x:c r="X780" s="9" t="n">
        <x:f>H780*Z779/(v01_AdultYears*4)</x:f>
        <x:v>1.9549855034510137</x:v>
      </x:c>
      <x:c r="Y780" s="32" t="n">
        <x:f>Y779+R780-S780-W780-Y779*V780/AB779</x:f>
        <x:v>263.0067635048217</x:v>
      </x:c>
      <x:c r="Z780" s="32" t="n">
        <x:f>Z779+W780-X780-T780-Z779*V780/AB779</x:f>
        <x:v>244.4610545660696</x:v>
      </x:c>
      <x:c r="AA780" s="32" t="n">
        <x:f>AA779+X780-U780-AA779*V780/AB779</x:f>
        <x:v>78.07894819622393</x:v>
      </x:c>
      <x:c r="AB780" s="10" t="n">
        <x:f>Y780+Z780+AA780</x:f>
        <x:v>585.5467662671152</x:v>
      </x:c>
      <x:c r="AC780" s="8" t="n">
        <x:f>IF(AND(v01_WinterTrigger=1,D780=1,AB779/AE779&gt;=K780),1,0)</x:f>
        <x:v>0</x:v>
      </x:c>
      <x:c r="AD780" s="8" t="n">
        <x:f>H780*IF(AND(OR(AB779/AE779&gt;=v01_FissionTrigger*N780,AC780=1),AB779/AE779*v01_DaughterShare&gt;=v01_MinDaughter),MAX(1,ROUND(AE779*v01_FissionRate,0)),0)</x:f>
        <x:v>0</x:v>
      </x:c>
      <x:c r="AE780" s="8" t="n">
        <x:f>IF(H780=1,MAX(1,MIN(INDEX(v01_Smax,G780),AE779+AD780)),AE779)</x:f>
        <x:v>7</x:v>
      </x:c>
      <x:c r="AF780" s="8" t="n">
        <x:f>MAX(0,AE780-AE779)</x:f>
        <x:v>0</x:v>
      </x:c>
      <x:c r="AG780" s="9" t="str">
        <x:f>IF(AF780&gt;0,B780,"")</x:f>
      </x:c>
      <x:c r="AH780" s="9" t="n">
        <x:f>IF(F780&gt;=1,1,(1+v01_LowTiesShare*(AE780-1))/AE780)</x:f>
        <x:v>1</x:v>
      </x:c>
      <x:c r="AI780" s="32" t="n">
        <x:f>(Z780+v01_ElderCommons*INDEX(LM_Elder,G780)*AA780)*AH780</x:f>
        <x:v>478.69789915474144</x:v>
      </x:c>
      <x:c r="AJ780" s="32" t="n">
        <x:f>H780*v01_CommonsCoef*AI780^v01_CommonsExp*INDEX(LM_Commons,G780)</x:f>
        <x:v>125.19766491069177</x:v>
      </x:c>
      <x:c r="AK780" s="32" t="n">
        <x:f>H780*v01_RoleScale*Arch_Roles*(AE780*(INDEX(v01_ElderRolePerSett,G780)*v01_OutElder*INDEX(LM_Elder,G780)+INDEX(v01_ShamanPerSett,G780)*v01_OutShaman)+Z780*(INDEX(v01_PriestShare,G780)*v01_OutPriest+INDEX(v01_ScribeShare,G780)*v01_OutScribe*INDEX(LM_Scribe,G780)+INDEX(v01_ScholarShare,G780)*v01_OutScholar*INDEX(LM_Scholar,G780)+INDEX(v01_ResearcherShare,G780)*v01_OutResearcher*INDEX(LM_Researcher,G780)))</x:f>
        <x:v>22.711227381962487</x:v>
      </x:c>
      <x:c r="AL780" s="32" t="n">
        <x:f>H780*v01_RoleScale*Arch_Roles*AE780*INDEX(v01_MonasteryPerSett,G780)*v01_OutMonastery*INDEX(LM_Monastery,G780)</x:f>
        <x:v>0</x:v>
      </x:c>
      <x:c r="AM780" s="32" t="n">
        <x:f>(AJ780+AK780+AL780)/4*INDEX(LM_All,G780)*INDEX(v01_Boon,G780)*Arch_Insight</x:f>
        <x:v>39.82042486602352</x:v>
      </x:c>
      <x:c r="AN780" s="32" t="n">
        <x:f>H780*(v01_KHPerAdult*Z780+v01_KHOfCommons*AJ780/4*INDEX(LM_All,G780))*v01_KHUsable*Arch_KH</x:f>
        <x:v>8.556136909812436</x:v>
      </x:c>
      <x:c r="AO780" s="32" t="n">
        <x:f>MIN(AP779+AN780,AM780*v01_KHMaxRatio)</x:f>
        <x:v>8.556136909812436</x:v>
      </x:c>
      <x:c r="AP780" s="32" t="n">
        <x:f>AP779+AN780-AO780</x:f>
        <x:v>0</x:v>
      </x:c>
      <x:c r="AQ780" s="32" t="n">
        <x:f>AM780+AO780</x:f>
        <x:v>48.37656177583596</x:v>
      </x:c>
      <x:c r="AR780" s="10" t="n">
        <x:f>IF(H780=1,INDEX(v01_Req,G780),0)</x:f>
        <x:v>9805.661999999998</x:v>
      </x:c>
      <x:c r="AS780" s="32" t="n">
        <x:f>IF(H780=1,IF(E780=1,AS779-AR779,AS779)+AQ780,0)</x:f>
        <x:v>2685.381830924517</x:v>
      </x:c>
      <x:c r="AT780" s="11" t="n">
        <x:f>IF(AR780&gt;0,MIN(1,AS780/AR780),1)</x:f>
        <x:v>0.27386032997308263</x:v>
      </x:c>
      <x:c r="AU780" s="10" t="n">
        <x:f>AB780/INDEX(v01_RepScale,G780)</x:f>
        <x:v>117.10935325342305</x:v>
      </x:c>
      <x:c r="AV780" s="32" t="n">
        <x:f>AM780*60/v01_SeasonSeconds</x:f>
        <x:v>159.2816994640941</x:v>
      </x:c>
    </x:row>
    <x:row r="781">
      <x:c r="A781" s="8" t="n">
        <x:f>A780+1</x:f>
        <x:v>778</x:v>
      </x:c>
      <x:c r="B781" s="9" t="n">
        <x:f>A781*v01_SeasonSeconds/60</x:f>
        <x:v>194.5</x:v>
      </x:c>
      <x:c r="C781" s="9" t="n">
        <x:f>A781/4</x:f>
        <x:v>194.5</x:v>
      </x:c>
      <x:c r="D781" s="8" t="n">
        <x:f>IF(MOD(A781,4)=0,1,0)</x:f>
        <x:v>0</x:v>
      </x:c>
      <x:c r="E781" s="8" t="n">
        <x:f>IF(AND(F780&lt;=9,AS780&gt;=AR780),1,0)</x:f>
        <x:v>0</x:v>
      </x:c>
      <x:c r="F781" s="8" t="n">
        <x:f>MIN(10,F780+E781)</x:f>
        <x:v>3</x:v>
      </x:c>
      <x:c r="G781" s="8" t="n">
        <x:f>MIN(F781,9)+1</x:f>
        <x:v>4</x:v>
      </x:c>
      <x:c r="H781" s="8" t="n">
        <x:f>IF(F781&lt;=9,1,0)</x:f>
        <x:v>1</x:v>
      </x:c>
      <x:c r="I781" s="9" t="n">
        <x:f>MIN(10,F780+IF(AR780&gt;0,MIN(1,AS780/AR780),1))</x:f>
        <x:v>3.2738603299730826</x:v>
      </x:c>
      <x:c r="J781" s="32" t="n">
        <x:f>INDEX(v01_FoodCap,G781)*Arch_FoodCap*EXP(v01_CapsByProject*SUMPRODUCT((Cap_Point&lt;=I781)*(Cap_Kind="Food")*Cap_Ln))</x:f>
        <x:v>120</x:v>
      </x:c>
      <x:c r="K781" s="32" t="n">
        <x:f>J781*MIN(1,v01_LeanBase*EXP(v01_CapsByProject*SUMPRODUCT((Cap_Point&lt;=I781)*(Cap_Kind="Lean")*Cap_Ln)))</x:f>
        <x:v>120</x:v>
      </x:c>
      <x:c r="L781" s="10" t="n">
        <x:f>INDEX(v01_HousingCap,G781)*EXP(v01_CapsByProject*SUMPRODUCT((Cap_Point&lt;=I781)*(Cap_Kind="Housing")*Cap_Ln))</x:f>
        <x:v>200</x:v>
      </x:c>
      <x:c r="M781" s="10" t="n">
        <x:f>INDEX(v01_GroupCap,G781)*v01_CohesionFactor*EXP(v01_CapsByProject*SUMPRODUCT((Cap_Point&lt;=I781)*(Cap_Kind="Group")*Cap_Ln))</x:f>
        <x:v>5000</x:v>
      </x:c>
      <x:c r="N781" s="32" t="n">
        <x:f>MIN(J781,L781,M781)</x:f>
        <x:v>120</x:v>
      </x:c>
      <x:c r="O781" s="10" t="n">
        <x:f>AE780*N781</x:f>
        <x:v>840</x:v>
      </x:c>
      <x:c r="P781" s="9" t="n">
        <x:f>MIN(1,(AB780/(AE780*IF(v01_GroupInCrowding=1,N781,MIN(J781,L781))))^v01_CrowdingExp)</x:f>
        <x:v>0.11473444124365224</x:v>
      </x:c>
      <x:c r="Q781" s="9" t="n">
        <x:f>IF(D781=1,INDEX(v01_WinterMult,G781),1)</x:f>
        <x:v>1</x:v>
      </x:c>
      <x:c r="R781" s="9" t="n">
        <x:f>H781*Z780*v01_WomenShare*v01_BaseFertility*INDEX(v01_FertMult,G781)*Arch_Fertility*(1-P781)</x:f>
        <x:v>8.440105130519306</x:v>
      </x:c>
      <x:c r="S781" s="9" t="n">
        <x:f>H781*Y780*INDEX(v01_MortChild,G781)/4*Q781</x:f>
        <x:v>1.9725507262861628</x:v>
      </x:c>
      <x:c r="T781" s="9" t="n">
        <x:f>H781*Z780*INDEX(v01_MortAdult,G781)*Arch_AdultMort/4*Q781</x:f>
        <x:v>0.6722679000566913</x:v>
      </x:c>
      <x:c r="U781" s="9" t="n">
        <x:f>H781*AA780*INDEX(v01_MortElder,G781)/4*Q781</x:f>
        <x:v>1.268782908188639</x:v>
      </x:c>
      <x:c r="V781" s="9" t="n">
        <x:f>H781*MAX(0,AB780-O781)*v01_OvercapLoss</x:f>
        <x:v>0</x:v>
      </x:c>
      <x:c r="W781" s="9" t="n">
        <x:f>H781*Y780/(v01_ChildYears*4)</x:f>
        <x:v>4.696549348300388</x:v>
      </x:c>
      <x:c r="X781" s="9" t="n">
        <x:f>H781*Z780/(v01_AdultYears*4)</x:f>
        <x:v>1.9714601174683033</x:v>
      </x:c>
      <x:c r="Y781" s="32" t="n">
        <x:f>Y780+R781-S781-W781-Y780*V781/AB780</x:f>
        <x:v>264.7777685607545</x:v>
      </x:c>
      <x:c r="Z781" s="32" t="n">
        <x:f>Z780+W781-X781-T781-Z780*V781/AB780</x:f>
        <x:v>246.513875896845</x:v>
      </x:c>
      <x:c r="AA781" s="32" t="n">
        <x:f>AA780+X781-U781-AA780*V781/AB780</x:f>
        <x:v>78.78162540550359</x:v>
      </x:c>
      <x:c r="AB781" s="10" t="n">
        <x:f>Y781+Z781+AA781</x:f>
        <x:v>590.0732698631032</x:v>
      </x:c>
      <x:c r="AC781" s="8" t="n">
        <x:f>IF(AND(v01_WinterTrigger=1,D781=1,AB780/AE780&gt;=K781),1,0)</x:f>
        <x:v>0</x:v>
      </x:c>
      <x:c r="AD781" s="8" t="n">
        <x:f>H781*IF(AND(OR(AB780/AE780&gt;=v01_FissionTrigger*N781,AC781=1),AB780/AE780*v01_DaughterShare&gt;=v01_MinDaughter),MAX(1,ROUND(AE780*v01_FissionRate,0)),0)</x:f>
        <x:v>0</x:v>
      </x:c>
      <x:c r="AE781" s="8" t="n">
        <x:f>IF(H781=1,MAX(1,MIN(INDEX(v01_Smax,G781),AE780+AD781)),AE780)</x:f>
        <x:v>7</x:v>
      </x:c>
      <x:c r="AF781" s="8" t="n">
        <x:f>MAX(0,AE781-AE780)</x:f>
        <x:v>0</x:v>
      </x:c>
      <x:c r="AG781" s="9" t="str">
        <x:f>IF(AF781&gt;0,B781,"")</x:f>
      </x:c>
      <x:c r="AH781" s="9" t="n">
        <x:f>IF(F781&gt;=1,1,(1+v01_LowTiesShare*(AE781-1))/AE781)</x:f>
        <x:v>1</x:v>
      </x:c>
      <x:c r="AI781" s="32" t="n">
        <x:f>(Z781+v01_ElderCommons*INDEX(LM_Elder,G781)*AA781)*AH781</x:f>
        <x:v>482.85875211335576</x:v>
      </x:c>
      <x:c r="AJ781" s="32" t="n">
        <x:f>H781*v01_CommonsCoef*AI781^v01_CommonsExp*INDEX(LM_Commons,G781)</x:f>
        <x:v>126.12205170248181</x:v>
      </x:c>
      <x:c r="AK781" s="32" t="n">
        <x:f>H781*v01_RoleScale*Arch_Roles*(AE781*(INDEX(v01_ElderRolePerSett,G781)*v01_OutElder*INDEX(LM_Elder,G781)+INDEX(v01_ShamanPerSett,G781)*v01_OutShaman)+Z781*(INDEX(v01_PriestShare,G781)*v01_OutPriest+INDEX(v01_ScribeShare,G781)*v01_OutScribe*INDEX(LM_Scribe,G781)+INDEX(v01_ScholarShare,G781)*v01_OutScholar*INDEX(LM_Scholar,G781)+INDEX(v01_ResearcherShare,G781)*v01_OutResearcher*INDEX(LM_Researcher,G781)))</x:f>
        <x:v>22.725597131277915</x:v>
      </x:c>
      <x:c r="AL781" s="32" t="n">
        <x:f>H781*v01_RoleScale*Arch_Roles*AE781*INDEX(v01_MonasteryPerSett,G781)*v01_OutMonastery*INDEX(LM_Monastery,G781)</x:f>
        <x:v>0</x:v>
      </x:c>
      <x:c r="AM781" s="32" t="n">
        <x:f>(AJ781+AK781+AL781)/4*INDEX(LM_All,G781)*INDEX(v01_Boon,G781)*Arch_Insight</x:f>
        <x:v>40.073159395592</x:v>
      </x:c>
      <x:c r="AN781" s="32" t="n">
        <x:f>H781*(v01_KHPerAdult*Z781+v01_KHOfCommons*AJ781/4*INDEX(LM_All,G781))*v01_KHUsable*Arch_KH</x:f>
        <x:v>8.627985656389576</x:v>
      </x:c>
      <x:c r="AO781" s="32" t="n">
        <x:f>MIN(AP780+AN781,AM781*v01_KHMaxRatio)</x:f>
        <x:v>8.627985656389576</x:v>
      </x:c>
      <x:c r="AP781" s="32" t="n">
        <x:f>AP780+AN781-AO781</x:f>
        <x:v>0</x:v>
      </x:c>
      <x:c r="AQ781" s="32" t="n">
        <x:f>AM781+AO781</x:f>
        <x:v>48.70114505198158</x:v>
      </x:c>
      <x:c r="AR781" s="10" t="n">
        <x:f>IF(H781=1,INDEX(v01_Req,G781),0)</x:f>
        <x:v>9805.661999999998</x:v>
      </x:c>
      <x:c r="AS781" s="32" t="n">
        <x:f>IF(H781=1,IF(E781=1,AS780-AR780,AS780)+AQ781,0)</x:f>
        <x:v>2734.082975976499</x:v>
      </x:c>
      <x:c r="AT781" s="11" t="n">
        <x:f>IF(AR781&gt;0,MIN(1,AS781/AR781),1)</x:f>
        <x:v>0.2788269650714556</x:v>
      </x:c>
      <x:c r="AU781" s="10" t="n">
        <x:f>AB781/INDEX(v01_RepScale,G781)</x:f>
        <x:v>118.01465397262064</x:v>
      </x:c>
      <x:c r="AV781" s="32" t="n">
        <x:f>AM781*60/v01_SeasonSeconds</x:f>
        <x:v>160.292637582368</x:v>
      </x:c>
    </x:row>
    <x:row r="782">
      <x:c r="A782" s="8" t="n">
        <x:f>A781+1</x:f>
        <x:v>779</x:v>
      </x:c>
      <x:c r="B782" s="9" t="n">
        <x:f>A782*v01_SeasonSeconds/60</x:f>
        <x:v>194.75</x:v>
      </x:c>
      <x:c r="C782" s="9" t="n">
        <x:f>A782/4</x:f>
        <x:v>194.75</x:v>
      </x:c>
      <x:c r="D782" s="8" t="n">
        <x:f>IF(MOD(A782,4)=0,1,0)</x:f>
        <x:v>0</x:v>
      </x:c>
      <x:c r="E782" s="8" t="n">
        <x:f>IF(AND(F781&lt;=9,AS781&gt;=AR781),1,0)</x:f>
        <x:v>0</x:v>
      </x:c>
      <x:c r="F782" s="8" t="n">
        <x:f>MIN(10,F781+E782)</x:f>
        <x:v>3</x:v>
      </x:c>
      <x:c r="G782" s="8" t="n">
        <x:f>MIN(F782,9)+1</x:f>
        <x:v>4</x:v>
      </x:c>
      <x:c r="H782" s="8" t="n">
        <x:f>IF(F782&lt;=9,1,0)</x:f>
        <x:v>1</x:v>
      </x:c>
      <x:c r="I782" s="9" t="n">
        <x:f>MIN(10,F781+IF(AR781&gt;0,MIN(1,AS781/AR781),1))</x:f>
        <x:v>3.2788269650714557</x:v>
      </x:c>
      <x:c r="J782" s="32" t="n">
        <x:f>INDEX(v01_FoodCap,G782)*Arch_FoodCap*EXP(v01_CapsByProject*SUMPRODUCT((Cap_Point&lt;=I782)*(Cap_Kind="Food")*Cap_Ln))</x:f>
        <x:v>120</x:v>
      </x:c>
      <x:c r="K782" s="32" t="n">
        <x:f>J782*MIN(1,v01_LeanBase*EXP(v01_CapsByProject*SUMPRODUCT((Cap_Point&lt;=I782)*(Cap_Kind="Lean")*Cap_Ln)))</x:f>
        <x:v>120</x:v>
      </x:c>
      <x:c r="L782" s="10" t="n">
        <x:f>INDEX(v01_HousingCap,G782)*EXP(v01_CapsByProject*SUMPRODUCT((Cap_Point&lt;=I782)*(Cap_Kind="Housing")*Cap_Ln))</x:f>
        <x:v>200</x:v>
      </x:c>
      <x:c r="M782" s="10" t="n">
        <x:f>INDEX(v01_GroupCap,G782)*v01_CohesionFactor*EXP(v01_CapsByProject*SUMPRODUCT((Cap_Point&lt;=I782)*(Cap_Kind="Group")*Cap_Ln))</x:f>
        <x:v>5000</x:v>
      </x:c>
      <x:c r="N782" s="32" t="n">
        <x:f>MIN(J782,L782,M782)</x:f>
        <x:v>120</x:v>
      </x:c>
      <x:c r="O782" s="10" t="n">
        <x:f>AE781*N782</x:f>
        <x:v>840</x:v>
      </x:c>
      <x:c r="P782" s="9" t="n">
        <x:f>MIN(1,(AB781/(AE781*IF(v01_GroupInCrowding=1,N782,MIN(J782,L782))))^v01_CrowdingExp)</x:f>
        <x:v>0.1201600038847526</x:v>
      </x:c>
      <x:c r="Q782" s="9" t="n">
        <x:f>IF(D782=1,INDEX(v01_WinterMult,G782),1)</x:f>
        <x:v>1</x:v>
      </x:c>
      <x:c r="R782" s="9" t="n">
        <x:f>H782*Z781*v01_WomenShare*v01_BaseFertility*INDEX(v01_FertMult,G782)*Arch_Fertility*(1-P782)</x:f>
        <x:v>8.458817936845954</x:v>
      </x:c>
      <x:c r="S782" s="9" t="n">
        <x:f>H782*Y781*INDEX(v01_MortChild,G782)/4*Q782</x:f>
        <x:v>1.9858332642056586</x:v>
      </x:c>
      <x:c r="T782" s="9" t="n">
        <x:f>H782*Z781*INDEX(v01_MortAdult,G782)*Arch_AdultMort/4*Q782</x:f>
        <x:v>0.6779131587163237</x:v>
      </x:c>
      <x:c r="U782" s="9" t="n">
        <x:f>H782*AA781*INDEX(v01_MortElder,G782)/4*Q782</x:f>
        <x:v>1.2802014128394335</x:v>
      </x:c>
      <x:c r="V782" s="9" t="n">
        <x:f>H782*MAX(0,AB781-O782)*v01_OvercapLoss</x:f>
        <x:v>0</x:v>
      </x:c>
      <x:c r="W782" s="9" t="n">
        <x:f>H782*Y781/(v01_ChildYears*4)</x:f>
        <x:v>4.728174438584902</x:v>
      </x:c>
      <x:c r="X782" s="9" t="n">
        <x:f>H782*Z781/(v01_AdultYears*4)</x:f>
        <x:v>1.9880151282003629</x:v>
      </x:c>
      <x:c r="Y782" s="32" t="n">
        <x:f>Y781+R782-S782-W782-Y781*V782/AB781</x:f>
        <x:v>266.5225787948099</x:v>
      </x:c>
      <x:c r="Z782" s="32" t="n">
        <x:f>Z781+W782-X782-T782-Z781*V782/AB781</x:f>
        <x:v>248.5761220485132</x:v>
      </x:c>
      <x:c r="AA782" s="32" t="n">
        <x:f>AA781+X782-U782-AA781*V782/AB781</x:f>
        <x:v>79.48943912086452</x:v>
      </x:c>
      <x:c r="AB782" s="10" t="n">
        <x:f>Y782+Z782+AA782</x:f>
        <x:v>594.5881399641876</x:v>
      </x:c>
      <x:c r="AC782" s="8" t="n">
        <x:f>IF(AND(v01_WinterTrigger=1,D782=1,AB781/AE781&gt;=K782),1,0)</x:f>
        <x:v>0</x:v>
      </x:c>
      <x:c r="AD782" s="8" t="n">
        <x:f>H782*IF(AND(OR(AB781/AE781&gt;=v01_FissionTrigger*N782,AC782=1),AB781/AE781*v01_DaughterShare&gt;=v01_MinDaughter),MAX(1,ROUND(AE781*v01_FissionRate,0)),0)</x:f>
        <x:v>0</x:v>
      </x:c>
      <x:c r="AE782" s="8" t="n">
        <x:f>IF(H782=1,MAX(1,MIN(INDEX(v01_Smax,G782),AE781+AD782)),AE781)</x:f>
        <x:v>7</x:v>
      </x:c>
      <x:c r="AF782" s="8" t="n">
        <x:f>MAX(0,AE782-AE781)</x:f>
        <x:v>0</x:v>
      </x:c>
      <x:c r="AG782" s="9" t="str">
        <x:f>IF(AF782&gt;0,B782,"")</x:f>
      </x:c>
      <x:c r="AH782" s="9" t="n">
        <x:f>IF(F782&gt;=1,1,(1+v01_LowTiesShare*(AE782-1))/AE782)</x:f>
        <x:v>1</x:v>
      </x:c>
      <x:c r="AI782" s="32" t="n">
        <x:f>(Z782+v01_ElderCommons*INDEX(LM_Elder,G782)*AA782)*AH782</x:f>
        <x:v>487.04443941110674</x:v>
      </x:c>
      <x:c r="AJ782" s="32" t="n">
        <x:f>H782*v01_CommonsCoef*AI782^v01_CommonsExp*INDEX(LM_Commons,G782)</x:f>
        <x:v>127.05075099573078</x:v>
      </x:c>
      <x:c r="AK782" s="32" t="n">
        <x:f>H782*v01_RoleScale*Arch_Roles*(AE782*(INDEX(v01_ElderRolePerSett,G782)*v01_OutElder*INDEX(LM_Elder,G782)+INDEX(v01_ShamanPerSett,G782)*v01_OutShaman)+Z782*(INDEX(v01_PriestShare,G782)*v01_OutPriest+INDEX(v01_ScribeShare,G782)*v01_OutScribe*INDEX(LM_Scribe,G782)+INDEX(v01_ScholarShare,G782)*v01_OutScholar*INDEX(LM_Scholar,G782)+INDEX(v01_ResearcherShare,G782)*v01_OutResearcher*INDEX(LM_Researcher,G782)))</x:f>
        <x:v>22.740032854339592</x:v>
      </x:c>
      <x:c r="AL782" s="32" t="n">
        <x:f>H782*v01_RoleScale*Arch_Roles*AE782*INDEX(v01_MonasteryPerSett,G782)*v01_OutMonastery*INDEX(LM_Monastery,G782)</x:f>
        <x:v>0</x:v>
      </x:c>
      <x:c r="AM782" s="32" t="n">
        <x:f>(AJ782+AK782+AL782)/4*INDEX(LM_All,G782)*INDEX(v01_Boon,G782)*Arch_Insight</x:f>
        <x:v>40.327072709885535</x:v>
      </x:c>
      <x:c r="AN782" s="32" t="n">
        <x:f>H782*(v01_KHPerAdult*Z782+v01_KHOfCommons*AJ782/4*INDEX(LM_All,G782))*v01_KHUsable*Arch_KH</x:f>
        <x:v>8.700164271697961</x:v>
      </x:c>
      <x:c r="AO782" s="32" t="n">
        <x:f>MIN(AP781+AN782,AM782*v01_KHMaxRatio)</x:f>
        <x:v>8.700164271697961</x:v>
      </x:c>
      <x:c r="AP782" s="32" t="n">
        <x:f>AP781+AN782-AO782</x:f>
        <x:v>0</x:v>
      </x:c>
      <x:c r="AQ782" s="32" t="n">
        <x:f>AM782+AO782</x:f>
        <x:v>49.0272369815835</x:v>
      </x:c>
      <x:c r="AR782" s="10" t="n">
        <x:f>IF(H782=1,INDEX(v01_Req,G782),0)</x:f>
        <x:v>9805.661999999998</x:v>
      </x:c>
      <x:c r="AS782" s="32" t="n">
        <x:f>IF(H782=1,IF(E782=1,AS781-AR781,AS781)+AQ782,0)</x:f>
        <x:v>2783.1102129580822</x:v>
      </x:c>
      <x:c r="AT782" s="11" t="n">
        <x:f>IF(AR782&gt;0,MIN(1,AS782/AR782),1)</x:f>
        <x:v>0.28382685564300325</x:v>
      </x:c>
      <x:c r="AU782" s="10" t="n">
        <x:f>AB782/INDEX(v01_RepScale,G782)</x:f>
        <x:v>118.91762799283751</x:v>
      </x:c>
      <x:c r="AV782" s="32" t="n">
        <x:f>AM782*60/v01_SeasonSeconds</x:f>
        <x:v>161.30829083954214</x:v>
      </x:c>
    </x:row>
    <x:row r="783">
      <x:c r="A783" s="8" t="n">
        <x:f>A782+1</x:f>
        <x:v>780</x:v>
      </x:c>
      <x:c r="B783" s="9" t="n">
        <x:f>A783*v01_SeasonSeconds/60</x:f>
        <x:v>195</x:v>
      </x:c>
      <x:c r="C783" s="9" t="n">
        <x:f>A783/4</x:f>
        <x:v>195</x:v>
      </x:c>
      <x:c r="D783" s="8" t="n">
        <x:f>IF(MOD(A783,4)=0,1,0)</x:f>
        <x:v>1</x:v>
      </x:c>
      <x:c r="E783" s="8" t="n">
        <x:f>IF(AND(F782&lt;=9,AS782&gt;=AR782),1,0)</x:f>
        <x:v>0</x:v>
      </x:c>
      <x:c r="F783" s="8" t="n">
        <x:f>MIN(10,F782+E783)</x:f>
        <x:v>3</x:v>
      </x:c>
      <x:c r="G783" s="8" t="n">
        <x:f>MIN(F783,9)+1</x:f>
        <x:v>4</x:v>
      </x:c>
      <x:c r="H783" s="8" t="n">
        <x:f>IF(F783&lt;=9,1,0)</x:f>
        <x:v>1</x:v>
      </x:c>
      <x:c r="I783" s="9" t="n">
        <x:f>MIN(10,F782+IF(AR782&gt;0,MIN(1,AS782/AR782),1))</x:f>
        <x:v>3.283826855643003</x:v>
      </x:c>
      <x:c r="J783" s="32" t="n">
        <x:f>INDEX(v01_FoodCap,G783)*Arch_FoodCap*EXP(v01_CapsByProject*SUMPRODUCT((Cap_Point&lt;=I783)*(Cap_Kind="Food")*Cap_Ln))</x:f>
        <x:v>120</x:v>
      </x:c>
      <x:c r="K783" s="32" t="n">
        <x:f>J783*MIN(1,v01_LeanBase*EXP(v01_CapsByProject*SUMPRODUCT((Cap_Point&lt;=I783)*(Cap_Kind="Lean")*Cap_Ln)))</x:f>
        <x:v>120</x:v>
      </x:c>
      <x:c r="L783" s="10" t="n">
        <x:f>INDEX(v01_HousingCap,G783)*EXP(v01_CapsByProject*SUMPRODUCT((Cap_Point&lt;=I783)*(Cap_Kind="Housing")*Cap_Ln))</x:f>
        <x:v>200</x:v>
      </x:c>
      <x:c r="M783" s="10" t="n">
        <x:f>INDEX(v01_GroupCap,G783)*v01_CohesionFactor*EXP(v01_CapsByProject*SUMPRODUCT((Cap_Point&lt;=I783)*(Cap_Kind="Group")*Cap_Ln))</x:f>
        <x:v>5000</x:v>
      </x:c>
      <x:c r="N783" s="32" t="n">
        <x:f>MIN(J783,L783,M783)</x:f>
        <x:v>120</x:v>
      </x:c>
      <x:c r="O783" s="10" t="n">
        <x:f>AE782*N783</x:f>
        <x:v>840</x:v>
      </x:c>
      <x:c r="P783" s="9" t="n">
        <x:f>MIN(1,(AB782/(AE782*IF(v01_GroupInCrowding=1,N783,MIN(J783,L783))))^v01_CrowdingExp)</x:f>
        <x:v>0.12578293870514656</x:v>
      </x:c>
      <x:c r="Q783" s="9" t="n">
        <x:f>IF(D783=1,INDEX(v01_WinterMult,G783),1)</x:f>
        <x:v>1.15</x:v>
      </x:c>
      <x:c r="R783" s="9" t="n">
        <x:f>H783*Z782*v01_WomenShare*v01_BaseFertility*INDEX(v01_FertMult,G783)*Arch_Fertility*(1-P783)</x:f>
        <x:v>8.47506999008756</x:v>
      </x:c>
      <x:c r="S783" s="9" t="n">
        <x:f>H783*Y782*INDEX(v01_MortChild,G783)/4*Q783</x:f>
        <x:v>2.2987572421052347</x:v>
      </x:c>
      <x:c r="T783" s="9" t="n">
        <x:f>H783*Z782*INDEX(v01_MortAdult,G783)*Arch_AdultMort/4*Q783</x:f>
        <x:v>0.7861219859784229</x:v>
      </x:c>
      <x:c r="U783" s="9" t="n">
        <x:f>H783*AA782*INDEX(v01_MortElder,G783)/4*Q783</x:f>
        <x:v>1.4854588935711557</x:v>
      </x:c>
      <x:c r="V783" s="9" t="n">
        <x:f>H783*MAX(0,AB782-O783)*v01_OvercapLoss</x:f>
        <x:v>0</x:v>
      </x:c>
      <x:c r="W783" s="9" t="n">
        <x:f>H783*Y782/(v01_ChildYears*4)</x:f>
        <x:v>4.759331764193034</x:v>
      </x:c>
      <x:c r="X783" s="9" t="n">
        <x:f>H783*Z782/(v01_AdultYears*4)</x:f>
        <x:v>2.0046461455525257</x:v>
      </x:c>
      <x:c r="Y783" s="32" t="n">
        <x:f>Y782+R783-S783-W783-Y782*V783/AB782</x:f>
        <x:v>267.9395597785992</x:v>
      </x:c>
      <x:c r="Z783" s="32" t="n">
        <x:f>Z782+W783-X783-T783-Z782*V783/AB782</x:f>
        <x:v>250.5446856811753</x:v>
      </x:c>
      <x:c r="AA783" s="32" t="n">
        <x:f>AA782+X783-U783-AA782*V783/AB782</x:f>
        <x:v>80.0086263728459</x:v>
      </x:c>
      <x:c r="AB783" s="10" t="n">
        <x:f>Y783+Z783+AA783</x:f>
        <x:v>598.4928718326204</x:v>
      </x:c>
      <x:c r="AC783" s="8" t="n">
        <x:f>IF(AND(v01_WinterTrigger=1,D783=1,AB782/AE782&gt;=K783),1,0)</x:f>
        <x:v>0</x:v>
      </x:c>
      <x:c r="AD783" s="8" t="n">
        <x:f>H783*IF(AND(OR(AB782/AE782&gt;=v01_FissionTrigger*N783,AC783=1),AB782/AE782*v01_DaughterShare&gt;=v01_MinDaughter),MAX(1,ROUND(AE782*v01_FissionRate,0)),0)</x:f>
        <x:v>0</x:v>
      </x:c>
      <x:c r="AE783" s="8" t="n">
        <x:f>IF(H783=1,MAX(1,MIN(INDEX(v01_Smax,G783),AE782+AD783)),AE782)</x:f>
        <x:v>7</x:v>
      </x:c>
      <x:c r="AF783" s="8" t="n">
        <x:f>MAX(0,AE783-AE782)</x:f>
        <x:v>0</x:v>
      </x:c>
      <x:c r="AG783" s="9" t="str">
        <x:f>IF(AF783&gt;0,B783,"")</x:f>
      </x:c>
      <x:c r="AH783" s="9" t="n">
        <x:f>IF(F783&gt;=1,1,(1+v01_LowTiesShare*(AE783-1))/AE783)</x:f>
        <x:v>1</x:v>
      </x:c>
      <x:c r="AI783" s="32" t="n">
        <x:f>(Z783+v01_ElderCommons*INDEX(LM_Elder,G783)*AA783)*AH783</x:f>
        <x:v>490.570564799713</x:v>
      </x:c>
      <x:c r="AJ783" s="32" t="n">
        <x:f>H783*v01_CommonsCoef*AI783^v01_CommonsExp*INDEX(LM_Commons,G783)</x:f>
        <x:v>127.83218102398978</x:v>
      </x:c>
      <x:c r="AK783" s="32" t="n">
        <x:f>H783*v01_RoleScale*Arch_Roles*(AE783*(INDEX(v01_ElderRolePerSett,G783)*v01_OutElder*INDEX(LM_Elder,G783)+INDEX(v01_ShamanPerSett,G783)*v01_OutShaman)+Z783*(INDEX(v01_PriestShare,G783)*v01_OutPriest+INDEX(v01_ScribeShare,G783)*v01_OutScribe*INDEX(LM_Scribe,G783)+INDEX(v01_ScholarShare,G783)*v01_OutScholar*INDEX(LM_Scholar,G783)+INDEX(v01_ResearcherShare,G783)*v01_OutResearcher*INDEX(LM_Researcher,G783)))</x:f>
        <x:v>22.753812799768227</x:v>
      </x:c>
      <x:c r="AL783" s="32" t="n">
        <x:f>H783*v01_RoleScale*Arch_Roles*AE783*INDEX(v01_MonasteryPerSett,G783)*v01_OutMonastery*INDEX(LM_Monastery,G783)</x:f>
        <x:v>0</x:v>
      </x:c>
      <x:c r="AM783" s="32" t="n">
        <x:f>(AJ783+AK783+AL783)/4*INDEX(LM_All,G783)*INDEX(v01_Boon,G783)*Arch_Insight</x:f>
        <x:v>40.54116125127821</x:v>
      </x:c>
      <x:c r="AN783" s="32" t="n">
        <x:f>H783*(v01_KHPerAdult*Z783+v01_KHOfCommons*AJ783/4*INDEX(LM_All,G783))*v01_KHUsable*Arch_KH</x:f>
        <x:v>8.769063998841135</x:v>
      </x:c>
      <x:c r="AO783" s="32" t="n">
        <x:f>MIN(AP782+AN783,AM783*v01_KHMaxRatio)</x:f>
        <x:v>8.769063998841135</x:v>
      </x:c>
      <x:c r="AP783" s="32" t="n">
        <x:f>AP782+AN783-AO783</x:f>
        <x:v>0</x:v>
      </x:c>
      <x:c r="AQ783" s="32" t="n">
        <x:f>AM783+AO783</x:f>
        <x:v>49.310225250119345</x:v>
      </x:c>
      <x:c r="AR783" s="10" t="n">
        <x:f>IF(H783=1,INDEX(v01_Req,G783),0)</x:f>
        <x:v>9805.661999999998</x:v>
      </x:c>
      <x:c r="AS783" s="32" t="n">
        <x:f>IF(H783=1,IF(E783=1,AS782-AR782,AS782)+AQ783,0)</x:f>
        <x:v>2832.4204382082016</x:v>
      </x:c>
      <x:c r="AT783" s="11" t="n">
        <x:f>IF(AR783&gt;0,MIN(1,AS783/AR783),1)</x:f>
        <x:v>0.28885560589465575</x:v>
      </x:c>
      <x:c r="AU783" s="10" t="n">
        <x:f>AB783/INDEX(v01_RepScale,G783)</x:f>
        <x:v>119.69857436652407</x:v>
      </x:c>
      <x:c r="AV783" s="32" t="n">
        <x:f>AM783*60/v01_SeasonSeconds</x:f>
        <x:v>162.16464500511285</x:v>
      </x:c>
    </x:row>
    <x:row r="784">
      <x:c r="A784" s="8" t="n">
        <x:f>A783+1</x:f>
        <x:v>781</x:v>
      </x:c>
      <x:c r="B784" s="9" t="n">
        <x:f>A784*v01_SeasonSeconds/60</x:f>
        <x:v>195.25</x:v>
      </x:c>
      <x:c r="C784" s="9" t="n">
        <x:f>A784/4</x:f>
        <x:v>195.25</x:v>
      </x:c>
      <x:c r="D784" s="8" t="n">
        <x:f>IF(MOD(A784,4)=0,1,0)</x:f>
        <x:v>0</x:v>
      </x:c>
      <x:c r="E784" s="8" t="n">
        <x:f>IF(AND(F783&lt;=9,AS783&gt;=AR783),1,0)</x:f>
        <x:v>0</x:v>
      </x:c>
      <x:c r="F784" s="8" t="n">
        <x:f>MIN(10,F783+E784)</x:f>
        <x:v>3</x:v>
      </x:c>
      <x:c r="G784" s="8" t="n">
        <x:f>MIN(F784,9)+1</x:f>
        <x:v>4</x:v>
      </x:c>
      <x:c r="H784" s="8" t="n">
        <x:f>IF(F784&lt;=9,1,0)</x:f>
        <x:v>1</x:v>
      </x:c>
      <x:c r="I784" s="9" t="n">
        <x:f>MIN(10,F783+IF(AR783&gt;0,MIN(1,AS783/AR783),1))</x:f>
        <x:v>3.2888556058946556</x:v>
      </x:c>
      <x:c r="J784" s="32" t="n">
        <x:f>INDEX(v01_FoodCap,G784)*Arch_FoodCap*EXP(v01_CapsByProject*SUMPRODUCT((Cap_Point&lt;=I784)*(Cap_Kind="Food")*Cap_Ln))</x:f>
        <x:v>120</x:v>
      </x:c>
      <x:c r="K784" s="32" t="n">
        <x:f>J784*MIN(1,v01_LeanBase*EXP(v01_CapsByProject*SUMPRODUCT((Cap_Point&lt;=I784)*(Cap_Kind="Lean")*Cap_Ln)))</x:f>
        <x:v>120</x:v>
      </x:c>
      <x:c r="L784" s="10" t="n">
        <x:f>INDEX(v01_HousingCap,G784)*EXP(v01_CapsByProject*SUMPRODUCT((Cap_Point&lt;=I784)*(Cap_Kind="Housing")*Cap_Ln))</x:f>
        <x:v>200</x:v>
      </x:c>
      <x:c r="M784" s="10" t="n">
        <x:f>INDEX(v01_GroupCap,G784)*v01_CohesionFactor*EXP(v01_CapsByProject*SUMPRODUCT((Cap_Point&lt;=I784)*(Cap_Kind="Group")*Cap_Ln))</x:f>
        <x:v>5000</x:v>
      </x:c>
      <x:c r="N784" s="32" t="n">
        <x:f>MIN(J784,L784,M784)</x:f>
        <x:v>120</x:v>
      </x:c>
      <x:c r="O784" s="10" t="n">
        <x:f>AE783*N784</x:f>
        <x:v>840</x:v>
      </x:c>
      <x:c r="P784" s="9" t="n">
        <x:f>MIN(1,(AB783/(AE783*IF(v01_GroupInCrowding=1,N784,MIN(J784,L784))))^v01_CrowdingExp)</x:f>
        <x:v>0.13082121462524218</x:v>
      </x:c>
      <x:c r="Q784" s="9" t="n">
        <x:f>IF(D784=1,INDEX(v01_WinterMult,G784),1)</x:f>
        <x:v>1</x:v>
      </x:c>
      <x:c r="R784" s="9" t="n">
        <x:f>H784*Z783*v01_WomenShare*v01_BaseFertility*INDEX(v01_FertMult,G784)*Arch_Fertility*(1-P784)</x:f>
        <x:v>8.492956897716113</x:v>
      </x:c>
      <x:c r="S784" s="9" t="n">
        <x:f>H784*Y783*INDEX(v01_MortChild,G784)/4*Q784</x:f>
        <x:v>2.0095466983394936</x:v>
      </x:c>
      <x:c r="T784" s="9" t="n">
        <x:f>H784*Z783*INDEX(v01_MortAdult,G784)*Arch_AdultMort/4*Q784</x:f>
        <x:v>0.688997885623232</x:v>
      </x:c>
      <x:c r="U784" s="9" t="n">
        <x:f>H784*AA783*INDEX(v01_MortElder,G784)/4*Q784</x:f>
        <x:v>1.3001401785587459</x:v>
      </x:c>
      <x:c r="V784" s="9" t="n">
        <x:f>H784*MAX(0,AB783-O784)*v01_OvercapLoss</x:f>
        <x:v>0</x:v>
      </x:c>
      <x:c r="W784" s="9" t="n">
        <x:f>H784*Y783/(v01_ChildYears*4)</x:f>
        <x:v>4.784634996046414</x:v>
      </x:c>
      <x:c r="X784" s="9" t="n">
        <x:f>H784*Z783/(v01_AdultYears*4)</x:f>
        <x:v>2.0205216587191557</x:v>
      </x:c>
      <x:c r="Y784" s="32" t="n">
        <x:f>Y783+R784-S784-W784-Y783*V784/AB783</x:f>
        <x:v>269.6383349819294</x:v>
      </x:c>
      <x:c r="Z784" s="32" t="n">
        <x:f>Z783+W784-X784-T784-Z783*V784/AB783</x:f>
        <x:v>252.61980113287933</x:v>
      </x:c>
      <x:c r="AA784" s="32" t="n">
        <x:f>AA783+X784-U784-AA783*V784/AB783</x:f>
        <x:v>80.72900785300631</x:v>
      </x:c>
      <x:c r="AB784" s="10" t="n">
        <x:f>Y784+Z784+AA784</x:f>
        <x:v>602.9871439678151</x:v>
      </x:c>
      <x:c r="AC784" s="8" t="n">
        <x:f>IF(AND(v01_WinterTrigger=1,D784=1,AB783/AE783&gt;=K784),1,0)</x:f>
        <x:v>0</x:v>
      </x:c>
      <x:c r="AD784" s="8" t="n">
        <x:f>H784*IF(AND(OR(AB783/AE783&gt;=v01_FissionTrigger*N784,AC784=1),AB783/AE783*v01_DaughterShare&gt;=v01_MinDaughter),MAX(1,ROUND(AE783*v01_FissionRate,0)),0)</x:f>
        <x:v>0</x:v>
      </x:c>
      <x:c r="AE784" s="8" t="n">
        <x:f>IF(H784=1,MAX(1,MIN(INDEX(v01_Smax,G784),AE783+AD784)),AE783)</x:f>
        <x:v>7</x:v>
      </x:c>
      <x:c r="AF784" s="8" t="n">
        <x:f>MAX(0,AE784-AE783)</x:f>
        <x:v>0</x:v>
      </x:c>
      <x:c r="AG784" s="9" t="str">
        <x:f>IF(AF784&gt;0,B784,"")</x:f>
      </x:c>
      <x:c r="AH784" s="9" t="n">
        <x:f>IF(F784&gt;=1,1,(1+v01_LowTiesShare*(AE784-1))/AE784)</x:f>
        <x:v>1</x:v>
      </x:c>
      <x:c r="AI784" s="32" t="n">
        <x:f>(Z784+v01_ElderCommons*INDEX(LM_Elder,G784)*AA784)*AH784</x:f>
        <x:v>494.80682469189827</x:v>
      </x:c>
      <x:c r="AJ784" s="32" t="n">
        <x:f>H784*v01_CommonsCoef*AI784^v01_CommonsExp*INDEX(LM_Commons,G784)</x:f>
        <x:v>128.76987213366957</x:v>
      </x:c>
      <x:c r="AK784" s="32" t="n">
        <x:f>H784*v01_RoleScale*Arch_Roles*(AE784*(INDEX(v01_ElderRolePerSett,G784)*v01_OutElder*INDEX(LM_Elder,G784)+INDEX(v01_ShamanPerSett,G784)*v01_OutShaman)+Z784*(INDEX(v01_PriestShare,G784)*v01_OutPriest+INDEX(v01_ScribeShare,G784)*v01_OutScribe*INDEX(LM_Scribe,G784)+INDEX(v01_ScholarShare,G784)*v01_OutScholar*INDEX(LM_Scholar,G784)+INDEX(v01_ResearcherShare,G784)*v01_OutResearcher*INDEX(LM_Researcher,G784)))</x:f>
        <x:v>22.768338607930154</x:v>
      </x:c>
      <x:c r="AL784" s="32" t="n">
        <x:f>H784*v01_RoleScale*Arch_Roles*AE784*INDEX(v01_MonasteryPerSett,G784)*v01_OutMonastery*INDEX(LM_Monastery,G784)</x:f>
        <x:v>0</x:v>
      </x:c>
      <x:c r="AM784" s="32" t="n">
        <x:f>(AJ784+AK784+AL784)/4*INDEX(LM_All,G784)*INDEX(v01_Boon,G784)*Arch_Insight</x:f>
        <x:v>40.797519619225746</x:v>
      </x:c>
      <x:c r="AN784" s="32" t="n">
        <x:f>H784*(v01_KHPerAdult*Z784+v01_KHOfCommons*AJ784/4*INDEX(LM_All,G784))*v01_KHUsable*Arch_KH</x:f>
        <x:v>8.841693039650776</x:v>
      </x:c>
      <x:c r="AO784" s="32" t="n">
        <x:f>MIN(AP783+AN784,AM784*v01_KHMaxRatio)</x:f>
        <x:v>8.841693039650776</x:v>
      </x:c>
      <x:c r="AP784" s="32" t="n">
        <x:f>AP783+AN784-AO784</x:f>
        <x:v>0</x:v>
      </x:c>
      <x:c r="AQ784" s="32" t="n">
        <x:f>AM784+AO784</x:f>
        <x:v>49.639212658876524</x:v>
      </x:c>
      <x:c r="AR784" s="10" t="n">
        <x:f>IF(H784=1,INDEX(v01_Req,G784),0)</x:f>
        <x:v>9805.661999999998</x:v>
      </x:c>
      <x:c r="AS784" s="32" t="n">
        <x:f>IF(H784=1,IF(E784=1,AS783-AR783,AS783)+AQ784,0)</x:f>
        <x:v>2882.0596508670783</x:v>
      </x:c>
      <x:c r="AT784" s="11" t="n">
        <x:f>IF(AR784&gt;0,MIN(1,AS784/AR784),1)</x:f>
        <x:v>0.29391790690593644</x:v>
      </x:c>
      <x:c r="AU784" s="10" t="n">
        <x:f>AB784/INDEX(v01_RepScale,G784)</x:f>
        <x:v>120.59742879356301</x:v>
      </x:c>
      <x:c r="AV784" s="32" t="n">
        <x:f>AM784*60/v01_SeasonSeconds</x:f>
        <x:v>163.19007847690298</x:v>
      </x:c>
    </x:row>
    <x:row r="785">
      <x:c r="A785" s="8" t="n">
        <x:f>A784+1</x:f>
        <x:v>782</x:v>
      </x:c>
      <x:c r="B785" s="9" t="n">
        <x:f>A785*v01_SeasonSeconds/60</x:f>
        <x:v>195.5</x:v>
      </x:c>
      <x:c r="C785" s="9" t="n">
        <x:f>A785/4</x:f>
        <x:v>195.5</x:v>
      </x:c>
      <x:c r="D785" s="8" t="n">
        <x:f>IF(MOD(A785,4)=0,1,0)</x:f>
        <x:v>0</x:v>
      </x:c>
      <x:c r="E785" s="8" t="n">
        <x:f>IF(AND(F784&lt;=9,AS784&gt;=AR784),1,0)</x:f>
        <x:v>0</x:v>
      </x:c>
      <x:c r="F785" s="8" t="n">
        <x:f>MIN(10,F784+E785)</x:f>
        <x:v>3</x:v>
      </x:c>
      <x:c r="G785" s="8" t="n">
        <x:f>MIN(F785,9)+1</x:f>
        <x:v>4</x:v>
      </x:c>
      <x:c r="H785" s="8" t="n">
        <x:f>IF(F785&lt;=9,1,0)</x:f>
        <x:v>1</x:v>
      </x:c>
      <x:c r="I785" s="9" t="n">
        <x:f>MIN(10,F784+IF(AR784&gt;0,MIN(1,AS784/AR784),1))</x:f>
        <x:v>3.2939179069059366</x:v>
      </x:c>
      <x:c r="J785" s="32" t="n">
        <x:f>INDEX(v01_FoodCap,G785)*Arch_FoodCap*EXP(v01_CapsByProject*SUMPRODUCT((Cap_Point&lt;=I785)*(Cap_Kind="Food")*Cap_Ln))</x:f>
        <x:v>120</x:v>
      </x:c>
      <x:c r="K785" s="32" t="n">
        <x:f>J785*MIN(1,v01_LeanBase*EXP(v01_CapsByProject*SUMPRODUCT((Cap_Point&lt;=I785)*(Cap_Kind="Lean")*Cap_Ln)))</x:f>
        <x:v>120</x:v>
      </x:c>
      <x:c r="L785" s="10" t="n">
        <x:f>INDEX(v01_HousingCap,G785)*EXP(v01_CapsByProject*SUMPRODUCT((Cap_Point&lt;=I785)*(Cap_Kind="Housing")*Cap_Ln))</x:f>
        <x:v>200</x:v>
      </x:c>
      <x:c r="M785" s="10" t="n">
        <x:f>INDEX(v01_GroupCap,G785)*v01_CohesionFactor*EXP(v01_CapsByProject*SUMPRODUCT((Cap_Point&lt;=I785)*(Cap_Kind="Group")*Cap_Ln))</x:f>
        <x:v>5000</x:v>
      </x:c>
      <x:c r="N785" s="32" t="n">
        <x:f>MIN(J785,L785,M785)</x:f>
        <x:v>120</x:v>
      </x:c>
      <x:c r="O785" s="10" t="n">
        <x:f>AE784*N785</x:f>
        <x:v>840</x:v>
      </x:c>
      <x:c r="P785" s="9" t="n">
        <x:f>MIN(1,(AB784/(AE784*IF(v01_GroupInCrowding=1,N785,MIN(J785,L785))))^v01_CrowdingExp)</x:f>
        <x:v>0.13682725068155863</x:v>
      </x:c>
      <x:c r="Q785" s="9" t="n">
        <x:f>IF(D785=1,INDEX(v01_WinterMult,G785),1)</x:f>
        <x:v>1</x:v>
      </x:c>
      <x:c r="R785" s="9" t="n">
        <x:f>H785*Z784*v01_WomenShare*v01_BaseFertility*INDEX(v01_FertMult,G785)*Arch_Fertility*(1-P785)</x:f>
        <x:v>8.504126602769668</x:v>
      </x:c>
      <x:c r="S785" s="9" t="n">
        <x:f>H785*Y784*INDEX(v01_MortChild,G785)/4*Q785</x:f>
        <x:v>2.0222875123644704</x:v>
      </x:c>
      <x:c r="T785" s="9" t="n">
        <x:f>H785*Z784*INDEX(v01_MortAdult,G785)*Arch_AdultMort/4*Q785</x:f>
        <x:v>0.6947044531154182</x:v>
      </x:c>
      <x:c r="U785" s="9" t="n">
        <x:f>H785*AA784*INDEX(v01_MortElder,G785)/4*Q785</x:f>
        <x:v>1.3118463776113525</x:v>
      </x:c>
      <x:c r="V785" s="9" t="n">
        <x:f>H785*MAX(0,AB784-O785)*v01_OvercapLoss</x:f>
        <x:v>0</x:v>
      </x:c>
      <x:c r="W785" s="9" t="n">
        <x:f>H785*Y784/(v01_ChildYears*4)</x:f>
        <x:v>4.814970267534454</x:v>
      </x:c>
      <x:c r="X785" s="9" t="n">
        <x:f>H785*Z784/(v01_AdultYears*4)</x:f>
        <x:v>2.0372564607490267</x:v>
      </x:c>
      <x:c r="Y785" s="32" t="n">
        <x:f>Y784+R785-S785-W785-Y784*V785/AB784</x:f>
        <x:v>271.3052038048001</x:v>
      </x:c>
      <x:c r="Z785" s="32" t="n">
        <x:f>Z784+W785-X785-T785-Z784*V785/AB784</x:f>
        <x:v>254.70281048654937</x:v>
      </x:c>
      <x:c r="AA785" s="32" t="n">
        <x:f>AA784+X785-U785-AA784*V785/AB784</x:f>
        <x:v>81.45441793614398</x:v>
      </x:c>
      <x:c r="AB785" s="10" t="n">
        <x:f>Y785+Z785+AA785</x:f>
        <x:v>607.4624322274934</x:v>
      </x:c>
      <x:c r="AC785" s="8" t="n">
        <x:f>IF(AND(v01_WinterTrigger=1,D785=1,AB784/AE784&gt;=K785),1,0)</x:f>
        <x:v>0</x:v>
      </x:c>
      <x:c r="AD785" s="8" t="n">
        <x:f>H785*IF(AND(OR(AB784/AE784&gt;=v01_FissionTrigger*N785,AC785=1),AB784/AE784*v01_DaughterShare&gt;=v01_MinDaughter),MAX(1,ROUND(AE784*v01_FissionRate,0)),0)</x:f>
        <x:v>0</x:v>
      </x:c>
      <x:c r="AE785" s="8" t="n">
        <x:f>IF(H785=1,MAX(1,MIN(INDEX(v01_Smax,G785),AE784+AD785)),AE784)</x:f>
        <x:v>7</x:v>
      </x:c>
      <x:c r="AF785" s="8" t="n">
        <x:f>MAX(0,AE785-AE784)</x:f>
        <x:v>0</x:v>
      </x:c>
      <x:c r="AG785" s="9" t="str">
        <x:f>IF(AF785&gt;0,B785,"")</x:f>
      </x:c>
      <x:c r="AH785" s="9" t="n">
        <x:f>IF(F785&gt;=1,1,(1+v01_LowTiesShare*(AE785-1))/AE785)</x:f>
        <x:v>1</x:v>
      </x:c>
      <x:c r="AI785" s="32" t="n">
        <x:f>(Z785+v01_ElderCommons*INDEX(LM_Elder,G785)*AA785)*AH785</x:f>
        <x:v>499.0660642949813</x:v>
      </x:c>
      <x:c r="AJ785" s="32" t="n">
        <x:f>H785*v01_CommonsCoef*AI785^v01_CommonsExp*INDEX(LM_Commons,G785)</x:f>
        <x:v>129.71143654568687</x:v>
      </x:c>
      <x:c r="AK785" s="32" t="n">
        <x:f>H785*v01_RoleScale*Arch_Roles*(AE785*(INDEX(v01_ElderRolePerSett,G785)*v01_OutElder*INDEX(LM_Elder,G785)+INDEX(v01_ShamanPerSett,G785)*v01_OutShaman)+Z785*(INDEX(v01_PriestShare,G785)*v01_OutPriest+INDEX(v01_ScribeShare,G785)*v01_OutScribe*INDEX(LM_Scribe,G785)+INDEX(v01_ScholarShare,G785)*v01_OutScholar*INDEX(LM_Scholar,G785)+INDEX(v01_ResearcherShare,G785)*v01_OutResearcher*INDEX(LM_Researcher,G785)))</x:f>
        <x:v>22.782919673405846</x:v>
      </x:c>
      <x:c r="AL785" s="32" t="n">
        <x:f>H785*v01_RoleScale*Arch_Roles*AE785*INDEX(v01_MonasteryPerSett,G785)*v01_OutMonastery*INDEX(LM_Monastery,G785)</x:f>
        <x:v>0</x:v>
      </x:c>
      <x:c r="AM785" s="32" t="n">
        <x:f>(AJ785+AK785+AL785)/4*INDEX(LM_All,G785)*INDEX(v01_Boon,G785)*Arch_Insight</x:f>
        <x:v>41.05493564443783</x:v>
      </x:c>
      <x:c r="AN785" s="32" t="n">
        <x:f>H785*(v01_KHPerAdult*Z785+v01_KHOfCommons*AJ785/4*INDEX(LM_All,G785))*v01_KHUsable*Arch_KH</x:f>
        <x:v>8.914598367029228</x:v>
      </x:c>
      <x:c r="AO785" s="32" t="n">
        <x:f>MIN(AP784+AN785,AM785*v01_KHMaxRatio)</x:f>
        <x:v>8.914598367029228</x:v>
      </x:c>
      <x:c r="AP785" s="32" t="n">
        <x:f>AP784+AN785-AO785</x:f>
        <x:v>0</x:v>
      </x:c>
      <x:c r="AQ785" s="32" t="n">
        <x:f>AM785+AO785</x:f>
        <x:v>49.96953401146706</x:v>
      </x:c>
      <x:c r="AR785" s="10" t="n">
        <x:f>IF(H785=1,INDEX(v01_Req,G785),0)</x:f>
        <x:v>9805.661999999998</x:v>
      </x:c>
      <x:c r="AS785" s="32" t="n">
        <x:f>IF(H785=1,IF(E785=1,AS784-AR784,AS784)+AQ785,0)</x:f>
        <x:v>2932.0291848785455</x:v>
      </x:c>
      <x:c r="AT785" s="11" t="n">
        <x:f>IF(AR785&gt;0,MIN(1,AS785/AR785),1)</x:f>
        <x:v>0.2990138947149663</x:v>
      </x:c>
      <x:c r="AU785" s="10" t="n">
        <x:f>AB785/INDEX(v01_RepScale,G785)</x:f>
        <x:v>121.49248644549868</x:v>
      </x:c>
      <x:c r="AV785" s="32" t="n">
        <x:f>AM785*60/v01_SeasonSeconds</x:f>
        <x:v>164.21974257775133</x:v>
      </x:c>
    </x:row>
    <x:row r="786">
      <x:c r="A786" s="8" t="n">
        <x:f>A785+1</x:f>
        <x:v>783</x:v>
      </x:c>
      <x:c r="B786" s="9" t="n">
        <x:f>A786*v01_SeasonSeconds/60</x:f>
        <x:v>195.75</x:v>
      </x:c>
      <x:c r="C786" s="9" t="n">
        <x:f>A786/4</x:f>
        <x:v>195.75</x:v>
      </x:c>
      <x:c r="D786" s="8" t="n">
        <x:f>IF(MOD(A786,4)=0,1,0)</x:f>
        <x:v>0</x:v>
      </x:c>
      <x:c r="E786" s="8" t="n">
        <x:f>IF(AND(F785&lt;=9,AS785&gt;=AR785),1,0)</x:f>
        <x:v>0</x:v>
      </x:c>
      <x:c r="F786" s="8" t="n">
        <x:f>MIN(10,F785+E786)</x:f>
        <x:v>3</x:v>
      </x:c>
      <x:c r="G786" s="8" t="n">
        <x:f>MIN(F786,9)+1</x:f>
        <x:v>4</x:v>
      </x:c>
      <x:c r="H786" s="8" t="n">
        <x:f>IF(F786&lt;=9,1,0)</x:f>
        <x:v>1</x:v>
      </x:c>
      <x:c r="I786" s="9" t="n">
        <x:f>MIN(10,F785+IF(AR785&gt;0,MIN(1,AS785/AR785),1))</x:f>
        <x:v>3.2990138947149665</x:v>
      </x:c>
      <x:c r="J786" s="32" t="n">
        <x:f>INDEX(v01_FoodCap,G786)*Arch_FoodCap*EXP(v01_CapsByProject*SUMPRODUCT((Cap_Point&lt;=I786)*(Cap_Kind="Food")*Cap_Ln))</x:f>
        <x:v>120</x:v>
      </x:c>
      <x:c r="K786" s="32" t="n">
        <x:f>J786*MIN(1,v01_LeanBase*EXP(v01_CapsByProject*SUMPRODUCT((Cap_Point&lt;=I786)*(Cap_Kind="Lean")*Cap_Ln)))</x:f>
        <x:v>120</x:v>
      </x:c>
      <x:c r="L786" s="10" t="n">
        <x:f>INDEX(v01_HousingCap,G786)*EXP(v01_CapsByProject*SUMPRODUCT((Cap_Point&lt;=I786)*(Cap_Kind="Housing")*Cap_Ln))</x:f>
        <x:v>200</x:v>
      </x:c>
      <x:c r="M786" s="10" t="n">
        <x:f>INDEX(v01_GroupCap,G786)*v01_CohesionFactor*EXP(v01_CapsByProject*SUMPRODUCT((Cap_Point&lt;=I786)*(Cap_Kind="Group")*Cap_Ln))</x:f>
        <x:v>5000</x:v>
      </x:c>
      <x:c r="N786" s="32" t="n">
        <x:f>MIN(J786,L786,M786)</x:f>
        <x:v>120</x:v>
      </x:c>
      <x:c r="O786" s="10" t="n">
        <x:f>AE785*N786</x:f>
        <x:v>840</x:v>
      </x:c>
      <x:c r="P786" s="9" t="n">
        <x:f>MIN(1,(AB785/(AE785*IF(v01_GroupInCrowding=1,N786,MIN(J786,L786))))^v01_CrowdingExp)</x:f>
        <x:v>0.14303450974662477</x:v>
      </x:c>
      <x:c r="Q786" s="9" t="n">
        <x:f>IF(D786=1,INDEX(v01_WinterMult,G786),1)</x:f>
        <x:v>1</x:v>
      </x:c>
      <x:c r="R786" s="9" t="n">
        <x:f>H786*Z785*v01_WomenShare*v01_BaseFertility*INDEX(v01_FertMult,G786)*Arch_Fertility*(1-P786)</x:f>
        <x:v>8.512589235443214</x:v>
      </x:c>
      <x:c r="S786" s="9" t="n">
        <x:f>H786*Y785*INDEX(v01_MortChild,G786)/4*Q786</x:f>
        <x:v>2.0347890285360006</x:v>
      </x:c>
      <x:c r="T786" s="9" t="n">
        <x:f>H786*Z785*INDEX(v01_MortAdult,G786)*Arch_AdultMort/4*Q786</x:f>
        <x:v>0.7004327288380107</x:v>
      </x:c>
      <x:c r="U786" s="9" t="n">
        <x:f>H786*AA785*INDEX(v01_MortElder,G786)/4*Q786</x:f>
        <x:v>1.3236342914623398</x:v>
      </x:c>
      <x:c r="V786" s="9" t="n">
        <x:f>H786*MAX(0,AB785-O786)*v01_OvercapLoss</x:f>
        <x:v>0</x:v>
      </x:c>
      <x:c r="W786" s="9" t="n">
        <x:f>H786*Y785/(v01_ChildYears*4)</x:f>
        <x:v>4.8447357822285735</x:v>
      </x:c>
      <x:c r="X786" s="9" t="n">
        <x:f>H786*Z785/(v01_AdultYears*4)</x:f>
        <x:v>2.054054923278624</x:v>
      </x:c>
      <x:c r="Y786" s="32" t="n">
        <x:f>Y785+R786-S786-W786-Y785*V786/AB785</x:f>
        <x:v>272.93826822947875</x:v>
      </x:c>
      <x:c r="Z786" s="32" t="n">
        <x:f>Z785+W786-X786-T786-Z785*V786/AB785</x:f>
        <x:v>256.7930586166613</x:v>
      </x:c>
      <x:c r="AA786" s="32" t="n">
        <x:f>AA785+X786-U786-AA785*V786/AB785</x:f>
        <x:v>82.18483856796027</x:v>
      </x:c>
      <x:c r="AB786" s="10" t="n">
        <x:f>Y786+Z786+AA786</x:f>
        <x:v>611.9161654141003</x:v>
      </x:c>
      <x:c r="AC786" s="8" t="n">
        <x:f>IF(AND(v01_WinterTrigger=1,D786=1,AB785/AE785&gt;=K786),1,0)</x:f>
        <x:v>0</x:v>
      </x:c>
      <x:c r="AD786" s="8" t="n">
        <x:f>H786*IF(AND(OR(AB785/AE785&gt;=v01_FissionTrigger*N786,AC786=1),AB785/AE785*v01_DaughterShare&gt;=v01_MinDaughter),MAX(1,ROUND(AE785*v01_FissionRate,0)),0)</x:f>
        <x:v>0</x:v>
      </x:c>
      <x:c r="AE786" s="8" t="n">
        <x:f>IF(H786=1,MAX(1,MIN(INDEX(v01_Smax,G786),AE785+AD786)),AE785)</x:f>
        <x:v>7</x:v>
      </x:c>
      <x:c r="AF786" s="8" t="n">
        <x:f>MAX(0,AE786-AE785)</x:f>
        <x:v>0</x:v>
      </x:c>
      <x:c r="AG786" s="9" t="str">
        <x:f>IF(AF786&gt;0,B786,"")</x:f>
      </x:c>
      <x:c r="AH786" s="9" t="n">
        <x:f>IF(F786&gt;=1,1,(1+v01_LowTiesShare*(AE786-1))/AE786)</x:f>
        <x:v>1</x:v>
      </x:c>
      <x:c r="AI786" s="32" t="n">
        <x:f>(Z786+v01_ElderCommons*INDEX(LM_Elder,G786)*AA786)*AH786</x:f>
        <x:v>503.3475743205421</x:v>
      </x:c>
      <x:c r="AJ786" s="32" t="n">
        <x:f>H786*v01_CommonsCoef*AI786^v01_CommonsExp*INDEX(LM_Commons,G786)</x:f>
        <x:v>130.65671010160412</x:v>
      </x:c>
      <x:c r="AK786" s="32" t="n">
        <x:f>H786*v01_RoleScale*Arch_Roles*(AE786*(INDEX(v01_ElderRolePerSett,G786)*v01_OutElder*INDEX(LM_Elder,G786)+INDEX(v01_ShamanPerSett,G786)*v01_OutShaman)+Z786*(INDEX(v01_PriestShare,G786)*v01_OutPriest+INDEX(v01_ScribeShare,G786)*v01_OutScribe*INDEX(LM_Scribe,G786)+INDEX(v01_ScholarShare,G786)*v01_OutScholar*INDEX(LM_Scholar,G786)+INDEX(v01_ResearcherShare,G786)*v01_OutResearcher*INDEX(LM_Researcher,G786)))</x:f>
        <x:v>22.79755141031663</x:v>
      </x:c>
      <x:c r="AL786" s="32" t="n">
        <x:f>H786*v01_RoleScale*Arch_Roles*AE786*INDEX(v01_MonasteryPerSett,G786)*v01_OutMonastery*INDEX(LM_Monastery,G786)</x:f>
        <x:v>0</x:v>
      </x:c>
      <x:c r="AM786" s="32" t="n">
        <x:f>(AJ786+AK786+AL786)/4*INDEX(LM_All,G786)*INDEX(v01_Boon,G786)*Arch_Insight</x:f>
        <x:v>41.313363897121434</x:v>
      </x:c>
      <x:c r="AN786" s="32" t="n">
        <x:f>H786*(v01_KHPerAdult*Z786+v01_KHOfCommons*AJ786/4*INDEX(LM_All,G786))*v01_KHUsable*Arch_KH</x:f>
        <x:v>8.987757051583147</x:v>
      </x:c>
      <x:c r="AO786" s="32" t="n">
        <x:f>MIN(AP785+AN786,AM786*v01_KHMaxRatio)</x:f>
        <x:v>8.987757051583147</x:v>
      </x:c>
      <x:c r="AP786" s="32" t="n">
        <x:f>AP785+AN786-AO786</x:f>
        <x:v>0</x:v>
      </x:c>
      <x:c r="AQ786" s="32" t="n">
        <x:f>AM786+AO786</x:f>
        <x:v>50.30112094870458</x:v>
      </x:c>
      <x:c r="AR786" s="10" t="n">
        <x:f>IF(H786=1,INDEX(v01_Req,G786),0)</x:f>
        <x:v>9805.661999999998</x:v>
      </x:c>
      <x:c r="AS786" s="32" t="n">
        <x:f>IF(H786=1,IF(E786=1,AS785-AR785,AS785)+AQ786,0)</x:f>
        <x:v>2982.33030582725</x:v>
      </x:c>
      <x:c r="AT786" s="11" t="n">
        <x:f>IF(AR786&gt;0,MIN(1,AS786/AR786),1)</x:f>
        <x:v>0.30414369838846683</x:v>
      </x:c>
      <x:c r="AU786" s="10" t="n">
        <x:f>AB786/INDEX(v01_RepScale,G786)</x:f>
        <x:v>122.38323308282006</x:v>
      </x:c>
      <x:c r="AV786" s="32" t="n">
        <x:f>AM786*60/v01_SeasonSeconds</x:f>
        <x:v>165.25345558848574</x:v>
      </x:c>
    </x:row>
    <x:row r="787">
      <x:c r="A787" s="8" t="n">
        <x:f>A786+1</x:f>
        <x:v>784</x:v>
      </x:c>
      <x:c r="B787" s="9" t="n">
        <x:f>A787*v01_SeasonSeconds/60</x:f>
        <x:v>196</x:v>
      </x:c>
      <x:c r="C787" s="9" t="n">
        <x:f>A787/4</x:f>
        <x:v>196</x:v>
      </x:c>
      <x:c r="D787" s="8" t="n">
        <x:f>IF(MOD(A787,4)=0,1,0)</x:f>
        <x:v>1</x:v>
      </x:c>
      <x:c r="E787" s="8" t="n">
        <x:f>IF(AND(F786&lt;=9,AS786&gt;=AR786),1,0)</x:f>
        <x:v>0</x:v>
      </x:c>
      <x:c r="F787" s="8" t="n">
        <x:f>MIN(10,F786+E787)</x:f>
        <x:v>3</x:v>
      </x:c>
      <x:c r="G787" s="8" t="n">
        <x:f>MIN(F787,9)+1</x:f>
        <x:v>4</x:v>
      </x:c>
      <x:c r="H787" s="8" t="n">
        <x:f>IF(F787&lt;=9,1,0)</x:f>
        <x:v>1</x:v>
      </x:c>
      <x:c r="I787" s="9" t="n">
        <x:f>MIN(10,F786+IF(AR786&gt;0,MIN(1,AS786/AR786),1))</x:f>
        <x:v>3.304143698388467</x:v>
      </x:c>
      <x:c r="J787" s="32" t="n">
        <x:f>INDEX(v01_FoodCap,G787)*Arch_FoodCap*EXP(v01_CapsByProject*SUMPRODUCT((Cap_Point&lt;=I787)*(Cap_Kind="Food")*Cap_Ln))</x:f>
        <x:v>120</x:v>
      </x:c>
      <x:c r="K787" s="32" t="n">
        <x:f>J787*MIN(1,v01_LeanBase*EXP(v01_CapsByProject*SUMPRODUCT((Cap_Point&lt;=I787)*(Cap_Kind="Lean")*Cap_Ln)))</x:f>
        <x:v>120</x:v>
      </x:c>
      <x:c r="L787" s="10" t="n">
        <x:f>INDEX(v01_HousingCap,G787)*EXP(v01_CapsByProject*SUMPRODUCT((Cap_Point&lt;=I787)*(Cap_Kind="Housing")*Cap_Ln))</x:f>
        <x:v>200</x:v>
      </x:c>
      <x:c r="M787" s="10" t="n">
        <x:f>INDEX(v01_GroupCap,G787)*v01_CohesionFactor*EXP(v01_CapsByProject*SUMPRODUCT((Cap_Point&lt;=I787)*(Cap_Kind="Group")*Cap_Ln))</x:f>
        <x:v>5000</x:v>
      </x:c>
      <x:c r="N787" s="32" t="n">
        <x:f>MIN(J787,L787,M787)</x:f>
        <x:v>120</x:v>
      </x:c>
      <x:c r="O787" s="10" t="n">
        <x:f>AE786*N787</x:f>
        <x:v>840</x:v>
      </x:c>
      <x:c r="P787" s="9" t="n">
        <x:f>MIN(1,(AB786/(AE786*IF(v01_GroupInCrowding=1,N787,MIN(J787,L787))))^v01_CrowdingExp)</x:f>
        <x:v>0.1494430911306741</x:v>
      </x:c>
      <x:c r="Q787" s="9" t="n">
        <x:f>IF(D787=1,INDEX(v01_WinterMult,G787),1)</x:f>
        <x:v>1.15</x:v>
      </x:c>
      <x:c r="R787" s="9" t="n">
        <x:f>H787*Z786*v01_WomenShare*v01_BaseFertility*INDEX(v01_FertMult,G787)*Arch_Fertility*(1-P787)</x:f>
        <x:v>8.518267296087394</x:v>
      </x:c>
      <x:c r="S787" s="9" t="n">
        <x:f>H787*Y786*INDEX(v01_MortChild,G787)/4*Q787</x:f>
        <x:v>2.354092563479254</x:v>
      </x:c>
      <x:c r="T787" s="9" t="n">
        <x:f>H787*Z786*INDEX(v01_MortAdult,G787)*Arch_AdultMort/4*Q787</x:f>
        <x:v>0.8121080478751913</x:v>
      </x:c>
      <x:c r="U787" s="9" t="n">
        <x:f>H787*AA786*INDEX(v01_MortElder,G787)/4*Q787</x:f>
        <x:v>1.5358291707387577</x:v>
      </x:c>
      <x:c r="V787" s="9" t="n">
        <x:f>H787*MAX(0,AB786-O787)*v01_OvercapLoss</x:f>
        <x:v>0</x:v>
      </x:c>
      <x:c r="W787" s="9" t="n">
        <x:f>H787*Y786/(v01_ChildYears*4)</x:f>
        <x:v>4.873897646954978</x:v>
      </x:c>
      <x:c r="X787" s="9" t="n">
        <x:f>H787*Z786/(v01_AdultYears*4)</x:f>
        <x:v>2.070911763037591</x:v>
      </x:c>
      <x:c r="Y787" s="32" t="n">
        <x:f>Y786+R787-S787-W787-Y786*V787/AB786</x:f>
        <x:v>274.22854531513195</x:v>
      </x:c>
      <x:c r="Z787" s="32" t="n">
        <x:f>Z786+W787-X787-T787-Z786*V787/AB786</x:f>
        <x:v>258.7839364527035</x:v>
      </x:c>
      <x:c r="AA787" s="32" t="n">
        <x:f>AA786+X787-U787-AA786*V787/AB786</x:f>
        <x:v>82.7199211602591</x:v>
      </x:c>
      <x:c r="AB787" s="10" t="n">
        <x:f>Y787+Z787+AA787</x:f>
        <x:v>615.7324029280945</x:v>
      </x:c>
      <x:c r="AC787" s="8" t="n">
        <x:f>IF(AND(v01_WinterTrigger=1,D787=1,AB786/AE786&gt;=K787),1,0)</x:f>
        <x:v>0</x:v>
      </x:c>
      <x:c r="AD787" s="8" t="n">
        <x:f>H787*IF(AND(OR(AB786/AE786&gt;=v01_FissionTrigger*N787,AC787=1),AB786/AE786*v01_DaughterShare&gt;=v01_MinDaughter),MAX(1,ROUND(AE786*v01_FissionRate,0)),0)</x:f>
        <x:v>0</x:v>
      </x:c>
      <x:c r="AE787" s="8" t="n">
        <x:f>IF(H787=1,MAX(1,MIN(INDEX(v01_Smax,G787),AE786+AD787)),AE786)</x:f>
        <x:v>7</x:v>
      </x:c>
      <x:c r="AF787" s="8" t="n">
        <x:f>MAX(0,AE787-AE786)</x:f>
        <x:v>0</x:v>
      </x:c>
      <x:c r="AG787" s="9" t="str">
        <x:f>IF(AF787&gt;0,B787,"")</x:f>
      </x:c>
      <x:c r="AH787" s="9" t="n">
        <x:f>IF(F787&gt;=1,1,(1+v01_LowTiesShare*(AE787-1))/AE787)</x:f>
        <x:v>1</x:v>
      </x:c>
      <x:c r="AI787" s="32" t="n">
        <x:f>(Z787+v01_ElderCommons*INDEX(LM_Elder,G787)*AA787)*AH787</x:f>
        <x:v>506.9436999334808</x:v>
      </x:c>
      <x:c r="AJ787" s="32" t="n">
        <x:f>H787*v01_CommonsCoef*AI787^v01_CommonsExp*INDEX(LM_Commons,G787)</x:f>
        <x:v>131.4497323683569</x:v>
      </x:c>
      <x:c r="AK787" s="32" t="n">
        <x:f>H787*v01_RoleScale*Arch_Roles*(AE787*(INDEX(v01_ElderRolePerSett,G787)*v01_OutElder*INDEX(LM_Elder,G787)+INDEX(v01_ShamanPerSett,G787)*v01_OutShaman)+Z787*(INDEX(v01_PriestShare,G787)*v01_OutPriest+INDEX(v01_ScribeShare,G787)*v01_OutScribe*INDEX(LM_Scribe,G787)+INDEX(v01_ScholarShare,G787)*v01_OutScholar*INDEX(LM_Scholar,G787)+INDEX(v01_ResearcherShare,G787)*v01_OutResearcher*INDEX(LM_Researcher,G787)))</x:f>
        <x:v>22.811487555168924</x:v>
      </x:c>
      <x:c r="AL787" s="32" t="n">
        <x:f>H787*v01_RoleScale*Arch_Roles*AE787*INDEX(v01_MonasteryPerSett,G787)*v01_OutMonastery*INDEX(LM_Monastery,G787)</x:f>
        <x:v>0</x:v>
      </x:c>
      <x:c r="AM787" s="32" t="n">
        <x:f>(AJ787+AK787+AL787)/4*INDEX(LM_All,G787)*INDEX(v01_Boon,G787)*Arch_Insight</x:f>
        <x:v>41.53061538417703</x:v>
      </x:c>
      <x:c r="AN787" s="32" t="n">
        <x:f>H787*(v01_KHPerAdult*Z787+v01_KHOfCommons*AJ787/4*INDEX(LM_All,G787))*v01_KHUsable*Arch_KH</x:f>
        <x:v>9.057437775844623</x:v>
      </x:c>
      <x:c r="AO787" s="32" t="n">
        <x:f>MIN(AP786+AN787,AM787*v01_KHMaxRatio)</x:f>
        <x:v>9.057437775844623</x:v>
      </x:c>
      <x:c r="AP787" s="32" t="n">
        <x:f>AP786+AN787-AO787</x:f>
        <x:v>0</x:v>
      </x:c>
      <x:c r="AQ787" s="32" t="n">
        <x:f>AM787+AO787</x:f>
        <x:v>50.58805316002166</x:v>
      </x:c>
      <x:c r="AR787" s="10" t="n">
        <x:f>IF(H787=1,INDEX(v01_Req,G787),0)</x:f>
        <x:v>9805.661999999998</x:v>
      </x:c>
      <x:c r="AS787" s="32" t="n">
        <x:f>IF(H787=1,IF(E787=1,AS786-AR786,AS786)+AQ787,0)</x:f>
        <x:v>3032.9183589872714</x:v>
      </x:c>
      <x:c r="AT787" s="11" t="n">
        <x:f>IF(AR787&gt;0,MIN(1,AS787/AR787),1)</x:f>
        <x:v>0.3093027639528338</x:v>
      </x:c>
      <x:c r="AU787" s="10" t="n">
        <x:f>AB787/INDEX(v01_RepScale,G787)</x:f>
        <x:v>123.1464805856189</x:v>
      </x:c>
      <x:c r="AV787" s="32" t="n">
        <x:f>AM787*60/v01_SeasonSeconds</x:f>
        <x:v>166.12246153670813</x:v>
      </x:c>
    </x:row>
    <x:row r="788">
      <x:c r="A788" s="8" t="n">
        <x:f>A787+1</x:f>
        <x:v>785</x:v>
      </x:c>
      <x:c r="B788" s="9" t="n">
        <x:f>A788*v01_SeasonSeconds/60</x:f>
        <x:v>196.25</x:v>
      </x:c>
      <x:c r="C788" s="9" t="n">
        <x:f>A788/4</x:f>
        <x:v>196.25</x:v>
      </x:c>
      <x:c r="D788" s="8" t="n">
        <x:f>IF(MOD(A788,4)=0,1,0)</x:f>
        <x:v>0</x:v>
      </x:c>
      <x:c r="E788" s="8" t="n">
        <x:f>IF(AND(F787&lt;=9,AS787&gt;=AR787),1,0)</x:f>
        <x:v>0</x:v>
      </x:c>
      <x:c r="F788" s="8" t="n">
        <x:f>MIN(10,F787+E788)</x:f>
        <x:v>3</x:v>
      </x:c>
      <x:c r="G788" s="8" t="n">
        <x:f>MIN(F788,9)+1</x:f>
        <x:v>4</x:v>
      </x:c>
      <x:c r="H788" s="8" t="n">
        <x:f>IF(F788&lt;=9,1,0)</x:f>
        <x:v>1</x:v>
      </x:c>
      <x:c r="I788" s="9" t="n">
        <x:f>MIN(10,F787+IF(AR787&gt;0,MIN(1,AS787/AR787),1))</x:f>
        <x:v>3.3093027639528336</x:v>
      </x:c>
      <x:c r="J788" s="32" t="n">
        <x:f>INDEX(v01_FoodCap,G788)*Arch_FoodCap*EXP(v01_CapsByProject*SUMPRODUCT((Cap_Point&lt;=I788)*(Cap_Kind="Food")*Cap_Ln))</x:f>
        <x:v>120</x:v>
      </x:c>
      <x:c r="K788" s="32" t="n">
        <x:f>J788*MIN(1,v01_LeanBase*EXP(v01_CapsByProject*SUMPRODUCT((Cap_Point&lt;=I788)*(Cap_Kind="Lean")*Cap_Ln)))</x:f>
        <x:v>120</x:v>
      </x:c>
      <x:c r="L788" s="10" t="n">
        <x:f>INDEX(v01_HousingCap,G788)*EXP(v01_CapsByProject*SUMPRODUCT((Cap_Point&lt;=I788)*(Cap_Kind="Housing")*Cap_Ln))</x:f>
        <x:v>200</x:v>
      </x:c>
      <x:c r="M788" s="10" t="n">
        <x:f>INDEX(v01_GroupCap,G788)*v01_CohesionFactor*EXP(v01_CapsByProject*SUMPRODUCT((Cap_Point&lt;=I788)*(Cap_Kind="Group")*Cap_Ln))</x:f>
        <x:v>5000</x:v>
      </x:c>
      <x:c r="N788" s="32" t="n">
        <x:f>MIN(J788,L788,M788)</x:f>
        <x:v>120</x:v>
      </x:c>
      <x:c r="O788" s="10" t="n">
        <x:f>AE787*N788</x:f>
        <x:v>840</x:v>
      </x:c>
      <x:c r="P788" s="9" t="n">
        <x:f>MIN(1,(AB787/(AE787*IF(v01_GroupInCrowding=1,N788,MIN(J788,L788))))^v01_CrowdingExp)</x:f>
        <x:v>0.1551230507651568</x:v>
      </x:c>
      <x:c r="Q788" s="9" t="n">
        <x:f>IF(D788=1,INDEX(v01_WinterMult,G788),1)</x:f>
        <x:v>1</x:v>
      </x:c>
      <x:c r="R788" s="9" t="n">
        <x:f>H788*Z787*v01_WomenShare*v01_BaseFertility*INDEX(v01_FertMult,G788)*Arch_Fertility*(1-P788)</x:f>
        <x:v>8.5269827269046</x:v>
      </x:c>
      <x:c r="S788" s="9" t="n">
        <x:f>H788*Y787*INDEX(v01_MortChild,G788)/4*Q788</x:f>
        <x:v>2.0567140898634895</x:v>
      </x:c>
      <x:c r="T788" s="9" t="n">
        <x:f>H788*Z787*INDEX(v01_MortAdult,G788)*Arch_AdultMort/4*Q788</x:f>
        <x:v>0.7116558252449345</x:v>
      </x:c>
      <x:c r="U788" s="9" t="n">
        <x:f>H788*AA787*INDEX(v01_MortElder,G788)/4*Q788</x:f>
        <x:v>1.3441987188542106</x:v>
      </x:c>
      <x:c r="V788" s="9" t="n">
        <x:f>H788*MAX(0,AB787-O788)*v01_OvercapLoss</x:f>
        <x:v>0</x:v>
      </x:c>
      <x:c r="W788" s="9" t="n">
        <x:f>H788*Y787/(v01_ChildYears*4)</x:f>
        <x:v>4.896938309198785</x:v>
      </x:c>
      <x:c r="X788" s="9" t="n">
        <x:f>H788*Z787/(v01_AdultYears*4)</x:f>
        <x:v>2.086967229457286</x:v>
      </x:c>
      <x:c r="Y788" s="32" t="n">
        <x:f>Y787+R788-S788-W788-Y787*V788/AB787</x:f>
        <x:v>275.80187564297427</x:v>
      </x:c>
      <x:c r="Z788" s="32" t="n">
        <x:f>Z787+W788-X788-T788-Z787*V788/AB787</x:f>
        <x:v>260.88225170720006</x:v>
      </x:c>
      <x:c r="AA788" s="32" t="n">
        <x:f>AA787+X788-U788-AA787*V788/AB787</x:f>
        <x:v>83.46268967086218</x:v>
      </x:c>
      <x:c r="AB788" s="10" t="n">
        <x:f>Y788+Z788+AA788</x:f>
        <x:v>620.1468170210364</x:v>
      </x:c>
      <x:c r="AC788" s="8" t="n">
        <x:f>IF(AND(v01_WinterTrigger=1,D788=1,AB787/AE787&gt;=K788),1,0)</x:f>
        <x:v>0</x:v>
      </x:c>
      <x:c r="AD788" s="8" t="n">
        <x:f>H788*IF(AND(OR(AB787/AE787&gt;=v01_FissionTrigger*N788,AC788=1),AB787/AE787*v01_DaughterShare&gt;=v01_MinDaughter),MAX(1,ROUND(AE787*v01_FissionRate,0)),0)</x:f>
        <x:v>0</x:v>
      </x:c>
      <x:c r="AE788" s="8" t="n">
        <x:f>IF(H788=1,MAX(1,MIN(INDEX(v01_Smax,G788),AE787+AD788)),AE787)</x:f>
        <x:v>7</x:v>
      </x:c>
      <x:c r="AF788" s="8" t="n">
        <x:f>MAX(0,AE788-AE787)</x:f>
        <x:v>0</x:v>
      </x:c>
      <x:c r="AG788" s="9" t="str">
        <x:f>IF(AF788&gt;0,B788,"")</x:f>
      </x:c>
      <x:c r="AH788" s="9" t="n">
        <x:f>IF(F788&gt;=1,1,(1+v01_LowTiesShare*(AE788-1))/AE788)</x:f>
        <x:v>1</x:v>
      </x:c>
      <x:c r="AI788" s="32" t="n">
        <x:f>(Z788+v01_ElderCommons*INDEX(LM_Elder,G788)*AA788)*AH788</x:f>
        <x:v>511.2703207197866</x:v>
      </x:c>
      <x:c r="AJ788" s="32" t="n">
        <x:f>H788*v01_CommonsCoef*AI788^v01_CommonsExp*INDEX(LM_Commons,G788)</x:f>
        <x:v>132.4027272267579</x:v>
      </x:c>
      <x:c r="AK788" s="32" t="n">
        <x:f>H788*v01_RoleScale*Arch_Roles*(AE788*(INDEX(v01_ElderRolePerSett,G788)*v01_OutElder*INDEX(LM_Elder,G788)+INDEX(v01_ShamanPerSett,G788)*v01_OutShaman)+Z788*(INDEX(v01_PriestShare,G788)*v01_OutPriest+INDEX(v01_ScribeShare,G788)*v01_OutScribe*INDEX(LM_Scribe,G788)+INDEX(v01_ScholarShare,G788)*v01_OutScholar*INDEX(LM_Scholar,G788)+INDEX(v01_ResearcherShare,G788)*v01_OutResearcher*INDEX(LM_Researcher,G788)))</x:f>
        <x:v>22.8261757619504</x:v>
      </x:c>
      <x:c r="AL788" s="32" t="n">
        <x:f>H788*v01_RoleScale*Arch_Roles*AE788*INDEX(v01_MonasteryPerSett,G788)*v01_OutMonastery*INDEX(LM_Monastery,G788)</x:f>
        <x:v>0</x:v>
      </x:c>
      <x:c r="AM788" s="32" t="n">
        <x:f>(AJ788+AK788+AL788)/4*INDEX(LM_All,G788)*INDEX(v01_Boon,G788)*Arch_Insight</x:f>
        <x:v>41.79113758939359</x:v>
      </x:c>
      <x:c r="AN788" s="32" t="n">
        <x:f>H788*(v01_KHPerAdult*Z788+v01_KHOfCommons*AJ788/4*INDEX(LM_All,G788))*v01_KHUsable*Arch_KH</x:f>
        <x:v>9.130878809752002</x:v>
      </x:c>
      <x:c r="AO788" s="32" t="n">
        <x:f>MIN(AP787+AN788,AM788*v01_KHMaxRatio)</x:f>
        <x:v>9.130878809752002</x:v>
      </x:c>
      <x:c r="AP788" s="32" t="n">
        <x:f>AP787+AN788-AO788</x:f>
        <x:v>0</x:v>
      </x:c>
      <x:c r="AQ788" s="32" t="n">
        <x:f>AM788+AO788</x:f>
        <x:v>50.92201639914559</x:v>
      </x:c>
      <x:c r="AR788" s="10" t="n">
        <x:f>IF(H788=1,INDEX(v01_Req,G788),0)</x:f>
        <x:v>9805.661999999998</x:v>
      </x:c>
      <x:c r="AS788" s="32" t="n">
        <x:f>IF(H788=1,IF(E788=1,AS787-AR787,AS787)+AQ788,0)</x:f>
        <x:v>3083.840375386417</x:v>
      </x:c>
      <x:c r="AT788" s="11" t="n">
        <x:f>IF(AR788&gt;0,MIN(1,AS788/AR788),1)</x:f>
        <x:v>0.3144958877214427</x:v>
      </x:c>
      <x:c r="AU788" s="10" t="n">
        <x:f>AB788/INDEX(v01_RepScale,G788)</x:f>
        <x:v>124.02936340420729</x:v>
      </x:c>
      <x:c r="AV788" s="32" t="n">
        <x:f>AM788*60/v01_SeasonSeconds</x:f>
        <x:v>167.16455035757437</x:v>
      </x:c>
    </x:row>
    <x:row r="789">
      <x:c r="A789" s="8" t="n">
        <x:f>A788+1</x:f>
        <x:v>786</x:v>
      </x:c>
      <x:c r="B789" s="9" t="n">
        <x:f>A789*v01_SeasonSeconds/60</x:f>
        <x:v>196.5</x:v>
      </x:c>
      <x:c r="C789" s="9" t="n">
        <x:f>A789/4</x:f>
        <x:v>196.5</x:v>
      </x:c>
      <x:c r="D789" s="8" t="n">
        <x:f>IF(MOD(A789,4)=0,1,0)</x:f>
        <x:v>0</x:v>
      </x:c>
      <x:c r="E789" s="8" t="n">
        <x:f>IF(AND(F788&lt;=9,AS788&gt;=AR788),1,0)</x:f>
        <x:v>0</x:v>
      </x:c>
      <x:c r="F789" s="8" t="n">
        <x:f>MIN(10,F788+E789)</x:f>
        <x:v>3</x:v>
      </x:c>
      <x:c r="G789" s="8" t="n">
        <x:f>MIN(F789,9)+1</x:f>
        <x:v>4</x:v>
      </x:c>
      <x:c r="H789" s="8" t="n">
        <x:f>IF(F789&lt;=9,1,0)</x:f>
        <x:v>1</x:v>
      </x:c>
      <x:c r="I789" s="9" t="n">
        <x:f>MIN(10,F788+IF(AR788&gt;0,MIN(1,AS788/AR788),1))</x:f>
        <x:v>3.3144958877214425</x:v>
      </x:c>
      <x:c r="J789" s="32" t="n">
        <x:f>INDEX(v01_FoodCap,G789)*Arch_FoodCap*EXP(v01_CapsByProject*SUMPRODUCT((Cap_Point&lt;=I789)*(Cap_Kind="Food")*Cap_Ln))</x:f>
        <x:v>120</x:v>
      </x:c>
      <x:c r="K789" s="32" t="n">
        <x:f>J789*MIN(1,v01_LeanBase*EXP(v01_CapsByProject*SUMPRODUCT((Cap_Point&lt;=I789)*(Cap_Kind="Lean")*Cap_Ln)))</x:f>
        <x:v>120</x:v>
      </x:c>
      <x:c r="L789" s="10" t="n">
        <x:f>INDEX(v01_HousingCap,G789)*EXP(v01_CapsByProject*SUMPRODUCT((Cap_Point&lt;=I789)*(Cap_Kind="Housing")*Cap_Ln))</x:f>
        <x:v>200</x:v>
      </x:c>
      <x:c r="M789" s="10" t="n">
        <x:f>INDEX(v01_GroupCap,G789)*v01_CohesionFactor*EXP(v01_CapsByProject*SUMPRODUCT((Cap_Point&lt;=I789)*(Cap_Kind="Group")*Cap_Ln))</x:f>
        <x:v>5000</x:v>
      </x:c>
      <x:c r="N789" s="32" t="n">
        <x:f>MIN(J789,L789,M789)</x:f>
        <x:v>120</x:v>
      </x:c>
      <x:c r="O789" s="10" t="n">
        <x:f>AE788*N789</x:f>
        <x:v>840</x:v>
      </x:c>
      <x:c r="P789" s="9" t="n">
        <x:f>MIN(1,(AB788/(AE788*IF(v01_GroupInCrowding=1,N789,MIN(J789,L789))))^v01_CrowdingExp)</x:f>
        <x:v>0.16191660809912867</x:v>
      </x:c>
      <x:c r="Q789" s="9" t="n">
        <x:f>IF(D789=1,INDEX(v01_WinterMult,G789),1)</x:f>
        <x:v>1</x:v>
      </x:c>
      <x:c r="R789" s="9" t="n">
        <x:f>H789*Z788*v01_WomenShare*v01_BaseFertility*INDEX(v01_FertMult,G789)*Arch_Fertility*(1-P789)</x:f>
        <x:v>8.527002213502778</x:v>
      </x:c>
      <x:c r="S789" s="9" t="n">
        <x:f>H789*Y788*INDEX(v01_MortChild,G789)/4*Q789</x:f>
        <x:v>2.068514067322307</x:v>
      </x:c>
      <x:c r="T789" s="9" t="n">
        <x:f>H789*Z788*INDEX(v01_MortAdult,G789)*Arch_AdultMort/4*Q789</x:f>
        <x:v>0.7174261921948001</x:v>
      </x:c>
      <x:c r="U789" s="9" t="n">
        <x:f>H789*AA788*INDEX(v01_MortElder,G789)/4*Q789</x:f>
        <x:v>1.3562687071515105</x:v>
      </x:c>
      <x:c r="V789" s="9" t="n">
        <x:f>H789*MAX(0,AB788-O789)*v01_OvercapLoss</x:f>
        <x:v>0</x:v>
      </x:c>
      <x:c r="W789" s="9" t="n">
        <x:f>H789*Y788/(v01_ChildYears*4)</x:f>
        <x:v>4.92503349362454</x:v>
      </x:c>
      <x:c r="X789" s="9" t="n">
        <x:f>H789*Z788/(v01_AdultYears*4)</x:f>
        <x:v>2.103889126670968</x:v>
      </x:c>
      <x:c r="Y789" s="32" t="n">
        <x:f>Y788+R789-S789-W789-Y788*V789/AB788</x:f>
        <x:v>277.3353302955302</x:v>
      </x:c>
      <x:c r="Z789" s="32" t="n">
        <x:f>Z788+W789-X789-T789-Z788*V789/AB788</x:f>
        <x:v>262.9859698819588</x:v>
      </x:c>
      <x:c r="AA789" s="32" t="n">
        <x:f>AA788+X789-U789-AA788*V789/AB788</x:f>
        <x:v>84.21031009038163</x:v>
      </x:c>
      <x:c r="AB789" s="10" t="n">
        <x:f>Y789+Z789+AA789</x:f>
        <x:v>624.5316102678706</x:v>
      </x:c>
      <x:c r="AC789" s="8" t="n">
        <x:f>IF(AND(v01_WinterTrigger=1,D789=1,AB788/AE788&gt;=K789),1,0)</x:f>
        <x:v>0</x:v>
      </x:c>
      <x:c r="AD789" s="8" t="n">
        <x:f>H789*IF(AND(OR(AB788/AE788&gt;=v01_FissionTrigger*N789,AC789=1),AB788/AE788*v01_DaughterShare&gt;=v01_MinDaughter),MAX(1,ROUND(AE788*v01_FissionRate,0)),0)</x:f>
        <x:v>0</x:v>
      </x:c>
      <x:c r="AE789" s="8" t="n">
        <x:f>IF(H789=1,MAX(1,MIN(INDEX(v01_Smax,G789),AE788+AD789)),AE788)</x:f>
        <x:v>7</x:v>
      </x:c>
      <x:c r="AF789" s="8" t="n">
        <x:f>MAX(0,AE789-AE788)</x:f>
        <x:v>0</x:v>
      </x:c>
      <x:c r="AG789" s="9" t="str">
        <x:f>IF(AF789&gt;0,B789,"")</x:f>
      </x:c>
      <x:c r="AH789" s="9" t="n">
        <x:f>IF(F789&gt;=1,1,(1+v01_LowTiesShare*(AE789-1))/AE789)</x:f>
        <x:v>1</x:v>
      </x:c>
      <x:c r="AI789" s="32" t="n">
        <x:f>(Z789+v01_ElderCommons*INDEX(LM_Elder,G789)*AA789)*AH789</x:f>
        <x:v>515.6169001531036</x:v>
      </x:c>
      <x:c r="AJ789" s="32" t="n">
        <x:f>H789*v01_CommonsCoef*AI789^v01_CommonsExp*INDEX(LM_Commons,G789)</x:f>
        <x:v>133.35890092364193</x:v>
      </x:c>
      <x:c r="AK789" s="32" t="n">
        <x:f>H789*v01_RoleScale*Arch_Roles*(AE789*(INDEX(v01_ElderRolePerSett,G789)*v01_OutElder*INDEX(LM_Elder,G789)+INDEX(v01_ShamanPerSett,G789)*v01_OutShaman)+Z789*(INDEX(v01_PriestShare,G789)*v01_OutPriest+INDEX(v01_ScribeShare,G789)*v01_OutScribe*INDEX(LM_Scribe,G789)+INDEX(v01_ScholarShare,G789)*v01_OutScholar*INDEX(LM_Scholar,G789)+INDEX(v01_ResearcherShare,G789)*v01_OutResearcher*INDEX(LM_Researcher,G789)))</x:f>
        <x:v>22.84090178917371</x:v>
      </x:c>
      <x:c r="AL789" s="32" t="n">
        <x:f>H789*v01_RoleScale*Arch_Roles*AE789*INDEX(v01_MonasteryPerSett,G789)*v01_OutMonastery*INDEX(LM_Monastery,G789)</x:f>
        <x:v>0</x:v>
      </x:c>
      <x:c r="AM789" s="32" t="n">
        <x:f>(AJ789+AK789+AL789)/4*INDEX(LM_All,G789)*INDEX(v01_Boon,G789)*Arch_Insight</x:f>
        <x:v>42.05252579207016</x:v>
      </x:c>
      <x:c r="AN789" s="32" t="n">
        <x:f>H789*(v01_KHPerAdult*Z789+v01_KHOfCommons*AJ789/4*INDEX(LM_All,G789))*v01_KHUsable*Arch_KH</x:f>
        <x:v>9.204508945868557</x:v>
      </x:c>
      <x:c r="AO789" s="32" t="n">
        <x:f>MIN(AP788+AN789,AM789*v01_KHMaxRatio)</x:f>
        <x:v>9.204508945868557</x:v>
      </x:c>
      <x:c r="AP789" s="32" t="n">
        <x:f>AP788+AN789-AO789</x:f>
        <x:v>0</x:v>
      </x:c>
      <x:c r="AQ789" s="32" t="n">
        <x:f>AM789+AO789</x:f>
        <x:v>51.257034737938724</x:v>
      </x:c>
      <x:c r="AR789" s="10" t="n">
        <x:f>IF(H789=1,INDEX(v01_Req,G789),0)</x:f>
        <x:v>9805.661999999998</x:v>
      </x:c>
      <x:c r="AS789" s="32" t="n">
        <x:f>IF(H789=1,IF(E789=1,AS788-AR788,AS788)+AQ789,0)</x:f>
        <x:v>3135.0974101243555</x:v>
      </x:c>
      <x:c r="AT789" s="11" t="n">
        <x:f>IF(AR789&gt;0,MIN(1,AS789/AR789),1)</x:f>
        <x:v>0.31972317729535815</x:v>
      </x:c>
      <x:c r="AU789" s="10" t="n">
        <x:f>AB789/INDEX(v01_RepScale,G789)</x:f>
        <x:v>124.90632205357413</x:v>
      </x:c>
      <x:c r="AV789" s="32" t="n">
        <x:f>AM789*60/v01_SeasonSeconds</x:f>
        <x:v>168.21010316828065</x:v>
      </x:c>
    </x:row>
    <x:row r="790">
      <x:c r="A790" s="8" t="n">
        <x:f>A789+1</x:f>
        <x:v>787</x:v>
      </x:c>
      <x:c r="B790" s="9" t="n">
        <x:f>A790*v01_SeasonSeconds/60</x:f>
        <x:v>196.75</x:v>
      </x:c>
      <x:c r="C790" s="9" t="n">
        <x:f>A790/4</x:f>
        <x:v>196.75</x:v>
      </x:c>
      <x:c r="D790" s="8" t="n">
        <x:f>IF(MOD(A790,4)=0,1,0)</x:f>
        <x:v>0</x:v>
      </x:c>
      <x:c r="E790" s="8" t="n">
        <x:f>IF(AND(F789&lt;=9,AS789&gt;=AR789),1,0)</x:f>
        <x:v>0</x:v>
      </x:c>
      <x:c r="F790" s="8" t="n">
        <x:f>MIN(10,F789+E790)</x:f>
        <x:v>3</x:v>
      </x:c>
      <x:c r="G790" s="8" t="n">
        <x:f>MIN(F790,9)+1</x:f>
        <x:v>4</x:v>
      </x:c>
      <x:c r="H790" s="8" t="n">
        <x:f>IF(F790&lt;=9,1,0)</x:f>
        <x:v>1</x:v>
      </x:c>
      <x:c r="I790" s="9" t="n">
        <x:f>MIN(10,F789+IF(AR789&gt;0,MIN(1,AS789/AR789),1))</x:f>
        <x:v>3.319723177295358</x:v>
      </x:c>
      <x:c r="J790" s="32" t="n">
        <x:f>INDEX(v01_FoodCap,G790)*Arch_FoodCap*EXP(v01_CapsByProject*SUMPRODUCT((Cap_Point&lt;=I790)*(Cap_Kind="Food")*Cap_Ln))</x:f>
        <x:v>120</x:v>
      </x:c>
      <x:c r="K790" s="32" t="n">
        <x:f>J790*MIN(1,v01_LeanBase*EXP(v01_CapsByProject*SUMPRODUCT((Cap_Point&lt;=I790)*(Cap_Kind="Lean")*Cap_Ln)))</x:f>
        <x:v>120</x:v>
      </x:c>
      <x:c r="L790" s="10" t="n">
        <x:f>INDEX(v01_HousingCap,G790)*EXP(v01_CapsByProject*SUMPRODUCT((Cap_Point&lt;=I790)*(Cap_Kind="Housing")*Cap_Ln))</x:f>
        <x:v>200</x:v>
      </x:c>
      <x:c r="M790" s="10" t="n">
        <x:f>INDEX(v01_GroupCap,G790)*v01_CohesionFactor*EXP(v01_CapsByProject*SUMPRODUCT((Cap_Point&lt;=I790)*(Cap_Kind="Group")*Cap_Ln))</x:f>
        <x:v>5000</x:v>
      </x:c>
      <x:c r="N790" s="32" t="n">
        <x:f>MIN(J790,L790,M790)</x:f>
        <x:v>120</x:v>
      </x:c>
      <x:c r="O790" s="10" t="n">
        <x:f>AE789*N790</x:f>
        <x:v>840</x:v>
      </x:c>
      <x:c r="P790" s="9" t="n">
        <x:f>MIN(1,(AB789/(AE789*IF(v01_GroupInCrowding=1,N790,MIN(J790,L790))))^v01_CrowdingExp)</x:f>
        <x:v>0.1689082383634136</x:v>
      </x:c>
      <x:c r="Q790" s="9" t="n">
        <x:f>IF(D790=1,INDEX(v01_WinterMult,G790),1)</x:f>
        <x:v>1</x:v>
      </x:c>
      <x:c r="R790" s="9" t="n">
        <x:f>H790*Z789*v01_WomenShare*v01_BaseFertility*INDEX(v01_FertMult,G790)*Arch_Fertility*(1-P790)</x:f>
        <x:v>8.524053446801233</x:v>
      </x:c>
      <x:c r="S790" s="9" t="n">
        <x:f>H790*Y789*INDEX(v01_MortChild,G790)/4*Q790</x:f>
        <x:v>2.0800149772164764</x:v>
      </x:c>
      <x:c r="T790" s="9" t="n">
        <x:f>H790*Z789*INDEX(v01_MortAdult,G790)*Arch_AdultMort/4*Q790</x:f>
        <x:v>0.7232114171753866</x:v>
      </x:c>
      <x:c r="U790" s="9" t="n">
        <x:f>H790*AA789*INDEX(v01_MortElder,G790)/4*Q790</x:f>
        <x:v>1.3684175389687014</x:v>
      </x:c>
      <x:c r="V790" s="9" t="n">
        <x:f>H790*MAX(0,AB789-O790)*v01_OvercapLoss</x:f>
        <x:v>0</x:v>
      </x:c>
      <x:c r="W790" s="9" t="n">
        <x:f>H790*Y789/(v01_ChildYears*4)</x:f>
        <x:v>4.952416612420182</x:v>
      </x:c>
      <x:c r="X790" s="9" t="n">
        <x:f>H790*Z789/(v01_AdultYears*4)</x:f>
        <x:v>2.1208545958222484</x:v>
      </x:c>
      <x:c r="Y790" s="32" t="n">
        <x:f>Y789+R790-S790-W790-Y789*V790/AB789</x:f>
        <x:v>278.8269521526948</x:v>
      </x:c>
      <x:c r="Z790" s="32" t="n">
        <x:f>Z789+W790-X790-T790-Z789*V790/AB789</x:f>
        <x:v>265.0943204813813</x:v>
      </x:c>
      <x:c r="AA790" s="32" t="n">
        <x:f>AA789+X790-U790-AA789*V790/AB789</x:f>
        <x:v>84.96274714723518</x:v>
      </x:c>
      <x:c r="AB790" s="10" t="n">
        <x:f>Y790+Z790+AA790</x:f>
        <x:v>628.8840197813113</x:v>
      </x:c>
      <x:c r="AC790" s="8" t="n">
        <x:f>IF(AND(v01_WinterTrigger=1,D790=1,AB789/AE789&gt;=K790),1,0)</x:f>
        <x:v>0</x:v>
      </x:c>
      <x:c r="AD790" s="8" t="n">
        <x:f>H790*IF(AND(OR(AB789/AE789&gt;=v01_FissionTrigger*N790,AC790=1),AB789/AE789*v01_DaughterShare&gt;=v01_MinDaughter),MAX(1,ROUND(AE789*v01_FissionRate,0)),0)</x:f>
        <x:v>0</x:v>
      </x:c>
      <x:c r="AE790" s="8" t="n">
        <x:f>IF(H790=1,MAX(1,MIN(INDEX(v01_Smax,G790),AE789+AD790)),AE789)</x:f>
        <x:v>7</x:v>
      </x:c>
      <x:c r="AF790" s="8" t="n">
        <x:f>MAX(0,AE790-AE789)</x:f>
        <x:v>0</x:v>
      </x:c>
      <x:c r="AG790" s="9" t="str">
        <x:f>IF(AF790&gt;0,B790,"")</x:f>
      </x:c>
      <x:c r="AH790" s="9" t="n">
        <x:f>IF(F790&gt;=1,1,(1+v01_LowTiesShare*(AE790-1))/AE790)</x:f>
        <x:v>1</x:v>
      </x:c>
      <x:c r="AI790" s="32" t="n">
        <x:f>(Z790+v01_ElderCommons*INDEX(LM_Elder,G790)*AA790)*AH790</x:f>
        <x:v>519.9825619230869</x:v>
      </x:c>
      <x:c r="AJ790" s="32" t="n">
        <x:f>H790*v01_CommonsCoef*AI790^v01_CommonsExp*INDEX(LM_Commons,G790)</x:f>
        <x:v>134.31805614596513</x:v>
      </x:c>
      <x:c r="AK790" s="32" t="n">
        <x:f>H790*v01_RoleScale*Arch_Roles*(AE790*(INDEX(v01_ElderRolePerSett,G790)*v01_OutElder*INDEX(LM_Elder,G790)+INDEX(v01_ShamanPerSett,G790)*v01_OutShaman)+Z790*(INDEX(v01_PriestShare,G790)*v01_OutPriest+INDEX(v01_ScribeShare,G790)*v01_OutScribe*INDEX(LM_Scribe,G790)+INDEX(v01_ScholarShare,G790)*v01_OutScholar*INDEX(LM_Scholar,G790)+INDEX(v01_ResearcherShare,G790)*v01_OutResearcher*INDEX(LM_Researcher,G790)))</x:f>
        <x:v>22.85566024336967</x:v>
      </x:c>
      <x:c r="AL790" s="32" t="n">
        <x:f>H790*v01_RoleScale*Arch_Roles*AE790*INDEX(v01_MonasteryPerSett,G790)*v01_OutMonastery*INDEX(LM_Monastery,G790)</x:f>
        <x:v>0</x:v>
      </x:c>
      <x:c r="AM790" s="32" t="n">
        <x:f>(AJ790+AK790+AL790)/4*INDEX(LM_All,G790)*INDEX(v01_Boon,G790)*Arch_Insight</x:f>
        <x:v>42.31472541902086</x:v>
      </x:c>
      <x:c r="AN790" s="32" t="n">
        <x:f>H790*(v01_KHPerAdult*Z790+v01_KHOfCommons*AJ790/4*INDEX(LM_All,G790))*v01_KHUsable*Arch_KH</x:f>
        <x:v>9.278301216848346</x:v>
      </x:c>
      <x:c r="AO790" s="32" t="n">
        <x:f>MIN(AP789+AN790,AM790*v01_KHMaxRatio)</x:f>
        <x:v>9.278301216848346</x:v>
      </x:c>
      <x:c r="AP790" s="32" t="n">
        <x:f>AP789+AN790-AO790</x:f>
        <x:v>0</x:v>
      </x:c>
      <x:c r="AQ790" s="32" t="n">
        <x:f>AM790+AO790</x:f>
        <x:v>51.59302663586921</x:v>
      </x:c>
      <x:c r="AR790" s="10" t="n">
        <x:f>IF(H790=1,INDEX(v01_Req,G790),0)</x:f>
        <x:v>9805.661999999998</x:v>
      </x:c>
      <x:c r="AS790" s="32" t="n">
        <x:f>IF(H790=1,IF(E790=1,AS789-AR789,AS789)+AQ790,0)</x:f>
        <x:v>3186.6904367602247</x:v>
      </x:c>
      <x:c r="AT790" s="11" t="n">
        <x:f>IF(AR790&gt;0,MIN(1,AS790/AR790),1)</x:f>
        <x:v>0.3249847319599865</x:v>
      </x:c>
      <x:c r="AU790" s="10" t="n">
        <x:f>AB790/INDEX(v01_RepScale,G790)</x:f>
        <x:v>125.77680395626226</x:v>
      </x:c>
      <x:c r="AV790" s="32" t="n">
        <x:f>AM790*60/v01_SeasonSeconds</x:f>
        <x:v>169.25890167608344</x:v>
      </x:c>
    </x:row>
    <x:row r="791">
      <x:c r="A791" s="8" t="n">
        <x:f>A790+1</x:f>
        <x:v>788</x:v>
      </x:c>
      <x:c r="B791" s="9" t="n">
        <x:f>A791*v01_SeasonSeconds/60</x:f>
        <x:v>197</x:v>
      </x:c>
      <x:c r="C791" s="9" t="n">
        <x:f>A791/4</x:f>
        <x:v>197</x:v>
      </x:c>
      <x:c r="D791" s="8" t="n">
        <x:f>IF(MOD(A791,4)=0,1,0)</x:f>
        <x:v>1</x:v>
      </x:c>
      <x:c r="E791" s="8" t="n">
        <x:f>IF(AND(F790&lt;=9,AS790&gt;=AR790),1,0)</x:f>
        <x:v>0</x:v>
      </x:c>
      <x:c r="F791" s="8" t="n">
        <x:f>MIN(10,F790+E791)</x:f>
        <x:v>3</x:v>
      </x:c>
      <x:c r="G791" s="8" t="n">
        <x:f>MIN(F791,9)+1</x:f>
        <x:v>4</x:v>
      </x:c>
      <x:c r="H791" s="8" t="n">
        <x:f>IF(F791&lt;=9,1,0)</x:f>
        <x:v>1</x:v>
      </x:c>
      <x:c r="I791" s="9" t="n">
        <x:f>MIN(10,F790+IF(AR790&gt;0,MIN(1,AS790/AR790),1))</x:f>
        <x:v>3.3249847319599866</x:v>
      </x:c>
      <x:c r="J791" s="32" t="n">
        <x:f>INDEX(v01_FoodCap,G791)*Arch_FoodCap*EXP(v01_CapsByProject*SUMPRODUCT((Cap_Point&lt;=I791)*(Cap_Kind="Food")*Cap_Ln))</x:f>
        <x:v>120</x:v>
      </x:c>
      <x:c r="K791" s="32" t="n">
        <x:f>J791*MIN(1,v01_LeanBase*EXP(v01_CapsByProject*SUMPRODUCT((Cap_Point&lt;=I791)*(Cap_Kind="Lean")*Cap_Ln)))</x:f>
        <x:v>120</x:v>
      </x:c>
      <x:c r="L791" s="10" t="n">
        <x:f>INDEX(v01_HousingCap,G791)*EXP(v01_CapsByProject*SUMPRODUCT((Cap_Point&lt;=I791)*(Cap_Kind="Housing")*Cap_Ln))</x:f>
        <x:v>200</x:v>
      </x:c>
      <x:c r="M791" s="10" t="n">
        <x:f>INDEX(v01_GroupCap,G791)*v01_CohesionFactor*EXP(v01_CapsByProject*SUMPRODUCT((Cap_Point&lt;=I791)*(Cap_Kind="Group")*Cap_Ln))</x:f>
        <x:v>5000</x:v>
      </x:c>
      <x:c r="N791" s="32" t="n">
        <x:f>MIN(J791,L791,M791)</x:f>
        <x:v>120</x:v>
      </x:c>
      <x:c r="O791" s="10" t="n">
        <x:f>AE790*N791</x:f>
        <x:v>840</x:v>
      </x:c>
      <x:c r="P791" s="9" t="n">
        <x:f>MIN(1,(AB790/(AE790*IF(v01_GroupInCrowding=1,N791,MIN(J791,L791))))^v01_CrowdingExp)</x:f>
        <x:v>0.1760952490725411</x:v>
      </x:c>
      <x:c r="Q791" s="9" t="n">
        <x:f>IF(D791=1,INDEX(v01_WinterMult,G791),1)</x:f>
        <x:v>1.15</x:v>
      </x:c>
      <x:c r="R791" s="9" t="n">
        <x:f>H791*Z790*v01_WomenShare*v01_BaseFertility*INDEX(v01_FertMult,G791)*Arch_Fertility*(1-P791)</x:f>
        <x:v>8.518086333451361</x:v>
      </x:c>
      <x:c r="S791" s="9" t="n">
        <x:f>H791*Y790*INDEX(v01_MortChild,G791)/4*Q791</x:f>
        <x:v>2.404882462316992</x:v>
      </x:c>
      <x:c r="T791" s="9" t="n">
        <x:f>H791*Z790*INDEX(v01_MortAdult,G791)*Arch_AdultMort/4*Q791</x:f>
        <x:v>0.8383607885223683</x:v>
      </x:c>
      <x:c r="U791" s="9" t="n">
        <x:f>H791*AA790*INDEX(v01_MortElder,G791)/4*Q791</x:f>
        <x:v>1.5877413373139573</x:v>
      </x:c>
      <x:c r="V791" s="9" t="n">
        <x:f>H791*MAX(0,AB790-O791)*v01_OvercapLoss</x:f>
        <x:v>0</x:v>
      </x:c>
      <x:c r="W791" s="9" t="n">
        <x:f>H791*Y790/(v01_ChildYears*4)</x:f>
        <x:v>4.979052717012407</x:v>
      </x:c>
      <x:c r="X791" s="9" t="n">
        <x:f>H791*Z790/(v01_AdultYears*4)</x:f>
        <x:v>2.1378574232369463</x:v>
      </x:c>
      <x:c r="Y791" s="32" t="n">
        <x:f>Y790+R791-S791-W791-Y790*V791/AB790</x:f>
        <x:v>279.96110330681677</x:v>
      </x:c>
      <x:c r="Z791" s="32" t="n">
        <x:f>Z790+W791-X791-T791-Z790*V791/AB790</x:f>
        <x:v>267.0971549866344</x:v>
      </x:c>
      <x:c r="AA791" s="32" t="n">
        <x:f>AA790+X791-U791-AA790*V791/AB790</x:f>
        <x:v>85.51286323315817</x:v>
      </x:c>
      <x:c r="AB791" s="10" t="n">
        <x:f>Y791+Z791+AA791</x:f>
        <x:v>632.5711215266094</x:v>
      </x:c>
      <x:c r="AC791" s="8" t="n">
        <x:f>IF(AND(v01_WinterTrigger=1,D791=1,AB790/AE790&gt;=K791),1,0)</x:f>
        <x:v>0</x:v>
      </x:c>
      <x:c r="AD791" s="8" t="n">
        <x:f>H791*IF(AND(OR(AB790/AE790&gt;=v01_FissionTrigger*N791,AC791=1),AB790/AE790*v01_DaughterShare&gt;=v01_MinDaughter),MAX(1,ROUND(AE790*v01_FissionRate,0)),0)</x:f>
        <x:v>0</x:v>
      </x:c>
      <x:c r="AE791" s="8" t="n">
        <x:f>IF(H791=1,MAX(1,MIN(INDEX(v01_Smax,G791),AE790+AD791)),AE790)</x:f>
        <x:v>7</x:v>
      </x:c>
      <x:c r="AF791" s="8" t="n">
        <x:f>MAX(0,AE791-AE790)</x:f>
        <x:v>0</x:v>
      </x:c>
      <x:c r="AG791" s="9" t="str">
        <x:f>IF(AF791&gt;0,B791,"")</x:f>
      </x:c>
      <x:c r="AH791" s="9" t="n">
        <x:f>IF(F791&gt;=1,1,(1+v01_LowTiesShare*(AE791-1))/AE791)</x:f>
        <x:v>1</x:v>
      </x:c>
      <x:c r="AI791" s="32" t="n">
        <x:f>(Z791+v01_ElderCommons*INDEX(LM_Elder,G791)*AA791)*AH791</x:f>
        <x:v>523.6357446861089</x:v>
      </x:c>
      <x:c r="AJ791" s="32" t="n">
        <x:f>H791*v01_CommonsCoef*AI791^v01_CommonsExp*INDEX(LM_Commons,G791)</x:f>
        <x:v>135.1197483495615</x:v>
      </x:c>
      <x:c r="AK791" s="32" t="n">
        <x:f>H791*v01_RoleScale*Arch_Roles*(AE791*(INDEX(v01_ElderRolePerSett,G791)*v01_OutElder*INDEX(LM_Elder,G791)+INDEX(v01_ShamanPerSett,G791)*v01_OutShaman)+Z791*(INDEX(v01_PriestShare,G791)*v01_OutPriest+INDEX(v01_ScribeShare,G791)*v01_OutScribe*INDEX(LM_Scribe,G791)+INDEX(v01_ScholarShare,G791)*v01_OutScholar*INDEX(LM_Scholar,G791)+INDEX(v01_ResearcherShare,G791)*v01_OutResearcher*INDEX(LM_Researcher,G791)))</x:f>
        <x:v>22.86968008490644</x:v>
      </x:c>
      <x:c r="AL791" s="32" t="n">
        <x:f>H791*v01_RoleScale*Arch_Roles*AE791*INDEX(v01_MonasteryPerSett,G791)*v01_OutMonastery*INDEX(LM_Monastery,G791)</x:f>
        <x:v>0</x:v>
      </x:c>
      <x:c r="AM791" s="32" t="n">
        <x:f>(AJ791+AK791+AL791)/4*INDEX(LM_All,G791)*INDEX(v01_Boon,G791)*Arch_Insight</x:f>
        <x:v>42.53433358254672</x:v>
      </x:c>
      <x:c r="AN791" s="32" t="n">
        <x:f>H791*(v01_KHPerAdult*Z791+v01_KHOfCommons*AJ791/4*INDEX(LM_All,G791))*v01_KHUsable*Arch_KH</x:f>
        <x:v>9.348400424532205</x:v>
      </x:c>
      <x:c r="AO791" s="32" t="n">
        <x:f>MIN(AP790+AN791,AM791*v01_KHMaxRatio)</x:f>
        <x:v>9.348400424532205</x:v>
      </x:c>
      <x:c r="AP791" s="32" t="n">
        <x:f>AP790+AN791-AO791</x:f>
        <x:v>0</x:v>
      </x:c>
      <x:c r="AQ791" s="32" t="n">
        <x:f>AM791+AO791</x:f>
        <x:v>51.88273400707892</x:v>
      </x:c>
      <x:c r="AR791" s="10" t="n">
        <x:f>IF(H791=1,INDEX(v01_Req,G791),0)</x:f>
        <x:v>9805.661999999998</x:v>
      </x:c>
      <x:c r="AS791" s="32" t="n">
        <x:f>IF(H791=1,IF(E791=1,AS790-AR790,AS790)+AQ791,0)</x:f>
        <x:v>3238.5731707673035</x:v>
      </x:c>
      <x:c r="AT791" s="11" t="n">
        <x:f>IF(AR791&gt;0,MIN(1,AS791/AR791),1)</x:f>
        <x:v>0.3302758315315482</x:v>
      </x:c>
      <x:c r="AU791" s="10" t="n">
        <x:f>AB791/INDEX(v01_RepScale,G791)</x:f>
        <x:v>126.51422430532189</x:v>
      </x:c>
      <x:c r="AV791" s="32" t="n">
        <x:f>AM791*60/v01_SeasonSeconds</x:f>
        <x:v>170.1373343301869</x:v>
      </x:c>
    </x:row>
    <x:row r="792">
      <x:c r="A792" s="8" t="n">
        <x:f>A791+1</x:f>
        <x:v>789</x:v>
      </x:c>
      <x:c r="B792" s="9" t="n">
        <x:f>A792*v01_SeasonSeconds/60</x:f>
        <x:v>197.25</x:v>
      </x:c>
      <x:c r="C792" s="9" t="n">
        <x:f>A792/4</x:f>
        <x:v>197.25</x:v>
      </x:c>
      <x:c r="D792" s="8" t="n">
        <x:f>IF(MOD(A792,4)=0,1,0)</x:f>
        <x:v>0</x:v>
      </x:c>
      <x:c r="E792" s="8" t="n">
        <x:f>IF(AND(F791&lt;=9,AS791&gt;=AR791),1,0)</x:f>
        <x:v>0</x:v>
      </x:c>
      <x:c r="F792" s="8" t="n">
        <x:f>MIN(10,F791+E792)</x:f>
        <x:v>3</x:v>
      </x:c>
      <x:c r="G792" s="8" t="n">
        <x:f>MIN(F792,9)+1</x:f>
        <x:v>4</x:v>
      </x:c>
      <x:c r="H792" s="8" t="n">
        <x:f>IF(F792&lt;=9,1,0)</x:f>
        <x:v>1</x:v>
      </x:c>
      <x:c r="I792" s="9" t="n">
        <x:f>MIN(10,F791+IF(AR791&gt;0,MIN(1,AS791/AR791),1))</x:f>
        <x:v>3.3302758315315484</x:v>
      </x:c>
      <x:c r="J792" s="32" t="n">
        <x:f>INDEX(v01_FoodCap,G792)*Arch_FoodCap*EXP(v01_CapsByProject*SUMPRODUCT((Cap_Point&lt;=I792)*(Cap_Kind="Food")*Cap_Ln))</x:f>
        <x:v>120</x:v>
      </x:c>
      <x:c r="K792" s="32" t="n">
        <x:f>J792*MIN(1,v01_LeanBase*EXP(v01_CapsByProject*SUMPRODUCT((Cap_Point&lt;=I792)*(Cap_Kind="Lean")*Cap_Ln)))</x:f>
        <x:v>120</x:v>
      </x:c>
      <x:c r="L792" s="10" t="n">
        <x:f>INDEX(v01_HousingCap,G792)*EXP(v01_CapsByProject*SUMPRODUCT((Cap_Point&lt;=I792)*(Cap_Kind="Housing")*Cap_Ln))</x:f>
        <x:v>200</x:v>
      </x:c>
      <x:c r="M792" s="10" t="n">
        <x:f>INDEX(v01_GroupCap,G792)*v01_CohesionFactor*EXP(v01_CapsByProject*SUMPRODUCT((Cap_Point&lt;=I792)*(Cap_Kind="Group")*Cap_Ln))</x:f>
        <x:v>5000</x:v>
      </x:c>
      <x:c r="N792" s="32" t="n">
        <x:f>MIN(J792,L792,M792)</x:f>
        <x:v>120</x:v>
      </x:c>
      <x:c r="O792" s="10" t="n">
        <x:f>AE791*N792</x:f>
        <x:v>840</x:v>
      </x:c>
      <x:c r="P792" s="9" t="n">
        <x:f>MIN(1,(AB791/(AE791*IF(v01_GroupInCrowding=1,N792,MIN(J792,L792))))^v01_CrowdingExp)</x:f>
        <x:v>0.18238136087754803</x:v>
      </x:c>
      <x:c r="Q792" s="9" t="n">
        <x:f>IF(D792=1,INDEX(v01_WinterMult,G792),1)</x:f>
        <x:v>1</x:v>
      </x:c>
      <x:c r="R792" s="9" t="n">
        <x:f>H792*Z791*v01_WomenShare*v01_BaseFertility*INDEX(v01_FertMult,G792)*Arch_Fertility*(1-P792)</x:f>
        <x:v>8.516960882572375</x:v>
      </x:c>
      <x:c r="S792" s="9" t="n">
        <x:f>H792*Y791*INDEX(v01_MortChild,G792)/4*Q792</x:f>
        <x:v>2.0997082748011255</x:v>
      </x:c>
      <x:c r="T792" s="9" t="n">
        <x:f>H792*Z791*INDEX(v01_MortAdult,G792)*Arch_AdultMort/4*Q792</x:f>
        <x:v>0.7345171762132445</x:v>
      </x:c>
      <x:c r="U792" s="9" t="n">
        <x:f>H792*AA791*INDEX(v01_MortElder,G792)/4*Q792</x:f>
        <x:v>1.3895840275388203</x:v>
      </x:c>
      <x:c r="V792" s="9" t="n">
        <x:f>H792*MAX(0,AB791-O792)*v01_OvercapLoss</x:f>
        <x:v>0</x:v>
      </x:c>
      <x:c r="W792" s="9" t="n">
        <x:f>H792*Y791/(v01_ChildYears*4)</x:f>
        <x:v>4.999305416193157</x:v>
      </x:c>
      <x:c r="X792" s="9" t="n">
        <x:f>H792*Z791/(v01_AdultYears*4)</x:f>
        <x:v>2.154009314408342</x:v>
      </x:c>
      <x:c r="Y792" s="32" t="n">
        <x:f>Y791+R792-S792-W792-Y791*V792/AB791</x:f>
        <x:v>281.37905049839486</x:v>
      </x:c>
      <x:c r="Z792" s="32" t="n">
        <x:f>Z791+W792-X792-T792-Z791*V792/AB791</x:f>
        <x:v>269.207933912206</x:v>
      </x:c>
      <x:c r="AA792" s="32" t="n">
        <x:f>AA791+X792-U792-AA791*V792/AB791</x:f>
        <x:v>86.2772885200277</x:v>
      </x:c>
      <x:c r="AB792" s="10" t="n">
        <x:f>Y792+Z792+AA792</x:f>
        <x:v>636.8642729306285</x:v>
      </x:c>
      <x:c r="AC792" s="8" t="n">
        <x:f>IF(AND(v01_WinterTrigger=1,D792=1,AB791/AE791&gt;=K792),1,0)</x:f>
        <x:v>0</x:v>
      </x:c>
      <x:c r="AD792" s="8" t="n">
        <x:f>H792*IF(AND(OR(AB791/AE791&gt;=v01_FissionTrigger*N792,AC792=1),AB791/AE791*v01_DaughterShare&gt;=v01_MinDaughter),MAX(1,ROUND(AE791*v01_FissionRate,0)),0)</x:f>
        <x:v>0</x:v>
      </x:c>
      <x:c r="AE792" s="8" t="n">
        <x:f>IF(H792=1,MAX(1,MIN(INDEX(v01_Smax,G792),AE791+AD792)),AE791)</x:f>
        <x:v>7</x:v>
      </x:c>
      <x:c r="AF792" s="8" t="n">
        <x:f>MAX(0,AE792-AE791)</x:f>
        <x:v>0</x:v>
      </x:c>
      <x:c r="AG792" s="9" t="str">
        <x:f>IF(AF792&gt;0,B792,"")</x:f>
      </x:c>
      <x:c r="AH792" s="9" t="n">
        <x:f>IF(F792&gt;=1,1,(1+v01_LowTiesShare*(AE792-1))/AE792)</x:f>
        <x:v>1</x:v>
      </x:c>
      <x:c r="AI792" s="32" t="n">
        <x:f>(Z792+v01_ElderCommons*INDEX(LM_Elder,G792)*AA792)*AH792</x:f>
        <x:v>528.0397994722891</x:v>
      </x:c>
      <x:c r="AJ792" s="32" t="n">
        <x:f>H792*v01_CommonsCoef*AI792^v01_CommonsExp*INDEX(LM_Commons,G792)</x:f>
        <x:v>136.08510551889057</x:v>
      </x:c>
      <x:c r="AK792" s="32" t="n">
        <x:f>H792*v01_RoleScale*Arch_Roles*(AE792*(INDEX(v01_ElderRolePerSett,G792)*v01_OutElder*INDEX(LM_Elder,G792)+INDEX(v01_ShamanPerSett,G792)*v01_OutShaman)+Z792*(INDEX(v01_PriestShare,G792)*v01_OutPriest+INDEX(v01_ScribeShare,G792)*v01_OutScribe*INDEX(LM_Scribe,G792)+INDEX(v01_ScholarShare,G792)*v01_OutScholar*INDEX(LM_Scholar,G792)+INDEX(v01_ResearcherShare,G792)*v01_OutResearcher*INDEX(LM_Researcher,G792)))</x:f>
        <x:v>22.884455537385442</x:v>
      </x:c>
      <x:c r="AL792" s="32" t="n">
        <x:f>H792*v01_RoleScale*Arch_Roles*AE792*INDEX(v01_MonasteryPerSett,G792)*v01_OutMonastery*INDEX(LM_Monastery,G792)</x:f>
        <x:v>0</x:v>
      </x:c>
      <x:c r="AM792" s="32" t="n">
        <x:f>(AJ792+AK792+AL792)/4*INDEX(LM_All,G792)*INDEX(v01_Boon,G792)*Arch_Insight</x:f>
        <x:v>42.79820749046717</x:v>
      </x:c>
      <x:c r="AN792" s="32" t="n">
        <x:f>H792*(v01_KHPerAdult*Z792+v01_KHOfCommons*AJ792/4*INDEX(LM_All,G792))*v01_KHUsable*Arch_KH</x:f>
        <x:v>9.42227768692721</x:v>
      </x:c>
      <x:c r="AO792" s="32" t="n">
        <x:f>MIN(AP791+AN792,AM792*v01_KHMaxRatio)</x:f>
        <x:v>9.42227768692721</x:v>
      </x:c>
      <x:c r="AP792" s="32" t="n">
        <x:f>AP791+AN792-AO792</x:f>
        <x:v>0</x:v>
      </x:c>
      <x:c r="AQ792" s="32" t="n">
        <x:f>AM792+AO792</x:f>
        <x:v>52.22048517739438</x:v>
      </x:c>
      <x:c r="AR792" s="10" t="n">
        <x:f>IF(H792=1,INDEX(v01_Req,G792),0)</x:f>
        <x:v>9805.661999999998</x:v>
      </x:c>
      <x:c r="AS792" s="32" t="n">
        <x:f>IF(H792=1,IF(E792=1,AS791-AR791,AS791)+AQ792,0)</x:f>
        <x:v>3290.793655944698</x:v>
      </x:c>
      <x:c r="AT792" s="11" t="n">
        <x:f>IF(AR792&gt;0,MIN(1,AS792/AR792),1)</x:f>
        <x:v>0.3356013756077559</x:v>
      </x:c>
      <x:c r="AU792" s="10" t="n">
        <x:f>AB792/INDEX(v01_RepScale,G792)</x:f>
        <x:v>127.37285458612571</x:v>
      </x:c>
      <x:c r="AV792" s="32" t="n">
        <x:f>AM792*60/v01_SeasonSeconds</x:f>
        <x:v>171.19282996186868</x:v>
      </x:c>
    </x:row>
    <x:row r="793">
      <x:c r="A793" s="8" t="n">
        <x:f>A792+1</x:f>
        <x:v>790</x:v>
      </x:c>
      <x:c r="B793" s="9" t="n">
        <x:f>A793*v01_SeasonSeconds/60</x:f>
        <x:v>197.5</x:v>
      </x:c>
      <x:c r="C793" s="9" t="n">
        <x:f>A793/4</x:f>
        <x:v>197.5</x:v>
      </x:c>
      <x:c r="D793" s="8" t="n">
        <x:f>IF(MOD(A793,4)=0,1,0)</x:f>
        <x:v>0</x:v>
      </x:c>
      <x:c r="E793" s="8" t="n">
        <x:f>IF(AND(F792&lt;=9,AS792&gt;=AR792),1,0)</x:f>
        <x:v>0</x:v>
      </x:c>
      <x:c r="F793" s="8" t="n">
        <x:f>MIN(10,F792+E793)</x:f>
        <x:v>3</x:v>
      </x:c>
      <x:c r="G793" s="8" t="n">
        <x:f>MIN(F793,9)+1</x:f>
        <x:v>4</x:v>
      </x:c>
      <x:c r="H793" s="8" t="n">
        <x:f>IF(F793&lt;=9,1,0)</x:f>
        <x:v>1</x:v>
      </x:c>
      <x:c r="I793" s="9" t="n">
        <x:f>MIN(10,F792+IF(AR792&gt;0,MIN(1,AS792/AR792),1))</x:f>
        <x:v>3.335601375607756</x:v>
      </x:c>
      <x:c r="J793" s="32" t="n">
        <x:f>INDEX(v01_FoodCap,G793)*Arch_FoodCap*EXP(v01_CapsByProject*SUMPRODUCT((Cap_Point&lt;=I793)*(Cap_Kind="Food")*Cap_Ln))</x:f>
        <x:v>120</x:v>
      </x:c>
      <x:c r="K793" s="32" t="n">
        <x:f>J793*MIN(1,v01_LeanBase*EXP(v01_CapsByProject*SUMPRODUCT((Cap_Point&lt;=I793)*(Cap_Kind="Lean")*Cap_Ln)))</x:f>
        <x:v>120</x:v>
      </x:c>
      <x:c r="L793" s="10" t="n">
        <x:f>INDEX(v01_HousingCap,G793)*EXP(v01_CapsByProject*SUMPRODUCT((Cap_Point&lt;=I793)*(Cap_Kind="Housing")*Cap_Ln))</x:f>
        <x:v>200</x:v>
      </x:c>
      <x:c r="M793" s="10" t="n">
        <x:f>INDEX(v01_GroupCap,G793)*v01_CohesionFactor*EXP(v01_CapsByProject*SUMPRODUCT((Cap_Point&lt;=I793)*(Cap_Kind="Group")*Cap_Ln))</x:f>
        <x:v>5000</x:v>
      </x:c>
      <x:c r="N793" s="32" t="n">
        <x:f>MIN(J793,L793,M793)</x:f>
        <x:v>120</x:v>
      </x:c>
      <x:c r="O793" s="10" t="n">
        <x:f>AE792*N793</x:f>
        <x:v>840</x:v>
      </x:c>
      <x:c r="P793" s="9" t="n">
        <x:f>MIN(1,(AB792/(AE792*IF(v01_GroupInCrowding=1,N793,MIN(J793,L793))))^v01_CrowdingExp)</x:f>
        <x:v>0.1899352626559311</x:v>
      </x:c>
      <x:c r="Q793" s="9" t="n">
        <x:f>IF(D793=1,INDEX(v01_WinterMult,G793),1)</x:f>
        <x:v>1</x:v>
      </x:c>
      <x:c r="R793" s="9" t="n">
        <x:f>H793*Z792*v01_WomenShare*v01_BaseFertility*INDEX(v01_FertMult,G793)*Arch_Fertility*(1-P793)</x:f>
        <x:v>8.504958316745693</x:v>
      </x:c>
      <x:c r="S793" s="9" t="n">
        <x:f>H793*Y792*INDEX(v01_MortChild,G793)/4*Q793</x:f>
        <x:v>2.1103428787379612</x:v>
      </x:c>
      <x:c r="T793" s="9" t="n">
        <x:f>H793*Z792*INDEX(v01_MortAdult,G793)*Arch_AdultMort/4*Q793</x:f>
        <x:v>0.7403218182585665</x:v>
      </x:c>
      <x:c r="U793" s="9" t="n">
        <x:f>H793*AA792*INDEX(v01_MortElder,G793)/4*Q793</x:f>
        <x:v>1.4020059384504502</x:v>
      </x:c>
      <x:c r="V793" s="9" t="n">
        <x:f>H793*MAX(0,AB792-O793)*v01_OvercapLoss</x:f>
        <x:v>0</x:v>
      </x:c>
      <x:c r="W793" s="9" t="n">
        <x:f>H793*Y792/(v01_ChildYears*4)</x:f>
        <x:v>5.024625901757051</x:v>
      </x:c>
      <x:c r="X793" s="9" t="n">
        <x:f>H793*Z792/(v01_AdultYears*4)</x:f>
        <x:v>2.1710317250984352</x:v>
      </x:c>
      <x:c r="Y793" s="32" t="n">
        <x:f>Y792+R793-S793-W793-Y792*V793/AB792</x:f>
        <x:v>282.7490400346455</x:v>
      </x:c>
      <x:c r="Z793" s="32" t="n">
        <x:f>Z792+W793-X793-T793-Z792*V793/AB792</x:f>
        <x:v>271.32120627060607</x:v>
      </x:c>
      <x:c r="AA793" s="32" t="n">
        <x:f>AA792+X793-U793-AA792*V793/AB792</x:f>
        <x:v>87.04631430667568</x:v>
      </x:c>
      <x:c r="AB793" s="10" t="n">
        <x:f>Y793+Z793+AA793</x:f>
        <x:v>641.1165606119272</x:v>
      </x:c>
      <x:c r="AC793" s="8" t="n">
        <x:f>IF(AND(v01_WinterTrigger=1,D793=1,AB792/AE792&gt;=K793),1,0)</x:f>
        <x:v>0</x:v>
      </x:c>
      <x:c r="AD793" s="8" t="n">
        <x:f>H793*IF(AND(OR(AB792/AE792&gt;=v01_FissionTrigger*N793,AC793=1),AB792/AE792*v01_DaughterShare&gt;=v01_MinDaughter),MAX(1,ROUND(AE792*v01_FissionRate,0)),0)</x:f>
        <x:v>0</x:v>
      </x:c>
      <x:c r="AE793" s="8" t="n">
        <x:f>IF(H793=1,MAX(1,MIN(INDEX(v01_Smax,G793),AE792+AD793)),AE792)</x:f>
        <x:v>7</x:v>
      </x:c>
      <x:c r="AF793" s="8" t="n">
        <x:f>MAX(0,AE793-AE792)</x:f>
        <x:v>0</x:v>
      </x:c>
      <x:c r="AG793" s="9" t="str">
        <x:f>IF(AF793&gt;0,B793,"")</x:f>
      </x:c>
      <x:c r="AH793" s="9" t="n">
        <x:f>IF(F793&gt;=1,1,(1+v01_LowTiesShare*(AE793-1))/AE793)</x:f>
        <x:v>1</x:v>
      </x:c>
      <x:c r="AI793" s="32" t="n">
        <x:f>(Z793+v01_ElderCommons*INDEX(LM_Elder,G793)*AA793)*AH793</x:f>
        <x:v>532.460149190633</x:v>
      </x:c>
      <x:c r="AJ793" s="32" t="n">
        <x:f>H793*v01_CommonsCoef*AI793^v01_CommonsExp*INDEX(LM_Commons,G793)</x:f>
        <x:v>137.05282082428403</x:v>
      </x:c>
      <x:c r="AK793" s="32" t="n">
        <x:f>H793*v01_RoleScale*Arch_Roles*(AE793*(INDEX(v01_ElderRolePerSett,G793)*v01_OutElder*INDEX(LM_Elder,G793)+INDEX(v01_ShamanPerSett,G793)*v01_OutShaman)+Z793*(INDEX(v01_PriestShare,G793)*v01_OutPriest+INDEX(v01_ScribeShare,G793)*v01_OutScribe*INDEX(LM_Scribe,G793)+INDEX(v01_ScholarShare,G793)*v01_OutScholar*INDEX(LM_Scholar,G793)+INDEX(v01_ResearcherShare,G793)*v01_OutResearcher*INDEX(LM_Researcher,G793)))</x:f>
        <x:v>22.899248443894244</x:v>
      </x:c>
      <x:c r="AL793" s="32" t="n">
        <x:f>H793*v01_RoleScale*Arch_Roles*AE793*INDEX(v01_MonasteryPerSett,G793)*v01_OutMonastery*INDEX(LM_Monastery,G793)</x:f>
        <x:v>0</x:v>
      </x:c>
      <x:c r="AM793" s="32" t="n">
        <x:f>(AJ793+AK793+AL793)/4*INDEX(LM_All,G793)*INDEX(v01_Boon,G793)*Arch_Insight</x:f>
        <x:v>43.06272096106293</x:v>
      </x:c>
      <x:c r="AN793" s="32" t="n">
        <x:f>H793*(v01_KHPerAdult*Z793+v01_KHOfCommons*AJ793/4*INDEX(LM_All,G793))*v01_KHUsable*Arch_KH</x:f>
        <x:v>9.496242219471211</x:v>
      </x:c>
      <x:c r="AO793" s="32" t="n">
        <x:f>MIN(AP792+AN793,AM793*v01_KHMaxRatio)</x:f>
        <x:v>9.496242219471211</x:v>
      </x:c>
      <x:c r="AP793" s="32" t="n">
        <x:f>AP792+AN793-AO793</x:f>
        <x:v>0</x:v>
      </x:c>
      <x:c r="AQ793" s="32" t="n">
        <x:f>AM793+AO793</x:f>
        <x:v>52.55896318053414</x:v>
      </x:c>
      <x:c r="AR793" s="10" t="n">
        <x:f>IF(H793=1,INDEX(v01_Req,G793),0)</x:f>
        <x:v>9805.661999999998</x:v>
      </x:c>
      <x:c r="AS793" s="32" t="n">
        <x:f>IF(H793=1,IF(E793=1,AS792-AR792,AS792)+AQ793,0)</x:f>
        <x:v>3343.352619125232</x:v>
      </x:c>
      <x:c r="AT793" s="11" t="n">
        <x:f>IF(AR793&gt;0,MIN(1,AS793/AR793),1)</x:f>
        <x:v>0.3409614383123988</x:v>
      </x:c>
      <x:c r="AU793" s="10" t="n">
        <x:f>AB793/INDEX(v01_RepScale,G793)</x:f>
        <x:v>128.22331212238544</x:v>
      </x:c>
      <x:c r="AV793" s="32" t="n">
        <x:f>AM793*60/v01_SeasonSeconds</x:f>
        <x:v>172.25088384425172</x:v>
      </x:c>
    </x:row>
    <x:row r="794">
      <x:c r="A794" s="8" t="n">
        <x:f>A793+1</x:f>
        <x:v>791</x:v>
      </x:c>
      <x:c r="B794" s="9" t="n">
        <x:f>A794*v01_SeasonSeconds/60</x:f>
        <x:v>197.75</x:v>
      </x:c>
      <x:c r="C794" s="9" t="n">
        <x:f>A794/4</x:f>
        <x:v>197.75</x:v>
      </x:c>
      <x:c r="D794" s="8" t="n">
        <x:f>IF(MOD(A794,4)=0,1,0)</x:f>
        <x:v>0</x:v>
      </x:c>
      <x:c r="E794" s="8" t="n">
        <x:f>IF(AND(F793&lt;=9,AS793&gt;=AR793),1,0)</x:f>
        <x:v>0</x:v>
      </x:c>
      <x:c r="F794" s="8" t="n">
        <x:f>MIN(10,F793+E794)</x:f>
        <x:v>3</x:v>
      </x:c>
      <x:c r="G794" s="8" t="n">
        <x:f>MIN(F794,9)+1</x:f>
        <x:v>4</x:v>
      </x:c>
      <x:c r="H794" s="8" t="n">
        <x:f>IF(F794&lt;=9,1,0)</x:f>
        <x:v>1</x:v>
      </x:c>
      <x:c r="I794" s="9" t="n">
        <x:f>MIN(10,F793+IF(AR793&gt;0,MIN(1,AS793/AR793),1))</x:f>
        <x:v>3.340961438312399</x:v>
      </x:c>
      <x:c r="J794" s="32" t="n">
        <x:f>INDEX(v01_FoodCap,G794)*Arch_FoodCap*EXP(v01_CapsByProject*SUMPRODUCT((Cap_Point&lt;=I794)*(Cap_Kind="Food")*Cap_Ln))</x:f>
        <x:v>120</x:v>
      </x:c>
      <x:c r="K794" s="32" t="n">
        <x:f>J794*MIN(1,v01_LeanBase*EXP(v01_CapsByProject*SUMPRODUCT((Cap_Point&lt;=I794)*(Cap_Kind="Lean")*Cap_Ln)))</x:f>
        <x:v>120</x:v>
      </x:c>
      <x:c r="L794" s="10" t="n">
        <x:f>INDEX(v01_HousingCap,G794)*EXP(v01_CapsByProject*SUMPRODUCT((Cap_Point&lt;=I794)*(Cap_Kind="Housing")*Cap_Ln))</x:f>
        <x:v>200</x:v>
      </x:c>
      <x:c r="M794" s="10" t="n">
        <x:f>INDEX(v01_GroupCap,G794)*v01_CohesionFactor*EXP(v01_CapsByProject*SUMPRODUCT((Cap_Point&lt;=I794)*(Cap_Kind="Group")*Cap_Ln))</x:f>
        <x:v>5000</x:v>
      </x:c>
      <x:c r="N794" s="32" t="n">
        <x:f>MIN(J794,L794,M794)</x:f>
        <x:v>120</x:v>
      </x:c>
      <x:c r="O794" s="10" t="n">
        <x:f>AE793*N794</x:f>
        <x:v>840</x:v>
      </x:c>
      <x:c r="P794" s="9" t="n">
        <x:f>MIN(1,(AB793/(AE793*IF(v01_GroupInCrowding=1,N794,MIN(J794,L794))))^v01_CrowdingExp)</x:f>
        <x:v>0.19767250008084047</x:v>
      </x:c>
      <x:c r="Q794" s="9" t="n">
        <x:f>IF(D794=1,INDEX(v01_WinterMult,G794),1)</x:f>
        <x:v>1</x:v>
      </x:c>
      <x:c r="R794" s="9" t="n">
        <x:f>H794*Z793*v01_WomenShare*v01_BaseFertility*INDEX(v01_FertMult,G794)*Arch_Fertility*(1-P794)</x:f>
        <x:v>8.489850138983693</x:v>
      </x:c>
      <x:c r="S794" s="9" t="n">
        <x:f>H794*Y793*INDEX(v01_MortChild,G794)/4*Q794</x:f>
        <x:v>2.120617800259841</x:v>
      </x:c>
      <x:c r="T794" s="9" t="n">
        <x:f>H794*Z793*INDEX(v01_MortAdult,G794)*Arch_AdultMort/4*Q794</x:f>
        <x:v>0.7461333172441666</x:v>
      </x:c>
      <x:c r="U794" s="9" t="n">
        <x:f>H794*AA793*INDEX(v01_MortElder,G794)/4*Q794</x:f>
        <x:v>1.41450260748348</x:v>
      </x:c>
      <x:c r="V794" s="9" t="n">
        <x:f>H794*MAX(0,AB793-O794)*v01_OvercapLoss</x:f>
        <x:v>0</x:v>
      </x:c>
      <x:c r="W794" s="9" t="n">
        <x:f>H794*Y793/(v01_ChildYears*4)</x:f>
        <x:v>5.049090000618669</x:v>
      </x:c>
      <x:c r="X794" s="9" t="n">
        <x:f>H794*Z793/(v01_AdultYears*4)</x:f>
        <x:v>2.1880742441177907</x:v>
      </x:c>
      <x:c r="Y794" s="32" t="n">
        <x:f>Y793+R794-S794-W794-Y793*V794/AB793</x:f>
        <x:v>284.0691823727507</x:v>
      </x:c>
      <x:c r="Z794" s="32" t="n">
        <x:f>Z793+W794-X794-T794-Z793*V794/AB793</x:f>
        <x:v>273.43608870986276</x:v>
      </x:c>
      <x:c r="AA794" s="32" t="n">
        <x:f>AA793+X794-U794-AA793*V794/AB793</x:f>
        <x:v>87.81988594330998</x:v>
      </x:c>
      <x:c r="AB794" s="10" t="n">
        <x:f>Y794+Z794+AA794</x:f>
        <x:v>645.3251570259234</x:v>
      </x:c>
      <x:c r="AC794" s="8" t="n">
        <x:f>IF(AND(v01_WinterTrigger=1,D794=1,AB793/AE793&gt;=K794),1,0)</x:f>
        <x:v>0</x:v>
      </x:c>
      <x:c r="AD794" s="8" t="n">
        <x:f>H794*IF(AND(OR(AB793/AE793&gt;=v01_FissionTrigger*N794,AC794=1),AB793/AE793*v01_DaughterShare&gt;=v01_MinDaughter),MAX(1,ROUND(AE793*v01_FissionRate,0)),0)</x:f>
        <x:v>0</x:v>
      </x:c>
      <x:c r="AE794" s="8" t="n">
        <x:f>IF(H794=1,MAX(1,MIN(INDEX(v01_Smax,G794),AE793+AD794)),AE793)</x:f>
        <x:v>7</x:v>
      </x:c>
      <x:c r="AF794" s="8" t="n">
        <x:f>MAX(0,AE794-AE793)</x:f>
        <x:v>0</x:v>
      </x:c>
      <x:c r="AG794" s="9" t="str">
        <x:f>IF(AF794&gt;0,B794,"")</x:f>
      </x:c>
      <x:c r="AH794" s="9" t="n">
        <x:f>IF(F794&gt;=1,1,(1+v01_LowTiesShare*(AE794-1))/AE794)</x:f>
        <x:v>1</x:v>
      </x:c>
      <x:c r="AI794" s="32" t="n">
        <x:f>(Z794+v01_ElderCommons*INDEX(LM_Elder,G794)*AA794)*AH794</x:f>
        <x:v>536.8957465397928</x:v>
      </x:c>
      <x:c r="AJ794" s="32" t="n">
        <x:f>H794*v01_CommonsCoef*AI794^v01_CommonsExp*INDEX(LM_Commons,G794)</x:f>
        <x:v>138.02266363425386</x:v>
      </x:c>
      <x:c r="AK794" s="32" t="n">
        <x:f>H794*v01_RoleScale*Arch_Roles*(AE794*(INDEX(v01_ElderRolePerSett,G794)*v01_OutElder*INDEX(LM_Elder,G794)+INDEX(v01_ShamanPerSett,G794)*v01_OutShaman)+Z794*(INDEX(v01_PriestShare,G794)*v01_OutPriest+INDEX(v01_ScribeShare,G794)*v01_OutScribe*INDEX(LM_Scribe,G794)+INDEX(v01_ScholarShare,G794)*v01_OutScholar*INDEX(LM_Scholar,G794)+INDEX(v01_ResearcherShare,G794)*v01_OutResearcher*INDEX(LM_Researcher,G794)))</x:f>
        <x:v>22.914052620969038</x:v>
      </x:c>
      <x:c r="AL794" s="32" t="n">
        <x:f>H794*v01_RoleScale*Arch_Roles*AE794*INDEX(v01_MonasteryPerSett,G794)*v01_OutMonastery*INDEX(LM_Monastery,G794)</x:f>
        <x:v>0</x:v>
      </x:c>
      <x:c r="AM794" s="32" t="n">
        <x:f>(AJ794+AK794+AL794)/4*INDEX(LM_All,G794)*INDEX(v01_Boon,G794)*Arch_Insight</x:f>
        <x:v>43.32781023838365</x:v>
      </x:c>
      <x:c r="AN794" s="32" t="n">
        <x:f>H794*(v01_KHPerAdult*Z794+v01_KHOfCommons*AJ794/4*INDEX(LM_All,G794))*v01_KHUsable*Arch_KH</x:f>
        <x:v>9.570263104845196</x:v>
      </x:c>
      <x:c r="AO794" s="32" t="n">
        <x:f>MIN(AP793+AN794,AM794*v01_KHMaxRatio)</x:f>
        <x:v>9.570263104845196</x:v>
      </x:c>
      <x:c r="AP794" s="32" t="n">
        <x:f>AP793+AN794-AO794</x:f>
        <x:v>0</x:v>
      </x:c>
      <x:c r="AQ794" s="32" t="n">
        <x:f>AM794+AO794</x:f>
        <x:v>52.898073343228845</x:v>
      </x:c>
      <x:c r="AR794" s="10" t="n">
        <x:f>IF(H794=1,INDEX(v01_Req,G794),0)</x:f>
        <x:v>9805.661999999998</x:v>
      </x:c>
      <x:c r="AS794" s="32" t="n">
        <x:f>IF(H794=1,IF(E794=1,AS793-AR793,AS793)+AQ794,0)</x:f>
        <x:v>3396.2506924684612</x:v>
      </x:c>
      <x:c r="AT794" s="11" t="n">
        <x:f>IF(AR794&gt;0,MIN(1,AS794/AR794),1)</x:f>
        <x:v>0.3463560841143068</x:v>
      </x:c>
      <x:c r="AU794" s="10" t="n">
        <x:f>AB794/INDEX(v01_RepScale,G794)</x:f>
        <x:v>129.0650314051847</x:v>
      </x:c>
      <x:c r="AV794" s="32" t="n">
        <x:f>AM794*60/v01_SeasonSeconds</x:f>
        <x:v>173.3112409535346</x:v>
      </x:c>
    </x:row>
    <x:row r="795">
      <x:c r="A795" s="8" t="n">
        <x:f>A794+1</x:f>
        <x:v>792</x:v>
      </x:c>
      <x:c r="B795" s="9" t="n">
        <x:f>A795*v01_SeasonSeconds/60</x:f>
        <x:v>198</x:v>
      </x:c>
      <x:c r="C795" s="9" t="n">
        <x:f>A795/4</x:f>
        <x:v>198</x:v>
      </x:c>
      <x:c r="D795" s="8" t="n">
        <x:f>IF(MOD(A795,4)=0,1,0)</x:f>
        <x:v>1</x:v>
      </x:c>
      <x:c r="E795" s="8" t="n">
        <x:f>IF(AND(F794&lt;=9,AS794&gt;=AR794),1,0)</x:f>
        <x:v>0</x:v>
      </x:c>
      <x:c r="F795" s="8" t="n">
        <x:f>MIN(10,F794+E795)</x:f>
        <x:v>3</x:v>
      </x:c>
      <x:c r="G795" s="8" t="n">
        <x:f>MIN(F795,9)+1</x:f>
        <x:v>4</x:v>
      </x:c>
      <x:c r="H795" s="8" t="n">
        <x:f>IF(F795&lt;=9,1,0)</x:f>
        <x:v>1</x:v>
      </x:c>
      <x:c r="I795" s="9" t="n">
        <x:f>MIN(10,F794+IF(AR794&gt;0,MIN(1,AS794/AR794),1))</x:f>
        <x:v>3.3463560841143067</x:v>
      </x:c>
      <x:c r="J795" s="32" t="n">
        <x:f>INDEX(v01_FoodCap,G795)*Arch_FoodCap*EXP(v01_CapsByProject*SUMPRODUCT((Cap_Point&lt;=I795)*(Cap_Kind="Food")*Cap_Ln))</x:f>
        <x:v>120</x:v>
      </x:c>
      <x:c r="K795" s="32" t="n">
        <x:f>J795*MIN(1,v01_LeanBase*EXP(v01_CapsByProject*SUMPRODUCT((Cap_Point&lt;=I795)*(Cap_Kind="Lean")*Cap_Ln)))</x:f>
        <x:v>120</x:v>
      </x:c>
      <x:c r="L795" s="10" t="n">
        <x:f>INDEX(v01_HousingCap,G795)*EXP(v01_CapsByProject*SUMPRODUCT((Cap_Point&lt;=I795)*(Cap_Kind="Housing")*Cap_Ln))</x:f>
        <x:v>200</x:v>
      </x:c>
      <x:c r="M795" s="10" t="n">
        <x:f>INDEX(v01_GroupCap,G795)*v01_CohesionFactor*EXP(v01_CapsByProject*SUMPRODUCT((Cap_Point&lt;=I795)*(Cap_Kind="Group")*Cap_Ln))</x:f>
        <x:v>5000</x:v>
      </x:c>
      <x:c r="N795" s="32" t="n">
        <x:f>MIN(J795,L795,M795)</x:f>
        <x:v>120</x:v>
      </x:c>
      <x:c r="O795" s="10" t="n">
        <x:f>AE794*N795</x:f>
        <x:v>840</x:v>
      </x:c>
      <x:c r="P795" s="9" t="n">
        <x:f>MIN(1,(AB794/(AE794*IF(v01_GroupInCrowding=1,N795,MIN(J795,L795))))^v01_CrowdingExp)</x:f>
        <x:v>0.20558709890584204</x:v>
      </x:c>
      <x:c r="Q795" s="9" t="n">
        <x:f>IF(D795=1,INDEX(v01_WinterMult,G795),1)</x:f>
        <x:v>1.15</x:v>
      </x:c>
      <x:c r="R795" s="9" t="n">
        <x:f>H795*Z794*v01_WomenShare*v01_BaseFertility*INDEX(v01_FertMult,G795)*Arch_Fertility*(1-P795)</x:f>
        <x:v>8.471625103337823</x:v>
      </x:c>
      <x:c r="S795" s="9" t="n">
        <x:f>H795*Y794*INDEX(v01_MortChild,G795)/4*Q795</x:f>
        <x:v>2.450096697964974</x:v>
      </x:c>
      <x:c r="T795" s="9" t="n">
        <x:f>H795*Z794*INDEX(v01_MortAdult,G795)*Arch_AdultMort/4*Q795</x:f>
        <x:v>0.8647416305449409</x:v>
      </x:c>
      <x:c r="U795" s="9" t="n">
        <x:f>H795*AA794*INDEX(v01_MortElder,G795)/4*Q795</x:f>
        <x:v>1.6411341185656054</x:v>
      </x:c>
      <x:c r="V795" s="9" t="n">
        <x:f>H795*MAX(0,AB794-O795)*v01_OvercapLoss</x:f>
        <x:v>0</x:v>
      </x:c>
      <x:c r="W795" s="9" t="n">
        <x:f>H795*Y794/(v01_ChildYears*4)</x:f>
        <x:v>5.072663970941976</x:v>
      </x:c>
      <x:c r="X795" s="9" t="n">
        <x:f>H795*Z794/(v01_AdultYears*4)</x:f>
        <x:v>2.2051297476601834</x:v>
      </x:c>
      <x:c r="Y795" s="32" t="n">
        <x:f>Y794+R795-S795-W795-Y794*V795/AB794</x:f>
        <x:v>285.0180468071816</x:v>
      </x:c>
      <x:c r="Z795" s="32" t="n">
        <x:f>Z794+W795-X795-T795-Z794*V795/AB794</x:f>
        <x:v>275.4388813025996</x:v>
      </x:c>
      <x:c r="AA795" s="32" t="n">
        <x:f>AA794+X795-U795-AA794*V795/AB794</x:f>
        <x:v>88.38388157240456</x:v>
      </x:c>
      <x:c r="AB795" s="10" t="n">
        <x:f>Y795+Z795+AA795</x:f>
        <x:v>648.8408096821857</x:v>
      </x:c>
      <x:c r="AC795" s="8" t="n">
        <x:f>IF(AND(v01_WinterTrigger=1,D795=1,AB794/AE794&gt;=K795),1,0)</x:f>
        <x:v>0</x:v>
      </x:c>
      <x:c r="AD795" s="8" t="n">
        <x:f>H795*IF(AND(OR(AB794/AE794&gt;=v01_FissionTrigger*N795,AC795=1),AB794/AE794*v01_DaughterShare&gt;=v01_MinDaughter),MAX(1,ROUND(AE794*v01_FissionRate,0)),0)</x:f>
        <x:v>0</x:v>
      </x:c>
      <x:c r="AE795" s="8" t="n">
        <x:f>IF(H795=1,MAX(1,MIN(INDEX(v01_Smax,G795),AE794+AD795)),AE794)</x:f>
        <x:v>7</x:v>
      </x:c>
      <x:c r="AF795" s="8" t="n">
        <x:f>MAX(0,AE795-AE794)</x:f>
        <x:v>0</x:v>
      </x:c>
      <x:c r="AG795" s="9" t="str">
        <x:f>IF(AF795&gt;0,B795,"")</x:f>
      </x:c>
      <x:c r="AH795" s="9" t="n">
        <x:f>IF(F795&gt;=1,1,(1+v01_LowTiesShare*(AE795-1))/AE795)</x:f>
        <x:v>1</x:v>
      </x:c>
      <x:c r="AI795" s="32" t="n">
        <x:f>(Z795+v01_ElderCommons*INDEX(LM_Elder,G795)*AA795)*AH795</x:f>
        <x:v>540.5905260198133</x:v>
      </x:c>
      <x:c r="AJ795" s="32" t="n">
        <x:f>H795*v01_CommonsCoef*AI795^v01_CommonsExp*INDEX(LM_Commons,G795)</x:f>
        <x:v>138.82960925405044</x:v>
      </x:c>
      <x:c r="AK795" s="32" t="n">
        <x:f>H795*v01_RoleScale*Arch_Roles*(AE795*(INDEX(v01_ElderRolePerSett,G795)*v01_OutElder*INDEX(LM_Elder,G795)+INDEX(v01_ShamanPerSett,G795)*v01_OutShaman)+Z795*(INDEX(v01_PriestShare,G795)*v01_OutPriest+INDEX(v01_ScribeShare,G795)*v01_OutScribe*INDEX(LM_Scribe,G795)+INDEX(v01_ScholarShare,G795)*v01_OutScholar*INDEX(LM_Scholar,G795)+INDEX(v01_ResearcherShare,G795)*v01_OutResearcher*INDEX(LM_Researcher,G795)))</x:f>
        <x:v>22.9280721691182</x:v>
      </x:c>
      <x:c r="AL795" s="32" t="n">
        <x:f>H795*v01_RoleScale*Arch_Roles*AE795*INDEX(v01_MonasteryPerSett,G795)*v01_OutMonastery*INDEX(LM_Monastery,G795)</x:f>
        <x:v>0</x:v>
      </x:c>
      <x:c r="AM795" s="32" t="n">
        <x:f>(AJ795+AK795+AL795)/4*INDEX(LM_All,G795)*INDEX(v01_Boon,G795)*Arch_Insight</x:f>
        <x:v>43.54883266158673</x:v>
      </x:c>
      <x:c r="AN795" s="32" t="n">
        <x:f>H795*(v01_KHPerAdult*Z795+v01_KHOfCommons*AJ795/4*INDEX(LM_All,G795))*v01_KHUsable*Arch_KH</x:f>
        <x:v>9.640360845590987</x:v>
      </x:c>
      <x:c r="AO795" s="32" t="n">
        <x:f>MIN(AP794+AN795,AM795*v01_KHMaxRatio)</x:f>
        <x:v>9.640360845590987</x:v>
      </x:c>
      <x:c r="AP795" s="32" t="n">
        <x:f>AP794+AN795-AO795</x:f>
        <x:v>0</x:v>
      </x:c>
      <x:c r="AQ795" s="32" t="n">
        <x:f>AM795+AO795</x:f>
        <x:v>53.18919350717772</x:v>
      </x:c>
      <x:c r="AR795" s="10" t="n">
        <x:f>IF(H795=1,INDEX(v01_Req,G795),0)</x:f>
        <x:v>9805.661999999998</x:v>
      </x:c>
      <x:c r="AS795" s="32" t="n">
        <x:f>IF(H795=1,IF(E795=1,AS794-AR794,AS794)+AQ795,0)</x:f>
        <x:v>3449.439885975639</x:v>
      </x:c>
      <x:c r="AT795" s="11" t="n">
        <x:f>IF(AR795&gt;0,MIN(1,AS795/AR795),1)</x:f>
        <x:v>0.35178041890243</x:v>
      </x:c>
      <x:c r="AU795" s="10" t="n">
        <x:f>AB795/INDEX(v01_RepScale,G795)</x:f>
        <x:v>129.76816193643714</x:v>
      </x:c>
      <x:c r="AV795" s="32" t="n">
        <x:f>AM795*60/v01_SeasonSeconds</x:f>
        <x:v>174.19533064634692</x:v>
      </x:c>
    </x:row>
    <x:row r="796">
      <x:c r="A796" s="8" t="n">
        <x:f>A795+1</x:f>
        <x:v>793</x:v>
      </x:c>
      <x:c r="B796" s="9" t="n">
        <x:f>A796*v01_SeasonSeconds/60</x:f>
        <x:v>198.25</x:v>
      </x:c>
      <x:c r="C796" s="9" t="n">
        <x:f>A796/4</x:f>
        <x:v>198.25</x:v>
      </x:c>
      <x:c r="D796" s="8" t="n">
        <x:f>IF(MOD(A796,4)=0,1,0)</x:f>
        <x:v>0</x:v>
      </x:c>
      <x:c r="E796" s="8" t="n">
        <x:f>IF(AND(F795&lt;=9,AS795&gt;=AR795),1,0)</x:f>
        <x:v>0</x:v>
      </x:c>
      <x:c r="F796" s="8" t="n">
        <x:f>MIN(10,F795+E796)</x:f>
        <x:v>3</x:v>
      </x:c>
      <x:c r="G796" s="8" t="n">
        <x:f>MIN(F796,9)+1</x:f>
        <x:v>4</x:v>
      </x:c>
      <x:c r="H796" s="8" t="n">
        <x:f>IF(F796&lt;=9,1,0)</x:f>
        <x:v>1</x:v>
      </x:c>
      <x:c r="I796" s="9" t="n">
        <x:f>MIN(10,F795+IF(AR795&gt;0,MIN(1,AS795/AR795),1))</x:f>
        <x:v>3.35178041890243</x:v>
      </x:c>
      <x:c r="J796" s="32" t="n">
        <x:f>INDEX(v01_FoodCap,G796)*Arch_FoodCap*EXP(v01_CapsByProject*SUMPRODUCT((Cap_Point&lt;=I796)*(Cap_Kind="Food")*Cap_Ln))</x:f>
        <x:v>120</x:v>
      </x:c>
      <x:c r="K796" s="32" t="n">
        <x:f>J796*MIN(1,v01_LeanBase*EXP(v01_CapsByProject*SUMPRODUCT((Cap_Point&lt;=I796)*(Cap_Kind="Lean")*Cap_Ln)))</x:f>
        <x:v>120</x:v>
      </x:c>
      <x:c r="L796" s="10" t="n">
        <x:f>INDEX(v01_HousingCap,G796)*EXP(v01_CapsByProject*SUMPRODUCT((Cap_Point&lt;=I796)*(Cap_Kind="Housing")*Cap_Ln))</x:f>
        <x:v>200</x:v>
      </x:c>
      <x:c r="M796" s="10" t="n">
        <x:f>INDEX(v01_GroupCap,G796)*v01_CohesionFactor*EXP(v01_CapsByProject*SUMPRODUCT((Cap_Point&lt;=I796)*(Cap_Kind="Group")*Cap_Ln))</x:f>
        <x:v>5000</x:v>
      </x:c>
      <x:c r="N796" s="32" t="n">
        <x:f>MIN(J796,L796,M796)</x:f>
        <x:v>120</x:v>
      </x:c>
      <x:c r="O796" s="10" t="n">
        <x:f>AE795*N796</x:f>
        <x:v>840</x:v>
      </x:c>
      <x:c r="P796" s="9" t="n">
        <x:f>MIN(1,(AB795/(AE795*IF(v01_GroupInCrowding=1,N796,MIN(J796,L796))))^v01_CrowdingExp)</x:f>
        <x:v>0.21239937236497178</x:v>
      </x:c>
      <x:c r="Q796" s="9" t="n">
        <x:f>IF(D796=1,INDEX(v01_WinterMult,G796),1)</x:f>
        <x:v>1</x:v>
      </x:c>
      <x:c r="R796" s="9" t="n">
        <x:f>H796*Z795*v01_WomenShare*v01_BaseFertility*INDEX(v01_FertMult,G796)*Arch_Fertility*(1-P796)</x:f>
        <x:v>8.460497595771683</x:v>
      </x:c>
      <x:c r="S796" s="9" t="n">
        <x:f>H796*Y795*INDEX(v01_MortChild,G796)/4*Q796</x:f>
        <x:v>2.137635351053862</x:v>
      </x:c>
      <x:c r="T796" s="9" t="n">
        <x:f>H796*Z795*INDEX(v01_MortAdult,G796)*Arch_AdultMort/4*Q796</x:f>
        <x:v>0.7574569235821489</x:v>
      </x:c>
      <x:c r="U796" s="9" t="n">
        <x:f>H796*AA795*INDEX(v01_MortElder,G796)/4*Q796</x:f>
        <x:v>1.4362380755515742</x:v>
      </x:c>
      <x:c r="V796" s="9" t="n">
        <x:f>H796*MAX(0,AB795-O796)*v01_OvercapLoss</x:f>
        <x:v>0</x:v>
      </x:c>
      <x:c r="W796" s="9" t="n">
        <x:f>H796*Y795/(v01_ChildYears*4)</x:f>
        <x:v>5.089607978699671</x:v>
      </x:c>
      <x:c r="X796" s="9" t="n">
        <x:f>H796*Z795/(v01_AdultYears*4)</x:f>
        <x:v>2.221281300827416</x:v>
      </x:c>
      <x:c r="Y796" s="32" t="n">
        <x:f>Y795+R796-S796-W796-Y795*V796/AB795</x:f>
        <x:v>286.2513010731997</x:v>
      </x:c>
      <x:c r="Z796" s="32" t="n">
        <x:f>Z795+W796-X796-T796-Z795*V796/AB795</x:f>
        <x:v>277.54975105688976</x:v>
      </x:c>
      <x:c r="AA796" s="32" t="n">
        <x:f>AA795+X796-U796-AA795*V796/AB795</x:f>
        <x:v>89.1689247976804</x:v>
      </x:c>
      <x:c r="AB796" s="10" t="n">
        <x:f>Y796+Z796+AA796</x:f>
        <x:v>652.96997692777</x:v>
      </x:c>
      <x:c r="AC796" s="8" t="n">
        <x:f>IF(AND(v01_WinterTrigger=1,D796=1,AB795/AE795&gt;=K796),1,0)</x:f>
        <x:v>0</x:v>
      </x:c>
      <x:c r="AD796" s="8" t="n">
        <x:f>H796*IF(AND(OR(AB795/AE795&gt;=v01_FissionTrigger*N796,AC796=1),AB795/AE795*v01_DaughterShare&gt;=v01_MinDaughter),MAX(1,ROUND(AE795*v01_FissionRate,0)),0)</x:f>
        <x:v>0</x:v>
      </x:c>
      <x:c r="AE796" s="8" t="n">
        <x:f>IF(H796=1,MAX(1,MIN(INDEX(v01_Smax,G796),AE795+AD796)),AE795)</x:f>
        <x:v>7</x:v>
      </x:c>
      <x:c r="AF796" s="8" t="n">
        <x:f>MAX(0,AE796-AE795)</x:f>
        <x:v>0</x:v>
      </x:c>
      <x:c r="AG796" s="9" t="str">
        <x:f>IF(AF796&gt;0,B796,"")</x:f>
      </x:c>
      <x:c r="AH796" s="9" t="n">
        <x:f>IF(F796&gt;=1,1,(1+v01_LowTiesShare*(AE796-1))/AE796)</x:f>
        <x:v>1</x:v>
      </x:c>
      <x:c r="AI796" s="32" t="n">
        <x:f>(Z796+v01_ElderCommons*INDEX(LM_Elder,G796)*AA796)*AH796</x:f>
        <x:v>545.056525449931</x:v>
      </x:c>
      <x:c r="AJ796" s="32" t="n">
        <x:f>H796*v01_CommonsCoef*AI796^v01_CommonsExp*INDEX(LM_Commons,G796)</x:f>
        <x:v>139.80388734536336</x:v>
      </x:c>
      <x:c r="AK796" s="32" t="n">
        <x:f>H796*v01_RoleScale*Arch_Roles*(AE796*(INDEX(v01_ElderRolePerSett,G796)*v01_OutElder*INDEX(LM_Elder,G796)+INDEX(v01_ShamanPerSett,G796)*v01_OutShaman)+Z796*(INDEX(v01_PriestShare,G796)*v01_OutPriest+INDEX(v01_ScribeShare,G796)*v01_OutScribe*INDEX(LM_Scribe,G796)+INDEX(v01_ScholarShare,G796)*v01_OutScholar*INDEX(LM_Scholar,G796)+INDEX(v01_ResearcherShare,G796)*v01_OutResearcher*INDEX(LM_Researcher,G796)))</x:f>
        <x:v>22.94284825739823</x:v>
      </x:c>
      <x:c r="AL796" s="32" t="n">
        <x:f>H796*v01_RoleScale*Arch_Roles*AE796*INDEX(v01_MonasteryPerSett,G796)*v01_OutMonastery*INDEX(LM_Monastery,G796)</x:f>
        <x:v>0</x:v>
      </x:c>
      <x:c r="AM796" s="32" t="n">
        <x:f>(AJ796+AK796+AL796)/4*INDEX(LM_All,G796)*INDEX(v01_Boon,G796)*Arch_Insight</x:f>
        <x:v>43.81510845499191</x:v>
      </x:c>
      <x:c r="AN796" s="32" t="n">
        <x:f>H796*(v01_KHPerAdult*Z796+v01_KHOfCommons*AJ796/4*INDEX(LM_All,G796))*v01_KHUsable*Arch_KH</x:f>
        <x:v>9.714241286991141</x:v>
      </x:c>
      <x:c r="AO796" s="32" t="n">
        <x:f>MIN(AP795+AN796,AM796*v01_KHMaxRatio)</x:f>
        <x:v>9.714241286991141</x:v>
      </x:c>
      <x:c r="AP796" s="32" t="n">
        <x:f>AP795+AN796-AO796</x:f>
        <x:v>0</x:v>
      </x:c>
      <x:c r="AQ796" s="32" t="n">
        <x:f>AM796+AO796</x:f>
        <x:v>53.52934974198305</x:v>
      </x:c>
      <x:c r="AR796" s="10" t="n">
        <x:f>IF(H796=1,INDEX(v01_Req,G796),0)</x:f>
        <x:v>9805.661999999998</x:v>
      </x:c>
      <x:c r="AS796" s="32" t="n">
        <x:f>IF(H796=1,IF(E796=1,AS795-AR795,AS795)+AQ796,0)</x:f>
        <x:v>3502.969235717622</x:v>
      </x:c>
      <x:c r="AT796" s="11" t="n">
        <x:f>IF(AR796&gt;0,MIN(1,AS796/AR796),1)</x:f>
        <x:v>0.3572394434682352</x:v>
      </x:c>
      <x:c r="AU796" s="10" t="n">
        <x:f>AB796/INDEX(v01_RepScale,G796)</x:f>
        <x:v>130.593995385554</x:v>
      </x:c>
      <x:c r="AV796" s="32" t="n">
        <x:f>AM796*60/v01_SeasonSeconds</x:f>
        <x:v>175.26043381996763</x:v>
      </x:c>
    </x:row>
    <x:row r="797">
      <x:c r="A797" s="8" t="n">
        <x:f>A796+1</x:f>
        <x:v>794</x:v>
      </x:c>
      <x:c r="B797" s="9" t="n">
        <x:f>A797*v01_SeasonSeconds/60</x:f>
        <x:v>198.5</x:v>
      </x:c>
      <x:c r="C797" s="9" t="n">
        <x:f>A797/4</x:f>
        <x:v>198.5</x:v>
      </x:c>
      <x:c r="D797" s="8" t="n">
        <x:f>IF(MOD(A797,4)=0,1,0)</x:f>
        <x:v>0</x:v>
      </x:c>
      <x:c r="E797" s="8" t="n">
        <x:f>IF(AND(F796&lt;=9,AS796&gt;=AR796),1,0)</x:f>
        <x:v>0</x:v>
      </x:c>
      <x:c r="F797" s="8" t="n">
        <x:f>MIN(10,F796+E797)</x:f>
        <x:v>3</x:v>
      </x:c>
      <x:c r="G797" s="8" t="n">
        <x:f>MIN(F797,9)+1</x:f>
        <x:v>4</x:v>
      </x:c>
      <x:c r="H797" s="8" t="n">
        <x:f>IF(F797&lt;=9,1,0)</x:f>
        <x:v>1</x:v>
      </x:c>
      <x:c r="I797" s="9" t="n">
        <x:f>MIN(10,F796+IF(AR796&gt;0,MIN(1,AS796/AR796),1))</x:f>
        <x:v>3.3572394434682353</x:v>
      </x:c>
      <x:c r="J797" s="32" t="n">
        <x:f>INDEX(v01_FoodCap,G797)*Arch_FoodCap*EXP(v01_CapsByProject*SUMPRODUCT((Cap_Point&lt;=I797)*(Cap_Kind="Food")*Cap_Ln))</x:f>
        <x:v>120</x:v>
      </x:c>
      <x:c r="K797" s="32" t="n">
        <x:f>J797*MIN(1,v01_LeanBase*EXP(v01_CapsByProject*SUMPRODUCT((Cap_Point&lt;=I797)*(Cap_Kind="Lean")*Cap_Ln)))</x:f>
        <x:v>120</x:v>
      </x:c>
      <x:c r="L797" s="10" t="n">
        <x:f>INDEX(v01_HousingCap,G797)*EXP(v01_CapsByProject*SUMPRODUCT((Cap_Point&lt;=I797)*(Cap_Kind="Housing")*Cap_Ln))</x:f>
        <x:v>200</x:v>
      </x:c>
      <x:c r="M797" s="10" t="n">
        <x:f>INDEX(v01_GroupCap,G797)*v01_CohesionFactor*EXP(v01_CapsByProject*SUMPRODUCT((Cap_Point&lt;=I797)*(Cap_Kind="Group")*Cap_Ln))</x:f>
        <x:v>5000</x:v>
      </x:c>
      <x:c r="N797" s="32" t="n">
        <x:f>MIN(J797,L797,M797)</x:f>
        <x:v>120</x:v>
      </x:c>
      <x:c r="O797" s="10" t="n">
        <x:f>AE796*N797</x:f>
        <x:v>840</x:v>
      </x:c>
      <x:c r="P797" s="9" t="n">
        <x:f>MIN(1,(AB796/(AE796*IF(v01_GroupInCrowding=1,N797,MIN(J797,L797))))^v01_CrowdingExp)</x:f>
        <x:v>0.2206396514754414</x:v>
      </x:c>
      <x:c r="Q797" s="9" t="n">
        <x:f>IF(D797=1,INDEX(v01_WinterMult,G797),1)</x:f>
        <x:v>1</x:v>
      </x:c>
      <x:c r="R797" s="9" t="n">
        <x:f>H797*Z796*v01_WomenShare*v01_BaseFertility*INDEX(v01_FertMult,G797)*Arch_Fertility*(1-P797)</x:f>
        <x:v>8.436139557947483</x:v>
      </x:c>
      <x:c r="S797" s="9" t="n">
        <x:f>H797*Y796*INDEX(v01_MortChild,G797)/4*Q797</x:f>
        <x:v>2.146884758048998</x:v>
      </x:c>
      <x:c r="T797" s="9" t="n">
        <x:f>H797*Z796*INDEX(v01_MortAdult,G797)*Arch_AdultMort/4*Q797</x:f>
        <x:v>0.7632618154064468</x:v>
      </x:c>
      <x:c r="U797" s="9" t="n">
        <x:f>H797*AA796*INDEX(v01_MortElder,G797)/4*Q797</x:f>
        <x:v>1.4489950279623067</x:v>
      </x:c>
      <x:c r="V797" s="9" t="n">
        <x:f>H797*MAX(0,AB796-O797)*v01_OvercapLoss</x:f>
        <x:v>0</x:v>
      </x:c>
      <x:c r="W797" s="9" t="n">
        <x:f>H797*Y796/(v01_ChildYears*4)</x:f>
        <x:v>5.111630376307138</x:v>
      </x:c>
      <x:c r="X797" s="9" t="n">
        <x:f>H797*Z796/(v01_AdultYears*4)</x:f>
        <x:v>2.2383044440071753</x:v>
      </x:c>
      <x:c r="Y797" s="32" t="n">
        <x:f>Y796+R797-S797-W797-Y796*V797/AB796</x:f>
        <x:v>287.42892549679107</x:v>
      </x:c>
      <x:c r="Z797" s="32" t="n">
        <x:f>Z796+W797-X797-T797-Z796*V797/AB796</x:f>
        <x:v>279.6598151737833</x:v>
      </x:c>
      <x:c r="AA797" s="32" t="n">
        <x:f>AA796+X797-U797-AA796*V797/AB796</x:f>
        <x:v>89.95823421372526</x:v>
      </x:c>
      <x:c r="AB797" s="10" t="n">
        <x:f>Y797+Z797+AA797</x:f>
        <x:v>657.0469748842996</x:v>
      </x:c>
      <x:c r="AC797" s="8" t="n">
        <x:f>IF(AND(v01_WinterTrigger=1,D797=1,AB796/AE796&gt;=K797),1,0)</x:f>
        <x:v>0</x:v>
      </x:c>
      <x:c r="AD797" s="8" t="n">
        <x:f>H797*IF(AND(OR(AB796/AE796&gt;=v01_FissionTrigger*N797,AC797=1),AB796/AE796*v01_DaughterShare&gt;=v01_MinDaughter),MAX(1,ROUND(AE796*v01_FissionRate,0)),0)</x:f>
        <x:v>0</x:v>
      </x:c>
      <x:c r="AE797" s="8" t="n">
        <x:f>IF(H797=1,MAX(1,MIN(INDEX(v01_Smax,G797),AE796+AD797)),AE796)</x:f>
        <x:v>7</x:v>
      </x:c>
      <x:c r="AF797" s="8" t="n">
        <x:f>MAX(0,AE797-AE796)</x:f>
        <x:v>0</x:v>
      </x:c>
      <x:c r="AG797" s="9" t="str">
        <x:f>IF(AF797&gt;0,B797,"")</x:f>
      </x:c>
      <x:c r="AH797" s="9" t="n">
        <x:f>IF(F797&gt;=1,1,(1+v01_LowTiesShare*(AE797-1))/AE797)</x:f>
        <x:v>1</x:v>
      </x:c>
      <x:c r="AI797" s="32" t="n">
        <x:f>(Z797+v01_ElderCommons*INDEX(LM_Elder,G797)*AA797)*AH797</x:f>
        <x:v>549.534517814959</x:v>
      </x:c>
      <x:c r="AJ797" s="32" t="n">
        <x:f>H797*v01_CommonsCoef*AI797^v01_CommonsExp*INDEX(LM_Commons,G797)</x:f>
        <x:v>140.7795802232125</x:v>
      </x:c>
      <x:c r="AK797" s="32" t="n">
        <x:f>H797*v01_RoleScale*Arch_Roles*(AE797*(INDEX(v01_ElderRolePerSett,G797)*v01_OutElder*INDEX(LM_Elder,G797)+INDEX(v01_ShamanPerSett,G797)*v01_OutShaman)+Z797*(INDEX(v01_PriestShare,G797)*v01_OutPriest+INDEX(v01_ScribeShare,G797)*v01_OutScribe*INDEX(LM_Scribe,G797)+INDEX(v01_ScholarShare,G797)*v01_OutScholar*INDEX(LM_Scholar,G797)+INDEX(v01_ResearcherShare,G797)*v01_OutResearcher*INDEX(LM_Researcher,G797)))</x:f>
        <x:v>22.957618706216483</x:v>
      </x:c>
      <x:c r="AL797" s="32" t="n">
        <x:f>H797*v01_RoleScale*Arch_Roles*AE797*INDEX(v01_MonasteryPerSett,G797)*v01_OutMonastery*INDEX(LM_Monastery,G797)</x:f>
        <x:v>0</x:v>
      </x:c>
      <x:c r="AM797" s="32" t="n">
        <x:f>(AJ797+AK797+AL797)/4*INDEX(LM_All,G797)*INDEX(v01_Boon,G797)*Arch_Insight</x:f>
        <x:v>44.08176362271551</x:v>
      </x:c>
      <x:c r="AN797" s="32" t="n">
        <x:f>H797*(v01_KHPerAdult*Z797+v01_KHOfCommons*AJ797/4*INDEX(LM_All,G797))*v01_KHUsable*Arch_KH</x:f>
        <x:v>9.788093531082414</x:v>
      </x:c>
      <x:c r="AO797" s="32" t="n">
        <x:f>MIN(AP796+AN797,AM797*v01_KHMaxRatio)</x:f>
        <x:v>9.788093531082414</x:v>
      </x:c>
      <x:c r="AP797" s="32" t="n">
        <x:f>AP796+AN797-AO797</x:f>
        <x:v>0</x:v>
      </x:c>
      <x:c r="AQ797" s="32" t="n">
        <x:f>AM797+AO797</x:f>
        <x:v>53.86985715379792</x:v>
      </x:c>
      <x:c r="AR797" s="10" t="n">
        <x:f>IF(H797=1,INDEX(v01_Req,G797),0)</x:f>
        <x:v>9805.661999999998</x:v>
      </x:c>
      <x:c r="AS797" s="32" t="n">
        <x:f>IF(H797=1,IF(E797=1,AS796-AR796,AS796)+AQ797,0)</x:f>
        <x:v>3556.83909287142</x:v>
      </x:c>
      <x:c r="AT797" s="11" t="n">
        <x:f>IF(AR797&gt;0,MIN(1,AS797/AR797),1)</x:f>
        <x:v>0.3627331936254197</x:v>
      </x:c>
      <x:c r="AU797" s="10" t="n">
        <x:f>AB797/INDEX(v01_RepScale,G797)</x:f>
        <x:v>131.40939497685991</x:v>
      </x:c>
      <x:c r="AV797" s="32" t="n">
        <x:f>AM797*60/v01_SeasonSeconds</x:f>
        <x:v>176.32705449086205</x:v>
      </x:c>
    </x:row>
    <x:row r="798">
      <x:c r="A798" s="8" t="n">
        <x:f>A797+1</x:f>
        <x:v>795</x:v>
      </x:c>
      <x:c r="B798" s="9" t="n">
        <x:f>A798*v01_SeasonSeconds/60</x:f>
        <x:v>198.75</x:v>
      </x:c>
      <x:c r="C798" s="9" t="n">
        <x:f>A798/4</x:f>
        <x:v>198.75</x:v>
      </x:c>
      <x:c r="D798" s="8" t="n">
        <x:f>IF(MOD(A798,4)=0,1,0)</x:f>
        <x:v>0</x:v>
      </x:c>
      <x:c r="E798" s="8" t="n">
        <x:f>IF(AND(F797&lt;=9,AS797&gt;=AR797),1,0)</x:f>
        <x:v>0</x:v>
      </x:c>
      <x:c r="F798" s="8" t="n">
        <x:f>MIN(10,F797+E798)</x:f>
        <x:v>3</x:v>
      </x:c>
      <x:c r="G798" s="8" t="n">
        <x:f>MIN(F798,9)+1</x:f>
        <x:v>4</x:v>
      </x:c>
      <x:c r="H798" s="8" t="n">
        <x:f>IF(F798&lt;=9,1,0)</x:f>
        <x:v>1</x:v>
      </x:c>
      <x:c r="I798" s="9" t="n">
        <x:f>MIN(10,F797+IF(AR797&gt;0,MIN(1,AS797/AR797),1))</x:f>
        <x:v>3.3627331936254197</x:v>
      </x:c>
      <x:c r="J798" s="32" t="n">
        <x:f>INDEX(v01_FoodCap,G798)*Arch_FoodCap*EXP(v01_CapsByProject*SUMPRODUCT((Cap_Point&lt;=I798)*(Cap_Kind="Food")*Cap_Ln))</x:f>
        <x:v>120</x:v>
      </x:c>
      <x:c r="K798" s="32" t="n">
        <x:f>J798*MIN(1,v01_LeanBase*EXP(v01_CapsByProject*SUMPRODUCT((Cap_Point&lt;=I798)*(Cap_Kind="Lean")*Cap_Ln)))</x:f>
        <x:v>120</x:v>
      </x:c>
      <x:c r="L798" s="10" t="n">
        <x:f>INDEX(v01_HousingCap,G798)*EXP(v01_CapsByProject*SUMPRODUCT((Cap_Point&lt;=I798)*(Cap_Kind="Housing")*Cap_Ln))</x:f>
        <x:v>200</x:v>
      </x:c>
      <x:c r="M798" s="10" t="n">
        <x:f>INDEX(v01_GroupCap,G798)*v01_CohesionFactor*EXP(v01_CapsByProject*SUMPRODUCT((Cap_Point&lt;=I798)*(Cap_Kind="Group")*Cap_Ln))</x:f>
        <x:v>5000</x:v>
      </x:c>
      <x:c r="N798" s="32" t="n">
        <x:f>MIN(J798,L798,M798)</x:f>
        <x:v>120</x:v>
      </x:c>
      <x:c r="O798" s="10" t="n">
        <x:f>AE797*N798</x:f>
        <x:v>840</x:v>
      </x:c>
      <x:c r="P798" s="9" t="n">
        <x:f>MIN(1,(AB797/(AE797*IF(v01_GroupInCrowding=1,N798,MIN(J798,L798))))^v01_CrowdingExp)</x:f>
        <x:v>0.22903550103834036</x:v>
      </x:c>
      <x:c r="Q798" s="9" t="n">
        <x:f>IF(D798=1,INDEX(v01_WinterMult,G798),1)</x:f>
        <x:v>1</x:v>
      </x:c>
      <x:c r="R798" s="9" t="n">
        <x:f>H798*Z797*v01_WomenShare*v01_BaseFertility*INDEX(v01_FertMult,G798)*Arch_Fertility*(1-P798)</x:f>
        <x:v>8.40870378212148</x:v>
      </x:c>
      <x:c r="S798" s="9" t="n">
        <x:f>H798*Y797*INDEX(v01_MortChild,G798)/4*Q798</x:f>
        <x:v>2.1557169412259327</x:v>
      </x:c>
      <x:c r="T798" s="9" t="n">
        <x:f>H798*Z797*INDEX(v01_MortAdult,G798)*Arch_AdultMort/4*Q798</x:f>
        <x:v>0.7690644917279039</x:v>
      </x:c>
      <x:c r="U798" s="9" t="n">
        <x:f>H798*AA797*INDEX(v01_MortElder,G798)/4*Q798</x:f>
        <x:v>1.4618213059730356</x:v>
      </x:c>
      <x:c r="V798" s="9" t="n">
        <x:f>H798*MAX(0,AB797-O798)*v01_OvercapLoss</x:f>
        <x:v>0</x:v>
      </x:c>
      <x:c r="W798" s="9" t="n">
        <x:f>H798*Y797/(v01_ChildYears*4)</x:f>
        <x:v>5.132659383871269</x:v>
      </x:c>
      <x:c r="X798" s="9" t="n">
        <x:f>H798*Z797/(v01_AdultYears*4)</x:f>
        <x:v>2.2553210901111553</x:v>
      </x:c>
      <x:c r="Y798" s="32" t="n">
        <x:f>Y797+R798-S798-W798-Y797*V798/AB797</x:f>
        <x:v>288.54925295381537</x:v>
      </x:c>
      <x:c r="Z798" s="32" t="n">
        <x:f>Z797+W798-X798-T798-Z797*V798/AB797</x:f>
        <x:v>281.76808897581543</x:v>
      </x:c>
      <x:c r="AA798" s="32" t="n">
        <x:f>AA797+X798-U798-AA797*V798/AB797</x:f>
        <x:v>90.75173399786338</x:v>
      </x:c>
      <x:c r="AB798" s="10" t="n">
        <x:f>Y798+Z798+AA798</x:f>
        <x:v>661.0690759274943</x:v>
      </x:c>
      <x:c r="AC798" s="8" t="n">
        <x:f>IF(AND(v01_WinterTrigger=1,D798=1,AB797/AE797&gt;=K798),1,0)</x:f>
        <x:v>0</x:v>
      </x:c>
      <x:c r="AD798" s="8" t="n">
        <x:f>H798*IF(AND(OR(AB797/AE797&gt;=v01_FissionTrigger*N798,AC798=1),AB797/AE797*v01_DaughterShare&gt;=v01_MinDaughter),MAX(1,ROUND(AE797*v01_FissionRate,0)),0)</x:f>
        <x:v>0</x:v>
      </x:c>
      <x:c r="AE798" s="8" t="n">
        <x:f>IF(H798=1,MAX(1,MIN(INDEX(v01_Smax,G798),AE797+AD798)),AE797)</x:f>
        <x:v>7</x:v>
      </x:c>
      <x:c r="AF798" s="8" t="n">
        <x:f>MAX(0,AE798-AE797)</x:f>
        <x:v>0</x:v>
      </x:c>
      <x:c r="AG798" s="9" t="str">
        <x:f>IF(AF798&gt;0,B798,"")</x:f>
      </x:c>
      <x:c r="AH798" s="9" t="n">
        <x:f>IF(F798&gt;=1,1,(1+v01_LowTiesShare*(AE798-1))/AE798)</x:f>
        <x:v>1</x:v>
      </x:c>
      <x:c r="AI798" s="32" t="n">
        <x:f>(Z798+v01_ElderCommons*INDEX(LM_Elder,G798)*AA798)*AH798</x:f>
        <x:v>554.0232909694056</x:v>
      </x:c>
      <x:c r="AJ798" s="32" t="n">
        <x:f>H798*v01_CommonsCoef*AI798^v01_CommonsExp*INDEX(LM_Commons,G798)</x:f>
        <x:v>141.75642590793814</x:v>
      </x:c>
      <x:c r="AK798" s="32" t="n">
        <x:f>H798*v01_RoleScale*Arch_Roles*(AE798*(INDEX(v01_ElderRolePerSett,G798)*v01_OutElder*INDEX(LM_Elder,G798)+INDEX(v01_ShamanPerSett,G798)*v01_OutShaman)+Z798*(INDEX(v01_PriestShare,G798)*v01_OutPriest+INDEX(v01_ScribeShare,G798)*v01_OutScribe*INDEX(LM_Scribe,G798)+INDEX(v01_ScholarShare,G798)*v01_OutScholar*INDEX(LM_Scholar,G798)+INDEX(v01_ResearcherShare,G798)*v01_OutResearcher*INDEX(LM_Researcher,G798)))</x:f>
        <x:v>22.97237662283071</x:v>
      </x:c>
      <x:c r="AL798" s="32" t="n">
        <x:f>H798*v01_RoleScale*Arch_Roles*AE798*INDEX(v01_MonasteryPerSett,G798)*v01_OutMonastery*INDEX(LM_Monastery,G798)</x:f>
        <x:v>0</x:v>
      </x:c>
      <x:c r="AM798" s="32" t="n">
        <x:f>(AJ798+AK798+AL798)/4*INDEX(LM_All,G798)*INDEX(v01_Boon,G798)*Arch_Insight</x:f>
        <x:v>44.348725778215304</x:v>
      </x:c>
      <x:c r="AN798" s="32" t="n">
        <x:f>H798*(v01_KHPerAdult*Z798+v01_KHOfCommons*AJ798/4*INDEX(LM_All,G798))*v01_KHUsable*Arch_KH</x:f>
        <x:v>9.86188311415354</x:v>
      </x:c>
      <x:c r="AO798" s="32" t="n">
        <x:f>MIN(AP797+AN798,AM798*v01_KHMaxRatio)</x:f>
        <x:v>9.86188311415354</x:v>
      </x:c>
      <x:c r="AP798" s="32" t="n">
        <x:f>AP797+AN798-AO798</x:f>
        <x:v>0</x:v>
      </x:c>
      <x:c r="AQ798" s="32" t="n">
        <x:f>AM798+AO798</x:f>
        <x:v>54.210608892368846</x:v>
      </x:c>
      <x:c r="AR798" s="10" t="n">
        <x:f>IF(H798=1,INDEX(v01_Req,G798),0)</x:f>
        <x:v>9805.661999999998</x:v>
      </x:c>
      <x:c r="AS798" s="32" t="n">
        <x:f>IF(H798=1,IF(E798=1,AS797-AR797,AS797)+AQ798,0)</x:f>
        <x:v>3611.0497017637886</x:v>
      </x:c>
      <x:c r="AT798" s="11" t="n">
        <x:f>IF(AR798&gt;0,MIN(1,AS798/AR798),1)</x:f>
        <x:v>0.3682616942908892</x:v>
      </x:c>
      <x:c r="AU798" s="10" t="n">
        <x:f>AB798/INDEX(v01_RepScale,G798)</x:f>
        <x:v>132.21381518549885</x:v>
      </x:c>
      <x:c r="AV798" s="32" t="n">
        <x:f>AM798*60/v01_SeasonSeconds</x:f>
        <x:v>177.39490311286121</x:v>
      </x:c>
    </x:row>
    <x:row r="799">
      <x:c r="A799" s="8" t="n">
        <x:f>A798+1</x:f>
        <x:v>796</x:v>
      </x:c>
      <x:c r="B799" s="9" t="n">
        <x:f>A799*v01_SeasonSeconds/60</x:f>
        <x:v>199</x:v>
      </x:c>
      <x:c r="C799" s="9" t="n">
        <x:f>A799/4</x:f>
        <x:v>199</x:v>
      </x:c>
      <x:c r="D799" s="8" t="n">
        <x:f>IF(MOD(A799,4)=0,1,0)</x:f>
        <x:v>1</x:v>
      </x:c>
      <x:c r="E799" s="8" t="n">
        <x:f>IF(AND(F798&lt;=9,AS798&gt;=AR798),1,0)</x:f>
        <x:v>0</x:v>
      </x:c>
      <x:c r="F799" s="8" t="n">
        <x:f>MIN(10,F798+E799)</x:f>
        <x:v>3</x:v>
      </x:c>
      <x:c r="G799" s="8" t="n">
        <x:f>MIN(F799,9)+1</x:f>
        <x:v>4</x:v>
      </x:c>
      <x:c r="H799" s="8" t="n">
        <x:f>IF(F799&lt;=9,1,0)</x:f>
        <x:v>1</x:v>
      </x:c>
      <x:c r="I799" s="9" t="n">
        <x:f>MIN(10,F798+IF(AR798&gt;0,MIN(1,AS798/AR798),1))</x:f>
        <x:v>3.368261694290889</x:v>
      </x:c>
      <x:c r="J799" s="32" t="n">
        <x:f>INDEX(v01_FoodCap,G799)*Arch_FoodCap*EXP(v01_CapsByProject*SUMPRODUCT((Cap_Point&lt;=I799)*(Cap_Kind="Food")*Cap_Ln))</x:f>
        <x:v>120</x:v>
      </x:c>
      <x:c r="K799" s="32" t="n">
        <x:f>J799*MIN(1,v01_LeanBase*EXP(v01_CapsByProject*SUMPRODUCT((Cap_Point&lt;=I799)*(Cap_Kind="Lean")*Cap_Ln)))</x:f>
        <x:v>120</x:v>
      </x:c>
      <x:c r="L799" s="10" t="n">
        <x:f>INDEX(v01_HousingCap,G799)*EXP(v01_CapsByProject*SUMPRODUCT((Cap_Point&lt;=I799)*(Cap_Kind="Housing")*Cap_Ln))</x:f>
        <x:v>200</x:v>
      </x:c>
      <x:c r="M799" s="10" t="n">
        <x:f>INDEX(v01_GroupCap,G799)*v01_CohesionFactor*EXP(v01_CapsByProject*SUMPRODUCT((Cap_Point&lt;=I799)*(Cap_Kind="Group")*Cap_Ln))</x:f>
        <x:v>5000</x:v>
      </x:c>
      <x:c r="N799" s="32" t="n">
        <x:f>MIN(J799,L799,M799)</x:f>
        <x:v>120</x:v>
      </x:c>
      <x:c r="O799" s="10" t="n">
        <x:f>AE798*N799</x:f>
        <x:v>840</x:v>
      </x:c>
      <x:c r="P799" s="9" t="n">
        <x:f>MIN(1,(AB798/(AE798*IF(v01_GroupInCrowding=1,N799,MIN(J799,L799))))^v01_CrowdingExp)</x:f>
        <x:v>0.23757751454713538</x:v>
      </x:c>
      <x:c r="Q799" s="9" t="n">
        <x:f>IF(D799=1,INDEX(v01_WinterMult,G799),1)</x:f>
        <x:v>1.15</x:v>
      </x:c>
      <x:c r="R799" s="9" t="n">
        <x:f>H799*Z798*v01_WomenShare*v01_BaseFertility*INDEX(v01_FertMult,G799)*Arch_Fertility*(1-P799)</x:f>
        <x:v>8.37822674201156</x:v>
      </x:c>
      <x:c r="S799" s="9" t="n">
        <x:f>H799*Y798*INDEX(v01_MortChild,G799)/4*Q799</x:f>
        <x:v>2.4887373067266574</x:v>
      </x:c>
      <x:c r="T799" s="9" t="n">
        <x:f>H799*Z798*INDEX(v01_MortAdult,G799)*Arch_AdultMort/4*Q799</x:f>
        <x:v>0.8910915813860162</x:v>
      </x:c>
      <x:c r="U799" s="9" t="n">
        <x:f>H799*AA798*INDEX(v01_MortElder,G799)/4*Q799</x:f>
        <x:v>1.695923029085072</x:v>
      </x:c>
      <x:c r="V799" s="9" t="n">
        <x:f>H799*MAX(0,AB798-O799)*v01_OvercapLoss</x:f>
        <x:v>0</x:v>
      </x:c>
      <x:c r="W799" s="9" t="n">
        <x:f>H799*Y798/(v01_ChildYears*4)</x:f>
        <x:v>5.152665231318132</x:v>
      </x:c>
      <x:c r="X799" s="9" t="n">
        <x:f>H799*Z798/(v01_AdultYears*4)</x:f>
        <x:v>2.27232329819206</x:v>
      </x:c>
      <x:c r="Y799" s="32" t="n">
        <x:f>Y798+R799-S799-W799-Y798*V799/AB798</x:f>
        <x:v>289.2860771577822</x:v>
      </x:c>
      <x:c r="Z799" s="32" t="n">
        <x:f>Z798+W799-X799-T799-Z798*V799/AB798</x:f>
        <x:v>283.7573393275554</x:v>
      </x:c>
      <x:c r="AA799" s="32" t="n">
        <x:f>AA798+X799-U799-AA798*V799/AB798</x:f>
        <x:v>91.32813426697038</x:v>
      </x:c>
      <x:c r="AB799" s="10" t="n">
        <x:f>Y799+Z799+AA799</x:f>
        <x:v>664.3715507523079</x:v>
      </x:c>
      <x:c r="AC799" s="8" t="n">
        <x:f>IF(AND(v01_WinterTrigger=1,D799=1,AB798/AE798&gt;=K799),1,0)</x:f>
        <x:v>0</x:v>
      </x:c>
      <x:c r="AD799" s="8" t="n">
        <x:f>H799*IF(AND(OR(AB798/AE798&gt;=v01_FissionTrigger*N799,AC799=1),AB798/AE798*v01_DaughterShare&gt;=v01_MinDaughter),MAX(1,ROUND(AE798*v01_FissionRate,0)),0)</x:f>
        <x:v>0</x:v>
      </x:c>
      <x:c r="AE799" s="8" t="n">
        <x:f>IF(H799=1,MAX(1,MIN(INDEX(v01_Smax,G799),AE798+AD799)),AE798)</x:f>
        <x:v>7</x:v>
      </x:c>
      <x:c r="AF799" s="8" t="n">
        <x:f>MAX(0,AE799-AE798)</x:f>
        <x:v>0</x:v>
      </x:c>
      <x:c r="AG799" s="9" t="str">
        <x:f>IF(AF799&gt;0,B799,"")</x:f>
      </x:c>
      <x:c r="AH799" s="9" t="n">
        <x:f>IF(F799&gt;=1,1,(1+v01_LowTiesShare*(AE799-1))/AE799)</x:f>
        <x:v>1</x:v>
      </x:c>
      <x:c r="AI799" s="32" t="n">
        <x:f>(Z799+v01_ElderCommons*INDEX(LM_Elder,G799)*AA799)*AH799</x:f>
        <x:v>557.7417421284665</x:v>
      </x:c>
      <x:c r="AJ799" s="32" t="n">
        <x:f>H799*v01_CommonsCoef*AI799^v01_CommonsExp*INDEX(LM_Commons,G799)</x:f>
        <x:v>142.56473530955648</x:v>
      </x:c>
      <x:c r="AK799" s="32" t="n">
        <x:f>H799*v01_RoleScale*Arch_Roles*(AE799*(INDEX(v01_ElderRolePerSett,G799)*v01_OutElder*INDEX(LM_Elder,G799)+INDEX(v01_ShamanPerSett,G799)*v01_OutShaman)+Z799*(INDEX(v01_PriestShare,G799)*v01_OutPriest+INDEX(v01_ScribeShare,G799)*v01_OutScribe*INDEX(LM_Scribe,G799)+INDEX(v01_ScholarShare,G799)*v01_OutScholar*INDEX(LM_Scholar,G799)+INDEX(v01_ResearcherShare,G799)*v01_OutResearcher*INDEX(LM_Researcher,G799)))</x:f>
        <x:v>22.98630137529289</x:v>
      </x:c>
      <x:c r="AL799" s="32" t="n">
        <x:f>H799*v01_RoleScale*Arch_Roles*AE799*INDEX(v01_MonasteryPerSett,G799)*v01_OutMonastery*INDEX(LM_Monastery,G799)</x:f>
        <x:v>0</x:v>
      </x:c>
      <x:c r="AM799" s="32" t="n">
        <x:f>(AJ799+AK799+AL799)/4*INDEX(LM_All,G799)*INDEX(v01_Boon,G799)*Arch_Insight</x:f>
        <x:v>44.57008984123633</x:v>
      </x:c>
      <x:c r="AN799" s="32" t="n">
        <x:f>H799*(v01_KHPerAdult*Z799+v01_KHOfCommons*AJ799/4*INDEX(LM_All,G799))*v01_KHUsable*Arch_KH</x:f>
        <x:v>9.93150687646444</x:v>
      </x:c>
      <x:c r="AO799" s="32" t="n">
        <x:f>MIN(AP798+AN799,AM799*v01_KHMaxRatio)</x:f>
        <x:v>9.93150687646444</x:v>
      </x:c>
      <x:c r="AP799" s="32" t="n">
        <x:f>AP798+AN799-AO799</x:f>
        <x:v>0</x:v>
      </x:c>
      <x:c r="AQ799" s="32" t="n">
        <x:f>AM799+AO799</x:f>
        <x:v>54.50159671770077</x:v>
      </x:c>
      <x:c r="AR799" s="10" t="n">
        <x:f>IF(H799=1,INDEX(v01_Req,G799),0)</x:f>
        <x:v>9805.661999999998</x:v>
      </x:c>
      <x:c r="AS799" s="32" t="n">
        <x:f>IF(H799=1,IF(E799=1,AS798-AR798,AS798)+AQ799,0)</x:f>
        <x:v>3665.5512984814895</x:v>
      </x:c>
      <x:c r="AT799" s="11" t="n">
        <x:f>IF(AR799&gt;0,MIN(1,AS799/AR799),1)</x:f>
        <x:v>0.37381987044643084</x:v>
      </x:c>
      <x:c r="AU799" s="10" t="n">
        <x:f>AB799/INDEX(v01_RepScale,G799)</x:f>
        <x:v>132.87431015046158</x:v>
      </x:c>
      <x:c r="AV799" s="32" t="n">
        <x:f>AM799*60/v01_SeasonSeconds</x:f>
        <x:v>178.28035936494533</x:v>
      </x:c>
    </x:row>
    <x:row r="800">
      <x:c r="A800" s="8" t="n">
        <x:f>A799+1</x:f>
        <x:v>797</x:v>
      </x:c>
      <x:c r="B800" s="9" t="n">
        <x:f>A800*v01_SeasonSeconds/60</x:f>
        <x:v>199.25</x:v>
      </x:c>
      <x:c r="C800" s="9" t="n">
        <x:f>A800/4</x:f>
        <x:v>199.25</x:v>
      </x:c>
      <x:c r="D800" s="8" t="n">
        <x:f>IF(MOD(A800,4)=0,1,0)</x:f>
        <x:v>0</x:v>
      </x:c>
      <x:c r="E800" s="8" t="n">
        <x:f>IF(AND(F799&lt;=9,AS799&gt;=AR799),1,0)</x:f>
        <x:v>0</x:v>
      </x:c>
      <x:c r="F800" s="8" t="n">
        <x:f>MIN(10,F799+E800)</x:f>
        <x:v>3</x:v>
      </x:c>
      <x:c r="G800" s="8" t="n">
        <x:f>MIN(F800,9)+1</x:f>
        <x:v>4</x:v>
      </x:c>
      <x:c r="H800" s="8" t="n">
        <x:f>IF(F800&lt;=9,1,0)</x:f>
        <x:v>1</x:v>
      </x:c>
      <x:c r="I800" s="9" t="n">
        <x:f>MIN(10,F799+IF(AR799&gt;0,MIN(1,AS799/AR799),1))</x:f>
        <x:v>3.3738198704464306</x:v>
      </x:c>
      <x:c r="J800" s="32" t="n">
        <x:f>INDEX(v01_FoodCap,G800)*Arch_FoodCap*EXP(v01_CapsByProject*SUMPRODUCT((Cap_Point&lt;=I800)*(Cap_Kind="Food")*Cap_Ln))</x:f>
        <x:v>120</x:v>
      </x:c>
      <x:c r="K800" s="32" t="n">
        <x:f>J800*MIN(1,v01_LeanBase*EXP(v01_CapsByProject*SUMPRODUCT((Cap_Point&lt;=I800)*(Cap_Kind="Lean")*Cap_Ln)))</x:f>
        <x:v>120</x:v>
      </x:c>
      <x:c r="L800" s="10" t="n">
        <x:f>INDEX(v01_HousingCap,G800)*EXP(v01_CapsByProject*SUMPRODUCT((Cap_Point&lt;=I800)*(Cap_Kind="Housing")*Cap_Ln))</x:f>
        <x:v>200</x:v>
      </x:c>
      <x:c r="M800" s="10" t="n">
        <x:f>INDEX(v01_GroupCap,G800)*v01_CohesionFactor*EXP(v01_CapsByProject*SUMPRODUCT((Cap_Point&lt;=I800)*(Cap_Kind="Group")*Cap_Ln))</x:f>
        <x:v>5000</x:v>
      </x:c>
      <x:c r="N800" s="32" t="n">
        <x:f>MIN(J800,L800,M800)</x:f>
        <x:v>120</x:v>
      </x:c>
      <x:c r="O800" s="10" t="n">
        <x:f>AE799*N800</x:f>
        <x:v>840</x:v>
      </x:c>
      <x:c r="P800" s="9" t="n">
        <x:f>MIN(1,(AB799/(AE799*IF(v01_GroupInCrowding=1,N800,MIN(J800,L800))))^v01_CrowdingExp)</x:f>
        <x:v>0.2447881817103985</x:v>
      </x:c>
      <x:c r="Q800" s="9" t="n">
        <x:f>IF(D800=1,INDEX(v01_WinterMult,G800),1)</x:f>
        <x:v>1</x:v>
      </x:c>
      <x:c r="R800" s="9" t="n">
        <x:f>H800*Z799*v01_WomenShare*v01_BaseFertility*INDEX(v01_FertMult,G800)*Arch_Fertility*(1-P800)</x:f>
        <x:v>8.35757895127672</x:v>
      </x:c>
      <x:c r="S800" s="9" t="n">
        <x:f>H800*Y799*INDEX(v01_MortChild,G800)/4*Q800</x:f>
        <x:v>2.169645578683366</x:v>
      </x:c>
      <x:c r="T800" s="9" t="n">
        <x:f>H800*Z799*INDEX(v01_MortAdult,G800)*Arch_AdultMort/4*Q800</x:f>
        <x:v>0.7803326831507774</x:v>
      </x:c>
      <x:c r="U800" s="9" t="n">
        <x:f>H800*AA799*INDEX(v01_MortElder,G800)/4*Q800</x:f>
        <x:v>1.4840821818382688</x:v>
      </x:c>
      <x:c r="V800" s="9" t="n">
        <x:f>H800*MAX(0,AB799-O800)*v01_OvercapLoss</x:f>
        <x:v>0</x:v>
      </x:c>
      <x:c r="W800" s="9" t="n">
        <x:f>H800*Y799/(v01_ChildYears*4)</x:f>
        <x:v>5.1658228063889675</x:v>
      </x:c>
      <x:c r="X800" s="9" t="n">
        <x:f>H800*Z799/(v01_AdultYears*4)</x:f>
        <x:v>2.28836563973835</x:v>
      </x:c>
      <x:c r="Y800" s="32" t="n">
        <x:f>Y799+R800-S800-W800-Y799*V800/AB799</x:f>
        <x:v>290.3081877239866</x:v>
      </x:c>
      <x:c r="Z800" s="32" t="n">
        <x:f>Z799+W800-X800-T800-Z799*V800/AB799</x:f>
        <x:v>285.85446381105527</x:v>
      </x:c>
      <x:c r="AA800" s="32" t="n">
        <x:f>AA799+X800-U800-AA799*V800/AB799</x:f>
        <x:v>92.13241772487045</x:v>
      </x:c>
      <x:c r="AB800" s="10" t="n">
        <x:f>Y800+Z800+AA800</x:f>
        <x:v>668.2950692599123</x:v>
      </x:c>
      <x:c r="AC800" s="8" t="n">
        <x:f>IF(AND(v01_WinterTrigger=1,D800=1,AB799/AE799&gt;=K800),1,0)</x:f>
        <x:v>0</x:v>
      </x:c>
      <x:c r="AD800" s="8" t="n">
        <x:f>H800*IF(AND(OR(AB799/AE799&gt;=v01_FissionTrigger*N800,AC800=1),AB799/AE799*v01_DaughterShare&gt;=v01_MinDaughter),MAX(1,ROUND(AE799*v01_FissionRate,0)),0)</x:f>
        <x:v>0</x:v>
      </x:c>
      <x:c r="AE800" s="8" t="n">
        <x:f>IF(H800=1,MAX(1,MIN(INDEX(v01_Smax,G800),AE799+AD800)),AE799)</x:f>
        <x:v>7</x:v>
      </x:c>
      <x:c r="AF800" s="8" t="n">
        <x:f>MAX(0,AE800-AE799)</x:f>
        <x:v>0</x:v>
      </x:c>
      <x:c r="AG800" s="9" t="str">
        <x:f>IF(AF800&gt;0,B800,"")</x:f>
      </x:c>
      <x:c r="AH800" s="9" t="n">
        <x:f>IF(F800&gt;=1,1,(1+v01_LowTiesShare*(AE800-1))/AE800)</x:f>
        <x:v>1</x:v>
      </x:c>
      <x:c r="AI800" s="32" t="n">
        <x:f>(Z800+v01_ElderCommons*INDEX(LM_Elder,G800)*AA800)*AH800</x:f>
        <x:v>562.2517169856667</x:v>
      </x:c>
      <x:c r="AJ800" s="32" t="n">
        <x:f>H800*v01_CommonsCoef*AI800^v01_CommonsExp*INDEX(LM_Commons,G800)</x:f>
        <x:v>143.54402089244084</x:v>
      </x:c>
      <x:c r="AK800" s="32" t="n">
        <x:f>H800*v01_RoleScale*Arch_Roles*(AE800*(INDEX(v01_ElderRolePerSett,G800)*v01_OutElder*INDEX(LM_Elder,G800)+INDEX(v01_ShamanPerSett,G800)*v01_OutShaman)+Z800*(INDEX(v01_PriestShare,G800)*v01_OutPriest+INDEX(v01_ScribeShare,G800)*v01_OutScribe*INDEX(LM_Scribe,G800)+INDEX(v01_ScholarShare,G800)*v01_OutScholar*INDEX(LM_Scholar,G800)+INDEX(v01_ResearcherShare,G800)*v01_OutResearcher*INDEX(LM_Researcher,G800)))</x:f>
        <x:v>23.000981246677387</x:v>
      </x:c>
      <x:c r="AL800" s="32" t="n">
        <x:f>H800*v01_RoleScale*Arch_Roles*AE800*INDEX(v01_MonasteryPerSett,G800)*v01_OutMonastery*INDEX(LM_Monastery,G800)</x:f>
        <x:v>0</x:v>
      </x:c>
      <x:c r="AM800" s="32" t="n">
        <x:f>(AJ800+AK800+AL800)/4*INDEX(LM_All,G800)*INDEX(v01_Boon,G800)*Arch_Insight</x:f>
        <x:v>44.83768786105533</x:v>
      </x:c>
      <x:c r="AN800" s="32" t="n">
        <x:f>H800*(v01_KHPerAdult*Z800+v01_KHOfCommons*AJ800/4*INDEX(LM_All,G800))*v01_KHUsable*Arch_KH</x:f>
        <x:v>10.004906233386933</x:v>
      </x:c>
      <x:c r="AO800" s="32" t="n">
        <x:f>MIN(AP799+AN800,AM800*v01_KHMaxRatio)</x:f>
        <x:v>10.004906233386933</x:v>
      </x:c>
      <x:c r="AP800" s="32" t="n">
        <x:f>AP799+AN800-AO800</x:f>
        <x:v>0</x:v>
      </x:c>
      <x:c r="AQ800" s="32" t="n">
        <x:f>AM800+AO800</x:f>
        <x:v>54.84259409444226</x:v>
      </x:c>
      <x:c r="AR800" s="10" t="n">
        <x:f>IF(H800=1,INDEX(v01_Req,G800),0)</x:f>
        <x:v>9805.661999999998</x:v>
      </x:c>
      <x:c r="AS800" s="32" t="n">
        <x:f>IF(H800=1,IF(E800=1,AS799-AR799,AS799)+AQ800,0)</x:f>
        <x:v>3720.3938925759317</x:v>
      </x:c>
      <x:c r="AT800" s="11" t="n">
        <x:f>IF(AR800&gt;0,MIN(1,AS800/AR800),1)</x:f>
        <x:v>0.3794128221609038</x:v>
      </x:c>
      <x:c r="AU800" s="10" t="n">
        <x:f>AB800/INDEX(v01_RepScale,G800)</x:f>
        <x:v>133.65901385198248</x:v>
      </x:c>
      <x:c r="AV800" s="32" t="n">
        <x:f>AM800*60/v01_SeasonSeconds</x:f>
        <x:v>179.35075144422132</x:v>
      </x:c>
    </x:row>
    <x:row r="801">
      <x:c r="A801" s="8" t="n">
        <x:f>A800+1</x:f>
        <x:v>798</x:v>
      </x:c>
      <x:c r="B801" s="9" t="n">
        <x:f>A801*v01_SeasonSeconds/60</x:f>
        <x:v>199.5</x:v>
      </x:c>
      <x:c r="C801" s="9" t="n">
        <x:f>A801/4</x:f>
        <x:v>199.5</x:v>
      </x:c>
      <x:c r="D801" s="8" t="n">
        <x:f>IF(MOD(A801,4)=0,1,0)</x:f>
        <x:v>0</x:v>
      </x:c>
      <x:c r="E801" s="8" t="n">
        <x:f>IF(AND(F800&lt;=9,AS800&gt;=AR800),1,0)</x:f>
        <x:v>0</x:v>
      </x:c>
      <x:c r="F801" s="8" t="n">
        <x:f>MIN(10,F800+E801)</x:f>
        <x:v>3</x:v>
      </x:c>
      <x:c r="G801" s="8" t="n">
        <x:f>MIN(F801,9)+1</x:f>
        <x:v>4</x:v>
      </x:c>
      <x:c r="H801" s="8" t="n">
        <x:f>IF(F801&lt;=9,1,0)</x:f>
        <x:v>1</x:v>
      </x:c>
      <x:c r="I801" s="9" t="n">
        <x:f>MIN(10,F800+IF(AR800&gt;0,MIN(1,AS800/AR800),1))</x:f>
        <x:v>3.3794128221609037</x:v>
      </x:c>
      <x:c r="J801" s="32" t="n">
        <x:f>INDEX(v01_FoodCap,G801)*Arch_FoodCap*EXP(v01_CapsByProject*SUMPRODUCT((Cap_Point&lt;=I801)*(Cap_Kind="Food")*Cap_Ln))</x:f>
        <x:v>120</x:v>
      </x:c>
      <x:c r="K801" s="32" t="n">
        <x:f>J801*MIN(1,v01_LeanBase*EXP(v01_CapsByProject*SUMPRODUCT((Cap_Point&lt;=I801)*(Cap_Kind="Lean")*Cap_Ln)))</x:f>
        <x:v>120</x:v>
      </x:c>
      <x:c r="L801" s="10" t="n">
        <x:f>INDEX(v01_HousingCap,G801)*EXP(v01_CapsByProject*SUMPRODUCT((Cap_Point&lt;=I801)*(Cap_Kind="Housing")*Cap_Ln))</x:f>
        <x:v>200</x:v>
      </x:c>
      <x:c r="M801" s="10" t="n">
        <x:f>INDEX(v01_GroupCap,G801)*v01_CohesionFactor*EXP(v01_CapsByProject*SUMPRODUCT((Cap_Point&lt;=I801)*(Cap_Kind="Group")*Cap_Ln))</x:f>
        <x:v>5000</x:v>
      </x:c>
      <x:c r="N801" s="32" t="n">
        <x:f>MIN(J801,L801,M801)</x:f>
        <x:v>120</x:v>
      </x:c>
      <x:c r="O801" s="10" t="n">
        <x:f>AE800*N801</x:f>
        <x:v>840</x:v>
      </x:c>
      <x:c r="P801" s="9" t="n">
        <x:f>MIN(1,(AB800/(AE800*IF(v01_GroupInCrowding=1,N801,MIN(J801,L801))))^v01_CrowdingExp)</x:f>
        <x:v>0.25359099333532403</x:v>
      </x:c>
      <x:c r="Q801" s="9" t="n">
        <x:f>IF(D801=1,INDEX(v01_WinterMult,G801),1)</x:f>
        <x:v>1</x:v>
      </x:c>
      <x:c r="R801" s="9" t="n">
        <x:f>H801*Z800*v01_WomenShare*v01_BaseFertility*INDEX(v01_FertMult,G801)*Arch_Fertility*(1-P801)</x:f>
        <x:v>8.32120950897106</x:v>
      </x:c>
      <x:c r="S801" s="9" t="n">
        <x:f>H801*Y800*INDEX(v01_MortChild,G801)/4*Q801</x:f>
        <x:v>2.177311407929899</x:v>
      </x:c>
      <x:c r="T801" s="9" t="n">
        <x:f>H801*Z800*INDEX(v01_MortAdult,G801)*Arch_AdultMort/4*Q801</x:f>
        <x:v>0.786099775480402</x:v>
      </x:c>
      <x:c r="U801" s="9" t="n">
        <x:f>H801*AA800*INDEX(v01_MortElder,G801)/4*Q801</x:f>
        <x:v>1.497151788029145</x:v>
      </x:c>
      <x:c r="V801" s="9" t="n">
        <x:f>H801*MAX(0,AB800-O801)*v01_OvercapLoss</x:f>
        <x:v>0</x:v>
      </x:c>
      <x:c r="W801" s="9" t="n">
        <x:f>H801*Y800/(v01_ChildYears*4)</x:f>
        <x:v>5.184074780785474</x:v>
      </x:c>
      <x:c r="X801" s="9" t="n">
        <x:f>H801*Z800/(v01_AdultYears*4)</x:f>
        <x:v>2.3052779339601233</x:v>
      </x:c>
      <x:c r="Y801" s="32" t="n">
        <x:f>Y800+R801-S801-W801-Y800*V801/AB800</x:f>
        <x:v>291.26801104424226</x:v>
      </x:c>
      <x:c r="Z801" s="32" t="n">
        <x:f>Z800+W801-X801-T801-Z800*V801/AB800</x:f>
        <x:v>287.9471608824002</x:v>
      </x:c>
      <x:c r="AA801" s="32" t="n">
        <x:f>AA800+X801-U801-AA800*V801/AB800</x:f>
        <x:v>92.94054387080143</x:v>
      </x:c>
      <x:c r="AB801" s="10" t="n">
        <x:f>Y801+Z801+AA801</x:f>
        <x:v>672.1557157974439</x:v>
      </x:c>
      <x:c r="AC801" s="8" t="n">
        <x:f>IF(AND(v01_WinterTrigger=1,D801=1,AB800/AE800&gt;=K801),1,0)</x:f>
        <x:v>0</x:v>
      </x:c>
      <x:c r="AD801" s="8" t="n">
        <x:f>H801*IF(AND(OR(AB800/AE800&gt;=v01_FissionTrigger*N801,AC801=1),AB800/AE800*v01_DaughterShare&gt;=v01_MinDaughter),MAX(1,ROUND(AE800*v01_FissionRate,0)),0)</x:f>
        <x:v>0</x:v>
      </x:c>
      <x:c r="AE801" s="8" t="n">
        <x:f>IF(H801=1,MAX(1,MIN(INDEX(v01_Smax,G801),AE800+AD801)),AE800)</x:f>
        <x:v>7</x:v>
      </x:c>
      <x:c r="AF801" s="8" t="n">
        <x:f>MAX(0,AE801-AE800)</x:f>
        <x:v>0</x:v>
      </x:c>
      <x:c r="AG801" s="9" t="str">
        <x:f>IF(AF801&gt;0,B801,"")</x:f>
      </x:c>
      <x:c r="AH801" s="9" t="n">
        <x:f>IF(F801&gt;=1,1,(1+v01_LowTiesShare*(AE801-1))/AE801)</x:f>
        <x:v>1</x:v>
      </x:c>
      <x:c r="AI801" s="32" t="n">
        <x:f>(Z801+v01_ElderCommons*INDEX(LM_Elder,G801)*AA801)*AH801</x:f>
        <x:v>566.7687924948045</x:v>
      </x:c>
      <x:c r="AJ801" s="32" t="n">
        <x:f>H801*v01_CommonsCoef*AI801^v01_CommonsExp*INDEX(LM_Commons,G801)</x:f>
        <x:v>144.5236679451462</x:v>
      </x:c>
      <x:c r="AK801" s="32" t="n">
        <x:f>H801*v01_RoleScale*Arch_Roles*(AE801*(INDEX(v01_ElderRolePerSett,G801)*v01_OutElder*INDEX(LM_Elder,G801)+INDEX(v01_ShamanPerSett,G801)*v01_OutShaman)+Z801*(INDEX(v01_PriestShare,G801)*v01_OutPriest+INDEX(v01_ScribeShare,G801)*v01_OutScribe*INDEX(LM_Scribe,G801)+INDEX(v01_ScholarShare,G801)*v01_OutScholar*INDEX(LM_Scholar,G801)+INDEX(v01_ResearcherShare,G801)*v01_OutResearcher*INDEX(LM_Researcher,G801)))</x:f>
        <x:v>23.015630126176802</x:v>
      </x:c>
      <x:c r="AL801" s="32" t="n">
        <x:f>H801*v01_RoleScale*Arch_Roles*AE801*INDEX(v01_MonasteryPerSett,G801)*v01_OutMonastery*INDEX(LM_Monastery,G801)</x:f>
        <x:v>0</x:v>
      </x:c>
      <x:c r="AM801" s="32" t="n">
        <x:f>(AJ801+AK801+AL801)/4*INDEX(LM_All,G801)*INDEX(v01_Boon,G801)*Arch_Insight</x:f>
        <x:v>45.10537485302206</x:v>
      </x:c>
      <x:c r="AN801" s="32" t="n">
        <x:f>H801*(v01_KHPerAdult*Z801+v01_KHOfCommons*AJ801/4*INDEX(LM_All,G801))*v01_KHUsable*Arch_KH</x:f>
        <x:v>10.078150630884007</x:v>
      </x:c>
      <x:c r="AO801" s="32" t="n">
        <x:f>MIN(AP800+AN801,AM801*v01_KHMaxRatio)</x:f>
        <x:v>10.078150630884007</x:v>
      </x:c>
      <x:c r="AP801" s="32" t="n">
        <x:f>AP800+AN801-AO801</x:f>
        <x:v>0</x:v>
      </x:c>
      <x:c r="AQ801" s="32" t="n">
        <x:f>AM801+AO801</x:f>
        <x:v>55.18352548390607</x:v>
      </x:c>
      <x:c r="AR801" s="10" t="n">
        <x:f>IF(H801=1,INDEX(v01_Req,G801),0)</x:f>
        <x:v>9805.661999999998</x:v>
      </x:c>
      <x:c r="AS801" s="32" t="n">
        <x:f>IF(H801=1,IF(E801=1,AS800-AR800,AS800)+AQ801,0)</x:f>
        <x:v>3775.577418059838</x:v>
      </x:c>
      <x:c r="AT801" s="11" t="n">
        <x:f>IF(AR801&gt;0,MIN(1,AS801/AR801),1)</x:f>
        <x:v>0.38504054270480037</x:v>
      </x:c>
      <x:c r="AU801" s="10" t="n">
        <x:f>AB801/INDEX(v01_RepScale,G801)</x:f>
        <x:v>134.43114315948878</x:v>
      </x:c>
      <x:c r="AV801" s="32" t="n">
        <x:f>AM801*60/v01_SeasonSeconds</x:f>
        <x:v>180.42149941208825</x:v>
      </x:c>
    </x:row>
    <x:row r="802">
      <x:c r="A802" s="8" t="n">
        <x:f>A801+1</x:f>
        <x:v>799</x:v>
      </x:c>
      <x:c r="B802" s="9" t="n">
        <x:f>A802*v01_SeasonSeconds/60</x:f>
        <x:v>199.75</x:v>
      </x:c>
      <x:c r="C802" s="9" t="n">
        <x:f>A802/4</x:f>
        <x:v>199.75</x:v>
      </x:c>
      <x:c r="D802" s="8" t="n">
        <x:f>IF(MOD(A802,4)=0,1,0)</x:f>
        <x:v>0</x:v>
      </x:c>
      <x:c r="E802" s="8" t="n">
        <x:f>IF(AND(F801&lt;=9,AS801&gt;=AR801),1,0)</x:f>
        <x:v>0</x:v>
      </x:c>
      <x:c r="F802" s="8" t="n">
        <x:f>MIN(10,F801+E802)</x:f>
        <x:v>3</x:v>
      </x:c>
      <x:c r="G802" s="8" t="n">
        <x:f>MIN(F802,9)+1</x:f>
        <x:v>4</x:v>
      </x:c>
      <x:c r="H802" s="8" t="n">
        <x:f>IF(F802&lt;=9,1,0)</x:f>
        <x:v>1</x:v>
      </x:c>
      <x:c r="I802" s="9" t="n">
        <x:f>MIN(10,F801+IF(AR801&gt;0,MIN(1,AS801/AR801),1))</x:f>
        <x:v>3.3850405427048003</x:v>
      </x:c>
      <x:c r="J802" s="32" t="n">
        <x:f>INDEX(v01_FoodCap,G802)*Arch_FoodCap*EXP(v01_CapsByProject*SUMPRODUCT((Cap_Point&lt;=I802)*(Cap_Kind="Food")*Cap_Ln))</x:f>
        <x:v>120</x:v>
      </x:c>
      <x:c r="K802" s="32" t="n">
        <x:f>J802*MIN(1,v01_LeanBase*EXP(v01_CapsByProject*SUMPRODUCT((Cap_Point&lt;=I802)*(Cap_Kind="Lean")*Cap_Ln)))</x:f>
        <x:v>120</x:v>
      </x:c>
      <x:c r="L802" s="10" t="n">
        <x:f>INDEX(v01_HousingCap,G802)*EXP(v01_CapsByProject*SUMPRODUCT((Cap_Point&lt;=I802)*(Cap_Kind="Housing")*Cap_Ln))</x:f>
        <x:v>200</x:v>
      </x:c>
      <x:c r="M802" s="10" t="n">
        <x:f>INDEX(v01_GroupCap,G802)*v01_CohesionFactor*EXP(v01_CapsByProject*SUMPRODUCT((Cap_Point&lt;=I802)*(Cap_Kind="Group")*Cap_Ln))</x:f>
        <x:v>5000</x:v>
      </x:c>
      <x:c r="N802" s="32" t="n">
        <x:f>MIN(J802,L802,M802)</x:f>
        <x:v>120</x:v>
      </x:c>
      <x:c r="O802" s="10" t="n">
        <x:f>AE801*N802</x:f>
        <x:v>840</x:v>
      </x:c>
      <x:c r="P802" s="9" t="n">
        <x:f>MIN(1,(AB801/(AE801*IF(v01_GroupInCrowding=1,N802,MIN(J802,L802))))^v01_CrowdingExp)</x:f>
        <x:v>0.26250867514562426</x:v>
      </x:c>
      <x:c r="Q802" s="9" t="n">
        <x:f>IF(D802=1,INDEX(v01_WinterMult,G802),1)</x:f>
        <x:v>1</x:v>
      </x:c>
      <x:c r="R802" s="9" t="n">
        <x:f>H802*Z801*v01_WomenShare*v01_BaseFertility*INDEX(v01_FertMult,G802)*Arch_Fertility*(1-P802)</x:f>
        <x:v>8.281982793521479</x:v>
      </x:c>
      <x:c r="S802" s="9" t="n">
        <x:f>H802*Y801*INDEX(v01_MortChild,G802)/4*Q802</x:f>
        <x:v>2.184510082831817</x:v>
      </x:c>
      <x:c r="T802" s="9" t="n">
        <x:f>H802*Z801*INDEX(v01_MortAdult,G802)*Arch_AdultMort/4*Q802</x:f>
        <x:v>0.7918546924266006</x:v>
      </x:c>
      <x:c r="U802" s="9" t="n">
        <x:f>H802*AA801*INDEX(v01_MortElder,G802)/4*Q802</x:f>
        <x:v>1.5102838379005235</x:v>
      </x:c>
      <x:c r="V802" s="9" t="n">
        <x:f>H802*MAX(0,AB801-O802)*v01_OvercapLoss</x:f>
        <x:v>0</x:v>
      </x:c>
      <x:c r="W802" s="9" t="n">
        <x:f>H802*Y801/(v01_ChildYears*4)</x:f>
        <x:v>5.2012144829328975</x:v>
      </x:c>
      <x:c r="X802" s="9" t="n">
        <x:f>H802*Z801/(v01_AdultYears*4)</x:f>
        <x:v>2.322154523245163</x:v>
      </x:c>
      <x:c r="Y802" s="32" t="n">
        <x:f>Y801+R802-S802-W802-Y801*V802/AB801</x:f>
        <x:v>292.16426927199905</x:v>
      </x:c>
      <x:c r="Z802" s="32" t="n">
        <x:f>Z801+W802-X802-T802-Z801*V802/AB801</x:f>
        <x:v>290.0343661496613</x:v>
      </x:c>
      <x:c r="AA802" s="32" t="n">
        <x:f>AA801+X802-U802-AA801*V802/AB801</x:f>
        <x:v>93.75241455614608</x:v>
      </x:c>
      <x:c r="AB802" s="10" t="n">
        <x:f>Y802+Z802+AA802</x:f>
        <x:v>675.9510499778064</x:v>
      </x:c>
      <x:c r="AC802" s="8" t="n">
        <x:f>IF(AND(v01_WinterTrigger=1,D802=1,AB801/AE801&gt;=K802),1,0)</x:f>
        <x:v>0</x:v>
      </x:c>
      <x:c r="AD802" s="8" t="n">
        <x:f>H802*IF(AND(OR(AB801/AE801&gt;=v01_FissionTrigger*N802,AC802=1),AB801/AE801*v01_DaughterShare&gt;=v01_MinDaughter),MAX(1,ROUND(AE801*v01_FissionRate,0)),0)</x:f>
        <x:v>0</x:v>
      </x:c>
      <x:c r="AE802" s="8" t="n">
        <x:f>IF(H802=1,MAX(1,MIN(INDEX(v01_Smax,G802),AE801+AD802)),AE801)</x:f>
        <x:v>7</x:v>
      </x:c>
      <x:c r="AF802" s="8" t="n">
        <x:f>MAX(0,AE802-AE801)</x:f>
        <x:v>0</x:v>
      </x:c>
      <x:c r="AG802" s="9" t="str">
        <x:f>IF(AF802&gt;0,B802,"")</x:f>
      </x:c>
      <x:c r="AH802" s="9" t="n">
        <x:f>IF(F802&gt;=1,1,(1+v01_LowTiesShare*(AE802-1))/AE802)</x:f>
        <x:v>1</x:v>
      </x:c>
      <x:c r="AI802" s="32" t="n">
        <x:f>(Z802+v01_ElderCommons*INDEX(LM_Elder,G802)*AA802)*AH802</x:f>
        <x:v>571.2916098180996</x:v>
      </x:c>
      <x:c r="AJ802" s="32" t="n">
        <x:f>H802*v01_CommonsCoef*AI802^v01_CommonsExp*INDEX(LM_Commons,G802)</x:f>
        <x:v>145.50338757067865</x:v>
      </x:c>
      <x:c r="AK802" s="32" t="n">
        <x:f>H802*v01_RoleScale*Arch_Roles*(AE802*(INDEX(v01_ElderRolePerSett,G802)*v01_OutElder*INDEX(LM_Elder,G802)+INDEX(v01_ShamanPerSett,G802)*v01_OutShaman)+Z802*(INDEX(v01_PriestShare,G802)*v01_OutPriest+INDEX(v01_ScribeShare,G802)*v01_OutScribe*INDEX(LM_Scribe,G802)+INDEX(v01_ScholarShare,G802)*v01_OutScholar*INDEX(LM_Scholar,G802)+INDEX(v01_ResearcherShare,G802)*v01_OutResearcher*INDEX(LM_Researcher,G802)))</x:f>
        <x:v>23.030240563047627</x:v>
      </x:c>
      <x:c r="AL802" s="32" t="n">
        <x:f>H802*v01_RoleScale*Arch_Roles*AE802*INDEX(v01_MonasteryPerSett,G802)*v01_OutMonastery*INDEX(LM_Monastery,G802)</x:f>
        <x:v>0</x:v>
      </x:c>
      <x:c r="AM802" s="32" t="n">
        <x:f>(AJ802+AK802+AL802)/4*INDEX(LM_All,G802)*INDEX(v01_Boon,G802)*Arch_Insight</x:f>
        <x:v>45.3730710336115</x:v>
      </x:c>
      <x:c r="AN802" s="32" t="n">
        <x:f>H802*(v01_KHPerAdult*Z802+v01_KHOfCommons*AJ802/4*INDEX(LM_All,G802))*v01_KHUsable*Arch_KH</x:f>
        <x:v>10.151202815238147</x:v>
      </x:c>
      <x:c r="AO802" s="32" t="n">
        <x:f>MIN(AP801+AN802,AM802*v01_KHMaxRatio)</x:f>
        <x:v>10.151202815238147</x:v>
      </x:c>
      <x:c r="AP802" s="32" t="n">
        <x:f>AP801+AN802-AO802</x:f>
        <x:v>0</x:v>
      </x:c>
      <x:c r="AQ802" s="32" t="n">
        <x:f>AM802+AO802</x:f>
        <x:v>55.524273848849646</x:v>
      </x:c>
      <x:c r="AR802" s="10" t="n">
        <x:f>IF(H802=1,INDEX(v01_Req,G802),0)</x:f>
        <x:v>9805.661999999998</x:v>
      </x:c>
      <x:c r="AS802" s="32" t="n">
        <x:f>IF(H802=1,IF(E802=1,AS801-AR801,AS801)+AQ802,0)</x:f>
        <x:v>3831.1016919086874</x:v>
      </x:c>
      <x:c r="AT802" s="11" t="n">
        <x:f>IF(AR802&gt;0,MIN(1,AS802/AR802),1)</x:f>
        <x:v>0.39070301341293306</x:v>
      </x:c>
      <x:c r="AU802" s="10" t="n">
        <x:f>AB802/INDEX(v01_RepScale,G802)</x:f>
        <x:v>135.19020999556128</x:v>
      </x:c>
      <x:c r="AV802" s="32" t="n">
        <x:f>AM802*60/v01_SeasonSeconds</x:f>
        <x:v>181.492284134446</x:v>
      </x:c>
    </x:row>
    <x:row r="803">
      <x:c r="A803" s="8" t="n">
        <x:f>A802+1</x:f>
        <x:v>800</x:v>
      </x:c>
      <x:c r="B803" s="9" t="n">
        <x:f>A803*v01_SeasonSeconds/60</x:f>
        <x:v>200</x:v>
      </x:c>
      <x:c r="C803" s="9" t="n">
        <x:f>A803/4</x:f>
        <x:v>200</x:v>
      </x:c>
      <x:c r="D803" s="8" t="n">
        <x:f>IF(MOD(A803,4)=0,1,0)</x:f>
        <x:v>1</x:v>
      </x:c>
      <x:c r="E803" s="8" t="n">
        <x:f>IF(AND(F802&lt;=9,AS802&gt;=AR802),1,0)</x:f>
        <x:v>0</x:v>
      </x:c>
      <x:c r="F803" s="8" t="n">
        <x:f>MIN(10,F802+E803)</x:f>
        <x:v>3</x:v>
      </x:c>
      <x:c r="G803" s="8" t="n">
        <x:f>MIN(F803,9)+1</x:f>
        <x:v>4</x:v>
      </x:c>
      <x:c r="H803" s="8" t="n">
        <x:f>IF(F803&lt;=9,1,0)</x:f>
        <x:v>1</x:v>
      </x:c>
      <x:c r="I803" s="9" t="n">
        <x:f>MIN(10,F802+IF(AR802&gt;0,MIN(1,AS802/AR802),1))</x:f>
        <x:v>3.3907030134129332</x:v>
      </x:c>
      <x:c r="J803" s="32" t="n">
        <x:f>INDEX(v01_FoodCap,G803)*Arch_FoodCap*EXP(v01_CapsByProject*SUMPRODUCT((Cap_Point&lt;=I803)*(Cap_Kind="Food")*Cap_Ln))</x:f>
        <x:v>120</x:v>
      </x:c>
      <x:c r="K803" s="32" t="n">
        <x:f>J803*MIN(1,v01_LeanBase*EXP(v01_CapsByProject*SUMPRODUCT((Cap_Point&lt;=I803)*(Cap_Kind="Lean")*Cap_Ln)))</x:f>
        <x:v>120</x:v>
      </x:c>
      <x:c r="L803" s="10" t="n">
        <x:f>INDEX(v01_HousingCap,G803)*EXP(v01_CapsByProject*SUMPRODUCT((Cap_Point&lt;=I803)*(Cap_Kind="Housing")*Cap_Ln))</x:f>
        <x:v>200</x:v>
      </x:c>
      <x:c r="M803" s="10" t="n">
        <x:f>INDEX(v01_GroupCap,G803)*v01_CohesionFactor*EXP(v01_CapsByProject*SUMPRODUCT((Cap_Point&lt;=I803)*(Cap_Kind="Group")*Cap_Ln))</x:f>
        <x:v>5000</x:v>
      </x:c>
      <x:c r="N803" s="32" t="n">
        <x:f>MIN(J803,L803,M803)</x:f>
        <x:v>120</x:v>
      </x:c>
      <x:c r="O803" s="10" t="n">
        <x:f>AE802*N803</x:f>
        <x:v>840</x:v>
      </x:c>
      <x:c r="P803" s="9" t="n">
        <x:f>MIN(1,(AB802/(AE802*IF(v01_GroupInCrowding=1,N803,MIN(J803,L803))))^v01_CrowdingExp)</x:f>
        <x:v>0.2715287157543932</x:v>
      </x:c>
      <x:c r="Q803" s="9" t="n">
        <x:f>IF(D803=1,INDEX(v01_WinterMult,G803),1)</x:f>
        <x:v>1.15</x:v>
      </x:c>
      <x:c r="R803" s="9" t="n">
        <x:f>H803*Z802*v01_WomenShare*v01_BaseFertility*INDEX(v01_FertMult,G803)*Arch_Fertility*(1-P803)</x:f>
        <x:v>8.239986580191768</x:v>
      </x:c>
      <x:c r="S803" s="9" t="n">
        <x:f>H803*Y802*INDEX(v01_MortChild,G803)/4*Q803</x:f>
        <x:v>2.519916822470991</x:v>
      </x:c>
      <x:c r="T803" s="9" t="n">
        <x:f>H803*Z802*INDEX(v01_MortAdult,G803)*Arch_AdultMort/4*Q803</x:f>
        <x:v>0.9172336829483038</x:v>
      </x:c>
      <x:c r="U803" s="9" t="n">
        <x:f>H803*AA802*INDEX(v01_MortElder,G803)/4*Q803</x:f>
        <x:v>1.7519982470179798</x:v>
      </x:c>
      <x:c r="V803" s="9" t="n">
        <x:f>H803*MAX(0,AB802-O803)*v01_OvercapLoss</x:f>
        <x:v>0</x:v>
      </x:c>
      <x:c r="W803" s="9" t="n">
        <x:f>H803*Y802/(v01_ChildYears*4)</x:f>
        <x:v>5.21721909414284</x:v>
      </x:c>
      <x:c r="X803" s="9" t="n">
        <x:f>H803*Z802/(v01_AdultYears*4)</x:f>
        <x:v>2.3389868237875913</x:v>
      </x:c>
      <x:c r="Y803" s="32" t="n">
        <x:f>Y802+R803-S803-W803-Y802*V803/AB802</x:f>
        <x:v>292.66711993557703</x:v>
      </x:c>
      <x:c r="Z803" s="32" t="n">
        <x:f>Z802+W803-X803-T803-Z802*V803/AB802</x:f>
        <x:v>291.99536473706826</x:v>
      </x:c>
      <x:c r="AA803" s="32" t="n">
        <x:f>AA802+X803-U803-AA802*V803/AB802</x:f>
        <x:v>94.33940313291569</x:v>
      </x:c>
      <x:c r="AB803" s="10" t="n">
        <x:f>Y803+Z803+AA803</x:f>
        <x:v>679.001887805561</x:v>
      </x:c>
      <x:c r="AC803" s="8" t="n">
        <x:f>IF(AND(v01_WinterTrigger=1,D803=1,AB802/AE802&gt;=K803),1,0)</x:f>
        <x:v>0</x:v>
      </x:c>
      <x:c r="AD803" s="8" t="n">
        <x:f>H803*IF(AND(OR(AB802/AE802&gt;=v01_FissionTrigger*N803,AC803=1),AB802/AE802*v01_DaughterShare&gt;=v01_MinDaughter),MAX(1,ROUND(AE802*v01_FissionRate,0)),0)</x:f>
        <x:v>0</x:v>
      </x:c>
      <x:c r="AE803" s="8" t="n">
        <x:f>IF(H803=1,MAX(1,MIN(INDEX(v01_Smax,G803),AE802+AD803)),AE802)</x:f>
        <x:v>7</x:v>
      </x:c>
      <x:c r="AF803" s="8" t="n">
        <x:f>MAX(0,AE803-AE802)</x:f>
        <x:v>0</x:v>
      </x:c>
      <x:c r="AG803" s="9" t="str">
        <x:f>IF(AF803&gt;0,B803,"")</x:f>
      </x:c>
      <x:c r="AH803" s="9" t="n">
        <x:f>IF(F803&gt;=1,1,(1+v01_LowTiesShare*(AE803-1))/AE803)</x:f>
        <x:v>1</x:v>
      </x:c>
      <x:c r="AI803" s="32" t="n">
        <x:f>(Z803+v01_ElderCommons*INDEX(LM_Elder,G803)*AA803)*AH803</x:f>
        <x:v>575.0135741358154</x:v>
      </x:c>
      <x:c r="AJ803" s="32" t="n">
        <x:f>H803*v01_CommonsCoef*AI803^v01_CommonsExp*INDEX(LM_Commons,G803)</x:f>
        <x:v>146.30875610736516</x:v>
      </x:c>
      <x:c r="AK803" s="32" t="n">
        <x:f>H803*v01_RoleScale*Arch_Roles*(AE803*(INDEX(v01_ElderRolePerSett,G803)*v01_OutElder*INDEX(LM_Elder,G803)+INDEX(v01_ShamanPerSett,G803)*v01_OutShaman)+Z803*(INDEX(v01_PriestShare,G803)*v01_OutPriest+INDEX(v01_ScribeShare,G803)*v01_OutScribe*INDEX(LM_Scribe,G803)+INDEX(v01_ScholarShare,G803)*v01_OutScholar*INDEX(LM_Scholar,G803)+INDEX(v01_ResearcherShare,G803)*v01_OutResearcher*INDEX(LM_Researcher,G803)))</x:f>
        <x:v>23.043967553159476</x:v>
      </x:c>
      <x:c r="AL803" s="32" t="n">
        <x:f>H803*v01_RoleScale*Arch_Roles*AE803*INDEX(v01_MonasteryPerSett,G803)*v01_OutMonastery*INDEX(LM_Monastery,G803)</x:f>
        <x:v>0</x:v>
      </x:c>
      <x:c r="AM803" s="32" t="n">
        <x:f>(AJ803+AK803+AL803)/4*INDEX(LM_All,G803)*INDEX(v01_Boon,G803)*Arch_Insight</x:f>
        <x:v>45.59359010705865</x:v>
      </x:c>
      <x:c r="AN803" s="32" t="n">
        <x:f>H803*(v01_KHPerAdult*Z803+v01_KHOfCommons*AJ803/4*INDEX(LM_All,G803))*v01_KHUsable*Arch_KH</x:f>
        <x:v>10.21983776579739</x:v>
      </x:c>
      <x:c r="AO803" s="32" t="n">
        <x:f>MIN(AP802+AN803,AM803*v01_KHMaxRatio)</x:f>
        <x:v>10.21983776579739</x:v>
      </x:c>
      <x:c r="AP803" s="32" t="n">
        <x:f>AP802+AN803-AO803</x:f>
        <x:v>0</x:v>
      </x:c>
      <x:c r="AQ803" s="32" t="n">
        <x:f>AM803+AO803</x:f>
        <x:v>55.81342787285604</x:v>
      </x:c>
      <x:c r="AR803" s="10" t="n">
        <x:f>IF(H803=1,INDEX(v01_Req,G803),0)</x:f>
        <x:v>9805.661999999998</x:v>
      </x:c>
      <x:c r="AS803" s="32" t="n">
        <x:f>IF(H803=1,IF(E803=1,AS802-AR802,AS802)+AQ803,0)</x:f>
        <x:v>3886.9151197815436</x:v>
      </x:c>
      <x:c r="AT803" s="11" t="n">
        <x:f>IF(AR803&gt;0,MIN(1,AS803/AR803),1)</x:f>
        <x:v>0.3963949725966023</x:v>
      </x:c>
      <x:c r="AU803" s="10" t="n">
        <x:f>AB803/INDEX(v01_RepScale,G803)</x:f>
        <x:v>135.80037756111219</x:v>
      </x:c>
      <x:c r="AV803" s="32" t="n">
        <x:f>AM803*60/v01_SeasonSeconds</x:f>
        <x:v>182.3743604282346</x:v>
      </x:c>
    </x:row>
    <x:row r="804">
      <x:c r="A804" s="8" t="n">
        <x:f>A803+1</x:f>
        <x:v>801</x:v>
      </x:c>
      <x:c r="B804" s="9" t="n">
        <x:f>A804*v01_SeasonSeconds/60</x:f>
        <x:v>200.25</x:v>
      </x:c>
      <x:c r="C804" s="9" t="n">
        <x:f>A804/4</x:f>
        <x:v>200.25</x:v>
      </x:c>
      <x:c r="D804" s="8" t="n">
        <x:f>IF(MOD(A804,4)=0,1,0)</x:f>
        <x:v>0</x:v>
      </x:c>
      <x:c r="E804" s="8" t="n">
        <x:f>IF(AND(F803&lt;=9,AS803&gt;=AR803),1,0)</x:f>
        <x:v>0</x:v>
      </x:c>
      <x:c r="F804" s="8" t="n">
        <x:f>MIN(10,F803+E804)</x:f>
        <x:v>3</x:v>
      </x:c>
      <x:c r="G804" s="8" t="n">
        <x:f>MIN(F804,9)+1</x:f>
        <x:v>4</x:v>
      </x:c>
      <x:c r="H804" s="8" t="n">
        <x:f>IF(F804&lt;=9,1,0)</x:f>
        <x:v>1</x:v>
      </x:c>
      <x:c r="I804" s="9" t="n">
        <x:f>MIN(10,F803+IF(AR803&gt;0,MIN(1,AS803/AR803),1))</x:f>
        <x:v>3.3963949725966023</x:v>
      </x:c>
      <x:c r="J804" s="32" t="n">
        <x:f>INDEX(v01_FoodCap,G804)*Arch_FoodCap*EXP(v01_CapsByProject*SUMPRODUCT((Cap_Point&lt;=I804)*(Cap_Kind="Food")*Cap_Ln))</x:f>
        <x:v>120</x:v>
      </x:c>
      <x:c r="K804" s="32" t="n">
        <x:f>J804*MIN(1,v01_LeanBase*EXP(v01_CapsByProject*SUMPRODUCT((Cap_Point&lt;=I804)*(Cap_Kind="Lean")*Cap_Ln)))</x:f>
        <x:v>120</x:v>
      </x:c>
      <x:c r="L804" s="10" t="n">
        <x:f>INDEX(v01_HousingCap,G804)*EXP(v01_CapsByProject*SUMPRODUCT((Cap_Point&lt;=I804)*(Cap_Kind="Housing")*Cap_Ln))</x:f>
        <x:v>200</x:v>
      </x:c>
      <x:c r="M804" s="10" t="n">
        <x:f>INDEX(v01_GroupCap,G804)*v01_CohesionFactor*EXP(v01_CapsByProject*SUMPRODUCT((Cap_Point&lt;=I804)*(Cap_Kind="Group")*Cap_Ln))</x:f>
        <x:v>5000</x:v>
      </x:c>
      <x:c r="N804" s="32" t="n">
        <x:f>MIN(J804,L804,M804)</x:f>
        <x:v>120</x:v>
      </x:c>
      <x:c r="O804" s="10" t="n">
        <x:f>AE803*N804</x:f>
        <x:v>840</x:v>
      </x:c>
      <x:c r="P804" s="9" t="n">
        <x:f>MIN(1,(AB803/(AE803*IF(v01_GroupInCrowding=1,N804,MIN(J804,L804))))^v01_CrowdingExp)</x:f>
        <x:v>0.2789652926353459</x:v>
      </x:c>
      <x:c r="Q804" s="9" t="n">
        <x:f>IF(D804=1,INDEX(v01_WinterMult,G804),1)</x:f>
        <x:v>1</x:v>
      </x:c>
      <x:c r="R804" s="9" t="n">
        <x:f>H804*Z803*v01_WomenShare*v01_BaseFertility*INDEX(v01_FertMult,G804)*Arch_Fertility*(1-P804)</x:f>
        <x:v>8.21101290223607</x:v>
      </x:c>
      <x:c r="S804" s="9" t="n">
        <x:f>H804*Y803*INDEX(v01_MortChild,G804)/4*Q804</x:f>
        <x:v>2.195003399516828</x:v>
      </x:c>
      <x:c r="T804" s="9" t="n">
        <x:f>H804*Z803*INDEX(v01_MortAdult,G804)*Arch_AdultMort/4*Q804</x:f>
        <x:v>0.8029872530269376</x:v>
      </x:c>
      <x:c r="U804" s="9" t="n">
        <x:f>H804*AA803*INDEX(v01_MortElder,G804)/4*Q804</x:f>
        <x:v>1.5330153009098801</x:v>
      </x:c>
      <x:c r="V804" s="9" t="n">
        <x:f>H804*MAX(0,AB803-O804)*v01_OvercapLoss</x:f>
        <x:v>0</x:v>
      </x:c>
      <x:c r="W804" s="9" t="n">
        <x:f>H804*Y803/(v01_ChildYears*4)</x:f>
        <x:v>5.226198570278162</x:v>
      </x:c>
      <x:c r="X804" s="9" t="n">
        <x:f>H804*Z803/(v01_AdultYears*4)</x:f>
        <x:v>2.354801328524744</x:v>
      </x:c>
      <x:c r="Y804" s="32" t="n">
        <x:f>Y803+R804-S804-W804-Y803*V804/AB803</x:f>
        <x:v>293.4569308680181</x:v>
      </x:c>
      <x:c r="Z804" s="32" t="n">
        <x:f>Z803+W804-X804-T804-Z803*V804/AB803</x:f>
        <x:v>294.06377472579476</x:v>
      </x:c>
      <x:c r="AA804" s="32" t="n">
        <x:f>AA803+X804-U804-AA803*V804/AB803</x:f>
        <x:v>95.16118916053055</x:v>
      </x:c>
      <x:c r="AB804" s="10" t="n">
        <x:f>Y804+Z804+AA804</x:f>
        <x:v>682.6818947543434</x:v>
      </x:c>
      <x:c r="AC804" s="8" t="n">
        <x:f>IF(AND(v01_WinterTrigger=1,D804=1,AB803/AE803&gt;=K804),1,0)</x:f>
        <x:v>0</x:v>
      </x:c>
      <x:c r="AD804" s="8" t="n">
        <x:f>H804*IF(AND(OR(AB803/AE803&gt;=v01_FissionTrigger*N804,AC804=1),AB803/AE803*v01_DaughterShare&gt;=v01_MinDaughter),MAX(1,ROUND(AE803*v01_FissionRate,0)),0)</x:f>
        <x:v>0</x:v>
      </x:c>
      <x:c r="AE804" s="8" t="n">
        <x:f>IF(H804=1,MAX(1,MIN(INDEX(v01_Smax,G804),AE803+AD804)),AE803)</x:f>
        <x:v>7</x:v>
      </x:c>
      <x:c r="AF804" s="8" t="n">
        <x:f>MAX(0,AE804-AE803)</x:f>
        <x:v>0</x:v>
      </x:c>
      <x:c r="AG804" s="9" t="str">
        <x:f>IF(AF804&gt;0,B804,"")</x:f>
      </x:c>
      <x:c r="AH804" s="9" t="n">
        <x:f>IF(F804&gt;=1,1,(1+v01_LowTiesShare*(AE804-1))/AE804)</x:f>
        <x:v>1</x:v>
      </x:c>
      <x:c r="AI804" s="32" t="n">
        <x:f>(Z804+v01_ElderCommons*INDEX(LM_Elder,G804)*AA804)*AH804</x:f>
        <x:v>579.5473422073865</x:v>
      </x:c>
      <x:c r="AJ804" s="32" t="n">
        <x:f>H804*v01_CommonsCoef*AI804^v01_CommonsExp*INDEX(LM_Commons,G804)</x:f>
        <x:v>147.28872959199757</x:v>
      </x:c>
      <x:c r="AK804" s="32" t="n">
        <x:f>H804*v01_RoleScale*Arch_Roles*(AE804*(INDEX(v01_ElderRolePerSett,G804)*v01_OutElder*INDEX(LM_Elder,G804)+INDEX(v01_ShamanPerSett,G804)*v01_OutShaman)+Z804*(INDEX(v01_PriestShare,G804)*v01_OutPriest+INDEX(v01_ScribeShare,G804)*v01_OutScribe*INDEX(LM_Scribe,G804)+INDEX(v01_ScholarShare,G804)*v01_OutScholar*INDEX(LM_Scholar,G804)+INDEX(v01_ResearcherShare,G804)*v01_OutResearcher*INDEX(LM_Researcher,G804)))</x:f>
        <x:v>23.058446423080564</x:v>
      </x:c>
      <x:c r="AL804" s="32" t="n">
        <x:f>H804*v01_RoleScale*Arch_Roles*AE804*INDEX(v01_MonasteryPerSett,G804)*v01_OutMonastery*INDEX(LM_Monastery,G804)</x:f>
        <x:v>0</x:v>
      </x:c>
      <x:c r="AM804" s="32" t="n">
        <x:f>(AJ804+AK804+AL804)/4*INDEX(LM_All,G804)*INDEX(v01_Boon,G804)*Arch_Insight</x:f>
        <x:v>45.86131921146561</x:v>
      </x:c>
      <x:c r="AN804" s="32" t="n">
        <x:f>H804*(v01_KHPerAdult*Z804+v01_KHOfCommons*AJ804/4*INDEX(LM_All,G804))*v01_KHUsable*Arch_KH</x:f>
        <x:v>10.292232115402816</x:v>
      </x:c>
      <x:c r="AO804" s="32" t="n">
        <x:f>MIN(AP803+AN804,AM804*v01_KHMaxRatio)</x:f>
        <x:v>10.292232115402816</x:v>
      </x:c>
      <x:c r="AP804" s="32" t="n">
        <x:f>AP803+AN804-AO804</x:f>
        <x:v>0</x:v>
      </x:c>
      <x:c r="AQ804" s="32" t="n">
        <x:f>AM804+AO804</x:f>
        <x:v>56.15355132686843</x:v>
      </x:c>
      <x:c r="AR804" s="10" t="n">
        <x:f>IF(H804=1,INDEX(v01_Req,G804),0)</x:f>
        <x:v>9805.661999999998</x:v>
      </x:c>
      <x:c r="AS804" s="32" t="n">
        <x:f>IF(H804=1,IF(E804=1,AS803-AR803,AS803)+AQ804,0)</x:f>
        <x:v>3943.068671108412</x:v>
      </x:c>
      <x:c r="AT804" s="11" t="n">
        <x:f>IF(AR804&gt;0,MIN(1,AS804/AR804),1)</x:f>
        <x:v>0.4021216182149061</x:v>
      </x:c>
      <x:c r="AU804" s="10" t="n">
        <x:f>AB804/INDEX(v01_RepScale,G804)</x:f>
        <x:v>136.53637895086868</x:v>
      </x:c>
      <x:c r="AV804" s="32" t="n">
        <x:f>AM804*60/v01_SeasonSeconds</x:f>
        <x:v>183.44527684586245</x:v>
      </x:c>
    </x:row>
    <x:row r="805">
      <x:c r="A805" s="8" t="n">
        <x:f>A804+1</x:f>
        <x:v>802</x:v>
      </x:c>
      <x:c r="B805" s="9" t="n">
        <x:f>A805*v01_SeasonSeconds/60</x:f>
        <x:v>200.5</x:v>
      </x:c>
      <x:c r="C805" s="9" t="n">
        <x:f>A805/4</x:f>
        <x:v>200.5</x:v>
      </x:c>
      <x:c r="D805" s="8" t="n">
        <x:f>IF(MOD(A805,4)=0,1,0)</x:f>
        <x:v>0</x:v>
      </x:c>
      <x:c r="E805" s="8" t="n">
        <x:f>IF(AND(F804&lt;=9,AS804&gt;=AR804),1,0)</x:f>
        <x:v>0</x:v>
      </x:c>
      <x:c r="F805" s="8" t="n">
        <x:f>MIN(10,F804+E805)</x:f>
        <x:v>3</x:v>
      </x:c>
      <x:c r="G805" s="8" t="n">
        <x:f>MIN(F805,9)+1</x:f>
        <x:v>4</x:v>
      </x:c>
      <x:c r="H805" s="8" t="n">
        <x:f>IF(F805&lt;=9,1,0)</x:f>
        <x:v>1</x:v>
      </x:c>
      <x:c r="I805" s="9" t="n">
        <x:f>MIN(10,F804+IF(AR804&gt;0,MIN(1,AS804/AR804),1))</x:f>
        <x:v>3.402121618214906</x:v>
      </x:c>
      <x:c r="J805" s="32" t="n">
        <x:f>INDEX(v01_FoodCap,G805)*Arch_FoodCap*EXP(v01_CapsByProject*SUMPRODUCT((Cap_Point&lt;=I805)*(Cap_Kind="Food")*Cap_Ln))</x:f>
        <x:v>120</x:v>
      </x:c>
      <x:c r="K805" s="32" t="n">
        <x:f>J805*MIN(1,v01_LeanBase*EXP(v01_CapsByProject*SUMPRODUCT((Cap_Point&lt;=I805)*(Cap_Kind="Lean")*Cap_Ln)))</x:f>
        <x:v>120</x:v>
      </x:c>
      <x:c r="L805" s="10" t="n">
        <x:f>INDEX(v01_HousingCap,G805)*EXP(v01_CapsByProject*SUMPRODUCT((Cap_Point&lt;=I805)*(Cap_Kind="Housing")*Cap_Ln))</x:f>
        <x:v>200</x:v>
      </x:c>
      <x:c r="M805" s="10" t="n">
        <x:f>INDEX(v01_GroupCap,G805)*v01_CohesionFactor*EXP(v01_CapsByProject*SUMPRODUCT((Cap_Point&lt;=I805)*(Cap_Kind="Group")*Cap_Ln))</x:f>
        <x:v>5000</x:v>
      </x:c>
      <x:c r="N805" s="32" t="n">
        <x:f>MIN(J805,L805,M805)</x:f>
        <x:v>120</x:v>
      </x:c>
      <x:c r="O805" s="10" t="n">
        <x:f>AE804*N805</x:f>
        <x:v>840</x:v>
      </x:c>
      <x:c r="P805" s="9" t="n">
        <x:f>MIN(1,(AB804/(AE804*IF(v01_GroupInCrowding=1,N805,MIN(J805,L805))))^v01_CrowdingExp)</x:f>
        <x:v>0.28816059666461585</x:v>
      </x:c>
      <x:c r="Q805" s="9" t="n">
        <x:f>IF(D805=1,INDEX(v01_WinterMult,G805),1)</x:f>
        <x:v>1</x:v>
      </x:c>
      <x:c r="R805" s="9" t="n">
        <x:f>H805*Z804*v01_WomenShare*v01_BaseFertility*INDEX(v01_FertMult,G805)*Arch_Fertility*(1-P805)</x:f>
        <x:v>8.163721095791061</x:v>
      </x:c>
      <x:c r="S805" s="9" t="n">
        <x:f>H805*Y804*INDEX(v01_MortChild,G805)/4*Q805</x:f>
        <x:v>2.2009269815101358</x:v>
      </x:c>
      <x:c r="T805" s="9" t="n">
        <x:f>H805*Z804*INDEX(v01_MortAdult,G805)*Arch_AdultMort/4*Q805</x:f>
        <x:v>0.8086753804959356</x:v>
      </x:c>
      <x:c r="U805" s="9" t="n">
        <x:f>H805*AA804*INDEX(v01_MortElder,G805)/4*Q805</x:f>
        <x:v>1.5463693238586216</x:v>
      </x:c>
      <x:c r="V805" s="9" t="n">
        <x:f>H805*MAX(0,AB804-O805)*v01_OvercapLoss</x:f>
        <x:v>0</x:v>
      </x:c>
      <x:c r="W805" s="9" t="n">
        <x:f>H805*Y804/(v01_ChildYears*4)</x:f>
        <x:v>5.240302336928894</x:v>
      </x:c>
      <x:c r="X805" s="9" t="n">
        <x:f>H805*Z804/(v01_AdultYears*4)</x:f>
        <x:v>2.37148205424028</x:v>
      </x:c>
      <x:c r="Y805" s="32" t="n">
        <x:f>Y804+R805-S805-W805-Y804*V805/AB804</x:f>
        <x:v>294.17942264537015</x:v>
      </x:c>
      <x:c r="Z805" s="32" t="n">
        <x:f>Z804+W805-X805-T805-Z804*V805/AB804</x:f>
        <x:v>296.12391962798745</x:v>
      </x:c>
      <x:c r="AA805" s="32" t="n">
        <x:f>AA804+X805-U805-AA804*V805/AB804</x:f>
        <x:v>95.9863018909122</x:v>
      </x:c>
      <x:c r="AB805" s="10" t="n">
        <x:f>Y805+Z805+AA805</x:f>
        <x:v>686.2896441642698</x:v>
      </x:c>
      <x:c r="AC805" s="8" t="n">
        <x:f>IF(AND(v01_WinterTrigger=1,D805=1,AB804/AE804&gt;=K805),1,0)</x:f>
        <x:v>0</x:v>
      </x:c>
      <x:c r="AD805" s="8" t="n">
        <x:f>H805*IF(AND(OR(AB804/AE804&gt;=v01_FissionTrigger*N805,AC805=1),AB804/AE804*v01_DaughterShare&gt;=v01_MinDaughter),MAX(1,ROUND(AE804*v01_FissionRate,0)),0)</x:f>
        <x:v>0</x:v>
      </x:c>
      <x:c r="AE805" s="8" t="n">
        <x:f>IF(H805=1,MAX(1,MIN(INDEX(v01_Smax,G805),AE804+AD805)),AE804)</x:f>
        <x:v>7</x:v>
      </x:c>
      <x:c r="AF805" s="8" t="n">
        <x:f>MAX(0,AE805-AE804)</x:f>
        <x:v>0</x:v>
      </x:c>
      <x:c r="AG805" s="9" t="str">
        <x:f>IF(AF805&gt;0,B805,"")</x:f>
      </x:c>
      <x:c r="AH805" s="9" t="n">
        <x:f>IF(F805&gt;=1,1,(1+v01_LowTiesShare*(AE805-1))/AE805)</x:f>
        <x:v>1</x:v>
      </x:c>
      <x:c r="AI805" s="32" t="n">
        <x:f>(Z805+v01_ElderCommons*INDEX(LM_Elder,G805)*AA805)*AH805</x:f>
        <x:v>584.082825300724</x:v>
      </x:c>
      <x:c r="AJ805" s="32" t="n">
        <x:f>H805*v01_CommonsCoef*AI805^v01_CommonsExp*INDEX(LM_Commons,G805)</x:f>
        <x:v>148.2679238472586</x:v>
      </x:c>
      <x:c r="AK805" s="32" t="n">
        <x:f>H805*v01_RoleScale*Arch_Roles*(AE805*(INDEX(v01_ElderRolePerSett,G805)*v01_OutElder*INDEX(LM_Elder,G805)+INDEX(v01_ShamanPerSett,G805)*v01_OutShaman)+Z805*(INDEX(v01_PriestShare,G805)*v01_OutPriest+INDEX(v01_ScribeShare,G805)*v01_OutScribe*INDEX(LM_Scribe,G805)+INDEX(v01_ScholarShare,G805)*v01_OutScholar*INDEX(LM_Scholar,G805)+INDEX(v01_ResearcherShare,G805)*v01_OutResearcher*INDEX(LM_Researcher,G805)))</x:f>
        <x:v>23.072867437395914</x:v>
      </x:c>
      <x:c r="AL805" s="32" t="n">
        <x:f>H805*v01_RoleScale*Arch_Roles*AE805*INDEX(v01_MonasteryPerSett,G805)*v01_OutMonastery*INDEX(LM_Monastery,G805)</x:f>
        <x:v>0</x:v>
      </x:c>
      <x:c r="AM805" s="32" t="n">
        <x:f>(AJ805+AK805+AL805)/4*INDEX(LM_All,G805)*INDEX(v01_Boon,G805)*Arch_Insight</x:f>
        <x:v>46.12882295363153</x:v>
      </x:c>
      <x:c r="AN805" s="32" t="n">
        <x:f>H805*(v01_KHPerAdult*Z805+v01_KHOfCommons*AJ805/4*INDEX(LM_All,G805))*v01_KHUsable*Arch_KH</x:f>
        <x:v>10.36433718697956</x:v>
      </x:c>
      <x:c r="AO805" s="32" t="n">
        <x:f>MIN(AP804+AN805,AM805*v01_KHMaxRatio)</x:f>
        <x:v>10.36433718697956</x:v>
      </x:c>
      <x:c r="AP805" s="32" t="n">
        <x:f>AP804+AN805-AO805</x:f>
        <x:v>0</x:v>
      </x:c>
      <x:c r="AQ805" s="32" t="n">
        <x:f>AM805+AO805</x:f>
        <x:v>56.49316014061109</x:v>
      </x:c>
      <x:c r="AR805" s="10" t="n">
        <x:f>IF(H805=1,INDEX(v01_Req,G805),0)</x:f>
        <x:v>9805.661999999998</x:v>
      </x:c>
      <x:c r="AS805" s="32" t="n">
        <x:f>IF(H805=1,IF(E805=1,AS804-AR804,AS804)+AQ805,0)</x:f>
        <x:v>3999.5618312490233</x:v>
      </x:c>
      <x:c r="AT805" s="11" t="n">
        <x:f>IF(AR805&gt;0,MIN(1,AS805/AR805),1)</x:f>
        <x:v>0.4078828977838543</x:v>
      </x:c>
      <x:c r="AU805" s="10" t="n">
        <x:f>AB805/INDEX(v01_RepScale,G805)</x:f>
        <x:v>137.25792883285396</x:v>
      </x:c>
      <x:c r="AV805" s="32" t="n">
        <x:f>AM805*60/v01_SeasonSeconds</x:f>
        <x:v>184.51529181452614</x:v>
      </x:c>
    </x:row>
    <x:row r="806">
      <x:c r="A806" s="8" t="n">
        <x:f>A805+1</x:f>
        <x:v>803</x:v>
      </x:c>
      <x:c r="B806" s="9" t="n">
        <x:f>A806*v01_SeasonSeconds/60</x:f>
        <x:v>200.75</x:v>
      </x:c>
      <x:c r="C806" s="9" t="n">
        <x:f>A806/4</x:f>
        <x:v>200.75</x:v>
      </x:c>
      <x:c r="D806" s="8" t="n">
        <x:f>IF(MOD(A806,4)=0,1,0)</x:f>
        <x:v>0</x:v>
      </x:c>
      <x:c r="E806" s="8" t="n">
        <x:f>IF(AND(F805&lt;=9,AS805&gt;=AR805),1,0)</x:f>
        <x:v>0</x:v>
      </x:c>
      <x:c r="F806" s="8" t="n">
        <x:f>MIN(10,F805+E806)</x:f>
        <x:v>3</x:v>
      </x:c>
      <x:c r="G806" s="8" t="n">
        <x:f>MIN(F806,9)+1</x:f>
        <x:v>4</x:v>
      </x:c>
      <x:c r="H806" s="8" t="n">
        <x:f>IF(F806&lt;=9,1,0)</x:f>
        <x:v>1</x:v>
      </x:c>
      <x:c r="I806" s="9" t="n">
        <x:f>MIN(10,F805+IF(AR805&gt;0,MIN(1,AS805/AR805),1))</x:f>
        <x:v>3.4078828977838542</x:v>
      </x:c>
      <x:c r="J806" s="32" t="n">
        <x:f>INDEX(v01_FoodCap,G806)*Arch_FoodCap*EXP(v01_CapsByProject*SUMPRODUCT((Cap_Point&lt;=I806)*(Cap_Kind="Food")*Cap_Ln))</x:f>
        <x:v>120</x:v>
      </x:c>
      <x:c r="K806" s="32" t="n">
        <x:f>J806*MIN(1,v01_LeanBase*EXP(v01_CapsByProject*SUMPRODUCT((Cap_Point&lt;=I806)*(Cap_Kind="Lean")*Cap_Ln)))</x:f>
        <x:v>120</x:v>
      </x:c>
      <x:c r="L806" s="10" t="n">
        <x:f>INDEX(v01_HousingCap,G806)*EXP(v01_CapsByProject*SUMPRODUCT((Cap_Point&lt;=I806)*(Cap_Kind="Housing")*Cap_Ln))</x:f>
        <x:v>200</x:v>
      </x:c>
      <x:c r="M806" s="10" t="n">
        <x:f>INDEX(v01_GroupCap,G806)*v01_CohesionFactor*EXP(v01_CapsByProject*SUMPRODUCT((Cap_Point&lt;=I806)*(Cap_Kind="Group")*Cap_Ln))</x:f>
        <x:v>5000</x:v>
      </x:c>
      <x:c r="N806" s="32" t="n">
        <x:f>MIN(J806,L806,M806)</x:f>
        <x:v>120</x:v>
      </x:c>
      <x:c r="O806" s="10" t="n">
        <x:f>AE805*N806</x:f>
        <x:v>840</x:v>
      </x:c>
      <x:c r="P806" s="9" t="n">
        <x:f>MIN(1,(AB805/(AE805*IF(v01_GroupInCrowding=1,N806,MIN(J806,L806))))^v01_CrowdingExp)</x:f>
        <x:v>0.2974191699829239</x:v>
      </x:c>
      <x:c r="Q806" s="9" t="n">
        <x:f>IF(D806=1,INDEX(v01_WinterMult,G806),1)</x:f>
        <x:v>1</x:v>
      </x:c>
      <x:c r="R806" s="9" t="n">
        <x:f>H806*Z805*v01_WomenShare*v01_BaseFertility*INDEX(v01_FertMult,G806)*Arch_Fertility*(1-P806)</x:f>
        <x:v>8.113988580365513</x:v>
      </x:c>
      <x:c r="S806" s="9" t="n">
        <x:f>H806*Y805*INDEX(v01_MortChild,G806)/4*Q806</x:f>
        <x:v>2.206345669840276</x:v>
      </x:c>
      <x:c r="T806" s="9" t="n">
        <x:f>H806*Z805*INDEX(v01_MortAdult,G806)*Arch_AdultMort/4*Q806</x:f>
        <x:v>0.8143407789769654</x:v>
      </x:c>
      <x:c r="U806" s="9" t="n">
        <x:f>H806*AA805*INDEX(v01_MortElder,G806)/4*Q806</x:f>
        <x:v>1.5597774057273233</x:v>
      </x:c>
      <x:c r="V806" s="9" t="n">
        <x:f>H806*MAX(0,AB805-O806)*v01_OvercapLoss</x:f>
        <x:v>0</x:v>
      </x:c>
      <x:c r="W806" s="9" t="n">
        <x:f>H806*Y805/(v01_ChildYears*4)</x:f>
        <x:v>5.253203975810181</x:v>
      </x:c>
      <x:c r="X806" s="9" t="n">
        <x:f>H806*Z805/(v01_AdultYears*4)</x:f>
        <x:v>2.3880961260321567</x:v>
      </x:c>
      <x:c r="Y806" s="32" t="n">
        <x:f>Y805+R806-S806-W806-Y805*V806/AB805</x:f>
        <x:v>294.83386158008517</x:v>
      </x:c>
      <x:c r="Z806" s="32" t="n">
        <x:f>Z805+W806-X806-T806-Z805*V806/AB805</x:f>
        <x:v>298.17468669878855</x:v>
      </x:c>
      <x:c r="AA806" s="32" t="n">
        <x:f>AA805+X806-U806-AA805*V806/AB805</x:f>
        <x:v>96.81462061121704</x:v>
      </x:c>
      <x:c r="AB806" s="10" t="n">
        <x:f>Y806+Z806+AA806</x:f>
        <x:v>689.8231688900908</x:v>
      </x:c>
      <x:c r="AC806" s="8" t="n">
        <x:f>IF(AND(v01_WinterTrigger=1,D806=1,AB805/AE805&gt;=K806),1,0)</x:f>
        <x:v>0</x:v>
      </x:c>
      <x:c r="AD806" s="8" t="n">
        <x:f>H806*IF(AND(OR(AB805/AE805&gt;=v01_FissionTrigger*N806,AC806=1),AB805/AE805*v01_DaughterShare&gt;=v01_MinDaughter),MAX(1,ROUND(AE805*v01_FissionRate,0)),0)</x:f>
        <x:v>0</x:v>
      </x:c>
      <x:c r="AE806" s="8" t="n">
        <x:f>IF(H806=1,MAX(1,MIN(INDEX(v01_Smax,G806),AE805+AD806)),AE805)</x:f>
        <x:v>7</x:v>
      </x:c>
      <x:c r="AF806" s="8" t="n">
        <x:f>MAX(0,AE806-AE805)</x:f>
        <x:v>0</x:v>
      </x:c>
      <x:c r="AG806" s="9" t="str">
        <x:f>IF(AF806&gt;0,B806,"")</x:f>
      </x:c>
      <x:c r="AH806" s="9" t="n">
        <x:f>IF(F806&gt;=1,1,(1+v01_LowTiesShare*(AE806-1))/AE806)</x:f>
        <x:v>1</x:v>
      </x:c>
      <x:c r="AI806" s="32" t="n">
        <x:f>(Z806+v01_ElderCommons*INDEX(LM_Elder,G806)*AA806)*AH806</x:f>
        <x:v>588.6185485324397</x:v>
      </x:c>
      <x:c r="AJ806" s="32" t="n">
        <x:f>H806*v01_CommonsCoef*AI806^v01_CommonsExp*INDEX(LM_Commons,G806)</x:f>
        <x:v>149.24602997221862</x:v>
      </x:c>
      <x:c r="AK806" s="32" t="n">
        <x:f>H806*v01_RoleScale*Arch_Roles*(AE806*(INDEX(v01_ElderRolePerSett,G806)*v01_OutElder*INDEX(LM_Elder,G806)+INDEX(v01_ShamanPerSett,G806)*v01_OutShaman)+Z806*(INDEX(v01_PriestShare,G806)*v01_OutPriest+INDEX(v01_ScribeShare,G806)*v01_OutScribe*INDEX(LM_Scribe,G806)+INDEX(v01_ScholarShare,G806)*v01_OutScholar*INDEX(LM_Scholar,G806)+INDEX(v01_ResearcherShare,G806)*v01_OutResearcher*INDEX(LM_Researcher,G806)))</x:f>
        <x:v>23.08722280689152</x:v>
      </x:c>
      <x:c r="AL806" s="32" t="n">
        <x:f>H806*v01_RoleScale*Arch_Roles*AE806*INDEX(v01_MonasteryPerSett,G806)*v01_OutMonastery*INDEX(LM_Monastery,G806)</x:f>
        <x:v>0</x:v>
      </x:c>
      <x:c r="AM806" s="32" t="n">
        <x:f>(AJ806+AK806+AL806)/4*INDEX(LM_All,G806)*INDEX(v01_Boon,G806)*Arch_Insight</x:f>
        <x:v>46.39601607339471</x:v>
      </x:c>
      <x:c r="AN806" s="32" t="n">
        <x:f>H806*(v01_KHPerAdult*Z806+v01_KHOfCommons*AJ806/4*INDEX(LM_All,G806))*v01_KHUsable*Arch_KH</x:f>
        <x:v>10.4361140344576</x:v>
      </x:c>
      <x:c r="AO806" s="32" t="n">
        <x:f>MIN(AP805+AN806,AM806*v01_KHMaxRatio)</x:f>
        <x:v>10.4361140344576</x:v>
      </x:c>
      <x:c r="AP806" s="32" t="n">
        <x:f>AP805+AN806-AO806</x:f>
        <x:v>0</x:v>
      </x:c>
      <x:c r="AQ806" s="32" t="n">
        <x:f>AM806+AO806</x:f>
        <x:v>56.83213010785231</x:v>
      </x:c>
      <x:c r="AR806" s="10" t="n">
        <x:f>IF(H806=1,INDEX(v01_Req,G806),0)</x:f>
        <x:v>9805.661999999998</x:v>
      </x:c>
      <x:c r="AS806" s="32" t="n">
        <x:f>IF(H806=1,IF(E806=1,AS805-AR805,AS805)+AQ806,0)</x:f>
        <x:v>4056.3939613568755</x:v>
      </x:c>
      <x:c r="AT806" s="11" t="n">
        <x:f>IF(AR806&gt;0,MIN(1,AS806/AR806),1)</x:f>
        <x:v>0.41367874615266936</x:v>
      </x:c>
      <x:c r="AU806" s="10" t="n">
        <x:f>AB806/INDEX(v01_RepScale,G806)</x:f>
        <x:v>137.96463377801814</x:v>
      </x:c>
      <x:c r="AV806" s="32" t="n">
        <x:f>AM806*60/v01_SeasonSeconds</x:f>
        <x:v>185.58406429357885</x:v>
      </x:c>
    </x:row>
    <x:row r="807">
      <x:c r="A807" s="8" t="n">
        <x:f>A806+1</x:f>
        <x:v>804</x:v>
      </x:c>
      <x:c r="B807" s="9" t="n">
        <x:f>A807*v01_SeasonSeconds/60</x:f>
        <x:v>201</x:v>
      </x:c>
      <x:c r="C807" s="9" t="n">
        <x:f>A807/4</x:f>
        <x:v>201</x:v>
      </x:c>
      <x:c r="D807" s="8" t="n">
        <x:f>IF(MOD(A807,4)=0,1,0)</x:f>
        <x:v>1</x:v>
      </x:c>
      <x:c r="E807" s="8" t="n">
        <x:f>IF(AND(F806&lt;=9,AS806&gt;=AR806),1,0)</x:f>
        <x:v>0</x:v>
      </x:c>
      <x:c r="F807" s="8" t="n">
        <x:f>MIN(10,F806+E807)</x:f>
        <x:v>3</x:v>
      </x:c>
      <x:c r="G807" s="8" t="n">
        <x:f>MIN(F807,9)+1</x:f>
        <x:v>4</x:v>
      </x:c>
      <x:c r="H807" s="8" t="n">
        <x:f>IF(F807&lt;=9,1,0)</x:f>
        <x:v>1</x:v>
      </x:c>
      <x:c r="I807" s="9" t="n">
        <x:f>MIN(10,F806+IF(AR806&gt;0,MIN(1,AS806/AR806),1))</x:f>
        <x:v>3.4136787461526694</x:v>
      </x:c>
      <x:c r="J807" s="32" t="n">
        <x:f>INDEX(v01_FoodCap,G807)*Arch_FoodCap*EXP(v01_CapsByProject*SUMPRODUCT((Cap_Point&lt;=I807)*(Cap_Kind="Food")*Cap_Ln))</x:f>
        <x:v>120</x:v>
      </x:c>
      <x:c r="K807" s="32" t="n">
        <x:f>J807*MIN(1,v01_LeanBase*EXP(v01_CapsByProject*SUMPRODUCT((Cap_Point&lt;=I807)*(Cap_Kind="Lean")*Cap_Ln)))</x:f>
        <x:v>120</x:v>
      </x:c>
      <x:c r="L807" s="10" t="n">
        <x:f>INDEX(v01_HousingCap,G807)*EXP(v01_CapsByProject*SUMPRODUCT((Cap_Point&lt;=I807)*(Cap_Kind="Housing")*Cap_Ln))</x:f>
        <x:v>200</x:v>
      </x:c>
      <x:c r="M807" s="10" t="n">
        <x:f>INDEX(v01_GroupCap,G807)*v01_CohesionFactor*EXP(v01_CapsByProject*SUMPRODUCT((Cap_Point&lt;=I807)*(Cap_Kind="Group")*Cap_Ln))</x:f>
        <x:v>5000</x:v>
      </x:c>
      <x:c r="N807" s="32" t="n">
        <x:f>MIN(J807,L807,M807)</x:f>
        <x:v>120</x:v>
      </x:c>
      <x:c r="O807" s="10" t="n">
        <x:f>AE806*N807</x:f>
        <x:v>840</x:v>
      </x:c>
      <x:c r="P807" s="9" t="n">
        <x:f>MIN(1,(AB806/(AE806*IF(v01_GroupInCrowding=1,N807,MIN(J807,L807))))^v01_CrowdingExp)</x:f>
        <x:v>0.30672624958054645</x:v>
      </x:c>
      <x:c r="Q807" s="9" t="n">
        <x:f>IF(D807=1,INDEX(v01_WinterMult,G807),1)</x:f>
        <x:v>1.15</x:v>
      </x:c>
      <x:c r="R807" s="9" t="n">
        <x:f>H807*Z806*v01_WomenShare*v01_BaseFertility*INDEX(v01_FertMult,G807)*Arch_Fertility*(1-P807)</x:f>
        <x:v>8.061950649784771</x:v>
      </x:c>
      <x:c r="S807" s="9" t="n">
        <x:f>H807*Y806*INDEX(v01_MortChild,G807)/4*Q807</x:f>
        <x:v>2.5429420561282345</x:v>
      </x:c>
      <x:c r="T807" s="9" t="n">
        <x:f>H807*Z806*INDEX(v01_MortAdult,G807)*Arch_AdultMort/4*Q807</x:f>
        <x:v>0.9429774466849186</x:v>
      </x:c>
      <x:c r="U807" s="9" t="n">
        <x:f>H807*AA806*INDEX(v01_MortElder,G807)/4*Q807</x:f>
        <x:v>1.8092232226721183</x:v>
      </x:c>
      <x:c r="V807" s="9" t="n">
        <x:f>H807*MAX(0,AB806-O807)*v01_OvercapLoss</x:f>
        <x:v>0</x:v>
      </x:c>
      <x:c r="W807" s="9" t="n">
        <x:f>H807*Y806/(v01_ChildYears*4)</x:f>
        <x:v>5.2648903853586635</x:v>
      </x:c>
      <x:c r="X807" s="9" t="n">
        <x:f>H807*Z806/(v01_AdultYears*4)</x:f>
        <x:v>2.4046345701515204</x:v>
      </x:c>
      <x:c r="Y807" s="32" t="n">
        <x:f>Y806+R807-S807-W807-Y806*V807/AB806</x:f>
        <x:v>295.087979788383</x:v>
      </x:c>
      <x:c r="Z807" s="32" t="n">
        <x:f>Z806+W807-X807-T807-Z806*V807/AB806</x:f>
        <x:v>300.0919650673108</x:v>
      </x:c>
      <x:c r="AA807" s="32" t="n">
        <x:f>AA806+X807-U807-AA806*V807/AB806</x:f>
        <x:v>97.41003195869644</x:v>
      </x:c>
      <x:c r="AB807" s="10" t="n">
        <x:f>Y807+Z807+AA807</x:f>
        <x:v>692.5899768143902</x:v>
      </x:c>
      <x:c r="AC807" s="8" t="n">
        <x:f>IF(AND(v01_WinterTrigger=1,D807=1,AB806/AE806&gt;=K807),1,0)</x:f>
        <x:v>0</x:v>
      </x:c>
      <x:c r="AD807" s="8" t="n">
        <x:f>H807*IF(AND(OR(AB806/AE806&gt;=v01_FissionTrigger*N807,AC807=1),AB806/AE806*v01_DaughterShare&gt;=v01_MinDaughter),MAX(1,ROUND(AE806*v01_FissionRate,0)),0)</x:f>
        <x:v>0</x:v>
      </x:c>
      <x:c r="AE807" s="8" t="n">
        <x:f>IF(H807=1,MAX(1,MIN(INDEX(v01_Smax,G807),AE806+AD807)),AE806)</x:f>
        <x:v>7</x:v>
      </x:c>
      <x:c r="AF807" s="8" t="n">
        <x:f>MAX(0,AE807-AE806)</x:f>
        <x:v>0</x:v>
      </x:c>
      <x:c r="AG807" s="9" t="str">
        <x:f>IF(AF807&gt;0,B807,"")</x:f>
      </x:c>
      <x:c r="AH807" s="9" t="n">
        <x:f>IF(F807&gt;=1,1,(1+v01_LowTiesShare*(AE807-1))/AE807)</x:f>
        <x:v>1</x:v>
      </x:c>
      <x:c r="AI807" s="32" t="n">
        <x:f>(Z807+v01_ElderCommons*INDEX(LM_Elder,G807)*AA807)*AH807</x:f>
        <x:v>592.3220609434002</x:v>
      </x:c>
      <x:c r="AJ807" s="32" t="n">
        <x:f>H807*v01_CommonsCoef*AI807^v01_CommonsExp*INDEX(LM_Commons,G807)</x:f>
        <x:v>150.0438355700102</x:v>
      </x:c>
      <x:c r="AK807" s="32" t="n">
        <x:f>H807*v01_RoleScale*Arch_Roles*(AE807*(INDEX(v01_ElderRolePerSett,G807)*v01_OutElder*INDEX(LM_Elder,G807)+INDEX(v01_ShamanPerSett,G807)*v01_OutShaman)+Z807*(INDEX(v01_PriestShare,G807)*v01_OutPriest+INDEX(v01_ScribeShare,G807)*v01_OutScribe*INDEX(LM_Scribe,G807)+INDEX(v01_ScholarShare,G807)*v01_OutScholar*INDEX(LM_Scholar,G807)+INDEX(v01_ResearcherShare,G807)*v01_OutResearcher*INDEX(LM_Researcher,G807)))</x:f>
        <x:v>23.100643755471175</x:v>
      </x:c>
      <x:c r="AL807" s="32" t="n">
        <x:f>H807*v01_RoleScale*Arch_Roles*AE807*INDEX(v01_MonasteryPerSett,G807)*v01_OutMonastery*INDEX(LM_Monastery,G807)</x:f>
        <x:v>0</x:v>
      </x:c>
      <x:c r="AM807" s="32" t="n">
        <x:f>(AJ807+AK807+AL807)/4*INDEX(LM_All,G807)*INDEX(v01_Boon,G807)*Arch_Insight</x:f>
        <x:v>46.61441663902929</x:v>
      </x:c>
      <x:c r="AN807" s="32" t="n">
        <x:f>H807*(v01_KHPerAdult*Z807+v01_KHOfCommons*AJ807/4*INDEX(LM_All,G807))*v01_KHUsable*Arch_KH</x:f>
        <x:v>10.503218777355878</x:v>
      </x:c>
      <x:c r="AO807" s="32" t="n">
        <x:f>MIN(AP806+AN807,AM807*v01_KHMaxRatio)</x:f>
        <x:v>10.503218777355878</x:v>
      </x:c>
      <x:c r="AP807" s="32" t="n">
        <x:f>AP806+AN807-AO807</x:f>
        <x:v>0</x:v>
      </x:c>
      <x:c r="AQ807" s="32" t="n">
        <x:f>AM807+AO807</x:f>
        <x:v>57.11763541638516</x:v>
      </x:c>
      <x:c r="AR807" s="10" t="n">
        <x:f>IF(H807=1,INDEX(v01_Req,G807),0)</x:f>
        <x:v>9805.661999999998</x:v>
      </x:c>
      <x:c r="AS807" s="32" t="n">
        <x:f>IF(H807=1,IF(E807=1,AS806-AR806,AS806)+AQ807,0)</x:f>
        <x:v>4113.511596773261</x:v>
      </x:c>
      <x:c r="AT807" s="11" t="n">
        <x:f>IF(AR807&gt;0,MIN(1,AS807/AR807),1)</x:f>
        <x:v>0.41950371089409993</x:v>
      </x:c>
      <x:c r="AU807" s="10" t="n">
        <x:f>AB807/INDEX(v01_RepScale,G807)</x:f>
        <x:v>138.51799536287803</x:v>
      </x:c>
      <x:c r="AV807" s="32" t="n">
        <x:f>AM807*60/v01_SeasonSeconds</x:f>
        <x:v>186.45766655611715</x:v>
      </x:c>
    </x:row>
    <x:row r="808">
      <x:c r="A808" s="8" t="n">
        <x:f>A807+1</x:f>
        <x:v>805</x:v>
      </x:c>
      <x:c r="B808" s="9" t="n">
        <x:f>A808*v01_SeasonSeconds/60</x:f>
        <x:v>201.25</x:v>
      </x:c>
      <x:c r="C808" s="9" t="n">
        <x:f>A808/4</x:f>
        <x:v>201.25</x:v>
      </x:c>
      <x:c r="D808" s="8" t="n">
        <x:f>IF(MOD(A808,4)=0,1,0)</x:f>
        <x:v>0</x:v>
      </x:c>
      <x:c r="E808" s="8" t="n">
        <x:f>IF(AND(F807&lt;=9,AS807&gt;=AR807),1,0)</x:f>
        <x:v>0</x:v>
      </x:c>
      <x:c r="F808" s="8" t="n">
        <x:f>MIN(10,F807+E808)</x:f>
        <x:v>3</x:v>
      </x:c>
      <x:c r="G808" s="8" t="n">
        <x:f>MIN(F808,9)+1</x:f>
        <x:v>4</x:v>
      </x:c>
      <x:c r="H808" s="8" t="n">
        <x:f>IF(F808&lt;=9,1,0)</x:f>
        <x:v>1</x:v>
      </x:c>
      <x:c r="I808" s="9" t="n">
        <x:f>MIN(10,F807+IF(AR807&gt;0,MIN(1,AS807/AR807),1))</x:f>
        <x:v>3.4195037108940998</x:v>
      </x:c>
      <x:c r="J808" s="32" t="n">
        <x:f>INDEX(v01_FoodCap,G808)*Arch_FoodCap*EXP(v01_CapsByProject*SUMPRODUCT((Cap_Point&lt;=I808)*(Cap_Kind="Food")*Cap_Ln))</x:f>
        <x:v>120</x:v>
      </x:c>
      <x:c r="K808" s="32" t="n">
        <x:f>J808*MIN(1,v01_LeanBase*EXP(v01_CapsByProject*SUMPRODUCT((Cap_Point&lt;=I808)*(Cap_Kind="Lean")*Cap_Ln)))</x:f>
        <x:v>120</x:v>
      </x:c>
      <x:c r="L808" s="10" t="n">
        <x:f>INDEX(v01_HousingCap,G808)*EXP(v01_CapsByProject*SUMPRODUCT((Cap_Point&lt;=I808)*(Cap_Kind="Housing")*Cap_Ln))</x:f>
        <x:v>200</x:v>
      </x:c>
      <x:c r="M808" s="10" t="n">
        <x:f>INDEX(v01_GroupCap,G808)*v01_CohesionFactor*EXP(v01_CapsByProject*SUMPRODUCT((Cap_Point&lt;=I808)*(Cap_Kind="Group")*Cap_Ln))</x:f>
        <x:v>5000</x:v>
      </x:c>
      <x:c r="N808" s="32" t="n">
        <x:f>MIN(J808,L808,M808)</x:f>
        <x:v>120</x:v>
      </x:c>
      <x:c r="O808" s="10" t="n">
        <x:f>AE807*N808</x:f>
        <x:v>840</x:v>
      </x:c>
      <x:c r="P808" s="9" t="n">
        <x:f>MIN(1,(AB807/(AE807*IF(v01_GroupInCrowding=1,N808,MIN(J808,L808))))^v01_CrowdingExp)</x:f>
        <x:v>0.3141821421246045</x:v>
      </x:c>
      <x:c r="Q808" s="9" t="n">
        <x:f>IF(D808=1,INDEX(v01_WinterMult,G808),1)</x:f>
        <x:v>1</x:v>
      </x:c>
      <x:c r="R808" s="9" t="n">
        <x:f>H808*Z807*v01_WomenShare*v01_BaseFertility*INDEX(v01_FertMult,G808)*Arch_Fertility*(1-P808)</x:f>
        <x:v>8.026528717275164</x:v>
      </x:c>
      <x:c r="S808" s="9" t="n">
        <x:f>H808*Y807*INDEX(v01_MortChild,G808)/4*Q808</x:f>
        <x:v>2.2131598484128725</x:v>
      </x:c>
      <x:c r="T808" s="9" t="n">
        <x:f>H808*Z807*INDEX(v01_MortAdult,G808)*Arch_AdultMort/4*Q808</x:f>
        <x:v>0.8252529039351046</x:v>
      </x:c>
      <x:c r="U808" s="9" t="n">
        <x:f>H808*AA807*INDEX(v01_MortElder,G808)/4*Q808</x:f>
        <x:v>1.5829130193288172</x:v>
      </x:c>
      <x:c r="V808" s="9" t="n">
        <x:f>H808*MAX(0,AB807-O808)*v01_OvercapLoss</x:f>
        <x:v>0</x:v>
      </x:c>
      <x:c r="W808" s="9" t="n">
        <x:f>H808*Y807/(v01_ChildYears*4)</x:f>
        <x:v>5.269428210506839</x:v>
      </x:c>
      <x:c r="X808" s="9" t="n">
        <x:f>H808*Z807/(v01_AdultYears*4)</x:f>
        <x:v>2.420096492478313</x:v>
      </x:c>
      <x:c r="Y808" s="32" t="n">
        <x:f>Y807+R808-S808-W808-Y807*V808/AB807</x:f>
        <x:v>295.63192044673843</x:v>
      </x:c>
      <x:c r="Z808" s="32" t="n">
        <x:f>Z807+W808-X808-T808-Z807*V808/AB807</x:f>
        <x:v>302.1160438814042</x:v>
      </x:c>
      <x:c r="AA808" s="32" t="n">
        <x:f>AA807+X808-U808-AA807*V808/AB807</x:f>
        <x:v>98.24721543184593</x:v>
      </x:c>
      <x:c r="AB808" s="10" t="n">
        <x:f>Y808+Z808+AA808</x:f>
        <x:v>695.9951797599886</x:v>
      </x:c>
      <x:c r="AC808" s="8" t="n">
        <x:f>IF(AND(v01_WinterTrigger=1,D808=1,AB807/AE807&gt;=K808),1,0)</x:f>
        <x:v>0</x:v>
      </x:c>
      <x:c r="AD808" s="8" t="n">
        <x:f>H808*IF(AND(OR(AB807/AE807&gt;=v01_FissionTrigger*N808,AC808=1),AB807/AE807*v01_DaughterShare&gt;=v01_MinDaughter),MAX(1,ROUND(AE807*v01_FissionRate,0)),0)</x:f>
        <x:v>0</x:v>
      </x:c>
      <x:c r="AE808" s="8" t="n">
        <x:f>IF(H808=1,MAX(1,MIN(INDEX(v01_Smax,G808),AE807+AD808)),AE807)</x:f>
        <x:v>7</x:v>
      </x:c>
      <x:c r="AF808" s="8" t="n">
        <x:f>MAX(0,AE808-AE807)</x:f>
        <x:v>0</x:v>
      </x:c>
      <x:c r="AG808" s="9" t="str">
        <x:f>IF(AF808&gt;0,B808,"")</x:f>
      </x:c>
      <x:c r="AH808" s="9" t="n">
        <x:f>IF(F808&gt;=1,1,(1+v01_LowTiesShare*(AE808-1))/AE808)</x:f>
        <x:v>1</x:v>
      </x:c>
      <x:c r="AI808" s="32" t="n">
        <x:f>(Z808+v01_ElderCommons*INDEX(LM_Elder,G808)*AA808)*AH808</x:f>
        <x:v>596.857690176942</x:v>
      </x:c>
      <x:c r="AJ808" s="32" t="n">
        <x:f>H808*v01_CommonsCoef*AI808^v01_CommonsExp*INDEX(LM_Commons,G808)</x:f>
        <x:v>151.0198763474839</x:v>
      </x:c>
      <x:c r="AK808" s="32" t="n">
        <x:f>H808*v01_RoleScale*Arch_Roles*(AE808*(INDEX(v01_ElderRolePerSett,G808)*v01_OutElder*INDEX(LM_Elder,G808)+INDEX(v01_ShamanPerSett,G808)*v01_OutShaman)+Z808*(INDEX(v01_PriestShare,G808)*v01_OutPriest+INDEX(v01_ScribeShare,G808)*v01_OutScribe*INDEX(LM_Scribe,G808)+INDEX(v01_ScholarShare,G808)*v01_OutScholar*INDEX(LM_Scholar,G808)+INDEX(v01_ResearcherShare,G808)*v01_OutResearcher*INDEX(LM_Researcher,G808)))</x:f>
        <x:v>23.114812307169828</x:v>
      </x:c>
      <x:c r="AL808" s="32" t="n">
        <x:f>H808*v01_RoleScale*Arch_Roles*AE808*INDEX(v01_MonasteryPerSett,G808)*v01_OutMonastery*INDEX(LM_Monastery,G808)</x:f>
        <x:v>0</x:v>
      </x:c>
      <x:c r="AM808" s="32" t="n">
        <x:f>(AJ808+AK808+AL808)/4*INDEX(LM_All,G808)*INDEX(v01_Boon,G808)*Arch_Insight</x:f>
        <x:v>46.881003424872596</x:v>
      </x:c>
      <x:c r="AN808" s="32" t="n">
        <x:f>H808*(v01_KHPerAdult*Z808+v01_KHOfCommons*AJ808/4*INDEX(LM_All,G808))*v01_KHUsable*Arch_KH</x:f>
        <x:v>10.574061535849147</x:v>
      </x:c>
      <x:c r="AO808" s="32" t="n">
        <x:f>MIN(AP807+AN808,AM808*v01_KHMaxRatio)</x:f>
        <x:v>10.574061535849147</x:v>
      </x:c>
      <x:c r="AP808" s="32" t="n">
        <x:f>AP807+AN808-AO808</x:f>
        <x:v>0</x:v>
      </x:c>
      <x:c r="AQ808" s="32" t="n">
        <x:f>AM808+AO808</x:f>
        <x:v>57.45506496072174</x:v>
      </x:c>
      <x:c r="AR808" s="10" t="n">
        <x:f>IF(H808=1,INDEX(v01_Req,G808),0)</x:f>
        <x:v>9805.661999999998</x:v>
      </x:c>
      <x:c r="AS808" s="32" t="n">
        <x:f>IF(H808=1,IF(E808=1,AS807-AR807,AS807)+AQ808,0)</x:f>
        <x:v>4170.966661733983</x:v>
      </x:c>
      <x:c r="AT808" s="11" t="n">
        <x:f>IF(AR808&gt;0,MIN(1,AS808/AR808),1)</x:f>
        <x:v>0.4253630873401493</x:v>
      </x:c>
      <x:c r="AU808" s="10" t="n">
        <x:f>AB808/INDEX(v01_RepScale,G808)</x:f>
        <x:v>139.1990359519977</x:v>
      </x:c>
      <x:c r="AV808" s="32" t="n">
        <x:f>AM808*60/v01_SeasonSeconds</x:f>
        <x:v>187.52401369949038</x:v>
      </x:c>
    </x:row>
    <x:row r="809">
      <x:c r="A809" s="8" t="n">
        <x:f>A808+1</x:f>
        <x:v>806</x:v>
      </x:c>
      <x:c r="B809" s="9" t="n">
        <x:f>A809*v01_SeasonSeconds/60</x:f>
        <x:v>201.5</x:v>
      </x:c>
      <x:c r="C809" s="9" t="n">
        <x:f>A809/4</x:f>
        <x:v>201.5</x:v>
      </x:c>
      <x:c r="D809" s="8" t="n">
        <x:f>IF(MOD(A809,4)=0,1,0)</x:f>
        <x:v>0</x:v>
      </x:c>
      <x:c r="E809" s="8" t="n">
        <x:f>IF(AND(F808&lt;=9,AS808&gt;=AR808),1,0)</x:f>
        <x:v>0</x:v>
      </x:c>
      <x:c r="F809" s="8" t="n">
        <x:f>MIN(10,F808+E809)</x:f>
        <x:v>3</x:v>
      </x:c>
      <x:c r="G809" s="8" t="n">
        <x:f>MIN(F809,9)+1</x:f>
        <x:v>4</x:v>
      </x:c>
      <x:c r="H809" s="8" t="n">
        <x:f>IF(F809&lt;=9,1,0)</x:f>
        <x:v>1</x:v>
      </x:c>
      <x:c r="I809" s="9" t="n">
        <x:f>MIN(10,F808+IF(AR808&gt;0,MIN(1,AS808/AR808),1))</x:f>
        <x:v>3.4253630873401493</x:v>
      </x:c>
      <x:c r="J809" s="32" t="n">
        <x:f>INDEX(v01_FoodCap,G809)*Arch_FoodCap*EXP(v01_CapsByProject*SUMPRODUCT((Cap_Point&lt;=I809)*(Cap_Kind="Food")*Cap_Ln))</x:f>
        <x:v>120</x:v>
      </x:c>
      <x:c r="K809" s="32" t="n">
        <x:f>J809*MIN(1,v01_LeanBase*EXP(v01_CapsByProject*SUMPRODUCT((Cap_Point&lt;=I809)*(Cap_Kind="Lean")*Cap_Ln)))</x:f>
        <x:v>120</x:v>
      </x:c>
      <x:c r="L809" s="10" t="n">
        <x:f>INDEX(v01_HousingCap,G809)*EXP(v01_CapsByProject*SUMPRODUCT((Cap_Point&lt;=I809)*(Cap_Kind="Housing")*Cap_Ln))</x:f>
        <x:v>200</x:v>
      </x:c>
      <x:c r="M809" s="10" t="n">
        <x:f>INDEX(v01_GroupCap,G809)*v01_CohesionFactor*EXP(v01_CapsByProject*SUMPRODUCT((Cap_Point&lt;=I809)*(Cap_Kind="Group")*Cap_Ln))</x:f>
        <x:v>5000</x:v>
      </x:c>
      <x:c r="N809" s="32" t="n">
        <x:f>MIN(J809,L809,M809)</x:f>
        <x:v>120</x:v>
      </x:c>
      <x:c r="O809" s="10" t="n">
        <x:f>AE808*N809</x:f>
        <x:v>840</x:v>
      </x:c>
      <x:c r="P809" s="9" t="n">
        <x:f>MIN(1,(AB808/(AE808*IF(v01_GroupInCrowding=1,N809,MIN(J809,L809))))^v01_CrowdingExp)</x:f>
        <x:v>0.32356510189471577</x:v>
      </x:c>
      <x:c r="Q809" s="9" t="n">
        <x:f>IF(D809=1,INDEX(v01_WinterMult,G809),1)</x:f>
        <x:v>1</x:v>
      </x:c>
      <x:c r="R809" s="9" t="n">
        <x:f>H809*Z808*v01_WomenShare*v01_BaseFertility*INDEX(v01_FertMult,G809)*Arch_Fertility*(1-P809)</x:f>
        <x:v>7.970111578996679</x:v>
      </x:c>
      <x:c r="S809" s="9" t="n">
        <x:f>H809*Y808*INDEX(v01_MortChild,G809)/4*Q809</x:f>
        <x:v>2.217239403350538</x:v>
      </x:c>
      <x:c r="T809" s="9" t="n">
        <x:f>H809*Z808*INDEX(v01_MortAdult,G809)*Arch_AdultMort/4*Q809</x:f>
        <x:v>0.8308191206738615</x:v>
      </x:c>
      <x:c r="U809" s="9" t="n">
        <x:f>H809*AA808*INDEX(v01_MortElder,G809)/4*Q809</x:f>
        <x:v>1.5965172507674965</x:v>
      </x:c>
      <x:c r="V809" s="9" t="n">
        <x:f>H809*MAX(0,AB808-O809)*v01_OvercapLoss</x:f>
        <x:v>0</x:v>
      </x:c>
      <x:c r="W809" s="9" t="n">
        <x:f>H809*Y808/(v01_ChildYears*4)</x:f>
        <x:v>5.2791414365489</x:v>
      </x:c>
      <x:c r="X809" s="9" t="n">
        <x:f>H809*Z808/(v01_AdultYears*4)</x:f>
        <x:v>2.4364197087210018</x:v>
      </x:c>
      <x:c r="Y809" s="32" t="n">
        <x:f>Y808+R809-S809-W809-Y808*V809/AB808</x:f>
        <x:v>296.10565118583565</x:v>
      </x:c>
      <x:c r="Z809" s="32" t="n">
        <x:f>Z808+W809-X809-T809-Z808*V809/AB808</x:f>
        <x:v>304.1279464885582</x:v>
      </x:c>
      <x:c r="AA809" s="32" t="n">
        <x:f>AA808+X809-U809-AA808*V809/AB808</x:f>
        <x:v>99.08711788979944</x:v>
      </x:c>
      <x:c r="AB809" s="10" t="n">
        <x:f>Y809+Z809+AA809</x:f>
        <x:v>699.3207155641933</x:v>
      </x:c>
      <x:c r="AC809" s="8" t="n">
        <x:f>IF(AND(v01_WinterTrigger=1,D809=1,AB808/AE808&gt;=K809),1,0)</x:f>
        <x:v>0</x:v>
      </x:c>
      <x:c r="AD809" s="8" t="n">
        <x:f>H809*IF(AND(OR(AB808/AE808&gt;=v01_FissionTrigger*N809,AC809=1),AB808/AE808*v01_DaughterShare&gt;=v01_MinDaughter),MAX(1,ROUND(AE808*v01_FissionRate,0)),0)</x:f>
        <x:v>0</x:v>
      </x:c>
      <x:c r="AE809" s="8" t="n">
        <x:f>IF(H809=1,MAX(1,MIN(INDEX(v01_Smax,G809),AE808+AD809)),AE808)</x:f>
        <x:v>7</x:v>
      </x:c>
      <x:c r="AF809" s="8" t="n">
        <x:f>MAX(0,AE809-AE808)</x:f>
        <x:v>0</x:v>
      </x:c>
      <x:c r="AG809" s="9" t="str">
        <x:f>IF(AF809&gt;0,B809,"")</x:f>
      </x:c>
      <x:c r="AH809" s="9" t="n">
        <x:f>IF(F809&gt;=1,1,(1+v01_LowTiesShare*(AE809-1))/AE809)</x:f>
        <x:v>1</x:v>
      </x:c>
      <x:c r="AI809" s="32" t="n">
        <x:f>(Z809+v01_ElderCommons*INDEX(LM_Elder,G809)*AA809)*AH809</x:f>
        <x:v>601.3893001579565</x:v>
      </x:c>
      <x:c r="AJ809" s="32" t="n">
        <x:f>H809*v01_CommonsCoef*AI809^v01_CommonsExp*INDEX(LM_Commons,G809)</x:f>
        <x:v>151.99394173601945</x:v>
      </x:c>
      <x:c r="AK809" s="32" t="n">
        <x:f>H809*v01_RoleScale*Arch_Roles*(AE809*(INDEX(v01_ElderRolePerSett,G809)*v01_OutElder*INDEX(LM_Elder,G809)+INDEX(v01_ShamanPerSett,G809)*v01_OutShaman)+Z809*(INDEX(v01_PriestShare,G809)*v01_OutPriest+INDEX(v01_ScribeShare,G809)*v01_OutScribe*INDEX(LM_Scribe,G809)+INDEX(v01_ScholarShare,G809)*v01_OutScholar*INDEX(LM_Scholar,G809)+INDEX(v01_ResearcherShare,G809)*v01_OutResearcher*INDEX(LM_Researcher,G809)))</x:f>
        <x:v>23.128895625419908</x:v>
      </x:c>
      <x:c r="AL809" s="32" t="n">
        <x:f>H809*v01_RoleScale*Arch_Roles*AE809*INDEX(v01_MonasteryPerSett,G809)*v01_OutMonastery*INDEX(LM_Monastery,G809)</x:f>
        <x:v>0</x:v>
      </x:c>
      <x:c r="AM809" s="32" t="n">
        <x:f>(AJ809+AK809+AL809)/4*INDEX(LM_All,G809)*INDEX(v01_Boon,G809)*Arch_Insight</x:f>
        <x:v>47.147035444483436</x:v>
      </x:c>
      <x:c r="AN809" s="32" t="n">
        <x:f>H809*(v01_KHPerAdult*Z809+v01_KHOfCommons*AJ809/4*INDEX(LM_All,G809))*v01_KHUsable*Arch_KH</x:f>
        <x:v>10.644478127099537</x:v>
      </x:c>
      <x:c r="AO809" s="32" t="n">
        <x:f>MIN(AP808+AN809,AM809*v01_KHMaxRatio)</x:f>
        <x:v>10.644478127099537</x:v>
      </x:c>
      <x:c r="AP809" s="32" t="n">
        <x:f>AP808+AN809-AO809</x:f>
        <x:v>0</x:v>
      </x:c>
      <x:c r="AQ809" s="32" t="n">
        <x:f>AM809+AO809</x:f>
        <x:v>57.791513571582975</x:v>
      </x:c>
      <x:c r="AR809" s="10" t="n">
        <x:f>IF(H809=1,INDEX(v01_Req,G809),0)</x:f>
        <x:v>9805.661999999998</x:v>
      </x:c>
      <x:c r="AS809" s="32" t="n">
        <x:f>IF(H809=1,IF(E809=1,AS808-AR808,AS808)+AQ809,0)</x:f>
        <x:v>4228.758175305566</x:v>
      </x:c>
      <x:c r="AT809" s="11" t="n">
        <x:f>IF(AR809&gt;0,MIN(1,AS809/AR809),1)</x:f>
        <x:v>0.43125677545336216</x:v>
      </x:c>
      <x:c r="AU809" s="10" t="n">
        <x:f>AB809/INDEX(v01_RepScale,G809)</x:f>
        <x:v>139.86414311283866</x:v>
      </x:c>
      <x:c r="AV809" s="32" t="n">
        <x:f>AM809*60/v01_SeasonSeconds</x:f>
        <x:v>188.58814177793374</x:v>
      </x:c>
    </x:row>
    <x:row r="810">
      <x:c r="A810" s="8" t="n">
        <x:f>A809+1</x:f>
        <x:v>807</x:v>
      </x:c>
      <x:c r="B810" s="9" t="n">
        <x:f>A810*v01_SeasonSeconds/60</x:f>
        <x:v>201.75</x:v>
      </x:c>
      <x:c r="C810" s="9" t="n">
        <x:f>A810/4</x:f>
        <x:v>201.75</x:v>
      </x:c>
      <x:c r="D810" s="8" t="n">
        <x:f>IF(MOD(A810,4)=0,1,0)</x:f>
        <x:v>0</x:v>
      </x:c>
      <x:c r="E810" s="8" t="n">
        <x:f>IF(AND(F809&lt;=9,AS809&gt;=AR809),1,0)</x:f>
        <x:v>0</x:v>
      </x:c>
      <x:c r="F810" s="8" t="n">
        <x:f>MIN(10,F809+E810)</x:f>
        <x:v>3</x:v>
      </x:c>
      <x:c r="G810" s="8" t="n">
        <x:f>MIN(F810,9)+1</x:f>
        <x:v>4</x:v>
      </x:c>
      <x:c r="H810" s="8" t="n">
        <x:f>IF(F810&lt;=9,1,0)</x:f>
        <x:v>1</x:v>
      </x:c>
      <x:c r="I810" s="9" t="n">
        <x:f>MIN(10,F809+IF(AR809&gt;0,MIN(1,AS809/AR809),1))</x:f>
        <x:v>3.4312567754533623</x:v>
      </x:c>
      <x:c r="J810" s="32" t="n">
        <x:f>INDEX(v01_FoodCap,G810)*Arch_FoodCap*EXP(v01_CapsByProject*SUMPRODUCT((Cap_Point&lt;=I810)*(Cap_Kind="Food")*Cap_Ln))</x:f>
        <x:v>120</x:v>
      </x:c>
      <x:c r="K810" s="32" t="n">
        <x:f>J810*MIN(1,v01_LeanBase*EXP(v01_CapsByProject*SUMPRODUCT((Cap_Point&lt;=I810)*(Cap_Kind="Lean")*Cap_Ln)))</x:f>
        <x:v>120</x:v>
      </x:c>
      <x:c r="L810" s="10" t="n">
        <x:f>INDEX(v01_HousingCap,G810)*EXP(v01_CapsByProject*SUMPRODUCT((Cap_Point&lt;=I810)*(Cap_Kind="Housing")*Cap_Ln))</x:f>
        <x:v>200</x:v>
      </x:c>
      <x:c r="M810" s="10" t="n">
        <x:f>INDEX(v01_GroupCap,G810)*v01_CohesionFactor*EXP(v01_CapsByProject*SUMPRODUCT((Cap_Point&lt;=I810)*(Cap_Kind="Group")*Cap_Ln))</x:f>
        <x:v>5000</x:v>
      </x:c>
      <x:c r="N810" s="32" t="n">
        <x:f>MIN(J810,L810,M810)</x:f>
        <x:v>120</x:v>
      </x:c>
      <x:c r="O810" s="10" t="n">
        <x:f>AE809*N810</x:f>
        <x:v>840</x:v>
      </x:c>
      <x:c r="P810" s="9" t="n">
        <x:f>MIN(1,(AB809/(AE809*IF(v01_GroupInCrowding=1,N810,MIN(J810,L810))))^v01_CrowdingExp)</x:f>
        <x:v>0.3329527783948496</x:v>
      </x:c>
      <x:c r="Q810" s="9" t="n">
        <x:f>IF(D810=1,INDEX(v01_WinterMult,G810),1)</x:f>
        <x:v>1</x:v>
      </x:c>
      <x:c r="R810" s="9" t="n">
        <x:f>H810*Z809*v01_WomenShare*v01_BaseFertility*INDEX(v01_FertMult,G810)*Arch_Fertility*(1-P810)</x:f>
        <x:v>7.911840366989232</x:v>
      </x:c>
      <x:c r="S810" s="9" t="n">
        <x:f>H810*Y809*INDEX(v01_MortChild,G810)/4*Q810</x:f>
        <x:v>2.2207923838937673</x:v>
      </x:c>
      <x:c r="T810" s="9" t="n">
        <x:f>H810*Z809*INDEX(v01_MortAdult,G810)*Arch_AdultMort/4*Q810</x:f>
        <x:v>0.8363518528435351</x:v>
      </x:c>
      <x:c r="U810" s="9" t="n">
        <x:f>H810*AA809*INDEX(v01_MortElder,G810)/4*Q810</x:f>
        <x:v>1.610165665709241</x:v>
      </x:c>
      <x:c r="V810" s="9" t="n">
        <x:f>H810*MAX(0,AB809-O810)*v01_OvercapLoss</x:f>
        <x:v>0</x:v>
      </x:c>
      <x:c r="W810" s="9" t="n">
        <x:f>H810*Y809/(v01_ChildYears*4)</x:f>
        <x:v>5.2876009140327795</x:v>
      </x:c>
      <x:c r="X810" s="9" t="n">
        <x:f>H810*Z809/(v01_AdultYears*4)</x:f>
        <x:v>2.4526447297464373</x:v>
      </x:c>
      <x:c r="Y810" s="32" t="n">
        <x:f>Y809+R810-S810-W810-Y809*V810/AB809</x:f>
        <x:v>296.50909825489833</x:v>
      </x:c>
      <x:c r="Z810" s="32" t="n">
        <x:f>Z809+W810-X810-T810-Z809*V810/AB809</x:f>
        <x:v>306.126550820001</x:v>
      </x:c>
      <x:c r="AA810" s="32" t="n">
        <x:f>AA809+X810-U810-AA809*V810/AB809</x:f>
        <x:v>99.92959695383664</x:v>
      </x:c>
      <x:c r="AB810" s="10" t="n">
        <x:f>Y810+Z810+AA810</x:f>
        <x:v>702.5652460287359</x:v>
      </x:c>
      <x:c r="AC810" s="8" t="n">
        <x:f>IF(AND(v01_WinterTrigger=1,D810=1,AB809/AE809&gt;=K810),1,0)</x:f>
        <x:v>0</x:v>
      </x:c>
      <x:c r="AD810" s="8" t="n">
        <x:f>H810*IF(AND(OR(AB809/AE809&gt;=v01_FissionTrigger*N810,AC810=1),AB809/AE809*v01_DaughterShare&gt;=v01_MinDaughter),MAX(1,ROUND(AE809*v01_FissionRate,0)),0)</x:f>
        <x:v>0</x:v>
      </x:c>
      <x:c r="AE810" s="8" t="n">
        <x:f>IF(H810=1,MAX(1,MIN(INDEX(v01_Smax,G810),AE809+AD810)),AE809)</x:f>
        <x:v>7</x:v>
      </x:c>
      <x:c r="AF810" s="8" t="n">
        <x:f>MAX(0,AE810-AE809)</x:f>
        <x:v>0</x:v>
      </x:c>
      <x:c r="AG810" s="9" t="str">
        <x:f>IF(AF810&gt;0,B810,"")</x:f>
      </x:c>
      <x:c r="AH810" s="9" t="n">
        <x:f>IF(F810&gt;=1,1,(1+v01_LowTiesShare*(AE810-1))/AE810)</x:f>
        <x:v>1</x:v>
      </x:c>
      <x:c r="AI810" s="32" t="n">
        <x:f>(Z810+v01_ElderCommons*INDEX(LM_Elder,G810)*AA810)*AH810</x:f>
        <x:v>605.9153416815109</x:v>
      </x:c>
      <x:c r="AJ810" s="32" t="n">
        <x:f>H810*v01_CommonsCoef*AI810^v01_CommonsExp*INDEX(LM_Commons,G810)</x:f>
        <x:v>152.96571185220918</x:v>
      </x:c>
      <x:c r="AK810" s="32" t="n">
        <x:f>H810*v01_RoleScale*Arch_Roles*(AE810*(INDEX(v01_ElderRolePerSett,G810)*v01_OutElder*INDEX(LM_Elder,G810)+INDEX(v01_ShamanPerSett,G810)*v01_OutShaman)+Z810*(INDEX(v01_PriestShare,G810)*v01_OutPriest+INDEX(v01_ScribeShare,G810)*v01_OutScribe*INDEX(LM_Scribe,G810)+INDEX(v01_ScholarShare,G810)*v01_OutScholar*INDEX(LM_Scholar,G810)+INDEX(v01_ResearcherShare,G810)*v01_OutResearcher*INDEX(LM_Researcher,G810)))</x:f>
        <x:v>23.14288585574001</x:v>
      </x:c>
      <x:c r="AL810" s="32" t="n">
        <x:f>H810*v01_RoleScale*Arch_Roles*AE810*INDEX(v01_MonasteryPerSett,G810)*v01_OutMonastery*INDEX(LM_Monastery,G810)</x:f>
        <x:v>0</x:v>
      </x:c>
      <x:c r="AM810" s="32" t="n">
        <x:f>(AJ810+AK810+AL810)/4*INDEX(LM_All,G810)*INDEX(v01_Boon,G810)*Arch_Insight</x:f>
        <x:v>47.41242446339673</x:v>
      </x:c>
      <x:c r="AN810" s="32" t="n">
        <x:f>H810*(v01_KHPerAdult*Z810+v01_KHOfCommons*AJ810/4*INDEX(LM_All,G810))*v01_KHUsable*Arch_KH</x:f>
        <x:v>10.714429278700035</x:v>
      </x:c>
      <x:c r="AO810" s="32" t="n">
        <x:f>MIN(AP809+AN810,AM810*v01_KHMaxRatio)</x:f>
        <x:v>10.714429278700035</x:v>
      </x:c>
      <x:c r="AP810" s="32" t="n">
        <x:f>AP809+AN810-AO810</x:f>
        <x:v>0</x:v>
      </x:c>
      <x:c r="AQ810" s="32" t="n">
        <x:f>AM810+AO810</x:f>
        <x:v>58.12685374209677</x:v>
      </x:c>
      <x:c r="AR810" s="10" t="n">
        <x:f>IF(H810=1,INDEX(v01_Req,G810),0)</x:f>
        <x:v>9805.661999999998</x:v>
      </x:c>
      <x:c r="AS810" s="32" t="n">
        <x:f>IF(H810=1,IF(E810=1,AS809-AR809,AS809)+AQ810,0)</x:f>
        <x:v>4286.885029047662</x:v>
      </x:c>
      <x:c r="AT810" s="11" t="n">
        <x:f>IF(AR810&gt;0,MIN(1,AS810/AR810),1)</x:f>
        <x:v>0.4371846621928905</x:v>
      </x:c>
      <x:c r="AU810" s="10" t="n">
        <x:f>AB810/INDEX(v01_RepScale,G810)</x:f>
        <x:v>140.5130492057472</x:v>
      </x:c>
      <x:c r="AV810" s="32" t="n">
        <x:f>AM810*60/v01_SeasonSeconds</x:f>
        <x:v>189.64969785358693</x:v>
      </x:c>
    </x:row>
    <x:row r="811">
      <x:c r="A811" s="8" t="n">
        <x:f>A810+1</x:f>
        <x:v>808</x:v>
      </x:c>
      <x:c r="B811" s="9" t="n">
        <x:f>A811*v01_SeasonSeconds/60</x:f>
        <x:v>202</x:v>
      </x:c>
      <x:c r="C811" s="9" t="n">
        <x:f>A811/4</x:f>
        <x:v>202</x:v>
      </x:c>
      <x:c r="D811" s="8" t="n">
        <x:f>IF(MOD(A811,4)=0,1,0)</x:f>
        <x:v>1</x:v>
      </x:c>
      <x:c r="E811" s="8" t="n">
        <x:f>IF(AND(F810&lt;=9,AS810&gt;=AR810),1,0)</x:f>
        <x:v>0</x:v>
      </x:c>
      <x:c r="F811" s="8" t="n">
        <x:f>MIN(10,F810+E811)</x:f>
        <x:v>3</x:v>
      </x:c>
      <x:c r="G811" s="8" t="n">
        <x:f>MIN(F811,9)+1</x:f>
        <x:v>4</x:v>
      </x:c>
      <x:c r="H811" s="8" t="n">
        <x:f>IF(F811&lt;=9,1,0)</x:f>
        <x:v>1</x:v>
      </x:c>
      <x:c r="I811" s="9" t="n">
        <x:f>MIN(10,F810+IF(AR810&gt;0,MIN(1,AS810/AR810),1))</x:f>
        <x:v>3.4371846621928905</x:v>
      </x:c>
      <x:c r="J811" s="32" t="n">
        <x:f>INDEX(v01_FoodCap,G811)*Arch_FoodCap*EXP(v01_CapsByProject*SUMPRODUCT((Cap_Point&lt;=I811)*(Cap_Kind="Food")*Cap_Ln))</x:f>
        <x:v>120</x:v>
      </x:c>
      <x:c r="K811" s="32" t="n">
        <x:f>J811*MIN(1,v01_LeanBase*EXP(v01_CapsByProject*SUMPRODUCT((Cap_Point&lt;=I811)*(Cap_Kind="Lean")*Cap_Ln)))</x:f>
        <x:v>120</x:v>
      </x:c>
      <x:c r="L811" s="10" t="n">
        <x:f>INDEX(v01_HousingCap,G811)*EXP(v01_CapsByProject*SUMPRODUCT((Cap_Point&lt;=I811)*(Cap_Kind="Housing")*Cap_Ln))</x:f>
        <x:v>200</x:v>
      </x:c>
      <x:c r="M811" s="10" t="n">
        <x:f>INDEX(v01_GroupCap,G811)*v01_CohesionFactor*EXP(v01_CapsByProject*SUMPRODUCT((Cap_Point&lt;=I811)*(Cap_Kind="Group")*Cap_Ln))</x:f>
        <x:v>5000</x:v>
      </x:c>
      <x:c r="N811" s="32" t="n">
        <x:f>MIN(J811,L811,M811)</x:f>
        <x:v>120</x:v>
      </x:c>
      <x:c r="O811" s="10" t="n">
        <x:f>AE810*N811</x:f>
        <x:v>840</x:v>
      </x:c>
      <x:c r="P811" s="9" t="n">
        <x:f>MIN(1,(AB810/(AE810*IF(v01_GroupInCrowding=1,N811,MIN(J811,L811))))^v01_CrowdingExp)</x:f>
        <x:v>0.3423294477089558</x:v>
      </x:c>
      <x:c r="Q811" s="9" t="n">
        <x:f>IF(D811=1,INDEX(v01_WinterMult,G811),1)</x:f>
        <x:v>1.15</x:v>
      </x:c>
      <x:c r="R811" s="9" t="n">
        <x:f>H811*Z810*v01_WomenShare*v01_BaseFertility*INDEX(v01_FertMult,G811)*Arch_Fertility*(1-P811)</x:f>
        <x:v>7.851886292200956</x:v>
      </x:c>
      <x:c r="S811" s="9" t="n">
        <x:f>H811*Y810*INDEX(v01_MortChild,G811)/4*Q811</x:f>
        <x:v>2.557390972448498</x:v>
      </x:c>
      <x:c r="T811" s="9" t="n">
        <x:f>H811*Z810*INDEX(v01_MortAdult,G811)*Arch_AdultMort/4*Q811</x:f>
        <x:v>0.968125216968253</x:v>
      </x:c>
      <x:c r="U811" s="9" t="n">
        <x:f>H811*AA810*INDEX(v01_MortElder,G811)/4*Q811</x:f>
        <x:v>1.867434343074822</x:v>
      </x:c>
      <x:c r="V811" s="9" t="n">
        <x:f>H811*MAX(0,AB810-O811)*v01_OvercapLoss</x:f>
        <x:v>0</x:v>
      </x:c>
      <x:c r="W811" s="9" t="n">
        <x:f>H811*Y810/(v01_ChildYears*4)</x:f>
        <x:v>5.294805325980327</x:v>
      </x:c>
      <x:c r="X811" s="9" t="n">
        <x:f>H811*Z810/(v01_AdultYears*4)</x:f>
        <x:v>2.468762506612911</x:v>
      </x:c>
      <x:c r="Y811" s="32" t="n">
        <x:f>Y810+R811-S811-W811-Y810*V811/AB810</x:f>
        <x:v>296.50878824867044</x:v>
      </x:c>
      <x:c r="Z811" s="32" t="n">
        <x:f>Z810+W811-X811-T811-Z810*V811/AB810</x:f>
        <x:v>307.9844684224002</x:v>
      </x:c>
      <x:c r="AA811" s="32" t="n">
        <x:f>AA810+X811-U811-AA810*V811/AB810</x:f>
        <x:v>100.53092511737472</x:v>
      </x:c>
      <x:c r="AB811" s="10" t="n">
        <x:f>Y811+Z811+AA811</x:f>
        <x:v>705.0241817884454</x:v>
      </x:c>
      <x:c r="AC811" s="8" t="n">
        <x:f>IF(AND(v01_WinterTrigger=1,D811=1,AB810/AE810&gt;=K811),1,0)</x:f>
        <x:v>0</x:v>
      </x:c>
      <x:c r="AD811" s="8" t="n">
        <x:f>H811*IF(AND(OR(AB810/AE810&gt;=v01_FissionTrigger*N811,AC811=1),AB810/AE810*v01_DaughterShare&gt;=v01_MinDaughter),MAX(1,ROUND(AE810*v01_FissionRate,0)),0)</x:f>
        <x:v>0</x:v>
      </x:c>
      <x:c r="AE811" s="8" t="n">
        <x:f>IF(H811=1,MAX(1,MIN(INDEX(v01_Smax,G811),AE810+AD811)),AE810)</x:f>
        <x:v>7</x:v>
      </x:c>
      <x:c r="AF811" s="8" t="n">
        <x:f>MAX(0,AE811-AE810)</x:f>
        <x:v>0</x:v>
      </x:c>
      <x:c r="AG811" s="9" t="str">
        <x:f>IF(AF811&gt;0,B811,"")</x:f>
      </x:c>
      <x:c r="AH811" s="9" t="n">
        <x:f>IF(F811&gt;=1,1,(1+v01_LowTiesShare*(AE811-1))/AE811)</x:f>
        <x:v>1</x:v>
      </x:c>
      <x:c r="AI811" s="32" t="n">
        <x:f>(Z811+v01_ElderCommons*INDEX(LM_Elder,G811)*AA811)*AH811</x:f>
        <x:v>609.5772437745243</x:v>
      </x:c>
      <x:c r="AJ811" s="32" t="n">
        <x:f>H811*v01_CommonsCoef*AI811^v01_CommonsExp*INDEX(LM_Commons,G811)</x:f>
        <x:v>153.75114885116008</x:v>
      </x:c>
      <x:c r="AK811" s="32" t="n">
        <x:f>H811*v01_RoleScale*Arch_Roles*(AE811*(INDEX(v01_ElderRolePerSett,G811)*v01_OutElder*INDEX(LM_Elder,G811)+INDEX(v01_ShamanPerSett,G811)*v01_OutShaman)+Z811*(INDEX(v01_PriestShare,G811)*v01_OutPriest+INDEX(v01_ScribeShare,G811)*v01_OutScribe*INDEX(LM_Scribe,G811)+INDEX(v01_ScholarShare,G811)*v01_OutScholar*INDEX(LM_Scholar,G811)+INDEX(v01_ResearcherShare,G811)*v01_OutResearcher*INDEX(LM_Researcher,G811)))</x:f>
        <x:v>23.1558912789568</x:v>
      </x:c>
      <x:c r="AL811" s="32" t="n">
        <x:f>H811*v01_RoleScale*Arch_Roles*AE811*INDEX(v01_MonasteryPerSett,G811)*v01_OutMonastery*INDEX(LM_Monastery,G811)</x:f>
        <x:v>0</x:v>
      </x:c>
      <x:c r="AM811" s="32" t="n">
        <x:f>(AJ811+AK811+AL811)/4*INDEX(LM_All,G811)*INDEX(v01_Boon,G811)*Arch_Insight</x:f>
        <x:v>47.6273832531554</x:v>
      </x:c>
      <x:c r="AN811" s="32" t="n">
        <x:f>H811*(v01_KHPerAdult*Z811+v01_KHOfCommons*AJ811/4*INDEX(LM_All,G811))*v01_KHUsable*Arch_KH</x:f>
        <x:v>10.779456394784008</x:v>
      </x:c>
      <x:c r="AO811" s="32" t="n">
        <x:f>MIN(AP810+AN811,AM811*v01_KHMaxRatio)</x:f>
        <x:v>10.779456394784008</x:v>
      </x:c>
      <x:c r="AP811" s="32" t="n">
        <x:f>AP810+AN811-AO811</x:f>
        <x:v>0</x:v>
      </x:c>
      <x:c r="AQ811" s="32" t="n">
        <x:f>AM811+AO811</x:f>
        <x:v>58.40683964793941</x:v>
      </x:c>
      <x:c r="AR811" s="10" t="n">
        <x:f>IF(H811=1,INDEX(v01_Req,G811),0)</x:f>
        <x:v>9805.661999999998</x:v>
      </x:c>
      <x:c r="AS811" s="32" t="n">
        <x:f>IF(H811=1,IF(E811=1,AS810-AR810,AS810)+AQ811,0)</x:f>
        <x:v>4345.291868695602</x:v>
      </x:c>
      <x:c r="AT811" s="11" t="n">
        <x:f>IF(AR811&gt;0,MIN(1,AS811/AR811),1)</x:f>
        <x:v>0.4431411024258844</x:v>
      </x:c>
      <x:c r="AU811" s="10" t="n">
        <x:f>AB811/INDEX(v01_RepScale,G811)</x:f>
        <x:v>141.00483635768907</x:v>
      </x:c>
      <x:c r="AV811" s="32" t="n">
        <x:f>AM811*60/v01_SeasonSeconds</x:f>
        <x:v>190.5095330126216</x:v>
      </x:c>
    </x:row>
    <x:row r="812">
      <x:c r="A812" s="8" t="n">
        <x:f>A811+1</x:f>
        <x:v>809</x:v>
      </x:c>
      <x:c r="B812" s="9" t="n">
        <x:f>A812*v01_SeasonSeconds/60</x:f>
        <x:v>202.25</x:v>
      </x:c>
      <x:c r="C812" s="9" t="n">
        <x:f>A812/4</x:f>
        <x:v>202.25</x:v>
      </x:c>
      <x:c r="D812" s="8" t="n">
        <x:f>IF(MOD(A812,4)=0,1,0)</x:f>
        <x:v>0</x:v>
      </x:c>
      <x:c r="E812" s="8" t="n">
        <x:f>IF(AND(F811&lt;=9,AS811&gt;=AR811),1,0)</x:f>
        <x:v>0</x:v>
      </x:c>
      <x:c r="F812" s="8" t="n">
        <x:f>MIN(10,F811+E812)</x:f>
        <x:v>3</x:v>
      </x:c>
      <x:c r="G812" s="8" t="n">
        <x:f>MIN(F812,9)+1</x:f>
        <x:v>4</x:v>
      </x:c>
      <x:c r="H812" s="8" t="n">
        <x:f>IF(F812&lt;=9,1,0)</x:f>
        <x:v>1</x:v>
      </x:c>
      <x:c r="I812" s="9" t="n">
        <x:f>MIN(10,F811+IF(AR811&gt;0,MIN(1,AS811/AR811),1))</x:f>
        <x:v>3.4431411024258844</x:v>
      </x:c>
      <x:c r="J812" s="32" t="n">
        <x:f>INDEX(v01_FoodCap,G812)*Arch_FoodCap*EXP(v01_CapsByProject*SUMPRODUCT((Cap_Point&lt;=I812)*(Cap_Kind="Food")*Cap_Ln))</x:f>
        <x:v>120</x:v>
      </x:c>
      <x:c r="K812" s="32" t="n">
        <x:f>J812*MIN(1,v01_LeanBase*EXP(v01_CapsByProject*SUMPRODUCT((Cap_Point&lt;=I812)*(Cap_Kind="Lean")*Cap_Ln)))</x:f>
        <x:v>120</x:v>
      </x:c>
      <x:c r="L812" s="10" t="n">
        <x:f>INDEX(v01_HousingCap,G812)*EXP(v01_CapsByProject*SUMPRODUCT((Cap_Point&lt;=I812)*(Cap_Kind="Housing")*Cap_Ln))</x:f>
        <x:v>200</x:v>
      </x:c>
      <x:c r="M812" s="10" t="n">
        <x:f>INDEX(v01_GroupCap,G812)*v01_CohesionFactor*EXP(v01_CapsByProject*SUMPRODUCT((Cap_Point&lt;=I812)*(Cap_Kind="Group")*Cap_Ln))</x:f>
        <x:v>5000</x:v>
      </x:c>
      <x:c r="N812" s="32" t="n">
        <x:f>MIN(J812,L812,M812)</x:f>
        <x:v>120</x:v>
      </x:c>
      <x:c r="O812" s="10" t="n">
        <x:f>AE811*N812</x:f>
        <x:v>840</x:v>
      </x:c>
      <x:c r="P812" s="9" t="n">
        <x:f>MIN(1,(AB811/(AE811*IF(v01_GroupInCrowding=1,N812,MIN(J812,L812))))^v01_CrowdingExp)</x:f>
        <x:v>0.34958143672432707</x:v>
      </x:c>
      <x:c r="Q812" s="9" t="n">
        <x:f>IF(D812=1,INDEX(v01_WinterMult,G812),1)</x:f>
        <x:v>1</x:v>
      </x:c>
      <x:c r="R812" s="9" t="n">
        <x:f>H812*Z811*v01_WomenShare*v01_BaseFertility*INDEX(v01_FertMult,G812)*Arch_Fertility*(1-P812)</x:f>
        <x:v>7.812433803038257</x:v>
      </x:c>
      <x:c r="S812" s="9" t="n">
        <x:f>H812*Y811*INDEX(v01_MortChild,G812)/4*Q812</x:f>
        <x:v>2.223815911865028</x:v>
      </x:c>
      <x:c r="T812" s="9" t="n">
        <x:f>H812*Z811*INDEX(v01_MortAdult,G812)*Arch_AdultMort/4*Q812</x:f>
        <x:v>0.8469572881616005</x:v>
      </x:c>
      <x:c r="U812" s="9" t="n">
        <x:f>H812*AA811*INDEX(v01_MortElder,G812)/4*Q812</x:f>
        <x:v>1.6336275331573393</x:v>
      </x:c>
      <x:c r="V812" s="9" t="n">
        <x:f>H812*MAX(0,AB811-O812)*v01_OvercapLoss</x:f>
        <x:v>0</x:v>
      </x:c>
      <x:c r="W812" s="9" t="n">
        <x:f>H812*Y811/(v01_ChildYears*4)</x:f>
        <x:v>5.294799790154829</x:v>
      </x:c>
      <x:c r="X812" s="9" t="n">
        <x:f>H812*Z811/(v01_AdultYears*4)</x:f>
        <x:v>2.4837457130838727</x:v>
      </x:c>
      <x:c r="Y812" s="32" t="n">
        <x:f>Y811+R812-S812-W812-Y811*V812/AB811</x:f>
        <x:v>296.8026063496888</x:v>
      </x:c>
      <x:c r="Z812" s="32" t="n">
        <x:f>Z811+W812-X812-T812-Z811*V812/AB811</x:f>
        <x:v>309.9485652113096</x:v>
      </x:c>
      <x:c r="AA812" s="32" t="n">
        <x:f>AA811+X812-U812-AA811*V812/AB811</x:f>
        <x:v>101.38104329730126</x:v>
      </x:c>
      <x:c r="AB812" s="10" t="n">
        <x:f>Y812+Z812+AA812</x:f>
        <x:v>708.1322148582997</x:v>
      </x:c>
      <x:c r="AC812" s="8" t="n">
        <x:f>IF(AND(v01_WinterTrigger=1,D812=1,AB811/AE811&gt;=K812),1,0)</x:f>
        <x:v>0</x:v>
      </x:c>
      <x:c r="AD812" s="8" t="n">
        <x:f>H812*IF(AND(OR(AB811/AE811&gt;=v01_FissionTrigger*N812,AC812=1),AB811/AE811*v01_DaughterShare&gt;=v01_MinDaughter),MAX(1,ROUND(AE811*v01_FissionRate,0)),0)</x:f>
        <x:v>0</x:v>
      </x:c>
      <x:c r="AE812" s="8" t="n">
        <x:f>IF(H812=1,MAX(1,MIN(INDEX(v01_Smax,G812),AE811+AD812)),AE811)</x:f>
        <x:v>7</x:v>
      </x:c>
      <x:c r="AF812" s="8" t="n">
        <x:f>MAX(0,AE812-AE811)</x:f>
        <x:v>0</x:v>
      </x:c>
      <x:c r="AG812" s="9" t="str">
        <x:f>IF(AF812&gt;0,B812,"")</x:f>
      </x:c>
      <x:c r="AH812" s="9" t="n">
        <x:f>IF(F812&gt;=1,1,(1+v01_LowTiesShare*(AE812-1))/AE812)</x:f>
        <x:v>1</x:v>
      </x:c>
      <x:c r="AI812" s="32" t="n">
        <x:f>(Z812+v01_ElderCommons*INDEX(LM_Elder,G812)*AA812)*AH812</x:f>
        <x:v>614.0916951032134</x:v>
      </x:c>
      <x:c r="AJ812" s="32" t="n">
        <x:f>H812*v01_CommonsCoef*AI812^v01_CommonsExp*INDEX(LM_Commons,G812)</x:f>
        <x:v>154.71847497206738</x:v>
      </x:c>
      <x:c r="AK812" s="32" t="n">
        <x:f>H812*v01_RoleScale*Arch_Roles*(AE812*(INDEX(v01_ElderRolePerSett,G812)*v01_OutElder*INDEX(LM_Elder,G812)+INDEX(v01_ShamanPerSett,G812)*v01_OutShaman)+Z812*(INDEX(v01_PriestShare,G812)*v01_OutPriest+INDEX(v01_ScribeShare,G812)*v01_OutScribe*INDEX(LM_Scribe,G812)+INDEX(v01_ScholarShare,G812)*v01_OutScholar*INDEX(LM_Scholar,G812)+INDEX(v01_ResearcherShare,G812)*v01_OutResearcher*INDEX(LM_Researcher,G812)))</x:f>
        <x:v>23.169639956479166</x:v>
      </x:c>
      <x:c r="AL812" s="32" t="n">
        <x:f>H812*v01_RoleScale*Arch_Roles*AE812*INDEX(v01_MonasteryPerSett,G812)*v01_OutMonastery*INDEX(LM_Monastery,G812)</x:f>
        <x:v>0</x:v>
      </x:c>
      <x:c r="AM812" s="32" t="n">
        <x:f>(AJ812+AK812+AL812)/4*INDEX(LM_All,G812)*INDEX(v01_Boon,G812)*Arch_Insight</x:f>
        <x:v>47.891510816368566</x:v>
      </x:c>
      <x:c r="AN812" s="32" t="n">
        <x:f>H812*(v01_KHPerAdult*Z812+v01_KHOfCommons*AJ812/4*INDEX(LM_All,G812))*v01_KHUsable*Arch_KH</x:f>
        <x:v>10.848199782395834</x:v>
      </x:c>
      <x:c r="AO812" s="32" t="n">
        <x:f>MIN(AP811+AN812,AM812*v01_KHMaxRatio)</x:f>
        <x:v>10.848199782395834</x:v>
      </x:c>
      <x:c r="AP812" s="32" t="n">
        <x:f>AP811+AN812-AO812</x:f>
        <x:v>0</x:v>
      </x:c>
      <x:c r="AQ812" s="32" t="n">
        <x:f>AM812+AO812</x:f>
        <x:v>58.739710598764404</x:v>
      </x:c>
      <x:c r="AR812" s="10" t="n">
        <x:f>IF(H812=1,INDEX(v01_Req,G812),0)</x:f>
        <x:v>9805.661999999998</x:v>
      </x:c>
      <x:c r="AS812" s="32" t="n">
        <x:f>IF(H812=1,IF(E812=1,AS811-AR811,AS811)+AQ812,0)</x:f>
        <x:v>4404.031579294367</x:v>
      </x:c>
      <x:c r="AT812" s="11" t="n">
        <x:f>IF(AR812&gt;0,MIN(1,AS812/AR812),1)</x:f>
        <x:v>0.4491314894694889</x:v>
      </x:c>
      <x:c r="AU812" s="10" t="n">
        <x:f>AB812/INDEX(v01_RepScale,G812)</x:f>
        <x:v>141.62644297165994</x:v>
      </x:c>
      <x:c r="AV812" s="32" t="n">
        <x:f>AM812*60/v01_SeasonSeconds</x:f>
        <x:v>191.5660432654743</x:v>
      </x:c>
    </x:row>
    <x:row r="813">
      <x:c r="A813" s="8" t="n">
        <x:f>A812+1</x:f>
        <x:v>810</x:v>
      </x:c>
      <x:c r="B813" s="9" t="n">
        <x:f>A813*v01_SeasonSeconds/60</x:f>
        <x:v>202.5</x:v>
      </x:c>
      <x:c r="C813" s="9" t="n">
        <x:f>A813/4</x:f>
        <x:v>202.5</x:v>
      </x:c>
      <x:c r="D813" s="8" t="n">
        <x:f>IF(MOD(A813,4)=0,1,0)</x:f>
        <x:v>0</x:v>
      </x:c>
      <x:c r="E813" s="8" t="n">
        <x:f>IF(AND(F812&lt;=9,AS812&gt;=AR812),1,0)</x:f>
        <x:v>0</x:v>
      </x:c>
      <x:c r="F813" s="8" t="n">
        <x:f>MIN(10,F812+E813)</x:f>
        <x:v>3</x:v>
      </x:c>
      <x:c r="G813" s="8" t="n">
        <x:f>MIN(F813,9)+1</x:f>
        <x:v>4</x:v>
      </x:c>
      <x:c r="H813" s="8" t="n">
        <x:f>IF(F813&lt;=9,1,0)</x:f>
        <x:v>1</x:v>
      </x:c>
      <x:c r="I813" s="9" t="n">
        <x:f>MIN(10,F812+IF(AR812&gt;0,MIN(1,AS812/AR812),1))</x:f>
        <x:v>3.449131489469489</x:v>
      </x:c>
      <x:c r="J813" s="32" t="n">
        <x:f>INDEX(v01_FoodCap,G813)*Arch_FoodCap*EXP(v01_CapsByProject*SUMPRODUCT((Cap_Point&lt;=I813)*(Cap_Kind="Food")*Cap_Ln))</x:f>
        <x:v>120</x:v>
      </x:c>
      <x:c r="K813" s="32" t="n">
        <x:f>J813*MIN(1,v01_LeanBase*EXP(v01_CapsByProject*SUMPRODUCT((Cap_Point&lt;=I813)*(Cap_Kind="Lean")*Cap_Ln)))</x:f>
        <x:v>120</x:v>
      </x:c>
      <x:c r="L813" s="10" t="n">
        <x:f>INDEX(v01_HousingCap,G813)*EXP(v01_CapsByProject*SUMPRODUCT((Cap_Point&lt;=I813)*(Cap_Kind="Housing")*Cap_Ln))</x:f>
        <x:v>200</x:v>
      </x:c>
      <x:c r="M813" s="10" t="n">
        <x:f>INDEX(v01_GroupCap,G813)*v01_CohesionFactor*EXP(v01_CapsByProject*SUMPRODUCT((Cap_Point&lt;=I813)*(Cap_Kind="Group")*Cap_Ln))</x:f>
        <x:v>5000</x:v>
      </x:c>
      <x:c r="N813" s="32" t="n">
        <x:f>MIN(J813,L813,M813)</x:f>
        <x:v>120</x:v>
      </x:c>
      <x:c r="O813" s="10" t="n">
        <x:f>AE812*N813</x:f>
        <x:v>840</x:v>
      </x:c>
      <x:c r="P813" s="9" t="n">
        <x:f>MIN(1,(AB812/(AE812*IF(v01_GroupInCrowding=1,N813,MIN(J813,L813))))^v01_CrowdingExp)</x:f>
        <x:v>0.3589305265544417</x:v>
      </x:c>
      <x:c r="Q813" s="9" t="n">
        <x:f>IF(D813=1,INDEX(v01_WinterMult,G813),1)</x:f>
        <x:v>1</x:v>
      </x:c>
      <x:c r="R813" s="9" t="n">
        <x:f>H813*Z812*v01_WomenShare*v01_BaseFertility*INDEX(v01_FertMult,G813)*Arch_Fertility*(1-P813)</x:f>
        <x:v>7.7492439763136005</x:v>
      </x:c>
      <x:c r="S813" s="9" t="n">
        <x:f>H813*Y812*INDEX(v01_MortChild,G813)/4*Q813</x:f>
        <x:v>2.226019547622666</x:v>
      </x:c>
      <x:c r="T813" s="9" t="n">
        <x:f>H813*Z812*INDEX(v01_MortAdult,G813)*Arch_AdultMort/4*Q813</x:f>
        <x:v>0.8523585543311013</x:v>
      </x:c>
      <x:c r="U813" s="9" t="n">
        <x:f>H813*AA812*INDEX(v01_MortElder,G813)/4*Q813</x:f>
        <x:v>1.6474419535811455</x:v>
      </x:c>
      <x:c r="V813" s="9" t="n">
        <x:f>H813*MAX(0,AB812-O813)*v01_OvercapLoss</x:f>
        <x:v>0</x:v>
      </x:c>
      <x:c r="W813" s="9" t="n">
        <x:f>H813*Y812/(v01_ChildYears*4)</x:f>
        <x:v>5.300046541958729</x:v>
      </x:c>
      <x:c r="X813" s="9" t="n">
        <x:f>H813*Z812/(v01_AdultYears*4)</x:f>
        <x:v>2.4995852033170127</x:v>
      </x:c>
      <x:c r="Y813" s="32" t="n">
        <x:f>Y812+R813-S813-W813-Y812*V813/AB812</x:f>
        <x:v>297.025784236421</x:v>
      </x:c>
      <x:c r="Z813" s="32" t="n">
        <x:f>Z812+W813-X813-T813-Z812*V813/AB812</x:f>
        <x:v>311.89666799562025</x:v>
      </x:c>
      <x:c r="AA813" s="32" t="n">
        <x:f>AA812+X813-U813-AA812*V813/AB812</x:f>
        <x:v>102.23318654703712</x:v>
      </x:c>
      <x:c r="AB813" s="10" t="n">
        <x:f>Y813+Z813+AA813</x:f>
        <x:v>711.1556387790783</x:v>
      </x:c>
      <x:c r="AC813" s="8" t="n">
        <x:f>IF(AND(v01_WinterTrigger=1,D813=1,AB812/AE812&gt;=K813),1,0)</x:f>
        <x:v>0</x:v>
      </x:c>
      <x:c r="AD813" s="8" t="n">
        <x:f>H813*IF(AND(OR(AB812/AE812&gt;=v01_FissionTrigger*N813,AC813=1),AB812/AE812*v01_DaughterShare&gt;=v01_MinDaughter),MAX(1,ROUND(AE812*v01_FissionRate,0)),0)</x:f>
        <x:v>0</x:v>
      </x:c>
      <x:c r="AE813" s="8" t="n">
        <x:f>IF(H813=1,MAX(1,MIN(INDEX(v01_Smax,G813),AE812+AD813)),AE812)</x:f>
        <x:v>7</x:v>
      </x:c>
      <x:c r="AF813" s="8" t="n">
        <x:f>MAX(0,AE813-AE812)</x:f>
        <x:v>0</x:v>
      </x:c>
      <x:c r="AG813" s="9" t="str">
        <x:f>IF(AF813&gt;0,B813,"")</x:f>
      </x:c>
      <x:c r="AH813" s="9" t="n">
        <x:f>IF(F813&gt;=1,1,(1+v01_LowTiesShare*(AE813-1))/AE813)</x:f>
        <x:v>1</x:v>
      </x:c>
      <x:c r="AI813" s="32" t="n">
        <x:f>(Z813+v01_ElderCommons*INDEX(LM_Elder,G813)*AA813)*AH813</x:f>
        <x:v>618.5962276367316</x:v>
      </x:c>
      <x:c r="AJ813" s="32" t="n">
        <x:f>H813*v01_CommonsCoef*AI813^v01_CommonsExp*INDEX(LM_Commons,G813)</x:f>
        <x:v>155.68261315823614</x:v>
      </x:c>
      <x:c r="AK813" s="32" t="n">
        <x:f>H813*v01_RoleScale*Arch_Roles*(AE813*(INDEX(v01_ElderRolePerSett,G813)*v01_OutElder*INDEX(LM_Elder,G813)+INDEX(v01_ShamanPerSett,G813)*v01_OutShaman)+Z813*(INDEX(v01_PriestShare,G813)*v01_OutPriest+INDEX(v01_ScribeShare,G813)*v01_OutScribe*INDEX(LM_Scribe,G813)+INDEX(v01_ScholarShare,G813)*v01_OutScholar*INDEX(LM_Scholar,G813)+INDEX(v01_ResearcherShare,G813)*v01_OutResearcher*INDEX(LM_Researcher,G813)))</x:f>
        <x:v>23.183276675969342</x:v>
      </x:c>
      <x:c r="AL813" s="32" t="n">
        <x:f>H813*v01_RoleScale*Arch_Roles*AE813*INDEX(v01_MonasteryPerSett,G813)*v01_OutMonastery*INDEX(LM_Monastery,G813)</x:f>
        <x:v>0</x:v>
      </x:c>
      <x:c r="AM813" s="32" t="n">
        <x:f>(AJ813+AK813+AL813)/4*INDEX(LM_All,G813)*INDEX(v01_Boon,G813)*Arch_Insight</x:f>
        <x:v>48.15474997368466</x:v>
      </x:c>
      <x:c r="AN813" s="32" t="n">
        <x:f>H813*(v01_KHPerAdult*Z813+v01_KHOfCommons*AJ813/4*INDEX(LM_All,G813))*v01_KHUsable*Arch_KH</x:f>
        <x:v>10.916383379846708</x:v>
      </x:c>
      <x:c r="AO813" s="32" t="n">
        <x:f>MIN(AP812+AN813,AM813*v01_KHMaxRatio)</x:f>
        <x:v>10.916383379846708</x:v>
      </x:c>
      <x:c r="AP813" s="32" t="n">
        <x:f>AP812+AN813-AO813</x:f>
        <x:v>0</x:v>
      </x:c>
      <x:c r="AQ813" s="32" t="n">
        <x:f>AM813+AO813</x:f>
        <x:v>59.071133353531366</x:v>
      </x:c>
      <x:c r="AR813" s="10" t="n">
        <x:f>IF(H813=1,INDEX(v01_Req,G813),0)</x:f>
        <x:v>9805.661999999998</x:v>
      </x:c>
      <x:c r="AS813" s="32" t="n">
        <x:f>IF(H813=1,IF(E813=1,AS812-AR812,AS812)+AQ813,0)</x:f>
        <x:v>4463.1027126478975</x:v>
      </x:c>
      <x:c r="AT813" s="11" t="n">
        <x:f>IF(AR813&gt;0,MIN(1,AS813/AR813),1)</x:f>
        <x:v>0.4551556756339244</x:v>
      </x:c>
      <x:c r="AU813" s="10" t="n">
        <x:f>AB813/INDEX(v01_RepScale,G813)</x:f>
        <x:v>142.23112775581566</x:v>
      </x:c>
      <x:c r="AV813" s="32" t="n">
        <x:f>AM813*60/v01_SeasonSeconds</x:f>
        <x:v>192.61899989473866</x:v>
      </x:c>
    </x:row>
    <x:row r="814">
      <x:c r="A814" s="8" t="n">
        <x:f>A813+1</x:f>
        <x:v>811</x:v>
      </x:c>
      <x:c r="B814" s="9" t="n">
        <x:f>A814*v01_SeasonSeconds/60</x:f>
        <x:v>202.75</x:v>
      </x:c>
      <x:c r="C814" s="9" t="n">
        <x:f>A814/4</x:f>
        <x:v>202.75</x:v>
      </x:c>
      <x:c r="D814" s="8" t="n">
        <x:f>IF(MOD(A814,4)=0,1,0)</x:f>
        <x:v>0</x:v>
      </x:c>
      <x:c r="E814" s="8" t="n">
        <x:f>IF(AND(F813&lt;=9,AS813&gt;=AR813),1,0)</x:f>
        <x:v>0</x:v>
      </x:c>
      <x:c r="F814" s="8" t="n">
        <x:f>MIN(10,F813+E814)</x:f>
        <x:v>3</x:v>
      </x:c>
      <x:c r="G814" s="8" t="n">
        <x:f>MIN(F814,9)+1</x:f>
        <x:v>4</x:v>
      </x:c>
      <x:c r="H814" s="8" t="n">
        <x:f>IF(F814&lt;=9,1,0)</x:f>
        <x:v>1</x:v>
      </x:c>
      <x:c r="I814" s="9" t="n">
        <x:f>MIN(10,F813+IF(AR813&gt;0,MIN(1,AS813/AR813),1))</x:f>
        <x:v>3.4551556756339243</x:v>
      </x:c>
      <x:c r="J814" s="32" t="n">
        <x:f>INDEX(v01_FoodCap,G814)*Arch_FoodCap*EXP(v01_CapsByProject*SUMPRODUCT((Cap_Point&lt;=I814)*(Cap_Kind="Food")*Cap_Ln))</x:f>
        <x:v>120</x:v>
      </x:c>
      <x:c r="K814" s="32" t="n">
        <x:f>J814*MIN(1,v01_LeanBase*EXP(v01_CapsByProject*SUMPRODUCT((Cap_Point&lt;=I814)*(Cap_Kind="Lean")*Cap_Ln)))</x:f>
        <x:v>120</x:v>
      </x:c>
      <x:c r="L814" s="10" t="n">
        <x:f>INDEX(v01_HousingCap,G814)*EXP(v01_CapsByProject*SUMPRODUCT((Cap_Point&lt;=I814)*(Cap_Kind="Housing")*Cap_Ln))</x:f>
        <x:v>200</x:v>
      </x:c>
      <x:c r="M814" s="10" t="n">
        <x:f>INDEX(v01_GroupCap,G814)*v01_CohesionFactor*EXP(v01_CapsByProject*SUMPRODUCT((Cap_Point&lt;=I814)*(Cap_Kind="Group")*Cap_Ln))</x:f>
        <x:v>5000</x:v>
      </x:c>
      <x:c r="N814" s="32" t="n">
        <x:f>MIN(J814,L814,M814)</x:f>
        <x:v>120</x:v>
      </x:c>
      <x:c r="O814" s="10" t="n">
        <x:f>AE813*N814</x:f>
        <x:v>840</x:v>
      </x:c>
      <x:c r="P814" s="9" t="n">
        <x:f>MIN(1,(AB813/(AE813*IF(v01_GroupInCrowding=1,N814,MIN(J814,L814))))^v01_CrowdingExp)</x:f>
        <x:v>0.36822411850278075</x:v>
      </x:c>
      <x:c r="Q814" s="9" t="n">
        <x:f>IF(D814=1,INDEX(v01_WinterMult,G814),1)</x:f>
        <x:v>1</x:v>
      </x:c>
      <x:c r="R814" s="9" t="n">
        <x:f>H814*Z813*v01_WomenShare*v01_BaseFertility*INDEX(v01_FertMult,G814)*Arch_Fertility*(1-P814)</x:f>
        <x:v>7.684902902000162</x:v>
      </x:c>
      <x:c r="S814" s="9" t="n">
        <x:f>H814*Y813*INDEX(v01_MortChild,G814)/4*Q814</x:f>
        <x:v>2.227693381773157</x:v>
      </x:c>
      <x:c r="T814" s="9" t="n">
        <x:f>H814*Z813*INDEX(v01_MortAdult,G814)*Arch_AdultMort/4*Q814</x:f>
        <x:v>0.8577158369879556</x:v>
      </x:c>
      <x:c r="U814" s="9" t="n">
        <x:f>H814*AA813*INDEX(v01_MortElder,G814)/4*Q814</x:f>
        <x:v>1.6612892813893532</x:v>
      </x:c>
      <x:c r="V814" s="9" t="n">
        <x:f>H814*MAX(0,AB813-O814)*v01_OvercapLoss</x:f>
        <x:v>0</x:v>
      </x:c>
      <x:c r="W814" s="9" t="n">
        <x:f>H814*Y813/(v01_ChildYears*4)</x:f>
        <x:v>5.304031861364661</x:v>
      </x:c>
      <x:c r="X814" s="9" t="n">
        <x:f>H814*Z813/(v01_AdultYears*4)</x:f>
        <x:v>2.515295709642099</x:v>
      </x:c>
      <x:c r="Y814" s="32" t="n">
        <x:f>Y813+R814-S814-W814-Y813*V814/AB813</x:f>
        <x:v>297.1789618952833</x:v>
      </x:c>
      <x:c r="Z814" s="32" t="n">
        <x:f>Z813+W814-X814-T814-Z813*V814/AB813</x:f>
        <x:v>313.82768831035486</x:v>
      </x:c>
      <x:c r="AA814" s="32" t="n">
        <x:f>AA813+X814-U814-AA813*V814/AB813</x:f>
        <x:v>103.08719297528987</x:v>
      </x:c>
      <x:c r="AB814" s="10" t="n">
        <x:f>Y814+Z814+AA814</x:f>
        <x:v>714.093843180928</x:v>
      </x:c>
      <x:c r="AC814" s="8" t="n">
        <x:f>IF(AND(v01_WinterTrigger=1,D814=1,AB813/AE813&gt;=K814),1,0)</x:f>
        <x:v>0</x:v>
      </x:c>
      <x:c r="AD814" s="8" t="n">
        <x:f>H814*IF(AND(OR(AB813/AE813&gt;=v01_FissionTrigger*N814,AC814=1),AB813/AE813*v01_DaughterShare&gt;=v01_MinDaughter),MAX(1,ROUND(AE813*v01_FissionRate,0)),0)</x:f>
        <x:v>0</x:v>
      </x:c>
      <x:c r="AE814" s="8" t="n">
        <x:f>IF(H814=1,MAX(1,MIN(INDEX(v01_Smax,G814),AE813+AD814)),AE813)</x:f>
        <x:v>7</x:v>
      </x:c>
      <x:c r="AF814" s="8" t="n">
        <x:f>MAX(0,AE814-AE813)</x:f>
        <x:v>0</x:v>
      </x:c>
      <x:c r="AG814" s="9" t="str">
        <x:f>IF(AF814&gt;0,B814,"")</x:f>
      </x:c>
      <x:c r="AH814" s="9" t="n">
        <x:f>IF(F814&gt;=1,1,(1+v01_LowTiesShare*(AE814-1))/AE814)</x:f>
        <x:v>1</x:v>
      </x:c>
      <x:c r="AI814" s="32" t="n">
        <x:f>(Z814+v01_ElderCommons*INDEX(LM_Elder,G814)*AA814)*AH814</x:f>
        <x:v>623.0892672362245</x:v>
      </x:c>
      <x:c r="AJ814" s="32" t="n">
        <x:f>H814*v01_CommonsCoef*AI814^v01_CommonsExp*INDEX(LM_Commons,G814)</x:f>
        <x:v>156.6432429013803</x:v>
      </x:c>
      <x:c r="AK814" s="32" t="n">
        <x:f>H814*v01_RoleScale*Arch_Roles*(AE814*(INDEX(v01_ElderRolePerSett,G814)*v01_OutElder*INDEX(LM_Elder,G814)+INDEX(v01_ShamanPerSett,G814)*v01_OutShaman)+Z814*(INDEX(v01_PriestShare,G814)*v01_OutPriest+INDEX(v01_ScribeShare,G814)*v01_OutScribe*INDEX(LM_Scribe,G814)+INDEX(v01_ScholarShare,G814)*v01_OutScholar*INDEX(LM_Scholar,G814)+INDEX(v01_ResearcherShare,G814)*v01_OutResearcher*INDEX(LM_Researcher,G814)))</x:f>
        <x:v>23.196793818172484</x:v>
      </x:c>
      <x:c r="AL814" s="32" t="n">
        <x:f>H814*v01_RoleScale*Arch_Roles*AE814*INDEX(v01_MonasteryPerSett,G814)*v01_OutMonastery*INDEX(LM_Monastery,G814)</x:f>
        <x:v>0</x:v>
      </x:c>
      <x:c r="AM814" s="32" t="n">
        <x:f>(AJ814+AK814+AL814)/4*INDEX(LM_All,G814)*INDEX(v01_Boon,G814)*Arch_Insight</x:f>
        <x:v>48.417012385735525</x:v>
      </x:c>
      <x:c r="AN814" s="32" t="n">
        <x:f>H814*(v01_KHPerAdult*Z814+v01_KHOfCommons*AJ814/4*INDEX(LM_All,G814))*v01_KHUsable*Arch_KH</x:f>
        <x:v>10.98396909086242</x:v>
      </x:c>
      <x:c r="AO814" s="32" t="n">
        <x:f>MIN(AP813+AN814,AM814*v01_KHMaxRatio)</x:f>
        <x:v>10.98396909086242</x:v>
      </x:c>
      <x:c r="AP814" s="32" t="n">
        <x:f>AP813+AN814-AO814</x:f>
        <x:v>0</x:v>
      </x:c>
      <x:c r="AQ814" s="32" t="n">
        <x:f>AM814+AO814</x:f>
        <x:v>59.40098147659795</x:v>
      </x:c>
      <x:c r="AR814" s="10" t="n">
        <x:f>IF(H814=1,INDEX(v01_Req,G814),0)</x:f>
        <x:v>9805.661999999998</x:v>
      </x:c>
      <x:c r="AS814" s="32" t="n">
        <x:f>IF(H814=1,IF(E814=1,AS813-AR813,AS813)+AQ814,0)</x:f>
        <x:v>4522.503694124495</x:v>
      </x:c>
      <x:c r="AT814" s="11" t="n">
        <x:f>IF(AR814&gt;0,MIN(1,AS814/AR814),1)</x:f>
        <x:v>0.4612135003352651</x:v>
      </x:c>
      <x:c r="AU814" s="10" t="n">
        <x:f>AB814/INDEX(v01_RepScale,G814)</x:f>
        <x:v>142.8187686361856</x:v>
      </x:c>
      <x:c r="AV814" s="32" t="n">
        <x:f>AM814*60/v01_SeasonSeconds</x:f>
        <x:v>193.6680495429421</x:v>
      </x:c>
    </x:row>
    <x:row r="815">
      <x:c r="A815" s="8" t="n">
        <x:f>A814+1</x:f>
        <x:v>812</x:v>
      </x:c>
      <x:c r="B815" s="9" t="n">
        <x:f>A815*v01_SeasonSeconds/60</x:f>
        <x:v>203</x:v>
      </x:c>
      <x:c r="C815" s="9" t="n">
        <x:f>A815/4</x:f>
        <x:v>203</x:v>
      </x:c>
      <x:c r="D815" s="8" t="n">
        <x:f>IF(MOD(A815,4)=0,1,0)</x:f>
        <x:v>1</x:v>
      </x:c>
      <x:c r="E815" s="8" t="n">
        <x:f>IF(AND(F814&lt;=9,AS814&gt;=AR814),1,0)</x:f>
        <x:v>0</x:v>
      </x:c>
      <x:c r="F815" s="8" t="n">
        <x:f>MIN(10,F814+E815)</x:f>
        <x:v>3</x:v>
      </x:c>
      <x:c r="G815" s="8" t="n">
        <x:f>MIN(F815,9)+1</x:f>
        <x:v>4</x:v>
      </x:c>
      <x:c r="H815" s="8" t="n">
        <x:f>IF(F815&lt;=9,1,0)</x:f>
        <x:v>1</x:v>
      </x:c>
      <x:c r="I815" s="9" t="n">
        <x:f>MIN(10,F814+IF(AR814&gt;0,MIN(1,AS814/AR814),1))</x:f>
        <x:v>3.461213500335265</x:v>
      </x:c>
      <x:c r="J815" s="32" t="n">
        <x:f>INDEX(v01_FoodCap,G815)*Arch_FoodCap*EXP(v01_CapsByProject*SUMPRODUCT((Cap_Point&lt;=I815)*(Cap_Kind="Food")*Cap_Ln))</x:f>
        <x:v>120</x:v>
      </x:c>
      <x:c r="K815" s="32" t="n">
        <x:f>J815*MIN(1,v01_LeanBase*EXP(v01_CapsByProject*SUMPRODUCT((Cap_Point&lt;=I815)*(Cap_Kind="Lean")*Cap_Ln)))</x:f>
        <x:v>120</x:v>
      </x:c>
      <x:c r="L815" s="10" t="n">
        <x:f>INDEX(v01_HousingCap,G815)*EXP(v01_CapsByProject*SUMPRODUCT((Cap_Point&lt;=I815)*(Cap_Kind="Housing")*Cap_Ln))</x:f>
        <x:v>200</x:v>
      </x:c>
      <x:c r="M815" s="10" t="n">
        <x:f>INDEX(v01_GroupCap,G815)*v01_CohesionFactor*EXP(v01_CapsByProject*SUMPRODUCT((Cap_Point&lt;=I815)*(Cap_Kind="Group")*Cap_Ln))</x:f>
        <x:v>5000</x:v>
      </x:c>
      <x:c r="N815" s="32" t="n">
        <x:f>MIN(J815,L815,M815)</x:f>
        <x:v>120</x:v>
      </x:c>
      <x:c r="O815" s="10" t="n">
        <x:f>AE814*N815</x:f>
        <x:v>840</x:v>
      </x:c>
      <x:c r="P815" s="9" t="n">
        <x:f>MIN(1,(AB814/(AE814*IF(v01_GroupInCrowding=1,N815,MIN(J815,L815))))^v01_CrowdingExp)</x:f>
        <x:v>0.3774470327826739</x:v>
      </x:c>
      <x:c r="Q815" s="9" t="n">
        <x:f>IF(D815=1,INDEX(v01_WinterMult,G815),1)</x:f>
        <x:v>1.15</x:v>
      </x:c>
      <x:c r="R815" s="9" t="n">
        <x:f>H815*Z814*v01_WomenShare*v01_BaseFertility*INDEX(v01_FertMult,G815)*Arch_Fertility*(1-P815)</x:f>
        <x:v>7.619599983550057</x:v>
      </x:c>
      <x:c r="S815" s="9" t="n">
        <x:f>H815*Y814*INDEX(v01_MortChild,G815)/4*Q815</x:f>
        <x:v>2.563168546346818</x:v>
      </x:c>
      <x:c r="T815" s="9" t="n">
        <x:f>H815*Z814*INDEX(v01_MortAdult,G815)*Arch_AdultMort/4*Q815</x:f>
        <x:v>0.992480064281497</x:v>
      </x:c>
      <x:c r="U815" s="9" t="n">
        <x:f>H815*AA814*INDEX(v01_MortElder,G815)/4*Q815</x:f>
        <x:v>1.9264419187257291</x:v>
      </x:c>
      <x:c r="V815" s="9" t="n">
        <x:f>H815*MAX(0,AB814-O815)*v01_OvercapLoss</x:f>
        <x:v>0</x:v>
      </x:c>
      <x:c r="W815" s="9" t="n">
        <x:f>H815*Y814/(v01_ChildYears*4)</x:f>
        <x:v>5.306767176701487</x:v>
      </x:c>
      <x:c r="X815" s="9" t="n">
        <x:f>H815*Z814/(v01_AdultYears*4)</x:f>
        <x:v>2.530868454115765</x:v>
      </x:c>
      <x:c r="Y815" s="32" t="n">
        <x:f>Y814+R815-S815-W815-Y814*V815/AB814</x:f>
        <x:v>296.928626155785</x:v>
      </x:c>
      <x:c r="Z815" s="32" t="n">
        <x:f>Z814+W815-X815-T815-Z814*V815/AB814</x:f>
        <x:v>315.6111069686591</x:v>
      </x:c>
      <x:c r="AA815" s="32" t="n">
        <x:f>AA814+X815-U815-AA814*V815/AB814</x:f>
        <x:v>103.6916195106799</x:v>
      </x:c>
      <x:c r="AB815" s="10" t="n">
        <x:f>Y815+Z815+AA815</x:f>
        <x:v>716.231352635124</x:v>
      </x:c>
      <x:c r="AC815" s="8" t="n">
        <x:f>IF(AND(v01_WinterTrigger=1,D815=1,AB814/AE814&gt;=K815),1,0)</x:f>
        <x:v>0</x:v>
      </x:c>
      <x:c r="AD815" s="8" t="n">
        <x:f>H815*IF(AND(OR(AB814/AE814&gt;=v01_FissionTrigger*N815,AC815=1),AB814/AE814*v01_DaughterShare&gt;=v01_MinDaughter),MAX(1,ROUND(AE814*v01_FissionRate,0)),0)</x:f>
        <x:v>2</x:v>
      </x:c>
      <x:c r="AE815" s="8" t="n">
        <x:f>IF(H815=1,MAX(1,MIN(INDEX(v01_Smax,G815),AE814+AD815)),AE814)</x:f>
        <x:v>9</x:v>
      </x:c>
      <x:c r="AF815" s="8" t="n">
        <x:f>MAX(0,AE815-AE814)</x:f>
        <x:v>2</x:v>
      </x:c>
      <x:c r="AG815" s="9" t="n">
        <x:f>IF(AF815&gt;0,B815,"")</x:f>
        <x:v>203</x:v>
      </x:c>
      <x:c r="AH815" s="9" t="n">
        <x:f>IF(F815&gt;=1,1,(1+v01_LowTiesShare*(AE815-1))/AE815)</x:f>
        <x:v>1</x:v>
      </x:c>
      <x:c r="AI815" s="32" t="n">
        <x:f>(Z815+v01_ElderCommons*INDEX(LM_Elder,G815)*AA815)*AH815</x:f>
        <x:v>626.6859655006988</x:v>
      </x:c>
      <x:c r="AJ815" s="32" t="n">
        <x:f>H815*v01_CommonsCoef*AI815^v01_CommonsExp*INDEX(LM_Commons,G815)</x:f>
        <x:v>157.4114824882279</x:v>
      </x:c>
      <x:c r="AK815" s="32" t="n">
        <x:f>H815*v01_RoleScale*Arch_Roles*(AE815*(INDEX(v01_ElderRolePerSett,G815)*v01_OutElder*INDEX(LM_Elder,G815)+INDEX(v01_ShamanPerSett,G815)*v01_OutShaman)+Z815*(INDEX(v01_PriestShare,G815)*v01_OutPriest+INDEX(v01_ScribeShare,G815)*v01_OutScribe*INDEX(LM_Scribe,G815)+INDEX(v01_ScholarShare,G815)*v01_OutScholar*INDEX(LM_Scholar,G815)+INDEX(v01_ResearcherShare,G815)*v01_OutResearcher*INDEX(LM_Researcher,G815)))</x:f>
        <x:v>29.209277748780615</x:v>
      </x:c>
      <x:c r="AL815" s="32" t="n">
        <x:f>H815*v01_RoleScale*Arch_Roles*AE815*INDEX(v01_MonasteryPerSett,G815)*v01_OutMonastery*INDEX(LM_Monastery,G815)</x:f>
        <x:v>0</x:v>
      </x:c>
      <x:c r="AM815" s="32" t="n">
        <x:f>(AJ815+AK815+AL815)/4*INDEX(LM_All,G815)*INDEX(v01_Boon,G815)*Arch_Insight</x:f>
        <x:v>50.24253678240179</x:v>
      </x:c>
      <x:c r="AN815" s="32" t="n">
        <x:f>H815*(v01_KHPerAdult*Z815+v01_KHOfCommons*AJ815/4*INDEX(LM_All,G815))*v01_KHUsable*Arch_KH</x:f>
        <x:v>11.046388743903067</x:v>
      </x:c>
      <x:c r="AO815" s="32" t="n">
        <x:f>MIN(AP814+AN815,AM815*v01_KHMaxRatio)</x:f>
        <x:v>11.046388743903067</x:v>
      </x:c>
      <x:c r="AP815" s="32" t="n">
        <x:f>AP814+AN815-AO815</x:f>
        <x:v>0</x:v>
      </x:c>
      <x:c r="AQ815" s="32" t="n">
        <x:f>AM815+AO815</x:f>
        <x:v>61.28892552630486</x:v>
      </x:c>
      <x:c r="AR815" s="10" t="n">
        <x:f>IF(H815=1,INDEX(v01_Req,G815),0)</x:f>
        <x:v>9805.661999999998</x:v>
      </x:c>
      <x:c r="AS815" s="32" t="n">
        <x:f>IF(H815=1,IF(E815=1,AS814-AR814,AS814)+AQ815,0)</x:f>
        <x:v>4583.7926196508</x:v>
      </x:c>
      <x:c r="AT815" s="11" t="n">
        <x:f>IF(AR815&gt;0,MIN(1,AS815/AR815),1)</x:f>
        <x:v>0.46746386114989485</x:v>
      </x:c>
      <x:c r="AU815" s="10" t="n">
        <x:f>AB815/INDEX(v01_RepScale,G815)</x:f>
        <x:v>143.24627052702482</x:v>
      </x:c>
      <x:c r="AV815" s="32" t="n">
        <x:f>AM815*60/v01_SeasonSeconds</x:f>
        <x:v>200.97014712960717</x:v>
      </x:c>
    </x:row>
    <x:row r="816">
      <x:c r="A816" s="8" t="n">
        <x:f>A815+1</x:f>
        <x:v>813</x:v>
      </x:c>
      <x:c r="B816" s="9" t="n">
        <x:f>A816*v01_SeasonSeconds/60</x:f>
        <x:v>203.25</x:v>
      </x:c>
      <x:c r="C816" s="9" t="n">
        <x:f>A816/4</x:f>
        <x:v>203.25</x:v>
      </x:c>
      <x:c r="D816" s="8" t="n">
        <x:f>IF(MOD(A816,4)=0,1,0)</x:f>
        <x:v>0</x:v>
      </x:c>
      <x:c r="E816" s="8" t="n">
        <x:f>IF(AND(F815&lt;=9,AS815&gt;=AR815),1,0)</x:f>
        <x:v>0</x:v>
      </x:c>
      <x:c r="F816" s="8" t="n">
        <x:f>MIN(10,F815+E816)</x:f>
        <x:v>3</x:v>
      </x:c>
      <x:c r="G816" s="8" t="n">
        <x:f>MIN(F816,9)+1</x:f>
        <x:v>4</x:v>
      </x:c>
      <x:c r="H816" s="8" t="n">
        <x:f>IF(F816&lt;=9,1,0)</x:f>
        <x:v>1</x:v>
      </x:c>
      <x:c r="I816" s="9" t="n">
        <x:f>MIN(10,F815+IF(AR815&gt;0,MIN(1,AS815/AR815),1))</x:f>
        <x:v>3.467463861149895</x:v>
      </x:c>
      <x:c r="J816" s="32" t="n">
        <x:f>INDEX(v01_FoodCap,G816)*Arch_FoodCap*EXP(v01_CapsByProject*SUMPRODUCT((Cap_Point&lt;=I816)*(Cap_Kind="Food")*Cap_Ln))</x:f>
        <x:v>120</x:v>
      </x:c>
      <x:c r="K816" s="32" t="n">
        <x:f>J816*MIN(1,v01_LeanBase*EXP(v01_CapsByProject*SUMPRODUCT((Cap_Point&lt;=I816)*(Cap_Kind="Lean")*Cap_Ln)))</x:f>
        <x:v>120</x:v>
      </x:c>
      <x:c r="L816" s="10" t="n">
        <x:f>INDEX(v01_HousingCap,G816)*EXP(v01_CapsByProject*SUMPRODUCT((Cap_Point&lt;=I816)*(Cap_Kind="Housing")*Cap_Ln))</x:f>
        <x:v>200</x:v>
      </x:c>
      <x:c r="M816" s="10" t="n">
        <x:f>INDEX(v01_GroupCap,G816)*v01_CohesionFactor*EXP(v01_CapsByProject*SUMPRODUCT((Cap_Point&lt;=I816)*(Cap_Kind="Group")*Cap_Ln))</x:f>
        <x:v>5000</x:v>
      </x:c>
      <x:c r="N816" s="32" t="n">
        <x:f>MIN(J816,L816,M816)</x:f>
        <x:v>120</x:v>
      </x:c>
      <x:c r="O816" s="10" t="n">
        <x:f>AE815*N816</x:f>
        <x:v>1080</x:v>
      </x:c>
      <x:c r="P816" s="9" t="n">
        <x:f>MIN(1,(AB815/(AE815*IF(v01_GroupInCrowding=1,N816,MIN(J816,L816))))^v01_CrowdingExp)</x:f>
        <x:v>0.08507019643815734</x:v>
      </x:c>
      <x:c r="Q816" s="9" t="n">
        <x:f>IF(D816=1,INDEX(v01_WinterMult,G816),1)</x:f>
        <x:v>1</x:v>
      </x:c>
      <x:c r="R816" s="9" t="n">
        <x:f>H816*Z815*v01_WomenShare*v01_BaseFertility*INDEX(v01_FertMult,G816)*Arch_Fertility*(1-P816)</x:f>
        <x:v>11.26171831593007</x:v>
      </x:c>
      <x:c r="S816" s="9" t="n">
        <x:f>H816*Y815*INDEX(v01_MortChild,G816)/4*Q816</x:f>
        <x:v>2.2269646961683875</x:v>
      </x:c>
      <x:c r="T816" s="9" t="n">
        <x:f>H816*Z815*INDEX(v01_MortAdult,G816)*Arch_AdultMort/4*Q816</x:f>
        <x:v>0.8679305441638124</x:v>
      </x:c>
      <x:c r="U816" s="9" t="n">
        <x:f>H816*AA815*INDEX(v01_MortElder,G816)/4*Q816</x:f>
        <x:v>1.6849888170485485</x:v>
      </x:c>
      <x:c r="V816" s="9" t="n">
        <x:f>H816*MAX(0,AB815-O816)*v01_OvercapLoss</x:f>
        <x:v>0</x:v>
      </x:c>
      <x:c r="W816" s="9" t="n">
        <x:f>H816*Y815/(v01_ChildYears*4)</x:f>
        <x:v>5.302296895639018</x:v>
      </x:c>
      <x:c r="X816" s="9" t="n">
        <x:f>H816*Z815/(v01_AdultYears*4)</x:f>
        <x:v>2.5452508626504766</x:v>
      </x:c>
      <x:c r="Y816" s="32" t="n">
        <x:f>Y815+R816-S816-W816-Y815*V816/AB815</x:f>
        <x:v>300.66108287990767</x:v>
      </x:c>
      <x:c r="Z816" s="32" t="n">
        <x:f>Z815+W816-X816-T816-Z815*V816/AB815</x:f>
        <x:v>317.50022245748386</x:v>
      </x:c>
      <x:c r="AA816" s="32" t="n">
        <x:f>AA815+X816-U816-AA815*V816/AB815</x:f>
        <x:v>104.55188155628183</x:v>
      </x:c>
      <x:c r="AB816" s="10" t="n">
        <x:f>Y816+Z816+AA816</x:f>
        <x:v>722.7131868936733</x:v>
      </x:c>
      <x:c r="AC816" s="8" t="n">
        <x:f>IF(AND(v01_WinterTrigger=1,D816=1,AB815/AE815&gt;=K816),1,0)</x:f>
        <x:v>0</x:v>
      </x:c>
      <x:c r="AD816" s="8" t="n">
        <x:f>H816*IF(AND(OR(AB815/AE815&gt;=v01_FissionTrigger*N816,AC816=1),AB815/AE815*v01_DaughterShare&gt;=v01_MinDaughter),MAX(1,ROUND(AE815*v01_FissionRate,0)),0)</x:f>
        <x:v>0</x:v>
      </x:c>
      <x:c r="AE816" s="8" t="n">
        <x:f>IF(H816=1,MAX(1,MIN(INDEX(v01_Smax,G816),AE815+AD816)),AE815)</x:f>
        <x:v>9</x:v>
      </x:c>
      <x:c r="AF816" s="8" t="n">
        <x:f>MAX(0,AE816-AE815)</x:f>
        <x:v>0</x:v>
      </x:c>
      <x:c r="AG816" s="9" t="str">
        <x:f>IF(AF816&gt;0,B816,"")</x:f>
      </x:c>
      <x:c r="AH816" s="9" t="n">
        <x:f>IF(F816&gt;=1,1,(1+v01_LowTiesShare*(AE816-1))/AE816)</x:f>
        <x:v>1</x:v>
      </x:c>
      <x:c r="AI816" s="32" t="n">
        <x:f>(Z816+v01_ElderCommons*INDEX(LM_Elder,G816)*AA816)*AH816</x:f>
        <x:v>631.1558671263293</x:v>
      </x:c>
      <x:c r="AJ816" s="32" t="n">
        <x:f>H816*v01_CommonsCoef*AI816^v01_CommonsExp*INDEX(LM_Commons,G816)</x:f>
        <x:v>158.3653138072253</x:v>
      </x:c>
      <x:c r="AK816" s="32" t="n">
        <x:f>H816*v01_RoleScale*Arch_Roles*(AE816*(INDEX(v01_ElderRolePerSett,G816)*v01_OutElder*INDEX(LM_Elder,G816)+INDEX(v01_ShamanPerSett,G816)*v01_OutShaman)+Z816*(INDEX(v01_PriestShare,G816)*v01_OutPriest+INDEX(v01_ScribeShare,G816)*v01_OutScribe*INDEX(LM_Scribe,G816)+INDEX(v01_ScholarShare,G816)*v01_OutScholar*INDEX(LM_Scholar,G816)+INDEX(v01_ResearcherShare,G816)*v01_OutResearcher*INDEX(LM_Researcher,G816)))</x:f>
        <x:v>29.22250155720239</x:v>
      </x:c>
      <x:c r="AL816" s="32" t="n">
        <x:f>H816*v01_RoleScale*Arch_Roles*AE816*INDEX(v01_MonasteryPerSett,G816)*v01_OutMonastery*INDEX(LM_Monastery,G816)</x:f>
        <x:v>0</x:v>
      </x:c>
      <x:c r="AM816" s="32" t="n">
        <x:f>(AJ816+AK816+AL816)/4*INDEX(LM_All,G816)*INDEX(v01_Boon,G816)*Arch_Insight</x:f>
        <x:v>50.50288993254577</x:v>
      </x:c>
      <x:c r="AN816" s="32" t="n">
        <x:f>H816*(v01_KHPerAdult*Z816+v01_KHOfCommons*AJ816/4*INDEX(LM_All,G816))*v01_KHUsable*Arch_KH</x:f>
        <x:v>11.112507786011935</x:v>
      </x:c>
      <x:c r="AO816" s="32" t="n">
        <x:f>MIN(AP815+AN816,AM816*v01_KHMaxRatio)</x:f>
        <x:v>11.112507786011935</x:v>
      </x:c>
      <x:c r="AP816" s="32" t="n">
        <x:f>AP815+AN816-AO816</x:f>
        <x:v>0</x:v>
      </x:c>
      <x:c r="AQ816" s="32" t="n">
        <x:f>AM816+AO816</x:f>
        <x:v>61.6153977185577</x:v>
      </x:c>
      <x:c r="AR816" s="10" t="n">
        <x:f>IF(H816=1,INDEX(v01_Req,G816),0)</x:f>
        <x:v>9805.661999999998</x:v>
      </x:c>
      <x:c r="AS816" s="32" t="n">
        <x:f>IF(H816=1,IF(E816=1,AS815-AR815,AS815)+AQ816,0)</x:f>
        <x:v>4645.408017369357</x:v>
      </x:c>
      <x:c r="AT816" s="11" t="n">
        <x:f>IF(AR816&gt;0,MIN(1,AS816/AR816),1)</x:f>
        <x:v>0.4737475162176055</x:v>
      </x:c>
      <x:c r="AU816" s="10" t="n">
        <x:f>AB816/INDEX(v01_RepScale,G816)</x:f>
        <x:v>144.54263737873467</x:v>
      </x:c>
      <x:c r="AV816" s="32" t="n">
        <x:f>AM816*60/v01_SeasonSeconds</x:f>
        <x:v>202.0115597301831</x:v>
      </x:c>
    </x:row>
    <x:row r="817">
      <x:c r="A817" s="8" t="n">
        <x:f>A816+1</x:f>
        <x:v>814</x:v>
      </x:c>
      <x:c r="B817" s="9" t="n">
        <x:f>A817*v01_SeasonSeconds/60</x:f>
        <x:v>203.5</x:v>
      </x:c>
      <x:c r="C817" s="9" t="n">
        <x:f>A817/4</x:f>
        <x:v>203.5</x:v>
      </x:c>
      <x:c r="D817" s="8" t="n">
        <x:f>IF(MOD(A817,4)=0,1,0)</x:f>
        <x:v>0</x:v>
      </x:c>
      <x:c r="E817" s="8" t="n">
        <x:f>IF(AND(F816&lt;=9,AS816&gt;=AR816),1,0)</x:f>
        <x:v>0</x:v>
      </x:c>
      <x:c r="F817" s="8" t="n">
        <x:f>MIN(10,F816+E817)</x:f>
        <x:v>3</x:v>
      </x:c>
      <x:c r="G817" s="8" t="n">
        <x:f>MIN(F817,9)+1</x:f>
        <x:v>4</x:v>
      </x:c>
      <x:c r="H817" s="8" t="n">
        <x:f>IF(F817&lt;=9,1,0)</x:f>
        <x:v>1</x:v>
      </x:c>
      <x:c r="I817" s="9" t="n">
        <x:f>MIN(10,F816+IF(AR816&gt;0,MIN(1,AS816/AR816),1))</x:f>
        <x:v>3.4737475162176055</x:v>
      </x:c>
      <x:c r="J817" s="32" t="n">
        <x:f>INDEX(v01_FoodCap,G817)*Arch_FoodCap*EXP(v01_CapsByProject*SUMPRODUCT((Cap_Point&lt;=I817)*(Cap_Kind="Food")*Cap_Ln))</x:f>
        <x:v>120</x:v>
      </x:c>
      <x:c r="K817" s="32" t="n">
        <x:f>J817*MIN(1,v01_LeanBase*EXP(v01_CapsByProject*SUMPRODUCT((Cap_Point&lt;=I817)*(Cap_Kind="Lean")*Cap_Ln)))</x:f>
        <x:v>120</x:v>
      </x:c>
      <x:c r="L817" s="10" t="n">
        <x:f>INDEX(v01_HousingCap,G817)*EXP(v01_CapsByProject*SUMPRODUCT((Cap_Point&lt;=I817)*(Cap_Kind="Housing")*Cap_Ln))</x:f>
        <x:v>200</x:v>
      </x:c>
      <x:c r="M817" s="10" t="n">
        <x:f>INDEX(v01_GroupCap,G817)*v01_CohesionFactor*EXP(v01_CapsByProject*SUMPRODUCT((Cap_Point&lt;=I817)*(Cap_Kind="Group")*Cap_Ln))</x:f>
        <x:v>5000</x:v>
      </x:c>
      <x:c r="N817" s="32" t="n">
        <x:f>MIN(J817,L817,M817)</x:f>
        <x:v>120</x:v>
      </x:c>
      <x:c r="O817" s="10" t="n">
        <x:f>AE816*N817</x:f>
        <x:v>1080</x:v>
      </x:c>
      <x:c r="P817" s="9" t="n">
        <x:f>MIN(1,(AB816/(AE816*IF(v01_GroupInCrowding=1,N817,MIN(J817,L817))))^v01_CrowdingExp)</x:f>
        <x:v>0.08979524538909352</x:v>
      </x:c>
      <x:c r="Q817" s="9" t="n">
        <x:f>IF(D817=1,INDEX(v01_WinterMult,G817),1)</x:f>
        <x:v>1</x:v>
      </x:c>
      <x:c r="R817" s="9" t="n">
        <x:f>H817*Z816*v01_WomenShare*v01_BaseFertility*INDEX(v01_FertMult,G817)*Arch_Fertility*(1-P817)</x:f>
        <x:v>11.27061827076207</x:v>
      </x:c>
      <x:c r="S817" s="9" t="n">
        <x:f>H817*Y816*INDEX(v01_MortChild,G817)/4*Q817</x:f>
        <x:v>2.2549581215993073</x:v>
      </x:c>
      <x:c r="T817" s="9" t="n">
        <x:f>H817*Z816*INDEX(v01_MortAdult,G817)*Arch_AdultMort/4*Q817</x:f>
        <x:v>0.8731256117580806</x:v>
      </x:c>
      <x:c r="U817" s="9" t="n">
        <x:f>H817*AA816*INDEX(v01_MortElder,G817)/4*Q817</x:f>
        <x:v>1.6989680752895797</x:v>
      </x:c>
      <x:c r="V817" s="9" t="n">
        <x:f>H817*MAX(0,AB816-O817)*v01_OvercapLoss</x:f>
        <x:v>0</x:v>
      </x:c>
      <x:c r="W817" s="9" t="n">
        <x:f>H817*Y816/(v01_ChildYears*4)</x:f>
        <x:v>5.36894790856978</x:v>
      </x:c>
      <x:c r="X817" s="9" t="n">
        <x:f>H817*Z816/(v01_AdultYears*4)</x:f>
        <x:v>2.5604856649797085</x:v>
      </x:c>
      <x:c r="Y817" s="32" t="n">
        <x:f>Y816+R817-S817-W817-Y816*V817/AB816</x:f>
        <x:v>304.3077951205006</x:v>
      </x:c>
      <x:c r="Z817" s="32" t="n">
        <x:f>Z816+W817-X817-T817-Z816*V817/AB816</x:f>
        <x:v>319.43555908931586</x:v>
      </x:c>
      <x:c r="AA817" s="32" t="n">
        <x:f>AA816+X817-U817-AA816*V817/AB816</x:f>
        <x:v>105.41339914597195</x:v>
      </x:c>
      <x:c r="AB817" s="10" t="n">
        <x:f>Y817+Z817+AA817</x:f>
        <x:v>729.1567533557885</x:v>
      </x:c>
      <x:c r="AC817" s="8" t="n">
        <x:f>IF(AND(v01_WinterTrigger=1,D817=1,AB816/AE816&gt;=K817),1,0)</x:f>
        <x:v>0</x:v>
      </x:c>
      <x:c r="AD817" s="8" t="n">
        <x:f>H817*IF(AND(OR(AB816/AE816&gt;=v01_FissionTrigger*N817,AC817=1),AB816/AE816*v01_DaughterShare&gt;=v01_MinDaughter),MAX(1,ROUND(AE816*v01_FissionRate,0)),0)</x:f>
        <x:v>0</x:v>
      </x:c>
      <x:c r="AE817" s="8" t="n">
        <x:f>IF(H817=1,MAX(1,MIN(INDEX(v01_Smax,G817),AE816+AD817)),AE816)</x:f>
        <x:v>9</x:v>
      </x:c>
      <x:c r="AF817" s="8" t="n">
        <x:f>MAX(0,AE817-AE816)</x:f>
        <x:v>0</x:v>
      </x:c>
      <x:c r="AG817" s="9" t="str">
        <x:f>IF(AF817&gt;0,B817,"")</x:f>
      </x:c>
      <x:c r="AH817" s="9" t="n">
        <x:f>IF(F817&gt;=1,1,(1+v01_LowTiesShare*(AE817-1))/AE817)</x:f>
        <x:v>1</x:v>
      </x:c>
      <x:c r="AI817" s="32" t="n">
        <x:f>(Z817+v01_ElderCommons*INDEX(LM_Elder,G817)*AA817)*AH817</x:f>
        <x:v>635.6757565272317</x:v>
      </x:c>
      <x:c r="AJ817" s="32" t="n">
        <x:f>H817*v01_CommonsCoef*AI817^v01_CommonsExp*INDEX(LM_Commons,G817)</x:f>
        <x:v>159.32878224712917</x:v>
      </x:c>
      <x:c r="AK817" s="32" t="n">
        <x:f>H817*v01_RoleScale*Arch_Roles*(AE817*(INDEX(v01_ElderRolePerSett,G817)*v01_OutElder*INDEX(LM_Elder,G817)+INDEX(v01_ShamanPerSett,G817)*v01_OutShaman)+Z817*(INDEX(v01_PriestShare,G817)*v01_OutPriest+INDEX(v01_ScribeShare,G817)*v01_OutScribe*INDEX(LM_Scribe,G817)+INDEX(v01_ScholarShare,G817)*v01_OutScholar*INDEX(LM_Scholar,G817)+INDEX(v01_ResearcherShare,G817)*v01_OutResearcher*INDEX(LM_Researcher,G817)))</x:f>
        <x:v>29.23604891362521</x:v>
      </x:c>
      <x:c r="AL817" s="32" t="n">
        <x:f>H817*v01_RoleScale*Arch_Roles*AE817*INDEX(v01_MonasteryPerSett,G817)*v01_OutMonastery*INDEX(LM_Monastery,G817)</x:f>
        <x:v>0</x:v>
      </x:c>
      <x:c r="AM817" s="32" t="n">
        <x:f>(AJ817+AK817+AL817)/4*INDEX(LM_All,G817)*INDEX(v01_Boon,G817)*Arch_Insight</x:f>
        <x:v>50.76592472043105</x:v>
      </x:c>
      <x:c r="AN817" s="32" t="n">
        <x:f>H817*(v01_KHPerAdult*Z817+v01_KHOfCommons*AJ817/4*INDEX(LM_All,G817))*v01_KHUsable*Arch_KH</x:f>
        <x:v>11.180244568126055</x:v>
      </x:c>
      <x:c r="AO817" s="32" t="n">
        <x:f>MIN(AP816+AN817,AM817*v01_KHMaxRatio)</x:f>
        <x:v>11.180244568126055</x:v>
      </x:c>
      <x:c r="AP817" s="32" t="n">
        <x:f>AP816+AN817-AO817</x:f>
        <x:v>0</x:v>
      </x:c>
      <x:c r="AQ817" s="32" t="n">
        <x:f>AM817+AO817</x:f>
        <x:v>61.94616928855711</x:v>
      </x:c>
      <x:c r="AR817" s="10" t="n">
        <x:f>IF(H817=1,INDEX(v01_Req,G817),0)</x:f>
        <x:v>9805.661999999998</x:v>
      </x:c>
      <x:c r="AS817" s="32" t="n">
        <x:f>IF(H817=1,IF(E817=1,AS816-AR816,AS816)+AQ817,0)</x:f>
        <x:v>4707.354186657914</x:v>
      </x:c>
      <x:c r="AT817" s="11" t="n">
        <x:f>IF(AR817&gt;0,MIN(1,AS817/AR817),1)</x:f>
        <x:v>0.4800649039970902</x:v>
      </x:c>
      <x:c r="AU817" s="10" t="n">
        <x:f>AB817/INDEX(v01_RepScale,G817)</x:f>
        <x:v>145.8313506711577</x:v>
      </x:c>
      <x:c r="AV817" s="32" t="n">
        <x:f>AM817*60/v01_SeasonSeconds</x:f>
        <x:v>203.0636988817242</x:v>
      </x:c>
    </x:row>
    <x:row r="818">
      <x:c r="A818" s="8" t="n">
        <x:f>A817+1</x:f>
        <x:v>815</x:v>
      </x:c>
      <x:c r="B818" s="9" t="n">
        <x:f>A818*v01_SeasonSeconds/60</x:f>
        <x:v>203.75</x:v>
      </x:c>
      <x:c r="C818" s="9" t="n">
        <x:f>A818/4</x:f>
        <x:v>203.75</x:v>
      </x:c>
      <x:c r="D818" s="8" t="n">
        <x:f>IF(MOD(A818,4)=0,1,0)</x:f>
        <x:v>0</x:v>
      </x:c>
      <x:c r="E818" s="8" t="n">
        <x:f>IF(AND(F817&lt;=9,AS817&gt;=AR817),1,0)</x:f>
        <x:v>0</x:v>
      </x:c>
      <x:c r="F818" s="8" t="n">
        <x:f>MIN(10,F817+E818)</x:f>
        <x:v>3</x:v>
      </x:c>
      <x:c r="G818" s="8" t="n">
        <x:f>MIN(F818,9)+1</x:f>
        <x:v>4</x:v>
      </x:c>
      <x:c r="H818" s="8" t="n">
        <x:f>IF(F818&lt;=9,1,0)</x:f>
        <x:v>1</x:v>
      </x:c>
      <x:c r="I818" s="9" t="n">
        <x:f>MIN(10,F817+IF(AR817&gt;0,MIN(1,AS817/AR817),1))</x:f>
        <x:v>3.48006490399709</x:v>
      </x:c>
      <x:c r="J818" s="32" t="n">
        <x:f>INDEX(v01_FoodCap,G818)*Arch_FoodCap*EXP(v01_CapsByProject*SUMPRODUCT((Cap_Point&lt;=I818)*(Cap_Kind="Food")*Cap_Ln))</x:f>
        <x:v>120</x:v>
      </x:c>
      <x:c r="K818" s="32" t="n">
        <x:f>J818*MIN(1,v01_LeanBase*EXP(v01_CapsByProject*SUMPRODUCT((Cap_Point&lt;=I818)*(Cap_Kind="Lean")*Cap_Ln)))</x:f>
        <x:v>120</x:v>
      </x:c>
      <x:c r="L818" s="10" t="n">
        <x:f>INDEX(v01_HousingCap,G818)*EXP(v01_CapsByProject*SUMPRODUCT((Cap_Point&lt;=I818)*(Cap_Kind="Housing")*Cap_Ln))</x:f>
        <x:v>200</x:v>
      </x:c>
      <x:c r="M818" s="10" t="n">
        <x:f>INDEX(v01_GroupCap,G818)*v01_CohesionFactor*EXP(v01_CapsByProject*SUMPRODUCT((Cap_Point&lt;=I818)*(Cap_Kind="Group")*Cap_Ln))</x:f>
        <x:v>5000</x:v>
      </x:c>
      <x:c r="N818" s="32" t="n">
        <x:f>MIN(J818,L818,M818)</x:f>
        <x:v>120</x:v>
      </x:c>
      <x:c r="O818" s="10" t="n">
        <x:f>AE817*N818</x:f>
        <x:v>1080</x:v>
      </x:c>
      <x:c r="P818" s="9" t="n">
        <x:f>MIN(1,(AB817/(AE817*IF(v01_GroupInCrowding=1,N818,MIN(J818,L818))))^v01_CrowdingExp)</x:f>
        <x:v>0.09470717498256169</x:v>
      </x:c>
      <x:c r="Q818" s="9" t="n">
        <x:f>IF(D818=1,INDEX(v01_WinterMult,G818),1)</x:f>
        <x:v>1</x:v>
      </x:c>
      <x:c r="R818" s="9" t="n">
        <x:f>H818*Z817*v01_WomenShare*v01_BaseFertility*INDEX(v01_FertMult,G818)*Arch_Fertility*(1-P818)</x:f>
        <x:v>11.278126068260672</x:v>
      </x:c>
      <x:c r="S818" s="9" t="n">
        <x:f>H818*Y817*INDEX(v01_MortChild,G818)/4*Q818</x:f>
        <x:v>2.2823084634037545</x:v>
      </x:c>
      <x:c r="T818" s="9" t="n">
        <x:f>H818*Z817*INDEX(v01_MortAdult,G818)*Arch_AdultMort/4*Q818</x:f>
        <x:v>0.8784477874956186</x:v>
      </x:c>
      <x:c r="U818" s="9" t="n">
        <x:f>H818*AA817*INDEX(v01_MortElder,G818)/4*Q818</x:f>
        <x:v>1.7129677361220443</x:v>
      </x:c>
      <x:c r="V818" s="9" t="n">
        <x:f>H818*MAX(0,AB817-O818)*v01_OvercapLoss</x:f>
        <x:v>0</x:v>
      </x:c>
      <x:c r="W818" s="9" t="n">
        <x:f>H818*Y817/(v01_ChildYears*4)</x:f>
        <x:v>5.434067770008939</x:v>
      </x:c>
      <x:c r="X818" s="9" t="n">
        <x:f>H818*Z817/(v01_AdultYears*4)</x:f>
        <x:v>2.5760932184622245</x:v>
      </x:c>
      <x:c r="Y818" s="32" t="n">
        <x:f>Y817+R818-S818-W818-Y817*V818/AB817</x:f>
        <x:v>307.8695449553486</x:v>
      </x:c>
      <x:c r="Z818" s="32" t="n">
        <x:f>Z817+W818-X818-T818-Z817*V818/AB817</x:f>
        <x:v>321.4150858533669</x:v>
      </x:c>
      <x:c r="AA818" s="32" t="n">
        <x:f>AA817+X818-U818-AA817*V818/AB817</x:f>
        <x:v>106.27652462831213</x:v>
      </x:c>
      <x:c r="AB818" s="10" t="n">
        <x:f>Y818+Z818+AA818</x:f>
        <x:v>735.5611554370277</x:v>
      </x:c>
      <x:c r="AC818" s="8" t="n">
        <x:f>IF(AND(v01_WinterTrigger=1,D818=1,AB817/AE817&gt;=K818),1,0)</x:f>
        <x:v>0</x:v>
      </x:c>
      <x:c r="AD818" s="8" t="n">
        <x:f>H818*IF(AND(OR(AB817/AE817&gt;=v01_FissionTrigger*N818,AC818=1),AB817/AE817*v01_DaughterShare&gt;=v01_MinDaughter),MAX(1,ROUND(AE817*v01_FissionRate,0)),0)</x:f>
        <x:v>0</x:v>
      </x:c>
      <x:c r="AE818" s="8" t="n">
        <x:f>IF(H818=1,MAX(1,MIN(INDEX(v01_Smax,G818),AE817+AD818)),AE817)</x:f>
        <x:v>9</x:v>
      </x:c>
      <x:c r="AF818" s="8" t="n">
        <x:f>MAX(0,AE818-AE817)</x:f>
        <x:v>0</x:v>
      </x:c>
      <x:c r="AG818" s="9" t="str">
        <x:f>IF(AF818&gt;0,B818,"")</x:f>
      </x:c>
      <x:c r="AH818" s="9" t="n">
        <x:f>IF(F818&gt;=1,1,(1+v01_LowTiesShare*(AE818-1))/AE818)</x:f>
        <x:v>1</x:v>
      </x:c>
      <x:c r="AI818" s="32" t="n">
        <x:f>(Z818+v01_ElderCommons*INDEX(LM_Elder,G818)*AA818)*AH818</x:f>
        <x:v>640.2446597383033</x:v>
      </x:c>
      <x:c r="AJ818" s="32" t="n">
        <x:f>H818*v01_CommonsCoef*AI818^v01_CommonsExp*INDEX(LM_Commons,G818)</x:f>
        <x:v>160.30165477667626</x:v>
      </x:c>
      <x:c r="AK818" s="32" t="n">
        <x:f>H818*v01_RoleScale*Arch_Roles*(AE818*(INDEX(v01_ElderRolePerSett,G818)*v01_OutElder*INDEX(LM_Elder,G818)+INDEX(v01_ShamanPerSett,G818)*v01_OutShaman)+Z818*(INDEX(v01_PriestShare,G818)*v01_OutPriest+INDEX(v01_ScribeShare,G818)*v01_OutScribe*INDEX(LM_Scribe,G818)+INDEX(v01_ScholarShare,G818)*v01_OutScholar*INDEX(LM_Scholar,G818)+INDEX(v01_ResearcherShare,G818)*v01_OutResearcher*INDEX(LM_Researcher,G818)))</x:f>
        <x:v>29.24990560097357</x:v>
      </x:c>
      <x:c r="AL818" s="32" t="n">
        <x:f>H818*v01_RoleScale*Arch_Roles*AE818*INDEX(v01_MonasteryPerSett,G818)*v01_OutMonastery*INDEX(LM_Monastery,G818)</x:f>
        <x:v>0</x:v>
      </x:c>
      <x:c r="AM818" s="32" t="n">
        <x:f>(AJ818+AK818+AL818)/4*INDEX(LM_All,G818)*INDEX(v01_Boon,G818)*Arch_Insight</x:f>
        <x:v>51.031574581203124</x:v>
      </x:c>
      <x:c r="AN818" s="32" t="n">
        <x:f>H818*(v01_KHPerAdult*Z818+v01_KHOfCommons*AJ818/4*INDEX(LM_All,G818))*v01_KHUsable*Arch_KH</x:f>
        <x:v>11.249528004867843</x:v>
      </x:c>
      <x:c r="AO818" s="32" t="n">
        <x:f>MIN(AP817+AN818,AM818*v01_KHMaxRatio)</x:f>
        <x:v>11.249528004867843</x:v>
      </x:c>
      <x:c r="AP818" s="32" t="n">
        <x:f>AP817+AN818-AO818</x:f>
        <x:v>0</x:v>
      </x:c>
      <x:c r="AQ818" s="32" t="n">
        <x:f>AM818+AO818</x:f>
        <x:v>62.281102586070965</x:v>
      </x:c>
      <x:c r="AR818" s="10" t="n">
        <x:f>IF(H818=1,INDEX(v01_Req,G818),0)</x:f>
        <x:v>9805.661999999998</x:v>
      </x:c>
      <x:c r="AS818" s="32" t="n">
        <x:f>IF(H818=1,IF(E818=1,AS817-AR817,AS817)+AQ818,0)</x:f>
        <x:v>4769.635289243985</x:v>
      </x:c>
      <x:c r="AT818" s="11" t="n">
        <x:f>IF(AR818&gt;0,MIN(1,AS818/AR818),1)</x:f>
        <x:v>0.48641644890921043</x:v>
      </x:c>
      <x:c r="AU818" s="10" t="n">
        <x:f>AB818/INDEX(v01_RepScale,G818)</x:f>
        <x:v>147.11223108740552</x:v>
      </x:c>
      <x:c r="AV818" s="32" t="n">
        <x:f>AM818*60/v01_SeasonSeconds</x:f>
        <x:v>204.1262983248125</x:v>
      </x:c>
    </x:row>
    <x:row r="819">
      <x:c r="A819" s="8" t="n">
        <x:f>A818+1</x:f>
        <x:v>816</x:v>
      </x:c>
      <x:c r="B819" s="9" t="n">
        <x:f>A819*v01_SeasonSeconds/60</x:f>
        <x:v>204</x:v>
      </x:c>
      <x:c r="C819" s="9" t="n">
        <x:f>A819/4</x:f>
        <x:v>204</x:v>
      </x:c>
      <x:c r="D819" s="8" t="n">
        <x:f>IF(MOD(A819,4)=0,1,0)</x:f>
        <x:v>1</x:v>
      </x:c>
      <x:c r="E819" s="8" t="n">
        <x:f>IF(AND(F818&lt;=9,AS818&gt;=AR818),1,0)</x:f>
        <x:v>0</x:v>
      </x:c>
      <x:c r="F819" s="8" t="n">
        <x:f>MIN(10,F818+E819)</x:f>
        <x:v>3</x:v>
      </x:c>
      <x:c r="G819" s="8" t="n">
        <x:f>MIN(F819,9)+1</x:f>
        <x:v>4</x:v>
      </x:c>
      <x:c r="H819" s="8" t="n">
        <x:f>IF(F819&lt;=9,1,0)</x:f>
        <x:v>1</x:v>
      </x:c>
      <x:c r="I819" s="9" t="n">
        <x:f>MIN(10,F818+IF(AR818&gt;0,MIN(1,AS818/AR818),1))</x:f>
        <x:v>3.4864164489092104</x:v>
      </x:c>
      <x:c r="J819" s="32" t="n">
        <x:f>INDEX(v01_FoodCap,G819)*Arch_FoodCap*EXP(v01_CapsByProject*SUMPRODUCT((Cap_Point&lt;=I819)*(Cap_Kind="Food")*Cap_Ln))</x:f>
        <x:v>120</x:v>
      </x:c>
      <x:c r="K819" s="32" t="n">
        <x:f>J819*MIN(1,v01_LeanBase*EXP(v01_CapsByProject*SUMPRODUCT((Cap_Point&lt;=I819)*(Cap_Kind="Lean")*Cap_Ln)))</x:f>
        <x:v>120</x:v>
      </x:c>
      <x:c r="L819" s="10" t="n">
        <x:f>INDEX(v01_HousingCap,G819)*EXP(v01_CapsByProject*SUMPRODUCT((Cap_Point&lt;=I819)*(Cap_Kind="Housing")*Cap_Ln))</x:f>
        <x:v>200</x:v>
      </x:c>
      <x:c r="M819" s="10" t="n">
        <x:f>INDEX(v01_GroupCap,G819)*v01_CohesionFactor*EXP(v01_CapsByProject*SUMPRODUCT((Cap_Point&lt;=I819)*(Cap_Kind="Group")*Cap_Ln))</x:f>
        <x:v>5000</x:v>
      </x:c>
      <x:c r="N819" s="32" t="n">
        <x:f>MIN(J819,L819,M819)</x:f>
        <x:v>120</x:v>
      </x:c>
      <x:c r="O819" s="10" t="n">
        <x:f>AE818*N819</x:f>
        <x:v>1080</x:v>
      </x:c>
      <x:c r="P819" s="9" t="n">
        <x:f>MIN(1,(AB818/(AE818*IF(v01_GroupInCrowding=1,N819,MIN(J819,L819))))^v01_CrowdingExp)</x:f>
        <x:v>0.09980911047335353</x:v>
      </x:c>
      <x:c r="Q819" s="9" t="n">
        <x:f>IF(D819=1,INDEX(v01_WinterMult,G819),1)</x:f>
        <x:v>1.15</x:v>
      </x:c>
      <x:c r="R819" s="9" t="n">
        <x:f>H819*Z818*v01_WomenShare*v01_BaseFertility*INDEX(v01_FertMult,G819)*Arch_Fertility*(1-P819)</x:f>
        <x:v>11.284062349623406</x:v>
      </x:c>
      <x:c r="S819" s="9" t="n">
        <x:f>H819*Y818*INDEX(v01_MortChild,G819)/4*Q819</x:f>
        <x:v>2.6553748252398814</x:v>
      </x:c>
      <x:c r="T819" s="9" t="n">
        <x:f>H819*Z818*INDEX(v01_MortAdult,G819)*Arch_AdultMort/4*Q819</x:f>
        <x:v>1.0164752090112728</x:v>
      </x:c>
      <x:c r="U819" s="9" t="n">
        <x:f>H819*AA818*INDEX(v01_MortElder,G819)/4*Q819</x:f>
        <x:v>1.9860425539915827</x:v>
      </x:c>
      <x:c r="V819" s="9" t="n">
        <x:f>H819*MAX(0,AB818-O819)*v01_OvercapLoss</x:f>
        <x:v>0</x:v>
      </x:c>
      <x:c r="W819" s="9" t="n">
        <x:f>H819*Y818/(v01_ChildYears*4)</x:f>
        <x:v>5.497670445631225</x:v>
      </x:c>
      <x:c r="X819" s="9" t="n">
        <x:f>H819*Z818/(v01_AdultYears*4)</x:f>
        <x:v>2.5920571439787654</x:v>
      </x:c>
      <x:c r="Y819" s="32" t="n">
        <x:f>Y818+R819-S819-W819-Y818*V819/AB818</x:f>
        <x:v>311.0005620341009</x:v>
      </x:c>
      <x:c r="Z819" s="32" t="n">
        <x:f>Z818+W819-X819-T819-Z818*V819/AB818</x:f>
        <x:v>323.3042239460081</x:v>
      </x:c>
      <x:c r="AA819" s="32" t="n">
        <x:f>AA818+X819-U819-AA818*V819/AB818</x:f>
        <x:v>106.88253921829931</x:v>
      </x:c>
      <x:c r="AB819" s="10" t="n">
        <x:f>Y819+Z819+AA819</x:f>
        <x:v>741.1873251984084</x:v>
      </x:c>
      <x:c r="AC819" s="8" t="n">
        <x:f>IF(AND(v01_WinterTrigger=1,D819=1,AB818/AE818&gt;=K819),1,0)</x:f>
        <x:v>0</x:v>
      </x:c>
      <x:c r="AD819" s="8" t="n">
        <x:f>H819*IF(AND(OR(AB818/AE818&gt;=v01_FissionTrigger*N819,AC819=1),AB818/AE818*v01_DaughterShare&gt;=v01_MinDaughter),MAX(1,ROUND(AE818*v01_FissionRate,0)),0)</x:f>
        <x:v>0</x:v>
      </x:c>
      <x:c r="AE819" s="8" t="n">
        <x:f>IF(H819=1,MAX(1,MIN(INDEX(v01_Smax,G819),AE818+AD819)),AE818)</x:f>
        <x:v>9</x:v>
      </x:c>
      <x:c r="AF819" s="8" t="n">
        <x:f>MAX(0,AE819-AE818)</x:f>
        <x:v>0</x:v>
      </x:c>
      <x:c r="AG819" s="9" t="str">
        <x:f>IF(AF819&gt;0,B819,"")</x:f>
      </x:c>
      <x:c r="AH819" s="9" t="n">
        <x:f>IF(F819&gt;=1,1,(1+v01_LowTiesShare*(AE819-1))/AE819)</x:f>
        <x:v>1</x:v>
      </x:c>
      <x:c r="AI819" s="32" t="n">
        <x:f>(Z819+v01_ElderCommons*INDEX(LM_Elder,G819)*AA819)*AH819</x:f>
        <x:v>643.951841600906</x:v>
      </x:c>
      <x:c r="AJ819" s="32" t="n">
        <x:f>H819*v01_CommonsCoef*AI819^v01_CommonsExp*INDEX(LM_Commons,G819)</x:f>
        <x:v>161.09027268307617</x:v>
      </x:c>
      <x:c r="AK819" s="32" t="n">
        <x:f>H819*v01_RoleScale*Arch_Roles*(AE819*(INDEX(v01_ElderRolePerSett,G819)*v01_OutElder*INDEX(LM_Elder,G819)+INDEX(v01_ShamanPerSett,G819)*v01_OutShaman)+Z819*(INDEX(v01_PriestShare,G819)*v01_OutPriest+INDEX(v01_ScribeShare,G819)*v01_OutScribe*INDEX(LM_Scribe,G819)+INDEX(v01_ScholarShare,G819)*v01_OutScholar*INDEX(LM_Scholar,G819)+INDEX(v01_ResearcherShare,G819)*v01_OutResearcher*INDEX(LM_Researcher,G819)))</x:f>
        <x:v>29.263129567622055</x:v>
      </x:c>
      <x:c r="AL819" s="32" t="n">
        <x:f>H819*v01_RoleScale*Arch_Roles*AE819*INDEX(v01_MonasteryPerSett,G819)*v01_OutMonastery*INDEX(LM_Monastery,G819)</x:f>
        <x:v>0</x:v>
      </x:c>
      <x:c r="AM819" s="32" t="n">
        <x:f>(AJ819+AK819+AL819)/4*INDEX(LM_All,G819)*INDEX(v01_Boon,G819)*Arch_Insight</x:f>
        <x:v>51.24744858015769</x:v>
      </x:c>
      <x:c r="AN819" s="32" t="n">
        <x:f>H819*(v01_KHPerAdult*Z819+v01_KHOfCommons*AJ819/4*INDEX(LM_All,G819))*v01_KHUsable*Arch_KH</x:f>
        <x:v>11.315647838110282</x:v>
      </x:c>
      <x:c r="AO819" s="32" t="n">
        <x:f>MIN(AP818+AN819,AM819*v01_KHMaxRatio)</x:f>
        <x:v>11.315647838110282</x:v>
      </x:c>
      <x:c r="AP819" s="32" t="n">
        <x:f>AP818+AN819-AO819</x:f>
        <x:v>0</x:v>
      </x:c>
      <x:c r="AQ819" s="32" t="n">
        <x:f>AM819+AO819</x:f>
        <x:v>62.56309641826797</x:v>
      </x:c>
      <x:c r="AR819" s="10" t="n">
        <x:f>IF(H819=1,INDEX(v01_Req,G819),0)</x:f>
        <x:v>9805.661999999998</x:v>
      </x:c>
      <x:c r="AS819" s="32" t="n">
        <x:f>IF(H819=1,IF(E819=1,AS818-AR818,AS818)+AQ819,0)</x:f>
        <x:v>4832.198385662254</x:v>
      </x:c>
      <x:c r="AT819" s="11" t="n">
        <x:f>IF(AR819&gt;0,MIN(1,AS819/AR819),1)</x:f>
        <x:v>0.49279675208693247</x:v>
      </x:c>
      <x:c r="AU819" s="10" t="n">
        <x:f>AB819/INDEX(v01_RepScale,G819)</x:f>
        <x:v>148.2374650396817</x:v>
      </x:c>
      <x:c r="AV819" s="32" t="n">
        <x:f>AM819*60/v01_SeasonSeconds</x:f>
        <x:v>204.98979432063075</x:v>
      </x:c>
    </x:row>
    <x:row r="820">
      <x:c r="A820" s="8" t="n">
        <x:f>A819+1</x:f>
        <x:v>817</x:v>
      </x:c>
      <x:c r="B820" s="9" t="n">
        <x:f>A820*v01_SeasonSeconds/60</x:f>
        <x:v>204.25</x:v>
      </x:c>
      <x:c r="C820" s="9" t="n">
        <x:f>A820/4</x:f>
        <x:v>204.25</x:v>
      </x:c>
      <x:c r="D820" s="8" t="n">
        <x:f>IF(MOD(A820,4)=0,1,0)</x:f>
        <x:v>0</x:v>
      </x:c>
      <x:c r="E820" s="8" t="n">
        <x:f>IF(AND(F819&lt;=9,AS819&gt;=AR819),1,0)</x:f>
        <x:v>0</x:v>
      </x:c>
      <x:c r="F820" s="8" t="n">
        <x:f>MIN(10,F819+E820)</x:f>
        <x:v>3</x:v>
      </x:c>
      <x:c r="G820" s="8" t="n">
        <x:f>MIN(F820,9)+1</x:f>
        <x:v>4</x:v>
      </x:c>
      <x:c r="H820" s="8" t="n">
        <x:f>IF(F820&lt;=9,1,0)</x:f>
        <x:v>1</x:v>
      </x:c>
      <x:c r="I820" s="9" t="n">
        <x:f>MIN(10,F819+IF(AR819&gt;0,MIN(1,AS819/AR819),1))</x:f>
        <x:v>3.4927967520869325</x:v>
      </x:c>
      <x:c r="J820" s="32" t="n">
        <x:f>INDEX(v01_FoodCap,G820)*Arch_FoodCap*EXP(v01_CapsByProject*SUMPRODUCT((Cap_Point&lt;=I820)*(Cap_Kind="Food")*Cap_Ln))</x:f>
        <x:v>120</x:v>
      </x:c>
      <x:c r="K820" s="32" t="n">
        <x:f>J820*MIN(1,v01_LeanBase*EXP(v01_CapsByProject*SUMPRODUCT((Cap_Point&lt;=I820)*(Cap_Kind="Lean")*Cap_Ln)))</x:f>
        <x:v>120</x:v>
      </x:c>
      <x:c r="L820" s="10" t="n">
        <x:f>INDEX(v01_HousingCap,G820)*EXP(v01_CapsByProject*SUMPRODUCT((Cap_Point&lt;=I820)*(Cap_Kind="Housing")*Cap_Ln))</x:f>
        <x:v>200</x:v>
      </x:c>
      <x:c r="M820" s="10" t="n">
        <x:f>INDEX(v01_GroupCap,G820)*v01_CohesionFactor*EXP(v01_CapsByProject*SUMPRODUCT((Cap_Point&lt;=I820)*(Cap_Kind="Group")*Cap_Ln))</x:f>
        <x:v>5000</x:v>
      </x:c>
      <x:c r="N820" s="32" t="n">
        <x:f>MIN(J820,L820,M820)</x:f>
        <x:v>120</x:v>
      </x:c>
      <x:c r="O820" s="10" t="n">
        <x:f>AE819*N820</x:f>
        <x:v>1080</x:v>
      </x:c>
      <x:c r="P820" s="9" t="n">
        <x:f>MIN(1,(AB819/(AE819*IF(v01_GroupInCrowding=1,N820,MIN(J820,L820))))^v01_CrowdingExp)</x:f>
        <x:v>0.10447812523343585</x:v>
      </x:c>
      <x:c r="Q820" s="9" t="n">
        <x:f>IF(D820=1,INDEX(v01_WinterMult,G820),1)</x:f>
        <x:v>1</x:v>
      </x:c>
      <x:c r="R820" s="9" t="n">
        <x:f>H820*Z819*v01_WomenShare*v01_BaseFertility*INDEX(v01_FertMult,G820)*Arch_Fertility*(1-P820)</x:f>
        <x:v>11.291514185175052</x:v>
      </x:c>
      <x:c r="S820" s="9" t="n">
        <x:f>H820*Y819*INDEX(v01_MortChild,G820)/4*Q820</x:f>
        <x:v>2.3325042152557565</x:v>
      </x:c>
      <x:c r="T820" s="9" t="n">
        <x:f>H820*Z819*INDEX(v01_MortAdult,G820)*Arch_AdultMort/4*Q820</x:f>
        <x:v>0.8890866158515223</x:v>
      </x:c>
      <x:c r="U820" s="9" t="n">
        <x:f>H820*AA819*INDEX(v01_MortElder,G820)/4*Q820</x:f>
        <x:v>1.736841262297364</x:v>
      </x:c>
      <x:c r="V820" s="9" t="n">
        <x:f>H820*MAX(0,AB819-O820)*v01_OvercapLoss</x:f>
        <x:v>0</x:v>
      </x:c>
      <x:c r="W820" s="9" t="n">
        <x:f>H820*Y819/(v01_ChildYears*4)</x:f>
        <x:v>5.553581464894658</x:v>
      </x:c>
      <x:c r="X820" s="9" t="n">
        <x:f>H820*Z819/(v01_AdultYears*4)</x:f>
        <x:v>2.6072921285968396</x:v>
      </x:c>
      <x:c r="Y820" s="32" t="n">
        <x:f>Y819+R820-S820-W820-Y819*V820/AB819</x:f>
        <x:v>314.4059905391255</x:v>
      </x:c>
      <x:c r="Z820" s="32" t="n">
        <x:f>Z819+W820-X820-T820-Z819*V820/AB819</x:f>
        <x:v>325.3614266664544</x:v>
      </x:c>
      <x:c r="AA820" s="32" t="n">
        <x:f>AA819+X820-U820-AA819*V820/AB819</x:f>
        <x:v>107.75299008459879</x:v>
      </x:c>
      <x:c r="AB820" s="10" t="n">
        <x:f>Y820+Z820+AA820</x:f>
        <x:v>747.5204072901787</x:v>
      </x:c>
      <x:c r="AC820" s="8" t="n">
        <x:f>IF(AND(v01_WinterTrigger=1,D820=1,AB819/AE819&gt;=K820),1,0)</x:f>
        <x:v>0</x:v>
      </x:c>
      <x:c r="AD820" s="8" t="n">
        <x:f>H820*IF(AND(OR(AB819/AE819&gt;=v01_FissionTrigger*N820,AC820=1),AB819/AE819*v01_DaughterShare&gt;=v01_MinDaughter),MAX(1,ROUND(AE819*v01_FissionRate,0)),0)</x:f>
        <x:v>0</x:v>
      </x:c>
      <x:c r="AE820" s="8" t="n">
        <x:f>IF(H820=1,MAX(1,MIN(INDEX(v01_Smax,G820),AE819+AD820)),AE819)</x:f>
        <x:v>9</x:v>
      </x:c>
      <x:c r="AF820" s="8" t="n">
        <x:f>MAX(0,AE820-AE819)</x:f>
        <x:v>0</x:v>
      </x:c>
      <x:c r="AG820" s="9" t="str">
        <x:f>IF(AF820&gt;0,B820,"")</x:f>
      </x:c>
      <x:c r="AH820" s="9" t="n">
        <x:f>IF(F820&gt;=1,1,(1+v01_LowTiesShare*(AE820-1))/AE820)</x:f>
        <x:v>1</x:v>
      </x:c>
      <x:c r="AI820" s="32" t="n">
        <x:f>(Z820+v01_ElderCommons*INDEX(LM_Elder,G820)*AA820)*AH820</x:f>
        <x:v>648.6203969202509</x:v>
      </x:c>
      <x:c r="AJ820" s="32" t="n">
        <x:f>H820*v01_CommonsCoef*AI820^v01_CommonsExp*INDEX(LM_Commons,G820)</x:f>
        <x:v>162.0824329004764</x:v>
      </x:c>
      <x:c r="AK820" s="32" t="n">
        <x:f>H820*v01_RoleScale*Arch_Roles*(AE820*(INDEX(v01_ElderRolePerSett,G820)*v01_OutElder*INDEX(LM_Elder,G820)+INDEX(v01_ShamanPerSett,G820)*v01_OutShaman)+Z820*(INDEX(v01_PriestShare,G820)*v01_OutPriest+INDEX(v01_ScribeShare,G820)*v01_OutScribe*INDEX(LM_Scribe,G820)+INDEX(v01_ScholarShare,G820)*v01_OutScholar*INDEX(LM_Scholar,G820)+INDEX(v01_ResearcherShare,G820)*v01_OutResearcher*INDEX(LM_Researcher,G820)))</x:f>
        <x:v>29.27752998666518</x:v>
      </x:c>
      <x:c r="AL820" s="32" t="n">
        <x:f>H820*v01_RoleScale*Arch_Roles*AE820*INDEX(v01_MonasteryPerSett,G820)*v01_OutMonastery*INDEX(LM_Monastery,G820)</x:f>
        <x:v>0</x:v>
      </x:c>
      <x:c r="AM820" s="32" t="n">
        <x:f>(AJ820+AK820+AL820)/4*INDEX(LM_All,G820)*INDEX(v01_Boon,G820)*Arch_Insight</x:f>
        <x:v>51.51843750837765</x:v>
      </x:c>
      <x:c r="AN820" s="32" t="n">
        <x:f>H820*(v01_KHPerAdult*Z820+v01_KHOfCommons*AJ820/4*INDEX(LM_All,G820))*v01_KHUsable*Arch_KH</x:f>
        <x:v>11.387649933325903</x:v>
      </x:c>
      <x:c r="AO820" s="32" t="n">
        <x:f>MIN(AP819+AN820,AM820*v01_KHMaxRatio)</x:f>
        <x:v>11.387649933325903</x:v>
      </x:c>
      <x:c r="AP820" s="32" t="n">
        <x:f>AP819+AN820-AO820</x:f>
        <x:v>0</x:v>
      </x:c>
      <x:c r="AQ820" s="32" t="n">
        <x:f>AM820+AO820</x:f>
        <x:v>62.906087441703555</x:v>
      </x:c>
      <x:c r="AR820" s="10" t="n">
        <x:f>IF(H820=1,INDEX(v01_Req,G820),0)</x:f>
        <x:v>9805.661999999998</x:v>
      </x:c>
      <x:c r="AS820" s="32" t="n">
        <x:f>IF(H820=1,IF(E820=1,AS819-AR819,AS819)+AQ820,0)</x:f>
        <x:v>4895.104473103957</x:v>
      </x:c>
      <x:c r="AT820" s="11" t="n">
        <x:f>IF(AR820&gt;0,MIN(1,AS820/AR820),1)</x:f>
        <x:v>0.49921203413945514</x:v>
      </x:c>
      <x:c r="AU820" s="10" t="n">
        <x:f>AB820/INDEX(v01_RepScale,G820)</x:f>
        <x:v>149.50408145803573</x:v>
      </x:c>
      <x:c r="AV820" s="32" t="n">
        <x:f>AM820*60/v01_SeasonSeconds</x:f>
        <x:v>206.0737500335106</x:v>
      </x:c>
    </x:row>
    <x:row r="821">
      <x:c r="A821" s="8" t="n">
        <x:f>A820+1</x:f>
        <x:v>818</x:v>
      </x:c>
      <x:c r="B821" s="9" t="n">
        <x:f>A821*v01_SeasonSeconds/60</x:f>
        <x:v>204.5</x:v>
      </x:c>
      <x:c r="C821" s="9" t="n">
        <x:f>A821/4</x:f>
        <x:v>204.5</x:v>
      </x:c>
      <x:c r="D821" s="8" t="n">
        <x:f>IF(MOD(A821,4)=0,1,0)</x:f>
        <x:v>0</x:v>
      </x:c>
      <x:c r="E821" s="8" t="n">
        <x:f>IF(AND(F820&lt;=9,AS820&gt;=AR820),1,0)</x:f>
        <x:v>0</x:v>
      </x:c>
      <x:c r="F821" s="8" t="n">
        <x:f>MIN(10,F820+E821)</x:f>
        <x:v>3</x:v>
      </x:c>
      <x:c r="G821" s="8" t="n">
        <x:f>MIN(F821,9)+1</x:f>
        <x:v>4</x:v>
      </x:c>
      <x:c r="H821" s="8" t="n">
        <x:f>IF(F821&lt;=9,1,0)</x:f>
        <x:v>1</x:v>
      </x:c>
      <x:c r="I821" s="9" t="n">
        <x:f>MIN(10,F820+IF(AR820&gt;0,MIN(1,AS820/AR820),1))</x:f>
        <x:v>3.4992120341394553</x:v>
      </x:c>
      <x:c r="J821" s="32" t="n">
        <x:f>INDEX(v01_FoodCap,G821)*Arch_FoodCap*EXP(v01_CapsByProject*SUMPRODUCT((Cap_Point&lt;=I821)*(Cap_Kind="Food")*Cap_Ln))</x:f>
        <x:v>120</x:v>
      </x:c>
      <x:c r="K821" s="32" t="n">
        <x:f>J821*MIN(1,v01_LeanBase*EXP(v01_CapsByProject*SUMPRODUCT((Cap_Point&lt;=I821)*(Cap_Kind="Lean")*Cap_Ln)))</x:f>
        <x:v>120</x:v>
      </x:c>
      <x:c r="L821" s="10" t="n">
        <x:f>INDEX(v01_HousingCap,G821)*EXP(v01_CapsByProject*SUMPRODUCT((Cap_Point&lt;=I821)*(Cap_Kind="Housing")*Cap_Ln))</x:f>
        <x:v>200</x:v>
      </x:c>
      <x:c r="M821" s="10" t="n">
        <x:f>INDEX(v01_GroupCap,G821)*v01_CohesionFactor*EXP(v01_CapsByProject*SUMPRODUCT((Cap_Point&lt;=I821)*(Cap_Kind="Group")*Cap_Ln))</x:f>
        <x:v>5000</x:v>
      </x:c>
      <x:c r="N821" s="32" t="n">
        <x:f>MIN(J821,L821,M821)</x:f>
        <x:v>120</x:v>
      </x:c>
      <x:c r="O821" s="10" t="n">
        <x:f>AE820*N821</x:f>
        <x:v>1080</x:v>
      </x:c>
      <x:c r="P821" s="9" t="n">
        <x:f>MIN(1,(AB820/(AE820*IF(v01_GroupInCrowding=1,N821,MIN(J821,L821))))^v01_CrowdingExp)</x:f>
        <x:v>0.10995014018202474</x:v>
      </x:c>
      <x:c r="Q821" s="9" t="n">
        <x:f>IF(D821=1,INDEX(v01_WinterMult,G821),1)</x:f>
        <x:v>1</x:v>
      </x:c>
      <x:c r="R821" s="9" t="n">
        <x:f>H821*Z820*v01_WomenShare*v01_BaseFertility*INDEX(v01_FertMult,G821)*Arch_Fertility*(1-P821)</x:f>
        <x:v>11.293927795591513</x:v>
      </x:c>
      <x:c r="S821" s="9" t="n">
        <x:f>H821*Y820*INDEX(v01_MortChild,G821)/4*Q821</x:f>
        <x:v>2.3580449290434413</x:v>
      </x:c>
      <x:c r="T821" s="9" t="n">
        <x:f>H821*Z820*INDEX(v01_MortAdult,G821)*Arch_AdultMort/4*Q821</x:f>
        <x:v>0.8947439233327495</x:v>
      </x:c>
      <x:c r="U821" s="9" t="n">
        <x:f>H821*AA820*INDEX(v01_MortElder,G821)/4*Q821</x:f>
        <x:v>1.7509860888747304</x:v>
      </x:c>
      <x:c r="V821" s="9" t="n">
        <x:f>H821*MAX(0,AB820-O821)*v01_OvercapLoss</x:f>
        <x:v>0</x:v>
      </x:c>
      <x:c r="W821" s="9" t="n">
        <x:f>H821*Y820/(v01_ChildYears*4)</x:f>
        <x:v>5.61439268819867</x:v>
      </x:c>
      <x:c r="X821" s="9" t="n">
        <x:f>H821*Z820/(v01_AdultYears*4)</x:f>
        <x:v>2.6238824731165677</x:v>
      </x:c>
      <x:c r="Y821" s="32" t="n">
        <x:f>Y820+R821-S821-W821-Y820*V821/AB820</x:f>
        <x:v>317.7274807174749</x:v>
      </x:c>
      <x:c r="Z821" s="32" t="n">
        <x:f>Z820+W821-X821-T821-Z820*V821/AB820</x:f>
        <x:v>327.4571929582038</x:v>
      </x:c>
      <x:c r="AA821" s="32" t="n">
        <x:f>AA820+X821-U821-AA820*V821/AB820</x:f>
        <x:v>108.62588646884063</x:v>
      </x:c>
      <x:c r="AB821" s="10" t="n">
        <x:f>Y821+Z821+AA821</x:f>
        <x:v>753.8105601445193</x:v>
      </x:c>
      <x:c r="AC821" s="8" t="n">
        <x:f>IF(AND(v01_WinterTrigger=1,D821=1,AB820/AE820&gt;=K821),1,0)</x:f>
        <x:v>0</x:v>
      </x:c>
      <x:c r="AD821" s="8" t="n">
        <x:f>H821*IF(AND(OR(AB820/AE820&gt;=v01_FissionTrigger*N821,AC821=1),AB820/AE820*v01_DaughterShare&gt;=v01_MinDaughter),MAX(1,ROUND(AE820*v01_FissionRate,0)),0)</x:f>
        <x:v>0</x:v>
      </x:c>
      <x:c r="AE821" s="8" t="n">
        <x:f>IF(H821=1,MAX(1,MIN(INDEX(v01_Smax,G821),AE820+AD821)),AE820)</x:f>
        <x:v>9</x:v>
      </x:c>
      <x:c r="AF821" s="8" t="n">
        <x:f>MAX(0,AE821-AE820)</x:f>
        <x:v>0</x:v>
      </x:c>
      <x:c r="AG821" s="9" t="str">
        <x:f>IF(AF821&gt;0,B821,"")</x:f>
      </x:c>
      <x:c r="AH821" s="9" t="n">
        <x:f>IF(F821&gt;=1,1,(1+v01_LowTiesShare*(AE821-1))/AE821)</x:f>
        <x:v>1</x:v>
      </x:c>
      <x:c r="AI821" s="32" t="n">
        <x:f>(Z821+v01_ElderCommons*INDEX(LM_Elder,G821)*AA821)*AH821</x:f>
        <x:v>653.3348523647257</x:v>
      </x:c>
      <x:c r="AJ821" s="32" t="n">
        <x:f>H821*v01_CommonsCoef*AI821^v01_CommonsExp*INDEX(LM_Commons,G821)</x:f>
        <x:v>163.08326137148913</x:v>
      </x:c>
      <x:c r="AK821" s="32" t="n">
        <x:f>H821*v01_RoleScale*Arch_Roles*(AE821*(INDEX(v01_ElderRolePerSett,G821)*v01_OutElder*INDEX(LM_Elder,G821)+INDEX(v01_ShamanPerSett,G821)*v01_OutShaman)+Z821*(INDEX(v01_PriestShare,G821)*v01_OutPriest+INDEX(v01_ScribeShare,G821)*v01_OutScribe*INDEX(LM_Scribe,G821)+INDEX(v01_ScholarShare,G821)*v01_OutScholar*INDEX(LM_Scholar,G821)+INDEX(v01_ResearcherShare,G821)*v01_OutResearcher*INDEX(LM_Researcher,G821)))</x:f>
        <x:v>29.292200350707425</x:v>
      </x:c>
      <x:c r="AL821" s="32" t="n">
        <x:f>H821*v01_RoleScale*Arch_Roles*AE821*INDEX(v01_MonasteryPerSett,G821)*v01_OutMonastery*INDEX(LM_Monastery,G821)</x:f>
        <x:v>0</x:v>
      </x:c>
      <x:c r="AM821" s="32" t="n">
        <x:f>(AJ821+AK821+AL821)/4*INDEX(LM_All,G821)*INDEX(v01_Boon,G821)*Arch_Insight</x:f>
        <x:v>51.791832802169935</x:v>
      </x:c>
      <x:c r="AN821" s="32" t="n">
        <x:f>H821*(v01_KHPerAdult*Z821+v01_KHOfCommons*AJ821/4*INDEX(LM_All,G821))*v01_KHUsable*Arch_KH</x:f>
        <x:v>11.461001753537133</x:v>
      </x:c>
      <x:c r="AO821" s="32" t="n">
        <x:f>MIN(AP820+AN821,AM821*v01_KHMaxRatio)</x:f>
        <x:v>11.461001753537133</x:v>
      </x:c>
      <x:c r="AP821" s="32" t="n">
        <x:f>AP820+AN821-AO821</x:f>
        <x:v>0</x:v>
      </x:c>
      <x:c r="AQ821" s="32" t="n">
        <x:f>AM821+AO821</x:f>
        <x:v>63.25283455570707</x:v>
      </x:c>
      <x:c r="AR821" s="10" t="n">
        <x:f>IF(H821=1,INDEX(v01_Req,G821),0)</x:f>
        <x:v>9805.661999999998</x:v>
      </x:c>
      <x:c r="AS821" s="32" t="n">
        <x:f>IF(H821=1,IF(E821=1,AS820-AR820,AS820)+AQ821,0)</x:f>
        <x:v>4958.357307659664</x:v>
      </x:c>
      <x:c r="AT821" s="11" t="n">
        <x:f>IF(AR821&gt;0,MIN(1,AS821/AR821),1)</x:f>
        <x:v>0.5056626781200152</x:v>
      </x:c>
      <x:c r="AU821" s="10" t="n">
        <x:f>AB821/INDEX(v01_RepScale,G821)</x:f>
        <x:v>150.76211202890386</x:v>
      </x:c>
      <x:c r="AV821" s="32" t="n">
        <x:f>AM821*60/v01_SeasonSeconds</x:f>
        <x:v>207.16733120867974</x:v>
      </x:c>
    </x:row>
    <x:row r="822">
      <x:c r="A822" s="8" t="n">
        <x:f>A821+1</x:f>
        <x:v>819</x:v>
      </x:c>
      <x:c r="B822" s="9" t="n">
        <x:f>A822*v01_SeasonSeconds/60</x:f>
        <x:v>204.75</x:v>
      </x:c>
      <x:c r="C822" s="9" t="n">
        <x:f>A822/4</x:f>
        <x:v>204.75</x:v>
      </x:c>
      <x:c r="D822" s="8" t="n">
        <x:f>IF(MOD(A822,4)=0,1,0)</x:f>
        <x:v>0</x:v>
      </x:c>
      <x:c r="E822" s="8" t="n">
        <x:f>IF(AND(F821&lt;=9,AS821&gt;=AR821),1,0)</x:f>
        <x:v>0</x:v>
      </x:c>
      <x:c r="F822" s="8" t="n">
        <x:f>MIN(10,F821+E822)</x:f>
        <x:v>3</x:v>
      </x:c>
      <x:c r="G822" s="8" t="n">
        <x:f>MIN(F822,9)+1</x:f>
        <x:v>4</x:v>
      </x:c>
      <x:c r="H822" s="8" t="n">
        <x:f>IF(F822&lt;=9,1,0)</x:f>
        <x:v>1</x:v>
      </x:c>
      <x:c r="I822" s="9" t="n">
        <x:f>MIN(10,F821+IF(AR821&gt;0,MIN(1,AS821/AR821),1))</x:f>
        <x:v>3.5056626781200153</x:v>
      </x:c>
      <x:c r="J822" s="32" t="n">
        <x:f>INDEX(v01_FoodCap,G822)*Arch_FoodCap*EXP(v01_CapsByProject*SUMPRODUCT((Cap_Point&lt;=I822)*(Cap_Kind="Food")*Cap_Ln))</x:f>
        <x:v>120</x:v>
      </x:c>
      <x:c r="K822" s="32" t="n">
        <x:f>J822*MIN(1,v01_LeanBase*EXP(v01_CapsByProject*SUMPRODUCT((Cap_Point&lt;=I822)*(Cap_Kind="Lean")*Cap_Ln)))</x:f>
        <x:v>120</x:v>
      </x:c>
      <x:c r="L822" s="10" t="n">
        <x:f>INDEX(v01_HousingCap,G822)*EXP(v01_CapsByProject*SUMPRODUCT((Cap_Point&lt;=I822)*(Cap_Kind="Housing")*Cap_Ln))</x:f>
        <x:v>200</x:v>
      </x:c>
      <x:c r="M822" s="10" t="n">
        <x:f>INDEX(v01_GroupCap,G822)*v01_CohesionFactor*EXP(v01_CapsByProject*SUMPRODUCT((Cap_Point&lt;=I822)*(Cap_Kind="Group")*Cap_Ln))</x:f>
        <x:v>5000</x:v>
      </x:c>
      <x:c r="N822" s="32" t="n">
        <x:f>MIN(J822,L822,M822)</x:f>
        <x:v>120</x:v>
      </x:c>
      <x:c r="O822" s="10" t="n">
        <x:f>AE821*N822</x:f>
        <x:v>1080</x:v>
      </x:c>
      <x:c r="P822" s="9" t="n">
        <x:f>MIN(1,(AB821/(AE821*IF(v01_GroupInCrowding=1,N822,MIN(J822,L822))))^v01_CrowdingExp)</x:f>
        <x:v>0.11561941569311544</x:v>
      </x:c>
      <x:c r="Q822" s="9" t="n">
        <x:f>IF(D822=1,INDEX(v01_WinterMult,G822),1)</x:f>
        <x:v>1</x:v>
      </x:c>
      <x:c r="R822" s="9" t="n">
        <x:f>H822*Z821*v01_WomenShare*v01_BaseFertility*INDEX(v01_FertMult,G822)*Arch_Fertility*(1-P822)</x:f>
        <x:v>11.294274562110873</x:v>
      </x:c>
      <x:c r="S822" s="9" t="n">
        <x:f>H822*Y821*INDEX(v01_MortChild,G822)/4*Q822</x:f>
        <x:v>2.3829561053810617</x:v>
      </x:c>
      <x:c r="T822" s="9" t="n">
        <x:f>H822*Z821*INDEX(v01_MortAdult,G822)*Arch_AdultMort/4*Q822</x:f>
        <x:v>0.9005072806350604</x:v>
      </x:c>
      <x:c r="U822" s="9" t="n">
        <x:f>H822*AA821*INDEX(v01_MortElder,G822)/4*Q822</x:f>
        <x:v>1.7651706551186603</x:v>
      </x:c>
      <x:c r="V822" s="9" t="n">
        <x:f>H822*MAX(0,AB821-O822)*v01_OvercapLoss</x:f>
        <x:v>0</x:v>
      </x:c>
      <x:c r="W822" s="9" t="n">
        <x:f>H822*Y821/(v01_ChildYears*4)</x:f>
        <x:v>5.673705012812052</x:v>
      </x:c>
      <x:c r="X822" s="9" t="n">
        <x:f>H822*Z821/(v01_AdultYears*4)</x:f>
        <x:v>2.6407838141790627</x:v>
      </x:c>
      <x:c r="Y822" s="32" t="n">
        <x:f>Y821+R822-S822-W822-Y821*V822/AB821</x:f>
        <x:v>320.9650941613927</x:v>
      </x:c>
      <x:c r="Z822" s="32" t="n">
        <x:f>Z821+W822-X822-T822-Z821*V822/AB821</x:f>
        <x:v>329.5896068762017</x:v>
      </x:c>
      <x:c r="AA822" s="32" t="n">
        <x:f>AA821+X822-U822-AA821*V822/AB821</x:f>
        <x:v>109.50149962790103</x:v>
      </x:c>
      <x:c r="AB822" s="10" t="n">
        <x:f>Y822+Z822+AA822</x:f>
        <x:v>760.0562006654955</x:v>
      </x:c>
      <x:c r="AC822" s="8" t="n">
        <x:f>IF(AND(v01_WinterTrigger=1,D822=1,AB821/AE821&gt;=K822),1,0)</x:f>
        <x:v>0</x:v>
      </x:c>
      <x:c r="AD822" s="8" t="n">
        <x:f>H822*IF(AND(OR(AB821/AE821&gt;=v01_FissionTrigger*N822,AC822=1),AB821/AE821*v01_DaughterShare&gt;=v01_MinDaughter),MAX(1,ROUND(AE821*v01_FissionRate,0)),0)</x:f>
        <x:v>0</x:v>
      </x:c>
      <x:c r="AE822" s="8" t="n">
        <x:f>IF(H822=1,MAX(1,MIN(INDEX(v01_Smax,G822),AE821+AD822)),AE821)</x:f>
        <x:v>9</x:v>
      </x:c>
      <x:c r="AF822" s="8" t="n">
        <x:f>MAX(0,AE822-AE821)</x:f>
        <x:v>0</x:v>
      </x:c>
      <x:c r="AG822" s="9" t="str">
        <x:f>IF(AF822&gt;0,B822,"")</x:f>
      </x:c>
      <x:c r="AH822" s="9" t="n">
        <x:f>IF(F822&gt;=1,1,(1+v01_LowTiesShare*(AE822-1))/AE822)</x:f>
        <x:v>1</x:v>
      </x:c>
      <x:c r="AI822" s="32" t="n">
        <x:f>(Z822+v01_ElderCommons*INDEX(LM_Elder,G822)*AA822)*AH822</x:f>
        <x:v>658.0941057599048</x:v>
      </x:c>
      <x:c r="AJ822" s="32" t="n">
        <x:f>H822*v01_CommonsCoef*AI822^v01_CommonsExp*INDEX(LM_Commons,G822)</x:f>
        <x:v>164.0925017970723</x:v>
      </x:c>
      <x:c r="AK822" s="32" t="n">
        <x:f>H822*v01_RoleScale*Arch_Roles*(AE822*(INDEX(v01_ElderRolePerSett,G822)*v01_OutElder*INDEX(LM_Elder,G822)+INDEX(v01_ShamanPerSett,G822)*v01_OutShaman)+Z822*(INDEX(v01_PriestShare,G822)*v01_OutPriest+INDEX(v01_ScribeShare,G822)*v01_OutScribe*INDEX(LM_Scribe,G822)+INDEX(v01_ScholarShare,G822)*v01_OutScholar*INDEX(LM_Scholar,G822)+INDEX(v01_ResearcherShare,G822)*v01_OutResearcher*INDEX(LM_Researcher,G822)))</x:f>
        <x:v>29.307127248133412</x:v>
      </x:c>
      <x:c r="AL822" s="32" t="n">
        <x:f>H822*v01_RoleScale*Arch_Roles*AE822*INDEX(v01_MonasteryPerSett,G822)*v01_OutMonastery*INDEX(LM_Monastery,G822)</x:f>
        <x:v>0</x:v>
      </x:c>
      <x:c r="AM822" s="32" t="n">
        <x:f>(AJ822+AK822+AL822)/4*INDEX(LM_All,G822)*INDEX(v01_Boon,G822)*Arch_Insight</x:f>
        <x:v>52.06756184931491</x:v>
      </x:c>
      <x:c r="AN822" s="32" t="n">
        <x:f>H822*(v01_KHPerAdult*Z822+v01_KHOfCommons*AJ822/4*INDEX(LM_All,G822))*v01_KHUsable*Arch_KH</x:f>
        <x:v>11.535636240667058</x:v>
      </x:c>
      <x:c r="AO822" s="32" t="n">
        <x:f>MIN(AP821+AN822,AM822*v01_KHMaxRatio)</x:f>
        <x:v>11.535636240667058</x:v>
      </x:c>
      <x:c r="AP822" s="32" t="n">
        <x:f>AP821+AN822-AO822</x:f>
        <x:v>0</x:v>
      </x:c>
      <x:c r="AQ822" s="32" t="n">
        <x:f>AM822+AO822</x:f>
        <x:v>63.60319808998197</x:v>
      </x:c>
      <x:c r="AR822" s="10" t="n">
        <x:f>IF(H822=1,INDEX(v01_Req,G822),0)</x:f>
        <x:v>9805.661999999998</x:v>
      </x:c>
      <x:c r="AS822" s="32" t="n">
        <x:f>IF(H822=1,IF(E822=1,AS821-AR821,AS821)+AQ822,0)</x:f>
        <x:v>5021.960505749646</x:v>
      </x:c>
      <x:c r="AT822" s="11" t="n">
        <x:f>IF(AR822&gt;0,MIN(1,AS822/AR822),1)</x:f>
        <x:v>0.5121490528380079</x:v>
      </x:c>
      <x:c r="AU822" s="10" t="n">
        <x:f>AB822/INDEX(v01_RepScale,G822)</x:f>
        <x:v>152.01124013309908</x:v>
      </x:c>
      <x:c r="AV822" s="32" t="n">
        <x:f>AM822*60/v01_SeasonSeconds</x:f>
        <x:v>208.27024739725965</x:v>
      </x:c>
    </x:row>
    <x:row r="823">
      <x:c r="A823" s="8" t="n">
        <x:f>A822+1</x:f>
        <x:v>820</x:v>
      </x:c>
      <x:c r="B823" s="9" t="n">
        <x:f>A823*v01_SeasonSeconds/60</x:f>
        <x:v>205</x:v>
      </x:c>
      <x:c r="C823" s="9" t="n">
        <x:f>A823/4</x:f>
        <x:v>205</x:v>
      </x:c>
      <x:c r="D823" s="8" t="n">
        <x:f>IF(MOD(A823,4)=0,1,0)</x:f>
        <x:v>1</x:v>
      </x:c>
      <x:c r="E823" s="8" t="n">
        <x:f>IF(AND(F822&lt;=9,AS822&gt;=AR822),1,0)</x:f>
        <x:v>0</x:v>
      </x:c>
      <x:c r="F823" s="8" t="n">
        <x:f>MIN(10,F822+E823)</x:f>
        <x:v>3</x:v>
      </x:c>
      <x:c r="G823" s="8" t="n">
        <x:f>MIN(F823,9)+1</x:f>
        <x:v>4</x:v>
      </x:c>
      <x:c r="H823" s="8" t="n">
        <x:f>IF(F823&lt;=9,1,0)</x:f>
        <x:v>1</x:v>
      </x:c>
      <x:c r="I823" s="9" t="n">
        <x:f>MIN(10,F822+IF(AR822&gt;0,MIN(1,AS822/AR822),1))</x:f>
        <x:v>3.5121490528380077</x:v>
      </x:c>
      <x:c r="J823" s="32" t="n">
        <x:f>INDEX(v01_FoodCap,G823)*Arch_FoodCap*EXP(v01_CapsByProject*SUMPRODUCT((Cap_Point&lt;=I823)*(Cap_Kind="Food")*Cap_Ln))</x:f>
        <x:v>120</x:v>
      </x:c>
      <x:c r="K823" s="32" t="n">
        <x:f>J823*MIN(1,v01_LeanBase*EXP(v01_CapsByProject*SUMPRODUCT((Cap_Point&lt;=I823)*(Cap_Kind="Lean")*Cap_Ln)))</x:f>
        <x:v>120</x:v>
      </x:c>
      <x:c r="L823" s="10" t="n">
        <x:f>INDEX(v01_HousingCap,G823)*EXP(v01_CapsByProject*SUMPRODUCT((Cap_Point&lt;=I823)*(Cap_Kind="Housing")*Cap_Ln))</x:f>
        <x:v>200</x:v>
      </x:c>
      <x:c r="M823" s="10" t="n">
        <x:f>INDEX(v01_GroupCap,G823)*v01_CohesionFactor*EXP(v01_CapsByProject*SUMPRODUCT((Cap_Point&lt;=I823)*(Cap_Kind="Group")*Cap_Ln))</x:f>
        <x:v>5000</x:v>
      </x:c>
      <x:c r="N823" s="32" t="n">
        <x:f>MIN(J823,L823,M823)</x:f>
        <x:v>120</x:v>
      </x:c>
      <x:c r="O823" s="10" t="n">
        <x:f>AE822*N823</x:f>
        <x:v>1080</x:v>
      </x:c>
      <x:c r="P823" s="9" t="n">
        <x:f>MIN(1,(AB822/(AE822*IF(v01_GroupInCrowding=1,N823,MIN(J823,L823))))^v01_CrowdingExp)</x:f>
        <x:v>0.12148753088035685</x:v>
      </x:c>
      <x:c r="Q823" s="9" t="n">
        <x:f>IF(D823=1,INDEX(v01_WinterMult,G823),1)</x:f>
        <x:v>1.15</x:v>
      </x:c>
      <x:c r="R823" s="9" t="n">
        <x:f>H823*Z822*v01_WomenShare*v01_BaseFertility*INDEX(v01_FertMult,G823)*Arch_Fertility*(1-P823)</x:f>
        <x:v>11.292394593986394</x:v>
      </x:c>
      <x:c r="S823" s="9" t="n">
        <x:f>H823*Y822*INDEX(v01_MortChild,G823)/4*Q823</x:f>
        <x:v>2.7683239371420116</x:v>
      </x:c>
      <x:c r="T823" s="9" t="n">
        <x:f>H823*Z822*INDEX(v01_MortAdult,G823)*Arch_AdultMort/4*Q823</x:f>
        <x:v>1.0423271317459877</x:v>
      </x:c>
      <x:c r="U823" s="9" t="n">
        <x:f>H823*AA822*INDEX(v01_MortElder,G823)/4*Q823</x:f>
        <x:v>2.0463092742964</x:v>
      </x:c>
      <x:c r="V823" s="9" t="n">
        <x:f>H823*MAX(0,AB822-O823)*v01_OvercapLoss</x:f>
        <x:v>0</x:v>
      </x:c>
      <x:c r="W823" s="9" t="n">
        <x:f>H823*Y822/(v01_ChildYears*4)</x:f>
        <x:v>5.731519538596298</x:v>
      </x:c>
      <x:c r="X823" s="9" t="n">
        <x:f>H823*Z822/(v01_AdultYears*4)</x:f>
        <x:v>2.6579807006145297</x:v>
      </x:c>
      <x:c r="Y823" s="32" t="n">
        <x:f>Y822+R823-S823-W823-Y822*V823/AB822</x:f>
        <x:v>323.7576452796408</x:v>
      </x:c>
      <x:c r="Z823" s="32" t="n">
        <x:f>Z822+W823-X823-T823-Z822*V823/AB822</x:f>
        <x:v>331.62081858243744</x:v>
      </x:c>
      <x:c r="AA823" s="32" t="n">
        <x:f>AA822+X823-U823-AA822*V823/AB822</x:f>
        <x:v>110.11317105421915</x:v>
      </x:c>
      <x:c r="AB823" s="10" t="n">
        <x:f>Y823+Z823+AA823</x:f>
        <x:v>765.4916349162974</x:v>
      </x:c>
      <x:c r="AC823" s="8" t="n">
        <x:f>IF(AND(v01_WinterTrigger=1,D823=1,AB822/AE822&gt;=K823),1,0)</x:f>
        <x:v>0</x:v>
      </x:c>
      <x:c r="AD823" s="8" t="n">
        <x:f>H823*IF(AND(OR(AB822/AE822&gt;=v01_FissionTrigger*N823,AC823=1),AB822/AE822*v01_DaughterShare&gt;=v01_MinDaughter),MAX(1,ROUND(AE822*v01_FissionRate,0)),0)</x:f>
        <x:v>0</x:v>
      </x:c>
      <x:c r="AE823" s="8" t="n">
        <x:f>IF(H823=1,MAX(1,MIN(INDEX(v01_Smax,G823),AE822+AD823)),AE822)</x:f>
        <x:v>9</x:v>
      </x:c>
      <x:c r="AF823" s="8" t="n">
        <x:f>MAX(0,AE823-AE822)</x:f>
        <x:v>0</x:v>
      </x:c>
      <x:c r="AG823" s="9" t="str">
        <x:f>IF(AF823&gt;0,B823,"")</x:f>
      </x:c>
      <x:c r="AH823" s="9" t="n">
        <x:f>IF(F823&gt;=1,1,(1+v01_LowTiesShare*(AE823-1))/AE823)</x:f>
        <x:v>1</x:v>
      </x:c>
      <x:c r="AI823" s="32" t="n">
        <x:f>(Z823+v01_ElderCommons*INDEX(LM_Elder,G823)*AA823)*AH823</x:f>
        <x:v>661.9603317450949</x:v>
      </x:c>
      <x:c r="AJ823" s="32" t="n">
        <x:f>H823*v01_CommonsCoef*AI823^v01_CommonsExp*INDEX(LM_Commons,G823)</x:f>
        <x:v>164.91156219292148</x:v>
      </x:c>
      <x:c r="AK823" s="32" t="n">
        <x:f>H823*v01_RoleScale*Arch_Roles*(AE823*(INDEX(v01_ElderRolePerSett,G823)*v01_OutElder*INDEX(LM_Elder,G823)+INDEX(v01_ShamanPerSett,G823)*v01_OutShaman)+Z823*(INDEX(v01_PriestShare,G823)*v01_OutPriest+INDEX(v01_ScribeShare,G823)*v01_OutScribe*INDEX(LM_Scribe,G823)+INDEX(v01_ScholarShare,G823)*v01_OutScholar*INDEX(LM_Scholar,G823)+INDEX(v01_ResearcherShare,G823)*v01_OutResearcher*INDEX(LM_Researcher,G823)))</x:f>
        <x:v>29.321345730077063</x:v>
      </x:c>
      <x:c r="AL823" s="32" t="n">
        <x:f>H823*v01_RoleScale*Arch_Roles*AE823*INDEX(v01_MonasteryPerSett,G823)*v01_OutMonastery*INDEX(LM_Monastery,G823)</x:f>
        <x:v>0</x:v>
      </x:c>
      <x:c r="AM823" s="32" t="n">
        <x:f>(AJ823+AK823+AL823)/4*INDEX(LM_All,G823)*INDEX(v01_Boon,G823)*Arch_Insight</x:f>
        <x:v>52.291899402191326</x:v>
      </x:c>
      <x:c r="AN823" s="32" t="n">
        <x:f>H823*(v01_KHPerAdult*Z823+v01_KHOfCommons*AJ823/4*INDEX(LM_All,G823))*v01_KHUsable*Arch_KH</x:f>
        <x:v>11.60672865038531</x:v>
      </x:c>
      <x:c r="AO823" s="32" t="n">
        <x:f>MIN(AP822+AN823,AM823*v01_KHMaxRatio)</x:f>
        <x:v>11.60672865038531</x:v>
      </x:c>
      <x:c r="AP823" s="32" t="n">
        <x:f>AP822+AN823-AO823</x:f>
        <x:v>0</x:v>
      </x:c>
      <x:c r="AQ823" s="32" t="n">
        <x:f>AM823+AO823</x:f>
        <x:v>63.89862805257664</x:v>
      </x:c>
      <x:c r="AR823" s="10" t="n">
        <x:f>IF(H823=1,INDEX(v01_Req,G823),0)</x:f>
        <x:v>9805.661999999998</x:v>
      </x:c>
      <x:c r="AS823" s="32" t="n">
        <x:f>IF(H823=1,IF(E823=1,AS822-AR822,AS822)+AQ823,0)</x:f>
        <x:v>5085.8591338022225</x:v>
      </x:c>
      <x:c r="AT823" s="11" t="n">
        <x:f>IF(AR823&gt;0,MIN(1,AS823/AR823),1)</x:f>
        <x:v>0.5186655560636522</x:v>
      </x:c>
      <x:c r="AU823" s="10" t="n">
        <x:f>AB823/INDEX(v01_RepScale,G823)</x:f>
        <x:v>153.09832698325948</x:v>
      </x:c>
      <x:c r="AV823" s="32" t="n">
        <x:f>AM823*60/v01_SeasonSeconds</x:f>
        <x:v>209.1675976087653</x:v>
      </x:c>
    </x:row>
    <x:row r="824">
      <x:c r="A824" s="8" t="n">
        <x:f>A823+1</x:f>
        <x:v>821</x:v>
      </x:c>
      <x:c r="B824" s="9" t="n">
        <x:f>A824*v01_SeasonSeconds/60</x:f>
        <x:v>205.25</x:v>
      </x:c>
      <x:c r="C824" s="9" t="n">
        <x:f>A824/4</x:f>
        <x:v>205.25</x:v>
      </x:c>
      <x:c r="D824" s="8" t="n">
        <x:f>IF(MOD(A824,4)=0,1,0)</x:f>
        <x:v>0</x:v>
      </x:c>
      <x:c r="E824" s="8" t="n">
        <x:f>IF(AND(F823&lt;=9,AS823&gt;=AR823),1,0)</x:f>
        <x:v>0</x:v>
      </x:c>
      <x:c r="F824" s="8" t="n">
        <x:f>MIN(10,F823+E824)</x:f>
        <x:v>3</x:v>
      </x:c>
      <x:c r="G824" s="8" t="n">
        <x:f>MIN(F824,9)+1</x:f>
        <x:v>4</x:v>
      </x:c>
      <x:c r="H824" s="8" t="n">
        <x:f>IF(F824&lt;=9,1,0)</x:f>
        <x:v>1</x:v>
      </x:c>
      <x:c r="I824" s="9" t="n">
        <x:f>MIN(10,F823+IF(AR823&gt;0,MIN(1,AS823/AR823),1))</x:f>
        <x:v>3.5186655560636524</x:v>
      </x:c>
      <x:c r="J824" s="32" t="n">
        <x:f>INDEX(v01_FoodCap,G824)*Arch_FoodCap*EXP(v01_CapsByProject*SUMPRODUCT((Cap_Point&lt;=I824)*(Cap_Kind="Food")*Cap_Ln))</x:f>
        <x:v>120</x:v>
      </x:c>
      <x:c r="K824" s="32" t="n">
        <x:f>J824*MIN(1,v01_LeanBase*EXP(v01_CapsByProject*SUMPRODUCT((Cap_Point&lt;=I824)*(Cap_Kind="Lean")*Cap_Ln)))</x:f>
        <x:v>120</x:v>
      </x:c>
      <x:c r="L824" s="10" t="n">
        <x:f>INDEX(v01_HousingCap,G824)*EXP(v01_CapsByProject*SUMPRODUCT((Cap_Point&lt;=I824)*(Cap_Kind="Housing")*Cap_Ln))</x:f>
        <x:v>200</x:v>
      </x:c>
      <x:c r="M824" s="10" t="n">
        <x:f>INDEX(v01_GroupCap,G824)*v01_CohesionFactor*EXP(v01_CapsByProject*SUMPRODUCT((Cap_Point&lt;=I824)*(Cap_Kind="Group")*Cap_Ln))</x:f>
        <x:v>5000</x:v>
      </x:c>
      <x:c r="N824" s="32" t="n">
        <x:f>MIN(J824,L824,M824)</x:f>
        <x:v>120</x:v>
      </x:c>
      <x:c r="O824" s="10" t="n">
        <x:f>AE823*N824</x:f>
        <x:v>1080</x:v>
      </x:c>
      <x:c r="P824" s="9" t="n">
        <x:f>MIN(1,(AB823/(AE823*IF(v01_GroupInCrowding=1,N824,MIN(J824,L824))))^v01_CrowdingExp)</x:f>
        <x:v>0.1267944261024633</x:v>
      </x:c>
      <x:c r="Q824" s="9" t="n">
        <x:f>IF(D824=1,INDEX(v01_WinterMult,G824),1)</x:f>
        <x:v>1</x:v>
      </x:c>
      <x:c r="R824" s="9" t="n">
        <x:f>H824*Z823*v01_WomenShare*v01_BaseFertility*INDEX(v01_FertMult,G824)*Arch_Fertility*(1-P824)</x:f>
        <x:v>11.29335274105928</x:v>
      </x:c>
      <x:c r="S824" s="9" t="n">
        <x:f>H824*Y823*INDEX(v01_MortChild,G824)/4*Q824</x:f>
        <x:v>2.428182339597306</x:v>
      </x:c>
      <x:c r="T824" s="9" t="n">
        <x:f>H824*Z823*INDEX(v01_MortAdult,G824)*Arch_AdultMort/4*Q824</x:f>
        <x:v>0.9119572511017029</x:v>
      </x:c>
      <x:c r="U824" s="9" t="n">
        <x:f>H824*AA823*INDEX(v01_MortElder,G824)/4*Q824</x:f>
        <x:v>1.7893390296310612</x:v>
      </x:c>
      <x:c r="V824" s="9" t="n">
        <x:f>H824*MAX(0,AB823-O824)*v01_OvercapLoss</x:f>
        <x:v>0</x:v>
      </x:c>
      <x:c r="W824" s="9" t="n">
        <x:f>H824*Y823/(v01_ChildYears*4)</x:f>
        <x:v>5.781386522850729</x:v>
      </x:c>
      <x:c r="X824" s="9" t="n">
        <x:f>H824*Z823/(v01_AdultYears*4)</x:f>
        <x:v>2.674361440180947</x:v>
      </x:c>
      <x:c r="Y824" s="32" t="n">
        <x:f>Y823+R824-S824-W824-Y823*V824/AB823</x:f>
        <x:v>326.8414291582521</x:v>
      </x:c>
      <x:c r="Z824" s="32" t="n">
        <x:f>Z823+W824-X824-T824-Z823*V824/AB823</x:f>
        <x:v>333.8158864140055</x:v>
      </x:c>
      <x:c r="AA824" s="32" t="n">
        <x:f>AA823+X824-U824-AA823*V824/AB823</x:f>
        <x:v>110.99819346476903</x:v>
      </x:c>
      <x:c r="AB824" s="10" t="n">
        <x:f>Y824+Z824+AA824</x:f>
        <x:v>771.6555090370266</x:v>
      </x:c>
      <x:c r="AC824" s="8" t="n">
        <x:f>IF(AND(v01_WinterTrigger=1,D824=1,AB823/AE823&gt;=K824),1,0)</x:f>
        <x:v>0</x:v>
      </x:c>
      <x:c r="AD824" s="8" t="n">
        <x:f>H824*IF(AND(OR(AB823/AE823&gt;=v01_FissionTrigger*N824,AC824=1),AB823/AE823*v01_DaughterShare&gt;=v01_MinDaughter),MAX(1,ROUND(AE823*v01_FissionRate,0)),0)</x:f>
        <x:v>0</x:v>
      </x:c>
      <x:c r="AE824" s="8" t="n">
        <x:f>IF(H824=1,MAX(1,MIN(INDEX(v01_Smax,G824),AE823+AD824)),AE823)</x:f>
        <x:v>9</x:v>
      </x:c>
      <x:c r="AF824" s="8" t="n">
        <x:f>MAX(0,AE824-AE823)</x:f>
        <x:v>0</x:v>
      </x:c>
      <x:c r="AG824" s="9" t="str">
        <x:f>IF(AF824&gt;0,B824,"")</x:f>
      </x:c>
      <x:c r="AH824" s="9" t="n">
        <x:f>IF(F824&gt;=1,1,(1+v01_LowTiesShare*(AE824-1))/AE824)</x:f>
        <x:v>1</x:v>
      </x:c>
      <x:c r="AI824" s="32" t="n">
        <x:f>(Z824+v01_ElderCommons*INDEX(LM_Elder,G824)*AA824)*AH824</x:f>
        <x:v>666.8104668083126</x:v>
      </x:c>
      <x:c r="AJ824" s="32" t="n">
        <x:f>H824*v01_CommonsCoef*AI824^v01_CommonsExp*INDEX(LM_Commons,G824)</x:f>
        <x:v>165.93805012597164</x:v>
      </x:c>
      <x:c r="AK824" s="32" t="n">
        <x:f>H824*v01_RoleScale*Arch_Roles*(AE824*(INDEX(v01_ElderRolePerSett,G824)*v01_OutElder*INDEX(LM_Elder,G824)+INDEX(v01_ShamanPerSett,G824)*v01_OutShaman)+Z824*(INDEX(v01_PriestShare,G824)*v01_OutPriest+INDEX(v01_ScribeShare,G824)*v01_OutScribe*INDEX(LM_Scribe,G824)+INDEX(v01_ScholarShare,G824)*v01_OutScholar*INDEX(LM_Scholar,G824)+INDEX(v01_ResearcherShare,G824)*v01_OutResearcher*INDEX(LM_Researcher,G824)))</x:f>
        <x:v>29.336711204898037</x:v>
      </x:c>
      <x:c r="AL824" s="32" t="n">
        <x:f>H824*v01_RoleScale*Arch_Roles*AE824*INDEX(v01_MonasteryPerSett,G824)*v01_OutMonastery*INDEX(LM_Monastery,G824)</x:f>
        <x:v>0</x:v>
      </x:c>
      <x:c r="AM824" s="32" t="n">
        <x:f>(AJ824+AK824+AL824)/4*INDEX(LM_All,G824)*INDEX(v01_Boon,G824)*Arch_Insight</x:f>
        <x:v>52.57238994408151</x:v>
      </x:c>
      <x:c r="AN824" s="32" t="n">
        <x:f>H824*(v01_KHPerAdult*Z824+v01_KHOfCommons*AJ824/4*INDEX(LM_All,G824))*v01_KHUsable*Arch_KH</x:f>
        <x:v>11.68355602449019</x:v>
      </x:c>
      <x:c r="AO824" s="32" t="n">
        <x:f>MIN(AP823+AN824,AM824*v01_KHMaxRatio)</x:f>
        <x:v>11.68355602449019</x:v>
      </x:c>
      <x:c r="AP824" s="32" t="n">
        <x:f>AP823+AN824-AO824</x:f>
        <x:v>0</x:v>
      </x:c>
      <x:c r="AQ824" s="32" t="n">
        <x:f>AM824+AO824</x:f>
        <x:v>64.2559459685717</x:v>
      </x:c>
      <x:c r="AR824" s="10" t="n">
        <x:f>IF(H824=1,INDEX(v01_Req,G824),0)</x:f>
        <x:v>9805.661999999998</x:v>
      </x:c>
      <x:c r="AS824" s="32" t="n">
        <x:f>IF(H824=1,IF(E824=1,AS823-AR823,AS823)+AQ824,0)</x:f>
        <x:v>5150.115079770794</x:v>
      </x:c>
      <x:c r="AT824" s="11" t="n">
        <x:f>IF(AR824&gt;0,MIN(1,AS824/AR824),1)</x:f>
        <x:v>0.5252184992477607</x:v>
      </x:c>
      <x:c r="AU824" s="10" t="n">
        <x:f>AB824/INDEX(v01_RepScale,G824)</x:f>
        <x:v>154.33110180740533</x:v>
      </x:c>
      <x:c r="AV824" s="32" t="n">
        <x:f>AM824*60/v01_SeasonSeconds</x:f>
        <x:v>210.28955977632603</x:v>
      </x:c>
    </x:row>
    <x:row r="825">
      <x:c r="A825" s="8" t="n">
        <x:f>A824+1</x:f>
        <x:v>822</x:v>
      </x:c>
      <x:c r="B825" s="9" t="n">
        <x:f>A825*v01_SeasonSeconds/60</x:f>
        <x:v>205.5</x:v>
      </x:c>
      <x:c r="C825" s="9" t="n">
        <x:f>A825/4</x:f>
        <x:v>205.5</x:v>
      </x:c>
      <x:c r="D825" s="8" t="n">
        <x:f>IF(MOD(A825,4)=0,1,0)</x:f>
        <x:v>0</x:v>
      </x:c>
      <x:c r="E825" s="8" t="n">
        <x:f>IF(AND(F824&lt;=9,AS824&gt;=AR824),1,0)</x:f>
        <x:v>0</x:v>
      </x:c>
      <x:c r="F825" s="8" t="n">
        <x:f>MIN(10,F824+E825)</x:f>
        <x:v>3</x:v>
      </x:c>
      <x:c r="G825" s="8" t="n">
        <x:f>MIN(F825,9)+1</x:f>
        <x:v>4</x:v>
      </x:c>
      <x:c r="H825" s="8" t="n">
        <x:f>IF(F825&lt;=9,1,0)</x:f>
        <x:v>1</x:v>
      </x:c>
      <x:c r="I825" s="9" t="n">
        <x:f>MIN(10,F824+IF(AR824&gt;0,MIN(1,AS824/AR824),1))</x:f>
        <x:v>3.5252184992477607</x:v>
      </x:c>
      <x:c r="J825" s="32" t="n">
        <x:f>INDEX(v01_FoodCap,G825)*Arch_FoodCap*EXP(v01_CapsByProject*SUMPRODUCT((Cap_Point&lt;=I825)*(Cap_Kind="Food")*Cap_Ln))</x:f>
        <x:v>120</x:v>
      </x:c>
      <x:c r="K825" s="32" t="n">
        <x:f>J825*MIN(1,v01_LeanBase*EXP(v01_CapsByProject*SUMPRODUCT((Cap_Point&lt;=I825)*(Cap_Kind="Lean")*Cap_Ln)))</x:f>
        <x:v>120</x:v>
      </x:c>
      <x:c r="L825" s="10" t="n">
        <x:f>INDEX(v01_HousingCap,G825)*EXP(v01_CapsByProject*SUMPRODUCT((Cap_Point&lt;=I825)*(Cap_Kind="Housing")*Cap_Ln))</x:f>
        <x:v>200</x:v>
      </x:c>
      <x:c r="M825" s="10" t="n">
        <x:f>INDEX(v01_GroupCap,G825)*v01_CohesionFactor*EXP(v01_CapsByProject*SUMPRODUCT((Cap_Point&lt;=I825)*(Cap_Kind="Group")*Cap_Ln))</x:f>
        <x:v>5000</x:v>
      </x:c>
      <x:c r="N825" s="32" t="n">
        <x:f>MIN(J825,L825,M825)</x:f>
        <x:v>120</x:v>
      </x:c>
      <x:c r="O825" s="10" t="n">
        <x:f>AE824*N825</x:f>
        <x:v>1080</x:v>
      </x:c>
      <x:c r="P825" s="9" t="n">
        <x:f>MIN(1,(AB824/(AE824*IF(v01_GroupInCrowding=1,N825,MIN(J825,L825))))^v01_CrowdingExp)</x:f>
        <x:v>0.13304490063014074</x:v>
      </x:c>
      <x:c r="Q825" s="9" t="n">
        <x:f>IF(D825=1,INDEX(v01_WinterMult,G825),1)</x:f>
        <x:v>1</x:v>
      </x:c>
      <x:c r="R825" s="9" t="n">
        <x:f>H825*Z824*v01_WomenShare*v01_BaseFertility*INDEX(v01_FertMult,G825)*Arch_Fertility*(1-P825)</x:f>
        <x:v>11.28673201411438</x:v>
      </x:c>
      <x:c r="S825" s="9" t="n">
        <x:f>H825*Y824*INDEX(v01_MortChild,G825)/4*Q825</x:f>
        <x:v>2.4513107186868903</x:v>
      </x:c>
      <x:c r="T825" s="9" t="n">
        <x:f>H825*Z824*INDEX(v01_MortAdult,G825)*Arch_AdultMort/4*Q825</x:f>
        <x:v>0.9179936876385151</x:v>
      </x:c>
      <x:c r="U825" s="9" t="n">
        <x:f>H825*AA824*INDEX(v01_MortElder,G825)/4*Q825</x:f>
        <x:v>1.8037206438024969</x:v>
      </x:c>
      <x:c r="V825" s="9" t="n">
        <x:f>H825*MAX(0,AB824-O825)*v01_OvercapLoss</x:f>
        <x:v>0</x:v>
      </x:c>
      <x:c r="W825" s="9" t="n">
        <x:f>H825*Y824/(v01_ChildYears*4)</x:f>
        <x:v>5.836454092111644</x:v>
      </x:c>
      <x:c r="X825" s="9" t="n">
        <x:f>H825*Z824/(v01_AdultYears*4)</x:f>
        <x:v>2.6920636001129474</x:v>
      </x:c>
      <x:c r="Y825" s="32" t="n">
        <x:f>Y824+R825-S825-W825-Y824*V825/AB824</x:f>
        <x:v>329.8403963615679</x:v>
      </x:c>
      <x:c r="Z825" s="32" t="n">
        <x:f>Z824+W825-X825-T825-Z824*V825/AB824</x:f>
        <x:v>336.0422832183657</x:v>
      </x:c>
      <x:c r="AA825" s="32" t="n">
        <x:f>AA824+X825-U825-AA824*V825/AB824</x:f>
        <x:v>111.88653642107948</x:v>
      </x:c>
      <x:c r="AB825" s="10" t="n">
        <x:f>Y825+Z825+AA825</x:f>
        <x:v>777.7692160010131</x:v>
      </x:c>
      <x:c r="AC825" s="8" t="n">
        <x:f>IF(AND(v01_WinterTrigger=1,D825=1,AB824/AE824&gt;=K825),1,0)</x:f>
        <x:v>0</x:v>
      </x:c>
      <x:c r="AD825" s="8" t="n">
        <x:f>H825*IF(AND(OR(AB824/AE824&gt;=v01_FissionTrigger*N825,AC825=1),AB824/AE824*v01_DaughterShare&gt;=v01_MinDaughter),MAX(1,ROUND(AE824*v01_FissionRate,0)),0)</x:f>
        <x:v>0</x:v>
      </x:c>
      <x:c r="AE825" s="8" t="n">
        <x:f>IF(H825=1,MAX(1,MIN(INDEX(v01_Smax,G825),AE824+AD825)),AE824)</x:f>
        <x:v>9</x:v>
      </x:c>
      <x:c r="AF825" s="8" t="n">
        <x:f>MAX(0,AE825-AE824)</x:f>
        <x:v>0</x:v>
      </x:c>
      <x:c r="AG825" s="9" t="str">
        <x:f>IF(AF825&gt;0,B825,"")</x:f>
      </x:c>
      <x:c r="AH825" s="9" t="n">
        <x:f>IF(F825&gt;=1,1,(1+v01_LowTiesShare*(AE825-1))/AE825)</x:f>
        <x:v>1</x:v>
      </x:c>
      <x:c r="AI825" s="32" t="n">
        <x:f>(Z825+v01_ElderCommons*INDEX(LM_Elder,G825)*AA825)*AH825</x:f>
        <x:v>671.7018924816041</x:v>
      </x:c>
      <x:c r="AJ825" s="32" t="n">
        <x:f>H825*v01_CommonsCoef*AI825^v01_CommonsExp*INDEX(LM_Commons,G825)</x:f>
        <x:v>166.9721431971033</x:v>
      </x:c>
      <x:c r="AK825" s="32" t="n">
        <x:f>H825*v01_RoleScale*Arch_Roles*(AE825*(INDEX(v01_ElderRolePerSett,G825)*v01_OutElder*INDEX(LM_Elder,G825)+INDEX(v01_ShamanPerSett,G825)*v01_OutShaman)+Z825*(INDEX(v01_PriestShare,G825)*v01_OutPriest+INDEX(v01_ScribeShare,G825)*v01_OutScribe*INDEX(LM_Scribe,G825)+INDEX(v01_ScholarShare,G825)*v01_OutScholar*INDEX(LM_Scholar,G825)+INDEX(v01_ResearcherShare,G825)*v01_OutResearcher*INDEX(LM_Researcher,G825)))</x:f>
        <x:v>29.35229598252856</x:v>
      </x:c>
      <x:c r="AL825" s="32" t="n">
        <x:f>H825*v01_RoleScale*Arch_Roles*AE825*INDEX(v01_MonasteryPerSett,G825)*v01_OutMonastery*INDEX(LM_Monastery,G825)</x:f>
        <x:v>0</x:v>
      </x:c>
      <x:c r="AM825" s="32" t="n">
        <x:f>(AJ825+AK825+AL825)/4*INDEX(LM_All,G825)*INDEX(v01_Boon,G825)*Arch_Insight</x:f>
        <x:v>52.85498700273204</x:v>
      </x:c>
      <x:c r="AN825" s="32" t="n">
        <x:f>H825*(v01_KHPerAdult*Z825+v01_KHOfCommons*AJ825/4*INDEX(LM_All,G825))*v01_KHUsable*Arch_KH</x:f>
        <x:v>11.7614799126428</x:v>
      </x:c>
      <x:c r="AO825" s="32" t="n">
        <x:f>MIN(AP824+AN825,AM825*v01_KHMaxRatio)</x:f>
        <x:v>11.7614799126428</x:v>
      </x:c>
      <x:c r="AP825" s="32" t="n">
        <x:f>AP824+AN825-AO825</x:f>
        <x:v>0</x:v>
      </x:c>
      <x:c r="AQ825" s="32" t="n">
        <x:f>AM825+AO825</x:f>
        <x:v>64.61646691537484</x:v>
      </x:c>
      <x:c r="AR825" s="10" t="n">
        <x:f>IF(H825=1,INDEX(v01_Req,G825),0)</x:f>
        <x:v>9805.661999999998</x:v>
      </x:c>
      <x:c r="AS825" s="32" t="n">
        <x:f>IF(H825=1,IF(E825=1,AS824-AR824,AS824)+AQ825,0)</x:f>
        <x:v>5214.731546686169</x:v>
      </x:c>
      <x:c r="AT825" s="11" t="n">
        <x:f>IF(AR825&gt;0,MIN(1,AS825/AR825),1)</x:f>
        <x:v>0.5318082090414875</x:v>
      </x:c>
      <x:c r="AU825" s="10" t="n">
        <x:f>AB825/INDEX(v01_RepScale,G825)</x:f>
        <x:v>155.5538432002026</x:v>
      </x:c>
      <x:c r="AV825" s="32" t="n">
        <x:f>AM825*60/v01_SeasonSeconds</x:f>
        <x:v>211.41994801092815</x:v>
      </x:c>
    </x:row>
    <x:row r="826">
      <x:c r="A826" s="8" t="n">
        <x:f>A825+1</x:f>
        <x:v>823</x:v>
      </x:c>
      <x:c r="B826" s="9" t="n">
        <x:f>A826*v01_SeasonSeconds/60</x:f>
        <x:v>205.75</x:v>
      </x:c>
      <x:c r="C826" s="9" t="n">
        <x:f>A826/4</x:f>
        <x:v>205.75</x:v>
      </x:c>
      <x:c r="D826" s="8" t="n">
        <x:f>IF(MOD(A826,4)=0,1,0)</x:f>
        <x:v>0</x:v>
      </x:c>
      <x:c r="E826" s="8" t="n">
        <x:f>IF(AND(F825&lt;=9,AS825&gt;=AR825),1,0)</x:f>
        <x:v>0</x:v>
      </x:c>
      <x:c r="F826" s="8" t="n">
        <x:f>MIN(10,F825+E826)</x:f>
        <x:v>3</x:v>
      </x:c>
      <x:c r="G826" s="8" t="n">
        <x:f>MIN(F826,9)+1</x:f>
        <x:v>4</x:v>
      </x:c>
      <x:c r="H826" s="8" t="n">
        <x:f>IF(F826&lt;=9,1,0)</x:f>
        <x:v>1</x:v>
      </x:c>
      <x:c r="I826" s="9" t="n">
        <x:f>MIN(10,F825+IF(AR825&gt;0,MIN(1,AS825/AR825),1))</x:f>
        <x:v>3.5318082090414875</x:v>
      </x:c>
      <x:c r="J826" s="32" t="n">
        <x:f>INDEX(v01_FoodCap,G826)*Arch_FoodCap*EXP(v01_CapsByProject*SUMPRODUCT((Cap_Point&lt;=I826)*(Cap_Kind="Food")*Cap_Ln))</x:f>
        <x:v>120</x:v>
      </x:c>
      <x:c r="K826" s="32" t="n">
        <x:f>J826*MIN(1,v01_LeanBase*EXP(v01_CapsByProject*SUMPRODUCT((Cap_Point&lt;=I826)*(Cap_Kind="Lean")*Cap_Ln)))</x:f>
        <x:v>120</x:v>
      </x:c>
      <x:c r="L826" s="10" t="n">
        <x:f>INDEX(v01_HousingCap,G826)*EXP(v01_CapsByProject*SUMPRODUCT((Cap_Point&lt;=I826)*(Cap_Kind="Housing")*Cap_Ln))</x:f>
        <x:v>200</x:v>
      </x:c>
      <x:c r="M826" s="10" t="n">
        <x:f>INDEX(v01_GroupCap,G826)*v01_CohesionFactor*EXP(v01_CapsByProject*SUMPRODUCT((Cap_Point&lt;=I826)*(Cap_Kind="Group")*Cap_Ln))</x:f>
        <x:v>5000</x:v>
      </x:c>
      <x:c r="N826" s="32" t="n">
        <x:f>MIN(J826,L826,M826)</x:f>
        <x:v>120</x:v>
      </x:c>
      <x:c r="O826" s="10" t="n">
        <x:f>AE825*N826</x:f>
        <x:v>1080</x:v>
      </x:c>
      <x:c r="P826" s="9" t="n">
        <x:f>MIN(1,(AB825/(AE825*IF(v01_GroupInCrowding=1,N826,MIN(J826,L826))))^v01_CrowdingExp)</x:f>
        <x:v>0.13949606794977673</x:v>
      </x:c>
      <x:c r="Q826" s="9" t="n">
        <x:f>IF(D826=1,INDEX(v01_WinterMult,G826),1)</x:f>
        <x:v>1</x:v>
      </x:c>
      <x:c r="R826" s="9" t="n">
        <x:f>H826*Z825*v01_WomenShare*v01_BaseFertility*INDEX(v01_FertMult,G826)*Arch_Fertility*(1-P826)</x:f>
        <x:v>11.277462535737</x:v>
      </x:c>
      <x:c r="S826" s="9" t="n">
        <x:f>H826*Y825*INDEX(v01_MortChild,G826)/4*Q826</x:f>
        <x:v>2.473802972711759</x:v>
      </x:c>
      <x:c r="T826" s="9" t="n">
        <x:f>H826*Z825*INDEX(v01_MortAdult,G826)*Arch_AdultMort/4*Q826</x:f>
        <x:v>0.9241162788505056</x:v>
      </x:c>
      <x:c r="U826" s="9" t="n">
        <x:f>H826*AA825*INDEX(v01_MortElder,G826)/4*Q826</x:f>
        <x:v>1.8181562168425416</x:v>
      </x:c>
      <x:c r="V826" s="9" t="n">
        <x:f>H826*MAX(0,AB825-O826)*v01_OvercapLoss</x:f>
        <x:v>0</x:v>
      </x:c>
      <x:c r="W826" s="9" t="n">
        <x:f>H826*Y825/(v01_ChildYears*4)</x:f>
        <x:v>5.890007077885142</x:v>
      </x:c>
      <x:c r="X826" s="9" t="n">
        <x:f>H826*Z825/(v01_AdultYears*4)</x:f>
        <x:v>2.710018413051336</x:v>
      </x:c>
      <x:c r="Y826" s="32" t="n">
        <x:f>Y825+R826-S826-W826-Y825*V826/AB825</x:f>
        <x:v>332.75404884670803</x:v>
      </x:c>
      <x:c r="Z826" s="32" t="n">
        <x:f>Z825+W826-X826-T826-Z825*V826/AB825</x:f>
        <x:v>338.29815560434895</x:v>
      </x:c>
      <x:c r="AA826" s="32" t="n">
        <x:f>AA825+X826-U826-AA825*V826/AB825</x:f>
        <x:v>112.77839861728827</x:v>
      </x:c>
      <x:c r="AB826" s="10" t="n">
        <x:f>Y826+Z826+AA826</x:f>
        <x:v>783.8306030683452</x:v>
      </x:c>
      <x:c r="AC826" s="8" t="n">
        <x:f>IF(AND(v01_WinterTrigger=1,D826=1,AB825/AE825&gt;=K826),1,0)</x:f>
        <x:v>0</x:v>
      </x:c>
      <x:c r="AD826" s="8" t="n">
        <x:f>H826*IF(AND(OR(AB825/AE825&gt;=v01_FissionTrigger*N826,AC826=1),AB825/AE825*v01_DaughterShare&gt;=v01_MinDaughter),MAX(1,ROUND(AE825*v01_FissionRate,0)),0)</x:f>
        <x:v>0</x:v>
      </x:c>
      <x:c r="AE826" s="8" t="n">
        <x:f>IF(H826=1,MAX(1,MIN(INDEX(v01_Smax,G826),AE825+AD826)),AE825)</x:f>
        <x:v>9</x:v>
      </x:c>
      <x:c r="AF826" s="8" t="n">
        <x:f>MAX(0,AE826-AE825)</x:f>
        <x:v>0</x:v>
      </x:c>
      <x:c r="AG826" s="9" t="str">
        <x:f>IF(AF826&gt;0,B826,"")</x:f>
      </x:c>
      <x:c r="AH826" s="9" t="n">
        <x:f>IF(F826&gt;=1,1,(1+v01_LowTiesShare*(AE826-1))/AE826)</x:f>
        <x:v>1</x:v>
      </x:c>
      <x:c r="AI826" s="32" t="n">
        <x:f>(Z826+v01_ElderCommons*INDEX(LM_Elder,G826)*AA826)*AH826</x:f>
        <x:v>676.6333514562137</x:v>
      </x:c>
      <x:c r="AJ826" s="32" t="n">
        <x:f>H826*v01_CommonsCoef*AI826^v01_CommonsExp*INDEX(LM_Commons,G826)</x:f>
        <x:v>168.01355685527676</x:v>
      </x:c>
      <x:c r="AK826" s="32" t="n">
        <x:f>H826*v01_RoleScale*Arch_Roles*(AE826*(INDEX(v01_ElderRolePerSett,G826)*v01_OutElder*INDEX(LM_Elder,G826)+INDEX(v01_ShamanPerSett,G826)*v01_OutShaman)+Z826*(INDEX(v01_PriestShare,G826)*v01_OutPriest+INDEX(v01_ScribeShare,G826)*v01_OutScribe*INDEX(LM_Scribe,G826)+INDEX(v01_ScholarShare,G826)*v01_OutScholar*INDEX(LM_Scholar,G826)+INDEX(v01_ResearcherShare,G826)*v01_OutResearcher*INDEX(LM_Researcher,G826)))</x:f>
        <x:v>29.368087089230443</x:v>
      </x:c>
      <x:c r="AL826" s="32" t="n">
        <x:f>H826*v01_RoleScale*Arch_Roles*AE826*INDEX(v01_MonasteryPerSett,G826)*v01_OutMonastery*INDEX(LM_Monastery,G826)</x:f>
        <x:v>0</x:v>
      </x:c>
      <x:c r="AM826" s="32" t="n">
        <x:f>(AJ826+AK826+AL826)/4*INDEX(LM_All,G826)*INDEX(v01_Boon,G826)*Arch_Insight</x:f>
        <x:v>53.13961047773194</x:v>
      </x:c>
      <x:c r="AN826" s="32" t="n">
        <x:f>H826*(v01_KHPerAdult*Z826+v01_KHOfCommons*AJ826/4*INDEX(LM_All,G826))*v01_KHUsable*Arch_KH</x:f>
        <x:v>11.840435446152213</x:v>
      </x:c>
      <x:c r="AO826" s="32" t="n">
        <x:f>MIN(AP825+AN826,AM826*v01_KHMaxRatio)</x:f>
        <x:v>11.840435446152213</x:v>
      </x:c>
      <x:c r="AP826" s="32" t="n">
        <x:f>AP825+AN826-AO826</x:f>
        <x:v>0</x:v>
      </x:c>
      <x:c r="AQ826" s="32" t="n">
        <x:f>AM826+AO826</x:f>
        <x:v>64.98004592388415</x:v>
      </x:c>
      <x:c r="AR826" s="10" t="n">
        <x:f>IF(H826=1,INDEX(v01_Req,G826),0)</x:f>
        <x:v>9805.661999999998</x:v>
      </x:c>
      <x:c r="AS826" s="32" t="n">
        <x:f>IF(H826=1,IF(E826=1,AS825-AR825,AS825)+AQ826,0)</x:f>
        <x:v>5279.711592610053</x:v>
      </x:c>
      <x:c r="AT826" s="11" t="n">
        <x:f>IF(AR826&gt;0,MIN(1,AS826/AR826),1)</x:f>
        <x:v>0.5384349973117627</x:v>
      </x:c>
      <x:c r="AU826" s="10" t="n">
        <x:f>AB826/INDEX(v01_RepScale,G826)</x:f>
        <x:v>156.76612061366905</x:v>
      </x:c>
      <x:c r="AV826" s="32" t="n">
        <x:f>AM826*60/v01_SeasonSeconds</x:f>
        <x:v>212.55844191092777</x:v>
      </x:c>
    </x:row>
    <x:row r="827">
      <x:c r="A827" s="8" t="n">
        <x:f>A826+1</x:f>
        <x:v>824</x:v>
      </x:c>
      <x:c r="B827" s="9" t="n">
        <x:f>A827*v01_SeasonSeconds/60</x:f>
        <x:v>206</x:v>
      </x:c>
      <x:c r="C827" s="9" t="n">
        <x:f>A827/4</x:f>
        <x:v>206</x:v>
      </x:c>
      <x:c r="D827" s="8" t="n">
        <x:f>IF(MOD(A827,4)=0,1,0)</x:f>
        <x:v>1</x:v>
      </x:c>
      <x:c r="E827" s="8" t="n">
        <x:f>IF(AND(F826&lt;=9,AS826&gt;=AR826),1,0)</x:f>
        <x:v>0</x:v>
      </x:c>
      <x:c r="F827" s="8" t="n">
        <x:f>MIN(10,F826+E827)</x:f>
        <x:v>3</x:v>
      </x:c>
      <x:c r="G827" s="8" t="n">
        <x:f>MIN(F827,9)+1</x:f>
        <x:v>4</x:v>
      </x:c>
      <x:c r="H827" s="8" t="n">
        <x:f>IF(F827&lt;=9,1,0)</x:f>
        <x:v>1</x:v>
      </x:c>
      <x:c r="I827" s="9" t="n">
        <x:f>MIN(10,F826+IF(AR826&gt;0,MIN(1,AS826/AR826),1))</x:f>
        <x:v>3.5384349973117626</x:v>
      </x:c>
      <x:c r="J827" s="32" t="n">
        <x:f>INDEX(v01_FoodCap,G827)*Arch_FoodCap*EXP(v01_CapsByProject*SUMPRODUCT((Cap_Point&lt;=I827)*(Cap_Kind="Food")*Cap_Ln))</x:f>
        <x:v>120</x:v>
      </x:c>
      <x:c r="K827" s="32" t="n">
        <x:f>J827*MIN(1,v01_LeanBase*EXP(v01_CapsByProject*SUMPRODUCT((Cap_Point&lt;=I827)*(Cap_Kind="Lean")*Cap_Ln)))</x:f>
        <x:v>120</x:v>
      </x:c>
      <x:c r="L827" s="10" t="n">
        <x:f>INDEX(v01_HousingCap,G827)*EXP(v01_CapsByProject*SUMPRODUCT((Cap_Point&lt;=I827)*(Cap_Kind="Housing")*Cap_Ln))</x:f>
        <x:v>200</x:v>
      </x:c>
      <x:c r="M827" s="10" t="n">
        <x:f>INDEX(v01_GroupCap,G827)*v01_CohesionFactor*EXP(v01_CapsByProject*SUMPRODUCT((Cap_Point&lt;=I827)*(Cap_Kind="Group")*Cap_Ln))</x:f>
        <x:v>5000</x:v>
      </x:c>
      <x:c r="N827" s="32" t="n">
        <x:f>MIN(J827,L827,M827)</x:f>
        <x:v>120</x:v>
      </x:c>
      <x:c r="O827" s="10" t="n">
        <x:f>AE826*N827</x:f>
        <x:v>1080</x:v>
      </x:c>
      <x:c r="P827" s="9" t="n">
        <x:f>MIN(1,(AB826/(AE826*IF(v01_GroupInCrowding=1,N827,MIN(J827,L827))))^v01_CrowdingExp)</x:f>
        <x:v>0.14614728801502663</x:v>
      </x:c>
      <x:c r="Q827" s="9" t="n">
        <x:f>IF(D827=1,INDEX(v01_WinterMult,G827),1)</x:f>
        <x:v>1.15</x:v>
      </x:c>
      <x:c r="R827" s="9" t="n">
        <x:f>H827*Z826*v01_WomenShare*v01_BaseFertility*INDEX(v01_FertMult,G827)*Arch_Fertility*(1-P827)</x:f>
        <x:v>11.265415107269227</x:v>
      </x:c>
      <x:c r="S827" s="9" t="n">
        <x:f>H827*Y826*INDEX(v01_MortChild,G827)/4*Q827</x:f>
        <x:v>2.8700036713028565</x:v>
      </x:c>
      <x:c r="T827" s="9" t="n">
        <x:f>H827*Z826*INDEX(v01_MortAdult,G827)*Arch_AdultMort/4*Q827</x:f>
        <x:v>1.0698679170987535</x:v>
      </x:c>
      <x:c r="U827" s="9" t="n">
        <x:f>H827*AA826*INDEX(v01_MortElder,G827)/4*Q827</x:f>
        <x:v>2.1075463241605745</x:v>
      </x:c>
      <x:c r="V827" s="9" t="n">
        <x:f>H827*MAX(0,AB826-O827)*v01_OvercapLoss</x:f>
        <x:v>0</x:v>
      </x:c>
      <x:c r="W827" s="9" t="n">
        <x:f>H827*Y826/(v01_ChildYears*4)</x:f>
        <x:v>5.942036586548357</x:v>
      </x:c>
      <x:c r="X827" s="9" t="n">
        <x:f>H827*Z826/(v01_AdultYears*4)</x:f>
        <x:v>2.7282109322931367</x:v>
      </x:c>
      <x:c r="Y827" s="32" t="n">
        <x:f>Y826+R827-S827-W827-Y826*V827/AB826</x:f>
        <x:v>335.20742369612606</x:v>
      </x:c>
      <x:c r="Z827" s="32" t="n">
        <x:f>Z826+W827-X827-T827-Z826*V827/AB826</x:f>
        <x:v>340.44211334150543</x:v>
      </x:c>
      <x:c r="AA827" s="32" t="n">
        <x:f>AA826+X827-U827-AA826*V827/AB826</x:f>
        <x:v>113.39906322542083</x:v>
      </x:c>
      <x:c r="AB827" s="10" t="n">
        <x:f>Y827+Z827+AA827</x:f>
        <x:v>789.0486002630523</x:v>
      </x:c>
      <x:c r="AC827" s="8" t="n">
        <x:f>IF(AND(v01_WinterTrigger=1,D827=1,AB826/AE826&gt;=K827),1,0)</x:f>
        <x:v>0</x:v>
      </x:c>
      <x:c r="AD827" s="8" t="n">
        <x:f>H827*IF(AND(OR(AB826/AE826&gt;=v01_FissionTrigger*N827,AC827=1),AB826/AE826*v01_DaughterShare&gt;=v01_MinDaughter),MAX(1,ROUND(AE826*v01_FissionRate,0)),0)</x:f>
        <x:v>0</x:v>
      </x:c>
      <x:c r="AE827" s="8" t="n">
        <x:f>IF(H827=1,MAX(1,MIN(INDEX(v01_Smax,G827),AE826+AD827)),AE826)</x:f>
        <x:v>9</x:v>
      </x:c>
      <x:c r="AF827" s="8" t="n">
        <x:f>MAX(0,AE827-AE826)</x:f>
        <x:v>0</x:v>
      </x:c>
      <x:c r="AG827" s="9" t="str">
        <x:f>IF(AF827&gt;0,B827,"")</x:f>
      </x:c>
      <x:c r="AH827" s="9" t="n">
        <x:f>IF(F827&gt;=1,1,(1+v01_LowTiesShare*(AE827-1))/AE827)</x:f>
        <x:v>1</x:v>
      </x:c>
      <x:c r="AI827" s="32" t="n">
        <x:f>(Z827+v01_ElderCommons*INDEX(LM_Elder,G827)*AA827)*AH827</x:f>
        <x:v>680.6393030177679</x:v>
      </x:c>
      <x:c r="AJ827" s="32" t="n">
        <x:f>H827*v01_CommonsCoef*AI827^v01_CommonsExp*INDEX(LM_Commons,G827)</x:f>
        <x:v>168.85868603757797</x:v>
      </x:c>
      <x:c r="AK827" s="32" t="n">
        <x:f>H827*v01_RoleScale*Arch_Roles*(AE827*(INDEX(v01_ElderRolePerSett,G827)*v01_OutElder*INDEX(LM_Elder,G827)+INDEX(v01_ShamanPerSett,G827)*v01_OutShaman)+Z827*(INDEX(v01_PriestShare,G827)*v01_OutPriest+INDEX(v01_ScribeShare,G827)*v01_OutScribe*INDEX(LM_Scribe,G827)+INDEX(v01_ScholarShare,G827)*v01_OutScholar*INDEX(LM_Scholar,G827)+INDEX(v01_ResearcherShare,G827)*v01_OutResearcher*INDEX(LM_Researcher,G827)))</x:f>
        <x:v>29.383094793390537</x:v>
      </x:c>
      <x:c r="AL827" s="32" t="n">
        <x:f>H827*v01_RoleScale*Arch_Roles*AE827*INDEX(v01_MonasteryPerSett,G827)*v01_OutMonastery*INDEX(LM_Monastery,G827)</x:f>
        <x:v>0</x:v>
      </x:c>
      <x:c r="AM827" s="32" t="n">
        <x:f>(AJ827+AK827+AL827)/4*INDEX(LM_All,G827)*INDEX(v01_Boon,G827)*Arch_Insight</x:f>
        <x:v>53.371178815043656</x:v>
      </x:c>
      <x:c r="AN827" s="32" t="n">
        <x:f>H827*(v01_KHPerAdult*Z827+v01_KHOfCommons*AJ827/4*INDEX(LM_All,G827))*v01_KHUsable*Arch_KH</x:f>
        <x:v>11.91547396695269</x:v>
      </x:c>
      <x:c r="AO827" s="32" t="n">
        <x:f>MIN(AP826+AN827,AM827*v01_KHMaxRatio)</x:f>
        <x:v>11.91547396695269</x:v>
      </x:c>
      <x:c r="AP827" s="32" t="n">
        <x:f>AP826+AN827-AO827</x:f>
        <x:v>0</x:v>
      </x:c>
      <x:c r="AQ827" s="32" t="n">
        <x:f>AM827+AO827</x:f>
        <x:v>65.28665278199635</x:v>
      </x:c>
      <x:c r="AR827" s="10" t="n">
        <x:f>IF(H827=1,INDEX(v01_Req,G827),0)</x:f>
        <x:v>9805.661999999998</x:v>
      </x:c>
      <x:c r="AS827" s="32" t="n">
        <x:f>IF(H827=1,IF(E827=1,AS826-AR826,AS826)+AQ827,0)</x:f>
        <x:v>5344.998245392049</x:v>
      </x:c>
      <x:c r="AT827" s="11" t="n">
        <x:f>IF(AR827&gt;0,MIN(1,AS827/AR827),1)</x:f>
        <x:v>0.5450930539306831</x:v>
      </x:c>
      <x:c r="AU827" s="10" t="n">
        <x:f>AB827/INDEX(v01_RepScale,G827)</x:f>
        <x:v>157.80972005261046</x:v>
      </x:c>
      <x:c r="AV827" s="32" t="n">
        <x:f>AM827*60/v01_SeasonSeconds</x:f>
        <x:v>213.48471526017462</x:v>
      </x:c>
    </x:row>
    <x:row r="828">
      <x:c r="A828" s="8" t="n">
        <x:f>A827+1</x:f>
        <x:v>825</x:v>
      </x:c>
      <x:c r="B828" s="9" t="n">
        <x:f>A828*v01_SeasonSeconds/60</x:f>
        <x:v>206.25</x:v>
      </x:c>
      <x:c r="C828" s="9" t="n">
        <x:f>A828/4</x:f>
        <x:v>206.25</x:v>
      </x:c>
      <x:c r="D828" s="8" t="n">
        <x:f>IF(MOD(A828,4)=0,1,0)</x:f>
        <x:v>0</x:v>
      </x:c>
      <x:c r="E828" s="8" t="n">
        <x:f>IF(AND(F827&lt;=9,AS827&gt;=AR827),1,0)</x:f>
        <x:v>0</x:v>
      </x:c>
      <x:c r="F828" s="8" t="n">
        <x:f>MIN(10,F827+E828)</x:f>
        <x:v>3</x:v>
      </x:c>
      <x:c r="G828" s="8" t="n">
        <x:f>MIN(F828,9)+1</x:f>
        <x:v>4</x:v>
      </x:c>
      <x:c r="H828" s="8" t="n">
        <x:f>IF(F828&lt;=9,1,0)</x:f>
        <x:v>1</x:v>
      </x:c>
      <x:c r="I828" s="9" t="n">
        <x:f>MIN(10,F827+IF(AR827&gt;0,MIN(1,AS827/AR827),1))</x:f>
        <x:v>3.545093053930683</x:v>
      </x:c>
      <x:c r="J828" s="32" t="n">
        <x:f>INDEX(v01_FoodCap,G828)*Arch_FoodCap*EXP(v01_CapsByProject*SUMPRODUCT((Cap_Point&lt;=I828)*(Cap_Kind="Food")*Cap_Ln))</x:f>
        <x:v>120</x:v>
      </x:c>
      <x:c r="K828" s="32" t="n">
        <x:f>J828*MIN(1,v01_LeanBase*EXP(v01_CapsByProject*SUMPRODUCT((Cap_Point&lt;=I828)*(Cap_Kind="Lean")*Cap_Ln)))</x:f>
        <x:v>120</x:v>
      </x:c>
      <x:c r="L828" s="10" t="n">
        <x:f>INDEX(v01_HousingCap,G828)*EXP(v01_CapsByProject*SUMPRODUCT((Cap_Point&lt;=I828)*(Cap_Kind="Housing")*Cap_Ln))</x:f>
        <x:v>200</x:v>
      </x:c>
      <x:c r="M828" s="10" t="n">
        <x:f>INDEX(v01_GroupCap,G828)*v01_CohesionFactor*EXP(v01_CapsByProject*SUMPRODUCT((Cap_Point&lt;=I828)*(Cap_Kind="Group")*Cap_Ln))</x:f>
        <x:v>5000</x:v>
      </x:c>
      <x:c r="N828" s="32" t="n">
        <x:f>MIN(J828,L828,M828)</x:f>
        <x:v>120</x:v>
      </x:c>
      <x:c r="O828" s="10" t="n">
        <x:f>AE827*N828</x:f>
        <x:v>1080</x:v>
      </x:c>
      <x:c r="P828" s="9" t="n">
        <x:f>MIN(1,(AB827/(AE827*IF(v01_GroupInCrowding=1,N828,MIN(J828,L828))))^v01_CrowdingExp)</x:f>
        <x:v>0.15208276142297059</x:v>
      </x:c>
      <x:c r="Q828" s="9" t="n">
        <x:f>IF(D828=1,INDEX(v01_WinterMult,G828),1)</x:f>
        <x:v>1</x:v>
      </x:c>
      <x:c r="R828" s="9" t="n">
        <x:f>H828*Z827*v01_WomenShare*v01_BaseFertility*INDEX(v01_FertMult,G828)*Arch_Fertility*(1-P828)</x:f>
        <x:v>11.258002728954438</x:v>
      </x:c>
      <x:c r="S828" s="9" t="n">
        <x:f>H828*Y827*INDEX(v01_MortChild,G828)/4*Q828</x:f>
        <x:v>2.5140556777209455</x:v>
      </x:c>
      <x:c r="T828" s="9" t="n">
        <x:f>H828*Z827*INDEX(v01_MortAdult,G828)*Arch_AdultMort/4*Q828</x:f>
        <x:v>0.9362158116891399</x:v>
      </x:c>
      <x:c r="U828" s="9" t="n">
        <x:f>H828*AA827*INDEX(v01_MortElder,G828)/4*Q828</x:f>
        <x:v>1.8427347774130887</x:v>
      </x:c>
      <x:c r="V828" s="9" t="n">
        <x:f>H828*MAX(0,AB827-O828)*v01_OvercapLoss</x:f>
        <x:v>0</x:v>
      </x:c>
      <x:c r="W828" s="9" t="n">
        <x:f>H828*Y827/(v01_ChildYears*4)</x:f>
        <x:v>5.985846851716537</x:v>
      </x:c>
      <x:c r="X828" s="9" t="n">
        <x:f>H828*Z827/(v01_AdultYears*4)</x:f>
        <x:v>2.7455009140443987</x:v>
      </x:c>
      <x:c r="Y828" s="32" t="n">
        <x:f>Y827+R828-S828-W828-Y827*V828/AB827</x:f>
        <x:v>337.96552389564306</x:v>
      </x:c>
      <x:c r="Z828" s="32" t="n">
        <x:f>Z827+W828-X828-T828-Z827*V828/AB827</x:f>
        <x:v>342.74624346748845</x:v>
      </x:c>
      <x:c r="AA828" s="32" t="n">
        <x:f>AA827+X828-U828-AA827*V828/AB827</x:f>
        <x:v>114.30182936205215</x:v>
      </x:c>
      <x:c r="AB828" s="10" t="n">
        <x:f>Y828+Z828+AA828</x:f>
        <x:v>795.0135967251836</x:v>
      </x:c>
      <x:c r="AC828" s="8" t="n">
        <x:f>IF(AND(v01_WinterTrigger=1,D828=1,AB827/AE827&gt;=K828),1,0)</x:f>
        <x:v>0</x:v>
      </x:c>
      <x:c r="AD828" s="8" t="n">
        <x:f>H828*IF(AND(OR(AB827/AE827&gt;=v01_FissionTrigger*N828,AC828=1),AB827/AE827*v01_DaughterShare&gt;=v01_MinDaughter),MAX(1,ROUND(AE827*v01_FissionRate,0)),0)</x:f>
        <x:v>0</x:v>
      </x:c>
      <x:c r="AE828" s="8" t="n">
        <x:f>IF(H828=1,MAX(1,MIN(INDEX(v01_Smax,G828),AE827+AD828)),AE827)</x:f>
        <x:v>9</x:v>
      </x:c>
      <x:c r="AF828" s="8" t="n">
        <x:f>MAX(0,AE828-AE827)</x:f>
        <x:v>0</x:v>
      </x:c>
      <x:c r="AG828" s="9" t="str">
        <x:f>IF(AF828&gt;0,B828,"")</x:f>
      </x:c>
      <x:c r="AH828" s="9" t="n">
        <x:f>IF(F828&gt;=1,1,(1+v01_LowTiesShare*(AE828-1))/AE828)</x:f>
        <x:v>1</x:v>
      </x:c>
      <x:c r="AI828" s="32" t="n">
        <x:f>(Z828+v01_ElderCommons*INDEX(LM_Elder,G828)*AA828)*AH828</x:f>
        <x:v>685.6517315536448</x:v>
      </x:c>
      <x:c r="AJ828" s="32" t="n">
        <x:f>H828*v01_CommonsCoef*AI828^v01_CommonsExp*INDEX(LM_Commons,G828)</x:f>
        <x:v>169.91510026046717</x:v>
      </x:c>
      <x:c r="AK828" s="32" t="n">
        <x:f>H828*v01_RoleScale*Arch_Roles*(AE828*(INDEX(v01_ElderRolePerSett,G828)*v01_OutElder*INDEX(LM_Elder,G828)+INDEX(v01_ShamanPerSett,G828)*v01_OutShaman)+Z828*(INDEX(v01_PriestShare,G828)*v01_OutPriest+INDEX(v01_ScribeShare,G828)*v01_OutScribe*INDEX(LM_Scribe,G828)+INDEX(v01_ScholarShare,G828)*v01_OutScholar*INDEX(LM_Scholar,G828)+INDEX(v01_ResearcherShare,G828)*v01_OutResearcher*INDEX(LM_Researcher,G828)))</x:f>
        <x:v>29.39922370427242</x:v>
      </x:c>
      <x:c r="AL828" s="32" t="n">
        <x:f>H828*v01_RoleScale*Arch_Roles*AE828*INDEX(v01_MonasteryPerSett,G828)*v01_OutMonastery*INDEX(LM_Monastery,G828)</x:f>
        <x:v>0</x:v>
      </x:c>
      <x:c r="AM828" s="32" t="n">
        <x:f>(AJ828+AK828+AL828)/4*INDEX(LM_All,G828)*INDEX(v01_Boon,G828)*Arch_Insight</x:f>
        <x:v>53.65993172646021</x:v>
      </x:c>
      <x:c r="AN828" s="32" t="n">
        <x:f>H828*(v01_KHPerAdult*Z828+v01_KHOfCommons*AJ828/4*INDEX(LM_All,G828))*v01_KHUsable*Arch_KH</x:f>
        <x:v>11.996118521362094</x:v>
      </x:c>
      <x:c r="AO828" s="32" t="n">
        <x:f>MIN(AP827+AN828,AM828*v01_KHMaxRatio)</x:f>
        <x:v>11.996118521362094</x:v>
      </x:c>
      <x:c r="AP828" s="32" t="n">
        <x:f>AP827+AN828-AO828</x:f>
        <x:v>0</x:v>
      </x:c>
      <x:c r="AQ828" s="32" t="n">
        <x:f>AM828+AO828</x:f>
        <x:v>65.65605024782231</x:v>
      </x:c>
      <x:c r="AR828" s="10" t="n">
        <x:f>IF(H828=1,INDEX(v01_Req,G828),0)</x:f>
        <x:v>9805.661999999998</x:v>
      </x:c>
      <x:c r="AS828" s="32" t="n">
        <x:f>IF(H828=1,IF(E828=1,AS827-AR827,AS827)+AQ828,0)</x:f>
        <x:v>5410.654295639872</x:v>
      </x:c>
      <x:c r="AT828" s="11" t="n">
        <x:f>IF(AR828&gt;0,MIN(1,AS828/AR828),1)</x:f>
        <x:v>0.5517887824034596</x:v>
      </x:c>
      <x:c r="AU828" s="10" t="n">
        <x:f>AB828/INDEX(v01_RepScale,G828)</x:f>
        <x:v>159.00271934503672</x:v>
      </x:c>
      <x:c r="AV828" s="32" t="n">
        <x:f>AM828*60/v01_SeasonSeconds</x:f>
        <x:v>214.63972690584083</x:v>
      </x:c>
    </x:row>
    <x:row r="829">
      <x:c r="A829" s="8" t="n">
        <x:f>A828+1</x:f>
        <x:v>826</x:v>
      </x:c>
      <x:c r="B829" s="9" t="n">
        <x:f>A829*v01_SeasonSeconds/60</x:f>
        <x:v>206.5</x:v>
      </x:c>
      <x:c r="C829" s="9" t="n">
        <x:f>A829/4</x:f>
        <x:v>206.5</x:v>
      </x:c>
      <x:c r="D829" s="8" t="n">
        <x:f>IF(MOD(A829,4)=0,1,0)</x:f>
        <x:v>0</x:v>
      </x:c>
      <x:c r="E829" s="8" t="n">
        <x:f>IF(AND(F828&lt;=9,AS828&gt;=AR828),1,0)</x:f>
        <x:v>0</x:v>
      </x:c>
      <x:c r="F829" s="8" t="n">
        <x:f>MIN(10,F828+E829)</x:f>
        <x:v>3</x:v>
      </x:c>
      <x:c r="G829" s="8" t="n">
        <x:f>MIN(F829,9)+1</x:f>
        <x:v>4</x:v>
      </x:c>
      <x:c r="H829" s="8" t="n">
        <x:f>IF(F829&lt;=9,1,0)</x:f>
        <x:v>1</x:v>
      </x:c>
      <x:c r="I829" s="9" t="n">
        <x:f>MIN(10,F828+IF(AR828&gt;0,MIN(1,AS828/AR828),1))</x:f>
        <x:v>3.5517887824034595</x:v>
      </x:c>
      <x:c r="J829" s="32" t="n">
        <x:f>INDEX(v01_FoodCap,G829)*Arch_FoodCap*EXP(v01_CapsByProject*SUMPRODUCT((Cap_Point&lt;=I829)*(Cap_Kind="Food")*Cap_Ln))</x:f>
        <x:v>120</x:v>
      </x:c>
      <x:c r="K829" s="32" t="n">
        <x:f>J829*MIN(1,v01_LeanBase*EXP(v01_CapsByProject*SUMPRODUCT((Cap_Point&lt;=I829)*(Cap_Kind="Lean")*Cap_Ln)))</x:f>
        <x:v>120</x:v>
      </x:c>
      <x:c r="L829" s="10" t="n">
        <x:f>INDEX(v01_HousingCap,G829)*EXP(v01_CapsByProject*SUMPRODUCT((Cap_Point&lt;=I829)*(Cap_Kind="Housing")*Cap_Ln))</x:f>
        <x:v>200</x:v>
      </x:c>
      <x:c r="M829" s="10" t="n">
        <x:f>INDEX(v01_GroupCap,G829)*v01_CohesionFactor*EXP(v01_CapsByProject*SUMPRODUCT((Cap_Point&lt;=I829)*(Cap_Kind="Group")*Cap_Ln))</x:f>
        <x:v>5000</x:v>
      </x:c>
      <x:c r="N829" s="32" t="n">
        <x:f>MIN(J829,L829,M829)</x:f>
        <x:v>120</x:v>
      </x:c>
      <x:c r="O829" s="10" t="n">
        <x:f>AE828*N829</x:f>
        <x:v>1080</x:v>
      </x:c>
      <x:c r="P829" s="9" t="n">
        <x:f>MIN(1,(AB828/(AE828*IF(v01_GroupInCrowding=1,N829,MIN(J829,L829))))^v01_CrowdingExp)</x:f>
        <x:v>0.15911268503494788</x:v>
      </x:c>
      <x:c r="Q829" s="9" t="n">
        <x:f>IF(D829=1,INDEX(v01_WinterMult,G829),1)</x:f>
        <x:v>1</x:v>
      </x:c>
      <x:c r="R829" s="9" t="n">
        <x:f>H829*Z828*v01_WomenShare*v01_BaseFertility*INDEX(v01_FertMult,G829)*Arch_Fertility*(1-P829)</x:f>
        <x:v>11.24022776696564</x:v>
      </x:c>
      <x:c r="S829" s="9" t="n">
        <x:f>H829*Y828*INDEX(v01_MortChild,G829)/4*Q829</x:f>
        <x:v>2.534741429217323</x:v>
      </x:c>
      <x:c r="T829" s="9" t="n">
        <x:f>H829*Z828*INDEX(v01_MortAdult,G829)*Arch_AdultMort/4*Q829</x:f>
        <x:v>0.9425521695355932</x:v>
      </x:c>
      <x:c r="U829" s="9" t="n">
        <x:f>H829*AA828*INDEX(v01_MortElder,G829)/4*Q829</x:f>
        <x:v>1.8574047271333474</x:v>
      </x:c>
      <x:c r="V829" s="9" t="n">
        <x:f>H829*MAX(0,AB828-O829)*v01_OvercapLoss</x:f>
        <x:v>0</x:v>
      </x:c>
      <x:c r="W829" s="9" t="n">
        <x:f>H829*Y828/(v01_ChildYears*4)</x:f>
        <x:v>6.035098640993626</x:v>
      </x:c>
      <x:c r="X829" s="9" t="n">
        <x:f>H829*Z828/(v01_AdultYears*4)</x:f>
        <x:v>2.7640826086087777</x:v>
      </x:c>
      <x:c r="Y829" s="32" t="n">
        <x:f>Y828+R829-S829-W829-Y828*V829/AB828</x:f>
        <x:v>340.63591159239775</x:v>
      </x:c>
      <x:c r="Z829" s="32" t="n">
        <x:f>Z828+W829-X829-T829-Z828*V829/AB828</x:f>
        <x:v>345.07470733033773</x:v>
      </x:c>
      <x:c r="AA829" s="32" t="n">
        <x:f>AA828+X829-U829-AA828*V829/AB828</x:f>
        <x:v>115.20850724352758</x:v>
      </x:c>
      <x:c r="AB829" s="10" t="n">
        <x:f>Y829+Z829+AA829</x:f>
        <x:v>800.919126166263</x:v>
      </x:c>
      <x:c r="AC829" s="8" t="n">
        <x:f>IF(AND(v01_WinterTrigger=1,D829=1,AB828/AE828&gt;=K829),1,0)</x:f>
        <x:v>0</x:v>
      </x:c>
      <x:c r="AD829" s="8" t="n">
        <x:f>H829*IF(AND(OR(AB828/AE828&gt;=v01_FissionTrigger*N829,AC829=1),AB828/AE828*v01_DaughterShare&gt;=v01_MinDaughter),MAX(1,ROUND(AE828*v01_FissionRate,0)),0)</x:f>
        <x:v>0</x:v>
      </x:c>
      <x:c r="AE829" s="8" t="n">
        <x:f>IF(H829=1,MAX(1,MIN(INDEX(v01_Smax,G829),AE828+AD829)),AE828)</x:f>
        <x:v>9</x:v>
      </x:c>
      <x:c r="AF829" s="8" t="n">
        <x:f>MAX(0,AE829-AE828)</x:f>
        <x:v>0</x:v>
      </x:c>
      <x:c r="AG829" s="9" t="str">
        <x:f>IF(AF829&gt;0,B829,"")</x:f>
      </x:c>
      <x:c r="AH829" s="9" t="n">
        <x:f>IF(F829&gt;=1,1,(1+v01_LowTiesShare*(AE829-1))/AE829)</x:f>
        <x:v>1</x:v>
      </x:c>
      <x:c r="AI829" s="32" t="n">
        <x:f>(Z829+v01_ElderCommons*INDEX(LM_Elder,G829)*AA829)*AH829</x:f>
        <x:v>690.7002290609205</x:v>
      </x:c>
      <x:c r="AJ829" s="32" t="n">
        <x:f>H829*v01_CommonsCoef*AI829^v01_CommonsExp*INDEX(LM_Commons,G829)</x:f>
        <x:v>170.97794603154773</x:v>
      </x:c>
      <x:c r="AK829" s="32" t="n">
        <x:f>H829*v01_RoleScale*Arch_Roles*(AE829*(INDEX(v01_ElderRolePerSett,G829)*v01_OutElder*INDEX(LM_Elder,G829)+INDEX(v01_ShamanPerSett,G829)*v01_OutShaman)+Z829*(INDEX(v01_PriestShare,G829)*v01_OutPriest+INDEX(v01_ScribeShare,G829)*v01_OutScribe*INDEX(LM_Scribe,G829)+INDEX(v01_ScholarShare,G829)*v01_OutScholar*INDEX(LM_Scholar,G829)+INDEX(v01_ResearcherShare,G829)*v01_OutResearcher*INDEX(LM_Researcher,G829)))</x:f>
        <x:v>29.415522951312365</x:v>
      </x:c>
      <x:c r="AL829" s="32" t="n">
        <x:f>H829*v01_RoleScale*Arch_Roles*AE829*INDEX(v01_MonasteryPerSett,G829)*v01_OutMonastery*INDEX(LM_Monastery,G829)</x:f>
        <x:v>0</x:v>
      </x:c>
      <x:c r="AM829" s="32" t="n">
        <x:f>(AJ829+AK829+AL829)/4*INDEX(LM_All,G829)*INDEX(v01_Boon,G829)*Arch_Insight</x:f>
        <x:v>53.950462014717566</x:v>
      </x:c>
      <x:c r="AN829" s="32" t="n">
        <x:f>H829*(v01_KHPerAdult*Z829+v01_KHOfCommons*AJ829/4*INDEX(LM_All,G829))*v01_KHUsable*Arch_KH</x:f>
        <x:v>12.077614756561822</x:v>
      </x:c>
      <x:c r="AO829" s="32" t="n">
        <x:f>MIN(AP828+AN829,AM829*v01_KHMaxRatio)</x:f>
        <x:v>12.077614756561822</x:v>
      </x:c>
      <x:c r="AP829" s="32" t="n">
        <x:f>AP828+AN829-AO829</x:f>
        <x:v>0</x:v>
      </x:c>
      <x:c r="AQ829" s="32" t="n">
        <x:f>AM829+AO829</x:f>
        <x:v>66.02807677127939</x:v>
      </x:c>
      <x:c r="AR829" s="10" t="n">
        <x:f>IF(H829=1,INDEX(v01_Req,G829),0)</x:f>
        <x:v>9805.661999999998</x:v>
      </x:c>
      <x:c r="AS829" s="32" t="n">
        <x:f>IF(H829=1,IF(E829=1,AS828-AR828,AS828)+AQ829,0)</x:f>
        <x:v>5476.682372411151</x:v>
      </x:c>
      <x:c r="AT829" s="11" t="n">
        <x:f>IF(AR829&gt;0,MIN(1,AS829/AR829),1)</x:f>
        <x:v>0.5585224508463734</x:v>
      </x:c>
      <x:c r="AU829" s="10" t="n">
        <x:f>AB829/INDEX(v01_RepScale,G829)</x:f>
        <x:v>160.1838252332526</x:v>
      </x:c>
      <x:c r="AV829" s="32" t="n">
        <x:f>AM829*60/v01_SeasonSeconds</x:f>
        <x:v>215.80184805887026</x:v>
      </x:c>
    </x:row>
    <x:row r="830">
      <x:c r="A830" s="8" t="n">
        <x:f>A829+1</x:f>
        <x:v>827</x:v>
      </x:c>
      <x:c r="B830" s="9" t="n">
        <x:f>A830*v01_SeasonSeconds/60</x:f>
        <x:v>206.75</x:v>
      </x:c>
      <x:c r="C830" s="9" t="n">
        <x:f>A830/4</x:f>
        <x:v>206.75</x:v>
      </x:c>
      <x:c r="D830" s="8" t="n">
        <x:f>IF(MOD(A830,4)=0,1,0)</x:f>
        <x:v>0</x:v>
      </x:c>
      <x:c r="E830" s="8" t="n">
        <x:f>IF(AND(F829&lt;=9,AS829&gt;=AR829),1,0)</x:f>
        <x:v>0</x:v>
      </x:c>
      <x:c r="F830" s="8" t="n">
        <x:f>MIN(10,F829+E830)</x:f>
        <x:v>3</x:v>
      </x:c>
      <x:c r="G830" s="8" t="n">
        <x:f>MIN(F830,9)+1</x:f>
        <x:v>4</x:v>
      </x:c>
      <x:c r="H830" s="8" t="n">
        <x:f>IF(F830&lt;=9,1,0)</x:f>
        <x:v>1</x:v>
      </x:c>
      <x:c r="I830" s="9" t="n">
        <x:f>MIN(10,F829+IF(AR829&gt;0,MIN(1,AS829/AR829),1))</x:f>
        <x:v>3.5585224508463735</x:v>
      </x:c>
      <x:c r="J830" s="32" t="n">
        <x:f>INDEX(v01_FoodCap,G830)*Arch_FoodCap*EXP(v01_CapsByProject*SUMPRODUCT((Cap_Point&lt;=I830)*(Cap_Kind="Food")*Cap_Ln))</x:f>
        <x:v>120</x:v>
      </x:c>
      <x:c r="K830" s="32" t="n">
        <x:f>J830*MIN(1,v01_LeanBase*EXP(v01_CapsByProject*SUMPRODUCT((Cap_Point&lt;=I830)*(Cap_Kind="Lean")*Cap_Ln)))</x:f>
        <x:v>120</x:v>
      </x:c>
      <x:c r="L830" s="10" t="n">
        <x:f>INDEX(v01_HousingCap,G830)*EXP(v01_CapsByProject*SUMPRODUCT((Cap_Point&lt;=I830)*(Cap_Kind="Housing")*Cap_Ln))</x:f>
        <x:v>200</x:v>
      </x:c>
      <x:c r="M830" s="10" t="n">
        <x:f>INDEX(v01_GroupCap,G830)*v01_CohesionFactor*EXP(v01_CapsByProject*SUMPRODUCT((Cap_Point&lt;=I830)*(Cap_Kind="Group")*Cap_Ln))</x:f>
        <x:v>5000</x:v>
      </x:c>
      <x:c r="N830" s="32" t="n">
        <x:f>MIN(J830,L830,M830)</x:f>
        <x:v>120</x:v>
      </x:c>
      <x:c r="O830" s="10" t="n">
        <x:f>AE829*N830</x:f>
        <x:v>1080</x:v>
      </x:c>
      <x:c r="P830" s="9" t="n">
        <x:f>MIN(1,(AB829/(AE829*IF(v01_GroupInCrowding=1,N830,MIN(J830,L830))))^v01_CrowdingExp)</x:f>
        <x:v>0.16633722666129344</x:v>
      </x:c>
      <x:c r="Q830" s="9" t="n">
        <x:f>IF(D830=1,INDEX(v01_WinterMult,G830),1)</x:f>
        <x:v>1</x:v>
      </x:c>
      <x:c r="R830" s="9" t="n">
        <x:f>H830*Z829*v01_WomenShare*v01_BaseFertility*INDEX(v01_FertMult,G830)*Arch_Fertility*(1-P830)</x:f>
        <x:v>11.219361563360023</x:v>
      </x:c>
      <x:c r="S830" s="9" t="n">
        <x:f>H830*Y829*INDEX(v01_MortChild,G830)/4*Q830</x:f>
        <x:v>2.554769336942983</x:v>
      </x:c>
      <x:c r="T830" s="9" t="n">
        <x:f>H830*Z829*INDEX(v01_MortAdult,G830)*Arch_AdultMort/4*Q830</x:f>
        <x:v>0.9489554451584287</x:v>
      </x:c>
      <x:c r="U830" s="9" t="n">
        <x:f>H830*AA829*INDEX(v01_MortElder,G830)/4*Q830</x:f>
        <x:v>1.8721382427073232</x:v>
      </x:c>
      <x:c r="V830" s="9" t="n">
        <x:f>H830*MAX(0,AB829-O830)*v01_OvercapLoss</x:f>
        <x:v>0</x:v>
      </x:c>
      <x:c r="W830" s="9" t="n">
        <x:f>H830*Y829/(v01_ChildYears*4)</x:f>
        <x:v>6.082784135578531</x:v>
      </x:c>
      <x:c r="X830" s="9" t="n">
        <x:f>H830*Z829/(v01_AdultYears*4)</x:f>
        <x:v>2.7828605429865947</x:v>
      </x:c>
      <x:c r="Y830" s="32" t="n">
        <x:f>Y829+R830-S830-W830-Y829*V830/AB829</x:f>
        <x:v>343.2177196832362</x:v>
      </x:c>
      <x:c r="Z830" s="32" t="n">
        <x:f>Z829+W830-X830-T830-Z829*V830/AB829</x:f>
        <x:v>347.4256754777712</x:v>
      </x:c>
      <x:c r="AA830" s="32" t="n">
        <x:f>AA829+X830-U830-AA829*V830/AB829</x:f>
        <x:v>116.11922954380685</x:v>
      </x:c>
      <x:c r="AB830" s="10" t="n">
        <x:f>Y830+Z830+AA830</x:f>
        <x:v>806.7626247048142</x:v>
      </x:c>
      <x:c r="AC830" s="8" t="n">
        <x:f>IF(AND(v01_WinterTrigger=1,D830=1,AB829/AE829&gt;=K830),1,0)</x:f>
        <x:v>0</x:v>
      </x:c>
      <x:c r="AD830" s="8" t="n">
        <x:f>H830*IF(AND(OR(AB829/AE829&gt;=v01_FissionTrigger*N830,AC830=1),AB829/AE829*v01_DaughterShare&gt;=v01_MinDaughter),MAX(1,ROUND(AE829*v01_FissionRate,0)),0)</x:f>
        <x:v>0</x:v>
      </x:c>
      <x:c r="AE830" s="8" t="n">
        <x:f>IF(H830=1,MAX(1,MIN(INDEX(v01_Smax,G830),AE829+AD830)),AE829)</x:f>
        <x:v>9</x:v>
      </x:c>
      <x:c r="AF830" s="8" t="n">
        <x:f>MAX(0,AE830-AE829)</x:f>
        <x:v>0</x:v>
      </x:c>
      <x:c r="AG830" s="9" t="str">
        <x:f>IF(AF830&gt;0,B830,"")</x:f>
      </x:c>
      <x:c r="AH830" s="9" t="n">
        <x:f>IF(F830&gt;=1,1,(1+v01_LowTiesShare*(AE830-1))/AE830)</x:f>
        <x:v>1</x:v>
      </x:c>
      <x:c r="AI830" s="32" t="n">
        <x:f>(Z830+v01_ElderCommons*INDEX(LM_Elder,G830)*AA830)*AH830</x:f>
        <x:v>695.7833641091918</x:v>
      </x:c>
      <x:c r="AJ830" s="32" t="n">
        <x:f>H830*v01_CommonsCoef*AI830^v01_CommonsExp*INDEX(LM_Commons,G830)</x:f>
        <x:v>172.04690729167248</x:v>
      </x:c>
      <x:c r="AK830" s="32" t="n">
        <x:f>H830*v01_RoleScale*Arch_Roles*(AE830*(INDEX(v01_ElderRolePerSett,G830)*v01_OutElder*INDEX(LM_Elder,G830)+INDEX(v01_ShamanPerSett,G830)*v01_OutShaman)+Z830*(INDEX(v01_PriestShare,G830)*v01_OutPriest+INDEX(v01_ScribeShare,G830)*v01_OutScribe*INDEX(LM_Scribe,G830)+INDEX(v01_ScholarShare,G830)*v01_OutScholar*INDEX(LM_Scholar,G830)+INDEX(v01_ResearcherShare,G830)*v01_OutResearcher*INDEX(LM_Researcher,G830)))</x:f>
        <x:v>29.4319797283444</x:v>
      </x:c>
      <x:c r="AL830" s="32" t="n">
        <x:f>H830*v01_RoleScale*Arch_Roles*AE830*INDEX(v01_MonasteryPerSett,G830)*v01_OutMonastery*INDEX(LM_Monastery,G830)</x:f>
        <x:v>0</x:v>
      </x:c>
      <x:c r="AM830" s="32" t="n">
        <x:f>(AJ830+AK830+AL830)/4*INDEX(LM_All,G830)*INDEX(v01_Boon,G830)*Arch_Insight</x:f>
        <x:v>54.24268114182257</x:v>
      </x:c>
      <x:c r="AN830" s="32" t="n">
        <x:f>H830*(v01_KHPerAdult*Z830+v01_KHOfCommons*AJ830/4*INDEX(LM_All,G830))*v01_KHUsable*Arch_KH</x:f>
        <x:v>12.159898641721991</x:v>
      </x:c>
      <x:c r="AO830" s="32" t="n">
        <x:f>MIN(AP829+AN830,AM830*v01_KHMaxRatio)</x:f>
        <x:v>12.159898641721991</x:v>
      </x:c>
      <x:c r="AP830" s="32" t="n">
        <x:f>AP829+AN830-AO830</x:f>
        <x:v>0</x:v>
      </x:c>
      <x:c r="AQ830" s="32" t="n">
        <x:f>AM830+AO830</x:f>
        <x:v>66.40257978354457</x:v>
      </x:c>
      <x:c r="AR830" s="10" t="n">
        <x:f>IF(H830=1,INDEX(v01_Req,G830),0)</x:f>
        <x:v>9805.661999999998</x:v>
      </x:c>
      <x:c r="AS830" s="32" t="n">
        <x:f>IF(H830=1,IF(E830=1,AS829-AR829,AS829)+AQ830,0)</x:f>
        <x:v>5543.084952194696</x:v>
      </x:c>
      <x:c r="AT830" s="11" t="n">
        <x:f>IF(AR830&gt;0,MIN(1,AS830/AR830),1)</x:f>
        <x:v>0.5652943118164482</x:v>
      </x:c>
      <x:c r="AU830" s="10" t="n">
        <x:f>AB830/INDEX(v01_RepScale,G830)</x:f>
        <x:v>161.35252494096284</x:v>
      </x:c>
      <x:c r="AV830" s="32" t="n">
        <x:f>AM830*60/v01_SeasonSeconds</x:f>
        <x:v>216.9707245672903</x:v>
      </x:c>
    </x:row>
    <x:row r="831">
      <x:c r="A831" s="8" t="n">
        <x:f>A830+1</x:f>
        <x:v>828</x:v>
      </x:c>
      <x:c r="B831" s="9" t="n">
        <x:f>A831*v01_SeasonSeconds/60</x:f>
        <x:v>207</x:v>
      </x:c>
      <x:c r="C831" s="9" t="n">
        <x:f>A831/4</x:f>
        <x:v>207</x:v>
      </x:c>
      <x:c r="D831" s="8" t="n">
        <x:f>IF(MOD(A831,4)=0,1,0)</x:f>
        <x:v>1</x:v>
      </x:c>
      <x:c r="E831" s="8" t="n">
        <x:f>IF(AND(F830&lt;=9,AS830&gt;=AR830),1,0)</x:f>
        <x:v>0</x:v>
      </x:c>
      <x:c r="F831" s="8" t="n">
        <x:f>MIN(10,F830+E831)</x:f>
        <x:v>3</x:v>
      </x:c>
      <x:c r="G831" s="8" t="n">
        <x:f>MIN(F831,9)+1</x:f>
        <x:v>4</x:v>
      </x:c>
      <x:c r="H831" s="8" t="n">
        <x:f>IF(F831&lt;=9,1,0)</x:f>
        <x:v>1</x:v>
      </x:c>
      <x:c r="I831" s="9" t="n">
        <x:f>MIN(10,F830+IF(AR830&gt;0,MIN(1,AS830/AR830),1))</x:f>
        <x:v>3.565294311816448</x:v>
      </x:c>
      <x:c r="J831" s="32" t="n">
        <x:f>INDEX(v01_FoodCap,G831)*Arch_FoodCap*EXP(v01_CapsByProject*SUMPRODUCT((Cap_Point&lt;=I831)*(Cap_Kind="Food")*Cap_Ln))</x:f>
        <x:v>120</x:v>
      </x:c>
      <x:c r="K831" s="32" t="n">
        <x:f>J831*MIN(1,v01_LeanBase*EXP(v01_CapsByProject*SUMPRODUCT((Cap_Point&lt;=I831)*(Cap_Kind="Lean")*Cap_Ln)))</x:f>
        <x:v>120</x:v>
      </x:c>
      <x:c r="L831" s="10" t="n">
        <x:f>INDEX(v01_HousingCap,G831)*EXP(v01_CapsByProject*SUMPRODUCT((Cap_Point&lt;=I831)*(Cap_Kind="Housing")*Cap_Ln))</x:f>
        <x:v>200</x:v>
      </x:c>
      <x:c r="M831" s="10" t="n">
        <x:f>INDEX(v01_GroupCap,G831)*v01_CohesionFactor*EXP(v01_CapsByProject*SUMPRODUCT((Cap_Point&lt;=I831)*(Cap_Kind="Group")*Cap_Ln))</x:f>
        <x:v>5000</x:v>
      </x:c>
      <x:c r="N831" s="32" t="n">
        <x:f>MIN(J831,L831,M831)</x:f>
        <x:v>120</x:v>
      </x:c>
      <x:c r="O831" s="10" t="n">
        <x:f>AE830*N831</x:f>
        <x:v>1080</x:v>
      </x:c>
      <x:c r="P831" s="9" t="n">
        <x:f>MIN(1,(AB830/(AE830*IF(v01_GroupInCrowding=1,N831,MIN(J831,L831))))^v01_CrowdingExp)</x:f>
        <x:v>0.1737529106407338</x:v>
      </x:c>
      <x:c r="Q831" s="9" t="n">
        <x:f>IF(D831=1,INDEX(v01_WinterMult,G831),1)</x:f>
        <x:v>1.15</x:v>
      </x:c>
      <x:c r="R831" s="9" t="n">
        <x:f>H831*Z830*v01_WomenShare*v01_BaseFertility*INDEX(v01_FertMult,G831)*Arch_Fertility*(1-P831)</x:f>
        <x:v>11.195318672155233</x:v>
      </x:c>
      <x:c r="S831" s="9" t="n">
        <x:f>H831*Y830*INDEX(v01_MortChild,G831)/4*Q831</x:f>
        <x:v>2.960252832267912</x:v>
      </x:c>
      <x:c r="T831" s="9" t="n">
        <x:f>H831*Z830*INDEX(v01_MortAdult,G831)*Arch_AdultMort/4*Q831</x:f>
        <x:v>1.0987336986984513</x:v>
      </x:c>
      <x:c r="U831" s="9" t="n">
        <x:f>H831*AA830*INDEX(v01_MortElder,G831)/4*Q831</x:f>
        <x:v>2.1699781020998907</x:v>
      </x:c>
      <x:c r="V831" s="9" t="n">
        <x:f>H831*MAX(0,AB830-O831)*v01_OvercapLoss</x:f>
        <x:v>0</x:v>
      </x:c>
      <x:c r="W831" s="9" t="n">
        <x:f>H831*Y830/(v01_ChildYears*4)</x:f>
        <x:v>6.128887851486361</x:v>
      </x:c>
      <x:c r="X831" s="9" t="n">
        <x:f>H831*Z830/(v01_AdultYears*4)</x:f>
        <x:v>2.8018199635304133</x:v>
      </x:c>
      <x:c r="Y831" s="32" t="n">
        <x:f>Y830+R831-S831-W831-Y830*V831/AB830</x:f>
        <x:v>345.3238976716372</x:v>
      </x:c>
      <x:c r="Z831" s="32" t="n">
        <x:f>Z830+W831-X831-T831-Z830*V831/AB830</x:f>
        <x:v>349.65400966702873</x:v>
      </x:c>
      <x:c r="AA831" s="32" t="n">
        <x:f>AA830+X831-U831-AA830*V831/AB830</x:f>
        <x:v>116.75107140523738</x:v>
      </x:c>
      <x:c r="AB831" s="10" t="n">
        <x:f>Y831+Z831+AA831</x:f>
        <x:v>811.7289787439033</x:v>
      </x:c>
      <x:c r="AC831" s="8" t="n">
        <x:f>IF(AND(v01_WinterTrigger=1,D831=1,AB830/AE830&gt;=K831),1,0)</x:f>
        <x:v>0</x:v>
      </x:c>
      <x:c r="AD831" s="8" t="n">
        <x:f>H831*IF(AND(OR(AB830/AE830&gt;=v01_FissionTrigger*N831,AC831=1),AB830/AE830*v01_DaughterShare&gt;=v01_MinDaughter),MAX(1,ROUND(AE830*v01_FissionRate,0)),0)</x:f>
        <x:v>0</x:v>
      </x:c>
      <x:c r="AE831" s="8" t="n">
        <x:f>IF(H831=1,MAX(1,MIN(INDEX(v01_Smax,G831),AE830+AD831)),AE830)</x:f>
        <x:v>9</x:v>
      </x:c>
      <x:c r="AF831" s="8" t="n">
        <x:f>MAX(0,AE831-AE830)</x:f>
        <x:v>0</x:v>
      </x:c>
      <x:c r="AG831" s="9" t="str">
        <x:f>IF(AF831&gt;0,B831,"")</x:f>
      </x:c>
      <x:c r="AH831" s="9" t="n">
        <x:f>IF(F831&gt;=1,1,(1+v01_LowTiesShare*(AE831-1))/AE831)</x:f>
        <x:v>1</x:v>
      </x:c>
      <x:c r="AI831" s="32" t="n">
        <x:f>(Z831+v01_ElderCommons*INDEX(LM_Elder,G831)*AA831)*AH831</x:f>
        <x:v>699.9072238827409</x:v>
      </x:c>
      <x:c r="AJ831" s="32" t="n">
        <x:f>H831*v01_CommonsCoef*AI831^v01_CommonsExp*INDEX(LM_Commons,G831)</x:f>
        <x:v>172.91327645567796</x:v>
      </x:c>
      <x:c r="AK831" s="32" t="n">
        <x:f>H831*v01_RoleScale*Arch_Roles*(AE831*(INDEX(v01_ElderRolePerSett,G831)*v01_OutElder*INDEX(LM_Elder,G831)+INDEX(v01_ShamanPerSett,G831)*v01_OutShaman)+Z831*(INDEX(v01_PriestShare,G831)*v01_OutPriest+INDEX(v01_ScribeShare,G831)*v01_OutScribe*INDEX(LM_Scribe,G831)+INDEX(v01_ScholarShare,G831)*v01_OutScholar*INDEX(LM_Scholar,G831)+INDEX(v01_ResearcherShare,G831)*v01_OutResearcher*INDEX(LM_Researcher,G831)))</x:f>
        <x:v>29.447578067669202</x:v>
      </x:c>
      <x:c r="AL831" s="32" t="n">
        <x:f>H831*v01_RoleScale*Arch_Roles*AE831*INDEX(v01_MonasteryPerSett,G831)*v01_OutMonastery*INDEX(LM_Monastery,G831)</x:f>
        <x:v>0</x:v>
      </x:c>
      <x:c r="AM831" s="32" t="n">
        <x:f>(AJ831+AK831+AL831)/4*INDEX(LM_All,G831)*INDEX(v01_Boon,G831)*Arch_Insight</x:f>
        <x:v>54.480126775795334</x:v>
      </x:c>
      <x:c r="AN831" s="32" t="n">
        <x:f>H831*(v01_KHPerAdult*Z831+v01_KHOfCommons*AJ831/4*INDEX(LM_All,G831))*v01_KHUsable*Arch_KH</x:f>
        <x:v>12.237890338346006</x:v>
      </x:c>
      <x:c r="AO831" s="32" t="n">
        <x:f>MIN(AP830+AN831,AM831*v01_KHMaxRatio)</x:f>
        <x:v>12.237890338346006</x:v>
      </x:c>
      <x:c r="AP831" s="32" t="n">
        <x:f>AP830+AN831-AO831</x:f>
        <x:v>0</x:v>
      </x:c>
      <x:c r="AQ831" s="32" t="n">
        <x:f>AM831+AO831</x:f>
        <x:v>66.71801711414133</x:v>
      </x:c>
      <x:c r="AR831" s="10" t="n">
        <x:f>IF(H831=1,INDEX(v01_Req,G831),0)</x:f>
        <x:v>9805.661999999998</x:v>
      </x:c>
      <x:c r="AS831" s="32" t="n">
        <x:f>IF(H831=1,IF(E831=1,AS830-AR830,AS830)+AQ831,0)</x:f>
        <x:v>5609.802969308837</x:v>
      </x:c>
      <x:c r="AT831" s="11" t="n">
        <x:f>IF(AR831&gt;0,MIN(1,AS831/AR831),1)</x:f>
        <x:v>0.5720983416834925</x:v>
      </x:c>
      <x:c r="AU831" s="10" t="n">
        <x:f>AB831/INDEX(v01_RepScale,G831)</x:f>
        <x:v>162.34579574878066</x:v>
      </x:c>
      <x:c r="AV831" s="32" t="n">
        <x:f>AM831*60/v01_SeasonSeconds</x:f>
        <x:v>217.92050710318134</x:v>
      </x:c>
    </x:row>
    <x:row r="832">
      <x:c r="A832" s="8" t="n">
        <x:f>A831+1</x:f>
        <x:v>829</x:v>
      </x:c>
      <x:c r="B832" s="9" t="n">
        <x:f>A832*v01_SeasonSeconds/60</x:f>
        <x:v>207.25</x:v>
      </x:c>
      <x:c r="C832" s="9" t="n">
        <x:f>A832/4</x:f>
        <x:v>207.25</x:v>
      </x:c>
      <x:c r="D832" s="8" t="n">
        <x:f>IF(MOD(A832,4)=0,1,0)</x:f>
        <x:v>0</x:v>
      </x:c>
      <x:c r="E832" s="8" t="n">
        <x:f>IF(AND(F831&lt;=9,AS831&gt;=AR831),1,0)</x:f>
        <x:v>0</x:v>
      </x:c>
      <x:c r="F832" s="8" t="n">
        <x:f>MIN(10,F831+E832)</x:f>
        <x:v>3</x:v>
      </x:c>
      <x:c r="G832" s="8" t="n">
        <x:f>MIN(F832,9)+1</x:f>
        <x:v>4</x:v>
      </x:c>
      <x:c r="H832" s="8" t="n">
        <x:f>IF(F832&lt;=9,1,0)</x:f>
        <x:v>1</x:v>
      </x:c>
      <x:c r="I832" s="9" t="n">
        <x:f>MIN(10,F831+IF(AR831&gt;0,MIN(1,AS831/AR831),1))</x:f>
        <x:v>3.5720983416834926</x:v>
      </x:c>
      <x:c r="J832" s="32" t="n">
        <x:f>INDEX(v01_FoodCap,G832)*Arch_FoodCap*EXP(v01_CapsByProject*SUMPRODUCT((Cap_Point&lt;=I832)*(Cap_Kind="Food")*Cap_Ln))</x:f>
        <x:v>120</x:v>
      </x:c>
      <x:c r="K832" s="32" t="n">
        <x:f>J832*MIN(1,v01_LeanBase*EXP(v01_CapsByProject*SUMPRODUCT((Cap_Point&lt;=I832)*(Cap_Kind="Lean")*Cap_Ln)))</x:f>
        <x:v>120</x:v>
      </x:c>
      <x:c r="L832" s="10" t="n">
        <x:f>INDEX(v01_HousingCap,G832)*EXP(v01_CapsByProject*SUMPRODUCT((Cap_Point&lt;=I832)*(Cap_Kind="Housing")*Cap_Ln))</x:f>
        <x:v>200</x:v>
      </x:c>
      <x:c r="M832" s="10" t="n">
        <x:f>INDEX(v01_GroupCap,G832)*v01_CohesionFactor*EXP(v01_CapsByProject*SUMPRODUCT((Cap_Point&lt;=I832)*(Cap_Kind="Group")*Cap_Ln))</x:f>
        <x:v>5000</x:v>
      </x:c>
      <x:c r="N832" s="32" t="n">
        <x:f>MIN(J832,L832,M832)</x:f>
        <x:v>120</x:v>
      </x:c>
      <x:c r="O832" s="10" t="n">
        <x:f>AE831*N832</x:f>
        <x:v>1080</x:v>
      </x:c>
      <x:c r="P832" s="9" t="n">
        <x:f>MIN(1,(AB831/(AE831*IF(v01_GroupInCrowding=1,N832,MIN(J832,L832))))^v01_CrowdingExp)</x:f>
        <x:v>0.18027012940291132</x:v>
      </x:c>
      <x:c r="Q832" s="9" t="n">
        <x:f>IF(D832=1,INDEX(v01_WinterMult,G832),1)</x:f>
        <x:v>1</x:v>
      </x:c>
      <x:c r="R832" s="9" t="n">
        <x:f>H832*Z831*v01_WomenShare*v01_BaseFertility*INDEX(v01_FertMult,G832)*Arch_Fertility*(1-P832)</x:f>
        <x:v>11.178251607826159</x:v>
      </x:c>
      <x:c r="S832" s="9" t="n">
        <x:f>H832*Y831*INDEX(v01_MortChild,G832)/4*Q832</x:f>
        <x:v>2.589929232537279</x:v>
      </x:c>
      <x:c r="T832" s="9" t="n">
        <x:f>H832*Z831*INDEX(v01_MortAdult,G832)*Arch_AdultMort/4*Q832</x:f>
        <x:v>0.961548526584329</x:v>
      </x:c>
      <x:c r="U832" s="9" t="n">
        <x:f>H832*AA831*INDEX(v01_MortElder,G832)/4*Q832</x:f>
        <x:v>1.8972049103351076</x:v>
      </x:c>
      <x:c r="V832" s="9" t="n">
        <x:f>H832*MAX(0,AB831-O832)*v01_OvercapLoss</x:f>
        <x:v>0</x:v>
      </x:c>
      <x:c r="W832" s="9" t="n">
        <x:f>H832*Y831/(v01_ChildYears*4)</x:f>
        <x:v>6.166498172707807</x:v>
      </x:c>
      <x:c r="X832" s="9" t="n">
        <x:f>H832*Z831/(v01_AdultYears*4)</x:f>
        <x:v>2.8197904005405543</x:v>
      </x:c>
      <x:c r="Y832" s="32" t="n">
        <x:f>Y831+R832-S832-W832-Y831*V832/AB831</x:f>
        <x:v>347.7457218742183</x:v>
      </x:c>
      <x:c r="Z832" s="32" t="n">
        <x:f>Z831+W832-X832-T832-Z831*V832/AB831</x:f>
        <x:v>352.0391689126116</x:v>
      </x:c>
      <x:c r="AA832" s="32" t="n">
        <x:f>AA831+X832-U832-AA831*V832/AB831</x:f>
        <x:v>117.67365689544283</x:v>
      </x:c>
      <x:c r="AB832" s="10" t="n">
        <x:f>Y832+Z832+AA832</x:f>
        <x:v>817.4585476822728</x:v>
      </x:c>
      <x:c r="AC832" s="8" t="n">
        <x:f>IF(AND(v01_WinterTrigger=1,D832=1,AB831/AE831&gt;=K832),1,0)</x:f>
        <x:v>0</x:v>
      </x:c>
      <x:c r="AD832" s="8" t="n">
        <x:f>H832*IF(AND(OR(AB831/AE831&gt;=v01_FissionTrigger*N832,AC832=1),AB831/AE831*v01_DaughterShare&gt;=v01_MinDaughter),MAX(1,ROUND(AE831*v01_FissionRate,0)),0)</x:f>
        <x:v>0</x:v>
      </x:c>
      <x:c r="AE832" s="8" t="n">
        <x:f>IF(H832=1,MAX(1,MIN(INDEX(v01_Smax,G832),AE831+AD832)),AE831)</x:f>
        <x:v>9</x:v>
      </x:c>
      <x:c r="AF832" s="8" t="n">
        <x:f>MAX(0,AE832-AE831)</x:f>
        <x:v>0</x:v>
      </x:c>
      <x:c r="AG832" s="9" t="str">
        <x:f>IF(AF832&gt;0,B832,"")</x:f>
      </x:c>
      <x:c r="AH832" s="9" t="n">
        <x:f>IF(F832&gt;=1,1,(1+v01_LowTiesShare*(AE832-1))/AE832)</x:f>
        <x:v>1</x:v>
      </x:c>
      <x:c r="AI832" s="32" t="n">
        <x:f>(Z832+v01_ElderCommons*INDEX(LM_Elder,G832)*AA832)*AH832</x:f>
        <x:v>705.0601395989402</x:v>
      </x:c>
      <x:c r="AJ832" s="32" t="n">
        <x:f>H832*v01_CommonsCoef*AI832^v01_CommonsExp*INDEX(LM_Commons,G832)</x:f>
        <x:v>173.99476178415202</x:v>
      </x:c>
      <x:c r="AK832" s="32" t="n">
        <x:f>H832*v01_RoleScale*Arch_Roles*(AE832*(INDEX(v01_ElderRolePerSett,G832)*v01_OutElder*INDEX(LM_Elder,G832)+INDEX(v01_ShamanPerSett,G832)*v01_OutShaman)+Z832*(INDEX(v01_PriestShare,G832)*v01_OutPriest+INDEX(v01_ScribeShare,G832)*v01_OutScribe*INDEX(LM_Scribe,G832)+INDEX(v01_ScholarShare,G832)*v01_OutScholar*INDEX(LM_Scholar,G832)+INDEX(v01_ResearcherShare,G832)*v01_OutResearcher*INDEX(LM_Researcher,G832)))</x:f>
        <x:v>29.46427418238828</x:v>
      </x:c>
      <x:c r="AL832" s="32" t="n">
        <x:f>H832*v01_RoleScale*Arch_Roles*AE832*INDEX(v01_MonasteryPerSett,G832)*v01_OutMonastery*INDEX(LM_Monastery,G832)</x:f>
        <x:v>0</x:v>
      </x:c>
      <x:c r="AM832" s="32" t="n">
        <x:f>(AJ832+AK832+AL832)/4*INDEX(LM_All,G832)*INDEX(v01_Boon,G832)*Arch_Insight</x:f>
        <x:v>54.775782100976244</x:v>
      </x:c>
      <x:c r="AN832" s="32" t="n">
        <x:f>H832*(v01_KHPerAdult*Z832+v01_KHOfCommons*AJ832/4*INDEX(LM_All,G832))*v01_KHUsable*Arch_KH</x:f>
        <x:v>12.321370911941408</x:v>
      </x:c>
      <x:c r="AO832" s="32" t="n">
        <x:f>MIN(AP831+AN832,AM832*v01_KHMaxRatio)</x:f>
        <x:v>12.321370911941408</x:v>
      </x:c>
      <x:c r="AP832" s="32" t="n">
        <x:f>AP831+AN832-AO832</x:f>
        <x:v>0</x:v>
      </x:c>
      <x:c r="AQ832" s="32" t="n">
        <x:f>AM832+AO832</x:f>
        <x:v>67.09715301291766</x:v>
      </x:c>
      <x:c r="AR832" s="10" t="n">
        <x:f>IF(H832=1,INDEX(v01_Req,G832),0)</x:f>
        <x:v>9805.661999999998</x:v>
      </x:c>
      <x:c r="AS832" s="32" t="n">
        <x:f>IF(H832=1,IF(E832=1,AS831-AR831,AS831)+AQ832,0)</x:f>
        <x:v>5676.900122321755</x:v>
      </x:c>
      <x:c r="AT832" s="11" t="n">
        <x:f>IF(AR832&gt;0,MIN(1,AS832/AR832),1)</x:f>
        <x:v>0.5789410365482469</x:v>
      </x:c>
      <x:c r="AU832" s="10" t="n">
        <x:f>AB832/INDEX(v01_RepScale,G832)</x:f>
        <x:v>163.49170953645455</x:v>
      </x:c>
      <x:c r="AV832" s="32" t="n">
        <x:f>AM832*60/v01_SeasonSeconds</x:f>
        <x:v>219.10312840390498</x:v>
      </x:c>
    </x:row>
    <x:row r="833">
      <x:c r="A833" s="8" t="n">
        <x:f>A832+1</x:f>
        <x:v>830</x:v>
      </x:c>
      <x:c r="B833" s="9" t="n">
        <x:f>A833*v01_SeasonSeconds/60</x:f>
        <x:v>207.5</x:v>
      </x:c>
      <x:c r="C833" s="9" t="n">
        <x:f>A833/4</x:f>
        <x:v>207.5</x:v>
      </x:c>
      <x:c r="D833" s="8" t="n">
        <x:f>IF(MOD(A833,4)=0,1,0)</x:f>
        <x:v>0</x:v>
      </x:c>
      <x:c r="E833" s="8" t="n">
        <x:f>IF(AND(F832&lt;=9,AS832&gt;=AR832),1,0)</x:f>
        <x:v>0</x:v>
      </x:c>
      <x:c r="F833" s="8" t="n">
        <x:f>MIN(10,F832+E833)</x:f>
        <x:v>3</x:v>
      </x:c>
      <x:c r="G833" s="8" t="n">
        <x:f>MIN(F833,9)+1</x:f>
        <x:v>4</x:v>
      </x:c>
      <x:c r="H833" s="8" t="n">
        <x:f>IF(F833&lt;=9,1,0)</x:f>
        <x:v>1</x:v>
      </x:c>
      <x:c r="I833" s="9" t="n">
        <x:f>MIN(10,F832+IF(AR832&gt;0,MIN(1,AS832/AR832),1))</x:f>
        <x:v>3.578941036548247</x:v>
      </x:c>
      <x:c r="J833" s="32" t="n">
        <x:f>INDEX(v01_FoodCap,G833)*Arch_FoodCap*EXP(v01_CapsByProject*SUMPRODUCT((Cap_Point&lt;=I833)*(Cap_Kind="Food")*Cap_Ln))</x:f>
        <x:v>120</x:v>
      </x:c>
      <x:c r="K833" s="32" t="n">
        <x:f>J833*MIN(1,v01_LeanBase*EXP(v01_CapsByProject*SUMPRODUCT((Cap_Point&lt;=I833)*(Cap_Kind="Lean")*Cap_Ln)))</x:f>
        <x:v>120</x:v>
      </x:c>
      <x:c r="L833" s="10" t="n">
        <x:f>INDEX(v01_HousingCap,G833)*EXP(v01_CapsByProject*SUMPRODUCT((Cap_Point&lt;=I833)*(Cap_Kind="Housing")*Cap_Ln))</x:f>
        <x:v>200</x:v>
      </x:c>
      <x:c r="M833" s="10" t="n">
        <x:f>INDEX(v01_GroupCap,G833)*v01_CohesionFactor*EXP(v01_CapsByProject*SUMPRODUCT((Cap_Point&lt;=I833)*(Cap_Kind="Group")*Cap_Ln))</x:f>
        <x:v>5000</x:v>
      </x:c>
      <x:c r="N833" s="32" t="n">
        <x:f>MIN(J833,L833,M833)</x:f>
        <x:v>120</x:v>
      </x:c>
      <x:c r="O833" s="10" t="n">
        <x:f>AE832*N833</x:f>
        <x:v>1080</x:v>
      </x:c>
      <x:c r="P833" s="9" t="n">
        <x:f>MIN(1,(AB832/(AE832*IF(v01_GroupInCrowding=1,N833,MIN(J833,L833))))^v01_CrowdingExp)</x:f>
        <x:v>0.18804071903570685</x:v>
      </x:c>
      <x:c r="Q833" s="9" t="n">
        <x:f>IF(D833=1,INDEX(v01_WinterMult,G833),1)</x:f>
        <x:v>1</x:v>
      </x:c>
      <x:c r="R833" s="9" t="n">
        <x:f>H833*Z832*v01_WomenShare*v01_BaseFertility*INDEX(v01_FertMult,G833)*Arch_Fertility*(1-P833)</x:f>
        <x:v>11.147817348000508</x:v>
      </x:c>
      <x:c r="S833" s="9" t="n">
        <x:f>H833*Y832*INDEX(v01_MortChild,G833)/4*Q833</x:f>
        <x:v>2.608092914056637</x:v>
      </x:c>
      <x:c r="T833" s="9" t="n">
        <x:f>H833*Z832*INDEX(v01_MortAdult,G833)*Arch_AdultMort/4*Q833</x:f>
        <x:v>0.9681077145096819</x:v>
      </x:c>
      <x:c r="U833" s="9" t="n">
        <x:f>H833*AA832*INDEX(v01_MortElder,G833)/4*Q833</x:f>
        <x:v>1.912196924550946</x:v>
      </x:c>
      <x:c r="V833" s="9" t="n">
        <x:f>H833*MAX(0,AB832-O833)*v01_OvercapLoss</x:f>
        <x:v>0</x:v>
      </x:c>
      <x:c r="W833" s="9" t="n">
        <x:f>H833*Y832/(v01_ChildYears*4)</x:f>
        <x:v>6.209745033468184</x:v>
      </x:c>
      <x:c r="X833" s="9" t="n">
        <x:f>H833*Z832/(v01_AdultYears*4)</x:f>
        <x:v>2.839025555746868</x:v>
      </x:c>
      <x:c r="Y833" s="32" t="n">
        <x:f>Y832+R833-S833-W833-Y832*V833/AB832</x:f>
        <x:v>350.075701274694</x:v>
      </x:c>
      <x:c r="Z833" s="32" t="n">
        <x:f>Z832+W833-X833-T833-Z832*V833/AB832</x:f>
        <x:v>354.4417806758233</x:v>
      </x:c>
      <x:c r="AA833" s="32" t="n">
        <x:f>AA832+X833-U833-AA832*V833/AB832</x:f>
        <x:v>118.60048552663876</x:v>
      </x:c>
      <x:c r="AB833" s="10" t="n">
        <x:f>Y833+Z833+AA833</x:f>
        <x:v>823.1179674771561</x:v>
      </x:c>
      <x:c r="AC833" s="8" t="n">
        <x:f>IF(AND(v01_WinterTrigger=1,D833=1,AB832/AE832&gt;=K833),1,0)</x:f>
        <x:v>0</x:v>
      </x:c>
      <x:c r="AD833" s="8" t="n">
        <x:f>H833*IF(AND(OR(AB832/AE832&gt;=v01_FissionTrigger*N833,AC833=1),AB832/AE832*v01_DaughterShare&gt;=v01_MinDaughter),MAX(1,ROUND(AE832*v01_FissionRate,0)),0)</x:f>
        <x:v>0</x:v>
      </x:c>
      <x:c r="AE833" s="8" t="n">
        <x:f>IF(H833=1,MAX(1,MIN(INDEX(v01_Smax,G833),AE832+AD833)),AE832)</x:f>
        <x:v>9</x:v>
      </x:c>
      <x:c r="AF833" s="8" t="n">
        <x:f>MAX(0,AE833-AE832)</x:f>
        <x:v>0</x:v>
      </x:c>
      <x:c r="AG833" s="9" t="str">
        <x:f>IF(AF833&gt;0,B833,"")</x:f>
      </x:c>
      <x:c r="AH833" s="9" t="n">
        <x:f>IF(F833&gt;=1,1,(1+v01_LowTiesShare*(AE833-1))/AE833)</x:f>
        <x:v>1</x:v>
      </x:c>
      <x:c r="AI833" s="32" t="n">
        <x:f>(Z833+v01_ElderCommons*INDEX(LM_Elder,G833)*AA833)*AH833</x:f>
        <x:v>710.2432372557396</x:v>
      </x:c>
      <x:c r="AJ833" s="32" t="n">
        <x:f>H833*v01_CommonsCoef*AI833^v01_CommonsExp*INDEX(LM_Commons,G833)</x:f>
        <x:v>175.08138627280655</x:v>
      </x:c>
      <x:c r="AK833" s="32" t="n">
        <x:f>H833*v01_RoleScale*Arch_Roles*(AE833*(INDEX(v01_ElderRolePerSett,G833)*v01_OutElder*INDEX(LM_Elder,G833)+INDEX(v01_ShamanPerSett,G833)*v01_OutShaman)+Z833*(INDEX(v01_PriestShare,G833)*v01_OutPriest+INDEX(v01_ScribeShare,G833)*v01_OutScribe*INDEX(LM_Scribe,G833)+INDEX(v01_ScholarShare,G833)*v01_OutScholar*INDEX(LM_Scholar,G833)+INDEX(v01_ResearcherShare,G833)*v01_OutResearcher*INDEX(LM_Researcher,G833)))</x:f>
        <x:v>29.481092464730764</x:v>
      </x:c>
      <x:c r="AL833" s="32" t="n">
        <x:f>H833*v01_RoleScale*Arch_Roles*AE833*INDEX(v01_MonasteryPerSett,G833)*v01_OutMonastery*INDEX(LM_Monastery,G833)</x:f>
        <x:v>0</x:v>
      </x:c>
      <x:c r="AM833" s="32" t="n">
        <x:f>(AJ833+AK833+AL833)/4*INDEX(LM_All,G833)*INDEX(v01_Boon,G833)*Arch_Insight</x:f>
        <x:v>55.07285389480393</x:v>
      </x:c>
      <x:c r="AN833" s="32" t="n">
        <x:f>H833*(v01_KHPerAdult*Z833+v01_KHOfCommons*AJ833/4*INDEX(LM_All,G833))*v01_KHUsable*Arch_KH</x:f>
        <x:v>12.405462323653815</x:v>
      </x:c>
      <x:c r="AO833" s="32" t="n">
        <x:f>MIN(AP832+AN833,AM833*v01_KHMaxRatio)</x:f>
        <x:v>12.405462323653815</x:v>
      </x:c>
      <x:c r="AP833" s="32" t="n">
        <x:f>AP832+AN833-AO833</x:f>
        <x:v>0</x:v>
      </x:c>
      <x:c r="AQ833" s="32" t="n">
        <x:f>AM833+AO833</x:f>
        <x:v>67.47831621845773</x:v>
      </x:c>
      <x:c r="AR833" s="10" t="n">
        <x:f>IF(H833=1,INDEX(v01_Req,G833),0)</x:f>
        <x:v>9805.661999999998</x:v>
      </x:c>
      <x:c r="AS833" s="32" t="n">
        <x:f>IF(H833=1,IF(E833=1,AS832-AR832,AS832)+AQ833,0)</x:f>
        <x:v>5744.378438540212</x:v>
      </x:c>
      <x:c r="AT833" s="11" t="n">
        <x:f>IF(AR833&gt;0,MIN(1,AS833/AR833),1)</x:f>
        <x:v>0.5858226031592985</x:v>
      </x:c>
      <x:c r="AU833" s="10" t="n">
        <x:f>AB833/INDEX(v01_RepScale,G833)</x:f>
        <x:v>164.6235934954312</x:v>
      </x:c>
      <x:c r="AV833" s="32" t="n">
        <x:f>AM833*60/v01_SeasonSeconds</x:f>
        <x:v>220.29141557921568</x:v>
      </x:c>
    </x:row>
    <x:row r="834">
      <x:c r="A834" s="8" t="n">
        <x:f>A833+1</x:f>
        <x:v>831</x:v>
      </x:c>
      <x:c r="B834" s="9" t="n">
        <x:f>A834*v01_SeasonSeconds/60</x:f>
        <x:v>207.75</x:v>
      </x:c>
      <x:c r="C834" s="9" t="n">
        <x:f>A834/4</x:f>
        <x:v>207.75</x:v>
      </x:c>
      <x:c r="D834" s="8" t="n">
        <x:f>IF(MOD(A834,4)=0,1,0)</x:f>
        <x:v>0</x:v>
      </x:c>
      <x:c r="E834" s="8" t="n">
        <x:f>IF(AND(F833&lt;=9,AS833&gt;=AR833),1,0)</x:f>
        <x:v>0</x:v>
      </x:c>
      <x:c r="F834" s="8" t="n">
        <x:f>MIN(10,F833+E834)</x:f>
        <x:v>3</x:v>
      </x:c>
      <x:c r="G834" s="8" t="n">
        <x:f>MIN(F834,9)+1</x:f>
        <x:v>4</x:v>
      </x:c>
      <x:c r="H834" s="8" t="n">
        <x:f>IF(F834&lt;=9,1,0)</x:f>
        <x:v>1</x:v>
      </x:c>
      <x:c r="I834" s="9" t="n">
        <x:f>MIN(10,F833+IF(AR833&gt;0,MIN(1,AS833/AR833),1))</x:f>
        <x:v>3.5858226031592983</x:v>
      </x:c>
      <x:c r="J834" s="32" t="n">
        <x:f>INDEX(v01_FoodCap,G834)*Arch_FoodCap*EXP(v01_CapsByProject*SUMPRODUCT((Cap_Point&lt;=I834)*(Cap_Kind="Food")*Cap_Ln))</x:f>
        <x:v>120</x:v>
      </x:c>
      <x:c r="K834" s="32" t="n">
        <x:f>J834*MIN(1,v01_LeanBase*EXP(v01_CapsByProject*SUMPRODUCT((Cap_Point&lt;=I834)*(Cap_Kind="Lean")*Cap_Ln)))</x:f>
        <x:v>120</x:v>
      </x:c>
      <x:c r="L834" s="10" t="n">
        <x:f>INDEX(v01_HousingCap,G834)*EXP(v01_CapsByProject*SUMPRODUCT((Cap_Point&lt;=I834)*(Cap_Kind="Housing")*Cap_Ln))</x:f>
        <x:v>200</x:v>
      </x:c>
      <x:c r="M834" s="10" t="n">
        <x:f>INDEX(v01_GroupCap,G834)*v01_CohesionFactor*EXP(v01_CapsByProject*SUMPRODUCT((Cap_Point&lt;=I834)*(Cap_Kind="Group")*Cap_Ln))</x:f>
        <x:v>5000</x:v>
      </x:c>
      <x:c r="N834" s="32" t="n">
        <x:f>MIN(J834,L834,M834)</x:f>
        <x:v>120</x:v>
      </x:c>
      <x:c r="O834" s="10" t="n">
        <x:f>AE833*N834</x:f>
        <x:v>1080</x:v>
      </x:c>
      <x:c r="P834" s="9" t="n">
        <x:f>MIN(1,(AB833/(AE833*IF(v01_GroupInCrowding=1,N834,MIN(J834,L834))))^v01_CrowdingExp)</x:f>
        <x:v>0.1959882152041326</x:v>
      </x:c>
      <x:c r="Q834" s="9" t="n">
        <x:f>IF(D834=1,INDEX(v01_WinterMult,G834),1)</x:f>
        <x:v>1</x:v>
      </x:c>
      <x:c r="R834" s="9" t="n">
        <x:f>H834*Z833*v01_WomenShare*v01_BaseFertility*INDEX(v01_FertMult,G834)*Arch_Fertility*(1-P834)</x:f>
        <x:v>11.11403937880837</x:v>
      </x:c>
      <x:c r="S834" s="9" t="n">
        <x:f>H834*Y833*INDEX(v01_MortChild,G834)/4*Q834</x:f>
        <x:v>2.6255677595602047</x:v>
      </x:c>
      <x:c r="T834" s="9" t="n">
        <x:f>H834*Z833*INDEX(v01_MortAdult,G834)*Arch_AdultMort/4*Q834</x:f>
        <x:v>0.974714896858514</x:v>
      </x:c>
      <x:c r="U834" s="9" t="n">
        <x:f>H834*AA833*INDEX(v01_MortElder,G834)/4*Q834</x:f>
        <x:v>1.92725788980788</x:v>
      </x:c>
      <x:c r="V834" s="9" t="n">
        <x:f>H834*MAX(0,AB833-O834)*v01_OvercapLoss</x:f>
        <x:v>0</x:v>
      </x:c>
      <x:c r="W834" s="9" t="n">
        <x:f>H834*Y833/(v01_ChildYears*4)</x:f>
        <x:v>6.251351808476678</x:v>
      </x:c>
      <x:c r="X834" s="9" t="n">
        <x:f>H834*Z833/(v01_AdultYears*4)</x:f>
        <x:v>2.858401457063091</x:v>
      </x:c>
      <x:c r="Y834" s="32" t="n">
        <x:f>Y833+R834-S834-W834-Y833*V834/AB833</x:f>
        <x:v>352.31282108546543</x:v>
      </x:c>
      <x:c r="Z834" s="32" t="n">
        <x:f>Z833+W834-X834-T834-Z833*V834/AB833</x:f>
        <x:v>356.8600161303783</x:v>
      </x:c>
      <x:c r="AA834" s="32" t="n">
        <x:f>AA833+X834-U834-AA833*V834/AB833</x:f>
        <x:v>119.53162909389398</x:v>
      </x:c>
      <x:c r="AB834" s="10" t="n">
        <x:f>Y834+Z834+AA834</x:f>
        <x:v>828.7044663097378</x:v>
      </x:c>
      <x:c r="AC834" s="8" t="n">
        <x:f>IF(AND(v01_WinterTrigger=1,D834=1,AB833/AE833&gt;=K834),1,0)</x:f>
        <x:v>0</x:v>
      </x:c>
      <x:c r="AD834" s="8" t="n">
        <x:f>H834*IF(AND(OR(AB833/AE833&gt;=v01_FissionTrigger*N834,AC834=1),AB833/AE833*v01_DaughterShare&gt;=v01_MinDaughter),MAX(1,ROUND(AE833*v01_FissionRate,0)),0)</x:f>
        <x:v>0</x:v>
      </x:c>
      <x:c r="AE834" s="8" t="n">
        <x:f>IF(H834=1,MAX(1,MIN(INDEX(v01_Smax,G834),AE833+AD834)),AE833)</x:f>
        <x:v>9</x:v>
      </x:c>
      <x:c r="AF834" s="8" t="n">
        <x:f>MAX(0,AE834-AE833)</x:f>
        <x:v>0</x:v>
      </x:c>
      <x:c r="AG834" s="9" t="str">
        <x:f>IF(AF834&gt;0,B834,"")</x:f>
      </x:c>
      <x:c r="AH834" s="9" t="n">
        <x:f>IF(F834&gt;=1,1,(1+v01_LowTiesShare*(AE834-1))/AE834)</x:f>
        <x:v>1</x:v>
      </x:c>
      <x:c r="AI834" s="32" t="n">
        <x:f>(Z834+v01_ElderCommons*INDEX(LM_Elder,G834)*AA834)*AH834</x:f>
        <x:v>715.4549034120603</x:v>
      </x:c>
      <x:c r="AJ834" s="32" t="n">
        <x:f>H834*v01_CommonsCoef*AI834^v01_CommonsExp*INDEX(LM_Commons,G834)</x:f>
        <x:v>176.1728014236767</x:v>
      </x:c>
      <x:c r="AK834" s="32" t="n">
        <x:f>H834*v01_RoleScale*Arch_Roles*(AE834*(INDEX(v01_ElderRolePerSett,G834)*v01_OutElder*INDEX(LM_Elder,G834)+INDEX(v01_ShamanPerSett,G834)*v01_OutShaman)+Z834*(INDEX(v01_PriestShare,G834)*v01_OutPriest+INDEX(v01_ScribeShare,G834)*v01_OutScribe*INDEX(LM_Scribe,G834)+INDEX(v01_ScholarShare,G834)*v01_OutScholar*INDEX(LM_Scholar,G834)+INDEX(v01_ResearcherShare,G834)*v01_OutResearcher*INDEX(LM_Researcher,G834)))</x:f>
        <x:v>29.49802011291265</x:v>
      </x:c>
      <x:c r="AL834" s="32" t="n">
        <x:f>H834*v01_RoleScale*Arch_Roles*AE834*INDEX(v01_MonasteryPerSett,G834)*v01_OutMonastery*INDEX(LM_Monastery,G834)</x:f>
        <x:v>0</x:v>
      </x:c>
      <x:c r="AM834" s="32" t="n">
        <x:f>(AJ834+AK834+AL834)/4*INDEX(LM_All,G834)*INDEX(v01_Boon,G834)*Arch_Insight</x:f>
        <x:v>55.37124488720028</x:v>
      </x:c>
      <x:c r="AN834" s="32" t="n">
        <x:f>H834*(v01_KHPerAdult*Z834+v01_KHOfCommons*AJ834/4*INDEX(LM_All,G834))*v01_KHUsable*Arch_KH</x:f>
        <x:v>12.49010056456324</x:v>
      </x:c>
      <x:c r="AO834" s="32" t="n">
        <x:f>MIN(AP833+AN834,AM834*v01_KHMaxRatio)</x:f>
        <x:v>12.49010056456324</x:v>
      </x:c>
      <x:c r="AP834" s="32" t="n">
        <x:f>AP833+AN834-AO834</x:f>
        <x:v>0</x:v>
      </x:c>
      <x:c r="AQ834" s="32" t="n">
        <x:f>AM834+AO834</x:f>
        <x:v>67.86134545176351</x:v>
      </x:c>
      <x:c r="AR834" s="10" t="n">
        <x:f>IF(H834=1,INDEX(v01_Req,G834),0)</x:f>
        <x:v>9805.661999999998</x:v>
      </x:c>
      <x:c r="AS834" s="32" t="n">
        <x:f>IF(H834=1,IF(E834=1,AS833-AR833,AS833)+AQ834,0)</x:f>
        <x:v>5812.239783991976</x:v>
      </x:c>
      <x:c r="AT834" s="11" t="n">
        <x:f>IF(AR834&gt;0,MIN(1,AS834/AR834),1)</x:f>
        <x:v>0.5927432318176964</x:v>
      </x:c>
      <x:c r="AU834" s="10" t="n">
        <x:f>AB834/INDEX(v01_RepScale,G834)</x:f>
        <x:v>165.74089326194755</x:v>
      </x:c>
      <x:c r="AV834" s="32" t="n">
        <x:f>AM834*60/v01_SeasonSeconds</x:f>
        <x:v>221.4849795488011</x:v>
      </x:c>
    </x:row>
    <x:row r="835">
      <x:c r="A835" s="8" t="n">
        <x:f>A834+1</x:f>
        <x:v>832</x:v>
      </x:c>
      <x:c r="B835" s="9" t="n">
        <x:f>A835*v01_SeasonSeconds/60</x:f>
        <x:v>208</x:v>
      </x:c>
      <x:c r="C835" s="9" t="n">
        <x:f>A835/4</x:f>
        <x:v>208</x:v>
      </x:c>
      <x:c r="D835" s="8" t="n">
        <x:f>IF(MOD(A835,4)=0,1,0)</x:f>
        <x:v>1</x:v>
      </x:c>
      <x:c r="E835" s="8" t="n">
        <x:f>IF(AND(F834&lt;=9,AS834&gt;=AR834),1,0)</x:f>
        <x:v>0</x:v>
      </x:c>
      <x:c r="F835" s="8" t="n">
        <x:f>MIN(10,F834+E835)</x:f>
        <x:v>3</x:v>
      </x:c>
      <x:c r="G835" s="8" t="n">
        <x:f>MIN(F835,9)+1</x:f>
        <x:v>4</x:v>
      </x:c>
      <x:c r="H835" s="8" t="n">
        <x:f>IF(F835&lt;=9,1,0)</x:f>
        <x:v>1</x:v>
      </x:c>
      <x:c r="I835" s="9" t="n">
        <x:f>MIN(10,F834+IF(AR834&gt;0,MIN(1,AS834/AR834),1))</x:f>
        <x:v>3.592743231817696</x:v>
      </x:c>
      <x:c r="J835" s="32" t="n">
        <x:f>INDEX(v01_FoodCap,G835)*Arch_FoodCap*EXP(v01_CapsByProject*SUMPRODUCT((Cap_Point&lt;=I835)*(Cap_Kind="Food")*Cap_Ln))</x:f>
        <x:v>120</x:v>
      </x:c>
      <x:c r="K835" s="32" t="n">
        <x:f>J835*MIN(1,v01_LeanBase*EXP(v01_CapsByProject*SUMPRODUCT((Cap_Point&lt;=I835)*(Cap_Kind="Lean")*Cap_Ln)))</x:f>
        <x:v>120</x:v>
      </x:c>
      <x:c r="L835" s="10" t="n">
        <x:f>INDEX(v01_HousingCap,G835)*EXP(v01_CapsByProject*SUMPRODUCT((Cap_Point&lt;=I835)*(Cap_Kind="Housing")*Cap_Ln))</x:f>
        <x:v>200</x:v>
      </x:c>
      <x:c r="M835" s="10" t="n">
        <x:f>INDEX(v01_GroupCap,G835)*v01_CohesionFactor*EXP(v01_CapsByProject*SUMPRODUCT((Cap_Point&lt;=I835)*(Cap_Kind="Group")*Cap_Ln))</x:f>
        <x:v>5000</x:v>
      </x:c>
      <x:c r="N835" s="32" t="n">
        <x:f>MIN(J835,L835,M835)</x:f>
        <x:v>120</x:v>
      </x:c>
      <x:c r="O835" s="10" t="n">
        <x:f>AE834*N835</x:f>
        <x:v>1080</x:v>
      </x:c>
      <x:c r="P835" s="9" t="n">
        <x:f>MIN(1,(AB834/(AE834*IF(v01_GroupInCrowding=1,N835,MIN(J835,L835))))^v01_CrowdingExp)</x:f>
        <x:v>0.20410589300817805</x:v>
      </x:c>
      <x:c r="Q835" s="9" t="n">
        <x:f>IF(D835=1,INDEX(v01_WinterMult,G835),1)</x:f>
        <x:v>1.15</x:v>
      </x:c>
      <x:c r="R835" s="9" t="n">
        <x:f>H835*Z834*v01_WomenShare*v01_BaseFertility*INDEX(v01_FertMult,G835)*Arch_Fertility*(1-P835)</x:f>
        <x:v>11.07688857050781</x:v>
      </x:c>
      <x:c r="S835" s="9" t="n">
        <x:f>H835*Y834*INDEX(v01_MortChild,G835)/4*Q835</x:f>
        <x:v>3.0386980818621394</x:v>
      </x:c>
      <x:c r="T835" s="9" t="n">
        <x:f>H835*Z834*INDEX(v01_MortAdult,G835)*Arch_AdultMort/4*Q835</x:f>
        <x:v>1.1285698010123213</x:v>
      </x:c>
      <x:c r="U835" s="9" t="n">
        <x:f>H835*AA834*INDEX(v01_MortElder,G835)/4*Q835</x:f>
        <x:v>2.2337473186921435</x:v>
      </x:c>
      <x:c r="V835" s="9" t="n">
        <x:f>H835*MAX(0,AB834-O835)*v01_OvercapLoss</x:f>
        <x:v>0</x:v>
      </x:c>
      <x:c r="W835" s="9" t="n">
        <x:f>H835*Y834/(v01_ChildYears*4)</x:f>
        <x:v>6.291300376526168</x:v>
      </x:c>
      <x:c r="X835" s="9" t="n">
        <x:f>H835*Z834/(v01_AdultYears*4)</x:f>
        <x:v>2.877903355890148</x:v>
      </x:c>
      <x:c r="Y835" s="32" t="n">
        <x:f>Y834+R835-S835-W835-Y834*V835/AB834</x:f>
        <x:v>354.05971119758493</x:v>
      </x:c>
      <x:c r="Z835" s="32" t="n">
        <x:f>Z834+W835-X835-T835-Z834*V835/AB834</x:f>
        <x:v>359.144843350002</x:v>
      </x:c>
      <x:c r="AA835" s="32" t="n">
        <x:f>AA834+X835-U835-AA834*V835/AB834</x:f>
        <x:v>120.175785131092</x:v>
      </x:c>
      <x:c r="AB835" s="10" t="n">
        <x:f>Y835+Z835+AA835</x:f>
        <x:v>833.3803396786789</x:v>
      </x:c>
      <x:c r="AC835" s="8" t="n">
        <x:f>IF(AND(v01_WinterTrigger=1,D835=1,AB834/AE834&gt;=K835),1,0)</x:f>
        <x:v>0</x:v>
      </x:c>
      <x:c r="AD835" s="8" t="n">
        <x:f>H835*IF(AND(OR(AB834/AE834&gt;=v01_FissionTrigger*N835,AC835=1),AB834/AE834*v01_DaughterShare&gt;=v01_MinDaughter),MAX(1,ROUND(AE834*v01_FissionRate,0)),0)</x:f>
        <x:v>0</x:v>
      </x:c>
      <x:c r="AE835" s="8" t="n">
        <x:f>IF(H835=1,MAX(1,MIN(INDEX(v01_Smax,G835),AE834+AD835)),AE834)</x:f>
        <x:v>9</x:v>
      </x:c>
      <x:c r="AF835" s="8" t="n">
        <x:f>MAX(0,AE835-AE834)</x:f>
        <x:v>0</x:v>
      </x:c>
      <x:c r="AG835" s="9" t="str">
        <x:f>IF(AF835&gt;0,B835,"")</x:f>
      </x:c>
      <x:c r="AH835" s="9" t="n">
        <x:f>IF(F835&gt;=1,1,(1+v01_LowTiesShare*(AE835-1))/AE835)</x:f>
        <x:v>1</x:v>
      </x:c>
      <x:c r="AI835" s="32" t="n">
        <x:f>(Z835+v01_ElderCommons*INDEX(LM_Elder,G835)*AA835)*AH835</x:f>
        <x:v>719.672198743278</x:v>
      </x:c>
      <x:c r="AJ835" s="32" t="n">
        <x:f>H835*v01_CommonsCoef*AI835^v01_CommonsExp*INDEX(LM_Commons,G835)</x:f>
        <x:v>177.05510477454328</x:v>
      </x:c>
      <x:c r="AK835" s="32" t="n">
        <x:f>H835*v01_RoleScale*Arch_Roles*(AE835*(INDEX(v01_ElderRolePerSett,G835)*v01_OutElder*INDEX(LM_Elder,G835)+INDEX(v01_ShamanPerSett,G835)*v01_OutShaman)+Z835*(INDEX(v01_PriestShare,G835)*v01_OutPriest+INDEX(v01_ScribeShare,G835)*v01_OutScribe*INDEX(LM_Scribe,G835)+INDEX(v01_ScholarShare,G835)*v01_OutScholar*INDEX(LM_Scholar,G835)+INDEX(v01_ResearcherShare,G835)*v01_OutResearcher*INDEX(LM_Researcher,G835)))</x:f>
        <x:v>29.514013903450014</x:v>
      </x:c>
      <x:c r="AL835" s="32" t="n">
        <x:f>H835*v01_RoleScale*Arch_Roles*AE835*INDEX(v01_MonasteryPerSett,G835)*v01_OutMonastery*INDEX(LM_Monastery,G835)</x:f>
        <x:v>0</x:v>
      </x:c>
      <x:c r="AM835" s="32" t="n">
        <x:f>(AJ835+AK835+AL835)/4*INDEX(LM_All,G835)*INDEX(v01_Boon,G835)*Arch_Insight</x:f>
        <x:v>55.613086829710824</x:v>
      </x:c>
      <x:c r="AN835" s="32" t="n">
        <x:f>H835*(v01_KHPerAdult*Z835+v01_KHOfCommons*AJ835/4*INDEX(LM_All,G835))*v01_KHUsable*Arch_KH</x:f>
        <x:v>12.57006951725007</x:v>
      </x:c>
      <x:c r="AO835" s="32" t="n">
        <x:f>MIN(AP834+AN835,AM835*v01_KHMaxRatio)</x:f>
        <x:v>12.57006951725007</x:v>
      </x:c>
      <x:c r="AP835" s="32" t="n">
        <x:f>AP834+AN835-AO835</x:f>
        <x:v>0</x:v>
      </x:c>
      <x:c r="AQ835" s="32" t="n">
        <x:f>AM835+AO835</x:f>
        <x:v>68.1831563469609</x:v>
      </x:c>
      <x:c r="AR835" s="10" t="n">
        <x:f>IF(H835=1,INDEX(v01_Req,G835),0)</x:f>
        <x:v>9805.661999999998</x:v>
      </x:c>
      <x:c r="AS835" s="32" t="n">
        <x:f>IF(H835=1,IF(E835=1,AS834-AR834,AS834)+AQ835,0)</x:f>
        <x:v>5880.422940338936</x:v>
      </x:c>
      <x:c r="AT835" s="11" t="n">
        <x:f>IF(AR835&gt;0,MIN(1,AS835/AR835),1)</x:f>
        <x:v>0.5996966793612647</x:v>
      </x:c>
      <x:c r="AU835" s="10" t="n">
        <x:f>AB835/INDEX(v01_RepScale,G835)</x:f>
        <x:v>166.67606793573577</x:v>
      </x:c>
      <x:c r="AV835" s="32" t="n">
        <x:f>AM835*60/v01_SeasonSeconds</x:f>
        <x:v>222.4523473188433</x:v>
      </x:c>
    </x:row>
    <x:row r="836">
      <x:c r="A836" s="8" t="n">
        <x:f>A835+1</x:f>
        <x:v>833</x:v>
      </x:c>
      <x:c r="B836" s="9" t="n">
        <x:f>A836*v01_SeasonSeconds/60</x:f>
        <x:v>208.25</x:v>
      </x:c>
      <x:c r="C836" s="9" t="n">
        <x:f>A836/4</x:f>
        <x:v>208.25</x:v>
      </x:c>
      <x:c r="D836" s="8" t="n">
        <x:f>IF(MOD(A836,4)=0,1,0)</x:f>
        <x:v>0</x:v>
      </x:c>
      <x:c r="E836" s="8" t="n">
        <x:f>IF(AND(F835&lt;=9,AS835&gt;=AR835),1,0)</x:f>
        <x:v>0</x:v>
      </x:c>
      <x:c r="F836" s="8" t="n">
        <x:f>MIN(10,F835+E836)</x:f>
        <x:v>3</x:v>
      </x:c>
      <x:c r="G836" s="8" t="n">
        <x:f>MIN(F836,9)+1</x:f>
        <x:v>4</x:v>
      </x:c>
      <x:c r="H836" s="8" t="n">
        <x:f>IF(F836&lt;=9,1,0)</x:f>
        <x:v>1</x:v>
      </x:c>
      <x:c r="I836" s="9" t="n">
        <x:f>MIN(10,F835+IF(AR835&gt;0,MIN(1,AS835/AR835),1))</x:f>
        <x:v>3.599696679361265</x:v>
      </x:c>
      <x:c r="J836" s="32" t="n">
        <x:f>INDEX(v01_FoodCap,G836)*Arch_FoodCap*EXP(v01_CapsByProject*SUMPRODUCT((Cap_Point&lt;=I836)*(Cap_Kind="Food")*Cap_Ln))</x:f>
        <x:v>120</x:v>
      </x:c>
      <x:c r="K836" s="32" t="n">
        <x:f>J836*MIN(1,v01_LeanBase*EXP(v01_CapsByProject*SUMPRODUCT((Cap_Point&lt;=I836)*(Cap_Kind="Lean")*Cap_Ln)))</x:f>
        <x:v>120</x:v>
      </x:c>
      <x:c r="L836" s="10" t="n">
        <x:f>INDEX(v01_HousingCap,G836)*EXP(v01_CapsByProject*SUMPRODUCT((Cap_Point&lt;=I836)*(Cap_Kind="Housing")*Cap_Ln))</x:f>
        <x:v>200</x:v>
      </x:c>
      <x:c r="M836" s="10" t="n">
        <x:f>INDEX(v01_GroupCap,G836)*v01_CohesionFactor*EXP(v01_CapsByProject*SUMPRODUCT((Cap_Point&lt;=I836)*(Cap_Kind="Group")*Cap_Ln))</x:f>
        <x:v>5000</x:v>
      </x:c>
      <x:c r="N836" s="32" t="n">
        <x:f>MIN(J836,L836,M836)</x:f>
        <x:v>120</x:v>
      </x:c>
      <x:c r="O836" s="10" t="n">
        <x:f>AE835*N836</x:f>
        <x:v>1080</x:v>
      </x:c>
      <x:c r="P836" s="9" t="n">
        <x:f>MIN(1,(AB835/(AE835*IF(v01_GroupInCrowding=1,N836,MIN(J836,L836))))^v01_CrowdingExp)</x:f>
        <x:v>0.2111139695167912</x:v>
      </x:c>
      <x:c r="Q836" s="9" t="n">
        <x:f>IF(D836=1,INDEX(v01_WinterMult,G836),1)</x:f>
        <x:v>1</x:v>
      </x:c>
      <x:c r="R836" s="9" t="n">
        <x:f>H836*Z835*v01_WomenShare*v01_BaseFertility*INDEX(v01_FertMult,G836)*Arch_Fertility*(1-P836)</x:f>
        <x:v>11.049649643716982</x:v>
      </x:c>
      <x:c r="S836" s="9" t="n">
        <x:f>H836*Y835*INDEX(v01_MortChild,G836)/4*Q836</x:f>
        <x:v>2.6554478339818868</x:v>
      </x:c>
      <x:c r="T836" s="9" t="n">
        <x:f>H836*Z835*INDEX(v01_MortAdult,G836)*Arch_AdultMort/4*Q836</x:f>
        <x:v>0.9876483192125055</x:v>
      </x:c>
      <x:c r="U836" s="9" t="n">
        <x:f>H836*AA835*INDEX(v01_MortElder,G836)/4*Q836</x:f>
        <x:v>1.9528565083802452</x:v>
      </x:c>
      <x:c r="V836" s="9" t="n">
        <x:f>H836*MAX(0,AB835-O836)*v01_OvercapLoss</x:f>
        <x:v>0</x:v>
      </x:c>
      <x:c r="W836" s="9" t="n">
        <x:f>H836*Y835/(v01_ChildYears*4)</x:f>
        <x:v>6.322494842814017</x:v>
      </x:c>
      <x:c r="X836" s="9" t="n">
        <x:f>H836*Z835/(v01_AdultYears*4)</x:f>
        <x:v>2.896329381854855</x:v>
      </x:c>
      <x:c r="Y836" s="32" t="n">
        <x:f>Y835+R836-S836-W836-Y835*V836/AB835</x:f>
        <x:v>356.131418164506</x:v>
      </x:c>
      <x:c r="Z836" s="32" t="n">
        <x:f>Z835+W836-X836-T836-Z835*V836/AB835</x:f>
        <x:v>361.5833604917487</x:v>
      </x:c>
      <x:c r="AA836" s="32" t="n">
        <x:f>AA835+X836-U836-AA835*V836/AB835</x:f>
        <x:v>121.1192580045666</x:v>
      </x:c>
      <x:c r="AB836" s="10" t="n">
        <x:f>Y836+Z836+AA836</x:f>
        <x:v>838.8340366608213</x:v>
      </x:c>
      <x:c r="AC836" s="8" t="n">
        <x:f>IF(AND(v01_WinterTrigger=1,D836=1,AB835/AE835&gt;=K836),1,0)</x:f>
        <x:v>0</x:v>
      </x:c>
      <x:c r="AD836" s="8" t="n">
        <x:f>H836*IF(AND(OR(AB835/AE835&gt;=v01_FissionTrigger*N836,AC836=1),AB835/AE835*v01_DaughterShare&gt;=v01_MinDaughter),MAX(1,ROUND(AE835*v01_FissionRate,0)),0)</x:f>
        <x:v>0</x:v>
      </x:c>
      <x:c r="AE836" s="8" t="n">
        <x:f>IF(H836=1,MAX(1,MIN(INDEX(v01_Smax,G836),AE835+AD836)),AE835)</x:f>
        <x:v>9</x:v>
      </x:c>
      <x:c r="AF836" s="8" t="n">
        <x:f>MAX(0,AE836-AE835)</x:f>
        <x:v>0</x:v>
      </x:c>
      <x:c r="AG836" s="9" t="str">
        <x:f>IF(AF836&gt;0,B836,"")</x:f>
      </x:c>
      <x:c r="AH836" s="9" t="n">
        <x:f>IF(F836&gt;=1,1,(1+v01_LowTiesShare*(AE836-1))/AE836)</x:f>
        <x:v>1</x:v>
      </x:c>
      <x:c r="AI836" s="32" t="n">
        <x:f>(Z836+v01_ElderCommons*INDEX(LM_Elder,G836)*AA836)*AH836</x:f>
        <x:v>724.9411345054484</x:v>
      </x:c>
      <x:c r="AJ836" s="32" t="n">
        <x:f>H836*v01_CommonsCoef*AI836^v01_CommonsExp*INDEX(LM_Commons,G836)</x:f>
        <x:v>178.15633389616156</x:v>
      </x:c>
      <x:c r="AK836" s="32" t="n">
        <x:f>H836*v01_RoleScale*Arch_Roles*(AE836*(INDEX(v01_ElderRolePerSett,G836)*v01_OutElder*INDEX(LM_Elder,G836)+INDEX(v01_ShamanPerSett,G836)*v01_OutShaman)+Z836*(INDEX(v01_PriestShare,G836)*v01_OutPriest+INDEX(v01_ScribeShare,G836)*v01_OutScribe*INDEX(LM_Scribe,G836)+INDEX(v01_ScholarShare,G836)*v01_OutScholar*INDEX(LM_Scholar,G836)+INDEX(v01_ResearcherShare,G836)*v01_OutResearcher*INDEX(LM_Researcher,G836)))</x:f>
        <x:v>29.53108352344224</x:v>
      </x:c>
      <x:c r="AL836" s="32" t="n">
        <x:f>H836*v01_RoleScale*Arch_Roles*AE836*INDEX(v01_MonasteryPerSett,G836)*v01_OutMonastery*INDEX(LM_Monastery,G836)</x:f>
        <x:v>0</x:v>
      </x:c>
      <x:c r="AM836" s="32" t="n">
        <x:f>(AJ836+AK836+AL836)/4*INDEX(LM_All,G836)*INDEX(v01_Boon,G836)*Arch_Insight</x:f>
        <x:v>55.91415818740824</x:v>
      </x:c>
      <x:c r="AN836" s="32" t="n">
        <x:f>H836*(v01_KHPerAdult*Z836+v01_KHOfCommons*AJ836/4*INDEX(LM_All,G836))*v01_KHUsable*Arch_KH</x:f>
        <x:v>12.655417617211205</x:v>
      </x:c>
      <x:c r="AO836" s="32" t="n">
        <x:f>MIN(AP835+AN836,AM836*v01_KHMaxRatio)</x:f>
        <x:v>12.655417617211205</x:v>
      </x:c>
      <x:c r="AP836" s="32" t="n">
        <x:f>AP835+AN836-AO836</x:f>
        <x:v>0</x:v>
      </x:c>
      <x:c r="AQ836" s="32" t="n">
        <x:f>AM836+AO836</x:f>
        <x:v>68.56957580461945</x:v>
      </x:c>
      <x:c r="AR836" s="10" t="n">
        <x:f>IF(H836=1,INDEX(v01_Req,G836),0)</x:f>
        <x:v>9805.661999999998</x:v>
      </x:c>
      <x:c r="AS836" s="32" t="n">
        <x:f>IF(H836=1,IF(E836=1,AS835-AR835,AS835)+AQ836,0)</x:f>
        <x:v>5948.992516143556</x:v>
      </x:c>
      <x:c r="AT836" s="11" t="n">
        <x:f>IF(AR836&gt;0,MIN(1,AS836/AR836),1)</x:f>
        <x:v>0.6066895346936858</x:v>
      </x:c>
      <x:c r="AU836" s="10" t="n">
        <x:f>AB836/INDEX(v01_RepScale,G836)</x:f>
        <x:v>167.76680733216426</x:v>
      </x:c>
      <x:c r="AV836" s="32" t="n">
        <x:f>AM836*60/v01_SeasonSeconds</x:f>
        <x:v>223.65663274963296</x:v>
      </x:c>
    </x:row>
    <x:row r="837">
      <x:c r="A837" s="8" t="n">
        <x:f>A836+1</x:f>
        <x:v>834</x:v>
      </x:c>
      <x:c r="B837" s="9" t="n">
        <x:f>A837*v01_SeasonSeconds/60</x:f>
        <x:v>208.5</x:v>
      </x:c>
      <x:c r="C837" s="9" t="n">
        <x:f>A837/4</x:f>
        <x:v>208.5</x:v>
      </x:c>
      <x:c r="D837" s="8" t="n">
        <x:f>IF(MOD(A837,4)=0,1,0)</x:f>
        <x:v>0</x:v>
      </x:c>
      <x:c r="E837" s="8" t="n">
        <x:f>IF(AND(F836&lt;=9,AS836&gt;=AR836),1,0)</x:f>
        <x:v>0</x:v>
      </x:c>
      <x:c r="F837" s="8" t="n">
        <x:f>MIN(10,F836+E837)</x:f>
        <x:v>3</x:v>
      </x:c>
      <x:c r="G837" s="8" t="n">
        <x:f>MIN(F837,9)+1</x:f>
        <x:v>4</x:v>
      </x:c>
      <x:c r="H837" s="8" t="n">
        <x:f>IF(F837&lt;=9,1,0)</x:f>
        <x:v>1</x:v>
      </x:c>
      <x:c r="I837" s="9" t="n">
        <x:f>MIN(10,F836+IF(AR836&gt;0,MIN(1,AS836/AR836),1))</x:f>
        <x:v>3.606689534693686</x:v>
      </x:c>
      <x:c r="J837" s="32" t="n">
        <x:f>INDEX(v01_FoodCap,G837)*Arch_FoodCap*EXP(v01_CapsByProject*SUMPRODUCT((Cap_Point&lt;=I837)*(Cap_Kind="Food")*Cap_Ln))</x:f>
        <x:v>120</x:v>
      </x:c>
      <x:c r="K837" s="32" t="n">
        <x:f>J837*MIN(1,v01_LeanBase*EXP(v01_CapsByProject*SUMPRODUCT((Cap_Point&lt;=I837)*(Cap_Kind="Lean")*Cap_Ln)))</x:f>
        <x:v>120</x:v>
      </x:c>
      <x:c r="L837" s="10" t="n">
        <x:f>INDEX(v01_HousingCap,G837)*EXP(v01_CapsByProject*SUMPRODUCT((Cap_Point&lt;=I837)*(Cap_Kind="Housing")*Cap_Ln))</x:f>
        <x:v>200</x:v>
      </x:c>
      <x:c r="M837" s="10" t="n">
        <x:f>INDEX(v01_GroupCap,G837)*v01_CohesionFactor*EXP(v01_CapsByProject*SUMPRODUCT((Cap_Point&lt;=I837)*(Cap_Kind="Group")*Cap_Ln))</x:f>
        <x:v>5000</x:v>
      </x:c>
      <x:c r="N837" s="32" t="n">
        <x:f>MIN(J837,L837,M837)</x:f>
        <x:v>120</x:v>
      </x:c>
      <x:c r="O837" s="10" t="n">
        <x:f>AE836*N837</x:f>
        <x:v>1080</x:v>
      </x:c>
      <x:c r="P837" s="9" t="n">
        <x:f>MIN(1,(AB836/(AE836*IF(v01_GroupInCrowding=1,N837,MIN(J837,L837))))^v01_CrowdingExp)</x:f>
        <x:v>0.219540036455943</x:v>
      </x:c>
      <x:c r="Q837" s="9" t="n">
        <x:f>IF(D837=1,INDEX(v01_WinterMult,G837),1)</x:f>
        <x:v>1</x:v>
      </x:c>
      <x:c r="R837" s="9" t="n">
        <x:f>H837*Z836*v01_WomenShare*v01_BaseFertility*INDEX(v01_FertMult,G837)*Arch_Fertility*(1-P837)</x:f>
        <x:v>11.005852117553586</x:v>
      </x:c>
      <x:c r="S837" s="9" t="n">
        <x:f>H837*Y836*INDEX(v01_MortChild,G837)/4*Q837</x:f>
        <x:v>2.670985636233795</x:v>
      </x:c>
      <x:c r="T837" s="9" t="n">
        <x:f>H837*Z836*INDEX(v01_MortAdult,G837)*Arch_AdultMort/4*Q837</x:f>
        <x:v>0.9943542413523089</x:v>
      </x:c>
      <x:c r="U837" s="9" t="n">
        <x:f>H837*AA836*INDEX(v01_MortElder,G837)/4*Q837</x:f>
        <x:v>1.9681879425742075</x:v>
      </x:c>
      <x:c r="V837" s="9" t="n">
        <x:f>H837*MAX(0,AB836-O837)*v01_OvercapLoss</x:f>
        <x:v>0</x:v>
      </x:c>
      <x:c r="W837" s="9" t="n">
        <x:f>H837*Y836/(v01_ChildYears*4)</x:f>
        <x:v>6.359489610080464</x:v>
      </x:c>
      <x:c r="X837" s="9" t="n">
        <x:f>H837*Z836/(v01_AdultYears*4)</x:f>
        <x:v>2.9159948426753926</x:v>
      </x:c>
      <x:c r="Y837" s="32" t="n">
        <x:f>Y836+R837-S837-W837-Y836*V837/AB836</x:f>
        <x:v>358.1067950357453</x:v>
      </x:c>
      <x:c r="Z837" s="32" t="n">
        <x:f>Z836+W837-X837-T837-Z836*V837/AB836</x:f>
        <x:v>364.03250101780145</x:v>
      </x:c>
      <x:c r="AA837" s="32" t="n">
        <x:f>AA836+X837-U837-AA836*V837/AB836</x:f>
        <x:v>122.06706490466779</x:v>
      </x:c>
      <x:c r="AB837" s="10" t="n">
        <x:f>Y837+Z837+AA837</x:f>
        <x:v>844.2063609582145</x:v>
      </x:c>
      <x:c r="AC837" s="8" t="n">
        <x:f>IF(AND(v01_WinterTrigger=1,D837=1,AB836/AE836&gt;=K837),1,0)</x:f>
        <x:v>0</x:v>
      </x:c>
      <x:c r="AD837" s="8" t="n">
        <x:f>H837*IF(AND(OR(AB836/AE836&gt;=v01_FissionTrigger*N837,AC837=1),AB836/AE836*v01_DaughterShare&gt;=v01_MinDaughter),MAX(1,ROUND(AE836*v01_FissionRate,0)),0)</x:f>
        <x:v>0</x:v>
      </x:c>
      <x:c r="AE837" s="8" t="n">
        <x:f>IF(H837=1,MAX(1,MIN(INDEX(v01_Smax,G837),AE836+AD837)),AE836)</x:f>
        <x:v>9</x:v>
      </x:c>
      <x:c r="AF837" s="8" t="n">
        <x:f>MAX(0,AE837-AE836)</x:f>
        <x:v>0</x:v>
      </x:c>
      <x:c r="AG837" s="9" t="str">
        <x:f>IF(AF837&gt;0,B837,"")</x:f>
      </x:c>
      <x:c r="AH837" s="9" t="n">
        <x:f>IF(F837&gt;=1,1,(1+v01_LowTiesShare*(AE837-1))/AE837)</x:f>
        <x:v>1</x:v>
      </x:c>
      <x:c r="AI837" s="32" t="n">
        <x:f>(Z837+v01_ElderCommons*INDEX(LM_Elder,G837)*AA837)*AH837</x:f>
        <x:v>730.2336957318048</x:v>
      </x:c>
      <x:c r="AJ837" s="32" t="n">
        <x:f>H837*v01_CommonsCoef*AI837^v01_CommonsExp*INDEX(LM_Commons,G837)</x:f>
        <x:v>179.2612928371655</x:v>
      </x:c>
      <x:c r="AK837" s="32" t="n">
        <x:f>H837*v01_RoleScale*Arch_Roles*(AE837*(INDEX(v01_ElderRolePerSett,G837)*v01_OutElder*INDEX(LM_Elder,G837)+INDEX(v01_ShamanPerSett,G837)*v01_OutShaman)+Z837*(INDEX(v01_PriestShare,G837)*v01_OutPriest+INDEX(v01_ScribeShare,G837)*v01_OutScribe*INDEX(LM_Scribe,G837)+INDEX(v01_ScholarShare,G837)*v01_OutScholar*INDEX(LM_Scholar,G837)+INDEX(v01_ResearcherShare,G837)*v01_OutResearcher*INDEX(LM_Researcher,G837)))</x:f>
        <x:v>29.54822750712461</x:v>
      </x:c>
      <x:c r="AL837" s="32" t="n">
        <x:f>H837*v01_RoleScale*Arch_Roles*AE837*INDEX(v01_MonasteryPerSett,G837)*v01_OutMonastery*INDEX(LM_Monastery,G837)</x:f>
        <x:v>0</x:v>
      </x:c>
      <x:c r="AM837" s="32" t="n">
        <x:f>(AJ837+AK837+AL837)/4*INDEX(LM_All,G837)*INDEX(v01_Boon,G837)*Arch_Insight</x:f>
        <x:v>56.21625371737818</x:v>
      </x:c>
      <x:c r="AN837" s="32" t="n">
        <x:f>H837*(v01_KHPerAdult*Z837+v01_KHOfCommons*AJ837/4*INDEX(LM_All,G837))*v01_KHUsable*Arch_KH</x:f>
        <x:v>12.74113753562305</x:v>
      </x:c>
      <x:c r="AO837" s="32" t="n">
        <x:f>MIN(AP836+AN837,AM837*v01_KHMaxRatio)</x:f>
        <x:v>12.74113753562305</x:v>
      </x:c>
      <x:c r="AP837" s="32" t="n">
        <x:f>AP836+AN837-AO837</x:f>
        <x:v>0</x:v>
      </x:c>
      <x:c r="AQ837" s="32" t="n">
        <x:f>AM837+AO837</x:f>
        <x:v>68.95739125300123</x:v>
      </x:c>
      <x:c r="AR837" s="10" t="n">
        <x:f>IF(H837=1,INDEX(v01_Req,G837),0)</x:f>
        <x:v>9805.661999999998</x:v>
      </x:c>
      <x:c r="AS837" s="32" t="n">
        <x:f>IF(H837=1,IF(E837=1,AS836-AR836,AS836)+AQ837,0)</x:f>
        <x:v>6017.949907396557</x:v>
      </x:c>
      <x:c r="AT837" s="11" t="n">
        <x:f>IF(AR837&gt;0,MIN(1,AS837/AR837),1)</x:f>
        <x:v>0.6137219401807403</x:v>
      </x:c>
      <x:c r="AU837" s="10" t="n">
        <x:f>AB837/INDEX(v01_RepScale,G837)</x:f>
        <x:v>168.8412721916429</x:v>
      </x:c>
      <x:c r="AV837" s="32" t="n">
        <x:f>AM837*60/v01_SeasonSeconds</x:f>
        <x:v>224.86501486951272</x:v>
      </x:c>
    </x:row>
    <x:row r="838">
      <x:c r="A838" s="8" t="n">
        <x:f>A837+1</x:f>
        <x:v>835</x:v>
      </x:c>
      <x:c r="B838" s="9" t="n">
        <x:f>A838*v01_SeasonSeconds/60</x:f>
        <x:v>208.75</x:v>
      </x:c>
      <x:c r="C838" s="9" t="n">
        <x:f>A838/4</x:f>
        <x:v>208.75</x:v>
      </x:c>
      <x:c r="D838" s="8" t="n">
        <x:f>IF(MOD(A838,4)=0,1,0)</x:f>
        <x:v>0</x:v>
      </x:c>
      <x:c r="E838" s="8" t="n">
        <x:f>IF(AND(F837&lt;=9,AS837&gt;=AR837),1,0)</x:f>
        <x:v>0</x:v>
      </x:c>
      <x:c r="F838" s="8" t="n">
        <x:f>MIN(10,F837+E838)</x:f>
        <x:v>3</x:v>
      </x:c>
      <x:c r="G838" s="8" t="n">
        <x:f>MIN(F838,9)+1</x:f>
        <x:v>4</x:v>
      </x:c>
      <x:c r="H838" s="8" t="n">
        <x:f>IF(F838&lt;=9,1,0)</x:f>
        <x:v>1</x:v>
      </x:c>
      <x:c r="I838" s="9" t="n">
        <x:f>MIN(10,F837+IF(AR837&gt;0,MIN(1,AS837/AR837),1))</x:f>
        <x:v>3.6137219401807403</x:v>
      </x:c>
      <x:c r="J838" s="32" t="n">
        <x:f>INDEX(v01_FoodCap,G838)*Arch_FoodCap*EXP(v01_CapsByProject*SUMPRODUCT((Cap_Point&lt;=I838)*(Cap_Kind="Food")*Cap_Ln))</x:f>
        <x:v>120</x:v>
      </x:c>
      <x:c r="K838" s="32" t="n">
        <x:f>J838*MIN(1,v01_LeanBase*EXP(v01_CapsByProject*SUMPRODUCT((Cap_Point&lt;=I838)*(Cap_Kind="Lean")*Cap_Ln)))</x:f>
        <x:v>120</x:v>
      </x:c>
      <x:c r="L838" s="10" t="n">
        <x:f>INDEX(v01_HousingCap,G838)*EXP(v01_CapsByProject*SUMPRODUCT((Cap_Point&lt;=I838)*(Cap_Kind="Housing")*Cap_Ln))</x:f>
        <x:v>200</x:v>
      </x:c>
      <x:c r="M838" s="10" t="n">
        <x:f>INDEX(v01_GroupCap,G838)*v01_CohesionFactor*EXP(v01_CapsByProject*SUMPRODUCT((Cap_Point&lt;=I838)*(Cap_Kind="Group")*Cap_Ln))</x:f>
        <x:v>5000</x:v>
      </x:c>
      <x:c r="N838" s="32" t="n">
        <x:f>MIN(J838,L838,M838)</x:f>
        <x:v>120</x:v>
      </x:c>
      <x:c r="O838" s="10" t="n">
        <x:f>AE837*N838</x:f>
        <x:v>1080</x:v>
      </x:c>
      <x:c r="P838" s="9" t="n">
        <x:f>MIN(1,(AB837/(AE837*IF(v01_GroupInCrowding=1,N838,MIN(J838,L838))))^v01_CrowdingExp)</x:f>
        <x:v>0.22811255457515833</x:v>
      </x:c>
      <x:c r="Q838" s="9" t="n">
        <x:f>IF(D838=1,INDEX(v01_WinterMult,G838),1)</x:f>
        <x:v>1</x:v>
      </x:c>
      <x:c r="R838" s="9" t="n">
        <x:f>H838*Z837*v01_WomenShare*v01_BaseFertility*INDEX(v01_FertMult,G838)*Arch_Fertility*(1-P838)</x:f>
        <x:v>10.958692573227626</x:v>
      </x:c>
      <x:c r="S838" s="9" t="n">
        <x:f>H838*Y837*INDEX(v01_MortChild,G838)/4*Q838</x:f>
        <x:v>2.6858009627680897</x:v>
      </x:c>
      <x:c r="T838" s="9" t="n">
        <x:f>H838*Z837*INDEX(v01_MortAdult,G838)*Arch_AdultMort/4*Q838</x:f>
        <x:v>1.001089377798954</x:v>
      </x:c>
      <x:c r="U838" s="9" t="n">
        <x:f>H838*AA837*INDEX(v01_MortElder,G838)/4*Q838</x:f>
        <x:v>1.9835898047008516</x:v>
      </x:c>
      <x:c r="V838" s="9" t="n">
        <x:f>H838*MAX(0,AB837-O838)*v01_OvercapLoss</x:f>
        <x:v>0</x:v>
      </x:c>
      <x:c r="W838" s="9" t="n">
        <x:f>H838*Y837/(v01_ChildYears*4)</x:f>
        <x:v>6.39476419706688</x:v>
      </x:c>
      <x:c r="X838" s="9" t="n">
        <x:f>H838*Z837/(v01_AdultYears*4)</x:f>
        <x:v>2.9357459759500117</x:v>
      </x:c>
      <x:c r="Y838" s="32" t="n">
        <x:f>Y837+R838-S838-W838-Y837*V838/AB837</x:f>
        <x:v>359.9849224491379</x:v>
      </x:c>
      <x:c r="Z838" s="32" t="n">
        <x:f>Z837+W838-X838-T838-Z837*V838/AB837</x:f>
        <x:v>366.49042986111937</x:v>
      </x:c>
      <x:c r="AA838" s="32" t="n">
        <x:f>AA837+X838-U838-AA837*V838/AB837</x:f>
        <x:v>123.01922107591695</x:v>
      </x:c>
      <x:c r="AB838" s="10" t="n">
        <x:f>Y838+Z838+AA838</x:f>
        <x:v>849.4945733861741</x:v>
      </x:c>
      <x:c r="AC838" s="8" t="n">
        <x:f>IF(AND(v01_WinterTrigger=1,D838=1,AB837/AE837&gt;=K838),1,0)</x:f>
        <x:v>0</x:v>
      </x:c>
      <x:c r="AD838" s="8" t="n">
        <x:f>H838*IF(AND(OR(AB837/AE837&gt;=v01_FissionTrigger*N838,AC838=1),AB837/AE837*v01_DaughterShare&gt;=v01_MinDaughter),MAX(1,ROUND(AE837*v01_FissionRate,0)),0)</x:f>
        <x:v>0</x:v>
      </x:c>
      <x:c r="AE838" s="8" t="n">
        <x:f>IF(H838=1,MAX(1,MIN(INDEX(v01_Smax,G838),AE837+AD838)),AE837)</x:f>
        <x:v>9</x:v>
      </x:c>
      <x:c r="AF838" s="8" t="n">
        <x:f>MAX(0,AE838-AE837)</x:f>
        <x:v>0</x:v>
      </x:c>
      <x:c r="AG838" s="9" t="str">
        <x:f>IF(AF838&gt;0,B838,"")</x:f>
      </x:c>
      <x:c r="AH838" s="9" t="n">
        <x:f>IF(F838&gt;=1,1,(1+v01_LowTiesShare*(AE838-1))/AE838)</x:f>
        <x:v>1</x:v>
      </x:c>
      <x:c r="AI838" s="32" t="n">
        <x:f>(Z838+v01_ElderCommons*INDEX(LM_Elder,G838)*AA838)*AH838</x:f>
        <x:v>735.5480930888702</x:v>
      </x:c>
      <x:c r="AJ838" s="32" t="n">
        <x:f>H838*v01_CommonsCoef*AI838^v01_CommonsExp*INDEX(LM_Commons,G838)</x:f>
        <x:v>180.36960257728362</x:v>
      </x:c>
      <x:c r="AK838" s="32" t="n">
        <x:f>H838*v01_RoleScale*Arch_Roles*(AE838*(INDEX(v01_ElderRolePerSett,G838)*v01_OutElder*INDEX(LM_Elder,G838)+INDEX(v01_ShamanPerSett,G838)*v01_OutShaman)+Z838*(INDEX(v01_PriestShare,G838)*v01_OutPriest+INDEX(v01_ScribeShare,G838)*v01_OutScribe*INDEX(LM_Scribe,G838)+INDEX(v01_ScholarShare,G838)*v01_OutScholar*INDEX(LM_Scholar,G838)+INDEX(v01_ResearcherShare,G838)*v01_OutResearcher*INDEX(LM_Researcher,G838)))</x:f>
        <x:v>29.565433009027835</x:v>
      </x:c>
      <x:c r="AL838" s="32" t="n">
        <x:f>H838*v01_RoleScale*Arch_Roles*AE838*INDEX(v01_MonasteryPerSett,G838)*v01_OutMonastery*INDEX(LM_Monastery,G838)</x:f>
        <x:v>0</x:v>
      </x:c>
      <x:c r="AM838" s="32" t="n">
        <x:f>(AJ838+AK838+AL838)/4*INDEX(LM_All,G838)*INDEX(v01_Boon,G838)*Arch_Insight</x:f>
        <x:v>56.51926792048503</x:v>
      </x:c>
      <x:c r="AN838" s="32" t="n">
        <x:f>H838*(v01_KHPerAdult*Z838+v01_KHOfCommons*AJ838/4*INDEX(LM_All,G838))*v01_KHUsable*Arch_KH</x:f>
        <x:v>12.827165045139177</x:v>
      </x:c>
      <x:c r="AO838" s="32" t="n">
        <x:f>MIN(AP837+AN838,AM838*v01_KHMaxRatio)</x:f>
        <x:v>12.827165045139177</x:v>
      </x:c>
      <x:c r="AP838" s="32" t="n">
        <x:f>AP837+AN838-AO838</x:f>
        <x:v>0</x:v>
      </x:c>
      <x:c r="AQ838" s="32" t="n">
        <x:f>AM838+AO838</x:f>
        <x:v>69.3464329656242</x:v>
      </x:c>
      <x:c r="AR838" s="10" t="n">
        <x:f>IF(H838=1,INDEX(v01_Req,G838),0)</x:f>
        <x:v>9805.661999999998</x:v>
      </x:c>
      <x:c r="AS838" s="32" t="n">
        <x:f>IF(H838=1,IF(E838=1,AS837-AR837,AS837)+AQ838,0)</x:f>
        <x:v>6087.296340362182</x:v>
      </x:c>
      <x:c r="AT838" s="11" t="n">
        <x:f>IF(AR838&gt;0,MIN(1,AS838/AR838),1)</x:f>
        <x:v>0.6207940208791801</x:v>
      </x:c>
      <x:c r="AU838" s="10" t="n">
        <x:f>AB838/INDEX(v01_RepScale,G838)</x:f>
        <x:v>169.8989146772348</x:v>
      </x:c>
      <x:c r="AV838" s="32" t="n">
        <x:f>AM838*60/v01_SeasonSeconds</x:f>
        <x:v>226.0770716819401</x:v>
      </x:c>
    </x:row>
    <x:row r="839">
      <x:c r="A839" s="8" t="n">
        <x:f>A838+1</x:f>
        <x:v>836</x:v>
      </x:c>
      <x:c r="B839" s="9" t="n">
        <x:f>A839*v01_SeasonSeconds/60</x:f>
        <x:v>209</x:v>
      </x:c>
      <x:c r="C839" s="9" t="n">
        <x:f>A839/4</x:f>
        <x:v>209</x:v>
      </x:c>
      <x:c r="D839" s="8" t="n">
        <x:f>IF(MOD(A839,4)=0,1,0)</x:f>
        <x:v>1</x:v>
      </x:c>
      <x:c r="E839" s="8" t="n">
        <x:f>IF(AND(F838&lt;=9,AS838&gt;=AR838),1,0)</x:f>
        <x:v>0</x:v>
      </x:c>
      <x:c r="F839" s="8" t="n">
        <x:f>MIN(10,F838+E839)</x:f>
        <x:v>3</x:v>
      </x:c>
      <x:c r="G839" s="8" t="n">
        <x:f>MIN(F839,9)+1</x:f>
        <x:v>4</x:v>
      </x:c>
      <x:c r="H839" s="8" t="n">
        <x:f>IF(F839&lt;=9,1,0)</x:f>
        <x:v>1</x:v>
      </x:c>
      <x:c r="I839" s="9" t="n">
        <x:f>MIN(10,F838+IF(AR838&gt;0,MIN(1,AS838/AR838),1))</x:f>
        <x:v>3.6207940208791802</x:v>
      </x:c>
      <x:c r="J839" s="32" t="n">
        <x:f>INDEX(v01_FoodCap,G839)*Arch_FoodCap*EXP(v01_CapsByProject*SUMPRODUCT((Cap_Point&lt;=I839)*(Cap_Kind="Food")*Cap_Ln))</x:f>
        <x:v>120</x:v>
      </x:c>
      <x:c r="K839" s="32" t="n">
        <x:f>J839*MIN(1,v01_LeanBase*EXP(v01_CapsByProject*SUMPRODUCT((Cap_Point&lt;=I839)*(Cap_Kind="Lean")*Cap_Ln)))</x:f>
        <x:v>120</x:v>
      </x:c>
      <x:c r="L839" s="10" t="n">
        <x:f>INDEX(v01_HousingCap,G839)*EXP(v01_CapsByProject*SUMPRODUCT((Cap_Point&lt;=I839)*(Cap_Kind="Housing")*Cap_Ln))</x:f>
        <x:v>200</x:v>
      </x:c>
      <x:c r="M839" s="10" t="n">
        <x:f>INDEX(v01_GroupCap,G839)*v01_CohesionFactor*EXP(v01_CapsByProject*SUMPRODUCT((Cap_Point&lt;=I839)*(Cap_Kind="Group")*Cap_Ln))</x:f>
        <x:v>5000</x:v>
      </x:c>
      <x:c r="N839" s="32" t="n">
        <x:f>MIN(J839,L839,M839)</x:f>
        <x:v>120</x:v>
      </x:c>
      <x:c r="O839" s="10" t="n">
        <x:f>AE838*N839</x:f>
        <x:v>1080</x:v>
      </x:c>
      <x:c r="P839" s="9" t="n">
        <x:f>MIN(1,(AB838/(AE838*IF(v01_GroupInCrowding=1,N839,MIN(J839,L839))))^v01_CrowdingExp)</x:f>
        <x:v>0.2368214962012694</x:v>
      </x:c>
      <x:c r="Q839" s="9" t="n">
        <x:f>IF(D839=1,INDEX(v01_WinterMult,G839),1)</x:f>
        <x:v>1.15</x:v>
      </x:c>
      <x:c r="R839" s="9" t="n">
        <x:f>H839*Z838*v01_WomenShare*v01_BaseFertility*INDEX(v01_FertMult,G839)*Arch_Fertility*(1-P839)</x:f>
        <x:v>10.908207098800546</x:v>
      </x:c>
      <x:c r="S839" s="9" t="n">
        <x:f>H839*Y838*INDEX(v01_MortChild,G839)/4*Q839</x:f>
        <x:v>3.1048699561238142</x:v>
      </x:c>
      <x:c r="T839" s="9" t="n">
        <x:f>H839*Z838*INDEX(v01_MortAdult,G839)*Arch_AdultMort/4*Q839</x:f>
        <x:v>1.1590259844357897</x:v>
      </x:c>
      <x:c r="U839" s="9" t="n">
        <x:f>H839*AA838*INDEX(v01_MortElder,G839)/4*Q839</x:f>
        <x:v>2.298921693856198</x:v>
      </x:c>
      <x:c r="V839" s="9" t="n">
        <x:f>H839*MAX(0,AB838-O839)*v01_OvercapLoss</x:f>
        <x:v>0</x:v>
      </x:c>
      <x:c r="W839" s="9" t="n">
        <x:f>H839*Y838/(v01_ChildYears*4)</x:f>
        <x:v>6.428302186591749</x:v>
      </x:c>
      <x:c r="X839" s="9" t="n">
        <x:f>H839*Z838/(v01_AdultYears*4)</x:f>
        <x:v>2.9555679827509627</x:v>
      </x:c>
      <x:c r="Y839" s="32" t="n">
        <x:f>Y838+R839-S839-W839-Y838*V839/AB838</x:f>
        <x:v>361.3599574052229</x:v>
      </x:c>
      <x:c r="Z839" s="32" t="n">
        <x:f>Z838+W839-X839-T839-Z838*V839/AB838</x:f>
        <x:v>368.80413808052435</x:v>
      </x:c>
      <x:c r="AA839" s="32" t="n">
        <x:f>AA838+X839-U839-AA838*V839/AB838</x:f>
        <x:v>123.67586736481171</x:v>
      </x:c>
      <x:c r="AB839" s="10" t="n">
        <x:f>Y839+Z839+AA839</x:f>
        <x:v>853.8399628505589</x:v>
      </x:c>
      <x:c r="AC839" s="8" t="n">
        <x:f>IF(AND(v01_WinterTrigger=1,D839=1,AB838/AE838&gt;=K839),1,0)</x:f>
        <x:v>0</x:v>
      </x:c>
      <x:c r="AD839" s="8" t="n">
        <x:f>H839*IF(AND(OR(AB838/AE838&gt;=v01_FissionTrigger*N839,AC839=1),AB838/AE838*v01_DaughterShare&gt;=v01_MinDaughter),MAX(1,ROUND(AE838*v01_FissionRate,0)),0)</x:f>
        <x:v>0</x:v>
      </x:c>
      <x:c r="AE839" s="8" t="n">
        <x:f>IF(H839=1,MAX(1,MIN(INDEX(v01_Smax,G839),AE838+AD839)),AE838)</x:f>
        <x:v>9</x:v>
      </x:c>
      <x:c r="AF839" s="8" t="n">
        <x:f>MAX(0,AE839-AE838)</x:f>
        <x:v>0</x:v>
      </x:c>
      <x:c r="AG839" s="9" t="str">
        <x:f>IF(AF839&gt;0,B839,"")</x:f>
      </x:c>
      <x:c r="AH839" s="9" t="n">
        <x:f>IF(F839&gt;=1,1,(1+v01_LowTiesShare*(AE839-1))/AE839)</x:f>
        <x:v>1</x:v>
      </x:c>
      <x:c r="AI839" s="32" t="n">
        <x:f>(Z839+v01_ElderCommons*INDEX(LM_Elder,G839)*AA839)*AH839</x:f>
        <x:v>739.8317401749595</x:v>
      </x:c>
      <x:c r="AJ839" s="32" t="n">
        <x:f>H839*v01_CommonsCoef*AI839^v01_CommonsExp*INDEX(LM_Commons,G839)</x:f>
        <x:v>181.26207657781444</x:v>
      </x:c>
      <x:c r="AK839" s="32" t="n">
        <x:f>H839*v01_RoleScale*Arch_Roles*(AE839*(INDEX(v01_ElderRolePerSett,G839)*v01_OutElder*INDEX(LM_Elder,G839)+INDEX(v01_ShamanPerSett,G839)*v01_OutShaman)+Z839*(INDEX(v01_PriestShare,G839)*v01_OutPriest+INDEX(v01_ScribeShare,G839)*v01_OutScribe*INDEX(LM_Scribe,G839)+INDEX(v01_ScholarShare,G839)*v01_OutScholar*INDEX(LM_Scholar,G839)+INDEX(v01_ResearcherShare,G839)*v01_OutResearcher*INDEX(LM_Researcher,G839)))</x:f>
        <x:v>29.58162896656367</x:v>
      </x:c>
      <x:c r="AL839" s="32" t="n">
        <x:f>H839*v01_RoleScale*Arch_Roles*AE839*INDEX(v01_MonasteryPerSett,G839)*v01_OutMonastery*INDEX(LM_Monastery,G839)</x:f>
        <x:v>0</x:v>
      </x:c>
      <x:c r="AM839" s="32" t="n">
        <x:f>(AJ839+AK839+AL839)/4*INDEX(LM_All,G839)*INDEX(v01_Boon,G839)*Arch_Insight</x:f>
        <x:v>56.76390246025031</x:v>
      </x:c>
      <x:c r="AN839" s="32" t="n">
        <x:f>H839*(v01_KHPerAdult*Z839+v01_KHOfCommons*AJ839/4*INDEX(LM_All,G839))*v01_KHUsable*Arch_KH</x:f>
        <x:v>12.908144832818353</x:v>
      </x:c>
      <x:c r="AO839" s="32" t="n">
        <x:f>MIN(AP838+AN839,AM839*v01_KHMaxRatio)</x:f>
        <x:v>12.908144832818353</x:v>
      </x:c>
      <x:c r="AP839" s="32" t="n">
        <x:f>AP838+AN839-AO839</x:f>
        <x:v>0</x:v>
      </x:c>
      <x:c r="AQ839" s="32" t="n">
        <x:f>AM839+AO839</x:f>
        <x:v>69.67204729306866</x:v>
      </x:c>
      <x:c r="AR839" s="10" t="n">
        <x:f>IF(H839=1,INDEX(v01_Req,G839),0)</x:f>
        <x:v>9805.661999999998</x:v>
      </x:c>
      <x:c r="AS839" s="32" t="n">
        <x:f>IF(H839=1,IF(E839=1,AS838-AR838,AS838)+AQ839,0)</x:f>
        <x:v>6156.96838765525</x:v>
      </x:c>
      <x:c r="AT839" s="11" t="n">
        <x:f>IF(AR839&gt;0,MIN(1,AS839/AR839),1)</x:f>
        <x:v>0.6278993083440211</x:v>
      </x:c>
      <x:c r="AU839" s="10" t="n">
        <x:f>AB839/INDEX(v01_RepScale,G839)</x:f>
        <x:v>170.76799257011177</x:v>
      </x:c>
      <x:c r="AV839" s="32" t="n">
        <x:f>AM839*60/v01_SeasonSeconds</x:f>
        <x:v>227.05560984100123</x:v>
      </x:c>
    </x:row>
    <x:row r="840">
      <x:c r="A840" s="8" t="n">
        <x:f>A839+1</x:f>
        <x:v>837</x:v>
      </x:c>
      <x:c r="B840" s="9" t="n">
        <x:f>A840*v01_SeasonSeconds/60</x:f>
        <x:v>209.25</x:v>
      </x:c>
      <x:c r="C840" s="9" t="n">
        <x:f>A840/4</x:f>
        <x:v>209.25</x:v>
      </x:c>
      <x:c r="D840" s="8" t="n">
        <x:f>IF(MOD(A840,4)=0,1,0)</x:f>
        <x:v>0</x:v>
      </x:c>
      <x:c r="E840" s="8" t="n">
        <x:f>IF(AND(F839&lt;=9,AS839&gt;=AR839),1,0)</x:f>
        <x:v>0</x:v>
      </x:c>
      <x:c r="F840" s="8" t="n">
        <x:f>MIN(10,F839+E840)</x:f>
        <x:v>3</x:v>
      </x:c>
      <x:c r="G840" s="8" t="n">
        <x:f>MIN(F840,9)+1</x:f>
        <x:v>4</x:v>
      </x:c>
      <x:c r="H840" s="8" t="n">
        <x:f>IF(F840&lt;=9,1,0)</x:f>
        <x:v>1</x:v>
      </x:c>
      <x:c r="I840" s="9" t="n">
        <x:f>MIN(10,F839+IF(AR839&gt;0,MIN(1,AS839/AR839),1))</x:f>
        <x:v>3.627899308344021</x:v>
      </x:c>
      <x:c r="J840" s="32" t="n">
        <x:f>INDEX(v01_FoodCap,G840)*Arch_FoodCap*EXP(v01_CapsByProject*SUMPRODUCT((Cap_Point&lt;=I840)*(Cap_Kind="Food")*Cap_Ln))</x:f>
        <x:v>120</x:v>
      </x:c>
      <x:c r="K840" s="32" t="n">
        <x:f>J840*MIN(1,v01_LeanBase*EXP(v01_CapsByProject*SUMPRODUCT((Cap_Point&lt;=I840)*(Cap_Kind="Lean")*Cap_Ln)))</x:f>
        <x:v>120</x:v>
      </x:c>
      <x:c r="L840" s="10" t="n">
        <x:f>INDEX(v01_HousingCap,G840)*EXP(v01_CapsByProject*SUMPRODUCT((Cap_Point&lt;=I840)*(Cap_Kind="Housing")*Cap_Ln))</x:f>
        <x:v>200</x:v>
      </x:c>
      <x:c r="M840" s="10" t="n">
        <x:f>INDEX(v01_GroupCap,G840)*v01_CohesionFactor*EXP(v01_CapsByProject*SUMPRODUCT((Cap_Point&lt;=I840)*(Cap_Kind="Group")*Cap_Ln))</x:f>
        <x:v>5000</x:v>
      </x:c>
      <x:c r="N840" s="32" t="n">
        <x:f>MIN(J840,L840,M840)</x:f>
        <x:v>120</x:v>
      </x:c>
      <x:c r="O840" s="10" t="n">
        <x:f>AE839*N840</x:f>
        <x:v>1080</x:v>
      </x:c>
      <x:c r="P840" s="9" t="n">
        <x:f>MIN(1,(AB839/(AE839*IF(v01_GroupInCrowding=1,N840,MIN(J840,L840))))^v01_CrowdingExp)</x:f>
        <x:v>0.24418351001849314</x:v>
      </x:c>
      <x:c r="Q840" s="9" t="n">
        <x:f>IF(D840=1,INDEX(v01_WinterMult,G840),1)</x:f>
        <x:v>1</x:v>
      </x:c>
      <x:c r="R840" s="9" t="n">
        <x:f>H840*Z839*v01_WomenShare*v01_BaseFertility*INDEX(v01_FertMult,G840)*Arch_Fertility*(1-P840)</x:f>
        <x:v>10.8711817162524</x:v>
      </x:c>
      <x:c r="S840" s="9" t="n">
        <x:f>H840*Y839*INDEX(v01_MortChild,G840)/4*Q840</x:f>
        <x:v>2.7101996805391715</x:v>
      </x:c>
      <x:c r="T840" s="9" t="n">
        <x:f>H840*Z839*INDEX(v01_MortAdult,G840)*Arch_AdultMort/4*Q840</x:f>
        <x:v>1.0142113797214418</x:v>
      </x:c>
      <x:c r="U840" s="9" t="n">
        <x:f>H840*AA839*INDEX(v01_MortElder,G840)/4*Q840</x:f>
        <x:v>2.00973284467819</x:v>
      </x:c>
      <x:c r="V840" s="9" t="n">
        <x:f>H840*MAX(0,AB839-O840)*v01_OvercapLoss</x:f>
        <x:v>0</x:v>
      </x:c>
      <x:c r="W840" s="9" t="n">
        <x:f>H840*Y839/(v01_ChildYears*4)</x:f>
        <x:v>6.4528563822361225</x:v>
      </x:c>
      <x:c r="X840" s="9" t="n">
        <x:f>H840*Z839/(v01_AdultYears*4)</x:f>
        <x:v>2.9742269200042286</x:v>
      </x:c>
      <x:c r="Y840" s="32" t="n">
        <x:f>Y839+R840-S840-W840-Y839*V840/AB839</x:f>
        <x:v>363.0680830587</x:v>
      </x:c>
      <x:c r="Z840" s="32" t="n">
        <x:f>Z839+W840-X840-T840-Z839*V840/AB839</x:f>
        <x:v>371.2685561630348</x:v>
      </x:c>
      <x:c r="AA840" s="32" t="n">
        <x:f>AA839+X840-U840-AA839*V840/AB839</x:f>
        <x:v>124.64036144013775</x:v>
      </x:c>
      <x:c r="AB840" s="10" t="n">
        <x:f>Y840+Z840+AA840</x:f>
        <x:v>858.9770006618726</x:v>
      </x:c>
      <x:c r="AC840" s="8" t="n">
        <x:f>IF(AND(v01_WinterTrigger=1,D840=1,AB839/AE839&gt;=K840),1,0)</x:f>
        <x:v>0</x:v>
      </x:c>
      <x:c r="AD840" s="8" t="n">
        <x:f>H840*IF(AND(OR(AB839/AE839&gt;=v01_FissionTrigger*N840,AC840=1),AB839/AE839*v01_DaughterShare&gt;=v01_MinDaughter),MAX(1,ROUND(AE839*v01_FissionRate,0)),0)</x:f>
        <x:v>0</x:v>
      </x:c>
      <x:c r="AE840" s="8" t="n">
        <x:f>IF(H840=1,MAX(1,MIN(INDEX(v01_Smax,G840),AE839+AD840)),AE839)</x:f>
        <x:v>9</x:v>
      </x:c>
      <x:c r="AF840" s="8" t="n">
        <x:f>MAX(0,AE840-AE839)</x:f>
        <x:v>0</x:v>
      </x:c>
      <x:c r="AG840" s="9" t="str">
        <x:f>IF(AF840&gt;0,B840,"")</x:f>
      </x:c>
      <x:c r="AH840" s="9" t="n">
        <x:f>IF(F840&gt;=1,1,(1+v01_LowTiesShare*(AE840-1))/AE840)</x:f>
        <x:v>1</x:v>
      </x:c>
      <x:c r="AI840" s="32" t="n">
        <x:f>(Z840+v01_ElderCommons*INDEX(LM_Elder,G840)*AA840)*AH840</x:f>
        <x:v>745.1896404834481</x:v>
      </x:c>
      <x:c r="AJ840" s="32" t="n">
        <x:f>H840*v01_CommonsCoef*AI840^v01_CommonsExp*INDEX(LM_Commons,G840)</x:f>
        <x:v>182.37727525559356</x:v>
      </x:c>
      <x:c r="AK840" s="32" t="n">
        <x:f>H840*v01_RoleScale*Arch_Roles*(AE840*(INDEX(v01_ElderRolePerSett,G840)*v01_OutElder*INDEX(LM_Elder,G840)+INDEX(v01_ShamanPerSett,G840)*v01_OutShaman)+Z840*(INDEX(v01_PriestShare,G840)*v01_OutPriest+INDEX(v01_ScribeShare,G840)*v01_OutScribe*INDEX(LM_Scribe,G840)+INDEX(v01_ScholarShare,G840)*v01_OutScholar*INDEX(LM_Scholar,G840)+INDEX(v01_ResearcherShare,G840)*v01_OutResearcher*INDEX(LM_Researcher,G840)))</x:f>
        <x:v>29.598879893141245</x:v>
      </x:c>
      <x:c r="AL840" s="32" t="n">
        <x:f>H840*v01_RoleScale*Arch_Roles*AE840*INDEX(v01_MonasteryPerSett,G840)*v01_OutMonastery*INDEX(LM_Monastery,G840)</x:f>
        <x:v>0</x:v>
      </x:c>
      <x:c r="AM840" s="32" t="n">
        <x:f>(AJ840+AK840+AL840)/4*INDEX(LM_All,G840)*INDEX(v01_Boon,G840)*Arch_Insight</x:f>
        <x:v>57.068783550804476</x:v>
      </x:c>
      <x:c r="AN840" s="32" t="n">
        <x:f>H840*(v01_KHPerAdult*Z840+v01_KHOfCommons*AJ840/4*INDEX(LM_All,G840))*v01_KHUsable*Arch_KH</x:f>
        <x:v>12.994399465706218</x:v>
      </x:c>
      <x:c r="AO840" s="32" t="n">
        <x:f>MIN(AP839+AN840,AM840*v01_KHMaxRatio)</x:f>
        <x:v>12.994399465706218</x:v>
      </x:c>
      <x:c r="AP840" s="32" t="n">
        <x:f>AP839+AN840-AO840</x:f>
        <x:v>0</x:v>
      </x:c>
      <x:c r="AQ840" s="32" t="n">
        <x:f>AM840+AO840</x:f>
        <x:v>70.06318301651069</x:v>
      </x:c>
      <x:c r="AR840" s="10" t="n">
        <x:f>IF(H840=1,INDEX(v01_Req,G840),0)</x:f>
        <x:v>9805.661999999998</x:v>
      </x:c>
      <x:c r="AS840" s="32" t="n">
        <x:f>IF(H840=1,IF(E840=1,AS839-AR839,AS839)+AQ840,0)</x:f>
        <x:v>6227.03157067176</x:v>
      </x:c>
      <x:c r="AT840" s="11" t="n">
        <x:f>IF(AR840&gt;0,MIN(1,AS840/AR840),1)</x:f>
        <x:v>0.6350444845714406</x:v>
      </x:c>
      <x:c r="AU840" s="10" t="n">
        <x:f>AB840/INDEX(v01_RepScale,G840)</x:f>
        <x:v>171.7954001323745</x:v>
      </x:c>
      <x:c r="AV840" s="32" t="n">
        <x:f>AM840*60/v01_SeasonSeconds</x:f>
        <x:v>228.2751342032179</x:v>
      </x:c>
    </x:row>
    <x:row r="841">
      <x:c r="A841" s="8" t="n">
        <x:f>A840+1</x:f>
        <x:v>838</x:v>
      </x:c>
      <x:c r="B841" s="9" t="n">
        <x:f>A841*v01_SeasonSeconds/60</x:f>
        <x:v>209.5</x:v>
      </x:c>
      <x:c r="C841" s="9" t="n">
        <x:f>A841/4</x:f>
        <x:v>209.5</x:v>
      </x:c>
      <x:c r="D841" s="8" t="n">
        <x:f>IF(MOD(A841,4)=0,1,0)</x:f>
        <x:v>0</x:v>
      </x:c>
      <x:c r="E841" s="8" t="n">
        <x:f>IF(AND(F840&lt;=9,AS840&gt;=AR840),1,0)</x:f>
        <x:v>0</x:v>
      </x:c>
      <x:c r="F841" s="8" t="n">
        <x:f>MIN(10,F840+E841)</x:f>
        <x:v>3</x:v>
      </x:c>
      <x:c r="G841" s="8" t="n">
        <x:f>MIN(F841,9)+1</x:f>
        <x:v>4</x:v>
      </x:c>
      <x:c r="H841" s="8" t="n">
        <x:f>IF(F841&lt;=9,1,0)</x:f>
        <x:v>1</x:v>
      </x:c>
      <x:c r="I841" s="9" t="n">
        <x:f>MIN(10,F840+IF(AR840&gt;0,MIN(1,AS840/AR840),1))</x:f>
        <x:v>3.6350444845714405</x:v>
      </x:c>
      <x:c r="J841" s="32" t="n">
        <x:f>INDEX(v01_FoodCap,G841)*Arch_FoodCap*EXP(v01_CapsByProject*SUMPRODUCT((Cap_Point&lt;=I841)*(Cap_Kind="Food")*Cap_Ln))</x:f>
        <x:v>120</x:v>
      </x:c>
      <x:c r="K841" s="32" t="n">
        <x:f>J841*MIN(1,v01_LeanBase*EXP(v01_CapsByProject*SUMPRODUCT((Cap_Point&lt;=I841)*(Cap_Kind="Lean")*Cap_Ln)))</x:f>
        <x:v>120</x:v>
      </x:c>
      <x:c r="L841" s="10" t="n">
        <x:f>INDEX(v01_HousingCap,G841)*EXP(v01_CapsByProject*SUMPRODUCT((Cap_Point&lt;=I841)*(Cap_Kind="Housing")*Cap_Ln))</x:f>
        <x:v>200</x:v>
      </x:c>
      <x:c r="M841" s="10" t="n">
        <x:f>INDEX(v01_GroupCap,G841)*v01_CohesionFactor*EXP(v01_CapsByProject*SUMPRODUCT((Cap_Point&lt;=I841)*(Cap_Kind="Group")*Cap_Ln))</x:f>
        <x:v>5000</x:v>
      </x:c>
      <x:c r="N841" s="32" t="n">
        <x:f>MIN(J841,L841,M841)</x:f>
        <x:v>120</x:v>
      </x:c>
      <x:c r="O841" s="10" t="n">
        <x:f>AE840*N841</x:f>
        <x:v>1080</x:v>
      </x:c>
      <x:c r="P841" s="9" t="n">
        <x:f>MIN(1,(AB840/(AE840*IF(v01_GroupInCrowding=1,N841,MIN(J841,L841))))^v01_CrowdingExp)</x:f>
        <x:v>0.2531317845671024</x:v>
      </x:c>
      <x:c r="Q841" s="9" t="n">
        <x:f>IF(D841=1,INDEX(v01_WinterMult,G841),1)</x:f>
        <x:v>1</x:v>
      </x:c>
      <x:c r="R841" s="9" t="n">
        <x:f>H841*Z840*v01_WomenShare*v01_BaseFertility*INDEX(v01_FertMult,G841)*Arch_Fertility*(1-P841)</x:f>
        <x:v>10.814258675525538</x:v>
      </x:c>
      <x:c r="S841" s="9" t="n">
        <x:f>H841*Y840*INDEX(v01_MortChild,G841)/4*Q841</x:f>
        <x:v>2.72301062294025</x:v>
      </x:c>
      <x:c r="T841" s="9" t="n">
        <x:f>H841*Z840*INDEX(v01_MortAdult,G841)*Arch_AdultMort/4*Q841</x:f>
        <x:v>1.0209885294483456</x:v>
      </x:c>
      <x:c r="U841" s="9" t="n">
        <x:f>H841*AA840*INDEX(v01_MortElder,G841)/4*Q841</x:f>
        <x:v>2.0254058734022387</x:v>
      </x:c>
      <x:c r="V841" s="9" t="n">
        <x:f>H841*MAX(0,AB840-O841)*v01_OvercapLoss</x:f>
        <x:v>0</x:v>
      </x:c>
      <x:c r="W841" s="9" t="n">
        <x:f>H841*Y840/(v01_ChildYears*4)</x:f>
        <x:v>6.483358626048214</x:v>
      </x:c>
      <x:c r="X841" s="9" t="n">
        <x:f>H841*Z840/(v01_AdultYears*4)</x:f>
        <x:v>2.994101259379313</x:v>
      </x:c>
      <x:c r="Y841" s="32" t="n">
        <x:f>Y840+R841-S841-W841-Y840*V841/AB840</x:f>
        <x:v>364.6759724852371</x:v>
      </x:c>
      <x:c r="Z841" s="32" t="n">
        <x:f>Z840+W841-X841-T841-Z840*V841/AB840</x:f>
        <x:v>373.73682500025535</x:v>
      </x:c>
      <x:c r="AA841" s="32" t="n">
        <x:f>AA840+X841-U841-AA840*V841/AB840</x:f>
        <x:v>125.60905682611482</x:v>
      </x:c>
      <x:c r="AB841" s="10" t="n">
        <x:f>Y841+Z841+AA841</x:f>
        <x:v>864.0218543116073</x:v>
      </x:c>
      <x:c r="AC841" s="8" t="n">
        <x:f>IF(AND(v01_WinterTrigger=1,D841=1,AB840/AE840&gt;=K841),1,0)</x:f>
        <x:v>0</x:v>
      </x:c>
      <x:c r="AD841" s="8" t="n">
        <x:f>H841*IF(AND(OR(AB840/AE840&gt;=v01_FissionTrigger*N841,AC841=1),AB840/AE840*v01_DaughterShare&gt;=v01_MinDaughter),MAX(1,ROUND(AE840*v01_FissionRate,0)),0)</x:f>
        <x:v>0</x:v>
      </x:c>
      <x:c r="AE841" s="8" t="n">
        <x:f>IF(H841=1,MAX(1,MIN(INDEX(v01_Smax,G841),AE840+AD841)),AE840)</x:f>
        <x:v>9</x:v>
      </x:c>
      <x:c r="AF841" s="8" t="n">
        <x:f>MAX(0,AE841-AE840)</x:f>
        <x:v>0</x:v>
      </x:c>
      <x:c r="AG841" s="9" t="str">
        <x:f>IF(AF841&gt;0,B841,"")</x:f>
      </x:c>
      <x:c r="AH841" s="9" t="n">
        <x:f>IF(F841&gt;=1,1,(1+v01_LowTiesShare*(AE841-1))/AE841)</x:f>
        <x:v>1</x:v>
      </x:c>
      <x:c r="AI841" s="32" t="n">
        <x:f>(Z841+v01_ElderCommons*INDEX(LM_Elder,G841)*AA841)*AH841</x:f>
        <x:v>750.5639954785997</x:v>
      </x:c>
      <x:c r="AJ841" s="32" t="n">
        <x:f>H841*v01_CommonsCoef*AI841^v01_CommonsExp*INDEX(LM_Commons,G841)</x:f>
        <x:v>183.49469119339878</x:v>
      </x:c>
      <x:c r="AK841" s="32" t="n">
        <x:f>H841*v01_RoleScale*Arch_Roles*(AE841*(INDEX(v01_ElderRolePerSett,G841)*v01_OutElder*INDEX(LM_Elder,G841)+INDEX(v01_ShamanPerSett,G841)*v01_OutShaman)+Z841*(INDEX(v01_PriestShare,G841)*v01_OutPriest+INDEX(v01_ScribeShare,G841)*v01_OutScribe*INDEX(LM_Scribe,G841)+INDEX(v01_ScholarShare,G841)*v01_OutScholar*INDEX(LM_Scholar,G841)+INDEX(v01_ResearcherShare,G841)*v01_OutResearcher*INDEX(LM_Researcher,G841)))</x:f>
        <x:v>29.61615777500179</x:v>
      </x:c>
      <x:c r="AL841" s="32" t="n">
        <x:f>H841*v01_RoleScale*Arch_Roles*AE841*INDEX(v01_MonasteryPerSett,G841)*v01_OutMonastery*INDEX(LM_Monastery,G841)</x:f>
        <x:v>0</x:v>
      </x:c>
      <x:c r="AM841" s="32" t="n">
        <x:f>(AJ841+AK841+AL841)/4*INDEX(LM_All,G841)*INDEX(v01_Boon,G841)*Arch_Insight</x:f>
        <x:v>57.374268834965356</x:v>
      </x:c>
      <x:c r="AN841" s="32" t="n">
        <x:f>H841*(v01_KHPerAdult*Z841+v01_KHOfCommons*AJ841/4*INDEX(LM_All,G841))*v01_KHUsable*Arch_KH</x:f>
        <x:v>13.080788875008938</x:v>
      </x:c>
      <x:c r="AO841" s="32" t="n">
        <x:f>MIN(AP840+AN841,AM841*v01_KHMaxRatio)</x:f>
        <x:v>13.080788875008938</x:v>
      </x:c>
      <x:c r="AP841" s="32" t="n">
        <x:f>AP840+AN841-AO841</x:f>
        <x:v>0</x:v>
      </x:c>
      <x:c r="AQ841" s="32" t="n">
        <x:f>AM841+AO841</x:f>
        <x:v>70.4550577099743</x:v>
      </x:c>
      <x:c r="AR841" s="10" t="n">
        <x:f>IF(H841=1,INDEX(v01_Req,G841),0)</x:f>
        <x:v>9805.661999999998</x:v>
      </x:c>
      <x:c r="AS841" s="32" t="n">
        <x:f>IF(H841=1,IF(E841=1,AS840-AR840,AS840)+AQ841,0)</x:f>
        <x:v>6297.486628381735</x:v>
      </x:c>
      <x:c r="AT841" s="11" t="n">
        <x:f>IF(AR841&gt;0,MIN(1,AS841/AR841),1)</x:f>
        <x:v>0.6422296249230022</x:v>
      </x:c>
      <x:c r="AU841" s="10" t="n">
        <x:f>AB841/INDEX(v01_RepScale,G841)</x:f>
        <x:v>172.80437086232146</x:v>
      </x:c>
      <x:c r="AV841" s="32" t="n">
        <x:f>AM841*60/v01_SeasonSeconds</x:f>
        <x:v>229.49707533986142</x:v>
      </x:c>
    </x:row>
    <x:row r="842">
      <x:c r="A842" s="8" t="n">
        <x:f>A841+1</x:f>
        <x:v>839</x:v>
      </x:c>
      <x:c r="B842" s="9" t="n">
        <x:f>A842*v01_SeasonSeconds/60</x:f>
        <x:v>209.75</x:v>
      </x:c>
      <x:c r="C842" s="9" t="n">
        <x:f>A842/4</x:f>
        <x:v>209.75</x:v>
      </x:c>
      <x:c r="D842" s="8" t="n">
        <x:f>IF(MOD(A842,4)=0,1,0)</x:f>
        <x:v>0</x:v>
      </x:c>
      <x:c r="E842" s="8" t="n">
        <x:f>IF(AND(F841&lt;=9,AS841&gt;=AR841),1,0)</x:f>
        <x:v>0</x:v>
      </x:c>
      <x:c r="F842" s="8" t="n">
        <x:f>MIN(10,F841+E842)</x:f>
        <x:v>3</x:v>
      </x:c>
      <x:c r="G842" s="8" t="n">
        <x:f>MIN(F842,9)+1</x:f>
        <x:v>4</x:v>
      </x:c>
      <x:c r="H842" s="8" t="n">
        <x:f>IF(F842&lt;=9,1,0)</x:f>
        <x:v>1</x:v>
      </x:c>
      <x:c r="I842" s="9" t="n">
        <x:f>MIN(10,F841+IF(AR841&gt;0,MIN(1,AS841/AR841),1))</x:f>
        <x:v>3.642229624923002</x:v>
      </x:c>
      <x:c r="J842" s="32" t="n">
        <x:f>INDEX(v01_FoodCap,G842)*Arch_FoodCap*EXP(v01_CapsByProject*SUMPRODUCT((Cap_Point&lt;=I842)*(Cap_Kind="Food")*Cap_Ln))</x:f>
        <x:v>120</x:v>
      </x:c>
      <x:c r="K842" s="32" t="n">
        <x:f>J842*MIN(1,v01_LeanBase*EXP(v01_CapsByProject*SUMPRODUCT((Cap_Point&lt;=I842)*(Cap_Kind="Lean")*Cap_Ln)))</x:f>
        <x:v>120</x:v>
      </x:c>
      <x:c r="L842" s="10" t="n">
        <x:f>INDEX(v01_HousingCap,G842)*EXP(v01_CapsByProject*SUMPRODUCT((Cap_Point&lt;=I842)*(Cap_Kind="Housing")*Cap_Ln))</x:f>
        <x:v>200</x:v>
      </x:c>
      <x:c r="M842" s="10" t="n">
        <x:f>INDEX(v01_GroupCap,G842)*v01_CohesionFactor*EXP(v01_CapsByProject*SUMPRODUCT((Cap_Point&lt;=I842)*(Cap_Kind="Group")*Cap_Ln))</x:f>
        <x:v>5000</x:v>
      </x:c>
      <x:c r="N842" s="32" t="n">
        <x:f>MIN(J842,L842,M842)</x:f>
        <x:v>120</x:v>
      </x:c>
      <x:c r="O842" s="10" t="n">
        <x:f>AE841*N842</x:f>
        <x:v>1080</x:v>
      </x:c>
      <x:c r="P842" s="9" t="n">
        <x:f>MIN(1,(AB841/(AE841*IF(v01_GroupInCrowding=1,N842,MIN(J842,L842))))^v01_CrowdingExp)</x:f>
        <x:v>0.2621837870760482</x:v>
      </x:c>
      <x:c r="Q842" s="9" t="n">
        <x:f>IF(D842=1,INDEX(v01_WinterMult,G842),1)</x:f>
        <x:v>1</x:v>
      </x:c>
      <x:c r="R842" s="9" t="n">
        <x:f>H842*Z841*v01_WomenShare*v01_BaseFertility*INDEX(v01_FertMult,G842)*Arch_Fertility*(1-P842)</x:f>
        <x:v>10.754214465224495</x:v>
      </x:c>
      <x:c r="S842" s="9" t="n">
        <x:f>H842*Y841*INDEX(v01_MortChild,G842)/4*Q842</x:f>
        <x:v>2.735069793639278</x:v>
      </x:c>
      <x:c r="T842" s="9" t="n">
        <x:f>H842*Z841*INDEX(v01_MortAdult,G842)*Arch_AdultMort/4*Q842</x:f>
        <x:v>1.0277762687507022</x:v>
      </x:c>
      <x:c r="U842" s="9" t="n">
        <x:f>H842*AA841*INDEX(v01_MortElder,G842)/4*Q842</x:f>
        <x:v>2.041147173424366</x:v>
      </x:c>
      <x:c r="V842" s="9" t="n">
        <x:f>H842*MAX(0,AB841-O842)*v01_OvercapLoss</x:f>
        <x:v>0</x:v>
      </x:c>
      <x:c r="W842" s="9" t="n">
        <x:f>H842*Y841/(v01_ChildYears*4)</x:f>
        <x:v>6.512070937236376</x:v>
      </x:c>
      <x:c r="X842" s="9" t="n">
        <x:f>H842*Z841/(v01_AdultYears*4)</x:f>
        <x:v>3.0140066532278658</x:v>
      </x:c>
      <x:c r="Y842" s="32" t="n">
        <x:f>Y841+R842-S842-W842-Y841*V842/AB841</x:f>
        <x:v>366.1830462195859</x:v>
      </x:c>
      <x:c r="Z842" s="32" t="n">
        <x:f>Z841+W842-X842-T842-Z841*V842/AB841</x:f>
        <x:v>376.2071130155132</x:v>
      </x:c>
      <x:c r="AA842" s="32" t="n">
        <x:f>AA841+X842-U842-AA841*V842/AB841</x:f>
        <x:v>126.58191630591831</x:v>
      </x:c>
      <x:c r="AB842" s="10" t="n">
        <x:f>Y842+Z842+AA842</x:f>
        <x:v>868.9720755410174</x:v>
      </x:c>
      <x:c r="AC842" s="8" t="n">
        <x:f>IF(AND(v01_WinterTrigger=1,D842=1,AB841/AE841&gt;=K842),1,0)</x:f>
        <x:v>0</x:v>
      </x:c>
      <x:c r="AD842" s="8" t="n">
        <x:f>H842*IF(AND(OR(AB841/AE841&gt;=v01_FissionTrigger*N842,AC842=1),AB841/AE841*v01_DaughterShare&gt;=v01_MinDaughter),MAX(1,ROUND(AE841*v01_FissionRate,0)),0)</x:f>
        <x:v>0</x:v>
      </x:c>
      <x:c r="AE842" s="8" t="n">
        <x:f>IF(H842=1,MAX(1,MIN(INDEX(v01_Smax,G842),AE841+AD842)),AE841)</x:f>
        <x:v>9</x:v>
      </x:c>
      <x:c r="AF842" s="8" t="n">
        <x:f>MAX(0,AE842-AE841)</x:f>
        <x:v>0</x:v>
      </x:c>
      <x:c r="AG842" s="9" t="str">
        <x:f>IF(AF842&gt;0,B842,"")</x:f>
      </x:c>
      <x:c r="AH842" s="9" t="n">
        <x:f>IF(F842&gt;=1,1,(1+v01_LowTiesShare*(AE842-1))/AE842)</x:f>
        <x:v>1</x:v>
      </x:c>
      <x:c r="AI842" s="32" t="n">
        <x:f>(Z842+v01_ElderCommons*INDEX(LM_Elder,G842)*AA842)*AH842</x:f>
        <x:v>755.9528619332682</x:v>
      </x:c>
      <x:c r="AJ842" s="32" t="n">
        <x:f>H842*v01_CommonsCoef*AI842^v01_CommonsExp*INDEX(LM_Commons,G842)</x:f>
        <x:v>184.61391990395785</x:v>
      </x:c>
      <x:c r="AK842" s="32" t="n">
        <x:f>H842*v01_RoleScale*Arch_Roles*(AE842*(INDEX(v01_ElderRolePerSett,G842)*v01_OutElder*INDEX(LM_Elder,G842)+INDEX(v01_ShamanPerSett,G842)*v01_OutShaman)+Z842*(INDEX(v01_PriestShare,G842)*v01_OutPriest+INDEX(v01_ScribeShare,G842)*v01_OutScribe*INDEX(LM_Scribe,G842)+INDEX(v01_ScholarShare,G842)*v01_OutScholar*INDEX(LM_Scholar,G842)+INDEX(v01_ResearcherShare,G842)*v01_OutResearcher*INDEX(LM_Researcher,G842)))</x:f>
        <x:v>29.633449791108593</x:v>
      </x:c>
      <x:c r="AL842" s="32" t="n">
        <x:f>H842*v01_RoleScale*Arch_Roles*AE842*INDEX(v01_MonasteryPerSett,G842)*v01_OutMonastery*INDEX(LM_Monastery,G842)</x:f>
        <x:v>0</x:v>
      </x:c>
      <x:c r="AM842" s="32" t="n">
        <x:f>(AJ842+AK842+AL842)/4*INDEX(LM_All,G842)*INDEX(v01_Boon,G842)*Arch_Insight</x:f>
        <x:v>57.680245963881525</x:v>
      </x:c>
      <x:c r="AN842" s="32" t="n">
        <x:f>H842*(v01_KHPerAdult*Z842+v01_KHOfCommons*AJ842/4*INDEX(LM_All,G842))*v01_KHUsable*Arch_KH</x:f>
        <x:v>13.167248955542961</x:v>
      </x:c>
      <x:c r="AO842" s="32" t="n">
        <x:f>MIN(AP841+AN842,AM842*v01_KHMaxRatio)</x:f>
        <x:v>13.167248955542961</x:v>
      </x:c>
      <x:c r="AP842" s="32" t="n">
        <x:f>AP841+AN842-AO842</x:f>
        <x:v>0</x:v>
      </x:c>
      <x:c r="AQ842" s="32" t="n">
        <x:f>AM842+AO842</x:f>
        <x:v>70.84749491942449</x:v>
      </x:c>
      <x:c r="AR842" s="10" t="n">
        <x:f>IF(H842=1,INDEX(v01_Req,G842),0)</x:f>
        <x:v>9805.661999999998</x:v>
      </x:c>
      <x:c r="AS842" s="32" t="n">
        <x:f>IF(H842=1,IF(E842=1,AS841-AR841,AS841)+AQ842,0)</x:f>
        <x:v>6368.334123301159</x:v>
      </x:c>
      <x:c r="AT842" s="11" t="n">
        <x:f>IF(AR842&gt;0,MIN(1,AS842/AR842),1)</x:f>
        <x:v>0.6494547867651526</x:v>
      </x:c>
      <x:c r="AU842" s="10" t="n">
        <x:f>AB842/INDEX(v01_RepScale,G842)</x:f>
        <x:v>173.79441510820348</x:v>
      </x:c>
      <x:c r="AV842" s="32" t="n">
        <x:f>AM842*60/v01_SeasonSeconds</x:f>
        <x:v>230.7209838555261</x:v>
      </x:c>
    </x:row>
    <x:row r="843">
      <x:c r="A843" s="8" t="n">
        <x:f>A842+1</x:f>
        <x:v>840</x:v>
      </x:c>
      <x:c r="B843" s="9" t="n">
        <x:f>A843*v01_SeasonSeconds/60</x:f>
        <x:v>210</x:v>
      </x:c>
      <x:c r="C843" s="9" t="n">
        <x:f>A843/4</x:f>
        <x:v>210</x:v>
      </x:c>
      <x:c r="D843" s="8" t="n">
        <x:f>IF(MOD(A843,4)=0,1,0)</x:f>
        <x:v>1</x:v>
      </x:c>
      <x:c r="E843" s="8" t="n">
        <x:f>IF(AND(F842&lt;=9,AS842&gt;=AR842),1,0)</x:f>
        <x:v>0</x:v>
      </x:c>
      <x:c r="F843" s="8" t="n">
        <x:f>MIN(10,F842+E843)</x:f>
        <x:v>3</x:v>
      </x:c>
      <x:c r="G843" s="8" t="n">
        <x:f>MIN(F843,9)+1</x:f>
        <x:v>4</x:v>
      </x:c>
      <x:c r="H843" s="8" t="n">
        <x:f>IF(F843&lt;=9,1,0)</x:f>
        <x:v>1</x:v>
      </x:c>
      <x:c r="I843" s="9" t="n">
        <x:f>MIN(10,F842+IF(AR842&gt;0,MIN(1,AS842/AR842),1))</x:f>
        <x:v>3.6494547867651526</x:v>
      </x:c>
      <x:c r="J843" s="32" t="n">
        <x:f>INDEX(v01_FoodCap,G843)*Arch_FoodCap*EXP(v01_CapsByProject*SUMPRODUCT((Cap_Point&lt;=I843)*(Cap_Kind="Food")*Cap_Ln))</x:f>
        <x:v>120</x:v>
      </x:c>
      <x:c r="K843" s="32" t="n">
        <x:f>J843*MIN(1,v01_LeanBase*EXP(v01_CapsByProject*SUMPRODUCT((Cap_Point&lt;=I843)*(Cap_Kind="Lean")*Cap_Ln)))</x:f>
        <x:v>120</x:v>
      </x:c>
      <x:c r="L843" s="10" t="n">
        <x:f>INDEX(v01_HousingCap,G843)*EXP(v01_CapsByProject*SUMPRODUCT((Cap_Point&lt;=I843)*(Cap_Kind="Housing")*Cap_Ln))</x:f>
        <x:v>200</x:v>
      </x:c>
      <x:c r="M843" s="10" t="n">
        <x:f>INDEX(v01_GroupCap,G843)*v01_CohesionFactor*EXP(v01_CapsByProject*SUMPRODUCT((Cap_Point&lt;=I843)*(Cap_Kind="Group")*Cap_Ln))</x:f>
        <x:v>5000</x:v>
      </x:c>
      <x:c r="N843" s="32" t="n">
        <x:f>MIN(J843,L843,M843)</x:f>
        <x:v>120</x:v>
      </x:c>
      <x:c r="O843" s="10" t="n">
        <x:f>AE842*N843</x:f>
        <x:v>1080</x:v>
      </x:c>
      <x:c r="P843" s="9" t="n">
        <x:f>MIN(1,(AB842/(AE842*IF(v01_GroupInCrowding=1,N843,MIN(J843,L843))))^v01_CrowdingExp)</x:f>
        <x:v>0.27132661122633045</x:v>
      </x:c>
      <x:c r="Q843" s="9" t="n">
        <x:f>IF(D843=1,INDEX(v01_WinterMult,G843),1)</x:f>
        <x:v>1.15</x:v>
      </x:c>
      <x:c r="R843" s="9" t="n">
        <x:f>H843*Z842*v01_WomenShare*v01_BaseFertility*INDEX(v01_FertMult,G843)*Arch_Fertility*(1-P843)</x:f>
        <x:v>10.691152364949144</x:v>
      </x:c>
      <x:c r="S843" s="9" t="n">
        <x:f>H843*Y842*INDEX(v01_MortChild,G843)/4*Q843</x:f>
        <x:v>3.1583287736439276</x:v>
      </x:c>
      <x:c r="T843" s="9" t="n">
        <x:f>H843*Z842*INDEX(v01_MortAdult,G843)*Arch_AdultMort/4*Q843</x:f>
        <x:v>1.1897549949115604</x:v>
      </x:c>
      <x:c r="U843" s="9" t="n">
        <x:f>H843*AA842*INDEX(v01_MortElder,G843)/4*Q843</x:f>
        <x:v>2.3654995609668483</x:v>
      </x:c>
      <x:c r="V843" s="9" t="n">
        <x:f>H843*MAX(0,AB842-O843)*v01_OvercapLoss</x:f>
        <x:v>0</x:v>
      </x:c>
      <x:c r="W843" s="9" t="n">
        <x:f>H843*Y842/(v01_ChildYears*4)</x:f>
        <x:v>6.5389829682068905</x:v>
      </x:c>
      <x:c r="X843" s="9" t="n">
        <x:f>H843*Z842/(v01_AdultYears*4)</x:f>
        <x:v>3.0339283307702676</x:v>
      </x:c>
      <x:c r="Y843" s="32" t="n">
        <x:f>Y842+R843-S843-W843-Y842*V843/AB842</x:f>
        <x:v>367.1768868426842</x:v>
      </x:c>
      <x:c r="Z843" s="32" t="n">
        <x:f>Z842+W843-X843-T843-Z842*V843/AB842</x:f>
        <x:v>378.52241265803826</x:v>
      </x:c>
      <x:c r="AA843" s="32" t="n">
        <x:f>AA842+X843-U843-AA842*V843/AB842</x:f>
        <x:v>127.25034507572174</x:v>
      </x:c>
      <x:c r="AB843" s="10" t="n">
        <x:f>Y843+Z843+AA843</x:f>
        <x:v>872.9496445764441</x:v>
      </x:c>
      <x:c r="AC843" s="8" t="n">
        <x:f>IF(AND(v01_WinterTrigger=1,D843=1,AB842/AE842&gt;=K843),1,0)</x:f>
        <x:v>0</x:v>
      </x:c>
      <x:c r="AD843" s="8" t="n">
        <x:f>H843*IF(AND(OR(AB842/AE842&gt;=v01_FissionTrigger*N843,AC843=1),AB842/AE842*v01_DaughterShare&gt;=v01_MinDaughter),MAX(1,ROUND(AE842*v01_FissionRate,0)),0)</x:f>
        <x:v>0</x:v>
      </x:c>
      <x:c r="AE843" s="8" t="n">
        <x:f>IF(H843=1,MAX(1,MIN(INDEX(v01_Smax,G843),AE842+AD843)),AE842)</x:f>
        <x:v>9</x:v>
      </x:c>
      <x:c r="AF843" s="8" t="n">
        <x:f>MAX(0,AE843-AE842)</x:f>
        <x:v>0</x:v>
      </x:c>
      <x:c r="AG843" s="9" t="str">
        <x:f>IF(AF843&gt;0,B843,"")</x:f>
      </x:c>
      <x:c r="AH843" s="9" t="n">
        <x:f>IF(F843&gt;=1,1,(1+v01_LowTiesShare*(AE843-1))/AE843)</x:f>
        <x:v>1</x:v>
      </x:c>
      <x:c r="AI843" s="32" t="n">
        <x:f>(Z843+v01_ElderCommons*INDEX(LM_Elder,G843)*AA843)*AH843</x:f>
        <x:v>760.2734478852035</x:v>
      </x:c>
      <x:c r="AJ843" s="32" t="n">
        <x:f>H843*v01_CommonsCoef*AI843^v01_CommonsExp*INDEX(LM_Commons,G843)</x:f>
        <x:v>185.51041002252157</x:v>
      </x:c>
      <x:c r="AK843" s="32" t="n">
        <x:f>H843*v01_RoleScale*Arch_Roles*(AE843*(INDEX(v01_ElderRolePerSett,G843)*v01_OutElder*INDEX(LM_Elder,G843)+INDEX(v01_ShamanPerSett,G843)*v01_OutShaman)+Z843*(INDEX(v01_PriestShare,G843)*v01_OutPriest+INDEX(v01_ScribeShare,G843)*v01_OutScribe*INDEX(LM_Scribe,G843)+INDEX(v01_ScholarShare,G843)*v01_OutScholar*INDEX(LM_Scholar,G843)+INDEX(v01_ResearcherShare,G843)*v01_OutResearcher*INDEX(LM_Researcher,G843)))</x:f>
        <x:v>29.649656888606266</x:v>
      </x:c>
      <x:c r="AL843" s="32" t="n">
        <x:f>H843*v01_RoleScale*Arch_Roles*AE843*INDEX(v01_MonasteryPerSett,G843)*v01_OutMonastery*INDEX(LM_Monastery,G843)</x:f>
        <x:v>0</x:v>
      </x:c>
      <x:c r="AM843" s="32" t="n">
        <x:f>(AJ843+AK843+AL843)/4*INDEX(LM_All,G843)*INDEX(v01_Boon,G843)*Arch_Insight</x:f>
        <x:v>57.925964732741555</x:v>
      </x:c>
      <x:c r="AN843" s="32" t="n">
        <x:f>H843*(v01_KHPerAdult*Z843+v01_KHOfCommons*AJ843/4*INDEX(LM_All,G843))*v01_KHUsable*Arch_KH</x:f>
        <x:v>13.248284443031338</x:v>
      </x:c>
      <x:c r="AO843" s="32" t="n">
        <x:f>MIN(AP842+AN843,AM843*v01_KHMaxRatio)</x:f>
        <x:v>13.248284443031338</x:v>
      </x:c>
      <x:c r="AP843" s="32" t="n">
        <x:f>AP842+AN843-AO843</x:f>
        <x:v>0</x:v>
      </x:c>
      <x:c r="AQ843" s="32" t="n">
        <x:f>AM843+AO843</x:f>
        <x:v>71.1742491757729</x:v>
      </x:c>
      <x:c r="AR843" s="10" t="n">
        <x:f>IF(H843=1,INDEX(v01_Req,G843),0)</x:f>
        <x:v>9805.661999999998</x:v>
      </x:c>
      <x:c r="AS843" s="32" t="n">
        <x:f>IF(H843=1,IF(E843=1,AS842-AR842,AS842)+AQ843,0)</x:f>
        <x:v>6439.508372476932</x:v>
      </x:c>
      <x:c r="AT843" s="11" t="n">
        <x:f>IF(AR843&gt;0,MIN(1,AS843/AR843),1)</x:f>
        <x:v>0.656713271625815</x:v>
      </x:c>
      <x:c r="AU843" s="10" t="n">
        <x:f>AB843/INDEX(v01_RepScale,G843)</x:f>
        <x:v>174.58992891528882</x:v>
      </x:c>
      <x:c r="AV843" s="32" t="n">
        <x:f>AM843*60/v01_SeasonSeconds</x:f>
        <x:v>231.70385893096622</x:v>
      </x:c>
    </x:row>
    <x:row r="844">
      <x:c r="A844" s="8" t="n">
        <x:f>A843+1</x:f>
        <x:v>841</x:v>
      </x:c>
      <x:c r="B844" s="9" t="n">
        <x:f>A844*v01_SeasonSeconds/60</x:f>
        <x:v>210.25</x:v>
      </x:c>
      <x:c r="C844" s="9" t="n">
        <x:f>A844/4</x:f>
        <x:v>210.25</x:v>
      </x:c>
      <x:c r="D844" s="8" t="n">
        <x:f>IF(MOD(A844,4)=0,1,0)</x:f>
        <x:v>0</x:v>
      </x:c>
      <x:c r="E844" s="8" t="n">
        <x:f>IF(AND(F843&lt;=9,AS843&gt;=AR843),1,0)</x:f>
        <x:v>0</x:v>
      </x:c>
      <x:c r="F844" s="8" t="n">
        <x:f>MIN(10,F843+E844)</x:f>
        <x:v>3</x:v>
      </x:c>
      <x:c r="G844" s="8" t="n">
        <x:f>MIN(F844,9)+1</x:f>
        <x:v>4</x:v>
      </x:c>
      <x:c r="H844" s="8" t="n">
        <x:f>IF(F844&lt;=9,1,0)</x:f>
        <x:v>1</x:v>
      </x:c>
      <x:c r="I844" s="9" t="n">
        <x:f>MIN(10,F843+IF(AR843&gt;0,MIN(1,AS843/AR843),1))</x:f>
        <x:v>3.656713271625815</x:v>
      </x:c>
      <x:c r="J844" s="32" t="n">
        <x:f>INDEX(v01_FoodCap,G844)*Arch_FoodCap*EXP(v01_CapsByProject*SUMPRODUCT((Cap_Point&lt;=I844)*(Cap_Kind="Food")*Cap_Ln))</x:f>
        <x:v>120</x:v>
      </x:c>
      <x:c r="K844" s="32" t="n">
        <x:f>J844*MIN(1,v01_LeanBase*EXP(v01_CapsByProject*SUMPRODUCT((Cap_Point&lt;=I844)*(Cap_Kind="Lean")*Cap_Ln)))</x:f>
        <x:v>120</x:v>
      </x:c>
      <x:c r="L844" s="10" t="n">
        <x:f>INDEX(v01_HousingCap,G844)*EXP(v01_CapsByProject*SUMPRODUCT((Cap_Point&lt;=I844)*(Cap_Kind="Housing")*Cap_Ln))</x:f>
        <x:v>200</x:v>
      </x:c>
      <x:c r="M844" s="10" t="n">
        <x:f>INDEX(v01_GroupCap,G844)*v01_CohesionFactor*EXP(v01_CapsByProject*SUMPRODUCT((Cap_Point&lt;=I844)*(Cap_Kind="Group")*Cap_Ln))</x:f>
        <x:v>5000</x:v>
      </x:c>
      <x:c r="N844" s="32" t="n">
        <x:f>MIN(J844,L844,M844)</x:f>
        <x:v>120</x:v>
      </x:c>
      <x:c r="O844" s="10" t="n">
        <x:f>AE843*N844</x:f>
        <x:v>1080</x:v>
      </x:c>
      <x:c r="P844" s="9" t="n">
        <x:f>MIN(1,(AB843/(AE843*IF(v01_GroupInCrowding=1,N844,MIN(J844,L844))))^v01_CrowdingExp)</x:f>
        <x:v>0.2788641088026945</x:v>
      </x:c>
      <x:c r="Q844" s="9" t="n">
        <x:f>IF(D844=1,INDEX(v01_WinterMult,G844),1)</x:f>
        <x:v>1</x:v>
      </x:c>
      <x:c r="R844" s="9" t="n">
        <x:f>H844*Z843*v01_WomenShare*v01_BaseFertility*INDEX(v01_FertMult,G844)*Arch_Fertility*(1-P844)</x:f>
        <x:v>10.645677798222037</x:v>
      </x:c>
      <x:c r="S844" s="9" t="n">
        <x:f>H844*Y843*INDEX(v01_MortChild,G844)/4*Q844</x:f>
        <x:v>2.7538266513201313</x:v>
      </x:c>
      <x:c r="T844" s="9" t="n">
        <x:f>H844*Z843*INDEX(v01_MortAdult,G844)*Arch_AdultMort/4*Q844</x:f>
        <x:v>1.0409366348096052</x:v>
      </x:c>
      <x:c r="U844" s="9" t="n">
        <x:f>H844*AA843*INDEX(v01_MortElder,G844)/4*Q844</x:f>
        <x:v>2.0678181074804782</x:v>
      </x:c>
      <x:c r="V844" s="9" t="n">
        <x:f>H844*MAX(0,AB843-O844)*v01_OvercapLoss</x:f>
        <x:v>0</x:v>
      </x:c>
      <x:c r="W844" s="9" t="n">
        <x:f>H844*Y843/(v01_ChildYears*4)</x:f>
        <x:v>6.55673012219079</x:v>
      </x:c>
      <x:c r="X844" s="9" t="n">
        <x:f>H844*Z843/(v01_AdultYears*4)</x:f>
        <x:v>3.052600102080954</x:v>
      </x:c>
      <x:c r="Y844" s="32" t="n">
        <x:f>Y843+R844-S844-W844-Y843*V844/AB843</x:f>
        <x:v>368.5120078673953</x:v>
      </x:c>
      <x:c r="Z844" s="32" t="n">
        <x:f>Z843+W844-X844-T844-Z843*V844/AB843</x:f>
        <x:v>380.9856060433385</x:v>
      </x:c>
      <x:c r="AA844" s="32" t="n">
        <x:f>AA843+X844-U844-AA843*V844/AB843</x:f>
        <x:v>128.2351270703222</x:v>
      </x:c>
      <x:c r="AB844" s="10" t="n">
        <x:f>Y844+Z844+AA844</x:f>
        <x:v>877.732740981056</x:v>
      </x:c>
      <x:c r="AC844" s="8" t="n">
        <x:f>IF(AND(v01_WinterTrigger=1,D844=1,AB843/AE843&gt;=K844),1,0)</x:f>
        <x:v>0</x:v>
      </x:c>
      <x:c r="AD844" s="8" t="n">
        <x:f>H844*IF(AND(OR(AB843/AE843&gt;=v01_FissionTrigger*N844,AC844=1),AB843/AE843*v01_DaughterShare&gt;=v01_MinDaughter),MAX(1,ROUND(AE843*v01_FissionRate,0)),0)</x:f>
        <x:v>0</x:v>
      </x:c>
      <x:c r="AE844" s="8" t="n">
        <x:f>IF(H844=1,MAX(1,MIN(INDEX(v01_Smax,G844),AE843+AD844)),AE843)</x:f>
        <x:v>9</x:v>
      </x:c>
      <x:c r="AF844" s="8" t="n">
        <x:f>MAX(0,AE844-AE843)</x:f>
        <x:v>0</x:v>
      </x:c>
      <x:c r="AG844" s="9" t="str">
        <x:f>IF(AF844&gt;0,B844,"")</x:f>
      </x:c>
      <x:c r="AH844" s="9" t="n">
        <x:f>IF(F844&gt;=1,1,(1+v01_LowTiesShare*(AE844-1))/AE844)</x:f>
        <x:v>1</x:v>
      </x:c>
      <x:c r="AI844" s="32" t="n">
        <x:f>(Z844+v01_ElderCommons*INDEX(LM_Elder,G844)*AA844)*AH844</x:f>
        <x:v>765.6909872543051</x:v>
      </x:c>
      <x:c r="AJ844" s="32" t="n">
        <x:f>H844*v01_CommonsCoef*AI844^v01_CommonsExp*INDEX(LM_Commons,G844)</x:f>
        <x:v>186.6334311641176</x:v>
      </x:c>
      <x:c r="AK844" s="32" t="n">
        <x:f>H844*v01_RoleScale*Arch_Roles*(AE844*(INDEX(v01_ElderRolePerSett,G844)*v01_OutElder*INDEX(LM_Elder,G844)+INDEX(v01_ShamanPerSett,G844)*v01_OutShaman)+Z844*(INDEX(v01_PriestShare,G844)*v01_OutPriest+INDEX(v01_ScribeShare,G844)*v01_OutScribe*INDEX(LM_Scribe,G844)+INDEX(v01_ScholarShare,G844)*v01_OutScholar*INDEX(LM_Scholar,G844)+INDEX(v01_ResearcherShare,G844)*v01_OutResearcher*INDEX(LM_Researcher,G844)))</x:f>
        <x:v>29.66689924230337</x:v>
      </x:c>
      <x:c r="AL844" s="32" t="n">
        <x:f>H844*v01_RoleScale*Arch_Roles*AE844*INDEX(v01_MonasteryPerSett,G844)*v01_OutMonastery*INDEX(LM_Monastery,G844)</x:f>
        <x:v>0</x:v>
      </x:c>
      <x:c r="AM844" s="32" t="n">
        <x:f>(AJ844+AK844+AL844)/4*INDEX(LM_All,G844)*INDEX(v01_Boon,G844)*Arch_Insight</x:f>
        <x:v>58.23294949976928</x:v>
      </x:c>
      <x:c r="AN844" s="32" t="n">
        <x:f>H844*(v01_KHPerAdult*Z844+v01_KHOfCommons*AJ844/4*INDEX(LM_All,G844))*v01_KHUsable*Arch_KH</x:f>
        <x:v>13.334496211516848</x:v>
      </x:c>
      <x:c r="AO844" s="32" t="n">
        <x:f>MIN(AP843+AN844,AM844*v01_KHMaxRatio)</x:f>
        <x:v>13.334496211516848</x:v>
      </x:c>
      <x:c r="AP844" s="32" t="n">
        <x:f>AP843+AN844-AO844</x:f>
        <x:v>0</x:v>
      </x:c>
      <x:c r="AQ844" s="32" t="n">
        <x:f>AM844+AO844</x:f>
        <x:v>71.56744571128613</x:v>
      </x:c>
      <x:c r="AR844" s="10" t="n">
        <x:f>IF(H844=1,INDEX(v01_Req,G844),0)</x:f>
        <x:v>9805.661999999998</x:v>
      </x:c>
      <x:c r="AS844" s="32" t="n">
        <x:f>IF(H844=1,IF(E844=1,AS843-AR843,AS843)+AQ844,0)</x:f>
        <x:v>6511.075818188218</x:v>
      </x:c>
      <x:c r="AT844" s="11" t="n">
        <x:f>IF(AR844&gt;0,MIN(1,AS844/AR844),1)</x:f>
        <x:v>0.6640118554145777</x:v>
      </x:c>
      <x:c r="AU844" s="10" t="n">
        <x:f>AB844/INDEX(v01_RepScale,G844)</x:f>
        <x:v>175.5465481962112</x:v>
      </x:c>
      <x:c r="AV844" s="32" t="n">
        <x:f>AM844*60/v01_SeasonSeconds</x:f>
        <x:v>232.93179799907713</x:v>
      </x:c>
    </x:row>
    <x:row r="845">
      <x:c r="A845" s="8" t="n">
        <x:f>A844+1</x:f>
        <x:v>842</x:v>
      </x:c>
      <x:c r="B845" s="9" t="n">
        <x:f>A845*v01_SeasonSeconds/60</x:f>
        <x:v>210.5</x:v>
      </x:c>
      <x:c r="C845" s="9" t="n">
        <x:f>A845/4</x:f>
        <x:v>210.5</x:v>
      </x:c>
      <x:c r="D845" s="8" t="n">
        <x:f>IF(MOD(A845,4)=0,1,0)</x:f>
        <x:v>0</x:v>
      </x:c>
      <x:c r="E845" s="8" t="n">
        <x:f>IF(AND(F844&lt;=9,AS844&gt;=AR844),1,0)</x:f>
        <x:v>0</x:v>
      </x:c>
      <x:c r="F845" s="8" t="n">
        <x:f>MIN(10,F844+E845)</x:f>
        <x:v>3</x:v>
      </x:c>
      <x:c r="G845" s="8" t="n">
        <x:f>MIN(F845,9)+1</x:f>
        <x:v>4</x:v>
      </x:c>
      <x:c r="H845" s="8" t="n">
        <x:f>IF(F845&lt;=9,1,0)</x:f>
        <x:v>1</x:v>
      </x:c>
      <x:c r="I845" s="9" t="n">
        <x:f>MIN(10,F844+IF(AR844&gt;0,MIN(1,AS844/AR844),1))</x:f>
        <x:v>3.6640118554145777</x:v>
      </x:c>
      <x:c r="J845" s="32" t="n">
        <x:f>INDEX(v01_FoodCap,G845)*Arch_FoodCap*EXP(v01_CapsByProject*SUMPRODUCT((Cap_Point&lt;=I845)*(Cap_Kind="Food")*Cap_Ln))</x:f>
        <x:v>120</x:v>
      </x:c>
      <x:c r="K845" s="32" t="n">
        <x:f>J845*MIN(1,v01_LeanBase*EXP(v01_CapsByProject*SUMPRODUCT((Cap_Point&lt;=I845)*(Cap_Kind="Lean")*Cap_Ln)))</x:f>
        <x:v>120</x:v>
      </x:c>
      <x:c r="L845" s="10" t="n">
        <x:f>INDEX(v01_HousingCap,G845)*EXP(v01_CapsByProject*SUMPRODUCT((Cap_Point&lt;=I845)*(Cap_Kind="Housing")*Cap_Ln))</x:f>
        <x:v>200</x:v>
      </x:c>
      <x:c r="M845" s="10" t="n">
        <x:f>INDEX(v01_GroupCap,G845)*v01_CohesionFactor*EXP(v01_CapsByProject*SUMPRODUCT((Cap_Point&lt;=I845)*(Cap_Kind="Group")*Cap_Ln))</x:f>
        <x:v>5000</x:v>
      </x:c>
      <x:c r="N845" s="32" t="n">
        <x:f>MIN(J845,L845,M845)</x:f>
        <x:v>120</x:v>
      </x:c>
      <x:c r="O845" s="10" t="n">
        <x:f>AE844*N845</x:f>
        <x:v>1080</x:v>
      </x:c>
      <x:c r="P845" s="9" t="n">
        <x:f>MIN(1,(AB844/(AE844*IF(v01_GroupInCrowding=1,N845,MIN(J845,L845))))^v01_CrowdingExp)</x:f>
        <x:v>0.28815838319696435</x:v>
      </x:c>
      <x:c r="Q845" s="9" t="n">
        <x:f>IF(D845=1,INDEX(v01_WinterMult,G845),1)</x:f>
        <x:v>1</x:v>
      </x:c>
      <x:c r="R845" s="9" t="n">
        <x:f>H845*Z844*v01_WomenShare*v01_BaseFertility*INDEX(v01_FertMult,G845)*Arch_Fertility*(1-P845)</x:f>
        <x:v>10.576854981598405</x:v>
      </x:c>
      <x:c r="S845" s="9" t="n">
        <x:f>H845*Y844*INDEX(v01_MortChild,G845)/4*Q845</x:f>
        <x:v>2.7638400590054646</x:v>
      </x:c>
      <x:c r="T845" s="9" t="n">
        <x:f>H845*Z844*INDEX(v01_MortAdult,G845)*Arch_AdultMort/4*Q845</x:f>
        <x:v>1.0477104166191809</x:v>
      </x:c>
      <x:c r="U845" s="9" t="n">
        <x:f>H845*AA844*INDEX(v01_MortElder,G845)/4*Q845</x:f>
        <x:v>2.0838208148927357</x:v>
      </x:c>
      <x:c r="V845" s="9" t="n">
        <x:f>H845*MAX(0,AB844-O845)*v01_OvercapLoss</x:f>
        <x:v>0</x:v>
      </x:c>
      <x:c r="W845" s="9" t="n">
        <x:f>H845*Y844/(v01_ChildYears*4)</x:f>
        <x:v>6.580571569060631</x:v>
      </x:c>
      <x:c r="X845" s="9" t="n">
        <x:f>H845*Z844/(v01_AdultYears*4)</x:f>
        <x:v>3.072464564865633</x:v>
      </x:c>
      <x:c r="Y845" s="32" t="n">
        <x:f>Y844+R845-S845-W845-Y844*V845/AB844</x:f>
        <x:v>369.7444512209276</x:v>
      </x:c>
      <x:c r="Z845" s="32" t="n">
        <x:f>Z844+W845-X845-T845-Z844*V845/AB844</x:f>
        <x:v>383.44600263091434</x:v>
      </x:c>
      <x:c r="AA845" s="32" t="n">
        <x:f>AA844+X845-U845-AA844*V845/AB844</x:f>
        <x:v>129.2237708202951</x:v>
      </x:c>
      <x:c r="AB845" s="10" t="n">
        <x:f>Y845+Z845+AA845</x:f>
        <x:v>882.4142246721372</x:v>
      </x:c>
      <x:c r="AC845" s="8" t="n">
        <x:f>IF(AND(v01_WinterTrigger=1,D845=1,AB844/AE844&gt;=K845),1,0)</x:f>
        <x:v>0</x:v>
      </x:c>
      <x:c r="AD845" s="8" t="n">
        <x:f>H845*IF(AND(OR(AB844/AE844&gt;=v01_FissionTrigger*N845,AC845=1),AB844/AE844*v01_DaughterShare&gt;=v01_MinDaughter),MAX(1,ROUND(AE844*v01_FissionRate,0)),0)</x:f>
        <x:v>0</x:v>
      </x:c>
      <x:c r="AE845" s="8" t="n">
        <x:f>IF(H845=1,MAX(1,MIN(INDEX(v01_Smax,G845),AE844+AD845)),AE844)</x:f>
        <x:v>9</x:v>
      </x:c>
      <x:c r="AF845" s="8" t="n">
        <x:f>MAX(0,AE845-AE844)</x:f>
        <x:v>0</x:v>
      </x:c>
      <x:c r="AG845" s="9" t="str">
        <x:f>IF(AF845&gt;0,B845,"")</x:f>
      </x:c>
      <x:c r="AH845" s="9" t="n">
        <x:f>IF(F845&gt;=1,1,(1+v01_LowTiesShare*(AE845-1))/AE845)</x:f>
        <x:v>1</x:v>
      </x:c>
      <x:c r="AI845" s="32" t="n">
        <x:f>(Z845+v01_ElderCommons*INDEX(LM_Elder,G845)*AA845)*AH845</x:f>
        <x:v>771.1173150917996</x:v>
      </x:c>
      <x:c r="AJ845" s="32" t="n">
        <x:f>H845*v01_CommonsCoef*AI845^v01_CommonsExp*INDEX(LM_Commons,G845)</x:f>
        <x:v>187.75707995850937</x:v>
      </x:c>
      <x:c r="AK845" s="32" t="n">
        <x:f>H845*v01_RoleScale*Arch_Roles*(AE845*(INDEX(v01_ElderRolePerSett,G845)*v01_OutElder*INDEX(LM_Elder,G845)+INDEX(v01_ShamanPerSett,G845)*v01_OutShaman)+Z845*(INDEX(v01_PriestShare,G845)*v01_OutPriest+INDEX(v01_ScribeShare,G845)*v01_OutScribe*INDEX(LM_Scribe,G845)+INDEX(v01_ScholarShare,G845)*v01_OutScholar*INDEX(LM_Scholar,G845)+INDEX(v01_ResearcherShare,G845)*v01_OutResearcher*INDEX(LM_Researcher,G845)))</x:f>
        <x:v>29.6841220184164</x:v>
      </x:c>
      <x:c r="AL845" s="32" t="n">
        <x:f>H845*v01_RoleScale*Arch_Roles*AE845*INDEX(v01_MonasteryPerSett,G845)*v01_OutMonastery*INDEX(LM_Monastery,G845)</x:f>
        <x:v>0</x:v>
      </x:c>
      <x:c r="AM845" s="32" t="n">
        <x:f>(AJ845+AK845+AL845)/4*INDEX(LM_All,G845)*INDEX(v01_Boon,G845)*Arch_Insight</x:f>
        <x:v>58.54009797442068</x:v>
      </x:c>
      <x:c r="AN845" s="32" t="n">
        <x:f>H845*(v01_KHPerAdult*Z845+v01_KHOfCommons*AJ845/4*INDEX(LM_All,G845))*v01_KHUsable*Arch_KH</x:f>
        <x:v>13.420610092082002</x:v>
      </x:c>
      <x:c r="AO845" s="32" t="n">
        <x:f>MIN(AP844+AN845,AM845*v01_KHMaxRatio)</x:f>
        <x:v>13.420610092082002</x:v>
      </x:c>
      <x:c r="AP845" s="32" t="n">
        <x:f>AP844+AN845-AO845</x:f>
        <x:v>0</x:v>
      </x:c>
      <x:c r="AQ845" s="32" t="n">
        <x:f>AM845+AO845</x:f>
        <x:v>71.96070806650269</x:v>
      </x:c>
      <x:c r="AR845" s="10" t="n">
        <x:f>IF(H845=1,INDEX(v01_Req,G845),0)</x:f>
        <x:v>9805.661999999998</x:v>
      </x:c>
      <x:c r="AS845" s="32" t="n">
        <x:f>IF(H845=1,IF(E845=1,AS844-AR844,AS844)+AQ845,0)</x:f>
        <x:v>6583.036526254721</x:v>
      </x:c>
      <x:c r="AT845" s="11" t="n">
        <x:f>IF(AR845&gt;0,MIN(1,AS845/AR845),1)</x:f>
        <x:v>0.6713505448438588</x:v>
      </x:c>
      <x:c r="AU845" s="10" t="n">
        <x:f>AB845/INDEX(v01_RepScale,G845)</x:f>
        <x:v>176.48284493442742</x:v>
      </x:c>
      <x:c r="AV845" s="32" t="n">
        <x:f>AM845*60/v01_SeasonSeconds</x:f>
        <x:v>234.16039189768273</x:v>
      </x:c>
    </x:row>
    <x:row r="846">
      <x:c r="A846" s="8" t="n">
        <x:f>A845+1</x:f>
        <x:v>843</x:v>
      </x:c>
      <x:c r="B846" s="9" t="n">
        <x:f>A846*v01_SeasonSeconds/60</x:f>
        <x:v>210.75</x:v>
      </x:c>
      <x:c r="C846" s="9" t="n">
        <x:f>A846/4</x:f>
        <x:v>210.75</x:v>
      </x:c>
      <x:c r="D846" s="8" t="n">
        <x:f>IF(MOD(A846,4)=0,1,0)</x:f>
        <x:v>0</x:v>
      </x:c>
      <x:c r="E846" s="8" t="n">
        <x:f>IF(AND(F845&lt;=9,AS845&gt;=AR845),1,0)</x:f>
        <x:v>0</x:v>
      </x:c>
      <x:c r="F846" s="8" t="n">
        <x:f>MIN(10,F845+E846)</x:f>
        <x:v>3</x:v>
      </x:c>
      <x:c r="G846" s="8" t="n">
        <x:f>MIN(F846,9)+1</x:f>
        <x:v>4</x:v>
      </x:c>
      <x:c r="H846" s="8" t="n">
        <x:f>IF(F846&lt;=9,1,0)</x:f>
        <x:v>1</x:v>
      </x:c>
      <x:c r="I846" s="9" t="n">
        <x:f>MIN(10,F845+IF(AR845&gt;0,MIN(1,AS845/AR845),1))</x:f>
        <x:v>3.671350544843859</x:v>
      </x:c>
      <x:c r="J846" s="32" t="n">
        <x:f>INDEX(v01_FoodCap,G846)*Arch_FoodCap*EXP(v01_CapsByProject*SUMPRODUCT((Cap_Point&lt;=I846)*(Cap_Kind="Food")*Cap_Ln))</x:f>
        <x:v>120</x:v>
      </x:c>
      <x:c r="K846" s="32" t="n">
        <x:f>J846*MIN(1,v01_LeanBase*EXP(v01_CapsByProject*SUMPRODUCT((Cap_Point&lt;=I846)*(Cap_Kind="Lean")*Cap_Ln)))</x:f>
        <x:v>120</x:v>
      </x:c>
      <x:c r="L846" s="10" t="n">
        <x:f>INDEX(v01_HousingCap,G846)*EXP(v01_CapsByProject*SUMPRODUCT((Cap_Point&lt;=I846)*(Cap_Kind="Housing")*Cap_Ln))</x:f>
        <x:v>200</x:v>
      </x:c>
      <x:c r="M846" s="10" t="n">
        <x:f>INDEX(v01_GroupCap,G846)*v01_CohesionFactor*EXP(v01_CapsByProject*SUMPRODUCT((Cap_Point&lt;=I846)*(Cap_Kind="Group")*Cap_Ln))</x:f>
        <x:v>5000</x:v>
      </x:c>
      <x:c r="N846" s="32" t="n">
        <x:f>MIN(J846,L846,M846)</x:f>
        <x:v>120</x:v>
      </x:c>
      <x:c r="O846" s="10" t="n">
        <x:f>AE845*N846</x:f>
        <x:v>1080</x:v>
      </x:c>
      <x:c r="P846" s="9" t="n">
        <x:f>MIN(1,(AB845/(AE845*IF(v01_GroupInCrowding=1,N846,MIN(J846,L846))))^v01_CrowdingExp)</x:f>
        <x:v>0.29750376719346777</x:v>
      </x:c>
      <x:c r="Q846" s="9" t="n">
        <x:f>IF(D846=1,INDEX(v01_WinterMult,G846),1)</x:f>
        <x:v>1</x:v>
      </x:c>
      <x:c r="R846" s="9" t="n">
        <x:f>H846*Z845*v01_WomenShare*v01_BaseFertility*INDEX(v01_FertMult,G846)*Arch_Fertility*(1-P846)</x:f>
        <x:v>10.505405520984699</x:v>
      </x:c>
      <x:c r="S846" s="9" t="n">
        <x:f>H846*Y845*INDEX(v01_MortChild,G846)/4*Q846</x:f>
        <x:v>2.773083384156957</x:v>
      </x:c>
      <x:c r="T846" s="9" t="n">
        <x:f>H846*Z845*INDEX(v01_MortAdult,G846)*Arch_AdultMort/4*Q846</x:f>
        <x:v>1.0544765072350144</x:v>
      </x:c>
      <x:c r="U846" s="9" t="n">
        <x:f>H846*AA845*INDEX(v01_MortElder,G846)/4*Q846</x:f>
        <x:v>2.0998862758297956</x:v>
      </x:c>
      <x:c r="V846" s="9" t="n">
        <x:f>H846*MAX(0,AB845-O846)*v01_OvercapLoss</x:f>
        <x:v>0</x:v>
      </x:c>
      <x:c r="W846" s="9" t="n">
        <x:f>H846*Y845/(v01_ChildYears*4)</x:f>
        <x:v>6.6025794860879925</x:v>
      </x:c>
      <x:c r="X846" s="9" t="n">
        <x:f>H846*Z845/(v01_AdultYears*4)</x:f>
        <x:v>3.0923064728299545</x:v>
      </x:c>
      <x:c r="Y846" s="32" t="n">
        <x:f>Y845+R846-S846-W846-Y845*V846/AB845</x:f>
        <x:v>370.87419387166733</x:v>
      </x:c>
      <x:c r="Z846" s="32" t="n">
        <x:f>Z845+W846-X846-T846-Z845*V846/AB845</x:f>
        <x:v>385.9017991369374</x:v>
      </x:c>
      <x:c r="AA846" s="32" t="n">
        <x:f>AA845+X846-U846-AA845*V846/AB845</x:f>
        <x:v>130.21619101729527</x:v>
      </x:c>
      <x:c r="AB846" s="10" t="n">
        <x:f>Y846+Z846+AA846</x:f>
        <x:v>886.9921840259</x:v>
      </x:c>
      <x:c r="AC846" s="8" t="n">
        <x:f>IF(AND(v01_WinterTrigger=1,D846=1,AB845/AE845&gt;=K846),1,0)</x:f>
        <x:v>0</x:v>
      </x:c>
      <x:c r="AD846" s="8" t="n">
        <x:f>H846*IF(AND(OR(AB845/AE845&gt;=v01_FissionTrigger*N846,AC846=1),AB845/AE845*v01_DaughterShare&gt;=v01_MinDaughter),MAX(1,ROUND(AE845*v01_FissionRate,0)),0)</x:f>
        <x:v>0</x:v>
      </x:c>
      <x:c r="AE846" s="8" t="n">
        <x:f>IF(H846=1,MAX(1,MIN(INDEX(v01_Smax,G846),AE845+AD846)),AE845)</x:f>
        <x:v>9</x:v>
      </x:c>
      <x:c r="AF846" s="8" t="n">
        <x:f>MAX(0,AE846-AE845)</x:f>
        <x:v>0</x:v>
      </x:c>
      <x:c r="AG846" s="9" t="str">
        <x:f>IF(AF846&gt;0,B846,"")</x:f>
      </x:c>
      <x:c r="AH846" s="9" t="n">
        <x:f>IF(F846&gt;=1,1,(1+v01_LowTiesShare*(AE846-1))/AE846)</x:f>
        <x:v>1</x:v>
      </x:c>
      <x:c r="AI846" s="32" t="n">
        <x:f>(Z846+v01_ElderCommons*INDEX(LM_Elder,G846)*AA846)*AH846</x:f>
        <x:v>776.5503721888233</x:v>
      </x:c>
      <x:c r="AJ846" s="32" t="n">
        <x:f>H846*v01_CommonsCoef*AI846^v01_CommonsExp*INDEX(LM_Commons,G846)</x:f>
        <x:v>188.8809345554136</x:v>
      </x:c>
      <x:c r="AK846" s="32" t="n">
        <x:f>H846*v01_RoleScale*Arch_Roles*(AE846*(INDEX(v01_ElderRolePerSett,G846)*v01_OutElder*INDEX(LM_Elder,G846)+INDEX(v01_ShamanPerSett,G846)*v01_OutShaman)+Z846*(INDEX(v01_PriestShare,G846)*v01_OutPriest+INDEX(v01_ScribeShare,G846)*v01_OutScribe*INDEX(LM_Scribe,G846)+INDEX(v01_ScholarShare,G846)*v01_OutScholar*INDEX(LM_Scholar,G846)+INDEX(v01_ResearcherShare,G846)*v01_OutResearcher*INDEX(LM_Researcher,G846)))</x:f>
        <x:v>29.701312593958562</x:v>
      </x:c>
      <x:c r="AL846" s="32" t="n">
        <x:f>H846*v01_RoleScale*Arch_Roles*AE846*INDEX(v01_MonasteryPerSett,G846)*v01_OutMonastery*INDEX(LM_Monastery,G846)</x:f>
        <x:v>0</x:v>
      </x:c>
      <x:c r="AM846" s="32" t="n">
        <x:f>(AJ846+AK846+AL846)/4*INDEX(LM_All,G846)*INDEX(v01_Boon,G846)*Arch_Insight</x:f>
        <x:v>58.847293186647946</x:v>
      </x:c>
      <x:c r="AN846" s="32" t="n">
        <x:f>H846*(v01_KHPerAdult*Z846+v01_KHOfCommons*AJ846/4*INDEX(LM_All,G846))*v01_KHUsable*Arch_KH</x:f>
        <x:v>13.50656296979281</x:v>
      </x:c>
      <x:c r="AO846" s="32" t="n">
        <x:f>MIN(AP845+AN846,AM846*v01_KHMaxRatio)</x:f>
        <x:v>13.50656296979281</x:v>
      </x:c>
      <x:c r="AP846" s="32" t="n">
        <x:f>AP845+AN846-AO846</x:f>
        <x:v>0</x:v>
      </x:c>
      <x:c r="AQ846" s="32" t="n">
        <x:f>AM846+AO846</x:f>
        <x:v>72.35385615644076</x:v>
      </x:c>
      <x:c r="AR846" s="10" t="n">
        <x:f>IF(H846=1,INDEX(v01_Req,G846),0)</x:f>
        <x:v>9805.661999999998</x:v>
      </x:c>
      <x:c r="AS846" s="32" t="n">
        <x:f>IF(H846=1,IF(E846=1,AS845-AR845,AS845)+AQ846,0)</x:f>
        <x:v>6655.390382411162</x:v>
      </x:c>
      <x:c r="AT846" s="11" t="n">
        <x:f>IF(AR846&gt;0,MIN(1,AS846/AR846),1)</x:f>
        <x:v>0.6787293282606685</x:v>
      </x:c>
      <x:c r="AU846" s="10" t="n">
        <x:f>AB846/INDEX(v01_RepScale,G846)</x:f>
        <x:v>177.39843680517998</x:v>
      </x:c>
      <x:c r="AV846" s="32" t="n">
        <x:f>AM846*60/v01_SeasonSeconds</x:f>
        <x:v>235.38917274659178</x:v>
      </x:c>
    </x:row>
    <x:row r="847">
      <x:c r="A847" s="8" t="n">
        <x:f>A846+1</x:f>
        <x:v>844</x:v>
      </x:c>
      <x:c r="B847" s="9" t="n">
        <x:f>A847*v01_SeasonSeconds/60</x:f>
        <x:v>211</x:v>
      </x:c>
      <x:c r="C847" s="9" t="n">
        <x:f>A847/4</x:f>
        <x:v>211</x:v>
      </x:c>
      <x:c r="D847" s="8" t="n">
        <x:f>IF(MOD(A847,4)=0,1,0)</x:f>
        <x:v>1</x:v>
      </x:c>
      <x:c r="E847" s="8" t="n">
        <x:f>IF(AND(F846&lt;=9,AS846&gt;=AR846),1,0)</x:f>
        <x:v>0</x:v>
      </x:c>
      <x:c r="F847" s="8" t="n">
        <x:f>MIN(10,F846+E847)</x:f>
        <x:v>3</x:v>
      </x:c>
      <x:c r="G847" s="8" t="n">
        <x:f>MIN(F847,9)+1</x:f>
        <x:v>4</x:v>
      </x:c>
      <x:c r="H847" s="8" t="n">
        <x:f>IF(F847&lt;=9,1,0)</x:f>
        <x:v>1</x:v>
      </x:c>
      <x:c r="I847" s="9" t="n">
        <x:f>MIN(10,F846+IF(AR846&gt;0,MIN(1,AS846/AR846),1))</x:f>
        <x:v>3.6787293282606686</x:v>
      </x:c>
      <x:c r="J847" s="32" t="n">
        <x:f>INDEX(v01_FoodCap,G847)*Arch_FoodCap*EXP(v01_CapsByProject*SUMPRODUCT((Cap_Point&lt;=I847)*(Cap_Kind="Food")*Cap_Ln))</x:f>
        <x:v>120</x:v>
      </x:c>
      <x:c r="K847" s="32" t="n">
        <x:f>J847*MIN(1,v01_LeanBase*EXP(v01_CapsByProject*SUMPRODUCT((Cap_Point&lt;=I847)*(Cap_Kind="Lean")*Cap_Ln)))</x:f>
        <x:v>120</x:v>
      </x:c>
      <x:c r="L847" s="10" t="n">
        <x:f>INDEX(v01_HousingCap,G847)*EXP(v01_CapsByProject*SUMPRODUCT((Cap_Point&lt;=I847)*(Cap_Kind="Housing")*Cap_Ln))</x:f>
        <x:v>200</x:v>
      </x:c>
      <x:c r="M847" s="10" t="n">
        <x:f>INDEX(v01_GroupCap,G847)*v01_CohesionFactor*EXP(v01_CapsByProject*SUMPRODUCT((Cap_Point&lt;=I847)*(Cap_Kind="Group")*Cap_Ln))</x:f>
        <x:v>5000</x:v>
      </x:c>
      <x:c r="N847" s="32" t="n">
        <x:f>MIN(J847,L847,M847)</x:f>
        <x:v>120</x:v>
      </x:c>
      <x:c r="O847" s="10" t="n">
        <x:f>AE846*N847</x:f>
        <x:v>1080</x:v>
      </x:c>
      <x:c r="P847" s="9" t="n">
        <x:f>MIN(1,(AB846/(AE846*IF(v01_GroupInCrowding=1,N847,MIN(J847,L847))))^v01_CrowdingExp)</x:f>
        <x:v>0.30688539807518067</x:v>
      </x:c>
      <x:c r="Q847" s="9" t="n">
        <x:f>IF(D847=1,INDEX(v01_WinterMult,G847),1)</x:f>
        <x:v>1.15</x:v>
      </x:c>
      <x:c r="R847" s="9" t="n">
        <x:f>H847*Z846*v01_WomenShare*v01_BaseFertility*INDEX(v01_FertMult,G847)*Arch_Fertility*(1-P847)</x:f>
        <x:v>10.431492703743928</x:v>
      </x:c>
      <x:c r="S847" s="9" t="n">
        <x:f>H847*Y846*INDEX(v01_MortChild,G847)/4*Q847</x:f>
        <x:v>3.1987899221431304</x:v>
      </x:c>
      <x:c r="T847" s="9" t="n">
        <x:f>H847*Z846*INDEX(v01_MortAdult,G847)*Arch_AdultMort/4*Q847</x:f>
        <x:v>1.2204144397705645</x:v>
      </x:c>
      <x:c r="U847" s="9" t="n">
        <x:f>H847*AA846*INDEX(v01_MortElder,G847)/4*Q847</x:f>
        <x:v>2.4334150696357053</x:v>
      </x:c>
      <x:c r="V847" s="9" t="n">
        <x:f>H847*MAX(0,AB846-O847)*v01_OvercapLoss</x:f>
        <x:v>0</x:v>
      </x:c>
      <x:c r="W847" s="9" t="n">
        <x:f>H847*Y846/(v01_ChildYears*4)</x:f>
        <x:v>6.622753461994059</x:v>
      </x:c>
      <x:c r="X847" s="9" t="n">
        <x:f>H847*Z846/(v01_AdultYears*4)</x:f>
        <x:v>3.1121112833623985</x:v>
      </x:c>
      <x:c r="Y847" s="32" t="n">
        <x:f>Y846+R847-S847-W847-Y846*V847/AB846</x:f>
        <x:v>371.48414319127403</x:v>
      </x:c>
      <x:c r="Z847" s="32" t="n">
        <x:f>Z846+W847-X847-T847-Z846*V847/AB846</x:f>
        <x:v>388.19202687579855</x:v>
      </x:c>
      <x:c r="AA847" s="32" t="n">
        <x:f>AA846+X847-U847-AA846*V847/AB846</x:f>
        <x:v>130.89488723102195</x:v>
      </x:c>
      <x:c r="AB847" s="10" t="n">
        <x:f>Y847+Z847+AA847</x:f>
        <x:v>890.5710572980945</x:v>
      </x:c>
      <x:c r="AC847" s="8" t="n">
        <x:f>IF(AND(v01_WinterTrigger=1,D847=1,AB846/AE846&gt;=K847),1,0)</x:f>
        <x:v>0</x:v>
      </x:c>
      <x:c r="AD847" s="8" t="n">
        <x:f>H847*IF(AND(OR(AB846/AE846&gt;=v01_FissionTrigger*N847,AC847=1),AB846/AE846*v01_DaughterShare&gt;=v01_MinDaughter),MAX(1,ROUND(AE846*v01_FissionRate,0)),0)</x:f>
        <x:v>0</x:v>
      </x:c>
      <x:c r="AE847" s="8" t="n">
        <x:f>IF(H847=1,MAX(1,MIN(INDEX(v01_Smax,G847),AE846+AD847)),AE846)</x:f>
        <x:v>9</x:v>
      </x:c>
      <x:c r="AF847" s="8" t="n">
        <x:f>MAX(0,AE847-AE846)</x:f>
        <x:v>0</x:v>
      </x:c>
      <x:c r="AG847" s="9" t="str">
        <x:f>IF(AF847&gt;0,B847,"")</x:f>
      </x:c>
      <x:c r="AH847" s="9" t="n">
        <x:f>IF(F847&gt;=1,1,(1+v01_LowTiesShare*(AE847-1))/AE847)</x:f>
        <x:v>1</x:v>
      </x:c>
      <x:c r="AI847" s="32" t="n">
        <x:f>(Z847+v01_ElderCommons*INDEX(LM_Elder,G847)*AA847)*AH847</x:f>
        <x:v>780.8766885688644</x:v>
      </x:c>
      <x:c r="AJ847" s="32" t="n">
        <x:f>H847*v01_CommonsCoef*AI847^v01_CommonsExp*INDEX(LM_Commons,G847)</x:f>
        <x:v>189.77501084001946</x:v>
      </x:c>
      <x:c r="AK847" s="32" t="n">
        <x:f>H847*v01_RoleScale*Arch_Roles*(AE847*(INDEX(v01_ElderRolePerSett,G847)*v01_OutElder*INDEX(LM_Elder,G847)+INDEX(v01_ShamanPerSett,G847)*v01_OutShaman)+Z847*(INDEX(v01_PriestShare,G847)*v01_OutPriest+INDEX(v01_ScribeShare,G847)*v01_OutScribe*INDEX(LM_Scribe,G847)+INDEX(v01_ScholarShare,G847)*v01_OutScholar*INDEX(LM_Scholar,G847)+INDEX(v01_ResearcherShare,G847)*v01_OutResearcher*INDEX(LM_Researcher,G847)))</x:f>
        <x:v>29.71734418813059</x:v>
      </x:c>
      <x:c r="AL847" s="32" t="n">
        <x:f>H847*v01_RoleScale*Arch_Roles*AE847*INDEX(v01_MonasteryPerSett,G847)*v01_OutMonastery*INDEX(LM_Monastery,G847)</x:f>
        <x:v>0</x:v>
      </x:c>
      <x:c r="AM847" s="32" t="n">
        <x:f>(AJ847+AK847+AL847)/4*INDEX(LM_All,G847)*INDEX(v01_Boon,G847)*Arch_Insight</x:f>
        <x:v>59.092314847246584</x:v>
      </x:c>
      <x:c r="AN847" s="32" t="n">
        <x:f>H847*(v01_KHPerAdult*Z847+v01_KHOfCommons*AJ847/4*INDEX(LM_All,G847))*v01_KHUsable*Arch_KH</x:f>
        <x:v>13.58672094065295</x:v>
      </x:c>
      <x:c r="AO847" s="32" t="n">
        <x:f>MIN(AP846+AN847,AM847*v01_KHMaxRatio)</x:f>
        <x:v>13.58672094065295</x:v>
      </x:c>
      <x:c r="AP847" s="32" t="n">
        <x:f>AP846+AN847-AO847</x:f>
        <x:v>0</x:v>
      </x:c>
      <x:c r="AQ847" s="32" t="n">
        <x:f>AM847+AO847</x:f>
        <x:v>72.67903578789954</x:v>
      </x:c>
      <x:c r="AR847" s="10" t="n">
        <x:f>IF(H847=1,INDEX(v01_Req,G847),0)</x:f>
        <x:v>9805.661999999998</x:v>
      </x:c>
      <x:c r="AS847" s="32" t="n">
        <x:f>IF(H847=1,IF(E847=1,AS846-AR846,AS846)+AQ847,0)</x:f>
        <x:v>6728.069418199062</x:v>
      </x:c>
      <x:c r="AT847" s="11" t="n">
        <x:f>IF(AR847&gt;0,MIN(1,AS847/AR847),1)</x:f>
        <x:v>0.6861412741127588</x:v>
      </x:c>
      <x:c r="AU847" s="10" t="n">
        <x:f>AB847/INDEX(v01_RepScale,G847)</x:f>
        <x:v>178.1142114596189</x:v>
      </x:c>
      <x:c r="AV847" s="32" t="n">
        <x:f>AM847*60/v01_SeasonSeconds</x:f>
        <x:v>236.36925938898634</x:v>
      </x:c>
    </x:row>
    <x:row r="848">
      <x:c r="A848" s="8" t="n">
        <x:f>A847+1</x:f>
        <x:v>845</x:v>
      </x:c>
      <x:c r="B848" s="9" t="n">
        <x:f>A848*v01_SeasonSeconds/60</x:f>
        <x:v>211.25</x:v>
      </x:c>
      <x:c r="C848" s="9" t="n">
        <x:f>A848/4</x:f>
        <x:v>211.25</x:v>
      </x:c>
      <x:c r="D848" s="8" t="n">
        <x:f>IF(MOD(A848,4)=0,1,0)</x:f>
        <x:v>0</x:v>
      </x:c>
      <x:c r="E848" s="8" t="n">
        <x:f>IF(AND(F847&lt;=9,AS847&gt;=AR847),1,0)</x:f>
        <x:v>0</x:v>
      </x:c>
      <x:c r="F848" s="8" t="n">
        <x:f>MIN(10,F847+E848)</x:f>
        <x:v>3</x:v>
      </x:c>
      <x:c r="G848" s="8" t="n">
        <x:f>MIN(F848,9)+1</x:f>
        <x:v>4</x:v>
      </x:c>
      <x:c r="H848" s="8" t="n">
        <x:f>IF(F848&lt;=9,1,0)</x:f>
        <x:v>1</x:v>
      </x:c>
      <x:c r="I848" s="9" t="n">
        <x:f>MIN(10,F847+IF(AR847&gt;0,MIN(1,AS847/AR847),1))</x:f>
        <x:v>3.686141274112759</x:v>
      </x:c>
      <x:c r="J848" s="32" t="n">
        <x:f>INDEX(v01_FoodCap,G848)*Arch_FoodCap*EXP(v01_CapsByProject*SUMPRODUCT((Cap_Point&lt;=I848)*(Cap_Kind="Food")*Cap_Ln))</x:f>
        <x:v>120</x:v>
      </x:c>
      <x:c r="K848" s="32" t="n">
        <x:f>J848*MIN(1,v01_LeanBase*EXP(v01_CapsByProject*SUMPRODUCT((Cap_Point&lt;=I848)*(Cap_Kind="Lean")*Cap_Ln)))</x:f>
        <x:v>120</x:v>
      </x:c>
      <x:c r="L848" s="10" t="n">
        <x:f>INDEX(v01_HousingCap,G848)*EXP(v01_CapsByProject*SUMPRODUCT((Cap_Point&lt;=I848)*(Cap_Kind="Housing")*Cap_Ln))</x:f>
        <x:v>200</x:v>
      </x:c>
      <x:c r="M848" s="10" t="n">
        <x:f>INDEX(v01_GroupCap,G848)*v01_CohesionFactor*EXP(v01_CapsByProject*SUMPRODUCT((Cap_Point&lt;=I848)*(Cap_Kind="Group")*Cap_Ln))</x:f>
        <x:v>5000</x:v>
      </x:c>
      <x:c r="N848" s="32" t="n">
        <x:f>MIN(J848,L848,M848)</x:f>
        <x:v>120</x:v>
      </x:c>
      <x:c r="O848" s="10" t="n">
        <x:f>AE847*N848</x:f>
        <x:v>1080</x:v>
      </x:c>
      <x:c r="P848" s="9" t="n">
        <x:f>MIN(1,(AB847/(AE847*IF(v01_GroupInCrowding=1,N848,MIN(J848,L848))))^v01_CrowdingExp)</x:f>
        <x:v>0.3143901481123443</x:v>
      </x:c>
      <x:c r="Q848" s="9" t="n">
        <x:f>IF(D848=1,INDEX(v01_WinterMult,G848),1)</x:f>
        <x:v>1</x:v>
      </x:c>
      <x:c r="R848" s="9" t="n">
        <x:f>H848*Z847*v01_WomenShare*v01_BaseFertility*INDEX(v01_FertMult,G848)*Arch_Fertility*(1-P848)</x:f>
        <x:v>10.379782843961117</x:v>
      </x:c>
      <x:c r="S848" s="9" t="n">
        <x:f>H848*Y847*INDEX(v01_MortChild,G848)/4*Q848</x:f>
        <x:v>2.786131073934555</x:v>
      </x:c>
      <x:c r="T848" s="9" t="n">
        <x:f>H848*Z847*INDEX(v01_MortAdult,G848)*Arch_AdultMort/4*Q848</x:f>
        <x:v>1.0675280739084458</x:v>
      </x:c>
      <x:c r="U848" s="9" t="n">
        <x:f>H848*AA847*INDEX(v01_MortElder,G848)/4*Q848</x:f>
        <x:v>2.1270419175041066</x:v>
      </x:c>
      <x:c r="V848" s="9" t="n">
        <x:f>H848*MAX(0,AB847-O848)*v01_OvercapLoss</x:f>
        <x:v>0</x:v>
      </x:c>
      <x:c r="W848" s="9" t="n">
        <x:f>H848*Y847/(v01_ChildYears*4)</x:f>
        <x:v>6.6336454141298935</x:v>
      </x:c>
      <x:c r="X848" s="9" t="n">
        <x:f>H848*Z847/(v01_AdultYears*4)</x:f>
        <x:v>3.1305808619016013</x:v>
      </x:c>
      <x:c r="Y848" s="32" t="n">
        <x:f>Y847+R848-S848-W848-Y847*V848/AB847</x:f>
        <x:v>372.4441495471707</x:v>
      </x:c>
      <x:c r="Z848" s="32" t="n">
        <x:f>Z847+W848-X848-T848-Z847*V848/AB847</x:f>
        <x:v>390.6275633541184</x:v>
      </x:c>
      <x:c r="AA848" s="32" t="n">
        <x:f>AA847+X848-U848-AA847*V848/AB847</x:f>
        <x:v>131.89842617541944</x:v>
      </x:c>
      <x:c r="AB848" s="10" t="n">
        <x:f>Y848+Z848+AA848</x:f>
        <x:v>894.9701390767086</x:v>
      </x:c>
      <x:c r="AC848" s="8" t="n">
        <x:f>IF(AND(v01_WinterTrigger=1,D848=1,AB847/AE847&gt;=K848),1,0)</x:f>
        <x:v>0</x:v>
      </x:c>
      <x:c r="AD848" s="8" t="n">
        <x:f>H848*IF(AND(OR(AB847/AE847&gt;=v01_FissionTrigger*N848,AC848=1),AB847/AE847*v01_DaughterShare&gt;=v01_MinDaughter),MAX(1,ROUND(AE847*v01_FissionRate,0)),0)</x:f>
        <x:v>0</x:v>
      </x:c>
      <x:c r="AE848" s="8" t="n">
        <x:f>IF(H848=1,MAX(1,MIN(INDEX(v01_Smax,G848),AE847+AD848)),AE847)</x:f>
        <x:v>9</x:v>
      </x:c>
      <x:c r="AF848" s="8" t="n">
        <x:f>MAX(0,AE848-AE847)</x:f>
        <x:v>0</x:v>
      </x:c>
      <x:c r="AG848" s="9" t="str">
        <x:f>IF(AF848&gt;0,B848,"")</x:f>
      </x:c>
      <x:c r="AH848" s="9" t="n">
        <x:f>IF(F848&gt;=1,1,(1+v01_LowTiesShare*(AE848-1))/AE848)</x:f>
        <x:v>1</x:v>
      </x:c>
      <x:c r="AI848" s="32" t="n">
        <x:f>(Z848+v01_ElderCommons*INDEX(LM_Elder,G848)*AA848)*AH848</x:f>
        <x:v>786.3228418803767</x:v>
      </x:c>
      <x:c r="AJ848" s="32" t="n">
        <x:f>H848*v01_CommonsCoef*AI848^v01_CommonsExp*INDEX(LM_Commons,G848)</x:f>
        <x:v>190.899457167135</x:v>
      </x:c>
      <x:c r="AK848" s="32" t="n">
        <x:f>H848*v01_RoleScale*Arch_Roles*(AE848*(INDEX(v01_ElderRolePerSett,G848)*v01_OutElder*INDEX(LM_Elder,G848)+INDEX(v01_ShamanPerSett,G848)*v01_OutShaman)+Z848*(INDEX(v01_PriestShare,G848)*v01_OutPriest+INDEX(v01_ScribeShare,G848)*v01_OutScribe*INDEX(LM_Scribe,G848)+INDEX(v01_ScholarShare,G848)*v01_OutScholar*INDEX(LM_Scholar,G848)+INDEX(v01_ResearcherShare,G848)*v01_OutResearcher*INDEX(LM_Researcher,G848)))</x:f>
        <x:v>29.73439294347883</x:v>
      </x:c>
      <x:c r="AL848" s="32" t="n">
        <x:f>H848*v01_RoleScale*Arch_Roles*AE848*INDEX(v01_MonasteryPerSett,G848)*v01_OutMonastery*INDEX(LM_Monastery,G848)</x:f>
        <x:v>0</x:v>
      </x:c>
      <x:c r="AM848" s="32" t="n">
        <x:f>(AJ848+AK848+AL848)/4*INDEX(LM_All,G848)*INDEX(v01_Boon,G848)*Arch_Insight</x:f>
        <x:v>59.399631185443795</x:v>
      </x:c>
      <x:c r="AN848" s="32" t="n">
        <x:f>H848*(v01_KHPerAdult*Z848+v01_KHOfCommons*AJ848/4*INDEX(LM_All,G848))*v01_KHUsable*Arch_KH</x:f>
        <x:v>13.671964717394147</x:v>
      </x:c>
      <x:c r="AO848" s="32" t="n">
        <x:f>MIN(AP847+AN848,AM848*v01_KHMaxRatio)</x:f>
        <x:v>13.671964717394147</x:v>
      </x:c>
      <x:c r="AP848" s="32" t="n">
        <x:f>AP847+AN848-AO848</x:f>
        <x:v>0</x:v>
      </x:c>
      <x:c r="AQ848" s="32" t="n">
        <x:f>AM848+AO848</x:f>
        <x:v>73.07159590283794</x:v>
      </x:c>
      <x:c r="AR848" s="10" t="n">
        <x:f>IF(H848=1,INDEX(v01_Req,G848),0)</x:f>
        <x:v>9805.661999999998</x:v>
      </x:c>
      <x:c r="AS848" s="32" t="n">
        <x:f>IF(H848=1,IF(E848=1,AS847-AR847,AS847)+AQ848,0)</x:f>
        <x:v>6801.1410141019</x:v>
      </x:c>
      <x:c r="AT848" s="11" t="n">
        <x:f>IF(AR848&gt;0,MIN(1,AS848/AR848),1)</x:f>
        <x:v>0.6935932539895726</x:v>
      </x:c>
      <x:c r="AU848" s="10" t="n">
        <x:f>AB848/INDEX(v01_RepScale,G848)</x:f>
        <x:v>178.99402781534172</x:v>
      </x:c>
      <x:c r="AV848" s="32" t="n">
        <x:f>AM848*60/v01_SeasonSeconds</x:f>
        <x:v>237.59852474177518</x:v>
      </x:c>
    </x:row>
    <x:row r="849">
      <x:c r="A849" s="8" t="n">
        <x:f>A848+1</x:f>
        <x:v>846</x:v>
      </x:c>
      <x:c r="B849" s="9" t="n">
        <x:f>A849*v01_SeasonSeconds/60</x:f>
        <x:v>211.5</x:v>
      </x:c>
      <x:c r="C849" s="9" t="n">
        <x:f>A849/4</x:f>
        <x:v>211.5</x:v>
      </x:c>
      <x:c r="D849" s="8" t="n">
        <x:f>IF(MOD(A849,4)=0,1,0)</x:f>
        <x:v>0</x:v>
      </x:c>
      <x:c r="E849" s="8" t="n">
        <x:f>IF(AND(F848&lt;=9,AS848&gt;=AR848),1,0)</x:f>
        <x:v>0</x:v>
      </x:c>
      <x:c r="F849" s="8" t="n">
        <x:f>MIN(10,F848+E849)</x:f>
        <x:v>3</x:v>
      </x:c>
      <x:c r="G849" s="8" t="n">
        <x:f>MIN(F849,9)+1</x:f>
        <x:v>4</x:v>
      </x:c>
      <x:c r="H849" s="8" t="n">
        <x:f>IF(F849&lt;=9,1,0)</x:f>
        <x:v>1</x:v>
      </x:c>
      <x:c r="I849" s="9" t="n">
        <x:f>MIN(10,F848+IF(AR848&gt;0,MIN(1,AS848/AR848),1))</x:f>
        <x:v>3.6935932539895724</x:v>
      </x:c>
      <x:c r="J849" s="32" t="n">
        <x:f>INDEX(v01_FoodCap,G849)*Arch_FoodCap*EXP(v01_CapsByProject*SUMPRODUCT((Cap_Point&lt;=I849)*(Cap_Kind="Food")*Cap_Ln))</x:f>
        <x:v>120</x:v>
      </x:c>
      <x:c r="K849" s="32" t="n">
        <x:f>J849*MIN(1,v01_LeanBase*EXP(v01_CapsByProject*SUMPRODUCT((Cap_Point&lt;=I849)*(Cap_Kind="Lean")*Cap_Ln)))</x:f>
        <x:v>120</x:v>
      </x:c>
      <x:c r="L849" s="10" t="n">
        <x:f>INDEX(v01_HousingCap,G849)*EXP(v01_CapsByProject*SUMPRODUCT((Cap_Point&lt;=I849)*(Cap_Kind="Housing")*Cap_Ln))</x:f>
        <x:v>200</x:v>
      </x:c>
      <x:c r="M849" s="10" t="n">
        <x:f>INDEX(v01_GroupCap,G849)*v01_CohesionFactor*EXP(v01_CapsByProject*SUMPRODUCT((Cap_Point&lt;=I849)*(Cap_Kind="Group")*Cap_Ln))</x:f>
        <x:v>5000</x:v>
      </x:c>
      <x:c r="N849" s="32" t="n">
        <x:f>MIN(J849,L849,M849)</x:f>
        <x:v>120</x:v>
      </x:c>
      <x:c r="O849" s="10" t="n">
        <x:f>AE848*N849</x:f>
        <x:v>1080</x:v>
      </x:c>
      <x:c r="P849" s="9" t="n">
        <x:f>MIN(1,(AB848/(AE848*IF(v01_GroupInCrowding=1,N849,MIN(J849,L849))))^v01_CrowdingExp)</x:f>
        <x:v>0.32382378021996105</x:v>
      </x:c>
      <x:c r="Q849" s="9" t="n">
        <x:f>IF(D849=1,INDEX(v01_WinterMult,G849),1)</x:f>
        <x:v>1</x:v>
      </x:c>
      <x:c r="R849" s="9" t="n">
        <x:f>H849*Z848*v01_WomenShare*v01_BaseFertility*INDEX(v01_FertMult,G849)*Arch_Fertility*(1-P849)</x:f>
        <x:v>10.301189696096342</x:v>
      </x:c>
      <x:c r="S849" s="9" t="n">
        <x:f>H849*Y848*INDEX(v01_MortChild,G849)/4*Q849</x:f>
        <x:v>2.79333112160378</x:v>
      </x:c>
      <x:c r="T849" s="9" t="n">
        <x:f>H849*Z848*INDEX(v01_MortAdult,G849)*Arch_AdultMort/4*Q849</x:f>
        <x:v>1.0742257992238256</x:v>
      </x:c>
      <x:c r="U849" s="9" t="n">
        <x:f>H849*AA848*INDEX(v01_MortElder,G849)/4*Q849</x:f>
        <x:v>2.143349425350566</x:v>
      </x:c>
      <x:c r="V849" s="9" t="n">
        <x:f>H849*MAX(0,AB848-O849)*v01_OvercapLoss</x:f>
        <x:v>0</x:v>
      </x:c>
      <x:c r="W849" s="9" t="n">
        <x:f>H849*Y848/(v01_ChildYears*4)</x:f>
        <x:v>6.650788384770905</x:v>
      </x:c>
      <x:c r="X849" s="9" t="n">
        <x:f>H849*Z848/(v01_AdultYears*4)</x:f>
        <x:v>3.150222285113858</x:v>
      </x:c>
      <x:c r="Y849" s="32" t="n">
        <x:f>Y848+R849-S849-W849-Y848*V849/AB848</x:f>
        <x:v>373.30121973689234</x:v>
      </x:c>
      <x:c r="Z849" s="32" t="n">
        <x:f>Z848+W849-X849-T849-Z848*V849/AB848</x:f>
        <x:v>393.0539036545517</x:v>
      </x:c>
      <x:c r="AA849" s="32" t="n">
        <x:f>AA848+X849-U849-AA848*V849/AB848</x:f>
        <x:v>132.90529903518274</x:v>
      </x:c>
      <x:c r="AB849" s="10" t="n">
        <x:f>Y849+Z849+AA849</x:f>
        <x:v>899.2604224266267</x:v>
      </x:c>
      <x:c r="AC849" s="8" t="n">
        <x:f>IF(AND(v01_WinterTrigger=1,D849=1,AB848/AE848&gt;=K849),1,0)</x:f>
        <x:v>0</x:v>
      </x:c>
      <x:c r="AD849" s="8" t="n">
        <x:f>H849*IF(AND(OR(AB848/AE848&gt;=v01_FissionTrigger*N849,AC849=1),AB848/AE848*v01_DaughterShare&gt;=v01_MinDaughter),MAX(1,ROUND(AE848*v01_FissionRate,0)),0)</x:f>
        <x:v>0</x:v>
      </x:c>
      <x:c r="AE849" s="8" t="n">
        <x:f>IF(H849=1,MAX(1,MIN(INDEX(v01_Smax,G849),AE848+AD849)),AE848)</x:f>
        <x:v>9</x:v>
      </x:c>
      <x:c r="AF849" s="8" t="n">
        <x:f>MAX(0,AE849-AE848)</x:f>
        <x:v>0</x:v>
      </x:c>
      <x:c r="AG849" s="9" t="str">
        <x:f>IF(AF849&gt;0,B849,"")</x:f>
      </x:c>
      <x:c r="AH849" s="9" t="n">
        <x:f>IF(F849&gt;=1,1,(1+v01_LowTiesShare*(AE849-1))/AE849)</x:f>
        <x:v>1</x:v>
      </x:c>
      <x:c r="AI849" s="32" t="n">
        <x:f>(Z849+v01_ElderCommons*INDEX(LM_Elder,G849)*AA849)*AH849</x:f>
        <x:v>791.7698007600999</x:v>
      </x:c>
      <x:c r="AJ849" s="32" t="n">
        <x:f>H849*v01_CommonsCoef*AI849^v01_CommonsExp*INDEX(LM_Commons,G849)</x:f>
        <x:v>192.02290195006725</x:v>
      </x:c>
      <x:c r="AK849" s="32" t="n">
        <x:f>H849*v01_RoleScale*Arch_Roles*(AE849*(INDEX(v01_ElderRolePerSett,G849)*v01_OutElder*INDEX(LM_Elder,G849)+INDEX(v01_ShamanPerSett,G849)*v01_OutShaman)+Z849*(INDEX(v01_PriestShare,G849)*v01_OutPriest+INDEX(v01_ScribeShare,G849)*v01_OutScribe*INDEX(LM_Scribe,G849)+INDEX(v01_ScholarShare,G849)*v01_OutScholar*INDEX(LM_Scholar,G849)+INDEX(v01_ResearcherShare,G849)*v01_OutResearcher*INDEX(LM_Researcher,G849)))</x:f>
        <x:v>29.751377325581863</x:v>
      </x:c>
      <x:c r="AL849" s="32" t="n">
        <x:f>H849*v01_RoleScale*Arch_Roles*AE849*INDEX(v01_MonasteryPerSett,G849)*v01_OutMonastery*INDEX(LM_Monastery,G849)</x:f>
        <x:v>0</x:v>
      </x:c>
      <x:c r="AM849" s="32" t="n">
        <x:f>(AJ849+AK849+AL849)/4*INDEX(LM_All,G849)*INDEX(v01_Boon,G849)*Arch_Insight</x:f>
        <x:v>59.706660554519566</x:v>
      </x:c>
      <x:c r="AN849" s="32" t="n">
        <x:f>H849*(v01_KHPerAdult*Z849+v01_KHOfCommons*AJ849/4*INDEX(LM_All,G849))*v01_KHUsable*Arch_KH</x:f>
        <x:v>13.756886627909308</x:v>
      </x:c>
      <x:c r="AO849" s="32" t="n">
        <x:f>MIN(AP848+AN849,AM849*v01_KHMaxRatio)</x:f>
        <x:v>13.756886627909308</x:v>
      </x:c>
      <x:c r="AP849" s="32" t="n">
        <x:f>AP848+AN849-AO849</x:f>
        <x:v>0</x:v>
      </x:c>
      <x:c r="AQ849" s="32" t="n">
        <x:f>AM849+AO849</x:f>
        <x:v>73.46354718242887</x:v>
      </x:c>
      <x:c r="AR849" s="10" t="n">
        <x:f>IF(H849=1,INDEX(v01_Req,G849),0)</x:f>
        <x:v>9805.661999999998</x:v>
      </x:c>
      <x:c r="AS849" s="32" t="n">
        <x:f>IF(H849=1,IF(E849=1,AS848-AR848,AS848)+AQ849,0)</x:f>
        <x:v>6874.604561284328</x:v>
      </x:c>
      <x:c r="AT849" s="11" t="n">
        <x:f>IF(AR849&gt;0,MIN(1,AS849/AR849),1)</x:f>
        <x:v>0.7010852058009269</x:v>
      </x:c>
      <x:c r="AU849" s="10" t="n">
        <x:f>AB849/INDEX(v01_RepScale,G849)</x:f>
        <x:v>179.85208448532535</x:v>
      </x:c>
      <x:c r="AV849" s="32" t="n">
        <x:f>AM849*60/v01_SeasonSeconds</x:f>
        <x:v>238.82664221807826</x:v>
      </x:c>
    </x:row>
    <x:row r="850">
      <x:c r="A850" s="8" t="n">
        <x:f>A849+1</x:f>
        <x:v>847</x:v>
      </x:c>
      <x:c r="B850" s="9" t="n">
        <x:f>A850*v01_SeasonSeconds/60</x:f>
        <x:v>211.75</x:v>
      </x:c>
      <x:c r="C850" s="9" t="n">
        <x:f>A850/4</x:f>
        <x:v>211.75</x:v>
      </x:c>
      <x:c r="D850" s="8" t="n">
        <x:f>IF(MOD(A850,4)=0,1,0)</x:f>
        <x:v>0</x:v>
      </x:c>
      <x:c r="E850" s="8" t="n">
        <x:f>IF(AND(F849&lt;=9,AS849&gt;=AR849),1,0)</x:f>
        <x:v>0</x:v>
      </x:c>
      <x:c r="F850" s="8" t="n">
        <x:f>MIN(10,F849+E850)</x:f>
        <x:v>3</x:v>
      </x:c>
      <x:c r="G850" s="8" t="n">
        <x:f>MIN(F850,9)+1</x:f>
        <x:v>4</x:v>
      </x:c>
      <x:c r="H850" s="8" t="n">
        <x:f>IF(F850&lt;=9,1,0)</x:f>
        <x:v>1</x:v>
      </x:c>
      <x:c r="I850" s="9" t="n">
        <x:f>MIN(10,F849+IF(AR849&gt;0,MIN(1,AS849/AR849),1))</x:f>
        <x:v>3.701085205800927</x:v>
      </x:c>
      <x:c r="J850" s="32" t="n">
        <x:f>INDEX(v01_FoodCap,G850)*Arch_FoodCap*EXP(v01_CapsByProject*SUMPRODUCT((Cap_Point&lt;=I850)*(Cap_Kind="Food")*Cap_Ln))</x:f>
        <x:v>120</x:v>
      </x:c>
      <x:c r="K850" s="32" t="n">
        <x:f>J850*MIN(1,v01_LeanBase*EXP(v01_CapsByProject*SUMPRODUCT((Cap_Point&lt;=I850)*(Cap_Kind="Lean")*Cap_Ln)))</x:f>
        <x:v>120</x:v>
      </x:c>
      <x:c r="L850" s="10" t="n">
        <x:f>INDEX(v01_HousingCap,G850)*EXP(v01_CapsByProject*SUMPRODUCT((Cap_Point&lt;=I850)*(Cap_Kind="Housing")*Cap_Ln))</x:f>
        <x:v>200</x:v>
      </x:c>
      <x:c r="M850" s="10" t="n">
        <x:f>INDEX(v01_GroupCap,G850)*v01_CohesionFactor*EXP(v01_CapsByProject*SUMPRODUCT((Cap_Point&lt;=I850)*(Cap_Kind="Group")*Cap_Ln))</x:f>
        <x:v>5000</x:v>
      </x:c>
      <x:c r="N850" s="32" t="n">
        <x:f>MIN(J850,L850,M850)</x:f>
        <x:v>120</x:v>
      </x:c>
      <x:c r="O850" s="10" t="n">
        <x:f>AE849*N850</x:f>
        <x:v>1080</x:v>
      </x:c>
      <x:c r="P850" s="9" t="n">
        <x:f>MIN(1,(AB849/(AE849*IF(v01_GroupInCrowding=1,N850,MIN(J850,L850))))^v01_CrowdingExp)</x:f>
        <x:v>0.3332501449837689</x:v>
      </x:c>
      <x:c r="Q850" s="9" t="n">
        <x:f>IF(D850=1,INDEX(v01_WinterMult,G850),1)</x:f>
        <x:v>1</x:v>
      </x:c>
      <x:c r="R850" s="9" t="n">
        <x:f>H850*Z849*v01_WomenShare*v01_BaseFertility*INDEX(v01_FertMult,G850)*Arch_Fertility*(1-P850)</x:f>
        <x:v>10.220676697734204</x:v>
      </x:c>
      <x:c r="S850" s="9" t="n">
        <x:f>H850*Y849*INDEX(v01_MortChild,G850)/4*Q850</x:f>
        <x:v>2.7997591480266926</x:v>
      </x:c>
      <x:c r="T850" s="9" t="n">
        <x:f>H850*Z849*INDEX(v01_MortAdult,G850)*Arch_AdultMort/4*Q850</x:f>
        <x:v>1.0808982350500171</x:v>
      </x:c>
      <x:c r="U850" s="9" t="n">
        <x:f>H850*AA849*INDEX(v01_MortElder,G850)/4*Q850</x:f>
        <x:v>2.1597111093217194</x:v>
      </x:c>
      <x:c r="V850" s="9" t="n">
        <x:f>H850*MAX(0,AB849-O850)*v01_OvercapLoss</x:f>
        <x:v>0</x:v>
      </x:c>
      <x:c r="W850" s="9" t="n">
        <x:f>H850*Y849/(v01_ChildYears*4)</x:f>
        <x:v>6.6660932095873635</x:v>
      </x:c>
      <x:c r="X850" s="9" t="n">
        <x:f>H850*Z849/(v01_AdultYears*4)</x:f>
        <x:v>3.169789545601223</x:v>
      </x:c>
      <x:c r="Y850" s="32" t="n">
        <x:f>Y849+R850-S850-W850-Y849*V850/AB849</x:f>
        <x:v>374.0560440770125</x:v>
      </x:c>
      <x:c r="Z850" s="32" t="n">
        <x:f>Z849+W850-X850-T850-Z849*V850/AB849</x:f>
        <x:v>395.46930908348776</x:v>
      </x:c>
      <x:c r="AA850" s="32" t="n">
        <x:f>AA849+X850-U850-AA849*V850/AB849</x:f>
        <x:v>133.91537747146225</x:v>
      </x:c>
      <x:c r="AB850" s="10" t="n">
        <x:f>Y850+Z850+AA850</x:f>
        <x:v>903.4407306319624</x:v>
      </x:c>
      <x:c r="AC850" s="8" t="n">
        <x:f>IF(AND(v01_WinterTrigger=1,D850=1,AB849/AE849&gt;=K850),1,0)</x:f>
        <x:v>0</x:v>
      </x:c>
      <x:c r="AD850" s="8" t="n">
        <x:f>H850*IF(AND(OR(AB849/AE849&gt;=v01_FissionTrigger*N850,AC850=1),AB849/AE849*v01_DaughterShare&gt;=v01_MinDaughter),MAX(1,ROUND(AE849*v01_FissionRate,0)),0)</x:f>
        <x:v>0</x:v>
      </x:c>
      <x:c r="AE850" s="8" t="n">
        <x:f>IF(H850=1,MAX(1,MIN(INDEX(v01_Smax,G850),AE849+AD850)),AE849)</x:f>
        <x:v>9</x:v>
      </x:c>
      <x:c r="AF850" s="8" t="n">
        <x:f>MAX(0,AE850-AE849)</x:f>
        <x:v>0</x:v>
      </x:c>
      <x:c r="AG850" s="9" t="str">
        <x:f>IF(AF850&gt;0,B850,"")</x:f>
      </x:c>
      <x:c r="AH850" s="9" t="n">
        <x:f>IF(F850&gt;=1,1,(1+v01_LowTiesShare*(AE850-1))/AE850)</x:f>
        <x:v>1</x:v>
      </x:c>
      <x:c r="AI850" s="32" t="n">
        <x:f>(Z850+v01_ElderCommons*INDEX(LM_Elder,G850)*AA850)*AH850</x:f>
        <x:v>797.2154414978745</x:v>
      </x:c>
      <x:c r="AJ850" s="32" t="n">
        <x:f>H850*v01_CommonsCoef*AI850^v01_CommonsExp*INDEX(LM_Commons,G850)</x:f>
        <x:v>193.14491656569834</x:v>
      </x:c>
      <x:c r="AK850" s="32" t="n">
        <x:f>H850*v01_RoleScale*Arch_Roles*(AE850*(INDEX(v01_ElderRolePerSett,G850)*v01_OutElder*INDEX(LM_Elder,G850)+INDEX(v01_ShamanPerSett,G850)*v01_OutShaman)+Z850*(INDEX(v01_PriestShare,G850)*v01_OutPriest+INDEX(v01_ScribeShare,G850)*v01_OutScribe*INDEX(LM_Scribe,G850)+INDEX(v01_ScholarShare,G850)*v01_OutScholar*INDEX(LM_Scholar,G850)+INDEX(v01_ResearcherShare,G850)*v01_OutResearcher*INDEX(LM_Researcher,G850)))</x:f>
        <x:v>29.768285163584416</x:v>
      </x:c>
      <x:c r="AL850" s="32" t="n">
        <x:f>H850*v01_RoleScale*Arch_Roles*AE850*INDEX(v01_MonasteryPerSett,G850)*v01_OutMonastery*INDEX(LM_Monastery,G850)</x:f>
        <x:v>0</x:v>
      </x:c>
      <x:c r="AM850" s="32" t="n">
        <x:f>(AJ850+AK850+AL850)/4*INDEX(LM_All,G850)*INDEX(v01_Boon,G850)*Arch_Insight</x:f>
        <x:v>60.013284282749574</x:v>
      </x:c>
      <x:c r="AN850" s="32" t="n">
        <x:f>H850*(v01_KHPerAdult*Z850+v01_KHOfCommons*AJ850/4*INDEX(LM_All,G850))*v01_KHUsable*Arch_KH</x:f>
        <x:v>13.84142581792207</x:v>
      </x:c>
      <x:c r="AO850" s="32" t="n">
        <x:f>MIN(AP849+AN850,AM850*v01_KHMaxRatio)</x:f>
        <x:v>13.84142581792207</x:v>
      </x:c>
      <x:c r="AP850" s="32" t="n">
        <x:f>AP849+AN850-AO850</x:f>
        <x:v>0</x:v>
      </x:c>
      <x:c r="AQ850" s="32" t="n">
        <x:f>AM850+AO850</x:f>
        <x:v>73.85471010067164</x:v>
      </x:c>
      <x:c r="AR850" s="10" t="n">
        <x:f>IF(H850=1,INDEX(v01_Req,G850),0)</x:f>
        <x:v>9805.661999999998</x:v>
      </x:c>
      <x:c r="AS850" s="32" t="n">
        <x:f>IF(H850=1,IF(E850=1,AS849-AR849,AS849)+AQ850,0)</x:f>
        <x:v>6948.459271385</x:v>
      </x:c>
      <x:c r="AT850" s="11" t="n">
        <x:f>IF(AR850&gt;0,MIN(1,AS850/AR850),1)</x:f>
        <x:v>0.7086170491482371</x:v>
      </x:c>
      <x:c r="AU850" s="10" t="n">
        <x:f>AB850/INDEX(v01_RepScale,G850)</x:f>
        <x:v>180.6881461263925</x:v>
      </x:c>
      <x:c r="AV850" s="32" t="n">
        <x:f>AM850*60/v01_SeasonSeconds</x:f>
        <x:v>240.0531371309983</x:v>
      </x:c>
    </x:row>
    <x:row r="851">
      <x:c r="A851" s="8" t="n">
        <x:f>A850+1</x:f>
        <x:v>848</x:v>
      </x:c>
      <x:c r="B851" s="9" t="n">
        <x:f>A851*v01_SeasonSeconds/60</x:f>
        <x:v>212</x:v>
      </x:c>
      <x:c r="C851" s="9" t="n">
        <x:f>A851/4</x:f>
        <x:v>212</x:v>
      </x:c>
      <x:c r="D851" s="8" t="n">
        <x:f>IF(MOD(A851,4)=0,1,0)</x:f>
        <x:v>1</x:v>
      </x:c>
      <x:c r="E851" s="8" t="n">
        <x:f>IF(AND(F850&lt;=9,AS850&gt;=AR850),1,0)</x:f>
        <x:v>0</x:v>
      </x:c>
      <x:c r="F851" s="8" t="n">
        <x:f>MIN(10,F850+E851)</x:f>
        <x:v>3</x:v>
      </x:c>
      <x:c r="G851" s="8" t="n">
        <x:f>MIN(F851,9)+1</x:f>
        <x:v>4</x:v>
      </x:c>
      <x:c r="H851" s="8" t="n">
        <x:f>IF(F851&lt;=9,1,0)</x:f>
        <x:v>1</x:v>
      </x:c>
      <x:c r="I851" s="9" t="n">
        <x:f>MIN(10,F850+IF(AR850&gt;0,MIN(1,AS850/AR850),1))</x:f>
        <x:v>3.708617049148237</x:v>
      </x:c>
      <x:c r="J851" s="32" t="n">
        <x:f>INDEX(v01_FoodCap,G851)*Arch_FoodCap*EXP(v01_CapsByProject*SUMPRODUCT((Cap_Point&lt;=I851)*(Cap_Kind="Food")*Cap_Ln))</x:f>
        <x:v>120</x:v>
      </x:c>
      <x:c r="K851" s="32" t="n">
        <x:f>J851*MIN(1,v01_LeanBase*EXP(v01_CapsByProject*SUMPRODUCT((Cap_Point&lt;=I851)*(Cap_Kind="Lean")*Cap_Ln)))</x:f>
        <x:v>120</x:v>
      </x:c>
      <x:c r="L851" s="10" t="n">
        <x:f>INDEX(v01_HousingCap,G851)*EXP(v01_CapsByProject*SUMPRODUCT((Cap_Point&lt;=I851)*(Cap_Kind="Housing")*Cap_Ln))</x:f>
        <x:v>200</x:v>
      </x:c>
      <x:c r="M851" s="10" t="n">
        <x:f>INDEX(v01_GroupCap,G851)*v01_CohesionFactor*EXP(v01_CapsByProject*SUMPRODUCT((Cap_Point&lt;=I851)*(Cap_Kind="Group")*Cap_Ln))</x:f>
        <x:v>5000</x:v>
      </x:c>
      <x:c r="N851" s="32" t="n">
        <x:f>MIN(J851,L851,M851)</x:f>
        <x:v>120</x:v>
      </x:c>
      <x:c r="O851" s="10" t="n">
        <x:f>AE850*N851</x:f>
        <x:v>1080</x:v>
      </x:c>
      <x:c r="P851" s="9" t="n">
        <x:f>MIN(1,(AB850/(AE850*IF(v01_GroupInCrowding=1,N851,MIN(J851,L851))))^v01_CrowdingExp)</x:f>
        <x:v>0.3426537311581944</x:v>
      </x:c>
      <x:c r="Q851" s="9" t="n">
        <x:f>IF(D851=1,INDEX(v01_WinterMult,G851),1)</x:f>
        <x:v>1.15</x:v>
      </x:c>
      <x:c r="R851" s="9" t="n">
        <x:f>H851*Z850*v01_WomenShare*v01_BaseFertility*INDEX(v01_FertMult,G851)*Arch_Fertility*(1-P851)</x:f>
        <x:v>10.13845071593162</x:v>
      </x:c>
      <x:c r="S851" s="9" t="n">
        <x:f>H851*Y850*INDEX(v01_MortChild,G851)/4*Q851</x:f>
        <x:v>3.2262333801642322</x:v>
      </x:c>
      <x:c r="T851" s="9" t="n">
        <x:f>H851*Z850*INDEX(v01_MortAdult,G851)*Arch_AdultMort/4*Q851</x:f>
        <x:v>1.25067168997653</x:v>
      </x:c>
      <x:c r="U851" s="9" t="n">
        <x:f>H851*AA850*INDEX(v01_MortElder,G851)/4*Q851</x:f>
        <x:v>2.5025436164979507</x:v>
      </x:c>
      <x:c r="V851" s="9" t="n">
        <x:f>H851*MAX(0,AB850-O851)*v01_OvercapLoss</x:f>
        <x:v>0</x:v>
      </x:c>
      <x:c r="W851" s="9" t="n">
        <x:f>H851*Y850/(v01_ChildYears*4)</x:f>
        <x:v>6.679572215660937</x:v>
      </x:c>
      <x:c r="X851" s="9" t="n">
        <x:f>H851*Z850/(v01_AdultYears*4)</x:f>
        <x:v>3.1892686216410304</x:v>
      </x:c>
      <x:c r="Y851" s="32" t="n">
        <x:f>Y850+R851-S851-W851-Y850*V851/AB850</x:f>
        <x:v>374.28868919711897</x:v>
      </x:c>
      <x:c r="Z851" s="32" t="n">
        <x:f>Z850+W851-X851-T851-Z850*V851/AB850</x:f>
        <x:v>397.70894098753115</x:v>
      </x:c>
      <x:c r="AA851" s="32" t="n">
        <x:f>AA850+X851-U851-AA850*V851/AB850</x:f>
        <x:v>134.60210247660532</x:v>
      </x:c>
      <x:c r="AB851" s="10" t="n">
        <x:f>Y851+Z851+AA851</x:f>
        <x:v>906.5997326612554</x:v>
      </x:c>
      <x:c r="AC851" s="8" t="n">
        <x:f>IF(AND(v01_WinterTrigger=1,D851=1,AB850/AE850&gt;=K851),1,0)</x:f>
        <x:v>0</x:v>
      </x:c>
      <x:c r="AD851" s="8" t="n">
        <x:f>H851*IF(AND(OR(AB850/AE850&gt;=v01_FissionTrigger*N851,AC851=1),AB850/AE850*v01_DaughterShare&gt;=v01_MinDaughter),MAX(1,ROUND(AE850*v01_FissionRate,0)),0)</x:f>
        <x:v>0</x:v>
      </x:c>
      <x:c r="AE851" s="8" t="n">
        <x:f>IF(H851=1,MAX(1,MIN(INDEX(v01_Smax,G851),AE850+AD851)),AE850)</x:f>
        <x:v>9</x:v>
      </x:c>
      <x:c r="AF851" s="8" t="n">
        <x:f>MAX(0,AE851-AE850)</x:f>
        <x:v>0</x:v>
      </x:c>
      <x:c r="AG851" s="9" t="str">
        <x:f>IF(AF851&gt;0,B851,"")</x:f>
      </x:c>
      <x:c r="AH851" s="9" t="n">
        <x:f>IF(F851&gt;=1,1,(1+v01_LowTiesShare*(AE851-1))/AE851)</x:f>
        <x:v>1</x:v>
      </x:c>
      <x:c r="AI851" s="32" t="n">
        <x:f>(Z851+v01_ElderCommons*INDEX(LM_Elder,G851)*AA851)*AH851</x:f>
        <x:v>801.5152484173472</x:v>
      </x:c>
      <x:c r="AJ851" s="32" t="n">
        <x:f>H851*v01_CommonsCoef*AI851^v01_CommonsExp*INDEX(LM_Commons,G851)</x:f>
        <x:v>194.03003239642953</x:v>
      </x:c>
      <x:c r="AK851" s="32" t="n">
        <x:f>H851*v01_RoleScale*Arch_Roles*(AE851*(INDEX(v01_ElderRolePerSett,G851)*v01_OutElder*INDEX(LM_Elder,G851)+INDEX(v01_ShamanPerSett,G851)*v01_OutShaman)+Z851*(INDEX(v01_PriestShare,G851)*v01_OutPriest+INDEX(v01_ScribeShare,G851)*v01_OutScribe*INDEX(LM_Scribe,G851)+INDEX(v01_ScholarShare,G851)*v01_OutScholar*INDEX(LM_Scholar,G851)+INDEX(v01_ResearcherShare,G851)*v01_OutResearcher*INDEX(LM_Researcher,G851)))</x:f>
        <x:v>29.78396258691272</x:v>
      </x:c>
      <x:c r="AL851" s="32" t="n">
        <x:f>H851*v01_RoleScale*Arch_Roles*AE851*INDEX(v01_MonasteryPerSett,G851)*v01_OutMonastery*INDEX(LM_Monastery,G851)</x:f>
        <x:v>0</x:v>
      </x:c>
      <x:c r="AM851" s="32" t="n">
        <x:f>(AJ851+AK851+AL851)/4*INDEX(LM_All,G851)*INDEX(v01_Boon,G851)*Arch_Insight</x:f>
        <x:v>60.255798235339554</x:v>
      </x:c>
      <x:c r="AN851" s="32" t="n">
        <x:f>H851*(v01_KHPerAdult*Z851+v01_KHOfCommons*AJ851/4*INDEX(LM_All,G851))*v01_KHUsable*Arch_KH</x:f>
        <x:v>13.919812934563591</x:v>
      </x:c>
      <x:c r="AO851" s="32" t="n">
        <x:f>MIN(AP850+AN851,AM851*v01_KHMaxRatio)</x:f>
        <x:v>13.919812934563591</x:v>
      </x:c>
      <x:c r="AP851" s="32" t="n">
        <x:f>AP850+AN851-AO851</x:f>
        <x:v>0</x:v>
      </x:c>
      <x:c r="AQ851" s="32" t="n">
        <x:f>AM851+AO851</x:f>
        <x:v>74.17561116990315</x:v>
      </x:c>
      <x:c r="AR851" s="10" t="n">
        <x:f>IF(H851=1,INDEX(v01_Req,G851),0)</x:f>
        <x:v>9805.661999999998</x:v>
      </x:c>
      <x:c r="AS851" s="32" t="n">
        <x:f>IF(H851=1,IF(E851=1,AS850-AR850,AS850)+AQ851,0)</x:f>
        <x:v>7022.634882554903</x:v>
      </x:c>
      <x:c r="AT851" s="11" t="n">
        <x:f>IF(AR851&gt;0,MIN(1,AS851/AR851),1)</x:f>
        <x:v>0.7161816185949408</x:v>
      </x:c>
      <x:c r="AU851" s="10" t="n">
        <x:f>AB851/INDEX(v01_RepScale,G851)</x:f>
        <x:v>181.3199465322511</x:v>
      </x:c>
      <x:c r="AV851" s="32" t="n">
        <x:f>AM851*60/v01_SeasonSeconds</x:f>
        <x:v>241.02319294135822</x:v>
      </x:c>
    </x:row>
    <x:row r="852">
      <x:c r="A852" s="8" t="n">
        <x:f>A851+1</x:f>
        <x:v>849</x:v>
      </x:c>
      <x:c r="B852" s="9" t="n">
        <x:f>A852*v01_SeasonSeconds/60</x:f>
        <x:v>212.25</x:v>
      </x:c>
      <x:c r="C852" s="9" t="n">
        <x:f>A852/4</x:f>
        <x:v>212.25</x:v>
      </x:c>
      <x:c r="D852" s="8" t="n">
        <x:f>IF(MOD(A852,4)=0,1,0)</x:f>
        <x:v>0</x:v>
      </x:c>
      <x:c r="E852" s="8" t="n">
        <x:f>IF(AND(F851&lt;=9,AS851&gt;=AR851),1,0)</x:f>
        <x:v>0</x:v>
      </x:c>
      <x:c r="F852" s="8" t="n">
        <x:f>MIN(10,F851+E852)</x:f>
        <x:v>3</x:v>
      </x:c>
      <x:c r="G852" s="8" t="n">
        <x:f>MIN(F852,9)+1</x:f>
        <x:v>4</x:v>
      </x:c>
      <x:c r="H852" s="8" t="n">
        <x:f>IF(F852&lt;=9,1,0)</x:f>
        <x:v>1</x:v>
      </x:c>
      <x:c r="I852" s="9" t="n">
        <x:f>MIN(10,F851+IF(AR851&gt;0,MIN(1,AS851/AR851),1))</x:f>
        <x:v>3.716181618594941</x:v>
      </x:c>
      <x:c r="J852" s="32" t="n">
        <x:f>INDEX(v01_FoodCap,G852)*Arch_FoodCap*EXP(v01_CapsByProject*SUMPRODUCT((Cap_Point&lt;=I852)*(Cap_Kind="Food")*Cap_Ln))</x:f>
        <x:v>120</x:v>
      </x:c>
      <x:c r="K852" s="32" t="n">
        <x:f>J852*MIN(1,v01_LeanBase*EXP(v01_CapsByProject*SUMPRODUCT((Cap_Point&lt;=I852)*(Cap_Kind="Lean")*Cap_Ln)))</x:f>
        <x:v>120</x:v>
      </x:c>
      <x:c r="L852" s="10" t="n">
        <x:f>INDEX(v01_HousingCap,G852)*EXP(v01_CapsByProject*SUMPRODUCT((Cap_Point&lt;=I852)*(Cap_Kind="Housing")*Cap_Ln))</x:f>
        <x:v>200</x:v>
      </x:c>
      <x:c r="M852" s="10" t="n">
        <x:f>INDEX(v01_GroupCap,G852)*v01_CohesionFactor*EXP(v01_CapsByProject*SUMPRODUCT((Cap_Point&lt;=I852)*(Cap_Kind="Group")*Cap_Ln))</x:f>
        <x:v>5000</x:v>
      </x:c>
      <x:c r="N852" s="32" t="n">
        <x:f>MIN(J852,L852,M852)</x:f>
        <x:v>120</x:v>
      </x:c>
      <x:c r="O852" s="10" t="n">
        <x:f>AE851*N852</x:f>
        <x:v>1080</x:v>
      </x:c>
      <x:c r="P852" s="9" t="n">
        <x:f>MIN(1,(AB851/(AE851*IF(v01_GroupInCrowding=1,N852,MIN(J852,L852))))^v01_CrowdingExp)</x:f>
        <x:v>0.3499056756534201</x:v>
      </x:c>
      <x:c r="Q852" s="9" t="n">
        <x:f>IF(D852=1,INDEX(v01_WinterMult,G852),1)</x:f>
        <x:v>1</x:v>
      </x:c>
      <x:c r="R852" s="9" t="n">
        <x:f>H852*Z851*v01_WomenShare*v01_BaseFertility*INDEX(v01_FertMult,G852)*Arch_Fertility*(1-P852)</x:f>
        <x:v>10.083384685837432</x:v>
      </x:c>
      <x:c r="S852" s="9" t="n">
        <x:f>H852*Y851*INDEX(v01_MortChild,G852)/4*Q852</x:f>
        <x:v>2.807165168978392</x:v>
      </x:c>
      <x:c r="T852" s="9" t="n">
        <x:f>H852*Z851*INDEX(v01_MortAdult,G852)*Arch_AdultMort/4*Q852</x:f>
        <x:v>1.0936995877157105</x:v>
      </x:c>
      <x:c r="U852" s="9" t="n">
        <x:f>H852*AA851*INDEX(v01_MortElder,G852)/4*Q852</x:f>
        <x:v>2.1872841652448365</x:v>
      </x:c>
      <x:c r="V852" s="9" t="n">
        <x:f>H852*MAX(0,AB851-O852)*v01_OvercapLoss</x:f>
        <x:v>0</x:v>
      </x:c>
      <x:c r="W852" s="9" t="n">
        <x:f>H852*Y851/(v01_ChildYears*4)</x:f>
        <x:v>6.683726592805696</x:v>
      </x:c>
      <x:c r="X852" s="9" t="n">
        <x:f>H852*Z851/(v01_AdultYears*4)</x:f>
        <x:v>3.2073301692542833</x:v>
      </x:c>
      <x:c r="Y852" s="32" t="n">
        <x:f>Y851+R852-S852-W852-Y851*V852/AB851</x:f>
        <x:v>374.88118212117234</x:v>
      </x:c>
      <x:c r="Z852" s="32" t="n">
        <x:f>Z851+W852-X852-T852-Z851*V852/AB851</x:f>
        <x:v>400.0916378233668</x:v>
      </x:c>
      <x:c r="AA852" s="32" t="n">
        <x:f>AA851+X852-U852-AA851*V852/AB851</x:f>
        <x:v>135.62214848061475</x:v>
      </x:c>
      <x:c r="AB852" s="10" t="n">
        <x:f>Y852+Z852+AA852</x:f>
        <x:v>910.594968425154</x:v>
      </x:c>
      <x:c r="AC852" s="8" t="n">
        <x:f>IF(AND(v01_WinterTrigger=1,D852=1,AB851/AE851&gt;=K852),1,0)</x:f>
        <x:v>0</x:v>
      </x:c>
      <x:c r="AD852" s="8" t="n">
        <x:f>H852*IF(AND(OR(AB851/AE851&gt;=v01_FissionTrigger*N852,AC852=1),AB851/AE851*v01_DaughterShare&gt;=v01_MinDaughter),MAX(1,ROUND(AE851*v01_FissionRate,0)),0)</x:f>
        <x:v>0</x:v>
      </x:c>
      <x:c r="AE852" s="8" t="n">
        <x:f>IF(H852=1,MAX(1,MIN(INDEX(v01_Smax,G852),AE851+AD852)),AE851)</x:f>
        <x:v>9</x:v>
      </x:c>
      <x:c r="AF852" s="8" t="n">
        <x:f>MAX(0,AE852-AE851)</x:f>
        <x:v>0</x:v>
      </x:c>
      <x:c r="AG852" s="9" t="str">
        <x:f>IF(AF852&gt;0,B852,"")</x:f>
      </x:c>
      <x:c r="AH852" s="9" t="n">
        <x:f>IF(F852&gt;=1,1,(1+v01_LowTiesShare*(AE852-1))/AE852)</x:f>
        <x:v>1</x:v>
      </x:c>
      <x:c r="AI852" s="32" t="n">
        <x:f>(Z852+v01_ElderCommons*INDEX(LM_Elder,G852)*AA852)*AH852</x:f>
        <x:v>806.958083265211</x:v>
      </x:c>
      <x:c r="AJ852" s="32" t="n">
        <x:f>H852*v01_CommonsCoef*AI852^v01_CommonsExp*INDEX(LM_Commons,G852)</x:f>
        <x:v>195.14942022547072</x:v>
      </x:c>
      <x:c r="AK852" s="32" t="n">
        <x:f>H852*v01_RoleScale*Arch_Roles*(AE852*(INDEX(v01_ElderRolePerSett,G852)*v01_OutElder*INDEX(LM_Elder,G852)+INDEX(v01_ShamanPerSett,G852)*v01_OutShaman)+Z852*(INDEX(v01_PriestShare,G852)*v01_OutPriest+INDEX(v01_ScribeShare,G852)*v01_OutScribe*INDEX(LM_Scribe,G852)+INDEX(v01_ScholarShare,G852)*v01_OutScholar*INDEX(LM_Scholar,G852)+INDEX(v01_ResearcherShare,G852)*v01_OutResearcher*INDEX(LM_Researcher,G852)))</x:f>
        <x:v>29.80064146476357</x:v>
      </x:c>
      <x:c r="AL852" s="32" t="n">
        <x:f>H852*v01_RoleScale*Arch_Roles*AE852*INDEX(v01_MonasteryPerSett,G852)*v01_OutMonastery*INDEX(LM_Monastery,G852)</x:f>
        <x:v>0</x:v>
      </x:c>
      <x:c r="AM852" s="32" t="n">
        <x:f>(AJ852+AK852+AL852)/4*INDEX(LM_All,G852)*INDEX(v01_Boon,G852)*Arch_Insight</x:f>
        <x:v>60.56165313184622</x:v>
      </x:c>
      <x:c r="AN852" s="32" t="n">
        <x:f>H852*(v01_KHPerAdult*Z852+v01_KHOfCommons*AJ852/4*INDEX(LM_All,G852))*v01_KHUsable*Arch_KH</x:f>
        <x:v>14.003207323817838</x:v>
      </x:c>
      <x:c r="AO852" s="32" t="n">
        <x:f>MIN(AP851+AN852,AM852*v01_KHMaxRatio)</x:f>
        <x:v>14.003207323817838</x:v>
      </x:c>
      <x:c r="AP852" s="32" t="n">
        <x:f>AP851+AN852-AO852</x:f>
        <x:v>0</x:v>
      </x:c>
      <x:c r="AQ852" s="32" t="n">
        <x:f>AM852+AO852</x:f>
        <x:v>74.56486045566406</x:v>
      </x:c>
      <x:c r="AR852" s="10" t="n">
        <x:f>IF(H852=1,INDEX(v01_Req,G852),0)</x:f>
        <x:v>9805.661999999998</x:v>
      </x:c>
      <x:c r="AS852" s="32" t="n">
        <x:f>IF(H852=1,IF(E852=1,AS851-AR851,AS851)+AQ852,0)</x:f>
        <x:v>7097.199743010567</x:v>
      </x:c>
      <x:c r="AT852" s="11" t="n">
        <x:f>IF(AR852&gt;0,MIN(1,AS852/AR852),1)</x:f>
        <x:v>0.7237858844217319</x:v>
      </x:c>
      <x:c r="AU852" s="10" t="n">
        <x:f>AB852/INDEX(v01_RepScale,G852)</x:f>
        <x:v>182.1189936850308</x:v>
      </x:c>
      <x:c r="AV852" s="32" t="n">
        <x:f>AM852*60/v01_SeasonSeconds</x:f>
        <x:v>242.24661252738488</x:v>
      </x:c>
    </x:row>
    <x:row r="853">
      <x:c r="A853" s="8" t="n">
        <x:f>A852+1</x:f>
        <x:v>850</x:v>
      </x:c>
      <x:c r="B853" s="9" t="n">
        <x:f>A853*v01_SeasonSeconds/60</x:f>
        <x:v>212.5</x:v>
      </x:c>
      <x:c r="C853" s="9" t="n">
        <x:f>A853/4</x:f>
        <x:v>212.5</x:v>
      </x:c>
      <x:c r="D853" s="8" t="n">
        <x:f>IF(MOD(A853,4)=0,1,0)</x:f>
        <x:v>0</x:v>
      </x:c>
      <x:c r="E853" s="8" t="n">
        <x:f>IF(AND(F852&lt;=9,AS852&gt;=AR852),1,0)</x:f>
        <x:v>0</x:v>
      </x:c>
      <x:c r="F853" s="8" t="n">
        <x:f>MIN(10,F852+E853)</x:f>
        <x:v>3</x:v>
      </x:c>
      <x:c r="G853" s="8" t="n">
        <x:f>MIN(F853,9)+1</x:f>
        <x:v>4</x:v>
      </x:c>
      <x:c r="H853" s="8" t="n">
        <x:f>IF(F853&lt;=9,1,0)</x:f>
        <x:v>1</x:v>
      </x:c>
      <x:c r="I853" s="9" t="n">
        <x:f>MIN(10,F852+IF(AR852&gt;0,MIN(1,AS852/AR852),1))</x:f>
        <x:v>3.7237858844217318</x:v>
      </x:c>
      <x:c r="J853" s="32" t="n">
        <x:f>INDEX(v01_FoodCap,G853)*Arch_FoodCap*EXP(v01_CapsByProject*SUMPRODUCT((Cap_Point&lt;=I853)*(Cap_Kind="Food")*Cap_Ln))</x:f>
        <x:v>120</x:v>
      </x:c>
      <x:c r="K853" s="32" t="n">
        <x:f>J853*MIN(1,v01_LeanBase*EXP(v01_CapsByProject*SUMPRODUCT((Cap_Point&lt;=I853)*(Cap_Kind="Lean")*Cap_Ln)))</x:f>
        <x:v>120</x:v>
      </x:c>
      <x:c r="L853" s="10" t="n">
        <x:f>INDEX(v01_HousingCap,G853)*EXP(v01_CapsByProject*SUMPRODUCT((Cap_Point&lt;=I853)*(Cap_Kind="Housing")*Cap_Ln))</x:f>
        <x:v>200</x:v>
      </x:c>
      <x:c r="M853" s="10" t="n">
        <x:f>INDEX(v01_GroupCap,G853)*v01_CohesionFactor*EXP(v01_CapsByProject*SUMPRODUCT((Cap_Point&lt;=I853)*(Cap_Kind="Group")*Cap_Ln))</x:f>
        <x:v>5000</x:v>
      </x:c>
      <x:c r="N853" s="32" t="n">
        <x:f>MIN(J853,L853,M853)</x:f>
        <x:v>120</x:v>
      </x:c>
      <x:c r="O853" s="10" t="n">
        <x:f>AE852*N853</x:f>
        <x:v>1080</x:v>
      </x:c>
      <x:c r="P853" s="9" t="n">
        <x:f>MIN(1,(AB852/(AE852*IF(v01_GroupInCrowding=1,N853,MIN(J853,L853))))^v01_CrowdingExp)</x:f>
        <x:v>0.35926006534399046</x:v>
      </x:c>
      <x:c r="Q853" s="9" t="n">
        <x:f>IF(D853=1,INDEX(v01_WinterMult,G853),1)</x:f>
        <x:v>1</x:v>
      </x:c>
      <x:c r="R853" s="9" t="n">
        <x:f>H853*Z852*v01_WomenShare*v01_BaseFertility*INDEX(v01_FertMult,G853)*Arch_Fertility*(1-P853)</x:f>
        <x:v>9.997832905139035</x:v>
      </x:c>
      <x:c r="S853" s="9" t="n">
        <x:f>H853*Y852*INDEX(v01_MortChild,G853)/4*Q853</x:f>
        <x:v>2.8116088659087923</x:v>
      </x:c>
      <x:c r="T853" s="9" t="n">
        <x:f>H853*Z852*INDEX(v01_MortAdult,G853)*Arch_AdultMort/4*Q853</x:f>
        <x:v>1.1002520040142587</x:v>
      </x:c>
      <x:c r="U853" s="9" t="n">
        <x:f>H853*AA852*INDEX(v01_MortElder,G853)/4*Q853</x:f>
        <x:v>2.20385991280999</x:v>
      </x:c>
      <x:c r="V853" s="9" t="n">
        <x:f>H853*MAX(0,AB852-O853)*v01_OvercapLoss</x:f>
        <x:v>0</x:v>
      </x:c>
      <x:c r="W853" s="9" t="n">
        <x:f>H853*Y852/(v01_ChildYears*4)</x:f>
        <x:v>6.694306823592363</x:v>
      </x:c>
      <x:c r="X853" s="9" t="n">
        <x:f>H853*Z852/(v01_AdultYears*4)</x:f>
        <x:v>3.226545466317474</x:v>
      </x:c>
      <x:c r="Y853" s="32" t="n">
        <x:f>Y852+R853-S853-W853-Y852*V853/AB852</x:f>
        <x:v>375.37309933681024</x:v>
      </x:c>
      <x:c r="Z853" s="32" t="n">
        <x:f>Z852+W853-X853-T853-Z852*V853/AB852</x:f>
        <x:v>402.4591471766274</x:v>
      </x:c>
      <x:c r="AA853" s="32" t="n">
        <x:f>AA852+X853-U853-AA852*V853/AB852</x:f>
        <x:v>136.64483403412223</x:v>
      </x:c>
      <x:c r="AB853" s="10" t="n">
        <x:f>Y853+Z853+AA853</x:f>
        <x:v>914.4770805475599</x:v>
      </x:c>
      <x:c r="AC853" s="8" t="n">
        <x:f>IF(AND(v01_WinterTrigger=1,D853=1,AB852/AE852&gt;=K853),1,0)</x:f>
        <x:v>0</x:v>
      </x:c>
      <x:c r="AD853" s="8" t="n">
        <x:f>H853*IF(AND(OR(AB852/AE852&gt;=v01_FissionTrigger*N853,AC853=1),AB852/AE852*v01_DaughterShare&gt;=v01_MinDaughter),MAX(1,ROUND(AE852*v01_FissionRate,0)),0)</x:f>
        <x:v>0</x:v>
      </x:c>
      <x:c r="AE853" s="8" t="n">
        <x:f>IF(H853=1,MAX(1,MIN(INDEX(v01_Smax,G853),AE852+AD853)),AE852)</x:f>
        <x:v>9</x:v>
      </x:c>
      <x:c r="AF853" s="8" t="n">
        <x:f>MAX(0,AE853-AE852)</x:f>
        <x:v>0</x:v>
      </x:c>
      <x:c r="AG853" s="9" t="str">
        <x:f>IF(AF853&gt;0,B853,"")</x:f>
      </x:c>
      <x:c r="AH853" s="9" t="n">
        <x:f>IF(F853&gt;=1,1,(1+v01_LowTiesShare*(AE853-1))/AE853)</x:f>
        <x:v>1</x:v>
      </x:c>
      <x:c r="AI853" s="32" t="n">
        <x:f>(Z853+v01_ElderCommons*INDEX(LM_Elder,G853)*AA853)*AH853</x:f>
        <x:v>812.3936492789941</x:v>
      </x:c>
      <x:c r="AJ853" s="32" t="n">
        <x:f>H853*v01_CommonsCoef*AI853^v01_CommonsExp*INDEX(LM_Commons,G853)</x:f>
        <x:v>196.26618343264278</x:v>
      </x:c>
      <x:c r="AK853" s="32" t="n">
        <x:f>H853*v01_RoleScale*Arch_Roles*(AE853*(INDEX(v01_ElderRolePerSett,G853)*v01_OutElder*INDEX(LM_Elder,G853)+INDEX(v01_ShamanPerSett,G853)*v01_OutShaman)+Z853*(INDEX(v01_PriestShare,G853)*v01_OutPriest+INDEX(v01_ScribeShare,G853)*v01_OutScribe*INDEX(LM_Scribe,G853)+INDEX(v01_ScholarShare,G853)*v01_OutScholar*INDEX(LM_Scholar,G853)+INDEX(v01_ResearcherShare,G853)*v01_OutResearcher*INDEX(LM_Researcher,G853)))</x:f>
        <x:v>29.817214030236393</x:v>
      </x:c>
      <x:c r="AL853" s="32" t="n">
        <x:f>H853*v01_RoleScale*Arch_Roles*AE853*INDEX(v01_MonasteryPerSett,G853)*v01_OutMonastery*INDEX(LM_Monastery,G853)</x:f>
        <x:v>0</x:v>
      </x:c>
      <x:c r="AM853" s="32" t="n">
        <x:f>(AJ853+AK853+AL853)/4*INDEX(LM_All,G853)*INDEX(v01_Boon,G853)*Arch_Insight</x:f>
        <x:v>60.86677279898082</x:v>
      </x:c>
      <x:c r="AN853" s="32" t="n">
        <x:f>H853*(v01_KHPerAdult*Z853+v01_KHOfCommons*AJ853/4*INDEX(LM_All,G853))*v01_KHUsable*Arch_KH</x:f>
        <x:v>14.086070151181959</x:v>
      </x:c>
      <x:c r="AO853" s="32" t="n">
        <x:f>MIN(AP852+AN853,AM853*v01_KHMaxRatio)</x:f>
        <x:v>14.086070151181959</x:v>
      </x:c>
      <x:c r="AP853" s="32" t="n">
        <x:f>AP852+AN853-AO853</x:f>
        <x:v>0</x:v>
      </x:c>
      <x:c r="AQ853" s="32" t="n">
        <x:f>AM853+AO853</x:f>
        <x:v>74.95284295016278</x:v>
      </x:c>
      <x:c r="AR853" s="10" t="n">
        <x:f>IF(H853=1,INDEX(v01_Req,G853),0)</x:f>
        <x:v>9805.661999999998</x:v>
      </x:c>
      <x:c r="AS853" s="32" t="n">
        <x:f>IF(H853=1,IF(E853=1,AS852-AR852,AS852)+AQ853,0)</x:f>
        <x:v>7172.152585960729</x:v>
      </x:c>
      <x:c r="AT853" s="11" t="n">
        <x:f>IF(AR853&gt;0,MIN(1,AS853/AR853),1)</x:f>
        <x:v>0.7314297174388359</x:v>
      </x:c>
      <x:c r="AU853" s="10" t="n">
        <x:f>AB853/INDEX(v01_RepScale,G853)</x:f>
        <x:v>182.89541610951198</x:v>
      </x:c>
      <x:c r="AV853" s="32" t="n">
        <x:f>AM853*60/v01_SeasonSeconds</x:f>
        <x:v>243.46709119592327</x:v>
      </x:c>
    </x:row>
    <x:row r="854">
      <x:c r="A854" s="8" t="n">
        <x:f>A853+1</x:f>
        <x:v>851</x:v>
      </x:c>
      <x:c r="B854" s="9" t="n">
        <x:f>A854*v01_SeasonSeconds/60</x:f>
        <x:v>212.75</x:v>
      </x:c>
      <x:c r="C854" s="9" t="n">
        <x:f>A854/4</x:f>
        <x:v>212.75</x:v>
      </x:c>
      <x:c r="D854" s="8" t="n">
        <x:f>IF(MOD(A854,4)=0,1,0)</x:f>
        <x:v>0</x:v>
      </x:c>
      <x:c r="E854" s="8" t="n">
        <x:f>IF(AND(F853&lt;=9,AS853&gt;=AR853),1,0)</x:f>
        <x:v>0</x:v>
      </x:c>
      <x:c r="F854" s="8" t="n">
        <x:f>MIN(10,F853+E854)</x:f>
        <x:v>3</x:v>
      </x:c>
      <x:c r="G854" s="8" t="n">
        <x:f>MIN(F854,9)+1</x:f>
        <x:v>4</x:v>
      </x:c>
      <x:c r="H854" s="8" t="n">
        <x:f>IF(F854&lt;=9,1,0)</x:f>
        <x:v>1</x:v>
      </x:c>
      <x:c r="I854" s="9" t="n">
        <x:f>MIN(10,F853+IF(AR853&gt;0,MIN(1,AS853/AR853),1))</x:f>
        <x:v>3.731429717438836</x:v>
      </x:c>
      <x:c r="J854" s="32" t="n">
        <x:f>INDEX(v01_FoodCap,G854)*Arch_FoodCap*EXP(v01_CapsByProject*SUMPRODUCT((Cap_Point&lt;=I854)*(Cap_Kind="Food")*Cap_Ln))</x:f>
        <x:v>120</x:v>
      </x:c>
      <x:c r="K854" s="32" t="n">
        <x:f>J854*MIN(1,v01_LeanBase*EXP(v01_CapsByProject*SUMPRODUCT((Cap_Point&lt;=I854)*(Cap_Kind="Lean")*Cap_Ln)))</x:f>
        <x:v>120</x:v>
      </x:c>
      <x:c r="L854" s="10" t="n">
        <x:f>INDEX(v01_HousingCap,G854)*EXP(v01_CapsByProject*SUMPRODUCT((Cap_Point&lt;=I854)*(Cap_Kind="Housing")*Cap_Ln))</x:f>
        <x:v>200</x:v>
      </x:c>
      <x:c r="M854" s="10" t="n">
        <x:f>INDEX(v01_GroupCap,G854)*v01_CohesionFactor*EXP(v01_CapsByProject*SUMPRODUCT((Cap_Point&lt;=I854)*(Cap_Kind="Group")*Cap_Ln))</x:f>
        <x:v>5000</x:v>
      </x:c>
      <x:c r="N854" s="32" t="n">
        <x:f>MIN(J854,L854,M854)</x:f>
        <x:v>120</x:v>
      </x:c>
      <x:c r="O854" s="10" t="n">
        <x:f>AE853*N854</x:f>
        <x:v>1080</x:v>
      </x:c>
      <x:c r="P854" s="9" t="n">
        <x:f>MIN(1,(AB853/(AE853*IF(v01_GroupInCrowding=1,N854,MIN(J854,L854))))^v01_CrowdingExp)</x:f>
        <x:v>0.36854830543884853</x:v>
      </x:c>
      <x:c r="Q854" s="9" t="n">
        <x:f>IF(D854=1,INDEX(v01_WinterMult,G854),1)</x:f>
        <x:v>1</x:v>
      </x:c>
      <x:c r="R854" s="9" t="n">
        <x:f>H854*Z853*v01_WomenShare*v01_BaseFertility*INDEX(v01_FertMult,G854)*Arch_Fertility*(1-P854)</x:f>
        <x:v>9.911206908576373</x:v>
      </x:c>
      <x:c r="S854" s="9" t="n">
        <x:f>H854*Y853*INDEX(v01_MortChild,G854)/4*Q854</x:f>
        <x:v>2.8152982450260766</x:v>
      </x:c>
      <x:c r="T854" s="9" t="n">
        <x:f>H854*Z853*INDEX(v01_MortAdult,G854)*Arch_AdultMort/4*Q854</x:f>
        <x:v>1.1067626547357254</x:v>
      </x:c>
      <x:c r="U854" s="9" t="n">
        <x:f>H854*AA853*INDEX(v01_MortElder,G854)/4*Q854</x:f>
        <x:v>2.220478553054486</x:v>
      </x:c>
      <x:c r="V854" s="9" t="n">
        <x:f>H854*MAX(0,AB853-O854)*v01_OvercapLoss</x:f>
        <x:v>0</x:v>
      </x:c>
      <x:c r="W854" s="9" t="n">
        <x:f>H854*Y853/(v01_ChildYears*4)</x:f>
        <x:v>6.703091059585897</x:v>
      </x:c>
      <x:c r="X854" s="9" t="n">
        <x:f>H854*Z853/(v01_AdultYears*4)</x:f>
        <x:v>3.2456382836824793</x:v>
      </x:c>
      <x:c r="Y854" s="32" t="n">
        <x:f>Y853+R854-S854-W854-Y853*V854/AB853</x:f>
        <x:v>375.7659169407746</x:v>
      </x:c>
      <x:c r="Z854" s="32" t="n">
        <x:f>Z853+W854-X854-T854-Z853*V854/AB853</x:f>
        <x:v>404.8098372977951</x:v>
      </x:c>
      <x:c r="AA854" s="32" t="n">
        <x:f>AA853+X854-U854-AA853*V854/AB853</x:f>
        <x:v>137.66999376475022</x:v>
      </x:c>
      <x:c r="AB854" s="10" t="n">
        <x:f>Y854+Z854+AA854</x:f>
        <x:v>918.2457480033199</x:v>
      </x:c>
      <x:c r="AC854" s="8" t="n">
        <x:f>IF(AND(v01_WinterTrigger=1,D854=1,AB853/AE853&gt;=K854),1,0)</x:f>
        <x:v>0</x:v>
      </x:c>
      <x:c r="AD854" s="8" t="n">
        <x:f>H854*IF(AND(OR(AB853/AE853&gt;=v01_FissionTrigger*N854,AC854=1),AB853/AE853*v01_DaughterShare&gt;=v01_MinDaughter),MAX(1,ROUND(AE853*v01_FissionRate,0)),0)</x:f>
        <x:v>0</x:v>
      </x:c>
      <x:c r="AE854" s="8" t="n">
        <x:f>IF(H854=1,MAX(1,MIN(INDEX(v01_Smax,G854),AE853+AD854)),AE853)</x:f>
        <x:v>9</x:v>
      </x:c>
      <x:c r="AF854" s="8" t="n">
        <x:f>MAX(0,AE854-AE853)</x:f>
        <x:v>0</x:v>
      </x:c>
      <x:c r="AG854" s="9" t="str">
        <x:f>IF(AF854&gt;0,B854,"")</x:f>
      </x:c>
      <x:c r="AH854" s="9" t="n">
        <x:f>IF(F854&gt;=1,1,(1+v01_LowTiesShare*(AE854-1))/AE854)</x:f>
        <x:v>1</x:v>
      </x:c>
      <x:c r="AI854" s="32" t="n">
        <x:f>(Z854+v01_ElderCommons*INDEX(LM_Elder,G854)*AA854)*AH854</x:f>
        <x:v>817.8198185920457</x:v>
      </x:c>
      <x:c r="AJ854" s="32" t="n">
        <x:f>H854*v01_CommonsCoef*AI854^v01_CommonsExp*INDEX(LM_Commons,G854)</x:f>
        <x:v>197.37989868758459</x:v>
      </x:c>
      <x:c r="AK854" s="32" t="n">
        <x:f>H854*v01_RoleScale*Arch_Roles*(AE854*(INDEX(v01_ElderRolePerSett,G854)*v01_OutElder*INDEX(LM_Elder,G854)+INDEX(v01_ShamanPerSett,G854)*v01_OutShaman)+Z854*(INDEX(v01_PriestShare,G854)*v01_OutPriest+INDEX(v01_ScribeShare,G854)*v01_OutScribe*INDEX(LM_Scribe,G854)+INDEX(v01_ScholarShare,G854)*v01_OutScholar*INDEX(LM_Scholar,G854)+INDEX(v01_ResearcherShare,G854)*v01_OutResearcher*INDEX(LM_Researcher,G854)))</x:f>
        <x:v>29.833668861084565</x:v>
      </x:c>
      <x:c r="AL854" s="32" t="n">
        <x:f>H854*v01_RoleScale*Arch_Roles*AE854*INDEX(v01_MonasteryPerSett,G854)*v01_OutMonastery*INDEX(LM_Monastery,G854)</x:f>
        <x:v>0</x:v>
      </x:c>
      <x:c r="AM854" s="32" t="n">
        <x:f>(AJ854+AK854+AL854)/4*INDEX(LM_All,G854)*INDEX(v01_Boon,G854)*Arch_Insight</x:f>
        <x:v>61.17104019149149</x:v>
      </x:c>
      <x:c r="AN854" s="32" t="n">
        <x:f>H854*(v01_KHPerAdult*Z854+v01_KHOfCommons*AJ854/4*INDEX(LM_All,G854))*v01_KHUsable*Arch_KH</x:f>
        <x:v>14.16834430542283</x:v>
      </x:c>
      <x:c r="AO854" s="32" t="n">
        <x:f>MIN(AP853+AN854,AM854*v01_KHMaxRatio)</x:f>
        <x:v>14.16834430542283</x:v>
      </x:c>
      <x:c r="AP854" s="32" t="n">
        <x:f>AP853+AN854-AO854</x:f>
        <x:v>0</x:v>
      </x:c>
      <x:c r="AQ854" s="32" t="n">
        <x:f>AM854+AO854</x:f>
        <x:v>75.33938449691432</x:v>
      </x:c>
      <x:c r="AR854" s="10" t="n">
        <x:f>IF(H854=1,INDEX(v01_Req,G854),0)</x:f>
        <x:v>9805.661999999998</x:v>
      </x:c>
      <x:c r="AS854" s="32" t="n">
        <x:f>IF(H854=1,IF(E854=1,AS853-AR853,AS853)+AQ854,0)</x:f>
        <x:v>7247.491970457643</x:v>
      </x:c>
      <x:c r="AT854" s="11" t="n">
        <x:f>IF(AR854&gt;0,MIN(1,AS854/AR854),1)</x:f>
        <x:v>0.73911297069567</x:v>
      </x:c>
      <x:c r="AU854" s="10" t="n">
        <x:f>AB854/INDEX(v01_RepScale,G854)</x:f>
        <x:v>183.64914960066397</x:v>
      </x:c>
      <x:c r="AV854" s="32" t="n">
        <x:f>AM854*60/v01_SeasonSeconds</x:f>
        <x:v>244.68416076596597</x:v>
      </x:c>
    </x:row>
    <x:row r="855">
      <x:c r="A855" s="8" t="n">
        <x:f>A854+1</x:f>
        <x:v>852</x:v>
      </x:c>
      <x:c r="B855" s="9" t="n">
        <x:f>A855*v01_SeasonSeconds/60</x:f>
        <x:v>213</x:v>
      </x:c>
      <x:c r="C855" s="9" t="n">
        <x:f>A855/4</x:f>
        <x:v>213</x:v>
      </x:c>
      <x:c r="D855" s="8" t="n">
        <x:f>IF(MOD(A855,4)=0,1,0)</x:f>
        <x:v>1</x:v>
      </x:c>
      <x:c r="E855" s="8" t="n">
        <x:f>IF(AND(F854&lt;=9,AS854&gt;=AR854),1,0)</x:f>
        <x:v>0</x:v>
      </x:c>
      <x:c r="F855" s="8" t="n">
        <x:f>MIN(10,F854+E855)</x:f>
        <x:v>3</x:v>
      </x:c>
      <x:c r="G855" s="8" t="n">
        <x:f>MIN(F855,9)+1</x:f>
        <x:v>4</x:v>
      </x:c>
      <x:c r="H855" s="8" t="n">
        <x:f>IF(F855&lt;=9,1,0)</x:f>
        <x:v>1</x:v>
      </x:c>
      <x:c r="I855" s="9" t="n">
        <x:f>MIN(10,F854+IF(AR854&gt;0,MIN(1,AS854/AR854),1))</x:f>
        <x:v>3.73911297069567</x:v>
      </x:c>
      <x:c r="J855" s="32" t="n">
        <x:f>INDEX(v01_FoodCap,G855)*Arch_FoodCap*EXP(v01_CapsByProject*SUMPRODUCT((Cap_Point&lt;=I855)*(Cap_Kind="Food")*Cap_Ln))</x:f>
        <x:v>120</x:v>
      </x:c>
      <x:c r="K855" s="32" t="n">
        <x:f>J855*MIN(1,v01_LeanBase*EXP(v01_CapsByProject*SUMPRODUCT((Cap_Point&lt;=I855)*(Cap_Kind="Lean")*Cap_Ln)))</x:f>
        <x:v>120</x:v>
      </x:c>
      <x:c r="L855" s="10" t="n">
        <x:f>INDEX(v01_HousingCap,G855)*EXP(v01_CapsByProject*SUMPRODUCT((Cap_Point&lt;=I855)*(Cap_Kind="Housing")*Cap_Ln))</x:f>
        <x:v>200</x:v>
      </x:c>
      <x:c r="M855" s="10" t="n">
        <x:f>INDEX(v01_GroupCap,G855)*v01_CohesionFactor*EXP(v01_CapsByProject*SUMPRODUCT((Cap_Point&lt;=I855)*(Cap_Kind="Group")*Cap_Ln))</x:f>
        <x:v>5000</x:v>
      </x:c>
      <x:c r="N855" s="32" t="n">
        <x:f>MIN(J855,L855,M855)</x:f>
        <x:v>120</x:v>
      </x:c>
      <x:c r="O855" s="10" t="n">
        <x:f>AE854*N855</x:f>
        <x:v>1080</x:v>
      </x:c>
      <x:c r="P855" s="9" t="n">
        <x:f>MIN(1,(AB854/(AE854*IF(v01_GroupInCrowding=1,N855,MIN(J855,L855))))^v01_CrowdingExp)</x:f>
        <x:v>0.37775569726555563</x:v>
      </x:c>
      <x:c r="Q855" s="9" t="n">
        <x:f>IF(D855=1,INDEX(v01_WinterMult,G855),1)</x:f>
        <x:v>1.15</x:v>
      </x:c>
      <x:c r="R855" s="9" t="n">
        <x:f>H855*Z854*v01_WomenShare*v01_BaseFertility*INDEX(v01_FertMult,G855)*Arch_Fertility*(1-P855)</x:f>
        <x:v>9.823733983027006</x:v>
      </x:c>
      <x:c r="S855" s="9" t="n">
        <x:f>H855*Y854*INDEX(v01_MortChild,G855)/4*Q855</x:f>
        <x:v>3.240981033614181</x:v>
      </x:c>
      <x:c r="T855" s="9" t="n">
        <x:f>H855*Z854*INDEX(v01_MortAdult,G855)*Arch_AdultMort/4*Q855</x:f>
        <x:v>1.2802111104542768</x:v>
      </x:c>
      <x:c r="U855" s="9" t="n">
        <x:f>H855*AA854*INDEX(v01_MortElder,G855)/4*Q855</x:f>
        <x:v>2.5727080084787692</x:v>
      </x:c>
      <x:c r="V855" s="9" t="n">
        <x:f>H855*MAX(0,AB854-O855)*v01_OvercapLoss</x:f>
        <x:v>0</x:v>
      </x:c>
      <x:c r="W855" s="9" t="n">
        <x:f>H855*Y854/(v01_ChildYears*4)</x:f>
        <x:v>6.71010565965669</x:v>
      </x:c>
      <x:c r="X855" s="9" t="n">
        <x:f>H855*Z854/(v01_AdultYears*4)</x:f>
        <x:v>3.2645954620789928</x:v>
      </x:c>
      <x:c r="Y855" s="32" t="n">
        <x:f>Y854+R855-S855-W855-Y854*V855/AB854</x:f>
        <x:v>375.6385642305308</x:v>
      </x:c>
      <x:c r="Z855" s="32" t="n">
        <x:f>Z854+W855-X855-T855-Z854*V855/AB854</x:f>
        <x:v>406.9751363849185</x:v>
      </x:c>
      <x:c r="AA855" s="32" t="n">
        <x:f>AA854+X855-U855-AA854*V855/AB854</x:f>
        <x:v>138.36188121835045</x:v>
      </x:c>
      <x:c r="AB855" s="10" t="n">
        <x:f>Y855+Z855+AA855</x:f>
        <x:v>920.9755818337997</x:v>
      </x:c>
      <x:c r="AC855" s="8" t="n">
        <x:f>IF(AND(v01_WinterTrigger=1,D855=1,AB854/AE854&gt;=K855),1,0)</x:f>
        <x:v>0</x:v>
      </x:c>
      <x:c r="AD855" s="8" t="n">
        <x:f>H855*IF(AND(OR(AB854/AE854&gt;=v01_FissionTrigger*N855,AC855=1),AB854/AE854*v01_DaughterShare&gt;=v01_MinDaughter),MAX(1,ROUND(AE854*v01_FissionRate,0)),0)</x:f>
        <x:v>3</x:v>
      </x:c>
      <x:c r="AE855" s="8" t="n">
        <x:f>IF(H855=1,MAX(1,MIN(INDEX(v01_Smax,G855),AE854+AD855)),AE854)</x:f>
        <x:v>12</x:v>
      </x:c>
      <x:c r="AF855" s="8" t="n">
        <x:f>MAX(0,AE855-AE854)</x:f>
        <x:v>3</x:v>
      </x:c>
      <x:c r="AG855" s="9" t="n">
        <x:f>IF(AF855&gt;0,B855,"")</x:f>
        <x:v>213</x:v>
      </x:c>
      <x:c r="AH855" s="9" t="n">
        <x:f>IF(F855&gt;=1,1,(1+v01_LowTiesShare*(AE855-1))/AE855)</x:f>
        <x:v>1</x:v>
      </x:c>
      <x:c r="AI855" s="32" t="n">
        <x:f>(Z855+v01_ElderCommons*INDEX(LM_Elder,G855)*AA855)*AH855</x:f>
        <x:v>822.0607800399698</x:v>
      </x:c>
      <x:c r="AJ855" s="32" t="n">
        <x:f>H855*v01_CommonsCoef*AI855^v01_CommonsExp*INDEX(LM_Commons,G855)</x:f>
        <x:v>198.2495795922704</x:v>
      </x:c>
      <x:c r="AK855" s="32" t="n">
        <x:f>H855*v01_RoleScale*Arch_Roles*(AE855*(INDEX(v01_ElderRolePerSett,G855)*v01_OutElder*INDEX(LM_Elder,G855)+INDEX(v01_ShamanPerSett,G855)*v01_OutShaman)+Z855*(INDEX(v01_PriestShare,G855)*v01_OutPriest+INDEX(v01_ScribeShare,G855)*v01_OutScribe*INDEX(LM_Scribe,G855)+INDEX(v01_ScholarShare,G855)*v01_OutScholar*INDEX(LM_Scholar,G855)+INDEX(v01_ResearcherShare,G855)*v01_OutResearcher*INDEX(LM_Researcher,G855)))</x:f>
        <x:v>38.84882595469443</x:v>
      </x:c>
      <x:c r="AL855" s="32" t="n">
        <x:f>H855*v01_RoleScale*Arch_Roles*AE855*INDEX(v01_MonasteryPerSett,G855)*v01_OutMonastery*INDEX(LM_Monastery,G855)</x:f>
        <x:v>0</x:v>
      </x:c>
      <x:c r="AM855" s="32" t="n">
        <x:f>(AJ855+AK855+AL855)/4*INDEX(LM_All,G855)*INDEX(v01_Boon,G855)*Arch_Insight</x:f>
        <x:v>63.832262533993585</x:v>
      </x:c>
      <x:c r="AN855" s="32" t="n">
        <x:f>H855*(v01_KHPerAdult*Z855+v01_KHOfCommons*AJ855/4*INDEX(LM_All,G855))*v01_KHUsable*Arch_KH</x:f>
        <x:v>14.244129773472148</x:v>
      </x:c>
      <x:c r="AO855" s="32" t="n">
        <x:f>MIN(AP854+AN855,AM855*v01_KHMaxRatio)</x:f>
        <x:v>14.244129773472148</x:v>
      </x:c>
      <x:c r="AP855" s="32" t="n">
        <x:f>AP854+AN855-AO855</x:f>
        <x:v>0</x:v>
      </x:c>
      <x:c r="AQ855" s="32" t="n">
        <x:f>AM855+AO855</x:f>
        <x:v>78.07639230746574</x:v>
      </x:c>
      <x:c r="AR855" s="10" t="n">
        <x:f>IF(H855=1,INDEX(v01_Req,G855),0)</x:f>
        <x:v>9805.661999999998</x:v>
      </x:c>
      <x:c r="AS855" s="32" t="n">
        <x:f>IF(H855=1,IF(E855=1,AS854-AR854,AS854)+AQ855,0)</x:f>
        <x:v>7325.568362765109</x:v>
      </x:c>
      <x:c r="AT855" s="11" t="n">
        <x:f>IF(AR855&gt;0,MIN(1,AS855/AR855),1)</x:f>
        <x:v>0.7470753491977502</x:v>
      </x:c>
      <x:c r="AU855" s="10" t="n">
        <x:f>AB855/INDEX(v01_RepScale,G855)</x:f>
        <x:v>184.19511636675992</x:v>
      </x:c>
      <x:c r="AV855" s="32" t="n">
        <x:f>AM855*60/v01_SeasonSeconds</x:f>
        <x:v>255.32905013597434</x:v>
      </x:c>
    </x:row>
    <x:row r="856">
      <x:c r="A856" s="8" t="n">
        <x:f>A855+1</x:f>
        <x:v>853</x:v>
      </x:c>
      <x:c r="B856" s="9" t="n">
        <x:f>A856*v01_SeasonSeconds/60</x:f>
        <x:v>213.25</x:v>
      </x:c>
      <x:c r="C856" s="9" t="n">
        <x:f>A856/4</x:f>
        <x:v>213.25</x:v>
      </x:c>
      <x:c r="D856" s="8" t="n">
        <x:f>IF(MOD(A856,4)=0,1,0)</x:f>
        <x:v>0</x:v>
      </x:c>
      <x:c r="E856" s="8" t="n">
        <x:f>IF(AND(F855&lt;=9,AS855&gt;=AR855),1,0)</x:f>
        <x:v>0</x:v>
      </x:c>
      <x:c r="F856" s="8" t="n">
        <x:f>MIN(10,F855+E856)</x:f>
        <x:v>3</x:v>
      </x:c>
      <x:c r="G856" s="8" t="n">
        <x:f>MIN(F856,9)+1</x:f>
        <x:v>4</x:v>
      </x:c>
      <x:c r="H856" s="8" t="n">
        <x:f>IF(F856&lt;=9,1,0)</x:f>
        <x:v>1</x:v>
      </x:c>
      <x:c r="I856" s="9" t="n">
        <x:f>MIN(10,F855+IF(AR855&gt;0,MIN(1,AS855/AR855),1))</x:f>
        <x:v>3.7470753491977504</x:v>
      </x:c>
      <x:c r="J856" s="32" t="n">
        <x:f>INDEX(v01_FoodCap,G856)*Arch_FoodCap*EXP(v01_CapsByProject*SUMPRODUCT((Cap_Point&lt;=I856)*(Cap_Kind="Food")*Cap_Ln))</x:f>
        <x:v>120</x:v>
      </x:c>
      <x:c r="K856" s="32" t="n">
        <x:f>J856*MIN(1,v01_LeanBase*EXP(v01_CapsByProject*SUMPRODUCT((Cap_Point&lt;=I856)*(Cap_Kind="Lean")*Cap_Ln)))</x:f>
        <x:v>120</x:v>
      </x:c>
      <x:c r="L856" s="10" t="n">
        <x:f>INDEX(v01_HousingCap,G856)*EXP(v01_CapsByProject*SUMPRODUCT((Cap_Point&lt;=I856)*(Cap_Kind="Housing")*Cap_Ln))</x:f>
        <x:v>200</x:v>
      </x:c>
      <x:c r="M856" s="10" t="n">
        <x:f>INDEX(v01_GroupCap,G856)*v01_CohesionFactor*EXP(v01_CapsByProject*SUMPRODUCT((Cap_Point&lt;=I856)*(Cap_Kind="Group")*Cap_Ln))</x:f>
        <x:v>5000</x:v>
      </x:c>
      <x:c r="N856" s="32" t="n">
        <x:f>MIN(J856,L856,M856)</x:f>
        <x:v>120</x:v>
      </x:c>
      <x:c r="O856" s="10" t="n">
        <x:f>AE855*N856</x:f>
        <x:v>1440</x:v>
      </x:c>
      <x:c r="P856" s="9" t="n">
        <x:f>MIN(1,(AB855/(AE855*IF(v01_GroupInCrowding=1,N856,MIN(J856,L856))))^v01_CrowdingExp)</x:f>
        <x:v>0.06844058954193423</x:v>
      </x:c>
      <x:c r="Q856" s="9" t="n">
        <x:f>IF(D856=1,INDEX(v01_WinterMult,G856),1)</x:f>
        <x:v>1</x:v>
      </x:c>
      <x:c r="R856" s="9" t="n">
        <x:f>H856*Z855*v01_WomenShare*v01_BaseFertility*INDEX(v01_FertMult,G856)*Arch_Fertility*(1-P856)</x:f>
        <x:v>14.785739206751199</x:v>
      </x:c>
      <x:c r="S856" s="9" t="n">
        <x:f>H856*Y855*INDEX(v01_MortChild,G856)/4*Q856</x:f>
        <x:v>2.8172892317289806</x:v>
      </x:c>
      <x:c r="T856" s="9" t="n">
        <x:f>H856*Z855*INDEX(v01_MortAdult,G856)*Arch_AdultMort/4*Q856</x:f>
        <x:v>1.1191816250585258</x:v>
      </x:c>
      <x:c r="U856" s="9" t="n">
        <x:f>H856*AA855*INDEX(v01_MortElder,G856)/4*Q856</x:f>
        <x:v>2.248380569798195</x:v>
      </x:c>
      <x:c r="V856" s="9" t="n">
        <x:f>H856*MAX(0,AB855-O856)*v01_OvercapLoss</x:f>
        <x:v>0</x:v>
      </x:c>
      <x:c r="W856" s="9" t="n">
        <x:f>H856*Y855/(v01_ChildYears*4)</x:f>
        <x:v>6.707831504116621</x:v>
      </x:c>
      <x:c r="X856" s="9" t="n">
        <x:f>H856*Z855/(v01_AdultYears*4)</x:f>
        <x:v>3.2820575514912784</x:v>
      </x:c>
      <x:c r="Y856" s="32" t="n">
        <x:f>Y855+R856-S856-W856-Y855*V856/AB855</x:f>
        <x:v>380.8991827014364</x:v>
      </x:c>
      <x:c r="Z856" s="32" t="n">
        <x:f>Z855+W856-X856-T856-Z855*V856/AB855</x:f>
        <x:v>409.28172871248535</x:v>
      </x:c>
      <x:c r="AA856" s="32" t="n">
        <x:f>AA855+X856-U856-AA855*V856/AB855</x:f>
        <x:v>139.39555820004352</x:v>
      </x:c>
      <x:c r="AB856" s="10" t="n">
        <x:f>Y856+Z856+AA856</x:f>
        <x:v>929.5764696139653</x:v>
      </x:c>
      <x:c r="AC856" s="8" t="n">
        <x:f>IF(AND(v01_WinterTrigger=1,D856=1,AB855/AE855&gt;=K856),1,0)</x:f>
        <x:v>0</x:v>
      </x:c>
      <x:c r="AD856" s="8" t="n">
        <x:f>H856*IF(AND(OR(AB855/AE855&gt;=v01_FissionTrigger*N856,AC856=1),AB855/AE855*v01_DaughterShare&gt;=v01_MinDaughter),MAX(1,ROUND(AE855*v01_FissionRate,0)),0)</x:f>
        <x:v>0</x:v>
      </x:c>
      <x:c r="AE856" s="8" t="n">
        <x:f>IF(H856=1,MAX(1,MIN(INDEX(v01_Smax,G856),AE855+AD856)),AE855)</x:f>
        <x:v>12</x:v>
      </x:c>
      <x:c r="AF856" s="8" t="n">
        <x:f>MAX(0,AE856-AE855)</x:f>
        <x:v>0</x:v>
      </x:c>
      <x:c r="AG856" s="9" t="str">
        <x:f>IF(AF856&gt;0,B856,"")</x:f>
      </x:c>
      <x:c r="AH856" s="9" t="n">
        <x:f>IF(F856&gt;=1,1,(1+v01_LowTiesShare*(AE856-1))/AE856)</x:f>
        <x:v>1</x:v>
      </x:c>
      <x:c r="AI856" s="32" t="n">
        <x:f>(Z856+v01_ElderCommons*INDEX(LM_Elder,G856)*AA856)*AH856</x:f>
        <x:v>827.4684033126159</x:v>
      </x:c>
      <x:c r="AJ856" s="32" t="n">
        <x:f>H856*v01_CommonsCoef*AI856^v01_CommonsExp*INDEX(LM_Commons,G856)</x:f>
        <x:v>199.35752898226744</x:v>
      </x:c>
      <x:c r="AK856" s="32" t="n">
        <x:f>H856*v01_RoleScale*Arch_Roles*(AE856*(INDEX(v01_ElderRolePerSett,G856)*v01_OutElder*INDEX(LM_Elder,G856)+INDEX(v01_ShamanPerSett,G856)*v01_OutShaman)+Z856*(INDEX(v01_PriestShare,G856)*v01_OutPriest+INDEX(v01_ScribeShare,G856)*v01_OutScribe*INDEX(LM_Scribe,G856)+INDEX(v01_ScholarShare,G856)*v01_OutScholar*INDEX(LM_Scholar,G856)+INDEX(v01_ResearcherShare,G856)*v01_OutResearcher*INDEX(LM_Researcher,G856)))</x:f>
        <x:v>38.864972100987394</x:v>
      </x:c>
      <x:c r="AL856" s="32" t="n">
        <x:f>H856*v01_RoleScale*Arch_Roles*AE856*INDEX(v01_MonasteryPerSett,G856)*v01_OutMonastery*INDEX(LM_Monastery,G856)</x:f>
        <x:v>0</x:v>
      </x:c>
      <x:c r="AM856" s="32" t="n">
        <x:f>(AJ856+AK856+AL856)/4*INDEX(LM_All,G856)*INDEX(v01_Boon,G856)*Arch_Insight</x:f>
        <x:v>64.13489452015234</x:v>
      </x:c>
      <x:c r="AN856" s="32" t="n">
        <x:f>H856*(v01_KHPerAdult*Z856+v01_KHOfCommons*AJ856/4*INDEX(LM_All,G856))*v01_KHUsable*Arch_KH</x:f>
        <x:v>14.324860504936986</x:v>
      </x:c>
      <x:c r="AO856" s="32" t="n">
        <x:f>MIN(AP855+AN856,AM856*v01_KHMaxRatio)</x:f>
        <x:v>14.324860504936986</x:v>
      </x:c>
      <x:c r="AP856" s="32" t="n">
        <x:f>AP855+AN856-AO856</x:f>
        <x:v>0</x:v>
      </x:c>
      <x:c r="AQ856" s="32" t="n">
        <x:f>AM856+AO856</x:f>
        <x:v>78.45975502508932</x:v>
      </x:c>
      <x:c r="AR856" s="10" t="n">
        <x:f>IF(H856=1,INDEX(v01_Req,G856),0)</x:f>
        <x:v>9805.661999999998</x:v>
      </x:c>
      <x:c r="AS856" s="32" t="n">
        <x:f>IF(H856=1,IF(E856=1,AS855-AR855,AS855)+AQ856,0)</x:f>
        <x:v>7404.028117790198</x:v>
      </x:c>
      <x:c r="AT856" s="11" t="n">
        <x:f>IF(AR856&gt;0,MIN(1,AS856/AR856),1)</x:f>
        <x:v>0.7550768237565397</x:v>
      </x:c>
      <x:c r="AU856" s="10" t="n">
        <x:f>AB856/INDEX(v01_RepScale,G856)</x:f>
        <x:v>185.91529392279307</x:v>
      </x:c>
      <x:c r="AV856" s="32" t="n">
        <x:f>AM856*60/v01_SeasonSeconds</x:f>
        <x:v>256.5395780806094</x:v>
      </x:c>
    </x:row>
    <x:row r="857">
      <x:c r="A857" s="8" t="n">
        <x:f>A856+1</x:f>
        <x:v>854</x:v>
      </x:c>
      <x:c r="B857" s="9" t="n">
        <x:f>A857*v01_SeasonSeconds/60</x:f>
        <x:v>213.5</x:v>
      </x:c>
      <x:c r="C857" s="9" t="n">
        <x:f>A857/4</x:f>
        <x:v>213.5</x:v>
      </x:c>
      <x:c r="D857" s="8" t="n">
        <x:f>IF(MOD(A857,4)=0,1,0)</x:f>
        <x:v>0</x:v>
      </x:c>
      <x:c r="E857" s="8" t="n">
        <x:f>IF(AND(F856&lt;=9,AS856&gt;=AR856),1,0)</x:f>
        <x:v>0</x:v>
      </x:c>
      <x:c r="F857" s="8" t="n">
        <x:f>MIN(10,F856+E857)</x:f>
        <x:v>3</x:v>
      </x:c>
      <x:c r="G857" s="8" t="n">
        <x:f>MIN(F857,9)+1</x:f>
        <x:v>4</x:v>
      </x:c>
      <x:c r="H857" s="8" t="n">
        <x:f>IF(F857&lt;=9,1,0)</x:f>
        <x:v>1</x:v>
      </x:c>
      <x:c r="I857" s="9" t="n">
        <x:f>MIN(10,F856+IF(AR856&gt;0,MIN(1,AS856/AR856),1))</x:f>
        <x:v>3.7550768237565397</x:v>
      </x:c>
      <x:c r="J857" s="32" t="n">
        <x:f>INDEX(v01_FoodCap,G857)*Arch_FoodCap*EXP(v01_CapsByProject*SUMPRODUCT((Cap_Point&lt;=I857)*(Cap_Kind="Food")*Cap_Ln))</x:f>
        <x:v>120</x:v>
      </x:c>
      <x:c r="K857" s="32" t="n">
        <x:f>J857*MIN(1,v01_LeanBase*EXP(v01_CapsByProject*SUMPRODUCT((Cap_Point&lt;=I857)*(Cap_Kind="Lean")*Cap_Ln)))</x:f>
        <x:v>120</x:v>
      </x:c>
      <x:c r="L857" s="10" t="n">
        <x:f>INDEX(v01_HousingCap,G857)*EXP(v01_CapsByProject*SUMPRODUCT((Cap_Point&lt;=I857)*(Cap_Kind="Housing")*Cap_Ln))</x:f>
        <x:v>200</x:v>
      </x:c>
      <x:c r="M857" s="10" t="n">
        <x:f>INDEX(v01_GroupCap,G857)*v01_CohesionFactor*EXP(v01_CapsByProject*SUMPRODUCT((Cap_Point&lt;=I857)*(Cap_Kind="Group")*Cap_Ln))</x:f>
        <x:v>5000</x:v>
      </x:c>
      <x:c r="N857" s="32" t="n">
        <x:f>MIN(J857,L857,M857)</x:f>
        <x:v>120</x:v>
      </x:c>
      <x:c r="O857" s="10" t="n">
        <x:f>AE856*N857</x:f>
        <x:v>1440</x:v>
      </x:c>
      <x:c r="P857" s="9" t="n">
        <x:f>MIN(1,(AB856/(AE856*IF(v01_GroupInCrowding=1,N857,MIN(J857,L857))))^v01_CrowdingExp)</x:f>
        <x:v>0.07236620176623969</x:v>
      </x:c>
      <x:c r="Q857" s="9" t="n">
        <x:f>IF(D857=1,INDEX(v01_WinterMult,G857),1)</x:f>
        <x:v>1</x:v>
      </x:c>
      <x:c r="R857" s="9" t="n">
        <x:f>H857*Z856*v01_WomenShare*v01_BaseFertility*INDEX(v01_FertMult,G857)*Arch_Fertility*(1-P857)</x:f>
        <x:v>14.806879017576447</x:v>
      </x:c>
      <x:c r="S857" s="9" t="n">
        <x:f>H857*Y856*INDEX(v01_MortChild,G857)/4*Q857</x:f>
        <x:v>2.856743870260773</x:v>
      </x:c>
      <x:c r="T857" s="9" t="n">
        <x:f>H857*Z856*INDEX(v01_MortAdult,G857)*Arch_AdultMort/4*Q857</x:f>
        <x:v>1.1255247539593347</x:v>
      </x:c>
      <x:c r="U857" s="9" t="n">
        <x:f>H857*AA856*INDEX(v01_MortElder,G857)/4*Q857</x:f>
        <x:v>2.2651778207507074</x:v>
      </x:c>
      <x:c r="V857" s="9" t="n">
        <x:f>H857*MAX(0,AB856-O857)*v01_OvercapLoss</x:f>
        <x:v>0</x:v>
      </x:c>
      <x:c r="W857" s="9" t="n">
        <x:f>H857*Y856/(v01_ChildYears*4)</x:f>
        <x:v>6.801771119668508</x:v>
      </x:c>
      <x:c r="X857" s="9" t="n">
        <x:f>H857*Z856/(v01_AdultYears*4)</x:f>
        <x:v>3.300659102520043</x:v>
      </x:c>
      <x:c r="Y857" s="32" t="n">
        <x:f>Y856+R857-S857-W857-Y856*V857/AB856</x:f>
        <x:v>386.04754672908354</x:v>
      </x:c>
      <x:c r="Z857" s="32" t="n">
        <x:f>Z856+W857-X857-T857-Z856*V857/AB856</x:f>
        <x:v>411.65731597567446</x:v>
      </x:c>
      <x:c r="AA857" s="32" t="n">
        <x:f>AA856+X857-U857-AA856*V857/AB856</x:f>
        <x:v>140.43103948181286</x:v>
      </x:c>
      <x:c r="AB857" s="10" t="n">
        <x:f>Y857+Z857+AA857</x:f>
        <x:v>938.1359021865708</x:v>
      </x:c>
      <x:c r="AC857" s="8" t="n">
        <x:f>IF(AND(v01_WinterTrigger=1,D857=1,AB856/AE856&gt;=K857),1,0)</x:f>
        <x:v>0</x:v>
      </x:c>
      <x:c r="AD857" s="8" t="n">
        <x:f>H857*IF(AND(OR(AB856/AE856&gt;=v01_FissionTrigger*N857,AC857=1),AB856/AE856*v01_DaughterShare&gt;=v01_MinDaughter),MAX(1,ROUND(AE856*v01_FissionRate,0)),0)</x:f>
        <x:v>0</x:v>
      </x:c>
      <x:c r="AE857" s="8" t="n">
        <x:f>IF(H857=1,MAX(1,MIN(INDEX(v01_Smax,G857),AE856+AD857)),AE856)</x:f>
        <x:v>12</x:v>
      </x:c>
      <x:c r="AF857" s="8" t="n">
        <x:f>MAX(0,AE857-AE856)</x:f>
        <x:v>0</x:v>
      </x:c>
      <x:c r="AG857" s="9" t="str">
        <x:f>IF(AF857&gt;0,B857,"")</x:f>
      </x:c>
      <x:c r="AH857" s="9" t="n">
        <x:f>IF(F857&gt;=1,1,(1+v01_LowTiesShare*(AE857-1))/AE857)</x:f>
        <x:v>1</x:v>
      </x:c>
      <x:c r="AI857" s="32" t="n">
        <x:f>(Z857+v01_ElderCommons*INDEX(LM_Elder,G857)*AA857)*AH857</x:f>
        <x:v>832.9504344211131</x:v>
      </x:c>
      <x:c r="AJ857" s="32" t="n">
        <x:f>H857*v01_CommonsCoef*AI857^v01_CommonsExp*INDEX(LM_Commons,G857)</x:f>
        <x:v>200.47961550103707</x:v>
      </x:c>
      <x:c r="AK857" s="32" t="n">
        <x:f>H857*v01_RoleScale*Arch_Roles*(AE857*(INDEX(v01_ElderRolePerSett,G857)*v01_OutElder*INDEX(LM_Elder,G857)+INDEX(v01_ShamanPerSett,G857)*v01_OutShaman)+Z857*(INDEX(v01_PriestShare,G857)*v01_OutPriest+INDEX(v01_ScribeShare,G857)*v01_OutScribe*INDEX(LM_Scribe,G857)+INDEX(v01_ScholarShare,G857)*v01_OutScholar*INDEX(LM_Scholar,G857)+INDEX(v01_ResearcherShare,G857)*v01_OutResearcher*INDEX(LM_Researcher,G857)))</x:f>
        <x:v>38.88160121182972</x:v>
      </x:c>
      <x:c r="AL857" s="32" t="n">
        <x:f>H857*v01_RoleScale*Arch_Roles*AE857*INDEX(v01_MonasteryPerSett,G857)*v01_OutMonastery*INDEX(LM_Monastery,G857)</x:f>
        <x:v>0</x:v>
      </x:c>
      <x:c r="AM857" s="32" t="n">
        <x:f>(AJ857+AK857+AL857)/4*INDEX(LM_All,G857)*INDEX(v01_Boon,G857)*Arch_Insight</x:f>
        <x:v>64.44146256666987</x:v>
      </x:c>
      <x:c r="AN857" s="32" t="n">
        <x:f>H857*(v01_KHPerAdult*Z857+v01_KHOfCommons*AJ857/4*INDEX(LM_All,G857))*v01_KHUsable*Arch_KH</x:f>
        <x:v>14.408006059148606</x:v>
      </x:c>
      <x:c r="AO857" s="32" t="n">
        <x:f>MIN(AP856+AN857,AM857*v01_KHMaxRatio)</x:f>
        <x:v>14.408006059148606</x:v>
      </x:c>
      <x:c r="AP857" s="32" t="n">
        <x:f>AP856+AN857-AO857</x:f>
        <x:v>0</x:v>
      </x:c>
      <x:c r="AQ857" s="32" t="n">
        <x:f>AM857+AO857</x:f>
        <x:v>78.84946862581847</x:v>
      </x:c>
      <x:c r="AR857" s="10" t="n">
        <x:f>IF(H857=1,INDEX(v01_Req,G857),0)</x:f>
        <x:v>9805.661999999998</x:v>
      </x:c>
      <x:c r="AS857" s="32" t="n">
        <x:f>IF(H857=1,IF(E857=1,AS856-AR856,AS856)+AQ857,0)</x:f>
        <x:v>7482.877586416016</x:v>
      </x:c>
      <x:c r="AT857" s="11" t="n">
        <x:f>IF(AR857&gt;0,MIN(1,AS857/AR857),1)</x:f>
        <x:v>0.7631180420471374</x:v>
      </x:c>
      <x:c r="AU857" s="10" t="n">
        <x:f>AB857/INDEX(v01_RepScale,G857)</x:f>
        <x:v>187.62718043731417</x:v>
      </x:c>
      <x:c r="AV857" s="32" t="n">
        <x:f>AM857*60/v01_SeasonSeconds</x:f>
        <x:v>257.7658502666795</x:v>
      </x:c>
    </x:row>
    <x:row r="858">
      <x:c r="A858" s="8" t="n">
        <x:f>A857+1</x:f>
        <x:v>855</x:v>
      </x:c>
      <x:c r="B858" s="9" t="n">
        <x:f>A858*v01_SeasonSeconds/60</x:f>
        <x:v>213.75</x:v>
      </x:c>
      <x:c r="C858" s="9" t="n">
        <x:f>A858/4</x:f>
        <x:v>213.75</x:v>
      </x:c>
      <x:c r="D858" s="8" t="n">
        <x:f>IF(MOD(A858,4)=0,1,0)</x:f>
        <x:v>0</x:v>
      </x:c>
      <x:c r="E858" s="8" t="n">
        <x:f>IF(AND(F857&lt;=9,AS857&gt;=AR857),1,0)</x:f>
        <x:v>0</x:v>
      </x:c>
      <x:c r="F858" s="8" t="n">
        <x:f>MIN(10,F857+E858)</x:f>
        <x:v>3</x:v>
      </x:c>
      <x:c r="G858" s="8" t="n">
        <x:f>MIN(F858,9)+1</x:f>
        <x:v>4</x:v>
      </x:c>
      <x:c r="H858" s="8" t="n">
        <x:f>IF(F858&lt;=9,1,0)</x:f>
        <x:v>1</x:v>
      </x:c>
      <x:c r="I858" s="9" t="n">
        <x:f>MIN(10,F857+IF(AR857&gt;0,MIN(1,AS857/AR857),1))</x:f>
        <x:v>3.7631180420471373</x:v>
      </x:c>
      <x:c r="J858" s="32" t="n">
        <x:f>INDEX(v01_FoodCap,G858)*Arch_FoodCap*EXP(v01_CapsByProject*SUMPRODUCT((Cap_Point&lt;=I858)*(Cap_Kind="Food")*Cap_Ln))</x:f>
        <x:v>120</x:v>
      </x:c>
      <x:c r="K858" s="32" t="n">
        <x:f>J858*MIN(1,v01_LeanBase*EXP(v01_CapsByProject*SUMPRODUCT((Cap_Point&lt;=I858)*(Cap_Kind="Lean")*Cap_Ln)))</x:f>
        <x:v>120</x:v>
      </x:c>
      <x:c r="L858" s="10" t="n">
        <x:f>INDEX(v01_HousingCap,G858)*EXP(v01_CapsByProject*SUMPRODUCT((Cap_Point&lt;=I858)*(Cap_Kind="Housing")*Cap_Ln))</x:f>
        <x:v>200</x:v>
      </x:c>
      <x:c r="M858" s="10" t="n">
        <x:f>INDEX(v01_GroupCap,G858)*v01_CohesionFactor*EXP(v01_CapsByProject*SUMPRODUCT((Cap_Point&lt;=I858)*(Cap_Kind="Group")*Cap_Ln))</x:f>
        <x:v>5000</x:v>
      </x:c>
      <x:c r="N858" s="32" t="n">
        <x:f>MIN(J858,L858,M858)</x:f>
        <x:v>120</x:v>
      </x:c>
      <x:c r="O858" s="10" t="n">
        <x:f>AE857*N858</x:f>
        <x:v>1440</x:v>
      </x:c>
      <x:c r="P858" s="9" t="n">
        <x:f>MIN(1,(AB857/(AE857*IF(v01_GroupInCrowding=1,N858,MIN(J858,L858))))^v01_CrowdingExp)</x:f>
        <x:v>0.0764574108577435</x:v>
      </x:c>
      <x:c r="Q858" s="9" t="n">
        <x:f>IF(D858=1,INDEX(v01_WinterMult,G858),1)</x:f>
        <x:v>1</x:v>
      </x:c>
      <x:c r="R858" s="9" t="n">
        <x:f>H858*Z857*v01_WomenShare*v01_BaseFertility*INDEX(v01_FertMult,G858)*Arch_Fertility*(1-P858)</x:f>
        <x:v>14.827139473985529</x:v>
      </x:c>
      <x:c r="S858" s="9" t="n">
        <x:f>H858*Y857*INDEX(v01_MortChild,G858)/4*Q858</x:f>
        <x:v>2.8953566004681264</x:v>
      </x:c>
      <x:c r="T858" s="9" t="n">
        <x:f>H858*Z857*INDEX(v01_MortAdult,G858)*Arch_AdultMort/4*Q858</x:f>
        <x:v>1.1320576189331046</x:v>
      </x:c>
      <x:c r="U858" s="9" t="n">
        <x:f>H858*AA857*INDEX(v01_MortElder,G858)/4*Q858</x:f>
        <x:v>2.2820043915794592</x:v>
      </x:c>
      <x:c r="V858" s="9" t="n">
        <x:f>H858*MAX(0,AB857-O858)*v01_OvercapLoss</x:f>
        <x:v>0</x:v>
      </x:c>
      <x:c r="W858" s="9" t="n">
        <x:f>H858*Y857/(v01_ChildYears*4)</x:f>
        <x:v>6.893706191590778</x:v>
      </x:c>
      <x:c r="X858" s="9" t="n">
        <x:f>H858*Z857/(v01_AdultYears*4)</x:f>
        <x:v>3.319817064319955</x:v>
      </x:c>
      <x:c r="Y858" s="32" t="n">
        <x:f>Y857+R858-S858-W858-Y857*V858/AB857</x:f>
        <x:v>391.0856234110102</x:v>
      </x:c>
      <x:c r="Z858" s="32" t="n">
        <x:f>Z857+W858-X858-T858-Z857*V858/AB857</x:f>
        <x:v>414.0991474840121</x:v>
      </x:c>
      <x:c r="AA858" s="32" t="n">
        <x:f>AA857+X858-U858-AA857*V858/AB857</x:f>
        <x:v>141.46885215455336</x:v>
      </x:c>
      <x:c r="AB858" s="10" t="n">
        <x:f>Y858+Z858+AA858</x:f>
        <x:v>946.6536230495757</x:v>
      </x:c>
      <x:c r="AC858" s="8" t="n">
        <x:f>IF(AND(v01_WinterTrigger=1,D858=1,AB857/AE857&gt;=K858),1,0)</x:f>
        <x:v>0</x:v>
      </x:c>
      <x:c r="AD858" s="8" t="n">
        <x:f>H858*IF(AND(OR(AB857/AE857&gt;=v01_FissionTrigger*N858,AC858=1),AB857/AE857*v01_DaughterShare&gt;=v01_MinDaughter),MAX(1,ROUND(AE857*v01_FissionRate,0)),0)</x:f>
        <x:v>0</x:v>
      </x:c>
      <x:c r="AE858" s="8" t="n">
        <x:f>IF(H858=1,MAX(1,MIN(INDEX(v01_Smax,G858),AE857+AD858)),AE857)</x:f>
        <x:v>12</x:v>
      </x:c>
      <x:c r="AF858" s="8" t="n">
        <x:f>MAX(0,AE858-AE857)</x:f>
        <x:v>0</x:v>
      </x:c>
      <x:c r="AG858" s="9" t="str">
        <x:f>IF(AF858&gt;0,B858,"")</x:f>
      </x:c>
      <x:c r="AH858" s="9" t="n">
        <x:f>IF(F858&gt;=1,1,(1+v01_LowTiesShare*(AE858-1))/AE858)</x:f>
        <x:v>1</x:v>
      </x:c>
      <x:c r="AI858" s="32" t="n">
        <x:f>(Z858+v01_ElderCommons*INDEX(LM_Elder,G858)*AA858)*AH858</x:f>
        <x:v>838.5057039476721</x:v>
      </x:c>
      <x:c r="AJ858" s="32" t="n">
        <x:f>H858*v01_CommonsCoef*AI858^v01_CommonsExp*INDEX(LM_Commons,G858)</x:f>
        <x:v>201.615563328893</x:v>
      </x:c>
      <x:c r="AK858" s="32" t="n">
        <x:f>H858*v01_RoleScale*Arch_Roles*(AE858*(INDEX(v01_ElderRolePerSett,G858)*v01_OutElder*INDEX(LM_Elder,G858)+INDEX(v01_ShamanPerSett,G858)*v01_OutShaman)+Z858*(INDEX(v01_PriestShare,G858)*v01_OutPriest+INDEX(v01_ScribeShare,G858)*v01_OutScribe*INDEX(LM_Scribe,G858)+INDEX(v01_ScholarShare,G858)*v01_OutScholar*INDEX(LM_Scholar,G858)+INDEX(v01_ResearcherShare,G858)*v01_OutResearcher*INDEX(LM_Researcher,G858)))</x:f>
        <x:v>38.898694032388086</x:v>
      </x:c>
      <x:c r="AL858" s="32" t="n">
        <x:f>H858*v01_RoleScale*Arch_Roles*AE858*INDEX(v01_MonasteryPerSett,G858)*v01_OutMonastery*INDEX(LM_Monastery,G858)</x:f>
        <x:v>0</x:v>
      </x:c>
      <x:c r="AM858" s="32" t="n">
        <x:f>(AJ858+AK858+AL858)/4*INDEX(LM_All,G858)*INDEX(v01_Boon,G858)*Arch_Insight</x:f>
        <x:v>64.75188723280019</x:v>
      </x:c>
      <x:c r="AN858" s="32" t="n">
        <x:f>H858*(v01_KHPerAdult*Z858+v01_KHOfCommons*AJ858/4*INDEX(LM_All,G858))*v01_KHUsable*Arch_KH</x:f>
        <x:v>14.493470161940424</x:v>
      </x:c>
      <x:c r="AO858" s="32" t="n">
        <x:f>MIN(AP857+AN858,AM858*v01_KHMaxRatio)</x:f>
        <x:v>14.493470161940424</x:v>
      </x:c>
      <x:c r="AP858" s="32" t="n">
        <x:f>AP857+AN858-AO858</x:f>
        <x:v>0</x:v>
      </x:c>
      <x:c r="AQ858" s="32" t="n">
        <x:f>AM858+AO858</x:f>
        <x:v>79.24535739474061</x:v>
      </x:c>
      <x:c r="AR858" s="10" t="n">
        <x:f>IF(H858=1,INDEX(v01_Req,G858),0)</x:f>
        <x:v>9805.661999999998</x:v>
      </x:c>
      <x:c r="AS858" s="32" t="n">
        <x:f>IF(H858=1,IF(E858=1,AS857-AR857,AS857)+AQ858,0)</x:f>
        <x:v>7562.122943810757</x:v>
      </x:c>
      <x:c r="AT858" s="11" t="n">
        <x:f>IF(AR858&gt;0,MIN(1,AS858/AR858),1)</x:f>
        <x:v>0.7711996338249022</x:v>
      </x:c>
      <x:c r="AU858" s="10" t="n">
        <x:f>AB858/INDEX(v01_RepScale,G858)</x:f>
        <x:v>189.33072460991514</x:v>
      </x:c>
      <x:c r="AV858" s="32" t="n">
        <x:f>AM858*60/v01_SeasonSeconds</x:f>
        <x:v>259.00754893120074</x:v>
      </x:c>
    </x:row>
    <x:row r="859">
      <x:c r="A859" s="8" t="n">
        <x:f>A858+1</x:f>
        <x:v>856</x:v>
      </x:c>
      <x:c r="B859" s="9" t="n">
        <x:f>A859*v01_SeasonSeconds/60</x:f>
        <x:v>214</x:v>
      </x:c>
      <x:c r="C859" s="9" t="n">
        <x:f>A859/4</x:f>
        <x:v>214</x:v>
      </x:c>
      <x:c r="D859" s="8" t="n">
        <x:f>IF(MOD(A859,4)=0,1,0)</x:f>
        <x:v>1</x:v>
      </x:c>
      <x:c r="E859" s="8" t="n">
        <x:f>IF(AND(F858&lt;=9,AS858&gt;=AR858),1,0)</x:f>
        <x:v>0</x:v>
      </x:c>
      <x:c r="F859" s="8" t="n">
        <x:f>MIN(10,F858+E859)</x:f>
        <x:v>3</x:v>
      </x:c>
      <x:c r="G859" s="8" t="n">
        <x:f>MIN(F859,9)+1</x:f>
        <x:v>4</x:v>
      </x:c>
      <x:c r="H859" s="8" t="n">
        <x:f>IF(F859&lt;=9,1,0)</x:f>
        <x:v>1</x:v>
      </x:c>
      <x:c r="I859" s="9" t="n">
        <x:f>MIN(10,F858+IF(AR858&gt;0,MIN(1,AS858/AR858),1))</x:f>
        <x:v>3.771199633824902</x:v>
      </x:c>
      <x:c r="J859" s="32" t="n">
        <x:f>INDEX(v01_FoodCap,G859)*Arch_FoodCap*EXP(v01_CapsByProject*SUMPRODUCT((Cap_Point&lt;=I859)*(Cap_Kind="Food")*Cap_Ln))</x:f>
        <x:v>120</x:v>
      </x:c>
      <x:c r="K859" s="32" t="n">
        <x:f>J859*MIN(1,v01_LeanBase*EXP(v01_CapsByProject*SUMPRODUCT((Cap_Point&lt;=I859)*(Cap_Kind="Lean")*Cap_Ln)))</x:f>
        <x:v>120</x:v>
      </x:c>
      <x:c r="L859" s="10" t="n">
        <x:f>INDEX(v01_HousingCap,G859)*EXP(v01_CapsByProject*SUMPRODUCT((Cap_Point&lt;=I859)*(Cap_Kind="Housing")*Cap_Ln))</x:f>
        <x:v>200</x:v>
      </x:c>
      <x:c r="M859" s="10" t="n">
        <x:f>INDEX(v01_GroupCap,G859)*v01_CohesionFactor*EXP(v01_CapsByProject*SUMPRODUCT((Cap_Point&lt;=I859)*(Cap_Kind="Group")*Cap_Ln))</x:f>
        <x:v>5000</x:v>
      </x:c>
      <x:c r="N859" s="32" t="n">
        <x:f>MIN(J859,L859,M859)</x:f>
        <x:v>120</x:v>
      </x:c>
      <x:c r="O859" s="10" t="n">
        <x:f>AE858*N859</x:f>
        <x:v>1440</x:v>
      </x:c>
      <x:c r="P859" s="9" t="n">
        <x:f>MIN(1,(AB858/(AE858*IF(v01_GroupInCrowding=1,N859,MIN(J859,L859))))^v01_CrowdingExp)</x:f>
        <x:v>0.08071823475824452</x:v>
      </x:c>
      <x:c r="Q859" s="9" t="n">
        <x:f>IF(D859=1,INDEX(v01_WinterMult,G859),1)</x:f>
        <x:v>1.15</x:v>
      </x:c>
      <x:c r="R859" s="9" t="n">
        <x:f>H859*Z858*v01_WomenShare*v01_BaseFertility*INDEX(v01_FertMult,G859)*Arch_Fertility*(1-P859)</x:f>
        <x:v>14.846278016084142</x:v>
      </x:c>
      <x:c r="S859" s="9" t="n">
        <x:f>H859*Y858*INDEX(v01_MortChild,G859)/4*Q859</x:f>
        <x:v>3.373113501919963</x:v>
      </x:c>
      <x:c r="T859" s="9" t="n">
        <x:f>H859*Z858*INDEX(v01_MortAdult,G859)*Arch_AdultMort/4*Q859</x:f>
        <x:v>1.3095885539181882</x:v>
      </x:c>
      <x:c r="U859" s="9" t="n">
        <x:f>H859*AA858*INDEX(v01_MortElder,G859)/4*Q859</x:f>
        <x:v>2.6436991746382157</x:v>
      </x:c>
      <x:c r="V859" s="9" t="n">
        <x:f>H859*MAX(0,AB858-O859)*v01_OvercapLoss</x:f>
        <x:v>0</x:v>
      </x:c>
      <x:c r="W859" s="9" t="n">
        <x:f>H859*Y858/(v01_ChildYears*4)</x:f>
        <x:v>6.983671846625183</x:v>
      </x:c>
      <x:c r="X859" s="9" t="n">
        <x:f>H859*Z858/(v01_AdultYears*4)</x:f>
        <x:v>3.3395092539033238</x:v>
      </x:c>
      <x:c r="Y859" s="32" t="n">
        <x:f>Y858+R859-S859-W859-Y858*V859/AB858</x:f>
        <x:v>395.5751160785492</x:v>
      </x:c>
      <x:c r="Z859" s="32" t="n">
        <x:f>Z858+W859-X859-T859-Z858*V859/AB858</x:f>
        <x:v>416.4337215228158</x:v>
      </x:c>
      <x:c r="AA859" s="32" t="n">
        <x:f>AA858+X859-U859-AA858*V859/AB858</x:f>
        <x:v>142.16466223381846</x:v>
      </x:c>
      <x:c r="AB859" s="10" t="n">
        <x:f>Y859+Z859+AA859</x:f>
        <x:v>954.1734998351835</x:v>
      </x:c>
      <x:c r="AC859" s="8" t="n">
        <x:f>IF(AND(v01_WinterTrigger=1,D859=1,AB858/AE858&gt;=K859),1,0)</x:f>
        <x:v>0</x:v>
      </x:c>
      <x:c r="AD859" s="8" t="n">
        <x:f>H859*IF(AND(OR(AB858/AE858&gt;=v01_FissionTrigger*N859,AC859=1),AB858/AE858*v01_DaughterShare&gt;=v01_MinDaughter),MAX(1,ROUND(AE858*v01_FissionRate,0)),0)</x:f>
        <x:v>0</x:v>
      </x:c>
      <x:c r="AE859" s="8" t="n">
        <x:f>IF(H859=1,MAX(1,MIN(INDEX(v01_Smax,G859),AE858+AD859)),AE858)</x:f>
        <x:v>12</x:v>
      </x:c>
      <x:c r="AF859" s="8" t="n">
        <x:f>MAX(0,AE859-AE858)</x:f>
        <x:v>0</x:v>
      </x:c>
      <x:c r="AG859" s="9" t="str">
        <x:f>IF(AF859&gt;0,B859,"")</x:f>
      </x:c>
      <x:c r="AH859" s="9" t="n">
        <x:f>IF(F859&gt;=1,1,(1+v01_LowTiesShare*(AE859-1))/AE859)</x:f>
        <x:v>1</x:v>
      </x:c>
      <x:c r="AI859" s="32" t="n">
        <x:f>(Z859+v01_ElderCommons*INDEX(LM_Elder,G859)*AA859)*AH859</x:f>
        <x:v>842.9277082242711</x:v>
      </x:c>
      <x:c r="AJ859" s="32" t="n">
        <x:f>H859*v01_CommonsCoef*AI859^v01_CommonsExp*INDEX(LM_Commons,G859)</x:f>
        <x:v>202.51897283114346</x:v>
      </x:c>
      <x:c r="AK859" s="32" t="n">
        <x:f>H859*v01_RoleScale*Arch_Roles*(AE859*(INDEX(v01_ElderRolePerSett,G859)*v01_OutElder*INDEX(LM_Elder,G859)+INDEX(v01_ShamanPerSett,G859)*v01_OutShaman)+Z859*(INDEX(v01_PriestShare,G859)*v01_OutPriest+INDEX(v01_ScribeShare,G859)*v01_OutScribe*INDEX(LM_Scribe,G859)+INDEX(v01_ScholarShare,G859)*v01_OutScholar*INDEX(LM_Scholar,G859)+INDEX(v01_ResearcherShare,G859)*v01_OutResearcher*INDEX(LM_Researcher,G859)))</x:f>
        <x:v>38.91503605065971</x:v>
      </x:c>
      <x:c r="AL859" s="32" t="n">
        <x:f>H859*v01_RoleScale*Arch_Roles*AE859*INDEX(v01_MonasteryPerSett,G859)*v01_OutMonastery*INDEX(LM_Monastery,G859)</x:f>
        <x:v>0</x:v>
      </x:c>
      <x:c r="AM859" s="32" t="n">
        <x:f>(AJ859+AK859+AL859)/4*INDEX(LM_All,G859)*INDEX(v01_Boon,G859)*Arch_Insight</x:f>
        <x:v>64.99950518024512</x:v>
      </x:c>
      <x:c r="AN859" s="32" t="n">
        <x:f>H859*(v01_KHPerAdult*Z859+v01_KHOfCommons*AJ859/4*INDEX(LM_All,G859))*v01_KHUsable*Arch_KH</x:f>
        <x:v>14.575180253298553</x:v>
      </x:c>
      <x:c r="AO859" s="32" t="n">
        <x:f>MIN(AP858+AN859,AM859*v01_KHMaxRatio)</x:f>
        <x:v>14.575180253298553</x:v>
      </x:c>
      <x:c r="AP859" s="32" t="n">
        <x:f>AP858+AN859-AO859</x:f>
        <x:v>0</x:v>
      </x:c>
      <x:c r="AQ859" s="32" t="n">
        <x:f>AM859+AO859</x:f>
        <x:v>79.57468543354368</x:v>
      </x:c>
      <x:c r="AR859" s="10" t="n">
        <x:f>IF(H859=1,INDEX(v01_Req,G859),0)</x:f>
        <x:v>9805.661999999998</x:v>
      </x:c>
      <x:c r="AS859" s="32" t="n">
        <x:f>IF(H859=1,IF(E859=1,AS858-AR858,AS858)+AQ859,0)</x:f>
        <x:v>7641.6976292443005</x:v>
      </x:c>
      <x:c r="AT859" s="11" t="n">
        <x:f>IF(AR859&gt;0,MIN(1,AS859/AR859),1)</x:f>
        <x:v>0.779314811100393</x:v>
      </x:c>
      <x:c r="AU859" s="10" t="n">
        <x:f>AB859/INDEX(v01_RepScale,G859)</x:f>
        <x:v>190.8346999670367</x:v>
      </x:c>
      <x:c r="AV859" s="32" t="n">
        <x:f>AM859*60/v01_SeasonSeconds</x:f>
        <x:v>259.9980207209805</x:v>
      </x:c>
    </x:row>
    <x:row r="860">
      <x:c r="A860" s="8" t="n">
        <x:f>A859+1</x:f>
        <x:v>857</x:v>
      </x:c>
      <x:c r="B860" s="9" t="n">
        <x:f>A860*v01_SeasonSeconds/60</x:f>
        <x:v>214.25</x:v>
      </x:c>
      <x:c r="C860" s="9" t="n">
        <x:f>A860/4</x:f>
        <x:v>214.25</x:v>
      </x:c>
      <x:c r="D860" s="8" t="n">
        <x:f>IF(MOD(A860,4)=0,1,0)</x:f>
        <x:v>0</x:v>
      </x:c>
      <x:c r="E860" s="8" t="n">
        <x:f>IF(AND(F859&lt;=9,AS859&gt;=AR859),1,0)</x:f>
        <x:v>0</x:v>
      </x:c>
      <x:c r="F860" s="8" t="n">
        <x:f>MIN(10,F859+E860)</x:f>
        <x:v>3</x:v>
      </x:c>
      <x:c r="G860" s="8" t="n">
        <x:f>MIN(F860,9)+1</x:f>
        <x:v>4</x:v>
      </x:c>
      <x:c r="H860" s="8" t="n">
        <x:f>IF(F860&lt;=9,1,0)</x:f>
        <x:v>1</x:v>
      </x:c>
      <x:c r="I860" s="9" t="n">
        <x:f>MIN(10,F859+IF(AR859&gt;0,MIN(1,AS859/AR859),1))</x:f>
        <x:v>3.779314811100393</x:v>
      </x:c>
      <x:c r="J860" s="32" t="n">
        <x:f>INDEX(v01_FoodCap,G860)*Arch_FoodCap*EXP(v01_CapsByProject*SUMPRODUCT((Cap_Point&lt;=I860)*(Cap_Kind="Food")*Cap_Ln))</x:f>
        <x:v>120</x:v>
      </x:c>
      <x:c r="K860" s="32" t="n">
        <x:f>J860*MIN(1,v01_LeanBase*EXP(v01_CapsByProject*SUMPRODUCT((Cap_Point&lt;=I860)*(Cap_Kind="Lean")*Cap_Ln)))</x:f>
        <x:v>120</x:v>
      </x:c>
      <x:c r="L860" s="10" t="n">
        <x:f>INDEX(v01_HousingCap,G860)*EXP(v01_CapsByProject*SUMPRODUCT((Cap_Point&lt;=I860)*(Cap_Kind="Housing")*Cap_Ln))</x:f>
        <x:v>200</x:v>
      </x:c>
      <x:c r="M860" s="10" t="n">
        <x:f>INDEX(v01_GroupCap,G860)*v01_CohesionFactor*EXP(v01_CapsByProject*SUMPRODUCT((Cap_Point&lt;=I860)*(Cap_Kind="Group")*Cap_Ln))</x:f>
        <x:v>5000</x:v>
      </x:c>
      <x:c r="N860" s="32" t="n">
        <x:f>MIN(J860,L860,M860)</x:f>
        <x:v>120</x:v>
      </x:c>
      <x:c r="O860" s="10" t="n">
        <x:f>AE859*N860</x:f>
        <x:v>1440</x:v>
      </x:c>
      <x:c r="P860" s="9" t="n">
        <x:f>MIN(1,(AB859/(AE859*IF(v01_GroupInCrowding=1,N860,MIN(J860,L860))))^v01_CrowdingExp)</x:f>
        <x:v>0.08464263055560785</x:v>
      </x:c>
      <x:c r="Q860" s="9" t="n">
        <x:f>IF(D860=1,INDEX(v01_WinterMult,G860),1)</x:f>
        <x:v>1</x:v>
      </x:c>
      <x:c r="R860" s="9" t="n">
        <x:f>H860*Z859*v01_WomenShare*v01_BaseFertility*INDEX(v01_FertMult,G860)*Arch_Fertility*(1-P860)</x:f>
        <x:v>14.866241359361466</x:v>
      </x:c>
      <x:c r="S860" s="9" t="n">
        <x:f>H860*Y859*INDEX(v01_MortChild,G860)/4*Q860</x:f>
        <x:v>2.9668133705891186</x:v>
      </x:c>
      <x:c r="T860" s="9" t="n">
        <x:f>H860*Z859*INDEX(v01_MortAdult,G860)*Arch_AdultMort/4*Q860</x:f>
        <x:v>1.1451927341877435</x:v>
      </x:c>
      <x:c r="U860" s="9" t="n">
        <x:f>H860*AA859*INDEX(v01_MortElder,G860)/4*Q860</x:f>
        <x:v>2.31017576129955</x:v>
      </x:c>
      <x:c r="V860" s="9" t="n">
        <x:f>H860*MAX(0,AB859-O860)*v01_OvercapLoss</x:f>
        <x:v>0</x:v>
      </x:c>
      <x:c r="W860" s="9" t="n">
        <x:f>H860*Y859/(v01_ChildYears*4)</x:f>
        <x:v>7.063841358545521</x:v>
      </x:c>
      <x:c r="X860" s="9" t="n">
        <x:f>H860*Z859/(v01_AdultYears*4)</x:f>
        <x:v>3.358336463893676</x:v>
      </x:c>
      <x:c r="Y860" s="32" t="n">
        <x:f>Y859+R860-S860-W860-Y859*V860/AB859</x:f>
        <x:v>400.410702708776</x:v>
      </x:c>
      <x:c r="Z860" s="32" t="n">
        <x:f>Z859+W860-X860-T860-Z859*V860/AB859</x:f>
        <x:v>418.9940336832799</x:v>
      </x:c>
      <x:c r="AA860" s="32" t="n">
        <x:f>AA859+X860-U860-AA859*V860/AB859</x:f>
        <x:v>143.21282293641258</x:v>
      </x:c>
      <x:c r="AB860" s="10" t="n">
        <x:f>Y860+Z860+AA860</x:f>
        <x:v>962.6175593284684</x:v>
      </x:c>
      <x:c r="AC860" s="8" t="n">
        <x:f>IF(AND(v01_WinterTrigger=1,D860=1,AB859/AE859&gt;=K860),1,0)</x:f>
        <x:v>0</x:v>
      </x:c>
      <x:c r="AD860" s="8" t="n">
        <x:f>H860*IF(AND(OR(AB859/AE859&gt;=v01_FissionTrigger*N860,AC860=1),AB859/AE859*v01_DaughterShare&gt;=v01_MinDaughter),MAX(1,ROUND(AE859*v01_FissionRate,0)),0)</x:f>
        <x:v>0</x:v>
      </x:c>
      <x:c r="AE860" s="8" t="n">
        <x:f>IF(H860=1,MAX(1,MIN(INDEX(v01_Smax,G860),AE859+AD860)),AE859)</x:f>
        <x:v>12</x:v>
      </x:c>
      <x:c r="AF860" s="8" t="n">
        <x:f>MAX(0,AE860-AE859)</x:f>
        <x:v>0</x:v>
      </x:c>
      <x:c r="AG860" s="9" t="str">
        <x:f>IF(AF860&gt;0,B860,"")</x:f>
      </x:c>
      <x:c r="AH860" s="9" t="n">
        <x:f>IF(F860&gt;=1,1,(1+v01_LowTiesShare*(AE860-1))/AE860)</x:f>
        <x:v>1</x:v>
      </x:c>
      <x:c r="AI860" s="32" t="n">
        <x:f>(Z860+v01_ElderCommons*INDEX(LM_Elder,G860)*AA860)*AH860</x:f>
        <x:v>848.6325024925177</x:v>
      </x:c>
      <x:c r="AJ860" s="32" t="n">
        <x:f>H860*v01_CommonsCoef*AI860^v01_CommonsExp*INDEX(LM_Commons,G860)</x:f>
        <x:v>203.68340547112336</x:v>
      </x:c>
      <x:c r="AK860" s="32" t="n">
        <x:f>H860*v01_RoleScale*Arch_Roles*(AE860*(INDEX(v01_ElderRolePerSett,G860)*v01_OutElder*INDEX(LM_Elder,G860)+INDEX(v01_ShamanPerSett,G860)*v01_OutShaman)+Z860*(INDEX(v01_PriestShare,G860)*v01_OutPriest+INDEX(v01_ScribeShare,G860)*v01_OutScribe*INDEX(LM_Scribe,G860)+INDEX(v01_ScholarShare,G860)*v01_OutScholar*INDEX(LM_Scholar,G860)+INDEX(v01_ResearcherShare,G860)*v01_OutResearcher*INDEX(LM_Researcher,G860)))</x:f>
        <x:v>38.93295823578296</x:v>
      </x:c>
      <x:c r="AL860" s="32" t="n">
        <x:f>H860*v01_RoleScale*Arch_Roles*AE860*INDEX(v01_MonasteryPerSett,G860)*v01_OutMonastery*INDEX(LM_Monastery,G860)</x:f>
        <x:v>0</x:v>
      </x:c>
      <x:c r="AM860" s="32" t="n">
        <x:f>(AJ860+AK860+AL860)/4*INDEX(LM_All,G860)*INDEX(v01_Boon,G860)*Arch_Insight</x:f>
        <x:v>65.31782188688939</x:v>
      </x:c>
      <x:c r="AN860" s="32" t="n">
        <x:f>H860*(v01_KHPerAdult*Z860+v01_KHOfCommons*AJ860/4*INDEX(LM_All,G860))*v01_KHUsable*Arch_KH</x:f>
        <x:v>14.664791178914797</x:v>
      </x:c>
      <x:c r="AO860" s="32" t="n">
        <x:f>MIN(AP859+AN860,AM860*v01_KHMaxRatio)</x:f>
        <x:v>14.664791178914797</x:v>
      </x:c>
      <x:c r="AP860" s="32" t="n">
        <x:f>AP859+AN860-AO860</x:f>
        <x:v>0</x:v>
      </x:c>
      <x:c r="AQ860" s="32" t="n">
        <x:f>AM860+AO860</x:f>
        <x:v>79.98261306580419</x:v>
      </x:c>
      <x:c r="AR860" s="10" t="n">
        <x:f>IF(H860=1,INDEX(v01_Req,G860),0)</x:f>
        <x:v>9805.661999999998</x:v>
      </x:c>
      <x:c r="AS860" s="32" t="n">
        <x:f>IF(H860=1,IF(E860=1,AS859-AR859,AS859)+AQ860,0)</x:f>
        <x:v>7721.680242310104</x:v>
      </x:c>
      <x:c r="AT860" s="11" t="n">
        <x:f>IF(AR860&gt;0,MIN(1,AS860/AR860),1)</x:f>
        <x:v>0.787471589609157</x:v>
      </x:c>
      <x:c r="AU860" s="10" t="n">
        <x:f>AB860/INDEX(v01_RepScale,G860)</x:f>
        <x:v>192.52351186569368</x:v>
      </x:c>
      <x:c r="AV860" s="32" t="n">
        <x:f>AM860*60/v01_SeasonSeconds</x:f>
        <x:v>261.27128754755756</x:v>
      </x:c>
    </x:row>
    <x:row r="861">
      <x:c r="A861" s="8" t="n">
        <x:f>A860+1</x:f>
        <x:v>858</x:v>
      </x:c>
      <x:c r="B861" s="9" t="n">
        <x:f>A861*v01_SeasonSeconds/60</x:f>
        <x:v>214.5</x:v>
      </x:c>
      <x:c r="C861" s="9" t="n">
        <x:f>A861/4</x:f>
        <x:v>214.5</x:v>
      </x:c>
      <x:c r="D861" s="8" t="n">
        <x:f>IF(MOD(A861,4)=0,1,0)</x:f>
        <x:v>0</x:v>
      </x:c>
      <x:c r="E861" s="8" t="n">
        <x:f>IF(AND(F860&lt;=9,AS860&gt;=AR860),1,0)</x:f>
        <x:v>0</x:v>
      </x:c>
      <x:c r="F861" s="8" t="n">
        <x:f>MIN(10,F860+E861)</x:f>
        <x:v>3</x:v>
      </x:c>
      <x:c r="G861" s="8" t="n">
        <x:f>MIN(F861,9)+1</x:f>
        <x:v>4</x:v>
      </x:c>
      <x:c r="H861" s="8" t="n">
        <x:f>IF(F861&lt;=9,1,0)</x:f>
        <x:v>1</x:v>
      </x:c>
      <x:c r="I861" s="9" t="n">
        <x:f>MIN(10,F860+IF(AR860&gt;0,MIN(1,AS860/AR860),1))</x:f>
        <x:v>3.787471589609157</x:v>
      </x:c>
      <x:c r="J861" s="32" t="n">
        <x:f>INDEX(v01_FoodCap,G861)*Arch_FoodCap*EXP(v01_CapsByProject*SUMPRODUCT((Cap_Point&lt;=I861)*(Cap_Kind="Food")*Cap_Ln))</x:f>
        <x:v>120</x:v>
      </x:c>
      <x:c r="K861" s="32" t="n">
        <x:f>J861*MIN(1,v01_LeanBase*EXP(v01_CapsByProject*SUMPRODUCT((Cap_Point&lt;=I861)*(Cap_Kind="Lean")*Cap_Ln)))</x:f>
        <x:v>120</x:v>
      </x:c>
      <x:c r="L861" s="10" t="n">
        <x:f>INDEX(v01_HousingCap,G861)*EXP(v01_CapsByProject*SUMPRODUCT((Cap_Point&lt;=I861)*(Cap_Kind="Housing")*Cap_Ln))</x:f>
        <x:v>200</x:v>
      </x:c>
      <x:c r="M861" s="10" t="n">
        <x:f>INDEX(v01_GroupCap,G861)*v01_CohesionFactor*EXP(v01_CapsByProject*SUMPRODUCT((Cap_Point&lt;=I861)*(Cap_Kind="Group")*Cap_Ln))</x:f>
        <x:v>5000</x:v>
      </x:c>
      <x:c r="N861" s="32" t="n">
        <x:f>MIN(J861,L861,M861)</x:f>
        <x:v>120</x:v>
      </x:c>
      <x:c r="O861" s="10" t="n">
        <x:f>AE860*N861</x:f>
        <x:v>1440</x:v>
      </x:c>
      <x:c r="P861" s="9" t="n">
        <x:f>MIN(1,(AB860/(AE860*IF(v01_GroupInCrowding=1,N861,MIN(J861,L861))))^v01_CrowdingExp)</x:f>
        <x:v>0.08923756767119675</x:v>
      </x:c>
      <x:c r="Q861" s="9" t="n">
        <x:f>IF(D861=1,INDEX(v01_WinterMult,G861),1)</x:f>
        <x:v>1</x:v>
      </x:c>
      <x:c r="R861" s="9" t="n">
        <x:f>H861*Z860*v01_WomenShare*v01_BaseFertility*INDEX(v01_FertMult,G861)*Arch_Fertility*(1-P861)</x:f>
        <x:v>14.882556984696981</x:v>
      </x:c>
      <x:c r="S861" s="9" t="n">
        <x:f>H861*Y860*INDEX(v01_MortChild,G861)/4*Q861</x:f>
        <x:v>3.0030802703158197</x:v>
      </x:c>
      <x:c r="T861" s="9" t="n">
        <x:f>H861*Z860*INDEX(v01_MortAdult,G861)*Arch_AdultMort/4*Q861</x:f>
        <x:v>1.1522335926290197</x:v>
      </x:c>
      <x:c r="U861" s="9" t="n">
        <x:f>H861*AA860*INDEX(v01_MortElder,G861)/4*Q861</x:f>
        <x:v>2.3272083727167043</x:v>
      </x:c>
      <x:c r="V861" s="9" t="n">
        <x:f>H861*MAX(0,AB860-O861)*v01_OvercapLoss</x:f>
        <x:v>0</x:v>
      </x:c>
      <x:c r="W861" s="9" t="n">
        <x:f>H861*Y860/(v01_ChildYears*4)</x:f>
        <x:v>7.150191119799572</x:v>
      </x:c>
      <x:c r="X861" s="9" t="n">
        <x:f>H861*Z860/(v01_AdultYears*4)</x:f>
        <x:v>3.378984142607096</x:v>
      </x:c>
      <x:c r="Y861" s="32" t="n">
        <x:f>Y860+R861-S861-W861-Y860*V861/AB860</x:f>
        <x:v>405.1399883033576</x:v>
      </x:c>
      <x:c r="Z861" s="32" t="n">
        <x:f>Z860+W861-X861-T861-Z860*V861/AB860</x:f>
        <x:v>421.6130070678433</x:v>
      </x:c>
      <x:c r="AA861" s="32" t="n">
        <x:f>AA860+X861-U861-AA860*V861/AB860</x:f>
        <x:v>144.26459870630296</x:v>
      </x:c>
      <x:c r="AB861" s="10" t="n">
        <x:f>Y861+Z861+AA861</x:f>
        <x:v>971.0175940775039</x:v>
      </x:c>
      <x:c r="AC861" s="8" t="n">
        <x:f>IF(AND(v01_WinterTrigger=1,D861=1,AB860/AE860&gt;=K861),1,0)</x:f>
        <x:v>0</x:v>
      </x:c>
      <x:c r="AD861" s="8" t="n">
        <x:f>H861*IF(AND(OR(AB860/AE860&gt;=v01_FissionTrigger*N861,AC861=1),AB860/AE860*v01_DaughterShare&gt;=v01_MinDaughter),MAX(1,ROUND(AE860*v01_FissionRate,0)),0)</x:f>
        <x:v>0</x:v>
      </x:c>
      <x:c r="AE861" s="8" t="n">
        <x:f>IF(H861=1,MAX(1,MIN(INDEX(v01_Smax,G861),AE860+AD861)),AE860)</x:f>
        <x:v>12</x:v>
      </x:c>
      <x:c r="AF861" s="8" t="n">
        <x:f>MAX(0,AE861-AE860)</x:f>
        <x:v>0</x:v>
      </x:c>
      <x:c r="AG861" s="9" t="str">
        <x:f>IF(AF861&gt;0,B861,"")</x:f>
      </x:c>
      <x:c r="AH861" s="9" t="n">
        <x:f>IF(F861&gt;=1,1,(1+v01_LowTiesShare*(AE861-1))/AE861)</x:f>
        <x:v>1</x:v>
      </x:c>
      <x:c r="AI861" s="32" t="n">
        <x:f>(Z861+v01_ElderCommons*INDEX(LM_Elder,G861)*AA861)*AH861</x:f>
        <x:v>854.4068031867521</x:v>
      </x:c>
      <x:c r="AJ861" s="32" t="n">
        <x:f>H861*v01_CommonsCoef*AI861^v01_CommonsExp*INDEX(LM_Commons,G861)</x:f>
        <x:v>204.86083032582383</x:v>
      </x:c>
      <x:c r="AK861" s="32" t="n">
        <x:f>H861*v01_RoleScale*Arch_Roles*(AE861*(INDEX(v01_ElderRolePerSett,G861)*v01_OutElder*INDEX(LM_Elder,G861)+INDEX(v01_ShamanPerSett,G861)*v01_OutShaman)+Z861*(INDEX(v01_PriestShare,G861)*v01_OutPriest+INDEX(v01_ScribeShare,G861)*v01_OutScribe*INDEX(LM_Scribe,G861)+INDEX(v01_ScholarShare,G861)*v01_OutScholar*INDEX(LM_Scholar,G861)+INDEX(v01_ResearcherShare,G861)*v01_OutResearcher*INDEX(LM_Researcher,G861)))</x:f>
        <x:v>38.951291049474904</x:v>
      </x:c>
      <x:c r="AL861" s="32" t="n">
        <x:f>H861*v01_RoleScale*Arch_Roles*AE861*INDEX(v01_MonasteryPerSett,G861)*v01_OutMonastery*INDEX(LM_Monastery,G861)</x:f>
        <x:v>0</x:v>
      </x:c>
      <x:c r="AM861" s="32" t="n">
        <x:f>(AJ861+AK861+AL861)/4*INDEX(LM_All,G861)*INDEX(v01_Boon,G861)*Arch_Insight</x:f>
        <x:v>65.6397469426053</x:v>
      </x:c>
      <x:c r="AN861" s="32" t="n">
        <x:f>H861*(v01_KHPerAdult*Z861+v01_KHOfCommons*AJ861/4*INDEX(LM_All,G861))*v01_KHUsable*Arch_KH</x:f>
        <x:v>14.756455247374515</x:v>
      </x:c>
      <x:c r="AO861" s="32" t="n">
        <x:f>MIN(AP860+AN861,AM861*v01_KHMaxRatio)</x:f>
        <x:v>14.756455247374515</x:v>
      </x:c>
      <x:c r="AP861" s="32" t="n">
        <x:f>AP860+AN861-AO861</x:f>
        <x:v>0</x:v>
      </x:c>
      <x:c r="AQ861" s="32" t="n">
        <x:f>AM861+AO861</x:f>
        <x:v>80.39620218997982</x:v>
      </x:c>
      <x:c r="AR861" s="10" t="n">
        <x:f>IF(H861=1,INDEX(v01_Req,G861),0)</x:f>
        <x:v>9805.661999999998</x:v>
      </x:c>
      <x:c r="AS861" s="32" t="n">
        <x:f>IF(H861=1,IF(E861=1,AS860-AR860,AS860)+AQ861,0)</x:f>
        <x:v>7802.076444500084</x:v>
      </x:c>
      <x:c r="AT861" s="11" t="n">
        <x:f>IF(AR861&gt;0,MIN(1,AS861/AR861),1)</x:f>
        <x:v>0.7956705467208727</x:v>
      </x:c>
      <x:c r="AU861" s="10" t="n">
        <x:f>AB861/INDEX(v01_RepScale,G861)</x:f>
        <x:v>194.2035188155008</x:v>
      </x:c>
      <x:c r="AV861" s="32" t="n">
        <x:f>AM861*60/v01_SeasonSeconds</x:f>
        <x:v>262.5589877704212</x:v>
      </x:c>
    </x:row>
    <x:row r="862">
      <x:c r="A862" s="8" t="n">
        <x:f>A861+1</x:f>
        <x:v>859</x:v>
      </x:c>
      <x:c r="B862" s="9" t="n">
        <x:f>A862*v01_SeasonSeconds/60</x:f>
        <x:v>214.75</x:v>
      </x:c>
      <x:c r="C862" s="9" t="n">
        <x:f>A862/4</x:f>
        <x:v>214.75</x:v>
      </x:c>
      <x:c r="D862" s="8" t="n">
        <x:f>IF(MOD(A862,4)=0,1,0)</x:f>
        <x:v>0</x:v>
      </x:c>
      <x:c r="E862" s="8" t="n">
        <x:f>IF(AND(F861&lt;=9,AS861&gt;=AR861),1,0)</x:f>
        <x:v>0</x:v>
      </x:c>
      <x:c r="F862" s="8" t="n">
        <x:f>MIN(10,F861+E862)</x:f>
        <x:v>3</x:v>
      </x:c>
      <x:c r="G862" s="8" t="n">
        <x:f>MIN(F862,9)+1</x:f>
        <x:v>4</x:v>
      </x:c>
      <x:c r="H862" s="8" t="n">
        <x:f>IF(F862&lt;=9,1,0)</x:f>
        <x:v>1</x:v>
      </x:c>
      <x:c r="I862" s="9" t="n">
        <x:f>MIN(10,F861+IF(AR861&gt;0,MIN(1,AS861/AR861),1))</x:f>
        <x:v>3.7956705467208725</x:v>
      </x:c>
      <x:c r="J862" s="32" t="n">
        <x:f>INDEX(v01_FoodCap,G862)*Arch_FoodCap*EXP(v01_CapsByProject*SUMPRODUCT((Cap_Point&lt;=I862)*(Cap_Kind="Food")*Cap_Ln))</x:f>
        <x:v>120</x:v>
      </x:c>
      <x:c r="K862" s="32" t="n">
        <x:f>J862*MIN(1,v01_LeanBase*EXP(v01_CapsByProject*SUMPRODUCT((Cap_Point&lt;=I862)*(Cap_Kind="Lean")*Cap_Ln)))</x:f>
        <x:v>120</x:v>
      </x:c>
      <x:c r="L862" s="10" t="n">
        <x:f>INDEX(v01_HousingCap,G862)*EXP(v01_CapsByProject*SUMPRODUCT((Cap_Point&lt;=I862)*(Cap_Kind="Housing")*Cap_Ln))</x:f>
        <x:v>200</x:v>
      </x:c>
      <x:c r="M862" s="10" t="n">
        <x:f>INDEX(v01_GroupCap,G862)*v01_CohesionFactor*EXP(v01_CapsByProject*SUMPRODUCT((Cap_Point&lt;=I862)*(Cap_Kind="Group")*Cap_Ln))</x:f>
        <x:v>5000</x:v>
      </x:c>
      <x:c r="N862" s="32" t="n">
        <x:f>MIN(J862,L862,M862)</x:f>
        <x:v>120</x:v>
      </x:c>
      <x:c r="O862" s="10" t="n">
        <x:f>AE861*N862</x:f>
        <x:v>1440</x:v>
      </x:c>
      <x:c r="P862" s="9" t="n">
        <x:f>MIN(1,(AB861/(AE861*IF(v01_GroupInCrowding=1,N862,MIN(J862,L862))))^v01_CrowdingExp)</x:f>
        <x:v>0.09401294161893428</x:v>
      </x:c>
      <x:c r="Q862" s="9" t="n">
        <x:f>IF(D862=1,INDEX(v01_WinterMult,G862),1)</x:f>
        <x:v>1</x:v>
      </x:c>
      <x:c r="R862" s="9" t="n">
        <x:f>H862*Z861*v01_WomenShare*v01_BaseFertility*INDEX(v01_FertMult,G862)*Arch_Fertility*(1-P862)</x:f>
        <x:v>14.897061193895043</x:v>
      </x:c>
      <x:c r="S862" s="9" t="n">
        <x:f>H862*Y861*INDEX(v01_MortChild,G862)/4*Q862</x:f>
        <x:v>3.038549912275182</x:v>
      </x:c>
      <x:c r="T862" s="9" t="n">
        <x:f>H862*Z861*INDEX(v01_MortAdult,G862)*Arch_AdultMort/4*Q862</x:f>
        <x:v>1.159435769436569</x:v>
      </x:c>
      <x:c r="U862" s="9" t="n">
        <x:f>H862*AA861*INDEX(v01_MortElder,G862)/4*Q862</x:f>
        <x:v>2.3442997289774232</x:v>
      </x:c>
      <x:c r="V862" s="9" t="n">
        <x:f>H862*MAX(0,AB861-O862)*v01_OvercapLoss</x:f>
        <x:v>0</x:v>
      </x:c>
      <x:c r="W862" s="9" t="n">
        <x:f>H862*Y861/(v01_ChildYears*4)</x:f>
        <x:v>7.234642648274243</x:v>
      </x:c>
      <x:c r="X862" s="9" t="n">
        <x:f>H862*Z861/(v01_AdultYears*4)</x:f>
        <x:v>3.4001048957084135</x:v>
      </x:c>
      <x:c r="Y862" s="32" t="n">
        <x:f>Y861+R862-S862-W862-Y861*V862/AB861</x:f>
        <x:v>409.76385693670323</x:v>
      </x:c>
      <x:c r="Z862" s="32" t="n">
        <x:f>Z861+W862-X862-T862-Z861*V862/AB861</x:f>
        <x:v>424.28810905097254</x:v>
      </x:c>
      <x:c r="AA862" s="32" t="n">
        <x:f>AA861+X862-U862-AA861*V862/AB861</x:f>
        <x:v>145.32040387303394</x:v>
      </x:c>
      <x:c r="AB862" s="10" t="n">
        <x:f>Y862+Z862+AA862</x:f>
        <x:v>979.3723698607097</x:v>
      </x:c>
      <x:c r="AC862" s="8" t="n">
        <x:f>IF(AND(v01_WinterTrigger=1,D862=1,AB861/AE861&gt;=K862),1,0)</x:f>
        <x:v>0</x:v>
      </x:c>
      <x:c r="AD862" s="8" t="n">
        <x:f>H862*IF(AND(OR(AB861/AE861&gt;=v01_FissionTrigger*N862,AC862=1),AB861/AE861*v01_DaughterShare&gt;=v01_MinDaughter),MAX(1,ROUND(AE861*v01_FissionRate,0)),0)</x:f>
        <x:v>0</x:v>
      </x:c>
      <x:c r="AE862" s="8" t="n">
        <x:f>IF(H862=1,MAX(1,MIN(INDEX(v01_Smax,G862),AE861+AD862)),AE861)</x:f>
        <x:v>12</x:v>
      </x:c>
      <x:c r="AF862" s="8" t="n">
        <x:f>MAX(0,AE862-AE861)</x:f>
        <x:v>0</x:v>
      </x:c>
      <x:c r="AG862" s="9" t="str">
        <x:f>IF(AF862&gt;0,B862,"")</x:f>
      </x:c>
      <x:c r="AH862" s="9" t="n">
        <x:f>IF(F862&gt;=1,1,(1+v01_LowTiesShare*(AE862-1))/AE862)</x:f>
        <x:v>1</x:v>
      </x:c>
      <x:c r="AI862" s="32" t="n">
        <x:f>(Z862+v01_ElderCommons*INDEX(LM_Elder,G862)*AA862)*AH862</x:f>
        <x:v>860.2493206700744</x:v>
      </x:c>
      <x:c r="AJ862" s="32" t="n">
        <x:f>H862*v01_CommonsCoef*AI862^v01_CommonsExp*INDEX(LM_Commons,G862)</x:f>
        <x:v>206.05095092162148</x:v>
      </x:c>
      <x:c r="AK862" s="32" t="n">
        <x:f>H862*v01_RoleScale*Arch_Roles*(AE862*(INDEX(v01_ElderRolePerSett,G862)*v01_OutElder*INDEX(LM_Elder,G862)+INDEX(v01_ShamanPerSett,G862)*v01_OutShaman)+Z862*(INDEX(v01_PriestShare,G862)*v01_OutPriest+INDEX(v01_ScribeShare,G862)*v01_OutScribe*INDEX(LM_Scribe,G862)+INDEX(v01_ScholarShare,G862)*v01_OutScholar*INDEX(LM_Scholar,G862)+INDEX(v01_ResearcherShare,G862)*v01_OutResearcher*INDEX(LM_Researcher,G862)))</x:f>
        <x:v>38.97001676335681</x:v>
      </x:c>
      <x:c r="AL862" s="32" t="n">
        <x:f>H862*v01_RoleScale*Arch_Roles*AE862*INDEX(v01_MonasteryPerSett,G862)*v01_OutMonastery*INDEX(LM_Monastery,G862)</x:f>
        <x:v>0</x:v>
      </x:c>
      <x:c r="AM862" s="32" t="n">
        <x:f>(AJ862+AK862+AL862)/4*INDEX(LM_All,G862)*INDEX(v01_Boon,G862)*Arch_Insight</x:f>
        <x:v>65.96519575709524</x:v>
      </x:c>
      <x:c r="AN862" s="32" t="n">
        <x:f>H862*(v01_KHPerAdult*Z862+v01_KHOfCommons*AJ862/4*INDEX(LM_All,G862))*v01_KHUsable*Arch_KH</x:f>
        <x:v>14.85008381678404</x:v>
      </x:c>
      <x:c r="AO862" s="32" t="n">
        <x:f>MIN(AP861+AN862,AM862*v01_KHMaxRatio)</x:f>
        <x:v>14.85008381678404</x:v>
      </x:c>
      <x:c r="AP862" s="32" t="n">
        <x:f>AP861+AN862-AO862</x:f>
        <x:v>0</x:v>
      </x:c>
      <x:c r="AQ862" s="32" t="n">
        <x:f>AM862+AO862</x:f>
        <x:v>80.81527957387928</x:v>
      </x:c>
      <x:c r="AR862" s="10" t="n">
        <x:f>IF(H862=1,INDEX(v01_Req,G862),0)</x:f>
        <x:v>9805.661999999998</x:v>
      </x:c>
      <x:c r="AS862" s="32" t="n">
        <x:f>IF(H862=1,IF(E862=1,AS861-AR861,AS861)+AQ862,0)</x:f>
        <x:v>7882.891724073964</x:v>
      </x:c>
      <x:c r="AT862" s="11" t="n">
        <x:f>IF(AR862&gt;0,MIN(1,AS862/AR862),1)</x:f>
        <x:v>0.803912242138671</x:v>
      </x:c>
      <x:c r="AU862" s="10" t="n">
        <x:f>AB862/INDEX(v01_RepScale,G862)</x:f>
        <x:v>195.87447397214194</x:v>
      </x:c>
      <x:c r="AV862" s="32" t="n">
        <x:f>AM862*60/v01_SeasonSeconds</x:f>
        <x:v>263.860783028381</x:v>
      </x:c>
    </x:row>
    <x:row r="863">
      <x:c r="A863" s="8" t="n">
        <x:f>A862+1</x:f>
        <x:v>860</x:v>
      </x:c>
      <x:c r="B863" s="9" t="n">
        <x:f>A863*v01_SeasonSeconds/60</x:f>
        <x:v>215</x:v>
      </x:c>
      <x:c r="C863" s="9" t="n">
        <x:f>A863/4</x:f>
        <x:v>215</x:v>
      </x:c>
      <x:c r="D863" s="8" t="n">
        <x:f>IF(MOD(A863,4)=0,1,0)</x:f>
        <x:v>1</x:v>
      </x:c>
      <x:c r="E863" s="8" t="n">
        <x:f>IF(AND(F862&lt;=9,AS862&gt;=AR862),1,0)</x:f>
        <x:v>0</x:v>
      </x:c>
      <x:c r="F863" s="8" t="n">
        <x:f>MIN(10,F862+E863)</x:f>
        <x:v>3</x:v>
      </x:c>
      <x:c r="G863" s="8" t="n">
        <x:f>MIN(F863,9)+1</x:f>
        <x:v>4</x:v>
      </x:c>
      <x:c r="H863" s="8" t="n">
        <x:f>IF(F863&lt;=9,1,0)</x:f>
        <x:v>1</x:v>
      </x:c>
      <x:c r="I863" s="9" t="n">
        <x:f>MIN(10,F862+IF(AR862&gt;0,MIN(1,AS862/AR862),1))</x:f>
        <x:v>3.803912242138671</x:v>
      </x:c>
      <x:c r="J863" s="32" t="n">
        <x:f>INDEX(v01_FoodCap,G863)*Arch_FoodCap*EXP(v01_CapsByProject*SUMPRODUCT((Cap_Point&lt;=I863)*(Cap_Kind="Food")*Cap_Ln))</x:f>
        <x:v>120</x:v>
      </x:c>
      <x:c r="K863" s="32" t="n">
        <x:f>J863*MIN(1,v01_LeanBase*EXP(v01_CapsByProject*SUMPRODUCT((Cap_Point&lt;=I863)*(Cap_Kind="Lean")*Cap_Ln)))</x:f>
        <x:v>120</x:v>
      </x:c>
      <x:c r="L863" s="10" t="n">
        <x:f>INDEX(v01_HousingCap,G863)*EXP(v01_CapsByProject*SUMPRODUCT((Cap_Point&lt;=I863)*(Cap_Kind="Housing")*Cap_Ln))</x:f>
        <x:v>200</x:v>
      </x:c>
      <x:c r="M863" s="10" t="n">
        <x:f>INDEX(v01_GroupCap,G863)*v01_CohesionFactor*EXP(v01_CapsByProject*SUMPRODUCT((Cap_Point&lt;=I863)*(Cap_Kind="Group")*Cap_Ln))</x:f>
        <x:v>5000</x:v>
      </x:c>
      <x:c r="N863" s="32" t="n">
        <x:f>MIN(J863,L863,M863)</x:f>
        <x:v>120</x:v>
      </x:c>
      <x:c r="O863" s="10" t="n">
        <x:f>AE862*N863</x:f>
        <x:v>1440</x:v>
      </x:c>
      <x:c r="P863" s="9" t="n">
        <x:f>MIN(1,(AB862/(AE862*IF(v01_GroupInCrowding=1,N863,MIN(J863,L863))))^v01_CrowdingExp)</x:f>
        <x:v>0.09897195122500352</x:v>
      </x:c>
      <x:c r="Q863" s="9" t="n">
        <x:f>IF(D863=1,INDEX(v01_WinterMult,G863),1)</x:f>
        <x:v>1.15</x:v>
      </x:c>
      <x:c r="R863" s="9" t="n">
        <x:f>H863*Z862*v01_WomenShare*v01_BaseFertility*INDEX(v01_FertMult,G863)*Arch_Fertility*(1-P863)</x:f>
        <x:v>14.909523993648596</x:v>
      </x:c>
      <x:c r="S863" s="9" t="n">
        <x:f>H863*Y862*INDEX(v01_MortChild,G863)/4*Q863</x:f>
        <x:v>3.534213266079065</x:v>
      </x:c>
      <x:c r="T863" s="9" t="n">
        <x:f>H863*Z862*INDEX(v01_MortAdult,G863)*Arch_AdultMort/4*Q863</x:f>
        <x:v>1.3418111448737002</x:v>
      </x:c>
      <x:c r="U863" s="9" t="n">
        <x:f>H863*AA862*INDEX(v01_MortElder,G863)/4*Q863</x:f>
        <x:v>2.7156750473773217</x:v>
      </x:c>
      <x:c r="V863" s="9" t="n">
        <x:f>H863*MAX(0,AB862-O863)*v01_OvercapLoss</x:f>
        <x:v>0</x:v>
      </x:c>
      <x:c r="W863" s="9" t="n">
        <x:f>H863*Y862/(v01_ChildYears*4)</x:f>
        <x:v>7.3172117310125575</x:v>
      </x:c>
      <x:c r="X863" s="9" t="n">
        <x:f>H863*Z862/(v01_AdultYears*4)</x:f>
        <x:v>3.4216782987981658</x:v>
      </x:c>
      <x:c r="Y863" s="32" t="n">
        <x:f>Y862+R863-S863-W863-Y862*V863/AB862</x:f>
        <x:v>413.8219559332602</x:v>
      </x:c>
      <x:c r="Z863" s="32" t="n">
        <x:f>Z862+W863-X863-T863-Z862*V863/AB862</x:f>
        <x:v>426.8418313383132</x:v>
      </x:c>
      <x:c r="AA863" s="32" t="n">
        <x:f>AA862+X863-U863-AA862*V863/AB862</x:f>
        <x:v>146.02640712445478</x:v>
      </x:c>
      <x:c r="AB863" s="10" t="n">
        <x:f>Y863+Z863+AA863</x:f>
        <x:v>986.6901943960282</x:v>
      </x:c>
      <x:c r="AC863" s="8" t="n">
        <x:f>IF(AND(v01_WinterTrigger=1,D863=1,AB862/AE862&gt;=K863),1,0)</x:f>
        <x:v>0</x:v>
      </x:c>
      <x:c r="AD863" s="8" t="n">
        <x:f>H863*IF(AND(OR(AB862/AE862&gt;=v01_FissionTrigger*N863,AC863=1),AB862/AE862*v01_DaughterShare&gt;=v01_MinDaughter),MAX(1,ROUND(AE862*v01_FissionRate,0)),0)</x:f>
        <x:v>0</x:v>
      </x:c>
      <x:c r="AE863" s="8" t="n">
        <x:f>IF(H863=1,MAX(1,MIN(INDEX(v01_Smax,G863),AE862+AD863)),AE862)</x:f>
        <x:v>12</x:v>
      </x:c>
      <x:c r="AF863" s="8" t="n">
        <x:f>MAX(0,AE863-AE862)</x:f>
        <x:v>0</x:v>
      </x:c>
      <x:c r="AG863" s="9" t="str">
        <x:f>IF(AF863&gt;0,B863,"")</x:f>
      </x:c>
      <x:c r="AH863" s="9" t="n">
        <x:f>IF(F863&gt;=1,1,(1+v01_LowTiesShare*(AE863-1))/AE863)</x:f>
        <x:v>1</x:v>
      </x:c>
      <x:c r="AI863" s="32" t="n">
        <x:f>(Z863+v01_ElderCommons*INDEX(LM_Elder,G863)*AA863)*AH863</x:f>
        <x:v>864.9210527116776</x:v>
      </x:c>
      <x:c r="AJ863" s="32" t="n">
        <x:f>H863*v01_CommonsCoef*AI863^v01_CommonsExp*INDEX(LM_Commons,G863)</x:f>
        <x:v>207.00171021299937</x:v>
      </x:c>
      <x:c r="AK863" s="32" t="n">
        <x:f>H863*v01_RoleScale*Arch_Roles*(AE863*(INDEX(v01_ElderRolePerSett,G863)*v01_OutElder*INDEX(LM_Elder,G863)+INDEX(v01_ShamanPerSett,G863)*v01_OutShaman)+Z863*(INDEX(v01_PriestShare,G863)*v01_OutPriest+INDEX(v01_ScribeShare,G863)*v01_OutScribe*INDEX(LM_Scribe,G863)+INDEX(v01_ScholarShare,G863)*v01_OutScholar*INDEX(LM_Scholar,G863)+INDEX(v01_ResearcherShare,G863)*v01_OutResearcher*INDEX(LM_Researcher,G863)))</x:f>
        <x:v>38.98789281936819</x:v>
      </x:c>
      <x:c r="AL863" s="32" t="n">
        <x:f>H863*v01_RoleScale*Arch_Roles*AE863*INDEX(v01_MonasteryPerSett,G863)*v01_OutMonastery*INDEX(LM_Monastery,G863)</x:f>
        <x:v>0</x:v>
      </x:c>
      <x:c r="AM863" s="32" t="n">
        <x:f>(AJ863+AK863+AL863)/4*INDEX(LM_All,G863)*INDEX(v01_Boon,G863)*Arch_Insight</x:f>
        <x:v>66.22597433825703</x:v>
      </x:c>
      <x:c r="AN863" s="32" t="n">
        <x:f>H863*(v01_KHPerAdult*Z863+v01_KHOfCommons*AJ863/4*INDEX(LM_All,G863))*v01_KHUsable*Arch_KH</x:f>
        <x:v>14.939464096840963</x:v>
      </x:c>
      <x:c r="AO863" s="32" t="n">
        <x:f>MIN(AP862+AN863,AM863*v01_KHMaxRatio)</x:f>
        <x:v>14.939464096840963</x:v>
      </x:c>
      <x:c r="AP863" s="32" t="n">
        <x:f>AP862+AN863-AO863</x:f>
        <x:v>0</x:v>
      </x:c>
      <x:c r="AQ863" s="32" t="n">
        <x:f>AM863+AO863</x:f>
        <x:v>81.165438435098</x:v>
      </x:c>
      <x:c r="AR863" s="10" t="n">
        <x:f>IF(H863=1,INDEX(v01_Req,G863),0)</x:f>
        <x:v>9805.661999999998</x:v>
      </x:c>
      <x:c r="AS863" s="32" t="n">
        <x:f>IF(H863=1,IF(E863=1,AS862-AR862,AS862)+AQ863,0)</x:f>
        <x:v>7964.0571625090615</x:v>
      </x:c>
      <x:c r="AT863" s="11" t="n">
        <x:f>IF(AR863&gt;0,MIN(1,AS863/AR863),1)</x:f>
        <x:v>0.8121896474209557</x:v>
      </x:c>
      <x:c r="AU863" s="10" t="n">
        <x:f>AB863/INDEX(v01_RepScale,G863)</x:f>
        <x:v>197.33803887920564</x:v>
      </x:c>
      <x:c r="AV863" s="32" t="n">
        <x:f>AM863*60/v01_SeasonSeconds</x:f>
        <x:v>264.9038973530281</x:v>
      </x:c>
    </x:row>
    <x:row r="864">
      <x:c r="A864" s="8" t="n">
        <x:f>A863+1</x:f>
        <x:v>861</x:v>
      </x:c>
      <x:c r="B864" s="9" t="n">
        <x:f>A864*v01_SeasonSeconds/60</x:f>
        <x:v>215.25</x:v>
      </x:c>
      <x:c r="C864" s="9" t="n">
        <x:f>A864/4</x:f>
        <x:v>215.25</x:v>
      </x:c>
      <x:c r="D864" s="8" t="n">
        <x:f>IF(MOD(A864,4)=0,1,0)</x:f>
        <x:v>0</x:v>
      </x:c>
      <x:c r="E864" s="8" t="n">
        <x:f>IF(AND(F863&lt;=9,AS863&gt;=AR863),1,0)</x:f>
        <x:v>0</x:v>
      </x:c>
      <x:c r="F864" s="8" t="n">
        <x:f>MIN(10,F863+E864)</x:f>
        <x:v>3</x:v>
      </x:c>
      <x:c r="G864" s="8" t="n">
        <x:f>MIN(F864,9)+1</x:f>
        <x:v>4</x:v>
      </x:c>
      <x:c r="H864" s="8" t="n">
        <x:f>IF(F864&lt;=9,1,0)</x:f>
        <x:v>1</x:v>
      </x:c>
      <x:c r="I864" s="9" t="n">
        <x:f>MIN(10,F863+IF(AR863&gt;0,MIN(1,AS863/AR863),1))</x:f>
        <x:v>3.8121896474209556</x:v>
      </x:c>
      <x:c r="J864" s="32" t="n">
        <x:f>INDEX(v01_FoodCap,G864)*Arch_FoodCap*EXP(v01_CapsByProject*SUMPRODUCT((Cap_Point&lt;=I864)*(Cap_Kind="Food")*Cap_Ln))</x:f>
        <x:v>120</x:v>
      </x:c>
      <x:c r="K864" s="32" t="n">
        <x:f>J864*MIN(1,v01_LeanBase*EXP(v01_CapsByProject*SUMPRODUCT((Cap_Point&lt;=I864)*(Cap_Kind="Lean")*Cap_Ln)))</x:f>
        <x:v>120</x:v>
      </x:c>
      <x:c r="L864" s="10" t="n">
        <x:f>INDEX(v01_HousingCap,G864)*EXP(v01_CapsByProject*SUMPRODUCT((Cap_Point&lt;=I864)*(Cap_Kind="Housing")*Cap_Ln))</x:f>
        <x:v>200</x:v>
      </x:c>
      <x:c r="M864" s="10" t="n">
        <x:f>INDEX(v01_GroupCap,G864)*v01_CohesionFactor*EXP(v01_CapsByProject*SUMPRODUCT((Cap_Point&lt;=I864)*(Cap_Kind="Group")*Cap_Ln))</x:f>
        <x:v>5000</x:v>
      </x:c>
      <x:c r="N864" s="32" t="n">
        <x:f>MIN(J864,L864,M864)</x:f>
        <x:v>120</x:v>
      </x:c>
      <x:c r="O864" s="10" t="n">
        <x:f>AE863*N864</x:f>
        <x:v>1440</x:v>
      </x:c>
      <x:c r="P864" s="9" t="n">
        <x:f>MIN(1,(AB863/(AE863*IF(v01_GroupInCrowding=1,N864,MIN(J864,L864))))^v01_CrowdingExp)</x:f>
        <x:v>0.1034927485348708</x:v>
      </x:c>
      <x:c r="Q864" s="9" t="n">
        <x:f>IF(D864=1,INDEX(v01_WinterMult,G864),1)</x:f>
        <x:v>1</x:v>
      </x:c>
      <x:c r="R864" s="9" t="n">
        <x:f>H864*Z863*v01_WomenShare*v01_BaseFertility*INDEX(v01_FertMult,G864)*Arch_Fertility*(1-P864)</x:f>
        <x:v>14.924005083914683</x:v>
      </x:c>
      <x:c r="S864" s="9" t="n">
        <x:f>H864*Y863*INDEX(v01_MortChild,G864)/4*Q864</x:f>
        <x:v>3.103664669499451</x:v>
      </x:c>
      <x:c r="T864" s="9" t="n">
        <x:f>H864*Z863*INDEX(v01_MortAdult,G864)*Arch_AdultMort/4*Q864</x:f>
        <x:v>1.1738150361803612</x:v>
      </x:c>
      <x:c r="U864" s="9" t="n">
        <x:f>H864*AA863*INDEX(v01_MortElder,G864)/4*Q864</x:f>
        <x:v>2.3729291157723904</x:v>
      </x:c>
      <x:c r="V864" s="9" t="n">
        <x:f>H864*MAX(0,AB863-O864)*v01_OvercapLoss</x:f>
        <x:v>0</x:v>
      </x:c>
      <x:c r="W864" s="9" t="n">
        <x:f>H864*Y863/(v01_ChildYears*4)</x:f>
        <x:v>7.389677784522504</x:v>
      </x:c>
      <x:c r="X864" s="9" t="n">
        <x:f>H864*Z863/(v01_AdultYears*4)</x:f>
        <x:v>3.4422728333734938</x:v>
      </x:c>
      <x:c r="Y864" s="32" t="n">
        <x:f>Y863+R864-S864-W864-Y863*V864/AB863</x:f>
        <x:v>418.2526185631529</x:v>
      </x:c>
      <x:c r="Z864" s="32" t="n">
        <x:f>Z863+W864-X864-T864-Z863*V864/AB863</x:f>
        <x:v>429.61542125328185</x:v>
      </x:c>
      <x:c r="AA864" s="32" t="n">
        <x:f>AA863+X864-U864-AA863*V864/AB863</x:f>
        <x:v>147.09575084205588</x:v>
      </x:c>
      <x:c r="AB864" s="10" t="n">
        <x:f>Y864+Z864+AA864</x:f>
        <x:v>994.9637906584906</x:v>
      </x:c>
      <x:c r="AC864" s="8" t="n">
        <x:f>IF(AND(v01_WinterTrigger=1,D864=1,AB863/AE863&gt;=K864),1,0)</x:f>
        <x:v>0</x:v>
      </x:c>
      <x:c r="AD864" s="8" t="n">
        <x:f>H864*IF(AND(OR(AB863/AE863&gt;=v01_FissionTrigger*N864,AC864=1),AB863/AE863*v01_DaughterShare&gt;=v01_MinDaughter),MAX(1,ROUND(AE863*v01_FissionRate,0)),0)</x:f>
        <x:v>0</x:v>
      </x:c>
      <x:c r="AE864" s="8" t="n">
        <x:f>IF(H864=1,MAX(1,MIN(INDEX(v01_Smax,G864),AE863+AD864)),AE863)</x:f>
        <x:v>12</x:v>
      </x:c>
      <x:c r="AF864" s="8" t="n">
        <x:f>MAX(0,AE864-AE863)</x:f>
        <x:v>0</x:v>
      </x:c>
      <x:c r="AG864" s="9" t="str">
        <x:f>IF(AF864&gt;0,B864,"")</x:f>
      </x:c>
      <x:c r="AH864" s="9" t="n">
        <x:f>IF(F864&gt;=1,1,(1+v01_LowTiesShare*(AE864-1))/AE864)</x:f>
        <x:v>1</x:v>
      </x:c>
      <x:c r="AI864" s="32" t="n">
        <x:f>(Z864+v01_ElderCommons*INDEX(LM_Elder,G864)*AA864)*AH864</x:f>
        <x:v>870.9026737794495</x:v>
      </x:c>
      <x:c r="AJ864" s="32" t="n">
        <x:f>H864*v01_CommonsCoef*AI864^v01_CommonsExp*INDEX(LM_Commons,G864)</x:f>
        <x:v>208.21792579458256</x:v>
      </x:c>
      <x:c r="AK864" s="32" t="n">
        <x:f>H864*v01_RoleScale*Arch_Roles*(AE864*(INDEX(v01_ElderRolePerSett,G864)*v01_OutElder*INDEX(LM_Elder,G864)+INDEX(v01_ShamanPerSett,G864)*v01_OutShaman)+Z864*(INDEX(v01_PriestShare,G864)*v01_OutPriest+INDEX(v01_ScribeShare,G864)*v01_OutScribe*INDEX(LM_Scribe,G864)+INDEX(v01_ScholarShare,G864)*v01_OutScholar*INDEX(LM_Scholar,G864)+INDEX(v01_ResearcherShare,G864)*v01_OutResearcher*INDEX(LM_Researcher,G864)))</x:f>
        <x:v>39.007307948772976</x:v>
      </x:c>
      <x:c r="AL864" s="32" t="n">
        <x:f>H864*v01_RoleScale*Arch_Roles*AE864*INDEX(v01_MonasteryPerSett,G864)*v01_OutMonastery*INDEX(LM_Monastery,G864)</x:f>
        <x:v>0</x:v>
      </x:c>
      <x:c r="AM864" s="32" t="n">
        <x:f>(AJ864+AK864+AL864)/4*INDEX(LM_All,G864)*INDEX(v01_Boon,G864)*Arch_Insight</x:f>
        <x:v>66.55863412041329</x:v>
      </x:c>
      <x:c r="AN864" s="32" t="n">
        <x:f>H864*(v01_KHPerAdult*Z864+v01_KHOfCommons*AJ864/4*INDEX(LM_All,G864))*v01_KHUsable*Arch_KH</x:f>
        <x:v>15.036539743864864</x:v>
      </x:c>
      <x:c r="AO864" s="32" t="n">
        <x:f>MIN(AP863+AN864,AM864*v01_KHMaxRatio)</x:f>
        <x:v>15.036539743864864</x:v>
      </x:c>
      <x:c r="AP864" s="32" t="n">
        <x:f>AP863+AN864-AO864</x:f>
        <x:v>0</x:v>
      </x:c>
      <x:c r="AQ864" s="32" t="n">
        <x:f>AM864+AO864</x:f>
        <x:v>81.59517386427815</x:v>
      </x:c>
      <x:c r="AR864" s="10" t="n">
        <x:f>IF(H864=1,INDEX(v01_Req,G864),0)</x:f>
        <x:v>9805.661999999998</x:v>
      </x:c>
      <x:c r="AS864" s="32" t="n">
        <x:f>IF(H864=1,IF(E864=1,AS863-AR863,AS863)+AQ864,0)</x:f>
        <x:v>8045.6523363733395</x:v>
      </x:c>
      <x:c r="AT864" s="11" t="n">
        <x:f>IF(AR864&gt;0,MIN(1,AS864/AR864),1)</x:f>
        <x:v>0.8205108779369858</x:v>
      </x:c>
      <x:c r="AU864" s="10" t="n">
        <x:f>AB864/INDEX(v01_RepScale,G864)</x:f>
        <x:v>198.9927581316981</x:v>
      </x:c>
      <x:c r="AV864" s="32" t="n">
        <x:f>AM864*60/v01_SeasonSeconds</x:f>
        <x:v>266.23453648165315</x:v>
      </x:c>
    </x:row>
    <x:row r="865">
      <x:c r="A865" s="8" t="n">
        <x:f>A864+1</x:f>
        <x:v>862</x:v>
      </x:c>
      <x:c r="B865" s="9" t="n">
        <x:f>A865*v01_SeasonSeconds/60</x:f>
        <x:v>215.5</x:v>
      </x:c>
      <x:c r="C865" s="9" t="n">
        <x:f>A865/4</x:f>
        <x:v>215.5</x:v>
      </x:c>
      <x:c r="D865" s="8" t="n">
        <x:f>IF(MOD(A865,4)=0,1,0)</x:f>
        <x:v>0</x:v>
      </x:c>
      <x:c r="E865" s="8" t="n">
        <x:f>IF(AND(F864&lt;=9,AS864&gt;=AR864),1,0)</x:f>
        <x:v>0</x:v>
      </x:c>
      <x:c r="F865" s="8" t="n">
        <x:f>MIN(10,F864+E865)</x:f>
        <x:v>3</x:v>
      </x:c>
      <x:c r="G865" s="8" t="n">
        <x:f>MIN(F865,9)+1</x:f>
        <x:v>4</x:v>
      </x:c>
      <x:c r="H865" s="8" t="n">
        <x:f>IF(F865&lt;=9,1,0)</x:f>
        <x:v>1</x:v>
      </x:c>
      <x:c r="I865" s="9" t="n">
        <x:f>MIN(10,F864+IF(AR864&gt;0,MIN(1,AS864/AR864),1))</x:f>
        <x:v>3.820510877936986</x:v>
      </x:c>
      <x:c r="J865" s="32" t="n">
        <x:f>INDEX(v01_FoodCap,G865)*Arch_FoodCap*EXP(v01_CapsByProject*SUMPRODUCT((Cap_Point&lt;=I865)*(Cap_Kind="Food")*Cap_Ln))</x:f>
        <x:v>120</x:v>
      </x:c>
      <x:c r="K865" s="32" t="n">
        <x:f>J865*MIN(1,v01_LeanBase*EXP(v01_CapsByProject*SUMPRODUCT((Cap_Point&lt;=I865)*(Cap_Kind="Lean")*Cap_Ln)))</x:f>
        <x:v>120</x:v>
      </x:c>
      <x:c r="L865" s="10" t="n">
        <x:f>INDEX(v01_HousingCap,G865)*EXP(v01_CapsByProject*SUMPRODUCT((Cap_Point&lt;=I865)*(Cap_Kind="Housing")*Cap_Ln))</x:f>
        <x:v>200</x:v>
      </x:c>
      <x:c r="M865" s="10" t="n">
        <x:f>INDEX(v01_GroupCap,G865)*v01_CohesionFactor*EXP(v01_CapsByProject*SUMPRODUCT((Cap_Point&lt;=I865)*(Cap_Kind="Group")*Cap_Ln))</x:f>
        <x:v>5000</x:v>
      </x:c>
      <x:c r="N865" s="32" t="n">
        <x:f>MIN(J865,L865,M865)</x:f>
        <x:v>120</x:v>
      </x:c>
      <x:c r="O865" s="10" t="n">
        <x:f>AE864*N865</x:f>
        <x:v>1440</x:v>
      </x:c>
      <x:c r="P865" s="9" t="n">
        <x:f>MIN(1,(AB864/(AE864*IF(v01_GroupInCrowding=1,N865,MIN(J865,L865))))^v01_CrowdingExp)</x:f>
        <x:v>0.10880997310102034</x:v>
      </x:c>
      <x:c r="Q865" s="9" t="n">
        <x:f>IF(D865=1,INDEX(v01_WinterMult,G865),1)</x:f>
        <x:v>1</x:v>
      </x:c>
      <x:c r="R865" s="9" t="n">
        <x:f>H865*Z864*v01_WomenShare*v01_BaseFertility*INDEX(v01_FertMult,G865)*Arch_Fertility*(1-P865)</x:f>
        <x:v>14.931890174094221</x:v>
      </x:c>
      <x:c r="S865" s="9" t="n">
        <x:f>H865*Y864*INDEX(v01_MortChild,G865)/4*Q865</x:f>
        <x:v>3.1368946392236468</x:v>
      </x:c>
      <x:c r="T865" s="9" t="n">
        <x:f>H865*Z864*INDEX(v01_MortAdult,G865)*Arch_AdultMort/4*Q865</x:f>
        <x:v>1.181442408446525</x:v>
      </x:c>
      <x:c r="U865" s="9" t="n">
        <x:f>H865*AA864*INDEX(v01_MortElder,G865)/4*Q865</x:f>
        <x:v>2.390305951183408</x:v>
      </x:c>
      <x:c r="V865" s="9" t="n">
        <x:f>H865*MAX(0,AB864-O865)*v01_OvercapLoss</x:f>
        <x:v>0</x:v>
      </x:c>
      <x:c r="W865" s="9" t="n">
        <x:f>H865*Y864/(v01_ChildYears*4)</x:f>
        <x:v>7.468796760056302</x:v>
      </x:c>
      <x:c r="X865" s="9" t="n">
        <x:f>H865*Z864/(v01_AdultYears*4)</x:f>
        <x:v>3.4646404939780795</x:v>
      </x:c>
      <x:c r="Y865" s="32" t="n">
        <x:f>Y864+R865-S865-W865-Y864*V865/AB864</x:f>
        <x:v>422.57881733796717</x:v>
      </x:c>
      <x:c r="Z865" s="32" t="n">
        <x:f>Z864+W865-X865-T865-Z864*V865/AB864</x:f>
        <x:v>432.43813511091355</x:v>
      </x:c>
      <x:c r="AA865" s="32" t="n">
        <x:f>AA864+X865-U865-AA864*V865/AB864</x:f>
        <x:v>148.17008538485052</x:v>
      </x:c>
      <x:c r="AB865" s="10" t="n">
        <x:f>Y865+Z865+AA865</x:f>
        <x:v>1003.1870378337312</x:v>
      </x:c>
      <x:c r="AC865" s="8" t="n">
        <x:f>IF(AND(v01_WinterTrigger=1,D865=1,AB864/AE864&gt;=K865),1,0)</x:f>
        <x:v>0</x:v>
      </x:c>
      <x:c r="AD865" s="8" t="n">
        <x:f>H865*IF(AND(OR(AB864/AE864&gt;=v01_FissionTrigger*N865,AC865=1),AB864/AE864*v01_DaughterShare&gt;=v01_MinDaughter),MAX(1,ROUND(AE864*v01_FissionRate,0)),0)</x:f>
        <x:v>0</x:v>
      </x:c>
      <x:c r="AE865" s="8" t="n">
        <x:f>IF(H865=1,MAX(1,MIN(INDEX(v01_Smax,G865),AE864+AD865)),AE864)</x:f>
        <x:v>12</x:v>
      </x:c>
      <x:c r="AF865" s="8" t="n">
        <x:f>MAX(0,AE865-AE864)</x:f>
        <x:v>0</x:v>
      </x:c>
      <x:c r="AG865" s="9" t="str">
        <x:f>IF(AF865&gt;0,B865,"")</x:f>
      </x:c>
      <x:c r="AH865" s="9" t="n">
        <x:f>IF(F865&gt;=1,1,(1+v01_LowTiesShare*(AE865-1))/AE865)</x:f>
        <x:v>1</x:v>
      </x:c>
      <x:c r="AI865" s="32" t="n">
        <x:f>(Z865+v01_ElderCommons*INDEX(LM_Elder,G865)*AA865)*AH865</x:f>
        <x:v>876.9483912654651</x:v>
      </x:c>
      <x:c r="AJ865" s="32" t="n">
        <x:f>H865*v01_CommonsCoef*AI865^v01_CommonsExp*INDEX(LM_Commons,G865)</x:f>
        <x:v>209.44590127570862</x:v>
      </x:c>
      <x:c r="AK865" s="32" t="n">
        <x:f>H865*v01_RoleScale*Arch_Roles*(AE865*(INDEX(v01_ElderRolePerSett,G865)*v01_OutElder*INDEX(LM_Elder,G865)+INDEX(v01_ShamanPerSett,G865)*v01_OutShaman)+Z865*(INDEX(v01_PriestShare,G865)*v01_OutPriest+INDEX(v01_ScribeShare,G865)*v01_OutScribe*INDEX(LM_Scribe,G865)+INDEX(v01_ScholarShare,G865)*v01_OutScholar*INDEX(LM_Scholar,G865)+INDEX(v01_ResearcherShare,G865)*v01_OutResearcher*INDEX(LM_Researcher,G865)))</x:f>
        <x:v>39.0270669457764</x:v>
      </x:c>
      <x:c r="AL865" s="32" t="n">
        <x:f>H865*v01_RoleScale*Arch_Roles*AE865*INDEX(v01_MonasteryPerSett,G865)*v01_OutMonastery*INDEX(LM_Monastery,G865)</x:f>
        <x:v>0</x:v>
      </x:c>
      <x:c r="AM865" s="32" t="n">
        <x:f>(AJ865+AK865+AL865)/4*INDEX(LM_All,G865)*INDEX(v01_Boon,G865)*Arch_Insight</x:f>
        <x:v>66.89455251091002</x:v>
      </x:c>
      <x:c r="AN865" s="32" t="n">
        <x:f>H865*(v01_KHPerAdult*Z865+v01_KHOfCommons*AJ865/4*INDEX(LM_All,G865))*v01_KHUsable*Arch_KH</x:f>
        <x:v>15.135334728881976</x:v>
      </x:c>
      <x:c r="AO865" s="32" t="n">
        <x:f>MIN(AP864+AN865,AM865*v01_KHMaxRatio)</x:f>
        <x:v>15.135334728881976</x:v>
      </x:c>
      <x:c r="AP865" s="32" t="n">
        <x:f>AP864+AN865-AO865</x:f>
        <x:v>0</x:v>
      </x:c>
      <x:c r="AQ865" s="32" t="n">
        <x:f>AM865+AO865</x:f>
        <x:v>82.02988723979199</x:v>
      </x:c>
      <x:c r="AR865" s="10" t="n">
        <x:f>IF(H865=1,INDEX(v01_Req,G865),0)</x:f>
        <x:v>9805.661999999998</x:v>
      </x:c>
      <x:c r="AS865" s="32" t="n">
        <x:f>IF(H865=1,IF(E865=1,AS864-AR864,AS864)+AQ865,0)</x:f>
        <x:v>8127.682223613131</x:v>
      </x:c>
      <x:c r="AT865" s="11" t="n">
        <x:f>IF(AR865&gt;0,MIN(1,AS865/AR865),1)</x:f>
        <x:v>0.8288764413471658</x:v>
      </x:c>
      <x:c r="AU865" s="10" t="n">
        <x:f>AB865/INDEX(v01_RepScale,G865)</x:f>
        <x:v>200.63740756674625</x:v>
      </x:c>
      <x:c r="AV865" s="32" t="n">
        <x:f>AM865*60/v01_SeasonSeconds</x:f>
        <x:v>267.57821004364007</x:v>
      </x:c>
    </x:row>
    <x:row r="866">
      <x:c r="A866" s="8" t="n">
        <x:f>A865+1</x:f>
        <x:v>863</x:v>
      </x:c>
      <x:c r="B866" s="9" t="n">
        <x:f>A866*v01_SeasonSeconds/60</x:f>
        <x:v>215.75</x:v>
      </x:c>
      <x:c r="C866" s="9" t="n">
        <x:f>A866/4</x:f>
        <x:v>215.75</x:v>
      </x:c>
      <x:c r="D866" s="8" t="n">
        <x:f>IF(MOD(A866,4)=0,1,0)</x:f>
        <x:v>0</x:v>
      </x:c>
      <x:c r="E866" s="8" t="n">
        <x:f>IF(AND(F865&lt;=9,AS865&gt;=AR865),1,0)</x:f>
        <x:v>0</x:v>
      </x:c>
      <x:c r="F866" s="8" t="n">
        <x:f>MIN(10,F865+E866)</x:f>
        <x:v>3</x:v>
      </x:c>
      <x:c r="G866" s="8" t="n">
        <x:f>MIN(F866,9)+1</x:f>
        <x:v>4</x:v>
      </x:c>
      <x:c r="H866" s="8" t="n">
        <x:f>IF(F866&lt;=9,1,0)</x:f>
        <x:v>1</x:v>
      </x:c>
      <x:c r="I866" s="9" t="n">
        <x:f>MIN(10,F865+IF(AR865&gt;0,MIN(1,AS865/AR865),1))</x:f>
        <x:v>3.8288764413471656</x:v>
      </x:c>
      <x:c r="J866" s="32" t="n">
        <x:f>INDEX(v01_FoodCap,G866)*Arch_FoodCap*EXP(v01_CapsByProject*SUMPRODUCT((Cap_Point&lt;=I866)*(Cap_Kind="Food")*Cap_Ln))</x:f>
        <x:v>120</x:v>
      </x:c>
      <x:c r="K866" s="32" t="n">
        <x:f>J866*MIN(1,v01_LeanBase*EXP(v01_CapsByProject*SUMPRODUCT((Cap_Point&lt;=I866)*(Cap_Kind="Lean")*Cap_Ln)))</x:f>
        <x:v>120</x:v>
      </x:c>
      <x:c r="L866" s="10" t="n">
        <x:f>INDEX(v01_HousingCap,G866)*EXP(v01_CapsByProject*SUMPRODUCT((Cap_Point&lt;=I866)*(Cap_Kind="Housing")*Cap_Ln))</x:f>
        <x:v>200</x:v>
      </x:c>
      <x:c r="M866" s="10" t="n">
        <x:f>INDEX(v01_GroupCap,G866)*v01_CohesionFactor*EXP(v01_CapsByProject*SUMPRODUCT((Cap_Point&lt;=I866)*(Cap_Kind="Group")*Cap_Ln))</x:f>
        <x:v>5000</x:v>
      </x:c>
      <x:c r="N866" s="32" t="n">
        <x:f>MIN(J866,L866,M866)</x:f>
        <x:v>120</x:v>
      </x:c>
      <x:c r="O866" s="10" t="n">
        <x:f>AE865*N866</x:f>
        <x:v>1440</x:v>
      </x:c>
      <x:c r="P866" s="9" t="n">
        <x:f>MIN(1,(AB865/(AE865*IF(v01_GroupInCrowding=1,N866,MIN(J866,L866))))^v01_CrowdingExp)</x:f>
        <x:v>0.11431850056510204</x:v>
      </x:c>
      <x:c r="Q866" s="9" t="n">
        <x:f>IF(D866=1,INDEX(v01_WinterMult,G866),1)</x:f>
        <x:v>1</x:v>
      </x:c>
      <x:c r="R866" s="9" t="n">
        <x:f>H866*Z865*v01_WomenShare*v01_BaseFertility*INDEX(v01_FertMult,G866)*Arch_Fertility*(1-P866)</x:f>
        <x:v>14.93709578079673</x:v>
      </x:c>
      <x:c r="S866" s="9" t="n">
        <x:f>H866*Y865*INDEX(v01_MortChild,G866)/4*Q866</x:f>
        <x:v>3.169341130034754</x:v>
      </x:c>
      <x:c r="T866" s="9" t="n">
        <x:f>H866*Z865*INDEX(v01_MortAdult,G866)*Arch_AdultMort/4*Q866</x:f>
        <x:v>1.189204871555012</x:v>
      </x:c>
      <x:c r="U866" s="9" t="n">
        <x:f>H866*AA865*INDEX(v01_MortElder,G866)/4*Q866</x:f>
        <x:v>2.407763887503821</x:v>
      </x:c>
      <x:c r="V866" s="9" t="n">
        <x:f>H866*MAX(0,AB865-O866)*v01_OvercapLoss</x:f>
        <x:v>0</x:v>
      </x:c>
      <x:c r="W866" s="9" t="n">
        <x:f>H866*Y865/(v01_ChildYears*4)</x:f>
        <x:v>7.5460503096065565</x:v>
      </x:c>
      <x:c r="X866" s="9" t="n">
        <x:f>H866*Z865/(v01_AdultYears*4)</x:f>
        <x:v>3.487404315410593</x:v>
      </x:c>
      <x:c r="Y866" s="32" t="n">
        <x:f>Y865+R866-S866-W866-Y865*V866/AB865</x:f>
        <x:v>426.80052167912254</x:v>
      </x:c>
      <x:c r="Z866" s="32" t="n">
        <x:f>Z865+W866-X866-T866-Z865*V866/AB865</x:f>
        <x:v>435.3075762335545</x:v>
      </x:c>
      <x:c r="AA866" s="32" t="n">
        <x:f>AA865+X866-U866-AA865*V866/AB865</x:f>
        <x:v>149.2497258127573</x:v>
      </x:c>
      <x:c r="AB866" s="10" t="n">
        <x:f>Y866+Z866+AA866</x:f>
        <x:v>1011.3578237254344</x:v>
      </x:c>
      <x:c r="AC866" s="8" t="n">
        <x:f>IF(AND(v01_WinterTrigger=1,D866=1,AB865/AE865&gt;=K866),1,0)</x:f>
        <x:v>0</x:v>
      </x:c>
      <x:c r="AD866" s="8" t="n">
        <x:f>H866*IF(AND(OR(AB865/AE865&gt;=v01_FissionTrigger*N866,AC866=1),AB865/AE865*v01_DaughterShare&gt;=v01_MinDaughter),MAX(1,ROUND(AE865*v01_FissionRate,0)),0)</x:f>
        <x:v>0</x:v>
      </x:c>
      <x:c r="AE866" s="8" t="n">
        <x:f>IF(H866=1,MAX(1,MIN(INDEX(v01_Smax,G866),AE865+AD866)),AE865)</x:f>
        <x:v>12</x:v>
      </x:c>
      <x:c r="AF866" s="8" t="n">
        <x:f>MAX(0,AE866-AE865)</x:f>
        <x:v>0</x:v>
      </x:c>
      <x:c r="AG866" s="9" t="str">
        <x:f>IF(AF866&gt;0,B866,"")</x:f>
      </x:c>
      <x:c r="AH866" s="9" t="n">
        <x:f>IF(F866&gt;=1,1,(1+v01_LowTiesShare*(AE866-1))/AE866)</x:f>
        <x:v>1</x:v>
      </x:c>
      <x:c r="AI866" s="32" t="n">
        <x:f>(Z866+v01_ElderCommons*INDEX(LM_Elder,G866)*AA866)*AH866</x:f>
        <x:v>883.0567536718264</x:v>
      </x:c>
      <x:c r="AJ866" s="32" t="n">
        <x:f>H866*v01_CommonsCoef*AI866^v01_CommonsExp*INDEX(LM_Commons,G866)</x:f>
        <x:v>210.6853119040477</x:v>
      </x:c>
      <x:c r="AK866" s="32" t="n">
        <x:f>H866*v01_RoleScale*Arch_Roles*(AE866*(INDEX(v01_ElderRolePerSett,G866)*v01_OutElder*INDEX(LM_Elder,G866)+INDEX(v01_ShamanPerSett,G866)*v01_OutShaman)+Z866*(INDEX(v01_PriestShare,G866)*v01_OutPriest+INDEX(v01_ScribeShare,G866)*v01_OutScribe*INDEX(LM_Scribe,G866)+INDEX(v01_ScholarShare,G866)*v01_OutScholar*INDEX(LM_Scholar,G866)+INDEX(v01_ResearcherShare,G866)*v01_OutResearcher*INDEX(LM_Researcher,G866)))</x:f>
        <x:v>39.047153033634885</x:v>
      </x:c>
      <x:c r="AL866" s="32" t="n">
        <x:f>H866*v01_RoleScale*Arch_Roles*AE866*INDEX(v01_MonasteryPerSett,G866)*v01_OutMonastery*INDEX(LM_Monastery,G866)</x:f>
        <x:v>0</x:v>
      </x:c>
      <x:c r="AM866" s="32" t="n">
        <x:f>(AJ866+AK866+AL866)/4*INDEX(LM_All,G866)*INDEX(v01_Boon,G866)*Arch_Insight</x:f>
        <x:v>67.23363756238287</x:v>
      </x:c>
      <x:c r="AN866" s="32" t="n">
        <x:f>H866*(v01_KHPerAdult*Z866+v01_KHOfCommons*AJ866/4*INDEX(LM_All,G866))*v01_KHUsable*Arch_KH</x:f>
        <x:v>15.235765168174408</x:v>
      </x:c>
      <x:c r="AO866" s="32" t="n">
        <x:f>MIN(AP865+AN866,AM866*v01_KHMaxRatio)</x:f>
        <x:v>15.235765168174408</x:v>
      </x:c>
      <x:c r="AP866" s="32" t="n">
        <x:f>AP865+AN866-AO866</x:f>
        <x:v>0</x:v>
      </x:c>
      <x:c r="AQ866" s="32" t="n">
        <x:f>AM866+AO866</x:f>
        <x:v>82.46940273055728</x:v>
      </x:c>
      <x:c r="AR866" s="10" t="n">
        <x:f>IF(H866=1,INDEX(v01_Req,G866),0)</x:f>
        <x:v>9805.661999999998</x:v>
      </x:c>
      <x:c r="AS866" s="32" t="n">
        <x:f>IF(H866=1,IF(E866=1,AS865-AR865,AS865)+AQ866,0)</x:f>
        <x:v>8210.151626343688</x:v>
      </x:c>
      <x:c r="AT866" s="11" t="n">
        <x:f>IF(AR866&gt;0,MIN(1,AS866/AR866),1)</x:f>
        <x:v>0.8372868273803125</x:v>
      </x:c>
      <x:c r="AU866" s="10" t="n">
        <x:f>AB866/INDEX(v01_RepScale,G866)</x:f>
        <x:v>202.2715647450869</x:v>
      </x:c>
      <x:c r="AV866" s="32" t="n">
        <x:f>AM866*60/v01_SeasonSeconds</x:f>
        <x:v>268.93455024953147</x:v>
      </x:c>
    </x:row>
    <x:row r="867">
      <x:c r="A867" s="8" t="n">
        <x:f>A866+1</x:f>
        <x:v>864</x:v>
      </x:c>
      <x:c r="B867" s="9" t="n">
        <x:f>A867*v01_SeasonSeconds/60</x:f>
        <x:v>216</x:v>
      </x:c>
      <x:c r="C867" s="9" t="n">
        <x:f>A867/4</x:f>
        <x:v>216</x:v>
      </x:c>
      <x:c r="D867" s="8" t="n">
        <x:f>IF(MOD(A867,4)=0,1,0)</x:f>
        <x:v>1</x:v>
      </x:c>
      <x:c r="E867" s="8" t="n">
        <x:f>IF(AND(F866&lt;=9,AS866&gt;=AR866),1,0)</x:f>
        <x:v>0</x:v>
      </x:c>
      <x:c r="F867" s="8" t="n">
        <x:f>MIN(10,F866+E867)</x:f>
        <x:v>3</x:v>
      </x:c>
      <x:c r="G867" s="8" t="n">
        <x:f>MIN(F867,9)+1</x:f>
        <x:v>4</x:v>
      </x:c>
      <x:c r="H867" s="8" t="n">
        <x:f>IF(F867&lt;=9,1,0)</x:f>
        <x:v>1</x:v>
      </x:c>
      <x:c r="I867" s="9" t="n">
        <x:f>MIN(10,F866+IF(AR866&gt;0,MIN(1,AS866/AR866),1))</x:f>
        <x:v>3.8372868273803125</x:v>
      </x:c>
      <x:c r="J867" s="32" t="n">
        <x:f>INDEX(v01_FoodCap,G867)*Arch_FoodCap*EXP(v01_CapsByProject*SUMPRODUCT((Cap_Point&lt;=I867)*(Cap_Kind="Food")*Cap_Ln))</x:f>
        <x:v>120</x:v>
      </x:c>
      <x:c r="K867" s="32" t="n">
        <x:f>J867*MIN(1,v01_LeanBase*EXP(v01_CapsByProject*SUMPRODUCT((Cap_Point&lt;=I867)*(Cap_Kind="Lean")*Cap_Ln)))</x:f>
        <x:v>120</x:v>
      </x:c>
      <x:c r="L867" s="10" t="n">
        <x:f>INDEX(v01_HousingCap,G867)*EXP(v01_CapsByProject*SUMPRODUCT((Cap_Point&lt;=I867)*(Cap_Kind="Housing")*Cap_Ln))</x:f>
        <x:v>200</x:v>
      </x:c>
      <x:c r="M867" s="10" t="n">
        <x:f>INDEX(v01_GroupCap,G867)*v01_CohesionFactor*EXP(v01_CapsByProject*SUMPRODUCT((Cap_Point&lt;=I867)*(Cap_Kind="Group")*Cap_Ln))</x:f>
        <x:v>5000</x:v>
      </x:c>
      <x:c r="N867" s="32" t="n">
        <x:f>MIN(J867,L867,M867)</x:f>
        <x:v>120</x:v>
      </x:c>
      <x:c r="O867" s="10" t="n">
        <x:f>AE866*N867</x:f>
        <x:v>1440</x:v>
      </x:c>
      <x:c r="P867" s="9" t="n">
        <x:f>MIN(1,(AB866/(AE866*IF(v01_GroupInCrowding=1,N867,MIN(J867,L867))))^v01_CrowdingExp)</x:f>
        <x:v>0.12002012594327593</x:v>
      </x:c>
      <x:c r="Q867" s="9" t="n">
        <x:f>IF(D867=1,INDEX(v01_WinterMult,G867),1)</x:f>
        <x:v>1.15</x:v>
      </x:c>
      <x:c r="R867" s="9" t="n">
        <x:f>H867*Z866*v01_WomenShare*v01_BaseFertility*INDEX(v01_FertMult,G867)*Arch_Fertility*(1-P867)</x:f>
        <x:v>14.939414338287703</x:v>
      </x:c>
      <x:c r="S867" s="9" t="n">
        <x:f>H867*Y866*INDEX(v01_MortChild,G867)/4*Q867</x:f>
        <x:v>3.6811544994824317</x:v>
      </x:c>
      <x:c r="T867" s="9" t="n">
        <x:f>H867*Z866*INDEX(v01_MortAdult,G867)*Arch_AdultMort/4*Q867</x:f>
        <x:v>1.376660209838616</x:v>
      </x:c>
      <x:c r="U867" s="9" t="n">
        <x:f>H867*AA866*INDEX(v01_MortElder,G867)/4*Q867</x:f>
        <x:v>2.789104251125902</x:v>
      </x:c>
      <x:c r="V867" s="9" t="n">
        <x:f>H867*MAX(0,AB866-O867)*v01_OvercapLoss</x:f>
        <x:v>0</x:v>
      </x:c>
      <x:c r="W867" s="9" t="n">
        <x:f>H867*Y866/(v01_ChildYears*4)</x:f>
        <x:v>7.621437887127188</x:v>
      </x:c>
      <x:c r="X867" s="9" t="n">
        <x:f>H867*Z866/(v01_AdultYears*4)</x:f>
        <x:v>3.51054496962544</x:v>
      </x:c>
      <x:c r="Y867" s="32" t="n">
        <x:f>Y866+R867-S867-W867-Y866*V867/AB866</x:f>
        <x:v>430.4373436308006</x:v>
      </x:c>
      <x:c r="Z867" s="32" t="n">
        <x:f>Z866+W867-X867-T867-Z866*V867/AB866</x:f>
        <x:v>438.04180894121765</x:v>
      </x:c>
      <x:c r="AA867" s="32" t="n">
        <x:f>AA866+X867-U867-AA866*V867/AB866</x:f>
        <x:v>149.97116653125684</x:v>
      </x:c>
      <x:c r="AB867" s="10" t="n">
        <x:f>Y867+Z867+AA867</x:f>
        <x:v>1018.4503191032751</x:v>
      </x:c>
      <x:c r="AC867" s="8" t="n">
        <x:f>IF(AND(v01_WinterTrigger=1,D867=1,AB866/AE866&gt;=K867),1,0)</x:f>
        <x:v>0</x:v>
      </x:c>
      <x:c r="AD867" s="8" t="n">
        <x:f>H867*IF(AND(OR(AB866/AE866&gt;=v01_FissionTrigger*N867,AC867=1),AB866/AE866*v01_DaughterShare&gt;=v01_MinDaughter),MAX(1,ROUND(AE866*v01_FissionRate,0)),0)</x:f>
        <x:v>0</x:v>
      </x:c>
      <x:c r="AE867" s="8" t="n">
        <x:f>IF(H867=1,MAX(1,MIN(INDEX(v01_Smax,G867),AE866+AD867)),AE866)</x:f>
        <x:v>12</x:v>
      </x:c>
      <x:c r="AF867" s="8" t="n">
        <x:f>MAX(0,AE867-AE866)</x:f>
        <x:v>0</x:v>
      </x:c>
      <x:c r="AG867" s="9" t="str">
        <x:f>IF(AF867&gt;0,B867,"")</x:f>
      </x:c>
      <x:c r="AH867" s="9" t="n">
        <x:f>IF(F867&gt;=1,1,(1+v01_LowTiesShare*(AE867-1))/AE867)</x:f>
        <x:v>1</x:v>
      </x:c>
      <x:c r="AI867" s="32" t="n">
        <x:f>(Z867+v01_ElderCommons*INDEX(LM_Elder,G867)*AA867)*AH867</x:f>
        <x:v>887.9553085349883</x:v>
      </x:c>
      <x:c r="AJ867" s="32" t="n">
        <x:f>H867*v01_CommonsCoef*AI867^v01_CommonsExp*INDEX(LM_Commons,G867)</x:f>
        <x:v>211.678318663362</x:v>
      </x:c>
      <x:c r="AK867" s="32" t="n">
        <x:f>H867*v01_RoleScale*Arch_Roles*(AE867*(INDEX(v01_ElderRolePerSett,G867)*v01_OutElder*INDEX(LM_Elder,G867)+INDEX(v01_ShamanPerSett,G867)*v01_OutShaman)+Z867*(INDEX(v01_PriestShare,G867)*v01_OutPriest+INDEX(v01_ScribeShare,G867)*v01_OutScribe*INDEX(LM_Scribe,G867)+INDEX(v01_ScholarShare,G867)*v01_OutScholar*INDEX(LM_Scholar,G867)+INDEX(v01_ResearcherShare,G867)*v01_OutResearcher*INDEX(LM_Researcher,G867)))</x:f>
        <x:v>39.06629266258852</x:v>
      </x:c>
      <x:c r="AL867" s="32" t="n">
        <x:f>H867*v01_RoleScale*Arch_Roles*AE867*INDEX(v01_MonasteryPerSett,G867)*v01_OutMonastery*INDEX(LM_Monastery,G867)</x:f>
        <x:v>0</x:v>
      </x:c>
      <x:c r="AM867" s="32" t="n">
        <x:f>(AJ867+AK867+AL867)/4*INDEX(LM_All,G867)*INDEX(v01_Boon,G867)*Arch_Insight</x:f>
        <x:v>67.50613030154622</x:v>
      </x:c>
      <x:c r="AN867" s="32" t="n">
        <x:f>H867*(v01_KHPerAdult*Z867+v01_KHOfCommons*AJ867/4*INDEX(LM_All,G867))*v01_KHUsable*Arch_KH</x:f>
        <x:v>15.331463312942619</x:v>
      </x:c>
      <x:c r="AO867" s="32" t="n">
        <x:f>MIN(AP866+AN867,AM867*v01_KHMaxRatio)</x:f>
        <x:v>15.331463312942619</x:v>
      </x:c>
      <x:c r="AP867" s="32" t="n">
        <x:f>AP866+AN867-AO867</x:f>
        <x:v>0</x:v>
      </x:c>
      <x:c r="AQ867" s="32" t="n">
        <x:f>AM867+AO867</x:f>
        <x:v>82.83759361448884</x:v>
      </x:c>
      <x:c r="AR867" s="10" t="n">
        <x:f>IF(H867=1,INDEX(v01_Req,G867),0)</x:f>
        <x:v>9805.661999999998</x:v>
      </x:c>
      <x:c r="AS867" s="32" t="n">
        <x:f>IF(H867=1,IF(E867=1,AS866-AR866,AS866)+AQ867,0)</x:f>
        <x:v>8292.989219958177</x:v>
      </x:c>
      <x:c r="AT867" s="11" t="n">
        <x:f>IF(AR867&gt;0,MIN(1,AS867/AR867),1)</x:f>
        <x:v>0.8457347622178063</x:v>
      </x:c>
      <x:c r="AU867" s="10" t="n">
        <x:f>AB867/INDEX(v01_RepScale,G867)</x:f>
        <x:v>203.690063820655</x:v>
      </x:c>
      <x:c r="AV867" s="32" t="n">
        <x:f>AM867*60/v01_SeasonSeconds</x:f>
        <x:v>270.0245212061849</x:v>
      </x:c>
    </x:row>
    <x:row r="868">
      <x:c r="A868" s="8" t="n">
        <x:f>A867+1</x:f>
        <x:v>865</x:v>
      </x:c>
      <x:c r="B868" s="9" t="n">
        <x:f>A868*v01_SeasonSeconds/60</x:f>
        <x:v>216.25</x:v>
      </x:c>
      <x:c r="C868" s="9" t="n">
        <x:f>A868/4</x:f>
        <x:v>216.25</x:v>
      </x:c>
      <x:c r="D868" s="8" t="n">
        <x:f>IF(MOD(A868,4)=0,1,0)</x:f>
        <x:v>0</x:v>
      </x:c>
      <x:c r="E868" s="8" t="n">
        <x:f>IF(AND(F867&lt;=9,AS867&gt;=AR867),1,0)</x:f>
        <x:v>0</x:v>
      </x:c>
      <x:c r="F868" s="8" t="n">
        <x:f>MIN(10,F867+E868)</x:f>
        <x:v>3</x:v>
      </x:c>
      <x:c r="G868" s="8" t="n">
        <x:f>MIN(F868,9)+1</x:f>
        <x:v>4</x:v>
      </x:c>
      <x:c r="H868" s="8" t="n">
        <x:f>IF(F868&lt;=9,1,0)</x:f>
        <x:v>1</x:v>
      </x:c>
      <x:c r="I868" s="9" t="n">
        <x:f>MIN(10,F867+IF(AR867&gt;0,MIN(1,AS867/AR867),1))</x:f>
        <x:v>3.8457347622178064</x:v>
      </x:c>
      <x:c r="J868" s="32" t="n">
        <x:f>INDEX(v01_FoodCap,G868)*Arch_FoodCap*EXP(v01_CapsByProject*SUMPRODUCT((Cap_Point&lt;=I868)*(Cap_Kind="Food")*Cap_Ln))</x:f>
        <x:v>120</x:v>
      </x:c>
      <x:c r="K868" s="32" t="n">
        <x:f>J868*MIN(1,v01_LeanBase*EXP(v01_CapsByProject*SUMPRODUCT((Cap_Point&lt;=I868)*(Cap_Kind="Lean")*Cap_Ln)))</x:f>
        <x:v>120</x:v>
      </x:c>
      <x:c r="L868" s="10" t="n">
        <x:f>INDEX(v01_HousingCap,G868)*EXP(v01_CapsByProject*SUMPRODUCT((Cap_Point&lt;=I868)*(Cap_Kind="Housing")*Cap_Ln))</x:f>
        <x:v>200</x:v>
      </x:c>
      <x:c r="M868" s="10" t="n">
        <x:f>INDEX(v01_GroupCap,G868)*v01_CohesionFactor*EXP(v01_CapsByProject*SUMPRODUCT((Cap_Point&lt;=I868)*(Cap_Kind="Group")*Cap_Ln))</x:f>
        <x:v>5000</x:v>
      </x:c>
      <x:c r="N868" s="32" t="n">
        <x:f>MIN(J868,L868,M868)</x:f>
        <x:v>120</x:v>
      </x:c>
      <x:c r="O868" s="10" t="n">
        <x:f>AE867*N868</x:f>
        <x:v>1440</x:v>
      </x:c>
      <x:c r="P868" s="9" t="n">
        <x:f>MIN(1,(AB867/(AE867*IF(v01_GroupInCrowding=1,N868,MIN(J868,L868))))^v01_CrowdingExp)</x:f>
        <x:v>0.12515959206124896</x:v>
      </x:c>
      <x:c r="Q868" s="9" t="n">
        <x:f>IF(D868=1,INDEX(v01_WinterMult,G868),1)</x:f>
        <x:v>1</x:v>
      </x:c>
      <x:c r="R868" s="9" t="n">
        <x:f>H868*Z867*v01_WomenShare*v01_BaseFertility*INDEX(v01_FertMult,G868)*Arch_Fertility*(1-P868)</x:f>
        <x:v>14.94545031830617</x:v>
      </x:c>
      <x:c r="S868" s="9" t="n">
        <x:f>H868*Y867*INDEX(v01_MortChild,G868)/4*Q868</x:f>
        <x:v>3.2282800772310045</x:v>
      </x:c>
      <x:c r="T868" s="9" t="n">
        <x:f>H868*Z867*INDEX(v01_MortAdult,G868)*Arch_AdultMort/4*Q868</x:f>
        <x:v>1.2046149745883485</x:v>
      </x:c>
      <x:c r="U868" s="9" t="n">
        <x:f>H868*AA867*INDEX(v01_MortElder,G868)/4*Q868</x:f>
        <x:v>2.4370314561329236</x:v>
      </x:c>
      <x:c r="V868" s="9" t="n">
        <x:f>H868*MAX(0,AB867-O868)*v01_OvercapLoss</x:f>
        <x:v>0</x:v>
      </x:c>
      <x:c r="W868" s="9" t="n">
        <x:f>H868*Y867/(v01_ChildYears*4)</x:f>
        <x:v>7.686381136264297</x:v>
      </x:c>
      <x:c r="X868" s="9" t="n">
        <x:f>H868*Z867/(v01_AdultYears*4)</x:f>
        <x:v>3.5325952333969166</x:v>
      </x:c>
      <x:c r="Y868" s="32" t="n">
        <x:f>Y867+R868-S868-W868-Y867*V868/AB867</x:f>
        <x:v>434.4681327356115</x:v>
      </x:c>
      <x:c r="Z868" s="32" t="n">
        <x:f>Z867+W868-X868-T868-Z867*V868/AB867</x:f>
        <x:v>440.99097986949664</x:v>
      </x:c>
      <x:c r="AA868" s="32" t="n">
        <x:f>AA867+X868-U868-AA867*V868/AB867</x:f>
        <x:v>151.06673030852082</x:v>
      </x:c>
      <x:c r="AB868" s="10" t="n">
        <x:f>Y868+Z868+AA868</x:f>
        <x:v>1026.525842913629</x:v>
      </x:c>
      <x:c r="AC868" s="8" t="n">
        <x:f>IF(AND(v01_WinterTrigger=1,D868=1,AB867/AE867&gt;=K868),1,0)</x:f>
        <x:v>0</x:v>
      </x:c>
      <x:c r="AD868" s="8" t="n">
        <x:f>H868*IF(AND(OR(AB867/AE867&gt;=v01_FissionTrigger*N868,AC868=1),AB867/AE867*v01_DaughterShare&gt;=v01_MinDaughter),MAX(1,ROUND(AE867*v01_FissionRate,0)),0)</x:f>
        <x:v>0</x:v>
      </x:c>
      <x:c r="AE868" s="8" t="n">
        <x:f>IF(H868=1,MAX(1,MIN(INDEX(v01_Smax,G868),AE867+AD868)),AE867)</x:f>
        <x:v>12</x:v>
      </x:c>
      <x:c r="AF868" s="8" t="n">
        <x:f>MAX(0,AE868-AE867)</x:f>
        <x:v>0</x:v>
      </x:c>
      <x:c r="AG868" s="9" t="str">
        <x:f>IF(AF868&gt;0,B868,"")</x:f>
      </x:c>
      <x:c r="AH868" s="9" t="n">
        <x:f>IF(F868&gt;=1,1,(1+v01_LowTiesShare*(AE868-1))/AE868)</x:f>
        <x:v>1</x:v>
      </x:c>
      <x:c r="AI868" s="32" t="n">
        <x:f>(Z868+v01_ElderCommons*INDEX(LM_Elder,G868)*AA868)*AH868</x:f>
        <x:v>894.1911707950591</x:v>
      </x:c>
      <x:c r="AJ868" s="32" t="n">
        <x:f>H868*v01_CommonsCoef*AI868^v01_CommonsExp*INDEX(LM_Commons,G868)</x:f>
        <x:v>212.94122899952777</x:v>
      </x:c>
      <x:c r="AK868" s="32" t="n">
        <x:f>H868*v01_RoleScale*Arch_Roles*(AE868*(INDEX(v01_ElderRolePerSett,G868)*v01_OutElder*INDEX(LM_Elder,G868)+INDEX(v01_ShamanPerSett,G868)*v01_OutShaman)+Z868*(INDEX(v01_PriestShare,G868)*v01_OutPriest+INDEX(v01_ScribeShare,G868)*v01_OutScribe*INDEX(LM_Scribe,G868)+INDEX(v01_ScholarShare,G868)*v01_OutScholar*INDEX(LM_Scholar,G868)+INDEX(v01_ResearcherShare,G868)*v01_OutResearcher*INDEX(LM_Researcher,G868)))</x:f>
        <x:v>39.08693685908648</x:v>
      </x:c>
      <x:c r="AL868" s="32" t="n">
        <x:f>H868*v01_RoleScale*Arch_Roles*AE868*INDEX(v01_MonasteryPerSett,G868)*v01_OutMonastery*INDEX(LM_Monastery,G868)</x:f>
        <x:v>0</x:v>
      </x:c>
      <x:c r="AM868" s="32" t="n">
        <x:f>(AJ868+AK868+AL868)/4*INDEX(LM_All,G868)*INDEX(v01_Boon,G868)*Arch_Insight</x:f>
        <x:v>67.85169226227167</x:v>
      </x:c>
      <x:c r="AN868" s="32" t="n">
        <x:f>H868*(v01_KHPerAdult*Z868+v01_KHOfCommons*AJ868/4*INDEX(LM_All,G868))*v01_KHUsable*Arch_KH</x:f>
        <x:v>15.434684295432382</x:v>
      </x:c>
      <x:c r="AO868" s="32" t="n">
        <x:f>MIN(AP867+AN868,AM868*v01_KHMaxRatio)</x:f>
        <x:v>15.434684295432382</x:v>
      </x:c>
      <x:c r="AP868" s="32" t="n">
        <x:f>AP867+AN868-AO868</x:f>
        <x:v>0</x:v>
      </x:c>
      <x:c r="AQ868" s="32" t="n">
        <x:f>AM868+AO868</x:f>
        <x:v>83.28637655770405</x:v>
      </x:c>
      <x:c r="AR868" s="10" t="n">
        <x:f>IF(H868=1,INDEX(v01_Req,G868),0)</x:f>
        <x:v>9805.661999999998</x:v>
      </x:c>
      <x:c r="AS868" s="32" t="n">
        <x:f>IF(H868=1,IF(E868=1,AS867-AR867,AS867)+AQ868,0)</x:f>
        <x:v>8376.275596515881</x:v>
      </x:c>
      <x:c r="AT868" s="11" t="n">
        <x:f>IF(AR868&gt;0,MIN(1,AS868/AR868),1)</x:f>
        <x:v>0.8542284647906365</x:v>
      </x:c>
      <x:c r="AU868" s="10" t="n">
        <x:f>AB868/INDEX(v01_RepScale,G868)</x:f>
        <x:v>205.3051685827258</x:v>
      </x:c>
      <x:c r="AV868" s="32" t="n">
        <x:f>AM868*60/v01_SeasonSeconds</x:f>
        <x:v>271.4067690490867</x:v>
      </x:c>
    </x:row>
    <x:row r="869">
      <x:c r="A869" s="8" t="n">
        <x:f>A868+1</x:f>
        <x:v>866</x:v>
      </x:c>
      <x:c r="B869" s="9" t="n">
        <x:f>A869*v01_SeasonSeconds/60</x:f>
        <x:v>216.5</x:v>
      </x:c>
      <x:c r="C869" s="9" t="n">
        <x:f>A869/4</x:f>
        <x:v>216.5</x:v>
      </x:c>
      <x:c r="D869" s="8" t="n">
        <x:f>IF(MOD(A869,4)=0,1,0)</x:f>
        <x:v>0</x:v>
      </x:c>
      <x:c r="E869" s="8" t="n">
        <x:f>IF(AND(F868&lt;=9,AS868&gt;=AR868),1,0)</x:f>
        <x:v>0</x:v>
      </x:c>
      <x:c r="F869" s="8" t="n">
        <x:f>MIN(10,F868+E869)</x:f>
        <x:v>3</x:v>
      </x:c>
      <x:c r="G869" s="8" t="n">
        <x:f>MIN(F869,9)+1</x:f>
        <x:v>4</x:v>
      </x:c>
      <x:c r="H869" s="8" t="n">
        <x:f>IF(F869&lt;=9,1,0)</x:f>
        <x:v>1</x:v>
      </x:c>
      <x:c r="I869" s="9" t="n">
        <x:f>MIN(10,F868+IF(AR868&gt;0,MIN(1,AS868/AR868),1))</x:f>
        <x:v>3.8542284647906366</x:v>
      </x:c>
      <x:c r="J869" s="32" t="n">
        <x:f>INDEX(v01_FoodCap,G869)*Arch_FoodCap*EXP(v01_CapsByProject*SUMPRODUCT((Cap_Point&lt;=I869)*(Cap_Kind="Food")*Cap_Ln))</x:f>
        <x:v>120</x:v>
      </x:c>
      <x:c r="K869" s="32" t="n">
        <x:f>J869*MIN(1,v01_LeanBase*EXP(v01_CapsByProject*SUMPRODUCT((Cap_Point&lt;=I869)*(Cap_Kind="Lean")*Cap_Ln)))</x:f>
        <x:v>120</x:v>
      </x:c>
      <x:c r="L869" s="10" t="n">
        <x:f>INDEX(v01_HousingCap,G869)*EXP(v01_CapsByProject*SUMPRODUCT((Cap_Point&lt;=I869)*(Cap_Kind="Housing")*Cap_Ln))</x:f>
        <x:v>200</x:v>
      </x:c>
      <x:c r="M869" s="10" t="n">
        <x:f>INDEX(v01_GroupCap,G869)*v01_CohesionFactor*EXP(v01_CapsByProject*SUMPRODUCT((Cap_Point&lt;=I869)*(Cap_Kind="Group")*Cap_Ln))</x:f>
        <x:v>5000</x:v>
      </x:c>
      <x:c r="N869" s="32" t="n">
        <x:f>MIN(J869,L869,M869)</x:f>
        <x:v>120</x:v>
      </x:c>
      <x:c r="O869" s="10" t="n">
        <x:f>AE868*N869</x:f>
        <x:v>1440</x:v>
      </x:c>
      <x:c r="P869" s="9" t="n">
        <x:f>MIN(1,(AB868/(AE868*IF(v01_GroupInCrowding=1,N869,MIN(J869,L869))))^v01_CrowdingExp)</x:f>
        <x:v>0.1312333970693549</x:v>
      </x:c>
      <x:c r="Q869" s="9" t="n">
        <x:f>IF(D869=1,INDEX(v01_WinterMult,G869),1)</x:f>
        <x:v>1</x:v>
      </x:c>
      <x:c r="R869" s="9" t="n">
        <x:f>H869*Z868*v01_WomenShare*v01_BaseFertility*INDEX(v01_FertMult,G869)*Arch_Fertility*(1-P869)</x:f>
        <x:v>14.941611184666886</x:v>
      </x:c>
      <x:c r="S869" s="9" t="n">
        <x:f>H869*Y868*INDEX(v01_MortChild,G869)/4*Q869</x:f>
        <x:v>3.2585109955170863</x:v>
      </x:c>
      <x:c r="T869" s="9" t="n">
        <x:f>H869*Z868*INDEX(v01_MortAdult,G869)*Arch_AdultMort/4*Q869</x:f>
        <x:v>1.2127251946411157</x:v>
      </x:c>
      <x:c r="U869" s="9" t="n">
        <x:f>H869*AA868*INDEX(v01_MortElder,G869)/4*Q869</x:f>
        <x:v>2.454834367513463</x:v>
      </x:c>
      <x:c r="V869" s="9" t="n">
        <x:f>H869*MAX(0,AB868-O869)*v01_OvercapLoss</x:f>
        <x:v>0</x:v>
      </x:c>
      <x:c r="W869" s="9" t="n">
        <x:f>H869*Y868/(v01_ChildYears*4)</x:f>
        <x:v>7.75835951313592</x:v>
      </x:c>
      <x:c r="X869" s="9" t="n">
        <x:f>H869*Z868/(v01_AdultYears*4)</x:f>
        <x:v>3.5563788699152954</x:v>
      </x:c>
      <x:c r="Y869" s="32" t="n">
        <x:f>Y868+R869-S869-W869-Y868*V869/AB868</x:f>
        <x:v>438.3928734116254</x:v>
      </x:c>
      <x:c r="Z869" s="32" t="n">
        <x:f>Z868+W869-X869-T869-Z868*V869/AB868</x:f>
        <x:v>443.98023531807615</x:v>
      </x:c>
      <x:c r="AA869" s="32" t="n">
        <x:f>AA868+X869-U869-AA868*V869/AB868</x:f>
        <x:v>152.16827481092267</x:v>
      </x:c>
      <x:c r="AB869" s="10" t="n">
        <x:f>Y869+Z869+AA869</x:f>
        <x:v>1034.541383540624</x:v>
      </x:c>
      <x:c r="AC869" s="8" t="n">
        <x:f>IF(AND(v01_WinterTrigger=1,D869=1,AB868/AE868&gt;=K869),1,0)</x:f>
        <x:v>0</x:v>
      </x:c>
      <x:c r="AD869" s="8" t="n">
        <x:f>H869*IF(AND(OR(AB868/AE868&gt;=v01_FissionTrigger*N869,AC869=1),AB868/AE868*v01_DaughterShare&gt;=v01_MinDaughter),MAX(1,ROUND(AE868*v01_FissionRate,0)),0)</x:f>
        <x:v>0</x:v>
      </x:c>
      <x:c r="AE869" s="8" t="n">
        <x:f>IF(H869=1,MAX(1,MIN(INDEX(v01_Smax,G869),AE868+AD869)),AE868)</x:f>
        <x:v>12</x:v>
      </x:c>
      <x:c r="AF869" s="8" t="n">
        <x:f>MAX(0,AE869-AE868)</x:f>
        <x:v>0</x:v>
      </x:c>
      <x:c r="AG869" s="9" t="str">
        <x:f>IF(AF869&gt;0,B869,"")</x:f>
      </x:c>
      <x:c r="AH869" s="9" t="n">
        <x:f>IF(F869&gt;=1,1,(1+v01_LowTiesShare*(AE869-1))/AE869)</x:f>
        <x:v>1</x:v>
      </x:c>
      <x:c r="AI869" s="32" t="n">
        <x:f>(Z869+v01_ElderCommons*INDEX(LM_Elder,G869)*AA869)*AH869</x:f>
        <x:v>900.4850597508441</x:v>
      </x:c>
      <x:c r="AJ869" s="32" t="n">
        <x:f>H869*v01_CommonsCoef*AI869^v01_CommonsExp*INDEX(LM_Commons,G869)</x:f>
        <x:v>214.21455226354888</x:v>
      </x:c>
      <x:c r="AK869" s="32" t="n">
        <x:f>H869*v01_RoleScale*Arch_Roles*(AE869*(INDEX(v01_ElderRolePerSett,G869)*v01_OutElder*INDEX(LM_Elder,G869)+INDEX(v01_ShamanPerSett,G869)*v01_OutShaman)+Z869*(INDEX(v01_PriestShare,G869)*v01_OutPriest+INDEX(v01_ScribeShare,G869)*v01_OutScribe*INDEX(LM_Scribe,G869)+INDEX(v01_ScholarShare,G869)*v01_OutScholar*INDEX(LM_Scholar,G869)+INDEX(v01_ResearcherShare,G869)*v01_OutResearcher*INDEX(LM_Researcher,G869)))</x:f>
        <x:v>39.107861647226535</x:v>
      </x:c>
      <x:c r="AL869" s="32" t="n">
        <x:f>H869*v01_RoleScale*Arch_Roles*AE869*INDEX(v01_MonasteryPerSett,G869)*v01_OutMonastery*INDEX(LM_Monastery,G869)</x:f>
        <x:v>0</x:v>
      </x:c>
      <x:c r="AM869" s="32" t="n">
        <x:f>(AJ869+AK869+AL869)/4*INDEX(LM_All,G869)*INDEX(v01_Boon,G869)*Arch_Insight</x:f>
        <x:v>68.2001331607209</x:v>
      </x:c>
      <x:c r="AN869" s="32" t="n">
        <x:f>H869*(v01_KHPerAdult*Z869+v01_KHOfCommons*AJ869/4*INDEX(LM_All,G869))*v01_KHUsable*Arch_KH</x:f>
        <x:v>15.539308236132666</x:v>
      </x:c>
      <x:c r="AO869" s="32" t="n">
        <x:f>MIN(AP868+AN869,AM869*v01_KHMaxRatio)</x:f>
        <x:v>15.539308236132666</x:v>
      </x:c>
      <x:c r="AP869" s="32" t="n">
        <x:f>AP868+AN869-AO869</x:f>
        <x:v>0</x:v>
      </x:c>
      <x:c r="AQ869" s="32" t="n">
        <x:f>AM869+AO869</x:f>
        <x:v>83.73944139685356</x:v>
      </x:c>
      <x:c r="AR869" s="10" t="n">
        <x:f>IF(H869=1,INDEX(v01_Req,G869),0)</x:f>
        <x:v>9805.661999999998</x:v>
      </x:c>
      <x:c r="AS869" s="32" t="n">
        <x:f>IF(H869=1,IF(E869=1,AS868-AR868,AS868)+AQ869,0)</x:f>
        <x:v>8460.015037912735</x:v>
      </x:c>
      <x:c r="AT869" s="11" t="n">
        <x:f>IF(AR869&gt;0,MIN(1,AS869/AR869),1)</x:f>
        <x:v>0.8627683717746683</x:v>
      </x:c>
      <x:c r="AU869" s="10" t="n">
        <x:f>AB869/INDEX(v01_RepScale,G869)</x:f>
        <x:v>206.90827670812482</x:v>
      </x:c>
      <x:c r="AV869" s="32" t="n">
        <x:f>AM869*60/v01_SeasonSeconds</x:f>
        <x:v>272.8005326428836</x:v>
      </x:c>
    </x:row>
    <x:row r="870">
      <x:c r="A870" s="8" t="n">
        <x:f>A869+1</x:f>
        <x:v>867</x:v>
      </x:c>
      <x:c r="B870" s="9" t="n">
        <x:f>A870*v01_SeasonSeconds/60</x:f>
        <x:v>216.75</x:v>
      </x:c>
      <x:c r="C870" s="9" t="n">
        <x:f>A870/4</x:f>
        <x:v>216.75</x:v>
      </x:c>
      <x:c r="D870" s="8" t="n">
        <x:f>IF(MOD(A870,4)=0,1,0)</x:f>
        <x:v>0</x:v>
      </x:c>
      <x:c r="E870" s="8" t="n">
        <x:f>IF(AND(F869&lt;=9,AS869&gt;=AR869),1,0)</x:f>
        <x:v>0</x:v>
      </x:c>
      <x:c r="F870" s="8" t="n">
        <x:f>MIN(10,F869+E870)</x:f>
        <x:v>3</x:v>
      </x:c>
      <x:c r="G870" s="8" t="n">
        <x:f>MIN(F870,9)+1</x:f>
        <x:v>4</x:v>
      </x:c>
      <x:c r="H870" s="8" t="n">
        <x:f>IF(F870&lt;=9,1,0)</x:f>
        <x:v>1</x:v>
      </x:c>
      <x:c r="I870" s="9" t="n">
        <x:f>MIN(10,F869+IF(AR869&gt;0,MIN(1,AS869/AR869),1))</x:f>
        <x:v>3.8627683717746684</x:v>
      </x:c>
      <x:c r="J870" s="32" t="n">
        <x:f>INDEX(v01_FoodCap,G870)*Arch_FoodCap*EXP(v01_CapsByProject*SUMPRODUCT((Cap_Point&lt;=I870)*(Cap_Kind="Food")*Cap_Ln))</x:f>
        <x:v>120</x:v>
      </x:c>
      <x:c r="K870" s="32" t="n">
        <x:f>J870*MIN(1,v01_LeanBase*EXP(v01_CapsByProject*SUMPRODUCT((Cap_Point&lt;=I870)*(Cap_Kind="Lean")*Cap_Ln)))</x:f>
        <x:v>120</x:v>
      </x:c>
      <x:c r="L870" s="10" t="n">
        <x:f>INDEX(v01_HousingCap,G870)*EXP(v01_CapsByProject*SUMPRODUCT((Cap_Point&lt;=I870)*(Cap_Kind="Housing")*Cap_Ln))</x:f>
        <x:v>200</x:v>
      </x:c>
      <x:c r="M870" s="10" t="n">
        <x:f>INDEX(v01_GroupCap,G870)*v01_CohesionFactor*EXP(v01_CapsByProject*SUMPRODUCT((Cap_Point&lt;=I870)*(Cap_Kind="Group")*Cap_Ln))</x:f>
        <x:v>5000</x:v>
      </x:c>
      <x:c r="N870" s="32" t="n">
        <x:f>MIN(J870,L870,M870)</x:f>
        <x:v>120</x:v>
      </x:c>
      <x:c r="O870" s="10" t="n">
        <x:f>AE869*N870</x:f>
        <x:v>1440</x:v>
      </x:c>
      <x:c r="P870" s="9" t="n">
        <x:f>MIN(1,(AB869/(AE869*IF(v01_GroupInCrowding=1,N870,MIN(J870,L870))))^v01_CrowdingExp)</x:f>
        <x:v>0.13750302576250936</x:v>
      </x:c>
      <x:c r="Q870" s="9" t="n">
        <x:f>IF(D870=1,INDEX(v01_WinterMult,G870),1)</x:f>
        <x:v>1</x:v>
      </x:c>
      <x:c r="R870" s="9" t="n">
        <x:f>H870*Z869*v01_WomenShare*v01_BaseFertility*INDEX(v01_FertMult,G870)*Arch_Fertility*(1-P870)</x:f>
        <x:v>14.934332773740499</x:v>
      </x:c>
      <x:c r="S870" s="9" t="n">
        <x:f>H870*Y869*INDEX(v01_MortChild,G870)/4*Q870</x:f>
        <x:v>3.2879465505871903</x:v>
      </x:c>
      <x:c r="T870" s="9" t="n">
        <x:f>H870*Z869*INDEX(v01_MortAdult,G870)*Arch_AdultMort/4*Q870</x:f>
        <x:v>1.2209456471247093</x:v>
      </x:c>
      <x:c r="U870" s="9" t="n">
        <x:f>H870*AA869*INDEX(v01_MortElder,G870)/4*Q870</x:f>
        <x:v>2.4727344656774934</x:v>
      </x:c>
      <x:c r="V870" s="9" t="n">
        <x:f>H870*MAX(0,AB869-O870)*v01_OvercapLoss</x:f>
        <x:v>0</x:v>
      </x:c>
      <x:c r="W870" s="9" t="n">
        <x:f>H870*Y869/(v01_ChildYears*4)</x:f>
        <x:v>7.828444168064739</x:v>
      </x:c>
      <x:c r="X870" s="9" t="n">
        <x:f>H870*Z869/(v01_AdultYears*4)</x:f>
        <x:v>3.5804857686941625</x:v>
      </x:c>
      <x:c r="Y870" s="32" t="n">
        <x:f>Y869+R870-S870-W870-Y869*V870/AB869</x:f>
        <x:v>442.21081546671394</x:v>
      </x:c>
      <x:c r="Z870" s="32" t="n">
        <x:f>Z869+W870-X870-T870-Z869*V870/AB869</x:f>
        <x:v>447.00724807032196</x:v>
      </x:c>
      <x:c r="AA870" s="32" t="n">
        <x:f>AA869+X870-U870-AA869*V870/AB869</x:f>
        <x:v>153.27602611393934</x:v>
      </x:c>
      <x:c r="AB870" s="10" t="n">
        <x:f>Y870+Z870+AA870</x:f>
        <x:v>1042.4940896509752</x:v>
      </x:c>
      <x:c r="AC870" s="8" t="n">
        <x:f>IF(AND(v01_WinterTrigger=1,D870=1,AB869/AE869&gt;=K870),1,0)</x:f>
        <x:v>0</x:v>
      </x:c>
      <x:c r="AD870" s="8" t="n">
        <x:f>H870*IF(AND(OR(AB869/AE869&gt;=v01_FissionTrigger*N870,AC870=1),AB869/AE869*v01_DaughterShare&gt;=v01_MinDaughter),MAX(1,ROUND(AE869*v01_FissionRate,0)),0)</x:f>
        <x:v>0</x:v>
      </x:c>
      <x:c r="AE870" s="8" t="n">
        <x:f>IF(H870=1,MAX(1,MIN(INDEX(v01_Smax,G870),AE869+AD870)),AE869)</x:f>
        <x:v>12</x:v>
      </x:c>
      <x:c r="AF870" s="8" t="n">
        <x:f>MAX(0,AE870-AE869)</x:f>
        <x:v>0</x:v>
      </x:c>
      <x:c r="AG870" s="9" t="str">
        <x:f>IF(AF870&gt;0,B870,"")</x:f>
      </x:c>
      <x:c r="AH870" s="9" t="n">
        <x:f>IF(F870&gt;=1,1,(1+v01_LowTiesShare*(AE870-1))/AE870)</x:f>
        <x:v>1</x:v>
      </x:c>
      <x:c r="AI870" s="32" t="n">
        <x:f>(Z870+v01_ElderCommons*INDEX(LM_Elder,G870)*AA870)*AH870</x:f>
        <x:v>906.8353264121399</x:v>
      </x:c>
      <x:c r="AJ870" s="32" t="n">
        <x:f>H870*v01_CommonsCoef*AI870^v01_CommonsExp*INDEX(LM_Commons,G870)</x:f>
        <x:v>215.49792912598687</x:v>
      </x:c>
      <x:c r="AK870" s="32" t="n">
        <x:f>H870*v01_RoleScale*Arch_Roles*(AE870*(INDEX(v01_ElderRolePerSett,G870)*v01_OutElder*INDEX(LM_Elder,G870)+INDEX(v01_ShamanPerSett,G870)*v01_OutShaman)+Z870*(INDEX(v01_PriestShare,G870)*v01_OutPriest+INDEX(v01_ScribeShare,G870)*v01_OutScribe*INDEX(LM_Scribe,G870)+INDEX(v01_ScholarShare,G870)*v01_OutScholar*INDEX(LM_Scholar,G870)+INDEX(v01_ResearcherShare,G870)*v01_OutResearcher*INDEX(LM_Researcher,G870)))</x:f>
        <x:v>39.12905073649225</x:v>
      </x:c>
      <x:c r="AL870" s="32" t="n">
        <x:f>H870*v01_RoleScale*Arch_Roles*AE870*INDEX(v01_MonasteryPerSett,G870)*v01_OutMonastery*INDEX(LM_Monastery,G870)</x:f>
        <x:v>0</x:v>
      </x:c>
      <x:c r="AM870" s="32" t="n">
        <x:f>(AJ870+AK870+AL870)/4*INDEX(LM_All,G870)*INDEX(v01_Boon,G870)*Arch_Insight</x:f>
        <x:v>68.55135187149186</x:v>
      </x:c>
      <x:c r="AN870" s="32" t="n">
        <x:f>H870*(v01_KHPerAdult*Z870+v01_KHOfCommons*AJ870/4*INDEX(LM_All,G870))*v01_KHUsable*Arch_KH</x:f>
        <x:v>15.64525368246127</x:v>
      </x:c>
      <x:c r="AO870" s="32" t="n">
        <x:f>MIN(AP869+AN870,AM870*v01_KHMaxRatio)</x:f>
        <x:v>15.64525368246127</x:v>
      </x:c>
      <x:c r="AP870" s="32" t="n">
        <x:f>AP869+AN870-AO870</x:f>
        <x:v>0</x:v>
      </x:c>
      <x:c r="AQ870" s="32" t="n">
        <x:f>AM870+AO870</x:f>
        <x:v>84.19660555395313</x:v>
      </x:c>
      <x:c r="AR870" s="10" t="n">
        <x:f>IF(H870=1,INDEX(v01_Req,G870),0)</x:f>
        <x:v>9805.661999999998</x:v>
      </x:c>
      <x:c r="AS870" s="32" t="n">
        <x:f>IF(H870=1,IF(E870=1,AS869-AR869,AS869)+AQ870,0)</x:f>
        <x:v>8544.211643466688</x:v>
      </x:c>
      <x:c r="AT870" s="11" t="n">
        <x:f>IF(AR870&gt;0,MIN(1,AS870/AR870),1)</x:f>
        <x:v>0.871354901226117</x:v>
      </x:c>
      <x:c r="AU870" s="10" t="n">
        <x:f>AB870/INDEX(v01_RepScale,G870)</x:f>
        <x:v>208.49881793019503</x:v>
      </x:c>
      <x:c r="AV870" s="32" t="n">
        <x:f>AM870*60/v01_SeasonSeconds</x:f>
        <x:v>274.20540748596744</x:v>
      </x:c>
    </x:row>
    <x:row r="871">
      <x:c r="A871" s="8" t="n">
        <x:f>A870+1</x:f>
        <x:v>868</x:v>
      </x:c>
      <x:c r="B871" s="9" t="n">
        <x:f>A871*v01_SeasonSeconds/60</x:f>
        <x:v>217</x:v>
      </x:c>
      <x:c r="C871" s="9" t="n">
        <x:f>A871/4</x:f>
        <x:v>217</x:v>
      </x:c>
      <x:c r="D871" s="8" t="n">
        <x:f>IF(MOD(A871,4)=0,1,0)</x:f>
        <x:v>1</x:v>
      </x:c>
      <x:c r="E871" s="8" t="n">
        <x:f>IF(AND(F870&lt;=9,AS870&gt;=AR870),1,0)</x:f>
        <x:v>0</x:v>
      </x:c>
      <x:c r="F871" s="8" t="n">
        <x:f>MIN(10,F870+E871)</x:f>
        <x:v>3</x:v>
      </x:c>
      <x:c r="G871" s="8" t="n">
        <x:f>MIN(F871,9)+1</x:f>
        <x:v>4</x:v>
      </x:c>
      <x:c r="H871" s="8" t="n">
        <x:f>IF(F871&lt;=9,1,0)</x:f>
        <x:v>1</x:v>
      </x:c>
      <x:c r="I871" s="9" t="n">
        <x:f>MIN(10,F870+IF(AR870&gt;0,MIN(1,AS870/AR870),1))</x:f>
        <x:v>3.871354901226117</x:v>
      </x:c>
      <x:c r="J871" s="32" t="n">
        <x:f>INDEX(v01_FoodCap,G871)*Arch_FoodCap*EXP(v01_CapsByProject*SUMPRODUCT((Cap_Point&lt;=I871)*(Cap_Kind="Food")*Cap_Ln))</x:f>
        <x:v>120</x:v>
      </x:c>
      <x:c r="K871" s="32" t="n">
        <x:f>J871*MIN(1,v01_LeanBase*EXP(v01_CapsByProject*SUMPRODUCT((Cap_Point&lt;=I871)*(Cap_Kind="Lean")*Cap_Ln)))</x:f>
        <x:v>120</x:v>
      </x:c>
      <x:c r="L871" s="10" t="n">
        <x:f>INDEX(v01_HousingCap,G871)*EXP(v01_CapsByProject*SUMPRODUCT((Cap_Point&lt;=I871)*(Cap_Kind="Housing")*Cap_Ln))</x:f>
        <x:v>200</x:v>
      </x:c>
      <x:c r="M871" s="10" t="n">
        <x:f>INDEX(v01_GroupCap,G871)*v01_CohesionFactor*EXP(v01_CapsByProject*SUMPRODUCT((Cap_Point&lt;=I871)*(Cap_Kind="Group")*Cap_Ln))</x:f>
        <x:v>5000</x:v>
      </x:c>
      <x:c r="N871" s="32" t="n">
        <x:f>MIN(J871,L871,M871)</x:f>
        <x:v>120</x:v>
      </x:c>
      <x:c r="O871" s="10" t="n">
        <x:f>AE870*N871</x:f>
        <x:v>1440</x:v>
      </x:c>
      <x:c r="P871" s="9" t="n">
        <x:f>MIN(1,(AB870/(AE870*IF(v01_GroupInCrowding=1,N871,MIN(J871,L871))))^v01_CrowdingExp)</x:f>
        <x:v>0.1439682269581214</x:v>
      </x:c>
      <x:c r="Q871" s="9" t="n">
        <x:f>IF(D871=1,INDEX(v01_WinterMult,G871),1)</x:f>
        <x:v>1.15</x:v>
      </x:c>
      <x:c r="R871" s="9" t="n">
        <x:f>H871*Z870*v01_WomenShare*v01_BaseFertility*INDEX(v01_FertMult,G871)*Arch_Fertility*(1-P871)</x:f>
        <x:v>14.923443878000135</x:v>
      </x:c>
      <x:c r="S871" s="9" t="n">
        <x:f>H871*Y870*INDEX(v01_MortChild,G871)/4*Q871</x:f>
        <x:v>3.8140682834004074</x:v>
      </x:c>
      <x:c r="T871" s="9" t="n">
        <x:f>H871*Z870*INDEX(v01_MortAdult,G871)*Arch_AdultMort/4*Q871</x:f>
        <x:v>1.413660422022393</x:v>
      </x:c>
      <x:c r="U871" s="9" t="n">
        <x:f>H871*AA870*INDEX(v01_MortElder,G871)/4*Q871</x:f>
        <x:v>2.8643457380042414</x:v>
      </x:c>
      <x:c r="V871" s="9" t="n">
        <x:f>H871*MAX(0,AB870-O871)*v01_OvercapLoss</x:f>
        <x:v>0</x:v>
      </x:c>
      <x:c r="W871" s="9" t="n">
        <x:f>H871*Y870/(v01_ChildYears*4)</x:f>
        <x:v>7.896621704762749</x:v>
      </x:c>
      <x:c r="X871" s="9" t="n">
        <x:f>H871*Z870/(v01_AdultYears*4)</x:f>
        <x:v>3.6048971618574353</x:v>
      </x:c>
      <x:c r="Y871" s="32" t="n">
        <x:f>Y870+R871-S871-W871-Y870*V871/AB870</x:f>
        <x:v>445.4235693565509</x:v>
      </x:c>
      <x:c r="Z871" s="32" t="n">
        <x:f>Z870+W871-X871-T871-Z870*V871/AB870</x:f>
        <x:v>449.8853121912049</x:v>
      </x:c>
      <x:c r="AA871" s="32" t="n">
        <x:f>AA870+X871-U871-AA870*V871/AB870</x:f>
        <x:v>154.01657753779253</x:v>
      </x:c>
      <x:c r="AB871" s="10" t="n">
        <x:f>Y871+Z871+AA871</x:f>
        <x:v>1049.3254590855483</x:v>
      </x:c>
      <x:c r="AC871" s="8" t="n">
        <x:f>IF(AND(v01_WinterTrigger=1,D871=1,AB870/AE870&gt;=K871),1,0)</x:f>
        <x:v>0</x:v>
      </x:c>
      <x:c r="AD871" s="8" t="n">
        <x:f>H871*IF(AND(OR(AB870/AE870&gt;=v01_FissionTrigger*N871,AC871=1),AB870/AE870*v01_DaughterShare&gt;=v01_MinDaughter),MAX(1,ROUND(AE870*v01_FissionRate,0)),0)</x:f>
        <x:v>0</x:v>
      </x:c>
      <x:c r="AE871" s="8" t="n">
        <x:f>IF(H871=1,MAX(1,MIN(INDEX(v01_Smax,G871),AE870+AD871)),AE870)</x:f>
        <x:v>12</x:v>
      </x:c>
      <x:c r="AF871" s="8" t="n">
        <x:f>MAX(0,AE871-AE870)</x:f>
        <x:v>0</x:v>
      </x:c>
      <x:c r="AG871" s="9" t="str">
        <x:f>IF(AF871&gt;0,B871,"")</x:f>
      </x:c>
      <x:c r="AH871" s="9" t="n">
        <x:f>IF(F871&gt;=1,1,(1+v01_LowTiesShare*(AE871-1))/AE871)</x:f>
        <x:v>1</x:v>
      </x:c>
      <x:c r="AI871" s="32" t="n">
        <x:f>(Z871+v01_ElderCommons*INDEX(LM_Elder,G871)*AA871)*AH871</x:f>
        <x:v>911.9350448045825</x:v>
      </x:c>
      <x:c r="AJ871" s="32" t="n">
        <x:f>H871*v01_CommonsCoef*AI871^v01_CommonsExp*INDEX(LM_Commons,G871)</x:f>
        <x:v>216.52759655017945</x:v>
      </x:c>
      <x:c r="AK871" s="32" t="n">
        <x:f>H871*v01_RoleScale*Arch_Roles*(AE871*(INDEX(v01_ElderRolePerSett,G871)*v01_OutElder*INDEX(LM_Elder,G871)+INDEX(v01_ShamanPerSett,G871)*v01_OutShaman)+Z871*(INDEX(v01_PriestShare,G871)*v01_OutPriest+INDEX(v01_ScribeShare,G871)*v01_OutScribe*INDEX(LM_Scribe,G871)+INDEX(v01_ScholarShare,G871)*v01_OutScholar*INDEX(LM_Scholar,G871)+INDEX(v01_ResearcherShare,G871)*v01_OutResearcher*INDEX(LM_Researcher,G871)))</x:f>
        <x:v>39.14919718533844</x:v>
      </x:c>
      <x:c r="AL871" s="32" t="n">
        <x:f>H871*v01_RoleScale*Arch_Roles*AE871*INDEX(v01_MonasteryPerSett,G871)*v01_OutMonastery*INDEX(LM_Monastery,G871)</x:f>
        <x:v>0</x:v>
      </x:c>
      <x:c r="AM871" s="32" t="n">
        <x:f>(AJ871+AK871+AL871)/4*INDEX(LM_All,G871)*INDEX(v01_Boon,G871)*Arch_Insight</x:f>
        <x:v>68.83398555095947</x:v>
      </x:c>
      <x:c r="AN871" s="32" t="n">
        <x:f>H871*(v01_KHPerAdult*Z871+v01_KHOfCommons*AJ871/4*INDEX(LM_All,G871))*v01_KHUsable*Arch_KH</x:f>
        <x:v>15.74598592669217</x:v>
      </x:c>
      <x:c r="AO871" s="32" t="n">
        <x:f>MIN(AP870+AN871,AM871*v01_KHMaxRatio)</x:f>
        <x:v>15.74598592669217</x:v>
      </x:c>
      <x:c r="AP871" s="32" t="n">
        <x:f>AP870+AN871-AO871</x:f>
        <x:v>0</x:v>
      </x:c>
      <x:c r="AQ871" s="32" t="n">
        <x:f>AM871+AO871</x:f>
        <x:v>84.57997147765164</x:v>
      </x:c>
      <x:c r="AR871" s="10" t="n">
        <x:f>IF(H871=1,INDEX(v01_Req,G871),0)</x:f>
        <x:v>9805.661999999998</x:v>
      </x:c>
      <x:c r="AS871" s="32" t="n">
        <x:f>IF(H871=1,IF(E871=1,AS870-AR870,AS870)+AQ871,0)</x:f>
        <x:v>8628.791614944339</x:v>
      </x:c>
      <x:c r="AT871" s="11" t="n">
        <x:f>IF(AR871&gt;0,MIN(1,AS871/AR871),1)</x:f>
        <x:v>0.8799805270612368</x:v>
      </x:c>
      <x:c r="AU871" s="10" t="n">
        <x:f>AB871/INDEX(v01_RepScale,G871)</x:f>
        <x:v>209.86509181710966</x:v>
      </x:c>
      <x:c r="AV871" s="32" t="n">
        <x:f>AM871*60/v01_SeasonSeconds</x:f>
        <x:v>275.3359422038379</x:v>
      </x:c>
    </x:row>
    <x:row r="872">
      <x:c r="A872" s="8" t="n">
        <x:f>A871+1</x:f>
        <x:v>869</x:v>
      </x:c>
      <x:c r="B872" s="9" t="n">
        <x:f>A872*v01_SeasonSeconds/60</x:f>
        <x:v>217.25</x:v>
      </x:c>
      <x:c r="C872" s="9" t="n">
        <x:f>A872/4</x:f>
        <x:v>217.25</x:v>
      </x:c>
      <x:c r="D872" s="8" t="n">
        <x:f>IF(MOD(A872,4)=0,1,0)</x:f>
        <x:v>0</x:v>
      </x:c>
      <x:c r="E872" s="8" t="n">
        <x:f>IF(AND(F871&lt;=9,AS871&gt;=AR871),1,0)</x:f>
        <x:v>0</x:v>
      </x:c>
      <x:c r="F872" s="8" t="n">
        <x:f>MIN(10,F871+E872)</x:f>
        <x:v>3</x:v>
      </x:c>
      <x:c r="G872" s="8" t="n">
        <x:f>MIN(F872,9)+1</x:f>
        <x:v>4</x:v>
      </x:c>
      <x:c r="H872" s="8" t="n">
        <x:f>IF(F872&lt;=9,1,0)</x:f>
        <x:v>1</x:v>
      </x:c>
      <x:c r="I872" s="9" t="n">
        <x:f>MIN(10,F871+IF(AR871&gt;0,MIN(1,AS871/AR871),1))</x:f>
        <x:v>3.8799805270612366</x:v>
      </x:c>
      <x:c r="J872" s="32" t="n">
        <x:f>INDEX(v01_FoodCap,G872)*Arch_FoodCap*EXP(v01_CapsByProject*SUMPRODUCT((Cap_Point&lt;=I872)*(Cap_Kind="Food")*Cap_Ln))</x:f>
        <x:v>120</x:v>
      </x:c>
      <x:c r="K872" s="32" t="n">
        <x:f>J872*MIN(1,v01_LeanBase*EXP(v01_CapsByProject*SUMPRODUCT((Cap_Point&lt;=I872)*(Cap_Kind="Lean")*Cap_Ln)))</x:f>
        <x:v>120</x:v>
      </x:c>
      <x:c r="L872" s="10" t="n">
        <x:f>INDEX(v01_HousingCap,G872)*EXP(v01_CapsByProject*SUMPRODUCT((Cap_Point&lt;=I872)*(Cap_Kind="Housing")*Cap_Ln))</x:f>
        <x:v>200</x:v>
      </x:c>
      <x:c r="M872" s="10" t="n">
        <x:f>INDEX(v01_GroupCap,G872)*v01_CohesionFactor*EXP(v01_CapsByProject*SUMPRODUCT((Cap_Point&lt;=I872)*(Cap_Kind="Group")*Cap_Ln))</x:f>
        <x:v>5000</x:v>
      </x:c>
      <x:c r="N872" s="32" t="n">
        <x:f>MIN(J872,L872,M872)</x:f>
        <x:v>120</x:v>
      </x:c>
      <x:c r="O872" s="10" t="n">
        <x:f>AE871*N872</x:f>
        <x:v>1440</x:v>
      </x:c>
      <x:c r="P872" s="9" t="n">
        <x:f>MIN(1,(AB871/(AE871*IF(v01_GroupInCrowding=1,N872,MIN(J872,L872))))^v01_CrowdingExp)</x:f>
        <x:v>0.14972223702565135</x:v>
      </x:c>
      <x:c r="Q872" s="9" t="n">
        <x:f>IF(D872=1,INDEX(v01_WinterMult,G872),1)</x:f>
        <x:v>1</x:v>
      </x:c>
      <x:c r="R872" s="9" t="n">
        <x:f>H872*Z871*v01_WomenShare*v01_BaseFertility*INDEX(v01_FertMult,G872)*Arch_Fertility*(1-P872)</x:f>
        <x:v>14.918571596953214</x:v>
      </x:c>
      <x:c r="S872" s="9" t="n">
        <x:f>H872*Y871*INDEX(v01_MortChild,G872)/4*Q872</x:f>
        <x:v>3.340676770174132</x:v>
      </x:c>
      <x:c r="T872" s="9" t="n">
        <x:f>H872*Z871*INDEX(v01_MortAdult,G872)*Arch_AdultMort/4*Q872</x:f>
        <x:v>1.2371846085258134</x:v>
      </x:c>
      <x:c r="U872" s="9" t="n">
        <x:f>H872*AA871*INDEX(v01_MortElder,G872)/4*Q872</x:f>
        <x:v>2.502769384989129</x:v>
      </x:c>
      <x:c r="V872" s="9" t="n">
        <x:f>H872*MAX(0,AB871-O872)*v01_OvercapLoss</x:f>
        <x:v>0</x:v>
      </x:c>
      <x:c r="W872" s="9" t="n">
        <x:f>H872*Y871/(v01_ChildYears*4)</x:f>
        <x:v>7.953992309938409</x:v>
      </x:c>
      <x:c r="X872" s="9" t="n">
        <x:f>H872*Z871/(v01_AdultYears*4)</x:f>
        <x:v>3.6281073563806845</x:v>
      </x:c>
      <x:c r="Y872" s="32" t="n">
        <x:f>Y871+R872-S872-W872-Y871*V872/AB871</x:f>
        <x:v>449.04747187339154</x:v>
      </x:c>
      <x:c r="Z872" s="32" t="n">
        <x:f>Z871+W872-X872-T872-Z871*V872/AB871</x:f>
        <x:v>452.97401253623684</x:v>
      </x:c>
      <x:c r="AA872" s="32" t="n">
        <x:f>AA871+X872-U872-AA871*V872/AB871</x:f>
        <x:v>155.1419155091841</x:v>
      </x:c>
      <x:c r="AB872" s="10" t="n">
        <x:f>Y872+Z872+AA872</x:f>
        <x:v>1057.1633999188125</x:v>
      </x:c>
      <x:c r="AC872" s="8" t="n">
        <x:f>IF(AND(v01_WinterTrigger=1,D872=1,AB871/AE871&gt;=K872),1,0)</x:f>
        <x:v>0</x:v>
      </x:c>
      <x:c r="AD872" s="8" t="n">
        <x:f>H872*IF(AND(OR(AB871/AE871&gt;=v01_FissionTrigger*N872,AC872=1),AB871/AE871*v01_DaughterShare&gt;=v01_MinDaughter),MAX(1,ROUND(AE871*v01_FissionRate,0)),0)</x:f>
        <x:v>0</x:v>
      </x:c>
      <x:c r="AE872" s="8" t="n">
        <x:f>IF(H872=1,MAX(1,MIN(INDEX(v01_Smax,G872),AE871+AD872)),AE871)</x:f>
        <x:v>12</x:v>
      </x:c>
      <x:c r="AF872" s="8" t="n">
        <x:f>MAX(0,AE872-AE871)</x:f>
        <x:v>0</x:v>
      </x:c>
      <x:c r="AG872" s="9" t="str">
        <x:f>IF(AF872&gt;0,B872,"")</x:f>
      </x:c>
      <x:c r="AH872" s="9" t="n">
        <x:f>IF(F872&gt;=1,1,(1+v01_LowTiesShare*(AE872-1))/AE872)</x:f>
        <x:v>1</x:v>
      </x:c>
      <x:c r="AI872" s="32" t="n">
        <x:f>(Z872+v01_ElderCommons*INDEX(LM_Elder,G872)*AA872)*AH872</x:f>
        <x:v>918.3997590637891</x:v>
      </x:c>
      <x:c r="AJ872" s="32" t="n">
        <x:f>H872*v01_CommonsCoef*AI872^v01_CommonsExp*INDEX(LM_Commons,G872)</x:f>
        <x:v>217.8316256096285</x:v>
      </x:c>
      <x:c r="AK872" s="32" t="n">
        <x:f>H872*v01_RoleScale*Arch_Roles*(AE872*(INDEX(v01_ElderRolePerSett,G872)*v01_OutElder*INDEX(LM_Elder,G872)+INDEX(v01_ShamanPerSett,G872)*v01_OutShaman)+Z872*(INDEX(v01_PriestShare,G872)*v01_OutPriest+INDEX(v01_ScribeShare,G872)*v01_OutScribe*INDEX(LM_Scribe,G872)+INDEX(v01_ScholarShare,G872)*v01_OutScholar*INDEX(LM_Scholar,G872)+INDEX(v01_ResearcherShare,G872)*v01_OutResearcher*INDEX(LM_Researcher,G872)))</x:f>
        <x:v>39.17081808775366</x:v>
      </x:c>
      <x:c r="AL872" s="32" t="n">
        <x:f>H872*v01_RoleScale*Arch_Roles*AE872*INDEX(v01_MonasteryPerSett,G872)*v01_OutMonastery*INDEX(LM_Monastery,G872)</x:f>
        <x:v>0</x:v>
      </x:c>
      <x:c r="AM872" s="32" t="n">
        <x:f>(AJ872+AK872+AL872)/4*INDEX(LM_All,G872)*INDEX(v01_Boon,G872)*Arch_Insight</x:f>
        <x:v>69.19088055495027</x:v>
      </x:c>
      <x:c r="AN872" s="32" t="n">
        <x:f>H872*(v01_KHPerAdult*Z872+v01_KHOfCommons*AJ872/4*INDEX(LM_All,G872))*v01_KHUsable*Arch_KH</x:f>
        <x:v>15.85409043876829</x:v>
      </x:c>
      <x:c r="AO872" s="32" t="n">
        <x:f>MIN(AP871+AN872,AM872*v01_KHMaxRatio)</x:f>
        <x:v>15.85409043876829</x:v>
      </x:c>
      <x:c r="AP872" s="32" t="n">
        <x:f>AP871+AN872-AO872</x:f>
        <x:v>0</x:v>
      </x:c>
      <x:c r="AQ872" s="32" t="n">
        <x:f>AM872+AO872</x:f>
        <x:v>85.04497099371856</x:v>
      </x:c>
      <x:c r="AR872" s="10" t="n">
        <x:f>IF(H872=1,INDEX(v01_Req,G872),0)</x:f>
        <x:v>9805.661999999998</x:v>
      </x:c>
      <x:c r="AS872" s="32" t="n">
        <x:f>IF(H872=1,IF(E872=1,AS871-AR871,AS871)+AQ872,0)</x:f>
        <x:v>8713.836585938057</x:v>
      </x:c>
      <x:c r="AT872" s="11" t="n">
        <x:f>IF(AR872&gt;0,MIN(1,AS872/AR872),1)</x:f>
        <x:v>0.8886535744285351</x:v>
      </x:c>
      <x:c r="AU872" s="10" t="n">
        <x:f>AB872/INDEX(v01_RepScale,G872)</x:f>
        <x:v>211.4326799837625</x:v>
      </x:c>
      <x:c r="AV872" s="32" t="n">
        <x:f>AM872*60/v01_SeasonSeconds</x:f>
        <x:v>276.7635222198011</x:v>
      </x:c>
    </x:row>
    <x:row r="873">
      <x:c r="A873" s="8" t="n">
        <x:f>A872+1</x:f>
        <x:v>870</x:v>
      </x:c>
      <x:c r="B873" s="9" t="n">
        <x:f>A873*v01_SeasonSeconds/60</x:f>
        <x:v>217.5</x:v>
      </x:c>
      <x:c r="C873" s="9" t="n">
        <x:f>A873/4</x:f>
        <x:v>217.5</x:v>
      </x:c>
      <x:c r="D873" s="8" t="n">
        <x:f>IF(MOD(A873,4)=0,1,0)</x:f>
        <x:v>0</x:v>
      </x:c>
      <x:c r="E873" s="8" t="n">
        <x:f>IF(AND(F872&lt;=9,AS872&gt;=AR872),1,0)</x:f>
        <x:v>0</x:v>
      </x:c>
      <x:c r="F873" s="8" t="n">
        <x:f>MIN(10,F872+E873)</x:f>
        <x:v>3</x:v>
      </x:c>
      <x:c r="G873" s="8" t="n">
        <x:f>MIN(F873,9)+1</x:f>
        <x:v>4</x:v>
      </x:c>
      <x:c r="H873" s="8" t="n">
        <x:f>IF(F873&lt;=9,1,0)</x:f>
        <x:v>1</x:v>
      </x:c>
      <x:c r="I873" s="9" t="n">
        <x:f>MIN(10,F872+IF(AR872&gt;0,MIN(1,AS872/AR872),1))</x:f>
        <x:v>3.888653574428535</x:v>
      </x:c>
      <x:c r="J873" s="32" t="n">
        <x:f>INDEX(v01_FoodCap,G873)*Arch_FoodCap*EXP(v01_CapsByProject*SUMPRODUCT((Cap_Point&lt;=I873)*(Cap_Kind="Food")*Cap_Ln))</x:f>
        <x:v>120</x:v>
      </x:c>
      <x:c r="K873" s="32" t="n">
        <x:f>J873*MIN(1,v01_LeanBase*EXP(v01_CapsByProject*SUMPRODUCT((Cap_Point&lt;=I873)*(Cap_Kind="Lean")*Cap_Ln)))</x:f>
        <x:v>120</x:v>
      </x:c>
      <x:c r="L873" s="10" t="n">
        <x:f>INDEX(v01_HousingCap,G873)*EXP(v01_CapsByProject*SUMPRODUCT((Cap_Point&lt;=I873)*(Cap_Kind="Housing")*Cap_Ln))</x:f>
        <x:v>200</x:v>
      </x:c>
      <x:c r="M873" s="10" t="n">
        <x:f>INDEX(v01_GroupCap,G873)*v01_CohesionFactor*EXP(v01_CapsByProject*SUMPRODUCT((Cap_Point&lt;=I873)*(Cap_Kind="Group")*Cap_Ln))</x:f>
        <x:v>5000</x:v>
      </x:c>
      <x:c r="N873" s="32" t="n">
        <x:f>MIN(J873,L873,M873)</x:f>
        <x:v>120</x:v>
      </x:c>
      <x:c r="O873" s="10" t="n">
        <x:f>AE872*N873</x:f>
        <x:v>1440</x:v>
      </x:c>
      <x:c r="P873" s="9" t="n">
        <x:f>MIN(1,(AB872/(AE872*IF(v01_GroupInCrowding=1,N873,MIN(J873,L873))))^v01_CrowdingExp)</x:f>
        <x:v>0.156558900059754</x:v>
      </x:c>
      <x:c r="Q873" s="9" t="n">
        <x:f>IF(D873=1,INDEX(v01_WinterMult,G873),1)</x:f>
        <x:v>1</x:v>
      </x:c>
      <x:c r="R873" s="9" t="n">
        <x:f>H873*Z872*v01_WomenShare*v01_BaseFertility*INDEX(v01_FertMult,G873)*Arch_Fertility*(1-P873)</x:f>
        <x:v>14.900219075738505</x:v>
      </x:c>
      <x:c r="S873" s="9" t="n">
        <x:f>H873*Y872*INDEX(v01_MortChild,G873)/4*Q873</x:f>
        <x:v>3.3678560390504364</x:v>
      </x:c>
      <x:c r="T873" s="9" t="n">
        <x:f>H873*Z872*INDEX(v01_MortAdult,G873)*Arch_AdultMort/4*Q873</x:f>
        <x:v>1.2456785344746513</x:v>
      </x:c>
      <x:c r="U873" s="9" t="n">
        <x:f>H873*AA872*INDEX(v01_MortElder,G873)/4*Q873</x:f>
        <x:v>2.5210561270242415</x:v>
      </x:c>
      <x:c r="V873" s="9" t="n">
        <x:f>H873*MAX(0,AB872-O873)*v01_OvercapLoss</x:f>
        <x:v>0</x:v>
      </x:c>
      <x:c r="W873" s="9" t="n">
        <x:f>H873*Y872/(v01_ChildYears*4)</x:f>
        <x:v>8.018704854881992</x:v>
      </x:c>
      <x:c r="X873" s="9" t="n">
        <x:f>H873*Z872/(v01_AdultYears*4)</x:f>
        <x:v>3.6530162301309423</x:v>
      </x:c>
      <x:c r="Y873" s="32" t="n">
        <x:f>Y872+R873-S873-W873-Y872*V873/AB872</x:f>
        <x:v>452.5611300551976</x:v>
      </x:c>
      <x:c r="Z873" s="32" t="n">
        <x:f>Z872+W873-X873-T873-Z872*V873/AB872</x:f>
        <x:v>456.0940226265132</x:v>
      </x:c>
      <x:c r="AA873" s="32" t="n">
        <x:f>AA872+X873-U873-AA872*V873/AB872</x:f>
        <x:v>156.27387561229077</x:v>
      </x:c>
      <x:c r="AB873" s="10" t="n">
        <x:f>Y873+Z873+AA873</x:f>
        <x:v>1064.9290282940017</x:v>
      </x:c>
      <x:c r="AC873" s="8" t="n">
        <x:f>IF(AND(v01_WinterTrigger=1,D873=1,AB872/AE872&gt;=K873),1,0)</x:f>
        <x:v>0</x:v>
      </x:c>
      <x:c r="AD873" s="8" t="n">
        <x:f>H873*IF(AND(OR(AB872/AE872&gt;=v01_FissionTrigger*N873,AC873=1),AB872/AE872*v01_DaughterShare&gt;=v01_MinDaughter),MAX(1,ROUND(AE872*v01_FissionRate,0)),0)</x:f>
        <x:v>0</x:v>
      </x:c>
      <x:c r="AE873" s="8" t="n">
        <x:f>IF(H873=1,MAX(1,MIN(INDEX(v01_Smax,G873),AE872+AD873)),AE872)</x:f>
        <x:v>12</x:v>
      </x:c>
      <x:c r="AF873" s="8" t="n">
        <x:f>MAX(0,AE873-AE872)</x:f>
        <x:v>0</x:v>
      </x:c>
      <x:c r="AG873" s="9" t="str">
        <x:f>IF(AF873&gt;0,B873,"")</x:f>
      </x:c>
      <x:c r="AH873" s="9" t="n">
        <x:f>IF(F873&gt;=1,1,(1+v01_LowTiesShare*(AE873-1))/AE873)</x:f>
        <x:v>1</x:v>
      </x:c>
      <x:c r="AI873" s="32" t="n">
        <x:f>(Z873+v01_ElderCommons*INDEX(LM_Elder,G873)*AA873)*AH873</x:f>
        <x:v>924.9156494633855</x:v>
      </x:c>
      <x:c r="AJ873" s="32" t="n">
        <x:f>H873*v01_CommonsCoef*AI873^v01_CommonsExp*INDEX(LM_Commons,G873)</x:f>
        <x:v>219.14458513794196</x:v>
      </x:c>
      <x:c r="AK873" s="32" t="n">
        <x:f>H873*v01_RoleScale*Arch_Roles*(AE873*(INDEX(v01_ElderRolePerSett,G873)*v01_OutElder*INDEX(LM_Elder,G873)+INDEX(v01_ShamanPerSett,G873)*v01_OutShaman)+Z873*(INDEX(v01_PriestShare,G873)*v01_OutPriest+INDEX(v01_ScribeShare,G873)*v01_OutScribe*INDEX(LM_Scribe,G873)+INDEX(v01_ScholarShare,G873)*v01_OutScholar*INDEX(LM_Scholar,G873)+INDEX(v01_ResearcherShare,G873)*v01_OutResearcher*INDEX(LM_Researcher,G873)))</x:f>
        <x:v>39.19265815838559</x:v>
      </x:c>
      <x:c r="AL873" s="32" t="n">
        <x:f>H873*v01_RoleScale*Arch_Roles*AE873*INDEX(v01_MonasteryPerSett,G873)*v01_OutMonastery*INDEX(LM_Monastery,G873)</x:f>
        <x:v>0</x:v>
      </x:c>
      <x:c r="AM873" s="32" t="n">
        <x:f>(AJ873+AK873+AL873)/4*INDEX(LM_All,G873)*INDEX(v01_Boon,G873)*Arch_Insight</x:f>
        <x:v>69.55023884853978</x:v>
      </x:c>
      <x:c r="AN873" s="32" t="n">
        <x:f>H873*(v01_KHPerAdult*Z873+v01_KHOfCommons*AJ873/4*INDEX(LM_All,G873))*v01_KHUsable*Arch_KH</x:f>
        <x:v>15.963290791927962</x:v>
      </x:c>
      <x:c r="AO873" s="32" t="n">
        <x:f>MIN(AP872+AN873,AM873*v01_KHMaxRatio)</x:f>
        <x:v>15.963290791927962</x:v>
      </x:c>
      <x:c r="AP873" s="32" t="n">
        <x:f>AP872+AN873-AO873</x:f>
        <x:v>0</x:v>
      </x:c>
      <x:c r="AQ873" s="32" t="n">
        <x:f>AM873+AO873</x:f>
        <x:v>85.51352964046774</x:v>
      </x:c>
      <x:c r="AR873" s="10" t="n">
        <x:f>IF(H873=1,INDEX(v01_Req,G873),0)</x:f>
        <x:v>9805.661999999998</x:v>
      </x:c>
      <x:c r="AS873" s="32" t="n">
        <x:f>IF(H873=1,IF(E873=1,AS872-AR872,AS872)+AQ873,0)</x:f>
        <x:v>8799.350115578525</x:v>
      </x:c>
      <x:c r="AT873" s="11" t="n">
        <x:f>IF(AR873&gt;0,MIN(1,AS873/AR873),1)</x:f>
        <x:v>0.8973744062949066</x:v>
      </x:c>
      <x:c r="AU873" s="10" t="n">
        <x:f>AB873/INDEX(v01_RepScale,G873)</x:f>
        <x:v>212.98580565880033</x:v>
      </x:c>
      <x:c r="AV873" s="32" t="n">
        <x:f>AM873*60/v01_SeasonSeconds</x:f>
        <x:v>278.2009553941591</x:v>
      </x:c>
    </x:row>
    <x:row r="874">
      <x:c r="A874" s="8" t="n">
        <x:f>A873+1</x:f>
        <x:v>871</x:v>
      </x:c>
      <x:c r="B874" s="9" t="n">
        <x:f>A874*v01_SeasonSeconds/60</x:f>
        <x:v>217.75</x:v>
      </x:c>
      <x:c r="C874" s="9" t="n">
        <x:f>A874/4</x:f>
        <x:v>217.75</x:v>
      </x:c>
      <x:c r="D874" s="8" t="n">
        <x:f>IF(MOD(A874,4)=0,1,0)</x:f>
        <x:v>0</x:v>
      </x:c>
      <x:c r="E874" s="8" t="n">
        <x:f>IF(AND(F873&lt;=9,AS873&gt;=AR873),1,0)</x:f>
        <x:v>0</x:v>
      </x:c>
      <x:c r="F874" s="8" t="n">
        <x:f>MIN(10,F873+E874)</x:f>
        <x:v>3</x:v>
      </x:c>
      <x:c r="G874" s="8" t="n">
        <x:f>MIN(F874,9)+1</x:f>
        <x:v>4</x:v>
      </x:c>
      <x:c r="H874" s="8" t="n">
        <x:f>IF(F874&lt;=9,1,0)</x:f>
        <x:v>1</x:v>
      </x:c>
      <x:c r="I874" s="9" t="n">
        <x:f>MIN(10,F873+IF(AR873&gt;0,MIN(1,AS873/AR873),1))</x:f>
        <x:v>3.8973744062949067</x:v>
      </x:c>
      <x:c r="J874" s="32" t="n">
        <x:f>INDEX(v01_FoodCap,G874)*Arch_FoodCap*EXP(v01_CapsByProject*SUMPRODUCT((Cap_Point&lt;=I874)*(Cap_Kind="Food")*Cap_Ln))</x:f>
        <x:v>120</x:v>
      </x:c>
      <x:c r="K874" s="32" t="n">
        <x:f>J874*MIN(1,v01_LeanBase*EXP(v01_CapsByProject*SUMPRODUCT((Cap_Point&lt;=I874)*(Cap_Kind="Lean")*Cap_Ln)))</x:f>
        <x:v>120</x:v>
      </x:c>
      <x:c r="L874" s="10" t="n">
        <x:f>INDEX(v01_HousingCap,G874)*EXP(v01_CapsByProject*SUMPRODUCT((Cap_Point&lt;=I874)*(Cap_Kind="Housing")*Cap_Ln))</x:f>
        <x:v>200</x:v>
      </x:c>
      <x:c r="M874" s="10" t="n">
        <x:f>INDEX(v01_GroupCap,G874)*v01_CohesionFactor*EXP(v01_CapsByProject*SUMPRODUCT((Cap_Point&lt;=I874)*(Cap_Kind="Group")*Cap_Ln))</x:f>
        <x:v>5000</x:v>
      </x:c>
      <x:c r="N874" s="32" t="n">
        <x:f>MIN(J874,L874,M874)</x:f>
        <x:v>120</x:v>
      </x:c>
      <x:c r="O874" s="10" t="n">
        <x:f>AE873*N874</x:f>
        <x:v>1440</x:v>
      </x:c>
      <x:c r="P874" s="9" t="n">
        <x:f>MIN(1,(AB873/(AE873*IF(v01_GroupInCrowding=1,N874,MIN(J874,L874))))^v01_CrowdingExp)</x:f>
        <x:v>0.16358709481404843</x:v>
      </x:c>
      <x:c r="Q874" s="9" t="n">
        <x:f>IF(D874=1,INDEX(v01_WinterMult,G874),1)</x:f>
        <x:v>1</x:v>
      </x:c>
      <x:c r="R874" s="9" t="n">
        <x:f>H874*Z873*v01_WomenShare*v01_BaseFertility*INDEX(v01_FertMult,G874)*Arch_Fertility*(1-P874)</x:f>
        <x:v>14.877834133616574</x:v>
      </x:c>
      <x:c r="S874" s="9" t="n">
        <x:f>H874*Y873*INDEX(v01_MortChild,G874)/4*Q874</x:f>
        <x:v>3.394208475413982</x:v>
      </x:c>
      <x:c r="T874" s="9" t="n">
        <x:f>H874*Z873*INDEX(v01_MortAdult,G874)*Arch_AdultMort/4*Q874</x:f>
        <x:v>1.2542585622229112</x:v>
      </x:c>
      <x:c r="U874" s="9" t="n">
        <x:f>H874*AA873*INDEX(v01_MortElder,G874)/4*Q874</x:f>
        <x:v>2.539450478699725</x:v>
      </x:c>
      <x:c r="V874" s="9" t="n">
        <x:f>H874*MAX(0,AB873-O874)*v01_OvercapLoss</x:f>
        <x:v>0</x:v>
      </x:c>
      <x:c r="W874" s="9" t="n">
        <x:f>H874*Y873/(v01_ChildYears*4)</x:f>
        <x:v>8.081448750985672</x:v>
      </x:c>
      <x:c r="X874" s="9" t="n">
        <x:f>H874*Z873/(v01_AdultYears*4)</x:f>
        <x:v>3.6781776018267194</x:v>
      </x:c>
      <x:c r="Y874" s="32" t="n">
        <x:f>Y873+R874-S874-W874-Y873*V874/AB873</x:f>
        <x:v>455.9633069624146</x:v>
      </x:c>
      <x:c r="Z874" s="32" t="n">
        <x:f>Z873+W874-X874-T874-Z873*V874/AB873</x:f>
        <x:v>459.2430352134492</x:v>
      </x:c>
      <x:c r="AA874" s="32" t="n">
        <x:f>AA873+X874-U874-AA873*V874/AB873</x:f>
        <x:v>157.41260273541775</x:v>
      </x:c>
      <x:c r="AB874" s="10" t="n">
        <x:f>Y874+Z874+AA874</x:f>
        <x:v>1072.6189449112817</x:v>
      </x:c>
      <x:c r="AC874" s="8" t="n">
        <x:f>IF(AND(v01_WinterTrigger=1,D874=1,AB873/AE873&gt;=K874),1,0)</x:f>
        <x:v>0</x:v>
      </x:c>
      <x:c r="AD874" s="8" t="n">
        <x:f>H874*IF(AND(OR(AB873/AE873&gt;=v01_FissionTrigger*N874,AC874=1),AB873/AE873*v01_DaughterShare&gt;=v01_MinDaughter),MAX(1,ROUND(AE873*v01_FissionRate,0)),0)</x:f>
        <x:v>0</x:v>
      </x:c>
      <x:c r="AE874" s="8" t="n">
        <x:f>IF(H874=1,MAX(1,MIN(INDEX(v01_Smax,G874),AE873+AD874)),AE873)</x:f>
        <x:v>12</x:v>
      </x:c>
      <x:c r="AF874" s="8" t="n">
        <x:f>MAX(0,AE874-AE873)</x:f>
        <x:v>0</x:v>
      </x:c>
      <x:c r="AG874" s="9" t="str">
        <x:f>IF(AF874&gt;0,B874,"")</x:f>
      </x:c>
      <x:c r="AH874" s="9" t="n">
        <x:f>IF(F874&gt;=1,1,(1+v01_LowTiesShare*(AE874-1))/AE874)</x:f>
        <x:v>1</x:v>
      </x:c>
      <x:c r="AI874" s="32" t="n">
        <x:f>(Z874+v01_ElderCommons*INDEX(LM_Elder,G874)*AA874)*AH874</x:f>
        <x:v>931.4808434197025</x:v>
      </x:c>
      <x:c r="AJ874" s="32" t="n">
        <x:f>H874*v01_CommonsCoef*AI874^v01_CommonsExp*INDEX(LM_Commons,G874)</x:f>
        <x:v>220.46607692052098</x:v>
      </x:c>
      <x:c r="AK874" s="32" t="n">
        <x:f>H874*v01_RoleScale*Arch_Roles*(AE874*(INDEX(v01_ElderRolePerSett,G874)*v01_OutElder*INDEX(LM_Elder,G874)+INDEX(v01_ShamanPerSett,G874)*v01_OutShaman)+Z874*(INDEX(v01_PriestShare,G874)*v01_OutPriest+INDEX(v01_ScribeShare,G874)*v01_OutScribe*INDEX(LM_Scribe,G874)+INDEX(v01_ScholarShare,G874)*v01_OutScholar*INDEX(LM_Scholar,G874)+INDEX(v01_ResearcherShare,G874)*v01_OutResearcher*INDEX(LM_Researcher,G874)))</x:f>
        <x:v>39.214701246494144</x:v>
      </x:c>
      <x:c r="AL874" s="32" t="n">
        <x:f>H874*v01_RoleScale*Arch_Roles*AE874*INDEX(v01_MonasteryPerSett,G874)*v01_OutMonastery*INDEX(LM_Monastery,G874)</x:f>
        <x:v>0</x:v>
      </x:c>
      <x:c r="AM874" s="32" t="n">
        <x:f>(AJ874+AK874+AL874)/4*INDEX(LM_All,G874)*INDEX(v01_Boon,G874)*Arch_Insight</x:f>
        <x:v>69.91194887519079</x:v>
      </x:c>
      <x:c r="AN874" s="32" t="n">
        <x:f>H874*(v01_KHPerAdult*Z874+v01_KHOfCommons*AJ874/4*INDEX(LM_All,G874))*v01_KHUsable*Arch_KH</x:f>
        <x:v>16.073506232470724</x:v>
      </x:c>
      <x:c r="AO874" s="32" t="n">
        <x:f>MIN(AP873+AN874,AM874*v01_KHMaxRatio)</x:f>
        <x:v>16.073506232470724</x:v>
      </x:c>
      <x:c r="AP874" s="32" t="n">
        <x:f>AP873+AN874-AO874</x:f>
        <x:v>0</x:v>
      </x:c>
      <x:c r="AQ874" s="32" t="n">
        <x:f>AM874+AO874</x:f>
        <x:v>85.98545510766151</x:v>
      </x:c>
      <x:c r="AR874" s="10" t="n">
        <x:f>IF(H874=1,INDEX(v01_Req,G874),0)</x:f>
        <x:v>9805.661999999998</x:v>
      </x:c>
      <x:c r="AS874" s="32" t="n">
        <x:f>IF(H874=1,IF(E874=1,AS873-AR873,AS873)+AQ874,0)</x:f>
        <x:v>8885.335570686188</x:v>
      </x:c>
      <x:c r="AT874" s="11" t="n">
        <x:f>IF(AR874&gt;0,MIN(1,AS874/AR874),1)</x:f>
        <x:v>0.9061433660150828</x:v>
      </x:c>
      <x:c r="AU874" s="10" t="n">
        <x:f>AB874/INDEX(v01_RepScale,G874)</x:f>
        <x:v>214.52378898225635</x:v>
      </x:c>
      <x:c r="AV874" s="32" t="n">
        <x:f>AM874*60/v01_SeasonSeconds</x:f>
        <x:v>279.64779550076315</x:v>
      </x:c>
    </x:row>
    <x:row r="875">
      <x:c r="A875" s="8" t="n">
        <x:f>A874+1</x:f>
        <x:v>872</x:v>
      </x:c>
      <x:c r="B875" s="9" t="n">
        <x:f>A875*v01_SeasonSeconds/60</x:f>
        <x:v>218</x:v>
      </x:c>
      <x:c r="C875" s="9" t="n">
        <x:f>A875/4</x:f>
        <x:v>218</x:v>
      </x:c>
      <x:c r="D875" s="8" t="n">
        <x:f>IF(MOD(A875,4)=0,1,0)</x:f>
        <x:v>1</x:v>
      </x:c>
      <x:c r="E875" s="8" t="n">
        <x:f>IF(AND(F874&lt;=9,AS874&gt;=AR874),1,0)</x:f>
        <x:v>0</x:v>
      </x:c>
      <x:c r="F875" s="8" t="n">
        <x:f>MIN(10,F874+E875)</x:f>
        <x:v>3</x:v>
      </x:c>
      <x:c r="G875" s="8" t="n">
        <x:f>MIN(F875,9)+1</x:f>
        <x:v>4</x:v>
      </x:c>
      <x:c r="H875" s="8" t="n">
        <x:f>IF(F875&lt;=9,1,0)</x:f>
        <x:v>1</x:v>
      </x:c>
      <x:c r="I875" s="9" t="n">
        <x:f>MIN(10,F874+IF(AR874&gt;0,MIN(1,AS874/AR874),1))</x:f>
        <x:v>3.906143366015083</x:v>
      </x:c>
      <x:c r="J875" s="32" t="n">
        <x:f>INDEX(v01_FoodCap,G875)*Arch_FoodCap*EXP(v01_CapsByProject*SUMPRODUCT((Cap_Point&lt;=I875)*(Cap_Kind="Food")*Cap_Ln))</x:f>
        <x:v>120</x:v>
      </x:c>
      <x:c r="K875" s="32" t="n">
        <x:f>J875*MIN(1,v01_LeanBase*EXP(v01_CapsByProject*SUMPRODUCT((Cap_Point&lt;=I875)*(Cap_Kind="Lean")*Cap_Ln)))</x:f>
        <x:v>120</x:v>
      </x:c>
      <x:c r="L875" s="10" t="n">
        <x:f>INDEX(v01_HousingCap,G875)*EXP(v01_CapsByProject*SUMPRODUCT((Cap_Point&lt;=I875)*(Cap_Kind="Housing")*Cap_Ln))</x:f>
        <x:v>200</x:v>
      </x:c>
      <x:c r="M875" s="10" t="n">
        <x:f>INDEX(v01_GroupCap,G875)*v01_CohesionFactor*EXP(v01_CapsByProject*SUMPRODUCT((Cap_Point&lt;=I875)*(Cap_Kind="Group")*Cap_Ln))</x:f>
        <x:v>5000</x:v>
      </x:c>
      <x:c r="N875" s="32" t="n">
        <x:f>MIN(J875,L875,M875)</x:f>
        <x:v>120</x:v>
      </x:c>
      <x:c r="O875" s="10" t="n">
        <x:f>AE874*N875</x:f>
        <x:v>1440</x:v>
      </x:c>
      <x:c r="P875" s="9" t="n">
        <x:f>MIN(1,(AB874/(AE874*IF(v01_GroupInCrowding=1,N875,MIN(J875,L875))))^v01_CrowdingExp)</x:f>
        <x:v>0.17080391754804514</x:v>
      </x:c>
      <x:c r="Q875" s="9" t="n">
        <x:f>IF(D875=1,INDEX(v01_WinterMult,G875),1)</x:f>
        <x:v>1.15</x:v>
      </x:c>
      <x:c r="R875" s="9" t="n">
        <x:f>H875*Z874*v01_WomenShare*v01_BaseFertility*INDEX(v01_FertMult,G875)*Arch_Fertility*(1-P875)</x:f>
        <x:v>14.851298502001152</x:v>
      </x:c>
      <x:c r="S875" s="9" t="n">
        <x:f>H875*Y874*INDEX(v01_MortChild,G875)/4*Q875</x:f>
        <x:v>3.932683522550825</x:v>
      </x:c>
      <x:c r="T875" s="9" t="n">
        <x:f>H875*Z874*INDEX(v01_MortAdult,G875)*Arch_AdultMort/4*Q875</x:f>
        <x:v>1.452356098862533</x:v>
      </x:c>
      <x:c r="U875" s="9" t="n">
        <x:f>H875*AA874*INDEX(v01_MortElder,G875)/4*Q875</x:f>
        <x:v>2.941648013618119</x:v>
      </x:c>
      <x:c r="V875" s="9" t="n">
        <x:f>H875*MAX(0,AB874-O875)*v01_OvercapLoss</x:f>
        <x:v>0</x:v>
      </x:c>
      <x:c r="W875" s="9" t="n">
        <x:f>H875*Y874/(v01_ChildYears*4)</x:f>
        <x:v>8.142201910043118</x:v>
      </x:c>
      <x:c r="X875" s="9" t="n">
        <x:f>H875*Z874/(v01_AdultYears*4)</x:f>
        <x:v>3.7035728646245905</x:v>
      </x:c>
      <x:c r="Y875" s="32" t="n">
        <x:f>Y874+R875-S875-W875-Y874*V875/AB874</x:f>
        <x:v>458.73972003182183</x:v>
      </x:c>
      <x:c r="Z875" s="32" t="n">
        <x:f>Z874+W875-X875-T875-Z874*V875/AB874</x:f>
        <x:v>462.2293081600052</x:v>
      </x:c>
      <x:c r="AA875" s="32" t="n">
        <x:f>AA874+X875-U875-AA874*V875/AB874</x:f>
        <x:v>158.17452758642423</x:v>
      </x:c>
      <x:c r="AB875" s="10" t="n">
        <x:f>Y875+Z875+AA875</x:f>
        <x:v>1079.143555778251</x:v>
      </x:c>
      <x:c r="AC875" s="8" t="n">
        <x:f>IF(AND(v01_WinterTrigger=1,D875=1,AB874/AE874&gt;=K875),1,0)</x:f>
        <x:v>0</x:v>
      </x:c>
      <x:c r="AD875" s="8" t="n">
        <x:f>H875*IF(AND(OR(AB874/AE874&gt;=v01_FissionTrigger*N875,AC875=1),AB874/AE874*v01_DaughterShare&gt;=v01_MinDaughter),MAX(1,ROUND(AE874*v01_FissionRate,0)),0)</x:f>
        <x:v>0</x:v>
      </x:c>
      <x:c r="AE875" s="8" t="n">
        <x:f>IF(H875=1,MAX(1,MIN(INDEX(v01_Smax,G875),AE874+AD875)),AE874)</x:f>
        <x:v>12</x:v>
      </x:c>
      <x:c r="AF875" s="8" t="n">
        <x:f>MAX(0,AE875-AE874)</x:f>
        <x:v>0</x:v>
      </x:c>
      <x:c r="AG875" s="9" t="str">
        <x:f>IF(AF875&gt;0,B875,"")</x:f>
      </x:c>
      <x:c r="AH875" s="9" t="n">
        <x:f>IF(F875&gt;=1,1,(1+v01_LowTiesShare*(AE875-1))/AE875)</x:f>
        <x:v>1</x:v>
      </x:c>
      <x:c r="AI875" s="32" t="n">
        <x:f>(Z875+v01_ElderCommons*INDEX(LM_Elder,G875)*AA875)*AH875</x:f>
        <x:v>936.7528909192779</x:v>
      </x:c>
      <x:c r="AJ875" s="32" t="n">
        <x:f>H875*v01_CommonsCoef*AI875^v01_CommonsExp*INDEX(LM_Commons,G875)</x:f>
        <x:v>221.5262629890343</x:v>
      </x:c>
      <x:c r="AK875" s="32" t="n">
        <x:f>H875*v01_RoleScale*Arch_Roles*(AE875*(INDEX(v01_ElderRolePerSett,G875)*v01_OutElder*INDEX(LM_Elder,G875)+INDEX(v01_ShamanPerSett,G875)*v01_OutShaman)+Z875*(INDEX(v01_PriestShare,G875)*v01_OutPriest+INDEX(v01_ScribeShare,G875)*v01_OutScribe*INDEX(LM_Scribe,G875)+INDEX(v01_ScholarShare,G875)*v01_OutScholar*INDEX(LM_Scholar,G875)+INDEX(v01_ResearcherShare,G875)*v01_OutResearcher*INDEX(LM_Researcher,G875)))</x:f>
        <x:v>39.235605157120034</x:v>
      </x:c>
      <x:c r="AL875" s="32" t="n">
        <x:f>H875*v01_RoleScale*Arch_Roles*AE875*INDEX(v01_MonasteryPerSett,G875)*v01_OutMonastery*INDEX(LM_Monastery,G875)</x:f>
        <x:v>0</x:v>
      </x:c>
      <x:c r="AM875" s="32" t="n">
        <x:f>(AJ875+AK875+AL875)/4*INDEX(LM_All,G875)*INDEX(v01_Boon,G875)*Arch_Insight</x:f>
        <x:v>70.20300279101993</x:v>
      </x:c>
      <x:c r="AN875" s="32" t="n">
        <x:f>H875*(v01_KHPerAdult*Z875+v01_KHOfCommons*AJ875/4*INDEX(LM_All,G875))*v01_KHUsable*Arch_KH</x:f>
        <x:v>16.17802578560018</x:v>
      </x:c>
      <x:c r="AO875" s="32" t="n">
        <x:f>MIN(AP874+AN875,AM875*v01_KHMaxRatio)</x:f>
        <x:v>16.17802578560018</x:v>
      </x:c>
      <x:c r="AP875" s="32" t="n">
        <x:f>AP874+AN875-AO875</x:f>
        <x:v>0</x:v>
      </x:c>
      <x:c r="AQ875" s="32" t="n">
        <x:f>AM875+AO875</x:f>
        <x:v>86.38102857662011</x:v>
      </x:c>
      <x:c r="AR875" s="10" t="n">
        <x:f>IF(H875=1,INDEX(v01_Req,G875),0)</x:f>
        <x:v>9805.661999999998</x:v>
      </x:c>
      <x:c r="AS875" s="32" t="n">
        <x:f>IF(H875=1,IF(E875=1,AS874-AR874,AS874)+AQ875,0)</x:f>
        <x:v>8971.716599262807</x:v>
      </x:c>
      <x:c r="AT875" s="11" t="n">
        <x:f>IF(AR875&gt;0,MIN(1,AS875/AR875),1)</x:f>
        <x:v>0.914952667067538</x:v>
      </x:c>
      <x:c r="AU875" s="10" t="n">
        <x:f>AB875/INDEX(v01_RepScale,G875)</x:f>
        <x:v>215.8287111556502</x:v>
      </x:c>
      <x:c r="AV875" s="32" t="n">
        <x:f>AM875*60/v01_SeasonSeconds</x:f>
        <x:v>280.8120111640797</x:v>
      </x:c>
    </x:row>
    <x:row r="876">
      <x:c r="A876" s="8" t="n">
        <x:f>A875+1</x:f>
        <x:v>873</x:v>
      </x:c>
      <x:c r="B876" s="9" t="n">
        <x:f>A876*v01_SeasonSeconds/60</x:f>
        <x:v>218.25</x:v>
      </x:c>
      <x:c r="C876" s="9" t="n">
        <x:f>A876/4</x:f>
        <x:v>218.25</x:v>
      </x:c>
      <x:c r="D876" s="8" t="n">
        <x:f>IF(MOD(A876,4)=0,1,0)</x:f>
        <x:v>0</x:v>
      </x:c>
      <x:c r="E876" s="8" t="n">
        <x:f>IF(AND(F875&lt;=9,AS875&gt;=AR875),1,0)</x:f>
        <x:v>0</x:v>
      </x:c>
      <x:c r="F876" s="8" t="n">
        <x:f>MIN(10,F875+E876)</x:f>
        <x:v>3</x:v>
      </x:c>
      <x:c r="G876" s="8" t="n">
        <x:f>MIN(F876,9)+1</x:f>
        <x:v>4</x:v>
      </x:c>
      <x:c r="H876" s="8" t="n">
        <x:f>IF(F876&lt;=9,1,0)</x:f>
        <x:v>1</x:v>
      </x:c>
      <x:c r="I876" s="9" t="n">
        <x:f>MIN(10,F875+IF(AR875&gt;0,MIN(1,AS875/AR875),1))</x:f>
        <x:v>3.914952667067538</x:v>
      </x:c>
      <x:c r="J876" s="32" t="n">
        <x:f>INDEX(v01_FoodCap,G876)*Arch_FoodCap*EXP(v01_CapsByProject*SUMPRODUCT((Cap_Point&lt;=I876)*(Cap_Kind="Food")*Cap_Ln))</x:f>
        <x:v>120</x:v>
      </x:c>
      <x:c r="K876" s="32" t="n">
        <x:f>J876*MIN(1,v01_LeanBase*EXP(v01_CapsByProject*SUMPRODUCT((Cap_Point&lt;=I876)*(Cap_Kind="Lean")*Cap_Ln)))</x:f>
        <x:v>120</x:v>
      </x:c>
      <x:c r="L876" s="10" t="n">
        <x:f>INDEX(v01_HousingCap,G876)*EXP(v01_CapsByProject*SUMPRODUCT((Cap_Point&lt;=I876)*(Cap_Kind="Housing")*Cap_Ln))</x:f>
        <x:v>200</x:v>
      </x:c>
      <x:c r="M876" s="10" t="n">
        <x:f>INDEX(v01_GroupCap,G876)*v01_CohesionFactor*EXP(v01_CapsByProject*SUMPRODUCT((Cap_Point&lt;=I876)*(Cap_Kind="Group")*Cap_Ln))</x:f>
        <x:v>5000</x:v>
      </x:c>
      <x:c r="N876" s="32" t="n">
        <x:f>MIN(J876,L876,M876)</x:f>
        <x:v>120</x:v>
      </x:c>
      <x:c r="O876" s="10" t="n">
        <x:f>AE875*N876</x:f>
        <x:v>1440</x:v>
      </x:c>
      <x:c r="P876" s="9" t="n">
        <x:f>MIN(1,(AB875/(AE875*IF(v01_GroupInCrowding=1,N876,MIN(J876,L876))))^v01_CrowdingExp)</x:f>
        <x:v>0.1771333667399969</x:v>
      </x:c>
      <x:c r="Q876" s="9" t="n">
        <x:f>IF(D876=1,INDEX(v01_WinterMult,G876),1)</x:f>
        <x:v>1</x:v>
      </x:c>
      <x:c r="R876" s="9" t="n">
        <x:f>H876*Z875*v01_WomenShare*v01_BaseFertility*INDEX(v01_FertMult,G876)*Arch_Fertility*(1-P876)</x:f>
        <x:v>14.83376990938923</x:v>
      </x:c>
      <x:c r="S876" s="9" t="n">
        <x:f>H876*Y875*INDEX(v01_MortChild,G876)/4*Q876</x:f>
        <x:v>3.4405479002386636</x:v>
      </x:c>
      <x:c r="T876" s="9" t="n">
        <x:f>H876*Z875*INDEX(v01_MortAdult,G876)*Arch_AdultMort/4*Q876</x:f>
        <x:v>1.2711305974400142</x:v>
      </x:c>
      <x:c r="U876" s="9" t="n">
        <x:f>H876*AA875*INDEX(v01_MortElder,G876)/4*Q876</x:f>
        <x:v>2.570336073279394</x:v>
      </x:c>
      <x:c r="V876" s="9" t="n">
        <x:f>H876*MAX(0,AB875-O876)*v01_OvercapLoss</x:f>
        <x:v>0</x:v>
      </x:c>
      <x:c r="W876" s="9" t="n">
        <x:f>H876*Y875/(v01_ChildYears*4)</x:f>
        <x:v>8.19178071485396</x:v>
      </x:c>
      <x:c r="X876" s="9" t="n">
        <x:f>H876*Z875/(v01_AdultYears*4)</x:f>
        <x:v>3.7276557109677837</x:v>
      </x:c>
      <x:c r="Y876" s="32" t="n">
        <x:f>Y875+R876-S876-W876-Y875*V876/AB875</x:f>
        <x:v>461.94116132611845</x:v>
      </x:c>
      <x:c r="Z876" s="32" t="n">
        <x:f>Z875+W876-X876-T876-Z875*V876/AB875</x:f>
        <x:v>465.4223025664514</x:v>
      </x:c>
      <x:c r="AA876" s="32" t="n">
        <x:f>AA875+X876-U876-AA875*V876/AB875</x:f>
        <x:v>159.3318472241126</x:v>
      </x:c>
      <x:c r="AB876" s="10" t="n">
        <x:f>Y876+Z876+AA876</x:f>
        <x:v>1086.6953111166824</x:v>
      </x:c>
      <x:c r="AC876" s="8" t="n">
        <x:f>IF(AND(v01_WinterTrigger=1,D876=1,AB875/AE875&gt;=K876),1,0)</x:f>
        <x:v>0</x:v>
      </x:c>
      <x:c r="AD876" s="8" t="n">
        <x:f>H876*IF(AND(OR(AB875/AE875&gt;=v01_FissionTrigger*N876,AC876=1),AB875/AE875*v01_DaughterShare&gt;=v01_MinDaughter),MAX(1,ROUND(AE875*v01_FissionRate,0)),0)</x:f>
        <x:v>0</x:v>
      </x:c>
      <x:c r="AE876" s="8" t="n">
        <x:f>IF(H876=1,MAX(1,MIN(INDEX(v01_Smax,G876),AE875+AD876)),AE875)</x:f>
        <x:v>12</x:v>
      </x:c>
      <x:c r="AF876" s="8" t="n">
        <x:f>MAX(0,AE876-AE875)</x:f>
        <x:v>0</x:v>
      </x:c>
      <x:c r="AG876" s="9" t="str">
        <x:f>IF(AF876&gt;0,B876,"")</x:f>
      </x:c>
      <x:c r="AH876" s="9" t="n">
        <x:f>IF(F876&gt;=1,1,(1+v01_LowTiesShare*(AE876-1))/AE876)</x:f>
        <x:v>1</x:v>
      </x:c>
      <x:c r="AI876" s="32" t="n">
        <x:f>(Z876+v01_ElderCommons*INDEX(LM_Elder,G876)*AA876)*AH876</x:f>
        <x:v>943.4178442387893</x:v>
      </x:c>
      <x:c r="AJ876" s="32" t="n">
        <x:f>H876*v01_CommonsCoef*AI876^v01_CommonsExp*INDEX(LM_Commons,G876)</x:f>
        <x:v>222.86527673759863</x:v>
      </x:c>
      <x:c r="AK876" s="32" t="n">
        <x:f>H876*v01_RoleScale*Arch_Roles*(AE876*(INDEX(v01_ElderRolePerSett,G876)*v01_OutElder*INDEX(LM_Elder,G876)+INDEX(v01_ShamanPerSett,G876)*v01_OutShaman)+Z876*(INDEX(v01_PriestShare,G876)*v01_OutPriest+INDEX(v01_ScribeShare,G876)*v01_OutScribe*INDEX(LM_Scribe,G876)+INDEX(v01_ScholarShare,G876)*v01_OutScholar*INDEX(LM_Scholar,G876)+INDEX(v01_ResearcherShare,G876)*v01_OutResearcher*INDEX(LM_Researcher,G876)))</x:f>
        <x:v>39.25795611796516</x:v>
      </x:c>
      <x:c r="AL876" s="32" t="n">
        <x:f>H876*v01_RoleScale*Arch_Roles*AE876*INDEX(v01_MonasteryPerSett,G876)*v01_OutMonastery*INDEX(LM_Monastery,G876)</x:f>
        <x:v>0</x:v>
      </x:c>
      <x:c r="AM876" s="32" t="n">
        <x:f>(AJ876+AK876+AL876)/4*INDEX(LM_All,G876)*INDEX(v01_Boon,G876)*Arch_Insight</x:f>
        <x:v>70.56951301421213</x:v>
      </x:c>
      <x:c r="AN876" s="32" t="n">
        <x:f>H876*(v01_KHPerAdult*Z876+v01_KHOfCommons*AJ876/4*INDEX(LM_All,G876))*v01_KHUsable*Arch_KH</x:f>
        <x:v>16.2897805898258</x:v>
      </x:c>
      <x:c r="AO876" s="32" t="n">
        <x:f>MIN(AP875+AN876,AM876*v01_KHMaxRatio)</x:f>
        <x:v>16.2897805898258</x:v>
      </x:c>
      <x:c r="AP876" s="32" t="n">
        <x:f>AP875+AN876-AO876</x:f>
        <x:v>0</x:v>
      </x:c>
      <x:c r="AQ876" s="32" t="n">
        <x:f>AM876+AO876</x:f>
        <x:v>86.85929360403793</x:v>
      </x:c>
      <x:c r="AR876" s="10" t="n">
        <x:f>IF(H876=1,INDEX(v01_Req,G876),0)</x:f>
        <x:v>9805.661999999998</x:v>
      </x:c>
      <x:c r="AS876" s="32" t="n">
        <x:f>IF(H876=1,IF(E876=1,AS875-AR875,AS875)+AQ876,0)</x:f>
        <x:v>9058.575892866846</x:v>
      </x:c>
      <x:c r="AT876" s="11" t="n">
        <x:f>IF(AR876&gt;0,MIN(1,AS876/AR876),1)</x:f>
        <x:v>0.9238107424941678</x:v>
      </x:c>
      <x:c r="AU876" s="10" t="n">
        <x:f>AB876/INDEX(v01_RepScale,G876)</x:f>
        <x:v>217.3390622233365</x:v>
      </x:c>
      <x:c r="AV876" s="32" t="n">
        <x:f>AM876*60/v01_SeasonSeconds</x:f>
        <x:v>282.27805205684854</x:v>
      </x:c>
    </x:row>
    <x:row r="877">
      <x:c r="A877" s="8" t="n">
        <x:f>A876+1</x:f>
        <x:v>874</x:v>
      </x:c>
      <x:c r="B877" s="9" t="n">
        <x:f>A877*v01_SeasonSeconds/60</x:f>
        <x:v>218.5</x:v>
      </x:c>
      <x:c r="C877" s="9" t="n">
        <x:f>A877/4</x:f>
        <x:v>218.5</x:v>
      </x:c>
      <x:c r="D877" s="8" t="n">
        <x:f>IF(MOD(A877,4)=0,1,0)</x:f>
        <x:v>0</x:v>
      </x:c>
      <x:c r="E877" s="8" t="n">
        <x:f>IF(AND(F876&lt;=9,AS876&gt;=AR876),1,0)</x:f>
        <x:v>0</x:v>
      </x:c>
      <x:c r="F877" s="8" t="n">
        <x:f>MIN(10,F876+E877)</x:f>
        <x:v>3</x:v>
      </x:c>
      <x:c r="G877" s="8" t="n">
        <x:f>MIN(F877,9)+1</x:f>
        <x:v>4</x:v>
      </x:c>
      <x:c r="H877" s="8" t="n">
        <x:f>IF(F877&lt;=9,1,0)</x:f>
        <x:v>1</x:v>
      </x:c>
      <x:c r="I877" s="9" t="n">
        <x:f>MIN(10,F876+IF(AR876&gt;0,MIN(1,AS876/AR876),1))</x:f>
        <x:v>3.923810742494168</x:v>
      </x:c>
      <x:c r="J877" s="32" t="n">
        <x:f>INDEX(v01_FoodCap,G877)*Arch_FoodCap*EXP(v01_CapsByProject*SUMPRODUCT((Cap_Point&lt;=I877)*(Cap_Kind="Food")*Cap_Ln))</x:f>
        <x:v>120</x:v>
      </x:c>
      <x:c r="K877" s="32" t="n">
        <x:f>J877*MIN(1,v01_LeanBase*EXP(v01_CapsByProject*SUMPRODUCT((Cap_Point&lt;=I877)*(Cap_Kind="Lean")*Cap_Ln)))</x:f>
        <x:v>120</x:v>
      </x:c>
      <x:c r="L877" s="10" t="n">
        <x:f>INDEX(v01_HousingCap,G877)*EXP(v01_CapsByProject*SUMPRODUCT((Cap_Point&lt;=I877)*(Cap_Kind="Housing")*Cap_Ln))</x:f>
        <x:v>200</x:v>
      </x:c>
      <x:c r="M877" s="10" t="n">
        <x:f>INDEX(v01_GroupCap,G877)*v01_CohesionFactor*EXP(v01_CapsByProject*SUMPRODUCT((Cap_Point&lt;=I877)*(Cap_Kind="Group")*Cap_Ln))</x:f>
        <x:v>5000</x:v>
      </x:c>
      <x:c r="N877" s="32" t="n">
        <x:f>MIN(J877,L877,M877)</x:f>
        <x:v>120</x:v>
      </x:c>
      <x:c r="O877" s="10" t="n">
        <x:f>AE876*N877</x:f>
        <x:v>1440</x:v>
      </x:c>
      <x:c r="P877" s="9" t="n">
        <x:f>MIN(1,(AB876/(AE876*IF(v01_GroupInCrowding=1,N877,MIN(J877,L877))))^v01_CrowdingExp)</x:f>
        <x:v>0.18470208859349685</x:v>
      </x:c>
      <x:c r="Q877" s="9" t="n">
        <x:f>IF(D877=1,INDEX(v01_WinterMult,G877),1)</x:f>
        <x:v>1</x:v>
      </x:c>
      <x:c r="R877" s="9" t="n">
        <x:f>H877*Z876*v01_WomenShare*v01_BaseFertility*INDEX(v01_FertMult,G877)*Arch_Fertility*(1-P877)</x:f>
        <x:v>14.7988554169729</x:v>
      </x:c>
      <x:c r="S877" s="9" t="n">
        <x:f>H877*Y876*INDEX(v01_MortChild,G877)/4*Q877</x:f>
        <x:v>3.464558709945888</x:v>
      </x:c>
      <x:c r="T877" s="9" t="n">
        <x:f>H877*Z876*INDEX(v01_MortAdult,G877)*Arch_AdultMort/4*Q877</x:f>
        <x:v>1.2799113320577413</x:v>
      </x:c>
      <x:c r="U877" s="9" t="n">
        <x:f>H877*AA876*INDEX(v01_MortElder,G877)/4*Q877</x:f>
        <x:v>2.58914251739183</x:v>
      </x:c>
      <x:c r="V877" s="9" t="n">
        <x:f>H877*MAX(0,AB876-O877)*v01_OvercapLoss</x:f>
        <x:v>0</x:v>
      </x:c>
      <x:c r="W877" s="9" t="n">
        <x:f>H877*Y876/(v01_ChildYears*4)</x:f>
        <x:v>8.248949309394972</x:v>
      </x:c>
      <x:c r="X877" s="9" t="n">
        <x:f>H877*Z876/(v01_AdultYears*4)</x:f>
        <x:v>3.753405665858479</x:v>
      </x:c>
      <x:c r="Y877" s="32" t="n">
        <x:f>Y876+R877-S877-W877-Y876*V877/AB876</x:f>
        <x:v>465.0265087237505</x:v>
      </x:c>
      <x:c r="Z877" s="32" t="n">
        <x:f>Z876+W877-X877-T877-Z876*V877/AB876</x:f>
        <x:v>468.63793487793015</x:v>
      </x:c>
      <x:c r="AA877" s="32" t="n">
        <x:f>AA876+X877-U877-AA876*V877/AB876</x:f>
        <x:v>160.49611037257927</x:v>
      </x:c>
      <x:c r="AB877" s="10" t="n">
        <x:f>Y877+Z877+AA877</x:f>
        <x:v>1094.16055397426</x:v>
      </x:c>
      <x:c r="AC877" s="8" t="n">
        <x:f>IF(AND(v01_WinterTrigger=1,D877=1,AB876/AE876&gt;=K877),1,0)</x:f>
        <x:v>0</x:v>
      </x:c>
      <x:c r="AD877" s="8" t="n">
        <x:f>H877*IF(AND(OR(AB876/AE876&gt;=v01_FissionTrigger*N877,AC877=1),AB876/AE876*v01_DaughterShare&gt;=v01_MinDaughter),MAX(1,ROUND(AE876*v01_FissionRate,0)),0)</x:f>
        <x:v>0</x:v>
      </x:c>
      <x:c r="AE877" s="8" t="n">
        <x:f>IF(H877=1,MAX(1,MIN(INDEX(v01_Smax,G877),AE876+AD877)),AE876)</x:f>
        <x:v>12</x:v>
      </x:c>
      <x:c r="AF877" s="8" t="n">
        <x:f>MAX(0,AE877-AE876)</x:f>
        <x:v>0</x:v>
      </x:c>
      <x:c r="AG877" s="9" t="str">
        <x:f>IF(AF877&gt;0,B877,"")</x:f>
      </x:c>
      <x:c r="AH877" s="9" t="n">
        <x:f>IF(F877&gt;=1,1,(1+v01_LowTiesShare*(AE877-1))/AE877)</x:f>
        <x:v>1</x:v>
      </x:c>
      <x:c r="AI877" s="32" t="n">
        <x:f>(Z877+v01_ElderCommons*INDEX(LM_Elder,G877)*AA877)*AH877</x:f>
        <x:v>950.126265995668</x:v>
      </x:c>
      <x:c r="AJ877" s="32" t="n">
        <x:f>H877*v01_CommonsCoef*AI877^v01_CommonsExp*INDEX(LM_Commons,G877)</x:f>
        <x:v>224.2115913581881</x:v>
      </x:c>
      <x:c r="AK877" s="32" t="n">
        <x:f>H877*v01_RoleScale*Arch_Roles*(AE877*(INDEX(v01_ElderRolePerSett,G877)*v01_OutElder*INDEX(LM_Elder,G877)+INDEX(v01_ShamanPerSett,G877)*v01_OutShaman)+Z877*(INDEX(v01_PriestShare,G877)*v01_OutPriest+INDEX(v01_ScribeShare,G877)*v01_OutScribe*INDEX(LM_Scribe,G877)+INDEX(v01_ScholarShare,G877)*v01_OutScholar*INDEX(LM_Scholar,G877)+INDEX(v01_ResearcherShare,G877)*v01_OutResearcher*INDEX(LM_Researcher,G877)))</x:f>
        <x:v>39.280465544145514</x:v>
      </x:c>
      <x:c r="AL877" s="32" t="n">
        <x:f>H877*v01_RoleScale*Arch_Roles*AE877*INDEX(v01_MonasteryPerSett,G877)*v01_OutMonastery*INDEX(LM_Monastery,G877)</x:f>
        <x:v>0</x:v>
      </x:c>
      <x:c r="AM877" s="32" t="n">
        <x:f>(AJ877+AK877+AL877)/4*INDEX(LM_All,G877)*INDEX(v01_Boon,G877)*Arch_Insight</x:f>
        <x:v>70.93803146002239</x:v>
      </x:c>
      <x:c r="AN877" s="32" t="n">
        <x:f>H877*(v01_KHPerAdult*Z877+v01_KHOfCommons*AJ877/4*INDEX(LM_All,G877))*v01_KHUsable*Arch_KH</x:f>
        <x:v>16.402327720727556</x:v>
      </x:c>
      <x:c r="AO877" s="32" t="n">
        <x:f>MIN(AP876+AN877,AM877*v01_KHMaxRatio)</x:f>
        <x:v>16.402327720727556</x:v>
      </x:c>
      <x:c r="AP877" s="32" t="n">
        <x:f>AP876+AN877-AO877</x:f>
        <x:v>0</x:v>
      </x:c>
      <x:c r="AQ877" s="32" t="n">
        <x:f>AM877+AO877</x:f>
        <x:v>87.34035918074994</x:v>
      </x:c>
      <x:c r="AR877" s="10" t="n">
        <x:f>IF(H877=1,INDEX(v01_Req,G877),0)</x:f>
        <x:v>9805.661999999998</x:v>
      </x:c>
      <x:c r="AS877" s="32" t="n">
        <x:f>IF(H877=1,IF(E877=1,AS876-AR876,AS876)+AQ877,0)</x:f>
        <x:v>9145.916252047595</x:v>
      </x:c>
      <x:c r="AT877" s="11" t="n">
        <x:f>IF(AR877&gt;0,MIN(1,AS877/AR877),1)</x:f>
        <x:v>0.9327178779002985</x:v>
      </x:c>
      <x:c r="AU877" s="10" t="n">
        <x:f>AB877/INDEX(v01_RepScale,G877)</x:f>
        <x:v>218.83211079485199</x:v>
      </x:c>
      <x:c r="AV877" s="32" t="n">
        <x:f>AM877*60/v01_SeasonSeconds</x:f>
        <x:v>283.75212584008955</x:v>
      </x:c>
    </x:row>
    <x:row r="878">
      <x:c r="A878" s="8" t="n">
        <x:f>A877+1</x:f>
        <x:v>875</x:v>
      </x:c>
      <x:c r="B878" s="9" t="n">
        <x:f>A878*v01_SeasonSeconds/60</x:f>
        <x:v>218.75</x:v>
      </x:c>
      <x:c r="C878" s="9" t="n">
        <x:f>A878/4</x:f>
        <x:v>218.75</x:v>
      </x:c>
      <x:c r="D878" s="8" t="n">
        <x:f>IF(MOD(A878,4)=0,1,0)</x:f>
        <x:v>0</x:v>
      </x:c>
      <x:c r="E878" s="8" t="n">
        <x:f>IF(AND(F877&lt;=9,AS877&gt;=AR877),1,0)</x:f>
        <x:v>0</x:v>
      </x:c>
      <x:c r="F878" s="8" t="n">
        <x:f>MIN(10,F877+E878)</x:f>
        <x:v>3</x:v>
      </x:c>
      <x:c r="G878" s="8" t="n">
        <x:f>MIN(F878,9)+1</x:f>
        <x:v>4</x:v>
      </x:c>
      <x:c r="H878" s="8" t="n">
        <x:f>IF(F878&lt;=9,1,0)</x:f>
        <x:v>1</x:v>
      </x:c>
      <x:c r="I878" s="9" t="n">
        <x:f>MIN(10,F877+IF(AR877&gt;0,MIN(1,AS877/AR877),1))</x:f>
        <x:v>3.9327178779002985</x:v>
      </x:c>
      <x:c r="J878" s="32" t="n">
        <x:f>INDEX(v01_FoodCap,G878)*Arch_FoodCap*EXP(v01_CapsByProject*SUMPRODUCT((Cap_Point&lt;=I878)*(Cap_Kind="Food")*Cap_Ln))</x:f>
        <x:v>120</x:v>
      </x:c>
      <x:c r="K878" s="32" t="n">
        <x:f>J878*MIN(1,v01_LeanBase*EXP(v01_CapsByProject*SUMPRODUCT((Cap_Point&lt;=I878)*(Cap_Kind="Lean")*Cap_Ln)))</x:f>
        <x:v>120</x:v>
      </x:c>
      <x:c r="L878" s="10" t="n">
        <x:f>INDEX(v01_HousingCap,G878)*EXP(v01_CapsByProject*SUMPRODUCT((Cap_Point&lt;=I878)*(Cap_Kind="Housing")*Cap_Ln))</x:f>
        <x:v>200</x:v>
      </x:c>
      <x:c r="M878" s="10" t="n">
        <x:f>INDEX(v01_GroupCap,G878)*v01_CohesionFactor*EXP(v01_CapsByProject*SUMPRODUCT((Cap_Point&lt;=I878)*(Cap_Kind="Group")*Cap_Ln))</x:f>
        <x:v>5000</x:v>
      </x:c>
      <x:c r="N878" s="32" t="n">
        <x:f>MIN(J878,L878,M878)</x:f>
        <x:v>120</x:v>
      </x:c>
      <x:c r="O878" s="10" t="n">
        <x:f>AE877*N878</x:f>
        <x:v>1440</x:v>
      </x:c>
      <x:c r="P878" s="9" t="n">
        <x:f>MIN(1,(AB877/(AE877*IF(v01_GroupInCrowding=1,N878,MIN(J878,L878))))^v01_CrowdingExp)</x:f>
        <x:v>0.19244709962270082</x:v>
      </x:c>
      <x:c r="Q878" s="9" t="n">
        <x:f>IF(D878=1,INDEX(v01_WinterMult,G878),1)</x:f>
        <x:v>1</x:v>
      </x:c>
      <x:c r="R878" s="9" t="n">
        <x:f>H878*Z877*v01_WomenShare*v01_BaseFertility*INDEX(v01_FertMult,G878)*Arch_Fertility*(1-P878)</x:f>
        <x:v>14.759547017962513</x:v>
      </x:c>
      <x:c r="S878" s="9" t="n">
        <x:f>H878*Y877*INDEX(v01_MortChild,G878)/4*Q878</x:f>
        <x:v>3.4876988154281285</x:v>
      </x:c>
      <x:c r="T878" s="9" t="n">
        <x:f>H878*Z877*INDEX(v01_MortAdult,G878)*Arch_AdultMort/4*Q878</x:f>
        <x:v>1.2887543209143077</x:v>
      </x:c>
      <x:c r="U878" s="9" t="n">
        <x:f>H878*AA877*INDEX(v01_MortElder,G878)/4*Q878</x:f>
        <x:v>2.608061793554413</x:v>
      </x:c>
      <x:c r="V878" s="9" t="n">
        <x:f>H878*MAX(0,AB877-O878)*v01_OvercapLoss</x:f>
        <x:v>0</x:v>
      </x:c>
      <x:c r="W878" s="9" t="n">
        <x:f>H878*Y877/(v01_ChildYears*4)</x:f>
        <x:v>8.304044798638403</x:v>
      </x:c>
      <x:c r="X878" s="9" t="n">
        <x:f>H878*Z877/(v01_AdultYears*4)</x:f>
        <x:v>3.7793381844994367</x:v>
      </x:c>
      <x:c r="Y878" s="32" t="n">
        <x:f>Y877+R878-S878-W878-Y877*V878/AB877</x:f>
        <x:v>467.9943121276465</x:v>
      </x:c>
      <x:c r="Z878" s="32" t="n">
        <x:f>Z877+W878-X878-T878-Z877*V878/AB877</x:f>
        <x:v>471.8738871711548</x:v>
      </x:c>
      <x:c r="AA878" s="32" t="n">
        <x:f>AA877+X878-U878-AA877*V878/AB877</x:f>
        <x:v>161.6673867635243</x:v>
      </x:c>
      <x:c r="AB878" s="10" t="n">
        <x:f>Y878+Z878+AA878</x:f>
        <x:v>1101.5355860623256</x:v>
      </x:c>
      <x:c r="AC878" s="8" t="n">
        <x:f>IF(AND(v01_WinterTrigger=1,D878=1,AB877/AE877&gt;=K878),1,0)</x:f>
        <x:v>0</x:v>
      </x:c>
      <x:c r="AD878" s="8" t="n">
        <x:f>H878*IF(AND(OR(AB877/AE877&gt;=v01_FissionTrigger*N878,AC878=1),AB877/AE877*v01_DaughterShare&gt;=v01_MinDaughter),MAX(1,ROUND(AE877*v01_FissionRate,0)),0)</x:f>
        <x:v>0</x:v>
      </x:c>
      <x:c r="AE878" s="8" t="n">
        <x:f>IF(H878=1,MAX(1,MIN(INDEX(v01_Smax,G878),AE877+AD878)),AE877)</x:f>
        <x:v>12</x:v>
      </x:c>
      <x:c r="AF878" s="8" t="n">
        <x:f>MAX(0,AE878-AE877)</x:f>
        <x:v>0</x:v>
      </x:c>
      <x:c r="AG878" s="9" t="str">
        <x:f>IF(AF878&gt;0,B878,"")</x:f>
      </x:c>
      <x:c r="AH878" s="9" t="n">
        <x:f>IF(F878&gt;=1,1,(1+v01_LowTiesShare*(AE878-1))/AE878)</x:f>
        <x:v>1</x:v>
      </x:c>
      <x:c r="AI878" s="32" t="n">
        <x:f>(Z878+v01_ElderCommons*INDEX(LM_Elder,G878)*AA878)*AH878</x:f>
        <x:v>956.8760474617277</x:v>
      </x:c>
      <x:c r="AJ878" s="32" t="n">
        <x:f>H878*v01_CommonsCoef*AI878^v01_CommonsExp*INDEX(LM_Commons,G878)</x:f>
        <x:v>225.5647681672838</x:v>
      </x:c>
      <x:c r="AK878" s="32" t="n">
        <x:f>H878*v01_RoleScale*Arch_Roles*(AE878*(INDEX(v01_ElderRolePerSett,G878)*v01_OutElder*INDEX(LM_Elder,G878)+INDEX(v01_ShamanPerSett,G878)*v01_OutShaman)+Z878*(INDEX(v01_PriestShare,G878)*v01_OutPriest+INDEX(v01_ScribeShare,G878)*v01_OutScribe*INDEX(LM_Scribe,G878)+INDEX(v01_ScholarShare,G878)*v01_OutScholar*INDEX(LM_Scholar,G878)+INDEX(v01_ResearcherShare,G878)*v01_OutResearcher*INDEX(LM_Researcher,G878)))</x:f>
        <x:v>39.30311721019808</x:v>
      </x:c>
      <x:c r="AL878" s="32" t="n">
        <x:f>H878*v01_RoleScale*Arch_Roles*AE878*INDEX(v01_MonasteryPerSett,G878)*v01_OutMonastery*INDEX(LM_Monastery,G878)</x:f>
        <x:v>0</x:v>
      </x:c>
      <x:c r="AM878" s="32" t="n">
        <x:f>(AJ878+AK878+AL878)/4*INDEX(LM_All,G878)*INDEX(v01_Boon,G878)*Arch_Insight</x:f>
        <x:v>71.3084356566462</x:v>
      </x:c>
      <x:c r="AN878" s="32" t="n">
        <x:f>H878*(v01_KHPerAdult*Z878+v01_KHOfCommons*AJ878/4*INDEX(LM_All,G878))*v01_KHUsable*Arch_KH</x:f>
        <x:v>16.515586050990418</x:v>
      </x:c>
      <x:c r="AO878" s="32" t="n">
        <x:f>MIN(AP877+AN878,AM878*v01_KHMaxRatio)</x:f>
        <x:v>16.515586050990418</x:v>
      </x:c>
      <x:c r="AP878" s="32" t="n">
        <x:f>AP877+AN878-AO878</x:f>
        <x:v>0</x:v>
      </x:c>
      <x:c r="AQ878" s="32" t="n">
        <x:f>AM878+AO878</x:f>
        <x:v>87.82402170763662</x:v>
      </x:c>
      <x:c r="AR878" s="10" t="n">
        <x:f>IF(H878=1,INDEX(v01_Req,G878),0)</x:f>
        <x:v>9805.661999999998</x:v>
      </x:c>
      <x:c r="AS878" s="32" t="n">
        <x:f>IF(H878=1,IF(E878=1,AS877-AR877,AS877)+AQ878,0)</x:f>
        <x:v>9233.740273755231</x:v>
      </x:c>
      <x:c r="AT878" s="11" t="n">
        <x:f>IF(AR878&gt;0,MIN(1,AS878/AR878),1)</x:f>
        <x:v>0.941674338127832</x:v>
      </x:c>
      <x:c r="AU878" s="10" t="n">
        <x:f>AB878/INDEX(v01_RepScale,G878)</x:f>
        <x:v>220.30711721246513</x:v>
      </x:c>
      <x:c r="AV878" s="32" t="n">
        <x:f>AM878*60/v01_SeasonSeconds</x:f>
        <x:v>285.2337426265848</x:v>
      </x:c>
    </x:row>
    <x:row r="879">
      <x:c r="A879" s="8" t="n">
        <x:f>A878+1</x:f>
        <x:v>876</x:v>
      </x:c>
      <x:c r="B879" s="9" t="n">
        <x:f>A879*v01_SeasonSeconds/60</x:f>
        <x:v>219</x:v>
      </x:c>
      <x:c r="C879" s="9" t="n">
        <x:f>A879/4</x:f>
        <x:v>219</x:v>
      </x:c>
      <x:c r="D879" s="8" t="n">
        <x:f>IF(MOD(A879,4)=0,1,0)</x:f>
        <x:v>1</x:v>
      </x:c>
      <x:c r="E879" s="8" t="n">
        <x:f>IF(AND(F878&lt;=9,AS878&gt;=AR878),1,0)</x:f>
        <x:v>0</x:v>
      </x:c>
      <x:c r="F879" s="8" t="n">
        <x:f>MIN(10,F878+E879)</x:f>
        <x:v>3</x:v>
      </x:c>
      <x:c r="G879" s="8" t="n">
        <x:f>MIN(F879,9)+1</x:f>
        <x:v>4</x:v>
      </x:c>
      <x:c r="H879" s="8" t="n">
        <x:f>IF(F879&lt;=9,1,0)</x:f>
        <x:v>1</x:v>
      </x:c>
      <x:c r="I879" s="9" t="n">
        <x:f>MIN(10,F878+IF(AR878&gt;0,MIN(1,AS878/AR878),1))</x:f>
        <x:v>3.941674338127832</x:v>
      </x:c>
      <x:c r="J879" s="32" t="n">
        <x:f>INDEX(v01_FoodCap,G879)*Arch_FoodCap*EXP(v01_CapsByProject*SUMPRODUCT((Cap_Point&lt;=I879)*(Cap_Kind="Food")*Cap_Ln))</x:f>
        <x:v>120</x:v>
      </x:c>
      <x:c r="K879" s="32" t="n">
        <x:f>J879*MIN(1,v01_LeanBase*EXP(v01_CapsByProject*SUMPRODUCT((Cap_Point&lt;=I879)*(Cap_Kind="Lean")*Cap_Ln)))</x:f>
        <x:v>120</x:v>
      </x:c>
      <x:c r="L879" s="10" t="n">
        <x:f>INDEX(v01_HousingCap,G879)*EXP(v01_CapsByProject*SUMPRODUCT((Cap_Point&lt;=I879)*(Cap_Kind="Housing")*Cap_Ln))</x:f>
        <x:v>200</x:v>
      </x:c>
      <x:c r="M879" s="10" t="n">
        <x:f>INDEX(v01_GroupCap,G879)*v01_CohesionFactor*EXP(v01_CapsByProject*SUMPRODUCT((Cap_Point&lt;=I879)*(Cap_Kind="Group")*Cap_Ln))</x:f>
        <x:v>5000</x:v>
      </x:c>
      <x:c r="N879" s="32" t="n">
        <x:f>MIN(J879,L879,M879)</x:f>
        <x:v>120</x:v>
      </x:c>
      <x:c r="O879" s="10" t="n">
        <x:f>AE878*N879</x:f>
        <x:v>1440</x:v>
      </x:c>
      <x:c r="P879" s="9" t="n">
        <x:f>MIN(1,(AB878/(AE878*IF(v01_GroupInCrowding=1,N879,MIN(J879,L879))))^v01_CrowdingExp)</x:f>
        <x:v>0.20036240651054607</x:v>
      </x:c>
      <x:c r="Q879" s="9" t="n">
        <x:f>IF(D879=1,INDEX(v01_WinterMult,G879),1)</x:f>
        <x:v>1.15</x:v>
      </x:c>
      <x:c r="R879" s="9" t="n">
        <x:f>H879*Z878*v01_WomenShare*v01_BaseFertility*INDEX(v01_FertMult,G879)*Arch_Fertility*(1-P879)</x:f>
        <x:v>14.715795883154197</x:v>
      </x:c>
      <x:c r="S879" s="9" t="n">
        <x:f>H879*Y878*INDEX(v01_MortChild,G879)/4*Q879</x:f>
        <x:v>4.0364509421009505</x:v>
      </x:c>
      <x:c r="T879" s="9" t="n">
        <x:f>H879*Z878*INDEX(v01_MortAdult,G879)*Arch_AdultMort/4*Q879</x:f>
        <x:v>1.492301168178777</x:v>
      </x:c>
      <x:c r="U879" s="9" t="n">
        <x:f>H879*AA878*INDEX(v01_MortElder,G879)/4*Q879</x:f>
        <x:v>3.02115929014336</x:v>
      </x:c>
      <x:c r="V879" s="9" t="n">
        <x:f>H879*MAX(0,AB878-O879)*v01_OvercapLoss</x:f>
        <x:v>0</x:v>
      </x:c>
      <x:c r="W879" s="9" t="n">
        <x:f>H879*Y878/(v01_ChildYears*4)</x:f>
        <x:v>8.357041287993686</x:v>
      </x:c>
      <x:c r="X879" s="9" t="n">
        <x:f>H879*Z878/(v01_AdultYears*4)</x:f>
        <x:v>3.805434573960926</x:v>
      </x:c>
      <x:c r="Y879" s="32" t="n">
        <x:f>Y878+R879-S879-W879-Y878*V879/AB878</x:f>
        <x:v>470.31661578070606</x:v>
      </x:c>
      <x:c r="Z879" s="32" t="n">
        <x:f>Z878+W879-X879-T879-Z878*V879/AB878</x:f>
        <x:v>474.9331927170088</x:v>
      </x:c>
      <x:c r="AA879" s="32" t="n">
        <x:f>AA878+X879-U879-AA878*V879/AB878</x:f>
        <x:v>162.45166204734184</x:v>
      </x:c>
      <x:c r="AB879" s="10" t="n">
        <x:f>Y879+Z879+AA879</x:f>
        <x:v>1107.7014705450567</x:v>
      </x:c>
      <x:c r="AC879" s="8" t="n">
        <x:f>IF(AND(v01_WinterTrigger=1,D879=1,AB878/AE878&gt;=K879),1,0)</x:f>
        <x:v>0</x:v>
      </x:c>
      <x:c r="AD879" s="8" t="n">
        <x:f>H879*IF(AND(OR(AB878/AE878&gt;=v01_FissionTrigger*N879,AC879=1),AB878/AE878*v01_DaughterShare&gt;=v01_MinDaughter),MAX(1,ROUND(AE878*v01_FissionRate,0)),0)</x:f>
        <x:v>0</x:v>
      </x:c>
      <x:c r="AE879" s="8" t="n">
        <x:f>IF(H879=1,MAX(1,MIN(INDEX(v01_Smax,G879),AE878+AD879)),AE878)</x:f>
        <x:v>12</x:v>
      </x:c>
      <x:c r="AF879" s="8" t="n">
        <x:f>MAX(0,AE879-AE878)</x:f>
        <x:v>0</x:v>
      </x:c>
      <x:c r="AG879" s="9" t="str">
        <x:f>IF(AF879&gt;0,B879,"")</x:f>
      </x:c>
      <x:c r="AH879" s="9" t="n">
        <x:f>IF(F879&gt;=1,1,(1+v01_LowTiesShare*(AE879-1))/AE879)</x:f>
        <x:v>1</x:v>
      </x:c>
      <x:c r="AI879" s="32" t="n">
        <x:f>(Z879+v01_ElderCommons*INDEX(LM_Elder,G879)*AA879)*AH879</x:f>
        <x:v>962.2881788590344</x:v>
      </x:c>
      <x:c r="AJ879" s="32" t="n">
        <x:f>H879*v01_CommonsCoef*AI879^v01_CommonsExp*INDEX(LM_Commons,G879)</x:f>
        <x:v>226.6487424306357</x:v>
      </x:c>
      <x:c r="AK879" s="32" t="n">
        <x:f>H879*v01_RoleScale*Arch_Roles*(AE879*(INDEX(v01_ElderRolePerSett,G879)*v01_OutElder*INDEX(LM_Elder,G879)+INDEX(v01_ShamanPerSett,G879)*v01_OutShaman)+Z879*(INDEX(v01_PriestShare,G879)*v01_OutPriest+INDEX(v01_ScribeShare,G879)*v01_OutScribe*INDEX(LM_Scribe,G879)+INDEX(v01_ScholarShare,G879)*v01_OutScholar*INDEX(LM_Scholar,G879)+INDEX(v01_ResearcherShare,G879)*v01_OutResearcher*INDEX(LM_Researcher,G879)))</x:f>
        <x:v>39.32453234901906</x:v>
      </x:c>
      <x:c r="AL879" s="32" t="n">
        <x:f>H879*v01_RoleScale*Arch_Roles*AE879*INDEX(v01_MonasteryPerSett,G879)*v01_OutMonastery*INDEX(LM_Monastery,G879)</x:f>
        <x:v>0</x:v>
      </x:c>
      <x:c r="AM879" s="32" t="n">
        <x:f>(AJ879+AK879+AL879)/4*INDEX(LM_All,G879)*INDEX(v01_Boon,G879)*Arch_Insight</x:f>
        <x:v>71.60603152768977</x:v>
      </x:c>
      <x:c r="AN879" s="32" t="n">
        <x:f>H879*(v01_KHPerAdult*Z879+v01_KHOfCommons*AJ879/4*INDEX(LM_All,G879))*v01_KHUsable*Arch_KH</x:f>
        <x:v>16.622661745095307</x:v>
      </x:c>
      <x:c r="AO879" s="32" t="n">
        <x:f>MIN(AP878+AN879,AM879*v01_KHMaxRatio)</x:f>
        <x:v>16.622661745095307</x:v>
      </x:c>
      <x:c r="AP879" s="32" t="n">
        <x:f>AP878+AN879-AO879</x:f>
        <x:v>0</x:v>
      </x:c>
      <x:c r="AQ879" s="32" t="n">
        <x:f>AM879+AO879</x:f>
        <x:v>88.22869327278508</x:v>
      </x:c>
      <x:c r="AR879" s="10" t="n">
        <x:f>IF(H879=1,INDEX(v01_Req,G879),0)</x:f>
        <x:v>9805.661999999998</x:v>
      </x:c>
      <x:c r="AS879" s="32" t="n">
        <x:f>IF(H879=1,IF(E879=1,AS878-AR878,AS878)+AQ879,0)</x:f>
        <x:v>9321.968967028017</x:v>
      </x:c>
      <x:c r="AT879" s="11" t="n">
        <x:f>IF(AR879&gt;0,MIN(1,AS879/AR879),1)</x:f>
        <x:v>0.9506720675287419</x:v>
      </x:c>
      <x:c r="AU879" s="10" t="n">
        <x:f>AB879/INDEX(v01_RepScale,G879)</x:f>
        <x:v>221.54029410901134</x:v>
      </x:c>
      <x:c r="AV879" s="32" t="n">
        <x:f>AM879*60/v01_SeasonSeconds</x:f>
        <x:v>286.42412611075906</x:v>
      </x:c>
    </x:row>
    <x:row r="880">
      <x:c r="A880" s="8" t="n">
        <x:f>A879+1</x:f>
        <x:v>877</x:v>
      </x:c>
      <x:c r="B880" s="9" t="n">
        <x:f>A880*v01_SeasonSeconds/60</x:f>
        <x:v>219.25</x:v>
      </x:c>
      <x:c r="C880" s="9" t="n">
        <x:f>A880/4</x:f>
        <x:v>219.25</x:v>
      </x:c>
      <x:c r="D880" s="8" t="n">
        <x:f>IF(MOD(A880,4)=0,1,0)</x:f>
        <x:v>0</x:v>
      </x:c>
      <x:c r="E880" s="8" t="n">
        <x:f>IF(AND(F879&lt;=9,AS879&gt;=AR879),1,0)</x:f>
        <x:v>0</x:v>
      </x:c>
      <x:c r="F880" s="8" t="n">
        <x:f>MIN(10,F879+E880)</x:f>
        <x:v>3</x:v>
      </x:c>
      <x:c r="G880" s="8" t="n">
        <x:f>MIN(F880,9)+1</x:f>
        <x:v>4</x:v>
      </x:c>
      <x:c r="H880" s="8" t="n">
        <x:f>IF(F880&lt;=9,1,0)</x:f>
        <x:v>1</x:v>
      </x:c>
      <x:c r="I880" s="9" t="n">
        <x:f>MIN(10,F879+IF(AR879&gt;0,MIN(1,AS879/AR879),1))</x:f>
        <x:v>3.9506720675287417</x:v>
      </x:c>
      <x:c r="J880" s="32" t="n">
        <x:f>INDEX(v01_FoodCap,G880)*Arch_FoodCap*EXP(v01_CapsByProject*SUMPRODUCT((Cap_Point&lt;=I880)*(Cap_Kind="Food")*Cap_Ln))</x:f>
        <x:v>120</x:v>
      </x:c>
      <x:c r="K880" s="32" t="n">
        <x:f>J880*MIN(1,v01_LeanBase*EXP(v01_CapsByProject*SUMPRODUCT((Cap_Point&lt;=I880)*(Cap_Kind="Lean")*Cap_Ln)))</x:f>
        <x:v>120</x:v>
      </x:c>
      <x:c r="L880" s="10" t="n">
        <x:f>INDEX(v01_HousingCap,G880)*EXP(v01_CapsByProject*SUMPRODUCT((Cap_Point&lt;=I880)*(Cap_Kind="Housing")*Cap_Ln))</x:f>
        <x:v>200</x:v>
      </x:c>
      <x:c r="M880" s="10" t="n">
        <x:f>INDEX(v01_GroupCap,G880)*v01_CohesionFactor*EXP(v01_CapsByProject*SUMPRODUCT((Cap_Point&lt;=I880)*(Cap_Kind="Group")*Cap_Ln))</x:f>
        <x:v>5000</x:v>
      </x:c>
      <x:c r="N880" s="32" t="n">
        <x:f>MIN(J880,L880,M880)</x:f>
        <x:v>120</x:v>
      </x:c>
      <x:c r="O880" s="10" t="n">
        <x:f>AE879*N880</x:f>
        <x:v>1440</x:v>
      </x:c>
      <x:c r="P880" s="9" t="n">
        <x:f>MIN(1,(AB879/(AE879*IF(v01_GroupInCrowding=1,N880,MIN(J880,L880))))^v01_CrowdingExp)</x:f>
        <x:v>0.20718649384002216</x:v>
      </x:c>
      <x:c r="Q880" s="9" t="n">
        <x:f>IF(D880=1,INDEX(v01_WinterMult,G880),1)</x:f>
        <x:v>1</x:v>
      </x:c>
      <x:c r="R880" s="9" t="n">
        <x:f>H880*Z879*v01_WomenShare*v01_BaseFertility*INDEX(v01_FertMult,G880)*Arch_Fertility*(1-P880)</x:f>
        <x:v>14.684804538679245</x:v>
      </x:c>
      <x:c r="S880" s="9" t="n">
        <x:f>H880*Y879*INDEX(v01_MortChild,G880)/4*Q880</x:f>
        <x:v>3.5273746183552954</x:v>
      </x:c>
      <x:c r="T880" s="9" t="n">
        <x:f>H880*Z879*INDEX(v01_MortAdult,G880)*Arch_AdultMort/4*Q880</x:f>
        <x:v>1.3060662799717742</x:v>
      </x:c>
      <x:c r="U880" s="9" t="n">
        <x:f>H880*AA879*INDEX(v01_MortElder,G880)/4*Q880</x:f>
        <x:v>2.639839508269305</x:v>
      </x:c>
      <x:c r="V880" s="9" t="n">
        <x:f>H880*MAX(0,AB879-O880)*v01_OvercapLoss</x:f>
        <x:v>0</x:v>
      </x:c>
      <x:c r="W880" s="9" t="n">
        <x:f>H880*Y879/(v01_ChildYears*4)</x:f>
        <x:v>8.398510996084037</x:v>
      </x:c>
      <x:c r="X880" s="9" t="n">
        <x:f>H880*Z879/(v01_AdultYears*4)</x:f>
        <x:v>3.8301063928791033</x:v>
      </x:c>
      <x:c r="Y880" s="32" t="n">
        <x:f>Y879+R880-S880-W880-Y879*V880/AB879</x:f>
        <x:v>473.075534704946</x:v>
      </x:c>
      <x:c r="Z880" s="32" t="n">
        <x:f>Z879+W880-X880-T880-Z879*V880/AB879</x:f>
        <x:v>478.195531040242</x:v>
      </x:c>
      <x:c r="AA880" s="32" t="n">
        <x:f>AA879+X880-U880-AA879*V880/AB879</x:f>
        <x:v>163.64192893195164</x:v>
      </x:c>
      <x:c r="AB880" s="10" t="n">
        <x:f>Y880+Z880+AA880</x:f>
        <x:v>1114.9129946771397</x:v>
      </x:c>
      <x:c r="AC880" s="8" t="n">
        <x:f>IF(AND(v01_WinterTrigger=1,D880=1,AB879/AE879&gt;=K880),1,0)</x:f>
        <x:v>0</x:v>
      </x:c>
      <x:c r="AD880" s="8" t="n">
        <x:f>H880*IF(AND(OR(AB879/AE879&gt;=v01_FissionTrigger*N880,AC880=1),AB879/AE879*v01_DaughterShare&gt;=v01_MinDaughter),MAX(1,ROUND(AE879*v01_FissionRate,0)),0)</x:f>
        <x:v>0</x:v>
      </x:c>
      <x:c r="AE880" s="8" t="n">
        <x:f>IF(H880=1,MAX(1,MIN(INDEX(v01_Smax,G880),AE879+AD880)),AE879)</x:f>
        <x:v>12</x:v>
      </x:c>
      <x:c r="AF880" s="8" t="n">
        <x:f>MAX(0,AE880-AE879)</x:f>
        <x:v>0</x:v>
      </x:c>
      <x:c r="AG880" s="9" t="str">
        <x:f>IF(AF880&gt;0,B880,"")</x:f>
      </x:c>
      <x:c r="AH880" s="9" t="n">
        <x:f>IF(F880&gt;=1,1,(1+v01_LowTiesShare*(AE880-1))/AE880)</x:f>
        <x:v>1</x:v>
      </x:c>
      <x:c r="AI880" s="32" t="n">
        <x:f>(Z880+v01_ElderCommons*INDEX(LM_Elder,G880)*AA880)*AH880</x:f>
        <x:v>969.121317836097</x:v>
      </x:c>
      <x:c r="AJ880" s="32" t="n">
        <x:f>H880*v01_CommonsCoef*AI880^v01_CommonsExp*INDEX(LM_Commons,G880)</x:f>
        <x:v>228.01601977078252</x:v>
      </x:c>
      <x:c r="AK880" s="32" t="n">
        <x:f>H880*v01_RoleScale*Arch_Roles*(AE880*(INDEX(v01_ElderRolePerSett,G880)*v01_OutElder*INDEX(LM_Elder,G880)+INDEX(v01_ShamanPerSett,G880)*v01_OutShaman)+Z880*(INDEX(v01_PriestShare,G880)*v01_OutPriest+INDEX(v01_ScribeShare,G880)*v01_OutScribe*INDEX(LM_Scribe,G880)+INDEX(v01_ScholarShare,G880)*v01_OutScholar*INDEX(LM_Scholar,G880)+INDEX(v01_ResearcherShare,G880)*v01_OutResearcher*INDEX(LM_Researcher,G880)))</x:f>
        <x:v>39.3473687172817</x:v>
      </x:c>
      <x:c r="AL880" s="32" t="n">
        <x:f>H880*v01_RoleScale*Arch_Roles*AE880*INDEX(v01_MonasteryPerSett,G880)*v01_OutMonastery*INDEX(LM_Monastery,G880)</x:f>
        <x:v>0</x:v>
      </x:c>
      <x:c r="AM880" s="32" t="n">
        <x:f>(AJ880+AK880+AL880)/4*INDEX(LM_All,G880)*INDEX(v01_Boon,G880)*Arch_Insight</x:f>
        <x:v>71.9802816327573</x:v>
      </x:c>
      <x:c r="AN880" s="32" t="n">
        <x:f>H880*(v01_KHPerAdult*Z880+v01_KHOfCommons*AJ880/4*INDEX(LM_All,G880))*v01_KHUsable*Arch_KH</x:f>
        <x:v>16.73684358640847</x:v>
      </x:c>
      <x:c r="AO880" s="32" t="n">
        <x:f>MIN(AP879+AN880,AM880*v01_KHMaxRatio)</x:f>
        <x:v>16.73684358640847</x:v>
      </x:c>
      <x:c r="AP880" s="32" t="n">
        <x:f>AP879+AN880-AO880</x:f>
        <x:v>0</x:v>
      </x:c>
      <x:c r="AQ880" s="32" t="n">
        <x:f>AM880+AO880</x:f>
        <x:v>88.71712521916577</x:v>
      </x:c>
      <x:c r="AR880" s="10" t="n">
        <x:f>IF(H880=1,INDEX(v01_Req,G880),0)</x:f>
        <x:v>9805.661999999998</x:v>
      </x:c>
      <x:c r="AS880" s="32" t="n">
        <x:f>IF(H880=1,IF(E880=1,AS879-AR879,AS879)+AQ880,0)</x:f>
        <x:v>9410.686092247182</x:v>
      </x:c>
      <x:c r="AT880" s="11" t="n">
        <x:f>IF(AR880&gt;0,MIN(1,AS880/AR880),1)</x:f>
        <x:v>0.9597196081454963</x:v>
      </x:c>
      <x:c r="AU880" s="10" t="n">
        <x:f>AB880/INDEX(v01_RepScale,G880)</x:f>
        <x:v>222.98259893542794</x:v>
      </x:c>
      <x:c r="AV880" s="32" t="n">
        <x:f>AM880*60/v01_SeasonSeconds</x:f>
        <x:v>287.9211265310292</x:v>
      </x:c>
    </x:row>
    <x:row r="881">
      <x:c r="A881" s="8" t="n">
        <x:f>A880+1</x:f>
        <x:v>878</x:v>
      </x:c>
      <x:c r="B881" s="9" t="n">
        <x:f>A881*v01_SeasonSeconds/60</x:f>
        <x:v>219.5</x:v>
      </x:c>
      <x:c r="C881" s="9" t="n">
        <x:f>A881/4</x:f>
        <x:v>219.5</x:v>
      </x:c>
      <x:c r="D881" s="8" t="n">
        <x:f>IF(MOD(A881,4)=0,1,0)</x:f>
        <x:v>0</x:v>
      </x:c>
      <x:c r="E881" s="8" t="n">
        <x:f>IF(AND(F880&lt;=9,AS880&gt;=AR880),1,0)</x:f>
        <x:v>0</x:v>
      </x:c>
      <x:c r="F881" s="8" t="n">
        <x:f>MIN(10,F880+E881)</x:f>
        <x:v>3</x:v>
      </x:c>
      <x:c r="G881" s="8" t="n">
        <x:f>MIN(F881,9)+1</x:f>
        <x:v>4</x:v>
      </x:c>
      <x:c r="H881" s="8" t="n">
        <x:f>IF(F881&lt;=9,1,0)</x:f>
        <x:v>1</x:v>
      </x:c>
      <x:c r="I881" s="9" t="n">
        <x:f>MIN(10,F880+IF(AR880&gt;0,MIN(1,AS880/AR880),1))</x:f>
        <x:v>3.9597196081454964</x:v>
      </x:c>
      <x:c r="J881" s="32" t="n">
        <x:f>INDEX(v01_FoodCap,G881)*Arch_FoodCap*EXP(v01_CapsByProject*SUMPRODUCT((Cap_Point&lt;=I881)*(Cap_Kind="Food")*Cap_Ln))</x:f>
        <x:v>120</x:v>
      </x:c>
      <x:c r="K881" s="32" t="n">
        <x:f>J881*MIN(1,v01_LeanBase*EXP(v01_CapsByProject*SUMPRODUCT((Cap_Point&lt;=I881)*(Cap_Kind="Lean")*Cap_Ln)))</x:f>
        <x:v>120</x:v>
      </x:c>
      <x:c r="L881" s="10" t="n">
        <x:f>INDEX(v01_HousingCap,G881)*EXP(v01_CapsByProject*SUMPRODUCT((Cap_Point&lt;=I881)*(Cap_Kind="Housing")*Cap_Ln))</x:f>
        <x:v>200</x:v>
      </x:c>
      <x:c r="M881" s="10" t="n">
        <x:f>INDEX(v01_GroupCap,G881)*v01_CohesionFactor*EXP(v01_CapsByProject*SUMPRODUCT((Cap_Point&lt;=I881)*(Cap_Kind="Group")*Cap_Ln))</x:f>
        <x:v>5000</x:v>
      </x:c>
      <x:c r="N881" s="32" t="n">
        <x:f>MIN(J881,L881,M881)</x:f>
        <x:v>120</x:v>
      </x:c>
      <x:c r="O881" s="10" t="n">
        <x:f>AE880*N881</x:f>
        <x:v>1440</x:v>
      </x:c>
      <x:c r="P881" s="9" t="n">
        <x:f>MIN(1,(AB880/(AE880*IF(v01_GroupInCrowding=1,N881,MIN(J881,L881))))^v01_CrowdingExp)</x:f>
        <x:v>0.21541250516419758</x:v>
      </x:c>
      <x:c r="Q881" s="9" t="n">
        <x:f>IF(D881=1,INDEX(v01_WinterMult,G881),1)</x:f>
        <x:v>1</x:v>
      </x:c>
      <x:c r="R881" s="9" t="n">
        <x:f>H881*Z880*v01_WomenShare*v01_BaseFertility*INDEX(v01_FertMult,G881)*Arch_Fertility*(1-P881)</x:f>
        <x:v>14.632263115881049</x:v>
      </x:c>
      <x:c r="S881" s="9" t="n">
        <x:f>H881*Y880*INDEX(v01_MortChild,G881)/4*Q881</x:f>
        <x:v>3.5480665102870947</x:v>
      </x:c>
      <x:c r="T881" s="9" t="n">
        <x:f>H881*Z880*INDEX(v01_MortAdult,G881)*Arch_AdultMort/4*Q881</x:f>
        <x:v>1.3150377103606654</x:v>
      </x:c>
      <x:c r="U881" s="9" t="n">
        <x:f>H881*AA880*INDEX(v01_MortElder,G881)/4*Q881</x:f>
        <x:v>2.6591813451442143</x:v>
      </x:c>
      <x:c r="V881" s="9" t="n">
        <x:f>H881*MAX(0,AB880-O881)*v01_OvercapLoss</x:f>
        <x:v>0</x:v>
      </x:c>
      <x:c r="W881" s="9" t="n">
        <x:f>H881*Y880/(v01_ChildYears*4)</x:f>
        <x:v>8.447777405445464</x:v>
      </x:c>
      <x:c r="X881" s="9" t="n">
        <x:f>H881*Z880/(v01_AdultYears*4)</x:f>
        <x:v>3.8564155729051772</x:v>
      </x:c>
      <x:c r="Y881" s="32" t="n">
        <x:f>Y880+R881-S881-W881-Y880*V881/AB880</x:f>
        <x:v>475.71195390509456</x:v>
      </x:c>
      <x:c r="Z881" s="32" t="n">
        <x:f>Z880+W881-X881-T881-Z880*V881/AB880</x:f>
        <x:v>481.4718551624216</x:v>
      </x:c>
      <x:c r="AA881" s="32" t="n">
        <x:f>AA880+X881-U881-AA880*V881/AB880</x:f>
        <x:v>164.8391631597126</x:v>
      </x:c>
      <x:c r="AB881" s="10" t="n">
        <x:f>Y881+Z881+AA881</x:f>
        <x:v>1122.0229722272288</x:v>
      </x:c>
      <x:c r="AC881" s="8" t="n">
        <x:f>IF(AND(v01_WinterTrigger=1,D881=1,AB880/AE880&gt;=K881),1,0)</x:f>
        <x:v>0</x:v>
      </x:c>
      <x:c r="AD881" s="8" t="n">
        <x:f>H881*IF(AND(OR(AB880/AE880&gt;=v01_FissionTrigger*N881,AC881=1),AB880/AE880*v01_DaughterShare&gt;=v01_MinDaughter),MAX(1,ROUND(AE880*v01_FissionRate,0)),0)</x:f>
        <x:v>0</x:v>
      </x:c>
      <x:c r="AE881" s="8" t="n">
        <x:f>IF(H881=1,MAX(1,MIN(INDEX(v01_Smax,G881),AE880+AD881)),AE880)</x:f>
        <x:v>12</x:v>
      </x:c>
      <x:c r="AF881" s="8" t="n">
        <x:f>MAX(0,AE881-AE880)</x:f>
        <x:v>0</x:v>
      </x:c>
      <x:c r="AG881" s="9" t="str">
        <x:f>IF(AF881&gt;0,B881,"")</x:f>
      </x:c>
      <x:c r="AH881" s="9" t="n">
        <x:f>IF(F881&gt;=1,1,(1+v01_LowTiesShare*(AE881-1))/AE881)</x:f>
        <x:v>1</x:v>
      </x:c>
      <x:c r="AI881" s="32" t="n">
        <x:f>(Z881+v01_ElderCommons*INDEX(LM_Elder,G881)*AA881)*AH881</x:f>
        <x:v>975.9893446415595</x:v>
      </x:c>
      <x:c r="AJ881" s="32" t="n">
        <x:f>H881*v01_CommonsCoef*AI881^v01_CommonsExp*INDEX(LM_Commons,G881)</x:f>
        <x:v>229.388821604492</x:v>
      </x:c>
      <x:c r="AK881" s="32" t="n">
        <x:f>H881*v01_RoleScale*Arch_Roles*(AE881*(INDEX(v01_ElderRolePerSett,G881)*v01_OutElder*INDEX(LM_Elder,G881)+INDEX(v01_ShamanPerSett,G881)*v01_OutShaman)+Z881*(INDEX(v01_PriestShare,G881)*v01_OutPriest+INDEX(v01_ScribeShare,G881)*v01_OutScribe*INDEX(LM_Scribe,G881)+INDEX(v01_ScholarShare,G881)*v01_OutScholar*INDEX(LM_Scholar,G881)+INDEX(v01_ResearcherShare,G881)*v01_OutResearcher*INDEX(LM_Researcher,G881)))</x:f>
        <x:v>39.37030298613695</x:v>
      </x:c>
      <x:c r="AL881" s="32" t="n">
        <x:f>H881*v01_RoleScale*Arch_Roles*AE881*INDEX(v01_MonasteryPerSett,G881)*v01_OutMonastery*INDEX(LM_Monastery,G881)</x:f>
        <x:v>0</x:v>
      </x:c>
      <x:c r="AM881" s="32" t="n">
        <x:f>(AJ881+AK881+AL881)/4*INDEX(LM_All,G881)*INDEX(v01_Boon,G881)*Arch_Insight</x:f>
        <x:v>72.3560454137138</x:v>
      </x:c>
      <x:c r="AN881" s="32" t="n">
        <x:f>H881*(v01_KHPerAdult*Z881+v01_KHOfCommons*AJ881/4*INDEX(LM_All,G881))*v01_KHUsable*Arch_KH</x:f>
        <x:v>16.851514930684754</x:v>
      </x:c>
      <x:c r="AO881" s="32" t="n">
        <x:f>MIN(AP880+AN881,AM881*v01_KHMaxRatio)</x:f>
        <x:v>16.851514930684754</x:v>
      </x:c>
      <x:c r="AP881" s="32" t="n">
        <x:f>AP880+AN881-AO881</x:f>
        <x:v>0</x:v>
      </x:c>
      <x:c r="AQ881" s="32" t="n">
        <x:f>AM881+AO881</x:f>
        <x:v>89.20756034439856</x:v>
      </x:c>
      <x:c r="AR881" s="10" t="n">
        <x:f>IF(H881=1,INDEX(v01_Req,G881),0)</x:f>
        <x:v>9805.661999999998</x:v>
      </x:c>
      <x:c r="AS881" s="32" t="n">
        <x:f>IF(H881=1,IF(E881=1,AS880-AR880,AS880)+AQ881,0)</x:f>
        <x:v>9499.893652591581</x:v>
      </x:c>
      <x:c r="AT881" s="11" t="n">
        <x:f>IF(AR881&gt;0,MIN(1,AS881/AR881),1)</x:f>
        <x:v>0.9688171642660723</x:v>
      </x:c>
      <x:c r="AU881" s="10" t="n">
        <x:f>AB881/INDEX(v01_RepScale,G881)</x:f>
        <x:v>224.40459444544575</x:v>
      </x:c>
      <x:c r="AV881" s="32" t="n">
        <x:f>AM881*60/v01_SeasonSeconds</x:f>
        <x:v>289.4241816548552</x:v>
      </x:c>
    </x:row>
    <x:row r="882">
      <x:c r="A882" s="8" t="n">
        <x:f>A881+1</x:f>
        <x:v>879</x:v>
      </x:c>
      <x:c r="B882" s="9" t="n">
        <x:f>A882*v01_SeasonSeconds/60</x:f>
        <x:v>219.75</x:v>
      </x:c>
      <x:c r="C882" s="9" t="n">
        <x:f>A882/4</x:f>
        <x:v>219.75</x:v>
      </x:c>
      <x:c r="D882" s="8" t="n">
        <x:f>IF(MOD(A882,4)=0,1,0)</x:f>
        <x:v>0</x:v>
      </x:c>
      <x:c r="E882" s="8" t="n">
        <x:f>IF(AND(F881&lt;=9,AS881&gt;=AR881),1,0)</x:f>
        <x:v>0</x:v>
      </x:c>
      <x:c r="F882" s="8" t="n">
        <x:f>MIN(10,F881+E882)</x:f>
        <x:v>3</x:v>
      </x:c>
      <x:c r="G882" s="8" t="n">
        <x:f>MIN(F882,9)+1</x:f>
        <x:v>4</x:v>
      </x:c>
      <x:c r="H882" s="8" t="n">
        <x:f>IF(F882&lt;=9,1,0)</x:f>
        <x:v>1</x:v>
      </x:c>
      <x:c r="I882" s="9" t="n">
        <x:f>MIN(10,F881+IF(AR881&gt;0,MIN(1,AS881/AR881),1))</x:f>
        <x:v>3.9688171642660723</x:v>
      </x:c>
      <x:c r="J882" s="32" t="n">
        <x:f>INDEX(v01_FoodCap,G882)*Arch_FoodCap*EXP(v01_CapsByProject*SUMPRODUCT((Cap_Point&lt;=I882)*(Cap_Kind="Food")*Cap_Ln))</x:f>
        <x:v>120</x:v>
      </x:c>
      <x:c r="K882" s="32" t="n">
        <x:f>J882*MIN(1,v01_LeanBase*EXP(v01_CapsByProject*SUMPRODUCT((Cap_Point&lt;=I882)*(Cap_Kind="Lean")*Cap_Ln)))</x:f>
        <x:v>120</x:v>
      </x:c>
      <x:c r="L882" s="10" t="n">
        <x:f>INDEX(v01_HousingCap,G882)*EXP(v01_CapsByProject*SUMPRODUCT((Cap_Point&lt;=I882)*(Cap_Kind="Housing")*Cap_Ln))</x:f>
        <x:v>200</x:v>
      </x:c>
      <x:c r="M882" s="10" t="n">
        <x:f>INDEX(v01_GroupCap,G882)*v01_CohesionFactor*EXP(v01_CapsByProject*SUMPRODUCT((Cap_Point&lt;=I882)*(Cap_Kind="Group")*Cap_Ln))</x:f>
        <x:v>5000</x:v>
      </x:c>
      <x:c r="N882" s="32" t="n">
        <x:f>MIN(J882,L882,M882)</x:f>
        <x:v>120</x:v>
      </x:c>
      <x:c r="O882" s="10" t="n">
        <x:f>AE881*N882</x:f>
        <x:v>1440</x:v>
      </x:c>
      <x:c r="P882" s="9" t="n">
        <x:f>MIN(1,(AB881/(AE881*IF(v01_GroupInCrowding=1,N882,MIN(J882,L882))))^v01_CrowdingExp)</x:f>
        <x:v>0.22378735320834958</x:v>
      </x:c>
      <x:c r="Q882" s="9" t="n">
        <x:f>IF(D882=1,INDEX(v01_WinterMult,G882),1)</x:f>
        <x:v>1</x:v>
      </x:c>
      <x:c r="R882" s="9" t="n">
        <x:f>H882*Z881*v01_WomenShare*v01_BaseFertility*INDEX(v01_FertMult,G882)*Arch_Fertility*(1-P882)</x:f>
        <x:v>14.575257179001065</x:v>
      </x:c>
      <x:c r="S882" s="9" t="n">
        <x:f>H882*Y881*INDEX(v01_MortChild,G882)/4*Q882</x:f>
        <x:v>3.567839654288209</x:v>
      </x:c>
      <x:c r="T882" s="9" t="n">
        <x:f>H882*Z881*INDEX(v01_MortAdult,G882)*Arch_AdultMort/4*Q882</x:f>
        <x:v>1.3240476016966594</x:v>
      </x:c>
      <x:c r="U882" s="9" t="n">
        <x:f>H882*AA881*INDEX(v01_MortElder,G882)/4*Q882</x:f>
        <x:v>2.67863640134533</x:v>
      </x:c>
      <x:c r="V882" s="9" t="n">
        <x:f>H882*MAX(0,AB881-O882)*v01_OvercapLoss</x:f>
        <x:v>0</x:v>
      </x:c>
      <x:c r="W882" s="9" t="n">
        <x:f>H882*Y881/(v01_ChildYears*4)</x:f>
        <x:v>8.494856319733831</x:v>
      </x:c>
      <x:c r="X882" s="9" t="n">
        <x:f>H882*Z881/(v01_AdultYears*4)</x:f>
        <x:v>3.882837541632432</x:v>
      </x:c>
      <x:c r="Y882" s="32" t="n">
        <x:f>Y881+R882-S882-W882-Y881*V882/AB881</x:f>
        <x:v>478.2245151100736</x:v>
      </x:c>
      <x:c r="Z882" s="32" t="n">
        <x:f>Z881+W882-X882-T882-Z881*V882/AB881</x:f>
        <x:v>484.7598263388264</x:v>
      </x:c>
      <x:c r="AA882" s="32" t="n">
        <x:f>AA881+X882-U882-AA881*V882/AB881</x:f>
        <x:v>166.0433642999997</x:v>
      </x:c>
      <x:c r="AB882" s="10" t="n">
        <x:f>Y882+Z882+AA882</x:f>
        <x:v>1129.0277057488997</x:v>
      </x:c>
      <x:c r="AC882" s="8" t="n">
        <x:f>IF(AND(v01_WinterTrigger=1,D882=1,AB881/AE881&gt;=K882),1,0)</x:f>
        <x:v>0</x:v>
      </x:c>
      <x:c r="AD882" s="8" t="n">
        <x:f>H882*IF(AND(OR(AB881/AE881&gt;=v01_FissionTrigger*N882,AC882=1),AB881/AE881*v01_DaughterShare&gt;=v01_MinDaughter),MAX(1,ROUND(AE881*v01_FissionRate,0)),0)</x:f>
        <x:v>0</x:v>
      </x:c>
      <x:c r="AE882" s="8" t="n">
        <x:f>IF(H882=1,MAX(1,MIN(INDEX(v01_Smax,G882),AE881+AD882)),AE881)</x:f>
        <x:v>12</x:v>
      </x:c>
      <x:c r="AF882" s="8" t="n">
        <x:f>MAX(0,AE882-AE881)</x:f>
        <x:v>0</x:v>
      </x:c>
      <x:c r="AG882" s="9" t="str">
        <x:f>IF(AF882&gt;0,B882,"")</x:f>
      </x:c>
      <x:c r="AH882" s="9" t="n">
        <x:f>IF(F882&gt;=1,1,(1+v01_LowTiesShare*(AE882-1))/AE882)</x:f>
        <x:v>1</x:v>
      </x:c>
      <x:c r="AI882" s="32" t="n">
        <x:f>(Z882+v01_ElderCommons*INDEX(LM_Elder,G882)*AA882)*AH882</x:f>
        <x:v>982.8899192388255</x:v>
      </x:c>
      <x:c r="AJ882" s="32" t="n">
        <x:f>H882*v01_CommonsCoef*AI882^v01_CommonsExp*INDEX(LM_Commons,G882)</x:f>
        <x:v>230.76667058841795</x:v>
      </x:c>
      <x:c r="AK882" s="32" t="n">
        <x:f>H882*v01_RoleScale*Arch_Roles*(AE882*(INDEX(v01_ElderRolePerSett,G882)*v01_OutElder*INDEX(LM_Elder,G882)+INDEX(v01_ShamanPerSett,G882)*v01_OutShaman)+Z882*(INDEX(v01_PriestShare,G882)*v01_OutPriest+INDEX(v01_ScribeShare,G882)*v01_OutScribe*INDEX(LM_Scribe,G882)+INDEX(v01_ScholarShare,G882)*v01_OutScholar*INDEX(LM_Scholar,G882)+INDEX(v01_ResearcherShare,G882)*v01_OutResearcher*INDEX(LM_Researcher,G882)))</x:f>
        <x:v>39.393318784371786</x:v>
      </x:c>
      <x:c r="AL882" s="32" t="n">
        <x:f>H882*v01_RoleScale*Arch_Roles*AE882*INDEX(v01_MonasteryPerSett,G882)*v01_OutMonastery*INDEX(LM_Monastery,G882)</x:f>
        <x:v>0</x:v>
      </x:c>
      <x:c r="AM882" s="32" t="n">
        <x:f>(AJ882+AK882+AL882)/4*INDEX(LM_All,G882)*INDEX(v01_Boon,G882)*Arch_Insight</x:f>
        <x:v>72.73318995141419</x:v>
      </x:c>
      <x:c r="AN882" s="32" t="n">
        <x:f>H882*(v01_KHPerAdult*Z882+v01_KHOfCommons*AJ882/4*INDEX(LM_All,G882))*v01_KHUsable*Arch_KH</x:f>
        <x:v>16.966593921858923</x:v>
      </x:c>
      <x:c r="AO882" s="32" t="n">
        <x:f>MIN(AP881+AN882,AM882*v01_KHMaxRatio)</x:f>
        <x:v>16.966593921858923</x:v>
      </x:c>
      <x:c r="AP882" s="32" t="n">
        <x:f>AP881+AN882-AO882</x:f>
        <x:v>0</x:v>
      </x:c>
      <x:c r="AQ882" s="32" t="n">
        <x:f>AM882+AO882</x:f>
        <x:v>89.6997838732731</x:v>
      </x:c>
      <x:c r="AR882" s="10" t="n">
        <x:f>IF(H882=1,INDEX(v01_Req,G882),0)</x:f>
        <x:v>9805.661999999998</x:v>
      </x:c>
      <x:c r="AS882" s="32" t="n">
        <x:f>IF(H882=1,IF(E882=1,AS881-AR881,AS881)+AQ882,0)</x:f>
        <x:v>9589.593436464855</x:v>
      </x:c>
      <x:c r="AT882" s="11" t="n">
        <x:f>IF(AR882&gt;0,MIN(1,AS882/AR882),1)</x:f>
        <x:v>0.9779649182752634</x:v>
      </x:c>
      <x:c r="AU882" s="10" t="n">
        <x:f>AB882/INDEX(v01_RepScale,G882)</x:f>
        <x:v>225.80554114977994</x:v>
      </x:c>
      <x:c r="AV882" s="32" t="n">
        <x:f>AM882*60/v01_SeasonSeconds</x:f>
        <x:v>290.93275980565676</x:v>
      </x:c>
    </x:row>
    <x:row r="883">
      <x:c r="A883" s="8" t="n">
        <x:f>A882+1</x:f>
        <x:v>880</x:v>
      </x:c>
      <x:c r="B883" s="9" t="n">
        <x:f>A883*v01_SeasonSeconds/60</x:f>
        <x:v>220</x:v>
      </x:c>
      <x:c r="C883" s="9" t="n">
        <x:f>A883/4</x:f>
        <x:v>220</x:v>
      </x:c>
      <x:c r="D883" s="8" t="n">
        <x:f>IF(MOD(A883,4)=0,1,0)</x:f>
        <x:v>1</x:v>
      </x:c>
      <x:c r="E883" s="8" t="n">
        <x:f>IF(AND(F882&lt;=9,AS882&gt;=AR882),1,0)</x:f>
        <x:v>0</x:v>
      </x:c>
      <x:c r="F883" s="8" t="n">
        <x:f>MIN(10,F882+E883)</x:f>
        <x:v>3</x:v>
      </x:c>
      <x:c r="G883" s="8" t="n">
        <x:f>MIN(F883,9)+1</x:f>
        <x:v>4</x:v>
      </x:c>
      <x:c r="H883" s="8" t="n">
        <x:f>IF(F883&lt;=9,1,0)</x:f>
        <x:v>1</x:v>
      </x:c>
      <x:c r="I883" s="9" t="n">
        <x:f>MIN(10,F882+IF(AR882&gt;0,MIN(1,AS882/AR882),1))</x:f>
        <x:v>3.9779649182752634</x:v>
      </x:c>
      <x:c r="J883" s="32" t="n">
        <x:f>INDEX(v01_FoodCap,G883)*Arch_FoodCap*EXP(v01_CapsByProject*SUMPRODUCT((Cap_Point&lt;=I883)*(Cap_Kind="Food")*Cap_Ln))</x:f>
        <x:v>120</x:v>
      </x:c>
      <x:c r="K883" s="32" t="n">
        <x:f>J883*MIN(1,v01_LeanBase*EXP(v01_CapsByProject*SUMPRODUCT((Cap_Point&lt;=I883)*(Cap_Kind="Lean")*Cap_Ln)))</x:f>
        <x:v>120</x:v>
      </x:c>
      <x:c r="L883" s="10" t="n">
        <x:f>INDEX(v01_HousingCap,G883)*EXP(v01_CapsByProject*SUMPRODUCT((Cap_Point&lt;=I883)*(Cap_Kind="Housing")*Cap_Ln))</x:f>
        <x:v>200</x:v>
      </x:c>
      <x:c r="M883" s="10" t="n">
        <x:f>INDEX(v01_GroupCap,G883)*v01_CohesionFactor*EXP(v01_CapsByProject*SUMPRODUCT((Cap_Point&lt;=I883)*(Cap_Kind="Group")*Cap_Ln))</x:f>
        <x:v>5000</x:v>
      </x:c>
      <x:c r="N883" s="32" t="n">
        <x:f>MIN(J883,L883,M883)</x:f>
        <x:v>120</x:v>
      </x:c>
      <x:c r="O883" s="10" t="n">
        <x:f>AE882*N883</x:f>
        <x:v>1440</x:v>
      </x:c>
      <x:c r="P883" s="9" t="n">
        <x:f>MIN(1,(AB882/(AE882*IF(v01_GroupInCrowding=1,N883,MIN(J883,L883))))^v01_CrowdingExp)</x:f>
        <x:v>0.23230183688450554</x:v>
      </x:c>
      <x:c r="Q883" s="9" t="n">
        <x:f>IF(D883=1,INDEX(v01_WinterMult,G883),1)</x:f>
        <x:v>1.15</x:v>
      </x:c>
      <x:c r="R883" s="9" t="n">
        <x:f>H883*Z882*v01_WomenShare*v01_BaseFertility*INDEX(v01_FertMult,G883)*Arch_Fertility*(1-P883)</x:f>
        <x:v>14.51381990106762</x:v>
      </x:c>
      <x:c r="S883" s="9" t="n">
        <x:f>H883*Y882*INDEX(v01_MortChild,G883)/4*Q883</x:f>
        <x:v>4.124686442824384</x:v>
      </x:c>
      <x:c r="T883" s="9" t="n">
        <x:f>H883*Z882*INDEX(v01_MortAdult,G883)*Arch_AdultMort/4*Q883</x:f>
        <x:v>1.5330529507965382</x:v>
      </x:c>
      <x:c r="U883" s="9" t="n">
        <x:f>H883*AA882*INDEX(v01_MortElder,G883)/4*Q883</x:f>
        <x:v>3.102935370356244</x:v>
      </x:c>
      <x:c r="V883" s="9" t="n">
        <x:f>H883*MAX(0,AB882-O883)*v01_OvercapLoss</x:f>
        <x:v>0</x:v>
      </x:c>
      <x:c r="W883" s="9" t="n">
        <x:f>H883*Y882/(v01_ChildYears*4)</x:f>
        <x:v>8.539723484108457</x:v>
      </x:c>
      <x:c r="X883" s="9" t="n">
        <x:f>H883*Z882/(v01_AdultYears*4)</x:f>
        <x:v>3.9093534382163417</x:v>
      </x:c>
      <x:c r="Y883" s="32" t="n">
        <x:f>Y882+R883-S883-W883-Y882*V883/AB882</x:f>
        <x:v>480.0739250842084</x:v>
      </x:c>
      <x:c r="Z883" s="32" t="n">
        <x:f>Z882+W883-X883-T883-Z882*V883/AB882</x:f>
        <x:v>487.8571434339219</x:v>
      </x:c>
      <x:c r="AA883" s="32" t="n">
        <x:f>AA882+X883-U883-AA882*V883/AB882</x:f>
        <x:v>166.84978236785977</x:v>
      </x:c>
      <x:c r="AB883" s="10" t="n">
        <x:f>Y883+Z883+AA883</x:f>
        <x:v>1134.78085088599</x:v>
      </x:c>
      <x:c r="AC883" s="8" t="n">
        <x:f>IF(AND(v01_WinterTrigger=1,D883=1,AB882/AE882&gt;=K883),1,0)</x:f>
        <x:v>0</x:v>
      </x:c>
      <x:c r="AD883" s="8" t="n">
        <x:f>H883*IF(AND(OR(AB882/AE882&gt;=v01_FissionTrigger*N883,AC883=1),AB882/AE882*v01_DaughterShare&gt;=v01_MinDaughter),MAX(1,ROUND(AE882*v01_FissionRate,0)),0)</x:f>
        <x:v>0</x:v>
      </x:c>
      <x:c r="AE883" s="8" t="n">
        <x:f>IF(H883=1,MAX(1,MIN(INDEX(v01_Smax,G883),AE882+AD883)),AE882)</x:f>
        <x:v>12</x:v>
      </x:c>
      <x:c r="AF883" s="8" t="n">
        <x:f>MAX(0,AE883-AE882)</x:f>
        <x:v>0</x:v>
      </x:c>
      <x:c r="AG883" s="9" t="str">
        <x:f>IF(AF883&gt;0,B883,"")</x:f>
      </x:c>
      <x:c r="AH883" s="9" t="n">
        <x:f>IF(F883&gt;=1,1,(1+v01_LowTiesShare*(AE883-1))/AE883)</x:f>
        <x:v>1</x:v>
      </x:c>
      <x:c r="AI883" s="32" t="n">
        <x:f>(Z883+v01_ElderCommons*INDEX(LM_Elder,G883)*AA883)*AH883</x:f>
        <x:v>988.4064905375012</x:v>
      </x:c>
      <x:c r="AJ883" s="32" t="n">
        <x:f>H883*v01_CommonsCoef*AI883^v01_CommonsExp*INDEX(LM_Commons,G883)</x:f>
        <x:v>231.86712968397714</x:v>
      </x:c>
      <x:c r="AK883" s="32" t="n">
        <x:f>H883*v01_RoleScale*Arch_Roles*(AE883*(INDEX(v01_ElderRolePerSett,G883)*v01_OutElder*INDEX(LM_Elder,G883)+INDEX(v01_ShamanPerSett,G883)*v01_OutShaman)+Z883*(INDEX(v01_PriestShare,G883)*v01_OutPriest+INDEX(v01_ScribeShare,G883)*v01_OutScribe*INDEX(LM_Scribe,G883)+INDEX(v01_ScholarShare,G883)*v01_OutScholar*INDEX(LM_Scholar,G883)+INDEX(v01_ResearcherShare,G883)*v01_OutResearcher*INDEX(LM_Researcher,G883)))</x:f>
        <x:v>39.41500000403745</x:v>
      </x:c>
      <x:c r="AL883" s="32" t="n">
        <x:f>H883*v01_RoleScale*Arch_Roles*AE883*INDEX(v01_MonasteryPerSett,G883)*v01_OutMonastery*INDEX(LM_Monastery,G883)</x:f>
        <x:v>0</x:v>
      </x:c>
      <x:c r="AM883" s="32" t="n">
        <x:f>(AJ883+AK883+AL883)/4*INDEX(LM_All,G883)*INDEX(v01_Boon,G883)*Arch_Insight</x:f>
        <x:v>73.03529554776425</x:v>
      </x:c>
      <x:c r="AN883" s="32" t="n">
        <x:f>H883*(v01_KHPerAdult*Z883+v01_KHOfCommons*AJ883/4*INDEX(LM_All,G883))*v01_KHUsable*Arch_KH</x:f>
        <x:v>17.075000020187268</x:v>
      </x:c>
      <x:c r="AO883" s="32" t="n">
        <x:f>MIN(AP882+AN883,AM883*v01_KHMaxRatio)</x:f>
        <x:v>17.075000020187268</x:v>
      </x:c>
      <x:c r="AP883" s="32" t="n">
        <x:f>AP882+AN883-AO883</x:f>
        <x:v>0</x:v>
      </x:c>
      <x:c r="AQ883" s="32" t="n">
        <x:f>AM883+AO883</x:f>
        <x:v>90.11029556795151</x:v>
      </x:c>
      <x:c r="AR883" s="10" t="n">
        <x:f>IF(H883=1,INDEX(v01_Req,G883),0)</x:f>
        <x:v>9805.661999999998</x:v>
      </x:c>
      <x:c r="AS883" s="32" t="n">
        <x:f>IF(H883=1,IF(E883=1,AS882-AR882,AS882)+AQ883,0)</x:f>
        <x:v>9679.703732032805</x:v>
      </x:c>
      <x:c r="AT883" s="11" t="n">
        <x:f>IF(AR883&gt;0,MIN(1,AS883/AR883),1)</x:f>
        <x:v>0.9871545370453119</x:v>
      </x:c>
      <x:c r="AU883" s="10" t="n">
        <x:f>AB883/INDEX(v01_RepScale,G883)</x:f>
        <x:v>226.956170177198</x:v>
      </x:c>
      <x:c r="AV883" s="32" t="n">
        <x:f>AM883*60/v01_SeasonSeconds</x:f>
        <x:v>292.141182191057</x:v>
      </x:c>
    </x:row>
    <x:row r="884">
      <x:c r="A884" s="8" t="n">
        <x:f>A883+1</x:f>
        <x:v>881</x:v>
      </x:c>
      <x:c r="B884" s="9" t="n">
        <x:f>A884*v01_SeasonSeconds/60</x:f>
        <x:v>220.25</x:v>
      </x:c>
      <x:c r="C884" s="9" t="n">
        <x:f>A884/4</x:f>
        <x:v>220.25</x:v>
      </x:c>
      <x:c r="D884" s="8" t="n">
        <x:f>IF(MOD(A884,4)=0,1,0)</x:f>
        <x:v>0</x:v>
      </x:c>
      <x:c r="E884" s="8" t="n">
        <x:f>IF(AND(F883&lt;=9,AS883&gt;=AR883),1,0)</x:f>
        <x:v>0</x:v>
      </x:c>
      <x:c r="F884" s="8" t="n">
        <x:f>MIN(10,F883+E884)</x:f>
        <x:v>3</x:v>
      </x:c>
      <x:c r="G884" s="8" t="n">
        <x:f>MIN(F884,9)+1</x:f>
        <x:v>4</x:v>
      </x:c>
      <x:c r="H884" s="8" t="n">
        <x:f>IF(F884&lt;=9,1,0)</x:f>
        <x:v>1</x:v>
      </x:c>
      <x:c r="I884" s="9" t="n">
        <x:f>MIN(10,F883+IF(AR883&gt;0,MIN(1,AS883/AR883),1))</x:f>
        <x:v>3.9871545370453116</x:v>
      </x:c>
      <x:c r="J884" s="32" t="n">
        <x:f>INDEX(v01_FoodCap,G884)*Arch_FoodCap*EXP(v01_CapsByProject*SUMPRODUCT((Cap_Point&lt;=I884)*(Cap_Kind="Food")*Cap_Ln))</x:f>
        <x:v>120</x:v>
      </x:c>
      <x:c r="K884" s="32" t="n">
        <x:f>J884*MIN(1,v01_LeanBase*EXP(v01_CapsByProject*SUMPRODUCT((Cap_Point&lt;=I884)*(Cap_Kind="Lean")*Cap_Ln)))</x:f>
        <x:v>120</x:v>
      </x:c>
      <x:c r="L884" s="10" t="n">
        <x:f>INDEX(v01_HousingCap,G884)*EXP(v01_CapsByProject*SUMPRODUCT((Cap_Point&lt;=I884)*(Cap_Kind="Housing")*Cap_Ln))</x:f>
        <x:v>200</x:v>
      </x:c>
      <x:c r="M884" s="10" t="n">
        <x:f>INDEX(v01_GroupCap,G884)*v01_CohesionFactor*EXP(v01_CapsByProject*SUMPRODUCT((Cap_Point&lt;=I884)*(Cap_Kind="Group")*Cap_Ln))</x:f>
        <x:v>5000</x:v>
      </x:c>
      <x:c r="N884" s="32" t="n">
        <x:f>MIN(J884,L884,M884)</x:f>
        <x:v>120</x:v>
      </x:c>
      <x:c r="O884" s="10" t="n">
        <x:f>AE883*N884</x:f>
        <x:v>1440</x:v>
      </x:c>
      <x:c r="P884" s="9" t="n">
        <x:f>MIN(1,(AB883/(AE883*IF(v01_GroupInCrowding=1,N884,MIN(J884,L884))))^v01_CrowdingExp)</x:f>
        <x:v>0.23949532424582248</x:v>
      </x:c>
      <x:c r="Q884" s="9" t="n">
        <x:f>IF(D884=1,INDEX(v01_WinterMult,G884),1)</x:f>
        <x:v>1</x:v>
      </x:c>
      <x:c r="R884" s="9" t="n">
        <x:f>H884*Z883*v01_WomenShare*v01_BaseFertility*INDEX(v01_FertMult,G884)*Arch_Fertility*(1-P884)</x:f>
        <x:v>14.46968790858139</x:v>
      </x:c>
      <x:c r="S884" s="9" t="n">
        <x:f>H884*Y883*INDEX(v01_MortChild,G884)/4*Q884</x:f>
        <x:v>3.600554438131563</x:v>
      </x:c>
      <x:c r="T884" s="9" t="n">
        <x:f>H884*Z883*INDEX(v01_MortAdult,G884)*Arch_AdultMort/4*Q884</x:f>
        <x:v>1.341607144443285</x:v>
      </x:c>
      <x:c r="U884" s="9" t="n">
        <x:f>H884*AA883*INDEX(v01_MortElder,G884)/4*Q884</x:f>
        <x:v>2.7113089634777214</x:v>
      </x:c>
      <x:c r="V884" s="9" t="n">
        <x:f>H884*MAX(0,AB883-O884)*v01_OvercapLoss</x:f>
        <x:v>0</x:v>
      </x:c>
      <x:c r="W884" s="9" t="n">
        <x:f>H884*Y883/(v01_ChildYears*4)</x:f>
        <x:v>8.572748662218007</x:v>
      </x:c>
      <x:c r="X884" s="9" t="n">
        <x:f>H884*Z883/(v01_AdultYears*4)</x:f>
        <x:v>3.9343318018864673</x:v>
      </x:c>
      <x:c r="Y884" s="32" t="n">
        <x:f>Y883+R884-S884-W884-Y883*V884/AB883</x:f>
        <x:v>482.37030989244016</x:v>
      </x:c>
      <x:c r="Z884" s="32" t="n">
        <x:f>Z883+W884-X884-T884-Z883*V884/AB883</x:f>
        <x:v>491.1539531498102</x:v>
      </x:c>
      <x:c r="AA884" s="32" t="n">
        <x:f>AA883+X884-U884-AA883*V884/AB883</x:f>
        <x:v>168.0728052062685</x:v>
      </x:c>
      <x:c r="AB884" s="10" t="n">
        <x:f>Y884+Z884+AA884</x:f>
        <x:v>1141.5970682485188</x:v>
      </x:c>
      <x:c r="AC884" s="8" t="n">
        <x:f>IF(AND(v01_WinterTrigger=1,D884=1,AB883/AE883&gt;=K884),1,0)</x:f>
        <x:v>0</x:v>
      </x:c>
      <x:c r="AD884" s="8" t="n">
        <x:f>H884*IF(AND(OR(AB883/AE883&gt;=v01_FissionTrigger*N884,AC884=1),AB883/AE883*v01_DaughterShare&gt;=v01_MinDaughter),MAX(1,ROUND(AE883*v01_FissionRate,0)),0)</x:f>
        <x:v>0</x:v>
      </x:c>
      <x:c r="AE884" s="8" t="n">
        <x:f>IF(H884=1,MAX(1,MIN(INDEX(v01_Smax,G884),AE883+AD884)),AE883)</x:f>
        <x:v>12</x:v>
      </x:c>
      <x:c r="AF884" s="8" t="n">
        <x:f>MAX(0,AE884-AE883)</x:f>
        <x:v>0</x:v>
      </x:c>
      <x:c r="AG884" s="9" t="str">
        <x:f>IF(AF884&gt;0,B884,"")</x:f>
      </x:c>
      <x:c r="AH884" s="9" t="n">
        <x:f>IF(F884&gt;=1,1,(1+v01_LowTiesShare*(AE884-1))/AE884)</x:f>
        <x:v>1</x:v>
      </x:c>
      <x:c r="AI884" s="32" t="n">
        <x:f>(Z884+v01_ElderCommons*INDEX(LM_Elder,G884)*AA884)*AH884</x:f>
        <x:v>995.3723687686156</x:v>
      </x:c>
      <x:c r="AJ884" s="32" t="n">
        <x:f>H884*v01_CommonsCoef*AI884^v01_CommonsExp*INDEX(LM_Commons,G884)</x:f>
        <x:v>233.25538518891034</x:v>
      </x:c>
      <x:c r="AK884" s="32" t="n">
        <x:f>H884*v01_RoleScale*Arch_Roles*(AE884*(INDEX(v01_ElderRolePerSett,G884)*v01_OutElder*INDEX(LM_Elder,G884)+INDEX(v01_ShamanPerSett,G884)*v01_OutShaman)+Z884*(INDEX(v01_PriestShare,G884)*v01_OutPriest+INDEX(v01_ScribeShare,G884)*v01_OutScribe*INDEX(LM_Scribe,G884)+INDEX(v01_ScholarShare,G884)*v01_OutScholar*INDEX(LM_Scholar,G884)+INDEX(v01_ResearcherShare,G884)*v01_OutResearcher*INDEX(LM_Researcher,G884)))</x:f>
        <x:v>39.43807767204867</x:v>
      </x:c>
      <x:c r="AL884" s="32" t="n">
        <x:f>H884*v01_RoleScale*Arch_Roles*AE884*INDEX(v01_MonasteryPerSett,G884)*v01_OutMonastery*INDEX(LM_Monastery,G884)</x:f>
        <x:v>0</x:v>
      </x:c>
      <x:c r="AM884" s="32" t="n">
        <x:f>(AJ884+AK884+AL884)/4*INDEX(LM_All,G884)*INDEX(v01_Boon,G884)*Arch_Insight</x:f>
        <x:v>73.41525841343808</x:v>
      </x:c>
      <x:c r="AN884" s="32" t="n">
        <x:f>H884*(v01_KHPerAdult*Z884+v01_KHOfCommons*AJ884/4*INDEX(LM_All,G884))*v01_KHUsable*Arch_KH</x:f>
        <x:v>17.190388360243357</x:v>
      </x:c>
      <x:c r="AO884" s="32" t="n">
        <x:f>MIN(AP883+AN884,AM884*v01_KHMaxRatio)</x:f>
        <x:v>17.190388360243357</x:v>
      </x:c>
      <x:c r="AP884" s="32" t="n">
        <x:f>AP883+AN884-AO884</x:f>
        <x:v>0</x:v>
      </x:c>
      <x:c r="AQ884" s="32" t="n">
        <x:f>AM884+AO884</x:f>
        <x:v>90.60564677368144</x:v>
      </x:c>
      <x:c r="AR884" s="10" t="n">
        <x:f>IF(H884=1,INDEX(v01_Req,G884),0)</x:f>
        <x:v>9805.661999999998</x:v>
      </x:c>
      <x:c r="AS884" s="32" t="n">
        <x:f>IF(H884=1,IF(E884=1,AS883-AR883,AS883)+AQ884,0)</x:f>
        <x:v>9770.309378806487</x:v>
      </x:c>
      <x:c r="AT884" s="11" t="n">
        <x:f>IF(AR884&gt;0,MIN(1,AS884/AR884),1)</x:f>
        <x:v>0.9963946726703907</x:v>
      </x:c>
      <x:c r="AU884" s="10" t="n">
        <x:f>AB884/INDEX(v01_RepScale,G884)</x:f>
        <x:v>228.31941364970376</x:v>
      </x:c>
      <x:c r="AV884" s="32" t="n">
        <x:f>AM884*60/v01_SeasonSeconds</x:f>
        <x:v>293.6610336537523</x:v>
      </x:c>
    </x:row>
    <x:row r="885">
      <x:c r="A885" s="8" t="n">
        <x:f>A884+1</x:f>
        <x:v>882</x:v>
      </x:c>
      <x:c r="B885" s="9" t="n">
        <x:f>A885*v01_SeasonSeconds/60</x:f>
        <x:v>220.5</x:v>
      </x:c>
      <x:c r="C885" s="9" t="n">
        <x:f>A885/4</x:f>
        <x:v>220.5</x:v>
      </x:c>
      <x:c r="D885" s="8" t="n">
        <x:f>IF(MOD(A885,4)=0,1,0)</x:f>
        <x:v>0</x:v>
      </x:c>
      <x:c r="E885" s="8" t="n">
        <x:f>IF(AND(F884&lt;=9,AS884&gt;=AR884),1,0)</x:f>
        <x:v>0</x:v>
      </x:c>
      <x:c r="F885" s="8" t="n">
        <x:f>MIN(10,F884+E885)</x:f>
        <x:v>3</x:v>
      </x:c>
      <x:c r="G885" s="8" t="n">
        <x:f>MIN(F885,9)+1</x:f>
        <x:v>4</x:v>
      </x:c>
      <x:c r="H885" s="8" t="n">
        <x:f>IF(F885&lt;=9,1,0)</x:f>
        <x:v>1</x:v>
      </x:c>
      <x:c r="I885" s="9" t="n">
        <x:f>MIN(10,F884+IF(AR884&gt;0,MIN(1,AS884/AR884),1))</x:f>
        <x:v>3.996394672670391</x:v>
      </x:c>
      <x:c r="J885" s="32" t="n">
        <x:f>INDEX(v01_FoodCap,G885)*Arch_FoodCap*EXP(v01_CapsByProject*SUMPRODUCT((Cap_Point&lt;=I885)*(Cap_Kind="Food")*Cap_Ln))</x:f>
        <x:v>120</x:v>
      </x:c>
      <x:c r="K885" s="32" t="n">
        <x:f>J885*MIN(1,v01_LeanBase*EXP(v01_CapsByProject*SUMPRODUCT((Cap_Point&lt;=I885)*(Cap_Kind="Lean")*Cap_Ln)))</x:f>
        <x:v>120</x:v>
      </x:c>
      <x:c r="L885" s="10" t="n">
        <x:f>INDEX(v01_HousingCap,G885)*EXP(v01_CapsByProject*SUMPRODUCT((Cap_Point&lt;=I885)*(Cap_Kind="Housing")*Cap_Ln))</x:f>
        <x:v>200</x:v>
      </x:c>
      <x:c r="M885" s="10" t="n">
        <x:f>INDEX(v01_GroupCap,G885)*v01_CohesionFactor*EXP(v01_CapsByProject*SUMPRODUCT((Cap_Point&lt;=I885)*(Cap_Kind="Group")*Cap_Ln))</x:f>
        <x:v>5000</x:v>
      </x:c>
      <x:c r="N885" s="32" t="n">
        <x:f>MIN(J885,L885,M885)</x:f>
        <x:v>120</x:v>
      </x:c>
      <x:c r="O885" s="10" t="n">
        <x:f>AE884*N885</x:f>
        <x:v>1440</x:v>
      </x:c>
      <x:c r="P885" s="9" t="n">
        <x:f>MIN(1,(AB884/(AE884*IF(v01_GroupInCrowding=1,N885,MIN(J885,L885))))^v01_CrowdingExp)</x:f>
        <x:v>0.2482573505301031</x:v>
      </x:c>
      <x:c r="Q885" s="9" t="n">
        <x:f>IF(D885=1,INDEX(v01_WinterMult,G885),1)</x:f>
        <x:v>1</x:v>
      </x:c>
      <x:c r="R885" s="9" t="n">
        <x:f>H885*Z884*v01_WomenShare*v01_BaseFertility*INDEX(v01_FertMult,G885)*Arch_Fertility*(1-P885)</x:f>
        <x:v>14.399633587499626</x:v>
      </x:c>
      <x:c r="S885" s="9" t="n">
        <x:f>H885*Y884*INDEX(v01_MortChild,G885)/4*Q885</x:f>
        <x:v>3.617777324193301</x:v>
      </x:c>
      <x:c r="T885" s="9" t="n">
        <x:f>H885*Z884*INDEX(v01_MortAdult,G885)*Arch_AdultMort/4*Q885</x:f>
        <x:v>1.350673371161978</x:v>
      </x:c>
      <x:c r="U885" s="9" t="n">
        <x:f>H885*AA884*INDEX(v01_MortElder,G885)/4*Q885</x:f>
        <x:v>2.731183084601863</x:v>
      </x:c>
      <x:c r="V885" s="9" t="n">
        <x:f>H885*MAX(0,AB884-O885)*v01_OvercapLoss</x:f>
        <x:v>0</x:v>
      </x:c>
      <x:c r="W885" s="9" t="n">
        <x:f>H885*Y884/(v01_ChildYears*4)</x:f>
        <x:v>8.613755533793574</x:v>
      </x:c>
      <x:c r="X885" s="9" t="n">
        <x:f>H885*Z884/(v01_AdultYears*4)</x:f>
        <x:v>3.9609189770145985</x:v>
      </x:c>
      <x:c r="Y885" s="32" t="n">
        <x:f>Y884+R885-S885-W885-Y884*V885/AB884</x:f>
        <x:v>484.53841062195295</x:v>
      </x:c>
      <x:c r="Z885" s="32" t="n">
        <x:f>Z884+W885-X885-T885-Z884*V885/AB884</x:f>
        <x:v>494.45611633542717</x:v>
      </x:c>
      <x:c r="AA885" s="32" t="n">
        <x:f>AA884+X885-U885-AA884*V885/AB884</x:f>
        <x:v>169.30254109868122</x:v>
      </x:c>
      <x:c r="AB885" s="10" t="n">
        <x:f>Y885+Z885+AA885</x:f>
        <x:v>1148.2970680560613</x:v>
      </x:c>
      <x:c r="AC885" s="8" t="n">
        <x:f>IF(AND(v01_WinterTrigger=1,D885=1,AB884/AE884&gt;=K885),1,0)</x:f>
        <x:v>0</x:v>
      </x:c>
      <x:c r="AD885" s="8" t="n">
        <x:f>H885*IF(AND(OR(AB884/AE884&gt;=v01_FissionTrigger*N885,AC885=1),AB884/AE884*v01_DaughterShare&gt;=v01_MinDaughter),MAX(1,ROUND(AE884*v01_FissionRate,0)),0)</x:f>
        <x:v>0</x:v>
      </x:c>
      <x:c r="AE885" s="8" t="n">
        <x:f>IF(H885=1,MAX(1,MIN(INDEX(v01_Smax,G885),AE884+AD885)),AE884)</x:f>
        <x:v>12</x:v>
      </x:c>
      <x:c r="AF885" s="8" t="n">
        <x:f>MAX(0,AE885-AE884)</x:f>
        <x:v>0</x:v>
      </x:c>
      <x:c r="AG885" s="9" t="str">
        <x:f>IF(AF885&gt;0,B885,"")</x:f>
      </x:c>
      <x:c r="AH885" s="9" t="n">
        <x:f>IF(F885&gt;=1,1,(1+v01_LowTiesShare*(AE885-1))/AE885)</x:f>
        <x:v>1</x:v>
      </x:c>
      <x:c r="AI885" s="32" t="n">
        <x:f>(Z885+v01_ElderCommons*INDEX(LM_Elder,G885)*AA885)*AH885</x:f>
        <x:v>1002.3637396314708</x:v>
      </x:c>
      <x:c r="AJ885" s="32" t="n">
        <x:f>H885*v01_CommonsCoef*AI885^v01_CommonsExp*INDEX(LM_Commons,G885)</x:f>
        <x:v>234.64725666824742</x:v>
      </x:c>
      <x:c r="AK885" s="32" t="n">
        <x:f>H885*v01_RoleScale*Arch_Roles*(AE885*(INDEX(v01_ElderRolePerSett,G885)*v01_OutElder*INDEX(LM_Elder,G885)+INDEX(v01_ShamanPerSett,G885)*v01_OutShaman)+Z885*(INDEX(v01_PriestShare,G885)*v01_OutPriest+INDEX(v01_ScribeShare,G885)*v01_OutScribe*INDEX(LM_Scribe,G885)+INDEX(v01_ScholarShare,G885)*v01_OutScholar*INDEX(LM_Scholar,G885)+INDEX(v01_ResearcherShare,G885)*v01_OutResearcher*INDEX(LM_Researcher,G885)))</x:f>
        <x:v>39.46119281434799</x:v>
      </x:c>
      <x:c r="AL885" s="32" t="n">
        <x:f>H885*v01_RoleScale*Arch_Roles*AE885*INDEX(v01_MonasteryPerSett,G885)*v01_OutMonastery*INDEX(LM_Monastery,G885)</x:f>
        <x:v>0</x:v>
      </x:c>
      <x:c r="AM885" s="32" t="n">
        <x:f>(AJ885+AK885+AL885)/4*INDEX(LM_All,G885)*INDEX(v01_Boon,G885)*Arch_Insight</x:f>
        <x:v>73.79620487027324</x:v>
      </x:c>
      <x:c r="AN885" s="32" t="n">
        <x:f>H885*(v01_KHPerAdult*Z885+v01_KHOfCommons*AJ885/4*INDEX(LM_All,G885))*v01_KHUsable*Arch_KH</x:f>
        <x:v>17.30596407173995</x:v>
      </x:c>
      <x:c r="AO885" s="32" t="n">
        <x:f>MIN(AP884+AN885,AM885*v01_KHMaxRatio)</x:f>
        <x:v>17.30596407173995</x:v>
      </x:c>
      <x:c r="AP885" s="32" t="n">
        <x:f>AP884+AN885-AO885</x:f>
        <x:v>0</x:v>
      </x:c>
      <x:c r="AQ885" s="32" t="n">
        <x:f>AM885+AO885</x:f>
        <x:v>91.1021689420132</x:v>
      </x:c>
      <x:c r="AR885" s="10" t="n">
        <x:f>IF(H885=1,INDEX(v01_Req,G885),0)</x:f>
        <x:v>9805.661999999998</x:v>
      </x:c>
      <x:c r="AS885" s="32" t="n">
        <x:f>IF(H885=1,IF(E885=1,AS884-AR884,AS884)+AQ885,0)</x:f>
        <x:v>9861.411547748501</x:v>
      </x:c>
      <x:c r="AT885" s="11" t="n">
        <x:f>IF(AR885&gt;0,MIN(1,AS885/AR885),1)</x:f>
        <x:v>1</x:v>
      </x:c>
      <x:c r="AU885" s="10" t="n">
        <x:f>AB885/INDEX(v01_RepScale,G885)</x:f>
        <x:v>229.65941361121227</x:v>
      </x:c>
      <x:c r="AV885" s="32" t="n">
        <x:f>AM885*60/v01_SeasonSeconds</x:f>
        <x:v>295.184819481093</x:v>
      </x:c>
    </x:row>
    <x:row r="886">
      <x:c r="A886" s="8" t="n">
        <x:f>A885+1</x:f>
        <x:v>883</x:v>
      </x:c>
      <x:c r="B886" s="9" t="n">
        <x:f>A886*v01_SeasonSeconds/60</x:f>
        <x:v>220.75</x:v>
      </x:c>
      <x:c r="C886" s="9" t="n">
        <x:f>A886/4</x:f>
        <x:v>220.75</x:v>
      </x:c>
      <x:c r="D886" s="8" t="n">
        <x:f>IF(MOD(A886,4)=0,1,0)</x:f>
        <x:v>0</x:v>
      </x:c>
      <x:c r="E886" s="8" t="n">
        <x:f>IF(AND(F885&lt;=9,AS885&gt;=AR885),1,0)</x:f>
        <x:v>1</x:v>
      </x:c>
      <x:c r="F886" s="8" t="n">
        <x:f>MIN(10,F885+E886)</x:f>
        <x:v>4</x:v>
      </x:c>
      <x:c r="G886" s="8" t="n">
        <x:f>MIN(F886,9)+1</x:f>
        <x:v>5</x:v>
      </x:c>
      <x:c r="H886" s="8" t="n">
        <x:f>IF(F886&lt;=9,1,0)</x:f>
        <x:v>1</x:v>
      </x:c>
      <x:c r="I886" s="9" t="n">
        <x:f>MIN(10,F885+IF(AR885&gt;0,MIN(1,AS885/AR885),1))</x:f>
        <x:v>4</x:v>
      </x:c>
      <x:c r="J886" s="32" t="n">
        <x:f>INDEX(v01_FoodCap,G886)*Arch_FoodCap*EXP(v01_CapsByProject*SUMPRODUCT((Cap_Point&lt;=I886)*(Cap_Kind="Food")*Cap_Ln))</x:f>
        <x:v>250</x:v>
      </x:c>
      <x:c r="K886" s="32" t="n">
        <x:f>J886*MIN(1,v01_LeanBase*EXP(v01_CapsByProject*SUMPRODUCT((Cap_Point&lt;=I886)*(Cap_Kind="Lean")*Cap_Ln)))</x:f>
        <x:v>250</x:v>
      </x:c>
      <x:c r="L886" s="10" t="n">
        <x:f>INDEX(v01_HousingCap,G886)*EXP(v01_CapsByProject*SUMPRODUCT((Cap_Point&lt;=I886)*(Cap_Kind="Housing")*Cap_Ln))</x:f>
        <x:v>400</x:v>
      </x:c>
      <x:c r="M886" s="10" t="n">
        <x:f>INDEX(v01_GroupCap,G886)*v01_CohesionFactor*EXP(v01_CapsByProject*SUMPRODUCT((Cap_Point&lt;=I886)*(Cap_Kind="Group")*Cap_Ln))</x:f>
        <x:v>10000</x:v>
      </x:c>
      <x:c r="N886" s="32" t="n">
        <x:f>MIN(J886,L886,M886)</x:f>
        <x:v>250</x:v>
      </x:c>
      <x:c r="O886" s="10" t="n">
        <x:f>AE885*N886</x:f>
        <x:v>3000</x:v>
      </x:c>
      <x:c r="P886" s="9" t="n">
        <x:f>MIN(1,(AB885/(AE885*IF(v01_GroupInCrowding=1,N886,MIN(J886,L886))))^v01_CrowdingExp)</x:f>
        <x:v>0.0031448360361019012</x:v>
      </x:c>
      <x:c r="Q886" s="9" t="n">
        <x:f>IF(D886=1,INDEX(v01_WinterMult,G886),1)</x:f>
        <x:v>1</x:v>
      </x:c>
      <x:c r="R886" s="9" t="n">
        <x:f>H886*Z885*v01_WomenShare*v01_BaseFertility*INDEX(v01_FertMult,G886)*Arch_Fertility*(1-P886)</x:f>
        <x:v>17.74444078521016</x:v>
      </x:c>
      <x:c r="S886" s="9" t="n">
        <x:f>H886*Y885*INDEX(v01_MortChild,G886)/4*Q886</x:f>
        <x:v>3.3917688743536707</x:v>
      </x:c>
      <x:c r="T886" s="9" t="n">
        <x:f>H886*Z885*INDEX(v01_MortAdult,G886)*Arch_AdultMort/4*Q886</x:f>
        <x:v>1.236140290838568</x:v>
      </x:c>
      <x:c r="U886" s="9" t="n">
        <x:f>H886*AA885*INDEX(v01_MortElder,G886)/4*Q886</x:f>
        <x:v>2.539538116480218</x:v>
      </x:c>
      <x:c r="V886" s="9" t="n">
        <x:f>H886*MAX(0,AB885-O886)*v01_OvercapLoss</x:f>
        <x:v>0</x:v>
      </x:c>
      <x:c r="W886" s="9" t="n">
        <x:f>H886*Y885/(v01_ChildYears*4)</x:f>
        <x:v>8.65247161824916</x:v>
      </x:c>
      <x:c r="X886" s="9" t="n">
        <x:f>H886*Z885/(v01_AdultYears*4)</x:f>
        <x:v>3.987549325285703</x:v>
      </x:c>
      <x:c r="Y886" s="32" t="n">
        <x:f>Y885+R886-S886-W886-Y885*V886/AB885</x:f>
        <x:v>490.2386109145603</x:v>
      </x:c>
      <x:c r="Z886" s="32" t="n">
        <x:f>Z885+W886-X886-T886-Z885*V886/AB885</x:f>
        <x:v>497.884898337552</x:v>
      </x:c>
      <x:c r="AA886" s="32" t="n">
        <x:f>AA885+X886-U886-AA885*V886/AB885</x:f>
        <x:v>170.75055230748669</x:v>
      </x:c>
      <x:c r="AB886" s="10" t="n">
        <x:f>Y886+Z886+AA886</x:f>
        <x:v>1158.8740615595989</x:v>
      </x:c>
      <x:c r="AC886" s="8" t="n">
        <x:f>IF(AND(v01_WinterTrigger=1,D886=1,AB885/AE885&gt;=K886),1,0)</x:f>
        <x:v>0</x:v>
      </x:c>
      <x:c r="AD886" s="8" t="n">
        <x:f>H886*IF(AND(OR(AB885/AE885&gt;=v01_FissionTrigger*N886,AC886=1),AB885/AE885*v01_DaughterShare&gt;=v01_MinDaughter),MAX(1,ROUND(AE885*v01_FissionRate,0)),0)</x:f>
        <x:v>0</x:v>
      </x:c>
      <x:c r="AE886" s="8" t="n">
        <x:f>IF(H886=1,MAX(1,MIN(INDEX(v01_Smax,G886),AE885+AD886)),AE885)</x:f>
        <x:v>12</x:v>
      </x:c>
      <x:c r="AF886" s="8" t="n">
        <x:f>MAX(0,AE886-AE885)</x:f>
        <x:v>0</x:v>
      </x:c>
      <x:c r="AG886" s="9" t="str">
        <x:f>IF(AF886&gt;0,B886,"")</x:f>
      </x:c>
      <x:c r="AH886" s="9" t="n">
        <x:f>IF(F886&gt;=1,1,(1+v01_LowTiesShare*(AE886-1))/AE886)</x:f>
        <x:v>1</x:v>
      </x:c>
      <x:c r="AI886" s="32" t="n">
        <x:f>(Z886+v01_ElderCommons*INDEX(LM_Elder,G886)*AA886)*AH886</x:f>
        <x:v>1010.1365552600121</x:v>
      </x:c>
      <x:c r="AJ886" s="32" t="n">
        <x:f>H886*v01_CommonsCoef*AI886^v01_CommonsExp*INDEX(LM_Commons,G886)</x:f>
        <x:v>259.5437528034217</x:v>
      </x:c>
      <x:c r="AK886" s="32" t="n">
        <x:f>H886*v01_RoleScale*Arch_Roles*(AE886*(INDEX(v01_ElderRolePerSett,G886)*v01_OutElder*INDEX(LM_Elder,G886)+INDEX(v01_ShamanPerSett,G886)*v01_OutShaman)+Z886*(INDEX(v01_PriestShare,G886)*v01_OutPriest+INDEX(v01_ScribeShare,G886)*v01_OutScribe*INDEX(LM_Scribe,G886)+INDEX(v01_ScholarShare,G886)*v01_OutScholar*INDEX(LM_Scholar,G886)+INDEX(v01_ResearcherShare,G886)*v01_OutResearcher*INDEX(LM_Researcher,G886)))</x:f>
        <x:v>50.068682834620866</x:v>
      </x:c>
      <x:c r="AL886" s="32" t="n">
        <x:f>H886*v01_RoleScale*Arch_Roles*AE886*INDEX(v01_MonasteryPerSett,G886)*v01_OutMonastery*INDEX(LM_Monastery,G886)</x:f>
        <x:v>0</x:v>
      </x:c>
      <x:c r="AM886" s="32" t="n">
        <x:f>(AJ886+AK886+AL886)/4*INDEX(LM_All,G886)*INDEX(v01_Boon,G886)*Arch_Insight</x:f>
        <x:v>93.12409955177324</x:v>
      </x:c>
      <x:c r="AN886" s="32" t="n">
        <x:f>H886*(v01_KHPerAdult*Z886+v01_KHOfCommons*AJ886/4*INDEX(LM_All,G886))*v01_KHUsable*Arch_KH</x:f>
        <x:v>17.42597144181432</x:v>
      </x:c>
      <x:c r="AO886" s="32" t="n">
        <x:f>MIN(AP885+AN886,AM886*v01_KHMaxRatio)</x:f>
        <x:v>17.42597144181432</x:v>
      </x:c>
      <x:c r="AP886" s="32" t="n">
        <x:f>AP885+AN886-AO886</x:f>
        <x:v>0</x:v>
      </x:c>
      <x:c r="AQ886" s="32" t="n">
        <x:f>AM886+AO886</x:f>
        <x:v>110.55007099358755</x:v>
      </x:c>
      <x:c r="AR886" s="10" t="n">
        <x:f>IF(H886=1,INDEX(v01_Req,G886),0)</x:f>
        <x:v>24714.473079999996</x:v>
      </x:c>
      <x:c r="AS886" s="32" t="n">
        <x:f>IF(H886=1,IF(E886=1,AS885-AR885,AS885)+AQ886,0)</x:f>
        <x:v>166.29961874209022</x:v>
      </x:c>
      <x:c r="AT886" s="11" t="n">
        <x:f>IF(AR886&gt;0,MIN(1,AS886/AR886),1)</x:f>
        <x:v>0.006728835294354989</x:v>
      </x:c>
      <x:c r="AU886" s="10" t="n">
        <x:f>AB886/INDEX(v01_RepScale,G886)</x:f>
        <x:v>115.8874061559599</x:v>
      </x:c>
      <x:c r="AV886" s="32" t="n">
        <x:f>AM886*60/v01_SeasonSeconds</x:f>
        <x:v>372.49639820709297</x:v>
      </x:c>
    </x:row>
    <x:row r="887">
      <x:c r="A887" s="8" t="n">
        <x:f>A886+1</x:f>
        <x:v>884</x:v>
      </x:c>
      <x:c r="B887" s="9" t="n">
        <x:f>A887*v01_SeasonSeconds/60</x:f>
        <x:v>221</x:v>
      </x:c>
      <x:c r="C887" s="9" t="n">
        <x:f>A887/4</x:f>
        <x:v>221</x:v>
      </x:c>
      <x:c r="D887" s="8" t="n">
        <x:f>IF(MOD(A887,4)=0,1,0)</x:f>
        <x:v>1</x:v>
      </x:c>
      <x:c r="E887" s="8" t="n">
        <x:f>IF(AND(F886&lt;=9,AS886&gt;=AR886),1,0)</x:f>
        <x:v>0</x:v>
      </x:c>
      <x:c r="F887" s="8" t="n">
        <x:f>MIN(10,F886+E887)</x:f>
        <x:v>4</x:v>
      </x:c>
      <x:c r="G887" s="8" t="n">
        <x:f>MIN(F887,9)+1</x:f>
        <x:v>5</x:v>
      </x:c>
      <x:c r="H887" s="8" t="n">
        <x:f>IF(F887&lt;=9,1,0)</x:f>
        <x:v>1</x:v>
      </x:c>
      <x:c r="I887" s="9" t="n">
        <x:f>MIN(10,F886+IF(AR886&gt;0,MIN(1,AS886/AR886),1))</x:f>
        <x:v>4.006728835294355</x:v>
      </x:c>
      <x:c r="J887" s="32" t="n">
        <x:f>INDEX(v01_FoodCap,G887)*Arch_FoodCap*EXP(v01_CapsByProject*SUMPRODUCT((Cap_Point&lt;=I887)*(Cap_Kind="Food")*Cap_Ln))</x:f>
        <x:v>250</x:v>
      </x:c>
      <x:c r="K887" s="32" t="n">
        <x:f>J887*MIN(1,v01_LeanBase*EXP(v01_CapsByProject*SUMPRODUCT((Cap_Point&lt;=I887)*(Cap_Kind="Lean")*Cap_Ln)))</x:f>
        <x:v>250</x:v>
      </x:c>
      <x:c r="L887" s="10" t="n">
        <x:f>INDEX(v01_HousingCap,G887)*EXP(v01_CapsByProject*SUMPRODUCT((Cap_Point&lt;=I887)*(Cap_Kind="Housing")*Cap_Ln))</x:f>
        <x:v>400</x:v>
      </x:c>
      <x:c r="M887" s="10" t="n">
        <x:f>INDEX(v01_GroupCap,G887)*v01_CohesionFactor*EXP(v01_CapsByProject*SUMPRODUCT((Cap_Point&lt;=I887)*(Cap_Kind="Group")*Cap_Ln))</x:f>
        <x:v>10000</x:v>
      </x:c>
      <x:c r="N887" s="32" t="n">
        <x:f>MIN(J887,L887,M887)</x:f>
        <x:v>250</x:v>
      </x:c>
      <x:c r="O887" s="10" t="n">
        <x:f>AE886*N887</x:f>
        <x:v>3000</x:v>
      </x:c>
      <x:c r="P887" s="9" t="n">
        <x:f>MIN(1,(AB886/(AE886*IF(v01_GroupInCrowding=1,N887,MIN(J887,L887))))^v01_CrowdingExp)</x:f>
        <x:v>0.0033226907778522467</x:v>
      </x:c>
      <x:c r="Q887" s="9" t="n">
        <x:f>IF(D887=1,INDEX(v01_WinterMult,G887),1)</x:f>
        <x:v>1</x:v>
      </x:c>
      <x:c r="R887" s="9" t="n">
        <x:f>H887*Z886*v01_WomenShare*v01_BaseFertility*INDEX(v01_FertMult,G887)*Arch_Fertility*(1-P887)</x:f>
        <x:v>17.864300907986895</x:v>
      </x:c>
      <x:c r="S887" s="9" t="n">
        <x:f>H887*Y886*INDEX(v01_MortChild,G887)/4*Q887</x:f>
        <x:v>3.4316702764019222</x:v>
      </x:c>
      <x:c r="T887" s="9" t="n">
        <x:f>H887*Z886*INDEX(v01_MortAdult,G887)*Arch_AdultMort/4*Q887</x:f>
        <x:v>1.24471224584388</x:v>
      </x:c>
      <x:c r="U887" s="9" t="n">
        <x:f>H887*AA886*INDEX(v01_MortElder,G887)/4*Q887</x:f>
        <x:v>2.5612582846123</x:v>
      </x:c>
      <x:c r="V887" s="9" t="n">
        <x:f>H887*MAX(0,AB886-O887)*v01_OvercapLoss</x:f>
        <x:v>0</x:v>
      </x:c>
      <x:c r="W887" s="9" t="n">
        <x:f>H887*Y886/(v01_ChildYears*4)</x:f>
        <x:v>8.754260909188577</x:v>
      </x:c>
      <x:c r="X887" s="9" t="n">
        <x:f>H887*Z886/(v01_AdultYears*4)</x:f>
        <x:v>4.015200793044774</x:v>
      </x:c>
      <x:c r="Y887" s="32" t="n">
        <x:f>Y886+R887-S887-W887-Y886*V887/AB886</x:f>
        <x:v>495.9169806369567</x:v>
      </x:c>
      <x:c r="Z887" s="32" t="n">
        <x:f>Z886+W887-X887-T887-Z886*V887/AB886</x:f>
        <x:v>501.37924620785196</x:v>
      </x:c>
      <x:c r="AA887" s="32" t="n">
        <x:f>AA886+X887-U887-AA886*V887/AB886</x:f>
        <x:v>172.20449481591916</x:v>
      </x:c>
      <x:c r="AB887" s="10" t="n">
        <x:f>Y887+Z887+AA887</x:f>
        <x:v>1169.5007216607278</x:v>
      </x:c>
      <x:c r="AC887" s="8" t="n">
        <x:f>IF(AND(v01_WinterTrigger=1,D887=1,AB886/AE886&gt;=K887),1,0)</x:f>
        <x:v>0</x:v>
      </x:c>
      <x:c r="AD887" s="8" t="n">
        <x:f>H887*IF(AND(OR(AB886/AE886&gt;=v01_FissionTrigger*N887,AC887=1),AB886/AE886*v01_DaughterShare&gt;=v01_MinDaughter),MAX(1,ROUND(AE886*v01_FissionRate,0)),0)</x:f>
        <x:v>0</x:v>
      </x:c>
      <x:c r="AE887" s="8" t="n">
        <x:f>IF(H887=1,MAX(1,MIN(INDEX(v01_Smax,G887),AE886+AD887)),AE886)</x:f>
        <x:v>12</x:v>
      </x:c>
      <x:c r="AF887" s="8" t="n">
        <x:f>MAX(0,AE887-AE886)</x:f>
        <x:v>0</x:v>
      </x:c>
      <x:c r="AG887" s="9" t="str">
        <x:f>IF(AF887&gt;0,B887,"")</x:f>
      </x:c>
      <x:c r="AH887" s="9" t="n">
        <x:f>IF(F887&gt;=1,1,(1+v01_LowTiesShare*(AE887-1))/AE887)</x:f>
        <x:v>1</x:v>
      </x:c>
      <x:c r="AI887" s="32" t="n">
        <x:f>(Z887+v01_ElderCommons*INDEX(LM_Elder,G887)*AA887)*AH887</x:f>
        <x:v>1017.9927306556094</x:v>
      </x:c>
      <x:c r="AJ887" s="32" t="n">
        <x:f>H887*v01_CommonsCoef*AI887^v01_CommonsExp*INDEX(LM_Commons,G887)</x:f>
        <x:v>261.2585309616438</x:v>
      </x:c>
      <x:c r="AK887" s="32" t="n">
        <x:f>H887*v01_RoleScale*Arch_Roles*(AE887*(INDEX(v01_ElderRolePerSett,G887)*v01_OutElder*INDEX(LM_Elder,G887)+INDEX(v01_ShamanPerSett,G887)*v01_OutShaman)+Z887*(INDEX(v01_PriestShare,G887)*v01_OutPriest+INDEX(v01_ScribeShare,G887)*v01_OutScribe*INDEX(LM_Scribe,G887)+INDEX(v01_ScholarShare,G887)*v01_OutScholar*INDEX(LM_Scholar,G887)+INDEX(v01_ResearcherShare,G887)*v01_OutResearcher*INDEX(LM_Researcher,G887)))</x:f>
        <x:v>50.1674222662952</x:v>
      </x:c>
      <x:c r="AL887" s="32" t="n">
        <x:f>H887*v01_RoleScale*Arch_Roles*AE887*INDEX(v01_MonasteryPerSett,G887)*v01_OutMonastery*INDEX(LM_Monastery,G887)</x:f>
        <x:v>0</x:v>
      </x:c>
      <x:c r="AM887" s="32" t="n">
        <x:f>(AJ887+AK887+AL887)/4*INDEX(LM_All,G887)*INDEX(v01_Boon,G887)*Arch_Insight</x:f>
        <x:v>93.66956276042113</x:v>
      </x:c>
      <x:c r="AN887" s="32" t="n">
        <x:f>H887*(v01_KHPerAdult*Z887+v01_KHOfCommons*AJ887/4*INDEX(LM_All,G887))*v01_KHUsable*Arch_KH</x:f>
        <x:v>17.54827361727482</x:v>
      </x:c>
      <x:c r="AO887" s="32" t="n">
        <x:f>MIN(AP886+AN887,AM887*v01_KHMaxRatio)</x:f>
        <x:v>17.54827361727482</x:v>
      </x:c>
      <x:c r="AP887" s="32" t="n">
        <x:f>AP886+AN887-AO887</x:f>
        <x:v>0</x:v>
      </x:c>
      <x:c r="AQ887" s="32" t="n">
        <x:f>AM887+AO887</x:f>
        <x:v>111.21783637769595</x:v>
      </x:c>
      <x:c r="AR887" s="10" t="n">
        <x:f>IF(H887=1,INDEX(v01_Req,G887),0)</x:f>
        <x:v>24714.473079999996</x:v>
      </x:c>
      <x:c r="AS887" s="32" t="n">
        <x:f>IF(H887=1,IF(E887=1,AS886-AR886,AS886)+AQ887,0)</x:f>
        <x:v>277.5174551197862</x:v>
      </x:c>
      <x:c r="AT887" s="11" t="n">
        <x:f>IF(AR887&gt;0,MIN(1,AS887/AR887),1)</x:f>
        <x:v>0.01122894484626359</x:v>
      </x:c>
      <x:c r="AU887" s="10" t="n">
        <x:f>AB887/INDEX(v01_RepScale,G887)</x:f>
        <x:v>116.95007216607277</x:v>
      </x:c>
      <x:c r="AV887" s="32" t="n">
        <x:f>AM887*60/v01_SeasonSeconds</x:f>
        <x:v>374.6782510416845</x:v>
      </x:c>
    </x:row>
    <x:row r="888">
      <x:c r="A888" s="8" t="n">
        <x:f>A887+1</x:f>
        <x:v>885</x:v>
      </x:c>
      <x:c r="B888" s="9" t="n">
        <x:f>A888*v01_SeasonSeconds/60</x:f>
        <x:v>221.25</x:v>
      </x:c>
      <x:c r="C888" s="9" t="n">
        <x:f>A888/4</x:f>
        <x:v>221.25</x:v>
      </x:c>
      <x:c r="D888" s="8" t="n">
        <x:f>IF(MOD(A888,4)=0,1,0)</x:f>
        <x:v>0</x:v>
      </x:c>
      <x:c r="E888" s="8" t="n">
        <x:f>IF(AND(F887&lt;=9,AS887&gt;=AR887),1,0)</x:f>
        <x:v>0</x:v>
      </x:c>
      <x:c r="F888" s="8" t="n">
        <x:f>MIN(10,F887+E888)</x:f>
        <x:v>4</x:v>
      </x:c>
      <x:c r="G888" s="8" t="n">
        <x:f>MIN(F888,9)+1</x:f>
        <x:v>5</x:v>
      </x:c>
      <x:c r="H888" s="8" t="n">
        <x:f>IF(F888&lt;=9,1,0)</x:f>
        <x:v>1</x:v>
      </x:c>
      <x:c r="I888" s="9" t="n">
        <x:f>MIN(10,F887+IF(AR887&gt;0,MIN(1,AS887/AR887),1))</x:f>
        <x:v>4.0112289448462635</x:v>
      </x:c>
      <x:c r="J888" s="32" t="n">
        <x:f>INDEX(v01_FoodCap,G888)*Arch_FoodCap*EXP(v01_CapsByProject*SUMPRODUCT((Cap_Point&lt;=I888)*(Cap_Kind="Food")*Cap_Ln))</x:f>
        <x:v>250</x:v>
      </x:c>
      <x:c r="K888" s="32" t="n">
        <x:f>J888*MIN(1,v01_LeanBase*EXP(v01_CapsByProject*SUMPRODUCT((Cap_Point&lt;=I888)*(Cap_Kind="Lean")*Cap_Ln)))</x:f>
        <x:v>250</x:v>
      </x:c>
      <x:c r="L888" s="10" t="n">
        <x:f>INDEX(v01_HousingCap,G888)*EXP(v01_CapsByProject*SUMPRODUCT((Cap_Point&lt;=I888)*(Cap_Kind="Housing")*Cap_Ln))</x:f>
        <x:v>400</x:v>
      </x:c>
      <x:c r="M888" s="10" t="n">
        <x:f>INDEX(v01_GroupCap,G888)*v01_CohesionFactor*EXP(v01_CapsByProject*SUMPRODUCT((Cap_Point&lt;=I888)*(Cap_Kind="Group")*Cap_Ln))</x:f>
        <x:v>10000</x:v>
      </x:c>
      <x:c r="N888" s="32" t="n">
        <x:f>MIN(J888,L888,M888)</x:f>
        <x:v>250</x:v>
      </x:c>
      <x:c r="O888" s="10" t="n">
        <x:f>AE887*N888</x:f>
        <x:v>3000</x:v>
      </x:c>
      <x:c r="P888" s="9" t="n">
        <x:f>MIN(1,(AB887/(AE887*IF(v01_GroupInCrowding=1,N888,MIN(J888,L888))))^v01_CrowdingExp)</x:f>
        <x:v>0.0035097439694174756</x:v>
      </x:c>
      <x:c r="Q888" s="9" t="n">
        <x:f>IF(D888=1,INDEX(v01_WinterMult,G888),1)</x:f>
        <x:v>1</x:v>
      </x:c>
      <x:c r="R888" s="9" t="n">
        <x:f>H888*Z887*v01_WomenShare*v01_BaseFertility*INDEX(v01_FertMult,G888)*Arch_Fertility*(1-P888)</x:f>
        <x:v>17.986303203194982</x:v>
      </x:c>
      <x:c r="S888" s="9" t="n">
        <x:f>H888*Y887*INDEX(v01_MortChild,G888)/4*Q888</x:f>
        <x:v>3.471418864458697</x:v>
      </x:c>
      <x:c r="T888" s="9" t="n">
        <x:f>H888*Z887*INDEX(v01_MortAdult,G888)*Arch_AdultMort/4*Q888</x:f>
        <x:v>1.25344811551963</x:v>
      </x:c>
      <x:c r="U888" s="9" t="n">
        <x:f>H888*AA887*INDEX(v01_MortElder,G888)/4*Q888</x:f>
        <x:v>2.5830674222387873</x:v>
      </x:c>
      <x:c r="V888" s="9" t="n">
        <x:f>H888*MAX(0,AB887-O888)*v01_OvercapLoss</x:f>
        <x:v>0</x:v>
      </x:c>
      <x:c r="W888" s="9" t="n">
        <x:f>H888*Y887/(v01_ChildYears*4)</x:f>
        <x:v>8.855660368517084</x:v>
      </x:c>
      <x:c r="X888" s="9" t="n">
        <x:f>H888*Z887/(v01_AdultYears*4)</x:f>
        <x:v>4.043381017805258</x:v>
      </x:c>
      <x:c r="Y888" s="32" t="n">
        <x:f>Y887+R888-S888-W888-Y887*V888/AB887</x:f>
        <x:v>501.57620460717584</x:v>
      </x:c>
      <x:c r="Z888" s="32" t="n">
        <x:f>Z887+W888-X888-T888-Z887*V888/AB887</x:f>
        <x:v>504.93807744304416</x:v>
      </x:c>
      <x:c r="AA888" s="32" t="n">
        <x:f>AA887+X888-U888-AA887*V888/AB887</x:f>
        <x:v>173.6648084114856</x:v>
      </x:c>
      <x:c r="AB888" s="10" t="n">
        <x:f>Y888+Z888+AA888</x:f>
        <x:v>1180.1790904617055</x:v>
      </x:c>
      <x:c r="AC888" s="8" t="n">
        <x:f>IF(AND(v01_WinterTrigger=1,D888=1,AB887/AE887&gt;=K888),1,0)</x:f>
        <x:v>0</x:v>
      </x:c>
      <x:c r="AD888" s="8" t="n">
        <x:f>H888*IF(AND(OR(AB887/AE887&gt;=v01_FissionTrigger*N888,AC888=1),AB887/AE887*v01_DaughterShare&gt;=v01_MinDaughter),MAX(1,ROUND(AE887*v01_FissionRate,0)),0)</x:f>
        <x:v>0</x:v>
      </x:c>
      <x:c r="AE888" s="8" t="n">
        <x:f>IF(H888=1,MAX(1,MIN(INDEX(v01_Smax,G888),AE887+AD888)),AE887)</x:f>
        <x:v>12</x:v>
      </x:c>
      <x:c r="AF888" s="8" t="n">
        <x:f>MAX(0,AE888-AE887)</x:f>
        <x:v>0</x:v>
      </x:c>
      <x:c r="AG888" s="9" t="str">
        <x:f>IF(AF888&gt;0,B888,"")</x:f>
      </x:c>
      <x:c r="AH888" s="9" t="n">
        <x:f>IF(F888&gt;=1,1,(1+v01_LowTiesShare*(AE888-1))/AE888)</x:f>
        <x:v>1</x:v>
      </x:c>
      <x:c r="AI888" s="32" t="n">
        <x:f>(Z888+v01_ElderCommons*INDEX(LM_Elder,G888)*AA888)*AH888</x:f>
        <x:v>1025.932502677501</x:v>
      </x:c>
      <x:c r="AJ888" s="32" t="n">
        <x:f>H888*v01_CommonsCoef*AI888^v01_CommonsExp*INDEX(LM_Commons,G888)</x:f>
        <x:v>262.98954025881847</x:v>
      </x:c>
      <x:c r="AK888" s="32" t="n">
        <x:f>H888*v01_RoleScale*Arch_Roles*(AE888*(INDEX(v01_ElderRolePerSett,G888)*v01_OutElder*INDEX(LM_Elder,G888)+INDEX(v01_ShamanPerSett,G888)*v01_OutShaman)+Z888*(INDEX(v01_PriestShare,G888)*v01_OutPriest+INDEX(v01_ScribeShare,G888)*v01_OutScribe*INDEX(LM_Scribe,G888)+INDEX(v01_ScholarShare,G888)*v01_OutScholar*INDEX(LM_Scholar,G888)+INDEX(v01_ResearcherShare,G888)*v01_OutResearcher*INDEX(LM_Researcher,G888)))</x:f>
        <x:v>50.26798379784002</x:v>
      </x:c>
      <x:c r="AL888" s="32" t="n">
        <x:f>H888*v01_RoleScale*Arch_Roles*AE888*INDEX(v01_MonasteryPerSett,G888)*v01_OutMonastery*INDEX(LM_Monastery,G888)</x:f>
        <x:v>0</x:v>
      </x:c>
      <x:c r="AM888" s="32" t="n">
        <x:f>(AJ888+AK888+AL888)/4*INDEX(LM_All,G888)*INDEX(v01_Boon,G888)*Arch_Insight</x:f>
        <x:v>94.22045595642052</x:v>
      </x:c>
      <x:c r="AN888" s="32" t="n">
        <x:f>H888*(v01_KHPerAdult*Z888+v01_KHOfCommons*AJ888/4*INDEX(LM_All,G888))*v01_KHUsable*Arch_KH</x:f>
        <x:v>17.672832710506544</x:v>
      </x:c>
      <x:c r="AO888" s="32" t="n">
        <x:f>MIN(AP887+AN888,AM888*v01_KHMaxRatio)</x:f>
        <x:v>17.672832710506544</x:v>
      </x:c>
      <x:c r="AP888" s="32" t="n">
        <x:f>AP887+AN888-AO888</x:f>
        <x:v>0</x:v>
      </x:c>
      <x:c r="AQ888" s="32" t="n">
        <x:f>AM888+AO888</x:f>
        <x:v>111.89328866692706</x:v>
      </x:c>
      <x:c r="AR888" s="10" t="n">
        <x:f>IF(H888=1,INDEX(v01_Req,G888),0)</x:f>
        <x:v>24714.473079999996</x:v>
      </x:c>
      <x:c r="AS888" s="32" t="n">
        <x:f>IF(H888=1,IF(E888=1,AS887-AR887,AS887)+AQ888,0)</x:f>
        <x:v>389.4107437867132</x:v>
      </x:c>
      <x:c r="AT888" s="11" t="n">
        <x:f>IF(AR888&gt;0,MIN(1,AS888/AR888),1)</x:f>
        <x:v>0.01575638463042293</x:v>
      </x:c>
      <x:c r="AU888" s="10" t="n">
        <x:f>AB888/INDEX(v01_RepScale,G888)</x:f>
        <x:v>118.01790904617056</x:v>
      </x:c>
      <x:c r="AV888" s="32" t="n">
        <x:f>AM888*60/v01_SeasonSeconds</x:f>
        <x:v>376.8818238256821</x:v>
      </x:c>
    </x:row>
    <x:row r="889">
      <x:c r="A889" s="8" t="n">
        <x:f>A888+1</x:f>
        <x:v>886</x:v>
      </x:c>
      <x:c r="B889" s="9" t="n">
        <x:f>A889*v01_SeasonSeconds/60</x:f>
        <x:v>221.5</x:v>
      </x:c>
      <x:c r="C889" s="9" t="n">
        <x:f>A889/4</x:f>
        <x:v>221.5</x:v>
      </x:c>
      <x:c r="D889" s="8" t="n">
        <x:f>IF(MOD(A889,4)=0,1,0)</x:f>
        <x:v>0</x:v>
      </x:c>
      <x:c r="E889" s="8" t="n">
        <x:f>IF(AND(F888&lt;=9,AS888&gt;=AR888),1,0)</x:f>
        <x:v>0</x:v>
      </x:c>
      <x:c r="F889" s="8" t="n">
        <x:f>MIN(10,F888+E889)</x:f>
        <x:v>4</x:v>
      </x:c>
      <x:c r="G889" s="8" t="n">
        <x:f>MIN(F889,9)+1</x:f>
        <x:v>5</x:v>
      </x:c>
      <x:c r="H889" s="8" t="n">
        <x:f>IF(F889&lt;=9,1,0)</x:f>
        <x:v>1</x:v>
      </x:c>
      <x:c r="I889" s="9" t="n">
        <x:f>MIN(10,F888+IF(AR888&gt;0,MIN(1,AS888/AR888),1))</x:f>
        <x:v>4.015756384630423</x:v>
      </x:c>
      <x:c r="J889" s="32" t="n">
        <x:f>INDEX(v01_FoodCap,G889)*Arch_FoodCap*EXP(v01_CapsByProject*SUMPRODUCT((Cap_Point&lt;=I889)*(Cap_Kind="Food")*Cap_Ln))</x:f>
        <x:v>250</x:v>
      </x:c>
      <x:c r="K889" s="32" t="n">
        <x:f>J889*MIN(1,v01_LeanBase*EXP(v01_CapsByProject*SUMPRODUCT((Cap_Point&lt;=I889)*(Cap_Kind="Lean")*Cap_Ln)))</x:f>
        <x:v>250</x:v>
      </x:c>
      <x:c r="L889" s="10" t="n">
        <x:f>INDEX(v01_HousingCap,G889)*EXP(v01_CapsByProject*SUMPRODUCT((Cap_Point&lt;=I889)*(Cap_Kind="Housing")*Cap_Ln))</x:f>
        <x:v>400</x:v>
      </x:c>
      <x:c r="M889" s="10" t="n">
        <x:f>INDEX(v01_GroupCap,G889)*v01_CohesionFactor*EXP(v01_CapsByProject*SUMPRODUCT((Cap_Point&lt;=I889)*(Cap_Kind="Group")*Cap_Ln))</x:f>
        <x:v>10000</x:v>
      </x:c>
      <x:c r="N889" s="32" t="n">
        <x:f>MIN(J889,L889,M889)</x:f>
        <x:v>250</x:v>
      </x:c>
      <x:c r="O889" s="10" t="n">
        <x:f>AE888*N889</x:f>
        <x:v>3000</x:v>
      </x:c>
      <x:c r="P889" s="9" t="n">
        <x:f>MIN(1,(AB888/(AE888*IF(v01_GroupInCrowding=1,N889,MIN(J889,L889))))^v01_CrowdingExp)</x:f>
        <x:v>0.003706465541177118</x:v>
      </x:c>
      <x:c r="Q889" s="9" t="n">
        <x:f>IF(D889=1,INDEX(v01_WinterMult,G889),1)</x:f>
        <x:v>1</x:v>
      </x:c>
      <x:c r="R889" s="9" t="n">
        <x:f>H889*Z888*v01_WomenShare*v01_BaseFertility*INDEX(v01_FertMult,G889)*Arch_Fertility*(1-P889)</x:f>
        <x:v>18.110395506908635</x:v>
      </x:c>
      <x:c r="S889" s="9" t="n">
        <x:f>H889*Y888*INDEX(v01_MortChild,G889)/4*Q889</x:f>
        <x:v>3.511033432250231</x:v>
      </x:c>
      <x:c r="T889" s="9" t="n">
        <x:f>H889*Z888*INDEX(v01_MortAdult,G889)*Arch_AdultMort/4*Q889</x:f>
        <x:v>1.2623451936076104</x:v>
      </x:c>
      <x:c r="U889" s="9" t="n">
        <x:f>H889*AA888*INDEX(v01_MortElder,G889)/4*Q889</x:f>
        <x:v>2.6049721261722842</x:v>
      </x:c>
      <x:c r="V889" s="9" t="n">
        <x:f>H889*MAX(0,AB888-O889)*v01_OvercapLoss</x:f>
        <x:v>0</x:v>
      </x:c>
      <x:c r="W889" s="9" t="n">
        <x:f>H889*Y888/(v01_ChildYears*4)</x:f>
        <x:v>8.956717939413855</x:v>
      </x:c>
      <x:c r="X889" s="9" t="n">
        <x:f>H889*Z888/(v01_AdultYears*4)</x:f>
        <x:v>4.072081269701969</x:v>
      </x:c>
      <x:c r="Y889" s="32" t="n">
        <x:f>Y888+R889-S889-W889-Y888*V889/AB888</x:f>
        <x:v>507.21884874242045</x:v>
      </x:c>
      <x:c r="Z889" s="32" t="n">
        <x:f>Z888+W889-X889-T889-Z888*V889/AB888</x:f>
        <x:v>508.56036891914846</x:v>
      </x:c>
      <x:c r="AA889" s="32" t="n">
        <x:f>AA888+X889-U889-AA888*V889/AB888</x:f>
        <x:v>175.13191755501532</x:v>
      </x:c>
      <x:c r="AB889" s="10" t="n">
        <x:f>Y889+Z889+AA889</x:f>
        <x:v>1190.9111352165842</x:v>
      </x:c>
      <x:c r="AC889" s="8" t="n">
        <x:f>IF(AND(v01_WinterTrigger=1,D889=1,AB888/AE888&gt;=K889),1,0)</x:f>
        <x:v>0</x:v>
      </x:c>
      <x:c r="AD889" s="8" t="n">
        <x:f>H889*IF(AND(OR(AB888/AE888&gt;=v01_FissionTrigger*N889,AC889=1),AB888/AE888*v01_DaughterShare&gt;=v01_MinDaughter),MAX(1,ROUND(AE888*v01_FissionRate,0)),0)</x:f>
        <x:v>0</x:v>
      </x:c>
      <x:c r="AE889" s="8" t="n">
        <x:f>IF(H889=1,MAX(1,MIN(INDEX(v01_Smax,G889),AE888+AD889)),AE888)</x:f>
        <x:v>12</x:v>
      </x:c>
      <x:c r="AF889" s="8" t="n">
        <x:f>MAX(0,AE889-AE888)</x:f>
        <x:v>0</x:v>
      </x:c>
      <x:c r="AG889" s="9" t="str">
        <x:f>IF(AF889&gt;0,B889,"")</x:f>
      </x:c>
      <x:c r="AH889" s="9" t="n">
        <x:f>IF(F889&gt;=1,1,(1+v01_LowTiesShare*(AE889-1))/AE889)</x:f>
        <x:v>1</x:v>
      </x:c>
      <x:c r="AI889" s="32" t="n">
        <x:f>(Z889+v01_ElderCommons*INDEX(LM_Elder,G889)*AA889)*AH889</x:f>
        <x:v>1033.9561215841945</x:v>
      </x:c>
      <x:c r="AJ889" s="32" t="n">
        <x:f>H889*v01_CommonsCoef*AI889^v01_CommonsExp*INDEX(LM_Commons,G889)</x:f>
        <x:v>264.73678946542</x:v>
      </x:c>
      <x:c r="AK889" s="32" t="n">
        <x:f>H889*v01_RoleScale*Arch_Roles*(AE889*(INDEX(v01_ElderRolePerSett,G889)*v01_OutElder*INDEX(LM_Elder,G889)+INDEX(v01_ShamanPerSett,G889)*v01_OutShaman)+Z889*(INDEX(v01_PriestShare,G889)*v01_OutPriest+INDEX(v01_ScribeShare,G889)*v01_OutScribe*INDEX(LM_Scribe,G889)+INDEX(v01_ScholarShare,G889)*v01_OutScholar*INDEX(LM_Scholar,G889)+INDEX(v01_ResearcherShare,G889)*v01_OutResearcher*INDEX(LM_Researcher,G889)))</x:f>
        <x:v>50.37033851894528</x:v>
      </x:c>
      <x:c r="AL889" s="32" t="n">
        <x:f>H889*v01_RoleScale*Arch_Roles*AE889*INDEX(v01_MonasteryPerSett,G889)*v01_OutMonastery*INDEX(LM_Monastery,G889)</x:f>
        <x:v>0</x:v>
      </x:c>
      <x:c r="AM889" s="32" t="n">
        <x:f>(AJ889+AK889+AL889)/4*INDEX(LM_All,G889)*INDEX(v01_Boon,G889)*Arch_Insight</x:f>
        <x:v>94.77677308218506</x:v>
      </x:c>
      <x:c r="AN889" s="32" t="n">
        <x:f>H889*(v01_KHPerAdult*Z889+v01_KHOfCommons*AJ889/4*INDEX(LM_All,G889))*v01_KHUsable*Arch_KH</x:f>
        <x:v>17.799612912170197</x:v>
      </x:c>
      <x:c r="AO889" s="32" t="n">
        <x:f>MIN(AP888+AN889,AM889*v01_KHMaxRatio)</x:f>
        <x:v>17.799612912170197</x:v>
      </x:c>
      <x:c r="AP889" s="32" t="n">
        <x:f>AP888+AN889-AO889</x:f>
        <x:v>0</x:v>
      </x:c>
      <x:c r="AQ889" s="32" t="n">
        <x:f>AM889+AO889</x:f>
        <x:v>112.57638599435526</x:v>
      </x:c>
      <x:c r="AR889" s="10" t="n">
        <x:f>IF(H889=1,INDEX(v01_Req,G889),0)</x:f>
        <x:v>24714.473079999996</x:v>
      </x:c>
      <x:c r="AS889" s="32" t="n">
        <x:f>IF(H889=1,IF(E889=1,AS888-AR888,AS888)+AQ889,0)</x:f>
        <x:v>501.98712978106846</x:v>
      </x:c>
      <x:c r="AT889" s="11" t="n">
        <x:f>IF(AR889&gt;0,MIN(1,AS889/AR889),1)</x:f>
        <x:v>0.020311463981293527</x:v>
      </x:c>
      <x:c r="AU889" s="10" t="n">
        <x:f>AB889/INDEX(v01_RepScale,G889)</x:f>
        <x:v>119.09111352165841</x:v>
      </x:c>
      <x:c r="AV889" s="32" t="n">
        <x:f>AM889*60/v01_SeasonSeconds</x:f>
        <x:v>379.1070923287402</x:v>
      </x:c>
    </x:row>
    <x:row r="890">
      <x:c r="A890" s="8" t="n">
        <x:f>A889+1</x:f>
        <x:v>887</x:v>
      </x:c>
      <x:c r="B890" s="9" t="n">
        <x:f>A890*v01_SeasonSeconds/60</x:f>
        <x:v>221.75</x:v>
      </x:c>
      <x:c r="C890" s="9" t="n">
        <x:f>A890/4</x:f>
        <x:v>221.75</x:v>
      </x:c>
      <x:c r="D890" s="8" t="n">
        <x:f>IF(MOD(A890,4)=0,1,0)</x:f>
        <x:v>0</x:v>
      </x:c>
      <x:c r="E890" s="8" t="n">
        <x:f>IF(AND(F889&lt;=9,AS889&gt;=AR889),1,0)</x:f>
        <x:v>0</x:v>
      </x:c>
      <x:c r="F890" s="8" t="n">
        <x:f>MIN(10,F889+E890)</x:f>
        <x:v>4</x:v>
      </x:c>
      <x:c r="G890" s="8" t="n">
        <x:f>MIN(F890,9)+1</x:f>
        <x:v>5</x:v>
      </x:c>
      <x:c r="H890" s="8" t="n">
        <x:f>IF(F890&lt;=9,1,0)</x:f>
        <x:v>1</x:v>
      </x:c>
      <x:c r="I890" s="9" t="n">
        <x:f>MIN(10,F889+IF(AR889&gt;0,MIN(1,AS889/AR889),1))</x:f>
        <x:v>4.020311463981294</x:v>
      </x:c>
      <x:c r="J890" s="32" t="n">
        <x:f>INDEX(v01_FoodCap,G890)*Arch_FoodCap*EXP(v01_CapsByProject*SUMPRODUCT((Cap_Point&lt;=I890)*(Cap_Kind="Food")*Cap_Ln))</x:f>
        <x:v>250</x:v>
      </x:c>
      <x:c r="K890" s="32" t="n">
        <x:f>J890*MIN(1,v01_LeanBase*EXP(v01_CapsByProject*SUMPRODUCT((Cap_Point&lt;=I890)*(Cap_Kind="Lean")*Cap_Ln)))</x:f>
        <x:v>250</x:v>
      </x:c>
      <x:c r="L890" s="10" t="n">
        <x:f>INDEX(v01_HousingCap,G890)*EXP(v01_CapsByProject*SUMPRODUCT((Cap_Point&lt;=I890)*(Cap_Kind="Housing")*Cap_Ln))</x:f>
        <x:v>400</x:v>
      </x:c>
      <x:c r="M890" s="10" t="n">
        <x:f>INDEX(v01_GroupCap,G890)*v01_CohesionFactor*EXP(v01_CapsByProject*SUMPRODUCT((Cap_Point&lt;=I890)*(Cap_Kind="Group")*Cap_Ln))</x:f>
        <x:v>10000</x:v>
      </x:c>
      <x:c r="N890" s="32" t="n">
        <x:f>MIN(J890,L890,M890)</x:f>
        <x:v>250</x:v>
      </x:c>
      <x:c r="O890" s="10" t="n">
        <x:f>AE889*N890</x:f>
        <x:v>3000</x:v>
      </x:c>
      <x:c r="P890" s="9" t="n">
        <x:f>MIN(1,(AB889/(AE889*IF(v01_GroupInCrowding=1,N890,MIN(J890,L890))))^v01_CrowdingExp)</x:f>
        <x:v>0.003913349242042751</x:v>
      </x:c>
      <x:c r="Q890" s="9" t="n">
        <x:f>IF(D890=1,INDEX(v01_WinterMult,G890),1)</x:f>
        <x:v>1</x:v>
      </x:c>
      <x:c r="R890" s="9" t="n">
        <x:f>H890*Z889*v01_WomenShare*v01_BaseFertility*INDEX(v01_FertMult,G890)*Arch_Fertility*(1-P890)</x:f>
        <x:v>18.236527005056605</x:v>
      </x:c>
      <x:c r="S890" s="9" t="n">
        <x:f>H890*Y889*INDEX(v01_MortChild,G890)/4*Q890</x:f>
        <x:v>3.5505319411969434</x:v>
      </x:c>
      <x:c r="T890" s="9" t="n">
        <x:f>H890*Z889*INDEX(v01_MortAdult,G890)*Arch_AdultMort/4*Q890</x:f>
        <x:v>1.2714009222978713</x:v>
      </x:c>
      <x:c r="U890" s="9" t="n">
        <x:f>H890*AA889*INDEX(v01_MortElder,G890)/4*Q890</x:f>
        <x:v>2.6269787633252295</x:v>
      </x:c>
      <x:c r="V890" s="9" t="n">
        <x:f>H890*MAX(0,AB889-O890)*v01_OvercapLoss</x:f>
        <x:v>0</x:v>
      </x:c>
      <x:c r="W890" s="9" t="n">
        <x:f>H890*Y889/(v01_ChildYears*4)</x:f>
        <x:v>9.057479441828937</x:v>
      </x:c>
      <x:c r="X890" s="9" t="n">
        <x:f>H890*Z889/(v01_AdultYears*4)</x:f>
        <x:v>4.101293297735068</x:v>
      </x:c>
      <x:c r="Y890" s="32" t="n">
        <x:f>Y889+R890-S890-W890-Y889*V890/AB889</x:f>
        <x:v>512.8473643644512</x:v>
      </x:c>
      <x:c r="Z890" s="32" t="n">
        <x:f>Z889+W890-X890-T890-Z889*V890/AB889</x:f>
        <x:v>512.2451541409445</x:v>
      </x:c>
      <x:c r="AA890" s="32" t="n">
        <x:f>AA889+X890-U890-AA889*V890/AB889</x:f>
        <x:v>176.60623208942513</x:v>
      </x:c>
      <x:c r="AB890" s="10" t="n">
        <x:f>Y890+Z890+AA890</x:f>
        <x:v>1201.698750594821</x:v>
      </x:c>
      <x:c r="AC890" s="8" t="n">
        <x:f>IF(AND(v01_WinterTrigger=1,D890=1,AB889/AE889&gt;=K890),1,0)</x:f>
        <x:v>0</x:v>
      </x:c>
      <x:c r="AD890" s="8" t="n">
        <x:f>H890*IF(AND(OR(AB889/AE889&gt;=v01_FissionTrigger*N890,AC890=1),AB889/AE889*v01_DaughterShare&gt;=v01_MinDaughter),MAX(1,ROUND(AE889*v01_FissionRate,0)),0)</x:f>
        <x:v>0</x:v>
      </x:c>
      <x:c r="AE890" s="8" t="n">
        <x:f>IF(H890=1,MAX(1,MIN(INDEX(v01_Smax,G890),AE889+AD890)),AE889)</x:f>
        <x:v>12</x:v>
      </x:c>
      <x:c r="AF890" s="8" t="n">
        <x:f>MAX(0,AE890-AE889)</x:f>
        <x:v>0</x:v>
      </x:c>
      <x:c r="AG890" s="9" t="str">
        <x:f>IF(AF890&gt;0,B890,"")</x:f>
      </x:c>
      <x:c r="AH890" s="9" t="n">
        <x:f>IF(F890&gt;=1,1,(1+v01_LowTiesShare*(AE890-1))/AE890)</x:f>
        <x:v>1</x:v>
      </x:c>
      <x:c r="AI890" s="32" t="n">
        <x:f>(Z890+v01_ElderCommons*INDEX(LM_Elder,G890)*AA890)*AH890</x:f>
        <x:v>1042.0638504092199</x:v>
      </x:c>
      <x:c r="AJ890" s="32" t="n">
        <x:f>H890*v01_CommonsCoef*AI890^v01_CommonsExp*INDEX(LM_Commons,G890)</x:f>
        <x:v>266.50029004328485</x:v>
      </x:c>
      <x:c r="AK890" s="32" t="n">
        <x:f>H890*v01_RoleScale*Arch_Roles*(AE890*(INDEX(v01_ElderRolePerSett,G890)*v01_OutElder*INDEX(LM_Elder,G890)+INDEX(v01_ShamanPerSett,G890)*v01_OutShaman)+Z890*(INDEX(v01_PriestShare,G890)*v01_OutPriest+INDEX(v01_ScribeShare,G890)*v01_OutScribe*INDEX(LM_Scribe,G890)+INDEX(v01_ScholarShare,G890)*v01_OutScholar*INDEX(LM_Scholar,G890)+INDEX(v01_ResearcherShare,G890)*v01_OutResearcher*INDEX(LM_Researcher,G890)))</x:f>
        <x:v>50.47445911945403</x:v>
      </x:c>
      <x:c r="AL890" s="32" t="n">
        <x:f>H890*v01_RoleScale*Arch_Roles*AE890*INDEX(v01_MonasteryPerSett,G890)*v01_OutMonastery*INDEX(LM_Monastery,G890)</x:f>
        <x:v>0</x:v>
      </x:c>
      <x:c r="AM890" s="32" t="n">
        <x:f>(AJ890+AK890+AL890)/4*INDEX(LM_All,G890)*INDEX(v01_Boon,G890)*Arch_Insight</x:f>
        <x:v>95.33850937091472</x:v>
      </x:c>
      <x:c r="AN890" s="32" t="n">
        <x:f>H890*(v01_KHPerAdult*Z890+v01_KHOfCommons*AJ890/4*INDEX(LM_All,G890))*v01_KHUsable*Arch_KH</x:f>
        <x:v>17.928580394933057</x:v>
      </x:c>
      <x:c r="AO890" s="32" t="n">
        <x:f>MIN(AP889+AN890,AM890*v01_KHMaxRatio)</x:f>
        <x:v>17.928580394933057</x:v>
      </x:c>
      <x:c r="AP890" s="32" t="n">
        <x:f>AP889+AN890-AO890</x:f>
        <x:v>0</x:v>
      </x:c>
      <x:c r="AQ890" s="32" t="n">
        <x:f>AM890+AO890</x:f>
        <x:v>113.26708976584777</x:v>
      </x:c>
      <x:c r="AR890" s="10" t="n">
        <x:f>IF(H890=1,INDEX(v01_Req,G890),0)</x:f>
        <x:v>24714.473079999996</x:v>
      </x:c>
      <x:c r="AS890" s="32" t="n">
        <x:f>IF(H890=1,IF(E890=1,AS889-AR889,AS889)+AQ890,0)</x:f>
        <x:v>615.2542195469163</x:v>
      </x:c>
      <x:c r="AT890" s="11" t="n">
        <x:f>IF(AR890&gt;0,MIN(1,AS890/AR890),1)</x:f>
        <x:v>0.02489449067173543</x:v>
      </x:c>
      <x:c r="AU890" s="10" t="n">
        <x:f>AB890/INDEX(v01_RepScale,G890)</x:f>
        <x:v>120.1698750594821</x:v>
      </x:c>
      <x:c r="AV890" s="32" t="n">
        <x:f>AM890*60/v01_SeasonSeconds</x:f>
        <x:v>381.35403748365883</x:v>
      </x:c>
    </x:row>
    <x:row r="891">
      <x:c r="A891" s="8" t="n">
        <x:f>A890+1</x:f>
        <x:v>888</x:v>
      </x:c>
      <x:c r="B891" s="9" t="n">
        <x:f>A891*v01_SeasonSeconds/60</x:f>
        <x:v>222</x:v>
      </x:c>
      <x:c r="C891" s="9" t="n">
        <x:f>A891/4</x:f>
        <x:v>222</x:v>
      </x:c>
      <x:c r="D891" s="8" t="n">
        <x:f>IF(MOD(A891,4)=0,1,0)</x:f>
        <x:v>1</x:v>
      </x:c>
      <x:c r="E891" s="8" t="n">
        <x:f>IF(AND(F890&lt;=9,AS890&gt;=AR890),1,0)</x:f>
        <x:v>0</x:v>
      </x:c>
      <x:c r="F891" s="8" t="n">
        <x:f>MIN(10,F890+E891)</x:f>
        <x:v>4</x:v>
      </x:c>
      <x:c r="G891" s="8" t="n">
        <x:f>MIN(F891,9)+1</x:f>
        <x:v>5</x:v>
      </x:c>
      <x:c r="H891" s="8" t="n">
        <x:f>IF(F891&lt;=9,1,0)</x:f>
        <x:v>1</x:v>
      </x:c>
      <x:c r="I891" s="9" t="n">
        <x:f>MIN(10,F890+IF(AR890&gt;0,MIN(1,AS890/AR890),1))</x:f>
        <x:v>4.024894490671735</x:v>
      </x:c>
      <x:c r="J891" s="32" t="n">
        <x:f>INDEX(v01_FoodCap,G891)*Arch_FoodCap*EXP(v01_CapsByProject*SUMPRODUCT((Cap_Point&lt;=I891)*(Cap_Kind="Food")*Cap_Ln))</x:f>
        <x:v>250</x:v>
      </x:c>
      <x:c r="K891" s="32" t="n">
        <x:f>J891*MIN(1,v01_LeanBase*EXP(v01_CapsByProject*SUMPRODUCT((Cap_Point&lt;=I891)*(Cap_Kind="Lean")*Cap_Ln)))</x:f>
        <x:v>250</x:v>
      </x:c>
      <x:c r="L891" s="10" t="n">
        <x:f>INDEX(v01_HousingCap,G891)*EXP(v01_CapsByProject*SUMPRODUCT((Cap_Point&lt;=I891)*(Cap_Kind="Housing")*Cap_Ln))</x:f>
        <x:v>400</x:v>
      </x:c>
      <x:c r="M891" s="10" t="n">
        <x:f>INDEX(v01_GroupCap,G891)*v01_CohesionFactor*EXP(v01_CapsByProject*SUMPRODUCT((Cap_Point&lt;=I891)*(Cap_Kind="Group")*Cap_Ln))</x:f>
        <x:v>10000</x:v>
      </x:c>
      <x:c r="N891" s="32" t="n">
        <x:f>MIN(J891,L891,M891)</x:f>
        <x:v>250</x:v>
      </x:c>
      <x:c r="O891" s="10" t="n">
        <x:f>AE890*N891</x:f>
        <x:v>3000</x:v>
      </x:c>
      <x:c r="P891" s="9" t="n">
        <x:f>MIN(1,(AB890/(AE890*IF(v01_GroupInCrowding=1,N891,MIN(J891,L891))))^v01_CrowdingExp)</x:f>
        <x:v>0.004130913770314476</x:v>
      </x:c>
      <x:c r="Q891" s="9" t="n">
        <x:f>IF(D891=1,INDEX(v01_WinterMult,G891),1)</x:f>
        <x:v>1</x:v>
      </x:c>
      <x:c r="R891" s="9" t="n">
        <x:f>H891*Z890*v01_WomenShare*v01_BaseFertility*INDEX(v01_FertMult,G891)*Arch_Fertility*(1-P891)</x:f>
        <x:v>18.364648088877363</x:v>
      </x:c>
      <x:c r="S891" s="9" t="n">
        <x:f>H891*Y890*INDEX(v01_MortChild,G891)/4*Q891</x:f>
        <x:v>3.5899315505511584</x:v>
      </x:c>
      <x:c r="T891" s="9" t="n">
        <x:f>H891*Z890*INDEX(v01_MortAdult,G891)*Arch_AdultMort/4*Q891</x:f>
        <x:v>1.2806128853523613</x:v>
      </x:c>
      <x:c r="U891" s="9" t="n">
        <x:f>H891*AA890*INDEX(v01_MortElder,G891)/4*Q891</x:f>
        <x:v>2.649093481341377</x:v>
      </x:c>
      <x:c r="V891" s="9" t="n">
        <x:f>H891*MAX(0,AB890-O891)*v01_OvercapLoss</x:f>
        <x:v>0</x:v>
      </x:c>
      <x:c r="W891" s="9" t="n">
        <x:f>H891*Y890/(v01_ChildYears*4)</x:f>
        <x:v>9.1579886493652</x:v>
      </x:c>
      <x:c r="X891" s="9" t="n">
        <x:f>H891*Z890/(v01_AdultYears*4)</x:f>
        <x:v>4.131009307588262</x:v>
      </x:c>
      <x:c r="Y891" s="32" t="n">
        <x:f>Y890+R891-S891-W891-Y890*V891/AB890</x:f>
        <x:v>518.4640922534123</x:v>
      </x:c>
      <x:c r="Z891" s="32" t="n">
        <x:f>Z890+W891-X891-T891-Z890*V891/AB890</x:f>
        <x:v>515.991520597369</x:v>
      </x:c>
      <x:c r="AA891" s="32" t="n">
        <x:f>AA890+X891-U891-AA890*V891/AB890</x:f>
        <x:v>178.08814791567204</x:v>
      </x:c>
      <x:c r="AB891" s="10" t="n">
        <x:f>Y891+Z891+AA891</x:f>
        <x:v>1212.5437607664535</x:v>
      </x:c>
      <x:c r="AC891" s="8" t="n">
        <x:f>IF(AND(v01_WinterTrigger=1,D891=1,AB890/AE890&gt;=K891),1,0)</x:f>
        <x:v>0</x:v>
      </x:c>
      <x:c r="AD891" s="8" t="n">
        <x:f>H891*IF(AND(OR(AB890/AE890&gt;=v01_FissionTrigger*N891,AC891=1),AB890/AE890*v01_DaughterShare&gt;=v01_MinDaughter),MAX(1,ROUND(AE890*v01_FissionRate,0)),0)</x:f>
        <x:v>0</x:v>
      </x:c>
      <x:c r="AE891" s="8" t="n">
        <x:f>IF(H891=1,MAX(1,MIN(INDEX(v01_Smax,G891),AE890+AD891)),AE890)</x:f>
        <x:v>12</x:v>
      </x:c>
      <x:c r="AF891" s="8" t="n">
        <x:f>MAX(0,AE891-AE890)</x:f>
        <x:v>0</x:v>
      </x:c>
      <x:c r="AG891" s="9" t="str">
        <x:f>IF(AF891&gt;0,B891,"")</x:f>
      </x:c>
      <x:c r="AH891" s="9" t="n">
        <x:f>IF(F891&gt;=1,1,(1+v01_LowTiesShare*(AE891-1))/AE891)</x:f>
        <x:v>1</x:v>
      </x:c>
      <x:c r="AI891" s="32" t="n">
        <x:f>(Z891+v01_ElderCommons*INDEX(LM_Elder,G891)*AA891)*AH891</x:f>
        <x:v>1050.2559643443851</x:v>
      </x:c>
      <x:c r="AJ891" s="32" t="n">
        <x:f>H891*v01_CommonsCoef*AI891^v01_CommonsExp*INDEX(LM_Commons,G891)</x:f>
        <x:v>268.2800559999483</x:v>
      </x:c>
      <x:c r="AK891" s="32" t="n">
        <x:f>H891*v01_RoleScale*Arch_Roles*(AE891*(INDEX(v01_ElderRolePerSett,G891)*v01_OutElder*INDEX(LM_Elder,G891)+INDEX(v01_ShamanPerSett,G891)*v01_OutShaman)+Z891*(INDEX(v01_PriestShare,G891)*v01_OutPriest+INDEX(v01_ScribeShare,G891)*v01_OutScribe*INDEX(LM_Scribe,G891)+INDEX(v01_ScholarShare,G891)*v01_OutScholar*INDEX(LM_Scholar,G891)+INDEX(v01_ResearcherShare,G891)*v01_OutResearcher*INDEX(LM_Researcher,G891)))</x:f>
        <x:v>50.58031981463416</x:v>
      </x:c>
      <x:c r="AL891" s="32" t="n">
        <x:f>H891*v01_RoleScale*Arch_Roles*AE891*INDEX(v01_MonasteryPerSett,G891)*v01_OutMonastery*INDEX(LM_Monastery,G891)</x:f>
        <x:v>0</x:v>
      </x:c>
      <x:c r="AM891" s="32" t="n">
        <x:f>(AJ891+AK891+AL891)/4*INDEX(LM_All,G891)*INDEX(v01_Boon,G891)*Arch_Insight</x:f>
        <x:v>95.90566128030716</x:v>
      </x:c>
      <x:c r="AN891" s="32" t="n">
        <x:f>H891*(v01_KHPerAdult*Z891+v01_KHOfCommons*AJ891/4*INDEX(LM_All,G891))*v01_KHUsable*Arch_KH</x:f>
        <x:v>18.059703220907913</x:v>
      </x:c>
      <x:c r="AO891" s="32" t="n">
        <x:f>MIN(AP890+AN891,AM891*v01_KHMaxRatio)</x:f>
        <x:v>18.059703220907913</x:v>
      </x:c>
      <x:c r="AP891" s="32" t="n">
        <x:f>AP890+AN891-AO891</x:f>
        <x:v>0</x:v>
      </x:c>
      <x:c r="AQ891" s="32" t="n">
        <x:f>AM891+AO891</x:f>
        <x:v>113.96536450121508</x:v>
      </x:c>
      <x:c r="AR891" s="10" t="n">
        <x:f>IF(H891=1,INDEX(v01_Req,G891),0)</x:f>
        <x:v>24714.473079999996</x:v>
      </x:c>
      <x:c r="AS891" s="32" t="n">
        <x:f>IF(H891=1,IF(E891=1,AS890-AR890,AS890)+AQ891,0)</x:f>
        <x:v>729.2195840481313</x:v>
      </x:c>
      <x:c r="AT891" s="11" t="n">
        <x:f>IF(AR891&gt;0,MIN(1,AS891/AR891),1)</x:f>
        <x:v>0.02950577103900495</x:v>
      </x:c>
      <x:c r="AU891" s="10" t="n">
        <x:f>AB891/INDEX(v01_RepScale,G891)</x:f>
        <x:v>121.25437607664534</x:v>
      </x:c>
      <x:c r="AV891" s="32" t="n">
        <x:f>AM891*60/v01_SeasonSeconds</x:f>
        <x:v>383.62264512122863</x:v>
      </x:c>
    </x:row>
    <x:row r="892">
      <x:c r="A892" s="8" t="n">
        <x:f>A891+1</x:f>
        <x:v>889</x:v>
      </x:c>
      <x:c r="B892" s="9" t="n">
        <x:f>A892*v01_SeasonSeconds/60</x:f>
        <x:v>222.25</x:v>
      </x:c>
      <x:c r="C892" s="9" t="n">
        <x:f>A892/4</x:f>
        <x:v>222.25</x:v>
      </x:c>
      <x:c r="D892" s="8" t="n">
        <x:f>IF(MOD(A892,4)=0,1,0)</x:f>
        <x:v>0</x:v>
      </x:c>
      <x:c r="E892" s="8" t="n">
        <x:f>IF(AND(F891&lt;=9,AS891&gt;=AR891),1,0)</x:f>
        <x:v>0</x:v>
      </x:c>
      <x:c r="F892" s="8" t="n">
        <x:f>MIN(10,F891+E892)</x:f>
        <x:v>4</x:v>
      </x:c>
      <x:c r="G892" s="8" t="n">
        <x:f>MIN(F892,9)+1</x:f>
        <x:v>5</x:v>
      </x:c>
      <x:c r="H892" s="8" t="n">
        <x:f>IF(F892&lt;=9,1,0)</x:f>
        <x:v>1</x:v>
      </x:c>
      <x:c r="I892" s="9" t="n">
        <x:f>MIN(10,F891+IF(AR891&gt;0,MIN(1,AS891/AR891),1))</x:f>
        <x:v>4.0295057710390045</x:v>
      </x:c>
      <x:c r="J892" s="32" t="n">
        <x:f>INDEX(v01_FoodCap,G892)*Arch_FoodCap*EXP(v01_CapsByProject*SUMPRODUCT((Cap_Point&lt;=I892)*(Cap_Kind="Food")*Cap_Ln))</x:f>
        <x:v>250</x:v>
      </x:c>
      <x:c r="K892" s="32" t="n">
        <x:f>J892*MIN(1,v01_LeanBase*EXP(v01_CapsByProject*SUMPRODUCT((Cap_Point&lt;=I892)*(Cap_Kind="Lean")*Cap_Ln)))</x:f>
        <x:v>250</x:v>
      </x:c>
      <x:c r="L892" s="10" t="n">
        <x:f>INDEX(v01_HousingCap,G892)*EXP(v01_CapsByProject*SUMPRODUCT((Cap_Point&lt;=I892)*(Cap_Kind="Housing")*Cap_Ln))</x:f>
        <x:v>400</x:v>
      </x:c>
      <x:c r="M892" s="10" t="n">
        <x:f>INDEX(v01_GroupCap,G892)*v01_CohesionFactor*EXP(v01_CapsByProject*SUMPRODUCT((Cap_Point&lt;=I892)*(Cap_Kind="Group")*Cap_Ln))</x:f>
        <x:v>10000</x:v>
      </x:c>
      <x:c r="N892" s="32" t="n">
        <x:f>MIN(J892,L892,M892)</x:f>
        <x:v>250</x:v>
      </x:c>
      <x:c r="O892" s="10" t="n">
        <x:f>AE891*N892</x:f>
        <x:v>3000</x:v>
      </x:c>
      <x:c r="P892" s="9" t="n">
        <x:f>MIN(1,(AB891/(AE891*IF(v01_GroupInCrowding=1,N892,MIN(J892,L892))))^v01_CrowdingExp)</x:f>
        <x:v>0.004359703952119191</x:v>
      </x:c>
      <x:c r="Q892" s="9" t="n">
        <x:f>IF(D892=1,INDEX(v01_WinterMult,G892),1)</x:f>
        <x:v>1</x:v>
      </x:c>
      <x:c r="R892" s="9" t="n">
        <x:f>H892*Z891*v01_WomenShare*v01_BaseFertility*INDEX(v01_FertMult,G892)*Arch_Fertility*(1-P892)</x:f>
        <x:v>18.494710211727384</x:v>
      </x:c>
      <x:c r="S892" s="9" t="n">
        <x:f>H892*Y891*INDEX(v01_MortChild,G892)/4*Q892</x:f>
        <x:v>3.6292486457738864</x:v>
      </x:c>
      <x:c r="T892" s="9" t="n">
        <x:f>H892*Z891*INDEX(v01_MortAdult,G892)*Arch_AdultMort/4*Q892</x:f>
        <x:v>1.2899788014934226</x:v>
      </x:c>
      <x:c r="U892" s="9" t="n">
        <x:f>H892*AA891*INDEX(v01_MortElder,G892)/4*Q892</x:f>
        <x:v>2.6713222187350807</x:v>
      </x:c>
      <x:c r="V892" s="9" t="n">
        <x:f>H892*MAX(0,AB891-O892)*v01_OvercapLoss</x:f>
        <x:v>0</x:v>
      </x:c>
      <x:c r="W892" s="9" t="n">
        <x:f>H892*Y891/(v01_ChildYears*4)</x:f>
        <x:v>9.258287361668078</x:v>
      </x:c>
      <x:c r="X892" s="9" t="n">
        <x:f>H892*Z891/(v01_AdultYears*4)</x:f>
        <x:v>4.161221940301363</x:v>
      </x:c>
      <x:c r="Y892" s="32" t="n">
        <x:f>Y891+R892-S892-W892-Y891*V892/AB891</x:f>
        <x:v>524.0712664576977</x:v>
      </x:c>
      <x:c r="Z892" s="32" t="n">
        <x:f>Z891+W892-X892-T892-Z891*V892/AB891</x:f>
        <x:v>519.7986072172422</x:v>
      </x:c>
      <x:c r="AA892" s="32" t="n">
        <x:f>AA891+X892-U892-AA891*V892/AB891</x:f>
        <x:v>179.57804763723834</x:v>
      </x:c>
      <x:c r="AB892" s="10" t="n">
        <x:f>Y892+Z892+AA892</x:f>
        <x:v>1223.447921312178</x:v>
      </x:c>
      <x:c r="AC892" s="8" t="n">
        <x:f>IF(AND(v01_WinterTrigger=1,D892=1,AB891/AE891&gt;=K892),1,0)</x:f>
        <x:v>0</x:v>
      </x:c>
      <x:c r="AD892" s="8" t="n">
        <x:f>H892*IF(AND(OR(AB891/AE891&gt;=v01_FissionTrigger*N892,AC892=1),AB891/AE891*v01_DaughterShare&gt;=v01_MinDaughter),MAX(1,ROUND(AE891*v01_FissionRate,0)),0)</x:f>
        <x:v>0</x:v>
      </x:c>
      <x:c r="AE892" s="8" t="n">
        <x:f>IF(H892=1,MAX(1,MIN(INDEX(v01_Smax,G892),AE891+AD892)),AE891)</x:f>
        <x:v>12</x:v>
      </x:c>
      <x:c r="AF892" s="8" t="n">
        <x:f>MAX(0,AE892-AE891)</x:f>
        <x:v>0</x:v>
      </x:c>
      <x:c r="AG892" s="9" t="str">
        <x:f>IF(AF892&gt;0,B892,"")</x:f>
      </x:c>
      <x:c r="AH892" s="9" t="n">
        <x:f>IF(F892&gt;=1,1,(1+v01_LowTiesShare*(AE892-1))/AE892)</x:f>
        <x:v>1</x:v>
      </x:c>
      <x:c r="AI892" s="32" t="n">
        <x:f>(Z892+v01_ElderCommons*INDEX(LM_Elder,G892)*AA892)*AH892</x:f>
        <x:v>1058.532750128957</x:v>
      </x:c>
      <x:c r="AJ892" s="32" t="n">
        <x:f>H892*v01_CommonsCoef*AI892^v01_CommonsExp*INDEX(LM_Commons,G892)</x:f>
        <x:v>270.0761037450376</x:v>
      </x:c>
      <x:c r="AK892" s="32" t="n">
        <x:f>H892*v01_RoleScale*Arch_Roles*(AE892*(INDEX(v01_ElderRolePerSett,G892)*v01_OutElder*INDEX(LM_Elder,G892)+INDEX(v01_ShamanPerSett,G892)*v01_OutShaman)+Z892*(INDEX(v01_PriestShare,G892)*v01_OutPriest+INDEX(v01_ScribeShare,G892)*v01_OutScribe*INDEX(LM_Scribe,G892)+INDEX(v01_ScholarShare,G892)*v01_OutScholar*INDEX(LM_Scholar,G892)+INDEX(v01_ResearcherShare,G892)*v01_OutResearcher*INDEX(LM_Researcher,G892)))</x:f>
        <x:v>50.68789627328508</x:v>
      </x:c>
      <x:c r="AL892" s="32" t="n">
        <x:f>H892*v01_RoleScale*Arch_Roles*AE892*INDEX(v01_MonasteryPerSett,G892)*v01_OutMonastery*INDEX(LM_Monastery,G892)</x:f>
        <x:v>0</x:v>
      </x:c>
      <x:c r="AM892" s="32" t="n">
        <x:f>(AJ892+AK892+AL892)/4*INDEX(LM_All,G892)*INDEX(v01_Boon,G892)*Arch_Insight</x:f>
        <x:v>96.47822642774044</x:v>
      </x:c>
      <x:c r="AN892" s="32" t="n">
        <x:f>H892*(v01_KHPerAdult*Z892+v01_KHOfCommons*AJ892/4*INDEX(LM_All,G892))*v01_KHUsable*Arch_KH</x:f>
        <x:v>18.192951252603475</x:v>
      </x:c>
      <x:c r="AO892" s="32" t="n">
        <x:f>MIN(AP891+AN892,AM892*v01_KHMaxRatio)</x:f>
        <x:v>18.192951252603475</x:v>
      </x:c>
      <x:c r="AP892" s="32" t="n">
        <x:f>AP891+AN892-AO892</x:f>
        <x:v>0</x:v>
      </x:c>
      <x:c r="AQ892" s="32" t="n">
        <x:f>AM892+AO892</x:f>
        <x:v>114.67117768034392</x:v>
      </x:c>
      <x:c r="AR892" s="10" t="n">
        <x:f>IF(H892=1,INDEX(v01_Req,G892),0)</x:f>
        <x:v>24714.473079999996</x:v>
      </x:c>
      <x:c r="AS892" s="32" t="n">
        <x:f>IF(H892=1,IF(E892=1,AS891-AR891,AS891)+AQ892,0)</x:f>
        <x:v>843.8907617284752</x:v>
      </x:c>
      <x:c r="AT892" s="11" t="n">
        <x:f>IF(AR892&gt;0,MIN(1,AS892/AR892),1)</x:f>
        <x:v>0.03414561010452566</x:v>
      </x:c>
      <x:c r="AU892" s="10" t="n">
        <x:f>AB892/INDEX(v01_RepScale,G892)</x:f>
        <x:v>122.34479213121782</x:v>
      </x:c>
      <x:c r="AV892" s="32" t="n">
        <x:f>AM892*60/v01_SeasonSeconds</x:f>
        <x:v>385.91290571096175</x:v>
      </x:c>
    </x:row>
    <x:row r="893">
      <x:c r="A893" s="8" t="n">
        <x:f>A892+1</x:f>
        <x:v>890</x:v>
      </x:c>
      <x:c r="B893" s="9" t="n">
        <x:f>A893*v01_SeasonSeconds/60</x:f>
        <x:v>222.5</x:v>
      </x:c>
      <x:c r="C893" s="9" t="n">
        <x:f>A893/4</x:f>
        <x:v>222.5</x:v>
      </x:c>
      <x:c r="D893" s="8" t="n">
        <x:f>IF(MOD(A893,4)=0,1,0)</x:f>
        <x:v>0</x:v>
      </x:c>
      <x:c r="E893" s="8" t="n">
        <x:f>IF(AND(F892&lt;=9,AS892&gt;=AR892),1,0)</x:f>
        <x:v>0</x:v>
      </x:c>
      <x:c r="F893" s="8" t="n">
        <x:f>MIN(10,F892+E893)</x:f>
        <x:v>4</x:v>
      </x:c>
      <x:c r="G893" s="8" t="n">
        <x:f>MIN(F893,9)+1</x:f>
        <x:v>5</x:v>
      </x:c>
      <x:c r="H893" s="8" t="n">
        <x:f>IF(F893&lt;=9,1,0)</x:f>
        <x:v>1</x:v>
      </x:c>
      <x:c r="I893" s="9" t="n">
        <x:f>MIN(10,F892+IF(AR892&gt;0,MIN(1,AS892/AR892),1))</x:f>
        <x:v>4.034145610104526</x:v>
      </x:c>
      <x:c r="J893" s="32" t="n">
        <x:f>INDEX(v01_FoodCap,G893)*Arch_FoodCap*EXP(v01_CapsByProject*SUMPRODUCT((Cap_Point&lt;=I893)*(Cap_Kind="Food")*Cap_Ln))</x:f>
        <x:v>250</x:v>
      </x:c>
      <x:c r="K893" s="32" t="n">
        <x:f>J893*MIN(1,v01_LeanBase*EXP(v01_CapsByProject*SUMPRODUCT((Cap_Point&lt;=I893)*(Cap_Kind="Lean")*Cap_Ln)))</x:f>
        <x:v>250</x:v>
      </x:c>
      <x:c r="L893" s="10" t="n">
        <x:f>INDEX(v01_HousingCap,G893)*EXP(v01_CapsByProject*SUMPRODUCT((Cap_Point&lt;=I893)*(Cap_Kind="Housing")*Cap_Ln))</x:f>
        <x:v>400</x:v>
      </x:c>
      <x:c r="M893" s="10" t="n">
        <x:f>INDEX(v01_GroupCap,G893)*v01_CohesionFactor*EXP(v01_CapsByProject*SUMPRODUCT((Cap_Point&lt;=I893)*(Cap_Kind="Group")*Cap_Ln))</x:f>
        <x:v>10000</x:v>
      </x:c>
      <x:c r="N893" s="32" t="n">
        <x:f>MIN(J893,L893,M893)</x:f>
        <x:v>250</x:v>
      </x:c>
      <x:c r="O893" s="10" t="n">
        <x:f>AE892*N893</x:f>
        <x:v>3000</x:v>
      </x:c>
      <x:c r="P893" s="9" t="n">
        <x:f>MIN(1,(AB892/(AE892*IF(v01_GroupInCrowding=1,N893,MIN(J893,L893))))^v01_CrowdingExp)</x:f>
        <x:v>0.004600291968662691</x:v>
      </x:c>
      <x:c r="Q893" s="9" t="n">
        <x:f>IF(D893=1,INDEX(v01_WinterMult,G893),1)</x:f>
        <x:v>1</x:v>
      </x:c>
      <x:c r="R893" s="9" t="n">
        <x:f>H893*Z892*v01_WomenShare*v01_BaseFertility*INDEX(v01_FertMult,G893)*Arch_Fertility*(1-P893)</x:f>
        <x:v>18.62666574692899</x:v>
      </x:c>
      <x:c r="S893" s="9" t="n">
        <x:f>H893*Y892*INDEX(v01_MortChild,G893)/4*Q893</x:f>
        <x:v>3.6684988652038837</x:v>
      </x:c>
      <x:c r="T893" s="9" t="n">
        <x:f>H893*Z892*INDEX(v01_MortAdult,G893)*Arch_AdultMort/4*Q893</x:f>
        <x:v>1.2994965180431055</x:v>
      </x:c>
      <x:c r="U893" s="9" t="n">
        <x:f>H893*AA892*INDEX(v01_MortElder,G893)/4*Q893</x:f>
        <x:v>2.693670714558575</x:v>
      </x:c>
      <x:c r="V893" s="9" t="n">
        <x:f>H893*MAX(0,AB892-O893)*v01_OvercapLoss</x:f>
        <x:v>0</x:v>
      </x:c>
      <x:c r="W893" s="9" t="n">
        <x:f>H893*Y892/(v01_ChildYears*4)</x:f>
        <x:v>9.358415472458887</x:v>
      </x:c>
      <x:c r="X893" s="9" t="n">
        <x:f>H893*Z892/(v01_AdultYears*4)</x:f>
        <x:v>4.191924251751953</x:v>
      </x:c>
      <x:c r="Y893" s="32" t="n">
        <x:f>Y892+R893-S893-W893-Y892*V893/AB892</x:f>
        <x:v>529.6710178669639</x:v>
      </x:c>
      <x:c r="Z893" s="32" t="n">
        <x:f>Z892+W893-X893-T893-Z892*V893/AB892</x:f>
        <x:v>523.665601919906</x:v>
      </x:c>
      <x:c r="AA893" s="32" t="n">
        <x:f>AA892+X893-U893-AA892*V893/AB892</x:f>
        <x:v>181.0763011744317</x:v>
      </x:c>
      <x:c r="AB893" s="10" t="n">
        <x:f>Y893+Z893+AA893</x:f>
        <x:v>1234.4129209613016</x:v>
      </x:c>
      <x:c r="AC893" s="8" t="n">
        <x:f>IF(AND(v01_WinterTrigger=1,D893=1,AB892/AE892&gt;=K893),1,0)</x:f>
        <x:v>0</x:v>
      </x:c>
      <x:c r="AD893" s="8" t="n">
        <x:f>H893*IF(AND(OR(AB892/AE892&gt;=v01_FissionTrigger*N893,AC893=1),AB892/AE892*v01_DaughterShare&gt;=v01_MinDaughter),MAX(1,ROUND(AE892*v01_FissionRate,0)),0)</x:f>
        <x:v>0</x:v>
      </x:c>
      <x:c r="AE893" s="8" t="n">
        <x:f>IF(H893=1,MAX(1,MIN(INDEX(v01_Smax,G893),AE892+AD893)),AE892)</x:f>
        <x:v>12</x:v>
      </x:c>
      <x:c r="AF893" s="8" t="n">
        <x:f>MAX(0,AE893-AE892)</x:f>
        <x:v>0</x:v>
      </x:c>
      <x:c r="AG893" s="9" t="str">
        <x:f>IF(AF893&gt;0,B893,"")</x:f>
      </x:c>
      <x:c r="AH893" s="9" t="n">
        <x:f>IF(F893&gt;=1,1,(1+v01_LowTiesShare*(AE893-1))/AE893)</x:f>
        <x:v>1</x:v>
      </x:c>
      <x:c r="AI893" s="32" t="n">
        <x:f>(Z893+v01_ElderCommons*INDEX(LM_Elder,G893)*AA893)*AH893</x:f>
        <x:v>1066.894505443201</x:v>
      </x:c>
      <x:c r="AJ893" s="32" t="n">
        <x:f>H893*v01_CommonsCoef*AI893^v01_CommonsExp*INDEX(LM_Commons,G893)</x:f>
        <x:v>271.8884519483906</x:v>
      </x:c>
      <x:c r="AK893" s="32" t="n">
        <x:f>H893*v01_RoleScale*Arch_Roles*(AE893*(INDEX(v01_ElderRolePerSett,G893)*v01_OutElder*INDEX(LM_Elder,G893)+INDEX(v01_ShamanPerSett,G893)*v01_OutShaman)+Z893*(INDEX(v01_PriestShare,G893)*v01_OutPriest+INDEX(v01_ScribeShare,G893)*v01_OutScribe*INDEX(LM_Scribe,G893)+INDEX(v01_ScholarShare,G893)*v01_OutScholar*INDEX(LM_Scholar,G893)+INDEX(v01_ResearcherShare,G893)*v01_OutResearcher*INDEX(LM_Researcher,G893)))</x:f>
        <x:v>50.79716554852638</x:v>
      </x:c>
      <x:c r="AL893" s="32" t="n">
        <x:f>H893*v01_RoleScale*Arch_Roles*AE893*INDEX(v01_MonasteryPerSett,G893)*v01_OutMonastery*INDEX(LM_Monastery,G893)</x:f>
        <x:v>0</x:v>
      </x:c>
      <x:c r="AM893" s="32" t="n">
        <x:f>(AJ893+AK893+AL893)/4*INDEX(LM_All,G893)*INDEX(v01_Boon,G893)*Arch_Insight</x:f>
        <x:v>97.05620352678126</x:v>
      </x:c>
      <x:c r="AN893" s="32" t="n">
        <x:f>H893*(v01_KHPerAdult*Z893+v01_KHOfCommons*AJ893/4*INDEX(LM_All,G893))*v01_KHUsable*Arch_KH</x:f>
        <x:v>18.32829606719671</x:v>
      </x:c>
      <x:c r="AO893" s="32" t="n">
        <x:f>MIN(AP892+AN893,AM893*v01_KHMaxRatio)</x:f>
        <x:v>18.32829606719671</x:v>
      </x:c>
      <x:c r="AP893" s="32" t="n">
        <x:f>AP892+AN893-AO893</x:f>
        <x:v>0</x:v>
      </x:c>
      <x:c r="AQ893" s="32" t="n">
        <x:f>AM893+AO893</x:f>
        <x:v>115.38449959397798</x:v>
      </x:c>
      <x:c r="AR893" s="10" t="n">
        <x:f>IF(H893=1,INDEX(v01_Req,G893),0)</x:f>
        <x:v>24714.473079999996</x:v>
      </x:c>
      <x:c r="AS893" s="32" t="n">
        <x:f>IF(H893=1,IF(E893=1,AS892-AR892,AS892)+AQ893,0)</x:f>
        <x:v>959.2752613224532</x:v>
      </x:c>
      <x:c r="AT893" s="11" t="n">
        <x:f>IF(AR893&gt;0,MIN(1,AS893/AR893),1)</x:f>
        <x:v>0.038814311687621596</x:v>
      </x:c>
      <x:c r="AU893" s="10" t="n">
        <x:f>AB893/INDEX(v01_RepScale,G893)</x:f>
        <x:v>123.44129209613016</x:v>
      </x:c>
      <x:c r="AV893" s="32" t="n">
        <x:f>AM893*60/v01_SeasonSeconds</x:f>
        <x:v>388.22481410712504</x:v>
      </x:c>
    </x:row>
    <x:row r="894">
      <x:c r="A894" s="8" t="n">
        <x:f>A893+1</x:f>
        <x:v>891</x:v>
      </x:c>
      <x:c r="B894" s="9" t="n">
        <x:f>A894*v01_SeasonSeconds/60</x:f>
        <x:v>222.75</x:v>
      </x:c>
      <x:c r="C894" s="9" t="n">
        <x:f>A894/4</x:f>
        <x:v>222.75</x:v>
      </x:c>
      <x:c r="D894" s="8" t="n">
        <x:f>IF(MOD(A894,4)=0,1,0)</x:f>
        <x:v>0</x:v>
      </x:c>
      <x:c r="E894" s="8" t="n">
        <x:f>IF(AND(F893&lt;=9,AS893&gt;=AR893),1,0)</x:f>
        <x:v>0</x:v>
      </x:c>
      <x:c r="F894" s="8" t="n">
        <x:f>MIN(10,F893+E894)</x:f>
        <x:v>4</x:v>
      </x:c>
      <x:c r="G894" s="8" t="n">
        <x:f>MIN(F894,9)+1</x:f>
        <x:v>5</x:v>
      </x:c>
      <x:c r="H894" s="8" t="n">
        <x:f>IF(F894&lt;=9,1,0)</x:f>
        <x:v>1</x:v>
      </x:c>
      <x:c r="I894" s="9" t="n">
        <x:f>MIN(10,F893+IF(AR893&gt;0,MIN(1,AS893/AR893),1))</x:f>
        <x:v>4.038814311687622</x:v>
      </x:c>
      <x:c r="J894" s="32" t="n">
        <x:f>INDEX(v01_FoodCap,G894)*Arch_FoodCap*EXP(v01_CapsByProject*SUMPRODUCT((Cap_Point&lt;=I894)*(Cap_Kind="Food")*Cap_Ln))</x:f>
        <x:v>250</x:v>
      </x:c>
      <x:c r="K894" s="32" t="n">
        <x:f>J894*MIN(1,v01_LeanBase*EXP(v01_CapsByProject*SUMPRODUCT((Cap_Point&lt;=I894)*(Cap_Kind="Lean")*Cap_Ln)))</x:f>
        <x:v>250</x:v>
      </x:c>
      <x:c r="L894" s="10" t="n">
        <x:f>INDEX(v01_HousingCap,G894)*EXP(v01_CapsByProject*SUMPRODUCT((Cap_Point&lt;=I894)*(Cap_Kind="Housing")*Cap_Ln))</x:f>
        <x:v>400</x:v>
      </x:c>
      <x:c r="M894" s="10" t="n">
        <x:f>INDEX(v01_GroupCap,G894)*v01_CohesionFactor*EXP(v01_CapsByProject*SUMPRODUCT((Cap_Point&lt;=I894)*(Cap_Kind="Group")*Cap_Ln))</x:f>
        <x:v>10000</x:v>
      </x:c>
      <x:c r="N894" s="32" t="n">
        <x:f>MIN(J894,L894,M894)</x:f>
        <x:v>250</x:v>
      </x:c>
      <x:c r="O894" s="10" t="n">
        <x:f>AE893*N894</x:f>
        <x:v>3000</x:v>
      </x:c>
      <x:c r="P894" s="9" t="n">
        <x:f>MIN(1,(AB893/(AE893*IF(v01_GroupInCrowding=1,N894,MIN(J894,L894))))^v01_CrowdingExp)</x:f>
        <x:v>0.004853278633461802</x:v>
      </x:c>
      <x:c r="Q894" s="9" t="n">
        <x:f>IF(D894=1,INDEX(v01_WinterMult,G894),1)</x:f>
        <x:v>1</x:v>
      </x:c>
      <x:c r="R894" s="9" t="n">
        <x:f>H894*Z893*v01_WomenShare*v01_BaseFertility*INDEX(v01_FertMult,G894)*Arch_Fertility*(1-P894)</x:f>
        <x:v>18.760467846349048</x:v>
      </x:c>
      <x:c r="S894" s="9" t="n">
        <x:f>H894*Y893*INDEX(v01_MortChild,G894)/4*Q894</x:f>
        <x:v>3.7076971250687474</x:v>
      </x:c>
      <x:c r="T894" s="9" t="n">
        <x:f>H894*Z893*INDEX(v01_MortAdult,G894)*Arch_AdultMort/4*Q894</x:f>
        <x:v>1.3091640047997648</x:v>
      </x:c>
      <x:c r="U894" s="9" t="n">
        <x:f>H894*AA893*INDEX(v01_MortElder,G894)/4*Q894</x:f>
        <x:v>2.7161445176164754</x:v>
      </x:c>
      <x:c r="V894" s="9" t="n">
        <x:f>H894*MAX(0,AB893-O894)*v01_OvercapLoss</x:f>
        <x:v>0</x:v>
      </x:c>
      <x:c r="W894" s="9" t="n">
        <x:f>H894*Y893/(v01_ChildYears*4)</x:f>
        <x:v>9.45841103333864</x:v>
      </x:c>
      <x:c r="X894" s="9" t="n">
        <x:f>H894*Z893/(v01_AdultYears*4)</x:f>
        <x:v>4.223109692902467</x:v>
      </x:c>
      <x:c r="Y894" s="32" t="n">
        <x:f>Y893+R894-S894-W894-Y893*V894/AB893</x:f>
        <x:v>535.2653775549055</x:v>
      </x:c>
      <x:c r="Z894" s="32" t="n">
        <x:f>Z893+W894-X894-T894-Z893*V894/AB893</x:f>
        <x:v>527.5917392555424</x:v>
      </x:c>
      <x:c r="AA894" s="32" t="n">
        <x:f>AA893+X894-U894-AA893*V894/AB893</x:f>
        <x:v>182.5832663497177</x:v>
      </x:c>
      <x:c r="AB894" s="10" t="n">
        <x:f>Y894+Z894+AA894</x:f>
        <x:v>1245.4403831601655</x:v>
      </x:c>
      <x:c r="AC894" s="8" t="n">
        <x:f>IF(AND(v01_WinterTrigger=1,D894=1,AB893/AE893&gt;=K894),1,0)</x:f>
        <x:v>0</x:v>
      </x:c>
      <x:c r="AD894" s="8" t="n">
        <x:f>H894*IF(AND(OR(AB893/AE893&gt;=v01_FissionTrigger*N894,AC894=1),AB893/AE893*v01_DaughterShare&gt;=v01_MinDaughter),MAX(1,ROUND(AE893*v01_FissionRate,0)),0)</x:f>
        <x:v>0</x:v>
      </x:c>
      <x:c r="AE894" s="8" t="n">
        <x:f>IF(H894=1,MAX(1,MIN(INDEX(v01_Smax,G894),AE893+AD894)),AE893)</x:f>
        <x:v>12</x:v>
      </x:c>
      <x:c r="AF894" s="8" t="n">
        <x:f>MAX(0,AE894-AE893)</x:f>
        <x:v>0</x:v>
      </x:c>
      <x:c r="AG894" s="9" t="str">
        <x:f>IF(AF894&gt;0,B894,"")</x:f>
      </x:c>
      <x:c r="AH894" s="9" t="n">
        <x:f>IF(F894&gt;=1,1,(1+v01_LowTiesShare*(AE894-1))/AE894)</x:f>
        <x:v>1</x:v>
      </x:c>
      <x:c r="AI894" s="32" t="n">
        <x:f>(Z894+v01_ElderCommons*INDEX(LM_Elder,G894)*AA894)*AH894</x:f>
        <x:v>1075.3415383046954</x:v>
      </x:c>
      <x:c r="AJ894" s="32" t="n">
        <x:f>H894*v01_CommonsCoef*AI894^v01_CommonsExp*INDEX(LM_Commons,G894)</x:f>
        <x:v>273.7171213995601</x:v>
      </x:c>
      <x:c r="AK894" s="32" t="n">
        <x:f>H894*v01_RoleScale*Arch_Roles*(AE894*(INDEX(v01_ElderRolePerSett,G894)*v01_OutElder*INDEX(LM_Elder,G894)+INDEX(v01_ShamanPerSett,G894)*v01_OutShaman)+Z894*(INDEX(v01_PriestShare,G894)*v01_OutPriest+INDEX(v01_ScribeShare,G894)*v01_OutScribe*INDEX(LM_Scribe,G894)+INDEX(v01_ScholarShare,G894)*v01_OutScholar*INDEX(LM_Scholar,G894)+INDEX(v01_ResearcherShare,G894)*v01_OutResearcher*INDEX(LM_Researcher,G894)))</x:f>
        <x:v>50.90810601112058</x:v>
      </x:c>
      <x:c r="AL894" s="32" t="n">
        <x:f>H894*v01_RoleScale*Arch_Roles*AE894*INDEX(v01_MonasteryPerSett,G894)*v01_OutMonastery*INDEX(LM_Monastery,G894)</x:f>
        <x:v>0</x:v>
      </x:c>
      <x:c r="AM894" s="32" t="n">
        <x:f>(AJ894+AK894+AL894)/4*INDEX(LM_All,G894)*INDEX(v01_Boon,G894)*Arch_Insight</x:f>
        <x:v>97.63959232487237</x:v>
      </x:c>
      <x:c r="AN894" s="32" t="n">
        <x:f>H894*(v01_KHPerAdult*Z894+v01_KHOfCommons*AJ894/4*INDEX(LM_All,G894))*v01_KHUsable*Arch_KH</x:f>
        <x:v>18.465710873943983</x:v>
      </x:c>
      <x:c r="AO894" s="32" t="n">
        <x:f>MIN(AP893+AN894,AM894*v01_KHMaxRatio)</x:f>
        <x:v>18.465710873943983</x:v>
      </x:c>
      <x:c r="AP894" s="32" t="n">
        <x:f>AP893+AN894-AO894</x:f>
        <x:v>0</x:v>
      </x:c>
      <x:c r="AQ894" s="32" t="n">
        <x:f>AM894+AO894</x:f>
        <x:v>116.10530319881636</x:v>
      </x:c>
      <x:c r="AR894" s="10" t="n">
        <x:f>IF(H894=1,INDEX(v01_Req,G894),0)</x:f>
        <x:v>24714.473079999996</x:v>
      </x:c>
      <x:c r="AS894" s="32" t="n">
        <x:f>IF(H894=1,IF(E894=1,AS893-AR893,AS893)+AQ894,0)</x:f>
        <x:v>1075.3805645212694</x:v>
      </x:c>
      <x:c r="AT894" s="11" t="n">
        <x:f>IF(AR894&gt;0,MIN(1,AS894/AR894),1)</x:f>
        <x:v>0.04351217851338749</x:v>
      </x:c>
      <x:c r="AU894" s="10" t="n">
        <x:f>AB894/INDEX(v01_RepScale,G894)</x:f>
        <x:v>124.54403831601655</x:v>
      </x:c>
      <x:c r="AV894" s="32" t="n">
        <x:f>AM894*60/v01_SeasonSeconds</x:f>
        <x:v>390.55836929948947</x:v>
      </x:c>
    </x:row>
    <x:row r="895">
      <x:c r="A895" s="8" t="n">
        <x:f>A894+1</x:f>
        <x:v>892</x:v>
      </x:c>
      <x:c r="B895" s="9" t="n">
        <x:f>A895*v01_SeasonSeconds/60</x:f>
        <x:v>223</x:v>
      </x:c>
      <x:c r="C895" s="9" t="n">
        <x:f>A895/4</x:f>
        <x:v>223</x:v>
      </x:c>
      <x:c r="D895" s="8" t="n">
        <x:f>IF(MOD(A895,4)=0,1,0)</x:f>
        <x:v>1</x:v>
      </x:c>
      <x:c r="E895" s="8" t="n">
        <x:f>IF(AND(F894&lt;=9,AS894&gt;=AR894),1,0)</x:f>
        <x:v>0</x:v>
      </x:c>
      <x:c r="F895" s="8" t="n">
        <x:f>MIN(10,F894+E895)</x:f>
        <x:v>4</x:v>
      </x:c>
      <x:c r="G895" s="8" t="n">
        <x:f>MIN(F895,9)+1</x:f>
        <x:v>5</x:v>
      </x:c>
      <x:c r="H895" s="8" t="n">
        <x:f>IF(F895&lt;=9,1,0)</x:f>
        <x:v>1</x:v>
      </x:c>
      <x:c r="I895" s="9" t="n">
        <x:f>MIN(10,F894+IF(AR894&gt;0,MIN(1,AS894/AR894),1))</x:f>
        <x:v>4.043512178513388</x:v>
      </x:c>
      <x:c r="J895" s="32" t="n">
        <x:f>INDEX(v01_FoodCap,G895)*Arch_FoodCap*EXP(v01_CapsByProject*SUMPRODUCT((Cap_Point&lt;=I895)*(Cap_Kind="Food")*Cap_Ln))</x:f>
        <x:v>250</x:v>
      </x:c>
      <x:c r="K895" s="32" t="n">
        <x:f>J895*MIN(1,v01_LeanBase*EXP(v01_CapsByProject*SUMPRODUCT((Cap_Point&lt;=I895)*(Cap_Kind="Lean")*Cap_Ln)))</x:f>
        <x:v>250</x:v>
      </x:c>
      <x:c r="L895" s="10" t="n">
        <x:f>INDEX(v01_HousingCap,G895)*EXP(v01_CapsByProject*SUMPRODUCT((Cap_Point&lt;=I895)*(Cap_Kind="Housing")*Cap_Ln))</x:f>
        <x:v>400</x:v>
      </x:c>
      <x:c r="M895" s="10" t="n">
        <x:f>INDEX(v01_GroupCap,G895)*v01_CohesionFactor*EXP(v01_CapsByProject*SUMPRODUCT((Cap_Point&lt;=I895)*(Cap_Kind="Group")*Cap_Ln))</x:f>
        <x:v>10000</x:v>
      </x:c>
      <x:c r="N895" s="32" t="n">
        <x:f>MIN(J895,L895,M895)</x:f>
        <x:v>250</x:v>
      </x:c>
      <x:c r="O895" s="10" t="n">
        <x:f>AE894*N895</x:f>
        <x:v>3000</x:v>
      </x:c>
      <x:c r="P895" s="9" t="n">
        <x:f>MIN(1,(AB894/(AE894*IF(v01_GroupInCrowding=1,N895,MIN(J895,L895))))^v01_CrowdingExp)</x:f>
        <x:v>0.005119294720640893</x:v>
      </x:c>
      <x:c r="Q895" s="9" t="n">
        <x:f>IF(D895=1,INDEX(v01_WinterMult,G895),1)</x:f>
        <x:v>1</x:v>
      </x:c>
      <x:c r="R895" s="9" t="n">
        <x:f>H895*Z894*v01_WomenShare*v01_BaseFertility*INDEX(v01_FertMult,G895)*Arch_Fertility*(1-P895)</x:f>
        <x:v>18.896070299404236</x:v>
      </x:c>
      <x:c r="S895" s="9" t="n">
        <x:f>H895*Y894*INDEX(v01_MortChild,G895)/4*Q895</x:f>
        <x:v>3.7468576428843385</x:v>
      </x:c>
      <x:c r="T895" s="9" t="n">
        <x:f>H895*Z894*INDEX(v01_MortAdult,G895)*Arch_AdultMort/4*Q895</x:f>
        <x:v>1.318979348138856</x:v>
      </x:c>
      <x:c r="U895" s="9" t="n">
        <x:f>H895*AA894*INDEX(v01_MortElder,G895)/4*Q895</x:f>
        <x:v>2.738748995245765</x:v>
      </x:c>
      <x:c r="V895" s="9" t="n">
        <x:f>H895*MAX(0,AB894-O895)*v01_OvercapLoss</x:f>
        <x:v>0</x:v>
      </x:c>
      <x:c r="W895" s="9" t="n">
        <x:f>H895*Y894/(v01_ChildYears*4)</x:f>
        <x:v>9.558310313480456</x:v>
      </x:c>
      <x:c r="X895" s="9" t="n">
        <x:f>H895*Z894/(v01_AdultYears*4)</x:f>
        <x:v>4.254772090770503</x:v>
      </x:c>
      <x:c r="Y895" s="32" t="n">
        <x:f>Y894+R895-S895-W895-Y894*V895/AB894</x:f>
        <x:v>540.8562798979449</x:v>
      </x:c>
      <x:c r="Z895" s="32" t="n">
        <x:f>Z894+W895-X895-T895-Z894*V895/AB894</x:f>
        <x:v>531.5762981301134</x:v>
      </x:c>
      <x:c r="AA895" s="32" t="n">
        <x:f>AA894+X895-U895-AA894*V895/AB894</x:f>
        <x:v>184.09928944524242</x:v>
      </x:c>
      <x:c r="AB895" s="10" t="n">
        <x:f>Y895+Z895+AA895</x:f>
        <x:v>1256.5318674733007</x:v>
      </x:c>
      <x:c r="AC895" s="8" t="n">
        <x:f>IF(AND(v01_WinterTrigger=1,D895=1,AB894/AE894&gt;=K895),1,0)</x:f>
        <x:v>0</x:v>
      </x:c>
      <x:c r="AD895" s="8" t="n">
        <x:f>H895*IF(AND(OR(AB894/AE894&gt;=v01_FissionTrigger*N895,AC895=1),AB894/AE894*v01_DaughterShare&gt;=v01_MinDaughter),MAX(1,ROUND(AE894*v01_FissionRate,0)),0)</x:f>
        <x:v>0</x:v>
      </x:c>
      <x:c r="AE895" s="8" t="n">
        <x:f>IF(H895=1,MAX(1,MIN(INDEX(v01_Smax,G895),AE894+AD895)),AE894)</x:f>
        <x:v>12</x:v>
      </x:c>
      <x:c r="AF895" s="8" t="n">
        <x:f>MAX(0,AE895-AE894)</x:f>
        <x:v>0</x:v>
      </x:c>
      <x:c r="AG895" s="9" t="str">
        <x:f>IF(AF895&gt;0,B895,"")</x:f>
      </x:c>
      <x:c r="AH895" s="9" t="n">
        <x:f>IF(F895&gt;=1,1,(1+v01_LowTiesShare*(AE895-1))/AE895)</x:f>
        <x:v>1</x:v>
      </x:c>
      <x:c r="AI895" s="32" t="n">
        <x:f>(Z895+v01_ElderCommons*INDEX(LM_Elder,G895)*AA895)*AH895</x:f>
        <x:v>1083.8741664658405</x:v>
      </x:c>
      <x:c r="AJ895" s="32" t="n">
        <x:f>H895*v01_CommonsCoef*AI895^v01_CommonsExp*INDEX(LM_Commons,G895)</x:f>
        <x:v>275.56213486837254</x:v>
      </x:c>
      <x:c r="AK895" s="32" t="n">
        <x:f>H895*v01_RoleScale*Arch_Roles*(AE895*(INDEX(v01_ElderRolePerSett,G895)*v01_OutElder*INDEX(LM_Elder,G895)+INDEX(v01_ShamanPerSett,G895)*v01_OutShaman)+Z895*(INDEX(v01_PriestShare,G895)*v01_OutPriest+INDEX(v01_ScribeShare,G895)*v01_OutScribe*INDEX(LM_Scribe,G895)+INDEX(v01_ScholarShare,G895)*v01_OutScholar*INDEX(LM_Scholar,G895)+INDEX(v01_ResearcherShare,G895)*v01_OutResearcher*INDEX(LM_Researcher,G895)))</x:f>
        <x:v>51.02069728518691</x:v>
      </x:c>
      <x:c r="AL895" s="32" t="n">
        <x:f>H895*v01_RoleScale*Arch_Roles*AE895*INDEX(v01_MonasteryPerSett,G895)*v01_OutMonastery*INDEX(LM_Monastery,G895)</x:f>
        <x:v>0</x:v>
      </x:c>
      <x:c r="AM895" s="32" t="n">
        <x:f>(AJ895+AK895+AL895)/4*INDEX(LM_All,G895)*INDEX(v01_Boon,G895)*Arch_Insight</x:f>
        <x:v>98.228393542056</x:v>
      </x:c>
      <x:c r="AN895" s="32" t="n">
        <x:f>H895*(v01_KHPerAdult*Z895+v01_KHOfCommons*AJ895/4*INDEX(LM_All,G895))*v01_KHUsable*Arch_KH</x:f>
        <x:v>18.60517043455397</x:v>
      </x:c>
      <x:c r="AO895" s="32" t="n">
        <x:f>MIN(AP894+AN895,AM895*v01_KHMaxRatio)</x:f>
        <x:v>18.60517043455397</x:v>
      </x:c>
      <x:c r="AP895" s="32" t="n">
        <x:f>AP894+AN895-AO895</x:f>
        <x:v>0</x:v>
      </x:c>
      <x:c r="AQ895" s="32" t="n">
        <x:f>AM895+AO895</x:f>
        <x:v>116.83356397660997</x:v>
      </x:c>
      <x:c r="AR895" s="10" t="n">
        <x:f>IF(H895=1,INDEX(v01_Req,G895),0)</x:f>
        <x:v>24714.473079999996</x:v>
      </x:c>
      <x:c r="AS895" s="32" t="n">
        <x:f>IF(H895=1,IF(E895=1,AS894-AR894,AS894)+AQ895,0)</x:f>
        <x:v>1192.2141284978793</x:v>
      </x:c>
      <x:c r="AT895" s="11" t="n">
        <x:f>IF(AR895&gt;0,MIN(1,AS895/AR895),1)</x:f>
        <x:v>0.048239512314857715</x:v>
      </x:c>
      <x:c r="AU895" s="10" t="n">
        <x:f>AB895/INDEX(v01_RepScale,G895)</x:f>
        <x:v>125.65318674733007</x:v>
      </x:c>
      <x:c r="AV895" s="32" t="n">
        <x:f>AM895*60/v01_SeasonSeconds</x:f>
        <x:v>392.913574168224</x:v>
      </x:c>
    </x:row>
    <x:row r="896">
      <x:c r="A896" s="8" t="n">
        <x:f>A895+1</x:f>
        <x:v>893</x:v>
      </x:c>
      <x:c r="B896" s="9" t="n">
        <x:f>A896*v01_SeasonSeconds/60</x:f>
        <x:v>223.25</x:v>
      </x:c>
      <x:c r="C896" s="9" t="n">
        <x:f>A896/4</x:f>
        <x:v>223.25</x:v>
      </x:c>
      <x:c r="D896" s="8" t="n">
        <x:f>IF(MOD(A896,4)=0,1,0)</x:f>
        <x:v>0</x:v>
      </x:c>
      <x:c r="E896" s="8" t="n">
        <x:f>IF(AND(F895&lt;=9,AS895&gt;=AR895),1,0)</x:f>
        <x:v>0</x:v>
      </x:c>
      <x:c r="F896" s="8" t="n">
        <x:f>MIN(10,F895+E896)</x:f>
        <x:v>4</x:v>
      </x:c>
      <x:c r="G896" s="8" t="n">
        <x:f>MIN(F896,9)+1</x:f>
        <x:v>5</x:v>
      </x:c>
      <x:c r="H896" s="8" t="n">
        <x:f>IF(F896&lt;=9,1,0)</x:f>
        <x:v>1</x:v>
      </x:c>
      <x:c r="I896" s="9" t="n">
        <x:f>MIN(10,F895+IF(AR895&gt;0,MIN(1,AS895/AR895),1))</x:f>
        <x:v>4.048239512314858</x:v>
      </x:c>
      <x:c r="J896" s="32" t="n">
        <x:f>INDEX(v01_FoodCap,G896)*Arch_FoodCap*EXP(v01_CapsByProject*SUMPRODUCT((Cap_Point&lt;=I896)*(Cap_Kind="Food")*Cap_Ln))</x:f>
        <x:v>250</x:v>
      </x:c>
      <x:c r="K896" s="32" t="n">
        <x:f>J896*MIN(1,v01_LeanBase*EXP(v01_CapsByProject*SUMPRODUCT((Cap_Point&lt;=I896)*(Cap_Kind="Lean")*Cap_Ln)))</x:f>
        <x:v>250</x:v>
      </x:c>
      <x:c r="L896" s="10" t="n">
        <x:f>INDEX(v01_HousingCap,G896)*EXP(v01_CapsByProject*SUMPRODUCT((Cap_Point&lt;=I896)*(Cap_Kind="Housing")*Cap_Ln))</x:f>
        <x:v>400</x:v>
      </x:c>
      <x:c r="M896" s="10" t="n">
        <x:f>INDEX(v01_GroupCap,G896)*v01_CohesionFactor*EXP(v01_CapsByProject*SUMPRODUCT((Cap_Point&lt;=I896)*(Cap_Kind="Group")*Cap_Ln))</x:f>
        <x:v>10000</x:v>
      </x:c>
      <x:c r="N896" s="32" t="n">
        <x:f>MIN(J896,L896,M896)</x:f>
        <x:v>250</x:v>
      </x:c>
      <x:c r="O896" s="10" t="n">
        <x:f>AE895*N896</x:f>
        <x:v>3000</x:v>
      </x:c>
      <x:c r="P896" s="9" t="n">
        <x:f>MIN(1,(AB895/(AE895*IF(v01_GroupInCrowding=1,N896,MIN(J896,L896))))^v01_CrowdingExp)</x:f>
        <x:v>0.005399002345278431</x:v>
      </x:c>
      <x:c r="Q896" s="9" t="n">
        <x:f>IF(D896=1,INDEX(v01_WinterMult,G896),1)</x:f>
        <x:v>1</x:v>
      </x:c>
      <x:c r="R896" s="9" t="n">
        <x:f>H896*Z895*v01_WomenShare*v01_BaseFertility*INDEX(v01_FertMult,G896)*Arch_Fertility*(1-P896)</x:f>
        <x:v>19.03342739219332</x:v>
      </x:c>
      <x:c r="S896" s="9" t="n">
        <x:f>H896*Y895*INDEX(v01_MortChild,G896)/4*Q896</x:f>
        <x:v>3.7859939592856144</x:v>
      </x:c>
      <x:c r="T896" s="9" t="n">
        <x:f>H896*Z895*INDEX(v01_MortAdult,G896)*Arch_AdultMort/4*Q896</x:f>
        <x:v>1.3289407453252835</x:v>
      </x:c>
      <x:c r="U896" s="9" t="n">
        <x:f>H896*AA895*INDEX(v01_MortElder,G896)/4*Q896</x:f>
        <x:v>2.761489341678636</x:v>
      </x:c>
      <x:c r="V896" s="9" t="n">
        <x:f>H896*MAX(0,AB895-O896)*v01_OvercapLoss</x:f>
        <x:v>0</x:v>
      </x:c>
      <x:c r="W896" s="9" t="n">
        <x:f>H896*Y895/(v01_ChildYears*4)</x:f>
        <x:v>9.658147855320445</x:v>
      </x:c>
      <x:c r="X896" s="9" t="n">
        <x:f>H896*Z895/(v01_AdultYears*4)</x:f>
        <x:v>4.286905630081559</x:v>
      </x:c>
      <x:c r="Y896" s="32" t="n">
        <x:f>Y895+R896-S896-W896-Y895*V896/AB895</x:f>
        <x:v>546.4455654755321</x:v>
      </x:c>
      <x:c r="Z896" s="32" t="n">
        <x:f>Z895+W896-X896-T896-Z895*V896/AB895</x:f>
        <x:v>535.6185996100269</x:v>
      </x:c>
      <x:c r="AA896" s="32" t="n">
        <x:f>AA895+X896-U896-AA895*V896/AB895</x:f>
        <x:v>185.62470573364533</x:v>
      </x:c>
      <x:c r="AB896" s="10" t="n">
        <x:f>Y896+Z896+AA896</x:f>
        <x:v>1267.6888708192046</x:v>
      </x:c>
      <x:c r="AC896" s="8" t="n">
        <x:f>IF(AND(v01_WinterTrigger=1,D896=1,AB895/AE895&gt;=K896),1,0)</x:f>
        <x:v>0</x:v>
      </x:c>
      <x:c r="AD896" s="8" t="n">
        <x:f>H896*IF(AND(OR(AB895/AE895&gt;=v01_FissionTrigger*N896,AC896=1),AB895/AE895*v01_DaughterShare&gt;=v01_MinDaughter),MAX(1,ROUND(AE895*v01_FissionRate,0)),0)</x:f>
        <x:v>0</x:v>
      </x:c>
      <x:c r="AE896" s="8" t="n">
        <x:f>IF(H896=1,MAX(1,MIN(INDEX(v01_Smax,G896),AE895+AD896)),AE895)</x:f>
        <x:v>12</x:v>
      </x:c>
      <x:c r="AF896" s="8" t="n">
        <x:f>MAX(0,AE896-AE895)</x:f>
        <x:v>0</x:v>
      </x:c>
      <x:c r="AG896" s="9" t="str">
        <x:f>IF(AF896&gt;0,B896,"")</x:f>
      </x:c>
      <x:c r="AH896" s="9" t="n">
        <x:f>IF(F896&gt;=1,1,(1+v01_LowTiesShare*(AE896-1))/AE896)</x:f>
        <x:v>1</x:v>
      </x:c>
      <x:c r="AI896" s="32" t="n">
        <x:f>(Z896+v01_ElderCommons*INDEX(LM_Elder,G896)*AA896)*AH896</x:f>
        <x:v>1092.492716810963</x:v>
      </x:c>
      <x:c r="AJ896" s="32" t="n">
        <x:f>H896*v01_CommonsCoef*AI896^v01_CommonsExp*INDEX(LM_Commons,G896)</x:f>
        <x:v>277.4235169662052</x:v>
      </x:c>
      <x:c r="AK896" s="32" t="n">
        <x:f>H896*v01_RoleScale*Arch_Roles*(AE896*(INDEX(v01_ElderRolePerSett,G896)*v01_OutElder*INDEX(LM_Elder,G896)+INDEX(v01_ShamanPerSett,G896)*v01_OutShaman)+Z896*(INDEX(v01_PriestShare,G896)*v01_OutPriest+INDEX(v01_ScribeShare,G896)*v01_OutScribe*INDEX(LM_Scribe,G896)+INDEX(v01_ScholarShare,G896)*v01_OutScholar*INDEX(LM_Scholar,G896)+INDEX(v01_ResearcherShare,G896)*v01_OutResearcher*INDEX(LM_Researcher,G896)))</x:f>
        <x:v>51.13492018616807</x:v>
      </x:c>
      <x:c r="AL896" s="32" t="n">
        <x:f>H896*v01_RoleScale*Arch_Roles*AE896*INDEX(v01_MonasteryPerSett,G896)*v01_OutMonastery*INDEX(LM_Monastery,G896)</x:f>
        <x:v>0</x:v>
      </x:c>
      <x:c r="AM896" s="32" t="n">
        <x:f>(AJ896+AK896+AL896)/4*INDEX(LM_All,G896)*INDEX(v01_Boon,G896)*Arch_Insight</x:f>
        <x:v>98.82260881059126</x:v>
      </x:c>
      <x:c r="AN896" s="32" t="n">
        <x:f>H896*(v01_KHPerAdult*Z896+v01_KHOfCommons*AJ896/4*INDEX(LM_All,G896))*v01_KHUsable*Arch_KH</x:f>
        <x:v>18.74665098635094</x:v>
      </x:c>
      <x:c r="AO896" s="32" t="n">
        <x:f>MIN(AP895+AN896,AM896*v01_KHMaxRatio)</x:f>
        <x:v>18.74665098635094</x:v>
      </x:c>
      <x:c r="AP896" s="32" t="n">
        <x:f>AP895+AN896-AO896</x:f>
        <x:v>0</x:v>
      </x:c>
      <x:c r="AQ896" s="32" t="n">
        <x:f>AM896+AO896</x:f>
        <x:v>117.5692597969422</x:v>
      </x:c>
      <x:c r="AR896" s="10" t="n">
        <x:f>IF(H896=1,INDEX(v01_Req,G896),0)</x:f>
        <x:v>24714.473079999996</x:v>
      </x:c>
      <x:c r="AS896" s="32" t="n">
        <x:f>IF(H896=1,IF(E896=1,AS895-AR895,AS895)+AQ896,0)</x:f>
        <x:v>1309.7833882948214</x:v>
      </x:c>
      <x:c r="AT896" s="11" t="n">
        <x:f>IF(AR896&gt;0,MIN(1,AS896/AR896),1)</x:f>
        <x:v>0.052996613929623036</x:v>
      </x:c>
      <x:c r="AU896" s="10" t="n">
        <x:f>AB896/INDEX(v01_RepScale,G896)</x:f>
        <x:v>126.76888708192045</x:v>
      </x:c>
      <x:c r="AV896" s="32" t="n">
        <x:f>AM896*60/v01_SeasonSeconds</x:f>
        <x:v>395.29043524236505</x:v>
      </x:c>
    </x:row>
    <x:row r="897">
      <x:c r="A897" s="8" t="n">
        <x:f>A896+1</x:f>
        <x:v>894</x:v>
      </x:c>
      <x:c r="B897" s="9" t="n">
        <x:f>A897*v01_SeasonSeconds/60</x:f>
        <x:v>223.5</x:v>
      </x:c>
      <x:c r="C897" s="9" t="n">
        <x:f>A897/4</x:f>
        <x:v>223.5</x:v>
      </x:c>
      <x:c r="D897" s="8" t="n">
        <x:f>IF(MOD(A897,4)=0,1,0)</x:f>
        <x:v>0</x:v>
      </x:c>
      <x:c r="E897" s="8" t="n">
        <x:f>IF(AND(F896&lt;=9,AS896&gt;=AR896),1,0)</x:f>
        <x:v>0</x:v>
      </x:c>
      <x:c r="F897" s="8" t="n">
        <x:f>MIN(10,F896+E897)</x:f>
        <x:v>4</x:v>
      </x:c>
      <x:c r="G897" s="8" t="n">
        <x:f>MIN(F897,9)+1</x:f>
        <x:v>5</x:v>
      </x:c>
      <x:c r="H897" s="8" t="n">
        <x:f>IF(F897&lt;=9,1,0)</x:f>
        <x:v>1</x:v>
      </x:c>
      <x:c r="I897" s="9" t="n">
        <x:f>MIN(10,F896+IF(AR896&gt;0,MIN(1,AS896/AR896),1))</x:f>
        <x:v>4.052996613929623</x:v>
      </x:c>
      <x:c r="J897" s="32" t="n">
        <x:f>INDEX(v01_FoodCap,G897)*Arch_FoodCap*EXP(v01_CapsByProject*SUMPRODUCT((Cap_Point&lt;=I897)*(Cap_Kind="Food")*Cap_Ln))</x:f>
        <x:v>250</x:v>
      </x:c>
      <x:c r="K897" s="32" t="n">
        <x:f>J897*MIN(1,v01_LeanBase*EXP(v01_CapsByProject*SUMPRODUCT((Cap_Point&lt;=I897)*(Cap_Kind="Lean")*Cap_Ln)))</x:f>
        <x:v>250</x:v>
      </x:c>
      <x:c r="L897" s="10" t="n">
        <x:f>INDEX(v01_HousingCap,G897)*EXP(v01_CapsByProject*SUMPRODUCT((Cap_Point&lt;=I897)*(Cap_Kind="Housing")*Cap_Ln))</x:f>
        <x:v>400</x:v>
      </x:c>
      <x:c r="M897" s="10" t="n">
        <x:f>INDEX(v01_GroupCap,G897)*v01_CohesionFactor*EXP(v01_CapsByProject*SUMPRODUCT((Cap_Point&lt;=I897)*(Cap_Kind="Group")*Cap_Ln))</x:f>
        <x:v>10000</x:v>
      </x:c>
      <x:c r="N897" s="32" t="n">
        <x:f>MIN(J897,L897,M897)</x:f>
        <x:v>250</x:v>
      </x:c>
      <x:c r="O897" s="10" t="n">
        <x:f>AE896*N897</x:f>
        <x:v>3000</x:v>
      </x:c>
      <x:c r="P897" s="9" t="n">
        <x:f>MIN(1,(AB896/(AE896*IF(v01_GroupInCrowding=1,N897,MIN(J897,L897))))^v01_CrowdingExp)</x:f>
        <x:v>0.0056930963966701515</x:v>
      </x:c>
      <x:c r="Q897" s="9" t="n">
        <x:f>IF(D897=1,INDEX(v01_WinterMult,G897),1)</x:f>
        <x:v>1</x:v>
      </x:c>
      <x:c r="R897" s="9" t="n">
        <x:f>H897*Z896*v01_WomenShare*v01_BaseFertility*INDEX(v01_FertMult,G897)*Arch_Fertility*(1-P897)</x:f>
        <x:v>19.17249376646151</x:v>
      </x:c>
      <x:c r="S897" s="9" t="n">
        <x:f>H897*Y896*INDEX(v01_MortChild,G897)/4*Q897</x:f>
        <x:v>3.825118958328725</x:v>
      </x:c>
      <x:c r="T897" s="9" t="n">
        <x:f>H897*Z896*INDEX(v01_MortAdult,G897)*Arch_AdultMort/4*Q897</x:f>
        <x:v>1.3390464990250672</x:v>
      </x:c>
      <x:c r="U897" s="9" t="n">
        <x:f>H897*AA896*INDEX(v01_MortElder,G897)/4*Q897</x:f>
        <x:v>2.78437058600468</x:v>
      </x:c>
      <x:c r="V897" s="9" t="n">
        <x:f>H897*MAX(0,AB896-O897)*v01_OvercapLoss</x:f>
        <x:v>0</x:v>
      </x:c>
      <x:c r="W897" s="9" t="n">
        <x:f>H897*Y896/(v01_ChildYears*4)</x:f>
        <x:v>9.757956526348789</x:v>
      </x:c>
      <x:c r="X897" s="9" t="n">
        <x:f>H897*Z896/(v01_AdultYears*4)</x:f>
        <x:v>4.319504835564733</x:v>
      </x:c>
      <x:c r="Y897" s="32" t="n">
        <x:f>Y896+R897-S897-W897-Y896*V897/AB896</x:f>
        <x:v>552.034983757316</x:v>
      </x:c>
      <x:c r="Z897" s="32" t="n">
        <x:f>Z896+W897-X897-T897-Z896*V897/AB896</x:f>
        <x:v>539.7180048017859</x:v>
      </x:c>
      <x:c r="AA897" s="32" t="n">
        <x:f>AA896+X897-U897-AA896*V897/AB896</x:f>
        <x:v>187.1598399832054</x:v>
      </x:c>
      <x:c r="AB897" s="10" t="n">
        <x:f>Y897+Z897+AA897</x:f>
        <x:v>1278.9128285423074</x:v>
      </x:c>
      <x:c r="AC897" s="8" t="n">
        <x:f>IF(AND(v01_WinterTrigger=1,D897=1,AB896/AE896&gt;=K897),1,0)</x:f>
        <x:v>0</x:v>
      </x:c>
      <x:c r="AD897" s="8" t="n">
        <x:f>H897*IF(AND(OR(AB896/AE896&gt;=v01_FissionTrigger*N897,AC897=1),AB896/AE896*v01_DaughterShare&gt;=v01_MinDaughter),MAX(1,ROUND(AE896*v01_FissionRate,0)),0)</x:f>
        <x:v>0</x:v>
      </x:c>
      <x:c r="AE897" s="8" t="n">
        <x:f>IF(H897=1,MAX(1,MIN(INDEX(v01_Smax,G897),AE896+AD897)),AE896)</x:f>
        <x:v>12</x:v>
      </x:c>
      <x:c r="AF897" s="8" t="n">
        <x:f>MAX(0,AE897-AE896)</x:f>
        <x:v>0</x:v>
      </x:c>
      <x:c r="AG897" s="9" t="str">
        <x:f>IF(AF897&gt;0,B897,"")</x:f>
      </x:c>
      <x:c r="AH897" s="9" t="n">
        <x:f>IF(F897&gt;=1,1,(1+v01_LowTiesShare*(AE897-1))/AE897)</x:f>
        <x:v>1</x:v>
      </x:c>
      <x:c r="AI897" s="32" t="n">
        <x:f>(Z897+v01_ElderCommons*INDEX(LM_Elder,G897)*AA897)*AH897</x:f>
        <x:v>1101.197524751402</x:v>
      </x:c>
      <x:c r="AJ897" s="32" t="n">
        <x:f>H897*v01_CommonsCoef*AI897^v01_CommonsExp*INDEX(LM_Commons,G897)</x:f>
        <x:v>279.30129400764434</x:v>
      </x:c>
      <x:c r="AK897" s="32" t="n">
        <x:f>H897*v01_RoleScale*Arch_Roles*(AE897*(INDEX(v01_ElderRolePerSett,G897)*v01_OutElder*INDEX(LM_Elder,G897)+INDEX(v01_ShamanPerSett,G897)*v01_OutShaman)+Z897*(INDEX(v01_PriestShare,G897)*v01_OutPriest+INDEX(v01_ScribeShare,G897)*v01_OutScribe*INDEX(LM_Scribe,G897)+INDEX(v01_ScholarShare,G897)*v01_OutScholar*INDEX(LM_Scholar,G897)+INDEX(v01_ResearcherShare,G897)*v01_OutResearcher*INDEX(LM_Researcher,G897)))</x:f>
        <x:v>51.2507566609156</x:v>
      </x:c>
      <x:c r="AL897" s="32" t="n">
        <x:f>H897*v01_RoleScale*Arch_Roles*AE897*INDEX(v01_MonasteryPerSett,G897)*v01_OutMonastery*INDEX(LM_Monastery,G897)</x:f>
        <x:v>0</x:v>
      </x:c>
      <x:c r="AM897" s="32" t="n">
        <x:f>(AJ897+AK897+AL897)/4*INDEX(LM_All,G897)*INDEX(v01_Boon,G897)*Arch_Insight</x:f>
        <x:v>99.42224061532333</x:v>
      </x:c>
      <x:c r="AN897" s="32" t="n">
        <x:f>H897*(v01_KHPerAdult*Z897+v01_KHOfCommons*AJ897/4*INDEX(LM_All,G897))*v01_KHUsable*Arch_KH</x:f>
        <x:v>18.890130168062505</x:v>
      </x:c>
      <x:c r="AO897" s="32" t="n">
        <x:f>MIN(AP896+AN897,AM897*v01_KHMaxRatio)</x:f>
        <x:v>18.890130168062505</x:v>
      </x:c>
      <x:c r="AP897" s="32" t="n">
        <x:f>AP896+AN897-AO897</x:f>
        <x:v>0</x:v>
      </x:c>
      <x:c r="AQ897" s="32" t="n">
        <x:f>AM897+AO897</x:f>
        <x:v>118.31237078338583</x:v>
      </x:c>
      <x:c r="AR897" s="10" t="n">
        <x:f>IF(H897=1,INDEX(v01_Req,G897),0)</x:f>
        <x:v>24714.473079999996</x:v>
      </x:c>
      <x:c r="AS897" s="32" t="n">
        <x:f>IF(H897=1,IF(E897=1,AS896-AR896,AS896)+AQ897,0)</x:f>
        <x:v>1428.0957590782073</x:v>
      </x:c>
      <x:c r="AT897" s="11" t="n">
        <x:f>IF(AR897&gt;0,MIN(1,AS897/AR897),1)</x:f>
        <x:v>0.05778378339103184</x:v>
      </x:c>
      <x:c r="AU897" s="10" t="n">
        <x:f>AB897/INDEX(v01_RepScale,G897)</x:f>
        <x:v>127.89128285423074</x:v>
      </x:c>
      <x:c r="AV897" s="32" t="n">
        <x:f>AM897*60/v01_SeasonSeconds</x:f>
        <x:v>397.68896246129333</x:v>
      </x:c>
    </x:row>
    <x:row r="898">
      <x:c r="A898" s="8" t="n">
        <x:f>A897+1</x:f>
        <x:v>895</x:v>
      </x:c>
      <x:c r="B898" s="9" t="n">
        <x:f>A898*v01_SeasonSeconds/60</x:f>
        <x:v>223.75</x:v>
      </x:c>
      <x:c r="C898" s="9" t="n">
        <x:f>A898/4</x:f>
        <x:v>223.75</x:v>
      </x:c>
      <x:c r="D898" s="8" t="n">
        <x:f>IF(MOD(A898,4)=0,1,0)</x:f>
        <x:v>0</x:v>
      </x:c>
      <x:c r="E898" s="8" t="n">
        <x:f>IF(AND(F897&lt;=9,AS897&gt;=AR897),1,0)</x:f>
        <x:v>0</x:v>
      </x:c>
      <x:c r="F898" s="8" t="n">
        <x:f>MIN(10,F897+E898)</x:f>
        <x:v>4</x:v>
      </x:c>
      <x:c r="G898" s="8" t="n">
        <x:f>MIN(F898,9)+1</x:f>
        <x:v>5</x:v>
      </x:c>
      <x:c r="H898" s="8" t="n">
        <x:f>IF(F898&lt;=9,1,0)</x:f>
        <x:v>1</x:v>
      </x:c>
      <x:c r="I898" s="9" t="n">
        <x:f>MIN(10,F897+IF(AR897&gt;0,MIN(1,AS897/AR897),1))</x:f>
        <x:v>4.057783783391032</x:v>
      </x:c>
      <x:c r="J898" s="32" t="n">
        <x:f>INDEX(v01_FoodCap,G898)*Arch_FoodCap*EXP(v01_CapsByProject*SUMPRODUCT((Cap_Point&lt;=I898)*(Cap_Kind="Food")*Cap_Ln))</x:f>
        <x:v>250</x:v>
      </x:c>
      <x:c r="K898" s="32" t="n">
        <x:f>J898*MIN(1,v01_LeanBase*EXP(v01_CapsByProject*SUMPRODUCT((Cap_Point&lt;=I898)*(Cap_Kind="Lean")*Cap_Ln)))</x:f>
        <x:v>250</x:v>
      </x:c>
      <x:c r="L898" s="10" t="n">
        <x:f>INDEX(v01_HousingCap,G898)*EXP(v01_CapsByProject*SUMPRODUCT((Cap_Point&lt;=I898)*(Cap_Kind="Housing")*Cap_Ln))</x:f>
        <x:v>400</x:v>
      </x:c>
      <x:c r="M898" s="10" t="n">
        <x:f>INDEX(v01_GroupCap,G898)*v01_CohesionFactor*EXP(v01_CapsByProject*SUMPRODUCT((Cap_Point&lt;=I898)*(Cap_Kind="Group")*Cap_Ln))</x:f>
        <x:v>10000</x:v>
      </x:c>
      <x:c r="N898" s="32" t="n">
        <x:f>MIN(J898,L898,M898)</x:f>
        <x:v>250</x:v>
      </x:c>
      <x:c r="O898" s="10" t="n">
        <x:f>AE897*N898</x:f>
        <x:v>3000</x:v>
      </x:c>
      <x:c r="P898" s="9" t="n">
        <x:f>MIN(1,(AB897/(AE897*IF(v01_GroupInCrowding=1,N898,MIN(J898,L898))))^v01_CrowdingExp)</x:f>
        <x:v>0.006002306025234819</x:v>
      </x:c>
      <x:c r="Q898" s="9" t="n">
        <x:f>IF(D898=1,INDEX(v01_WinterMult,G898),1)</x:f>
        <x:v>1</x:v>
      </x:c>
      <x:c r="R898" s="9" t="n">
        <x:f>H898*Z897*v01_WomenShare*v01_BaseFertility*INDEX(v01_FertMult,G898)*Arch_Fertility*(1-P898)</x:f>
        <x:v>19.313224278106908</x:v>
      </x:c>
      <x:c r="S898" s="9" t="n">
        <x:f>H898*Y897*INDEX(v01_MortChild,G898)/4*Q898</x:f>
        <x:v>3.864244886301212</x:v>
      </x:c>
      <x:c r="T898" s="9" t="n">
        <x:f>H898*Z897*INDEX(v01_MortAdult,G898)*Arch_AdultMort/4*Q898</x:f>
        <x:v>1.3492950120044649</x:v>
      </x:c>
      <x:c r="U898" s="9" t="n">
        <x:f>H898*AA897*INDEX(v01_MortElder,G898)/4*Q898</x:f>
        <x:v>2.807397599748081</x:v>
      </x:c>
      <x:c r="V898" s="9" t="n">
        <x:f>H898*MAX(0,AB897-O898)*v01_OvercapLoss</x:f>
        <x:v>0</x:v>
      </x:c>
      <x:c r="W898" s="9" t="n">
        <x:f>H898*Y897/(v01_ChildYears*4)</x:f>
        <x:v>9.857767567094928</x:v>
      </x:c>
      <x:c r="X898" s="9" t="n">
        <x:f>H898*Z897/(v01_AdultYears*4)</x:f>
        <x:v>4.352564554853112</x:v>
      </x:c>
      <x:c r="Y898" s="32" t="n">
        <x:f>Y897+R898-S898-W898-Y897*V898/AB897</x:f>
        <x:v>557.6261955820268</x:v>
      </x:c>
      <x:c r="Z898" s="32" t="n">
        <x:f>Z897+W898-X898-T898-Z897*V898/AB897</x:f>
        <x:v>543.8739128020233</x:v>
      </x:c>
      <x:c r="AA898" s="32" t="n">
        <x:f>AA897+X898-U898-AA897*V898/AB897</x:f>
        <x:v>188.70500693831042</x:v>
      </x:c>
      <x:c r="AB898" s="10" t="n">
        <x:f>Y898+Z898+AA898</x:f>
        <x:v>1290.2051153223604</x:v>
      </x:c>
      <x:c r="AC898" s="8" t="n">
        <x:f>IF(AND(v01_WinterTrigger=1,D898=1,AB897/AE897&gt;=K898),1,0)</x:f>
        <x:v>0</x:v>
      </x:c>
      <x:c r="AD898" s="8" t="n">
        <x:f>H898*IF(AND(OR(AB897/AE897&gt;=v01_FissionTrigger*N898,AC898=1),AB897/AE897*v01_DaughterShare&gt;=v01_MinDaughter),MAX(1,ROUND(AE897*v01_FissionRate,0)),0)</x:f>
        <x:v>0</x:v>
      </x:c>
      <x:c r="AE898" s="8" t="n">
        <x:f>IF(H898=1,MAX(1,MIN(INDEX(v01_Smax,G898),AE897+AD898)),AE897)</x:f>
        <x:v>12</x:v>
      </x:c>
      <x:c r="AF898" s="8" t="n">
        <x:f>MAX(0,AE898-AE897)</x:f>
        <x:v>0</x:v>
      </x:c>
      <x:c r="AG898" s="9" t="str">
        <x:f>IF(AF898&gt;0,B898,"")</x:f>
      </x:c>
      <x:c r="AH898" s="9" t="n">
        <x:f>IF(F898&gt;=1,1,(1+v01_LowTiesShare*(AE898-1))/AE898)</x:f>
        <x:v>1</x:v>
      </x:c>
      <x:c r="AI898" s="32" t="n">
        <x:f>(Z898+v01_ElderCommons*INDEX(LM_Elder,G898)*AA898)*AH898</x:f>
        <x:v>1109.9889336169545</x:v>
      </x:c>
      <x:c r="AJ898" s="32" t="n">
        <x:f>H898*v01_CommonsCoef*AI898^v01_CommonsExp*INDEX(LM_Commons,G898)</x:f>
        <x:v>281.1954938721903</x:v>
      </x:c>
      <x:c r="AK898" s="32" t="n">
        <x:f>H898*v01_RoleScale*Arch_Roles*(AE898*(INDEX(v01_ElderRolePerSett,G898)*v01_OutElder*INDEX(LM_Elder,G898)+INDEX(v01_ShamanPerSett,G898)*v01_OutShaman)+Z898*(INDEX(v01_PriestShare,G898)*v01_OutPriest+INDEX(v01_ScribeShare,G898)*v01_OutScribe*INDEX(LM_Scribe,G898)+INDEX(v01_ScholarShare,G898)*v01_OutScholar*INDEX(LM_Scholar,G898)+INDEX(v01_ResearcherShare,G898)*v01_OutResearcher*INDEX(LM_Researcher,G898)))</x:f>
        <x:v>51.368189729764296</x:v>
      </x:c>
      <x:c r="AL898" s="32" t="n">
        <x:f>H898*v01_RoleScale*Arch_Roles*AE898*INDEX(v01_MonasteryPerSett,G898)*v01_OutMonastery*INDEX(LM_Monastery,G898)</x:f>
        <x:v>0</x:v>
      </x:c>
      <x:c r="AM898" s="32" t="n">
        <x:f>(AJ898+AK898+AL898)/4*INDEX(LM_All,G898)*INDEX(v01_Boon,G898)*Arch_Insight</x:f>
        <x:v>100.02729223466486</x:v>
      </x:c>
      <x:c r="AN898" s="32" t="n">
        <x:f>H898*(v01_KHPerAdult*Z898+v01_KHOfCommons*AJ898/4*INDEX(LM_All,G898))*v01_KHUsable*Arch_KH</x:f>
        <x:v>19.035586948070815</x:v>
      </x:c>
      <x:c r="AO898" s="32" t="n">
        <x:f>MIN(AP897+AN898,AM898*v01_KHMaxRatio)</x:f>
        <x:v>19.035586948070815</x:v>
      </x:c>
      <x:c r="AP898" s="32" t="n">
        <x:f>AP897+AN898-AO898</x:f>
        <x:v>0</x:v>
      </x:c>
      <x:c r="AQ898" s="32" t="n">
        <x:f>AM898+AO898</x:f>
        <x:v>119.06287918273567</x:v>
      </x:c>
      <x:c r="AR898" s="10" t="n">
        <x:f>IF(H898=1,INDEX(v01_Req,G898),0)</x:f>
        <x:v>24714.473079999996</x:v>
      </x:c>
      <x:c r="AS898" s="32" t="n">
        <x:f>IF(H898=1,IF(E898=1,AS897-AR897,AS897)+AQ898,0)</x:f>
        <x:v>1547.158638260943</x:v>
      </x:c>
      <x:c r="AT898" s="11" t="n">
        <x:f>IF(AR898&gt;0,MIN(1,AS898/AR898),1)</x:f>
        <x:v>0.06260132001410014</x:v>
      </x:c>
      <x:c r="AU898" s="10" t="n">
        <x:f>AB898/INDEX(v01_RepScale,G898)</x:f>
        <x:v>129.02051153223604</x:v>
      </x:c>
      <x:c r="AV898" s="32" t="n">
        <x:f>AM898*60/v01_SeasonSeconds</x:f>
        <x:v>400.1091689386594</x:v>
      </x:c>
    </x:row>
    <x:row r="899">
      <x:c r="A899" s="8" t="n">
        <x:f>A898+1</x:f>
        <x:v>896</x:v>
      </x:c>
      <x:c r="B899" s="9" t="n">
        <x:f>A899*v01_SeasonSeconds/60</x:f>
        <x:v>224</x:v>
      </x:c>
      <x:c r="C899" s="9" t="n">
        <x:f>A899/4</x:f>
        <x:v>224</x:v>
      </x:c>
      <x:c r="D899" s="8" t="n">
        <x:f>IF(MOD(A899,4)=0,1,0)</x:f>
        <x:v>1</x:v>
      </x:c>
      <x:c r="E899" s="8" t="n">
        <x:f>IF(AND(F898&lt;=9,AS898&gt;=AR898),1,0)</x:f>
        <x:v>0</x:v>
      </x:c>
      <x:c r="F899" s="8" t="n">
        <x:f>MIN(10,F898+E899)</x:f>
        <x:v>4</x:v>
      </x:c>
      <x:c r="G899" s="8" t="n">
        <x:f>MIN(F899,9)+1</x:f>
        <x:v>5</x:v>
      </x:c>
      <x:c r="H899" s="8" t="n">
        <x:f>IF(F899&lt;=9,1,0)</x:f>
        <x:v>1</x:v>
      </x:c>
      <x:c r="I899" s="9" t="n">
        <x:f>MIN(10,F898+IF(AR898&gt;0,MIN(1,AS898/AR898),1))</x:f>
        <x:v>4.0626013200141005</x:v>
      </x:c>
      <x:c r="J899" s="32" t="n">
        <x:f>INDEX(v01_FoodCap,G899)*Arch_FoodCap*EXP(v01_CapsByProject*SUMPRODUCT((Cap_Point&lt;=I899)*(Cap_Kind="Food")*Cap_Ln))</x:f>
        <x:v>250</x:v>
      </x:c>
      <x:c r="K899" s="32" t="n">
        <x:f>J899*MIN(1,v01_LeanBase*EXP(v01_CapsByProject*SUMPRODUCT((Cap_Point&lt;=I899)*(Cap_Kind="Lean")*Cap_Ln)))</x:f>
        <x:v>250</x:v>
      </x:c>
      <x:c r="L899" s="10" t="n">
        <x:f>INDEX(v01_HousingCap,G899)*EXP(v01_CapsByProject*SUMPRODUCT((Cap_Point&lt;=I899)*(Cap_Kind="Housing")*Cap_Ln))</x:f>
        <x:v>400</x:v>
      </x:c>
      <x:c r="M899" s="10" t="n">
        <x:f>INDEX(v01_GroupCap,G899)*v01_CohesionFactor*EXP(v01_CapsByProject*SUMPRODUCT((Cap_Point&lt;=I899)*(Cap_Kind="Group")*Cap_Ln))</x:f>
        <x:v>10000</x:v>
      </x:c>
      <x:c r="N899" s="32" t="n">
        <x:f>MIN(J899,L899,M899)</x:f>
        <x:v>250</x:v>
      </x:c>
      <x:c r="O899" s="10" t="n">
        <x:f>AE898*N899</x:f>
        <x:v>3000</x:v>
      </x:c>
      <x:c r="P899" s="9" t="n">
        <x:f>MIN(1,(AB898/(AE898*IF(v01_GroupInCrowding=1,N899,MIN(J899,L899))))^v01_CrowdingExp)</x:f>
        <x:v>0.006327396183623521</x:v>
      </x:c>
      <x:c r="Q899" s="9" t="n">
        <x:f>IF(D899=1,INDEX(v01_WinterMult,G899),1)</x:f>
        <x:v>1</x:v>
      </x:c>
      <x:c r="R899" s="9" t="n">
        <x:f>H899*Z898*v01_WomenShare*v01_BaseFertility*INDEX(v01_FertMult,G899)*Arch_Fertility*(1-P899)</x:f>
        <x:v>19.45557385494434</x:v>
      </x:c>
      <x:c r="S899" s="9" t="n">
        <x:f>H899*Y898*INDEX(v01_MortChild,G899)/4*Q899</x:f>
        <x:v>3.9033833690741875</x:v>
      </x:c>
      <x:c r="T899" s="9" t="n">
        <x:f>H899*Z898*INDEX(v01_MortAdult,G899)*Arch_AdultMort/4*Q899</x:f>
        <x:v>1.3596847820050582</x:v>
      </x:c>
      <x:c r="U899" s="9" t="n">
        <x:f>H899*AA898*INDEX(v01_MortElder,G899)/4*Q899</x:f>
        <x:v>2.830575104074656</x:v>
      </x:c>
      <x:c r="V899" s="9" t="n">
        <x:f>H899*MAX(0,AB898-O899)*v01_OvercapLoss</x:f>
        <x:v>0</x:v>
      </x:c>
      <x:c r="W899" s="9" t="n">
        <x:f>H899*Y898/(v01_ChildYears*4)</x:f>
        <x:v>9.957610635393335</x:v>
      </x:c>
      <x:c r="X899" s="9" t="n">
        <x:f>H899*Z898/(v01_AdultYears*4)</x:f>
        <x:v>4.386079941951801</x:v>
      </x:c>
      <x:c r="Y899" s="32" t="n">
        <x:f>Y898+R899-S899-W899-Y898*V899/AB898</x:f>
        <x:v>563.2207754325036</x:v>
      </x:c>
      <x:c r="Z899" s="32" t="n">
        <x:f>Z898+W899-X899-T899-Z898*V899/AB898</x:f>
        <x:v>548.0857587134597</x:v>
      </x:c>
      <x:c r="AA899" s="32" t="n">
        <x:f>AA898+X899-U899-AA898*V899/AB898</x:f>
        <x:v>190.26051177618757</x:v>
      </x:c>
      <x:c r="AB899" s="10" t="n">
        <x:f>Y899+Z899+AA899</x:f>
        <x:v>1301.5670459221508</x:v>
      </x:c>
      <x:c r="AC899" s="8" t="n">
        <x:f>IF(AND(v01_WinterTrigger=1,D899=1,AB898/AE898&gt;=K899),1,0)</x:f>
        <x:v>0</x:v>
      </x:c>
      <x:c r="AD899" s="8" t="n">
        <x:f>H899*IF(AND(OR(AB898/AE898&gt;=v01_FissionTrigger*N899,AC899=1),AB898/AE898*v01_DaughterShare&gt;=v01_MinDaughter),MAX(1,ROUND(AE898*v01_FissionRate,0)),0)</x:f>
        <x:v>0</x:v>
      </x:c>
      <x:c r="AE899" s="8" t="n">
        <x:f>IF(H899=1,MAX(1,MIN(INDEX(v01_Smax,G899),AE898+AD899)),AE898)</x:f>
        <x:v>12</x:v>
      </x:c>
      <x:c r="AF899" s="8" t="n">
        <x:f>MAX(0,AE899-AE898)</x:f>
        <x:v>0</x:v>
      </x:c>
      <x:c r="AG899" s="9" t="str">
        <x:f>IF(AF899&gt;0,B899,"")</x:f>
      </x:c>
      <x:c r="AH899" s="9" t="n">
        <x:f>IF(F899&gt;=1,1,(1+v01_LowTiesShare*(AE899-1))/AE899)</x:f>
        <x:v>1</x:v>
      </x:c>
      <x:c r="AI899" s="32" t="n">
        <x:f>(Z899+v01_ElderCommons*INDEX(LM_Elder,G899)*AA899)*AH899</x:f>
        <x:v>1118.8672940420224</x:v>
      </x:c>
      <x:c r="AJ899" s="32" t="n">
        <x:f>H899*v01_CommonsCoef*AI899^v01_CommonsExp*INDEX(LM_Commons,G899)</x:f>
        <x:v>283.106145865667</x:v>
      </x:c>
      <x:c r="AK899" s="32" t="n">
        <x:f>H899*v01_RoleScale*Arch_Roles*(AE899*(INDEX(v01_ElderRolePerSett,G899)*v01_OutElder*INDEX(LM_Elder,G899)+INDEX(v01_ShamanPerSett,G899)*v01_OutShaman)+Z899*(INDEX(v01_PriestShare,G899)*v01_OutPriest+INDEX(v01_ScribeShare,G899)*v01_OutScribe*INDEX(LM_Scribe,G899)+INDEX(v01_ScholarShare,G899)*v01_OutScholar*INDEX(LM_Scholar,G899)+INDEX(v01_ResearcherShare,G899)*v01_OutResearcher*INDEX(LM_Researcher,G899)))</x:f>
        <x:v>51.48720343046932</x:v>
      </x:c>
      <x:c r="AL899" s="32" t="n">
        <x:f>H899*v01_RoleScale*Arch_Roles*AE899*INDEX(v01_MonasteryPerSett,G899)*v01_OutMonastery*INDEX(LM_Monastery,G899)</x:f>
        <x:v>0</x:v>
      </x:c>
      <x:c r="AM899" s="32" t="n">
        <x:f>(AJ899+AK899+AL899)/4*INDEX(LM_All,G899)*INDEX(v01_Boon,G899)*Arch_Insight</x:f>
        <x:v>100.63776768204889</x:v>
      </x:c>
      <x:c r="AN899" s="32" t="n">
        <x:f>H899*(v01_KHPerAdult*Z899+v01_KHOfCommons*AJ899/4*INDEX(LM_All,G899))*v01_KHUsable*Arch_KH</x:f>
        <x:v>19.183001554971085</x:v>
      </x:c>
      <x:c r="AO899" s="32" t="n">
        <x:f>MIN(AP898+AN899,AM899*v01_KHMaxRatio)</x:f>
        <x:v>19.183001554971085</x:v>
      </x:c>
      <x:c r="AP899" s="32" t="n">
        <x:f>AP898+AN899-AO899</x:f>
        <x:v>0</x:v>
      </x:c>
      <x:c r="AQ899" s="32" t="n">
        <x:f>AM899+AO899</x:f>
        <x:v>119.82076923701997</x:v>
      </x:c>
      <x:c r="AR899" s="10" t="n">
        <x:f>IF(H899=1,INDEX(v01_Req,G899),0)</x:f>
        <x:v>24714.473079999996</x:v>
      </x:c>
      <x:c r="AS899" s="32" t="n">
        <x:f>IF(H899=1,IF(E899=1,AS898-AR898,AS898)+AQ899,0)</x:f>
        <x:v>1666.979407497963</x:v>
      </x:c>
      <x:c r="AT899" s="11" t="n">
        <x:f>IF(AR899&gt;0,MIN(1,AS899/AR899),1)</x:f>
        <x:v>0.06744952247624303</x:v>
      </x:c>
      <x:c r="AU899" s="10" t="n">
        <x:f>AB899/INDEX(v01_RepScale,G899)</x:f>
        <x:v>130.15670459221508</x:v>
      </x:c>
      <x:c r="AV899" s="32" t="n">
        <x:f>AM899*60/v01_SeasonSeconds</x:f>
        <x:v>402.55107072819555</x:v>
      </x:c>
    </x:row>
    <x:row r="900">
      <x:c r="A900" s="8" t="n">
        <x:f>A899+1</x:f>
        <x:v>897</x:v>
      </x:c>
      <x:c r="B900" s="9" t="n">
        <x:f>A900*v01_SeasonSeconds/60</x:f>
        <x:v>224.25</x:v>
      </x:c>
      <x:c r="C900" s="9" t="n">
        <x:f>A900/4</x:f>
        <x:v>224.25</x:v>
      </x:c>
      <x:c r="D900" s="8" t="n">
        <x:f>IF(MOD(A900,4)=0,1,0)</x:f>
        <x:v>0</x:v>
      </x:c>
      <x:c r="E900" s="8" t="n">
        <x:f>IF(AND(F899&lt;=9,AS899&gt;=AR899),1,0)</x:f>
        <x:v>0</x:v>
      </x:c>
      <x:c r="F900" s="8" t="n">
        <x:f>MIN(10,F899+E900)</x:f>
        <x:v>4</x:v>
      </x:c>
      <x:c r="G900" s="8" t="n">
        <x:f>MIN(F900,9)+1</x:f>
        <x:v>5</x:v>
      </x:c>
      <x:c r="H900" s="8" t="n">
        <x:f>IF(F900&lt;=9,1,0)</x:f>
        <x:v>1</x:v>
      </x:c>
      <x:c r="I900" s="9" t="n">
        <x:f>MIN(10,F899+IF(AR899&gt;0,MIN(1,AS899/AR899),1))</x:f>
        <x:v>4.0674495224762435</x:v>
      </x:c>
      <x:c r="J900" s="32" t="n">
        <x:f>INDEX(v01_FoodCap,G900)*Arch_FoodCap*EXP(v01_CapsByProject*SUMPRODUCT((Cap_Point&lt;=I900)*(Cap_Kind="Food")*Cap_Ln))</x:f>
        <x:v>250</x:v>
      </x:c>
      <x:c r="K900" s="32" t="n">
        <x:f>J900*MIN(1,v01_LeanBase*EXP(v01_CapsByProject*SUMPRODUCT((Cap_Point&lt;=I900)*(Cap_Kind="Lean")*Cap_Ln)))</x:f>
        <x:v>250</x:v>
      </x:c>
      <x:c r="L900" s="10" t="n">
        <x:f>INDEX(v01_HousingCap,G900)*EXP(v01_CapsByProject*SUMPRODUCT((Cap_Point&lt;=I900)*(Cap_Kind="Housing")*Cap_Ln))</x:f>
        <x:v>400</x:v>
      </x:c>
      <x:c r="M900" s="10" t="n">
        <x:f>INDEX(v01_GroupCap,G900)*v01_CohesionFactor*EXP(v01_CapsByProject*SUMPRODUCT((Cap_Point&lt;=I900)*(Cap_Kind="Group")*Cap_Ln))</x:f>
        <x:v>10000</x:v>
      </x:c>
      <x:c r="N900" s="32" t="n">
        <x:f>MIN(J900,L900,M900)</x:f>
        <x:v>250</x:v>
      </x:c>
      <x:c r="O900" s="10" t="n">
        <x:f>AE899*N900</x:f>
        <x:v>3000</x:v>
      </x:c>
      <x:c r="P900" s="9" t="n">
        <x:f>MIN(1,(AB899/(AE899*IF(v01_GroupInCrowding=1,N900,MIN(J900,L900))))^v01_CrowdingExp)</x:f>
        <x:v>0.006669169222400843</x:v>
      </x:c>
      <x:c r="Q900" s="9" t="n">
        <x:f>IF(D900=1,INDEX(v01_WinterMult,G900),1)</x:f>
        <x:v>1</x:v>
      </x:c>
      <x:c r="R900" s="9" t="n">
        <x:f>H900*Z899*v01_WomenShare*v01_BaseFertility*INDEX(v01_FertMult,G900)*Arch_Fertility*(1-P900)</x:f>
        <x:v>19.599497353447617</x:v>
      </x:c>
      <x:c r="S900" s="9" t="n">
        <x:f>H900*Y899*INDEX(v01_MortChild,G900)/4*Q900</x:f>
        <x:v>3.9425454280275254</x:v>
      </x:c>
      <x:c r="T900" s="9" t="n">
        <x:f>H900*Z899*INDEX(v01_MortAdult,G900)*Arch_AdultMort/4*Q900</x:f>
        <x:v>1.370214396783649</x:v>
      </x:c>
      <x:c r="U900" s="9" t="n">
        <x:f>H900*AA899*INDEX(v01_MortElder,G900)/4*Q900</x:f>
        <x:v>2.8539076766428133</x:v>
      </x:c>
      <x:c r="V900" s="9" t="n">
        <x:f>H900*MAX(0,AB899-O900)*v01_OvercapLoss</x:f>
        <x:v>0</x:v>
      </x:c>
      <x:c r="W900" s="9" t="n">
        <x:f>H900*Y899/(v01_ChildYears*4)</x:f>
        <x:v>10.057513847008993</x:v>
      </x:c>
      <x:c r="X900" s="9" t="n">
        <x:f>H900*Z899/(v01_AdultYears*4)</x:f>
        <x:v>4.420046441237578</x:v>
      </x:c>
      <x:c r="Y900" s="32" t="n">
        <x:f>Y899+R900-S900-W900-Y899*V900/AB899</x:f>
        <x:v>568.8202135109148</x:v>
      </x:c>
      <x:c r="Z900" s="32" t="n">
        <x:f>Z899+W900-X900-T900-Z899*V900/AB899</x:f>
        <x:v>552.3530117224474</x:v>
      </x:c>
      <x:c r="AA900" s="32" t="n">
        <x:f>AA899+X900-U900-AA899*V900/AB899</x:f>
        <x:v>191.82665054078234</x:v>
      </x:c>
      <x:c r="AB900" s="10" t="n">
        <x:f>Y900+Z900+AA900</x:f>
        <x:v>1312.9998757741446</x:v>
      </x:c>
      <x:c r="AC900" s="8" t="n">
        <x:f>IF(AND(v01_WinterTrigger=1,D900=1,AB899/AE899&gt;=K900),1,0)</x:f>
        <x:v>0</x:v>
      </x:c>
      <x:c r="AD900" s="8" t="n">
        <x:f>H900*IF(AND(OR(AB899/AE899&gt;=v01_FissionTrigger*N900,AC900=1),AB899/AE899*v01_DaughterShare&gt;=v01_MinDaughter),MAX(1,ROUND(AE899*v01_FissionRate,0)),0)</x:f>
        <x:v>0</x:v>
      </x:c>
      <x:c r="AE900" s="8" t="n">
        <x:f>IF(H900=1,MAX(1,MIN(INDEX(v01_Smax,G900),AE899+AD900)),AE899)</x:f>
        <x:v>12</x:v>
      </x:c>
      <x:c r="AF900" s="8" t="n">
        <x:f>MAX(0,AE900-AE899)</x:f>
        <x:v>0</x:v>
      </x:c>
      <x:c r="AG900" s="9" t="str">
        <x:f>IF(AF900&gt;0,B900,"")</x:f>
      </x:c>
      <x:c r="AH900" s="9" t="n">
        <x:f>IF(F900&gt;=1,1,(1+v01_LowTiesShare*(AE900-1))/AE900)</x:f>
        <x:v>1</x:v>
      </x:c>
      <x:c r="AI900" s="32" t="n">
        <x:f>(Z900+v01_ElderCommons*INDEX(LM_Elder,G900)*AA900)*AH900</x:f>
        <x:v>1127.8329633447943</x:v>
      </x:c>
      <x:c r="AJ900" s="32" t="n">
        <x:f>H900*v01_CommonsCoef*AI900^v01_CommonsExp*INDEX(LM_Commons,G900)</x:f>
        <x:v>285.0332805809958</x:v>
      </x:c>
      <x:c r="AK900" s="32" t="n">
        <x:f>H900*v01_RoleScale*Arch_Roles*(AE900*(INDEX(v01_ElderRolePerSett,G900)*v01_OutElder*INDEX(LM_Elder,G900)+INDEX(v01_ShamanPerSett,G900)*v01_OutShaman)+Z900*(INDEX(v01_PriestShare,G900)*v01_OutPriest+INDEX(v01_ScribeShare,G900)*v01_OutScribe*INDEX(LM_Scribe,G900)+INDEX(v01_ScholarShare,G900)*v01_OutScholar*INDEX(LM_Scholar,G900)+INDEX(v01_ResearcherShare,G900)*v01_OutResearcher*INDEX(LM_Researcher,G900)))</x:f>
        <x:v>51.6077827638835</x:v>
      </x:c>
      <x:c r="AL900" s="32" t="n">
        <x:f>H900*v01_RoleScale*Arch_Roles*AE900*INDEX(v01_MonasteryPerSett,G900)*v01_OutMonastery*INDEX(LM_Monastery,G900)</x:f>
        <x:v>0</x:v>
      </x:c>
      <x:c r="AM900" s="32" t="n">
        <x:f>(AJ900+AK900+AL900)/4*INDEX(LM_All,G900)*INDEX(v01_Boon,G900)*Arch_Insight</x:f>
        <x:v>101.253671647714</x:v>
      </x:c>
      <x:c r="AN900" s="32" t="n">
        <x:f>H900*(v01_KHPerAdult*Z900+v01_KHOfCommons*AJ900/4*INDEX(LM_All,G900))*v01_KHUsable*Arch_KH</x:f>
        <x:v>19.332355410285658</x:v>
      </x:c>
      <x:c r="AO900" s="32" t="n">
        <x:f>MIN(AP899+AN900,AM900*v01_KHMaxRatio)</x:f>
        <x:v>19.332355410285658</x:v>
      </x:c>
      <x:c r="AP900" s="32" t="n">
        <x:f>AP899+AN900-AO900</x:f>
        <x:v>0</x:v>
      </x:c>
      <x:c r="AQ900" s="32" t="n">
        <x:f>AM900+AO900</x:f>
        <x:v>120.58602705799966</x:v>
      </x:c>
      <x:c r="AR900" s="10" t="n">
        <x:f>IF(H900=1,INDEX(v01_Req,G900),0)</x:f>
        <x:v>24714.473079999996</x:v>
      </x:c>
      <x:c r="AS900" s="32" t="n">
        <x:f>IF(H900=1,IF(E900=1,AS899-AR899,AS899)+AQ900,0)</x:f>
        <x:v>1787.5654345559626</x:v>
      </x:c>
      <x:c r="AT900" s="11" t="n">
        <x:f>IF(AR900&gt;0,MIN(1,AS900/AR900),1)</x:f>
        <x:v>0.07232868889292796</x:v>
      </x:c>
      <x:c r="AU900" s="10" t="n">
        <x:f>AB900/INDEX(v01_RepScale,G900)</x:f>
        <x:v>131.29998757741447</x:v>
      </x:c>
      <x:c r="AV900" s="32" t="n">
        <x:f>AM900*60/v01_SeasonSeconds</x:f>
        <x:v>405.014686590856</x:v>
      </x:c>
    </x:row>
    <x:row r="901">
      <x:c r="A901" s="8" t="n">
        <x:f>A900+1</x:f>
        <x:v>898</x:v>
      </x:c>
      <x:c r="B901" s="9" t="n">
        <x:f>A901*v01_SeasonSeconds/60</x:f>
        <x:v>224.5</x:v>
      </x:c>
      <x:c r="C901" s="9" t="n">
        <x:f>A901/4</x:f>
        <x:v>224.5</x:v>
      </x:c>
      <x:c r="D901" s="8" t="n">
        <x:f>IF(MOD(A901,4)=0,1,0)</x:f>
        <x:v>0</x:v>
      </x:c>
      <x:c r="E901" s="8" t="n">
        <x:f>IF(AND(F900&lt;=9,AS900&gt;=AR900),1,0)</x:f>
        <x:v>0</x:v>
      </x:c>
      <x:c r="F901" s="8" t="n">
        <x:f>MIN(10,F900+E901)</x:f>
        <x:v>4</x:v>
      </x:c>
      <x:c r="G901" s="8" t="n">
        <x:f>MIN(F901,9)+1</x:f>
        <x:v>5</x:v>
      </x:c>
      <x:c r="H901" s="8" t="n">
        <x:f>IF(F901&lt;=9,1,0)</x:f>
        <x:v>1</x:v>
      </x:c>
      <x:c r="I901" s="9" t="n">
        <x:f>MIN(10,F900+IF(AR900&gt;0,MIN(1,AS900/AR900),1))</x:f>
        <x:v>4.072328688892928</x:v>
      </x:c>
      <x:c r="J901" s="32" t="n">
        <x:f>INDEX(v01_FoodCap,G901)*Arch_FoodCap*EXP(v01_CapsByProject*SUMPRODUCT((Cap_Point&lt;=I901)*(Cap_Kind="Food")*Cap_Ln))</x:f>
        <x:v>250</x:v>
      </x:c>
      <x:c r="K901" s="32" t="n">
        <x:f>J901*MIN(1,v01_LeanBase*EXP(v01_CapsByProject*SUMPRODUCT((Cap_Point&lt;=I901)*(Cap_Kind="Lean")*Cap_Ln)))</x:f>
        <x:v>250</x:v>
      </x:c>
      <x:c r="L901" s="10" t="n">
        <x:f>INDEX(v01_HousingCap,G901)*EXP(v01_CapsByProject*SUMPRODUCT((Cap_Point&lt;=I901)*(Cap_Kind="Housing")*Cap_Ln))</x:f>
        <x:v>400</x:v>
      </x:c>
      <x:c r="M901" s="10" t="n">
        <x:f>INDEX(v01_GroupCap,G901)*v01_CohesionFactor*EXP(v01_CapsByProject*SUMPRODUCT((Cap_Point&lt;=I901)*(Cap_Kind="Group")*Cap_Ln))</x:f>
        <x:v>10000</x:v>
      </x:c>
      <x:c r="N901" s="32" t="n">
        <x:f>MIN(J901,L901,M901)</x:f>
        <x:v>250</x:v>
      </x:c>
      <x:c r="O901" s="10" t="n">
        <x:f>AE900*N901</x:f>
        <x:v>3000</x:v>
      </x:c>
      <x:c r="P901" s="9" t="n">
        <x:f>MIN(1,(AB900/(AE900*IF(v01_GroupInCrowding=1,N901,MIN(J901,L901))))^v01_CrowdingExp)</x:f>
        <x:v>0.007028466540444006</x:v>
      </x:c>
      <x:c r="Q901" s="9" t="n">
        <x:f>IF(D901=1,INDEX(v01_WinterMult,G901),1)</x:f>
        <x:v>1</x:v>
      </x:c>
      <x:c r="R901" s="9" t="n">
        <x:f>H901*Z900*v01_WomenShare*v01_BaseFertility*INDEX(v01_FertMult,G901)*Arch_Fertility*(1-P901)</x:f>
        <x:v>19.744949414197535</x:v>
      </x:c>
      <x:c r="S901" s="9" t="n">
        <x:f>H901*Y900*INDEX(v01_MortChild,G901)/4*Q901</x:f>
        <x:v>3.9817414945764034</x:v>
      </x:c>
      <x:c r="T901" s="9" t="n">
        <x:f>H901*Z900*INDEX(v01_MortAdult,G901)*Arch_AdultMort/4*Q901</x:f>
        <x:v>1.3808825293061184</x:v>
      </x:c>
      <x:c r="U901" s="9" t="n">
        <x:f>H901*AA900*INDEX(v01_MortElder,G901)/4*Q901</x:f>
        <x:v>2.8773997581117348</x:v>
      </x:c>
      <x:c r="V901" s="9" t="n">
        <x:f>H901*MAX(0,AB900-O901)*v01_OvercapLoss</x:f>
        <x:v>0</x:v>
      </x:c>
      <x:c r="W901" s="9" t="n">
        <x:f>H901*Y900/(v01_ChildYears*4)</x:f>
        <x:v>10.157503812694907</x:v>
      </x:c>
      <x:c r="X901" s="9" t="n">
        <x:f>H901*Z900/(v01_AdultYears*4)</x:f>
        <x:v>4.454459771955221</x:v>
      </x:c>
      <x:c r="Y901" s="32" t="n">
        <x:f>Y900+R901-S901-W901-Y900*V901/AB900</x:f>
        <x:v>574.4259176178409</x:v>
      </x:c>
      <x:c r="Z901" s="32" t="n">
        <x:f>Z900+W901-X901-T901-Z900*V901/AB900</x:f>
        <x:v>556.675173233881</x:v>
      </x:c>
      <x:c r="AA901" s="32" t="n">
        <x:f>AA900+X901-U901-AA900*V901/AB900</x:f>
        <x:v>193.40371055462583</x:v>
      </x:c>
      <x:c r="AB901" s="10" t="n">
        <x:f>Y901+Z901+AA901</x:f>
        <x:v>1324.5048014063477</x:v>
      </x:c>
      <x:c r="AC901" s="8" t="n">
        <x:f>IF(AND(v01_WinterTrigger=1,D901=1,AB900/AE900&gt;=K901),1,0)</x:f>
        <x:v>0</x:v>
      </x:c>
      <x:c r="AD901" s="8" t="n">
        <x:f>H901*IF(AND(OR(AB900/AE900&gt;=v01_FissionTrigger*N901,AC901=1),AB900/AE900*v01_DaughterShare&gt;=v01_MinDaughter),MAX(1,ROUND(AE900*v01_FissionRate,0)),0)</x:f>
        <x:v>0</x:v>
      </x:c>
      <x:c r="AE901" s="8" t="n">
        <x:f>IF(H901=1,MAX(1,MIN(INDEX(v01_Smax,G901),AE900+AD901)),AE900)</x:f>
        <x:v>12</x:v>
      </x:c>
      <x:c r="AF901" s="8" t="n">
        <x:f>MAX(0,AE901-AE900)</x:f>
        <x:v>0</x:v>
      </x:c>
      <x:c r="AG901" s="9" t="str">
        <x:f>IF(AF901&gt;0,B901,"")</x:f>
      </x:c>
      <x:c r="AH901" s="9" t="n">
        <x:f>IF(F901&gt;=1,1,(1+v01_LowTiesShare*(AE901-1))/AE901)</x:f>
        <x:v>1</x:v>
      </x:c>
      <x:c r="AI901" s="32" t="n">
        <x:f>(Z901+v01_ElderCommons*INDEX(LM_Elder,G901)*AA901)*AH901</x:f>
        <x:v>1136.8863048977585</x:v>
      </x:c>
      <x:c r="AJ901" s="32" t="n">
        <x:f>H901*v01_CommonsCoef*AI901^v01_CommonsExp*INDEX(LM_Commons,G901)</x:f>
        <x:v>286.9769297579894</x:v>
      </x:c>
      <x:c r="AK901" s="32" t="n">
        <x:f>H901*v01_RoleScale*Arch_Roles*(AE901*(INDEX(v01_ElderRolePerSett,G901)*v01_OutElder*INDEX(LM_Elder,G901)+INDEX(v01_ShamanPerSett,G901)*v01_OutShaman)+Z901*(INDEX(v01_PriestShare,G901)*v01_OutPriest+INDEX(v01_ScribeShare,G901)*v01_OutScribe*INDEX(LM_Scribe,G901)+INDEX(v01_ScholarShare,G901)*v01_OutScholar*INDEX(LM_Scholar,G901)+INDEX(v01_ResearcherShare,G901)*v01_OutResearcher*INDEX(LM_Researcher,G901)))</x:f>
        <x:v>51.72991364125576</x:v>
      </x:c>
      <x:c r="AL901" s="32" t="n">
        <x:f>H901*v01_RoleScale*Arch_Roles*AE901*INDEX(v01_MonasteryPerSett,G901)*v01_OutMonastery*INDEX(LM_Monastery,G901)</x:f>
        <x:v>0</x:v>
      </x:c>
      <x:c r="AM901" s="32" t="n">
        <x:f>(AJ901+AK901+AL901)/4*INDEX(LM_All,G901)*INDEX(v01_Boon,G901)*Arch_Insight</x:f>
        <x:v>101.87500944068215</x:v>
      </x:c>
      <x:c r="AN901" s="32" t="n">
        <x:f>H901*(v01_KHPerAdult*Z901+v01_KHOfCommons*AJ901/4*INDEX(LM_All,G901))*v01_KHUsable*Arch_KH</x:f>
        <x:v>19.483631063185832</x:v>
      </x:c>
      <x:c r="AO901" s="32" t="n">
        <x:f>MIN(AP900+AN901,AM901*v01_KHMaxRatio)</x:f>
        <x:v>19.483631063185832</x:v>
      </x:c>
      <x:c r="AP901" s="32" t="n">
        <x:f>AP900+AN901-AO901</x:f>
        <x:v>0</x:v>
      </x:c>
      <x:c r="AQ901" s="32" t="n">
        <x:f>AM901+AO901</x:f>
        <x:v>121.35864050386797</x:v>
      </x:c>
      <x:c r="AR901" s="10" t="n">
        <x:f>IF(H901=1,INDEX(v01_Req,G901),0)</x:f>
        <x:v>24714.473079999996</x:v>
      </x:c>
      <x:c r="AS901" s="32" t="n">
        <x:f>IF(H901=1,IF(E901=1,AS900-AR900,AS900)+AQ901,0)</x:f>
        <x:v>1908.9240750598306</x:v>
      </x:c>
      <x:c r="AT901" s="11" t="n">
        <x:f>IF(AR901&gt;0,MIN(1,AS901/AR901),1)</x:f>
        <x:v>0.07723911688833913</x:v>
      </x:c>
      <x:c r="AU901" s="10" t="n">
        <x:f>AB901/INDEX(v01_RepScale,G901)</x:f>
        <x:v>132.45048014063477</x:v>
      </x:c>
      <x:c r="AV901" s="32" t="n">
        <x:f>AM901*60/v01_SeasonSeconds</x:f>
        <x:v>407.5000377627286</x:v>
      </x:c>
    </x:row>
    <x:row r="902">
      <x:c r="A902" s="8" t="n">
        <x:f>A901+1</x:f>
        <x:v>899</x:v>
      </x:c>
      <x:c r="B902" s="9" t="n">
        <x:f>A902*v01_SeasonSeconds/60</x:f>
        <x:v>224.75</x:v>
      </x:c>
      <x:c r="C902" s="9" t="n">
        <x:f>A902/4</x:f>
        <x:v>224.75</x:v>
      </x:c>
      <x:c r="D902" s="8" t="n">
        <x:f>IF(MOD(A902,4)=0,1,0)</x:f>
        <x:v>0</x:v>
      </x:c>
      <x:c r="E902" s="8" t="n">
        <x:f>IF(AND(F901&lt;=9,AS901&gt;=AR901),1,0)</x:f>
        <x:v>0</x:v>
      </x:c>
      <x:c r="F902" s="8" t="n">
        <x:f>MIN(10,F901+E902)</x:f>
        <x:v>4</x:v>
      </x:c>
      <x:c r="G902" s="8" t="n">
        <x:f>MIN(F902,9)+1</x:f>
        <x:v>5</x:v>
      </x:c>
      <x:c r="H902" s="8" t="n">
        <x:f>IF(F902&lt;=9,1,0)</x:f>
        <x:v>1</x:v>
      </x:c>
      <x:c r="I902" s="9" t="n">
        <x:f>MIN(10,F901+IF(AR901&gt;0,MIN(1,AS901/AR901),1))</x:f>
        <x:v>4.0772391168883395</x:v>
      </x:c>
      <x:c r="J902" s="32" t="n">
        <x:f>INDEX(v01_FoodCap,G902)*Arch_FoodCap*EXP(v01_CapsByProject*SUMPRODUCT((Cap_Point&lt;=I902)*(Cap_Kind="Food")*Cap_Ln))</x:f>
        <x:v>250</x:v>
      </x:c>
      <x:c r="K902" s="32" t="n">
        <x:f>J902*MIN(1,v01_LeanBase*EXP(v01_CapsByProject*SUMPRODUCT((Cap_Point&lt;=I902)*(Cap_Kind="Lean")*Cap_Ln)))</x:f>
        <x:v>250</x:v>
      </x:c>
      <x:c r="L902" s="10" t="n">
        <x:f>INDEX(v01_HousingCap,G902)*EXP(v01_CapsByProject*SUMPRODUCT((Cap_Point&lt;=I902)*(Cap_Kind="Housing")*Cap_Ln))</x:f>
        <x:v>400</x:v>
      </x:c>
      <x:c r="M902" s="10" t="n">
        <x:f>INDEX(v01_GroupCap,G902)*v01_CohesionFactor*EXP(v01_CapsByProject*SUMPRODUCT((Cap_Point&lt;=I902)*(Cap_Kind="Group")*Cap_Ln))</x:f>
        <x:v>10000</x:v>
      </x:c>
      <x:c r="N902" s="32" t="n">
        <x:f>MIN(J902,L902,M902)</x:f>
        <x:v>250</x:v>
      </x:c>
      <x:c r="O902" s="10" t="n">
        <x:f>AE901*N902</x:f>
        <x:v>3000</x:v>
      </x:c>
      <x:c r="P902" s="9" t="n">
        <x:f>MIN(1,(AB901/(AE901*IF(v01_GroupInCrowding=1,N902,MIN(J902,L902))))^v01_CrowdingExp)</x:f>
        <x:v>0.007406170289950142</x:v>
      </x:c>
      <x:c r="Q902" s="9" t="n">
        <x:f>IF(D902=1,INDEX(v01_WinterMult,G902),1)</x:f>
        <x:v>1</x:v>
      </x:c>
      <x:c r="R902" s="9" t="n">
        <x:f>H902*Z901*v01_WomenShare*v01_BaseFertility*INDEX(v01_FertMult,G902)*Arch_Fertility*(1-P902)</x:f>
        <x:v>19.89188431577004</x:v>
      </x:c>
      <x:c r="S902" s="9" t="n">
        <x:f>H902*Y901*INDEX(v01_MortChild,G902)/4*Q902</x:f>
        <x:v>4.020981423324886</x:v>
      </x:c>
      <x:c r="T902" s="9" t="n">
        <x:f>H902*Z901*INDEX(v01_MortAdult,G902)*Arch_AdultMort/4*Q902</x:f>
        <x:v>1.3916879330847025</x:v>
      </x:c>
      <x:c r="U902" s="9" t="n">
        <x:f>H902*AA901*INDEX(v01_MortElder,G902)/4*Q902</x:f>
        <x:v>2.9010556583193874</x:v>
      </x:c>
      <x:c r="V902" s="9" t="n">
        <x:f>H902*MAX(0,AB901-O902)*v01_OvercapLoss</x:f>
        <x:v>0</x:v>
      </x:c>
      <x:c r="W902" s="9" t="n">
        <x:f>H902*Y901/(v01_ChildYears*4)</x:f>
        <x:v>10.257605671747159</x:v>
      </x:c>
      <x:c r="X902" s="9" t="n">
        <x:f>H902*Z901/(v01_AdultYears*4)</x:f>
        <x:v>4.489315913176459</x:v>
      </x:c>
      <x:c r="Y902" s="32" t="n">
        <x:f>Y901+R902-S902-W902-Y901*V902/AB901</x:f>
        <x:v>580.039214838539</x:v>
      </x:c>
      <x:c r="Z902" s="32" t="n">
        <x:f>Z901+W902-X902-T902-Z901*V902/AB901</x:f>
        <x:v>561.051775059367</x:v>
      </x:c>
      <x:c r="AA902" s="32" t="n">
        <x:f>AA901+X902-U902-AA901*V902/AB901</x:f>
        <x:v>194.9919708094829</x:v>
      </x:c>
      <x:c r="AB902" s="10" t="n">
        <x:f>Y902+Z902+AA902</x:f>
        <x:v>1336.0829607073888</x:v>
      </x:c>
      <x:c r="AC902" s="8" t="n">
        <x:f>IF(AND(v01_WinterTrigger=1,D902=1,AB901/AE901&gt;=K902),1,0)</x:f>
        <x:v>0</x:v>
      </x:c>
      <x:c r="AD902" s="8" t="n">
        <x:f>H902*IF(AND(OR(AB901/AE901&gt;=v01_FissionTrigger*N902,AC902=1),AB901/AE901*v01_DaughterShare&gt;=v01_MinDaughter),MAX(1,ROUND(AE901*v01_FissionRate,0)),0)</x:f>
        <x:v>0</x:v>
      </x:c>
      <x:c r="AE902" s="8" t="n">
        <x:f>IF(H902=1,MAX(1,MIN(INDEX(v01_Smax,G902),AE901+AD902)),AE901)</x:f>
        <x:v>12</x:v>
      </x:c>
      <x:c r="AF902" s="8" t="n">
        <x:f>MAX(0,AE902-AE901)</x:f>
        <x:v>0</x:v>
      </x:c>
      <x:c r="AG902" s="9" t="str">
        <x:f>IF(AF902&gt;0,B902,"")</x:f>
      </x:c>
      <x:c r="AH902" s="9" t="n">
        <x:f>IF(F902&gt;=1,1,(1+v01_LowTiesShare*(AE902-1))/AE902)</x:f>
        <x:v>1</x:v>
      </x:c>
      <x:c r="AI902" s="32" t="n">
        <x:f>(Z902+v01_ElderCommons*INDEX(LM_Elder,G902)*AA902)*AH902</x:f>
        <x:v>1146.0276874878157</x:v>
      </x:c>
      <x:c r="AJ902" s="32" t="n">
        <x:f>H902*v01_CommonsCoef*AI902^v01_CommonsExp*INDEX(LM_Commons,G902)</x:f>
        <x:v>288.9371261418136</x:v>
      </x:c>
      <x:c r="AK902" s="32" t="n">
        <x:f>H902*v01_RoleScale*Arch_Roles*(AE902*(INDEX(v01_ElderRolePerSett,G902)*v01_OutElder*INDEX(LM_Elder,G902)+INDEX(v01_ShamanPerSett,G902)*v01_OutShaman)+Z902*(INDEX(v01_PriestShare,G902)*v01_OutPriest+INDEX(v01_ScribeShare,G902)*v01_OutScribe*INDEX(LM_Scribe,G902)+INDEX(v01_ScholarShare,G902)*v01_OutScholar*INDEX(LM_Scholar,G902)+INDEX(v01_ResearcherShare,G902)*v01_OutResearcher*INDEX(LM_Researcher,G902)))</x:f>
        <x:v>51.85358283303438</x:v>
      </x:c>
      <x:c r="AL902" s="32" t="n">
        <x:f>H902*v01_RoleScale*Arch_Roles*AE902*INDEX(v01_MonasteryPerSett,G902)*v01_OutMonastery*INDEX(LM_Monastery,G902)</x:f>
        <x:v>0</x:v>
      </x:c>
      <x:c r="AM902" s="32" t="n">
        <x:f>(AJ902+AK902+AL902)/4*INDEX(LM_All,G902)*INDEX(v01_Boon,G902)*Arch_Insight</x:f>
        <x:v>102.5017869307886</x:v>
      </x:c>
      <x:c r="AN902" s="32" t="n">
        <x:f>H902*(v01_KHPerAdult*Z902+v01_KHOfCommons*AJ902/4*INDEX(LM_All,G902))*v01_KHUsable*Arch_KH</x:f>
        <x:v>19.636812127077842</x:v>
      </x:c>
      <x:c r="AO902" s="32" t="n">
        <x:f>MIN(AP901+AN902,AM902*v01_KHMaxRatio)</x:f>
        <x:v>19.636812127077842</x:v>
      </x:c>
      <x:c r="AP902" s="32" t="n">
        <x:f>AP901+AN902-AO902</x:f>
        <x:v>0</x:v>
      </x:c>
      <x:c r="AQ902" s="32" t="n">
        <x:f>AM902+AO902</x:f>
        <x:v>122.13859905786644</x:v>
      </x:c>
      <x:c r="AR902" s="10" t="n">
        <x:f>IF(H902=1,INDEX(v01_Req,G902),0)</x:f>
        <x:v>24714.473079999996</x:v>
      </x:c>
      <x:c r="AS902" s="32" t="n">
        <x:f>IF(H902=1,IF(E902=1,AS901-AR901,AS901)+AQ902,0)</x:f>
        <x:v>2031.062674117697</x:v>
      </x:c>
      <x:c r="AT902" s="11" t="n">
        <x:f>IF(AR902&gt;0,MIN(1,AS902/AR902),1)</x:f>
        <x:v>0.08218110366113042</x:v>
      </x:c>
      <x:c r="AU902" s="10" t="n">
        <x:f>AB902/INDEX(v01_RepScale,G902)</x:f>
        <x:v>133.60829607073887</x:v>
      </x:c>
      <x:c r="AV902" s="32" t="n">
        <x:f>AM902*60/v01_SeasonSeconds</x:f>
        <x:v>410.0071477231544</x:v>
      </x:c>
    </x:row>
    <x:row r="903">
      <x:c r="A903" s="8" t="n">
        <x:f>A902+1</x:f>
        <x:v>900</x:v>
      </x:c>
      <x:c r="B903" s="9" t="n">
        <x:f>A903*v01_SeasonSeconds/60</x:f>
        <x:v>225</x:v>
      </x:c>
      <x:c r="C903" s="9" t="n">
        <x:f>A903/4</x:f>
        <x:v>225</x:v>
      </x:c>
      <x:c r="D903" s="8" t="n">
        <x:f>IF(MOD(A903,4)=0,1,0)</x:f>
        <x:v>1</x:v>
      </x:c>
      <x:c r="E903" s="8" t="n">
        <x:f>IF(AND(F902&lt;=9,AS902&gt;=AR902),1,0)</x:f>
        <x:v>0</x:v>
      </x:c>
      <x:c r="F903" s="8" t="n">
        <x:f>MIN(10,F902+E903)</x:f>
        <x:v>4</x:v>
      </x:c>
      <x:c r="G903" s="8" t="n">
        <x:f>MIN(F903,9)+1</x:f>
        <x:v>5</x:v>
      </x:c>
      <x:c r="H903" s="8" t="n">
        <x:f>IF(F903&lt;=9,1,0)</x:f>
        <x:v>1</x:v>
      </x:c>
      <x:c r="I903" s="9" t="n">
        <x:f>MIN(10,F902+IF(AR902&gt;0,MIN(1,AS902/AR902),1))</x:f>
        <x:v>4.082181103661131</x:v>
      </x:c>
      <x:c r="J903" s="32" t="n">
        <x:f>INDEX(v01_FoodCap,G903)*Arch_FoodCap*EXP(v01_CapsByProject*SUMPRODUCT((Cap_Point&lt;=I903)*(Cap_Kind="Food")*Cap_Ln))</x:f>
        <x:v>250</x:v>
      </x:c>
      <x:c r="K903" s="32" t="n">
        <x:f>J903*MIN(1,v01_LeanBase*EXP(v01_CapsByProject*SUMPRODUCT((Cap_Point&lt;=I903)*(Cap_Kind="Lean")*Cap_Ln)))</x:f>
        <x:v>250</x:v>
      </x:c>
      <x:c r="L903" s="10" t="n">
        <x:f>INDEX(v01_HousingCap,G903)*EXP(v01_CapsByProject*SUMPRODUCT((Cap_Point&lt;=I903)*(Cap_Kind="Housing")*Cap_Ln))</x:f>
        <x:v>400</x:v>
      </x:c>
      <x:c r="M903" s="10" t="n">
        <x:f>INDEX(v01_GroupCap,G903)*v01_CohesionFactor*EXP(v01_CapsByProject*SUMPRODUCT((Cap_Point&lt;=I903)*(Cap_Kind="Group")*Cap_Ln))</x:f>
        <x:v>10000</x:v>
      </x:c>
      <x:c r="N903" s="32" t="n">
        <x:f>MIN(J903,L903,M903)</x:f>
        <x:v>250</x:v>
      </x:c>
      <x:c r="O903" s="10" t="n">
        <x:f>AE902*N903</x:f>
        <x:v>3000</x:v>
      </x:c>
      <x:c r="P903" s="9" t="n">
        <x:f>MIN(1,(AB902/(AE902*IF(v01_GroupInCrowding=1,N903,MIN(J903,L903))))^v01_CrowdingExp)</x:f>
        <x:v>0.00780320513564937</x:v>
      </x:c>
      <x:c r="Q903" s="9" t="n">
        <x:f>IF(D903=1,INDEX(v01_WinterMult,G903),1)</x:f>
        <x:v>1</x:v>
      </x:c>
      <x:c r="R903" s="9" t="n">
        <x:f>H903*Z902*v01_WomenShare*v01_BaseFertility*INDEX(v01_FertMult,G903)*Arch_Fertility*(1-P903)</x:f>
        <x:v>20.040255826806902</x:v>
      </x:c>
      <x:c r="S903" s="9" t="n">
        <x:f>H903*Y902*INDEX(v01_MortChild,G903)/4*Q903</x:f>
        <x:v>4.060274503869773</x:v>
      </x:c>
      <x:c r="T903" s="9" t="n">
        <x:f>H903*Z902*INDEX(v01_MortAdult,G903)*Arch_AdultMort/4*Q903</x:f>
        <x:v>1.4026294376484174</x:v>
      </x:c>
      <x:c r="U903" s="9" t="n">
        <x:f>H903*AA902*INDEX(v01_MortElder,G903)/4*Q903</x:f>
        <x:v>2.924879562142243</x:v>
      </x:c>
      <x:c r="V903" s="9" t="n">
        <x:f>H903*MAX(0,AB902-O903)*v01_OvercapLoss</x:f>
        <x:v>0</x:v>
      </x:c>
      <x:c r="W903" s="9" t="n">
        <x:f>H903*Y902/(v01_ChildYears*4)</x:f>
        <x:v>10.357843122116767</x:v>
      </x:c>
      <x:c r="X903" s="9" t="n">
        <x:f>H903*Z902/(v01_AdultYears*4)</x:f>
        <x:v>4.5246110891884435</x:v>
      </x:c>
      <x:c r="Y903" s="32" t="n">
        <x:f>Y902+R903-S903-W903-Y902*V903/AB902</x:f>
        <x:v>585.6613530393594</x:v>
      </x:c>
      <x:c r="Z903" s="32" t="n">
        <x:f>Z902+W903-X903-T903-Z902*V903/AB902</x:f>
        <x:v>565.4823776546468</x:v>
      </x:c>
      <x:c r="AA903" s="32" t="n">
        <x:f>AA902+X903-U903-AA902*V903/AB902</x:f>
        <x:v>196.5917023365291</x:v>
      </x:c>
      <x:c r="AB903" s="10" t="n">
        <x:f>Y903+Z903+AA903</x:f>
        <x:v>1347.7354330305352</x:v>
      </x:c>
      <x:c r="AC903" s="8" t="n">
        <x:f>IF(AND(v01_WinterTrigger=1,D903=1,AB902/AE902&gt;=K903),1,0)</x:f>
        <x:v>0</x:v>
      </x:c>
      <x:c r="AD903" s="8" t="n">
        <x:f>H903*IF(AND(OR(AB902/AE902&gt;=v01_FissionTrigger*N903,AC903=1),AB902/AE902*v01_DaughterShare&gt;=v01_MinDaughter),MAX(1,ROUND(AE902*v01_FissionRate,0)),0)</x:f>
        <x:v>0</x:v>
      </x:c>
      <x:c r="AE903" s="8" t="n">
        <x:f>IF(H903=1,MAX(1,MIN(INDEX(v01_Smax,G903),AE902+AD903)),AE902)</x:f>
        <x:v>12</x:v>
      </x:c>
      <x:c r="AF903" s="8" t="n">
        <x:f>MAX(0,AE903-AE902)</x:f>
        <x:v>0</x:v>
      </x:c>
      <x:c r="AG903" s="9" t="str">
        <x:f>IF(AF903&gt;0,B903,"")</x:f>
      </x:c>
      <x:c r="AH903" s="9" t="n">
        <x:f>IF(F903&gt;=1,1,(1+v01_LowTiesShare*(AE903-1))/AE903)</x:f>
        <x:v>1</x:v>
      </x:c>
      <x:c r="AI903" s="32" t="n">
        <x:f>(Z903+v01_ElderCommons*INDEX(LM_Elder,G903)*AA903)*AH903</x:f>
        <x:v>1155.2574846642342</x:v>
      </x:c>
      <x:c r="AJ903" s="32" t="n">
        <x:f>H903*v01_CommonsCoef*AI903^v01_CommonsExp*INDEX(LM_Commons,G903)</x:f>
        <x:v>290.91390333976955</x:v>
      </x:c>
      <x:c r="AK903" s="32" t="n">
        <x:f>H903*v01_RoleScale*Arch_Roles*(AE903*(INDEX(v01_ElderRolePerSett,G903)*v01_OutElder*INDEX(LM_Elder,G903)+INDEX(v01_ShamanPerSett,G903)*v01_OutShaman)+Z903*(INDEX(v01_PriestShare,G903)*v01_OutPriest+INDEX(v01_ScribeShare,G903)*v01_OutScribe*INDEX(LM_Scribe,G903)+INDEX(v01_ScholarShare,G903)*v01_OutScholar*INDEX(LM_Scholar,G903)+INDEX(v01_ResearcherShare,G903)*v01_OutResearcher*INDEX(LM_Researcher,G903)))</x:f>
        <x:v>51.97877791906204</x:v>
      </x:c>
      <x:c r="AL903" s="32" t="n">
        <x:f>H903*v01_RoleScale*Arch_Roles*AE903*INDEX(v01_MonasteryPerSett,G903)*v01_OutMonastery*INDEX(LM_Monastery,G903)</x:f>
        <x:v>0</x:v>
      </x:c>
      <x:c r="AM903" s="32" t="n">
        <x:f>(AJ903+AK903+AL903)/4*INDEX(LM_All,G903)*INDEX(v01_Boon,G903)*Arch_Insight</x:f>
        <x:v>103.13401049062517</x:v>
      </x:c>
      <x:c r="AN903" s="32" t="n">
        <x:f>H903*(v01_KHPerAdult*Z903+v01_KHOfCommons*AJ903/4*INDEX(LM_All,G903))*v01_KHUsable*Arch_KH</x:f>
        <x:v>19.791883217912638</x:v>
      </x:c>
      <x:c r="AO903" s="32" t="n">
        <x:f>MIN(AP902+AN903,AM903*v01_KHMaxRatio)</x:f>
        <x:v>19.791883217912638</x:v>
      </x:c>
      <x:c r="AP903" s="32" t="n">
        <x:f>AP902+AN903-AO903</x:f>
        <x:v>0</x:v>
      </x:c>
      <x:c r="AQ903" s="32" t="n">
        <x:f>AM903+AO903</x:f>
        <x:v>122.92589370853781</x:v>
      </x:c>
      <x:c r="AR903" s="10" t="n">
        <x:f>IF(H903=1,INDEX(v01_Req,G903),0)</x:f>
        <x:v>24714.473079999996</x:v>
      </x:c>
      <x:c r="AS903" s="32" t="n">
        <x:f>IF(H903=1,IF(E903=1,AS902-AR902,AS902)+AQ903,0)</x:f>
        <x:v>2153.988567826235</x:v>
      </x:c>
      <x:c r="AT903" s="11" t="n">
        <x:f>IF(AR903&gt;0,MIN(1,AS903/AR903),1)</x:f>
        <x:v>0.08715494604533301</x:v>
      </x:c>
      <x:c r="AU903" s="10" t="n">
        <x:f>AB903/INDEX(v01_RepScale,G903)</x:f>
        <x:v>134.77354330305351</x:v>
      </x:c>
      <x:c r="AV903" s="32" t="n">
        <x:f>AM903*60/v01_SeasonSeconds</x:f>
        <x:v>412.5360419625007</x:v>
      </x:c>
    </x:row>
    <x:row r="904">
      <x:c r="A904" s="8" t="n">
        <x:f>A903+1</x:f>
        <x:v>901</x:v>
      </x:c>
      <x:c r="B904" s="9" t="n">
        <x:f>A904*v01_SeasonSeconds/60</x:f>
        <x:v>225.25</x:v>
      </x:c>
      <x:c r="C904" s="9" t="n">
        <x:f>A904/4</x:f>
        <x:v>225.25</x:v>
      </x:c>
      <x:c r="D904" s="8" t="n">
        <x:f>IF(MOD(A904,4)=0,1,0)</x:f>
        <x:v>0</x:v>
      </x:c>
      <x:c r="E904" s="8" t="n">
        <x:f>IF(AND(F903&lt;=9,AS903&gt;=AR903),1,0)</x:f>
        <x:v>0</x:v>
      </x:c>
      <x:c r="F904" s="8" t="n">
        <x:f>MIN(10,F903+E904)</x:f>
        <x:v>4</x:v>
      </x:c>
      <x:c r="G904" s="8" t="n">
        <x:f>MIN(F904,9)+1</x:f>
        <x:v>5</x:v>
      </x:c>
      <x:c r="H904" s="8" t="n">
        <x:f>IF(F904&lt;=9,1,0)</x:f>
        <x:v>1</x:v>
      </x:c>
      <x:c r="I904" s="9" t="n">
        <x:f>MIN(10,F903+IF(AR903&gt;0,MIN(1,AS903/AR903),1))</x:f>
        <x:v>4.087154946045333</x:v>
      </x:c>
      <x:c r="J904" s="32" t="n">
        <x:f>INDEX(v01_FoodCap,G904)*Arch_FoodCap*EXP(v01_CapsByProject*SUMPRODUCT((Cap_Point&lt;=I904)*(Cap_Kind="Food")*Cap_Ln))</x:f>
        <x:v>250</x:v>
      </x:c>
      <x:c r="K904" s="32" t="n">
        <x:f>J904*MIN(1,v01_LeanBase*EXP(v01_CapsByProject*SUMPRODUCT((Cap_Point&lt;=I904)*(Cap_Kind="Lean")*Cap_Ln)))</x:f>
        <x:v>250</x:v>
      </x:c>
      <x:c r="L904" s="10" t="n">
        <x:f>INDEX(v01_HousingCap,G904)*EXP(v01_CapsByProject*SUMPRODUCT((Cap_Point&lt;=I904)*(Cap_Kind="Housing")*Cap_Ln))</x:f>
        <x:v>400</x:v>
      </x:c>
      <x:c r="M904" s="10" t="n">
        <x:f>INDEX(v01_GroupCap,G904)*v01_CohesionFactor*EXP(v01_CapsByProject*SUMPRODUCT((Cap_Point&lt;=I904)*(Cap_Kind="Group")*Cap_Ln))</x:f>
        <x:v>10000</x:v>
      </x:c>
      <x:c r="N904" s="32" t="n">
        <x:f>MIN(J904,L904,M904)</x:f>
        <x:v>250</x:v>
      </x:c>
      <x:c r="O904" s="10" t="n">
        <x:f>AE903*N904</x:f>
        <x:v>3000</x:v>
      </x:c>
      <x:c r="P904" s="9" t="n">
        <x:f>MIN(1,(AB903/(AE903*IF(v01_GroupInCrowding=1,N904,MIN(J904,L904))))^v01_CrowdingExp)</x:f>
        <x:v>0.008220540067488229</x:v>
      </x:c>
      <x:c r="Q904" s="9" t="n">
        <x:f>IF(D904=1,INDEX(v01_WinterMult,G904),1)</x:f>
        <x:v>1</x:v>
      </x:c>
      <x:c r="R904" s="9" t="n">
        <x:f>H904*Z903*v01_WomenShare*v01_BaseFertility*INDEX(v01_FertMult,G904)*Arch_Fertility*(1-P904)</x:f>
        <x:v>20.19001705602042</x:v>
      </x:c>
      <x:c r="S904" s="9" t="n">
        <x:f>H904*Y903*INDEX(v01_MortChild,G904)/4*Q904</x:f>
        <x:v>4.099629471275516</x:v>
      </x:c>
      <x:c r="T904" s="9" t="n">
        <x:f>H904*Z903*INDEX(v01_MortAdult,G904)*Arch_AdultMort/4*Q904</x:f>
        <x:v>1.413705944136617</x:v>
      </x:c>
      <x:c r="U904" s="9" t="n">
        <x:f>H904*AA903*INDEX(v01_MortElder,G904)/4*Q904</x:f>
        <x:v>2.9488755350479363</x:v>
      </x:c>
      <x:c r="V904" s="9" t="n">
        <x:f>H904*MAX(0,AB903-O904)*v01_OvercapLoss</x:f>
        <x:v>0</x:v>
      </x:c>
      <x:c r="W904" s="9" t="n">
        <x:f>H904*Y903/(v01_ChildYears*4)</x:f>
        <x:v>10.458238447131418</x:v>
      </x:c>
      <x:c r="X904" s="9" t="n">
        <x:f>H904*Z903/(v01_AdultYears*4)</x:f>
        <x:v>4.56034175527941</x:v>
      </x:c>
      <x:c r="Y904" s="32" t="n">
        <x:f>Y903+R904-S904-W904-Y903*V904/AB903</x:f>
        <x:v>591.2935021769729</x:v>
      </x:c>
      <x:c r="Z904" s="32" t="n">
        <x:f>Z903+W904-X904-T904-Z903*V904/AB903</x:f>
        <x:v>569.9665684023622</x:v>
      </x:c>
      <x:c r="AA904" s="32" t="n">
        <x:f>AA903+X904-U904-AA903*V904/AB903</x:f>
        <x:v>198.20316855676057</x:v>
      </x:c>
      <x:c r="AB904" s="10" t="n">
        <x:f>Y904+Z904+AA904</x:f>
        <x:v>1359.4632391360958</x:v>
      </x:c>
      <x:c r="AC904" s="8" t="n">
        <x:f>IF(AND(v01_WinterTrigger=1,D904=1,AB903/AE903&gt;=K904),1,0)</x:f>
        <x:v>0</x:v>
      </x:c>
      <x:c r="AD904" s="8" t="n">
        <x:f>H904*IF(AND(OR(AB903/AE903&gt;=v01_FissionTrigger*N904,AC904=1),AB903/AE903*v01_DaughterShare&gt;=v01_MinDaughter),MAX(1,ROUND(AE903*v01_FissionRate,0)),0)</x:f>
        <x:v>0</x:v>
      </x:c>
      <x:c r="AE904" s="8" t="n">
        <x:f>IF(H904=1,MAX(1,MIN(INDEX(v01_Smax,G904),AE903+AD904)),AE903)</x:f>
        <x:v>12</x:v>
      </x:c>
      <x:c r="AF904" s="8" t="n">
        <x:f>MAX(0,AE904-AE903)</x:f>
        <x:v>0</x:v>
      </x:c>
      <x:c r="AG904" s="9" t="str">
        <x:f>IF(AF904&gt;0,B904,"")</x:f>
      </x:c>
      <x:c r="AH904" s="9" t="n">
        <x:f>IF(F904&gt;=1,1,(1+v01_LowTiesShare*(AE904-1))/AE904)</x:f>
        <x:v>1</x:v>
      </x:c>
      <x:c r="AI904" s="32" t="n">
        <x:f>(Z904+v01_ElderCommons*INDEX(LM_Elder,G904)*AA904)*AH904</x:f>
        <x:v>1164.576074072644</x:v>
      </x:c>
      <x:c r="AJ904" s="32" t="n">
        <x:f>H904*v01_CommonsCoef*AI904^v01_CommonsExp*INDEX(LM_Commons,G904)</x:f>
        <x:v>292.9072956760335</x:v>
      </x:c>
      <x:c r="AK904" s="32" t="n">
        <x:f>H904*v01_RoleScale*Arch_Roles*(AE904*(INDEX(v01_ElderRolePerSett,G904)*v01_OutElder*INDEX(LM_Elder,G904)+INDEX(v01_ShamanPerSett,G904)*v01_OutShaman)+Z904*(INDEX(v01_PriestShare,G904)*v01_OutPriest+INDEX(v01_ScribeShare,G904)*v01_OutScribe*INDEX(LM_Scribe,G904)+INDEX(v01_ScholarShare,G904)*v01_OutScholar*INDEX(LM_Scholar,G904)+INDEX(v01_ResearcherShare,G904)*v01_OutResearcher*INDEX(LM_Researcher,G904)))</x:f>
        <x:v>52.105487240052085</x:v>
      </x:c>
      <x:c r="AL904" s="32" t="n">
        <x:f>H904*v01_RoleScale*Arch_Roles*AE904*INDEX(v01_MonasteryPerSett,G904)*v01_OutMonastery*INDEX(LM_Monastery,G904)</x:f>
        <x:v>0</x:v>
      </x:c>
      <x:c r="AM904" s="32" t="n">
        <x:f>(AJ904+AK904+AL904)/4*INDEX(LM_All,G904)*INDEX(v01_Boon,G904)*Arch_Insight</x:f>
        <x:v>103.77168693725476</x:v>
      </x:c>
      <x:c r="AN904" s="32" t="n">
        <x:f>H904*(v01_KHPerAdult*Z904+v01_KHOfCommons*AJ904/4*INDEX(LM_All,G904))*v01_KHUsable*Arch_KH</x:f>
        <x:v>19.948829894082678</x:v>
      </x:c>
      <x:c r="AO904" s="32" t="n">
        <x:f>MIN(AP903+AN904,AM904*v01_KHMaxRatio)</x:f>
        <x:v>19.948829894082678</x:v>
      </x:c>
      <x:c r="AP904" s="32" t="n">
        <x:f>AP903+AN904-AO904</x:f>
        <x:v>0</x:v>
      </x:c>
      <x:c r="AQ904" s="32" t="n">
        <x:f>AM904+AO904</x:f>
        <x:v>123.72051683133743</x:v>
      </x:c>
      <x:c r="AR904" s="10" t="n">
        <x:f>IF(H904=1,INDEX(v01_Req,G904),0)</x:f>
        <x:v>24714.473079999996</x:v>
      </x:c>
      <x:c r="AS904" s="32" t="n">
        <x:f>IF(H904=1,IF(E904=1,AS903-AR903,AS903)+AQ904,0)</x:f>
        <x:v>2277.7090846575725</x:v>
      </x:c>
      <x:c r="AT904" s="11" t="n">
        <x:f>IF(AR904&gt;0,MIN(1,AS904/AR904),1)</x:f>
        <x:v>0.09216094056647284</x:v>
      </x:c>
      <x:c r="AU904" s="10" t="n">
        <x:f>AB904/INDEX(v01_RepScale,G904)</x:f>
        <x:v>135.94632391360958</x:v>
      </x:c>
      <x:c r="AV904" s="32" t="n">
        <x:f>AM904*60/v01_SeasonSeconds</x:f>
        <x:v>415.086747749019</x:v>
      </x:c>
    </x:row>
    <x:row r="905">
      <x:c r="A905" s="8" t="n">
        <x:f>A904+1</x:f>
        <x:v>902</x:v>
      </x:c>
      <x:c r="B905" s="9" t="n">
        <x:f>A905*v01_SeasonSeconds/60</x:f>
        <x:v>225.5</x:v>
      </x:c>
      <x:c r="C905" s="9" t="n">
        <x:f>A905/4</x:f>
        <x:v>225.5</x:v>
      </x:c>
      <x:c r="D905" s="8" t="n">
        <x:f>IF(MOD(A905,4)=0,1,0)</x:f>
        <x:v>0</x:v>
      </x:c>
      <x:c r="E905" s="8" t="n">
        <x:f>IF(AND(F904&lt;=9,AS904&gt;=AR904),1,0)</x:f>
        <x:v>0</x:v>
      </x:c>
      <x:c r="F905" s="8" t="n">
        <x:f>MIN(10,F904+E905)</x:f>
        <x:v>4</x:v>
      </x:c>
      <x:c r="G905" s="8" t="n">
        <x:f>MIN(F905,9)+1</x:f>
        <x:v>5</x:v>
      </x:c>
      <x:c r="H905" s="8" t="n">
        <x:f>IF(F905&lt;=9,1,0)</x:f>
        <x:v>1</x:v>
      </x:c>
      <x:c r="I905" s="9" t="n">
        <x:f>MIN(10,F904+IF(AR904&gt;0,MIN(1,AS904/AR904),1))</x:f>
        <x:v>4.0921609405664725</x:v>
      </x:c>
      <x:c r="J905" s="32" t="n">
        <x:f>INDEX(v01_FoodCap,G905)*Arch_FoodCap*EXP(v01_CapsByProject*SUMPRODUCT((Cap_Point&lt;=I905)*(Cap_Kind="Food")*Cap_Ln))</x:f>
        <x:v>250</x:v>
      </x:c>
      <x:c r="K905" s="32" t="n">
        <x:f>J905*MIN(1,v01_LeanBase*EXP(v01_CapsByProject*SUMPRODUCT((Cap_Point&lt;=I905)*(Cap_Kind="Lean")*Cap_Ln)))</x:f>
        <x:v>250</x:v>
      </x:c>
      <x:c r="L905" s="10" t="n">
        <x:f>INDEX(v01_HousingCap,G905)*EXP(v01_CapsByProject*SUMPRODUCT((Cap_Point&lt;=I905)*(Cap_Kind="Housing")*Cap_Ln))</x:f>
        <x:v>400</x:v>
      </x:c>
      <x:c r="M905" s="10" t="n">
        <x:f>INDEX(v01_GroupCap,G905)*v01_CohesionFactor*EXP(v01_CapsByProject*SUMPRODUCT((Cap_Point&lt;=I905)*(Cap_Kind="Group")*Cap_Ln))</x:f>
        <x:v>10000</x:v>
      </x:c>
      <x:c r="N905" s="32" t="n">
        <x:f>MIN(J905,L905,M905)</x:f>
        <x:v>250</x:v>
      </x:c>
      <x:c r="O905" s="10" t="n">
        <x:f>AE904*N905</x:f>
        <x:v>3000</x:v>
      </x:c>
      <x:c r="P905" s="9" t="n">
        <x:f>MIN(1,(AB904/(AE904*IF(v01_GroupInCrowding=1,N905,MIN(J905,L905))))^v01_CrowdingExp)</x:f>
        <x:v>0.00865919026567094</x:v>
      </x:c>
      <x:c r="Q905" s="9" t="n">
        <x:f>IF(D905=1,INDEX(v01_WinterMult,G905),1)</x:f>
        <x:v>1</x:v>
      </x:c>
      <x:c r="R905" s="9" t="n">
        <x:f>H905*Z904*v01_WomenShare*v01_BaseFertility*INDEX(v01_FertMult,G905)*Arch_Fertility*(1-P905)</x:f>
        <x:v>20.341120299893806</x:v>
      </x:c>
      <x:c r="S905" s="9" t="n">
        <x:f>H905*Y904*INDEX(v01_MortChild,G905)/4*Q905</x:f>
        <x:v>4.1390545152388105</x:v>
      </x:c>
      <x:c r="T905" s="9" t="n">
        <x:f>H905*Z904*INDEX(v01_MortAdult,G905)*Arch_AdultMort/4*Q905</x:f>
        <x:v>1.4249164210059055</x:v>
      </x:c>
      <x:c r="U905" s="9" t="n">
        <x:f>H905*AA904*INDEX(v01_MortElder,G905)/4*Q905</x:f>
        <x:v>2.9730475283514086</x:v>
      </x:c>
      <x:c r="V905" s="9" t="n">
        <x:f>H905*MAX(0,AB904-O905)*v01_OvercapLoss</x:f>
        <x:v>0</x:v>
      </x:c>
      <x:c r="W905" s="9" t="n">
        <x:f>H905*Y904/(v01_ChildYears*4)</x:f>
        <x:v>10.558812538874516</x:v>
      </x:c>
      <x:c r="X905" s="9" t="n">
        <x:f>H905*Z904/(v01_AdultYears*4)</x:f>
        <x:v>4.596504583890018</x:v>
      </x:c>
      <x:c r="Y905" s="32" t="n">
        <x:f>Y904+R905-S905-W905-Y904*V905/AB904</x:f>
        <x:v>596.9367554227533</x:v>
      </x:c>
      <x:c r="Z905" s="32" t="n">
        <x:f>Z904+W905-X905-T905-Z904*V905/AB904</x:f>
        <x:v>574.5039599363407</x:v>
      </x:c>
      <x:c r="AA905" s="32" t="n">
        <x:f>AA904+X905-U905-AA904*V905/AB904</x:f>
        <x:v>199.82662561229918</x:v>
      </x:c>
      <x:c r="AB905" s="10" t="n">
        <x:f>Y905+Z905+AA905</x:f>
        <x:v>1371.2673409713934</x:v>
      </x:c>
      <x:c r="AC905" s="8" t="n">
        <x:f>IF(AND(v01_WinterTrigger=1,D905=1,AB904/AE904&gt;=K905),1,0)</x:f>
        <x:v>0</x:v>
      </x:c>
      <x:c r="AD905" s="8" t="n">
        <x:f>H905*IF(AND(OR(AB904/AE904&gt;=v01_FissionTrigger*N905,AC905=1),AB904/AE904*v01_DaughterShare&gt;=v01_MinDaughter),MAX(1,ROUND(AE904*v01_FissionRate,0)),0)</x:f>
        <x:v>0</x:v>
      </x:c>
      <x:c r="AE905" s="8" t="n">
        <x:f>IF(H905=1,MAX(1,MIN(INDEX(v01_Smax,G905),AE904+AD905)),AE904)</x:f>
        <x:v>12</x:v>
      </x:c>
      <x:c r="AF905" s="8" t="n">
        <x:f>MAX(0,AE905-AE904)</x:f>
        <x:v>0</x:v>
      </x:c>
      <x:c r="AG905" s="9" t="str">
        <x:f>IF(AF905&gt;0,B905,"")</x:f>
      </x:c>
      <x:c r="AH905" s="9" t="n">
        <x:f>IF(F905&gt;=1,1,(1+v01_LowTiesShare*(AE905-1))/AE905)</x:f>
        <x:v>1</x:v>
      </x:c>
      <x:c r="AI905" s="32" t="n">
        <x:f>(Z905+v01_ElderCommons*INDEX(LM_Elder,G905)*AA905)*AH905</x:f>
        <x:v>1173.9838367732382</x:v>
      </x:c>
      <x:c r="AJ905" s="32" t="n">
        <x:f>H905*v01_CommonsCoef*AI905^v01_CommonsExp*INDEX(LM_Commons,G905)</x:f>
        <x:v>294.91733804399684</x:v>
      </x:c>
      <x:c r="AK905" s="32" t="n">
        <x:f>H905*v01_RoleScale*Arch_Roles*(AE905*(INDEX(v01_ElderRolePerSett,G905)*v01_OutElder*INDEX(LM_Elder,G905)+INDEX(v01_ShamanPerSett,G905)*v01_OutShaman)+Z905*(INDEX(v01_PriestShare,G905)*v01_OutPriest+INDEX(v01_ScribeShare,G905)*v01_OutScribe*INDEX(LM_Scribe,G905)+INDEX(v01_ScholarShare,G905)*v01_OutScholar*INDEX(LM_Scholar,G905)+INDEX(v01_ResearcherShare,G905)*v01_OutResearcher*INDEX(LM_Researcher,G905)))</x:f>
        <x:v>52.23369985023806</x:v>
      </x:c>
      <x:c r="AL905" s="32" t="n">
        <x:f>H905*v01_RoleScale*Arch_Roles*AE905*INDEX(v01_MonasteryPerSett,G905)*v01_OutMonastery*INDEX(LM_Monastery,G905)</x:f>
        <x:v>0</x:v>
      </x:c>
      <x:c r="AM905" s="32" t="n">
        <x:f>(AJ905+AK905+AL905)/4*INDEX(LM_All,G905)*INDEX(v01_Boon,G905)*Arch_Insight</x:f>
        <x:v>104.41482347355668</x:v>
      </x:c>
      <x:c r="AN905" s="32" t="n">
        <x:f>H905*(v01_KHPerAdult*Z905+v01_KHOfCommons*AJ905/4*INDEX(LM_All,G905))*v01_KHUsable*Arch_KH</x:f>
        <x:v>20.107638597771924</x:v>
      </x:c>
      <x:c r="AO905" s="32" t="n">
        <x:f>MIN(AP904+AN905,AM905*v01_KHMaxRatio)</x:f>
        <x:v>20.107638597771924</x:v>
      </x:c>
      <x:c r="AP905" s="32" t="n">
        <x:f>AP904+AN905-AO905</x:f>
        <x:v>0</x:v>
      </x:c>
      <x:c r="AQ905" s="32" t="n">
        <x:f>AM905+AO905</x:f>
        <x:v>124.5224620713286</x:v>
      </x:c>
      <x:c r="AR905" s="10" t="n">
        <x:f>IF(H905=1,INDEX(v01_Req,G905),0)</x:f>
        <x:v>24714.473079999996</x:v>
      </x:c>
      <x:c r="AS905" s="32" t="n">
        <x:f>IF(H905=1,IF(E905=1,AS904-AR904,AS904)+AQ905,0)</x:f>
        <x:v>2402.231546728901</x:v>
      </x:c>
      <x:c r="AT905" s="11" t="n">
        <x:f>IF(AR905&gt;0,MIN(1,AS905/AR905),1)</x:f>
        <x:v>0.09719938349294159</x:v>
      </x:c>
      <x:c r="AU905" s="10" t="n">
        <x:f>AB905/INDEX(v01_RepScale,G905)</x:f>
        <x:v>137.12673409713935</x:v>
      </x:c>
      <x:c r="AV905" s="32" t="n">
        <x:f>AM905*60/v01_SeasonSeconds</x:f>
        <x:v>417.6592938942267</x:v>
      </x:c>
    </x:row>
    <x:row r="906">
      <x:c r="A906" s="8" t="n">
        <x:f>A905+1</x:f>
        <x:v>903</x:v>
      </x:c>
      <x:c r="B906" s="9" t="n">
        <x:f>A906*v01_SeasonSeconds/60</x:f>
        <x:v>225.75</x:v>
      </x:c>
      <x:c r="C906" s="9" t="n">
        <x:f>A906/4</x:f>
        <x:v>225.75</x:v>
      </x:c>
      <x:c r="D906" s="8" t="n">
        <x:f>IF(MOD(A906,4)=0,1,0)</x:f>
        <x:v>0</x:v>
      </x:c>
      <x:c r="E906" s="8" t="n">
        <x:f>IF(AND(F905&lt;=9,AS905&gt;=AR905),1,0)</x:f>
        <x:v>0</x:v>
      </x:c>
      <x:c r="F906" s="8" t="n">
        <x:f>MIN(10,F905+E906)</x:f>
        <x:v>4</x:v>
      </x:c>
      <x:c r="G906" s="8" t="n">
        <x:f>MIN(F906,9)+1</x:f>
        <x:v>5</x:v>
      </x:c>
      <x:c r="H906" s="8" t="n">
        <x:f>IF(F906&lt;=9,1,0)</x:f>
        <x:v>1</x:v>
      </x:c>
      <x:c r="I906" s="9" t="n">
        <x:f>MIN(10,F905+IF(AR905&gt;0,MIN(1,AS905/AR905),1))</x:f>
        <x:v>4.097199383492941</x:v>
      </x:c>
      <x:c r="J906" s="32" t="n">
        <x:f>INDEX(v01_FoodCap,G906)*Arch_FoodCap*EXP(v01_CapsByProject*SUMPRODUCT((Cap_Point&lt;=I906)*(Cap_Kind="Food")*Cap_Ln))</x:f>
        <x:v>250</x:v>
      </x:c>
      <x:c r="K906" s="32" t="n">
        <x:f>J906*MIN(1,v01_LeanBase*EXP(v01_CapsByProject*SUMPRODUCT((Cap_Point&lt;=I906)*(Cap_Kind="Lean")*Cap_Ln)))</x:f>
        <x:v>250</x:v>
      </x:c>
      <x:c r="L906" s="10" t="n">
        <x:f>INDEX(v01_HousingCap,G906)*EXP(v01_CapsByProject*SUMPRODUCT((Cap_Point&lt;=I906)*(Cap_Kind="Housing")*Cap_Ln))</x:f>
        <x:v>400</x:v>
      </x:c>
      <x:c r="M906" s="10" t="n">
        <x:f>INDEX(v01_GroupCap,G906)*v01_CohesionFactor*EXP(v01_CapsByProject*SUMPRODUCT((Cap_Point&lt;=I906)*(Cap_Kind="Group")*Cap_Ln))</x:f>
        <x:v>10000</x:v>
      </x:c>
      <x:c r="N906" s="32" t="n">
        <x:f>MIN(J906,L906,M906)</x:f>
        <x:v>250</x:v>
      </x:c>
      <x:c r="O906" s="10" t="n">
        <x:f>AE905*N906</x:f>
        <x:v>3000</x:v>
      </x:c>
      <x:c r="P906" s="9" t="n">
        <x:f>MIN(1,(AB905/(AE905*IF(v01_GroupInCrowding=1,N906,MIN(J906,L906))))^v01_CrowdingExp)</x:f>
        <x:v>0.00912021901651964</x:v>
      </x:c>
      <x:c r="Q906" s="9" t="n">
        <x:f>IF(D906=1,INDEX(v01_WinterMult,G906),1)</x:f>
        <x:v>1</x:v>
      </x:c>
      <x:c r="R906" s="9" t="n">
        <x:f>H906*Z905*v01_WomenShare*v01_BaseFertility*INDEX(v01_FertMult,G906)*Arch_Fertility*(1-P906)</x:f>
        <x:v>20.493516887851083</x:v>
      </x:c>
      <x:c r="S906" s="9" t="n">
        <x:f>H906*Y905*INDEX(v01_MortChild,G906)/4*Q906</x:f>
        <x:v>4.178557287959273</x:v>
      </x:c>
      <x:c r="T906" s="9" t="n">
        <x:f>H906*Z905*INDEX(v01_MortAdult,G906)*Arch_AdultMort/4*Q906</x:f>
        <x:v>1.4362598998408518</x:v>
      </x:c>
      <x:c r="U906" s="9" t="n">
        <x:f>H906*AA905*INDEX(v01_MortElder,G906)/4*Q906</x:f>
        <x:v>2.9973993841844875</x:v>
      </x:c>
      <x:c r="V906" s="9" t="n">
        <x:f>H906*MAX(0,AB905-O906)*v01_OvercapLoss</x:f>
        <x:v>0</x:v>
      </x:c>
      <x:c r="W906" s="9" t="n">
        <x:f>H906*Y905/(v01_ChildYears*4)</x:f>
        <x:v>10.659584918263452</x:v>
      </x:c>
      <x:c r="X906" s="9" t="n">
        <x:f>H906*Z905/(v01_AdultYears*4)</x:f>
        <x:v>4.633096451099522</x:v>
      </x:c>
      <x:c r="Y906" s="32" t="n">
        <x:f>Y905+R906-S906-W906-Y905*V906/AB905</x:f>
        <x:v>602.5921301043817</x:v>
      </x:c>
      <x:c r="Z906" s="32" t="n">
        <x:f>Z905+W906-X906-T906-Z905*V906/AB905</x:f>
        <x:v>579.0941885036639</x:v>
      </x:c>
      <x:c r="AA906" s="32" t="n">
        <x:f>AA905+X906-U906-AA905*V906/AB905</x:f>
        <x:v>201.46232267921422</x:v>
      </x:c>
      <x:c r="AB906" s="10" t="n">
        <x:f>Y906+Z906+AA906</x:f>
        <x:v>1383.1486412872596</x:v>
      </x:c>
      <x:c r="AC906" s="8" t="n">
        <x:f>IF(AND(v01_WinterTrigger=1,D906=1,AB905/AE905&gt;=K906),1,0)</x:f>
        <x:v>0</x:v>
      </x:c>
      <x:c r="AD906" s="8" t="n">
        <x:f>H906*IF(AND(OR(AB905/AE905&gt;=v01_FissionTrigger*N906,AC906=1),AB905/AE905*v01_DaughterShare&gt;=v01_MinDaughter),MAX(1,ROUND(AE905*v01_FissionRate,0)),0)</x:f>
        <x:v>0</x:v>
      </x:c>
      <x:c r="AE906" s="8" t="n">
        <x:f>IF(H906=1,MAX(1,MIN(INDEX(v01_Smax,G906),AE905+AD906)),AE905)</x:f>
        <x:v>12</x:v>
      </x:c>
      <x:c r="AF906" s="8" t="n">
        <x:f>MAX(0,AE906-AE905)</x:f>
        <x:v>0</x:v>
      </x:c>
      <x:c r="AG906" s="9" t="str">
        <x:f>IF(AF906&gt;0,B906,"")</x:f>
      </x:c>
      <x:c r="AH906" s="9" t="n">
        <x:f>IF(F906&gt;=1,1,(1+v01_LowTiesShare*(AE906-1))/AE906)</x:f>
        <x:v>1</x:v>
      </x:c>
      <x:c r="AI906" s="32" t="n">
        <x:f>(Z906+v01_ElderCommons*INDEX(LM_Elder,G906)*AA906)*AH906</x:f>
        <x:v>1183.4811565413065</x:v>
      </x:c>
      <x:c r="AJ906" s="32" t="n">
        <x:f>H906*v01_CommonsCoef*AI906^v01_CommonsExp*INDEX(LM_Commons,G906)</x:f>
        <x:v>296.94406575583446</x:v>
      </x:c>
      <x:c r="AK906" s="32" t="n">
        <x:f>H906*v01_RoleScale*Arch_Roles*(AE906*(INDEX(v01_ElderRolePerSett,G906)*v01_OutElder*INDEX(LM_Elder,G906)+INDEX(v01_ShamanPerSett,G906)*v01_OutShaman)+Z906*(INDEX(v01_PriestShare,G906)*v01_OutPriest+INDEX(v01_ScribeShare,G906)*v01_OutScribe*INDEX(LM_Scribe,G906)+INDEX(v01_ScholarShare,G906)*v01_OutScholar*INDEX(LM_Scholar,G906)+INDEX(v01_ResearcherShare,G906)*v01_OutResearcher*INDEX(LM_Researcher,G906)))</x:f>
        <x:v>52.363405471090815</x:v>
      </x:c>
      <x:c r="AL906" s="32" t="n">
        <x:f>H906*v01_RoleScale*Arch_Roles*AE906*INDEX(v01_MonasteryPerSett,G906)*v01_OutMonastery*INDEX(LM_Monastery,G906)</x:f>
        <x:v>0</x:v>
      </x:c>
      <x:c r="AM906" s="32" t="n">
        <x:f>(AJ906+AK906+AL906)/4*INDEX(LM_All,G906)*INDEX(v01_Boon,G906)*Arch_Insight</x:f>
        <x:v>105.06342762905962</x:v>
      </x:c>
      <x:c r="AN906" s="32" t="n">
        <x:f>H906*(v01_KHPerAdult*Z906+v01_KHOfCommons*AJ906/4*INDEX(LM_All,G906))*v01_KHUsable*Arch_KH</x:f>
        <x:v>20.268296597628236</x:v>
      </x:c>
      <x:c r="AO906" s="32" t="n">
        <x:f>MIN(AP905+AN906,AM906*v01_KHMaxRatio)</x:f>
        <x:v>20.268296597628236</x:v>
      </x:c>
      <x:c r="AP906" s="32" t="n">
        <x:f>AP905+AN906-AO906</x:f>
        <x:v>0</x:v>
      </x:c>
      <x:c r="AQ906" s="32" t="n">
        <x:f>AM906+AO906</x:f>
        <x:v>125.33172422668785</x:v>
      </x:c>
      <x:c r="AR906" s="10" t="n">
        <x:f>IF(H906=1,INDEX(v01_Req,G906),0)</x:f>
        <x:v>24714.473079999996</x:v>
      </x:c>
      <x:c r="AS906" s="32" t="n">
        <x:f>IF(H906=1,IF(E906=1,AS905-AR905,AS905)+AQ906,0)</x:f>
        <x:v>2527.563270955589</x:v>
      </x:c>
      <x:c r="AT906" s="11" t="n">
        <x:f>IF(AR906&gt;0,MIN(1,AS906/AR906),1)</x:f>
        <x:v>0.1022705708826542</x:v>
      </x:c>
      <x:c r="AU906" s="10" t="n">
        <x:f>AB906/INDEX(v01_RepScale,G906)</x:f>
        <x:v>138.31486412872596</x:v>
      </x:c>
      <x:c r="AV906" s="32" t="n">
        <x:f>AM906*60/v01_SeasonSeconds</x:f>
        <x:v>420.25371051623847</x:v>
      </x:c>
    </x:row>
    <x:row r="907">
      <x:c r="A907" s="8" t="n">
        <x:f>A906+1</x:f>
        <x:v>904</x:v>
      </x:c>
      <x:c r="B907" s="9" t="n">
        <x:f>A907*v01_SeasonSeconds/60</x:f>
        <x:v>226</x:v>
      </x:c>
      <x:c r="C907" s="9" t="n">
        <x:f>A907/4</x:f>
        <x:v>226</x:v>
      </x:c>
      <x:c r="D907" s="8" t="n">
        <x:f>IF(MOD(A907,4)=0,1,0)</x:f>
        <x:v>1</x:v>
      </x:c>
      <x:c r="E907" s="8" t="n">
        <x:f>IF(AND(F906&lt;=9,AS906&gt;=AR906),1,0)</x:f>
        <x:v>0</x:v>
      </x:c>
      <x:c r="F907" s="8" t="n">
        <x:f>MIN(10,F906+E907)</x:f>
        <x:v>4</x:v>
      </x:c>
      <x:c r="G907" s="8" t="n">
        <x:f>MIN(F907,9)+1</x:f>
        <x:v>5</x:v>
      </x:c>
      <x:c r="H907" s="8" t="n">
        <x:f>IF(F907&lt;=9,1,0)</x:f>
        <x:v>1</x:v>
      </x:c>
      <x:c r="I907" s="9" t="n">
        <x:f>MIN(10,F906+IF(AR906&gt;0,MIN(1,AS906/AR906),1))</x:f>
        <x:v>4.102270570882654</x:v>
      </x:c>
      <x:c r="J907" s="32" t="n">
        <x:f>INDEX(v01_FoodCap,G907)*Arch_FoodCap*EXP(v01_CapsByProject*SUMPRODUCT((Cap_Point&lt;=I907)*(Cap_Kind="Food")*Cap_Ln))</x:f>
        <x:v>250</x:v>
      </x:c>
      <x:c r="K907" s="32" t="n">
        <x:f>J907*MIN(1,v01_LeanBase*EXP(v01_CapsByProject*SUMPRODUCT((Cap_Point&lt;=I907)*(Cap_Kind="Lean")*Cap_Ln)))</x:f>
        <x:v>250</x:v>
      </x:c>
      <x:c r="L907" s="10" t="n">
        <x:f>INDEX(v01_HousingCap,G907)*EXP(v01_CapsByProject*SUMPRODUCT((Cap_Point&lt;=I907)*(Cap_Kind="Housing")*Cap_Ln))</x:f>
        <x:v>400</x:v>
      </x:c>
      <x:c r="M907" s="10" t="n">
        <x:f>INDEX(v01_GroupCap,G907)*v01_CohesionFactor*EXP(v01_CapsByProject*SUMPRODUCT((Cap_Point&lt;=I907)*(Cap_Kind="Group")*Cap_Ln))</x:f>
        <x:v>10000</x:v>
      </x:c>
      <x:c r="N907" s="32" t="n">
        <x:f>MIN(J907,L907,M907)</x:f>
        <x:v>250</x:v>
      </x:c>
      <x:c r="O907" s="10" t="n">
        <x:f>AE906*N907</x:f>
        <x:v>3000</x:v>
      </x:c>
      <x:c r="P907" s="9" t="n">
        <x:f>MIN(1,(AB906/(AE906*IF(v01_GroupInCrowding=1,N907,MIN(J907,L907))))^v01_CrowdingExp)</x:f>
        <x:v>0.00960473967713605</x:v>
      </x:c>
      <x:c r="Q907" s="9" t="n">
        <x:f>IF(D907=1,INDEX(v01_WinterMult,G907),1)</x:f>
        <x:v>1</x:v>
      </x:c>
      <x:c r="R907" s="9" t="n">
        <x:f>H907*Z906*v01_WomenShare*v01_BaseFertility*INDEX(v01_FertMult,G907)*Arch_Fertility*(1-P907)</x:f>
        <x:v>20.64715702468358</x:v>
      </x:c>
      <x:c r="S907" s="9" t="n">
        <x:f>H907*Y906*INDEX(v01_MortChild,G907)/4*Q907</x:f>
        <x:v>4.218144910730672</x:v>
      </x:c>
      <x:c r="T907" s="9" t="n">
        <x:f>H907*Z906*INDEX(v01_MortAdult,G907)*Arch_AdultMort/4*Q907</x:f>
        <x:v>1.4477354712591597</x:v>
      </x:c>
      <x:c r="U907" s="9" t="n">
        <x:f>H907*AA906*INDEX(v01_MortElder,G907)/4*Q907</x:f>
        <x:v>3.021934840188213</x:v>
      </x:c>
      <x:c r="V907" s="9" t="n">
        <x:f>H907*MAX(0,AB906-O907)*v01_OvercapLoss</x:f>
        <x:v>0</x:v>
      </x:c>
      <x:c r="W907" s="9" t="n">
        <x:f>H907*Y906/(v01_ChildYears*4)</x:f>
        <x:v>10.760573751863959</x:v>
      </x:c>
      <x:c r="X907" s="9" t="n">
        <x:f>H907*Z906/(v01_AdultYears*4)</x:f>
        <x:v>4.670114423416644</x:v>
      </x:c>
      <x:c r="Y907" s="32" t="n">
        <x:f>Y906+R907-S907-W907-Y906*V907/AB906</x:f>
        <x:v>608.2605684664707</x:v>
      </x:c>
      <x:c r="Z907" s="32" t="n">
        <x:f>Z906+W907-X907-T907-Z906*V907/AB906</x:f>
        <x:v>583.736912360852</x:v>
      </x:c>
      <x:c r="AA907" s="32" t="n">
        <x:f>AA906+X907-U907-AA906*V907/AB906</x:f>
        <x:v>203.11050226244265</x:v>
      </x:c>
      <x:c r="AB907" s="10" t="n">
        <x:f>Y907+Z907+AA907</x:f>
        <x:v>1395.1079830897654</x:v>
      </x:c>
      <x:c r="AC907" s="8" t="n">
        <x:f>IF(AND(v01_WinterTrigger=1,D907=1,AB906/AE906&gt;=K907),1,0)</x:f>
        <x:v>0</x:v>
      </x:c>
      <x:c r="AD907" s="8" t="n">
        <x:f>H907*IF(AND(OR(AB906/AE906&gt;=v01_FissionTrigger*N907,AC907=1),AB906/AE906*v01_DaughterShare&gt;=v01_MinDaughter),MAX(1,ROUND(AE906*v01_FissionRate,0)),0)</x:f>
        <x:v>0</x:v>
      </x:c>
      <x:c r="AE907" s="8" t="n">
        <x:f>IF(H907=1,MAX(1,MIN(INDEX(v01_Smax,G907),AE906+AD907)),AE906)</x:f>
        <x:v>12</x:v>
      </x:c>
      <x:c r="AF907" s="8" t="n">
        <x:f>MAX(0,AE907-AE906)</x:f>
        <x:v>0</x:v>
      </x:c>
      <x:c r="AG907" s="9" t="str">
        <x:f>IF(AF907&gt;0,B907,"")</x:f>
      </x:c>
      <x:c r="AH907" s="9" t="n">
        <x:f>IF(F907&gt;=1,1,(1+v01_LowTiesShare*(AE907-1))/AE907)</x:f>
        <x:v>1</x:v>
      </x:c>
      <x:c r="AI907" s="32" t="n">
        <x:f>(Z907+v01_ElderCommons*INDEX(LM_Elder,G907)*AA907)*AH907</x:f>
        <x:v>1193.06841914818</x:v>
      </x:c>
      <x:c r="AJ907" s="32" t="n">
        <x:f>H907*v01_CommonsCoef*AI907^v01_CommonsExp*INDEX(LM_Commons,G907)</x:f>
        <x:v>298.9875143889311</x:v>
      </x:c>
      <x:c r="AK907" s="32" t="n">
        <x:f>H907*v01_RoleScale*Arch_Roles*(AE907*(INDEX(v01_ElderRolePerSett,G907)*v01_OutElder*INDEX(LM_Elder,G907)+INDEX(v01_ShamanPerSett,G907)*v01_OutShaman)+Z907*(INDEX(v01_PriestShare,G907)*v01_OutPriest+INDEX(v01_ScribeShare,G907)*v01_OutScribe*INDEX(LM_Scribe,G907)+INDEX(v01_ScholarShare,G907)*v01_OutScholar*INDEX(LM_Scholar,G907)+INDEX(v01_ResearcherShare,G907)*v01_OutResearcher*INDEX(LM_Researcher,G907)))</x:f>
        <x:v>52.49459444599968</x:v>
      </x:c>
      <x:c r="AL907" s="32" t="n">
        <x:f>H907*v01_RoleScale*Arch_Roles*AE907*INDEX(v01_MonasteryPerSett,G907)*v01_OutMonastery*INDEX(LM_Monastery,G907)</x:f>
        <x:v>0</x:v>
      </x:c>
      <x:c r="AM907" s="32" t="n">
        <x:f>(AJ907+AK907+AL907)/4*INDEX(LM_All,G907)*INDEX(v01_Boon,G907)*Arch_Insight</x:f>
        <x:v>105.71750720011948</x:v>
      </x:c>
      <x:c r="AN907" s="32" t="n">
        <x:f>H907*(v01_KHPerAdult*Z907+v01_KHOfCommons*AJ907/4*INDEX(LM_All,G907))*v01_KHUsable*Arch_KH</x:f>
        <x:v>20.43079193262982</x:v>
      </x:c>
      <x:c r="AO907" s="32" t="n">
        <x:f>MIN(AP906+AN907,AM907*v01_KHMaxRatio)</x:f>
        <x:v>20.43079193262982</x:v>
      </x:c>
      <x:c r="AP907" s="32" t="n">
        <x:f>AP906+AN907-AO907</x:f>
        <x:v>0</x:v>
      </x:c>
      <x:c r="AQ907" s="32" t="n">
        <x:f>AM907+AO907</x:f>
        <x:v>126.1482991327493</x:v>
      </x:c>
      <x:c r="AR907" s="10" t="n">
        <x:f>IF(H907=1,INDEX(v01_Req,G907),0)</x:f>
        <x:v>24714.473079999996</x:v>
      </x:c>
      <x:c r="AS907" s="32" t="n">
        <x:f>IF(H907=1,IF(E907=1,AS906-AR906,AS906)+AQ907,0)</x:f>
        <x:v>2653.7115700883382</x:v>
      </x:c>
      <x:c r="AT907" s="11" t="n">
        <x:f>IF(AR907&gt;0,MIN(1,AS907/AR907),1)</x:f>
        <x:v>0.10737479862501437</x:v>
      </x:c>
      <x:c r="AU907" s="10" t="n">
        <x:f>AB907/INDEX(v01_RepScale,G907)</x:f>
        <x:v>139.51079830897655</x:v>
      </x:c>
      <x:c r="AV907" s="32" t="n">
        <x:f>AM907*60/v01_SeasonSeconds</x:f>
        <x:v>422.8700288004779</x:v>
      </x:c>
    </x:row>
    <x:row r="908">
      <x:c r="A908" s="8" t="n">
        <x:f>A907+1</x:f>
        <x:v>905</x:v>
      </x:c>
      <x:c r="B908" s="9" t="n">
        <x:f>A908*v01_SeasonSeconds/60</x:f>
        <x:v>226.25</x:v>
      </x:c>
      <x:c r="C908" s="9" t="n">
        <x:f>A908/4</x:f>
        <x:v>226.25</x:v>
      </x:c>
      <x:c r="D908" s="8" t="n">
        <x:f>IF(MOD(A908,4)=0,1,0)</x:f>
        <x:v>0</x:v>
      </x:c>
      <x:c r="E908" s="8" t="n">
        <x:f>IF(AND(F907&lt;=9,AS907&gt;=AR907),1,0)</x:f>
        <x:v>0</x:v>
      </x:c>
      <x:c r="F908" s="8" t="n">
        <x:f>MIN(10,F907+E908)</x:f>
        <x:v>4</x:v>
      </x:c>
      <x:c r="G908" s="8" t="n">
        <x:f>MIN(F908,9)+1</x:f>
        <x:v>5</x:v>
      </x:c>
      <x:c r="H908" s="8" t="n">
        <x:f>IF(F908&lt;=9,1,0)</x:f>
        <x:v>1</x:v>
      </x:c>
      <x:c r="I908" s="9" t="n">
        <x:f>MIN(10,F907+IF(AR907&gt;0,MIN(1,AS907/AR907),1))</x:f>
        <x:v>4.107374798625014</x:v>
      </x:c>
      <x:c r="J908" s="32" t="n">
        <x:f>INDEX(v01_FoodCap,G908)*Arch_FoodCap*EXP(v01_CapsByProject*SUMPRODUCT((Cap_Point&lt;=I908)*(Cap_Kind="Food")*Cap_Ln))</x:f>
        <x:v>250</x:v>
      </x:c>
      <x:c r="K908" s="32" t="n">
        <x:f>J908*MIN(1,v01_LeanBase*EXP(v01_CapsByProject*SUMPRODUCT((Cap_Point&lt;=I908)*(Cap_Kind="Lean")*Cap_Ln)))</x:f>
        <x:v>250</x:v>
      </x:c>
      <x:c r="L908" s="10" t="n">
        <x:f>INDEX(v01_HousingCap,G908)*EXP(v01_CapsByProject*SUMPRODUCT((Cap_Point&lt;=I908)*(Cap_Kind="Housing")*Cap_Ln))</x:f>
        <x:v>400</x:v>
      </x:c>
      <x:c r="M908" s="10" t="n">
        <x:f>INDEX(v01_GroupCap,G908)*v01_CohesionFactor*EXP(v01_CapsByProject*SUMPRODUCT((Cap_Point&lt;=I908)*(Cap_Kind="Group")*Cap_Ln))</x:f>
        <x:v>10000</x:v>
      </x:c>
      <x:c r="N908" s="32" t="n">
        <x:f>MIN(J908,L908,M908)</x:f>
        <x:v>250</x:v>
      </x:c>
      <x:c r="O908" s="10" t="n">
        <x:f>AE907*N908</x:f>
        <x:v>3000</x:v>
      </x:c>
      <x:c r="P908" s="9" t="n">
        <x:f>MIN(1,(AB907/(AE907*IF(v01_GroupInCrowding=1,N908,MIN(J908,L908))))^v01_CrowdingExp)</x:f>
        <x:v>0.010113917686309934</x:v>
      </x:c>
      <x:c r="Q908" s="9" t="n">
        <x:f>IF(D908=1,INDEX(v01_WinterMult,G908),1)</x:f>
        <x:v>1</x:v>
      </x:c>
      <x:c r="R908" s="9" t="n">
        <x:f>H908*Z907*v01_WomenShare*v01_BaseFertility*INDEX(v01_FertMult,G908)*Arch_Fertility*(1-P908)</x:f>
        <x:v>20.801989630035845</x:v>
      </x:c>
      <x:c r="S908" s="9" t="n">
        <x:f>H908*Y907*INDEX(v01_MortChild,G908)/4*Q908</x:f>
        <x:v>4.257823979265295</x:v>
      </x:c>
      <x:c r="T908" s="9" t="n">
        <x:f>H908*Z907*INDEX(v01_MortAdult,G908)*Arch_AdultMort/4*Q908</x:f>
        <x:v>1.45934228090213</x:v>
      </x:c>
      <x:c r="U908" s="9" t="n">
        <x:f>H908*AA907*INDEX(v01_MortElder,G908)/4*Q908</x:f>
        <x:v>3.0466575339366395</x:v>
      </x:c>
      <x:c r="V908" s="9" t="n">
        <x:f>H908*MAX(0,AB907-O908)*v01_OvercapLoss</x:f>
        <x:v>0</x:v>
      </x:c>
      <x:c r="W908" s="9" t="n">
        <x:f>H908*Y907/(v01_ChildYears*4)</x:f>
        <x:v>10.86179586547269</x:v>
      </x:c>
      <x:c r="X908" s="9" t="n">
        <x:f>H908*Z907/(v01_AdultYears*4)</x:f>
        <x:v>4.707555744845581</x:v>
      </x:c>
      <x:c r="Y908" s="32" t="n">
        <x:f>Y907+R908-S908-W908-Y907*V908/AB907</x:f>
        <x:v>613.9429382517685</x:v>
      </x:c>
      <x:c r="Z908" s="32" t="n">
        <x:f>Z907+W908-X908-T908-Z907*V908/AB907</x:f>
        <x:v>588.431810200577</x:v>
      </x:c>
      <x:c r="AA908" s="32" t="n">
        <x:f>AA907+X908-U908-AA907*V908/AB907</x:f>
        <x:v>204.7714004733516</x:v>
      </x:c>
      <x:c r="AB908" s="10" t="n">
        <x:f>Y908+Z908+AA908</x:f>
        <x:v>1407.1461489256972</x:v>
      </x:c>
      <x:c r="AC908" s="8" t="n">
        <x:f>IF(AND(v01_WinterTrigger=1,D908=1,AB907/AE907&gt;=K908),1,0)</x:f>
        <x:v>0</x:v>
      </x:c>
      <x:c r="AD908" s="8" t="n">
        <x:f>H908*IF(AND(OR(AB907/AE907&gt;=v01_FissionTrigger*N908,AC908=1),AB907/AE907*v01_DaughterShare&gt;=v01_MinDaughter),MAX(1,ROUND(AE907*v01_FissionRate,0)),0)</x:f>
        <x:v>0</x:v>
      </x:c>
      <x:c r="AE908" s="8" t="n">
        <x:f>IF(H908=1,MAX(1,MIN(INDEX(v01_Smax,G908),AE907+AD908)),AE907)</x:f>
        <x:v>12</x:v>
      </x:c>
      <x:c r="AF908" s="8" t="n">
        <x:f>MAX(0,AE908-AE907)</x:f>
        <x:v>0</x:v>
      </x:c>
      <x:c r="AG908" s="9" t="str">
        <x:f>IF(AF908&gt;0,B908,"")</x:f>
      </x:c>
      <x:c r="AH908" s="9" t="n">
        <x:f>IF(F908&gt;=1,1,(1+v01_LowTiesShare*(AE908-1))/AE908)</x:f>
        <x:v>1</x:v>
      </x:c>
      <x:c r="AI908" s="32" t="n">
        <x:f>(Z908+v01_ElderCommons*INDEX(LM_Elder,G908)*AA908)*AH908</x:f>
        <x:v>1202.7460116206319</x:v>
      </x:c>
      <x:c r="AJ908" s="32" t="n">
        <x:f>H908*v01_CommonsCoef*AI908^v01_CommonsExp*INDEX(LM_Commons,G908)</x:f>
        <x:v>301.04771962878385</x:v>
      </x:c>
      <x:c r="AK908" s="32" t="n">
        <x:f>H908*v01_RoleScale*Arch_Roles*(AE908*(INDEX(v01_ElderRolePerSett,G908)*v01_OutElder*INDEX(LM_Elder,G908)+INDEX(v01_ShamanPerSett,G908)*v01_OutShaman)+Z908*(INDEX(v01_PriestShare,G908)*v01_OutPriest+INDEX(v01_ScribeShare,G908)*v01_OutScribe*INDEX(LM_Scribe,G908)+INDEX(v01_ScholarShare,G908)*v01_OutScholar*INDEX(LM_Scholar,G908)+INDEX(v01_ResearcherShare,G908)*v01_OutResearcher*INDEX(LM_Researcher,G908)))</x:f>
        <x:v>52.627257695816226</x:v>
      </x:c>
      <x:c r="AL908" s="32" t="n">
        <x:f>H908*v01_RoleScale*Arch_Roles*AE908*INDEX(v01_MonasteryPerSett,G908)*v01_OutMonastery*INDEX(LM_Monastery,G908)</x:f>
        <x:v>0</x:v>
      </x:c>
      <x:c r="AM908" s="32" t="n">
        <x:f>(AJ908+AK908+AL908)/4*INDEX(LM_All,G908)*INDEX(v01_Boon,G908)*Arch_Insight</x:f>
        <x:v>106.37707018929684</x:v>
      </x:c>
      <x:c r="AN908" s="32" t="n">
        <x:f>H908*(v01_KHPerAdult*Z908+v01_KHOfCommons*AJ908/4*INDEX(LM_All,G908))*v01_KHUsable*Arch_KH</x:f>
        <x:v>20.595113357020196</x:v>
      </x:c>
      <x:c r="AO908" s="32" t="n">
        <x:f>MIN(AP907+AN908,AM908*v01_KHMaxRatio)</x:f>
        <x:v>20.595113357020196</x:v>
      </x:c>
      <x:c r="AP908" s="32" t="n">
        <x:f>AP907+AN908-AO908</x:f>
        <x:v>0</x:v>
      </x:c>
      <x:c r="AQ908" s="32" t="n">
        <x:f>AM908+AO908</x:f>
        <x:v>126.97218354631704</x:v>
      </x:c>
      <x:c r="AR908" s="10" t="n">
        <x:f>IF(H908=1,INDEX(v01_Req,G908),0)</x:f>
        <x:v>24714.473079999996</x:v>
      </x:c>
      <x:c r="AS908" s="32" t="n">
        <x:f>IF(H908=1,IF(E908=1,AS907-AR907,AS907)+AQ908,0)</x:f>
        <x:v>2780.683753634655</x:v>
      </x:c>
      <x:c r="AT908" s="11" t="n">
        <x:f>IF(AR908&gt;0,MIN(1,AS908/AR908),1)</x:f>
        <x:v>0.11251236247819918</x:v>
      </x:c>
      <x:c r="AU908" s="10" t="n">
        <x:f>AB908/INDEX(v01_RepScale,G908)</x:f>
        <x:v>140.71461489256973</x:v>
      </x:c>
      <x:c r="AV908" s="32" t="n">
        <x:f>AM908*60/v01_SeasonSeconds</x:f>
        <x:v>425.5082807571874</x:v>
      </x:c>
    </x:row>
    <x:row r="909">
      <x:c r="A909" s="8" t="n">
        <x:f>A908+1</x:f>
        <x:v>906</x:v>
      </x:c>
      <x:c r="B909" s="9" t="n">
        <x:f>A909*v01_SeasonSeconds/60</x:f>
        <x:v>226.5</x:v>
      </x:c>
      <x:c r="C909" s="9" t="n">
        <x:f>A909/4</x:f>
        <x:v>226.5</x:v>
      </x:c>
      <x:c r="D909" s="8" t="n">
        <x:f>IF(MOD(A909,4)=0,1,0)</x:f>
        <x:v>0</x:v>
      </x:c>
      <x:c r="E909" s="8" t="n">
        <x:f>IF(AND(F908&lt;=9,AS908&gt;=AR908),1,0)</x:f>
        <x:v>0</x:v>
      </x:c>
      <x:c r="F909" s="8" t="n">
        <x:f>MIN(10,F908+E909)</x:f>
        <x:v>4</x:v>
      </x:c>
      <x:c r="G909" s="8" t="n">
        <x:f>MIN(F909,9)+1</x:f>
        <x:v>5</x:v>
      </x:c>
      <x:c r="H909" s="8" t="n">
        <x:f>IF(F909&lt;=9,1,0)</x:f>
        <x:v>1</x:v>
      </x:c>
      <x:c r="I909" s="9" t="n">
        <x:f>MIN(10,F908+IF(AR908&gt;0,MIN(1,AS908/AR908),1))</x:f>
        <x:v>4.112512362478199</x:v>
      </x:c>
      <x:c r="J909" s="32" t="n">
        <x:f>INDEX(v01_FoodCap,G909)*Arch_FoodCap*EXP(v01_CapsByProject*SUMPRODUCT((Cap_Point&lt;=I909)*(Cap_Kind="Food")*Cap_Ln))</x:f>
        <x:v>250</x:v>
      </x:c>
      <x:c r="K909" s="32" t="n">
        <x:f>J909*MIN(1,v01_LeanBase*EXP(v01_CapsByProject*SUMPRODUCT((Cap_Point&lt;=I909)*(Cap_Kind="Lean")*Cap_Ln)))</x:f>
        <x:v>250</x:v>
      </x:c>
      <x:c r="L909" s="10" t="n">
        <x:f>INDEX(v01_HousingCap,G909)*EXP(v01_CapsByProject*SUMPRODUCT((Cap_Point&lt;=I909)*(Cap_Kind="Housing")*Cap_Ln))</x:f>
        <x:v>400</x:v>
      </x:c>
      <x:c r="M909" s="10" t="n">
        <x:f>INDEX(v01_GroupCap,G909)*v01_CohesionFactor*EXP(v01_CapsByProject*SUMPRODUCT((Cap_Point&lt;=I909)*(Cap_Kind="Group")*Cap_Ln))</x:f>
        <x:v>10000</x:v>
      </x:c>
      <x:c r="N909" s="32" t="n">
        <x:f>MIN(J909,L909,M909)</x:f>
        <x:v>250</x:v>
      </x:c>
      <x:c r="O909" s="10" t="n">
        <x:f>AE908*N909</x:f>
        <x:v>3000</x:v>
      </x:c>
      <x:c r="P909" s="9" t="n">
        <x:f>MIN(1,(AB908/(AE908*IF(v01_GroupInCrowding=1,N909,MIN(J909,L909))))^v01_CrowdingExp)</x:f>
        <x:v>0.010648972618519987</x:v>
      </x:c>
      <x:c r="Q909" s="9" t="n">
        <x:f>IF(D909=1,INDEX(v01_WinterMult,G909),1)</x:f>
        <x:v>1</x:v>
      </x:c>
      <x:c r="R909" s="9" t="n">
        <x:f>H909*Z908*v01_WomenShare*v01_BaseFertility*INDEX(v01_FertMult,G909)*Arch_Fertility*(1-P909)</x:f>
        <x:v>20.957962174771858</x:v>
      </x:c>
      <x:c r="S909" s="9" t="n">
        <x:f>H909*Y908*INDEX(v01_MortChild,G909)/4*Q909</x:f>
        <x:v>4.297600567762379</x:v>
      </x:c>
      <x:c r="T909" s="9" t="n">
        <x:f>H909*Z908*INDEX(v01_MortAdult,G909)*Arch_AdultMort/4*Q909</x:f>
        <x:v>1.4710795255014426</x:v>
      </x:c>
      <x:c r="U909" s="9" t="n">
        <x:f>H909*AA908*INDEX(v01_MortElder,G909)/4*Q909</x:f>
        <x:v>3.0715710071002738</x:v>
      </x:c>
      <x:c r="V909" s="9" t="n">
        <x:f>H909*MAX(0,AB908-O909)*v01_OvercapLoss</x:f>
        <x:v>0</x:v>
      </x:c>
      <x:c r="W909" s="9" t="n">
        <x:f>H909*Y908/(v01_ChildYears*4)</x:f>
        <x:v>10.963266754495866</x:v>
      </x:c>
      <x:c r="X909" s="9" t="n">
        <x:f>H909*Z908/(v01_AdultYears*4)</x:f>
        <x:v>4.745417824198202</x:v>
      </x:c>
      <x:c r="Y909" s="32" t="n">
        <x:f>Y908+R909-S909-W909-Y908*V909/AB908</x:f>
        <x:v>619.6400331042821</x:v>
      </x:c>
      <x:c r="Z909" s="32" t="n">
        <x:f>Z908+W909-X909-T909-Z908*V909/AB908</x:f>
        <x:v>593.1785796053733</x:v>
      </x:c>
      <x:c r="AA909" s="32" t="n">
        <x:f>AA908+X909-U909-AA908*V909/AB908</x:f>
        <x:v>206.44524729044954</x:v>
      </x:c>
      <x:c r="AB909" s="10" t="n">
        <x:f>Y909+Z909+AA909</x:f>
        <x:v>1419.263860000105</x:v>
      </x:c>
      <x:c r="AC909" s="8" t="n">
        <x:f>IF(AND(v01_WinterTrigger=1,D909=1,AB908/AE908&gt;=K909),1,0)</x:f>
        <x:v>0</x:v>
      </x:c>
      <x:c r="AD909" s="8" t="n">
        <x:f>H909*IF(AND(OR(AB908/AE908&gt;=v01_FissionTrigger*N909,AC909=1),AB908/AE908*v01_DaughterShare&gt;=v01_MinDaughter),MAX(1,ROUND(AE908*v01_FissionRate,0)),0)</x:f>
        <x:v>0</x:v>
      </x:c>
      <x:c r="AE909" s="8" t="n">
        <x:f>IF(H909=1,MAX(1,MIN(INDEX(v01_Smax,G909),AE908+AD909)),AE908)</x:f>
        <x:v>12</x:v>
      </x:c>
      <x:c r="AF909" s="8" t="n">
        <x:f>MAX(0,AE909-AE908)</x:f>
        <x:v>0</x:v>
      </x:c>
      <x:c r="AG909" s="9" t="str">
        <x:f>IF(AF909&gt;0,B909,"")</x:f>
      </x:c>
      <x:c r="AH909" s="9" t="n">
        <x:f>IF(F909&gt;=1,1,(1+v01_LowTiesShare*(AE909-1))/AE909)</x:f>
        <x:v>1</x:v>
      </x:c>
      <x:c r="AI909" s="32" t="n">
        <x:f>(Z909+v01_ElderCommons*INDEX(LM_Elder,G909)*AA909)*AH909</x:f>
        <x:v>1212.514321476722</x:v>
      </x:c>
      <x:c r="AJ909" s="32" t="n">
        <x:f>H909*v01_CommonsCoef*AI909^v01_CommonsExp*INDEX(LM_Commons,G909)</x:f>
        <x:v>303.1247171079972</x:v>
      </x:c>
      <x:c r="AK909" s="32" t="n">
        <x:f>H909*v01_RoleScale*Arch_Roles*(AE909*(INDEX(v01_ElderRolePerSett,G909)*v01_OutElder*INDEX(LM_Elder,G909)+INDEX(v01_ShamanPerSett,G909)*v01_OutShaman)+Z909*(INDEX(v01_PriestShare,G909)*v01_OutPriest+INDEX(v01_ScribeShare,G909)*v01_OutScribe*INDEX(LM_Scribe,G909)+INDEX(v01_ScholarShare,G909)*v01_OutScholar*INDEX(LM_Scholar,G909)+INDEX(v01_ResearcherShare,G909)*v01_OutResearcher*INDEX(LM_Researcher,G909)))</x:f>
        <x:v>52.761386675160935</x:v>
      </x:c>
      <x:c r="AL909" s="32" t="n">
        <x:f>H909*v01_RoleScale*Arch_Roles*AE909*INDEX(v01_MonasteryPerSett,G909)*v01_OutMonastery*INDEX(LM_Monastery,G909)</x:f>
        <x:v>0</x:v>
      </x:c>
      <x:c r="AM909" s="32" t="n">
        <x:f>(AJ909+AK909+AL909)/4*INDEX(LM_All,G909)*INDEX(v01_Boon,G909)*Arch_Insight</x:f>
        <x:v>107.04212474378845</x:v>
      </x:c>
      <x:c r="AN909" s="32" t="n">
        <x:f>H909*(v01_KHPerAdult*Z909+v01_KHOfCommons*AJ909/4*INDEX(LM_All,G909))*v01_KHUsable*Arch_KH</x:f>
        <x:v>20.761250286188066</x:v>
      </x:c>
      <x:c r="AO909" s="32" t="n">
        <x:f>MIN(AP908+AN909,AM909*v01_KHMaxRatio)</x:f>
        <x:v>20.761250286188066</x:v>
      </x:c>
      <x:c r="AP909" s="32" t="n">
        <x:f>AP908+AN909-AO909</x:f>
        <x:v>0</x:v>
      </x:c>
      <x:c r="AQ909" s="32" t="n">
        <x:f>AM909+AO909</x:f>
        <x:v>127.80337502997651</x:v>
      </x:c>
      <x:c r="AR909" s="10" t="n">
        <x:f>IF(H909=1,INDEX(v01_Req,G909),0)</x:f>
        <x:v>24714.473079999996</x:v>
      </x:c>
      <x:c r="AS909" s="32" t="n">
        <x:f>IF(H909=1,IF(E909=1,AS908-AR908,AS908)+AQ909,0)</x:f>
        <x:v>2908.4871286646317</x:v>
      </x:c>
      <x:c r="AT909" s="11" t="n">
        <x:f>IF(AR909&gt;0,MIN(1,AS909/AR909),1)</x:f>
        <x:v>0.11768355810176279</x:v>
      </x:c>
      <x:c r="AU909" s="10" t="n">
        <x:f>AB909/INDEX(v01_RepScale,G909)</x:f>
        <x:v>141.9263860000105</x:v>
      </x:c>
      <x:c r="AV909" s="32" t="n">
        <x:f>AM909*60/v01_SeasonSeconds</x:f>
        <x:v>428.1684989751538</x:v>
      </x:c>
    </x:row>
    <x:row r="910">
      <x:c r="A910" s="8" t="n">
        <x:f>A909+1</x:f>
        <x:v>907</x:v>
      </x:c>
      <x:c r="B910" s="9" t="n">
        <x:f>A910*v01_SeasonSeconds/60</x:f>
        <x:v>226.75</x:v>
      </x:c>
      <x:c r="C910" s="9" t="n">
        <x:f>A910/4</x:f>
        <x:v>226.75</x:v>
      </x:c>
      <x:c r="D910" s="8" t="n">
        <x:f>IF(MOD(A910,4)=0,1,0)</x:f>
        <x:v>0</x:v>
      </x:c>
      <x:c r="E910" s="8" t="n">
        <x:f>IF(AND(F909&lt;=9,AS909&gt;=AR909),1,0)</x:f>
        <x:v>0</x:v>
      </x:c>
      <x:c r="F910" s="8" t="n">
        <x:f>MIN(10,F909+E910)</x:f>
        <x:v>4</x:v>
      </x:c>
      <x:c r="G910" s="8" t="n">
        <x:f>MIN(F910,9)+1</x:f>
        <x:v>5</x:v>
      </x:c>
      <x:c r="H910" s="8" t="n">
        <x:f>IF(F910&lt;=9,1,0)</x:f>
        <x:v>1</x:v>
      </x:c>
      <x:c r="I910" s="9" t="n">
        <x:f>MIN(10,F909+IF(AR909&gt;0,MIN(1,AS909/AR909),1))</x:f>
        <x:v>4.117683558101763</x:v>
      </x:c>
      <x:c r="J910" s="32" t="n">
        <x:f>INDEX(v01_FoodCap,G910)*Arch_FoodCap*EXP(v01_CapsByProject*SUMPRODUCT((Cap_Point&lt;=I910)*(Cap_Kind="Food")*Cap_Ln))</x:f>
        <x:v>250</x:v>
      </x:c>
      <x:c r="K910" s="32" t="n">
        <x:f>J910*MIN(1,v01_LeanBase*EXP(v01_CapsByProject*SUMPRODUCT((Cap_Point&lt;=I910)*(Cap_Kind="Lean")*Cap_Ln)))</x:f>
        <x:v>250</x:v>
      </x:c>
      <x:c r="L910" s="10" t="n">
        <x:f>INDEX(v01_HousingCap,G910)*EXP(v01_CapsByProject*SUMPRODUCT((Cap_Point&lt;=I910)*(Cap_Kind="Housing")*Cap_Ln))</x:f>
        <x:v>400</x:v>
      </x:c>
      <x:c r="M910" s="10" t="n">
        <x:f>INDEX(v01_GroupCap,G910)*v01_CohesionFactor*EXP(v01_CapsByProject*SUMPRODUCT((Cap_Point&lt;=I910)*(Cap_Kind="Group")*Cap_Ln))</x:f>
        <x:v>10000</x:v>
      </x:c>
      <x:c r="N910" s="32" t="n">
        <x:f>MIN(J910,L910,M910)</x:f>
        <x:v>250</x:v>
      </x:c>
      <x:c r="O910" s="10" t="n">
        <x:f>AE909*N910</x:f>
        <x:v>3000</x:v>
      </x:c>
      <x:c r="P910" s="9" t="n">
        <x:f>MIN(1,(AB909/(AE909*IF(v01_GroupInCrowding=1,N910,MIN(J910,L910))))^v01_CrowdingExp)</x:f>
        <x:v>0.011211180277205537</x:v>
      </x:c>
      <x:c r="Q910" s="9" t="n">
        <x:f>IF(D910=1,INDEX(v01_WinterMult,G910),1)</x:f>
        <x:v>1</x:v>
      </x:c>
      <x:c r="R910" s="9" t="n">
        <x:f>H910*Z909*v01_WomenShare*v01_BaseFertility*INDEX(v01_FertMult,G910)*Arch_Fertility*(1-P910)</x:f>
        <x:v>21.11502051406227</x:v>
      </x:c>
      <x:c r="S910" s="9" t="n">
        <x:f>H910*Y909*INDEX(v01_MortChild,G910)/4*Q910</x:f>
        <x:v>4.337480231729975</x:v>
      </x:c>
      <x:c r="T910" s="9" t="n">
        <x:f>H910*Z909*INDEX(v01_MortAdult,G910)*Arch_AdultMort/4*Q910</x:f>
        <x:v>1.4829464490134334</x:v>
      </x:c>
      <x:c r="U910" s="9" t="n">
        <x:f>H910*AA909*INDEX(v01_MortElder,G910)/4*Q910</x:f>
        <x:v>3.096678709356743</x:v>
      </x:c>
      <x:c r="V910" s="9" t="n">
        <x:f>H910*MAX(0,AB909-O910)*v01_OvercapLoss</x:f>
        <x:v>0</x:v>
      </x:c>
      <x:c r="W910" s="9" t="n">
        <x:f>H910*Y909/(v01_ChildYears*4)</x:f>
        <x:v>11.065000591147895</x:v>
      </x:c>
      <x:c r="X910" s="9" t="n">
        <x:f>H910*Z909/(v01_AdultYears*4)</x:f>
        <x:v>4.783698222623978</x:v>
      </x:c>
      <x:c r="Y910" s="32" t="n">
        <x:f>Y909+R910-S910-W910-Y909*V910/AB909</x:f>
        <x:v>625.3525727954666</x:v>
      </x:c>
      <x:c r="Z910" s="32" t="n">
        <x:f>Z909+W910-X910-T910-Z909*V910/AB909</x:f>
        <x:v>597.9769355248837</x:v>
      </x:c>
      <x:c r="AA910" s="32" t="n">
        <x:f>AA909+X910-U910-AA909*V910/AB909</x:f>
        <x:v>208.13226680371676</x:v>
      </x:c>
      <x:c r="AB910" s="10" t="n">
        <x:f>Y910+Z910+AA910</x:f>
        <x:v>1431.461775124067</x:v>
      </x:c>
      <x:c r="AC910" s="8" t="n">
        <x:f>IF(AND(v01_WinterTrigger=1,D910=1,AB909/AE909&gt;=K910),1,0)</x:f>
        <x:v>0</x:v>
      </x:c>
      <x:c r="AD910" s="8" t="n">
        <x:f>H910*IF(AND(OR(AB909/AE909&gt;=v01_FissionTrigger*N910,AC910=1),AB909/AE909*v01_DaughterShare&gt;=v01_MinDaughter),MAX(1,ROUND(AE909*v01_FissionRate,0)),0)</x:f>
        <x:v>0</x:v>
      </x:c>
      <x:c r="AE910" s="8" t="n">
        <x:f>IF(H910=1,MAX(1,MIN(INDEX(v01_Smax,G910),AE909+AD910)),AE909)</x:f>
        <x:v>12</x:v>
      </x:c>
      <x:c r="AF910" s="8" t="n">
        <x:f>MAX(0,AE910-AE909)</x:f>
        <x:v>0</x:v>
      </x:c>
      <x:c r="AG910" s="9" t="str">
        <x:f>IF(AF910&gt;0,B910,"")</x:f>
      </x:c>
      <x:c r="AH910" s="9" t="n">
        <x:f>IF(F910&gt;=1,1,(1+v01_LowTiesShare*(AE910-1))/AE910)</x:f>
        <x:v>1</x:v>
      </x:c>
      <x:c r="AI910" s="32" t="n">
        <x:f>(Z910+v01_ElderCommons*INDEX(LM_Elder,G910)*AA910)*AH910</x:f>
        <x:v>1222.3737359360339</x:v>
      </x:c>
      <x:c r="AJ910" s="32" t="n">
        <x:f>H910*v01_CommonsCoef*AI910^v01_CommonsExp*INDEX(LM_Commons,G910)</x:f>
        <x:v>305.21854224097626</x:v>
      </x:c>
      <x:c r="AK910" s="32" t="n">
        <x:f>H910*v01_RoleScale*Arch_Roles*(AE910*(INDEX(v01_ElderRolePerSett,G910)*v01_OutElder*INDEX(LM_Elder,G910)+INDEX(v01_ShamanPerSett,G910)*v01_OutShaman)+Z910*(INDEX(v01_PriestShare,G910)*v01_OutPriest+INDEX(v01_ScribeShare,G910)*v01_OutScribe*INDEX(LM_Scribe,G910)+INDEX(v01_ScholarShare,G910)*v01_OutScholar*INDEX(LM_Scholar,G910)+INDEX(v01_ResearcherShare,G910)*v01_OutResearcher*INDEX(LM_Researcher,G910)))</x:f>
        <x:v>52.896973329394925</x:v>
      </x:c>
      <x:c r="AL910" s="32" t="n">
        <x:f>H910*v01_RoleScale*Arch_Roles*AE910*INDEX(v01_MonasteryPerSett,G910)*v01_OutMonastery*INDEX(LM_Monastery,G910)</x:f>
        <x:v>0</x:v>
      </x:c>
      <x:c r="AM910" s="32" t="n">
        <x:f>(AJ910+AK910+AL910)/4*INDEX(LM_All,G910)*INDEX(v01_Boon,G910)*Arch_Insight</x:f>
        <x:v>107.71267909276506</x:v>
      </x:c>
      <x:c r="AN910" s="32" t="n">
        <x:f>H910*(v01_KHPerAdult*Z910+v01_KHOfCommons*AJ910/4*INDEX(LM_All,G910))*v01_KHUsable*Arch_KH</x:f>
        <x:v>20.92919274337093</x:v>
      </x:c>
      <x:c r="AO910" s="32" t="n">
        <x:f>MIN(AP909+AN910,AM910*v01_KHMaxRatio)</x:f>
        <x:v>20.92919274337093</x:v>
      </x:c>
      <x:c r="AP910" s="32" t="n">
        <x:f>AP909+AN910-AO910</x:f>
        <x:v>0</x:v>
      </x:c>
      <x:c r="AQ910" s="32" t="n">
        <x:f>AM910+AO910</x:f>
        <x:v>128.64187183613598</x:v>
      </x:c>
      <x:c r="AR910" s="10" t="n">
        <x:f>IF(H910=1,INDEX(v01_Req,G910),0)</x:f>
        <x:v>24714.473079999996</x:v>
      </x:c>
      <x:c r="AS910" s="32" t="n">
        <x:f>IF(H910=1,IF(E910=1,AS909-AR909,AS909)+AQ910,0)</x:f>
        <x:v>3037.1290005007677</x:v>
      </x:c>
      <x:c r="AT910" s="11" t="n">
        <x:f>IF(AR910&gt;0,MIN(1,AS910/AR910),1)</x:f>
        <x:v>0.12288868108454806</x:v>
      </x:c>
      <x:c r="AU910" s="10" t="n">
        <x:f>AB910/INDEX(v01_RepScale,G910)</x:f>
        <x:v>143.1461775124067</x:v>
      </x:c>
      <x:c r="AV910" s="32" t="n">
        <x:f>AM910*60/v01_SeasonSeconds</x:f>
        <x:v>430.85071637106023</x:v>
      </x:c>
    </x:row>
    <x:row r="911">
      <x:c r="A911" s="8" t="n">
        <x:f>A910+1</x:f>
        <x:v>908</x:v>
      </x:c>
      <x:c r="B911" s="9" t="n">
        <x:f>A911*v01_SeasonSeconds/60</x:f>
        <x:v>227</x:v>
      </x:c>
      <x:c r="C911" s="9" t="n">
        <x:f>A911/4</x:f>
        <x:v>227</x:v>
      </x:c>
      <x:c r="D911" s="8" t="n">
        <x:f>IF(MOD(A911,4)=0,1,0)</x:f>
        <x:v>1</x:v>
      </x:c>
      <x:c r="E911" s="8" t="n">
        <x:f>IF(AND(F910&lt;=9,AS910&gt;=AR910),1,0)</x:f>
        <x:v>0</x:v>
      </x:c>
      <x:c r="F911" s="8" t="n">
        <x:f>MIN(10,F910+E911)</x:f>
        <x:v>4</x:v>
      </x:c>
      <x:c r="G911" s="8" t="n">
        <x:f>MIN(F911,9)+1</x:f>
        <x:v>5</x:v>
      </x:c>
      <x:c r="H911" s="8" t="n">
        <x:f>IF(F911&lt;=9,1,0)</x:f>
        <x:v>1</x:v>
      </x:c>
      <x:c r="I911" s="9" t="n">
        <x:f>MIN(10,F910+IF(AR910&gt;0,MIN(1,AS910/AR910),1))</x:f>
        <x:v>4.122888681084548</x:v>
      </x:c>
      <x:c r="J911" s="32" t="n">
        <x:f>INDEX(v01_FoodCap,G911)*Arch_FoodCap*EXP(v01_CapsByProject*SUMPRODUCT((Cap_Point&lt;=I911)*(Cap_Kind="Food")*Cap_Ln))</x:f>
        <x:v>250</x:v>
      </x:c>
      <x:c r="K911" s="32" t="n">
        <x:f>J911*MIN(1,v01_LeanBase*EXP(v01_CapsByProject*SUMPRODUCT((Cap_Point&lt;=I911)*(Cap_Kind="Lean")*Cap_Ln)))</x:f>
        <x:v>250</x:v>
      </x:c>
      <x:c r="L911" s="10" t="n">
        <x:f>INDEX(v01_HousingCap,G911)*EXP(v01_CapsByProject*SUMPRODUCT((Cap_Point&lt;=I911)*(Cap_Kind="Housing")*Cap_Ln))</x:f>
        <x:v>400</x:v>
      </x:c>
      <x:c r="M911" s="10" t="n">
        <x:f>INDEX(v01_GroupCap,G911)*v01_CohesionFactor*EXP(v01_CapsByProject*SUMPRODUCT((Cap_Point&lt;=I911)*(Cap_Kind="Group")*Cap_Ln))</x:f>
        <x:v>10000</x:v>
      </x:c>
      <x:c r="N911" s="32" t="n">
        <x:f>MIN(J911,L911,M911)</x:f>
        <x:v>250</x:v>
      </x:c>
      <x:c r="O911" s="10" t="n">
        <x:f>AE910*N911</x:f>
        <x:v>3000</x:v>
      </x:c>
      <x:c r="P911" s="9" t="n">
        <x:f>MIN(1,(AB910/(AE910*IF(v01_GroupInCrowding=1,N911,MIN(J911,L911))))^v01_CrowdingExp)</x:f>
        <x:v>0.011801874822745142</x:v>
      </x:c>
      <x:c r="Q911" s="9" t="n">
        <x:f>IF(D911=1,INDEX(v01_WinterMult,G911),1)</x:f>
        <x:v>1</x:v>
      </x:c>
      <x:c r="R911" s="9" t="n">
        <x:f>H911*Z910*v01_WomenShare*v01_BaseFertility*INDEX(v01_FertMult,G911)*Arch_Fertility*(1-P911)</x:f>
        <x:v>21.27310871705749</x:v>
      </x:c>
      <x:c r="S911" s="9" t="n">
        <x:f>H911*Y910*INDEX(v01_MortChild,G911)/4*Q911</x:f>
        <x:v>4.3774680095682665</x:v>
      </x:c>
      <x:c r="T911" s="9" t="n">
        <x:f>H911*Z910*INDEX(v01_MortAdult,G911)*Arch_AdultMort/4*Q911</x:f>
        <x:v>1.4949423388122094</x:v>
      </x:c>
      <x:c r="U911" s="9" t="n">
        <x:f>H911*AA910*INDEX(v01_MortElder,G911)/4*Q911</x:f>
        <x:v>3.1219840020557514</x:v>
      </x:c>
      <x:c r="V911" s="9" t="n">
        <x:f>H911*MAX(0,AB910-O911)*v01_OvercapLoss</x:f>
        <x:v>0</x:v>
      </x:c>
      <x:c r="W911" s="9" t="n">
        <x:f>H911*Y910/(v01_ChildYears*4)</x:f>
        <x:v>11.167010228490474</x:v>
      </x:c>
      <x:c r="X911" s="9" t="n">
        <x:f>H911*Z910/(v01_AdultYears*4)</x:f>
        <x:v>4.822394641329708</x:v>
      </x:c>
      <x:c r="Y911" s="32" t="n">
        <x:f>Y910+R911-S911-W911-Y910*V911/AB910</x:f>
        <x:v>631.0812032744655</x:v>
      </x:c>
      <x:c r="Z911" s="32" t="n">
        <x:f>Z910+W911-X911-T911-Z910*V911/AB910</x:f>
        <x:v>602.8266087732324</x:v>
      </x:c>
      <x:c r="AA911" s="32" t="n">
        <x:f>AA910+X911-U911-AA910*V911/AB910</x:f>
        <x:v>209.83267744299073</x:v>
      </x:c>
      <x:c r="AB911" s="10" t="n">
        <x:f>Y911+Z911+AA911</x:f>
        <x:v>1443.7404894906886</x:v>
      </x:c>
      <x:c r="AC911" s="8" t="n">
        <x:f>IF(AND(v01_WinterTrigger=1,D911=1,AB910/AE910&gt;=K911),1,0)</x:f>
        <x:v>0</x:v>
      </x:c>
      <x:c r="AD911" s="8" t="n">
        <x:f>H911*IF(AND(OR(AB910/AE910&gt;=v01_FissionTrigger*N911,AC911=1),AB910/AE910*v01_DaughterShare&gt;=v01_MinDaughter),MAX(1,ROUND(AE910*v01_FissionRate,0)),0)</x:f>
        <x:v>0</x:v>
      </x:c>
      <x:c r="AE911" s="8" t="n">
        <x:f>IF(H911=1,MAX(1,MIN(INDEX(v01_Smax,G911),AE910+AD911)),AE910)</x:f>
        <x:v>12</x:v>
      </x:c>
      <x:c r="AF911" s="8" t="n">
        <x:f>MAX(0,AE911-AE910)</x:f>
        <x:v>0</x:v>
      </x:c>
      <x:c r="AG911" s="9" t="str">
        <x:f>IF(AF911&gt;0,B911,"")</x:f>
      </x:c>
      <x:c r="AH911" s="9" t="n">
        <x:f>IF(F911&gt;=1,1,(1+v01_LowTiesShare*(AE911-1))/AE911)</x:f>
        <x:v>1</x:v>
      </x:c>
      <x:c r="AI911" s="32" t="n">
        <x:f>(Z911+v01_ElderCommons*INDEX(LM_Elder,G911)*AA911)*AH911</x:f>
        <x:v>1232.3246411022046</x:v>
      </x:c>
      <x:c r="AJ911" s="32" t="n">
        <x:f>H911*v01_CommonsCoef*AI911^v01_CommonsExp*INDEX(LM_Commons,G911)</x:f>
        <x:v>307.3292300539215</x:v>
      </x:c>
      <x:c r="AK911" s="32" t="n">
        <x:f>H911*v01_RoleScale*Arch_Roles*(AE911*(INDEX(v01_ElderRolePerSett,G911)*v01_OutElder*INDEX(LM_Elder,G911)+INDEX(v01_ShamanPerSett,G911)*v01_OutShaman)+Z911*(INDEX(v01_PriestShare,G911)*v01_OutPriest+INDEX(v01_ScribeShare,G911)*v01_OutScribe*INDEX(LM_Scribe,G911)+INDEX(v01_ScholarShare,G911)*v01_OutScholar*INDEX(LM_Scholar,G911)+INDEX(v01_ResearcherShare,G911)*v01_OutResearcher*INDEX(LM_Researcher,G911)))</x:f>
        <x:v>53.034010052160326</x:v>
      </x:c>
      <x:c r="AL911" s="32" t="n">
        <x:f>H911*v01_RoleScale*Arch_Roles*AE911*INDEX(v01_MonasteryPerSett,G911)*v01_OutMonastery*INDEX(LM_Monastery,G911)</x:f>
        <x:v>0</x:v>
      </x:c>
      <x:c r="AM911" s="32" t="n">
        <x:f>(AJ911+AK911+AL911)/4*INDEX(LM_All,G911)*INDEX(v01_Boon,G911)*Arch_Insight</x:f>
        <x:v>108.38874148346692</x:v>
      </x:c>
      <x:c r="AN911" s="32" t="n">
        <x:f>H911*(v01_KHPerAdult*Z911+v01_KHOfCommons*AJ911/4*INDEX(LM_All,G911))*v01_KHUsable*Arch_KH</x:f>
        <x:v>21.098931307063133</x:v>
      </x:c>
      <x:c r="AO911" s="32" t="n">
        <x:f>MIN(AP910+AN911,AM911*v01_KHMaxRatio)</x:f>
        <x:v>21.098931307063133</x:v>
      </x:c>
      <x:c r="AP911" s="32" t="n">
        <x:f>AP910+AN911-AO911</x:f>
        <x:v>0</x:v>
      </x:c>
      <x:c r="AQ911" s="32" t="n">
        <x:f>AM911+AO911</x:f>
        <x:v>129.48767279053004</x:v>
      </x:c>
      <x:c r="AR911" s="10" t="n">
        <x:f>IF(H911=1,INDEX(v01_Req,G911),0)</x:f>
        <x:v>24714.473079999996</x:v>
      </x:c>
      <x:c r="AS911" s="32" t="n">
        <x:f>IF(H911=1,IF(E911=1,AS910-AR910,AS910)+AQ911,0)</x:f>
        <x:v>3166.616673291298</x:v>
      </x:c>
      <x:c r="AT911" s="11" t="n">
        <x:f>IF(AR911&gt;0,MIN(1,AS911/AR911),1)</x:f>
        <x:v>0.1281280269678846</x:v>
      </x:c>
      <x:c r="AU911" s="10" t="n">
        <x:f>AB911/INDEX(v01_RepScale,G911)</x:f>
        <x:v>144.37404894906885</x:v>
      </x:c>
      <x:c r="AV911" s="32" t="n">
        <x:f>AM911*60/v01_SeasonSeconds</x:f>
        <x:v>433.55496593386766</x:v>
      </x:c>
    </x:row>
    <x:row r="912">
      <x:c r="A912" s="8" t="n">
        <x:f>A911+1</x:f>
        <x:v>909</x:v>
      </x:c>
      <x:c r="B912" s="9" t="n">
        <x:f>A912*v01_SeasonSeconds/60</x:f>
        <x:v>227.25</x:v>
      </x:c>
      <x:c r="C912" s="9" t="n">
        <x:f>A912/4</x:f>
        <x:v>227.25</x:v>
      </x:c>
      <x:c r="D912" s="8" t="n">
        <x:f>IF(MOD(A912,4)=0,1,0)</x:f>
        <x:v>0</x:v>
      </x:c>
      <x:c r="E912" s="8" t="n">
        <x:f>IF(AND(F911&lt;=9,AS911&gt;=AR911),1,0)</x:f>
        <x:v>0</x:v>
      </x:c>
      <x:c r="F912" s="8" t="n">
        <x:f>MIN(10,F911+E912)</x:f>
        <x:v>4</x:v>
      </x:c>
      <x:c r="G912" s="8" t="n">
        <x:f>MIN(F912,9)+1</x:f>
        <x:v>5</x:v>
      </x:c>
      <x:c r="H912" s="8" t="n">
        <x:f>IF(F912&lt;=9,1,0)</x:f>
        <x:v>1</x:v>
      </x:c>
      <x:c r="I912" s="9" t="n">
        <x:f>MIN(10,F911+IF(AR911&gt;0,MIN(1,AS911/AR911),1))</x:f>
        <x:v>4.128128026967884</x:v>
      </x:c>
      <x:c r="J912" s="32" t="n">
        <x:f>INDEX(v01_FoodCap,G912)*Arch_FoodCap*EXP(v01_CapsByProject*SUMPRODUCT((Cap_Point&lt;=I912)*(Cap_Kind="Food")*Cap_Ln))</x:f>
        <x:v>250</x:v>
      </x:c>
      <x:c r="K912" s="32" t="n">
        <x:f>J912*MIN(1,v01_LeanBase*EXP(v01_CapsByProject*SUMPRODUCT((Cap_Point&lt;=I912)*(Cap_Kind="Lean")*Cap_Ln)))</x:f>
        <x:v>250</x:v>
      </x:c>
      <x:c r="L912" s="10" t="n">
        <x:f>INDEX(v01_HousingCap,G912)*EXP(v01_CapsByProject*SUMPRODUCT((Cap_Point&lt;=I912)*(Cap_Kind="Housing")*Cap_Ln))</x:f>
        <x:v>400</x:v>
      </x:c>
      <x:c r="M912" s="10" t="n">
        <x:f>INDEX(v01_GroupCap,G912)*v01_CohesionFactor*EXP(v01_CapsByProject*SUMPRODUCT((Cap_Point&lt;=I912)*(Cap_Kind="Group")*Cap_Ln))</x:f>
        <x:v>10000</x:v>
      </x:c>
      <x:c r="N912" s="32" t="n">
        <x:f>MIN(J912,L912,M912)</x:f>
        <x:v>250</x:v>
      </x:c>
      <x:c r="O912" s="10" t="n">
        <x:f>AE911*N912</x:f>
        <x:v>3000</x:v>
      </x:c>
      <x:c r="P912" s="9" t="n">
        <x:f>MIN(1,(AB911/(AE911*IF(v01_GroupInCrowding=1,N912,MIN(J912,L912))))^v01_CrowdingExp)</x:f>
        <x:v>0.012422450929758775</x:v>
      </x:c>
      <x:c r="Q912" s="9" t="n">
        <x:f>IF(D912=1,INDEX(v01_WinterMult,G912),1)</x:f>
        <x:v>1</x:v>
      </x:c>
      <x:c r="R912" s="9" t="n">
        <x:f>H912*Z911*v01_WomenShare*v01_BaseFertility*INDEX(v01_FertMult,G912)*Arch_Fertility*(1-P912)</x:f>
        <x:v>21.43216889303738</x:v>
      </x:c>
      <x:c r="S912" s="9" t="n">
        <x:f>H912*Y911*INDEX(v01_MortChild,G912)/4*Q912</x:f>
        <x:v>4.417568422921258</x:v>
      </x:c>
      <x:c r="T912" s="9" t="n">
        <x:f>H912*Z911*INDEX(v01_MortAdult,G912)*Arch_AdultMort/4*Q912</x:f>
        <x:v>1.507066521933081</x:v>
      </x:c>
      <x:c r="U912" s="9" t="n">
        <x:f>H912*AA911*INDEX(v01_MortElder,G912)/4*Q912</x:f>
        <x:v>3.147490161644861</x:v>
      </x:c>
      <x:c r="V912" s="9" t="n">
        <x:f>H912*MAX(0,AB911-O912)*v01_OvercapLoss</x:f>
        <x:v>0</x:v>
      </x:c>
      <x:c r="W912" s="9" t="n">
        <x:f>H912*Y911/(v01_ChildYears*4)</x:f>
        <x:v>11.26930720132974</x:v>
      </x:c>
      <x:c r="X912" s="9" t="n">
        <x:f>H912*Z911/(v01_AdultYears*4)</x:f>
        <x:v>4.8615049094615514</x:v>
      </x:c>
      <x:c r="Y912" s="32" t="n">
        <x:f>Y911+R912-S912-W912-Y911*V912/AB911</x:f>
        <x:v>636.8264965432518</x:v>
      </x:c>
      <x:c r="Z912" s="32" t="n">
        <x:f>Z911+W912-X912-T912-Z911*V912/AB911</x:f>
        <x:v>607.7273445431674</x:v>
      </x:c>
      <x:c r="AA912" s="32" t="n">
        <x:f>AA911+X912-U912-AA911*V912/AB911</x:f>
        <x:v>211.54669219080742</x:v>
      </x:c>
      <x:c r="AB912" s="10" t="n">
        <x:f>Y912+Z912+AA912</x:f>
        <x:v>1456.1005332772265</x:v>
      </x:c>
      <x:c r="AC912" s="8" t="n">
        <x:f>IF(AND(v01_WinterTrigger=1,D912=1,AB911/AE911&gt;=K912),1,0)</x:f>
        <x:v>0</x:v>
      </x:c>
      <x:c r="AD912" s="8" t="n">
        <x:f>H912*IF(AND(OR(AB911/AE911&gt;=v01_FissionTrigger*N912,AC912=1),AB911/AE911*v01_DaughterShare&gt;=v01_MinDaughter),MAX(1,ROUND(AE911*v01_FissionRate,0)),0)</x:f>
        <x:v>0</x:v>
      </x:c>
      <x:c r="AE912" s="8" t="n">
        <x:f>IF(H912=1,MAX(1,MIN(INDEX(v01_Smax,G912),AE911+AD912)),AE911)</x:f>
        <x:v>12</x:v>
      </x:c>
      <x:c r="AF912" s="8" t="n">
        <x:f>MAX(0,AE912-AE911)</x:f>
        <x:v>0</x:v>
      </x:c>
      <x:c r="AG912" s="9" t="str">
        <x:f>IF(AF912&gt;0,B912,"")</x:f>
      </x:c>
      <x:c r="AH912" s="9" t="n">
        <x:f>IF(F912&gt;=1,1,(1+v01_LowTiesShare*(AE912-1))/AE912)</x:f>
        <x:v>1</x:v>
      </x:c>
      <x:c r="AI912" s="32" t="n">
        <x:f>(Z912+v01_ElderCommons*INDEX(LM_Elder,G912)*AA912)*AH912</x:f>
        <x:v>1242.3674211155897</x:v>
      </x:c>
      <x:c r="AJ912" s="32" t="n">
        <x:f>H912*v01_CommonsCoef*AI912^v01_CommonsExp*INDEX(LM_Commons,G912)</x:f>
        <x:v>309.456815009717</x:v>
      </x:c>
      <x:c r="AK912" s="32" t="n">
        <x:f>H912*v01_RoleScale*Arch_Roles*(AE912*(INDEX(v01_ElderRolePerSett,G912)*v01_OutElder*INDEX(LM_Elder,G912)+INDEX(v01_ShamanPerSett,G912)*v01_OutShaman)+Z912*(INDEX(v01_PriestShare,G912)*v01_OutPriest+INDEX(v01_ScribeShare,G912)*v01_OutScribe*INDEX(LM_Scribe,G912)+INDEX(v01_ScholarShare,G912)*v01_OutScholar*INDEX(LM_Scholar,G912)+INDEX(v01_ResearcherShare,G912)*v01_OutResearcher*INDEX(LM_Researcher,G912)))</x:f>
        <x:v>53.172489643394584</x:v>
      </x:c>
      <x:c r="AL912" s="32" t="n">
        <x:f>H912*v01_RoleScale*Arch_Roles*AE912*INDEX(v01_MonasteryPerSett,G912)*v01_OutMonastery*INDEX(LM_Monastery,G912)</x:f>
        <x:v>0</x:v>
      </x:c>
      <x:c r="AM912" s="32" t="n">
        <x:f>(AJ912+AK912+AL912)/4*INDEX(LM_All,G912)*INDEX(v01_Boon,G912)*Arch_Insight</x:f>
        <x:v>109.0703201159061</x:v>
      </x:c>
      <x:c r="AN912" s="32" t="n">
        <x:f>H912*(v01_KHPerAdult*Z912+v01_KHOfCommons*AJ912/4*INDEX(LM_All,G912))*v01_KHUsable*Arch_KH</x:f>
        <x:v>21.27045705901086</x:v>
      </x:c>
      <x:c r="AO912" s="32" t="n">
        <x:f>MIN(AP911+AN912,AM912*v01_KHMaxRatio)</x:f>
        <x:v>21.27045705901086</x:v>
      </x:c>
      <x:c r="AP912" s="32" t="n">
        <x:f>AP911+AN912-AO912</x:f>
        <x:v>0</x:v>
      </x:c>
      <x:c r="AQ912" s="32" t="n">
        <x:f>AM912+AO912</x:f>
        <x:v>130.34077717491695</x:v>
      </x:c>
      <x:c r="AR912" s="10" t="n">
        <x:f>IF(H912=1,INDEX(v01_Req,G912),0)</x:f>
        <x:v>24714.473079999996</x:v>
      </x:c>
      <x:c r="AS912" s="32" t="n">
        <x:f>IF(H912=1,IF(E912=1,AS911-AR911,AS911)+AQ912,0)</x:f>
        <x:v>3296.957450466215</x:v>
      </x:c>
      <x:c r="AT912" s="11" t="n">
        <x:f>IF(AR912&gt;0,MIN(1,AS912/AR912),1)</x:f>
        <x:v>0.13340189126404048</x:v>
      </x:c>
      <x:c r="AU912" s="10" t="n">
        <x:f>AB912/INDEX(v01_RepScale,G912)</x:f>
        <x:v>145.61005332772265</x:v>
      </x:c>
      <x:c r="AV912" s="32" t="n">
        <x:f>AM912*60/v01_SeasonSeconds</x:f>
        <x:v>436.2812804636244</x:v>
      </x:c>
    </x:row>
    <x:row r="913">
      <x:c r="A913" s="8" t="n">
        <x:f>A912+1</x:f>
        <x:v>910</x:v>
      </x:c>
      <x:c r="B913" s="9" t="n">
        <x:f>A913*v01_SeasonSeconds/60</x:f>
        <x:v>227.5</x:v>
      </x:c>
      <x:c r="C913" s="9" t="n">
        <x:f>A913/4</x:f>
        <x:v>227.5</x:v>
      </x:c>
      <x:c r="D913" s="8" t="n">
        <x:f>IF(MOD(A913,4)=0,1,0)</x:f>
        <x:v>0</x:v>
      </x:c>
      <x:c r="E913" s="8" t="n">
        <x:f>IF(AND(F912&lt;=9,AS912&gt;=AR912),1,0)</x:f>
        <x:v>0</x:v>
      </x:c>
      <x:c r="F913" s="8" t="n">
        <x:f>MIN(10,F912+E913)</x:f>
        <x:v>4</x:v>
      </x:c>
      <x:c r="G913" s="8" t="n">
        <x:f>MIN(F913,9)+1</x:f>
        <x:v>5</x:v>
      </x:c>
      <x:c r="H913" s="8" t="n">
        <x:f>IF(F913&lt;=9,1,0)</x:f>
        <x:v>1</x:v>
      </x:c>
      <x:c r="I913" s="9" t="n">
        <x:f>MIN(10,F912+IF(AR912&gt;0,MIN(1,AS912/AR912),1))</x:f>
        <x:v>4.1334018912640405</x:v>
      </x:c>
      <x:c r="J913" s="32" t="n">
        <x:f>INDEX(v01_FoodCap,G913)*Arch_FoodCap*EXP(v01_CapsByProject*SUMPRODUCT((Cap_Point&lt;=I913)*(Cap_Kind="Food")*Cap_Ln))</x:f>
        <x:v>250</x:v>
      </x:c>
      <x:c r="K913" s="32" t="n">
        <x:f>J913*MIN(1,v01_LeanBase*EXP(v01_CapsByProject*SUMPRODUCT((Cap_Point&lt;=I913)*(Cap_Kind="Lean")*Cap_Ln)))</x:f>
        <x:v>250</x:v>
      </x:c>
      <x:c r="L913" s="10" t="n">
        <x:f>INDEX(v01_HousingCap,G913)*EXP(v01_CapsByProject*SUMPRODUCT((Cap_Point&lt;=I913)*(Cap_Kind="Housing")*Cap_Ln))</x:f>
        <x:v>400</x:v>
      </x:c>
      <x:c r="M913" s="10" t="n">
        <x:f>INDEX(v01_GroupCap,G913)*v01_CohesionFactor*EXP(v01_CapsByProject*SUMPRODUCT((Cap_Point&lt;=I913)*(Cap_Kind="Group")*Cap_Ln))</x:f>
        <x:v>10000</x:v>
      </x:c>
      <x:c r="N913" s="32" t="n">
        <x:f>MIN(J913,L913,M913)</x:f>
        <x:v>250</x:v>
      </x:c>
      <x:c r="O913" s="10" t="n">
        <x:f>AE912*N913</x:f>
        <x:v>3000</x:v>
      </x:c>
      <x:c r="P913" s="9" t="n">
        <x:f>MIN(1,(AB912/(AE912*IF(v01_GroupInCrowding=1,N913,MIN(J913,L913))))^v01_CrowdingExp)</x:f>
        <x:v>0.013074365967443364</x:v>
      </x:c>
      <x:c r="Q913" s="9" t="n">
        <x:f>IF(D913=1,INDEX(v01_WinterMult,G913),1)</x:f>
        <x:v>1</x:v>
      </x:c>
      <x:c r="R913" s="9" t="n">
        <x:f>H913*Z912*v01_WomenShare*v01_BaseFertility*INDEX(v01_FertMult,G913)*Arch_Fertility*(1-P913)</x:f>
        <x:v>21.59214101395875</x:v>
      </x:c>
      <x:c r="S913" s="9" t="n">
        <x:f>H913*Y912*INDEX(v01_MortChild,G913)/4*Q913</x:f>
        <x:v>4.457785475802763</x:v>
      </x:c>
      <x:c r="T913" s="9" t="n">
        <x:f>H913*Z912*INDEX(v01_MortAdult,G913)*Arch_AdultMort/4*Q913</x:f>
        <x:v>1.5193183613579186</x:v>
      </x:c>
      <x:c r="U913" s="9" t="n">
        <x:f>H913*AA912*INDEX(v01_MortElder,G913)/4*Q913</x:f>
        <x:v>3.1732003828621114</x:v>
      </x:c>
      <x:c r="V913" s="9" t="n">
        <x:f>H913*MAX(0,AB912-O913)*v01_OvercapLoss</x:f>
        <x:v>0</x:v>
      </x:c>
      <x:c r="W913" s="9" t="n">
        <x:f>H913*Y912/(v01_ChildYears*4)</x:f>
        <x:v>11.371901723986639</x:v>
      </x:c>
      <x:c r="X913" s="9" t="n">
        <x:f>H913*Z912/(v01_AdultYears*4)</x:f>
        <x:v>4.901026972122318</x:v>
      </x:c>
      <x:c r="Y913" s="32" t="n">
        <x:f>Y912+R913-S913-W913-Y912*V913/AB912</x:f>
        <x:v>642.5889503574211</x:v>
      </x:c>
      <x:c r="Z913" s="32" t="n">
        <x:f>Z912+W913-X913-T913-Z912*V913/AB912</x:f>
        <x:v>612.6789009336738</x:v>
      </x:c>
      <x:c r="AA913" s="32" t="n">
        <x:f>AA912+X913-U913-AA912*V913/AB912</x:f>
        <x:v>213.2745187800676</x:v>
      </x:c>
      <x:c r="AB913" s="10" t="n">
        <x:f>Y913+Z913+AA913</x:f>
        <x:v>1468.5423700711626</x:v>
      </x:c>
      <x:c r="AC913" s="8" t="n">
        <x:f>IF(AND(v01_WinterTrigger=1,D913=1,AB912/AE912&gt;=K913),1,0)</x:f>
        <x:v>0</x:v>
      </x:c>
      <x:c r="AD913" s="8" t="n">
        <x:f>H913*IF(AND(OR(AB912/AE912&gt;=v01_FissionTrigger*N913,AC913=1),AB912/AE912*v01_DaughterShare&gt;=v01_MinDaughter),MAX(1,ROUND(AE912*v01_FissionRate,0)),0)</x:f>
        <x:v>0</x:v>
      </x:c>
      <x:c r="AE913" s="8" t="n">
        <x:f>IF(H913=1,MAX(1,MIN(INDEX(v01_Smax,G913),AE912+AD913)),AE912)</x:f>
        <x:v>12</x:v>
      </x:c>
      <x:c r="AF913" s="8" t="n">
        <x:f>MAX(0,AE913-AE912)</x:f>
        <x:v>0</x:v>
      </x:c>
      <x:c r="AG913" s="9" t="str">
        <x:f>IF(AF913&gt;0,B913,"")</x:f>
      </x:c>
      <x:c r="AH913" s="9" t="n">
        <x:f>IF(F913&gt;=1,1,(1+v01_LowTiesShare*(AE913-1))/AE913)</x:f>
        <x:v>1</x:v>
      </x:c>
      <x:c r="AI913" s="32" t="n">
        <x:f>(Z913+v01_ElderCommons*INDEX(LM_Elder,G913)*AA913)*AH913</x:f>
        <x:v>1252.5024572738766</x:v>
      </x:c>
      <x:c r="AJ913" s="32" t="n">
        <x:f>H913*v01_CommonsCoef*AI913^v01_CommonsExp*INDEX(LM_Commons,G913)</x:f>
        <x:v>311.6013308273039</x:v>
      </x:c>
      <x:c r="AK913" s="32" t="n">
        <x:f>H913*v01_RoleScale*Arch_Roles*(AE913*(INDEX(v01_ElderRolePerSett,G913)*v01_OutElder*INDEX(LM_Elder,G913)+INDEX(v01_ShamanPerSett,G913)*v01_OutShaman)+Z913*(INDEX(v01_PriestShare,G913)*v01_OutPriest+INDEX(v01_ScribeShare,G913)*v01_OutScribe*INDEX(LM_Scribe,G913)+INDEX(v01_ScholarShare,G913)*v01_OutScholar*INDEX(LM_Scholar,G913)+INDEX(v01_ResearcherShare,G913)*v01_OutResearcher*INDEX(LM_Researcher,G913)))</x:f>
        <x:v>53.31240526772539</x:v>
      </x:c>
      <x:c r="AL913" s="32" t="n">
        <x:f>H913*v01_RoleScale*Arch_Roles*AE913*INDEX(v01_MonasteryPerSett,G913)*v01_OutMonastery*INDEX(LM_Monastery,G913)</x:f>
        <x:v>0</x:v>
      </x:c>
      <x:c r="AM913" s="32" t="n">
        <x:f>(AJ913+AK913+AL913)/4*INDEX(LM_All,G913)*INDEX(v01_Boon,G913)*Arch_Insight</x:f>
        <x:v>109.75742307602445</x:v>
      </x:c>
      <x:c r="AN913" s="32" t="n">
        <x:f>H913*(v01_KHPerAdult*Z913+v01_KHOfCommons*AJ913/4*INDEX(LM_All,G913))*v01_KHUsable*Arch_KH</x:f>
        <x:v>21.443761532678582</x:v>
      </x:c>
      <x:c r="AO913" s="32" t="n">
        <x:f>MIN(AP912+AN913,AM913*v01_KHMaxRatio)</x:f>
        <x:v>21.443761532678582</x:v>
      </x:c>
      <x:c r="AP913" s="32" t="n">
        <x:f>AP912+AN913-AO913</x:f>
        <x:v>0</x:v>
      </x:c>
      <x:c r="AQ913" s="32" t="n">
        <x:f>AM913+AO913</x:f>
        <x:v>131.20118460870304</x:v>
      </x:c>
      <x:c r="AR913" s="10" t="n">
        <x:f>IF(H913=1,INDEX(v01_Req,G913),0)</x:f>
        <x:v>24714.473079999996</x:v>
      </x:c>
      <x:c r="AS913" s="32" t="n">
        <x:f>IF(H913=1,IF(E913=1,AS912-AR912,AS912)+AQ913,0)</x:f>
        <x:v>3428.158635074918</x:v>
      </x:c>
      <x:c r="AT913" s="11" t="n">
        <x:f>IF(AR913&gt;0,MIN(1,AS913/AR913),1)</x:f>
        <x:v>0.13871056946988403</x:v>
      </x:c>
      <x:c r="AU913" s="10" t="n">
        <x:f>AB913/INDEX(v01_RepScale,G913)</x:f>
        <x:v>146.85423700711627</x:v>
      </x:c>
      <x:c r="AV913" s="32" t="n">
        <x:f>AM913*60/v01_SeasonSeconds</x:f>
        <x:v>439.0296923040978</x:v>
      </x:c>
    </x:row>
    <x:row r="914">
      <x:c r="A914" s="8" t="n">
        <x:f>A913+1</x:f>
        <x:v>911</x:v>
      </x:c>
      <x:c r="B914" s="9" t="n">
        <x:f>A914*v01_SeasonSeconds/60</x:f>
        <x:v>227.75</x:v>
      </x:c>
      <x:c r="C914" s="9" t="n">
        <x:f>A914/4</x:f>
        <x:v>227.75</x:v>
      </x:c>
      <x:c r="D914" s="8" t="n">
        <x:f>IF(MOD(A914,4)=0,1,0)</x:f>
        <x:v>0</x:v>
      </x:c>
      <x:c r="E914" s="8" t="n">
        <x:f>IF(AND(F913&lt;=9,AS913&gt;=AR913),1,0)</x:f>
        <x:v>0</x:v>
      </x:c>
      <x:c r="F914" s="8" t="n">
        <x:f>MIN(10,F913+E914)</x:f>
        <x:v>4</x:v>
      </x:c>
      <x:c r="G914" s="8" t="n">
        <x:f>MIN(F914,9)+1</x:f>
        <x:v>5</x:v>
      </x:c>
      <x:c r="H914" s="8" t="n">
        <x:f>IF(F914&lt;=9,1,0)</x:f>
        <x:v>1</x:v>
      </x:c>
      <x:c r="I914" s="9" t="n">
        <x:f>MIN(10,F913+IF(AR913&gt;0,MIN(1,AS913/AR913),1))</x:f>
        <x:v>4.138710569469884</x:v>
      </x:c>
      <x:c r="J914" s="32" t="n">
        <x:f>INDEX(v01_FoodCap,G914)*Arch_FoodCap*EXP(v01_CapsByProject*SUMPRODUCT((Cap_Point&lt;=I914)*(Cap_Kind="Food")*Cap_Ln))</x:f>
        <x:v>250</x:v>
      </x:c>
      <x:c r="K914" s="32" t="n">
        <x:f>J914*MIN(1,v01_LeanBase*EXP(v01_CapsByProject*SUMPRODUCT((Cap_Point&lt;=I914)*(Cap_Kind="Lean")*Cap_Ln)))</x:f>
        <x:v>250</x:v>
      </x:c>
      <x:c r="L914" s="10" t="n">
        <x:f>INDEX(v01_HousingCap,G914)*EXP(v01_CapsByProject*SUMPRODUCT((Cap_Point&lt;=I914)*(Cap_Kind="Housing")*Cap_Ln))</x:f>
        <x:v>400</x:v>
      </x:c>
      <x:c r="M914" s="10" t="n">
        <x:f>INDEX(v01_GroupCap,G914)*v01_CohesionFactor*EXP(v01_CapsByProject*SUMPRODUCT((Cap_Point&lt;=I914)*(Cap_Kind="Group")*Cap_Ln))</x:f>
        <x:v>10000</x:v>
      </x:c>
      <x:c r="N914" s="32" t="n">
        <x:f>MIN(J914,L914,M914)</x:f>
        <x:v>250</x:v>
      </x:c>
      <x:c r="O914" s="10" t="n">
        <x:f>AE913*N914</x:f>
        <x:v>3000</x:v>
      </x:c>
      <x:c r="P914" s="9" t="n">
        <x:f>MIN(1,(AB913/(AE913*IF(v01_GroupInCrowding=1,N914,MIN(J914,L914))))^v01_CrowdingExp)</x:f>
        <x:v>0.013759142195656207</x:v>
      </x:c>
      <x:c r="Q914" s="9" t="n">
        <x:f>IF(D914=1,INDEX(v01_WinterMult,G914),1)</x:f>
        <x:v>1</x:v>
      </x:c>
      <x:c r="R914" s="9" t="n">
        <x:f>H914*Z913*v01_WomenShare*v01_BaseFertility*INDEX(v01_FertMult,G914)*Arch_Fertility*(1-P914)</x:f>
        <x:v>21.752962733356167</x:v>
      </x:c>
      <x:c r="S914" s="9" t="n">
        <x:f>H914*Y913*INDEX(v01_MortChild,G914)/4*Q914</x:f>
        <x:v>4.498122652501948</x:v>
      </x:c>
      <x:c r="T914" s="9" t="n">
        <x:f>H914*Z913*INDEX(v01_MortAdult,G914)*Arch_AdultMort/4*Q914</x:f>
        <x:v>1.5316972523341847</x:v>
      </x:c>
      <x:c r="U914" s="9" t="n">
        <x:f>H914*AA913*INDEX(v01_MortElder,G914)/4*Q914</x:f>
        <x:v>3.199117781701014</x:v>
      </x:c>
      <x:c r="V914" s="9" t="n">
        <x:f>H914*MAX(0,AB913-O914)*v01_OvercapLoss</x:f>
        <x:v>0</x:v>
      </x:c>
      <x:c r="W914" s="9" t="n">
        <x:f>H914*Y913/(v01_ChildYears*4)</x:f>
        <x:v>11.474802684953948</x:v>
      </x:c>
      <x:c r="X914" s="9" t="n">
        <x:f>H914*Z913/(v01_AdultYears*4)</x:f>
        <x:v>4.94095887849737</x:v>
      </x:c>
      <x:c r="Y914" s="32" t="n">
        <x:f>Y913+R914-S914-W914-Y913*V914/AB913</x:f>
        <x:v>648.3689877533214</x:v>
      </x:c>
      <x:c r="Z914" s="32" t="n">
        <x:f>Z913+W914-X914-T914-Z913*V914/AB913</x:f>
        <x:v>617.6810474877963</x:v>
      </x:c>
      <x:c r="AA914" s="32" t="n">
        <x:f>AA913+X914-U914-AA913*V914/AB913</x:f>
        <x:v>215.016359876864</x:v>
      </x:c>
      <x:c r="AB914" s="10" t="n">
        <x:f>Y914+Z914+AA914</x:f>
        <x:v>1481.0663951179818</x:v>
      </x:c>
      <x:c r="AC914" s="8" t="n">
        <x:f>IF(AND(v01_WinterTrigger=1,D914=1,AB913/AE913&gt;=K914),1,0)</x:f>
        <x:v>0</x:v>
      </x:c>
      <x:c r="AD914" s="8" t="n">
        <x:f>H914*IF(AND(OR(AB913/AE913&gt;=v01_FissionTrigger*N914,AC914=1),AB913/AE913*v01_DaughterShare&gt;=v01_MinDaughter),MAX(1,ROUND(AE913*v01_FissionRate,0)),0)</x:f>
        <x:v>0</x:v>
      </x:c>
      <x:c r="AE914" s="8" t="n">
        <x:f>IF(H914=1,MAX(1,MIN(INDEX(v01_Smax,G914),AE913+AD914)),AE913)</x:f>
        <x:v>12</x:v>
      </x:c>
      <x:c r="AF914" s="8" t="n">
        <x:f>MAX(0,AE914-AE913)</x:f>
        <x:v>0</x:v>
      </x:c>
      <x:c r="AG914" s="9" t="str">
        <x:f>IF(AF914&gt;0,B914,"")</x:f>
      </x:c>
      <x:c r="AH914" s="9" t="n">
        <x:f>IF(F914&gt;=1,1,(1+v01_LowTiesShare*(AE914-1))/AE914)</x:f>
        <x:v>1</x:v>
      </x:c>
      <x:c r="AI914" s="32" t="n">
        <x:f>(Z914+v01_ElderCommons*INDEX(LM_Elder,G914)*AA914)*AH914</x:f>
        <x:v>1262.7301271183883</x:v>
      </x:c>
      <x:c r="AJ914" s="32" t="n">
        <x:f>H914*v01_CommonsCoef*AI914^v01_CommonsExp*INDEX(LM_Commons,G914)</x:f>
        <x:v>313.7628102951173</x:v>
      </x:c>
      <x:c r="AK914" s="32" t="n">
        <x:f>H914*v01_RoleScale*Arch_Roles*(AE914*(INDEX(v01_ElderRolePerSett,G914)*v01_OutElder*INDEX(LM_Elder,G914)+INDEX(v01_ShamanPerSett,G914)*v01_OutShaman)+Z914*(INDEX(v01_PriestShare,G914)*v01_OutPriest+INDEX(v01_ScribeShare,G914)*v01_OutScribe*INDEX(LM_Scribe,G914)+INDEX(v01_ScholarShare,G914)*v01_OutScholar*INDEX(LM_Scholar,G914)+INDEX(v01_ResearcherShare,G914)*v01_OutResearcher*INDEX(LM_Researcher,G914)))</x:f>
        <x:v>53.45375041315402</x:v>
      </x:c>
      <x:c r="AL914" s="32" t="n">
        <x:f>H914*v01_RoleScale*Arch_Roles*AE914*INDEX(v01_MonasteryPerSett,G914)*v01_OutMonastery*INDEX(LM_Monastery,G914)</x:f>
        <x:v>0</x:v>
      </x:c>
      <x:c r="AM914" s="32" t="n">
        <x:f>(AJ914+AK914+AL914)/4*INDEX(LM_All,G914)*INDEX(v01_Boon,G914)*Arch_Insight</x:f>
        <x:v>110.45005826715263</x:v>
      </x:c>
      <x:c r="AN914" s="32" t="n">
        <x:f>H914*(v01_KHPerAdult*Z914+v01_KHOfCommons*AJ914/4*INDEX(LM_All,G914))*v01_KHUsable*Arch_KH</x:f>
        <x:v>21.61883666207287</x:v>
      </x:c>
      <x:c r="AO914" s="32" t="n">
        <x:f>MIN(AP913+AN914,AM914*v01_KHMaxRatio)</x:f>
        <x:v>21.61883666207287</x:v>
      </x:c>
      <x:c r="AP914" s="32" t="n">
        <x:f>AP913+AN914-AO914</x:f>
        <x:v>0</x:v>
      </x:c>
      <x:c r="AQ914" s="32" t="n">
        <x:f>AM914+AO914</x:f>
        <x:v>132.0688949292255</x:v>
      </x:c>
      <x:c r="AR914" s="10" t="n">
        <x:f>IF(H914=1,INDEX(v01_Req,G914),0)</x:f>
        <x:v>24714.473079999996</x:v>
      </x:c>
      <x:c r="AS914" s="32" t="n">
        <x:f>IF(H914=1,IF(E914=1,AS913-AR913,AS913)+AQ914,0)</x:f>
        <x:v>3560.227530004144</x:v>
      </x:c>
      <x:c r="AT914" s="11" t="n">
        <x:f>IF(AR914&gt;0,MIN(1,AS914/AR914),1)</x:f>
        <x:v>0.144054357075702</x:v>
      </x:c>
      <x:c r="AU914" s="10" t="n">
        <x:f>AB914/INDEX(v01_RepScale,G914)</x:f>
        <x:v>148.10663951179816</x:v>
      </x:c>
      <x:c r="AV914" s="32" t="n">
        <x:f>AM914*60/v01_SeasonSeconds</x:f>
        <x:v>441.8002330686105</x:v>
      </x:c>
    </x:row>
    <x:row r="915">
      <x:c r="A915" s="8" t="n">
        <x:f>A914+1</x:f>
        <x:v>912</x:v>
      </x:c>
      <x:c r="B915" s="9" t="n">
        <x:f>A915*v01_SeasonSeconds/60</x:f>
        <x:v>228</x:v>
      </x:c>
      <x:c r="C915" s="9" t="n">
        <x:f>A915/4</x:f>
        <x:v>228</x:v>
      </x:c>
      <x:c r="D915" s="8" t="n">
        <x:f>IF(MOD(A915,4)=0,1,0)</x:f>
        <x:v>1</x:v>
      </x:c>
      <x:c r="E915" s="8" t="n">
        <x:f>IF(AND(F914&lt;=9,AS914&gt;=AR914),1,0)</x:f>
        <x:v>0</x:v>
      </x:c>
      <x:c r="F915" s="8" t="n">
        <x:f>MIN(10,F914+E915)</x:f>
        <x:v>4</x:v>
      </x:c>
      <x:c r="G915" s="8" t="n">
        <x:f>MIN(F915,9)+1</x:f>
        <x:v>5</x:v>
      </x:c>
      <x:c r="H915" s="8" t="n">
        <x:f>IF(F915&lt;=9,1,0)</x:f>
        <x:v>1</x:v>
      </x:c>
      <x:c r="I915" s="9" t="n">
        <x:f>MIN(10,F914+IF(AR914&gt;0,MIN(1,AS914/AR914),1))</x:f>
        <x:v>4.144054357075702</x:v>
      </x:c>
      <x:c r="J915" s="32" t="n">
        <x:f>INDEX(v01_FoodCap,G915)*Arch_FoodCap*EXP(v01_CapsByProject*SUMPRODUCT((Cap_Point&lt;=I915)*(Cap_Kind="Food")*Cap_Ln))</x:f>
        <x:v>250</x:v>
      </x:c>
      <x:c r="K915" s="32" t="n">
        <x:f>J915*MIN(1,v01_LeanBase*EXP(v01_CapsByProject*SUMPRODUCT((Cap_Point&lt;=I915)*(Cap_Kind="Lean")*Cap_Ln)))</x:f>
        <x:v>250</x:v>
      </x:c>
      <x:c r="L915" s="10" t="n">
        <x:f>INDEX(v01_HousingCap,G915)*EXP(v01_CapsByProject*SUMPRODUCT((Cap_Point&lt;=I915)*(Cap_Kind="Housing")*Cap_Ln))</x:f>
        <x:v>400</x:v>
      </x:c>
      <x:c r="M915" s="10" t="n">
        <x:f>INDEX(v01_GroupCap,G915)*v01_CohesionFactor*EXP(v01_CapsByProject*SUMPRODUCT((Cap_Point&lt;=I915)*(Cap_Kind="Group")*Cap_Ln))</x:f>
        <x:v>10000</x:v>
      </x:c>
      <x:c r="N915" s="32" t="n">
        <x:f>MIN(J915,L915,M915)</x:f>
        <x:v>250</x:v>
      </x:c>
      <x:c r="O915" s="10" t="n">
        <x:f>AE914*N915</x:f>
        <x:v>3000</x:v>
      </x:c>
      <x:c r="P915" s="9" t="n">
        <x:f>MIN(1,(AB914/(AE914*IF(v01_GroupInCrowding=1,N915,MIN(J915,L915))))^v01_CrowdingExp)</x:f>
        <x:v>0.01447836896836532</x:v>
      </x:c>
      <x:c r="Q915" s="9" t="n">
        <x:f>IF(D915=1,INDEX(v01_WinterMult,G915),1)</x:f>
        <x:v>1</x:v>
      </x:c>
      <x:c r="R915" s="9" t="n">
        <x:f>H915*Z914*v01_WomenShare*v01_BaseFertility*INDEX(v01_FertMult,G915)*Arch_Fertility*(1-P915)</x:f>
        <x:v>21.914569201590055</x:v>
      </x:c>
      <x:c r="S915" s="9" t="n">
        <x:f>H915*Y914*INDEX(v01_MortChild,G915)/4*Q915</x:f>
        <x:v>4.53858291427325</x:v>
      </x:c>
      <x:c r="T915" s="9" t="n">
        <x:f>H915*Z914*INDEX(v01_MortAdult,G915)*Arch_AdultMort/4*Q915</x:f>
        <x:v>1.5442026187194906</x:v>
      </x:c>
      <x:c r="U915" s="9" t="n">
        <x:f>H915*AA914*INDEX(v01_MortElder,G915)/4*Q915</x:f>
        <x:v>3.2252453981529596</x:v>
      </x:c>
      <x:c r="V915" s="9" t="n">
        <x:f>H915*MAX(0,AB914-O915)*v01_OvercapLoss</x:f>
        <x:v>0</x:v>
      </x:c>
      <x:c r="W915" s="9" t="n">
        <x:f>H915*Y914/(v01_ChildYears*4)</x:f>
        <x:v>11.578017638452168</x:v>
      </x:c>
      <x:c r="X915" s="9" t="n">
        <x:f>H915*Z914/(v01_AdultYears*4)</x:f>
        <x:v>4.981298770062873</x:v>
      </x:c>
      <x:c r="Y915" s="32" t="n">
        <x:f>Y914+R915-S915-W915-Y914*V915/AB914</x:f>
        <x:v>654.1669564021862</x:v>
      </x:c>
      <x:c r="Z915" s="32" t="n">
        <x:f>Z914+W915-X915-T915-Z914*V915/AB914</x:f>
        <x:v>622.733563737466</x:v>
      </x:c>
      <x:c r="AA915" s="32" t="n">
        <x:f>AA914+X915-U915-AA914*V915/AB914</x:f>
        <x:v>216.7724132487739</x:v>
      </x:c>
      <x:c r="AB915" s="10" t="n">
        <x:f>Y915+Z915+AA915</x:f>
        <x:v>1493.672933388426</x:v>
      </x:c>
      <x:c r="AC915" s="8" t="n">
        <x:f>IF(AND(v01_WinterTrigger=1,D915=1,AB914/AE914&gt;=K915),1,0)</x:f>
        <x:v>0</x:v>
      </x:c>
      <x:c r="AD915" s="8" t="n">
        <x:f>H915*IF(AND(OR(AB914/AE914&gt;=v01_FissionTrigger*N915,AC915=1),AB914/AE914*v01_DaughterShare&gt;=v01_MinDaughter),MAX(1,ROUND(AE914*v01_FissionRate,0)),0)</x:f>
        <x:v>0</x:v>
      </x:c>
      <x:c r="AE915" s="8" t="n">
        <x:f>IF(H915=1,MAX(1,MIN(INDEX(v01_Smax,G915),AE914+AD915)),AE914)</x:f>
        <x:v>12</x:v>
      </x:c>
      <x:c r="AF915" s="8" t="n">
        <x:f>MAX(0,AE915-AE914)</x:f>
        <x:v>0</x:v>
      </x:c>
      <x:c r="AG915" s="9" t="str">
        <x:f>IF(AF915&gt;0,B915,"")</x:f>
      </x:c>
      <x:c r="AH915" s="9" t="n">
        <x:f>IF(F915&gt;=1,1,(1+v01_LowTiesShare*(AE915-1))/AE915)</x:f>
        <x:v>1</x:v>
      </x:c>
      <x:c r="AI915" s="32" t="n">
        <x:f>(Z915+v01_ElderCommons*INDEX(LM_Elder,G915)*AA915)*AH915</x:f>
        <x:v>1273.0508034837876</x:v>
      </x:c>
      <x:c r="AJ915" s="32" t="n">
        <x:f>H915*v01_CommonsCoef*AI915^v01_CommonsExp*INDEX(LM_Commons,G915)</x:f>
        <x:v>315.9412850781649</x:v>
      </x:c>
      <x:c r="AK915" s="32" t="n">
        <x:f>H915*v01_RoleScale*Arch_Roles*(AE915*(INDEX(v01_ElderRolePerSett,G915)*v01_OutElder*INDEX(LM_Elder,G915)+INDEX(v01_ShamanPerSett,G915)*v01_OutShaman)+Z915*(INDEX(v01_PriestShare,G915)*v01_OutPriest+INDEX(v01_ScribeShare,G915)*v01_OutScribe*INDEX(LM_Scribe,G915)+INDEX(v01_ScholarShare,G915)*v01_OutScholar*INDEX(LM_Scholar,G915)+INDEX(v01_ResearcherShare,G915)*v01_OutResearcher*INDEX(LM_Researcher,G915)))</x:f>
        <x:v>53.59651884993673</x:v>
      </x:c>
      <x:c r="AL915" s="32" t="n">
        <x:f>H915*v01_RoleScale*Arch_Roles*AE915*INDEX(v01_MonasteryPerSett,G915)*v01_OutMonastery*INDEX(LM_Monastery,G915)</x:f>
        <x:v>0</x:v>
      </x:c>
      <x:c r="AM915" s="32" t="n">
        <x:f>(AJ915+AK915+AL915)/4*INDEX(LM_All,G915)*INDEX(v01_Boon,G915)*Arch_Insight</x:f>
        <x:v>111.14823333961668</x:v>
      </x:c>
      <x:c r="AN915" s="32" t="n">
        <x:f>H915*(v01_KHPerAdult*Z915+v01_KHOfCommons*AJ915/4*INDEX(LM_All,G915))*v01_KHUsable*Arch_KH</x:f>
        <x:v>21.79567473081131</x:v>
      </x:c>
      <x:c r="AO915" s="32" t="n">
        <x:f>MIN(AP914+AN915,AM915*v01_KHMaxRatio)</x:f>
        <x:v>21.79567473081131</x:v>
      </x:c>
      <x:c r="AP915" s="32" t="n">
        <x:f>AP914+AN915-AO915</x:f>
        <x:v>0</x:v>
      </x:c>
      <x:c r="AQ915" s="32" t="n">
        <x:f>AM915+AO915</x:f>
        <x:v>132.943908070428</x:v>
      </x:c>
      <x:c r="AR915" s="10" t="n">
        <x:f>IF(H915=1,INDEX(v01_Req,G915),0)</x:f>
        <x:v>24714.473079999996</x:v>
      </x:c>
      <x:c r="AS915" s="32" t="n">
        <x:f>IF(H915=1,IF(E915=1,AS914-AR914,AS914)+AQ915,0)</x:f>
        <x:v>3693.1714380745716</x:v>
      </x:c>
      <x:c r="AT915" s="11" t="n">
        <x:f>IF(AR915&gt;0,MIN(1,AS915/AR915),1)</x:f>
        <x:v>0.1494335495691083</x:v>
      </x:c>
      <x:c r="AU915" s="10" t="n">
        <x:f>AB915/INDEX(v01_RepScale,G915)</x:f>
        <x:v>149.3672933388426</x:v>
      </x:c>
      <x:c r="AV915" s="32" t="n">
        <x:f>AM915*60/v01_SeasonSeconds</x:f>
        <x:v>444.5929333584667</x:v>
      </x:c>
    </x:row>
    <x:row r="916">
      <x:c r="A916" s="8" t="n">
        <x:f>A915+1</x:f>
        <x:v>913</x:v>
      </x:c>
      <x:c r="B916" s="9" t="n">
        <x:f>A916*v01_SeasonSeconds/60</x:f>
        <x:v>228.25</x:v>
      </x:c>
      <x:c r="C916" s="9" t="n">
        <x:f>A916/4</x:f>
        <x:v>228.25</x:v>
      </x:c>
      <x:c r="D916" s="8" t="n">
        <x:f>IF(MOD(A916,4)=0,1,0)</x:f>
        <x:v>0</x:v>
      </x:c>
      <x:c r="E916" s="8" t="n">
        <x:f>IF(AND(F915&lt;=9,AS915&gt;=AR915),1,0)</x:f>
        <x:v>0</x:v>
      </x:c>
      <x:c r="F916" s="8" t="n">
        <x:f>MIN(10,F915+E916)</x:f>
        <x:v>4</x:v>
      </x:c>
      <x:c r="G916" s="8" t="n">
        <x:f>MIN(F916,9)+1</x:f>
        <x:v>5</x:v>
      </x:c>
      <x:c r="H916" s="8" t="n">
        <x:f>IF(F916&lt;=9,1,0)</x:f>
        <x:v>1</x:v>
      </x:c>
      <x:c r="I916" s="9" t="n">
        <x:f>MIN(10,F915+IF(AR915&gt;0,MIN(1,AS915/AR915),1))</x:f>
        <x:v>4.149433549569109</x:v>
      </x:c>
      <x:c r="J916" s="32" t="n">
        <x:f>INDEX(v01_FoodCap,G916)*Arch_FoodCap*EXP(v01_CapsByProject*SUMPRODUCT((Cap_Point&lt;=I916)*(Cap_Kind="Food")*Cap_Ln))</x:f>
        <x:v>250</x:v>
      </x:c>
      <x:c r="K916" s="32" t="n">
        <x:f>J916*MIN(1,v01_LeanBase*EXP(v01_CapsByProject*SUMPRODUCT((Cap_Point&lt;=I916)*(Cap_Kind="Lean")*Cap_Ln)))</x:f>
        <x:v>250</x:v>
      </x:c>
      <x:c r="L916" s="10" t="n">
        <x:f>INDEX(v01_HousingCap,G916)*EXP(v01_CapsByProject*SUMPRODUCT((Cap_Point&lt;=I916)*(Cap_Kind="Housing")*Cap_Ln))</x:f>
        <x:v>400</x:v>
      </x:c>
      <x:c r="M916" s="10" t="n">
        <x:f>INDEX(v01_GroupCap,G916)*v01_CohesionFactor*EXP(v01_CapsByProject*SUMPRODUCT((Cap_Point&lt;=I916)*(Cap_Kind="Group")*Cap_Ln))</x:f>
        <x:v>10000</x:v>
      </x:c>
      <x:c r="N916" s="32" t="n">
        <x:f>MIN(J916,L916,M916)</x:f>
        <x:v>250</x:v>
      </x:c>
      <x:c r="O916" s="10" t="n">
        <x:f>AE915*N916</x:f>
        <x:v>3000</x:v>
      </x:c>
      <x:c r="P916" s="9" t="n">
        <x:f>MIN(1,(AB915/(AE915*IF(v01_GroupInCrowding=1,N916,MIN(J916,L916))))^v01_CrowdingExp)</x:f>
        <x:v>0.015233704934890391</x:v>
      </x:c>
      <x:c r="Q916" s="9" t="n">
        <x:f>IF(D916=1,INDEX(v01_WinterMult,G916),1)</x:f>
        <x:v>1</x:v>
      </x:c>
      <x:c r="R916" s="9" t="n">
        <x:f>H916*Z915*v01_WomenShare*v01_BaseFertility*INDEX(v01_FertMult,G916)*Arch_Fertility*(1-P916)</x:f>
        <x:v>22.07689287747972</x:v>
      </x:c>
      <x:c r="S916" s="9" t="n">
        <x:f>H916*Y915*INDEX(v01_MortChild,G916)/4*Q916</x:f>
        <x:v>4.579168694815303</x:v>
      </x:c>
      <x:c r="T916" s="9" t="n">
        <x:f>H916*Z915*INDEX(v01_MortAdult,G916)*Arch_AdultMort/4*Q916</x:f>
        <x:v>1.5568339093436652</x:v>
      </x:c>
      <x:c r="U916" s="9" t="n">
        <x:f>H916*AA915*INDEX(v01_MortElder,G916)/4*Q916</x:f>
        <x:v>3.251586198731608</x:v>
      </x:c>
      <x:c r="V916" s="9" t="n">
        <x:f>H916*MAX(0,AB915-O916)*v01_OvercapLoss</x:f>
        <x:v>0</x:v>
      </x:c>
      <x:c r="W916" s="9" t="n">
        <x:f>H916*Y915/(v01_ChildYears*4)</x:f>
        <x:v>11.681552792896182</x:v>
      </x:c>
      <x:c r="X916" s="9" t="n">
        <x:f>H916*Z915/(v01_AdultYears*4)</x:f>
        <x:v>5.022044868850533</x:v>
      </x:c>
      <x:c r="Y916" s="32" t="n">
        <x:f>Y915+R916-S916-W916-Y915*V916/AB915</x:f>
        <x:v>659.9831277919545</x:v>
      </x:c>
      <x:c r="Z916" s="32" t="n">
        <x:f>Z915+W916-X916-T916-Z915*V916/AB915</x:f>
        <x:v>627.8362377521679</x:v>
      </x:c>
      <x:c r="AA916" s="32" t="n">
        <x:f>AA915+X916-U916-AA915*V916/AB915</x:f>
        <x:v>218.5428719188928</x:v>
      </x:c>
      <x:c r="AB916" s="10" t="n">
        <x:f>Y916+Z916+AA916</x:f>
        <x:v>1506.3622374630152</x:v>
      </x:c>
      <x:c r="AC916" s="8" t="n">
        <x:f>IF(AND(v01_WinterTrigger=1,D916=1,AB915/AE915&gt;=K916),1,0)</x:f>
        <x:v>0</x:v>
      </x:c>
      <x:c r="AD916" s="8" t="n">
        <x:f>H916*IF(AND(OR(AB915/AE915&gt;=v01_FissionTrigger*N916,AC916=1),AB915/AE915*v01_DaughterShare&gt;=v01_MinDaughter),MAX(1,ROUND(AE915*v01_FissionRate,0)),0)</x:f>
        <x:v>0</x:v>
      </x:c>
      <x:c r="AE916" s="8" t="n">
        <x:f>IF(H916=1,MAX(1,MIN(INDEX(v01_Smax,G916),AE915+AD916)),AE915)</x:f>
        <x:v>12</x:v>
      </x:c>
      <x:c r="AF916" s="8" t="n">
        <x:f>MAX(0,AE916-AE915)</x:f>
        <x:v>0</x:v>
      </x:c>
      <x:c r="AG916" s="9" t="str">
        <x:f>IF(AF916&gt;0,B916,"")</x:f>
      </x:c>
      <x:c r="AH916" s="9" t="n">
        <x:f>IF(F916&gt;=1,1,(1+v01_LowTiesShare*(AE916-1))/AE916)</x:f>
        <x:v>1</x:v>
      </x:c>
      <x:c r="AI916" s="32" t="n">
        <x:f>(Z916+v01_ElderCommons*INDEX(LM_Elder,G916)*AA916)*AH916</x:f>
        <x:v>1283.4648535088463</x:v>
      </x:c>
      <x:c r="AJ916" s="32" t="n">
        <x:f>H916*v01_CommonsCoef*AI916^v01_CommonsExp*INDEX(LM_Commons,G916)</x:f>
        <x:v>318.1367855183171</x:v>
      </x:c>
      <x:c r="AK916" s="32" t="n">
        <x:f>H916*v01_RoleScale*Arch_Roles*(AE916*(INDEX(v01_ElderRolePerSett,G916)*v01_OutElder*INDEX(LM_Elder,G916)+INDEX(v01_ShamanPerSett,G916)*v01_OutShaman)+Z916*(INDEX(v01_PriestShare,G916)*v01_OutPriest+INDEX(v01_ScribeShare,G916)*v01_OutScribe*INDEX(LM_Scribe,G916)+INDEX(v01_ScholarShare,G916)*v01_OutScholar*INDEX(LM_Scholar,G916)+INDEX(v01_ResearcherShare,G916)*v01_OutResearcher*INDEX(LM_Researcher,G916)))</x:f>
        <x:v>53.74070458957455</x:v>
      </x:c>
      <x:c r="AL916" s="32" t="n">
        <x:f>H916*v01_RoleScale*Arch_Roles*AE916*INDEX(v01_MonasteryPerSett,G916)*v01_OutMonastery*INDEX(LM_Monastery,G916)</x:f>
        <x:v>0</x:v>
      </x:c>
      <x:c r="AM916" s="32" t="n">
        <x:f>(AJ916+AK916+AL916)/4*INDEX(LM_All,G916)*INDEX(v01_Boon,G916)*Arch_Insight</x:f>
        <x:v>111.8519556183348</x:v>
      </x:c>
      <x:c r="AN916" s="32" t="n">
        <x:f>H916*(v01_KHPerAdult*Z916+v01_KHOfCommons*AJ916/4*INDEX(LM_All,G916))*v01_KHUsable*Arch_KH</x:f>
        <x:v>21.974268321325876</x:v>
      </x:c>
      <x:c r="AO916" s="32" t="n">
        <x:f>MIN(AP915+AN916,AM916*v01_KHMaxRatio)</x:f>
        <x:v>21.974268321325876</x:v>
      </x:c>
      <x:c r="AP916" s="32" t="n">
        <x:f>AP915+AN916-AO916</x:f>
        <x:v>0</x:v>
      </x:c>
      <x:c r="AQ916" s="32" t="n">
        <x:f>AM916+AO916</x:f>
        <x:v>133.82622393966068</x:v>
      </x:c>
      <x:c r="AR916" s="10" t="n">
        <x:f>IF(H916=1,INDEX(v01_Req,G916),0)</x:f>
        <x:v>24714.473079999996</x:v>
      </x:c>
      <x:c r="AS916" s="32" t="n">
        <x:f>IF(H916=1,IF(E916=1,AS915-AR915,AS915)+AQ916,0)</x:f>
        <x:v>3826.9976620142324</x:v>
      </x:c>
      <x:c r="AT916" s="11" t="n">
        <x:f>IF(AR916&gt;0,MIN(1,AS916/AR916),1)</x:f>
        <x:v>0.15484844243396806</x:v>
      </x:c>
      <x:c r="AU916" s="10" t="n">
        <x:f>AB916/INDEX(v01_RepScale,G916)</x:f>
        <x:v>150.6362237463015</x:v>
      </x:c>
      <x:c r="AV916" s="32" t="n">
        <x:f>AM916*60/v01_SeasonSeconds</x:f>
        <x:v>447.4078224733392</x:v>
      </x:c>
    </x:row>
    <x:row r="917">
      <x:c r="A917" s="8" t="n">
        <x:f>A916+1</x:f>
        <x:v>914</x:v>
      </x:c>
      <x:c r="B917" s="9" t="n">
        <x:f>A917*v01_SeasonSeconds/60</x:f>
        <x:v>228.5</x:v>
      </x:c>
      <x:c r="C917" s="9" t="n">
        <x:f>A917/4</x:f>
        <x:v>228.5</x:v>
      </x:c>
      <x:c r="D917" s="8" t="n">
        <x:f>IF(MOD(A917,4)=0,1,0)</x:f>
        <x:v>0</x:v>
      </x:c>
      <x:c r="E917" s="8" t="n">
        <x:f>IF(AND(F916&lt;=9,AS916&gt;=AR916),1,0)</x:f>
        <x:v>0</x:v>
      </x:c>
      <x:c r="F917" s="8" t="n">
        <x:f>MIN(10,F916+E917)</x:f>
        <x:v>4</x:v>
      </x:c>
      <x:c r="G917" s="8" t="n">
        <x:f>MIN(F917,9)+1</x:f>
        <x:v>5</x:v>
      </x:c>
      <x:c r="H917" s="8" t="n">
        <x:f>IF(F917&lt;=9,1,0)</x:f>
        <x:v>1</x:v>
      </x:c>
      <x:c r="I917" s="9" t="n">
        <x:f>MIN(10,F916+IF(AR916&gt;0,MIN(1,AS916/AR916),1))</x:f>
        <x:v>4.154848442433968</x:v>
      </x:c>
      <x:c r="J917" s="32" t="n">
        <x:f>INDEX(v01_FoodCap,G917)*Arch_FoodCap*EXP(v01_CapsByProject*SUMPRODUCT((Cap_Point&lt;=I917)*(Cap_Kind="Food")*Cap_Ln))</x:f>
        <x:v>250</x:v>
      </x:c>
      <x:c r="K917" s="32" t="n">
        <x:f>J917*MIN(1,v01_LeanBase*EXP(v01_CapsByProject*SUMPRODUCT((Cap_Point&lt;=I917)*(Cap_Kind="Lean")*Cap_Ln)))</x:f>
        <x:v>250</x:v>
      </x:c>
      <x:c r="L917" s="10" t="n">
        <x:f>INDEX(v01_HousingCap,G917)*EXP(v01_CapsByProject*SUMPRODUCT((Cap_Point&lt;=I917)*(Cap_Kind="Housing")*Cap_Ln))</x:f>
        <x:v>400</x:v>
      </x:c>
      <x:c r="M917" s="10" t="n">
        <x:f>INDEX(v01_GroupCap,G917)*v01_CohesionFactor*EXP(v01_CapsByProject*SUMPRODUCT((Cap_Point&lt;=I917)*(Cap_Kind="Group")*Cap_Ln))</x:f>
        <x:v>10000</x:v>
      </x:c>
      <x:c r="N917" s="32" t="n">
        <x:f>MIN(J917,L917,M917)</x:f>
        <x:v>250</x:v>
      </x:c>
      <x:c r="O917" s="10" t="n">
        <x:f>AE916*N917</x:f>
        <x:v>3000</x:v>
      </x:c>
      <x:c r="P917" s="9" t="n">
        <x:f>MIN(1,(AB916/(AE916*IF(v01_GroupInCrowding=1,N917,MIN(J917,L917))))^v01_CrowdingExp)</x:f>
        <x:v>0.016026880228051463</x:v>
      </x:c>
      <x:c r="Q917" s="9" t="n">
        <x:f>IF(D917=1,INDEX(v01_WinterMult,G917),1)</x:f>
        <x:v>1</x:v>
      </x:c>
      <x:c r="R917" s="9" t="n">
        <x:f>H917*Z916*v01_WomenShare*v01_BaseFertility*INDEX(v01_FertMult,G917)*Arch_Fertility*(1-P917)</x:f>
        <x:v>22.239863336407804</x:v>
      </x:c>
      <x:c r="S917" s="9" t="n">
        <x:f>H917*Y916*INDEX(v01_MortChild,G917)/4*Q917</x:f>
        <x:v>4.619881894543682</x:v>
      </x:c>
      <x:c r="T917" s="9" t="n">
        <x:f>H917*Z916*INDEX(v01_MortAdult,G917)*Arch_AdultMort/4*Q917</x:f>
        <x:v>1.5695905943804198</x:v>
      </x:c>
      <x:c r="U917" s="9" t="n">
        <x:f>H917*AA916*INDEX(v01_MortElder,G917)/4*Q917</x:f>
        <x:v>3.2781430787833923</x:v>
      </x:c>
      <x:c r="V917" s="9" t="n">
        <x:f>H917*MAX(0,AB916-O917)*v01_OvercapLoss</x:f>
        <x:v>0</x:v>
      </x:c>
      <x:c r="W917" s="9" t="n">
        <x:f>H917*Y916/(v01_ChildYears*4)</x:f>
        <x:v>11.785412996284903</x:v>
      </x:c>
      <x:c r="X917" s="9" t="n">
        <x:f>H917*Z916/(v01_AdultYears*4)</x:f>
        <x:v>5.06319546574329</x:v>
      </x:c>
      <x:c r="Y917" s="32" t="n">
        <x:f>Y916+R917-S917-W917-Y916*V917/AB916</x:f>
        <x:v>665.8176962375337</x:v>
      </x:c>
      <x:c r="Z917" s="32" t="n">
        <x:f>Z916+W917-X917-T917-Z916*V917/AB916</x:f>
        <x:v>632.988864688329</x:v>
      </x:c>
      <x:c r="AA917" s="32" t="n">
        <x:f>AA916+X917-U917-AA916*V917/AB916</x:f>
        <x:v>220.32792430585272</x:v>
      </x:c>
      <x:c r="AB917" s="10" t="n">
        <x:f>Y917+Z917+AA917</x:f>
        <x:v>1519.1344852317156</x:v>
      </x:c>
      <x:c r="AC917" s="8" t="n">
        <x:f>IF(AND(v01_WinterTrigger=1,D917=1,AB916/AE916&gt;=K917),1,0)</x:f>
        <x:v>0</x:v>
      </x:c>
      <x:c r="AD917" s="8" t="n">
        <x:f>H917*IF(AND(OR(AB916/AE916&gt;=v01_FissionTrigger*N917,AC917=1),AB916/AE916*v01_DaughterShare&gt;=v01_MinDaughter),MAX(1,ROUND(AE916*v01_FissionRate,0)),0)</x:f>
        <x:v>0</x:v>
      </x:c>
      <x:c r="AE917" s="8" t="n">
        <x:f>IF(H917=1,MAX(1,MIN(INDEX(v01_Smax,G917),AE916+AD917)),AE916)</x:f>
        <x:v>12</x:v>
      </x:c>
      <x:c r="AF917" s="8" t="n">
        <x:f>MAX(0,AE917-AE916)</x:f>
        <x:v>0</x:v>
      </x:c>
      <x:c r="AG917" s="9" t="str">
        <x:f>IF(AF917&gt;0,B917,"")</x:f>
      </x:c>
      <x:c r="AH917" s="9" t="n">
        <x:f>IF(F917&gt;=1,1,(1+v01_LowTiesShare*(AE917-1))/AE917)</x:f>
        <x:v>1</x:v>
      </x:c>
      <x:c r="AI917" s="32" t="n">
        <x:f>(Z917+v01_ElderCommons*INDEX(LM_Elder,G917)*AA917)*AH917</x:f>
        <x:v>1293.972637605887</x:v>
      </x:c>
      <x:c r="AJ917" s="32" t="n">
        <x:f>H917*v01_CommonsCoef*AI917^v01_CommonsExp*INDEX(LM_Commons,G917)</x:f>
        <x:v>320.349340427372</x:v>
      </x:c>
      <x:c r="AK917" s="32" t="n">
        <x:f>H917*v01_RoleScale*Arch_Roles*(AE917*(INDEX(v01_ElderRolePerSett,G917)*v01_OutElder*INDEX(LM_Elder,G917)+INDEX(v01_ShamanPerSett,G917)*v01_OutShaman)+Z917*(INDEX(v01_PriestShare,G917)*v01_OutPriest+INDEX(v01_ScribeShare,G917)*v01_OutScribe*INDEX(LM_Scribe,G917)+INDEX(v01_ScholarShare,G917)*v01_OutScholar*INDEX(LM_Scholar,G917)+INDEX(v01_ResearcherShare,G917)*v01_OutResearcher*INDEX(LM_Researcher,G917)))</x:f>
        <x:v>53.886301843823524</x:v>
      </x:c>
      <x:c r="AL917" s="32" t="n">
        <x:f>H917*v01_RoleScale*Arch_Roles*AE917*INDEX(v01_MonasteryPerSett,G917)*v01_OutMonastery*INDEX(LM_Monastery,G917)</x:f>
        <x:v>0</x:v>
      </x:c>
      <x:c r="AM917" s="32" t="n">
        <x:f>(AJ917+AK917+AL917)/4*INDEX(LM_All,G917)*INDEX(v01_Boon,G917)*Arch_Insight</x:f>
        <x:v>112.5612320282477</x:v>
      </x:c>
      <x:c r="AN917" s="32" t="n">
        <x:f>H917*(v01_KHPerAdult*Z917+v01_KHOfCommons*AJ917/4*INDEX(LM_All,G917))*v01_KHUsable*Arch_KH</x:f>
        <x:v>22.154610264091517</x:v>
      </x:c>
      <x:c r="AO917" s="32" t="n">
        <x:f>MIN(AP916+AN917,AM917*v01_KHMaxRatio)</x:f>
        <x:v>22.154610264091517</x:v>
      </x:c>
      <x:c r="AP917" s="32" t="n">
        <x:f>AP916+AN917-AO917</x:f>
        <x:v>0</x:v>
      </x:c>
      <x:c r="AQ917" s="32" t="n">
        <x:f>AM917+AO917</x:f>
        <x:v>134.71584229233923</x:v>
      </x:c>
      <x:c r="AR917" s="10" t="n">
        <x:f>IF(H917=1,INDEX(v01_Req,G917),0)</x:f>
        <x:v>24714.473079999996</x:v>
      </x:c>
      <x:c r="AS917" s="32" t="n">
        <x:f>IF(H917=1,IF(E917=1,AS916-AR916,AS916)+AQ917,0)</x:f>
        <x:v>3961.713504306572</x:v>
      </x:c>
      <x:c r="AT917" s="11" t="n">
        <x:f>IF(AR917&gt;0,MIN(1,AS917/AR917),1)</x:f>
        <x:v>0.16029933114425002</x:v>
      </x:c>
      <x:c r="AU917" s="10" t="n">
        <x:f>AB917/INDEX(v01_RepScale,G917)</x:f>
        <x:v>151.91344852317155</x:v>
      </x:c>
      <x:c r="AV917" s="32" t="n">
        <x:f>AM917*60/v01_SeasonSeconds</x:f>
        <x:v>450.2449281129908</x:v>
      </x:c>
    </x:row>
    <x:row r="918">
      <x:c r="A918" s="8" t="n">
        <x:f>A917+1</x:f>
        <x:v>915</x:v>
      </x:c>
      <x:c r="B918" s="9" t="n">
        <x:f>A918*v01_SeasonSeconds/60</x:f>
        <x:v>228.75</x:v>
      </x:c>
      <x:c r="C918" s="9" t="n">
        <x:f>A918/4</x:f>
        <x:v>228.75</x:v>
      </x:c>
      <x:c r="D918" s="8" t="n">
        <x:f>IF(MOD(A918,4)=0,1,0)</x:f>
        <x:v>0</x:v>
      </x:c>
      <x:c r="E918" s="8" t="n">
        <x:f>IF(AND(F917&lt;=9,AS917&gt;=AR917),1,0)</x:f>
        <x:v>0</x:v>
      </x:c>
      <x:c r="F918" s="8" t="n">
        <x:f>MIN(10,F917+E918)</x:f>
        <x:v>4</x:v>
      </x:c>
      <x:c r="G918" s="8" t="n">
        <x:f>MIN(F918,9)+1</x:f>
        <x:v>5</x:v>
      </x:c>
      <x:c r="H918" s="8" t="n">
        <x:f>IF(F918&lt;=9,1,0)</x:f>
        <x:v>1</x:v>
      </x:c>
      <x:c r="I918" s="9" t="n">
        <x:f>MIN(10,F917+IF(AR917&gt;0,MIN(1,AS917/AR917),1))</x:f>
        <x:v>4.16029933114425</x:v>
      </x:c>
      <x:c r="J918" s="32" t="n">
        <x:f>INDEX(v01_FoodCap,G918)*Arch_FoodCap*EXP(v01_CapsByProject*SUMPRODUCT((Cap_Point&lt;=I918)*(Cap_Kind="Food")*Cap_Ln))</x:f>
        <x:v>250</x:v>
      </x:c>
      <x:c r="K918" s="32" t="n">
        <x:f>J918*MIN(1,v01_LeanBase*EXP(v01_CapsByProject*SUMPRODUCT((Cap_Point&lt;=I918)*(Cap_Kind="Lean")*Cap_Ln)))</x:f>
        <x:v>250</x:v>
      </x:c>
      <x:c r="L918" s="10" t="n">
        <x:f>INDEX(v01_HousingCap,G918)*EXP(v01_CapsByProject*SUMPRODUCT((Cap_Point&lt;=I918)*(Cap_Kind="Housing")*Cap_Ln))</x:f>
        <x:v>400</x:v>
      </x:c>
      <x:c r="M918" s="10" t="n">
        <x:f>INDEX(v01_GroupCap,G918)*v01_CohesionFactor*EXP(v01_CapsByProject*SUMPRODUCT((Cap_Point&lt;=I918)*(Cap_Kind="Group")*Cap_Ln))</x:f>
        <x:v>10000</x:v>
      </x:c>
      <x:c r="N918" s="32" t="n">
        <x:f>MIN(J918,L918,M918)</x:f>
        <x:v>250</x:v>
      </x:c>
      <x:c r="O918" s="10" t="n">
        <x:f>AE917*N918</x:f>
        <x:v>3000</x:v>
      </x:c>
      <x:c r="P918" s="9" t="n">
        <x:f>MIN(1,(AB917/(AE917*IF(v01_GroupInCrowding=1,N918,MIN(J918,L918))))^v01_CrowdingExp)</x:f>
        <x:v>0.016859698626921778</x:v>
      </x:c>
      <x:c r="Q918" s="9" t="n">
        <x:f>IF(D918=1,INDEX(v01_WinterMult,G918),1)</x:f>
        <x:v>1</x:v>
      </x:c>
      <x:c r="R918" s="9" t="n">
        <x:f>H918*Z917*v01_WomenShare*v01_BaseFertility*INDEX(v01_FertMult,G918)*Arch_Fertility*(1-P918)</x:f>
        <x:v>22.40340707503751</x:v>
      </x:c>
      <x:c r="S918" s="9" t="n">
        <x:f>H918*Y917*INDEX(v01_MortChild,G918)/4*Q918</x:f>
        <x:v>4.660723873662736</x:v>
      </x:c>
      <x:c r="T918" s="9" t="n">
        <x:f>H918*Z917*INDEX(v01_MortAdult,G918)*Arch_AdultMort/4*Q918</x:f>
        <x:v>1.5824721617208226</x:v>
      </x:c>
      <x:c r="U918" s="9" t="n">
        <x:f>H918*AA917*INDEX(v01_MortElder,G918)/4*Q918</x:f>
        <x:v>3.3049188645877905</x:v>
      </x:c>
      <x:c r="V918" s="9" t="n">
        <x:f>H918*MAX(0,AB917-O918)*v01_OvercapLoss</x:f>
        <x:v>0</x:v>
      </x:c>
      <x:c r="W918" s="9" t="n">
        <x:f>H918*Y917/(v01_ChildYears*4)</x:f>
        <x:v>11.889601718527388</x:v>
      </x:c>
      <x:c r="X918" s="9" t="n">
        <x:f>H918*Z917/(v01_AdultYears*4)</x:f>
        <x:v>5.104748908776847</x:v>
      </x:c>
      <x:c r="Y918" s="32" t="n">
        <x:f>Y917+R918-S918-W918-Y917*V918/AB917</x:f>
        <x:v>671.6707777203811</x:v>
      </x:c>
      <x:c r="Z918" s="32" t="n">
        <x:f>Z917+W918-X918-T918-Z917*V918/AB917</x:f>
        <x:v>638.1912453363587</x:v>
      </x:c>
      <x:c r="AA918" s="32" t="n">
        <x:f>AA917+X918-U918-AA917*V918/AB917</x:f>
        <x:v>222.12775435004178</x:v>
      </x:c>
      <x:c r="AB918" s="10" t="n">
        <x:f>Y918+Z918+AA918</x:f>
        <x:v>1531.9897774067817</x:v>
      </x:c>
      <x:c r="AC918" s="8" t="n">
        <x:f>IF(AND(v01_WinterTrigger=1,D918=1,AB917/AE917&gt;=K918),1,0)</x:f>
        <x:v>0</x:v>
      </x:c>
      <x:c r="AD918" s="8" t="n">
        <x:f>H918*IF(AND(OR(AB917/AE917&gt;=v01_FissionTrigger*N918,AC918=1),AB917/AE917*v01_DaughterShare&gt;=v01_MinDaughter),MAX(1,ROUND(AE917*v01_FissionRate,0)),0)</x:f>
        <x:v>0</x:v>
      </x:c>
      <x:c r="AE918" s="8" t="n">
        <x:f>IF(H918=1,MAX(1,MIN(INDEX(v01_Smax,G918),AE917+AD918)),AE917)</x:f>
        <x:v>12</x:v>
      </x:c>
      <x:c r="AF918" s="8" t="n">
        <x:f>MAX(0,AE918-AE917)</x:f>
        <x:v>0</x:v>
      </x:c>
      <x:c r="AG918" s="9" t="str">
        <x:f>IF(AF918&gt;0,B918,"")</x:f>
      </x:c>
      <x:c r="AH918" s="9" t="n">
        <x:f>IF(F918&gt;=1,1,(1+v01_LowTiesShare*(AE918-1))/AE918)</x:f>
        <x:v>1</x:v>
      </x:c>
      <x:c r="AI918" s="32" t="n">
        <x:f>(Z918+v01_ElderCommons*INDEX(LM_Elder,G918)*AA918)*AH918</x:f>
        <x:v>1304.574508386484</x:v>
      </x:c>
      <x:c r="AJ918" s="32" t="n">
        <x:f>H918*v01_CommonsCoef*AI918^v01_CommonsExp*INDEX(LM_Commons,G918)</x:f>
        <x:v>322.57897687245975</x:v>
      </x:c>
      <x:c r="AK918" s="32" t="n">
        <x:f>H918*v01_RoleScale*Arch_Roles*(AE918*(INDEX(v01_ElderRolePerSett,G918)*v01_OutElder*INDEX(LM_Elder,G918)+INDEX(v01_ShamanPerSett,G918)*v01_OutShaman)+Z918*(INDEX(v01_PriestShare,G918)*v01_OutPriest+INDEX(v01_ScribeShare,G918)*v01_OutScribe*INDEX(LM_Scribe,G918)+INDEX(v01_ScholarShare,G918)*v01_OutScholar*INDEX(LM_Scholar,G918)+INDEX(v01_ResearcherShare,G918)*v01_OutResearcher*INDEX(LM_Researcher,G918)))</x:f>
        <x:v>54.03330498363854</x:v>
      </x:c>
      <x:c r="AL918" s="32" t="n">
        <x:f>H918*v01_RoleScale*Arch_Roles*AE918*INDEX(v01_MonasteryPerSett,G918)*v01_OutMonastery*INDEX(LM_Monastery,G918)</x:f>
        <x:v>0</x:v>
      </x:c>
      <x:c r="AM918" s="32" t="n">
        <x:f>(AJ918+AK918+AL918)/4*INDEX(LM_All,G918)*INDEX(v01_Boon,G918)*Arch_Insight</x:f>
        <x:v>113.27606901742442</x:v>
      </x:c>
      <x:c r="AN918" s="32" t="n">
        <x:f>H918*(v01_KHPerAdult*Z918+v01_KHOfCommons*AJ918/4*INDEX(LM_All,G918))*v01_KHUsable*Arch_KH</x:f>
        <x:v>22.336693586772558</x:v>
      </x:c>
      <x:c r="AO918" s="32" t="n">
        <x:f>MIN(AP917+AN918,AM918*v01_KHMaxRatio)</x:f>
        <x:v>22.336693586772558</x:v>
      </x:c>
      <x:c r="AP918" s="32" t="n">
        <x:f>AP917+AN918-AO918</x:f>
        <x:v>0</x:v>
      </x:c>
      <x:c r="AQ918" s="32" t="n">
        <x:f>AM918+AO918</x:f>
        <x:v>135.61276260419697</x:v>
      </x:c>
      <x:c r="AR918" s="10" t="n">
        <x:f>IF(H918=1,INDEX(v01_Req,G918),0)</x:f>
        <x:v>24714.473079999996</x:v>
      </x:c>
      <x:c r="AS918" s="32" t="n">
        <x:f>IF(H918=1,IF(E918=1,AS917-AR917,AS917)+AQ918,0)</x:f>
        <x:v>4097.326266910769</x:v>
      </x:c>
      <x:c r="AT918" s="11" t="n">
        <x:f>IF(AR918&gt;0,MIN(1,AS918/AR918),1)</x:f>
        <x:v>0.16578651115270995</x:v>
      </x:c>
      <x:c r="AU918" s="10" t="n">
        <x:f>AB918/INDEX(v01_RepScale,G918)</x:f>
        <x:v>153.19897774067817</x:v>
      </x:c>
      <x:c r="AV918" s="32" t="n">
        <x:f>AM918*60/v01_SeasonSeconds</x:f>
        <x:v>453.1042760696977</x:v>
      </x:c>
    </x:row>
    <x:row r="919">
      <x:c r="A919" s="8" t="n">
        <x:f>A918+1</x:f>
        <x:v>916</x:v>
      </x:c>
      <x:c r="B919" s="9" t="n">
        <x:f>A919*v01_SeasonSeconds/60</x:f>
        <x:v>229</x:v>
      </x:c>
      <x:c r="C919" s="9" t="n">
        <x:f>A919/4</x:f>
        <x:v>229</x:v>
      </x:c>
      <x:c r="D919" s="8" t="n">
        <x:f>IF(MOD(A919,4)=0,1,0)</x:f>
        <x:v>1</x:v>
      </x:c>
      <x:c r="E919" s="8" t="n">
        <x:f>IF(AND(F918&lt;=9,AS918&gt;=AR918),1,0)</x:f>
        <x:v>0</x:v>
      </x:c>
      <x:c r="F919" s="8" t="n">
        <x:f>MIN(10,F918+E919)</x:f>
        <x:v>4</x:v>
      </x:c>
      <x:c r="G919" s="8" t="n">
        <x:f>MIN(F919,9)+1</x:f>
        <x:v>5</x:v>
      </x:c>
      <x:c r="H919" s="8" t="n">
        <x:f>IF(F919&lt;=9,1,0)</x:f>
        <x:v>1</x:v>
      </x:c>
      <x:c r="I919" s="9" t="n">
        <x:f>MIN(10,F918+IF(AR918&gt;0,MIN(1,AS918/AR918),1))</x:f>
        <x:v>4.16578651115271</x:v>
      </x:c>
      <x:c r="J919" s="32" t="n">
        <x:f>INDEX(v01_FoodCap,G919)*Arch_FoodCap*EXP(v01_CapsByProject*SUMPRODUCT((Cap_Point&lt;=I919)*(Cap_Kind="Food")*Cap_Ln))</x:f>
        <x:v>250</x:v>
      </x:c>
      <x:c r="K919" s="32" t="n">
        <x:f>J919*MIN(1,v01_LeanBase*EXP(v01_CapsByProject*SUMPRODUCT((Cap_Point&lt;=I919)*(Cap_Kind="Lean")*Cap_Ln)))</x:f>
        <x:v>250</x:v>
      </x:c>
      <x:c r="L919" s="10" t="n">
        <x:f>INDEX(v01_HousingCap,G919)*EXP(v01_CapsByProject*SUMPRODUCT((Cap_Point&lt;=I919)*(Cap_Kind="Housing")*Cap_Ln))</x:f>
        <x:v>400</x:v>
      </x:c>
      <x:c r="M919" s="10" t="n">
        <x:f>INDEX(v01_GroupCap,G919)*v01_CohesionFactor*EXP(v01_CapsByProject*SUMPRODUCT((Cap_Point&lt;=I919)*(Cap_Kind="Group")*Cap_Ln))</x:f>
        <x:v>10000</x:v>
      </x:c>
      <x:c r="N919" s="32" t="n">
        <x:f>MIN(J919,L919,M919)</x:f>
        <x:v>250</x:v>
      </x:c>
      <x:c r="O919" s="10" t="n">
        <x:f>AE918*N919</x:f>
        <x:v>3000</x:v>
      </x:c>
      <x:c r="P919" s="9" t="n">
        <x:f>MIN(1,(AB918/(AE918*IF(v01_GroupInCrowding=1,N919,MIN(J919,L919))))^v01_CrowdingExp)</x:f>
        <x:v>0.017734039680341433</x:v>
      </x:c>
      <x:c r="Q919" s="9" t="n">
        <x:f>IF(D919=1,INDEX(v01_WinterMult,G919),1)</x:f>
        <x:v>1</x:v>
      </x:c>
      <x:c r="R919" s="9" t="n">
        <x:f>H919*Z918*v01_WomenShare*v01_BaseFertility*INDEX(v01_FertMult,G919)*Arch_Fertility*(1-P919)</x:f>
        <x:v>22.567447312845022</x:v>
      </x:c>
      <x:c r="S919" s="9" t="n">
        <x:f>H919*Y918*INDEX(v01_MortChild,G919)/4*Q919</x:f>
        <x:v>4.701695444042668</x:v>
      </x:c>
      <x:c r="T919" s="9" t="n">
        <x:f>H919*Z918*INDEX(v01_MortAdult,G919)*Arch_AdultMort/4*Q919</x:f>
        <x:v>1.5954781133408968</x:v>
      </x:c>
      <x:c r="U919" s="9" t="n">
        <x:f>H919*AA918*INDEX(v01_MortElder,G919)/4*Q919</x:f>
        <x:v>3.3319163152506266</x:v>
      </x:c>
      <x:c r="V919" s="9" t="n">
        <x:f>H919*MAX(0,AB918-O919)*v01_OvercapLoss</x:f>
        <x:v>0</x:v>
      </x:c>
      <x:c r="W919" s="9" t="n">
        <x:f>H919*Y918/(v01_ChildYears*4)</x:f>
        <x:v>11.994121030721091</x:v>
      </x:c>
      <x:c r="X919" s="9" t="n">
        <x:f>H919*Z918/(v01_AdultYears*4)</x:f>
        <x:v>5.146703591422248</x:v>
      </x:c>
      <x:c r="Y919" s="32" t="n">
        <x:f>Y918+R919-S919-W919-Y918*V919/AB918</x:f>
        <x:v>677.5424085584624</x:v>
      </x:c>
      <x:c r="Z919" s="32" t="n">
        <x:f>Z918+W919-X919-T919-Z918*V919/AB918</x:f>
        <x:v>643.4431846623168</x:v>
      </x:c>
      <x:c r="AA919" s="32" t="n">
        <x:f>AA918+X919-U919-AA918*V919/AB918</x:f>
        <x:v>223.9425416262134</x:v>
      </x:c>
      <x:c r="AB919" s="10" t="n">
        <x:f>Y919+Z919+AA919</x:f>
        <x:v>1544.9281348469926</x:v>
      </x:c>
      <x:c r="AC919" s="8" t="n">
        <x:f>IF(AND(v01_WinterTrigger=1,D919=1,AB918/AE918&gt;=K919),1,0)</x:f>
        <x:v>0</x:v>
      </x:c>
      <x:c r="AD919" s="8" t="n">
        <x:f>H919*IF(AND(OR(AB918/AE918&gt;=v01_FissionTrigger*N919,AC919=1),AB918/AE918*v01_DaughterShare&gt;=v01_MinDaughter),MAX(1,ROUND(AE918*v01_FissionRate,0)),0)</x:f>
        <x:v>0</x:v>
      </x:c>
      <x:c r="AE919" s="8" t="n">
        <x:f>IF(H919=1,MAX(1,MIN(INDEX(v01_Smax,G919),AE918+AD919)),AE918)</x:f>
        <x:v>12</x:v>
      </x:c>
      <x:c r="AF919" s="8" t="n">
        <x:f>MAX(0,AE919-AE918)</x:f>
        <x:v>0</x:v>
      </x:c>
      <x:c r="AG919" s="9" t="str">
        <x:f>IF(AF919&gt;0,B919,"")</x:f>
      </x:c>
      <x:c r="AH919" s="9" t="n">
        <x:f>IF(F919&gt;=1,1,(1+v01_LowTiesShare*(AE919-1))/AE919)</x:f>
        <x:v>1</x:v>
      </x:c>
      <x:c r="AI919" s="32" t="n">
        <x:f>(Z919+v01_ElderCommons*INDEX(LM_Elder,G919)*AA919)*AH919</x:f>
        <x:v>1315.270809540957</x:v>
      </x:c>
      <x:c r="AJ919" s="32" t="n">
        <x:f>H919*v01_CommonsCoef*AI919^v01_CommonsExp*INDEX(LM_Commons,G919)</x:f>
        <x:v>324.82571995333996</x:v>
      </x:c>
      <x:c r="AK919" s="32" t="n">
        <x:f>H919*v01_RoleScale*Arch_Roles*(AE919*(INDEX(v01_ElderRolePerSett,G919)*v01_OutElder*INDEX(LM_Elder,G919)+INDEX(v01_ShamanPerSett,G919)*v01_OutShaman)+Z919*(INDEX(v01_PriestShare,G919)*v01_OutPriest+INDEX(v01_ScribeShare,G919)*v01_OutScribe*INDEX(LM_Scribe,G919)+INDEX(v01_ScholarShare,G919)*v01_OutScholar*INDEX(LM_Scholar,G919)+INDEX(v01_ResearcherShare,G919)*v01_OutResearcher*INDEX(LM_Researcher,G919)))</x:f>
        <x:v>54.18170849796542</x:v>
      </x:c>
      <x:c r="AL919" s="32" t="n">
        <x:f>H919*v01_RoleScale*Arch_Roles*AE919*INDEX(v01_MonasteryPerSett,G919)*v01_OutMonastery*INDEX(LM_Monastery,G919)</x:f>
        <x:v>0</x:v>
      </x:c>
      <x:c r="AM919" s="32" t="n">
        <x:f>(AJ919+AK919+AL919)/4*INDEX(LM_All,G919)*INDEX(v01_Boon,G919)*Arch_Insight</x:f>
        <x:v>113.99647247768438</x:v>
      </x:c>
      <x:c r="AN919" s="32" t="n">
        <x:f>H919*(v01_KHPerAdult*Z919+v01_KHOfCommons*AJ919/4*INDEX(LM_All,G919))*v01_KHUsable*Arch_KH</x:f>
        <x:v>22.520511463181087</x:v>
      </x:c>
      <x:c r="AO919" s="32" t="n">
        <x:f>MIN(AP918+AN919,AM919*v01_KHMaxRatio)</x:f>
        <x:v>22.520511463181087</x:v>
      </x:c>
      <x:c r="AP919" s="32" t="n">
        <x:f>AP918+AN919-AO919</x:f>
        <x:v>0</x:v>
      </x:c>
      <x:c r="AQ919" s="32" t="n">
        <x:f>AM919+AO919</x:f>
        <x:v>136.51698394086546</x:v>
      </x:c>
      <x:c r="AR919" s="10" t="n">
        <x:f>IF(H919=1,INDEX(v01_Req,G919),0)</x:f>
        <x:v>24714.473079999996</x:v>
      </x:c>
      <x:c r="AS919" s="32" t="n">
        <x:f>IF(H919=1,IF(E919=1,AS918-AR918,AS918)+AQ919,0)</x:f>
        <x:v>4233.843250851634</x:v>
      </x:c>
      <x:c r="AT919" s="11" t="n">
        <x:f>IF(AR919&gt;0,MIN(1,AS919/AR919),1)</x:f>
        <x:v>0.1713102778742971</x:v>
      </x:c>
      <x:c r="AU919" s="10" t="n">
        <x:f>AB919/INDEX(v01_RepScale,G919)</x:f>
        <x:v>154.49281348469927</x:v>
      </x:c>
      <x:c r="AV919" s="32" t="n">
        <x:f>AM919*60/v01_SeasonSeconds</x:f>
        <x:v>455.9858899107375</x:v>
      </x:c>
    </x:row>
    <x:row r="920">
      <x:c r="A920" s="8" t="n">
        <x:f>A919+1</x:f>
        <x:v>917</x:v>
      </x:c>
      <x:c r="B920" s="9" t="n">
        <x:f>A920*v01_SeasonSeconds/60</x:f>
        <x:v>229.25</x:v>
      </x:c>
      <x:c r="C920" s="9" t="n">
        <x:f>A920/4</x:f>
        <x:v>229.25</x:v>
      </x:c>
      <x:c r="D920" s="8" t="n">
        <x:f>IF(MOD(A920,4)=0,1,0)</x:f>
        <x:v>0</x:v>
      </x:c>
      <x:c r="E920" s="8" t="n">
        <x:f>IF(AND(F919&lt;=9,AS919&gt;=AR919),1,0)</x:f>
        <x:v>0</x:v>
      </x:c>
      <x:c r="F920" s="8" t="n">
        <x:f>MIN(10,F919+E920)</x:f>
        <x:v>4</x:v>
      </x:c>
      <x:c r="G920" s="8" t="n">
        <x:f>MIN(F920,9)+1</x:f>
        <x:v>5</x:v>
      </x:c>
      <x:c r="H920" s="8" t="n">
        <x:f>IF(F920&lt;=9,1,0)</x:f>
        <x:v>1</x:v>
      </x:c>
      <x:c r="I920" s="9" t="n">
        <x:f>MIN(10,F919+IF(AR919&gt;0,MIN(1,AS919/AR919),1))</x:f>
        <x:v>4.171310277874297</x:v>
      </x:c>
      <x:c r="J920" s="32" t="n">
        <x:f>INDEX(v01_FoodCap,G920)*Arch_FoodCap*EXP(v01_CapsByProject*SUMPRODUCT((Cap_Point&lt;=I920)*(Cap_Kind="Food")*Cap_Ln))</x:f>
        <x:v>250</x:v>
      </x:c>
      <x:c r="K920" s="32" t="n">
        <x:f>J920*MIN(1,v01_LeanBase*EXP(v01_CapsByProject*SUMPRODUCT((Cap_Point&lt;=I920)*(Cap_Kind="Lean")*Cap_Ln)))</x:f>
        <x:v>250</x:v>
      </x:c>
      <x:c r="L920" s="10" t="n">
        <x:f>INDEX(v01_HousingCap,G920)*EXP(v01_CapsByProject*SUMPRODUCT((Cap_Point&lt;=I920)*(Cap_Kind="Housing")*Cap_Ln))</x:f>
        <x:v>400</x:v>
      </x:c>
      <x:c r="M920" s="10" t="n">
        <x:f>INDEX(v01_GroupCap,G920)*v01_CohesionFactor*EXP(v01_CapsByProject*SUMPRODUCT((Cap_Point&lt;=I920)*(Cap_Kind="Group")*Cap_Ln))</x:f>
        <x:v>10000</x:v>
      </x:c>
      <x:c r="N920" s="32" t="n">
        <x:f>MIN(J920,L920,M920)</x:f>
        <x:v>250</x:v>
      </x:c>
      <x:c r="O920" s="10" t="n">
        <x:f>AE919*N920</x:f>
        <x:v>3000</x:v>
      </x:c>
      <x:c r="P920" s="9" t="n">
        <x:f>MIN(1,(AB919/(AE919*IF(v01_GroupInCrowding=1,N920,MIN(J920,L920))))^v01_CrowdingExp)</x:f>
        <x:v>0.018651860775682944</x:v>
      </x:c>
      <x:c r="Q920" s="9" t="n">
        <x:f>IF(D920=1,INDEX(v01_WinterMult,G920),1)</x:f>
        <x:v>1</x:v>
      </x:c>
      <x:c r="R920" s="9" t="n">
        <x:f>H920*Z919*v01_WomenShare*v01_BaseFertility*INDEX(v01_FertMult,G920)*Arch_Fertility*(1-P920)</x:f>
        <x:v>22.731903790737594</x:v>
      </x:c>
      <x:c r="S920" s="9" t="n">
        <x:f>H920*Y919*INDEX(v01_MortChild,G920)/4*Q920</x:f>
        <x:v>4.7427968599092365</x:v>
      </x:c>
      <x:c r="T920" s="9" t="n">
        <x:f>H920*Z919*INDEX(v01_MortAdult,G920)*Arch_AdultMort/4*Q920</x:f>
        <x:v>1.608607961655792</x:v>
      </x:c>
      <x:c r="U920" s="9" t="n">
        <x:f>H920*AA919*INDEX(v01_MortElder,G920)/4*Q920</x:f>
        <x:v>3.359138124393201</x:v>
      </x:c>
      <x:c r="V920" s="9" t="n">
        <x:f>H920*MAX(0,AB919-O920)*v01_OvercapLoss</x:f>
        <x:v>0</x:v>
      </x:c>
      <x:c r="W920" s="9" t="n">
        <x:f>H920*Y919/(v01_ChildYears*4)</x:f>
        <x:v>12.098971581401115</x:v>
      </x:c>
      <x:c r="X920" s="9" t="n">
        <x:f>H920*Z919/(v01_AdultYears*4)</x:f>
        <x:v>5.189057940825135</x:v>
      </x:c>
      <x:c r="Y920" s="32" t="n">
        <x:f>Y919+R920-S920-W920-Y919*V920/AB919</x:f>
        <x:v>683.4325439078897</x:v>
      </x:c>
      <x:c r="Z920" s="32" t="n">
        <x:f>Z919+W920-X920-T920-Z919*V920/AB919</x:f>
        <x:v>648.7444903412369</x:v>
      </x:c>
      <x:c r="AA920" s="32" t="n">
        <x:f>AA919+X920-U920-AA919*V920/AB919</x:f>
        <x:v>225.77246144264532</x:v>
      </x:c>
      <x:c r="AB920" s="10" t="n">
        <x:f>Y920+Z920+AA920</x:f>
        <x:v>1557.949495691772</x:v>
      </x:c>
      <x:c r="AC920" s="8" t="n">
        <x:f>IF(AND(v01_WinterTrigger=1,D920=1,AB919/AE919&gt;=K920),1,0)</x:f>
        <x:v>0</x:v>
      </x:c>
      <x:c r="AD920" s="8" t="n">
        <x:f>H920*IF(AND(OR(AB919/AE919&gt;=v01_FissionTrigger*N920,AC920=1),AB919/AE919*v01_DaughterShare&gt;=v01_MinDaughter),MAX(1,ROUND(AE919*v01_FissionRate,0)),0)</x:f>
        <x:v>0</x:v>
      </x:c>
      <x:c r="AE920" s="8" t="n">
        <x:f>IF(H920=1,MAX(1,MIN(INDEX(v01_Smax,G920),AE919+AD920)),AE919)</x:f>
        <x:v>12</x:v>
      </x:c>
      <x:c r="AF920" s="8" t="n">
        <x:f>MAX(0,AE920-AE919)</x:f>
        <x:v>0</x:v>
      </x:c>
      <x:c r="AG920" s="9" t="str">
        <x:f>IF(AF920&gt;0,B920,"")</x:f>
      </x:c>
      <x:c r="AH920" s="9" t="n">
        <x:f>IF(F920&gt;=1,1,(1+v01_LowTiesShare*(AE920-1))/AE920)</x:f>
        <x:v>1</x:v>
      </x:c>
      <x:c r="AI920" s="32" t="n">
        <x:f>(Z920+v01_ElderCommons*INDEX(LM_Elder,G920)*AA920)*AH920</x:f>
        <x:v>1326.061874669173</x:v>
      </x:c>
      <x:c r="AJ920" s="32" t="n">
        <x:f>H920*v01_CommonsCoef*AI920^v01_CommonsExp*INDEX(LM_Commons,G920)</x:f>
        <x:v>327.08959257115</x:v>
      </x:c>
      <x:c r="AK920" s="32" t="n">
        <x:f>H920*v01_RoleScale*Arch_Roles*(AE920*(INDEX(v01_ElderRolePerSett,G920)*v01_OutElder*INDEX(LM_Elder,G920)+INDEX(v01_ShamanPerSett,G920)*v01_OutShaman)+Z920*(INDEX(v01_PriestShare,G920)*v01_OutPriest+INDEX(v01_ScribeShare,G920)*v01_OutScribe*INDEX(LM_Scribe,G920)+INDEX(v01_ScholarShare,G920)*v01_OutScholar*INDEX(LM_Scholar,G920)+INDEX(v01_ResearcherShare,G920)*v01_OutResearcher*INDEX(LM_Researcher,G920)))</x:f>
        <x:v>54.331506952297204</x:v>
      </x:c>
      <x:c r="AL920" s="32" t="n">
        <x:f>H920*v01_RoleScale*Arch_Roles*AE920*INDEX(v01_MonasteryPerSett,G920)*v01_OutMonastery*INDEX(LM_Monastery,G920)</x:f>
        <x:v>0</x:v>
      </x:c>
      <x:c r="AM920" s="32" t="n">
        <x:f>(AJ920+AK920+AL920)/4*INDEX(LM_All,G920)*INDEX(v01_Boon,G920)*Arch_Insight</x:f>
        <x:v>114.72244766257695</x:v>
      </x:c>
      <x:c r="AN920" s="32" t="n">
        <x:f>H920*(v01_KHPerAdult*Z920+v01_KHOfCommons*AJ920/4*INDEX(LM_All,G920))*v01_KHUsable*Arch_KH</x:f>
        <x:v>22.70605716194329</x:v>
      </x:c>
      <x:c r="AO920" s="32" t="n">
        <x:f>MIN(AP919+AN920,AM920*v01_KHMaxRatio)</x:f>
        <x:v>22.70605716194329</x:v>
      </x:c>
      <x:c r="AP920" s="32" t="n">
        <x:f>AP919+AN920-AO920</x:f>
        <x:v>0</x:v>
      </x:c>
      <x:c r="AQ920" s="32" t="n">
        <x:f>AM920+AO920</x:f>
        <x:v>137.42850482452025</x:v>
      </x:c>
      <x:c r="AR920" s="10" t="n">
        <x:f>IF(H920=1,INDEX(v01_Req,G920),0)</x:f>
        <x:v>24714.473079999996</x:v>
      </x:c>
      <x:c r="AS920" s="32" t="n">
        <x:f>IF(H920=1,IF(E920=1,AS919-AR919,AS919)+AQ920,0)</x:f>
        <x:v>4371.2717556761545</x:v>
      </x:c>
      <x:c r="AT920" s="11" t="n">
        <x:f>IF(AR920&gt;0,MIN(1,AS920/AR920),1)</x:f>
        <x:v>0.1768709266641648</x:v>
      </x:c>
      <x:c r="AU920" s="10" t="n">
        <x:f>AB920/INDEX(v01_RepScale,G920)</x:f>
        <x:v>155.7949495691772</x:v>
      </x:c>
      <x:c r="AV920" s="32" t="n">
        <x:f>AM920*60/v01_SeasonSeconds</x:f>
        <x:v>458.8897906503078</x:v>
      </x:c>
    </x:row>
    <x:row r="921">
      <x:c r="A921" s="8" t="n">
        <x:f>A920+1</x:f>
        <x:v>918</x:v>
      </x:c>
      <x:c r="B921" s="9" t="n">
        <x:f>A921*v01_SeasonSeconds/60</x:f>
        <x:v>229.5</x:v>
      </x:c>
      <x:c r="C921" s="9" t="n">
        <x:f>A921/4</x:f>
        <x:v>229.5</x:v>
      </x:c>
      <x:c r="D921" s="8" t="n">
        <x:f>IF(MOD(A921,4)=0,1,0)</x:f>
        <x:v>0</x:v>
      </x:c>
      <x:c r="E921" s="8" t="n">
        <x:f>IF(AND(F920&lt;=9,AS920&gt;=AR920),1,0)</x:f>
        <x:v>0</x:v>
      </x:c>
      <x:c r="F921" s="8" t="n">
        <x:f>MIN(10,F920+E921)</x:f>
        <x:v>4</x:v>
      </x:c>
      <x:c r="G921" s="8" t="n">
        <x:f>MIN(F921,9)+1</x:f>
        <x:v>5</x:v>
      </x:c>
      <x:c r="H921" s="8" t="n">
        <x:f>IF(F921&lt;=9,1,0)</x:f>
        <x:v>1</x:v>
      </x:c>
      <x:c r="I921" s="9" t="n">
        <x:f>MIN(10,F920+IF(AR920&gt;0,MIN(1,AS920/AR920),1))</x:f>
        <x:v>4.176870926664165</x:v>
      </x:c>
      <x:c r="J921" s="32" t="n">
        <x:f>INDEX(v01_FoodCap,G921)*Arch_FoodCap*EXP(v01_CapsByProject*SUMPRODUCT((Cap_Point&lt;=I921)*(Cap_Kind="Food")*Cap_Ln))</x:f>
        <x:v>250</x:v>
      </x:c>
      <x:c r="K921" s="32" t="n">
        <x:f>J921*MIN(1,v01_LeanBase*EXP(v01_CapsByProject*SUMPRODUCT((Cap_Point&lt;=I921)*(Cap_Kind="Lean")*Cap_Ln)))</x:f>
        <x:v>250</x:v>
      </x:c>
      <x:c r="L921" s="10" t="n">
        <x:f>INDEX(v01_HousingCap,G921)*EXP(v01_CapsByProject*SUMPRODUCT((Cap_Point&lt;=I921)*(Cap_Kind="Housing")*Cap_Ln))</x:f>
        <x:v>400</x:v>
      </x:c>
      <x:c r="M921" s="10" t="n">
        <x:f>INDEX(v01_GroupCap,G921)*v01_CohesionFactor*EXP(v01_CapsByProject*SUMPRODUCT((Cap_Point&lt;=I921)*(Cap_Kind="Group")*Cap_Ln))</x:f>
        <x:v>10000</x:v>
      </x:c>
      <x:c r="N921" s="32" t="n">
        <x:f>MIN(J921,L921,M921)</x:f>
        <x:v>250</x:v>
      </x:c>
      <x:c r="O921" s="10" t="n">
        <x:f>AE920*N921</x:f>
        <x:v>3000</x:v>
      </x:c>
      <x:c r="P921" s="9" t="n">
        <x:f>MIN(1,(AB920/(AE920*IF(v01_GroupInCrowding=1,N921,MIN(J921,L921))))^v01_CrowdingExp)</x:f>
        <x:v>0.019615199135565406</x:v>
      </x:c>
      <x:c r="Q921" s="9" t="n">
        <x:f>IF(D921=1,INDEX(v01_WinterMult,G921),1)</x:f>
        <x:v>1</x:v>
      </x:c>
      <x:c r="R921" s="9" t="n">
        <x:f>H921*Z920*v01_WomenShare*v01_BaseFertility*INDEX(v01_FertMult,G921)*Arch_Fertility*(1-P921)</x:f>
        <x:v>22.896692567103333</x:v>
      </x:c>
      <x:c r="S921" s="9" t="n">
        <x:f>H921*Y920*INDEX(v01_MortChild,G921)/4*Q921</x:f>
        <x:v>4.784027807355228</x:v>
      </x:c>
      <x:c r="T921" s="9" t="n">
        <x:f>H921*Z920*INDEX(v01_MortAdult,G921)*Arch_AdultMort/4*Q921</x:f>
        <x:v>1.6218612258530922</x:v>
      </x:c>
      <x:c r="U921" s="9" t="n">
        <x:f>H921*AA920*INDEX(v01_MortElder,G921)/4*Q921</x:f>
        <x:v>3.3865869216396796</x:v>
      </x:c>
      <x:c r="V921" s="9" t="n">
        <x:f>H921*MAX(0,AB920-O921)*v01_OvercapLoss</x:f>
        <x:v>0</x:v>
      </x:c>
      <x:c r="W921" s="9" t="n">
        <x:f>H921*Y920/(v01_ChildYears*4)</x:f>
        <x:v>12.204152569783744</x:v>
      </x:c>
      <x:c r="X921" s="9" t="n">
        <x:f>H921*Z920/(v01_AdultYears*4)</x:f>
        <x:v>5.231810405977717</x:v>
      </x:c>
      <x:c r="Y921" s="32" t="n">
        <x:f>Y920+R921-S921-W921-Y920*V921/AB920</x:f>
        <x:v>689.341056097854</x:v>
      </x:c>
      <x:c r="Z921" s="32" t="n">
        <x:f>Z920+W921-X921-T921-Z920*V921/AB920</x:f>
        <x:v>654.0949712791898</x:v>
      </x:c>
      <x:c r="AA921" s="32" t="n">
        <x:f>AA920+X921-U921-AA920*V921/AB920</x:f>
        <x:v>227.61768492698334</x:v>
      </x:c>
      <x:c r="AB921" s="10" t="n">
        <x:f>Y921+Z921+AA921</x:f>
        <x:v>1571.0537123040274</x:v>
      </x:c>
      <x:c r="AC921" s="8" t="n">
        <x:f>IF(AND(v01_WinterTrigger=1,D921=1,AB920/AE920&gt;=K921),1,0)</x:f>
        <x:v>0</x:v>
      </x:c>
      <x:c r="AD921" s="8" t="n">
        <x:f>H921*IF(AND(OR(AB920/AE920&gt;=v01_FissionTrigger*N921,AC921=1),AB920/AE920*v01_DaughterShare&gt;=v01_MinDaughter),MAX(1,ROUND(AE920*v01_FissionRate,0)),0)</x:f>
        <x:v>0</x:v>
      </x:c>
      <x:c r="AE921" s="8" t="n">
        <x:f>IF(H921=1,MAX(1,MIN(INDEX(v01_Smax,G921),AE920+AD921)),AE920)</x:f>
        <x:v>12</x:v>
      </x:c>
      <x:c r="AF921" s="8" t="n">
        <x:f>MAX(0,AE921-AE920)</x:f>
        <x:v>0</x:v>
      </x:c>
      <x:c r="AG921" s="9" t="str">
        <x:f>IF(AF921&gt;0,B921,"")</x:f>
      </x:c>
      <x:c r="AH921" s="9" t="n">
        <x:f>IF(F921&gt;=1,1,(1+v01_LowTiesShare*(AE921-1))/AE921)</x:f>
        <x:v>1</x:v>
      </x:c>
      <x:c r="AI921" s="32" t="n">
        <x:f>(Z921+v01_ElderCommons*INDEX(LM_Elder,G921)*AA921)*AH921</x:f>
        <x:v>1336.94802606014</x:v>
      </x:c>
      <x:c r="AJ921" s="32" t="n">
        <x:f>H921*v01_CommonsCoef*AI921^v01_CommonsExp*INDEX(LM_Commons,G921)</x:f>
        <x:v>329.37061518815796</x:v>
      </x:c>
      <x:c r="AK921" s="32" t="n">
        <x:f>H921*v01_RoleScale*Arch_Roles*(AE921*(INDEX(v01_ElderRolePerSett,G921)*v01_OutElder*INDEX(LM_Elder,G921)+INDEX(v01_ShamanPerSett,G921)*v01_OutShaman)+Z921*(INDEX(v01_PriestShare,G921)*v01_OutPriest+INDEX(v01_ScribeShare,G921)*v01_OutScribe*INDEX(LM_Scribe,G921)+INDEX(v01_ScholarShare,G921)*v01_OutScholar*INDEX(LM_Scholar,G921)+INDEX(v01_ResearcherShare,G921)*v01_OutResearcher*INDEX(LM_Researcher,G921)))</x:f>
        <x:v>54.4826949469122</x:v>
      </x:c>
      <x:c r="AL921" s="32" t="n">
        <x:f>H921*v01_RoleScale*Arch_Roles*AE921*INDEX(v01_MonasteryPerSett,G921)*v01_OutMonastery*INDEX(LM_Monastery,G921)</x:f>
        <x:v>0</x:v>
      </x:c>
      <x:c r="AM921" s="32" t="n">
        <x:f>(AJ921+AK921+AL921)/4*INDEX(LM_All,G921)*INDEX(v01_Boon,G921)*Arch_Insight</x:f>
        <x:v>115.45399910255996</x:v>
      </x:c>
      <x:c r="AN921" s="32" t="n">
        <x:f>H921*(v01_KHPerAdult*Z921+v01_KHOfCommons*AJ921/4*INDEX(LM_All,G921))*v01_KHUsable*Arch_KH</x:f>
        <x:v>22.89332399477164</x:v>
      </x:c>
      <x:c r="AO921" s="32" t="n">
        <x:f>MIN(AP920+AN921,AM921*v01_KHMaxRatio)</x:f>
        <x:v>22.89332399477164</x:v>
      </x:c>
      <x:c r="AP921" s="32" t="n">
        <x:f>AP920+AN921-AO921</x:f>
        <x:v>0</x:v>
      </x:c>
      <x:c r="AQ921" s="32" t="n">
        <x:f>AM921+AO921</x:f>
        <x:v>138.3473230973316</x:v>
      </x:c>
      <x:c r="AR921" s="10" t="n">
        <x:f>IF(H921=1,INDEX(v01_Req,G921),0)</x:f>
        <x:v>24714.473079999996</x:v>
      </x:c>
      <x:c r="AS921" s="32" t="n">
        <x:f>IF(H921=1,IF(E921=1,AS920-AR920,AS920)+AQ921,0)</x:f>
        <x:v>4509.619078773486</x:v>
      </x:c>
      <x:c r="AT921" s="11" t="n">
        <x:f>IF(AR921&gt;0,MIN(1,AS921/AR921),1)</x:f>
        <x:v>0.18246875279015604</x:v>
      </x:c>
      <x:c r="AU921" s="10" t="n">
        <x:f>AB921/INDEX(v01_RepScale,G921)</x:f>
        <x:v>157.10537123040274</x:v>
      </x:c>
      <x:c r="AV921" s="32" t="n">
        <x:f>AM921*60/v01_SeasonSeconds</x:f>
        <x:v>461.81599641023985</x:v>
      </x:c>
    </x:row>
    <x:row r="922">
      <x:c r="A922" s="8" t="n">
        <x:f>A921+1</x:f>
        <x:v>919</x:v>
      </x:c>
      <x:c r="B922" s="9" t="n">
        <x:f>A922*v01_SeasonSeconds/60</x:f>
        <x:v>229.75</x:v>
      </x:c>
      <x:c r="C922" s="9" t="n">
        <x:f>A922/4</x:f>
        <x:v>229.75</x:v>
      </x:c>
      <x:c r="D922" s="8" t="n">
        <x:f>IF(MOD(A922,4)=0,1,0)</x:f>
        <x:v>0</x:v>
      </x:c>
      <x:c r="E922" s="8" t="n">
        <x:f>IF(AND(F921&lt;=9,AS921&gt;=AR921),1,0)</x:f>
        <x:v>0</x:v>
      </x:c>
      <x:c r="F922" s="8" t="n">
        <x:f>MIN(10,F921+E922)</x:f>
        <x:v>4</x:v>
      </x:c>
      <x:c r="G922" s="8" t="n">
        <x:f>MIN(F922,9)+1</x:f>
        <x:v>5</x:v>
      </x:c>
      <x:c r="H922" s="8" t="n">
        <x:f>IF(F922&lt;=9,1,0)</x:f>
        <x:v>1</x:v>
      </x:c>
      <x:c r="I922" s="9" t="n">
        <x:f>MIN(10,F921+IF(AR921&gt;0,MIN(1,AS921/AR921),1))</x:f>
        <x:v>4.182468752790156</x:v>
      </x:c>
      <x:c r="J922" s="32" t="n">
        <x:f>INDEX(v01_FoodCap,G922)*Arch_FoodCap*EXP(v01_CapsByProject*SUMPRODUCT((Cap_Point&lt;=I922)*(Cap_Kind="Food")*Cap_Ln))</x:f>
        <x:v>250</x:v>
      </x:c>
      <x:c r="K922" s="32" t="n">
        <x:f>J922*MIN(1,v01_LeanBase*EXP(v01_CapsByProject*SUMPRODUCT((Cap_Point&lt;=I922)*(Cap_Kind="Lean")*Cap_Ln)))</x:f>
        <x:v>250</x:v>
      </x:c>
      <x:c r="L922" s="10" t="n">
        <x:f>INDEX(v01_HousingCap,G922)*EXP(v01_CapsByProject*SUMPRODUCT((Cap_Point&lt;=I922)*(Cap_Kind="Housing")*Cap_Ln))</x:f>
        <x:v>400</x:v>
      </x:c>
      <x:c r="M922" s="10" t="n">
        <x:f>INDEX(v01_GroupCap,G922)*v01_CohesionFactor*EXP(v01_CapsByProject*SUMPRODUCT((Cap_Point&lt;=I922)*(Cap_Kind="Group")*Cap_Ln))</x:f>
        <x:v>10000</x:v>
      </x:c>
      <x:c r="N922" s="32" t="n">
        <x:f>MIN(J922,L922,M922)</x:f>
        <x:v>250</x:v>
      </x:c>
      <x:c r="O922" s="10" t="n">
        <x:f>AE921*N922</x:f>
        <x:v>3000</x:v>
      </x:c>
      <x:c r="P922" s="9" t="n">
        <x:f>MIN(1,(AB921/(AE921*IF(v01_GroupInCrowding=1,N922,MIN(J922,L922))))^v01_CrowdingExp)</x:f>
        <x:v>0.020626173723288187</x:v>
      </x:c>
      <x:c r="Q922" s="9" t="n">
        <x:f>IF(D922=1,INDEX(v01_WinterMult,G922),1)</x:f>
        <x:v>1</x:v>
      </x:c>
      <x:c r="R922" s="9" t="n">
        <x:f>H922*Z921*v01_WomenShare*v01_BaseFertility*INDEX(v01_FertMult,G922)*Arch_Fertility*(1-P922)</x:f>
        <x:v>23.061725811722017</x:v>
      </x:c>
      <x:c r="S922" s="9" t="n">
        <x:f>H922*Y921*INDEX(v01_MortChild,G922)/4*Q922</x:f>
        <x:v>4.825387392684978</x:v>
      </x:c>
      <x:c r="T922" s="9" t="n">
        <x:f>H922*Z921*INDEX(v01_MortAdult,G922)*Arch_AdultMort/4*Q922</x:f>
        <x:v>1.6352374281979747</x:v>
      </x:c>
      <x:c r="U922" s="9" t="n">
        <x:f>H922*AA921*INDEX(v01_MortElder,G922)/4*Q922</x:f>
        <x:v>3.41426527390475</x:v>
      </x:c>
      <x:c r="V922" s="9" t="n">
        <x:f>H922*MAX(0,AB921-O922)*v01_OvercapLoss</x:f>
        <x:v>0</x:v>
      </x:c>
      <x:c r="W922" s="9" t="n">
        <x:f>H922*Y921/(v01_ChildYears*4)</x:f>
        <x:v>12.309661716033107</x:v>
      </x:c>
      <x:c r="X922" s="9" t="n">
        <x:f>H922*Z921/(v01_AdultYears*4)</x:f>
        <x:v>5.274959445799918</x:v>
      </x:c>
      <x:c r="Y922" s="32" t="n">
        <x:f>Y921+R922-S922-W922-Y921*V922/AB921</x:f>
        <x:v>695.2677328008579</x:v>
      </x:c>
      <x:c r="Z922" s="32" t="n">
        <x:f>Z921+W922-X922-T922-Z921*V922/AB921</x:f>
        <x:v>659.494436121225</x:v>
      </x:c>
      <x:c r="AA922" s="32" t="n">
        <x:f>AA921+X922-U922-AA921*V922/AB921</x:f>
        <x:v>229.4783790988785</x:v>
      </x:c>
      <x:c r="AB922" s="10" t="n">
        <x:f>Y922+Z922+AA922</x:f>
        <x:v>1584.2405480209613</x:v>
      </x:c>
      <x:c r="AC922" s="8" t="n">
        <x:f>IF(AND(v01_WinterTrigger=1,D922=1,AB921/AE921&gt;=K922),1,0)</x:f>
        <x:v>0</x:v>
      </x:c>
      <x:c r="AD922" s="8" t="n">
        <x:f>H922*IF(AND(OR(AB921/AE921&gt;=v01_FissionTrigger*N922,AC922=1),AB921/AE921*v01_DaughterShare&gt;=v01_MinDaughter),MAX(1,ROUND(AE921*v01_FissionRate,0)),0)</x:f>
        <x:v>0</x:v>
      </x:c>
      <x:c r="AE922" s="8" t="n">
        <x:f>IF(H922=1,MAX(1,MIN(INDEX(v01_Smax,G922),AE921+AD922)),AE921)</x:f>
        <x:v>12</x:v>
      </x:c>
      <x:c r="AF922" s="8" t="n">
        <x:f>MAX(0,AE922-AE921)</x:f>
        <x:v>0</x:v>
      </x:c>
      <x:c r="AG922" s="9" t="str">
        <x:f>IF(AF922&gt;0,B922,"")</x:f>
      </x:c>
      <x:c r="AH922" s="9" t="n">
        <x:f>IF(F922&gt;=1,1,(1+v01_LowTiesShare*(AE922-1))/AE922)</x:f>
        <x:v>1</x:v>
      </x:c>
      <x:c r="AI922" s="32" t="n">
        <x:f>(Z922+v01_ElderCommons*INDEX(LM_Elder,G922)*AA922)*AH922</x:f>
        <x:v>1347.9295734178604</x:v>
      </x:c>
      <x:c r="AJ922" s="32" t="n">
        <x:f>H922*v01_CommonsCoef*AI922^v01_CommonsExp*INDEX(LM_Commons,G922)</x:f>
        <x:v>331.6688055780749</x:v>
      </x:c>
      <x:c r="AK922" s="32" t="n">
        <x:f>H922*v01_RoleScale*Arch_Roles*(AE922*(INDEX(v01_ElderRolePerSett,G922)*v01_OutElder*INDEX(LM_Elder,G922)+INDEX(v01_ShamanPerSett,G922)*v01_OutShaman)+Z922*(INDEX(v01_PriestShare,G922)*v01_OutPriest+INDEX(v01_ScribeShare,G922)*v01_OutScribe*INDEX(LM_Scribe,G922)+INDEX(v01_ScholarShare,G922)*v01_OutScholar*INDEX(LM_Scholar,G922)+INDEX(v01_ResearcherShare,G922)*v01_OutResearcher*INDEX(LM_Researcher,G922)))</x:f>
        <x:v>54.63526707471307</x:v>
      </x:c>
      <x:c r="AL922" s="32" t="n">
        <x:f>H922*v01_RoleScale*Arch_Roles*AE922*INDEX(v01_MonasteryPerSett,G922)*v01_OutMonastery*INDEX(LM_Monastery,G922)</x:f>
        <x:v>0</x:v>
      </x:c>
      <x:c r="AM922" s="32" t="n">
        <x:f>(AJ922+AK922+AL922)/4*INDEX(LM_All,G922)*INDEX(v01_Boon,G922)*Arch_Insight</x:f>
        <x:v>116.19113051721837</x:v>
      </x:c>
      <x:c r="AN922" s="32" t="n">
        <x:f>H922*(v01_KHPerAdult*Z922+v01_KHOfCommons*AJ922/4*INDEX(LM_All,G922))*v01_KHUsable*Arch_KH</x:f>
        <x:v>23.082305264242876</x:v>
      </x:c>
      <x:c r="AO922" s="32" t="n">
        <x:f>MIN(AP921+AN922,AM922*v01_KHMaxRatio)</x:f>
        <x:v>23.082305264242876</x:v>
      </x:c>
      <x:c r="AP922" s="32" t="n">
        <x:f>AP921+AN922-AO922</x:f>
        <x:v>0</x:v>
      </x:c>
      <x:c r="AQ922" s="32" t="n">
        <x:f>AM922+AO922</x:f>
        <x:v>139.27343578146125</x:v>
      </x:c>
      <x:c r="AR922" s="10" t="n">
        <x:f>IF(H922=1,INDEX(v01_Req,G922),0)</x:f>
        <x:v>24714.473079999996</x:v>
      </x:c>
      <x:c r="AS922" s="32" t="n">
        <x:f>IF(H922=1,IF(E922=1,AS921-AR921,AS921)+AQ922,0)</x:f>
        <x:v>4648.892514554947</x:v>
      </x:c>
      <x:c r="AT922" s="11" t="n">
        <x:f>IF(AR922&gt;0,MIN(1,AS922/AR922),1)</x:f>
        <x:v>0.1881040513996242</x:v>
      </x:c>
      <x:c r="AU922" s="10" t="n">
        <x:f>AB922/INDEX(v01_RepScale,G922)</x:f>
        <x:v>158.42405480209612</x:v>
      </x:c>
      <x:c r="AV922" s="32" t="n">
        <x:f>AM922*60/v01_SeasonSeconds</x:f>
        <x:v>464.7645220688735</x:v>
      </x:c>
    </x:row>
    <x:row r="923">
      <x:c r="A923" s="8" t="n">
        <x:f>A922+1</x:f>
        <x:v>920</x:v>
      </x:c>
      <x:c r="B923" s="9" t="n">
        <x:f>A923*v01_SeasonSeconds/60</x:f>
        <x:v>230</x:v>
      </x:c>
      <x:c r="C923" s="9" t="n">
        <x:f>A923/4</x:f>
        <x:v>230</x:v>
      </x:c>
      <x:c r="D923" s="8" t="n">
        <x:f>IF(MOD(A923,4)=0,1,0)</x:f>
        <x:v>1</x:v>
      </x:c>
      <x:c r="E923" s="8" t="n">
        <x:f>IF(AND(F922&lt;=9,AS922&gt;=AR922),1,0)</x:f>
        <x:v>0</x:v>
      </x:c>
      <x:c r="F923" s="8" t="n">
        <x:f>MIN(10,F922+E923)</x:f>
        <x:v>4</x:v>
      </x:c>
      <x:c r="G923" s="8" t="n">
        <x:f>MIN(F923,9)+1</x:f>
        <x:v>5</x:v>
      </x:c>
      <x:c r="H923" s="8" t="n">
        <x:f>IF(F923&lt;=9,1,0)</x:f>
        <x:v>1</x:v>
      </x:c>
      <x:c r="I923" s="9" t="n">
        <x:f>MIN(10,F922+IF(AR922&gt;0,MIN(1,AS922/AR922),1))</x:f>
        <x:v>4.188104051399624</x:v>
      </x:c>
      <x:c r="J923" s="32" t="n">
        <x:f>INDEX(v01_FoodCap,G923)*Arch_FoodCap*EXP(v01_CapsByProject*SUMPRODUCT((Cap_Point&lt;=I923)*(Cap_Kind="Food")*Cap_Ln))</x:f>
        <x:v>250</x:v>
      </x:c>
      <x:c r="K923" s="32" t="n">
        <x:f>J923*MIN(1,v01_LeanBase*EXP(v01_CapsByProject*SUMPRODUCT((Cap_Point&lt;=I923)*(Cap_Kind="Lean")*Cap_Ln)))</x:f>
        <x:v>250</x:v>
      </x:c>
      <x:c r="L923" s="10" t="n">
        <x:f>INDEX(v01_HousingCap,G923)*EXP(v01_CapsByProject*SUMPRODUCT((Cap_Point&lt;=I923)*(Cap_Kind="Housing")*Cap_Ln))</x:f>
        <x:v>400</x:v>
      </x:c>
      <x:c r="M923" s="10" t="n">
        <x:f>INDEX(v01_GroupCap,G923)*v01_CohesionFactor*EXP(v01_CapsByProject*SUMPRODUCT((Cap_Point&lt;=I923)*(Cap_Kind="Group")*Cap_Ln))</x:f>
        <x:v>10000</x:v>
      </x:c>
      <x:c r="N923" s="32" t="n">
        <x:f>MIN(J923,L923,M923)</x:f>
        <x:v>250</x:v>
      </x:c>
      <x:c r="O923" s="10" t="n">
        <x:f>AE922*N923</x:f>
        <x:v>3000</x:v>
      </x:c>
      <x:c r="P923" s="9" t="n">
        <x:f>MIN(1,(AB922/(AE922*IF(v01_GroupInCrowding=1,N923,MIN(J923,L923))))^v01_CrowdingExp)</x:f>
        <x:v>0.021686987035694834</x:v>
      </x:c>
      <x:c r="Q923" s="9" t="n">
        <x:f>IF(D923=1,INDEX(v01_WinterMult,G923),1)</x:f>
        <x:v>1</x:v>
      </x:c>
      <x:c r="R923" s="9" t="n">
        <x:f>H923*Z922*v01_WomenShare*v01_BaseFertility*INDEX(v01_FertMult,G923)*Arch_Fertility*(1-P923)</x:f>
        <x:v>23.22691159805824</x:v>
      </x:c>
      <x:c r="S923" s="9" t="n">
        <x:f>H923*Y922*INDEX(v01_MortChild,G923)/4*Q923</x:f>
        <x:v>4.866874129606005</x:v>
      </x:c>
      <x:c r="T923" s="9" t="n">
        <x:f>H923*Z922*INDEX(v01_MortAdult,G923)*Arch_AdultMort/4*Q923</x:f>
        <x:v>1.6487360903030626</x:v>
      </x:c>
      <x:c r="U923" s="9" t="n">
        <x:f>H923*AA922*INDEX(v01_MortElder,G923)/4*Q923</x:f>
        <x:v>3.442175686483177</x:v>
      </x:c>
      <x:c r="V923" s="9" t="n">
        <x:f>H923*MAX(0,AB922-O923)*v01_OvercapLoss</x:f>
        <x:v>0</x:v>
      </x:c>
      <x:c r="W923" s="9" t="n">
        <x:f>H923*Y922/(v01_ChildYears*4)</x:f>
        <x:v>12.415495228586748</x:v>
      </x:c>
      <x:c r="X923" s="9" t="n">
        <x:f>H923*Z922/(v01_AdultYears*4)</x:f>
        <x:v>5.318503517106653</x:v>
      </x:c>
      <x:c r="Y923" s="32" t="n">
        <x:f>Y922+R923-S923-W923-Y922*V923/AB922</x:f>
        <x:v>701.2122750407233</x:v>
      </x:c>
      <x:c r="Z923" s="32" t="n">
        <x:f>Z922+W923-X923-T923-Z922*V923/AB922</x:f>
        <x:v>664.9426917424021</x:v>
      </x:c>
      <x:c r="AA923" s="32" t="n">
        <x:f>AA922+X923-U923-AA922*V923/AB922</x:f>
        <x:v>231.35470692950196</x:v>
      </x:c>
      <x:c r="AB923" s="10" t="n">
        <x:f>Y923+Z923+AA923</x:f>
        <x:v>1597.5096737126273</x:v>
      </x:c>
      <x:c r="AC923" s="8" t="n">
        <x:f>IF(AND(v01_WinterTrigger=1,D923=1,AB922/AE922&gt;=K923),1,0)</x:f>
        <x:v>0</x:v>
      </x:c>
      <x:c r="AD923" s="8" t="n">
        <x:f>H923*IF(AND(OR(AB922/AE922&gt;=v01_FissionTrigger*N923,AC923=1),AB922/AE922*v01_DaughterShare&gt;=v01_MinDaughter),MAX(1,ROUND(AE922*v01_FissionRate,0)),0)</x:f>
        <x:v>0</x:v>
      </x:c>
      <x:c r="AE923" s="8" t="n">
        <x:f>IF(H923=1,MAX(1,MIN(INDEX(v01_Smax,G923),AE922+AD923)),AE922)</x:f>
        <x:v>12</x:v>
      </x:c>
      <x:c r="AF923" s="8" t="n">
        <x:f>MAX(0,AE923-AE922)</x:f>
        <x:v>0</x:v>
      </x:c>
      <x:c r="AG923" s="9" t="str">
        <x:f>IF(AF923&gt;0,B923,"")</x:f>
      </x:c>
      <x:c r="AH923" s="9" t="n">
        <x:f>IF(F923&gt;=1,1,(1+v01_LowTiesShare*(AE923-1))/AE923)</x:f>
        <x:v>1</x:v>
      </x:c>
      <x:c r="AI923" s="32" t="n">
        <x:f>(Z923+v01_ElderCommons*INDEX(LM_Elder,G923)*AA923)*AH923</x:f>
        <x:v>1359.006812530908</x:v>
      </x:c>
      <x:c r="AJ923" s="32" t="n">
        <x:f>H923*v01_CommonsCoef*AI923^v01_CommonsExp*INDEX(LM_Commons,G923)</x:f>
        <x:v>333.9841785664838</x:v>
      </x:c>
      <x:c r="AK923" s="32" t="n">
        <x:f>H923*v01_RoleScale*Arch_Roles*(AE923*(INDEX(v01_ElderRolePerSett,G923)*v01_OutElder*INDEX(LM_Elder,G923)+INDEX(v01_ShamanPerSett,G923)*v01_OutShaman)+Z923*(INDEX(v01_PriestShare,G923)*v01_OutPriest+INDEX(v01_ScribeShare,G923)*v01_OutScribe*INDEX(LM_Scribe,G923)+INDEX(v01_ScholarShare,G923)*v01_OutScholar*INDEX(LM_Scholar,G923)+INDEX(v01_ResearcherShare,G923)*v01_OutResearcher*INDEX(LM_Researcher,G923)))</x:f>
        <x:v>54.78921787858805</x:v>
      </x:c>
      <x:c r="AL923" s="32" t="n">
        <x:f>H923*v01_RoleScale*Arch_Roles*AE923*INDEX(v01_MonasteryPerSett,G923)*v01_OutMonastery*INDEX(LM_Monastery,G923)</x:f>
        <x:v>0</x:v>
      </x:c>
      <x:c r="AM923" s="32" t="n">
        <x:f>(AJ923+AK923+AL923)/4*INDEX(LM_All,G923)*INDEX(v01_Boon,G923)*Arch_Insight</x:f>
        <x:v>116.93384472436682</x:v>
      </x:c>
      <x:c r="AN923" s="32" t="n">
        <x:f>H923*(v01_KHPerAdult*Z923+v01_KHOfCommons*AJ923/4*INDEX(LM_All,G923))*v01_KHUsable*Arch_KH</x:f>
        <x:v>23.272994210984074</x:v>
      </x:c>
      <x:c r="AO923" s="32" t="n">
        <x:f>MIN(AP922+AN923,AM923*v01_KHMaxRatio)</x:f>
        <x:v>23.272994210984074</x:v>
      </x:c>
      <x:c r="AP923" s="32" t="n">
        <x:f>AP922+AN923-AO923</x:f>
        <x:v>0</x:v>
      </x:c>
      <x:c r="AQ923" s="32" t="n">
        <x:f>AM923+AO923</x:f>
        <x:v>140.2068389353509</x:v>
      </x:c>
      <x:c r="AR923" s="10" t="n">
        <x:f>IF(H923=1,INDEX(v01_Req,G923),0)</x:f>
        <x:v>24714.473079999996</x:v>
      </x:c>
      <x:c r="AS923" s="32" t="n">
        <x:f>IF(H923=1,IF(E923=1,AS922-AR922,AS922)+AQ923,0)</x:f>
        <x:v>4789.099353490298</x:v>
      </x:c>
      <x:c r="AT923" s="11" t="n">
        <x:f>IF(AR923&gt;0,MIN(1,AS923/AR923),1)</x:f>
        <x:v>0.19377711748043866</x:v>
      </x:c>
      <x:c r="AU923" s="10" t="n">
        <x:f>AB923/INDEX(v01_RepScale,G923)</x:f>
        <x:v>159.75096737126273</x:v>
      </x:c>
      <x:c r="AV923" s="32" t="n">
        <x:f>AM923*60/v01_SeasonSeconds</x:f>
        <x:v>467.7353788974673</x:v>
      </x:c>
    </x:row>
    <x:row r="924">
      <x:c r="A924" s="8" t="n">
        <x:f>A923+1</x:f>
        <x:v>921</x:v>
      </x:c>
      <x:c r="B924" s="9" t="n">
        <x:f>A924*v01_SeasonSeconds/60</x:f>
        <x:v>230.25</x:v>
      </x:c>
      <x:c r="C924" s="9" t="n">
        <x:f>A924/4</x:f>
        <x:v>230.25</x:v>
      </x:c>
      <x:c r="D924" s="8" t="n">
        <x:f>IF(MOD(A924,4)=0,1,0)</x:f>
        <x:v>0</x:v>
      </x:c>
      <x:c r="E924" s="8" t="n">
        <x:f>IF(AND(F923&lt;=9,AS923&gt;=AR923),1,0)</x:f>
        <x:v>0</x:v>
      </x:c>
      <x:c r="F924" s="8" t="n">
        <x:f>MIN(10,F923+E924)</x:f>
        <x:v>4</x:v>
      </x:c>
      <x:c r="G924" s="8" t="n">
        <x:f>MIN(F924,9)+1</x:f>
        <x:v>5</x:v>
      </x:c>
      <x:c r="H924" s="8" t="n">
        <x:f>IF(F924&lt;=9,1,0)</x:f>
        <x:v>1</x:v>
      </x:c>
      <x:c r="I924" s="9" t="n">
        <x:f>MIN(10,F923+IF(AR923&gt;0,MIN(1,AS923/AR923),1))</x:f>
        <x:v>4.193777117480439</x:v>
      </x:c>
      <x:c r="J924" s="32" t="n">
        <x:f>INDEX(v01_FoodCap,G924)*Arch_FoodCap*EXP(v01_CapsByProject*SUMPRODUCT((Cap_Point&lt;=I924)*(Cap_Kind="Food")*Cap_Ln))</x:f>
        <x:v>250</x:v>
      </x:c>
      <x:c r="K924" s="32" t="n">
        <x:f>J924*MIN(1,v01_LeanBase*EXP(v01_CapsByProject*SUMPRODUCT((Cap_Point&lt;=I924)*(Cap_Kind="Lean")*Cap_Ln)))</x:f>
        <x:v>250</x:v>
      </x:c>
      <x:c r="L924" s="10" t="n">
        <x:f>INDEX(v01_HousingCap,G924)*EXP(v01_CapsByProject*SUMPRODUCT((Cap_Point&lt;=I924)*(Cap_Kind="Housing")*Cap_Ln))</x:f>
        <x:v>400</x:v>
      </x:c>
      <x:c r="M924" s="10" t="n">
        <x:f>INDEX(v01_GroupCap,G924)*v01_CohesionFactor*EXP(v01_CapsByProject*SUMPRODUCT((Cap_Point&lt;=I924)*(Cap_Kind="Group")*Cap_Ln))</x:f>
        <x:v>10000</x:v>
      </x:c>
      <x:c r="N924" s="32" t="n">
        <x:f>MIN(J924,L924,M924)</x:f>
        <x:v>250</x:v>
      </x:c>
      <x:c r="O924" s="10" t="n">
        <x:f>AE923*N924</x:f>
        <x:v>3000</x:v>
      </x:c>
      <x:c r="P924" s="9" t="n">
        <x:f>MIN(1,(AB923/(AE923*IF(v01_GroupInCrowding=1,N924,MIN(J924,L924))))^v01_CrowdingExp)</x:f>
        <x:v>0.022799926759982214</x:v>
      </x:c>
      <x:c r="Q924" s="9" t="n">
        <x:f>IF(D924=1,INDEX(v01_WinterMult,G924),1)</x:f>
        <x:v>1</x:v>
      </x:c>
      <x:c r="R924" s="9" t="n">
        <x:f>H924*Z923*v01_WomenShare*v01_BaseFertility*INDEX(v01_FertMult,G924)*Arch_Fertility*(1-P924)</x:f>
        <x:v>23.392153694559234</x:v>
      </x:c>
      <x:c r="S924" s="9" t="n">
        <x:f>H924*Y923*INDEX(v01_MortChild,G924)/4*Q924</x:f>
        <x:v>4.9084859252850634</x:v>
      </x:c>
      <x:c r="T924" s="9" t="n">
        <x:f>H924*Z923*INDEX(v01_MortAdult,G924)*Arch_AdultMort/4*Q924</x:f>
        <x:v>1.6623567293560053</x:v>
      </x:c>
      <x:c r="U924" s="9" t="n">
        <x:f>H924*AA923*INDEX(v01_MortElder,G924)/4*Q924</x:f>
        <x:v>3.4703206039425294</x:v>
      </x:c>
      <x:c r="V924" s="9" t="n">
        <x:f>H924*MAX(0,AB923-O924)*v01_OvercapLoss</x:f>
        <x:v>0</x:v>
      </x:c>
      <x:c r="W924" s="9" t="n">
        <x:f>H924*Y923/(v01_ChildYears*4)</x:f>
        <x:v>12.521647768584344</x:v>
      </x:c>
      <x:c r="X924" s="9" t="n">
        <x:f>H924*Z923/(v01_AdultYears*4)</x:f>
        <x:v>5.362441062438727</x:v>
      </x:c>
      <x:c r="Y924" s="32" t="n">
        <x:f>Y923+R924-S924-W924-Y923*V924/AB923</x:f>
        <x:v>707.1742950414132</x:v>
      </x:c>
      <x:c r="Z924" s="32" t="n">
        <x:f>Z923+W924-X924-T924-Z923*V924/AB923</x:f>
        <x:v>670.4395417191917</x:v>
      </x:c>
      <x:c r="AA924" s="32" t="n">
        <x:f>AA923+X924-U924-AA923*V924/AB923</x:f>
        <x:v>233.24682738799817</x:v>
      </x:c>
      <x:c r="AB924" s="10" t="n">
        <x:f>Y924+Z924+AA924</x:f>
        <x:v>1610.860664148603</x:v>
      </x:c>
      <x:c r="AC924" s="8" t="n">
        <x:f>IF(AND(v01_WinterTrigger=1,D924=1,AB923/AE923&gt;=K924),1,0)</x:f>
        <x:v>0</x:v>
      </x:c>
      <x:c r="AD924" s="8" t="n">
        <x:f>H924*IF(AND(OR(AB923/AE923&gt;=v01_FissionTrigger*N924,AC924=1),AB923/AE923*v01_DaughterShare&gt;=v01_MinDaughter),MAX(1,ROUND(AE923*v01_FissionRate,0)),0)</x:f>
        <x:v>0</x:v>
      </x:c>
      <x:c r="AE924" s="8" t="n">
        <x:f>IF(H924=1,MAX(1,MIN(INDEX(v01_Smax,G924),AE923+AD924)),AE923)</x:f>
        <x:v>12</x:v>
      </x:c>
      <x:c r="AF924" s="8" t="n">
        <x:f>MAX(0,AE924-AE923)</x:f>
        <x:v>0</x:v>
      </x:c>
      <x:c r="AG924" s="9" t="str">
        <x:f>IF(AF924&gt;0,B924,"")</x:f>
      </x:c>
      <x:c r="AH924" s="9" t="n">
        <x:f>IF(F924&gt;=1,1,(1+v01_LowTiesShare*(AE924-1))/AE924)</x:f>
        <x:v>1</x:v>
      </x:c>
      <x:c r="AI924" s="32" t="n">
        <x:f>(Z924+v01_ElderCommons*INDEX(LM_Elder,G924)*AA924)*AH924</x:f>
        <x:v>1370.180023883186</x:v>
      </x:c>
      <x:c r="AJ924" s="32" t="n">
        <x:f>H924*v01_CommonsCoef*AI924^v01_CommonsExp*INDEX(LM_Commons,G924)</x:f>
        <x:v>336.316745760948</x:v>
      </x:c>
      <x:c r="AK924" s="32" t="n">
        <x:f>H924*v01_RoleScale*Arch_Roles*(AE924*(INDEX(v01_ElderRolePerSett,G924)*v01_OutElder*INDEX(LM_Elder,G924)+INDEX(v01_ShamanPerSett,G924)*v01_OutShaman)+Z924*(INDEX(v01_PriestShare,G924)*v01_OutPriest+INDEX(v01_ScribeShare,G924)*v01_OutScribe*INDEX(LM_Scribe,G924)+INDEX(v01_ScholarShare,G924)*v01_OutScholar*INDEX(LM_Scholar,G924)+INDEX(v01_ResearcherShare,G924)*v01_OutResearcher*INDEX(LM_Researcher,G924)))</x:f>
        <x:v>54.944541808217494</x:v>
      </x:c>
      <x:c r="AL924" s="32" t="n">
        <x:f>H924*v01_RoleScale*Arch_Roles*AE924*INDEX(v01_MonasteryPerSett,G924)*v01_OutMonastery*INDEX(LM_Monastery,G924)</x:f>
        <x:v>0</x:v>
      </x:c>
      <x:c r="AM924" s="32" t="n">
        <x:f>(AJ924+AK924+AL924)/4*INDEX(LM_All,G924)*INDEX(v01_Boon,G924)*Arch_Insight</x:f>
        <x:v>117.68214354588095</x:v>
      </x:c>
      <x:c r="AN924" s="32" t="n">
        <x:f>H924*(v01_KHPerAdult*Z924+v01_KHOfCommons*AJ924/4*INDEX(LM_All,G924))*v01_KHUsable*Arch_KH</x:f>
        <x:v>23.465383960171707</x:v>
      </x:c>
      <x:c r="AO924" s="32" t="n">
        <x:f>MIN(AP923+AN924,AM924*v01_KHMaxRatio)</x:f>
        <x:v>23.465383960171707</x:v>
      </x:c>
      <x:c r="AP924" s="32" t="n">
        <x:f>AP923+AN924-AO924</x:f>
        <x:v>0</x:v>
      </x:c>
      <x:c r="AQ924" s="32" t="n">
        <x:f>AM924+AO924</x:f>
        <x:v>141.14752750605265</x:v>
      </x:c>
      <x:c r="AR924" s="10" t="n">
        <x:f>IF(H924=1,INDEX(v01_Req,G924),0)</x:f>
        <x:v>24714.473079999996</x:v>
      </x:c>
      <x:c r="AS924" s="32" t="n">
        <x:f>IF(H924=1,IF(E924=1,AS923-AR923,AS923)+AQ924,0)</x:f>
        <x:v>4930.246880996351</x:v>
      </x:c>
      <x:c r="AT924" s="11" t="n">
        <x:f>IF(AR924&gt;0,MIN(1,AS924/AR924),1)</x:f>
        <x:v>0.19948824581601607</x:v>
      </x:c>
      <x:c r="AU924" s="10" t="n">
        <x:f>AB924/INDEX(v01_RepScale,G924)</x:f>
        <x:v>161.0860664148603</x:v>
      </x:c>
      <x:c r="AV924" s="32" t="n">
        <x:f>AM924*60/v01_SeasonSeconds</x:f>
        <x:v>470.7285741835238</x:v>
      </x:c>
    </x:row>
    <x:row r="925">
      <x:c r="A925" s="8" t="n">
        <x:f>A924+1</x:f>
        <x:v>922</x:v>
      </x:c>
      <x:c r="B925" s="9" t="n">
        <x:f>A925*v01_SeasonSeconds/60</x:f>
        <x:v>230.5</x:v>
      </x:c>
      <x:c r="C925" s="9" t="n">
        <x:f>A925/4</x:f>
        <x:v>230.5</x:v>
      </x:c>
      <x:c r="D925" s="8" t="n">
        <x:f>IF(MOD(A925,4)=0,1,0)</x:f>
        <x:v>0</x:v>
      </x:c>
      <x:c r="E925" s="8" t="n">
        <x:f>IF(AND(F924&lt;=9,AS924&gt;=AR924),1,0)</x:f>
        <x:v>0</x:v>
      </x:c>
      <x:c r="F925" s="8" t="n">
        <x:f>MIN(10,F924+E925)</x:f>
        <x:v>4</x:v>
      </x:c>
      <x:c r="G925" s="8" t="n">
        <x:f>MIN(F925,9)+1</x:f>
        <x:v>5</x:v>
      </x:c>
      <x:c r="H925" s="8" t="n">
        <x:f>IF(F925&lt;=9,1,0)</x:f>
        <x:v>1</x:v>
      </x:c>
      <x:c r="I925" s="9" t="n">
        <x:f>MIN(10,F924+IF(AR924&gt;0,MIN(1,AS924/AR924),1))</x:f>
        <x:v>4.199488245816016</x:v>
      </x:c>
      <x:c r="J925" s="32" t="n">
        <x:f>INDEX(v01_FoodCap,G925)*Arch_FoodCap*EXP(v01_CapsByProject*SUMPRODUCT((Cap_Point&lt;=I925)*(Cap_Kind="Food")*Cap_Ln))</x:f>
        <x:v>250</x:v>
      </x:c>
      <x:c r="K925" s="32" t="n">
        <x:f>J925*MIN(1,v01_LeanBase*EXP(v01_CapsByProject*SUMPRODUCT((Cap_Point&lt;=I925)*(Cap_Kind="Lean")*Cap_Ln)))</x:f>
        <x:v>250</x:v>
      </x:c>
      <x:c r="L925" s="10" t="n">
        <x:f>INDEX(v01_HousingCap,G925)*EXP(v01_CapsByProject*SUMPRODUCT((Cap_Point&lt;=I925)*(Cap_Kind="Housing")*Cap_Ln))</x:f>
        <x:v>400</x:v>
      </x:c>
      <x:c r="M925" s="10" t="n">
        <x:f>INDEX(v01_GroupCap,G925)*v01_CohesionFactor*EXP(v01_CapsByProject*SUMPRODUCT((Cap_Point&lt;=I925)*(Cap_Kind="Group")*Cap_Ln))</x:f>
        <x:v>10000</x:v>
      </x:c>
      <x:c r="N925" s="32" t="n">
        <x:f>MIN(J925,L925,M925)</x:f>
        <x:v>250</x:v>
      </x:c>
      <x:c r="O925" s="10" t="n">
        <x:f>AE924*N925</x:f>
        <x:v>3000</x:v>
      </x:c>
      <x:c r="P925" s="9" t="n">
        <x:f>MIN(1,(AB924/(AE924*IF(v01_GroupInCrowding=1,N925,MIN(J925,L925))))^v01_CrowdingExp)</x:f>
        <x:v>0.023967367268641595</x:v>
      </x:c>
      <x:c r="Q925" s="9" t="n">
        <x:f>IF(D925=1,INDEX(v01_WinterMult,G925),1)</x:f>
        <x:v>1</x:v>
      </x:c>
      <x:c r="R925" s="9" t="n">
        <x:f>H925*Z924*v01_WomenShare*v01_BaseFertility*INDEX(v01_FertMult,G925)*Arch_Fertility*(1-P925)</x:f>
        <x:v>23.557351355689967</x:v>
      </x:c>
      <x:c r="S925" s="9" t="n">
        <x:f>H925*Y924*INDEX(v01_MortChild,G925)/4*Q925</x:f>
        <x:v>4.9502200652898924</x:v>
      </x:c>
      <x:c r="T925" s="9" t="n">
        <x:f>H925*Z924*INDEX(v01_MortAdult,G925)*Arch_AdultMort/4*Q925</x:f>
        <x:v>1.6760988542979791</x:v>
      </x:c>
      <x:c r="U925" s="9" t="n">
        <x:f>H925*AA924*INDEX(v01_MortElder,G925)/4*Q925</x:f>
        <x:v>3.4987024108199725</x:v>
      </x:c>
      <x:c r="V925" s="9" t="n">
        <x:f>H925*MAX(0,AB924-O925)*v01_OvercapLoss</x:f>
        <x:v>0</x:v>
      </x:c>
      <x:c r="W925" s="9" t="n">
        <x:f>H925*Y924/(v01_ChildYears*4)</x:f>
        <x:v>12.628112411453808</x:v>
      </x:c>
      <x:c r="X925" s="9" t="n">
        <x:f>H925*Z924/(v01_AdultYears*4)</x:f>
        <x:v>5.406770497735416</x:v>
      </x:c>
      <x:c r="Y925" s="32" t="n">
        <x:f>Y924+R925-S925-W925-Y924*V925/AB924</x:f>
        <x:v>713.1533139203596</x:v>
      </x:c>
      <x:c r="Z925" s="32" t="n">
        <x:f>Z924+W925-X925-T925-Z924*V925/AB924</x:f>
        <x:v>675.984784778612</x:v>
      </x:c>
      <x:c r="AA925" s="32" t="n">
        <x:f>AA924+X925-U925-AA924*V925/AB924</x:f>
        <x:v>235.15489547491362</x:v>
      </x:c>
      <x:c r="AB925" s="10" t="n">
        <x:f>Y925+Z925+AA925</x:f>
        <x:v>1624.2929941738853</x:v>
      </x:c>
      <x:c r="AC925" s="8" t="n">
        <x:f>IF(AND(v01_WinterTrigger=1,D925=1,AB924/AE924&gt;=K925),1,0)</x:f>
        <x:v>0</x:v>
      </x:c>
      <x:c r="AD925" s="8" t="n">
        <x:f>H925*IF(AND(OR(AB924/AE924&gt;=v01_FissionTrigger*N925,AC925=1),AB924/AE924*v01_DaughterShare&gt;=v01_MinDaughter),MAX(1,ROUND(AE924*v01_FissionRate,0)),0)</x:f>
        <x:v>0</x:v>
      </x:c>
      <x:c r="AE925" s="8" t="n">
        <x:f>IF(H925=1,MAX(1,MIN(INDEX(v01_Smax,G925),AE924+AD925)),AE924)</x:f>
        <x:v>12</x:v>
      </x:c>
      <x:c r="AF925" s="8" t="n">
        <x:f>MAX(0,AE925-AE924)</x:f>
        <x:v>0</x:v>
      </x:c>
      <x:c r="AG925" s="9" t="str">
        <x:f>IF(AF925&gt;0,B925,"")</x:f>
      </x:c>
      <x:c r="AH925" s="9" t="n">
        <x:f>IF(F925&gt;=1,1,(1+v01_LowTiesShare*(AE925-1))/AE925)</x:f>
        <x:v>1</x:v>
      </x:c>
      <x:c r="AI925" s="32" t="n">
        <x:f>(Z925+v01_ElderCommons*INDEX(LM_Elder,G925)*AA925)*AH925</x:f>
        <x:v>1381.449471203353</x:v>
      </x:c>
      <x:c r="AJ925" s="32" t="n">
        <x:f>H925*v01_CommonsCoef*AI925^v01_CommonsExp*INDEX(LM_Commons,G925)</x:f>
        <x:v>338.6665152703677</x:v>
      </x:c>
      <x:c r="AK925" s="32" t="n">
        <x:f>H925*v01_RoleScale*Arch_Roles*(AE925*(INDEX(v01_ElderRolePerSett,G925)*v01_OutElder*INDEX(LM_Elder,G925)+INDEX(v01_ShamanPerSett,G925)*v01_OutShaman)+Z925*(INDEX(v01_PriestShare,G925)*v01_OutPriest+INDEX(v01_ScribeShare,G925)*v01_OutScribe*INDEX(LM_Scribe,G925)+INDEX(v01_ScholarShare,G925)*v01_OutScholar*INDEX(LM_Scholar,G925)+INDEX(v01_ResearcherShare,G925)*v01_OutResearcher*INDEX(LM_Researcher,G925)))</x:f>
        <x:v>55.10123317625127</x:v>
      </x:c>
      <x:c r="AL925" s="32" t="n">
        <x:f>H925*v01_RoleScale*Arch_Roles*AE925*INDEX(v01_MonasteryPerSett,G925)*v01_OutMonastery*INDEX(LM_Monastery,G925)</x:f>
        <x:v>0</x:v>
      </x:c>
      <x:c r="AM925" s="32" t="n">
        <x:f>(AJ925+AK925+AL925)/4*INDEX(LM_All,G925)*INDEX(v01_Boon,G925)*Arch_Insight</x:f>
        <x:v>118.43602771010578</x:v>
      </x:c>
      <x:c r="AN925" s="32" t="n">
        <x:f>H925*(v01_KHPerAdult*Z925+v01_KHOfCommons*AJ925/4*INDEX(LM_All,G925))*v01_KHUsable*Arch_KH</x:f>
        <x:v>23.65946746725142</x:v>
      </x:c>
      <x:c r="AO925" s="32" t="n">
        <x:f>MIN(AP924+AN925,AM925*v01_KHMaxRatio)</x:f>
        <x:v>23.65946746725142</x:v>
      </x:c>
      <x:c r="AP925" s="32" t="n">
        <x:f>AP924+AN925-AO925</x:f>
        <x:v>0</x:v>
      </x:c>
      <x:c r="AQ925" s="32" t="n">
        <x:f>AM925+AO925</x:f>
        <x:v>142.0954951773572</x:v>
      </x:c>
      <x:c r="AR925" s="10" t="n">
        <x:f>IF(H925=1,INDEX(v01_Req,G925),0)</x:f>
        <x:v>24714.473079999996</x:v>
      </x:c>
      <x:c r="AS925" s="32" t="n">
        <x:f>IF(H925=1,IF(E925=1,AS924-AR924,AS924)+AQ925,0)</x:f>
        <x:v>5072.3423761737085</x:v>
      </x:c>
      <x:c r="AT925" s="11" t="n">
        <x:f>IF(AR925&gt;0,MIN(1,AS925/AR925),1)</x:f>
        <x:v>0.20523773093420566</x:v>
      </x:c>
      <x:c r="AU925" s="10" t="n">
        <x:f>AB925/INDEX(v01_RepScale,G925)</x:f>
        <x:v>162.42929941738853</x:v>
      </x:c>
      <x:c r="AV925" s="32" t="n">
        <x:f>AM925*60/v01_SeasonSeconds</x:f>
        <x:v>473.7441108404231</x:v>
      </x:c>
    </x:row>
    <x:row r="926">
      <x:c r="A926" s="8" t="n">
        <x:f>A925+1</x:f>
        <x:v>923</x:v>
      </x:c>
      <x:c r="B926" s="9" t="n">
        <x:f>A926*v01_SeasonSeconds/60</x:f>
        <x:v>230.75</x:v>
      </x:c>
      <x:c r="C926" s="9" t="n">
        <x:f>A926/4</x:f>
        <x:v>230.75</x:v>
      </x:c>
      <x:c r="D926" s="8" t="n">
        <x:f>IF(MOD(A926,4)=0,1,0)</x:f>
        <x:v>0</x:v>
      </x:c>
      <x:c r="E926" s="8" t="n">
        <x:f>IF(AND(F925&lt;=9,AS925&gt;=AR925),1,0)</x:f>
        <x:v>0</x:v>
      </x:c>
      <x:c r="F926" s="8" t="n">
        <x:f>MIN(10,F925+E926)</x:f>
        <x:v>4</x:v>
      </x:c>
      <x:c r="G926" s="8" t="n">
        <x:f>MIN(F926,9)+1</x:f>
        <x:v>5</x:v>
      </x:c>
      <x:c r="H926" s="8" t="n">
        <x:f>IF(F926&lt;=9,1,0)</x:f>
        <x:v>1</x:v>
      </x:c>
      <x:c r="I926" s="9" t="n">
        <x:f>MIN(10,F925+IF(AR925&gt;0,MIN(1,AS925/AR925),1))</x:f>
        <x:v>4.205237730934206</x:v>
      </x:c>
      <x:c r="J926" s="32" t="n">
        <x:f>INDEX(v01_FoodCap,G926)*Arch_FoodCap*EXP(v01_CapsByProject*SUMPRODUCT((Cap_Point&lt;=I926)*(Cap_Kind="Food")*Cap_Ln))</x:f>
        <x:v>250</x:v>
      </x:c>
      <x:c r="K926" s="32" t="n">
        <x:f>J926*MIN(1,v01_LeanBase*EXP(v01_CapsByProject*SUMPRODUCT((Cap_Point&lt;=I926)*(Cap_Kind="Lean")*Cap_Ln)))</x:f>
        <x:v>250</x:v>
      </x:c>
      <x:c r="L926" s="10" t="n">
        <x:f>INDEX(v01_HousingCap,G926)*EXP(v01_CapsByProject*SUMPRODUCT((Cap_Point&lt;=I926)*(Cap_Kind="Housing")*Cap_Ln))</x:f>
        <x:v>400</x:v>
      </x:c>
      <x:c r="M926" s="10" t="n">
        <x:f>INDEX(v01_GroupCap,G926)*v01_CohesionFactor*EXP(v01_CapsByProject*SUMPRODUCT((Cap_Point&lt;=I926)*(Cap_Kind="Group")*Cap_Ln))</x:f>
        <x:v>10000</x:v>
      </x:c>
      <x:c r="N926" s="32" t="n">
        <x:f>MIN(J926,L926,M926)</x:f>
        <x:v>250</x:v>
      </x:c>
      <x:c r="O926" s="10" t="n">
        <x:f>AE925*N926</x:f>
        <x:v>3000</x:v>
      </x:c>
      <x:c r="P926" s="9" t="n">
        <x:f>MIN(1,(AB925/(AE925*IF(v01_GroupInCrowding=1,N926,MIN(J926,L926))))^v01_CrowdingExp)</x:f>
        <x:v>0.0251917709242597</x:v>
      </x:c>
      <x:c r="Q926" s="9" t="n">
        <x:f>IF(D926=1,INDEX(v01_WinterMult,G926),1)</x:f>
        <x:v>1</x:v>
      </x:c>
      <x:c r="R926" s="9" t="n">
        <x:f>H926*Z925*v01_WomenShare*v01_BaseFertility*INDEX(v01_FertMult,G926)*Arch_Fertility*(1-P926)</x:f>
        <x:v>23.722399113558634</x:v>
      </x:c>
      <x:c r="S926" s="9" t="n">
        <x:f>H926*Y925*INDEX(v01_MortChild,G926)/4*Q926</x:f>
        <x:v>4.992073197442517</x:v>
      </x:c>
      <x:c r="T926" s="9" t="n">
        <x:f>H926*Z925*INDEX(v01_MortAdult,G926)*Arch_AdultMort/4*Q926</x:f>
        <x:v>1.68996196194653</x:v>
      </x:c>
      <x:c r="U926" s="9" t="n">
        <x:f>H926*AA925*INDEX(v01_MortElder,G926)/4*Q926</x:f>
        <x:v>3.527323432123704</x:v>
      </x:c>
      <x:c r="V926" s="9" t="n">
        <x:f>H926*MAX(0,AB925-O926)*v01_OvercapLoss</x:f>
        <x:v>0</x:v>
      </x:c>
      <x:c r="W926" s="9" t="n">
        <x:f>H926*Y925/(v01_ChildYears*4)</x:f>
        <x:v>12.734880605720706</x:v>
      </x:c>
      <x:c r="X926" s="9" t="n">
        <x:f>H926*Z925/(v01_AdultYears*4)</x:f>
        <x:v>5.451490199827516</x:v>
      </x:c>
      <x:c r="Y926" s="32" t="n">
        <x:f>Y925+R926-S926-W926-Y925*V926/AB925</x:f>
        <x:v>719.1487592307549</x:v>
      </x:c>
      <x:c r="Z926" s="32" t="n">
        <x:f>Z925+W926-X926-T926-Z925*V926/AB925</x:f>
        <x:v>681.5782132225587</x:v>
      </x:c>
      <x:c r="AA926" s="32" t="n">
        <x:f>AA925+X926-U926-AA925*V926/AB925</x:f>
        <x:v>237.07906224261743</x:v>
      </x:c>
      <x:c r="AB926" s="10" t="n">
        <x:f>Y926+Z926+AA926</x:f>
        <x:v>1637.806034695931</x:v>
      </x:c>
      <x:c r="AC926" s="8" t="n">
        <x:f>IF(AND(v01_WinterTrigger=1,D926=1,AB925/AE925&gt;=K926),1,0)</x:f>
        <x:v>0</x:v>
      </x:c>
      <x:c r="AD926" s="8" t="n">
        <x:f>H926*IF(AND(OR(AB925/AE925&gt;=v01_FissionTrigger*N926,AC926=1),AB925/AE925*v01_DaughterShare&gt;=v01_MinDaughter),MAX(1,ROUND(AE925*v01_FissionRate,0)),0)</x:f>
        <x:v>0</x:v>
      </x:c>
      <x:c r="AE926" s="8" t="n">
        <x:f>IF(H926=1,MAX(1,MIN(INDEX(v01_Smax,G926),AE925+AD926)),AE925)</x:f>
        <x:v>12</x:v>
      </x:c>
      <x:c r="AF926" s="8" t="n">
        <x:f>MAX(0,AE926-AE925)</x:f>
        <x:v>0</x:v>
      </x:c>
      <x:c r="AG926" s="9" t="str">
        <x:f>IF(AF926&gt;0,B926,"")</x:f>
      </x:c>
      <x:c r="AH926" s="9" t="n">
        <x:f>IF(F926&gt;=1,1,(1+v01_LowTiesShare*(AE926-1))/AE926)</x:f>
        <x:v>1</x:v>
      </x:c>
      <x:c r="AI926" s="32" t="n">
        <x:f>(Z926+v01_ElderCommons*INDEX(LM_Elder,G926)*AA926)*AH926</x:f>
        <x:v>1392.8153999504111</x:v>
      </x:c>
      <x:c r="AJ926" s="32" t="n">
        <x:f>H926*v01_CommonsCoef*AI926^v01_CommonsExp*INDEX(LM_Commons,G926)</x:f>
        <x:v>341.0334914131639</x:v>
      </x:c>
      <x:c r="AK926" s="32" t="n">
        <x:f>H926*v01_RoleScale*Arch_Roles*(AE926*(INDEX(v01_ElderRolePerSett,G926)*v01_OutElder*INDEX(LM_Elder,G926)+INDEX(v01_ShamanPerSett,G926)*v01_OutShaman)+Z926*(INDEX(v01_PriestShare,G926)*v01_OutPriest+INDEX(v01_ScribeShare,G926)*v01_OutScribe*INDEX(LM_Scribe,G926)+INDEX(v01_ScholarShare,G926)*v01_OutScholar*INDEX(LM_Scholar,G926)+INDEX(v01_ResearcherShare,G926)*v01_OutResearcher*INDEX(LM_Researcher,G926)))</x:f>
        <x:v>55.2592861137852</x:v>
      </x:c>
      <x:c r="AL926" s="32" t="n">
        <x:f>H926*v01_RoleScale*Arch_Roles*AE926*INDEX(v01_MonasteryPerSett,G926)*v01_OutMonastery*INDEX(LM_Monastery,G926)</x:f>
        <x:v>0</x:v>
      </x:c>
      <x:c r="AM926" s="32" t="n">
        <x:f>(AJ926+AK926+AL926)/4*INDEX(LM_All,G926)*INDEX(v01_Boon,G926)*Arch_Insight</x:f>
        <x:v>119.19549675069266</x:v>
      </x:c>
      <x:c r="AN926" s="32" t="n">
        <x:f>H926*(v01_KHPerAdult*Z926+v01_KHOfCommons*AJ926/4*INDEX(LM_All,G926))*v01_KHUsable*Arch_KH</x:f>
        <x:v>23.855237462789553</x:v>
      </x:c>
      <x:c r="AO926" s="32" t="n">
        <x:f>MIN(AP925+AN926,AM926*v01_KHMaxRatio)</x:f>
        <x:v>23.855237462789553</x:v>
      </x:c>
      <x:c r="AP926" s="32" t="n">
        <x:f>AP925+AN926-AO926</x:f>
        <x:v>0</x:v>
      </x:c>
      <x:c r="AQ926" s="32" t="n">
        <x:f>AM926+AO926</x:f>
        <x:v>143.0507342134822</x:v>
      </x:c>
      <x:c r="AR926" s="10" t="n">
        <x:f>IF(H926=1,INDEX(v01_Req,G926),0)</x:f>
        <x:v>24714.473079999996</x:v>
      </x:c>
      <x:c r="AS926" s="32" t="n">
        <x:f>IF(H926=1,IF(E926=1,AS925-AR925,AS925)+AQ926,0)</x:f>
        <x:v>5215.393110387191</x:v>
      </x:c>
      <x:c r="AT926" s="11" t="n">
        <x:f>IF(AR926&gt;0,MIN(1,AS926/AR926),1)</x:f>
        <x:v>0.2110258670498506</x:v>
      </x:c>
      <x:c r="AU926" s="10" t="n">
        <x:f>AB926/INDEX(v01_RepScale,G926)</x:f>
        <x:v>163.7806034695931</x:v>
      </x:c>
      <x:c r="AV926" s="32" t="n">
        <x:f>AM926*60/v01_SeasonSeconds</x:f>
        <x:v>476.7819870027706</x:v>
      </x:c>
    </x:row>
    <x:row r="927">
      <x:c r="A927" s="8" t="n">
        <x:f>A926+1</x:f>
        <x:v>924</x:v>
      </x:c>
      <x:c r="B927" s="9" t="n">
        <x:f>A927*v01_SeasonSeconds/60</x:f>
        <x:v>231</x:v>
      </x:c>
      <x:c r="C927" s="9" t="n">
        <x:f>A927/4</x:f>
        <x:v>231</x:v>
      </x:c>
      <x:c r="D927" s="8" t="n">
        <x:f>IF(MOD(A927,4)=0,1,0)</x:f>
        <x:v>1</x:v>
      </x:c>
      <x:c r="E927" s="8" t="n">
        <x:f>IF(AND(F926&lt;=9,AS926&gt;=AR926),1,0)</x:f>
        <x:v>0</x:v>
      </x:c>
      <x:c r="F927" s="8" t="n">
        <x:f>MIN(10,F926+E927)</x:f>
        <x:v>4</x:v>
      </x:c>
      <x:c r="G927" s="8" t="n">
        <x:f>MIN(F927,9)+1</x:f>
        <x:v>5</x:v>
      </x:c>
      <x:c r="H927" s="8" t="n">
        <x:f>IF(F927&lt;=9,1,0)</x:f>
        <x:v>1</x:v>
      </x:c>
      <x:c r="I927" s="9" t="n">
        <x:f>MIN(10,F926+IF(AR926&gt;0,MIN(1,AS926/AR926),1))</x:f>
        <x:v>4.211025867049851</x:v>
      </x:c>
      <x:c r="J927" s="32" t="n">
        <x:f>INDEX(v01_FoodCap,G927)*Arch_FoodCap*EXP(v01_CapsByProject*SUMPRODUCT((Cap_Point&lt;=I927)*(Cap_Kind="Food")*Cap_Ln))</x:f>
        <x:v>250</x:v>
      </x:c>
      <x:c r="K927" s="32" t="n">
        <x:f>J927*MIN(1,v01_LeanBase*EXP(v01_CapsByProject*SUMPRODUCT((Cap_Point&lt;=I927)*(Cap_Kind="Lean")*Cap_Ln)))</x:f>
        <x:v>250</x:v>
      </x:c>
      <x:c r="L927" s="10" t="n">
        <x:f>INDEX(v01_HousingCap,G927)*EXP(v01_CapsByProject*SUMPRODUCT((Cap_Point&lt;=I927)*(Cap_Kind="Housing")*Cap_Ln))</x:f>
        <x:v>400</x:v>
      </x:c>
      <x:c r="M927" s="10" t="n">
        <x:f>INDEX(v01_GroupCap,G927)*v01_CohesionFactor*EXP(v01_CapsByProject*SUMPRODUCT((Cap_Point&lt;=I927)*(Cap_Kind="Group")*Cap_Ln))</x:f>
        <x:v>10000</x:v>
      </x:c>
      <x:c r="N927" s="32" t="n">
        <x:f>MIN(J927,L927,M927)</x:f>
        <x:v>250</x:v>
      </x:c>
      <x:c r="O927" s="10" t="n">
        <x:f>AE926*N927</x:f>
        <x:v>3000</x:v>
      </x:c>
      <x:c r="P927" s="9" t="n">
        <x:f>MIN(1,(AB926/(AE926*IF(v01_GroupInCrowding=1,N927,MIN(J927,L927))))^v01_CrowdingExp)</x:f>
        <x:v>0.02647568916332378</x:v>
      </x:c>
      <x:c r="Q927" s="9" t="n">
        <x:f>IF(D927=1,INDEX(v01_WinterMult,G927),1)</x:f>
        <x:v>1</x:v>
      </x:c>
      <x:c r="R927" s="9" t="n">
        <x:f>H927*Z926*v01_WomenShare*v01_BaseFertility*INDEX(v01_FertMult,G927)*Arch_Fertility*(1-P927)</x:f>
        <x:v>23.887186571116246</x:v>
      </x:c>
      <x:c r="S927" s="9" t="n">
        <x:f>H927*Y926*INDEX(v01_MortChild,G927)/4*Q927</x:f>
        <x:v>5.034041314615284</x:v>
      </x:c>
      <x:c r="T927" s="9" t="n">
        <x:f>H927*Z926*INDEX(v01_MortAdult,G927)*Arch_AdultMort/4*Q927</x:f>
        <x:v>1.7039455330563968</x:v>
      </x:c>
      <x:c r="U927" s="9" t="n">
        <x:f>H927*AA926*INDEX(v01_MortElder,G927)/4*Q927</x:f>
        <x:v>3.556185933639261</x:v>
      </x:c>
      <x:c r="V927" s="9" t="n">
        <x:f>H927*MAX(0,AB926-O927)*v01_OvercapLoss</x:f>
        <x:v>0</x:v>
      </x:c>
      <x:c r="W927" s="9" t="n">
        <x:f>H927*Y926/(v01_ChildYears*4)</x:f>
        <x:v>12.841942129120623</x:v>
      </x:c>
      <x:c r="X927" s="9" t="n">
        <x:f>H927*Z926/(v01_AdultYears*4)</x:f>
        <x:v>5.496598493730312</x:v>
      </x:c>
      <x:c r="Y927" s="32" t="n">
        <x:f>Y926+R927-S927-W927-Y926*V927/AB926</x:f>
        <x:v>725.1599623581352</x:v>
      </x:c>
      <x:c r="Z927" s="32" t="n">
        <x:f>Z926+W927-X927-T927-Z926*V927/AB926</x:f>
        <x:v>687.2196113248926</x:v>
      </x:c>
      <x:c r="AA927" s="32" t="n">
        <x:f>AA926+X927-U927-AA926*V927/AB926</x:f>
        <x:v>239.0194748027085</x:v>
      </x:c>
      <x:c r="AB927" s="10" t="n">
        <x:f>Y927+Z927+AA927</x:f>
        <x:v>1651.3990484857363</x:v>
      </x:c>
      <x:c r="AC927" s="8" t="n">
        <x:f>IF(AND(v01_WinterTrigger=1,D927=1,AB926/AE926&gt;=K927),1,0)</x:f>
        <x:v>0</x:v>
      </x:c>
      <x:c r="AD927" s="8" t="n">
        <x:f>H927*IF(AND(OR(AB926/AE926&gt;=v01_FissionTrigger*N927,AC927=1),AB926/AE926*v01_DaughterShare&gt;=v01_MinDaughter),MAX(1,ROUND(AE926*v01_FissionRate,0)),0)</x:f>
        <x:v>0</x:v>
      </x:c>
      <x:c r="AE927" s="8" t="n">
        <x:f>IF(H927=1,MAX(1,MIN(INDEX(v01_Smax,G927),AE926+AD927)),AE926)</x:f>
        <x:v>12</x:v>
      </x:c>
      <x:c r="AF927" s="8" t="n">
        <x:f>MAX(0,AE927-AE926)</x:f>
        <x:v>0</x:v>
      </x:c>
      <x:c r="AG927" s="9" t="str">
        <x:f>IF(AF927&gt;0,B927,"")</x:f>
      </x:c>
      <x:c r="AH927" s="9" t="n">
        <x:f>IF(F927&gt;=1,1,(1+v01_LowTiesShare*(AE927-1))/AE927)</x:f>
        <x:v>1</x:v>
      </x:c>
      <x:c r="AI927" s="32" t="n">
        <x:f>(Z927+v01_ElderCommons*INDEX(LM_Elder,G927)*AA927)*AH927</x:f>
        <x:v>1404.278035733018</x:v>
      </x:c>
      <x:c r="AJ927" s="32" t="n">
        <x:f>H927*v01_CommonsCoef*AI927^v01_CommonsExp*INDEX(LM_Commons,G927)</x:f>
        <x:v>343.41767441388106</x:v>
      </x:c>
      <x:c r="AK927" s="32" t="n">
        <x:f>H927*v01_RoleScale*Arch_Roles*(AE927*(INDEX(v01_ElderRolePerSett,G927)*v01_OutElder*INDEX(LM_Elder,G927)+INDEX(v01_ShamanPerSett,G927)*v01_OutShaman)+Z927*(INDEX(v01_PriestShare,G927)*v01_OutPriest+INDEX(v01_ScribeShare,G927)*v01_OutScribe*INDEX(LM_Scribe,G927)+INDEX(v01_ScholarShare,G927)*v01_OutScholar*INDEX(LM_Scholar,G927)+INDEX(v01_ResearcherShare,G927)*v01_OutResearcher*INDEX(LM_Researcher,G927)))</x:f>
        <x:v>55.418694525067764</x:v>
      </x:c>
      <x:c r="AL927" s="32" t="n">
        <x:f>H927*v01_RoleScale*Arch_Roles*AE927*INDEX(v01_MonasteryPerSett,G927)*v01_OutMonastery*INDEX(LM_Monastery,G927)</x:f>
        <x:v>0</x:v>
      </x:c>
      <x:c r="AM927" s="32" t="n">
        <x:f>(AJ927+AK927+AL927)/4*INDEX(LM_All,G927)*INDEX(v01_Boon,G927)*Arch_Insight</x:f>
        <x:v>119.96054890172127</x:v>
      </x:c>
      <x:c r="AN927" s="32" t="n">
        <x:f>H927*(v01_KHPerAdult*Z927+v01_KHOfCommons*AJ927/4*INDEX(LM_All,G927))*v01_KHUsable*Arch_KH</x:f>
        <x:v>24.052686396371243</x:v>
      </x:c>
      <x:c r="AO927" s="32" t="n">
        <x:f>MIN(AP926+AN927,AM927*v01_KHMaxRatio)</x:f>
        <x:v>24.052686396371243</x:v>
      </x:c>
      <x:c r="AP927" s="32" t="n">
        <x:f>AP926+AN927-AO927</x:f>
        <x:v>0</x:v>
      </x:c>
      <x:c r="AQ927" s="32" t="n">
        <x:f>AM927+AO927</x:f>
        <x:v>144.01323529809252</x:v>
      </x:c>
      <x:c r="AR927" s="10" t="n">
        <x:f>IF(H927=1,INDEX(v01_Req,G927),0)</x:f>
        <x:v>24714.473079999996</x:v>
      </x:c>
      <x:c r="AS927" s="32" t="n">
        <x:f>IF(H927=1,IF(E927=1,AS926-AR926,AS926)+AQ927,0)</x:f>
        <x:v>5359.406345685284</x:v>
      </x:c>
      <x:c r="AT927" s="11" t="n">
        <x:f>IF(AR927&gt;0,MIN(1,AS927/AR927),1)</x:f>
        <x:v>0.21685294800083532</x:v>
      </x:c>
      <x:c r="AU927" s="10" t="n">
        <x:f>AB927/INDEX(v01_RepScale,G927)</x:f>
        <x:v>165.13990484857362</x:v>
      </x:c>
      <x:c r="AV927" s="32" t="n">
        <x:f>AM927*60/v01_SeasonSeconds</x:f>
        <x:v>479.84219560688507</x:v>
      </x:c>
    </x:row>
    <x:row r="928">
      <x:c r="A928" s="8" t="n">
        <x:f>A927+1</x:f>
        <x:v>925</x:v>
      </x:c>
      <x:c r="B928" s="9" t="n">
        <x:f>A928*v01_SeasonSeconds/60</x:f>
        <x:v>231.25</x:v>
      </x:c>
      <x:c r="C928" s="9" t="n">
        <x:f>A928/4</x:f>
        <x:v>231.25</x:v>
      </x:c>
      <x:c r="D928" s="8" t="n">
        <x:f>IF(MOD(A928,4)=0,1,0)</x:f>
        <x:v>0</x:v>
      </x:c>
      <x:c r="E928" s="8" t="n">
        <x:f>IF(AND(F927&lt;=9,AS927&gt;=AR927),1,0)</x:f>
        <x:v>0</x:v>
      </x:c>
      <x:c r="F928" s="8" t="n">
        <x:f>MIN(10,F927+E928)</x:f>
        <x:v>4</x:v>
      </x:c>
      <x:c r="G928" s="8" t="n">
        <x:f>MIN(F928,9)+1</x:f>
        <x:v>5</x:v>
      </x:c>
      <x:c r="H928" s="8" t="n">
        <x:f>IF(F928&lt;=9,1,0)</x:f>
        <x:v>1</x:v>
      </x:c>
      <x:c r="I928" s="9" t="n">
        <x:f>MIN(10,F927+IF(AR927&gt;0,MIN(1,AS927/AR927),1))</x:f>
        <x:v>4.216852948000835</x:v>
      </x:c>
      <x:c r="J928" s="32" t="n">
        <x:f>INDEX(v01_FoodCap,G928)*Arch_FoodCap*EXP(v01_CapsByProject*SUMPRODUCT((Cap_Point&lt;=I928)*(Cap_Kind="Food")*Cap_Ln))</x:f>
        <x:v>250</x:v>
      </x:c>
      <x:c r="K928" s="32" t="n">
        <x:f>J928*MIN(1,v01_LeanBase*EXP(v01_CapsByProject*SUMPRODUCT((Cap_Point&lt;=I928)*(Cap_Kind="Lean")*Cap_Ln)))</x:f>
        <x:v>250</x:v>
      </x:c>
      <x:c r="L928" s="10" t="n">
        <x:f>INDEX(v01_HousingCap,G928)*EXP(v01_CapsByProject*SUMPRODUCT((Cap_Point&lt;=I928)*(Cap_Kind="Housing")*Cap_Ln))</x:f>
        <x:v>400</x:v>
      </x:c>
      <x:c r="M928" s="10" t="n">
        <x:f>INDEX(v01_GroupCap,G928)*v01_CohesionFactor*EXP(v01_CapsByProject*SUMPRODUCT((Cap_Point&lt;=I928)*(Cap_Kind="Group")*Cap_Ln))</x:f>
        <x:v>10000</x:v>
      </x:c>
      <x:c r="N928" s="32" t="n">
        <x:f>MIN(J928,L928,M928)</x:f>
        <x:v>250</x:v>
      </x:c>
      <x:c r="O928" s="10" t="n">
        <x:f>AE927*N928</x:f>
        <x:v>3000</x:v>
      </x:c>
      <x:c r="P928" s="9" t="n">
        <x:f>MIN(1,(AB927/(AE927*IF(v01_GroupInCrowding=1,N928,MIN(J928,L928))))^v01_CrowdingExp)</x:f>
        <x:v>0.02782176332547633</x:v>
      </x:c>
      <x:c r="Q928" s="9" t="n">
        <x:f>IF(D928=1,INDEX(v01_WinterMult,G928),1)</x:f>
        <x:v>1</x:v>
      </x:c>
      <x:c r="R928" s="9" t="n">
        <x:f>H928*Z927*v01_WomenShare*v01_BaseFertility*INDEX(v01_FertMult,G928)*Arch_Fertility*(1-P928)</x:f>
        <x:v>24.051598198055483</x:v>
      </x:c>
      <x:c r="S928" s="9" t="n">
        <x:f>H928*Y927*INDEX(v01_MortChild,G928)/4*Q928</x:f>
        <x:v>5.076119736506946</x:v>
      </x:c>
      <x:c r="T928" s="9" t="n">
        <x:f>H928*Z927*INDEX(v01_MortAdult,G928)*Arch_AdultMort/4*Q928</x:f>
        <x:v>1.7180490283122316</x:v>
      </x:c>
      <x:c r="U928" s="9" t="n">
        <x:f>H928*AA927*INDEX(v01_MortElder,G928)/4*Q928</x:f>
        <x:v>3.5852921220406273</x:v>
      </x:c>
      <x:c r="V928" s="9" t="n">
        <x:f>H928*MAX(0,AB927-O928)*v01_OvercapLoss</x:f>
        <x:v>0</x:v>
      </x:c>
      <x:c r="W928" s="9" t="n">
        <x:f>H928*Y927/(v01_ChildYears*4)</x:f>
        <x:v>12.949285042109556</x:v>
      </x:c>
      <x:c r="X928" s="9" t="n">
        <x:f>H928*Z927/(v01_AdultYears*4)</x:f>
        <x:v>5.542093639716876</x:v>
      </x:c>
      <x:c r="Y928" s="32" t="n">
        <x:f>Y927+R928-S928-W928-Y927*V928/AB927</x:f>
        <x:v>731.1861557775742</x:v>
      </x:c>
      <x:c r="Z928" s="32" t="n">
        <x:f>Z927+W928-X928-T928-Z927*V928/AB927</x:f>
        <x:v>692.9087536989731</x:v>
      </x:c>
      <x:c r="AA928" s="32" t="n">
        <x:f>AA927+X928-U928-AA927*V928/AB927</x:f>
        <x:v>240.97627632038473</x:v>
      </x:c>
      <x:c r="AB928" s="10" t="n">
        <x:f>Y928+Z928+AA928</x:f>
        <x:v>1665.0711857969322</x:v>
      </x:c>
      <x:c r="AC928" s="8" t="n">
        <x:f>IF(AND(v01_WinterTrigger=1,D928=1,AB927/AE927&gt;=K928),1,0)</x:f>
        <x:v>0</x:v>
      </x:c>
      <x:c r="AD928" s="8" t="n">
        <x:f>H928*IF(AND(OR(AB927/AE927&gt;=v01_FissionTrigger*N928,AC928=1),AB927/AE927*v01_DaughterShare&gt;=v01_MinDaughter),MAX(1,ROUND(AE927*v01_FissionRate,0)),0)</x:f>
        <x:v>0</x:v>
      </x:c>
      <x:c r="AE928" s="8" t="n">
        <x:f>IF(H928=1,MAX(1,MIN(INDEX(v01_Smax,G928),AE927+AD928)),AE927)</x:f>
        <x:v>12</x:v>
      </x:c>
      <x:c r="AF928" s="8" t="n">
        <x:f>MAX(0,AE928-AE927)</x:f>
        <x:v>0</x:v>
      </x:c>
      <x:c r="AG928" s="9" t="str">
        <x:f>IF(AF928&gt;0,B928,"")</x:f>
      </x:c>
      <x:c r="AH928" s="9" t="n">
        <x:f>IF(F928&gt;=1,1,(1+v01_LowTiesShare*(AE928-1))/AE928)</x:f>
        <x:v>1</x:v>
      </x:c>
      <x:c r="AI928" s="32" t="n">
        <x:f>(Z928+v01_ElderCommons*INDEX(LM_Elder,G928)*AA928)*AH928</x:f>
        <x:v>1415.8375826601273</x:v>
      </x:c>
      <x:c r="AJ928" s="32" t="n">
        <x:f>H928*v01_CommonsCoef*AI928^v01_CommonsExp*INDEX(LM_Commons,G928)</x:f>
        <x:v>345.8190600878176</x:v>
      </x:c>
      <x:c r="AK928" s="32" t="n">
        <x:f>H928*v01_RoleScale*Arch_Roles*(AE928*(INDEX(v01_ElderRolePerSett,G928)*v01_OutElder*INDEX(LM_Elder,G928)+INDEX(v01_ShamanPerSett,G928)*v01_OutShaman)+Z928*(INDEX(v01_PriestShare,G928)*v01_OutPriest+INDEX(v01_ScribeShare,G928)*v01_OutScribe*INDEX(LM_Scribe,G928)+INDEX(v01_ScholarShare,G928)*v01_OutScholar*INDEX(LM_Scholar,G928)+INDEX(v01_ResearcherShare,G928)*v01_OutResearcher*INDEX(LM_Researcher,G928)))</x:f>
        <x:v>55.57945204137161</x:v>
      </x:c>
      <x:c r="AL928" s="32" t="n">
        <x:f>H928*v01_RoleScale*Arch_Roles*AE928*INDEX(v01_MonasteryPerSett,G928)*v01_OutMonastery*INDEX(LM_Monastery,G928)</x:f>
        <x:v>0</x:v>
      </x:c>
      <x:c r="AM928" s="32" t="n">
        <x:f>(AJ928+AK928+AL928)/4*INDEX(LM_All,G928)*INDEX(v01_Boon,G928)*Arch_Insight</x:f>
        <x:v>120.7311809889698</x:v>
      </x:c>
      <x:c r="AN928" s="32" t="n">
        <x:f>H928*(v01_KHPerAdult*Z928+v01_KHOfCommons*AJ928/4*INDEX(LM_All,G928))*v01_KHUsable*Arch_KH</x:f>
        <x:v>24.251806379464057</x:v>
      </x:c>
      <x:c r="AO928" s="32" t="n">
        <x:f>MIN(AP927+AN928,AM928*v01_KHMaxRatio)</x:f>
        <x:v>24.251806379464057</x:v>
      </x:c>
      <x:c r="AP928" s="32" t="n">
        <x:f>AP927+AN928-AO928</x:f>
        <x:v>0</x:v>
      </x:c>
      <x:c r="AQ928" s="32" t="n">
        <x:f>AM928+AO928</x:f>
        <x:v>144.98298736843384</x:v>
      </x:c>
      <x:c r="AR928" s="10" t="n">
        <x:f>IF(H928=1,INDEX(v01_Req,G928),0)</x:f>
        <x:v>24714.473079999996</x:v>
      </x:c>
      <x:c r="AS928" s="32" t="n">
        <x:f>IF(H928=1,IF(E928=1,AS927-AR927,AS927)+AQ928,0)</x:f>
        <x:v>5504.389333053718</x:v>
      </x:c>
      <x:c r="AT928" s="11" t="n">
        <x:f>IF(AR928&gt;0,MIN(1,AS928/AR928),1)</x:f>
        <x:v>0.2227192671774218</x:v>
      </x:c>
      <x:c r="AU928" s="10" t="n">
        <x:f>AB928/INDEX(v01_RepScale,G928)</x:f>
        <x:v>166.5071185796932</x:v>
      </x:c>
      <x:c r="AV928" s="32" t="n">
        <x:f>AM928*60/v01_SeasonSeconds</x:f>
        <x:v>482.9247239558792</x:v>
      </x:c>
    </x:row>
    <x:row r="929">
      <x:c r="A929" s="8" t="n">
        <x:f>A928+1</x:f>
        <x:v>926</x:v>
      </x:c>
      <x:c r="B929" s="9" t="n">
        <x:f>A929*v01_SeasonSeconds/60</x:f>
        <x:v>231.5</x:v>
      </x:c>
      <x:c r="C929" s="9" t="n">
        <x:f>A929/4</x:f>
        <x:v>231.5</x:v>
      </x:c>
      <x:c r="D929" s="8" t="n">
        <x:f>IF(MOD(A929,4)=0,1,0)</x:f>
        <x:v>0</x:v>
      </x:c>
      <x:c r="E929" s="8" t="n">
        <x:f>IF(AND(F928&lt;=9,AS928&gt;=AR928),1,0)</x:f>
        <x:v>0</x:v>
      </x:c>
      <x:c r="F929" s="8" t="n">
        <x:f>MIN(10,F928+E929)</x:f>
        <x:v>4</x:v>
      </x:c>
      <x:c r="G929" s="8" t="n">
        <x:f>MIN(F929,9)+1</x:f>
        <x:v>5</x:v>
      </x:c>
      <x:c r="H929" s="8" t="n">
        <x:f>IF(F929&lt;=9,1,0)</x:f>
        <x:v>1</x:v>
      </x:c>
      <x:c r="I929" s="9" t="n">
        <x:f>MIN(10,F928+IF(AR928&gt;0,MIN(1,AS928/AR928),1))</x:f>
        <x:v>4.222719267177422</x:v>
      </x:c>
      <x:c r="J929" s="32" t="n">
        <x:f>INDEX(v01_FoodCap,G929)*Arch_FoodCap*EXP(v01_CapsByProject*SUMPRODUCT((Cap_Point&lt;=I929)*(Cap_Kind="Food")*Cap_Ln))</x:f>
        <x:v>250</x:v>
      </x:c>
      <x:c r="K929" s="32" t="n">
        <x:f>J929*MIN(1,v01_LeanBase*EXP(v01_CapsByProject*SUMPRODUCT((Cap_Point&lt;=I929)*(Cap_Kind="Lean")*Cap_Ln)))</x:f>
        <x:v>250</x:v>
      </x:c>
      <x:c r="L929" s="10" t="n">
        <x:f>INDEX(v01_HousingCap,G929)*EXP(v01_CapsByProject*SUMPRODUCT((Cap_Point&lt;=I929)*(Cap_Kind="Housing")*Cap_Ln))</x:f>
        <x:v>400</x:v>
      </x:c>
      <x:c r="M929" s="10" t="n">
        <x:f>INDEX(v01_GroupCap,G929)*v01_CohesionFactor*EXP(v01_CapsByProject*SUMPRODUCT((Cap_Point&lt;=I929)*(Cap_Kind="Group")*Cap_Ln))</x:f>
        <x:v>10000</x:v>
      </x:c>
      <x:c r="N929" s="32" t="n">
        <x:f>MIN(J929,L929,M929)</x:f>
        <x:v>250</x:v>
      </x:c>
      <x:c r="O929" s="10" t="n">
        <x:f>AE928*N929</x:f>
        <x:v>3000</x:v>
      </x:c>
      <x:c r="P929" s="9" t="n">
        <x:f>MIN(1,(AB928/(AE928*IF(v01_GroupInCrowding=1,N929,MIN(J929,L929))))^v01_CrowdingExp)</x:f>
        <x:v>0.029232725191861892</x:v>
      </x:c>
      <x:c r="Q929" s="9" t="n">
        <x:f>IF(D929=1,INDEX(v01_WinterMult,G929),1)</x:f>
        <x:v>1</x:v>
      </x:c>
      <x:c r="R929" s="9" t="n">
        <x:f>H929*Z928*v01_WomenShare*v01_BaseFertility*INDEX(v01_FertMult,G929)*Arch_Fertility*(1-P929)</x:f>
        <x:v>24.215513130686</x:v>
      </x:c>
      <x:c r="S929" s="9" t="n">
        <x:f>H929*Y928*INDEX(v01_MortChild,G929)/4*Q929</x:f>
        <x:v>5.118303090443019</x:v>
      </x:c>
      <x:c r="T929" s="9" t="n">
        <x:f>H929*Z928*INDEX(v01_MortAdult,G929)*Arch_AdultMort/4*Q929</x:f>
        <x:v>1.7322718842474327</x:v>
      </x:c>
      <x:c r="U929" s="9" t="n">
        <x:f>H929*AA928*INDEX(v01_MortElder,G929)/4*Q929</x:f>
        <x:v>3.6146441448057707</x:v>
      </x:c>
      <x:c r="V929" s="9" t="n">
        <x:f>H929*MAX(0,AB928-O929)*v01_OvercapLoss</x:f>
        <x:v>0</x:v>
      </x:c>
      <x:c r="W929" s="9" t="n">
        <x:f>H929*Y928/(v01_ChildYears*4)</x:f>
        <x:v>13.056895638885253</x:v>
      </x:c>
      <x:c r="X929" s="9" t="n">
        <x:f>H929*Z928/(v01_AdultYears*4)</x:f>
        <x:v>5.5879738201530085</x:v>
      </x:c>
      <x:c r="Y929" s="32" t="n">
        <x:f>Y928+R929-S929-W929-Y928*V929/AB928</x:f>
        <x:v>737.2264701789319</x:v>
      </x:c>
      <x:c r="Z929" s="32" t="n">
        <x:f>Z928+W929-X929-T929-Z928*V929/AB928</x:f>
        <x:v>698.6454036334579</x:v>
      </x:c>
      <x:c r="AA929" s="32" t="n">
        <x:f>AA928+X929-U929-AA928*V929/AB928</x:f>
        <x:v>242.94960599573196</x:v>
      </x:c>
      <x:c r="AB929" s="10" t="n">
        <x:f>Y929+Z929+AA929</x:f>
        <x:v>1678.8214798081217</x:v>
      </x:c>
      <x:c r="AC929" s="8" t="n">
        <x:f>IF(AND(v01_WinterTrigger=1,D929=1,AB928/AE928&gt;=K929),1,0)</x:f>
        <x:v>0</x:v>
      </x:c>
      <x:c r="AD929" s="8" t="n">
        <x:f>H929*IF(AND(OR(AB928/AE928&gt;=v01_FissionTrigger*N929,AC929=1),AB928/AE928*v01_DaughterShare&gt;=v01_MinDaughter),MAX(1,ROUND(AE928*v01_FissionRate,0)),0)</x:f>
        <x:v>0</x:v>
      </x:c>
      <x:c r="AE929" s="8" t="n">
        <x:f>IF(H929=1,MAX(1,MIN(INDEX(v01_Smax,G929),AE928+AD929)),AE928)</x:f>
        <x:v>12</x:v>
      </x:c>
      <x:c r="AF929" s="8" t="n">
        <x:f>MAX(0,AE929-AE928)</x:f>
        <x:v>0</x:v>
      </x:c>
      <x:c r="AG929" s="9" t="str">
        <x:f>IF(AF929&gt;0,B929,"")</x:f>
      </x:c>
      <x:c r="AH929" s="9" t="n">
        <x:f>IF(F929&gt;=1,1,(1+v01_LowTiesShare*(AE929-1))/AE929)</x:f>
        <x:v>1</x:v>
      </x:c>
      <x:c r="AI929" s="32" t="n">
        <x:f>(Z929+v01_ElderCommons*INDEX(LM_Elder,G929)*AA929)*AH929</x:f>
        <x:v>1427.4942216206537</x:v>
      </x:c>
      <x:c r="AJ929" s="32" t="n">
        <x:f>H929*v01_CommonsCoef*AI929^v01_CommonsExp*INDEX(LM_Commons,G929)</x:f>
        <x:v>348.2376395133122</x:v>
      </x:c>
      <x:c r="AK929" s="32" t="n">
        <x:f>H929*v01_RoleScale*Arch_Roles*(AE929*(INDEX(v01_ElderRolePerSett,G929)*v01_OutElder*INDEX(LM_Elder,G929)+INDEX(v01_ShamanPerSett,G929)*v01_OutShaman)+Z929*(INDEX(v01_PriestShare,G929)*v01_OutPriest+INDEX(v01_ScribeShare,G929)*v01_OutScribe*INDEX(LM_Scribe,G929)+INDEX(v01_ScholarShare,G929)*v01_OutScholar*INDEX(LM_Scholar,G929)+INDEX(v01_ResearcherShare,G929)*v01_OutResearcher*INDEX(LM_Researcher,G929)))</x:f>
        <x:v>55.74155197396848</x:v>
      </x:c>
      <x:c r="AL929" s="32" t="n">
        <x:f>H929*v01_RoleScale*Arch_Roles*AE929*INDEX(v01_MonasteryPerSett,G929)*v01_OutMonastery*INDEX(LM_Monastery,G929)</x:f>
        <x:v>0</x:v>
      </x:c>
      <x:c r="AM929" s="32" t="n">
        <x:f>(AJ929+AK929+AL929)/4*INDEX(LM_All,G929)*INDEX(v01_Boon,G929)*Arch_Insight</x:f>
        <x:v>121.50738831720216</x:v>
      </x:c>
      <x:c r="AN929" s="32" t="n">
        <x:f>H929*(v01_KHPerAdult*Z929+v01_KHOfCommons*AJ929/4*INDEX(LM_All,G929))*v01_KHUsable*Arch_KH</x:f>
        <x:v>24.452589127171027</x:v>
      </x:c>
      <x:c r="AO929" s="32" t="n">
        <x:f>MIN(AP928+AN929,AM929*v01_KHMaxRatio)</x:f>
        <x:v>24.452589127171027</x:v>
      </x:c>
      <x:c r="AP929" s="32" t="n">
        <x:f>AP928+AN929-AO929</x:f>
        <x:v>0</x:v>
      </x:c>
      <x:c r="AQ929" s="32" t="n">
        <x:f>AM929+AO929</x:f>
        <x:v>145.95997744437318</x:v>
      </x:c>
      <x:c r="AR929" s="10" t="n">
        <x:f>IF(H929=1,INDEX(v01_Req,G929),0)</x:f>
        <x:v>24714.473079999996</x:v>
      </x:c>
      <x:c r="AS929" s="32" t="n">
        <x:f>IF(H929=1,IF(E929=1,AS928-AR928,AS928)+AQ929,0)</x:f>
        <x:v>5650.349310498091</x:v>
      </x:c>
      <x:c r="AT929" s="11" t="n">
        <x:f>IF(AR929&gt;0,MIN(1,AS929/AR929),1)</x:f>
        <x:v>0.22862511744466824</x:v>
      </x:c>
      <x:c r="AU929" s="10" t="n">
        <x:f>AB929/INDEX(v01_RepScale,G929)</x:f>
        <x:v>167.88214798081216</x:v>
      </x:c>
      <x:c r="AV929" s="32" t="n">
        <x:f>AM929*60/v01_SeasonSeconds</x:f>
        <x:v>486.0295532688086</x:v>
      </x:c>
    </x:row>
    <x:row r="930">
      <x:c r="A930" s="8" t="n">
        <x:f>A929+1</x:f>
        <x:v>927</x:v>
      </x:c>
      <x:c r="B930" s="9" t="n">
        <x:f>A930*v01_SeasonSeconds/60</x:f>
        <x:v>231.75</x:v>
      </x:c>
      <x:c r="C930" s="9" t="n">
        <x:f>A930/4</x:f>
        <x:v>231.75</x:v>
      </x:c>
      <x:c r="D930" s="8" t="n">
        <x:f>IF(MOD(A930,4)=0,1,0)</x:f>
        <x:v>0</x:v>
      </x:c>
      <x:c r="E930" s="8" t="n">
        <x:f>IF(AND(F929&lt;=9,AS929&gt;=AR929),1,0)</x:f>
        <x:v>0</x:v>
      </x:c>
      <x:c r="F930" s="8" t="n">
        <x:f>MIN(10,F929+E930)</x:f>
        <x:v>4</x:v>
      </x:c>
      <x:c r="G930" s="8" t="n">
        <x:f>MIN(F930,9)+1</x:f>
        <x:v>5</x:v>
      </x:c>
      <x:c r="H930" s="8" t="n">
        <x:f>IF(F930&lt;=9,1,0)</x:f>
        <x:v>1</x:v>
      </x:c>
      <x:c r="I930" s="9" t="n">
        <x:f>MIN(10,F929+IF(AR929&gt;0,MIN(1,AS929/AR929),1))</x:f>
        <x:v>4.228625117444668</x:v>
      </x:c>
      <x:c r="J930" s="32" t="n">
        <x:f>INDEX(v01_FoodCap,G930)*Arch_FoodCap*EXP(v01_CapsByProject*SUMPRODUCT((Cap_Point&lt;=I930)*(Cap_Kind="Food")*Cap_Ln))</x:f>
        <x:v>250</x:v>
      </x:c>
      <x:c r="K930" s="32" t="n">
        <x:f>J930*MIN(1,v01_LeanBase*EXP(v01_CapsByProject*SUMPRODUCT((Cap_Point&lt;=I930)*(Cap_Kind="Lean")*Cap_Ln)))</x:f>
        <x:v>250</x:v>
      </x:c>
      <x:c r="L930" s="10" t="n">
        <x:f>INDEX(v01_HousingCap,G930)*EXP(v01_CapsByProject*SUMPRODUCT((Cap_Point&lt;=I930)*(Cap_Kind="Housing")*Cap_Ln))</x:f>
        <x:v>400</x:v>
      </x:c>
      <x:c r="M930" s="10" t="n">
        <x:f>INDEX(v01_GroupCap,G930)*v01_CohesionFactor*EXP(v01_CapsByProject*SUMPRODUCT((Cap_Point&lt;=I930)*(Cap_Kind="Group")*Cap_Ln))</x:f>
        <x:v>10000</x:v>
      </x:c>
      <x:c r="N930" s="32" t="n">
        <x:f>MIN(J930,L930,M930)</x:f>
        <x:v>250</x:v>
      </x:c>
      <x:c r="O930" s="10" t="n">
        <x:f>AE929*N930</x:f>
        <x:v>3000</x:v>
      </x:c>
      <x:c r="P930" s="9" t="n">
        <x:f>MIN(1,(AB929/(AE929*IF(v01_GroupInCrowding=1,N930,MIN(J930,L930))))^v01_CrowdingExp)</x:f>
        <x:v>0.03071139719331965</x:v>
      </x:c>
      <x:c r="Q930" s="9" t="n">
        <x:f>IF(D930=1,INDEX(v01_WinterMult,G930),1)</x:f>
        <x:v>1</x:v>
      </x:c>
      <x:c r="R930" s="9" t="n">
        <x:f>H930*Z929*v01_WomenShare*v01_BaseFertility*INDEX(v01_FertMult,G930)*Arch_Fertility*(1-P930)</x:f>
        <x:v>24.37880497722661</x:v>
      </x:c>
      <x:c r="S930" s="9" t="n">
        <x:f>H930*Y929*INDEX(v01_MortChild,G930)/4*Q930</x:f>
        <x:v>5.160585291252524</x:v>
      </x:c>
      <x:c r="T930" s="9" t="n">
        <x:f>H930*Z929*INDEX(v01_MortAdult,G930)*Arch_AdultMort/4*Q930</x:f>
        <x:v>1.7466135090836448</x:v>
      </x:c>
      <x:c r="U930" s="9" t="n">
        <x:f>H930*AA929*INDEX(v01_MortElder,G930)/4*Q930</x:f>
        <x:v>3.644244089935979</x:v>
      </x:c>
      <x:c r="V930" s="9" t="n">
        <x:f>H930*MAX(0,AB929-O930)*v01_OvercapLoss</x:f>
        <x:v>0</x:v>
      </x:c>
      <x:c r="W930" s="9" t="n">
        <x:f>H930*Y929/(v01_ChildYears*4)</x:f>
        <x:v>13.164758396052354</x:v>
      </x:c>
      <x:c r="X930" s="9" t="n">
        <x:f>H930*Z929/(v01_AdultYears*4)</x:f>
        <x:v>5.634237126076274</x:v>
      </x:c>
      <x:c r="Y930" s="32" t="n">
        <x:f>Y929+R930-S930-W930-Y929*V930/AB929</x:f>
        <x:v>743.2799314688536</x:v>
      </x:c>
      <x:c r="Z930" s="32" t="n">
        <x:f>Z929+W930-X930-T930-Z929*V930/AB929</x:f>
        <x:v>704.4293113943503</x:v>
      </x:c>
      <x:c r="AA930" s="32" t="n">
        <x:f>AA929+X930-U930-AA929*V930/AB929</x:f>
        <x:v>244.93959903187226</x:v>
      </x:c>
      <x:c r="AB930" s="10" t="n">
        <x:f>Y930+Z930+AA930</x:f>
        <x:v>1692.6488418950762</x:v>
      </x:c>
      <x:c r="AC930" s="8" t="n">
        <x:f>IF(AND(v01_WinterTrigger=1,D930=1,AB929/AE929&gt;=K930),1,0)</x:f>
        <x:v>0</x:v>
      </x:c>
      <x:c r="AD930" s="8" t="n">
        <x:f>H930*IF(AND(OR(AB929/AE929&gt;=v01_FissionTrigger*N930,AC930=1),AB929/AE929*v01_DaughterShare&gt;=v01_MinDaughter),MAX(1,ROUND(AE929*v01_FissionRate,0)),0)</x:f>
        <x:v>0</x:v>
      </x:c>
      <x:c r="AE930" s="8" t="n">
        <x:f>IF(H930=1,MAX(1,MIN(INDEX(v01_Smax,G930),AE929+AD930)),AE929)</x:f>
        <x:v>12</x:v>
      </x:c>
      <x:c r="AF930" s="8" t="n">
        <x:f>MAX(0,AE930-AE929)</x:f>
        <x:v>0</x:v>
      </x:c>
      <x:c r="AG930" s="9" t="str">
        <x:f>IF(AF930&gt;0,B930,"")</x:f>
      </x:c>
      <x:c r="AH930" s="9" t="n">
        <x:f>IF(F930&gt;=1,1,(1+v01_LowTiesShare*(AE930-1))/AE930)</x:f>
        <x:v>1</x:v>
      </x:c>
      <x:c r="AI930" s="32" t="n">
        <x:f>(Z930+v01_ElderCommons*INDEX(LM_Elder,G930)*AA930)*AH930</x:f>
        <x:v>1439.248108489967</x:v>
      </x:c>
      <x:c r="AJ930" s="32" t="n">
        <x:f>H930*v01_CommonsCoef*AI930^v01_CommonsExp*INDEX(LM_Commons,G930)</x:f>
        <x:v>350.67339869134105</x:v>
      </x:c>
      <x:c r="AK930" s="32" t="n">
        <x:f>H930*v01_RoleScale*Arch_Roles*(AE930*(INDEX(v01_ElderRolePerSett,G930)*v01_OutElder*INDEX(LM_Elder,G930)+INDEX(v01_ShamanPerSett,G930)*v01_OutShaman)+Z930*(INDEX(v01_PriestShare,G930)*v01_OutPriest+INDEX(v01_ScribeShare,G930)*v01_OutScribe*INDEX(LM_Scribe,G930)+INDEX(v01_ScholarShare,G930)*v01_OutScholar*INDEX(LM_Scholar,G930)+INDEX(v01_ResearcherShare,G930)*v01_OutResearcher*INDEX(LM_Researcher,G930)))</x:f>
        <x:v>55.904987266150265</x:v>
      </x:c>
      <x:c r="AL930" s="32" t="n">
        <x:f>H930*v01_RoleScale*Arch_Roles*AE930*INDEX(v01_MonasteryPerSett,G930)*v01_OutMonastery*INDEX(LM_Monastery,G930)</x:f>
        <x:v>0</x:v>
      </x:c>
      <x:c r="AM930" s="32" t="n">
        <x:f>(AJ930+AK930+AL930)/4*INDEX(LM_All,G930)*INDEX(v01_Boon,G930)*Arch_Insight</x:f>
        <x:v>122.28916455335207</x:v>
      </x:c>
      <x:c r="AN930" s="32" t="n">
        <x:f>H930*(v01_KHPerAdult*Z930+v01_KHOfCommons*AJ930/4*INDEX(LM_All,G930))*v01_KHUsable*Arch_KH</x:f>
        <x:v>24.65502589880226</x:v>
      </x:c>
      <x:c r="AO930" s="32" t="n">
        <x:f>MIN(AP929+AN930,AM930*v01_KHMaxRatio)</x:f>
        <x:v>24.65502589880226</x:v>
      </x:c>
      <x:c r="AP930" s="32" t="n">
        <x:f>AP929+AN930-AO930</x:f>
        <x:v>0</x:v>
      </x:c>
      <x:c r="AQ930" s="32" t="n">
        <x:f>AM930+AO930</x:f>
        <x:v>146.94419045215432</x:v>
      </x:c>
      <x:c r="AR930" s="10" t="n">
        <x:f>IF(H930=1,INDEX(v01_Req,G930),0)</x:f>
        <x:v>24714.473079999996</x:v>
      </x:c>
      <x:c r="AS930" s="32" t="n">
        <x:f>IF(H930=1,IF(E930=1,AS929-AR929,AS929)+AQ930,0)</x:f>
        <x:v>5797.293500950245</x:v>
      </x:c>
      <x:c r="AT930" s="11" t="n">
        <x:f>IF(AR930&gt;0,MIN(1,AS930/AR930),1)</x:f>
        <x:v>0.23457079105771678</x:v>
      </x:c>
      <x:c r="AU930" s="10" t="n">
        <x:f>AB930/INDEX(v01_RepScale,G930)</x:f>
        <x:v>169.26488418950763</x:v>
      </x:c>
      <x:c r="AV930" s="32" t="n">
        <x:f>AM930*60/v01_SeasonSeconds</x:f>
        <x:v>489.15665821340826</x:v>
      </x:c>
    </x:row>
    <x:row r="931">
      <x:c r="A931" s="8" t="n">
        <x:f>A930+1</x:f>
        <x:v>928</x:v>
      </x:c>
      <x:c r="B931" s="9" t="n">
        <x:f>A931*v01_SeasonSeconds/60</x:f>
        <x:v>232</x:v>
      </x:c>
      <x:c r="C931" s="9" t="n">
        <x:f>A931/4</x:f>
        <x:v>232</x:v>
      </x:c>
      <x:c r="D931" s="8" t="n">
        <x:f>IF(MOD(A931,4)=0,1,0)</x:f>
        <x:v>1</x:v>
      </x:c>
      <x:c r="E931" s="8" t="n">
        <x:f>IF(AND(F930&lt;=9,AS930&gt;=AR930),1,0)</x:f>
        <x:v>0</x:v>
      </x:c>
      <x:c r="F931" s="8" t="n">
        <x:f>MIN(10,F930+E931)</x:f>
        <x:v>4</x:v>
      </x:c>
      <x:c r="G931" s="8" t="n">
        <x:f>MIN(F931,9)+1</x:f>
        <x:v>5</x:v>
      </x:c>
      <x:c r="H931" s="8" t="n">
        <x:f>IF(F931&lt;=9,1,0)</x:f>
        <x:v>1</x:v>
      </x:c>
      <x:c r="I931" s="9" t="n">
        <x:f>MIN(10,F930+IF(AR930&gt;0,MIN(1,AS930/AR930),1))</x:f>
        <x:v>4.234570791057717</x:v>
      </x:c>
      <x:c r="J931" s="32" t="n">
        <x:f>INDEX(v01_FoodCap,G931)*Arch_FoodCap*EXP(v01_CapsByProject*SUMPRODUCT((Cap_Point&lt;=I931)*(Cap_Kind="Food")*Cap_Ln))</x:f>
        <x:v>250</x:v>
      </x:c>
      <x:c r="K931" s="32" t="n">
        <x:f>J931*MIN(1,v01_LeanBase*EXP(v01_CapsByProject*SUMPRODUCT((Cap_Point&lt;=I931)*(Cap_Kind="Lean")*Cap_Ln)))</x:f>
        <x:v>250</x:v>
      </x:c>
      <x:c r="L931" s="10" t="n">
        <x:f>INDEX(v01_HousingCap,G931)*EXP(v01_CapsByProject*SUMPRODUCT((Cap_Point&lt;=I931)*(Cap_Kind="Housing")*Cap_Ln))</x:f>
        <x:v>400</x:v>
      </x:c>
      <x:c r="M931" s="10" t="n">
        <x:f>INDEX(v01_GroupCap,G931)*v01_CohesionFactor*EXP(v01_CapsByProject*SUMPRODUCT((Cap_Point&lt;=I931)*(Cap_Kind="Group")*Cap_Ln))</x:f>
        <x:v>10000</x:v>
      </x:c>
      <x:c r="N931" s="32" t="n">
        <x:f>MIN(J931,L931,M931)</x:f>
        <x:v>250</x:v>
      </x:c>
      <x:c r="O931" s="10" t="n">
        <x:f>AE930*N931</x:f>
        <x:v>3000</x:v>
      </x:c>
      <x:c r="P931" s="9" t="n">
        <x:f>MIN(1,(AB930/(AE930*IF(v01_GroupInCrowding=1,N931,MIN(J931,L931))))^v01_CrowdingExp)</x:f>
        <x:v>0.03226069224622033</x:v>
      </x:c>
      <x:c r="Q931" s="9" t="n">
        <x:f>IF(D931=1,INDEX(v01_WinterMult,G931),1)</x:f>
        <x:v>1</x:v>
      </x:c>
      <x:c r="R931" s="9" t="n">
        <x:f>H931*Z930*v01_WomenShare*v01_BaseFertility*INDEX(v01_FertMult,G931)*Arch_Fertility*(1-P931)</x:f>
        <x:v>24.54134163012865</x:v>
      </x:c>
      <x:c r="S931" s="9" t="n">
        <x:f>H931*Y930*INDEX(v01_MortChild,G931)/4*Q931</x:f>
        <x:v>5.202959520281976</x:v>
      </x:c>
      <x:c r="T931" s="9" t="n">
        <x:f>H931*Z930*INDEX(v01_MortAdult,G931)*Arch_AdultMort/4*Q931</x:f>
        <x:v>1.7610732784858758</x:v>
      </x:c>
      <x:c r="U931" s="9" t="n">
        <x:f>H931*AA930*INDEX(v01_MortElder,G931)/4*Q931</x:f>
        <x:v>3.6740939854780836</x:v>
      </x:c>
      <x:c r="V931" s="9" t="n">
        <x:f>H931*MAX(0,AB930-O931)*v01_OvercapLoss</x:f>
        <x:v>0</x:v>
      </x:c>
      <x:c r="W931" s="9" t="n">
        <x:f>H931*Y930/(v01_ChildYears*4)</x:f>
        <x:v>13.272855919086672</x:v>
      </x:c>
      <x:c r="X931" s="9" t="n">
        <x:f>H931*Z930/(v01_AdultYears*4)</x:f>
        <x:v>5.680881543502825</x:v>
      </x:c>
      <x:c r="Y931" s="32" t="n">
        <x:f>Y930+R931-S931-W931-Y930*V931/AB930</x:f>
        <x:v>749.3454576596137</x:v>
      </x:c>
      <x:c r="Z931" s="32" t="n">
        <x:f>Z930+W931-X931-T931-Z930*V931/AB930</x:f>
        <x:v>710.2602124914482</x:v>
      </x:c>
      <x:c r="AA931" s="32" t="n">
        <x:f>AA930+X931-U931-AA930*V931/AB930</x:f>
        <x:v>246.946386589897</x:v>
      </x:c>
      <x:c r="AB931" s="10" t="n">
        <x:f>Y931+Z931+AA931</x:f>
        <x:v>1706.552056740959</x:v>
      </x:c>
      <x:c r="AC931" s="8" t="n">
        <x:f>IF(AND(v01_WinterTrigger=1,D931=1,AB930/AE930&gt;=K931),1,0)</x:f>
        <x:v>0</x:v>
      </x:c>
      <x:c r="AD931" s="8" t="n">
        <x:f>H931*IF(AND(OR(AB930/AE930&gt;=v01_FissionTrigger*N931,AC931=1),AB930/AE930*v01_DaughterShare&gt;=v01_MinDaughter),MAX(1,ROUND(AE930*v01_FissionRate,0)),0)</x:f>
        <x:v>0</x:v>
      </x:c>
      <x:c r="AE931" s="8" t="n">
        <x:f>IF(H931=1,MAX(1,MIN(INDEX(v01_Smax,G931),AE930+AD931)),AE930)</x:f>
        <x:v>12</x:v>
      </x:c>
      <x:c r="AF931" s="8" t="n">
        <x:f>MAX(0,AE931-AE930)</x:f>
        <x:v>0</x:v>
      </x:c>
      <x:c r="AG931" s="9" t="str">
        <x:f>IF(AF931&gt;0,B931,"")</x:f>
      </x:c>
      <x:c r="AH931" s="9" t="n">
        <x:f>IF(F931&gt;=1,1,(1+v01_LowTiesShare*(AE931-1))/AE931)</x:f>
        <x:v>1</x:v>
      </x:c>
      <x:c r="AI931" s="32" t="n">
        <x:f>(Z931+v01_ElderCommons*INDEX(LM_Elder,G931)*AA931)*AH931</x:f>
        <x:v>1451.0993722611393</x:v>
      </x:c>
      <x:c r="AJ931" s="32" t="n">
        <x:f>H931*v01_CommonsCoef*AI931^v01_CommonsExp*INDEX(LM_Commons,G931)</x:f>
        <x:v>353.12631819210753</x:v>
      </x:c>
      <x:c r="AK931" s="32" t="n">
        <x:f>H931*v01_RoleScale*Arch_Roles*(AE931*(INDEX(v01_ElderRolePerSett,G931)*v01_OutElder*INDEX(LM_Elder,G931)+INDEX(v01_ShamanPerSett,G931)*v01_OutShaman)+Z931*(INDEX(v01_PriestShare,G931)*v01_OutPriest+INDEX(v01_ScribeShare,G931)*v01_OutScribe*INDEX(LM_Scribe,G931)+INDEX(v01_ScholarShare,G931)*v01_OutScholar*INDEX(LM_Scholar,G931)+INDEX(v01_ResearcherShare,G931)*v01_OutResearcher*INDEX(LM_Researcher,G931)))</x:f>
        <x:v>56.069750444244285</x:v>
      </x:c>
      <x:c r="AL931" s="32" t="n">
        <x:f>H931*v01_RoleScale*Arch_Roles*AE931*INDEX(v01_MonasteryPerSett,G931)*v01_OutMonastery*INDEX(LM_Monastery,G931)</x:f>
        <x:v>0</x:v>
      </x:c>
      <x:c r="AM931" s="32" t="n">
        <x:f>(AJ931+AK931+AL931)/4*INDEX(LM_All,G931)*INDEX(v01_Boon,G931)*Arch_Insight</x:f>
        <x:v>123.07650160549211</x:v>
      </x:c>
      <x:c r="AN931" s="32" t="n">
        <x:f>H931*(v01_KHPerAdult*Z931+v01_KHOfCommons*AJ931/4*INDEX(LM_All,G931))*v01_KHUsable*Arch_KH</x:f>
        <x:v>24.859107437200684</x:v>
      </x:c>
      <x:c r="AO931" s="32" t="n">
        <x:f>MIN(AP930+AN931,AM931*v01_KHMaxRatio)</x:f>
        <x:v>24.859107437200684</x:v>
      </x:c>
      <x:c r="AP931" s="32" t="n">
        <x:f>AP930+AN931-AO931</x:f>
        <x:v>0</x:v>
      </x:c>
      <x:c r="AQ931" s="32" t="n">
        <x:f>AM931+AO931</x:f>
        <x:v>147.9356090426928</x:v>
      </x:c>
      <x:c r="AR931" s="10" t="n">
        <x:f>IF(H931=1,INDEX(v01_Req,G931),0)</x:f>
        <x:v>24714.473079999996</x:v>
      </x:c>
      <x:c r="AS931" s="32" t="n">
        <x:f>IF(H931=1,IF(E931=1,AS930-AR930,AS930)+AQ931,0)</x:f>
        <x:v>5945.229109992938</x:v>
      </x:c>
      <x:c r="AT931" s="11" t="n">
        <x:f>IF(AR931&gt;0,MIN(1,AS931/AR931),1)</x:f>
        <x:v>0.24055657956972873</x:v>
      </x:c>
      <x:c r="AU931" s="10" t="n">
        <x:f>AB931/INDEX(v01_RepScale,G931)</x:f>
        <x:v>170.6552056740959</x:v>
      </x:c>
      <x:c r="AV931" s="32" t="n">
        <x:f>AM931*60/v01_SeasonSeconds</x:f>
        <x:v>492.30600642196845</x:v>
      </x:c>
    </x:row>
    <x:row r="932">
      <x:c r="A932" s="8" t="n">
        <x:f>A931+1</x:f>
        <x:v>929</x:v>
      </x:c>
      <x:c r="B932" s="9" t="n">
        <x:f>A932*v01_SeasonSeconds/60</x:f>
        <x:v>232.25</x:v>
      </x:c>
      <x:c r="C932" s="9" t="n">
        <x:f>A932/4</x:f>
        <x:v>232.25</x:v>
      </x:c>
      <x:c r="D932" s="8" t="n">
        <x:f>IF(MOD(A932,4)=0,1,0)</x:f>
        <x:v>0</x:v>
      </x:c>
      <x:c r="E932" s="8" t="n">
        <x:f>IF(AND(F931&lt;=9,AS931&gt;=AR931),1,0)</x:f>
        <x:v>0</x:v>
      </x:c>
      <x:c r="F932" s="8" t="n">
        <x:f>MIN(10,F931+E932)</x:f>
        <x:v>4</x:v>
      </x:c>
      <x:c r="G932" s="8" t="n">
        <x:f>MIN(F932,9)+1</x:f>
        <x:v>5</x:v>
      </x:c>
      <x:c r="H932" s="8" t="n">
        <x:f>IF(F932&lt;=9,1,0)</x:f>
        <x:v>1</x:v>
      </x:c>
      <x:c r="I932" s="9" t="n">
        <x:f>MIN(10,F931+IF(AR931&gt;0,MIN(1,AS931/AR931),1))</x:f>
        <x:v>4.240556579569729</x:v>
      </x:c>
      <x:c r="J932" s="32" t="n">
        <x:f>INDEX(v01_FoodCap,G932)*Arch_FoodCap*EXP(v01_CapsByProject*SUMPRODUCT((Cap_Point&lt;=I932)*(Cap_Kind="Food")*Cap_Ln))</x:f>
        <x:v>250</x:v>
      </x:c>
      <x:c r="K932" s="32" t="n">
        <x:f>J932*MIN(1,v01_LeanBase*EXP(v01_CapsByProject*SUMPRODUCT((Cap_Point&lt;=I932)*(Cap_Kind="Lean")*Cap_Ln)))</x:f>
        <x:v>250</x:v>
      </x:c>
      <x:c r="L932" s="10" t="n">
        <x:f>INDEX(v01_HousingCap,G932)*EXP(v01_CapsByProject*SUMPRODUCT((Cap_Point&lt;=I932)*(Cap_Kind="Housing")*Cap_Ln))</x:f>
        <x:v>400</x:v>
      </x:c>
      <x:c r="M932" s="10" t="n">
        <x:f>INDEX(v01_GroupCap,G932)*v01_CohesionFactor*EXP(v01_CapsByProject*SUMPRODUCT((Cap_Point&lt;=I932)*(Cap_Kind="Group")*Cap_Ln))</x:f>
        <x:v>10000</x:v>
      </x:c>
      <x:c r="N932" s="32" t="n">
        <x:f>MIN(J932,L932,M932)</x:f>
        <x:v>250</x:v>
      </x:c>
      <x:c r="O932" s="10" t="n">
        <x:f>AE931*N932</x:f>
        <x:v>3000</x:v>
      </x:c>
      <x:c r="P932" s="9" t="n">
        <x:f>MIN(1,(AB931/(AE931*IF(v01_GroupInCrowding=1,N932,MIN(J932,L932))))^v01_CrowdingExp)</x:f>
        <x:v>0.03388361317074911</x:v>
      </x:c>
      <x:c r="Q932" s="9" t="n">
        <x:f>IF(D932=1,INDEX(v01_WinterMult,G932),1)</x:f>
        <x:v>1</x:v>
      </x:c>
      <x:c r="R932" s="9" t="n">
        <x:f>H932*Z931*v01_WomenShare*v01_BaseFertility*INDEX(v01_FertMult,G932)*Arch_Fertility*(1-P932)</x:f>
        <x:v>24.7029850872293</x:v>
      </x:c>
      <x:c r="S932" s="9" t="n">
        <x:f>H932*Y931*INDEX(v01_MortChild,G932)/4*Q932</x:f>
        <x:v>5.245418203617295</x:v>
      </x:c>
      <x:c r="T932" s="9" t="n">
        <x:f>H932*Z931*INDEX(v01_MortAdult,G932)*Arch_AdultMort/4*Q932</x:f>
        <x:v>1.7756505312286206</x:v>
      </x:c>
      <x:c r="U932" s="9" t="n">
        <x:f>H932*AA931*INDEX(v01_MortElder,G932)/4*Q932</x:f>
        <x:v>3.704195798848455</x:v>
      </x:c>
      <x:c r="V932" s="9" t="n">
        <x:f>H932*MAX(0,AB931-O932)*v01_OvercapLoss</x:f>
        <x:v>0</x:v>
      </x:c>
      <x:c r="W932" s="9" t="n">
        <x:f>H932*Y931/(v01_ChildYears*4)</x:f>
        <x:v>13.381168886778815</x:v>
      </x:c>
      <x:c r="X932" s="9" t="n">
        <x:f>H932*Z931/(v01_AdultYears*4)</x:f>
        <x:v>5.727904939447163</x:v>
      </x:c>
      <x:c r="Y932" s="32" t="n">
        <x:f>Y931+R932-S932-W932-Y931*V932/AB931</x:f>
        <x:v>755.4218556564468</x:v>
      </x:c>
      <x:c r="Z932" s="32" t="n">
        <x:f>Z931+W932-X932-T932-Z931*V932/AB931</x:f>
        <x:v>716.1378259075512</x:v>
      </x:c>
      <x:c r="AA932" s="32" t="n">
        <x:f>AA931+X932-U932-AA931*V932/AB931</x:f>
        <x:v>248.97009573049573</x:v>
      </x:c>
      <x:c r="AB932" s="10" t="n">
        <x:f>Y932+Z932+AA932</x:f>
        <x:v>1720.529777294494</x:v>
      </x:c>
      <x:c r="AC932" s="8" t="n">
        <x:f>IF(AND(v01_WinterTrigger=1,D932=1,AB931/AE931&gt;=K932),1,0)</x:f>
        <x:v>0</x:v>
      </x:c>
      <x:c r="AD932" s="8" t="n">
        <x:f>H932*IF(AND(OR(AB931/AE931&gt;=v01_FissionTrigger*N932,AC932=1),AB931/AE931*v01_DaughterShare&gt;=v01_MinDaughter),MAX(1,ROUND(AE931*v01_FissionRate,0)),0)</x:f>
        <x:v>0</x:v>
      </x:c>
      <x:c r="AE932" s="8" t="n">
        <x:f>IF(H932=1,MAX(1,MIN(INDEX(v01_Smax,G932),AE931+AD932)),AE931)</x:f>
        <x:v>12</x:v>
      </x:c>
      <x:c r="AF932" s="8" t="n">
        <x:f>MAX(0,AE932-AE931)</x:f>
        <x:v>0</x:v>
      </x:c>
      <x:c r="AG932" s="9" t="str">
        <x:f>IF(AF932&gt;0,B932,"")</x:f>
      </x:c>
      <x:c r="AH932" s="9" t="n">
        <x:f>IF(F932&gt;=1,1,(1+v01_LowTiesShare*(AE932-1))/AE932)</x:f>
        <x:v>1</x:v>
      </x:c>
      <x:c r="AI932" s="32" t="n">
        <x:f>(Z932+v01_ElderCommons*INDEX(LM_Elder,G932)*AA932)*AH932</x:f>
        <x:v>1463.0481130990383</x:v>
      </x:c>
      <x:c r="AJ932" s="32" t="n">
        <x:f>H932*v01_CommonsCoef*AI932^v01_CommonsExp*INDEX(LM_Commons,G932)</x:f>
        <x:v>355.5963727883443</x:v>
      </x:c>
      <x:c r="AK932" s="32" t="n">
        <x:f>H932*v01_RoleScale*Arch_Roles*(AE932*(INDEX(v01_ElderRolePerSett,G932)*v01_OutElder*INDEX(LM_Elder,G932)+INDEX(v01_ShamanPerSett,G932)*v01_OutShaman)+Z932*(INDEX(v01_PriestShare,G932)*v01_OutPriest+INDEX(v01_ScribeShare,G932)*v01_OutScribe*INDEX(LM_Scribe,G932)+INDEX(v01_ScholarShare,G932)*v01_OutScholar*INDEX(LM_Scholar,G932)+INDEX(v01_ResearcherShare,G932)*v01_OutResearcher*INDEX(LM_Researcher,G932)))</x:f>
        <x:v>56.235833567576144</x:v>
      </x:c>
      <x:c r="AL932" s="32" t="n">
        <x:f>H932*v01_RoleScale*Arch_Roles*AE932*INDEX(v01_MonasteryPerSett,G932)*v01_OutMonastery*INDEX(LM_Monastery,G932)</x:f>
        <x:v>0</x:v>
      </x:c>
      <x:c r="AM932" s="32" t="n">
        <x:f>(AJ932+AK932+AL932)/4*INDEX(LM_All,G932)*INDEX(v01_Boon,G932)*Arch_Insight</x:f>
        <x:v>123.86938949748972</x:v>
      </x:c>
      <x:c r="AN932" s="32" t="n">
        <x:f>H932*(v01_KHPerAdult*Z932+v01_KHOfCommons*AJ932/4*INDEX(LM_All,G932))*v01_KHUsable*Arch_KH</x:f>
        <x:v>25.064823906764293</x:v>
      </x:c>
      <x:c r="AO932" s="32" t="n">
        <x:f>MIN(AP931+AN932,AM932*v01_KHMaxRatio)</x:f>
        <x:v>25.064823906764293</x:v>
      </x:c>
      <x:c r="AP932" s="32" t="n">
        <x:f>AP931+AN932-AO932</x:f>
        <x:v>0</x:v>
      </x:c>
      <x:c r="AQ932" s="32" t="n">
        <x:f>AM932+AO932</x:f>
        <x:v>148.93421340425402</x:v>
      </x:c>
      <x:c r="AR932" s="10" t="n">
        <x:f>IF(H932=1,INDEX(v01_Req,G932),0)</x:f>
        <x:v>24714.473079999996</x:v>
      </x:c>
      <x:c r="AS932" s="32" t="n">
        <x:f>IF(H932=1,IF(E932=1,AS931-AR931,AS931)+AQ932,0)</x:f>
        <x:v>6094.163323397192</x:v>
      </x:c>
      <x:c r="AT932" s="11" t="n">
        <x:f>IF(AR932&gt;0,MIN(1,AS932/AR932),1)</x:f>
        <x:v>0.24658277373224063</x:v>
      </x:c>
      <x:c r="AU932" s="10" t="n">
        <x:f>AB932/INDEX(v01_RepScale,G932)</x:f>
        <x:v>172.0529777294494</x:v>
      </x:c>
      <x:c r="AV932" s="32" t="n">
        <x:f>AM932*60/v01_SeasonSeconds</x:f>
        <x:v>495.4775579899589</x:v>
      </x:c>
    </x:row>
    <x:row r="933">
      <x:c r="A933" s="8" t="n">
        <x:f>A932+1</x:f>
        <x:v>930</x:v>
      </x:c>
      <x:c r="B933" s="9" t="n">
        <x:f>A933*v01_SeasonSeconds/60</x:f>
        <x:v>232.5</x:v>
      </x:c>
      <x:c r="C933" s="9" t="n">
        <x:f>A933/4</x:f>
        <x:v>232.5</x:v>
      </x:c>
      <x:c r="D933" s="8" t="n">
        <x:f>IF(MOD(A933,4)=0,1,0)</x:f>
        <x:v>0</x:v>
      </x:c>
      <x:c r="E933" s="8" t="n">
        <x:f>IF(AND(F932&lt;=9,AS932&gt;=AR932),1,0)</x:f>
        <x:v>0</x:v>
      </x:c>
      <x:c r="F933" s="8" t="n">
        <x:f>MIN(10,F932+E933)</x:f>
        <x:v>4</x:v>
      </x:c>
      <x:c r="G933" s="8" t="n">
        <x:f>MIN(F933,9)+1</x:f>
        <x:v>5</x:v>
      </x:c>
      <x:c r="H933" s="8" t="n">
        <x:f>IF(F933&lt;=9,1,0)</x:f>
        <x:v>1</x:v>
      </x:c>
      <x:c r="I933" s="9" t="n">
        <x:f>MIN(10,F932+IF(AR932&gt;0,MIN(1,AS932/AR932),1))</x:f>
        <x:v>4.246582773732241</x:v>
      </x:c>
      <x:c r="J933" s="32" t="n">
        <x:f>INDEX(v01_FoodCap,G933)*Arch_FoodCap*EXP(v01_CapsByProject*SUMPRODUCT((Cap_Point&lt;=I933)*(Cap_Kind="Food")*Cap_Ln))</x:f>
        <x:v>250</x:v>
      </x:c>
      <x:c r="K933" s="32" t="n">
        <x:f>J933*MIN(1,v01_LeanBase*EXP(v01_CapsByProject*SUMPRODUCT((Cap_Point&lt;=I933)*(Cap_Kind="Lean")*Cap_Ln)))</x:f>
        <x:v>250</x:v>
      </x:c>
      <x:c r="L933" s="10" t="n">
        <x:f>INDEX(v01_HousingCap,G933)*EXP(v01_CapsByProject*SUMPRODUCT((Cap_Point&lt;=I933)*(Cap_Kind="Housing")*Cap_Ln))</x:f>
        <x:v>400</x:v>
      </x:c>
      <x:c r="M933" s="10" t="n">
        <x:f>INDEX(v01_GroupCap,G933)*v01_CohesionFactor*EXP(v01_CapsByProject*SUMPRODUCT((Cap_Point&lt;=I933)*(Cap_Kind="Group")*Cap_Ln))</x:f>
        <x:v>10000</x:v>
      </x:c>
      <x:c r="N933" s="32" t="n">
        <x:f>MIN(J933,L933,M933)</x:f>
        <x:v>250</x:v>
      </x:c>
      <x:c r="O933" s="10" t="n">
        <x:f>AE932*N933</x:f>
        <x:v>3000</x:v>
      </x:c>
      <x:c r="P933" s="9" t="n">
        <x:f>MIN(1,(AB932/(AE932*IF(v01_GroupInCrowding=1,N933,MIN(J933,L933))))^v01_CrowdingExp)</x:f>
        <x:v>0.035583251643434434</x:v>
      </x:c>
      <x:c r="Q933" s="9" t="n">
        <x:f>IF(D933=1,INDEX(v01_WinterMult,G933),1)</x:f>
        <x:v>1</x:v>
      </x:c>
      <x:c r="R933" s="9" t="n">
        <x:f>H933*Z932*v01_WomenShare*v01_BaseFertility*INDEX(v01_FertMult,G933)*Arch_Fertility*(1-P933)</x:f>
        <x:v>24.86359128372843</x:v>
      </x:c>
      <x:c r="S933" s="9" t="n">
        <x:f>H933*Y932*INDEX(v01_MortChild,G933)/4*Q933</x:f>
        <x:v>5.287952989595128</x:v>
      </x:c>
      <x:c r="T933" s="9" t="n">
        <x:f>H933*Z932*INDEX(v01_MortAdult,G933)*Arch_AdultMort/4*Q933</x:f>
        <x:v>1.790344564768878</x:v>
      </x:c>
      <x:c r="U933" s="9" t="n">
        <x:f>H933*AA932*INDEX(v01_MortElder,G933)/4*Q933</x:f>
        <x:v>3.7345514359574357</x:v>
      </x:c>
      <x:c r="V933" s="9" t="n">
        <x:f>H933*MAX(0,AB932-O933)*v01_OvercapLoss</x:f>
        <x:v>0</x:v>
      </x:c>
      <x:c r="W933" s="9" t="n">
        <x:f>H933*Y932/(v01_ChildYears*4)</x:f>
        <x:v>13.489675993865122</x:v>
      </x:c>
      <x:c r="X933" s="9" t="n">
        <x:f>H933*Z932/(v01_AdultYears*4)</x:f>
        <x:v>5.775305047641543</x:v>
      </x:c>
      <x:c r="Y933" s="32" t="n">
        <x:f>Y932+R933-S933-W933-Y932*V933/AB932</x:f>
        <x:v>761.5078179567149</x:v>
      </x:c>
      <x:c r="Z933" s="32" t="n">
        <x:f>Z932+W933-X933-T933-Z932*V933/AB932</x:f>
        <x:v>722.061852289006</x:v>
      </x:c>
      <x:c r="AA933" s="32" t="n">
        <x:f>AA932+X933-U933-AA932*V933/AB932</x:f>
        <x:v>251.01084934217985</x:v>
      </x:c>
      <x:c r="AB933" s="10" t="n">
        <x:f>Y933+Z933+AA933</x:f>
        <x:v>1734.5805195879007</x:v>
      </x:c>
      <x:c r="AC933" s="8" t="n">
        <x:f>IF(AND(v01_WinterTrigger=1,D933=1,AB932/AE932&gt;=K933),1,0)</x:f>
        <x:v>0</x:v>
      </x:c>
      <x:c r="AD933" s="8" t="n">
        <x:f>H933*IF(AND(OR(AB932/AE932&gt;=v01_FissionTrigger*N933,AC933=1),AB932/AE932*v01_DaughterShare&gt;=v01_MinDaughter),MAX(1,ROUND(AE932*v01_FissionRate,0)),0)</x:f>
        <x:v>0</x:v>
      </x:c>
      <x:c r="AE933" s="8" t="n">
        <x:f>IF(H933=1,MAX(1,MIN(INDEX(v01_Smax,G933),AE932+AD933)),AE932)</x:f>
        <x:v>12</x:v>
      </x:c>
      <x:c r="AF933" s="8" t="n">
        <x:f>MAX(0,AE933-AE932)</x:f>
        <x:v>0</x:v>
      </x:c>
      <x:c r="AG933" s="9" t="str">
        <x:f>IF(AF933&gt;0,B933,"")</x:f>
      </x:c>
      <x:c r="AH933" s="9" t="n">
        <x:f>IF(F933&gt;=1,1,(1+v01_LowTiesShare*(AE933-1))/AE933)</x:f>
        <x:v>1</x:v>
      </x:c>
      <x:c r="AI933" s="32" t="n">
        <x:f>(Z933+v01_ElderCommons*INDEX(LM_Elder,G933)*AA933)*AH933</x:f>
        <x:v>1475.0944003155455</x:v>
      </x:c>
      <x:c r="AJ933" s="32" t="n">
        <x:f>H933*v01_CommonsCoef*AI933^v01_CommonsExp*INDEX(LM_Commons,G933)</x:f>
        <x:v>358.0835310750863</x:v>
      </x:c>
      <x:c r="AK933" s="32" t="n">
        <x:f>H933*v01_RoleScale*Arch_Roles*(AE933*(INDEX(v01_ElderRolePerSett,G933)*v01_OutElder*INDEX(LM_Elder,G933)+INDEX(v01_ShamanPerSett,G933)*v01_OutShaman)+Z933*(INDEX(v01_PriestShare,G933)*v01_OutPriest+INDEX(v01_ScribeShare,G933)*v01_OutScribe*INDEX(LM_Scribe,G933)+INDEX(v01_ScholarShare,G933)*v01_OutScholar*INDEX(LM_Scholar,G933)+INDEX(v01_ResearcherShare,G933)*v01_OutResearcher*INDEX(LM_Researcher,G933)))</x:f>
        <x:v>56.40322817734017</x:v>
      </x:c>
      <x:c r="AL933" s="32" t="n">
        <x:f>H933*v01_RoleScale*Arch_Roles*AE933*INDEX(v01_MonasteryPerSett,G933)*v01_OutMonastery*INDEX(LM_Monastery,G933)</x:f>
        <x:v>0</x:v>
      </x:c>
      <x:c r="AM933" s="32" t="n">
        <x:f>(AJ933+AK933+AL933)/4*INDEX(LM_All,G933)*INDEX(v01_Boon,G933)*Arch_Insight</x:f>
        <x:v>124.66781623926528</x:v>
      </x:c>
      <x:c r="AN933" s="32" t="n">
        <x:f>H933*(v01_KHPerAdult*Z933+v01_KHOfCommons*AJ933/4*INDEX(LM_All,G933))*v01_KHUsable*Arch_KH</x:f>
        <x:v>25.272164830115205</x:v>
      </x:c>
      <x:c r="AO933" s="32" t="n">
        <x:f>MIN(AP932+AN933,AM933*v01_KHMaxRatio)</x:f>
        <x:v>25.272164830115205</x:v>
      </x:c>
      <x:c r="AP933" s="32" t="n">
        <x:f>AP932+AN933-AO933</x:f>
        <x:v>0</x:v>
      </x:c>
      <x:c r="AQ933" s="32" t="n">
        <x:f>AM933+AO933</x:f>
        <x:v>149.93998106938048</x:v>
      </x:c>
      <x:c r="AR933" s="10" t="n">
        <x:f>IF(H933=1,INDEX(v01_Req,G933),0)</x:f>
        <x:v>24714.473079999996</x:v>
      </x:c>
      <x:c r="AS933" s="32" t="n">
        <x:f>IF(H933=1,IF(E933=1,AS932-AR932,AS932)+AQ933,0)</x:f>
        <x:v>6244.103304466572</x:v>
      </x:c>
      <x:c r="AT933" s="11" t="n">
        <x:f>IF(AR933&gt;0,MIN(1,AS933/AR933),1)</x:f>
        <x:v>0.25264966338770806</x:v>
      </x:c>
      <x:c r="AU933" s="10" t="n">
        <x:f>AB933/INDEX(v01_RepScale,G933)</x:f>
        <x:v>173.45805195879007</x:v>
      </x:c>
      <x:c r="AV933" s="32" t="n">
        <x:f>AM933*60/v01_SeasonSeconds</x:f>
        <x:v>498.6712649570611</x:v>
      </x:c>
    </x:row>
    <x:row r="934">
      <x:c r="A934" s="8" t="n">
        <x:f>A933+1</x:f>
        <x:v>931</x:v>
      </x:c>
      <x:c r="B934" s="9" t="n">
        <x:f>A934*v01_SeasonSeconds/60</x:f>
        <x:v>232.75</x:v>
      </x:c>
      <x:c r="C934" s="9" t="n">
        <x:f>A934/4</x:f>
        <x:v>232.75</x:v>
      </x:c>
      <x:c r="D934" s="8" t="n">
        <x:f>IF(MOD(A934,4)=0,1,0)</x:f>
        <x:v>0</x:v>
      </x:c>
      <x:c r="E934" s="8" t="n">
        <x:f>IF(AND(F933&lt;=9,AS933&gt;=AR933),1,0)</x:f>
        <x:v>0</x:v>
      </x:c>
      <x:c r="F934" s="8" t="n">
        <x:f>MIN(10,F933+E934)</x:f>
        <x:v>4</x:v>
      </x:c>
      <x:c r="G934" s="8" t="n">
        <x:f>MIN(F934,9)+1</x:f>
        <x:v>5</x:v>
      </x:c>
      <x:c r="H934" s="8" t="n">
        <x:f>IF(F934&lt;=9,1,0)</x:f>
        <x:v>1</x:v>
      </x:c>
      <x:c r="I934" s="9" t="n">
        <x:f>MIN(10,F933+IF(AR933&gt;0,MIN(1,AS933/AR933),1))</x:f>
        <x:v>4.252649663387708</x:v>
      </x:c>
      <x:c r="J934" s="32" t="n">
        <x:f>INDEX(v01_FoodCap,G934)*Arch_FoodCap*EXP(v01_CapsByProject*SUMPRODUCT((Cap_Point&lt;=I934)*(Cap_Kind="Food")*Cap_Ln))</x:f>
        <x:v>250</x:v>
      </x:c>
      <x:c r="K934" s="32" t="n">
        <x:f>J934*MIN(1,v01_LeanBase*EXP(v01_CapsByProject*SUMPRODUCT((Cap_Point&lt;=I934)*(Cap_Kind="Lean")*Cap_Ln)))</x:f>
        <x:v>250</x:v>
      </x:c>
      <x:c r="L934" s="10" t="n">
        <x:f>INDEX(v01_HousingCap,G934)*EXP(v01_CapsByProject*SUMPRODUCT((Cap_Point&lt;=I934)*(Cap_Kind="Housing")*Cap_Ln))</x:f>
        <x:v>400</x:v>
      </x:c>
      <x:c r="M934" s="10" t="n">
        <x:f>INDEX(v01_GroupCap,G934)*v01_CohesionFactor*EXP(v01_CapsByProject*SUMPRODUCT((Cap_Point&lt;=I934)*(Cap_Kind="Group")*Cap_Ln))</x:f>
        <x:v>10000</x:v>
      </x:c>
      <x:c r="N934" s="32" t="n">
        <x:f>MIN(J934,L934,M934)</x:f>
        <x:v>250</x:v>
      </x:c>
      <x:c r="O934" s="10" t="n">
        <x:f>AE933*N934</x:f>
        <x:v>3000</x:v>
      </x:c>
      <x:c r="P934" s="9" t="n">
        <x:f>MIN(1,(AB933/(AE933*IF(v01_GroupInCrowding=1,N934,MIN(J934,L934))))^v01_CrowdingExp)</x:f>
        <x:v>0.037362786632749695</x:v>
      </x:c>
      <x:c r="Q934" s="9" t="n">
        <x:f>IF(D934=1,INDEX(v01_WinterMult,G934),1)</x:f>
        <x:v>1</x:v>
      </x:c>
      <x:c r="R934" s="9" t="n">
        <x:f>H934*Z933*v01_WomenShare*v01_BaseFertility*INDEX(v01_FertMult,G934)*Arch_Fertility*(1-P934)</x:f>
        <x:v>25.023009937186213</x:v>
      </x:c>
      <x:c r="S934" s="9" t="n">
        <x:f>H934*Y933*INDEX(v01_MortChild,G934)/4*Q934</x:f>
        <x:v>5.330554725697005</x:v>
      </x:c>
      <x:c r="T934" s="9" t="n">
        <x:f>H934*Z933*INDEX(v01_MortAdult,G934)*Arch_AdultMort/4*Q934</x:f>
        <x:v>1.805154630722515</x:v>
      </x:c>
      <x:c r="U934" s="9" t="n">
        <x:f>H934*AA933*INDEX(v01_MortElder,G934)/4*Q934</x:f>
        <x:v>3.7651627401326975</x:v>
      </x:c>
      <x:c r="V934" s="9" t="n">
        <x:f>H934*MAX(0,AB933-O934)*v01_OvercapLoss</x:f>
        <x:v>0</x:v>
      </x:c>
      <x:c r="W934" s="9" t="n">
        <x:f>H934*Y933/(v01_ChildYears*4)</x:f>
        <x:v>13.598353892084194</x:v>
      </x:c>
      <x:c r="X934" s="9" t="n">
        <x:f>H934*Z933/(v01_AdultYears*4)</x:f>
        <x:v>5.823079453943596</x:v>
      </x:c>
      <x:c r="Y934" s="32" t="n">
        <x:f>Y933+R934-S934-W934-Y933*V934/AB933</x:f>
        <x:v>767.6019192761199</x:v>
      </x:c>
      <x:c r="Z934" s="32" t="n">
        <x:f>Z933+W934-X934-T934-Z933*V934/AB933</x:f>
        <x:v>728.031972096424</x:v>
      </x:c>
      <x:c r="AA934" s="32" t="n">
        <x:f>AA933+X934-U934-AA933*V934/AB933</x:f>
        <x:v>253.06876605599078</x:v>
      </x:c>
      <x:c r="AB934" s="10" t="n">
        <x:f>Y934+Z934+AA934</x:f>
        <x:v>1748.7026574285348</x:v>
      </x:c>
      <x:c r="AC934" s="8" t="n">
        <x:f>IF(AND(v01_WinterTrigger=1,D934=1,AB933/AE933&gt;=K934),1,0)</x:f>
        <x:v>0</x:v>
      </x:c>
      <x:c r="AD934" s="8" t="n">
        <x:f>H934*IF(AND(OR(AB933/AE933&gt;=v01_FissionTrigger*N934,AC934=1),AB933/AE933*v01_DaughterShare&gt;=v01_MinDaughter),MAX(1,ROUND(AE933*v01_FissionRate,0)),0)</x:f>
        <x:v>0</x:v>
      </x:c>
      <x:c r="AE934" s="8" t="n">
        <x:f>IF(H934=1,MAX(1,MIN(INDEX(v01_Smax,G934),AE933+AD934)),AE933)</x:f>
        <x:v>12</x:v>
      </x:c>
      <x:c r="AF934" s="8" t="n">
        <x:f>MAX(0,AE934-AE933)</x:f>
        <x:v>0</x:v>
      </x:c>
      <x:c r="AG934" s="9" t="str">
        <x:f>IF(AF934&gt;0,B934,"")</x:f>
      </x:c>
      <x:c r="AH934" s="9" t="n">
        <x:f>IF(F934&gt;=1,1,(1+v01_LowTiesShare*(AE934-1))/AE934)</x:f>
        <x:v>1</x:v>
      </x:c>
      <x:c r="AI934" s="32" t="n">
        <x:f>(Z934+v01_ElderCommons*INDEX(LM_Elder,G934)*AA934)*AH934</x:f>
        <x:v>1487.2382702643963</x:v>
      </x:c>
      <x:c r="AJ934" s="32" t="n">
        <x:f>H934*v01_CommonsCoef*AI934^v01_CommonsExp*INDEX(LM_Commons,G934)</x:f>
        <x:v>360.5877550757224</x:v>
      </x:c>
      <x:c r="AK934" s="32" t="n">
        <x:f>H934*v01_RoleScale*Arch_Roles*(AE934*(INDEX(v01_ElderRolePerSett,G934)*v01_OutElder*INDEX(LM_Elder,G934)+INDEX(v01_ShamanPerSett,G934)*v01_OutShaman)+Z934*(INDEX(v01_PriestShare,G934)*v01_OutPriest+INDEX(v01_ScribeShare,G934)*v01_OutScribe*INDEX(LM_Scribe,G934)+INDEX(v01_ScholarShare,G934)*v01_OutScholar*INDEX(LM_Scholar,G934)+INDEX(v01_ResearcherShare,G934)*v01_OutResearcher*INDEX(LM_Researcher,G934)))</x:f>
        <x:v>56.57192524434441</x:v>
      </x:c>
      <x:c r="AL934" s="32" t="n">
        <x:f>H934*v01_RoleScale*Arch_Roles*AE934*INDEX(v01_MonasteryPerSett,G934)*v01_OutMonastery*INDEX(LM_Monastery,G934)</x:f>
        <x:v>0</x:v>
      </x:c>
      <x:c r="AM934" s="32" t="n">
        <x:f>(AJ934+AK934+AL934)/4*INDEX(LM_All,G934)*INDEX(v01_Boon,G934)*Arch_Insight</x:f>
        <x:v>125.4717676925847</x:v>
      </x:c>
      <x:c r="AN934" s="32" t="n">
        <x:f>H934*(v01_KHPerAdult*Z934+v01_KHOfCommons*AJ934/4*INDEX(LM_All,G934))*v01_KHUsable*Arch_KH</x:f>
        <x:v>25.48111902337484</x:v>
      </x:c>
      <x:c r="AO934" s="32" t="n">
        <x:f>MIN(AP933+AN934,AM934*v01_KHMaxRatio)</x:f>
        <x:v>25.48111902337484</x:v>
      </x:c>
      <x:c r="AP934" s="32" t="n">
        <x:f>AP933+AN934-AO934</x:f>
        <x:v>0</x:v>
      </x:c>
      <x:c r="AQ934" s="32" t="n">
        <x:f>AM934+AO934</x:f>
        <x:v>150.95288671595955</x:v>
      </x:c>
      <x:c r="AR934" s="10" t="n">
        <x:f>IF(H934=1,INDEX(v01_Req,G934),0)</x:f>
        <x:v>24714.473079999996</x:v>
      </x:c>
      <x:c r="AS934" s="32" t="n">
        <x:f>IF(H934=1,IF(E934=1,AS933-AR933,AS933)+AQ934,0)</x:f>
        <x:v>6395.056191182532</x:v>
      </x:c>
      <x:c r="AT934" s="11" t="n">
        <x:f>IF(AR934&gt;0,MIN(1,AS934/AR934),1)</x:f>
        <x:v>0.2587575373540002</x:v>
      </x:c>
      <x:c r="AU934" s="10" t="n">
        <x:f>AB934/INDEX(v01_RepScale,G934)</x:f>
        <x:v>174.8702657428535</x:v>
      </x:c>
      <x:c r="AV934" s="32" t="n">
        <x:f>AM934*60/v01_SeasonSeconds</x:f>
        <x:v>501.8870707703388</x:v>
      </x:c>
    </x:row>
    <x:row r="935">
      <x:c r="A935" s="8" t="n">
        <x:f>A934+1</x:f>
        <x:v>932</x:v>
      </x:c>
      <x:c r="B935" s="9" t="n">
        <x:f>A935*v01_SeasonSeconds/60</x:f>
        <x:v>233</x:v>
      </x:c>
      <x:c r="C935" s="9" t="n">
        <x:f>A935/4</x:f>
        <x:v>233</x:v>
      </x:c>
      <x:c r="D935" s="8" t="n">
        <x:f>IF(MOD(A935,4)=0,1,0)</x:f>
        <x:v>1</x:v>
      </x:c>
      <x:c r="E935" s="8" t="n">
        <x:f>IF(AND(F934&lt;=9,AS934&gt;=AR934),1,0)</x:f>
        <x:v>0</x:v>
      </x:c>
      <x:c r="F935" s="8" t="n">
        <x:f>MIN(10,F934+E935)</x:f>
        <x:v>4</x:v>
      </x:c>
      <x:c r="G935" s="8" t="n">
        <x:f>MIN(F935,9)+1</x:f>
        <x:v>5</x:v>
      </x:c>
      <x:c r="H935" s="8" t="n">
        <x:f>IF(F935&lt;=9,1,0)</x:f>
        <x:v>1</x:v>
      </x:c>
      <x:c r="I935" s="9" t="n">
        <x:f>MIN(10,F934+IF(AR934&gt;0,MIN(1,AS934/AR934),1))</x:f>
        <x:v>4.2587575373540005</x:v>
      </x:c>
      <x:c r="J935" s="32" t="n">
        <x:f>INDEX(v01_FoodCap,G935)*Arch_FoodCap*EXP(v01_CapsByProject*SUMPRODUCT((Cap_Point&lt;=I935)*(Cap_Kind="Food")*Cap_Ln))</x:f>
        <x:v>250</x:v>
      </x:c>
      <x:c r="K935" s="32" t="n">
        <x:f>J935*MIN(1,v01_LeanBase*EXP(v01_CapsByProject*SUMPRODUCT((Cap_Point&lt;=I935)*(Cap_Kind="Lean")*Cap_Ln)))</x:f>
        <x:v>250</x:v>
      </x:c>
      <x:c r="L935" s="10" t="n">
        <x:f>INDEX(v01_HousingCap,G935)*EXP(v01_CapsByProject*SUMPRODUCT((Cap_Point&lt;=I935)*(Cap_Kind="Housing")*Cap_Ln))</x:f>
        <x:v>400</x:v>
      </x:c>
      <x:c r="M935" s="10" t="n">
        <x:f>INDEX(v01_GroupCap,G935)*v01_CohesionFactor*EXP(v01_CapsByProject*SUMPRODUCT((Cap_Point&lt;=I935)*(Cap_Kind="Group")*Cap_Ln))</x:f>
        <x:v>10000</x:v>
      </x:c>
      <x:c r="N935" s="32" t="n">
        <x:f>MIN(J935,L935,M935)</x:f>
        <x:v>250</x:v>
      </x:c>
      <x:c r="O935" s="10" t="n">
        <x:f>AE934*N935</x:f>
        <x:v>3000</x:v>
      </x:c>
      <x:c r="P935" s="9" t="n">
        <x:f>MIN(1,(AB934/(AE934*IF(v01_GroupInCrowding=1,N935,MIN(J935,L935))))^v01_CrowdingExp)</x:f>
        <x:v>0.0392254822637176</x:v>
      </x:c>
      <x:c r="Q935" s="9" t="n">
        <x:f>IF(D935=1,INDEX(v01_WinterMult,G935),1)</x:f>
        <x:v>1</x:v>
      </x:c>
      <x:c r="R935" s="9" t="n">
        <x:f>H935*Z934*v01_WomenShare*v01_BaseFertility*INDEX(v01_FertMult,G935)*Arch_Fertility*(1-P935)</x:f>
        <x:v>25.181084407951307</x:v>
      </x:c>
      <x:c r="S935" s="9" t="n">
        <x:f>H935*Y934*INDEX(v01_MortChild,G935)/4*Q935</x:f>
        <x:v>5.37321343493284</x:v>
      </x:c>
      <x:c r="T935" s="9" t="n">
        <x:f>H935*Z934*INDEX(v01_MortAdult,G935)*Arch_AdultMort/4*Q935</x:f>
        <x:v>1.8200799302410602</x:v>
      </x:c>
      <x:c r="U935" s="9" t="n">
        <x:f>H935*AA934*INDEX(v01_MortElder,G935)/4*Q935</x:f>
        <x:v>3.7960314908398614</x:v>
      </x:c>
      <x:c r="V935" s="9" t="n">
        <x:f>H935*MAX(0,AB934-O935)*v01_OvercapLoss</x:f>
        <x:v>0</x:v>
      </x:c>
      <x:c r="W935" s="9" t="n">
        <x:f>H935*Y934/(v01_ChildYears*4)</x:f>
        <x:v>13.707177129930713</x:v>
      </x:c>
      <x:c r="X935" s="9" t="n">
        <x:f>H935*Z934/(v01_AdultYears*4)</x:f>
        <x:v>5.871225581422775</x:v>
      </x:c>
      <x:c r="Y935" s="32" t="n">
        <x:f>Y934+R935-S935-W935-Y934*V935/AB934</x:f>
        <x:v>773.7026131192076</x:v>
      </x:c>
      <x:c r="Z935" s="32" t="n">
        <x:f>Z934+W935-X935-T935-Z934*V935/AB934</x:f>
        <x:v>734.047843714691</x:v>
      </x:c>
      <x:c r="AA935" s="32" t="n">
        <x:f>AA934+X935-U935-AA934*V935/AB934</x:f>
        <x:v>255.14396014657368</x:v>
      </x:c>
      <x:c r="AB935" s="10" t="n">
        <x:f>Y935+Z935+AA935</x:f>
        <x:v>1762.8944169804722</x:v>
      </x:c>
      <x:c r="AC935" s="8" t="n">
        <x:f>IF(AND(v01_WinterTrigger=1,D935=1,AB934/AE934&gt;=K935),1,0)</x:f>
        <x:v>0</x:v>
      </x:c>
      <x:c r="AD935" s="8" t="n">
        <x:f>H935*IF(AND(OR(AB934/AE934&gt;=v01_FissionTrigger*N935,AC935=1),AB934/AE934*v01_DaughterShare&gt;=v01_MinDaughter),MAX(1,ROUND(AE934*v01_FissionRate,0)),0)</x:f>
        <x:v>0</x:v>
      </x:c>
      <x:c r="AE935" s="8" t="n">
        <x:f>IF(H935=1,MAX(1,MIN(INDEX(v01_Smax,G935),AE934+AD935)),AE934)</x:f>
        <x:v>12</x:v>
      </x:c>
      <x:c r="AF935" s="8" t="n">
        <x:f>MAX(0,AE935-AE934)</x:f>
        <x:v>0</x:v>
      </x:c>
      <x:c r="AG935" s="9" t="str">
        <x:f>IF(AF935&gt;0,B935,"")</x:f>
      </x:c>
      <x:c r="AH935" s="9" t="n">
        <x:f>IF(F935&gt;=1,1,(1+v01_LowTiesShare*(AE935-1))/AE935)</x:f>
        <x:v>1</x:v>
      </x:c>
      <x:c r="AI935" s="32" t="n">
        <x:f>(Z935+v01_ElderCommons*INDEX(LM_Elder,G935)*AA935)*AH935</x:f>
        <x:v>1499.479724154412</x:v>
      </x:c>
      <x:c r="AJ935" s="32" t="n">
        <x:f>H935*v01_CommonsCoef*AI935^v01_CommonsExp*INDEX(LM_Commons,G935)</x:f>
        <x:v>363.10899983418636</x:v>
      </x:c>
      <x:c r="AK935" s="32" t="n">
        <x:f>H935*v01_RoleScale*Arch_Roles*(AE935*(INDEX(v01_ElderRolePerSett,G935)*v01_OutElder*INDEX(LM_Elder,G935)+INDEX(v01_ShamanPerSett,G935)*v01_OutShaman)+Z935*(INDEX(v01_PriestShare,G935)*v01_OutPriest+INDEX(v01_ScribeShare,G935)*v01_OutScribe*INDEX(LM_Scribe,G935)+INDEX(v01_ScholarShare,G935)*v01_OutScholar*INDEX(LM_Scholar,G935)+INDEX(v01_ResearcherShare,G935)*v01_OutResearcher*INDEX(LM_Researcher,G935)))</x:f>
        <x:v>56.74191511560541</x:v>
      </x:c>
      <x:c r="AL935" s="32" t="n">
        <x:f>H935*v01_RoleScale*Arch_Roles*AE935*INDEX(v01_MonasteryPerSett,G935)*v01_OutMonastery*INDEX(LM_Monastery,G935)</x:f>
        <x:v>0</x:v>
      </x:c>
      <x:c r="AM935" s="32" t="n">
        <x:f>(AJ935+AK935+AL935)/4*INDEX(LM_All,G935)*INDEX(v01_Boon,G935)*Arch_Insight</x:f>
        <x:v>126.28122743233713</x:v>
      </x:c>
      <x:c r="AN935" s="32" t="n">
        <x:f>H935*(v01_KHPerAdult*Z935+v01_KHOfCommons*AJ935/4*INDEX(LM_All,G935))*v01_KHUsable*Arch_KH</x:f>
        <x:v>25.691674530014186</x:v>
      </x:c>
      <x:c r="AO935" s="32" t="n">
        <x:f>MIN(AP934+AN935,AM935*v01_KHMaxRatio)</x:f>
        <x:v>25.691674530014186</x:v>
      </x:c>
      <x:c r="AP935" s="32" t="n">
        <x:f>AP934+AN935-AO935</x:f>
        <x:v>0</x:v>
      </x:c>
      <x:c r="AQ935" s="32" t="n">
        <x:f>AM935+AO935</x:f>
        <x:v>151.97290196235133</x:v>
      </x:c>
      <x:c r="AR935" s="10" t="n">
        <x:f>IF(H935=1,INDEX(v01_Req,G935),0)</x:f>
        <x:v>24714.473079999996</x:v>
      </x:c>
      <x:c r="AS935" s="32" t="n">
        <x:f>IF(H935=1,IF(E935=1,AS934-AR934,AS934)+AQ935,0)</x:f>
        <x:v>6547.029093144883</x:v>
      </x:c>
      <x:c r="AT935" s="11" t="n">
        <x:f>IF(AR935&gt;0,MIN(1,AS935/AR935),1)</x:f>
        <x:v>0.26490668330060485</x:v>
      </x:c>
      <x:c r="AU935" s="10" t="n">
        <x:f>AB935/INDEX(v01_RepScale,G935)</x:f>
        <x:v>176.28944169804723</x:v>
      </x:c>
      <x:c r="AV935" s="32" t="n">
        <x:f>AM935*60/v01_SeasonSeconds</x:f>
        <x:v>505.12490972934853</x:v>
      </x:c>
    </x:row>
    <x:row r="936">
      <x:c r="A936" s="8" t="n">
        <x:f>A935+1</x:f>
        <x:v>933</x:v>
      </x:c>
      <x:c r="B936" s="9" t="n">
        <x:f>A936*v01_SeasonSeconds/60</x:f>
        <x:v>233.25</x:v>
      </x:c>
      <x:c r="C936" s="9" t="n">
        <x:f>A936/4</x:f>
        <x:v>233.25</x:v>
      </x:c>
      <x:c r="D936" s="8" t="n">
        <x:f>IF(MOD(A936,4)=0,1,0)</x:f>
        <x:v>0</x:v>
      </x:c>
      <x:c r="E936" s="8" t="n">
        <x:f>IF(AND(F935&lt;=9,AS935&gt;=AR935),1,0)</x:f>
        <x:v>0</x:v>
      </x:c>
      <x:c r="F936" s="8" t="n">
        <x:f>MIN(10,F935+E936)</x:f>
        <x:v>4</x:v>
      </x:c>
      <x:c r="G936" s="8" t="n">
        <x:f>MIN(F936,9)+1</x:f>
        <x:v>5</x:v>
      </x:c>
      <x:c r="H936" s="8" t="n">
        <x:f>IF(F936&lt;=9,1,0)</x:f>
        <x:v>1</x:v>
      </x:c>
      <x:c r="I936" s="9" t="n">
        <x:f>MIN(10,F935+IF(AR935&gt;0,MIN(1,AS935/AR935),1))</x:f>
        <x:v>4.264906683300605</x:v>
      </x:c>
      <x:c r="J936" s="32" t="n">
        <x:f>INDEX(v01_FoodCap,G936)*Arch_FoodCap*EXP(v01_CapsByProject*SUMPRODUCT((Cap_Point&lt;=I936)*(Cap_Kind="Food")*Cap_Ln))</x:f>
        <x:v>250</x:v>
      </x:c>
      <x:c r="K936" s="32" t="n">
        <x:f>J936*MIN(1,v01_LeanBase*EXP(v01_CapsByProject*SUMPRODUCT((Cap_Point&lt;=I936)*(Cap_Kind="Lean")*Cap_Ln)))</x:f>
        <x:v>250</x:v>
      </x:c>
      <x:c r="L936" s="10" t="n">
        <x:f>INDEX(v01_HousingCap,G936)*EXP(v01_CapsByProject*SUMPRODUCT((Cap_Point&lt;=I936)*(Cap_Kind="Housing")*Cap_Ln))</x:f>
        <x:v>400</x:v>
      </x:c>
      <x:c r="M936" s="10" t="n">
        <x:f>INDEX(v01_GroupCap,G936)*v01_CohesionFactor*EXP(v01_CapsByProject*SUMPRODUCT((Cap_Point&lt;=I936)*(Cap_Kind="Group")*Cap_Ln))</x:f>
        <x:v>10000</x:v>
      </x:c>
      <x:c r="N936" s="32" t="n">
        <x:f>MIN(J936,L936,M936)</x:f>
        <x:v>250</x:v>
      </x:c>
      <x:c r="O936" s="10" t="n">
        <x:f>AE935*N936</x:f>
        <x:v>3000</x:v>
      </x:c>
      <x:c r="P936" s="9" t="n">
        <x:f>MIN(1,(AB935/(AE935*IF(v01_GroupInCrowding=1,N936,MIN(J936,L936))))^v01_CrowdingExp)</x:f>
        <x:v>0.04117468505468241</x:v>
      </x:c>
      <x:c r="Q936" s="9" t="n">
        <x:f>IF(D936=1,INDEX(v01_WinterMult,G936),1)</x:f>
        <x:v>1</x:v>
      </x:c>
      <x:c r="R936" s="9" t="n">
        <x:f>H936*Z935*v01_WomenShare*v01_BaseFertility*INDEX(v01_FertMult,G936)*Arch_Fertility*(1-P936)</x:f>
        <x:v>25.337651577648113</x:v>
      </x:c>
      <x:c r="S936" s="9" t="n">
        <x:f>H936*Y935*INDEX(v01_MortChild,G936)/4*Q936</x:f>
        <x:v>5.415918291834453</x:v>
      </x:c>
      <x:c r="T936" s="9" t="n">
        <x:f>H936*Z935*INDEX(v01_MortAdult,G936)*Arch_AdultMort/4*Q936</x:f>
        <x:v>1.8351196092867275</x:v>
      </x:c>
      <x:c r="U936" s="9" t="n">
        <x:f>H936*AA935*INDEX(v01_MortElder,G936)/4*Q936</x:f>
        <x:v>3.827159402198605</x:v>
      </x:c>
      <x:c r="V936" s="9" t="n">
        <x:f>H936*MAX(0,AB935-O936)*v01_OvercapLoss</x:f>
        <x:v>0</x:v>
      </x:c>
      <x:c r="W936" s="9" t="n">
        <x:f>H936*Y935/(v01_ChildYears*4)</x:f>
        <x:v>13.816118091414422</x:v>
      </x:c>
      <x:c r="X936" s="9" t="n">
        <x:f>H936*Z935/(v01_AdultYears*4)</x:f>
        <x:v>5.919740675118476</x:v>
      </x:c>
      <x:c r="Y936" s="32" t="n">
        <x:f>Y935+R936-S936-W936-Y935*V936/AB935</x:f>
        <x:v>779.8082283136068</x:v>
      </x:c>
      <x:c r="Z936" s="32" t="n">
        <x:f>Z935+W936-X936-T936-Z935*V936/AB935</x:f>
        <x:v>740.1091015217003</x:v>
      </x:c>
      <x:c r="AA936" s="32" t="n">
        <x:f>AA935+X936-U936-AA935*V936/AB935</x:f>
        <x:v>257.2365414194935</x:v>
      </x:c>
      <x:c r="AB936" s="10" t="n">
        <x:f>Y936+Z936+AA936</x:f>
        <x:v>1777.1538712548006</x:v>
      </x:c>
      <x:c r="AC936" s="8" t="n">
        <x:f>IF(AND(v01_WinterTrigger=1,D936=1,AB935/AE935&gt;=K936),1,0)</x:f>
        <x:v>0</x:v>
      </x:c>
      <x:c r="AD936" s="8" t="n">
        <x:f>H936*IF(AND(OR(AB935/AE935&gt;=v01_FissionTrigger*N936,AC936=1),AB935/AE935*v01_DaughterShare&gt;=v01_MinDaughter),MAX(1,ROUND(AE935*v01_FissionRate,0)),0)</x:f>
        <x:v>0</x:v>
      </x:c>
      <x:c r="AE936" s="8" t="n">
        <x:f>IF(H936=1,MAX(1,MIN(INDEX(v01_Smax,G936),AE935+AD936)),AE935)</x:f>
        <x:v>12</x:v>
      </x:c>
      <x:c r="AF936" s="8" t="n">
        <x:f>MAX(0,AE936-AE935)</x:f>
        <x:v>0</x:v>
      </x:c>
      <x:c r="AG936" s="9" t="str">
        <x:f>IF(AF936&gt;0,B936,"")</x:f>
      </x:c>
      <x:c r="AH936" s="9" t="n">
        <x:f>IF(F936&gt;=1,1,(1+v01_LowTiesShare*(AE936-1))/AE936)</x:f>
        <x:v>1</x:v>
      </x:c>
      <x:c r="AI936" s="32" t="n">
        <x:f>(Z936+v01_ElderCommons*INDEX(LM_Elder,G936)*AA936)*AH936</x:f>
        <x:v>1511.8187257801808</x:v>
      </x:c>
      <x:c r="AJ936" s="32" t="n">
        <x:f>H936*v01_CommonsCoef*AI936^v01_CommonsExp*INDEX(LM_Commons,G936)</x:f>
        <x:v>365.6472129932104</x:v>
      </x:c>
      <x:c r="AK936" s="32" t="n">
        <x:f>H936*v01_RoleScale*Arch_Roles*(AE936*(INDEX(v01_ElderRolePerSett,G936)*v01_OutElder*INDEX(LM_Elder,G936)+INDEX(v01_ShamanPerSett,G936)*v01_OutShaman)+Z936*(INDEX(v01_PriestShare,G936)*v01_OutPriest+INDEX(v01_ScribeShare,G936)*v01_OutScribe*INDEX(LM_Scribe,G936)+INDEX(v01_ScholarShare,G936)*v01_OutScholar*INDEX(LM_Scholar,G936)+INDEX(v01_ResearcherShare,G936)*v01_OutResearcher*INDEX(LM_Researcher,G936)))</x:f>
        <x:v>56.91318745977655</x:v>
      </x:c>
      <x:c r="AL936" s="32" t="n">
        <x:f>H936*v01_RoleScale*Arch_Roles*AE936*INDEX(v01_MonasteryPerSett,G936)*v01_OutMonastery*INDEX(LM_Monastery,G936)</x:f>
        <x:v>0</x:v>
      </x:c>
      <x:c r="AM936" s="32" t="n">
        <x:f>(AJ936+AK936+AL936)/4*INDEX(LM_All,G936)*INDEX(v01_Boon,G936)*Arch_Insight</x:f>
        <x:v>127.09617660326971</x:v>
      </x:c>
      <x:c r="AN936" s="32" t="n">
        <x:f>H936*(v01_KHPerAdult*Z936+v01_KHOfCommons*AJ936/4*INDEX(LM_All,G936))*v01_KHUsable*Arch_KH</x:f>
        <x:v>25.90381855325951</x:v>
      </x:c>
      <x:c r="AO936" s="32" t="n">
        <x:f>MIN(AP935+AN936,AM936*v01_KHMaxRatio)</x:f>
        <x:v>25.90381855325951</x:v>
      </x:c>
      <x:c r="AP936" s="32" t="n">
        <x:f>AP935+AN936-AO936</x:f>
        <x:v>0</x:v>
      </x:c>
      <x:c r="AQ936" s="32" t="n">
        <x:f>AM936+AO936</x:f>
        <x:v>152.99999515652922</x:v>
      </x:c>
      <x:c r="AR936" s="10" t="n">
        <x:f>IF(H936=1,INDEX(v01_Req,G936),0)</x:f>
        <x:v>24714.473079999996</x:v>
      </x:c>
      <x:c r="AS936" s="32" t="n">
        <x:f>IF(H936=1,IF(E936=1,AS935-AR935,AS935)+AQ936,0)</x:f>
        <x:v>6700.029088301412</x:v>
      </x:c>
      <x:c r="AT936" s="11" t="n">
        <x:f>IF(AR936&gt;0,MIN(1,AS936/AR936),1)</x:f>
        <x:v>0.2710973876163017</x:v>
      </x:c>
      <x:c r="AU936" s="10" t="n">
        <x:f>AB936/INDEX(v01_RepScale,G936)</x:f>
        <x:v>177.71538712548005</x:v>
      </x:c>
      <x:c r="AV936" s="32" t="n">
        <x:f>AM936*60/v01_SeasonSeconds</x:f>
        <x:v>508.38470641307885</x:v>
      </x:c>
    </x:row>
    <x:row r="937">
      <x:c r="A937" s="8" t="n">
        <x:f>A936+1</x:f>
        <x:v>934</x:v>
      </x:c>
      <x:c r="B937" s="9" t="n">
        <x:f>A937*v01_SeasonSeconds/60</x:f>
        <x:v>233.5</x:v>
      </x:c>
      <x:c r="C937" s="9" t="n">
        <x:f>A937/4</x:f>
        <x:v>233.5</x:v>
      </x:c>
      <x:c r="D937" s="8" t="n">
        <x:f>IF(MOD(A937,4)=0,1,0)</x:f>
        <x:v>0</x:v>
      </x:c>
      <x:c r="E937" s="8" t="n">
        <x:f>IF(AND(F936&lt;=9,AS936&gt;=AR936),1,0)</x:f>
        <x:v>0</x:v>
      </x:c>
      <x:c r="F937" s="8" t="n">
        <x:f>MIN(10,F936+E937)</x:f>
        <x:v>4</x:v>
      </x:c>
      <x:c r="G937" s="8" t="n">
        <x:f>MIN(F937,9)+1</x:f>
        <x:v>5</x:v>
      </x:c>
      <x:c r="H937" s="8" t="n">
        <x:f>IF(F937&lt;=9,1,0)</x:f>
        <x:v>1</x:v>
      </x:c>
      <x:c r="I937" s="9" t="n">
        <x:f>MIN(10,F936+IF(AR936&gt;0,MIN(1,AS936/AR936),1))</x:f>
        <x:v>4.271097387616302</x:v>
      </x:c>
      <x:c r="J937" s="32" t="n">
        <x:f>INDEX(v01_FoodCap,G937)*Arch_FoodCap*EXP(v01_CapsByProject*SUMPRODUCT((Cap_Point&lt;=I937)*(Cap_Kind="Food")*Cap_Ln))</x:f>
        <x:v>250</x:v>
      </x:c>
      <x:c r="K937" s="32" t="n">
        <x:f>J937*MIN(1,v01_LeanBase*EXP(v01_CapsByProject*SUMPRODUCT((Cap_Point&lt;=I937)*(Cap_Kind="Lean")*Cap_Ln)))</x:f>
        <x:v>250</x:v>
      </x:c>
      <x:c r="L937" s="10" t="n">
        <x:f>INDEX(v01_HousingCap,G937)*EXP(v01_CapsByProject*SUMPRODUCT((Cap_Point&lt;=I937)*(Cap_Kind="Housing")*Cap_Ln))</x:f>
        <x:v>400</x:v>
      </x:c>
      <x:c r="M937" s="10" t="n">
        <x:f>INDEX(v01_GroupCap,G937)*v01_CohesionFactor*EXP(v01_CapsByProject*SUMPRODUCT((Cap_Point&lt;=I937)*(Cap_Kind="Group")*Cap_Ln))</x:f>
        <x:v>10000</x:v>
      </x:c>
      <x:c r="N937" s="32" t="n">
        <x:f>MIN(J937,L937,M937)</x:f>
        <x:v>250</x:v>
      </x:c>
      <x:c r="O937" s="10" t="n">
        <x:f>AE936*N937</x:f>
        <x:v>3000</x:v>
      </x:c>
      <x:c r="P937" s="9" t="n">
        <x:f>MIN(1,(AB936/(AE936*IF(v01_GroupInCrowding=1,N937,MIN(J937,L937))))^v01_CrowdingExp)</x:f>
        <x:v>0.04321382046684105</x:v>
      </x:c>
      <x:c r="Q937" s="9" t="n">
        <x:f>IF(D937=1,INDEX(v01_WinterMult,G937),1)</x:f>
        <x:v>1</x:v>
      </x:c>
      <x:c r="R937" s="9" t="n">
        <x:f>H937*Z936*v01_WomenShare*v01_BaseFertility*INDEX(v01_FertMult,G937)*Arch_Fertility*(1-P937)</x:f>
        <x:v>25.492541748575988</x:v>
      </x:c>
      <x:c r="S937" s="9" t="n">
        <x:f>H937*Y936*INDEX(v01_MortChild,G937)/4*Q937</x:f>
        <x:v>5.458657598195248</x:v>
      </x:c>
      <x:c r="T937" s="9" t="n">
        <x:f>H937*Z936*INDEX(v01_MortAdult,G937)*Arch_AdultMort/4*Q937</x:f>
        <x:v>1.8502727538042507</x:v>
      </x:c>
      <x:c r="U937" s="9" t="n">
        <x:f>H937*AA936*INDEX(v01_MortElder,G937)/4*Q937</x:f>
        <x:v>3.8585481212924027</x:v>
      </x:c>
      <x:c r="V937" s="9" t="n">
        <x:f>H937*MAX(0,AB936-O937)*v01_OvercapLoss</x:f>
        <x:v>0</x:v>
      </x:c>
      <x:c r="W937" s="9" t="n">
        <x:f>H937*Y936/(v01_ChildYears*4)</x:f>
        <x:v>13.92514693417155</x:v>
      </x:c>
      <x:c r="X937" s="9" t="n">
        <x:f>H937*Z936/(v01_AdultYears*4)</x:f>
        <x:v>5.968621786465325</x:v>
      </x:c>
      <x:c r="Y937" s="32" t="n">
        <x:f>Y936+R937-S937-W937-Y936*V937/AB936</x:f>
        <x:v>785.916965529816</x:v>
      </x:c>
      <x:c r="Z937" s="32" t="n">
        <x:f>Z936+W937-X937-T937-Z936*V937/AB936</x:f>
        <x:v>746.2153539156023</x:v>
      </x:c>
      <x:c r="AA937" s="32" t="n">
        <x:f>AA936+X937-U937-AA936*V937/AB936</x:f>
        <x:v>259.34661508466644</x:v>
      </x:c>
      <x:c r="AB937" s="10" t="n">
        <x:f>Y937+Z937+AA937</x:f>
        <x:v>1791.4789345300849</x:v>
      </x:c>
      <x:c r="AC937" s="8" t="n">
        <x:f>IF(AND(v01_WinterTrigger=1,D937=1,AB936/AE936&gt;=K937),1,0)</x:f>
        <x:v>0</x:v>
      </x:c>
      <x:c r="AD937" s="8" t="n">
        <x:f>H937*IF(AND(OR(AB936/AE936&gt;=v01_FissionTrigger*N937,AC937=1),AB936/AE936*v01_DaughterShare&gt;=v01_MinDaughter),MAX(1,ROUND(AE936*v01_FissionRate,0)),0)</x:f>
        <x:v>0</x:v>
      </x:c>
      <x:c r="AE937" s="8" t="n">
        <x:f>IF(H937=1,MAX(1,MIN(INDEX(v01_Smax,G937),AE936+AD937)),AE936)</x:f>
        <x:v>12</x:v>
      </x:c>
      <x:c r="AF937" s="8" t="n">
        <x:f>MAX(0,AE937-AE936)</x:f>
        <x:v>0</x:v>
      </x:c>
      <x:c r="AG937" s="9" t="str">
        <x:f>IF(AF937&gt;0,B937,"")</x:f>
      </x:c>
      <x:c r="AH937" s="9" t="n">
        <x:f>IF(F937&gt;=1,1,(1+v01_LowTiesShare*(AE937-1))/AE937)</x:f>
        <x:v>1</x:v>
      </x:c>
      <x:c r="AI937" s="32" t="n">
        <x:f>(Z937+v01_ElderCommons*INDEX(LM_Elder,G937)*AA937)*AH937</x:f>
        <x:v>1524.2551991696018</x:v>
      </x:c>
      <x:c r="AJ937" s="32" t="n">
        <x:f>H937*v01_CommonsCoef*AI937^v01_CommonsExp*INDEX(LM_Commons,G937)</x:f>
        <x:v>368.20233435863565</x:v>
      </x:c>
      <x:c r="AK937" s="32" t="n">
        <x:f>H937*v01_RoleScale*Arch_Roles*(AE937*(INDEX(v01_ElderRolePerSett,G937)*v01_OutElder*INDEX(LM_Elder,G937)+INDEX(v01_ShamanPerSett,G937)*v01_OutShaman)+Z937*(INDEX(v01_PriestShare,G937)*v01_OutPriest+INDEX(v01_ScribeShare,G937)*v01_OutScribe*INDEX(LM_Scribe,G937)+INDEX(v01_ScholarShare,G937)*v01_OutScholar*INDEX(LM_Scholar,G937)+INDEX(v01_ResearcherShare,G937)*v01_OutResearcher*INDEX(LM_Researcher,G937)))</x:f>
        <x:v>57.08573121140428</x:v>
      </x:c>
      <x:c r="AL937" s="32" t="n">
        <x:f>H937*v01_RoleScale*Arch_Roles*AE937*INDEX(v01_MonasteryPerSett,G937)*v01_OutMonastery*INDEX(LM_Monastery,G937)</x:f>
        <x:v>0</x:v>
      </x:c>
      <x:c r="AM937" s="32" t="n">
        <x:f>(AJ937+AK937+AL937)/4*INDEX(LM_All,G937)*INDEX(v01_Boon,G937)*Arch_Insight</x:f>
        <x:v>127.91659377217599</x:v>
      </x:c>
      <x:c r="AN937" s="32" t="n">
        <x:f>H937*(v01_KHPerAdult*Z937+v01_KHOfCommons*AJ937/4*INDEX(LM_All,G937))*v01_KHUsable*Arch_KH</x:f>
        <x:v>26.117537387046085</x:v>
      </x:c>
      <x:c r="AO937" s="32" t="n">
        <x:f>MIN(AP936+AN937,AM937*v01_KHMaxRatio)</x:f>
        <x:v>26.117537387046085</x:v>
      </x:c>
      <x:c r="AP937" s="32" t="n">
        <x:f>AP936+AN937-AO937</x:f>
        <x:v>0</x:v>
      </x:c>
      <x:c r="AQ937" s="32" t="n">
        <x:f>AM937+AO937</x:f>
        <x:v>154.03413115922206</x:v>
      </x:c>
      <x:c r="AR937" s="10" t="n">
        <x:f>IF(H937=1,INDEX(v01_Req,G937),0)</x:f>
        <x:v>24714.473079999996</x:v>
      </x:c>
      <x:c r="AS937" s="32" t="n">
        <x:f>IF(H937=1,IF(E937=1,AS936-AR936,AS936)+AQ937,0)</x:f>
        <x:v>6854.063219460634</x:v>
      </x:c>
      <x:c r="AT937" s="11" t="n">
        <x:f>IF(AR937&gt;0,MIN(1,AS937/AR937),1)</x:f>
        <x:v>0.277329935268061</x:v>
      </x:c>
      <x:c r="AU937" s="10" t="n">
        <x:f>AB937/INDEX(v01_RepScale,G937)</x:f>
        <x:v>179.1478934530085</x:v>
      </x:c>
      <x:c r="AV937" s="32" t="n">
        <x:f>AM937*60/v01_SeasonSeconds</x:f>
        <x:v>511.66637508870394</x:v>
      </x:c>
    </x:row>
    <x:row r="938">
      <x:c r="A938" s="8" t="n">
        <x:f>A937+1</x:f>
        <x:v>935</x:v>
      </x:c>
      <x:c r="B938" s="9" t="n">
        <x:f>A938*v01_SeasonSeconds/60</x:f>
        <x:v>233.75</x:v>
      </x:c>
      <x:c r="C938" s="9" t="n">
        <x:f>A938/4</x:f>
        <x:v>233.75</x:v>
      </x:c>
      <x:c r="D938" s="8" t="n">
        <x:f>IF(MOD(A938,4)=0,1,0)</x:f>
        <x:v>0</x:v>
      </x:c>
      <x:c r="E938" s="8" t="n">
        <x:f>IF(AND(F937&lt;=9,AS937&gt;=AR937),1,0)</x:f>
        <x:v>0</x:v>
      </x:c>
      <x:c r="F938" s="8" t="n">
        <x:f>MIN(10,F937+E938)</x:f>
        <x:v>4</x:v>
      </x:c>
      <x:c r="G938" s="8" t="n">
        <x:f>MIN(F938,9)+1</x:f>
        <x:v>5</x:v>
      </x:c>
      <x:c r="H938" s="8" t="n">
        <x:f>IF(F938&lt;=9,1,0)</x:f>
        <x:v>1</x:v>
      </x:c>
      <x:c r="I938" s="9" t="n">
        <x:f>MIN(10,F937+IF(AR937&gt;0,MIN(1,AS937/AR937),1))</x:f>
        <x:v>4.277329935268061</x:v>
      </x:c>
      <x:c r="J938" s="32" t="n">
        <x:f>INDEX(v01_FoodCap,G938)*Arch_FoodCap*EXP(v01_CapsByProject*SUMPRODUCT((Cap_Point&lt;=I938)*(Cap_Kind="Food")*Cap_Ln))</x:f>
        <x:v>250</x:v>
      </x:c>
      <x:c r="K938" s="32" t="n">
        <x:f>J938*MIN(1,v01_LeanBase*EXP(v01_CapsByProject*SUMPRODUCT((Cap_Point&lt;=I938)*(Cap_Kind="Lean")*Cap_Ln)))</x:f>
        <x:v>250</x:v>
      </x:c>
      <x:c r="L938" s="10" t="n">
        <x:f>INDEX(v01_HousingCap,G938)*EXP(v01_CapsByProject*SUMPRODUCT((Cap_Point&lt;=I938)*(Cap_Kind="Housing")*Cap_Ln))</x:f>
        <x:v>400</x:v>
      </x:c>
      <x:c r="M938" s="10" t="n">
        <x:f>INDEX(v01_GroupCap,G938)*v01_CohesionFactor*EXP(v01_CapsByProject*SUMPRODUCT((Cap_Point&lt;=I938)*(Cap_Kind="Group")*Cap_Ln))</x:f>
        <x:v>10000</x:v>
      </x:c>
      <x:c r="N938" s="32" t="n">
        <x:f>MIN(J938,L938,M938)</x:f>
        <x:v>250</x:v>
      </x:c>
      <x:c r="O938" s="10" t="n">
        <x:f>AE937*N938</x:f>
        <x:v>3000</x:v>
      </x:c>
      <x:c r="P938" s="9" t="n">
        <x:f>MIN(1,(AB937/(AE937*IF(v01_GroupInCrowding=1,N938,MIN(J938,L938))))^v01_CrowdingExp)</x:f>
        <x:v>0.04534638870481451</x:v>
      </x:c>
      <x:c r="Q938" s="9" t="n">
        <x:f>IF(D938=1,INDEX(v01_WinterMult,G938),1)</x:f>
        <x:v>1</x:v>
      </x:c>
      <x:c r="R938" s="9" t="n">
        <x:f>H938*Z937*v01_WomenShare*v01_BaseFertility*INDEX(v01_FertMult,G938)*Arch_Fertility*(1-P938)</x:f>
        <x:v>25.645578567100006</x:v>
      </x:c>
      <x:c r="S938" s="9" t="n">
        <x:f>H938*Y937*INDEX(v01_MortChild,G938)/4*Q938</x:f>
        <x:v>5.501418758708712</x:v>
      </x:c>
      <x:c r="T938" s="9" t="n">
        <x:f>H938*Z937*INDEX(v01_MortAdult,G938)*Arch_AdultMort/4*Q938</x:f>
        <x:v>1.865538384789006</x:v>
      </x:c>
      <x:c r="U938" s="9" t="n">
        <x:f>H938*AA937*INDEX(v01_MortElder,G938)/4*Q938</x:f>
        <x:v>3.8901992262699965</x:v>
      </x:c>
      <x:c r="V938" s="9" t="n">
        <x:f>H938*MAX(0,AB937-O938)*v01_OvercapLoss</x:f>
        <x:v>0</x:v>
      </x:c>
      <x:c r="W938" s="9" t="n">
        <x:f>H938*Y937/(v01_ChildYears*4)</x:f>
        <x:v>14.034231527318143</x:v>
      </x:c>
      <x:c r="X938" s="9" t="n">
        <x:f>H938*Z937/(v01_AdultYears*4)</x:f>
        <x:v>6.01786575738389</x:v>
      </x:c>
      <x:c r="Y938" s="32" t="n">
        <x:f>Y937+R938-S938-W938-Y937*V938/AB937</x:f>
        <x:v>792.0268938108891</x:v>
      </x:c>
      <x:c r="Z938" s="32" t="n">
        <x:f>Z937+W938-X938-T938-Z937*V938/AB937</x:f>
        <x:v>752.3661813007476</x:v>
      </x:c>
      <x:c r="AA938" s="32" t="n">
        <x:f>AA937+X938-U938-AA937*V938/AB937</x:f>
        <x:v>261.47428161578034</x:v>
      </x:c>
      <x:c r="AB938" s="10" t="n">
        <x:f>Y938+Z938+AA938</x:f>
        <x:v>1805.8673567274172</x:v>
      </x:c>
      <x:c r="AC938" s="8" t="n">
        <x:f>IF(AND(v01_WinterTrigger=1,D938=1,AB937/AE937&gt;=K938),1,0)</x:f>
        <x:v>0</x:v>
      </x:c>
      <x:c r="AD938" s="8" t="n">
        <x:f>H938*IF(AND(OR(AB937/AE937&gt;=v01_FissionTrigger*N938,AC938=1),AB937/AE937*v01_DaughterShare&gt;=v01_MinDaughter),MAX(1,ROUND(AE937*v01_FissionRate,0)),0)</x:f>
        <x:v>0</x:v>
      </x:c>
      <x:c r="AE938" s="8" t="n">
        <x:f>IF(H938=1,MAX(1,MIN(INDEX(v01_Smax,G938),AE937+AD938)),AE937)</x:f>
        <x:v>12</x:v>
      </x:c>
      <x:c r="AF938" s="8" t="n">
        <x:f>MAX(0,AE938-AE937)</x:f>
        <x:v>0</x:v>
      </x:c>
      <x:c r="AG938" s="9" t="str">
        <x:f>IF(AF938&gt;0,B938,"")</x:f>
      </x:c>
      <x:c r="AH938" s="9" t="n">
        <x:f>IF(F938&gt;=1,1,(1+v01_LowTiesShare*(AE938-1))/AE938)</x:f>
        <x:v>1</x:v>
      </x:c>
      <x:c r="AI938" s="32" t="n">
        <x:f>(Z938+v01_ElderCommons*INDEX(LM_Elder,G938)*AA938)*AH938</x:f>
        <x:v>1536.7890261480886</x:v>
      </x:c>
      <x:c r="AJ938" s="32" t="n">
        <x:f>H938*v01_CommonsCoef*AI938^v01_CommonsExp*INDEX(LM_Commons,G938)</x:f>
        <x:v>370.77429544985034</x:v>
      </x:c>
      <x:c r="AK938" s="32" t="n">
        <x:f>H938*v01_RoleScale*Arch_Roles*(AE938*(INDEX(v01_ElderRolePerSett,G938)*v01_OutElder*INDEX(LM_Elder,G938)+INDEX(v01_ShamanPerSett,G938)*v01_OutShaman)+Z938*(INDEX(v01_PriestShare,G938)*v01_OutPriest+INDEX(v01_ScribeShare,G938)*v01_OutScribe*INDEX(LM_Scribe,G938)+INDEX(v01_ScholarShare,G938)*v01_OutScholar*INDEX(LM_Scholar,G938)+INDEX(v01_ResearcherShare,G938)*v01_OutResearcher*INDEX(LM_Researcher,G938)))</x:f>
        <x:v>57.25953451401709</x:v>
      </x:c>
      <x:c r="AL938" s="32" t="n">
        <x:f>H938*v01_RoleScale*Arch_Roles*AE938*INDEX(v01_MonasteryPerSett,G938)*v01_OutMonastery*INDEX(LM_Monastery,G938)</x:f>
        <x:v>0</x:v>
      </x:c>
      <x:c r="AM938" s="32" t="n">
        <x:f>(AJ938+AK938+AL938)/4*INDEX(LM_All,G938)*INDEX(v01_Boon,G938)*Arch_Insight</x:f>
        <x:v>128.742454775561</x:v>
      </x:c>
      <x:c r="AN938" s="32" t="n">
        <x:f>H938*(v01_KHPerAdult*Z938+v01_KHOfCommons*AJ938/4*INDEX(LM_All,G938))*v01_KHUsable*Arch_KH</x:f>
        <x:v>26.332816345526165</x:v>
      </x:c>
      <x:c r="AO938" s="32" t="n">
        <x:f>MIN(AP937+AN938,AM938*v01_KHMaxRatio)</x:f>
        <x:v>26.332816345526165</x:v>
      </x:c>
      <x:c r="AP938" s="32" t="n">
        <x:f>AP937+AN938-AO938</x:f>
        <x:v>0</x:v>
      </x:c>
      <x:c r="AQ938" s="32" t="n">
        <x:f>AM938+AO938</x:f>
        <x:v>155.07527112108716</x:v>
      </x:c>
      <x:c r="AR938" s="10" t="n">
        <x:f>IF(H938=1,INDEX(v01_Req,G938),0)</x:f>
        <x:v>24714.473079999996</x:v>
      </x:c>
      <x:c r="AS938" s="32" t="n">
        <x:f>IF(H938=1,IF(E938=1,AS937-AR937,AS937)+AQ938,0)</x:f>
        <x:v>7009.138490581721</x:v>
      </x:c>
      <x:c r="AT938" s="11" t="n">
        <x:f>IF(AR938&gt;0,MIN(1,AS938/AR938),1)</x:f>
        <x:v>0.28360460965092615</x:v>
      </x:c>
      <x:c r="AU938" s="10" t="n">
        <x:f>AB938/INDEX(v01_RepScale,G938)</x:f>
        <x:v>180.58673567274172</x:v>
      </x:c>
      <x:c r="AV938" s="32" t="n">
        <x:f>AM938*60/v01_SeasonSeconds</x:f>
        <x:v>514.969819102244</x:v>
      </x:c>
    </x:row>
    <x:row r="939">
      <x:c r="A939" s="8" t="n">
        <x:f>A938+1</x:f>
        <x:v>936</x:v>
      </x:c>
      <x:c r="B939" s="9" t="n">
        <x:f>A939*v01_SeasonSeconds/60</x:f>
        <x:v>234</x:v>
      </x:c>
      <x:c r="C939" s="9" t="n">
        <x:f>A939/4</x:f>
        <x:v>234</x:v>
      </x:c>
      <x:c r="D939" s="8" t="n">
        <x:f>IF(MOD(A939,4)=0,1,0)</x:f>
        <x:v>1</x:v>
      </x:c>
      <x:c r="E939" s="8" t="n">
        <x:f>IF(AND(F938&lt;=9,AS938&gt;=AR938),1,0)</x:f>
        <x:v>0</x:v>
      </x:c>
      <x:c r="F939" s="8" t="n">
        <x:f>MIN(10,F938+E939)</x:f>
        <x:v>4</x:v>
      </x:c>
      <x:c r="G939" s="8" t="n">
        <x:f>MIN(F939,9)+1</x:f>
        <x:v>5</x:v>
      </x:c>
      <x:c r="H939" s="8" t="n">
        <x:f>IF(F939&lt;=9,1,0)</x:f>
        <x:v>1</x:v>
      </x:c>
      <x:c r="I939" s="9" t="n">
        <x:f>MIN(10,F938+IF(AR938&gt;0,MIN(1,AS938/AR938),1))</x:f>
        <x:v>4.283604609650926</x:v>
      </x:c>
      <x:c r="J939" s="32" t="n">
        <x:f>INDEX(v01_FoodCap,G939)*Arch_FoodCap*EXP(v01_CapsByProject*SUMPRODUCT((Cap_Point&lt;=I939)*(Cap_Kind="Food")*Cap_Ln))</x:f>
        <x:v>250</x:v>
      </x:c>
      <x:c r="K939" s="32" t="n">
        <x:f>J939*MIN(1,v01_LeanBase*EXP(v01_CapsByProject*SUMPRODUCT((Cap_Point&lt;=I939)*(Cap_Kind="Lean")*Cap_Ln)))</x:f>
        <x:v>250</x:v>
      </x:c>
      <x:c r="L939" s="10" t="n">
        <x:f>INDEX(v01_HousingCap,G939)*EXP(v01_CapsByProject*SUMPRODUCT((Cap_Point&lt;=I939)*(Cap_Kind="Housing")*Cap_Ln))</x:f>
        <x:v>400</x:v>
      </x:c>
      <x:c r="M939" s="10" t="n">
        <x:f>INDEX(v01_GroupCap,G939)*v01_CohesionFactor*EXP(v01_CapsByProject*SUMPRODUCT((Cap_Point&lt;=I939)*(Cap_Kind="Group")*Cap_Ln))</x:f>
        <x:v>10000</x:v>
      </x:c>
      <x:c r="N939" s="32" t="n">
        <x:f>MIN(J939,L939,M939)</x:f>
        <x:v>250</x:v>
      </x:c>
      <x:c r="O939" s="10" t="n">
        <x:f>AE938*N939</x:f>
        <x:v>3000</x:v>
      </x:c>
      <x:c r="P939" s="9" t="n">
        <x:f>MIN(1,(AB938/(AE938*IF(v01_GroupInCrowding=1,N939,MIN(J939,L939))))^v01_CrowdingExp)</x:f>
        <x:v>0.047575959704575475</x:v>
      </x:c>
      <x:c r="Q939" s="9" t="n">
        <x:f>IF(D939=1,INDEX(v01_WinterMult,G939),1)</x:f>
        <x:v>1</x:v>
      </x:c>
      <x:c r="R939" s="9" t="n">
        <x:f>H939*Z938*v01_WomenShare*v01_BaseFertility*INDEX(v01_FertMult,G939)*Arch_Fertility*(1-P939)</x:f>
        <x:v>25.796578974339518</x:v>
      </x:c>
      <x:c r="S939" s="9" t="n">
        <x:f>H939*Y938*INDEX(v01_MortChild,G939)/4*Q939</x:f>
        <x:v>5.5441882566762235</x:v>
      </x:c>
      <x:c r="T939" s="9" t="n">
        <x:f>H939*Z938*INDEX(v01_MortAdult,G939)*Arch_AdultMort/4*Q939</x:f>
        <x:v>1.880915453251869</x:v>
      </x:c>
      <x:c r="U939" s="9" t="n">
        <x:f>H939*AA938*INDEX(v01_MortElder,G939)/4*Q939</x:f>
        <x:v>3.922114224236705</x:v>
      </x:c>
      <x:c r="V939" s="9" t="n">
        <x:f>H939*MAX(0,AB938-O939)*v01_OvercapLoss</x:f>
        <x:v>0</x:v>
      </x:c>
      <x:c r="W939" s="9" t="n">
        <x:f>H939*Y938/(v01_ChildYears*4)</x:f>
        <x:v>14.143337389480163</x:v>
      </x:c>
      <x:c r="X939" s="9" t="n">
        <x:f>H939*Z938/(v01_AdultYears*4)</x:f>
        <x:v>6.067469204038287</x:v>
      </x:c>
      <x:c r="Y939" s="32" t="n">
        <x:f>Y938+R939-S939-W939-Y938*V939/AB938</x:f>
        <x:v>798.1359471390722</x:v>
      </x:c>
      <x:c r="Z939" s="32" t="n">
        <x:f>Z938+W939-X939-T939-Z938*V939/AB938</x:f>
        <x:v>758.5611340329376</x:v>
      </x:c>
      <x:c r="AA939" s="32" t="n">
        <x:f>AA938+X939-U939-AA938*V939/AB938</x:f>
        <x:v>263.61963659558194</x:v>
      </x:c>
      <x:c r="AB939" s="10" t="n">
        <x:f>Y939+Z939+AA939</x:f>
        <x:v>1820.3167177675919</x:v>
      </x:c>
      <x:c r="AC939" s="8" t="n">
        <x:f>IF(AND(v01_WinterTrigger=1,D939=1,AB938/AE938&gt;=K939),1,0)</x:f>
        <x:v>0</x:v>
      </x:c>
      <x:c r="AD939" s="8" t="n">
        <x:f>H939*IF(AND(OR(AB938/AE938&gt;=v01_FissionTrigger*N939,AC939=1),AB938/AE938*v01_DaughterShare&gt;=v01_MinDaughter),MAX(1,ROUND(AE938*v01_FissionRate,0)),0)</x:f>
        <x:v>0</x:v>
      </x:c>
      <x:c r="AE939" s="8" t="n">
        <x:f>IF(H939=1,MAX(1,MIN(INDEX(v01_Smax,G939),AE938+AD939)),AE938)</x:f>
        <x:v>12</x:v>
      </x:c>
      <x:c r="AF939" s="8" t="n">
        <x:f>MAX(0,AE939-AE938)</x:f>
        <x:v>0</x:v>
      </x:c>
      <x:c r="AG939" s="9" t="str">
        <x:f>IF(AF939&gt;0,B939,"")</x:f>
      </x:c>
      <x:c r="AH939" s="9" t="n">
        <x:f>IF(F939&gt;=1,1,(1+v01_LowTiesShare*(AE939-1))/AE939)</x:f>
        <x:v>1</x:v>
      </x:c>
      <x:c r="AI939" s="32" t="n">
        <x:f>(Z939+v01_ElderCommons*INDEX(LM_Elder,G939)*AA939)*AH939</x:f>
        <x:v>1549.4200438196835</x:v>
      </x:c>
      <x:c r="AJ939" s="32" t="n">
        <x:f>H939*v01_CommonsCoef*AI939^v01_CommonsExp*INDEX(LM_Commons,G939)</x:f>
        <x:v>373.3630190365189</x:v>
      </x:c>
      <x:c r="AK939" s="32" t="n">
        <x:f>H939*v01_RoleScale*Arch_Roles*(AE939*(INDEX(v01_ElderRolePerSett,G939)*v01_OutElder*INDEX(LM_Elder,G939)+INDEX(v01_ShamanPerSett,G939)*v01_OutShaman)+Z939*(INDEX(v01_PriestShare,G939)*v01_OutPriest+INDEX(v01_ScribeShare,G939)*v01_OutScribe*INDEX(LM_Scribe,G939)+INDEX(v01_ScholarShare,G939)*v01_OutScholar*INDEX(LM_Scholar,G939)+INDEX(v01_ResearcherShare,G939)*v01_OutResearcher*INDEX(LM_Researcher,G939)))</x:f>
        <x:v>57.43458466206468</x:v>
      </x:c>
      <x:c r="AL939" s="32" t="n">
        <x:f>H939*v01_RoleScale*Arch_Roles*AE939*INDEX(v01_MonasteryPerSett,G939)*v01_OutMonastery*INDEX(LM_Monastery,G939)</x:f>
        <x:v>0</x:v>
      </x:c>
      <x:c r="AM939" s="32" t="n">
        <x:f>(AJ939+AK939+AL939)/4*INDEX(LM_All,G939)*INDEX(v01_Boon,G939)*Arch_Insight</x:f>
        <x:v>129.57373256283682</x:v>
      </x:c>
      <x:c r="AN939" s="32" t="n">
        <x:f>H939*(v01_KHPerAdult*Z939+v01_KHOfCommons*AJ939/4*INDEX(LM_All,G939))*v01_KHUsable*Arch_KH</x:f>
        <x:v>26.549639691152816</x:v>
      </x:c>
      <x:c r="AO939" s="32" t="n">
        <x:f>MIN(AP938+AN939,AM939*v01_KHMaxRatio)</x:f>
        <x:v>26.549639691152816</x:v>
      </x:c>
      <x:c r="AP939" s="32" t="n">
        <x:f>AP938+AN939-AO939</x:f>
        <x:v>0</x:v>
      </x:c>
      <x:c r="AQ939" s="32" t="n">
        <x:f>AM939+AO939</x:f>
        <x:v>156.12337225398963</x:v>
      </x:c>
      <x:c r="AR939" s="10" t="n">
        <x:f>IF(H939=1,INDEX(v01_Req,G939),0)</x:f>
        <x:v>24714.473079999996</x:v>
      </x:c>
      <x:c r="AS939" s="32" t="n">
        <x:f>IF(H939=1,IF(E939=1,AS938-AR938,AS938)+AQ939,0)</x:f>
        <x:v>7165.261862835711</x:v>
      </x:c>
      <x:c r="AT939" s="11" t="n">
        <x:f>IF(AR939&gt;0,MIN(1,AS939/AR939),1)</x:f>
        <x:v>0.289921692428642</x:v>
      </x:c>
      <x:c r="AU939" s="10" t="n">
        <x:f>AB939/INDEX(v01_RepScale,G939)</x:f>
        <x:v>182.0316717767592</x:v>
      </x:c>
      <x:c r="AV939" s="32" t="n">
        <x:f>AM939*60/v01_SeasonSeconds</x:f>
        <x:v>518.2949302513473</x:v>
      </x:c>
    </x:row>
    <x:row r="940">
      <x:c r="A940" s="8" t="n">
        <x:f>A939+1</x:f>
        <x:v>937</x:v>
      </x:c>
      <x:c r="B940" s="9" t="n">
        <x:f>A940*v01_SeasonSeconds/60</x:f>
        <x:v>234.25</x:v>
      </x:c>
      <x:c r="C940" s="9" t="n">
        <x:f>A940/4</x:f>
        <x:v>234.25</x:v>
      </x:c>
      <x:c r="D940" s="8" t="n">
        <x:f>IF(MOD(A940,4)=0,1,0)</x:f>
        <x:v>0</x:v>
      </x:c>
      <x:c r="E940" s="8" t="n">
        <x:f>IF(AND(F939&lt;=9,AS939&gt;=AR939),1,0)</x:f>
        <x:v>0</x:v>
      </x:c>
      <x:c r="F940" s="8" t="n">
        <x:f>MIN(10,F939+E940)</x:f>
        <x:v>4</x:v>
      </x:c>
      <x:c r="G940" s="8" t="n">
        <x:f>MIN(F940,9)+1</x:f>
        <x:v>5</x:v>
      </x:c>
      <x:c r="H940" s="8" t="n">
        <x:f>IF(F940&lt;=9,1,0)</x:f>
        <x:v>1</x:v>
      </x:c>
      <x:c r="I940" s="9" t="n">
        <x:f>MIN(10,F939+IF(AR939&gt;0,MIN(1,AS939/AR939),1))</x:f>
        <x:v>4.289921692428642</x:v>
      </x:c>
      <x:c r="J940" s="32" t="n">
        <x:f>INDEX(v01_FoodCap,G940)*Arch_FoodCap*EXP(v01_CapsByProject*SUMPRODUCT((Cap_Point&lt;=I940)*(Cap_Kind="Food")*Cap_Ln))</x:f>
        <x:v>250</x:v>
      </x:c>
      <x:c r="K940" s="32" t="n">
        <x:f>J940*MIN(1,v01_LeanBase*EXP(v01_CapsByProject*SUMPRODUCT((Cap_Point&lt;=I940)*(Cap_Kind="Lean")*Cap_Ln)))</x:f>
        <x:v>250</x:v>
      </x:c>
      <x:c r="L940" s="10" t="n">
        <x:f>INDEX(v01_HousingCap,G940)*EXP(v01_CapsByProject*SUMPRODUCT((Cap_Point&lt;=I940)*(Cap_Kind="Housing")*Cap_Ln))</x:f>
        <x:v>400</x:v>
      </x:c>
      <x:c r="M940" s="10" t="n">
        <x:f>INDEX(v01_GroupCap,G940)*v01_CohesionFactor*EXP(v01_CapsByProject*SUMPRODUCT((Cap_Point&lt;=I940)*(Cap_Kind="Group")*Cap_Ln))</x:f>
        <x:v>10000</x:v>
      </x:c>
      <x:c r="N940" s="32" t="n">
        <x:f>MIN(J940,L940,M940)</x:f>
        <x:v>250</x:v>
      </x:c>
      <x:c r="O940" s="10" t="n">
        <x:f>AE939*N940</x:f>
        <x:v>3000</x:v>
      </x:c>
      <x:c r="P940" s="9" t="n">
        <x:f>MIN(1,(AB939/(AE939*IF(v01_GroupInCrowding=1,N940,MIN(J940,L940))))^v01_CrowdingExp)</x:f>
        <x:v>0.04990616724352036</x:v>
      </x:c>
      <x:c r="Q940" s="9" t="n">
        <x:f>IF(D940=1,INDEX(v01_WinterMult,G940),1)</x:f>
        <x:v>1</x:v>
      </x:c>
      <x:c r="R940" s="9" t="n">
        <x:f>H940*Z939*v01_WomenShare*v01_BaseFertility*INDEX(v01_FertMult,G940)*Arch_Fertility*(1-P940)</x:f>
        <x:v>25.94535318768439</x:v>
      </x:c>
      <x:c r="S940" s="9" t="n">
        <x:f>H940*Y939*INDEX(v01_MortChild,G940)/4*Q940</x:f>
        <x:v>5.586951629973505</x:v>
      </x:c>
      <x:c r="T940" s="9" t="n">
        <x:f>H940*Z939*INDEX(v01_MortAdult,G940)*Arch_AdultMort/4*Q940</x:f>
        <x:v>1.896402835082344</x:v>
      </x:c>
      <x:c r="U940" s="9" t="n">
        <x:f>H940*AA939*INDEX(v01_MortElder,G940)/4*Q940</x:f>
        <x:v>3.954294548933729</x:v>
      </x:c>
      <x:c r="V940" s="9" t="n">
        <x:f>H940*MAX(0,AB939-O940)*v01_OvercapLoss</x:f>
        <x:v>0</x:v>
      </x:c>
      <x:c r="W940" s="9" t="n">
        <x:f>H940*Y939/(v01_ChildYears*4)</x:f>
        <x:v>14.252427627483431</x:v>
      </x:c>
      <x:c r="X940" s="9" t="n">
        <x:f>H940*Z939/(v01_AdultYears*4)</x:f>
        <x:v>6.117428500265626</x:v>
      </x:c>
      <x:c r="Y940" s="32" t="n">
        <x:f>Y939+R940-S940-W940-Y939*V940/AB939</x:f>
        <x:v>804.2419210692996</x:v>
      </x:c>
      <x:c r="Z940" s="32" t="n">
        <x:f>Z939+W940-X940-T940-Z939*V940/AB939</x:f>
        <x:v>764.7997303250731</x:v>
      </x:c>
      <x:c r="AA940" s="32" t="n">
        <x:f>AA939+X940-U940-AA939*V940/AB939</x:f>
        <x:v>265.78277054691387</x:v>
      </x:c>
      <x:c r="AB940" s="10" t="n">
        <x:f>Y940+Z940+AA940</x:f>
        <x:v>1834.8244219412868</x:v>
      </x:c>
      <x:c r="AC940" s="8" t="n">
        <x:f>IF(AND(v01_WinterTrigger=1,D940=1,AB939/AE939&gt;=K940),1,0)</x:f>
        <x:v>0</x:v>
      </x:c>
      <x:c r="AD940" s="8" t="n">
        <x:f>H940*IF(AND(OR(AB939/AE939&gt;=v01_FissionTrigger*N940,AC940=1),AB939/AE939*v01_DaughterShare&gt;=v01_MinDaughter),MAX(1,ROUND(AE939*v01_FissionRate,0)),0)</x:f>
        <x:v>0</x:v>
      </x:c>
      <x:c r="AE940" s="8" t="n">
        <x:f>IF(H940=1,MAX(1,MIN(INDEX(v01_Smax,G940),AE939+AD940)),AE939)</x:f>
        <x:v>12</x:v>
      </x:c>
      <x:c r="AF940" s="8" t="n">
        <x:f>MAX(0,AE940-AE939)</x:f>
        <x:v>0</x:v>
      </x:c>
      <x:c r="AG940" s="9" t="str">
        <x:f>IF(AF940&gt;0,B940,"")</x:f>
      </x:c>
      <x:c r="AH940" s="9" t="n">
        <x:f>IF(F940&gt;=1,1,(1+v01_LowTiesShare*(AE940-1))/AE940)</x:f>
        <x:v>1</x:v>
      </x:c>
      <x:c r="AI940" s="32" t="n">
        <x:f>(Z940+v01_ElderCommons*INDEX(LM_Elder,G940)*AA940)*AH940</x:f>
        <x:v>1562.1480419658146</x:v>
      </x:c>
      <x:c r="AJ940" s="32" t="n">
        <x:f>H940*v01_CommonsCoef*AI940^v01_CommonsExp*INDEX(LM_Commons,G940)</x:f>
        <x:v>375.9684186618581</x:v>
      </x:c>
      <x:c r="AK940" s="32" t="n">
        <x:f>H940*v01_RoleScale*Arch_Roles*(AE940*(INDEX(v01_ElderRolePerSett,G940)*v01_OutElder*INDEX(LM_Elder,G940)+INDEX(v01_ShamanPerSett,G940)*v01_OutShaman)+Z940*(INDEX(v01_PriestShare,G940)*v01_OutPriest+INDEX(v01_ScribeShare,G940)*v01_OutScribe*INDEX(LM_Scribe,G940)+INDEX(v01_ScholarShare,G940)*v01_OutScholar*INDEX(LM_Scholar,G940)+INDEX(v01_ResearcherShare,G940)*v01_OutResearcher*INDEX(LM_Researcher,G940)))</x:f>
        <x:v>57.610868041738094</x:v>
      </x:c>
      <x:c r="AL940" s="32" t="n">
        <x:f>H940*v01_RoleScale*Arch_Roles*AE940*INDEX(v01_MonasteryPerSett,G940)*v01_OutMonastery*INDEX(LM_Monastery,G940)</x:f>
        <x:v>0</x:v>
      </x:c>
      <x:c r="AM940" s="32" t="n">
        <x:f>(AJ940+AK940+AL940)/4*INDEX(LM_All,G940)*INDEX(v01_Boon,G940)*Arch_Insight</x:f>
        <x:v>130.41039703513573</x:v>
      </x:c>
      <x:c r="AN940" s="32" t="n">
        <x:f>H940*(v01_KHPerAdult*Z940+v01_KHOfCommons*AJ940/4*INDEX(LM_All,G940))*v01_KHUsable*Arch_KH</x:f>
        <x:v>26.76799056137756</x:v>
      </x:c>
      <x:c r="AO940" s="32" t="n">
        <x:f>MIN(AP939+AN940,AM940*v01_KHMaxRatio)</x:f>
        <x:v>26.76799056137756</x:v>
      </x:c>
      <x:c r="AP940" s="32" t="n">
        <x:f>AP939+AN940-AO940</x:f>
        <x:v>0</x:v>
      </x:c>
      <x:c r="AQ940" s="32" t="n">
        <x:f>AM940+AO940</x:f>
        <x:v>157.1783875965133</x:v>
      </x:c>
      <x:c r="AR940" s="10" t="n">
        <x:f>IF(H940=1,INDEX(v01_Req,G940),0)</x:f>
        <x:v>24714.473079999996</x:v>
      </x:c>
      <x:c r="AS940" s="32" t="n">
        <x:f>IF(H940=1,IF(E940=1,AS939-AR939,AS939)+AQ940,0)</x:f>
        <x:v>7322.440250432224</x:v>
      </x:c>
      <x:c r="AT940" s="11" t="n">
        <x:f>IF(AR940&gt;0,MIN(1,AS940/AR940),1)</x:f>
        <x:v>0.2962814633647947</x:v>
      </x:c>
      <x:c r="AU940" s="10" t="n">
        <x:f>AB940/INDEX(v01_RepScale,G940)</x:f>
        <x:v>183.48244219412868</x:v>
      </x:c>
      <x:c r="AV940" s="32" t="n">
        <x:f>AM940*60/v01_SeasonSeconds</x:f>
        <x:v>521.6415881405429</x:v>
      </x:c>
    </x:row>
    <x:row r="941">
      <x:c r="A941" s="8" t="n">
        <x:f>A940+1</x:f>
        <x:v>938</x:v>
      </x:c>
      <x:c r="B941" s="9" t="n">
        <x:f>A941*v01_SeasonSeconds/60</x:f>
        <x:v>234.5</x:v>
      </x:c>
      <x:c r="C941" s="9" t="n">
        <x:f>A941/4</x:f>
        <x:v>234.5</x:v>
      </x:c>
      <x:c r="D941" s="8" t="n">
        <x:f>IF(MOD(A941,4)=0,1,0)</x:f>
        <x:v>0</x:v>
      </x:c>
      <x:c r="E941" s="8" t="n">
        <x:f>IF(AND(F940&lt;=9,AS940&gt;=AR940),1,0)</x:f>
        <x:v>0</x:v>
      </x:c>
      <x:c r="F941" s="8" t="n">
        <x:f>MIN(10,F940+E941)</x:f>
        <x:v>4</x:v>
      </x:c>
      <x:c r="G941" s="8" t="n">
        <x:f>MIN(F941,9)+1</x:f>
        <x:v>5</x:v>
      </x:c>
      <x:c r="H941" s="8" t="n">
        <x:f>IF(F941&lt;=9,1,0)</x:f>
        <x:v>1</x:v>
      </x:c>
      <x:c r="I941" s="9" t="n">
        <x:f>MIN(10,F940+IF(AR940&gt;0,MIN(1,AS940/AR940),1))</x:f>
        <x:v>4.296281463364795</x:v>
      </x:c>
      <x:c r="J941" s="32" t="n">
        <x:f>INDEX(v01_FoodCap,G941)*Arch_FoodCap*EXP(v01_CapsByProject*SUMPRODUCT((Cap_Point&lt;=I941)*(Cap_Kind="Food")*Cap_Ln))</x:f>
        <x:v>250</x:v>
      </x:c>
      <x:c r="K941" s="32" t="n">
        <x:f>J941*MIN(1,v01_LeanBase*EXP(v01_CapsByProject*SUMPRODUCT((Cap_Point&lt;=I941)*(Cap_Kind="Lean")*Cap_Ln)))</x:f>
        <x:v>250</x:v>
      </x:c>
      <x:c r="L941" s="10" t="n">
        <x:f>INDEX(v01_HousingCap,G941)*EXP(v01_CapsByProject*SUMPRODUCT((Cap_Point&lt;=I941)*(Cap_Kind="Housing")*Cap_Ln))</x:f>
        <x:v>400</x:v>
      </x:c>
      <x:c r="M941" s="10" t="n">
        <x:f>INDEX(v01_GroupCap,G941)*v01_CohesionFactor*EXP(v01_CapsByProject*SUMPRODUCT((Cap_Point&lt;=I941)*(Cap_Kind="Group")*Cap_Ln))</x:f>
        <x:v>10000</x:v>
      </x:c>
      <x:c r="N941" s="32" t="n">
        <x:f>MIN(J941,L941,M941)</x:f>
        <x:v>250</x:v>
      </x:c>
      <x:c r="O941" s="10" t="n">
        <x:f>AE940*N941</x:f>
        <x:v>3000</x:v>
      </x:c>
      <x:c r="P941" s="9" t="n">
        <x:f>MIN(1,(AB940/(AE940*IF(v01_GroupInCrowding=1,N941,MIN(J941,L941))))^v01_CrowdingExp)</x:f>
        <x:v>0.05234070210648047</x:v>
      </x:c>
      <x:c r="Q941" s="9" t="n">
        <x:f>IF(D941=1,INDEX(v01_WinterMult,G941),1)</x:f>
        <x:v>1</x:v>
      </x:c>
      <x:c r="R941" s="9" t="n">
        <x:f>H941*Z940*v01_WomenShare*v01_BaseFertility*INDEX(v01_FertMult,G941)*Arch_Fertility*(1-P941)</x:f>
        <x:v>26.091704716884426</x:v>
      </x:c>
      <x:c r="S941" s="9" t="n">
        <x:f>H941*Y940*INDEX(v01_MortChild,G941)/4*Q941</x:f>
        <x:v>5.6296934474850975</x:v>
      </x:c>
      <x:c r="T941" s="9" t="n">
        <x:f>H941*Z940*INDEX(v01_MortAdult,G941)*Arch_AdultMort/4*Q941</x:f>
        <x:v>1.9119993258126828</x:v>
      </x:c>
      <x:c r="U941" s="9" t="n">
        <x:f>H941*AA940*INDEX(v01_MortElder,G941)/4*Q941</x:f>
        <x:v>3.986741558203708</x:v>
      </x:c>
      <x:c r="V941" s="9" t="n">
        <x:f>H941*MAX(0,AB940-O941)*v01_OvercapLoss</x:f>
        <x:v>0</x:v>
      </x:c>
      <x:c r="W941" s="9" t="n">
        <x:f>H941*Y940/(v01_ChildYears*4)</x:f>
        <x:v>14.361462876237493</x:v>
      </x:c>
      <x:c r="X941" s="9" t="n">
        <x:f>H941*Z940/(v01_AdultYears*4)</x:f>
        <x:v>6.167739760686073</x:v>
      </x:c>
      <x:c r="Y941" s="32" t="n">
        <x:f>Y940+R941-S941-W941-Y940*V941/AB940</x:f>
        <x:v>810.3424694624614</x:v>
      </x:c>
      <x:c r="Z941" s="32" t="n">
        <x:f>Z940+W941-X941-T941-Z940*V941/AB940</x:f>
        <x:v>771.0814541148119</x:v>
      </x:c>
      <x:c r="AA941" s="32" t="n">
        <x:f>AA940+X941-U941-AA940*V941/AB940</x:f>
        <x:v>267.9637687493962</x:v>
      </x:c>
      <x:c r="AB941" s="10" t="n">
        <x:f>Y941+Z941+AA941</x:f>
        <x:v>1849.3876923266696</x:v>
      </x:c>
      <x:c r="AC941" s="8" t="n">
        <x:f>IF(AND(v01_WinterTrigger=1,D941=1,AB940/AE940&gt;=K941),1,0)</x:f>
        <x:v>0</x:v>
      </x:c>
      <x:c r="AD941" s="8" t="n">
        <x:f>H941*IF(AND(OR(AB940/AE940&gt;=v01_FissionTrigger*N941,AC941=1),AB940/AE940*v01_DaughterShare&gt;=v01_MinDaughter),MAX(1,ROUND(AE940*v01_FissionRate,0)),0)</x:f>
        <x:v>0</x:v>
      </x:c>
      <x:c r="AE941" s="8" t="n">
        <x:f>IF(H941=1,MAX(1,MIN(INDEX(v01_Smax,G941),AE940+AD941)),AE940)</x:f>
        <x:v>12</x:v>
      </x:c>
      <x:c r="AF941" s="8" t="n">
        <x:f>MAX(0,AE941-AE940)</x:f>
        <x:v>0</x:v>
      </x:c>
      <x:c r="AG941" s="9" t="str">
        <x:f>IF(AF941&gt;0,B941,"")</x:f>
      </x:c>
      <x:c r="AH941" s="9" t="n">
        <x:f>IF(F941&gt;=1,1,(1+v01_LowTiesShare*(AE941-1))/AE941)</x:f>
        <x:v>1</x:v>
      </x:c>
      <x:c r="AI941" s="32" t="n">
        <x:f>(Z941+v01_ElderCommons*INDEX(LM_Elder,G941)*AA941)*AH941</x:f>
        <x:v>1574.9727603630004</x:v>
      </x:c>
      <x:c r="AJ941" s="32" t="n">
        <x:f>H941*v01_CommonsCoef*AI941^v01_CommonsExp*INDEX(LM_Commons,G941)</x:f>
        <x:v>378.5903981528286</x:v>
      </x:c>
      <x:c r="AK941" s="32" t="n">
        <x:f>H941*v01_RoleScale*Arch_Roles*(AE941*(INDEX(v01_ElderRolePerSett,G941)*v01_OutElder*INDEX(LM_Elder,G941)+INDEX(v01_ShamanPerSett,G941)*v01_OutShaman)+Z941*(INDEX(v01_PriestShare,G941)*v01_OutPriest+INDEX(v01_ScribeShare,G941)*v01_OutScribe*INDEX(LM_Scribe,G941)+INDEX(v01_ScholarShare,G941)*v01_OutScholar*INDEX(LM_Scholar,G941)+INDEX(v01_ResearcherShare,G941)*v01_OutResearcher*INDEX(LM_Researcher,G941)))</x:f>
        <x:v>57.78837007071631</x:v>
      </x:c>
      <x:c r="AL941" s="32" t="n">
        <x:f>H941*v01_RoleScale*Arch_Roles*AE941*INDEX(v01_MonasteryPerSett,G941)*v01_OutMonastery*INDEX(LM_Monastery,G941)</x:f>
        <x:v>0</x:v>
      </x:c>
      <x:c r="AM941" s="32" t="n">
        <x:f>(AJ941+AK941+AL941)/4*INDEX(LM_All,G941)*INDEX(v01_Boon,G941)*Arch_Insight</x:f>
        <x:v>131.25241487986412</x:v>
      </x:c>
      <x:c r="AN941" s="32" t="n">
        <x:f>H941*(v01_KHPerAdult*Z941+v01_KHOfCommons*AJ941/4*INDEX(LM_All,G941))*v01_KHUsable*Arch_KH</x:f>
        <x:v>26.987850894018415</x:v>
      </x:c>
      <x:c r="AO941" s="32" t="n">
        <x:f>MIN(AP940+AN941,AM941*v01_KHMaxRatio)</x:f>
        <x:v>26.987850894018415</x:v>
      </x:c>
      <x:c r="AP941" s="32" t="n">
        <x:f>AP940+AN941-AO941</x:f>
        <x:v>0</x:v>
      </x:c>
      <x:c r="AQ941" s="32" t="n">
        <x:f>AM941+AO941</x:f>
        <x:v>158.24026577388253</x:v>
      </x:c>
      <x:c r="AR941" s="10" t="n">
        <x:f>IF(H941=1,INDEX(v01_Req,G941),0)</x:f>
        <x:v>24714.473079999996</x:v>
      </x:c>
      <x:c r="AS941" s="32" t="n">
        <x:f>IF(H941=1,IF(E941=1,AS940-AR940,AS940)+AQ941,0)</x:f>
        <x:v>7480.680516206106</x:v>
      </x:c>
      <x:c r="AT941" s="11" t="n">
        <x:f>IF(AR941&gt;0,MIN(1,AS941/AR941),1)</x:f>
        <x:v>0.3026842001442382</x:v>
      </x:c>
      <x:c r="AU941" s="10" t="n">
        <x:f>AB941/INDEX(v01_RepScale,G941)</x:f>
        <x:v>184.93876923266697</x:v>
      </x:c>
      <x:c r="AV941" s="32" t="n">
        <x:f>AM941*60/v01_SeasonSeconds</x:f>
        <x:v>525.0096595194565</x:v>
      </x:c>
    </x:row>
    <x:row r="942">
      <x:c r="A942" s="8" t="n">
        <x:f>A941+1</x:f>
        <x:v>939</x:v>
      </x:c>
      <x:c r="B942" s="9" t="n">
        <x:f>A942*v01_SeasonSeconds/60</x:f>
        <x:v>234.75</x:v>
      </x:c>
      <x:c r="C942" s="9" t="n">
        <x:f>A942/4</x:f>
        <x:v>234.75</x:v>
      </x:c>
      <x:c r="D942" s="8" t="n">
        <x:f>IF(MOD(A942,4)=0,1,0)</x:f>
        <x:v>0</x:v>
      </x:c>
      <x:c r="E942" s="8" t="n">
        <x:f>IF(AND(F941&lt;=9,AS941&gt;=AR941),1,0)</x:f>
        <x:v>0</x:v>
      </x:c>
      <x:c r="F942" s="8" t="n">
        <x:f>MIN(10,F941+E942)</x:f>
        <x:v>4</x:v>
      </x:c>
      <x:c r="G942" s="8" t="n">
        <x:f>MIN(F942,9)+1</x:f>
        <x:v>5</x:v>
      </x:c>
      <x:c r="H942" s="8" t="n">
        <x:f>IF(F942&lt;=9,1,0)</x:f>
        <x:v>1</x:v>
      </x:c>
      <x:c r="I942" s="9" t="n">
        <x:f>MIN(10,F941+IF(AR941&gt;0,MIN(1,AS941/AR941),1))</x:f>
        <x:v>4.302684200144238</x:v>
      </x:c>
      <x:c r="J942" s="32" t="n">
        <x:f>INDEX(v01_FoodCap,G942)*Arch_FoodCap*EXP(v01_CapsByProject*SUMPRODUCT((Cap_Point&lt;=I942)*(Cap_Kind="Food")*Cap_Ln))</x:f>
        <x:v>250</x:v>
      </x:c>
      <x:c r="K942" s="32" t="n">
        <x:f>J942*MIN(1,v01_LeanBase*EXP(v01_CapsByProject*SUMPRODUCT((Cap_Point&lt;=I942)*(Cap_Kind="Lean")*Cap_Ln)))</x:f>
        <x:v>250</x:v>
      </x:c>
      <x:c r="L942" s="10" t="n">
        <x:f>INDEX(v01_HousingCap,G942)*EXP(v01_CapsByProject*SUMPRODUCT((Cap_Point&lt;=I942)*(Cap_Kind="Housing")*Cap_Ln))</x:f>
        <x:v>400</x:v>
      </x:c>
      <x:c r="M942" s="10" t="n">
        <x:f>INDEX(v01_GroupCap,G942)*v01_CohesionFactor*EXP(v01_CapsByProject*SUMPRODUCT((Cap_Point&lt;=I942)*(Cap_Kind="Group")*Cap_Ln))</x:f>
        <x:v>10000</x:v>
      </x:c>
      <x:c r="N942" s="32" t="n">
        <x:f>MIN(J942,L942,M942)</x:f>
        <x:v>250</x:v>
      </x:c>
      <x:c r="O942" s="10" t="n">
        <x:f>AE941*N942</x:f>
        <x:v>3000</x:v>
      </x:c>
      <x:c r="P942" s="9" t="n">
        <x:f>MIN(1,(AB941/(AE941*IF(v01_GroupInCrowding=1,N942,MIN(J942,L942))))^v01_CrowdingExp)</x:f>
        <x:v>0.0548833042411243</x:v>
      </x:c>
      <x:c r="Q942" s="9" t="n">
        <x:f>IF(D942=1,INDEX(v01_WinterMult,G942),1)</x:f>
        <x:v>1</x:v>
      </x:c>
      <x:c r="R942" s="9" t="n">
        <x:f>H942*Z941*v01_WomenShare*v01_BaseFertility*INDEX(v01_FertMult,G942)*Arch_Fertility*(1-P942)</x:f>
        <x:v>26.235430418661842</x:v>
      </x:c>
      <x:c r="S942" s="9" t="n">
        <x:f>H942*Y941*INDEX(v01_MortChild,G942)/4*Q942</x:f>
        <x:v>5.67239728623723</x:v>
      </x:c>
      <x:c r="T942" s="9" t="n">
        <x:f>H942*Z941*INDEX(v01_MortAdult,G942)*Arch_AdultMort/4*Q942</x:f>
        <x:v>1.9277036352870298</x:v>
      </x:c>
      <x:c r="U942" s="9" t="n">
        <x:f>H942*AA941*INDEX(v01_MortElder,G942)/4*Q942</x:f>
        <x:v>4.019456531240943</x:v>
      </x:c>
      <x:c r="V942" s="9" t="n">
        <x:f>H942*MAX(0,AB941-O942)*v01_OvercapLoss</x:f>
        <x:v>0</x:v>
      </x:c>
      <x:c r="W942" s="9" t="n">
        <x:f>H942*Y941/(v01_ChildYears*4)</x:f>
        <x:v>14.470401240401097</x:v>
      </x:c>
      <x:c r="X942" s="9" t="n">
        <x:f>H942*Z941/(v01_AdultYears*4)</x:f>
        <x:v>6.218398823506548</x:v>
      </x:c>
      <x:c r="Y942" s="32" t="n">
        <x:f>Y941+R942-S942-W942-Y941*V942/AB941</x:f>
        <x:v>816.4351013544849</x:v>
      </x:c>
      <x:c r="Z942" s="32" t="n">
        <x:f>Z941+W942-X942-T942-Z941*V942/AB941</x:f>
        <x:v>777.4057528964195</x:v>
      </x:c>
      <x:c r="AA942" s="32" t="n">
        <x:f>AA941+X942-U942-AA941*V942/AB941</x:f>
        <x:v>270.1627110416618</x:v>
      </x:c>
      <x:c r="AB942" s="10" t="n">
        <x:f>Y942+Z942+AA942</x:f>
        <x:v>1864.0035652925662</x:v>
      </x:c>
      <x:c r="AC942" s="8" t="n">
        <x:f>IF(AND(v01_WinterTrigger=1,D942=1,AB941/AE941&gt;=K942),1,0)</x:f>
        <x:v>0</x:v>
      </x:c>
      <x:c r="AD942" s="8" t="n">
        <x:f>H942*IF(AND(OR(AB941/AE941&gt;=v01_FissionTrigger*N942,AC942=1),AB941/AE941*v01_DaughterShare&gt;=v01_MinDaughter),MAX(1,ROUND(AE941*v01_FissionRate,0)),0)</x:f>
        <x:v>0</x:v>
      </x:c>
      <x:c r="AE942" s="8" t="n">
        <x:f>IF(H942=1,MAX(1,MIN(INDEX(v01_Smax,G942),AE941+AD942)),AE941)</x:f>
        <x:v>12</x:v>
      </x:c>
      <x:c r="AF942" s="8" t="n">
        <x:f>MAX(0,AE942-AE941)</x:f>
        <x:v>0</x:v>
      </x:c>
      <x:c r="AG942" s="9" t="str">
        <x:f>IF(AF942&gt;0,B942,"")</x:f>
      </x:c>
      <x:c r="AH942" s="9" t="n">
        <x:f>IF(F942&gt;=1,1,(1+v01_LowTiesShare*(AE942-1))/AE942)</x:f>
        <x:v>1</x:v>
      </x:c>
      <x:c r="AI942" s="32" t="n">
        <x:f>(Z942+v01_ElderCommons*INDEX(LM_Elder,G942)*AA942)*AH942</x:f>
        <x:v>1587.8938860214048</x:v>
      </x:c>
      <x:c r="AJ942" s="32" t="n">
        <x:f>H942*v01_CommonsCoef*AI942^v01_CommonsExp*INDEX(LM_Commons,G942)</x:f>
        <x:v>381.2288511177299</x:v>
      </x:c>
      <x:c r="AK942" s="32" t="n">
        <x:f>H942*v01_RoleScale*Arch_Roles*(AE942*(INDEX(v01_ElderRolePerSett,G942)*v01_OutElder*INDEX(LM_Elder,G942)+INDEX(v01_ShamanPerSett,G942)*v01_OutShaman)+Z942*(INDEX(v01_PriestShare,G942)*v01_OutPriest+INDEX(v01_ScribeShare,G942)*v01_OutScribe*INDEX(LM_Scribe,G942)+INDEX(v01_ScholarShare,G942)*v01_OutScholar*INDEX(LM_Scholar,G942)+INDEX(v01_ResearcherShare,G942)*v01_OutResearcher*INDEX(LM_Researcher,G942)))</x:f>
        <x:v>57.96707513690109</x:v>
      </x:c>
      <x:c r="AL942" s="32" t="n">
        <x:f>H942*v01_RoleScale*Arch_Roles*AE942*INDEX(v01_MonasteryPerSett,G942)*v01_OutMonastery*INDEX(LM_Monastery,G942)</x:f>
        <x:v>0</x:v>
      </x:c>
      <x:c r="AM942" s="32" t="n">
        <x:f>(AJ942+AK942+AL942)/4*INDEX(LM_All,G942)*INDEX(v01_Boon,G942)*Arch_Insight</x:f>
        <x:v>132.09974940116427</x:v>
      </x:c>
      <x:c r="AN942" s="32" t="n">
        <x:f>H942*(v01_KHPerAdult*Z942+v01_KHOfCommons*AJ942/4*INDEX(LM_All,G942))*v01_KHUsable*Arch_KH</x:f>
        <x:v>27.20920135137468</x:v>
      </x:c>
      <x:c r="AO942" s="32" t="n">
        <x:f>MIN(AP941+AN942,AM942*v01_KHMaxRatio)</x:f>
        <x:v>27.20920135137468</x:v>
      </x:c>
      <x:c r="AP942" s="32" t="n">
        <x:f>AP941+AN942-AO942</x:f>
        <x:v>0</x:v>
      </x:c>
      <x:c r="AQ942" s="32" t="n">
        <x:f>AM942+AO942</x:f>
        <x:v>159.30895075253895</x:v>
      </x:c>
      <x:c r="AR942" s="10" t="n">
        <x:f>IF(H942=1,INDEX(v01_Req,G942),0)</x:f>
        <x:v>24714.473079999996</x:v>
      </x:c>
      <x:c r="AS942" s="32" t="n">
        <x:f>IF(H942=1,IF(E942=1,AS941-AR941,AS941)+AQ942,0)</x:f>
        <x:v>7639.989466958646</x:v>
      </x:c>
      <x:c r="AT942" s="11" t="n">
        <x:f>IF(AR942&gt;0,MIN(1,AS942/AR942),1)</x:f>
        <x:v>0.30913017818458977</x:v>
      </x:c>
      <x:c r="AU942" s="10" t="n">
        <x:f>AB942/INDEX(v01_RepScale,G942)</x:f>
        <x:v>186.4003565292566</x:v>
      </x:c>
      <x:c r="AV942" s="32" t="n">
        <x:f>AM942*60/v01_SeasonSeconds</x:f>
        <x:v>528.3989976046571</x:v>
      </x:c>
    </x:row>
    <x:row r="943">
      <x:c r="A943" s="8" t="n">
        <x:f>A942+1</x:f>
        <x:v>940</x:v>
      </x:c>
      <x:c r="B943" s="9" t="n">
        <x:f>A943*v01_SeasonSeconds/60</x:f>
        <x:v>235</x:v>
      </x:c>
      <x:c r="C943" s="9" t="n">
        <x:f>A943/4</x:f>
        <x:v>235</x:v>
      </x:c>
      <x:c r="D943" s="8" t="n">
        <x:f>IF(MOD(A943,4)=0,1,0)</x:f>
        <x:v>1</x:v>
      </x:c>
      <x:c r="E943" s="8" t="n">
        <x:f>IF(AND(F942&lt;=9,AS942&gt;=AR942),1,0)</x:f>
        <x:v>0</x:v>
      </x:c>
      <x:c r="F943" s="8" t="n">
        <x:f>MIN(10,F942+E943)</x:f>
        <x:v>4</x:v>
      </x:c>
      <x:c r="G943" s="8" t="n">
        <x:f>MIN(F943,9)+1</x:f>
        <x:v>5</x:v>
      </x:c>
      <x:c r="H943" s="8" t="n">
        <x:f>IF(F943&lt;=9,1,0)</x:f>
        <x:v>1</x:v>
      </x:c>
      <x:c r="I943" s="9" t="n">
        <x:f>MIN(10,F942+IF(AR942&gt;0,MIN(1,AS942/AR942),1))</x:f>
        <x:v>4.309130178184589</x:v>
      </x:c>
      <x:c r="J943" s="32" t="n">
        <x:f>INDEX(v01_FoodCap,G943)*Arch_FoodCap*EXP(v01_CapsByProject*SUMPRODUCT((Cap_Point&lt;=I943)*(Cap_Kind="Food")*Cap_Ln))</x:f>
        <x:v>250</x:v>
      </x:c>
      <x:c r="K943" s="32" t="n">
        <x:f>J943*MIN(1,v01_LeanBase*EXP(v01_CapsByProject*SUMPRODUCT((Cap_Point&lt;=I943)*(Cap_Kind="Lean")*Cap_Ln)))</x:f>
        <x:v>250</x:v>
      </x:c>
      <x:c r="L943" s="10" t="n">
        <x:f>INDEX(v01_HousingCap,G943)*EXP(v01_CapsByProject*SUMPRODUCT((Cap_Point&lt;=I943)*(Cap_Kind="Housing")*Cap_Ln))</x:f>
        <x:v>400</x:v>
      </x:c>
      <x:c r="M943" s="10" t="n">
        <x:f>INDEX(v01_GroupCap,G943)*v01_CohesionFactor*EXP(v01_CapsByProject*SUMPRODUCT((Cap_Point&lt;=I943)*(Cap_Kind="Group")*Cap_Ln))</x:f>
        <x:v>10000</x:v>
      </x:c>
      <x:c r="N943" s="32" t="n">
        <x:f>MIN(J943,L943,M943)</x:f>
        <x:v>250</x:v>
      </x:c>
      <x:c r="O943" s="10" t="n">
        <x:f>AE942*N943</x:f>
        <x:v>3000</x:v>
      </x:c>
      <x:c r="P943" s="9" t="n">
        <x:f>MIN(1,(AB942/(AE942*IF(v01_GroupInCrowding=1,N943,MIN(J943,L943))))^v01_CrowdingExp)</x:f>
        <x:v>0.05753775383662934</x:v>
      </x:c>
      <x:c r="Q943" s="9" t="n">
        <x:f>IF(D943=1,INDEX(v01_WinterMult,G943),1)</x:f>
        <x:v>1</x:v>
      </x:c>
      <x:c r="R943" s="9" t="n">
        <x:f>H943*Z942*v01_WomenShare*v01_BaseFertility*INDEX(v01_FertMult,G943)*Arch_Fertility*(1-P943)</x:f>
        <x:v>26.376320593983092</x:v>
      </x:c>
      <x:c r="S943" s="9" t="n">
        <x:f>H943*Y942*INDEX(v01_MortChild,G943)/4*Q943</x:f>
        <x:v>5.7150457094813945</x:v>
      </x:c>
      <x:c r="T943" s="9" t="n">
        <x:f>H943*Z942*INDEX(v01_MortAdult,G943)*Arch_AdultMort/4*Q943</x:f>
        <x:v>1.9435143822410488</x:v>
      </x:c>
      <x:c r="U943" s="9" t="n">
        <x:f>H943*AA942*INDEX(v01_MortElder,G943)/4*Q943</x:f>
        <x:v>4.0524406656249266</x:v>
      </x:c>
      <x:c r="V943" s="9" t="n">
        <x:f>H943*MAX(0,AB942-O943)*v01_OvercapLoss</x:f>
        <x:v>0</x:v>
      </x:c>
      <x:c r="W943" s="9" t="n">
        <x:f>H943*Y942/(v01_ChildYears*4)</x:f>
        <x:v>14.579198238472944</x:v>
      </x:c>
      <x:c r="X943" s="9" t="n">
        <x:f>H943*Z942/(v01_AdultYears*4)</x:f>
        <x:v>6.269401233035641</x:v>
      </x:c>
      <x:c r="Y943" s="32" t="n">
        <x:f>Y942+R943-S943-W943-Y942*V943/AB942</x:f>
        <x:v>822.5171780005137</x:v>
      </x:c>
      <x:c r="Z943" s="32" t="n">
        <x:f>Z942+W943-X943-T943-Z942*V943/AB942</x:f>
        <x:v>783.7720355196158</x:v>
      </x:c>
      <x:c r="AA943" s="32" t="n">
        <x:f>AA942+X943-U943-AA942*V943/AB942</x:f>
        <x:v>272.3796716090725</x:v>
      </x:c>
      <x:c r="AB943" s="10" t="n">
        <x:f>Y943+Z943+AA943</x:f>
        <x:v>1878.668885129202</x:v>
      </x:c>
      <x:c r="AC943" s="8" t="n">
        <x:f>IF(AND(v01_WinterTrigger=1,D943=1,AB942/AE942&gt;=K943),1,0)</x:f>
        <x:v>0</x:v>
      </x:c>
      <x:c r="AD943" s="8" t="n">
        <x:f>H943*IF(AND(OR(AB942/AE942&gt;=v01_FissionTrigger*N943,AC943=1),AB942/AE942*v01_DaughterShare&gt;=v01_MinDaughter),MAX(1,ROUND(AE942*v01_FissionRate,0)),0)</x:f>
        <x:v>0</x:v>
      </x:c>
      <x:c r="AE943" s="8" t="n">
        <x:f>IF(H943=1,MAX(1,MIN(INDEX(v01_Smax,G943),AE942+AD943)),AE942)</x:f>
        <x:v>12</x:v>
      </x:c>
      <x:c r="AF943" s="8" t="n">
        <x:f>MAX(0,AE943-AE942)</x:f>
        <x:v>0</x:v>
      </x:c>
      <x:c r="AG943" s="9" t="str">
        <x:f>IF(AF943&gt;0,B943,"")</x:f>
      </x:c>
      <x:c r="AH943" s="9" t="n">
        <x:f>IF(F943&gt;=1,1,(1+v01_LowTiesShare*(AE943-1))/AE943)</x:f>
        <x:v>1</x:v>
      </x:c>
      <x:c r="AI943" s="32" t="n">
        <x:f>(Z943+v01_ElderCommons*INDEX(LM_Elder,G943)*AA943)*AH943</x:f>
        <x:v>1600.9110503468332</x:v>
      </x:c>
      <x:c r="AJ943" s="32" t="n">
        <x:f>H943*v01_CommonsCoef*AI943^v01_CommonsExp*INDEX(LM_Commons,G943)</x:f>
        <x:v>383.8836604318137</x:v>
      </x:c>
      <x:c r="AK943" s="32" t="n">
        <x:f>H943*v01_RoleScale*Arch_Roles*(AE943*(INDEX(v01_ElderRolePerSett,G943)*v01_OutElder*INDEX(LM_Elder,G943)+INDEX(v01_ShamanPerSett,G943)*v01_OutShaman)+Z943*(INDEX(v01_PriestShare,G943)*v01_OutPriest+INDEX(v01_ScribeShare,G943)*v01_OutScribe*INDEX(LM_Scribe,G943)+INDEX(v01_ScholarShare,G943)*v01_OutScholar*INDEX(LM_Scholar,G943)+INDEX(v01_ResearcherShare,G943)*v01_OutResearcher*INDEX(LM_Researcher,G943)))</x:f>
        <x:v>58.146966536219225</x:v>
      </x:c>
      <x:c r="AL943" s="32" t="n">
        <x:f>H943*v01_RoleScale*Arch_Roles*AE943*INDEX(v01_MonasteryPerSett,G943)*v01_OutMonastery*INDEX(LM_Monastery,G943)</x:f>
        <x:v>0</x:v>
      </x:c>
      <x:c r="AM943" s="32" t="n">
        <x:f>(AJ943+AK943+AL943)/4*INDEX(LM_All,G943)*INDEX(v01_Boon,G943)*Arch_Insight</x:f>
        <x:v>132.9523603464912</x:v>
      </x:c>
      <x:c r="AN943" s="32" t="n">
        <x:f>H943*(v01_KHPerAdult*Z943+v01_KHOfCommons*AJ943/4*INDEX(LM_All,G943))*v01_KHUsable*Arch_KH</x:f>
        <x:v>27.432021243186554</x:v>
      </x:c>
      <x:c r="AO943" s="32" t="n">
        <x:f>MIN(AP942+AN943,AM943*v01_KHMaxRatio)</x:f>
        <x:v>27.432021243186554</x:v>
      </x:c>
      <x:c r="AP943" s="32" t="n">
        <x:f>AP942+AN943-AO943</x:f>
        <x:v>0</x:v>
      </x:c>
      <x:c r="AQ943" s="32" t="n">
        <x:f>AM943+AO943</x:f>
        <x:v>160.38438158967773</x:v>
      </x:c>
      <x:c r="AR943" s="10" t="n">
        <x:f>IF(H943=1,INDEX(v01_Req,G943),0)</x:f>
        <x:v>24714.473079999996</x:v>
      </x:c>
      <x:c r="AS943" s="32" t="n">
        <x:f>IF(H943=1,IF(E943=1,AS942-AR942,AS942)+AQ943,0)</x:f>
        <x:v>7800.373848548324</x:v>
      </x:c>
      <x:c r="AT943" s="11" t="n">
        <x:f>IF(AR943&gt;0,MIN(1,AS943/AR943),1)</x:f>
        <x:v>0.3156196704375914</x:v>
      </x:c>
      <x:c r="AU943" s="10" t="n">
        <x:f>AB943/INDEX(v01_RepScale,G943)</x:f>
        <x:v>187.86688851292018</x:v>
      </x:c>
      <x:c r="AV943" s="32" t="n">
        <x:f>AM943*60/v01_SeasonSeconds</x:f>
        <x:v>531.8094413859648</x:v>
      </x:c>
    </x:row>
    <x:row r="944">
      <x:c r="A944" s="8" t="n">
        <x:f>A943+1</x:f>
        <x:v>941</x:v>
      </x:c>
      <x:c r="B944" s="9" t="n">
        <x:f>A944*v01_SeasonSeconds/60</x:f>
        <x:v>235.25</x:v>
      </x:c>
      <x:c r="C944" s="9" t="n">
        <x:f>A944/4</x:f>
        <x:v>235.25</x:v>
      </x:c>
      <x:c r="D944" s="8" t="n">
        <x:f>IF(MOD(A944,4)=0,1,0)</x:f>
        <x:v>0</x:v>
      </x:c>
      <x:c r="E944" s="8" t="n">
        <x:f>IF(AND(F943&lt;=9,AS943&gt;=AR943),1,0)</x:f>
        <x:v>0</x:v>
      </x:c>
      <x:c r="F944" s="8" t="n">
        <x:f>MIN(10,F943+E944)</x:f>
        <x:v>4</x:v>
      </x:c>
      <x:c r="G944" s="8" t="n">
        <x:f>MIN(F944,9)+1</x:f>
        <x:v>5</x:v>
      </x:c>
      <x:c r="H944" s="8" t="n">
        <x:f>IF(F944&lt;=9,1,0)</x:f>
        <x:v>1</x:v>
      </x:c>
      <x:c r="I944" s="9" t="n">
        <x:f>MIN(10,F943+IF(AR943&gt;0,MIN(1,AS943/AR943),1))</x:f>
        <x:v>4.3156196704375915</x:v>
      </x:c>
      <x:c r="J944" s="32" t="n">
        <x:f>INDEX(v01_FoodCap,G944)*Arch_FoodCap*EXP(v01_CapsByProject*SUMPRODUCT((Cap_Point&lt;=I944)*(Cap_Kind="Food")*Cap_Ln))</x:f>
        <x:v>250</x:v>
      </x:c>
      <x:c r="K944" s="32" t="n">
        <x:f>J944*MIN(1,v01_LeanBase*EXP(v01_CapsByProject*SUMPRODUCT((Cap_Point&lt;=I944)*(Cap_Kind="Lean")*Cap_Ln)))</x:f>
        <x:v>250</x:v>
      </x:c>
      <x:c r="L944" s="10" t="n">
        <x:f>INDEX(v01_HousingCap,G944)*EXP(v01_CapsByProject*SUMPRODUCT((Cap_Point&lt;=I944)*(Cap_Kind="Housing")*Cap_Ln))</x:f>
        <x:v>400</x:v>
      </x:c>
      <x:c r="M944" s="10" t="n">
        <x:f>INDEX(v01_GroupCap,G944)*v01_CohesionFactor*EXP(v01_CapsByProject*SUMPRODUCT((Cap_Point&lt;=I944)*(Cap_Kind="Group")*Cap_Ln))</x:f>
        <x:v>10000</x:v>
      </x:c>
      <x:c r="N944" s="32" t="n">
        <x:f>MIN(J944,L944,M944)</x:f>
        <x:v>250</x:v>
      </x:c>
      <x:c r="O944" s="10" t="n">
        <x:f>AE943*N944</x:f>
        <x:v>3000</x:v>
      </x:c>
      <x:c r="P944" s="9" t="n">
        <x:f>MIN(1,(AB943/(AE943*IF(v01_GroupInCrowding=1,N944,MIN(J944,L944))))^v01_CrowdingExp)</x:f>
        <x:v>0.06030786126082948</x:v>
      </x:c>
      <x:c r="Q944" s="9" t="n">
        <x:f>IF(D944=1,INDEX(v01_WinterMult,G944),1)</x:f>
        <x:v>1</x:v>
      </x:c>
      <x:c r="R944" s="9" t="n">
        <x:f>H944*Z943*v01_WomenShare*v01_BaseFertility*INDEX(v01_FertMult,G944)*Arch_Fertility*(1-P944)</x:f>
        <x:v>26.514159132289713</x:v>
      </x:c>
      <x:c r="S944" s="9" t="n">
        <x:f>H944*Y943*INDEX(v01_MortChild,G944)/4*Q944</x:f>
        <x:v>5.757620246003596</x:v>
      </x:c>
      <x:c r="T944" s="9" t="n">
        <x:f>H944*Z943*INDEX(v01_MortAdult,G944)*Arch_AdultMort/4*Q944</x:f>
        <x:v>1.9594300887990395</x:v>
      </x:c>
      <x:c r="U944" s="9" t="n">
        <x:f>H944*AA943*INDEX(v01_MortElder,G944)/4*Q944</x:f>
        <x:v>4.085695074136087</x:v>
      </x:c>
      <x:c r="V944" s="9" t="n">
        <x:f>H944*MAX(0,AB943-O944)*v01_OvercapLoss</x:f>
        <x:v>0</x:v>
      </x:c>
      <x:c r="W944" s="9" t="n">
        <x:f>H944*Y943/(v01_ChildYears*4)</x:f>
        <x:v>14.687806750009173</x:v>
      </x:c>
      <x:c r="X944" s="9" t="n">
        <x:f>H944*Z943/(v01_AdultYears*4)</x:f>
        <x:v>6.320742221932385</x:v>
      </x:c>
      <x:c r="Y944" s="32" t="n">
        <x:f>Y943+R944-S944-W944-Y943*V944/AB943</x:f>
        <x:v>828.5859101367906</x:v>
      </x:c>
      <x:c r="Z944" s="32" t="n">
        <x:f>Z943+W944-X944-T944-Z943*V944/AB943</x:f>
        <x:v>790.1796699588934</x:v>
      </x:c>
      <x:c r="AA944" s="32" t="n">
        <x:f>AA943+X944-U944-AA943*V944/AB943</x:f>
        <x:v>274.6147187568688</x:v>
      </x:c>
      <x:c r="AB944" s="10" t="n">
        <x:f>Y944+Z944+AA944</x:f>
        <x:v>1893.3802988525529</x:v>
      </x:c>
      <x:c r="AC944" s="8" t="n">
        <x:f>IF(AND(v01_WinterTrigger=1,D944=1,AB943/AE943&gt;=K944),1,0)</x:f>
        <x:v>0</x:v>
      </x:c>
      <x:c r="AD944" s="8" t="n">
        <x:f>H944*IF(AND(OR(AB943/AE943&gt;=v01_FissionTrigger*N944,AC944=1),AB943/AE943*v01_DaughterShare&gt;=v01_MinDaughter),MAX(1,ROUND(AE943*v01_FissionRate,0)),0)</x:f>
        <x:v>0</x:v>
      </x:c>
      <x:c r="AE944" s="8" t="n">
        <x:f>IF(H944=1,MAX(1,MIN(INDEX(v01_Smax,G944),AE943+AD944)),AE943)</x:f>
        <x:v>12</x:v>
      </x:c>
      <x:c r="AF944" s="8" t="n">
        <x:f>MAX(0,AE944-AE943)</x:f>
        <x:v>0</x:v>
      </x:c>
      <x:c r="AG944" s="9" t="str">
        <x:f>IF(AF944&gt;0,B944,"")</x:f>
      </x:c>
      <x:c r="AH944" s="9" t="n">
        <x:f>IF(F944&gt;=1,1,(1+v01_LowTiesShare*(AE944-1))/AE944)</x:f>
        <x:v>1</x:v>
      </x:c>
      <x:c r="AI944" s="32" t="n">
        <x:f>(Z944+v01_ElderCommons*INDEX(LM_Elder,G944)*AA944)*AH944</x:f>
        <x:v>1614.0238262294997</x:v>
      </x:c>
      <x:c r="AJ944" s="32" t="n">
        <x:f>H944*v01_CommonsCoef*AI944^v01_CommonsExp*INDEX(LM_Commons,G944)</x:f>
        <x:v>386.55469771167685</x:v>
      </x:c>
      <x:c r="AK944" s="32" t="n">
        <x:f>H944*v01_RoleScale*Arch_Roles*(AE944*(INDEX(v01_ElderRolePerSett,G944)*v01_OutElder*INDEX(LM_Elder,G944)+INDEX(v01_ShamanPerSett,G944)*v01_OutShaman)+Z944*(INDEX(v01_PriestShare,G944)*v01_OutPriest+INDEX(v01_ScribeShare,G944)*v01_OutScribe*INDEX(LM_Scribe,G944)+INDEX(v01_ScholarShare,G944)*v01_OutScholar*INDEX(LM_Scholar,G944)+INDEX(v01_ResearcherShare,G944)*v01_OutResearcher*INDEX(LM_Researcher,G944)))</x:f>
        <x:v>58.32802640959034</x:v>
      </x:c>
      <x:c r="AL944" s="32" t="n">
        <x:f>H944*v01_RoleScale*Arch_Roles*AE944*INDEX(v01_MonasteryPerSett,G944)*v01_OutMonastery*INDEX(LM_Monastery,G944)</x:f>
        <x:v>0</x:v>
      </x:c>
      <x:c r="AM944" s="32" t="n">
        <x:f>(AJ944+AK944+AL944)/4*INDEX(LM_All,G944)*INDEX(v01_Boon,G944)*Arch_Insight</x:f>
        <x:v>133.81020372956388</x:v>
      </x:c>
      <x:c r="AN944" s="32" t="n">
        <x:f>H944*(v01_KHPerAdult*Z944+v01_KHOfCommons*AJ944/4*INDEX(LM_All,G944))*v01_KHUsable*Arch_KH</x:f>
        <x:v>27.656288448561273</x:v>
      </x:c>
      <x:c r="AO944" s="32" t="n">
        <x:f>MIN(AP943+AN944,AM944*v01_KHMaxRatio)</x:f>
        <x:v>27.656288448561273</x:v>
      </x:c>
      <x:c r="AP944" s="32" t="n">
        <x:f>AP943+AN944-AO944</x:f>
        <x:v>0</x:v>
      </x:c>
      <x:c r="AQ944" s="32" t="n">
        <x:f>AM944+AO944</x:f>
        <x:v>161.46649217812515</x:v>
      </x:c>
      <x:c r="AR944" s="10" t="n">
        <x:f>IF(H944=1,INDEX(v01_Req,G944),0)</x:f>
        <x:v>24714.473079999996</x:v>
      </x:c>
      <x:c r="AS944" s="32" t="n">
        <x:f>IF(H944=1,IF(E944=1,AS943-AR943,AS943)+AQ944,0)</x:f>
        <x:v>7961.840340726449</x:v>
      </x:c>
      <x:c r="AT944" s="11" t="n">
        <x:f>IF(AR944&gt;0,MIN(1,AS944/AR944),1)</x:f>
        <x:v>0.3221529471801488</x:v>
      </x:c>
      <x:c r="AU944" s="10" t="n">
        <x:f>AB944/INDEX(v01_RepScale,G944)</x:f>
        <x:v>189.33802988525528</x:v>
      </x:c>
      <x:c r="AV944" s="32" t="n">
        <x:f>AM944*60/v01_SeasonSeconds</x:f>
        <x:v>535.2408149182555</x:v>
      </x:c>
    </x:row>
    <x:row r="945">
      <x:c r="A945" s="8" t="n">
        <x:f>A944+1</x:f>
        <x:v>942</x:v>
      </x:c>
      <x:c r="B945" s="9" t="n">
        <x:f>A945*v01_SeasonSeconds/60</x:f>
        <x:v>235.5</x:v>
      </x:c>
      <x:c r="C945" s="9" t="n">
        <x:f>A945/4</x:f>
        <x:v>235.5</x:v>
      </x:c>
      <x:c r="D945" s="8" t="n">
        <x:f>IF(MOD(A945,4)=0,1,0)</x:f>
        <x:v>0</x:v>
      </x:c>
      <x:c r="E945" s="8" t="n">
        <x:f>IF(AND(F944&lt;=9,AS944&gt;=AR944),1,0)</x:f>
        <x:v>0</x:v>
      </x:c>
      <x:c r="F945" s="8" t="n">
        <x:f>MIN(10,F944+E945)</x:f>
        <x:v>4</x:v>
      </x:c>
      <x:c r="G945" s="8" t="n">
        <x:f>MIN(F945,9)+1</x:f>
        <x:v>5</x:v>
      </x:c>
      <x:c r="H945" s="8" t="n">
        <x:f>IF(F945&lt;=9,1,0)</x:f>
        <x:v>1</x:v>
      </x:c>
      <x:c r="I945" s="9" t="n">
        <x:f>MIN(10,F944+IF(AR944&gt;0,MIN(1,AS944/AR944),1))</x:f>
        <x:v>4.3221529471801485</x:v>
      </x:c>
      <x:c r="J945" s="32" t="n">
        <x:f>INDEX(v01_FoodCap,G945)*Arch_FoodCap*EXP(v01_CapsByProject*SUMPRODUCT((Cap_Point&lt;=I945)*(Cap_Kind="Food")*Cap_Ln))</x:f>
        <x:v>250</x:v>
      </x:c>
      <x:c r="K945" s="32" t="n">
        <x:f>J945*MIN(1,v01_LeanBase*EXP(v01_CapsByProject*SUMPRODUCT((Cap_Point&lt;=I945)*(Cap_Kind="Lean")*Cap_Ln)))</x:f>
        <x:v>250</x:v>
      </x:c>
      <x:c r="L945" s="10" t="n">
        <x:f>INDEX(v01_HousingCap,G945)*EXP(v01_CapsByProject*SUMPRODUCT((Cap_Point&lt;=I945)*(Cap_Kind="Housing")*Cap_Ln))</x:f>
        <x:v>400</x:v>
      </x:c>
      <x:c r="M945" s="10" t="n">
        <x:f>INDEX(v01_GroupCap,G945)*v01_CohesionFactor*EXP(v01_CapsByProject*SUMPRODUCT((Cap_Point&lt;=I945)*(Cap_Kind="Group")*Cap_Ln))</x:f>
        <x:v>10000</x:v>
      </x:c>
      <x:c r="N945" s="32" t="n">
        <x:f>MIN(J945,L945,M945)</x:f>
        <x:v>250</x:v>
      </x:c>
      <x:c r="O945" s="10" t="n">
        <x:f>AE944*N945</x:f>
        <x:v>3000</x:v>
      </x:c>
      <x:c r="P945" s="9" t="n">
        <x:f>MIN(1,(AB944/(AE944*IF(v01_GroupInCrowding=1,N945,MIN(J945,L945))))^v01_CrowdingExp)</x:f>
        <x:v>0.0631974557934111</x:v>
      </x:c>
      <x:c r="Q945" s="9" t="n">
        <x:f>IF(D945=1,INDEX(v01_WinterMult,G945),1)</x:f>
        <x:v>1</x:v>
      </x:c>
      <x:c r="R945" s="9" t="n">
        <x:f>H945*Z944*v01_WomenShare*v01_BaseFertility*INDEX(v01_FertMult,G945)*Arch_Fertility*(1-P945)</x:f>
        <x:v>26.648723707121306</x:v>
      </x:c>
      <x:c r="S945" s="9" t="n">
        <x:f>H945*Y944*INDEX(v01_MortChild,G945)/4*Q945</x:f>
        <x:v>5.800101370957535</x:v>
      </x:c>
      <x:c r="T945" s="9" t="n">
        <x:f>H945*Z944*INDEX(v01_MortAdult,G945)*Arch_AdultMort/4*Q945</x:f>
        <x:v>1.9754491748972336</x:v>
      </x:c>
      <x:c r="U945" s="9" t="n">
        <x:f>H945*AA944*INDEX(v01_MortElder,G945)/4*Q945</x:f>
        <x:v>4.1192207813530315</x:v>
      </x:c>
      <x:c r="V945" s="9" t="n">
        <x:f>H945*MAX(0,AB944-O945)*v01_OvercapLoss</x:f>
        <x:v>0</x:v>
      </x:c>
      <x:c r="W945" s="9" t="n">
        <x:f>H945*Y944/(v01_ChildYears*4)</x:f>
        <x:v>14.796176966728405</x:v>
      </x:c>
      <x:c r="X945" s="9" t="n">
        <x:f>H945*Z944/(v01_AdultYears*4)</x:f>
        <x:v>6.372416693216882</x:v>
      </x:c>
      <x:c r="Y945" s="32" t="n">
        <x:f>Y944+R945-S945-W945-Y944*V945/AB944</x:f>
        <x:v>834.638355506226</x:v>
      </x:c>
      <x:c r="Z945" s="32" t="n">
        <x:f>Z944+W945-X945-T945-Z944*V945/AB944</x:f>
        <x:v>796.6279810575077</x:v>
      </x:c>
      <x:c r="AA945" s="32" t="n">
        <x:f>AA944+X945-U945-AA944*V945/AB944</x:f>
        <x:v>276.8679146687327</x:v>
      </x:c>
      <x:c r="AB945" s="10" t="n">
        <x:f>Y945+Z945+AA945</x:f>
        <x:v>1908.1342512324663</x:v>
      </x:c>
      <x:c r="AC945" s="8" t="n">
        <x:f>IF(AND(v01_WinterTrigger=1,D945=1,AB944/AE944&gt;=K945),1,0)</x:f>
        <x:v>0</x:v>
      </x:c>
      <x:c r="AD945" s="8" t="n">
        <x:f>H945*IF(AND(OR(AB944/AE944&gt;=v01_FissionTrigger*N945,AC945=1),AB944/AE944*v01_DaughterShare&gt;=v01_MinDaughter),MAX(1,ROUND(AE944*v01_FissionRate,0)),0)</x:f>
        <x:v>0</x:v>
      </x:c>
      <x:c r="AE945" s="8" t="n">
        <x:f>IF(H945=1,MAX(1,MIN(INDEX(v01_Smax,G945),AE944+AD945)),AE944)</x:f>
        <x:v>12</x:v>
      </x:c>
      <x:c r="AF945" s="8" t="n">
        <x:f>MAX(0,AE945-AE944)</x:f>
        <x:v>0</x:v>
      </x:c>
      <x:c r="AG945" s="9" t="str">
        <x:f>IF(AF945&gt;0,B945,"")</x:f>
      </x:c>
      <x:c r="AH945" s="9" t="n">
        <x:f>IF(F945&gt;=1,1,(1+v01_LowTiesShare*(AE945-1))/AE945)</x:f>
        <x:v>1</x:v>
      </x:c>
      <x:c r="AI945" s="32" t="n">
        <x:f>(Z945+v01_ElderCommons*INDEX(LM_Elder,G945)*AA945)*AH945</x:f>
        <x:v>1627.2317250637057</x:v>
      </x:c>
      <x:c r="AJ945" s="32" t="n">
        <x:f>H945*v01_CommonsCoef*AI945^v01_CommonsExp*INDEX(LM_Commons,G945)</x:f>
        <x:v>389.24182277934835</x:v>
      </x:c>
      <x:c r="AK945" s="32" t="n">
        <x:f>H945*v01_RoleScale*Arch_Roles*(AE945*(INDEX(v01_ElderRolePerSett,G945)*v01_OutElder*INDEX(LM_Elder,G945)+INDEX(v01_ShamanPerSett,G945)*v01_OutShaman)+Z945*(INDEX(v01_PriestShare,G945)*v01_OutPriest+INDEX(v01_ScribeShare,G945)*v01_OutScribe*INDEX(LM_Scribe,G945)+INDEX(v01_ScholarShare,G945)*v01_OutScholar*INDEX(LM_Scholar,G945)+INDEX(v01_ResearcherShare,G945)*v01_OutResearcher*INDEX(LM_Researcher,G945)))</x:f>
        <x:v>58.51023567917912</x:v>
      </x:c>
      <x:c r="AL945" s="32" t="n">
        <x:f>H945*v01_RoleScale*Arch_Roles*AE945*INDEX(v01_MonasteryPerSett,G945)*v01_OutMonastery*INDEX(LM_Monastery,G945)</x:f>
        <x:v>0</x:v>
      </x:c>
      <x:c r="AM945" s="32" t="n">
        <x:f>(AJ945+AK945+AL945)/4*INDEX(LM_All,G945)*INDEX(v01_Boon,G945)*Arch_Insight</x:f>
        <x:v>134.67323165000158</x:v>
      </x:c>
      <x:c r="AN945" s="32" t="n">
        <x:f>H945*(v01_KHPerAdult*Z945+v01_KHOfCommons*AJ945/4*INDEX(LM_All,G945))*v01_KHUsable*Arch_KH</x:f>
        <x:v>27.881979337012766</x:v>
      </x:c>
      <x:c r="AO945" s="32" t="n">
        <x:f>MIN(AP944+AN945,AM945*v01_KHMaxRatio)</x:f>
        <x:v>27.881979337012766</x:v>
      </x:c>
      <x:c r="AP945" s="32" t="n">
        <x:f>AP944+AN945-AO945</x:f>
        <x:v>0</x:v>
      </x:c>
      <x:c r="AQ945" s="32" t="n">
        <x:f>AM945+AO945</x:f>
        <x:v>162.55521098701433</x:v>
      </x:c>
      <x:c r="AR945" s="10" t="n">
        <x:f>IF(H945=1,INDEX(v01_Req,G945),0)</x:f>
        <x:v>24714.473079999996</x:v>
      </x:c>
      <x:c r="AS945" s="32" t="n">
        <x:f>IF(H945=1,IF(E945=1,AS944-AR944,AS944)+AQ945,0)</x:f>
        <x:v>8124.395551713463</x:v>
      </x:c>
      <x:c r="AT945" s="11" t="n">
        <x:f>IF(AR945&gt;0,MIN(1,AS945/AR945),1)</x:f>
        <x:v>0.328730275794877</x:v>
      </x:c>
      <x:c r="AU945" s="10" t="n">
        <x:f>AB945/INDEX(v01_RepScale,G945)</x:f>
        <x:v>190.81342512324665</x:v>
      </x:c>
      <x:c r="AV945" s="32" t="n">
        <x:f>AM945*60/v01_SeasonSeconds</x:f>
        <x:v>538.6929266000063</x:v>
      </x:c>
    </x:row>
    <x:row r="946">
      <x:c r="A946" s="8" t="n">
        <x:f>A945+1</x:f>
        <x:v>943</x:v>
      </x:c>
      <x:c r="B946" s="9" t="n">
        <x:f>A946*v01_SeasonSeconds/60</x:f>
        <x:v>235.75</x:v>
      </x:c>
      <x:c r="C946" s="9" t="n">
        <x:f>A946/4</x:f>
        <x:v>235.75</x:v>
      </x:c>
      <x:c r="D946" s="8" t="n">
        <x:f>IF(MOD(A946,4)=0,1,0)</x:f>
        <x:v>0</x:v>
      </x:c>
      <x:c r="E946" s="8" t="n">
        <x:f>IF(AND(F945&lt;=9,AS945&gt;=AR945),1,0)</x:f>
        <x:v>0</x:v>
      </x:c>
      <x:c r="F946" s="8" t="n">
        <x:f>MIN(10,F945+E946)</x:f>
        <x:v>4</x:v>
      </x:c>
      <x:c r="G946" s="8" t="n">
        <x:f>MIN(F946,9)+1</x:f>
        <x:v>5</x:v>
      </x:c>
      <x:c r="H946" s="8" t="n">
        <x:f>IF(F946&lt;=9,1,0)</x:f>
        <x:v>1</x:v>
      </x:c>
      <x:c r="I946" s="9" t="n">
        <x:f>MIN(10,F945+IF(AR945&gt;0,MIN(1,AS945/AR945),1))</x:f>
        <x:v>4.328730275794877</x:v>
      </x:c>
      <x:c r="J946" s="32" t="n">
        <x:f>INDEX(v01_FoodCap,G946)*Arch_FoodCap*EXP(v01_CapsByProject*SUMPRODUCT((Cap_Point&lt;=I946)*(Cap_Kind="Food")*Cap_Ln))</x:f>
        <x:v>250</x:v>
      </x:c>
      <x:c r="K946" s="32" t="n">
        <x:f>J946*MIN(1,v01_LeanBase*EXP(v01_CapsByProject*SUMPRODUCT((Cap_Point&lt;=I946)*(Cap_Kind="Lean")*Cap_Ln)))</x:f>
        <x:v>250</x:v>
      </x:c>
      <x:c r="L946" s="10" t="n">
        <x:f>INDEX(v01_HousingCap,G946)*EXP(v01_CapsByProject*SUMPRODUCT((Cap_Point&lt;=I946)*(Cap_Kind="Housing")*Cap_Ln))</x:f>
        <x:v>400</x:v>
      </x:c>
      <x:c r="M946" s="10" t="n">
        <x:f>INDEX(v01_GroupCap,G946)*v01_CohesionFactor*EXP(v01_CapsByProject*SUMPRODUCT((Cap_Point&lt;=I946)*(Cap_Kind="Group")*Cap_Ln))</x:f>
        <x:v>10000</x:v>
      </x:c>
      <x:c r="N946" s="32" t="n">
        <x:f>MIN(J946,L946,M946)</x:f>
        <x:v>250</x:v>
      </x:c>
      <x:c r="O946" s="10" t="n">
        <x:f>AE945*N946</x:f>
        <x:v>3000</x:v>
      </x:c>
      <x:c r="P946" s="9" t="n">
        <x:f>MIN(1,(AB945/(AE945*IF(v01_GroupInCrowding=1,N946,MIN(J946,L946))))^v01_CrowdingExp)</x:f>
        <x:v>0.06621037309628412</x:v>
      </x:c>
      <x:c r="Q946" s="9" t="n">
        <x:f>IF(D946=1,INDEX(v01_WinterMult,G946),1)</x:f>
        <x:v>1</x:v>
      </x:c>
      <x:c r="R946" s="9" t="n">
        <x:f>H946*Z945*v01_WomenShare*v01_BaseFertility*INDEX(v01_FertMult,G946)*Arch_Fertility*(1-P946)</x:f>
        <x:v>26.779786027659018</x:v>
      </x:c>
      <x:c r="S946" s="9" t="n">
        <x:f>H946*Y945*INDEX(v01_MortChild,G946)/4*Q946</x:f>
        <x:v>5.842468488543583</x:v>
      </x:c>
      <x:c r="T946" s="9" t="n">
        <x:f>H946*Z945*INDEX(v01_MortAdult,G946)*Arch_AdultMort/4*Q946</x:f>
        <x:v>1.9915699526437691</x:v>
      </x:c>
      <x:c r="U946" s="9" t="n">
        <x:f>H946*AA945*INDEX(v01_MortElder,G946)/4*Q946</x:f>
        <x:v>4.15301872003099</x:v>
      </x:c>
      <x:c r="V946" s="9" t="n">
        <x:f>H946*MAX(0,AB945-O946)*v01_OvercapLoss</x:f>
        <x:v>0</x:v>
      </x:c>
      <x:c r="W946" s="9" t="n">
        <x:f>H946*Y945/(v01_ChildYears*4)</x:f>
        <x:v>14.904256348325465</x:v>
      </x:c>
      <x:c r="X946" s="9" t="n">
        <x:f>H946*Z945/(v01_AdultYears*4)</x:f>
        <x:v>6.424419202076675</x:v>
      </x:c>
      <x:c r="Y946" s="32" t="n">
        <x:f>Y945+R946-S946-W946-Y945*V946/AB945</x:f>
        <x:v>840.6714166970161</x:v>
      </x:c>
      <x:c r="Z946" s="32" t="n">
        <x:f>Z945+W946-X946-T946-Z945*V946/AB945</x:f>
        <x:v>803.1162482511127</x:v>
      </x:c>
      <x:c r="AA946" s="32" t="n">
        <x:f>AA945+X946-U946-AA945*V946/AB945</x:f>
        <x:v>279.1393151507783</x:v>
      </x:c>
      <x:c r="AB946" s="10" t="n">
        <x:f>Y946+Z946+AA946</x:f>
        <x:v>1922.9269800989068</x:v>
      </x:c>
      <x:c r="AC946" s="8" t="n">
        <x:f>IF(AND(v01_WinterTrigger=1,D946=1,AB945/AE945&gt;=K946),1,0)</x:f>
        <x:v>0</x:v>
      </x:c>
      <x:c r="AD946" s="8" t="n">
        <x:f>H946*IF(AND(OR(AB945/AE945&gt;=v01_FissionTrigger*N946,AC946=1),AB945/AE945*v01_DaughterShare&gt;=v01_MinDaughter),MAX(1,ROUND(AE945*v01_FissionRate,0)),0)</x:f>
        <x:v>0</x:v>
      </x:c>
      <x:c r="AE946" s="8" t="n">
        <x:f>IF(H946=1,MAX(1,MIN(INDEX(v01_Smax,G946),AE945+AD946)),AE945)</x:f>
        <x:v>12</x:v>
      </x:c>
      <x:c r="AF946" s="8" t="n">
        <x:f>MAX(0,AE946-AE945)</x:f>
        <x:v>0</x:v>
      </x:c>
      <x:c r="AG946" s="9" t="str">
        <x:f>IF(AF946&gt;0,B946,"")</x:f>
      </x:c>
      <x:c r="AH946" s="9" t="n">
        <x:f>IF(F946&gt;=1,1,(1+v01_LowTiesShare*(AE946-1))/AE946)</x:f>
        <x:v>1</x:v>
      </x:c>
      <x:c r="AI946" s="32" t="n">
        <x:f>(Z946+v01_ElderCommons*INDEX(LM_Elder,G946)*AA946)*AH946</x:f>
        <x:v>1640.5341937034477</x:v>
      </x:c>
      <x:c r="AJ946" s="32" t="n">
        <x:f>H946*v01_CommonsCoef*AI946^v01_CommonsExp*INDEX(LM_Commons,G946)</x:f>
        <x:v>391.94488311714906</x:v>
      </x:c>
      <x:c r="AK946" s="32" t="n">
        <x:f>H946*v01_RoleScale*Arch_Roles*(AE946*(INDEX(v01_ElderRolePerSett,G946)*v01_OutElder*INDEX(LM_Elder,G946)+INDEX(v01_ShamanPerSett,G946)*v01_OutShaman)+Z946*(INDEX(v01_PriestShare,G946)*v01_OutPriest+INDEX(v01_ScribeShare,G946)*v01_OutScribe*INDEX(LM_Scribe,G946)+INDEX(v01_ScholarShare,G946)*v01_OutScholar*INDEX(LM_Scholar,G946)+INDEX(v01_ResearcherShare,G946)*v01_OutResearcher*INDEX(LM_Researcher,G946)))</x:f>
        <x:v>58.69357398407227</x:v>
      </x:c>
      <x:c r="AL946" s="32" t="n">
        <x:f>H946*v01_RoleScale*Arch_Roles*AE946*INDEX(v01_MonasteryPerSett,G946)*v01_OutMonastery*INDEX(LM_Monastery,G946)</x:f>
        <x:v>0</x:v>
      </x:c>
      <x:c r="AM946" s="32" t="n">
        <x:f>(AJ946+AK946+AL946)/4*INDEX(LM_All,G946)*INDEX(v01_Boon,G946)*Arch_Insight</x:f>
        <x:v>135.54139211001154</x:v>
      </x:c>
      <x:c r="AN946" s="32" t="n">
        <x:f>H946*(v01_KHPerAdult*Z946+v01_KHOfCommons*AJ946/4*INDEX(LM_All,G946))*v01_KHUsable*Arch_KH</x:f>
        <x:v>28.10906868878894</x:v>
      </x:c>
      <x:c r="AO946" s="32" t="n">
        <x:f>MIN(AP945+AN946,AM946*v01_KHMaxRatio)</x:f>
        <x:v>28.10906868878894</x:v>
      </x:c>
      <x:c r="AP946" s="32" t="n">
        <x:f>AP945+AN946-AO946</x:f>
        <x:v>0</x:v>
      </x:c>
      <x:c r="AQ946" s="32" t="n">
        <x:f>AM946+AO946</x:f>
        <x:v>163.65046079880048</x:v>
      </x:c>
      <x:c r="AR946" s="10" t="n">
        <x:f>IF(H946=1,INDEX(v01_Req,G946),0)</x:f>
        <x:v>24714.473079999996</x:v>
      </x:c>
      <x:c r="AS946" s="32" t="n">
        <x:f>IF(H946=1,IF(E946=1,AS945-AR945,AS945)+AQ946,0)</x:f>
        <x:v>8288.046012512263</x:v>
      </x:c>
      <x:c r="AT946" s="11" t="n">
        <x:f>IF(AR946&gt;0,MIN(1,AS946/AR946),1)</x:f>
        <x:v>0.33535192054000545</x:v>
      </x:c>
      <x:c r="AU946" s="10" t="n">
        <x:f>AB946/INDEX(v01_RepScale,G946)</x:f>
        <x:v>192.29269800989067</x:v>
      </x:c>
      <x:c r="AV946" s="32" t="n">
        <x:f>AM946*60/v01_SeasonSeconds</x:f>
        <x:v>542.1655684400462</x:v>
      </x:c>
    </x:row>
    <x:row r="947">
      <x:c r="A947" s="8" t="n">
        <x:f>A946+1</x:f>
        <x:v>944</x:v>
      </x:c>
      <x:c r="B947" s="9" t="n">
        <x:f>A947*v01_SeasonSeconds/60</x:f>
        <x:v>236</x:v>
      </x:c>
      <x:c r="C947" s="9" t="n">
        <x:f>A947/4</x:f>
        <x:v>236</x:v>
      </x:c>
      <x:c r="D947" s="8" t="n">
        <x:f>IF(MOD(A947,4)=0,1,0)</x:f>
        <x:v>1</x:v>
      </x:c>
      <x:c r="E947" s="8" t="n">
        <x:f>IF(AND(F946&lt;=9,AS946&gt;=AR946),1,0)</x:f>
        <x:v>0</x:v>
      </x:c>
      <x:c r="F947" s="8" t="n">
        <x:f>MIN(10,F946+E947)</x:f>
        <x:v>4</x:v>
      </x:c>
      <x:c r="G947" s="8" t="n">
        <x:f>MIN(F947,9)+1</x:f>
        <x:v>5</x:v>
      </x:c>
      <x:c r="H947" s="8" t="n">
        <x:f>IF(F947&lt;=9,1,0)</x:f>
        <x:v>1</x:v>
      </x:c>
      <x:c r="I947" s="9" t="n">
        <x:f>MIN(10,F946+IF(AR946&gt;0,MIN(1,AS946/AR946),1))</x:f>
        <x:v>4.335351920540005</x:v>
      </x:c>
      <x:c r="J947" s="32" t="n">
        <x:f>INDEX(v01_FoodCap,G947)*Arch_FoodCap*EXP(v01_CapsByProject*SUMPRODUCT((Cap_Point&lt;=I947)*(Cap_Kind="Food")*Cap_Ln))</x:f>
        <x:v>250</x:v>
      </x:c>
      <x:c r="K947" s="32" t="n">
        <x:f>J947*MIN(1,v01_LeanBase*EXP(v01_CapsByProject*SUMPRODUCT((Cap_Point&lt;=I947)*(Cap_Kind="Lean")*Cap_Ln)))</x:f>
        <x:v>250</x:v>
      </x:c>
      <x:c r="L947" s="10" t="n">
        <x:f>INDEX(v01_HousingCap,G947)*EXP(v01_CapsByProject*SUMPRODUCT((Cap_Point&lt;=I947)*(Cap_Kind="Housing")*Cap_Ln))</x:f>
        <x:v>400</x:v>
      </x:c>
      <x:c r="M947" s="10" t="n">
        <x:f>INDEX(v01_GroupCap,G947)*v01_CohesionFactor*EXP(v01_CapsByProject*SUMPRODUCT((Cap_Point&lt;=I947)*(Cap_Kind="Group")*Cap_Ln))</x:f>
        <x:v>10000</x:v>
      </x:c>
      <x:c r="N947" s="32" t="n">
        <x:f>MIN(J947,L947,M947)</x:f>
        <x:v>250</x:v>
      </x:c>
      <x:c r="O947" s="10" t="n">
        <x:f>AE946*N947</x:f>
        <x:v>3000</x:v>
      </x:c>
      <x:c r="P947" s="9" t="n">
        <x:f>MIN(1,(AB946/(AE946*IF(v01_GroupInCrowding=1,N947,MIN(J947,L947))))^v01_CrowdingExp)</x:f>
        <x:v>0.06935044136714473</x:v>
      </x:c>
      <x:c r="Q947" s="9" t="n">
        <x:f>IF(D947=1,INDEX(v01_WinterMult,G947),1)</x:f>
        <x:v>1</x:v>
      </x:c>
      <x:c r="R947" s="9" t="n">
        <x:f>H947*Z946*v01_WomenShare*v01_BaseFertility*INDEX(v01_FertMult,G947)*Arch_Fertility*(1-P947)</x:f>
        <x:v>26.907112150767816</x:v>
      </x:c>
      <x:c r="S947" s="9" t="n">
        <x:f>H947*Y946*INDEX(v01_MortChild,G947)/4*Q947</x:f>
        <x:v>5.8846999168791125</x:v>
      </x:c>
      <x:c r="T947" s="9" t="n">
        <x:f>H947*Z946*INDEX(v01_MortAdult,G947)*Arch_AdultMort/4*Q947</x:f>
        <x:v>2.0077906206277816</x:v>
      </x:c>
      <x:c r="U947" s="9" t="n">
        <x:f>H947*AA946*INDEX(v01_MortElder,G947)/4*Q947</x:f>
        <x:v>4.187089727261674</x:v>
      </x:c>
      <x:c r="V947" s="9" t="n">
        <x:f>H947*MAX(0,AB946-O947)*v01_OvercapLoss</x:f>
        <x:v>0</x:v>
      </x:c>
      <x:c r="W947" s="9" t="n">
        <x:f>H947*Y946/(v01_ChildYears*4)</x:f>
        <x:v>15.011989583875287</x:v>
      </x:c>
      <x:c r="X947" s="9" t="n">
        <x:f>H947*Z946/(v01_AdultYears*4)</x:f>
        <x:v>6.4767439375089735</x:v>
      </x:c>
      <x:c r="Y947" s="32" t="n">
        <x:f>Y946+R947-S947-W947-Y946*V947/AB946</x:f>
        <x:v>846.6818393470295</x:v>
      </x:c>
      <x:c r="Z947" s="32" t="n">
        <x:f>Z946+W947-X947-T947-Z946*V947/AB946</x:f>
        <x:v>809.6437032768512</x:v>
      </x:c>
      <x:c r="AA947" s="32" t="n">
        <x:f>AA946+X947-U947-AA946*V947/AB946</x:f>
        <x:v>281.4289693610256</x:v>
      </x:c>
      <x:c r="AB947" s="10" t="n">
        <x:f>Y947+Z947+AA947</x:f>
        <x:v>1937.7545119849062</x:v>
      </x:c>
      <x:c r="AC947" s="8" t="n">
        <x:f>IF(AND(v01_WinterTrigger=1,D947=1,AB946/AE946&gt;=K947),1,0)</x:f>
        <x:v>0</x:v>
      </x:c>
      <x:c r="AD947" s="8" t="n">
        <x:f>H947*IF(AND(OR(AB946/AE946&gt;=v01_FissionTrigger*N947,AC947=1),AB946/AE946*v01_DaughterShare&gt;=v01_MinDaughter),MAX(1,ROUND(AE946*v01_FissionRate,0)),0)</x:f>
        <x:v>0</x:v>
      </x:c>
      <x:c r="AE947" s="8" t="n">
        <x:f>IF(H947=1,MAX(1,MIN(INDEX(v01_Smax,G947),AE946+AD947)),AE946)</x:f>
        <x:v>12</x:v>
      </x:c>
      <x:c r="AF947" s="8" t="n">
        <x:f>MAX(0,AE947-AE946)</x:f>
        <x:v>0</x:v>
      </x:c>
      <x:c r="AG947" s="9" t="str">
        <x:f>IF(AF947&gt;0,B947,"")</x:f>
      </x:c>
      <x:c r="AH947" s="9" t="n">
        <x:f>IF(F947&gt;=1,1,(1+v01_LowTiesShare*(AE947-1))/AE947)</x:f>
        <x:v>1</x:v>
      </x:c>
      <x:c r="AI947" s="32" t="n">
        <x:f>(Z947+v01_ElderCommons*INDEX(LM_Elder,G947)*AA947)*AH947</x:f>
        <x:v>1653.9306113599282</x:v>
      </x:c>
      <x:c r="AJ947" s="32" t="n">
        <x:f>H947*v01_CommonsCoef*AI947^v01_CommonsExp*INDEX(LM_Commons,G947)</x:f>
        <x:v>394.66371331458487</x:v>
      </x:c>
      <x:c r="AK947" s="32" t="n">
        <x:f>H947*v01_RoleScale*Arch_Roles*(AE947*(INDEX(v01_ElderRolePerSett,G947)*v01_OutElder*INDEX(LM_Elder,G947)+INDEX(v01_ShamanPerSett,G947)*v01_OutShaman)+Z947*(INDEX(v01_PriestShare,G947)*v01_OutPriest+INDEX(v01_ScribeShare,G947)*v01_OutScribe*INDEX(LM_Scribe,G947)+INDEX(v01_ScholarShare,G947)*v01_OutScholar*INDEX(LM_Scholar,G947)+INDEX(v01_ResearcherShare,G947)*v01_OutResearcher*INDEX(LM_Researcher,G947)))</x:f>
        <x:v>58.87801961554452</x:v>
      </x:c>
      <x:c r="AL947" s="32" t="n">
        <x:f>H947*v01_RoleScale*Arch_Roles*AE947*INDEX(v01_MonasteryPerSett,G947)*v01_OutMonastery*INDEX(LM_Monastery,G947)</x:f>
        <x:v>0</x:v>
      </x:c>
      <x:c r="AM947" s="32" t="n">
        <x:f>(AJ947+AK947+AL947)/4*INDEX(LM_All,G947)*INDEX(v01_Boon,G947)*Arch_Insight</x:f>
        <x:v>136.4146288285572</x:v>
      </x:c>
      <x:c r="AN947" s="32" t="n">
        <x:f>H947*(v01_KHPerAdult*Z947+v01_KHOfCommons*AJ947/4*INDEX(LM_All,G947))*v01_KHUsable*Arch_KH</x:f>
        <x:v>28.33752961468979</x:v>
      </x:c>
      <x:c r="AO947" s="32" t="n">
        <x:f>MIN(AP946+AN947,AM947*v01_KHMaxRatio)</x:f>
        <x:v>28.33752961468979</x:v>
      </x:c>
      <x:c r="AP947" s="32" t="n">
        <x:f>AP946+AN947-AO947</x:f>
        <x:v>0</x:v>
      </x:c>
      <x:c r="AQ947" s="32" t="n">
        <x:f>AM947+AO947</x:f>
        <x:v>164.752158443247</x:v>
      </x:c>
      <x:c r="AR947" s="10" t="n">
        <x:f>IF(H947=1,INDEX(v01_Req,G947),0)</x:f>
        <x:v>24714.473079999996</x:v>
      </x:c>
      <x:c r="AS947" s="32" t="n">
        <x:f>IF(H947=1,IF(E947=1,AS946-AR946,AS946)+AQ947,0)</x:f>
        <x:v>8452.79817095551</x:v>
      </x:c>
      <x:c r="AT947" s="11" t="n">
        <x:f>IF(AR947&gt;0,MIN(1,AS947/AR947),1)</x:f>
        <x:v>0.34201814230851935</x:v>
      </x:c>
      <x:c r="AU947" s="10" t="n">
        <x:f>AB947/INDEX(v01_RepScale,G947)</x:f>
        <x:v>193.77545119849063</x:v>
      </x:c>
      <x:c r="AV947" s="32" t="n">
        <x:f>AM947*60/v01_SeasonSeconds</x:f>
        <x:v>545.6585153142288</x:v>
      </x:c>
    </x:row>
    <x:row r="948">
      <x:c r="A948" s="8" t="n">
        <x:f>A947+1</x:f>
        <x:v>945</x:v>
      </x:c>
      <x:c r="B948" s="9" t="n">
        <x:f>A948*v01_SeasonSeconds/60</x:f>
        <x:v>236.25</x:v>
      </x:c>
      <x:c r="C948" s="9" t="n">
        <x:f>A948/4</x:f>
        <x:v>236.25</x:v>
      </x:c>
      <x:c r="D948" s="8" t="n">
        <x:f>IF(MOD(A948,4)=0,1,0)</x:f>
        <x:v>0</x:v>
      </x:c>
      <x:c r="E948" s="8" t="n">
        <x:f>IF(AND(F947&lt;=9,AS947&gt;=AR947),1,0)</x:f>
        <x:v>0</x:v>
      </x:c>
      <x:c r="F948" s="8" t="n">
        <x:f>MIN(10,F947+E948)</x:f>
        <x:v>4</x:v>
      </x:c>
      <x:c r="G948" s="8" t="n">
        <x:f>MIN(F948,9)+1</x:f>
        <x:v>5</x:v>
      </x:c>
      <x:c r="H948" s="8" t="n">
        <x:f>IF(F948&lt;=9,1,0)</x:f>
        <x:v>1</x:v>
      </x:c>
      <x:c r="I948" s="9" t="n">
        <x:f>MIN(10,F947+IF(AR947&gt;0,MIN(1,AS947/AR947),1))</x:f>
        <x:v>4.342018142308519</x:v>
      </x:c>
      <x:c r="J948" s="32" t="n">
        <x:f>INDEX(v01_FoodCap,G948)*Arch_FoodCap*EXP(v01_CapsByProject*SUMPRODUCT((Cap_Point&lt;=I948)*(Cap_Kind="Food")*Cap_Ln))</x:f>
        <x:v>250</x:v>
      </x:c>
      <x:c r="K948" s="32" t="n">
        <x:f>J948*MIN(1,v01_LeanBase*EXP(v01_CapsByProject*SUMPRODUCT((Cap_Point&lt;=I948)*(Cap_Kind="Lean")*Cap_Ln)))</x:f>
        <x:v>250</x:v>
      </x:c>
      <x:c r="L948" s="10" t="n">
        <x:f>INDEX(v01_HousingCap,G948)*EXP(v01_CapsByProject*SUMPRODUCT((Cap_Point&lt;=I948)*(Cap_Kind="Housing")*Cap_Ln))</x:f>
        <x:v>400</x:v>
      </x:c>
      <x:c r="M948" s="10" t="n">
        <x:f>INDEX(v01_GroupCap,G948)*v01_CohesionFactor*EXP(v01_CapsByProject*SUMPRODUCT((Cap_Point&lt;=I948)*(Cap_Kind="Group")*Cap_Ln))</x:f>
        <x:v>10000</x:v>
      </x:c>
      <x:c r="N948" s="32" t="n">
        <x:f>MIN(J948,L948,M948)</x:f>
        <x:v>250</x:v>
      </x:c>
      <x:c r="O948" s="10" t="n">
        <x:f>AE947*N948</x:f>
        <x:v>3000</x:v>
      </x:c>
      <x:c r="P948" s="9" t="n">
        <x:f>MIN(1,(AB947/(AE947*IF(v01_GroupInCrowding=1,N948,MIN(J948,L948))))^v01_CrowdingExp)</x:f>
        <x:v>0.07262146612862641</x:v>
      </x:c>
      <x:c r="Q948" s="9" t="n">
        <x:f>IF(D948=1,INDEX(v01_WinterMult,G948),1)</x:f>
        <x:v>1</x:v>
      </x:c>
      <x:c r="R948" s="9" t="n">
        <x:f>H948*Z947*v01_WomenShare*v01_BaseFertility*INDEX(v01_FertMult,G948)*Arch_Fertility*(1-P948)</x:f>
        <x:v>27.030462858110724</x:v>
      </x:c>
      <x:c r="S948" s="9" t="n">
        <x:f>H948*Y947*INDEX(v01_MortChild,G948)/4*Q948</x:f>
        <x:v>5.926772875429206</x:v>
      </x:c>
      <x:c r="T948" s="9" t="n">
        <x:f>H948*Z947*INDEX(v01_MortAdult,G948)*Arch_AdultMort/4*Q948</x:f>
        <x:v>2.024109258192128</x:v>
      </x:c>
      <x:c r="U948" s="9" t="n">
        <x:f>H948*AA947*INDEX(v01_MortElder,G948)/4*Q948</x:f>
        <x:v>4.221434540415384</x:v>
      </x:c>
      <x:c r="V948" s="9" t="n">
        <x:f>H948*MAX(0,AB947-O948)*v01_OvercapLoss</x:f>
        <x:v>0</x:v>
      </x:c>
      <x:c r="W948" s="9" t="n">
        <x:f>H948*Y947/(v01_ChildYears*4)</x:f>
        <x:v>15.119318559768384</x:v>
      </x:c>
      <x:c r="X948" s="9" t="n">
        <x:f>H948*Z947/(v01_AdultYears*4)</x:f>
        <x:v>6.529384703845574</x:v>
      </x:c>
      <x:c r="Y948" s="32" t="n">
        <x:f>Y947+R948-S948-W948-Y947*V948/AB947</x:f>
        <x:v>852.6662107699426</x:v>
      </x:c>
      <x:c r="Z948" s="32" t="n">
        <x:f>Z947+W948-X948-T948-Z947*V948/AB947</x:f>
        <x:v>816.2095278745819</x:v>
      </x:c>
      <x:c r="AA948" s="32" t="n">
        <x:f>AA947+X948-U948-AA947*V948/AB947</x:f>
        <x:v>283.7369195244558</x:v>
      </x:c>
      <x:c r="AB948" s="10" t="n">
        <x:f>Y948+Z948+AA948</x:f>
        <x:v>1952.6126581689803</x:v>
      </x:c>
      <x:c r="AC948" s="8" t="n">
        <x:f>IF(AND(v01_WinterTrigger=1,D948=1,AB947/AE947&gt;=K948),1,0)</x:f>
        <x:v>0</x:v>
      </x:c>
      <x:c r="AD948" s="8" t="n">
        <x:f>H948*IF(AND(OR(AB947/AE947&gt;=v01_FissionTrigger*N948,AC948=1),AB947/AE947*v01_DaughterShare&gt;=v01_MinDaughter),MAX(1,ROUND(AE947*v01_FissionRate,0)),0)</x:f>
        <x:v>0</x:v>
      </x:c>
      <x:c r="AE948" s="8" t="n">
        <x:f>IF(H948=1,MAX(1,MIN(INDEX(v01_Smax,G948),AE947+AD948)),AE947)</x:f>
        <x:v>12</x:v>
      </x:c>
      <x:c r="AF948" s="8" t="n">
        <x:f>MAX(0,AE948-AE947)</x:f>
        <x:v>0</x:v>
      </x:c>
      <x:c r="AG948" s="9" t="str">
        <x:f>IF(AF948&gt;0,B948,"")</x:f>
      </x:c>
      <x:c r="AH948" s="9" t="n">
        <x:f>IF(F948&gt;=1,1,(1+v01_LowTiesShare*(AE948-1))/AE948)</x:f>
        <x:v>1</x:v>
      </x:c>
      <x:c r="AI948" s="32" t="n">
        <x:f>(Z948+v01_ElderCommons*INDEX(LM_Elder,G948)*AA948)*AH948</x:f>
        <x:v>1667.4202864479494</x:v>
      </x:c>
      <x:c r="AJ948" s="32" t="n">
        <x:f>H948*v01_CommonsCoef*AI948^v01_CommonsExp*INDEX(LM_Commons,G948)</x:f>
        <x:v>397.3981345087198</x:v>
      </x:c>
      <x:c r="AK948" s="32" t="n">
        <x:f>H948*v01_RoleScale*Arch_Roles*(AE948*(INDEX(v01_ElderRolePerSett,G948)*v01_OutElder*INDEX(LM_Elder,G948)+INDEX(v01_ShamanPerSett,G948)*v01_OutShaman)+Z948*(INDEX(v01_PriestShare,G948)*v01_OutPriest+INDEX(v01_ScribeShare,G948)*v01_OutScribe*INDEX(LM_Scribe,G948)+INDEX(v01_ScholarShare,G948)*v01_OutScholar*INDEX(LM_Scholar,G948)+INDEX(v01_ResearcherShare,G948)*v01_OutResearcher*INDEX(LM_Researcher,G948)))</x:f>
        <x:v>59.06354945210245</x:v>
      </x:c>
      <x:c r="AL948" s="32" t="n">
        <x:f>H948*v01_RoleScale*Arch_Roles*AE948*INDEX(v01_MonasteryPerSett,G948)*v01_OutMonastery*INDEX(LM_Monastery,G948)</x:f>
        <x:v>0</x:v>
      </x:c>
      <x:c r="AM948" s="32" t="n">
        <x:f>(AJ948+AK948+AL948)/4*INDEX(LM_All,G948)*INDEX(v01_Boon,G948)*Arch_Insight</x:f>
        <x:v>137.2928810534983</x:v>
      </x:c>
      <x:c r="AN948" s="32" t="n">
        <x:f>H948*(v01_KHPerAdult*Z948+v01_KHOfCommons*AJ948/4*INDEX(LM_All,G948))*v01_KHUsable*Arch_KH</x:f>
        <x:v>28.567333475610365</x:v>
      </x:c>
      <x:c r="AO948" s="32" t="n">
        <x:f>MIN(AP947+AN948,AM948*v01_KHMaxRatio)</x:f>
        <x:v>28.567333475610365</x:v>
      </x:c>
      <x:c r="AP948" s="32" t="n">
        <x:f>AP947+AN948-AO948</x:f>
        <x:v>0</x:v>
      </x:c>
      <x:c r="AQ948" s="32" t="n">
        <x:f>AM948+AO948</x:f>
        <x:v>165.86021452910865</x:v>
      </x:c>
      <x:c r="AR948" s="10" t="n">
        <x:f>IF(H948=1,INDEX(v01_Req,G948),0)</x:f>
        <x:v>24714.473079999996</x:v>
      </x:c>
      <x:c r="AS948" s="32" t="n">
        <x:f>IF(H948=1,IF(E948=1,AS947-AR947,AS947)+AQ948,0)</x:f>
        <x:v>8618.658385484618</x:v>
      </x:c>
      <x:c r="AT948" s="11" t="n">
        <x:f>IF(AR948&gt;0,MIN(1,AS948/AR948),1)</x:f>
        <x:v>0.34872919837644456</x:v>
      </x:c>
      <x:c r="AU948" s="10" t="n">
        <x:f>AB948/INDEX(v01_RepScale,G948)</x:f>
        <x:v>195.26126581689803</x:v>
      </x:c>
      <x:c r="AV948" s="32" t="n">
        <x:f>AM948*60/v01_SeasonSeconds</x:f>
        <x:v>549.1715242139932</x:v>
      </x:c>
    </x:row>
    <x:row r="949">
      <x:c r="A949" s="8" t="n">
        <x:f>A948+1</x:f>
        <x:v>946</x:v>
      </x:c>
      <x:c r="B949" s="9" t="n">
        <x:f>A949*v01_SeasonSeconds/60</x:f>
        <x:v>236.5</x:v>
      </x:c>
      <x:c r="C949" s="9" t="n">
        <x:f>A949/4</x:f>
        <x:v>236.5</x:v>
      </x:c>
      <x:c r="D949" s="8" t="n">
        <x:f>IF(MOD(A949,4)=0,1,0)</x:f>
        <x:v>0</x:v>
      </x:c>
      <x:c r="E949" s="8" t="n">
        <x:f>IF(AND(F948&lt;=9,AS948&gt;=AR948),1,0)</x:f>
        <x:v>0</x:v>
      </x:c>
      <x:c r="F949" s="8" t="n">
        <x:f>MIN(10,F948+E949)</x:f>
        <x:v>4</x:v>
      </x:c>
      <x:c r="G949" s="8" t="n">
        <x:f>MIN(F949,9)+1</x:f>
        <x:v>5</x:v>
      </x:c>
      <x:c r="H949" s="8" t="n">
        <x:f>IF(F949&lt;=9,1,0)</x:f>
        <x:v>1</x:v>
      </x:c>
      <x:c r="I949" s="9" t="n">
        <x:f>MIN(10,F948+IF(AR948&gt;0,MIN(1,AS948/AR948),1))</x:f>
        <x:v>4.348729198376445</x:v>
      </x:c>
      <x:c r="J949" s="32" t="n">
        <x:f>INDEX(v01_FoodCap,G949)*Arch_FoodCap*EXP(v01_CapsByProject*SUMPRODUCT((Cap_Point&lt;=I949)*(Cap_Kind="Food")*Cap_Ln))</x:f>
        <x:v>250</x:v>
      </x:c>
      <x:c r="K949" s="32" t="n">
        <x:f>J949*MIN(1,v01_LeanBase*EXP(v01_CapsByProject*SUMPRODUCT((Cap_Point&lt;=I949)*(Cap_Kind="Lean")*Cap_Ln)))</x:f>
        <x:v>250</x:v>
      </x:c>
      <x:c r="L949" s="10" t="n">
        <x:f>INDEX(v01_HousingCap,G949)*EXP(v01_CapsByProject*SUMPRODUCT((Cap_Point&lt;=I949)*(Cap_Kind="Housing")*Cap_Ln))</x:f>
        <x:v>400</x:v>
      </x:c>
      <x:c r="M949" s="10" t="n">
        <x:f>INDEX(v01_GroupCap,G949)*v01_CohesionFactor*EXP(v01_CapsByProject*SUMPRODUCT((Cap_Point&lt;=I949)*(Cap_Kind="Group")*Cap_Ln))</x:f>
        <x:v>10000</x:v>
      </x:c>
      <x:c r="N949" s="32" t="n">
        <x:f>MIN(J949,L949,M949)</x:f>
        <x:v>250</x:v>
      </x:c>
      <x:c r="O949" s="10" t="n">
        <x:f>AE948*N949</x:f>
        <x:v>3000</x:v>
      </x:c>
      <x:c r="P949" s="9" t="n">
        <x:f>MIN(1,(AB948/(AE948*IF(v01_GroupInCrowding=1,N949,MIN(J949,L949))))^v01_CrowdingExp)</x:f>
        <x:v>0.07602721361345628</x:v>
      </x:c>
      <x:c r="Q949" s="9" t="n">
        <x:f>IF(D949=1,INDEX(v01_WinterMult,G949),1)</x:f>
        <x:v>1</x:v>
      </x:c>
      <x:c r="R949" s="9" t="n">
        <x:f>H949*Z948*v01_WomenShare*v01_BaseFertility*INDEX(v01_FertMult,G949)*Arch_Fertility*(1-P949)</x:f>
        <x:v>27.149594102838815</x:v>
      </x:c>
      <x:c r="S949" s="9" t="n">
        <x:f>H949*Y948*INDEX(v01_MortChild,G949)/4*Q949</x:f>
        <x:v>5.968663475389598</x:v>
      </x:c>
      <x:c r="T949" s="9" t="n">
        <x:f>H949*Z948*INDEX(v01_MortAdult,G949)*Arch_AdultMort/4*Q949</x:f>
        <x:v>2.040523819686455</x:v>
      </x:c>
      <x:c r="U949" s="9" t="n">
        <x:f>H949*AA948*INDEX(v01_MortElder,G949)/4*Q949</x:f>
        <x:v>4.256053792866837</x:v>
      </x:c>
      <x:c r="V949" s="9" t="n">
        <x:f>H949*MAX(0,AB948-O949)*v01_OvercapLoss</x:f>
        <x:v>0</x:v>
      </x:c>
      <x:c r="W949" s="9" t="n">
        <x:f>H949*Y948/(v01_ChildYears*4)</x:f>
        <x:v>15.226182335177546</x:v>
      </x:c>
      <x:c r="X949" s="9" t="n">
        <x:f>H949*Z948/(v01_AdultYears*4)</x:f>
        <x:v>6.58233490221437</x:v>
      </x:c>
      <x:c r="Y949" s="32" t="n">
        <x:f>Y948+R949-S949-W949-Y948*V949/AB948</x:f>
        <x:v>858.6209590622143</x:v>
      </x:c>
      <x:c r="Z949" s="32" t="n">
        <x:f>Z948+W949-X949-T949-Z948*V949/AB948</x:f>
        <x:v>822.8128514878587</x:v>
      </x:c>
      <x:c r="AA949" s="32" t="n">
        <x:f>AA948+X949-U949-AA948*V949/AB948</x:f>
        <x:v>286.0632006338033</x:v>
      </x:c>
      <x:c r="AB949" s="10" t="n">
        <x:f>Y949+Z949+AA949</x:f>
        <x:v>1967.497011183876</x:v>
      </x:c>
      <x:c r="AC949" s="8" t="n">
        <x:f>IF(AND(v01_WinterTrigger=1,D949=1,AB948/AE948&gt;=K949),1,0)</x:f>
        <x:v>0</x:v>
      </x:c>
      <x:c r="AD949" s="8" t="n">
        <x:f>H949*IF(AND(OR(AB948/AE948&gt;=v01_FissionTrigger*N949,AC949=1),AB948/AE948*v01_DaughterShare&gt;=v01_MinDaughter),MAX(1,ROUND(AE948*v01_FissionRate,0)),0)</x:f>
        <x:v>0</x:v>
      </x:c>
      <x:c r="AE949" s="8" t="n">
        <x:f>IF(H949=1,MAX(1,MIN(INDEX(v01_Smax,G949),AE948+AD949)),AE948)</x:f>
        <x:v>12</x:v>
      </x:c>
      <x:c r="AF949" s="8" t="n">
        <x:f>MAX(0,AE949-AE948)</x:f>
        <x:v>0</x:v>
      </x:c>
      <x:c r="AG949" s="9" t="str">
        <x:f>IF(AF949&gt;0,B949,"")</x:f>
      </x:c>
      <x:c r="AH949" s="9" t="n">
        <x:f>IF(F949&gt;=1,1,(1+v01_LowTiesShare*(AE949-1))/AE949)</x:f>
        <x:v>1</x:v>
      </x:c>
      <x:c r="AI949" s="32" t="n">
        <x:f>(Z949+v01_ElderCommons*INDEX(LM_Elder,G949)*AA949)*AH949</x:f>
        <x:v>1681.0024533892688</x:v>
      </x:c>
      <x:c r="AJ949" s="32" t="n">
        <x:f>H949*v01_CommonsCoef*AI949^v01_CommonsExp*INDEX(LM_Commons,G949)</x:f>
        <x:v>400.147953819682</x:v>
      </x:c>
      <x:c r="AK949" s="32" t="n">
        <x:f>H949*v01_RoleScale*Arch_Roles*(AE949*(INDEX(v01_ElderRolePerSett,G949)*v01_OutElder*INDEX(LM_Elder,G949)+INDEX(v01_ShamanPerSett,G949)*v01_OutShaman)+Z949*(INDEX(v01_PriestShare,G949)*v01_OutPriest+INDEX(v01_ScribeShare,G949)*v01_OutScribe*INDEX(LM_Scribe,G949)+INDEX(v01_ScholarShare,G949)*v01_OutScholar*INDEX(LM_Scholar,G949)+INDEX(v01_ResearcherShare,G949)*v01_OutResearcher*INDEX(LM_Researcher,G949)))</x:f>
        <x:v>59.250138894521264</x:v>
      </x:c>
      <x:c r="AL949" s="32" t="n">
        <x:f>H949*v01_RoleScale*Arch_Roles*AE949*INDEX(v01_MonasteryPerSett,G949)*v01_OutMonastery*INDEX(LM_Monastery,G949)</x:f>
        <x:v>0</x:v>
      </x:c>
      <x:c r="AM949" s="32" t="n">
        <x:f>(AJ949+AK949+AL949)/4*INDEX(LM_All,G949)*INDEX(v01_Boon,G949)*Arch_Insight</x:f>
        <x:v>138.17608337226508</x:v>
      </x:c>
      <x:c r="AN949" s="32" t="n">
        <x:f>H949*(v01_KHPerAdult*Z949+v01_KHOfCommons*AJ949/4*INDEX(LM_All,G949))*v01_KHUsable*Arch_KH</x:f>
        <x:v>28.79844980207505</x:v>
      </x:c>
      <x:c r="AO949" s="32" t="n">
        <x:f>MIN(AP948+AN949,AM949*v01_KHMaxRatio)</x:f>
        <x:v>28.79844980207505</x:v>
      </x:c>
      <x:c r="AP949" s="32" t="n">
        <x:f>AP948+AN949-AO949</x:f>
        <x:v>0</x:v>
      </x:c>
      <x:c r="AQ949" s="32" t="n">
        <x:f>AM949+AO949</x:f>
        <x:v>166.97453317434014</x:v>
      </x:c>
      <x:c r="AR949" s="10" t="n">
        <x:f>IF(H949=1,INDEX(v01_Req,G949),0)</x:f>
        <x:v>24714.473079999996</x:v>
      </x:c>
      <x:c r="AS949" s="32" t="n">
        <x:f>IF(H949=1,IF(E949=1,AS948-AR948,AS948)+AQ949,0)</x:f>
        <x:v>8785.632918658957</x:v>
      </x:c>
      <x:c r="AT949" s="11" t="n">
        <x:f>IF(AR949&gt;0,MIN(1,AS949/AR949),1)</x:f>
        <x:v>0.35548534214021604</x:v>
      </x:c>
      <x:c r="AU949" s="10" t="n">
        <x:f>AB949/INDEX(v01_RepScale,G949)</x:f>
        <x:v>196.7497011183876</x:v>
      </x:c>
      <x:c r="AV949" s="32" t="n">
        <x:f>AM949*60/v01_SeasonSeconds</x:f>
        <x:v>552.7043334890603</x:v>
      </x:c>
    </x:row>
    <x:row r="950">
      <x:c r="A950" s="8" t="n">
        <x:f>A949+1</x:f>
        <x:v>947</x:v>
      </x:c>
      <x:c r="B950" s="9" t="n">
        <x:f>A950*v01_SeasonSeconds/60</x:f>
        <x:v>236.75</x:v>
      </x:c>
      <x:c r="C950" s="9" t="n">
        <x:f>A950/4</x:f>
        <x:v>236.75</x:v>
      </x:c>
      <x:c r="D950" s="8" t="n">
        <x:f>IF(MOD(A950,4)=0,1,0)</x:f>
        <x:v>0</x:v>
      </x:c>
      <x:c r="E950" s="8" t="n">
        <x:f>IF(AND(F949&lt;=9,AS949&gt;=AR949),1,0)</x:f>
        <x:v>0</x:v>
      </x:c>
      <x:c r="F950" s="8" t="n">
        <x:f>MIN(10,F949+E950)</x:f>
        <x:v>4</x:v>
      </x:c>
      <x:c r="G950" s="8" t="n">
        <x:f>MIN(F950,9)+1</x:f>
        <x:v>5</x:v>
      </x:c>
      <x:c r="H950" s="8" t="n">
        <x:f>IF(F950&lt;=9,1,0)</x:f>
        <x:v>1</x:v>
      </x:c>
      <x:c r="I950" s="9" t="n">
        <x:f>MIN(10,F949+IF(AR949&gt;0,MIN(1,AS949/AR949),1))</x:f>
        <x:v>4.355485342140216</x:v>
      </x:c>
      <x:c r="J950" s="32" t="n">
        <x:f>INDEX(v01_FoodCap,G950)*Arch_FoodCap*EXP(v01_CapsByProject*SUMPRODUCT((Cap_Point&lt;=I950)*(Cap_Kind="Food")*Cap_Ln))</x:f>
        <x:v>250</x:v>
      </x:c>
      <x:c r="K950" s="32" t="n">
        <x:f>J950*MIN(1,v01_LeanBase*EXP(v01_CapsByProject*SUMPRODUCT((Cap_Point&lt;=I950)*(Cap_Kind="Lean")*Cap_Ln)))</x:f>
        <x:v>250</x:v>
      </x:c>
      <x:c r="L950" s="10" t="n">
        <x:f>INDEX(v01_HousingCap,G950)*EXP(v01_CapsByProject*SUMPRODUCT((Cap_Point&lt;=I950)*(Cap_Kind="Housing")*Cap_Ln))</x:f>
        <x:v>400</x:v>
      </x:c>
      <x:c r="M950" s="10" t="n">
        <x:f>INDEX(v01_GroupCap,G950)*v01_CohesionFactor*EXP(v01_CapsByProject*SUMPRODUCT((Cap_Point&lt;=I950)*(Cap_Kind="Group")*Cap_Ln))</x:f>
        <x:v>10000</x:v>
      </x:c>
      <x:c r="N950" s="32" t="n">
        <x:f>MIN(J950,L950,M950)</x:f>
        <x:v>250</x:v>
      </x:c>
      <x:c r="O950" s="10" t="n">
        <x:f>AE949*N950</x:f>
        <x:v>3000</x:v>
      </x:c>
      <x:c r="P950" s="9" t="n">
        <x:f>MIN(1,(AB949/(AE949*IF(v01_GroupInCrowding=1,N950,MIN(J950,L950))))^v01_CrowdingExp)</x:f>
        <x:v>0.07957139271584608</x:v>
      </x:c>
      <x:c r="Q950" s="9" t="n">
        <x:f>IF(D950=1,INDEX(v01_WinterMult,G950),1)</x:f>
        <x:v>1</x:v>
      </x:c>
      <x:c r="R950" s="9" t="n">
        <x:f>H950*Z949*v01_WomenShare*v01_BaseFertility*INDEX(v01_FertMult,G950)*Arch_Fertility*(1-P950)</x:f>
        <x:v>27.264257530217026</x:v>
      </x:c>
      <x:c r="S950" s="9" t="n">
        <x:f>H950*Y949*INDEX(v01_MortChild,G950)/4*Q950</x:f>
        <x:v>6.0103467134355</x:v>
      </x:c>
      <x:c r="T950" s="9" t="n">
        <x:f>H950*Z949*INDEX(v01_MortAdult,G950)*Arch_AdultMort/4*Q950</x:f>
        <x:v>2.057032128719647</x:v>
      </x:c>
      <x:c r="U950" s="9" t="n">
        <x:f>H950*AA949*INDEX(v01_MortElder,G950)/4*Q950</x:f>
        <x:v>4.29094800950705</x:v>
      </x:c>
      <x:c r="V950" s="9" t="n">
        <x:f>H950*MAX(0,AB949-O950)*v01_OvercapLoss</x:f>
        <x:v>0</x:v>
      </x:c>
      <x:c r="W950" s="9" t="n">
        <x:f>H950*Y949/(v01_ChildYears*4)</x:f>
        <x:v>15.33251712611097</x:v>
      </x:c>
      <x:c r="X950" s="9" t="n">
        <x:f>H950*Z949/(v01_AdultYears*4)</x:f>
        <x:v>6.63558751199886</x:v>
      </x:c>
      <x:c r="Y950" s="32" t="n">
        <x:f>Y949+R950-S950-W950-Y949*V950/AB949</x:f>
        <x:v>864.5423527528849</x:v>
      </x:c>
      <x:c r="Z950" s="32" t="n">
        <x:f>Z949+W950-X950-T950-Z949*V950/AB949</x:f>
        <x:v>829.452748973251</x:v>
      </x:c>
      <x:c r="AA950" s="32" t="n">
        <x:f>AA949+X950-U950-AA949*V950/AB949</x:f>
        <x:v>288.4078401362951</x:v>
      </x:c>
      <x:c r="AB950" s="10" t="n">
        <x:f>Y950+Z950+AA950</x:f>
        <x:v>1982.4029418624311</x:v>
      </x:c>
      <x:c r="AC950" s="8" t="n">
        <x:f>IF(AND(v01_WinterTrigger=1,D950=1,AB949/AE949&gt;=K950),1,0)</x:f>
        <x:v>0</x:v>
      </x:c>
      <x:c r="AD950" s="8" t="n">
        <x:f>H950*IF(AND(OR(AB949/AE949&gt;=v01_FissionTrigger*N950,AC950=1),AB949/AE949*v01_DaughterShare&gt;=v01_MinDaughter),MAX(1,ROUND(AE949*v01_FissionRate,0)),0)</x:f>
        <x:v>0</x:v>
      </x:c>
      <x:c r="AE950" s="8" t="n">
        <x:f>IF(H950=1,MAX(1,MIN(INDEX(v01_Smax,G950),AE949+AD950)),AE949)</x:f>
        <x:v>12</x:v>
      </x:c>
      <x:c r="AF950" s="8" t="n">
        <x:f>MAX(0,AE950-AE949)</x:f>
        <x:v>0</x:v>
      </x:c>
      <x:c r="AG950" s="9" t="str">
        <x:f>IF(AF950&gt;0,B950,"")</x:f>
      </x:c>
      <x:c r="AH950" s="9" t="n">
        <x:f>IF(F950&gt;=1,1,(1+v01_LowTiesShare*(AE950-1))/AE950)</x:f>
        <x:v>1</x:v>
      </x:c>
      <x:c r="AI950" s="32" t="n">
        <x:f>(Z950+v01_ElderCommons*INDEX(LM_Elder,G950)*AA950)*AH950</x:f>
        <x:v>1694.676269382136</x:v>
      </x:c>
      <x:c r="AJ950" s="32" t="n">
        <x:f>H950*v01_CommonsCoef*AI950^v01_CommonsExp*INDEX(LM_Commons,G950)</x:f>
        <x:v>402.9129637831625</x:v>
      </x:c>
      <x:c r="AK950" s="32" t="n">
        <x:f>H950*v01_RoleScale*Arch_Roles*(AE950*(INDEX(v01_ElderRolePerSett,G950)*v01_OutElder*INDEX(LM_Elder,G950)+INDEX(v01_ShamanPerSett,G950)*v01_OutShaman)+Z950*(INDEX(v01_PriestShare,G950)*v01_OutPriest+INDEX(v01_ScribeShare,G950)*v01_OutScribe*INDEX(LM_Scribe,G950)+INDEX(v01_ScholarShare,G950)*v01_OutScholar*INDEX(LM_Scholar,G950)+INDEX(v01_ResearcherShare,G950)*v01_OutResearcher*INDEX(LM_Researcher,G950)))</x:f>
        <x:v>59.43776180111733</x:v>
      </x:c>
      <x:c r="AL950" s="32" t="n">
        <x:f>H950*v01_RoleScale*Arch_Roles*AE950*INDEX(v01_MonasteryPerSett,G950)*v01_OutMonastery*INDEX(LM_Monastery,G950)</x:f>
        <x:v>0</x:v>
      </x:c>
      <x:c r="AM950" s="32" t="n">
        <x:f>(AJ950+AK950+AL950)/4*INDEX(LM_All,G950)*INDEX(v01_Boon,G950)*Arch_Insight</x:f>
        <x:v>139.06416552169884</x:v>
      </x:c>
      <x:c r="AN950" s="32" t="n">
        <x:f>H950*(v01_KHPerAdult*Z950+v01_KHOfCommons*AJ950/4*INDEX(LM_All,G950))*v01_KHUsable*Arch_KH</x:f>
        <x:v>29.030846214063786</x:v>
      </x:c>
      <x:c r="AO950" s="32" t="n">
        <x:f>MIN(AP949+AN950,AM950*v01_KHMaxRatio)</x:f>
        <x:v>29.030846214063786</x:v>
      </x:c>
      <x:c r="AP950" s="32" t="n">
        <x:f>AP949+AN950-AO950</x:f>
        <x:v>0</x:v>
      </x:c>
      <x:c r="AQ950" s="32" t="n">
        <x:f>AM950+AO950</x:f>
        <x:v>168.09501173576263</x:v>
      </x:c>
      <x:c r="AR950" s="10" t="n">
        <x:f>IF(H950=1,INDEX(v01_Req,G950),0)</x:f>
        <x:v>24714.473079999996</x:v>
      </x:c>
      <x:c r="AS950" s="32" t="n">
        <x:f>IF(H950=1,IF(E950=1,AS949-AR949,AS949)+AQ950,0)</x:f>
        <x:v>8953.72793039472</x:v>
      </x:c>
      <x:c r="AT950" s="11" t="n">
        <x:f>IF(AR950&gt;0,MIN(1,AS950/AR950),1)</x:f>
        <x:v>0.362286822843108</x:v>
      </x:c>
      <x:c r="AU950" s="10" t="n">
        <x:f>AB950/INDEX(v01_RepScale,G950)</x:f>
        <x:v>198.24029418624312</x:v>
      </x:c>
      <x:c r="AV950" s="32" t="n">
        <x:f>AM950*60/v01_SeasonSeconds</x:f>
        <x:v>556.2566620867954</x:v>
      </x:c>
    </x:row>
    <x:row r="951">
      <x:c r="A951" s="8" t="n">
        <x:f>A950+1</x:f>
        <x:v>948</x:v>
      </x:c>
      <x:c r="B951" s="9" t="n">
        <x:f>A951*v01_SeasonSeconds/60</x:f>
        <x:v>237</x:v>
      </x:c>
      <x:c r="C951" s="9" t="n">
        <x:f>A951/4</x:f>
        <x:v>237</x:v>
      </x:c>
      <x:c r="D951" s="8" t="n">
        <x:f>IF(MOD(A951,4)=0,1,0)</x:f>
        <x:v>1</x:v>
      </x:c>
      <x:c r="E951" s="8" t="n">
        <x:f>IF(AND(F950&lt;=9,AS950&gt;=AR950),1,0)</x:f>
        <x:v>0</x:v>
      </x:c>
      <x:c r="F951" s="8" t="n">
        <x:f>MIN(10,F950+E951)</x:f>
        <x:v>4</x:v>
      </x:c>
      <x:c r="G951" s="8" t="n">
        <x:f>MIN(F951,9)+1</x:f>
        <x:v>5</x:v>
      </x:c>
      <x:c r="H951" s="8" t="n">
        <x:f>IF(F951&lt;=9,1,0)</x:f>
        <x:v>1</x:v>
      </x:c>
      <x:c r="I951" s="9" t="n">
        <x:f>MIN(10,F950+IF(AR950&gt;0,MIN(1,AS950/AR950),1))</x:f>
        <x:v>4.362286822843108</x:v>
      </x:c>
      <x:c r="J951" s="32" t="n">
        <x:f>INDEX(v01_FoodCap,G951)*Arch_FoodCap*EXP(v01_CapsByProject*SUMPRODUCT((Cap_Point&lt;=I951)*(Cap_Kind="Food")*Cap_Ln))</x:f>
        <x:v>250</x:v>
      </x:c>
      <x:c r="K951" s="32" t="n">
        <x:f>J951*MIN(1,v01_LeanBase*EXP(v01_CapsByProject*SUMPRODUCT((Cap_Point&lt;=I951)*(Cap_Kind="Lean")*Cap_Ln)))</x:f>
        <x:v>250</x:v>
      </x:c>
      <x:c r="L951" s="10" t="n">
        <x:f>INDEX(v01_HousingCap,G951)*EXP(v01_CapsByProject*SUMPRODUCT((Cap_Point&lt;=I951)*(Cap_Kind="Housing")*Cap_Ln))</x:f>
        <x:v>400</x:v>
      </x:c>
      <x:c r="M951" s="10" t="n">
        <x:f>INDEX(v01_GroupCap,G951)*v01_CohesionFactor*EXP(v01_CapsByProject*SUMPRODUCT((Cap_Point&lt;=I951)*(Cap_Kind="Group")*Cap_Ln))</x:f>
        <x:v>10000</x:v>
      </x:c>
      <x:c r="N951" s="32" t="n">
        <x:f>MIN(J951,L951,M951)</x:f>
        <x:v>250</x:v>
      </x:c>
      <x:c r="O951" s="10" t="n">
        <x:f>AE950*N951</x:f>
        <x:v>3000</x:v>
      </x:c>
      <x:c r="P951" s="9" t="n">
        <x:f>MIN(1,(AB950/(AE950*IF(v01_GroupInCrowding=1,N951,MIN(J951,L951))))^v01_CrowdingExp)</x:f>
        <x:v>0.08325763549107833</x:v>
      </x:c>
      <x:c r="Q951" s="9" t="n">
        <x:f>IF(D951=1,INDEX(v01_WinterMult,G951),1)</x:f>
        <x:v>1</x:v>
      </x:c>
      <x:c r="R951" s="9" t="n">
        <x:f>H951*Z950*v01_WomenShare*v01_BaseFertility*INDEX(v01_FertMult,G951)*Arch_Fertility*(1-P951)</x:f>
        <x:v>27.37420107631787</x:v>
      </x:c>
      <x:c r="S951" s="9" t="n">
        <x:f>H951*Y950*INDEX(v01_MortChild,G951)/4*Q951</x:f>
        <x:v>6.051796469270195</x:v>
      </x:c>
      <x:c r="T951" s="9" t="n">
        <x:f>H951*Z950*INDEX(v01_MortAdult,G951)*Arch_AdultMort/4*Q951</x:f>
        <x:v>2.0736318724331277</x:v>
      </x:c>
      <x:c r="U951" s="9" t="n">
        <x:f>H951*AA950*INDEX(v01_MortElder,G951)/4*Q951</x:f>
        <x:v>4.326117602044426</x:v>
      </x:c>
      <x:c r="V951" s="9" t="n">
        <x:f>H951*MAX(0,AB950-O951)*v01_OvercapLoss</x:f>
        <x:v>0</x:v>
      </x:c>
      <x:c r="W951" s="9" t="n">
        <x:f>H951*Y950/(v01_ChildYears*4)</x:f>
        <x:v>15.438256299158658</x:v>
      </x:c>
      <x:c r="X951" s="9" t="n">
        <x:f>H951*Z950/(v01_AdultYears*4)</x:f>
        <x:v>6.689135072364928</x:v>
      </x:c>
      <x:c r="Y951" s="32" t="n">
        <x:f>Y950+R951-S951-W951-Y950*V951/AB950</x:f>
        <x:v>870.4265010607738</x:v>
      </x:c>
      <x:c r="Z951" s="32" t="n">
        <x:f>Z950+W951-X951-T951-Z950*V951/AB950</x:f>
        <x:v>836.1282383276116</x:v>
      </x:c>
      <x:c r="AA951" s="32" t="n">
        <x:f>AA950+X951-U951-AA950*V951/AB950</x:f>
        <x:v>290.7708576066156</x:v>
      </x:c>
      <x:c r="AB951" s="10" t="n">
        <x:f>Y951+Z951+AA951</x:f>
        <x:v>1997.325596995001</x:v>
      </x:c>
      <x:c r="AC951" s="8" t="n">
        <x:f>IF(AND(v01_WinterTrigger=1,D951=1,AB950/AE950&gt;=K951),1,0)</x:f>
        <x:v>0</x:v>
      </x:c>
      <x:c r="AD951" s="8" t="n">
        <x:f>H951*IF(AND(OR(AB950/AE950&gt;=v01_FissionTrigger*N951,AC951=1),AB950/AE950*v01_DaughterShare&gt;=v01_MinDaughter),MAX(1,ROUND(AE950*v01_FissionRate,0)),0)</x:f>
        <x:v>0</x:v>
      </x:c>
      <x:c r="AE951" s="8" t="n">
        <x:f>IF(H951=1,MAX(1,MIN(INDEX(v01_Smax,G951),AE950+AD951)),AE950)</x:f>
        <x:v>12</x:v>
      </x:c>
      <x:c r="AF951" s="8" t="n">
        <x:f>MAX(0,AE951-AE950)</x:f>
        <x:v>0</x:v>
      </x:c>
      <x:c r="AG951" s="9" t="str">
        <x:f>IF(AF951&gt;0,B951,"")</x:f>
      </x:c>
      <x:c r="AH951" s="9" t="n">
        <x:f>IF(F951&gt;=1,1,(1+v01_LowTiesShare*(AE951-1))/AE951)</x:f>
        <x:v>1</x:v>
      </x:c>
      <x:c r="AI951" s="32" t="n">
        <x:f>(Z951+v01_ElderCommons*INDEX(LM_Elder,G951)*AA951)*AH951</x:f>
        <x:v>1708.4408111474584</x:v>
      </x:c>
      <x:c r="AJ951" s="32" t="n">
        <x:f>H951*v01_CommonsCoef*AI951^v01_CommonsExp*INDEX(LM_Commons,G951)</x:f>
        <x:v>405.6929417819964</x:v>
      </x:c>
      <x:c r="AK951" s="32" t="n">
        <x:f>H951*v01_RoleScale*Arch_Roles*(AE951*(INDEX(v01_ElderRolePerSett,G951)*v01_OutElder*INDEX(LM_Elder,G951)+INDEX(v01_ShamanPerSett,G951)*v01_OutShaman)+Z951*(INDEX(v01_PriestShare,G951)*v01_OutPriest+INDEX(v01_ScribeShare,G951)*v01_OutScribe*INDEX(LM_Scribe,G951)+INDEX(v01_ScholarShare,G951)*v01_OutScholar*INDEX(LM_Scholar,G951)+INDEX(v01_ResearcherShare,G951)*v01_OutResearcher*INDEX(LM_Researcher,G951)))</x:f>
        <x:v>59.6263904235278</x:v>
      </x:c>
      <x:c r="AL951" s="32" t="n">
        <x:f>H951*v01_RoleScale*Arch_Roles*AE951*INDEX(v01_MonasteryPerSett,G951)*v01_OutMonastery*INDEX(LM_Monastery,G951)</x:f>
        <x:v>0</x:v>
      </x:c>
      <x:c r="AM951" s="32" t="n">
        <x:f>(AJ951+AK951+AL951)/4*INDEX(LM_All,G951)*INDEX(v01_Boon,G951)*Arch_Insight</x:f>
        <x:v>139.95705219776892</x:v>
      </x:c>
      <x:c r="AN951" s="32" t="n">
        <x:f>H951*(v01_KHPerAdult*Z951+v01_KHOfCommons*AJ951/4*INDEX(LM_All,G951))*v01_KHUsable*Arch_KH</x:f>
        <x:v>29.264488341466407</x:v>
      </x:c>
      <x:c r="AO951" s="32" t="n">
        <x:f>MIN(AP950+AN951,AM951*v01_KHMaxRatio)</x:f>
        <x:v>29.264488341466407</x:v>
      </x:c>
      <x:c r="AP951" s="32" t="n">
        <x:f>AP950+AN951-AO951</x:f>
        <x:v>0</x:v>
      </x:c>
      <x:c r="AQ951" s="32" t="n">
        <x:f>AM951+AO951</x:f>
        <x:v>169.22154053923532</x:v>
      </x:c>
      <x:c r="AR951" s="10" t="n">
        <x:f>IF(H951=1,INDEX(v01_Req,G951),0)</x:f>
        <x:v>24714.473079999996</x:v>
      </x:c>
      <x:c r="AS951" s="32" t="n">
        <x:f>IF(H951=1,IF(E951=1,AS950-AR950,AS950)+AQ951,0)</x:f>
        <x:v>9122.949470933956</x:v>
      </x:c>
      <x:c r="AT951" s="11" t="n">
        <x:f>IF(AR951&gt;0,MIN(1,AS951/AR951),1)</x:f>
        <x:v>0.3691338852907463</x:v>
      </x:c>
      <x:c r="AU951" s="10" t="n">
        <x:f>AB951/INDEX(v01_RepScale,G951)</x:f>
        <x:v>199.7325596995001</x:v>
      </x:c>
      <x:c r="AV951" s="32" t="n">
        <x:f>AM951*60/v01_SeasonSeconds</x:f>
        <x:v>559.8282087910757</x:v>
      </x:c>
    </x:row>
    <x:row r="952">
      <x:c r="A952" s="8" t="n">
        <x:f>A951+1</x:f>
        <x:v>949</x:v>
      </x:c>
      <x:c r="B952" s="9" t="n">
        <x:f>A952*v01_SeasonSeconds/60</x:f>
        <x:v>237.25</x:v>
      </x:c>
      <x:c r="C952" s="9" t="n">
        <x:f>A952/4</x:f>
        <x:v>237.25</x:v>
      </x:c>
      <x:c r="D952" s="8" t="n">
        <x:f>IF(MOD(A952,4)=0,1,0)</x:f>
        <x:v>0</x:v>
      </x:c>
      <x:c r="E952" s="8" t="n">
        <x:f>IF(AND(F951&lt;=9,AS951&gt;=AR951),1,0)</x:f>
        <x:v>0</x:v>
      </x:c>
      <x:c r="F952" s="8" t="n">
        <x:f>MIN(10,F951+E952)</x:f>
        <x:v>4</x:v>
      </x:c>
      <x:c r="G952" s="8" t="n">
        <x:f>MIN(F952,9)+1</x:f>
        <x:v>5</x:v>
      </x:c>
      <x:c r="H952" s="8" t="n">
        <x:f>IF(F952&lt;=9,1,0)</x:f>
        <x:v>1</x:v>
      </x:c>
      <x:c r="I952" s="9" t="n">
        <x:f>MIN(10,F951+IF(AR951&gt;0,MIN(1,AS951/AR951),1))</x:f>
        <x:v>4.369133885290746</x:v>
      </x:c>
      <x:c r="J952" s="32" t="n">
        <x:f>INDEX(v01_FoodCap,G952)*Arch_FoodCap*EXP(v01_CapsByProject*SUMPRODUCT((Cap_Point&lt;=I952)*(Cap_Kind="Food")*Cap_Ln))</x:f>
        <x:v>250</x:v>
      </x:c>
      <x:c r="K952" s="32" t="n">
        <x:f>J952*MIN(1,v01_LeanBase*EXP(v01_CapsByProject*SUMPRODUCT((Cap_Point&lt;=I952)*(Cap_Kind="Lean")*Cap_Ln)))</x:f>
        <x:v>250</x:v>
      </x:c>
      <x:c r="L952" s="10" t="n">
        <x:f>INDEX(v01_HousingCap,G952)*EXP(v01_CapsByProject*SUMPRODUCT((Cap_Point&lt;=I952)*(Cap_Kind="Housing")*Cap_Ln))</x:f>
        <x:v>400</x:v>
      </x:c>
      <x:c r="M952" s="10" t="n">
        <x:f>INDEX(v01_GroupCap,G952)*v01_CohesionFactor*EXP(v01_CapsByProject*SUMPRODUCT((Cap_Point&lt;=I952)*(Cap_Kind="Group")*Cap_Ln))</x:f>
        <x:v>10000</x:v>
      </x:c>
      <x:c r="N952" s="32" t="n">
        <x:f>MIN(J952,L952,M952)</x:f>
        <x:v>250</x:v>
      </x:c>
      <x:c r="O952" s="10" t="n">
        <x:f>AE951*N952</x:f>
        <x:v>3000</x:v>
      </x:c>
      <x:c r="P952" s="9" t="n">
        <x:f>MIN(1,(AB951/(AE951*IF(v01_GroupInCrowding=1,N952,MIN(J952,L952))))^v01_CrowdingExp)</x:f>
        <x:v>0.08708947619903225</x:v>
      </x:c>
      <x:c r="Q952" s="9" t="n">
        <x:f>IF(D952=1,INDEX(v01_WinterMult,G952),1)</x:f>
        <x:v>1</x:v>
      </x:c>
      <x:c r="R952" s="9" t="n">
        <x:f>H952*Z951*v01_WomenShare*v01_BaseFertility*INDEX(v01_FertMult,G952)*Arch_Fertility*(1-P952)</x:f>
        <x:v>27.479169648591846</x:v>
      </x:c>
      <x:c r="S952" s="9" t="n">
        <x:f>H952*Y951*INDEX(v01_MortChild,G952)/4*Q952</x:f>
        <x:v>6.092985507425417</x:v>
      </x:c>
      <x:c r="T952" s="9" t="n">
        <x:f>H952*Z951*INDEX(v01_MortAdult,G952)*Arch_AdultMort/4*Q952</x:f>
        <x:v>2.090320595819029</x:v>
      </x:c>
      <x:c r="U952" s="9" t="n">
        <x:f>H952*AA951*INDEX(v01_MortElder,G952)/4*Q952</x:f>
        <x:v>4.361562864099234</x:v>
      </x:c>
      <x:c r="V952" s="9" t="n">
        <x:f>H952*MAX(0,AB951-O952)*v01_OvercapLoss</x:f>
        <x:v>0</x:v>
      </x:c>
      <x:c r="W952" s="9" t="n">
        <x:f>H952*Y951/(v01_ChildYears*4)</x:f>
        <x:v>15.543330376085247</x:v>
      </x:c>
      <x:c r="X952" s="9" t="n">
        <x:f>H952*Z951/(v01_AdultYears*4)</x:f>
        <x:v>6.742969663932351</x:v>
      </x:c>
      <x:c r="Y952" s="32" t="n">
        <x:f>Y951+R952-S952-W952-Y951*V952/AB951</x:f>
        <x:v>876.2693548258551</x:v>
      </x:c>
      <x:c r="Z952" s="32" t="n">
        <x:f>Z951+W952-X952-T952-Z951*V952/AB951</x:f>
        <x:v>842.8382784439455</x:v>
      </x:c>
      <x:c r="AA952" s="32" t="n">
        <x:f>AA951+X952-U952-AA951*V952/AB951</x:f>
        <x:v>293.1522644064487</x:v>
      </x:c>
      <x:c r="AB952" s="10" t="n">
        <x:f>Y952+Z952+AA952</x:f>
        <x:v>2012.2598976762492</x:v>
      </x:c>
      <x:c r="AC952" s="8" t="n">
        <x:f>IF(AND(v01_WinterTrigger=1,D952=1,AB951/AE951&gt;=K952),1,0)</x:f>
        <x:v>0</x:v>
      </x:c>
      <x:c r="AD952" s="8" t="n">
        <x:f>H952*IF(AND(OR(AB951/AE951&gt;=v01_FissionTrigger*N952,AC952=1),AB951/AE951*v01_DaughterShare&gt;=v01_MinDaughter),MAX(1,ROUND(AE951*v01_FissionRate,0)),0)</x:f>
        <x:v>0</x:v>
      </x:c>
      <x:c r="AE952" s="8" t="n">
        <x:f>IF(H952=1,MAX(1,MIN(INDEX(v01_Smax,G952),AE951+AD952)),AE951)</x:f>
        <x:v>12</x:v>
      </x:c>
      <x:c r="AF952" s="8" t="n">
        <x:f>MAX(0,AE952-AE951)</x:f>
        <x:v>0</x:v>
      </x:c>
      <x:c r="AG952" s="9" t="str">
        <x:f>IF(AF952&gt;0,B952,"")</x:f>
      </x:c>
      <x:c r="AH952" s="9" t="n">
        <x:f>IF(F952&gt;=1,1,(1+v01_LowTiesShare*(AE952-1))/AE952)</x:f>
        <x:v>1</x:v>
      </x:c>
      <x:c r="AI952" s="32" t="n">
        <x:f>(Z952+v01_ElderCommons*INDEX(LM_Elder,G952)*AA952)*AH952</x:f>
        <x:v>1722.2950716632915</x:v>
      </x:c>
      <x:c r="AJ952" s="32" t="n">
        <x:f>H952*v01_CommonsCoef*AI952^v01_CommonsExp*INDEX(LM_Commons,G952)</x:f>
        <x:v>408.4876494791377</x:v>
      </x:c>
      <x:c r="AK952" s="32" t="n">
        <x:f>H952*v01_RoleScale*Arch_Roles*(AE952*(INDEX(v01_ElderRolePerSett,G952)*v01_OutElder*INDEX(LM_Elder,G952)+INDEX(v01_ShamanPerSett,G952)*v01_OutShaman)+Z952*(INDEX(v01_PriestShare,G952)*v01_OutPriest+INDEX(v01_ScribeShare,G952)*v01_OutScribe*INDEX(LM_Scribe,G952)+INDEX(v01_ScholarShare,G952)*v01_OutScholar*INDEX(LM_Scholar,G952)+INDEX(v01_ResearcherShare,G952)*v01_OutResearcher*INDEX(LM_Researcher,G952)))</x:f>
        <x:v>59.8159953432984</x:v>
      </x:c>
      <x:c r="AL952" s="32" t="n">
        <x:f>H952*v01_RoleScale*Arch_Roles*AE952*INDEX(v01_MonasteryPerSett,G952)*v01_OutMonastery*INDEX(LM_Monastery,G952)</x:f>
        <x:v>0</x:v>
      </x:c>
      <x:c r="AM952" s="32" t="n">
        <x:f>(AJ952+AK952+AL952)/4*INDEX(LM_All,G952)*INDEX(v01_Boon,G952)*Arch_Insight</x:f>
        <x:v>140.8546628659522</x:v>
      </x:c>
      <x:c r="AN952" s="32" t="n">
        <x:f>H952*(v01_KHPerAdult*Z952+v01_KHOfCommons*AJ952/4*INDEX(LM_All,G952))*v01_KHUsable*Arch_KH</x:f>
        <x:v>29.49933974553809</x:v>
      </x:c>
      <x:c r="AO952" s="32" t="n">
        <x:f>MIN(AP951+AN952,AM952*v01_KHMaxRatio)</x:f>
        <x:v>29.49933974553809</x:v>
      </x:c>
      <x:c r="AP952" s="32" t="n">
        <x:f>AP951+AN952-AO952</x:f>
        <x:v>0</x:v>
      </x:c>
      <x:c r="AQ952" s="32" t="n">
        <x:f>AM952+AO952</x:f>
        <x:v>170.3540026114903</x:v>
      </x:c>
      <x:c r="AR952" s="10" t="n">
        <x:f>IF(H952=1,INDEX(v01_Req,G952),0)</x:f>
        <x:v>24714.473079999996</x:v>
      </x:c>
      <x:c r="AS952" s="32" t="n">
        <x:f>IF(H952=1,IF(E952=1,AS951-AR951,AS951)+AQ952,0)</x:f>
        <x:v>9293.303473545446</x:v>
      </x:c>
      <x:c r="AT952" s="11" t="n">
        <x:f>IF(AR952&gt;0,MIN(1,AS952/AR952),1)</x:f>
        <x:v>0.37602676955577025</x:v>
      </x:c>
      <x:c r="AU952" s="10" t="n">
        <x:f>AB952/INDEX(v01_RepScale,G952)</x:f>
        <x:v>201.22598976762492</x:v>
      </x:c>
      <x:c r="AV952" s="32" t="n">
        <x:f>AM952*60/v01_SeasonSeconds</x:f>
        <x:v>563.4186514638088</x:v>
      </x:c>
    </x:row>
    <x:row r="953">
      <x:c r="A953" s="8" t="n">
        <x:f>A952+1</x:f>
        <x:v>950</x:v>
      </x:c>
      <x:c r="B953" s="9" t="n">
        <x:f>A953*v01_SeasonSeconds/60</x:f>
        <x:v>237.5</x:v>
      </x:c>
      <x:c r="C953" s="9" t="n">
        <x:f>A953/4</x:f>
        <x:v>237.5</x:v>
      </x:c>
      <x:c r="D953" s="8" t="n">
        <x:f>IF(MOD(A953,4)=0,1,0)</x:f>
        <x:v>0</x:v>
      </x:c>
      <x:c r="E953" s="8" t="n">
        <x:f>IF(AND(F952&lt;=9,AS952&gt;=AR952),1,0)</x:f>
        <x:v>0</x:v>
      </x:c>
      <x:c r="F953" s="8" t="n">
        <x:f>MIN(10,F952+E953)</x:f>
        <x:v>4</x:v>
      </x:c>
      <x:c r="G953" s="8" t="n">
        <x:f>MIN(F953,9)+1</x:f>
        <x:v>5</x:v>
      </x:c>
      <x:c r="H953" s="8" t="n">
        <x:f>IF(F953&lt;=9,1,0)</x:f>
        <x:v>1</x:v>
      </x:c>
      <x:c r="I953" s="9" t="n">
        <x:f>MIN(10,F952+IF(AR952&gt;0,MIN(1,AS952/AR952),1))</x:f>
        <x:v>4.376026769555771</x:v>
      </x:c>
      <x:c r="J953" s="32" t="n">
        <x:f>INDEX(v01_FoodCap,G953)*Arch_FoodCap*EXP(v01_CapsByProject*SUMPRODUCT((Cap_Point&lt;=I953)*(Cap_Kind="Food")*Cap_Ln))</x:f>
        <x:v>250</x:v>
      </x:c>
      <x:c r="K953" s="32" t="n">
        <x:f>J953*MIN(1,v01_LeanBase*EXP(v01_CapsByProject*SUMPRODUCT((Cap_Point&lt;=I953)*(Cap_Kind="Lean")*Cap_Ln)))</x:f>
        <x:v>250</x:v>
      </x:c>
      <x:c r="L953" s="10" t="n">
        <x:f>INDEX(v01_HousingCap,G953)*EXP(v01_CapsByProject*SUMPRODUCT((Cap_Point&lt;=I953)*(Cap_Kind="Housing")*Cap_Ln))</x:f>
        <x:v>400</x:v>
      </x:c>
      <x:c r="M953" s="10" t="n">
        <x:f>INDEX(v01_GroupCap,G953)*v01_CohesionFactor*EXP(v01_CapsByProject*SUMPRODUCT((Cap_Point&lt;=I953)*(Cap_Kind="Group")*Cap_Ln))</x:f>
        <x:v>10000</x:v>
      </x:c>
      <x:c r="N953" s="32" t="n">
        <x:f>MIN(J953,L953,M953)</x:f>
        <x:v>250</x:v>
      </x:c>
      <x:c r="O953" s="10" t="n">
        <x:f>AE952*N953</x:f>
        <x:v>3000</x:v>
      </x:c>
      <x:c r="P953" s="9" t="n">
        <x:f>MIN(1,(AB952/(AE952*IF(v01_GroupInCrowding=1,N953,MIN(J953,L953))))^v01_CrowdingExp)</x:f>
        <x:v>0.09107032890331634</x:v>
      </x:c>
      <x:c r="Q953" s="9" t="n">
        <x:f>IF(D953=1,INDEX(v01_WinterMult,G953),1)</x:f>
        <x:v>1</x:v>
      </x:c>
      <x:c r="R953" s="9" t="n">
        <x:f>H953*Z952*v01_WomenShare*v01_BaseFertility*INDEX(v01_FertMult,G953)*Arch_Fertility*(1-P953)</x:f>
        <x:v>27.578905891695012</x:v>
      </x:c>
      <x:c r="S953" s="9" t="n">
        <x:f>H953*Y952*INDEX(v01_MortChild,G953)/4*Q953</x:f>
        <x:v>6.133885483780986</x:v>
      </x:c>
      <x:c r="T953" s="9" t="n">
        <x:f>H953*Z952*INDEX(v01_MortAdult,G953)*Arch_AdultMort/4*Q953</x:f>
        <x:v>2.1070956961098637</x:v>
      </x:c>
      <x:c r="U953" s="9" t="n">
        <x:f>H953*AA952*INDEX(v01_MortElder,G953)/4*Q953</x:f>
        <x:v>4.3972839660967304</x:v>
      </x:c>
      <x:c r="V953" s="9" t="n">
        <x:f>H953*MAX(0,AB952-O953)*v01_OvercapLoss</x:f>
        <x:v>0</x:v>
      </x:c>
      <x:c r="W953" s="9" t="n">
        <x:f>H953*Y952/(v01_ChildYears*4)</x:f>
        <x:v>15.647667050461697</x:v>
      </x:c>
      <x:c r="X953" s="9" t="n">
        <x:f>H953*Z952/(v01_AdultYears*4)</x:f>
        <x:v>6.79708289067698</x:v>
      </x:c>
      <x:c r="Y953" s="32" t="n">
        <x:f>Y952+R953-S953-W953-Y952*V953/AB952</x:f>
        <x:v>882.0667081833075</x:v>
      </x:c>
      <x:c r="Z953" s="32" t="n">
        <x:f>Z952+W953-X953-T953-Z952*V953/AB952</x:f>
        <x:v>849.5817669076204</x:v>
      </x:c>
      <x:c r="AA953" s="32" t="n">
        <x:f>AA952+X953-U953-AA952*V953/AB952</x:f>
        <x:v>295.55206333102893</x:v>
      </x:c>
      <x:c r="AB953" s="10" t="n">
        <x:f>Y953+Z953+AA953</x:f>
        <x:v>2027.2005384219567</x:v>
      </x:c>
      <x:c r="AC953" s="8" t="n">
        <x:f>IF(AND(v01_WinterTrigger=1,D953=1,AB952/AE952&gt;=K953),1,0)</x:f>
        <x:v>0</x:v>
      </x:c>
      <x:c r="AD953" s="8" t="n">
        <x:f>H953*IF(AND(OR(AB952/AE952&gt;=v01_FissionTrigger*N953,AC953=1),AB952/AE952*v01_DaughterShare&gt;=v01_MinDaughter),MAX(1,ROUND(AE952*v01_FissionRate,0)),0)</x:f>
        <x:v>0</x:v>
      </x:c>
      <x:c r="AE953" s="8" t="n">
        <x:f>IF(H953=1,MAX(1,MIN(INDEX(v01_Smax,G953),AE952+AD953)),AE952)</x:f>
        <x:v>12</x:v>
      </x:c>
      <x:c r="AF953" s="8" t="n">
        <x:f>MAX(0,AE953-AE952)</x:f>
        <x:v>0</x:v>
      </x:c>
      <x:c r="AG953" s="9" t="str">
        <x:f>IF(AF953&gt;0,B953,"")</x:f>
      </x:c>
      <x:c r="AH953" s="9" t="n">
        <x:f>IF(F953&gt;=1,1,(1+v01_LowTiesShare*(AE953-1))/AE953)</x:f>
        <x:v>1</x:v>
      </x:c>
      <x:c r="AI953" s="32" t="n">
        <x:f>(Z953+v01_ElderCommons*INDEX(LM_Elder,G953)*AA953)*AH953</x:f>
        <x:v>1736.237956900707</x:v>
      </x:c>
      <x:c r="AJ953" s="32" t="n">
        <x:f>H953*v01_CommonsCoef*AI953^v01_CommonsExp*INDEX(LM_Commons,G953)</x:f>
        <x:v>411.29683225458956</x:v>
      </x:c>
      <x:c r="AK953" s="32" t="n">
        <x:f>H953*v01_RoleScale*Arch_Roles*(AE953*(INDEX(v01_ElderRolePerSett,G953)*v01_OutElder*INDEX(LM_Elder,G953)+INDEX(v01_ShamanPerSett,G953)*v01_OutShaman)+Z953*(INDEX(v01_PriestShare,G953)*v01_OutPriest+INDEX(v01_ScribeShare,G953)*v01_OutScribe*INDEX(LM_Scribe,G953)+INDEX(v01_ScholarShare,G953)*v01_OutScholar*INDEX(LM_Scholar,G953)+INDEX(v01_ResearcherShare,G953)*v01_OutResearcher*INDEX(LM_Researcher,G953)))</x:f>
        <x:v>60.006545409611206</x:v>
      </x:c>
      <x:c r="AL953" s="32" t="n">
        <x:f>H953*v01_RoleScale*Arch_Roles*AE953*INDEX(v01_MonasteryPerSett,G953)*v01_OutMonastery*INDEX(LM_Monastery,G953)</x:f>
        <x:v>0</x:v>
      </x:c>
      <x:c r="AM953" s="32" t="n">
        <x:f>(AJ953+AK953+AL953)/4*INDEX(LM_All,G953)*INDEX(v01_Boon,G953)*Arch_Insight</x:f>
        <x:v>141.7569115731449</x:v>
      </x:c>
      <x:c r="AN953" s="32" t="n">
        <x:f>H953*(v01_KHPerAdult*Z953+v01_KHOfCommons*AJ953/4*INDEX(LM_All,G953))*v01_KHUsable*Arch_KH</x:f>
        <x:v>29.735361841766714</x:v>
      </x:c>
      <x:c r="AO953" s="32" t="n">
        <x:f>MIN(AP952+AN953,AM953*v01_KHMaxRatio)</x:f>
        <x:v>29.735361841766714</x:v>
      </x:c>
      <x:c r="AP953" s="32" t="n">
        <x:f>AP952+AN953-AO953</x:f>
        <x:v>0</x:v>
      </x:c>
      <x:c r="AQ953" s="32" t="n">
        <x:f>AM953+AO953</x:f>
        <x:v>171.4922734149116</x:v>
      </x:c>
      <x:c r="AR953" s="10" t="n">
        <x:f>IF(H953=1,INDEX(v01_Req,G953),0)</x:f>
        <x:v>24714.473079999996</x:v>
      </x:c>
      <x:c r="AS953" s="32" t="n">
        <x:f>IF(H953=1,IF(E953=1,AS952-AR952,AS952)+AQ953,0)</x:f>
        <x:v>9464.795746960357</x:v>
      </x:c>
      <x:c r="AT953" s="11" t="n">
        <x:f>IF(AR953&gt;0,MIN(1,AS953/AR953),1)</x:f>
        <x:v>0.3829657106717631</x:v>
      </x:c>
      <x:c r="AU953" s="10" t="n">
        <x:f>AB953/INDEX(v01_RepScale,G953)</x:f>
        <x:v>202.72005384219568</x:v>
      </x:c>
      <x:c r="AV953" s="32" t="n">
        <x:f>AM953*60/v01_SeasonSeconds</x:f>
        <x:v>567.0276462925796</x:v>
      </x:c>
    </x:row>
    <x:row r="954">
      <x:c r="A954" s="8" t="n">
        <x:f>A953+1</x:f>
        <x:v>951</x:v>
      </x:c>
      <x:c r="B954" s="9" t="n">
        <x:f>A954*v01_SeasonSeconds/60</x:f>
        <x:v>237.75</x:v>
      </x:c>
      <x:c r="C954" s="9" t="n">
        <x:f>A954/4</x:f>
        <x:v>237.75</x:v>
      </x:c>
      <x:c r="D954" s="8" t="n">
        <x:f>IF(MOD(A954,4)=0,1,0)</x:f>
        <x:v>0</x:v>
      </x:c>
      <x:c r="E954" s="8" t="n">
        <x:f>IF(AND(F953&lt;=9,AS953&gt;=AR953),1,0)</x:f>
        <x:v>0</x:v>
      </x:c>
      <x:c r="F954" s="8" t="n">
        <x:f>MIN(10,F953+E954)</x:f>
        <x:v>4</x:v>
      </x:c>
      <x:c r="G954" s="8" t="n">
        <x:f>MIN(F954,9)+1</x:f>
        <x:v>5</x:v>
      </x:c>
      <x:c r="H954" s="8" t="n">
        <x:f>IF(F954&lt;=9,1,0)</x:f>
        <x:v>1</x:v>
      </x:c>
      <x:c r="I954" s="9" t="n">
        <x:f>MIN(10,F953+IF(AR953&gt;0,MIN(1,AS953/AR953),1))</x:f>
        <x:v>4.382965710671763</x:v>
      </x:c>
      <x:c r="J954" s="32" t="n">
        <x:f>INDEX(v01_FoodCap,G954)*Arch_FoodCap*EXP(v01_CapsByProject*SUMPRODUCT((Cap_Point&lt;=I954)*(Cap_Kind="Food")*Cap_Ln))</x:f>
        <x:v>250</x:v>
      </x:c>
      <x:c r="K954" s="32" t="n">
        <x:f>J954*MIN(1,v01_LeanBase*EXP(v01_CapsByProject*SUMPRODUCT((Cap_Point&lt;=I954)*(Cap_Kind="Lean")*Cap_Ln)))</x:f>
        <x:v>250</x:v>
      </x:c>
      <x:c r="L954" s="10" t="n">
        <x:f>INDEX(v01_HousingCap,G954)*EXP(v01_CapsByProject*SUMPRODUCT((Cap_Point&lt;=I954)*(Cap_Kind="Housing")*Cap_Ln))</x:f>
        <x:v>400</x:v>
      </x:c>
      <x:c r="M954" s="10" t="n">
        <x:f>INDEX(v01_GroupCap,G954)*v01_CohesionFactor*EXP(v01_CapsByProject*SUMPRODUCT((Cap_Point&lt;=I954)*(Cap_Kind="Group")*Cap_Ln))</x:f>
        <x:v>10000</x:v>
      </x:c>
      <x:c r="N954" s="32" t="n">
        <x:f>MIN(J954,L954,M954)</x:f>
        <x:v>250</x:v>
      </x:c>
      <x:c r="O954" s="10" t="n">
        <x:f>AE953*N954</x:f>
        <x:v>3000</x:v>
      </x:c>
      <x:c r="P954" s="9" t="n">
        <x:f>MIN(1,(AB953/(AE953*IF(v01_GroupInCrowding=1,N954,MIN(J954,L954))))^v01_CrowdingExp)</x:f>
        <x:v>0.09520346365581384</x:v>
      </x:c>
      <x:c r="Q954" s="9" t="n">
        <x:f>IF(D954=1,INDEX(v01_WinterMult,G954),1)</x:f>
        <x:v>1</x:v>
      </x:c>
      <x:c r="R954" s="9" t="n">
        <x:f>H954*Z953*v01_WomenShare*v01_BaseFertility*INDEX(v01_FertMult,G954)*Arch_Fertility*(1-P954)</x:f>
        <x:v>27.673151041410787</x:v>
      </x:c>
      <x:c r="S954" s="9" t="n">
        <x:f>H954*Y953*INDEX(v01_MortChild,G954)/4*Q954</x:f>
        <x:v>6.174466957283152</x:v>
      </x:c>
      <x:c r="T954" s="9" t="n">
        <x:f>H954*Z953*INDEX(v01_MortAdult,G954)*Arch_AdultMort/4*Q954</x:f>
        <x:v>2.1239544172690508</x:v>
      </x:c>
      <x:c r="U954" s="9" t="n">
        <x:f>H954*AA953*INDEX(v01_MortElder,G954)/4*Q954</x:f>
        <x:v>4.433280949965434</x:v>
      </x:c>
      <x:c r="V954" s="9" t="n">
        <x:f>H954*MAX(0,AB953-O954)*v01_OvercapLoss</x:f>
        <x:v>0</x:v>
      </x:c>
      <x:c r="W954" s="9" t="n">
        <x:f>H954*Y953/(v01_ChildYears*4)</x:f>
        <x:v>15.751191217559063</x:v>
      </x:c>
      <x:c r="X954" s="9" t="n">
        <x:f>H954*Z953/(v01_AdultYears*4)</x:f>
        <x:v>6.8514658621582285</x:v>
      </x:c>
      <x:c r="Y954" s="32" t="n">
        <x:f>Y953+R954-S954-W954-Y953*V954/AB953</x:f>
        <x:v>887.814201049876</x:v>
      </x:c>
      <x:c r="Z954" s="32" t="n">
        <x:f>Z953+W954-X954-T954-Z953*V954/AB953</x:f>
        <x:v>856.3575378457522</x:v>
      </x:c>
      <x:c r="AA954" s="32" t="n">
        <x:f>AA953+X954-U954-AA953*V954/AB953</x:f>
        <x:v>297.97024824322176</x:v>
      </x:c>
      <x:c r="AB954" s="10" t="n">
        <x:f>Y954+Z954+AA954</x:f>
        <x:v>2042.1419871388498</x:v>
      </x:c>
      <x:c r="AC954" s="8" t="n">
        <x:f>IF(AND(v01_WinterTrigger=1,D954=1,AB953/AE953&gt;=K954),1,0)</x:f>
        <x:v>0</x:v>
      </x:c>
      <x:c r="AD954" s="8" t="n">
        <x:f>H954*IF(AND(OR(AB953/AE953&gt;=v01_FissionTrigger*N954,AC954=1),AB953/AE953*v01_DaughterShare&gt;=v01_MinDaughter),MAX(1,ROUND(AE953*v01_FissionRate,0)),0)</x:f>
        <x:v>0</x:v>
      </x:c>
      <x:c r="AE954" s="8" t="n">
        <x:f>IF(H954=1,MAX(1,MIN(INDEX(v01_Smax,G954),AE953+AD954)),AE953)</x:f>
        <x:v>12</x:v>
      </x:c>
      <x:c r="AF954" s="8" t="n">
        <x:f>MAX(0,AE954-AE953)</x:f>
        <x:v>0</x:v>
      </x:c>
      <x:c r="AG954" s="9" t="str">
        <x:f>IF(AF954&gt;0,B954,"")</x:f>
      </x:c>
      <x:c r="AH954" s="9" t="n">
        <x:f>IF(F954&gt;=1,1,(1+v01_LowTiesShare*(AE954-1))/AE954)</x:f>
        <x:v>1</x:v>
      </x:c>
      <x:c r="AI954" s="32" t="n">
        <x:f>(Z954+v01_ElderCommons*INDEX(LM_Elder,G954)*AA954)*AH954</x:f>
        <x:v>1750.2682825754175</x:v>
      </x:c>
      <x:c r="AJ954" s="32" t="n">
        <x:f>H954*v01_CommonsCoef*AI954^v01_CommonsExp*INDEX(LM_Commons,G954)</x:f>
        <x:v>414.12021864908576</x:v>
      </x:c>
      <x:c r="AK954" s="32" t="n">
        <x:f>H954*v01_RoleScale*Arch_Roles*(AE954*(INDEX(v01_ElderRolePerSett,G954)*v01_OutElder*INDEX(LM_Elder,G954)+INDEX(v01_ShamanPerSett,G954)*v01_OutShaman)+Z954*(INDEX(v01_PriestShare,G954)*v01_OutPriest+INDEX(v01_ScribeShare,G954)*v01_OutScribe*INDEX(LM_Scribe,G954)+INDEX(v01_ScholarShare,G954)*v01_OutScholar*INDEX(LM_Scholar,G954)+INDEX(v01_ResearcherShare,G954)*v01_OutResearcher*INDEX(LM_Researcher,G954)))</x:f>
        <x:v>60.198007678514955</x:v>
      </x:c>
      <x:c r="AL954" s="32" t="n">
        <x:f>H954*v01_RoleScale*Arch_Roles*AE954*INDEX(v01_MonasteryPerSett,G954)*v01_OutMonastery*INDEX(LM_Monastery,G954)</x:f>
        <x:v>0</x:v>
      </x:c>
      <x:c r="AM954" s="32" t="n">
        <x:f>(AJ954+AK954+AL954)/4*INDEX(LM_All,G954)*INDEX(v01_Boon,G954)*Arch_Insight</x:f>
        <x:v>142.6637067620572</x:v>
      </x:c>
      <x:c r="AN954" s="32" t="n">
        <x:f>H954*(v01_KHPerAdult*Z954+v01_KHOfCommons*AJ954/4*INDEX(LM_All,G954))*v01_KHUsable*Arch_KH</x:f>
        <x:v>29.97251382460133</x:v>
      </x:c>
      <x:c r="AO954" s="32" t="n">
        <x:f>MIN(AP953+AN954,AM954*v01_KHMaxRatio)</x:f>
        <x:v>29.97251382460133</x:v>
      </x:c>
      <x:c r="AP954" s="32" t="n">
        <x:f>AP953+AN954-AO954</x:f>
        <x:v>0</x:v>
      </x:c>
      <x:c r="AQ954" s="32" t="n">
        <x:f>AM954+AO954</x:f>
        <x:v>172.6362205866585</x:v>
      </x:c>
      <x:c r="AR954" s="10" t="n">
        <x:f>IF(H954=1,INDEX(v01_Req,G954),0)</x:f>
        <x:v>24714.473079999996</x:v>
      </x:c>
      <x:c r="AS954" s="32" t="n">
        <x:f>IF(H954=1,IF(E954=1,AS953-AR953,AS953)+AQ954,0)</x:f>
        <x:v>9637.431967547016</x:v>
      </x:c>
      <x:c r="AT954" s="11" t="n">
        <x:f>IF(AR954&gt;0,MIN(1,AS954/AR954),1)</x:f>
        <x:v>0.38995093831662697</x:v>
      </x:c>
      <x:c r="AU954" s="10" t="n">
        <x:f>AB954/INDEX(v01_RepScale,G954)</x:f>
        <x:v>204.21419871388497</x:v>
      </x:c>
      <x:c r="AV954" s="32" t="n">
        <x:f>AM954*60/v01_SeasonSeconds</x:f>
        <x:v>570.6548270482288</x:v>
      </x:c>
    </x:row>
    <x:row r="955">
      <x:c r="A955" s="8" t="n">
        <x:f>A954+1</x:f>
        <x:v>952</x:v>
      </x:c>
      <x:c r="B955" s="9" t="n">
        <x:f>A955*v01_SeasonSeconds/60</x:f>
        <x:v>238</x:v>
      </x:c>
      <x:c r="C955" s="9" t="n">
        <x:f>A955/4</x:f>
        <x:v>238</x:v>
      </x:c>
      <x:c r="D955" s="8" t="n">
        <x:f>IF(MOD(A955,4)=0,1,0)</x:f>
        <x:v>1</x:v>
      </x:c>
      <x:c r="E955" s="8" t="n">
        <x:f>IF(AND(F954&lt;=9,AS954&gt;=AR954),1,0)</x:f>
        <x:v>0</x:v>
      </x:c>
      <x:c r="F955" s="8" t="n">
        <x:f>MIN(10,F954+E955)</x:f>
        <x:v>4</x:v>
      </x:c>
      <x:c r="G955" s="8" t="n">
        <x:f>MIN(F955,9)+1</x:f>
        <x:v>5</x:v>
      </x:c>
      <x:c r="H955" s="8" t="n">
        <x:f>IF(F955&lt;=9,1,0)</x:f>
        <x:v>1</x:v>
      </x:c>
      <x:c r="I955" s="9" t="n">
        <x:f>MIN(10,F954+IF(AR954&gt;0,MIN(1,AS954/AR954),1))</x:f>
        <x:v>4.389950938316627</x:v>
      </x:c>
      <x:c r="J955" s="32" t="n">
        <x:f>INDEX(v01_FoodCap,G955)*Arch_FoodCap*EXP(v01_CapsByProject*SUMPRODUCT((Cap_Point&lt;=I955)*(Cap_Kind="Food")*Cap_Ln))</x:f>
        <x:v>250</x:v>
      </x:c>
      <x:c r="K955" s="32" t="n">
        <x:f>J955*MIN(1,v01_LeanBase*EXP(v01_CapsByProject*SUMPRODUCT((Cap_Point&lt;=I955)*(Cap_Kind="Lean")*Cap_Ln)))</x:f>
        <x:v>250</x:v>
      </x:c>
      <x:c r="L955" s="10" t="n">
        <x:f>INDEX(v01_HousingCap,G955)*EXP(v01_CapsByProject*SUMPRODUCT((Cap_Point&lt;=I955)*(Cap_Kind="Housing")*Cap_Ln))</x:f>
        <x:v>400</x:v>
      </x:c>
      <x:c r="M955" s="10" t="n">
        <x:f>INDEX(v01_GroupCap,G955)*v01_CohesionFactor*EXP(v01_CapsByProject*SUMPRODUCT((Cap_Point&lt;=I955)*(Cap_Kind="Group")*Cap_Ln))</x:f>
        <x:v>10000</x:v>
      </x:c>
      <x:c r="N955" s="32" t="n">
        <x:f>MIN(J955,L955,M955)</x:f>
        <x:v>250</x:v>
      </x:c>
      <x:c r="O955" s="10" t="n">
        <x:f>AE954*N955</x:f>
        <x:v>3000</x:v>
      </x:c>
      <x:c r="P955" s="9" t="n">
        <x:f>MIN(1,(AB954/(AE954*IF(v01_GroupInCrowding=1,N955,MIN(J955,L955))))^v01_CrowdingExp)</x:f>
        <x:v>0.09949198131683078</x:v>
      </x:c>
      <x:c r="Q955" s="9" t="n">
        <x:f>IF(D955=1,INDEX(v01_WinterMult,G955),1)</x:f>
        <x:v>1</x:v>
      </x:c>
      <x:c r="R955" s="9" t="n">
        <x:f>H955*Z954*v01_WomenShare*v01_BaseFertility*INDEX(v01_FertMult,G955)*Arch_Fertility*(1-P955)</x:f>
        <x:v>27.76164586883551</x:v>
      </x:c>
      <x:c r="S955" s="9" t="n">
        <x:f>H955*Y954*INDEX(v01_MortChild,G955)/4*Q955</x:f>
        <x:v>6.214699407349133</x:v>
      </x:c>
      <x:c r="T955" s="9" t="n">
        <x:f>H955*Z954*INDEX(v01_MortAdult,G955)*Arch_AdultMort/4*Q955</x:f>
        <x:v>2.1408938446143804</x:v>
      </x:c>
      <x:c r="U955" s="9" t="n">
        <x:f>H955*AA954*INDEX(v01_MortElder,G955)/4*Q955</x:f>
        <x:v>4.4695537236483265</x:v>
      </x:c>
      <x:c r="V955" s="9" t="n">
        <x:f>H955*MAX(0,AB954-O955)*v01_OvercapLoss</x:f>
        <x:v>0</x:v>
      </x:c>
      <x:c r="W955" s="9" t="n">
        <x:f>H955*Y954/(v01_ChildYears*4)</x:f>
        <x:v>15.853825018747786</x:v>
      </x:c>
      <x:c r="X955" s="9" t="n">
        <x:f>H955*Z954/(v01_AdultYears*4)</x:f>
        <x:v>6.906109176175421</x:v>
      </x:c>
      <x:c r="Y955" s="32" t="n">
        <x:f>Y954+R955-S955-W955-Y954*V955/AB954</x:f>
        <x:v>893.5073224926147</x:v>
      </x:c>
      <x:c r="Z955" s="32" t="n">
        <x:f>Z954+W955-X955-T955-Z954*V955/AB954</x:f>
        <x:v>863.1643598437101</x:v>
      </x:c>
      <x:c r="AA955" s="32" t="n">
        <x:f>AA954+X955-U955-AA954*V955/AB954</x:f>
        <x:v>300.40680369574886</x:v>
      </x:c>
      <x:c r="AB955" s="10" t="n">
        <x:f>Y955+Z955+AA955</x:f>
        <x:v>2057.0784860320737</x:v>
      </x:c>
      <x:c r="AC955" s="8" t="n">
        <x:f>IF(AND(v01_WinterTrigger=1,D955=1,AB954/AE954&gt;=K955),1,0)</x:f>
        <x:v>0</x:v>
      </x:c>
      <x:c r="AD955" s="8" t="n">
        <x:f>H955*IF(AND(OR(AB954/AE954&gt;=v01_FissionTrigger*N955,AC955=1),AB954/AE954*v01_DaughterShare&gt;=v01_MinDaughter),MAX(1,ROUND(AE954*v01_FissionRate,0)),0)</x:f>
        <x:v>0</x:v>
      </x:c>
      <x:c r="AE955" s="8" t="n">
        <x:f>IF(H955=1,MAX(1,MIN(INDEX(v01_Smax,G955),AE954+AD955)),AE954)</x:f>
        <x:v>12</x:v>
      </x:c>
      <x:c r="AF955" s="8" t="n">
        <x:f>MAX(0,AE955-AE954)</x:f>
        <x:v>0</x:v>
      </x:c>
      <x:c r="AG955" s="9" t="str">
        <x:f>IF(AF955&gt;0,B955,"")</x:f>
      </x:c>
      <x:c r="AH955" s="9" t="n">
        <x:f>IF(F955&gt;=1,1,(1+v01_LowTiesShare*(AE955-1))/AE955)</x:f>
        <x:v>1</x:v>
      </x:c>
      <x:c r="AI955" s="32" t="n">
        <x:f>(Z955+v01_ElderCommons*INDEX(LM_Elder,G955)*AA955)*AH955</x:f>
        <x:v>1764.3847709309566</x:v>
      </x:c>
      <x:c r="AJ955" s="32" t="n">
        <x:f>H955*v01_CommonsCoef*AI955^v01_CommonsExp*INDEX(LM_Commons,G955)</x:f>
        <x:v>416.9575198175731</x:v>
      </x:c>
      <x:c r="AK955" s="32" t="n">
        <x:f>H955*v01_RoleScale*Arch_Roles*(AE955*(INDEX(v01_ElderRolePerSett,G955)*v01_OutElder*INDEX(LM_Elder,G955)+INDEX(v01_ShamanPerSett,G955)*v01_OutShaman)+Z955*(INDEX(v01_PriestShare,G955)*v01_OutPriest+INDEX(v01_ScribeShare,G955)*v01_OutScribe*INDEX(LM_Scribe,G955)+INDEX(v01_ScholarShare,G955)*v01_OutScholar*INDEX(LM_Scholar,G955)+INDEX(v01_ResearcherShare,G955)*v01_OutResearcher*INDEX(LM_Researcher,G955)))</x:f>
        <x:v>60.3903473540519</x:v>
      </x:c>
      <x:c r="AL955" s="32" t="n">
        <x:f>H955*v01_RoleScale*Arch_Roles*AE955*INDEX(v01_MonasteryPerSett,G955)*v01_OutMonastery*INDEX(LM_Monastery,G955)</x:f>
        <x:v>0</x:v>
      </x:c>
      <x:c r="AM955" s="32" t="n">
        <x:f>(AJ955+AK955+AL955)/4*INDEX(LM_All,G955)*INDEX(v01_Boon,G955)*Arch_Insight</x:f>
        <x:v>143.5749510891257</x:v>
      </x:c>
      <x:c r="AN955" s="32" t="n">
        <x:f>H955*(v01_KHPerAdult*Z955+v01_KHOfCommons*AJ955/4*INDEX(LM_All,G955))*v01_KHUsable*Arch_KH</x:f>
        <x:v>30.210752594529858</x:v>
      </x:c>
      <x:c r="AO955" s="32" t="n">
        <x:f>MIN(AP954+AN955,AM955*v01_KHMaxRatio)</x:f>
        <x:v>30.210752594529858</x:v>
      </x:c>
      <x:c r="AP955" s="32" t="n">
        <x:f>AP954+AN955-AO955</x:f>
        <x:v>0</x:v>
      </x:c>
      <x:c r="AQ955" s="32" t="n">
        <x:f>AM955+AO955</x:f>
        <x:v>173.78570368365556</x:v>
      </x:c>
      <x:c r="AR955" s="10" t="n">
        <x:f>IF(H955=1,INDEX(v01_Req,G955),0)</x:f>
        <x:v>24714.473079999996</x:v>
      </x:c>
      <x:c r="AS955" s="32" t="n">
        <x:f>IF(H955=1,IF(E955=1,AS954-AR954,AS954)+AQ955,0)</x:f>
        <x:v>9811.217671230672</x:v>
      </x:c>
      <x:c r="AT955" s="11" t="n">
        <x:f>IF(AR955&gt;0,MIN(1,AS955/AR955),1)</x:f>
        <x:v>0.39698267648563895</x:v>
      </x:c>
      <x:c r="AU955" s="10" t="n">
        <x:f>AB955/INDEX(v01_RepScale,G955)</x:f>
        <x:v>205.70784860320737</x:v>
      </x:c>
      <x:c r="AV955" s="32" t="n">
        <x:f>AM955*60/v01_SeasonSeconds</x:f>
        <x:v>574.2998043565028</x:v>
      </x:c>
    </x:row>
    <x:row r="956">
      <x:c r="A956" s="8" t="n">
        <x:f>A955+1</x:f>
        <x:v>953</x:v>
      </x:c>
      <x:c r="B956" s="9" t="n">
        <x:f>A956*v01_SeasonSeconds/60</x:f>
        <x:v>238.25</x:v>
      </x:c>
      <x:c r="C956" s="9" t="n">
        <x:f>A956/4</x:f>
        <x:v>238.25</x:v>
      </x:c>
      <x:c r="D956" s="8" t="n">
        <x:f>IF(MOD(A956,4)=0,1,0)</x:f>
        <x:v>0</x:v>
      </x:c>
      <x:c r="E956" s="8" t="n">
        <x:f>IF(AND(F955&lt;=9,AS955&gt;=AR955),1,0)</x:f>
        <x:v>0</x:v>
      </x:c>
      <x:c r="F956" s="8" t="n">
        <x:f>MIN(10,F955+E956)</x:f>
        <x:v>4</x:v>
      </x:c>
      <x:c r="G956" s="8" t="n">
        <x:f>MIN(F956,9)+1</x:f>
        <x:v>5</x:v>
      </x:c>
      <x:c r="H956" s="8" t="n">
        <x:f>IF(F956&lt;=9,1,0)</x:f>
        <x:v>1</x:v>
      </x:c>
      <x:c r="I956" s="9" t="n">
        <x:f>MIN(10,F955+IF(AR955&gt;0,MIN(1,AS955/AR955),1))</x:f>
        <x:v>4.396982676485639</x:v>
      </x:c>
      <x:c r="J956" s="32" t="n">
        <x:f>INDEX(v01_FoodCap,G956)*Arch_FoodCap*EXP(v01_CapsByProject*SUMPRODUCT((Cap_Point&lt;=I956)*(Cap_Kind="Food")*Cap_Ln))</x:f>
        <x:v>250</x:v>
      </x:c>
      <x:c r="K956" s="32" t="n">
        <x:f>J956*MIN(1,v01_LeanBase*EXP(v01_CapsByProject*SUMPRODUCT((Cap_Point&lt;=I956)*(Cap_Kind="Lean")*Cap_Ln)))</x:f>
        <x:v>250</x:v>
      </x:c>
      <x:c r="L956" s="10" t="n">
        <x:f>INDEX(v01_HousingCap,G956)*EXP(v01_CapsByProject*SUMPRODUCT((Cap_Point&lt;=I956)*(Cap_Kind="Housing")*Cap_Ln))</x:f>
        <x:v>400</x:v>
      </x:c>
      <x:c r="M956" s="10" t="n">
        <x:f>INDEX(v01_GroupCap,G956)*v01_CohesionFactor*EXP(v01_CapsByProject*SUMPRODUCT((Cap_Point&lt;=I956)*(Cap_Kind="Group")*Cap_Ln))</x:f>
        <x:v>10000</x:v>
      </x:c>
      <x:c r="N956" s="32" t="n">
        <x:f>MIN(J956,L956,M956)</x:f>
        <x:v>250</x:v>
      </x:c>
      <x:c r="O956" s="10" t="n">
        <x:f>AE955*N956</x:f>
        <x:v>3000</x:v>
      </x:c>
      <x:c r="P956" s="9" t="n">
        <x:f>MIN(1,(AB955/(AE955*IF(v01_GroupInCrowding=1,N956,MIN(J956,L956))))^v01_CrowdingExp)</x:f>
        <x:v>0.10393878708365174</x:v>
      </x:c>
      <x:c r="Q956" s="9" t="n">
        <x:f>IF(D956=1,INDEX(v01_WinterMult,G956),1)</x:f>
        <x:v>1</x:v>
      </x:c>
      <x:c r="R956" s="9" t="n">
        <x:f>H956*Z955*v01_WomenShare*v01_BaseFertility*INDEX(v01_FertMult,G956)*Arch_Fertility*(1-P956)</x:f>
        <x:v>27.84413171619785</x:v>
      </x:c>
      <x:c r="S956" s="9" t="n">
        <x:f>H956*Y955*INDEX(v01_MortChild,G956)/4*Q956</x:f>
        <x:v>6.254551257448303</x:v>
      </x:c>
      <x:c r="T956" s="9" t="n">
        <x:f>H956*Z955*INDEX(v01_MortAdult,G956)*Arch_AdultMort/4*Q956</x:f>
        <x:v>2.1579108996092753</x:v>
      </x:c>
      <x:c r="U956" s="9" t="n">
        <x:f>H956*AA955*INDEX(v01_MortElder,G956)/4*Q956</x:f>
        <x:v>4.506102055436233</x:v>
      </x:c>
      <x:c r="V956" s="9" t="n">
        <x:f>H956*MAX(0,AB955-O956)*v01_OvercapLoss</x:f>
        <x:v>0</x:v>
      </x:c>
      <x:c r="W956" s="9" t="n">
        <x:f>H956*Y955/(v01_ChildYears*4)</x:f>
        <x:v>15.955487901653834</x:v>
      </x:c>
      <x:c r="X956" s="9" t="n">
        <x:f>H956*Z955/(v01_AdultYears*4)</x:f>
        <x:v>6.961002901965404</x:v>
      </x:c>
      <x:c r="Y956" s="32" t="n">
        <x:f>Y955+R956-S956-W956-Y955*V956/AB955</x:f>
        <x:v>899.1414150497104</x:v>
      </x:c>
      <x:c r="Z956" s="32" t="n">
        <x:f>Z955+W956-X956-T956-Z955*V956/AB955</x:f>
        <x:v>870.0009339437892</x:v>
      </x:c>
      <x:c r="AA956" s="32" t="n">
        <x:f>AA955+X956-U956-AA955*V956/AB955</x:f>
        <x:v>302.861704542278</x:v>
      </x:c>
      <x:c r="AB956" s="10" t="n">
        <x:f>Y956+Z956+AA956</x:f>
        <x:v>2072.0040535357775</x:v>
      </x:c>
      <x:c r="AC956" s="8" t="n">
        <x:f>IF(AND(v01_WinterTrigger=1,D956=1,AB955/AE955&gt;=K956),1,0)</x:f>
        <x:v>0</x:v>
      </x:c>
      <x:c r="AD956" s="8" t="n">
        <x:f>H956*IF(AND(OR(AB955/AE955&gt;=v01_FissionTrigger*N956,AC956=1),AB955/AE955*v01_DaughterShare&gt;=v01_MinDaughter),MAX(1,ROUND(AE955*v01_FissionRate,0)),0)</x:f>
        <x:v>0</x:v>
      </x:c>
      <x:c r="AE956" s="8" t="n">
        <x:f>IF(H956=1,MAX(1,MIN(INDEX(v01_Smax,G956),AE955+AD956)),AE955)</x:f>
        <x:v>12</x:v>
      </x:c>
      <x:c r="AF956" s="8" t="n">
        <x:f>MAX(0,AE956-AE955)</x:f>
        <x:v>0</x:v>
      </x:c>
      <x:c r="AG956" s="9" t="str">
        <x:f>IF(AF956&gt;0,B956,"")</x:f>
      </x:c>
      <x:c r="AH956" s="9" t="n">
        <x:f>IF(F956&gt;=1,1,(1+v01_LowTiesShare*(AE956-1))/AE956)</x:f>
        <x:v>1</x:v>
      </x:c>
      <x:c r="AI956" s="32" t="n">
        <x:f>(Z956+v01_ElderCommons*INDEX(LM_Elder,G956)*AA956)*AH956</x:f>
        <x:v>1778.5860475706231</x:v>
      </x:c>
      <x:c r="AJ956" s="32" t="n">
        <x:f>H956*v01_CommonsCoef*AI956^v01_CommonsExp*INDEX(LM_Commons,G956)</x:f>
        <x:v>419.8084289957939</x:v>
      </x:c>
      <x:c r="AK956" s="32" t="n">
        <x:f>H956*v01_RoleScale*Arch_Roles*(AE956*(INDEX(v01_ElderRolePerSett,G956)*v01_OutElder*INDEX(LM_Elder,G956)+INDEX(v01_ShamanPerSett,G956)*v01_OutShaman)+Z956*(INDEX(v01_PriestShare,G956)*v01_OutPriest+INDEX(v01_ScribeShare,G956)*v01_OutScribe*INDEX(LM_Scribe,G956)+INDEX(v01_ScholarShare,G956)*v01_OutScholar*INDEX(LM_Scholar,G956)+INDEX(v01_ResearcherShare,G956)*v01_OutResearcher*INDEX(LM_Researcher,G956)))</x:f>
        <x:v>60.58352773170655</x:v>
      </x:c>
      <x:c r="AL956" s="32" t="n">
        <x:f>H956*v01_RoleScale*Arch_Roles*AE956*INDEX(v01_MonasteryPerSett,G956)*v01_OutMonastery*INDEX(LM_Monastery,G956)</x:f>
        <x:v>0</x:v>
      </x:c>
      <x:c r="AM956" s="32" t="n">
        <x:f>(AJ956+AK956+AL956)/4*INDEX(LM_All,G956)*INDEX(v01_Boon,G956)*Arch_Insight</x:f>
        <x:v>144.4905412470652</x:v>
      </x:c>
      <x:c r="AN956" s="32" t="n">
        <x:f>H956*(v01_KHPerAdult*Z956+v01_KHOfCommons*AJ956/4*INDEX(LM_All,G956))*v01_KHUsable*Arch_KH</x:f>
        <x:v>30.45003268803262</x:v>
      </x:c>
      <x:c r="AO956" s="32" t="n">
        <x:f>MIN(AP955+AN956,AM956*v01_KHMaxRatio)</x:f>
        <x:v>30.45003268803262</x:v>
      </x:c>
      <x:c r="AP956" s="32" t="n">
        <x:f>AP955+AN956-AO956</x:f>
        <x:v>0</x:v>
      </x:c>
      <x:c r="AQ956" s="32" t="n">
        <x:f>AM956+AO956</x:f>
        <x:v>174.94057393509783</x:v>
      </x:c>
      <x:c r="AR956" s="10" t="n">
        <x:f>IF(H956=1,INDEX(v01_Req,G956),0)</x:f>
        <x:v>24714.473079999996</x:v>
      </x:c>
      <x:c r="AS956" s="32" t="n">
        <x:f>IF(H956=1,IF(E956=1,AS955-AR955,AS955)+AQ956,0)</x:f>
        <x:v>9986.15824516577</x:v>
      </x:c>
      <x:c r="AT956" s="11" t="n">
        <x:f>IF(AR956&gt;0,MIN(1,AS956/AR956),1)</x:f>
        <x:v>0.40406114315449415</x:v>
      </x:c>
      <x:c r="AU956" s="10" t="n">
        <x:f>AB956/INDEX(v01_RepScale,G956)</x:f>
        <x:v>207.20040535357776</x:v>
      </x:c>
      <x:c r="AV956" s="32" t="n">
        <x:f>AM956*60/v01_SeasonSeconds</x:f>
        <x:v>577.9621649882608</x:v>
      </x:c>
    </x:row>
    <x:row r="957">
      <x:c r="A957" s="8" t="n">
        <x:f>A956+1</x:f>
        <x:v>954</x:v>
      </x:c>
      <x:c r="B957" s="9" t="n">
        <x:f>A957*v01_SeasonSeconds/60</x:f>
        <x:v>238.5</x:v>
      </x:c>
      <x:c r="C957" s="9" t="n">
        <x:f>A957/4</x:f>
        <x:v>238.5</x:v>
      </x:c>
      <x:c r="D957" s="8" t="n">
        <x:f>IF(MOD(A957,4)=0,1,0)</x:f>
        <x:v>0</x:v>
      </x:c>
      <x:c r="E957" s="8" t="n">
        <x:f>IF(AND(F956&lt;=9,AS956&gt;=AR956),1,0)</x:f>
        <x:v>0</x:v>
      </x:c>
      <x:c r="F957" s="8" t="n">
        <x:f>MIN(10,F956+E957)</x:f>
        <x:v>4</x:v>
      </x:c>
      <x:c r="G957" s="8" t="n">
        <x:f>MIN(F957,9)+1</x:f>
        <x:v>5</x:v>
      </x:c>
      <x:c r="H957" s="8" t="n">
        <x:f>IF(F957&lt;=9,1,0)</x:f>
        <x:v>1</x:v>
      </x:c>
      <x:c r="I957" s="9" t="n">
        <x:f>MIN(10,F956+IF(AR956&gt;0,MIN(1,AS956/AR956),1))</x:f>
        <x:v>4.404061143154494</x:v>
      </x:c>
      <x:c r="J957" s="32" t="n">
        <x:f>INDEX(v01_FoodCap,G957)*Arch_FoodCap*EXP(v01_CapsByProject*SUMPRODUCT((Cap_Point&lt;=I957)*(Cap_Kind="Food")*Cap_Ln))</x:f>
        <x:v>250</x:v>
      </x:c>
      <x:c r="K957" s="32" t="n">
        <x:f>J957*MIN(1,v01_LeanBase*EXP(v01_CapsByProject*SUMPRODUCT((Cap_Point&lt;=I957)*(Cap_Kind="Lean")*Cap_Ln)))</x:f>
        <x:v>250</x:v>
      </x:c>
      <x:c r="L957" s="10" t="n">
        <x:f>INDEX(v01_HousingCap,G957)*EXP(v01_CapsByProject*SUMPRODUCT((Cap_Point&lt;=I957)*(Cap_Kind="Housing")*Cap_Ln))</x:f>
        <x:v>400</x:v>
      </x:c>
      <x:c r="M957" s="10" t="n">
        <x:f>INDEX(v01_GroupCap,G957)*v01_CohesionFactor*EXP(v01_CapsByProject*SUMPRODUCT((Cap_Point&lt;=I957)*(Cap_Kind="Group")*Cap_Ln))</x:f>
        <x:v>10000</x:v>
      </x:c>
      <x:c r="N957" s="32" t="n">
        <x:f>MIN(J957,L957,M957)</x:f>
        <x:v>250</x:v>
      </x:c>
      <x:c r="O957" s="10" t="n">
        <x:f>AE956*N957</x:f>
        <x:v>3000</x:v>
      </x:c>
      <x:c r="P957" s="9" t="n">
        <x:f>MIN(1,(AB956/(AE956*IF(v01_GroupInCrowding=1,N957,MIN(J957,L957))))^v01_CrowdingExp)</x:f>
        <x:v>0.10854656282508263</x:v>
      </x:c>
      <x:c r="Q957" s="9" t="n">
        <x:f>IF(D957=1,INDEX(v01_WinterMult,G957),1)</x:f>
        <x:v>1</x:v>
      </x:c>
      <x:c r="R957" s="9" t="n">
        <x:f>H957*Z956*v01_WomenShare*v01_BaseFertility*INDEX(v01_FertMult,G957)*Arch_Fertility*(1-P957)</x:f>
        <x:v>27.920351624744846</x:v>
      </x:c>
      <x:c r="S957" s="9" t="n">
        <x:f>H957*Y956*INDEX(v01_MortChild,G957)/4*Q957</x:f>
        <x:v>6.293989905347973</x:v>
      </x:c>
      <x:c r="T957" s="9" t="n">
        <x:f>H957*Z956*INDEX(v01_MortAdult,G957)*Arch_AdultMort/4*Q957</x:f>
        <x:v>2.175002334859473</x:v>
      </x:c>
      <x:c r="U957" s="9" t="n">
        <x:f>H957*AA956*INDEX(v01_MortElder,G957)/4*Q957</x:f>
        <x:v>4.54292556813417</x:v>
      </x:c>
      <x:c r="V957" s="9" t="n">
        <x:f>H957*MAX(0,AB956-O957)*v01_OvercapLoss</x:f>
        <x:v>0</x:v>
      </x:c>
      <x:c r="W957" s="9" t="n">
        <x:f>H957*Y956/(v01_ChildYears*4)</x:f>
        <x:v>16.056096697316256</x:v>
      </x:c>
      <x:c r="X957" s="9" t="n">
        <x:f>H957*Z956/(v01_AdultYears*4)</x:f>
        <x:v>7.0161365640628155</x:v>
      </x:c>
      <x:c r="Y957" s="32" t="n">
        <x:f>Y956+R957-S957-W957-Y956*V957/AB956</x:f>
        <x:v>904.7116800717911</x:v>
      </x:c>
      <x:c r="Z957" s="32" t="n">
        <x:f>Z956+W957-X957-T957-Z956*V957/AB956</x:f>
        <x:v>876.8658917421831</x:v>
      </x:c>
      <x:c r="AA957" s="32" t="n">
        <x:f>AA956+X957-U957-AA956*V957/AB956</x:f>
        <x:v>305.33491553820664</x:v>
      </x:c>
      <x:c r="AB957" s="10" t="n">
        <x:f>Y957+Z957+AA957</x:f>
        <x:v>2086.912487352181</x:v>
      </x:c>
      <x:c r="AC957" s="8" t="n">
        <x:f>IF(AND(v01_WinterTrigger=1,D957=1,AB956/AE956&gt;=K957),1,0)</x:f>
        <x:v>0</x:v>
      </x:c>
      <x:c r="AD957" s="8" t="n">
        <x:f>H957*IF(AND(OR(AB956/AE956&gt;=v01_FissionTrigger*N957,AC957=1),AB956/AE956*v01_DaughterShare&gt;=v01_MinDaughter),MAX(1,ROUND(AE956*v01_FissionRate,0)),0)</x:f>
        <x:v>0</x:v>
      </x:c>
      <x:c r="AE957" s="8" t="n">
        <x:f>IF(H957=1,MAX(1,MIN(INDEX(v01_Smax,G957),AE956+AD957)),AE956)</x:f>
        <x:v>12</x:v>
      </x:c>
      <x:c r="AF957" s="8" t="n">
        <x:f>MAX(0,AE957-AE956)</x:f>
        <x:v>0</x:v>
      </x:c>
      <x:c r="AG957" s="9" t="str">
        <x:f>IF(AF957&gt;0,B957,"")</x:f>
      </x:c>
      <x:c r="AH957" s="9" t="n">
        <x:f>IF(F957&gt;=1,1,(1+v01_LowTiesShare*(AE957-1))/AE957)</x:f>
        <x:v>1</x:v>
      </x:c>
      <x:c r="AI957" s="32" t="n">
        <x:f>(Z957+v01_ElderCommons*INDEX(LM_Elder,G957)*AA957)*AH957</x:f>
        <x:v>1792.870638356803</x:v>
      </x:c>
      <x:c r="AJ957" s="32" t="n">
        <x:f>H957*v01_CommonsCoef*AI957^v01_CommonsExp*INDEX(LM_Commons,G957)</x:f>
        <x:v>422.6726209835101</x:v>
      </x:c>
      <x:c r="AK957" s="32" t="n">
        <x:f>H957*v01_RoleScale*Arch_Roles*(AE957*(INDEX(v01_ElderRolePerSett,G957)*v01_OutElder*INDEX(LM_Elder,G957)+INDEX(v01_ShamanPerSett,G957)*v01_OutShaman)+Z957*(INDEX(v01_PriestShare,G957)*v01_OutPriest+INDEX(v01_ScribeShare,G957)*v01_OutScribe*INDEX(LM_Scribe,G957)+INDEX(v01_ScholarShare,G957)*v01_OutScholar*INDEX(LM_Scholar,G957)+INDEX(v01_ResearcherShare,G957)*v01_OutResearcher*INDEX(LM_Researcher,G957)))</x:f>
        <x:v>60.777510144632004</x:v>
      </x:c>
      <x:c r="AL957" s="32" t="n">
        <x:f>H957*v01_RoleScale*Arch_Roles*AE957*INDEX(v01_MonasteryPerSett,G957)*v01_OutMonastery*INDEX(LM_Monastery,G957)</x:f>
        <x:v>0</x:v>
      </x:c>
      <x:c r="AM957" s="32" t="n">
        <x:f>(AJ957+AK957+AL957)/4*INDEX(LM_All,G957)*INDEX(v01_Boon,G957)*Arch_Insight</x:f>
        <x:v>145.41036779326043</x:v>
      </x:c>
      <x:c r="AN957" s="32" t="n">
        <x:f>H957*(v01_KHPerAdult*Z957+v01_KHOfCommons*AJ957/4*INDEX(LM_All,G957))*v01_KHUsable*Arch_KH</x:f>
        <x:v>30.690306210976406</x:v>
      </x:c>
      <x:c r="AO957" s="32" t="n">
        <x:f>MIN(AP956+AN957,AM957*v01_KHMaxRatio)</x:f>
        <x:v>30.690306210976406</x:v>
      </x:c>
      <x:c r="AP957" s="32" t="n">
        <x:f>AP956+AN957-AO957</x:f>
        <x:v>0</x:v>
      </x:c>
      <x:c r="AQ957" s="32" t="n">
        <x:f>AM957+AO957</x:f>
        <x:v>176.10067400423685</x:v>
      </x:c>
      <x:c r="AR957" s="10" t="n">
        <x:f>IF(H957=1,INDEX(v01_Req,G957),0)</x:f>
        <x:v>24714.473079999996</x:v>
      </x:c>
      <x:c r="AS957" s="32" t="n">
        <x:f>IF(H957=1,IF(E957=1,AS956-AR956,AS956)+AQ957,0)</x:f>
        <x:v>10162.258919170008</x:v>
      </x:c>
      <x:c r="AT957" s="11" t="n">
        <x:f>IF(AR957&gt;0,MIN(1,AS957/AR957),1)</x:f>
        <x:v>0.41118654993270887</x:v>
      </x:c>
      <x:c r="AU957" s="10" t="n">
        <x:f>AB957/INDEX(v01_RepScale,G957)</x:f>
        <x:v>208.6912487352181</x:v>
      </x:c>
      <x:c r="AV957" s="32" t="n">
        <x:f>AM957*60/v01_SeasonSeconds</x:f>
        <x:v>581.6414711730417</x:v>
      </x:c>
    </x:row>
    <x:row r="958">
      <x:c r="A958" s="8" t="n">
        <x:f>A957+1</x:f>
        <x:v>955</x:v>
      </x:c>
      <x:c r="B958" s="9" t="n">
        <x:f>A958*v01_SeasonSeconds/60</x:f>
        <x:v>238.75</x:v>
      </x:c>
      <x:c r="C958" s="9" t="n">
        <x:f>A958/4</x:f>
        <x:v>238.75</x:v>
      </x:c>
      <x:c r="D958" s="8" t="n">
        <x:f>IF(MOD(A958,4)=0,1,0)</x:f>
        <x:v>0</x:v>
      </x:c>
      <x:c r="E958" s="8" t="n">
        <x:f>IF(AND(F957&lt;=9,AS957&gt;=AR957),1,0)</x:f>
        <x:v>0</x:v>
      </x:c>
      <x:c r="F958" s="8" t="n">
        <x:f>MIN(10,F957+E958)</x:f>
        <x:v>4</x:v>
      </x:c>
      <x:c r="G958" s="8" t="n">
        <x:f>MIN(F958,9)+1</x:f>
        <x:v>5</x:v>
      </x:c>
      <x:c r="H958" s="8" t="n">
        <x:f>IF(F958&lt;=9,1,0)</x:f>
        <x:v>1</x:v>
      </x:c>
      <x:c r="I958" s="9" t="n">
        <x:f>MIN(10,F957+IF(AR957&gt;0,MIN(1,AS957/AR957),1))</x:f>
        <x:v>4.411186549932709</x:v>
      </x:c>
      <x:c r="J958" s="32" t="n">
        <x:f>INDEX(v01_FoodCap,G958)*Arch_FoodCap*EXP(v01_CapsByProject*SUMPRODUCT((Cap_Point&lt;=I958)*(Cap_Kind="Food")*Cap_Ln))</x:f>
        <x:v>250</x:v>
      </x:c>
      <x:c r="K958" s="32" t="n">
        <x:f>J958*MIN(1,v01_LeanBase*EXP(v01_CapsByProject*SUMPRODUCT((Cap_Point&lt;=I958)*(Cap_Kind="Lean")*Cap_Ln)))</x:f>
        <x:v>250</x:v>
      </x:c>
      <x:c r="L958" s="10" t="n">
        <x:f>INDEX(v01_HousingCap,G958)*EXP(v01_CapsByProject*SUMPRODUCT((Cap_Point&lt;=I958)*(Cap_Kind="Housing")*Cap_Ln))</x:f>
        <x:v>400</x:v>
      </x:c>
      <x:c r="M958" s="10" t="n">
        <x:f>INDEX(v01_GroupCap,G958)*v01_CohesionFactor*EXP(v01_CapsByProject*SUMPRODUCT((Cap_Point&lt;=I958)*(Cap_Kind="Group")*Cap_Ln))</x:f>
        <x:v>10000</x:v>
      </x:c>
      <x:c r="N958" s="32" t="n">
        <x:f>MIN(J958,L958,M958)</x:f>
        <x:v>250</x:v>
      </x:c>
      <x:c r="O958" s="10" t="n">
        <x:f>AE957*N958</x:f>
        <x:v>3000</x:v>
      </x:c>
      <x:c r="P958" s="9" t="n">
        <x:f>MIN(1,(AB957/(AE957*IF(v01_GroupInCrowding=1,N958,MIN(J958,L958))))^v01_CrowdingExp)</x:f>
        <x:v>0.113317738346371</x:v>
      </x:c>
      <x:c r="Q958" s="9" t="n">
        <x:f>IF(D958=1,INDEX(v01_WinterMult,G958),1)</x:f>
        <x:v>1</x:v>
      </x:c>
      <x:c r="R958" s="9" t="n">
        <x:f>H958*Z957*v01_WomenShare*v01_BaseFertility*INDEX(v01_FertMult,G958)*Arch_Fertility*(1-P958)</x:f>
        <x:v>27.99005155404786</x:v>
      </x:c>
      <x:c r="S958" s="9" t="n">
        <x:f>H958*Y957*INDEX(v01_MortChild,G958)/4*Q958</x:f>
        <x:v>6.332981760502538</x:v>
      </x:c>
      <x:c r="T958" s="9" t="n">
        <x:f>H958*Z957*INDEX(v01_MortAdult,G958)*Arch_AdultMort/4*Q958</x:f>
        <x:v>2.192164729355458</x:v>
      </x:c>
      <x:c r="U958" s="9" t="n">
        <x:f>H958*AA957*INDEX(v01_MortElder,G958)/4*Q958</x:f>
        <x:v>4.5800237330731</x:v>
      </x:c>
      <x:c r="V958" s="9" t="n">
        <x:f>H958*MAX(0,AB957-O958)*v01_OvercapLoss</x:f>
        <x:v>0</x:v>
      </x:c>
      <x:c r="W958" s="9" t="n">
        <x:f>H958*Y957/(v01_ChildYears*4)</x:f>
        <x:v>16.155565715567697</x:v>
      </x:c>
      <x:c r="X958" s="9" t="n">
        <x:f>H958*Z957/(v01_AdultYears*4)</x:f>
        <x:v>7.071499126953089</x:v>
      </x:c>
      <x:c r="Y958" s="32" t="n">
        <x:f>Y957+R958-S958-W958-Y957*V958/AB957</x:f>
        <x:v>910.2131841497687</x:v>
      </x:c>
      <x:c r="Z958" s="32" t="n">
        <x:f>Z957+W958-X958-T958-Z957*V958/AB957</x:f>
        <x:v>883.7577936014422</x:v>
      </x:c>
      <x:c r="AA958" s="32" t="n">
        <x:f>AA957+X958-U958-AA957*V958/AB957</x:f>
        <x:v>307.8263909320866</x:v>
      </x:c>
      <x:c r="AB958" s="10" t="n">
        <x:f>Y958+Z958+AA958</x:f>
        <x:v>2101.7973686832975</x:v>
      </x:c>
      <x:c r="AC958" s="8" t="n">
        <x:f>IF(AND(v01_WinterTrigger=1,D958=1,AB957/AE957&gt;=K958),1,0)</x:f>
        <x:v>0</x:v>
      </x:c>
      <x:c r="AD958" s="8" t="n">
        <x:f>H958*IF(AND(OR(AB957/AE957&gt;=v01_FissionTrigger*N958,AC958=1),AB957/AE957*v01_DaughterShare&gt;=v01_MinDaughter),MAX(1,ROUND(AE957*v01_FissionRate,0)),0)</x:f>
        <x:v>0</x:v>
      </x:c>
      <x:c r="AE958" s="8" t="n">
        <x:f>IF(H958=1,MAX(1,MIN(INDEX(v01_Smax,G958),AE957+AD958)),AE957)</x:f>
        <x:v>12</x:v>
      </x:c>
      <x:c r="AF958" s="8" t="n">
        <x:f>MAX(0,AE958-AE957)</x:f>
        <x:v>0</x:v>
      </x:c>
      <x:c r="AG958" s="9" t="str">
        <x:f>IF(AF958&gt;0,B958,"")</x:f>
      </x:c>
      <x:c r="AH958" s="9" t="n">
        <x:f>IF(F958&gt;=1,1,(1+v01_LowTiesShare*(AE958-1))/AE958)</x:f>
        <x:v>1</x:v>
      </x:c>
      <x:c r="AI958" s="32" t="n">
        <x:f>(Z958+v01_ElderCommons*INDEX(LM_Elder,G958)*AA958)*AH958</x:f>
        <x:v>1807.236966397702</x:v>
      </x:c>
      <x:c r="AJ958" s="32" t="n">
        <x:f>H958*v01_CommonsCoef*AI958^v01_CommonsExp*INDEX(LM_Commons,G958)</x:f>
        <x:v>425.5497516481578</x:v>
      </x:c>
      <x:c r="AK958" s="32" t="n">
        <x:f>H958*v01_RoleScale*Arch_Roles*(AE958*(INDEX(v01_ElderRolePerSett,G958)*v01_OutElder*INDEX(LM_Elder,G958)+INDEX(v01_ShamanPerSett,G958)*v01_OutShaman)+Z958*(INDEX(v01_PriestShare,G958)*v01_OutPriest+INDEX(v01_ScribeShare,G958)*v01_OutScribe*INDEX(LM_Scribe,G958)+INDEX(v01_ScholarShare,G958)*v01_OutScholar*INDEX(LM_Scholar,G958)+INDEX(v01_ResearcherShare,G958)*v01_OutResearcher*INDEX(LM_Researcher,G958)))</x:f>
        <x:v>60.972253913139554</x:v>
      </x:c>
      <x:c r="AL958" s="32" t="n">
        <x:f>H958*v01_RoleScale*Arch_Roles*AE958*INDEX(v01_MonasteryPerSett,G958)*v01_OutMonastery*INDEX(LM_Monastery,G958)</x:f>
        <x:v>0</x:v>
      </x:c>
      <x:c r="AM958" s="32" t="n">
        <x:f>(AJ958+AK958+AL958)/4*INDEX(LM_All,G958)*INDEX(v01_Boon,G958)*Arch_Insight</x:f>
        <x:v>146.33431498528512</x:v>
      </x:c>
      <x:c r="AN958" s="32" t="n">
        <x:f>H958*(v01_KHPerAdult*Z958+v01_KHOfCommons*AJ958/4*INDEX(LM_All,G958))*v01_KHUsable*Arch_KH</x:f>
        <x:v>30.931522776050482</x:v>
      </x:c>
      <x:c r="AO958" s="32" t="n">
        <x:f>MIN(AP957+AN958,AM958*v01_KHMaxRatio)</x:f>
        <x:v>30.931522776050482</x:v>
      </x:c>
      <x:c r="AP958" s="32" t="n">
        <x:f>AP957+AN958-AO958</x:f>
        <x:v>0</x:v>
      </x:c>
      <x:c r="AQ958" s="32" t="n">
        <x:f>AM958+AO958</x:f>
        <x:v>177.2658377613356</x:v>
      </x:c>
      <x:c r="AR958" s="10" t="n">
        <x:f>IF(H958=1,INDEX(v01_Req,G958),0)</x:f>
        <x:v>24714.473079999996</x:v>
      </x:c>
      <x:c r="AS958" s="32" t="n">
        <x:f>IF(H958=1,IF(E958=1,AS957-AR957,AS957)+AQ958,0)</x:f>
        <x:v>10339.524756931343</x:v>
      </x:c>
      <x:c r="AT958" s="11" t="n">
        <x:f>IF(AR958&gt;0,MIN(1,AS958/AR958),1)</x:f>
        <x:v>0.418359101707838</x:v>
      </x:c>
      <x:c r="AU958" s="10" t="n">
        <x:f>AB958/INDEX(v01_RepScale,G958)</x:f>
        <x:v>210.17973686832974</x:v>
      </x:c>
      <x:c r="AV958" s="32" t="n">
        <x:f>AM958*60/v01_SeasonSeconds</x:f>
        <x:v>585.3372599411404</x:v>
      </x:c>
    </x:row>
    <x:row r="959">
      <x:c r="A959" s="8" t="n">
        <x:f>A958+1</x:f>
        <x:v>956</x:v>
      </x:c>
      <x:c r="B959" s="9" t="n">
        <x:f>A959*v01_SeasonSeconds/60</x:f>
        <x:v>239</x:v>
      </x:c>
      <x:c r="C959" s="9" t="n">
        <x:f>A959/4</x:f>
        <x:v>239</x:v>
      </x:c>
      <x:c r="D959" s="8" t="n">
        <x:f>IF(MOD(A959,4)=0,1,0)</x:f>
        <x:v>1</x:v>
      </x:c>
      <x:c r="E959" s="8" t="n">
        <x:f>IF(AND(F958&lt;=9,AS958&gt;=AR958),1,0)</x:f>
        <x:v>0</x:v>
      </x:c>
      <x:c r="F959" s="8" t="n">
        <x:f>MIN(10,F958+E959)</x:f>
        <x:v>4</x:v>
      </x:c>
      <x:c r="G959" s="8" t="n">
        <x:f>MIN(F959,9)+1</x:f>
        <x:v>5</x:v>
      </x:c>
      <x:c r="H959" s="8" t="n">
        <x:f>IF(F959&lt;=9,1,0)</x:f>
        <x:v>1</x:v>
      </x:c>
      <x:c r="I959" s="9" t="n">
        <x:f>MIN(10,F958+IF(AR958&gt;0,MIN(1,AS958/AR958),1))</x:f>
        <x:v>4.418359101707838</x:v>
      </x:c>
      <x:c r="J959" s="32" t="n">
        <x:f>INDEX(v01_FoodCap,G959)*Arch_FoodCap*EXP(v01_CapsByProject*SUMPRODUCT((Cap_Point&lt;=I959)*(Cap_Kind="Food")*Cap_Ln))</x:f>
        <x:v>250</x:v>
      </x:c>
      <x:c r="K959" s="32" t="n">
        <x:f>J959*MIN(1,v01_LeanBase*EXP(v01_CapsByProject*SUMPRODUCT((Cap_Point&lt;=I959)*(Cap_Kind="Lean")*Cap_Ln)))</x:f>
        <x:v>250</x:v>
      </x:c>
      <x:c r="L959" s="10" t="n">
        <x:f>INDEX(v01_HousingCap,G959)*EXP(v01_CapsByProject*SUMPRODUCT((Cap_Point&lt;=I959)*(Cap_Kind="Housing")*Cap_Ln))</x:f>
        <x:v>400</x:v>
      </x:c>
      <x:c r="M959" s="10" t="n">
        <x:f>INDEX(v01_GroupCap,G959)*v01_CohesionFactor*EXP(v01_CapsByProject*SUMPRODUCT((Cap_Point&lt;=I959)*(Cap_Kind="Group")*Cap_Ln))</x:f>
        <x:v>10000</x:v>
      </x:c>
      <x:c r="N959" s="32" t="n">
        <x:f>MIN(J959,L959,M959)</x:f>
        <x:v>250</x:v>
      </x:c>
      <x:c r="O959" s="10" t="n">
        <x:f>AE958*N959</x:f>
        <x:v>3000</x:v>
      </x:c>
      <x:c r="P959" s="9" t="n">
        <x:f>MIN(1,(AB958/(AE958*IF(v01_GroupInCrowding=1,N959,MIN(J959,L959))))^v01_CrowdingExp)</x:f>
        <x:v>0.11825446173751798</x:v>
      </x:c>
      <x:c r="Q959" s="9" t="n">
        <x:f>IF(D959=1,INDEX(v01_WinterMult,G959),1)</x:f>
        <x:v>1</x:v>
      </x:c>
      <x:c r="R959" s="9" t="n">
        <x:f>H959*Z958*v01_WomenShare*v01_BaseFertility*INDEX(v01_FertMult,G959)*Arch_Fertility*(1-P959)</x:f>
        <x:v>28.052981690859617</x:v>
      </x:c>
      <x:c r="S959" s="9" t="n">
        <x:f>H959*Y958*INDEX(v01_MortChild,G959)/4*Q959</x:f>
        <x:v>6.371492289048382</x:v>
      </x:c>
      <x:c r="T959" s="9" t="n">
        <x:f>H959*Z958*INDEX(v01_MortAdult,G959)*Arch_AdultMort/4*Q959</x:f>
        <x:v>2.2093944840036057</x:v>
      </x:c>
      <x:c r="U959" s="9" t="n">
        <x:f>H959*AA958*INDEX(v01_MortElder,G959)/4*Q959</x:f>
        <x:v>4.617395863981299</x:v>
      </x:c>
      <x:c r="V959" s="9" t="n">
        <x:f>H959*MAX(0,AB958-O959)*v01_OvercapLoss</x:f>
        <x:v>0</x:v>
      </x:c>
      <x:c r="W959" s="9" t="n">
        <x:f>H959*Y958/(v01_ChildYears*4)</x:f>
        <x:v>16.2538068598173</x:v>
      </x:c>
      <x:c r="X959" s="9" t="n">
        <x:f>H959*Z958/(v01_AdultYears*4)</x:f>
        <x:v>7.127078980656792</x:v>
      </x:c>
      <x:c r="Y959" s="32" t="n">
        <x:f>Y958+R959-S959-W959-Y958*V959/AB958</x:f>
        <x:v>915.6408666917627</x:v>
      </x:c>
      <x:c r="Z959" s="32" t="n">
        <x:f>Z958+W959-X959-T959-Z958*V959/AB958</x:f>
        <x:v>890.675126996599</x:v>
      </x:c>
      <x:c r="AA959" s="32" t="n">
        <x:f>AA958+X959-U959-AA958*V959/AB958</x:f>
        <x:v>310.3360740487621</x:v>
      </x:c>
      <x:c r="AB959" s="10" t="n">
        <x:f>Y959+Z959+AA959</x:f>
        <x:v>2116.6520677371236</x:v>
      </x:c>
      <x:c r="AC959" s="8" t="n">
        <x:f>IF(AND(v01_WinterTrigger=1,D959=1,AB958/AE958&gt;=K959),1,0)</x:f>
        <x:v>0</x:v>
      </x:c>
      <x:c r="AD959" s="8" t="n">
        <x:f>H959*IF(AND(OR(AB958/AE958&gt;=v01_FissionTrigger*N959,AC959=1),AB958/AE958*v01_DaughterShare&gt;=v01_MinDaughter),MAX(1,ROUND(AE958*v01_FissionRate,0)),0)</x:f>
        <x:v>0</x:v>
      </x:c>
      <x:c r="AE959" s="8" t="n">
        <x:f>IF(H959=1,MAX(1,MIN(INDEX(v01_Smax,G959),AE958+AD959)),AE958)</x:f>
        <x:v>12</x:v>
      </x:c>
      <x:c r="AF959" s="8" t="n">
        <x:f>MAX(0,AE959-AE958)</x:f>
        <x:v>0</x:v>
      </x:c>
      <x:c r="AG959" s="9" t="str">
        <x:f>IF(AF959&gt;0,B959,"")</x:f>
      </x:c>
      <x:c r="AH959" s="9" t="n">
        <x:f>IF(F959&gt;=1,1,(1+v01_LowTiesShare*(AE959-1))/AE959)</x:f>
        <x:v>1</x:v>
      </x:c>
      <x:c r="AI959" s="32" t="n">
        <x:f>(Z959+v01_ElderCommons*INDEX(LM_Elder,G959)*AA959)*AH959</x:f>
        <x:v>1821.6833491428852</x:v>
      </x:c>
      <x:c r="AJ959" s="32" t="n">
        <x:f>H959*v01_CommonsCoef*AI959^v01_CommonsExp*INDEX(LM_Commons,G959)</x:f>
        <x:v>428.43945745295093</x:v>
      </x:c>
      <x:c r="AK959" s="32" t="n">
        <x:f>H959*v01_RoleScale*Arch_Roles*(AE959*(INDEX(v01_ElderRolePerSett,G959)*v01_OutElder*INDEX(LM_Elder,G959)+INDEX(v01_ShamanPerSett,G959)*v01_OutShaman)+Z959*(INDEX(v01_PriestShare,G959)*v01_OutPriest+INDEX(v01_ScribeShare,G959)*v01_OutScribe*INDEX(LM_Scribe,G959)+INDEX(v01_ScholarShare,G959)*v01_OutScholar*INDEX(LM_Scholar,G959)+INDEX(v01_ResearcherShare,G959)*v01_OutResearcher*INDEX(LM_Researcher,G959)))</x:f>
        <x:v>61.16771629796531</x:v>
      </x:c>
      <x:c r="AL959" s="32" t="n">
        <x:f>H959*v01_RoleScale*Arch_Roles*AE959*INDEX(v01_MonasteryPerSett,G959)*v01_OutMonastery*INDEX(LM_Monastery,G959)</x:f>
        <x:v>0</x:v>
      </x:c>
      <x:c r="AM959" s="32" t="n">
        <x:f>(AJ959+AK959+AL959)/4*INDEX(LM_All,G959)*INDEX(v01_Boon,G959)*Arch_Insight</x:f>
        <x:v>147.26226062491023</x:v>
      </x:c>
      <x:c r="AN959" s="32" t="n">
        <x:f>H959*(v01_KHPerAdult*Z959+v01_KHOfCommons*AJ959/4*INDEX(LM_All,G959))*v01_KHUsable*Arch_KH</x:f>
        <x:v>31.17362944488097</x:v>
      </x:c>
      <x:c r="AO959" s="32" t="n">
        <x:f>MIN(AP958+AN959,AM959*v01_KHMaxRatio)</x:f>
        <x:v>31.17362944488097</x:v>
      </x:c>
      <x:c r="AP959" s="32" t="n">
        <x:f>AP958+AN959-AO959</x:f>
        <x:v>0</x:v>
      </x:c>
      <x:c r="AQ959" s="32" t="n">
        <x:f>AM959+AO959</x:f>
        <x:v>178.43589006979118</x:v>
      </x:c>
      <x:c r="AR959" s="10" t="n">
        <x:f>IF(H959=1,INDEX(v01_Req,G959),0)</x:f>
        <x:v>24714.473079999996</x:v>
      </x:c>
      <x:c r="AS959" s="32" t="n">
        <x:f>IF(H959=1,IF(E959=1,AS958-AR958,AS958)+AQ959,0)</x:f>
        <x:v>10517.960647001135</x:v>
      </x:c>
      <x:c r="AT959" s="11" t="n">
        <x:f>IF(AR959&gt;0,MIN(1,AS959/AR959),1)</x:f>
        <x:v>0.4255789962810381</x:v>
      </x:c>
      <x:c r="AU959" s="10" t="n">
        <x:f>AB959/INDEX(v01_RepScale,G959)</x:f>
        <x:v>211.66520677371236</x:v>
      </x:c>
      <x:c r="AV959" s="32" t="n">
        <x:f>AM959*60/v01_SeasonSeconds</x:f>
        <x:v>589.0490424996409</x:v>
      </x:c>
    </x:row>
    <x:row r="960">
      <x:c r="A960" s="8" t="n">
        <x:f>A959+1</x:f>
        <x:v>957</x:v>
      </x:c>
      <x:c r="B960" s="9" t="n">
        <x:f>A960*v01_SeasonSeconds/60</x:f>
        <x:v>239.25</x:v>
      </x:c>
      <x:c r="C960" s="9" t="n">
        <x:f>A960/4</x:f>
        <x:v>239.25</x:v>
      </x:c>
      <x:c r="D960" s="8" t="n">
        <x:f>IF(MOD(A960,4)=0,1,0)</x:f>
        <x:v>0</x:v>
      </x:c>
      <x:c r="E960" s="8" t="n">
        <x:f>IF(AND(F959&lt;=9,AS959&gt;=AR959),1,0)</x:f>
        <x:v>0</x:v>
      </x:c>
      <x:c r="F960" s="8" t="n">
        <x:f>MIN(10,F959+E960)</x:f>
        <x:v>4</x:v>
      </x:c>
      <x:c r="G960" s="8" t="n">
        <x:f>MIN(F960,9)+1</x:f>
        <x:v>5</x:v>
      </x:c>
      <x:c r="H960" s="8" t="n">
        <x:f>IF(F960&lt;=9,1,0)</x:f>
        <x:v>1</x:v>
      </x:c>
      <x:c r="I960" s="9" t="n">
        <x:f>MIN(10,F959+IF(AR959&gt;0,MIN(1,AS959/AR959),1))</x:f>
        <x:v>4.425578996281038</x:v>
      </x:c>
      <x:c r="J960" s="32" t="n">
        <x:f>INDEX(v01_FoodCap,G960)*Arch_FoodCap*EXP(v01_CapsByProject*SUMPRODUCT((Cap_Point&lt;=I960)*(Cap_Kind="Food")*Cap_Ln))</x:f>
        <x:v>250</x:v>
      </x:c>
      <x:c r="K960" s="32" t="n">
        <x:f>J960*MIN(1,v01_LeanBase*EXP(v01_CapsByProject*SUMPRODUCT((Cap_Point&lt;=I960)*(Cap_Kind="Lean")*Cap_Ln)))</x:f>
        <x:v>250</x:v>
      </x:c>
      <x:c r="L960" s="10" t="n">
        <x:f>INDEX(v01_HousingCap,G960)*EXP(v01_CapsByProject*SUMPRODUCT((Cap_Point&lt;=I960)*(Cap_Kind="Housing")*Cap_Ln))</x:f>
        <x:v>400</x:v>
      </x:c>
      <x:c r="M960" s="10" t="n">
        <x:f>INDEX(v01_GroupCap,G960)*v01_CohesionFactor*EXP(v01_CapsByProject*SUMPRODUCT((Cap_Point&lt;=I960)*(Cap_Kind="Group")*Cap_Ln))</x:f>
        <x:v>10000</x:v>
      </x:c>
      <x:c r="N960" s="32" t="n">
        <x:f>MIN(J960,L960,M960)</x:f>
        <x:v>250</x:v>
      </x:c>
      <x:c r="O960" s="10" t="n">
        <x:f>AE959*N960</x:f>
        <x:v>3000</x:v>
      </x:c>
      <x:c r="P960" s="9" t="n">
        <x:f>MIN(1,(AB959/(AE959*IF(v01_GroupInCrowding=1,N960,MIN(J960,L960))))^v01_CrowdingExp)</x:f>
        <x:v>0.12335856898817248</x:v>
      </x:c>
      <x:c r="Q960" s="9" t="n">
        <x:f>IF(D960=1,INDEX(v01_WinterMult,G960),1)</x:f>
        <x:v>1</x:v>
      </x:c>
      <x:c r="R960" s="9" t="n">
        <x:f>H960*Z959*v01_WomenShare*v01_BaseFertility*INDEX(v01_FertMult,G960)*Arch_Fertility*(1-P960)</x:f>
        <x:v>28.10889784428983</x:v>
      </x:c>
      <x:c r="S960" s="9" t="n">
        <x:f>H960*Y959*INDEX(v01_MortChild,G960)/4*Q960</x:f>
        <x:v>6.409486066842339</x:v>
      </x:c>
      <x:c r="T960" s="9" t="n">
        <x:f>H960*Z959*INDEX(v01_MortAdult,G960)*Arch_AdultMort/4*Q960</x:f>
        <x:v>2.2266878174914977</x:v>
      </x:c>
      <x:c r="U960" s="9" t="n">
        <x:f>H960*AA959*INDEX(v01_MortElder,G960)/4*Q960</x:f>
        <x:v>4.655041110731431</x:v>
      </x:c>
      <x:c r="V960" s="9" t="n">
        <x:f>H960*MAX(0,AB959-O960)*v01_OvercapLoss</x:f>
        <x:v>0</x:v>
      </x:c>
      <x:c r="W960" s="9" t="n">
        <x:f>H960*Y959/(v01_ChildYears*4)</x:f>
        <x:v>16.350729762352906</x:v>
      </x:c>
      <x:c r="X960" s="9" t="n">
        <x:f>H960*Z959/(v01_AdultYears*4)</x:f>
        <x:v>7.182863927391928</x:v>
      </x:c>
      <x:c r="Y960" s="32" t="n">
        <x:f>Y959+R960-S960-W960-Y959*V960/AB959</x:f>
        <x:v>920.9895487068572</x:v>
      </x:c>
      <x:c r="Z960" s="32" t="n">
        <x:f>Z959+W960-X960-T960-Z959*V960/AB959</x:f>
        <x:v>897.6163050140684</x:v>
      </x:c>
      <x:c r="AA960" s="32" t="n">
        <x:f>AA959+X960-U960-AA959*V960/AB959</x:f>
        <x:v>312.8638968654226</x:v>
      </x:c>
      <x:c r="AB960" s="10" t="n">
        <x:f>Y960+Z960+AA960</x:f>
        <x:v>2131.4697505863483</x:v>
      </x:c>
      <x:c r="AC960" s="8" t="n">
        <x:f>IF(AND(v01_WinterTrigger=1,D960=1,AB959/AE959&gt;=K960),1,0)</x:f>
        <x:v>0</x:v>
      </x:c>
      <x:c r="AD960" s="8" t="n">
        <x:f>H960*IF(AND(OR(AB959/AE959&gt;=v01_FissionTrigger*N960,AC960=1),AB959/AE959*v01_DaughterShare&gt;=v01_MinDaughter),MAX(1,ROUND(AE959*v01_FissionRate,0)),0)</x:f>
        <x:v>0</x:v>
      </x:c>
      <x:c r="AE960" s="8" t="n">
        <x:f>IF(H960=1,MAX(1,MIN(INDEX(v01_Smax,G960),AE959+AD960)),AE959)</x:f>
        <x:v>12</x:v>
      </x:c>
      <x:c r="AF960" s="8" t="n">
        <x:f>MAX(0,AE960-AE959)</x:f>
        <x:v>0</x:v>
      </x:c>
      <x:c r="AG960" s="9" t="str">
        <x:f>IF(AF960&gt;0,B960,"")</x:f>
      </x:c>
      <x:c r="AH960" s="9" t="n">
        <x:f>IF(F960&gt;=1,1,(1+v01_LowTiesShare*(AE960-1))/AE960)</x:f>
        <x:v>1</x:v>
      </x:c>
      <x:c r="AI960" s="32" t="n">
        <x:f>(Z960+v01_ElderCommons*INDEX(LM_Elder,G960)*AA960)*AH960</x:f>
        <x:v>1836.2079956103362</x:v>
      </x:c>
      <x:c r="AJ960" s="32" t="n">
        <x:f>H960*v01_CommonsCoef*AI960^v01_CommonsExp*INDEX(LM_Commons,G960)</x:f>
        <x:v>431.34135501367297</x:v>
      </x:c>
      <x:c r="AK960" s="32" t="n">
        <x:f>H960*v01_RoleScale*Arch_Roles*(AE960*(INDEX(v01_ElderRolePerSett,G960)*v01_OutElder*INDEX(LM_Elder,G960)+INDEX(v01_ShamanPerSett,G960)*v01_OutShaman)+Z960*(INDEX(v01_PriestShare,G960)*v01_OutPriest+INDEX(v01_ScribeShare,G960)*v01_OutScribe*INDEX(LM_Scribe,G960)+INDEX(v01_ScholarShare,G960)*v01_OutScholar*INDEX(LM_Scholar,G960)+INDEX(v01_ResearcherShare,G960)*v01_OutResearcher*INDEX(LM_Researcher,G960)))</x:f>
        <x:v>61.363852457853845</x:v>
      </x:c>
      <x:c r="AL960" s="32" t="n">
        <x:f>H960*v01_RoleScale*Arch_Roles*AE960*INDEX(v01_MonasteryPerSett,G960)*v01_OutMonastery*INDEX(LM_Monastery,G960)</x:f>
        <x:v>0</x:v>
      </x:c>
      <x:c r="AM960" s="32" t="n">
        <x:f>(AJ960+AK960+AL960)/4*INDEX(LM_All,G960)*INDEX(v01_Boon,G960)*Arch_Insight</x:f>
        <x:v>148.1940759120396</x:v>
      </x:c>
      <x:c r="AN960" s="32" t="n">
        <x:f>H960*(v01_KHPerAdult*Z960+v01_KHOfCommons*AJ960/4*INDEX(LM_All,G960))*v01_KHUsable*Arch_KH</x:f>
        <x:v>31.41657067549239</x:v>
      </x:c>
      <x:c r="AO960" s="32" t="n">
        <x:f>MIN(AP959+AN960,AM960*v01_KHMaxRatio)</x:f>
        <x:v>31.41657067549239</x:v>
      </x:c>
      <x:c r="AP960" s="32" t="n">
        <x:f>AP959+AN960-AO960</x:f>
        <x:v>0</x:v>
      </x:c>
      <x:c r="AQ960" s="32" t="n">
        <x:f>AM960+AO960</x:f>
        <x:v>179.610646587532</x:v>
      </x:c>
      <x:c r="AR960" s="10" t="n">
        <x:f>IF(H960=1,INDEX(v01_Req,G960),0)</x:f>
        <x:v>24714.473079999996</x:v>
      </x:c>
      <x:c r="AS960" s="32" t="n">
        <x:f>IF(H960=1,IF(E960=1,AS959-AR959,AS959)+AQ960,0)</x:f>
        <x:v>10697.571293588668</x:v>
      </x:c>
      <x:c r="AT960" s="11" t="n">
        <x:f>IF(AR960&gt;0,MIN(1,AS960/AR960),1)</x:f>
        <x:v>0.4328464239945944</x:v>
      </x:c>
      <x:c r="AU960" s="10" t="n">
        <x:f>AB960/INDEX(v01_RepScale,G960)</x:f>
        <x:v>213.14697505863484</x:v>
      </x:c>
      <x:c r="AV960" s="32" t="n">
        <x:f>AM960*60/v01_SeasonSeconds</x:f>
        <x:v>592.7763036481584</x:v>
      </x:c>
    </x:row>
    <x:row r="961">
      <x:c r="A961" s="8" t="n">
        <x:f>A960+1</x:f>
        <x:v>958</x:v>
      </x:c>
      <x:c r="B961" s="9" t="n">
        <x:f>A961*v01_SeasonSeconds/60</x:f>
        <x:v>239.5</x:v>
      </x:c>
      <x:c r="C961" s="9" t="n">
        <x:f>A961/4</x:f>
        <x:v>239.5</x:v>
      </x:c>
      <x:c r="D961" s="8" t="n">
        <x:f>IF(MOD(A961,4)=0,1,0)</x:f>
        <x:v>0</x:v>
      </x:c>
      <x:c r="E961" s="8" t="n">
        <x:f>IF(AND(F960&lt;=9,AS960&gt;=AR960),1,0)</x:f>
        <x:v>0</x:v>
      </x:c>
      <x:c r="F961" s="8" t="n">
        <x:f>MIN(10,F960+E961)</x:f>
        <x:v>4</x:v>
      </x:c>
      <x:c r="G961" s="8" t="n">
        <x:f>MIN(F961,9)+1</x:f>
        <x:v>5</x:v>
      </x:c>
      <x:c r="H961" s="8" t="n">
        <x:f>IF(F961&lt;=9,1,0)</x:f>
        <x:v>1</x:v>
      </x:c>
      <x:c r="I961" s="9" t="n">
        <x:f>MIN(10,F960+IF(AR960&gt;0,MIN(1,AS960/AR960),1))</x:f>
        <x:v>4.432846423994595</x:v>
      </x:c>
      <x:c r="J961" s="32" t="n">
        <x:f>INDEX(v01_FoodCap,G961)*Arch_FoodCap*EXP(v01_CapsByProject*SUMPRODUCT((Cap_Point&lt;=I961)*(Cap_Kind="Food")*Cap_Ln))</x:f>
        <x:v>250</x:v>
      </x:c>
      <x:c r="K961" s="32" t="n">
        <x:f>J961*MIN(1,v01_LeanBase*EXP(v01_CapsByProject*SUMPRODUCT((Cap_Point&lt;=I961)*(Cap_Kind="Lean")*Cap_Ln)))</x:f>
        <x:v>250</x:v>
      </x:c>
      <x:c r="L961" s="10" t="n">
        <x:f>INDEX(v01_HousingCap,G961)*EXP(v01_CapsByProject*SUMPRODUCT((Cap_Point&lt;=I961)*(Cap_Kind="Housing")*Cap_Ln))</x:f>
        <x:v>400</x:v>
      </x:c>
      <x:c r="M961" s="10" t="n">
        <x:f>INDEX(v01_GroupCap,G961)*v01_CohesionFactor*EXP(v01_CapsByProject*SUMPRODUCT((Cap_Point&lt;=I961)*(Cap_Kind="Group")*Cap_Ln))</x:f>
        <x:v>10000</x:v>
      </x:c>
      <x:c r="N961" s="32" t="n">
        <x:f>MIN(J961,L961,M961)</x:f>
        <x:v>250</x:v>
      </x:c>
      <x:c r="O961" s="10" t="n">
        <x:f>AE960*N961</x:f>
        <x:v>3000</x:v>
      </x:c>
      <x:c r="P961" s="9" t="n">
        <x:f>MIN(1,(AB960/(AE960*IF(v01_GroupInCrowding=1,N961,MIN(J961,L961))))^v01_CrowdingExp)</x:f>
        <x:v>0.1286315530836269</x:v>
      </x:c>
      <x:c r="Q961" s="9" t="n">
        <x:f>IF(D961=1,INDEX(v01_WinterMult,G961),1)</x:f>
        <x:v>1</x:v>
      </x:c>
      <x:c r="R961" s="9" t="n">
        <x:f>H961*Z960*v01_WomenShare*v01_BaseFertility*INDEX(v01_FertMult,G961)*Arch_Fertility*(1-P961)</x:f>
        <x:v>28.157562922569202</x:v>
      </x:c>
      <x:c r="S961" s="9" t="n">
        <x:f>H961*Y960*INDEX(v01_MortChild,G961)/4*Q961</x:f>
        <x:v>6.4469268409480005</x:v>
      </x:c>
      <x:c r="T961" s="9" t="n">
        <x:f>H961*Z960*INDEX(v01_MortAdult,G961)*Arch_AdultMort/4*Q961</x:f>
        <x:v>2.244040762535171</x:v>
      </x:c>
      <x:c r="U961" s="9" t="n">
        <x:f>H961*AA960*INDEX(v01_MortElder,G961)/4*Q961</x:f>
        <x:v>4.692958452981339</x:v>
      </x:c>
      <x:c r="V961" s="9" t="n">
        <x:f>H961*MAX(0,AB960-O961)*v01_OvercapLoss</x:f>
        <x:v>0</x:v>
      </x:c>
      <x:c r="W961" s="9" t="n">
        <x:f>H961*Y960/(v01_ChildYears*4)</x:f>
        <x:v>16.44624194119388</x:v>
      </x:c>
      <x:c r="X961" s="9" t="n">
        <x:f>H961*Z960/(v01_AdultYears*4)</x:f>
        <x:v>7.2388411694682935</x:v>
      </x:c>
      <x:c r="Y961" s="32" t="n">
        <x:f>Y960+R961-S961-W961-Y960*V961/AB960</x:f>
        <x:v>926.2539428472846</x:v>
      </x:c>
      <x:c r="Z961" s="32" t="n">
        <x:f>Z960+W961-X961-T961-Z960*V961/AB960</x:f>
        <x:v>904.5796650232588</x:v>
      </x:c>
      <x:c r="AA961" s="32" t="n">
        <x:f>AA960+X961-U961-AA960*V961/AB960</x:f>
        <x:v>315.40977958190956</x:v>
      </x:c>
      <x:c r="AB961" s="10" t="n">
        <x:f>Y961+Z961+AA961</x:f>
        <x:v>2146.243387452453</x:v>
      </x:c>
      <x:c r="AC961" s="8" t="n">
        <x:f>IF(AND(v01_WinterTrigger=1,D961=1,AB960/AE960&gt;=K961),1,0)</x:f>
        <x:v>0</x:v>
      </x:c>
      <x:c r="AD961" s="8" t="n">
        <x:f>H961*IF(AND(OR(AB960/AE960&gt;=v01_FissionTrigger*N961,AC961=1),AB960/AE960*v01_DaughterShare&gt;=v01_MinDaughter),MAX(1,ROUND(AE960*v01_FissionRate,0)),0)</x:f>
        <x:v>0</x:v>
      </x:c>
      <x:c r="AE961" s="8" t="n">
        <x:f>IF(H961=1,MAX(1,MIN(INDEX(v01_Smax,G961),AE960+AD961)),AE960)</x:f>
        <x:v>12</x:v>
      </x:c>
      <x:c r="AF961" s="8" t="n">
        <x:f>MAX(0,AE961-AE960)</x:f>
        <x:v>0</x:v>
      </x:c>
      <x:c r="AG961" s="9" t="str">
        <x:f>IF(AF961&gt;0,B961,"")</x:f>
      </x:c>
      <x:c r="AH961" s="9" t="n">
        <x:f>IF(F961&gt;=1,1,(1+v01_LowTiesShare*(AE961-1))/AE961)</x:f>
        <x:v>1</x:v>
      </x:c>
      <x:c r="AI961" s="32" t="n">
        <x:f>(Z961+v01_ElderCommons*INDEX(LM_Elder,G961)*AA961)*AH961</x:f>
        <x:v>1850.8090037689876</x:v>
      </x:c>
      <x:c r="AJ961" s="32" t="n">
        <x:f>H961*v01_CommonsCoef*AI961^v01_CommonsExp*INDEX(LM_Commons,G961)</x:f>
        <x:v>434.2550406885982</x:v>
      </x:c>
      <x:c r="AK961" s="32" t="n">
        <x:f>H961*v01_RoleScale*Arch_Roles*(AE961*(INDEX(v01_ElderRolePerSett,G961)*v01_OutElder*INDEX(LM_Elder,G961)+INDEX(v01_ShamanPerSett,G961)*v01_OutShaman)+Z961*(INDEX(v01_PriestShare,G961)*v01_OutPriest+INDEX(v01_ScribeShare,G961)*v01_OutScribe*INDEX(LM_Scribe,G961)+INDEX(v01_ScholarShare,G961)*v01_OutScholar*INDEX(LM_Scholar,G961)+INDEX(v01_ResearcherShare,G961)*v01_OutResearcher*INDEX(LM_Researcher,G961)))</x:f>
        <x:v>61.560615412021946</x:v>
      </x:c>
      <x:c r="AL961" s="32" t="n">
        <x:f>H961*v01_RoleScale*Arch_Roles*AE961*INDEX(v01_MonasteryPerSett,G961)*v01_OutMonastery*INDEX(LM_Monastery,G961)</x:f>
        <x:v>0</x:v>
      </x:c>
      <x:c r="AM961" s="32" t="n">
        <x:f>(AJ961+AK961+AL961)/4*INDEX(LM_All,G961)*INDEX(v01_Boon,G961)*Arch_Insight</x:f>
        <x:v>149.129625310078</x:v>
      </x:c>
      <x:c r="AN961" s="32" t="n">
        <x:f>H961*(v01_KHPerAdult*Z961+v01_KHOfCommons*AJ961/4*INDEX(LM_All,G961))*v01_KHUsable*Arch_KH</x:f>
        <x:v>31.660288275814057</x:v>
      </x:c>
      <x:c r="AO961" s="32" t="n">
        <x:f>MIN(AP960+AN961,AM961*v01_KHMaxRatio)</x:f>
        <x:v>31.660288275814057</x:v>
      </x:c>
      <x:c r="AP961" s="32" t="n">
        <x:f>AP960+AN961-AO961</x:f>
        <x:v>0</x:v>
      </x:c>
      <x:c r="AQ961" s="32" t="n">
        <x:f>AM961+AO961</x:f>
        <x:v>180.78991358589207</x:v>
      </x:c>
      <x:c r="AR961" s="10" t="n">
        <x:f>IF(H961=1,INDEX(v01_Req,G961),0)</x:f>
        <x:v>24714.473079999996</x:v>
      </x:c>
      <x:c r="AS961" s="32" t="n">
        <x:f>IF(H961=1,IF(E961=1,AS960-AR960,AS960)+AQ961,0)</x:f>
        <x:v>10878.36120717456</x:v>
      </x:c>
      <x:c r="AT961" s="11" t="n">
        <x:f>IF(AR961&gt;0,MIN(1,AS961/AR961),1)</x:f>
        <x:v>0.44016156735211937</x:v>
      </x:c>
      <x:c r="AU961" s="10" t="n">
        <x:f>AB961/INDEX(v01_RepScale,G961)</x:f>
        <x:v>214.62433874524532</x:v>
      </x:c>
      <x:c r="AV961" s="32" t="n">
        <x:f>AM961*60/v01_SeasonSeconds</x:f>
        <x:v>596.518501240312</x:v>
      </x:c>
    </x:row>
    <x:row r="962">
      <x:c r="A962" s="8" t="n">
        <x:f>A961+1</x:f>
        <x:v>959</x:v>
      </x:c>
      <x:c r="B962" s="9" t="n">
        <x:f>A962*v01_SeasonSeconds/60</x:f>
        <x:v>239.75</x:v>
      </x:c>
      <x:c r="C962" s="9" t="n">
        <x:f>A962/4</x:f>
        <x:v>239.75</x:v>
      </x:c>
      <x:c r="D962" s="8" t="n">
        <x:f>IF(MOD(A962,4)=0,1,0)</x:f>
        <x:v>0</x:v>
      </x:c>
      <x:c r="E962" s="8" t="n">
        <x:f>IF(AND(F961&lt;=9,AS961&gt;=AR961),1,0)</x:f>
        <x:v>0</x:v>
      </x:c>
      <x:c r="F962" s="8" t="n">
        <x:f>MIN(10,F961+E962)</x:f>
        <x:v>4</x:v>
      </x:c>
      <x:c r="G962" s="8" t="n">
        <x:f>MIN(F962,9)+1</x:f>
        <x:v>5</x:v>
      </x:c>
      <x:c r="H962" s="8" t="n">
        <x:f>IF(F962&lt;=9,1,0)</x:f>
        <x:v>1</x:v>
      </x:c>
      <x:c r="I962" s="9" t="n">
        <x:f>MIN(10,F961+IF(AR961&gt;0,MIN(1,AS961/AR961),1))</x:f>
        <x:v>4.44016156735212</x:v>
      </x:c>
      <x:c r="J962" s="32" t="n">
        <x:f>INDEX(v01_FoodCap,G962)*Arch_FoodCap*EXP(v01_CapsByProject*SUMPRODUCT((Cap_Point&lt;=I962)*(Cap_Kind="Food")*Cap_Ln))</x:f>
        <x:v>250</x:v>
      </x:c>
      <x:c r="K962" s="32" t="n">
        <x:f>J962*MIN(1,v01_LeanBase*EXP(v01_CapsByProject*SUMPRODUCT((Cap_Point&lt;=I962)*(Cap_Kind="Lean")*Cap_Ln)))</x:f>
        <x:v>250</x:v>
      </x:c>
      <x:c r="L962" s="10" t="n">
        <x:f>INDEX(v01_HousingCap,G962)*EXP(v01_CapsByProject*SUMPRODUCT((Cap_Point&lt;=I962)*(Cap_Kind="Housing")*Cap_Ln))</x:f>
        <x:v>400</x:v>
      </x:c>
      <x:c r="M962" s="10" t="n">
        <x:f>INDEX(v01_GroupCap,G962)*v01_CohesionFactor*EXP(v01_CapsByProject*SUMPRODUCT((Cap_Point&lt;=I962)*(Cap_Kind="Group")*Cap_Ln))</x:f>
        <x:v>10000</x:v>
      </x:c>
      <x:c r="N962" s="32" t="n">
        <x:f>MIN(J962,L962,M962)</x:f>
        <x:v>250</x:v>
      </x:c>
      <x:c r="O962" s="10" t="n">
        <x:f>AE961*N962</x:f>
        <x:v>3000</x:v>
      </x:c>
      <x:c r="P962" s="9" t="n">
        <x:f>MIN(1,(AB961/(AE961*IF(v01_GroupInCrowding=1,N962,MIN(J962,L962))))^v01_CrowdingExp)</x:f>
        <x:v>0.13407453282847018</x:v>
      </x:c>
      <x:c r="Q962" s="9" t="n">
        <x:f>IF(D962=1,INDEX(v01_WinterMult,G962),1)</x:f>
        <x:v>1</x:v>
      </x:c>
      <x:c r="R962" s="9" t="n">
        <x:f>H962*Z961*v01_WomenShare*v01_BaseFertility*INDEX(v01_FertMult,G962)*Arch_Fertility*(1-P962)</x:f>
        <x:v>28.19874848504873</x:v>
      </x:c>
      <x:c r="S962" s="9" t="n">
        <x:f>H962*Y961*INDEX(v01_MortChild,G962)/4*Q962</x:f>
        <x:v>6.483777599930993</x:v>
      </x:c>
      <x:c r="T962" s="9" t="n">
        <x:f>H962*Z961*INDEX(v01_MortAdult,G962)*Arch_AdultMort/4*Q962</x:f>
        <x:v>2.261449162558147</x:v>
      </x:c>
      <x:c r="U962" s="9" t="n">
        <x:f>H962*AA961*INDEX(v01_MortElder,G962)/4*Q962</x:f>
        <x:v>4.731146693728643</x:v>
      </x:c>
      <x:c r="V962" s="9" t="n">
        <x:f>H962*MAX(0,AB961-O962)*v01_OvercapLoss</x:f>
        <x:v>0</x:v>
      </x:c>
      <x:c r="W962" s="9" t="n">
        <x:f>H962*Y961/(v01_ChildYears*4)</x:f>
        <x:v>16.540248979415797</x:v>
      </x:c>
      <x:c r="X962" s="9" t="n">
        <x:f>H962*Z961/(v01_AdultYears*4)</x:f>
        <x:v>7.294997298574668</x:v>
      </x:c>
      <x:c r="Y962" s="32" t="n">
        <x:f>Y961+R962-S962-W962-Y961*V962/AB961</x:f>
        <x:v>931.4286647529866</x:v>
      </x:c>
      <x:c r="Z962" s="32" t="n">
        <x:f>Z961+W962-X962-T962-Z961*V962/AB961</x:f>
        <x:v>911.5634675415417</x:v>
      </x:c>
      <x:c r="AA962" s="32" t="n">
        <x:f>AA961+X962-U962-AA961*V962/AB961</x:f>
        <x:v>317.9736301867556</x:v>
      </x:c>
      <x:c r="AB962" s="10" t="n">
        <x:f>Y962+Z962+AA962</x:f>
        <x:v>2160.965762481284</x:v>
      </x:c>
      <x:c r="AC962" s="8" t="n">
        <x:f>IF(AND(v01_WinterTrigger=1,D962=1,AB961/AE961&gt;=K962),1,0)</x:f>
        <x:v>0</x:v>
      </x:c>
      <x:c r="AD962" s="8" t="n">
        <x:f>H962*IF(AND(OR(AB961/AE961&gt;=v01_FissionTrigger*N962,AC962=1),AB961/AE961*v01_DaughterShare&gt;=v01_MinDaughter),MAX(1,ROUND(AE961*v01_FissionRate,0)),0)</x:f>
        <x:v>0</x:v>
      </x:c>
      <x:c r="AE962" s="8" t="n">
        <x:f>IF(H962=1,MAX(1,MIN(INDEX(v01_Smax,G962),AE961+AD962)),AE961)</x:f>
        <x:v>12</x:v>
      </x:c>
      <x:c r="AF962" s="8" t="n">
        <x:f>MAX(0,AE962-AE961)</x:f>
        <x:v>0</x:v>
      </x:c>
      <x:c r="AG962" s="9" t="str">
        <x:f>IF(AF962&gt;0,B962,"")</x:f>
      </x:c>
      <x:c r="AH962" s="9" t="n">
        <x:f>IF(F962&gt;=1,1,(1+v01_LowTiesShare*(AE962-1))/AE962)</x:f>
        <x:v>1</x:v>
      </x:c>
      <x:c r="AI962" s="32" t="n">
        <x:f>(Z962+v01_ElderCommons*INDEX(LM_Elder,G962)*AA962)*AH962</x:f>
        <x:v>1865.4843581018085</x:v>
      </x:c>
      <x:c r="AJ962" s="32" t="n">
        <x:f>H962*v01_CommonsCoef*AI962^v01_CommonsExp*INDEX(LM_Commons,G962)</x:f>
        <x:v>437.1800902061629</x:v>
      </x:c>
      <x:c r="AK962" s="32" t="n">
        <x:f>H962*v01_RoleScale*Arch_Roles*(AE962*(INDEX(v01_ElderRolePerSett,G962)*v01_OutElder*INDEX(LM_Elder,G962)+INDEX(v01_ShamanPerSett,G962)*v01_OutShaman)+Z962*(INDEX(v01_PriestShare,G962)*v01_OutPriest+INDEX(v01_ScribeShare,G962)*v01_OutScribe*INDEX(LM_Scribe,G962)+INDEX(v01_ScholarShare,G962)*v01_OutScholar*INDEX(LM_Scholar,G962)+INDEX(v01_ResearcherShare,G962)*v01_OutResearcher*INDEX(LM_Researcher,G962)))</x:f>
        <x:v>61.75795600808625</x:v>
      </x:c>
      <x:c r="AL962" s="32" t="n">
        <x:f>H962*v01_RoleScale*Arch_Roles*AE962*INDEX(v01_MonasteryPerSett,G962)*v01_OutMonastery*INDEX(LM_Monastery,G962)</x:f>
        <x:v>0</x:v>
      </x:c>
      <x:c r="AM962" s="32" t="n">
        <x:f>(AJ962+AK962+AL962)/4*INDEX(LM_All,G962)*INDEX(v01_Boon,G962)*Arch_Insight</x:f>
        <x:v>150.06876642429663</x:v>
      </x:c>
      <x:c r="AN962" s="32" t="n">
        <x:f>H962*(v01_KHPerAdult*Z962+v01_KHOfCommons*AJ962/4*INDEX(LM_All,G962))*v01_KHUsable*Arch_KH</x:f>
        <x:v>31.904721363953964</x:v>
      </x:c>
      <x:c r="AO962" s="32" t="n">
        <x:f>MIN(AP961+AN962,AM962*v01_KHMaxRatio)</x:f>
        <x:v>31.904721363953964</x:v>
      </x:c>
      <x:c r="AP962" s="32" t="n">
        <x:f>AP961+AN962-AO962</x:f>
        <x:v>0</x:v>
      </x:c>
      <x:c r="AQ962" s="32" t="n">
        <x:f>AM962+AO962</x:f>
        <x:v>181.9734877882506</x:v>
      </x:c>
      <x:c r="AR962" s="10" t="n">
        <x:f>IF(H962=1,INDEX(v01_Req,G962),0)</x:f>
        <x:v>24714.473079999996</x:v>
      </x:c>
      <x:c r="AS962" s="32" t="n">
        <x:f>IF(H962=1,IF(E962=1,AS961-AR961,AS961)+AQ962,0)</x:f>
        <x:v>11060.33469496281</x:v>
      </x:c>
      <x:c r="AT962" s="11" t="n">
        <x:f>IF(AR962&gt;0,MIN(1,AS962/AR962),1)</x:f>
        <x:v>0.44752460063222244</x:v>
      </x:c>
      <x:c r="AU962" s="10" t="n">
        <x:f>AB962/INDEX(v01_RepScale,G962)</x:f>
        <x:v>216.0965762481284</x:v>
      </x:c>
      <x:c r="AV962" s="32" t="n">
        <x:f>AM962*60/v01_SeasonSeconds</x:f>
        <x:v>600.2750656971865</x:v>
      </x:c>
    </x:row>
    <x:row r="963">
      <x:c r="A963" s="8" t="n">
        <x:f>A962+1</x:f>
        <x:v>960</x:v>
      </x:c>
      <x:c r="B963" s="9" t="n">
        <x:f>A963*v01_SeasonSeconds/60</x:f>
        <x:v>240</x:v>
      </x:c>
      <x:c r="C963" s="9" t="n">
        <x:f>A963/4</x:f>
        <x:v>240</x:v>
      </x:c>
      <x:c r="D963" s="8" t="n">
        <x:f>IF(MOD(A963,4)=0,1,0)</x:f>
        <x:v>1</x:v>
      </x:c>
      <x:c r="E963" s="8" t="n">
        <x:f>IF(AND(F962&lt;=9,AS962&gt;=AR962),1,0)</x:f>
        <x:v>0</x:v>
      </x:c>
      <x:c r="F963" s="8" t="n">
        <x:f>MIN(10,F962+E963)</x:f>
        <x:v>4</x:v>
      </x:c>
      <x:c r="G963" s="8" t="n">
        <x:f>MIN(F963,9)+1</x:f>
        <x:v>5</x:v>
      </x:c>
      <x:c r="H963" s="8" t="n">
        <x:f>IF(F963&lt;=9,1,0)</x:f>
        <x:v>1</x:v>
      </x:c>
      <x:c r="I963" s="9" t="n">
        <x:f>MIN(10,F962+IF(AR962&gt;0,MIN(1,AS962/AR962),1))</x:f>
        <x:v>4.447524600632223</x:v>
      </x:c>
      <x:c r="J963" s="32" t="n">
        <x:f>INDEX(v01_FoodCap,G963)*Arch_FoodCap*EXP(v01_CapsByProject*SUMPRODUCT((Cap_Point&lt;=I963)*(Cap_Kind="Food")*Cap_Ln))</x:f>
        <x:v>250</x:v>
      </x:c>
      <x:c r="K963" s="32" t="n">
        <x:f>J963*MIN(1,v01_LeanBase*EXP(v01_CapsByProject*SUMPRODUCT((Cap_Point&lt;=I963)*(Cap_Kind="Lean")*Cap_Ln)))</x:f>
        <x:v>250</x:v>
      </x:c>
      <x:c r="L963" s="10" t="n">
        <x:f>INDEX(v01_HousingCap,G963)*EXP(v01_CapsByProject*SUMPRODUCT((Cap_Point&lt;=I963)*(Cap_Kind="Housing")*Cap_Ln))</x:f>
        <x:v>400</x:v>
      </x:c>
      <x:c r="M963" s="10" t="n">
        <x:f>INDEX(v01_GroupCap,G963)*v01_CohesionFactor*EXP(v01_CapsByProject*SUMPRODUCT((Cap_Point&lt;=I963)*(Cap_Kind="Group")*Cap_Ln))</x:f>
        <x:v>10000</x:v>
      </x:c>
      <x:c r="N963" s="32" t="n">
        <x:f>MIN(J963,L963,M963)</x:f>
        <x:v>250</x:v>
      </x:c>
      <x:c r="O963" s="10" t="n">
        <x:f>AE962*N963</x:f>
        <x:v>3000</x:v>
      </x:c>
      <x:c r="P963" s="9" t="n">
        <x:f>MIN(1,(AB962/(AE962*IF(v01_GroupInCrowding=1,N963,MIN(J963,L963))))^v01_CrowdingExp)</x:f>
        <x:v>0.13968822167662293</x:v>
      </x:c>
      <x:c r="Q963" s="9" t="n">
        <x:f>IF(D963=1,INDEX(v01_WinterMult,G963),1)</x:f>
        <x:v>1</x:v>
      </x:c>
      <x:c r="R963" s="9" t="n">
        <x:f>H963*Z962*v01_WomenShare*v01_BaseFertility*INDEX(v01_FertMult,G963)*Arch_Fertility*(1-P963)</x:f>
        <x:v>28.23223636135036</x:v>
      </x:c>
      <x:c r="S963" s="9" t="n">
        <x:f>H963*Y962*INDEX(v01_MortChild,G963)/4*Q963</x:f>
        <x:v>6.520000653270906</x:v>
      </x:c>
      <x:c r="T963" s="9" t="n">
        <x:f>H963*Z962*INDEX(v01_MortAdult,G963)*Arch_AdultMort/4*Q963</x:f>
        <x:v>2.2789086688538545</x:v>
      </x:c>
      <x:c r="U963" s="9" t="n">
        <x:f>H963*AA962*INDEX(v01_MortElder,G963)/4*Q963</x:f>
        <x:v>4.7696044528013335</x:v>
      </x:c>
      <x:c r="V963" s="9" t="n">
        <x:f>H963*MAX(0,AB962-O963)*v01_OvercapLoss</x:f>
        <x:v>0</x:v>
      </x:c>
      <x:c r="W963" s="9" t="n">
        <x:f>H963*Y962/(v01_ChildYears*4)</x:f>
        <x:v>16.632654727731904</x:v>
      </x:c>
      <x:c r="X963" s="9" t="n">
        <x:f>H963*Z962/(v01_AdultYears*4)</x:f>
        <x:v>7.351318286625337</x:v>
      </x:c>
      <x:c r="Y963" s="32" t="n">
        <x:f>Y962+R963-S963-W963-Y962*V963/AB962</x:f>
        <x:v>936.5082457333342</x:v>
      </x:c>
      <x:c r="Z963" s="32" t="n">
        <x:f>Z962+W963-X963-T963-Z962*V963/AB962</x:f>
        <x:v>918.5658953137945</x:v>
      </x:c>
      <x:c r="AA963" s="32" t="n">
        <x:f>AA962+X963-U963-AA962*V963/AB962</x:f>
        <x:v>320.5553440205796</x:v>
      </x:c>
      <x:c r="AB963" s="10" t="n">
        <x:f>Y963+Z963+AA963</x:f>
        <x:v>2175.629485067708</x:v>
      </x:c>
      <x:c r="AC963" s="8" t="n">
        <x:f>IF(AND(v01_WinterTrigger=1,D963=1,AB962/AE962&gt;=K963),1,0)</x:f>
        <x:v>0</x:v>
      </x:c>
      <x:c r="AD963" s="8" t="n">
        <x:f>H963*IF(AND(OR(AB962/AE962&gt;=v01_FissionTrigger*N963,AC963=1),AB962/AE962*v01_DaughterShare&gt;=v01_MinDaughter),MAX(1,ROUND(AE962*v01_FissionRate,0)),0)</x:f>
        <x:v>0</x:v>
      </x:c>
      <x:c r="AE963" s="8" t="n">
        <x:f>IF(H963=1,MAX(1,MIN(INDEX(v01_Smax,G963),AE962+AD963)),AE962)</x:f>
        <x:v>12</x:v>
      </x:c>
      <x:c r="AF963" s="8" t="n">
        <x:f>MAX(0,AE963-AE962)</x:f>
        <x:v>0</x:v>
      </x:c>
      <x:c r="AG963" s="9" t="str">
        <x:f>IF(AF963&gt;0,B963,"")</x:f>
      </x:c>
      <x:c r="AH963" s="9" t="n">
        <x:f>IF(F963&gt;=1,1,(1+v01_LowTiesShare*(AE963-1))/AE963)</x:f>
        <x:v>1</x:v>
      </x:c>
      <x:c r="AI963" s="32" t="n">
        <x:f>(Z963+v01_ElderCommons*INDEX(LM_Elder,G963)*AA963)*AH963</x:f>
        <x:v>1880.2319273755334</x:v>
      </x:c>
      <x:c r="AJ963" s="32" t="n">
        <x:f>H963*v01_CommonsCoef*AI963^v01_CommonsExp*INDEX(LM_Commons,G963)</x:f>
        <x:v>440.11605833515995</x:v>
      </x:c>
      <x:c r="AK963" s="32" t="n">
        <x:f>H963*v01_RoleScale*Arch_Roles*(AE963*(INDEX(v01_ElderRolePerSett,G963)*v01_OutElder*INDEX(LM_Elder,G963)+INDEX(v01_ShamanPerSett,G963)*v01_OutShaman)+Z963*(INDEX(v01_PriestShare,G963)*v01_OutPriest+INDEX(v01_ScribeShare,G963)*v01_OutScribe*INDEX(LM_Scribe,G963)+INDEX(v01_ScholarShare,G963)*v01_OutScholar*INDEX(LM_Scholar,G963)+INDEX(v01_ResearcherShare,G963)*v01_OutResearcher*INDEX(LM_Researcher,G963)))</x:f>
        <x:v>61.95582289605395</x:v>
      </x:c>
      <x:c r="AL963" s="32" t="n">
        <x:f>H963*v01_RoleScale*Arch_Roles*AE963*INDEX(v01_MonasteryPerSett,G963)*v01_OutMonastery*INDEX(LM_Monastery,G963)</x:f>
        <x:v>0</x:v>
      </x:c>
      <x:c r="AM963" s="32" t="n">
        <x:f>(AJ963+AK963+AL963)/4*INDEX(LM_All,G963)*INDEX(v01_Boon,G963)*Arch_Insight</x:f>
        <x:v>151.01134989481278</x:v>
      </x:c>
      <x:c r="AN963" s="32" t="n">
        <x:f>H963*(v01_KHPerAdult*Z963+v01_KHOfCommons*AJ963/4*INDEX(LM_All,G963))*v01_KHUsable*Arch_KH</x:f>
        <x:v>32.14980633598281</x:v>
      </x:c>
      <x:c r="AO963" s="32" t="n">
        <x:f>MIN(AP962+AN963,AM963*v01_KHMaxRatio)</x:f>
        <x:v>32.14980633598281</x:v>
      </x:c>
      <x:c r="AP963" s="32" t="n">
        <x:f>AP962+AN963-AO963</x:f>
        <x:v>0</x:v>
      </x:c>
      <x:c r="AQ963" s="32" t="n">
        <x:f>AM963+AO963</x:f>
        <x:v>183.1611562307956</x:v>
      </x:c>
      <x:c r="AR963" s="10" t="n">
        <x:f>IF(H963=1,INDEX(v01_Req,G963),0)</x:f>
        <x:v>24714.473079999996</x:v>
      </x:c>
      <x:c r="AS963" s="32" t="n">
        <x:f>IF(H963=1,IF(E963=1,AS962-AR962,AS962)+AQ963,0)</x:f>
        <x:v>11243.495851193606</x:v>
      </x:c>
      <x:c r="AT963" s="11" t="n">
        <x:f>IF(AR963&gt;0,MIN(1,AS963/AR963),1)</x:f>
        <x:v>0.4549356894965453</x:v>
      </x:c>
      <x:c r="AU963" s="10" t="n">
        <x:f>AB963/INDEX(v01_RepScale,G963)</x:f>
        <x:v>217.56294850677082</x:v>
      </x:c>
      <x:c r="AV963" s="32" t="n">
        <x:f>AM963*60/v01_SeasonSeconds</x:f>
        <x:v>604.0453995792511</x:v>
      </x:c>
    </x:row>
    <x:row r="964">
      <x:c r="A964" s="8" t="n">
        <x:f>A963+1</x:f>
        <x:v>961</x:v>
      </x:c>
      <x:c r="B964" s="9" t="n">
        <x:f>A964*v01_SeasonSeconds/60</x:f>
        <x:v>240.25</x:v>
      </x:c>
      <x:c r="C964" s="9" t="n">
        <x:f>A964/4</x:f>
        <x:v>240.25</x:v>
      </x:c>
      <x:c r="D964" s="8" t="n">
        <x:f>IF(MOD(A964,4)=0,1,0)</x:f>
        <x:v>0</x:v>
      </x:c>
      <x:c r="E964" s="8" t="n">
        <x:f>IF(AND(F963&lt;=9,AS963&gt;=AR963),1,0)</x:f>
        <x:v>0</x:v>
      </x:c>
      <x:c r="F964" s="8" t="n">
        <x:f>MIN(10,F963+E964)</x:f>
        <x:v>4</x:v>
      </x:c>
      <x:c r="G964" s="8" t="n">
        <x:f>MIN(F964,9)+1</x:f>
        <x:v>5</x:v>
      </x:c>
      <x:c r="H964" s="8" t="n">
        <x:f>IF(F964&lt;=9,1,0)</x:f>
        <x:v>1</x:v>
      </x:c>
      <x:c r="I964" s="9" t="n">
        <x:f>MIN(10,F963+IF(AR963&gt;0,MIN(1,AS963/AR963),1))</x:f>
        <x:v>4.454935689496545</x:v>
      </x:c>
      <x:c r="J964" s="32" t="n">
        <x:f>INDEX(v01_FoodCap,G964)*Arch_FoodCap*EXP(v01_CapsByProject*SUMPRODUCT((Cap_Point&lt;=I964)*(Cap_Kind="Food")*Cap_Ln))</x:f>
        <x:v>250</x:v>
      </x:c>
      <x:c r="K964" s="32" t="n">
        <x:f>J964*MIN(1,v01_LeanBase*EXP(v01_CapsByProject*SUMPRODUCT((Cap_Point&lt;=I964)*(Cap_Kind="Lean")*Cap_Ln)))</x:f>
        <x:v>250</x:v>
      </x:c>
      <x:c r="L964" s="10" t="n">
        <x:f>INDEX(v01_HousingCap,G964)*EXP(v01_CapsByProject*SUMPRODUCT((Cap_Point&lt;=I964)*(Cap_Kind="Housing")*Cap_Ln))</x:f>
        <x:v>400</x:v>
      </x:c>
      <x:c r="M964" s="10" t="n">
        <x:f>INDEX(v01_GroupCap,G964)*v01_CohesionFactor*EXP(v01_CapsByProject*SUMPRODUCT((Cap_Point&lt;=I964)*(Cap_Kind="Group")*Cap_Ln))</x:f>
        <x:v>10000</x:v>
      </x:c>
      <x:c r="N964" s="32" t="n">
        <x:f>MIN(J964,L964,M964)</x:f>
        <x:v>250</x:v>
      </x:c>
      <x:c r="O964" s="10" t="n">
        <x:f>AE963*N964</x:f>
        <x:v>3000</x:v>
      </x:c>
      <x:c r="P964" s="9" t="n">
        <x:f>MIN(1,(AB963/(AE963*IF(v01_GroupInCrowding=1,N964,MIN(J964,L964))))^v01_CrowdingExp)</x:f>
        <x:v>0.14547289687812962</x:v>
      </x:c>
      <x:c r="Q964" s="9" t="n">
        <x:f>IF(D964=1,INDEX(v01_WinterMult,G964),1)</x:f>
        <x:v>1</x:v>
      </x:c>
      <x:c r="R964" s="9" t="n">
        <x:f>H964*Z963*v01_WomenShare*v01_BaseFertility*INDEX(v01_FertMult,G964)*Arch_Fertility*(1-P964)</x:f>
        <x:v>28.257820327765586</x:v>
      </x:c>
      <x:c r="S964" s="9" t="n">
        <x:f>H964*Y963*INDEX(v01_MortChild,G964)/4*Q964</x:f>
        <x:v>6.55555772013334</x:v>
      </x:c>
      <x:c r="T964" s="9" t="n">
        <x:f>H964*Z963*INDEX(v01_MortAdult,G964)*Arch_AdultMort/4*Q964</x:f>
        <x:v>2.2964147382844864</x:v>
      </x:c>
      <x:c r="U964" s="9" t="n">
        <x:f>H964*AA963*INDEX(v01_MortElder,G964)/4*Q964</x:f>
        <x:v>4.808330160308693</x:v>
      </x:c>
      <x:c r="V964" s="9" t="n">
        <x:f>H964*MAX(0,AB963-O964)*v01_OvercapLoss</x:f>
        <x:v>0</x:v>
      </x:c>
      <x:c r="W964" s="9" t="n">
        <x:f>H964*Y963/(v01_ChildYears*4)</x:f>
        <x:v>16.723361530952396</x:v>
      </x:c>
      <x:c r="X964" s="9" t="n">
        <x:f>H964*Z963/(v01_AdultYears*4)</x:f>
        <x:v>7.407789478337053</x:v>
      </x:c>
      <x:c r="Y964" s="32" t="n">
        <x:f>Y963+R964-S964-W964-Y963*V964/AB963</x:f>
        <x:v>941.487146810014</x:v>
      </x:c>
      <x:c r="Z964" s="32" t="n">
        <x:f>Z963+W964-X964-T964-Z963*V964/AB963</x:f>
        <x:v>925.5850526281254</x:v>
      </x:c>
      <x:c r="AA964" s="32" t="n">
        <x:f>AA963+X964-U964-AA963*V964/AB963</x:f>
        <x:v>323.15480333860796</x:v>
      </x:c>
      <x:c r="AB964" s="10" t="n">
        <x:f>Y964+Z964+AA964</x:f>
        <x:v>2190.227002776747</x:v>
      </x:c>
      <x:c r="AC964" s="8" t="n">
        <x:f>IF(AND(v01_WinterTrigger=1,D964=1,AB963/AE963&gt;=K964),1,0)</x:f>
        <x:v>0</x:v>
      </x:c>
      <x:c r="AD964" s="8" t="n">
        <x:f>H964*IF(AND(OR(AB963/AE963&gt;=v01_FissionTrigger*N964,AC964=1),AB963/AE963*v01_DaughterShare&gt;=v01_MinDaughter),MAX(1,ROUND(AE963*v01_FissionRate,0)),0)</x:f>
        <x:v>0</x:v>
      </x:c>
      <x:c r="AE964" s="8" t="n">
        <x:f>IF(H964=1,MAX(1,MIN(INDEX(v01_Smax,G964),AE963+AD964)),AE963)</x:f>
        <x:v>12</x:v>
      </x:c>
      <x:c r="AF964" s="8" t="n">
        <x:f>MAX(0,AE964-AE963)</x:f>
        <x:v>0</x:v>
      </x:c>
      <x:c r="AG964" s="9" t="str">
        <x:f>IF(AF964&gt;0,B964,"")</x:f>
      </x:c>
      <x:c r="AH964" s="9" t="n">
        <x:f>IF(F964&gt;=1,1,(1+v01_LowTiesShare*(AE964-1))/AE964)</x:f>
        <x:v>1</x:v>
      </x:c>
      <x:c r="AI964" s="32" t="n">
        <x:f>(Z964+v01_ElderCommons*INDEX(LM_Elder,G964)*AA964)*AH964</x:f>
        <x:v>1895.0494626439493</x:v>
      </x:c>
      <x:c r="AJ964" s="32" t="n">
        <x:f>H964*v01_CommonsCoef*AI964^v01_CommonsExp*INDEX(LM_Commons,G964)</x:f>
        <x:v>443.06247860234566</x:v>
      </x:c>
      <x:c r="AK964" s="32" t="n">
        <x:f>H964*v01_RoleScale*Arch_Roles*(AE964*(INDEX(v01_ElderRolePerSett,G964)*v01_OutElder*INDEX(LM_Elder,G964)+INDEX(v01_ShamanPerSett,G964)*v01_OutShaman)+Z964*(INDEX(v01_PriestShare,G964)*v01_OutPriest+INDEX(v01_ScribeShare,G964)*v01_OutScribe*INDEX(LM_Scribe,G964)+INDEX(v01_ScholarShare,G964)*v01_OutScholar*INDEX(LM_Scholar,G964)+INDEX(v01_ResearcherShare,G964)*v01_OutResearcher*INDEX(LM_Researcher,G964)))</x:f>
        <x:v>62.1541625089873</x:v>
      </x:c>
      <x:c r="AL964" s="32" t="n">
        <x:f>H964*v01_RoleScale*Arch_Roles*AE964*INDEX(v01_MonasteryPerSett,G964)*v01_OutMonastery*INDEX(LM_Monastery,G964)</x:f>
        <x:v>0</x:v>
      </x:c>
      <x:c r="AM964" s="32" t="n">
        <x:f>(AJ964+AK964+AL964)/4*INDEX(LM_All,G964)*INDEX(v01_Boon,G964)*Arch_Insight</x:f>
        <x:v>151.95721930583665</x:v>
      </x:c>
      <x:c r="AN964" s="32" t="n">
        <x:f>H964*(v01_KHPerAdult*Z964+v01_KHOfCommons*AJ964/4*INDEX(LM_All,G964))*v01_KHUsable*Arch_KH</x:f>
        <x:v>32.39547684198439</x:v>
      </x:c>
      <x:c r="AO964" s="32" t="n">
        <x:f>MIN(AP963+AN964,AM964*v01_KHMaxRatio)</x:f>
        <x:v>32.39547684198439</x:v>
      </x:c>
      <x:c r="AP964" s="32" t="n">
        <x:f>AP963+AN964-AO964</x:f>
        <x:v>0</x:v>
      </x:c>
      <x:c r="AQ964" s="32" t="n">
        <x:f>AM964+AO964</x:f>
        <x:v>184.35269614782104</x:v>
      </x:c>
      <x:c r="AR964" s="10" t="n">
        <x:f>IF(H964=1,INDEX(v01_Req,G964),0)</x:f>
        <x:v>24714.473079999996</x:v>
      </x:c>
      <x:c r="AS964" s="32" t="n">
        <x:f>IF(H964=1,IF(E964=1,AS963-AR963,AS963)+AQ964,0)</x:f>
        <x:v>11427.848547341428</x:v>
      </x:c>
      <x:c r="AT964" s="11" t="n">
        <x:f>IF(AR964&gt;0,MIN(1,AS964/AR964),1)</x:f>
        <x:v>0.4623949905931569</x:v>
      </x:c>
      <x:c r="AU964" s="10" t="n">
        <x:f>AB964/INDEX(v01_RepScale,G964)</x:f>
        <x:v>219.02270027767472</x:v>
      </x:c>
      <x:c r="AV964" s="32" t="n">
        <x:f>AM964*60/v01_SeasonSeconds</x:f>
        <x:v>607.8288772233466</x:v>
      </x:c>
    </x:row>
    <x:row r="965">
      <x:c r="A965" s="8" t="n">
        <x:f>A964+1</x:f>
        <x:v>962</x:v>
      </x:c>
      <x:c r="B965" s="9" t="n">
        <x:f>A965*v01_SeasonSeconds/60</x:f>
        <x:v>240.5</x:v>
      </x:c>
      <x:c r="C965" s="9" t="n">
        <x:f>A965/4</x:f>
        <x:v>240.5</x:v>
      </x:c>
      <x:c r="D965" s="8" t="n">
        <x:f>IF(MOD(A965,4)=0,1,0)</x:f>
        <x:v>0</x:v>
      </x:c>
      <x:c r="E965" s="8" t="n">
        <x:f>IF(AND(F964&lt;=9,AS964&gt;=AR964),1,0)</x:f>
        <x:v>0</x:v>
      </x:c>
      <x:c r="F965" s="8" t="n">
        <x:f>MIN(10,F964+E965)</x:f>
        <x:v>4</x:v>
      </x:c>
      <x:c r="G965" s="8" t="n">
        <x:f>MIN(F965,9)+1</x:f>
        <x:v>5</x:v>
      </x:c>
      <x:c r="H965" s="8" t="n">
        <x:f>IF(F965&lt;=9,1,0)</x:f>
        <x:v>1</x:v>
      </x:c>
      <x:c r="I965" s="9" t="n">
        <x:f>MIN(10,F964+IF(AR964&gt;0,MIN(1,AS964/AR964),1))</x:f>
        <x:v>4.462394990593157</x:v>
      </x:c>
      <x:c r="J965" s="32" t="n">
        <x:f>INDEX(v01_FoodCap,G965)*Arch_FoodCap*EXP(v01_CapsByProject*SUMPRODUCT((Cap_Point&lt;=I965)*(Cap_Kind="Food")*Cap_Ln))</x:f>
        <x:v>250</x:v>
      </x:c>
      <x:c r="K965" s="32" t="n">
        <x:f>J965*MIN(1,v01_LeanBase*EXP(v01_CapsByProject*SUMPRODUCT((Cap_Point&lt;=I965)*(Cap_Kind="Lean")*Cap_Ln)))</x:f>
        <x:v>250</x:v>
      </x:c>
      <x:c r="L965" s="10" t="n">
        <x:f>INDEX(v01_HousingCap,G965)*EXP(v01_CapsByProject*SUMPRODUCT((Cap_Point&lt;=I965)*(Cap_Kind="Housing")*Cap_Ln))</x:f>
        <x:v>400</x:v>
      </x:c>
      <x:c r="M965" s="10" t="n">
        <x:f>INDEX(v01_GroupCap,G965)*v01_CohesionFactor*EXP(v01_CapsByProject*SUMPRODUCT((Cap_Point&lt;=I965)*(Cap_Kind="Group")*Cap_Ln))</x:f>
        <x:v>10000</x:v>
      </x:c>
      <x:c r="N965" s="32" t="n">
        <x:f>MIN(J965,L965,M965)</x:f>
        <x:v>250</x:v>
      </x:c>
      <x:c r="O965" s="10" t="n">
        <x:f>AE964*N965</x:f>
        <x:v>3000</x:v>
      </x:c>
      <x:c r="P965" s="9" t="n">
        <x:f>MIN(1,(AB964/(AE964*IF(v01_GroupInCrowding=1,N965,MIN(J965,L965))))^v01_CrowdingExp)</x:f>
        <x:v>0.1514283692834517</x:v>
      </x:c>
      <x:c r="Q965" s="9" t="n">
        <x:f>IF(D965=1,INDEX(v01_WinterMult,G965),1)</x:f>
        <x:v>1</x:v>
      </x:c>
      <x:c r="R965" s="9" t="n">
        <x:f>H965*Z964*v01_WomenShare*v01_BaseFertility*INDEX(v01_FertMult,G965)*Arch_Fertility*(1-P965)</x:f>
        <x:v>28.27530782911838</x:v>
      </x:c>
      <x:c r="S965" s="9" t="n">
        <x:f>H965*Y964*INDEX(v01_MortChild,G965)/4*Q965</x:f>
        <x:v>6.5904100276700985</x:v>
      </x:c>
      <x:c r="T965" s="9" t="n">
        <x:f>H965*Z964*INDEX(v01_MortAdult,G965)*Arch_AdultMort/4*Q965</x:f>
        <x:v>2.3139626315703135</x:v>
      </x:c>
      <x:c r="U965" s="9" t="n">
        <x:f>H965*AA964*INDEX(v01_MortElder,G965)/4*Q965</x:f>
        <x:v>4.84732205007912</x:v>
      </x:c>
      <x:c r="V965" s="9" t="n">
        <x:f>H965*MAX(0,AB964-O965)*v01_OvercapLoss</x:f>
        <x:v>0</x:v>
      </x:c>
      <x:c r="W965" s="9" t="n">
        <x:f>H965*Y964/(v01_ChildYears*4)</x:f>
        <x:v>16.81227047875025</x:v>
      </x:c>
      <x:c r="X965" s="9" t="n">
        <x:f>H965*Z964/(v01_AdultYears*4)</x:f>
        <x:v>7.4643955857106885</x:v>
      </x:c>
      <x:c r="Y965" s="32" t="n">
        <x:f>Y964+R965-S965-W965-Y964*V965/AB964</x:f>
        <x:v>946.3597741327119</x:v>
      </x:c>
      <x:c r="Z965" s="32" t="n">
        <x:f>Z964+W965-X965-T965-Z964*V965/AB964</x:f>
        <x:v>932.6189648895946</x:v>
      </x:c>
      <x:c r="AA965" s="32" t="n">
        <x:f>AA964+X965-U965-AA964*V965/AB964</x:f>
        <x:v>325.7718768742395</x:v>
      </x:c>
      <x:c r="AB965" s="10" t="n">
        <x:f>Y965+Z965+AA965</x:f>
        <x:v>2204.750615896546</x:v>
      </x:c>
      <x:c r="AC965" s="8" t="n">
        <x:f>IF(AND(v01_WinterTrigger=1,D965=1,AB964/AE964&gt;=K965),1,0)</x:f>
        <x:v>0</x:v>
      </x:c>
      <x:c r="AD965" s="8" t="n">
        <x:f>H965*IF(AND(OR(AB964/AE964&gt;=v01_FissionTrigger*N965,AC965=1),AB964/AE964*v01_DaughterShare&gt;=v01_MinDaughter),MAX(1,ROUND(AE964*v01_FissionRate,0)),0)</x:f>
        <x:v>0</x:v>
      </x:c>
      <x:c r="AE965" s="8" t="n">
        <x:f>IF(H965=1,MAX(1,MIN(INDEX(v01_Smax,G965),AE964+AD965)),AE964)</x:f>
        <x:v>12</x:v>
      </x:c>
      <x:c r="AF965" s="8" t="n">
        <x:f>MAX(0,AE965-AE964)</x:f>
        <x:v>0</x:v>
      </x:c>
      <x:c r="AG965" s="9" t="str">
        <x:f>IF(AF965&gt;0,B965,"")</x:f>
      </x:c>
      <x:c r="AH965" s="9" t="n">
        <x:f>IF(F965&gt;=1,1,(1+v01_LowTiesShare*(AE965-1))/AE965)</x:f>
        <x:v>1</x:v>
      </x:c>
      <x:c r="AI965" s="32" t="n">
        <x:f>(Z965+v01_ElderCommons*INDEX(LM_Elder,G965)*AA965)*AH965</x:f>
        <x:v>1909.934595512313</x:v>
      </x:c>
      <x:c r="AJ965" s="32" t="n">
        <x:f>H965*v01_CommonsCoef*AI965^v01_CommonsExp*INDEX(LM_Commons,G965)</x:f>
        <x:v>446.01886306243205</x:v>
      </x:c>
      <x:c r="AK965" s="32" t="n">
        <x:f>H965*v01_RoleScale*Arch_Roles*(AE965*(INDEX(v01_ElderRolePerSett,G965)*v01_OutElder*INDEX(LM_Elder,G965)+INDEX(v01_ShamanPerSett,G965)*v01_OutShaman)+Z965*(INDEX(v01_PriestShare,G965)*v01_OutPriest+INDEX(v01_ScribeShare,G965)*v01_OutScribe*INDEX(LM_Scribe,G965)+INDEX(v01_ScholarShare,G965)*v01_OutScholar*INDEX(LM_Scholar,G965)+INDEX(v01_ResearcherShare,G965)*v01_OutResearcher*INDEX(LM_Researcher,G965)))</x:f>
        <x:v>62.35291905095832</x:v>
      </x:c>
      <x:c r="AL965" s="32" t="n">
        <x:f>H965*v01_RoleScale*Arch_Roles*AE965*INDEX(v01_MonasteryPerSett,G965)*v01_OutMonastery*INDEX(LM_Monastery,G965)</x:f>
        <x:v>0</x:v>
      </x:c>
      <x:c r="AM965" s="32" t="n">
        <x:f>(AJ965+AK965+AL965)/4*INDEX(LM_All,G965)*INDEX(v01_Boon,G965)*Arch_Insight</x:f>
        <x:v>152.90621111286785</x:v>
      </x:c>
      <x:c r="AN965" s="32" t="n">
        <x:f>H965*(v01_KHPerAdult*Z965+v01_KHOfCommons*AJ965/4*INDEX(LM_All,G965))*v01_KHUsable*Arch_KH</x:f>
        <x:v>32.64166377113581</x:v>
      </x:c>
      <x:c r="AO965" s="32" t="n">
        <x:f>MIN(AP964+AN965,AM965*v01_KHMaxRatio)</x:f>
        <x:v>32.64166377113581</x:v>
      </x:c>
      <x:c r="AP965" s="32" t="n">
        <x:f>AP964+AN965-AO965</x:f>
        <x:v>0</x:v>
      </x:c>
      <x:c r="AQ965" s="32" t="n">
        <x:f>AM965+AO965</x:f>
        <x:v>185.54787488400365</x:v>
      </x:c>
      <x:c r="AR965" s="10" t="n">
        <x:f>IF(H965=1,INDEX(v01_Req,G965),0)</x:f>
        <x:v>24714.473079999996</x:v>
      </x:c>
      <x:c r="AS965" s="32" t="n">
        <x:f>IF(H965=1,IF(E965=1,AS964-AR964,AS964)+AQ965,0)</x:f>
        <x:v>11613.39642222543</x:v>
      </x:c>
      <x:c r="AT965" s="11" t="n">
        <x:f>IF(AR965&gt;0,MIN(1,AS965/AR965),1)</x:f>
        <x:v>0.4699026511563981</x:v>
      </x:c>
      <x:c r="AU965" s="10" t="n">
        <x:f>AB965/INDEX(v01_RepScale,G965)</x:f>
        <x:v>220.47506158965462</x:v>
      </x:c>
      <x:c r="AV965" s="32" t="n">
        <x:f>AM965*60/v01_SeasonSeconds</x:f>
        <x:v>611.6248444514714</x:v>
      </x:c>
    </x:row>
    <x:row r="966">
      <x:c r="A966" s="8" t="n">
        <x:f>A965+1</x:f>
        <x:v>963</x:v>
      </x:c>
      <x:c r="B966" s="9" t="n">
        <x:f>A966*v01_SeasonSeconds/60</x:f>
        <x:v>240.75</x:v>
      </x:c>
      <x:c r="C966" s="9" t="n">
        <x:f>A966/4</x:f>
        <x:v>240.75</x:v>
      </x:c>
      <x:c r="D966" s="8" t="n">
        <x:f>IF(MOD(A966,4)=0,1,0)</x:f>
        <x:v>0</x:v>
      </x:c>
      <x:c r="E966" s="8" t="n">
        <x:f>IF(AND(F965&lt;=9,AS965&gt;=AR965),1,0)</x:f>
        <x:v>0</x:v>
      </x:c>
      <x:c r="F966" s="8" t="n">
        <x:f>MIN(10,F965+E966)</x:f>
        <x:v>4</x:v>
      </x:c>
      <x:c r="G966" s="8" t="n">
        <x:f>MIN(F966,9)+1</x:f>
        <x:v>5</x:v>
      </x:c>
      <x:c r="H966" s="8" t="n">
        <x:f>IF(F966&lt;=9,1,0)</x:f>
        <x:v>1</x:v>
      </x:c>
      <x:c r="I966" s="9" t="n">
        <x:f>MIN(10,F965+IF(AR965&gt;0,MIN(1,AS965/AR965),1))</x:f>
        <x:v>4.469902651156398</x:v>
      </x:c>
      <x:c r="J966" s="32" t="n">
        <x:f>INDEX(v01_FoodCap,G966)*Arch_FoodCap*EXP(v01_CapsByProject*SUMPRODUCT((Cap_Point&lt;=I966)*(Cap_Kind="Food")*Cap_Ln))</x:f>
        <x:v>250</x:v>
      </x:c>
      <x:c r="K966" s="32" t="n">
        <x:f>J966*MIN(1,v01_LeanBase*EXP(v01_CapsByProject*SUMPRODUCT((Cap_Point&lt;=I966)*(Cap_Kind="Lean")*Cap_Ln)))</x:f>
        <x:v>250</x:v>
      </x:c>
      <x:c r="L966" s="10" t="n">
        <x:f>INDEX(v01_HousingCap,G966)*EXP(v01_CapsByProject*SUMPRODUCT((Cap_Point&lt;=I966)*(Cap_Kind="Housing")*Cap_Ln))</x:f>
        <x:v>400</x:v>
      </x:c>
      <x:c r="M966" s="10" t="n">
        <x:f>INDEX(v01_GroupCap,G966)*v01_CohesionFactor*EXP(v01_CapsByProject*SUMPRODUCT((Cap_Point&lt;=I966)*(Cap_Kind="Group")*Cap_Ln))</x:f>
        <x:v>10000</x:v>
      </x:c>
      <x:c r="N966" s="32" t="n">
        <x:f>MIN(J966,L966,M966)</x:f>
        <x:v>250</x:v>
      </x:c>
      <x:c r="O966" s="10" t="n">
        <x:f>AE965*N966</x:f>
        <x:v>3000</x:v>
      </x:c>
      <x:c r="P966" s="9" t="n">
        <x:f>MIN(1,(AB965/(AE965*IF(v01_GroupInCrowding=1,N966,MIN(J966,L966))))^v01_CrowdingExp)</x:f>
        <x:v>0.15755395417427573</x:v>
      </x:c>
      <x:c r="Q966" s="9" t="n">
        <x:f>IF(D966=1,INDEX(v01_WinterMult,G966),1)</x:f>
        <x:v>1</x:v>
      </x:c>
      <x:c r="R966" s="9" t="n">
        <x:f>H966*Z965*v01_WomenShare*v01_BaseFertility*INDEX(v01_FertMult,G966)*Arch_Fertility*(1-P966)</x:f>
        <x:v>28.28452173239948</x:v>
      </x:c>
      <x:c r="S966" s="9" t="n">
        <x:f>H966*Y965*INDEX(v01_MortChild,G966)/4*Q966</x:f>
        <x:v>6.624518418928983</x:v>
      </x:c>
      <x:c r="T966" s="9" t="n">
        <x:f>H966*Z965*INDEX(v01_MortAdult,G966)*Arch_AdultMort/4*Q966</x:f>
        <x:v>2.3315474122239865</x:v>
      </x:c>
      <x:c r="U966" s="9" t="n">
        <x:f>H966*AA965*INDEX(v01_MortElder,G966)/4*Q966</x:f>
        <x:v>4.886578153113593</x:v>
      </x:c>
      <x:c r="V966" s="9" t="n">
        <x:f>H966*MAX(0,AB965-O966)*v01_OvercapLoss</x:f>
        <x:v>0</x:v>
      </x:c>
      <x:c r="W966" s="9" t="n">
        <x:f>H966*Y965/(v01_ChildYears*4)</x:f>
        <x:v>16.899281680941282</x:v>
      </x:c>
      <x:c r="X966" s="9" t="n">
        <x:f>H966*Z965/(v01_AdultYears*4)</x:f>
        <x:v>7.521120684593505</x:v>
      </x:c>
      <x:c r="Y966" s="32" t="n">
        <x:f>Y965+R966-S966-W966-Y965*V966/AB965</x:f>
        <x:v>951.1204957652411</x:v>
      </x:c>
      <x:c r="Z966" s="32" t="n">
        <x:f>Z965+W966-X966-T966-Z965*V966/AB965</x:f>
        <x:v>939.6655784737184</x:v>
      </x:c>
      <x:c r="AA966" s="32" t="n">
        <x:f>AA965+X966-U966-AA965*V966/AB965</x:f>
        <x:v>328.4064194057194</x:v>
      </x:c>
      <x:c r="AB966" s="10" t="n">
        <x:f>Y966+Z966+AA966</x:f>
        <x:v>2219.192493644679</x:v>
      </x:c>
      <x:c r="AC966" s="8" t="n">
        <x:f>IF(AND(v01_WinterTrigger=1,D966=1,AB965/AE965&gt;=K966),1,0)</x:f>
        <x:v>0</x:v>
      </x:c>
      <x:c r="AD966" s="8" t="n">
        <x:f>H966*IF(AND(OR(AB965/AE965&gt;=v01_FissionTrigger*N966,AC966=1),AB965/AE965*v01_DaughterShare&gt;=v01_MinDaughter),MAX(1,ROUND(AE965*v01_FissionRate,0)),0)</x:f>
        <x:v>0</x:v>
      </x:c>
      <x:c r="AE966" s="8" t="n">
        <x:f>IF(H966=1,MAX(1,MIN(INDEX(v01_Smax,G966),AE965+AD966)),AE965)</x:f>
        <x:v>12</x:v>
      </x:c>
      <x:c r="AF966" s="8" t="n">
        <x:f>MAX(0,AE966-AE965)</x:f>
        <x:v>0</x:v>
      </x:c>
      <x:c r="AG966" s="9" t="str">
        <x:f>IF(AF966&gt;0,B966,"")</x:f>
      </x:c>
      <x:c r="AH966" s="9" t="n">
        <x:f>IF(F966&gt;=1,1,(1+v01_LowTiesShare*(AE966-1))/AE966)</x:f>
        <x:v>1</x:v>
      </x:c>
      <x:c r="AI966" s="32" t="n">
        <x:f>(Z966+v01_ElderCommons*INDEX(LM_Elder,G966)*AA966)*AH966</x:f>
        <x:v>1924.8848366908767</x:v>
      </x:c>
      <x:c r="AJ966" s="32" t="n">
        <x:f>H966*v01_CommonsCoef*AI966^v01_CommonsExp*INDEX(LM_Commons,G966)</x:f>
        <x:v>448.9847021254683</x:v>
      </x:c>
      <x:c r="AK966" s="32" t="n">
        <x:f>H966*v01_RoleScale*Arch_Roles*(AE966*(INDEX(v01_ElderRolePerSett,G966)*v01_OutElder*INDEX(LM_Elder,G966)+INDEX(v01_ShamanPerSett,G966)*v01_OutShaman)+Z966*(INDEX(v01_PriestShare,G966)*v01_OutPriest+INDEX(v01_ScribeShare,G966)*v01_OutScribe*INDEX(LM_Scribe,G966)+INDEX(v01_ScholarShare,G966)*v01_OutScholar*INDEX(LM_Scholar,G966)+INDEX(v01_ResearcherShare,G966)*v01_OutResearcher*INDEX(LM_Researcher,G966)))</x:f>
        <x:v>62.55203449290923</x:v>
      </x:c>
      <x:c r="AL966" s="32" t="n">
        <x:f>H966*v01_RoleScale*Arch_Roles*AE966*INDEX(v01_MonasteryPerSett,G966)*v01_OutMonastery*INDEX(LM_Monastery,G966)</x:f>
        <x:v>0</x:v>
      </x:c>
      <x:c r="AM966" s="32" t="n">
        <x:f>(AJ966+AK966+AL966)/4*INDEX(LM_All,G966)*INDEX(v01_Boon,G966)*Arch_Insight</x:f>
        <x:v>153.85815458953044</x:v>
      </x:c>
      <x:c r="AN966" s="32" t="n">
        <x:f>H966*(v01_KHPerAdult*Z966+v01_KHOfCommons*AJ966/4*INDEX(LM_All,G966))*v01_KHUsable*Arch_KH</x:f>
        <x:v>32.88829524658014</x:v>
      </x:c>
      <x:c r="AO966" s="32" t="n">
        <x:f>MIN(AP965+AN966,AM966*v01_KHMaxRatio)</x:f>
        <x:v>32.88829524658014</x:v>
      </x:c>
      <x:c r="AP966" s="32" t="n">
        <x:f>AP965+AN966-AO966</x:f>
        <x:v>0</x:v>
      </x:c>
      <x:c r="AQ966" s="32" t="n">
        <x:f>AM966+AO966</x:f>
        <x:v>186.74644983611057</x:v>
      </x:c>
      <x:c r="AR966" s="10" t="n">
        <x:f>IF(H966=1,INDEX(v01_Req,G966),0)</x:f>
        <x:v>24714.473079999996</x:v>
      </x:c>
      <x:c r="AS966" s="32" t="n">
        <x:f>IF(H966=1,IF(E966=1,AS965-AR965,AS965)+AQ966,0)</x:f>
        <x:v>11800.142872061542</x:v>
      </x:c>
      <x:c r="AT966" s="11" t="n">
        <x:f>IF(AR966&gt;0,MIN(1,AS966/AR966),1)</x:f>
        <x:v>0.47745880860436873</x:v>
      </x:c>
      <x:c r="AU966" s="10" t="n">
        <x:f>AB966/INDEX(v01_RepScale,G966)</x:f>
        <x:v>221.9192493644679</x:v>
      </x:c>
      <x:c r="AV966" s="32" t="n">
        <x:f>AM966*60/v01_SeasonSeconds</x:f>
        <x:v>615.4326183581218</x:v>
      </x:c>
    </x:row>
    <x:row r="967">
      <x:c r="A967" s="8" t="n">
        <x:f>A966+1</x:f>
        <x:v>964</x:v>
      </x:c>
      <x:c r="B967" s="9" t="n">
        <x:f>A967*v01_SeasonSeconds/60</x:f>
        <x:v>241</x:v>
      </x:c>
      <x:c r="C967" s="9" t="n">
        <x:f>A967/4</x:f>
        <x:v>241</x:v>
      </x:c>
      <x:c r="D967" s="8" t="n">
        <x:f>IF(MOD(A967,4)=0,1,0)</x:f>
        <x:v>1</x:v>
      </x:c>
      <x:c r="E967" s="8" t="n">
        <x:f>IF(AND(F966&lt;=9,AS966&gt;=AR966),1,0)</x:f>
        <x:v>0</x:v>
      </x:c>
      <x:c r="F967" s="8" t="n">
        <x:f>MIN(10,F966+E967)</x:f>
        <x:v>4</x:v>
      </x:c>
      <x:c r="G967" s="8" t="n">
        <x:f>MIN(F967,9)+1</x:f>
        <x:v>5</x:v>
      </x:c>
      <x:c r="H967" s="8" t="n">
        <x:f>IF(F967&lt;=9,1,0)</x:f>
        <x:v>1</x:v>
      </x:c>
      <x:c r="I967" s="9" t="n">
        <x:f>MIN(10,F966+IF(AR966&gt;0,MIN(1,AS966/AR966),1))</x:f>
        <x:v>4.477458808604369</x:v>
      </x:c>
      <x:c r="J967" s="32" t="n">
        <x:f>INDEX(v01_FoodCap,G967)*Arch_FoodCap*EXP(v01_CapsByProject*SUMPRODUCT((Cap_Point&lt;=I967)*(Cap_Kind="Food")*Cap_Ln))</x:f>
        <x:v>250</x:v>
      </x:c>
      <x:c r="K967" s="32" t="n">
        <x:f>J967*MIN(1,v01_LeanBase*EXP(v01_CapsByProject*SUMPRODUCT((Cap_Point&lt;=I967)*(Cap_Kind="Lean")*Cap_Ln)))</x:f>
        <x:v>250</x:v>
      </x:c>
      <x:c r="L967" s="10" t="n">
        <x:f>INDEX(v01_HousingCap,G967)*EXP(v01_CapsByProject*SUMPRODUCT((Cap_Point&lt;=I967)*(Cap_Kind="Housing")*Cap_Ln))</x:f>
        <x:v>400</x:v>
      </x:c>
      <x:c r="M967" s="10" t="n">
        <x:f>INDEX(v01_GroupCap,G967)*v01_CohesionFactor*EXP(v01_CapsByProject*SUMPRODUCT((Cap_Point&lt;=I967)*(Cap_Kind="Group")*Cap_Ln))</x:f>
        <x:v>10000</x:v>
      </x:c>
      <x:c r="N967" s="32" t="n">
        <x:f>MIN(J967,L967,M967)</x:f>
        <x:v>250</x:v>
      </x:c>
      <x:c r="O967" s="10" t="n">
        <x:f>AE966*N967</x:f>
        <x:v>3000</x:v>
      </x:c>
      <x:c r="P967" s="9" t="n">
        <x:f>MIN(1,(AB966/(AE966*IF(v01_GroupInCrowding=1,N967,MIN(J967,L967))))^v01_CrowdingExp)</x:f>
        <x:v>0.16384844351508346</x:v>
      </x:c>
      <x:c r="Q967" s="9" t="n">
        <x:f>IF(D967=1,INDEX(v01_WinterMult,G967),1)</x:f>
        <x:v>1</x:v>
      </x:c>
      <x:c r="R967" s="9" t="n">
        <x:f>H967*Z966*v01_WomenShare*v01_BaseFertility*INDEX(v01_FertMult,G967)*Arch_Fertility*(1-P967)</x:f>
        <x:v>28.285302096579564</x:v>
      </x:c>
      <x:c r="S967" s="9" t="n">
        <x:f>H967*Y966*INDEX(v01_MortChild,G967)/4*Q967</x:f>
        <x:v>6.6578434703566876</x:v>
      </x:c>
      <x:c r="T967" s="9" t="n">
        <x:f>H967*Z966*INDEX(v01_MortAdult,G967)*Arch_AdultMort/4*Q967</x:f>
        <x:v>2.349163946184296</x:v>
      </x:c>
      <x:c r="U967" s="9" t="n">
        <x:f>H967*AA966*INDEX(v01_MortElder,G967)/4*Q967</x:f>
        <x:v>4.926096291085791</x:v>
      </x:c>
      <x:c r="V967" s="9" t="n">
        <x:f>H967*MAX(0,AB966-O967)*v01_OvercapLoss</x:f>
        <x:v>0</x:v>
      </x:c>
      <x:c r="W967" s="9" t="n">
        <x:f>H967*Y966/(v01_ChildYears*4)</x:f>
        <x:v>16.98429456723645</x:v>
      </x:c>
      <x:c r="X967" s="9" t="n">
        <x:f>H967*Z966/(v01_AdultYears*4)</x:f>
        <x:v>7.577948213497729</x:v>
      </x:c>
      <x:c r="Y967" s="32" t="n">
        <x:f>Y966+R967-S967-W967-Y966*V967/AB966</x:f>
        <x:v>955.7636598242275</x:v>
      </x:c>
      <x:c r="Z967" s="32" t="n">
        <x:f>Z966+W967-X967-T967-Z966*V967/AB966</x:f>
        <x:v>946.7227608812728</x:v>
      </x:c>
      <x:c r="AA967" s="32" t="n">
        <x:f>AA966+X967-U967-AA966*V967/AB966</x:f>
        <x:v>331.05827132813135</x:v>
      </x:c>
      <x:c r="AB967" s="10" t="n">
        <x:f>Y967+Z967+AA967</x:f>
        <x:v>2233.5446920336317</x:v>
      </x:c>
      <x:c r="AC967" s="8" t="n">
        <x:f>IF(AND(v01_WinterTrigger=1,D967=1,AB966/AE966&gt;=K967),1,0)</x:f>
        <x:v>0</x:v>
      </x:c>
      <x:c r="AD967" s="8" t="n">
        <x:f>H967*IF(AND(OR(AB966/AE966&gt;=v01_FissionTrigger*N967,AC967=1),AB966/AE966*v01_DaughterShare&gt;=v01_MinDaughter),MAX(1,ROUND(AE966*v01_FissionRate,0)),0)</x:f>
        <x:v>0</x:v>
      </x:c>
      <x:c r="AE967" s="8" t="n">
        <x:f>IF(H967=1,MAX(1,MIN(INDEX(v01_Smax,G967),AE966+AD967)),AE966)</x:f>
        <x:v>12</x:v>
      </x:c>
      <x:c r="AF967" s="8" t="n">
        <x:f>MAX(0,AE967-AE966)</x:f>
        <x:v>0</x:v>
      </x:c>
      <x:c r="AG967" s="9" t="str">
        <x:f>IF(AF967&gt;0,B967,"")</x:f>
      </x:c>
      <x:c r="AH967" s="9" t="n">
        <x:f>IF(F967&gt;=1,1,(1+v01_LowTiesShare*(AE967-1))/AE967)</x:f>
        <x:v>1</x:v>
      </x:c>
      <x:c r="AI967" s="32" t="n">
        <x:f>(Z967+v01_ElderCommons*INDEX(LM_Elder,G967)*AA967)*AH967</x:f>
        <x:v>1939.897574865667</x:v>
      </x:c>
      <x:c r="AJ967" s="32" t="n">
        <x:f>H967*v01_CommonsCoef*AI967^v01_CommonsExp*INDEX(LM_Commons,G967)</x:f>
        <x:v>451.95946444660467</x:v>
      </x:c>
      <x:c r="AK967" s="32" t="n">
        <x:f>H967*v01_RoleScale*Arch_Roles*(AE967*(INDEX(v01_ElderRolePerSett,G967)*v01_OutElder*INDEX(LM_Elder,G967)+INDEX(v01_ShamanPerSett,G967)*v01_OutShaman)+Z967*(INDEX(v01_PriestShare,G967)*v01_OutPriest+INDEX(v01_ScribeShare,G967)*v01_OutScribe*INDEX(LM_Scribe,G967)+INDEX(v01_ScholarShare,G967)*v01_OutScholar*INDEX(LM_Scholar,G967)+INDEX(v01_ResearcherShare,G967)*v01_OutResearcher*INDEX(LM_Researcher,G967)))</x:f>
        <x:v>62.75144857702679</x:v>
      </x:c>
      <x:c r="AL967" s="32" t="n">
        <x:f>H967*v01_RoleScale*Arch_Roles*AE967*INDEX(v01_MonasteryPerSett,G967)*v01_OutMonastery*INDEX(LM_Monastery,G967)</x:f>
        <x:v>0</x:v>
      </x:c>
      <x:c r="AM967" s="32" t="n">
        <x:f>(AJ967+AK967+AL967)/4*INDEX(LM_All,G967)*INDEX(v01_Boon,G967)*Arch_Insight</x:f>
        <x:v>154.81287179573252</x:v>
      </x:c>
      <x:c r="AN967" s="32" t="n">
        <x:f>H967*(v01_KHPerAdult*Z967+v01_KHOfCommons*AJ967/4*INDEX(LM_All,G967))*v01_KHUsable*Arch_KH</x:f>
        <x:v>33.13529663084455</x:v>
      </x:c>
      <x:c r="AO967" s="32" t="n">
        <x:f>MIN(AP966+AN967,AM967*v01_KHMaxRatio)</x:f>
        <x:v>33.13529663084455</x:v>
      </x:c>
      <x:c r="AP967" s="32" t="n">
        <x:f>AP966+AN967-AO967</x:f>
        <x:v>0</x:v>
      </x:c>
      <x:c r="AQ967" s="32" t="n">
        <x:f>AM967+AO967</x:f>
        <x:v>187.94816842657707</x:v>
      </x:c>
      <x:c r="AR967" s="10" t="n">
        <x:f>IF(H967=1,INDEX(v01_Req,G967),0)</x:f>
        <x:v>24714.473079999996</x:v>
      </x:c>
      <x:c r="AS967" s="32" t="n">
        <x:f>IF(H967=1,IF(E967=1,AS966-AR966,AS966)+AQ967,0)</x:f>
        <x:v>11988.09104048812</x:v>
      </x:c>
      <x:c r="AT967" s="11" t="n">
        <x:f>IF(AR967&gt;0,MIN(1,AS967/AR967),1)</x:f>
        <x:v>0.48506359013534434</x:v>
      </x:c>
      <x:c r="AU967" s="10" t="n">
        <x:f>AB967/INDEX(v01_RepScale,G967)</x:f>
        <x:v>223.35446920336318</x:v>
      </x:c>
      <x:c r="AV967" s="32" t="n">
        <x:f>AM967*60/v01_SeasonSeconds</x:f>
        <x:v>619.2514871829301</x:v>
      </x:c>
    </x:row>
    <x:row r="968">
      <x:c r="A968" s="8" t="n">
        <x:f>A967+1</x:f>
        <x:v>965</x:v>
      </x:c>
      <x:c r="B968" s="9" t="n">
        <x:f>A968*v01_SeasonSeconds/60</x:f>
        <x:v>241.25</x:v>
      </x:c>
      <x:c r="C968" s="9" t="n">
        <x:f>A968/4</x:f>
        <x:v>241.25</x:v>
      </x:c>
      <x:c r="D968" s="8" t="n">
        <x:f>IF(MOD(A968,4)=0,1,0)</x:f>
        <x:v>0</x:v>
      </x:c>
      <x:c r="E968" s="8" t="n">
        <x:f>IF(AND(F967&lt;=9,AS967&gt;=AR967),1,0)</x:f>
        <x:v>0</x:v>
      </x:c>
      <x:c r="F968" s="8" t="n">
        <x:f>MIN(10,F967+E968)</x:f>
        <x:v>4</x:v>
      </x:c>
      <x:c r="G968" s="8" t="n">
        <x:f>MIN(F968,9)+1</x:f>
        <x:v>5</x:v>
      </x:c>
      <x:c r="H968" s="8" t="n">
        <x:f>IF(F968&lt;=9,1,0)</x:f>
        <x:v>1</x:v>
      </x:c>
      <x:c r="I968" s="9" t="n">
        <x:f>MIN(10,F967+IF(AR967&gt;0,MIN(1,AS967/AR967),1))</x:f>
        <x:v>4.485063590135344</x:v>
      </x:c>
      <x:c r="J968" s="32" t="n">
        <x:f>INDEX(v01_FoodCap,G968)*Arch_FoodCap*EXP(v01_CapsByProject*SUMPRODUCT((Cap_Point&lt;=I968)*(Cap_Kind="Food")*Cap_Ln))</x:f>
        <x:v>250</x:v>
      </x:c>
      <x:c r="K968" s="32" t="n">
        <x:f>J968*MIN(1,v01_LeanBase*EXP(v01_CapsByProject*SUMPRODUCT((Cap_Point&lt;=I968)*(Cap_Kind="Lean")*Cap_Ln)))</x:f>
        <x:v>250</x:v>
      </x:c>
      <x:c r="L968" s="10" t="n">
        <x:f>INDEX(v01_HousingCap,G968)*EXP(v01_CapsByProject*SUMPRODUCT((Cap_Point&lt;=I968)*(Cap_Kind="Housing")*Cap_Ln))</x:f>
        <x:v>400</x:v>
      </x:c>
      <x:c r="M968" s="10" t="n">
        <x:f>INDEX(v01_GroupCap,G968)*v01_CohesionFactor*EXP(v01_CapsByProject*SUMPRODUCT((Cap_Point&lt;=I968)*(Cap_Kind="Group")*Cap_Ln))</x:f>
        <x:v>10000</x:v>
      </x:c>
      <x:c r="N968" s="32" t="n">
        <x:f>MIN(J968,L968,M968)</x:f>
        <x:v>250</x:v>
      </x:c>
      <x:c r="O968" s="10" t="n">
        <x:f>AE967*N968</x:f>
        <x:v>3000</x:v>
      </x:c>
      <x:c r="P968" s="9" t="n">
        <x:f>MIN(1,(AB967/(AE967*IF(v01_GroupInCrowding=1,N968,MIN(J968,L968))))^v01_CrowdingExp)</x:f>
        <x:v>0.1703100800409839</x:v>
      </x:c>
      <x:c r="Q968" s="9" t="n">
        <x:f>IF(D968=1,INDEX(v01_WinterMult,G968),1)</x:f>
        <x:v>1</x:v>
      </x:c>
      <x:c r="R968" s="9" t="n">
        <x:f>H968*Z967*v01_WomenShare*v01_BaseFertility*INDEX(v01_FertMult,G968)*Arch_Fertility*(1-P968)</x:f>
        <x:v>28.277507941162625</x:v>
      </x:c>
      <x:c r="S968" s="9" t="n">
        <x:f>H968*Y967*INDEX(v01_MortChild,G968)/4*Q968</x:f>
        <x:v>6.690345618769593</x:v>
      </x:c>
      <x:c r="T968" s="9" t="n">
        <x:f>H968*Z967*INDEX(v01_MortAdult,G968)*Arch_AdultMort/4*Q968</x:f>
        <x:v>2.3668069022031824</x:v>
      </x:c>
      <x:c r="U968" s="9" t="n">
        <x:f>H968*AA967*INDEX(v01_MortElder,G968)/4*Q968</x:f>
        <x:v>4.96587406992197</x:v>
      </x:c>
      <x:c r="V968" s="9" t="n">
        <x:f>H968*MAX(0,AB967-O968)*v01_OvercapLoss</x:f>
        <x:v>0</x:v>
      </x:c>
      <x:c r="W968" s="9" t="n">
        <x:f>H968*Y967/(v01_ChildYears*4)</x:f>
        <x:v>17.06720821114692</x:v>
      </x:c>
      <x:c r="X968" s="9" t="n">
        <x:f>H968*Z967/(v01_AdultYears*4)</x:f>
        <x:v>7.634860974848975</x:v>
      </x:c>
      <x:c r="Y968" s="32" t="n">
        <x:f>Y967+R968-S968-W968-Y967*V968/AB967</x:f>
        <x:v>960.2836139354736</x:v>
      </x:c>
      <x:c r="Z968" s="32" t="n">
        <x:f>Z967+W968-X968-T968-Z967*V968/AB967</x:f>
        <x:v>953.7883012153677</x:v>
      </x:c>
      <x:c r="AA968" s="32" t="n">
        <x:f>AA967+X968-U968-AA967*V968/AB967</x:f>
        <x:v>333.7272582330583</x:v>
      </x:c>
      <x:c r="AB968" s="10" t="n">
        <x:f>Y968+Z968+AA968</x:f>
        <x:v>2247.7991733838994</x:v>
      </x:c>
      <x:c r="AC968" s="8" t="n">
        <x:f>IF(AND(v01_WinterTrigger=1,D968=1,AB967/AE967&gt;=K968),1,0)</x:f>
        <x:v>0</x:v>
      </x:c>
      <x:c r="AD968" s="8" t="n">
        <x:f>H968*IF(AND(OR(AB967/AE967&gt;=v01_FissionTrigger*N968,AC968=1),AB967/AE967*v01_DaughterShare&gt;=v01_MinDaughter),MAX(1,ROUND(AE967*v01_FissionRate,0)),0)</x:f>
        <x:v>0</x:v>
      </x:c>
      <x:c r="AE968" s="8" t="n">
        <x:f>IF(H968=1,MAX(1,MIN(INDEX(v01_Smax,G968),AE967+AD968)),AE967)</x:f>
        <x:v>12</x:v>
      </x:c>
      <x:c r="AF968" s="8" t="n">
        <x:f>MAX(0,AE968-AE967)</x:f>
        <x:v>0</x:v>
      </x:c>
      <x:c r="AG968" s="9" t="str">
        <x:f>IF(AF968&gt;0,B968,"")</x:f>
      </x:c>
      <x:c r="AH968" s="9" t="n">
        <x:f>IF(F968&gt;=1,1,(1+v01_LowTiesShare*(AE968-1))/AE968)</x:f>
        <x:v>1</x:v>
      </x:c>
      <x:c r="AI968" s="32" t="n">
        <x:f>(Z968+v01_ElderCommons*INDEX(LM_Elder,G968)*AA968)*AH968</x:f>
        <x:v>1954.9700759145426</x:v>
      </x:c>
      <x:c r="AJ968" s="32" t="n">
        <x:f>H968*v01_CommonsCoef*AI968^v01_CommonsExp*INDEX(LM_Commons,G968)</x:f>
        <x:v>454.94259688315816</x:v>
      </x:c>
      <x:c r="AK968" s="32" t="n">
        <x:f>H968*v01_RoleScale*Arch_Roles*(AE968*(INDEX(v01_ElderRolePerSett,G968)*v01_OutElder*INDEX(LM_Elder,G968)+INDEX(v01_ShamanPerSett,G968)*v01_OutShaman)+Z968*(INDEX(v01_PriestShare,G968)*v01_OutPriest+INDEX(v01_ScribeShare,G968)*v01_OutScribe*INDEX(LM_Scribe,G968)+INDEX(v01_ScholarShare,G968)*v01_OutScholar*INDEX(LM_Scholar,G968)+INDEX(v01_ResearcherShare,G968)*v01_OutResearcher*INDEX(LM_Researcher,G968)))</x:f>
        <x:v>62.95109883022289</x:v>
      </x:c>
      <x:c r="AL968" s="32" t="n">
        <x:f>H968*v01_RoleScale*Arch_Roles*AE968*INDEX(v01_MonasteryPerSett,G968)*v01_OutMonastery*INDEX(LM_Monastery,G968)</x:f>
        <x:v>0</x:v>
      </x:c>
      <x:c r="AM968" s="32" t="n">
        <x:f>(AJ968+AK968+AL968)/4*INDEX(LM_All,G968)*INDEX(v01_Boon,G968)*Arch_Insight</x:f>
        <x:v>155.77017756880684</x:v>
      </x:c>
      <x:c r="AN968" s="32" t="n">
        <x:f>H968*(v01_KHPerAdult*Z968+v01_KHOfCommons*AJ968/4*INDEX(LM_All,G968))*v01_KHUsable*Arch_KH</x:f>
        <x:v>33.38259054253787</x:v>
      </x:c>
      <x:c r="AO968" s="32" t="n">
        <x:f>MIN(AP967+AN968,AM968*v01_KHMaxRatio)</x:f>
        <x:v>33.38259054253787</x:v>
      </x:c>
      <x:c r="AP968" s="32" t="n">
        <x:f>AP967+AN968-AO968</x:f>
        <x:v>0</x:v>
      </x:c>
      <x:c r="AQ968" s="32" t="n">
        <x:f>AM968+AO968</x:f>
        <x:v>189.1527681113447</x:v>
      </x:c>
      <x:c r="AR968" s="10" t="n">
        <x:f>IF(H968=1,INDEX(v01_Req,G968),0)</x:f>
        <x:v>24714.473079999996</x:v>
      </x:c>
      <x:c r="AS968" s="32" t="n">
        <x:f>IF(H968=1,IF(E968=1,AS967-AR967,AS967)+AQ968,0)</x:f>
        <x:v>12177.243808599464</x:v>
      </x:c>
      <x:c r="AT968" s="11" t="n">
        <x:f>IF(AR968&gt;0,MIN(1,AS968/AR968),1)</x:f>
        <x:v>0.4927171123245111</x:v>
      </x:c>
      <x:c r="AU968" s="10" t="n">
        <x:f>AB968/INDEX(v01_RepScale,G968)</x:f>
        <x:v>224.77991733838994</x:v>
      </x:c>
      <x:c r="AV968" s="32" t="n">
        <x:f>AM968*60/v01_SeasonSeconds</x:f>
        <x:v>623.0807102752274</x:v>
      </x:c>
    </x:row>
    <x:row r="969">
      <x:c r="A969" s="8" t="n">
        <x:f>A968+1</x:f>
        <x:v>966</x:v>
      </x:c>
      <x:c r="B969" s="9" t="n">
        <x:f>A969*v01_SeasonSeconds/60</x:f>
        <x:v>241.5</x:v>
      </x:c>
      <x:c r="C969" s="9" t="n">
        <x:f>A969/4</x:f>
        <x:v>241.5</x:v>
      </x:c>
      <x:c r="D969" s="8" t="n">
        <x:f>IF(MOD(A969,4)=0,1,0)</x:f>
        <x:v>0</x:v>
      </x:c>
      <x:c r="E969" s="8" t="n">
        <x:f>IF(AND(F968&lt;=9,AS968&gt;=AR968),1,0)</x:f>
        <x:v>0</x:v>
      </x:c>
      <x:c r="F969" s="8" t="n">
        <x:f>MIN(10,F968+E969)</x:f>
        <x:v>4</x:v>
      </x:c>
      <x:c r="G969" s="8" t="n">
        <x:f>MIN(F969,9)+1</x:f>
        <x:v>5</x:v>
      </x:c>
      <x:c r="H969" s="8" t="n">
        <x:f>IF(F969&lt;=9,1,0)</x:f>
        <x:v>1</x:v>
      </x:c>
      <x:c r="I969" s="9" t="n">
        <x:f>MIN(10,F968+IF(AR968&gt;0,MIN(1,AS968/AR968),1))</x:f>
        <x:v>4.492717112324511</x:v>
      </x:c>
      <x:c r="J969" s="32" t="n">
        <x:f>INDEX(v01_FoodCap,G969)*Arch_FoodCap*EXP(v01_CapsByProject*SUMPRODUCT((Cap_Point&lt;=I969)*(Cap_Kind="Food")*Cap_Ln))</x:f>
        <x:v>250</x:v>
      </x:c>
      <x:c r="K969" s="32" t="n">
        <x:f>J969*MIN(1,v01_LeanBase*EXP(v01_CapsByProject*SUMPRODUCT((Cap_Point&lt;=I969)*(Cap_Kind="Lean")*Cap_Ln)))</x:f>
        <x:v>250</x:v>
      </x:c>
      <x:c r="L969" s="10" t="n">
        <x:f>INDEX(v01_HousingCap,G969)*EXP(v01_CapsByProject*SUMPRODUCT((Cap_Point&lt;=I969)*(Cap_Kind="Housing")*Cap_Ln))</x:f>
        <x:v>400</x:v>
      </x:c>
      <x:c r="M969" s="10" t="n">
        <x:f>INDEX(v01_GroupCap,G969)*v01_CohesionFactor*EXP(v01_CapsByProject*SUMPRODUCT((Cap_Point&lt;=I969)*(Cap_Kind="Group")*Cap_Ln))</x:f>
        <x:v>10000</x:v>
      </x:c>
      <x:c r="N969" s="32" t="n">
        <x:f>MIN(J969,L969,M969)</x:f>
        <x:v>250</x:v>
      </x:c>
      <x:c r="O969" s="10" t="n">
        <x:f>AE968*N969</x:f>
        <x:v>3000</x:v>
      </x:c>
      <x:c r="P969" s="9" t="n">
        <x:f>MIN(1,(AB968/(AE968*IF(v01_GroupInCrowding=1,N969,MIN(J969,L969))))^v01_CrowdingExp)</x:f>
        <x:v>0.1769365336135578</x:v>
      </x:c>
      <x:c r="Q969" s="9" t="n">
        <x:f>IF(D969=1,INDEX(v01_WinterMult,G969),1)</x:f>
        <x:v>1</x:v>
      </x:c>
      <x:c r="R969" s="9" t="n">
        <x:f>H969*Z968*v01_WomenShare*v01_BaseFertility*INDEX(v01_FertMult,G969)*Arch_Fertility*(1-P969)</x:f>
        <x:v>28.26101899429764</x:v>
      </x:c>
      <x:c r="S969" s="9" t="n">
        <x:f>H969*Y968*INDEX(v01_MortChild,G969)/4*Q969</x:f>
        <x:v>6.721985297548315</x:v>
      </x:c>
      <x:c r="T969" s="9" t="n">
        <x:f>H969*Z968*INDEX(v01_MortAdult,G969)*Arch_AdultMort/4*Q969</x:f>
        <x:v>2.3844707530384195</x:v>
      </x:c>
      <x:c r="U969" s="9" t="n">
        <x:f>H969*AA968*INDEX(v01_MortElder,G969)/4*Q969</x:f>
        <x:v>5.0059088734958745</x:v>
      </x:c>
      <x:c r="V969" s="9" t="n">
        <x:f>H969*MAX(0,AB968-O969)*v01_OvercapLoss</x:f>
        <x:v>0</x:v>
      </x:c>
      <x:c r="W969" s="9" t="n">
        <x:f>H969*Y968/(v01_ChildYears*4)</x:f>
        <x:v>17.14792167741917</x:v>
      </x:c>
      <x:c r="X969" s="9" t="n">
        <x:f>H969*Z968/(v01_AdultYears*4)</x:f>
        <x:v>7.6918411388336105</x:v>
      </x:c>
      <x:c r="Y969" s="32" t="n">
        <x:f>Y968+R969-S969-W969-Y968*V969/AB968</x:f>
        <x:v>964.6747259548038</x:v>
      </x:c>
      <x:c r="Z969" s="32" t="n">
        <x:f>Z968+W969-X969-T969-Z968*V969/AB968</x:f>
        <x:v>960.8599110009148</x:v>
      </x:c>
      <x:c r="AA969" s="32" t="n">
        <x:f>AA968+X969-U969-AA968*V969/AB968</x:f>
        <x:v>336.4131904983961</x:v>
      </x:c>
      <x:c r="AB969" s="10" t="n">
        <x:f>Y969+Z969+AA969</x:f>
        <x:v>2261.9478274541148</x:v>
      </x:c>
      <x:c r="AC969" s="8" t="n">
        <x:f>IF(AND(v01_WinterTrigger=1,D969=1,AB968/AE968&gt;=K969),1,0)</x:f>
        <x:v>0</x:v>
      </x:c>
      <x:c r="AD969" s="8" t="n">
        <x:f>H969*IF(AND(OR(AB968/AE968&gt;=v01_FissionTrigger*N969,AC969=1),AB968/AE968*v01_DaughterShare&gt;=v01_MinDaughter),MAX(1,ROUND(AE968*v01_FissionRate,0)),0)</x:f>
        <x:v>0</x:v>
      </x:c>
      <x:c r="AE969" s="8" t="n">
        <x:f>IF(H969=1,MAX(1,MIN(INDEX(v01_Smax,G969),AE968+AD969)),AE968)</x:f>
        <x:v>12</x:v>
      </x:c>
      <x:c r="AF969" s="8" t="n">
        <x:f>MAX(0,AE969-AE968)</x:f>
        <x:v>0</x:v>
      </x:c>
      <x:c r="AG969" s="9" t="str">
        <x:f>IF(AF969&gt;0,B969,"")</x:f>
      </x:c>
      <x:c r="AH969" s="9" t="n">
        <x:f>IF(F969&gt;=1,1,(1+v01_LowTiesShare*(AE969-1))/AE969)</x:f>
        <x:v>1</x:v>
      </x:c>
      <x:c r="AI969" s="32" t="n">
        <x:f>(Z969+v01_ElderCommons*INDEX(LM_Elder,G969)*AA969)*AH969</x:f>
        <x:v>1970.099482496103</x:v>
      </x:c>
      <x:c r="AJ969" s="32" t="n">
        <x:f>H969*v01_CommonsCoef*AI969^v01_CommonsExp*INDEX(LM_Commons,G969)</x:f>
        <x:v>457.933524523773</x:v>
      </x:c>
      <x:c r="AK969" s="32" t="n">
        <x:f>H969*v01_RoleScale*Arch_Roles*(AE969*(INDEX(v01_ElderRolePerSett,G969)*v01_OutElder*INDEX(LM_Elder,G969)+INDEX(v01_ShamanPerSett,G969)*v01_OutShaman)+Z969*(INDEX(v01_PriestShare,G969)*v01_OutPriest+INDEX(v01_ScribeShare,G969)*v01_OutScribe*INDEX(LM_Scribe,G969)+INDEX(v01_ScholarShare,G969)*v01_OutScholar*INDEX(LM_Scholar,G969)+INDEX(v01_ResearcherShare,G969)*v01_OutResearcher*INDEX(LM_Researcher,G969)))</x:f>
        <x:v>63.150920587290145</x:v>
      </x:c>
      <x:c r="AL969" s="32" t="n">
        <x:f>H969*v01_RoleScale*Arch_Roles*AE969*INDEX(v01_MonasteryPerSett,G969)*v01_OutMonastery*INDEX(LM_Monastery,G969)</x:f>
        <x:v>0</x:v>
      </x:c>
      <x:c r="AM969" s="32" t="n">
        <x:f>(AJ969+AK969+AL969)/4*INDEX(LM_All,G969)*INDEX(v01_Boon,G969)*Arch_Insight</x:f>
        <x:v>156.72987953924664</x:v>
      </x:c>
      <x:c r="AN969" s="32" t="n">
        <x:f>H969*(v01_KHPerAdult*Z969+v01_KHOfCommons*AJ969/4*INDEX(LM_All,G969))*v01_KHUsable*Arch_KH</x:f>
        <x:v>33.63009688503202</x:v>
      </x:c>
      <x:c r="AO969" s="32" t="n">
        <x:f>MIN(AP968+AN969,AM969*v01_KHMaxRatio)</x:f>
        <x:v>33.63009688503202</x:v>
      </x:c>
      <x:c r="AP969" s="32" t="n">
        <x:f>AP968+AN969-AO969</x:f>
        <x:v>0</x:v>
      </x:c>
      <x:c r="AQ969" s="32" t="n">
        <x:f>AM969+AO969</x:f>
        <x:v>190.35997642427867</x:v>
      </x:c>
      <x:c r="AR969" s="10" t="n">
        <x:f>IF(H969=1,INDEX(v01_Req,G969),0)</x:f>
        <x:v>24714.473079999996</x:v>
      </x:c>
      <x:c r="AS969" s="32" t="n">
        <x:f>IF(H969=1,IF(E969=1,AS968-AR968,AS968)+AQ969,0)</x:f>
        <x:v>12367.603785023743</x:v>
      </x:c>
      <x:c r="AT969" s="11" t="n">
        <x:f>IF(AR969&gt;0,MIN(1,AS969/AR969),1)</x:f>
        <x:v>0.5004194807224975</x:v>
      </x:c>
      <x:c r="AU969" s="10" t="n">
        <x:f>AB969/INDEX(v01_RepScale,G969)</x:f>
        <x:v>226.1947827454115</x:v>
      </x:c>
      <x:c r="AV969" s="32" t="n">
        <x:f>AM969*60/v01_SeasonSeconds</x:f>
        <x:v>626.9195181569866</x:v>
      </x:c>
    </x:row>
    <x:row r="970">
      <x:c r="A970" s="8" t="n">
        <x:f>A969+1</x:f>
        <x:v>967</x:v>
      </x:c>
      <x:c r="B970" s="9" t="n">
        <x:f>A970*v01_SeasonSeconds/60</x:f>
        <x:v>241.75</x:v>
      </x:c>
      <x:c r="C970" s="9" t="n">
        <x:f>A970/4</x:f>
        <x:v>241.75</x:v>
      </x:c>
      <x:c r="D970" s="8" t="n">
        <x:f>IF(MOD(A970,4)=0,1,0)</x:f>
        <x:v>0</x:v>
      </x:c>
      <x:c r="E970" s="8" t="n">
        <x:f>IF(AND(F969&lt;=9,AS969&gt;=AR969),1,0)</x:f>
        <x:v>0</x:v>
      </x:c>
      <x:c r="F970" s="8" t="n">
        <x:f>MIN(10,F969+E970)</x:f>
        <x:v>4</x:v>
      </x:c>
      <x:c r="G970" s="8" t="n">
        <x:f>MIN(F970,9)+1</x:f>
        <x:v>5</x:v>
      </x:c>
      <x:c r="H970" s="8" t="n">
        <x:f>IF(F970&lt;=9,1,0)</x:f>
        <x:v>1</x:v>
      </x:c>
      <x:c r="I970" s="9" t="n">
        <x:f>MIN(10,F969+IF(AR969&gt;0,MIN(1,AS969/AR969),1))</x:f>
        <x:v>4.500419480722497</x:v>
      </x:c>
      <x:c r="J970" s="32" t="n">
        <x:f>INDEX(v01_FoodCap,G970)*Arch_FoodCap*EXP(v01_CapsByProject*SUMPRODUCT((Cap_Point&lt;=I970)*(Cap_Kind="Food")*Cap_Ln))</x:f>
        <x:v>250</x:v>
      </x:c>
      <x:c r="K970" s="32" t="n">
        <x:f>J970*MIN(1,v01_LeanBase*EXP(v01_CapsByProject*SUMPRODUCT((Cap_Point&lt;=I970)*(Cap_Kind="Lean")*Cap_Ln)))</x:f>
        <x:v>250</x:v>
      </x:c>
      <x:c r="L970" s="10" t="n">
        <x:f>INDEX(v01_HousingCap,G970)*EXP(v01_CapsByProject*SUMPRODUCT((Cap_Point&lt;=I970)*(Cap_Kind="Housing")*Cap_Ln))</x:f>
        <x:v>400</x:v>
      </x:c>
      <x:c r="M970" s="10" t="n">
        <x:f>INDEX(v01_GroupCap,G970)*v01_CohesionFactor*EXP(v01_CapsByProject*SUMPRODUCT((Cap_Point&lt;=I970)*(Cap_Kind="Group")*Cap_Ln))</x:f>
        <x:v>10000</x:v>
      </x:c>
      <x:c r="N970" s="32" t="n">
        <x:f>MIN(J970,L970,M970)</x:f>
        <x:v>250</x:v>
      </x:c>
      <x:c r="O970" s="10" t="n">
        <x:f>AE969*N970</x:f>
        <x:v>3000</x:v>
      </x:c>
      <x:c r="P970" s="9" t="n">
        <x:f>MIN(1,(AB969/(AE969*IF(v01_GroupInCrowding=1,N970,MIN(J970,L970))))^v01_CrowdingExp)</x:f>
        <x:v>0.18372488028671455</x:v>
      </x:c>
      <x:c r="Q970" s="9" t="n">
        <x:f>IF(D970=1,INDEX(v01_WinterMult,G970),1)</x:f>
        <x:v>1</x:v>
      </x:c>
      <x:c r="R970" s="9" t="n">
        <x:f>H970*Z969*v01_WomenShare*v01_BaseFertility*INDEX(v01_FertMult,G970)*Arch_Fertility*(1-P970)</x:f>
        <x:v>28.235737399678868</x:v>
      </x:c>
      <x:c r="S970" s="9" t="n">
        <x:f>H970*Y969*INDEX(v01_MortChild,G970)/4*Q970</x:f>
        <x:v>6.752723081683627</x:v>
      </x:c>
      <x:c r="T970" s="9" t="n">
        <x:f>H970*Z969*INDEX(v01_MortAdult,G970)*Arch_AdultMort/4*Q970</x:f>
        <x:v>2.402149777502287</x:v>
      </x:c>
      <x:c r="U970" s="9" t="n">
        <x:f>H970*AA969*INDEX(v01_MortElder,G970)/4*Q970</x:f>
        <x:v>5.046197857475941</x:v>
      </x:c>
      <x:c r="V970" s="9" t="n">
        <x:f>H970*MAX(0,AB969-O970)*v01_OvercapLoss</x:f>
        <x:v>0</x:v>
      </x:c>
      <x:c r="W970" s="9" t="n">
        <x:f>H970*Y969/(v01_ChildYears*4)</x:f>
        <x:v>17.226334392050067</x:v>
      </x:c>
      <x:c r="X970" s="9" t="n">
        <x:f>H970*Z969/(v01_AdultYears*4)</x:f>
        <x:v>7.748870250007378</x:v>
      </x:c>
      <x:c r="Y970" s="32" t="n">
        <x:f>Y969+R970-S970-W970-Y969*V970/AB969</x:f>
        <x:v>968.931405880749</x:v>
      </x:c>
      <x:c r="Z970" s="32" t="n">
        <x:f>Z969+W970-X970-T970-Z969*V970/AB969</x:f>
        <x:v>967.9352253654553</x:v>
      </x:c>
      <x:c r="AA970" s="32" t="n">
        <x:f>AA969+X970-U970-AA969*V970/AB969</x:f>
        <x:v>339.11586289092753</x:v>
      </x:c>
      <x:c r="AB970" s="10" t="n">
        <x:f>Y970+Z970+AA970</x:f>
        <x:v>2275.9824941371317</x:v>
      </x:c>
      <x:c r="AC970" s="8" t="n">
        <x:f>IF(AND(v01_WinterTrigger=1,D970=1,AB969/AE969&gt;=K970),1,0)</x:f>
        <x:v>0</x:v>
      </x:c>
      <x:c r="AD970" s="8" t="n">
        <x:f>H970*IF(AND(OR(AB969/AE969&gt;=v01_FissionTrigger*N970,AC970=1),AB969/AE969*v01_DaughterShare&gt;=v01_MinDaughter),MAX(1,ROUND(AE969*v01_FissionRate,0)),0)</x:f>
        <x:v>0</x:v>
      </x:c>
      <x:c r="AE970" s="8" t="n">
        <x:f>IF(H970=1,MAX(1,MIN(INDEX(v01_Smax,G970),AE969+AD970)),AE969)</x:f>
        <x:v>12</x:v>
      </x:c>
      <x:c r="AF970" s="8" t="n">
        <x:f>MAX(0,AE970-AE969)</x:f>
        <x:v>0</x:v>
      </x:c>
      <x:c r="AG970" s="9" t="str">
        <x:f>IF(AF970&gt;0,B970,"")</x:f>
      </x:c>
      <x:c r="AH970" s="9" t="n">
        <x:f>IF(F970&gt;=1,1,(1+v01_LowTiesShare*(AE970-1))/AE970)</x:f>
        <x:v>1</x:v>
      </x:c>
      <x:c r="AI970" s="32" t="n">
        <x:f>(Z970+v01_ElderCommons*INDEX(LM_Elder,G970)*AA970)*AH970</x:f>
        <x:v>1985.282814038238</x:v>
      </x:c>
      <x:c r="AJ970" s="32" t="n">
        <x:f>H970*v01_CommonsCoef*AI970^v01_CommonsExp*INDEX(LM_Commons,G970)</x:f>
        <x:v>460.9316507942687</x:v>
      </x:c>
      <x:c r="AK970" s="32" t="n">
        <x:f>H970*v01_RoleScale*Arch_Roles*(AE970*(INDEX(v01_ElderRolePerSett,G970)*v01_OutElder*INDEX(LM_Elder,G970)+INDEX(v01_ShamanPerSett,G970)*v01_OutShaman)+Z970*(INDEX(v01_PriestShare,G970)*v01_OutPriest+INDEX(v01_ScribeShare,G970)*v01_OutScribe*INDEX(LM_Scribe,G970)+INDEX(v01_ScholarShare,G970)*v01_OutScholar*INDEX(LM_Scholar,G970)+INDEX(v01_ResearcherShare,G970)*v01_OutResearcher*INDEX(LM_Researcher,G970)))</x:f>
        <x:v>63.350847024268504</x:v>
      </x:c>
      <x:c r="AL970" s="32" t="n">
        <x:f>H970*v01_RoleScale*Arch_Roles*AE970*INDEX(v01_MonasteryPerSett,G970)*v01_OutMonastery*INDEX(LM_Monastery,G970)</x:f>
        <x:v>0</x:v>
      </x:c>
      <x:c r="AM970" s="32" t="n">
        <x:f>(AJ970+AK970+AL970)/4*INDEX(LM_All,G970)*INDEX(v01_Boon,G970)*Arch_Insight</x:f>
        <x:v>157.69177817257804</x:v>
      </x:c>
      <x:c r="AN970" s="32" t="n">
        <x:f>H970*(v01_KHPerAdult*Z970+v01_KHOfCommons*AJ970/4*INDEX(LM_All,G970))*v01_KHUsable*Arch_KH</x:f>
        <x:v>33.877732887790934</x:v>
      </x:c>
      <x:c r="AO970" s="32" t="n">
        <x:f>MIN(AP969+AN970,AM970*v01_KHMaxRatio)</x:f>
        <x:v>33.877732887790934</x:v>
      </x:c>
      <x:c r="AP970" s="32" t="n">
        <x:f>AP969+AN970-AO970</x:f>
        <x:v>0</x:v>
      </x:c>
      <x:c r="AQ970" s="32" t="n">
        <x:f>AM970+AO970</x:f>
        <x:v>191.56951106036897</x:v>
      </x:c>
      <x:c r="AR970" s="10" t="n">
        <x:f>IF(H970=1,INDEX(v01_Req,G970),0)</x:f>
        <x:v>24714.473079999996</x:v>
      </x:c>
      <x:c r="AS970" s="32" t="n">
        <x:f>IF(H970=1,IF(E970=1,AS969-AR969,AS969)+AQ970,0)</x:f>
        <x:v>12559.173296084111</x:v>
      </x:c>
      <x:c r="AT970" s="11" t="n">
        <x:f>IF(AR970&gt;0,MIN(1,AS970/AR970),1)</x:f>
        <x:v>0.5081707894572727</x:v>
      </x:c>
      <x:c r="AU970" s="10" t="n">
        <x:f>AB970/INDEX(v01_RepScale,G970)</x:f>
        <x:v>227.59824941371318</x:v>
      </x:c>
      <x:c r="AV970" s="32" t="n">
        <x:f>AM970*60/v01_SeasonSeconds</x:f>
        <x:v>630.7671126903122</x:v>
      </x:c>
    </x:row>
    <x:row r="971">
      <x:c r="A971" s="8" t="n">
        <x:f>A970+1</x:f>
        <x:v>968</x:v>
      </x:c>
      <x:c r="B971" s="9" t="n">
        <x:f>A971*v01_SeasonSeconds/60</x:f>
        <x:v>242</x:v>
      </x:c>
      <x:c r="C971" s="9" t="n">
        <x:f>A971/4</x:f>
        <x:v>242</x:v>
      </x:c>
      <x:c r="D971" s="8" t="n">
        <x:f>IF(MOD(A971,4)=0,1,0)</x:f>
        <x:v>1</x:v>
      </x:c>
      <x:c r="E971" s="8" t="n">
        <x:f>IF(AND(F970&lt;=9,AS970&gt;=AR970),1,0)</x:f>
        <x:v>0</x:v>
      </x:c>
      <x:c r="F971" s="8" t="n">
        <x:f>MIN(10,F970+E971)</x:f>
        <x:v>4</x:v>
      </x:c>
      <x:c r="G971" s="8" t="n">
        <x:f>MIN(F971,9)+1</x:f>
        <x:v>5</x:v>
      </x:c>
      <x:c r="H971" s="8" t="n">
        <x:f>IF(F971&lt;=9,1,0)</x:f>
        <x:v>1</x:v>
      </x:c>
      <x:c r="I971" s="9" t="n">
        <x:f>MIN(10,F970+IF(AR970&gt;0,MIN(1,AS970/AR970),1))</x:f>
        <x:v>4.508170789457273</x:v>
      </x:c>
      <x:c r="J971" s="32" t="n">
        <x:f>INDEX(v01_FoodCap,G971)*Arch_FoodCap*EXP(v01_CapsByProject*SUMPRODUCT((Cap_Point&lt;=I971)*(Cap_Kind="Food")*Cap_Ln))</x:f>
        <x:v>250</x:v>
      </x:c>
      <x:c r="K971" s="32" t="n">
        <x:f>J971*MIN(1,v01_LeanBase*EXP(v01_CapsByProject*SUMPRODUCT((Cap_Point&lt;=I971)*(Cap_Kind="Lean")*Cap_Ln)))</x:f>
        <x:v>250</x:v>
      </x:c>
      <x:c r="L971" s="10" t="n">
        <x:f>INDEX(v01_HousingCap,G971)*EXP(v01_CapsByProject*SUMPRODUCT((Cap_Point&lt;=I971)*(Cap_Kind="Housing")*Cap_Ln))</x:f>
        <x:v>400</x:v>
      </x:c>
      <x:c r="M971" s="10" t="n">
        <x:f>INDEX(v01_GroupCap,G971)*v01_CohesionFactor*EXP(v01_CapsByProject*SUMPRODUCT((Cap_Point&lt;=I971)*(Cap_Kind="Group")*Cap_Ln))</x:f>
        <x:v>10000</x:v>
      </x:c>
      <x:c r="N971" s="32" t="n">
        <x:f>MIN(J971,L971,M971)</x:f>
        <x:v>250</x:v>
      </x:c>
      <x:c r="O971" s="10" t="n">
        <x:f>AE970*N971</x:f>
        <x:v>3000</x:v>
      </x:c>
      <x:c r="P971" s="9" t="n">
        <x:f>MIN(1,(AB970/(AE970*IF(v01_GroupInCrowding=1,N971,MIN(J971,L971))))^v01_CrowdingExp)</x:f>
        <x:v>0.19067158452781924</x:v>
      </x:c>
      <x:c r="Q971" s="9" t="n">
        <x:f>IF(D971=1,INDEX(v01_WinterMult,G971),1)</x:f>
        <x:v>1</x:v>
      </x:c>
      <x:c r="R971" s="9" t="n">
        <x:f>H971*Z970*v01_WomenShare*v01_BaseFertility*INDEX(v01_FertMult,G971)*Arch_Fertility*(1-P971)</x:f>
        <x:v>28.20158936009035</x:v>
      </x:c>
      <x:c r="S971" s="9" t="n">
        <x:f>H971*Y970*INDEX(v01_MortChild,G971)/4*Q971</x:f>
        <x:v>6.782519841165243</x:v>
      </x:c>
      <x:c r="T971" s="9" t="n">
        <x:f>H971*Z970*INDEX(v01_MortAdult,G971)*Arch_AdultMort/4*Q971</x:f>
        <x:v>2.4198380634136383</x:v>
      </x:c>
      <x:c r="U971" s="9" t="n">
        <x:f>H971*AA970*INDEX(v01_MortElder,G971)/4*Q971</x:f>
        <x:v>5.086737943363913</x:v>
      </x:c>
      <x:c r="V971" s="9" t="n">
        <x:f>H971*MAX(0,AB970-O971)*v01_OvercapLoss</x:f>
        <x:v>0</x:v>
      </x:c>
      <x:c r="W971" s="9" t="n">
        <x:f>H971*Y970/(v01_ChildYears*4)</x:f>
        <x:v>17.302346533584803</x:v>
      </x:c>
      <x:c r="X971" s="9" t="n">
        <x:f>H971*Z970/(v01_AdultYears*4)</x:f>
        <x:v>7.805929236818188</x:v>
      </x:c>
      <x:c r="Y971" s="32" t="n">
        <x:f>Y970+R971-S971-W971-Y970*V971/AB970</x:f>
        <x:v>973.0481288660893</x:v>
      </x:c>
      <x:c r="Z971" s="32" t="n">
        <x:f>Z970+W971-X971-T971-Z970*V971/AB970</x:f>
        <x:v>975.0118045988082</x:v>
      </x:c>
      <x:c r="AA971" s="32" t="n">
        <x:f>AA970+X971-U971-AA970*V971/AB970</x:f>
        <x:v>341.8350541843818</x:v>
      </x:c>
      <x:c r="AB971" s="10" t="n">
        <x:f>Y971+Z971+AA971</x:f>
        <x:v>2289.8949876492793</x:v>
      </x:c>
      <x:c r="AC971" s="8" t="n">
        <x:f>IF(AND(v01_WinterTrigger=1,D971=1,AB970/AE970&gt;=K971),1,0)</x:f>
        <x:v>0</x:v>
      </x:c>
      <x:c r="AD971" s="8" t="n">
        <x:f>H971*IF(AND(OR(AB970/AE970&gt;=v01_FissionTrigger*N971,AC971=1),AB970/AE970*v01_DaughterShare&gt;=v01_MinDaughter),MAX(1,ROUND(AE970*v01_FissionRate,0)),0)</x:f>
        <x:v>0</x:v>
      </x:c>
      <x:c r="AE971" s="8" t="n">
        <x:f>IF(H971=1,MAX(1,MIN(INDEX(v01_Smax,G971),AE970+AD971)),AE970)</x:f>
        <x:v>12</x:v>
      </x:c>
      <x:c r="AF971" s="8" t="n">
        <x:f>MAX(0,AE971-AE970)</x:f>
        <x:v>0</x:v>
      </x:c>
      <x:c r="AG971" s="9" t="str">
        <x:f>IF(AF971&gt;0,B971,"")</x:f>
      </x:c>
      <x:c r="AH971" s="9" t="n">
        <x:f>IF(F971&gt;=1,1,(1+v01_LowTiesShare*(AE971-1))/AE971)</x:f>
        <x:v>1</x:v>
      </x:c>
      <x:c r="AI971" s="32" t="n">
        <x:f>(Z971+v01_ElderCommons*INDEX(LM_Elder,G971)*AA971)*AH971</x:f>
        <x:v>2000.5169671519538</x:v>
      </x:c>
      <x:c r="AJ971" s="32" t="n">
        <x:f>H971*v01_CommonsCoef*AI971^v01_CommonsExp*INDEX(LM_Commons,G971)</x:f>
        <x:v>463.93635764450875</x:v>
      </x:c>
      <x:c r="AK971" s="32" t="n">
        <x:f>H971*v01_RoleScale*Arch_Roles*(AE971*(INDEX(v01_ElderRolePerSett,G971)*v01_OutElder*INDEX(LM_Elder,G971)+INDEX(v01_ShamanPerSett,G971)*v01_OutShaman)+Z971*(INDEX(v01_PriestShare,G971)*v01_OutPriest+INDEX(v01_ScribeShare,G971)*v01_OutScribe*INDEX(LM_Scribe,G971)+INDEX(v01_ScholarShare,G971)*v01_OutScholar*INDEX(LM_Scholar,G971)+INDEX(v01_ResearcherShare,G971)*v01_OutResearcher*INDEX(LM_Researcher,G971)))</x:f>
        <x:v>63.55080920251599</x:v>
      </x:c>
      <x:c r="AL971" s="32" t="n">
        <x:f>H971*v01_RoleScale*Arch_Roles*AE971*INDEX(v01_MonasteryPerSett,G971)*v01_OutMonastery*INDEX(LM_Monastery,G971)</x:f>
        <x:v>0</x:v>
      </x:c>
      <x:c r="AM971" s="32" t="n">
        <x:f>(AJ971+AK971+AL971)/4*INDEX(LM_All,G971)*INDEX(v01_Boon,G971)*Arch_Insight</x:f>
        <x:v>158.6556668388209</x:v>
      </x:c>
      <x:c r="AN971" s="32" t="n">
        <x:f>H971*(v01_KHPerAdult*Z971+v01_KHOfCommons*AJ971/4*INDEX(LM_All,G971))*v01_KHUsable*Arch_KH</x:f>
        <x:v>34.12541316095829</x:v>
      </x:c>
      <x:c r="AO971" s="32" t="n">
        <x:f>MIN(AP970+AN971,AM971*v01_KHMaxRatio)</x:f>
        <x:v>34.12541316095829</x:v>
      </x:c>
      <x:c r="AP971" s="32" t="n">
        <x:f>AP970+AN971-AO971</x:f>
        <x:v>0</x:v>
      </x:c>
      <x:c r="AQ971" s="32" t="n">
        <x:f>AM971+AO971</x:f>
        <x:v>192.7810799997792</x:v>
      </x:c>
      <x:c r="AR971" s="10" t="n">
        <x:f>IF(H971=1,INDEX(v01_Req,G971),0)</x:f>
        <x:v>24714.473079999996</x:v>
      </x:c>
      <x:c r="AS971" s="32" t="n">
        <x:f>IF(H971=1,IF(E971=1,AS970-AR970,AS970)+AQ971,0)</x:f>
        <x:v>12751.95437608389</x:v>
      </x:c>
      <x:c r="AT971" s="11" t="n">
        <x:f>IF(AR971&gt;0,MIN(1,AS971/AR971),1)</x:f>
        <x:v>0.5159711208410636</x:v>
      </x:c>
      <x:c r="AU971" s="10" t="n">
        <x:f>AB971/INDEX(v01_RepScale,G971)</x:f>
        <x:v>228.98949876492793</x:v>
      </x:c>
      <x:c r="AV971" s="32" t="n">
        <x:f>AM971*60/v01_SeasonSeconds</x:f>
        <x:v>634.6226673552836</x:v>
      </x:c>
    </x:row>
    <x:row r="972">
      <x:c r="A972" s="8" t="n">
        <x:f>A971+1</x:f>
        <x:v>969</x:v>
      </x:c>
      <x:c r="B972" s="9" t="n">
        <x:f>A972*v01_SeasonSeconds/60</x:f>
        <x:v>242.25</x:v>
      </x:c>
      <x:c r="C972" s="9" t="n">
        <x:f>A972/4</x:f>
        <x:v>242.25</x:v>
      </x:c>
      <x:c r="D972" s="8" t="n">
        <x:f>IF(MOD(A972,4)=0,1,0)</x:f>
        <x:v>0</x:v>
      </x:c>
      <x:c r="E972" s="8" t="n">
        <x:f>IF(AND(F971&lt;=9,AS971&gt;=AR971),1,0)</x:f>
        <x:v>0</x:v>
      </x:c>
      <x:c r="F972" s="8" t="n">
        <x:f>MIN(10,F971+E972)</x:f>
        <x:v>4</x:v>
      </x:c>
      <x:c r="G972" s="8" t="n">
        <x:f>MIN(F972,9)+1</x:f>
        <x:v>5</x:v>
      </x:c>
      <x:c r="H972" s="8" t="n">
        <x:f>IF(F972&lt;=9,1,0)</x:f>
        <x:v>1</x:v>
      </x:c>
      <x:c r="I972" s="9" t="n">
        <x:f>MIN(10,F971+IF(AR971&gt;0,MIN(1,AS971/AR971),1))</x:f>
        <x:v>4.515971120841064</x:v>
      </x:c>
      <x:c r="J972" s="32" t="n">
        <x:f>INDEX(v01_FoodCap,G972)*Arch_FoodCap*EXP(v01_CapsByProject*SUMPRODUCT((Cap_Point&lt;=I972)*(Cap_Kind="Food")*Cap_Ln))</x:f>
        <x:v>250</x:v>
      </x:c>
      <x:c r="K972" s="32" t="n">
        <x:f>J972*MIN(1,v01_LeanBase*EXP(v01_CapsByProject*SUMPRODUCT((Cap_Point&lt;=I972)*(Cap_Kind="Lean")*Cap_Ln)))</x:f>
        <x:v>250</x:v>
      </x:c>
      <x:c r="L972" s="10" t="n">
        <x:f>INDEX(v01_HousingCap,G972)*EXP(v01_CapsByProject*SUMPRODUCT((Cap_Point&lt;=I972)*(Cap_Kind="Housing")*Cap_Ln))</x:f>
        <x:v>400</x:v>
      </x:c>
      <x:c r="M972" s="10" t="n">
        <x:f>INDEX(v01_GroupCap,G972)*v01_CohesionFactor*EXP(v01_CapsByProject*SUMPRODUCT((Cap_Point&lt;=I972)*(Cap_Kind="Group")*Cap_Ln))</x:f>
        <x:v>10000</x:v>
      </x:c>
      <x:c r="N972" s="32" t="n">
        <x:f>MIN(J972,L972,M972)</x:f>
        <x:v>250</x:v>
      </x:c>
      <x:c r="O972" s="10" t="n">
        <x:f>AE971*N972</x:f>
        <x:v>3000</x:v>
      </x:c>
      <x:c r="P972" s="9" t="n">
        <x:f>MIN(1,(AB971/(AE971*IF(v01_GroupInCrowding=1,N972,MIN(J972,L972))))^v01_CrowdingExp)</x:f>
        <x:v>0.19777248503470188</x:v>
      </x:c>
      <x:c r="Q972" s="9" t="n">
        <x:f>IF(D972=1,INDEX(v01_WinterMult,G972),1)</x:f>
        <x:v>1</x:v>
      </x:c>
      <x:c r="R972" s="9" t="n">
        <x:f>H972*Z971*v01_WomenShare*v01_BaseFertility*INDEX(v01_FertMult,G972)*Arch_Fertility*(1-P972)</x:f>
        <x:v>28.158526694344772</x:v>
      </x:c>
      <x:c r="S972" s="9" t="n">
        <x:f>H972*Y971*INDEX(v01_MortChild,G972)/4*Q972</x:f>
        <x:v>6.811336902062625</x:v>
      </x:c>
      <x:c r="T972" s="9" t="n">
        <x:f>H972*Z971*INDEX(v01_MortAdult,G972)*Arch_AdultMort/4*Q972</x:f>
        <x:v>2.437529511497021</x:v>
      </x:c>
      <x:c r="U972" s="9" t="n">
        <x:f>H972*AA971*INDEX(v01_MortElder,G972)/4*Q972</x:f>
        <x:v>5.127525812765727</x:v>
      </x:c>
      <x:c r="V972" s="9" t="n">
        <x:f>H972*MAX(0,AB971-O972)*v01_OvercapLoss</x:f>
        <x:v>0</x:v>
      </x:c>
      <x:c r="W972" s="9" t="n">
        <x:f>H972*Y971/(v01_ChildYears*4)</x:f>
        <x:v>17.37585944403731</x:v>
      </x:c>
      <x:c r="X972" s="9" t="n">
        <x:f>H972*Z971/(v01_AdultYears*4)</x:f>
        <x:v>7.862998424183937</x:v>
      </x:c>
      <x:c r="Y972" s="32" t="n">
        <x:f>Y971+R972-S972-W972-Y971*V972/AB971</x:f>
        <x:v>977.0194592143341</x:v>
      </x:c>
      <x:c r="Z972" s="32" t="n">
        <x:f>Z971+W972-X972-T972-Z971*V972/AB971</x:f>
        <x:v>982.0871361071646</x:v>
      </x:c>
      <x:c r="AA972" s="32" t="n">
        <x:f>AA971+X972-U972-AA971*V972/AB971</x:f>
        <x:v>344.57052679580005</x:v>
      </x:c>
      <x:c r="AB972" s="10" t="n">
        <x:f>Y972+Z972+AA972</x:f>
        <x:v>2303.677122117299</x:v>
      </x:c>
      <x:c r="AC972" s="8" t="n">
        <x:f>IF(AND(v01_WinterTrigger=1,D972=1,AB971/AE971&gt;=K972),1,0)</x:f>
        <x:v>0</x:v>
      </x:c>
      <x:c r="AD972" s="8" t="n">
        <x:f>H972*IF(AND(OR(AB971/AE971&gt;=v01_FissionTrigger*N972,AC972=1),AB971/AE971*v01_DaughterShare&gt;=v01_MinDaughter),MAX(1,ROUND(AE971*v01_FissionRate,0)),0)</x:f>
        <x:v>0</x:v>
      </x:c>
      <x:c r="AE972" s="8" t="n">
        <x:f>IF(H972=1,MAX(1,MIN(INDEX(v01_Smax,G972),AE971+AD972)),AE971)</x:f>
        <x:v>12</x:v>
      </x:c>
      <x:c r="AF972" s="8" t="n">
        <x:f>MAX(0,AE972-AE971)</x:f>
        <x:v>0</x:v>
      </x:c>
      <x:c r="AG972" s="9" t="str">
        <x:f>IF(AF972&gt;0,B972,"")</x:f>
      </x:c>
      <x:c r="AH972" s="9" t="n">
        <x:f>IF(F972&gt;=1,1,(1+v01_LowTiesShare*(AE972-1))/AE972)</x:f>
        <x:v>1</x:v>
      </x:c>
      <x:c r="AI972" s="32" t="n">
        <x:f>(Z972+v01_ElderCommons*INDEX(LM_Elder,G972)*AA972)*AH972</x:f>
        <x:v>2015.7987164945648</x:v>
      </x:c>
      <x:c r="AJ972" s="32" t="n">
        <x:f>H972*v01_CommonsCoef*AI972^v01_CommonsExp*INDEX(LM_Commons,G972)</x:f>
        <x:v>466.94700582028315</x:v>
      </x:c>
      <x:c r="AK972" s="32" t="n">
        <x:f>H972*v01_RoleScale*Arch_Roles*(AE972*(INDEX(v01_ElderRolePerSett,G972)*v01_OutElder*INDEX(LM_Elder,G972)+INDEX(v01_ShamanPerSett,G972)*v01_OutShaman)+Z972*(INDEX(v01_PriestShare,G972)*v01_OutPriest+INDEX(v01_ScribeShare,G972)*v01_OutScribe*INDEX(LM_Scribe,G972)+INDEX(v01_ScholarShare,G972)*v01_OutScholar*INDEX(LM_Scholar,G972)+INDEX(v01_ResearcherShare,G972)*v01_OutResearcher*INDEX(LM_Researcher,G972)))</x:f>
        <x:v>63.75073612392541</x:v>
      </x:c>
      <x:c r="AL972" s="32" t="n">
        <x:f>H972*v01_RoleScale*Arch_Roles*AE972*INDEX(v01_MonasteryPerSett,G972)*v01_OutMonastery*INDEX(LM_Monastery,G972)</x:f>
        <x:v>0</x:v>
      </x:c>
      <x:c r="AM972" s="32" t="n">
        <x:f>(AJ972+AK972+AL972)/4*INDEX(LM_All,G972)*INDEX(v01_Boon,G972)*Arch_Insight</x:f>
        <x:v>159.62133191087287</x:v>
      </x:c>
      <x:c r="AN972" s="32" t="n">
        <x:f>H972*(v01_KHPerAdult*Z972+v01_KHOfCommons*AJ972/4*INDEX(LM_All,G972))*v01_KHUsable*Arch_KH</x:f>
        <x:v>34.373049763750764</x:v>
      </x:c>
      <x:c r="AO972" s="32" t="n">
        <x:f>MIN(AP971+AN972,AM972*v01_KHMaxRatio)</x:f>
        <x:v>34.373049763750764</x:v>
      </x:c>
      <x:c r="AP972" s="32" t="n">
        <x:f>AP971+AN972-AO972</x:f>
        <x:v>0</x:v>
      </x:c>
      <x:c r="AQ972" s="32" t="n">
        <x:f>AM972+AO972</x:f>
        <x:v>193.99438167462364</x:v>
      </x:c>
      <x:c r="AR972" s="10" t="n">
        <x:f>IF(H972=1,INDEX(v01_Req,G972),0)</x:f>
        <x:v>24714.473079999996</x:v>
      </x:c>
      <x:c r="AS972" s="32" t="n">
        <x:f>IF(H972=1,IF(E972=1,AS971-AR971,AS971)+AQ972,0)</x:f>
        <x:v>12945.948757758513</x:v>
      </x:c>
      <x:c r="AT972" s="11" t="n">
        <x:f>IF(AR972&gt;0,MIN(1,AS972/AR972),1)</x:f>
        <x:v>0.523820544984021</x:v>
      </x:c>
      <x:c r="AU972" s="10" t="n">
        <x:f>AB972/INDEX(v01_RepScale,G972)</x:f>
        <x:v>230.3677122117299</x:v>
      </x:c>
      <x:c r="AV972" s="32" t="n">
        <x:f>AM972*60/v01_SeasonSeconds</x:f>
        <x:v>638.4853276434915</x:v>
      </x:c>
    </x:row>
    <x:row r="973">
      <x:c r="A973" s="8" t="n">
        <x:f>A972+1</x:f>
        <x:v>970</x:v>
      </x:c>
      <x:c r="B973" s="9" t="n">
        <x:f>A973*v01_SeasonSeconds/60</x:f>
        <x:v>242.5</x:v>
      </x:c>
      <x:c r="C973" s="9" t="n">
        <x:f>A973/4</x:f>
        <x:v>242.5</x:v>
      </x:c>
      <x:c r="D973" s="8" t="n">
        <x:f>IF(MOD(A973,4)=0,1,0)</x:f>
        <x:v>0</x:v>
      </x:c>
      <x:c r="E973" s="8" t="n">
        <x:f>IF(AND(F972&lt;=9,AS972&gt;=AR972),1,0)</x:f>
        <x:v>0</x:v>
      </x:c>
      <x:c r="F973" s="8" t="n">
        <x:f>MIN(10,F972+E973)</x:f>
        <x:v>4</x:v>
      </x:c>
      <x:c r="G973" s="8" t="n">
        <x:f>MIN(F973,9)+1</x:f>
        <x:v>5</x:v>
      </x:c>
      <x:c r="H973" s="8" t="n">
        <x:f>IF(F973&lt;=9,1,0)</x:f>
        <x:v>1</x:v>
      </x:c>
      <x:c r="I973" s="9" t="n">
        <x:f>MIN(10,F972+IF(AR972&gt;0,MIN(1,AS972/AR972),1))</x:f>
        <x:v>4.523820544984021</x:v>
      </x:c>
      <x:c r="J973" s="32" t="n">
        <x:f>INDEX(v01_FoodCap,G973)*Arch_FoodCap*EXP(v01_CapsByProject*SUMPRODUCT((Cap_Point&lt;=I973)*(Cap_Kind="Food")*Cap_Ln))</x:f>
        <x:v>250</x:v>
      </x:c>
      <x:c r="K973" s="32" t="n">
        <x:f>J973*MIN(1,v01_LeanBase*EXP(v01_CapsByProject*SUMPRODUCT((Cap_Point&lt;=I973)*(Cap_Kind="Lean")*Cap_Ln)))</x:f>
        <x:v>250</x:v>
      </x:c>
      <x:c r="L973" s="10" t="n">
        <x:f>INDEX(v01_HousingCap,G973)*EXP(v01_CapsByProject*SUMPRODUCT((Cap_Point&lt;=I973)*(Cap_Kind="Housing")*Cap_Ln))</x:f>
        <x:v>400</x:v>
      </x:c>
      <x:c r="M973" s="10" t="n">
        <x:f>INDEX(v01_GroupCap,G973)*v01_CohesionFactor*EXP(v01_CapsByProject*SUMPRODUCT((Cap_Point&lt;=I973)*(Cap_Kind="Group")*Cap_Ln))</x:f>
        <x:v>10000</x:v>
      </x:c>
      <x:c r="N973" s="32" t="n">
        <x:f>MIN(J973,L973,M973)</x:f>
        <x:v>250</x:v>
      </x:c>
      <x:c r="O973" s="10" t="n">
        <x:f>AE972*N973</x:f>
        <x:v>3000</x:v>
      </x:c>
      <x:c r="P973" s="9" t="n">
        <x:f>MIN(1,(AB972/(AE972*IF(v01_GroupInCrowding=1,N973,MIN(J973,L973))))^v01_CrowdingExp)</x:f>
        <x:v>0.20502278457576317</x:v>
      </x:c>
      <x:c r="Q973" s="9" t="n">
        <x:f>IF(D973=1,INDEX(v01_WinterMult,G973),1)</x:f>
        <x:v>1</x:v>
      </x:c>
      <x:c r="R973" s="9" t="n">
        <x:f>H973*Z972*v01_WomenShare*v01_BaseFertility*INDEX(v01_FertMult,G973)*Arch_Fertility*(1-P973)</x:f>
        <x:v>28.10652828359174</x:v>
      </x:c>
      <x:c r="S973" s="9" t="n">
        <x:f>H973*Y972*INDEX(v01_MortChild,G973)/4*Q973</x:f>
        <x:v>6.839136214500339</x:v>
      </x:c>
      <x:c r="T973" s="9" t="n">
        <x:f>H973*Z972*INDEX(v01_MortAdult,G973)*Arch_AdultMort/4*Q973</x:f>
        <x:v>2.4552178402679115</x:v>
      </x:c>
      <x:c r="U973" s="9" t="n">
        <x:f>H973*AA972*INDEX(v01_MortElder,G973)/4*Q973</x:f>
        <x:v>5.1685579019370005</x:v>
      </x:c>
      <x:c r="V973" s="9" t="n">
        <x:f>H973*MAX(0,AB972-O973)*v01_OvercapLoss</x:f>
        <x:v>0</x:v>
      </x:c>
      <x:c r="W973" s="9" t="n">
        <x:f>H973*Y972/(v01_ChildYears*4)</x:f>
        <x:v>17.446776057398825</x:v>
      </x:c>
      <x:c r="X973" s="9" t="n">
        <x:f>H973*Z972/(v01_AdultYears*4)</x:f>
        <x:v>7.920057549251328</x:v>
      </x:c>
      <x:c r="Y973" s="32" t="n">
        <x:f>Y972+R973-S973-W973-Y972*V973/AB972</x:f>
        <x:v>980.8400752260268</x:v>
      </x:c>
      <x:c r="Z973" s="32" t="n">
        <x:f>Z972+W973-X973-T973-Z972*V973/AB972</x:f>
        <x:v>989.1586367750442</x:v>
      </x:c>
      <x:c r="AA973" s="32" t="n">
        <x:f>AA972+X973-U973-AA972*V973/AB972</x:f>
        <x:v>347.3220264431144</x:v>
      </x:c>
      <x:c r="AB973" s="10" t="n">
        <x:f>Y973+Z973+AA973</x:f>
        <x:v>2317.3207384441853</x:v>
      </x:c>
      <x:c r="AC973" s="8" t="n">
        <x:f>IF(AND(v01_WinterTrigger=1,D973=1,AB972/AE972&gt;=K973),1,0)</x:f>
        <x:v>0</x:v>
      </x:c>
      <x:c r="AD973" s="8" t="n">
        <x:f>H973*IF(AND(OR(AB972/AE972&gt;=v01_FissionTrigger*N973,AC973=1),AB972/AE972*v01_DaughterShare&gt;=v01_MinDaughter),MAX(1,ROUND(AE972*v01_FissionRate,0)),0)</x:f>
        <x:v>0</x:v>
      </x:c>
      <x:c r="AE973" s="8" t="n">
        <x:f>IF(H973=1,MAX(1,MIN(INDEX(v01_Smax,G973),AE972+AD973)),AE972)</x:f>
        <x:v>12</x:v>
      </x:c>
      <x:c r="AF973" s="8" t="n">
        <x:f>MAX(0,AE973-AE972)</x:f>
        <x:v>0</x:v>
      </x:c>
      <x:c r="AG973" s="9" t="str">
        <x:f>IF(AF973&gt;0,B973,"")</x:f>
      </x:c>
      <x:c r="AH973" s="9" t="n">
        <x:f>IF(F973&gt;=1,1,(1+v01_LowTiesShare*(AE973-1))/AE973)</x:f>
        <x:v>1</x:v>
      </x:c>
      <x:c r="AI973" s="32" t="n">
        <x:f>(Z973+v01_ElderCommons*INDEX(LM_Elder,G973)*AA973)*AH973</x:f>
        <x:v>2031.1247161043875</x:v>
      </x:c>
      <x:c r="AJ973" s="32" t="n">
        <x:f>H973*v01_CommonsCoef*AI973^v01_CommonsExp*INDEX(LM_Commons,G973)</x:f>
        <x:v>469.96293522378954</x:v>
      </x:c>
      <x:c r="AK973" s="32" t="n">
        <x:f>H973*v01_RoleScale*Arch_Roles*(AE973*(INDEX(v01_ElderRolePerSett,G973)*v01_OutElder*INDEX(LM_Elder,G973)+INDEX(v01_ShamanPerSett,G973)*v01_OutShaman)+Z973*(INDEX(v01_PriestShare,G973)*v01_OutPriest+INDEX(v01_ScribeShare,G973)*v01_OutScribe*INDEX(LM_Scribe,G973)+INDEX(v01_ScholarShare,G973)*v01_OutScholar*INDEX(LM_Scholar,G973)+INDEX(v01_ResearcherShare,G973)*v01_OutResearcher*INDEX(LM_Researcher,G973)))</x:f>
        <x:v>63.95055479766585</x:v>
      </x:c>
      <x:c r="AL973" s="32" t="n">
        <x:f>H973*v01_RoleScale*Arch_Roles*AE973*INDEX(v01_MonasteryPerSett,G973)*v01_OutMonastery*INDEX(LM_Monastery,G973)</x:f>
        <x:v>0</x:v>
      </x:c>
      <x:c r="AM973" s="32" t="n">
        <x:f>(AJ973+AK973+AL973)/4*INDEX(LM_All,G973)*INDEX(v01_Boon,G973)*Arch_Insight</x:f>
        <x:v>160.58855289300757</x:v>
      </x:c>
      <x:c r="AN973" s="32" t="n">
        <x:f>H973*(v01_KHPerAdult*Z973+v01_KHOfCommons*AJ973/4*INDEX(LM_All,G973))*v01_KHUsable*Arch_KH</x:f>
        <x:v>34.62055228712655</x:v>
      </x:c>
      <x:c r="AO973" s="32" t="n">
        <x:f>MIN(AP972+AN973,AM973*v01_KHMaxRatio)</x:f>
        <x:v>34.62055228712655</x:v>
      </x:c>
      <x:c r="AP973" s="32" t="n">
        <x:f>AP972+AN973-AO973</x:f>
        <x:v>0</x:v>
      </x:c>
      <x:c r="AQ973" s="32" t="n">
        <x:f>AM973+AO973</x:f>
        <x:v>195.20910518013412</x:v>
      </x:c>
      <x:c r="AR973" s="10" t="n">
        <x:f>IF(H973=1,INDEX(v01_Req,G973),0)</x:f>
        <x:v>24714.473079999996</x:v>
      </x:c>
      <x:c r="AS973" s="32" t="n">
        <x:f>IF(H973=1,IF(E973=1,AS972-AR972,AS972)+AQ973,0)</x:f>
        <x:v>13141.157862938648</x:v>
      </x:c>
      <x:c r="AT973" s="11" t="n">
        <x:f>IF(AR973&gt;0,MIN(1,AS973/AR973),1)</x:f>
        <x:v>0.5317191194164294</x:v>
      </x:c>
      <x:c r="AU973" s="10" t="n">
        <x:f>AB973/INDEX(v01_RepScale,G973)</x:f>
        <x:v>231.73207384441852</x:v>
      </x:c>
      <x:c r="AV973" s="32" t="n">
        <x:f>AM973*60/v01_SeasonSeconds</x:f>
        <x:v>642.3542115720303</x:v>
      </x:c>
    </x:row>
    <x:row r="974">
      <x:c r="A974" s="8" t="n">
        <x:f>A973+1</x:f>
        <x:v>971</x:v>
      </x:c>
      <x:c r="B974" s="9" t="n">
        <x:f>A974*v01_SeasonSeconds/60</x:f>
        <x:v>242.75</x:v>
      </x:c>
      <x:c r="C974" s="9" t="n">
        <x:f>A974/4</x:f>
        <x:v>242.75</x:v>
      </x:c>
      <x:c r="D974" s="8" t="n">
        <x:f>IF(MOD(A974,4)=0,1,0)</x:f>
        <x:v>0</x:v>
      </x:c>
      <x:c r="E974" s="8" t="n">
        <x:f>IF(AND(F973&lt;=9,AS973&gt;=AR973),1,0)</x:f>
        <x:v>0</x:v>
      </x:c>
      <x:c r="F974" s="8" t="n">
        <x:f>MIN(10,F973+E974)</x:f>
        <x:v>4</x:v>
      </x:c>
      <x:c r="G974" s="8" t="n">
        <x:f>MIN(F974,9)+1</x:f>
        <x:v>5</x:v>
      </x:c>
      <x:c r="H974" s="8" t="n">
        <x:f>IF(F974&lt;=9,1,0)</x:f>
        <x:v>1</x:v>
      </x:c>
      <x:c r="I974" s="9" t="n">
        <x:f>MIN(10,F973+IF(AR973&gt;0,MIN(1,AS973/AR973),1))</x:f>
        <x:v>4.5317191194164295</x:v>
      </x:c>
      <x:c r="J974" s="32" t="n">
        <x:f>INDEX(v01_FoodCap,G974)*Arch_FoodCap*EXP(v01_CapsByProject*SUMPRODUCT((Cap_Point&lt;=I974)*(Cap_Kind="Food")*Cap_Ln))</x:f>
        <x:v>250</x:v>
      </x:c>
      <x:c r="K974" s="32" t="n">
        <x:f>J974*MIN(1,v01_LeanBase*EXP(v01_CapsByProject*SUMPRODUCT((Cap_Point&lt;=I974)*(Cap_Kind="Lean")*Cap_Ln)))</x:f>
        <x:v>250</x:v>
      </x:c>
      <x:c r="L974" s="10" t="n">
        <x:f>INDEX(v01_HousingCap,G974)*EXP(v01_CapsByProject*SUMPRODUCT((Cap_Point&lt;=I974)*(Cap_Kind="Housing")*Cap_Ln))</x:f>
        <x:v>400</x:v>
      </x:c>
      <x:c r="M974" s="10" t="n">
        <x:f>INDEX(v01_GroupCap,G974)*v01_CohesionFactor*EXP(v01_CapsByProject*SUMPRODUCT((Cap_Point&lt;=I974)*(Cap_Kind="Group")*Cap_Ln))</x:f>
        <x:v>10000</x:v>
      </x:c>
      <x:c r="N974" s="32" t="n">
        <x:f>MIN(J974,L974,M974)</x:f>
        <x:v>250</x:v>
      </x:c>
      <x:c r="O974" s="10" t="n">
        <x:f>AE973*N974</x:f>
        <x:v>3000</x:v>
      </x:c>
      <x:c r="P974" s="9" t="n">
        <x:f>MIN(1,(AB973/(AE973*IF(v01_GroupInCrowding=1,N974,MIN(J974,L974))))^v01_CrowdingExp)</x:f>
        <x:v>0.21241704425762684</x:v>
      </x:c>
      <x:c r="Q974" s="9" t="n">
        <x:f>IF(D974=1,INDEX(v01_WinterMult,G974),1)</x:f>
        <x:v>1</x:v>
      </x:c>
      <x:c r="R974" s="9" t="n">
        <x:f>H974*Z973*v01_WomenShare*v01_BaseFertility*INDEX(v01_FertMult,G974)*Arch_Fertility*(1-P974)</x:f>
        <x:v>28.045601382577885</x:v>
      </x:c>
      <x:c r="S974" s="9" t="n">
        <x:f>H974*Y973*INDEX(v01_MortChild,G974)/4*Q974</x:f>
        <x:v>6.865880526582187</x:v>
      </x:c>
      <x:c r="T974" s="9" t="n">
        <x:f>H974*Z973*INDEX(v01_MortAdult,G974)*Arch_AdultMort/4*Q974</x:f>
        <x:v>2.4728965919376105</x:v>
      </x:c>
      <x:c r="U974" s="9" t="n">
        <x:f>H974*AA973*INDEX(v01_MortElder,G974)/4*Q974</x:f>
        <x:v>5.209830396646716</x:v>
      </x:c>
      <x:c r="V974" s="9" t="n">
        <x:f>H974*MAX(0,AB973-O974)*v01_OvercapLoss</x:f>
        <x:v>0</x:v>
      </x:c>
      <x:c r="W974" s="9" t="n">
        <x:f>H974*Y973/(v01_ChildYears*4)</x:f>
        <x:v>17.515001343321906</x:v>
      </x:c>
      <x:c r="X974" s="9" t="n">
        <x:f>H974*Z973/(v01_AdultYears*4)</x:f>
        <x:v>7.977085780443905</x:v>
      </x:c>
      <x:c r="Y974" s="32" t="n">
        <x:f>Y973+R974-S974-W974-Y973*V974/AB973</x:f>
        <x:v>984.5047947387005</x:v>
      </x:c>
      <x:c r="Z974" s="32" t="n">
        <x:f>Z973+W974-X974-T974-Z973*V974/AB973</x:f>
        <x:v>996.2236557459847</x:v>
      </x:c>
      <x:c r="AA974" s="32" t="n">
        <x:f>AA973+X974-U974-AA973*V974/AB973</x:f>
        <x:v>350.0892818269116</x:v>
      </x:c>
      <x:c r="AB974" s="10" t="n">
        <x:f>Y974+Z974+AA974</x:f>
        <x:v>2330.817732311597</x:v>
      </x:c>
      <x:c r="AC974" s="8" t="n">
        <x:f>IF(AND(v01_WinterTrigger=1,D974=1,AB973/AE973&gt;=K974),1,0)</x:f>
        <x:v>0</x:v>
      </x:c>
      <x:c r="AD974" s="8" t="n">
        <x:f>H974*IF(AND(OR(AB973/AE973&gt;=v01_FissionTrigger*N974,AC974=1),AB973/AE973*v01_DaughterShare&gt;=v01_MinDaughter),MAX(1,ROUND(AE973*v01_FissionRate,0)),0)</x:f>
        <x:v>0</x:v>
      </x:c>
      <x:c r="AE974" s="8" t="n">
        <x:f>IF(H974=1,MAX(1,MIN(INDEX(v01_Smax,G974),AE973+AD974)),AE973)</x:f>
        <x:v>12</x:v>
      </x:c>
      <x:c r="AF974" s="8" t="n">
        <x:f>MAX(0,AE974-AE973)</x:f>
        <x:v>0</x:v>
      </x:c>
      <x:c r="AG974" s="9" t="str">
        <x:f>IF(AF974&gt;0,B974,"")</x:f>
      </x:c>
      <x:c r="AH974" s="9" t="n">
        <x:f>IF(F974&gt;=1,1,(1+v01_LowTiesShare*(AE974-1))/AE974)</x:f>
        <x:v>1</x:v>
      </x:c>
      <x:c r="AI974" s="32" t="n">
        <x:f>(Z974+v01_ElderCommons*INDEX(LM_Elder,G974)*AA974)*AH974</x:f>
        <x:v>2046.4915012267193</x:v>
      </x:c>
      <x:c r="AJ974" s="32" t="n">
        <x:f>H974*v01_CommonsCoef*AI974^v01_CommonsExp*INDEX(LM_Commons,G974)</x:f>
        <x:v>472.983465365813</x:v>
      </x:c>
      <x:c r="AK974" s="32" t="n">
        <x:f>H974*v01_RoleScale*Arch_Roles*(AE974*(INDEX(v01_ElderRolePerSett,G974)*v01_OutElder*INDEX(LM_Elder,G974)+INDEX(v01_ShamanPerSett,G974)*v01_OutShaman)+Z974*(INDEX(v01_PriestShare,G974)*v01_OutPriest+INDEX(v01_ScribeShare,G974)*v01_OutScribe*INDEX(LM_Scribe,G974)+INDEX(v01_ScholarShare,G974)*v01_OutScholar*INDEX(LM_Scholar,G974)+INDEX(v01_ResearcherShare,G974)*v01_OutResearcher*INDEX(LM_Researcher,G974)))</x:f>
        <x:v>64.15019031875642</x:v>
      </x:c>
      <x:c r="AL974" s="32" t="n">
        <x:f>H974*v01_RoleScale*Arch_Roles*AE974*INDEX(v01_MonasteryPerSett,G974)*v01_OutMonastery*INDEX(LM_Monastery,G974)</x:f>
        <x:v>0</x:v>
      </x:c>
      <x:c r="AM974" s="32" t="n">
        <x:f>(AJ974+AK974+AL974)/4*INDEX(LM_All,G974)*INDEX(v01_Boon,G974)*Arch_Insight</x:f>
        <x:v>161.5571025805131</x:v>
      </x:c>
      <x:c r="AN974" s="32" t="n">
        <x:f>H974*(v01_KHPerAdult*Z974+v01_KHOfCommons*AJ974/4*INDEX(LM_All,G974))*v01_KHUsable*Arch_KH</x:f>
        <x:v>34.86782795110946</x:v>
      </x:c>
      <x:c r="AO974" s="32" t="n">
        <x:f>MIN(AP973+AN974,AM974*v01_KHMaxRatio)</x:f>
        <x:v>34.86782795110946</x:v>
      </x:c>
      <x:c r="AP974" s="32" t="n">
        <x:f>AP973+AN974-AO974</x:f>
        <x:v>0</x:v>
      </x:c>
      <x:c r="AQ974" s="32" t="n">
        <x:f>AM974+AO974</x:f>
        <x:v>196.42493053162255</x:v>
      </x:c>
      <x:c r="AR974" s="10" t="n">
        <x:f>IF(H974=1,INDEX(v01_Req,G974),0)</x:f>
        <x:v>24714.473079999996</x:v>
      </x:c>
      <x:c r="AS974" s="32" t="n">
        <x:f>IF(H974=1,IF(E974=1,AS973-AR973,AS973)+AQ974,0)</x:f>
        <x:v>13337.58279347027</x:v>
      </x:c>
      <x:c r="AT974" s="11" t="n">
        <x:f>IF(AR974&gt;0,MIN(1,AS974/AR974),1)</x:f>
        <x:v>0.5396668887213141</x:v>
      </x:c>
      <x:c r="AU974" s="10" t="n">
        <x:f>AB974/INDEX(v01_RepScale,G974)</x:f>
        <x:v>233.0817732311597</x:v>
      </x:c>
      <x:c r="AV974" s="32" t="n">
        <x:f>AM974*60/v01_SeasonSeconds</x:f>
        <x:v>646.2284103220524</x:v>
      </x:c>
    </x:row>
    <x:row r="975">
      <x:c r="A975" s="8" t="n">
        <x:f>A974+1</x:f>
        <x:v>972</x:v>
      </x:c>
      <x:c r="B975" s="9" t="n">
        <x:f>A975*v01_SeasonSeconds/60</x:f>
        <x:v>243</x:v>
      </x:c>
      <x:c r="C975" s="9" t="n">
        <x:f>A975/4</x:f>
        <x:v>243</x:v>
      </x:c>
      <x:c r="D975" s="8" t="n">
        <x:f>IF(MOD(A975,4)=0,1,0)</x:f>
        <x:v>1</x:v>
      </x:c>
      <x:c r="E975" s="8" t="n">
        <x:f>IF(AND(F974&lt;=9,AS974&gt;=AR974),1,0)</x:f>
        <x:v>0</x:v>
      </x:c>
      <x:c r="F975" s="8" t="n">
        <x:f>MIN(10,F974+E975)</x:f>
        <x:v>4</x:v>
      </x:c>
      <x:c r="G975" s="8" t="n">
        <x:f>MIN(F975,9)+1</x:f>
        <x:v>5</x:v>
      </x:c>
      <x:c r="H975" s="8" t="n">
        <x:f>IF(F975&lt;=9,1,0)</x:f>
        <x:v>1</x:v>
      </x:c>
      <x:c r="I975" s="9" t="n">
        <x:f>MIN(10,F974+IF(AR974&gt;0,MIN(1,AS974/AR974),1))</x:f>
        <x:v>4.539666888721314</x:v>
      </x:c>
      <x:c r="J975" s="32" t="n">
        <x:f>INDEX(v01_FoodCap,G975)*Arch_FoodCap*EXP(v01_CapsByProject*SUMPRODUCT((Cap_Point&lt;=I975)*(Cap_Kind="Food")*Cap_Ln))</x:f>
        <x:v>250</x:v>
      </x:c>
      <x:c r="K975" s="32" t="n">
        <x:f>J975*MIN(1,v01_LeanBase*EXP(v01_CapsByProject*SUMPRODUCT((Cap_Point&lt;=I975)*(Cap_Kind="Lean")*Cap_Ln)))</x:f>
        <x:v>250</x:v>
      </x:c>
      <x:c r="L975" s="10" t="n">
        <x:f>INDEX(v01_HousingCap,G975)*EXP(v01_CapsByProject*SUMPRODUCT((Cap_Point&lt;=I975)*(Cap_Kind="Housing")*Cap_Ln))</x:f>
        <x:v>400</x:v>
      </x:c>
      <x:c r="M975" s="10" t="n">
        <x:f>INDEX(v01_GroupCap,G975)*v01_CohesionFactor*EXP(v01_CapsByProject*SUMPRODUCT((Cap_Point&lt;=I975)*(Cap_Kind="Group")*Cap_Ln))</x:f>
        <x:v>10000</x:v>
      </x:c>
      <x:c r="N975" s="32" t="n">
        <x:f>MIN(J975,L975,M975)</x:f>
        <x:v>250</x:v>
      </x:c>
      <x:c r="O975" s="10" t="n">
        <x:f>AE974*N975</x:f>
        <x:v>3000</x:v>
      </x:c>
      <x:c r="P975" s="9" t="n">
        <x:f>MIN(1,(AB974/(AE974*IF(v01_GroupInCrowding=1,N975,MIN(J975,L975))))^v01_CrowdingExp)</x:f>
        <x:v>0.2199491825920983</x:v>
      </x:c>
      <x:c r="Q975" s="9" t="n">
        <x:f>IF(D975=1,INDEX(v01_WinterMult,G975),1)</x:f>
        <x:v>1</x:v>
      </x:c>
      <x:c r="R975" s="9" t="n">
        <x:f>H975*Z974*v01_WomenShare*v01_BaseFertility*INDEX(v01_FertMult,G975)*Arch_Fertility*(1-P975)</x:f>
        <x:v>27.975782771486763</x:v>
      </x:c>
      <x:c r="S975" s="9" t="n">
        <x:f>H975*Y974*INDEX(v01_MortChild,G975)/4*Q975</x:f>
        <x:v>6.891533563170904</x:v>
      </x:c>
      <x:c r="T975" s="9" t="n">
        <x:f>H975*Z974*INDEX(v01_MortAdult,G975)*Arch_AdultMort/4*Q975</x:f>
        <x:v>2.490559139364962</x:v>
      </x:c>
      <x:c r="U975" s="9" t="n">
        <x:f>H975*AA974*INDEX(v01_MortElder,G975)/4*Q975</x:f>
        <x:v>5.251339227403673</x:v>
      </x:c>
      <x:c r="V975" s="9" t="n">
        <x:f>H975*MAX(0,AB974-O975)*v01_OvercapLoss</x:f>
        <x:v>0</x:v>
      </x:c>
      <x:c r="W975" s="9" t="n">
        <x:f>H975*Y974/(v01_ChildYears*4)</x:f>
        <x:v>17.58044276319108</x:v>
      </x:c>
      <x:c r="X975" s="9" t="n">
        <x:f>H975*Z974/(v01_AdultYears*4)</x:f>
        <x:v>8.034061739886974</x:v>
      </x:c>
      <x:c r="Y975" s="32" t="n">
        <x:f>Y974+R975-S975-W975-Y974*V975/AB974</x:f>
        <x:v>988.0086011838252</x:v>
      </x:c>
      <x:c r="Z975" s="32" t="n">
        <x:f>Z974+W975-X975-T975-Z974*V975/AB974</x:f>
        <x:v>1003.2794776299238</x:v>
      </x:c>
      <x:c r="AA975" s="32" t="n">
        <x:f>AA974+X975-U975-AA974*V975/AB974</x:f>
        <x:v>352.8720043393949</x:v>
      </x:c>
      <x:c r="AB975" s="10" t="n">
        <x:f>Y975+Z975+AA975</x:f>
        <x:v>2344.160083153144</x:v>
      </x:c>
      <x:c r="AC975" s="8" t="n">
        <x:f>IF(AND(v01_WinterTrigger=1,D975=1,AB974/AE974&gt;=K975),1,0)</x:f>
        <x:v>0</x:v>
      </x:c>
      <x:c r="AD975" s="8" t="n">
        <x:f>H975*IF(AND(OR(AB974/AE974&gt;=v01_FissionTrigger*N975,AC975=1),AB974/AE974*v01_DaughterShare&gt;=v01_MinDaughter),MAX(1,ROUND(AE974*v01_FissionRate,0)),0)</x:f>
        <x:v>0</x:v>
      </x:c>
      <x:c r="AE975" s="8" t="n">
        <x:f>IF(H975=1,MAX(1,MIN(INDEX(v01_Smax,G975),AE974+AD975)),AE974)</x:f>
        <x:v>12</x:v>
      </x:c>
      <x:c r="AF975" s="8" t="n">
        <x:f>MAX(0,AE975-AE974)</x:f>
        <x:v>0</x:v>
      </x:c>
      <x:c r="AG975" s="9" t="str">
        <x:f>IF(AF975&gt;0,B975,"")</x:f>
      </x:c>
      <x:c r="AH975" s="9" t="n">
        <x:f>IF(F975&gt;=1,1,(1+v01_LowTiesShare*(AE975-1))/AE975)</x:f>
        <x:v>1</x:v>
      </x:c>
      <x:c r="AI975" s="32" t="n">
        <x:f>(Z975+v01_ElderCommons*INDEX(LM_Elder,G975)*AA975)*AH975</x:f>
        <x:v>2061.8954906481085</x:v>
      </x:c>
      <x:c r="AJ975" s="32" t="n">
        <x:f>H975*v01_CommonsCoef*AI975^v01_CommonsExp*INDEX(LM_Commons,G975)</x:f>
        <x:v>476.00789591214544</x:v>
      </x:c>
      <x:c r="AK975" s="32" t="n">
        <x:f>H975*v01_RoleScale*Arch_Roles*(AE975*(INDEX(v01_ElderRolePerSett,G975)*v01_OutElder*INDEX(LM_Elder,G975)+INDEX(v01_ShamanPerSett,G975)*v01_OutShaman)+Z975*(INDEX(v01_PriestShare,G975)*v01_OutPriest+INDEX(v01_ScribeShare,G975)*v01_OutScribe*INDEX(LM_Scribe,G975)+INDEX(v01_ScholarShare,G975)*v01_OutScholar*INDEX(LM_Scholar,G975)+INDEX(v01_ResearcherShare,G975)*v01_OutResearcher*INDEX(LM_Researcher,G975)))</x:f>
        <x:v>64.34956595869683</x:v>
      </x:c>
      <x:c r="AL975" s="32" t="n">
        <x:f>H975*v01_RoleScale*Arch_Roles*AE975*INDEX(v01_MonasteryPerSett,G975)*v01_OutMonastery*INDEX(LM_Monastery,G975)</x:f>
        <x:v>0</x:v>
      </x:c>
      <x:c r="AM975" s="32" t="n">
        <x:f>(AJ975+AK975+AL975)/4*INDEX(LM_All,G975)*INDEX(v01_Boon,G975)*Arch_Insight</x:f>
        <x:v>162.52674725130097</x:v>
      </x:c>
      <x:c r="AN975" s="32" t="n">
        <x:f>H975*(v01_KHPerAdult*Z975+v01_KHOfCommons*AJ975/4*INDEX(LM_All,G975))*v01_KHUsable*Arch_KH</x:f>
        <x:v>35.11478171704733</x:v>
      </x:c>
      <x:c r="AO975" s="32" t="n">
        <x:f>MIN(AP974+AN975,AM975*v01_KHMaxRatio)</x:f>
        <x:v>35.11478171704733</x:v>
      </x:c>
      <x:c r="AP975" s="32" t="n">
        <x:f>AP974+AN975-AO975</x:f>
        <x:v>0</x:v>
      </x:c>
      <x:c r="AQ975" s="32" t="n">
        <x:f>AM975+AO975</x:f>
        <x:v>197.6415289683483</x:v>
      </x:c>
      <x:c r="AR975" s="10" t="n">
        <x:f>IF(H975=1,INDEX(v01_Req,G975),0)</x:f>
        <x:v>24714.473079999996</x:v>
      </x:c>
      <x:c r="AS975" s="32" t="n">
        <x:f>IF(H975=1,IF(E975=1,AS974-AR974,AS974)+AQ975,0)</x:f>
        <x:v>13535.224322438618</x:v>
      </x:c>
      <x:c r="AT975" s="11" t="n">
        <x:f>IF(AR975&gt;0,MIN(1,AS975/AR975),1)</x:f>
        <x:v>0.5476638841793434</x:v>
      </x:c>
      <x:c r="AU975" s="10" t="n">
        <x:f>AB975/INDEX(v01_RepScale,G975)</x:f>
        <x:v>234.4160083153144</x:v>
      </x:c>
      <x:c r="AV975" s="32" t="n">
        <x:f>AM975*60/v01_SeasonSeconds</x:f>
        <x:v>650.1069890052039</x:v>
      </x:c>
    </x:row>
    <x:row r="976">
      <x:c r="A976" s="8" t="n">
        <x:f>A975+1</x:f>
        <x:v>973</x:v>
      </x:c>
      <x:c r="B976" s="9" t="n">
        <x:f>A976*v01_SeasonSeconds/60</x:f>
        <x:v>243.25</x:v>
      </x:c>
      <x:c r="C976" s="9" t="n">
        <x:f>A976/4</x:f>
        <x:v>243.25</x:v>
      </x:c>
      <x:c r="D976" s="8" t="n">
        <x:f>IF(MOD(A976,4)=0,1,0)</x:f>
        <x:v>0</x:v>
      </x:c>
      <x:c r="E976" s="8" t="n">
        <x:f>IF(AND(F975&lt;=9,AS975&gt;=AR975),1,0)</x:f>
        <x:v>0</x:v>
      </x:c>
      <x:c r="F976" s="8" t="n">
        <x:f>MIN(10,F975+E976)</x:f>
        <x:v>4</x:v>
      </x:c>
      <x:c r="G976" s="8" t="n">
        <x:f>MIN(F976,9)+1</x:f>
        <x:v>5</x:v>
      </x:c>
      <x:c r="H976" s="8" t="n">
        <x:f>IF(F976&lt;=9,1,0)</x:f>
        <x:v>1</x:v>
      </x:c>
      <x:c r="I976" s="9" t="n">
        <x:f>MIN(10,F975+IF(AR975&gt;0,MIN(1,AS975/AR975),1))</x:f>
        <x:v>4.547663884179343</x:v>
      </x:c>
      <x:c r="J976" s="32" t="n">
        <x:f>INDEX(v01_FoodCap,G976)*Arch_FoodCap*EXP(v01_CapsByProject*SUMPRODUCT((Cap_Point&lt;=I976)*(Cap_Kind="Food")*Cap_Ln))</x:f>
        <x:v>250</x:v>
      </x:c>
      <x:c r="K976" s="32" t="n">
        <x:f>J976*MIN(1,v01_LeanBase*EXP(v01_CapsByProject*SUMPRODUCT((Cap_Point&lt;=I976)*(Cap_Kind="Lean")*Cap_Ln)))</x:f>
        <x:v>250</x:v>
      </x:c>
      <x:c r="L976" s="10" t="n">
        <x:f>INDEX(v01_HousingCap,G976)*EXP(v01_CapsByProject*SUMPRODUCT((Cap_Point&lt;=I976)*(Cap_Kind="Housing")*Cap_Ln))</x:f>
        <x:v>400</x:v>
      </x:c>
      <x:c r="M976" s="10" t="n">
        <x:f>INDEX(v01_GroupCap,G976)*v01_CohesionFactor*EXP(v01_CapsByProject*SUMPRODUCT((Cap_Point&lt;=I976)*(Cap_Kind="Group")*Cap_Ln))</x:f>
        <x:v>10000</x:v>
      </x:c>
      <x:c r="N976" s="32" t="n">
        <x:f>MIN(J976,L976,M976)</x:f>
        <x:v>250</x:v>
      </x:c>
      <x:c r="O976" s="10" t="n">
        <x:f>AE975*N976</x:f>
        <x:v>3000</x:v>
      </x:c>
      <x:c r="P976" s="9" t="n">
        <x:f>MIN(1,(AB975/(AE975*IF(v01_GroupInCrowding=1,N976,MIN(J976,L976))))^v01_CrowdingExp)</x:f>
        <x:v>0.2276124796913952</x:v>
      </x:c>
      <x:c r="Q976" s="9" t="n">
        <x:f>IF(D976=1,INDEX(v01_WinterMult,G976),1)</x:f>
        <x:v>1</x:v>
      </x:c>
      <x:c r="R976" s="9" t="n">
        <x:f>H976*Z975*v01_WomenShare*v01_BaseFertility*INDEX(v01_FertMult,G976)*Arch_Fertility*(1-P976)</x:f>
        <x:v>27.89713972451121</x:v>
      </x:c>
      <x:c r="S976" s="9" t="n">
        <x:f>H976*Y975*INDEX(v01_MortChild,G976)/4*Q976</x:f>
        <x:v>6.916060208286777</x:v>
      </x:c>
      <x:c r="T976" s="9" t="n">
        <x:f>H976*Z975*INDEX(v01_MortAdult,G976)*Arch_AdultMort/4*Q976</x:f>
        <x:v>2.5081986940748098</x:v>
      </x:c>
      <x:c r="U976" s="9" t="n">
        <x:f>H976*AA975*INDEX(v01_MortElder,G976)/4*Q976</x:f>
        <x:v>5.2930800650909235</x:v>
      </x:c>
      <x:c r="V976" s="9" t="n">
        <x:f>H976*MAX(0,AB975-O976)*v01_OvercapLoss</x:f>
        <x:v>0</x:v>
      </x:c>
      <x:c r="W976" s="9" t="n">
        <x:f>H976*Y975/(v01_ChildYears*4)</x:f>
        <x:v>17.643010735425452</x:v>
      </x:c>
      <x:c r="X976" s="9" t="n">
        <x:f>H976*Z975/(v01_AdultYears*4)</x:f>
        <x:v>8.090963529273578</x:v>
      </x:c>
      <x:c r="Y976" s="32" t="n">
        <x:f>Y975+R976-S976-W976-Y975*V976/AB975</x:f>
        <x:v>991.3466699646242</x:v>
      </x:c>
      <x:c r="Z976" s="32" t="n">
        <x:f>Z975+W976-X976-T976-Z975*V976/AB975</x:f>
        <x:v>1010.3233261420008</x:v>
      </x:c>
      <x:c r="AA976" s="32" t="n">
        <x:f>AA975+X976-U976-AA975*V976/AB975</x:f>
        <x:v>355.6698878035775</x:v>
      </x:c>
      <x:c r="AB976" s="10" t="n">
        <x:f>Y976+Z976+AA976</x:f>
        <x:v>2357.339883910203</x:v>
      </x:c>
      <x:c r="AC976" s="8" t="n">
        <x:f>IF(AND(v01_WinterTrigger=1,D976=1,AB975/AE975&gt;=K976),1,0)</x:f>
        <x:v>0</x:v>
      </x:c>
      <x:c r="AD976" s="8" t="n">
        <x:f>H976*IF(AND(OR(AB975/AE975&gt;=v01_FissionTrigger*N976,AC976=1),AB975/AE975*v01_DaughterShare&gt;=v01_MinDaughter),MAX(1,ROUND(AE975*v01_FissionRate,0)),0)</x:f>
        <x:v>0</x:v>
      </x:c>
      <x:c r="AE976" s="8" t="n">
        <x:f>IF(H976=1,MAX(1,MIN(INDEX(v01_Smax,G976),AE975+AD976)),AE975)</x:f>
        <x:v>12</x:v>
      </x:c>
      <x:c r="AF976" s="8" t="n">
        <x:f>MAX(0,AE976-AE975)</x:f>
        <x:v>0</x:v>
      </x:c>
      <x:c r="AG976" s="9" t="str">
        <x:f>IF(AF976&gt;0,B976,"")</x:f>
      </x:c>
      <x:c r="AH976" s="9" t="n">
        <x:f>IF(F976&gt;=1,1,(1+v01_LowTiesShare*(AE976-1))/AE976)</x:f>
        <x:v>1</x:v>
      </x:c>
      <x:c r="AI976" s="32" t="n">
        <x:f>(Z976+v01_ElderCommons*INDEX(LM_Elder,G976)*AA976)*AH976</x:f>
        <x:v>2077.3329895527336</x:v>
      </x:c>
      <x:c r="AJ976" s="32" t="n">
        <x:f>H976*v01_CommonsCoef*AI976^v01_CommonsExp*INDEX(LM_Commons,G976)</x:f>
        <x:v>479.03550732615207</x:v>
      </x:c>
      <x:c r="AK976" s="32" t="n">
        <x:f>H976*v01_RoleScale*Arch_Roles*(AE976*(INDEX(v01_ElderRolePerSett,G976)*v01_OutElder*INDEX(LM_Elder,G976)+INDEX(v01_ShamanPerSett,G976)*v01_OutShaman)+Z976*(INDEX(v01_PriestShare,G976)*v01_OutPriest+INDEX(v01_ScribeShare,G976)*v01_OutScribe*INDEX(LM_Scribe,G976)+INDEX(v01_ScholarShare,G976)*v01_OutScholar*INDEX(LM_Scholar,G976)+INDEX(v01_ResearcherShare,G976)*v01_OutResearcher*INDEX(LM_Researcher,G976)))</x:f>
        <x:v>64.5486032682887</x:v>
      </x:c>
      <x:c r="AL976" s="32" t="n">
        <x:f>H976*v01_RoleScale*Arch_Roles*AE976*INDEX(v01_MonasteryPerSett,G976)*v01_OutMonastery*INDEX(LM_Monastery,G976)</x:f>
        <x:v>0</x:v>
      </x:c>
      <x:c r="AM976" s="32" t="n">
        <x:f>(AJ976+AK976+AL976)/4*INDEX(LM_All,G976)*INDEX(v01_Boon,G976)*Arch_Insight</x:f>
        <x:v>163.49724689010188</x:v>
      </x:c>
      <x:c r="AN976" s="32" t="n">
        <x:f>H976*(v01_KHPerAdult*Z976+v01_KHOfCommons*AJ976/4*INDEX(LM_All,G976))*v01_KHUsable*Arch_KH</x:f>
        <x:v>35.36131641497003</x:v>
      </x:c>
      <x:c r="AO976" s="32" t="n">
        <x:f>MIN(AP975+AN976,AM976*v01_KHMaxRatio)</x:f>
        <x:v>35.36131641497003</x:v>
      </x:c>
      <x:c r="AP976" s="32" t="n">
        <x:f>AP975+AN976-AO976</x:f>
        <x:v>0</x:v>
      </x:c>
      <x:c r="AQ976" s="32" t="n">
        <x:f>AM976+AO976</x:f>
        <x:v>198.8585633050719</x:v>
      </x:c>
      <x:c r="AR976" s="10" t="n">
        <x:f>IF(H976=1,INDEX(v01_Req,G976),0)</x:f>
        <x:v>24714.473079999996</x:v>
      </x:c>
      <x:c r="AS976" s="32" t="n">
        <x:f>IF(H976=1,IF(E976=1,AS975-AR975,AS975)+AQ976,0)</x:f>
        <x:v>13734.08288574369</x:v>
      </x:c>
      <x:c r="AT976" s="11" t="n">
        <x:f>IF(AR976&gt;0,MIN(1,AS976/AR976),1)</x:f>
        <x:v>0.5557101234279559</x:v>
      </x:c>
      <x:c r="AU976" s="10" t="n">
        <x:f>AB976/INDEX(v01_RepScale,G976)</x:f>
        <x:v>235.7339883910203</x:v>
      </x:c>
      <x:c r="AV976" s="32" t="n">
        <x:f>AM976*60/v01_SeasonSeconds</x:f>
        <x:v>653.9889875604075</x:v>
      </x:c>
    </x:row>
    <x:row r="977">
      <x:c r="A977" s="8" t="n">
        <x:f>A976+1</x:f>
        <x:v>974</x:v>
      </x:c>
      <x:c r="B977" s="9" t="n">
        <x:f>A977*v01_SeasonSeconds/60</x:f>
        <x:v>243.5</x:v>
      </x:c>
      <x:c r="C977" s="9" t="n">
        <x:f>A977/4</x:f>
        <x:v>243.5</x:v>
      </x:c>
      <x:c r="D977" s="8" t="n">
        <x:f>IF(MOD(A977,4)=0,1,0)</x:f>
        <x:v>0</x:v>
      </x:c>
      <x:c r="E977" s="8" t="n">
        <x:f>IF(AND(F976&lt;=9,AS976&gt;=AR976),1,0)</x:f>
        <x:v>0</x:v>
      </x:c>
      <x:c r="F977" s="8" t="n">
        <x:f>MIN(10,F976+E977)</x:f>
        <x:v>4</x:v>
      </x:c>
      <x:c r="G977" s="8" t="n">
        <x:f>MIN(F977,9)+1</x:f>
        <x:v>5</x:v>
      </x:c>
      <x:c r="H977" s="8" t="n">
        <x:f>IF(F977&lt;=9,1,0)</x:f>
        <x:v>1</x:v>
      </x:c>
      <x:c r="I977" s="9" t="n">
        <x:f>MIN(10,F976+IF(AR976&gt;0,MIN(1,AS976/AR976),1))</x:f>
        <x:v>4.555710123427956</x:v>
      </x:c>
      <x:c r="J977" s="32" t="n">
        <x:f>INDEX(v01_FoodCap,G977)*Arch_FoodCap*EXP(v01_CapsByProject*SUMPRODUCT((Cap_Point&lt;=I977)*(Cap_Kind="Food")*Cap_Ln))</x:f>
        <x:v>250</x:v>
      </x:c>
      <x:c r="K977" s="32" t="n">
        <x:f>J977*MIN(1,v01_LeanBase*EXP(v01_CapsByProject*SUMPRODUCT((Cap_Point&lt;=I977)*(Cap_Kind="Lean")*Cap_Ln)))</x:f>
        <x:v>250</x:v>
      </x:c>
      <x:c r="L977" s="10" t="n">
        <x:f>INDEX(v01_HousingCap,G977)*EXP(v01_CapsByProject*SUMPRODUCT((Cap_Point&lt;=I977)*(Cap_Kind="Housing")*Cap_Ln))</x:f>
        <x:v>400</x:v>
      </x:c>
      <x:c r="M977" s="10" t="n">
        <x:f>INDEX(v01_GroupCap,G977)*v01_CohesionFactor*EXP(v01_CapsByProject*SUMPRODUCT((Cap_Point&lt;=I977)*(Cap_Kind="Group")*Cap_Ln))</x:f>
        <x:v>10000</x:v>
      </x:c>
      <x:c r="N977" s="32" t="n">
        <x:f>MIN(J977,L977,M977)</x:f>
        <x:v>250</x:v>
      </x:c>
      <x:c r="O977" s="10" t="n">
        <x:f>AE976*N977</x:f>
        <x:v>3000</x:v>
      </x:c>
      <x:c r="P977" s="9" t="n">
        <x:f>MIN(1,(AB976/(AE976*IF(v01_GroupInCrowding=1,N977,MIN(J977,L977))))^v01_CrowdingExp)</x:f>
        <x:v>0.23539958686768947</x:v>
      </x:c>
      <x:c r="Q977" s="9" t="n">
        <x:f>IF(D977=1,INDEX(v01_WinterMult,G977),1)</x:f>
        <x:v>1</x:v>
      </x:c>
      <x:c r="R977" s="9" t="n">
        <x:f>H977*Z976*v01_WomenShare*v01_BaseFertility*INDEX(v01_FertMult,G977)*Arch_Fertility*(1-P977)</x:f>
        <x:v>27.80977077235382</x:v>
      </x:c>
      <x:c r="S977" s="9" t="n">
        <x:f>H977*Y976*INDEX(v01_MortChild,G977)/4*Q977</x:f>
        <x:v>6.939426689752369</x:v>
      </x:c>
      <x:c r="T977" s="9" t="n">
        <x:f>H977*Z976*INDEX(v01_MortAdult,G977)*Arch_AdultMort/4*Q977</x:f>
        <x:v>2.525808315355002</x:v>
      </x:c>
      <x:c r="U977" s="9" t="n">
        <x:f>H977*AA976*INDEX(v01_MortElder,G977)/4*Q977</x:f>
        <x:v>5.335048317053663</x:v>
      </x:c>
      <x:c r="V977" s="9" t="n">
        <x:f>H977*MAX(0,AB976-O977)*v01_OvercapLoss</x:f>
        <x:v>0</x:v>
      </x:c>
      <x:c r="W977" s="9" t="n">
        <x:f>H977*Y976/(v01_ChildYears*4)</x:f>
        <x:v>17.702619106511147</x:v>
      </x:c>
      <x:c r="X977" s="9" t="n">
        <x:f>H977*Z976/(v01_AdultYears*4)</x:f>
        <x:v>8.147768759209685</x:v>
      </x:c>
      <x:c r="Y977" s="32" t="n">
        <x:f>Y976+R977-S977-W977-Y976*V977/AB976</x:f>
        <x:v>994.5143949407144</x:v>
      </x:c>
      <x:c r="Z977" s="32" t="n">
        <x:f>Z976+W977-X977-T977-Z976*V977/AB976</x:f>
        <x:v>1017.3523681739473</x:v>
      </x:c>
      <x:c r="AA977" s="32" t="n">
        <x:f>AA976+X977-U977-AA976*V977/AB976</x:f>
        <x:v>358.4826082457335</x:v>
      </x:c>
      <x:c r="AB977" s="10" t="n">
        <x:f>Y977+Z977+AA977</x:f>
        <x:v>2370.3493713603953</x:v>
      </x:c>
      <x:c r="AC977" s="8" t="n">
        <x:f>IF(AND(v01_WinterTrigger=1,D977=1,AB976/AE976&gt;=K977),1,0)</x:f>
        <x:v>0</x:v>
      </x:c>
      <x:c r="AD977" s="8" t="n">
        <x:f>H977*IF(AND(OR(AB976/AE976&gt;=v01_FissionTrigger*N977,AC977=1),AB976/AE976*v01_DaughterShare&gt;=v01_MinDaughter),MAX(1,ROUND(AE976*v01_FissionRate,0)),0)</x:f>
        <x:v>0</x:v>
      </x:c>
      <x:c r="AE977" s="8" t="n">
        <x:f>IF(H977=1,MAX(1,MIN(INDEX(v01_Smax,G977),AE976+AD977)),AE976)</x:f>
        <x:v>12</x:v>
      </x:c>
      <x:c r="AF977" s="8" t="n">
        <x:f>MAX(0,AE977-AE976)</x:f>
        <x:v>0</x:v>
      </x:c>
      <x:c r="AG977" s="9" t="str">
        <x:f>IF(AF977&gt;0,B977,"")</x:f>
      </x:c>
      <x:c r="AH977" s="9" t="n">
        <x:f>IF(F977&gt;=1,1,(1+v01_LowTiesShare*(AE977-1))/AE977)</x:f>
        <x:v>1</x:v>
      </x:c>
      <x:c r="AI977" s="32" t="n">
        <x:f>(Z977+v01_ElderCommons*INDEX(LM_Elder,G977)*AA977)*AH977</x:f>
        <x:v>2092.800192911148</x:v>
      </x:c>
      <x:c r="AJ977" s="32" t="n">
        <x:f>H977*v01_CommonsCoef*AI977^v01_CommonsExp*INDEX(LM_Commons,G977)</x:f>
        <x:v>482.0655616087008</x:v>
      </x:c>
      <x:c r="AK977" s="32" t="n">
        <x:f>H977*v01_RoleScale*Arch_Roles*(AE977*(INDEX(v01_ElderRolePerSett,G977)*v01_OutElder*INDEX(LM_Elder,G977)+INDEX(v01_ShamanPerSett,G977)*v01_OutShaman)+Z977*(INDEX(v01_PriestShare,G977)*v01_OutPriest+INDEX(v01_ScribeShare,G977)*v01_OutScribe*INDEX(LM_Scribe,G977)+INDEX(v01_ScholarShare,G977)*v01_OutScholar*INDEX(LM_Scholar,G977)+INDEX(v01_ResearcherShare,G977)*v01_OutResearcher*INDEX(LM_Researcher,G977)))</x:f>
        <x:v>64.7472221926804</x:v>
      </x:c>
      <x:c r="AL977" s="32" t="n">
        <x:f>H977*v01_RoleScale*Arch_Roles*AE977*INDEX(v01_MonasteryPerSett,G977)*v01_OutMonastery*INDEX(LM_Monastery,G977)</x:f>
        <x:v>0</x:v>
      </x:c>
      <x:c r="AM977" s="32" t="n">
        <x:f>(AJ977+AK977+AL977)/4*INDEX(LM_All,G977)*INDEX(v01_Boon,G977)*Arch_Insight</x:f>
        <x:v>164.46835544562117</x:v>
      </x:c>
      <x:c r="AN977" s="32" t="n">
        <x:f>H977*(v01_KHPerAdult*Z977+v01_KHOfCommons*AJ977/4*INDEX(LM_All,G977))*v01_KHUsable*Arch_KH</x:f>
        <x:v>35.60733288608815</x:v>
      </x:c>
      <x:c r="AO977" s="32" t="n">
        <x:f>MIN(AP976+AN977,AM977*v01_KHMaxRatio)</x:f>
        <x:v>35.60733288608815</x:v>
      </x:c>
      <x:c r="AP977" s="32" t="n">
        <x:f>AP976+AN977-AO977</x:f>
        <x:v>0</x:v>
      </x:c>
      <x:c r="AQ977" s="32" t="n">
        <x:f>AM977+AO977</x:f>
        <x:v>200.07568833170933</x:v>
      </x:c>
      <x:c r="AR977" s="10" t="n">
        <x:f>IF(H977=1,INDEX(v01_Req,G977),0)</x:f>
        <x:v>24714.473079999996</x:v>
      </x:c>
      <x:c r="AS977" s="32" t="n">
        <x:f>IF(H977=1,IF(E977=1,AS976-AR976,AS976)+AQ977,0)</x:f>
        <x:v>13934.1585740754</x:v>
      </x:c>
      <x:c r="AT977" s="11" t="n">
        <x:f>IF(AR977&gt;0,MIN(1,AS977/AR977),1)</x:f>
        <x:v>0.5638056101366578</x:v>
      </x:c>
      <x:c r="AU977" s="10" t="n">
        <x:f>AB977/INDEX(v01_RepScale,G977)</x:f>
        <x:v>237.03493713603953</x:v>
      </x:c>
      <x:c r="AV977" s="32" t="n">
        <x:f>AM977*60/v01_SeasonSeconds</x:f>
        <x:v>657.8734217824847</x:v>
      </x:c>
    </x:row>
    <x:row r="978">
      <x:c r="A978" s="8" t="n">
        <x:f>A977+1</x:f>
        <x:v>975</x:v>
      </x:c>
      <x:c r="B978" s="9" t="n">
        <x:f>A978*v01_SeasonSeconds/60</x:f>
        <x:v>243.75</x:v>
      </x:c>
      <x:c r="C978" s="9" t="n">
        <x:f>A978/4</x:f>
        <x:v>243.75</x:v>
      </x:c>
      <x:c r="D978" s="8" t="n">
        <x:f>IF(MOD(A978,4)=0,1,0)</x:f>
        <x:v>0</x:v>
      </x:c>
      <x:c r="E978" s="8" t="n">
        <x:f>IF(AND(F977&lt;=9,AS977&gt;=AR977),1,0)</x:f>
        <x:v>0</x:v>
      </x:c>
      <x:c r="F978" s="8" t="n">
        <x:f>MIN(10,F977+E978)</x:f>
        <x:v>4</x:v>
      </x:c>
      <x:c r="G978" s="8" t="n">
        <x:f>MIN(F978,9)+1</x:f>
        <x:v>5</x:v>
      </x:c>
      <x:c r="H978" s="8" t="n">
        <x:f>IF(F978&lt;=9,1,0)</x:f>
        <x:v>1</x:v>
      </x:c>
      <x:c r="I978" s="9" t="n">
        <x:f>MIN(10,F977+IF(AR977&gt;0,MIN(1,AS977/AR977),1))</x:f>
        <x:v>4.563805610136658</x:v>
      </x:c>
      <x:c r="J978" s="32" t="n">
        <x:f>INDEX(v01_FoodCap,G978)*Arch_FoodCap*EXP(v01_CapsByProject*SUMPRODUCT((Cap_Point&lt;=I978)*(Cap_Kind="Food")*Cap_Ln))</x:f>
        <x:v>250</x:v>
      </x:c>
      <x:c r="K978" s="32" t="n">
        <x:f>J978*MIN(1,v01_LeanBase*EXP(v01_CapsByProject*SUMPRODUCT((Cap_Point&lt;=I978)*(Cap_Kind="Lean")*Cap_Ln)))</x:f>
        <x:v>250</x:v>
      </x:c>
      <x:c r="L978" s="10" t="n">
        <x:f>INDEX(v01_HousingCap,G978)*EXP(v01_CapsByProject*SUMPRODUCT((Cap_Point&lt;=I978)*(Cap_Kind="Housing")*Cap_Ln))</x:f>
        <x:v>400</x:v>
      </x:c>
      <x:c r="M978" s="10" t="n">
        <x:f>INDEX(v01_GroupCap,G978)*v01_CohesionFactor*EXP(v01_CapsByProject*SUMPRODUCT((Cap_Point&lt;=I978)*(Cap_Kind="Group")*Cap_Ln))</x:f>
        <x:v>10000</x:v>
      </x:c>
      <x:c r="N978" s="32" t="n">
        <x:f>MIN(J978,L978,M978)</x:f>
        <x:v>250</x:v>
      </x:c>
      <x:c r="O978" s="10" t="n">
        <x:f>AE977*N978</x:f>
        <x:v>3000</x:v>
      </x:c>
      <x:c r="P978" s="9" t="n">
        <x:f>MIN(1,(AB977/(AE977*IF(v01_GroupInCrowding=1,N978,MIN(J978,L978))))^v01_CrowdingExp)</x:f>
        <x:v>0.2433025418502761</x:v>
      </x:c>
      <x:c r="Q978" s="9" t="n">
        <x:f>IF(D978=1,INDEX(v01_WinterMult,G978),1)</x:f>
        <x:v>1</x:v>
      </x:c>
      <x:c r="R978" s="9" t="n">
        <x:f>H978*Z977*v01_WomenShare*v01_BaseFertility*INDEX(v01_FertMult,G978)*Arch_Fertility*(1-P978)</x:f>
        <x:v>27.713806237433804</x:v>
      </x:c>
      <x:c r="S978" s="9" t="n">
        <x:f>H978*Y977*INDEX(v01_MortChild,G978)/4*Q978</x:f>
        <x:v>6.961600764585001</x:v>
      </x:c>
      <x:c r="T978" s="9" t="n">
        <x:f>H978*Z977*INDEX(v01_MortAdult,G978)*Arch_AdultMort/4*Q978</x:f>
        <x:v>2.5433809204348683</x:v>
      </x:c>
      <x:c r="U978" s="9" t="n">
        <x:f>H978*AA977*INDEX(v01_MortElder,G978)/4*Q978</x:f>
        <x:v>5.377239123686002</x:v>
      </x:c>
      <x:c r="V978" s="9" t="n">
        <x:f>H978*MAX(0,AB977-O978)*v01_OvercapLoss</x:f>
        <x:v>0</x:v>
      </x:c>
      <x:c r="W978" s="9" t="n">
        <x:f>H978*Y977/(v01_ChildYears*4)</x:f>
        <x:v>17.759185623941327</x:v>
      </x:c>
      <x:c r="X978" s="9" t="n">
        <x:f>H978*Z977/(v01_AdultYears*4)</x:f>
        <x:v>8.204454582047962</x:v>
      </x:c>
      <x:c r="Y978" s="32" t="n">
        <x:f>Y977+R978-S978-W978-Y977*V978/AB977</x:f>
        <x:v>997.5074147896219</x:v>
      </x:c>
      <x:c r="Z978" s="32" t="n">
        <x:f>Z977+W978-X978-T978-Z977*V978/AB977</x:f>
        <x:v>1024.3637182954058</x:v>
      </x:c>
      <x:c r="AA978" s="32" t="n">
        <x:f>AA977+X978-U978-AA977*V978/AB977</x:f>
        <x:v>361.30982370409544</x:v>
      </x:c>
      <x:c r="AB978" s="10" t="n">
        <x:f>Y978+Z978+AA978</x:f>
        <x:v>2383.1809567891232</x:v>
      </x:c>
      <x:c r="AC978" s="8" t="n">
        <x:f>IF(AND(v01_WinterTrigger=1,D978=1,AB977/AE977&gt;=K978),1,0)</x:f>
        <x:v>0</x:v>
      </x:c>
      <x:c r="AD978" s="8" t="n">
        <x:f>H978*IF(AND(OR(AB977/AE977&gt;=v01_FissionTrigger*N978,AC978=1),AB977/AE977*v01_DaughterShare&gt;=v01_MinDaughter),MAX(1,ROUND(AE977*v01_FissionRate,0)),0)</x:f>
        <x:v>0</x:v>
      </x:c>
      <x:c r="AE978" s="8" t="n">
        <x:f>IF(H978=1,MAX(1,MIN(INDEX(v01_Smax,G978),AE977+AD978)),AE977)</x:f>
        <x:v>12</x:v>
      </x:c>
      <x:c r="AF978" s="8" t="n">
        <x:f>MAX(0,AE978-AE977)</x:f>
        <x:v>0</x:v>
      </x:c>
      <x:c r="AG978" s="9" t="str">
        <x:f>IF(AF978&gt;0,B978,"")</x:f>
      </x:c>
      <x:c r="AH978" s="9" t="n">
        <x:f>IF(F978&gt;=1,1,(1+v01_LowTiesShare*(AE978-1))/AE978)</x:f>
        <x:v>1</x:v>
      </x:c>
      <x:c r="AI978" s="32" t="n">
        <x:f>(Z978+v01_ElderCommons*INDEX(LM_Elder,G978)*AA978)*AH978</x:f>
        <x:v>2108.293189407692</x:v>
      </x:c>
      <x:c r="AJ978" s="32" t="n">
        <x:f>H978*v01_CommonsCoef*AI978^v01_CommonsExp*INDEX(LM_Commons,G978)</x:f>
        <x:v>485.0973031358981</x:v>
      </x:c>
      <x:c r="AK978" s="32" t="n">
        <x:f>H978*v01_RoleScale*Arch_Roles*(AE978*(INDEX(v01_ElderRolePerSett,G978)*v01_OutElder*INDEX(LM_Elder,G978)+INDEX(v01_ShamanPerSett,G978)*v01_OutShaman)+Z978*(INDEX(v01_PriestShare,G978)*v01_OutPriest+INDEX(v01_ScribeShare,G978)*v01_OutScribe*INDEX(LM_Scribe,G978)+INDEX(v01_ScholarShare,G978)*v01_OutScholar*INDEX(LM_Scholar,G978)+INDEX(v01_ResearcherShare,G978)*v01_OutResearcher*INDEX(LM_Researcher,G978)))</x:f>
        <x:v>64.94534119856036</x:v>
      </x:c>
      <x:c r="AL978" s="32" t="n">
        <x:f>H978*v01_RoleScale*Arch_Roles*AE978*INDEX(v01_MonasteryPerSett,G978)*v01_OutMonastery*INDEX(LM_Monastery,G978)</x:f>
        <x:v>0</x:v>
      </x:c>
      <x:c r="AM978" s="32" t="n">
        <x:f>(AJ978+AK978+AL978)/4*INDEX(LM_All,G978)*INDEX(v01_Boon,G978)*Arch_Insight</x:f>
        <x:v>165.43982112076688</x:v>
      </x:c>
      <x:c r="AN978" s="32" t="n">
        <x:f>H978*(v01_KHPerAdult*Z978+v01_KHOfCommons*AJ978/4*INDEX(LM_All,G978))*v01_KHUsable*Arch_KH</x:f>
        <x:v>35.8527301403392</x:v>
      </x:c>
      <x:c r="AO978" s="32" t="n">
        <x:f>MIN(AP977+AN978,AM978*v01_KHMaxRatio)</x:f>
        <x:v>35.8527301403392</x:v>
      </x:c>
      <x:c r="AP978" s="32" t="n">
        <x:f>AP977+AN978-AO978</x:f>
        <x:v>0</x:v>
      </x:c>
      <x:c r="AQ978" s="32" t="n">
        <x:f>AM978+AO978</x:f>
        <x:v>201.29255126110607</x:v>
      </x:c>
      <x:c r="AR978" s="10" t="n">
        <x:f>IF(H978=1,INDEX(v01_Req,G978),0)</x:f>
        <x:v>24714.473079999996</x:v>
      </x:c>
      <x:c r="AS978" s="32" t="n">
        <x:f>IF(H978=1,IF(E978=1,AS977-AR977,AS977)+AQ978,0)</x:f>
        <x:v>14135.451125336505</x:v>
      </x:c>
      <x:c r="AT978" s="11" t="n">
        <x:f>IF(AR978&gt;0,MIN(1,AS978/AR978),1)</x:f>
        <x:v>0.5719503337004387</x:v>
      </x:c>
      <x:c r="AU978" s="10" t="n">
        <x:f>AB978/INDEX(v01_RepScale,G978)</x:f>
        <x:v>238.31809567891233</x:v>
      </x:c>
      <x:c r="AV978" s="32" t="n">
        <x:f>AM978*60/v01_SeasonSeconds</x:f>
        <x:v>661.7592844830675</x:v>
      </x:c>
    </x:row>
    <x:row r="979">
      <x:c r="A979" s="8" t="n">
        <x:f>A978+1</x:f>
        <x:v>976</x:v>
      </x:c>
      <x:c r="B979" s="9" t="n">
        <x:f>A979*v01_SeasonSeconds/60</x:f>
        <x:v>244</x:v>
      </x:c>
      <x:c r="C979" s="9" t="n">
        <x:f>A979/4</x:f>
        <x:v>244</x:v>
      </x:c>
      <x:c r="D979" s="8" t="n">
        <x:f>IF(MOD(A979,4)=0,1,0)</x:f>
        <x:v>1</x:v>
      </x:c>
      <x:c r="E979" s="8" t="n">
        <x:f>IF(AND(F978&lt;=9,AS978&gt;=AR978),1,0)</x:f>
        <x:v>0</x:v>
      </x:c>
      <x:c r="F979" s="8" t="n">
        <x:f>MIN(10,F978+E979)</x:f>
        <x:v>4</x:v>
      </x:c>
      <x:c r="G979" s="8" t="n">
        <x:f>MIN(F979,9)+1</x:f>
        <x:v>5</x:v>
      </x:c>
      <x:c r="H979" s="8" t="n">
        <x:f>IF(F979&lt;=9,1,0)</x:f>
        <x:v>1</x:v>
      </x:c>
      <x:c r="I979" s="9" t="n">
        <x:f>MIN(10,F978+IF(AR978&gt;0,MIN(1,AS978/AR978),1))</x:f>
        <x:v>4.571950333700439</x:v>
      </x:c>
      <x:c r="J979" s="32" t="n">
        <x:f>INDEX(v01_FoodCap,G979)*Arch_FoodCap*EXP(v01_CapsByProject*SUMPRODUCT((Cap_Point&lt;=I979)*(Cap_Kind="Food")*Cap_Ln))</x:f>
        <x:v>250</x:v>
      </x:c>
      <x:c r="K979" s="32" t="n">
        <x:f>J979*MIN(1,v01_LeanBase*EXP(v01_CapsByProject*SUMPRODUCT((Cap_Point&lt;=I979)*(Cap_Kind="Lean")*Cap_Ln)))</x:f>
        <x:v>250</x:v>
      </x:c>
      <x:c r="L979" s="10" t="n">
        <x:f>INDEX(v01_HousingCap,G979)*EXP(v01_CapsByProject*SUMPRODUCT((Cap_Point&lt;=I979)*(Cap_Kind="Housing")*Cap_Ln))</x:f>
        <x:v>400</x:v>
      </x:c>
      <x:c r="M979" s="10" t="n">
        <x:f>INDEX(v01_GroupCap,G979)*v01_CohesionFactor*EXP(v01_CapsByProject*SUMPRODUCT((Cap_Point&lt;=I979)*(Cap_Kind="Group")*Cap_Ln))</x:f>
        <x:v>10000</x:v>
      </x:c>
      <x:c r="N979" s="32" t="n">
        <x:f>MIN(J979,L979,M979)</x:f>
        <x:v>250</x:v>
      </x:c>
      <x:c r="O979" s="10" t="n">
        <x:f>AE978*N979</x:f>
        <x:v>3000</x:v>
      </x:c>
      <x:c r="P979" s="9" t="n">
        <x:f>MIN(1,(AB978/(AE978*IF(v01_GroupInCrowding=1,N979,MIN(J979,L979))))^v01_CrowdingExp)</x:f>
        <x:v>0.2513127897618279</x:v>
      </x:c>
      <x:c r="Q979" s="9" t="n">
        <x:f>IF(D979=1,INDEX(v01_WinterMult,G979),1)</x:f>
        <x:v>1</x:v>
      </x:c>
      <x:c r="R979" s="9" t="n">
        <x:f>H979*Z978*v01_WomenShare*v01_BaseFertility*INDEX(v01_FertMult,G979)*Arch_Fertility*(1-P979)</x:f>
        <x:v>27.609408522712368</x:v>
      </x:c>
      <x:c r="S979" s="9" t="n">
        <x:f>H979*Y978*INDEX(v01_MortChild,G979)/4*Q979</x:f>
        <x:v>6.982551903527353</x:v>
      </x:c>
      <x:c r="T979" s="9" t="n">
        <x:f>H979*Z978*INDEX(v01_MortAdult,G979)*Arch_AdultMort/4*Q979</x:f>
        <x:v>2.5609092957385147</x:v>
      </x:c>
      <x:c r="U979" s="9" t="n">
        <x:f>H979*AA978*INDEX(v01_MortElder,G979)/4*Q979</x:f>
        <x:v>5.419647355561431</x:v>
      </x:c>
      <x:c r="V979" s="9" t="n">
        <x:f>H979*MAX(0,AB978-O979)*v01_OvercapLoss</x:f>
        <x:v>0</x:v>
      </x:c>
      <x:c r="W979" s="9" t="n">
        <x:f>H979*Y978/(v01_ChildYears*4)</x:f>
        <x:v>17.812632406957533</x:v>
      </x:c>
      <x:c r="X979" s="9" t="n">
        <x:f>H979*Z978/(v01_AdultYears*4)</x:f>
        <x:v>8.260997728188757</x:v>
      </x:c>
      <x:c r="Y979" s="32" t="n">
        <x:f>Y978+R979-S979-W979-Y978*V979/AB978</x:f>
        <x:v>1000.3216390018493</x:v>
      </x:c>
      <x:c r="Z979" s="32" t="n">
        <x:f>Z978+W979-X979-T979-Z978*V979/AB978</x:f>
        <x:v>1031.354443678436</x:v>
      </x:c>
      <x:c r="AA979" s="32" t="n">
        <x:f>AA978+X979-U979-AA978*V979/AB978</x:f>
        <x:v>364.1511740767228</x:v>
      </x:c>
      <x:c r="AB979" s="10" t="n">
        <x:f>Y979+Z979+AA979</x:f>
        <x:v>2395.827256757008</x:v>
      </x:c>
      <x:c r="AC979" s="8" t="n">
        <x:f>IF(AND(v01_WinterTrigger=1,D979=1,AB978/AE978&gt;=K979),1,0)</x:f>
        <x:v>0</x:v>
      </x:c>
      <x:c r="AD979" s="8" t="n">
        <x:f>H979*IF(AND(OR(AB978/AE978&gt;=v01_FissionTrigger*N979,AC979=1),AB978/AE978*v01_DaughterShare&gt;=v01_MinDaughter),MAX(1,ROUND(AE978*v01_FissionRate,0)),0)</x:f>
        <x:v>0</x:v>
      </x:c>
      <x:c r="AE979" s="8" t="n">
        <x:f>IF(H979=1,MAX(1,MIN(INDEX(v01_Smax,G979),AE978+AD979)),AE978)</x:f>
        <x:v>12</x:v>
      </x:c>
      <x:c r="AF979" s="8" t="n">
        <x:f>MAX(0,AE979-AE978)</x:f>
        <x:v>0</x:v>
      </x:c>
      <x:c r="AG979" s="9" t="str">
        <x:f>IF(AF979&gt;0,B979,"")</x:f>
      </x:c>
      <x:c r="AH979" s="9" t="n">
        <x:f>IF(F979&gt;=1,1,(1+v01_LowTiesShare*(AE979-1))/AE979)</x:f>
        <x:v>1</x:v>
      </x:c>
      <x:c r="AI979" s="32" t="n">
        <x:f>(Z979+v01_ElderCommons*INDEX(LM_Elder,G979)*AA979)*AH979</x:f>
        <x:v>2123.8079659086043</x:v>
      </x:c>
      <x:c r="AJ979" s="32" t="n">
        <x:f>H979*v01_CommonsCoef*AI979^v01_CommonsExp*INDEX(LM_Commons,G979)</x:f>
        <x:v>488.1299595942663</x:v>
      </x:c>
      <x:c r="AK979" s="32" t="n">
        <x:f>H979*v01_RoleScale*Arch_Roles*(AE979*(INDEX(v01_ElderRolePerSett,G979)*v01_OutElder*INDEX(LM_Elder,G979)+INDEX(v01_ShamanPerSett,G979)*v01_OutShaman)+Z979*(INDEX(v01_PriestShare,G979)*v01_OutPriest+INDEX(v01_ScribeShare,G979)*v01_OutScribe*INDEX(LM_Scribe,G979)+INDEX(v01_ScholarShare,G979)*v01_OutScholar*INDEX(LM_Scholar,G979)+INDEX(v01_ResearcherShare,G979)*v01_OutResearcher*INDEX(LM_Researcher,G979)))</x:f>
        <x:v>65.14287741330834</x:v>
      </x:c>
      <x:c r="AL979" s="32" t="n">
        <x:f>H979*v01_RoleScale*Arch_Roles*AE979*INDEX(v01_MonasteryPerSett,G979)*v01_OutMonastery*INDEX(LM_Monastery,G979)</x:f>
        <x:v>0</x:v>
      </x:c>
      <x:c r="AM979" s="32" t="n">
        <x:f>(AJ979+AK979+AL979)/4*INDEX(LM_All,G979)*INDEX(v01_Boon,G979)*Arch_Insight</x:f>
        <x:v>166.41138669578262</x:v>
      </x:c>
      <x:c r="AN979" s="32" t="n">
        <x:f>H979*(v01_KHPerAdult*Z979+v01_KHOfCommons*AJ979/4*INDEX(LM_All,G979))*v01_KHUsable*Arch_KH</x:f>
        <x:v>36.097405528745256</x:v>
      </x:c>
      <x:c r="AO979" s="32" t="n">
        <x:f>MIN(AP978+AN979,AM979*v01_KHMaxRatio)</x:f>
        <x:v>36.097405528745256</x:v>
      </x:c>
      <x:c r="AP979" s="32" t="n">
        <x:f>AP978+AN979-AO979</x:f>
        <x:v>0</x:v>
      </x:c>
      <x:c r="AQ979" s="32" t="n">
        <x:f>AM979+AO979</x:f>
        <x:v>202.5087922245279</x:v>
      </x:c>
      <x:c r="AR979" s="10" t="n">
        <x:f>IF(H979=1,INDEX(v01_Req,G979),0)</x:f>
        <x:v>24714.473079999996</x:v>
      </x:c>
      <x:c r="AS979" s="32" t="n">
        <x:f>IF(H979=1,IF(E979=1,AS978-AR978,AS978)+AQ979,0)</x:f>
        <x:v>14337.959917561033</x:v>
      </x:c>
      <x:c r="AT979" s="11" t="n">
        <x:f>IF(AR979&gt;0,MIN(1,AS979/AR979),1)</x:f>
        <x:v>0.5801442689532361</x:v>
      </x:c>
      <x:c r="AU979" s="10" t="n">
        <x:f>AB979/INDEX(v01_RepScale,G979)</x:f>
        <x:v>239.5827256757008</x:v>
      </x:c>
      <x:c r="AV979" s="32" t="n">
        <x:f>AM979*60/v01_SeasonSeconds</x:f>
        <x:v>665.6455467831305</x:v>
      </x:c>
    </x:row>
    <x:row r="980">
      <x:c r="A980" s="8" t="n">
        <x:f>A979+1</x:f>
        <x:v>977</x:v>
      </x:c>
      <x:c r="B980" s="9" t="n">
        <x:f>A980*v01_SeasonSeconds/60</x:f>
        <x:v>244.25</x:v>
      </x:c>
      <x:c r="C980" s="9" t="n">
        <x:f>A980/4</x:f>
        <x:v>244.25</x:v>
      </x:c>
      <x:c r="D980" s="8" t="n">
        <x:f>IF(MOD(A980,4)=0,1,0)</x:f>
        <x:v>0</x:v>
      </x:c>
      <x:c r="E980" s="8" t="n">
        <x:f>IF(AND(F979&lt;=9,AS979&gt;=AR979),1,0)</x:f>
        <x:v>0</x:v>
      </x:c>
      <x:c r="F980" s="8" t="n">
        <x:f>MIN(10,F979+E980)</x:f>
        <x:v>4</x:v>
      </x:c>
      <x:c r="G980" s="8" t="n">
        <x:f>MIN(F980,9)+1</x:f>
        <x:v>5</x:v>
      </x:c>
      <x:c r="H980" s="8" t="n">
        <x:f>IF(F980&lt;=9,1,0)</x:f>
        <x:v>1</x:v>
      </x:c>
      <x:c r="I980" s="9" t="n">
        <x:f>MIN(10,F979+IF(AR979&gt;0,MIN(1,AS979/AR979),1))</x:f>
        <x:v>4.580144268953236</x:v>
      </x:c>
      <x:c r="J980" s="32" t="n">
        <x:f>INDEX(v01_FoodCap,G980)*Arch_FoodCap*EXP(v01_CapsByProject*SUMPRODUCT((Cap_Point&lt;=I980)*(Cap_Kind="Food")*Cap_Ln))</x:f>
        <x:v>250</x:v>
      </x:c>
      <x:c r="K980" s="32" t="n">
        <x:f>J980*MIN(1,v01_LeanBase*EXP(v01_CapsByProject*SUMPRODUCT((Cap_Point&lt;=I980)*(Cap_Kind="Lean")*Cap_Ln)))</x:f>
        <x:v>250</x:v>
      </x:c>
      <x:c r="L980" s="10" t="n">
        <x:f>INDEX(v01_HousingCap,G980)*EXP(v01_CapsByProject*SUMPRODUCT((Cap_Point&lt;=I980)*(Cap_Kind="Housing")*Cap_Ln))</x:f>
        <x:v>400</x:v>
      </x:c>
      <x:c r="M980" s="10" t="n">
        <x:f>INDEX(v01_GroupCap,G980)*v01_CohesionFactor*EXP(v01_CapsByProject*SUMPRODUCT((Cap_Point&lt;=I980)*(Cap_Kind="Group")*Cap_Ln))</x:f>
        <x:v>10000</x:v>
      </x:c>
      <x:c r="N980" s="32" t="n">
        <x:f>MIN(J980,L980,M980)</x:f>
        <x:v>250</x:v>
      </x:c>
      <x:c r="O980" s="10" t="n">
        <x:f>AE979*N980</x:f>
        <x:v>3000</x:v>
      </x:c>
      <x:c r="P980" s="9" t="n">
        <x:f>MIN(1,(AB979/(AE979*IF(v01_GroupInCrowding=1,N980,MIN(J980,L980))))^v01_CrowdingExp)</x:f>
        <x:v>0.25942120991515727</x:v>
      </x:c>
      <x:c r="Q980" s="9" t="n">
        <x:f>IF(D980=1,INDEX(v01_WinterMult,G980),1)</x:f>
        <x:v>1</x:v>
      </x:c>
      <x:c r="R980" s="9" t="n">
        <x:f>H980*Z979*v01_WomenShare*v01_BaseFertility*INDEX(v01_FertMult,G980)*Arch_Fertility*(1-P980)</x:f>
        <x:v>27.49677213772808</x:v>
      </x:c>
      <x:c r="S980" s="9" t="n">
        <x:f>H980*Y979*INDEX(v01_MortChild,G980)/4*Q980</x:f>
        <x:v>7.0022514730129455</x:v>
      </x:c>
      <x:c r="T980" s="9" t="n">
        <x:f>H980*Z979*INDEX(v01_MortAdult,G980)*Arch_AdultMort/4*Q980</x:f>
        <x:v>2.57838610919609</x:v>
      </x:c>
      <x:c r="U980" s="9" t="n">
        <x:f>H980*AA979*INDEX(v01_MortElder,G980)/4*Q980</x:f>
        <x:v>5.462267611150842</x:v>
      </x:c>
      <x:c r="V980" s="9" t="n">
        <x:f>H980*MAX(0,AB979-O980)*v01_OvercapLoss</x:f>
        <x:v>0</x:v>
      </x:c>
      <x:c r="W980" s="9" t="n">
        <x:f>H980*Y979/(v01_ChildYears*4)</x:f>
        <x:v>17.86288641074731</x:v>
      </x:c>
      <x:c r="X980" s="9" t="n">
        <x:f>H980*Z979/(v01_AdultYears*4)</x:f>
        <x:v>8.317374545793838</x:v>
      </x:c>
      <x:c r="Y980" s="32" t="n">
        <x:f>Y979+R980-S980-W980-Y979*V980/AB979</x:f>
        <x:v>1002.9532732558171</x:v>
      </x:c>
      <x:c r="Z980" s="32" t="n">
        <x:f>Z979+W980-X980-T980-Z979*V980/AB979</x:f>
        <x:v>1038.3215694341932</x:v>
      </x:c>
      <x:c r="AA980" s="32" t="n">
        <x:f>AA979+X980-U980-AA979*V980/AB979</x:f>
        <x:v>367.0062810113658</x:v>
      </x:c>
      <x:c r="AB980" s="10" t="n">
        <x:f>Y980+Z980+AA980</x:f>
        <x:v>2408.281123701376</x:v>
      </x:c>
      <x:c r="AC980" s="8" t="n">
        <x:f>IF(AND(v01_WinterTrigger=1,D980=1,AB979/AE979&gt;=K980),1,0)</x:f>
        <x:v>0</x:v>
      </x:c>
      <x:c r="AD980" s="8" t="n">
        <x:f>H980*IF(AND(OR(AB979/AE979&gt;=v01_FissionTrigger*N980,AC980=1),AB979/AE979*v01_DaughterShare&gt;=v01_MinDaughter),MAX(1,ROUND(AE979*v01_FissionRate,0)),0)</x:f>
        <x:v>0</x:v>
      </x:c>
      <x:c r="AE980" s="8" t="n">
        <x:f>IF(H980=1,MAX(1,MIN(INDEX(v01_Smax,G980),AE979+AD980)),AE979)</x:f>
        <x:v>12</x:v>
      </x:c>
      <x:c r="AF980" s="8" t="n">
        <x:f>MAX(0,AE980-AE979)</x:f>
        <x:v>0</x:v>
      </x:c>
      <x:c r="AG980" s="9" t="str">
        <x:f>IF(AF980&gt;0,B980,"")</x:f>
      </x:c>
      <x:c r="AH980" s="9" t="n">
        <x:f>IF(F980&gt;=1,1,(1+v01_LowTiesShare*(AE980-1))/AE980)</x:f>
        <x:v>1</x:v>
      </x:c>
      <x:c r="AI980" s="32" t="n">
        <x:f>(Z980+v01_ElderCommons*INDEX(LM_Elder,G980)*AA980)*AH980</x:f>
        <x:v>2139.34041246829</x:v>
      </x:c>
      <x:c r="AJ980" s="32" t="n">
        <x:f>H980*v01_CommonsCoef*AI980^v01_CommonsExp*INDEX(LM_Commons,G980)</x:f>
        <x:v>491.1627430121278</x:v>
      </x:c>
      <x:c r="AK980" s="32" t="n">
        <x:f>H980*v01_RoleScale*Arch_Roles*(AE980*(INDEX(v01_ElderRolePerSett,G980)*v01_OutElder*INDEX(LM_Elder,G980)+INDEX(v01_ShamanPerSett,G980)*v01_OutShaman)+Z980*(INDEX(v01_PriestShare,G980)*v01_OutPriest+INDEX(v01_ScribeShare,G980)*v01_OutScribe*INDEX(LM_Scribe,G980)+INDEX(v01_ScholarShare,G980)*v01_OutScholar*INDEX(LM_Scholar,G980)+INDEX(v01_ResearcherShare,G980)*v01_OutResearcher*INDEX(LM_Researcher,G980)))</x:f>
        <x:v>65.33974677579343</x:v>
      </x:c>
      <x:c r="AL980" s="32" t="n">
        <x:f>H980*v01_RoleScale*Arch_Roles*AE980*INDEX(v01_MonasteryPerSett,G980)*v01_OutMonastery*INDEX(LM_Monastery,G980)</x:f>
        <x:v>0</x:v>
      </x:c>
      <x:c r="AM980" s="32" t="n">
        <x:f>(AJ980+AK980+AL980)/4*INDEX(LM_All,G980)*INDEX(v01_Boon,G980)*Arch_Insight</x:f>
        <x:v>167.38278988381947</x:v>
      </x:c>
      <x:c r="AN980" s="32" t="n">
        <x:f>H980*(v01_KHPerAdult*Z980+v01_KHOfCommons*AJ980/4*INDEX(LM_All,G980))*v01_KHUsable*Arch_KH</x:f>
        <x:v>36.34125493019676</x:v>
      </x:c>
      <x:c r="AO980" s="32" t="n">
        <x:f>MIN(AP979+AN980,AM980*v01_KHMaxRatio)</x:f>
        <x:v>36.34125493019676</x:v>
      </x:c>
      <x:c r="AP980" s="32" t="n">
        <x:f>AP979+AN980-AO980</x:f>
        <x:v>0</x:v>
      </x:c>
      <x:c r="AQ980" s="32" t="n">
        <x:f>AM980+AO980</x:f>
        <x:v>203.72404481401622</x:v>
      </x:c>
      <x:c r="AR980" s="10" t="n">
        <x:f>IF(H980=1,INDEX(v01_Req,G980),0)</x:f>
        <x:v>24714.473079999996</x:v>
      </x:c>
      <x:c r="AS980" s="32" t="n">
        <x:f>IF(H980=1,IF(E980=1,AS979-AR979,AS979)+AQ980,0)</x:f>
        <x:v>14541.68396237505</x:v>
      </x:c>
      <x:c r="AT980" s="11" t="n">
        <x:f>IF(AR980&gt;0,MIN(1,AS980/AR980),1)</x:f>
        <x:v>0.5883873759033447</x:v>
      </x:c>
      <x:c r="AU980" s="10" t="n">
        <x:f>AB980/INDEX(v01_RepScale,G980)</x:f>
        <x:v>240.8281123701376</x:v>
      </x:c>
      <x:c r="AV980" s="32" t="n">
        <x:f>AM980*60/v01_SeasonSeconds</x:f>
        <x:v>669.5311595352779</x:v>
      </x:c>
    </x:row>
    <x:row r="981">
      <x:c r="A981" s="8" t="n">
        <x:f>A980+1</x:f>
        <x:v>978</x:v>
      </x:c>
      <x:c r="B981" s="9" t="n">
        <x:f>A981*v01_SeasonSeconds/60</x:f>
        <x:v>244.5</x:v>
      </x:c>
      <x:c r="C981" s="9" t="n">
        <x:f>A981/4</x:f>
        <x:v>244.5</x:v>
      </x:c>
      <x:c r="D981" s="8" t="n">
        <x:f>IF(MOD(A981,4)=0,1,0)</x:f>
        <x:v>0</x:v>
      </x:c>
      <x:c r="E981" s="8" t="n">
        <x:f>IF(AND(F980&lt;=9,AS980&gt;=AR980),1,0)</x:f>
        <x:v>0</x:v>
      </x:c>
      <x:c r="F981" s="8" t="n">
        <x:f>MIN(10,F980+E981)</x:f>
        <x:v>4</x:v>
      </x:c>
      <x:c r="G981" s="8" t="n">
        <x:f>MIN(F981,9)+1</x:f>
        <x:v>5</x:v>
      </x:c>
      <x:c r="H981" s="8" t="n">
        <x:f>IF(F981&lt;=9,1,0)</x:f>
        <x:v>1</x:v>
      </x:c>
      <x:c r="I981" s="9" t="n">
        <x:f>MIN(10,F980+IF(AR980&gt;0,MIN(1,AS980/AR980),1))</x:f>
        <x:v>4.588387375903345</x:v>
      </x:c>
      <x:c r="J981" s="32" t="n">
        <x:f>INDEX(v01_FoodCap,G981)*Arch_FoodCap*EXP(v01_CapsByProject*SUMPRODUCT((Cap_Point&lt;=I981)*(Cap_Kind="Food")*Cap_Ln))</x:f>
        <x:v>250</x:v>
      </x:c>
      <x:c r="K981" s="32" t="n">
        <x:f>J981*MIN(1,v01_LeanBase*EXP(v01_CapsByProject*SUMPRODUCT((Cap_Point&lt;=I981)*(Cap_Kind="Lean")*Cap_Ln)))</x:f>
        <x:v>250</x:v>
      </x:c>
      <x:c r="L981" s="10" t="n">
        <x:f>INDEX(v01_HousingCap,G981)*EXP(v01_CapsByProject*SUMPRODUCT((Cap_Point&lt;=I981)*(Cap_Kind="Housing")*Cap_Ln))</x:f>
        <x:v>400</x:v>
      </x:c>
      <x:c r="M981" s="10" t="n">
        <x:f>INDEX(v01_GroupCap,G981)*v01_CohesionFactor*EXP(v01_CapsByProject*SUMPRODUCT((Cap_Point&lt;=I981)*(Cap_Kind="Group")*Cap_Ln))</x:f>
        <x:v>10000</x:v>
      </x:c>
      <x:c r="N981" s="32" t="n">
        <x:f>MIN(J981,L981,M981)</x:f>
        <x:v>250</x:v>
      </x:c>
      <x:c r="O981" s="10" t="n">
        <x:f>AE980*N981</x:f>
        <x:v>3000</x:v>
      </x:c>
      <x:c r="P981" s="9" t="n">
        <x:f>MIN(1,(AB980/(AE980*IF(v01_GroupInCrowding=1,N981,MIN(J981,L981))))^v01_CrowdingExp)</x:f>
        <x:v>0.2676181484050579</x:v>
      </x:c>
      <x:c r="Q981" s="9" t="n">
        <x:f>IF(D981=1,INDEX(v01_WinterMult,G981),1)</x:f>
        <x:v>1</x:v>
      </x:c>
      <x:c r="R981" s="9" t="n">
        <x:f>H981*Z980*v01_WomenShare*v01_BaseFertility*INDEX(v01_FertMult,G981)*Arch_Fertility*(1-P981)</x:f>
        <x:v>27.376123448634498</x:v>
      </x:c>
      <x:c r="S981" s="9" t="n">
        <x:f>H981*Y980*INDEX(v01_MortChild,G981)/4*Q981</x:f>
        <x:v>7.02067291279072</x:v>
      </x:c>
      <x:c r="T981" s="9" t="n">
        <x:f>H981*Z980*INDEX(v01_MortAdult,G981)*Arch_AdultMort/4*Q981</x:f>
        <x:v>2.595803923585483</x:v>
      </x:c>
      <x:c r="U981" s="9" t="n">
        <x:f>H981*AA980*INDEX(v01_MortElder,G981)/4*Q981</x:f>
        <x:v>5.5050942151704865</x:v>
      </x:c>
      <x:c r="V981" s="9" t="n">
        <x:f>H981*MAX(0,AB980-O981)*v01_OvercapLoss</x:f>
        <x:v>0</x:v>
      </x:c>
      <x:c r="W981" s="9" t="n">
        <x:f>H981*Y980/(v01_ChildYears*4)</x:f>
        <x:v>17.909879879568162</x:v>
      </x:c>
      <x:c r="X981" s="9" t="n">
        <x:f>H981*Z980/(v01_AdultYears*4)</x:f>
        <x:v>8.373561043824138</x:v>
      </x:c>
      <x:c r="Y981" s="32" t="n">
        <x:f>Y980+R981-S981-W981-Y980*V981/AB980</x:f>
        <x:v>1005.3988439120926</x:v>
      </x:c>
      <x:c r="Z981" s="32" t="n">
        <x:f>Z980+W981-X981-T981-Z980*V981/AB980</x:f>
        <x:v>1045.2620843463517</x:v>
      </x:c>
      <x:c r="AA981" s="32" t="n">
        <x:f>AA980+X981-U981-AA980*V981/AB980</x:f>
        <x:v>369.87474784001944</x:v>
      </x:c>
      <x:c r="AB981" s="10" t="n">
        <x:f>Y981+Z981+AA981</x:f>
        <x:v>2420.5356760984637</x:v>
      </x:c>
      <x:c r="AC981" s="8" t="n">
        <x:f>IF(AND(v01_WinterTrigger=1,D981=1,AB980/AE980&gt;=K981),1,0)</x:f>
        <x:v>0</x:v>
      </x:c>
      <x:c r="AD981" s="8" t="n">
        <x:f>H981*IF(AND(OR(AB980/AE980&gt;=v01_FissionTrigger*N981,AC981=1),AB980/AE980*v01_DaughterShare&gt;=v01_MinDaughter),MAX(1,ROUND(AE980*v01_FissionRate,0)),0)</x:f>
        <x:v>0</x:v>
      </x:c>
      <x:c r="AE981" s="8" t="n">
        <x:f>IF(H981=1,MAX(1,MIN(INDEX(v01_Smax,G981),AE980+AD981)),AE980)</x:f>
        <x:v>12</x:v>
      </x:c>
      <x:c r="AF981" s="8" t="n">
        <x:f>MAX(0,AE981-AE980)</x:f>
        <x:v>0</x:v>
      </x:c>
      <x:c r="AG981" s="9" t="str">
        <x:f>IF(AF981&gt;0,B981,"")</x:f>
      </x:c>
      <x:c r="AH981" s="9" t="n">
        <x:f>IF(F981&gt;=1,1,(1+v01_LowTiesShare*(AE981-1))/AE981)</x:f>
        <x:v>1</x:v>
      </x:c>
      <x:c r="AI981" s="32" t="n">
        <x:f>(Z981+v01_ElderCommons*INDEX(LM_Elder,G981)*AA981)*AH981</x:f>
        <x:v>2154.8863278664103</x:v>
      </x:c>
      <x:c r="AJ981" s="32" t="n">
        <x:f>H981*v01_CommonsCoef*AI981^v01_CommonsExp*INDEX(LM_Commons,G981)</x:f>
        <x:v>494.19485088506315</x:v>
      </x:c>
      <x:c r="AK981" s="32" t="n">
        <x:f>H981*v01_RoleScale*Arch_Roles*(AE981*(INDEX(v01_ElderRolePerSett,G981)*v01_OutElder*INDEX(LM_Elder,G981)+INDEX(v01_ShamanPerSett,G981)*v01_OutShaman)+Z981*(INDEX(v01_PriestShare,G981)*v01_OutPriest+INDEX(v01_ScribeShare,G981)*v01_OutScribe*INDEX(LM_Scribe,G981)+INDEX(v01_ScholarShare,G981)*v01_OutScholar*INDEX(LM_Scholar,G981)+INDEX(v01_ResearcherShare,G981)*v01_OutResearcher*INDEX(LM_Researcher,G981)))</x:f>
        <x:v>65.53586419838277</x:v>
      </x:c>
      <x:c r="AL981" s="32" t="n">
        <x:f>H981*v01_RoleScale*Arch_Roles*AE981*INDEX(v01_MonasteryPerSett,G981)*v01_OutMonastery*INDEX(LM_Monastery,G981)</x:f>
        <x:v>0</x:v>
      </x:c>
      <x:c r="AM981" s="32" t="n">
        <x:f>(AJ981+AK981+AL981)/4*INDEX(LM_All,G981)*INDEX(v01_Boon,G981)*Arch_Insight</x:f>
        <x:v>168.3537637181762</x:v>
      </x:c>
      <x:c r="AN981" s="32" t="n">
        <x:f>H981*(v01_KHPerAdult*Z981+v01_KHOfCommons*AJ981/4*INDEX(LM_All,G981))*v01_KHUsable*Arch_KH</x:f>
        <x:v>36.58417295212231</x:v>
      </x:c>
      <x:c r="AO981" s="32" t="n">
        <x:f>MIN(AP980+AN981,AM981*v01_KHMaxRatio)</x:f>
        <x:v>36.58417295212231</x:v>
      </x:c>
      <x:c r="AP981" s="32" t="n">
        <x:f>AP980+AN981-AO981</x:f>
        <x:v>0</x:v>
      </x:c>
      <x:c r="AQ981" s="32" t="n">
        <x:f>AM981+AO981</x:f>
        <x:v>204.9379366702985</x:v>
      </x:c>
      <x:c r="AR981" s="10" t="n">
        <x:f>IF(H981=1,INDEX(v01_Req,G981),0)</x:f>
        <x:v>24714.473079999996</x:v>
      </x:c>
      <x:c r="AS981" s="32" t="n">
        <x:f>IF(H981=1,IF(E981=1,AS980-AR980,AS980)+AQ981,0)</x:f>
        <x:v>14746.621899045347</x:v>
      </x:c>
      <x:c r="AT981" s="11" t="n">
        <x:f>IF(AR981&gt;0,MIN(1,AS981/AR981),1)</x:f>
        <x:v>0.5966795994926124</x:v>
      </x:c>
      <x:c r="AU981" s="10" t="n">
        <x:f>AB981/INDEX(v01_RepScale,G981)</x:f>
        <x:v>242.05356760984637</x:v>
      </x:c>
      <x:c r="AV981" s="32" t="n">
        <x:f>AM981*60/v01_SeasonSeconds</x:f>
        <x:v>673.4150548727048</x:v>
      </x:c>
    </x:row>
    <x:row r="982">
      <x:c r="A982" s="8" t="n">
        <x:f>A981+1</x:f>
        <x:v>979</x:v>
      </x:c>
      <x:c r="B982" s="9" t="n">
        <x:f>A982*v01_SeasonSeconds/60</x:f>
        <x:v>244.75</x:v>
      </x:c>
      <x:c r="C982" s="9" t="n">
        <x:f>A982/4</x:f>
        <x:v>244.75</x:v>
      </x:c>
      <x:c r="D982" s="8" t="n">
        <x:f>IF(MOD(A982,4)=0,1,0)</x:f>
        <x:v>0</x:v>
      </x:c>
      <x:c r="E982" s="8" t="n">
        <x:f>IF(AND(F981&lt;=9,AS981&gt;=AR981),1,0)</x:f>
        <x:v>0</x:v>
      </x:c>
      <x:c r="F982" s="8" t="n">
        <x:f>MIN(10,F981+E982)</x:f>
        <x:v>4</x:v>
      </x:c>
      <x:c r="G982" s="8" t="n">
        <x:f>MIN(F982,9)+1</x:f>
        <x:v>5</x:v>
      </x:c>
      <x:c r="H982" s="8" t="n">
        <x:f>IF(F982&lt;=9,1,0)</x:f>
        <x:v>1</x:v>
      </x:c>
      <x:c r="I982" s="9" t="n">
        <x:f>MIN(10,F981+IF(AR981&gt;0,MIN(1,AS981/AR981),1))</x:f>
        <x:v>4.596679599492612</x:v>
      </x:c>
      <x:c r="J982" s="32" t="n">
        <x:f>INDEX(v01_FoodCap,G982)*Arch_FoodCap*EXP(v01_CapsByProject*SUMPRODUCT((Cap_Point&lt;=I982)*(Cap_Kind="Food")*Cap_Ln))</x:f>
        <x:v>250</x:v>
      </x:c>
      <x:c r="K982" s="32" t="n">
        <x:f>J982*MIN(1,v01_LeanBase*EXP(v01_CapsByProject*SUMPRODUCT((Cap_Point&lt;=I982)*(Cap_Kind="Lean")*Cap_Ln)))</x:f>
        <x:v>250</x:v>
      </x:c>
      <x:c r="L982" s="10" t="n">
        <x:f>INDEX(v01_HousingCap,G982)*EXP(v01_CapsByProject*SUMPRODUCT((Cap_Point&lt;=I982)*(Cap_Kind="Housing")*Cap_Ln))</x:f>
        <x:v>400</x:v>
      </x:c>
      <x:c r="M982" s="10" t="n">
        <x:f>INDEX(v01_GroupCap,G982)*v01_CohesionFactor*EXP(v01_CapsByProject*SUMPRODUCT((Cap_Point&lt;=I982)*(Cap_Kind="Group")*Cap_Ln))</x:f>
        <x:v>10000</x:v>
      </x:c>
      <x:c r="N982" s="32" t="n">
        <x:f>MIN(J982,L982,M982)</x:f>
        <x:v>250</x:v>
      </x:c>
      <x:c r="O982" s="10" t="n">
        <x:f>AE981*N982</x:f>
        <x:v>3000</x:v>
      </x:c>
      <x:c r="P982" s="9" t="n">
        <x:f>MIN(1,(AB981/(AE981*IF(v01_GroupInCrowding=1,N982,MIN(J982,L982))))^v01_CrowdingExp)</x:f>
        <x:v>0.2758934563777471</x:v>
      </x:c>
      <x:c r="Q982" s="9" t="n">
        <x:f>IF(D982=1,INDEX(v01_WinterMult,G982),1)</x:f>
        <x:v>1</x:v>
      </x:c>
      <x:c r="R982" s="9" t="n">
        <x:f>H982*Z981*v01_WomenShare*v01_BaseFertility*INDEX(v01_FertMult,G982)*Arch_Fertility*(1-P982)</x:f>
        <x:v>27.247720142715423</x:v>
      </x:c>
      <x:c r="S982" s="9" t="n">
        <x:f>H982*Y981*INDEX(v01_MortChild,G982)/4*Q982</x:f>
        <x:v>7.037791907384649</x:v>
      </x:c>
      <x:c r="T982" s="9" t="n">
        <x:f>H982*Z981*INDEX(v01_MortAdult,G982)*Arch_AdultMort/4*Q982</x:f>
        <x:v>2.6131552108658793</x:v>
      </x:c>
      <x:c r="U982" s="9" t="n">
        <x:f>H982*AA981*INDEX(v01_MortElder,G982)/4*Q982</x:f>
        <x:v>5.548121217600292</x:v>
      </x:c>
      <x:c r="V982" s="9" t="n">
        <x:f>H982*MAX(0,AB981-O982)*v01_OvercapLoss</x:f>
        <x:v>0</x:v>
      </x:c>
      <x:c r="W982" s="9" t="n">
        <x:f>H982*Y981/(v01_ChildYears*4)</x:f>
        <x:v>17.95355078414451</x:v>
      </x:c>
      <x:c r="X982" s="9" t="n">
        <x:f>H982*Z981/(v01_AdultYears*4)</x:f>
        <x:v>8.42953293827703</x:v>
      </x:c>
      <x:c r="Y982" s="32" t="n">
        <x:f>Y981+R982-S982-W982-Y981*V982/AB981</x:f>
        <x:v>1007.655221363279</x:v>
      </x:c>
      <x:c r="Z982" s="32" t="n">
        <x:f>Z981+W982-X982-T982-Z981*V982/AB981</x:f>
        <x:v>1052.172946981353</x:v>
      </x:c>
      <x:c r="AA982" s="32" t="n">
        <x:f>AA981+X982-U982-AA981*V982/AB981</x:f>
        <x:v>372.7561595606962</x:v>
      </x:c>
      <x:c r="AB982" s="10" t="n">
        <x:f>Y982+Z982+AA982</x:f>
        <x:v>2432.5843279053283</x:v>
      </x:c>
      <x:c r="AC982" s="8" t="n">
        <x:f>IF(AND(v01_WinterTrigger=1,D982=1,AB981/AE981&gt;=K982),1,0)</x:f>
        <x:v>0</x:v>
      </x:c>
      <x:c r="AD982" s="8" t="n">
        <x:f>H982*IF(AND(OR(AB981/AE981&gt;=v01_FissionTrigger*N982,AC982=1),AB981/AE981*v01_DaughterShare&gt;=v01_MinDaughter),MAX(1,ROUND(AE981*v01_FissionRate,0)),0)</x:f>
        <x:v>0</x:v>
      </x:c>
      <x:c r="AE982" s="8" t="n">
        <x:f>IF(H982=1,MAX(1,MIN(INDEX(v01_Smax,G982),AE981+AD982)),AE981)</x:f>
        <x:v>12</x:v>
      </x:c>
      <x:c r="AF982" s="8" t="n">
        <x:f>MAX(0,AE982-AE981)</x:f>
        <x:v>0</x:v>
      </x:c>
      <x:c r="AG982" s="9" t="str">
        <x:f>IF(AF982&gt;0,B982,"")</x:f>
      </x:c>
      <x:c r="AH982" s="9" t="n">
        <x:f>IF(F982&gt;=1,1,(1+v01_LowTiesShare*(AE982-1))/AE982)</x:f>
        <x:v>1</x:v>
      </x:c>
      <x:c r="AI982" s="32" t="n">
        <x:f>(Z982+v01_ElderCommons*INDEX(LM_Elder,G982)*AA982)*AH982</x:f>
        <x:v>2170.441425663442</x:v>
      </x:c>
      <x:c r="AJ982" s="32" t="n">
        <x:f>H982*v01_CommonsCoef*AI982^v01_CommonsExp*INDEX(LM_Commons,G982)</x:f>
        <x:v>497.2254673923832</x:v>
      </x:c>
      <x:c r="AK982" s="32" t="n">
        <x:f>H982*v01_RoleScale*Arch_Roles*(AE982*(INDEX(v01_ElderRolePerSett,G982)*v01_OutElder*INDEX(LM_Elder,G982)+INDEX(v01_ShamanPerSett,G982)*v01_OutShaman)+Z982*(INDEX(v01_PriestShare,G982)*v01_OutPriest+INDEX(v01_ScribeShare,G982)*v01_OutScribe*INDEX(LM_Scribe,G982)+INDEX(v01_ScholarShare,G982)*v01_OutScholar*INDEX(LM_Scholar,G982)+INDEX(v01_ResearcherShare,G982)*v01_OutResearcher*INDEX(LM_Researcher,G982)))</x:f>
        <x:v>65.73114373959822</x:v>
      </x:c>
      <x:c r="AL982" s="32" t="n">
        <x:f>H982*v01_RoleScale*Arch_Roles*AE982*INDEX(v01_MonasteryPerSett,G982)*v01_OutMonastery*INDEX(LM_Monastery,G982)</x:f>
        <x:v>0</x:v>
      </x:c>
      <x:c r="AM982" s="32" t="n">
        <x:f>(AJ982+AK982+AL982)/4*INDEX(LM_All,G982)*INDEX(v01_Boon,G982)*Arch_Insight</x:f>
        <x:v>169.32403697011588</x:v>
      </x:c>
      <x:c r="AN982" s="32" t="n">
        <x:f>H982*(v01_KHPerAdult*Z982+v01_KHOfCommons*AJ982/4*INDEX(LM_All,G982))*v01_KHUsable*Arch_KH</x:f>
        <x:v>36.82605314434736</x:v>
      </x:c>
      <x:c r="AO982" s="32" t="n">
        <x:f>MIN(AP981+AN982,AM982*v01_KHMaxRatio)</x:f>
        <x:v>36.82605314434736</x:v>
      </x:c>
      <x:c r="AP982" s="32" t="n">
        <x:f>AP981+AN982-AO982</x:f>
        <x:v>0</x:v>
      </x:c>
      <x:c r="AQ982" s="32" t="n">
        <x:f>AM982+AO982</x:f>
        <x:v>206.15009011446324</x:v>
      </x:c>
      <x:c r="AR982" s="10" t="n">
        <x:f>IF(H982=1,INDEX(v01_Req,G982),0)</x:f>
        <x:v>24714.473079999996</x:v>
      </x:c>
      <x:c r="AS982" s="32" t="n">
        <x:f>IF(H982=1,IF(E982=1,AS981-AR981,AS981)+AQ982,0)</x:f>
        <x:v>14952.77198915981</x:v>
      </x:c>
      <x:c r="AT982" s="11" t="n">
        <x:f>IF(AR982&gt;0,MIN(1,AS982/AR982),1)</x:f>
        <x:v>0.6050208693811979</x:v>
      </x:c>
      <x:c r="AU982" s="10" t="n">
        <x:f>AB982/INDEX(v01_RepScale,G982)</x:f>
        <x:v>243.25843279053282</x:v>
      </x:c>
      <x:c r="AV982" s="32" t="n">
        <x:f>AM982*60/v01_SeasonSeconds</x:f>
        <x:v>677.2961478804635</x:v>
      </x:c>
    </x:row>
    <x:row r="983">
      <x:c r="A983" s="8" t="n">
        <x:f>A982+1</x:f>
        <x:v>980</x:v>
      </x:c>
      <x:c r="B983" s="9" t="n">
        <x:f>A983*v01_SeasonSeconds/60</x:f>
        <x:v>245</x:v>
      </x:c>
      <x:c r="C983" s="9" t="n">
        <x:f>A983/4</x:f>
        <x:v>245</x:v>
      </x:c>
      <x:c r="D983" s="8" t="n">
        <x:f>IF(MOD(A983,4)=0,1,0)</x:f>
        <x:v>1</x:v>
      </x:c>
      <x:c r="E983" s="8" t="n">
        <x:f>IF(AND(F982&lt;=9,AS982&gt;=AR982),1,0)</x:f>
        <x:v>0</x:v>
      </x:c>
      <x:c r="F983" s="8" t="n">
        <x:f>MIN(10,F982+E983)</x:f>
        <x:v>4</x:v>
      </x:c>
      <x:c r="G983" s="8" t="n">
        <x:f>MIN(F983,9)+1</x:f>
        <x:v>5</x:v>
      </x:c>
      <x:c r="H983" s="8" t="n">
        <x:f>IF(F983&lt;=9,1,0)</x:f>
        <x:v>1</x:v>
      </x:c>
      <x:c r="I983" s="9" t="n">
        <x:f>MIN(10,F982+IF(AR982&gt;0,MIN(1,AS982/AR982),1))</x:f>
        <x:v>4.605020869381198</x:v>
      </x:c>
      <x:c r="J983" s="32" t="n">
        <x:f>INDEX(v01_FoodCap,G983)*Arch_FoodCap*EXP(v01_CapsByProject*SUMPRODUCT((Cap_Point&lt;=I983)*(Cap_Kind="Food")*Cap_Ln))</x:f>
        <x:v>250</x:v>
      </x:c>
      <x:c r="K983" s="32" t="n">
        <x:f>J983*MIN(1,v01_LeanBase*EXP(v01_CapsByProject*SUMPRODUCT((Cap_Point&lt;=I983)*(Cap_Kind="Lean")*Cap_Ln)))</x:f>
        <x:v>250</x:v>
      </x:c>
      <x:c r="L983" s="10" t="n">
        <x:f>INDEX(v01_HousingCap,G983)*EXP(v01_CapsByProject*SUMPRODUCT((Cap_Point&lt;=I983)*(Cap_Kind="Housing")*Cap_Ln))</x:f>
        <x:v>400</x:v>
      </x:c>
      <x:c r="M983" s="10" t="n">
        <x:f>INDEX(v01_GroupCap,G983)*v01_CohesionFactor*EXP(v01_CapsByProject*SUMPRODUCT((Cap_Point&lt;=I983)*(Cap_Kind="Group")*Cap_Ln))</x:f>
        <x:v>10000</x:v>
      </x:c>
      <x:c r="N983" s="32" t="n">
        <x:f>MIN(J983,L983,M983)</x:f>
        <x:v>250</x:v>
      </x:c>
      <x:c r="O983" s="10" t="n">
        <x:f>AE982*N983</x:f>
        <x:v>3000</x:v>
      </x:c>
      <x:c r="P983" s="9" t="n">
        <x:f>MIN(1,(AB982/(AE982*IF(v01_GroupInCrowding=1,N983,MIN(J983,L983))))^v01_CrowdingExp)</x:f>
        <x:v>0.2842365337651487</x:v>
      </x:c>
      <x:c r="Q983" s="9" t="n">
        <x:f>IF(D983=1,INDEX(v01_WinterMult,G983),1)</x:f>
        <x:v>1</x:v>
      </x:c>
      <x:c r="R983" s="9" t="n">
        <x:f>H983*Z982*v01_WomenShare*v01_BaseFertility*INDEX(v01_FertMult,G983)*Arch_Fertility*(1-P983)</x:f>
        <x:v>27.11185040195682</x:v>
      </x:c>
      <x:c r="S983" s="9" t="n">
        <x:f>H983*Y982*INDEX(v01_MortChild,G983)/4*Q983</x:f>
        <x:v>7.0535865495429535</x:v>
      </x:c>
      <x:c r="T983" s="9" t="n">
        <x:f>H983*Z982*INDEX(v01_MortAdult,G983)*Arch_AdultMort/4*Q983</x:f>
        <x:v>2.6304323674533827</x:v>
      </x:c>
      <x:c r="U983" s="9" t="n">
        <x:f>H983*AA982*INDEX(v01_MortElder,G983)/4*Q983</x:f>
        <x:v>5.591342393410442</x:v>
      </x:c>
      <x:c r="V983" s="9" t="n">
        <x:f>H983*MAX(0,AB982-O983)*v01_OvercapLoss</x:f>
        <x:v>0</x:v>
      </x:c>
      <x:c r="W983" s="9" t="n">
        <x:f>H983*Y982/(v01_ChildYears*4)</x:f>
        <x:v>17.99384323862998</x:v>
      </x:c>
      <x:c r="X983" s="9" t="n">
        <x:f>H983*Z982/(v01_AdultYears*4)</x:f>
        <x:v>8.485265701462525</x:v>
      </x:c>
      <x:c r="Y983" s="32" t="n">
        <x:f>Y982+R983-S983-W983-Y982*V983/AB982</x:f>
        <x:v>1009.719641977063</x:v>
      </x:c>
      <x:c r="Z983" s="32" t="n">
        <x:f>Z982+W983-X983-T983-Z982*V983/AB982</x:f>
        <x:v>1059.0510921510672</x:v>
      </x:c>
      <x:c r="AA983" s="32" t="n">
        <x:f>AA982+X983-U983-AA982*V983/AB982</x:f>
        <x:v>375.65008286874826</x:v>
      </x:c>
      <x:c r="AB983" s="10" t="n">
        <x:f>Y983+Z983+AA983</x:f>
        <x:v>2444.4208169968783</x:v>
      </x:c>
      <x:c r="AC983" s="8" t="n">
        <x:f>IF(AND(v01_WinterTrigger=1,D983=1,AB982/AE982&gt;=K983),1,0)</x:f>
        <x:v>0</x:v>
      </x:c>
      <x:c r="AD983" s="8" t="n">
        <x:f>H983*IF(AND(OR(AB982/AE982&gt;=v01_FissionTrigger*N983,AC983=1),AB982/AE982*v01_DaughterShare&gt;=v01_MinDaughter),MAX(1,ROUND(AE982*v01_FissionRate,0)),0)</x:f>
        <x:v>0</x:v>
      </x:c>
      <x:c r="AE983" s="8" t="n">
        <x:f>IF(H983=1,MAX(1,MIN(INDEX(v01_Smax,G983),AE982+AD983)),AE982)</x:f>
        <x:v>12</x:v>
      </x:c>
      <x:c r="AF983" s="8" t="n">
        <x:f>MAX(0,AE983-AE982)</x:f>
        <x:v>0</x:v>
      </x:c>
      <x:c r="AG983" s="9" t="str">
        <x:f>IF(AF983&gt;0,B983,"")</x:f>
      </x:c>
      <x:c r="AH983" s="9" t="n">
        <x:f>IF(F983&gt;=1,1,(1+v01_LowTiesShare*(AE983-1))/AE983)</x:f>
        <x:v>1</x:v>
      </x:c>
      <x:c r="AI983" s="32" t="n">
        <x:f>(Z983+v01_ElderCommons*INDEX(LM_Elder,G983)*AA983)*AH983</x:f>
        <x:v>2186.001340757312</x:v>
      </x:c>
      <x:c r="AJ983" s="32" t="n">
        <x:f>H983*v01_CommonsCoef*AI983^v01_CommonsExp*INDEX(LM_Commons,G983)</x:f>
        <x:v>500.25376470062366</x:v>
      </x:c>
      <x:c r="AK983" s="32" t="n">
        <x:f>H983*v01_RoleScale*Arch_Roles*(AE983*(INDEX(v01_ElderRolePerSett,G983)*v01_OutElder*INDEX(LM_Elder,G983)+INDEX(v01_ShamanPerSett,G983)*v01_OutShaman)+Z983*(INDEX(v01_PriestShare,G983)*v01_OutPriest+INDEX(v01_ScribeShare,G983)*v01_OutScribe*INDEX(LM_Scribe,G983)+INDEX(v01_ScholarShare,G983)*v01_OutScholar*INDEX(LM_Scholar,G983)+INDEX(v01_ResearcherShare,G983)*v01_OutResearcher*INDEX(LM_Researcher,G983)))</x:f>
        <x:v>65.9254987867312</x:v>
      </x:c>
      <x:c r="AL983" s="32" t="n">
        <x:f>H983*v01_RoleScale*Arch_Roles*AE983*INDEX(v01_MonasteryPerSett,G983)*v01_OutMonastery*INDEX(LM_Monastery,G983)</x:f>
        <x:v>0</x:v>
      </x:c>
      <x:c r="AM983" s="32" t="n">
        <x:f>(AJ983+AK983+AL983)/4*INDEX(LM_All,G983)*INDEX(v01_Boon,G983)*Arch_Insight</x:f>
        <x:v>170.29333459585274</x:v>
      </x:c>
      <x:c r="AN983" s="32" t="n">
        <x:f>H983*(v01_KHPerAdult*Z983+v01_KHOfCommons*AJ983/4*INDEX(LM_All,G983))*v01_KHUsable*Arch_KH</x:f>
        <x:v>37.066788225287354</x:v>
      </x:c>
      <x:c r="AO983" s="32" t="n">
        <x:f>MIN(AP982+AN983,AM983*v01_KHMaxRatio)</x:f>
        <x:v>37.066788225287354</x:v>
      </x:c>
      <x:c r="AP983" s="32" t="n">
        <x:f>AP982+AN983-AO983</x:f>
        <x:v>0</x:v>
      </x:c>
      <x:c r="AQ983" s="32" t="n">
        <x:f>AM983+AO983</x:f>
        <x:v>207.3601228211401</x:v>
      </x:c>
      <x:c r="AR983" s="10" t="n">
        <x:f>IF(H983=1,INDEX(v01_Req,G983),0)</x:f>
        <x:v>24714.473079999996</x:v>
      </x:c>
      <x:c r="AS983" s="32" t="n">
        <x:f>IF(H983=1,IF(E983=1,AS982-AR982,AS982)+AQ983,0)</x:f>
        <x:v>15160.13211198095</x:v>
      </x:c>
      <x:c r="AT983" s="11" t="n">
        <x:f>IF(AR983&gt;0,MIN(1,AS983/AR983),1)</x:f>
        <x:v>0.6134110997595645</x:v>
      </x:c>
      <x:c r="AU983" s="10" t="n">
        <x:f>AB983/INDEX(v01_RepScale,G983)</x:f>
        <x:v>244.44208169968783</x:v>
      </x:c>
      <x:c r="AV983" s="32" t="n">
        <x:f>AM983*60/v01_SeasonSeconds</x:f>
        <x:v>681.173338383411</x:v>
      </x:c>
    </x:row>
    <x:row r="984">
      <x:c r="A984" s="8" t="n">
        <x:f>A983+1</x:f>
        <x:v>981</x:v>
      </x:c>
      <x:c r="B984" s="9" t="n">
        <x:f>A984*v01_SeasonSeconds/60</x:f>
        <x:v>245.25</x:v>
      </x:c>
      <x:c r="C984" s="9" t="n">
        <x:f>A984/4</x:f>
        <x:v>245.25</x:v>
      </x:c>
      <x:c r="D984" s="8" t="n">
        <x:f>IF(MOD(A984,4)=0,1,0)</x:f>
        <x:v>0</x:v>
      </x:c>
      <x:c r="E984" s="8" t="n">
        <x:f>IF(AND(F983&lt;=9,AS983&gt;=AR983),1,0)</x:f>
        <x:v>0</x:v>
      </x:c>
      <x:c r="F984" s="8" t="n">
        <x:f>MIN(10,F983+E984)</x:f>
        <x:v>4</x:v>
      </x:c>
      <x:c r="G984" s="8" t="n">
        <x:f>MIN(F984,9)+1</x:f>
        <x:v>5</x:v>
      </x:c>
      <x:c r="H984" s="8" t="n">
        <x:f>IF(F984&lt;=9,1,0)</x:f>
        <x:v>1</x:v>
      </x:c>
      <x:c r="I984" s="9" t="n">
        <x:f>MIN(10,F983+IF(AR983&gt;0,MIN(1,AS983/AR983),1))</x:f>
        <x:v>4.613411099759564</x:v>
      </x:c>
      <x:c r="J984" s="32" t="n">
        <x:f>INDEX(v01_FoodCap,G984)*Arch_FoodCap*EXP(v01_CapsByProject*SUMPRODUCT((Cap_Point&lt;=I984)*(Cap_Kind="Food")*Cap_Ln))</x:f>
        <x:v>250</x:v>
      </x:c>
      <x:c r="K984" s="32" t="n">
        <x:f>J984*MIN(1,v01_LeanBase*EXP(v01_CapsByProject*SUMPRODUCT((Cap_Point&lt;=I984)*(Cap_Kind="Lean")*Cap_Ln)))</x:f>
        <x:v>250</x:v>
      </x:c>
      <x:c r="L984" s="10" t="n">
        <x:f>INDEX(v01_HousingCap,G984)*EXP(v01_CapsByProject*SUMPRODUCT((Cap_Point&lt;=I984)*(Cap_Kind="Housing")*Cap_Ln))</x:f>
        <x:v>400</x:v>
      </x:c>
      <x:c r="M984" s="10" t="n">
        <x:f>INDEX(v01_GroupCap,G984)*v01_CohesionFactor*EXP(v01_CapsByProject*SUMPRODUCT((Cap_Point&lt;=I984)*(Cap_Kind="Group")*Cap_Ln))</x:f>
        <x:v>10000</x:v>
      </x:c>
      <x:c r="N984" s="32" t="n">
        <x:f>MIN(J984,L984,M984)</x:f>
        <x:v>250</x:v>
      </x:c>
      <x:c r="O984" s="10" t="n">
        <x:f>AE983*N984</x:f>
        <x:v>3000</x:v>
      </x:c>
      <x:c r="P984" s="9" t="n">
        <x:f>MIN(1,(AB983/(AE983*IF(v01_GroupInCrowding=1,N984,MIN(J984,L984))))^v01_CrowdingExp)</x:f>
        <x:v>0.29263637817492205</x:v>
      </x:c>
      <x:c r="Q984" s="9" t="n">
        <x:f>IF(D984=1,INDEX(v01_WinterMult,G984),1)</x:f>
        <x:v>1</x:v>
      </x:c>
      <x:c r="R984" s="9" t="n">
        <x:f>H984*Z983*v01_WomenShare*v01_BaseFertility*INDEX(v01_FertMult,G984)*Arch_Fertility*(1-P984)</x:f>
        <x:v>26.968831784704197</x:v>
      </x:c>
      <x:c r="S984" s="9" t="n">
        <x:f>H984*Y983*INDEX(v01_MortChild,G984)/4*Q984</x:f>
        <x:v>7.068037493839442</x:v>
      </x:c>
      <x:c r="T984" s="9" t="n">
        <x:f>H984*Z983*INDEX(v01_MortAdult,G984)*Arch_AdultMort/4*Q984</x:f>
        <x:v>2.647627730377668</x:v>
      </x:c>
      <x:c r="U984" s="9" t="n">
        <x:f>H984*AA983*INDEX(v01_MortElder,G984)/4*Q984</x:f>
        <x:v>5.634751243031223</x:v>
      </x:c>
      <x:c r="V984" s="9" t="n">
        <x:f>H984*MAX(0,AB983-O984)*v01_OvercapLoss</x:f>
        <x:v>0</x:v>
      </x:c>
      <x:c r="W984" s="9" t="n">
        <x:f>H984*Y983/(v01_ChildYears*4)</x:f>
        <x:v>18.030707892447555</x:v>
      </x:c>
      <x:c r="X984" s="9" t="n">
        <x:f>H984*Z983/(v01_AdultYears*4)</x:f>
        <x:v>8.54073461412151</x:v>
      </x:c>
      <x:c r="Y984" s="32" t="n">
        <x:f>Y983+R984-S984-W984-Y983*V984/AB983</x:f>
        <x:v>1011.5897283754801</x:v>
      </x:c>
      <x:c r="Z984" s="32" t="n">
        <x:f>Z983+W984-X984-T984-Z983*V984/AB983</x:f>
        <x:v>1065.8934376990155</x:v>
      </x:c>
      <x:c r="AA984" s="32" t="n">
        <x:f>AA983+X984-U984-AA983*V984/AB983</x:f>
        <x:v>378.5560662398385</x:v>
      </x:c>
      <x:c r="AB984" s="10" t="n">
        <x:f>Y984+Z984+AA984</x:f>
        <x:v>2456.039232314334</x:v>
      </x:c>
      <x:c r="AC984" s="8" t="n">
        <x:f>IF(AND(v01_WinterTrigger=1,D984=1,AB983/AE983&gt;=K984),1,0)</x:f>
        <x:v>0</x:v>
      </x:c>
      <x:c r="AD984" s="8" t="n">
        <x:f>H984*IF(AND(OR(AB983/AE983&gt;=v01_FissionTrigger*N984,AC984=1),AB983/AE983*v01_DaughterShare&gt;=v01_MinDaughter),MAX(1,ROUND(AE983*v01_FissionRate,0)),0)</x:f>
        <x:v>0</x:v>
      </x:c>
      <x:c r="AE984" s="8" t="n">
        <x:f>IF(H984=1,MAX(1,MIN(INDEX(v01_Smax,G984),AE983+AD984)),AE983)</x:f>
        <x:v>12</x:v>
      </x:c>
      <x:c r="AF984" s="8" t="n">
        <x:f>MAX(0,AE984-AE983)</x:f>
        <x:v>0</x:v>
      </x:c>
      <x:c r="AG984" s="9" t="str">
        <x:f>IF(AF984&gt;0,B984,"")</x:f>
      </x:c>
      <x:c r="AH984" s="9" t="n">
        <x:f>IF(F984&gt;=1,1,(1+v01_LowTiesShare*(AE984-1))/AE984)</x:f>
        <x:v>1</x:v>
      </x:c>
      <x:c r="AI984" s="32" t="n">
        <x:f>(Z984+v01_ElderCommons*INDEX(LM_Elder,G984)*AA984)*AH984</x:f>
        <x:v>2201.561636418531</x:v>
      </x:c>
      <x:c r="AJ984" s="32" t="n">
        <x:f>H984*v01_CommonsCoef*AI984^v01_CommonsExp*INDEX(LM_Commons,G984)</x:f>
        <x:v>503.2789043491336</x:v>
      </x:c>
      <x:c r="AK984" s="32" t="n">
        <x:f>H984*v01_RoleScale*Arch_Roles*(AE984*(INDEX(v01_ElderRolePerSett,G984)*v01_OutElder*INDEX(LM_Elder,G984)+INDEX(v01_ShamanPerSett,G984)*v01_OutShaman)+Z984*(INDEX(v01_PriestShare,G984)*v01_OutPriest+INDEX(v01_ScribeShare,G984)*v01_OutScribe*INDEX(LM_Scribe,G984)+INDEX(v01_ScholarShare,G984)*v01_OutScholar*INDEX(LM_Scholar,G984)+INDEX(v01_ResearcherShare,G984)*v01_OutResearcher*INDEX(LM_Researcher,G984)))</x:f>
        <x:v>66.11884224760014</x:v>
      </x:c>
      <x:c r="AL984" s="32" t="n">
        <x:f>H984*v01_RoleScale*Arch_Roles*AE984*INDEX(v01_MonasteryPerSett,G984)*v01_OutMonastery*INDEX(LM_Monastery,G984)</x:f>
        <x:v>0</x:v>
      </x:c>
      <x:c r="AM984" s="32" t="n">
        <x:f>(AJ984+AK984+AL984)/4*INDEX(LM_All,G984)*INDEX(v01_Boon,G984)*Arch_Insight</x:f>
        <x:v>171.2613782109803</x:v>
      </x:c>
      <x:c r="AN984" s="32" t="n">
        <x:f>H984*(v01_KHPerAdult*Z984+v01_KHOfCommons*AJ984/4*INDEX(LM_All,G984))*v01_KHUsable*Arch_KH</x:f>
        <x:v>37.30627031946555</x:v>
      </x:c>
      <x:c r="AO984" s="32" t="n">
        <x:f>MIN(AP983+AN984,AM984*v01_KHMaxRatio)</x:f>
        <x:v>37.30627031946555</x:v>
      </x:c>
      <x:c r="AP984" s="32" t="n">
        <x:f>AP983+AN984-AO984</x:f>
        <x:v>0</x:v>
      </x:c>
      <x:c r="AQ984" s="32" t="n">
        <x:f>AM984+AO984</x:f>
        <x:v>208.56764853044584</x:v>
      </x:c>
      <x:c r="AR984" s="10" t="n">
        <x:f>IF(H984=1,INDEX(v01_Req,G984),0)</x:f>
        <x:v>24714.473079999996</x:v>
      </x:c>
      <x:c r="AS984" s="32" t="n">
        <x:f>IF(H984=1,IF(E984=1,AS983-AR983,AS983)+AQ984,0)</x:f>
        <x:v>15368.699760511397</x:v>
      </x:c>
      <x:c r="AT984" s="11" t="n">
        <x:f>IF(AR984&gt;0,MIN(1,AS984/AR984),1)</x:f>
        <x:v>0.6218501891892813</x:v>
      </x:c>
      <x:c r="AU984" s="10" t="n">
        <x:f>AB984/INDEX(v01_RepScale,G984)</x:f>
        <x:v>245.6039232314334</x:v>
      </x:c>
      <x:c r="AV984" s="32" t="n">
        <x:f>AM984*60/v01_SeasonSeconds</x:f>
        <x:v>685.0455128439212</x:v>
      </x:c>
    </x:row>
    <x:row r="985">
      <x:c r="A985" s="8" t="n">
        <x:f>A984+1</x:f>
        <x:v>982</x:v>
      </x:c>
      <x:c r="B985" s="9" t="n">
        <x:f>A985*v01_SeasonSeconds/60</x:f>
        <x:v>245.5</x:v>
      </x:c>
      <x:c r="C985" s="9" t="n">
        <x:f>A985/4</x:f>
        <x:v>245.5</x:v>
      </x:c>
      <x:c r="D985" s="8" t="n">
        <x:f>IF(MOD(A985,4)=0,1,0)</x:f>
        <x:v>0</x:v>
      </x:c>
      <x:c r="E985" s="8" t="n">
        <x:f>IF(AND(F984&lt;=9,AS984&gt;=AR984),1,0)</x:f>
        <x:v>0</x:v>
      </x:c>
      <x:c r="F985" s="8" t="n">
        <x:f>MIN(10,F984+E985)</x:f>
        <x:v>4</x:v>
      </x:c>
      <x:c r="G985" s="8" t="n">
        <x:f>MIN(F985,9)+1</x:f>
        <x:v>5</x:v>
      </x:c>
      <x:c r="H985" s="8" t="n">
        <x:f>IF(F985&lt;=9,1,0)</x:f>
        <x:v>1</x:v>
      </x:c>
      <x:c r="I985" s="9" t="n">
        <x:f>MIN(10,F984+IF(AR984&gt;0,MIN(1,AS984/AR984),1))</x:f>
        <x:v>4.621850189189281</x:v>
      </x:c>
      <x:c r="J985" s="32" t="n">
        <x:f>INDEX(v01_FoodCap,G985)*Arch_FoodCap*EXP(v01_CapsByProject*SUMPRODUCT((Cap_Point&lt;=I985)*(Cap_Kind="Food")*Cap_Ln))</x:f>
        <x:v>250</x:v>
      </x:c>
      <x:c r="K985" s="32" t="n">
        <x:f>J985*MIN(1,v01_LeanBase*EXP(v01_CapsByProject*SUMPRODUCT((Cap_Point&lt;=I985)*(Cap_Kind="Lean")*Cap_Ln)))</x:f>
        <x:v>250</x:v>
      </x:c>
      <x:c r="L985" s="10" t="n">
        <x:f>INDEX(v01_HousingCap,G985)*EXP(v01_CapsByProject*SUMPRODUCT((Cap_Point&lt;=I985)*(Cap_Kind="Housing")*Cap_Ln))</x:f>
        <x:v>400</x:v>
      </x:c>
      <x:c r="M985" s="10" t="n">
        <x:f>INDEX(v01_GroupCap,G985)*v01_CohesionFactor*EXP(v01_CapsByProject*SUMPRODUCT((Cap_Point&lt;=I985)*(Cap_Kind="Group")*Cap_Ln))</x:f>
        <x:v>10000</x:v>
      </x:c>
      <x:c r="N985" s="32" t="n">
        <x:f>MIN(J985,L985,M985)</x:f>
        <x:v>250</x:v>
      </x:c>
      <x:c r="O985" s="10" t="n">
        <x:f>AE984*N985</x:f>
        <x:v>3000</x:v>
      </x:c>
      <x:c r="P985" s="9" t="n">
        <x:f>MIN(1,(AB984/(AE984*IF(v01_GroupInCrowding=1,N985,MIN(J985,L985))))^v01_CrowdingExp)</x:f>
        <x:v>0.30108163853214265</x:v>
      </x:c>
      <x:c r="Q985" s="9" t="n">
        <x:f>IF(D985=1,INDEX(v01_WinterMult,G985),1)</x:f>
        <x:v>1</x:v>
      </x:c>
      <x:c r="R985" s="9" t="n">
        <x:f>H985*Z984*v01_WomenShare*v01_BaseFertility*INDEX(v01_FertMult,G985)*Arch_Fertility*(1-P985)</x:f>
        <x:v>26.819009819133754</x:v>
      </x:c>
      <x:c r="S985" s="9" t="n">
        <x:f>H985*Y984*INDEX(v01_MortChild,G985)/4*Q985</x:f>
        <x:v>7.081128098628361</x:v>
      </x:c>
      <x:c r="T985" s="9" t="n">
        <x:f>H985*Z984*INDEX(v01_MortAdult,G985)*Arch_AdultMort/4*Q985</x:f>
        <x:v>2.6647335942475388</x:v>
      </x:c>
      <x:c r="U985" s="9" t="n">
        <x:f>H985*AA984*INDEX(v01_MortElder,G985)/4*Q985</x:f>
        <x:v>5.678340993597578</x:v>
      </x:c>
      <x:c r="V985" s="9" t="n">
        <x:f>H985*MAX(0,AB984-O985)*v01_OvercapLoss</x:f>
        <x:v>0</x:v>
      </x:c>
      <x:c r="W985" s="9" t="n">
        <x:f>H985*Y984/(v01_ChildYears*4)</x:f>
        <x:v>18.06410229241929</x:v>
      </x:c>
      <x:c r="X985" s="9" t="n">
        <x:f>H985*Z984/(v01_AdultYears*4)</x:f>
        <x:v>8.59591482015335</x:v>
      </x:c>
      <x:c r="Y985" s="32" t="n">
        <x:f>Y984+R985-S985-W985-Y984*V985/AB984</x:f>
        <x:v>1013.2635078035663</x:v>
      </x:c>
      <x:c r="Z985" s="32" t="n">
        <x:f>Z984+W985-X985-T985-Z984*V985/AB984</x:f>
        <x:v>1072.6968915770337</x:v>
      </x:c>
      <x:c r="AA985" s="32" t="n">
        <x:f>AA984+X985-U985-AA984*V985/AB984</x:f>
        <x:v>381.47364006639424</x:v>
      </x:c>
      <x:c r="AB985" s="10" t="n">
        <x:f>Y985+Z985+AA985</x:f>
        <x:v>2467.434039446994</x:v>
      </x:c>
      <x:c r="AC985" s="8" t="n">
        <x:f>IF(AND(v01_WinterTrigger=1,D985=1,AB984/AE984&gt;=K985),1,0)</x:f>
        <x:v>0</x:v>
      </x:c>
      <x:c r="AD985" s="8" t="n">
        <x:f>H985*IF(AND(OR(AB984/AE984&gt;=v01_FissionTrigger*N985,AC985=1),AB984/AE984*v01_DaughterShare&gt;=v01_MinDaughter),MAX(1,ROUND(AE984*v01_FissionRate,0)),0)</x:f>
        <x:v>0</x:v>
      </x:c>
      <x:c r="AE985" s="8" t="n">
        <x:f>IF(H985=1,MAX(1,MIN(INDEX(v01_Smax,G985),AE984+AD985)),AE984)</x:f>
        <x:v>12</x:v>
      </x:c>
      <x:c r="AF985" s="8" t="n">
        <x:f>MAX(0,AE985-AE984)</x:f>
        <x:v>0</x:v>
      </x:c>
      <x:c r="AG985" s="9" t="str">
        <x:f>IF(AF985&gt;0,B985,"")</x:f>
      </x:c>
      <x:c r="AH985" s="9" t="n">
        <x:f>IF(F985&gt;=1,1,(1+v01_LowTiesShare*(AE985-1))/AE985)</x:f>
        <x:v>1</x:v>
      </x:c>
      <x:c r="AI985" s="32" t="n">
        <x:f>(Z985+v01_ElderCommons*INDEX(LM_Elder,G985)*AA985)*AH985</x:f>
        <x:v>2217.1178117762165</x:v>
      </x:c>
      <x:c r="AJ985" s="32" t="n">
        <x:f>H985*v01_CommonsCoef*AI985^v01_CommonsExp*INDEX(LM_Commons,G985)</x:f>
        <x:v>506.30003871191957</x:v>
      </x:c>
      <x:c r="AK985" s="32" t="n">
        <x:f>H985*v01_RoleScale*Arch_Roles*(AE985*(INDEX(v01_ElderRolePerSett,G985)*v01_OutElder*INDEX(LM_Elder,G985)+INDEX(v01_ShamanPerSett,G985)*v01_OutShaman)+Z985*(INDEX(v01_PriestShare,G985)*v01_OutPriest+INDEX(v01_ScribeShare,G985)*v01_OutScribe*INDEX(LM_Scribe,G985)+INDEX(v01_ScholarShare,G985)*v01_OutScholar*INDEX(LM_Scholar,G985)+INDEX(v01_ResearcherShare,G985)*v01_OutResearcher*INDEX(LM_Researcher,G985)))</x:f>
        <x:v>66.31108675051519</x:v>
      </x:c>
      <x:c r="AL985" s="32" t="n">
        <x:f>H985*v01_RoleScale*Arch_Roles*AE985*INDEX(v01_MonasteryPerSett,G985)*v01_OutMonastery*INDEX(LM_Monastery,G985)</x:f>
        <x:v>0</x:v>
      </x:c>
      <x:c r="AM985" s="32" t="n">
        <x:f>(AJ985+AK985+AL985)/4*INDEX(LM_All,G985)*INDEX(v01_Boon,G985)*Arch_Insight</x:f>
        <x:v>172.22788659030434</x:v>
      </x:c>
      <x:c r="AN985" s="32" t="n">
        <x:f>H985*(v01_KHPerAdult*Z985+v01_KHOfCommons*AJ985/4*INDEX(LM_All,G985))*v01_KHUsable*Arch_KH</x:f>
        <x:v>37.544391205196185</x:v>
      </x:c>
      <x:c r="AO985" s="32" t="n">
        <x:f>MIN(AP984+AN985,AM985*v01_KHMaxRatio)</x:f>
        <x:v>37.544391205196185</x:v>
      </x:c>
      <x:c r="AP985" s="32" t="n">
        <x:f>AP984+AN985-AO985</x:f>
        <x:v>0</x:v>
      </x:c>
      <x:c r="AQ985" s="32" t="n">
        <x:f>AM985+AO985</x:f>
        <x:v>209.77227779550051</x:v>
      </x:c>
      <x:c r="AR985" s="10" t="n">
        <x:f>IF(H985=1,INDEX(v01_Req,G985),0)</x:f>
        <x:v>24714.473079999996</x:v>
      </x:c>
      <x:c r="AS985" s="32" t="n">
        <x:f>IF(H985=1,IF(E985=1,AS984-AR984,AS984)+AQ985,0)</x:f>
        <x:v>15578.472038306898</x:v>
      </x:c>
      <x:c r="AT985" s="11" t="n">
        <x:f>IF(AR985&gt;0,MIN(1,AS985/AR985),1)</x:f>
        <x:v>0.6303380204740704</x:v>
      </x:c>
      <x:c r="AU985" s="10" t="n">
        <x:f>AB985/INDEX(v01_RepScale,G985)</x:f>
        <x:v>246.74340394469942</x:v>
      </x:c>
      <x:c r="AV985" s="32" t="n">
        <x:f>AM985*60/v01_SeasonSeconds</x:f>
        <x:v>688.9115463612173</x:v>
      </x:c>
    </x:row>
    <x:row r="986">
      <x:c r="A986" s="8" t="n">
        <x:f>A985+1</x:f>
        <x:v>983</x:v>
      </x:c>
      <x:c r="B986" s="9" t="n">
        <x:f>A986*v01_SeasonSeconds/60</x:f>
        <x:v>245.75</x:v>
      </x:c>
      <x:c r="C986" s="9" t="n">
        <x:f>A986/4</x:f>
        <x:v>245.75</x:v>
      </x:c>
      <x:c r="D986" s="8" t="n">
        <x:f>IF(MOD(A986,4)=0,1,0)</x:f>
        <x:v>0</x:v>
      </x:c>
      <x:c r="E986" s="8" t="n">
        <x:f>IF(AND(F985&lt;=9,AS985&gt;=AR985),1,0)</x:f>
        <x:v>0</x:v>
      </x:c>
      <x:c r="F986" s="8" t="n">
        <x:f>MIN(10,F985+E986)</x:f>
        <x:v>4</x:v>
      </x:c>
      <x:c r="G986" s="8" t="n">
        <x:f>MIN(F986,9)+1</x:f>
        <x:v>5</x:v>
      </x:c>
      <x:c r="H986" s="8" t="n">
        <x:f>IF(F986&lt;=9,1,0)</x:f>
        <x:v>1</x:v>
      </x:c>
      <x:c r="I986" s="9" t="n">
        <x:f>MIN(10,F985+IF(AR985&gt;0,MIN(1,AS985/AR985),1))</x:f>
        <x:v>4.6303380204740705</x:v>
      </x:c>
      <x:c r="J986" s="32" t="n">
        <x:f>INDEX(v01_FoodCap,G986)*Arch_FoodCap*EXP(v01_CapsByProject*SUMPRODUCT((Cap_Point&lt;=I986)*(Cap_Kind="Food")*Cap_Ln))</x:f>
        <x:v>250</x:v>
      </x:c>
      <x:c r="K986" s="32" t="n">
        <x:f>J986*MIN(1,v01_LeanBase*EXP(v01_CapsByProject*SUMPRODUCT((Cap_Point&lt;=I986)*(Cap_Kind="Lean")*Cap_Ln)))</x:f>
        <x:v>250</x:v>
      </x:c>
      <x:c r="L986" s="10" t="n">
        <x:f>INDEX(v01_HousingCap,G986)*EXP(v01_CapsByProject*SUMPRODUCT((Cap_Point&lt;=I986)*(Cap_Kind="Housing")*Cap_Ln))</x:f>
        <x:v>400</x:v>
      </x:c>
      <x:c r="M986" s="10" t="n">
        <x:f>INDEX(v01_GroupCap,G986)*v01_CohesionFactor*EXP(v01_CapsByProject*SUMPRODUCT((Cap_Point&lt;=I986)*(Cap_Kind="Group")*Cap_Ln))</x:f>
        <x:v>10000</x:v>
      </x:c>
      <x:c r="N986" s="32" t="n">
        <x:f>MIN(J986,L986,M986)</x:f>
        <x:v>250</x:v>
      </x:c>
      <x:c r="O986" s="10" t="n">
        <x:f>AE985*N986</x:f>
        <x:v>3000</x:v>
      </x:c>
      <x:c r="P986" s="9" t="n">
        <x:f>MIN(1,(AB985/(AE985*IF(v01_GroupInCrowding=1,N986,MIN(J986,L986))))^v01_CrowdingExp)</x:f>
        <x:v>0.3095606729773542</x:v>
      </x:c>
      <x:c r="Q986" s="9" t="n">
        <x:f>IF(D986=1,INDEX(v01_WinterMult,G986),1)</x:f>
        <x:v>1</x:v>
      </x:c>
      <x:c r="R986" s="9" t="n">
        <x:f>H986*Z985*v01_WomenShare*v01_BaseFertility*INDEX(v01_FertMult,G986)*Arch_Fertility*(1-P986)</x:f>
        <x:v>26.66275631711033</x:v>
      </x:c>
      <x:c r="S986" s="9" t="n">
        <x:f>H986*Y985*INDEX(v01_MortChild,G986)/4*Q986</x:f>
        <x:v>7.092844554624964</x:v>
      </x:c>
      <x:c r="T986" s="9" t="n">
        <x:f>H986*Z985*INDEX(v01_MortAdult,G986)*Arch_AdultMort/4*Q986</x:f>
        <x:v>2.6817422289425843</x:v>
      </x:c>
      <x:c r="U986" s="9" t="n">
        <x:f>H986*AA985*INDEX(v01_MortElder,G986)/4*Q986</x:f>
        <x:v>5.722104600995913</x:v>
      </x:c>
      <x:c r="V986" s="9" t="n">
        <x:f>H986*MAX(0,AB985-O986)*v01_OvercapLoss</x:f>
        <x:v>0</x:v>
      </x:c>
      <x:c r="W986" s="9" t="n">
        <x:f>H986*Y985/(v01_ChildYears*4)</x:f>
        <x:v>18.09399121077797</x:v>
      </x:c>
      <x:c r="X986" s="9" t="n">
        <x:f>H986*Z985/(v01_AdultYears*4)</x:f>
        <x:v>8.650781383685755</x:v>
      </x:c>
      <x:c r="Y986" s="32" t="n">
        <x:f>Y985+R986-S986-W986-Y985*V986/AB985</x:f>
        <x:v>1014.7394283552738</x:v>
      </x:c>
      <x:c r="Z986" s="32" t="n">
        <x:f>Z985+W986-X986-T986-Z985*V986/AB985</x:f>
        <x:v>1079.4583591751832</x:v>
      </x:c>
      <x:c r="AA986" s="32" t="n">
        <x:f>AA985+X986-U986-AA985*V986/AB985</x:f>
        <x:v>384.40231684908406</x:v>
      </x:c>
      <x:c r="AB986" s="10" t="n">
        <x:f>Y986+Z986+AA986</x:f>
        <x:v>2478.600104379541</x:v>
      </x:c>
      <x:c r="AC986" s="8" t="n">
        <x:f>IF(AND(v01_WinterTrigger=1,D986=1,AB985/AE985&gt;=K986),1,0)</x:f>
        <x:v>0</x:v>
      </x:c>
      <x:c r="AD986" s="8" t="n">
        <x:f>H986*IF(AND(OR(AB985/AE985&gt;=v01_FissionTrigger*N986,AC986=1),AB985/AE985*v01_DaughterShare&gt;=v01_MinDaughter),MAX(1,ROUND(AE985*v01_FissionRate,0)),0)</x:f>
        <x:v>0</x:v>
      </x:c>
      <x:c r="AE986" s="8" t="n">
        <x:f>IF(H986=1,MAX(1,MIN(INDEX(v01_Smax,G986),AE985+AD986)),AE985)</x:f>
        <x:v>12</x:v>
      </x:c>
      <x:c r="AF986" s="8" t="n">
        <x:f>MAX(0,AE986-AE985)</x:f>
        <x:v>0</x:v>
      </x:c>
      <x:c r="AG986" s="9" t="str">
        <x:f>IF(AF986&gt;0,B986,"")</x:f>
      </x:c>
      <x:c r="AH986" s="9" t="n">
        <x:f>IF(F986&gt;=1,1,(1+v01_LowTiesShare*(AE986-1))/AE986)</x:f>
        <x:v>1</x:v>
      </x:c>
      <x:c r="AI986" s="32" t="n">
        <x:f>(Z986+v01_ElderCommons*INDEX(LM_Elder,G986)*AA986)*AH986</x:f>
        <x:v>2232.6653097224353</x:v>
      </x:c>
      <x:c r="AJ986" s="32" t="n">
        <x:f>H986*v01_CommonsCoef*AI986^v01_CommonsExp*INDEX(LM_Commons,G986)</x:f>
        <x:v>509.31631252903014</x:v>
      </x:c>
      <x:c r="AK986" s="32" t="n">
        <x:f>H986*v01_RoleScale*Arch_Roles*(AE986*(INDEX(v01_ElderRolePerSett,G986)*v01_OutElder*INDEX(LM_Elder,G986)+INDEX(v01_ShamanPerSett,G986)*v01_OutShaman)+Z986*(INDEX(v01_PriestShare,G986)*v01_OutPriest+INDEX(v01_ScribeShare,G986)*v01_OutScribe*INDEX(LM_Scribe,G986)+INDEX(v01_ScholarShare,G986)*v01_OutScholar*INDEX(LM_Scholar,G986)+INDEX(v01_ResearcherShare,G986)*v01_OutResearcher*INDEX(LM_Researcher,G986)))</x:f>
        <x:v>66.50214485139865</x:v>
      </x:c>
      <x:c r="AL986" s="32" t="n">
        <x:f>H986*v01_RoleScale*Arch_Roles*AE986*INDEX(v01_MonasteryPerSett,G986)*v01_OutMonastery*INDEX(LM_Monastery,G986)</x:f>
        <x:v>0</x:v>
      </x:c>
      <x:c r="AM986" s="32" t="n">
        <x:f>(AJ986+AK986+AL986)/4*INDEX(LM_All,G986)*INDEX(v01_Boon,G986)*Arch_Insight</x:f>
        <x:v>173.19257619074412</x:v>
      </x:c>
      <x:c r="AN986" s="32" t="n">
        <x:f>H986*(v01_KHPerAdult*Z986+v01_KHOfCommons*AJ986/4*INDEX(LM_All,G986))*v01_KHUsable*Arch_KH</x:f>
        <x:v>37.78104257113141</x:v>
      </x:c>
      <x:c r="AO986" s="32" t="n">
        <x:f>MIN(AP985+AN986,AM986*v01_KHMaxRatio)</x:f>
        <x:v>37.78104257113141</x:v>
      </x:c>
      <x:c r="AP986" s="32" t="n">
        <x:f>AP985+AN986-AO986</x:f>
        <x:v>0</x:v>
      </x:c>
      <x:c r="AQ986" s="32" t="n">
        <x:f>AM986+AO986</x:f>
        <x:v>210.9736187618755</x:v>
      </x:c>
      <x:c r="AR986" s="10" t="n">
        <x:f>IF(H986=1,INDEX(v01_Req,G986),0)</x:f>
        <x:v>24714.473079999996</x:v>
      </x:c>
      <x:c r="AS986" s="32" t="n">
        <x:f>IF(H986=1,IF(E986=1,AS985-AR985,AS985)+AQ986,0)</x:f>
        <x:v>15789.445657068773</x:v>
      </x:c>
      <x:c r="AT986" s="11" t="n">
        <x:f>IF(AR986&gt;0,MIN(1,AS986/AR986),1)</x:f>
        <x:v>0.6388744605623926</x:v>
      </x:c>
      <x:c r="AU986" s="10" t="n">
        <x:f>AB986/INDEX(v01_RepScale,G986)</x:f>
        <x:v>247.8600104379541</x:v>
      </x:c>
      <x:c r="AV986" s="32" t="n">
        <x:f>AM986*60/v01_SeasonSeconds</x:f>
        <x:v>692.7703047629765</x:v>
      </x:c>
    </x:row>
    <x:row r="987">
      <x:c r="A987" s="8" t="n">
        <x:f>A986+1</x:f>
        <x:v>984</x:v>
      </x:c>
      <x:c r="B987" s="9" t="n">
        <x:f>A987*v01_SeasonSeconds/60</x:f>
        <x:v>246</x:v>
      </x:c>
      <x:c r="C987" s="9" t="n">
        <x:f>A987/4</x:f>
        <x:v>246</x:v>
      </x:c>
      <x:c r="D987" s="8" t="n">
        <x:f>IF(MOD(A987,4)=0,1,0)</x:f>
        <x:v>1</x:v>
      </x:c>
      <x:c r="E987" s="8" t="n">
        <x:f>IF(AND(F986&lt;=9,AS986&gt;=AR986),1,0)</x:f>
        <x:v>0</x:v>
      </x:c>
      <x:c r="F987" s="8" t="n">
        <x:f>MIN(10,F986+E987)</x:f>
        <x:v>4</x:v>
      </x:c>
      <x:c r="G987" s="8" t="n">
        <x:f>MIN(F987,9)+1</x:f>
        <x:v>5</x:v>
      </x:c>
      <x:c r="H987" s="8" t="n">
        <x:f>IF(F987&lt;=9,1,0)</x:f>
        <x:v>1</x:v>
      </x:c>
      <x:c r="I987" s="9" t="n">
        <x:f>MIN(10,F986+IF(AR986&gt;0,MIN(1,AS986/AR986),1))</x:f>
        <x:v>4.638874460562393</x:v>
      </x:c>
      <x:c r="J987" s="32" t="n">
        <x:f>INDEX(v01_FoodCap,G987)*Arch_FoodCap*EXP(v01_CapsByProject*SUMPRODUCT((Cap_Point&lt;=I987)*(Cap_Kind="Food")*Cap_Ln))</x:f>
        <x:v>250</x:v>
      </x:c>
      <x:c r="K987" s="32" t="n">
        <x:f>J987*MIN(1,v01_LeanBase*EXP(v01_CapsByProject*SUMPRODUCT((Cap_Point&lt;=I987)*(Cap_Kind="Lean")*Cap_Ln)))</x:f>
        <x:v>250</x:v>
      </x:c>
      <x:c r="L987" s="10" t="n">
        <x:f>INDEX(v01_HousingCap,G987)*EXP(v01_CapsByProject*SUMPRODUCT((Cap_Point&lt;=I987)*(Cap_Kind="Housing")*Cap_Ln))</x:f>
        <x:v>400</x:v>
      </x:c>
      <x:c r="M987" s="10" t="n">
        <x:f>INDEX(v01_GroupCap,G987)*v01_CohesionFactor*EXP(v01_CapsByProject*SUMPRODUCT((Cap_Point&lt;=I987)*(Cap_Kind="Group")*Cap_Ln))</x:f>
        <x:v>10000</x:v>
      </x:c>
      <x:c r="N987" s="32" t="n">
        <x:f>MIN(J987,L987,M987)</x:f>
        <x:v>250</x:v>
      </x:c>
      <x:c r="O987" s="10" t="n">
        <x:f>AE986*N987</x:f>
        <x:v>3000</x:v>
      </x:c>
      <x:c r="P987" s="9" t="n">
        <x:f>MIN(1,(AB986/(AE986*IF(v01_GroupInCrowding=1,N987,MIN(J987,L987))))^v01_CrowdingExp)</x:f>
        <x:v>0.3180616104408724</x:v>
      </x:c>
      <x:c r="Q987" s="9" t="n">
        <x:f>IF(D987=1,INDEX(v01_WinterMult,G987),1)</x:f>
        <x:v>1</x:v>
      </x:c>
      <x:c r="R987" s="9" t="n">
        <x:f>H987*Z986*v01_WomenShare*v01_BaseFertility*INDEX(v01_FertMult,G987)*Arch_Fertility*(1-P987)</x:f>
        <x:v>26.500467421874255</x:v>
      </x:c>
      <x:c r="S987" s="9" t="n">
        <x:f>H987*Y986*INDEX(v01_MortChild,G987)/4*Q987</x:f>
        <x:v>7.103175998486917</x:v>
      </x:c>
      <x:c r="T987" s="9" t="n">
        <x:f>H987*Z986*INDEX(v01_MortAdult,G987)*Arch_AdultMort/4*Q987</x:f>
        <x:v>2.698645897937958</x:v>
      </x:c>
      <x:c r="U987" s="9" t="n">
        <x:f>H987*AA986*INDEX(v01_MortElder,G987)/4*Q987</x:f>
        <x:v>5.76603475273626</x:v>
      </x:c>
      <x:c r="V987" s="9" t="n">
        <x:f>H987*MAX(0,AB986-O987)*v01_OvercapLoss</x:f>
        <x:v>0</x:v>
      </x:c>
      <x:c r="W987" s="9" t="n">
        <x:f>H987*Y986/(v01_ChildYears*4)</x:f>
        <x:v>18.120346934915606</x:v>
      </x:c>
      <x:c r="X987" s="9" t="n">
        <x:f>H987*Z986/(v01_AdultYears*4)</x:f>
        <x:v>8.705309348186962</x:v>
      </x:c>
      <x:c r="Y987" s="32" t="n">
        <x:f>Y986+R987-S987-W987-Y986*V987/AB986</x:f>
        <x:v>1016.0163728437457</x:v>
      </x:c>
      <x:c r="Z987" s="32" t="n">
        <x:f>Z986+W987-X987-T987-Z986*V987/AB986</x:f>
        <x:v>1086.174750863974</x:v>
      </x:c>
      <x:c r="AA987" s="32" t="n">
        <x:f>AA986+X987-U987-AA986*V987/AB986</x:f>
        <x:v>387.34159144453474</x:v>
      </x:c>
      <x:c r="AB987" s="10" t="n">
        <x:f>Y987+Z987+AA987</x:f>
        <x:v>2489.5327151522542</x:v>
      </x:c>
      <x:c r="AC987" s="8" t="n">
        <x:f>IF(AND(v01_WinterTrigger=1,D987=1,AB986/AE986&gt;=K987),1,0)</x:f>
        <x:v>0</x:v>
      </x:c>
      <x:c r="AD987" s="8" t="n">
        <x:f>H987*IF(AND(OR(AB986/AE986&gt;=v01_FissionTrigger*N987,AC987=1),AB986/AE986*v01_DaughterShare&gt;=v01_MinDaughter),MAX(1,ROUND(AE986*v01_FissionRate,0)),0)</x:f>
        <x:v>0</x:v>
      </x:c>
      <x:c r="AE987" s="8" t="n">
        <x:f>IF(H987=1,MAX(1,MIN(INDEX(v01_Smax,G987),AE986+AD987)),AE986)</x:f>
        <x:v>12</x:v>
      </x:c>
      <x:c r="AF987" s="8" t="n">
        <x:f>MAX(0,AE987-AE986)</x:f>
        <x:v>0</x:v>
      </x:c>
      <x:c r="AG987" s="9" t="str">
        <x:f>IF(AF987&gt;0,B987,"")</x:f>
      </x:c>
      <x:c r="AH987" s="9" t="n">
        <x:f>IF(F987&gt;=1,1,(1+v01_LowTiesShare*(AE987-1))/AE987)</x:f>
        <x:v>1</x:v>
      </x:c>
      <x:c r="AI987" s="32" t="n">
        <x:f>(Z987+v01_ElderCommons*INDEX(LM_Elder,G987)*AA987)*AH987</x:f>
        <x:v>2248.199525197578</x:v>
      </x:c>
      <x:c r="AJ987" s="32" t="n">
        <x:f>H987*v01_CommonsCoef*AI987^v01_CommonsExp*INDEX(LM_Commons,G987)</x:f>
        <x:v>512.3268644999346</x:v>
      </x:c>
      <x:c r="AK987" s="32" t="n">
        <x:f>H987*v01_RoleScale*Arch_Roles*(AE987*(INDEX(v01_ElderRolePerSett,G987)*v01_OutElder*INDEX(LM_Elder,G987)+INDEX(v01_ShamanPerSett,G987)*v01_OutShaman)+Z987*(INDEX(v01_PriestShare,G987)*v01_OutPriest+INDEX(v01_ScribeShare,G987)*v01_OutScribe*INDEX(LM_Scribe,G987)+INDEX(v01_ScholarShare,G987)*v01_OutScholar*INDEX(LM_Scholar,G987)+INDEX(v01_ResearcherShare,G987)*v01_OutResearcher*INDEX(LM_Researcher,G987)))</x:f>
        <x:v>66.69192924690489</x:v>
      </x:c>
      <x:c r="AL987" s="32" t="n">
        <x:f>H987*v01_RoleScale*Arch_Roles*AE987*INDEX(v01_MonasteryPerSett,G987)*v01_OutMonastery*INDEX(LM_Monastery,G987)</x:f>
        <x:v>0</x:v>
      </x:c>
      <x:c r="AM987" s="32" t="n">
        <x:f>(AJ987+AK987+AL987)/4*INDEX(LM_All,G987)*INDEX(v01_Boon,G987)*Arch_Insight</x:f>
        <x:v>174.15516169468432</x:v>
      </x:c>
      <x:c r="AN987" s="32" t="n">
        <x:f>H987*(v01_KHPerAdult*Z987+v01_KHOfCommons*AJ987/4*INDEX(LM_All,G987))*v01_KHUsable*Arch_KH</x:f>
        <x:v>38.01611628023909</x:v>
      </x:c>
      <x:c r="AO987" s="32" t="n">
        <x:f>MIN(AP986+AN987,AM987*v01_KHMaxRatio)</x:f>
        <x:v>38.01611628023909</x:v>
      </x:c>
      <x:c r="AP987" s="32" t="n">
        <x:f>AP986+AN987-AO987</x:f>
        <x:v>0</x:v>
      </x:c>
      <x:c r="AQ987" s="32" t="n">
        <x:f>AM987+AO987</x:f>
        <x:v>212.1712779749234</x:v>
      </x:c>
      <x:c r="AR987" s="10" t="n">
        <x:f>IF(H987=1,INDEX(v01_Req,G987),0)</x:f>
        <x:v>24714.473079999996</x:v>
      </x:c>
      <x:c r="AS987" s="32" t="n">
        <x:f>IF(H987=1,IF(E987=1,AS986-AR986,AS986)+AQ987,0)</x:f>
        <x:v>16001.616935043696</x:v>
      </x:c>
      <x:c r="AT987" s="11" t="n">
        <x:f>IF(AR987&gt;0,MIN(1,AS987/AR987),1)</x:f>
        <x:v>0.6474593604826997</x:v>
      </x:c>
      <x:c r="AU987" s="10" t="n">
        <x:f>AB987/INDEX(v01_RepScale,G987)</x:f>
        <x:v>248.95327151522542</x:v>
      </x:c>
      <x:c r="AV987" s="32" t="n">
        <x:f>AM987*60/v01_SeasonSeconds</x:f>
        <x:v>696.6206467787373</x:v>
      </x:c>
    </x:row>
    <x:row r="988">
      <x:c r="A988" s="8" t="n">
        <x:f>A987+1</x:f>
        <x:v>985</x:v>
      </x:c>
      <x:c r="B988" s="9" t="n">
        <x:f>A988*v01_SeasonSeconds/60</x:f>
        <x:v>246.25</x:v>
      </x:c>
      <x:c r="C988" s="9" t="n">
        <x:f>A988/4</x:f>
        <x:v>246.25</x:v>
      </x:c>
      <x:c r="D988" s="8" t="n">
        <x:f>IF(MOD(A988,4)=0,1,0)</x:f>
        <x:v>0</x:v>
      </x:c>
      <x:c r="E988" s="8" t="n">
        <x:f>IF(AND(F987&lt;=9,AS987&gt;=AR987),1,0)</x:f>
        <x:v>0</x:v>
      </x:c>
      <x:c r="F988" s="8" t="n">
        <x:f>MIN(10,F987+E988)</x:f>
        <x:v>4</x:v>
      </x:c>
      <x:c r="G988" s="8" t="n">
        <x:f>MIN(F988,9)+1</x:f>
        <x:v>5</x:v>
      </x:c>
      <x:c r="H988" s="8" t="n">
        <x:f>IF(F988&lt;=9,1,0)</x:f>
        <x:v>1</x:v>
      </x:c>
      <x:c r="I988" s="9" t="n">
        <x:f>MIN(10,F987+IF(AR987&gt;0,MIN(1,AS987/AR987),1))</x:f>
        <x:v>4.647459360482699</x:v>
      </x:c>
      <x:c r="J988" s="32" t="n">
        <x:f>INDEX(v01_FoodCap,G988)*Arch_FoodCap*EXP(v01_CapsByProject*SUMPRODUCT((Cap_Point&lt;=I988)*(Cap_Kind="Food")*Cap_Ln))</x:f>
        <x:v>250</x:v>
      </x:c>
      <x:c r="K988" s="32" t="n">
        <x:f>J988*MIN(1,v01_LeanBase*EXP(v01_CapsByProject*SUMPRODUCT((Cap_Point&lt;=I988)*(Cap_Kind="Lean")*Cap_Ln)))</x:f>
        <x:v>250</x:v>
      </x:c>
      <x:c r="L988" s="10" t="n">
        <x:f>INDEX(v01_HousingCap,G988)*EXP(v01_CapsByProject*SUMPRODUCT((Cap_Point&lt;=I988)*(Cap_Kind="Housing")*Cap_Ln))</x:f>
        <x:v>400</x:v>
      </x:c>
      <x:c r="M988" s="10" t="n">
        <x:f>INDEX(v01_GroupCap,G988)*v01_CohesionFactor*EXP(v01_CapsByProject*SUMPRODUCT((Cap_Point&lt;=I988)*(Cap_Kind="Group")*Cap_Ln))</x:f>
        <x:v>10000</x:v>
      </x:c>
      <x:c r="N988" s="32" t="n">
        <x:f>MIN(J988,L988,M988)</x:f>
        <x:v>250</x:v>
      </x:c>
      <x:c r="O988" s="10" t="n">
        <x:f>AE987*N988</x:f>
        <x:v>3000</x:v>
      </x:c>
      <x:c r="P988" s="9" t="n">
        <x:f>MIN(1,(AB987/(AE987*IF(v01_GroupInCrowding=1,N988,MIN(J988,L988))))^v01_CrowdingExp)</x:f>
        <x:v>0.32657241523716085</x:v>
      </x:c>
      <x:c r="Q988" s="9" t="n">
        <x:f>IF(D988=1,INDEX(v01_WinterMult,G988),1)</x:f>
        <x:v>1</x:v>
      </x:c>
      <x:c r="R988" s="9" t="n">
        <x:f>H988*Z987*v01_WomenShare*v01_BaseFertility*INDEX(v01_FertMult,G988)*Arch_Fertility*(1-P988)</x:f>
        <x:v>26.332561407769365</x:v>
      </x:c>
      <x:c r="S988" s="9" t="n">
        <x:f>H988*Y987*INDEX(v01_MortChild,G988)/4*Q988</x:f>
        <x:v>7.11211460990622</x:v>
      </x:c>
      <x:c r="T988" s="9" t="n">
        <x:f>H988*Z987*INDEX(v01_MortAdult,G988)*Arch_AdultMort/4*Q988</x:f>
        <x:v>2.715436877159935</x:v>
      </x:c>
      <x:c r="U988" s="9" t="n">
        <x:f>H988*AA987*INDEX(v01_MortElder,G988)/4*Q988</x:f>
        <x:v>5.810123871668021</x:v>
      </x:c>
      <x:c r="V988" s="9" t="n">
        <x:f>H988*MAX(0,AB987-O988)*v01_OvercapLoss</x:f>
        <x:v>0</x:v>
      </x:c>
      <x:c r="W988" s="9" t="n">
        <x:f>H988*Y987/(v01_ChildYears*4)</x:f>
        <x:v>18.143149515066888</x:v>
      </x:c>
      <x:c r="X988" s="9" t="n">
        <x:f>H988*Z987/(v01_AdultYears*4)</x:f>
        <x:v>8.759473797290113</x:v>
      </x:c>
      <x:c r="Y988" s="32" t="n">
        <x:f>Y987+R988-S988-W988-Y987*V988/AB987</x:f>
        <x:v>1017.0936701265418</x:v>
      </x:c>
      <x:c r="Z988" s="32" t="n">
        <x:f>Z987+W988-X988-T988-Z987*V988/AB987</x:f>
        <x:v>1092.8429897045908</x:v>
      </x:c>
      <x:c r="AA988" s="32" t="n">
        <x:f>AA987+X988-U988-AA987*V988/AB987</x:f>
        <x:v>390.2909413701569</x:v>
      </x:c>
      <x:c r="AB988" s="10" t="n">
        <x:f>Y988+Z988+AA988</x:f>
        <x:v>2500.2276012012894</x:v>
      </x:c>
      <x:c r="AC988" s="8" t="n">
        <x:f>IF(AND(v01_WinterTrigger=1,D988=1,AB987/AE987&gt;=K988),1,0)</x:f>
        <x:v>0</x:v>
      </x:c>
      <x:c r="AD988" s="8" t="n">
        <x:f>H988*IF(AND(OR(AB987/AE987&gt;=v01_FissionTrigger*N988,AC988=1),AB987/AE987*v01_DaughterShare&gt;=v01_MinDaughter),MAX(1,ROUND(AE987*v01_FissionRate,0)),0)</x:f>
        <x:v>0</x:v>
      </x:c>
      <x:c r="AE988" s="8" t="n">
        <x:f>IF(H988=1,MAX(1,MIN(INDEX(v01_Smax,G988),AE987+AD988)),AE987)</x:f>
        <x:v>12</x:v>
      </x:c>
      <x:c r="AF988" s="8" t="n">
        <x:f>MAX(0,AE988-AE987)</x:f>
        <x:v>0</x:v>
      </x:c>
      <x:c r="AG988" s="9" t="str">
        <x:f>IF(AF988&gt;0,B988,"")</x:f>
      </x:c>
      <x:c r="AH988" s="9" t="n">
        <x:f>IF(F988&gt;=1,1,(1+v01_LowTiesShare*(AE988-1))/AE988)</x:f>
        <x:v>1</x:v>
      </x:c>
      <x:c r="AI988" s="32" t="n">
        <x:f>(Z988+v01_ElderCommons*INDEX(LM_Elder,G988)*AA988)*AH988</x:f>
        <x:v>2263.7158138150617</x:v>
      </x:c>
      <x:c r="AJ988" s="32" t="n">
        <x:f>H988*v01_CommonsCoef*AI988^v01_CommonsExp*INDEX(LM_Commons,G988)</x:f>
        <x:v>515.3308289305912</x:v>
      </x:c>
      <x:c r="AK988" s="32" t="n">
        <x:f>H988*v01_RoleScale*Arch_Roles*(AE988*(INDEX(v01_ElderRolePerSett,G988)*v01_OutElder*INDEX(LM_Elder,G988)+INDEX(v01_ShamanPerSett,G988)*v01_OutShaman)+Z988*(INDEX(v01_PriestShare,G988)*v01_OutPriest+INDEX(v01_ScribeShare,G988)*v01_OutScribe*INDEX(LM_Scribe,G988)+INDEX(v01_ScholarShare,G988)*v01_OutScholar*INDEX(LM_Scholar,G988)+INDEX(v01_ResearcherShare,G988)*v01_OutResearcher*INDEX(LM_Researcher,G988)))</x:f>
        <x:v>66.88035299228738</x:v>
      </x:c>
      <x:c r="AL988" s="32" t="n">
        <x:f>H988*v01_RoleScale*Arch_Roles*AE988*INDEX(v01_MonasteryPerSett,G988)*v01_OutMonastery*INDEX(LM_Monastery,G988)</x:f>
        <x:v>0</x:v>
      </x:c>
      <x:c r="AM988" s="32" t="n">
        <x:f>(AJ988+AK988+AL988)/4*INDEX(LM_All,G988)*INDEX(v01_Boon,G988)*Arch_Insight</x:f>
        <x:v>175.11535657090346</x:v>
      </x:c>
      <x:c r="AN988" s="32" t="n">
        <x:f>H988*(v01_KHPerAdult*Z988+v01_KHOfCommons*AJ988/4*INDEX(LM_All,G988))*v01_KHUsable*Arch_KH</x:f>
        <x:v>38.24950463966067</x:v>
      </x:c>
      <x:c r="AO988" s="32" t="n">
        <x:f>MIN(AP987+AN988,AM988*v01_KHMaxRatio)</x:f>
        <x:v>38.24950463966067</x:v>
      </x:c>
      <x:c r="AP988" s="32" t="n">
        <x:f>AP987+AN988-AO988</x:f>
        <x:v>0</x:v>
      </x:c>
      <x:c r="AQ988" s="32" t="n">
        <x:f>AM988+AO988</x:f>
        <x:v>213.36486121056413</x:v>
      </x:c>
      <x:c r="AR988" s="10" t="n">
        <x:f>IF(H988=1,INDEX(v01_Req,G988),0)</x:f>
        <x:v>24714.473079999996</x:v>
      </x:c>
      <x:c r="AS988" s="32" t="n">
        <x:f>IF(H988=1,IF(E988=1,AS987-AR987,AS987)+AQ988,0)</x:f>
        <x:v>16214.98179625426</x:v>
      </x:c>
      <x:c r="AT988" s="11" t="n">
        <x:f>IF(AR988&gt;0,MIN(1,AS988/AR988),1)</x:f>
        <x:v>0.6560925553123006</x:v>
      </x:c>
      <x:c r="AU988" s="10" t="n">
        <x:f>AB988/INDEX(v01_RepScale,G988)</x:f>
        <x:v>250.02276012012894</x:v>
      </x:c>
      <x:c r="AV988" s="32" t="n">
        <x:f>AM988*60/v01_SeasonSeconds</x:f>
        <x:v>700.4614262836138</x:v>
      </x:c>
    </x:row>
    <x:row r="989">
      <x:c r="A989" s="8" t="n">
        <x:f>A988+1</x:f>
        <x:v>986</x:v>
      </x:c>
      <x:c r="B989" s="9" t="n">
        <x:f>A989*v01_SeasonSeconds/60</x:f>
        <x:v>246.5</x:v>
      </x:c>
      <x:c r="C989" s="9" t="n">
        <x:f>A989/4</x:f>
        <x:v>246.5</x:v>
      </x:c>
      <x:c r="D989" s="8" t="n">
        <x:f>IF(MOD(A989,4)=0,1,0)</x:f>
        <x:v>0</x:v>
      </x:c>
      <x:c r="E989" s="8" t="n">
        <x:f>IF(AND(F988&lt;=9,AS988&gt;=AR988),1,0)</x:f>
        <x:v>0</x:v>
      </x:c>
      <x:c r="F989" s="8" t="n">
        <x:f>MIN(10,F988+E989)</x:f>
        <x:v>4</x:v>
      </x:c>
      <x:c r="G989" s="8" t="n">
        <x:f>MIN(F989,9)+1</x:f>
        <x:v>5</x:v>
      </x:c>
      <x:c r="H989" s="8" t="n">
        <x:f>IF(F989&lt;=9,1,0)</x:f>
        <x:v>1</x:v>
      </x:c>
      <x:c r="I989" s="9" t="n">
        <x:f>MIN(10,F988+IF(AR988&gt;0,MIN(1,AS988/AR988),1))</x:f>
        <x:v>4.6560925553123</x:v>
      </x:c>
      <x:c r="J989" s="32" t="n">
        <x:f>INDEX(v01_FoodCap,G989)*Arch_FoodCap*EXP(v01_CapsByProject*SUMPRODUCT((Cap_Point&lt;=I989)*(Cap_Kind="Food")*Cap_Ln))</x:f>
        <x:v>250</x:v>
      </x:c>
      <x:c r="K989" s="32" t="n">
        <x:f>J989*MIN(1,v01_LeanBase*EXP(v01_CapsByProject*SUMPRODUCT((Cap_Point&lt;=I989)*(Cap_Kind="Lean")*Cap_Ln)))</x:f>
        <x:v>250</x:v>
      </x:c>
      <x:c r="L989" s="10" t="n">
        <x:f>INDEX(v01_HousingCap,G989)*EXP(v01_CapsByProject*SUMPRODUCT((Cap_Point&lt;=I989)*(Cap_Kind="Housing")*Cap_Ln))</x:f>
        <x:v>400</x:v>
      </x:c>
      <x:c r="M989" s="10" t="n">
        <x:f>INDEX(v01_GroupCap,G989)*v01_CohesionFactor*EXP(v01_CapsByProject*SUMPRODUCT((Cap_Point&lt;=I989)*(Cap_Kind="Group")*Cap_Ln))</x:f>
        <x:v>10000</x:v>
      </x:c>
      <x:c r="N989" s="32" t="n">
        <x:f>MIN(J989,L989,M989)</x:f>
        <x:v>250</x:v>
      </x:c>
      <x:c r="O989" s="10" t="n">
        <x:f>AE988*N989</x:f>
        <x:v>3000</x:v>
      </x:c>
      <x:c r="P989" s="9" t="n">
        <x:f>MIN(1,(AB988/(AE988*IF(v01_GroupInCrowding=1,N989,MIN(J989,L989))))^v01_CrowdingExp)</x:f>
        <x:v>0.3350809539581335</x:v>
      </x:c>
      <x:c r="Q989" s="9" t="n">
        <x:f>IF(D989=1,INDEX(v01_WinterMult,G989),1)</x:f>
        <x:v>1</x:v>
      </x:c>
      <x:c r="R989" s="9" t="n">
        <x:f>H989*Z988*v01_WomenShare*v01_BaseFertility*INDEX(v01_FertMult,G989)*Arch_Fertility*(1-P989)</x:f>
        <x:v>26.159476254765043</x:v>
      </x:c>
      <x:c r="S989" s="9" t="n">
        <x:f>H989*Y988*INDEX(v01_MortChild,G989)/4*Q989</x:f>
        <x:v>7.119655690885793</x:v>
      </x:c>
      <x:c r="T989" s="9" t="n">
        <x:f>H989*Z988*INDEX(v01_MortAdult,G989)*Arch_AdultMort/4*Q989</x:f>
        <x:v>2.732107474261477</x:v>
      </x:c>
      <x:c r="U989" s="9" t="n">
        <x:f>H989*AA988*INDEX(v01_MortElder,G989)/4*Q989</x:f>
        <x:v>5.8543641205523524</x:v>
      </x:c>
      <x:c r="V989" s="9" t="n">
        <x:f>H989*MAX(0,AB988-O989)*v01_OvercapLoss</x:f>
        <x:v>0</x:v>
      </x:c>
      <x:c r="W989" s="9" t="n">
        <x:f>H989*Y988/(v01_ChildYears*4)</x:f>
        <x:v>18.16238696654539</x:v>
      </x:c>
      <x:c r="X989" s="9" t="n">
        <x:f>H989*Z988/(v01_AdultYears*4)</x:f>
        <x:v>8.813249916972506</x:v>
      </x:c>
      <x:c r="Y989" s="32" t="n">
        <x:f>Y988+R989-S989-W989-Y988*V989/AB988</x:f>
        <x:v>1017.9711037238757</x:v>
      </x:c>
      <x:c r="Z989" s="32" t="n">
        <x:f>Z988+W989-X989-T989-Z988*V989/AB988</x:f>
        <x:v>1099.460019279902</x:v>
      </x:c>
      <x:c r="AA989" s="32" t="n">
        <x:f>AA988+X989-U989-AA988*V989/AB988</x:f>
        <x:v>393.249827166577</x:v>
      </x:c>
      <x:c r="AB989" s="10" t="n">
        <x:f>Y989+Z989+AA989</x:f>
        <x:v>2510.6809501703547</x:v>
      </x:c>
      <x:c r="AC989" s="8" t="n">
        <x:f>IF(AND(v01_WinterTrigger=1,D989=1,AB988/AE988&gt;=K989),1,0)</x:f>
        <x:v>0</x:v>
      </x:c>
      <x:c r="AD989" s="8" t="n">
        <x:f>H989*IF(AND(OR(AB988/AE988&gt;=v01_FissionTrigger*N989,AC989=1),AB988/AE988*v01_DaughterShare&gt;=v01_MinDaughter),MAX(1,ROUND(AE988*v01_FissionRate,0)),0)</x:f>
        <x:v>0</x:v>
      </x:c>
      <x:c r="AE989" s="8" t="n">
        <x:f>IF(H989=1,MAX(1,MIN(INDEX(v01_Smax,G989),AE988+AD989)),AE988)</x:f>
        <x:v>12</x:v>
      </x:c>
      <x:c r="AF989" s="8" t="n">
        <x:f>MAX(0,AE989-AE988)</x:f>
        <x:v>0</x:v>
      </x:c>
      <x:c r="AG989" s="9" t="str">
        <x:f>IF(AF989&gt;0,B989,"")</x:f>
      </x:c>
      <x:c r="AH989" s="9" t="n">
        <x:f>IF(F989&gt;=1,1,(1+v01_LowTiesShare*(AE989-1))/AE989)</x:f>
        <x:v>1</x:v>
      </x:c>
      <x:c r="AI989" s="32" t="n">
        <x:f>(Z989+v01_ElderCommons*INDEX(LM_Elder,G989)*AA989)*AH989</x:f>
        <x:v>2279.2095007796333</x:v>
      </x:c>
      <x:c r="AJ989" s="32" t="n">
        <x:f>H989*v01_CommonsCoef*AI989^v01_CommonsExp*INDEX(LM_Commons,G989)</x:f>
        <x:v>518.3273374252216</x:v>
      </x:c>
      <x:c r="AK989" s="32" t="n">
        <x:f>H989*v01_RoleScale*Arch_Roles*(AE989*(INDEX(v01_ElderRolePerSett,G989)*v01_OutElder*INDEX(LM_Elder,G989)+INDEX(v01_ShamanPerSett,G989)*v01_OutShaman)+Z989*(INDEX(v01_PriestShare,G989)*v01_OutPriest+INDEX(v01_ScribeShare,G989)*v01_OutScribe*INDEX(LM_Scribe,G989)+INDEX(v01_ScholarShare,G989)*v01_OutScholar*INDEX(LM_Scholar,G989)+INDEX(v01_ResearcherShare,G989)*v01_OutResearcher*INDEX(LM_Researcher,G989)))</x:f>
        <x:v>67.06732972267868</x:v>
      </x:c>
      <x:c r="AL989" s="32" t="n">
        <x:f>H989*v01_RoleScale*Arch_Roles*AE989*INDEX(v01_MonasteryPerSett,G989)*v01_OutMonastery*INDEX(LM_Monastery,G989)</x:f>
        <x:v>0</x:v>
      </x:c>
      <x:c r="AM989" s="32" t="n">
        <x:f>(AJ989+AK989+AL989)/4*INDEX(LM_All,G989)*INDEX(v01_Boon,G989)*Arch_Insight</x:f>
        <x:v>176.0728736499755</x:v>
      </x:c>
      <x:c r="AN989" s="32" t="n">
        <x:f>H989*(v01_KHPerAdult*Z989+v01_KHOfCommons*AJ989/4*INDEX(LM_All,G989))*v01_KHUsable*Arch_KH</x:f>
        <x:v>38.48110067479657</x:v>
      </x:c>
      <x:c r="AO989" s="32" t="n">
        <x:f>MIN(AP988+AN989,AM989*v01_KHMaxRatio)</x:f>
        <x:v>38.48110067479657</x:v>
      </x:c>
      <x:c r="AP989" s="32" t="n">
        <x:f>AP988+AN989-AO989</x:f>
        <x:v>0</x:v>
      </x:c>
      <x:c r="AQ989" s="32" t="n">
        <x:f>AM989+AO989</x:f>
        <x:v>214.55397432477207</x:v>
      </x:c>
      <x:c r="AR989" s="10" t="n">
        <x:f>IF(H989=1,INDEX(v01_Req,G989),0)</x:f>
        <x:v>24714.473079999996</x:v>
      </x:c>
      <x:c r="AS989" s="32" t="n">
        <x:f>IF(H989=1,IF(E989=1,AS988-AR988,AS988)+AQ989,0)</x:f>
        <x:v>16429.535770579034</x:v>
      </x:c>
      <x:c r="AT989" s="11" t="n">
        <x:f>IF(AR989&gt;0,MIN(1,AS989/AR989),1)</x:f>
        <x:v>0.6647738641806009</x:v>
      </x:c>
      <x:c r="AU989" s="10" t="n">
        <x:f>AB989/INDEX(v01_RepScale,G989)</x:f>
        <x:v>251.06809501703546</x:v>
      </x:c>
      <x:c r="AV989" s="32" t="n">
        <x:f>AM989*60/v01_SeasonSeconds</x:f>
        <x:v>704.291494599902</x:v>
      </x:c>
    </x:row>
    <x:row r="990">
      <x:c r="A990" s="8" t="n">
        <x:f>A989+1</x:f>
        <x:v>987</x:v>
      </x:c>
      <x:c r="B990" s="9" t="n">
        <x:f>A990*v01_SeasonSeconds/60</x:f>
        <x:v>246.75</x:v>
      </x:c>
      <x:c r="C990" s="9" t="n">
        <x:f>A990/4</x:f>
        <x:v>246.75</x:v>
      </x:c>
      <x:c r="D990" s="8" t="n">
        <x:f>IF(MOD(A990,4)=0,1,0)</x:f>
        <x:v>0</x:v>
      </x:c>
      <x:c r="E990" s="8" t="n">
        <x:f>IF(AND(F989&lt;=9,AS989&gt;=AR989),1,0)</x:f>
        <x:v>0</x:v>
      </x:c>
      <x:c r="F990" s="8" t="n">
        <x:f>MIN(10,F989+E990)</x:f>
        <x:v>4</x:v>
      </x:c>
      <x:c r="G990" s="8" t="n">
        <x:f>MIN(F990,9)+1</x:f>
        <x:v>5</x:v>
      </x:c>
      <x:c r="H990" s="8" t="n">
        <x:f>IF(F990&lt;=9,1,0)</x:f>
        <x:v>1</x:v>
      </x:c>
      <x:c r="I990" s="9" t="n">
        <x:f>MIN(10,F989+IF(AR989&gt;0,MIN(1,AS989/AR989),1))</x:f>
        <x:v>4.664773864180601</x:v>
      </x:c>
      <x:c r="J990" s="32" t="n">
        <x:f>INDEX(v01_FoodCap,G990)*Arch_FoodCap*EXP(v01_CapsByProject*SUMPRODUCT((Cap_Point&lt;=I990)*(Cap_Kind="Food")*Cap_Ln))</x:f>
        <x:v>250</x:v>
      </x:c>
      <x:c r="K990" s="32" t="n">
        <x:f>J990*MIN(1,v01_LeanBase*EXP(v01_CapsByProject*SUMPRODUCT((Cap_Point&lt;=I990)*(Cap_Kind="Lean")*Cap_Ln)))</x:f>
        <x:v>250</x:v>
      </x:c>
      <x:c r="L990" s="10" t="n">
        <x:f>INDEX(v01_HousingCap,G990)*EXP(v01_CapsByProject*SUMPRODUCT((Cap_Point&lt;=I990)*(Cap_Kind="Housing")*Cap_Ln))</x:f>
        <x:v>400</x:v>
      </x:c>
      <x:c r="M990" s="10" t="n">
        <x:f>INDEX(v01_GroupCap,G990)*v01_CohesionFactor*EXP(v01_CapsByProject*SUMPRODUCT((Cap_Point&lt;=I990)*(Cap_Kind="Group")*Cap_Ln))</x:f>
        <x:v>10000</x:v>
      </x:c>
      <x:c r="N990" s="32" t="n">
        <x:f>MIN(J990,L990,M990)</x:f>
        <x:v>250</x:v>
      </x:c>
      <x:c r="O990" s="10" t="n">
        <x:f>AE989*N990</x:f>
        <x:v>3000</x:v>
      </x:c>
      <x:c r="P990" s="9" t="n">
        <x:f>MIN(1,(AB989/(AE989*IF(v01_GroupInCrowding=1,N990,MIN(J990,L990))))^v01_CrowdingExp)</x:f>
        <x:v>0.3435750638923882</x:v>
      </x:c>
      <x:c r="Q990" s="9" t="n">
        <x:f>IF(D990=1,INDEX(v01_WinterMult,G990),1)</x:f>
        <x:v>1</x:v>
      </x:c>
      <x:c r="R990" s="9" t="n">
        <x:f>H990*Z989*v01_WomenShare*v01_BaseFertility*INDEX(v01_FertMult,G990)*Arch_Fertility*(1-P990)</x:f>
        <x:v>25.981667024712596</x:v>
      </x:c>
      <x:c r="S990" s="9" t="n">
        <x:f>H990*Y989*INDEX(v01_MortChild,G990)/4*Q990</x:f>
        <x:v>7.1257977260671295</x:v>
      </x:c>
      <x:c r="T990" s="9" t="n">
        <x:f>H990*Z989*INDEX(v01_MortAdult,G990)*Arch_AdultMort/4*Q990</x:f>
        <x:v>2.7486500481997553</x:v>
      </x:c>
      <x:c r="U990" s="9" t="n">
        <x:f>H990*AA989*INDEX(v01_MortElder,G990)/4*Q990</x:f>
        <x:v>5.898747407498655</x:v>
      </x:c>
      <x:c r="V990" s="9" t="n">
        <x:f>H990*MAX(0,AB989-O990)*v01_OvercapLoss</x:f>
        <x:v>0</x:v>
      </x:c>
      <x:c r="W990" s="9" t="n">
        <x:f>H990*Y989/(v01_ChildYears*4)</x:f>
        <x:v>18.178055423640636</x:v>
      </x:c>
      <x:c r="X990" s="9" t="n">
        <x:f>H990*Z989/(v01_AdultYears*4)</x:f>
        <x:v>8.866613058708888</x:v>
      </x:c>
      <x:c r="Y990" s="32" t="n">
        <x:f>Y989+R990-S990-W990-Y989*V990/AB989</x:f>
        <x:v>1018.6489175988806</x:v>
      </x:c>
      <x:c r="Z990" s="32" t="n">
        <x:f>Z989+W990-X990-T990-Z989*V990/AB989</x:f>
        <x:v>1106.022811596634</x:v>
      </x:c>
      <x:c r="AA990" s="32" t="n">
        <x:f>AA989+X990-U990-AA989*V990/AB989</x:f>
        <x:v>396.2176928177872</x:v>
      </x:c>
      <x:c r="AB990" s="10" t="n">
        <x:f>Y990+Z990+AA990</x:f>
        <x:v>2520.889422013302</x:v>
      </x:c>
      <x:c r="AC990" s="8" t="n">
        <x:f>IF(AND(v01_WinterTrigger=1,D990=1,AB989/AE989&gt;=K990),1,0)</x:f>
        <x:v>0</x:v>
      </x:c>
      <x:c r="AD990" s="8" t="n">
        <x:f>H990*IF(AND(OR(AB989/AE989&gt;=v01_FissionTrigger*N990,AC990=1),AB989/AE989*v01_DaughterShare&gt;=v01_MinDaughter),MAX(1,ROUND(AE989*v01_FissionRate,0)),0)</x:f>
        <x:v>0</x:v>
      </x:c>
      <x:c r="AE990" s="8" t="n">
        <x:f>IF(H990=1,MAX(1,MIN(INDEX(v01_Smax,G990),AE989+AD990)),AE989)</x:f>
        <x:v>12</x:v>
      </x:c>
      <x:c r="AF990" s="8" t="n">
        <x:f>MAX(0,AE990-AE989)</x:f>
        <x:v>0</x:v>
      </x:c>
      <x:c r="AG990" s="9" t="str">
        <x:f>IF(AF990&gt;0,B990,"")</x:f>
      </x:c>
      <x:c r="AH990" s="9" t="n">
        <x:f>IF(F990&gt;=1,1,(1+v01_LowTiesShare*(AE990-1))/AE990)</x:f>
        <x:v>1</x:v>
      </x:c>
      <x:c r="AI990" s="32" t="n">
        <x:f>(Z990+v01_ElderCommons*INDEX(LM_Elder,G990)*AA990)*AH990</x:f>
        <x:v>2294.6758900499954</x:v>
      </x:c>
      <x:c r="AJ990" s="32" t="n">
        <x:f>H990*v01_CommonsCoef*AI990^v01_CommonsExp*INDEX(LM_Commons,G990)</x:f>
        <x:v>521.3155206132192</x:v>
      </x:c>
      <x:c r="AK990" s="32" t="n">
        <x:f>H990*v01_RoleScale*Arch_Roles*(AE990*(INDEX(v01_ElderRolePerSett,G990)*v01_OutElder*INDEX(LM_Elder,G990)+INDEX(v01_ShamanPerSett,G990)*v01_OutShaman)+Z990*(INDEX(v01_PriestShare,G990)*v01_OutPriest+INDEX(v01_ScribeShare,G990)*v01_OutScribe*INDEX(LM_Scribe,G990)+INDEX(v01_ScholarShare,G990)*v01_OutScholar*INDEX(LM_Scholar,G990)+INDEX(v01_ResearcherShare,G990)*v01_OutResearcher*INDEX(LM_Researcher,G990)))</x:f>
        <x:v>67.25277387638144</x:v>
      </x:c>
      <x:c r="AL990" s="32" t="n">
        <x:f>H990*v01_RoleScale*Arch_Roles*AE990*INDEX(v01_MonasteryPerSett,G990)*v01_OutMonastery*INDEX(LM_Monastery,G990)</x:f>
        <x:v>0</x:v>
      </x:c>
      <x:c r="AM990" s="32" t="n">
        <x:f>(AJ990+AK990+AL990)/4*INDEX(LM_All,G990)*INDEX(v01_Boon,G990)*Arch_Insight</x:f>
        <x:v>177.02742571084374</x:v>
      </x:c>
      <x:c r="AN990" s="32" t="n">
        <x:f>H990*(v01_KHPerAdult*Z990+v01_KHOfCommons*AJ990/4*INDEX(LM_All,G990))*v01_KHUsable*Arch_KH</x:f>
        <x:v>38.71079840588219</x:v>
      </x:c>
      <x:c r="AO990" s="32" t="n">
        <x:f>MIN(AP989+AN990,AM990*v01_KHMaxRatio)</x:f>
        <x:v>38.71079840588219</x:v>
      </x:c>
      <x:c r="AP990" s="32" t="n">
        <x:f>AP989+AN990-AO990</x:f>
        <x:v>0</x:v>
      </x:c>
      <x:c r="AQ990" s="32" t="n">
        <x:f>AM990+AO990</x:f>
        <x:v>215.73822411672592</x:v>
      </x:c>
      <x:c r="AR990" s="10" t="n">
        <x:f>IF(H990=1,INDEX(v01_Req,G990),0)</x:f>
        <x:v>24714.473079999996</x:v>
      </x:c>
      <x:c r="AS990" s="32" t="n">
        <x:f>IF(H990=1,IF(E990=1,AS989-AR989,AS989)+AQ990,0)</x:f>
        <x:v>16645.27399469576</x:v>
      </x:c>
      <x:c r="AT990" s="11" t="n">
        <x:f>IF(AR990&gt;0,MIN(1,AS990/AR990),1)</x:f>
        <x:v>0.6735030903072671</x:v>
      </x:c>
      <x:c r="AU990" s="10" t="n">
        <x:f>AB990/INDEX(v01_RepScale,G990)</x:f>
        <x:v>252.0889422013302</x:v>
      </x:c>
      <x:c r="AV990" s="32" t="n">
        <x:f>AM990*60/v01_SeasonSeconds</x:f>
        <x:v>708.109702843375</x:v>
      </x:c>
    </x:row>
    <x:row r="991">
      <x:c r="A991" s="8" t="n">
        <x:f>A990+1</x:f>
        <x:v>988</x:v>
      </x:c>
      <x:c r="B991" s="9" t="n">
        <x:f>A991*v01_SeasonSeconds/60</x:f>
        <x:v>247</x:v>
      </x:c>
      <x:c r="C991" s="9" t="n">
        <x:f>A991/4</x:f>
        <x:v>247</x:v>
      </x:c>
      <x:c r="D991" s="8" t="n">
        <x:f>IF(MOD(A991,4)=0,1,0)</x:f>
        <x:v>1</x:v>
      </x:c>
      <x:c r="E991" s="8" t="n">
        <x:f>IF(AND(F990&lt;=9,AS990&gt;=AR990),1,0)</x:f>
        <x:v>0</x:v>
      </x:c>
      <x:c r="F991" s="8" t="n">
        <x:f>MIN(10,F990+E991)</x:f>
        <x:v>4</x:v>
      </x:c>
      <x:c r="G991" s="8" t="n">
        <x:f>MIN(F991,9)+1</x:f>
        <x:v>5</x:v>
      </x:c>
      <x:c r="H991" s="8" t="n">
        <x:f>IF(F991&lt;=9,1,0)</x:f>
        <x:v>1</x:v>
      </x:c>
      <x:c r="I991" s="9" t="n">
        <x:f>MIN(10,F990+IF(AR990&gt;0,MIN(1,AS990/AR990),1))</x:f>
        <x:v>4.673503090307267</x:v>
      </x:c>
      <x:c r="J991" s="32" t="n">
        <x:f>INDEX(v01_FoodCap,G991)*Arch_FoodCap*EXP(v01_CapsByProject*SUMPRODUCT((Cap_Point&lt;=I991)*(Cap_Kind="Food")*Cap_Ln))</x:f>
        <x:v>250</x:v>
      </x:c>
      <x:c r="K991" s="32" t="n">
        <x:f>J991*MIN(1,v01_LeanBase*EXP(v01_CapsByProject*SUMPRODUCT((Cap_Point&lt;=I991)*(Cap_Kind="Lean")*Cap_Ln)))</x:f>
        <x:v>250</x:v>
      </x:c>
      <x:c r="L991" s="10" t="n">
        <x:f>INDEX(v01_HousingCap,G991)*EXP(v01_CapsByProject*SUMPRODUCT((Cap_Point&lt;=I991)*(Cap_Kind="Housing")*Cap_Ln))</x:f>
        <x:v>400</x:v>
      </x:c>
      <x:c r="M991" s="10" t="n">
        <x:f>INDEX(v01_GroupCap,G991)*v01_CohesionFactor*EXP(v01_CapsByProject*SUMPRODUCT((Cap_Point&lt;=I991)*(Cap_Kind="Group")*Cap_Ln))</x:f>
        <x:v>10000</x:v>
      </x:c>
      <x:c r="N991" s="32" t="n">
        <x:f>MIN(J991,L991,M991)</x:f>
        <x:v>250</x:v>
      </x:c>
      <x:c r="O991" s="10" t="n">
        <x:f>AE990*N991</x:f>
        <x:v>3000</x:v>
      </x:c>
      <x:c r="P991" s="9" t="n">
        <x:f>MIN(1,(AB990/(AE990*IF(v01_GroupInCrowding=1,N991,MIN(J991,L991))))^v01_CrowdingExp)</x:f>
        <x:v>0.3520426221603354</x:v>
      </x:c>
      <x:c r="Q991" s="9" t="n">
        <x:f>IF(D991=1,INDEX(v01_WinterMult,G991),1)</x:f>
        <x:v>1</x:v>
      </x:c>
      <x:c r="R991" s="9" t="n">
        <x:f>H991*Z990*v01_WomenShare*v01_BaseFertility*INDEX(v01_FertMult,G991)*Arch_Fertility*(1-P991)</x:f>
        <x:v>25.799603069988294</x:v>
      </x:c>
      <x:c r="S991" s="9" t="n">
        <x:f>H991*Y990*INDEX(v01_MortChild,G991)/4*Q991</x:f>
        <x:v>7.130542423192165</x:v>
      </x:c>
      <x:c r="T991" s="9" t="n">
        <x:f>H991*Z990*INDEX(v01_MortAdult,G991)*Arch_AdultMort/4*Q991</x:f>
        <x:v>2.7650570289915852</x:v>
      </x:c>
      <x:c r="U991" s="9" t="n">
        <x:f>H991*AA990*INDEX(v01_MortElder,G991)/4*Q991</x:f>
        <x:v>5.943265392266808</x:v>
      </x:c>
      <x:c r="V991" s="9" t="n">
        <x:f>H991*MAX(0,AB990-O991)*v01_OvercapLoss</x:f>
        <x:v>0</x:v>
      </x:c>
      <x:c r="W991" s="9" t="n">
        <x:f>H991*Y990/(v01_ChildYears*4)</x:f>
        <x:v>18.190159242837154</x:v>
      </x:c>
      <x:c r="X991" s="9" t="n">
        <x:f>H991*Z990/(v01_AdultYears*4)</x:f>
        <x:v>8.91953880319866</x:v>
      </x:c>
      <x:c r="Y991" s="32" t="n">
        <x:f>Y990+R991-S991-W991-Y990*V991/AB990</x:f>
        <x:v>1019.1278190028397</x:v>
      </x:c>
      <x:c r="Z991" s="32" t="n">
        <x:f>Z990+W991-X991-T991-Z990*V991/AB990</x:f>
        <x:v>1112.5283750072808</x:v>
      </x:c>
      <x:c r="AA991" s="32" t="n">
        <x:f>AA990+X991-U991-AA990*V991/AB990</x:f>
        <x:v>399.19396622871903</x:v>
      </x:c>
      <x:c r="AB991" s="10" t="n">
        <x:f>Y991+Z991+AA991</x:f>
        <x:v>2530.8501602388396</x:v>
      </x:c>
      <x:c r="AC991" s="8" t="n">
        <x:f>IF(AND(v01_WinterTrigger=1,D991=1,AB990/AE990&gt;=K991),1,0)</x:f>
        <x:v>0</x:v>
      </x:c>
      <x:c r="AD991" s="8" t="n">
        <x:f>H991*IF(AND(OR(AB990/AE990&gt;=v01_FissionTrigger*N991,AC991=1),AB990/AE990*v01_DaughterShare&gt;=v01_MinDaughter),MAX(1,ROUND(AE990*v01_FissionRate,0)),0)</x:f>
        <x:v>0</x:v>
      </x:c>
      <x:c r="AE991" s="8" t="n">
        <x:f>IF(H991=1,MAX(1,MIN(INDEX(v01_Smax,G991),AE990+AD991)),AE990)</x:f>
        <x:v>12</x:v>
      </x:c>
      <x:c r="AF991" s="8" t="n">
        <x:f>MAX(0,AE991-AE990)</x:f>
        <x:v>0</x:v>
      </x:c>
      <x:c r="AG991" s="9" t="str">
        <x:f>IF(AF991&gt;0,B991,"")</x:f>
      </x:c>
      <x:c r="AH991" s="9" t="n">
        <x:f>IF(F991&gt;=1,1,(1+v01_LowTiesShare*(AE991-1))/AE991)</x:f>
        <x:v>1</x:v>
      </x:c>
      <x:c r="AI991" s="32" t="n">
        <x:f>(Z991+v01_ElderCommons*INDEX(LM_Elder,G991)*AA991)*AH991</x:f>
        <x:v>2310.110273693438</x:v>
      </x:c>
      <x:c r="AJ991" s="32" t="n">
        <x:f>H991*v01_CommonsCoef*AI991^v01_CommonsExp*INDEX(LM_Commons,G991)</x:f>
        <x:v>524.2945099011448</x:v>
      </x:c>
      <x:c r="AK991" s="32" t="n">
        <x:f>H991*v01_RoleScale*Arch_Roles*(AE991*(INDEX(v01_ElderRolePerSett,G991)*v01_OutElder*INDEX(LM_Elder,G991)+INDEX(v01_ShamanPerSett,G991)*v01_OutShaman)+Z991*(INDEX(v01_PriestShare,G991)*v01_OutPriest+INDEX(v01_ScribeShare,G991)*v01_OutScribe*INDEX(LM_Scribe,G991)+INDEX(v01_ScholarShare,G991)*v01_OutScholar*INDEX(LM_Scholar,G991)+INDEX(v01_ResearcherShare,G991)*v01_OutResearcher*INDEX(LM_Researcher,G991)))</x:f>
        <x:v>67.43660091871693</x:v>
      </x:c>
      <x:c r="AL991" s="32" t="n">
        <x:f>H991*v01_RoleScale*Arch_Roles*AE991*INDEX(v01_MonasteryPerSett,G991)*v01_OutMonastery*INDEX(LM_Monastery,G991)</x:f>
        <x:v>0</x:v>
      </x:c>
      <x:c r="AM991" s="32" t="n">
        <x:f>(AJ991+AK991+AL991)/4*INDEX(LM_All,G991)*INDEX(v01_Boon,G991)*Arch_Insight</x:f>
        <x:v>177.978726075108</x:v>
      </x:c>
      <x:c r="AN991" s="32" t="n">
        <x:f>H991*(v01_KHPerAdult*Z991+v01_KHOfCommons*AJ991/4*INDEX(LM_All,G991))*v01_KHUsable*Arch_KH</x:f>
        <x:v>38.93849312525483</x:v>
      </x:c>
      <x:c r="AO991" s="32" t="n">
        <x:f>MIN(AP990+AN991,AM991*v01_KHMaxRatio)</x:f>
        <x:v>38.93849312525483</x:v>
      </x:c>
      <x:c r="AP991" s="32" t="n">
        <x:f>AP990+AN991-AO991</x:f>
        <x:v>0</x:v>
      </x:c>
      <x:c r="AQ991" s="32" t="n">
        <x:f>AM991+AO991</x:f>
        <x:v>216.91721920036284</x:v>
      </x:c>
      <x:c r="AR991" s="10" t="n">
        <x:f>IF(H991=1,INDEX(v01_Req,G991),0)</x:f>
        <x:v>24714.473079999996</x:v>
      </x:c>
      <x:c r="AS991" s="32" t="n">
        <x:f>IF(H991=1,IF(E991=1,AS990-AR990,AS990)+AQ991,0)</x:f>
        <x:v>16862.191213896123</x:v>
      </x:c>
      <x:c r="AT991" s="11" t="n">
        <x:f>IF(AR991&gt;0,MIN(1,AS991/AR991),1)</x:f>
        <x:v>0.6822800210756558</x:v>
      </x:c>
      <x:c r="AU991" s="10" t="n">
        <x:f>AB991/INDEX(v01_RepScale,G991)</x:f>
        <x:v>253.08501602388395</x:v>
      </x:c>
      <x:c r="AV991" s="32" t="n">
        <x:f>AM991*60/v01_SeasonSeconds</x:f>
        <x:v>711.914904300432</x:v>
      </x:c>
    </x:row>
    <x:row r="992">
      <x:c r="A992" s="8" t="n">
        <x:f>A991+1</x:f>
        <x:v>989</x:v>
      </x:c>
      <x:c r="B992" s="9" t="n">
        <x:f>A992*v01_SeasonSeconds/60</x:f>
        <x:v>247.25</x:v>
      </x:c>
      <x:c r="C992" s="9" t="n">
        <x:f>A992/4</x:f>
        <x:v>247.25</x:v>
      </x:c>
      <x:c r="D992" s="8" t="n">
        <x:f>IF(MOD(A992,4)=0,1,0)</x:f>
        <x:v>0</x:v>
      </x:c>
      <x:c r="E992" s="8" t="n">
        <x:f>IF(AND(F991&lt;=9,AS991&gt;=AR991),1,0)</x:f>
        <x:v>0</x:v>
      </x:c>
      <x:c r="F992" s="8" t="n">
        <x:f>MIN(10,F991+E992)</x:f>
        <x:v>4</x:v>
      </x:c>
      <x:c r="G992" s="8" t="n">
        <x:f>MIN(F992,9)+1</x:f>
        <x:v>5</x:v>
      </x:c>
      <x:c r="H992" s="8" t="n">
        <x:f>IF(F992&lt;=9,1,0)</x:f>
        <x:v>1</x:v>
      </x:c>
      <x:c r="I992" s="9" t="n">
        <x:f>MIN(10,F991+IF(AR991&gt;0,MIN(1,AS991/AR991),1))</x:f>
        <x:v>4.682280021075655</x:v>
      </x:c>
      <x:c r="J992" s="32" t="n">
        <x:f>INDEX(v01_FoodCap,G992)*Arch_FoodCap*EXP(v01_CapsByProject*SUMPRODUCT((Cap_Point&lt;=I992)*(Cap_Kind="Food")*Cap_Ln))</x:f>
        <x:v>250</x:v>
      </x:c>
      <x:c r="K992" s="32" t="n">
        <x:f>J992*MIN(1,v01_LeanBase*EXP(v01_CapsByProject*SUMPRODUCT((Cap_Point&lt;=I992)*(Cap_Kind="Lean")*Cap_Ln)))</x:f>
        <x:v>250</x:v>
      </x:c>
      <x:c r="L992" s="10" t="n">
        <x:f>INDEX(v01_HousingCap,G992)*EXP(v01_CapsByProject*SUMPRODUCT((Cap_Point&lt;=I992)*(Cap_Kind="Housing")*Cap_Ln))</x:f>
        <x:v>400</x:v>
      </x:c>
      <x:c r="M992" s="10" t="n">
        <x:f>INDEX(v01_GroupCap,G992)*v01_CohesionFactor*EXP(v01_CapsByProject*SUMPRODUCT((Cap_Point&lt;=I992)*(Cap_Kind="Group")*Cap_Ln))</x:f>
        <x:v>10000</x:v>
      </x:c>
      <x:c r="N992" s="32" t="n">
        <x:f>MIN(J992,L992,M992)</x:f>
        <x:v>250</x:v>
      </x:c>
      <x:c r="O992" s="10" t="n">
        <x:f>AE991*N992</x:f>
        <x:v>3000</x:v>
      </x:c>
      <x:c r="P992" s="9" t="n">
        <x:f>MIN(1,(AB991/(AE991*IF(v01_GroupInCrowding=1,N992,MIN(J992,L992))))^v01_CrowdingExp)</x:f>
        <x:v>0.3604716147342533</x:v>
      </x:c>
      <x:c r="Q992" s="9" t="n">
        <x:f>IF(D992=1,INDEX(v01_WinterMult,G992),1)</x:f>
        <x:v>1</x:v>
      </x:c>
      <x:c r="R992" s="9" t="n">
        <x:f>H992*Z991*v01_WomenShare*v01_BaseFertility*INDEX(v01_FertMult,G992)*Arch_Fertility*(1-P992)</x:f>
        <x:v>25.613765108306332</x:v>
      </x:c>
      <x:c r="S992" s="9" t="n">
        <x:f>H992*Y991*INDEX(v01_MortChild,G992)/4*Q992</x:f>
        <x:v>7.133894733019878</x:v>
      </x:c>
      <x:c r="T992" s="9" t="n">
        <x:f>H992*Z991*INDEX(v01_MortAdult,G992)*Arch_AdultMort/4*Q992</x:f>
        <x:v>2.781320937518202</x:v>
      </x:c>
      <x:c r="U992" s="9" t="n">
        <x:f>H992*AA991*INDEX(v01_MortElder,G992)/4*Q992</x:f>
        <x:v>5.987909493430785</x:v>
      </x:c>
      <x:c r="V992" s="9" t="n">
        <x:f>H992*MAX(0,AB991-O992)*v01_OvercapLoss</x:f>
        <x:v>0</x:v>
      </x:c>
      <x:c r="W992" s="9" t="n">
        <x:f>H992*Y991/(v01_ChildYears*4)</x:f>
        <x:v>18.198711053622137</x:v>
      </x:c>
      <x:c r="X992" s="9" t="n">
        <x:f>H992*Z991/(v01_AdultYears*4)</x:f>
        <x:v>8.972003024252265</x:v>
      </x:c>
      <x:c r="Y992" s="32" t="n">
        <x:f>Y991+R992-S992-W992-Y991*V992/AB991</x:f>
        <x:v>1019.4089783245041</x:v>
      </x:c>
      <x:c r="Z992" s="32" t="n">
        <x:f>Z991+W992-X992-T992-Z991*V992/AB991</x:f>
        <x:v>1118.9737620991327</x:v>
      </x:c>
      <x:c r="AA992" s="32" t="n">
        <x:f>AA991+X992-U992-AA991*V992/AB991</x:f>
        <x:v>402.17805975954053</x:v>
      </x:c>
      <x:c r="AB992" s="10" t="n">
        <x:f>Y992+Z992+AA992</x:f>
        <x:v>2540.5608001831774</x:v>
      </x:c>
      <x:c r="AC992" s="8" t="n">
        <x:f>IF(AND(v01_WinterTrigger=1,D992=1,AB991/AE991&gt;=K992),1,0)</x:f>
        <x:v>0</x:v>
      </x:c>
      <x:c r="AD992" s="8" t="n">
        <x:f>H992*IF(AND(OR(AB991/AE991&gt;=v01_FissionTrigger*N992,AC992=1),AB991/AE991*v01_DaughterShare&gt;=v01_MinDaughter),MAX(1,ROUND(AE991*v01_FissionRate,0)),0)</x:f>
        <x:v>0</x:v>
      </x:c>
      <x:c r="AE992" s="8" t="n">
        <x:f>IF(H992=1,MAX(1,MIN(INDEX(v01_Smax,G992),AE991+AD992)),AE991)</x:f>
        <x:v>12</x:v>
      </x:c>
      <x:c r="AF992" s="8" t="n">
        <x:f>MAX(0,AE992-AE991)</x:f>
        <x:v>0</x:v>
      </x:c>
      <x:c r="AG992" s="9" t="str">
        <x:f>IF(AF992&gt;0,B992,"")</x:f>
      </x:c>
      <x:c r="AH992" s="9" t="n">
        <x:f>IF(F992&gt;=1,1,(1+v01_LowTiesShare*(AE992-1))/AE992)</x:f>
        <x:v>1</x:v>
      </x:c>
      <x:c r="AI992" s="32" t="n">
        <x:f>(Z992+v01_ElderCommons*INDEX(LM_Elder,G992)*AA992)*AH992</x:f>
        <x:v>2325.5079413777544</x:v>
      </x:c>
      <x:c r="AJ992" s="32" t="n">
        <x:f>H992*v01_CommonsCoef*AI992^v01_CommonsExp*INDEX(LM_Commons,G992)</x:f>
        <x:v>527.2634392393977</x:v>
      </x:c>
      <x:c r="AK992" s="32" t="n">
        <x:f>H992*v01_RoleScale*Arch_Roles*(AE992*(INDEX(v01_ElderRolePerSett,G992)*v01_OutElder*INDEX(LM_Elder,G992)+INDEX(v01_ShamanPerSett,G992)*v01_OutShaman)+Z992*(INDEX(v01_PriestShare,G992)*v01_OutPriest+INDEX(v01_ScribeShare,G992)*v01_OutScribe*INDEX(LM_Scribe,G992)+INDEX(v01_ScholarShare,G992)*v01_OutScholar*INDEX(LM_Scholar,G992)+INDEX(v01_ResearcherShare,G992)*v01_OutResearcher*INDEX(LM_Researcher,G992)))</x:f>
        <x:v>67.6187275649446</x:v>
      </x:c>
      <x:c r="AL992" s="32" t="n">
        <x:f>H992*v01_RoleScale*Arch_Roles*AE992*INDEX(v01_MonasteryPerSett,G992)*v01_OutMonastery*INDEX(LM_Monastery,G992)</x:f>
        <x:v>0</x:v>
      </x:c>
      <x:c r="AM992" s="32" t="n">
        <x:f>(AJ992+AK992+AL992)/4*INDEX(LM_All,G992)*INDEX(v01_Boon,G992)*Arch_Insight</x:f>
        <x:v>178.9264892054463</x:v>
      </x:c>
      <x:c r="AN992" s="32" t="n">
        <x:f>H992*(v01_KHPerAdult*Z992+v01_KHOfCommons*AJ992/4*INDEX(LM_All,G992))*v01_KHUsable*Arch_KH</x:f>
        <x:v>39.164081673469646</x:v>
      </x:c>
      <x:c r="AO992" s="32" t="n">
        <x:f>MIN(AP991+AN992,AM992*v01_KHMaxRatio)</x:f>
        <x:v>39.164081673469646</x:v>
      </x:c>
      <x:c r="AP992" s="32" t="n">
        <x:f>AP991+AN992-AO992</x:f>
        <x:v>0</x:v>
      </x:c>
      <x:c r="AQ992" s="32" t="n">
        <x:f>AM992+AO992</x:f>
        <x:v>218.09057087891594</x:v>
      </x:c>
      <x:c r="AR992" s="10" t="n">
        <x:f>IF(H992=1,INDEX(v01_Req,G992),0)</x:f>
        <x:v>24714.473079999996</x:v>
      </x:c>
      <x:c r="AS992" s="32" t="n">
        <x:f>IF(H992=1,IF(E992=1,AS991-AR991,AS991)+AQ992,0)</x:f>
        <x:v>17080.281784775038</x:v>
      </x:c>
      <x:c r="AT992" s="11" t="n">
        <x:f>IF(AR992&gt;0,MIN(1,AS992/AR992),1)</x:f>
        <x:v>0.6911044281416272</x:v>
      </x:c>
      <x:c r="AU992" s="10" t="n">
        <x:f>AB992/INDEX(v01_RepScale,G992)</x:f>
        <x:v>254.05608001831774</x:v>
      </x:c>
      <x:c r="AV992" s="32" t="n">
        <x:f>AM992*60/v01_SeasonSeconds</x:f>
        <x:v>715.7059568217852</x:v>
      </x:c>
    </x:row>
    <x:row r="993">
      <x:c r="A993" s="8" t="n">
        <x:f>A992+1</x:f>
        <x:v>990</x:v>
      </x:c>
      <x:c r="B993" s="9" t="n">
        <x:f>A993*v01_SeasonSeconds/60</x:f>
        <x:v>247.5</x:v>
      </x:c>
      <x:c r="C993" s="9" t="n">
        <x:f>A993/4</x:f>
        <x:v>247.5</x:v>
      </x:c>
      <x:c r="D993" s="8" t="n">
        <x:f>IF(MOD(A993,4)=0,1,0)</x:f>
        <x:v>0</x:v>
      </x:c>
      <x:c r="E993" s="8" t="n">
        <x:f>IF(AND(F992&lt;=9,AS992&gt;=AR992),1,0)</x:f>
        <x:v>0</x:v>
      </x:c>
      <x:c r="F993" s="8" t="n">
        <x:f>MIN(10,F992+E993)</x:f>
        <x:v>4</x:v>
      </x:c>
      <x:c r="G993" s="8" t="n">
        <x:f>MIN(F993,9)+1</x:f>
        <x:v>5</x:v>
      </x:c>
      <x:c r="H993" s="8" t="n">
        <x:f>IF(F993&lt;=9,1,0)</x:f>
        <x:v>1</x:v>
      </x:c>
      <x:c r="I993" s="9" t="n">
        <x:f>MIN(10,F992+IF(AR992&gt;0,MIN(1,AS992/AR992),1))</x:f>
        <x:v>4.691104428141627</x:v>
      </x:c>
      <x:c r="J993" s="32" t="n">
        <x:f>INDEX(v01_FoodCap,G993)*Arch_FoodCap*EXP(v01_CapsByProject*SUMPRODUCT((Cap_Point&lt;=I993)*(Cap_Kind="Food")*Cap_Ln))</x:f>
        <x:v>250</x:v>
      </x:c>
      <x:c r="K993" s="32" t="n">
        <x:f>J993*MIN(1,v01_LeanBase*EXP(v01_CapsByProject*SUMPRODUCT((Cap_Point&lt;=I993)*(Cap_Kind="Lean")*Cap_Ln)))</x:f>
        <x:v>250</x:v>
      </x:c>
      <x:c r="L993" s="10" t="n">
        <x:f>INDEX(v01_HousingCap,G993)*EXP(v01_CapsByProject*SUMPRODUCT((Cap_Point&lt;=I993)*(Cap_Kind="Housing")*Cap_Ln))</x:f>
        <x:v>400</x:v>
      </x:c>
      <x:c r="M993" s="10" t="n">
        <x:f>INDEX(v01_GroupCap,G993)*v01_CohesionFactor*EXP(v01_CapsByProject*SUMPRODUCT((Cap_Point&lt;=I993)*(Cap_Kind="Group")*Cap_Ln))</x:f>
        <x:v>10000</x:v>
      </x:c>
      <x:c r="N993" s="32" t="n">
        <x:f>MIN(J993,L993,M993)</x:f>
        <x:v>250</x:v>
      </x:c>
      <x:c r="O993" s="10" t="n">
        <x:f>AE992*N993</x:f>
        <x:v>3000</x:v>
      </x:c>
      <x:c r="P993" s="9" t="n">
        <x:f>MIN(1,(AB992/(AE992*IF(v01_GroupInCrowding=1,N993,MIN(J993,L993))))^v01_CrowdingExp)</x:f>
        <x:v>0.36885020450827033</x:v>
      </x:c>
      <x:c r="Q993" s="9" t="n">
        <x:f>IF(D993=1,INDEX(v01_WinterMult,G993),1)</x:f>
        <x:v>1</x:v>
      </x:c>
      <x:c r="R993" s="9" t="n">
        <x:f>H993*Z992*v01_WomenShare*v01_BaseFertility*INDEX(v01_FertMult,G993)*Arch_Fertility*(1-P993)</x:f>
        <x:v>25.424642199941243</x:v>
      </x:c>
      <x:c r="S993" s="9" t="n">
        <x:f>H993*Y992*INDEX(v01_MortChild,G993)/4*Q993</x:f>
        <x:v>7.135862848271529</x:v>
      </x:c>
      <x:c r="T993" s="9" t="n">
        <x:f>H993*Z992*INDEX(v01_MortAdult,G993)*Arch_AdultMort/4*Q993</x:f>
        <x:v>2.7974344052478317</x:v>
      </x:c>
      <x:c r="U993" s="9" t="n">
        <x:f>H993*AA992*INDEX(v01_MortElder,G993)/4*Q993</x:f>
        <x:v>6.032670896393108</x:v>
      </x:c>
      <x:c r="V993" s="9" t="n">
        <x:f>H993*MAX(0,AB992-O993)*v01_OvercapLoss</x:f>
        <x:v>0</x:v>
      </x:c>
      <x:c r="W993" s="9" t="n">
        <x:f>H993*Y992/(v01_ChildYears*4)</x:f>
        <x:v>18.203731755794717</x:v>
      </x:c>
      <x:c r="X993" s="9" t="n">
        <x:f>H993*Z992/(v01_AdultYears*4)</x:f>
        <x:v>9.023981952412361</x:v>
      </x:c>
      <x:c r="Y993" s="32" t="n">
        <x:f>Y992+R993-S993-W993-Y992*V993/AB992</x:f>
        <x:v>1019.4940259203793</x:v>
      </x:c>
      <x:c r="Z993" s="32" t="n">
        <x:f>Z992+W993-X993-T993-Z992*V993/AB992</x:f>
        <x:v>1125.356077497267</x:v>
      </x:c>
      <x:c r="AA993" s="32" t="n">
        <x:f>AA992+X993-U993-AA992*V993/AB992</x:f>
        <x:v>405.16937081555983</x:v>
      </x:c>
      <x:c r="AB993" s="10" t="n">
        <x:f>Y993+Z993+AA993</x:f>
        <x:v>2550.019474233206</x:v>
      </x:c>
      <x:c r="AC993" s="8" t="n">
        <x:f>IF(AND(v01_WinterTrigger=1,D993=1,AB992/AE992&gt;=K993),1,0)</x:f>
        <x:v>0</x:v>
      </x:c>
      <x:c r="AD993" s="8" t="n">
        <x:f>H993*IF(AND(OR(AB992/AE992&gt;=v01_FissionTrigger*N993,AC993=1),AB992/AE992*v01_DaughterShare&gt;=v01_MinDaughter),MAX(1,ROUND(AE992*v01_FissionRate,0)),0)</x:f>
        <x:v>0</x:v>
      </x:c>
      <x:c r="AE993" s="8" t="n">
        <x:f>IF(H993=1,MAX(1,MIN(INDEX(v01_Smax,G993),AE992+AD993)),AE992)</x:f>
        <x:v>12</x:v>
      </x:c>
      <x:c r="AF993" s="8" t="n">
        <x:f>MAX(0,AE993-AE992)</x:f>
        <x:v>0</x:v>
      </x:c>
      <x:c r="AG993" s="9" t="str">
        <x:f>IF(AF993&gt;0,B993,"")</x:f>
      </x:c>
      <x:c r="AH993" s="9" t="n">
        <x:f>IF(F993&gt;=1,1,(1+v01_LowTiesShare*(AE993-1))/AE993)</x:f>
        <x:v>1</x:v>
      </x:c>
      <x:c r="AI993" s="32" t="n">
        <x:f>(Z993+v01_ElderCommons*INDEX(LM_Elder,G993)*AA993)*AH993</x:f>
        <x:v>2340.8641899439463</x:v>
      </x:c>
      <x:c r="AJ993" s="32" t="n">
        <x:f>H993*v01_CommonsCoef*AI993^v01_CommonsExp*INDEX(LM_Commons,G993)</x:f>
        <x:v>530.2214468929199</x:v>
      </x:c>
      <x:c r="AK993" s="32" t="n">
        <x:f>H993*v01_RoleScale*Arch_Roles*(AE993*(INDEX(v01_ElderRolePerSett,G993)*v01_OutElder*INDEX(LM_Elder,G993)+INDEX(v01_ShamanPerSett,G993)*v01_OutShaman)+Z993*(INDEX(v01_PriestShare,G993)*v01_OutPriest+INDEX(v01_ScribeShare,G993)*v01_OutScribe*INDEX(LM_Scribe,G993)+INDEX(v01_ScholarShare,G993)*v01_OutScholar*INDEX(LM_Scholar,G993)+INDEX(v01_ResearcherShare,G993)*v01_OutResearcher*INDEX(LM_Researcher,G993)))</x:f>
        <x:v>67.79907200075031</x:v>
      </x:c>
      <x:c r="AL993" s="32" t="n">
        <x:f>H993*v01_RoleScale*Arch_Roles*AE993*INDEX(v01_MonasteryPerSett,G993)*v01_OutMonastery*INDEX(LM_Monastery,G993)</x:f>
        <x:v>0</x:v>
      </x:c>
      <x:c r="AM993" s="32" t="n">
        <x:f>(AJ993+AK993+AL993)/4*INDEX(LM_All,G993)*INDEX(v01_Boon,G993)*Arch_Insight</x:f>
        <x:v>179.8704313045187</x:v>
      </x:c>
      <x:c r="AN993" s="32" t="n">
        <x:f>H993*(v01_KHPerAdult*Z993+v01_KHOfCommons*AJ993/4*INDEX(LM_All,G993))*v01_KHUsable*Arch_KH</x:f>
        <x:v>39.38746271240434</x:v>
      </x:c>
      <x:c r="AO993" s="32" t="n">
        <x:f>MIN(AP992+AN993,AM993*v01_KHMaxRatio)</x:f>
        <x:v>39.38746271240434</x:v>
      </x:c>
      <x:c r="AP993" s="32" t="n">
        <x:f>AP992+AN993-AO993</x:f>
        <x:v>0</x:v>
      </x:c>
      <x:c r="AQ993" s="32" t="n">
        <x:f>AM993+AO993</x:f>
        <x:v>219.25789401692305</x:v>
      </x:c>
      <x:c r="AR993" s="10" t="n">
        <x:f>IF(H993=1,INDEX(v01_Req,G993),0)</x:f>
        <x:v>24714.473079999996</x:v>
      </x:c>
      <x:c r="AS993" s="32" t="n">
        <x:f>IF(H993=1,IF(E993=1,AS992-AR992,AS992)+AQ993,0)</x:f>
        <x:v>17299.53967879196</x:v>
      </x:c>
      <x:c r="AT993" s="11" t="n">
        <x:f>IF(AR993&gt;0,MIN(1,AS993/AR993),1)</x:f>
        <x:v>0.6999760675776447</x:v>
      </x:c>
      <x:c r="AU993" s="10" t="n">
        <x:f>AB993/INDEX(v01_RepScale,G993)</x:f>
        <x:v>255.0019474233206</x:v>
      </x:c>
      <x:c r="AV993" s="32" t="n">
        <x:f>AM993*60/v01_SeasonSeconds</x:f>
        <x:v>719.4817252180748</x:v>
      </x:c>
    </x:row>
    <x:row r="994">
      <x:c r="A994" s="8" t="n">
        <x:f>A993+1</x:f>
        <x:v>991</x:v>
      </x:c>
      <x:c r="B994" s="9" t="n">
        <x:f>A994*v01_SeasonSeconds/60</x:f>
        <x:v>247.75</x:v>
      </x:c>
      <x:c r="C994" s="9" t="n">
        <x:f>A994/4</x:f>
        <x:v>247.75</x:v>
      </x:c>
      <x:c r="D994" s="8" t="n">
        <x:f>IF(MOD(A994,4)=0,1,0)</x:f>
        <x:v>0</x:v>
      </x:c>
      <x:c r="E994" s="8" t="n">
        <x:f>IF(AND(F993&lt;=9,AS993&gt;=AR993),1,0)</x:f>
        <x:v>0</x:v>
      </x:c>
      <x:c r="F994" s="8" t="n">
        <x:f>MIN(10,F993+E994)</x:f>
        <x:v>4</x:v>
      </x:c>
      <x:c r="G994" s="8" t="n">
        <x:f>MIN(F994,9)+1</x:f>
        <x:v>5</x:v>
      </x:c>
      <x:c r="H994" s="8" t="n">
        <x:f>IF(F994&lt;=9,1,0)</x:f>
        <x:v>1</x:v>
      </x:c>
      <x:c r="I994" s="9" t="n">
        <x:f>MIN(10,F993+IF(AR993&gt;0,MIN(1,AS993/AR993),1))</x:f>
        <x:v>4.699976067577644</x:v>
      </x:c>
      <x:c r="J994" s="32" t="n">
        <x:f>INDEX(v01_FoodCap,G994)*Arch_FoodCap*EXP(v01_CapsByProject*SUMPRODUCT((Cap_Point&lt;=I994)*(Cap_Kind="Food")*Cap_Ln))</x:f>
        <x:v>250</x:v>
      </x:c>
      <x:c r="K994" s="32" t="n">
        <x:f>J994*MIN(1,v01_LeanBase*EXP(v01_CapsByProject*SUMPRODUCT((Cap_Point&lt;=I994)*(Cap_Kind="Lean")*Cap_Ln)))</x:f>
        <x:v>250</x:v>
      </x:c>
      <x:c r="L994" s="10" t="n">
        <x:f>INDEX(v01_HousingCap,G994)*EXP(v01_CapsByProject*SUMPRODUCT((Cap_Point&lt;=I994)*(Cap_Kind="Housing")*Cap_Ln))</x:f>
        <x:v>400</x:v>
      </x:c>
      <x:c r="M994" s="10" t="n">
        <x:f>INDEX(v01_GroupCap,G994)*v01_CohesionFactor*EXP(v01_CapsByProject*SUMPRODUCT((Cap_Point&lt;=I994)*(Cap_Kind="Group")*Cap_Ln))</x:f>
        <x:v>10000</x:v>
      </x:c>
      <x:c r="N994" s="32" t="n">
        <x:f>MIN(J994,L994,M994)</x:f>
        <x:v>250</x:v>
      </x:c>
      <x:c r="O994" s="10" t="n">
        <x:f>AE993*N994</x:f>
        <x:v>3000</x:v>
      </x:c>
      <x:c r="P994" s="9" t="n">
        <x:f>MIN(1,(AB993/(AE993*IF(v01_GroupInCrowding=1,N994,MIN(J994,L994))))^v01_CrowdingExp)</x:f>
        <x:v>0.3771667975964118</x:v>
      </x:c>
      <x:c r="Q994" s="9" t="n">
        <x:f>IF(D994=1,INDEX(v01_WinterMult,G994),1)</x:f>
        <x:v>1</x:v>
      </x:c>
      <x:c r="R994" s="9" t="n">
        <x:f>H994*Z993*v01_WomenShare*v01_BaseFertility*INDEX(v01_FertMult,G994)*Arch_Fertility*(1-P994)</x:f>
        <x:v>25.23272866531068</x:v>
      </x:c>
      <x:c r="S994" s="9" t="n">
        <x:f>H994*Y993*INDEX(v01_MortChild,G994)/4*Q994</x:f>
        <x:v>7.136458181442655</x:v>
      </x:c>
      <x:c r="T994" s="9" t="n">
        <x:f>H994*Z993*INDEX(v01_MortAdult,G994)*Arch_AdultMort/4*Q994</x:f>
        <x:v>2.813390193743168</x:v>
      </x:c>
      <x:c r="U994" s="9" t="n">
        <x:f>H994*AA993*INDEX(v01_MortElder,G994)/4*Q994</x:f>
        <x:v>6.077540562233398</x:v>
      </x:c>
      <x:c r="V994" s="9" t="n">
        <x:f>H994*MAX(0,AB993-O994)*v01_OvercapLoss</x:f>
        <x:v>0</x:v>
      </x:c>
      <x:c r="W994" s="9" t="n">
        <x:f>H994*Y993/(v01_ChildYears*4)</x:f>
        <x:v>18.205250462863916</x:v>
      </x:c>
      <x:c r="X994" s="9" t="n">
        <x:f>H994*Z993/(v01_AdultYears*4)</x:f>
        <x:v>9.075452237881185</x:v>
      </x:c>
      <x:c r="Y994" s="32" t="n">
        <x:f>Y993+R994-S994-W994-Y993*V994/AB993</x:f>
        <x:v>1019.3850459413836</x:v>
      </x:c>
      <x:c r="Z994" s="32" t="n">
        <x:f>Z993+W994-X994-T994-Z993*V994/AB993</x:f>
        <x:v>1131.6724855285067</x:v>
      </x:c>
      <x:c r="AA994" s="32" t="n">
        <x:f>AA993+X994-U994-AA993*V994/AB993</x:f>
        <x:v>408.1672824912076</x:v>
      </x:c>
      <x:c r="AB994" s="10" t="n">
        <x:f>Y994+Z994+AA994</x:f>
        <x:v>2559.224813961098</x:v>
      </x:c>
      <x:c r="AC994" s="8" t="n">
        <x:f>IF(AND(v01_WinterTrigger=1,D994=1,AB993/AE993&gt;=K994),1,0)</x:f>
        <x:v>0</x:v>
      </x:c>
      <x:c r="AD994" s="8" t="n">
        <x:f>H994*IF(AND(OR(AB993/AE993&gt;=v01_FissionTrigger*N994,AC994=1),AB993/AE993*v01_DaughterShare&gt;=v01_MinDaughter),MAX(1,ROUND(AE993*v01_FissionRate,0)),0)</x:f>
        <x:v>4</x:v>
      </x:c>
      <x:c r="AE994" s="8" t="n">
        <x:f>IF(H994=1,MAX(1,MIN(INDEX(v01_Smax,G994),AE993+AD994)),AE993)</x:f>
        <x:v>16</x:v>
      </x:c>
      <x:c r="AF994" s="8" t="n">
        <x:f>MAX(0,AE994-AE993)</x:f>
        <x:v>4</x:v>
      </x:c>
      <x:c r="AG994" s="9" t="n">
        <x:f>IF(AF994&gt;0,B994,"")</x:f>
        <x:v>247.75</x:v>
      </x:c>
      <x:c r="AH994" s="9" t="n">
        <x:f>IF(F994&gt;=1,1,(1+v01_LowTiesShare*(AE994-1))/AE994)</x:f>
        <x:v>1</x:v>
      </x:c>
      <x:c r="AI994" s="32" t="n">
        <x:f>(Z994+v01_ElderCommons*INDEX(LM_Elder,G994)*AA994)*AH994</x:f>
        <x:v>2356.1743330021295</x:v>
      </x:c>
      <x:c r="AJ994" s="32" t="n">
        <x:f>H994*v01_CommonsCoef*AI994^v01_CommonsExp*INDEX(LM_Commons,G994)</x:f>
        <x:v>533.1676772051769</x:v>
      </x:c>
      <x:c r="AK994" s="32" t="n">
        <x:f>H994*v01_RoleScale*Arch_Roles*(AE994*(INDEX(v01_ElderRolePerSett,G994)*v01_OutElder*INDEX(LM_Elder,G994)+INDEX(v01_ShamanPerSett,G994)*v01_OutShaman)+Z994*(INDEX(v01_PriestShare,G994)*v01_OutPriest+INDEX(v01_ScribeShare,G994)*v01_OutScribe*INDEX(LM_Scribe,G994)+INDEX(v01_ScholarShare,G994)*v01_OutScholar*INDEX(LM_Scholar,G994)+INDEX(v01_ResearcherShare,G994)*v01_OutResearcher*INDEX(LM_Researcher,G994)))</x:f>
        <x:v>79.97755409880608</x:v>
      </x:c>
      <x:c r="AL994" s="32" t="n">
        <x:f>H994*v01_RoleScale*Arch_Roles*AE994*INDEX(v01_MonasteryPerSett,G994)*v01_OutMonastery*INDEX(LM_Monastery,G994)</x:f>
        <x:v>0</x:v>
      </x:c>
      <x:c r="AM994" s="32" t="n">
        <x:f>(AJ994+AK994+AL994)/4*INDEX(LM_All,G994)*INDEX(v01_Boon,G994)*Arch_Insight</x:f>
        <x:v>184.41958715895765</x:v>
      </x:c>
      <x:c r="AN994" s="32" t="n">
        <x:f>H994*(v01_KHPerAdult*Z994+v01_KHOfCommons*AJ994/4*INDEX(LM_All,G994))*v01_KHUsable*Arch_KH</x:f>
        <x:v>39.60853699349774</x:v>
      </x:c>
      <x:c r="AO994" s="32" t="n">
        <x:f>MIN(AP993+AN994,AM994*v01_KHMaxRatio)</x:f>
        <x:v>39.60853699349774</x:v>
      </x:c>
      <x:c r="AP994" s="32" t="n">
        <x:f>AP993+AN994-AO994</x:f>
        <x:v>0</x:v>
      </x:c>
      <x:c r="AQ994" s="32" t="n">
        <x:f>AM994+AO994</x:f>
        <x:v>224.0281241524554</x:v>
      </x:c>
      <x:c r="AR994" s="10" t="n">
        <x:f>IF(H994=1,INDEX(v01_Req,G994),0)</x:f>
        <x:v>24714.473079999996</x:v>
      </x:c>
      <x:c r="AS994" s="32" t="n">
        <x:f>IF(H994=1,IF(E994=1,AS993-AR993,AS993)+AQ994,0)</x:f>
        <x:v>17523.567802944417</x:v>
      </x:c>
      <x:c r="AT994" s="11" t="n">
        <x:f>IF(AR994&gt;0,MIN(1,AS994/AR994),1)</x:f>
        <x:v>0.7090407206425628</x:v>
      </x:c>
      <x:c r="AU994" s="10" t="n">
        <x:f>AB994/INDEX(v01_RepScale,G994)</x:f>
        <x:v>255.9224813961098</x:v>
      </x:c>
      <x:c r="AV994" s="32" t="n">
        <x:f>AM994*60/v01_SeasonSeconds</x:f>
        <x:v>737.6783486358306</x:v>
      </x:c>
    </x:row>
    <x:row r="995">
      <x:c r="A995" s="8" t="n">
        <x:f>A994+1</x:f>
        <x:v>992</x:v>
      </x:c>
      <x:c r="B995" s="9" t="n">
        <x:f>A995*v01_SeasonSeconds/60</x:f>
        <x:v>248</x:v>
      </x:c>
      <x:c r="C995" s="9" t="n">
        <x:f>A995/4</x:f>
        <x:v>248</x:v>
      </x:c>
      <x:c r="D995" s="8" t="n">
        <x:f>IF(MOD(A995,4)=0,1,0)</x:f>
        <x:v>1</x:v>
      </x:c>
      <x:c r="E995" s="8" t="n">
        <x:f>IF(AND(F994&lt;=9,AS994&gt;=AR994),1,0)</x:f>
        <x:v>0</x:v>
      </x:c>
      <x:c r="F995" s="8" t="n">
        <x:f>MIN(10,F994+E995)</x:f>
        <x:v>4</x:v>
      </x:c>
      <x:c r="G995" s="8" t="n">
        <x:f>MIN(F995,9)+1</x:f>
        <x:v>5</x:v>
      </x:c>
      <x:c r="H995" s="8" t="n">
        <x:f>IF(F995&lt;=9,1,0)</x:f>
        <x:v>1</x:v>
      </x:c>
      <x:c r="I995" s="9" t="n">
        <x:f>MIN(10,F994+IF(AR994&gt;0,MIN(1,AS994/AR994),1))</x:f>
        <x:v>4.709040720642562</x:v>
      </x:c>
      <x:c r="J995" s="32" t="n">
        <x:f>INDEX(v01_FoodCap,G995)*Arch_FoodCap*EXP(v01_CapsByProject*SUMPRODUCT((Cap_Point&lt;=I995)*(Cap_Kind="Food")*Cap_Ln))</x:f>
        <x:v>250</x:v>
      </x:c>
      <x:c r="K995" s="32" t="n">
        <x:f>J995*MIN(1,v01_LeanBase*EXP(v01_CapsByProject*SUMPRODUCT((Cap_Point&lt;=I995)*(Cap_Kind="Lean")*Cap_Ln)))</x:f>
        <x:v>250</x:v>
      </x:c>
      <x:c r="L995" s="10" t="n">
        <x:f>INDEX(v01_HousingCap,G995)*EXP(v01_CapsByProject*SUMPRODUCT((Cap_Point&lt;=I995)*(Cap_Kind="Housing")*Cap_Ln))</x:f>
        <x:v>400</x:v>
      </x:c>
      <x:c r="M995" s="10" t="n">
        <x:f>INDEX(v01_GroupCap,G995)*v01_CohesionFactor*EXP(v01_CapsByProject*SUMPRODUCT((Cap_Point&lt;=I995)*(Cap_Kind="Group")*Cap_Ln))</x:f>
        <x:v>10000</x:v>
      </x:c>
      <x:c r="N995" s="32" t="n">
        <x:f>MIN(J995,L995,M995)</x:f>
        <x:v>250</x:v>
      </x:c>
      <x:c r="O995" s="10" t="n">
        <x:f>AE994*N995</x:f>
        <x:v>4000</x:v>
      </x:c>
      <x:c r="P995" s="9" t="n">
        <x:f>MIN(1,(AB994/(AE994*IF(v01_GroupInCrowding=1,N995,MIN(J995,L995))))^v01_CrowdingExp)</x:f>
        <x:v>0.06859471876265082</x:v>
      </x:c>
      <x:c r="Q995" s="9" t="n">
        <x:f>IF(D995=1,INDEX(v01_WinterMult,G995),1)</x:f>
        <x:v>1</x:v>
      </x:c>
      <x:c r="R995" s="9" t="n">
        <x:f>H995*Z994*v01_WomenShare*v01_BaseFertility*INDEX(v01_FertMult,G995)*Arch_Fertility*(1-P995)</x:f>
        <x:v>37.94564626748096</x:v>
      </x:c>
      <x:c r="S995" s="9" t="n">
        <x:f>H995*Y994*INDEX(v01_MortChild,G995)/4*Q995</x:f>
        <x:v>7.135695321589686</x:v>
      </x:c>
      <x:c r="T995" s="9" t="n">
        <x:f>H995*Z994*INDEX(v01_MortAdult,G995)*Arch_AdultMort/4*Q995</x:f>
        <x:v>2.829181213821267</x:v>
      </x:c>
      <x:c r="U995" s="9" t="n">
        <x:f>H995*AA994*INDEX(v01_MortElder,G995)/4*Q995</x:f>
        <x:v>6.122509237368114</x:v>
      </x:c>
      <x:c r="V995" s="9" t="n">
        <x:f>H995*MAX(0,AB994-O995)*v01_OvercapLoss</x:f>
        <x:v>0</x:v>
      </x:c>
      <x:c r="W995" s="9" t="n">
        <x:f>H995*Y994/(v01_ChildYears*4)</x:f>
        <x:v>18.203304391810423</x:v>
      </x:c>
      <x:c r="X995" s="9" t="n">
        <x:f>H995*Z994/(v01_AdultYears*4)</x:f>
        <x:v>9.126391012326668</x:v>
      </x:c>
      <x:c r="Y995" s="32" t="n">
        <x:f>Y994+R995-S995-W995-Y994*V995/AB994</x:f>
        <x:v>1031.9916924954643</x:v>
      </x:c>
      <x:c r="Z995" s="32" t="n">
        <x:f>Z994+W995-X995-T995-Z994*V995/AB994</x:f>
        <x:v>1137.9202176941692</x:v>
      </x:c>
      <x:c r="AA995" s="32" t="n">
        <x:f>AA994+X995-U995-AA994*V995/AB994</x:f>
        <x:v>411.17116426616616</x:v>
      </x:c>
      <x:c r="AB995" s="10" t="n">
        <x:f>Y995+Z995+AA995</x:f>
        <x:v>2581.0830744557998</x:v>
      </x:c>
      <x:c r="AC995" s="8" t="n">
        <x:f>IF(AND(v01_WinterTrigger=1,D995=1,AB994/AE994&gt;=K995),1,0)</x:f>
        <x:v>0</x:v>
      </x:c>
      <x:c r="AD995" s="8" t="n">
        <x:f>H995*IF(AND(OR(AB994/AE994&gt;=v01_FissionTrigger*N995,AC995=1),AB994/AE994*v01_DaughterShare&gt;=v01_MinDaughter),MAX(1,ROUND(AE994*v01_FissionRate,0)),0)</x:f>
        <x:v>0</x:v>
      </x:c>
      <x:c r="AE995" s="8" t="n">
        <x:f>IF(H995=1,MAX(1,MIN(INDEX(v01_Smax,G995),AE994+AD995)),AE994)</x:f>
        <x:v>16</x:v>
      </x:c>
      <x:c r="AF995" s="8" t="n">
        <x:f>MAX(0,AE995-AE994)</x:f>
        <x:v>0</x:v>
      </x:c>
      <x:c r="AG995" s="9" t="str">
        <x:f>IF(AF995&gt;0,B995,"")</x:f>
      </x:c>
      <x:c r="AH995" s="9" t="n">
        <x:f>IF(F995&gt;=1,1,(1+v01_LowTiesShare*(AE995-1))/AE995)</x:f>
        <x:v>1</x:v>
      </x:c>
      <x:c r="AI995" s="32" t="n">
        <x:f>(Z995+v01_ElderCommons*INDEX(LM_Elder,G995)*AA995)*AH995</x:f>
        <x:v>2371.4337104926676</x:v>
      </x:c>
      <x:c r="AJ995" s="32" t="n">
        <x:f>H995*v01_CommonsCoef*AI995^v01_CommonsExp*INDEX(LM_Commons,G995)</x:f>
        <x:v>536.1012823446936</x:v>
      </x:c>
      <x:c r="AK995" s="32" t="n">
        <x:f>H995*v01_RoleScale*Arch_Roles*(AE995*(INDEX(v01_ElderRolePerSett,G995)*v01_OutElder*INDEX(LM_Elder,G995)+INDEX(v01_ShamanPerSett,G995)*v01_OutShaman)+Z995*(INDEX(v01_PriestShare,G995)*v01_OutPriest+INDEX(v01_ScribeShare,G995)*v01_OutScribe*INDEX(LM_Scribe,G995)+INDEX(v01_ScholarShare,G995)*v01_OutScholar*INDEX(LM_Scholar,G995)+INDEX(v01_ResearcherShare,G995)*v01_OutResearcher*INDEX(LM_Researcher,G995)))</x:f>
        <x:v>80.15409562992673</x:v>
      </x:c>
      <x:c r="AL995" s="32" t="n">
        <x:f>H995*v01_RoleScale*Arch_Roles*AE995*INDEX(v01_MonasteryPerSett,G995)*v01_OutMonastery*INDEX(LM_Monastery,G995)</x:f>
        <x:v>0</x:v>
      </x:c>
      <x:c r="AM995" s="32" t="n">
        <x:f>(AJ995+AK995+AL995)/4*INDEX(LM_All,G995)*INDEX(v01_Boon,G995)*Arch_Insight</x:f>
        <x:v>185.35504573503252</x:v>
      </x:c>
      <x:c r="AN995" s="32" t="n">
        <x:f>H995*(v01_KHPerAdult*Z995+v01_KHOfCommons*AJ995/4*INDEX(LM_All,G995))*v01_KHUsable*Arch_KH</x:f>
        <x:v>39.82720761929592</x:v>
      </x:c>
      <x:c r="AO995" s="32" t="n">
        <x:f>MIN(AP994+AN995,AM995*v01_KHMaxRatio)</x:f>
        <x:v>39.82720761929592</x:v>
      </x:c>
      <x:c r="AP995" s="32" t="n">
        <x:f>AP994+AN995-AO995</x:f>
        <x:v>0</x:v>
      </x:c>
      <x:c r="AQ995" s="32" t="n">
        <x:f>AM995+AO995</x:f>
        <x:v>225.18225335432845</x:v>
      </x:c>
      <x:c r="AR995" s="10" t="n">
        <x:f>IF(H995=1,INDEX(v01_Req,G995),0)</x:f>
        <x:v>24714.473079999996</x:v>
      </x:c>
      <x:c r="AS995" s="32" t="n">
        <x:f>IF(H995=1,IF(E995=1,AS994-AR994,AS994)+AQ995,0)</x:f>
        <x:v>17748.750056298744</x:v>
      </x:c>
      <x:c r="AT995" s="11" t="n">
        <x:f>IF(AR995&gt;0,MIN(1,AS995/AR995),1)</x:f>
        <x:v>0.7181520722228866</x:v>
      </x:c>
      <x:c r="AU995" s="10" t="n">
        <x:f>AB995/INDEX(v01_RepScale,G995)</x:f>
        <x:v>258.10830744557995</x:v>
      </x:c>
      <x:c r="AV995" s="32" t="n">
        <x:f>AM995*60/v01_SeasonSeconds</x:f>
        <x:v>741.4201829401301</x:v>
      </x:c>
    </x:row>
    <x:row r="996">
      <x:c r="A996" s="8" t="n">
        <x:f>A995+1</x:f>
        <x:v>993</x:v>
      </x:c>
      <x:c r="B996" s="9" t="n">
        <x:f>A996*v01_SeasonSeconds/60</x:f>
        <x:v>248.25</x:v>
      </x:c>
      <x:c r="C996" s="9" t="n">
        <x:f>A996/4</x:f>
        <x:v>248.25</x:v>
      </x:c>
      <x:c r="D996" s="8" t="n">
        <x:f>IF(MOD(A996,4)=0,1,0)</x:f>
        <x:v>0</x:v>
      </x:c>
      <x:c r="E996" s="8" t="n">
        <x:f>IF(AND(F995&lt;=9,AS995&gt;=AR995),1,0)</x:f>
        <x:v>0</x:v>
      </x:c>
      <x:c r="F996" s="8" t="n">
        <x:f>MIN(10,F995+E996)</x:f>
        <x:v>4</x:v>
      </x:c>
      <x:c r="G996" s="8" t="n">
        <x:f>MIN(F996,9)+1</x:f>
        <x:v>5</x:v>
      </x:c>
      <x:c r="H996" s="8" t="n">
        <x:f>IF(F996&lt;=9,1,0)</x:f>
        <x:v>1</x:v>
      </x:c>
      <x:c r="I996" s="9" t="n">
        <x:f>MIN(10,F995+IF(AR995&gt;0,MIN(1,AS995/AR995),1))</x:f>
        <x:v>4.718152072222886</x:v>
      </x:c>
      <x:c r="J996" s="32" t="n">
        <x:f>INDEX(v01_FoodCap,G996)*Arch_FoodCap*EXP(v01_CapsByProject*SUMPRODUCT((Cap_Point&lt;=I996)*(Cap_Kind="Food")*Cap_Ln))</x:f>
        <x:v>250</x:v>
      </x:c>
      <x:c r="K996" s="32" t="n">
        <x:f>J996*MIN(1,v01_LeanBase*EXP(v01_CapsByProject*SUMPRODUCT((Cap_Point&lt;=I996)*(Cap_Kind="Lean")*Cap_Ln)))</x:f>
        <x:v>250</x:v>
      </x:c>
      <x:c r="L996" s="10" t="n">
        <x:f>INDEX(v01_HousingCap,G996)*EXP(v01_CapsByProject*SUMPRODUCT((Cap_Point&lt;=I996)*(Cap_Kind="Housing")*Cap_Ln))</x:f>
        <x:v>400</x:v>
      </x:c>
      <x:c r="M996" s="10" t="n">
        <x:f>INDEX(v01_GroupCap,G996)*v01_CohesionFactor*EXP(v01_CapsByProject*SUMPRODUCT((Cap_Point&lt;=I996)*(Cap_Kind="Group")*Cap_Ln))</x:f>
        <x:v>10000</x:v>
      </x:c>
      <x:c r="N996" s="32" t="n">
        <x:f>MIN(J996,L996,M996)</x:f>
        <x:v>250</x:v>
      </x:c>
      <x:c r="O996" s="10" t="n">
        <x:f>AE995*N996</x:f>
        <x:v>4000</x:v>
      </x:c>
      <x:c r="P996" s="9" t="n">
        <x:f>MIN(1,(AB995/(AE995*IF(v01_GroupInCrowding=1,N996,MIN(J996,L996))))^v01_CrowdingExp)</x:f>
        <x:v>0.07218582919728406</x:v>
      </x:c>
      <x:c r="Q996" s="9" t="n">
        <x:f>IF(D996=1,INDEX(v01_WinterMult,G996),1)</x:f>
        <x:v>1</x:v>
      </x:c>
      <x:c r="R996" s="9" t="n">
        <x:f>H996*Z995*v01_WomenShare*v01_BaseFertility*INDEX(v01_FertMult,G996)*Arch_Fertility*(1-P996)</x:f>
        <x:v>38.00802611590421</x:v>
      </x:c>
      <x:c r="S996" s="9" t="n">
        <x:f>H996*Y995*INDEX(v01_MortChild,G996)/4*Q996</x:f>
        <x:v>7.22394184746825</x:v>
      </x:c>
      <x:c r="T996" s="9" t="n">
        <x:f>H996*Z995*INDEX(v01_MortAdult,G996)*Arch_AdultMort/4*Q996</x:f>
        <x:v>2.844800544235423</x:v>
      </x:c>
      <x:c r="U996" s="9" t="n">
        <x:f>H996*AA995*INDEX(v01_MortElder,G996)/4*Q996</x:f>
        <x:v>6.1675674639924924</x:v>
      </x:c>
      <x:c r="V996" s="9" t="n">
        <x:f>H996*MAX(0,AB995-O996)*v01_OvercapLoss</x:f>
        <x:v>0</x:v>
      </x:c>
      <x:c r="W996" s="9" t="n">
        <x:f>H996*Y995/(v01_ChildYears*4)</x:f>
        <x:v>18.42842308027615</x:v>
      </x:c>
      <x:c r="X996" s="9" t="n">
        <x:f>H996*Z995/(v01_AdultYears*4)</x:f>
        <x:v>9.176775949146526</x:v>
      </x:c>
      <x:c r="Y996" s="32" t="n">
        <x:f>Y995+R996-S996-W996-Y995*V996/AB995</x:f>
        <x:v>1044.347353683624</x:v>
      </x:c>
      <x:c r="Z996" s="32" t="n">
        <x:f>Z995+W996-X996-T996-Z995*V996/AB995</x:f>
        <x:v>1144.3270642810635</x:v>
      </x:c>
      <x:c r="AA996" s="32" t="n">
        <x:f>AA995+X996-U996-AA995*V996/AB995</x:f>
        <x:v>414.1803727513202</x:v>
      </x:c>
      <x:c r="AB996" s="10" t="n">
        <x:f>Y996+Z996+AA996</x:f>
        <x:v>2602.8547907160078</x:v>
      </x:c>
      <x:c r="AC996" s="8" t="n">
        <x:f>IF(AND(v01_WinterTrigger=1,D996=1,AB995/AE995&gt;=K996),1,0)</x:f>
        <x:v>0</x:v>
      </x:c>
      <x:c r="AD996" s="8" t="n">
        <x:f>H996*IF(AND(OR(AB995/AE995&gt;=v01_FissionTrigger*N996,AC996=1),AB995/AE995*v01_DaughterShare&gt;=v01_MinDaughter),MAX(1,ROUND(AE995*v01_FissionRate,0)),0)</x:f>
        <x:v>0</x:v>
      </x:c>
      <x:c r="AE996" s="8" t="n">
        <x:f>IF(H996=1,MAX(1,MIN(INDEX(v01_Smax,G996),AE995+AD996)),AE995)</x:f>
        <x:v>16</x:v>
      </x:c>
      <x:c r="AF996" s="8" t="n">
        <x:f>MAX(0,AE996-AE995)</x:f>
        <x:v>0</x:v>
      </x:c>
      <x:c r="AG996" s="9" t="str">
        <x:f>IF(AF996&gt;0,B996,"")</x:f>
      </x:c>
      <x:c r="AH996" s="9" t="n">
        <x:f>IF(F996&gt;=1,1,(1+v01_LowTiesShare*(AE996-1))/AE996)</x:f>
        <x:v>1</x:v>
      </x:c>
      <x:c r="AI996" s="32" t="n">
        <x:f>(Z996+v01_ElderCommons*INDEX(LM_Elder,G996)*AA996)*AH996</x:f>
        <x:v>2386.868182535024</x:v>
      </x:c>
      <x:c r="AJ996" s="32" t="n">
        <x:f>H996*v01_CommonsCoef*AI996^v01_CommonsExp*INDEX(LM_Commons,G996)</x:f>
        <x:v>539.065670308304</x:v>
      </x:c>
      <x:c r="AK996" s="32" t="n">
        <x:f>H996*v01_RoleScale*Arch_Roles*(AE996*(INDEX(v01_ElderRolePerSett,G996)*v01_OutElder*INDEX(LM_Elder,G996)+INDEX(v01_ShamanPerSett,G996)*v01_OutShaman)+Z996*(INDEX(v01_PriestShare,G996)*v01_OutPriest+INDEX(v01_ScribeShare,G996)*v01_OutScribe*INDEX(LM_Scribe,G996)+INDEX(v01_ScholarShare,G996)*v01_OutScholar*INDEX(LM_Scholar,G996)+INDEX(v01_ResearcherShare,G996)*v01_OutResearcher*INDEX(LM_Researcher,G996)))</x:f>
        <x:v>80.33513324103333</x:v>
      </x:c>
      <x:c r="AL996" s="32" t="n">
        <x:f>H996*v01_RoleScale*Arch_Roles*AE996*INDEX(v01_MonasteryPerSett,G996)*v01_OutMonastery*INDEX(LM_Monastery,G996)</x:f>
        <x:v>0</x:v>
      </x:c>
      <x:c r="AM996" s="32" t="n">
        <x:f>(AJ996+AK996+AL996)/4*INDEX(LM_All,G996)*INDEX(v01_Boon,G996)*Arch_Insight</x:f>
        <x:v>186.30111537125052</x:v>
      </x:c>
      <x:c r="AN996" s="32" t="n">
        <x:f>H996*(v01_KHPerAdult*Z996+v01_KHOfCommons*AJ996/4*INDEX(LM_All,G996))*v01_KHUsable*Arch_KH</x:f>
        <x:v>40.051447249837224</x:v>
      </x:c>
      <x:c r="AO996" s="32" t="n">
        <x:f>MIN(AP995+AN996,AM996*v01_KHMaxRatio)</x:f>
        <x:v>40.051447249837224</x:v>
      </x:c>
      <x:c r="AP996" s="32" t="n">
        <x:f>AP995+AN996-AO996</x:f>
        <x:v>0</x:v>
      </x:c>
      <x:c r="AQ996" s="32" t="n">
        <x:f>AM996+AO996</x:f>
        <x:v>226.35256262108774</x:v>
      </x:c>
      <x:c r="AR996" s="10" t="n">
        <x:f>IF(H996=1,INDEX(v01_Req,G996),0)</x:f>
        <x:v>24714.473079999996</x:v>
      </x:c>
      <x:c r="AS996" s="32" t="n">
        <x:f>IF(H996=1,IF(E996=1,AS995-AR995,AS995)+AQ996,0)</x:f>
        <x:v>17975.10261891983</x:v>
      </x:c>
      <x:c r="AT996" s="11" t="n">
        <x:f>IF(AR996&gt;0,MIN(1,AS996/AR996),1)</x:f>
        <x:v>0.7273107769983593</x:v>
      </x:c>
      <x:c r="AU996" s="10" t="n">
        <x:f>AB996/INDEX(v01_RepScale,G996)</x:f>
        <x:v>260.2854790716008</x:v>
      </x:c>
      <x:c r="AV996" s="32" t="n">
        <x:f>AM996*60/v01_SeasonSeconds</x:f>
        <x:v>745.2044614850021</x:v>
      </x:c>
    </x:row>
    <x:row r="997">
      <x:c r="A997" s="8" t="n">
        <x:f>A996+1</x:f>
        <x:v>994</x:v>
      </x:c>
      <x:c r="B997" s="9" t="n">
        <x:f>A997*v01_SeasonSeconds/60</x:f>
        <x:v>248.5</x:v>
      </x:c>
      <x:c r="C997" s="9" t="n">
        <x:f>A997/4</x:f>
        <x:v>248.5</x:v>
      </x:c>
      <x:c r="D997" s="8" t="n">
        <x:f>IF(MOD(A997,4)=0,1,0)</x:f>
        <x:v>0</x:v>
      </x:c>
      <x:c r="E997" s="8" t="n">
        <x:f>IF(AND(F996&lt;=9,AS996&gt;=AR996),1,0)</x:f>
        <x:v>0</x:v>
      </x:c>
      <x:c r="F997" s="8" t="n">
        <x:f>MIN(10,F996+E997)</x:f>
        <x:v>4</x:v>
      </x:c>
      <x:c r="G997" s="8" t="n">
        <x:f>MIN(F997,9)+1</x:f>
        <x:v>5</x:v>
      </x:c>
      <x:c r="H997" s="8" t="n">
        <x:f>IF(F997&lt;=9,1,0)</x:f>
        <x:v>1</x:v>
      </x:c>
      <x:c r="I997" s="9" t="n">
        <x:f>MIN(10,F996+IF(AR996&gt;0,MIN(1,AS996/AR996),1))</x:f>
        <x:v>4.727310776998359</x:v>
      </x:c>
      <x:c r="J997" s="32" t="n">
        <x:f>INDEX(v01_FoodCap,G997)*Arch_FoodCap*EXP(v01_CapsByProject*SUMPRODUCT((Cap_Point&lt;=I997)*(Cap_Kind="Food")*Cap_Ln))</x:f>
        <x:v>250</x:v>
      </x:c>
      <x:c r="K997" s="32" t="n">
        <x:f>J997*MIN(1,v01_LeanBase*EXP(v01_CapsByProject*SUMPRODUCT((Cap_Point&lt;=I997)*(Cap_Kind="Lean")*Cap_Ln)))</x:f>
        <x:v>250</x:v>
      </x:c>
      <x:c r="L997" s="10" t="n">
        <x:f>INDEX(v01_HousingCap,G997)*EXP(v01_CapsByProject*SUMPRODUCT((Cap_Point&lt;=I997)*(Cap_Kind="Housing")*Cap_Ln))</x:f>
        <x:v>400</x:v>
      </x:c>
      <x:c r="M997" s="10" t="n">
        <x:f>INDEX(v01_GroupCap,G997)*v01_CohesionFactor*EXP(v01_CapsByProject*SUMPRODUCT((Cap_Point&lt;=I997)*(Cap_Kind="Group")*Cap_Ln))</x:f>
        <x:v>10000</x:v>
      </x:c>
      <x:c r="N997" s="32" t="n">
        <x:f>MIN(J997,L997,M997)</x:f>
        <x:v>250</x:v>
      </x:c>
      <x:c r="O997" s="10" t="n">
        <x:f>AE996*N997</x:f>
        <x:v>4000</x:v>
      </x:c>
      <x:c r="P997" s="9" t="n">
        <x:f>MIN(1,(AB996/(AE996*IF(v01_GroupInCrowding=1,N997,MIN(J997,L997))))^v01_CrowdingExp)</x:f>
        <x:v>0.07591711452983592</x:v>
      </x:c>
      <x:c r="Q997" s="9" t="n">
        <x:f>IF(D997=1,INDEX(v01_WinterMult,G997),1)</x:f>
        <x:v>1</x:v>
      </x:c>
      <x:c r="R997" s="9" t="n">
        <x:f>H997*Z996*v01_WomenShare*v01_BaseFertility*INDEX(v01_FertMult,G997)*Arch_Fertility*(1-P997)</x:f>
        <x:v>38.06830999736809</x:v>
      </x:c>
      <x:c r="S997" s="9" t="n">
        <x:f>H997*Y996*INDEX(v01_MortChild,G997)/4*Q997</x:f>
        <x:v>7.310431475785369</x:v>
      </x:c>
      <x:c r="T997" s="9" t="n">
        <x:f>H997*Z996*INDEX(v01_MortAdult,G997)*Arch_AdultMort/4*Q997</x:f>
        <x:v>2.8608176607026587</x:v>
      </x:c>
      <x:c r="U997" s="9" t="n">
        <x:f>H997*AA996*INDEX(v01_MortElder,G997)/4*Q997</x:f>
        <x:v>6.212705591269803</x:v>
      </x:c>
      <x:c r="V997" s="9" t="n">
        <x:f>H997*MAX(0,AB996-O997)*v01_OvercapLoss</x:f>
        <x:v>0</x:v>
      </x:c>
      <x:c r="W997" s="9" t="n">
        <x:f>H997*Y996/(v01_ChildYears*4)</x:f>
        <x:v>18.649059887207574</x:v>
      </x:c>
      <x:c r="X997" s="9" t="n">
        <x:f>H997*Z996/(v01_AdultYears*4)</x:f>
        <x:v>9.22844406678277</x:v>
      </x:c>
      <x:c r="Y997" s="32" t="n">
        <x:f>Y996+R997-S997-W997-Y996*V997/AB996</x:f>
        <x:v>1056.456172317999</x:v>
      </x:c>
      <x:c r="Z997" s="32" t="n">
        <x:f>Z996+W997-X997-T997-Z996*V997/AB996</x:f>
        <x:v>1150.8868624407858</x:v>
      </x:c>
      <x:c r="AA997" s="32" t="n">
        <x:f>AA996+X997-U997-AA996*V997/AB996</x:f>
        <x:v>417.1961112268331</x:v>
      </x:c>
      <x:c r="AB997" s="10" t="n">
        <x:f>Y997+Z997+AA997</x:f>
        <x:v>2624.539145985618</x:v>
      </x:c>
      <x:c r="AC997" s="8" t="n">
        <x:f>IF(AND(v01_WinterTrigger=1,D997=1,AB996/AE996&gt;=K997),1,0)</x:f>
        <x:v>0</x:v>
      </x:c>
      <x:c r="AD997" s="8" t="n">
        <x:f>H997*IF(AND(OR(AB996/AE996&gt;=v01_FissionTrigger*N997,AC997=1),AB996/AE996*v01_DaughterShare&gt;=v01_MinDaughter),MAX(1,ROUND(AE996*v01_FissionRate,0)),0)</x:f>
        <x:v>0</x:v>
      </x:c>
      <x:c r="AE997" s="8" t="n">
        <x:f>IF(H997=1,MAX(1,MIN(INDEX(v01_Smax,G997),AE996+AD997)),AE996)</x:f>
        <x:v>16</x:v>
      </x:c>
      <x:c r="AF997" s="8" t="n">
        <x:f>MAX(0,AE997-AE996)</x:f>
        <x:v>0</x:v>
      </x:c>
      <x:c r="AG997" s="9" t="str">
        <x:f>IF(AF997&gt;0,B997,"")</x:f>
      </x:c>
      <x:c r="AH997" s="9" t="n">
        <x:f>IF(F997&gt;=1,1,(1+v01_LowTiesShare*(AE997-1))/AE997)</x:f>
        <x:v>1</x:v>
      </x:c>
      <x:c r="AI997" s="32" t="n">
        <x:f>(Z997+v01_ElderCommons*INDEX(LM_Elder,G997)*AA997)*AH997</x:f>
        <x:v>2402.475196121285</x:v>
      </x:c>
      <x:c r="AJ997" s="32" t="n">
        <x:f>H997*v01_CommonsCoef*AI997^v01_CommonsExp*INDEX(LM_Commons,G997)</x:f>
        <x:v>542.0602748231545</x:v>
      </x:c>
      <x:c r="AK997" s="32" t="n">
        <x:f>H997*v01_RoleScale*Arch_Roles*(AE997*(INDEX(v01_ElderRolePerSett,G997)*v01_OutElder*INDEX(LM_Elder,G997)+INDEX(v01_ShamanPerSett,G997)*v01_OutShaman)+Z997*(INDEX(v01_PriestShare,G997)*v01_OutPriest+INDEX(v01_ScribeShare,G997)*v01_OutScribe*INDEX(LM_Scribe,G997)+INDEX(v01_ScholarShare,G997)*v01_OutScholar*INDEX(LM_Scholar,G997)+INDEX(v01_ResearcherShare,G997)*v01_OutResearcher*INDEX(LM_Researcher,G997)))</x:f>
        <x:v>80.5204927891466</x:v>
      </x:c>
      <x:c r="AL997" s="32" t="n">
        <x:f>H997*v01_RoleScale*Arch_Roles*AE997*INDEX(v01_MonasteryPerSett,G997)*v01_OutMonastery*INDEX(LM_Monastery,G997)</x:f>
        <x:v>0</x:v>
      </x:c>
      <x:c r="AM997" s="32" t="n">
        <x:f>(AJ997+AK997+AL997)/4*INDEX(LM_All,G997)*INDEX(v01_Boon,G997)*Arch_Insight</x:f>
        <x:v>187.25757336803684</x:v>
      </x:c>
      <x:c r="AN997" s="32" t="n">
        <x:f>H997*(v01_KHPerAdult*Z997+v01_KHOfCommons*AJ997/4*INDEX(LM_All,G997))*v01_KHUsable*Arch_KH</x:f>
        <x:v>40.2810401854275</x:v>
      </x:c>
      <x:c r="AO997" s="32" t="n">
        <x:f>MIN(AP996+AN997,AM997*v01_KHMaxRatio)</x:f>
        <x:v>40.2810401854275</x:v>
      </x:c>
      <x:c r="AP997" s="32" t="n">
        <x:f>AP996+AN997-AO997</x:f>
        <x:v>0</x:v>
      </x:c>
      <x:c r="AQ997" s="32" t="n">
        <x:f>AM997+AO997</x:f>
        <x:v>227.53861355346436</x:v>
      </x:c>
      <x:c r="AR997" s="10" t="n">
        <x:f>IF(H997=1,INDEX(v01_Req,G997),0)</x:f>
        <x:v>24714.473079999996</x:v>
      </x:c>
      <x:c r="AS997" s="32" t="n">
        <x:f>IF(H997=1,IF(E997=1,AS996-AR996,AS996)+AQ997,0)</x:f>
        <x:v>18202.641232473296</x:v>
      </x:c>
      <x:c r="AT997" s="11" t="n">
        <x:f>IF(AR997&gt;0,MIN(1,AS997/AR997),1)</x:f>
        <x:v>0.7365174719101597</x:v>
      </x:c>
      <x:c r="AU997" s="10" t="n">
        <x:f>AB997/INDEX(v01_RepScale,G997)</x:f>
        <x:v>262.45391459856177</x:v>
      </x:c>
      <x:c r="AV997" s="32" t="n">
        <x:f>AM997*60/v01_SeasonSeconds</x:f>
        <x:v>749.0302934721474</x:v>
      </x:c>
    </x:row>
    <x:row r="998">
      <x:c r="A998" s="8" t="n">
        <x:f>A997+1</x:f>
        <x:v>995</x:v>
      </x:c>
      <x:c r="B998" s="9" t="n">
        <x:f>A998*v01_SeasonSeconds/60</x:f>
        <x:v>248.75</x:v>
      </x:c>
      <x:c r="C998" s="9" t="n">
        <x:f>A998/4</x:f>
        <x:v>248.75</x:v>
      </x:c>
      <x:c r="D998" s="8" t="n">
        <x:f>IF(MOD(A998,4)=0,1,0)</x:f>
        <x:v>0</x:v>
      </x:c>
      <x:c r="E998" s="8" t="n">
        <x:f>IF(AND(F997&lt;=9,AS997&gt;=AR997),1,0)</x:f>
        <x:v>0</x:v>
      </x:c>
      <x:c r="F998" s="8" t="n">
        <x:f>MIN(10,F997+E998)</x:f>
        <x:v>4</x:v>
      </x:c>
      <x:c r="G998" s="8" t="n">
        <x:f>MIN(F998,9)+1</x:f>
        <x:v>5</x:v>
      </x:c>
      <x:c r="H998" s="8" t="n">
        <x:f>IF(F998&lt;=9,1,0)</x:f>
        <x:v>1</x:v>
      </x:c>
      <x:c r="I998" s="9" t="n">
        <x:f>MIN(10,F997+IF(AR997&gt;0,MIN(1,AS997/AR997),1))</x:f>
        <x:v>4.73651747191016</x:v>
      </x:c>
      <x:c r="J998" s="32" t="n">
        <x:f>INDEX(v01_FoodCap,G998)*Arch_FoodCap*EXP(v01_CapsByProject*SUMPRODUCT((Cap_Point&lt;=I998)*(Cap_Kind="Food")*Cap_Ln))</x:f>
        <x:v>250</x:v>
      </x:c>
      <x:c r="K998" s="32" t="n">
        <x:f>J998*MIN(1,v01_LeanBase*EXP(v01_CapsByProject*SUMPRODUCT((Cap_Point&lt;=I998)*(Cap_Kind="Lean")*Cap_Ln)))</x:f>
        <x:v>250</x:v>
      </x:c>
      <x:c r="L998" s="10" t="n">
        <x:f>INDEX(v01_HousingCap,G998)*EXP(v01_CapsByProject*SUMPRODUCT((Cap_Point&lt;=I998)*(Cap_Kind="Housing")*Cap_Ln))</x:f>
        <x:v>400</x:v>
      </x:c>
      <x:c r="M998" s="10" t="n">
        <x:f>INDEX(v01_GroupCap,G998)*v01_CohesionFactor*EXP(v01_CapsByProject*SUMPRODUCT((Cap_Point&lt;=I998)*(Cap_Kind="Group")*Cap_Ln))</x:f>
        <x:v>10000</x:v>
      </x:c>
      <x:c r="N998" s="32" t="n">
        <x:f>MIN(J998,L998,M998)</x:f>
        <x:v>250</x:v>
      </x:c>
      <x:c r="O998" s="10" t="n">
        <x:f>AE997*N998</x:f>
        <x:v>4000</x:v>
      </x:c>
      <x:c r="P998" s="9" t="n">
        <x:f>MIN(1,(AB997/(AE997*IF(v01_GroupInCrowding=1,N998,MIN(J998,L998))))^v01_CrowdingExp)</x:f>
        <x:v>0.07979182179576749</x:v>
      </x:c>
      <x:c r="Q998" s="9" t="n">
        <x:f>IF(D998=1,INDEX(v01_WinterMult,G998),1)</x:f>
        <x:v>1</x:v>
      </x:c>
      <x:c r="R998" s="9" t="n">
        <x:f>H998*Z997*v01_WomenShare*v01_BaseFertility*INDEX(v01_FertMult,G998)*Arch_Fertility*(1-P998)</x:f>
        <x:v>38.12599810820954</x:v>
      </x:c>
      <x:c r="S998" s="9" t="n">
        <x:f>H998*Y997*INDEX(v01_MortChild,G998)/4*Q998</x:f>
        <x:v>7.3951932062259935</x:v>
      </x:c>
      <x:c r="T998" s="9" t="n">
        <x:f>H998*Z997*INDEX(v01_MortAdult,G998)*Arch_AdultMort/4*Q998</x:f>
        <x:v>2.8772171561019646</x:v>
      </x:c>
      <x:c r="U998" s="9" t="n">
        <x:f>H998*AA997*INDEX(v01_MortElder,G998)/4*Q998</x:f>
        <x:v>6.257941668402497</x:v>
      </x:c>
      <x:c r="V998" s="9" t="n">
        <x:f>H998*MAX(0,AB997-O998)*v01_OvercapLoss</x:f>
        <x:v>0</x:v>
      </x:c>
      <x:c r="W998" s="9" t="n">
        <x:f>H998*Y997/(v01_ChildYears*4)</x:f>
        <x:v>18.86528879139284</x:v>
      </x:c>
      <x:c r="X998" s="9" t="n">
        <x:f>H998*Z997/(v01_AdultYears*4)</x:f>
        <x:v>9.281345664845047</x:v>
      </x:c>
      <x:c r="Y998" s="32" t="n">
        <x:f>Y997+R998-S998-W998-Y997*V998/AB997</x:f>
        <x:v>1068.3216884285898</x:v>
      </x:c>
      <x:c r="Z998" s="32" t="n">
        <x:f>Z997+W998-X998-T998-Z997*V998/AB997</x:f>
        <x:v>1157.5935884112316</x:v>
      </x:c>
      <x:c r="AA998" s="32" t="n">
        <x:f>AA997+X998-U998-AA997*V998/AB997</x:f>
        <x:v>420.21951522327566</x:v>
      </x:c>
      <x:c r="AB998" s="10" t="n">
        <x:f>Y998+Z998+AA998</x:f>
        <x:v>2646.1347920630974</x:v>
      </x:c>
      <x:c r="AC998" s="8" t="n">
        <x:f>IF(AND(v01_WinterTrigger=1,D998=1,AB997/AE997&gt;=K998),1,0)</x:f>
        <x:v>0</x:v>
      </x:c>
      <x:c r="AD998" s="8" t="n">
        <x:f>H998*IF(AND(OR(AB997/AE997&gt;=v01_FissionTrigger*N998,AC998=1),AB997/AE997*v01_DaughterShare&gt;=v01_MinDaughter),MAX(1,ROUND(AE997*v01_FissionRate,0)),0)</x:f>
        <x:v>0</x:v>
      </x:c>
      <x:c r="AE998" s="8" t="n">
        <x:f>IF(H998=1,MAX(1,MIN(INDEX(v01_Smax,G998),AE997+AD998)),AE997)</x:f>
        <x:v>16</x:v>
      </x:c>
      <x:c r="AF998" s="8" t="n">
        <x:f>MAX(0,AE998-AE997)</x:f>
        <x:v>0</x:v>
      </x:c>
      <x:c r="AG998" s="9" t="str">
        <x:f>IF(AF998&gt;0,B998,"")</x:f>
      </x:c>
      <x:c r="AH998" s="9" t="n">
        <x:f>IF(F998&gt;=1,1,(1+v01_LowTiesShare*(AE998-1))/AE998)</x:f>
        <x:v>1</x:v>
      </x:c>
      <x:c r="AI998" s="32" t="n">
        <x:f>(Z998+v01_ElderCommons*INDEX(LM_Elder,G998)*AA998)*AH998</x:f>
        <x:v>2418.2521340810586</x:v>
      </x:c>
      <x:c r="AJ998" s="32" t="n">
        <x:f>H998*v01_CommonsCoef*AI998^v01_CommonsExp*INDEX(LM_Commons,G998)</x:f>
        <x:v>545.0845193033431</x:v>
      </x:c>
      <x:c r="AK998" s="32" t="n">
        <x:f>H998*v01_RoleScale*Arch_Roles*(AE998*(INDEX(v01_ElderRolePerSett,G998)*v01_OutElder*INDEX(LM_Elder,G998)+INDEX(v01_ShamanPerSett,G998)*v01_OutShaman)+Z998*(INDEX(v01_PriestShare,G998)*v01_OutPriest+INDEX(v01_ScribeShare,G998)*v01_OutScribe*INDEX(LM_Scribe,G998)+INDEX(v01_ScholarShare,G998)*v01_OutScholar*INDEX(LM_Scholar,G998)+INDEX(v01_ResearcherShare,G998)*v01_OutResearcher*INDEX(LM_Researcher,G998)))</x:f>
        <x:v>80.71000406143457</x:v>
      </x:c>
      <x:c r="AL998" s="32" t="n">
        <x:f>H998*v01_RoleScale*Arch_Roles*AE998*INDEX(v01_MonasteryPerSett,G998)*v01_OutMonastery*INDEX(LM_Monastery,G998)</x:f>
        <x:v>0</x:v>
      </x:c>
      <x:c r="AM998" s="32" t="n">
        <x:f>(AJ998+AK998+AL998)/4*INDEX(LM_All,G998)*INDEX(v01_Boon,G998)*Arch_Insight</x:f>
        <x:v>188.22419510599116</x:v>
      </x:c>
      <x:c r="AN998" s="32" t="n">
        <x:f>H998*(v01_KHPerAdult*Z998+v01_KHOfCommons*AJ998/4*INDEX(LM_All,G998))*v01_KHUsable*Arch_KH</x:f>
        <x:v>40.515775594393105</x:v>
      </x:c>
      <x:c r="AO998" s="32" t="n">
        <x:f>MIN(AP997+AN998,AM998*v01_KHMaxRatio)</x:f>
        <x:v>40.515775594393105</x:v>
      </x:c>
      <x:c r="AP998" s="32" t="n">
        <x:f>AP997+AN998-AO998</x:f>
        <x:v>0</x:v>
      </x:c>
      <x:c r="AQ998" s="32" t="n">
        <x:f>AM998+AO998</x:f>
        <x:v>228.73997070038428</x:v>
      </x:c>
      <x:c r="AR998" s="10" t="n">
        <x:f>IF(H998=1,INDEX(v01_Req,G998),0)</x:f>
        <x:v>24714.473079999996</x:v>
      </x:c>
      <x:c r="AS998" s="32" t="n">
        <x:f>IF(H998=1,IF(E998=1,AS997-AR997,AS997)+AQ998,0)</x:f>
        <x:v>18431.38120317368</x:v>
      </x:c>
      <x:c r="AT998" s="11" t="n">
        <x:f>IF(AR998&gt;0,MIN(1,AS998/AR998),1)</x:f>
        <x:v>0.7457727762801927</x:v>
      </x:c>
      <x:c r="AU998" s="10" t="n">
        <x:f>AB998/INDEX(v01_RepScale,G998)</x:f>
        <x:v>264.61347920630976</x:v>
      </x:c>
      <x:c r="AV998" s="32" t="n">
        <x:f>AM998*60/v01_SeasonSeconds</x:f>
        <x:v>752.8967804239645</x:v>
      </x:c>
    </x:row>
    <x:row r="999">
      <x:c r="A999" s="8" t="n">
        <x:f>A998+1</x:f>
        <x:v>996</x:v>
      </x:c>
      <x:c r="B999" s="9" t="n">
        <x:f>A999*v01_SeasonSeconds/60</x:f>
        <x:v>249</x:v>
      </x:c>
      <x:c r="C999" s="9" t="n">
        <x:f>A999/4</x:f>
        <x:v>249</x:v>
      </x:c>
      <x:c r="D999" s="8" t="n">
        <x:f>IF(MOD(A999,4)=0,1,0)</x:f>
        <x:v>1</x:v>
      </x:c>
      <x:c r="E999" s="8" t="n">
        <x:f>IF(AND(F998&lt;=9,AS998&gt;=AR998),1,0)</x:f>
        <x:v>0</x:v>
      </x:c>
      <x:c r="F999" s="8" t="n">
        <x:f>MIN(10,F998+E999)</x:f>
        <x:v>4</x:v>
      </x:c>
      <x:c r="G999" s="8" t="n">
        <x:f>MIN(F999,9)+1</x:f>
        <x:v>5</x:v>
      </x:c>
      <x:c r="H999" s="8" t="n">
        <x:f>IF(F999&lt;=9,1,0)</x:f>
        <x:v>1</x:v>
      </x:c>
      <x:c r="I999" s="9" t="n">
        <x:f>MIN(10,F998+IF(AR998&gt;0,MIN(1,AS998/AR998),1))</x:f>
        <x:v>4.745772776280193</x:v>
      </x:c>
      <x:c r="J999" s="32" t="n">
        <x:f>INDEX(v01_FoodCap,G999)*Arch_FoodCap*EXP(v01_CapsByProject*SUMPRODUCT((Cap_Point&lt;=I999)*(Cap_Kind="Food")*Cap_Ln))</x:f>
        <x:v>250</x:v>
      </x:c>
      <x:c r="K999" s="32" t="n">
        <x:f>J999*MIN(1,v01_LeanBase*EXP(v01_CapsByProject*SUMPRODUCT((Cap_Point&lt;=I999)*(Cap_Kind="Lean")*Cap_Ln)))</x:f>
        <x:v>250</x:v>
      </x:c>
      <x:c r="L999" s="10" t="n">
        <x:f>INDEX(v01_HousingCap,G999)*EXP(v01_CapsByProject*SUMPRODUCT((Cap_Point&lt;=I999)*(Cap_Kind="Housing")*Cap_Ln))</x:f>
        <x:v>400</x:v>
      </x:c>
      <x:c r="M999" s="10" t="n">
        <x:f>INDEX(v01_GroupCap,G999)*v01_CohesionFactor*EXP(v01_CapsByProject*SUMPRODUCT((Cap_Point&lt;=I999)*(Cap_Kind="Group")*Cap_Ln))</x:f>
        <x:v>10000</x:v>
      </x:c>
      <x:c r="N999" s="32" t="n">
        <x:f>MIN(J999,L999,M999)</x:f>
        <x:v>250</x:v>
      </x:c>
      <x:c r="O999" s="10" t="n">
        <x:f>AE998*N999</x:f>
        <x:v>4000</x:v>
      </x:c>
      <x:c r="P999" s="9" t="n">
        <x:f>MIN(1,(AB998/(AE998*IF(v01_GroupInCrowding=1,N999,MIN(J999,L999))))^v01_CrowdingExp)</x:f>
        <x:v>0.08381308572815568</x:v>
      </x:c>
      <x:c r="Q999" s="9" t="n">
        <x:f>IF(D999=1,INDEX(v01_WinterMult,G999),1)</x:f>
        <x:v>1</x:v>
      </x:c>
      <x:c r="R999" s="9" t="n">
        <x:f>H999*Z998*v01_WomenShare*v01_BaseFertility*INDEX(v01_FertMult,G999)*Arch_Fertility*(1-P999)</x:f>
        <x:v>38.18059551890487</x:v>
      </x:c>
      <x:c r="S999" s="9" t="n">
        <x:f>H999*Y998*INDEX(v01_MortChild,G999)/4*Q999</x:f>
        <x:v>7.478251819000129</x:v>
      </x:c>
      <x:c r="T999" s="9" t="n">
        <x:f>H999*Z998*INDEX(v01_MortAdult,G999)*Arch_AdultMort/4*Q999</x:f>
        <x:v>2.8939839710280792</x:v>
      </x:c>
      <x:c r="U999" s="9" t="n">
        <x:f>H999*AA998*INDEX(v01_MortElder,G999)/4*Q999</x:f>
        <x:v>6.303292728349135</x:v>
      </x:c>
      <x:c r="V999" s="9" t="n">
        <x:f>H999*MAX(0,AB998-O999)*v01_OvercapLoss</x:f>
        <x:v>0</x:v>
      </x:c>
      <x:c r="W999" s="9" t="n">
        <x:f>H999*Y998/(v01_ChildYears*4)</x:f>
        <x:v>19.07717300765339</x:v>
      </x:c>
      <x:c r="X999" s="9" t="n">
        <x:f>H999*Z998/(v01_AdultYears*4)</x:f>
        <x:v>9.335432164606706</x:v>
      </x:c>
      <x:c r="Y999" s="32" t="n">
        <x:f>Y998+R999-S999-W999-Y998*V999/AB998</x:f>
        <x:v>1079.9468591208413</x:v>
      </x:c>
      <x:c r="Z999" s="32" t="n">
        <x:f>Z998+W999-X999-T999-Z998*V999/AB998</x:f>
        <x:v>1164.44134528325</x:v>
      </x:c>
      <x:c r="AA999" s="32" t="n">
        <x:f>AA998+X999-U999-AA998*V999/AB998</x:f>
        <x:v>423.2516546595332</x:v>
      </x:c>
      <x:c r="AB999" s="10" t="n">
        <x:f>Y999+Z999+AA999</x:f>
        <x:v>2667.6398590636245</x:v>
      </x:c>
      <x:c r="AC999" s="8" t="n">
        <x:f>IF(AND(v01_WinterTrigger=1,D999=1,AB998/AE998&gt;=K999),1,0)</x:f>
        <x:v>0</x:v>
      </x:c>
      <x:c r="AD999" s="8" t="n">
        <x:f>H999*IF(AND(OR(AB998/AE998&gt;=v01_FissionTrigger*N999,AC999=1),AB998/AE998*v01_DaughterShare&gt;=v01_MinDaughter),MAX(1,ROUND(AE998*v01_FissionRate,0)),0)</x:f>
        <x:v>0</x:v>
      </x:c>
      <x:c r="AE999" s="8" t="n">
        <x:f>IF(H999=1,MAX(1,MIN(INDEX(v01_Smax,G999),AE998+AD999)),AE998)</x:f>
        <x:v>16</x:v>
      </x:c>
      <x:c r="AF999" s="8" t="n">
        <x:f>MAX(0,AE999-AE998)</x:f>
        <x:v>0</x:v>
      </x:c>
      <x:c r="AG999" s="9" t="str">
        <x:f>IF(AF999&gt;0,B999,"")</x:f>
      </x:c>
      <x:c r="AH999" s="9" t="n">
        <x:f>IF(F999&gt;=1,1,(1+v01_LowTiesShare*(AE999-1))/AE999)</x:f>
        <x:v>1</x:v>
      </x:c>
      <x:c r="AI999" s="32" t="n">
        <x:f>(Z999+v01_ElderCommons*INDEX(LM_Elder,G999)*AA999)*AH999</x:f>
        <x:v>2434.19630926185</x:v>
      </x:c>
      <x:c r="AJ999" s="32" t="n">
        <x:f>H999*v01_CommonsCoef*AI999^v01_CommonsExp*INDEX(LM_Commons,G999)</x:f>
        <x:v>548.1378158254539</x:v>
      </x:c>
      <x:c r="AK999" s="32" t="n">
        <x:f>H999*v01_RoleScale*Arch_Roles*(AE999*(INDEX(v01_ElderRolePerSett,G999)*v01_OutElder*INDEX(LM_Elder,G999)+INDEX(v01_ShamanPerSett,G999)*v01_OutShaman)+Z999*(INDEX(v01_PriestShare,G999)*v01_OutPriest+INDEX(v01_ScribeShare,G999)*v01_OutScribe*INDEX(LM_Scribe,G999)+INDEX(v01_ScholarShare,G999)*v01_OutScholar*INDEX(LM_Scholar,G999)+INDEX(v01_ResearcherShare,G999)*v01_OutResearcher*INDEX(LM_Researcher,G999)))</x:f>
        <x:v>80.90350042953631</x:v>
      </x:c>
      <x:c r="AL999" s="32" t="n">
        <x:f>H999*v01_RoleScale*Arch_Roles*AE999*INDEX(v01_MonasteryPerSett,G999)*v01_OutMonastery*INDEX(LM_Monastery,G999)</x:f>
        <x:v>0</x:v>
      </x:c>
      <x:c r="AM999" s="32" t="n">
        <x:f>(AJ999+AK999+AL999)/4*INDEX(LM_All,G999)*INDEX(v01_Boon,G999)*Arch_Insight</x:f>
        <x:v>189.20075363378106</x:v>
      </x:c>
      <x:c r="AN999" s="32" t="n">
        <x:f>H999*(v01_KHPerAdult*Z999+v01_KHOfCommons*AJ999/4*INDEX(LM_All,G999))*v01_KHUsable*Arch_KH</x:f>
        <x:v>40.75544708491375</x:v>
      </x:c>
      <x:c r="AO999" s="32" t="n">
        <x:f>MIN(AP998+AN999,AM999*v01_KHMaxRatio)</x:f>
        <x:v>40.75544708491375</x:v>
      </x:c>
      <x:c r="AP999" s="32" t="n">
        <x:f>AP998+AN999-AO999</x:f>
        <x:v>0</x:v>
      </x:c>
      <x:c r="AQ999" s="32" t="n">
        <x:f>AM999+AO999</x:f>
        <x:v>229.95620071869482</x:v>
      </x:c>
      <x:c r="AR999" s="10" t="n">
        <x:f>IF(H999=1,INDEX(v01_Req,G999),0)</x:f>
        <x:v>24714.473079999996</x:v>
      </x:c>
      <x:c r="AS999" s="32" t="n">
        <x:f>IF(H999=1,IF(E999=1,AS998-AR998,AS998)+AQ999,0)</x:f>
        <x:v>18661.337403892376</x:v>
      </x:c>
      <x:c r="AT999" s="11" t="n">
        <x:f>IF(AR999&gt;0,MIN(1,AS999/AR999),1)</x:f>
        <x:v>0.7550772918963797</x:v>
      </x:c>
      <x:c r="AU999" s="10" t="n">
        <x:f>AB999/INDEX(v01_RepScale,G999)</x:f>
        <x:v>266.76398590636245</x:v>
      </x:c>
      <x:c r="AV999" s="32" t="n">
        <x:f>AM999*60/v01_SeasonSeconds</x:f>
        <x:v>756.8030145351242</x:v>
      </x:c>
    </x:row>
    <x:row r="1000">
      <x:c r="A1000" s="8" t="n">
        <x:f>A999+1</x:f>
        <x:v>997</x:v>
      </x:c>
      <x:c r="B1000" s="9" t="n">
        <x:f>A1000*v01_SeasonSeconds/60</x:f>
        <x:v>249.25</x:v>
      </x:c>
      <x:c r="C1000" s="9" t="n">
        <x:f>A1000/4</x:f>
        <x:v>249.25</x:v>
      </x:c>
      <x:c r="D1000" s="8" t="n">
        <x:f>IF(MOD(A1000,4)=0,1,0)</x:f>
        <x:v>0</x:v>
      </x:c>
      <x:c r="E1000" s="8" t="n">
        <x:f>IF(AND(F999&lt;=9,AS999&gt;=AR999),1,0)</x:f>
        <x:v>0</x:v>
      </x:c>
      <x:c r="F1000" s="8" t="n">
        <x:f>MIN(10,F999+E1000)</x:f>
        <x:v>4</x:v>
      </x:c>
      <x:c r="G1000" s="8" t="n">
        <x:f>MIN(F1000,9)+1</x:f>
        <x:v>5</x:v>
      </x:c>
      <x:c r="H1000" s="8" t="n">
        <x:f>IF(F1000&lt;=9,1,0)</x:f>
        <x:v>1</x:v>
      </x:c>
      <x:c r="I1000" s="9" t="n">
        <x:f>MIN(10,F999+IF(AR999&gt;0,MIN(1,AS999/AR999),1))</x:f>
        <x:v>4.75507729189638</x:v>
      </x:c>
      <x:c r="J1000" s="32" t="n">
        <x:f>INDEX(v01_FoodCap,G1000)*Arch_FoodCap*EXP(v01_CapsByProject*SUMPRODUCT((Cap_Point&lt;=I1000)*(Cap_Kind="Food")*Cap_Ln))</x:f>
        <x:v>250</x:v>
      </x:c>
      <x:c r="K1000" s="32" t="n">
        <x:f>J1000*MIN(1,v01_LeanBase*EXP(v01_CapsByProject*SUMPRODUCT((Cap_Point&lt;=I1000)*(Cap_Kind="Lean")*Cap_Ln)))</x:f>
        <x:v>250</x:v>
      </x:c>
      <x:c r="L1000" s="10" t="n">
        <x:f>INDEX(v01_HousingCap,G1000)*EXP(v01_CapsByProject*SUMPRODUCT((Cap_Point&lt;=I1000)*(Cap_Kind="Housing")*Cap_Ln))</x:f>
        <x:v>400</x:v>
      </x:c>
      <x:c r="M1000" s="10" t="n">
        <x:f>INDEX(v01_GroupCap,G1000)*v01_CohesionFactor*EXP(v01_CapsByProject*SUMPRODUCT((Cap_Point&lt;=I1000)*(Cap_Kind="Group")*Cap_Ln))</x:f>
        <x:v>10000</x:v>
      </x:c>
      <x:c r="N1000" s="32" t="n">
        <x:f>MIN(J1000,L1000,M1000)</x:f>
        <x:v>250</x:v>
      </x:c>
      <x:c r="O1000" s="10" t="n">
        <x:f>AE999*N1000</x:f>
        <x:v>4000</x:v>
      </x:c>
      <x:c r="P1000" s="9" t="n">
        <x:f>MIN(1,(AB999/(AE999*IF(v01_GroupInCrowding=1,N1000,MIN(J1000,L1000))))^v01_CrowdingExp)</x:f>
        <x:v>0.08798390620899761</x:v>
      </x:c>
      <x:c r="Q1000" s="9" t="n">
        <x:f>IF(D1000=1,INDEX(v01_WinterMult,G1000),1)</x:f>
        <x:v>1</x:v>
      </x:c>
      <x:c r="R1000" s="9" t="n">
        <x:f>H1000*Z999*v01_WomenShare*v01_BaseFertility*INDEX(v01_FertMult,G1000)*Arch_Fertility*(1-P1000)</x:f>
        <x:v>38.2316128982629</x:v>
      </x:c>
      <x:c r="S1000" s="9" t="n">
        <x:f>H1000*Y999*INDEX(v01_MortChild,G1000)/4*Q1000</x:f>
        <x:v>7.559628013845889</x:v>
      </x:c>
      <x:c r="T1000" s="9" t="n">
        <x:f>H1000*Z999*INDEX(v01_MortAdult,G1000)*Arch_AdultMort/4*Q1000</x:f>
        <x:v>2.911103363208125</x:v>
      </x:c>
      <x:c r="U1000" s="9" t="n">
        <x:f>H1000*AA999*INDEX(v01_MortElder,G1000)/4*Q1000</x:f>
        <x:v>6.348774819892998</x:v>
      </x:c>
      <x:c r="V1000" s="9" t="n">
        <x:f>H1000*MAX(0,AB999-O1000)*v01_OvercapLoss</x:f>
        <x:v>0</x:v>
      </x:c>
      <x:c r="W1000" s="9" t="n">
        <x:f>H1000*Y999/(v01_ChildYears*4)</x:f>
        <x:v>19.284765341443595</x:v>
      </x:c>
      <x:c r="X1000" s="9" t="n">
        <x:f>H1000*Z999/(v01_AdultYears*4)</x:f>
        <x:v>9.39065601034879</x:v>
      </x:c>
      <x:c r="Y1000" s="32" t="n">
        <x:f>Y999+R1000-S1000-W1000-Y999*V1000/AB999</x:f>
        <x:v>1091.3340786638148</x:v>
      </x:c>
      <x:c r="Z1000" s="32" t="n">
        <x:f>Z999+W1000-X1000-T1000-Z999*V1000/AB999</x:f>
        <x:v>1171.4243512511366</x:v>
      </x:c>
      <x:c r="AA1000" s="32" t="n">
        <x:f>AA999+X1000-U1000-AA999*V1000/AB999</x:f>
        <x:v>426.293535849989</x:v>
      </x:c>
      <x:c r="AB1000" s="10" t="n">
        <x:f>Y1000+Z1000+AA1000</x:f>
        <x:v>2689.05196576494</x:v>
      </x:c>
      <x:c r="AC1000" s="8" t="n">
        <x:f>IF(AND(v01_WinterTrigger=1,D1000=1,AB999/AE999&gt;=K1000),1,0)</x:f>
        <x:v>0</x:v>
      </x:c>
      <x:c r="AD1000" s="8" t="n">
        <x:f>H1000*IF(AND(OR(AB999/AE999&gt;=v01_FissionTrigger*N1000,AC1000=1),AB999/AE999*v01_DaughterShare&gt;=v01_MinDaughter),MAX(1,ROUND(AE999*v01_FissionRate,0)),0)</x:f>
        <x:v>0</x:v>
      </x:c>
      <x:c r="AE1000" s="8" t="n">
        <x:f>IF(H1000=1,MAX(1,MIN(INDEX(v01_Smax,G1000),AE999+AD1000)),AE999)</x:f>
        <x:v>16</x:v>
      </x:c>
      <x:c r="AF1000" s="8" t="n">
        <x:f>MAX(0,AE1000-AE999)</x:f>
        <x:v>0</x:v>
      </x:c>
      <x:c r="AG1000" s="9" t="str">
        <x:f>IF(AF1000&gt;0,B1000,"")</x:f>
      </x:c>
      <x:c r="AH1000" s="9" t="n">
        <x:f>IF(F1000&gt;=1,1,(1+v01_LowTiesShare*(AE1000-1))/AE1000)</x:f>
        <x:v>1</x:v>
      </x:c>
      <x:c r="AI1000" s="32" t="n">
        <x:f>(Z1000+v01_ElderCommons*INDEX(LM_Elder,G1000)*AA1000)*AH1000</x:f>
        <x:v>2450.3049588011036</x:v>
      </x:c>
      <x:c r="AJ1000" s="32" t="n">
        <x:f>H1000*v01_CommonsCoef*AI1000^v01_CommonsExp*INDEX(LM_Commons,G1000)</x:f>
        <x:v>551.2195641262598</x:v>
      </x:c>
      <x:c r="AK1000" s="32" t="n">
        <x:f>H1000*v01_RoleScale*Arch_Roles*(AE1000*(INDEX(v01_ElderRolePerSett,G1000)*v01_OutElder*INDEX(LM_Elder,G1000)+INDEX(v01_ShamanPerSett,G1000)*v01_OutShaman)+Z1000*(INDEX(v01_PriestShare,G1000)*v01_OutPriest+INDEX(v01_ScribeShare,G1000)*v01_OutScribe*INDEX(LM_Scribe,G1000)+INDEX(v01_ScholarShare,G1000)*v01_OutScholar*INDEX(LM_Scholar,G1000)+INDEX(v01_ResearcherShare,G1000)*v01_OutResearcher*INDEX(LM_Researcher,G1000)))</x:f>
        <x:v>81.10081851755724</x:v>
      </x:c>
      <x:c r="AL1000" s="32" t="n">
        <x:f>H1000*v01_RoleScale*Arch_Roles*AE1000*INDEX(v01_MonasteryPerSett,G1000)*v01_OutMonastery*INDEX(LM_Monastery,G1000)</x:f>
        <x:v>0</x:v>
      </x:c>
      <x:c r="AM1000" s="32" t="n">
        <x:f>(AJ1000+AK1000+AL1000)/4*INDEX(LM_All,G1000)*INDEX(v01_Boon,G1000)*Arch_Insight</x:f>
        <x:v>190.18701926681584</x:v>
      </x:c>
      <x:c r="AN1000" s="32" t="n">
        <x:f>H1000*(v01_KHPerAdult*Z1000+v01_KHOfCommons*AJ1000/4*INDEX(LM_All,G1000))*v01_KHUsable*Arch_KH</x:f>
        <x:v>40.99985229378978</x:v>
      </x:c>
      <x:c r="AO1000" s="32" t="n">
        <x:f>MIN(AP999+AN1000,AM1000*v01_KHMaxRatio)</x:f>
        <x:v>40.99985229378978</x:v>
      </x:c>
      <x:c r="AP1000" s="32" t="n">
        <x:f>AP999+AN1000-AO1000</x:f>
        <x:v>0</x:v>
      </x:c>
      <x:c r="AQ1000" s="32" t="n">
        <x:f>AM1000+AO1000</x:f>
        <x:v>231.18687156060562</x:v>
      </x:c>
      <x:c r="AR1000" s="10" t="n">
        <x:f>IF(H1000=1,INDEX(v01_Req,G1000),0)</x:f>
        <x:v>24714.473079999996</x:v>
      </x:c>
      <x:c r="AS1000" s="32" t="n">
        <x:f>IF(H1000=1,IF(E1000=1,AS999-AR999,AS999)+AQ1000,0)</x:f>
        <x:v>18892.524275452983</x:v>
      </x:c>
      <x:c r="AT1000" s="11" t="n">
        <x:f>IF(AR1000&gt;0,MIN(1,AS1000/AR1000),1)</x:f>
        <x:v>0.7644316030650727</x:v>
      </x:c>
      <x:c r="AU1000" s="10" t="n">
        <x:f>AB1000/INDEX(v01_RepScale,G1000)</x:f>
        <x:v>268.905196576494</x:v>
      </x:c>
      <x:c r="AV1000" s="32" t="n">
        <x:f>AM1000*60/v01_SeasonSeconds</x:f>
        <x:v>760.7480770672634</x:v>
      </x:c>
    </x:row>
    <x:row r="1001">
      <x:c r="A1001" s="8" t="n">
        <x:f>A1000+1</x:f>
        <x:v>998</x:v>
      </x:c>
      <x:c r="B1001" s="9" t="n">
        <x:f>A1001*v01_SeasonSeconds/60</x:f>
        <x:v>249.5</x:v>
      </x:c>
      <x:c r="C1001" s="9" t="n">
        <x:f>A1001/4</x:f>
        <x:v>249.5</x:v>
      </x:c>
      <x:c r="D1001" s="8" t="n">
        <x:f>IF(MOD(A1001,4)=0,1,0)</x:f>
        <x:v>0</x:v>
      </x:c>
      <x:c r="E1001" s="8" t="n">
        <x:f>IF(AND(F1000&lt;=9,AS1000&gt;=AR1000),1,0)</x:f>
        <x:v>0</x:v>
      </x:c>
      <x:c r="F1001" s="8" t="n">
        <x:f>MIN(10,F1000+E1001)</x:f>
        <x:v>4</x:v>
      </x:c>
      <x:c r="G1001" s="8" t="n">
        <x:f>MIN(F1001,9)+1</x:f>
        <x:v>5</x:v>
      </x:c>
      <x:c r="H1001" s="8" t="n">
        <x:f>IF(F1001&lt;=9,1,0)</x:f>
        <x:v>1</x:v>
      </x:c>
      <x:c r="I1001" s="9" t="n">
        <x:f>MIN(10,F1000+IF(AR1000&gt;0,MIN(1,AS1000/AR1000),1))</x:f>
        <x:v>4.764431603065073</x:v>
      </x:c>
      <x:c r="J1001" s="32" t="n">
        <x:f>INDEX(v01_FoodCap,G1001)*Arch_FoodCap*EXP(v01_CapsByProject*SUMPRODUCT((Cap_Point&lt;=I1001)*(Cap_Kind="Food")*Cap_Ln))</x:f>
        <x:v>250</x:v>
      </x:c>
      <x:c r="K1001" s="32" t="n">
        <x:f>J1001*MIN(1,v01_LeanBase*EXP(v01_CapsByProject*SUMPRODUCT((Cap_Point&lt;=I1001)*(Cap_Kind="Lean")*Cap_Ln)))</x:f>
        <x:v>250</x:v>
      </x:c>
      <x:c r="L1001" s="10" t="n">
        <x:f>INDEX(v01_HousingCap,G1001)*EXP(v01_CapsByProject*SUMPRODUCT((Cap_Point&lt;=I1001)*(Cap_Kind="Housing")*Cap_Ln))</x:f>
        <x:v>400</x:v>
      </x:c>
      <x:c r="M1001" s="10" t="n">
        <x:f>INDEX(v01_GroupCap,G1001)*v01_CohesionFactor*EXP(v01_CapsByProject*SUMPRODUCT((Cap_Point&lt;=I1001)*(Cap_Kind="Group")*Cap_Ln))</x:f>
        <x:v>10000</x:v>
      </x:c>
      <x:c r="N1001" s="32" t="n">
        <x:f>MIN(J1001,L1001,M1001)</x:f>
        <x:v>250</x:v>
      </x:c>
      <x:c r="O1001" s="10" t="n">
        <x:f>AE1000*N1001</x:f>
        <x:v>4000</x:v>
      </x:c>
      <x:c r="P1001" s="9" t="n">
        <x:f>MIN(1,(AB1000/(AE1000*IF(v01_GroupInCrowding=1,N1001,MIN(J1001,L1001))))^v01_CrowdingExp)</x:f>
        <x:v>0.09230712447150512</x:v>
      </x:c>
      <x:c r="Q1001" s="9" t="n">
        <x:f>IF(D1001=1,INDEX(v01_WinterMult,G1001),1)</x:f>
        <x:v>1</x:v>
      </x:c>
      <x:c r="R1001" s="9" t="n">
        <x:f>H1001*Z1000*v01_WomenShare*v01_BaseFertility*INDEX(v01_FertMult,G1001)*Arch_Fertility*(1-P1001)</x:f>
        <x:v>38.27856736264485</x:v>
      </x:c>
      <x:c r="S1001" s="9" t="n">
        <x:f>H1001*Y1000*INDEX(v01_MortChild,G1001)/4*Q1001</x:f>
        <x:v>7.639338550646704</x:v>
      </x:c>
      <x:c r="T1001" s="9" t="n">
        <x:f>H1001*Z1000*INDEX(v01_MortAdult,G1001)*Arch_AdultMort/4*Q1001</x:f>
        <x:v>2.9285608781278416</x:v>
      </x:c>
      <x:c r="U1001" s="9" t="n">
        <x:f>H1001*AA1000*INDEX(v01_MortElder,G1001)/4*Q1001</x:f>
        <x:v>6.394403037749835</x:v>
      </x:c>
      <x:c r="V1001" s="9" t="n">
        <x:f>H1001*MAX(0,AB1000-O1001)*v01_OvercapLoss</x:f>
        <x:v>0</x:v>
      </x:c>
      <x:c r="W1001" s="9" t="n">
        <x:f>H1001*Y1000/(v01_ChildYears*4)</x:f>
        <x:v>19.48810854756812</x:v>
      </x:c>
      <x:c r="X1001" s="9" t="n">
        <x:f>H1001*Z1000/(v01_AdultYears*4)</x:f>
        <x:v>9.44697057460594</x:v>
      </x:c>
      <x:c r="Y1001" s="32" t="n">
        <x:f>Y1000+R1001-S1001-W1001-Y1000*V1001/AB1000</x:f>
        <x:v>1102.485198928245</x:v>
      </x:c>
      <x:c r="Z1001" s="32" t="n">
        <x:f>Z1000+W1001-X1001-T1001-Z1000*V1001/AB1000</x:f>
        <x:v>1178.5369283459709</x:v>
      </x:c>
      <x:c r="AA1001" s="32" t="n">
        <x:f>AA1000+X1001-U1001-AA1000*V1001/AB1000</x:f>
        <x:v>429.3461033868451</x:v>
      </x:c>
      <x:c r="AB1001" s="10" t="n">
        <x:f>Y1001+Z1001+AA1001</x:f>
        <x:v>2710.368230661061</x:v>
      </x:c>
      <x:c r="AC1001" s="8" t="n">
        <x:f>IF(AND(v01_WinterTrigger=1,D1001=1,AB1000/AE1000&gt;=K1001),1,0)</x:f>
        <x:v>0</x:v>
      </x:c>
      <x:c r="AD1001" s="8" t="n">
        <x:f>H1001*IF(AND(OR(AB1000/AE1000&gt;=v01_FissionTrigger*N1001,AC1001=1),AB1000/AE1000*v01_DaughterShare&gt;=v01_MinDaughter),MAX(1,ROUND(AE1000*v01_FissionRate,0)),0)</x:f>
        <x:v>0</x:v>
      </x:c>
      <x:c r="AE1001" s="8" t="n">
        <x:f>IF(H1001=1,MAX(1,MIN(INDEX(v01_Smax,G1001),AE1000+AD1001)),AE1000)</x:f>
        <x:v>16</x:v>
      </x:c>
      <x:c r="AF1001" s="8" t="n">
        <x:f>MAX(0,AE1001-AE1000)</x:f>
        <x:v>0</x:v>
      </x:c>
      <x:c r="AG1001" s="9" t="str">
        <x:f>IF(AF1001&gt;0,B1001,"")</x:f>
      </x:c>
      <x:c r="AH1001" s="9" t="n">
        <x:f>IF(F1001&gt;=1,1,(1+v01_LowTiesShare*(AE1001-1))/AE1001)</x:f>
        <x:v>1</x:v>
      </x:c>
      <x:c r="AI1001" s="32" t="n">
        <x:f>(Z1001+v01_ElderCommons*INDEX(LM_Elder,G1001)*AA1001)*AH1001</x:f>
        <x:v>2466.575238506506</x:v>
      </x:c>
      <x:c r="AJ1001" s="32" t="n">
        <x:f>H1001*v01_CommonsCoef*AI1001^v01_CommonsExp*INDEX(LM_Commons,G1001)</x:f>
        <x:v>554.329150625647</x:v>
      </x:c>
      <x:c r="AK1001" s="32" t="n">
        <x:f>H1001*v01_RoleScale*Arch_Roles*(AE1001*(INDEX(v01_ElderRolePerSett,G1001)*v01_OutElder*INDEX(LM_Elder,G1001)+INDEX(v01_ShamanPerSett,G1001)*v01_OutShaman)+Z1001*(INDEX(v01_PriestShare,G1001)*v01_OutPriest+INDEX(v01_ScribeShare,G1001)*v01_OutScribe*INDEX(LM_Scribe,G1001)+INDEX(v01_ScholarShare,G1001)*v01_OutScholar*INDEX(LM_Scholar,G1001)+INDEX(v01_ResearcherShare,G1001)*v01_OutResearcher*INDEX(LM_Researcher,G1001)))</x:f>
        <x:v>81.30179788370819</x:v>
      </x:c>
      <x:c r="AL1001" s="32" t="n">
        <x:f>H1001*v01_RoleScale*Arch_Roles*AE1001*INDEX(v01_MonasteryPerSett,G1001)*v01_OutMonastery*INDEX(LM_Monastery,G1001)</x:f>
        <x:v>0</x:v>
      </x:c>
      <x:c r="AM1001" s="32" t="n">
        <x:f>(AJ1001+AK1001+AL1001)/4*INDEX(LM_All,G1001)*INDEX(v01_Boon,G1001)*Arch_Insight</x:f>
        <x:v>191.1827591976095</x:v>
      </x:c>
      <x:c r="AN1001" s="32" t="n">
        <x:f>H1001*(v01_KHPerAdult*Z1001+v01_KHOfCommons*AJ1001/4*INDEX(LM_All,G1001))*v01_KHUsable*Arch_KH</x:f>
        <x:v>41.24879249210898</x:v>
      </x:c>
      <x:c r="AO1001" s="32" t="n">
        <x:f>MIN(AP1000+AN1001,AM1001*v01_KHMaxRatio)</x:f>
        <x:v>41.24879249210898</x:v>
      </x:c>
      <x:c r="AP1001" s="32" t="n">
        <x:f>AP1000+AN1001-AO1001</x:f>
        <x:v>0</x:v>
      </x:c>
      <x:c r="AQ1001" s="32" t="n">
        <x:f>AM1001+AO1001</x:f>
        <x:v>232.43155168971848</x:v>
      </x:c>
      <x:c r="AR1001" s="10" t="n">
        <x:f>IF(H1001=1,INDEX(v01_Req,G1001),0)</x:f>
        <x:v>24714.473079999996</x:v>
      </x:c>
      <x:c r="AS1001" s="32" t="n">
        <x:f>IF(H1001=1,IF(E1001=1,AS1000-AR1000,AS1000)+AQ1001,0)</x:f>
        <x:v>19124.9558271427</x:v>
      </x:c>
      <x:c r="AT1001" s="11" t="n">
        <x:f>IF(AR1001&gt;0,MIN(1,AS1001/AR1001),1)</x:f>
        <x:v>0.7738362766317454</x:v>
      </x:c>
      <x:c r="AU1001" s="10" t="n">
        <x:f>AB1001/INDEX(v01_RepScale,G1001)</x:f>
        <x:v>271.0368230661061</x:v>
      </x:c>
      <x:c r="AV1001" s="32" t="n">
        <x:f>AM1001*60/v01_SeasonSeconds</x:f>
        <x:v>764.731036790438</x:v>
      </x:c>
    </x:row>
    <x:row r="1002">
      <x:c r="A1002" s="8" t="n">
        <x:f>A1001+1</x:f>
        <x:v>999</x:v>
      </x:c>
      <x:c r="B1002" s="9" t="n">
        <x:f>A1002*v01_SeasonSeconds/60</x:f>
        <x:v>249.75</x:v>
      </x:c>
      <x:c r="C1002" s="9" t="n">
        <x:f>A1002/4</x:f>
        <x:v>249.75</x:v>
      </x:c>
      <x:c r="D1002" s="8" t="n">
        <x:f>IF(MOD(A1002,4)=0,1,0)</x:f>
        <x:v>0</x:v>
      </x:c>
      <x:c r="E1002" s="8" t="n">
        <x:f>IF(AND(F1001&lt;=9,AS1001&gt;=AR1001),1,0)</x:f>
        <x:v>0</x:v>
      </x:c>
      <x:c r="F1002" s="8" t="n">
        <x:f>MIN(10,F1001+E1002)</x:f>
        <x:v>4</x:v>
      </x:c>
      <x:c r="G1002" s="8" t="n">
        <x:f>MIN(F1002,9)+1</x:f>
        <x:v>5</x:v>
      </x:c>
      <x:c r="H1002" s="8" t="n">
        <x:f>IF(F1002&lt;=9,1,0)</x:f>
        <x:v>1</x:v>
      </x:c>
      <x:c r="I1002" s="9" t="n">
        <x:f>MIN(10,F1001+IF(AR1001&gt;0,MIN(1,AS1001/AR1001),1))</x:f>
        <x:v>4.773836276631745</x:v>
      </x:c>
      <x:c r="J1002" s="32" t="n">
        <x:f>INDEX(v01_FoodCap,G1002)*Arch_FoodCap*EXP(v01_CapsByProject*SUMPRODUCT((Cap_Point&lt;=I1002)*(Cap_Kind="Food")*Cap_Ln))</x:f>
        <x:v>250</x:v>
      </x:c>
      <x:c r="K1002" s="32" t="n">
        <x:f>J1002*MIN(1,v01_LeanBase*EXP(v01_CapsByProject*SUMPRODUCT((Cap_Point&lt;=I1002)*(Cap_Kind="Lean")*Cap_Ln)))</x:f>
        <x:v>250</x:v>
      </x:c>
      <x:c r="L1002" s="10" t="n">
        <x:f>INDEX(v01_HousingCap,G1002)*EXP(v01_CapsByProject*SUMPRODUCT((Cap_Point&lt;=I1002)*(Cap_Kind="Housing")*Cap_Ln))</x:f>
        <x:v>400</x:v>
      </x:c>
      <x:c r="M1002" s="10" t="n">
        <x:f>INDEX(v01_GroupCap,G1002)*v01_CohesionFactor*EXP(v01_CapsByProject*SUMPRODUCT((Cap_Point&lt;=I1002)*(Cap_Kind="Group")*Cap_Ln))</x:f>
        <x:v>10000</x:v>
      </x:c>
      <x:c r="N1002" s="32" t="n">
        <x:f>MIN(J1002,L1002,M1002)</x:f>
        <x:v>250</x:v>
      </x:c>
      <x:c r="O1002" s="10" t="n">
        <x:f>AE1001*N1002</x:f>
        <x:v>4000</x:v>
      </x:c>
      <x:c r="P1002" s="9" t="n">
        <x:f>MIN(1,(AB1001/(AE1001*IF(v01_GroupInCrowding=1,N1002,MIN(J1002,L1002))))^v01_CrowdingExp)</x:f>
        <x:v>0.09678539812275895</x:v>
      </x:c>
      <x:c r="Q1002" s="9" t="n">
        <x:f>IF(D1002=1,INDEX(v01_WinterMult,G1002),1)</x:f>
        <x:v>1</x:v>
      </x:c>
      <x:c r="R1002" s="9" t="n">
        <x:f>H1002*Z1001*v01_WomenShare*v01_BaseFertility*INDEX(v01_FertMult,G1002)*Arch_Fertility*(1-P1002)</x:f>
        <x:v>38.32098345121077</x:v>
      </x:c>
      <x:c r="S1002" s="9" t="n">
        <x:f>H1002*Y1001*INDEX(v01_MortChild,G1002)/4*Q1002</x:f>
        <x:v>7.717396392497714</x:v>
      </x:c>
      <x:c r="T1002" s="9" t="n">
        <x:f>H1002*Z1001*INDEX(v01_MortAdult,G1002)*Arch_AdultMort/4*Q1002</x:f>
        <x:v>2.946342320864927</x:v>
      </x:c>
      <x:c r="U1002" s="9" t="n">
        <x:f>H1002*AA1001*INDEX(v01_MortElder,G1002)/4*Q1002</x:f>
        <x:v>6.440191550802676</x:v>
      </x:c>
      <x:c r="V1002" s="9" t="n">
        <x:f>H1002*MAX(0,AB1001-O1002)*v01_OvercapLoss</x:f>
        <x:v>0</x:v>
      </x:c>
      <x:c r="W1002" s="9" t="n">
        <x:f>H1002*Y1001/(v01_ChildYears*4)</x:f>
        <x:v>19.68723569514723</x:v>
      </x:c>
      <x:c r="X1002" s="9" t="n">
        <x:f>H1002*Z1001/(v01_AdultYears*4)</x:f>
        <x:v>9.504330067306217</x:v>
      </x:c>
      <x:c r="Y1002" s="32" t="n">
        <x:f>Y1001+R1002-S1002-W1002-Y1001*V1002/AB1001</x:f>
        <x:v>1113.401550291811</x:v>
      </x:c>
      <x:c r="Z1002" s="32" t="n">
        <x:f>Z1001+W1002-X1002-T1002-Z1001*V1002/AB1001</x:f>
        <x:v>1185.7734916529469</x:v>
      </x:c>
      <x:c r="AA1002" s="32" t="n">
        <x:f>AA1001+X1002-U1002-AA1001*V1002/AB1001</x:f>
        <x:v>432.4102419033486</x:v>
      </x:c>
      <x:c r="AB1002" s="10" t="n">
        <x:f>Y1002+Z1002+AA1002</x:f>
        <x:v>2731.585283848107</x:v>
      </x:c>
      <x:c r="AC1002" s="8" t="n">
        <x:f>IF(AND(v01_WinterTrigger=1,D1002=1,AB1001/AE1001&gt;=K1002),1,0)</x:f>
        <x:v>0</x:v>
      </x:c>
      <x:c r="AD1002" s="8" t="n">
        <x:f>H1002*IF(AND(OR(AB1001/AE1001&gt;=v01_FissionTrigger*N1002,AC1002=1),AB1001/AE1001*v01_DaughterShare&gt;=v01_MinDaughter),MAX(1,ROUND(AE1001*v01_FissionRate,0)),0)</x:f>
        <x:v>0</x:v>
      </x:c>
      <x:c r="AE1002" s="8" t="n">
        <x:f>IF(H1002=1,MAX(1,MIN(INDEX(v01_Smax,G1002),AE1001+AD1002)),AE1001)</x:f>
        <x:v>16</x:v>
      </x:c>
      <x:c r="AF1002" s="8" t="n">
        <x:f>MAX(0,AE1002-AE1001)</x:f>
        <x:v>0</x:v>
      </x:c>
      <x:c r="AG1002" s="9" t="str">
        <x:f>IF(AF1002&gt;0,B1002,"")</x:f>
      </x:c>
      <x:c r="AH1002" s="9" t="n">
        <x:f>IF(F1002&gt;=1,1,(1+v01_LowTiesShare*(AE1002-1))/AE1002)</x:f>
        <x:v>1</x:v>
      </x:c>
      <x:c r="AI1002" s="32" t="n">
        <x:f>(Z1002+v01_ElderCommons*INDEX(LM_Elder,G1002)*AA1002)*AH1002</x:f>
        <x:v>2483.0042173629927</x:v>
      </x:c>
      <x:c r="AJ1002" s="32" t="n">
        <x:f>H1002*v01_CommonsCoef*AI1002^v01_CommonsExp*INDEX(LM_Commons,G1002)</x:f>
        <x:v>557.465947478137</x:v>
      </x:c>
      <x:c r="AK1002" s="32" t="n">
        <x:f>H1002*v01_RoleScale*Arch_Roles*(AE1002*(INDEX(v01_ElderRolePerSett,G1002)*v01_OutElder*INDEX(LM_Elder,G1002)+INDEX(v01_ShamanPerSett,G1002)*v01_OutShaman)+Z1002*(INDEX(v01_PriestShare,G1002)*v01_OutPriest+INDEX(v01_ScribeShare,G1002)*v01_OutScribe*INDEX(LM_Scribe,G1002)+INDEX(v01_ScholarShare,G1002)*v01_OutScholar*INDEX(LM_Scholar,G1002)+INDEX(v01_ResearcherShare,G1002)*v01_OutResearcher*INDEX(LM_Researcher,G1002)))</x:f>
        <x:v>81.50628071562065</x:v>
      </x:c>
      <x:c r="AL1002" s="32" t="n">
        <x:f>H1002*v01_RoleScale*Arch_Roles*AE1002*INDEX(v01_MonasteryPerSett,G1002)*v01_OutMonastery*INDEX(LM_Monastery,G1002)</x:f>
        <x:v>0</x:v>
      </x:c>
      <x:c r="AM1002" s="32" t="n">
        <x:f>(AJ1002+AK1002+AL1002)/4*INDEX(LM_All,G1002)*INDEX(v01_Boon,G1002)*Arch_Insight</x:f>
        <x:v>192.18773711885927</x:v>
      </x:c>
      <x:c r="AN1002" s="32" t="n">
        <x:f>H1002*(v01_KHPerAdult*Z1002+v01_KHOfCommons*AJ1002/4*INDEX(LM_All,G1002))*v01_KHUsable*Arch_KH</x:f>
        <x:v>41.50207220785314</x:v>
      </x:c>
      <x:c r="AO1002" s="32" t="n">
        <x:f>MIN(AP1001+AN1002,AM1002*v01_KHMaxRatio)</x:f>
        <x:v>41.50207220785314</x:v>
      </x:c>
      <x:c r="AP1002" s="32" t="n">
        <x:f>AP1001+AN1002-AO1002</x:f>
        <x:v>0</x:v>
      </x:c>
      <x:c r="AQ1002" s="32" t="n">
        <x:f>AM1002+AO1002</x:f>
        <x:v>233.6898093267124</x:v>
      </x:c>
      <x:c r="AR1002" s="10" t="n">
        <x:f>IF(H1002=1,INDEX(v01_Req,G1002),0)</x:f>
        <x:v>24714.473079999996</x:v>
      </x:c>
      <x:c r="AS1002" s="32" t="n">
        <x:f>IF(H1002=1,IF(E1002=1,AS1001-AR1001,AS1001)+AQ1002,0)</x:f>
        <x:v>19358.645636469413</x:v>
      </x:c>
      <x:c r="AT1002" s="11" t="n">
        <x:f>IF(AR1002&gt;0,MIN(1,AS1002/AR1002),1)</x:f>
        <x:v>0.7832918619711643</x:v>
      </x:c>
      <x:c r="AU1002" s="10" t="n">
        <x:f>AB1002/INDEX(v01_RepScale,G1002)</x:f>
        <x:v>273.15852838481067</x:v>
      </x:c>
      <x:c r="AV1002" s="32" t="n">
        <x:f>AM1002*60/v01_SeasonSeconds</x:f>
        <x:v>768.7509484754371</x:v>
      </x:c>
    </x:row>
    <x:row r="1003">
      <x:c r="A1003" s="8" t="n">
        <x:f>A1002+1</x:f>
        <x:v>1000</x:v>
      </x:c>
      <x:c r="B1003" s="9" t="n">
        <x:f>A1003*v01_SeasonSeconds/60</x:f>
        <x:v>250</x:v>
      </x:c>
      <x:c r="C1003" s="9" t="n">
        <x:f>A1003/4</x:f>
        <x:v>250</x:v>
      </x:c>
      <x:c r="D1003" s="8" t="n">
        <x:f>IF(MOD(A1003,4)=0,1,0)</x:f>
        <x:v>1</x:v>
      </x:c>
      <x:c r="E1003" s="8" t="n">
        <x:f>IF(AND(F1002&lt;=9,AS1002&gt;=AR1002),1,0)</x:f>
        <x:v>0</x:v>
      </x:c>
      <x:c r="F1003" s="8" t="n">
        <x:f>MIN(10,F1002+E1003)</x:f>
        <x:v>4</x:v>
      </x:c>
      <x:c r="G1003" s="8" t="n">
        <x:f>MIN(F1003,9)+1</x:f>
        <x:v>5</x:v>
      </x:c>
      <x:c r="H1003" s="8" t="n">
        <x:f>IF(F1003&lt;=9,1,0)</x:f>
        <x:v>1</x:v>
      </x:c>
      <x:c r="I1003" s="9" t="n">
        <x:f>MIN(10,F1002+IF(AR1002&gt;0,MIN(1,AS1002/AR1002),1))</x:f>
        <x:v>4.783291861971164</x:v>
      </x:c>
      <x:c r="J1003" s="32" t="n">
        <x:f>INDEX(v01_FoodCap,G1003)*Arch_FoodCap*EXP(v01_CapsByProject*SUMPRODUCT((Cap_Point&lt;=I1003)*(Cap_Kind="Food")*Cap_Ln))</x:f>
        <x:v>250</x:v>
      </x:c>
      <x:c r="K1003" s="32" t="n">
        <x:f>J1003*MIN(1,v01_LeanBase*EXP(v01_CapsByProject*SUMPRODUCT((Cap_Point&lt;=I1003)*(Cap_Kind="Lean")*Cap_Ln)))</x:f>
        <x:v>250</x:v>
      </x:c>
      <x:c r="L1003" s="10" t="n">
        <x:f>INDEX(v01_HousingCap,G1003)*EXP(v01_CapsByProject*SUMPRODUCT((Cap_Point&lt;=I1003)*(Cap_Kind="Housing")*Cap_Ln))</x:f>
        <x:v>400</x:v>
      </x:c>
      <x:c r="M1003" s="10" t="n">
        <x:f>INDEX(v01_GroupCap,G1003)*v01_CohesionFactor*EXP(v01_CapsByProject*SUMPRODUCT((Cap_Point&lt;=I1003)*(Cap_Kind="Group")*Cap_Ln))</x:f>
        <x:v>10000</x:v>
      </x:c>
      <x:c r="N1003" s="32" t="n">
        <x:f>MIN(J1003,L1003,M1003)</x:f>
        <x:v>250</x:v>
      </x:c>
      <x:c r="O1003" s="10" t="n">
        <x:f>AE1002*N1003</x:f>
        <x:v>4000</x:v>
      </x:c>
      <x:c r="P1003" s="9" t="n">
        <x:f>MIN(1,(AB1002/(AE1002*IF(v01_GroupInCrowding=1,N1003,MIN(J1003,L1003))))^v01_CrowdingExp)</x:f>
        <x:v>0.10142117507832597</x:v>
      </x:c>
      <x:c r="Q1003" s="9" t="n">
        <x:f>IF(D1003=1,INDEX(v01_WinterMult,G1003),1)</x:f>
        <x:v>1</x:v>
      </x:c>
      <x:c r="R1003" s="9" t="n">
        <x:f>H1003*Z1002*v01_WomenShare*v01_BaseFertility*INDEX(v01_FertMult,G1003)*Arch_Fertility*(1-P1003)</x:f>
        <x:v>38.358394227099915</x:v>
      </x:c>
      <x:c r="S1003" s="9" t="n">
        <x:f>H1003*Y1002*INDEX(v01_MortChild,G1003)/4*Q1003</x:f>
        <x:v>7.793810852042677</x:v>
      </x:c>
      <x:c r="T1003" s="9" t="n">
        <x:f>H1003*Z1002*INDEX(v01_MortAdult,G1003)*Arch_AdultMort/4*Q1003</x:f>
        <x:v>2.964433729132367</x:v>
      </x:c>
      <x:c r="U1003" s="9" t="n">
        <x:f>H1003*AA1002*INDEX(v01_MortElder,G1003)/4*Q1003</x:f>
        <x:v>6.486153628550229</x:v>
      </x:c>
      <x:c r="V1003" s="9" t="n">
        <x:f>H1003*MAX(0,AB1002-O1003)*v01_OvercapLoss</x:f>
        <x:v>0</x:v>
      </x:c>
      <x:c r="W1003" s="9" t="n">
        <x:f>H1003*Y1002/(v01_ChildYears*4)</x:f>
        <x:v>19.882170540925195</x:v>
      </x:c>
      <x:c r="X1003" s="9" t="n">
        <x:f>H1003*Z1002/(v01_AdultYears*4)</x:f>
        <x:v>9.562689448814087</x:v>
      </x:c>
      <x:c r="Y1003" s="32" t="n">
        <x:f>Y1002+R1003-S1003-W1003-Y1002*V1003/AB1002</x:f>
        <x:v>1124.083963125943</x:v>
      </x:c>
      <x:c r="Z1003" s="32" t="n">
        <x:f>Z1002+W1003-X1003-T1003-Z1002*V1003/AB1002</x:f>
        <x:v>1193.1285390159255</x:v>
      </x:c>
      <x:c r="AA1003" s="32" t="n">
        <x:f>AA1002+X1003-U1003-AA1002*V1003/AB1002</x:f>
        <x:v>435.4867777236124</x:v>
      </x:c>
      <x:c r="AB1003" s="10" t="n">
        <x:f>Y1003+Z1003+AA1003</x:f>
        <x:v>2752.699279865481</x:v>
      </x:c>
      <x:c r="AC1003" s="8" t="n">
        <x:f>IF(AND(v01_WinterTrigger=1,D1003=1,AB1002/AE1002&gt;=K1003),1,0)</x:f>
        <x:v>0</x:v>
      </x:c>
      <x:c r="AD1003" s="8" t="n">
        <x:f>H1003*IF(AND(OR(AB1002/AE1002&gt;=v01_FissionTrigger*N1003,AC1003=1),AB1002/AE1002*v01_DaughterShare&gt;=v01_MinDaughter),MAX(1,ROUND(AE1002*v01_FissionRate,0)),0)</x:f>
        <x:v>0</x:v>
      </x:c>
      <x:c r="AE1003" s="8" t="n">
        <x:f>IF(H1003=1,MAX(1,MIN(INDEX(v01_Smax,G1003),AE1002+AD1003)),AE1002)</x:f>
        <x:v>16</x:v>
      </x:c>
      <x:c r="AF1003" s="8" t="n">
        <x:f>MAX(0,AE1003-AE1002)</x:f>
        <x:v>0</x:v>
      </x:c>
      <x:c r="AG1003" s="9" t="str">
        <x:f>IF(AF1003&gt;0,B1003,"")</x:f>
      </x:c>
      <x:c r="AH1003" s="9" t="n">
        <x:f>IF(F1003&gt;=1,1,(1+v01_LowTiesShare*(AE1003-1))/AE1003)</x:f>
        <x:v>1</x:v>
      </x:c>
      <x:c r="AI1003" s="32" t="n">
        <x:f>(Z1003+v01_ElderCommons*INDEX(LM_Elder,G1003)*AA1003)*AH1003</x:f>
        <x:v>2499.5888721867627</x:v>
      </x:c>
      <x:c r="AJ1003" s="32" t="n">
        <x:f>H1003*v01_CommonsCoef*AI1003^v01_CommonsExp*INDEX(LM_Commons,G1003)</x:f>
        <x:v>560.6293116566881</x:v>
      </x:c>
      <x:c r="AK1003" s="32" t="n">
        <x:f>H1003*v01_RoleScale*Arch_Roles*(AE1003*(INDEX(v01_ElderRolePerSett,G1003)*v01_OutElder*INDEX(LM_Elder,G1003)+INDEX(v01_ShamanPerSett,G1003)*v01_OutShaman)+Z1003*(INDEX(v01_PriestShare,G1003)*v01_OutPriest+INDEX(v01_ScribeShare,G1003)*v01_OutScribe*INDEX(LM_Scribe,G1003)+INDEX(v01_ScholarShare,G1003)*v01_OutScholar*INDEX(LM_Scholar,G1003)+INDEX(v01_ResearcherShare,G1003)*v01_OutResearcher*INDEX(LM_Researcher,G1003)))</x:f>
        <x:v>81.71411153942925</x:v>
      </x:c>
      <x:c r="AL1003" s="32" t="n">
        <x:f>H1003*v01_RoleScale*Arch_Roles*AE1003*INDEX(v01_MonasteryPerSett,G1003)*v01_OutMonastery*INDEX(LM_Monastery,G1003)</x:f>
        <x:v>0</x:v>
      </x:c>
      <x:c r="AM1003" s="32" t="n">
        <x:f>(AJ1003+AK1003+AL1003)/4*INDEX(LM_All,G1003)*INDEX(v01_Boon,G1003)*Arch_Insight</x:f>
        <x:v>193.20171286037376</x:v>
      </x:c>
      <x:c r="AN1003" s="32" t="n">
        <x:f>H1003*(v01_KHPerAdult*Z1003+v01_KHOfCommons*AJ1003/4*INDEX(LM_All,G1003))*v01_KHUsable*Arch_KH</x:f>
        <x:v>41.7594988655574</x:v>
      </x:c>
      <x:c r="AO1003" s="32" t="n">
        <x:f>MIN(AP1002+AN1003,AM1003*v01_KHMaxRatio)</x:f>
        <x:v>41.7594988655574</x:v>
      </x:c>
      <x:c r="AP1003" s="32" t="n">
        <x:f>AP1002+AN1003-AO1003</x:f>
        <x:v>0</x:v>
      </x:c>
      <x:c r="AQ1003" s="32" t="n">
        <x:f>AM1003+AO1003</x:f>
        <x:v>234.96121172593115</x:v>
      </x:c>
      <x:c r="AR1003" s="10" t="n">
        <x:f>IF(H1003=1,INDEX(v01_Req,G1003),0)</x:f>
        <x:v>24714.473079999996</x:v>
      </x:c>
      <x:c r="AS1003" s="32" t="n">
        <x:f>IF(H1003=1,IF(E1003=1,AS1002-AR1002,AS1002)+AQ1003,0)</x:f>
        <x:v>19593.606848195344</x:v>
      </x:c>
      <x:c r="AT1003" s="11" t="n">
        <x:f>IF(AR1003&gt;0,MIN(1,AS1003/AR1003),1)</x:f>
        <x:v>0.7927988909482891</x:v>
      </x:c>
      <x:c r="AU1003" s="10" t="n">
        <x:f>AB1003/INDEX(v01_RepScale,G1003)</x:f>
        <x:v>275.2699279865481</x:v>
      </x:c>
      <x:c r="AV1003" s="32" t="n">
        <x:f>AM1003*60/v01_SeasonSeconds</x:f>
        <x:v>772.806851441495</x:v>
      </x:c>
    </x:row>
    <x:row r="1004">
      <x:c r="A1004" s="8" t="n">
        <x:f>A1003+1</x:f>
        <x:v>1001</x:v>
      </x:c>
      <x:c r="B1004" s="9" t="n">
        <x:f>A1004*v01_SeasonSeconds/60</x:f>
        <x:v>250.25</x:v>
      </x:c>
      <x:c r="C1004" s="9" t="n">
        <x:f>A1004/4</x:f>
        <x:v>250.25</x:v>
      </x:c>
      <x:c r="D1004" s="8" t="n">
        <x:f>IF(MOD(A1004,4)=0,1,0)</x:f>
        <x:v>0</x:v>
      </x:c>
      <x:c r="E1004" s="8" t="n">
        <x:f>IF(AND(F1003&lt;=9,AS1003&gt;=AR1003),1,0)</x:f>
        <x:v>0</x:v>
      </x:c>
      <x:c r="F1004" s="8" t="n">
        <x:f>MIN(10,F1003+E1004)</x:f>
        <x:v>4</x:v>
      </x:c>
      <x:c r="G1004" s="8" t="n">
        <x:f>MIN(F1004,9)+1</x:f>
        <x:v>5</x:v>
      </x:c>
      <x:c r="H1004" s="8" t="n">
        <x:f>IF(F1004&lt;=9,1,0)</x:f>
        <x:v>1</x:v>
      </x:c>
      <x:c r="I1004" s="9" t="n">
        <x:f>MIN(10,F1003+IF(AR1003&gt;0,MIN(1,AS1003/AR1003),1))</x:f>
        <x:v>4.792798890948289</x:v>
      </x:c>
      <x:c r="J1004" s="32" t="n">
        <x:f>INDEX(v01_FoodCap,G1004)*Arch_FoodCap*EXP(v01_CapsByProject*SUMPRODUCT((Cap_Point&lt;=I1004)*(Cap_Kind="Food")*Cap_Ln))</x:f>
        <x:v>250</x:v>
      </x:c>
      <x:c r="K1004" s="32" t="n">
        <x:f>J1004*MIN(1,v01_LeanBase*EXP(v01_CapsByProject*SUMPRODUCT((Cap_Point&lt;=I1004)*(Cap_Kind="Lean")*Cap_Ln)))</x:f>
        <x:v>250</x:v>
      </x:c>
      <x:c r="L1004" s="10" t="n">
        <x:f>INDEX(v01_HousingCap,G1004)*EXP(v01_CapsByProject*SUMPRODUCT((Cap_Point&lt;=I1004)*(Cap_Kind="Housing")*Cap_Ln))</x:f>
        <x:v>400</x:v>
      </x:c>
      <x:c r="M1004" s="10" t="n">
        <x:f>INDEX(v01_GroupCap,G1004)*v01_CohesionFactor*EXP(v01_CapsByProject*SUMPRODUCT((Cap_Point&lt;=I1004)*(Cap_Kind="Group")*Cap_Ln))</x:f>
        <x:v>10000</x:v>
      </x:c>
      <x:c r="N1004" s="32" t="n">
        <x:f>MIN(J1004,L1004,M1004)</x:f>
        <x:v>250</x:v>
      </x:c>
      <x:c r="O1004" s="10" t="n">
        <x:f>AE1003*N1004</x:f>
        <x:v>4000</x:v>
      </x:c>
      <x:c r="P1004" s="9" t="n">
        <x:f>MIN(1,(AB1003/(AE1003*IF(v01_GroupInCrowding=1,N1004,MIN(J1004,L1004))))^v01_CrowdingExp)</x:f>
        <x:v>0.10621666652448285</x:v>
      </x:c>
      <x:c r="Q1004" s="9" t="n">
        <x:f>IF(D1004=1,INDEX(v01_WinterMult,G1004),1)</x:f>
        <x:v>1</x:v>
      </x:c>
      <x:c r="R1004" s="9" t="n">
        <x:f>H1004*Z1003*v01_WomenShare*v01_BaseFertility*INDEX(v01_FertMult,G1004)*Arch_Fertility*(1-P1004)</x:f>
        <x:v>38.39034250319139</x:v>
      </x:c>
      <x:c r="S1004" s="9" t="n">
        <x:f>H1004*Y1003*INDEX(v01_MortChild,G1004)/4*Q1004</x:f>
        <x:v>7.868587741881601</x:v>
      </x:c>
      <x:c r="T1004" s="9" t="n">
        <x:f>H1004*Z1003*INDEX(v01_MortAdult,G1004)*Arch_AdultMort/4*Q1004</x:f>
        <x:v>2.9828213475398138</x:v>
      </x:c>
      <x:c r="U1004" s="9" t="n">
        <x:f>H1004*AA1003*INDEX(v01_MortElder,G1004)/4*Q1004</x:f>
        <x:v>6.532301665854186</x:v>
      </x:c>
      <x:c r="V1004" s="9" t="n">
        <x:f>H1004*MAX(0,AB1003-O1004)*v01_OvercapLoss</x:f>
        <x:v>0</x:v>
      </x:c>
      <x:c r="W1004" s="9" t="n">
        <x:f>H1004*Y1003/(v01_ChildYears*4)</x:f>
        <x:v>20.07292791296327</x:v>
      </x:c>
      <x:c r="X1004" s="9" t="n">
        <x:f>H1004*Z1003/(v01_AdultYears*4)</x:f>
        <x:v>9.622004346902624</x:v>
      </x:c>
      <x:c r="Y1004" s="32" t="n">
        <x:f>Y1003+R1004-S1004-W1004-Y1003*V1004/AB1003</x:f>
        <x:v>1134.5327899742897</x:v>
      </x:c>
      <x:c r="Z1004" s="32" t="n">
        <x:f>Z1003+W1004-X1004-T1004-Z1003*V1004/AB1003</x:f>
        <x:v>1200.5966412344462</x:v>
      </x:c>
      <x:c r="AA1004" s="32" t="n">
        <x:f>AA1003+X1004-U1004-AA1003*V1004/AB1003</x:f>
        <x:v>438.57648040466086</x:v>
      </x:c>
      <x:c r="AB1004" s="10" t="n">
        <x:f>Y1004+Z1004+AA1004</x:f>
        <x:v>2773.7059116133964</x:v>
      </x:c>
      <x:c r="AC1004" s="8" t="n">
        <x:f>IF(AND(v01_WinterTrigger=1,D1004=1,AB1003/AE1003&gt;=K1004),1,0)</x:f>
        <x:v>0</x:v>
      </x:c>
      <x:c r="AD1004" s="8" t="n">
        <x:f>H1004*IF(AND(OR(AB1003/AE1003&gt;=v01_FissionTrigger*N1004,AC1004=1),AB1003/AE1003*v01_DaughterShare&gt;=v01_MinDaughter),MAX(1,ROUND(AE1003*v01_FissionRate,0)),0)</x:f>
        <x:v>0</x:v>
      </x:c>
      <x:c r="AE1004" s="8" t="n">
        <x:f>IF(H1004=1,MAX(1,MIN(INDEX(v01_Smax,G1004),AE1003+AD1004)),AE1003)</x:f>
        <x:v>16</x:v>
      </x:c>
      <x:c r="AF1004" s="8" t="n">
        <x:f>MAX(0,AE1004-AE1003)</x:f>
        <x:v>0</x:v>
      </x:c>
      <x:c r="AG1004" s="9" t="str">
        <x:f>IF(AF1004&gt;0,B1004,"")</x:f>
      </x:c>
      <x:c r="AH1004" s="9" t="n">
        <x:f>IF(F1004&gt;=1,1,(1+v01_LowTiesShare*(AE1004-1))/AE1004)</x:f>
        <x:v>1</x:v>
      </x:c>
      <x:c r="AI1004" s="32" t="n">
        <x:f>(Z1004+v01_ElderCommons*INDEX(LM_Elder,G1004)*AA1004)*AH1004</x:f>
        <x:v>2516.3260824484287</x:v>
      </x:c>
      <x:c r="AJ1004" s="32" t="n">
        <x:f>H1004*v01_CommonsCoef*AI1004^v01_CommonsExp*INDEX(LM_Commons,G1004)</x:f>
        <x:v>563.8185840727622</x:v>
      </x:c>
      <x:c r="AK1004" s="32" t="n">
        <x:f>H1004*v01_RoleScale*Arch_Roles*(AE1004*(INDEX(v01_ElderRolePerSett,G1004)*v01_OutElder*INDEX(LM_Elder,G1004)+INDEX(v01_ShamanPerSett,G1004)*v01_OutShaman)+Z1004*(INDEX(v01_PriestShare,G1004)*v01_OutPriest+INDEX(v01_ScribeShare,G1004)*v01_OutScribe*INDEX(LM_Scribe,G1004)+INDEX(v01_ScholarShare,G1004)*v01_OutScholar*INDEX(LM_Scholar,G1004)+INDEX(v01_ResearcherShare,G1004)*v01_OutResearcher*INDEX(LM_Researcher,G1004)))</x:f>
        <x:v>81.9251369427699</x:v>
      </x:c>
      <x:c r="AL1004" s="32" t="n">
        <x:f>H1004*v01_RoleScale*Arch_Roles*AE1004*INDEX(v01_MonasteryPerSett,G1004)*v01_OutMonastery*INDEX(LM_Monastery,G1004)</x:f>
        <x:v>0</x:v>
      </x:c>
      <x:c r="AM1004" s="32" t="n">
        <x:f>(AJ1004+AK1004+AL1004)/4*INDEX(LM_All,G1004)*INDEX(v01_Boon,G1004)*Arch_Insight</x:f>
        <x:v>194.22444204109388</x:v>
      </x:c>
      <x:c r="AN1004" s="32" t="n">
        <x:f>H1004*(v01_KHPerAdult*Z1004+v01_KHOfCommons*AJ1004/4*INDEX(LM_All,G1004))*v01_KHUsable*Arch_KH</x:f>
        <x:v>42.02088244320562</x:v>
      </x:c>
      <x:c r="AO1004" s="32" t="n">
        <x:f>MIN(AP1003+AN1004,AM1004*v01_KHMaxRatio)</x:f>
        <x:v>42.02088244320562</x:v>
      </x:c>
      <x:c r="AP1004" s="32" t="n">
        <x:f>AP1003+AN1004-AO1004</x:f>
        <x:v>0</x:v>
      </x:c>
      <x:c r="AQ1004" s="32" t="n">
        <x:f>AM1004+AO1004</x:f>
        <x:v>236.2453244842995</x:v>
      </x:c>
      <x:c r="AR1004" s="10" t="n">
        <x:f>IF(H1004=1,INDEX(v01_Req,G1004),0)</x:f>
        <x:v>24714.473079999996</x:v>
      </x:c>
      <x:c r="AS1004" s="32" t="n">
        <x:f>IF(H1004=1,IF(E1004=1,AS1003-AR1003,AS1003)+AQ1004,0)</x:f>
        <x:v>19829.852172679643</x:v>
      </x:c>
      <x:c r="AT1004" s="11" t="n">
        <x:f>IF(AR1004&gt;0,MIN(1,AS1004/AR1004),1)</x:f>
        <x:v>0.8023578778512095</x:v>
      </x:c>
      <x:c r="AU1004" s="10" t="n">
        <x:f>AB1004/INDEX(v01_RepScale,G1004)</x:f>
        <x:v>277.37059116133963</x:v>
      </x:c>
      <x:c r="AV1004" s="32" t="n">
        <x:f>AM1004*60/v01_SeasonSeconds</x:f>
        <x:v>776.8977681643755</x:v>
      </x:c>
    </x:row>
    <x:row r="1005">
      <x:c r="A1005" s="8" t="n">
        <x:f>A1004+1</x:f>
        <x:v>1002</x:v>
      </x:c>
      <x:c r="B1005" s="9" t="n">
        <x:f>A1005*v01_SeasonSeconds/60</x:f>
        <x:v>250.5</x:v>
      </x:c>
      <x:c r="C1005" s="9" t="n">
        <x:f>A1005/4</x:f>
        <x:v>250.5</x:v>
      </x:c>
      <x:c r="D1005" s="8" t="n">
        <x:f>IF(MOD(A1005,4)=0,1,0)</x:f>
        <x:v>0</x:v>
      </x:c>
      <x:c r="E1005" s="8" t="n">
        <x:f>IF(AND(F1004&lt;=9,AS1004&gt;=AR1004),1,0)</x:f>
        <x:v>0</x:v>
      </x:c>
      <x:c r="F1005" s="8" t="n">
        <x:f>MIN(10,F1004+E1005)</x:f>
        <x:v>4</x:v>
      </x:c>
      <x:c r="G1005" s="8" t="n">
        <x:f>MIN(F1005,9)+1</x:f>
        <x:v>5</x:v>
      </x:c>
      <x:c r="H1005" s="8" t="n">
        <x:f>IF(F1005&lt;=9,1,0)</x:f>
        <x:v>1</x:v>
      </x:c>
      <x:c r="I1005" s="9" t="n">
        <x:f>MIN(10,F1004+IF(AR1004&gt;0,MIN(1,AS1004/AR1004),1))</x:f>
        <x:v>4.802357877851209</x:v>
      </x:c>
      <x:c r="J1005" s="32" t="n">
        <x:f>INDEX(v01_FoodCap,G1005)*Arch_FoodCap*EXP(v01_CapsByProject*SUMPRODUCT((Cap_Point&lt;=I1005)*(Cap_Kind="Food")*Cap_Ln))</x:f>
        <x:v>250</x:v>
      </x:c>
      <x:c r="K1005" s="32" t="n">
        <x:f>J1005*MIN(1,v01_LeanBase*EXP(v01_CapsByProject*SUMPRODUCT((Cap_Point&lt;=I1005)*(Cap_Kind="Lean")*Cap_Ln)))</x:f>
        <x:v>250</x:v>
      </x:c>
      <x:c r="L1005" s="10" t="n">
        <x:f>INDEX(v01_HousingCap,G1005)*EXP(v01_CapsByProject*SUMPRODUCT((Cap_Point&lt;=I1005)*(Cap_Kind="Housing")*Cap_Ln))</x:f>
        <x:v>400</x:v>
      </x:c>
      <x:c r="M1005" s="10" t="n">
        <x:f>INDEX(v01_GroupCap,G1005)*v01_CohesionFactor*EXP(v01_CapsByProject*SUMPRODUCT((Cap_Point&lt;=I1005)*(Cap_Kind="Group")*Cap_Ln))</x:f>
        <x:v>10000</x:v>
      </x:c>
      <x:c r="N1005" s="32" t="n">
        <x:f>MIN(J1005,L1005,M1005)</x:f>
        <x:v>250</x:v>
      </x:c>
      <x:c r="O1005" s="10" t="n">
        <x:f>AE1004*N1005</x:f>
        <x:v>4000</x:v>
      </x:c>
      <x:c r="P1005" s="9" t="n">
        <x:f>MIN(1,(AB1004/(AE1004*IF(v01_GroupInCrowding=1,N1005,MIN(J1005,L1005))))^v01_CrowdingExp)</x:f>
        <x:v>0.11117381904935458</x:v>
      </x:c>
      <x:c r="Q1005" s="9" t="n">
        <x:f>IF(D1005=1,INDEX(v01_WinterMult,G1005),1)</x:f>
        <x:v>1</x:v>
      </x:c>
      <x:c r="R1005" s="9" t="n">
        <x:f>H1005*Z1004*v01_WomenShare*v01_BaseFertility*INDEX(v01_FertMult,G1005)*Arch_Fertility*(1-P1005)</x:f>
        <x:v>38.41638218966106</x:v>
      </x:c>
      <x:c r="S1005" s="9" t="n">
        <x:f>H1005*Y1004*INDEX(v01_MortChild,G1005)/4*Q1005</x:f>
        <x:v>7.941729529820028</x:v>
      </x:c>
      <x:c r="T1005" s="9" t="n">
        <x:f>H1005*Z1004*INDEX(v01_MortAdult,G1005)*Arch_AdultMort/4*Q1005</x:f>
        <x:v>3.001491603086116</x:v>
      </x:c>
      <x:c r="U1005" s="9" t="n">
        <x:f>H1005*AA1004*INDEX(v01_MortElder,G1005)/4*Q1005</x:f>
        <x:v>6.578647206069912</x:v>
      </x:c>
      <x:c r="V1005" s="9" t="n">
        <x:f>H1005*MAX(0,AB1004-O1005)*v01_OvercapLoss</x:f>
        <x:v>0</x:v>
      </x:c>
      <x:c r="W1005" s="9" t="n">
        <x:f>H1005*Y1004/(v01_ChildYears*4)</x:f>
        <x:v>20.259514106683746</x:v>
      </x:c>
      <x:c r="X1005" s="9" t="n">
        <x:f>H1005*Z1004/(v01_AdultYears*4)</x:f>
        <x:v>9.682230977697147</x:v>
      </x:c>
      <x:c r="Y1005" s="32" t="n">
        <x:f>Y1004+R1005-S1005-W1005-Y1004*V1005/AB1004</x:f>
        <x:v>1144.747928527447</x:v>
      </x:c>
      <x:c r="Z1005" s="32" t="n">
        <x:f>Z1004+W1005-X1005-T1005-Z1004*V1005/AB1004</x:f>
        <x:v>1208.1724327603467</x:v>
      </x:c>
      <x:c r="AA1005" s="32" t="n">
        <x:f>AA1004+X1005-U1005-AA1004*V1005/AB1004</x:f>
        <x:v>441.6800641762881</x:v>
      </x:c>
      <x:c r="AB1005" s="10" t="n">
        <x:f>Y1005+Z1005+AA1005</x:f>
        <x:v>2794.6004254640816</x:v>
      </x:c>
      <x:c r="AC1005" s="8" t="n">
        <x:f>IF(AND(v01_WinterTrigger=1,D1005=1,AB1004/AE1004&gt;=K1005),1,0)</x:f>
        <x:v>0</x:v>
      </x:c>
      <x:c r="AD1005" s="8" t="n">
        <x:f>H1005*IF(AND(OR(AB1004/AE1004&gt;=v01_FissionTrigger*N1005,AC1005=1),AB1004/AE1004*v01_DaughterShare&gt;=v01_MinDaughter),MAX(1,ROUND(AE1004*v01_FissionRate,0)),0)</x:f>
        <x:v>0</x:v>
      </x:c>
      <x:c r="AE1005" s="8" t="n">
        <x:f>IF(H1005=1,MAX(1,MIN(INDEX(v01_Smax,G1005),AE1004+AD1005)),AE1004)</x:f>
        <x:v>16</x:v>
      </x:c>
      <x:c r="AF1005" s="8" t="n">
        <x:f>MAX(0,AE1005-AE1004)</x:f>
        <x:v>0</x:v>
      </x:c>
      <x:c r="AG1005" s="9" t="str">
        <x:f>IF(AF1005&gt;0,B1005,"")</x:f>
      </x:c>
      <x:c r="AH1005" s="9" t="n">
        <x:f>IF(F1005&gt;=1,1,(1+v01_LowTiesShare*(AE1005-1))/AE1005)</x:f>
        <x:v>1</x:v>
      </x:c>
      <x:c r="AI1005" s="32" t="n">
        <x:f>(Z1005+v01_ElderCommons*INDEX(LM_Elder,G1005)*AA1005)*AH1005</x:f>
        <x:v>2533.2126252892112</x:v>
      </x:c>
      <x:c r="AJ1005" s="32" t="n">
        <x:f>H1005*v01_CommonsCoef*AI1005^v01_CommonsExp*INDEX(LM_Commons,G1005)</x:f>
        <x:v>567.0330887369344</x:v>
      </x:c>
      <x:c r="AK1005" s="32" t="n">
        <x:f>H1005*v01_RoleScale*Arch_Roles*(AE1005*(INDEX(v01_ElderRolePerSett,G1005)*v01_OutElder*INDEX(LM_Elder,G1005)+INDEX(v01_ShamanPerSett,G1005)*v01_OutShaman)+Z1005*(INDEX(v01_PriestShare,G1005)*v01_OutPriest+INDEX(v01_ScribeShare,G1005)*v01_OutScribe*INDEX(LM_Scribe,G1005)+INDEX(v01_ScholarShare,G1005)*v01_OutScholar*INDEX(LM_Scholar,G1005)+INDEX(v01_ResearcherShare,G1005)*v01_OutResearcher*INDEX(LM_Researcher,G1005)))</x:f>
        <x:v>82.13920531189493</x:v>
      </x:c>
      <x:c r="AL1005" s="32" t="n">
        <x:f>H1005*v01_RoleScale*Arch_Roles*AE1005*INDEX(v01_MonasteryPerSett,G1005)*v01_OutMonastery*INDEX(LM_Monastery,G1005)</x:f>
        <x:v>0</x:v>
      </x:c>
      <x:c r="AM1005" s="32" t="n">
        <x:f>(AJ1005+AK1005+AL1005)/4*INDEX(LM_All,G1005)*INDEX(v01_Boon,G1005)*Arch_Insight</x:f>
        <x:v>195.2556757375548</x:v>
      </x:c>
      <x:c r="AN1005" s="32" t="n">
        <x:f>H1005*(v01_KHPerAdult*Z1005+v01_KHOfCommons*AJ1005/4*INDEX(LM_All,G1005))*v01_KHUsable*Arch_KH</x:f>
        <x:v>42.286035146612136</x:v>
      </x:c>
      <x:c r="AO1005" s="32" t="n">
        <x:f>MIN(AP1004+AN1005,AM1005*v01_KHMaxRatio)</x:f>
        <x:v>42.286035146612136</x:v>
      </x:c>
      <x:c r="AP1005" s="32" t="n">
        <x:f>AP1004+AN1005-AO1005</x:f>
        <x:v>0</x:v>
      </x:c>
      <x:c r="AQ1005" s="32" t="n">
        <x:f>AM1005+AO1005</x:f>
        <x:v>237.54171088416695</x:v>
      </x:c>
      <x:c r="AR1005" s="10" t="n">
        <x:f>IF(H1005=1,INDEX(v01_Req,G1005),0)</x:f>
        <x:v>24714.473079999996</x:v>
      </x:c>
      <x:c r="AS1005" s="32" t="n">
        <x:f>IF(H1005=1,IF(E1005=1,AS1004-AR1004,AS1004)+AQ1005,0)</x:f>
        <x:v>20067.39388356381</x:v>
      </x:c>
      <x:c r="AT1005" s="11" t="n">
        <x:f>IF(AR1005&gt;0,MIN(1,AS1005/AR1005),1)</x:f>
        <x:v>0.8119693192974929</x:v>
      </x:c>
      <x:c r="AU1005" s="10" t="n">
        <x:f>AB1005/INDEX(v01_RepScale,G1005)</x:f>
        <x:v>279.46004254640815</x:v>
      </x:c>
      <x:c r="AV1005" s="32" t="n">
        <x:f>AM1005*60/v01_SeasonSeconds</x:f>
        <x:v>781.0227029502192</x:v>
      </x:c>
    </x:row>
    <x:row r="1006">
      <x:c r="A1006" s="8" t="n">
        <x:f>A1005+1</x:f>
        <x:v>1003</x:v>
      </x:c>
      <x:c r="B1006" s="9" t="n">
        <x:f>A1006*v01_SeasonSeconds/60</x:f>
        <x:v>250.75</x:v>
      </x:c>
      <x:c r="C1006" s="9" t="n">
        <x:f>A1006/4</x:f>
        <x:v>250.75</x:v>
      </x:c>
      <x:c r="D1006" s="8" t="n">
        <x:f>IF(MOD(A1006,4)=0,1,0)</x:f>
        <x:v>0</x:v>
      </x:c>
      <x:c r="E1006" s="8" t="n">
        <x:f>IF(AND(F1005&lt;=9,AS1005&gt;=AR1005),1,0)</x:f>
        <x:v>0</x:v>
      </x:c>
      <x:c r="F1006" s="8" t="n">
        <x:f>MIN(10,F1005+E1006)</x:f>
        <x:v>4</x:v>
      </x:c>
      <x:c r="G1006" s="8" t="n">
        <x:f>MIN(F1006,9)+1</x:f>
        <x:v>5</x:v>
      </x:c>
      <x:c r="H1006" s="8" t="n">
        <x:f>IF(F1006&lt;=9,1,0)</x:f>
        <x:v>1</x:v>
      </x:c>
      <x:c r="I1006" s="9" t="n">
        <x:f>MIN(10,F1005+IF(AR1005&gt;0,MIN(1,AS1005/AR1005),1))</x:f>
        <x:v>4.811969319297493</x:v>
      </x:c>
      <x:c r="J1006" s="32" t="n">
        <x:f>INDEX(v01_FoodCap,G1006)*Arch_FoodCap*EXP(v01_CapsByProject*SUMPRODUCT((Cap_Point&lt;=I1006)*(Cap_Kind="Food")*Cap_Ln))</x:f>
        <x:v>250</x:v>
      </x:c>
      <x:c r="K1006" s="32" t="n">
        <x:f>J1006*MIN(1,v01_LeanBase*EXP(v01_CapsByProject*SUMPRODUCT((Cap_Point&lt;=I1006)*(Cap_Kind="Lean")*Cap_Ln)))</x:f>
        <x:v>250</x:v>
      </x:c>
      <x:c r="L1006" s="10" t="n">
        <x:f>INDEX(v01_HousingCap,G1006)*EXP(v01_CapsByProject*SUMPRODUCT((Cap_Point&lt;=I1006)*(Cap_Kind="Housing")*Cap_Ln))</x:f>
        <x:v>400</x:v>
      </x:c>
      <x:c r="M1006" s="10" t="n">
        <x:f>INDEX(v01_GroupCap,G1006)*v01_CohesionFactor*EXP(v01_CapsByProject*SUMPRODUCT((Cap_Point&lt;=I1006)*(Cap_Kind="Group")*Cap_Ln))</x:f>
        <x:v>10000</x:v>
      </x:c>
      <x:c r="N1006" s="32" t="n">
        <x:f>MIN(J1006,L1006,M1006)</x:f>
        <x:v>250</x:v>
      </x:c>
      <x:c r="O1006" s="10" t="n">
        <x:f>AE1005*N1006</x:f>
        <x:v>4000</x:v>
      </x:c>
      <x:c r="P1006" s="9" t="n">
        <x:f>MIN(1,(AB1005/(AE1005*IF(v01_GroupInCrowding=1,N1006,MIN(J1006,L1006))))^v01_CrowdingExp)</x:f>
        <x:v>0.11629428611130779</x:v>
      </x:c>
      <x:c r="Q1006" s="9" t="n">
        <x:f>IF(D1006=1,INDEX(v01_WinterMult,G1006),1)</x:f>
        <x:v>1</x:v>
      </x:c>
      <x:c r="R1006" s="9" t="n">
        <x:f>H1006*Z1005*v01_WomenShare*v01_BaseFertility*INDEX(v01_FertMult,G1006)*Arch_Fertility*(1-P1006)</x:f>
        <x:v>38.436079758952324</x:v>
      </x:c>
      <x:c r="S1006" s="9" t="n">
        <x:f>H1006*Y1005*INDEX(v01_MortChild,G1006)/4*Q1006</x:f>
        <x:v>8.01323549969213</x:v>
      </x:c>
      <x:c r="T1006" s="9" t="n">
        <x:f>H1006*Z1005*INDEX(v01_MortAdult,G1006)*Arch_AdultMort/4*Q1006</x:f>
        <x:v>3.020431081900867</x:v>
      </x:c>
      <x:c r="U1006" s="9" t="n">
        <x:f>H1006*AA1005*INDEX(v01_MortElder,G1006)/4*Q1006</x:f>
        <x:v>6.625200962644321</x:v>
      </x:c>
      <x:c r="V1006" s="9" t="n">
        <x:f>H1006*MAX(0,AB1005-O1006)*v01_OvercapLoss</x:f>
        <x:v>0</x:v>
      </x:c>
      <x:c r="W1006" s="9" t="n">
        <x:f>H1006*Y1005/(v01_ChildYears*4)</x:f>
        <x:v>20.44192729513298</x:v>
      </x:c>
      <x:c r="X1006" s="9" t="n">
        <x:f>H1006*Z1005/(v01_AdultYears*4)</x:f>
        <x:v>9.743326070647958</x:v>
      </x:c>
      <x:c r="Y1006" s="32" t="n">
        <x:f>Y1005+R1006-S1006-W1006-Y1005*V1006/AB1005</x:f>
        <x:v>1154.728845491574</x:v>
      </x:c>
      <x:c r="Z1006" s="32" t="n">
        <x:f>Z1005+W1006-X1006-T1006-Z1005*V1006/AB1005</x:f>
        <x:v>1215.8506029029309</x:v>
      </x:c>
      <x:c r="AA1006" s="32" t="n">
        <x:f>AA1005+X1006-U1006-AA1005*V1006/AB1005</x:f>
        <x:v>444.79818928429177</x:v>
      </x:c>
      <x:c r="AB1006" s="10" t="n">
        <x:f>Y1006+Z1006+AA1006</x:f>
        <x:v>2815.3776376787964</x:v>
      </x:c>
      <x:c r="AC1006" s="8" t="n">
        <x:f>IF(AND(v01_WinterTrigger=1,D1006=1,AB1005/AE1005&gt;=K1006),1,0)</x:f>
        <x:v>0</x:v>
      </x:c>
      <x:c r="AD1006" s="8" t="n">
        <x:f>H1006*IF(AND(OR(AB1005/AE1005&gt;=v01_FissionTrigger*N1006,AC1006=1),AB1005/AE1005*v01_DaughterShare&gt;=v01_MinDaughter),MAX(1,ROUND(AE1005*v01_FissionRate,0)),0)</x:f>
        <x:v>0</x:v>
      </x:c>
      <x:c r="AE1006" s="8" t="n">
        <x:f>IF(H1006=1,MAX(1,MIN(INDEX(v01_Smax,G1006),AE1005+AD1006)),AE1005)</x:f>
        <x:v>16</x:v>
      </x:c>
      <x:c r="AF1006" s="8" t="n">
        <x:f>MAX(0,AE1006-AE1005)</x:f>
        <x:v>0</x:v>
      </x:c>
      <x:c r="AG1006" s="9" t="str">
        <x:f>IF(AF1006&gt;0,B1006,"")</x:f>
      </x:c>
      <x:c r="AH1006" s="9" t="n">
        <x:f>IF(F1006&gt;=1,1,(1+v01_LowTiesShare*(AE1006-1))/AE1006)</x:f>
        <x:v>1</x:v>
      </x:c>
      <x:c r="AI1006" s="32" t="n">
        <x:f>(Z1006+v01_ElderCommons*INDEX(LM_Elder,G1006)*AA1006)*AH1006</x:f>
        <x:v>2550.245170755806</x:v>
      </x:c>
      <x:c r="AJ1006" s="32" t="n">
        <x:f>H1006*v01_CommonsCoef*AI1006^v01_CommonsExp*INDEX(LM_Commons,G1006)</x:f>
        <x:v>570.2721319645996</x:v>
      </x:c>
      <x:c r="AK1006" s="32" t="n">
        <x:f>H1006*v01_RoleScale*Arch_Roles*(AE1006*(INDEX(v01_ElderRolePerSett,G1006)*v01_OutElder*INDEX(LM_Elder,G1006)+INDEX(v01_ShamanPerSett,G1006)*v01_OutShaman)+Z1006*(INDEX(v01_PriestShare,G1006)*v01_OutPriest+INDEX(v01_ScribeShare,G1006)*v01_OutScribe*INDEX(LM_Scribe,G1006)+INDEX(v01_ScholarShare,G1006)*v01_OutScholar*INDEX(LM_Scholar,G1006)+INDEX(v01_ResearcherShare,G1006)*v01_OutResearcher*INDEX(LM_Researcher,G1006)))</x:f>
        <x:v>82.35616658315854</x:v>
      </x:c>
      <x:c r="AL1006" s="32" t="n">
        <x:f>H1006*v01_RoleScale*Arch_Roles*AE1006*INDEX(v01_MonasteryPerSett,G1006)*v01_OutMonastery*INDEX(LM_Monastery,G1006)</x:f>
        <x:v>0</x:v>
      </x:c>
      <x:c r="AM1006" s="32" t="n">
        <x:f>(AJ1006+AK1006+AL1006)/4*INDEX(LM_All,G1006)*INDEX(v01_Boon,G1006)*Arch_Insight</x:f>
        <x:v>196.29516017023397</x:v>
      </x:c>
      <x:c r="AN1006" s="32" t="n">
        <x:f>H1006*(v01_KHPerAdult*Z1006+v01_KHOfCommons*AJ1006/4*INDEX(LM_All,G1006))*v01_KHUsable*Arch_KH</x:f>
        <x:v>42.554771101602576</x:v>
      </x:c>
      <x:c r="AO1006" s="32" t="n">
        <x:f>MIN(AP1005+AN1006,AM1006*v01_KHMaxRatio)</x:f>
        <x:v>42.554771101602576</x:v>
      </x:c>
      <x:c r="AP1006" s="32" t="n">
        <x:f>AP1005+AN1006-AO1006</x:f>
        <x:v>0</x:v>
      </x:c>
      <x:c r="AQ1006" s="32" t="n">
        <x:f>AM1006+AO1006</x:f>
        <x:v>238.84993127183654</x:v>
      </x:c>
      <x:c r="AR1006" s="10" t="n">
        <x:f>IF(H1006=1,INDEX(v01_Req,G1006),0)</x:f>
        <x:v>24714.473079999996</x:v>
      </x:c>
      <x:c r="AS1006" s="32" t="n">
        <x:f>IF(H1006=1,IF(E1006=1,AS1005-AR1005,AS1005)+AQ1006,0)</x:f>
        <x:v>20306.24381483565</x:v>
      </x:c>
      <x:c r="AT1006" s="11" t="n">
        <x:f>IF(AR1006&gt;0,MIN(1,AS1006/AR1006),1)</x:f>
        <x:v>0.8216336941153856</x:v>
      </x:c>
      <x:c r="AU1006" s="10" t="n">
        <x:f>AB1006/INDEX(v01_RepScale,G1006)</x:f>
        <x:v>281.53776376787965</x:v>
      </x:c>
      <x:c r="AV1006" s="32" t="n">
        <x:f>AM1006*60/v01_SeasonSeconds</x:f>
        <x:v>785.1806406809359</x:v>
      </x:c>
    </x:row>
    <x:row r="1007">
      <x:c r="A1007" s="8" t="n">
        <x:f>A1006+1</x:f>
        <x:v>1004</x:v>
      </x:c>
      <x:c r="B1007" s="9" t="n">
        <x:f>A1007*v01_SeasonSeconds/60</x:f>
        <x:v>251</x:v>
      </x:c>
      <x:c r="C1007" s="9" t="n">
        <x:f>A1007/4</x:f>
        <x:v>251</x:v>
      </x:c>
      <x:c r="D1007" s="8" t="n">
        <x:f>IF(MOD(A1007,4)=0,1,0)</x:f>
        <x:v>1</x:v>
      </x:c>
      <x:c r="E1007" s="8" t="n">
        <x:f>IF(AND(F1006&lt;=9,AS1006&gt;=AR1006),1,0)</x:f>
        <x:v>0</x:v>
      </x:c>
      <x:c r="F1007" s="8" t="n">
        <x:f>MIN(10,F1006+E1007)</x:f>
        <x:v>4</x:v>
      </x:c>
      <x:c r="G1007" s="8" t="n">
        <x:f>MIN(F1007,9)+1</x:f>
        <x:v>5</x:v>
      </x:c>
      <x:c r="H1007" s="8" t="n">
        <x:f>IF(F1007&lt;=9,1,0)</x:f>
        <x:v>1</x:v>
      </x:c>
      <x:c r="I1007" s="9" t="n">
        <x:f>MIN(10,F1006+IF(AR1006&gt;0,MIN(1,AS1006/AR1006),1))</x:f>
        <x:v>4.821633694115386</x:v>
      </x:c>
      <x:c r="J1007" s="32" t="n">
        <x:f>INDEX(v01_FoodCap,G1007)*Arch_FoodCap*EXP(v01_CapsByProject*SUMPRODUCT((Cap_Point&lt;=I1007)*(Cap_Kind="Food")*Cap_Ln))</x:f>
        <x:v>250</x:v>
      </x:c>
      <x:c r="K1007" s="32" t="n">
        <x:f>J1007*MIN(1,v01_LeanBase*EXP(v01_CapsByProject*SUMPRODUCT((Cap_Point&lt;=I1007)*(Cap_Kind="Lean")*Cap_Ln)))</x:f>
        <x:v>250</x:v>
      </x:c>
      <x:c r="L1007" s="10" t="n">
        <x:f>INDEX(v01_HousingCap,G1007)*EXP(v01_CapsByProject*SUMPRODUCT((Cap_Point&lt;=I1007)*(Cap_Kind="Housing")*Cap_Ln))</x:f>
        <x:v>400</x:v>
      </x:c>
      <x:c r="M1007" s="10" t="n">
        <x:f>INDEX(v01_GroupCap,G1007)*v01_CohesionFactor*EXP(v01_CapsByProject*SUMPRODUCT((Cap_Point&lt;=I1007)*(Cap_Kind="Group")*Cap_Ln))</x:f>
        <x:v>10000</x:v>
      </x:c>
      <x:c r="N1007" s="32" t="n">
        <x:f>MIN(J1007,L1007,M1007)</x:f>
        <x:v>250</x:v>
      </x:c>
      <x:c r="O1007" s="10" t="n">
        <x:f>AE1006*N1007</x:f>
        <x:v>4000</x:v>
      </x:c>
      <x:c r="P1007" s="9" t="n">
        <x:f>MIN(1,(AB1006/(AE1006*IF(v01_GroupInCrowding=1,N1007,MIN(J1007,L1007))))^v01_CrowdingExp)</x:f>
        <x:v>0.1215793990410156</x:v>
      </x:c>
      <x:c r="Q1007" s="9" t="n">
        <x:f>IF(D1007=1,INDEX(v01_WinterMult,G1007),1)</x:f>
        <x:v>1</x:v>
      </x:c>
      <x:c r="R1007" s="9" t="n">
        <x:f>H1007*Z1006*v01_WomenShare*v01_BaseFertility*INDEX(v01_FertMult,G1007)*Arch_Fertility*(1-P1007)</x:f>
        <x:v>38.449015822020094</x:v>
      </x:c>
      <x:c r="S1007" s="9" t="n">
        <x:f>H1007*Y1006*INDEX(v01_MortChild,G1007)/4*Q1007</x:f>
        <x:v>8.083101918441018</x:v>
      </x:c>
      <x:c r="T1007" s="9" t="n">
        <x:f>H1007*Z1006*INDEX(v01_MortAdult,G1007)*Arch_AdultMort/4*Q1007</x:f>
        <x:v>3.0396265072573274</x:v>
      </x:c>
      <x:c r="U1007" s="9" t="n">
        <x:f>H1007*AA1006*INDEX(v01_MortElder,G1007)/4*Q1007</x:f>
        <x:v>6.6719728392643765</x:v>
      </x:c>
      <x:c r="V1007" s="9" t="n">
        <x:f>H1007*MAX(0,AB1006-O1007)*v01_OvercapLoss</x:f>
        <x:v>0</x:v>
      </x:c>
      <x:c r="W1007" s="9" t="n">
        <x:f>H1007*Y1006/(v01_ChildYears*4)</x:f>
        <x:v>20.62015795520668</x:v>
      </x:c>
      <x:c r="X1007" s="9" t="n">
        <x:f>H1007*Z1006/(v01_AdultYears*4)</x:f>
        <x:v>9.805246797604282</x:v>
      </x:c>
      <x:c r="Y1007" s="32" t="n">
        <x:f>Y1006+R1007-S1007-W1007-Y1006*V1007/AB1006</x:f>
        <x:v>1164.4746014399464</x:v>
      </x:c>
      <x:c r="Z1007" s="32" t="n">
        <x:f>Z1006+W1007-X1007-T1007-Z1006*V1007/AB1006</x:f>
        <x:v>1223.625887553276</x:v>
      </x:c>
      <x:c r="AA1007" s="32" t="n">
        <x:f>AA1006+X1007-U1007-AA1006*V1007/AB1006</x:f>
        <x:v>447.9314632426317</x:v>
      </x:c>
      <x:c r="AB1007" s="10" t="n">
        <x:f>Y1007+Z1007+AA1007</x:f>
        <x:v>2836.031952235854</x:v>
      </x:c>
      <x:c r="AC1007" s="8" t="n">
        <x:f>IF(AND(v01_WinterTrigger=1,D1007=1,AB1006/AE1006&gt;=K1007),1,0)</x:f>
        <x:v>0</x:v>
      </x:c>
      <x:c r="AD1007" s="8" t="n">
        <x:f>H1007*IF(AND(OR(AB1006/AE1006&gt;=v01_FissionTrigger*N1007,AC1007=1),AB1006/AE1006*v01_DaughterShare&gt;=v01_MinDaughter),MAX(1,ROUND(AE1006*v01_FissionRate,0)),0)</x:f>
        <x:v>0</x:v>
      </x:c>
      <x:c r="AE1007" s="8" t="n">
        <x:f>IF(H1007=1,MAX(1,MIN(INDEX(v01_Smax,G1007),AE1006+AD1007)),AE1006)</x:f>
        <x:v>16</x:v>
      </x:c>
      <x:c r="AF1007" s="8" t="n">
        <x:f>MAX(0,AE1007-AE1006)</x:f>
        <x:v>0</x:v>
      </x:c>
      <x:c r="AG1007" s="9" t="str">
        <x:f>IF(AF1007&gt;0,B1007,"")</x:f>
      </x:c>
      <x:c r="AH1007" s="9" t="n">
        <x:f>IF(F1007&gt;=1,1,(1+v01_LowTiesShare*(AE1007-1))/AE1007)</x:f>
        <x:v>1</x:v>
      </x:c>
      <x:c r="AI1007" s="32" t="n">
        <x:f>(Z1007+v01_ElderCommons*INDEX(LM_Elder,G1007)*AA1007)*AH1007</x:f>
        <x:v>2567.4202772811714</x:v>
      </x:c>
      <x:c r="AJ1007" s="32" t="n">
        <x:f>H1007*v01_CommonsCoef*AI1007^v01_CommonsExp*INDEX(LM_Commons,G1007)</x:f>
        <x:v>573.535001631588</x:v>
      </x:c>
      <x:c r="AK1007" s="32" t="n">
        <x:f>H1007*v01_RoleScale*Arch_Roles*(AE1007*(INDEX(v01_ElderRolePerSett,G1007)*v01_OutElder*INDEX(LM_Elder,G1007)+INDEX(v01_ShamanPerSett,G1007)*v01_OutShaman)+Z1007*(INDEX(v01_PriestShare,G1007)*v01_OutPriest+INDEX(v01_ScribeShare,G1007)*v01_OutScribe*INDEX(LM_Scribe,G1007)+INDEX(v01_ScholarShare,G1007)*v01_OutScholar*INDEX(LM_Scholar,G1007)+INDEX(v01_ResearcherShare,G1007)*v01_OutResearcher*INDEX(LM_Researcher,G1007)))</x:f>
        <x:v>82.57587200917136</x:v>
      </x:c>
      <x:c r="AL1007" s="32" t="n">
        <x:f>H1007*v01_RoleScale*Arch_Roles*AE1007*INDEX(v01_MonasteryPerSett,G1007)*v01_OutMonastery*INDEX(LM_Monastery,G1007)</x:f>
        <x:v>0</x:v>
      </x:c>
      <x:c r="AM1007" s="32" t="n">
        <x:f>(AJ1007+AK1007+AL1007)/4*INDEX(LM_All,G1007)*INDEX(v01_Boon,G1007)*Arch_Insight</x:f>
        <x:v>197.3426364093225</x:v>
      </x:c>
      <x:c r="AN1007" s="32" t="n">
        <x:f>H1007*(v01_KHPerAdult*Z1007+v01_KHOfCommons*AJ1007/4*INDEX(LM_All,G1007))*v01_KHUsable*Arch_KH</x:f>
        <x:v>42.82690606436466</x:v>
      </x:c>
      <x:c r="AO1007" s="32" t="n">
        <x:f>MIN(AP1006+AN1007,AM1007*v01_KHMaxRatio)</x:f>
        <x:v>42.82690606436466</x:v>
      </x:c>
      <x:c r="AP1007" s="32" t="n">
        <x:f>AP1006+AN1007-AO1007</x:f>
        <x:v>0</x:v>
      </x:c>
      <x:c r="AQ1007" s="32" t="n">
        <x:f>AM1007+AO1007</x:f>
        <x:v>240.16954247368716</x:v>
      </x:c>
      <x:c r="AR1007" s="10" t="n">
        <x:f>IF(H1007=1,INDEX(v01_Req,G1007),0)</x:f>
        <x:v>24714.473079999996</x:v>
      </x:c>
      <x:c r="AS1007" s="32" t="n">
        <x:f>IF(H1007=1,IF(E1007=1,AS1006-AR1006,AS1006)+AQ1007,0)</x:f>
        <x:v>20546.413357309335</x:v>
      </x:c>
      <x:c r="AT1007" s="11" t="n">
        <x:f>IF(AR1007&gt;0,MIN(1,AS1007/AR1007),1)</x:f>
        <x:v>0.831351463201389</x:v>
      </x:c>
      <x:c r="AU1007" s="10" t="n">
        <x:f>AB1007/INDEX(v01_RepScale,G1007)</x:f>
        <x:v>283.60319522358543</x:v>
      </x:c>
      <x:c r="AV1007" s="32" t="n">
        <x:f>AM1007*60/v01_SeasonSeconds</x:f>
        <x:v>789.37054563729</x:v>
      </x:c>
    </x:row>
    <x:row r="1008">
      <x:c r="A1008" s="8" t="n">
        <x:f>A1007+1</x:f>
        <x:v>1005</x:v>
      </x:c>
      <x:c r="B1008" s="9" t="n">
        <x:f>A1008*v01_SeasonSeconds/60</x:f>
        <x:v>251.25</x:v>
      </x:c>
      <x:c r="C1008" s="9" t="n">
        <x:f>A1008/4</x:f>
        <x:v>251.25</x:v>
      </x:c>
      <x:c r="D1008" s="8" t="n">
        <x:f>IF(MOD(A1008,4)=0,1,0)</x:f>
        <x:v>0</x:v>
      </x:c>
      <x:c r="E1008" s="8" t="n">
        <x:f>IF(AND(F1007&lt;=9,AS1007&gt;=AR1007),1,0)</x:f>
        <x:v>0</x:v>
      </x:c>
      <x:c r="F1008" s="8" t="n">
        <x:f>MIN(10,F1007+E1008)</x:f>
        <x:v>4</x:v>
      </x:c>
      <x:c r="G1008" s="8" t="n">
        <x:f>MIN(F1008,9)+1</x:f>
        <x:v>5</x:v>
      </x:c>
      <x:c r="H1008" s="8" t="n">
        <x:f>IF(F1008&lt;=9,1,0)</x:f>
        <x:v>1</x:v>
      </x:c>
      <x:c r="I1008" s="9" t="n">
        <x:f>MIN(10,F1007+IF(AR1007&gt;0,MIN(1,AS1007/AR1007),1))</x:f>
        <x:v>4.831351463201389</x:v>
      </x:c>
      <x:c r="J1008" s="32" t="n">
        <x:f>INDEX(v01_FoodCap,G1008)*Arch_FoodCap*EXP(v01_CapsByProject*SUMPRODUCT((Cap_Point&lt;=I1008)*(Cap_Kind="Food")*Cap_Ln))</x:f>
        <x:v>250</x:v>
      </x:c>
      <x:c r="K1008" s="32" t="n">
        <x:f>J1008*MIN(1,v01_LeanBase*EXP(v01_CapsByProject*SUMPRODUCT((Cap_Point&lt;=I1008)*(Cap_Kind="Lean")*Cap_Ln)))</x:f>
        <x:v>250</x:v>
      </x:c>
      <x:c r="L1008" s="10" t="n">
        <x:f>INDEX(v01_HousingCap,G1008)*EXP(v01_CapsByProject*SUMPRODUCT((Cap_Point&lt;=I1008)*(Cap_Kind="Housing")*Cap_Ln))</x:f>
        <x:v>400</x:v>
      </x:c>
      <x:c r="M1008" s="10" t="n">
        <x:f>INDEX(v01_GroupCap,G1008)*v01_CohesionFactor*EXP(v01_CapsByProject*SUMPRODUCT((Cap_Point&lt;=I1008)*(Cap_Kind="Group")*Cap_Ln))</x:f>
        <x:v>10000</x:v>
      </x:c>
      <x:c r="N1008" s="32" t="n">
        <x:f>MIN(J1008,L1008,M1008)</x:f>
        <x:v>250</x:v>
      </x:c>
      <x:c r="O1008" s="10" t="n">
        <x:f>AE1007*N1008</x:f>
        <x:v>4000</x:v>
      </x:c>
      <x:c r="P1008" s="9" t="n">
        <x:f>MIN(1,(AB1007/(AE1007*IF(v01_GroupInCrowding=1,N1008,MIN(J1008,L1008))))^v01_CrowdingExp)</x:f>
        <x:v>0.12703013780230912</x:v>
      </x:c>
      <x:c r="Q1008" s="9" t="n">
        <x:f>IF(D1008=1,INDEX(v01_WinterMult,G1008),1)</x:f>
        <x:v>1</x:v>
      </x:c>
      <x:c r="R1008" s="9" t="n">
        <x:f>H1008*Z1007*v01_WomenShare*v01_BaseFertility*INDEX(v01_FertMult,G1008)*Arch_Fertility*(1-P1008)</x:f>
        <x:v>38.45478680780078</x:v>
      </x:c>
      <x:c r="S1008" s="9" t="n">
        <x:f>H1008*Y1007*INDEX(v01_MortChild,G1008)/4*Q1008</x:f>
        <x:v>8.151322210079625</x:v>
      </x:c>
      <x:c r="T1008" s="9" t="n">
        <x:f>H1008*Z1007*INDEX(v01_MortAdult,G1008)*Arch_AdultMort/4*Q1008</x:f>
        <x:v>3.05906471888319</x:v>
      </x:c>
      <x:c r="U1008" s="9" t="n">
        <x:f>H1008*AA1007*INDEX(v01_MortElder,G1008)/4*Q1008</x:f>
        <x:v>6.718971948639475</x:v>
      </x:c>
      <x:c r="V1008" s="9" t="n">
        <x:f>H1008*MAX(0,AB1007-O1008)*v01_OvercapLoss</x:f>
        <x:v>0</x:v>
      </x:c>
      <x:c r="W1008" s="9" t="n">
        <x:f>H1008*Y1007/(v01_ChildYears*4)</x:f>
        <x:v>20.794189311427612</x:v>
      </x:c>
      <x:c r="X1008" s="9" t="n">
        <x:f>H1008*Z1007/(v01_AdultYears*4)</x:f>
        <x:v>9.867950706074806</x:v>
      </x:c>
      <x:c r="Y1008" s="32" t="n">
        <x:f>Y1007+R1008-S1008-W1008-Y1007*V1008/AB1007</x:f>
        <x:v>1173.98387672624</x:v>
      </x:c>
      <x:c r="Z1008" s="32" t="n">
        <x:f>Z1007+W1008-X1008-T1008-Z1007*V1008/AB1007</x:f>
        <x:v>1231.4930614397454</x:v>
      </x:c>
      <x:c r="AA1008" s="32" t="n">
        <x:f>AA1007+X1008-U1008-AA1007*V1008/AB1007</x:f>
        <x:v>451.080442000067</x:v>
      </x:c>
      <x:c r="AB1008" s="10" t="n">
        <x:f>Y1008+Z1008+AA1008</x:f>
        <x:v>2856.557380166052</x:v>
      </x:c>
      <x:c r="AC1008" s="8" t="n">
        <x:f>IF(AND(v01_WinterTrigger=1,D1008=1,AB1007/AE1007&gt;=K1008),1,0)</x:f>
        <x:v>0</x:v>
      </x:c>
      <x:c r="AD1008" s="8" t="n">
        <x:f>H1008*IF(AND(OR(AB1007/AE1007&gt;=v01_FissionTrigger*N1008,AC1008=1),AB1007/AE1007*v01_DaughterShare&gt;=v01_MinDaughter),MAX(1,ROUND(AE1007*v01_FissionRate,0)),0)</x:f>
        <x:v>0</x:v>
      </x:c>
      <x:c r="AE1008" s="8" t="n">
        <x:f>IF(H1008=1,MAX(1,MIN(INDEX(v01_Smax,G1008),AE1007+AD1008)),AE1007)</x:f>
        <x:v>16</x:v>
      </x:c>
      <x:c r="AF1008" s="8" t="n">
        <x:f>MAX(0,AE1008-AE1007)</x:f>
        <x:v>0</x:v>
      </x:c>
      <x:c r="AG1008" s="9" t="str">
        <x:f>IF(AF1008&gt;0,B1008,"")</x:f>
      </x:c>
      <x:c r="AH1008" s="9" t="n">
        <x:f>IF(F1008&gt;=1,1,(1+v01_LowTiesShare*(AE1008-1))/AE1008)</x:f>
        <x:v>1</x:v>
      </x:c>
      <x:c r="AI1008" s="32" t="n">
        <x:f>(Z1008+v01_ElderCommons*INDEX(LM_Elder,G1008)*AA1008)*AH1008</x:f>
        <x:v>2584.7343874399467</x:v>
      </x:c>
      <x:c r="AJ1008" s="32" t="n">
        <x:f>H1008*v01_CommonsCoef*AI1008^v01_CommonsExp*INDEX(LM_Commons,G1008)</x:f>
        <x:v>576.8209664847247</x:v>
      </x:c>
      <x:c r="AK1008" s="32" t="n">
        <x:f>H1008*v01_RoleScale*Arch_Roles*(AE1008*(INDEX(v01_ElderRolePerSett,G1008)*v01_OutElder*INDEX(LM_Elder,G1008)+INDEX(v01_ShamanPerSett,G1008)*v01_OutShaman)+Z1008*(INDEX(v01_PriestShare,G1008)*v01_OutPriest+INDEX(v01_ScribeShare,G1008)*v01_OutScribe*INDEX(LM_Scribe,G1008)+INDEX(v01_ScholarShare,G1008)*v01_OutScholar*INDEX(LM_Scholar,G1008)+INDEX(v01_ResearcherShare,G1008)*v01_OutResearcher*INDEX(LM_Researcher,G1008)))</x:f>
        <x:v>82.79817393996524</x:v>
      </x:c>
      <x:c r="AL1008" s="32" t="n">
        <x:f>H1008*v01_RoleScale*Arch_Roles*AE1008*INDEX(v01_MonasteryPerSett,G1008)*v01_OutMonastery*INDEX(LM_Monastery,G1008)</x:f>
        <x:v>0</x:v>
      </x:c>
      <x:c r="AM1008" s="32" t="n">
        <x:f>(AJ1008+AK1008+AL1008)/4*INDEX(LM_All,G1008)*INDEX(v01_Boon,G1008)*Arch_Insight</x:f>
        <x:v>198.39784010153747</x:v>
      </x:c>
      <x:c r="AN1008" s="32" t="n">
        <x:f>H1008*(v01_KHPerAdult*Z1008+v01_KHOfCommons*AJ1008/4*INDEX(LM_All,G1008))*v01_KHUsable*Arch_KH</x:f>
        <x:v>43.10225715039109</x:v>
      </x:c>
      <x:c r="AO1008" s="32" t="n">
        <x:f>MIN(AP1007+AN1008,AM1008*v01_KHMaxRatio)</x:f>
        <x:v>43.10225715039109</x:v>
      </x:c>
      <x:c r="AP1008" s="32" t="n">
        <x:f>AP1007+AN1008-AO1008</x:f>
        <x:v>0</x:v>
      </x:c>
      <x:c r="AQ1008" s="32" t="n">
        <x:f>AM1008+AO1008</x:f>
        <x:v>241.50009725192857</x:v>
      </x:c>
      <x:c r="AR1008" s="10" t="n">
        <x:f>IF(H1008=1,INDEX(v01_Req,G1008),0)</x:f>
        <x:v>24714.473079999996</x:v>
      </x:c>
      <x:c r="AS1008" s="32" t="n">
        <x:f>IF(H1008=1,IF(E1008=1,AS1007-AR1007,AS1007)+AQ1008,0)</x:f>
        <x:v>20787.913454561265</x:v>
      </x:c>
      <x:c r="AT1008" s="11" t="n">
        <x:f>IF(AR1008&gt;0,MIN(1,AS1008/AR1008),1)</x:f>
        <x:v>0.8411230693558153</x:v>
      </x:c>
      <x:c r="AU1008" s="10" t="n">
        <x:f>AB1008/INDEX(v01_RepScale,G1008)</x:f>
        <x:v>285.6557380166052</x:v>
      </x:c>
      <x:c r="AV1008" s="32" t="n">
        <x:f>AM1008*60/v01_SeasonSeconds</x:f>
        <x:v>793.5913604061499</x:v>
      </x:c>
    </x:row>
    <x:row r="1009">
      <x:c r="A1009" s="8" t="n">
        <x:f>A1008+1</x:f>
        <x:v>1006</x:v>
      </x:c>
      <x:c r="B1009" s="9" t="n">
        <x:f>A1009*v01_SeasonSeconds/60</x:f>
        <x:v>251.5</x:v>
      </x:c>
      <x:c r="C1009" s="9" t="n">
        <x:f>A1009/4</x:f>
        <x:v>251.5</x:v>
      </x:c>
      <x:c r="D1009" s="8" t="n">
        <x:f>IF(MOD(A1009,4)=0,1,0)</x:f>
        <x:v>0</x:v>
      </x:c>
      <x:c r="E1009" s="8" t="n">
        <x:f>IF(AND(F1008&lt;=9,AS1008&gt;=AR1008),1,0)</x:f>
        <x:v>0</x:v>
      </x:c>
      <x:c r="F1009" s="8" t="n">
        <x:f>MIN(10,F1008+E1009)</x:f>
        <x:v>4</x:v>
      </x:c>
      <x:c r="G1009" s="8" t="n">
        <x:f>MIN(F1009,9)+1</x:f>
        <x:v>5</x:v>
      </x:c>
      <x:c r="H1009" s="8" t="n">
        <x:f>IF(F1009&lt;=9,1,0)</x:f>
        <x:v>1</x:v>
      </x:c>
      <x:c r="I1009" s="9" t="n">
        <x:f>MIN(10,F1008+IF(AR1008&gt;0,MIN(1,AS1008/AR1008),1))</x:f>
        <x:v>4.841123069355815</x:v>
      </x:c>
      <x:c r="J1009" s="32" t="n">
        <x:f>INDEX(v01_FoodCap,G1009)*Arch_FoodCap*EXP(v01_CapsByProject*SUMPRODUCT((Cap_Point&lt;=I1009)*(Cap_Kind="Food")*Cap_Ln))</x:f>
        <x:v>250</x:v>
      </x:c>
      <x:c r="K1009" s="32" t="n">
        <x:f>J1009*MIN(1,v01_LeanBase*EXP(v01_CapsByProject*SUMPRODUCT((Cap_Point&lt;=I1009)*(Cap_Kind="Lean")*Cap_Ln)))</x:f>
        <x:v>250</x:v>
      </x:c>
      <x:c r="L1009" s="10" t="n">
        <x:f>INDEX(v01_HousingCap,G1009)*EXP(v01_CapsByProject*SUMPRODUCT((Cap_Point&lt;=I1009)*(Cap_Kind="Housing")*Cap_Ln))</x:f>
        <x:v>400</x:v>
      </x:c>
      <x:c r="M1009" s="10" t="n">
        <x:f>INDEX(v01_GroupCap,G1009)*v01_CohesionFactor*EXP(v01_CapsByProject*SUMPRODUCT((Cap_Point&lt;=I1009)*(Cap_Kind="Group")*Cap_Ln))</x:f>
        <x:v>10000</x:v>
      </x:c>
      <x:c r="N1009" s="32" t="n">
        <x:f>MIN(J1009,L1009,M1009)</x:f>
        <x:v>250</x:v>
      </x:c>
      <x:c r="O1009" s="10" t="n">
        <x:f>AE1008*N1009</x:f>
        <x:v>4000</x:v>
      </x:c>
      <x:c r="P1009" s="9" t="n">
        <x:f>MIN(1,(AB1008/(AE1008*IF(v01_GroupInCrowding=1,N1009,MIN(J1009,L1009))))^v01_CrowdingExp)</x:f>
        <x:v>0.132647101765758</x:v>
      </x:c>
      <x:c r="Q1009" s="9" t="n">
        <x:f>IF(D1009=1,INDEX(v01_WinterMult,G1009),1)</x:f>
        <x:v>1</x:v>
      </x:c>
      <x:c r="R1009" s="9" t="n">
        <x:f>H1009*Z1008*v01_WomenShare*v01_BaseFertility*INDEX(v01_FertMult,G1009)*Arch_Fertility*(1-P1009)</x:f>
        <x:v>38.45300673582441</x:v>
      </x:c>
      <x:c r="S1009" s="9" t="n">
        <x:f>H1009*Y1008*INDEX(v01_MortChild,G1009)/4*Q1009</x:f>
        <x:v>8.21788713708368</x:v>
      </x:c>
      <x:c r="T1009" s="9" t="n">
        <x:f>H1009*Z1008*INDEX(v01_MortAdult,G1009)*Arch_AdultMort/4*Q1009</x:f>
        <x:v>3.0787326535993635</x:v>
      </x:c>
      <x:c r="U1009" s="9" t="n">
        <x:f>H1009*AA1008*INDEX(v01_MortElder,G1009)/4*Q1009</x:f>
        <x:v>6.7662066300010055</x:v>
      </x:c>
      <x:c r="V1009" s="9" t="n">
        <x:f>H1009*MAX(0,AB1008-O1009)*v01_OvercapLoss</x:f>
        <x:v>0</x:v>
      </x:c>
      <x:c r="W1009" s="9" t="n">
        <x:f>H1009*Y1008/(v01_ChildYears*4)</x:f>
        <x:v>20.963997798682858</x:v>
      </x:c>
      <x:c r="X1009" s="9" t="n">
        <x:f>H1009*Z1008/(v01_AdultYears*4)</x:f>
        <x:v>9.93139565677214</x:v>
      </x:c>
      <x:c r="Y1009" s="32" t="n">
        <x:f>Y1008+R1009-S1009-W1009-Y1008*V1009/AB1008</x:f>
        <x:v>1183.2549985262979</x:v>
      </x:c>
      <x:c r="Z1009" s="32" t="n">
        <x:f>Z1008+W1009-X1009-T1009-Z1008*V1009/AB1008</x:f>
        <x:v>1239.4469309280566</x:v>
      </x:c>
      <x:c r="AA1009" s="32" t="n">
        <x:f>AA1008+X1009-U1009-AA1008*V1009/AB1008</x:f>
        <x:v>454.24563102683817</x:v>
      </x:c>
      <x:c r="AB1009" s="10" t="n">
        <x:f>Y1009+Z1009+AA1009</x:f>
        <x:v>2876.9475604811923</x:v>
      </x:c>
      <x:c r="AC1009" s="8" t="n">
        <x:f>IF(AND(v01_WinterTrigger=1,D1009=1,AB1008/AE1008&gt;=K1009),1,0)</x:f>
        <x:v>0</x:v>
      </x:c>
      <x:c r="AD1009" s="8" t="n">
        <x:f>H1009*IF(AND(OR(AB1008/AE1008&gt;=v01_FissionTrigger*N1009,AC1009=1),AB1008/AE1008*v01_DaughterShare&gt;=v01_MinDaughter),MAX(1,ROUND(AE1008*v01_FissionRate,0)),0)</x:f>
        <x:v>0</x:v>
      </x:c>
      <x:c r="AE1009" s="8" t="n">
        <x:f>IF(H1009=1,MAX(1,MIN(INDEX(v01_Smax,G1009),AE1008+AD1009)),AE1008)</x:f>
        <x:v>16</x:v>
      </x:c>
      <x:c r="AF1009" s="8" t="n">
        <x:f>MAX(0,AE1009-AE1008)</x:f>
        <x:v>0</x:v>
      </x:c>
      <x:c r="AG1009" s="9" t="str">
        <x:f>IF(AF1009&gt;0,B1009,"")</x:f>
      </x:c>
      <x:c r="AH1009" s="9" t="n">
        <x:f>IF(F1009&gt;=1,1,(1+v01_LowTiesShare*(AE1009-1))/AE1009)</x:f>
        <x:v>1</x:v>
      </x:c>
      <x:c r="AI1009" s="32" t="n">
        <x:f>(Z1009+v01_ElderCommons*INDEX(LM_Elder,G1009)*AA1009)*AH1009</x:f>
        <x:v>2602.1838240085713</x:v>
      </x:c>
      <x:c r="AJ1009" s="32" t="n">
        <x:f>H1009*v01_CommonsCoef*AI1009^v01_CommonsExp*INDEX(LM_Commons,G1009)</x:f>
        <x:v>580.1292755125716</x:v>
      </x:c>
      <x:c r="AK1009" s="32" t="n">
        <x:f>H1009*v01_RoleScale*Arch_Roles*(AE1009*(INDEX(v01_ElderRolePerSett,G1009)*v01_OutElder*INDEX(LM_Elder,G1009)+INDEX(v01_ShamanPerSett,G1009)*v01_OutShaman)+Z1009*(INDEX(v01_PriestShare,G1009)*v01_OutPriest+INDEX(v01_ScribeShare,G1009)*v01_OutScribe*INDEX(LM_Scribe,G1009)+INDEX(v01_ScholarShare,G1009)*v01_OutScholar*INDEX(LM_Scholar,G1009)+INDEX(v01_ResearcherShare,G1009)*v01_OutResearcher*INDEX(LM_Researcher,G1009)))</x:f>
        <x:v>83.0229256195455</x:v>
      </x:c>
      <x:c r="AL1009" s="32" t="n">
        <x:f>H1009*v01_RoleScale*Arch_Roles*AE1009*INDEX(v01_MonasteryPerSett,G1009)*v01_OutMonastery*INDEX(LM_Monastery,G1009)</x:f>
        <x:v>0</x:v>
      </x:c>
      <x:c r="AM1009" s="32" t="n">
        <x:f>(AJ1009+AK1009+AL1009)/4*INDEX(LM_All,G1009)*INDEX(v01_Boon,G1009)*Arch_Insight</x:f>
        <x:v>199.46050121966368</x:v>
      </x:c>
      <x:c r="AN1009" s="32" t="n">
        <x:f>H1009*(v01_KHPerAdult*Z1009+v01_KHOfCommons*AJ1009/4*INDEX(LM_All,G1009))*v01_KHUsable*Arch_KH</x:f>
        <x:v>43.38064258248198</x:v>
      </x:c>
      <x:c r="AO1009" s="32" t="n">
        <x:f>MIN(AP1008+AN1009,AM1009*v01_KHMaxRatio)</x:f>
        <x:v>43.38064258248198</x:v>
      </x:c>
      <x:c r="AP1009" s="32" t="n">
        <x:f>AP1008+AN1009-AO1009</x:f>
        <x:v>0</x:v>
      </x:c>
      <x:c r="AQ1009" s="32" t="n">
        <x:f>AM1009+AO1009</x:f>
        <x:v>242.84114380214567</x:v>
      </x:c>
      <x:c r="AR1009" s="10" t="n">
        <x:f>IF(H1009=1,INDEX(v01_Req,G1009),0)</x:f>
        <x:v>24714.473079999996</x:v>
      </x:c>
      <x:c r="AS1009" s="32" t="n">
        <x:f>IF(H1009=1,IF(E1009=1,AS1008-AR1008,AS1008)+AQ1009,0)</x:f>
        <x:v>21030.75459836341</x:v>
      </x:c>
      <x:c r="AT1009" s="11" t="n">
        <x:f>IF(AR1009&gt;0,MIN(1,AS1009/AR1009),1)</x:f>
        <x:v>0.8509489370980113</x:v>
      </x:c>
      <x:c r="AU1009" s="10" t="n">
        <x:f>AB1009/INDEX(v01_RepScale,G1009)</x:f>
        <x:v>287.69475604811925</x:v>
      </x:c>
      <x:c r="AV1009" s="32" t="n">
        <x:f>AM1009*60/v01_SeasonSeconds</x:f>
        <x:v>797.8420048786548</x:v>
      </x:c>
    </x:row>
    <x:row r="1010">
      <x:c r="A1010" s="8" t="n">
        <x:f>A1009+1</x:f>
        <x:v>1007</x:v>
      </x:c>
      <x:c r="B1010" s="9" t="n">
        <x:f>A1010*v01_SeasonSeconds/60</x:f>
        <x:v>251.75</x:v>
      </x:c>
      <x:c r="C1010" s="9" t="n">
        <x:f>A1010/4</x:f>
        <x:v>251.75</x:v>
      </x:c>
      <x:c r="D1010" s="8" t="n">
        <x:f>IF(MOD(A1010,4)=0,1,0)</x:f>
        <x:v>0</x:v>
      </x:c>
      <x:c r="E1010" s="8" t="n">
        <x:f>IF(AND(F1009&lt;=9,AS1009&gt;=AR1009),1,0)</x:f>
        <x:v>0</x:v>
      </x:c>
      <x:c r="F1010" s="8" t="n">
        <x:f>MIN(10,F1009+E1010)</x:f>
        <x:v>4</x:v>
      </x:c>
      <x:c r="G1010" s="8" t="n">
        <x:f>MIN(F1010,9)+1</x:f>
        <x:v>5</x:v>
      </x:c>
      <x:c r="H1010" s="8" t="n">
        <x:f>IF(F1010&lt;=9,1,0)</x:f>
        <x:v>1</x:v>
      </x:c>
      <x:c r="I1010" s="9" t="n">
        <x:f>MIN(10,F1009+IF(AR1009&gt;0,MIN(1,AS1009/AR1009),1))</x:f>
        <x:v>4.8509489370980114</x:v>
      </x:c>
      <x:c r="J1010" s="32" t="n">
        <x:f>INDEX(v01_FoodCap,G1010)*Arch_FoodCap*EXP(v01_CapsByProject*SUMPRODUCT((Cap_Point&lt;=I1010)*(Cap_Kind="Food")*Cap_Ln))</x:f>
        <x:v>250</x:v>
      </x:c>
      <x:c r="K1010" s="32" t="n">
        <x:f>J1010*MIN(1,v01_LeanBase*EXP(v01_CapsByProject*SUMPRODUCT((Cap_Point&lt;=I1010)*(Cap_Kind="Lean")*Cap_Ln)))</x:f>
        <x:v>250</x:v>
      </x:c>
      <x:c r="L1010" s="10" t="n">
        <x:f>INDEX(v01_HousingCap,G1010)*EXP(v01_CapsByProject*SUMPRODUCT((Cap_Point&lt;=I1010)*(Cap_Kind="Housing")*Cap_Ln))</x:f>
        <x:v>400</x:v>
      </x:c>
      <x:c r="M1010" s="10" t="n">
        <x:f>INDEX(v01_GroupCap,G1010)*v01_CohesionFactor*EXP(v01_CapsByProject*SUMPRODUCT((Cap_Point&lt;=I1010)*(Cap_Kind="Group")*Cap_Ln))</x:f>
        <x:v>10000</x:v>
      </x:c>
      <x:c r="N1010" s="32" t="n">
        <x:f>MIN(J1010,L1010,M1010)</x:f>
        <x:v>250</x:v>
      </x:c>
      <x:c r="O1010" s="10" t="n">
        <x:f>AE1009*N1010</x:f>
        <x:v>4000</x:v>
      </x:c>
      <x:c r="P1010" s="9" t="n">
        <x:f>MIN(1,(AB1009/(AE1009*IF(v01_GroupInCrowding=1,N1010,MIN(J1010,L1010))))^v01_CrowdingExp)</x:f>
        <x:v>0.13843048077731895</x:v>
      </x:c>
      <x:c r="Q1010" s="9" t="n">
        <x:f>IF(D1010=1,INDEX(v01_WinterMult,G1010),1)</x:f>
        <x:v>1</x:v>
      </x:c>
      <x:c r="R1010" s="9" t="n">
        <x:f>H1010*Z1009*v01_WomenShare*v01_BaseFertility*INDEX(v01_FertMult,G1010)*Arch_Fertility*(1-P1010)</x:f>
        <x:v>38.44330906974168</x:v>
      </x:c>
      <x:c r="S1010" s="9" t="n">
        <x:f>H1010*Y1009*INDEX(v01_MortChild,G1010)/4*Q1010</x:f>
        <x:v>8.282784989684085</x:v>
      </x:c>
      <x:c r="T1010" s="9" t="n">
        <x:f>H1010*Z1009*INDEX(v01_MortAdult,G1010)*Arch_AdultMort/4*Q1010</x:f>
        <x:v>3.0986173273201416</x:v>
      </x:c>
      <x:c r="U1010" s="9" t="n">
        <x:f>H1010*AA1009*INDEX(v01_MortElder,G1010)/4*Q1010</x:f>
        <x:v>6.813684465402572</x:v>
      </x:c>
      <x:c r="V1010" s="9" t="n">
        <x:f>H1010*MAX(0,AB1009-O1010)*v01_OvercapLoss</x:f>
        <x:v>0</x:v>
      </x:c>
      <x:c r="W1010" s="9" t="n">
        <x:f>H1010*Y1009/(v01_ChildYears*4)</x:f>
        <x:v>21.12955354511246</x:v>
      </x:c>
      <x:c r="X1010" s="9" t="n">
        <x:f>H1010*Z1009/(v01_AdultYears*4)</x:f>
        <x:v>9.995539765548845</x:v>
      </x:c>
      <x:c r="Y1010" s="32" t="n">
        <x:f>Y1009+R1010-S1010-W1010-Y1009*V1010/AB1009</x:f>
        <x:v>1192.285969061243</x:v>
      </x:c>
      <x:c r="Z1010" s="32" t="n">
        <x:f>Z1009+W1010-X1010-T1010-Z1009*V1010/AB1009</x:f>
        <x:v>1247.4823273803001</x:v>
      </x:c>
      <x:c r="AA1010" s="32" t="n">
        <x:f>AA1009+X1010-U1010-AA1009*V1010/AB1009</x:f>
        <x:v>457.4274863269845</x:v>
      </x:c>
      <x:c r="AB1010" s="10" t="n">
        <x:f>Y1010+Z1010+AA1010</x:f>
        <x:v>2897.1957827685274</x:v>
      </x:c>
      <x:c r="AC1010" s="8" t="n">
        <x:f>IF(AND(v01_WinterTrigger=1,D1010=1,AB1009/AE1009&gt;=K1010),1,0)</x:f>
        <x:v>0</x:v>
      </x:c>
      <x:c r="AD1010" s="8" t="n">
        <x:f>H1010*IF(AND(OR(AB1009/AE1009&gt;=v01_FissionTrigger*N1010,AC1010=1),AB1009/AE1009*v01_DaughterShare&gt;=v01_MinDaughter),MAX(1,ROUND(AE1009*v01_FissionRate,0)),0)</x:f>
        <x:v>0</x:v>
      </x:c>
      <x:c r="AE1010" s="8" t="n">
        <x:f>IF(H1010=1,MAX(1,MIN(INDEX(v01_Smax,G1010),AE1009+AD1010)),AE1009)</x:f>
        <x:v>16</x:v>
      </x:c>
      <x:c r="AF1010" s="8" t="n">
        <x:f>MAX(0,AE1010-AE1009)</x:f>
        <x:v>0</x:v>
      </x:c>
      <x:c r="AG1010" s="9" t="str">
        <x:f>IF(AF1010&gt;0,B1010,"")</x:f>
      </x:c>
      <x:c r="AH1010" s="9" t="n">
        <x:f>IF(F1010&gt;=1,1,(1+v01_LowTiesShare*(AE1010-1))/AE1010)</x:f>
        <x:v>1</x:v>
      </x:c>
      <x:c r="AI1010" s="32" t="n">
        <x:f>(Z1010+v01_ElderCommons*INDEX(LM_Elder,G1010)*AA1010)*AH1010</x:f>
        <x:v>2619.7647863612538</x:v>
      </x:c>
      <x:c r="AJ1010" s="32" t="n">
        <x:f>H1010*v01_CommonsCoef*AI1010^v01_CommonsExp*INDEX(LM_Commons,G1010)</x:f>
        <x:v>583.4591573817405</x:v>
      </x:c>
      <x:c r="AK1010" s="32" t="n">
        <x:f>H1010*v01_RoleScale*Arch_Roles*(AE1010*(INDEX(v01_ElderRolePerSett,G1010)*v01_OutElder*INDEX(LM_Elder,G1010)+INDEX(v01_ShamanPerSett,G1010)*v01_OutShaman)+Z1010*(INDEX(v01_PriestShare,G1010)*v01_OutPriest+INDEX(v01_ScribeShare,G1010)*v01_OutScribe*INDEX(LM_Scribe,G1010)+INDEX(v01_ScholarShare,G1010)*v01_OutScholar*INDEX(LM_Scholar,G1010)+INDEX(v01_ResearcherShare,G1010)*v01_OutResearcher*INDEX(LM_Researcher,G1010)))</x:f>
        <x:v>83.2499809982375</x:v>
      </x:c>
      <x:c r="AL1010" s="32" t="n">
        <x:f>H1010*v01_RoleScale*Arch_Roles*AE1010*INDEX(v01_MonasteryPerSett,G1010)*v01_OutMonastery*INDEX(LM_Monastery,G1010)</x:f>
        <x:v>0</x:v>
      </x:c>
      <x:c r="AM1010" s="32" t="n">
        <x:f>(AJ1010+AK1010+AL1010)/4*INDEX(LM_All,G1010)*INDEX(v01_Boon,G1010)*Arch_Insight</x:f>
        <x:v>200.53034383656828</x:v>
      </x:c>
      <x:c r="AN1010" s="32" t="n">
        <x:f>H1010*(v01_KHPerAdult*Z1010+v01_KHOfCommons*AJ1010/4*INDEX(LM_All,G1010))*v01_KHUsable*Arch_KH</x:f>
        <x:v>43.6618814583105</x:v>
      </x:c>
      <x:c r="AO1010" s="32" t="n">
        <x:f>MIN(AP1009+AN1010,AM1010*v01_KHMaxRatio)</x:f>
        <x:v>43.6618814583105</x:v>
      </x:c>
      <x:c r="AP1010" s="32" t="n">
        <x:f>AP1009+AN1010-AO1010</x:f>
        <x:v>0</x:v>
      </x:c>
      <x:c r="AQ1010" s="32" t="n">
        <x:f>AM1010+AO1010</x:f>
        <x:v>244.19222529487877</x:v>
      </x:c>
      <x:c r="AR1010" s="10" t="n">
        <x:f>IF(H1010=1,INDEX(v01_Req,G1010),0)</x:f>
        <x:v>24714.473079999996</x:v>
      </x:c>
      <x:c r="AS1010" s="32" t="n">
        <x:f>IF(H1010=1,IF(E1010=1,AS1009-AR1009,AS1009)+AQ1010,0)</x:f>
        <x:v>21274.94682365829</x:v>
      </x:c>
      <x:c r="AT1010" s="11" t="n">
        <x:f>IF(AR1010&gt;0,MIN(1,AS1010/AR1010),1)</x:f>
        <x:v>0.8608294724630355</x:v>
      </x:c>
      <x:c r="AU1010" s="10" t="n">
        <x:f>AB1010/INDEX(v01_RepScale,G1010)</x:f>
        <x:v>289.71957827685276</x:v>
      </x:c>
      <x:c r="AV1010" s="32" t="n">
        <x:f>AM1010*60/v01_SeasonSeconds</x:f>
        <x:v>802.1213753462731</x:v>
      </x:c>
    </x:row>
    <x:row r="1011">
      <x:c r="A1011" s="8" t="n">
        <x:f>A1010+1</x:f>
        <x:v>1008</x:v>
      </x:c>
      <x:c r="B1011" s="9" t="n">
        <x:f>A1011*v01_SeasonSeconds/60</x:f>
        <x:v>252</x:v>
      </x:c>
      <x:c r="C1011" s="9" t="n">
        <x:f>A1011/4</x:f>
        <x:v>252</x:v>
      </x:c>
      <x:c r="D1011" s="8" t="n">
        <x:f>IF(MOD(A1011,4)=0,1,0)</x:f>
        <x:v>1</x:v>
      </x:c>
      <x:c r="E1011" s="8" t="n">
        <x:f>IF(AND(F1010&lt;=9,AS1010&gt;=AR1010),1,0)</x:f>
        <x:v>0</x:v>
      </x:c>
      <x:c r="F1011" s="8" t="n">
        <x:f>MIN(10,F1010+E1011)</x:f>
        <x:v>4</x:v>
      </x:c>
      <x:c r="G1011" s="8" t="n">
        <x:f>MIN(F1011,9)+1</x:f>
        <x:v>5</x:v>
      </x:c>
      <x:c r="H1011" s="8" t="n">
        <x:f>IF(F1011&lt;=9,1,0)</x:f>
        <x:v>1</x:v>
      </x:c>
      <x:c r="I1011" s="9" t="n">
        <x:f>MIN(10,F1010+IF(AR1010&gt;0,MIN(1,AS1010/AR1010),1))</x:f>
        <x:v>4.860829472463036</x:v>
      </x:c>
      <x:c r="J1011" s="32" t="n">
        <x:f>INDEX(v01_FoodCap,G1011)*Arch_FoodCap*EXP(v01_CapsByProject*SUMPRODUCT((Cap_Point&lt;=I1011)*(Cap_Kind="Food")*Cap_Ln))</x:f>
        <x:v>250</x:v>
      </x:c>
      <x:c r="K1011" s="32" t="n">
        <x:f>J1011*MIN(1,v01_LeanBase*EXP(v01_CapsByProject*SUMPRODUCT((Cap_Point&lt;=I1011)*(Cap_Kind="Lean")*Cap_Ln)))</x:f>
        <x:v>250</x:v>
      </x:c>
      <x:c r="L1011" s="10" t="n">
        <x:f>INDEX(v01_HousingCap,G1011)*EXP(v01_CapsByProject*SUMPRODUCT((Cap_Point&lt;=I1011)*(Cap_Kind="Housing")*Cap_Ln))</x:f>
        <x:v>400</x:v>
      </x:c>
      <x:c r="M1011" s="10" t="n">
        <x:f>INDEX(v01_GroupCap,G1011)*v01_CohesionFactor*EXP(v01_CapsByProject*SUMPRODUCT((Cap_Point&lt;=I1011)*(Cap_Kind="Group")*Cap_Ln))</x:f>
        <x:v>10000</x:v>
      </x:c>
      <x:c r="N1011" s="32" t="n">
        <x:f>MIN(J1011,L1011,M1011)</x:f>
        <x:v>250</x:v>
      </x:c>
      <x:c r="O1011" s="10" t="n">
        <x:f>AE1010*N1011</x:f>
        <x:v>4000</x:v>
      </x:c>
      <x:c r="P1011" s="9" t="n">
        <x:f>MIN(1,(AB1010/(AE1010*IF(v01_GroupInCrowding=1,N1011,MIN(J1011,L1011))))^v01_CrowdingExp)</x:f>
        <x:v>0.14438002683166176</x:v>
      </x:c>
      <x:c r="Q1011" s="9" t="n">
        <x:f>IF(D1011=1,INDEX(v01_WinterMult,G1011),1)</x:f>
        <x:v>1</x:v>
      </x:c>
      <x:c r="R1011" s="9" t="n">
        <x:f>H1011*Z1010*v01_WomenShare*v01_BaseFertility*INDEX(v01_FertMult,G1011)*Arch_Fertility*(1-P1011)</x:f>
        <x:v>38.425348637319914</x:v>
      </x:c>
      <x:c r="S1011" s="9" t="n">
        <x:f>H1011*Y1010*INDEX(v01_MortChild,G1011)/4*Q1011</x:f>
        <x:v>8.3460017834287</x:v>
      </x:c>
      <x:c r="T1011" s="9" t="n">
        <x:f>H1011*Z1010*INDEX(v01_MortAdult,G1011)*Arch_AdultMort/4*Q1011</x:f>
        <x:v>3.1187058184507506</x:v>
      </x:c>
      <x:c r="U1011" s="9" t="n">
        <x:f>H1011*AA1010*INDEX(v01_MortElder,G1011)/4*Q1011</x:f>
        <x:v>6.861412294904767</x:v>
      </x:c>
      <x:c r="V1011" s="9" t="n">
        <x:f>H1011*MAX(0,AB1010-O1011)*v01_OvercapLoss</x:f>
        <x:v>0</x:v>
      </x:c>
      <x:c r="W1011" s="9" t="n">
        <x:f>H1011*Y1010/(v01_ChildYears*4)</x:f>
        <x:v>21.290820876093623</x:v>
      </x:c>
      <x:c r="X1011" s="9" t="n">
        <x:f>H1011*Z1010/(v01_AdultYears*4)</x:f>
        <x:v>10.06034134984113</x:v>
      </x:c>
      <x:c r="Y1011" s="32" t="n">
        <x:f>Y1010+R1011-S1011-W1011-Y1010*V1011/AB1010</x:f>
        <x:v>1201.0744950390406</x:v>
      </x:c>
      <x:c r="Z1011" s="32" t="n">
        <x:f>Z1010+W1011-X1011-T1011-Z1010*V1011/AB1010</x:f>
        <x:v>1255.594101088102</x:v>
      </x:c>
      <x:c r="AA1011" s="32" t="n">
        <x:f>AA1010+X1011-U1011-AA1010*V1011/AB1010</x:f>
        <x:v>460.6264153819208</x:v>
      </x:c>
      <x:c r="AB1011" s="10" t="n">
        <x:f>Y1011+Z1011+AA1011</x:f>
        <x:v>2917.295011509063</x:v>
      </x:c>
      <x:c r="AC1011" s="8" t="n">
        <x:f>IF(AND(v01_WinterTrigger=1,D1011=1,AB1010/AE1010&gt;=K1011),1,0)</x:f>
        <x:v>0</x:v>
      </x:c>
      <x:c r="AD1011" s="8" t="n">
        <x:f>H1011*IF(AND(OR(AB1010/AE1010&gt;=v01_FissionTrigger*N1011,AC1011=1),AB1010/AE1010*v01_DaughterShare&gt;=v01_MinDaughter),MAX(1,ROUND(AE1010*v01_FissionRate,0)),0)</x:f>
        <x:v>0</x:v>
      </x:c>
      <x:c r="AE1011" s="8" t="n">
        <x:f>IF(H1011=1,MAX(1,MIN(INDEX(v01_Smax,G1011),AE1010+AD1011)),AE1010)</x:f>
        <x:v>16</x:v>
      </x:c>
      <x:c r="AF1011" s="8" t="n">
        <x:f>MAX(0,AE1011-AE1010)</x:f>
        <x:v>0</x:v>
      </x:c>
      <x:c r="AG1011" s="9" t="str">
        <x:f>IF(AF1011&gt;0,B1011,"")</x:f>
      </x:c>
      <x:c r="AH1011" s="9" t="n">
        <x:f>IF(F1011&gt;=1,1,(1+v01_LowTiesShare*(AE1011-1))/AE1011)</x:f>
        <x:v>1</x:v>
      </x:c>
      <x:c r="AI1011" s="32" t="n">
        <x:f>(Z1011+v01_ElderCommons*INDEX(LM_Elder,G1011)*AA1011)*AH1011</x:f>
        <x:v>2637.4733472338644</x:v>
      </x:c>
      <x:c r="AJ1011" s="32" t="n">
        <x:f>H1011*v01_CommonsCoef*AI1011^v01_CommonsExp*INDEX(LM_Commons,G1011)</x:f>
        <x:v>586.8098199442888</x:v>
      </x:c>
      <x:c r="AK1011" s="32" t="n">
        <x:f>H1011*v01_RoleScale*Arch_Roles*(AE1011*(INDEX(v01_ElderRolePerSett,G1011)*v01_OutElder*INDEX(LM_Elder,G1011)+INDEX(v01_ShamanPerSett,G1011)*v01_OutShaman)+Z1011*(INDEX(v01_PriestShare,G1011)*v01_OutPriest+INDEX(v01_ScribeShare,G1011)*v01_OutScribe*INDEX(LM_Scribe,G1011)+INDEX(v01_ScholarShare,G1011)*v01_OutScholar*INDEX(LM_Scholar,G1011)+INDEX(v01_ResearcherShare,G1011)*v01_OutResearcher*INDEX(LM_Researcher,G1011)))</x:f>
        <x:v>83.47919456125645</x:v>
      </x:c>
      <x:c r="AL1011" s="32" t="n">
        <x:f>H1011*v01_RoleScale*Arch_Roles*AE1011*INDEX(v01_MonasteryPerSett,G1011)*v01_OutMonastery*INDEX(LM_Monastery,G1011)</x:f>
        <x:v>0</x:v>
      </x:c>
      <x:c r="AM1011" s="32" t="n">
        <x:f>(AJ1011+AK1011+AL1011)/4*INDEX(LM_All,G1011)*INDEX(v01_Boon,G1011)*Arch_Insight</x:f>
        <x:v>201.60708592547485</x:v>
      </x:c>
      <x:c r="AN1011" s="32" t="n">
        <x:f>H1011*(v01_KHPerAdult*Z1011+v01_KHOfCommons*AJ1011/4*INDEX(LM_All,G1011))*v01_KHUsable*Arch_KH</x:f>
        <x:v>43.945793538083564</x:v>
      </x:c>
      <x:c r="AO1011" s="32" t="n">
        <x:f>MIN(AP1010+AN1011,AM1011*v01_KHMaxRatio)</x:f>
        <x:v>43.945793538083564</x:v>
      </x:c>
      <x:c r="AP1011" s="32" t="n">
        <x:f>AP1010+AN1011-AO1011</x:f>
        <x:v>0</x:v>
      </x:c>
      <x:c r="AQ1011" s="32" t="n">
        <x:f>AM1011+AO1011</x:f>
        <x:v>245.5528794635584</x:v>
      </x:c>
      <x:c r="AR1011" s="10" t="n">
        <x:f>IF(H1011=1,INDEX(v01_Req,G1011),0)</x:f>
        <x:v>24714.473079999996</x:v>
      </x:c>
      <x:c r="AS1011" s="32" t="n">
        <x:f>IF(H1011=1,IF(E1011=1,AS1010-AR1010,AS1010)+AQ1011,0)</x:f>
        <x:v>21520.499703121848</x:v>
      </x:c>
      <x:c r="AT1011" s="11" t="n">
        <x:f>IF(AR1011&gt;0,MIN(1,AS1011/AR1011),1)</x:f>
        <x:v>0.8707650627816602</x:v>
      </x:c>
      <x:c r="AU1011" s="10" t="n">
        <x:f>AB1011/INDEX(v01_RepScale,G1011)</x:f>
        <x:v>291.7295011509063</x:v>
      </x:c>
      <x:c r="AV1011" s="32" t="n">
        <x:f>AM1011*60/v01_SeasonSeconds</x:f>
        <x:v>806.4283437018993</x:v>
      </x:c>
    </x:row>
    <x:row r="1012">
      <x:c r="A1012" s="8" t="n">
        <x:f>A1011+1</x:f>
        <x:v>1009</x:v>
      </x:c>
      <x:c r="B1012" s="9" t="n">
        <x:f>A1012*v01_SeasonSeconds/60</x:f>
        <x:v>252.25</x:v>
      </x:c>
      <x:c r="C1012" s="9" t="n">
        <x:f>A1012/4</x:f>
        <x:v>252.25</x:v>
      </x:c>
      <x:c r="D1012" s="8" t="n">
        <x:f>IF(MOD(A1012,4)=0,1,0)</x:f>
        <x:v>0</x:v>
      </x:c>
      <x:c r="E1012" s="8" t="n">
        <x:f>IF(AND(F1011&lt;=9,AS1011&gt;=AR1011),1,0)</x:f>
        <x:v>0</x:v>
      </x:c>
      <x:c r="F1012" s="8" t="n">
        <x:f>MIN(10,F1011+E1012)</x:f>
        <x:v>4</x:v>
      </x:c>
      <x:c r="G1012" s="8" t="n">
        <x:f>MIN(F1012,9)+1</x:f>
        <x:v>5</x:v>
      </x:c>
      <x:c r="H1012" s="8" t="n">
        <x:f>IF(F1012&lt;=9,1,0)</x:f>
        <x:v>1</x:v>
      </x:c>
      <x:c r="I1012" s="9" t="n">
        <x:f>MIN(10,F1011+IF(AR1011&gt;0,MIN(1,AS1011/AR1011),1))</x:f>
        <x:v>4.87076506278166</x:v>
      </x:c>
      <x:c r="J1012" s="32" t="n">
        <x:f>INDEX(v01_FoodCap,G1012)*Arch_FoodCap*EXP(v01_CapsByProject*SUMPRODUCT((Cap_Point&lt;=I1012)*(Cap_Kind="Food")*Cap_Ln))</x:f>
        <x:v>250</x:v>
      </x:c>
      <x:c r="K1012" s="32" t="n">
        <x:f>J1012*MIN(1,v01_LeanBase*EXP(v01_CapsByProject*SUMPRODUCT((Cap_Point&lt;=I1012)*(Cap_Kind="Lean")*Cap_Ln)))</x:f>
        <x:v>250</x:v>
      </x:c>
      <x:c r="L1012" s="10" t="n">
        <x:f>INDEX(v01_HousingCap,G1012)*EXP(v01_CapsByProject*SUMPRODUCT((Cap_Point&lt;=I1012)*(Cap_Kind="Housing")*Cap_Ln))</x:f>
        <x:v>400</x:v>
      </x:c>
      <x:c r="M1012" s="10" t="n">
        <x:f>INDEX(v01_GroupCap,G1012)*v01_CohesionFactor*EXP(v01_CapsByProject*SUMPRODUCT((Cap_Point&lt;=I1012)*(Cap_Kind="Group")*Cap_Ln))</x:f>
        <x:v>10000</x:v>
      </x:c>
      <x:c r="N1012" s="32" t="n">
        <x:f>MIN(J1012,L1012,M1012)</x:f>
        <x:v>250</x:v>
      </x:c>
      <x:c r="O1012" s="10" t="n">
        <x:f>AE1011*N1012</x:f>
        <x:v>4000</x:v>
      </x:c>
      <x:c r="P1012" s="9" t="n">
        <x:f>MIN(1,(AB1011/(AE1011*IF(v01_GroupInCrowding=1,N1012,MIN(J1012,L1012))))^v01_CrowdingExp)</x:f>
        <x:v>0.1504950266852386</x:v>
      </x:c>
      <x:c r="Q1012" s="9" t="n">
        <x:f>IF(D1012=1,INDEX(v01_WinterMult,G1012),1)</x:f>
        <x:v>1</x:v>
      </x:c>
      <x:c r="R1012" s="9" t="n">
        <x:f>H1012*Z1011*v01_WomenShare*v01_BaseFertility*INDEX(v01_FertMult,G1012)*Arch_Fertility*(1-P1012)</x:f>
        <x:v>38.39880360020471</x:v>
      </x:c>
      <x:c r="S1012" s="9" t="n">
        <x:f>H1012*Y1011*INDEX(v01_MortChild,G1012)/4*Q1012</x:f>
        <x:v>8.407521465273284</x:v>
      </x:c>
      <x:c r="T1012" s="9" t="n">
        <x:f>H1012*Z1011*INDEX(v01_MortAdult,G1012)*Arch_AdultMort/4*Q1012</x:f>
        <x:v>3.138985252720255</x:v>
      </x:c>
      <x:c r="U1012" s="9" t="n">
        <x:f>H1012*AA1011*INDEX(v01_MortElder,G1012)/4*Q1012</x:f>
        <x:v>6.909396230728812</x:v>
      </x:c>
      <x:c r="V1012" s="9" t="n">
        <x:f>H1012*MAX(0,AB1011-O1012)*v01_OvercapLoss</x:f>
        <x:v>0</x:v>
      </x:c>
      <x:c r="W1012" s="9" t="n">
        <x:f>H1012*Y1011/(v01_ChildYears*4)</x:f>
        <x:v>21.447758839982868</x:v>
      </x:c>
      <x:c r="X1012" s="9" t="n">
        <x:f>H1012*Z1011/(v01_AdultYears*4)</x:f>
        <x:v>10.125758879742758</x:v>
      </x:c>
      <x:c r="Y1012" s="32" t="n">
        <x:f>Y1011+R1012-S1012-W1012-Y1011*V1012/AB1011</x:f>
        <x:v>1209.618018333989</x:v>
      </x:c>
      <x:c r="Z1012" s="32" t="n">
        <x:f>Z1011+W1012-X1012-T1012-Z1011*V1012/AB1011</x:f>
        <x:v>1263.777115795622</x:v>
      </x:c>
      <x:c r="AA1012" s="32" t="n">
        <x:f>AA1011+X1012-U1012-AA1011*V1012/AB1011</x:f>
        <x:v>463.84277803093477</x:v>
      </x:c>
      <x:c r="AB1012" s="10" t="n">
        <x:f>Y1012+Z1012+AA1012</x:f>
        <x:v>2937.237912160546</x:v>
      </x:c>
      <x:c r="AC1012" s="8" t="n">
        <x:f>IF(AND(v01_WinterTrigger=1,D1012=1,AB1011/AE1011&gt;=K1012),1,0)</x:f>
        <x:v>0</x:v>
      </x:c>
      <x:c r="AD1012" s="8" t="n">
        <x:f>H1012*IF(AND(OR(AB1011/AE1011&gt;=v01_FissionTrigger*N1012,AC1012=1),AB1011/AE1011*v01_DaughterShare&gt;=v01_MinDaughter),MAX(1,ROUND(AE1011*v01_FissionRate,0)),0)</x:f>
        <x:v>0</x:v>
      </x:c>
      <x:c r="AE1012" s="8" t="n">
        <x:f>IF(H1012=1,MAX(1,MIN(INDEX(v01_Smax,G1012),AE1011+AD1012)),AE1011)</x:f>
        <x:v>16</x:v>
      </x:c>
      <x:c r="AF1012" s="8" t="n">
        <x:f>MAX(0,AE1012-AE1011)</x:f>
        <x:v>0</x:v>
      </x:c>
      <x:c r="AG1012" s="9" t="str">
        <x:f>IF(AF1012&gt;0,B1012,"")</x:f>
      </x:c>
      <x:c r="AH1012" s="9" t="n">
        <x:f>IF(F1012&gt;=1,1,(1+v01_LowTiesShare*(AE1012-1))/AE1012)</x:f>
        <x:v>1</x:v>
      </x:c>
      <x:c r="AI1012" s="32" t="n">
        <x:f>(Z1012+v01_ElderCommons*INDEX(LM_Elder,G1012)*AA1012)*AH1012</x:f>
        <x:v>2655.305449888426</x:v>
      </x:c>
      <x:c r="AJ1012" s="32" t="n">
        <x:f>H1012*v01_CommonsCoef*AI1012^v01_CommonsExp*INDEX(LM_Commons,G1012)</x:f>
        <x:v>590.1804498217591</x:v>
      </x:c>
      <x:c r="AK1012" s="32" t="n">
        <x:f>H1012*v01_RoleScale*Arch_Roles*(AE1012*(INDEX(v01_ElderRolePerSett,G1012)*v01_OutElder*INDEX(LM_Elder,G1012)+INDEX(v01_ShamanPerSett,G1012)*v01_OutShaman)+Z1012*(INDEX(v01_PriestShare,G1012)*v01_OutPriest+INDEX(v01_ScribeShare,G1012)*v01_OutScribe*INDEX(LM_Scribe,G1012)+INDEX(v01_ScholarShare,G1012)*v01_OutScholar*INDEX(LM_Scholar,G1012)+INDEX(v01_ResearcherShare,G1012)*v01_OutResearcher*INDEX(LM_Researcher,G1012)))</x:f>
        <x:v>83.71042117394452</x:v>
      </x:c>
      <x:c r="AL1012" s="32" t="n">
        <x:f>H1012*v01_RoleScale*Arch_Roles*AE1012*INDEX(v01_MonasteryPerSett,G1012)*v01_OutMonastery*INDEX(LM_Monastery,G1012)</x:f>
        <x:v>0</x:v>
      </x:c>
      <x:c r="AM1012" s="32" t="n">
        <x:f>(AJ1012+AK1012+AL1012)/4*INDEX(LM_All,G1012)*INDEX(v01_Boon,G1012)*Arch_Insight</x:f>
        <x:v>202.69043918830315</x:v>
      </x:c>
      <x:c r="AN1012" s="32" t="n">
        <x:f>H1012*(v01_KHPerAdult*Z1012+v01_KHOfCommons*AJ1012/4*INDEX(LM_All,G1012))*v01_KHUsable*Arch_KH</x:f>
        <x:v>44.23219905284677</x:v>
      </x:c>
      <x:c r="AO1012" s="32" t="n">
        <x:f>MIN(AP1011+AN1012,AM1012*v01_KHMaxRatio)</x:f>
        <x:v>44.23219905284677</x:v>
      </x:c>
      <x:c r="AP1012" s="32" t="n">
        <x:f>AP1011+AN1012-AO1012</x:f>
        <x:v>0</x:v>
      </x:c>
      <x:c r="AQ1012" s="32" t="n">
        <x:f>AM1012+AO1012</x:f>
        <x:v>246.9226382411499</x:v>
      </x:c>
      <x:c r="AR1012" s="10" t="n">
        <x:f>IF(H1012=1,INDEX(v01_Req,G1012),0)</x:f>
        <x:v>24714.473079999996</x:v>
      </x:c>
      <x:c r="AS1012" s="32" t="n">
        <x:f>IF(H1012=1,IF(E1012=1,AS1011-AR1011,AS1011)+AQ1012,0)</x:f>
        <x:v>21767.422341363</x:v>
      </x:c>
      <x:c r="AT1012" s="11" t="n">
        <x:f>IF(AR1012&gt;0,MIN(1,AS1012/AR1012),1)</x:f>
        <x:v>0.8807560764456728</x:v>
      </x:c>
      <x:c r="AU1012" s="10" t="n">
        <x:f>AB1012/INDEX(v01_RepScale,G1012)</x:f>
        <x:v>293.72379121605456</x:v>
      </x:c>
      <x:c r="AV1012" s="32" t="n">
        <x:f>AM1012*60/v01_SeasonSeconds</x:f>
        <x:v>810.7617567532126</x:v>
      </x:c>
    </x:row>
    <x:row r="1013">
      <x:c r="A1013" s="8" t="n">
        <x:f>A1012+1</x:f>
        <x:v>1010</x:v>
      </x:c>
      <x:c r="B1013" s="9" t="n">
        <x:f>A1013*v01_SeasonSeconds/60</x:f>
        <x:v>252.5</x:v>
      </x:c>
      <x:c r="C1013" s="9" t="n">
        <x:f>A1013/4</x:f>
        <x:v>252.5</x:v>
      </x:c>
      <x:c r="D1013" s="8" t="n">
        <x:f>IF(MOD(A1013,4)=0,1,0)</x:f>
        <x:v>0</x:v>
      </x:c>
      <x:c r="E1013" s="8" t="n">
        <x:f>IF(AND(F1012&lt;=9,AS1012&gt;=AR1012),1,0)</x:f>
        <x:v>0</x:v>
      </x:c>
      <x:c r="F1013" s="8" t="n">
        <x:f>MIN(10,F1012+E1013)</x:f>
        <x:v>4</x:v>
      </x:c>
      <x:c r="G1013" s="8" t="n">
        <x:f>MIN(F1013,9)+1</x:f>
        <x:v>5</x:v>
      </x:c>
      <x:c r="H1013" s="8" t="n">
        <x:f>IF(F1013&lt;=9,1,0)</x:f>
        <x:v>1</x:v>
      </x:c>
      <x:c r="I1013" s="9" t="n">
        <x:f>MIN(10,F1012+IF(AR1012&gt;0,MIN(1,AS1012/AR1012),1))</x:f>
        <x:v>4.880756076445673</x:v>
      </x:c>
      <x:c r="J1013" s="32" t="n">
        <x:f>INDEX(v01_FoodCap,G1013)*Arch_FoodCap*EXP(v01_CapsByProject*SUMPRODUCT((Cap_Point&lt;=I1013)*(Cap_Kind="Food")*Cap_Ln))</x:f>
        <x:v>250</x:v>
      </x:c>
      <x:c r="K1013" s="32" t="n">
        <x:f>J1013*MIN(1,v01_LeanBase*EXP(v01_CapsByProject*SUMPRODUCT((Cap_Point&lt;=I1013)*(Cap_Kind="Lean")*Cap_Ln)))</x:f>
        <x:v>250</x:v>
      </x:c>
      <x:c r="L1013" s="10" t="n">
        <x:f>INDEX(v01_HousingCap,G1013)*EXP(v01_CapsByProject*SUMPRODUCT((Cap_Point&lt;=I1013)*(Cap_Kind="Housing")*Cap_Ln))</x:f>
        <x:v>400</x:v>
      </x:c>
      <x:c r="M1013" s="10" t="n">
        <x:f>INDEX(v01_GroupCap,G1013)*v01_CohesionFactor*EXP(v01_CapsByProject*SUMPRODUCT((Cap_Point&lt;=I1013)*(Cap_Kind="Group")*Cap_Ln))</x:f>
        <x:v>10000</x:v>
      </x:c>
      <x:c r="N1013" s="32" t="n">
        <x:f>MIN(J1013,L1013,M1013)</x:f>
        <x:v>250</x:v>
      </x:c>
      <x:c r="O1013" s="10" t="n">
        <x:f>AE1012*N1013</x:f>
        <x:v>4000</x:v>
      </x:c>
      <x:c r="P1013" s="9" t="n">
        <x:f>MIN(1,(AB1012/(AE1012*IF(v01_GroupInCrowding=1,N1013,MIN(J1013,L1013))))^v01_CrowdingExp)</x:f>
        <x:v>0.15677427576696412</x:v>
      </x:c>
      <x:c r="Q1013" s="9" t="n">
        <x:f>IF(D1013=1,INDEX(v01_WinterMult,G1013),1)</x:f>
        <x:v>1</x:v>
      </x:c>
      <x:c r="R1013" s="9" t="n">
        <x:f>H1013*Z1012*v01_WomenShare*v01_BaseFertility*INDEX(v01_FertMult,G1013)*Arch_Fertility*(1-P1013)</x:f>
        <x:v>38.363377454492415</x:v>
      </x:c>
      <x:c r="S1013" s="9" t="n">
        <x:f>H1013*Y1012*INDEX(v01_MortChild,G1013)/4*Q1013</x:f>
        <x:v>8.467326128337923</x:v>
      </x:c>
      <x:c r="T1013" s="9" t="n">
        <x:f>H1013*Z1012*INDEX(v01_MortAdult,G1013)*Arch_AdultMort/4*Q1013</x:f>
        <x:v>3.159442789489055</x:v>
      </x:c>
      <x:c r="U1013" s="9" t="n">
        <x:f>H1013*AA1012*INDEX(v01_MortElder,G1013)/4*Q1013</x:f>
        <x:v>6.957641670464021</x:v>
      </x:c>
      <x:c r="V1013" s="9" t="n">
        <x:f>H1013*MAX(0,AB1012-O1013)*v01_OvercapLoss</x:f>
        <x:v>0</x:v>
      </x:c>
      <x:c r="W1013" s="9" t="n">
        <x:f>H1013*Y1012/(v01_ChildYears*4)</x:f>
        <x:v>21.600321755964092</x:v>
      </x:c>
      <x:c r="X1013" s="9" t="n">
        <x:f>H1013*Z1012/(v01_AdultYears*4)</x:f>
        <x:v>10.19175093383566</x:v>
      </x:c>
      <x:c r="Y1013" s="32" t="n">
        <x:f>Y1012+R1013-S1013-W1013-Y1012*V1013/AB1012</x:f>
        <x:v>1217.9137479041794</x:v>
      </x:c>
      <x:c r="Z1013" s="32" t="n">
        <x:f>Z1012+W1013-X1013-T1013-Z1012*V1013/AB1012</x:f>
        <x:v>1272.0262438282614</x:v>
      </x:c>
      <x:c r="AA1013" s="32" t="n">
        <x:f>AA1012+X1013-U1013-AA1012*V1013/AB1012</x:f>
        <x:v>467.0768872943064</x:v>
      </x:c>
      <x:c r="AB1013" s="10" t="n">
        <x:f>Y1013+Z1013+AA1013</x:f>
        <x:v>2957.016879026747</x:v>
      </x:c>
      <x:c r="AC1013" s="8" t="n">
        <x:f>IF(AND(v01_WinterTrigger=1,D1013=1,AB1012/AE1012&gt;=K1013),1,0)</x:f>
        <x:v>0</x:v>
      </x:c>
      <x:c r="AD1013" s="8" t="n">
        <x:f>H1013*IF(AND(OR(AB1012/AE1012&gt;=v01_FissionTrigger*N1013,AC1013=1),AB1012/AE1012*v01_DaughterShare&gt;=v01_MinDaughter),MAX(1,ROUND(AE1012*v01_FissionRate,0)),0)</x:f>
        <x:v>0</x:v>
      </x:c>
      <x:c r="AE1013" s="8" t="n">
        <x:f>IF(H1013=1,MAX(1,MIN(INDEX(v01_Smax,G1013),AE1012+AD1013)),AE1012)</x:f>
        <x:v>16</x:v>
      </x:c>
      <x:c r="AF1013" s="8" t="n">
        <x:f>MAX(0,AE1013-AE1012)</x:f>
        <x:v>0</x:v>
      </x:c>
      <x:c r="AG1013" s="9" t="str">
        <x:f>IF(AF1013&gt;0,B1013,"")</x:f>
      </x:c>
      <x:c r="AH1013" s="9" t="n">
        <x:f>IF(F1013&gt;=1,1,(1+v01_LowTiesShare*(AE1013-1))/AE1013)</x:f>
        <x:v>1</x:v>
      </x:c>
      <x:c r="AI1013" s="32" t="n">
        <x:f>(Z1013+v01_ElderCommons*INDEX(LM_Elder,G1013)*AA1013)*AH1013</x:f>
        <x:v>2673.2569057111805</x:v>
      </x:c>
      <x:c r="AJ1013" s="32" t="n">
        <x:f>H1013*v01_CommonsCoef*AI1013^v01_CommonsExp*INDEX(LM_Commons,G1013)</x:f>
        <x:v>593.5702120714365</x:v>
      </x:c>
      <x:c r="AK1013" s="32" t="n">
        <x:f>H1013*v01_RoleScale*Arch_Roles*(AE1013*(INDEX(v01_ElderRolePerSett,G1013)*v01_OutElder*INDEX(LM_Elder,G1013)+INDEX(v01_ShamanPerSett,G1013)*v01_OutShaman)+Z1013*(INDEX(v01_PriestShare,G1013)*v01_OutPriest+INDEX(v01_ScribeShare,G1013)*v01_OutScribe*INDEX(LM_Scribe,G1013)+INDEX(v01_ScholarShare,G1013)*v01_OutScholar*INDEX(LM_Scholar,G1013)+INDEX(v01_ResearcherShare,G1013)*v01_OutResearcher*INDEX(LM_Researcher,G1013)))</x:f>
        <x:v>83.9435159441231</x:v>
      </x:c>
      <x:c r="AL1013" s="32" t="n">
        <x:f>H1013*v01_RoleScale*Arch_Roles*AE1013*INDEX(v01_MonasteryPerSett,G1013)*v01_OutMonastery*INDEX(LM_Monastery,G1013)</x:f>
        <x:v>0</x:v>
      </x:c>
      <x:c r="AM1013" s="32" t="n">
        <x:f>(AJ1013+AK1013+AL1013)/4*INDEX(LM_All,G1013)*INDEX(v01_Boon,G1013)*Arch_Insight</x:f>
        <x:v>203.78010891388652</x:v>
      </x:c>
      <x:c r="AN1013" s="32" t="n">
        <x:f>H1013*(v01_KHPerAdult*Z1013+v01_KHOfCommons*AJ1013/4*INDEX(LM_All,G1013))*v01_KHUsable*Arch_KH</x:f>
        <x:v>44.520918533989146</x:v>
      </x:c>
      <x:c r="AO1013" s="32" t="n">
        <x:f>MIN(AP1012+AN1013,AM1013*v01_KHMaxRatio)</x:f>
        <x:v>44.520918533989146</x:v>
      </x:c>
      <x:c r="AP1013" s="32" t="n">
        <x:f>AP1012+AN1013-AO1013</x:f>
        <x:v>0</x:v>
      </x:c>
      <x:c r="AQ1013" s="32" t="n">
        <x:f>AM1013+AO1013</x:f>
        <x:v>248.30102744787567</x:v>
      </x:c>
      <x:c r="AR1013" s="10" t="n">
        <x:f>IF(H1013=1,INDEX(v01_Req,G1013),0)</x:f>
        <x:v>24714.473079999996</x:v>
      </x:c>
      <x:c r="AS1013" s="32" t="n">
        <x:f>IF(H1013=1,IF(E1013=1,AS1012-AR1012,AS1012)+AQ1013,0)</x:f>
        <x:v>22015.723368810875</x:v>
      </x:c>
      <x:c r="AT1013" s="11" t="n">
        <x:f>IF(AR1013&gt;0,MIN(1,AS1013/AR1013),1)</x:f>
        <x:v>0.8908028626605411</x:v>
      </x:c>
      <x:c r="AU1013" s="10" t="n">
        <x:f>AB1013/INDEX(v01_RepScale,G1013)</x:f>
        <x:v>295.70168790267473</x:v>
      </x:c>
      <x:c r="AV1013" s="32" t="n">
        <x:f>AM1013*60/v01_SeasonSeconds</x:f>
        <x:v>815.1204356555461</x:v>
      </x:c>
    </x:row>
    <x:row r="1014">
      <x:c r="A1014" s="8" t="n">
        <x:f>A1013+1</x:f>
        <x:v>1011</x:v>
      </x:c>
      <x:c r="B1014" s="9" t="n">
        <x:f>A1014*v01_SeasonSeconds/60</x:f>
        <x:v>252.75</x:v>
      </x:c>
      <x:c r="C1014" s="9" t="n">
        <x:f>A1014/4</x:f>
        <x:v>252.75</x:v>
      </x:c>
      <x:c r="D1014" s="8" t="n">
        <x:f>IF(MOD(A1014,4)=0,1,0)</x:f>
        <x:v>0</x:v>
      </x:c>
      <x:c r="E1014" s="8" t="n">
        <x:f>IF(AND(F1013&lt;=9,AS1013&gt;=AR1013),1,0)</x:f>
        <x:v>0</x:v>
      </x:c>
      <x:c r="F1014" s="8" t="n">
        <x:f>MIN(10,F1013+E1014)</x:f>
        <x:v>4</x:v>
      </x:c>
      <x:c r="G1014" s="8" t="n">
        <x:f>MIN(F1014,9)+1</x:f>
        <x:v>5</x:v>
      </x:c>
      <x:c r="H1014" s="8" t="n">
        <x:f>IF(F1014&lt;=9,1,0)</x:f>
        <x:v>1</x:v>
      </x:c>
      <x:c r="I1014" s="9" t="n">
        <x:f>MIN(10,F1013+IF(AR1013&gt;0,MIN(1,AS1013/AR1013),1))</x:f>
        <x:v>4.890802862660541</x:v>
      </x:c>
      <x:c r="J1014" s="32" t="n">
        <x:f>INDEX(v01_FoodCap,G1014)*Arch_FoodCap*EXP(v01_CapsByProject*SUMPRODUCT((Cap_Point&lt;=I1014)*(Cap_Kind="Food")*Cap_Ln))</x:f>
        <x:v>250</x:v>
      </x:c>
      <x:c r="K1014" s="32" t="n">
        <x:f>J1014*MIN(1,v01_LeanBase*EXP(v01_CapsByProject*SUMPRODUCT((Cap_Point&lt;=I1014)*(Cap_Kind="Lean")*Cap_Ln)))</x:f>
        <x:v>250</x:v>
      </x:c>
      <x:c r="L1014" s="10" t="n">
        <x:f>INDEX(v01_HousingCap,G1014)*EXP(v01_CapsByProject*SUMPRODUCT((Cap_Point&lt;=I1014)*(Cap_Kind="Housing")*Cap_Ln))</x:f>
        <x:v>400</x:v>
      </x:c>
      <x:c r="M1014" s="10" t="n">
        <x:f>INDEX(v01_GroupCap,G1014)*v01_CohesionFactor*EXP(v01_CapsByProject*SUMPRODUCT((Cap_Point&lt;=I1014)*(Cap_Kind="Group")*Cap_Ln))</x:f>
        <x:v>10000</x:v>
      </x:c>
      <x:c r="N1014" s="32" t="n">
        <x:f>MIN(J1014,L1014,M1014)</x:f>
        <x:v>250</x:v>
      </x:c>
      <x:c r="O1014" s="10" t="n">
        <x:f>AE1013*N1014</x:f>
        <x:v>4000</x:v>
      </x:c>
      <x:c r="P1014" s="9" t="n">
        <x:f>MIN(1,(AB1013/(AE1013*IF(v01_GroupInCrowding=1,N1014,MIN(J1014,L1014))))^v01_CrowdingExp)</x:f>
        <x:v>0.1632160537637033</x:v>
      </x:c>
      <x:c r="Q1014" s="9" t="n">
        <x:f>IF(D1014=1,INDEX(v01_WinterMult,G1014),1)</x:f>
        <x:v>1</x:v>
      </x:c>
      <x:c r="R1014" s="9" t="n">
        <x:f>H1014*Z1013*v01_WomenShare*v01_BaseFertility*INDEX(v01_FertMult,G1014)*Arch_Fertility*(1-P1014)</x:f>
        <x:v>38.31880104096286</x:v>
      </x:c>
      <x:c r="S1014" s="9" t="n">
        <x:f>H1014*Y1013*INDEX(v01_MortChild,G1014)/4*Q1014</x:f>
        <x:v>8.525396235329257</x:v>
      </x:c>
      <x:c r="T1014" s="9" t="n">
        <x:f>H1014*Z1013*INDEX(v01_MortAdult,G1014)*Arch_AdultMort/4*Q1014</x:f>
        <x:v>3.1800656095706534</x:v>
      </x:c>
      <x:c r="U1014" s="9" t="n">
        <x:f>H1014*AA1013*INDEX(v01_MortElder,G1014)/4*Q1014</x:f>
        <x:v>7.006153309414596</x:v>
      </x:c>
      <x:c r="V1014" s="9" t="n">
        <x:f>H1014*MAX(0,AB1013-O1014)*v01_OvercapLoss</x:f>
        <x:v>0</x:v>
      </x:c>
      <x:c r="W1014" s="9" t="n">
        <x:f>H1014*Y1013/(v01_ChildYears*4)</x:f>
        <x:v>21.748459784003206</x:v>
      </x:c>
      <x:c r="X1014" s="9" t="n">
        <x:f>H1014*Z1013/(v01_AdultYears*4)</x:f>
        <x:v>10.258276159905334</x:v>
      </x:c>
      <x:c r="Y1014" s="32" t="n">
        <x:f>Y1013+R1014-S1014-W1014-Y1013*V1014/AB1013</x:f>
        <x:v>1225.9586929258098</x:v>
      </x:c>
      <x:c r="Z1014" s="32" t="n">
        <x:f>Z1013+W1014-X1014-T1014-Z1013*V1014/AB1013</x:f>
        <x:v>1280.3363618427886</x:v>
      </x:c>
      <x:c r="AA1014" s="32" t="n">
        <x:f>AA1013+X1014-U1014-AA1013*V1014/AB1013</x:f>
        <x:v>470.32901014479717</x:v>
      </x:c>
      <x:c r="AB1014" s="10" t="n">
        <x:f>Y1014+Z1014+AA1014</x:f>
        <x:v>2976.624064913396</x:v>
      </x:c>
      <x:c r="AC1014" s="8" t="n">
        <x:f>IF(AND(v01_WinterTrigger=1,D1014=1,AB1013/AE1013&gt;=K1014),1,0)</x:f>
        <x:v>0</x:v>
      </x:c>
      <x:c r="AD1014" s="8" t="n">
        <x:f>H1014*IF(AND(OR(AB1013/AE1013&gt;=v01_FissionTrigger*N1014,AC1014=1),AB1013/AE1013*v01_DaughterShare&gt;=v01_MinDaughter),MAX(1,ROUND(AE1013*v01_FissionRate,0)),0)</x:f>
        <x:v>0</x:v>
      </x:c>
      <x:c r="AE1014" s="8" t="n">
        <x:f>IF(H1014=1,MAX(1,MIN(INDEX(v01_Smax,G1014),AE1013+AD1014)),AE1013)</x:f>
        <x:v>16</x:v>
      </x:c>
      <x:c r="AF1014" s="8" t="n">
        <x:f>MAX(0,AE1014-AE1013)</x:f>
        <x:v>0</x:v>
      </x:c>
      <x:c r="AG1014" s="9" t="str">
        <x:f>IF(AF1014&gt;0,B1014,"")</x:f>
      </x:c>
      <x:c r="AH1014" s="9" t="n">
        <x:f>IF(F1014&gt;=1,1,(1+v01_LowTiesShare*(AE1014-1))/AE1014)</x:f>
        <x:v>1</x:v>
      </x:c>
      <x:c r="AI1014" s="32" t="n">
        <x:f>(Z1014+v01_ElderCommons*INDEX(LM_Elder,G1014)*AA1014)*AH1014</x:f>
        <x:v>2691.32339227718</x:v>
      </x:c>
      <x:c r="AJ1014" s="32" t="n">
        <x:f>H1014*v01_CommonsCoef*AI1014^v01_CommonsExp*INDEX(LM_Commons,G1014)</x:f>
        <x:v>596.9782499403357</x:v>
      </x:c>
      <x:c r="AK1014" s="32" t="n">
        <x:f>H1014*v01_RoleScale*Arch_Roles*(AE1014*(INDEX(v01_ElderRolePerSett,G1014)*v01_OutElder*INDEX(LM_Elder,G1014)+INDEX(v01_ShamanPerSett,G1014)*v01_OutShaman)+Z1014*(INDEX(v01_PriestShare,G1014)*v01_OutPriest+INDEX(v01_ScribeShare,G1014)*v01_OutScribe*INDEX(LM_Scribe,G1014)+INDEX(v01_ScholarShare,G1014)*v01_OutScholar*INDEX(LM_Scholar,G1014)+INDEX(v01_ResearcherShare,G1014)*v01_OutResearcher*INDEX(LM_Researcher,G1014)))</x:f>
        <x:v>84.17833410200464</x:v>
      </x:c>
      <x:c r="AL1014" s="32" t="n">
        <x:f>H1014*v01_RoleScale*Arch_Roles*AE1014*INDEX(v01_MonasteryPerSett,G1014)*v01_OutMonastery*INDEX(LM_Monastery,G1014)</x:f>
        <x:v>0</x:v>
      </x:c>
      <x:c r="AM1014" s="32" t="n">
        <x:f>(AJ1014+AK1014+AL1014)/4*INDEX(LM_All,G1014)*INDEX(v01_Boon,G1014)*Arch_Insight</x:f>
        <x:v>204.87579386785688</x:v>
      </x:c>
      <x:c r="AN1014" s="32" t="n">
        <x:f>H1014*(v01_KHPerAdult*Z1014+v01_KHOfCommons*AJ1014/4*INDEX(LM_All,G1014))*v01_KHUsable*Arch_KH</x:f>
        <x:v>44.811772664497596</x:v>
      </x:c>
      <x:c r="AO1014" s="32" t="n">
        <x:f>MIN(AP1013+AN1014,AM1014*v01_KHMaxRatio)</x:f>
        <x:v>44.811772664497596</x:v>
      </x:c>
      <x:c r="AP1014" s="32" t="n">
        <x:f>AP1013+AN1014-AO1014</x:f>
        <x:v>0</x:v>
      </x:c>
      <x:c r="AQ1014" s="32" t="n">
        <x:f>AM1014+AO1014</x:f>
        <x:v>249.68756653235448</x:v>
      </x:c>
      <x:c r="AR1014" s="10" t="n">
        <x:f>IF(H1014=1,INDEX(v01_Req,G1014),0)</x:f>
        <x:v>24714.473079999996</x:v>
      </x:c>
      <x:c r="AS1014" s="32" t="n">
        <x:f>IF(H1014=1,IF(E1014=1,AS1013-AR1013,AS1013)+AQ1014,0)</x:f>
        <x:v>22265.41093534323</x:v>
      </x:c>
      <x:c r="AT1014" s="11" t="n">
        <x:f>IF(AR1014&gt;0,MIN(1,AS1014/AR1014),1)</x:f>
        <x:v>0.9009057511876046</x:v>
      </x:c>
      <x:c r="AU1014" s="10" t="n">
        <x:f>AB1014/INDEX(v01_RepScale,G1014)</x:f>
        <x:v>297.6624064913396</x:v>
      </x:c>
      <x:c r="AV1014" s="32" t="n">
        <x:f>AM1014*60/v01_SeasonSeconds</x:f>
        <x:v>819.5031754714275</x:v>
      </x:c>
    </x:row>
    <x:row r="1015">
      <x:c r="A1015" s="8" t="n">
        <x:f>A1014+1</x:f>
        <x:v>1012</x:v>
      </x:c>
      <x:c r="B1015" s="9" t="n">
        <x:f>A1015*v01_SeasonSeconds/60</x:f>
        <x:v>253</x:v>
      </x:c>
      <x:c r="C1015" s="9" t="n">
        <x:f>A1015/4</x:f>
        <x:v>253</x:v>
      </x:c>
      <x:c r="D1015" s="8" t="n">
        <x:f>IF(MOD(A1015,4)=0,1,0)</x:f>
        <x:v>1</x:v>
      </x:c>
      <x:c r="E1015" s="8" t="n">
        <x:f>IF(AND(F1014&lt;=9,AS1014&gt;=AR1014),1,0)</x:f>
        <x:v>0</x:v>
      </x:c>
      <x:c r="F1015" s="8" t="n">
        <x:f>MIN(10,F1014+E1015)</x:f>
        <x:v>4</x:v>
      </x:c>
      <x:c r="G1015" s="8" t="n">
        <x:f>MIN(F1015,9)+1</x:f>
        <x:v>5</x:v>
      </x:c>
      <x:c r="H1015" s="8" t="n">
        <x:f>IF(F1015&lt;=9,1,0)</x:f>
        <x:v>1</x:v>
      </x:c>
      <x:c r="I1015" s="9" t="n">
        <x:f>MIN(10,F1014+IF(AR1014&gt;0,MIN(1,AS1014/AR1014),1))</x:f>
        <x:v>4.900905751187604</x:v>
      </x:c>
      <x:c r="J1015" s="32" t="n">
        <x:f>INDEX(v01_FoodCap,G1015)*Arch_FoodCap*EXP(v01_CapsByProject*SUMPRODUCT((Cap_Point&lt;=I1015)*(Cap_Kind="Food")*Cap_Ln))</x:f>
        <x:v>250</x:v>
      </x:c>
      <x:c r="K1015" s="32" t="n">
        <x:f>J1015*MIN(1,v01_LeanBase*EXP(v01_CapsByProject*SUMPRODUCT((Cap_Point&lt;=I1015)*(Cap_Kind="Lean")*Cap_Ln)))</x:f>
        <x:v>250</x:v>
      </x:c>
      <x:c r="L1015" s="10" t="n">
        <x:f>INDEX(v01_HousingCap,G1015)*EXP(v01_CapsByProject*SUMPRODUCT((Cap_Point&lt;=I1015)*(Cap_Kind="Housing")*Cap_Ln))</x:f>
        <x:v>400</x:v>
      </x:c>
      <x:c r="M1015" s="10" t="n">
        <x:f>INDEX(v01_GroupCap,G1015)*v01_CohesionFactor*EXP(v01_CapsByProject*SUMPRODUCT((Cap_Point&lt;=I1015)*(Cap_Kind="Group")*Cap_Ln))</x:f>
        <x:v>10000</x:v>
      </x:c>
      <x:c r="N1015" s="32" t="n">
        <x:f>MIN(J1015,L1015,M1015)</x:f>
        <x:v>250</x:v>
      </x:c>
      <x:c r="O1015" s="10" t="n">
        <x:f>AE1014*N1015</x:f>
        <x:v>4000</x:v>
      </x:c>
      <x:c r="P1015" s="9" t="n">
        <x:f>MIN(1,(AB1014/(AE1014*IF(v01_GroupInCrowding=1,N1015,MIN(J1015,L1015))))^v01_CrowdingExp)</x:f>
        <x:v>0.1698181022727313</x:v>
      </x:c>
      <x:c r="Q1015" s="9" t="n">
        <x:f>IF(D1015=1,INDEX(v01_WinterMult,G1015),1)</x:f>
        <x:v>1</x:v>
      </x:c>
      <x:c r="R1015" s="9" t="n">
        <x:f>H1015*Z1014*v01_WomenShare*v01_BaseFertility*INDEX(v01_FertMult,G1015)*Arch_Fertility*(1-P1015)</x:f>
        <x:v>38.26483454173943</x:v>
      </x:c>
      <x:c r="S1015" s="9" t="n">
        <x:f>H1015*Y1014*INDEX(v01_MortChild,G1015)/4*Q1015</x:f>
        <x:v>8.581710850480668</x:v>
      </x:c>
      <x:c r="T1015" s="9" t="n">
        <x:f>H1015*Z1014*INDEX(v01_MortAdult,G1015)*Arch_AdultMort/4*Q1015</x:f>
        <x:v>3.2008409046069715</x:v>
      </x:c>
      <x:c r="U1015" s="9" t="n">
        <x:f>H1015*AA1014*INDEX(v01_MortElder,G1015)/4*Q1015</x:f>
        <x:v>7.054935152171957</x:v>
      </x:c>
      <x:c r="V1015" s="9" t="n">
        <x:f>H1015*MAX(0,AB1014-O1015)*v01_OvercapLoss</x:f>
        <x:v>0</x:v>
      </x:c>
      <x:c r="W1015" s="9" t="n">
        <x:f>H1015*Y1014/(v01_ChildYears*4)</x:f>
        <x:v>21.89211951653232</x:v>
      </x:c>
      <x:c r="X1015" s="9" t="n">
        <x:f>H1015*Z1014/(v01_AdultYears*4)</x:f>
        <x:v>10.32529324066765</x:v>
      </x:c>
      <x:c r="Y1015" s="32" t="n">
        <x:f>Y1014+R1015-S1015-W1015-Y1014*V1015/AB1014</x:f>
        <x:v>1233.7496971005362</x:v>
      </x:c>
      <x:c r="Z1015" s="32" t="n">
        <x:f>Z1014+W1015-X1015-T1015-Z1014*V1015/AB1014</x:f>
        <x:v>1288.7023472140463</x:v>
      </x:c>
      <x:c r="AA1015" s="32" t="n">
        <x:f>AA1014+X1015-U1015-AA1014*V1015/AB1014</x:f>
        <x:v>473.59936823329286</x:v>
      </x:c>
      <x:c r="AB1015" s="10" t="n">
        <x:f>Y1015+Z1015+AA1015</x:f>
        <x:v>2996.0514125478753</x:v>
      </x:c>
      <x:c r="AC1015" s="8" t="n">
        <x:f>IF(AND(v01_WinterTrigger=1,D1015=1,AB1014/AE1014&gt;=K1015),1,0)</x:f>
        <x:v>0</x:v>
      </x:c>
      <x:c r="AD1015" s="8" t="n">
        <x:f>H1015*IF(AND(OR(AB1014/AE1014&gt;=v01_FissionTrigger*N1015,AC1015=1),AB1014/AE1014*v01_DaughterShare&gt;=v01_MinDaughter),MAX(1,ROUND(AE1014*v01_FissionRate,0)),0)</x:f>
        <x:v>0</x:v>
      </x:c>
      <x:c r="AE1015" s="8" t="n">
        <x:f>IF(H1015=1,MAX(1,MIN(INDEX(v01_Smax,G1015),AE1014+AD1015)),AE1014)</x:f>
        <x:v>16</x:v>
      </x:c>
      <x:c r="AF1015" s="8" t="n">
        <x:f>MAX(0,AE1015-AE1014)</x:f>
        <x:v>0</x:v>
      </x:c>
      <x:c r="AG1015" s="9" t="str">
        <x:f>IF(AF1015&gt;0,B1015,"")</x:f>
      </x:c>
      <x:c r="AH1015" s="9" t="n">
        <x:f>IF(F1015&gt;=1,1,(1+v01_LowTiesShare*(AE1015-1))/AE1015)</x:f>
        <x:v>1</x:v>
      </x:c>
      <x:c r="AI1015" s="32" t="n">
        <x:f>(Z1015+v01_ElderCommons*INDEX(LM_Elder,G1015)*AA1015)*AH1015</x:f>
        <x:v>2709.5004519139247</x:v>
      </x:c>
      <x:c r="AJ1015" s="32" t="n">
        <x:f>H1015*v01_CommonsCoef*AI1015^v01_CommonsExp*INDEX(LM_Commons,G1015)</x:f>
        <x:v>600.4036847122961</x:v>
      </x:c>
      <x:c r="AK1015" s="32" t="n">
        <x:f>H1015*v01_RoleScale*Arch_Roles*(AE1015*(INDEX(v01_ElderRolePerSett,G1015)*v01_OutElder*INDEX(LM_Elder,G1015)+INDEX(v01_ShamanPerSett,G1015)*v01_OutShaman)+Z1015*(INDEX(v01_PriestShare,G1015)*v01_OutPriest+INDEX(v01_ScribeShare,G1015)*v01_OutScribe*INDEX(LM_Scribe,G1015)+INDEX(v01_ScholarShare,G1015)*v01_OutScholar*INDEX(LM_Scholar,G1015)+INDEX(v01_ResearcherShare,G1015)*v01_OutResearcher*INDEX(LM_Researcher,G1015)))</x:f>
        <x:v>84.41473089809205</x:v>
      </x:c>
      <x:c r="AL1015" s="32" t="n">
        <x:f>H1015*v01_RoleScale*Arch_Roles*AE1015*INDEX(v01_MonasteryPerSett,G1015)*v01_OutMonastery*INDEX(LM_Monastery,G1015)</x:f>
        <x:v>0</x:v>
      </x:c>
      <x:c r="AM1015" s="32" t="n">
        <x:f>(AJ1015+AK1015+AL1015)/4*INDEX(LM_All,G1015)*INDEX(v01_Boon,G1015)*Arch_Insight</x:f>
        <x:v>205.97718621594518</x:v>
      </x:c>
      <x:c r="AN1015" s="32" t="n">
        <x:f>H1015*(v01_KHPerAdult*Z1015+v01_KHOfCommons*AJ1015/4*INDEX(LM_All,G1015))*v01_KHUsable*Arch_KH</x:f>
        <x:v>45.10458215249162</x:v>
      </x:c>
      <x:c r="AO1015" s="32" t="n">
        <x:f>MIN(AP1014+AN1015,AM1015*v01_KHMaxRatio)</x:f>
        <x:v>45.10458215249162</x:v>
      </x:c>
      <x:c r="AP1015" s="32" t="n">
        <x:f>AP1014+AN1015-AO1015</x:f>
        <x:v>0</x:v>
      </x:c>
      <x:c r="AQ1015" s="32" t="n">
        <x:f>AM1015+AO1015</x:f>
        <x:v>251.0817683684368</x:v>
      </x:c>
      <x:c r="AR1015" s="10" t="n">
        <x:f>IF(H1015=1,INDEX(v01_Req,G1015),0)</x:f>
        <x:v>24714.473079999996</x:v>
      </x:c>
      <x:c r="AS1015" s="32" t="n">
        <x:f>IF(H1015=1,IF(E1015=1,AS1014-AR1014,AS1014)+AQ1015,0)</x:f>
        <x:v>22516.492703711665</x:v>
      </x:c>
      <x:c r="AT1015" s="11" t="n">
        <x:f>IF(AR1015&gt;0,MIN(1,AS1015/AR1015),1)</x:f>
        <x:v>0.9110650520780461</x:v>
      </x:c>
      <x:c r="AU1015" s="10" t="n">
        <x:f>AB1015/INDEX(v01_RepScale,G1015)</x:f>
        <x:v>299.60514125478755</x:v>
      </x:c>
      <x:c r="AV1015" s="32" t="n">
        <x:f>AM1015*60/v01_SeasonSeconds</x:f>
        <x:v>823.9087448637807</x:v>
      </x:c>
    </x:row>
    <x:row r="1016">
      <x:c r="A1016" s="8" t="n">
        <x:f>A1015+1</x:f>
        <x:v>1013</x:v>
      </x:c>
      <x:c r="B1016" s="9" t="n">
        <x:f>A1016*v01_SeasonSeconds/60</x:f>
        <x:v>253.25</x:v>
      </x:c>
      <x:c r="C1016" s="9" t="n">
        <x:f>A1016/4</x:f>
        <x:v>253.25</x:v>
      </x:c>
      <x:c r="D1016" s="8" t="n">
        <x:f>IF(MOD(A1016,4)=0,1,0)</x:f>
        <x:v>0</x:v>
      </x:c>
      <x:c r="E1016" s="8" t="n">
        <x:f>IF(AND(F1015&lt;=9,AS1015&gt;=AR1015),1,0)</x:f>
        <x:v>0</x:v>
      </x:c>
      <x:c r="F1016" s="8" t="n">
        <x:f>MIN(10,F1015+E1016)</x:f>
        <x:v>4</x:v>
      </x:c>
      <x:c r="G1016" s="8" t="n">
        <x:f>MIN(F1016,9)+1</x:f>
        <x:v>5</x:v>
      </x:c>
      <x:c r="H1016" s="8" t="n">
        <x:f>IF(F1016&lt;=9,1,0)</x:f>
        <x:v>1</x:v>
      </x:c>
      <x:c r="I1016" s="9" t="n">
        <x:f>MIN(10,F1015+IF(AR1015&gt;0,MIN(1,AS1015/AR1015),1))</x:f>
        <x:v>4.911065052078046</x:v>
      </x:c>
      <x:c r="J1016" s="32" t="n">
        <x:f>INDEX(v01_FoodCap,G1016)*Arch_FoodCap*EXP(v01_CapsByProject*SUMPRODUCT((Cap_Point&lt;=I1016)*(Cap_Kind="Food")*Cap_Ln))</x:f>
        <x:v>250</x:v>
      </x:c>
      <x:c r="K1016" s="32" t="n">
        <x:f>J1016*MIN(1,v01_LeanBase*EXP(v01_CapsByProject*SUMPRODUCT((Cap_Point&lt;=I1016)*(Cap_Kind="Lean")*Cap_Ln)))</x:f>
        <x:v>250</x:v>
      </x:c>
      <x:c r="L1016" s="10" t="n">
        <x:f>INDEX(v01_HousingCap,G1016)*EXP(v01_CapsByProject*SUMPRODUCT((Cap_Point&lt;=I1016)*(Cap_Kind="Housing")*Cap_Ln))</x:f>
        <x:v>400</x:v>
      </x:c>
      <x:c r="M1016" s="10" t="n">
        <x:f>INDEX(v01_GroupCap,G1016)*v01_CohesionFactor*EXP(v01_CapsByProject*SUMPRODUCT((Cap_Point&lt;=I1016)*(Cap_Kind="Group")*Cap_Ln))</x:f>
        <x:v>10000</x:v>
      </x:c>
      <x:c r="N1016" s="32" t="n">
        <x:f>MIN(J1016,L1016,M1016)</x:f>
        <x:v>250</x:v>
      </x:c>
      <x:c r="O1016" s="10" t="n">
        <x:f>AE1015*N1016</x:f>
        <x:v>4000</x:v>
      </x:c>
      <x:c r="P1016" s="9" t="n">
        <x:f>MIN(1,(AB1015/(AE1015*IF(v01_GroupInCrowding=1,N1016,MIN(J1016,L1016))))^v01_CrowdingExp)</x:f>
        <x:v>0.17657760492303323</x:v>
      </x:c>
      <x:c r="Q1016" s="9" t="n">
        <x:f>IF(D1016=1,INDEX(v01_WinterMult,G1016),1)</x:f>
        <x:v>1</x:v>
      </x:c>
      <x:c r="R1016" s="9" t="n">
        <x:f>H1016*Z1015*v01_WomenShare*v01_BaseFertility*INDEX(v01_FertMult,G1016)*Arch_Fertility*(1-P1016)</x:f>
        <x:v>38.20126943823476</x:v>
      </x:c>
      <x:c r="S1016" s="9" t="n">
        <x:f>H1016*Y1015*INDEX(v01_MortChild,G1016)/4*Q1016</x:f>
        <x:v>8.636247879703754</x:v>
      </x:c>
      <x:c r="T1016" s="9" t="n">
        <x:f>H1016*Z1015*INDEX(v01_MortAdult,G1016)*Arch_AdultMort/4*Q1016</x:f>
        <x:v>3.2217558680351157</x:v>
      </x:c>
      <x:c r="U1016" s="9" t="n">
        <x:f>H1016*AA1015*INDEX(v01_MortElder,G1016)/4*Q1016</x:f>
        <x:v>7.103990523499393</x:v>
      </x:c>
      <x:c r="V1016" s="9" t="n">
        <x:f>H1016*MAX(0,AB1015-O1016)*v01_OvercapLoss</x:f>
        <x:v>0</x:v>
      </x:c>
      <x:c r="W1016" s="9" t="n">
        <x:f>H1016*Y1015/(v01_ChildYears*4)</x:f>
        <x:v>22.031244591081002</x:v>
      </x:c>
      <x:c r="X1016" s="9" t="n">
        <x:f>H1016*Z1015/(v01_AdultYears*4)</x:f>
        <x:v>10.392760864629405</x:v>
      </x:c>
      <x:c r="Y1016" s="32" t="n">
        <x:f>Y1015+R1016-S1016-W1016-Y1015*V1016/AB1015</x:f>
        <x:v>1241.2834740679862</x:v>
      </x:c>
      <x:c r="Z1016" s="32" t="n">
        <x:f>Z1015+W1016-X1016-T1016-Z1015*V1016/AB1015</x:f>
        <x:v>1297.1190750724627</x:v>
      </x:c>
      <x:c r="AA1016" s="32" t="n">
        <x:f>AA1015+X1016-U1016-AA1015*V1016/AB1015</x:f>
        <x:v>476.88813857442284</x:v>
      </x:c>
      <x:c r="AB1016" s="10" t="n">
        <x:f>Y1016+Z1016+AA1016</x:f>
        <x:v>3015.290687714872</x:v>
      </x:c>
      <x:c r="AC1016" s="8" t="n">
        <x:f>IF(AND(v01_WinterTrigger=1,D1016=1,AB1015/AE1015&gt;=K1016),1,0)</x:f>
        <x:v>0</x:v>
      </x:c>
      <x:c r="AD1016" s="8" t="n">
        <x:f>H1016*IF(AND(OR(AB1015/AE1015&gt;=v01_FissionTrigger*N1016,AC1016=1),AB1015/AE1015*v01_DaughterShare&gt;=v01_MinDaughter),MAX(1,ROUND(AE1015*v01_FissionRate,0)),0)</x:f>
        <x:v>0</x:v>
      </x:c>
      <x:c r="AE1016" s="8" t="n">
        <x:f>IF(H1016=1,MAX(1,MIN(INDEX(v01_Smax,G1016),AE1015+AD1016)),AE1015)</x:f>
        <x:v>16</x:v>
      </x:c>
      <x:c r="AF1016" s="8" t="n">
        <x:f>MAX(0,AE1016-AE1015)</x:f>
        <x:v>0</x:v>
      </x:c>
      <x:c r="AG1016" s="9" t="str">
        <x:f>IF(AF1016&gt;0,B1016,"")</x:f>
      </x:c>
      <x:c r="AH1016" s="9" t="n">
        <x:f>IF(F1016&gt;=1,1,(1+v01_LowTiesShare*(AE1016-1))/AE1016)</x:f>
        <x:v>1</x:v>
      </x:c>
      <x:c r="AI1016" s="32" t="n">
        <x:f>(Z1016+v01_ElderCommons*INDEX(LM_Elder,G1016)*AA1016)*AH1016</x:f>
        <x:v>2727.7834907957313</x:v>
      </x:c>
      <x:c r="AJ1016" s="32" t="n">
        <x:f>H1016*v01_CommonsCoef*AI1016^v01_CommonsExp*INDEX(LM_Commons,G1016)</x:f>
        <x:v>603.8456156533636</x:v>
      </x:c>
      <x:c r="AK1016" s="32" t="n">
        <x:f>H1016*v01_RoleScale*Arch_Roles*(AE1016*(INDEX(v01_ElderRolePerSett,G1016)*v01_OutElder*INDEX(LM_Elder,G1016)+INDEX(v01_ShamanPerSett,G1016)*v01_OutShaman)+Z1016*(INDEX(v01_PriestShare,G1016)*v01_OutPriest+INDEX(v01_ScribeShare,G1016)*v01_OutScribe*INDEX(LM_Scribe,G1016)+INDEX(v01_ScholarShare,G1016)*v01_OutScholar*INDEX(LM_Scholar,G1016)+INDEX(v01_ResearcherShare,G1016)*v01_OutResearcher*INDEX(LM_Researcher,G1016)))</x:f>
        <x:v>84.65256151946811</x:v>
      </x:c>
      <x:c r="AL1016" s="32" t="n">
        <x:f>H1016*v01_RoleScale*Arch_Roles*AE1016*INDEX(v01_MonasteryPerSett,G1016)*v01_OutMonastery*INDEX(LM_Monastery,G1016)</x:f>
        <x:v>0</x:v>
      </x:c>
      <x:c r="AM1016" s="32" t="n">
        <x:f>(AJ1016+AK1016+AL1016)/4*INDEX(LM_All,G1016)*INDEX(v01_Boon,G1016)*Arch_Insight</x:f>
        <x:v>207.08397148237543</x:v>
      </x:c>
      <x:c r="AN1016" s="32" t="n">
        <x:f>H1016*(v01_KHPerAdult*Z1016+v01_KHOfCommons*AJ1016/4*INDEX(LM_All,G1016))*v01_KHUsable*Arch_KH</x:f>
        <x:v>45.399167627536194</x:v>
      </x:c>
      <x:c r="AO1016" s="32" t="n">
        <x:f>MIN(AP1015+AN1016,AM1016*v01_KHMaxRatio)</x:f>
        <x:v>45.399167627536194</x:v>
      </x:c>
      <x:c r="AP1016" s="32" t="n">
        <x:f>AP1015+AN1016-AO1016</x:f>
        <x:v>0</x:v>
      </x:c>
      <x:c r="AQ1016" s="32" t="n">
        <x:f>AM1016+AO1016</x:f>
        <x:v>252.48313910991163</x:v>
      </x:c>
      <x:c r="AR1016" s="10" t="n">
        <x:f>IF(H1016=1,INDEX(v01_Req,G1016),0)</x:f>
        <x:v>24714.473079999996</x:v>
      </x:c>
      <x:c r="AS1016" s="32" t="n">
        <x:f>IF(H1016=1,IF(E1016=1,AS1015-AR1015,AS1015)+AQ1016,0)</x:f>
        <x:v>22768.975842821575</x:v>
      </x:c>
      <x:c r="AT1016" s="11" t="n">
        <x:f>IF(AR1016&gt;0,MIN(1,AS1016/AR1016),1)</x:f>
        <x:v>0.9212810554009828</x:v>
      </x:c>
      <x:c r="AU1016" s="10" t="n">
        <x:f>AB1016/INDEX(v01_RepScale,G1016)</x:f>
        <x:v>301.52906877148723</x:v>
      </x:c>
      <x:c r="AV1016" s="32" t="n">
        <x:f>AM1016*60/v01_SeasonSeconds</x:f>
        <x:v>828.3358859295017</x:v>
      </x:c>
    </x:row>
    <x:row r="1017">
      <x:c r="A1017" s="8" t="n">
        <x:f>A1016+1</x:f>
        <x:v>1014</x:v>
      </x:c>
      <x:c r="B1017" s="9" t="n">
        <x:f>A1017*v01_SeasonSeconds/60</x:f>
        <x:v>253.5</x:v>
      </x:c>
      <x:c r="C1017" s="9" t="n">
        <x:f>A1017/4</x:f>
        <x:v>253.5</x:v>
      </x:c>
      <x:c r="D1017" s="8" t="n">
        <x:f>IF(MOD(A1017,4)=0,1,0)</x:f>
        <x:v>0</x:v>
      </x:c>
      <x:c r="E1017" s="8" t="n">
        <x:f>IF(AND(F1016&lt;=9,AS1016&gt;=AR1016),1,0)</x:f>
        <x:v>0</x:v>
      </x:c>
      <x:c r="F1017" s="8" t="n">
        <x:f>MIN(10,F1016+E1017)</x:f>
        <x:v>4</x:v>
      </x:c>
      <x:c r="G1017" s="8" t="n">
        <x:f>MIN(F1017,9)+1</x:f>
        <x:v>5</x:v>
      </x:c>
      <x:c r="H1017" s="8" t="n">
        <x:f>IF(F1017&lt;=9,1,0)</x:f>
        <x:v>1</x:v>
      </x:c>
      <x:c r="I1017" s="9" t="n">
        <x:f>MIN(10,F1016+IF(AR1016&gt;0,MIN(1,AS1016/AR1016),1))</x:f>
        <x:v>4.921281055400983</x:v>
      </x:c>
      <x:c r="J1017" s="32" t="n">
        <x:f>INDEX(v01_FoodCap,G1017)*Arch_FoodCap*EXP(v01_CapsByProject*SUMPRODUCT((Cap_Point&lt;=I1017)*(Cap_Kind="Food")*Cap_Ln))</x:f>
        <x:v>250</x:v>
      </x:c>
      <x:c r="K1017" s="32" t="n">
        <x:f>J1017*MIN(1,v01_LeanBase*EXP(v01_CapsByProject*SUMPRODUCT((Cap_Point&lt;=I1017)*(Cap_Kind="Lean")*Cap_Ln)))</x:f>
        <x:v>250</x:v>
      </x:c>
      <x:c r="L1017" s="10" t="n">
        <x:f>INDEX(v01_HousingCap,G1017)*EXP(v01_CapsByProject*SUMPRODUCT((Cap_Point&lt;=I1017)*(Cap_Kind="Housing")*Cap_Ln))</x:f>
        <x:v>400</x:v>
      </x:c>
      <x:c r="M1017" s="10" t="n">
        <x:f>INDEX(v01_GroupCap,G1017)*v01_CohesionFactor*EXP(v01_CapsByProject*SUMPRODUCT((Cap_Point&lt;=I1017)*(Cap_Kind="Group")*Cap_Ln))</x:f>
        <x:v>10000</x:v>
      </x:c>
      <x:c r="N1017" s="32" t="n">
        <x:f>MIN(J1017,L1017,M1017)</x:f>
        <x:v>250</x:v>
      </x:c>
      <x:c r="O1017" s="10" t="n">
        <x:f>AE1016*N1017</x:f>
        <x:v>4000</x:v>
      </x:c>
      <x:c r="P1017" s="9" t="n">
        <x:f>MIN(1,(AB1016/(AE1016*IF(v01_GroupInCrowding=1,N1017,MIN(J1017,L1017))))^v01_CrowdingExp)</x:f>
        <x:v>0.18349117037091786</x:v>
      </x:c>
      <x:c r="Q1017" s="9" t="n">
        <x:f>IF(D1017=1,INDEX(v01_WinterMult,G1017),1)</x:f>
        <x:v>1</x:v>
      </x:c>
      <x:c r="R1017" s="9" t="n">
        <x:f>H1017*Z1016*v01_WomenShare*v01_BaseFertility*INDEX(v01_FertMult,G1017)*Arch_Fertility*(1-P1017)</x:f>
        <x:v>38.127930403571064</x:v>
      </x:c>
      <x:c r="S1017" s="9" t="n">
        <x:f>H1017*Y1016*INDEX(v01_MortChild,G1017)/4*Q1017</x:f>
        <x:v>8.688984318475903</x:v>
      </x:c>
      <x:c r="T1017" s="9" t="n">
        <x:f>H1017*Z1016*INDEX(v01_MortAdult,G1017)*Arch_AdultMort/4*Q1017</x:f>
        <x:v>3.242797687681157</x:v>
      </x:c>
      <x:c r="U1017" s="9" t="n">
        <x:f>H1017*AA1016*INDEX(v01_MortElder,G1017)/4*Q1017</x:f>
        <x:v>7.153322078616342</x:v>
      </x:c>
      <x:c r="V1017" s="9" t="n">
        <x:f>H1017*MAX(0,AB1016-O1017)*v01_OvercapLoss</x:f>
        <x:v>0</x:v>
      </x:c>
      <x:c r="W1017" s="9" t="n">
        <x:f>H1017*Y1016/(v01_ChildYears*4)</x:f>
        <x:v>22.16577632264261</x:v>
      </x:c>
      <x:c r="X1017" s="9" t="n">
        <x:f>H1017*Z1016/(v01_AdultYears*4)</x:f>
        <x:v>10.46063770219728</x:v>
      </x:c>
      <x:c r="Y1017" s="32" t="n">
        <x:f>Y1016+R1017-S1017-W1017-Y1016*V1017/AB1016</x:f>
        <x:v>1248.5566438304388</x:v>
      </x:c>
      <x:c r="Z1017" s="32" t="n">
        <x:f>Z1016+W1017-X1017-T1017-Z1016*V1017/AB1016</x:f>
        <x:v>1305.5814160052269</x:v>
      </x:c>
      <x:c r="AA1017" s="32" t="n">
        <x:f>AA1016+X1017-U1017-AA1016*V1017/AB1016</x:f>
        <x:v>480.1954541980038</x:v>
      </x:c>
      <x:c r="AB1017" s="10" t="n">
        <x:f>Y1017+Z1017+AA1017</x:f>
        <x:v>3034.3335140336694</x:v>
      </x:c>
      <x:c r="AC1017" s="8" t="n">
        <x:f>IF(AND(v01_WinterTrigger=1,D1017=1,AB1016/AE1016&gt;=K1017),1,0)</x:f>
        <x:v>0</x:v>
      </x:c>
      <x:c r="AD1017" s="8" t="n">
        <x:f>H1017*IF(AND(OR(AB1016/AE1016&gt;=v01_FissionTrigger*N1017,AC1017=1),AB1016/AE1016*v01_DaughterShare&gt;=v01_MinDaughter),MAX(1,ROUND(AE1016*v01_FissionRate,0)),0)</x:f>
        <x:v>0</x:v>
      </x:c>
      <x:c r="AE1017" s="8" t="n">
        <x:f>IF(H1017=1,MAX(1,MIN(INDEX(v01_Smax,G1017),AE1016+AD1017)),AE1016)</x:f>
        <x:v>16</x:v>
      </x:c>
      <x:c r="AF1017" s="8" t="n">
        <x:f>MAX(0,AE1017-AE1016)</x:f>
        <x:v>0</x:v>
      </x:c>
      <x:c r="AG1017" s="9" t="str">
        <x:f>IF(AF1017&gt;0,B1017,"")</x:f>
      </x:c>
      <x:c r="AH1017" s="9" t="n">
        <x:f>IF(F1017&gt;=1,1,(1+v01_LowTiesShare*(AE1017-1))/AE1017)</x:f>
        <x:v>1</x:v>
      </x:c>
      <x:c r="AI1017" s="32" t="n">
        <x:f>(Z1017+v01_ElderCommons*INDEX(LM_Elder,G1017)*AA1017)*AH1017</x:f>
        <x:v>2746.1677785992383</x:v>
      </x:c>
      <x:c r="AJ1017" s="32" t="n">
        <x:f>H1017*v01_CommonsCoef*AI1017^v01_CommonsExp*INDEX(LM_Commons,G1017)</x:f>
        <x:v>607.3031200603481</x:v>
      </x:c>
      <x:c r="AK1017" s="32" t="n">
        <x:f>H1017*v01_RoleScale*Arch_Roles*(AE1017*(INDEX(v01_ElderRolePerSett,G1017)*v01_OutElder*INDEX(LM_Elder,G1017)+INDEX(v01_ShamanPerSett,G1017)*v01_OutShaman)+Z1017*(INDEX(v01_PriestShare,G1017)*v01_OutPriest+INDEX(v01_ScribeShare,G1017)*v01_OutScribe*INDEX(LM_Scribe,G1017)+INDEX(v01_ScholarShare,G1017)*v01_OutScholar*INDEX(LM_Scholar,G1017)+INDEX(v01_ResearcherShare,G1017)*v01_OutResearcher*INDEX(LM_Researcher,G1017)))</x:f>
        <x:v>84.89168102483774</x:v>
      </x:c>
      <x:c r="AL1017" s="32" t="n">
        <x:f>H1017*v01_RoleScale*Arch_Roles*AE1017*INDEX(v01_MonasteryPerSett,G1017)*v01_OutMonastery*INDEX(LM_Monastery,G1017)</x:f>
        <x:v>0</x:v>
      </x:c>
      <x:c r="AM1017" s="32" t="n">
        <x:f>(AJ1017+AK1017+AL1017)/4*INDEX(LM_All,G1017)*INDEX(v01_Boon,G1017)*Arch_Insight</x:f>
        <x:v>208.19582854493208</x:v>
      </x:c>
      <x:c r="AN1017" s="32" t="n">
        <x:f>H1017*(v01_KHPerAdult*Z1017+v01_KHOfCommons*AJ1017/4*INDEX(LM_All,G1017))*v01_KHUsable*Arch_KH</x:f>
        <x:v>45.69534956018294</x:v>
      </x:c>
      <x:c r="AO1017" s="32" t="n">
        <x:f>MIN(AP1016+AN1017,AM1017*v01_KHMaxRatio)</x:f>
        <x:v>45.69534956018294</x:v>
      </x:c>
      <x:c r="AP1017" s="32" t="n">
        <x:f>AP1016+AN1017-AO1017</x:f>
        <x:v>0</x:v>
      </x:c>
      <x:c r="AQ1017" s="32" t="n">
        <x:f>AM1017+AO1017</x:f>
        <x:v>253.89117810511502</x:v>
      </x:c>
      <x:c r="AR1017" s="10" t="n">
        <x:f>IF(H1017=1,INDEX(v01_Req,G1017),0)</x:f>
        <x:v>24714.473079999996</x:v>
      </x:c>
      <x:c r="AS1017" s="32" t="n">
        <x:f>IF(H1017=1,IF(E1017=1,AS1016-AR1016,AS1016)+AQ1017,0)</x:f>
        <x:v>23022.86702092669</x:v>
      </x:c>
      <x:c r="AT1017" s="11" t="n">
        <x:f>IF(AR1017&gt;0,MIN(1,AS1017/AR1017),1)</x:f>
        <x:v>0.931554030968104</x:v>
      </x:c>
      <x:c r="AU1017" s="10" t="n">
        <x:f>AB1017/INDEX(v01_RepScale,G1017)</x:f>
        <x:v>303.43335140336694</x:v>
      </x:c>
      <x:c r="AV1017" s="32" t="n">
        <x:f>AM1017*60/v01_SeasonSeconds</x:f>
        <x:v>832.7833141797283</x:v>
      </x:c>
    </x:row>
    <x:row r="1018">
      <x:c r="A1018" s="8" t="n">
        <x:f>A1017+1</x:f>
        <x:v>1015</x:v>
      </x:c>
      <x:c r="B1018" s="9" t="n">
        <x:f>A1018*v01_SeasonSeconds/60</x:f>
        <x:v>253.75</x:v>
      </x:c>
      <x:c r="C1018" s="9" t="n">
        <x:f>A1018/4</x:f>
        <x:v>253.75</x:v>
      </x:c>
      <x:c r="D1018" s="8" t="n">
        <x:f>IF(MOD(A1018,4)=0,1,0)</x:f>
        <x:v>0</x:v>
      </x:c>
      <x:c r="E1018" s="8" t="n">
        <x:f>IF(AND(F1017&lt;=9,AS1017&gt;=AR1017),1,0)</x:f>
        <x:v>0</x:v>
      </x:c>
      <x:c r="F1018" s="8" t="n">
        <x:f>MIN(10,F1017+E1018)</x:f>
        <x:v>4</x:v>
      </x:c>
      <x:c r="G1018" s="8" t="n">
        <x:f>MIN(F1018,9)+1</x:f>
        <x:v>5</x:v>
      </x:c>
      <x:c r="H1018" s="8" t="n">
        <x:f>IF(F1018&lt;=9,1,0)</x:f>
        <x:v>1</x:v>
      </x:c>
      <x:c r="I1018" s="9" t="n">
        <x:f>MIN(10,F1017+IF(AR1017&gt;0,MIN(1,AS1017/AR1017),1))</x:f>
        <x:v>4.931554030968104</x:v>
      </x:c>
      <x:c r="J1018" s="32" t="n">
        <x:f>INDEX(v01_FoodCap,G1018)*Arch_FoodCap*EXP(v01_CapsByProject*SUMPRODUCT((Cap_Point&lt;=I1018)*(Cap_Kind="Food")*Cap_Ln))</x:f>
        <x:v>250</x:v>
      </x:c>
      <x:c r="K1018" s="32" t="n">
        <x:f>J1018*MIN(1,v01_LeanBase*EXP(v01_CapsByProject*SUMPRODUCT((Cap_Point&lt;=I1018)*(Cap_Kind="Lean")*Cap_Ln)))</x:f>
        <x:v>250</x:v>
      </x:c>
      <x:c r="L1018" s="10" t="n">
        <x:f>INDEX(v01_HousingCap,G1018)*EXP(v01_CapsByProject*SUMPRODUCT((Cap_Point&lt;=I1018)*(Cap_Kind="Housing")*Cap_Ln))</x:f>
        <x:v>400</x:v>
      </x:c>
      <x:c r="M1018" s="10" t="n">
        <x:f>INDEX(v01_GroupCap,G1018)*v01_CohesionFactor*EXP(v01_CapsByProject*SUMPRODUCT((Cap_Point&lt;=I1018)*(Cap_Kind="Group")*Cap_Ln))</x:f>
        <x:v>10000</x:v>
      </x:c>
      <x:c r="N1018" s="32" t="n">
        <x:f>MIN(J1018,L1018,M1018)</x:f>
        <x:v>250</x:v>
      </x:c>
      <x:c r="O1018" s="10" t="n">
        <x:f>AE1017*N1018</x:f>
        <x:v>4000</x:v>
      </x:c>
      <x:c r="P1018" s="9" t="n">
        <x:f>MIN(1,(AB1017/(AE1017*IF(v01_GroupInCrowding=1,N1018,MIN(J1018,L1018))))^v01_CrowdingExp)</x:f>
        <x:v>0.19055481857206122</x:v>
      </x:c>
      <x:c r="Q1018" s="9" t="n">
        <x:f>IF(D1018=1,INDEX(v01_WinterMult,G1018),1)</x:f>
        <x:v>1</x:v>
      </x:c>
      <x:c r="R1018" s="9" t="n">
        <x:f>H1018*Z1017*v01_WomenShare*v01_BaseFertility*INDEX(v01_FertMult,G1018)*Arch_Fertility*(1-P1018)</x:f>
        <x:v>38.04467710130265</x:v>
      </x:c>
      <x:c r="S1018" s="9" t="n">
        <x:f>H1018*Y1017*INDEX(v01_MortChild,G1018)/4*Q1018</x:f>
        <x:v>8.739896506813071</x:v>
      </x:c>
      <x:c r="T1018" s="9" t="n">
        <x:f>H1018*Z1017*INDEX(v01_MortAdult,G1018)*Arch_AdultMort/4*Q1018</x:f>
        <x:v>3.263953540013067</x:v>
      </x:c>
      <x:c r="U1018" s="9" t="n">
        <x:f>H1018*AA1017*INDEX(v01_MortElder,G1018)/4*Q1018</x:f>
        <x:v>7.202931812970057</x:v>
      </x:c>
      <x:c r="V1018" s="9" t="n">
        <x:f>H1018*MAX(0,AB1017-O1018)*v01_OvercapLoss</x:f>
        <x:v>0</x:v>
      </x:c>
      <x:c r="W1018" s="9" t="n">
        <x:f>H1018*Y1017/(v01_ChildYears*4)</x:f>
        <x:v>22.29565435411498</x:v>
      </x:c>
      <x:c r="X1018" s="9" t="n">
        <x:f>H1018*Z1017/(v01_AdultYears*4)</x:f>
        <x:v>10.528882387138927</x:v>
      </x:c>
      <x:c r="Y1018" s="32" t="n">
        <x:f>Y1017+R1018-S1018-W1018-Y1017*V1018/AB1017</x:f>
        <x:v>1255.5657700708134</x:v>
      </x:c>
      <x:c r="Z1018" s="32" t="n">
        <x:f>Z1017+W1018-X1018-T1018-Z1017*V1018/AB1017</x:f>
        <x:v>1314.0842344321898</x:v>
      </x:c>
      <x:c r="AA1018" s="32" t="n">
        <x:f>AA1017+X1018-U1018-AA1017*V1018/AB1017</x:f>
        <x:v>483.5214047721727</x:v>
      </x:c>
      <x:c r="AB1018" s="10" t="n">
        <x:f>Y1018+Z1018+AA1018</x:f>
        <x:v>3053.1714092751763</x:v>
      </x:c>
      <x:c r="AC1018" s="8" t="n">
        <x:f>IF(AND(v01_WinterTrigger=1,D1018=1,AB1017/AE1017&gt;=K1018),1,0)</x:f>
        <x:v>0</x:v>
      </x:c>
      <x:c r="AD1018" s="8" t="n">
        <x:f>H1018*IF(AND(OR(AB1017/AE1017&gt;=v01_FissionTrigger*N1018,AC1018=1),AB1017/AE1017*v01_DaughterShare&gt;=v01_MinDaughter),MAX(1,ROUND(AE1017*v01_FissionRate,0)),0)</x:f>
        <x:v>0</x:v>
      </x:c>
      <x:c r="AE1018" s="8" t="n">
        <x:f>IF(H1018=1,MAX(1,MIN(INDEX(v01_Smax,G1018),AE1017+AD1018)),AE1017)</x:f>
        <x:v>16</x:v>
      </x:c>
      <x:c r="AF1018" s="8" t="n">
        <x:f>MAX(0,AE1018-AE1017)</x:f>
        <x:v>0</x:v>
      </x:c>
      <x:c r="AG1018" s="9" t="str">
        <x:f>IF(AF1018&gt;0,B1018,"")</x:f>
      </x:c>
      <x:c r="AH1018" s="9" t="n">
        <x:f>IF(F1018&gt;=1,1,(1+v01_LowTiesShare*(AE1018-1))/AE1018)</x:f>
        <x:v>1</x:v>
      </x:c>
      <x:c r="AI1018" s="32" t="n">
        <x:f>(Z1018+v01_ElderCommons*INDEX(LM_Elder,G1018)*AA1018)*AH1018</x:f>
        <x:v>2764.648448748708</x:v>
      </x:c>
      <x:c r="AJ1018" s="32" t="n">
        <x:f>H1018*v01_CommonsCoef*AI1018^v01_CommonsExp*INDEX(LM_Commons,G1018)</x:f>
        <x:v>610.7752534170835</x:v>
      </x:c>
      <x:c r="AK1018" s="32" t="n">
        <x:f>H1018*v01_RoleScale*Arch_Roles*(AE1018*(INDEX(v01_ElderRolePerSett,G1018)*v01_OutElder*INDEX(LM_Elder,G1018)+INDEX(v01_ShamanPerSett,G1018)*v01_OutShaman)+Z1018*(INDEX(v01_PriestShare,G1018)*v01_OutPriest+INDEX(v01_ScribeShare,G1018)*v01_OutScribe*INDEX(LM_Scribe,G1018)+INDEX(v01_ScholarShare,G1018)*v01_OutScholar*INDEX(LM_Scholar,G1018)+INDEX(v01_ResearcherShare,G1018)*v01_OutResearcher*INDEX(LM_Researcher,G1018)))</x:f>
        <x:v>85.13194429863603</x:v>
      </x:c>
      <x:c r="AL1018" s="32" t="n">
        <x:f>H1018*v01_RoleScale*Arch_Roles*AE1018*INDEX(v01_MonasteryPerSett,G1018)*v01_OutMonastery*INDEX(LM_Monastery,G1018)</x:f>
        <x:v>0</x:v>
      </x:c>
      <x:c r="AM1018" s="32" t="n">
        <x:f>(AJ1018+AK1018+AL1018)/4*INDEX(LM_All,G1018)*INDEX(v01_Boon,G1018)*Arch_Insight</x:f>
        <x:v>209.3124296681559</x:v>
      </x:c>
      <x:c r="AN1018" s="32" t="n">
        <x:f>H1018*(v01_KHPerAdult*Z1018+v01_KHOfCommons*AJ1018/4*INDEX(LM_All,G1018))*v01_KHUsable*Arch_KH</x:f>
        <x:v>45.992948205126645</x:v>
      </x:c>
      <x:c r="AO1018" s="32" t="n">
        <x:f>MIN(AP1017+AN1018,AM1018*v01_KHMaxRatio)</x:f>
        <x:v>45.992948205126645</x:v>
      </x:c>
      <x:c r="AP1018" s="32" t="n">
        <x:f>AP1017+AN1018-AO1018</x:f>
        <x:v>0</x:v>
      </x:c>
      <x:c r="AQ1018" s="32" t="n">
        <x:f>AM1018+AO1018</x:f>
        <x:v>255.30537787328254</x:v>
      </x:c>
      <x:c r="AR1018" s="10" t="n">
        <x:f>IF(H1018=1,INDEX(v01_Req,G1018),0)</x:f>
        <x:v>24714.473079999996</x:v>
      </x:c>
      <x:c r="AS1018" s="32" t="n">
        <x:f>IF(H1018=1,IF(E1018=1,AS1017-AR1017,AS1017)+AQ1018,0)</x:f>
        <x:v>23278.172398799972</x:v>
      </x:c>
      <x:c r="AT1018" s="11" t="n">
        <x:f>IF(AR1018&gt;0,MIN(1,AS1018/AR1018),1)</x:f>
        <x:v>0.9418842280573507</x:v>
      </x:c>
      <x:c r="AU1018" s="10" t="n">
        <x:f>AB1018/INDEX(v01_RepScale,G1018)</x:f>
        <x:v>305.31714092751764</x:v>
      </x:c>
      <x:c r="AV1018" s="32" t="n">
        <x:f>AM1018*60/v01_SeasonSeconds</x:f>
        <x:v>837.2497186726235</x:v>
      </x:c>
    </x:row>
    <x:row r="1019">
      <x:c r="A1019" s="8" t="n">
        <x:f>A1018+1</x:f>
        <x:v>1016</x:v>
      </x:c>
      <x:c r="B1019" s="9" t="n">
        <x:f>A1019*v01_SeasonSeconds/60</x:f>
        <x:v>254</x:v>
      </x:c>
      <x:c r="C1019" s="9" t="n">
        <x:f>A1019/4</x:f>
        <x:v>254</x:v>
      </x:c>
      <x:c r="D1019" s="8" t="n">
        <x:f>IF(MOD(A1019,4)=0,1,0)</x:f>
        <x:v>1</x:v>
      </x:c>
      <x:c r="E1019" s="8" t="n">
        <x:f>IF(AND(F1018&lt;=9,AS1018&gt;=AR1018),1,0)</x:f>
        <x:v>0</x:v>
      </x:c>
      <x:c r="F1019" s="8" t="n">
        <x:f>MIN(10,F1018+E1019)</x:f>
        <x:v>4</x:v>
      </x:c>
      <x:c r="G1019" s="8" t="n">
        <x:f>MIN(F1019,9)+1</x:f>
        <x:v>5</x:v>
      </x:c>
      <x:c r="H1019" s="8" t="n">
        <x:f>IF(F1019&lt;=9,1,0)</x:f>
        <x:v>1</x:v>
      </x:c>
      <x:c r="I1019" s="9" t="n">
        <x:f>MIN(10,F1018+IF(AR1018&gt;0,MIN(1,AS1018/AR1018),1))</x:f>
        <x:v>4.941884228057351</x:v>
      </x:c>
      <x:c r="J1019" s="32" t="n">
        <x:f>INDEX(v01_FoodCap,G1019)*Arch_FoodCap*EXP(v01_CapsByProject*SUMPRODUCT((Cap_Point&lt;=I1019)*(Cap_Kind="Food")*Cap_Ln))</x:f>
        <x:v>250</x:v>
      </x:c>
      <x:c r="K1019" s="32" t="n">
        <x:f>J1019*MIN(1,v01_LeanBase*EXP(v01_CapsByProject*SUMPRODUCT((Cap_Point&lt;=I1019)*(Cap_Kind="Lean")*Cap_Ln)))</x:f>
        <x:v>250</x:v>
      </x:c>
      <x:c r="L1019" s="10" t="n">
        <x:f>INDEX(v01_HousingCap,G1019)*EXP(v01_CapsByProject*SUMPRODUCT((Cap_Point&lt;=I1019)*(Cap_Kind="Housing")*Cap_Ln))</x:f>
        <x:v>400</x:v>
      </x:c>
      <x:c r="M1019" s="10" t="n">
        <x:f>INDEX(v01_GroupCap,G1019)*v01_CohesionFactor*EXP(v01_CapsByProject*SUMPRODUCT((Cap_Point&lt;=I1019)*(Cap_Kind="Group")*Cap_Ln))</x:f>
        <x:v>10000</x:v>
      </x:c>
      <x:c r="N1019" s="32" t="n">
        <x:f>MIN(J1019,L1019,M1019)</x:f>
        <x:v>250</x:v>
      </x:c>
      <x:c r="O1019" s="10" t="n">
        <x:f>AE1018*N1019</x:f>
        <x:v>4000</x:v>
      </x:c>
      <x:c r="P1019" s="9" t="n">
        <x:f>MIN(1,(AB1018/(AE1018*IF(v01_GroupInCrowding=1,N1019,MIN(J1019,L1019))))^v01_CrowdingExp)</x:f>
        <x:v>0.19776397072109675</x:v>
      </x:c>
      <x:c r="Q1019" s="9" t="n">
        <x:f>IF(D1019=1,INDEX(v01_WinterMult,G1019),1)</x:f>
        <x:v>1</x:v>
      </x:c>
      <x:c r="R1019" s="9" t="n">
        <x:f>H1019*Z1018*v01_WomenShare*v01_BaseFertility*INDEX(v01_FertMult,G1019)*Arch_Fertility*(1-P1019)</x:f>
        <x:v>37.95140586127994</x:v>
      </x:c>
      <x:c r="S1019" s="9" t="n">
        <x:f>H1019*Y1018*INDEX(v01_MortChild,G1019)/4*Q1019</x:f>
        <x:v>8.788960390495694</x:v>
      </x:c>
      <x:c r="T1019" s="9" t="n">
        <x:f>H1019*Z1018*INDEX(v01_MortAdult,G1019)*Arch_AdultMort/4*Q1019</x:f>
        <x:v>3.2852105860804746</x:v>
      </x:c>
      <x:c r="U1019" s="9" t="n">
        <x:f>H1019*AA1018*INDEX(v01_MortElder,G1019)/4*Q1019</x:f>
        <x:v>7.25282107158259</x:v>
      </x:c>
      <x:c r="V1019" s="9" t="n">
        <x:f>H1019*MAX(0,AB1018-O1019)*v01_OvercapLoss</x:f>
        <x:v>0</x:v>
      </x:c>
      <x:c r="W1019" s="9" t="n">
        <x:f>H1019*Y1018/(v01_ChildYears*4)</x:f>
        <x:v>22.420817322693097</x:v>
      </x:c>
      <x:c r="X1019" s="9" t="n">
        <x:f>H1019*Z1018/(v01_AdultYears*4)</x:f>
        <x:v>10.5974535034854</x:v>
      </x:c>
      <x:c r="Y1019" s="32" t="n">
        <x:f>Y1018+R1019-S1019-W1019-Y1018*V1019/AB1018</x:f>
        <x:v>1262.3073982189044</x:v>
      </x:c>
      <x:c r="Z1019" s="32" t="n">
        <x:f>Z1018+W1019-X1019-T1019-Z1018*V1019/AB1018</x:f>
        <x:v>1322.622387665317</x:v>
      </x:c>
      <x:c r="AA1019" s="32" t="n">
        <x:f>AA1018+X1019-U1019-AA1018*V1019/AB1018</x:f>
        <x:v>486.86603720407544</x:v>
      </x:c>
      <x:c r="AB1019" s="10" t="n">
        <x:f>Y1019+Z1019+AA1019</x:f>
        <x:v>3071.795823088297</x:v>
      </x:c>
      <x:c r="AC1019" s="8" t="n">
        <x:f>IF(AND(v01_WinterTrigger=1,D1019=1,AB1018/AE1018&gt;=K1019),1,0)</x:f>
        <x:v>0</x:v>
      </x:c>
      <x:c r="AD1019" s="8" t="n">
        <x:f>H1019*IF(AND(OR(AB1018/AE1018&gt;=v01_FissionTrigger*N1019,AC1019=1),AB1018/AE1018*v01_DaughterShare&gt;=v01_MinDaughter),MAX(1,ROUND(AE1018*v01_FissionRate,0)),0)</x:f>
        <x:v>0</x:v>
      </x:c>
      <x:c r="AE1019" s="8" t="n">
        <x:f>IF(H1019=1,MAX(1,MIN(INDEX(v01_Smax,G1019),AE1018+AD1019)),AE1018)</x:f>
        <x:v>16</x:v>
      </x:c>
      <x:c r="AF1019" s="8" t="n">
        <x:f>MAX(0,AE1019-AE1018)</x:f>
        <x:v>0</x:v>
      </x:c>
      <x:c r="AG1019" s="9" t="str">
        <x:f>IF(AF1019&gt;0,B1019,"")</x:f>
      </x:c>
      <x:c r="AH1019" s="9" t="n">
        <x:f>IF(F1019&gt;=1,1,(1+v01_LowTiesShare*(AE1019-1))/AE1019)</x:f>
        <x:v>1</x:v>
      </x:c>
      <x:c r="AI1019" s="32" t="n">
        <x:f>(Z1019+v01_ElderCommons*INDEX(LM_Elder,G1019)*AA1019)*AH1019</x:f>
        <x:v>2783.2204992775432</x:v>
      </x:c>
      <x:c r="AJ1019" s="32" t="n">
        <x:f>H1019*v01_CommonsCoef*AI1019^v01_CommonsExp*INDEX(LM_Commons,G1019)</x:f>
        <x:v>614.2610496624601</x:v>
      </x:c>
      <x:c r="AK1019" s="32" t="n">
        <x:f>H1019*v01_RoleScale*Arch_Roles*(AE1019*(INDEX(v01_ElderRolePerSett,G1019)*v01_OutElder*INDEX(LM_Elder,G1019)+INDEX(v01_ShamanPerSett,G1019)*v01_OutShaman)+Z1019*(INDEX(v01_PriestShare,G1019)*v01_OutPriest+INDEX(v01_ScribeShare,G1019)*v01_OutScribe*INDEX(LM_Scribe,G1019)+INDEX(v01_ScholarShare,G1019)*v01_OutScholar*INDEX(LM_Scholar,G1019)+INDEX(v01_ResearcherShare,G1019)*v01_OutResearcher*INDEX(LM_Researcher,G1019)))</x:f>
        <x:v>85.37320602445128</x:v>
      </x:c>
      <x:c r="AL1019" s="32" t="n">
        <x:f>H1019*v01_RoleScale*Arch_Roles*AE1019*INDEX(v01_MonasteryPerSett,G1019)*v01_OutMonastery*INDEX(LM_Monastery,G1019)</x:f>
        <x:v>0</x:v>
      </x:c>
      <x:c r="AM1019" s="32" t="n">
        <x:f>(AJ1019+AK1019+AL1019)/4*INDEX(LM_All,G1019)*INDEX(v01_Boon,G1019)*Arch_Insight</x:f>
        <x:v>210.43344057596792</x:v>
      </x:c>
      <x:c r="AN1019" s="32" t="n">
        <x:f>H1019*(v01_KHPerAdult*Z1019+v01_KHOfCommons*AJ1019/4*INDEX(LM_All,G1019))*v01_KHUsable*Arch_KH</x:f>
        <x:v>46.29178356828609</x:v>
      </x:c>
      <x:c r="AO1019" s="32" t="n">
        <x:f>MIN(AP1018+AN1019,AM1019*v01_KHMaxRatio)</x:f>
        <x:v>46.29178356828609</x:v>
      </x:c>
      <x:c r="AP1019" s="32" t="n">
        <x:f>AP1018+AN1019-AO1019</x:f>
        <x:v>0</x:v>
      </x:c>
      <x:c r="AQ1019" s="32" t="n">
        <x:f>AM1019+AO1019</x:f>
        <x:v>256.725224144254</x:v>
      </x:c>
      <x:c r="AR1019" s="10" t="n">
        <x:f>IF(H1019=1,INDEX(v01_Req,G1019),0)</x:f>
        <x:v>24714.473079999996</x:v>
      </x:c>
      <x:c r="AS1019" s="32" t="n">
        <x:f>IF(H1019=1,IF(E1019=1,AS1018-AR1018,AS1018)+AQ1019,0)</x:f>
        <x:v>23534.897622944227</x:v>
      </x:c>
      <x:c r="AT1019" s="11" t="n">
        <x:f>IF(AR1019&gt;0,MIN(1,AS1019/AR1019),1)</x:f>
        <x:v>0.9522718751382027</x:v>
      </x:c>
      <x:c r="AU1019" s="10" t="n">
        <x:f>AB1019/INDEX(v01_RepScale,G1019)</x:f>
        <x:v>307.1795823088297</x:v>
      </x:c>
      <x:c r="AV1019" s="32" t="n">
        <x:f>AM1019*60/v01_SeasonSeconds</x:f>
        <x:v>841.7337623038717</x:v>
      </x:c>
    </x:row>
    <x:row r="1020">
      <x:c r="A1020" s="8" t="n">
        <x:f>A1019+1</x:f>
        <x:v>1017</x:v>
      </x:c>
      <x:c r="B1020" s="9" t="n">
        <x:f>A1020*v01_SeasonSeconds/60</x:f>
        <x:v>254.25</x:v>
      </x:c>
      <x:c r="C1020" s="9" t="n">
        <x:f>A1020/4</x:f>
        <x:v>254.25</x:v>
      </x:c>
      <x:c r="D1020" s="8" t="n">
        <x:f>IF(MOD(A1020,4)=0,1,0)</x:f>
        <x:v>0</x:v>
      </x:c>
      <x:c r="E1020" s="8" t="n">
        <x:f>IF(AND(F1019&lt;=9,AS1019&gt;=AR1019),1,0)</x:f>
        <x:v>0</x:v>
      </x:c>
      <x:c r="F1020" s="8" t="n">
        <x:f>MIN(10,F1019+E1020)</x:f>
        <x:v>4</x:v>
      </x:c>
      <x:c r="G1020" s="8" t="n">
        <x:f>MIN(F1020,9)+1</x:f>
        <x:v>5</x:v>
      </x:c>
      <x:c r="H1020" s="8" t="n">
        <x:f>IF(F1020&lt;=9,1,0)</x:f>
        <x:v>1</x:v>
      </x:c>
      <x:c r="I1020" s="9" t="n">
        <x:f>MIN(10,F1019+IF(AR1019&gt;0,MIN(1,AS1019/AR1019),1))</x:f>
        <x:v>4.952271875138202</x:v>
      </x:c>
      <x:c r="J1020" s="32" t="n">
        <x:f>INDEX(v01_FoodCap,G1020)*Arch_FoodCap*EXP(v01_CapsByProject*SUMPRODUCT((Cap_Point&lt;=I1020)*(Cap_Kind="Food")*Cap_Ln))</x:f>
        <x:v>250</x:v>
      </x:c>
      <x:c r="K1020" s="32" t="n">
        <x:f>J1020*MIN(1,v01_LeanBase*EXP(v01_CapsByProject*SUMPRODUCT((Cap_Point&lt;=I1020)*(Cap_Kind="Lean")*Cap_Ln)))</x:f>
        <x:v>250</x:v>
      </x:c>
      <x:c r="L1020" s="10" t="n">
        <x:f>INDEX(v01_HousingCap,G1020)*EXP(v01_CapsByProject*SUMPRODUCT((Cap_Point&lt;=I1020)*(Cap_Kind="Housing")*Cap_Ln))</x:f>
        <x:v>400</x:v>
      </x:c>
      <x:c r="M1020" s="10" t="n">
        <x:f>INDEX(v01_GroupCap,G1020)*v01_CohesionFactor*EXP(v01_CapsByProject*SUMPRODUCT((Cap_Point&lt;=I1020)*(Cap_Kind="Group")*Cap_Ln))</x:f>
        <x:v>10000</x:v>
      </x:c>
      <x:c r="N1020" s="32" t="n">
        <x:f>MIN(J1020,L1020,M1020)</x:f>
        <x:v>250</x:v>
      </x:c>
      <x:c r="O1020" s="10" t="n">
        <x:f>AE1019*N1020</x:f>
        <x:v>4000</x:v>
      </x:c>
      <x:c r="P1020" s="9" t="n">
        <x:f>MIN(1,(AB1019/(AE1019*IF(v01_GroupInCrowding=1,N1020,MIN(J1020,L1020))))^v01_CrowdingExp)</x:f>
        <x:v>0.2051134432305619</x:v>
      </x:c>
      <x:c r="Q1020" s="9" t="n">
        <x:f>IF(D1020=1,INDEX(v01_WinterMult,G1020),1)</x:f>
        <x:v>1</x:v>
      </x:c>
      <x:c r="R1020" s="9" t="n">
        <x:f>H1020*Z1019*v01_WomenShare*v01_BaseFertility*INDEX(v01_FertMult,G1020)*Arch_Fertility*(1-P1020)</x:f>
        <x:v>37.84805120294844</x:v>
      </x:c>
      <x:c r="S1020" s="9" t="n">
        <x:f>H1020*Y1019*INDEX(v01_MortChild,G1020)/4*Q1020</x:f>
        <x:v>8.83615178753233</x:v>
      </x:c>
      <x:c r="T1020" s="9" t="n">
        <x:f>H1020*Z1019*INDEX(v01_MortAdult,G1020)*Arch_AdultMort/4*Q1020</x:f>
        <x:v>3.3065559691632926</x:v>
      </x:c>
      <x:c r="U1020" s="9" t="n">
        <x:f>H1020*AA1019*INDEX(v01_MortElder,G1020)/4*Q1020</x:f>
        <x:v>7.302990558061131</x:v>
      </x:c>
      <x:c r="V1020" s="9" t="n">
        <x:f>H1020*MAX(0,AB1019-O1020)*v01_OvercapLoss</x:f>
        <x:v>0</x:v>
      </x:c>
      <x:c r="W1020" s="9" t="n">
        <x:f>H1020*Y1019/(v01_ChildYears*4)</x:f>
        <x:v>22.541203539623293</x:v>
      </x:c>
      <x:c r="X1020" s="9" t="n">
        <x:f>H1020*Z1019/(v01_AdultYears*4)</x:f>
        <x:v>10.666309577946105</x:v>
      </x:c>
      <x:c r="Y1020" s="32" t="n">
        <x:f>Y1019+R1020-S1020-W1020-Y1019*V1020/AB1019</x:f>
        <x:v>1268.7780940946973</x:v>
      </x:c>
      <x:c r="Z1020" s="32" t="n">
        <x:f>Z1019+W1020-X1020-T1020-Z1019*V1020/AB1019</x:f>
        <x:v>1331.1907256578309</x:v>
      </x:c>
      <x:c r="AA1020" s="32" t="n">
        <x:f>AA1019+X1020-U1020-AA1019*V1020/AB1019</x:f>
        <x:v>490.2293562239604</x:v>
      </x:c>
      <x:c r="AB1020" s="10" t="n">
        <x:f>Y1020+Z1020+AA1020</x:f>
        <x:v>3090.1981759764885</x:v>
      </x:c>
      <x:c r="AC1020" s="8" t="n">
        <x:f>IF(AND(v01_WinterTrigger=1,D1020=1,AB1019/AE1019&gt;=K1020),1,0)</x:f>
        <x:v>0</x:v>
      </x:c>
      <x:c r="AD1020" s="8" t="n">
        <x:f>H1020*IF(AND(OR(AB1019/AE1019&gt;=v01_FissionTrigger*N1020,AC1020=1),AB1019/AE1019*v01_DaughterShare&gt;=v01_MinDaughter),MAX(1,ROUND(AE1019*v01_FissionRate,0)),0)</x:f>
        <x:v>0</x:v>
      </x:c>
      <x:c r="AE1020" s="8" t="n">
        <x:f>IF(H1020=1,MAX(1,MIN(INDEX(v01_Smax,G1020),AE1019+AD1020)),AE1019)</x:f>
        <x:v>16</x:v>
      </x:c>
      <x:c r="AF1020" s="8" t="n">
        <x:f>MAX(0,AE1020-AE1019)</x:f>
        <x:v>0</x:v>
      </x:c>
      <x:c r="AG1020" s="9" t="str">
        <x:f>IF(AF1020&gt;0,B1020,"")</x:f>
      </x:c>
      <x:c r="AH1020" s="9" t="n">
        <x:f>IF(F1020&gt;=1,1,(1+v01_LowTiesShare*(AE1020-1))/AE1020)</x:f>
        <x:v>1</x:v>
      </x:c>
      <x:c r="AI1020" s="32" t="n">
        <x:f>(Z1020+v01_ElderCommons*INDEX(LM_Elder,G1020)*AA1020)*AH1020</x:f>
        <x:v>2801.878794329712</x:v>
      </x:c>
      <x:c r="AJ1020" s="32" t="n">
        <x:f>H1020*v01_CommonsCoef*AI1020^v01_CommonsExp*INDEX(LM_Commons,G1020)</x:f>
        <x:v>617.759521573761</x:v>
      </x:c>
      <x:c r="AK1020" s="32" t="n">
        <x:f>H1020*v01_RoleScale*Arch_Roles*(AE1020*(INDEX(v01_ElderRolePerSett,G1020)*v01_OutElder*INDEX(LM_Elder,G1020)+INDEX(v01_ShamanPerSett,G1020)*v01_OutShaman)+Z1020*(INDEX(v01_PriestShare,G1020)*v01_OutPriest+INDEX(v01_ScribeShare,G1020)*v01_OutScribe*INDEX(LM_Scribe,G1020)+INDEX(v01_ScholarShare,G1020)*v01_OutScholar*INDEX(LM_Scholar,G1020)+INDEX(v01_ResearcherShare,G1020)*v01_OutResearcher*INDEX(LM_Researcher,G1020)))</x:f>
        <x:v>85.61532067793647</x:v>
      </x:c>
      <x:c r="AL1020" s="32" t="n">
        <x:f>H1020*v01_RoleScale*Arch_Roles*AE1020*INDEX(v01_MonasteryPerSett,G1020)*v01_OutMonastery*INDEX(LM_Monastery,G1020)</x:f>
        <x:v>0</x:v>
      </x:c>
      <x:c r="AM1020" s="32" t="n">
        <x:f>(AJ1020+AK1020+AL1020)/4*INDEX(LM_All,G1020)*INDEX(v01_Boon,G1020)*Arch_Insight</x:f>
        <x:v>211.55852056483633</x:v>
      </x:c>
      <x:c r="AN1020" s="32" t="n">
        <x:f>H1020*(v01_KHPerAdult*Z1020+v01_KHOfCommons*AJ1020/4*INDEX(LM_All,G1020))*v01_KHUsable*Arch_KH</x:f>
        <x:v>46.59167539802408</x:v>
      </x:c>
      <x:c r="AO1020" s="32" t="n">
        <x:f>MIN(AP1019+AN1020,AM1020*v01_KHMaxRatio)</x:f>
        <x:v>46.59167539802408</x:v>
      </x:c>
      <x:c r="AP1020" s="32" t="n">
        <x:f>AP1019+AN1020-AO1020</x:f>
        <x:v>0</x:v>
      </x:c>
      <x:c r="AQ1020" s="32" t="n">
        <x:f>AM1020+AO1020</x:f>
        <x:v>258.1501959628604</x:v>
      </x:c>
      <x:c r="AR1020" s="10" t="n">
        <x:f>IF(H1020=1,INDEX(v01_Req,G1020),0)</x:f>
        <x:v>24714.473079999996</x:v>
      </x:c>
      <x:c r="AS1020" s="32" t="n">
        <x:f>IF(H1020=1,IF(E1020=1,AS1019-AR1019,AS1019)+AQ1020,0)</x:f>
        <x:v>23793.047818907085</x:v>
      </x:c>
      <x:c r="AT1020" s="11" t="n">
        <x:f>IF(AR1020&gt;0,MIN(1,AS1020/AR1020),1)</x:f>
        <x:v>0.9627171796011881</x:v>
      </x:c>
      <x:c r="AU1020" s="10" t="n">
        <x:f>AB1020/INDEX(v01_RepScale,G1020)</x:f>
        <x:v>309.01981759764885</x:v>
      </x:c>
      <x:c r="AV1020" s="32" t="n">
        <x:f>AM1020*60/v01_SeasonSeconds</x:f>
        <x:v>846.2340822593453</x:v>
      </x:c>
    </x:row>
    <x:row r="1021">
      <x:c r="A1021" s="8" t="n">
        <x:f>A1020+1</x:f>
        <x:v>1018</x:v>
      </x:c>
      <x:c r="B1021" s="9" t="n">
        <x:f>A1021*v01_SeasonSeconds/60</x:f>
        <x:v>254.5</x:v>
      </x:c>
      <x:c r="C1021" s="9" t="n">
        <x:f>A1021/4</x:f>
        <x:v>254.5</x:v>
      </x:c>
      <x:c r="D1021" s="8" t="n">
        <x:f>IF(MOD(A1021,4)=0,1,0)</x:f>
        <x:v>0</x:v>
      </x:c>
      <x:c r="E1021" s="8" t="n">
        <x:f>IF(AND(F1020&lt;=9,AS1020&gt;=AR1020),1,0)</x:f>
        <x:v>0</x:v>
      </x:c>
      <x:c r="F1021" s="8" t="n">
        <x:f>MIN(10,F1020+E1021)</x:f>
        <x:v>4</x:v>
      </x:c>
      <x:c r="G1021" s="8" t="n">
        <x:f>MIN(F1021,9)+1</x:f>
        <x:v>5</x:v>
      </x:c>
      <x:c r="H1021" s="8" t="n">
        <x:f>IF(F1021&lt;=9,1,0)</x:f>
        <x:v>1</x:v>
      </x:c>
      <x:c r="I1021" s="9" t="n">
        <x:f>MIN(10,F1020+IF(AR1020&gt;0,MIN(1,AS1020/AR1020),1))</x:f>
        <x:v>4.962717179601188</x:v>
      </x:c>
      <x:c r="J1021" s="32" t="n">
        <x:f>INDEX(v01_FoodCap,G1021)*Arch_FoodCap*EXP(v01_CapsByProject*SUMPRODUCT((Cap_Point&lt;=I1021)*(Cap_Kind="Food")*Cap_Ln))</x:f>
        <x:v>250</x:v>
      </x:c>
      <x:c r="K1021" s="32" t="n">
        <x:f>J1021*MIN(1,v01_LeanBase*EXP(v01_CapsByProject*SUMPRODUCT((Cap_Point&lt;=I1021)*(Cap_Kind="Lean")*Cap_Ln)))</x:f>
        <x:v>250</x:v>
      </x:c>
      <x:c r="L1021" s="10" t="n">
        <x:f>INDEX(v01_HousingCap,G1021)*EXP(v01_CapsByProject*SUMPRODUCT((Cap_Point&lt;=I1021)*(Cap_Kind="Housing")*Cap_Ln))</x:f>
        <x:v>400</x:v>
      </x:c>
      <x:c r="M1021" s="10" t="n">
        <x:f>INDEX(v01_GroupCap,G1021)*v01_CohesionFactor*EXP(v01_CapsByProject*SUMPRODUCT((Cap_Point&lt;=I1021)*(Cap_Kind="Group")*Cap_Ln))</x:f>
        <x:v>10000</x:v>
      </x:c>
      <x:c r="N1021" s="32" t="n">
        <x:f>MIN(J1021,L1021,M1021)</x:f>
        <x:v>250</x:v>
      </x:c>
      <x:c r="O1021" s="10" t="n">
        <x:f>AE1020*N1021</x:f>
        <x:v>4000</x:v>
      </x:c>
      <x:c r="P1021" s="9" t="n">
        <x:f>MIN(1,(AB1020/(AE1020*IF(v01_GroupInCrowding=1,N1021,MIN(J1021,L1021))))^v01_CrowdingExp)</x:f>
        <x:v>0.2125974460929939</x:v>
      </x:c>
      <x:c r="Q1021" s="9" t="n">
        <x:f>IF(D1021=1,INDEX(v01_WinterMult,G1021),1)</x:f>
        <x:v>1</x:v>
      </x:c>
      <x:c r="R1021" s="9" t="n">
        <x:f>H1021*Z1020*v01_WomenShare*v01_BaseFertility*INDEX(v01_FertMult,G1021)*Arch_Fertility*(1-P1021)</x:f>
        <x:v>37.73458717633068</x:v>
      </x:c>
      <x:c r="S1021" s="9" t="n">
        <x:f>H1021*Y1020*INDEX(v01_MortChild,G1021)/4*Q1021</x:f>
        <x:v>8.881446658662881</x:v>
      </x:c>
      <x:c r="T1021" s="9" t="n">
        <x:f>H1021*Z1020*INDEX(v01_MortAdult,G1021)*Arch_AdultMort/4*Q1021</x:f>
        <x:v>3.327976814144577</x:v>
      </x:c>
      <x:c r="U1021" s="9" t="n">
        <x:f>H1021*AA1020*INDEX(v01_MortElder,G1021)/4*Q1021</x:f>
        <x:v>7.353440343359406</x:v>
      </x:c>
      <x:c r="V1021" s="9" t="n">
        <x:f>H1021*MAX(0,AB1020-O1021)*v01_OvercapLoss</x:f>
        <x:v>0</x:v>
      </x:c>
      <x:c r="W1021" s="9" t="n">
        <x:f>H1021*Y1020/(v01_ChildYears*4)</x:f>
        <x:v>22.656751680262452</x:v>
      </x:c>
      <x:c r="X1021" s="9" t="n">
        <x:f>H1021*Z1020/(v01_AdultYears*4)</x:f>
        <x:v>10.735409077885732</x:v>
      </x:c>
      <x:c r="Y1021" s="32" t="n">
        <x:f>Y1020+R1021-S1021-W1021-Y1020*V1021/AB1020</x:f>
        <x:v>1274.9744829321025</x:v>
      </x:c>
      <x:c r="Z1021" s="32" t="n">
        <x:f>Z1020+W1021-X1021-T1021-Z1020*V1021/AB1020</x:f>
        <x:v>1339.7840914460628</x:v>
      </x:c>
      <x:c r="AA1021" s="32" t="n">
        <x:f>AA1020+X1021-U1021-AA1020*V1021/AB1020</x:f>
        <x:v>493.6113249584867</x:v>
      </x:c>
      <x:c r="AB1021" s="10" t="n">
        <x:f>Y1021+Z1021+AA1021</x:f>
        <x:v>3108.3698993366525</x:v>
      </x:c>
      <x:c r="AC1021" s="8" t="n">
        <x:f>IF(AND(v01_WinterTrigger=1,D1021=1,AB1020/AE1020&gt;=K1021),1,0)</x:f>
        <x:v>0</x:v>
      </x:c>
      <x:c r="AD1021" s="8" t="n">
        <x:f>H1021*IF(AND(OR(AB1020/AE1020&gt;=v01_FissionTrigger*N1021,AC1021=1),AB1020/AE1020*v01_DaughterShare&gt;=v01_MinDaughter),MAX(1,ROUND(AE1020*v01_FissionRate,0)),0)</x:f>
        <x:v>0</x:v>
      </x:c>
      <x:c r="AE1021" s="8" t="n">
        <x:f>IF(H1021=1,MAX(1,MIN(INDEX(v01_Smax,G1021),AE1020+AD1021)),AE1020)</x:f>
        <x:v>16</x:v>
      </x:c>
      <x:c r="AF1021" s="8" t="n">
        <x:f>MAX(0,AE1021-AE1020)</x:f>
        <x:v>0</x:v>
      </x:c>
      <x:c r="AG1021" s="9" t="str">
        <x:f>IF(AF1021&gt;0,B1021,"")</x:f>
      </x:c>
      <x:c r="AH1021" s="9" t="n">
        <x:f>IF(F1021&gt;=1,1,(1+v01_LowTiesShare*(AE1021-1))/AE1021)</x:f>
        <x:v>1</x:v>
      </x:c>
      <x:c r="AI1021" s="32" t="n">
        <x:f>(Z1021+v01_ElderCommons*INDEX(LM_Elder,G1021)*AA1021)*AH1021</x:f>
        <x:v>2820.6180663215227</x:v>
      </x:c>
      <x:c r="AJ1021" s="32" t="n">
        <x:f>H1021*v01_CommonsCoef*AI1021^v01_CommonsExp*INDEX(LM_Commons,G1021)</x:f>
        <x:v>621.2696612682053</x:v>
      </x:c>
      <x:c r="AK1021" s="32" t="n">
        <x:f>H1021*v01_RoleScale*Arch_Roles*(AE1021*(INDEX(v01_ElderRolePerSett,G1021)*v01_OutElder*INDEX(LM_Elder,G1021)+INDEX(v01_ShamanPerSett,G1021)*v01_OutShaman)+Z1021*(INDEX(v01_PriestShare,G1021)*v01_OutPriest+INDEX(v01_ScribeShare,G1021)*v01_OutScribe*INDEX(LM_Scribe,G1021)+INDEX(v01_ScholarShare,G1021)*v01_OutScholar*INDEX(LM_Scholar,G1021)+INDEX(v01_ResearcherShare,G1021)*v01_OutResearcher*INDEX(LM_Researcher,G1021)))</x:f>
        <x:v>85.85814253929479</x:v>
      </x:c>
      <x:c r="AL1021" s="32" t="n">
        <x:f>H1021*v01_RoleScale*Arch_Roles*AE1021*INDEX(v01_MonasteryPerSett,G1021)*v01_OutMonastery*INDEX(LM_Monastery,G1021)</x:f>
        <x:v>0</x:v>
      </x:c>
      <x:c r="AM1021" s="32" t="n">
        <x:f>(AJ1021+AK1021+AL1021)/4*INDEX(LM_All,G1021)*INDEX(v01_Boon,G1021)*Arch_Insight</x:f>
        <x:v>212.68732265838375</x:v>
      </x:c>
      <x:c r="AN1021" s="32" t="n">
        <x:f>H1021*(v01_KHPerAdult*Z1021+v01_KHOfCommons*AJ1021/4*INDEX(LM_All,G1021))*v01_KHUsable*Arch_KH</x:f>
        <x:v>46.89244320061219</x:v>
      </x:c>
      <x:c r="AO1021" s="32" t="n">
        <x:f>MIN(AP1020+AN1021,AM1021*v01_KHMaxRatio)</x:f>
        <x:v>46.89244320061219</x:v>
      </x:c>
      <x:c r="AP1021" s="32" t="n">
        <x:f>AP1020+AN1021-AO1021</x:f>
        <x:v>0</x:v>
      </x:c>
      <x:c r="AQ1021" s="32" t="n">
        <x:f>AM1021+AO1021</x:f>
        <x:v>259.5797658589959</x:v>
      </x:c>
      <x:c r="AR1021" s="10" t="n">
        <x:f>IF(H1021=1,INDEX(v01_Req,G1021),0)</x:f>
        <x:v>24714.473079999996</x:v>
      </x:c>
      <x:c r="AS1021" s="32" t="n">
        <x:f>IF(H1021=1,IF(E1021=1,AS1020-AR1020,AS1020)+AQ1021,0)</x:f>
        <x:v>24052.62758476608</x:v>
      </x:c>
      <x:c r="AT1021" s="11" t="n">
        <x:f>IF(AR1021&gt;0,MIN(1,AS1021/AR1021),1)</x:f>
        <x:v>0.9732203274942767</x:v>
      </x:c>
      <x:c r="AU1021" s="10" t="n">
        <x:f>AB1021/INDEX(v01_RepScale,G1021)</x:f>
        <x:v>310.8369899336652</x:v>
      </x:c>
      <x:c r="AV1021" s="32" t="n">
        <x:f>AM1021*60/v01_SeasonSeconds</x:f>
        <x:v>850.749290633535</x:v>
      </x:c>
    </x:row>
    <x:row r="1022">
      <x:c r="A1022" s="8" t="n">
        <x:f>A1021+1</x:f>
        <x:v>1019</x:v>
      </x:c>
      <x:c r="B1022" s="9" t="n">
        <x:f>A1022*v01_SeasonSeconds/60</x:f>
        <x:v>254.75</x:v>
      </x:c>
      <x:c r="C1022" s="9" t="n">
        <x:f>A1022/4</x:f>
        <x:v>254.75</x:v>
      </x:c>
      <x:c r="D1022" s="8" t="n">
        <x:f>IF(MOD(A1022,4)=0,1,0)</x:f>
        <x:v>0</x:v>
      </x:c>
      <x:c r="E1022" s="8" t="n">
        <x:f>IF(AND(F1021&lt;=9,AS1021&gt;=AR1021),1,0)</x:f>
        <x:v>0</x:v>
      </x:c>
      <x:c r="F1022" s="8" t="n">
        <x:f>MIN(10,F1021+E1022)</x:f>
        <x:v>4</x:v>
      </x:c>
      <x:c r="G1022" s="8" t="n">
        <x:f>MIN(F1022,9)+1</x:f>
        <x:v>5</x:v>
      </x:c>
      <x:c r="H1022" s="8" t="n">
        <x:f>IF(F1022&lt;=9,1,0)</x:f>
        <x:v>1</x:v>
      </x:c>
      <x:c r="I1022" s="9" t="n">
        <x:f>MIN(10,F1021+IF(AR1021&gt;0,MIN(1,AS1021/AR1021),1))</x:f>
        <x:v>4.973220327494277</x:v>
      </x:c>
      <x:c r="J1022" s="32" t="n">
        <x:f>INDEX(v01_FoodCap,G1022)*Arch_FoodCap*EXP(v01_CapsByProject*SUMPRODUCT((Cap_Point&lt;=I1022)*(Cap_Kind="Food")*Cap_Ln))</x:f>
        <x:v>250</x:v>
      </x:c>
      <x:c r="K1022" s="32" t="n">
        <x:f>J1022*MIN(1,v01_LeanBase*EXP(v01_CapsByProject*SUMPRODUCT((Cap_Point&lt;=I1022)*(Cap_Kind="Lean")*Cap_Ln)))</x:f>
        <x:v>250</x:v>
      </x:c>
      <x:c r="L1022" s="10" t="n">
        <x:f>INDEX(v01_HousingCap,G1022)*EXP(v01_CapsByProject*SUMPRODUCT((Cap_Point&lt;=I1022)*(Cap_Kind="Housing")*Cap_Ln))</x:f>
        <x:v>400</x:v>
      </x:c>
      <x:c r="M1022" s="10" t="n">
        <x:f>INDEX(v01_GroupCap,G1022)*v01_CohesionFactor*EXP(v01_CapsByProject*SUMPRODUCT((Cap_Point&lt;=I1022)*(Cap_Kind="Group")*Cap_Ln))</x:f>
        <x:v>10000</x:v>
      </x:c>
      <x:c r="N1022" s="32" t="n">
        <x:f>MIN(J1022,L1022,M1022)</x:f>
        <x:v>250</x:v>
      </x:c>
      <x:c r="O1022" s="10" t="n">
        <x:f>AE1021*N1022</x:f>
        <x:v>4000</x:v>
      </x:c>
      <x:c r="P1022" s="9" t="n">
        <x:f>MIN(1,(AB1021/(AE1021*IF(v01_GroupInCrowding=1,N1022,MIN(J1022,L1022))))^v01_CrowdingExp)</x:f>
        <x:v>0.22020958593294057</x:v>
      </x:c>
      <x:c r="Q1022" s="9" t="n">
        <x:f>IF(D1022=1,INDEX(v01_WinterMult,G1022),1)</x:f>
        <x:v>1</x:v>
      </x:c>
      <x:c r="R1022" s="9" t="n">
        <x:f>H1022*Z1021*v01_WomenShare*v01_BaseFertility*INDEX(v01_FertMult,G1022)*Arch_Fertility*(1-P1022)</x:f>
        <x:v>37.61102849145063</x:v>
      </x:c>
      <x:c r="S1022" s="9" t="n">
        <x:f>H1022*Y1021*INDEX(v01_MortChild,G1022)/4*Q1022</x:f>
        <x:v>8.924821380524717</x:v>
      </x:c>
      <x:c r="T1022" s="9" t="n">
        <x:f>H1022*Z1021*INDEX(v01_MortAdult,G1022)*Arch_AdultMort/4*Q1022</x:f>
        <x:v>3.349460228615157</x:v>
      </x:c>
      <x:c r="U1022" s="9" t="n">
        <x:f>H1022*AA1021*INDEX(v01_MortElder,G1022)/4*Q1022</x:f>
        <x:v>7.4041698743773</x:v>
      </x:c>
      <x:c r="V1022" s="9" t="n">
        <x:f>H1022*MAX(0,AB1021-O1022)*v01_OvercapLoss</x:f>
        <x:v>0</x:v>
      </x:c>
      <x:c r="W1022" s="9" t="n">
        <x:f>H1022*Y1021/(v01_ChildYears*4)</x:f>
        <x:v>22.767401480930403</x:v>
      </x:c>
      <x:c r="X1022" s="9" t="n">
        <x:f>H1022*Z1021/(v01_AdultYears*4)</x:f>
        <x:v>10.804710414887603</x:v>
      </x:c>
      <x:c r="Y1022" s="32" t="n">
        <x:f>Y1021+R1022-S1022-W1022-Y1021*V1022/AB1021</x:f>
        <x:v>1280.8932885620982</x:v>
      </x:c>
      <x:c r="Z1022" s="32" t="n">
        <x:f>Z1021+W1022-X1022-T1022-Z1021*V1022/AB1021</x:f>
        <x:v>1348.3973222834907</x:v>
      </x:c>
      <x:c r="AA1022" s="32" t="n">
        <x:f>AA1021+X1022-U1022-AA1021*V1022/AB1021</x:f>
        <x:v>497.011865498997</x:v>
      </x:c>
      <x:c r="AB1022" s="10" t="n">
        <x:f>Y1022+Z1022+AA1022</x:f>
        <x:v>3126.302476344586</x:v>
      </x:c>
      <x:c r="AC1022" s="8" t="n">
        <x:f>IF(AND(v01_WinterTrigger=1,D1022=1,AB1021/AE1021&gt;=K1022),1,0)</x:f>
        <x:v>0</x:v>
      </x:c>
      <x:c r="AD1022" s="8" t="n">
        <x:f>H1022*IF(AND(OR(AB1021/AE1021&gt;=v01_FissionTrigger*N1022,AC1022=1),AB1021/AE1021*v01_DaughterShare&gt;=v01_MinDaughter),MAX(1,ROUND(AE1021*v01_FissionRate,0)),0)</x:f>
        <x:v>0</x:v>
      </x:c>
      <x:c r="AE1022" s="8" t="n">
        <x:f>IF(H1022=1,MAX(1,MIN(INDEX(v01_Smax,G1022),AE1021+AD1022)),AE1021)</x:f>
        <x:v>16</x:v>
      </x:c>
      <x:c r="AF1022" s="8" t="n">
        <x:f>MAX(0,AE1022-AE1021)</x:f>
        <x:v>0</x:v>
      </x:c>
      <x:c r="AG1022" s="9" t="str">
        <x:f>IF(AF1022&gt;0,B1022,"")</x:f>
      </x:c>
      <x:c r="AH1022" s="9" t="n">
        <x:f>IF(F1022&gt;=1,1,(1+v01_LowTiesShare*(AE1022-1))/AE1022)</x:f>
        <x:v>1</x:v>
      </x:c>
      <x:c r="AI1022" s="32" t="n">
        <x:f>(Z1022+v01_ElderCommons*INDEX(LM_Elder,G1022)*AA1022)*AH1022</x:f>
        <x:v>2839.4329187804815</x:v>
      </x:c>
      <x:c r="AJ1022" s="32" t="n">
        <x:f>H1022*v01_CommonsCoef*AI1022^v01_CommonsExp*INDEX(LM_Commons,G1022)</x:f>
        <x:v>624.7904408248963</x:v>
      </x:c>
      <x:c r="AK1022" s="32" t="n">
        <x:f>H1022*v01_RoleScale*Arch_Roles*(AE1022*(INDEX(v01_ElderRolePerSett,G1022)*v01_OutElder*INDEX(LM_Elder,G1022)+INDEX(v01_ShamanPerSett,G1022)*v01_OutShaman)+Z1022*(INDEX(v01_PriestShare,G1022)*v01_OutPriest+INDEX(v01_ScribeShare,G1022)*v01_OutScribe*INDEX(LM_Scribe,G1022)+INDEX(v01_ScholarShare,G1022)*v01_OutScholar*INDEX(LM_Scholar,G1022)+INDEX(v01_ResearcherShare,G1022)*v01_OutResearcher*INDEX(LM_Researcher,G1022)))</x:f>
        <x:v>86.10152572532384</x:v>
      </x:c>
      <x:c r="AL1022" s="32" t="n">
        <x:f>H1022*v01_RoleScale*Arch_Roles*AE1022*INDEX(v01_MonasteryPerSett,G1022)*v01_OutMonastery*INDEX(LM_Monastery,G1022)</x:f>
        <x:v>0</x:v>
      </x:c>
      <x:c r="AM1022" s="32" t="n">
        <x:f>(AJ1022+AK1022+AL1022)/4*INDEX(LM_All,G1022)*INDEX(v01_Boon,G1022)*Arch_Insight</x:f>
        <x:v>213.81949380409296</x:v>
      </x:c>
      <x:c r="AN1022" s="32" t="n">
        <x:f>H1022*(v01_KHPerAdult*Z1022+v01_KHOfCommons*AJ1022/4*INDEX(LM_All,G1022))*v01_KHUsable*Arch_KH</x:f>
        <x:v>47.193906279922174</x:v>
      </x:c>
      <x:c r="AO1022" s="32" t="n">
        <x:f>MIN(AP1021+AN1022,AM1022*v01_KHMaxRatio)</x:f>
        <x:v>47.193906279922174</x:v>
      </x:c>
      <x:c r="AP1022" s="32" t="n">
        <x:f>AP1021+AN1022-AO1022</x:f>
        <x:v>0</x:v>
      </x:c>
      <x:c r="AQ1022" s="32" t="n">
        <x:f>AM1022+AO1022</x:f>
        <x:v>261.01340008401513</x:v>
      </x:c>
      <x:c r="AR1022" s="10" t="n">
        <x:f>IF(H1022=1,INDEX(v01_Req,G1022),0)</x:f>
        <x:v>24714.473079999996</x:v>
      </x:c>
      <x:c r="AS1022" s="32" t="n">
        <x:f>IF(H1022=1,IF(E1022=1,AS1021-AR1021,AS1021)+AQ1022,0)</x:f>
        <x:v>24313.640984850095</x:v>
      </x:c>
      <x:c r="AT1022" s="11" t="n">
        <x:f>IF(AR1022&gt;0,MIN(1,AS1022/AR1022),1)</x:f>
        <x:v>0.9837814832688353</x:v>
      </x:c>
      <x:c r="AU1022" s="10" t="n">
        <x:f>AB1022/INDEX(v01_RepScale,G1022)</x:f>
        <x:v>312.6302476344586</x:v>
      </x:c>
      <x:c r="AV1022" s="32" t="n">
        <x:f>AM1022*60/v01_SeasonSeconds</x:f>
        <x:v>855.2779752163718</x:v>
      </x:c>
    </x:row>
    <x:row r="1023">
      <x:c r="A1023" s="8" t="n">
        <x:f>A1022+1</x:f>
        <x:v>1020</x:v>
      </x:c>
      <x:c r="B1023" s="9" t="n">
        <x:f>A1023*v01_SeasonSeconds/60</x:f>
        <x:v>255</x:v>
      </x:c>
      <x:c r="C1023" s="9" t="n">
        <x:f>A1023/4</x:f>
        <x:v>255</x:v>
      </x:c>
      <x:c r="D1023" s="8" t="n">
        <x:f>IF(MOD(A1023,4)=0,1,0)</x:f>
        <x:v>1</x:v>
      </x:c>
      <x:c r="E1023" s="8" t="n">
        <x:f>IF(AND(F1022&lt;=9,AS1022&gt;=AR1022),1,0)</x:f>
        <x:v>0</x:v>
      </x:c>
      <x:c r="F1023" s="8" t="n">
        <x:f>MIN(10,F1022+E1023)</x:f>
        <x:v>4</x:v>
      </x:c>
      <x:c r="G1023" s="8" t="n">
        <x:f>MIN(F1023,9)+1</x:f>
        <x:v>5</x:v>
      </x:c>
      <x:c r="H1023" s="8" t="n">
        <x:f>IF(F1023&lt;=9,1,0)</x:f>
        <x:v>1</x:v>
      </x:c>
      <x:c r="I1023" s="9" t="n">
        <x:f>MIN(10,F1022+IF(AR1022&gt;0,MIN(1,AS1022/AR1022),1))</x:f>
        <x:v>4.983781483268835</x:v>
      </x:c>
      <x:c r="J1023" s="32" t="n">
        <x:f>INDEX(v01_FoodCap,G1023)*Arch_FoodCap*EXP(v01_CapsByProject*SUMPRODUCT((Cap_Point&lt;=I1023)*(Cap_Kind="Food")*Cap_Ln))</x:f>
        <x:v>250</x:v>
      </x:c>
      <x:c r="K1023" s="32" t="n">
        <x:f>J1023*MIN(1,v01_LeanBase*EXP(v01_CapsByProject*SUMPRODUCT((Cap_Point&lt;=I1023)*(Cap_Kind="Lean")*Cap_Ln)))</x:f>
        <x:v>250</x:v>
      </x:c>
      <x:c r="L1023" s="10" t="n">
        <x:f>INDEX(v01_HousingCap,G1023)*EXP(v01_CapsByProject*SUMPRODUCT((Cap_Point&lt;=I1023)*(Cap_Kind="Housing")*Cap_Ln))</x:f>
        <x:v>400</x:v>
      </x:c>
      <x:c r="M1023" s="10" t="n">
        <x:f>INDEX(v01_GroupCap,G1023)*v01_CohesionFactor*EXP(v01_CapsByProject*SUMPRODUCT((Cap_Point&lt;=I1023)*(Cap_Kind="Group")*Cap_Ln))</x:f>
        <x:v>10000</x:v>
      </x:c>
      <x:c r="N1023" s="32" t="n">
        <x:f>MIN(J1023,L1023,M1023)</x:f>
        <x:v>250</x:v>
      </x:c>
      <x:c r="O1023" s="10" t="n">
        <x:f>AE1022*N1023</x:f>
        <x:v>4000</x:v>
      </x:c>
      <x:c r="P1023" s="9" t="n">
        <x:f>MIN(1,(AB1022/(AE1022*IF(v01_GroupInCrowding=1,N1023,MIN(J1023,L1023))))^v01_CrowdingExp)</x:f>
        <x:v>0.227942874009631</x:v>
      </x:c>
      <x:c r="Q1023" s="9" t="n">
        <x:f>IF(D1023=1,INDEX(v01_WinterMult,G1023),1)</x:f>
        <x:v>1</x:v>
      </x:c>
      <x:c r="R1023" s="9" t="n">
        <x:f>H1023*Z1022*v01_WomenShare*v01_BaseFertility*INDEX(v01_FertMult,G1023)*Arch_Fertility*(1-P1023)</x:f>
        <x:v>37.47743140807084</x:v>
      </x:c>
      <x:c r="S1023" s="9" t="n">
        <x:f>H1023*Y1022*INDEX(v01_MortChild,G1023)/4*Q1023</x:f>
        <x:v>8.966253019934687</x:v>
      </x:c>
      <x:c r="T1023" s="9" t="n">
        <x:f>H1023*Z1022*INDEX(v01_MortAdult,G1023)*Arch_AdultMort/4*Q1023</x:f>
        <x:v>3.3709933057087267</x:v>
      </x:c>
      <x:c r="U1023" s="9" t="n">
        <x:f>H1023*AA1022*INDEX(v01_MortElder,G1023)/4*Q1023</x:f>
        <x:v>7.455177982484955</x:v>
      </x:c>
      <x:c r="V1023" s="9" t="n">
        <x:f>H1023*MAX(0,AB1022-O1023)*v01_OvercapLoss</x:f>
        <x:v>0</x:v>
      </x:c>
      <x:c r="W1023" s="9" t="n">
        <x:f>H1023*Y1022/(v01_ChildYears*4)</x:f>
        <x:v>22.873094438608895</x:v>
      </x:c>
      <x:c r="X1023" s="9" t="n">
        <x:f>H1023*Z1022/(v01_AdultYears*4)</x:f>
        <x:v>10.874171953899118</x:v>
      </x:c>
      <x:c r="Y1023" s="32" t="n">
        <x:f>Y1022+R1023-S1023-W1023-Y1022*V1023/AB1022</x:f>
        <x:v>1286.5313725116255</x:v>
      </x:c>
      <x:c r="Z1023" s="32" t="n">
        <x:f>Z1022+W1023-X1023-T1023-Z1022*V1023/AB1022</x:f>
        <x:v>1357.0252514624917</x:v>
      </x:c>
      <x:c r="AA1023" s="32" t="n">
        <x:f>AA1022+X1023-U1023-AA1022*V1023/AB1022</x:f>
        <x:v>500.4308594704112</x:v>
      </x:c>
      <x:c r="AB1023" s="10" t="n">
        <x:f>Y1023+Z1023+AA1023</x:f>
        <x:v>3143.9874834445286</x:v>
      </x:c>
      <x:c r="AC1023" s="8" t="n">
        <x:f>IF(AND(v01_WinterTrigger=1,D1023=1,AB1022/AE1022&gt;=K1023),1,0)</x:f>
        <x:v>0</x:v>
      </x:c>
      <x:c r="AD1023" s="8" t="n">
        <x:f>H1023*IF(AND(OR(AB1022/AE1022&gt;=v01_FissionTrigger*N1023,AC1023=1),AB1022/AE1022*v01_DaughterShare&gt;=v01_MinDaughter),MAX(1,ROUND(AE1022*v01_FissionRate,0)),0)</x:f>
        <x:v>0</x:v>
      </x:c>
      <x:c r="AE1023" s="8" t="n">
        <x:f>IF(H1023=1,MAX(1,MIN(INDEX(v01_Smax,G1023),AE1022+AD1023)),AE1022)</x:f>
        <x:v>16</x:v>
      </x:c>
      <x:c r="AF1023" s="8" t="n">
        <x:f>MAX(0,AE1023-AE1022)</x:f>
        <x:v>0</x:v>
      </x:c>
      <x:c r="AG1023" s="9" t="str">
        <x:f>IF(AF1023&gt;0,B1023,"")</x:f>
      </x:c>
      <x:c r="AH1023" s="9" t="n">
        <x:f>IF(F1023&gt;=1,1,(1+v01_LowTiesShare*(AE1023-1))/AE1023)</x:f>
        <x:v>1</x:v>
      </x:c>
      <x:c r="AI1023" s="32" t="n">
        <x:f>(Z1023+v01_ElderCommons*INDEX(LM_Elder,G1023)*AA1023)*AH1023</x:f>
        <x:v>2858.3178298737253</x:v>
      </x:c>
      <x:c r="AJ1023" s="32" t="n">
        <x:f>H1023*v01_CommonsCoef*AI1023^v01_CommonsExp*INDEX(LM_Commons,G1023)</x:f>
        <x:v>628.3208130285747</x:v>
      </x:c>
      <x:c r="AK1023" s="32" t="n">
        <x:f>H1023*v01_RoleScale*Arch_Roles*(AE1023*(INDEX(v01_ElderRolePerSett,G1023)*v01_OutElder*INDEX(LM_Elder,G1023)+INDEX(v01_ShamanPerSett,G1023)*v01_OutShaman)+Z1023*(INDEX(v01_PriestShare,G1023)*v01_OutPriest+INDEX(v01_ScribeShare,G1023)*v01_OutScribe*INDEX(LM_Scribe,G1023)+INDEX(v01_ScholarShare,G1023)*v01_OutScholar*INDEX(LM_Scholar,G1023)+INDEX(v01_ResearcherShare,G1023)*v01_OutResearcher*INDEX(LM_Researcher,G1023)))</x:f>
        <x:v>86.34532424089288</x:v>
      </x:c>
      <x:c r="AL1023" s="32" t="n">
        <x:f>H1023*v01_RoleScale*Arch_Roles*AE1023*INDEX(v01_MonasteryPerSett,G1023)*v01_OutMonastery*INDEX(LM_Monastery,G1023)</x:f>
        <x:v>0</x:v>
      </x:c>
      <x:c r="AM1023" s="32" t="n">
        <x:f>(AJ1023+AK1023+AL1023)/4*INDEX(LM_All,G1023)*INDEX(v01_Boon,G1023)*Arch_Insight</x:f>
        <x:v>214.9546751124932</x:v>
      </x:c>
      <x:c r="AN1023" s="32" t="n">
        <x:f>H1023*(v01_KHPerAdult*Z1023+v01_KHOfCommons*AJ1023/4*INDEX(LM_All,G1023))*v01_KHUsable*Arch_KH</x:f>
        <x:v>47.495883801187205</x:v>
      </x:c>
      <x:c r="AO1023" s="32" t="n">
        <x:f>MIN(AP1022+AN1023,AM1023*v01_KHMaxRatio)</x:f>
        <x:v>47.495883801187205</x:v>
      </x:c>
      <x:c r="AP1023" s="32" t="n">
        <x:f>AP1022+AN1023-AO1023</x:f>
        <x:v>0</x:v>
      </x:c>
      <x:c r="AQ1023" s="32" t="n">
        <x:f>AM1023+AO1023</x:f>
        <x:v>262.4505589136804</x:v>
      </x:c>
      <x:c r="AR1023" s="10" t="n">
        <x:f>IF(H1023=1,INDEX(v01_Req,G1023),0)</x:f>
        <x:v>24714.473079999996</x:v>
      </x:c>
      <x:c r="AS1023" s="32" t="n">
        <x:f>IF(H1023=1,IF(E1023=1,AS1022-AR1022,AS1022)+AQ1023,0)</x:f>
        <x:v>24576.091543763774</x:v>
      </x:c>
      <x:c r="AT1023" s="11" t="n">
        <x:f>IF(AR1023&gt;0,MIN(1,AS1023/AR1023),1)</x:f>
        <x:v>0.9944007895378435</x:v>
      </x:c>
      <x:c r="AU1023" s="10" t="n">
        <x:f>AB1023/INDEX(v01_RepScale,G1023)</x:f>
        <x:v>314.3987483444529</x:v>
      </x:c>
      <x:c r="AV1023" s="32" t="n">
        <x:f>AM1023*60/v01_SeasonSeconds</x:f>
        <x:v>859.8187004499728</x:v>
      </x:c>
    </x:row>
    <x:row r="1024">
      <x:c r="A1024" s="8" t="n">
        <x:f>A1023+1</x:f>
        <x:v>1021</x:v>
      </x:c>
      <x:c r="B1024" s="9" t="n">
        <x:f>A1024*v01_SeasonSeconds/60</x:f>
        <x:v>255.25</x:v>
      </x:c>
      <x:c r="C1024" s="9" t="n">
        <x:f>A1024/4</x:f>
        <x:v>255.25</x:v>
      </x:c>
      <x:c r="D1024" s="8" t="n">
        <x:f>IF(MOD(A1024,4)=0,1,0)</x:f>
        <x:v>0</x:v>
      </x:c>
      <x:c r="E1024" s="8" t="n">
        <x:f>IF(AND(F1023&lt;=9,AS1023&gt;=AR1023),1,0)</x:f>
        <x:v>0</x:v>
      </x:c>
      <x:c r="F1024" s="8" t="n">
        <x:f>MIN(10,F1023+E1024)</x:f>
        <x:v>4</x:v>
      </x:c>
      <x:c r="G1024" s="8" t="n">
        <x:f>MIN(F1024,9)+1</x:f>
        <x:v>5</x:v>
      </x:c>
      <x:c r="H1024" s="8" t="n">
        <x:f>IF(F1024&lt;=9,1,0)</x:f>
        <x:v>1</x:v>
      </x:c>
      <x:c r="I1024" s="9" t="n">
        <x:f>MIN(10,F1023+IF(AR1023&gt;0,MIN(1,AS1023/AR1023),1))</x:f>
        <x:v>4.994400789537844</x:v>
      </x:c>
      <x:c r="J1024" s="32" t="n">
        <x:f>INDEX(v01_FoodCap,G1024)*Arch_FoodCap*EXP(v01_CapsByProject*SUMPRODUCT((Cap_Point&lt;=I1024)*(Cap_Kind="Food")*Cap_Ln))</x:f>
        <x:v>250</x:v>
      </x:c>
      <x:c r="K1024" s="32" t="n">
        <x:f>J1024*MIN(1,v01_LeanBase*EXP(v01_CapsByProject*SUMPRODUCT((Cap_Point&lt;=I1024)*(Cap_Kind="Lean")*Cap_Ln)))</x:f>
        <x:v>250</x:v>
      </x:c>
      <x:c r="L1024" s="10" t="n">
        <x:f>INDEX(v01_HousingCap,G1024)*EXP(v01_CapsByProject*SUMPRODUCT((Cap_Point&lt;=I1024)*(Cap_Kind="Housing")*Cap_Ln))</x:f>
        <x:v>400</x:v>
      </x:c>
      <x:c r="M1024" s="10" t="n">
        <x:f>INDEX(v01_GroupCap,G1024)*v01_CohesionFactor*EXP(v01_CapsByProject*SUMPRODUCT((Cap_Point&lt;=I1024)*(Cap_Kind="Group")*Cap_Ln))</x:f>
        <x:v>10000</x:v>
      </x:c>
      <x:c r="N1024" s="32" t="n">
        <x:f>MIN(J1024,L1024,M1024)</x:f>
        <x:v>250</x:v>
      </x:c>
      <x:c r="O1024" s="10" t="n">
        <x:f>AE1023*N1024</x:f>
        <x:v>4000</x:v>
      </x:c>
      <x:c r="P1024" s="9" t="n">
        <x:f>MIN(1,(AB1023/(AE1023*IF(v01_GroupInCrowding=1,N1024,MIN(J1024,L1024))))^v01_CrowdingExp)</x:f>
        <x:v>0.23578973937622413</x:v>
      </x:c>
      <x:c r="Q1024" s="9" t="n">
        <x:f>IF(D1024=1,INDEX(v01_WinterMult,G1024),1)</x:f>
        <x:v>1</x:v>
      </x:c>
      <x:c r="R1024" s="9" t="n">
        <x:f>H1024*Z1023*v01_WomenShare*v01_BaseFertility*INDEX(v01_FertMult,G1024)*Arch_Fertility*(1-P1024)</x:f>
        <x:v>37.33389435935504</x:v>
      </x:c>
      <x:c r="S1024" s="9" t="n">
        <x:f>H1024*Y1023*INDEX(v01_MortChild,G1024)/4*Q1024</x:f>
        <x:v>9.005719607581378</x:v>
      </x:c>
      <x:c r="T1024" s="9" t="n">
        <x:f>H1024*Z1023*INDEX(v01_MortAdult,G1024)*Arch_AdultMort/4*Q1024</x:f>
        <x:v>3.392563128656229</x:v>
      </x:c>
      <x:c r="U1024" s="9" t="n">
        <x:f>H1024*AA1023*INDEX(v01_MortElder,G1024)/4*Q1024</x:f>
        <x:v>7.506462892056168</x:v>
      </x:c>
      <x:c r="V1024" s="9" t="n">
        <x:f>H1024*MAX(0,AB1023-O1024)*v01_OvercapLoss</x:f>
        <x:v>0</x:v>
      </x:c>
      <x:c r="W1024" s="9" t="n">
        <x:f>H1024*Y1023/(v01_ChildYears*4)</x:f>
        <x:v>22.97377450913617</x:v>
      </x:c>
      <x:c r="X1024" s="9" t="n">
        <x:f>H1024*Z1023/(v01_AdultYears*4)</x:f>
        <x:v>10.94375202792332</x:v>
      </x:c>
      <x:c r="Y1024" s="32" t="n">
        <x:f>Y1023+R1024-S1024-W1024-Y1023*V1024/AB1023</x:f>
        <x:v>1291.8857727542631</x:v>
      </x:c>
      <x:c r="Z1024" s="32" t="n">
        <x:f>Z1023+W1024-X1024-T1024-Z1023*V1024/AB1023</x:f>
        <x:v>1365.6627108150483</x:v>
      </x:c>
      <x:c r="AA1024" s="32" t="n">
        <x:f>AA1023+X1024-U1024-AA1023*V1024/AB1023</x:f>
        <x:v>503.86814860627834</x:v>
      </x:c>
      <x:c r="AB1024" s="10" t="n">
        <x:f>Y1024+Z1024+AA1024</x:f>
        <x:v>3161.4166321755897</x:v>
      </x:c>
      <x:c r="AC1024" s="8" t="n">
        <x:f>IF(AND(v01_WinterTrigger=1,D1024=1,AB1023/AE1023&gt;=K1024),1,0)</x:f>
        <x:v>0</x:v>
      </x:c>
      <x:c r="AD1024" s="8" t="n">
        <x:f>H1024*IF(AND(OR(AB1023/AE1023&gt;=v01_FissionTrigger*N1024,AC1024=1),AB1023/AE1023*v01_DaughterShare&gt;=v01_MinDaughter),MAX(1,ROUND(AE1023*v01_FissionRate,0)),0)</x:f>
        <x:v>0</x:v>
      </x:c>
      <x:c r="AE1024" s="8" t="n">
        <x:f>IF(H1024=1,MAX(1,MIN(INDEX(v01_Smax,G1024),AE1023+AD1024)),AE1023)</x:f>
        <x:v>16</x:v>
      </x:c>
      <x:c r="AF1024" s="8" t="n">
        <x:f>MAX(0,AE1024-AE1023)</x:f>
        <x:v>0</x:v>
      </x:c>
      <x:c r="AG1024" s="9" t="str">
        <x:f>IF(AF1024&gt;0,B1024,"")</x:f>
      </x:c>
      <x:c r="AH1024" s="9" t="n">
        <x:f>IF(F1024&gt;=1,1,(1+v01_LowTiesShare*(AE1024-1))/AE1024)</x:f>
        <x:v>1</x:v>
      </x:c>
      <x:c r="AI1024" s="32" t="n">
        <x:f>(Z1024+v01_ElderCommons*INDEX(LM_Elder,G1024)*AA1024)*AH1024</x:f>
        <x:v>2877.267156633883</x:v>
      </x:c>
      <x:c r="AJ1024" s="32" t="n">
        <x:f>H1024*v01_CommonsCoef*AI1024^v01_CommonsExp*INDEX(LM_Commons,G1024)</x:f>
        <x:v>631.859712235715</x:v>
      </x:c>
      <x:c r="AK1024" s="32" t="n">
        <x:f>H1024*v01_RoleScale*Arch_Roles*(AE1024*(INDEX(v01_ElderRolePerSett,G1024)*v01_OutElder*INDEX(LM_Elder,G1024)+INDEX(v01_ShamanPerSett,G1024)*v01_OutShaman)+Z1024*(INDEX(v01_PriestShare,G1024)*v01_OutPriest+INDEX(v01_ScribeShare,G1024)*v01_OutScribe*INDEX(LM_Scribe,G1024)+INDEX(v01_ScholarShare,G1024)*v01_OutScholar*INDEX(LM_Scholar,G1024)+INDEX(v01_ResearcherShare,G1024)*v01_OutResearcher*INDEX(LM_Researcher,G1024)))</x:f>
        <x:v>86.5893920496049</x:v>
      </x:c>
      <x:c r="AL1024" s="32" t="n">
        <x:f>H1024*v01_RoleScale*Arch_Roles*AE1024*INDEX(v01_MonasteryPerSett,G1024)*v01_OutMonastery*INDEX(LM_Monastery,G1024)</x:f>
        <x:v>0</x:v>
      </x:c>
      <x:c r="AM1024" s="32" t="n">
        <x:f>(AJ1024+AK1024+AL1024)/4*INDEX(LM_All,G1024)*INDEX(v01_Boon,G1024)*Arch_Insight</x:f>
        <x:v>216.0925021389152</x:v>
      </x:c>
      <x:c r="AN1024" s="32" t="n">
        <x:f>H1024*(v01_KHPerAdult*Z1024+v01_KHOfCommons*AJ1024/4*INDEX(LM_All,G1024))*v01_KHUsable*Arch_KH</x:f>
        <x:v>47.79819487852669</x:v>
      </x:c>
      <x:c r="AO1024" s="32" t="n">
        <x:f>MIN(AP1023+AN1024,AM1024*v01_KHMaxRatio)</x:f>
        <x:v>47.79819487852669</x:v>
      </x:c>
      <x:c r="AP1024" s="32" t="n">
        <x:f>AP1023+AN1024-AO1024</x:f>
        <x:v>0</x:v>
      </x:c>
      <x:c r="AQ1024" s="32" t="n">
        <x:f>AM1024+AO1024</x:f>
        <x:v>263.8906970174419</x:v>
      </x:c>
      <x:c r="AR1024" s="10" t="n">
        <x:f>IF(H1024=1,INDEX(v01_Req,G1024),0)</x:f>
        <x:v>24714.473079999996</x:v>
      </x:c>
      <x:c r="AS1024" s="32" t="n">
        <x:f>IF(H1024=1,IF(E1024=1,AS1023-AR1023,AS1023)+AQ1024,0)</x:f>
        <x:v>24839.982240781217</x:v>
      </x:c>
      <x:c r="AT1024" s="11" t="n">
        <x:f>IF(AR1024&gt;0,MIN(1,AS1024/AR1024),1)</x:f>
        <x:v>1</x:v>
      </x:c>
      <x:c r="AU1024" s="10" t="n">
        <x:f>AB1024/INDEX(v01_RepScale,G1024)</x:f>
        <x:v>316.14166321755897</x:v>
      </x:c>
      <x:c r="AV1024" s="32" t="n">
        <x:f>AM1024*60/v01_SeasonSeconds</x:f>
        <x:v>864.3700085556608</x:v>
      </x:c>
    </x:row>
    <x:row r="1025">
      <x:c r="A1025" s="8" t="n">
        <x:f>A1024+1</x:f>
        <x:v>1022</x:v>
      </x:c>
      <x:c r="B1025" s="9" t="n">
        <x:f>A1025*v01_SeasonSeconds/60</x:f>
        <x:v>255.5</x:v>
      </x:c>
      <x:c r="C1025" s="9" t="n">
        <x:f>A1025/4</x:f>
        <x:v>255.5</x:v>
      </x:c>
      <x:c r="D1025" s="8" t="n">
        <x:f>IF(MOD(A1025,4)=0,1,0)</x:f>
        <x:v>0</x:v>
      </x:c>
      <x:c r="E1025" s="8" t="n">
        <x:f>IF(AND(F1024&lt;=9,AS1024&gt;=AR1024),1,0)</x:f>
        <x:v>1</x:v>
      </x:c>
      <x:c r="F1025" s="8" t="n">
        <x:f>MIN(10,F1024+E1025)</x:f>
        <x:v>5</x:v>
      </x:c>
      <x:c r="G1025" s="8" t="n">
        <x:f>MIN(F1025,9)+1</x:f>
        <x:v>6</x:v>
      </x:c>
      <x:c r="H1025" s="8" t="n">
        <x:f>IF(F1025&lt;=9,1,0)</x:f>
        <x:v>1</x:v>
      </x:c>
      <x:c r="I1025" s="9" t="n">
        <x:f>MIN(10,F1024+IF(AR1024&gt;0,MIN(1,AS1024/AR1024),1))</x:f>
        <x:v>5</x:v>
      </x:c>
      <x:c r="J1025" s="32" t="n">
        <x:f>INDEX(v01_FoodCap,G1025)*Arch_FoodCap*EXP(v01_CapsByProject*SUMPRODUCT((Cap_Point&lt;=I1025)*(Cap_Kind="Food")*Cap_Ln))</x:f>
        <x:v>500</x:v>
      </x:c>
      <x:c r="K1025" s="32" t="n">
        <x:f>J1025*MIN(1,v01_LeanBase*EXP(v01_CapsByProject*SUMPRODUCT((Cap_Point&lt;=I1025)*(Cap_Kind="Lean")*Cap_Ln)))</x:f>
        <x:v>500</x:v>
      </x:c>
      <x:c r="L1025" s="10" t="n">
        <x:f>INDEX(v01_HousingCap,G1025)*EXP(v01_CapsByProject*SUMPRODUCT((Cap_Point&lt;=I1025)*(Cap_Kind="Housing")*Cap_Ln))</x:f>
        <x:v>800</x:v>
      </x:c>
      <x:c r="M1025" s="10" t="n">
        <x:f>INDEX(v01_GroupCap,G1025)*v01_CohesionFactor*EXP(v01_CapsByProject*SUMPRODUCT((Cap_Point&lt;=I1025)*(Cap_Kind="Group")*Cap_Ln))</x:f>
        <x:v>10000</x:v>
      </x:c>
      <x:c r="N1025" s="32" t="n">
        <x:f>MIN(J1025,L1025,M1025)</x:f>
        <x:v>500</x:v>
      </x:c>
      <x:c r="O1025" s="10" t="n">
        <x:f>AE1024*N1025</x:f>
        <x:v>8000</x:v>
      </x:c>
      <x:c r="P1025" s="9" t="n">
        <x:f>MIN(1,(AB1024/(AE1024*IF(v01_GroupInCrowding=1,N1025,MIN(J1025,L1025))))^v01_CrowdingExp)</x:f>
        <x:v>0.003808469489663469</x:v>
      </x:c>
      <x:c r="Q1025" s="9" t="n">
        <x:f>IF(D1025=1,INDEX(v01_WinterMult,G1025),1)</x:f>
        <x:v>1</x:v>
      </x:c>
      <x:c r="R1025" s="9" t="n">
        <x:f>H1025*Z1024*v01_WomenShare*v01_BaseFertility*INDEX(v01_FertMult,G1025)*Arch_Fertility*(1-P1025)</x:f>
        <x:v>44.89523365957536</x:v>
      </x:c>
      <x:c r="S1025" s="9" t="n">
        <x:f>H1025*Y1024*INDEX(v01_MortChild,G1025)/4*Q1025</x:f>
        <x:v>8.074286079714145</x:v>
      </x:c>
      <x:c r="T1025" s="9" t="n">
        <x:f>H1025*Z1024*INDEX(v01_MortAdult,G1025)*Arch_AdultMort/4*Q1025</x:f>
        <x:v>3.4141567770376207</x:v>
      </x:c>
      <x:c r="U1025" s="9" t="n">
        <x:f>H1025*AA1024*INDEX(v01_MortElder,G1025)/4*Q1025</x:f>
        <x:v>7.558022229094175</x:v>
      </x:c>
      <x:c r="V1025" s="9" t="n">
        <x:f>H1025*MAX(0,AB1024-O1025)*v01_OvercapLoss</x:f>
        <x:v>0</x:v>
      </x:c>
      <x:c r="W1025" s="9" t="n">
        <x:f>H1025*Y1024/(v01_ChildYears*4)</x:f>
        <x:v>23.06938879918327</x:v>
      </x:c>
      <x:c r="X1025" s="9" t="n">
        <x:f>H1025*Z1024/(v01_AdultYears*4)</x:f>
        <x:v>11.013408958185874</x:v>
      </x:c>
      <x:c r="Y1025" s="32" t="n">
        <x:f>Y1024+R1025-S1025-W1025-Y1024*V1025/AB1024</x:f>
        <x:v>1305.637331534941</x:v>
      </x:c>
      <x:c r="Z1025" s="32" t="n">
        <x:f>Z1024+W1025-X1025-T1025-Z1024*V1025/AB1024</x:f>
        <x:v>1374.3045338790082</x:v>
      </x:c>
      <x:c r="AA1025" s="32" t="n">
        <x:f>AA1024+X1025-U1025-AA1024*V1025/AB1024</x:f>
        <x:v>507.32353533537</x:v>
      </x:c>
      <x:c r="AB1025" s="10" t="n">
        <x:f>Y1025+Z1025+AA1025</x:f>
        <x:v>3187.2654007493193</x:v>
      </x:c>
      <x:c r="AC1025" s="8" t="n">
        <x:f>IF(AND(v01_WinterTrigger=1,D1025=1,AB1024/AE1024&gt;=K1025),1,0)</x:f>
        <x:v>0</x:v>
      </x:c>
      <x:c r="AD1025" s="8" t="n">
        <x:f>H1025*IF(AND(OR(AB1024/AE1024&gt;=v01_FissionTrigger*N1025,AC1025=1),AB1024/AE1024*v01_DaughterShare&gt;=v01_MinDaughter),MAX(1,ROUND(AE1024*v01_FissionRate,0)),0)</x:f>
        <x:v>0</x:v>
      </x:c>
      <x:c r="AE1025" s="8" t="n">
        <x:f>IF(H1025=1,MAX(1,MIN(INDEX(v01_Smax,G1025),AE1024+AD1025)),AE1024)</x:f>
        <x:v>16</x:v>
      </x:c>
      <x:c r="AF1025" s="8" t="n">
        <x:f>MAX(0,AE1025-AE1024)</x:f>
        <x:v>0</x:v>
      </x:c>
      <x:c r="AG1025" s="9" t="str">
        <x:f>IF(AF1025&gt;0,B1025,"")</x:f>
      </x:c>
      <x:c r="AH1025" s="9" t="n">
        <x:f>IF(F1025&gt;=1,1,(1+v01_LowTiesShare*(AE1025-1))/AE1025)</x:f>
        <x:v>1</x:v>
      </x:c>
      <x:c r="AI1025" s="32" t="n">
        <x:f>(Z1025+v01_ElderCommons*INDEX(LM_Elder,G1025)*AA1025)*AH1025</x:f>
        <x:v>3075.919401272114</x:v>
      </x:c>
      <x:c r="AJ1025" s="32" t="n">
        <x:f>H1025*v01_CommonsCoef*AI1025^v01_CommonsExp*INDEX(LM_Commons,G1025)</x:f>
        <x:v>734.8687569108091</x:v>
      </x:c>
      <x:c r="AK1025" s="32" t="n">
        <x:f>H1025*v01_RoleScale*Arch_Roles*(AE1025*(INDEX(v01_ElderRolePerSett,G1025)*v01_OutElder*INDEX(LM_Elder,G1025)+INDEX(v01_ShamanPerSett,G1025)*v01_OutShaman)+Z1025*(INDEX(v01_PriestShare,G1025)*v01_OutPriest+INDEX(v01_ScribeShare,G1025)*v01_OutScribe*INDEX(LM_Scribe,G1025)+INDEX(v01_ScholarShare,G1025)*v01_OutScholar*INDEX(LM_Scholar,G1025)+INDEX(v01_ResearcherShare,G1025)*v01_OutResearcher*INDEX(LM_Researcher,G1025)))</x:f>
        <x:v>148.28867080574733</x:v>
      </x:c>
      <x:c r="AL1025" s="32" t="n">
        <x:f>H1025*v01_RoleScale*Arch_Roles*AE1025*INDEX(v01_MonasteryPerSett,G1025)*v01_OutMonastery*INDEX(LM_Monastery,G1025)</x:f>
        <x:v>5.034282471216728</x:v>
      </x:c>
      <x:c r="AM1025" s="32" t="n">
        <x:f>(AJ1025+AK1025+AL1025)/4*INDEX(LM_All,G1025)*INDEX(v01_Boon,G1025)*Arch_Insight</x:f>
        <x:v>320.06000809257654</x:v>
      </x:c>
      <x:c r="AN1025" s="32" t="n">
        <x:f>H1025*(v01_KHPerAdult*Z1025+v01_KHOfCommons*AJ1025/4*INDEX(LM_All,G1025))*v01_KHUsable*Arch_KH</x:f>
        <x:v>48.10065868576529</x:v>
      </x:c>
      <x:c r="AO1025" s="32" t="n">
        <x:f>MIN(AP1024+AN1025,AM1025*v01_KHMaxRatio)</x:f>
        <x:v>48.10065868576529</x:v>
      </x:c>
      <x:c r="AP1025" s="32" t="n">
        <x:f>AP1024+AN1025-AO1025</x:f>
        <x:v>0</x:v>
      </x:c>
      <x:c r="AQ1025" s="32" t="n">
        <x:f>AM1025+AO1025</x:f>
        <x:v>368.1606667783418</x:v>
      </x:c>
      <x:c r="AR1025" s="10" t="n">
        <x:f>IF(H1025=1,INDEX(v01_Req,G1025),0)</x:f>
        <x:v>47951.22698</x:v>
      </x:c>
      <x:c r="AS1025" s="32" t="n">
        <x:f>IF(H1025=1,IF(E1025=1,AS1024-AR1024,AS1024)+AQ1025,0)</x:f>
        <x:v>493.6698275595628</x:v>
      </x:c>
      <x:c r="AT1025" s="11" t="n">
        <x:f>IF(AR1025&gt;0,MIN(1,AS1025/AR1025),1)</x:f>
        <x:v>0.010295249123978991</x:v>
      </x:c>
      <x:c r="AU1025" s="10" t="n">
        <x:f>AB1025/INDEX(v01_RepScale,G1025)</x:f>
        <x:v>127.49061602997277</x:v>
      </x:c>
      <x:c r="AV1025" s="32" t="n">
        <x:f>AM1025*60/v01_SeasonSeconds</x:f>
        <x:v>1280.2400323703062</x:v>
      </x:c>
    </x:row>
    <x:row r="1026">
      <x:c r="A1026" s="8" t="n">
        <x:f>A1025+1</x:f>
        <x:v>1023</x:v>
      </x:c>
      <x:c r="B1026" s="9" t="n">
        <x:f>A1026*v01_SeasonSeconds/60</x:f>
        <x:v>255.75</x:v>
      </x:c>
      <x:c r="C1026" s="9" t="n">
        <x:f>A1026/4</x:f>
        <x:v>255.75</x:v>
      </x:c>
      <x:c r="D1026" s="8" t="n">
        <x:f>IF(MOD(A1026,4)=0,1,0)</x:f>
        <x:v>0</x:v>
      </x:c>
      <x:c r="E1026" s="8" t="n">
        <x:f>IF(AND(F1025&lt;=9,AS1025&gt;=AR1025),1,0)</x:f>
        <x:v>0</x:v>
      </x:c>
      <x:c r="F1026" s="8" t="n">
        <x:f>MIN(10,F1025+E1026)</x:f>
        <x:v>5</x:v>
      </x:c>
      <x:c r="G1026" s="8" t="n">
        <x:f>MIN(F1026,9)+1</x:f>
        <x:v>6</x:v>
      </x:c>
      <x:c r="H1026" s="8" t="n">
        <x:f>IF(F1026&lt;=9,1,0)</x:f>
        <x:v>1</x:v>
      </x:c>
      <x:c r="I1026" s="9" t="n">
        <x:f>MIN(10,F1025+IF(AR1025&gt;0,MIN(1,AS1025/AR1025),1))</x:f>
        <x:v>5.010295249123979</x:v>
      </x:c>
      <x:c r="J1026" s="32" t="n">
        <x:f>INDEX(v01_FoodCap,G1026)*Arch_FoodCap*EXP(v01_CapsByProject*SUMPRODUCT((Cap_Point&lt;=I1026)*(Cap_Kind="Food")*Cap_Ln))</x:f>
        <x:v>500</x:v>
      </x:c>
      <x:c r="K1026" s="32" t="n">
        <x:f>J1026*MIN(1,v01_LeanBase*EXP(v01_CapsByProject*SUMPRODUCT((Cap_Point&lt;=I1026)*(Cap_Kind="Lean")*Cap_Ln)))</x:f>
        <x:v>500</x:v>
      </x:c>
      <x:c r="L1026" s="10" t="n">
        <x:f>INDEX(v01_HousingCap,G1026)*EXP(v01_CapsByProject*SUMPRODUCT((Cap_Point&lt;=I1026)*(Cap_Kind="Housing")*Cap_Ln))</x:f>
        <x:v>800</x:v>
      </x:c>
      <x:c r="M1026" s="10" t="n">
        <x:f>INDEX(v01_GroupCap,G1026)*v01_CohesionFactor*EXP(v01_CapsByProject*SUMPRODUCT((Cap_Point&lt;=I1026)*(Cap_Kind="Group")*Cap_Ln))</x:f>
        <x:v>10000</x:v>
      </x:c>
      <x:c r="N1026" s="32" t="n">
        <x:f>MIN(J1026,L1026,M1026)</x:f>
        <x:v>500</x:v>
      </x:c>
      <x:c r="O1026" s="10" t="n">
        <x:f>AE1025*N1026</x:f>
        <x:v>8000</x:v>
      </x:c>
      <x:c r="P1026" s="9" t="n">
        <x:f>MIN(1,(AB1025/(AE1025*IF(v01_GroupInCrowding=1,N1026,MIN(J1026,L1026))))^v01_CrowdingExp)</x:f>
        <x:v>0.003999166150322871</x:v>
      </x:c>
      <x:c r="Q1026" s="9" t="n">
        <x:f>IF(D1026=1,INDEX(v01_WinterMult,G1026),1)</x:f>
        <x:v>1</x:v>
      </x:c>
      <x:c r="R1026" s="9" t="n">
        <x:f>H1026*Z1025*v01_WomenShare*v01_BaseFertility*INDEX(v01_FertMult,G1026)*Arch_Fertility*(1-P1026)</x:f>
        <x:v>45.17067923632718</x:v>
      </x:c>
      <x:c r="S1026" s="9" t="n">
        <x:f>H1026*Y1025*INDEX(v01_MortChild,G1026)/4*Q1026</x:f>
        <x:v>8.160233322093381</x:v>
      </x:c>
      <x:c r="T1026" s="9" t="n">
        <x:f>H1026*Z1025*INDEX(v01_MortAdult,G1026)*Arch_AdultMort/4*Q1026</x:f>
        <x:v>3.4357613346975207</x:v>
      </x:c>
      <x:c r="U1026" s="9" t="n">
        <x:f>H1026*AA1025*INDEX(v01_MortElder,G1026)/4*Q1026</x:f>
        <x:v>7.60985303003055</x:v>
      </x:c>
      <x:c r="V1026" s="9" t="n">
        <x:f>H1026*MAX(0,AB1025-O1026)*v01_OvercapLoss</x:f>
        <x:v>0</x:v>
      </x:c>
      <x:c r="W1026" s="9" t="n">
        <x:f>H1026*Y1025/(v01_ChildYears*4)</x:f>
        <x:v>23.314952348838233</x:v>
      </x:c>
      <x:c r="X1026" s="9" t="n">
        <x:f>H1026*Z1025/(v01_AdultYears*4)</x:f>
        <x:v>11.08310107966942</x:v>
      </x:c>
      <x:c r="Y1026" s="32" t="n">
        <x:f>Y1025+R1026-S1026-W1026-Y1025*V1026/AB1025</x:f>
        <x:v>1319.3328251003368</x:v>
      </x:c>
      <x:c r="Z1026" s="32" t="n">
        <x:f>Z1025+W1026-X1026-T1026-Z1025*V1026/AB1025</x:f>
        <x:v>1383.1006238134796</x:v>
      </x:c>
      <x:c r="AA1026" s="32" t="n">
        <x:f>AA1025+X1026-U1026-AA1025*V1026/AB1025</x:f>
        <x:v>510.7967833850089</x:v>
      </x:c>
      <x:c r="AB1026" s="10" t="n">
        <x:f>Y1026+Z1026+AA1026</x:f>
        <x:v>3213.2302322988253</x:v>
      </x:c>
      <x:c r="AC1026" s="8" t="n">
        <x:f>IF(AND(v01_WinterTrigger=1,D1026=1,AB1025/AE1025&gt;=K1026),1,0)</x:f>
        <x:v>0</x:v>
      </x:c>
      <x:c r="AD1026" s="8" t="n">
        <x:f>H1026*IF(AND(OR(AB1025/AE1025&gt;=v01_FissionTrigger*N1026,AC1026=1),AB1025/AE1025*v01_DaughterShare&gt;=v01_MinDaughter),MAX(1,ROUND(AE1025*v01_FissionRate,0)),0)</x:f>
        <x:v>0</x:v>
      </x:c>
      <x:c r="AE1026" s="8" t="n">
        <x:f>IF(H1026=1,MAX(1,MIN(INDEX(v01_Smax,G1026),AE1025+AD1026)),AE1025)</x:f>
        <x:v>16</x:v>
      </x:c>
      <x:c r="AF1026" s="8" t="n">
        <x:f>MAX(0,AE1026-AE1025)</x:f>
        <x:v>0</x:v>
      </x:c>
      <x:c r="AG1026" s="9" t="str">
        <x:f>IF(AF1026&gt;0,B1026,"")</x:f>
      </x:c>
      <x:c r="AH1026" s="9" t="n">
        <x:f>IF(F1026&gt;=1,1,(1+v01_LowTiesShare*(AE1026-1))/AE1026)</x:f>
        <x:v>1</x:v>
      </x:c>
      <x:c r="AI1026" s="32" t="n">
        <x:f>(Z1026+v01_ElderCommons*INDEX(LM_Elder,G1026)*AA1026)*AH1026</x:f>
        <x:v>3096.365119319152</x:v>
      </x:c>
      <x:c r="AJ1026" s="32" t="n">
        <x:f>H1026*v01_CommonsCoef*AI1026^v01_CommonsExp*INDEX(LM_Commons,G1026)</x:f>
        <x:v>739.0186806297376</x:v>
      </x:c>
      <x:c r="AK1026" s="32" t="n">
        <x:f>H1026*v01_RoleScale*Arch_Roles*(AE1026*(INDEX(v01_ElderRolePerSett,G1026)*v01_OutElder*INDEX(LM_Elder,G1026)+INDEX(v01_ShamanPerSett,G1026)*v01_OutShaman)+Z1026*(INDEX(v01_PriestShare,G1026)*v01_OutPriest+INDEX(v01_ScribeShare,G1026)*v01_OutScribe*INDEX(LM_Scribe,G1026)+INDEX(v01_ScholarShare,G1026)*v01_OutScholar*INDEX(LM_Scholar,G1026)+INDEX(v01_ResearcherShare,G1026)*v01_OutResearcher*INDEX(LM_Researcher,G1026)))</x:f>
        <x:v>148.91242663624553</x:v>
      </x:c>
      <x:c r="AL1026" s="32" t="n">
        <x:f>H1026*v01_RoleScale*Arch_Roles*AE1026*INDEX(v01_MonasteryPerSett,G1026)*v01_OutMonastery*INDEX(LM_Monastery,G1026)</x:f>
        <x:v>5.034282471216728</x:v>
      </x:c>
      <x:c r="AM1026" s="32" t="n">
        <x:f>(AJ1026+AK1026+AL1026)/4*INDEX(LM_All,G1026)*INDEX(v01_Boon,G1026)*Arch_Insight</x:f>
        <x:v>321.7802041917924</x:v>
      </x:c>
      <x:c r="AN1026" s="32" t="n">
        <x:f>H1026*(v01_KHPerAdult*Z1026+v01_KHOfCommons*AJ1026/4*INDEX(LM_All,G1026))*v01_KHUsable*Arch_KH</x:f>
        <x:v>48.40852183347178</x:v>
      </x:c>
      <x:c r="AO1026" s="32" t="n">
        <x:f>MIN(AP1025+AN1026,AM1026*v01_KHMaxRatio)</x:f>
        <x:v>48.40852183347178</x:v>
      </x:c>
      <x:c r="AP1026" s="32" t="n">
        <x:f>AP1025+AN1026-AO1026</x:f>
        <x:v>0</x:v>
      </x:c>
      <x:c r="AQ1026" s="32" t="n">
        <x:f>AM1026+AO1026</x:f>
        <x:v>370.18872602526415</x:v>
      </x:c>
      <x:c r="AR1026" s="10" t="n">
        <x:f>IF(H1026=1,INDEX(v01_Req,G1026),0)</x:f>
        <x:v>47951.22698</x:v>
      </x:c>
      <x:c r="AS1026" s="32" t="n">
        <x:f>IF(H1026=1,IF(E1026=1,AS1025-AR1025,AS1025)+AQ1026,0)</x:f>
        <x:v>863.858553584827</x:v>
      </x:c>
      <x:c r="AT1026" s="11" t="n">
        <x:f>IF(AR1026&gt;0,MIN(1,AS1026/AR1026),1)</x:f>
        <x:v>0.018015358688217388</x:v>
      </x:c>
      <x:c r="AU1026" s="10" t="n">
        <x:f>AB1026/INDEX(v01_RepScale,G1026)</x:f>
        <x:v>128.529209291953</x:v>
      </x:c>
      <x:c r="AV1026" s="32" t="n">
        <x:f>AM1026*60/v01_SeasonSeconds</x:f>
        <x:v>1287.1208167671696</x:v>
      </x:c>
    </x:row>
    <x:row r="1027">
      <x:c r="A1027" s="8" t="n">
        <x:f>A1026+1</x:f>
        <x:v>1024</x:v>
      </x:c>
      <x:c r="B1027" s="9" t="n">
        <x:f>A1027*v01_SeasonSeconds/60</x:f>
        <x:v>256</x:v>
      </x:c>
      <x:c r="C1027" s="9" t="n">
        <x:f>A1027/4</x:f>
        <x:v>256</x:v>
      </x:c>
      <x:c r="D1027" s="8" t="n">
        <x:f>IF(MOD(A1027,4)=0,1,0)</x:f>
        <x:v>1</x:v>
      </x:c>
      <x:c r="E1027" s="8" t="n">
        <x:f>IF(AND(F1026&lt;=9,AS1026&gt;=AR1026),1,0)</x:f>
        <x:v>0</x:v>
      </x:c>
      <x:c r="F1027" s="8" t="n">
        <x:f>MIN(10,F1026+E1027)</x:f>
        <x:v>5</x:v>
      </x:c>
      <x:c r="G1027" s="8" t="n">
        <x:f>MIN(F1027,9)+1</x:f>
        <x:v>6</x:v>
      </x:c>
      <x:c r="H1027" s="8" t="n">
        <x:f>IF(F1027&lt;=9,1,0)</x:f>
        <x:v>1</x:v>
      </x:c>
      <x:c r="I1027" s="9" t="n">
        <x:f>MIN(10,F1026+IF(AR1026&gt;0,MIN(1,AS1026/AR1026),1))</x:f>
        <x:v>5.018015358688217</x:v>
      </x:c>
      <x:c r="J1027" s="32" t="n">
        <x:f>INDEX(v01_FoodCap,G1027)*Arch_FoodCap*EXP(v01_CapsByProject*SUMPRODUCT((Cap_Point&lt;=I1027)*(Cap_Kind="Food")*Cap_Ln))</x:f>
        <x:v>500</x:v>
      </x:c>
      <x:c r="K1027" s="32" t="n">
        <x:f>J1027*MIN(1,v01_LeanBase*EXP(v01_CapsByProject*SUMPRODUCT((Cap_Point&lt;=I1027)*(Cap_Kind="Lean")*Cap_Ln)))</x:f>
        <x:v>500</x:v>
      </x:c>
      <x:c r="L1027" s="10" t="n">
        <x:f>INDEX(v01_HousingCap,G1027)*EXP(v01_CapsByProject*SUMPRODUCT((Cap_Point&lt;=I1027)*(Cap_Kind="Housing")*Cap_Ln))</x:f>
        <x:v>800</x:v>
      </x:c>
      <x:c r="M1027" s="10" t="n">
        <x:f>INDEX(v01_GroupCap,G1027)*v01_CohesionFactor*EXP(v01_CapsByProject*SUMPRODUCT((Cap_Point&lt;=I1027)*(Cap_Kind="Group")*Cap_Ln))</x:f>
        <x:v>10000</x:v>
      </x:c>
      <x:c r="N1027" s="32" t="n">
        <x:f>MIN(J1027,L1027,M1027)</x:f>
        <x:v>500</x:v>
      </x:c>
      <x:c r="O1027" s="10" t="n">
        <x:f>AE1026*N1027</x:f>
        <x:v>8000</x:v>
      </x:c>
      <x:c r="P1027" s="9" t="n">
        <x:f>MIN(1,(AB1026/(AE1026*IF(v01_GroupInCrowding=1,N1027,MIN(J1027,L1027))))^v01_CrowdingExp)</x:f>
        <x:v>0.004198664225835241</x:v>
      </x:c>
      <x:c r="Q1027" s="9" t="n">
        <x:f>IF(D1027=1,INDEX(v01_WinterMult,G1027),1)</x:f>
        <x:v>1</x:v>
      </x:c>
      <x:c r="R1027" s="9" t="n">
        <x:f>H1027*Z1026*v01_WomenShare*v01_BaseFertility*INDEX(v01_FertMult,G1027)*Arch_Fertility*(1-P1027)</x:f>
        <x:v>45.45068380721694</x:v>
      </x:c>
      <x:c r="S1027" s="9" t="n">
        <x:f>H1027*Y1026*INDEX(v01_MortChild,G1027)/4*Q1027</x:f>
        <x:v>8.245830156877105</x:v>
      </x:c>
      <x:c r="T1027" s="9" t="n">
        <x:f>H1027*Z1026*INDEX(v01_MortAdult,G1027)*Arch_AdultMort/4*Q1027</x:f>
        <x:v>3.457751559533699</x:v>
      </x:c>
      <x:c r="U1027" s="9" t="n">
        <x:f>H1027*AA1026*INDEX(v01_MortElder,G1027)/4*Q1027</x:f>
        <x:v>7.661951750775133</x:v>
      </x:c>
      <x:c r="V1027" s="9" t="n">
        <x:f>H1027*MAX(0,AB1026-O1027)*v01_OvercapLoss</x:f>
        <x:v>0</x:v>
      </x:c>
      <x:c r="W1027" s="9" t="n">
        <x:f>H1027*Y1026/(v01_ChildYears*4)</x:f>
        <x:v>23.559514733934584</x:v>
      </x:c>
      <x:c r="X1027" s="9" t="n">
        <x:f>H1027*Z1026/(v01_AdultYears*4)</x:f>
        <x:v>11.154037288818383</x:v>
      </x:c>
      <x:c r="Y1027" s="32" t="n">
        <x:f>Y1026+R1027-S1027-W1027-Y1026*V1027/AB1026</x:f>
        <x:v>1332.978164016742</x:v>
      </x:c>
      <x:c r="Z1027" s="32" t="n">
        <x:f>Z1026+W1027-X1027-T1027-Z1026*V1027/AB1026</x:f>
        <x:v>1392.0483496990619</x:v>
      </x:c>
      <x:c r="AA1027" s="32" t="n">
        <x:f>AA1026+X1027-U1027-AA1026*V1027/AB1026</x:f>
        <x:v>514.2888689230521</x:v>
      </x:c>
      <x:c r="AB1027" s="10" t="n">
        <x:f>Y1027+Z1027+AA1027</x:f>
        <x:v>3239.315382638856</x:v>
      </x:c>
      <x:c r="AC1027" s="8" t="n">
        <x:f>IF(AND(v01_WinterTrigger=1,D1027=1,AB1026/AE1026&gt;=K1027),1,0)</x:f>
        <x:v>0</x:v>
      </x:c>
      <x:c r="AD1027" s="8" t="n">
        <x:f>H1027*IF(AND(OR(AB1026/AE1026&gt;=v01_FissionTrigger*N1027,AC1027=1),AB1026/AE1026*v01_DaughterShare&gt;=v01_MinDaughter),MAX(1,ROUND(AE1026*v01_FissionRate,0)),0)</x:f>
        <x:v>0</x:v>
      </x:c>
      <x:c r="AE1027" s="8" t="n">
        <x:f>IF(H1027=1,MAX(1,MIN(INDEX(v01_Smax,G1027),AE1026+AD1027)),AE1026)</x:f>
        <x:v>16</x:v>
      </x:c>
      <x:c r="AF1027" s="8" t="n">
        <x:f>MAX(0,AE1027-AE1026)</x:f>
        <x:v>0</x:v>
      </x:c>
      <x:c r="AG1027" s="9" t="str">
        <x:f>IF(AF1027&gt;0,B1027,"")</x:f>
      </x:c>
      <x:c r="AH1027" s="9" t="n">
        <x:f>IF(F1027&gt;=1,1,(1+v01_LowTiesShare*(AE1027-1))/AE1027)</x:f>
        <x:v>1</x:v>
      </x:c>
      <x:c r="AI1027" s="32" t="n">
        <x:f>(Z1027+v01_ElderCommons*INDEX(LM_Elder,G1027)*AA1027)*AH1027</x:f>
        <x:v>3117.025656174197</x:v>
      </x:c>
      <x:c r="AJ1027" s="32" t="n">
        <x:f>H1027*v01_CommonsCoef*AI1027^v01_CommonsExp*INDEX(LM_Commons,G1027)</x:f>
        <x:v>743.2080334756986</x:v>
      </x:c>
      <x:c r="AK1027" s="32" t="n">
        <x:f>H1027*v01_RoleScale*Arch_Roles*(AE1027*(INDEX(v01_ElderRolePerSett,G1027)*v01_OutElder*INDEX(LM_Elder,G1027)+INDEX(v01_ShamanPerSett,G1027)*v01_OutShaman)+Z1027*(INDEX(v01_PriestShare,G1027)*v01_OutPriest+INDEX(v01_ScribeShare,G1027)*v01_OutScribe*INDEX(LM_Scribe,G1027)+INDEX(v01_ScholarShare,G1027)*v01_OutScholar*INDEX(LM_Scholar,G1027)+INDEX(v01_ResearcherShare,G1027)*v01_OutResearcher*INDEX(LM_Researcher,G1027)))</x:f>
        <x:v>149.54693540461983</x:v>
      </x:c>
      <x:c r="AL1027" s="32" t="n">
        <x:f>H1027*v01_RoleScale*Arch_Roles*AE1027*INDEX(v01_MonasteryPerSett,G1027)*v01_OutMonastery*INDEX(LM_Monastery,G1027)</x:f>
        <x:v>5.034282471216728</x:v>
      </x:c>
      <x:c r="AM1027" s="32" t="n">
        <x:f>(AJ1027+AK1027+AL1027)/4*INDEX(LM_All,G1027)*INDEX(v01_Boon,G1027)*Arch_Insight</x:f>
        <x:v>323.5184834051789</x:v>
      </x:c>
      <x:c r="AN1027" s="32" t="n">
        <x:f>H1027*(v01_KHPerAdult*Z1027+v01_KHOfCommons*AJ1027/4*INDEX(LM_All,G1027))*v01_KHUsable*Arch_KH</x:f>
        <x:v>48.72169223946716</x:v>
      </x:c>
      <x:c r="AO1027" s="32" t="n">
        <x:f>MIN(AP1026+AN1027,AM1027*v01_KHMaxRatio)</x:f>
        <x:v>48.72169223946716</x:v>
      </x:c>
      <x:c r="AP1027" s="32" t="n">
        <x:f>AP1026+AN1027-AO1027</x:f>
        <x:v>0</x:v>
      </x:c>
      <x:c r="AQ1027" s="32" t="n">
        <x:f>AM1027+AO1027</x:f>
        <x:v>372.2401756446461</x:v>
      </x:c>
      <x:c r="AR1027" s="10" t="n">
        <x:f>IF(H1027=1,INDEX(v01_Req,G1027),0)</x:f>
        <x:v>47951.22698</x:v>
      </x:c>
      <x:c r="AS1027" s="32" t="n">
        <x:f>IF(H1027=1,IF(E1027=1,AS1026-AR1026,AS1026)+AQ1027,0)</x:f>
        <x:v>1236.098729229473</x:v>
      </x:c>
      <x:c r="AT1027" s="11" t="n">
        <x:f>IF(AR1027&gt;0,MIN(1,AS1027/AR1027),1)</x:f>
        <x:v>0.025778250257183995</x:v>
      </x:c>
      <x:c r="AU1027" s="10" t="n">
        <x:f>AB1027/INDEX(v01_RepScale,G1027)</x:f>
        <x:v>129.57261530555425</x:v>
      </x:c>
      <x:c r="AV1027" s="32" t="n">
        <x:f>AM1027*60/v01_SeasonSeconds</x:f>
        <x:v>1294.0739336207157</x:v>
      </x:c>
    </x:row>
    <x:row r="1028">
      <x:c r="A1028" s="8" t="n">
        <x:f>A1027+1</x:f>
        <x:v>1025</x:v>
      </x:c>
      <x:c r="B1028" s="9" t="n">
        <x:f>A1028*v01_SeasonSeconds/60</x:f>
        <x:v>256.25</x:v>
      </x:c>
      <x:c r="C1028" s="9" t="n">
        <x:f>A1028/4</x:f>
        <x:v>256.25</x:v>
      </x:c>
      <x:c r="D1028" s="8" t="n">
        <x:f>IF(MOD(A1028,4)=0,1,0)</x:f>
        <x:v>0</x:v>
      </x:c>
      <x:c r="E1028" s="8" t="n">
        <x:f>IF(AND(F1027&lt;=9,AS1027&gt;=AR1027),1,0)</x:f>
        <x:v>0</x:v>
      </x:c>
      <x:c r="F1028" s="8" t="n">
        <x:f>MIN(10,F1027+E1028)</x:f>
        <x:v>5</x:v>
      </x:c>
      <x:c r="G1028" s="8" t="n">
        <x:f>MIN(F1028,9)+1</x:f>
        <x:v>6</x:v>
      </x:c>
      <x:c r="H1028" s="8" t="n">
        <x:f>IF(F1028&lt;=9,1,0)</x:f>
        <x:v>1</x:v>
      </x:c>
      <x:c r="I1028" s="9" t="n">
        <x:f>MIN(10,F1027+IF(AR1027&gt;0,MIN(1,AS1027/AR1027),1))</x:f>
        <x:v>5.025778250257184</x:v>
      </x:c>
      <x:c r="J1028" s="32" t="n">
        <x:f>INDEX(v01_FoodCap,G1028)*Arch_FoodCap*EXP(v01_CapsByProject*SUMPRODUCT((Cap_Point&lt;=I1028)*(Cap_Kind="Food")*Cap_Ln))</x:f>
        <x:v>500</x:v>
      </x:c>
      <x:c r="K1028" s="32" t="n">
        <x:f>J1028*MIN(1,v01_LeanBase*EXP(v01_CapsByProject*SUMPRODUCT((Cap_Point&lt;=I1028)*(Cap_Kind="Lean")*Cap_Ln)))</x:f>
        <x:v>500</x:v>
      </x:c>
      <x:c r="L1028" s="10" t="n">
        <x:f>INDEX(v01_HousingCap,G1028)*EXP(v01_CapsByProject*SUMPRODUCT((Cap_Point&lt;=I1028)*(Cap_Kind="Housing")*Cap_Ln))</x:f>
        <x:v>800</x:v>
      </x:c>
      <x:c r="M1028" s="10" t="n">
        <x:f>INDEX(v01_GroupCap,G1028)*v01_CohesionFactor*EXP(v01_CapsByProject*SUMPRODUCT((Cap_Point&lt;=I1028)*(Cap_Kind="Group")*Cap_Ln))</x:f>
        <x:v>10000</x:v>
      </x:c>
      <x:c r="N1028" s="32" t="n">
        <x:f>MIN(J1028,L1028,M1028)</x:f>
        <x:v>500</x:v>
      </x:c>
      <x:c r="O1028" s="10" t="n">
        <x:f>AE1027*N1028</x:f>
        <x:v>8000</x:v>
      </x:c>
      <x:c r="P1028" s="9" t="n">
        <x:f>MIN(1,(AB1027/(AE1027*IF(v01_GroupInCrowding=1,N1028,MIN(J1028,L1028))))^v01_CrowdingExp)</x:f>
        <x:v>0.004407369665746137</x:v>
      </x:c>
      <x:c r="Q1028" s="9" t="n">
        <x:f>IF(D1028=1,INDEX(v01_WinterMult,G1028),1)</x:f>
        <x:v>1</x:v>
      </x:c>
      <x:c r="R1028" s="9" t="n">
        <x:f>H1028*Z1027*v01_WomenShare*v01_BaseFertility*INDEX(v01_FertMult,G1028)*Arch_Fertility*(1-P1028)</x:f>
        <x:v>45.73513157496842</x:v>
      </x:c>
      <x:c r="S1028" s="9" t="n">
        <x:f>H1028*Y1027*INDEX(v01_MortChild,G1028)/4*Q1028</x:f>
        <x:v>8.331113525104639</x:v>
      </x:c>
      <x:c r="T1028" s="9" t="n">
        <x:f>H1028*Z1027*INDEX(v01_MortAdult,G1028)*Arch_AdultMort/4*Q1028</x:f>
        <x:v>3.4801208742476546</x:v>
      </x:c>
      <x:c r="U1028" s="9" t="n">
        <x:f>H1028*AA1027*INDEX(v01_MortElder,G1028)/4*Q1028</x:f>
        <x:v>7.71433303384578</x:v>
      </x:c>
      <x:c r="V1028" s="9" t="n">
        <x:f>H1028*MAX(0,AB1027-O1028)*v01_OvercapLoss</x:f>
        <x:v>0</x:v>
      </x:c>
      <x:c r="W1028" s="9" t="n">
        <x:f>H1028*Y1027/(v01_ChildYears*4)</x:f>
        <x:v>23.803181500298965</x:v>
      </x:c>
      <x:c r="X1028" s="9" t="n">
        <x:f>H1028*Z1027/(v01_AdultYears*4)</x:f>
        <x:v>11.22619636854082</x:v>
      </x:c>
      <x:c r="Y1028" s="32" t="n">
        <x:f>Y1027+R1028-S1028-W1028-Y1027*V1028/AB1027</x:f>
        <x:v>1346.5790005663068</x:v>
      </x:c>
      <x:c r="Z1028" s="32" t="n">
        <x:f>Z1027+W1028-X1028-T1028-Z1027*V1028/AB1027</x:f>
        <x:v>1401.1452139565724</x:v>
      </x:c>
      <x:c r="AA1028" s="32" t="n">
        <x:f>AA1027+X1028-U1028-AA1027*V1028/AB1027</x:f>
        <x:v>517.8007322577471</x:v>
      </x:c>
      <x:c r="AB1028" s="10" t="n">
        <x:f>Y1028+Z1028+AA1028</x:f>
        <x:v>3265.524946780626</x:v>
      </x:c>
      <x:c r="AC1028" s="8" t="n">
        <x:f>IF(AND(v01_WinterTrigger=1,D1028=1,AB1027/AE1027&gt;=K1028),1,0)</x:f>
        <x:v>0</x:v>
      </x:c>
      <x:c r="AD1028" s="8" t="n">
        <x:f>H1028*IF(AND(OR(AB1027/AE1027&gt;=v01_FissionTrigger*N1028,AC1028=1),AB1027/AE1027*v01_DaughterShare&gt;=v01_MinDaughter),MAX(1,ROUND(AE1027*v01_FissionRate,0)),0)</x:f>
        <x:v>0</x:v>
      </x:c>
      <x:c r="AE1028" s="8" t="n">
        <x:f>IF(H1028=1,MAX(1,MIN(INDEX(v01_Smax,G1028),AE1027+AD1028)),AE1027)</x:f>
        <x:v>16</x:v>
      </x:c>
      <x:c r="AF1028" s="8" t="n">
        <x:f>MAX(0,AE1028-AE1027)</x:f>
        <x:v>0</x:v>
      </x:c>
      <x:c r="AG1028" s="9" t="str">
        <x:f>IF(AF1028&gt;0,B1028,"")</x:f>
      </x:c>
      <x:c r="AH1028" s="9" t="n">
        <x:f>IF(F1028&gt;=1,1,(1+v01_LowTiesShare*(AE1028-1))/AE1028)</x:f>
        <x:v>1</x:v>
      </x:c>
      <x:c r="AI1028" s="32" t="n">
        <x:f>(Z1028+v01_ElderCommons*INDEX(LM_Elder,G1028)*AA1028)*AH1028</x:f>
        <x:v>3137.901668147809</x:v>
      </x:c>
      <x:c r="AJ1028" s="32" t="n">
        <x:f>H1028*v01_CommonsCoef*AI1028^v01_CommonsExp*INDEX(LM_Commons,G1028)</x:f>
        <x:v>747.4368499354405</x:v>
      </x:c>
      <x:c r="AK1028" s="32" t="n">
        <x:f>H1028*v01_RoleScale*Arch_Roles*(AE1028*(INDEX(v01_ElderRolePerSett,G1028)*v01_OutElder*INDEX(LM_Elder,G1028)+INDEX(v01_ShamanPerSett,G1028)*v01_OutShaman)+Z1028*(INDEX(v01_PriestShare,G1028)*v01_OutPriest+INDEX(v01_ScribeShare,G1028)*v01_OutScribe*INDEX(LM_Scribe,G1028)+INDEX(v01_ScholarShare,G1028)*v01_OutScholar*INDEX(LM_Scholar,G1028)+INDEX(v01_ResearcherShare,G1028)*v01_OutResearcher*INDEX(LM_Researcher,G1028)))</x:f>
        <x:v>150.19202000040548</x:v>
      </x:c>
      <x:c r="AL1028" s="32" t="n">
        <x:f>H1028*v01_RoleScale*Arch_Roles*AE1028*INDEX(v01_MonasteryPerSett,G1028)*v01_OutMonastery*INDEX(LM_Monastery,G1028)</x:f>
        <x:v>5.034282471216728</x:v>
      </x:c>
      <x:c r="AM1028" s="32" t="n">
        <x:f>(AJ1028+AK1028+AL1028)/4*INDEX(LM_All,G1028)*INDEX(v01_Boon,G1028)*Arch_Insight</x:f>
        <x:v>325.27479433825977</x:v>
      </x:c>
      <x:c r="AN1028" s="32" t="n">
        <x:f>H1028*(v01_KHPerAdult*Z1028+v01_KHOfCommons*AJ1028/4*INDEX(LM_All,G1028))*v01_KHUsable*Arch_KH</x:f>
        <x:v>49.04008248848003</x:v>
      </x:c>
      <x:c r="AO1028" s="32" t="n">
        <x:f>MIN(AP1027+AN1028,AM1028*v01_KHMaxRatio)</x:f>
        <x:v>49.04008248848003</x:v>
      </x:c>
      <x:c r="AP1028" s="32" t="n">
        <x:f>AP1027+AN1028-AO1028</x:f>
        <x:v>0</x:v>
      </x:c>
      <x:c r="AQ1028" s="32" t="n">
        <x:f>AM1028+AO1028</x:f>
        <x:v>374.3148768267398</x:v>
      </x:c>
      <x:c r="AR1028" s="10" t="n">
        <x:f>IF(H1028=1,INDEX(v01_Req,G1028),0)</x:f>
        <x:v>47951.22698</x:v>
      </x:c>
      <x:c r="AS1028" s="32" t="n">
        <x:f>IF(H1028=1,IF(E1028=1,AS1027-AR1027,AS1027)+AQ1028,0)</x:f>
        <x:v>1610.4136060562128</x:v>
      </x:c>
      <x:c r="AT1028" s="11" t="n">
        <x:f>IF(AR1028&gt;0,MIN(1,AS1028/AR1028),1)</x:f>
        <x:v>0.03358440873114469</x:v>
      </x:c>
      <x:c r="AU1028" s="10" t="n">
        <x:f>AB1028/INDEX(v01_RepScale,G1028)</x:f>
        <x:v>130.62099787122506</x:v>
      </x:c>
      <x:c r="AV1028" s="32" t="n">
        <x:f>AM1028*60/v01_SeasonSeconds</x:f>
        <x:v>1301.099177353039</x:v>
      </x:c>
    </x:row>
    <x:row r="1029">
      <x:c r="A1029" s="8" t="n">
        <x:f>A1028+1</x:f>
        <x:v>1026</x:v>
      </x:c>
      <x:c r="B1029" s="9" t="n">
        <x:f>A1029*v01_SeasonSeconds/60</x:f>
        <x:v>256.5</x:v>
      </x:c>
      <x:c r="C1029" s="9" t="n">
        <x:f>A1029/4</x:f>
        <x:v>256.5</x:v>
      </x:c>
      <x:c r="D1029" s="8" t="n">
        <x:f>IF(MOD(A1029,4)=0,1,0)</x:f>
        <x:v>0</x:v>
      </x:c>
      <x:c r="E1029" s="8" t="n">
        <x:f>IF(AND(F1028&lt;=9,AS1028&gt;=AR1028),1,0)</x:f>
        <x:v>0</x:v>
      </x:c>
      <x:c r="F1029" s="8" t="n">
        <x:f>MIN(10,F1028+E1029)</x:f>
        <x:v>5</x:v>
      </x:c>
      <x:c r="G1029" s="8" t="n">
        <x:f>MIN(F1029,9)+1</x:f>
        <x:v>6</x:v>
      </x:c>
      <x:c r="H1029" s="8" t="n">
        <x:f>IF(F1029&lt;=9,1,0)</x:f>
        <x:v>1</x:v>
      </x:c>
      <x:c r="I1029" s="9" t="n">
        <x:f>MIN(10,F1028+IF(AR1028&gt;0,MIN(1,AS1028/AR1028),1))</x:f>
        <x:v>5.033584408731144</x:v>
      </x:c>
      <x:c r="J1029" s="32" t="n">
        <x:f>INDEX(v01_FoodCap,G1029)*Arch_FoodCap*EXP(v01_CapsByProject*SUMPRODUCT((Cap_Point&lt;=I1029)*(Cap_Kind="Food")*Cap_Ln))</x:f>
        <x:v>500</x:v>
      </x:c>
      <x:c r="K1029" s="32" t="n">
        <x:f>J1029*MIN(1,v01_LeanBase*EXP(v01_CapsByProject*SUMPRODUCT((Cap_Point&lt;=I1029)*(Cap_Kind="Lean")*Cap_Ln)))</x:f>
        <x:v>500</x:v>
      </x:c>
      <x:c r="L1029" s="10" t="n">
        <x:f>INDEX(v01_HousingCap,G1029)*EXP(v01_CapsByProject*SUMPRODUCT((Cap_Point&lt;=I1029)*(Cap_Kind="Housing")*Cap_Ln))</x:f>
        <x:v>800</x:v>
      </x:c>
      <x:c r="M1029" s="10" t="n">
        <x:f>INDEX(v01_GroupCap,G1029)*v01_CohesionFactor*EXP(v01_CapsByProject*SUMPRODUCT((Cap_Point&lt;=I1029)*(Cap_Kind="Group")*Cap_Ln))</x:f>
        <x:v>10000</x:v>
      </x:c>
      <x:c r="N1029" s="32" t="n">
        <x:f>MIN(J1029,L1029,M1029)</x:f>
        <x:v>500</x:v>
      </x:c>
      <x:c r="O1029" s="10" t="n">
        <x:f>AE1028*N1029</x:f>
        <x:v>8000</x:v>
      </x:c>
      <x:c r="P1029" s="9" t="n">
        <x:f>MIN(1,(AB1028/(AE1028*IF(v01_GroupInCrowding=1,N1029,MIN(J1029,L1029))))^v01_CrowdingExp)</x:f>
        <x:v>0.004625706924752255</x:v>
      </x:c>
      <x:c r="Q1029" s="9" t="n">
        <x:f>IF(D1029=1,INDEX(v01_WinterMult,G1029),1)</x:f>
        <x:v>1</x:v>
      </x:c>
      <x:c r="R1029" s="9" t="n">
        <x:f>H1029*Z1028*v01_WomenShare*v01_BaseFertility*INDEX(v01_FertMult,G1029)*Arch_Fertility*(1-P1029)</x:f>
        <x:v>46.023909585647075</x:v>
      </x:c>
      <x:c r="S1029" s="9" t="n">
        <x:f>H1029*Y1028*INDEX(v01_MortChild,G1029)/4*Q1029</x:f>
        <x:v>8.416118753539418</x:v>
      </x:c>
      <x:c r="T1029" s="9" t="n">
        <x:f>H1029*Z1028*INDEX(v01_MortAdult,G1029)*Arch_AdultMort/4*Q1029</x:f>
        <x:v>3.502863034891431</x:v>
      </x:c>
      <x:c r="U1029" s="9" t="n">
        <x:f>H1029*AA1028*INDEX(v01_MortElder,G1029)/4*Q1029</x:f>
        <x:v>7.767010983866206</x:v>
      </x:c>
      <x:c r="V1029" s="9" t="n">
        <x:f>H1029*MAX(0,AB1028-O1029)*v01_OvercapLoss</x:f>
        <x:v>0</x:v>
      </x:c>
      <x:c r="W1029" s="9" t="n">
        <x:f>H1029*Y1028/(v01_ChildYears*4)</x:f>
        <x:v>24.046053581541194</x:v>
      </x:c>
      <x:c r="X1029" s="9" t="n">
        <x:f>H1029*Z1028/(v01_AdultYears*4)</x:f>
        <x:v>11.299558177069132</x:v>
      </x:c>
      <x:c r="Y1029" s="32" t="n">
        <x:f>Y1028+R1029-S1029-W1029-Y1028*V1029/AB1028</x:f>
        <x:v>1360.1407378168733</x:v>
      </x:c>
      <x:c r="Z1029" s="32" t="n">
        <x:f>Z1028+W1029-X1029-T1029-Z1028*V1029/AB1028</x:f>
        <x:v>1410.388846326153</x:v>
      </x:c>
      <x:c r="AA1029" s="32" t="n">
        <x:f>AA1028+X1029-U1029-AA1028*V1029/AB1028</x:f>
        <x:v>521.33327945095</x:v>
      </x:c>
      <x:c r="AB1029" s="10" t="n">
        <x:f>Y1029+Z1029+AA1029</x:f>
        <x:v>3291.8628635939763</x:v>
      </x:c>
      <x:c r="AC1029" s="8" t="n">
        <x:f>IF(AND(v01_WinterTrigger=1,D1029=1,AB1028/AE1028&gt;=K1029),1,0)</x:f>
        <x:v>0</x:v>
      </x:c>
      <x:c r="AD1029" s="8" t="n">
        <x:f>H1029*IF(AND(OR(AB1028/AE1028&gt;=v01_FissionTrigger*N1029,AC1029=1),AB1028/AE1028*v01_DaughterShare&gt;=v01_MinDaughter),MAX(1,ROUND(AE1028*v01_FissionRate,0)),0)</x:f>
        <x:v>0</x:v>
      </x:c>
      <x:c r="AE1029" s="8" t="n">
        <x:f>IF(H1029=1,MAX(1,MIN(INDEX(v01_Smax,G1029),AE1028+AD1029)),AE1028)</x:f>
        <x:v>16</x:v>
      </x:c>
      <x:c r="AF1029" s="8" t="n">
        <x:f>MAX(0,AE1029-AE1028)</x:f>
        <x:v>0</x:v>
      </x:c>
      <x:c r="AG1029" s="9" t="str">
        <x:f>IF(AF1029&gt;0,B1029,"")</x:f>
      </x:c>
      <x:c r="AH1029" s="9" t="n">
        <x:f>IF(F1029&gt;=1,1,(1+v01_LowTiesShare*(AE1029-1))/AE1029)</x:f>
        <x:v>1</x:v>
      </x:c>
      <x:c r="AI1029" s="32" t="n">
        <x:f>(Z1029+v01_ElderCommons*INDEX(LM_Elder,G1029)*AA1029)*AH1029</x:f>
        <x:v>3158.993824003981</x:v>
      </x:c>
      <x:c r="AJ1029" s="32" t="n">
        <x:f>H1029*v01_CommonsCoef*AI1029^v01_CommonsExp*INDEX(LM_Commons,G1029)</x:f>
        <x:v>751.7051666691082</x:v>
      </x:c>
      <x:c r="AK1029" s="32" t="n">
        <x:f>H1029*v01_RoleScale*Arch_Roles*(AE1029*(INDEX(v01_ElderRolePerSett,G1029)*v01_OutElder*INDEX(LM_Elder,G1029)+INDEX(v01_ShamanPerSett,G1029)*v01_OutShaman)+Z1029*(INDEX(v01_PriestShare,G1029)*v01_OutPriest+INDEX(v01_ScribeShare,G1029)*v01_OutScribe*INDEX(LM_Scribe,G1029)+INDEX(v01_ScholarShare,G1029)*v01_OutScholar*INDEX(LM_Scholar,G1029)+INDEX(v01_ResearcherShare,G1029)*v01_OutResearcher*INDEX(LM_Researcher,G1029)))</x:f>
        <x:v>150.8475123417141</x:v>
      </x:c>
      <x:c r="AL1029" s="32" t="n">
        <x:f>H1029*v01_RoleScale*Arch_Roles*AE1029*INDEX(v01_MonasteryPerSett,G1029)*v01_OutMonastery*INDEX(LM_Monastery,G1029)</x:f>
        <x:v>5.034282471216728</x:v>
      </x:c>
      <x:c r="AM1029" s="32" t="n">
        <x:f>(AJ1029+AK1029+AL1029)/4*INDEX(LM_All,G1029)*INDEX(v01_Boon,G1029)*Arch_Insight</x:f>
        <x:v>327.04908963319116</x:v>
      </x:c>
      <x:c r="AN1029" s="32" t="n">
        <x:f>H1029*(v01_KHPerAdult*Z1029+v01_KHOfCommons*AJ1029/4*INDEX(LM_All,G1029))*v01_KHUsable*Arch_KH</x:f>
        <x:v>49.36360962141536</x:v>
      </x:c>
      <x:c r="AO1029" s="32" t="n">
        <x:f>MIN(AP1028+AN1029,AM1029*v01_KHMaxRatio)</x:f>
        <x:v>49.36360962141536</x:v>
      </x:c>
      <x:c r="AP1029" s="32" t="n">
        <x:f>AP1028+AN1029-AO1029</x:f>
        <x:v>0</x:v>
      </x:c>
      <x:c r="AQ1029" s="32" t="n">
        <x:f>AM1029+AO1029</x:f>
        <x:v>376.41269925460654</x:v>
      </x:c>
      <x:c r="AR1029" s="10" t="n">
        <x:f>IF(H1029=1,INDEX(v01_Req,G1029),0)</x:f>
        <x:v>47951.22698</x:v>
      </x:c>
      <x:c r="AS1029" s="32" t="n">
        <x:f>IF(H1029=1,IF(E1029=1,AS1028-AR1028,AS1028)+AQ1029,0)</x:f>
        <x:v>1986.8263053108194</x:v>
      </x:c>
      <x:c r="AT1029" s="11" t="n">
        <x:f>IF(AR1029&gt;0,MIN(1,AS1029/AR1029),1)</x:f>
        <x:v>0.04143431629266767</x:v>
      </x:c>
      <x:c r="AU1029" s="10" t="n">
        <x:f>AB1029/INDEX(v01_RepScale,G1029)</x:f>
        <x:v>131.67451454375905</x:v>
      </x:c>
      <x:c r="AV1029" s="32" t="n">
        <x:f>AM1029*60/v01_SeasonSeconds</x:f>
        <x:v>1308.1963585327646</x:v>
      </x:c>
    </x:row>
    <x:row r="1030">
      <x:c r="A1030" s="8" t="n">
        <x:f>A1029+1</x:f>
        <x:v>1027</x:v>
      </x:c>
      <x:c r="B1030" s="9" t="n">
        <x:f>A1030*v01_SeasonSeconds/60</x:f>
        <x:v>256.75</x:v>
      </x:c>
      <x:c r="C1030" s="9" t="n">
        <x:f>A1030/4</x:f>
        <x:v>256.75</x:v>
      </x:c>
      <x:c r="D1030" s="8" t="n">
        <x:f>IF(MOD(A1030,4)=0,1,0)</x:f>
        <x:v>0</x:v>
      </x:c>
      <x:c r="E1030" s="8" t="n">
        <x:f>IF(AND(F1029&lt;=9,AS1029&gt;=AR1029),1,0)</x:f>
        <x:v>0</x:v>
      </x:c>
      <x:c r="F1030" s="8" t="n">
        <x:f>MIN(10,F1029+E1030)</x:f>
        <x:v>5</x:v>
      </x:c>
      <x:c r="G1030" s="8" t="n">
        <x:f>MIN(F1030,9)+1</x:f>
        <x:v>6</x:v>
      </x:c>
      <x:c r="H1030" s="8" t="n">
        <x:f>IF(F1030&lt;=9,1,0)</x:f>
        <x:v>1</x:v>
      </x:c>
      <x:c r="I1030" s="9" t="n">
        <x:f>MIN(10,F1029+IF(AR1029&gt;0,MIN(1,AS1029/AR1029),1))</x:f>
        <x:v>5.041434316292667</x:v>
      </x:c>
      <x:c r="J1030" s="32" t="n">
        <x:f>INDEX(v01_FoodCap,G1030)*Arch_FoodCap*EXP(v01_CapsByProject*SUMPRODUCT((Cap_Point&lt;=I1030)*(Cap_Kind="Food")*Cap_Ln))</x:f>
        <x:v>500</x:v>
      </x:c>
      <x:c r="K1030" s="32" t="n">
        <x:f>J1030*MIN(1,v01_LeanBase*EXP(v01_CapsByProject*SUMPRODUCT((Cap_Point&lt;=I1030)*(Cap_Kind="Lean")*Cap_Ln)))</x:f>
        <x:v>500</x:v>
      </x:c>
      <x:c r="L1030" s="10" t="n">
        <x:f>INDEX(v01_HousingCap,G1030)*EXP(v01_CapsByProject*SUMPRODUCT((Cap_Point&lt;=I1030)*(Cap_Kind="Housing")*Cap_Ln))</x:f>
        <x:v>800</x:v>
      </x:c>
      <x:c r="M1030" s="10" t="n">
        <x:f>INDEX(v01_GroupCap,G1030)*v01_CohesionFactor*EXP(v01_CapsByProject*SUMPRODUCT((Cap_Point&lt;=I1030)*(Cap_Kind="Group")*Cap_Ln))</x:f>
        <x:v>10000</x:v>
      </x:c>
      <x:c r="N1030" s="32" t="n">
        <x:f>MIN(J1030,L1030,M1030)</x:f>
        <x:v>500</x:v>
      </x:c>
      <x:c r="O1030" s="10" t="n">
        <x:f>AE1029*N1030</x:f>
        <x:v>8000</x:v>
      </x:c>
      <x:c r="P1030" s="9" t="n">
        <x:f>MIN(1,(AB1029/(AE1029*IF(v01_GroupInCrowding=1,N1030,MIN(J1030,L1030))))^v01_CrowdingExp)</x:f>
        <x:v>0.004854119742058114</x:v>
      </x:c>
      <x:c r="Q1030" s="9" t="n">
        <x:f>IF(D1030=1,INDEX(v01_WinterMult,G1030),1)</x:f>
        <x:v>1</x:v>
      </x:c>
      <x:c r="R1030" s="9" t="n">
        <x:f>H1030*Z1029*v01_WomenShare*v01_BaseFertility*INDEX(v01_FertMult,G1030)*Arch_Fertility*(1-P1030)</x:f>
        <x:v>46.31690744944635</x:v>
      </x:c>
      <x:c r="S1030" s="9" t="n">
        <x:f>H1030*Y1029*INDEX(v01_MortChild,G1030)/4*Q1030</x:f>
        <x:v>8.500879611355458</x:v>
      </x:c>
      <x:c r="T1030" s="9" t="n">
        <x:f>H1030*Z1029*INDEX(v01_MortAdult,G1030)*Arch_AdultMort/4*Q1030</x:f>
        <x:v>3.5259721158153825</x:v>
      </x:c>
      <x:c r="U1030" s="9" t="n">
        <x:f>H1030*AA1029*INDEX(v01_MortElder,G1030)/4*Q1030</x:f>
        <x:v>7.81999919176425</x:v>
      </x:c>
      <x:c r="V1030" s="9" t="n">
        <x:f>H1030*MAX(0,AB1029-O1030)*v01_OvercapLoss</x:f>
        <x:v>0</x:v>
      </x:c>
      <x:c r="W1030" s="9" t="n">
        <x:f>H1030*Y1029/(v01_ChildYears*4)</x:f>
        <x:v>24.288227461015595</x:v>
      </x:c>
      <x:c r="X1030" s="9" t="n">
        <x:f>H1030*Z1029/(v01_AdultYears*4)</x:f>
        <x:v>11.37410359940446</x:v>
      </x:c>
      <x:c r="Y1030" s="32" t="n">
        <x:f>Y1029+R1030-S1030-W1030-Y1029*V1030/AB1029</x:f>
        <x:v>1373.6685381939485</x:v>
      </x:c>
      <x:c r="Z1030" s="32" t="n">
        <x:f>Z1029+W1030-X1030-T1030-Z1029*V1030/AB1029</x:f>
        <x:v>1419.7769980719488</x:v>
      </x:c>
      <x:c r="AA1030" s="32" t="n">
        <x:f>AA1029+X1030-U1030-AA1029*V1030/AB1029</x:f>
        <x:v>524.8873838585902</x:v>
      </x:c>
      <x:c r="AB1030" s="10" t="n">
        <x:f>Y1030+Z1030+AA1030</x:f>
        <x:v>3318.3329201244874</x:v>
      </x:c>
      <x:c r="AC1030" s="8" t="n">
        <x:f>IF(AND(v01_WinterTrigger=1,D1030=1,AB1029/AE1029&gt;=K1030),1,0)</x:f>
        <x:v>0</x:v>
      </x:c>
      <x:c r="AD1030" s="8" t="n">
        <x:f>H1030*IF(AND(OR(AB1029/AE1029&gt;=v01_FissionTrigger*N1030,AC1030=1),AB1029/AE1029*v01_DaughterShare&gt;=v01_MinDaughter),MAX(1,ROUND(AE1029*v01_FissionRate,0)),0)</x:f>
        <x:v>0</x:v>
      </x:c>
      <x:c r="AE1030" s="8" t="n">
        <x:f>IF(H1030=1,MAX(1,MIN(INDEX(v01_Smax,G1030),AE1029+AD1030)),AE1029)</x:f>
        <x:v>16</x:v>
      </x:c>
      <x:c r="AF1030" s="8" t="n">
        <x:f>MAX(0,AE1030-AE1029)</x:f>
        <x:v>0</x:v>
      </x:c>
      <x:c r="AG1030" s="9" t="str">
        <x:f>IF(AF1030&gt;0,B1030,"")</x:f>
      </x:c>
      <x:c r="AH1030" s="9" t="n">
        <x:f>IF(F1030&gt;=1,1,(1+v01_LowTiesShare*(AE1030-1))/AE1030)</x:f>
        <x:v>1</x:v>
      </x:c>
      <x:c r="AI1030" s="32" t="n">
        <x:f>(Z1030+v01_ElderCommons*INDEX(LM_Elder,G1030)*AA1030)*AH1030</x:f>
        <x:v>3180.302804331699</x:v>
      </x:c>
      <x:c r="AJ1030" s="32" t="n">
        <x:f>H1030*v01_CommonsCoef*AI1030^v01_CommonsExp*INDEX(LM_Commons,G1030)</x:f>
        <x:v>756.0130223807117</x:v>
      </x:c>
      <x:c r="AK1030" s="32" t="n">
        <x:f>H1030*v01_RoleScale*Arch_Roles*(AE1030*(INDEX(v01_ElderRolePerSett,G1030)*v01_OutElder*INDEX(LM_Elder,G1030)+INDEX(v01_ShamanPerSett,G1030)*v01_OutShaman)+Z1030*(INDEX(v01_PriestShare,G1030)*v01_OutPriest+INDEX(v01_ScribeShare,G1030)*v01_OutScribe*INDEX(LM_Scribe,G1030)+INDEX(v01_ScholarShare,G1030)*v01_OutScholar*INDEX(LM_Scholar,G1030)+INDEX(v01_ResearcherShare,G1030)*v01_OutResearcher*INDEX(LM_Researcher,G1030)))</x:f>
        <x:v>151.513252964271</x:v>
      </x:c>
      <x:c r="AL1030" s="32" t="n">
        <x:f>H1030*v01_RoleScale*Arch_Roles*AE1030*INDEX(v01_MonasteryPerSett,G1030)*v01_OutMonastery*INDEX(LM_Monastery,G1030)</x:f>
        <x:v>5.034282471216728</x:v>
      </x:c>
      <x:c r="AM1030" s="32" t="n">
        <x:f>(AJ1030+AK1030+AL1030)/4*INDEX(LM_All,G1030)*INDEX(v01_Boon,G1030)*Arch_Insight</x:f>
        <x:v>328.84132577399464</x:v>
      </x:c>
      <x:c r="AN1030" s="32" t="n">
        <x:f>H1030*(v01_KHPerAdult*Z1030+v01_KHOfCommons*AJ1030/4*INDEX(LM_All,G1030))*v01_KHUsable*Arch_KH</x:f>
        <x:v>49.692194932518206</x:v>
      </x:c>
      <x:c r="AO1030" s="32" t="n">
        <x:f>MIN(AP1029+AN1030,AM1030*v01_KHMaxRatio)</x:f>
        <x:v>49.692194932518206</x:v>
      </x:c>
      <x:c r="AP1030" s="32" t="n">
        <x:f>AP1029+AN1030-AO1030</x:f>
        <x:v>0</x:v>
      </x:c>
      <x:c r="AQ1030" s="32" t="n">
        <x:f>AM1030+AO1030</x:f>
        <x:v>378.53352070651283</x:v>
      </x:c>
      <x:c r="AR1030" s="10" t="n">
        <x:f>IF(H1030=1,INDEX(v01_Req,G1030),0)</x:f>
        <x:v>47951.22698</x:v>
      </x:c>
      <x:c r="AS1030" s="32" t="n">
        <x:f>IF(H1030=1,IF(E1030=1,AS1029-AR1029,AS1029)+AQ1030,0)</x:f>
        <x:v>2365.359826017332</x:v>
      </x:c>
      <x:c r="AT1030" s="11" t="n">
        <x:f>IF(AR1030&gt;0,MIN(1,AS1030/AR1030),1)</x:f>
        <x:v>0.04932845257544507</x:v>
      </x:c>
      <x:c r="AU1030" s="10" t="n">
        <x:f>AB1030/INDEX(v01_RepScale,G1030)</x:f>
        <x:v>132.7333168049795</x:v>
      </x:c>
      <x:c r="AV1030" s="32" t="n">
        <x:f>AM1030*60/v01_SeasonSeconds</x:f>
        <x:v>1315.3653030959786</x:v>
      </x:c>
    </x:row>
    <x:row r="1031">
      <x:c r="A1031" s="8" t="n">
        <x:f>A1030+1</x:f>
        <x:v>1028</x:v>
      </x:c>
      <x:c r="B1031" s="9" t="n">
        <x:f>A1031*v01_SeasonSeconds/60</x:f>
        <x:v>257</x:v>
      </x:c>
      <x:c r="C1031" s="9" t="n">
        <x:f>A1031/4</x:f>
        <x:v>257</x:v>
      </x:c>
      <x:c r="D1031" s="8" t="n">
        <x:f>IF(MOD(A1031,4)=0,1,0)</x:f>
        <x:v>1</x:v>
      </x:c>
      <x:c r="E1031" s="8" t="n">
        <x:f>IF(AND(F1030&lt;=9,AS1030&gt;=AR1030),1,0)</x:f>
        <x:v>0</x:v>
      </x:c>
      <x:c r="F1031" s="8" t="n">
        <x:f>MIN(10,F1030+E1031)</x:f>
        <x:v>5</x:v>
      </x:c>
      <x:c r="G1031" s="8" t="n">
        <x:f>MIN(F1031,9)+1</x:f>
        <x:v>6</x:v>
      </x:c>
      <x:c r="H1031" s="8" t="n">
        <x:f>IF(F1031&lt;=9,1,0)</x:f>
        <x:v>1</x:v>
      </x:c>
      <x:c r="I1031" s="9" t="n">
        <x:f>MIN(10,F1030+IF(AR1030&gt;0,MIN(1,AS1030/AR1030),1))</x:f>
        <x:v>5.049328452575445</x:v>
      </x:c>
      <x:c r="J1031" s="32" t="n">
        <x:f>INDEX(v01_FoodCap,G1031)*Arch_FoodCap*EXP(v01_CapsByProject*SUMPRODUCT((Cap_Point&lt;=I1031)*(Cap_Kind="Food")*Cap_Ln))</x:f>
        <x:v>500</x:v>
      </x:c>
      <x:c r="K1031" s="32" t="n">
        <x:f>J1031*MIN(1,v01_LeanBase*EXP(v01_CapsByProject*SUMPRODUCT((Cap_Point&lt;=I1031)*(Cap_Kind="Lean")*Cap_Ln)))</x:f>
        <x:v>500</x:v>
      </x:c>
      <x:c r="L1031" s="10" t="n">
        <x:f>INDEX(v01_HousingCap,G1031)*EXP(v01_CapsByProject*SUMPRODUCT((Cap_Point&lt;=I1031)*(Cap_Kind="Housing")*Cap_Ln))</x:f>
        <x:v>800</x:v>
      </x:c>
      <x:c r="M1031" s="10" t="n">
        <x:f>INDEX(v01_GroupCap,G1031)*v01_CohesionFactor*EXP(v01_CapsByProject*SUMPRODUCT((Cap_Point&lt;=I1031)*(Cap_Kind="Group")*Cap_Ln))</x:f>
        <x:v>10000</x:v>
      </x:c>
      <x:c r="N1031" s="32" t="n">
        <x:f>MIN(J1031,L1031,M1031)</x:f>
        <x:v>500</x:v>
      </x:c>
      <x:c r="O1031" s="10" t="n">
        <x:f>AE1030*N1031</x:f>
        <x:v>8000</x:v>
      </x:c>
      <x:c r="P1031" s="9" t="n">
        <x:f>MIN(1,(AB1030/(AE1030*IF(v01_GroupInCrowding=1,N1031,MIN(J1031,L1031))))^v01_CrowdingExp)</x:f>
        <x:v>0.0050930719490689565</x:v>
      </x:c>
      <x:c r="Q1031" s="9" t="n">
        <x:f>IF(D1031=1,INDEX(v01_WinterMult,G1031),1)</x:f>
        <x:v>1</x:v>
      </x:c>
      <x:c r="R1031" s="9" t="n">
        <x:f>H1031*Z1030*v01_WomenShare*v01_BaseFertility*INDEX(v01_FertMult,G1031)*Arch_Fertility*(1-P1031)</x:f>
        <x:v>46.61401706508147</x:v>
      </x:c>
      <x:c r="S1031" s="9" t="n">
        <x:f>H1031*Y1030*INDEX(v01_MortChild,G1031)/4*Q1031</x:f>
        <x:v>8.585428363712179</x:v>
      </x:c>
      <x:c r="T1031" s="9" t="n">
        <x:f>H1031*Z1030*INDEX(v01_MortAdult,G1031)*Arch_AdultMort/4*Q1031</x:f>
        <x:v>3.549442495179872</x:v>
      </x:c>
      <x:c r="U1031" s="9" t="n">
        <x:f>H1031*AA1030*INDEX(v01_MortElder,G1031)/4*Q1031</x:f>
        <x:v>7.873310757878852</x:v>
      </x:c>
      <x:c r="V1031" s="9" t="n">
        <x:f>H1031*MAX(0,AB1030-O1031)*v01_OvercapLoss</x:f>
        <x:v>0</x:v>
      </x:c>
      <x:c r="W1031" s="9" t="n">
        <x:f>H1031*Y1030/(v01_ChildYears*4)</x:f>
        <x:v>24.52979532489194</x:v>
      </x:c>
      <x:c r="X1031" s="9" t="n">
        <x:f>H1031*Z1030/(v01_AdultYears*4)</x:f>
        <x:v>11.449814500580233</x:v>
      </x:c>
      <x:c r="Y1031" s="32" t="n">
        <x:f>Y1030+R1031-S1031-W1031-Y1030*V1031/AB1030</x:f>
        <x:v>1387.1673315704259</x:v>
      </x:c>
      <x:c r="Z1031" s="32" t="n">
        <x:f>Z1030+W1031-X1031-T1031-Z1030*V1031/AB1030</x:f>
        <x:v>1429.3075364010806</x:v>
      </x:c>
      <x:c r="AA1031" s="32" t="n">
        <x:f>AA1030+X1031-U1031-AA1030*V1031/AB1030</x:f>
        <x:v>528.4638876012916</x:v>
      </x:c>
      <x:c r="AB1031" s="10" t="n">
        <x:f>Y1031+Z1031+AA1031</x:f>
        <x:v>3344.938755572798</x:v>
      </x:c>
      <x:c r="AC1031" s="8" t="n">
        <x:f>IF(AND(v01_WinterTrigger=1,D1031=1,AB1030/AE1030&gt;=K1031),1,0)</x:f>
        <x:v>0</x:v>
      </x:c>
      <x:c r="AD1031" s="8" t="n">
        <x:f>H1031*IF(AND(OR(AB1030/AE1030&gt;=v01_FissionTrigger*N1031,AC1031=1),AB1030/AE1030*v01_DaughterShare&gt;=v01_MinDaughter),MAX(1,ROUND(AE1030*v01_FissionRate,0)),0)</x:f>
        <x:v>0</x:v>
      </x:c>
      <x:c r="AE1031" s="8" t="n">
        <x:f>IF(H1031=1,MAX(1,MIN(INDEX(v01_Smax,G1031),AE1030+AD1031)),AE1030)</x:f>
        <x:v>16</x:v>
      </x:c>
      <x:c r="AF1031" s="8" t="n">
        <x:f>MAX(0,AE1031-AE1030)</x:f>
        <x:v>0</x:v>
      </x:c>
      <x:c r="AG1031" s="9" t="str">
        <x:f>IF(AF1031&gt;0,B1031,"")</x:f>
      </x:c>
      <x:c r="AH1031" s="9" t="n">
        <x:f>IF(F1031&gt;=1,1,(1+v01_LowTiesShare*(AE1031-1))/AE1031)</x:f>
        <x:v>1</x:v>
      </x:c>
      <x:c r="AI1031" s="32" t="n">
        <x:f>(Z1031+v01_ElderCommons*INDEX(LM_Elder,G1031)*AA1031)*AH1031</x:f>
        <x:v>3201.829300896525</x:v>
      </x:c>
      <x:c r="AJ1031" s="32" t="n">
        <x:f>H1031*v01_CommonsCoef*AI1031^v01_CommonsExp*INDEX(LM_Commons,G1031)</x:f>
        <x:v>760.360457685084</x:v>
      </x:c>
      <x:c r="AK1031" s="32" t="n">
        <x:f>H1031*v01_RoleScale*Arch_Roles*(AE1031*(INDEX(v01_ElderRolePerSett,G1031)*v01_OutElder*INDEX(LM_Elder,G1031)+INDEX(v01_ShamanPerSett,G1031)*v01_OutShaman)+Z1031*(INDEX(v01_PriestShare,G1031)*v01_OutPriest+INDEX(v01_ScribeShare,G1031)*v01_OutScribe*INDEX(LM_Scribe,G1031)+INDEX(v01_ScholarShare,G1031)*v01_OutScholar*INDEX(LM_Scholar,G1031)+INDEX(v01_ResearcherShare,G1031)*v01_OutResearcher*INDEX(LM_Researcher,G1031)))</x:f>
        <x:v>152.18909062564884</x:v>
      </x:c>
      <x:c r="AL1031" s="32" t="n">
        <x:f>H1031*v01_RoleScale*Arch_Roles*AE1031*INDEX(v01_MonasteryPerSett,G1031)*v01_OutMonastery*INDEX(LM_Monastery,G1031)</x:f>
        <x:v>5.034282471216728</x:v>
      </x:c>
      <x:c r="AM1031" s="32" t="n">
        <x:f>(AJ1031+AK1031+AL1031)/4*INDEX(LM_All,G1031)*INDEX(v01_Boon,G1031)*Arch_Insight</x:f>
        <x:v>330.6514628960011</x:v>
      </x:c>
      <x:c r="AN1031" s="32" t="n">
        <x:f>H1031*(v01_KHPerAdult*Z1031+v01_KHOfCommons*AJ1031/4*INDEX(LM_All,G1031))*v01_KHUsable*Arch_KH</x:f>
        <x:v>50.02576377403782</x:v>
      </x:c>
      <x:c r="AO1031" s="32" t="n">
        <x:f>MIN(AP1030+AN1031,AM1031*v01_KHMaxRatio)</x:f>
        <x:v>50.02576377403782</x:v>
      </x:c>
      <x:c r="AP1031" s="32" t="n">
        <x:f>AP1030+AN1031-AO1031</x:f>
        <x:v>0</x:v>
      </x:c>
      <x:c r="AQ1031" s="32" t="n">
        <x:f>AM1031+AO1031</x:f>
        <x:v>380.6772266700389</x:v>
      </x:c>
      <x:c r="AR1031" s="10" t="n">
        <x:f>IF(H1031=1,INDEX(v01_Req,G1031),0)</x:f>
        <x:v>47951.22698</x:v>
      </x:c>
      <x:c r="AS1031" s="32" t="n">
        <x:f>IF(H1031=1,IF(E1031=1,AS1030-AR1030,AS1030)+AQ1031,0)</x:f>
        <x:v>2746.037052687371</x:v>
      </x:c>
      <x:c r="AT1031" s="11" t="n">
        <x:f>IF(AR1031&gt;0,MIN(1,AS1031/AR1031),1)</x:f>
        <x:v>0.05726729482506709</x:v>
      </x:c>
      <x:c r="AU1031" s="10" t="n">
        <x:f>AB1031/INDEX(v01_RepScale,G1031)</x:f>
        <x:v>133.79755022291192</x:v>
      </x:c>
      <x:c r="AV1031" s="32" t="n">
        <x:f>AM1031*60/v01_SeasonSeconds</x:f>
        <x:v>1322.6058515840043</x:v>
      </x:c>
    </x:row>
    <x:row r="1032">
      <x:c r="A1032" s="8" t="n">
        <x:f>A1031+1</x:f>
        <x:v>1029</x:v>
      </x:c>
      <x:c r="B1032" s="9" t="n">
        <x:f>A1032*v01_SeasonSeconds/60</x:f>
        <x:v>257.25</x:v>
      </x:c>
      <x:c r="C1032" s="9" t="n">
        <x:f>A1032/4</x:f>
        <x:v>257.25</x:v>
      </x:c>
      <x:c r="D1032" s="8" t="n">
        <x:f>IF(MOD(A1032,4)=0,1,0)</x:f>
        <x:v>0</x:v>
      </x:c>
      <x:c r="E1032" s="8" t="n">
        <x:f>IF(AND(F1031&lt;=9,AS1031&gt;=AR1031),1,0)</x:f>
        <x:v>0</x:v>
      </x:c>
      <x:c r="F1032" s="8" t="n">
        <x:f>MIN(10,F1031+E1032)</x:f>
        <x:v>5</x:v>
      </x:c>
      <x:c r="G1032" s="8" t="n">
        <x:f>MIN(F1032,9)+1</x:f>
        <x:v>6</x:v>
      </x:c>
      <x:c r="H1032" s="8" t="n">
        <x:f>IF(F1032&lt;=9,1,0)</x:f>
        <x:v>1</x:v>
      </x:c>
      <x:c r="I1032" s="9" t="n">
        <x:f>MIN(10,F1031+IF(AR1031&gt;0,MIN(1,AS1031/AR1031),1))</x:f>
        <x:v>5.057267294825067</x:v>
      </x:c>
      <x:c r="J1032" s="32" t="n">
        <x:f>INDEX(v01_FoodCap,G1032)*Arch_FoodCap*EXP(v01_CapsByProject*SUMPRODUCT((Cap_Point&lt;=I1032)*(Cap_Kind="Food")*Cap_Ln))</x:f>
        <x:v>500</x:v>
      </x:c>
      <x:c r="K1032" s="32" t="n">
        <x:f>J1032*MIN(1,v01_LeanBase*EXP(v01_CapsByProject*SUMPRODUCT((Cap_Point&lt;=I1032)*(Cap_Kind="Lean")*Cap_Ln)))</x:f>
        <x:v>500</x:v>
      </x:c>
      <x:c r="L1032" s="10" t="n">
        <x:f>INDEX(v01_HousingCap,G1032)*EXP(v01_CapsByProject*SUMPRODUCT((Cap_Point&lt;=I1032)*(Cap_Kind="Housing")*Cap_Ln))</x:f>
        <x:v>800</x:v>
      </x:c>
      <x:c r="M1032" s="10" t="n">
        <x:f>INDEX(v01_GroupCap,G1032)*v01_CohesionFactor*EXP(v01_CapsByProject*SUMPRODUCT((Cap_Point&lt;=I1032)*(Cap_Kind="Group")*Cap_Ln))</x:f>
        <x:v>10000</x:v>
      </x:c>
      <x:c r="N1032" s="32" t="n">
        <x:f>MIN(J1032,L1032,M1032)</x:f>
        <x:v>500</x:v>
      </x:c>
      <x:c r="O1032" s="10" t="n">
        <x:f>AE1031*N1032</x:f>
        <x:v>8000</x:v>
      </x:c>
      <x:c r="P1032" s="9" t="n">
        <x:f>MIN(1,(AB1031/(AE1031*IF(v01_GroupInCrowding=1,N1032,MIN(J1032,L1032))))^v01_CrowdingExp)</x:f>
        <x:v>0.0053430483058974085</x:v>
      </x:c>
      <x:c r="Q1032" s="9" t="n">
        <x:f>IF(D1032=1,INDEX(v01_WinterMult,G1032),1)</x:f>
        <x:v>1</x:v>
      </x:c>
      <x:c r="R1032" s="9" t="n">
        <x:f>H1032*Z1031*v01_WomenShare*v01_BaseFertility*INDEX(v01_FertMult,G1032)*Arch_Fertility*(1-P1032)</x:f>
        <x:v>46.91513234727351</x:v>
      </x:c>
      <x:c r="S1032" s="9" t="n">
        <x:f>H1032*Y1031*INDEX(v01_MortChild,G1032)/4*Q1032</x:f>
        <x:v>8.669795822315162</x:v>
      </x:c>
      <x:c r="T1032" s="9" t="n">
        <x:f>H1032*Z1031*INDEX(v01_MortAdult,G1032)*Arch_AdultMort/4*Q1032</x:f>
        <x:v>3.5732688410027014</x:v>
      </x:c>
      <x:c r="U1032" s="9" t="n">
        <x:f>H1032*AA1031*INDEX(v01_MortElder,G1032)/4*Q1032</x:f>
        <x:v>7.926958314019374</x:v>
      </x:c>
      <x:c r="V1032" s="9" t="n">
        <x:f>H1032*MAX(0,AB1031-O1032)*v01_OvercapLoss</x:f>
        <x:v>0</x:v>
      </x:c>
      <x:c r="W1032" s="9" t="n">
        <x:f>H1032*Y1031/(v01_ChildYears*4)</x:f>
        <x:v>24.770845206614748</x:v>
      </x:c>
      <x:c r="X1032" s="9" t="n">
        <x:f>H1032*Z1031/(v01_AdultYears*4)</x:f>
        <x:v>11.526673680653875</x:v>
      </x:c>
      <x:c r="Y1032" s="32" t="n">
        <x:f>Y1031+R1032-S1032-W1032-Y1031*V1032/AB1031</x:f>
        <x:v>1400.6418228887696</x:v>
      </x:c>
      <x:c r="Z1032" s="32" t="n">
        <x:f>Z1031+W1032-X1032-T1032-Z1031*V1032/AB1031</x:f>
        <x:v>1438.9784390860386</x:v>
      </x:c>
      <x:c r="AA1032" s="32" t="n">
        <x:f>AA1031+X1032-U1032-AA1031*V1032/AB1031</x:f>
        <x:v>532.063602967926</x:v>
      </x:c>
      <x:c r="AB1032" s="10" t="n">
        <x:f>Y1032+Z1032+AA1032</x:f>
        <x:v>3371.6838649427345</x:v>
      </x:c>
      <x:c r="AC1032" s="8" t="n">
        <x:f>IF(AND(v01_WinterTrigger=1,D1032=1,AB1031/AE1031&gt;=K1032),1,0)</x:f>
        <x:v>0</x:v>
      </x:c>
      <x:c r="AD1032" s="8" t="n">
        <x:f>H1032*IF(AND(OR(AB1031/AE1031&gt;=v01_FissionTrigger*N1032,AC1032=1),AB1031/AE1031*v01_DaughterShare&gt;=v01_MinDaughter),MAX(1,ROUND(AE1031*v01_FissionRate,0)),0)</x:f>
        <x:v>0</x:v>
      </x:c>
      <x:c r="AE1032" s="8" t="n">
        <x:f>IF(H1032=1,MAX(1,MIN(INDEX(v01_Smax,G1032),AE1031+AD1032)),AE1031)</x:f>
        <x:v>16</x:v>
      </x:c>
      <x:c r="AF1032" s="8" t="n">
        <x:f>MAX(0,AE1032-AE1031)</x:f>
        <x:v>0</x:v>
      </x:c>
      <x:c r="AG1032" s="9" t="str">
        <x:f>IF(AF1032&gt;0,B1032,"")</x:f>
      </x:c>
      <x:c r="AH1032" s="9" t="n">
        <x:f>IF(F1032&gt;=1,1,(1+v01_LowTiesShare*(AE1032-1))/AE1032)</x:f>
        <x:v>1</x:v>
      </x:c>
      <x:c r="AI1032" s="32" t="n">
        <x:f>(Z1032+v01_ElderCommons*INDEX(LM_Elder,G1032)*AA1032)*AH1032</x:f>
        <x:v>3223.574015970651</x:v>
      </x:c>
      <x:c r="AJ1032" s="32" t="n">
        <x:f>H1032*v01_CommonsCoef*AI1032^v01_CommonsExp*INDEX(LM_Commons,G1032)</x:f>
        <x:v>764.7475149710572</x:v>
      </x:c>
      <x:c r="AK1032" s="32" t="n">
        <x:f>H1032*v01_RoleScale*Arch_Roles*(AE1032*(INDEX(v01_ElderRolePerSett,G1032)*v01_OutElder*INDEX(LM_Elder,G1032)+INDEX(v01_ShamanPerSett,G1032)*v01_OutShaman)+Z1032*(INDEX(v01_PriestShare,G1032)*v01_OutPriest+INDEX(v01_ScribeShare,G1032)*v01_OutScribe*INDEX(LM_Scribe,G1032)+INDEX(v01_ScholarShare,G1032)*v01_OutScholar*INDEX(LM_Scholar,G1032)+INDEX(v01_ResearcherShare,G1032)*v01_OutResearcher*INDEX(LM_Researcher,G1032)))</x:f>
        <x:v>152.8748819239259</x:v>
      </x:c>
      <x:c r="AL1032" s="32" t="n">
        <x:f>H1032*v01_RoleScale*Arch_Roles*AE1032*INDEX(v01_MonasteryPerSett,G1032)*v01_OutMonastery*INDEX(LM_Monastery,G1032)</x:f>
        <x:v>5.034282471216728</x:v>
      </x:c>
      <x:c r="AM1032" s="32" t="n">
        <x:f>(AJ1032+AK1032+AL1032)/4*INDEX(LM_All,G1032)*INDEX(v01_Boon,G1032)*Arch_Insight</x:f>
        <x:v>332.47946459912913</x:v>
      </x:c>
      <x:c r="AN1032" s="32" t="n">
        <x:f>H1032*(v01_KHPerAdult*Z1032+v01_KHOfCommons*AJ1032/4*INDEX(LM_All,G1032))*v01_KHUsable*Arch_KH</x:f>
        <x:v>50.36424536801135</x:v>
      </x:c>
      <x:c r="AO1032" s="32" t="n">
        <x:f>MIN(AP1031+AN1032,AM1032*v01_KHMaxRatio)</x:f>
        <x:v>50.36424536801135</x:v>
      </x:c>
      <x:c r="AP1032" s="32" t="n">
        <x:f>AP1031+AN1032-AO1032</x:f>
        <x:v>0</x:v>
      </x:c>
      <x:c r="AQ1032" s="32" t="n">
        <x:f>AM1032+AO1032</x:f>
        <x:v>382.8437099671405</x:v>
      </x:c>
      <x:c r="AR1032" s="10" t="n">
        <x:f>IF(H1032=1,INDEX(v01_Req,G1032),0)</x:f>
        <x:v>47951.22698</x:v>
      </x:c>
      <x:c r="AS1032" s="32" t="n">
        <x:f>IF(H1032=1,IF(E1032=1,AS1031-AR1031,AS1031)+AQ1032,0)</x:f>
        <x:v>3128.8807626545117</x:v>
      </x:c>
      <x:c r="AT1032" s="11" t="n">
        <x:f>IF(AR1032&gt;0,MIN(1,AS1032/AR1032),1)</x:f>
        <x:v>0.06525131805197681</x:v>
      </x:c>
      <x:c r="AU1032" s="10" t="n">
        <x:f>AB1032/INDEX(v01_RepScale,G1032)</x:f>
        <x:v>134.86735459770938</x:v>
      </x:c>
      <x:c r="AV1032" s="32" t="n">
        <x:f>AM1032*60/v01_SeasonSeconds</x:f>
        <x:v>1329.9178583965165</x:v>
      </x:c>
    </x:row>
    <x:row r="1033">
      <x:c r="A1033" s="8" t="n">
        <x:f>A1032+1</x:f>
        <x:v>1030</x:v>
      </x:c>
      <x:c r="B1033" s="9" t="n">
        <x:f>A1033*v01_SeasonSeconds/60</x:f>
        <x:v>257.5</x:v>
      </x:c>
      <x:c r="C1033" s="9" t="n">
        <x:f>A1033/4</x:f>
        <x:v>257.5</x:v>
      </x:c>
      <x:c r="D1033" s="8" t="n">
        <x:f>IF(MOD(A1033,4)=0,1,0)</x:f>
        <x:v>0</x:v>
      </x:c>
      <x:c r="E1033" s="8" t="n">
        <x:f>IF(AND(F1032&lt;=9,AS1032&gt;=AR1032),1,0)</x:f>
        <x:v>0</x:v>
      </x:c>
      <x:c r="F1033" s="8" t="n">
        <x:f>MIN(10,F1032+E1033)</x:f>
        <x:v>5</x:v>
      </x:c>
      <x:c r="G1033" s="8" t="n">
        <x:f>MIN(F1033,9)+1</x:f>
        <x:v>6</x:v>
      </x:c>
      <x:c r="H1033" s="8" t="n">
        <x:f>IF(F1033&lt;=9,1,0)</x:f>
        <x:v>1</x:v>
      </x:c>
      <x:c r="I1033" s="9" t="n">
        <x:f>MIN(10,F1032+IF(AR1032&gt;0,MIN(1,AS1032/AR1032),1))</x:f>
        <x:v>5.065251318051977</x:v>
      </x:c>
      <x:c r="J1033" s="32" t="n">
        <x:f>INDEX(v01_FoodCap,G1033)*Arch_FoodCap*EXP(v01_CapsByProject*SUMPRODUCT((Cap_Point&lt;=I1033)*(Cap_Kind="Food")*Cap_Ln))</x:f>
        <x:v>500</x:v>
      </x:c>
      <x:c r="K1033" s="32" t="n">
        <x:f>J1033*MIN(1,v01_LeanBase*EXP(v01_CapsByProject*SUMPRODUCT((Cap_Point&lt;=I1033)*(Cap_Kind="Lean")*Cap_Ln)))</x:f>
        <x:v>500</x:v>
      </x:c>
      <x:c r="L1033" s="10" t="n">
        <x:f>INDEX(v01_HousingCap,G1033)*EXP(v01_CapsByProject*SUMPRODUCT((Cap_Point&lt;=I1033)*(Cap_Kind="Housing")*Cap_Ln))</x:f>
        <x:v>800</x:v>
      </x:c>
      <x:c r="M1033" s="10" t="n">
        <x:f>INDEX(v01_GroupCap,G1033)*v01_CohesionFactor*EXP(v01_CapsByProject*SUMPRODUCT((Cap_Point&lt;=I1033)*(Cap_Kind="Group")*Cap_Ln))</x:f>
        <x:v>10000</x:v>
      </x:c>
      <x:c r="N1033" s="32" t="n">
        <x:f>MIN(J1033,L1033,M1033)</x:f>
        <x:v>500</x:v>
      </x:c>
      <x:c r="O1033" s="10" t="n">
        <x:f>AE1032*N1033</x:f>
        <x:v>8000</x:v>
      </x:c>
      <x:c r="P1033" s="9" t="n">
        <x:f>MIN(1,(AB1032/(AE1032*IF(v01_GroupInCrowding=1,N1033,MIN(J1033,L1033))))^v01_CrowdingExp)</x:f>
        <x:v>0.005604555367105219</x:v>
      </x:c>
      <x:c r="Q1033" s="9" t="n">
        <x:f>IF(D1033=1,INDEX(v01_WinterMult,G1033),1)</x:f>
        <x:v>1</x:v>
      </x:c>
      <x:c r="R1033" s="9" t="n">
        <x:f>H1033*Z1032*v01_WomenShare*v01_BaseFertility*INDEX(v01_FertMult,G1033)*Arch_Fertility*(1-P1033)</x:f>
        <x:v>47.220148956819635</x:v>
      </x:c>
      <x:c r="S1033" s="9" t="n">
        <x:f>H1033*Y1032*INDEX(v01_MortChild,G1033)/4*Q1033</x:f>
        <x:v>8.75401139305481</x:v>
      </x:c>
      <x:c r="T1033" s="9" t="n">
        <x:f>H1033*Z1032*INDEX(v01_MortAdult,G1033)*Arch_AdultMort/4*Q1033</x:f>
        <x:v>3.5974460977150966</x:v>
      </x:c>
      <x:c r="U1033" s="9" t="n">
        <x:f>H1033*AA1032*INDEX(v01_MortElder,G1033)/4*Q1033</x:f>
        <x:v>7.9809540445188905</x:v>
      </x:c>
      <x:c r="V1033" s="9" t="n">
        <x:f>H1033*MAX(0,AB1032-O1033)*v01_OvercapLoss</x:f>
        <x:v>0</x:v>
      </x:c>
      <x:c r="W1033" s="9" t="n">
        <x:f>H1033*Y1032/(v01_ChildYears*4)</x:f>
        <x:v>25.011461123013742</x:v>
      </x:c>
      <x:c r="X1033" s="9" t="n">
        <x:f>H1033*Z1032/(v01_AdultYears*4)</x:f>
        <x:v>11.60466483133902</x:v>
      </x:c>
      <x:c r="Y1033" s="32" t="n">
        <x:f>Y1032+R1033-S1033-W1033-Y1032*V1033/AB1032</x:f>
        <x:v>1414.0964993295208</x:v>
      </x:c>
      <x:c r="Z1033" s="32" t="n">
        <x:f>Z1032+W1033-X1033-T1033-Z1032*V1033/AB1032</x:f>
        <x:v>1448.7877892799982</x:v>
      </x:c>
      <x:c r="AA1033" s="32" t="n">
        <x:f>AA1032+X1033-U1033-AA1032*V1033/AB1032</x:f>
        <x:v>535.6873137547462</x:v>
      </x:c>
      <x:c r="AB1033" s="10" t="n">
        <x:f>Y1033+Z1033+AA1033</x:f>
        <x:v>3398.5716023642653</x:v>
      </x:c>
      <x:c r="AC1033" s="8" t="n">
        <x:f>IF(AND(v01_WinterTrigger=1,D1033=1,AB1032/AE1032&gt;=K1033),1,0)</x:f>
        <x:v>0</x:v>
      </x:c>
      <x:c r="AD1033" s="8" t="n">
        <x:f>H1033*IF(AND(OR(AB1032/AE1032&gt;=v01_FissionTrigger*N1033,AC1033=1),AB1032/AE1032*v01_DaughterShare&gt;=v01_MinDaughter),MAX(1,ROUND(AE1032*v01_FissionRate,0)),0)</x:f>
        <x:v>0</x:v>
      </x:c>
      <x:c r="AE1033" s="8" t="n">
        <x:f>IF(H1033=1,MAX(1,MIN(INDEX(v01_Smax,G1033),AE1032+AD1033)),AE1032)</x:f>
        <x:v>16</x:v>
      </x:c>
      <x:c r="AF1033" s="8" t="n">
        <x:f>MAX(0,AE1033-AE1032)</x:f>
        <x:v>0</x:v>
      </x:c>
      <x:c r="AG1033" s="9" t="str">
        <x:f>IF(AF1033&gt;0,B1033,"")</x:f>
      </x:c>
      <x:c r="AH1033" s="9" t="n">
        <x:f>IF(F1033&gt;=1,1,(1+v01_LowTiesShare*(AE1033-1))/AE1033)</x:f>
        <x:v>1</x:v>
      </x:c>
      <x:c r="AI1033" s="32" t="n">
        <x:f>(Z1033+v01_ElderCommons*INDEX(LM_Elder,G1033)*AA1033)*AH1033</x:f>
        <x:v>3245.5376616398044</x:v>
      </x:c>
      <x:c r="AJ1033" s="32" t="n">
        <x:f>H1033*v01_CommonsCoef*AI1033^v01_CommonsExp*INDEX(LM_Commons,G1033)</x:f>
        <x:v>769.1742382605734</x:v>
      </x:c>
      <x:c r="AK1033" s="32" t="n">
        <x:f>H1033*v01_RoleScale*Arch_Roles*(AE1033*(INDEX(v01_ElderRolePerSett,G1033)*v01_OutElder*INDEX(LM_Elder,G1033)+INDEX(v01_ShamanPerSett,G1033)*v01_OutShaman)+Z1033*(INDEX(v01_PriestShare,G1033)*v01_OutPriest+INDEX(v01_ScribeShare,G1033)*v01_OutScribe*INDEX(LM_Scribe,G1033)+INDEX(v01_ScholarShare,G1033)*v01_OutScholar*INDEX(LM_Scholar,G1033)+INDEX(v01_ResearcherShare,G1033)*v01_OutResearcher*INDEX(LM_Researcher,G1033)))</x:f>
        <x:v>153.57049093002553</x:v>
      </x:c>
      <x:c r="AL1033" s="32" t="n">
        <x:f>H1033*v01_RoleScale*Arch_Roles*AE1033*INDEX(v01_MonasteryPerSett,G1033)*v01_OutMonastery*INDEX(LM_Monastery,G1033)</x:f>
        <x:v>5.034282471216728</x:v>
      </x:c>
      <x:c r="AM1033" s="32" t="n">
        <x:f>(AJ1033+AK1033+AL1033)/4*INDEX(LM_All,G1033)*INDEX(v01_Boon,G1033)*Arch_Insight</x:f>
        <x:v>334.3252977646302</x:v>
      </x:c>
      <x:c r="AN1033" s="32" t="n">
        <x:f>H1033*(v01_KHPerAdult*Z1033+v01_KHOfCommons*AJ1033/4*INDEX(LM_All,G1033))*v01_KHUsable*Arch_KH</x:f>
        <x:v>50.70757262479994</x:v>
      </x:c>
      <x:c r="AO1033" s="32" t="n">
        <x:f>MIN(AP1032+AN1033,AM1033*v01_KHMaxRatio)</x:f>
        <x:v>50.70757262479994</x:v>
      </x:c>
      <x:c r="AP1033" s="32" t="n">
        <x:f>AP1032+AN1033-AO1033</x:f>
        <x:v>0</x:v>
      </x:c>
      <x:c r="AQ1033" s="32" t="n">
        <x:f>AM1033+AO1033</x:f>
        <x:v>385.0328703894301</x:v>
      </x:c>
      <x:c r="AR1033" s="10" t="n">
        <x:f>IF(H1033=1,INDEX(v01_Req,G1033),0)</x:f>
        <x:v>47951.22698</x:v>
      </x:c>
      <x:c r="AS1033" s="32" t="n">
        <x:f>IF(H1033=1,IF(E1033=1,AS1032-AR1032,AS1032)+AQ1033,0)</x:f>
        <x:v>3513.913633043942</x:v>
      </x:c>
      <x:c r="AT1033" s="11" t="n">
        <x:f>IF(AR1033&gt;0,MIN(1,AS1033/AR1033),1)</x:f>
        <x:v>0.07328099517681919</x:v>
      </x:c>
      <x:c r="AU1033" s="10" t="n">
        <x:f>AB1033/INDEX(v01_RepScale,G1033)</x:f>
        <x:v>135.9428640945706</x:v>
      </x:c>
      <x:c r="AV1033" s="32" t="n">
        <x:f>AM1033*60/v01_SeasonSeconds</x:f>
        <x:v>1337.3011910585208</x:v>
      </x:c>
    </x:row>
    <x:row r="1034">
      <x:c r="A1034" s="8" t="n">
        <x:f>A1033+1</x:f>
        <x:v>1031</x:v>
      </x:c>
      <x:c r="B1034" s="9" t="n">
        <x:f>A1034*v01_SeasonSeconds/60</x:f>
        <x:v>257.75</x:v>
      </x:c>
      <x:c r="C1034" s="9" t="n">
        <x:f>A1034/4</x:f>
        <x:v>257.75</x:v>
      </x:c>
      <x:c r="D1034" s="8" t="n">
        <x:f>IF(MOD(A1034,4)=0,1,0)</x:f>
        <x:v>0</x:v>
      </x:c>
      <x:c r="E1034" s="8" t="n">
        <x:f>IF(AND(F1033&lt;=9,AS1033&gt;=AR1033),1,0)</x:f>
        <x:v>0</x:v>
      </x:c>
      <x:c r="F1034" s="8" t="n">
        <x:f>MIN(10,F1033+E1034)</x:f>
        <x:v>5</x:v>
      </x:c>
      <x:c r="G1034" s="8" t="n">
        <x:f>MIN(F1034,9)+1</x:f>
        <x:v>6</x:v>
      </x:c>
      <x:c r="H1034" s="8" t="n">
        <x:f>IF(F1034&lt;=9,1,0)</x:f>
        <x:v>1</x:v>
      </x:c>
      <x:c r="I1034" s="9" t="n">
        <x:f>MIN(10,F1033+IF(AR1033&gt;0,MIN(1,AS1033/AR1033),1))</x:f>
        <x:v>5.07328099517682</x:v>
      </x:c>
      <x:c r="J1034" s="32" t="n">
        <x:f>INDEX(v01_FoodCap,G1034)*Arch_FoodCap*EXP(v01_CapsByProject*SUMPRODUCT((Cap_Point&lt;=I1034)*(Cap_Kind="Food")*Cap_Ln))</x:f>
        <x:v>500</x:v>
      </x:c>
      <x:c r="K1034" s="32" t="n">
        <x:f>J1034*MIN(1,v01_LeanBase*EXP(v01_CapsByProject*SUMPRODUCT((Cap_Point&lt;=I1034)*(Cap_Kind="Lean")*Cap_Ln)))</x:f>
        <x:v>500</x:v>
      </x:c>
      <x:c r="L1034" s="10" t="n">
        <x:f>INDEX(v01_HousingCap,G1034)*EXP(v01_CapsByProject*SUMPRODUCT((Cap_Point&lt;=I1034)*(Cap_Kind="Housing")*Cap_Ln))</x:f>
        <x:v>800</x:v>
      </x:c>
      <x:c r="M1034" s="10" t="n">
        <x:f>INDEX(v01_GroupCap,G1034)*v01_CohesionFactor*EXP(v01_CapsByProject*SUMPRODUCT((Cap_Point&lt;=I1034)*(Cap_Kind="Group")*Cap_Ln))</x:f>
        <x:v>10000</x:v>
      </x:c>
      <x:c r="N1034" s="32" t="n">
        <x:f>MIN(J1034,L1034,M1034)</x:f>
        <x:v>500</x:v>
      </x:c>
      <x:c r="O1034" s="10" t="n">
        <x:f>AE1033*N1034</x:f>
        <x:v>8000</x:v>
      </x:c>
      <x:c r="P1034" s="9" t="n">
        <x:f>MIN(1,(AB1033/(AE1033*IF(v01_GroupInCrowding=1,N1034,MIN(J1034,L1034))))^v01_CrowdingExp)</x:f>
        <x:v>0.005878122377036205</x:v>
      </x:c>
      <x:c r="Q1034" s="9" t="n">
        <x:f>IF(D1034=1,INDEX(v01_WinterMult,G1034),1)</x:f>
        <x:v>1</x:v>
      </x:c>
      <x:c r="R1034" s="9" t="n">
        <x:f>H1034*Z1033*v01_WomenShare*v01_BaseFertility*INDEX(v01_FertMult,G1034)*Arch_Fertility*(1-P1034)</x:f>
        <x:v>47.528964032756406</x:v>
      </x:c>
      <x:c r="S1034" s="9" t="n">
        <x:f>H1034*Y1033*INDEX(v01_MortChild,G1034)/4*Q1034</x:f>
        <x:v>8.838103120809505</x:v>
      </x:c>
      <x:c r="T1034" s="9" t="n">
        <x:f>H1034*Z1033*INDEX(v01_MortAdult,G1034)*Arch_AdultMort/4*Q1034</x:f>
        <x:v>3.6219694731999956</x:v>
      </x:c>
      <x:c r="U1034" s="9" t="n">
        <x:f>H1034*AA1033*INDEX(v01_MortElder,G1034)/4*Q1034</x:f>
        <x:v>8.035309706321193</x:v>
      </x:c>
      <x:c r="V1034" s="9" t="n">
        <x:f>H1034*MAX(0,AB1033-O1034)*v01_OvercapLoss</x:f>
        <x:v>0</x:v>
      </x:c>
      <x:c r="W1034" s="9" t="n">
        <x:f>H1034*Y1033/(v01_ChildYears*4)</x:f>
        <x:v>25.25172320231287</x:v>
      </x:c>
      <x:c r="X1034" s="9" t="n">
        <x:f>H1034*Z1033/(v01_AdultYears*4)</x:f>
        <x:v>11.683772494193533</x:v>
      </x:c>
      <x:c r="Y1034" s="32" t="n">
        <x:f>Y1033+R1034-S1034-W1034-Y1033*V1034/AB1033</x:f>
        <x:v>1427.5356370391548</x:v>
      </x:c>
      <x:c r="Z1034" s="32" t="n">
        <x:f>Z1033+W1034-X1034-T1034-Z1033*V1034/AB1033</x:f>
        <x:v>1458.7337705149175</x:v>
      </x:c>
      <x:c r="AA1034" s="32" t="n">
        <x:f>AA1033+X1034-U1034-AA1033*V1034/AB1033</x:f>
        <x:v>539.3357765426185</x:v>
      </x:c>
      <x:c r="AB1034" s="10" t="n">
        <x:f>Y1034+Z1034+AA1034</x:f>
        <x:v>3425.6051840966907</x:v>
      </x:c>
      <x:c r="AC1034" s="8" t="n">
        <x:f>IF(AND(v01_WinterTrigger=1,D1034=1,AB1033/AE1033&gt;=K1034),1,0)</x:f>
        <x:v>0</x:v>
      </x:c>
      <x:c r="AD1034" s="8" t="n">
        <x:f>H1034*IF(AND(OR(AB1033/AE1033&gt;=v01_FissionTrigger*N1034,AC1034=1),AB1033/AE1033*v01_DaughterShare&gt;=v01_MinDaughter),MAX(1,ROUND(AE1033*v01_FissionRate,0)),0)</x:f>
        <x:v>0</x:v>
      </x:c>
      <x:c r="AE1034" s="8" t="n">
        <x:f>IF(H1034=1,MAX(1,MIN(INDEX(v01_Smax,G1034),AE1033+AD1034)),AE1033)</x:f>
        <x:v>16</x:v>
      </x:c>
      <x:c r="AF1034" s="8" t="n">
        <x:f>MAX(0,AE1034-AE1033)</x:f>
        <x:v>0</x:v>
      </x:c>
      <x:c r="AG1034" s="9" t="str">
        <x:f>IF(AF1034&gt;0,B1034,"")</x:f>
      </x:c>
      <x:c r="AH1034" s="9" t="n">
        <x:f>IF(F1034&gt;=1,1,(1+v01_LowTiesShare*(AE1034-1))/AE1034)</x:f>
        <x:v>1</x:v>
      </x:c>
      <x:c r="AI1034" s="32" t="n">
        <x:f>(Z1034+v01_ElderCommons*INDEX(LM_Elder,G1034)*AA1034)*AH1034</x:f>
        <x:v>3267.720959085315</x:v>
      </x:c>
      <x:c r="AJ1034" s="32" t="n">
        <x:f>H1034*v01_CommonsCoef*AI1034^v01_CommonsExp*INDEX(LM_Commons,G1034)</x:f>
        <x:v>773.6406730634396</x:v>
      </x:c>
      <x:c r="AK1034" s="32" t="n">
        <x:f>H1034*v01_RoleScale*Arch_Roles*(AE1034*(INDEX(v01_ElderRolePerSett,G1034)*v01_OutElder*INDEX(LM_Elder,G1034)+INDEX(v01_ShamanPerSett,G1034)*v01_OutShaman)+Z1034*(INDEX(v01_PriestShare,G1034)*v01_OutPriest+INDEX(v01_ScribeShare,G1034)*v01_OutScribe*INDEX(LM_Scribe,G1034)+INDEX(v01_ScholarShare,G1034)*v01_OutScholar*INDEX(LM_Scholar,G1034)+INDEX(v01_ResearcherShare,G1034)*v01_OutResearcher*INDEX(LM_Researcher,G1034)))</x:f>
        <x:v>154.27578883301695</x:v>
      </x:c>
      <x:c r="AL1034" s="32" t="n">
        <x:f>H1034*v01_RoleScale*Arch_Roles*AE1034*INDEX(v01_MonasteryPerSett,G1034)*v01_OutMonastery*INDEX(LM_Monastery,G1034)</x:f>
        <x:v>5.034282471216728</x:v>
      </x:c>
      <x:c r="AM1034" s="32" t="n">
        <x:f>(AJ1034+AK1034+AL1034)/4*INDEX(LM_All,G1034)*INDEX(v01_Boon,G1034)*Arch_Insight</x:f>
        <x:v>336.1889323749324</x:v>
      </x:c>
      <x:c r="AN1034" s="32" t="n">
        <x:f>H1034*(v01_KHPerAdult*Z1034+v01_KHOfCommons*AJ1034/4*INDEX(LM_All,G1034))*v01_KHUsable*Arch_KH</x:f>
        <x:v>51.055681968022114</x:v>
      </x:c>
      <x:c r="AO1034" s="32" t="n">
        <x:f>MIN(AP1033+AN1034,AM1034*v01_KHMaxRatio)</x:f>
        <x:v>51.055681968022114</x:v>
      </x:c>
      <x:c r="AP1034" s="32" t="n">
        <x:f>AP1033+AN1034-AO1034</x:f>
        <x:v>0</x:v>
      </x:c>
      <x:c r="AQ1034" s="32" t="n">
        <x:f>AM1034+AO1034</x:f>
        <x:v>387.2446143429545</x:v>
      </x:c>
      <x:c r="AR1034" s="10" t="n">
        <x:f>IF(H1034=1,INDEX(v01_Req,G1034),0)</x:f>
        <x:v>47951.22698</x:v>
      </x:c>
      <x:c r="AS1034" s="32" t="n">
        <x:f>IF(H1034=1,IF(E1034=1,AS1033-AR1033,AS1033)+AQ1034,0)</x:f>
        <x:v>3901.1582473868966</x:v>
      </x:c>
      <x:c r="AT1034" s="11" t="n">
        <x:f>IF(AR1034&gt;0,MIN(1,AS1034/AR1034),1)</x:f>
        <x:v>0.08135679716838179</x:v>
      </x:c>
      <x:c r="AU1034" s="10" t="n">
        <x:f>AB1034/INDEX(v01_RepScale,G1034)</x:f>
        <x:v>137.02420736386762</x:v>
      </x:c>
      <x:c r="AV1034" s="32" t="n">
        <x:f>AM1034*60/v01_SeasonSeconds</x:f>
        <x:v>1344.7557294997293</x:v>
      </x:c>
    </x:row>
    <x:row r="1035">
      <x:c r="A1035" s="8" t="n">
        <x:f>A1034+1</x:f>
        <x:v>1032</x:v>
      </x:c>
      <x:c r="B1035" s="9" t="n">
        <x:f>A1035*v01_SeasonSeconds/60</x:f>
        <x:v>258</x:v>
      </x:c>
      <x:c r="C1035" s="9" t="n">
        <x:f>A1035/4</x:f>
        <x:v>258</x:v>
      </x:c>
      <x:c r="D1035" s="8" t="n">
        <x:f>IF(MOD(A1035,4)=0,1,0)</x:f>
        <x:v>1</x:v>
      </x:c>
      <x:c r="E1035" s="8" t="n">
        <x:f>IF(AND(F1034&lt;=9,AS1034&gt;=AR1034),1,0)</x:f>
        <x:v>0</x:v>
      </x:c>
      <x:c r="F1035" s="8" t="n">
        <x:f>MIN(10,F1034+E1035)</x:f>
        <x:v>5</x:v>
      </x:c>
      <x:c r="G1035" s="8" t="n">
        <x:f>MIN(F1035,9)+1</x:f>
        <x:v>6</x:v>
      </x:c>
      <x:c r="H1035" s="8" t="n">
        <x:f>IF(F1035&lt;=9,1,0)</x:f>
        <x:v>1</x:v>
      </x:c>
      <x:c r="I1035" s="9" t="n">
        <x:f>MIN(10,F1034+IF(AR1034&gt;0,MIN(1,AS1034/AR1034),1))</x:f>
        <x:v>5.0813567971683815</x:v>
      </x:c>
      <x:c r="J1035" s="32" t="n">
        <x:f>INDEX(v01_FoodCap,G1035)*Arch_FoodCap*EXP(v01_CapsByProject*SUMPRODUCT((Cap_Point&lt;=I1035)*(Cap_Kind="Food")*Cap_Ln))</x:f>
        <x:v>500</x:v>
      </x:c>
      <x:c r="K1035" s="32" t="n">
        <x:f>J1035*MIN(1,v01_LeanBase*EXP(v01_CapsByProject*SUMPRODUCT((Cap_Point&lt;=I1035)*(Cap_Kind="Lean")*Cap_Ln)))</x:f>
        <x:v>500</x:v>
      </x:c>
      <x:c r="L1035" s="10" t="n">
        <x:f>INDEX(v01_HousingCap,G1035)*EXP(v01_CapsByProject*SUMPRODUCT((Cap_Point&lt;=I1035)*(Cap_Kind="Housing")*Cap_Ln))</x:f>
        <x:v>800</x:v>
      </x:c>
      <x:c r="M1035" s="10" t="n">
        <x:f>INDEX(v01_GroupCap,G1035)*v01_CohesionFactor*EXP(v01_CapsByProject*SUMPRODUCT((Cap_Point&lt;=I1035)*(Cap_Kind="Group")*Cap_Ln))</x:f>
        <x:v>10000</x:v>
      </x:c>
      <x:c r="N1035" s="32" t="n">
        <x:f>MIN(J1035,L1035,M1035)</x:f>
        <x:v>500</x:v>
      </x:c>
      <x:c r="O1035" s="10" t="n">
        <x:f>AE1034*N1035</x:f>
        <x:v>8000</x:v>
      </x:c>
      <x:c r="P1035" s="9" t="n">
        <x:f>MIN(1,(AB1034/(AE1034*IF(v01_GroupInCrowding=1,N1035,MIN(J1035,L1035))))^v01_CrowdingExp)</x:f>
        <x:v>0.006164302195021154</x:v>
      </x:c>
      <x:c r="Q1035" s="9" t="n">
        <x:f>IF(D1035=1,INDEX(v01_WinterMult,G1035),1)</x:f>
        <x:v>1</x:v>
      </x:c>
      <x:c r="R1035" s="9" t="n">
        <x:f>H1035*Z1034*v01_WomenShare*v01_BaseFertility*INDEX(v01_FertMult,G1035)*Arch_Fertility*(1-P1035)</x:f>
        <x:v>47.841475926135566</x:v>
      </x:c>
      <x:c r="S1035" s="9" t="n">
        <x:f>H1035*Y1034*INDEX(v01_MortChild,G1035)/4*Q1035</x:f>
        <x:v>8.922097731494718</x:v>
      </x:c>
      <x:c r="T1035" s="9" t="n">
        <x:f>H1035*Z1034*INDEX(v01_MortAdult,G1035)*Arch_AdultMort/4*Q1035</x:f>
        <x:v>3.646834426287294</x:v>
      </x:c>
      <x:c r="U1035" s="9" t="n">
        <x:f>H1035*AA1034*INDEX(v01_MortElder,G1035)/4*Q1035</x:f>
        <x:v>8.090036648139277</x:v>
      </x:c>
      <x:c r="V1035" s="9" t="n">
        <x:f>H1035*MAX(0,AB1034-O1035)*v01_OvercapLoss</x:f>
        <x:v>0</x:v>
      </x:c>
      <x:c r="W1035" s="9" t="n">
        <x:f>H1035*Y1034/(v01_ChildYears*4)</x:f>
        <x:v>25.49170780427062</x:v>
      </x:c>
      <x:c r="X1035" s="9" t="n">
        <x:f>H1035*Z1034/(v01_AdultYears*4)</x:f>
        <x:v>11.763982020281594</x:v>
      </x:c>
      <x:c r="Y1035" s="32" t="n">
        <x:f>Y1034+R1035-S1035-W1035-Y1034*V1035/AB1034</x:f>
        <x:v>1440.9633074295252</x:v>
      </x:c>
      <x:c r="Z1035" s="32" t="n">
        <x:f>Z1034+W1035-X1035-T1035-Z1034*V1035/AB1034</x:f>
        <x:v>1468.8146618726191</x:v>
      </x:c>
      <x:c r="AA1035" s="32" t="n">
        <x:f>AA1034+X1035-U1035-AA1034*V1035/AB1034</x:f>
        <x:v>543.0097219147608</x:v>
      </x:c>
      <x:c r="AB1035" s="10" t="n">
        <x:f>Y1035+Z1035+AA1035</x:f>
        <x:v>3452.787691216905</x:v>
      </x:c>
      <x:c r="AC1035" s="8" t="n">
        <x:f>IF(AND(v01_WinterTrigger=1,D1035=1,AB1034/AE1034&gt;=K1035),1,0)</x:f>
        <x:v>0</x:v>
      </x:c>
      <x:c r="AD1035" s="8" t="n">
        <x:f>H1035*IF(AND(OR(AB1034/AE1034&gt;=v01_FissionTrigger*N1035,AC1035=1),AB1034/AE1034*v01_DaughterShare&gt;=v01_MinDaughter),MAX(1,ROUND(AE1034*v01_FissionRate,0)),0)</x:f>
        <x:v>0</x:v>
      </x:c>
      <x:c r="AE1035" s="8" t="n">
        <x:f>IF(H1035=1,MAX(1,MIN(INDEX(v01_Smax,G1035),AE1034+AD1035)),AE1034)</x:f>
        <x:v>16</x:v>
      </x:c>
      <x:c r="AF1035" s="8" t="n">
        <x:f>MAX(0,AE1035-AE1034)</x:f>
        <x:v>0</x:v>
      </x:c>
      <x:c r="AG1035" s="9" t="str">
        <x:f>IF(AF1035&gt;0,B1035,"")</x:f>
      </x:c>
      <x:c r="AH1035" s="9" t="n">
        <x:f>IF(F1035&gt;=1,1,(1+v01_LowTiesShare*(AE1035-1))/AE1035)</x:f>
        <x:v>1</x:v>
      </x:c>
      <x:c r="AI1035" s="32" t="n">
        <x:f>(Z1035+v01_ElderCommons*INDEX(LM_Elder,G1035)*AA1035)*AH1035</x:f>
        <x:v>3290.1246378396127</x:v>
      </x:c>
      <x:c r="AJ1035" s="32" t="n">
        <x:f>H1035*v01_CommonsCoef*AI1035^v01_CommonsExp*INDEX(LM_Commons,G1035)</x:f>
        <x:v>778.1468662274216</x:v>
      </x:c>
      <x:c r="AK1035" s="32" t="n">
        <x:f>H1035*v01_RoleScale*Arch_Roles*(AE1035*(INDEX(v01_ElderRolePerSett,G1035)*v01_OutElder*INDEX(LM_Elder,G1035)+INDEX(v01_ShamanPerSett,G1035)*v01_OutShaman)+Z1035*(INDEX(v01_PriestShare,G1035)*v01_OutPriest+INDEX(v01_ScribeShare,G1035)*v01_OutScribe*INDEX(LM_Scribe,G1035)+INDEX(v01_ScholarShare,G1035)*v01_OutScholar*INDEX(LM_Scholar,G1035)+INDEX(v01_ResearcherShare,G1035)*v01_OutResearcher*INDEX(LM_Researcher,G1035)))</x:f>
        <x:v>154.99065359768275</x:v>
      </x:c>
      <x:c r="AL1035" s="32" t="n">
        <x:f>H1035*v01_RoleScale*Arch_Roles*AE1035*INDEX(v01_MonasteryPerSett,G1035)*v01_OutMonastery*INDEX(LM_Monastery,G1035)</x:f>
        <x:v>5.034282471216728</x:v>
      </x:c>
      <x:c r="AM1035" s="32" t="n">
        <x:f>(AJ1035+AK1035+AL1035)/4*INDEX(LM_All,G1035)*INDEX(v01_Boon,G1035)*Arch_Insight</x:f>
        <x:v>338.070341336227</x:v>
      </x:c>
      <x:c r="AN1035" s="32" t="n">
        <x:f>H1035*(v01_KHPerAdult*Z1035+v01_KHOfCommons*AJ1035/4*INDEX(LM_All,G1035))*v01_KHUsable*Arch_KH</x:f>
        <x:v>51.40851316554166</x:v>
      </x:c>
      <x:c r="AO1035" s="32" t="n">
        <x:f>MIN(AP1034+AN1035,AM1035*v01_KHMaxRatio)</x:f>
        <x:v>51.40851316554166</x:v>
      </x:c>
      <x:c r="AP1035" s="32" t="n">
        <x:f>AP1034+AN1035-AO1035</x:f>
        <x:v>0</x:v>
      </x:c>
      <x:c r="AQ1035" s="32" t="n">
        <x:f>AM1035+AO1035</x:f>
        <x:v>389.47885450176864</x:v>
      </x:c>
      <x:c r="AR1035" s="10" t="n">
        <x:f>IF(H1035=1,INDEX(v01_Req,G1035),0)</x:f>
        <x:v>47951.22698</x:v>
      </x:c>
      <x:c r="AS1035" s="32" t="n">
        <x:f>IF(H1035=1,IF(E1035=1,AS1034-AR1034,AS1034)+AQ1035,0)</x:f>
        <x:v>4290.637101888666</x:v>
      </x:c>
      <x:c r="AT1035" s="11" t="n">
        <x:f>IF(AR1035&gt;0,MIN(1,AS1035/AR1035),1)</x:f>
        <x:v>0.08947919317431126</x:v>
      </x:c>
      <x:c r="AU1035" s="10" t="n">
        <x:f>AB1035/INDEX(v01_RepScale,G1035)</x:f>
        <x:v>138.1115076486762</x:v>
      </x:c>
      <x:c r="AV1035" s="32" t="n">
        <x:f>AM1035*60/v01_SeasonSeconds</x:f>
        <x:v>1352.281365344908</x:v>
      </x:c>
    </x:row>
    <x:row r="1036">
      <x:c r="A1036" s="8" t="n">
        <x:f>A1035+1</x:f>
        <x:v>1033</x:v>
      </x:c>
      <x:c r="B1036" s="9" t="n">
        <x:f>A1036*v01_SeasonSeconds/60</x:f>
        <x:v>258.25</x:v>
      </x:c>
      <x:c r="C1036" s="9" t="n">
        <x:f>A1036/4</x:f>
        <x:v>258.25</x:v>
      </x:c>
      <x:c r="D1036" s="8" t="n">
        <x:f>IF(MOD(A1036,4)=0,1,0)</x:f>
        <x:v>0</x:v>
      </x:c>
      <x:c r="E1036" s="8" t="n">
        <x:f>IF(AND(F1035&lt;=9,AS1035&gt;=AR1035),1,0)</x:f>
        <x:v>0</x:v>
      </x:c>
      <x:c r="F1036" s="8" t="n">
        <x:f>MIN(10,F1035+E1036)</x:f>
        <x:v>5</x:v>
      </x:c>
      <x:c r="G1036" s="8" t="n">
        <x:f>MIN(F1036,9)+1</x:f>
        <x:v>6</x:v>
      </x:c>
      <x:c r="H1036" s="8" t="n">
        <x:f>IF(F1036&lt;=9,1,0)</x:f>
        <x:v>1</x:v>
      </x:c>
      <x:c r="I1036" s="9" t="n">
        <x:f>MIN(10,F1035+IF(AR1035&gt;0,MIN(1,AS1035/AR1035),1))</x:f>
        <x:v>5.089479193174311</x:v>
      </x:c>
      <x:c r="J1036" s="32" t="n">
        <x:f>INDEX(v01_FoodCap,G1036)*Arch_FoodCap*EXP(v01_CapsByProject*SUMPRODUCT((Cap_Point&lt;=I1036)*(Cap_Kind="Food")*Cap_Ln))</x:f>
        <x:v>500</x:v>
      </x:c>
      <x:c r="K1036" s="32" t="n">
        <x:f>J1036*MIN(1,v01_LeanBase*EXP(v01_CapsByProject*SUMPRODUCT((Cap_Point&lt;=I1036)*(Cap_Kind="Lean")*Cap_Ln)))</x:f>
        <x:v>500</x:v>
      </x:c>
      <x:c r="L1036" s="10" t="n">
        <x:f>INDEX(v01_HousingCap,G1036)*EXP(v01_CapsByProject*SUMPRODUCT((Cap_Point&lt;=I1036)*(Cap_Kind="Housing")*Cap_Ln))</x:f>
        <x:v>800</x:v>
      </x:c>
      <x:c r="M1036" s="10" t="n">
        <x:f>INDEX(v01_GroupCap,G1036)*v01_CohesionFactor*EXP(v01_CapsByProject*SUMPRODUCT((Cap_Point&lt;=I1036)*(Cap_Kind="Group")*Cap_Ln))</x:f>
        <x:v>10000</x:v>
      </x:c>
      <x:c r="N1036" s="32" t="n">
        <x:f>MIN(J1036,L1036,M1036)</x:f>
        <x:v>500</x:v>
      </x:c>
      <x:c r="O1036" s="10" t="n">
        <x:f>AE1035*N1036</x:f>
        <x:v>8000</x:v>
      </x:c>
      <x:c r="P1036" s="9" t="n">
        <x:f>MIN(1,(AB1035/(AE1035*IF(v01_GroupInCrowding=1,N1036,MIN(J1036,L1036))))^v01_CrowdingExp)</x:f>
        <x:v>0.0064636722506485975</x:v>
      </x:c>
      <x:c r="Q1036" s="9" t="n">
        <x:f>IF(D1036=1,INDEX(v01_WinterMult,G1036),1)</x:f>
        <x:v>1</x:v>
      </x:c>
      <x:c r="R1036" s="9" t="n">
        <x:f>H1036*Z1035*v01_WomenShare*v01_BaseFertility*INDEX(v01_FertMult,G1036)*Arch_Fertility*(1-P1036)</x:f>
        <x:v>48.15758393494381</x:v>
      </x:c>
      <x:c r="S1036" s="9" t="n">
        <x:f>H1036*Y1035*INDEX(v01_MortChild,G1036)/4*Q1036</x:f>
        <x:v>9.006020671434532</x:v>
      </x:c>
      <x:c r="T1036" s="9" t="n">
        <x:f>H1036*Z1035*INDEX(v01_MortAdult,G1036)*Arch_AdultMort/4*Q1036</x:f>
        <x:v>3.672036654681548</x:v>
      </x:c>
      <x:c r="U1036" s="9" t="n">
        <x:f>H1036*AA1035*INDEX(v01_MortElder,G1036)/4*Q1036</x:f>
        <x:v>8.145145828721411</x:v>
      </x:c>
      <x:c r="V1036" s="9" t="n">
        <x:f>H1036*MAX(0,AB1035-O1036)*v01_OvercapLoss</x:f>
        <x:v>0</x:v>
      </x:c>
      <x:c r="W1036" s="9" t="n">
        <x:f>H1036*Y1035/(v01_ChildYears*4)</x:f>
        <x:v>25.731487632670092</x:v>
      </x:c>
      <x:c r="X1036" s="9" t="n">
        <x:f>H1036*Z1035/(v01_AdultYears*4)</x:f>
        <x:v>11.8452795312308</x:v>
      </x:c>
      <x:c r="Y1036" s="32" t="n">
        <x:f>Y1035+R1036-S1036-W1036-Y1035*V1036/AB1035</x:f>
        <x:v>1454.3833830603646</x:v>
      </x:c>
      <x:c r="Z1036" s="32" t="n">
        <x:f>Z1035+W1036-X1036-T1036-Z1035*V1036/AB1035</x:f>
        <x:v>1479.0288333193769</x:v>
      </x:c>
      <x:c r="AA1036" s="32" t="n">
        <x:f>AA1035+X1036-U1036-AA1035*V1036/AB1035</x:f>
        <x:v>546.7098556172701</x:v>
      </x:c>
      <x:c r="AB1036" s="10" t="n">
        <x:f>Y1036+Z1036+AA1036</x:f>
        <x:v>3480.1220719970115</x:v>
      </x:c>
      <x:c r="AC1036" s="8" t="n">
        <x:f>IF(AND(v01_WinterTrigger=1,D1036=1,AB1035/AE1035&gt;=K1036),1,0)</x:f>
        <x:v>0</x:v>
      </x:c>
      <x:c r="AD1036" s="8" t="n">
        <x:f>H1036*IF(AND(OR(AB1035/AE1035&gt;=v01_FissionTrigger*N1036,AC1036=1),AB1035/AE1035*v01_DaughterShare&gt;=v01_MinDaughter),MAX(1,ROUND(AE1035*v01_FissionRate,0)),0)</x:f>
        <x:v>0</x:v>
      </x:c>
      <x:c r="AE1036" s="8" t="n">
        <x:f>IF(H1036=1,MAX(1,MIN(INDEX(v01_Smax,G1036),AE1035+AD1036)),AE1035)</x:f>
        <x:v>16</x:v>
      </x:c>
      <x:c r="AF1036" s="8" t="n">
        <x:f>MAX(0,AE1036-AE1035)</x:f>
        <x:v>0</x:v>
      </x:c>
      <x:c r="AG1036" s="9" t="str">
        <x:f>IF(AF1036&gt;0,B1036,"")</x:f>
      </x:c>
      <x:c r="AH1036" s="9" t="n">
        <x:f>IF(F1036&gt;=1,1,(1+v01_LowTiesShare*(AE1036-1))/AE1036)</x:f>
        <x:v>1</x:v>
      </x:c>
      <x:c r="AI1036" s="32" t="n">
        <x:f>(Z1036+v01_ElderCommons*INDEX(LM_Elder,G1036)*AA1036)*AH1036</x:f>
        <x:v>3312.749435013344</x:v>
      </x:c>
      <x:c r="AJ1036" s="32" t="n">
        <x:f>H1036*v01_CommonsCoef*AI1036^v01_CommonsExp*INDEX(LM_Commons,G1036)</x:f>
        <x:v>782.6928657833672</x:v>
      </x:c>
      <x:c r="AK1036" s="32" t="n">
        <x:f>H1036*v01_RoleScale*Arch_Roles*(AE1036*(INDEX(v01_ElderRolePerSett,G1036)*v01_OutElder*INDEX(LM_Elder,G1036)+INDEX(v01_ShamanPerSett,G1036)*v01_OutShaman)+Z1036*(INDEX(v01_PriestShare,G1036)*v01_OutPriest+INDEX(v01_ScribeShare,G1036)*v01_OutScribe*INDEX(LM_Scribe,G1036)+INDEX(v01_ScholarShare,G1036)*v01_OutScholar*INDEX(LM_Scholar,G1036)+INDEX(v01_ResearcherShare,G1036)*v01_OutResearcher*INDEX(LM_Researcher,G1036)))</x:f>
        <x:v>155.71496963368128</x:v>
      </x:c>
      <x:c r="AL1036" s="32" t="n">
        <x:f>H1036*v01_RoleScale*Arch_Roles*AE1036*INDEX(v01_MonasteryPerSett,G1036)*v01_OutMonastery*INDEX(LM_Monastery,G1036)</x:f>
        <x:v>5.034282471216728</x:v>
      </x:c>
      <x:c r="AM1036" s="32" t="n">
        <x:f>(AJ1036+AK1036+AL1036)/4*INDEX(LM_All,G1036)*INDEX(v01_Boon,G1036)*Arch_Insight</x:f>
        <x:v>339.9695003034408</x:v>
      </x:c>
      <x:c r="AN1036" s="32" t="n">
        <x:f>H1036*(v01_KHPerAdult*Z1036+v01_KHOfCommons*AJ1036/4*INDEX(LM_All,G1036))*v01_KHUsable*Arch_KH</x:f>
        <x:v>51.766009166178186</x:v>
      </x:c>
      <x:c r="AO1036" s="32" t="n">
        <x:f>MIN(AP1035+AN1036,AM1036*v01_KHMaxRatio)</x:f>
        <x:v>51.766009166178186</x:v>
      </x:c>
      <x:c r="AP1036" s="32" t="n">
        <x:f>AP1035+AN1036-AO1036</x:f>
        <x:v>0</x:v>
      </x:c>
      <x:c r="AQ1036" s="32" t="n">
        <x:f>AM1036+AO1036</x:f>
        <x:v>391.735509469619</x:v>
      </x:c>
      <x:c r="AR1036" s="10" t="n">
        <x:f>IF(H1036=1,INDEX(v01_Req,G1036),0)</x:f>
        <x:v>47951.22698</x:v>
      </x:c>
      <x:c r="AS1036" s="32" t="n">
        <x:f>IF(H1036=1,IF(E1036=1,AS1035-AR1035,AS1035)+AQ1036,0)</x:f>
        <x:v>4682.372611358284</x:v>
      </x:c>
      <x:c r="AT1036" s="11" t="n">
        <x:f>IF(AR1036&gt;0,MIN(1,AS1036/AR1036),1)</x:f>
        <x:v>0.09764865064477406</x:v>
      </x:c>
      <x:c r="AU1036" s="10" t="n">
        <x:f>AB1036/INDEX(v01_RepScale,G1036)</x:f>
        <x:v>139.20488287988047</x:v>
      </x:c>
      <x:c r="AV1036" s="32" t="n">
        <x:f>AM1036*60/v01_SeasonSeconds</x:f>
        <x:v>1359.878001213763</x:v>
      </x:c>
    </x:row>
    <x:row r="1037">
      <x:c r="A1037" s="8" t="n">
        <x:f>A1036+1</x:f>
        <x:v>1034</x:v>
      </x:c>
      <x:c r="B1037" s="9" t="n">
        <x:f>A1037*v01_SeasonSeconds/60</x:f>
        <x:v>258.5</x:v>
      </x:c>
      <x:c r="C1037" s="9" t="n">
        <x:f>A1037/4</x:f>
        <x:v>258.5</x:v>
      </x:c>
      <x:c r="D1037" s="8" t="n">
        <x:f>IF(MOD(A1037,4)=0,1,0)</x:f>
        <x:v>0</x:v>
      </x:c>
      <x:c r="E1037" s="8" t="n">
        <x:f>IF(AND(F1036&lt;=9,AS1036&gt;=AR1036),1,0)</x:f>
        <x:v>0</x:v>
      </x:c>
      <x:c r="F1037" s="8" t="n">
        <x:f>MIN(10,F1036+E1037)</x:f>
        <x:v>5</x:v>
      </x:c>
      <x:c r="G1037" s="8" t="n">
        <x:f>MIN(F1037,9)+1</x:f>
        <x:v>6</x:v>
      </x:c>
      <x:c r="H1037" s="8" t="n">
        <x:f>IF(F1037&lt;=9,1,0)</x:f>
        <x:v>1</x:v>
      </x:c>
      <x:c r="I1037" s="9" t="n">
        <x:f>MIN(10,F1036+IF(AR1036&gt;0,MIN(1,AS1036/AR1036),1))</x:f>
        <x:v>5.097648650644774</x:v>
      </x:c>
      <x:c r="J1037" s="32" t="n">
        <x:f>INDEX(v01_FoodCap,G1037)*Arch_FoodCap*EXP(v01_CapsByProject*SUMPRODUCT((Cap_Point&lt;=I1037)*(Cap_Kind="Food")*Cap_Ln))</x:f>
        <x:v>500</x:v>
      </x:c>
      <x:c r="K1037" s="32" t="n">
        <x:f>J1037*MIN(1,v01_LeanBase*EXP(v01_CapsByProject*SUMPRODUCT((Cap_Point&lt;=I1037)*(Cap_Kind="Lean")*Cap_Ln)))</x:f>
        <x:v>500</x:v>
      </x:c>
      <x:c r="L1037" s="10" t="n">
        <x:f>INDEX(v01_HousingCap,G1037)*EXP(v01_CapsByProject*SUMPRODUCT((Cap_Point&lt;=I1037)*(Cap_Kind="Housing")*Cap_Ln))</x:f>
        <x:v>800</x:v>
      </x:c>
      <x:c r="M1037" s="10" t="n">
        <x:f>INDEX(v01_GroupCap,G1037)*v01_CohesionFactor*EXP(v01_CapsByProject*SUMPRODUCT((Cap_Point&lt;=I1037)*(Cap_Kind="Group")*Cap_Ln))</x:f>
        <x:v>10000</x:v>
      </x:c>
      <x:c r="N1037" s="32" t="n">
        <x:f>MIN(J1037,L1037,M1037)</x:f>
        <x:v>500</x:v>
      </x:c>
      <x:c r="O1037" s="10" t="n">
        <x:f>AE1036*N1037</x:f>
        <x:v>8000</x:v>
      </x:c>
      <x:c r="P1037" s="9" t="n">
        <x:f>MIN(1,(AB1036/(AE1036*IF(v01_GroupInCrowding=1,N1037,MIN(J1037,L1037))))^v01_CrowdingExp)</x:f>
        <x:v>0.006776835529196808</x:v>
      </x:c>
      <x:c r="Q1037" s="9" t="n">
        <x:f>IF(D1037=1,INDEX(v01_WinterMult,G1037),1)</x:f>
        <x:v>1</x:v>
      </x:c>
      <x:c r="R1037" s="9" t="n">
        <x:f>H1037*Z1036*v01_WomenShare*v01_BaseFertility*INDEX(v01_FertMult,G1037)*Arch_Fertility*(1-P1037)</x:f>
        <x:v>48.47718803971005</x:v>
      </x:c>
      <x:c r="S1037" s="9" t="n">
        <x:f>H1037*Y1036*INDEX(v01_MortChild,G1037)/4*Q1037</x:f>
        <x:v>9.089896144127279</x:v>
      </x:c>
      <x:c r="T1037" s="9" t="n">
        <x:f>H1037*Z1036*INDEX(v01_MortAdult,G1037)*Arch_AdultMort/4*Q1037</x:f>
        <x:v>3.6975720832984424</x:v>
      </x:c>
      <x:c r="U1037" s="9" t="n">
        <x:f>H1037*AA1036*INDEX(v01_MortElder,G1037)/4*Q1037</x:f>
        <x:v>8.200647834259051</x:v>
      </x:c>
      <x:c r="V1037" s="9" t="n">
        <x:f>H1037*MAX(0,AB1036-O1037)*v01_OvercapLoss</x:f>
        <x:v>0</x:v>
      </x:c>
      <x:c r="W1037" s="9" t="n">
        <x:f>H1037*Y1036/(v01_ChildYears*4)</x:f>
        <x:v>25.971131840363654</x:v>
      </x:c>
      <x:c r="X1037" s="9" t="n">
        <x:f>H1037*Z1036/(v01_AdultYears*4)</x:f>
        <x:v>11.927651881607877</x:v>
      </x:c>
      <x:c r="Y1037" s="32" t="n">
        <x:f>Y1036+R1037-S1037-W1037-Y1036*V1037/AB1036</x:f>
        <x:v>1467.7995431155837</x:v>
      </x:c>
      <x:c r="Z1037" s="32" t="n">
        <x:f>Z1036+W1037-X1037-T1037-Z1036*V1037/AB1036</x:f>
        <x:v>1489.374741194834</x:v>
      </x:c>
      <x:c r="AA1037" s="32" t="n">
        <x:f>AA1036+X1037-U1037-AA1036*V1037/AB1036</x:f>
        <x:v>550.436859664619</x:v>
      </x:c>
      <x:c r="AB1037" s="10" t="n">
        <x:f>Y1037+Z1037+AA1037</x:f>
        <x:v>3507.6111439750366</x:v>
      </x:c>
      <x:c r="AC1037" s="8" t="n">
        <x:f>IF(AND(v01_WinterTrigger=1,D1037=1,AB1036/AE1036&gt;=K1037),1,0)</x:f>
        <x:v>0</x:v>
      </x:c>
      <x:c r="AD1037" s="8" t="n">
        <x:f>H1037*IF(AND(OR(AB1036/AE1036&gt;=v01_FissionTrigger*N1037,AC1037=1),AB1036/AE1036*v01_DaughterShare&gt;=v01_MinDaughter),MAX(1,ROUND(AE1036*v01_FissionRate,0)),0)</x:f>
        <x:v>0</x:v>
      </x:c>
      <x:c r="AE1037" s="8" t="n">
        <x:f>IF(H1037=1,MAX(1,MIN(INDEX(v01_Smax,G1037),AE1036+AD1037)),AE1036)</x:f>
        <x:v>16</x:v>
      </x:c>
      <x:c r="AF1037" s="8" t="n">
        <x:f>MAX(0,AE1037-AE1036)</x:f>
        <x:v>0</x:v>
      </x:c>
      <x:c r="AG1037" s="9" t="str">
        <x:f>IF(AF1037&gt;0,B1037,"")</x:f>
      </x:c>
      <x:c r="AH1037" s="9" t="n">
        <x:f>IF(F1037&gt;=1,1,(1+v01_LowTiesShare*(AE1037-1))/AE1037)</x:f>
        <x:v>1</x:v>
      </x:c>
      <x:c r="AI1037" s="32" t="n">
        <x:f>(Z1037+v01_ElderCommons*INDEX(LM_Elder,G1037)*AA1037)*AH1037</x:f>
        <x:v>3335.5960944922344</x:v>
      </x:c>
      <x:c r="AJ1037" s="32" t="n">
        <x:f>H1037*v01_CommonsCoef*AI1037^v01_CommonsExp*INDEX(LM_Commons,G1037)</x:f>
        <x:v>787.2787207850314</x:v>
      </x:c>
      <x:c r="AK1037" s="32" t="n">
        <x:f>H1037*v01_RoleScale*Arch_Roles*(AE1037*(INDEX(v01_ElderRolePerSett,G1037)*v01_OutElder*INDEX(LM_Elder,G1037)+INDEX(v01_ShamanPerSett,G1037)*v01_OutShaman)+Z1037*(INDEX(v01_PriestShare,G1037)*v01_OutPriest+INDEX(v01_ScribeShare,G1037)*v01_OutScribe*INDEX(LM_Scribe,G1037)+INDEX(v01_ScholarShare,G1037)*v01_OutScholar*INDEX(LM_Scholar,G1037)+INDEX(v01_ResearcherShare,G1037)*v01_OutResearcher*INDEX(LM_Researcher,G1037)))</x:f>
        <x:v>156.44862747565298</x:v>
      </x:c>
      <x:c r="AL1037" s="32" t="n">
        <x:f>H1037*v01_RoleScale*Arch_Roles*AE1037*INDEX(v01_MonasteryPerSett,G1037)*v01_OutMonastery*INDEX(LM_Monastery,G1037)</x:f>
        <x:v>5.034282471216728</x:v>
      </x:c>
      <x:c r="AM1037" s="32" t="n">
        <x:f>(AJ1037+AK1037+AL1037)/4*INDEX(LM_All,G1037)*INDEX(v01_Boon,G1037)*Arch_Insight</x:f>
        <x:v>341.8863875072436</x:v>
      </x:c>
      <x:c r="AN1037" s="32" t="n">
        <x:f>H1037*(v01_KHPerAdult*Z1037+v01_KHOfCommons*AJ1037/4*INDEX(LM_All,G1037))*v01_KHUsable*Arch_KH</x:f>
        <x:v>52.128115941819196</x:v>
      </x:c>
      <x:c r="AO1037" s="32" t="n">
        <x:f>MIN(AP1036+AN1037,AM1037*v01_KHMaxRatio)</x:f>
        <x:v>52.128115941819196</x:v>
      </x:c>
      <x:c r="AP1037" s="32" t="n">
        <x:f>AP1036+AN1037-AO1037</x:f>
        <x:v>0</x:v>
      </x:c>
      <x:c r="AQ1037" s="32" t="n">
        <x:f>AM1037+AO1037</x:f>
        <x:v>394.01450344906283</x:v>
      </x:c>
      <x:c r="AR1037" s="10" t="n">
        <x:f>IF(H1037=1,INDEX(v01_Req,G1037),0)</x:f>
        <x:v>47951.22698</x:v>
      </x:c>
      <x:c r="AS1037" s="32" t="n">
        <x:f>IF(H1037=1,IF(E1037=1,AS1036-AR1036,AS1036)+AQ1037,0)</x:f>
        <x:v>5076.387114807347</x:v>
      </x:c>
      <x:c r="AT1037" s="11" t="n">
        <x:f>IF(AR1037&gt;0,MIN(1,AS1037/AR1037),1)</x:f>
        <x:v>0.10586563544921718</x:v>
      </x:c>
      <x:c r="AU1037" s="10" t="n">
        <x:f>AB1037/INDEX(v01_RepScale,G1037)</x:f>
        <x:v>140.30444575900145</x:v>
      </x:c>
      <x:c r="AV1037" s="32" t="n">
        <x:f>AM1037*60/v01_SeasonSeconds</x:f>
        <x:v>1367.5455500289745</x:v>
      </x:c>
    </x:row>
    <x:row r="1038">
      <x:c r="A1038" s="8" t="n">
        <x:f>A1037+1</x:f>
        <x:v>1035</x:v>
      </x:c>
      <x:c r="B1038" s="9" t="n">
        <x:f>A1038*v01_SeasonSeconds/60</x:f>
        <x:v>258.75</x:v>
      </x:c>
      <x:c r="C1038" s="9" t="n">
        <x:f>A1038/4</x:f>
        <x:v>258.75</x:v>
      </x:c>
      <x:c r="D1038" s="8" t="n">
        <x:f>IF(MOD(A1038,4)=0,1,0)</x:f>
        <x:v>0</x:v>
      </x:c>
      <x:c r="E1038" s="8" t="n">
        <x:f>IF(AND(F1037&lt;=9,AS1037&gt;=AR1037),1,0)</x:f>
        <x:v>0</x:v>
      </x:c>
      <x:c r="F1038" s="8" t="n">
        <x:f>MIN(10,F1037+E1038)</x:f>
        <x:v>5</x:v>
      </x:c>
      <x:c r="G1038" s="8" t="n">
        <x:f>MIN(F1038,9)+1</x:f>
        <x:v>6</x:v>
      </x:c>
      <x:c r="H1038" s="8" t="n">
        <x:f>IF(F1038&lt;=9,1,0)</x:f>
        <x:v>1</x:v>
      </x:c>
      <x:c r="I1038" s="9" t="n">
        <x:f>MIN(10,F1037+IF(AR1037&gt;0,MIN(1,AS1037/AR1037),1))</x:f>
        <x:v>5.105865635449217</x:v>
      </x:c>
      <x:c r="J1038" s="32" t="n">
        <x:f>INDEX(v01_FoodCap,G1038)*Arch_FoodCap*EXP(v01_CapsByProject*SUMPRODUCT((Cap_Point&lt;=I1038)*(Cap_Kind="Food")*Cap_Ln))</x:f>
        <x:v>500</x:v>
      </x:c>
      <x:c r="K1038" s="32" t="n">
        <x:f>J1038*MIN(1,v01_LeanBase*EXP(v01_CapsByProject*SUMPRODUCT((Cap_Point&lt;=I1038)*(Cap_Kind="Lean")*Cap_Ln)))</x:f>
        <x:v>500</x:v>
      </x:c>
      <x:c r="L1038" s="10" t="n">
        <x:f>INDEX(v01_HousingCap,G1038)*EXP(v01_CapsByProject*SUMPRODUCT((Cap_Point&lt;=I1038)*(Cap_Kind="Housing")*Cap_Ln))</x:f>
        <x:v>800</x:v>
      </x:c>
      <x:c r="M1038" s="10" t="n">
        <x:f>INDEX(v01_GroupCap,G1038)*v01_CohesionFactor*EXP(v01_CapsByProject*SUMPRODUCT((Cap_Point&lt;=I1038)*(Cap_Kind="Group")*Cap_Ln))</x:f>
        <x:v>10000</x:v>
      </x:c>
      <x:c r="N1038" s="32" t="n">
        <x:f>MIN(J1038,L1038,M1038)</x:f>
        <x:v>500</x:v>
      </x:c>
      <x:c r="O1038" s="10" t="n">
        <x:f>AE1037*N1038</x:f>
        <x:v>8000</x:v>
      </x:c>
      <x:c r="P1038" s="9" t="n">
        <x:f>MIN(1,(AB1037/(AE1037*IF(v01_GroupInCrowding=1,N1038,MIN(J1038,L1038))))^v01_CrowdingExp)</x:f>
        <x:v>0.007104421587209686</x:v>
      </x:c>
      <x:c r="Q1038" s="9" t="n">
        <x:f>IF(D1038=1,INDEX(v01_WinterMult,G1038),1)</x:f>
        <x:v>1</x:v>
      </x:c>
      <x:c r="R1038" s="9" t="n">
        <x:f>H1038*Z1037*v01_WomenShare*v01_BaseFertility*INDEX(v01_FertMult,G1038)*Arch_Fertility*(1-P1038)</x:f>
        <x:v>48.80018863935747</x:v>
      </x:c>
      <x:c r="S1038" s="9" t="n">
        <x:f>H1038*Y1037*INDEX(v01_MortChild,G1038)/4*Q1038</x:f>
        <x:v>9.173747144472399</x:v>
      </x:c>
      <x:c r="T1038" s="9" t="n">
        <x:f>H1038*Z1037*INDEX(v01_MortAdult,G1038)*Arch_AdultMort/4*Q1038</x:f>
        <x:v>3.7234368529870854</x:v>
      </x:c>
      <x:c r="U1038" s="9" t="n">
        <x:f>H1038*AA1037*INDEX(v01_MortElder,G1038)/4*Q1038</x:f>
        <x:v>8.256552894969284</x:v>
      </x:c>
      <x:c r="V1038" s="9" t="n">
        <x:f>H1038*MAX(0,AB1037-O1038)*v01_OvercapLoss</x:f>
        <x:v>0</x:v>
      </x:c>
      <x:c r="W1038" s="9" t="n">
        <x:f>H1038*Y1037/(v01_ChildYears*4)</x:f>
        <x:v>26.210706127063993</x:v>
      </x:c>
      <x:c r="X1038" s="9" t="n">
        <x:f>H1038*Z1037/(v01_AdultYears*4)</x:f>
        <x:v>12.011086622538985</x:v>
      </x:c>
      <x:c r="Y1038" s="32" t="n">
        <x:f>Y1037+R1038-S1038-W1038-Y1037*V1038/AB1037</x:f>
        <x:v>1481.2152784834047</x:v>
      </x:c>
      <x:c r="Z1038" s="32" t="n">
        <x:f>Z1037+W1038-X1038-T1038-Z1037*V1038/AB1037</x:f>
        <x:v>1499.8509238463719</x:v>
      </x:c>
      <x:c r="AA1038" s="32" t="n">
        <x:f>AA1037+X1038-U1038-AA1037*V1038/AB1037</x:f>
        <x:v>554.1913933921886</x:v>
      </x:c>
      <x:c r="AB1038" s="10" t="n">
        <x:f>Y1038+Z1038+AA1038</x:f>
        <x:v>3535.257595721965</x:v>
      </x:c>
      <x:c r="AC1038" s="8" t="n">
        <x:f>IF(AND(v01_WinterTrigger=1,D1038=1,AB1037/AE1037&gt;=K1038),1,0)</x:f>
        <x:v>0</x:v>
      </x:c>
      <x:c r="AD1038" s="8" t="n">
        <x:f>H1038*IF(AND(OR(AB1037/AE1037&gt;=v01_FissionTrigger*N1038,AC1038=1),AB1037/AE1037*v01_DaughterShare&gt;=v01_MinDaughter),MAX(1,ROUND(AE1037*v01_FissionRate,0)),0)</x:f>
        <x:v>0</x:v>
      </x:c>
      <x:c r="AE1038" s="8" t="n">
        <x:f>IF(H1038=1,MAX(1,MIN(INDEX(v01_Smax,G1038),AE1037+AD1038)),AE1037)</x:f>
        <x:v>16</x:v>
      </x:c>
      <x:c r="AF1038" s="8" t="n">
        <x:f>MAX(0,AE1038-AE1037)</x:f>
        <x:v>0</x:v>
      </x:c>
      <x:c r="AG1038" s="9" t="str">
        <x:f>IF(AF1038&gt;0,B1038,"")</x:f>
      </x:c>
      <x:c r="AH1038" s="9" t="n">
        <x:f>IF(F1038&gt;=1,1,(1+v01_LowTiesShare*(AE1038-1))/AE1038)</x:f>
        <x:v>1</x:v>
      </x:c>
      <x:c r="AI1038" s="32" t="n">
        <x:f>(Z1038+v01_ElderCommons*INDEX(LM_Elder,G1038)*AA1038)*AH1038</x:f>
        <x:v>3358.6653661017644</x:v>
      </x:c>
      <x:c r="AJ1038" s="32" t="n">
        <x:f>H1038*v01_CommonsCoef*AI1038^v01_CommonsExp*INDEX(LM_Commons,G1038)</x:f>
        <x:v>791.9044811432748</x:v>
      </x:c>
      <x:c r="AK1038" s="32" t="n">
        <x:f>H1038*v01_RoleScale*Arch_Roles*(AE1038*(INDEX(v01_ElderRolePerSett,G1038)*v01_OutElder*INDEX(LM_Elder,G1038)+INDEX(v01_ShamanPerSett,G1038)*v01_OutShaman)+Z1038*(INDEX(v01_PriestShare,G1038)*v01_OutPriest+INDEX(v01_ScribeShare,G1038)*v01_OutScribe*INDEX(LM_Scribe,G1038)+INDEX(v01_ScholarShare,G1038)*v01_OutScholar*INDEX(LM_Scholar,G1038)+INDEX(v01_ResearcherShare,G1038)*v01_OutResearcher*INDEX(LM_Researcher,G1038)))</x:f>
        <x:v>157.19152347364093</x:v>
      </x:c>
      <x:c r="AL1038" s="32" t="n">
        <x:f>H1038*v01_RoleScale*Arch_Roles*AE1038*INDEX(v01_MonasteryPerSett,G1038)*v01_OutMonastery*INDEX(LM_Monastery,G1038)</x:f>
        <x:v>5.034282471216728</x:v>
      </x:c>
      <x:c r="AM1038" s="32" t="n">
        <x:f>(AJ1038+AK1038+AL1038)/4*INDEX(LM_All,G1038)*INDEX(v01_Boon,G1038)*Arch_Insight</x:f>
        <x:v>343.8209835827444</x:v>
      </x:c>
      <x:c r="AN1038" s="32" t="n">
        <x:f>H1038*(v01_KHPerAdult*Z1038+v01_KHOfCommons*AJ1038/4*INDEX(LM_All,G1038))*v01_KHUsable*Arch_KH</x:f>
        <x:v>52.49478233462302</x:v>
      </x:c>
      <x:c r="AO1038" s="32" t="n">
        <x:f>MIN(AP1037+AN1038,AM1038*v01_KHMaxRatio)</x:f>
        <x:v>52.49478233462302</x:v>
      </x:c>
      <x:c r="AP1038" s="32" t="n">
        <x:f>AP1037+AN1038-AO1038</x:f>
        <x:v>0</x:v>
      </x:c>
      <x:c r="AQ1038" s="32" t="n">
        <x:f>AM1038+AO1038</x:f>
        <x:v>396.31576591736746</x:v>
      </x:c>
      <x:c r="AR1038" s="10" t="n">
        <x:f>IF(H1038=1,INDEX(v01_Req,G1038),0)</x:f>
        <x:v>47951.22698</x:v>
      </x:c>
      <x:c r="AS1038" s="32" t="n">
        <x:f>IF(H1038=1,IF(E1038=1,AS1037-AR1037,AS1037)+AQ1038,0)</x:f>
        <x:v>5472.702880724714</x:v>
      </x:c>
      <x:c r="AT1038" s="11" t="n">
        <x:f>IF(AR1038&gt;0,MIN(1,AS1038/AR1038),1)</x:f>
        <x:v>0.11413061198636953</x:v>
      </x:c>
      <x:c r="AU1038" s="10" t="n">
        <x:f>AB1038/INDEX(v01_RepScale,G1038)</x:f>
        <x:v>141.4103038288786</x:v>
      </x:c>
      <x:c r="AV1038" s="32" t="n">
        <x:f>AM1038*60/v01_SeasonSeconds</x:f>
        <x:v>1375.2839343309777</x:v>
      </x:c>
    </x:row>
    <x:row r="1039">
      <x:c r="A1039" s="8" t="n">
        <x:f>A1038+1</x:f>
        <x:v>1036</x:v>
      </x:c>
      <x:c r="B1039" s="9" t="n">
        <x:f>A1039*v01_SeasonSeconds/60</x:f>
        <x:v>259</x:v>
      </x:c>
      <x:c r="C1039" s="9" t="n">
        <x:f>A1039/4</x:f>
        <x:v>259</x:v>
      </x:c>
      <x:c r="D1039" s="8" t="n">
        <x:f>IF(MOD(A1039,4)=0,1,0)</x:f>
        <x:v>1</x:v>
      </x:c>
      <x:c r="E1039" s="8" t="n">
        <x:f>IF(AND(F1038&lt;=9,AS1038&gt;=AR1038),1,0)</x:f>
        <x:v>0</x:v>
      </x:c>
      <x:c r="F1039" s="8" t="n">
        <x:f>MIN(10,F1038+E1039)</x:f>
        <x:v>5</x:v>
      </x:c>
      <x:c r="G1039" s="8" t="n">
        <x:f>MIN(F1039,9)+1</x:f>
        <x:v>6</x:v>
      </x:c>
      <x:c r="H1039" s="8" t="n">
        <x:f>IF(F1039&lt;=9,1,0)</x:f>
        <x:v>1</x:v>
      </x:c>
      <x:c r="I1039" s="9" t="n">
        <x:f>MIN(10,F1038+IF(AR1038&gt;0,MIN(1,AS1038/AR1038),1))</x:f>
        <x:v>5.114130611986369</x:v>
      </x:c>
      <x:c r="J1039" s="32" t="n">
        <x:f>INDEX(v01_FoodCap,G1039)*Arch_FoodCap*EXP(v01_CapsByProject*SUMPRODUCT((Cap_Point&lt;=I1039)*(Cap_Kind="Food")*Cap_Ln))</x:f>
        <x:v>500</x:v>
      </x:c>
      <x:c r="K1039" s="32" t="n">
        <x:f>J1039*MIN(1,v01_LeanBase*EXP(v01_CapsByProject*SUMPRODUCT((Cap_Point&lt;=I1039)*(Cap_Kind="Lean")*Cap_Ln)))</x:f>
        <x:v>500</x:v>
      </x:c>
      <x:c r="L1039" s="10" t="n">
        <x:f>INDEX(v01_HousingCap,G1039)*EXP(v01_CapsByProject*SUMPRODUCT((Cap_Point&lt;=I1039)*(Cap_Kind="Housing")*Cap_Ln))</x:f>
        <x:v>800</x:v>
      </x:c>
      <x:c r="M1039" s="10" t="n">
        <x:f>INDEX(v01_GroupCap,G1039)*v01_CohesionFactor*EXP(v01_CapsByProject*SUMPRODUCT((Cap_Point&lt;=I1039)*(Cap_Kind="Group")*Cap_Ln))</x:f>
        <x:v>10000</x:v>
      </x:c>
      <x:c r="N1039" s="32" t="n">
        <x:f>MIN(J1039,L1039,M1039)</x:f>
        <x:v>500</x:v>
      </x:c>
      <x:c r="O1039" s="10" t="n">
        <x:f>AE1038*N1039</x:f>
        <x:v>8000</x:v>
      </x:c>
      <x:c r="P1039" s="9" t="n">
        <x:f>MIN(1,(AB1038/(AE1038*IF(v01_GroupInCrowding=1,N1039,MIN(J1039,L1039))))^v01_CrowdingExp)</x:f>
        <x:v>0.007447087598072418</x:v>
      </x:c>
      <x:c r="Q1039" s="9" t="n">
        <x:f>IF(D1039=1,INDEX(v01_WinterMult,G1039),1)</x:f>
        <x:v>1</x:v>
      </x:c>
      <x:c r="R1039" s="9" t="n">
        <x:f>H1039*Z1038*v01_WomenShare*v01_BaseFertility*INDEX(v01_FertMult,G1039)*Arch_Fertility*(1-P1039)</x:f>
        <x:v>49.12648628687046</x:v>
      </x:c>
      <x:c r="S1039" s="9" t="n">
        <x:f>H1039*Y1038*INDEX(v01_MortChild,G1039)/4*Q1039</x:f>
        <x:v>9.25759549052128</x:v>
      </x:c>
      <x:c r="T1039" s="9" t="n">
        <x:f>H1039*Z1038*INDEX(v01_MortAdult,G1039)*Arch_AdultMort/4*Q1039</x:f>
        <x:v>3.7496273096159296</x:v>
      </x:c>
      <x:c r="U1039" s="9" t="n">
        <x:f>H1039*AA1038*INDEX(v01_MortElder,G1039)/4*Q1039</x:f>
        <x:v>8.312870900882828</x:v>
      </x:c>
      <x:c r="V1039" s="9" t="n">
        <x:f>H1039*MAX(0,AB1038-O1039)*v01_OvercapLoss</x:f>
        <x:v>0</x:v>
      </x:c>
      <x:c r="W1039" s="9" t="n">
        <x:f>H1039*Y1038/(v01_ChildYears*4)</x:f>
        <x:v>26.4502728300608</x:v>
      </x:c>
      <x:c r="X1039" s="9" t="n">
        <x:f>H1039*Z1038/(v01_AdultYears*4)</x:f>
        <x:v>12.095571966502998</x:v>
      </x:c>
      <x:c r="Y1039" s="32" t="n">
        <x:f>Y1038+R1039-S1039-W1039-Y1038*V1039/AB1038</x:f>
        <x:v>1494.633896449693</x:v>
      </x:c>
      <x:c r="Z1039" s="32" t="n">
        <x:f>Z1038+W1039-X1039-T1039-Z1038*V1039/AB1038</x:f>
        <x:v>1510.4559974003137</x:v>
      </x:c>
      <x:c r="AA1039" s="32" t="n">
        <x:f>AA1038+X1039-U1039-AA1038*V1039/AB1038</x:f>
        <x:v>557.9740944578089</x:v>
      </x:c>
      <x:c r="AB1039" s="10" t="n">
        <x:f>Y1039+Z1039+AA1039</x:f>
        <x:v>3563.0639883078156</x:v>
      </x:c>
      <x:c r="AC1039" s="8" t="n">
        <x:f>IF(AND(v01_WinterTrigger=1,D1039=1,AB1038/AE1038&gt;=K1039),1,0)</x:f>
        <x:v>0</x:v>
      </x:c>
      <x:c r="AD1039" s="8" t="n">
        <x:f>H1039*IF(AND(OR(AB1038/AE1038&gt;=v01_FissionTrigger*N1039,AC1039=1),AB1038/AE1038*v01_DaughterShare&gt;=v01_MinDaughter),MAX(1,ROUND(AE1038*v01_FissionRate,0)),0)</x:f>
        <x:v>0</x:v>
      </x:c>
      <x:c r="AE1039" s="8" t="n">
        <x:f>IF(H1039=1,MAX(1,MIN(INDEX(v01_Smax,G1039),AE1038+AD1039)),AE1038)</x:f>
        <x:v>16</x:v>
      </x:c>
      <x:c r="AF1039" s="8" t="n">
        <x:f>MAX(0,AE1039-AE1038)</x:f>
        <x:v>0</x:v>
      </x:c>
      <x:c r="AG1039" s="9" t="str">
        <x:f>IF(AF1039&gt;0,B1039,"")</x:f>
      </x:c>
      <x:c r="AH1039" s="9" t="n">
        <x:f>IF(F1039&gt;=1,1,(1+v01_LowTiesShare*(AE1039-1))/AE1039)</x:f>
        <x:v>1</x:v>
      </x:c>
      <x:c r="AI1039" s="32" t="n">
        <x:f>(Z1039+v01_ElderCommons*INDEX(LM_Elder,G1039)*AA1039)*AH1039</x:f>
        <x:v>3381.9580047376376</x:v>
      </x:c>
      <x:c r="AJ1039" s="32" t="n">
        <x:f>H1039*v01_CommonsCoef*AI1039^v01_CommonsExp*INDEX(LM_Commons,G1039)</x:f>
        <x:v>796.570197454282</x:v>
      </x:c>
      <x:c r="AK1039" s="32" t="n">
        <x:f>H1039*v01_RoleScale*Arch_Roles*(AE1039*(INDEX(v01_ElderRolePerSett,G1039)*v01_OutElder*INDEX(LM_Elder,G1039)+INDEX(v01_ShamanPerSett,G1039)*v01_OutShaman)+Z1039*(INDEX(v01_PriestShare,G1039)*v01_OutPriest+INDEX(v01_ScribeShare,G1039)*v01_OutScribe*INDEX(LM_Scribe,G1039)+INDEX(v01_ScholarShare,G1039)*v01_OutScholar*INDEX(LM_Scholar,G1039)+INDEX(v01_ResearcherShare,G1039)*v01_OutResearcher*INDEX(LM_Researcher,G1039)))</x:f>
        <x:v>157.9435594932147</x:v>
      </x:c>
      <x:c r="AL1039" s="32" t="n">
        <x:f>H1039*v01_RoleScale*Arch_Roles*AE1039*INDEX(v01_MonasteryPerSett,G1039)*v01_OutMonastery*INDEX(LM_Monastery,G1039)</x:f>
        <x:v>5.034282471216728</x:v>
      </x:c>
      <x:c r="AM1039" s="32" t="n">
        <x:f>(AJ1039+AK1039+AL1039)/4*INDEX(LM_All,G1039)*INDEX(v01_Boon,G1039)*Arch_Insight</x:f>
        <x:v>345.77327139952973</x:v>
      </x:c>
      <x:c r="AN1039" s="32" t="n">
        <x:f>H1039*(v01_KHPerAdult*Z1039+v01_KHOfCommons*AJ1039/4*INDEX(LM_All,G1039))*v01_KHUsable*Arch_KH</x:f>
        <x:v>52.86595990901098</x:v>
      </x:c>
      <x:c r="AO1039" s="32" t="n">
        <x:f>MIN(AP1038+AN1039,AM1039*v01_KHMaxRatio)</x:f>
        <x:v>52.86595990901098</x:v>
      </x:c>
      <x:c r="AP1039" s="32" t="n">
        <x:f>AP1038+AN1039-AO1039</x:f>
        <x:v>0</x:v>
      </x:c>
      <x:c r="AQ1039" s="32" t="n">
        <x:f>AM1039+AO1039</x:f>
        <x:v>398.63923130854073</x:v>
      </x:c>
      <x:c r="AR1039" s="10" t="n">
        <x:f>IF(H1039=1,INDEX(v01_Req,G1039),0)</x:f>
        <x:v>47951.22698</x:v>
      </x:c>
      <x:c r="AS1039" s="32" t="n">
        <x:f>IF(H1039=1,IF(E1039=1,AS1038-AR1038,AS1038)+AQ1039,0)</x:f>
        <x:v>5871.342112033255</x:v>
      </x:c>
      <x:c r="AT1039" s="11" t="n">
        <x:f>IF(AR1039&gt;0,MIN(1,AS1039/AR1039),1)</x:f>
        <x:v>0.12244404328761256</x:v>
      </x:c>
      <x:c r="AU1039" s="10" t="n">
        <x:f>AB1039/INDEX(v01_RepScale,G1039)</x:f>
        <x:v>142.5225595323126</x:v>
      </x:c>
      <x:c r="AV1039" s="32" t="n">
        <x:f>AM1039*60/v01_SeasonSeconds</x:f>
        <x:v>1383.093085598119</x:v>
      </x:c>
    </x:row>
    <x:row r="1040">
      <x:c r="A1040" s="8" t="n">
        <x:f>A1039+1</x:f>
        <x:v>1037</x:v>
      </x:c>
      <x:c r="B1040" s="9" t="n">
        <x:f>A1040*v01_SeasonSeconds/60</x:f>
        <x:v>259.25</x:v>
      </x:c>
      <x:c r="C1040" s="9" t="n">
        <x:f>A1040/4</x:f>
        <x:v>259.25</x:v>
      </x:c>
      <x:c r="D1040" s="8" t="n">
        <x:f>IF(MOD(A1040,4)=0,1,0)</x:f>
        <x:v>0</x:v>
      </x:c>
      <x:c r="E1040" s="8" t="n">
        <x:f>IF(AND(F1039&lt;=9,AS1039&gt;=AR1039),1,0)</x:f>
        <x:v>0</x:v>
      </x:c>
      <x:c r="F1040" s="8" t="n">
        <x:f>MIN(10,F1039+E1040)</x:f>
        <x:v>5</x:v>
      </x:c>
      <x:c r="G1040" s="8" t="n">
        <x:f>MIN(F1040,9)+1</x:f>
        <x:v>6</x:v>
      </x:c>
      <x:c r="H1040" s="8" t="n">
        <x:f>IF(F1040&lt;=9,1,0)</x:f>
        <x:v>1</x:v>
      </x:c>
      <x:c r="I1040" s="9" t="n">
        <x:f>MIN(10,F1039+IF(AR1039&gt;0,MIN(1,AS1039/AR1039),1))</x:f>
        <x:v>5.122444043287612</x:v>
      </x:c>
      <x:c r="J1040" s="32" t="n">
        <x:f>INDEX(v01_FoodCap,G1040)*Arch_FoodCap*EXP(v01_CapsByProject*SUMPRODUCT((Cap_Point&lt;=I1040)*(Cap_Kind="Food")*Cap_Ln))</x:f>
        <x:v>500</x:v>
      </x:c>
      <x:c r="K1040" s="32" t="n">
        <x:f>J1040*MIN(1,v01_LeanBase*EXP(v01_CapsByProject*SUMPRODUCT((Cap_Point&lt;=I1040)*(Cap_Kind="Lean")*Cap_Ln)))</x:f>
        <x:v>500</x:v>
      </x:c>
      <x:c r="L1040" s="10" t="n">
        <x:f>INDEX(v01_HousingCap,G1040)*EXP(v01_CapsByProject*SUMPRODUCT((Cap_Point&lt;=I1040)*(Cap_Kind="Housing")*Cap_Ln))</x:f>
        <x:v>800</x:v>
      </x:c>
      <x:c r="M1040" s="10" t="n">
        <x:f>INDEX(v01_GroupCap,G1040)*v01_CohesionFactor*EXP(v01_CapsByProject*SUMPRODUCT((Cap_Point&lt;=I1040)*(Cap_Kind="Group")*Cap_Ln))</x:f>
        <x:v>10000</x:v>
      </x:c>
      <x:c r="N1040" s="32" t="n">
        <x:f>MIN(J1040,L1040,M1040)</x:f>
        <x:v>500</x:v>
      </x:c>
      <x:c r="O1040" s="10" t="n">
        <x:f>AE1039*N1040</x:f>
        <x:v>8000</x:v>
      </x:c>
      <x:c r="P1040" s="9" t="n">
        <x:f>MIN(1,(AB1039/(AE1039*IF(v01_GroupInCrowding=1,N1040,MIN(J1040,L1040))))^v01_CrowdingExp)</x:f>
        <x:v>0.007805519427299208</x:v>
      </x:c>
      <x:c r="Q1040" s="9" t="n">
        <x:f>IF(D1040=1,INDEX(v01_WinterMult,G1040),1)</x:f>
        <x:v>1</x:v>
      </x:c>
      <x:c r="R1040" s="9" t="n">
        <x:f>H1040*Z1039*v01_WomenShare*v01_BaseFertility*INDEX(v01_FertMult,G1040)*Arch_Fertility*(1-P1040)</x:f>
        <x:v>49.45598142436132</x:v>
      </x:c>
      <x:c r="S1040" s="9" t="n">
        <x:f>H1040*Y1039*INDEX(v01_MortChild,G1040)/4*Q1040</x:f>
        <x:v>9.341461852810582</x:v>
      </x:c>
      <x:c r="T1040" s="9" t="n">
        <x:f>H1040*Z1039*INDEX(v01_MortAdult,G1040)*Arch_AdultMort/4*Q1040</x:f>
        <x:v>3.7761399935007844</x:v>
      </x:c>
      <x:c r="U1040" s="9" t="n">
        <x:f>H1040*AA1039*INDEX(v01_MortElder,G1040)/4*Q1040</x:f>
        <x:v>8.369611416867132</x:v>
      </x:c>
      <x:c r="V1040" s="9" t="n">
        <x:f>H1040*MAX(0,AB1039-O1040)*v01_OvercapLoss</x:f>
        <x:v>0</x:v>
      </x:c>
      <x:c r="W1040" s="9" t="n">
        <x:f>H1040*Y1039/(v01_ChildYears*4)</x:f>
        <x:v>26.689891008030234</x:v>
      </x:c>
      <x:c r="X1040" s="9" t="n">
        <x:f>H1040*Z1039/(v01_AdultYears*4)</x:f>
        <x:v>12.181096753228337</x:v>
      </x:c>
      <x:c r="Y1040" s="32" t="n">
        <x:f>Y1039+R1040-S1040-W1040-Y1039*V1040/AB1039</x:f>
        <x:v>1508.0585250132137</x:v>
      </x:c>
      <x:c r="Z1040" s="32" t="n">
        <x:f>Z1039+W1040-X1040-T1040-Z1039*V1040/AB1039</x:f>
        <x:v>1521.1886516616148</x:v>
      </x:c>
      <x:c r="AA1040" s="32" t="n">
        <x:f>AA1039+X1040-U1040-AA1039*V1040/AB1039</x:f>
        <x:v>561.7855797941701</x:v>
      </x:c>
      <x:c r="AB1040" s="10" t="n">
        <x:f>Y1040+Z1040+AA1040</x:f>
        <x:v>3591.0327564689987</x:v>
      </x:c>
      <x:c r="AC1040" s="8" t="n">
        <x:f>IF(AND(v01_WinterTrigger=1,D1040=1,AB1039/AE1039&gt;=K1040),1,0)</x:f>
        <x:v>0</x:v>
      </x:c>
      <x:c r="AD1040" s="8" t="n">
        <x:f>H1040*IF(AND(OR(AB1039/AE1039&gt;=v01_FissionTrigger*N1040,AC1040=1),AB1039/AE1039*v01_DaughterShare&gt;=v01_MinDaughter),MAX(1,ROUND(AE1039*v01_FissionRate,0)),0)</x:f>
        <x:v>0</x:v>
      </x:c>
      <x:c r="AE1040" s="8" t="n">
        <x:f>IF(H1040=1,MAX(1,MIN(INDEX(v01_Smax,G1040),AE1039+AD1040)),AE1039)</x:f>
        <x:v>16</x:v>
      </x:c>
      <x:c r="AF1040" s="8" t="n">
        <x:f>MAX(0,AE1040-AE1039)</x:f>
        <x:v>0</x:v>
      </x:c>
      <x:c r="AG1040" s="9" t="str">
        <x:f>IF(AF1040&gt;0,B1040,"")</x:f>
      </x:c>
      <x:c r="AH1040" s="9" t="n">
        <x:f>IF(F1040&gt;=1,1,(1+v01_LowTiesShare*(AE1040-1))/AE1040)</x:f>
        <x:v>1</x:v>
      </x:c>
      <x:c r="AI1040" s="32" t="n">
        <x:f>(Z1040+v01_ElderCommons*INDEX(LM_Elder,G1040)*AA1040)*AH1040</x:f>
        <x:v>3405.47476945996</x:v>
      </x:c>
      <x:c r="AJ1040" s="32" t="n">
        <x:f>H1040*v01_CommonsCoef*AI1040^v01_CommonsExp*INDEX(LM_Commons,G1040)</x:f>
        <x:v>801.275920821449</x:v>
      </x:c>
      <x:c r="AK1040" s="32" t="n">
        <x:f>H1040*v01_RoleScale*Arch_Roles*(AE1040*(INDEX(v01_ElderRolePerSett,G1040)*v01_OutElder*INDEX(LM_Elder,G1040)+INDEX(v01_ShamanPerSett,G1040)*v01_OutShaman)+Z1040*(INDEX(v01_PriestShare,G1040)*v01_OutPriest+INDEX(v01_ScribeShare,G1040)*v01_OutScribe*INDEX(LM_Scribe,G1040)+INDEX(v01_ScholarShare,G1040)*v01_OutScholar*INDEX(LM_Scholar,G1040)+INDEX(v01_ResearcherShare,G1040)*v01_OutResearcher*INDEX(LM_Researcher,G1040)))</x:f>
        <x:v>158.70464262470614</x:v>
      </x:c>
      <x:c r="AL1040" s="32" t="n">
        <x:f>H1040*v01_RoleScale*Arch_Roles*AE1040*INDEX(v01_MonasteryPerSett,G1040)*v01_OutMonastery*INDEX(LM_Monastery,G1040)</x:f>
        <x:v>5.034282471216728</x:v>
      </x:c>
      <x:c r="AM1040" s="32" t="n">
        <x:f>(AJ1040+AK1040+AL1040)/4*INDEX(LM_All,G1040)*INDEX(v01_Boon,G1040)*Arch_Insight</x:f>
        <x:v>347.74323589270347</x:v>
      </x:c>
      <x:c r="AN1040" s="32" t="n">
        <x:f>H1040*(v01_KHPerAdult*Z1040+v01_KHOfCommons*AJ1040/4*INDEX(LM_All,G1040))*v01_KHUsable*Arch_KH</x:f>
        <x:v>53.24160280815652</x:v>
      </x:c>
      <x:c r="AO1040" s="32" t="n">
        <x:f>MIN(AP1039+AN1040,AM1040*v01_KHMaxRatio)</x:f>
        <x:v>53.24160280815652</x:v>
      </x:c>
      <x:c r="AP1040" s="32" t="n">
        <x:f>AP1039+AN1040-AO1040</x:f>
        <x:v>0</x:v>
      </x:c>
      <x:c r="AQ1040" s="32" t="n">
        <x:f>AM1040+AO1040</x:f>
        <x:v>400.98483870086</x:v>
      </x:c>
      <x:c r="AR1040" s="10" t="n">
        <x:f>IF(H1040=1,INDEX(v01_Req,G1040),0)</x:f>
        <x:v>47951.22698</x:v>
      </x:c>
      <x:c r="AS1040" s="32" t="n">
        <x:f>IF(H1040=1,IF(E1040=1,AS1039-AR1039,AS1039)+AQ1040,0)</x:f>
        <x:v>6272.326950734115</x:v>
      </x:c>
      <x:c r="AT1040" s="11" t="n">
        <x:f>IF(AR1040&gt;0,MIN(1,AS1040/AR1040),1)</x:f>
        <x:v>0.13080639111383413</x:v>
      </x:c>
      <x:c r="AU1040" s="10" t="n">
        <x:f>AB1040/INDEX(v01_RepScale,G1040)</x:f>
        <x:v>143.64131025875994</x:v>
      </x:c>
      <x:c r="AV1040" s="32" t="n">
        <x:f>AM1040*60/v01_SeasonSeconds</x:f>
        <x:v>1390.9729435708139</x:v>
      </x:c>
    </x:row>
    <x:row r="1041">
      <x:c r="A1041" s="8" t="n">
        <x:f>A1040+1</x:f>
        <x:v>1038</x:v>
      </x:c>
      <x:c r="B1041" s="9" t="n">
        <x:f>A1041*v01_SeasonSeconds/60</x:f>
        <x:v>259.5</x:v>
      </x:c>
      <x:c r="C1041" s="9" t="n">
        <x:f>A1041/4</x:f>
        <x:v>259.5</x:v>
      </x:c>
      <x:c r="D1041" s="8" t="n">
        <x:f>IF(MOD(A1041,4)=0,1,0)</x:f>
        <x:v>0</x:v>
      </x:c>
      <x:c r="E1041" s="8" t="n">
        <x:f>IF(AND(F1040&lt;=9,AS1040&gt;=AR1040),1,0)</x:f>
        <x:v>0</x:v>
      </x:c>
      <x:c r="F1041" s="8" t="n">
        <x:f>MIN(10,F1040+E1041)</x:f>
        <x:v>5</x:v>
      </x:c>
      <x:c r="G1041" s="8" t="n">
        <x:f>MIN(F1041,9)+1</x:f>
        <x:v>6</x:v>
      </x:c>
      <x:c r="H1041" s="8" t="n">
        <x:f>IF(F1041&lt;=9,1,0)</x:f>
        <x:v>1</x:v>
      </x:c>
      <x:c r="I1041" s="9" t="n">
        <x:f>MIN(10,F1040+IF(AR1040&gt;0,MIN(1,AS1040/AR1040),1))</x:f>
        <x:v>5.130806391113834</x:v>
      </x:c>
      <x:c r="J1041" s="32" t="n">
        <x:f>INDEX(v01_FoodCap,G1041)*Arch_FoodCap*EXP(v01_CapsByProject*SUMPRODUCT((Cap_Point&lt;=I1041)*(Cap_Kind="Food")*Cap_Ln))</x:f>
        <x:v>500</x:v>
      </x:c>
      <x:c r="K1041" s="32" t="n">
        <x:f>J1041*MIN(1,v01_LeanBase*EXP(v01_CapsByProject*SUMPRODUCT((Cap_Point&lt;=I1041)*(Cap_Kind="Lean")*Cap_Ln)))</x:f>
        <x:v>500</x:v>
      </x:c>
      <x:c r="L1041" s="10" t="n">
        <x:f>INDEX(v01_HousingCap,G1041)*EXP(v01_CapsByProject*SUMPRODUCT((Cap_Point&lt;=I1041)*(Cap_Kind="Housing")*Cap_Ln))</x:f>
        <x:v>800</x:v>
      </x:c>
      <x:c r="M1041" s="10" t="n">
        <x:f>INDEX(v01_GroupCap,G1041)*v01_CohesionFactor*EXP(v01_CapsByProject*SUMPRODUCT((Cap_Point&lt;=I1041)*(Cap_Kind="Group")*Cap_Ln))</x:f>
        <x:v>10000</x:v>
      </x:c>
      <x:c r="N1041" s="32" t="n">
        <x:f>MIN(J1041,L1041,M1041)</x:f>
        <x:v>500</x:v>
      </x:c>
      <x:c r="O1041" s="10" t="n">
        <x:f>AE1040*N1041</x:f>
        <x:v>8000</x:v>
      </x:c>
      <x:c r="P1041" s="9" t="n">
        <x:f>MIN(1,(AB1040/(AE1040*IF(v01_GroupInCrowding=1,N1041,MIN(J1041,L1041))))^v01_CrowdingExp)</x:f>
        <x:v>0.008180432737084952</x:v>
      </x:c>
      <x:c r="Q1041" s="9" t="n">
        <x:f>IF(D1041=1,INDEX(v01_WinterMult,G1041),1)</x:f>
        <x:v>1</x:v>
      </x:c>
      <x:c r="R1041" s="9" t="n">
        <x:f>H1041*Z1040*v01_WomenShare*v01_BaseFertility*INDEX(v01_FertMult,G1041)*Arch_Fertility*(1-P1041)</x:f>
        <x:v>49.78857411713724</x:v>
      </x:c>
      <x:c r="S1041" s="9" t="n">
        <x:f>H1041*Y1040*INDEX(v01_MortChild,G1041)/4*Q1041</x:f>
        <x:v>9.425365781332586</x:v>
      </x:c>
      <x:c r="T1041" s="9" t="n">
        <x:f>H1041*Z1040*INDEX(v01_MortAdult,G1041)*Arch_AdultMort/4*Q1041</x:f>
        <x:v>3.802971629154037</x:v>
      </x:c>
      <x:c r="U1041" s="9" t="n">
        <x:f>H1041*AA1040*INDEX(v01_MortElder,G1041)/4*Q1041</x:f>
        <x:v>8.426783696912551</x:v>
      </x:c>
      <x:c r="V1041" s="9" t="n">
        <x:f>H1041*MAX(0,AB1040-O1041)*v01_OvercapLoss</x:f>
        <x:v>0</x:v>
      </x:c>
      <x:c r="W1041" s="9" t="n">
        <x:f>H1041*Y1040/(v01_ChildYears*4)</x:f>
        <x:v>26.929616518093102</x:v>
      </x:c>
      <x:c r="X1041" s="9" t="n">
        <x:f>H1041*Z1040/(v01_AdultYears*4)</x:f>
        <x:v>12.267650416625926</x:v>
      </x:c>
      <x:c r="Y1041" s="32" t="n">
        <x:f>Y1040+R1041-S1041-W1041-Y1040*V1041/AB1040</x:f>
        <x:v>1521.4921168309252</x:v>
      </x:c>
      <x:c r="Z1041" s="32" t="n">
        <x:f>Z1040+W1041-X1041-T1041-Z1040*V1041/AB1040</x:f>
        <x:v>1532.047646133928</x:v>
      </x:c>
      <x:c r="AA1041" s="32" t="n">
        <x:f>AA1040+X1041-U1041-AA1040*V1041/AB1040</x:f>
        <x:v>565.6264465138834</x:v>
      </x:c>
      <x:c r="AB1041" s="10" t="n">
        <x:f>Y1041+Z1041+AA1041</x:f>
        <x:v>3619.1662094787366</x:v>
      </x:c>
      <x:c r="AC1041" s="8" t="n">
        <x:f>IF(AND(v01_WinterTrigger=1,D1041=1,AB1040/AE1040&gt;=K1041),1,0)</x:f>
        <x:v>0</x:v>
      </x:c>
      <x:c r="AD1041" s="8" t="n">
        <x:f>H1041*IF(AND(OR(AB1040/AE1040&gt;=v01_FissionTrigger*N1041,AC1041=1),AB1040/AE1040*v01_DaughterShare&gt;=v01_MinDaughter),MAX(1,ROUND(AE1040*v01_FissionRate,0)),0)</x:f>
        <x:v>0</x:v>
      </x:c>
      <x:c r="AE1041" s="8" t="n">
        <x:f>IF(H1041=1,MAX(1,MIN(INDEX(v01_Smax,G1041),AE1040+AD1041)),AE1040)</x:f>
        <x:v>16</x:v>
      </x:c>
      <x:c r="AF1041" s="8" t="n">
        <x:f>MAX(0,AE1041-AE1040)</x:f>
        <x:v>0</x:v>
      </x:c>
      <x:c r="AG1041" s="9" t="str">
        <x:f>IF(AF1041&gt;0,B1041,"")</x:f>
      </x:c>
      <x:c r="AH1041" s="9" t="n">
        <x:f>IF(F1041&gt;=1,1,(1+v01_LowTiesShare*(AE1041-1))/AE1041)</x:f>
        <x:v>1</x:v>
      </x:c>
      <x:c r="AI1041" s="32" t="n">
        <x:f>(Z1041+v01_ElderCommons*INDEX(LM_Elder,G1041)*AA1041)*AH1041</x:f>
        <x:v>3429.2164225489664</x:v>
      </x:c>
      <x:c r="AJ1041" s="32" t="n">
        <x:f>H1041*v01_CommonsCoef*AI1041^v01_CommonsExp*INDEX(LM_Commons,G1041)</x:f>
        <x:v>806.0217026705623</x:v>
      </x:c>
      <x:c r="AK1041" s="32" t="n">
        <x:f>H1041*v01_RoleScale*Arch_Roles*(AE1041*(INDEX(v01_ElderRolePerSett,G1041)*v01_OutElder*INDEX(LM_Elder,G1041)+INDEX(v01_ShamanPerSett,G1041)*v01_OutShaman)+Z1041*(INDEX(v01_PriestShare,G1041)*v01_OutPriest+INDEX(v01_ScribeShare,G1041)*v01_OutScribe*INDEX(LM_Scribe,G1041)+INDEX(v01_ScholarShare,G1041)*v01_OutScholar*INDEX(LM_Scholar,G1041)+INDEX(v01_ResearcherShare,G1041)*v01_OutResearcher*INDEX(LM_Researcher,G1041)))</x:f>
        <x:v>159.47468490098032</x:v>
      </x:c>
      <x:c r="AL1041" s="32" t="n">
        <x:f>H1041*v01_RoleScale*Arch_Roles*AE1041*INDEX(v01_MonasteryPerSett,G1041)*v01_OutMonastery*INDEX(LM_Monastery,G1041)</x:f>
        <x:v>5.034282471216728</x:v>
      </x:c>
      <x:c r="AM1041" s="32" t="n">
        <x:f>(AJ1041+AK1041+AL1041)/4*INDEX(LM_All,G1041)*INDEX(v01_Boon,G1041)*Arch_Insight</x:f>
        <x:v>349.7308638945855</x:v>
      </x:c>
      <x:c r="AN1041" s="32" t="n">
        <x:f>H1041*(v01_KHPerAdult*Z1041+v01_KHOfCommons*AJ1041/4*INDEX(LM_All,G1041))*v01_KHUsable*Arch_KH</x:f>
        <x:v>53.62166761468749</x:v>
      </x:c>
      <x:c r="AO1041" s="32" t="n">
        <x:f>MIN(AP1040+AN1041,AM1041*v01_KHMaxRatio)</x:f>
        <x:v>53.62166761468749</x:v>
      </x:c>
      <x:c r="AP1041" s="32" t="n">
        <x:f>AP1040+AN1041-AO1041</x:f>
        <x:v>0</x:v>
      </x:c>
      <x:c r="AQ1041" s="32" t="n">
        <x:f>AM1041+AO1041</x:f>
        <x:v>403.35253150927304</x:v>
      </x:c>
      <x:c r="AR1041" s="10" t="n">
        <x:f>IF(H1041=1,INDEX(v01_Req,G1041),0)</x:f>
        <x:v>47951.22698</x:v>
      </x:c>
      <x:c r="AS1041" s="32" t="n">
        <x:f>IF(H1041=1,IF(E1041=1,AS1040-AR1040,AS1040)+AQ1041,0)</x:f>
        <x:v>6675.679482243388</x:v>
      </x:c>
      <x:c r="AT1041" s="11" t="n">
        <x:f>IF(AR1041&gt;0,MIN(1,AS1041/AR1041),1)</x:f>
        <x:v>0.1392181160458678</x:v>
      </x:c>
      <x:c r="AU1041" s="10" t="n">
        <x:f>AB1041/INDEX(v01_RepScale,G1041)</x:f>
        <x:v>144.76664837914947</x:v>
      </x:c>
      <x:c r="AV1041" s="32" t="n">
        <x:f>AM1041*60/v01_SeasonSeconds</x:f>
        <x:v>1398.923455578342</x:v>
      </x:c>
    </x:row>
    <x:row r="1042">
      <x:c r="A1042" s="8" t="n">
        <x:f>A1041+1</x:f>
        <x:v>1039</x:v>
      </x:c>
      <x:c r="B1042" s="9" t="n">
        <x:f>A1042*v01_SeasonSeconds/60</x:f>
        <x:v>259.75</x:v>
      </x:c>
      <x:c r="C1042" s="9" t="n">
        <x:f>A1042/4</x:f>
        <x:v>259.75</x:v>
      </x:c>
      <x:c r="D1042" s="8" t="n">
        <x:f>IF(MOD(A1042,4)=0,1,0)</x:f>
        <x:v>0</x:v>
      </x:c>
      <x:c r="E1042" s="8" t="n">
        <x:f>IF(AND(F1041&lt;=9,AS1041&gt;=AR1041),1,0)</x:f>
        <x:v>0</x:v>
      </x:c>
      <x:c r="F1042" s="8" t="n">
        <x:f>MIN(10,F1041+E1042)</x:f>
        <x:v>5</x:v>
      </x:c>
      <x:c r="G1042" s="8" t="n">
        <x:f>MIN(F1042,9)+1</x:f>
        <x:v>6</x:v>
      </x:c>
      <x:c r="H1042" s="8" t="n">
        <x:f>IF(F1042&lt;=9,1,0)</x:f>
        <x:v>1</x:v>
      </x:c>
      <x:c r="I1042" s="9" t="n">
        <x:f>MIN(10,F1041+IF(AR1041&gt;0,MIN(1,AS1041/AR1041),1))</x:f>
        <x:v>5.139218116045868</x:v>
      </x:c>
      <x:c r="J1042" s="32" t="n">
        <x:f>INDEX(v01_FoodCap,G1042)*Arch_FoodCap*EXP(v01_CapsByProject*SUMPRODUCT((Cap_Point&lt;=I1042)*(Cap_Kind="Food")*Cap_Ln))</x:f>
        <x:v>500</x:v>
      </x:c>
      <x:c r="K1042" s="32" t="n">
        <x:f>J1042*MIN(1,v01_LeanBase*EXP(v01_CapsByProject*SUMPRODUCT((Cap_Point&lt;=I1042)*(Cap_Kind="Lean")*Cap_Ln)))</x:f>
        <x:v>500</x:v>
      </x:c>
      <x:c r="L1042" s="10" t="n">
        <x:f>INDEX(v01_HousingCap,G1042)*EXP(v01_CapsByProject*SUMPRODUCT((Cap_Point&lt;=I1042)*(Cap_Kind="Housing")*Cap_Ln))</x:f>
        <x:v>800</x:v>
      </x:c>
      <x:c r="M1042" s="10" t="n">
        <x:f>INDEX(v01_GroupCap,G1042)*v01_CohesionFactor*EXP(v01_CapsByProject*SUMPRODUCT((Cap_Point&lt;=I1042)*(Cap_Kind="Group")*Cap_Ln))</x:f>
        <x:v>10000</x:v>
      </x:c>
      <x:c r="N1042" s="32" t="n">
        <x:f>MIN(J1042,L1042,M1042)</x:f>
        <x:v>500</x:v>
      </x:c>
      <x:c r="O1042" s="10" t="n">
        <x:f>AE1041*N1042</x:f>
        <x:v>8000</x:v>
      </x:c>
      <x:c r="P1042" s="9" t="n">
        <x:f>MIN(1,(AB1041/(AE1041*IF(v01_GroupInCrowding=1,N1042,MIN(J1042,L1042))))^v01_CrowdingExp)</x:f>
        <x:v>0.00857257411949261</x:v>
      </x:c>
      <x:c r="Q1042" s="9" t="n">
        <x:f>IF(D1042=1,INDEX(v01_WinterMult,G1042),1)</x:f>
        <x:v>1</x:v>
      </x:c>
      <x:c r="R1042" s="9" t="n">
        <x:f>H1042*Z1041*v01_WomenShare*v01_BaseFertility*INDEX(v01_FertMult,G1042)*Arch_Fertility*(1-P1042)</x:f>
        <x:v>50.12416378638408</x:v>
      </x:c>
      <x:c r="S1042" s="9" t="n">
        <x:f>H1042*Y1041*INDEX(v01_MortChild,G1042)/4*Q1042</x:f>
        <x:v>9.509325730193282</x:v>
      </x:c>
      <x:c r="T1042" s="9" t="n">
        <x:f>H1042*Z1041*INDEX(v01_MortAdult,G1042)*Arch_AdultMort/4*Q1042</x:f>
        <x:v>3.83011911533482</x:v>
      </x:c>
      <x:c r="U1042" s="9" t="n">
        <x:f>H1042*AA1041*INDEX(v01_MortElder,G1042)/4*Q1042</x:f>
        <x:v>8.48439669770825</x:v>
      </x:c>
      <x:c r="V1042" s="9" t="n">
        <x:f>H1042*MAX(0,AB1041-O1042)*v01_OvercapLoss</x:f>
        <x:v>0</x:v>
      </x:c>
      <x:c r="W1042" s="9" t="n">
        <x:f>H1042*Y1041/(v01_ChildYears*4)</x:f>
        <x:v>27.169502086266522</x:v>
      </x:c>
      <x:c r="X1042" s="9" t="n">
        <x:f>H1042*Z1041/(v01_AdultYears*4)</x:f>
        <x:v>12.355222952692968</x:v>
      </x:c>
      <x:c r="Y1042" s="32" t="n">
        <x:f>Y1041+R1042-S1042-W1042-Y1041*V1042/AB1041</x:f>
        <x:v>1534.9374528008495</x:v>
      </x:c>
      <x:c r="Z1042" s="32" t="n">
        <x:f>Z1041+W1042-X1042-T1042-Z1041*V1042/AB1041</x:f>
        <x:v>1543.0318061521668</x:v>
      </x:c>
      <x:c r="AA1042" s="32" t="n">
        <x:f>AA1041+X1042-U1042-AA1041*V1042/AB1041</x:f>
        <x:v>569.4972727688681</x:v>
      </x:c>
      <x:c r="AB1042" s="10" t="n">
        <x:f>Y1042+Z1042+AA1042</x:f>
        <x:v>3647.4665317218846</x:v>
      </x:c>
      <x:c r="AC1042" s="8" t="n">
        <x:f>IF(AND(v01_WinterTrigger=1,D1042=1,AB1041/AE1041&gt;=K1042),1,0)</x:f>
        <x:v>0</x:v>
      </x:c>
      <x:c r="AD1042" s="8" t="n">
        <x:f>H1042*IF(AND(OR(AB1041/AE1041&gt;=v01_FissionTrigger*N1042,AC1042=1),AB1041/AE1041*v01_DaughterShare&gt;=v01_MinDaughter),MAX(1,ROUND(AE1041*v01_FissionRate,0)),0)</x:f>
        <x:v>0</x:v>
      </x:c>
      <x:c r="AE1042" s="8" t="n">
        <x:f>IF(H1042=1,MAX(1,MIN(INDEX(v01_Smax,G1042),AE1041+AD1042)),AE1041)</x:f>
        <x:v>16</x:v>
      </x:c>
      <x:c r="AF1042" s="8" t="n">
        <x:f>MAX(0,AE1042-AE1041)</x:f>
        <x:v>0</x:v>
      </x:c>
      <x:c r="AG1042" s="9" t="str">
        <x:f>IF(AF1042&gt;0,B1042,"")</x:f>
      </x:c>
      <x:c r="AH1042" s="9" t="n">
        <x:f>IF(F1042&gt;=1,1,(1+v01_LowTiesShare*(AE1042-1))/AE1042)</x:f>
        <x:v>1</x:v>
      </x:c>
      <x:c r="AI1042" s="32" t="n">
        <x:f>(Z1042+v01_ElderCommons*INDEX(LM_Elder,G1042)*AA1042)*AH1042</x:f>
        <x:v>3453.1837285200604</x:v>
      </x:c>
      <x:c r="AJ1042" s="32" t="n">
        <x:f>H1042*v01_CommonsCoef*AI1042^v01_CommonsExp*INDEX(LM_Commons,G1042)</x:f>
        <x:v>810.8075945578959</x:v>
      </x:c>
      <x:c r="AK1042" s="32" t="n">
        <x:f>H1042*v01_RoleScale*Arch_Roles*(AE1042*(INDEX(v01_ElderRolePerSett,G1042)*v01_OutElder*INDEX(LM_Elder,G1042)+INDEX(v01_ShamanPerSett,G1042)*v01_OutShaman)+Z1042*(INDEX(v01_PriestShare,G1042)*v01_OutPriest+INDEX(v01_ScribeShare,G1042)*v01_OutScribe*INDEX(LM_Scribe,G1042)+INDEX(v01_ScholarShare,G1042)*v01_OutScholar*INDEX(LM_Scholar,G1042)+INDEX(v01_ResearcherShare,G1042)*v01_OutResearcher*INDEX(LM_Researcher,G1042)))</x:f>
        <x:v>160.25360302318495</x:v>
      </x:c>
      <x:c r="AL1042" s="32" t="n">
        <x:f>H1042*v01_RoleScale*Arch_Roles*AE1042*INDEX(v01_MonasteryPerSett,G1042)*v01_OutMonastery*INDEX(LM_Monastery,G1042)</x:f>
        <x:v>5.034282471216728</x:v>
      </x:c>
      <x:c r="AM1042" s="32" t="n">
        <x:f>(AJ1042+AK1042+AL1042)/4*INDEX(LM_All,G1042)*INDEX(v01_Boon,G1042)*Arch_Insight</x:f>
        <x:v>351.73614396673344</x:v>
      </x:c>
      <x:c r="AN1042" s="32" t="n">
        <x:f>H1042*(v01_KHPerAdult*Z1042+v01_KHOfCommons*AJ1042/4*INDEX(LM_All,G1042))*v01_KHUsable*Arch_KH</x:f>
        <x:v>54.00611321532584</x:v>
      </x:c>
      <x:c r="AO1042" s="32" t="n">
        <x:f>MIN(AP1041+AN1042,AM1042*v01_KHMaxRatio)</x:f>
        <x:v>54.00611321532584</x:v>
      </x:c>
      <x:c r="AP1042" s="32" t="n">
        <x:f>AP1041+AN1042-AO1042</x:f>
        <x:v>0</x:v>
      </x:c>
      <x:c r="AQ1042" s="32" t="n">
        <x:f>AM1042+AO1042</x:f>
        <x:v>405.7422571820593</x:v>
      </x:c>
      <x:c r="AR1042" s="10" t="n">
        <x:f>IF(H1042=1,INDEX(v01_Req,G1042),0)</x:f>
        <x:v>47951.22698</x:v>
      </x:c>
      <x:c r="AS1042" s="32" t="n">
        <x:f>IF(H1042=1,IF(E1042=1,AS1041-AR1041,AS1041)+AQ1042,0)</x:f>
        <x:v>7081.4217394254465</x:v>
      </x:c>
      <x:c r="AT1042" s="11" t="n">
        <x:f>IF(AR1042&gt;0,MIN(1,AS1042/AR1042),1)</x:f>
        <x:v>0.14767967756860612</x:v>
      </x:c>
      <x:c r="AU1042" s="10" t="n">
        <x:f>AB1042/INDEX(v01_RepScale,G1042)</x:f>
        <x:v>145.89866126887537</x:v>
      </x:c>
      <x:c r="AV1042" s="32" t="n">
        <x:f>AM1042*60/v01_SeasonSeconds</x:f>
        <x:v>1406.9445758669337</x:v>
      </x:c>
    </x:row>
    <x:row r="1043">
      <x:c r="A1043" s="8" t="n">
        <x:f>A1042+1</x:f>
        <x:v>1040</x:v>
      </x:c>
      <x:c r="B1043" s="9" t="n">
        <x:f>A1043*v01_SeasonSeconds/60</x:f>
        <x:v>260</x:v>
      </x:c>
      <x:c r="C1043" s="9" t="n">
        <x:f>A1043/4</x:f>
        <x:v>260</x:v>
      </x:c>
      <x:c r="D1043" s="8" t="n">
        <x:f>IF(MOD(A1043,4)=0,1,0)</x:f>
        <x:v>1</x:v>
      </x:c>
      <x:c r="E1043" s="8" t="n">
        <x:f>IF(AND(F1042&lt;=9,AS1042&gt;=AR1042),1,0)</x:f>
        <x:v>0</x:v>
      </x:c>
      <x:c r="F1043" s="8" t="n">
        <x:f>MIN(10,F1042+E1043)</x:f>
        <x:v>5</x:v>
      </x:c>
      <x:c r="G1043" s="8" t="n">
        <x:f>MIN(F1043,9)+1</x:f>
        <x:v>6</x:v>
      </x:c>
      <x:c r="H1043" s="8" t="n">
        <x:f>IF(F1043&lt;=9,1,0)</x:f>
        <x:v>1</x:v>
      </x:c>
      <x:c r="I1043" s="9" t="n">
        <x:f>MIN(10,F1042+IF(AR1042&gt;0,MIN(1,AS1042/AR1042),1))</x:f>
        <x:v>5.147679677568606</x:v>
      </x:c>
      <x:c r="J1043" s="32" t="n">
        <x:f>INDEX(v01_FoodCap,G1043)*Arch_FoodCap*EXP(v01_CapsByProject*SUMPRODUCT((Cap_Point&lt;=I1043)*(Cap_Kind="Food")*Cap_Ln))</x:f>
        <x:v>500</x:v>
      </x:c>
      <x:c r="K1043" s="32" t="n">
        <x:f>J1043*MIN(1,v01_LeanBase*EXP(v01_CapsByProject*SUMPRODUCT((Cap_Point&lt;=I1043)*(Cap_Kind="Lean")*Cap_Ln)))</x:f>
        <x:v>500</x:v>
      </x:c>
      <x:c r="L1043" s="10" t="n">
        <x:f>INDEX(v01_HousingCap,G1043)*EXP(v01_CapsByProject*SUMPRODUCT((Cap_Point&lt;=I1043)*(Cap_Kind="Housing")*Cap_Ln))</x:f>
        <x:v>800</x:v>
      </x:c>
      <x:c r="M1043" s="10" t="n">
        <x:f>INDEX(v01_GroupCap,G1043)*v01_CohesionFactor*EXP(v01_CapsByProject*SUMPRODUCT((Cap_Point&lt;=I1043)*(Cap_Kind="Group")*Cap_Ln))</x:f>
        <x:v>10000</x:v>
      </x:c>
      <x:c r="N1043" s="32" t="n">
        <x:f>MIN(J1043,L1043,M1043)</x:f>
        <x:v>500</x:v>
      </x:c>
      <x:c r="O1043" s="10" t="n">
        <x:f>AE1042*N1043</x:f>
        <x:v>8000</x:v>
      </x:c>
      <x:c r="P1043" s="9" t="n">
        <x:f>MIN(1,(AB1042/(AE1042*IF(v01_GroupInCrowding=1,N1043,MIN(J1043,L1043))))^v01_CrowdingExp)</x:f>
        <x:v>0.00898272225744763</x:v>
      </x:c>
      <x:c r="Q1043" s="9" t="n">
        <x:f>IF(D1043=1,INDEX(v01_WinterMult,G1043),1)</x:f>
        <x:v>1</x:v>
      </x:c>
      <x:c r="R1043" s="9" t="n">
        <x:f>H1043*Z1042*v01_WomenShare*v01_BaseFertility*INDEX(v01_FertMult,G1043)*Arch_Fertility*(1-P1043)</x:f>
        <x:v>50.462648940102106</x:v>
      </x:c>
      <x:c r="S1043" s="9" t="n">
        <x:f>H1043*Y1042*INDEX(v01_MortChild,G1043)/4*Q1043</x:f>
        <x:v>9.59335908000531</x:v>
      </x:c>
      <x:c r="T1043" s="9" t="n">
        <x:f>H1043*Z1042*INDEX(v01_MortAdult,G1043)*Arch_AdultMort/4*Q1043</x:f>
        <x:v>3.8575795153804173</x:v>
      </x:c>
      <x:c r="U1043" s="9" t="n">
        <x:f>H1043*AA1042*INDEX(v01_MortElder,G1043)/4*Q1043</x:f>
        <x:v>8.542459091533022</x:v>
      </x:c>
      <x:c r="V1043" s="9" t="n">
        <x:f>H1043*MAX(0,AB1042-O1043)*v01_OvercapLoss</x:f>
        <x:v>0</x:v>
      </x:c>
      <x:c r="W1043" s="9" t="n">
        <x:f>H1043*Y1042/(v01_ChildYears*4)</x:f>
        <x:v>27.40959737144374</x:v>
      </x:c>
      <x:c r="X1043" s="9" t="n">
        <x:f>H1043*Z1042/(v01_AdultYears*4)</x:f>
        <x:v>12.443804888323927</x:v>
      </x:c>
      <x:c r="Y1043" s="32" t="n">
        <x:f>Y1042+R1043-S1043-W1043-Y1042*V1043/AB1042</x:f>
        <x:v>1548.3971452895025</x:v>
      </x:c>
      <x:c r="Z1043" s="32" t="n">
        <x:f>Z1042+W1043-X1043-T1043-Z1042*V1043/AB1042</x:f>
        <x:v>1554.1400191199064</x:v>
      </x:c>
      <x:c r="AA1043" s="32" t="n">
        <x:f>AA1042+X1043-U1043-AA1042*V1043/AB1042</x:f>
        <x:v>573.398618565659</x:v>
      </x:c>
      <x:c r="AB1043" s="10" t="n">
        <x:f>Y1043+Z1043+AA1043</x:f>
        <x:v>3675.935782975068</x:v>
      </x:c>
      <x:c r="AC1043" s="8" t="n">
        <x:f>IF(AND(v01_WinterTrigger=1,D1043=1,AB1042/AE1042&gt;=K1043),1,0)</x:f>
        <x:v>0</x:v>
      </x:c>
      <x:c r="AD1043" s="8" t="n">
        <x:f>H1043*IF(AND(OR(AB1042/AE1042&gt;=v01_FissionTrigger*N1043,AC1043=1),AB1042/AE1042*v01_DaughterShare&gt;=v01_MinDaughter),MAX(1,ROUND(AE1042*v01_FissionRate,0)),0)</x:f>
        <x:v>0</x:v>
      </x:c>
      <x:c r="AE1043" s="8" t="n">
        <x:f>IF(H1043=1,MAX(1,MIN(INDEX(v01_Smax,G1043),AE1042+AD1043)),AE1042)</x:f>
        <x:v>16</x:v>
      </x:c>
      <x:c r="AF1043" s="8" t="n">
        <x:f>MAX(0,AE1043-AE1042)</x:f>
        <x:v>0</x:v>
      </x:c>
      <x:c r="AG1043" s="9" t="str">
        <x:f>IF(AF1043&gt;0,B1043,"")</x:f>
      </x:c>
      <x:c r="AH1043" s="9" t="n">
        <x:f>IF(F1043&gt;=1,1,(1+v01_LowTiesShare*(AE1043-1))/AE1043)</x:f>
        <x:v>1</x:v>
      </x:c>
      <x:c r="AI1043" s="32" t="n">
        <x:f>(Z1043+v01_ElderCommons*INDEX(LM_Elder,G1043)*AA1043)*AH1043</x:f>
        <x:v>3477.3774530958362</x:v>
      </x:c>
      <x:c r="AJ1043" s="32" t="n">
        <x:f>H1043*v01_CommonsCoef*AI1043^v01_CommonsExp*INDEX(LM_Commons,G1043)</x:f>
        <x:v>815.6336479708214</x:v>
      </x:c>
      <x:c r="AK1043" s="32" t="n">
        <x:f>H1043*v01_RoleScale*Arch_Roles*(AE1043*(INDEX(v01_ElderRolePerSett,G1043)*v01_OutElder*INDEX(LM_Elder,G1043)+INDEX(v01_ShamanPerSett,G1043)*v01_OutShaman)+Z1043*(INDEX(v01_PriestShare,G1043)*v01_OutPriest+INDEX(v01_ScribeShare,G1043)*v01_OutScribe*INDEX(LM_Scribe,G1043)+INDEX(v01_ScholarShare,G1043)*v01_OutScholar*INDEX(LM_Scholar,G1043)+INDEX(v01_ResearcherShare,G1043)*v01_OutResearcher*INDEX(LM_Researcher,G1043)))</x:f>
        <x:v>161.0413180939335</x:v>
      </x:c>
      <x:c r="AL1043" s="32" t="n">
        <x:f>H1043*v01_RoleScale*Arch_Roles*AE1043*INDEX(v01_MonasteryPerSett,G1043)*v01_OutMonastery*INDEX(LM_Monastery,G1043)</x:f>
        <x:v>5.034282471216728</x:v>
      </x:c>
      <x:c r="AM1043" s="32" t="n">
        <x:f>(AJ1043+AK1043+AL1043)/4*INDEX(LM_All,G1043)*INDEX(v01_Boon,G1043)*Arch_Insight</x:f>
        <x:v>353.7590662319443</x:v>
      </x:c>
      <x:c r="AN1043" s="32" t="n">
        <x:f>H1043*(v01_KHPerAdult*Z1043+v01_KHOfCommons*AJ1043/4*INDEX(LM_All,G1043))*v01_KHUsable*Arch_KH</x:f>
        <x:v>54.39490066919672</x:v>
      </x:c>
      <x:c r="AO1043" s="32" t="n">
        <x:f>MIN(AP1042+AN1043,AM1043*v01_KHMaxRatio)</x:f>
        <x:v>54.39490066919672</x:v>
      </x:c>
      <x:c r="AP1043" s="32" t="n">
        <x:f>AP1042+AN1043-AO1043</x:f>
        <x:v>0</x:v>
      </x:c>
      <x:c r="AQ1043" s="32" t="n">
        <x:f>AM1043+AO1043</x:f>
        <x:v>408.153966901141</x:v>
      </x:c>
      <x:c r="AR1043" s="10" t="n">
        <x:f>IF(H1043=1,INDEX(v01_Req,G1043),0)</x:f>
        <x:v>47951.22698</x:v>
      </x:c>
      <x:c r="AS1043" s="32" t="n">
        <x:f>IF(H1043=1,IF(E1043=1,AS1042-AR1042,AS1042)+AQ1043,0)</x:f>
        <x:v>7489.575706326587</x:v>
      </x:c>
      <x:c r="AT1043" s="11" t="n">
        <x:f>IF(AR1043&gt;0,MIN(1,AS1043/AR1043),1)</x:f>
        <x:v>0.15619153414886378</x:v>
      </x:c>
      <x:c r="AU1043" s="10" t="n">
        <x:f>AB1043/INDEX(v01_RepScale,G1043)</x:f>
        <x:v>147.0374313190027</x:v>
      </x:c>
      <x:c r="AV1043" s="32" t="n">
        <x:f>AM1043*60/v01_SeasonSeconds</x:f>
        <x:v>1415.0362649277772</x:v>
      </x:c>
    </x:row>
    <x:row r="1044">
      <x:c r="A1044" s="8" t="n">
        <x:f>A1043+1</x:f>
        <x:v>1041</x:v>
      </x:c>
      <x:c r="B1044" s="9" t="n">
        <x:f>A1044*v01_SeasonSeconds/60</x:f>
        <x:v>260.25</x:v>
      </x:c>
      <x:c r="C1044" s="9" t="n">
        <x:f>A1044/4</x:f>
        <x:v>260.25</x:v>
      </x:c>
      <x:c r="D1044" s="8" t="n">
        <x:f>IF(MOD(A1044,4)=0,1,0)</x:f>
        <x:v>0</x:v>
      </x:c>
      <x:c r="E1044" s="8" t="n">
        <x:f>IF(AND(F1043&lt;=9,AS1043&gt;=AR1043),1,0)</x:f>
        <x:v>0</x:v>
      </x:c>
      <x:c r="F1044" s="8" t="n">
        <x:f>MIN(10,F1043+E1044)</x:f>
        <x:v>5</x:v>
      </x:c>
      <x:c r="G1044" s="8" t="n">
        <x:f>MIN(F1044,9)+1</x:f>
        <x:v>6</x:v>
      </x:c>
      <x:c r="H1044" s="8" t="n">
        <x:f>IF(F1044&lt;=9,1,0)</x:f>
        <x:v>1</x:v>
      </x:c>
      <x:c r="I1044" s="9" t="n">
        <x:f>MIN(10,F1043+IF(AR1043&gt;0,MIN(1,AS1043/AR1043),1))</x:f>
        <x:v>5.1561915341488636</x:v>
      </x:c>
      <x:c r="J1044" s="32" t="n">
        <x:f>INDEX(v01_FoodCap,G1044)*Arch_FoodCap*EXP(v01_CapsByProject*SUMPRODUCT((Cap_Point&lt;=I1044)*(Cap_Kind="Food")*Cap_Ln))</x:f>
        <x:v>500</x:v>
      </x:c>
      <x:c r="K1044" s="32" t="n">
        <x:f>J1044*MIN(1,v01_LeanBase*EXP(v01_CapsByProject*SUMPRODUCT((Cap_Point&lt;=I1044)*(Cap_Kind="Lean")*Cap_Ln)))</x:f>
        <x:v>500</x:v>
      </x:c>
      <x:c r="L1044" s="10" t="n">
        <x:f>INDEX(v01_HousingCap,G1044)*EXP(v01_CapsByProject*SUMPRODUCT((Cap_Point&lt;=I1044)*(Cap_Kind="Housing")*Cap_Ln))</x:f>
        <x:v>800</x:v>
      </x:c>
      <x:c r="M1044" s="10" t="n">
        <x:f>INDEX(v01_GroupCap,G1044)*v01_CohesionFactor*EXP(v01_CapsByProject*SUMPRODUCT((Cap_Point&lt;=I1044)*(Cap_Kind="Group")*Cap_Ln))</x:f>
        <x:v>10000</x:v>
      </x:c>
      <x:c r="N1044" s="32" t="n">
        <x:f>MIN(J1044,L1044,M1044)</x:f>
        <x:v>500</x:v>
      </x:c>
      <x:c r="O1044" s="10" t="n">
        <x:f>AE1043*N1044</x:f>
        <x:v>8000</x:v>
      </x:c>
      <x:c r="P1044" s="9" t="n">
        <x:f>MIN(1,(AB1043/(AE1043*IF(v01_GroupInCrowding=1,N1044,MIN(J1044,L1044))))^v01_CrowdingExp)</x:f>
        <x:v>0.009411689112487404</x:v>
      </x:c>
      <x:c r="Q1044" s="9" t="n">
        <x:f>IF(D1044=1,INDEX(v01_WinterMult,G1044),1)</x:f>
        <x:v>1</x:v>
      </x:c>
      <x:c r="R1044" s="9" t="n">
        <x:f>H1044*Z1043*v01_WomenShare*v01_BaseFertility*INDEX(v01_FertMult,G1044)*Arch_Fertility*(1-P1044)</x:f>
        <x:v>50.803926901948266</x:v>
      </x:c>
      <x:c r="S1044" s="9" t="n">
        <x:f>H1044*Y1043*INDEX(v01_MortChild,G1044)/4*Q1044</x:f>
        <x:v>9.67748215805939</x:v>
      </x:c>
      <x:c r="T1044" s="9" t="n">
        <x:f>H1044*Z1043*INDEX(v01_MortAdult,G1044)*Arch_AdultMort/4*Q1044</x:f>
        <x:v>3.885350047799766</x:v>
      </x:c>
      <x:c r="U1044" s="9" t="n">
        <x:f>H1044*AA1043*INDEX(v01_MortElder,G1044)/4*Q1044</x:f>
        <x:v>8.600979278484886</x:v>
      </x:c>
      <x:c r="V1044" s="9" t="n">
        <x:f>H1044*MAX(0,AB1043-O1044)*v01_OvercapLoss</x:f>
        <x:v>0</x:v>
      </x:c>
      <x:c r="W1044" s="9" t="n">
        <x:f>H1044*Y1043/(v01_ChildYears*4)</x:f>
        <x:v>27.64994902302683</x:v>
      </x:c>
      <x:c r="X1044" s="9" t="n">
        <x:f>H1044*Z1043/(v01_AdultYears*4)</x:f>
        <x:v>12.533387250966987</x:v>
      </x:c>
      <x:c r="Y1044" s="32" t="n">
        <x:f>Y1043+R1044-S1044-W1044-Y1043*V1044/AB1043</x:f>
        <x:v>1561.8736410103645</x:v>
      </x:c>
      <x:c r="Z1044" s="32" t="n">
        <x:f>Z1043+W1044-X1044-T1044-Z1043*V1044/AB1043</x:f>
        <x:v>1565.3712308441663</x:v>
      </x:c>
      <x:c r="AA1044" s="32" t="n">
        <x:f>AA1043+X1044-U1044-AA1043*V1044/AB1043</x:f>
        <x:v>577.331026538141</x:v>
      </x:c>
      <x:c r="AB1044" s="10" t="n">
        <x:f>Y1044+Z1044+AA1044</x:f>
        <x:v>3704.575898392672</x:v>
      </x:c>
      <x:c r="AC1044" s="8" t="n">
        <x:f>IF(AND(v01_WinterTrigger=1,D1044=1,AB1043/AE1043&gt;=K1044),1,0)</x:f>
        <x:v>0</x:v>
      </x:c>
      <x:c r="AD1044" s="8" t="n">
        <x:f>H1044*IF(AND(OR(AB1043/AE1043&gt;=v01_FissionTrigger*N1044,AC1044=1),AB1043/AE1043*v01_DaughterShare&gt;=v01_MinDaughter),MAX(1,ROUND(AE1043*v01_FissionRate,0)),0)</x:f>
        <x:v>0</x:v>
      </x:c>
      <x:c r="AE1044" s="8" t="n">
        <x:f>IF(H1044=1,MAX(1,MIN(INDEX(v01_Smax,G1044),AE1043+AD1044)),AE1043)</x:f>
        <x:v>16</x:v>
      </x:c>
      <x:c r="AF1044" s="8" t="n">
        <x:f>MAX(0,AE1044-AE1043)</x:f>
        <x:v>0</x:v>
      </x:c>
      <x:c r="AG1044" s="9" t="str">
        <x:f>IF(AF1044&gt;0,B1044,"")</x:f>
      </x:c>
      <x:c r="AH1044" s="9" t="n">
        <x:f>IF(F1044&gt;=1,1,(1+v01_LowTiesShare*(AE1044-1))/AE1044)</x:f>
        <x:v>1</x:v>
      </x:c>
      <x:c r="AI1044" s="32" t="n">
        <x:f>(Z1044+v01_ElderCommons*INDEX(LM_Elder,G1044)*AA1044)*AH1044</x:f>
        <x:v>3501.798362132694</x:v>
      </x:c>
      <x:c r="AJ1044" s="32" t="n">
        <x:f>H1044*v01_CommonsCoef*AI1044^v01_CommonsExp*INDEX(LM_Commons,G1044)</x:f>
        <x:v>820.4999141205317</x:v>
      </x:c>
      <x:c r="AK1044" s="32" t="n">
        <x:f>H1044*v01_RoleScale*Arch_Roles*(AE1044*(INDEX(v01_ElderRolePerSett,G1044)*v01_OutElder*INDEX(LM_Elder,G1044)+INDEX(v01_ShamanPerSett,G1044)*v01_OutShaman)+Z1044*(INDEX(v01_PriestShare,G1044)*v01_OutPriest+INDEX(v01_ScribeShare,G1044)*v01_OutScribe*INDEX(LM_Scribe,G1044)+INDEX(v01_ScholarShare,G1044)*v01_OutScholar*INDEX(LM_Scholar,G1044)+INDEX(v01_ResearcherShare,G1044)*v01_OutResearcher*INDEX(LM_Researcher,G1044)))</x:f>
        <x:v>161.83775535739446</x:v>
      </x:c>
      <x:c r="AL1044" s="32" t="n">
        <x:f>H1044*v01_RoleScale*Arch_Roles*AE1044*INDEX(v01_MonasteryPerSett,G1044)*v01_OutMonastery*INDEX(LM_Monastery,G1044)</x:f>
        <x:v>5.034282471216728</x:v>
      </x:c>
      <x:c r="AM1044" s="32" t="n">
        <x:f>(AJ1044+AK1044+AL1044)/4*INDEX(LM_All,G1044)*INDEX(v01_Boon,G1044)*Arch_Insight</x:f>
        <x:v>355.79962220590437</x:v>
      </x:c>
      <x:c r="AN1044" s="32" t="n">
        <x:f>H1044*(v01_KHPerAdult*Z1044+v01_KHOfCommons*AJ1044/4*INDEX(LM_All,G1044))*v01_KHUsable*Arch_KH</x:f>
        <x:v>54.78799307954582</x:v>
      </x:c>
      <x:c r="AO1044" s="32" t="n">
        <x:f>MIN(AP1043+AN1044,AM1044*v01_KHMaxRatio)</x:f>
        <x:v>54.78799307954582</x:v>
      </x:c>
      <x:c r="AP1044" s="32" t="n">
        <x:f>AP1043+AN1044-AO1044</x:f>
        <x:v>0</x:v>
      </x:c>
      <x:c r="AQ1044" s="32" t="n">
        <x:f>AM1044+AO1044</x:f>
        <x:v>410.58761528545017</x:v>
      </x:c>
      <x:c r="AR1044" s="10" t="n">
        <x:f>IF(H1044=1,INDEX(v01_Req,G1044),0)</x:f>
        <x:v>47951.22698</x:v>
      </x:c>
      <x:c r="AS1044" s="32" t="n">
        <x:f>IF(H1044=1,IF(E1044=1,AS1043-AR1043,AS1043)+AQ1044,0)</x:f>
        <x:v>7900.163321612037</x:v>
      </x:c>
      <x:c r="AT1044" s="11" t="n">
        <x:f>IF(AR1044&gt;0,MIN(1,AS1044/AR1044),1)</x:f>
        <x:v>0.1647541433070549</x:v>
      </x:c>
      <x:c r="AU1044" s="10" t="n">
        <x:f>AB1044/INDEX(v01_RepScale,G1044)</x:f>
        <x:v>148.1830359357069</x:v>
      </x:c>
      <x:c r="AV1044" s="32" t="n">
        <x:f>AM1044*60/v01_SeasonSeconds</x:f>
        <x:v>1423.1984888236175</x:v>
      </x:c>
    </x:row>
    <x:row r="1045">
      <x:c r="A1045" s="8" t="n">
        <x:f>A1044+1</x:f>
        <x:v>1042</x:v>
      </x:c>
      <x:c r="B1045" s="9" t="n">
        <x:f>A1045*v01_SeasonSeconds/60</x:f>
        <x:v>260.5</x:v>
      </x:c>
      <x:c r="C1045" s="9" t="n">
        <x:f>A1045/4</x:f>
        <x:v>260.5</x:v>
      </x:c>
      <x:c r="D1045" s="8" t="n">
        <x:f>IF(MOD(A1045,4)=0,1,0)</x:f>
        <x:v>0</x:v>
      </x:c>
      <x:c r="E1045" s="8" t="n">
        <x:f>IF(AND(F1044&lt;=9,AS1044&gt;=AR1044),1,0)</x:f>
        <x:v>0</x:v>
      </x:c>
      <x:c r="F1045" s="8" t="n">
        <x:f>MIN(10,F1044+E1045)</x:f>
        <x:v>5</x:v>
      </x:c>
      <x:c r="G1045" s="8" t="n">
        <x:f>MIN(F1045,9)+1</x:f>
        <x:v>6</x:v>
      </x:c>
      <x:c r="H1045" s="8" t="n">
        <x:f>IF(F1045&lt;=9,1,0)</x:f>
        <x:v>1</x:v>
      </x:c>
      <x:c r="I1045" s="9" t="n">
        <x:f>MIN(10,F1044+IF(AR1044&gt;0,MIN(1,AS1044/AR1044),1))</x:f>
        <x:v>5.1647541433070545</x:v>
      </x:c>
      <x:c r="J1045" s="32" t="n">
        <x:f>INDEX(v01_FoodCap,G1045)*Arch_FoodCap*EXP(v01_CapsByProject*SUMPRODUCT((Cap_Point&lt;=I1045)*(Cap_Kind="Food")*Cap_Ln))</x:f>
        <x:v>500</x:v>
      </x:c>
      <x:c r="K1045" s="32" t="n">
        <x:f>J1045*MIN(1,v01_LeanBase*EXP(v01_CapsByProject*SUMPRODUCT((Cap_Point&lt;=I1045)*(Cap_Kind="Lean")*Cap_Ln)))</x:f>
        <x:v>500</x:v>
      </x:c>
      <x:c r="L1045" s="10" t="n">
        <x:f>INDEX(v01_HousingCap,G1045)*EXP(v01_CapsByProject*SUMPRODUCT((Cap_Point&lt;=I1045)*(Cap_Kind="Housing")*Cap_Ln))</x:f>
        <x:v>800</x:v>
      </x:c>
      <x:c r="M1045" s="10" t="n">
        <x:f>INDEX(v01_GroupCap,G1045)*v01_CohesionFactor*EXP(v01_CapsByProject*SUMPRODUCT((Cap_Point&lt;=I1045)*(Cap_Kind="Group")*Cap_Ln))</x:f>
        <x:v>10000</x:v>
      </x:c>
      <x:c r="N1045" s="32" t="n">
        <x:f>MIN(J1045,L1045,M1045)</x:f>
        <x:v>500</x:v>
      </x:c>
      <x:c r="O1045" s="10" t="n">
        <x:f>AE1044*N1045</x:f>
        <x:v>8000</x:v>
      </x:c>
      <x:c r="P1045" s="9" t="n">
        <x:f>MIN(1,(AB1044/(AE1044*IF(v01_GroupInCrowding=1,N1045,MIN(J1045,L1045))))^v01_CrowdingExp)</x:f>
        <x:v>0.009860321137967027</x:v>
      </x:c>
      <x:c r="Q1045" s="9" t="n">
        <x:f>IF(D1045=1,INDEX(v01_WinterMult,G1045),1)</x:f>
        <x:v>1</x:v>
      </x:c>
      <x:c r="R1045" s="9" t="n">
        <x:f>H1045*Z1044*v01_WomenShare*v01_BaseFertility*INDEX(v01_FertMult,G1045)*Arch_Fertility*(1-P1045)</x:f>
        <x:v>51.14789353766097</x:v>
      </x:c>
      <x:c r="S1045" s="9" t="n">
        <x:f>H1045*Y1044*INDEX(v01_MortChild,G1045)/4*Q1045</x:f>
        <x:v>9.761710256314778</x:v>
      </x:c>
      <x:c r="T1045" s="9" t="n">
        <x:f>H1045*Z1044*INDEX(v01_MortAdult,G1045)*Arch_AdultMort/4*Q1045</x:f>
        <x:v>3.913428077110416</x:v>
      </x:c>
      <x:c r="U1045" s="9" t="n">
        <x:f>H1045*AA1044*INDEX(v01_MortElder,G1045)/4*Q1045</x:f>
        <x:v>8.659965398072115</x:v>
      </x:c>
      <x:c r="V1045" s="9" t="n">
        <x:f>H1045*MAX(0,AB1044-O1045)*v01_OvercapLoss</x:f>
        <x:v>0</x:v>
      </x:c>
      <x:c r="W1045" s="9" t="n">
        <x:f>H1045*Y1044/(v01_ChildYears*4)</x:f>
        <x:v>27.890600732327936</x:v>
      </x:c>
      <x:c r="X1045" s="9" t="n">
        <x:f>H1045*Z1044/(v01_AdultYears*4)</x:f>
        <x:v>12.623961539065858</x:v>
      </x:c>
      <x:c r="Y1045" s="32" t="n">
        <x:f>Y1044+R1045-S1045-W1045-Y1044*V1045/AB1044</x:f>
        <x:v>1575.3692235593828</x:v>
      </x:c>
      <x:c r="Z1045" s="32" t="n">
        <x:f>Z1044+W1045-X1045-T1045-Z1044*V1045/AB1044</x:f>
        <x:v>1576.724441960318</x:v>
      </x:c>
      <x:c r="AA1045" s="32" t="n">
        <x:f>AA1044+X1045-U1045-AA1044*V1045/AB1044</x:f>
        <x:v>581.2950226791347</x:v>
      </x:c>
      <x:c r="AB1045" s="10" t="n">
        <x:f>Y1045+Z1045+AA1045</x:f>
        <x:v>3733.3886881988356</x:v>
      </x:c>
      <x:c r="AC1045" s="8" t="n">
        <x:f>IF(AND(v01_WinterTrigger=1,D1045=1,AB1044/AE1044&gt;=K1045),1,0)</x:f>
        <x:v>0</x:v>
      </x:c>
      <x:c r="AD1045" s="8" t="n">
        <x:f>H1045*IF(AND(OR(AB1044/AE1044&gt;=v01_FissionTrigger*N1045,AC1045=1),AB1044/AE1044*v01_DaughterShare&gt;=v01_MinDaughter),MAX(1,ROUND(AE1044*v01_FissionRate,0)),0)</x:f>
        <x:v>0</x:v>
      </x:c>
      <x:c r="AE1045" s="8" t="n">
        <x:f>IF(H1045=1,MAX(1,MIN(INDEX(v01_Smax,G1045),AE1044+AD1045)),AE1044)</x:f>
        <x:v>16</x:v>
      </x:c>
      <x:c r="AF1045" s="8" t="n">
        <x:f>MAX(0,AE1045-AE1044)</x:f>
        <x:v>0</x:v>
      </x:c>
      <x:c r="AG1045" s="9" t="str">
        <x:f>IF(AF1045&gt;0,B1045,"")</x:f>
      </x:c>
      <x:c r="AH1045" s="9" t="n">
        <x:f>IF(F1045&gt;=1,1,(1+v01_LowTiesShare*(AE1045-1))/AE1045)</x:f>
        <x:v>1</x:v>
      </x:c>
      <x:c r="AI1045" s="32" t="n">
        <x:f>(Z1045+v01_ElderCommons*INDEX(LM_Elder,G1045)*AA1045)*AH1045</x:f>
        <x:v>3526.447220499559</x:v>
      </x:c>
      <x:c r="AJ1045" s="32" t="n">
        <x:f>H1045*v01_CommonsCoef*AI1045^v01_CommonsExp*INDEX(LM_Commons,G1045)</x:f>
        <x:v>825.4064437264525</x:v>
      </x:c>
      <x:c r="AK1045" s="32" t="n">
        <x:f>H1045*v01_RoleScale*Arch_Roles*(AE1045*(INDEX(v01_ElderRolePerSett,G1045)*v01_OutElder*INDEX(LM_Elder,G1045)+INDEX(v01_ShamanPerSett,G1045)*v01_OutShaman)+Z1045*(INDEX(v01_PriestShare,G1045)*v01_OutPriest+INDEX(v01_ScribeShare,G1045)*v01_OutScribe*INDEX(LM_Scribe,G1045)+INDEX(v01_ScholarShare,G1045)*v01_OutScholar*INDEX(LM_Scholar,G1045)+INDEX(v01_ResearcherShare,G1045)*v01_OutResearcher*INDEX(LM_Researcher,G1045)))</x:f>
        <x:v>162.64284394577095</x:v>
      </x:c>
      <x:c r="AL1045" s="32" t="n">
        <x:f>H1045*v01_RoleScale*Arch_Roles*AE1045*INDEX(v01_MonasteryPerSett,G1045)*v01_OutMonastery*INDEX(LM_Monastery,G1045)</x:f>
        <x:v>5.034282471216728</x:v>
      </x:c>
      <x:c r="AM1045" s="32" t="n">
        <x:f>(AJ1045+AK1045+AL1045)/4*INDEX(LM_All,G1045)*INDEX(v01_Boon,G1045)*Arch_Insight</x:f>
        <x:v>357.85780462814523</x:v>
      </x:c>
      <x:c r="AN1045" s="32" t="n">
        <x:f>H1045*(v01_KHPerAdult*Z1045+v01_KHOfCommons*AJ1045/4*INDEX(LM_All,G1045))*v01_KHUsable*Arch_KH</x:f>
        <x:v>55.185355468611135</x:v>
      </x:c>
      <x:c r="AO1045" s="32" t="n">
        <x:f>MIN(AP1044+AN1045,AM1045*v01_KHMaxRatio)</x:f>
        <x:v>55.185355468611135</x:v>
      </x:c>
      <x:c r="AP1045" s="32" t="n">
        <x:f>AP1044+AN1045-AO1045</x:f>
        <x:v>0</x:v>
      </x:c>
      <x:c r="AQ1045" s="32" t="n">
        <x:f>AM1045+AO1045</x:f>
        <x:v>413.04316009675637</x:v>
      </x:c>
      <x:c r="AR1045" s="10" t="n">
        <x:f>IF(H1045=1,INDEX(v01_Req,G1045),0)</x:f>
        <x:v>47951.22698</x:v>
      </x:c>
      <x:c r="AS1045" s="32" t="n">
        <x:f>IF(H1045=1,IF(E1045=1,AS1044-AR1044,AS1044)+AQ1045,0)</x:f>
        <x:v>8313.206481708794</x:v>
      </x:c>
      <x:c r="AT1045" s="11" t="n">
        <x:f>IF(AR1045&gt;0,MIN(1,AS1045/AR1045),1)</x:f>
        <x:v>0.17336796168273552</x:v>
      </x:c>
      <x:c r="AU1045" s="10" t="n">
        <x:f>AB1045/INDEX(v01_RepScale,G1045)</x:f>
        <x:v>149.33554752795342</x:v>
      </x:c>
      <x:c r="AV1045" s="32" t="n">
        <x:f>AM1045*60/v01_SeasonSeconds</x:f>
        <x:v>1431.431218512581</x:v>
      </x:c>
    </x:row>
    <x:row r="1046">
      <x:c r="A1046" s="8" t="n">
        <x:f>A1045+1</x:f>
        <x:v>1043</x:v>
      </x:c>
      <x:c r="B1046" s="9" t="n">
        <x:f>A1046*v01_SeasonSeconds/60</x:f>
        <x:v>260.75</x:v>
      </x:c>
      <x:c r="C1046" s="9" t="n">
        <x:f>A1046/4</x:f>
        <x:v>260.75</x:v>
      </x:c>
      <x:c r="D1046" s="8" t="n">
        <x:f>IF(MOD(A1046,4)=0,1,0)</x:f>
        <x:v>0</x:v>
      </x:c>
      <x:c r="E1046" s="8" t="n">
        <x:f>IF(AND(F1045&lt;=9,AS1045&gt;=AR1045),1,0)</x:f>
        <x:v>0</x:v>
      </x:c>
      <x:c r="F1046" s="8" t="n">
        <x:f>MIN(10,F1045+E1046)</x:f>
        <x:v>5</x:v>
      </x:c>
      <x:c r="G1046" s="8" t="n">
        <x:f>MIN(F1046,9)+1</x:f>
        <x:v>6</x:v>
      </x:c>
      <x:c r="H1046" s="8" t="n">
        <x:f>IF(F1046&lt;=9,1,0)</x:f>
        <x:v>1</x:v>
      </x:c>
      <x:c r="I1046" s="9" t="n">
        <x:f>MIN(10,F1045+IF(AR1045&gt;0,MIN(1,AS1045/AR1045),1))</x:f>
        <x:v>5.173367961682736</x:v>
      </x:c>
      <x:c r="J1046" s="32" t="n">
        <x:f>INDEX(v01_FoodCap,G1046)*Arch_FoodCap*EXP(v01_CapsByProject*SUMPRODUCT((Cap_Point&lt;=I1046)*(Cap_Kind="Food")*Cap_Ln))</x:f>
        <x:v>500</x:v>
      </x:c>
      <x:c r="K1046" s="32" t="n">
        <x:f>J1046*MIN(1,v01_LeanBase*EXP(v01_CapsByProject*SUMPRODUCT((Cap_Point&lt;=I1046)*(Cap_Kind="Lean")*Cap_Ln)))</x:f>
        <x:v>500</x:v>
      </x:c>
      <x:c r="L1046" s="10" t="n">
        <x:f>INDEX(v01_HousingCap,G1046)*EXP(v01_CapsByProject*SUMPRODUCT((Cap_Point&lt;=I1046)*(Cap_Kind="Housing")*Cap_Ln))</x:f>
        <x:v>800</x:v>
      </x:c>
      <x:c r="M1046" s="10" t="n">
        <x:f>INDEX(v01_GroupCap,G1046)*v01_CohesionFactor*EXP(v01_CapsByProject*SUMPRODUCT((Cap_Point&lt;=I1046)*(Cap_Kind="Group")*Cap_Ln))</x:f>
        <x:v>10000</x:v>
      </x:c>
      <x:c r="N1046" s="32" t="n">
        <x:f>MIN(J1046,L1046,M1046)</x:f>
        <x:v>500</x:v>
      </x:c>
      <x:c r="O1046" s="10" t="n">
        <x:f>AE1045*N1046</x:f>
        <x:v>8000</x:v>
      </x:c>
      <x:c r="P1046" s="9" t="n">
        <x:f>MIN(1,(AB1045/(AE1045*IF(v01_GroupInCrowding=1,N1046,MIN(J1046,L1046))))^v01_CrowdingExp)</x:f>
        <x:v>0.010329500516148385</x:v>
      </x:c>
      <x:c r="Q1046" s="9" t="n">
        <x:f>IF(D1046=1,INDEX(v01_WinterMult,G1046),1)</x:f>
        <x:v>1</x:v>
      </x:c>
      <x:c r="R1046" s="9" t="n">
        <x:f>H1046*Z1045*v01_WomenShare*v01_BaseFertility*INDEX(v01_FertMult,G1046)*Arch_Fertility*(1-P1046)</x:f>
        <x:v>51.49444297876775</x:v>
      </x:c>
      <x:c r="S1046" s="9" t="n">
        <x:f>H1046*Y1045*INDEX(v01_MortChild,G1046)/4*Q1046</x:f>
        <x:v>9.846057647246143</x:v>
      </x:c>
      <x:c r="T1046" s="9" t="n">
        <x:f>H1046*Z1045*INDEX(v01_MortAdult,G1046)*Arch_AdultMort/4*Q1046</x:f>
        <x:v>3.941811104900795</x:v>
      </x:c>
      <x:c r="U1046" s="9" t="n">
        <x:f>H1046*AA1045*INDEX(v01_MortElder,G1046)/4*Q1046</x:f>
        <x:v>8.719425340187021</x:v>
      </x:c>
      <x:c r="V1046" s="9" t="n">
        <x:f>H1046*MAX(0,AB1045-O1046)*v01_OvercapLoss</x:f>
        <x:v>0</x:v>
      </x:c>
      <x:c r="W1046" s="9" t="n">
        <x:f>H1046*Y1045/(v01_ChildYears*4)</x:f>
        <x:v>28.13159327784612</x:v>
      </x:c>
      <x:c r="X1046" s="9" t="n">
        <x:f>H1046*Z1045/(v01_AdultYears*4)</x:f>
        <x:v>12.715519693228371</x:v>
      </x:c>
      <x:c r="Y1046" s="32" t="n">
        <x:f>Y1045+R1046-S1046-W1046-Y1045*V1046/AB1045</x:f>
        <x:v>1588.8860156130581</x:v>
      </x:c>
      <x:c r="Z1046" s="32" t="n">
        <x:f>Z1045+W1046-X1046-T1046-Z1045*V1046/AB1045</x:f>
        <x:v>1588.198704440035</x:v>
      </x:c>
      <x:c r="AA1046" s="32" t="n">
        <x:f>AA1045+X1046-U1046-AA1045*V1046/AB1045</x:f>
        <x:v>585.291117032176</x:v>
      </x:c>
      <x:c r="AB1046" s="10" t="n">
        <x:f>Y1046+Z1046+AA1046</x:f>
        <x:v>3762.3758370852693</x:v>
      </x:c>
      <x:c r="AC1046" s="8" t="n">
        <x:f>IF(AND(v01_WinterTrigger=1,D1046=1,AB1045/AE1045&gt;=K1046),1,0)</x:f>
        <x:v>0</x:v>
      </x:c>
      <x:c r="AD1046" s="8" t="n">
        <x:f>H1046*IF(AND(OR(AB1045/AE1045&gt;=v01_FissionTrigger*N1046,AC1046=1),AB1045/AE1045*v01_DaughterShare&gt;=v01_MinDaughter),MAX(1,ROUND(AE1045*v01_FissionRate,0)),0)</x:f>
        <x:v>0</x:v>
      </x:c>
      <x:c r="AE1046" s="8" t="n">
        <x:f>IF(H1046=1,MAX(1,MIN(INDEX(v01_Smax,G1046),AE1045+AD1046)),AE1045)</x:f>
        <x:v>16</x:v>
      </x:c>
      <x:c r="AF1046" s="8" t="n">
        <x:f>MAX(0,AE1046-AE1045)</x:f>
        <x:v>0</x:v>
      </x:c>
      <x:c r="AG1046" s="9" t="str">
        <x:f>IF(AF1046&gt;0,B1046,"")</x:f>
      </x:c>
      <x:c r="AH1046" s="9" t="n">
        <x:f>IF(F1046&gt;=1,1,(1+v01_LowTiesShare*(AE1046-1))/AE1046)</x:f>
        <x:v>1</x:v>
      </x:c>
      <x:c r="AI1046" s="32" t="n">
        <x:f>(Z1046+v01_ElderCommons*INDEX(LM_Elder,G1046)*AA1046)*AH1046</x:f>
        <x:v>3551.324790906131</x:v>
      </x:c>
      <x:c r="AJ1046" s="32" t="n">
        <x:f>H1046*v01_CommonsCoef*AI1046^v01_CommonsExp*INDEX(LM_Commons,G1046)</x:f>
        <x:v>830.3532867919083</x:v>
      </x:c>
      <x:c r="AK1046" s="32" t="n">
        <x:f>H1046*v01_RoleScale*Arch_Roles*(AE1046*(INDEX(v01_ElderRolePerSett,G1046)*v01_OutElder*INDEX(LM_Elder,G1046)+INDEX(v01_ShamanPerSett,G1046)*v01_OutShaman)+Z1046*(INDEX(v01_PriestShare,G1046)*v01_OutPriest+INDEX(v01_ScribeShare,G1046)*v01_OutScribe*INDEX(LM_Scribe,G1046)+INDEX(v01_ScholarShare,G1046)*v01_OutScholar*INDEX(LM_Scholar,G1046)+INDEX(v01_ResearcherShare,G1046)*v01_OutResearcher*INDEX(LM_Researcher,G1046)))</x:f>
        <x:v>163.4565166316699</x:v>
      </x:c>
      <x:c r="AL1046" s="32" t="n">
        <x:f>H1046*v01_RoleScale*Arch_Roles*AE1046*INDEX(v01_MonasteryPerSett,G1046)*v01_OutMonastery*INDEX(LM_Monastery,G1046)</x:f>
        <x:v>5.034282471216728</x:v>
      </x:c>
      <x:c r="AM1046" s="32" t="n">
        <x:f>(AJ1046+AK1046+AL1046)/4*INDEX(LM_All,G1046)*INDEX(v01_Boon,G1046)*Arch_Insight</x:f>
        <x:v>359.9336072919712</x:v>
      </x:c>
      <x:c r="AN1046" s="32" t="n">
        <x:f>H1046*(v01_KHPerAdult*Z1046+v01_KHOfCommons*AJ1046/4*INDEX(LM_All,G1046))*v01_KHUsable*Arch_KH</x:f>
        <x:v>55.58695465540123</x:v>
      </x:c>
      <x:c r="AO1046" s="32" t="n">
        <x:f>MIN(AP1045+AN1046,AM1046*v01_KHMaxRatio)</x:f>
        <x:v>55.58695465540123</x:v>
      </x:c>
      <x:c r="AP1046" s="32" t="n">
        <x:f>AP1045+AN1046-AO1046</x:f>
        <x:v>0</x:v>
      </x:c>
      <x:c r="AQ1046" s="32" t="n">
        <x:f>AM1046+AO1046</x:f>
        <x:v>415.52056194737247</x:v>
      </x:c>
      <x:c r="AR1046" s="10" t="n">
        <x:f>IF(H1046=1,INDEX(v01_Req,G1046),0)</x:f>
        <x:v>47951.22698</x:v>
      </x:c>
      <x:c r="AS1046" s="32" t="n">
        <x:f>IF(H1046=1,IF(E1046=1,AS1045-AR1045,AS1045)+AQ1046,0)</x:f>
        <x:v>8728.727043656167</x:v>
      </x:c>
      <x:c r="AT1046" s="11" t="n">
        <x:f>IF(AR1046&gt;0,MIN(1,AS1046/AR1046),1)</x:f>
        <x:v>0.18203344509405017</x:v>
      </x:c>
      <x:c r="AU1046" s="10" t="n">
        <x:f>AB1046/INDEX(v01_RepScale,G1046)</x:f>
        <x:v>150.49503348341077</x:v>
      </x:c>
      <x:c r="AV1046" s="32" t="n">
        <x:f>AM1046*60/v01_SeasonSeconds</x:f>
        <x:v>1439.7344291678849</x:v>
      </x:c>
    </x:row>
    <x:row r="1047">
      <x:c r="A1047" s="8" t="n">
        <x:f>A1046+1</x:f>
        <x:v>1044</x:v>
      </x:c>
      <x:c r="B1047" s="9" t="n">
        <x:f>A1047*v01_SeasonSeconds/60</x:f>
        <x:v>261</x:v>
      </x:c>
      <x:c r="C1047" s="9" t="n">
        <x:f>A1047/4</x:f>
        <x:v>261</x:v>
      </x:c>
      <x:c r="D1047" s="8" t="n">
        <x:f>IF(MOD(A1047,4)=0,1,0)</x:f>
        <x:v>1</x:v>
      </x:c>
      <x:c r="E1047" s="8" t="n">
        <x:f>IF(AND(F1046&lt;=9,AS1046&gt;=AR1046),1,0)</x:f>
        <x:v>0</x:v>
      </x:c>
      <x:c r="F1047" s="8" t="n">
        <x:f>MIN(10,F1046+E1047)</x:f>
        <x:v>5</x:v>
      </x:c>
      <x:c r="G1047" s="8" t="n">
        <x:f>MIN(F1047,9)+1</x:f>
        <x:v>6</x:v>
      </x:c>
      <x:c r="H1047" s="8" t="n">
        <x:f>IF(F1047&lt;=9,1,0)</x:f>
        <x:v>1</x:v>
      </x:c>
      <x:c r="I1047" s="9" t="n">
        <x:f>MIN(10,F1046+IF(AR1046&gt;0,MIN(1,AS1046/AR1046),1))</x:f>
        <x:v>5.18203344509405</x:v>
      </x:c>
      <x:c r="J1047" s="32" t="n">
        <x:f>INDEX(v01_FoodCap,G1047)*Arch_FoodCap*EXP(v01_CapsByProject*SUMPRODUCT((Cap_Point&lt;=I1047)*(Cap_Kind="Food")*Cap_Ln))</x:f>
        <x:v>500</x:v>
      </x:c>
      <x:c r="K1047" s="32" t="n">
        <x:f>J1047*MIN(1,v01_LeanBase*EXP(v01_CapsByProject*SUMPRODUCT((Cap_Point&lt;=I1047)*(Cap_Kind="Lean")*Cap_Ln)))</x:f>
        <x:v>500</x:v>
      </x:c>
      <x:c r="L1047" s="10" t="n">
        <x:f>INDEX(v01_HousingCap,G1047)*EXP(v01_CapsByProject*SUMPRODUCT((Cap_Point&lt;=I1047)*(Cap_Kind="Housing")*Cap_Ln))</x:f>
        <x:v>800</x:v>
      </x:c>
      <x:c r="M1047" s="10" t="n">
        <x:f>INDEX(v01_GroupCap,G1047)*v01_CohesionFactor*EXP(v01_CapsByProject*SUMPRODUCT((Cap_Point&lt;=I1047)*(Cap_Kind="Group")*Cap_Ln))</x:f>
        <x:v>10000</x:v>
      </x:c>
      <x:c r="N1047" s="32" t="n">
        <x:f>MIN(J1047,L1047,M1047)</x:f>
        <x:v>500</x:v>
      </x:c>
      <x:c r="O1047" s="10" t="n">
        <x:f>AE1046*N1047</x:f>
        <x:v>8000</x:v>
      </x:c>
      <x:c r="P1047" s="9" t="n">
        <x:f>MIN(1,(AB1046/(AE1046*IF(v01_GroupInCrowding=1,N1047,MIN(J1047,L1047))))^v01_CrowdingExp)</x:f>
        <x:v>0.010820146417298738</x:v>
      </x:c>
      <x:c r="Q1047" s="9" t="n">
        <x:f>IF(D1047=1,INDEX(v01_WinterMult,G1047),1)</x:f>
        <x:v>1</x:v>
      </x:c>
      <x:c r="R1047" s="9" t="n">
        <x:f>H1047*Z1046*v01_WomenShare*v01_BaseFertility*INDEX(v01_FertMult,G1047)*Arch_Fertility*(1-P1047)</x:f>
        <x:v>51.843467343301576</x:v>
      </x:c>
      <x:c r="S1047" s="9" t="n">
        <x:f>H1047*Y1046*INDEX(v01_MortChild,G1047)/4*Q1047</x:f>
        <x:v>9.930537597581614</x:v>
      </x:c>
      <x:c r="T1047" s="9" t="n">
        <x:f>H1047*Z1046*INDEX(v01_MortAdult,G1047)*Arch_AdultMort/4*Q1047</x:f>
        <x:v>3.9704967611000876</x:v>
      </x:c>
      <x:c r="U1047" s="9" t="n">
        <x:f>H1047*AA1046*INDEX(v01_MortElder,G1047)/4*Q1047</x:f>
        <x:v>8.77936675548264</x:v>
      </x:c>
      <x:c r="V1047" s="9" t="n">
        <x:f>H1047*MAX(0,AB1046-O1047)*v01_OvercapLoss</x:f>
        <x:v>0</x:v>
      </x:c>
      <x:c r="W1047" s="9" t="n">
        <x:f>H1047*Y1046/(v01_ChildYears*4)</x:f>
        <x:v>28.372964564518895</x:v>
      </x:c>
      <x:c r="X1047" s="9" t="n">
        <x:f>H1047*Z1046/(v01_AdultYears*4)</x:f>
        <x:v>12.808054068064799</x:v>
      </x:c>
      <x:c r="Y1047" s="32" t="n">
        <x:f>Y1046+R1047-S1047-W1047-Y1046*V1047/AB1046</x:f>
        <x:v>1602.4259807942592</x:v>
      </x:c>
      <x:c r="Z1047" s="32" t="n">
        <x:f>Z1046+W1047-X1047-T1047-Z1046*V1047/AB1046</x:f>
        <x:v>1599.793118175389</x:v>
      </x:c>
      <x:c r="AA1047" s="32" t="n">
        <x:f>AA1046+X1047-U1047-AA1046*V1047/AB1046</x:f>
        <x:v>589.3198043447582</x:v>
      </x:c>
      <x:c r="AB1047" s="10" t="n">
        <x:f>Y1047+Z1047+AA1047</x:f>
        <x:v>3791.5389033144065</x:v>
      </x:c>
      <x:c r="AC1047" s="8" t="n">
        <x:f>IF(AND(v01_WinterTrigger=1,D1047=1,AB1046/AE1046&gt;=K1047),1,0)</x:f>
        <x:v>0</x:v>
      </x:c>
      <x:c r="AD1047" s="8" t="n">
        <x:f>H1047*IF(AND(OR(AB1046/AE1046&gt;=v01_FissionTrigger*N1047,AC1047=1),AB1046/AE1046*v01_DaughterShare&gt;=v01_MinDaughter),MAX(1,ROUND(AE1046*v01_FissionRate,0)),0)</x:f>
        <x:v>0</x:v>
      </x:c>
      <x:c r="AE1047" s="8" t="n">
        <x:f>IF(H1047=1,MAX(1,MIN(INDEX(v01_Smax,G1047),AE1046+AD1047)),AE1046)</x:f>
        <x:v>16</x:v>
      </x:c>
      <x:c r="AF1047" s="8" t="n">
        <x:f>MAX(0,AE1047-AE1046)</x:f>
        <x:v>0</x:v>
      </x:c>
      <x:c r="AG1047" s="9" t="str">
        <x:f>IF(AF1047&gt;0,B1047,"")</x:f>
      </x:c>
      <x:c r="AH1047" s="9" t="n">
        <x:f>IF(F1047&gt;=1,1,(1+v01_LowTiesShare*(AE1047-1))/AE1047)</x:f>
        <x:v>1</x:v>
      </x:c>
      <x:c r="AI1047" s="32" t="n">
        <x:f>(Z1047+v01_ElderCommons*INDEX(LM_Elder,G1047)*AA1047)*AH1047</x:f>
        <x:v>3576.431832678022</x:v>
      </x:c>
      <x:c r="AJ1047" s="32" t="n">
        <x:f>H1047*v01_CommonsCoef*AI1047^v01_CommonsExp*INDEX(LM_Commons,G1047)</x:f>
        <x:v>835.3404923705974</x:v>
      </x:c>
      <x:c r="AK1047" s="32" t="n">
        <x:f>H1047*v01_RoleScale*Arch_Roles*(AE1047*(INDEX(v01_ElderRolePerSett,G1047)*v01_OutElder*INDEX(LM_Elder,G1047)+INDEX(v01_ShamanPerSett,G1047)*v01_OutShaman)+Z1047*(INDEX(v01_PriestShare,G1047)*v01_OutPriest+INDEX(v01_ScribeShare,G1047)*v01_OutScribe*INDEX(LM_Scribe,G1047)+INDEX(v01_ScholarShare,G1047)*v01_OutScholar*INDEX(LM_Scholar,G1047)+INDEX(v01_ResearcherShare,G1047)*v01_OutResearcher*INDEX(LM_Researcher,G1047)))</x:f>
        <x:v>164.27870958587027</x:v>
      </x:c>
      <x:c r="AL1047" s="32" t="n">
        <x:f>H1047*v01_RoleScale*Arch_Roles*AE1047*INDEX(v01_MonasteryPerSett,G1047)*v01_OutMonastery*INDEX(LM_Monastery,G1047)</x:f>
        <x:v>5.034282471216728</x:v>
      </x:c>
      <x:c r="AM1047" s="32" t="n">
        <x:f>(AJ1047+AK1047+AL1047)/4*INDEX(LM_All,G1047)*INDEX(v01_Boon,G1047)*Arch_Insight</x:f>
        <x:v>362.0270248730209</x:v>
      </x:c>
      <x:c r="AN1047" s="32" t="n">
        <x:f>H1047*(v01_KHPerAdult*Z1047+v01_KHOfCommons*AJ1047/4*INDEX(LM_All,G1047))*v01_KHUsable*Arch_KH</x:f>
        <x:v>55.99275913613862</x:v>
      </x:c>
      <x:c r="AO1047" s="32" t="n">
        <x:f>MIN(AP1046+AN1047,AM1047*v01_KHMaxRatio)</x:f>
        <x:v>55.99275913613862</x:v>
      </x:c>
      <x:c r="AP1047" s="32" t="n">
        <x:f>AP1046+AN1047-AO1047</x:f>
        <x:v>0</x:v>
      </x:c>
      <x:c r="AQ1047" s="32" t="n">
        <x:f>AM1047+AO1047</x:f>
        <x:v>418.0197840091595</x:v>
      </x:c>
      <x:c r="AR1047" s="10" t="n">
        <x:f>IF(H1047=1,INDEX(v01_Req,G1047),0)</x:f>
        <x:v>47951.22698</x:v>
      </x:c>
      <x:c r="AS1047" s="32" t="n">
        <x:f>IF(H1047=1,IF(E1047=1,AS1046-AR1046,AS1046)+AQ1047,0)</x:f>
        <x:v>9146.746827665325</x:v>
      </x:c>
      <x:c r="AT1047" s="11" t="n">
        <x:f>IF(AR1047&gt;0,MIN(1,AS1047/AR1047),1)</x:f>
        <x:v>0.19075104859111</x:v>
      </x:c>
      <x:c r="AU1047" s="10" t="n">
        <x:f>AB1047/INDEX(v01_RepScale,G1047)</x:f>
        <x:v>151.66155613257627</x:v>
      </x:c>
      <x:c r="AV1047" s="32" t="n">
        <x:f>AM1047*60/v01_SeasonSeconds</x:f>
        <x:v>1448.1080994920835</x:v>
      </x:c>
    </x:row>
    <x:row r="1048">
      <x:c r="A1048" s="8" t="n">
        <x:f>A1047+1</x:f>
        <x:v>1045</x:v>
      </x:c>
      <x:c r="B1048" s="9" t="n">
        <x:f>A1048*v01_SeasonSeconds/60</x:f>
        <x:v>261.25</x:v>
      </x:c>
      <x:c r="C1048" s="9" t="n">
        <x:f>A1048/4</x:f>
        <x:v>261.25</x:v>
      </x:c>
      <x:c r="D1048" s="8" t="n">
        <x:f>IF(MOD(A1048,4)=0,1,0)</x:f>
        <x:v>0</x:v>
      </x:c>
      <x:c r="E1048" s="8" t="n">
        <x:f>IF(AND(F1047&lt;=9,AS1047&gt;=AR1047),1,0)</x:f>
        <x:v>0</x:v>
      </x:c>
      <x:c r="F1048" s="8" t="n">
        <x:f>MIN(10,F1047+E1048)</x:f>
        <x:v>5</x:v>
      </x:c>
      <x:c r="G1048" s="8" t="n">
        <x:f>MIN(F1048,9)+1</x:f>
        <x:v>6</x:v>
      </x:c>
      <x:c r="H1048" s="8" t="n">
        <x:f>IF(F1048&lt;=9,1,0)</x:f>
        <x:v>1</x:v>
      </x:c>
      <x:c r="I1048" s="9" t="n">
        <x:f>MIN(10,F1047+IF(AR1047&gt;0,MIN(1,AS1047/AR1047),1))</x:f>
        <x:v>5.19075104859111</x:v>
      </x:c>
      <x:c r="J1048" s="32" t="n">
        <x:f>INDEX(v01_FoodCap,G1048)*Arch_FoodCap*EXP(v01_CapsByProject*SUMPRODUCT((Cap_Point&lt;=I1048)*(Cap_Kind="Food")*Cap_Ln))</x:f>
        <x:v>500</x:v>
      </x:c>
      <x:c r="K1048" s="32" t="n">
        <x:f>J1048*MIN(1,v01_LeanBase*EXP(v01_CapsByProject*SUMPRODUCT((Cap_Point&lt;=I1048)*(Cap_Kind="Lean")*Cap_Ln)))</x:f>
        <x:v>500</x:v>
      </x:c>
      <x:c r="L1048" s="10" t="n">
        <x:f>INDEX(v01_HousingCap,G1048)*EXP(v01_CapsByProject*SUMPRODUCT((Cap_Point&lt;=I1048)*(Cap_Kind="Housing")*Cap_Ln))</x:f>
        <x:v>800</x:v>
      </x:c>
      <x:c r="M1048" s="10" t="n">
        <x:f>INDEX(v01_GroupCap,G1048)*v01_CohesionFactor*EXP(v01_CapsByProject*SUMPRODUCT((Cap_Point&lt;=I1048)*(Cap_Kind="Group")*Cap_Ln))</x:f>
        <x:v>10000</x:v>
      </x:c>
      <x:c r="N1048" s="32" t="n">
        <x:f>MIN(J1048,L1048,M1048)</x:f>
        <x:v>500</x:v>
      </x:c>
      <x:c r="O1048" s="10" t="n">
        <x:f>AE1047*N1048</x:f>
        <x:v>8000</x:v>
      </x:c>
      <x:c r="P1048" s="9" t="n">
        <x:f>MIN(1,(AB1047/(AE1047*IF(v01_GroupInCrowding=1,N1048,MIN(J1048,L1048))))^v01_CrowdingExp)</x:f>
        <x:v>0.011333216278592627</x:v>
      </x:c>
      <x:c r="Q1048" s="9" t="n">
        <x:f>IF(D1048=1,INDEX(v01_WinterMult,G1048),1)</x:f>
        <x:v>1</x:v>
      </x:c>
      <x:c r="R1048" s="9" t="n">
        <x:f>H1048*Z1047*v01_WomenShare*v01_BaseFertility*INDEX(v01_FertMult,G1048)*Arch_Fertility*(1-P1048)</x:f>
        <x:v>52.19485645328141</x:v>
      </x:c>
      <x:c r="S1048" s="9" t="n">
        <x:f>H1048*Y1047*INDEX(v01_MortChild,G1048)/4*Q1048</x:f>
        <x:v>10.01516237996412</x:v>
      </x:c>
      <x:c r="T1048" s="9" t="n">
        <x:f>H1048*Z1047*INDEX(v01_MortAdult,G1048)*Arch_AdultMort/4*Q1048</x:f>
        <x:v>3.999482795438473</x:v>
      </x:c>
      <x:c r="U1048" s="9" t="n">
        <x:f>H1048*AA1047*INDEX(v01_MortElder,G1048)/4*Q1048</x:f>
        <x:v>8.839797065171371</x:v>
      </x:c>
      <x:c r="V1048" s="9" t="n">
        <x:f>H1048*MAX(0,AB1047-O1048)*v01_OvercapLoss</x:f>
        <x:v>0</x:v>
      </x:c>
      <x:c r="W1048" s="9" t="n">
        <x:f>H1048*Y1047/(v01_ChildYears*4)</x:f>
        <x:v>28.614749657040342</x:v>
      </x:c>
      <x:c r="X1048" s="9" t="n">
        <x:f>H1048*Z1047/(v01_AdultYears*4)</x:f>
        <x:v>12.901557404640235</x:v>
      </x:c>
      <x:c r="Y1048" s="32" t="n">
        <x:f>Y1047+R1048-S1048-W1048-Y1047*V1048/AB1047</x:f>
        <x:v>1615.990925210536</x:v>
      </x:c>
      <x:c r="Z1048" s="32" t="n">
        <x:f>Z1047+W1048-X1048-T1048-Z1047*V1048/AB1047</x:f>
        <x:v>1611.5068276323507</x:v>
      </x:c>
      <x:c r="AA1048" s="32" t="n">
        <x:f>AA1047+X1048-U1048-AA1047*V1048/AB1047</x:f>
        <x:v>593.381564684227</x:v>
      </x:c>
      <x:c r="AB1048" s="10" t="n">
        <x:f>Y1048+Z1048+AA1048</x:f>
        <x:v>3820.879317527114</x:v>
      </x:c>
      <x:c r="AC1048" s="8" t="n">
        <x:f>IF(AND(v01_WinterTrigger=1,D1048=1,AB1047/AE1047&gt;=K1048),1,0)</x:f>
        <x:v>0</x:v>
      </x:c>
      <x:c r="AD1048" s="8" t="n">
        <x:f>H1048*IF(AND(OR(AB1047/AE1047&gt;=v01_FissionTrigger*N1048,AC1048=1),AB1047/AE1047*v01_DaughterShare&gt;=v01_MinDaughter),MAX(1,ROUND(AE1047*v01_FissionRate,0)),0)</x:f>
        <x:v>0</x:v>
      </x:c>
      <x:c r="AE1048" s="8" t="n">
        <x:f>IF(H1048=1,MAX(1,MIN(INDEX(v01_Smax,G1048),AE1047+AD1048)),AE1047)</x:f>
        <x:v>16</x:v>
      </x:c>
      <x:c r="AF1048" s="8" t="n">
        <x:f>MAX(0,AE1048-AE1047)</x:f>
        <x:v>0</x:v>
      </x:c>
      <x:c r="AG1048" s="9" t="str">
        <x:f>IF(AF1048&gt;0,B1048,"")</x:f>
      </x:c>
      <x:c r="AH1048" s="9" t="n">
        <x:f>IF(F1048&gt;=1,1,(1+v01_LowTiesShare*(AE1048-1))/AE1048)</x:f>
        <x:v>1</x:v>
      </x:c>
      <x:c r="AI1048" s="32" t="n">
        <x:f>(Z1048+v01_ElderCommons*INDEX(LM_Elder,G1048)*AA1048)*AH1048</x:f>
        <x:v>3601.769100476031</x:v>
      </x:c>
      <x:c r="AJ1048" s="32" t="n">
        <x:f>H1048*v01_CommonsCoef*AI1048^v01_CommonsExp*INDEX(LM_Commons,G1048)</x:f>
        <x:v>840.3681083234139</x:v>
      </x:c>
      <x:c r="AK1048" s="32" t="n">
        <x:f>H1048*v01_RoleScale*Arch_Roles*(AE1048*(INDEX(v01_ElderRolePerSett,G1048)*v01_OutElder*INDEX(LM_Elder,G1048)+INDEX(v01_ShamanPerSett,G1048)*v01_OutShaman)+Z1048*(INDEX(v01_PriestShare,G1048)*v01_OutPriest+INDEX(v01_ScribeShare,G1048)*v01_OutScribe*INDEX(LM_Scribe,G1048)+INDEX(v01_ScholarShare,G1048)*v01_OutScholar*INDEX(LM_Scholar,G1048)+INDEX(v01_ResearcherShare,G1048)*v01_OutResearcher*INDEX(LM_Researcher,G1048)))</x:f>
        <x:v>165.1093621400134</x:v>
      </x:c>
      <x:c r="AL1048" s="32" t="n">
        <x:f>H1048*v01_RoleScale*Arch_Roles*AE1048*INDEX(v01_MonasteryPerSett,G1048)*v01_OutMonastery*INDEX(LM_Monastery,G1048)</x:f>
        <x:v>5.034282471216728</x:v>
      </x:c>
      <x:c r="AM1048" s="32" t="n">
        <x:f>(AJ1048+AK1048+AL1048)/4*INDEX(LM_All,G1048)*INDEX(v01_Boon,G1048)*Arch_Insight</x:f>
        <x:v>364.1380527561224</x:v>
      </x:c>
      <x:c r="AN1048" s="32" t="n">
        <x:f>H1048*(v01_KHPerAdult*Z1048+v01_KHOfCommons*AJ1048/4*INDEX(LM_All,G1048))*v01_KHUsable*Arch_KH</x:f>
        <x:v>56.40273896713227</x:v>
      </x:c>
      <x:c r="AO1048" s="32" t="n">
        <x:f>MIN(AP1047+AN1048,AM1048*v01_KHMaxRatio)</x:f>
        <x:v>56.40273896713227</x:v>
      </x:c>
      <x:c r="AP1048" s="32" t="n">
        <x:f>AP1047+AN1048-AO1048</x:f>
        <x:v>0</x:v>
      </x:c>
      <x:c r="AQ1048" s="32" t="n">
        <x:f>AM1048+AO1048</x:f>
        <x:v>420.5407917232547</x:v>
      </x:c>
      <x:c r="AR1048" s="10" t="n">
        <x:f>IF(H1048=1,INDEX(v01_Req,G1048),0)</x:f>
        <x:v>47951.22698</x:v>
      </x:c>
      <x:c r="AS1048" s="32" t="n">
        <x:f>IF(H1048=1,IF(E1048=1,AS1047-AR1047,AS1047)+AQ1048,0)</x:f>
        <x:v>9567.28761938858</x:v>
      </x:c>
      <x:c r="AT1048" s="11" t="n">
        <x:f>IF(AR1048&gt;0,MIN(1,AS1048/AR1048),1)</x:f>
        <x:v>0.19952122650331774</x:v>
      </x:c>
      <x:c r="AU1048" s="10" t="n">
        <x:f>AB1048/INDEX(v01_RepScale,G1048)</x:f>
        <x:v>152.83517270108456</x:v>
      </x:c>
      <x:c r="AV1048" s="32" t="n">
        <x:f>AM1048*60/v01_SeasonSeconds</x:f>
        <x:v>1456.5522110244897</x:v>
      </x:c>
    </x:row>
    <x:row r="1049">
      <x:c r="A1049" s="8" t="n">
        <x:f>A1048+1</x:f>
        <x:v>1046</x:v>
      </x:c>
      <x:c r="B1049" s="9" t="n">
        <x:f>A1049*v01_SeasonSeconds/60</x:f>
        <x:v>261.5</x:v>
      </x:c>
      <x:c r="C1049" s="9" t="n">
        <x:f>A1049/4</x:f>
        <x:v>261.5</x:v>
      </x:c>
      <x:c r="D1049" s="8" t="n">
        <x:f>IF(MOD(A1049,4)=0,1,0)</x:f>
        <x:v>0</x:v>
      </x:c>
      <x:c r="E1049" s="8" t="n">
        <x:f>IF(AND(F1048&lt;=9,AS1048&gt;=AR1048),1,0)</x:f>
        <x:v>0</x:v>
      </x:c>
      <x:c r="F1049" s="8" t="n">
        <x:f>MIN(10,F1048+E1049)</x:f>
        <x:v>5</x:v>
      </x:c>
      <x:c r="G1049" s="8" t="n">
        <x:f>MIN(F1049,9)+1</x:f>
        <x:v>6</x:v>
      </x:c>
      <x:c r="H1049" s="8" t="n">
        <x:f>IF(F1049&lt;=9,1,0)</x:f>
        <x:v>1</x:v>
      </x:c>
      <x:c r="I1049" s="9" t="n">
        <x:f>MIN(10,F1048+IF(AR1048&gt;0,MIN(1,AS1048/AR1048),1))</x:f>
        <x:v>5.199521226503318</x:v>
      </x:c>
      <x:c r="J1049" s="32" t="n">
        <x:f>INDEX(v01_FoodCap,G1049)*Arch_FoodCap*EXP(v01_CapsByProject*SUMPRODUCT((Cap_Point&lt;=I1049)*(Cap_Kind="Food")*Cap_Ln))</x:f>
        <x:v>500</x:v>
      </x:c>
      <x:c r="K1049" s="32" t="n">
        <x:f>J1049*MIN(1,v01_LeanBase*EXP(v01_CapsByProject*SUMPRODUCT((Cap_Point&lt;=I1049)*(Cap_Kind="Lean")*Cap_Ln)))</x:f>
        <x:v>500</x:v>
      </x:c>
      <x:c r="L1049" s="10" t="n">
        <x:f>INDEX(v01_HousingCap,G1049)*EXP(v01_CapsByProject*SUMPRODUCT((Cap_Point&lt;=I1049)*(Cap_Kind="Housing")*Cap_Ln))</x:f>
        <x:v>800</x:v>
      </x:c>
      <x:c r="M1049" s="10" t="n">
        <x:f>INDEX(v01_GroupCap,G1049)*v01_CohesionFactor*EXP(v01_CapsByProject*SUMPRODUCT((Cap_Point&lt;=I1049)*(Cap_Kind="Group")*Cap_Ln))</x:f>
        <x:v>10000</x:v>
      </x:c>
      <x:c r="N1049" s="32" t="n">
        <x:f>MIN(J1049,L1049,M1049)</x:f>
        <x:v>500</x:v>
      </x:c>
      <x:c r="O1049" s="10" t="n">
        <x:f>AE1048*N1049</x:f>
        <x:v>8000</x:v>
      </x:c>
      <x:c r="P1049" s="9" t="n">
        <x:f>MIN(1,(AB1048/(AE1048*IF(v01_GroupInCrowding=1,N1049,MIN(J1049,L1049))))^v01_CrowdingExp)</x:f>
        <x:v>0.011869707100247052</x:v>
      </x:c>
      <x:c r="Q1049" s="9" t="n">
        <x:f>IF(D1049=1,INDEX(v01_WinterMult,G1049),1)</x:f>
        <x:v>1</x:v>
      </x:c>
      <x:c r="R1049" s="9" t="n">
        <x:f>H1049*Z1048*v01_WomenShare*v01_BaseFertility*INDEX(v01_FertMult,G1049)*Arch_Fertility*(1-P1049)</x:f>
        <x:v>52.54849754874411</x:v>
      </x:c>
      <x:c r="S1049" s="9" t="n">
        <x:f>H1049*Y1048*INDEX(v01_MortChild,G1049)/4*Q1049</x:f>
        <x:v>10.099943282565851</x:v>
      </x:c>
      <x:c r="T1049" s="9" t="n">
        <x:f>H1049*Z1048*INDEX(v01_MortAdult,G1049)*Arch_AdultMort/4*Q1049</x:f>
        <x:v>4.028767069080876</x:v>
      </x:c>
      <x:c r="U1049" s="9" t="n">
        <x:f>H1049*AA1048*INDEX(v01_MortElder,G1049)/4*Q1049</x:f>
        <x:v>8.900723470263404</x:v>
      </x:c>
      <x:c r="V1049" s="9" t="n">
        <x:f>H1049*MAX(0,AB1048-O1049)*v01_OvercapLoss</x:f>
        <x:v>0</x:v>
      </x:c>
      <x:c r="W1049" s="9" t="n">
        <x:f>H1049*Y1048/(v01_ChildYears*4)</x:f>
        <x:v>28.856980807331002</x:v>
      </x:c>
      <x:c r="X1049" s="9" t="n">
        <x:f>H1049*Z1048/(v01_AdultYears*4)</x:f>
        <x:v>12.9960228034867</x:v>
      </x:c>
      <x:c r="Y1049" s="32" t="n">
        <x:f>Y1048+R1049-S1049-W1049-Y1048*V1049/AB1048</x:f>
        <x:v>1629.5824986693833</x:v>
      </x:c>
      <x:c r="Z1049" s="32" t="n">
        <x:f>Z1048+W1049-X1049-T1049-Z1048*V1049/AB1048</x:f>
        <x:v>1623.339018567114</x:v>
      </x:c>
      <x:c r="AA1049" s="32" t="n">
        <x:f>AA1048+X1049-U1049-AA1048*V1049/AB1048</x:f>
        <x:v>597.4768640174502</x:v>
      </x:c>
      <x:c r="AB1049" s="10" t="n">
        <x:f>Y1049+Z1049+AA1049</x:f>
        <x:v>3850.3983812539477</x:v>
      </x:c>
      <x:c r="AC1049" s="8" t="n">
        <x:f>IF(AND(v01_WinterTrigger=1,D1049=1,AB1048/AE1048&gt;=K1049),1,0)</x:f>
        <x:v>0</x:v>
      </x:c>
      <x:c r="AD1049" s="8" t="n">
        <x:f>H1049*IF(AND(OR(AB1048/AE1048&gt;=v01_FissionTrigger*N1049,AC1049=1),AB1048/AE1048*v01_DaughterShare&gt;=v01_MinDaughter),MAX(1,ROUND(AE1048*v01_FissionRate,0)),0)</x:f>
        <x:v>0</x:v>
      </x:c>
      <x:c r="AE1049" s="8" t="n">
        <x:f>IF(H1049=1,MAX(1,MIN(INDEX(v01_Smax,G1049),AE1048+AD1049)),AE1048)</x:f>
        <x:v>16</x:v>
      </x:c>
      <x:c r="AF1049" s="8" t="n">
        <x:f>MAX(0,AE1049-AE1048)</x:f>
        <x:v>0</x:v>
      </x:c>
      <x:c r="AG1049" s="9" t="str">
        <x:f>IF(AF1049&gt;0,B1049,"")</x:f>
      </x:c>
      <x:c r="AH1049" s="9" t="n">
        <x:f>IF(F1049&gt;=1,1,(1+v01_LowTiesShare*(AE1049-1))/AE1049)</x:f>
        <x:v>1</x:v>
      </x:c>
      <x:c r="AI1049" s="32" t="n">
        <x:f>(Z1049+v01_ElderCommons*INDEX(LM_Elder,G1049)*AA1049)*AH1049</x:f>
        <x:v>3627.337342956739</x:v>
      </x:c>
      <x:c r="AJ1049" s="32" t="n">
        <x:f>H1049*v01_CommonsCoef*AI1049^v01_CommonsExp*INDEX(LM_Commons,G1049)</x:f>
        <x:v>845.4361810651462</x:v>
      </x:c>
      <x:c r="AK1049" s="32" t="n">
        <x:f>H1049*v01_RoleScale*Arch_Roles*(AE1049*(INDEX(v01_ElderRolePerSett,G1049)*v01_OutElder*INDEX(LM_Elder,G1049)+INDEX(v01_ShamanPerSett,G1049)*v01_OutShaman)+Z1049*(INDEX(v01_PriestShare,G1049)*v01_OutPriest+INDEX(v01_ScribeShare,G1049)*v01_OutScribe*INDEX(LM_Scribe,G1049)+INDEX(v01_ScholarShare,G1049)*v01_OutScholar*INDEX(LM_Scholar,G1049)+INDEX(v01_ResearcherShare,G1049)*v01_OutResearcher*INDEX(LM_Researcher,G1049)))</x:f>
        <x:v>165.94841655374816</x:v>
      </x:c>
      <x:c r="AL1049" s="32" t="n">
        <x:f>H1049*v01_RoleScale*Arch_Roles*AE1049*INDEX(v01_MonasteryPerSett,G1049)*v01_OutMonastery*INDEX(LM_Monastery,G1049)</x:f>
        <x:v>5.034282471216728</x:v>
      </x:c>
      <x:c r="AM1049" s="32" t="n">
        <x:f>(AJ1049+AK1049+AL1049)/4*INDEX(LM_All,G1049)*INDEX(v01_Boon,G1049)*Arch_Insight</x:f>
        <x:v>366.2666868601076</x:v>
      </x:c>
      <x:c r="AN1049" s="32" t="n">
        <x:f>H1049*(v01_KHPerAdult*Z1049+v01_KHOfCommons*AJ1049/4*INDEX(LM_All,G1049))*v01_KHUsable*Arch_KH</x:f>
        <x:v>56.816865649848985</x:v>
      </x:c>
      <x:c r="AO1049" s="32" t="n">
        <x:f>MIN(AP1048+AN1049,AM1049*v01_KHMaxRatio)</x:f>
        <x:v>56.816865649848985</x:v>
      </x:c>
      <x:c r="AP1049" s="32" t="n">
        <x:f>AP1048+AN1049-AO1049</x:f>
        <x:v>0</x:v>
      </x:c>
      <x:c r="AQ1049" s="32" t="n">
        <x:f>AM1049+AO1049</x:f>
        <x:v>423.0835525099566</x:v>
      </x:c>
      <x:c r="AR1049" s="10" t="n">
        <x:f>IF(H1049=1,INDEX(v01_Req,G1049),0)</x:f>
        <x:v>47951.22698</x:v>
      </x:c>
      <x:c r="AS1049" s="32" t="n">
        <x:f>IF(H1049=1,IF(E1049=1,AS1048-AR1048,AS1048)+AQ1049,0)</x:f>
        <x:v>9990.371171898538</x:v>
      </x:c>
      <x:c r="AT1049" s="11" t="n">
        <x:f>IF(AR1049&gt;0,MIN(1,AS1049/AR1049),1)</x:f>
        <x:v>0.20834443248064177</x:v>
      </x:c>
      <x:c r="AU1049" s="10" t="n">
        <x:f>AB1049/INDEX(v01_RepScale,G1049)</x:f>
        <x:v>154.0159352501579</x:v>
      </x:c>
      <x:c r="AV1049" s="32" t="n">
        <x:f>AM1049*60/v01_SeasonSeconds</x:f>
        <x:v>1465.0667474404304</x:v>
      </x:c>
    </x:row>
    <x:row r="1050">
      <x:c r="A1050" s="8" t="n">
        <x:f>A1049+1</x:f>
        <x:v>1047</x:v>
      </x:c>
      <x:c r="B1050" s="9" t="n">
        <x:f>A1050*v01_SeasonSeconds/60</x:f>
        <x:v>261.75</x:v>
      </x:c>
      <x:c r="C1050" s="9" t="n">
        <x:f>A1050/4</x:f>
        <x:v>261.75</x:v>
      </x:c>
      <x:c r="D1050" s="8" t="n">
        <x:f>IF(MOD(A1050,4)=0,1,0)</x:f>
        <x:v>0</x:v>
      </x:c>
      <x:c r="E1050" s="8" t="n">
        <x:f>IF(AND(F1049&lt;=9,AS1049&gt;=AR1049),1,0)</x:f>
        <x:v>0</x:v>
      </x:c>
      <x:c r="F1050" s="8" t="n">
        <x:f>MIN(10,F1049+E1050)</x:f>
        <x:v>5</x:v>
      </x:c>
      <x:c r="G1050" s="8" t="n">
        <x:f>MIN(F1050,9)+1</x:f>
        <x:v>6</x:v>
      </x:c>
      <x:c r="H1050" s="8" t="n">
        <x:f>IF(F1050&lt;=9,1,0)</x:f>
        <x:v>1</x:v>
      </x:c>
      <x:c r="I1050" s="9" t="n">
        <x:f>MIN(10,F1049+IF(AR1049&gt;0,MIN(1,AS1049/AR1049),1))</x:f>
        <x:v>5.208344432480642</x:v>
      </x:c>
      <x:c r="J1050" s="32" t="n">
        <x:f>INDEX(v01_FoodCap,G1050)*Arch_FoodCap*EXP(v01_CapsByProject*SUMPRODUCT((Cap_Point&lt;=I1050)*(Cap_Kind="Food")*Cap_Ln))</x:f>
        <x:v>500</x:v>
      </x:c>
      <x:c r="K1050" s="32" t="n">
        <x:f>J1050*MIN(1,v01_LeanBase*EXP(v01_CapsByProject*SUMPRODUCT((Cap_Point&lt;=I1050)*(Cap_Kind="Lean")*Cap_Ln)))</x:f>
        <x:v>500</x:v>
      </x:c>
      <x:c r="L1050" s="10" t="n">
        <x:f>INDEX(v01_HousingCap,G1050)*EXP(v01_CapsByProject*SUMPRODUCT((Cap_Point&lt;=I1050)*(Cap_Kind="Housing")*Cap_Ln))</x:f>
        <x:v>800</x:v>
      </x:c>
      <x:c r="M1050" s="10" t="n">
        <x:f>INDEX(v01_GroupCap,G1050)*v01_CohesionFactor*EXP(v01_CapsByProject*SUMPRODUCT((Cap_Point&lt;=I1050)*(Cap_Kind="Group")*Cap_Ln))</x:f>
        <x:v>10000</x:v>
      </x:c>
      <x:c r="N1050" s="32" t="n">
        <x:f>MIN(J1050,L1050,M1050)</x:f>
        <x:v>500</x:v>
      </x:c>
      <x:c r="O1050" s="10" t="n">
        <x:f>AE1049*N1050</x:f>
        <x:v>8000</x:v>
      </x:c>
      <x:c r="P1050" s="9" t="n">
        <x:f>MIN(1,(AB1049/(AE1049*IF(v01_GroupInCrowding=1,N1050,MIN(J1050,L1050))))^v01_CrowdingExp)</x:f>
        <x:v>0.012430656755921131</x:v>
      </x:c>
      <x:c r="Q1050" s="9" t="n">
        <x:f>IF(D1050=1,INDEX(v01_WinterMult,G1050),1)</x:f>
        <x:v>1</x:v>
      </x:c>
      <x:c r="R1050" s="9" t="n">
        <x:f>H1050*Z1049*v01_WomenShare*v01_BaseFertility*INDEX(v01_FertMult,G1050)*Arch_Fertility*(1-P1050)</x:f>
        <x:v>52.904274998150804</x:v>
      </x:c>
      <x:c r="S1050" s="9" t="n">
        <x:f>H1050*Y1049*INDEX(v01_MortChild,G1050)/4*Q1050</x:f>
        <x:v>10.184890616683646</x:v>
      </x:c>
      <x:c r="T1050" s="9" t="n">
        <x:f>H1050*Z1049*INDEX(v01_MortAdult,G1050)*Arch_AdultMort/4*Q1050</x:f>
        <x:v>4.058347546417785</x:v>
      </x:c>
      <x:c r="U1050" s="9" t="n">
        <x:f>H1050*AA1049*INDEX(v01_MortElder,G1050)/4*Q1050</x:f>
        <x:v>8.962152960261752</x:v>
      </x:c>
      <x:c r="V1050" s="9" t="n">
        <x:f>H1050*MAX(0,AB1049-O1050)*v01_OvercapLoss</x:f>
        <x:v>0</x:v>
      </x:c>
      <x:c r="W1050" s="9" t="n">
        <x:f>H1050*Y1049/(v01_ChildYears*4)</x:f>
        <x:v>29.099687476238987</x:v>
      </x:c>
      <x:c r="X1050" s="9" t="n">
        <x:f>H1050*Z1049/(v01_AdultYears*4)</x:f>
        <x:v>13.091443698121887</x:v>
      </x:c>
      <x:c r="Y1050" s="32" t="n">
        <x:f>Y1049+R1050-S1050-W1050-Y1049*V1050/AB1049</x:f>
        <x:v>1643.2021955746116</x:v>
      </x:c>
      <x:c r="Z1050" s="32" t="n">
        <x:f>Z1049+W1050-X1050-T1050-Z1049*V1050/AB1049</x:f>
        <x:v>1635.2889147988135</x:v>
      </x:c>
      <x:c r="AA1050" s="32" t="n">
        <x:f>AA1049+X1050-U1050-AA1049*V1050/AB1049</x:f>
        <x:v>601.6061547553104</x:v>
      </x:c>
      <x:c r="AB1050" s="10" t="n">
        <x:f>Y1050+Z1050+AA1050</x:f>
        <x:v>3880.097265128735</x:v>
      </x:c>
      <x:c r="AC1050" s="8" t="n">
        <x:f>IF(AND(v01_WinterTrigger=1,D1050=1,AB1049/AE1049&gt;=K1050),1,0)</x:f>
        <x:v>0</x:v>
      </x:c>
      <x:c r="AD1050" s="8" t="n">
        <x:f>H1050*IF(AND(OR(AB1049/AE1049&gt;=v01_FissionTrigger*N1050,AC1050=1),AB1049/AE1049*v01_DaughterShare&gt;=v01_MinDaughter),MAX(1,ROUND(AE1049*v01_FissionRate,0)),0)</x:f>
        <x:v>0</x:v>
      </x:c>
      <x:c r="AE1050" s="8" t="n">
        <x:f>IF(H1050=1,MAX(1,MIN(INDEX(v01_Smax,G1050),AE1049+AD1050)),AE1049)</x:f>
        <x:v>16</x:v>
      </x:c>
      <x:c r="AF1050" s="8" t="n">
        <x:f>MAX(0,AE1050-AE1049)</x:f>
        <x:v>0</x:v>
      </x:c>
      <x:c r="AG1050" s="9" t="str">
        <x:f>IF(AF1050&gt;0,B1050,"")</x:f>
      </x:c>
      <x:c r="AH1050" s="9" t="n">
        <x:f>IF(F1050&gt;=1,1,(1+v01_LowTiesShare*(AE1050-1))/AE1050)</x:f>
        <x:v>1</x:v>
      </x:c>
      <x:c r="AI1050" s="32" t="n">
        <x:f>(Z1050+v01_ElderCommons*INDEX(LM_Elder,G1050)*AA1050)*AH1050</x:f>
        <x:v>3653.137301371512</x:v>
      </x:c>
      <x:c r="AJ1050" s="32" t="n">
        <x:f>H1050*v01_CommonsCoef*AI1050^v01_CommonsExp*INDEX(LM_Commons,G1050)</x:f>
        <x:v>850.5447553005617</x:v>
      </x:c>
      <x:c r="AK1050" s="32" t="n">
        <x:f>H1050*v01_RoleScale*Arch_Roles*(AE1050*(INDEX(v01_ElderRolePerSett,G1050)*v01_OutElder*INDEX(LM_Elder,G1050)+INDEX(v01_ShamanPerSett,G1050)*v01_OutShaman)+Z1050*(INDEX(v01_PriestShare,G1050)*v01_OutPriest+INDEX(v01_ScribeShare,G1050)*v01_OutScribe*INDEX(LM_Scribe,G1050)+INDEX(v01_ScholarShare,G1050)*v01_OutScholar*INDEX(LM_Scholar,G1050)+INDEX(v01_ResearcherShare,G1050)*v01_OutResearcher*INDEX(LM_Researcher,G1050)))</x:f>
        <x:v>166.79581778587516</x:v>
      </x:c>
      <x:c r="AL1050" s="32" t="n">
        <x:f>H1050*v01_RoleScale*Arch_Roles*AE1050*INDEX(v01_MonasteryPerSett,G1050)*v01_OutMonastery*INDEX(LM_Monastery,G1050)</x:f>
        <x:v>5.034282471216728</x:v>
      </x:c>
      <x:c r="AM1050" s="32" t="n">
        <x:f>(AJ1050+AK1050+AL1050)/4*INDEX(LM_All,G1050)*INDEX(v01_Boon,G1050)*Arch_Insight</x:f>
        <x:v>368.41292346024187</x:v>
      </x:c>
      <x:c r="AN1050" s="32" t="n">
        <x:f>H1050*(v01_KHPerAdult*Z1050+v01_KHOfCommons*AJ1050/4*INDEX(LM_All,G1050))*v01_KHUsable*Arch_KH</x:f>
        <x:v>57.23511201795847</x:v>
      </x:c>
      <x:c r="AO1050" s="32" t="n">
        <x:f>MIN(AP1049+AN1050,AM1050*v01_KHMaxRatio)</x:f>
        <x:v>57.23511201795847</x:v>
      </x:c>
      <x:c r="AP1050" s="32" t="n">
        <x:f>AP1049+AN1050-AO1050</x:f>
        <x:v>0</x:v>
      </x:c>
      <x:c r="AQ1050" s="32" t="n">
        <x:f>AM1050+AO1050</x:f>
        <x:v>425.6480354782003</x:v>
      </x:c>
      <x:c r="AR1050" s="10" t="n">
        <x:f>IF(H1050=1,INDEX(v01_Req,G1050),0)</x:f>
        <x:v>47951.22698</x:v>
      </x:c>
      <x:c r="AS1050" s="32" t="n">
        <x:f>IF(H1050=1,IF(E1050=1,AS1049-AR1049,AS1049)+AQ1050,0)</x:f>
        <x:v>10416.019207376738</x:v>
      </x:c>
      <x:c r="AT1050" s="11" t="n">
        <x:f>IF(AR1050&gt;0,MIN(1,AS1050/AR1050),1)</x:f>
        <x:v>0.21722111952883208</x:v>
      </x:c>
      <x:c r="AU1050" s="10" t="n">
        <x:f>AB1050/INDEX(v01_RepScale,G1050)</x:f>
        <x:v>155.2038906051494</x:v>
      </x:c>
      <x:c r="AV1050" s="32" t="n">
        <x:f>AM1050*60/v01_SeasonSeconds</x:f>
        <x:v>1473.6516938409675</x:v>
      </x:c>
    </x:row>
    <x:row r="1051">
      <x:c r="A1051" s="8" t="n">
        <x:f>A1050+1</x:f>
        <x:v>1048</x:v>
      </x:c>
      <x:c r="B1051" s="9" t="n">
        <x:f>A1051*v01_SeasonSeconds/60</x:f>
        <x:v>262</x:v>
      </x:c>
      <x:c r="C1051" s="9" t="n">
        <x:f>A1051/4</x:f>
        <x:v>262</x:v>
      </x:c>
      <x:c r="D1051" s="8" t="n">
        <x:f>IF(MOD(A1051,4)=0,1,0)</x:f>
        <x:v>1</x:v>
      </x:c>
      <x:c r="E1051" s="8" t="n">
        <x:f>IF(AND(F1050&lt;=9,AS1050&gt;=AR1050),1,0)</x:f>
        <x:v>0</x:v>
      </x:c>
      <x:c r="F1051" s="8" t="n">
        <x:f>MIN(10,F1050+E1051)</x:f>
        <x:v>5</x:v>
      </x:c>
      <x:c r="G1051" s="8" t="n">
        <x:f>MIN(F1051,9)+1</x:f>
        <x:v>6</x:v>
      </x:c>
      <x:c r="H1051" s="8" t="n">
        <x:f>IF(F1051&lt;=9,1,0)</x:f>
        <x:v>1</x:v>
      </x:c>
      <x:c r="I1051" s="9" t="n">
        <x:f>MIN(10,F1050+IF(AR1050&gt;0,MIN(1,AS1050/AR1050),1))</x:f>
        <x:v>5.2172211195288325</x:v>
      </x:c>
      <x:c r="J1051" s="32" t="n">
        <x:f>INDEX(v01_FoodCap,G1051)*Arch_FoodCap*EXP(v01_CapsByProject*SUMPRODUCT((Cap_Point&lt;=I1051)*(Cap_Kind="Food")*Cap_Ln))</x:f>
        <x:v>500</x:v>
      </x:c>
      <x:c r="K1051" s="32" t="n">
        <x:f>J1051*MIN(1,v01_LeanBase*EXP(v01_CapsByProject*SUMPRODUCT((Cap_Point&lt;=I1051)*(Cap_Kind="Lean")*Cap_Ln)))</x:f>
        <x:v>500</x:v>
      </x:c>
      <x:c r="L1051" s="10" t="n">
        <x:f>INDEX(v01_HousingCap,G1051)*EXP(v01_CapsByProject*SUMPRODUCT((Cap_Point&lt;=I1051)*(Cap_Kind="Housing")*Cap_Ln))</x:f>
        <x:v>800</x:v>
      </x:c>
      <x:c r="M1051" s="10" t="n">
        <x:f>INDEX(v01_GroupCap,G1051)*v01_CohesionFactor*EXP(v01_CapsByProject*SUMPRODUCT((Cap_Point&lt;=I1051)*(Cap_Kind="Group")*Cap_Ln))</x:f>
        <x:v>10000</x:v>
      </x:c>
      <x:c r="N1051" s="32" t="n">
        <x:f>MIN(J1051,L1051,M1051)</x:f>
        <x:v>500</x:v>
      </x:c>
      <x:c r="O1051" s="10" t="n">
        <x:f>AE1050*N1051</x:f>
        <x:v>8000</x:v>
      </x:c>
      <x:c r="P1051" s="9" t="n">
        <x:f>MIN(1,(AB1050/(AE1050*IF(v01_GroupInCrowding=1,N1051,MIN(J1051,L1051))))^v01_CrowdingExp)</x:f>
        <x:v>0.01301714531397595</x:v>
      </x:c>
      <x:c r="Q1051" s="9" t="n">
        <x:f>IF(D1051=1,INDEX(v01_WinterMult,G1051),1)</x:f>
        <x:v>1</x:v>
      </x:c>
      <x:c r="R1051" s="9" t="n">
        <x:f>H1051*Z1050*v01_WomenShare*v01_BaseFertility*INDEX(v01_FertMult,G1051)*Arch_Fertility*(1-P1051)</x:f>
        <x:v>53.26207000502993</x:v>
      </x:c>
      <x:c r="S1051" s="9" t="n">
        <x:f>H1051*Y1050*INDEX(v01_MortChild,G1051)/4*Q1051</x:f>
        <x:v>10.270013722341323</x:v>
      </x:c>
      <x:c r="T1051" s="9" t="n">
        <x:f>H1051*Z1050*INDEX(v01_MortAdult,G1051)*Arch_AdultMort/4*Q1051</x:f>
        <x:v>4.088222286997034</x:v>
      </x:c>
      <x:c r="U1051" s="9" t="n">
        <x:f>H1051*AA1050*INDEX(v01_MortElder,G1051)/4*Q1051</x:f>
        <x:v>9.024092321329656</x:v>
      </x:c>
      <x:c r="V1051" s="9" t="n">
        <x:f>H1051*MAX(0,AB1050-O1051)*v01_OvercapLoss</x:f>
        <x:v>0</x:v>
      </x:c>
      <x:c r="W1051" s="9" t="n">
        <x:f>H1051*Y1050/(v01_ChildYears*4)</x:f>
        <x:v>29.342896349546635</x:v>
      </x:c>
      <x:c r="X1051" s="9" t="n">
        <x:f>H1051*Z1050/(v01_AdultYears*4)</x:f>
        <x:v>13.187813829022689</x:v>
      </x:c>
      <x:c r="Y1051" s="32" t="n">
        <x:f>Y1050+R1051-S1051-W1051-Y1050*V1051/AB1050</x:f>
        <x:v>1656.8513555077536</x:v>
      </x:c>
      <x:c r="Z1051" s="32" t="n">
        <x:f>Z1050+W1051-X1051-T1051-Z1050*V1051/AB1050</x:f>
        <x:v>1647.3557750323405</x:v>
      </x:c>
      <x:c r="AA1051" s="32" t="n">
        <x:f>AA1050+X1051-U1051-AA1050*V1051/AB1050</x:f>
        <x:v>605.7698762630034</x:v>
      </x:c>
      <x:c r="AB1051" s="10" t="n">
        <x:f>Y1051+Z1051+AA1051</x:f>
        <x:v>3909.9770068030975</x:v>
      </x:c>
      <x:c r="AC1051" s="8" t="n">
        <x:f>IF(AND(v01_WinterTrigger=1,D1051=1,AB1050/AE1050&gt;=K1051),1,0)</x:f>
        <x:v>0</x:v>
      </x:c>
      <x:c r="AD1051" s="8" t="n">
        <x:f>H1051*IF(AND(OR(AB1050/AE1050&gt;=v01_FissionTrigger*N1051,AC1051=1),AB1050/AE1050*v01_DaughterShare&gt;=v01_MinDaughter),MAX(1,ROUND(AE1050*v01_FissionRate,0)),0)</x:f>
        <x:v>0</x:v>
      </x:c>
      <x:c r="AE1051" s="8" t="n">
        <x:f>IF(H1051=1,MAX(1,MIN(INDEX(v01_Smax,G1051),AE1050+AD1051)),AE1050)</x:f>
        <x:v>16</x:v>
      </x:c>
      <x:c r="AF1051" s="8" t="n">
        <x:f>MAX(0,AE1051-AE1050)</x:f>
        <x:v>0</x:v>
      </x:c>
      <x:c r="AG1051" s="9" t="str">
        <x:f>IF(AF1051&gt;0,B1051,"")</x:f>
      </x:c>
      <x:c r="AH1051" s="9" t="n">
        <x:f>IF(F1051&gt;=1,1,(1+v01_LowTiesShare*(AE1051-1))/AE1051)</x:f>
        <x:v>1</x:v>
      </x:c>
      <x:c r="AI1051" s="32" t="n">
        <x:f>(Z1051+v01_ElderCommons*INDEX(LM_Elder,G1051)*AA1051)*AH1051</x:f>
        <x:v>3679.169708100909</x:v>
      </x:c>
      <x:c r="AJ1051" s="32" t="n">
        <x:f>H1051*v01_CommonsCoef*AI1051^v01_CommonsExp*INDEX(LM_Commons,G1051)</x:f>
        <x:v>855.6938737493845</x:v>
      </x:c>
      <x:c r="AK1051" s="32" t="n">
        <x:f>H1051*v01_RoleScale*Arch_Roles*(AE1051*(INDEX(v01_ElderRolePerSett,G1051)*v01_OutElder*INDEX(LM_Elder,G1051)+INDEX(v01_ShamanPerSett,G1051)*v01_OutShaman)+Z1051*(INDEX(v01_PriestShare,G1051)*v01_OutPriest+INDEX(v01_ScribeShare,G1051)*v01_OutScribe*INDEX(LM_Scribe,G1051)+INDEX(v01_ScholarShare,G1051)*v01_OutScholar*INDEX(LM_Scholar,G1051)+INDEX(v01_ResearcherShare,G1051)*v01_OutResearcher*INDEX(LM_Researcher,G1051)))</x:f>
        <x:v>167.6515132690434</x:v>
      </x:c>
      <x:c r="AL1051" s="32" t="n">
        <x:f>H1051*v01_RoleScale*Arch_Roles*AE1051*INDEX(v01_MonasteryPerSett,G1051)*v01_OutMonastery*INDEX(LM_Monastery,G1051)</x:f>
        <x:v>5.034282471216728</x:v>
      </x:c>
      <x:c r="AM1051" s="32" t="n">
        <x:f>(AJ1051+AK1051+AL1051)/4*INDEX(LM_All,G1051)*INDEX(v01_Boon,G1051)*Arch_Insight</x:f>
        <x:v>370.57675900793134</x:v>
      </x:c>
      <x:c r="AN1051" s="32" t="n">
        <x:f>H1051*(v01_KHPerAdult*Z1051+v01_KHOfCommons*AJ1051/4*INDEX(LM_All,G1051))*v01_KHUsable*Arch_KH</x:f>
        <x:v>57.657452126131915</x:v>
      </x:c>
      <x:c r="AO1051" s="32" t="n">
        <x:f>MIN(AP1050+AN1051,AM1051*v01_KHMaxRatio)</x:f>
        <x:v>57.657452126131915</x:v>
      </x:c>
      <x:c r="AP1051" s="32" t="n">
        <x:f>AP1050+AN1051-AO1051</x:f>
        <x:v>0</x:v>
      </x:c>
      <x:c r="AQ1051" s="32" t="n">
        <x:f>AM1051+AO1051</x:f>
        <x:v>428.23421113406323</x:v>
      </x:c>
      <x:c r="AR1051" s="10" t="n">
        <x:f>IF(H1051=1,INDEX(v01_Req,G1051),0)</x:f>
        <x:v>47951.22698</x:v>
      </x:c>
      <x:c r="AS1051" s="32" t="n">
        <x:f>IF(H1051=1,IF(E1051=1,AS1050-AR1050,AS1050)+AQ1051,0)</x:f>
        <x:v>10844.253418510802</x:v>
      </x:c>
      <x:c r="AT1051" s="11" t="n">
        <x:f>IF(AR1051&gt;0,MIN(1,AS1051/AR1051),1)</x:f>
        <x:v>0.226151740038557</x:v>
      </x:c>
      <x:c r="AU1051" s="10" t="n">
        <x:f>AB1051/INDEX(v01_RepScale,G1051)</x:f>
        <x:v>156.3990802721239</x:v>
      </x:c>
      <x:c r="AV1051" s="32" t="n">
        <x:f>AM1051*60/v01_SeasonSeconds</x:f>
        <x:v>1482.3070360317254</x:v>
      </x:c>
    </x:row>
    <x:row r="1052">
      <x:c r="A1052" s="8" t="n">
        <x:f>A1051+1</x:f>
        <x:v>1049</x:v>
      </x:c>
      <x:c r="B1052" s="9" t="n">
        <x:f>A1052*v01_SeasonSeconds/60</x:f>
        <x:v>262.25</x:v>
      </x:c>
      <x:c r="C1052" s="9" t="n">
        <x:f>A1052/4</x:f>
        <x:v>262.25</x:v>
      </x:c>
      <x:c r="D1052" s="8" t="n">
        <x:f>IF(MOD(A1052,4)=0,1,0)</x:f>
        <x:v>0</x:v>
      </x:c>
      <x:c r="E1052" s="8" t="n">
        <x:f>IF(AND(F1051&lt;=9,AS1051&gt;=AR1051),1,0)</x:f>
        <x:v>0</x:v>
      </x:c>
      <x:c r="F1052" s="8" t="n">
        <x:f>MIN(10,F1051+E1052)</x:f>
        <x:v>5</x:v>
      </x:c>
      <x:c r="G1052" s="8" t="n">
        <x:f>MIN(F1052,9)+1</x:f>
        <x:v>6</x:v>
      </x:c>
      <x:c r="H1052" s="8" t="n">
        <x:f>IF(F1052&lt;=9,1,0)</x:f>
        <x:v>1</x:v>
      </x:c>
      <x:c r="I1052" s="9" t="n">
        <x:f>MIN(10,F1051+IF(AR1051&gt;0,MIN(1,AS1051/AR1051),1))</x:f>
        <x:v>5.226151740038557</x:v>
      </x:c>
      <x:c r="J1052" s="32" t="n">
        <x:f>INDEX(v01_FoodCap,G1052)*Arch_FoodCap*EXP(v01_CapsByProject*SUMPRODUCT((Cap_Point&lt;=I1052)*(Cap_Kind="Food")*Cap_Ln))</x:f>
        <x:v>500</x:v>
      </x:c>
      <x:c r="K1052" s="32" t="n">
        <x:f>J1052*MIN(1,v01_LeanBase*EXP(v01_CapsByProject*SUMPRODUCT((Cap_Point&lt;=I1052)*(Cap_Kind="Lean")*Cap_Ln)))</x:f>
        <x:v>500</x:v>
      </x:c>
      <x:c r="L1052" s="10" t="n">
        <x:f>INDEX(v01_HousingCap,G1052)*EXP(v01_CapsByProject*SUMPRODUCT((Cap_Point&lt;=I1052)*(Cap_Kind="Housing")*Cap_Ln))</x:f>
        <x:v>800</x:v>
      </x:c>
      <x:c r="M1052" s="10" t="n">
        <x:f>INDEX(v01_GroupCap,G1052)*v01_CohesionFactor*EXP(v01_CapsByProject*SUMPRODUCT((Cap_Point&lt;=I1052)*(Cap_Kind="Group")*Cap_Ln))</x:f>
        <x:v>10000</x:v>
      </x:c>
      <x:c r="N1052" s="32" t="n">
        <x:f>MIN(J1052,L1052,M1052)</x:f>
        <x:v>500</x:v>
      </x:c>
      <x:c r="O1052" s="10" t="n">
        <x:f>AE1051*N1052</x:f>
        <x:v>8000</x:v>
      </x:c>
      <x:c r="P1052" s="9" t="n">
        <x:f>MIN(1,(AB1051/(AE1051*IF(v01_GroupInCrowding=1,N1052,MIN(J1052,L1052))))^v01_CrowdingExp)</x:f>
        <x:v>0.01363029636571588</x:v>
      </x:c>
      <x:c r="Q1052" s="9" t="n">
        <x:f>IF(D1052=1,INDEX(v01_WinterMult,G1052),1)</x:f>
        <x:v>1</x:v>
      </x:c>
      <x:c r="R1052" s="9" t="n">
        <x:f>H1052*Z1051*v01_WomenShare*v01_BaseFertility*INDEX(v01_FertMult,G1052)*Arch_Fertility*(1-P1052)</x:f>
        <x:v>53.621760310762916</x:v>
      </x:c>
      <x:c r="S1052" s="9" t="n">
        <x:f>H1052*Y1051*INDEX(v01_MortChild,G1052)/4*Q1052</x:f>
        <x:v>10.355320971923462</x:v>
      </x:c>
      <x:c r="T1052" s="9" t="n">
        <x:f>H1052*Z1051*INDEX(v01_MortAdult,G1052)*Arch_AdultMort/4*Q1052</x:f>
        <x:v>4.118389437580851</x:v>
      </x:c>
      <x:c r="U1052" s="9" t="n">
        <x:f>H1052*AA1051*INDEX(v01_MortElder,G1052)/4*Q1052</x:f>
        <x:v>9.08654814394505</x:v>
      </x:c>
      <x:c r="V1052" s="9" t="n">
        <x:f>H1052*MAX(0,AB1051-O1052)*v01_OvercapLoss</x:f>
        <x:v>0</x:v>
      </x:c>
      <x:c r="W1052" s="9" t="n">
        <x:f>H1052*Y1051/(v01_ChildYears*4)</x:f>
        <x:v>29.586631348352743</x:v>
      </x:c>
      <x:c r="X1052" s="9" t="n">
        <x:f>H1052*Z1051/(v01_AdultYears*4)</x:f>
        <x:v>13.285127218002746</x:v>
      </x:c>
      <x:c r="Y1052" s="32" t="n">
        <x:f>Y1051+R1052-S1052-W1052-Y1051*V1052/AB1051</x:f>
        <x:v>1670.5311634982404</x:v>
      </x:c>
      <x:c r="Z1052" s="32" t="n">
        <x:f>Z1051+W1052-X1052-T1052-Z1051*V1052/AB1051</x:f>
        <x:v>1659.5388897251096</x:v>
      </x:c>
      <x:c r="AA1052" s="32" t="n">
        <x:f>AA1051+X1052-U1052-AA1051*V1052/AB1051</x:f>
        <x:v>609.9684553370612</x:v>
      </x:c>
      <x:c r="AB1052" s="10" t="n">
        <x:f>Y1052+Z1052+AA1052</x:f>
        <x:v>3940.038508560411</x:v>
      </x:c>
      <x:c r="AC1052" s="8" t="n">
        <x:f>IF(AND(v01_WinterTrigger=1,D1052=1,AB1051/AE1051&gt;=K1052),1,0)</x:f>
        <x:v>0</x:v>
      </x:c>
      <x:c r="AD1052" s="8" t="n">
        <x:f>H1052*IF(AND(OR(AB1051/AE1051&gt;=v01_FissionTrigger*N1052,AC1052=1),AB1051/AE1051*v01_DaughterShare&gt;=v01_MinDaughter),MAX(1,ROUND(AE1051*v01_FissionRate,0)),0)</x:f>
        <x:v>0</x:v>
      </x:c>
      <x:c r="AE1052" s="8" t="n">
        <x:f>IF(H1052=1,MAX(1,MIN(INDEX(v01_Smax,G1052),AE1051+AD1052)),AE1051)</x:f>
        <x:v>16</x:v>
      </x:c>
      <x:c r="AF1052" s="8" t="n">
        <x:f>MAX(0,AE1052-AE1051)</x:f>
        <x:v>0</x:v>
      </x:c>
      <x:c r="AG1052" s="9" t="str">
        <x:f>IF(AF1052&gt;0,B1052,"")</x:f>
      </x:c>
      <x:c r="AH1052" s="9" t="n">
        <x:f>IF(F1052&gt;=1,1,(1+v01_LowTiesShare*(AE1052-1))/AE1052)</x:f>
        <x:v>1</x:v>
      </x:c>
      <x:c r="AI1052" s="32" t="n">
        <x:f>(Z1052+v01_ElderCommons*INDEX(LM_Elder,G1052)*AA1052)*AH1052</x:f>
        <x:v>3705.4352851214294</x:v>
      </x:c>
      <x:c r="AJ1052" s="32" t="n">
        <x:f>H1052*v01_CommonsCoef*AI1052^v01_CommonsExp*INDEX(LM_Commons,G1052)</x:f>
        <x:v>860.8835768596522</x:v>
      </x:c>
      <x:c r="AK1052" s="32" t="n">
        <x:f>H1052*v01_RoleScale*Arch_Roles*(AE1052*(INDEX(v01_ElderRolePerSett,G1052)*v01_OutElder*INDEX(LM_Elder,G1052)+INDEX(v01_ShamanPerSett,G1052)*v01_OutShaman)+Z1052*(INDEX(v01_PriestShare,G1052)*v01_OutPriest+INDEX(v01_ScribeShare,G1052)*v01_OutScribe*INDEX(LM_Scribe,G1052)+INDEX(v01_ScholarShare,G1052)*v01_OutScholar*INDEX(LM_Scholar,G1052)+INDEX(v01_ResearcherShare,G1052)*v01_OutResearcher*INDEX(LM_Researcher,G1052)))</x:f>
        <x:v>168.51545268756405</x:v>
      </x:c>
      <x:c r="AL1052" s="32" t="n">
        <x:f>H1052*v01_RoleScale*Arch_Roles*AE1052*INDEX(v01_MonasteryPerSett,G1052)*v01_OutMonastery*INDEX(LM_Monastery,G1052)</x:f>
        <x:v>5.034282471216728</x:v>
      </x:c>
      <x:c r="AM1052" s="32" t="n">
        <x:f>(AJ1052+AK1052+AL1052)/4*INDEX(LM_All,G1052)*INDEX(v01_Boon,G1052)*Arch_Insight</x:f>
        <x:v>372.75818994736676</x:v>
      </x:c>
      <x:c r="AN1052" s="32" t="n">
        <x:f>H1052*(v01_KHPerAdult*Z1052+v01_KHOfCommons*AJ1052/4*INDEX(LM_All,G1052))*v01_KHUsable*Arch_KH</x:f>
        <x:v>58.083861140378836</x:v>
      </x:c>
      <x:c r="AO1052" s="32" t="n">
        <x:f>MIN(AP1051+AN1052,AM1052*v01_KHMaxRatio)</x:f>
        <x:v>58.083861140378836</x:v>
      </x:c>
      <x:c r="AP1052" s="32" t="n">
        <x:f>AP1051+AN1052-AO1052</x:f>
        <x:v>0</x:v>
      </x:c>
      <x:c r="AQ1052" s="32" t="n">
        <x:f>AM1052+AO1052</x:f>
        <x:v>430.8420510877456</x:v>
      </x:c>
      <x:c r="AR1052" s="10" t="n">
        <x:f>IF(H1052=1,INDEX(v01_Req,G1052),0)</x:f>
        <x:v>47951.22698</x:v>
      </x:c>
      <x:c r="AS1052" s="32" t="n">
        <x:f>IF(H1052=1,IF(E1052=1,AS1051-AR1051,AS1051)+AQ1052,0)</x:f>
        <x:v>11275.095469598547</x:v>
      </x:c>
      <x:c r="AT1052" s="11" t="n">
        <x:f>IF(AR1052&gt;0,MIN(1,AS1052/AR1052),1)</x:f>
        <x:v>0.2351367458084291</x:v>
      </x:c>
      <x:c r="AU1052" s="10" t="n">
        <x:f>AB1052/INDEX(v01_RepScale,G1052)</x:f>
        <x:v>157.60154034241646</x:v>
      </x:c>
      <x:c r="AV1052" s="32" t="n">
        <x:f>AM1052*60/v01_SeasonSeconds</x:f>
        <x:v>1491.032759789467</x:v>
      </x:c>
    </x:row>
    <x:row r="1053">
      <x:c r="A1053" s="8" t="n">
        <x:f>A1052+1</x:f>
        <x:v>1050</x:v>
      </x:c>
      <x:c r="B1053" s="9" t="n">
        <x:f>A1053*v01_SeasonSeconds/60</x:f>
        <x:v>262.5</x:v>
      </x:c>
      <x:c r="C1053" s="9" t="n">
        <x:f>A1053/4</x:f>
        <x:v>262.5</x:v>
      </x:c>
      <x:c r="D1053" s="8" t="n">
        <x:f>IF(MOD(A1053,4)=0,1,0)</x:f>
        <x:v>0</x:v>
      </x:c>
      <x:c r="E1053" s="8" t="n">
        <x:f>IF(AND(F1052&lt;=9,AS1052&gt;=AR1052),1,0)</x:f>
        <x:v>0</x:v>
      </x:c>
      <x:c r="F1053" s="8" t="n">
        <x:f>MIN(10,F1052+E1053)</x:f>
        <x:v>5</x:v>
      </x:c>
      <x:c r="G1053" s="8" t="n">
        <x:f>MIN(F1053,9)+1</x:f>
        <x:v>6</x:v>
      </x:c>
      <x:c r="H1053" s="8" t="n">
        <x:f>IF(F1053&lt;=9,1,0)</x:f>
        <x:v>1</x:v>
      </x:c>
      <x:c r="I1053" s="9" t="n">
        <x:f>MIN(10,F1052+IF(AR1052&gt;0,MIN(1,AS1052/AR1052),1))</x:f>
        <x:v>5.235136745808429</x:v>
      </x:c>
      <x:c r="J1053" s="32" t="n">
        <x:f>INDEX(v01_FoodCap,G1053)*Arch_FoodCap*EXP(v01_CapsByProject*SUMPRODUCT((Cap_Point&lt;=I1053)*(Cap_Kind="Food")*Cap_Ln))</x:f>
        <x:v>500</x:v>
      </x:c>
      <x:c r="K1053" s="32" t="n">
        <x:f>J1053*MIN(1,v01_LeanBase*EXP(v01_CapsByProject*SUMPRODUCT((Cap_Point&lt;=I1053)*(Cap_Kind="Lean")*Cap_Ln)))</x:f>
        <x:v>500</x:v>
      </x:c>
      <x:c r="L1053" s="10" t="n">
        <x:f>INDEX(v01_HousingCap,G1053)*EXP(v01_CapsByProject*SUMPRODUCT((Cap_Point&lt;=I1053)*(Cap_Kind="Housing")*Cap_Ln))</x:f>
        <x:v>800</x:v>
      </x:c>
      <x:c r="M1053" s="10" t="n">
        <x:f>INDEX(v01_GroupCap,G1053)*v01_CohesionFactor*EXP(v01_CapsByProject*SUMPRODUCT((Cap_Point&lt;=I1053)*(Cap_Kind="Group")*Cap_Ln))</x:f>
        <x:v>10000</x:v>
      </x:c>
      <x:c r="N1053" s="32" t="n">
        <x:f>MIN(J1053,L1053,M1053)</x:f>
        <x:v>500</x:v>
      </x:c>
      <x:c r="O1053" s="10" t="n">
        <x:f>AE1052*N1053</x:f>
        <x:v>8000</x:v>
      </x:c>
      <x:c r="P1053" s="9" t="n">
        <x:f>MIN(1,(AB1052/(AE1052*IF(v01_GroupInCrowding=1,N1053,MIN(J1053,L1053))))^v01_CrowdingExp)</x:f>
        <x:v>0.014271278356216761</x:v>
      </x:c>
      <x:c r="Q1053" s="9" t="n">
        <x:f>IF(D1053=1,INDEX(v01_WinterMult,G1053),1)</x:f>
        <x:v>1</x:v>
      </x:c>
      <x:c r="R1053" s="9" t="n">
        <x:f>H1053*Z1052*v01_WomenShare*v01_BaseFertility*INDEX(v01_FertMult,G1053)*Arch_Fertility*(1-P1053)</x:f>
        <x:v>53.983219893466895</x:v>
      </x:c>
      <x:c r="S1053" s="9" t="n">
        <x:f>H1053*Y1052*INDEX(v01_MortChild,G1053)/4*Q1053</x:f>
        <x:v>10.440819771864003</x:v>
      </x:c>
      <x:c r="T1053" s="9" t="n">
        <x:f>H1053*Z1052*INDEX(v01_MortAdult,G1053)*Arch_AdultMort/4*Q1053</x:f>
        <x:v>4.148847224312774</x:v>
      </x:c>
      <x:c r="U1053" s="9" t="n">
        <x:f>H1053*AA1052*INDEX(v01_MortElder,G1053)/4*Q1053</x:f>
        <x:v>9.149526830055917</x:v>
      </x:c>
      <x:c r="V1053" s="9" t="n">
        <x:f>H1053*MAX(0,AB1052-O1053)*v01_OvercapLoss</x:f>
        <x:v>0</x:v>
      </x:c>
      <x:c r="W1053" s="9" t="n">
        <x:f>H1053*Y1052/(v01_ChildYears*4)</x:f>
        <x:v>29.83091363389715</x:v>
      </x:c>
      <x:c r="X1053" s="9" t="n">
        <x:f>H1053*Z1052/(v01_AdultYears*4)</x:f>
        <x:v>13.383378142944432</x:v>
      </x:c>
      <x:c r="Y1053" s="32" t="n">
        <x:f>Y1052+R1053-S1053-W1053-Y1052*V1053/AB1052</x:f>
        <x:v>1684.2426499859462</x:v>
      </x:c>
      <x:c r="Z1053" s="32" t="n">
        <x:f>Z1052+W1053-X1053-T1053-Z1052*V1053/AB1052</x:f>
        <x:v>1671.8375779917496</x:v>
      </x:c>
      <x:c r="AA1053" s="32" t="n">
        <x:f>AA1052+X1053-U1053-AA1052*V1053/AB1052</x:f>
        <x:v>614.2023066499497</x:v>
      </x:c>
      <x:c r="AB1053" s="10" t="n">
        <x:f>Y1053+Z1053+AA1053</x:f>
        <x:v>3970.2825346276454</x:v>
      </x:c>
      <x:c r="AC1053" s="8" t="n">
        <x:f>IF(AND(v01_WinterTrigger=1,D1053=1,AB1052/AE1052&gt;=K1053),1,0)</x:f>
        <x:v>0</x:v>
      </x:c>
      <x:c r="AD1053" s="8" t="n">
        <x:f>H1053*IF(AND(OR(AB1052/AE1052&gt;=v01_FissionTrigger*N1053,AC1053=1),AB1052/AE1052*v01_DaughterShare&gt;=v01_MinDaughter),MAX(1,ROUND(AE1052*v01_FissionRate,0)),0)</x:f>
        <x:v>0</x:v>
      </x:c>
      <x:c r="AE1053" s="8" t="n">
        <x:f>IF(H1053=1,MAX(1,MIN(INDEX(v01_Smax,G1053),AE1052+AD1053)),AE1052)</x:f>
        <x:v>16</x:v>
      </x:c>
      <x:c r="AF1053" s="8" t="n">
        <x:f>MAX(0,AE1053-AE1052)</x:f>
        <x:v>0</x:v>
      </x:c>
      <x:c r="AG1053" s="9" t="str">
        <x:f>IF(AF1053&gt;0,B1053,"")</x:f>
      </x:c>
      <x:c r="AH1053" s="9" t="n">
        <x:f>IF(F1053&gt;=1,1,(1+v01_LowTiesShare*(AE1053-1))/AE1053)</x:f>
        <x:v>1</x:v>
      </x:c>
      <x:c r="AI1053" s="32" t="n">
        <x:f>(Z1053+v01_ElderCommons*INDEX(LM_Elder,G1053)*AA1053)*AH1053</x:f>
        <x:v>3731.9347424014377</x:v>
      </x:c>
      <x:c r="AJ1053" s="32" t="n">
        <x:f>H1053*v01_CommonsCoef*AI1053^v01_CommonsExp*INDEX(LM_Commons,G1053)</x:f>
        <x:v>866.1139025089328</x:v>
      </x:c>
      <x:c r="AK1053" s="32" t="n">
        <x:f>H1053*v01_RoleScale*Arch_Roles*(AE1053*(INDEX(v01_ElderRolePerSett,G1053)*v01_OutElder*INDEX(LM_Elder,G1053)+INDEX(v01_ShamanPerSett,G1053)*v01_OutShaman)+Z1053*(INDEX(v01_PriestShare,G1053)*v01_OutPriest+INDEX(v01_ScribeShare,G1053)*v01_OutScribe*INDEX(LM_Scribe,G1053)+INDEX(v01_ScholarShare,G1053)*v01_OutScholar*INDEX(LM_Scholar,G1053)+INDEX(v01_ResearcherShare,G1053)*v01_OutResearcher*INDEX(LM_Researcher,G1053)))</x:f>
        <x:v>169.38758775791305</x:v>
      </x:c>
      <x:c r="AL1053" s="32" t="n">
        <x:f>H1053*v01_RoleScale*Arch_Roles*AE1053*INDEX(v01_MonasteryPerSett,G1053)*v01_OutMonastery*INDEX(LM_Monastery,G1053)</x:f>
        <x:v>5.034282471216728</x:v>
      </x:c>
      <x:c r="AM1053" s="32" t="n">
        <x:f>(AJ1053+AK1053+AL1053)/4*INDEX(LM_All,G1053)*INDEX(v01_Boon,G1053)*Arch_Insight</x:f>
        <x:v>374.95721252876007</x:v>
      </x:c>
      <x:c r="AN1053" s="32" t="n">
        <x:f>H1053*(v01_KHPerAdult*Z1053+v01_KHOfCommons*AJ1053/4*INDEX(LM_All,G1053))*v01_KHUsable*Arch_KH</x:f>
        <x:v>58.51431522971124</x:v>
      </x:c>
      <x:c r="AO1053" s="32" t="n">
        <x:f>MIN(AP1052+AN1053,AM1053*v01_KHMaxRatio)</x:f>
        <x:v>58.51431522971124</x:v>
      </x:c>
      <x:c r="AP1053" s="32" t="n">
        <x:f>AP1052+AN1053-AO1053</x:f>
        <x:v>0</x:v>
      </x:c>
      <x:c r="AQ1053" s="32" t="n">
        <x:f>AM1053+AO1053</x:f>
        <x:v>433.4715277584713</x:v>
      </x:c>
      <x:c r="AR1053" s="10" t="n">
        <x:f>IF(H1053=1,INDEX(v01_Req,G1053),0)</x:f>
        <x:v>47951.22698</x:v>
      </x:c>
      <x:c r="AS1053" s="32" t="n">
        <x:f>IF(H1053=1,IF(E1053=1,AS1052-AR1052,AS1052)+AQ1053,0)</x:f>
        <x:v>11708.566997357018</x:v>
      </x:c>
      <x:c r="AT1053" s="11" t="n">
        <x:f>IF(AR1053&gt;0,MIN(1,AS1053/AR1053),1)</x:f>
        <x:v>0.24417658806187692</x:v>
      </x:c>
      <x:c r="AU1053" s="10" t="n">
        <x:f>AB1053/INDEX(v01_RepScale,G1053)</x:f>
        <x:v>158.81130138510582</x:v>
      </x:c>
      <x:c r="AV1053" s="32" t="n">
        <x:f>AM1053*60/v01_SeasonSeconds</x:f>
        <x:v>1499.8288501150403</x:v>
      </x:c>
    </x:row>
    <x:row r="1054">
      <x:c r="A1054" s="8" t="n">
        <x:f>A1053+1</x:f>
        <x:v>1051</x:v>
      </x:c>
      <x:c r="B1054" s="9" t="n">
        <x:f>A1054*v01_SeasonSeconds/60</x:f>
        <x:v>262.75</x:v>
      </x:c>
      <x:c r="C1054" s="9" t="n">
        <x:f>A1054/4</x:f>
        <x:v>262.75</x:v>
      </x:c>
      <x:c r="D1054" s="8" t="n">
        <x:f>IF(MOD(A1054,4)=0,1,0)</x:f>
        <x:v>0</x:v>
      </x:c>
      <x:c r="E1054" s="8" t="n">
        <x:f>IF(AND(F1053&lt;=9,AS1053&gt;=AR1053),1,0)</x:f>
        <x:v>0</x:v>
      </x:c>
      <x:c r="F1054" s="8" t="n">
        <x:f>MIN(10,F1053+E1054)</x:f>
        <x:v>5</x:v>
      </x:c>
      <x:c r="G1054" s="8" t="n">
        <x:f>MIN(F1054,9)+1</x:f>
        <x:v>6</x:v>
      </x:c>
      <x:c r="H1054" s="8" t="n">
        <x:f>IF(F1054&lt;=9,1,0)</x:f>
        <x:v>1</x:v>
      </x:c>
      <x:c r="I1054" s="9" t="n">
        <x:f>MIN(10,F1053+IF(AR1053&gt;0,MIN(1,AS1053/AR1053),1))</x:f>
        <x:v>5.244176588061877</x:v>
      </x:c>
      <x:c r="J1054" s="32" t="n">
        <x:f>INDEX(v01_FoodCap,G1054)*Arch_FoodCap*EXP(v01_CapsByProject*SUMPRODUCT((Cap_Point&lt;=I1054)*(Cap_Kind="Food")*Cap_Ln))</x:f>
        <x:v>500</x:v>
      </x:c>
      <x:c r="K1054" s="32" t="n">
        <x:f>J1054*MIN(1,v01_LeanBase*EXP(v01_CapsByProject*SUMPRODUCT((Cap_Point&lt;=I1054)*(Cap_Kind="Lean")*Cap_Ln)))</x:f>
        <x:v>500</x:v>
      </x:c>
      <x:c r="L1054" s="10" t="n">
        <x:f>INDEX(v01_HousingCap,G1054)*EXP(v01_CapsByProject*SUMPRODUCT((Cap_Point&lt;=I1054)*(Cap_Kind="Housing")*Cap_Ln))</x:f>
        <x:v>800</x:v>
      </x:c>
      <x:c r="M1054" s="10" t="n">
        <x:f>INDEX(v01_GroupCap,G1054)*v01_CohesionFactor*EXP(v01_CapsByProject*SUMPRODUCT((Cap_Point&lt;=I1054)*(Cap_Kind="Group")*Cap_Ln))</x:f>
        <x:v>10000</x:v>
      </x:c>
      <x:c r="N1054" s="32" t="n">
        <x:f>MIN(J1054,L1054,M1054)</x:f>
        <x:v>500</x:v>
      </x:c>
      <x:c r="O1054" s="10" t="n">
        <x:f>AE1053*N1054</x:f>
        <x:v>8000</x:v>
      </x:c>
      <x:c r="P1054" s="9" t="n">
        <x:f>MIN(1,(AB1053/(AE1053*IF(v01_GroupInCrowding=1,N1054,MIN(J1054,L1054))))^v01_CrowdingExp)</x:f>
        <x:v>0.014941305912787367</x:v>
      </x:c>
      <x:c r="Q1054" s="9" t="n">
        <x:f>IF(D1054=1,INDEX(v01_WinterMult,G1054),1)</x:f>
        <x:v>1</x:v>
      </x:c>
      <x:c r="R1054" s="9" t="n">
        <x:f>H1054*Z1053*v01_WomenShare*v01_BaseFertility*INDEX(v01_FertMult,G1054)*Arch_Fertility*(1-P1054)</x:f>
        <x:v>54.34631866298189</x:v>
      </x:c>
      <x:c r="S1054" s="9" t="n">
        <x:f>H1054*Y1053*INDEX(v01_MortChild,G1054)/4*Q1054</x:f>
        <x:v>10.526516562412164</x:v>
      </x:c>
      <x:c r="T1054" s="9" t="n">
        <x:f>H1054*Z1053*INDEX(v01_MortAdult,G1054)*Arch_AdultMort/4*Q1054</x:f>
        <x:v>4.179593944979374</x:v>
      </x:c>
      <x:c r="U1054" s="9" t="n">
        <x:f>H1054*AA1053*INDEX(v01_MortElder,G1054)/4*Q1054</x:f>
        <x:v>9.213034599749246</x:v>
      </x:c>
      <x:c r="V1054" s="9" t="n">
        <x:f>H1054*MAX(0,AB1053-O1054)*v01_OvercapLoss</x:f>
        <x:v>0</x:v>
      </x:c>
      <x:c r="W1054" s="9" t="n">
        <x:f>H1054*Y1053/(v01_ChildYears*4)</x:f>
        <x:v>30.075761606891895</x:v>
      </x:c>
      <x:c r="X1054" s="9" t="n">
        <x:f>H1054*Z1053/(v01_AdultYears*4)</x:f>
        <x:v>13.48256111283669</x:v>
      </x:c>
      <x:c r="Y1054" s="32" t="n">
        <x:f>Y1053+R1054-S1054-W1054-Y1053*V1054/AB1053</x:f>
        <x:v>1697.986690479624</x:v>
      </x:c>
      <x:c r="Z1054" s="32" t="n">
        <x:f>Z1053+W1054-X1054-T1054-Z1053*V1054/AB1053</x:f>
        <x:v>1684.2511845408255</x:v>
      </x:c>
      <x:c r="AA1054" s="32" t="n">
        <x:f>AA1053+X1054-U1054-AA1053*V1054/AB1053</x:f>
        <x:v>618.4718331630372</x:v>
      </x:c>
      <x:c r="AB1054" s="10" t="n">
        <x:f>Y1054+Z1054+AA1054</x:f>
        <x:v>4000.7097081834872</x:v>
      </x:c>
      <x:c r="AC1054" s="8" t="n">
        <x:f>IF(AND(v01_WinterTrigger=1,D1054=1,AB1053/AE1053&gt;=K1054),1,0)</x:f>
        <x:v>0</x:v>
      </x:c>
      <x:c r="AD1054" s="8" t="n">
        <x:f>H1054*IF(AND(OR(AB1053/AE1053&gt;=v01_FissionTrigger*N1054,AC1054=1),AB1053/AE1053*v01_DaughterShare&gt;=v01_MinDaughter),MAX(1,ROUND(AE1053*v01_FissionRate,0)),0)</x:f>
        <x:v>0</x:v>
      </x:c>
      <x:c r="AE1054" s="8" t="n">
        <x:f>IF(H1054=1,MAX(1,MIN(INDEX(v01_Smax,G1054),AE1053+AD1054)),AE1053)</x:f>
        <x:v>16</x:v>
      </x:c>
      <x:c r="AF1054" s="8" t="n">
        <x:f>MAX(0,AE1054-AE1053)</x:f>
        <x:v>0</x:v>
      </x:c>
      <x:c r="AG1054" s="9" t="str">
        <x:f>IF(AF1054&gt;0,B1054,"")</x:f>
      </x:c>
      <x:c r="AH1054" s="9" t="n">
        <x:f>IF(F1054&gt;=1,1,(1+v01_LowTiesShare*(AE1054-1))/AE1054)</x:f>
        <x:v>1</x:v>
      </x:c>
      <x:c r="AI1054" s="32" t="n">
        <x:f>(Z1054+v01_ElderCommons*INDEX(LM_Elder,G1054)*AA1054)*AH1054</x:f>
        <x:v>3758.668776223016</x:v>
      </x:c>
      <x:c r="AJ1054" s="32" t="n">
        <x:f>H1054*v01_CommonsCoef*AI1054^v01_CommonsExp*INDEX(LM_Commons,G1054)</x:f>
        <x:v>871.384885692866</x:v>
      </x:c>
      <x:c r="AK1054" s="32" t="n">
        <x:f>H1054*v01_RoleScale*Arch_Roles*(AE1054*(INDEX(v01_ElderRolePerSett,G1054)*v01_OutElder*INDEX(LM_Elder,G1054)+INDEX(v01_ShamanPerSett,G1054)*v01_OutShaman)+Z1054*(INDEX(v01_PriestShare,G1054)*v01_OutPriest+INDEX(v01_ScribeShare,G1054)*v01_OutScribe*INDEX(LM_Scribe,G1054)+INDEX(v01_ScholarShare,G1054)*v01_OutScholar*INDEX(LM_Scholar,G1054)+INDEX(v01_ResearcherShare,G1054)*v01_OutResearcher*INDEX(LM_Researcher,G1054)))</x:f>
        <x:v>170.2678720115053</x:v>
      </x:c>
      <x:c r="AL1054" s="32" t="n">
        <x:f>H1054*v01_RoleScale*Arch_Roles*AE1054*INDEX(v01_MonasteryPerSett,G1054)*v01_OutMonastery*INDEX(LM_Monastery,G1054)</x:f>
        <x:v>5.034282471216728</x:v>
      </x:c>
      <x:c r="AM1054" s="32" t="n">
        <x:f>(AJ1054+AK1054+AL1054)/4*INDEX(LM_All,G1054)*INDEX(v01_Boon,G1054)*Arch_Insight</x:f>
        <x:v>377.1738226178339</x:v>
      </x:c>
      <x:c r="AN1054" s="32" t="n">
        <x:f>H1054*(v01_KHPerAdult*Z1054+v01_KHOfCommons*AJ1054/4*INDEX(LM_All,G1054))*v01_KHUsable*Arch_KH</x:f>
        <x:v>58.948791458928895</x:v>
      </x:c>
      <x:c r="AO1054" s="32" t="n">
        <x:f>MIN(AP1053+AN1054,AM1054*v01_KHMaxRatio)</x:f>
        <x:v>58.948791458928895</x:v>
      </x:c>
      <x:c r="AP1054" s="32" t="n">
        <x:f>AP1053+AN1054-AO1054</x:f>
        <x:v>0</x:v>
      </x:c>
      <x:c r="AQ1054" s="32" t="n">
        <x:f>AM1054+AO1054</x:f>
        <x:v>436.1226140767628</x:v>
      </x:c>
      <x:c r="AR1054" s="10" t="n">
        <x:f>IF(H1054=1,INDEX(v01_Req,G1054),0)</x:f>
        <x:v>47951.22698</x:v>
      </x:c>
      <x:c r="AS1054" s="32" t="n">
        <x:f>IF(H1054=1,IF(E1054=1,AS1053-AR1053,AS1053)+AQ1054,0)</x:f>
        <x:v>12144.689611433781</x:v>
      </x:c>
      <x:c r="AT1054" s="11" t="n">
        <x:f>IF(AR1054&gt;0,MIN(1,AS1054/AR1054),1)</x:f>
        <x:v>0.253271717457808</x:v>
      </x:c>
      <x:c r="AU1054" s="10" t="n">
        <x:f>AB1054/INDEX(v01_RepScale,G1054)</x:f>
        <x:v>160.02838832733948</x:v>
      </x:c>
      <x:c r="AV1054" s="32" t="n">
        <x:f>AM1054*60/v01_SeasonSeconds</x:f>
        <x:v>1508.6952904713355</x:v>
      </x:c>
    </x:row>
    <x:row r="1055">
      <x:c r="A1055" s="8" t="n">
        <x:f>A1054+1</x:f>
        <x:v>1052</x:v>
      </x:c>
      <x:c r="B1055" s="9" t="n">
        <x:f>A1055*v01_SeasonSeconds/60</x:f>
        <x:v>263</x:v>
      </x:c>
      <x:c r="C1055" s="9" t="n">
        <x:f>A1055/4</x:f>
        <x:v>263</x:v>
      </x:c>
      <x:c r="D1055" s="8" t="n">
        <x:f>IF(MOD(A1055,4)=0,1,0)</x:f>
        <x:v>1</x:v>
      </x:c>
      <x:c r="E1055" s="8" t="n">
        <x:f>IF(AND(F1054&lt;=9,AS1054&gt;=AR1054),1,0)</x:f>
        <x:v>0</x:v>
      </x:c>
      <x:c r="F1055" s="8" t="n">
        <x:f>MIN(10,F1054+E1055)</x:f>
        <x:v>5</x:v>
      </x:c>
      <x:c r="G1055" s="8" t="n">
        <x:f>MIN(F1055,9)+1</x:f>
        <x:v>6</x:v>
      </x:c>
      <x:c r="H1055" s="8" t="n">
        <x:f>IF(F1055&lt;=9,1,0)</x:f>
        <x:v>1</x:v>
      </x:c>
      <x:c r="I1055" s="9" t="n">
        <x:f>MIN(10,F1054+IF(AR1054&gt;0,MIN(1,AS1054/AR1054),1))</x:f>
        <x:v>5.253271717457808</x:v>
      </x:c>
      <x:c r="J1055" s="32" t="n">
        <x:f>INDEX(v01_FoodCap,G1055)*Arch_FoodCap*EXP(v01_CapsByProject*SUMPRODUCT((Cap_Point&lt;=I1055)*(Cap_Kind="Food")*Cap_Ln))</x:f>
        <x:v>500</x:v>
      </x:c>
      <x:c r="K1055" s="32" t="n">
        <x:f>J1055*MIN(1,v01_LeanBase*EXP(v01_CapsByProject*SUMPRODUCT((Cap_Point&lt;=I1055)*(Cap_Kind="Lean")*Cap_Ln)))</x:f>
        <x:v>500</x:v>
      </x:c>
      <x:c r="L1055" s="10" t="n">
        <x:f>INDEX(v01_HousingCap,G1055)*EXP(v01_CapsByProject*SUMPRODUCT((Cap_Point&lt;=I1055)*(Cap_Kind="Housing")*Cap_Ln))</x:f>
        <x:v>800</x:v>
      </x:c>
      <x:c r="M1055" s="10" t="n">
        <x:f>INDEX(v01_GroupCap,G1055)*v01_CohesionFactor*EXP(v01_CapsByProject*SUMPRODUCT((Cap_Point&lt;=I1055)*(Cap_Kind="Group")*Cap_Ln))</x:f>
        <x:v>10000</x:v>
      </x:c>
      <x:c r="N1055" s="32" t="n">
        <x:f>MIN(J1055,L1055,M1055)</x:f>
        <x:v>500</x:v>
      </x:c>
      <x:c r="O1055" s="10" t="n">
        <x:f>AE1054*N1055</x:f>
        <x:v>8000</x:v>
      </x:c>
      <x:c r="P1055" s="9" t="n">
        <x:f>MIN(1,(AB1054/(AE1054*IF(v01_GroupInCrowding=1,N1055,MIN(J1055,L1055))))^v01_CrowdingExp)</x:f>
        <x:v>0.015641641165504757</x:v>
      </x:c>
      <x:c r="Q1055" s="9" t="n">
        <x:f>IF(D1055=1,INDEX(v01_WinterMult,G1055),1)</x:f>
        <x:v>1</x:v>
      </x:c>
      <x:c r="R1055" s="9" t="n">
        <x:f>H1055*Z1054*v01_WomenShare*v01_BaseFertility*INDEX(v01_FertMult,G1055)*Arch_Fertility*(1-P1055)</x:f>
        <x:v>54.710922152028836</x:v>
      </x:c>
      <x:c r="S1055" s="9" t="n">
        <x:f>H1055*Y1054*INDEX(v01_MortChild,G1055)/4*Q1055</x:f>
        <x:v>10.612416815497651</x:v>
      </x:c>
      <x:c r="T1055" s="9" t="n">
        <x:f>H1055*Z1054*INDEX(v01_MortAdult,G1055)*Arch_AdultMort/4*Q1055</x:f>
        <x:v>4.210627961352064</x:v>
      </x:c>
      <x:c r="U1055" s="9" t="n">
        <x:f>H1055*AA1054*INDEX(v01_MortElder,G1055)/4*Q1055</x:f>
        <x:v>9.277077497445559</x:v>
      </x:c>
      <x:c r="V1055" s="9" t="n">
        <x:f>H1055*MAX(0,AB1054-O1055)*v01_OvercapLoss</x:f>
        <x:v>0</x:v>
      </x:c>
      <x:c r="W1055" s="9" t="n">
        <x:f>H1055*Y1054/(v01_ChildYears*4)</x:f>
        <x:v>30.321190901421858</x:v>
      </x:c>
      <x:c r="X1055" s="9" t="n">
        <x:f>H1055*Z1054/(v01_AdultYears*4)</x:f>
        <x:v>13.582670843071174</x:v>
      </x:c>
      <x:c r="Y1055" s="32" t="n">
        <x:f>Y1054+R1055-S1055-W1055-Y1054*V1055/AB1054</x:f>
        <x:v>1711.7640049147333</x:v>
      </x:c>
      <x:c r="Z1055" s="32" t="n">
        <x:f>Z1054+W1055-X1055-T1055-Z1054*V1055/AB1054</x:f>
        <x:v>1696.7790766378243</x:v>
      </x:c>
      <x:c r="AA1055" s="32" t="n">
        <x:f>AA1054+X1055-U1055-AA1054*V1055/AB1054</x:f>
        <x:v>622.7774265086628</x:v>
      </x:c>
      <x:c r="AB1055" s="10" t="n">
        <x:f>Y1055+Z1055+AA1055</x:f>
        <x:v>4031.3205080612206</x:v>
      </x:c>
      <x:c r="AC1055" s="8" t="n">
        <x:f>IF(AND(v01_WinterTrigger=1,D1055=1,AB1054/AE1054&gt;=K1055),1,0)</x:f>
        <x:v>0</x:v>
      </x:c>
      <x:c r="AD1055" s="8" t="n">
        <x:f>H1055*IF(AND(OR(AB1054/AE1054&gt;=v01_FissionTrigger*N1055,AC1055=1),AB1054/AE1054*v01_DaughterShare&gt;=v01_MinDaughter),MAX(1,ROUND(AE1054*v01_FissionRate,0)),0)</x:f>
        <x:v>0</x:v>
      </x:c>
      <x:c r="AE1055" s="8" t="n">
        <x:f>IF(H1055=1,MAX(1,MIN(INDEX(v01_Smax,G1055),AE1054+AD1055)),AE1054)</x:f>
        <x:v>16</x:v>
      </x:c>
      <x:c r="AF1055" s="8" t="n">
        <x:f>MAX(0,AE1055-AE1054)</x:f>
        <x:v>0</x:v>
      </x:c>
      <x:c r="AG1055" s="9" t="str">
        <x:f>IF(AF1055&gt;0,B1055,"")</x:f>
      </x:c>
      <x:c r="AH1055" s="9" t="n">
        <x:f>IF(F1055&gt;=1,1,(1+v01_LowTiesShare*(AE1055-1))/AE1055)</x:f>
        <x:v>1</x:v>
      </x:c>
      <x:c r="AI1055" s="32" t="n">
        <x:f>(Z1055+v01_ElderCommons*INDEX(LM_Elder,G1055)*AA1055)*AH1055</x:f>
        <x:v>3785.6380674264487</x:v>
      </x:c>
      <x:c r="AJ1055" s="32" t="n">
        <x:f>H1055*v01_CommonsCoef*AI1055^v01_CommonsExp*INDEX(LM_Commons,G1055)</x:f>
        <x:v>876.6965582004907</x:v>
      </x:c>
      <x:c r="AK1055" s="32" t="n">
        <x:f>H1055*v01_RoleScale*Arch_Roles*(AE1055*(INDEX(v01_ElderRolePerSett,G1055)*v01_OutElder*INDEX(LM_Elder,G1055)+INDEX(v01_ShamanPerSett,G1055)*v01_OutShaman)+Z1055*(INDEX(v01_PriestShare,G1055)*v01_OutPriest+INDEX(v01_ScribeShare,G1055)*v01_OutScribe*INDEX(LM_Scribe,G1055)+INDEX(v01_ScholarShare,G1055)*v01_OutScholar*INDEX(LM_Scholar,G1055)+INDEX(v01_ResearcherShare,G1055)*v01_OutResearcher*INDEX(LM_Researcher,G1055)))</x:f>
        <x:v>171.15626057933144</x:v>
      </x:c>
      <x:c r="AL1055" s="32" t="n">
        <x:f>H1055*v01_RoleScale*Arch_Roles*AE1055*INDEX(v01_MonasteryPerSett,G1055)*v01_OutMonastery*INDEX(LM_Monastery,G1055)</x:f>
        <x:v>5.034282471216728</x:v>
      </x:c>
      <x:c r="AM1055" s="32" t="n">
        <x:f>(AJ1055+AK1055+AL1055)/4*INDEX(LM_All,G1055)*INDEX(v01_Boon,G1055)*Arch_Insight</x:f>
        <x:v>379.40801550121915</x:v>
      </x:c>
      <x:c r="AN1055" s="32" t="n">
        <x:f>H1055*(v01_KHPerAdult*Z1055+v01_KHOfCommons*AJ1055/4*INDEX(LM_All,G1055))*v01_KHUsable*Arch_KH</x:f>
        <x:v>59.387267682323845</x:v>
      </x:c>
      <x:c r="AO1055" s="32" t="n">
        <x:f>MIN(AP1054+AN1055,AM1055*v01_KHMaxRatio)</x:f>
        <x:v>59.387267682323845</x:v>
      </x:c>
      <x:c r="AP1055" s="32" t="n">
        <x:f>AP1054+AN1055-AO1055</x:f>
        <x:v>0</x:v>
      </x:c>
      <x:c r="AQ1055" s="32" t="n">
        <x:f>AM1055+AO1055</x:f>
        <x:v>438.795283183543</x:v>
      </x:c>
      <x:c r="AR1055" s="10" t="n">
        <x:f>IF(H1055=1,INDEX(v01_Req,G1055),0)</x:f>
        <x:v>47951.22698</x:v>
      </x:c>
      <x:c r="AS1055" s="32" t="n">
        <x:f>IF(H1055=1,IF(E1055=1,AS1054-AR1054,AS1054)+AQ1055,0)</x:f>
        <x:v>12583.484894617324</x:v>
      </x:c>
      <x:c r="AT1055" s="11" t="n">
        <x:f>IF(AR1055&gt;0,MIN(1,AS1055/AR1055),1)</x:f>
        <x:v>0.2624225840949967</x:v>
      </x:c>
      <x:c r="AU1055" s="10" t="n">
        <x:f>AB1055/INDEX(v01_RepScale,G1055)</x:f>
        <x:v>161.25282032244883</x:v>
      </x:c>
      <x:c r="AV1055" s="32" t="n">
        <x:f>AM1055*60/v01_SeasonSeconds</x:f>
        <x:v>1517.6320620048766</x:v>
      </x:c>
    </x:row>
    <x:row r="1056">
      <x:c r="A1056" s="8" t="n">
        <x:f>A1055+1</x:f>
        <x:v>1053</x:v>
      </x:c>
      <x:c r="B1056" s="9" t="n">
        <x:f>A1056*v01_SeasonSeconds/60</x:f>
        <x:v>263.25</x:v>
      </x:c>
      <x:c r="C1056" s="9" t="n">
        <x:f>A1056/4</x:f>
        <x:v>263.25</x:v>
      </x:c>
      <x:c r="D1056" s="8" t="n">
        <x:f>IF(MOD(A1056,4)=0,1,0)</x:f>
        <x:v>0</x:v>
      </x:c>
      <x:c r="E1056" s="8" t="n">
        <x:f>IF(AND(F1055&lt;=9,AS1055&gt;=AR1055),1,0)</x:f>
        <x:v>0</x:v>
      </x:c>
      <x:c r="F1056" s="8" t="n">
        <x:f>MIN(10,F1055+E1056)</x:f>
        <x:v>5</x:v>
      </x:c>
      <x:c r="G1056" s="8" t="n">
        <x:f>MIN(F1056,9)+1</x:f>
        <x:v>6</x:v>
      </x:c>
      <x:c r="H1056" s="8" t="n">
        <x:f>IF(F1056&lt;=9,1,0)</x:f>
        <x:v>1</x:v>
      </x:c>
      <x:c r="I1056" s="9" t="n">
        <x:f>MIN(10,F1055+IF(AR1055&gt;0,MIN(1,AS1055/AR1055),1))</x:f>
        <x:v>5.262422584094996</x:v>
      </x:c>
      <x:c r="J1056" s="32" t="n">
        <x:f>INDEX(v01_FoodCap,G1056)*Arch_FoodCap*EXP(v01_CapsByProject*SUMPRODUCT((Cap_Point&lt;=I1056)*(Cap_Kind="Food")*Cap_Ln))</x:f>
        <x:v>500</x:v>
      </x:c>
      <x:c r="K1056" s="32" t="n">
        <x:f>J1056*MIN(1,v01_LeanBase*EXP(v01_CapsByProject*SUMPRODUCT((Cap_Point&lt;=I1056)*(Cap_Kind="Lean")*Cap_Ln)))</x:f>
        <x:v>500</x:v>
      </x:c>
      <x:c r="L1056" s="10" t="n">
        <x:f>INDEX(v01_HousingCap,G1056)*EXP(v01_CapsByProject*SUMPRODUCT((Cap_Point&lt;=I1056)*(Cap_Kind="Housing")*Cap_Ln))</x:f>
        <x:v>800</x:v>
      </x:c>
      <x:c r="M1056" s="10" t="n">
        <x:f>INDEX(v01_GroupCap,G1056)*v01_CohesionFactor*EXP(v01_CapsByProject*SUMPRODUCT((Cap_Point&lt;=I1056)*(Cap_Kind="Group")*Cap_Ln))</x:f>
        <x:v>10000</x:v>
      </x:c>
      <x:c r="N1056" s="32" t="n">
        <x:f>MIN(J1056,L1056,M1056)</x:f>
        <x:v>500</x:v>
      </x:c>
      <x:c r="O1056" s="10" t="n">
        <x:f>AE1055*N1056</x:f>
        <x:v>8000</x:v>
      </x:c>
      <x:c r="P1056" s="9" t="n">
        <x:f>MIN(1,(AB1055/(AE1055*IF(v01_GroupInCrowding=1,N1056,MIN(J1056,L1056))))^v01_CrowdingExp)</x:f>
        <x:v>0.016373595053611797</x:v>
      </x:c>
      <x:c r="Q1056" s="9" t="n">
        <x:f>IF(D1056=1,INDEX(v01_WinterMult,G1056),1)</x:f>
        <x:v>1</x:v>
      </x:c>
      <x:c r="R1056" s="9" t="n">
        <x:f>H1056*Z1055*v01_WomenShare*v01_BaseFertility*INDEX(v01_FertMult,G1056)*Arch_Fertility*(1-P1056)</x:f>
        <x:v>55.07689120367001</x:v>
      </x:c>
      <x:c r="S1056" s="9" t="n">
        <x:f>H1056*Y1055*INDEX(v01_MortChild,G1056)/4*Q1056</x:f>
        <x:v>10.698525030717084</x:v>
      </x:c>
      <x:c r="T1056" s="9" t="n">
        <x:f>H1056*Z1055*INDEX(v01_MortAdult,G1056)*Arch_AdultMort/4*Q1056</x:f>
        <x:v>4.241947691594561</x:v>
      </x:c>
      <x:c r="U1056" s="9" t="n">
        <x:f>H1056*AA1055*INDEX(v01_MortElder,G1056)/4*Q1056</x:f>
        <x:v>9.341661397629942</x:v>
      </x:c>
      <x:c r="V1056" s="9" t="n">
        <x:f>H1056*MAX(0,AB1055-O1056)*v01_OvercapLoss</x:f>
        <x:v>0</x:v>
      </x:c>
      <x:c r="W1056" s="9" t="n">
        <x:f>H1056*Y1055/(v01_ChildYears*4)</x:f>
        <x:v>30.56721437347738</x:v>
      </x:c>
      <x:c r="X1056" s="9" t="n">
        <x:f>H1056*Z1055/(v01_AdultYears*4)</x:f>
        <x:v>13.683702230950196</x:v>
      </x:c>
      <x:c r="Y1056" s="32" t="n">
        <x:f>Y1055+R1056-S1056-W1056-Y1055*V1056/AB1055</x:f>
        <x:v>1725.5751567142088</x:v>
      </x:c>
      <x:c r="Z1056" s="32" t="n">
        <x:f>Z1055+W1056-X1056-T1056-Z1055*V1056/AB1055</x:f>
        <x:v>1709.4206410887568</x:v>
      </x:c>
      <x:c r="AA1056" s="32" t="n">
        <x:f>AA1055+X1056-U1056-AA1055*V1056/AB1055</x:f>
        <x:v>627.119467341983</x:v>
      </x:c>
      <x:c r="AB1056" s="10" t="n">
        <x:f>Y1056+Z1056+AA1056</x:f>
        <x:v>4062.1152651449484</x:v>
      </x:c>
      <x:c r="AC1056" s="8" t="n">
        <x:f>IF(AND(v01_WinterTrigger=1,D1056=1,AB1055/AE1055&gt;=K1056),1,0)</x:f>
        <x:v>0</x:v>
      </x:c>
      <x:c r="AD1056" s="8" t="n">
        <x:f>H1056*IF(AND(OR(AB1055/AE1055&gt;=v01_FissionTrigger*N1056,AC1056=1),AB1055/AE1055*v01_DaughterShare&gt;=v01_MinDaughter),MAX(1,ROUND(AE1055*v01_FissionRate,0)),0)</x:f>
        <x:v>0</x:v>
      </x:c>
      <x:c r="AE1056" s="8" t="n">
        <x:f>IF(H1056=1,MAX(1,MIN(INDEX(v01_Smax,G1056),AE1055+AD1056)),AE1055)</x:f>
        <x:v>16</x:v>
      </x:c>
      <x:c r="AF1056" s="8" t="n">
        <x:f>MAX(0,AE1056-AE1055)</x:f>
        <x:v>0</x:v>
      </x:c>
      <x:c r="AG1056" s="9" t="str">
        <x:f>IF(AF1056&gt;0,B1056,"")</x:f>
      </x:c>
      <x:c r="AH1056" s="9" t="n">
        <x:f>IF(F1056&gt;=1,1,(1+v01_LowTiesShare*(AE1056-1))/AE1056)</x:f>
        <x:v>1</x:v>
      </x:c>
      <x:c r="AI1056" s="32" t="n">
        <x:f>(Z1056+v01_ElderCommons*INDEX(LM_Elder,G1056)*AA1056)*AH1056</x:f>
        <x:v>3812.843279573957</x:v>
      </x:c>
      <x:c r="AJ1056" s="32" t="n">
        <x:f>H1056*v01_CommonsCoef*AI1056^v01_CommonsExp*INDEX(LM_Commons,G1056)</x:f>
        <x:v>882.0489482758036</x:v>
      </x:c>
      <x:c r="AK1056" s="32" t="n">
        <x:f>H1056*v01_RoleScale*Arch_Roles*(AE1056*(INDEX(v01_ElderRolePerSett,G1056)*v01_OutElder*INDEX(LM_Elder,G1056)+INDEX(v01_ShamanPerSett,G1056)*v01_OutShaman)+Z1056*(INDEX(v01_PriestShare,G1056)*v01_OutPriest+INDEX(v01_ScribeShare,G1056)*v01_OutScribe*INDEX(LM_Scribe,G1056)+INDEX(v01_ScholarShare,G1056)*v01_OutScholar*INDEX(LM_Scholar,G1056)+INDEX(v01_ResearcherShare,G1056)*v01_OutResearcher*INDEX(LM_Researcher,G1056)))</x:f>
        <x:v>172.0527099780564</x:v>
      </x:c>
      <x:c r="AL1056" s="32" t="n">
        <x:f>H1056*v01_RoleScale*Arch_Roles*AE1056*INDEX(v01_MonasteryPerSett,G1056)*v01_OutMonastery*INDEX(LM_Monastery,G1056)</x:f>
        <x:v>5.034282471216728</x:v>
      </x:c>
      <x:c r="AM1056" s="32" t="n">
        <x:f>(AJ1056+AK1056+AL1056)/4*INDEX(LM_All,G1056)*INDEX(v01_Boon,G1056)*Arch_Insight</x:f>
        <x:v>381.6597856874179</x:v>
      </x:c>
      <x:c r="AN1056" s="32" t="n">
        <x:f>H1056*(v01_KHPerAdult*Z1056+v01_KHOfCommons*AJ1056/4*INDEX(LM_All,G1056))*v01_KHUsable*Arch_KH</x:f>
        <x:v>59.82972243810649</x:v>
      </x:c>
      <x:c r="AO1056" s="32" t="n">
        <x:f>MIN(AP1055+AN1056,AM1056*v01_KHMaxRatio)</x:f>
        <x:v>59.82972243810649</x:v>
      </x:c>
      <x:c r="AP1056" s="32" t="n">
        <x:f>AP1055+AN1056-AO1056</x:f>
        <x:v>0</x:v>
      </x:c>
      <x:c r="AQ1056" s="32" t="n">
        <x:f>AM1056+AO1056</x:f>
        <x:v>441.4895081255244</x:v>
      </x:c>
      <x:c r="AR1056" s="10" t="n">
        <x:f>IF(H1056=1,INDEX(v01_Req,G1056),0)</x:f>
        <x:v>47951.22698</x:v>
      </x:c>
      <x:c r="AS1056" s="32" t="n">
        <x:f>IF(H1056=1,IF(E1056=1,AS1055-AR1055,AS1055)+AQ1056,0)</x:f>
        <x:v>13024.974402742848</x:v>
      </x:c>
      <x:c r="AT1056" s="11" t="n">
        <x:f>IF(AR1056&gt;0,MIN(1,AS1056/AR1056),1)</x:f>
        <x:v>0.2716296375101192</x:v>
      </x:c>
      <x:c r="AU1056" s="10" t="n">
        <x:f>AB1056/INDEX(v01_RepScale,G1056)</x:f>
        <x:v>162.48461060579794</x:v>
      </x:c>
      <x:c r="AV1056" s="32" t="n">
        <x:f>AM1056*60/v01_SeasonSeconds</x:f>
        <x:v>1526.6391427496717</x:v>
      </x:c>
    </x:row>
    <x:row r="1057">
      <x:c r="A1057" s="8" t="n">
        <x:f>A1056+1</x:f>
        <x:v>1054</x:v>
      </x:c>
      <x:c r="B1057" s="9" t="n">
        <x:f>A1057*v01_SeasonSeconds/60</x:f>
        <x:v>263.5</x:v>
      </x:c>
      <x:c r="C1057" s="9" t="n">
        <x:f>A1057/4</x:f>
        <x:v>263.5</x:v>
      </x:c>
      <x:c r="D1057" s="8" t="n">
        <x:f>IF(MOD(A1057,4)=0,1,0)</x:f>
        <x:v>0</x:v>
      </x:c>
      <x:c r="E1057" s="8" t="n">
        <x:f>IF(AND(F1056&lt;=9,AS1056&gt;=AR1056),1,0)</x:f>
        <x:v>0</x:v>
      </x:c>
      <x:c r="F1057" s="8" t="n">
        <x:f>MIN(10,F1056+E1057)</x:f>
        <x:v>5</x:v>
      </x:c>
      <x:c r="G1057" s="8" t="n">
        <x:f>MIN(F1057,9)+1</x:f>
        <x:v>6</x:v>
      </x:c>
      <x:c r="H1057" s="8" t="n">
        <x:f>IF(F1057&lt;=9,1,0)</x:f>
        <x:v>1</x:v>
      </x:c>
      <x:c r="I1057" s="9" t="n">
        <x:f>MIN(10,F1056+IF(AR1056&gt;0,MIN(1,AS1056/AR1056),1))</x:f>
        <x:v>5.271629637510119</x:v>
      </x:c>
      <x:c r="J1057" s="32" t="n">
        <x:f>INDEX(v01_FoodCap,G1057)*Arch_FoodCap*EXP(v01_CapsByProject*SUMPRODUCT((Cap_Point&lt;=I1057)*(Cap_Kind="Food")*Cap_Ln))</x:f>
        <x:v>500</x:v>
      </x:c>
      <x:c r="K1057" s="32" t="n">
        <x:f>J1057*MIN(1,v01_LeanBase*EXP(v01_CapsByProject*SUMPRODUCT((Cap_Point&lt;=I1057)*(Cap_Kind="Lean")*Cap_Ln)))</x:f>
        <x:v>500</x:v>
      </x:c>
      <x:c r="L1057" s="10" t="n">
        <x:f>INDEX(v01_HousingCap,G1057)*EXP(v01_CapsByProject*SUMPRODUCT((Cap_Point&lt;=I1057)*(Cap_Kind="Housing")*Cap_Ln))</x:f>
        <x:v>800</x:v>
      </x:c>
      <x:c r="M1057" s="10" t="n">
        <x:f>INDEX(v01_GroupCap,G1057)*v01_CohesionFactor*EXP(v01_CapsByProject*SUMPRODUCT((Cap_Point&lt;=I1057)*(Cap_Kind="Group")*Cap_Ln))</x:f>
        <x:v>10000</x:v>
      </x:c>
      <x:c r="N1057" s="32" t="n">
        <x:f>MIN(J1057,L1057,M1057)</x:f>
        <x:v>500</x:v>
      </x:c>
      <x:c r="O1057" s="10" t="n">
        <x:f>AE1056*N1057</x:f>
        <x:v>8000</x:v>
      </x:c>
      <x:c r="P1057" s="9" t="n">
        <x:f>MIN(1,(AB1056/(AE1056*IF(v01_GroupInCrowding=1,N1057,MIN(J1057,L1057))))^v01_CrowdingExp)</x:f>
        <x:v>0.017138528610862132</x:v>
      </x:c>
      <x:c r="Q1057" s="9" t="n">
        <x:f>IF(D1057=1,INDEX(v01_WinterMult,G1057),1)</x:f>
        <x:v>1</x:v>
      </x:c>
      <x:c r="R1057" s="9" t="n">
        <x:f>H1057*Z1056*v01_WomenShare*v01_BaseFertility*INDEX(v01_FertMult,G1057)*Arch_Fertility*(1-P1057)</x:f>
        <x:v>55.44408165527414</x:v>
      </x:c>
      <x:c r="S1057" s="9" t="n">
        <x:f>H1057*Y1056*INDEX(v01_MortChild,G1057)/4*Q1057</x:f>
        <x:v>10.784844729463806</x:v>
      </x:c>
      <x:c r="T1057" s="9" t="n">
        <x:f>H1057*Z1056*INDEX(v01_MortAdult,G1057)*Arch_AdultMort/4*Q1057</x:f>
        <x:v>4.273551602721892</x:v>
      </x:c>
      <x:c r="U1057" s="9" t="n">
        <x:f>H1057*AA1056*INDEX(v01_MortElder,G1057)/4*Q1057</x:f>
        <x:v>9.406792010129744</x:v>
      </x:c>
      <x:c r="V1057" s="9" t="n">
        <x:f>H1057*MAX(0,AB1056-O1057)*v01_OvercapLoss</x:f>
        <x:v>0</x:v>
      </x:c>
      <x:c r="W1057" s="9" t="n">
        <x:f>H1057*Y1056/(v01_ChildYears*4)</x:f>
        <x:v>30.8138420841823</x:v>
      </x:c>
      <x:c r="X1057" s="9" t="n">
        <x:f>H1057*Z1056/(v01_AdultYears*4)</x:f>
        <x:v>13.785650331360943</x:v>
      </x:c>
      <x:c r="Y1057" s="32" t="n">
        <x:f>Y1056+R1057-S1057-W1057-Y1056*V1057/AB1056</x:f>
        <x:v>1739.4205515558367</x:v>
      </x:c>
      <x:c r="Z1057" s="32" t="n">
        <x:f>Z1056+W1057-X1057-T1057-Z1056*V1057/AB1056</x:f>
        <x:v>1722.1752812388563</x:v>
      </x:c>
      <x:c r="AA1057" s="32" t="n">
        <x:f>AA1056+X1057-U1057-AA1056*V1057/AB1056</x:f>
        <x:v>631.4983256632141</x:v>
      </x:c>
      <x:c r="AB1057" s="10" t="n">
        <x:f>Y1057+Z1057+AA1057</x:f>
        <x:v>4093.094158457907</x:v>
      </x:c>
      <x:c r="AC1057" s="8" t="n">
        <x:f>IF(AND(v01_WinterTrigger=1,D1057=1,AB1056/AE1056&gt;=K1057),1,0)</x:f>
        <x:v>0</x:v>
      </x:c>
      <x:c r="AD1057" s="8" t="n">
        <x:f>H1057*IF(AND(OR(AB1056/AE1056&gt;=v01_FissionTrigger*N1057,AC1057=1),AB1056/AE1056*v01_DaughterShare&gt;=v01_MinDaughter),MAX(1,ROUND(AE1056*v01_FissionRate,0)),0)</x:f>
        <x:v>0</x:v>
      </x:c>
      <x:c r="AE1057" s="8" t="n">
        <x:f>IF(H1057=1,MAX(1,MIN(INDEX(v01_Smax,G1057),AE1056+AD1057)),AE1056)</x:f>
        <x:v>16</x:v>
      </x:c>
      <x:c r="AF1057" s="8" t="n">
        <x:f>MAX(0,AE1057-AE1056)</x:f>
        <x:v>0</x:v>
      </x:c>
      <x:c r="AG1057" s="9" t="str">
        <x:f>IF(AF1057&gt;0,B1057,"")</x:f>
      </x:c>
      <x:c r="AH1057" s="9" t="n">
        <x:f>IF(F1057&gt;=1,1,(1+v01_LowTiesShare*(AE1057-1))/AE1057)</x:f>
        <x:v>1</x:v>
      </x:c>
      <x:c r="AI1057" s="32" t="n">
        <x:f>(Z1057+v01_ElderCommons*INDEX(LM_Elder,G1057)*AA1057)*AH1057</x:f>
        <x:v>3840.2850570292267</x:v>
      </x:c>
      <x:c r="AJ1057" s="32" t="n">
        <x:f>H1057*v01_CommonsCoef*AI1057^v01_CommonsExp*INDEX(LM_Commons,G1057)</x:f>
        <x:v>887.4420802649927</x:v>
      </x:c>
      <x:c r="AK1057" s="32" t="n">
        <x:f>H1057*v01_RoleScale*Arch_Roles*(AE1057*(INDEX(v01_ElderRolePerSett,G1057)*v01_OutElder*INDEX(LM_Elder,G1057)+INDEX(v01_ShamanPerSett,G1057)*v01_OutShaman)+Z1057*(INDEX(v01_PriestShare,G1057)*v01_OutPriest+INDEX(v01_ScribeShare,G1057)*v01_OutScribe*INDEX(LM_Scribe,G1057)+INDEX(v01_ScholarShare,G1057)*v01_OutScholar*INDEX(LM_Scholar,G1057)+INDEX(v01_ResearcherShare,G1057)*v01_OutResearcher*INDEX(LM_Researcher,G1057)))</x:f>
        <x:v>172.95717789718856</x:v>
      </x:c>
      <x:c r="AL1057" s="32" t="n">
        <x:f>H1057*v01_RoleScale*Arch_Roles*AE1057*INDEX(v01_MonasteryPerSett,G1057)*v01_OutMonastery*INDEX(LM_Monastery,G1057)</x:f>
        <x:v>5.034282471216728</x:v>
      </x:c>
      <x:c r="AM1057" s="32" t="n">
        <x:f>(AJ1057+AK1057+AL1057)/4*INDEX(LM_All,G1057)*INDEX(v01_Boon,G1057)*Arch_Insight</x:f>
        <x:v>383.92912670299097</x:v>
      </x:c>
      <x:c r="AN1057" s="32" t="n">
        <x:f>H1057*(v01_KHPerAdult*Z1057+v01_KHOfCommons*AJ1057/4*INDEX(LM_All,G1057))*v01_KHUsable*Arch_KH</x:f>
        <x:v>60.27613484335997</x:v>
      </x:c>
      <x:c r="AO1057" s="32" t="n">
        <x:f>MIN(AP1056+AN1057,AM1057*v01_KHMaxRatio)</x:f>
        <x:v>60.27613484335997</x:v>
      </x:c>
      <x:c r="AP1057" s="32" t="n">
        <x:f>AP1056+AN1057-AO1057</x:f>
        <x:v>0</x:v>
      </x:c>
      <x:c r="AQ1057" s="32" t="n">
        <x:f>AM1057+AO1057</x:f>
        <x:v>444.2052615463509</x:v>
      </x:c>
      <x:c r="AR1057" s="10" t="n">
        <x:f>IF(H1057=1,INDEX(v01_Req,G1057),0)</x:f>
        <x:v>47951.22698</x:v>
      </x:c>
      <x:c r="AS1057" s="32" t="n">
        <x:f>IF(H1057=1,IF(E1057=1,AS1056-AR1056,AS1056)+AQ1057,0)</x:f>
        <x:v>13469.179664289199</x:v>
      </x:c>
      <x:c r="AT1057" s="11" t="n">
        <x:f>IF(AR1057&gt;0,MIN(1,AS1057/AR1057),1)</x:f>
        <x:v>0.28089332666934813</x:v>
      </x:c>
      <x:c r="AU1057" s="10" t="n">
        <x:f>AB1057/INDEX(v01_RepScale,G1057)</x:f>
        <x:v>163.72376633831627</x:v>
      </x:c>
      <x:c r="AV1057" s="32" t="n">
        <x:f>AM1057*60/v01_SeasonSeconds</x:f>
        <x:v>1535.7165068119639</x:v>
      </x:c>
    </x:row>
    <x:row r="1058">
      <x:c r="A1058" s="8" t="n">
        <x:f>A1057+1</x:f>
        <x:v>1055</x:v>
      </x:c>
      <x:c r="B1058" s="9" t="n">
        <x:f>A1058*v01_SeasonSeconds/60</x:f>
        <x:v>263.75</x:v>
      </x:c>
      <x:c r="C1058" s="9" t="n">
        <x:f>A1058/4</x:f>
        <x:v>263.75</x:v>
      </x:c>
      <x:c r="D1058" s="8" t="n">
        <x:f>IF(MOD(A1058,4)=0,1,0)</x:f>
        <x:v>0</x:v>
      </x:c>
      <x:c r="E1058" s="8" t="n">
        <x:f>IF(AND(F1057&lt;=9,AS1057&gt;=AR1057),1,0)</x:f>
        <x:v>0</x:v>
      </x:c>
      <x:c r="F1058" s="8" t="n">
        <x:f>MIN(10,F1057+E1058)</x:f>
        <x:v>5</x:v>
      </x:c>
      <x:c r="G1058" s="8" t="n">
        <x:f>MIN(F1058,9)+1</x:f>
        <x:v>6</x:v>
      </x:c>
      <x:c r="H1058" s="8" t="n">
        <x:f>IF(F1058&lt;=9,1,0)</x:f>
        <x:v>1</x:v>
      </x:c>
      <x:c r="I1058" s="9" t="n">
        <x:f>MIN(10,F1057+IF(AR1057&gt;0,MIN(1,AS1057/AR1057),1))</x:f>
        <x:v>5.280893326669348</x:v>
      </x:c>
      <x:c r="J1058" s="32" t="n">
        <x:f>INDEX(v01_FoodCap,G1058)*Arch_FoodCap*EXP(v01_CapsByProject*SUMPRODUCT((Cap_Point&lt;=I1058)*(Cap_Kind="Food")*Cap_Ln))</x:f>
        <x:v>500</x:v>
      </x:c>
      <x:c r="K1058" s="32" t="n">
        <x:f>J1058*MIN(1,v01_LeanBase*EXP(v01_CapsByProject*SUMPRODUCT((Cap_Point&lt;=I1058)*(Cap_Kind="Lean")*Cap_Ln)))</x:f>
        <x:v>500</x:v>
      </x:c>
      <x:c r="L1058" s="10" t="n">
        <x:f>INDEX(v01_HousingCap,G1058)*EXP(v01_CapsByProject*SUMPRODUCT((Cap_Point&lt;=I1058)*(Cap_Kind="Housing")*Cap_Ln))</x:f>
        <x:v>800</x:v>
      </x:c>
      <x:c r="M1058" s="10" t="n">
        <x:f>INDEX(v01_GroupCap,G1058)*v01_CohesionFactor*EXP(v01_CapsByProject*SUMPRODUCT((Cap_Point&lt;=I1058)*(Cap_Kind="Group")*Cap_Ln))</x:f>
        <x:v>10000</x:v>
      </x:c>
      <x:c r="N1058" s="32" t="n">
        <x:f>MIN(J1058,L1058,M1058)</x:f>
        <x:v>500</x:v>
      </x:c>
      <x:c r="O1058" s="10" t="n">
        <x:f>AE1057*N1058</x:f>
        <x:v>8000</x:v>
      </x:c>
      <x:c r="P1058" s="9" t="n">
        <x:f>MIN(1,(AB1057/(AE1057*IF(v01_GroupInCrowding=1,N1058,MIN(J1058,L1058))))^v01_CrowdingExp)</x:f>
        <x:v>0.017937854222142908</x:v>
      </x:c>
      <x:c r="Q1058" s="9" t="n">
        <x:f>IF(D1058=1,INDEX(v01_WinterMult,G1058),1)</x:f>
        <x:v>1</x:v>
      </x:c>
      <x:c r="R1058" s="9" t="n">
        <x:f>H1058*Z1057*v01_WomenShare*v01_BaseFertility*INDEX(v01_FertMult,G1058)*Arch_Fertility*(1-P1058)</x:f>
        <x:v>55.81234401926752</x:v>
      </x:c>
      <x:c r="S1058" s="9" t="n">
        <x:f>H1058*Y1057*INDEX(v01_MortChild,G1058)/4*Q1058</x:f>
        <x:v>10.87137844722398</x:v>
      </x:c>
      <x:c r="T1058" s="9" t="n">
        <x:f>H1058*Z1057*INDEX(v01_MortAdult,G1058)*Arch_AdultMort/4*Q1058</x:f>
        <x:v>4.3054382030971405</x:v>
      </x:c>
      <x:c r="U1058" s="9" t="n">
        <x:f>H1058*AA1057*INDEX(v01_MortElder,G1058)/4*Q1058</x:f>
        <x:v>9.47247488494821</x:v>
      </x:c>
      <x:c r="V1058" s="9" t="n">
        <x:f>H1058*MAX(0,AB1057-O1058)*v01_OvercapLoss</x:f>
        <x:v>0</x:v>
      </x:c>
      <x:c r="W1058" s="9" t="n">
        <x:f>H1058*Y1057/(v01_ChildYears*4)</x:f>
        <x:v>31.061081277782797</x:v>
      </x:c>
      <x:c r="X1058" s="9" t="n">
        <x:f>H1058*Z1057/(v01_AdultYears*4)</x:f>
        <x:v>13.888510332571421</x:v>
      </x:c>
      <x:c r="Y1058" s="32" t="n">
        <x:f>Y1057+R1058-S1058-W1058-Y1057*V1058/AB1057</x:f>
        <x:v>1753.3004358500975</x:v>
      </x:c>
      <x:c r="Z1058" s="32" t="n">
        <x:f>Z1057+W1058-X1058-T1058-Z1057*V1058/AB1057</x:f>
        <x:v>1735.0424139809704</x:v>
      </x:c>
      <x:c r="AA1058" s="32" t="n">
        <x:f>AA1057+X1058-U1058-AA1057*V1058/AB1057</x:f>
        <x:v>635.9143611108374</x:v>
      </x:c>
      <x:c r="AB1058" s="10" t="n">
        <x:f>Y1058+Z1058+AA1058</x:f>
        <x:v>4124.257210941905</x:v>
      </x:c>
      <x:c r="AC1058" s="8" t="n">
        <x:f>IF(AND(v01_WinterTrigger=1,D1058=1,AB1057/AE1057&gt;=K1058),1,0)</x:f>
        <x:v>0</x:v>
      </x:c>
      <x:c r="AD1058" s="8" t="n">
        <x:f>H1058*IF(AND(OR(AB1057/AE1057&gt;=v01_FissionTrigger*N1058,AC1058=1),AB1057/AE1057*v01_DaughterShare&gt;=v01_MinDaughter),MAX(1,ROUND(AE1057*v01_FissionRate,0)),0)</x:f>
        <x:v>0</x:v>
      </x:c>
      <x:c r="AE1058" s="8" t="n">
        <x:f>IF(H1058=1,MAX(1,MIN(INDEX(v01_Smax,G1058),AE1057+AD1058)),AE1057)</x:f>
        <x:v>16</x:v>
      </x:c>
      <x:c r="AF1058" s="8" t="n">
        <x:f>MAX(0,AE1058-AE1057)</x:f>
        <x:v>0</x:v>
      </x:c>
      <x:c r="AG1058" s="9" t="str">
        <x:f>IF(AF1058&gt;0,B1058,"")</x:f>
      </x:c>
      <x:c r="AH1058" s="9" t="n">
        <x:f>IF(F1058&gt;=1,1,(1+v01_LowTiesShare*(AE1058-1))/AE1058)</x:f>
        <x:v>1</x:v>
      </x:c>
      <x:c r="AI1058" s="32" t="n">
        <x:f>(Z1058+v01_ElderCommons*INDEX(LM_Elder,G1058)*AA1058)*AH1058</x:f>
        <x:v>3867.9640229492425</x:v>
      </x:c>
      <x:c r="AJ1058" s="32" t="n">
        <x:f>H1058*v01_CommonsCoef*AI1058^v01_CommonsExp*INDEX(LM_Commons,G1058)</x:f>
        <x:v>892.8759742487795</x:v>
      </x:c>
      <x:c r="AK1058" s="32" t="n">
        <x:f>H1058*v01_RoleScale*Arch_Roles*(AE1058*(INDEX(v01_ElderRolePerSett,G1058)*v01_OutElder*INDEX(LM_Elder,G1058)+INDEX(v01_ShamanPerSett,G1058)*v01_OutShaman)+Z1058*(INDEX(v01_PriestShare,G1058)*v01_OutPriest+INDEX(v01_ScribeShare,G1058)*v01_OutScribe*INDEX(LM_Scribe,G1058)+INDEX(v01_ScholarShare,G1058)*v01_OutScholar*INDEX(LM_Scholar,G1058)+INDEX(v01_ResearcherShare,G1058)*v01_OutResearcher*INDEX(LM_Researcher,G1058)))</x:f>
        <x:v>173.86962298693626</x:v>
      </x:c>
      <x:c r="AL1058" s="32" t="n">
        <x:f>H1058*v01_RoleScale*Arch_Roles*AE1058*INDEX(v01_MonasteryPerSett,G1058)*v01_OutMonastery*INDEX(LM_Monastery,G1058)</x:f>
        <x:v>5.034282471216728</x:v>
      </x:c>
      <x:c r="AM1058" s="32" t="n">
        <x:f>(AJ1058+AK1058+AL1058)/4*INDEX(LM_All,G1058)*INDEX(v01_Boon,G1058)*Arch_Insight</x:f>
        <x:v>386.2160308836259</x:v>
      </x:c>
      <x:c r="AN1058" s="32" t="n">
        <x:f>H1058*(v01_KHPerAdult*Z1058+v01_KHOfCommons*AJ1058/4*INDEX(LM_All,G1058))*v01_KHUsable*Arch_KH</x:f>
        <x:v>60.72648448933397</x:v>
      </x:c>
      <x:c r="AO1058" s="32" t="n">
        <x:f>MIN(AP1057+AN1058,AM1058*v01_KHMaxRatio)</x:f>
        <x:v>60.72648448933397</x:v>
      </x:c>
      <x:c r="AP1058" s="32" t="n">
        <x:f>AP1057+AN1058-AO1058</x:f>
        <x:v>0</x:v>
      </x:c>
      <x:c r="AQ1058" s="32" t="n">
        <x:f>AM1058+AO1058</x:f>
        <x:v>446.94251537295986</x:v>
      </x:c>
      <x:c r="AR1058" s="10" t="n">
        <x:f>IF(H1058=1,INDEX(v01_Req,G1058),0)</x:f>
        <x:v>47951.22698</x:v>
      </x:c>
      <x:c r="AS1058" s="32" t="n">
        <x:f>IF(H1058=1,IF(E1058=1,AS1057-AR1057,AS1057)+AQ1058,0)</x:f>
        <x:v>13916.122179662158</x:v>
      </x:c>
      <x:c r="AT1058" s="11" t="n">
        <x:f>IF(AR1058&gt;0,MIN(1,AS1058/AR1058),1)</x:f>
        <x:v>0.2902140999534056</x:v>
      </x:c>
      <x:c r="AU1058" s="10" t="n">
        <x:f>AB1058/INDEX(v01_RepScale,G1058)</x:f>
        <x:v>164.9702884376762</x:v>
      </x:c>
      <x:c r="AV1058" s="32" t="n">
        <x:f>AM1058*60/v01_SeasonSeconds</x:f>
        <x:v>1544.8641235345035</x:v>
      </x:c>
    </x:row>
    <x:row r="1059">
      <x:c r="A1059" s="8" t="n">
        <x:f>A1058+1</x:f>
        <x:v>1056</x:v>
      </x:c>
      <x:c r="B1059" s="9" t="n">
        <x:f>A1059*v01_SeasonSeconds/60</x:f>
        <x:v>264</x:v>
      </x:c>
      <x:c r="C1059" s="9" t="n">
        <x:f>A1059/4</x:f>
        <x:v>264</x:v>
      </x:c>
      <x:c r="D1059" s="8" t="n">
        <x:f>IF(MOD(A1059,4)=0,1,0)</x:f>
        <x:v>1</x:v>
      </x:c>
      <x:c r="E1059" s="8" t="n">
        <x:f>IF(AND(F1058&lt;=9,AS1058&gt;=AR1058),1,0)</x:f>
        <x:v>0</x:v>
      </x:c>
      <x:c r="F1059" s="8" t="n">
        <x:f>MIN(10,F1058+E1059)</x:f>
        <x:v>5</x:v>
      </x:c>
      <x:c r="G1059" s="8" t="n">
        <x:f>MIN(F1059,9)+1</x:f>
        <x:v>6</x:v>
      </x:c>
      <x:c r="H1059" s="8" t="n">
        <x:f>IF(F1059&lt;=9,1,0)</x:f>
        <x:v>1</x:v>
      </x:c>
      <x:c r="I1059" s="9" t="n">
        <x:f>MIN(10,F1058+IF(AR1058&gt;0,MIN(1,AS1058/AR1058),1))</x:f>
        <x:v>5.290214099953405</x:v>
      </x:c>
      <x:c r="J1059" s="32" t="n">
        <x:f>INDEX(v01_FoodCap,G1059)*Arch_FoodCap*EXP(v01_CapsByProject*SUMPRODUCT((Cap_Point&lt;=I1059)*(Cap_Kind="Food")*Cap_Ln))</x:f>
        <x:v>500</x:v>
      </x:c>
      <x:c r="K1059" s="32" t="n">
        <x:f>J1059*MIN(1,v01_LeanBase*EXP(v01_CapsByProject*SUMPRODUCT((Cap_Point&lt;=I1059)*(Cap_Kind="Lean")*Cap_Ln)))</x:f>
        <x:v>500</x:v>
      </x:c>
      <x:c r="L1059" s="10" t="n">
        <x:f>INDEX(v01_HousingCap,G1059)*EXP(v01_CapsByProject*SUMPRODUCT((Cap_Point&lt;=I1059)*(Cap_Kind="Housing")*Cap_Ln))</x:f>
        <x:v>800</x:v>
      </x:c>
      <x:c r="M1059" s="10" t="n">
        <x:f>INDEX(v01_GroupCap,G1059)*v01_CohesionFactor*EXP(v01_CapsByProject*SUMPRODUCT((Cap_Point&lt;=I1059)*(Cap_Kind="Group")*Cap_Ln))</x:f>
        <x:v>10000</x:v>
      </x:c>
      <x:c r="N1059" s="32" t="n">
        <x:f>MIN(J1059,L1059,M1059)</x:f>
        <x:v>500</x:v>
      </x:c>
      <x:c r="O1059" s="10" t="n">
        <x:f>AE1058*N1059</x:f>
        <x:v>8000</x:v>
      </x:c>
      <x:c r="P1059" s="9" t="n">
        <x:f>MIN(1,(AB1058/(AE1058*IF(v01_GroupInCrowding=1,N1059,MIN(J1059,L1059))))^v01_CrowdingExp)</x:f>
        <x:v>0.01877303684289812</x:v>
      </x:c>
      <x:c r="Q1059" s="9" t="n">
        <x:f>IF(D1059=1,INDEX(v01_WinterMult,G1059),1)</x:f>
        <x:v>1</x:v>
      </x:c>
      <x:c r="R1059" s="9" t="n">
        <x:f>H1059*Z1058*v01_WomenShare*v01_BaseFertility*INDEX(v01_FertMult,G1059)*Arch_Fertility*(1-P1059)</x:f>
        <x:v>56.18152316103739</x:v>
      </x:c>
      <x:c r="S1059" s="9" t="n">
        <x:f>H1059*Y1058*INDEX(v01_MortChild,G1059)/4*Q1059</x:f>
        <x:v>10.958127724063111</x:v>
      </x:c>
      <x:c r="T1059" s="9" t="n">
        <x:f>H1059*Z1058*INDEX(v01_MortAdult,G1059)*Arch_AdultMort/4*Q1059</x:f>
        <x:v>4.337606034952426</x:v>
      </x:c>
      <x:c r="U1059" s="9" t="n">
        <x:f>H1059*AA1058*INDEX(v01_MortElder,G1059)/4*Q1059</x:f>
        <x:v>9.53871541666256</x:v>
      </x:c>
      <x:c r="V1059" s="9" t="n">
        <x:f>H1059*MAX(0,AB1058-O1059)*v01_OvercapLoss</x:f>
        <x:v>0</x:v>
      </x:c>
      <x:c r="W1059" s="9" t="n">
        <x:f>H1059*Y1058/(v01_ChildYears*4)</x:f>
        <x:v>31.308936354466027</x:v>
      </x:c>
      <x:c r="X1059" s="9" t="n">
        <x:f>H1059*Z1058/(v01_AdultYears*4)</x:f>
        <x:v>13.9922775321046</x:v>
      </x:c>
      <x:c r="Y1059" s="32" t="n">
        <x:f>Y1058+R1059-S1059-W1059-Y1058*V1059/AB1058</x:f>
        <x:v>1767.2148949326056</x:v>
      </x:c>
      <x:c r="Z1059" s="32" t="n">
        <x:f>Z1058+W1059-X1059-T1059-Z1058*V1059/AB1058</x:f>
        <x:v>1748.0214667683795</x:v>
      </x:c>
      <x:c r="AA1059" s="32" t="n">
        <x:f>AA1058+X1059-U1059-AA1058*V1059/AB1058</x:f>
        <x:v>640.3679232262795</x:v>
      </x:c>
      <x:c r="AB1059" s="10" t="n">
        <x:f>Y1059+Z1059+AA1059</x:f>
        <x:v>4155.604284927264</x:v>
      </x:c>
      <x:c r="AC1059" s="8" t="n">
        <x:f>IF(AND(v01_WinterTrigger=1,D1059=1,AB1058/AE1058&gt;=K1059),1,0)</x:f>
        <x:v>0</x:v>
      </x:c>
      <x:c r="AD1059" s="8" t="n">
        <x:f>H1059*IF(AND(OR(AB1058/AE1058&gt;=v01_FissionTrigger*N1059,AC1059=1),AB1058/AE1058*v01_DaughterShare&gt;=v01_MinDaughter),MAX(1,ROUND(AE1058*v01_FissionRate,0)),0)</x:f>
        <x:v>0</x:v>
      </x:c>
      <x:c r="AE1059" s="8" t="n">
        <x:f>IF(H1059=1,MAX(1,MIN(INDEX(v01_Smax,G1059),AE1058+AD1059)),AE1058)</x:f>
        <x:v>16</x:v>
      </x:c>
      <x:c r="AF1059" s="8" t="n">
        <x:f>MAX(0,AE1059-AE1058)</x:f>
        <x:v>0</x:v>
      </x:c>
      <x:c r="AG1059" s="9" t="str">
        <x:f>IF(AF1059&gt;0,B1059,"")</x:f>
      </x:c>
      <x:c r="AH1059" s="9" t="n">
        <x:f>IF(F1059&gt;=1,1,(1+v01_LowTiesShare*(AE1059-1))/AE1059)</x:f>
        <x:v>1</x:v>
      </x:c>
      <x:c r="AI1059" s="32" t="n">
        <x:f>(Z1059+v01_ElderCommons*INDEX(LM_Elder,G1059)*AA1059)*AH1059</x:f>
        <x:v>3895.8807771848706</x:v>
      </x:c>
      <x:c r="AJ1059" s="32" t="n">
        <x:f>H1059*v01_CommonsCoef*AI1059^v01_CommonsExp*INDEX(LM_Commons,G1059)</x:f>
        <x:v>898.3506456593003</x:v>
      </x:c>
      <x:c r="AK1059" s="32" t="n">
        <x:f>H1059*v01_RoleScale*Arch_Roles*(AE1059*(INDEX(v01_ElderRolePerSett,G1059)*v01_OutElder*INDEX(LM_Elder,G1059)+INDEX(v01_ShamanPerSett,G1059)*v01_OutShaman)+Z1059*(INDEX(v01_PriestShare,G1059)*v01_OutPriest+INDEX(v01_ScribeShare,G1059)*v01_OutScribe*INDEX(LM_Scribe,G1059)+INDEX(v01_ScholarShare,G1059)*v01_OutScholar*INDEX(LM_Scholar,G1059)+INDEX(v01_ResearcherShare,G1059)*v01_OutResearcher*INDEX(LM_Researcher,G1059)))</x:f>
        <x:v>174.7900046463783</x:v>
      </x:c>
      <x:c r="AL1059" s="32" t="n">
        <x:f>H1059*v01_RoleScale*Arch_Roles*AE1059*INDEX(v01_MonasteryPerSett,G1059)*v01_OutMonastery*INDEX(LM_Monastery,G1059)</x:f>
        <x:v>5.034282471216728</x:v>
      </x:c>
      <x:c r="AM1059" s="32" t="n">
        <x:f>(AJ1059+AK1059+AL1059)/4*INDEX(LM_All,G1059)*INDEX(v01_Boon,G1059)*Arch_Insight</x:f>
        <x:v>388.5204891597475</x:v>
      </x:c>
      <x:c r="AN1059" s="32" t="n">
        <x:f>H1059*(v01_KHPerAdult*Z1059+v01_KHOfCommons*AJ1059/4*INDEX(LM_All,G1059))*v01_KHUsable*Arch_KH</x:f>
        <x:v>61.18075133689328</x:v>
      </x:c>
      <x:c r="AO1059" s="32" t="n">
        <x:f>MIN(AP1058+AN1059,AM1059*v01_KHMaxRatio)</x:f>
        <x:v>61.18075133689328</x:v>
      </x:c>
      <x:c r="AP1059" s="32" t="n">
        <x:f>AP1058+AN1059-AO1059</x:f>
        <x:v>0</x:v>
      </x:c>
      <x:c r="AQ1059" s="32" t="n">
        <x:f>AM1059+AO1059</x:f>
        <x:v>449.7012404966408</x:v>
      </x:c>
      <x:c r="AR1059" s="10" t="n">
        <x:f>IF(H1059=1,INDEX(v01_Req,G1059),0)</x:f>
        <x:v>47951.22698</x:v>
      </x:c>
      <x:c r="AS1059" s="32" t="n">
        <x:f>IF(H1059=1,IF(E1059=1,AS1058-AR1058,AS1058)+AQ1059,0)</x:f>
        <x:v>14365.823420158798</x:v>
      </x:c>
      <x:c r="AT1059" s="11" t="n">
        <x:f>IF(AR1059&gt;0,MIN(1,AS1059/AR1059),1)</x:f>
        <x:v>0.29959240513596547</x:v>
      </x:c>
      <x:c r="AU1059" s="10" t="n">
        <x:f>AB1059/INDEX(v01_RepScale,G1059)</x:f>
        <x:v>166.22417139709057</x:v>
      </x:c>
      <x:c r="AV1059" s="32" t="n">
        <x:f>AM1059*60/v01_SeasonSeconds</x:f>
        <x:v>1554.08195663899</x:v>
      </x:c>
    </x:row>
    <x:row r="1060">
      <x:c r="A1060" s="8" t="n">
        <x:f>A1059+1</x:f>
        <x:v>1057</x:v>
      </x:c>
      <x:c r="B1060" s="9" t="n">
        <x:f>A1060*v01_SeasonSeconds/60</x:f>
        <x:v>264.25</x:v>
      </x:c>
      <x:c r="C1060" s="9" t="n">
        <x:f>A1060/4</x:f>
        <x:v>264.25</x:v>
      </x:c>
      <x:c r="D1060" s="8" t="n">
        <x:f>IF(MOD(A1060,4)=0,1,0)</x:f>
        <x:v>0</x:v>
      </x:c>
      <x:c r="E1060" s="8" t="n">
        <x:f>IF(AND(F1059&lt;=9,AS1059&gt;=AR1059),1,0)</x:f>
        <x:v>0</x:v>
      </x:c>
      <x:c r="F1060" s="8" t="n">
        <x:f>MIN(10,F1059+E1060)</x:f>
        <x:v>5</x:v>
      </x:c>
      <x:c r="G1060" s="8" t="n">
        <x:f>MIN(F1060,9)+1</x:f>
        <x:v>6</x:v>
      </x:c>
      <x:c r="H1060" s="8" t="n">
        <x:f>IF(F1060&lt;=9,1,0)</x:f>
        <x:v>1</x:v>
      </x:c>
      <x:c r="I1060" s="9" t="n">
        <x:f>MIN(10,F1059+IF(AR1059&gt;0,MIN(1,AS1059/AR1059),1))</x:f>
        <x:v>5.299592405135965</x:v>
      </x:c>
      <x:c r="J1060" s="32" t="n">
        <x:f>INDEX(v01_FoodCap,G1060)*Arch_FoodCap*EXP(v01_CapsByProject*SUMPRODUCT((Cap_Point&lt;=I1060)*(Cap_Kind="Food")*Cap_Ln))</x:f>
        <x:v>500</x:v>
      </x:c>
      <x:c r="K1060" s="32" t="n">
        <x:f>J1060*MIN(1,v01_LeanBase*EXP(v01_CapsByProject*SUMPRODUCT((Cap_Point&lt;=I1060)*(Cap_Kind="Lean")*Cap_Ln)))</x:f>
        <x:v>500</x:v>
      </x:c>
      <x:c r="L1060" s="10" t="n">
        <x:f>INDEX(v01_HousingCap,G1060)*EXP(v01_CapsByProject*SUMPRODUCT((Cap_Point&lt;=I1060)*(Cap_Kind="Housing")*Cap_Ln))</x:f>
        <x:v>800</x:v>
      </x:c>
      <x:c r="M1060" s="10" t="n">
        <x:f>INDEX(v01_GroupCap,G1060)*v01_CohesionFactor*EXP(v01_CapsByProject*SUMPRODUCT((Cap_Point&lt;=I1060)*(Cap_Kind="Group")*Cap_Ln))</x:f>
        <x:v>10000</x:v>
      </x:c>
      <x:c r="N1060" s="32" t="n">
        <x:f>MIN(J1060,L1060,M1060)</x:f>
        <x:v>500</x:v>
      </x:c>
      <x:c r="O1060" s="10" t="n">
        <x:f>AE1059*N1060</x:f>
        <x:v>8000</x:v>
      </x:c>
      <x:c r="P1060" s="9" t="n">
        <x:f>MIN(1,(AB1059/(AE1059*IF(v01_GroupInCrowding=1,N1060,MIN(J1060,L1060))))^v01_CrowdingExp)</x:f>
        <x:v>0.01964559517201341</x:v>
      </x:c>
      <x:c r="Q1060" s="9" t="n">
        <x:f>IF(D1060=1,INDEX(v01_WinterMult,G1060),1)</x:f>
        <x:v>1</x:v>
      </x:c>
      <x:c r="R1060" s="9" t="n">
        <x:f>H1060*Z1059*v01_WomenShare*v01_BaseFertility*INDEX(v01_FertMult,G1060)*Arch_Fertility*(1-P1060)</x:f>
        <x:v>56.551457974448546</x:v>
      </x:c>
      <x:c r="S1060" s="9" t="n">
        <x:f>H1060*Y1059*INDEX(v01_MortChild,G1060)/4*Q1060</x:f>
        <x:v>11.045093093328786</x:v>
      </x:c>
      <x:c r="T1060" s="9" t="n">
        <x:f>H1060*Z1059*INDEX(v01_MortAdult,G1060)*Arch_AdultMort/4*Q1060</x:f>
        <x:v>4.370053666920949</x:v>
      </x:c>
      <x:c r="U1060" s="9" t="n">
        <x:f>H1060*AA1059*INDEX(v01_MortElder,G1060)/4*Q1060</x:f>
        <x:v>9.605518848394192</x:v>
      </x:c>
      <x:c r="V1060" s="9" t="n">
        <x:f>H1060*MAX(0,AB1059-O1060)*v01_OvercapLoss</x:f>
        <x:v>0</x:v>
      </x:c>
      <x:c r="W1060" s="9" t="n">
        <x:f>H1060*Y1059/(v01_ChildYears*4)</x:f>
        <x:v>31.557408838082242</x:v>
      </x:c>
      <x:c r="X1060" s="9" t="n">
        <x:f>H1060*Z1059/(v01_AdultYears*4)</x:f>
        <x:v>14.096947312648222</x:v>
      </x:c>
      <x:c r="Y1060" s="32" t="n">
        <x:f>Y1059+R1060-S1060-W1060-Y1059*V1060/AB1059</x:f>
        <x:v>1781.163850975643</x:v>
      </x:c>
      <x:c r="Z1060" s="32" t="n">
        <x:f>Z1059+W1060-X1060-T1060-Z1059*V1060/AB1059</x:f>
        <x:v>1761.1118746268926</x:v>
      </x:c>
      <x:c r="AA1060" s="32" t="n">
        <x:f>AA1059+X1060-U1060-AA1059*V1060/AB1059</x:f>
        <x:v>644.8593516905335</x:v>
      </x:c>
      <x:c r="AB1060" s="10" t="n">
        <x:f>Y1060+Z1060+AA1060</x:f>
        <x:v>4187.135077293069</x:v>
      </x:c>
      <x:c r="AC1060" s="8" t="n">
        <x:f>IF(AND(v01_WinterTrigger=1,D1060=1,AB1059/AE1059&gt;=K1060),1,0)</x:f>
        <x:v>0</x:v>
      </x:c>
      <x:c r="AD1060" s="8" t="n">
        <x:f>H1060*IF(AND(OR(AB1059/AE1059&gt;=v01_FissionTrigger*N1060,AC1060=1),AB1059/AE1059*v01_DaughterShare&gt;=v01_MinDaughter),MAX(1,ROUND(AE1059*v01_FissionRate,0)),0)</x:f>
        <x:v>0</x:v>
      </x:c>
      <x:c r="AE1060" s="8" t="n">
        <x:f>IF(H1060=1,MAX(1,MIN(INDEX(v01_Smax,G1060),AE1059+AD1060)),AE1059)</x:f>
        <x:v>16</x:v>
      </x:c>
      <x:c r="AF1060" s="8" t="n">
        <x:f>MAX(0,AE1060-AE1059)</x:f>
        <x:v>0</x:v>
      </x:c>
      <x:c r="AG1060" s="9" t="str">
        <x:f>IF(AF1060&gt;0,B1060,"")</x:f>
      </x:c>
      <x:c r="AH1060" s="9" t="n">
        <x:f>IF(F1060&gt;=1,1,(1+v01_LowTiesShare*(AE1060-1))/AE1060)</x:f>
        <x:v>1</x:v>
      </x:c>
      <x:c r="AI1060" s="32" t="n">
        <x:f>(Z1060+v01_ElderCommons*INDEX(LM_Elder,G1060)*AA1060)*AH1060</x:f>
        <x:v>3924.0358940866076</x:v>
      </x:c>
      <x:c r="AJ1060" s="32" t="n">
        <x:f>H1060*v01_CommonsCoef*AI1060^v01_CommonsExp*INDEX(LM_Commons,G1060)</x:f>
        <x:v>903.8661048809543</x:v>
      </x:c>
      <x:c r="AK1060" s="32" t="n">
        <x:f>H1060*v01_RoleScale*Arch_Roles*(AE1060*(INDEX(v01_ElderRolePerSett,G1060)*v01_OutElder*INDEX(LM_Elder,G1060)+INDEX(v01_ShamanPerSett,G1060)*v01_OutShaman)+Z1060*(INDEX(v01_PriestShare,G1060)*v01_OutPriest+INDEX(v01_ScribeShare,G1060)*v01_OutScribe*INDEX(LM_Scribe,G1060)+INDEX(v01_ScholarShare,G1060)*v01_OutScholar*INDEX(LM_Scholar,G1060)+INDEX(v01_ResearcherShare,G1060)*v01_OutResearcher*INDEX(LM_Researcher,G1060)))</x:f>
        <x:v>175.71828281158298</x:v>
      </x:c>
      <x:c r="AL1060" s="32" t="n">
        <x:f>H1060*v01_RoleScale*Arch_Roles*AE1060*INDEX(v01_MonasteryPerSett,G1060)*v01_OutMonastery*INDEX(LM_Monastery,G1060)</x:f>
        <x:v>5.034282471216728</x:v>
      </x:c>
      <x:c r="AM1060" s="32" t="n">
        <x:f>(AJ1060+AK1060+AL1060)/4*INDEX(LM_All,G1060)*INDEX(v01_Boon,G1060)*Arch_Insight</x:f>
        <x:v>390.84249083633193</x:v>
      </x:c>
      <x:c r="AN1060" s="32" t="n">
        <x:f>H1060*(v01_KHPerAdult*Z1060+v01_KHOfCommons*AJ1060/4*INDEX(LM_All,G1060))*v01_KHUsable*Arch_KH</x:f>
        <x:v>61.638915611941236</x:v>
      </x:c>
      <x:c r="AO1060" s="32" t="n">
        <x:f>MIN(AP1059+AN1060,AM1060*v01_KHMaxRatio)</x:f>
        <x:v>61.638915611941236</x:v>
      </x:c>
      <x:c r="AP1060" s="32" t="n">
        <x:f>AP1059+AN1060-AO1060</x:f>
        <x:v>0</x:v>
      </x:c>
      <x:c r="AQ1060" s="32" t="n">
        <x:f>AM1060+AO1060</x:f>
        <x:v>452.48140644827316</x:v>
      </x:c>
      <x:c r="AR1060" s="10" t="n">
        <x:f>IF(H1060=1,INDEX(v01_Req,G1060),0)</x:f>
        <x:v>47951.22698</x:v>
      </x:c>
      <x:c r="AS1060" s="32" t="n">
        <x:f>IF(H1060=1,IF(E1060=1,AS1059-AR1059,AS1059)+AQ1060,0)</x:f>
        <x:v>14818.304826607071</x:v>
      </x:c>
      <x:c r="AT1060" s="11" t="n">
        <x:f>IF(AR1060&gt;0,MIN(1,AS1060/AR1060),1)</x:f>
        <x:v>0.3090286893552827</x:v>
      </x:c>
      <x:c r="AU1060" s="10" t="n">
        <x:f>AB1060/INDEX(v01_RepScale,G1060)</x:f>
        <x:v>167.48540309172276</x:v>
      </x:c>
      <x:c r="AV1060" s="32" t="n">
        <x:f>AM1060*60/v01_SeasonSeconds</x:f>
        <x:v>1563.3699633453277</x:v>
      </x:c>
    </x:row>
    <x:row r="1061">
      <x:c r="A1061" s="8" t="n">
        <x:f>A1060+1</x:f>
        <x:v>1058</x:v>
      </x:c>
      <x:c r="B1061" s="9" t="n">
        <x:f>A1061*v01_SeasonSeconds/60</x:f>
        <x:v>264.5</x:v>
      </x:c>
      <x:c r="C1061" s="9" t="n">
        <x:f>A1061/4</x:f>
        <x:v>264.5</x:v>
      </x:c>
      <x:c r="D1061" s="8" t="n">
        <x:f>IF(MOD(A1061,4)=0,1,0)</x:f>
        <x:v>0</x:v>
      </x:c>
      <x:c r="E1061" s="8" t="n">
        <x:f>IF(AND(F1060&lt;=9,AS1060&gt;=AR1060),1,0)</x:f>
        <x:v>0</x:v>
      </x:c>
      <x:c r="F1061" s="8" t="n">
        <x:f>MIN(10,F1060+E1061)</x:f>
        <x:v>5</x:v>
      </x:c>
      <x:c r="G1061" s="8" t="n">
        <x:f>MIN(F1061,9)+1</x:f>
        <x:v>6</x:v>
      </x:c>
      <x:c r="H1061" s="8" t="n">
        <x:f>IF(F1061&lt;=9,1,0)</x:f>
        <x:v>1</x:v>
      </x:c>
      <x:c r="I1061" s="9" t="n">
        <x:f>MIN(10,F1060+IF(AR1060&gt;0,MIN(1,AS1060/AR1060),1))</x:f>
        <x:v>5.309028689355283</x:v>
      </x:c>
      <x:c r="J1061" s="32" t="n">
        <x:f>INDEX(v01_FoodCap,G1061)*Arch_FoodCap*EXP(v01_CapsByProject*SUMPRODUCT((Cap_Point&lt;=I1061)*(Cap_Kind="Food")*Cap_Ln))</x:f>
        <x:v>500</x:v>
      </x:c>
      <x:c r="K1061" s="32" t="n">
        <x:f>J1061*MIN(1,v01_LeanBase*EXP(v01_CapsByProject*SUMPRODUCT((Cap_Point&lt;=I1061)*(Cap_Kind="Lean")*Cap_Ln)))</x:f>
        <x:v>500</x:v>
      </x:c>
      <x:c r="L1061" s="10" t="n">
        <x:f>INDEX(v01_HousingCap,G1061)*EXP(v01_CapsByProject*SUMPRODUCT((Cap_Point&lt;=I1061)*(Cap_Kind="Housing")*Cap_Ln))</x:f>
        <x:v>800</x:v>
      </x:c>
      <x:c r="M1061" s="10" t="n">
        <x:f>INDEX(v01_GroupCap,G1061)*v01_CohesionFactor*EXP(v01_CapsByProject*SUMPRODUCT((Cap_Point&lt;=I1061)*(Cap_Kind="Group")*Cap_Ln))</x:f>
        <x:v>10000</x:v>
      </x:c>
      <x:c r="N1061" s="32" t="n">
        <x:f>MIN(J1061,L1061,M1061)</x:f>
        <x:v>500</x:v>
      </x:c>
      <x:c r="O1061" s="10" t="n">
        <x:f>AE1060*N1061</x:f>
        <x:v>8000</x:v>
      </x:c>
      <x:c r="P1061" s="9" t="n">
        <x:f>MIN(1,(AB1060/(AE1060*IF(v01_GroupInCrowding=1,N1061,MIN(J1061,L1061))))^v01_CrowdingExp)</x:f>
        <x:v>0.020557102767904553</x:v>
      </x:c>
      <x:c r="Q1061" s="9" t="n">
        <x:f>IF(D1061=1,INDEX(v01_WinterMult,G1061),1)</x:f>
        <x:v>1</x:v>
      </x:c>
      <x:c r="R1061" s="9" t="n">
        <x:f>H1061*Z1060*v01_WomenShare*v01_BaseFertility*INDEX(v01_FertMult,G1061)*Arch_Fertility*(1-P1061)</x:f>
        <x:v>56.921981055535554</x:v>
      </x:c>
      <x:c r="S1061" s="9" t="n">
        <x:f>H1061*Y1060*INDEX(v01_MortChild,G1061)/4*Q1061</x:f>
        <x:v>11.13227406859777</x:v>
      </x:c>
      <x:c r="T1061" s="9" t="n">
        <x:f>H1061*Z1060*INDEX(v01_MortAdult,G1061)*Arch_AdultMort/4*Q1061</x:f>
        <x:v>4.402779686567231</x:v>
      </x:c>
      <x:c r="U1061" s="9" t="n">
        <x:f>H1061*AA1060*INDEX(v01_MortElder,G1061)/4*Q1061</x:f>
        <x:v>9.672890275358002</x:v>
      </x:c>
      <x:c r="V1061" s="9" t="n">
        <x:f>H1061*MAX(0,AB1060-O1061)*v01_OvercapLoss</x:f>
        <x:v>0</x:v>
      </x:c>
      <x:c r="W1061" s="9" t="n">
        <x:f>H1061*Y1060/(v01_ChildYears*4)</x:f>
        <x:v>31.806497338850768</x:v>
      </x:c>
      <x:c r="X1061" s="9" t="n">
        <x:f>H1061*Z1060/(v01_AdultYears*4)</x:f>
        <x:v>14.20251511795881</x:v>
      </x:c>
      <x:c r="Y1061" s="32" t="n">
        <x:f>Y1060+R1061-S1061-W1061-Y1060*V1061/AB1060</x:f>
        <x:v>1795.14706062373</x:v>
      </x:c>
      <x:c r="Z1061" s="32" t="n">
        <x:f>Z1060+W1061-X1061-T1061-Z1060*V1061/AB1060</x:f>
        <x:v>1774.313077161217</x:v>
      </x:c>
      <x:c r="AA1061" s="32" t="n">
        <x:f>AA1060+X1061-U1061-AA1060*V1061/AB1060</x:f>
        <x:v>649.3889765331343</x:v>
      </x:c>
      <x:c r="AB1061" s="10" t="n">
        <x:f>Y1061+Z1061+AA1061</x:f>
        <x:v>4218.849114318082</x:v>
      </x:c>
      <x:c r="AC1061" s="8" t="n">
        <x:f>IF(AND(v01_WinterTrigger=1,D1061=1,AB1060/AE1060&gt;=K1061),1,0)</x:f>
        <x:v>0</x:v>
      </x:c>
      <x:c r="AD1061" s="8" t="n">
        <x:f>H1061*IF(AND(OR(AB1060/AE1060&gt;=v01_FissionTrigger*N1061,AC1061=1),AB1060/AE1060*v01_DaughterShare&gt;=v01_MinDaughter),MAX(1,ROUND(AE1060*v01_FissionRate,0)),0)</x:f>
        <x:v>0</x:v>
      </x:c>
      <x:c r="AE1061" s="8" t="n">
        <x:f>IF(H1061=1,MAX(1,MIN(INDEX(v01_Smax,G1061),AE1060+AD1061)),AE1060)</x:f>
        <x:v>16</x:v>
      </x:c>
      <x:c r="AF1061" s="8" t="n">
        <x:f>MAX(0,AE1061-AE1060)</x:f>
        <x:v>0</x:v>
      </x:c>
      <x:c r="AG1061" s="9" t="str">
        <x:f>IF(AF1061&gt;0,B1061,"")</x:f>
      </x:c>
      <x:c r="AH1061" s="9" t="n">
        <x:f>IF(F1061&gt;=1,1,(1+v01_LowTiesShare*(AE1061-1))/AE1061)</x:f>
        <x:v>1</x:v>
      </x:c>
      <x:c r="AI1061" s="32" t="n">
        <x:f>(Z1061+v01_ElderCommons*INDEX(LM_Elder,G1061)*AA1061)*AH1061</x:f>
        <x:v>3952.4299202118727</x:v>
      </x:c>
      <x:c r="AJ1061" s="32" t="n">
        <x:f>H1061*v01_CommonsCoef*AI1061^v01_CommonsExp*INDEX(LM_Commons,G1061)</x:f>
        <x:v>909.4223568346459</x:v>
      </x:c>
      <x:c r="AK1061" s="32" t="n">
        <x:f>H1061*v01_RoleScale*Arch_Roles*(AE1061*(INDEX(v01_ElderRolePerSett,G1061)*v01_OutElder*INDEX(LM_Elder,G1061)+INDEX(v01_ShamanPerSett,G1061)*v01_OutShaman)+Z1061*(INDEX(v01_PriestShare,G1061)*v01_OutPriest+INDEX(v01_ScribeShare,G1061)*v01_OutScribe*INDEX(LM_Scribe,G1061)+INDEX(v01_ScholarShare,G1061)*v01_OutScholar*INDEX(LM_Scholar,G1061)+INDEX(v01_ResearcherShare,G1061)*v01_OutResearcher*INDEX(LM_Researcher,G1061)))</x:f>
        <x:v>176.6544177433215</x:v>
      </x:c>
      <x:c r="AL1061" s="32" t="n">
        <x:f>H1061*v01_RoleScale*Arch_Roles*AE1061*INDEX(v01_MonasteryPerSett,G1061)*v01_OutMonastery*INDEX(LM_Monastery,G1061)</x:f>
        <x:v>5.034282471216728</x:v>
      </x:c>
      <x:c r="AM1061" s="32" t="n">
        <x:f>(AJ1061+AK1061+AL1061)/4*INDEX(LM_All,G1061)*INDEX(v01_Boon,G1061)*Arch_Insight</x:f>
        <x:v>393.1820233665912</x:v>
      </x:c>
      <x:c r="AN1061" s="32" t="n">
        <x:f>H1061*(v01_KHPerAdult*Z1061+v01_KHOfCommons*AJ1061/4*INDEX(LM_All,G1061))*v01_KHUsable*Arch_KH</x:f>
        <x:v>62.100957700642596</x:v>
      </x:c>
      <x:c r="AO1061" s="32" t="n">
        <x:f>MIN(AP1060+AN1061,AM1061*v01_KHMaxRatio)</x:f>
        <x:v>62.100957700642596</x:v>
      </x:c>
      <x:c r="AP1061" s="32" t="n">
        <x:f>AP1060+AN1061-AO1061</x:f>
        <x:v>0</x:v>
      </x:c>
      <x:c r="AQ1061" s="32" t="n">
        <x:f>AM1061+AO1061</x:f>
        <x:v>455.2829810672338</x:v>
      </x:c>
      <x:c r="AR1061" s="10" t="n">
        <x:f>IF(H1061=1,INDEX(v01_Req,G1061),0)</x:f>
        <x:v>47951.22698</x:v>
      </x:c>
      <x:c r="AS1061" s="32" t="n">
        <x:f>IF(H1061=1,IF(E1061=1,AS1060-AR1060,AS1060)+AQ1061,0)</x:f>
        <x:v>15273.587807674305</x:v>
      </x:c>
      <x:c r="AT1061" s="11" t="n">
        <x:f>IF(AR1061&gt;0,MIN(1,AS1061/AR1061),1)</x:f>
        <x:v>0.3185233990789177</x:v>
      </x:c>
      <x:c r="AU1061" s="10" t="n">
        <x:f>AB1061/INDEX(v01_RepScale,G1061)</x:f>
        <x:v>168.75396457272328</x:v>
      </x:c>
      <x:c r="AV1061" s="32" t="n">
        <x:f>AM1061*60/v01_SeasonSeconds</x:f>
        <x:v>1572.7280934663647</x:v>
      </x:c>
    </x:row>
    <x:row r="1062">
      <x:c r="A1062" s="8" t="n">
        <x:f>A1061+1</x:f>
        <x:v>1059</x:v>
      </x:c>
      <x:c r="B1062" s="9" t="n">
        <x:f>A1062*v01_SeasonSeconds/60</x:f>
        <x:v>264.75</x:v>
      </x:c>
      <x:c r="C1062" s="9" t="n">
        <x:f>A1062/4</x:f>
        <x:v>264.75</x:v>
      </x:c>
      <x:c r="D1062" s="8" t="n">
        <x:f>IF(MOD(A1062,4)=0,1,0)</x:f>
        <x:v>0</x:v>
      </x:c>
      <x:c r="E1062" s="8" t="n">
        <x:f>IF(AND(F1061&lt;=9,AS1061&gt;=AR1061),1,0)</x:f>
        <x:v>0</x:v>
      </x:c>
      <x:c r="F1062" s="8" t="n">
        <x:f>MIN(10,F1061+E1062)</x:f>
        <x:v>5</x:v>
      </x:c>
      <x:c r="G1062" s="8" t="n">
        <x:f>MIN(F1062,9)+1</x:f>
        <x:v>6</x:v>
      </x:c>
      <x:c r="H1062" s="8" t="n">
        <x:f>IF(F1062&lt;=9,1,0)</x:f>
        <x:v>1</x:v>
      </x:c>
      <x:c r="I1062" s="9" t="n">
        <x:f>MIN(10,F1061+IF(AR1061&gt;0,MIN(1,AS1061/AR1061),1))</x:f>
        <x:v>5.318523399078917</x:v>
      </x:c>
      <x:c r="J1062" s="32" t="n">
        <x:f>INDEX(v01_FoodCap,G1062)*Arch_FoodCap*EXP(v01_CapsByProject*SUMPRODUCT((Cap_Point&lt;=I1062)*(Cap_Kind="Food")*Cap_Ln))</x:f>
        <x:v>500</x:v>
      </x:c>
      <x:c r="K1062" s="32" t="n">
        <x:f>J1062*MIN(1,v01_LeanBase*EXP(v01_CapsByProject*SUMPRODUCT((Cap_Point&lt;=I1062)*(Cap_Kind="Lean")*Cap_Ln)))</x:f>
        <x:v>500</x:v>
      </x:c>
      <x:c r="L1062" s="10" t="n">
        <x:f>INDEX(v01_HousingCap,G1062)*EXP(v01_CapsByProject*SUMPRODUCT((Cap_Point&lt;=I1062)*(Cap_Kind="Housing")*Cap_Ln))</x:f>
        <x:v>800</x:v>
      </x:c>
      <x:c r="M1062" s="10" t="n">
        <x:f>INDEX(v01_GroupCap,G1062)*v01_CohesionFactor*EXP(v01_CapsByProject*SUMPRODUCT((Cap_Point&lt;=I1062)*(Cap_Kind="Group")*Cap_Ln))</x:f>
        <x:v>10000</x:v>
      </x:c>
      <x:c r="N1062" s="32" t="n">
        <x:f>MIN(J1062,L1062,M1062)</x:f>
        <x:v>500</x:v>
      </x:c>
      <x:c r="O1062" s="10" t="n">
        <x:f>AE1061*N1062</x:f>
        <x:v>8000</x:v>
      </x:c>
      <x:c r="P1062" s="9" t="n">
        <x:f>MIN(1,(AB1061/(AE1061*IF(v01_GroupInCrowding=1,N1062,MIN(J1062,L1062))))^v01_CrowdingExp)</x:f>
        <x:v>0.02150918909657911</x:v>
      </x:c>
      <x:c r="Q1062" s="9" t="n">
        <x:f>IF(D1062=1,INDEX(v01_WinterMult,G1062),1)</x:f>
        <x:v>1</x:v>
      </x:c>
      <x:c r="R1062" s="9" t="n">
        <x:f>H1062*Z1061*v01_WomenShare*v01_BaseFertility*INDEX(v01_FertMult,G1062)*Arch_Fertility*(1-P1062)</x:f>
        <x:v>57.29291837504478</x:v>
      </x:c>
      <x:c r="S1062" s="9" t="n">
        <x:f>H1062*Y1061*INDEX(v01_MortChild,G1062)/4*Q1062</x:f>
        <x:v>11.219669128898314</x:v>
      </x:c>
      <x:c r="T1062" s="9" t="n">
        <x:f>H1062*Z1061*INDEX(v01_MortAdult,G1062)*Arch_AdultMort/4*Q1062</x:f>
        <x:v>4.435782692903043</x:v>
      </x:c>
      <x:c r="U1062" s="9" t="n">
        <x:f>H1062*AA1061*INDEX(v01_MortElder,G1062)/4*Q1062</x:f>
        <x:v>9.740834647997014</x:v>
      </x:c>
      <x:c r="V1062" s="9" t="n">
        <x:f>H1062*MAX(0,AB1061-O1062)*v01_OvercapLoss</x:f>
        <x:v>0</x:v>
      </x:c>
      <x:c r="W1062" s="9" t="n">
        <x:f>H1062*Y1061/(v01_ChildYears*4)</x:f>
        <x:v>32.05619751113804</x:v>
      </x:c>
      <x:c r="X1062" s="9" t="n">
        <x:f>H1062*Z1061/(v01_AdultYears*4)</x:f>
        <x:v>14.308976428719493</x:v>
      </x:c>
      <x:c r="Y1062" s="32" t="n">
        <x:f>Y1061+R1062-S1062-W1062-Y1061*V1062/AB1061</x:f>
        <x:v>1809.1641123587387</x:v>
      </x:c>
      <x:c r="Z1062" s="32" t="n">
        <x:f>Z1061+W1062-X1062-T1062-Z1061*V1062/AB1061</x:f>
        <x:v>1787.6245155507324</x:v>
      </x:c>
      <x:c r="AA1062" s="32" t="n">
        <x:f>AA1061+X1062-U1062-AA1061*V1062/AB1061</x:f>
        <x:v>653.9571183138568</x:v>
      </x:c>
      <x:c r="AB1062" s="10" t="n">
        <x:f>Y1062+Z1062+AA1062</x:f>
        <x:v>4250.745746223328</x:v>
      </x:c>
      <x:c r="AC1062" s="8" t="n">
        <x:f>IF(AND(v01_WinterTrigger=1,D1062=1,AB1061/AE1061&gt;=K1062),1,0)</x:f>
        <x:v>0</x:v>
      </x:c>
      <x:c r="AD1062" s="8" t="n">
        <x:f>H1062*IF(AND(OR(AB1061/AE1061&gt;=v01_FissionTrigger*N1062,AC1062=1),AB1061/AE1061*v01_DaughterShare&gt;=v01_MinDaughter),MAX(1,ROUND(AE1061*v01_FissionRate,0)),0)</x:f>
        <x:v>0</x:v>
      </x:c>
      <x:c r="AE1062" s="8" t="n">
        <x:f>IF(H1062=1,MAX(1,MIN(INDEX(v01_Smax,G1062),AE1061+AD1062)),AE1061)</x:f>
        <x:v>16</x:v>
      </x:c>
      <x:c r="AF1062" s="8" t="n">
        <x:f>MAX(0,AE1062-AE1061)</x:f>
        <x:v>0</x:v>
      </x:c>
      <x:c r="AG1062" s="9" t="str">
        <x:f>IF(AF1062&gt;0,B1062,"")</x:f>
      </x:c>
      <x:c r="AH1062" s="9" t="n">
        <x:f>IF(F1062&gt;=1,1,(1+v01_LowTiesShare*(AE1062-1))/AE1062)</x:f>
        <x:v>1</x:v>
      </x:c>
      <x:c r="AI1062" s="32" t="n">
        <x:f>(Z1062+v01_ElderCommons*INDEX(LM_Elder,G1062)*AA1062)*AH1062</x:f>
        <x:v>3981.063371930217</x:v>
      </x:c>
      <x:c r="AJ1062" s="32" t="n">
        <x:f>H1062*v01_CommonsCoef*AI1062^v01_CommonsExp*INDEX(LM_Commons,G1062)</x:f>
        <x:v>915.0194005448494</x:v>
      </x:c>
      <x:c r="AK1062" s="32" t="n">
        <x:f>H1062*v01_RoleScale*Arch_Roles*(AE1062*(INDEX(v01_ElderRolePerSett,G1062)*v01_OutElder*INDEX(LM_Elder,G1062)+INDEX(v01_ShamanPerSett,G1062)*v01_OutShaman)+Z1062*(INDEX(v01_PriestShare,G1062)*v01_OutPriest+INDEX(v01_ScribeShare,G1062)*v01_OutScribe*INDEX(LM_Scribe,G1062)+INDEX(v01_ScholarShare,G1062)*v01_OutScholar*INDEX(LM_Scholar,G1062)+INDEX(v01_ResearcherShare,G1062)*v01_OutResearcher*INDEX(LM_Researcher,G1062)))</x:f>
        <x:v>177.5983698140294</x:v>
      </x:c>
      <x:c r="AL1062" s="32" t="n">
        <x:f>H1062*v01_RoleScale*Arch_Roles*AE1062*INDEX(v01_MonasteryPerSett,G1062)*v01_OutMonastery*INDEX(LM_Monastery,G1062)</x:f>
        <x:v>5.034282471216728</x:v>
      </x:c>
      <x:c r="AM1062" s="32" t="n">
        <x:f>(AJ1062+AK1062+AL1062)/4*INDEX(LM_All,G1062)*INDEX(v01_Boon,G1062)*Arch_Insight</x:f>
        <x:v>395.53907211919596</x:v>
      </x:c>
      <x:c r="AN1062" s="32" t="n">
        <x:f>H1062*(v01_KHPerAdult*Z1062+v01_KHOfCommons*AJ1062/4*INDEX(LM_All,G1062))*v01_KHUsable*Arch_KH</x:f>
        <x:v>62.566858044275634</x:v>
      </x:c>
      <x:c r="AO1062" s="32" t="n">
        <x:f>MIN(AP1061+AN1062,AM1062*v01_KHMaxRatio)</x:f>
        <x:v>62.566858044275634</x:v>
      </x:c>
      <x:c r="AP1062" s="32" t="n">
        <x:f>AP1061+AN1062-AO1062</x:f>
        <x:v>0</x:v>
      </x:c>
      <x:c r="AQ1062" s="32" t="n">
        <x:f>AM1062+AO1062</x:f>
        <x:v>458.1059301634716</x:v>
      </x:c>
      <x:c r="AR1062" s="10" t="n">
        <x:f>IF(H1062=1,INDEX(v01_Req,G1062),0)</x:f>
        <x:v>47951.22698</x:v>
      </x:c>
      <x:c r="AS1062" s="32" t="n">
        <x:f>IF(H1062=1,IF(E1062=1,AS1061-AR1061,AS1061)+AQ1062,0)</x:f>
        <x:v>15731.693737837777</x:v>
      </x:c>
      <x:c r="AT1062" s="11" t="n">
        <x:f>IF(AR1062&gt;0,MIN(1,AS1062/AR1062),1)</x:f>
        <x:v>0.32807698006141356</x:v>
      </x:c>
      <x:c r="AU1062" s="10" t="n">
        <x:f>AB1062/INDEX(v01_RepScale,G1062)</x:f>
        <x:v>170.0298298489331</x:v>
      </x:c>
      <x:c r="AV1062" s="32" t="n">
        <x:f>AM1062*60/v01_SeasonSeconds</x:f>
        <x:v>1582.1562884767839</x:v>
      </x:c>
    </x:row>
    <x:row r="1063">
      <x:c r="A1063" s="8" t="n">
        <x:f>A1062+1</x:f>
        <x:v>1060</x:v>
      </x:c>
      <x:c r="B1063" s="9" t="n">
        <x:f>A1063*v01_SeasonSeconds/60</x:f>
        <x:v>265</x:v>
      </x:c>
      <x:c r="C1063" s="9" t="n">
        <x:f>A1063/4</x:f>
        <x:v>265</x:v>
      </x:c>
      <x:c r="D1063" s="8" t="n">
        <x:f>IF(MOD(A1063,4)=0,1,0)</x:f>
        <x:v>1</x:v>
      </x:c>
      <x:c r="E1063" s="8" t="n">
        <x:f>IF(AND(F1062&lt;=9,AS1062&gt;=AR1062),1,0)</x:f>
        <x:v>0</x:v>
      </x:c>
      <x:c r="F1063" s="8" t="n">
        <x:f>MIN(10,F1062+E1063)</x:f>
        <x:v>5</x:v>
      </x:c>
      <x:c r="G1063" s="8" t="n">
        <x:f>MIN(F1063,9)+1</x:f>
        <x:v>6</x:v>
      </x:c>
      <x:c r="H1063" s="8" t="n">
        <x:f>IF(F1063&lt;=9,1,0)</x:f>
        <x:v>1</x:v>
      </x:c>
      <x:c r="I1063" s="9" t="n">
        <x:f>MIN(10,F1062+IF(AR1062&gt;0,MIN(1,AS1062/AR1062),1))</x:f>
        <x:v>5.328076980061414</x:v>
      </x:c>
      <x:c r="J1063" s="32" t="n">
        <x:f>INDEX(v01_FoodCap,G1063)*Arch_FoodCap*EXP(v01_CapsByProject*SUMPRODUCT((Cap_Point&lt;=I1063)*(Cap_Kind="Food")*Cap_Ln))</x:f>
        <x:v>500</x:v>
      </x:c>
      <x:c r="K1063" s="32" t="n">
        <x:f>J1063*MIN(1,v01_LeanBase*EXP(v01_CapsByProject*SUMPRODUCT((Cap_Point&lt;=I1063)*(Cap_Kind="Lean")*Cap_Ln)))</x:f>
        <x:v>500</x:v>
      </x:c>
      <x:c r="L1063" s="10" t="n">
        <x:f>INDEX(v01_HousingCap,G1063)*EXP(v01_CapsByProject*SUMPRODUCT((Cap_Point&lt;=I1063)*(Cap_Kind="Housing")*Cap_Ln))</x:f>
        <x:v>800</x:v>
      </x:c>
      <x:c r="M1063" s="10" t="n">
        <x:f>INDEX(v01_GroupCap,G1063)*v01_CohesionFactor*EXP(v01_CapsByProject*SUMPRODUCT((Cap_Point&lt;=I1063)*(Cap_Kind="Group")*Cap_Ln))</x:f>
        <x:v>10000</x:v>
      </x:c>
      <x:c r="N1063" s="32" t="n">
        <x:f>MIN(J1063,L1063,M1063)</x:f>
        <x:v>500</x:v>
      </x:c>
      <x:c r="O1063" s="10" t="n">
        <x:f>AE1062*N1063</x:f>
        <x:v>8000</x:v>
      </x:c>
      <x:c r="P1063" s="9" t="n">
        <x:f>MIN(1,(AB1062/(AE1062*IF(v01_GroupInCrowding=1,N1063,MIN(J1063,L1063))))^v01_CrowdingExp)</x:f>
        <x:v>0.022503540499411032</x:v>
      </x:c>
      <x:c r="Q1063" s="9" t="n">
        <x:f>IF(D1063=1,INDEX(v01_WinterMult,G1063),1)</x:f>
        <x:v>1</x:v>
      </x:c>
      <x:c r="R1063" s="9" t="n">
        <x:f>H1063*Z1062*v01_WomenShare*v01_BaseFertility*INDEX(v01_FertMult,G1063)*Arch_Fertility*(1-P1063)</x:f>
        <x:v>57.66408895062079</x:v>
      </x:c>
      <x:c r="S1063" s="9" t="n">
        <x:f>H1063*Y1062*INDEX(v01_MortChild,G1063)/4*Q1063</x:f>
        <x:v>11.307275702242118</x:v>
      </x:c>
      <x:c r="T1063" s="9" t="n">
        <x:f>H1063*Z1062*INDEX(v01_MortAdult,G1063)*Arch_AdultMort/4*Q1063</x:f>
        <x:v>4.469061288876831</x:v>
      </x:c>
      <x:c r="U1063" s="9" t="n">
        <x:f>H1063*AA1062*INDEX(v01_MortElder,G1063)/4*Q1063</x:f>
        <x:v>9.809356774707851</x:v>
      </x:c>
      <x:c r="V1063" s="9" t="n">
        <x:f>H1063*MAX(0,AB1062-O1063)*v01_OvercapLoss</x:f>
        <x:v>0</x:v>
      </x:c>
      <x:c r="W1063" s="9" t="n">
        <x:f>H1063*Y1062/(v01_ChildYears*4)</x:f>
        <x:v>32.30650200640605</x:v>
      </x:c>
      <x:c r="X1063" s="9" t="n">
        <x:f>H1063*Z1062/(v01_AdultYears*4)</x:f>
        <x:v>14.416326738312359</x:v>
      </x:c>
      <x:c r="Y1063" s="32" t="n">
        <x:f>Y1062+R1063-S1063-W1063-Y1062*V1063/AB1062</x:f>
        <x:v>1823.2144236007111</x:v>
      </x:c>
      <x:c r="Z1063" s="32" t="n">
        <x:f>Z1062+W1063-X1063-T1063-Z1062*V1063/AB1062</x:f>
        <x:v>1801.0456295299493</x:v>
      </x:c>
      <x:c r="AA1063" s="32" t="n">
        <x:f>AA1062+X1063-U1063-AA1062*V1063/AB1062</x:f>
        <x:v>658.5640882774612</x:v>
      </x:c>
      <x:c r="AB1063" s="10" t="n">
        <x:f>Y1063+Z1063+AA1063</x:f>
        <x:v>4282.824141408122</x:v>
      </x:c>
      <x:c r="AC1063" s="8" t="n">
        <x:f>IF(AND(v01_WinterTrigger=1,D1063=1,AB1062/AE1062&gt;=K1063),1,0)</x:f>
        <x:v>0</x:v>
      </x:c>
      <x:c r="AD1063" s="8" t="n">
        <x:f>H1063*IF(AND(OR(AB1062/AE1062&gt;=v01_FissionTrigger*N1063,AC1063=1),AB1062/AE1062*v01_DaughterShare&gt;=v01_MinDaughter),MAX(1,ROUND(AE1062*v01_FissionRate,0)),0)</x:f>
        <x:v>0</x:v>
      </x:c>
      <x:c r="AE1063" s="8" t="n">
        <x:f>IF(H1063=1,MAX(1,MIN(INDEX(v01_Smax,G1063),AE1062+AD1063)),AE1062)</x:f>
        <x:v>16</x:v>
      </x:c>
      <x:c r="AF1063" s="8" t="n">
        <x:f>MAX(0,AE1063-AE1062)</x:f>
        <x:v>0</x:v>
      </x:c>
      <x:c r="AG1063" s="9" t="str">
        <x:f>IF(AF1063&gt;0,B1063,"")</x:f>
      </x:c>
      <x:c r="AH1063" s="9" t="n">
        <x:f>IF(F1063&gt;=1,1,(1+v01_LowTiesShare*(AE1063-1))/AE1063)</x:f>
        <x:v>1</x:v>
      </x:c>
      <x:c r="AI1063" s="32" t="n">
        <x:f>(Z1063+v01_ElderCommons*INDEX(LM_Elder,G1063)*AA1063)*AH1063</x:f>
        <x:v>4009.9367329228126</x:v>
      </x:c>
      <x:c r="AJ1063" s="32" t="n">
        <x:f>H1063*v01_CommonsCoef*AI1063^v01_CommonsExp*INDEX(LM_Commons,G1063)</x:f>
        <x:v>920.6572286889314</x:v>
      </x:c>
      <x:c r="AK1063" s="32" t="n">
        <x:f>H1063*v01_RoleScale*Arch_Roles*(AE1063*(INDEX(v01_ElderRolePerSett,G1063)*v01_OutElder*INDEX(LM_Elder,G1063)+INDEX(v01_ShamanPerSett,G1063)*v01_OutShaman)+Z1063*(INDEX(v01_PriestShare,G1063)*v01_OutPriest+INDEX(v01_ScribeShare,G1063)*v01_OutScribe*INDEX(LM_Scribe,G1063)+INDEX(v01_ScholarShare,G1063)*v01_OutScholar*INDEX(LM_Scholar,G1063)+INDEX(v01_ResearcherShare,G1063)*v01_OutResearcher*INDEX(LM_Researcher,G1063)))</x:f>
        <x:v>178.5500992936826</x:v>
      </x:c>
      <x:c r="AL1063" s="32" t="n">
        <x:f>H1063*v01_RoleScale*Arch_Roles*AE1063*INDEX(v01_MonasteryPerSett,G1063)*v01_OutMonastery*INDEX(LM_Monastery,G1063)</x:f>
        <x:v>5.034282471216728</x:v>
      </x:c>
      <x:c r="AM1063" s="32" t="n">
        <x:f>(AJ1063+AK1063+AL1063)/4*INDEX(LM_All,G1063)*INDEX(v01_Boon,G1063)*Arch_Insight</x:f>
        <x:v>397.91362013871463</x:v>
      </x:c>
      <x:c r="AN1063" s="32" t="n">
        <x:f>H1063*(v01_KHPerAdult*Z1063+v01_KHOfCommons*AJ1063/4*INDEX(LM_All,G1063))*v01_KHUsable*Arch_KH</x:f>
        <x:v>63.036597033548226</x:v>
      </x:c>
      <x:c r="AO1063" s="32" t="n">
        <x:f>MIN(AP1062+AN1063,AM1063*v01_KHMaxRatio)</x:f>
        <x:v>63.036597033548226</x:v>
      </x:c>
      <x:c r="AP1063" s="32" t="n">
        <x:f>AP1062+AN1063-AO1063</x:f>
        <x:v>0</x:v>
      </x:c>
      <x:c r="AQ1063" s="32" t="n">
        <x:f>AM1063+AO1063</x:f>
        <x:v>460.95021717226285</x:v>
      </x:c>
      <x:c r="AR1063" s="10" t="n">
        <x:f>IF(H1063=1,INDEX(v01_Req,G1063),0)</x:f>
        <x:v>47951.22698</x:v>
      </x:c>
      <x:c r="AS1063" s="32" t="n">
        <x:f>IF(H1063=1,IF(E1063=1,AS1062-AR1062,AS1062)+AQ1063,0)</x:f>
        <x:v>16192.64395501004</x:v>
      </x:c>
      <x:c r="AT1063" s="11" t="n">
        <x:f>IF(AR1063&gt;0,MIN(1,AS1063/AR1063),1)</x:f>
        <x:v>0.3376898772947737</x:v>
      </x:c>
      <x:c r="AU1063" s="10" t="n">
        <x:f>AB1063/INDEX(v01_RepScale,G1063)</x:f>
        <x:v>171.31296565632488</x:v>
      </x:c>
      <x:c r="AV1063" s="32" t="n">
        <x:f>AM1063*60/v01_SeasonSeconds</x:f>
        <x:v>1591.6544805548585</x:v>
      </x:c>
    </x:row>
    <x:row r="1064">
      <x:c r="A1064" s="8" t="n">
        <x:f>A1063+1</x:f>
        <x:v>1061</x:v>
      </x:c>
      <x:c r="B1064" s="9" t="n">
        <x:f>A1064*v01_SeasonSeconds/60</x:f>
        <x:v>265.25</x:v>
      </x:c>
      <x:c r="C1064" s="9" t="n">
        <x:f>A1064/4</x:f>
        <x:v>265.25</x:v>
      </x:c>
      <x:c r="D1064" s="8" t="n">
        <x:f>IF(MOD(A1064,4)=0,1,0)</x:f>
        <x:v>0</x:v>
      </x:c>
      <x:c r="E1064" s="8" t="n">
        <x:f>IF(AND(F1063&lt;=9,AS1063&gt;=AR1063),1,0)</x:f>
        <x:v>0</x:v>
      </x:c>
      <x:c r="F1064" s="8" t="n">
        <x:f>MIN(10,F1063+E1064)</x:f>
        <x:v>5</x:v>
      </x:c>
      <x:c r="G1064" s="8" t="n">
        <x:f>MIN(F1064,9)+1</x:f>
        <x:v>6</x:v>
      </x:c>
      <x:c r="H1064" s="8" t="n">
        <x:f>IF(F1064&lt;=9,1,0)</x:f>
        <x:v>1</x:v>
      </x:c>
      <x:c r="I1064" s="9" t="n">
        <x:f>MIN(10,F1063+IF(AR1063&gt;0,MIN(1,AS1063/AR1063),1))</x:f>
        <x:v>5.337689877294774</x:v>
      </x:c>
      <x:c r="J1064" s="32" t="n">
        <x:f>INDEX(v01_FoodCap,G1064)*Arch_FoodCap*EXP(v01_CapsByProject*SUMPRODUCT((Cap_Point&lt;=I1064)*(Cap_Kind="Food")*Cap_Ln))</x:f>
        <x:v>500</x:v>
      </x:c>
      <x:c r="K1064" s="32" t="n">
        <x:f>J1064*MIN(1,v01_LeanBase*EXP(v01_CapsByProject*SUMPRODUCT((Cap_Point&lt;=I1064)*(Cap_Kind="Lean")*Cap_Ln)))</x:f>
        <x:v>500</x:v>
      </x:c>
      <x:c r="L1064" s="10" t="n">
        <x:f>INDEX(v01_HousingCap,G1064)*EXP(v01_CapsByProject*SUMPRODUCT((Cap_Point&lt;=I1064)*(Cap_Kind="Housing")*Cap_Ln))</x:f>
        <x:v>800</x:v>
      </x:c>
      <x:c r="M1064" s="10" t="n">
        <x:f>INDEX(v01_GroupCap,G1064)*v01_CohesionFactor*EXP(v01_CapsByProject*SUMPRODUCT((Cap_Point&lt;=I1064)*(Cap_Kind="Group")*Cap_Ln))</x:f>
        <x:v>10000</x:v>
      </x:c>
      <x:c r="N1064" s="32" t="n">
        <x:f>MIN(J1064,L1064,M1064)</x:f>
        <x:v>500</x:v>
      </x:c>
      <x:c r="O1064" s="10" t="n">
        <x:f>AE1063*N1064</x:f>
        <x:v>8000</x:v>
      </x:c>
      <x:c r="P1064" s="9" t="n">
        <x:f>MIN(1,(AB1063/(AE1063*IF(v01_GroupInCrowding=1,N1064,MIN(J1064,L1064))))^v01_CrowdingExp)</x:f>
        <x:v>0.02354190106728376</x:v>
      </x:c>
      <x:c r="Q1064" s="9" t="n">
        <x:f>IF(D1064=1,INDEX(v01_WinterMult,G1064),1)</x:f>
        <x:v>1</x:v>
      </x:c>
      <x:c r="R1064" s="9" t="n">
        <x:f>H1064*Z1063*v01_WomenShare*v01_BaseFertility*INDEX(v01_FertMult,G1064)*Arch_Fertility*(1-P1064)</x:f>
        <x:v>58.03530451956243</x:v>
      </x:c>
      <x:c r="S1064" s="9" t="n">
        <x:f>H1064*Y1063*INDEX(v01_MortChild,G1064)/4*Q1064</x:f>
        <x:v>11.395090147504446</x:v>
      </x:c>
      <x:c r="T1064" s="9" t="n">
        <x:f>H1064*Z1063*INDEX(v01_MortAdult,G1064)*Arch_AdultMort/4*Q1064</x:f>
        <x:v>4.502614073824874</x:v>
      </x:c>
      <x:c r="U1064" s="9" t="n">
        <x:f>H1064*AA1063*INDEX(v01_MortElder,G1064)/4*Q1064</x:f>
        <x:v>9.878461324161918</x:v>
      </x:c>
      <x:c r="V1064" s="9" t="n">
        <x:f>H1064*MAX(0,AB1063-O1064)*v01_OvercapLoss</x:f>
        <x:v>0</x:v>
      </x:c>
      <x:c r="W1064" s="9" t="n">
        <x:f>H1064*Y1063/(v01_ChildYears*4)</x:f>
        <x:v>32.55740042144127</x:v>
      </x:c>
      <x:c r="X1064" s="9" t="n">
        <x:f>H1064*Z1063/(v01_AdultYears*4)</x:f>
        <x:v>14.524561528467334</x:v>
      </x:c>
      <x:c r="Y1064" s="32" t="n">
        <x:f>Y1063+R1064-S1064-W1064-Y1063*V1064/AB1063</x:f>
        <x:v>1837.297237551328</x:v>
      </x:c>
      <x:c r="Z1064" s="32" t="n">
        <x:f>Z1063+W1064-X1064-T1064-Z1063*V1064/AB1063</x:f>
        <x:v>1814.5758543490986</x:v>
      </x:c>
      <x:c r="AA1064" s="32" t="n">
        <x:f>AA1063+X1064-U1064-AA1063*V1064/AB1063</x:f>
        <x:v>663.2101884817666</x:v>
      </x:c>
      <x:c r="AB1064" s="10" t="n">
        <x:f>Y1064+Z1064+AA1064</x:f>
        <x:v>4315.083280382193</x:v>
      </x:c>
      <x:c r="AC1064" s="8" t="n">
        <x:f>IF(AND(v01_WinterTrigger=1,D1064=1,AB1063/AE1063&gt;=K1064),1,0)</x:f>
        <x:v>0</x:v>
      </x:c>
      <x:c r="AD1064" s="8" t="n">
        <x:f>H1064*IF(AND(OR(AB1063/AE1063&gt;=v01_FissionTrigger*N1064,AC1064=1),AB1063/AE1063*v01_DaughterShare&gt;=v01_MinDaughter),MAX(1,ROUND(AE1063*v01_FissionRate,0)),0)</x:f>
        <x:v>0</x:v>
      </x:c>
      <x:c r="AE1064" s="8" t="n">
        <x:f>IF(H1064=1,MAX(1,MIN(INDEX(v01_Smax,G1064),AE1063+AD1064)),AE1063)</x:f>
        <x:v>16</x:v>
      </x:c>
      <x:c r="AF1064" s="8" t="n">
        <x:f>MAX(0,AE1064-AE1063)</x:f>
        <x:v>0</x:v>
      </x:c>
      <x:c r="AG1064" s="9" t="str">
        <x:f>IF(AF1064&gt;0,B1064,"")</x:f>
      </x:c>
      <x:c r="AH1064" s="9" t="n">
        <x:f>IF(F1064&gt;=1,1,(1+v01_LowTiesShare*(AE1064-1))/AE1064)</x:f>
        <x:v>1</x:v>
      </x:c>
      <x:c r="AI1064" s="32" t="n">
        <x:f>(Z1064+v01_ElderCommons*INDEX(LM_Elder,G1064)*AA1064)*AH1064</x:f>
        <x:v>4039.050451572616</x:v>
      </x:c>
      <x:c r="AJ1064" s="32" t="n">
        <x:f>H1064*v01_CommonsCoef*AI1064^v01_CommonsExp*INDEX(LM_Commons,G1064)</x:f>
        <x:v>926.3358271281699</x:v>
      </x:c>
      <x:c r="AK1064" s="32" t="n">
        <x:f>H1064*v01_RoleScale*Arch_Roles*(AE1064*(INDEX(v01_ElderRolePerSett,G1064)*v01_OutElder*INDEX(LM_Elder,G1064)+INDEX(v01_ShamanPerSett,G1064)*v01_OutShaman)+Z1064*(INDEX(v01_PriestShare,G1064)*v01_OutPriest+INDEX(v01_ScribeShare,G1064)*v01_OutScribe*INDEX(LM_Scribe,G1064)+INDEX(v01_ScholarShare,G1064)*v01_OutScholar*INDEX(LM_Scholar,G1064)+INDEX(v01_ResearcherShare,G1064)*v01_OutResearcher*INDEX(LM_Researcher,G1064)))</x:f>
        <x:v>179.50956613426382</x:v>
      </x:c>
      <x:c r="AL1064" s="32" t="n">
        <x:f>H1064*v01_RoleScale*Arch_Roles*AE1064*INDEX(v01_MonasteryPerSett,G1064)*v01_OutMonastery*INDEX(LM_Monastery,G1064)</x:f>
        <x:v>5.034282471216728</x:v>
      </x:c>
      <x:c r="AM1064" s="32" t="n">
        <x:f>(AJ1064+AK1064+AL1064)/4*INDEX(LM_All,G1064)*INDEX(v01_Boon,G1064)*Arch_Insight</x:f>
        <x:v>400.30564789894777</x:v>
      </x:c>
      <x:c r="AN1064" s="32" t="n">
        <x:f>H1064*(v01_KHPerAdult*Z1064+v01_KHOfCommons*AJ1064/4*INDEX(LM_All,G1064))*v01_KHUsable*Arch_KH</x:f>
        <x:v>63.51015490221845</x:v>
      </x:c>
      <x:c r="AO1064" s="32" t="n">
        <x:f>MIN(AP1063+AN1064,AM1064*v01_KHMaxRatio)</x:f>
        <x:v>63.51015490221845</x:v>
      </x:c>
      <x:c r="AP1064" s="32" t="n">
        <x:f>AP1063+AN1064-AO1064</x:f>
        <x:v>0</x:v>
      </x:c>
      <x:c r="AQ1064" s="32" t="n">
        <x:f>AM1064+AO1064</x:f>
        <x:v>463.8158028011662</x:v>
      </x:c>
      <x:c r="AR1064" s="10" t="n">
        <x:f>IF(H1064=1,INDEX(v01_Req,G1064),0)</x:f>
        <x:v>47951.22698</x:v>
      </x:c>
      <x:c r="AS1064" s="32" t="n">
        <x:f>IF(H1064=1,IF(E1064=1,AS1063-AR1063,AS1063)+AQ1064,0)</x:f>
        <x:v>16656.459757811208</x:v>
      </x:c>
      <x:c r="AT1064" s="11" t="n">
        <x:f>IF(AR1064&gt;0,MIN(1,AS1064/AR1064),1)</x:f>
        <x:v>0.3473625349515761</x:v>
      </x:c>
      <x:c r="AU1064" s="10" t="n">
        <x:f>AB1064/INDEX(v01_RepScale,G1064)</x:f>
        <x:v>172.60333121528774</x:v>
      </x:c>
      <x:c r="AV1064" s="32" t="n">
        <x:f>AM1064*60/v01_SeasonSeconds</x:f>
        <x:v>1601.222591595791</x:v>
      </x:c>
    </x:row>
    <x:row r="1065">
      <x:c r="A1065" s="8" t="n">
        <x:f>A1064+1</x:f>
        <x:v>1062</x:v>
      </x:c>
      <x:c r="B1065" s="9" t="n">
        <x:f>A1065*v01_SeasonSeconds/60</x:f>
        <x:v>265.5</x:v>
      </x:c>
      <x:c r="C1065" s="9" t="n">
        <x:f>A1065/4</x:f>
        <x:v>265.5</x:v>
      </x:c>
      <x:c r="D1065" s="8" t="n">
        <x:f>IF(MOD(A1065,4)=0,1,0)</x:f>
        <x:v>0</x:v>
      </x:c>
      <x:c r="E1065" s="8" t="n">
        <x:f>IF(AND(F1064&lt;=9,AS1064&gt;=AR1064),1,0)</x:f>
        <x:v>0</x:v>
      </x:c>
      <x:c r="F1065" s="8" t="n">
        <x:f>MIN(10,F1064+E1065)</x:f>
        <x:v>5</x:v>
      </x:c>
      <x:c r="G1065" s="8" t="n">
        <x:f>MIN(F1065,9)+1</x:f>
        <x:v>6</x:v>
      </x:c>
      <x:c r="H1065" s="8" t="n">
        <x:f>IF(F1065&lt;=9,1,0)</x:f>
        <x:v>1</x:v>
      </x:c>
      <x:c r="I1065" s="9" t="n">
        <x:f>MIN(10,F1064+IF(AR1064&gt;0,MIN(1,AS1064/AR1064),1))</x:f>
        <x:v>5.347362534951576</x:v>
      </x:c>
      <x:c r="J1065" s="32" t="n">
        <x:f>INDEX(v01_FoodCap,G1065)*Arch_FoodCap*EXP(v01_CapsByProject*SUMPRODUCT((Cap_Point&lt;=I1065)*(Cap_Kind="Food")*Cap_Ln))</x:f>
        <x:v>500</x:v>
      </x:c>
      <x:c r="K1065" s="32" t="n">
        <x:f>J1065*MIN(1,v01_LeanBase*EXP(v01_CapsByProject*SUMPRODUCT((Cap_Point&lt;=I1065)*(Cap_Kind="Lean")*Cap_Ln)))</x:f>
        <x:v>500</x:v>
      </x:c>
      <x:c r="L1065" s="10" t="n">
        <x:f>INDEX(v01_HousingCap,G1065)*EXP(v01_CapsByProject*SUMPRODUCT((Cap_Point&lt;=I1065)*(Cap_Kind="Housing")*Cap_Ln))</x:f>
        <x:v>800</x:v>
      </x:c>
      <x:c r="M1065" s="10" t="n">
        <x:f>INDEX(v01_GroupCap,G1065)*v01_CohesionFactor*EXP(v01_CapsByProject*SUMPRODUCT((Cap_Point&lt;=I1065)*(Cap_Kind="Group")*Cap_Ln))</x:f>
        <x:v>10000</x:v>
      </x:c>
      <x:c r="N1065" s="32" t="n">
        <x:f>MIN(J1065,L1065,M1065)</x:f>
        <x:v>500</x:v>
      </x:c>
      <x:c r="O1065" s="10" t="n">
        <x:f>AE1064*N1065</x:f>
        <x:v>8000</x:v>
      </x:c>
      <x:c r="P1065" s="9" t="n">
        <x:f>MIN(1,(AB1064/(AE1064*IF(v01_GroupInCrowding=1,N1065,MIN(J1065,L1065))))^v01_CrowdingExp)</x:f>
        <x:v>0.024626073406619976</x:v>
      </x:c>
      <x:c r="Q1065" s="9" t="n">
        <x:f>IF(D1065=1,INDEX(v01_WinterMult,G1065),1)</x:f>
        <x:v>1</x:v>
      </x:c>
      <x:c r="R1065" s="9" t="n">
        <x:f>H1065*Z1064*v01_WomenShare*v01_BaseFertility*INDEX(v01_FertMult,G1065)*Arch_Fertility*(1-P1065)</x:f>
        <x:v>58.406369213214575</x:v>
      </x:c>
      <x:c r="S1065" s="9" t="n">
        <x:f>H1065*Y1064*INDEX(v01_MortChild,G1065)/4*Q1065</x:f>
        <x:v>11.4831077346958</x:v>
      </x:c>
      <x:c r="T1065" s="9" t="n">
        <x:f>H1065*Z1064*INDEX(v01_MortAdult,G1065)*Arch_AdultMort/4*Q1065</x:f>
        <x:v>4.536439635872746</x:v>
      </x:c>
      <x:c r="U1065" s="9" t="n">
        <x:f>H1065*AA1064*INDEX(v01_MortElder,G1065)/4*Q1065</x:f>
        <x:v>9.9481528272265</x:v>
      </x:c>
      <x:c r="V1065" s="9" t="n">
        <x:f>H1065*MAX(0,AB1064-O1065)*v01_OvercapLoss</x:f>
        <x:v>0</x:v>
      </x:c>
      <x:c r="W1065" s="9" t="n">
        <x:f>H1065*Y1064/(v01_ChildYears*4)</x:f>
        <x:v>32.808879241988</x:v>
      </x:c>
      <x:c r="X1065" s="9" t="n">
        <x:f>H1065*Z1064/(v01_AdultYears*4)</x:f>
        <x:v>14.633676244750795</x:v>
      </x:c>
      <x:c r="Y1065" s="32" t="n">
        <x:f>Y1064+R1065-S1065-W1065-Y1064*V1065/AB1064</x:f>
        <x:v>1851.4116197878586</x:v>
      </x:c>
      <x:c r="Z1065" s="32" t="n">
        <x:f>Z1064+W1065-X1065-T1065-Z1064*V1065/AB1064</x:f>
        <x:v>1828.214617710463</x:v>
      </x:c>
      <x:c r="AA1065" s="32" t="n">
        <x:f>AA1064+X1065-U1065-AA1064*V1065/AB1064</x:f>
        <x:v>667.8957118992909</x:v>
      </x:c>
      <x:c r="AB1065" s="10" t="n">
        <x:f>Y1065+Z1065+AA1065</x:f>
        <x:v>4347.521949397613</x:v>
      </x:c>
      <x:c r="AC1065" s="8" t="n">
        <x:f>IF(AND(v01_WinterTrigger=1,D1065=1,AB1064/AE1064&gt;=K1065),1,0)</x:f>
        <x:v>0</x:v>
      </x:c>
      <x:c r="AD1065" s="8" t="n">
        <x:f>H1065*IF(AND(OR(AB1064/AE1064&gt;=v01_FissionTrigger*N1065,AC1065=1),AB1064/AE1064*v01_DaughterShare&gt;=v01_MinDaughter),MAX(1,ROUND(AE1064*v01_FissionRate,0)),0)</x:f>
        <x:v>0</x:v>
      </x:c>
      <x:c r="AE1065" s="8" t="n">
        <x:f>IF(H1065=1,MAX(1,MIN(INDEX(v01_Smax,G1065),AE1064+AD1065)),AE1064)</x:f>
        <x:v>16</x:v>
      </x:c>
      <x:c r="AF1065" s="8" t="n">
        <x:f>MAX(0,AE1065-AE1064)</x:f>
        <x:v>0</x:v>
      </x:c>
      <x:c r="AG1065" s="9" t="str">
        <x:f>IF(AF1065&gt;0,B1065,"")</x:f>
      </x:c>
      <x:c r="AH1065" s="9" t="n">
        <x:f>IF(F1065&gt;=1,1,(1+v01_LowTiesShare*(AE1065-1))/AE1065)</x:f>
        <x:v>1</x:v>
      </x:c>
      <x:c r="AI1065" s="32" t="n">
        <x:f>(Z1065+v01_ElderCommons*INDEX(LM_Elder,G1065)*AA1065)*AH1065</x:f>
        <x:v>4068.404938241608</x:v>
      </x:c>
      <x:c r="AJ1065" s="32" t="n">
        <x:f>H1065*v01_CommonsCoef*AI1065^v01_CommonsExp*INDEX(LM_Commons,G1065)</x:f>
        <x:v>932.0551744199261</x:v>
      </x:c>
      <x:c r="AK1065" s="32" t="n">
        <x:f>H1065*v01_RoleScale*Arch_Roles*(AE1065*(INDEX(v01_ElderRolePerSett,G1065)*v01_OutElder*INDEX(LM_Elder,G1065)+INDEX(v01_ShamanPerSett,G1065)*v01_OutShaman)+Z1065*(INDEX(v01_PriestShare,G1065)*v01_OutPriest+INDEX(v01_ScribeShare,G1065)*v01_OutScribe*INDEX(LM_Scribe,G1065)+INDEX(v01_ScholarShare,G1065)*v01_OutScholar*INDEX(LM_Scholar,G1065)+INDEX(v01_ResearcherShare,G1065)*v01_OutResearcher*INDEX(LM_Researcher,G1065)))</x:f>
        <x:v>180.4767297525093</x:v>
      </x:c>
      <x:c r="AL1065" s="32" t="n">
        <x:f>H1065*v01_RoleScale*Arch_Roles*AE1065*INDEX(v01_MonasteryPerSett,G1065)*v01_OutMonastery*INDEX(LM_Monastery,G1065)</x:f>
        <x:v>5.034282471216728</x:v>
      </x:c>
      <x:c r="AM1065" s="32" t="n">
        <x:f>(AJ1065+AK1065+AL1065)/4*INDEX(LM_All,G1065)*INDEX(v01_Boon,G1065)*Arch_Insight</x:f>
        <x:v>402.71513304885286</x:v>
      </x:c>
      <x:c r="AN1065" s="32" t="n">
        <x:f>H1065*(v01_KHPerAdult*Z1065+v01_KHOfCommons*AJ1065/4*INDEX(LM_All,G1065))*v01_KHUsable*Arch_KH</x:f>
        <x:v>63.987511619866204</x:v>
      </x:c>
      <x:c r="AO1065" s="32" t="n">
        <x:f>MIN(AP1064+AN1065,AM1065*v01_KHMaxRatio)</x:f>
        <x:v>63.987511619866204</x:v>
      </x:c>
      <x:c r="AP1065" s="32" t="n">
        <x:f>AP1064+AN1065-AO1065</x:f>
        <x:v>0</x:v>
      </x:c>
      <x:c r="AQ1065" s="32" t="n">
        <x:f>AM1065+AO1065</x:f>
        <x:v>466.7026446687191</x:v>
      </x:c>
      <x:c r="AR1065" s="10" t="n">
        <x:f>IF(H1065=1,INDEX(v01_Req,G1065),0)</x:f>
        <x:v>47951.22698</x:v>
      </x:c>
      <x:c r="AS1065" s="32" t="n">
        <x:f>IF(H1065=1,IF(E1065=1,AS1064-AR1064,AS1064)+AQ1065,0)</x:f>
        <x:v>17123.162402479928</x:v>
      </x:c>
      <x:c r="AT1065" s="11" t="n">
        <x:f>IF(AR1065&gt;0,MIN(1,AS1065/AR1065),1)</x:f>
        <x:v>0.3570953963205537</x:v>
      </x:c>
      <x:c r="AU1065" s="10" t="n">
        <x:f>AB1065/INDEX(v01_RepScale,G1065)</x:f>
        <x:v>173.9008779759045</x:v>
      </x:c>
      <x:c r="AV1065" s="32" t="n">
        <x:f>AM1065*60/v01_SeasonSeconds</x:f>
        <x:v>1610.8605321954115</x:v>
      </x:c>
    </x:row>
    <x:row r="1066">
      <x:c r="A1066" s="8" t="n">
        <x:f>A1065+1</x:f>
        <x:v>1063</x:v>
      </x:c>
      <x:c r="B1066" s="9" t="n">
        <x:f>A1066*v01_SeasonSeconds/60</x:f>
        <x:v>265.75</x:v>
      </x:c>
      <x:c r="C1066" s="9" t="n">
        <x:f>A1066/4</x:f>
        <x:v>265.75</x:v>
      </x:c>
      <x:c r="D1066" s="8" t="n">
        <x:f>IF(MOD(A1066,4)=0,1,0)</x:f>
        <x:v>0</x:v>
      </x:c>
      <x:c r="E1066" s="8" t="n">
        <x:f>IF(AND(F1065&lt;=9,AS1065&gt;=AR1065),1,0)</x:f>
        <x:v>0</x:v>
      </x:c>
      <x:c r="F1066" s="8" t="n">
        <x:f>MIN(10,F1065+E1066)</x:f>
        <x:v>5</x:v>
      </x:c>
      <x:c r="G1066" s="8" t="n">
        <x:f>MIN(F1066,9)+1</x:f>
        <x:v>6</x:v>
      </x:c>
      <x:c r="H1066" s="8" t="n">
        <x:f>IF(F1066&lt;=9,1,0)</x:f>
        <x:v>1</x:v>
      </x:c>
      <x:c r="I1066" s="9" t="n">
        <x:f>MIN(10,F1065+IF(AR1065&gt;0,MIN(1,AS1065/AR1065),1))</x:f>
        <x:v>5.357095396320553</x:v>
      </x:c>
      <x:c r="J1066" s="32" t="n">
        <x:f>INDEX(v01_FoodCap,G1066)*Arch_FoodCap*EXP(v01_CapsByProject*SUMPRODUCT((Cap_Point&lt;=I1066)*(Cap_Kind="Food")*Cap_Ln))</x:f>
        <x:v>500</x:v>
      </x:c>
      <x:c r="K1066" s="32" t="n">
        <x:f>J1066*MIN(1,v01_LeanBase*EXP(v01_CapsByProject*SUMPRODUCT((Cap_Point&lt;=I1066)*(Cap_Kind="Lean")*Cap_Ln)))</x:f>
        <x:v>500</x:v>
      </x:c>
      <x:c r="L1066" s="10" t="n">
        <x:f>INDEX(v01_HousingCap,G1066)*EXP(v01_CapsByProject*SUMPRODUCT((Cap_Point&lt;=I1066)*(Cap_Kind="Housing")*Cap_Ln))</x:f>
        <x:v>800</x:v>
      </x:c>
      <x:c r="M1066" s="10" t="n">
        <x:f>INDEX(v01_GroupCap,G1066)*v01_CohesionFactor*EXP(v01_CapsByProject*SUMPRODUCT((Cap_Point&lt;=I1066)*(Cap_Kind="Group")*Cap_Ln))</x:f>
        <x:v>10000</x:v>
      </x:c>
      <x:c r="N1066" s="32" t="n">
        <x:f>MIN(J1066,L1066,M1066)</x:f>
        <x:v>500</x:v>
      </x:c>
      <x:c r="O1066" s="10" t="n">
        <x:f>AE1065*N1066</x:f>
        <x:v>8000</x:v>
      </x:c>
      <x:c r="P1066" s="9" t="n">
        <x:f>MIN(1,(AB1065/(AE1065*IF(v01_GroupInCrowding=1,N1066,MIN(J1066,L1066))))^v01_CrowdingExp)</x:f>
        <x:v>0.025757919281628096</x:v>
      </x:c>
      <x:c r="Q1066" s="9" t="n">
        <x:f>IF(D1066=1,INDEX(v01_WinterMult,G1066),1)</x:f>
        <x:v>1</x:v>
      </x:c>
      <x:c r="R1066" s="9" t="n">
        <x:f>H1066*Z1065*v01_WomenShare*v01_BaseFertility*INDEX(v01_FertMult,G1066)*Arch_Fertility*(1-P1066)</x:f>
        <x:v>58.77707923421349</x:v>
      </x:c>
      <x:c r="S1066" s="9" t="n">
        <x:f>H1066*Y1065*INDEX(v01_MortChild,G1066)/4*Q1066</x:f>
        <x:v>11.571322623674117</x:v>
      </x:c>
      <x:c r="T1066" s="9" t="n">
        <x:f>H1066*Z1065*INDEX(v01_MortAdult,G1066)*Arch_AdultMort/4*Q1066</x:f>
        <x:v>4.570536544276158</x:v>
      </x:c>
      <x:c r="U1066" s="9" t="n">
        <x:f>H1066*AA1065*INDEX(v01_MortElder,G1066)/4*Q1066</x:f>
        <x:v>10.018435678489363</x:v>
      </x:c>
      <x:c r="V1066" s="9" t="n">
        <x:f>H1066*MAX(0,AB1065-O1066)*v01_OvercapLoss</x:f>
        <x:v>0</x:v>
      </x:c>
      <x:c r="W1066" s="9" t="n">
        <x:f>H1066*Y1065/(v01_ChildYears*4)</x:f>
        <x:v>33.06092178192605</x:v>
      </x:c>
      <x:c r="X1066" s="9" t="n">
        <x:f>H1066*Z1065/(v01_AdultYears*4)</x:f>
        <x:v>14.743666271858572</x:v>
      </x:c>
      <x:c r="Y1066" s="32" t="n">
        <x:f>Y1065+R1066-S1066-W1066-Y1065*V1066/AB1065</x:f>
        <x:v>1865.556454616472</x:v>
      </x:c>
      <x:c r="Z1066" s="32" t="n">
        <x:f>Z1065+W1066-X1066-T1066-Z1065*V1066/AB1065</x:f>
        <x:v>1841.9613366762544</x:v>
      </x:c>
      <x:c r="AA1066" s="32" t="n">
        <x:f>AA1065+X1066-U1066-AA1065*V1066/AB1065</x:f>
        <x:v>672.6209424926601</x:v>
      </x:c>
      <x:c r="AB1066" s="10" t="n">
        <x:f>Y1066+Z1066+AA1066</x:f>
        <x:v>4380.138733785387</x:v>
      </x:c>
      <x:c r="AC1066" s="8" t="n">
        <x:f>IF(AND(v01_WinterTrigger=1,D1066=1,AB1065/AE1065&gt;=K1066),1,0)</x:f>
        <x:v>0</x:v>
      </x:c>
      <x:c r="AD1066" s="8" t="n">
        <x:f>H1066*IF(AND(OR(AB1065/AE1065&gt;=v01_FissionTrigger*N1066,AC1066=1),AB1065/AE1065*v01_DaughterShare&gt;=v01_MinDaughter),MAX(1,ROUND(AE1065*v01_FissionRate,0)),0)</x:f>
        <x:v>0</x:v>
      </x:c>
      <x:c r="AE1066" s="8" t="n">
        <x:f>IF(H1066=1,MAX(1,MIN(INDEX(v01_Smax,G1066),AE1065+AD1066)),AE1065)</x:f>
        <x:v>16</x:v>
      </x:c>
      <x:c r="AF1066" s="8" t="n">
        <x:f>MAX(0,AE1066-AE1065)</x:f>
        <x:v>0</x:v>
      </x:c>
      <x:c r="AG1066" s="9" t="str">
        <x:f>IF(AF1066&gt;0,B1066,"")</x:f>
      </x:c>
      <x:c r="AH1066" s="9" t="n">
        <x:f>IF(F1066&gt;=1,1,(1+v01_LowTiesShare*(AE1066-1))/AE1066)</x:f>
        <x:v>1</x:v>
      </x:c>
      <x:c r="AI1066" s="32" t="n">
        <x:f>(Z1066+v01_ElderCommons*INDEX(LM_Elder,G1066)*AA1066)*AH1066</x:f>
        <x:v>4098.000562431602</x:v>
      </x:c>
      <x:c r="AJ1066" s="32" t="n">
        <x:f>H1066*v01_CommonsCoef*AI1066^v01_CommonsExp*INDEX(LM_Commons,G1066)</x:f>
        <x:v>937.8152413104355</x:v>
      </x:c>
      <x:c r="AK1066" s="32" t="n">
        <x:f>H1066*v01_RoleScale*Arch_Roles*(AE1066*(INDEX(v01_ElderRolePerSett,G1066)*v01_OutElder*INDEX(LM_Elder,G1066)+INDEX(v01_ShamanPerSett,G1066)*v01_OutShaman)+Z1066*(INDEX(v01_PriestShare,G1066)*v01_OutPriest+INDEX(v01_ScribeShare,G1066)*v01_OutScribe*INDEX(LM_Scribe,G1066)+INDEX(v01_ScholarShare,G1066)*v01_OutScholar*INDEX(LM_Scholar,G1066)+INDEX(v01_ResearcherShare,G1066)*v01_OutResearcher*INDEX(LM_Researcher,G1066)))</x:f>
        <x:v>181.45154881063746</x:v>
      </x:c>
      <x:c r="AL1066" s="32" t="n">
        <x:f>H1066*v01_RoleScale*Arch_Roles*AE1066*INDEX(v01_MonasteryPerSett,G1066)*v01_OutMonastery*INDEX(LM_Monastery,G1066)</x:f>
        <x:v>5.034282471216728</x:v>
      </x:c>
      <x:c r="AM1066" s="32" t="n">
        <x:f>(AJ1066+AK1066+AL1066)/4*INDEX(LM_All,G1066)*INDEX(v01_Boon,G1066)*Arch_Insight</x:f>
        <x:v>405.14205015075623</x:v>
      </x:c>
      <x:c r="AN1066" s="32" t="n">
        <x:f>H1066*(v01_KHPerAdult*Z1066+v01_KHOfCommons*AJ1066/4*INDEX(LM_All,G1066))*v01_KHUsable*Arch_KH</x:f>
        <x:v>64.4686467836689</x:v>
      </x:c>
      <x:c r="AO1066" s="32" t="n">
        <x:f>MIN(AP1065+AN1066,AM1066*v01_KHMaxRatio)</x:f>
        <x:v>64.4686467836689</x:v>
      </x:c>
      <x:c r="AP1066" s="32" t="n">
        <x:f>AP1065+AN1066-AO1066</x:f>
        <x:v>0</x:v>
      </x:c>
      <x:c r="AQ1066" s="32" t="n">
        <x:f>AM1066+AO1066</x:f>
        <x:v>469.61069693442516</x:v>
      </x:c>
      <x:c r="AR1066" s="10" t="n">
        <x:f>IF(H1066=1,INDEX(v01_Req,G1066),0)</x:f>
        <x:v>47951.22698</x:v>
      </x:c>
      <x:c r="AS1066" s="32" t="n">
        <x:f>IF(H1066=1,IF(E1066=1,AS1065-AR1065,AS1065)+AQ1066,0)</x:f>
        <x:v>17592.773099414353</x:v>
      </x:c>
      <x:c r="AT1066" s="11" t="n">
        <x:f>IF(AR1066&gt;0,MIN(1,AS1066/AR1066),1)</x:f>
        <x:v>0.36688890373445776</x:v>
      </x:c>
      <x:c r="AU1066" s="10" t="n">
        <x:f>AB1066/INDEX(v01_RepScale,G1066)</x:f>
        <x:v>175.20554935141547</x:v>
      </x:c>
      <x:c r="AV1066" s="32" t="n">
        <x:f>AM1066*60/v01_SeasonSeconds</x:f>
        <x:v>1620.568200603025</x:v>
      </x:c>
    </x:row>
    <x:row r="1067">
      <x:c r="A1067" s="8" t="n">
        <x:f>A1066+1</x:f>
        <x:v>1064</x:v>
      </x:c>
      <x:c r="B1067" s="9" t="n">
        <x:f>A1067*v01_SeasonSeconds/60</x:f>
        <x:v>266</x:v>
      </x:c>
      <x:c r="C1067" s="9" t="n">
        <x:f>A1067/4</x:f>
        <x:v>266</x:v>
      </x:c>
      <x:c r="D1067" s="8" t="n">
        <x:f>IF(MOD(A1067,4)=0,1,0)</x:f>
        <x:v>1</x:v>
      </x:c>
      <x:c r="E1067" s="8" t="n">
        <x:f>IF(AND(F1066&lt;=9,AS1066&gt;=AR1066),1,0)</x:f>
        <x:v>0</x:v>
      </x:c>
      <x:c r="F1067" s="8" t="n">
        <x:f>MIN(10,F1066+E1067)</x:f>
        <x:v>5</x:v>
      </x:c>
      <x:c r="G1067" s="8" t="n">
        <x:f>MIN(F1067,9)+1</x:f>
        <x:v>6</x:v>
      </x:c>
      <x:c r="H1067" s="8" t="n">
        <x:f>IF(F1067&lt;=9,1,0)</x:f>
        <x:v>1</x:v>
      </x:c>
      <x:c r="I1067" s="9" t="n">
        <x:f>MIN(10,F1066+IF(AR1066&gt;0,MIN(1,AS1066/AR1066),1))</x:f>
        <x:v>5.366888903734457</x:v>
      </x:c>
      <x:c r="J1067" s="32" t="n">
        <x:f>INDEX(v01_FoodCap,G1067)*Arch_FoodCap*EXP(v01_CapsByProject*SUMPRODUCT((Cap_Point&lt;=I1067)*(Cap_Kind="Food")*Cap_Ln))</x:f>
        <x:v>500</x:v>
      </x:c>
      <x:c r="K1067" s="32" t="n">
        <x:f>J1067*MIN(1,v01_LeanBase*EXP(v01_CapsByProject*SUMPRODUCT((Cap_Point&lt;=I1067)*(Cap_Kind="Lean")*Cap_Ln)))</x:f>
        <x:v>500</x:v>
      </x:c>
      <x:c r="L1067" s="10" t="n">
        <x:f>INDEX(v01_HousingCap,G1067)*EXP(v01_CapsByProject*SUMPRODUCT((Cap_Point&lt;=I1067)*(Cap_Kind="Housing")*Cap_Ln))</x:f>
        <x:v>800</x:v>
      </x:c>
      <x:c r="M1067" s="10" t="n">
        <x:f>INDEX(v01_GroupCap,G1067)*v01_CohesionFactor*EXP(v01_CapsByProject*SUMPRODUCT((Cap_Point&lt;=I1067)*(Cap_Kind="Group")*Cap_Ln))</x:f>
        <x:v>10000</x:v>
      </x:c>
      <x:c r="N1067" s="32" t="n">
        <x:f>MIN(J1067,L1067,M1067)</x:f>
        <x:v>500</x:v>
      </x:c>
      <x:c r="O1067" s="10" t="n">
        <x:f>AE1066*N1067</x:f>
        <x:v>8000</x:v>
      </x:c>
      <x:c r="P1067" s="9" t="n">
        <x:f>MIN(1,(AB1066/(AE1066*IF(v01_GroupInCrowding=1,N1067,MIN(J1067,L1067))))^v01_CrowdingExp)</x:f>
        <x:v>0.026939360115859592</x:v>
      </x:c>
      <x:c r="Q1067" s="9" t="n">
        <x:f>IF(D1067=1,INDEX(v01_WinterMult,G1067),1)</x:f>
        <x:v>1</x:v>
      </x:c>
      <x:c r="R1067" s="9" t="n">
        <x:f>H1067*Z1066*v01_WomenShare*v01_BaseFertility*INDEX(v01_FertMult,G1067)*Arch_Fertility*(1-P1067)</x:f>
        <x:v>59.147222537965405</x:v>
      </x:c>
      <x:c r="S1067" s="9" t="n">
        <x:f>H1067*Y1066*INDEX(v01_MortChild,G1067)/4*Q1067</x:f>
        <x:v>11.65972784135295</x:v>
      </x:c>
      <x:c r="T1067" s="9" t="n">
        <x:f>H1067*Z1066*INDEX(v01_MortAdult,G1067)*Arch_AdultMort/4*Q1067</x:f>
        <x:v>4.604903341690636</x:v>
      </x:c>
      <x:c r="U1067" s="9" t="n">
        <x:f>H1067*AA1066*INDEX(v01_MortElder,G1067)/4*Q1067</x:f>
        <x:v>10.089314137389902</x:v>
      </x:c>
      <x:c r="V1067" s="9" t="n">
        <x:f>H1067*MAX(0,AB1066-O1067)*v01_OvercapLoss</x:f>
        <x:v>0</x:v>
      </x:c>
      <x:c r="W1067" s="9" t="n">
        <x:f>H1067*Y1066/(v01_ChildYears*4)</x:f>
        <x:v>33.31350811815128</x:v>
      </x:c>
      <x:c r="X1067" s="9" t="n">
        <x:f>H1067*Z1066/(v01_AdultYears*4)</x:f>
        <x:v>14.854526908679471</x:v>
      </x:c>
      <x:c r="Y1067" s="32" t="n">
        <x:f>Y1066+R1067-S1067-W1067-Y1066*V1067/AB1066</x:f>
        <x:v>1879.730441194933</x:v>
      </x:c>
      <x:c r="Z1067" s="32" t="n">
        <x:f>Z1066+W1067-X1067-T1067-Z1066*V1067/AB1066</x:f>
        <x:v>1855.8154145440355</x:v>
      </x:c>
      <x:c r="AA1067" s="32" t="n">
        <x:f>AA1066+X1067-U1067-AA1066*V1067/AB1066</x:f>
        <x:v>677.3861552639496</x:v>
      </x:c>
      <x:c r="AB1067" s="10" t="n">
        <x:f>Y1067+Z1067+AA1067</x:f>
        <x:v>4412.932011002918</x:v>
      </x:c>
      <x:c r="AC1067" s="8" t="n">
        <x:f>IF(AND(v01_WinterTrigger=1,D1067=1,AB1066/AE1066&gt;=K1067),1,0)</x:f>
        <x:v>0</x:v>
      </x:c>
      <x:c r="AD1067" s="8" t="n">
        <x:f>H1067*IF(AND(OR(AB1066/AE1066&gt;=v01_FissionTrigger*N1067,AC1067=1),AB1066/AE1066*v01_DaughterShare&gt;=v01_MinDaughter),MAX(1,ROUND(AE1066*v01_FissionRate,0)),0)</x:f>
        <x:v>0</x:v>
      </x:c>
      <x:c r="AE1067" s="8" t="n">
        <x:f>IF(H1067=1,MAX(1,MIN(INDEX(v01_Smax,G1067),AE1066+AD1067)),AE1066)</x:f>
        <x:v>16</x:v>
      </x:c>
      <x:c r="AF1067" s="8" t="n">
        <x:f>MAX(0,AE1067-AE1066)</x:f>
        <x:v>0</x:v>
      </x:c>
      <x:c r="AG1067" s="9" t="str">
        <x:f>IF(AF1067&gt;0,B1067,"")</x:f>
      </x:c>
      <x:c r="AH1067" s="9" t="n">
        <x:f>IF(F1067&gt;=1,1,(1+v01_LowTiesShare*(AE1067-1))/AE1067)</x:f>
        <x:v>1</x:v>
      </x:c>
      <x:c r="AI1067" s="32" t="n">
        <x:f>(Z1067+v01_ElderCommons*INDEX(LM_Elder,G1067)*AA1067)*AH1067</x:f>
        <x:v>4127.837649825163</x:v>
      </x:c>
      <x:c r="AJ1067" s="32" t="n">
        <x:f>H1067*v01_CommonsCoef*AI1067^v01_CommonsExp*INDEX(LM_Commons,G1067)</x:f>
        <x:v>943.6159902077057</x:v>
      </x:c>
      <x:c r="AK1067" s="32" t="n">
        <x:f>H1067*v01_RoleScale*Arch_Roles*(AE1067*(INDEX(v01_ElderRolePerSett,G1067)*v01_OutElder*INDEX(LM_Elder,G1067)+INDEX(v01_ShamanPerSett,G1067)*v01_OutShaman)+Z1067*(INDEX(v01_PriestShare,G1067)*v01_OutPriest+INDEX(v01_ScribeShare,G1067)*v01_OutScribe*INDEX(LM_Scribe,G1067)+INDEX(v01_ScholarShare,G1067)*v01_OutScholar*INDEX(LM_Scholar,G1067)+INDEX(v01_ResearcherShare,G1067)*v01_OutResearcher*INDEX(LM_Researcher,G1067)))</x:f>
        <x:v>182.43398099477628</x:v>
      </x:c>
      <x:c r="AL1067" s="32" t="n">
        <x:f>H1067*v01_RoleScale*Arch_Roles*AE1067*INDEX(v01_MonasteryPerSett,G1067)*v01_OutMonastery*INDEX(LM_Monastery,G1067)</x:f>
        <x:v>5.034282471216728</x:v>
      </x:c>
      <x:c r="AM1067" s="32" t="n">
        <x:f>(AJ1067+AK1067+AL1067)/4*INDEX(LM_All,G1067)*INDEX(v01_Boon,G1067)*Arch_Insight</x:f>
        <x:v>407.5863704105684</x:v>
      </x:c>
      <x:c r="AN1067" s="32" t="n">
        <x:f>H1067*(v01_KHPerAdult*Z1067+v01_KHOfCommons*AJ1067/4*INDEX(LM_All,G1067))*v01_KHUsable*Arch_KH</x:f>
        <x:v>64.95353950904125</x:v>
      </x:c>
      <x:c r="AO1067" s="32" t="n">
        <x:f>MIN(AP1066+AN1067,AM1067*v01_KHMaxRatio)</x:f>
        <x:v>64.95353950904125</x:v>
      </x:c>
      <x:c r="AP1067" s="32" t="n">
        <x:f>AP1066+AN1067-AO1067</x:f>
        <x:v>0</x:v>
      </x:c>
      <x:c r="AQ1067" s="32" t="n">
        <x:f>AM1067+AO1067</x:f>
        <x:v>472.53990991960967</x:v>
      </x:c>
      <x:c r="AR1067" s="10" t="n">
        <x:f>IF(H1067=1,INDEX(v01_Req,G1067),0)</x:f>
        <x:v>47951.22698</x:v>
      </x:c>
      <x:c r="AS1067" s="32" t="n">
        <x:f>IF(H1067=1,IF(E1067=1,AS1066-AR1066,AS1066)+AQ1067,0)</x:f>
        <x:v>18065.313009333964</x:v>
      </x:c>
      <x:c r="AT1067" s="11" t="n">
        <x:f>IF(AR1067&gt;0,MIN(1,AS1067/AR1067),1)</x:f>
        <x:v>0.3767434984900143</x:v>
      </x:c>
      <x:c r="AU1067" s="10" t="n">
        <x:f>AB1067/INDEX(v01_RepScale,G1067)</x:f>
        <x:v>176.51728044011674</x:v>
      </x:c>
      <x:c r="AV1067" s="32" t="n">
        <x:f>AM1067*60/v01_SeasonSeconds</x:f>
        <x:v>1630.3454816422736</x:v>
      </x:c>
    </x:row>
    <x:row r="1068">
      <x:c r="A1068" s="8" t="n">
        <x:f>A1067+1</x:f>
        <x:v>1065</x:v>
      </x:c>
      <x:c r="B1068" s="9" t="n">
        <x:f>A1068*v01_SeasonSeconds/60</x:f>
        <x:v>266.25</x:v>
      </x:c>
      <x:c r="C1068" s="9" t="n">
        <x:f>A1068/4</x:f>
        <x:v>266.25</x:v>
      </x:c>
      <x:c r="D1068" s="8" t="n">
        <x:f>IF(MOD(A1068,4)=0,1,0)</x:f>
        <x:v>0</x:v>
      </x:c>
      <x:c r="E1068" s="8" t="n">
        <x:f>IF(AND(F1067&lt;=9,AS1067&gt;=AR1067),1,0)</x:f>
        <x:v>0</x:v>
      </x:c>
      <x:c r="F1068" s="8" t="n">
        <x:f>MIN(10,F1067+E1068)</x:f>
        <x:v>5</x:v>
      </x:c>
      <x:c r="G1068" s="8" t="n">
        <x:f>MIN(F1068,9)+1</x:f>
        <x:v>6</x:v>
      </x:c>
      <x:c r="H1068" s="8" t="n">
        <x:f>IF(F1068&lt;=9,1,0)</x:f>
        <x:v>1</x:v>
      </x:c>
      <x:c r="I1068" s="9" t="n">
        <x:f>MIN(10,F1067+IF(AR1067&gt;0,MIN(1,AS1067/AR1067),1))</x:f>
        <x:v>5.376743498490014</x:v>
      </x:c>
      <x:c r="J1068" s="32" t="n">
        <x:f>INDEX(v01_FoodCap,G1068)*Arch_FoodCap*EXP(v01_CapsByProject*SUMPRODUCT((Cap_Point&lt;=I1068)*(Cap_Kind="Food")*Cap_Ln))</x:f>
        <x:v>500</x:v>
      </x:c>
      <x:c r="K1068" s="32" t="n">
        <x:f>J1068*MIN(1,v01_LeanBase*EXP(v01_CapsByProject*SUMPRODUCT((Cap_Point&lt;=I1068)*(Cap_Kind="Lean")*Cap_Ln)))</x:f>
        <x:v>500</x:v>
      </x:c>
      <x:c r="L1068" s="10" t="n">
        <x:f>INDEX(v01_HousingCap,G1068)*EXP(v01_CapsByProject*SUMPRODUCT((Cap_Point&lt;=I1068)*(Cap_Kind="Housing")*Cap_Ln))</x:f>
        <x:v>800</x:v>
      </x:c>
      <x:c r="M1068" s="10" t="n">
        <x:f>INDEX(v01_GroupCap,G1068)*v01_CohesionFactor*EXP(v01_CapsByProject*SUMPRODUCT((Cap_Point&lt;=I1068)*(Cap_Kind="Group")*Cap_Ln))</x:f>
        <x:v>10000</x:v>
      </x:c>
      <x:c r="N1068" s="32" t="n">
        <x:f>MIN(J1068,L1068,M1068)</x:f>
        <x:v>500</x:v>
      </x:c>
      <x:c r="O1068" s="10" t="n">
        <x:f>AE1067*N1068</x:f>
        <x:v>8000</x:v>
      </x:c>
      <x:c r="P1068" s="9" t="n">
        <x:f>MIN(1,(AB1067/(AE1067*IF(v01_GroupInCrowding=1,N1068,MIN(J1068,L1068))))^v01_CrowdingExp)</x:f>
        <x:v>0.02817237733489349</x:v>
      </x:c>
      <x:c r="Q1068" s="9" t="n">
        <x:f>IF(D1068=1,INDEX(v01_WinterMult,G1068),1)</x:f>
        <x:v>1</x:v>
      </x:c>
      <x:c r="R1068" s="9" t="n">
        <x:f>H1068*Z1067*v01_WomenShare*v01_BaseFertility*INDEX(v01_FertMult,G1068)*Arch_Fertility*(1-P1068)</x:f>
        <x:v>59.51657851991244</x:v>
      </x:c>
      <x:c r="S1068" s="9" t="n">
        <x:f>H1068*Y1067*INDEX(v01_MortChild,G1068)/4*Q1068</x:f>
        <x:v>11.748315257468333</x:v>
      </x:c>
      <x:c r="T1068" s="9" t="n">
        <x:f>H1068*Z1067*INDEX(v01_MortAdult,G1068)*Arch_AdultMort/4*Q1068</x:f>
        <x:v>4.639538536360089</x:v>
      </x:c>
      <x:c r="U1068" s="9" t="n">
        <x:f>H1068*AA1067*INDEX(v01_MortElder,G1068)/4*Q1068</x:f>
        <x:v>10.160792328959245</x:v>
      </x:c>
      <x:c r="V1068" s="9" t="n">
        <x:f>H1068*MAX(0,AB1067-O1068)*v01_OvercapLoss</x:f>
        <x:v>0</x:v>
      </x:c>
      <x:c r="W1068" s="9" t="n">
        <x:f>H1068*Y1067/(v01_ChildYears*4)</x:f>
        <x:v>33.56661502133809</x:v>
      </x:c>
      <x:c r="X1068" s="9" t="n">
        <x:f>H1068*Z1067/(v01_AdultYears*4)</x:f>
        <x:v>14.96625334309706</x:v>
      </x:c>
      <x:c r="Y1068" s="32" t="n">
        <x:f>Y1067+R1068-S1068-W1068-Y1067*V1068/AB1067</x:f>
        <x:v>1893.9320894360392</x:v>
      </x:c>
      <x:c r="Z1068" s="32" t="n">
        <x:f>Z1067+W1068-X1068-T1068-Z1067*V1068/AB1067</x:f>
        <x:v>1869.7762376859164</x:v>
      </x:c>
      <x:c r="AA1068" s="32" t="n">
        <x:f>AA1067+X1068-U1068-AA1067*V1068/AB1067</x:f>
        <x:v>682.1916162780874</x:v>
      </x:c>
      <x:c r="AB1068" s="10" t="n">
        <x:f>Y1068+Z1068+AA1068</x:f>
        <x:v>4445.8999434000425</x:v>
      </x:c>
      <x:c r="AC1068" s="8" t="n">
        <x:f>IF(AND(v01_WinterTrigger=1,D1068=1,AB1067/AE1067&gt;=K1068),1,0)</x:f>
        <x:v>0</x:v>
      </x:c>
      <x:c r="AD1068" s="8" t="n">
        <x:f>H1068*IF(AND(OR(AB1067/AE1067&gt;=v01_FissionTrigger*N1068,AC1068=1),AB1067/AE1067*v01_DaughterShare&gt;=v01_MinDaughter),MAX(1,ROUND(AE1067*v01_FissionRate,0)),0)</x:f>
        <x:v>0</x:v>
      </x:c>
      <x:c r="AE1068" s="8" t="n">
        <x:f>IF(H1068=1,MAX(1,MIN(INDEX(v01_Smax,G1068),AE1067+AD1068)),AE1067)</x:f>
        <x:v>16</x:v>
      </x:c>
      <x:c r="AF1068" s="8" t="n">
        <x:f>MAX(0,AE1068-AE1067)</x:f>
        <x:v>0</x:v>
      </x:c>
      <x:c r="AG1068" s="9" t="str">
        <x:f>IF(AF1068&gt;0,B1068,"")</x:f>
      </x:c>
      <x:c r="AH1068" s="9" t="n">
        <x:f>IF(F1068&gt;=1,1,(1+v01_LowTiesShare*(AE1068-1))/AE1068)</x:f>
        <x:v>1</x:v>
      </x:c>
      <x:c r="AI1068" s="32" t="n">
        <x:f>(Z1068+v01_ElderCommons*INDEX(LM_Elder,G1068)*AA1068)*AH1068</x:f>
        <x:v>4157.9164792033</x:v>
      </x:c>
      <x:c r="AJ1068" s="32" t="n">
        <x:f>H1068*v01_CommonsCoef*AI1068^v01_CommonsExp*INDEX(LM_Commons,G1068)</x:f>
        <x:v>949.4573746340351</x:v>
      </x:c>
      <x:c r="AK1068" s="32" t="n">
        <x:f>H1068*v01_RoleScale*Arch_Roles*(AE1068*(INDEX(v01_ElderRolePerSett,G1068)*v01_OutElder*INDEX(LM_Elder,G1068)+INDEX(v01_ShamanPerSett,G1068)*v01_OutShaman)+Z1068*(INDEX(v01_PriestShare,G1068)*v01_OutPriest+INDEX(v01_ScribeShare,G1068)*v01_OutScribe*INDEX(LM_Scribe,G1068)+INDEX(v01_ScholarShare,G1068)*v01_OutScholar*INDEX(LM_Scholar,G1068)+INDEX(v01_ResearcherShare,G1068)*v01_OutResearcher*INDEX(LM_Researcher,G1068)))</x:f>
        <x:v>183.42398279082153</x:v>
      </x:c>
      <x:c r="AL1068" s="32" t="n">
        <x:f>H1068*v01_RoleScale*Arch_Roles*AE1068*INDEX(v01_MonasteryPerSett,G1068)*v01_OutMonastery*INDEX(LM_Monastery,G1068)</x:f>
        <x:v>5.034282471216728</x:v>
      </x:c>
      <x:c r="AM1068" s="32" t="n">
        <x:f>(AJ1068+AK1068+AL1068)/4*INDEX(LM_All,G1068)*INDEX(v01_Boon,G1068)*Arch_Insight</x:f>
        <x:v>410.0480613997293</x:v>
      </x:c>
      <x:c r="AN1068" s="32" t="n">
        <x:f>H1068*(v01_KHPerAdult*Z1068+v01_KHOfCommons*AJ1068/4*INDEX(LM_All,G1068))*v01_KHUsable*Arch_KH</x:f>
        <x:v>65.44216831900708</x:v>
      </x:c>
      <x:c r="AO1068" s="32" t="n">
        <x:f>MIN(AP1067+AN1068,AM1068*v01_KHMaxRatio)</x:f>
        <x:v>65.44216831900708</x:v>
      </x:c>
      <x:c r="AP1068" s="32" t="n">
        <x:f>AP1067+AN1068-AO1068</x:f>
        <x:v>0</x:v>
      </x:c>
      <x:c r="AQ1068" s="32" t="n">
        <x:f>AM1068+AO1068</x:f>
        <x:v>475.4902297187364</x:v>
      </x:c>
      <x:c r="AR1068" s="10" t="n">
        <x:f>IF(H1068=1,INDEX(v01_Req,G1068),0)</x:f>
        <x:v>47951.22698</x:v>
      </x:c>
      <x:c r="AS1068" s="32" t="n">
        <x:f>IF(H1068=1,IF(E1068=1,AS1067-AR1067,AS1067)+AQ1068,0)</x:f>
        <x:v>18540.8032390527</x:v>
      </x:c>
      <x:c r="AT1068" s="11" t="n">
        <x:f>IF(AR1068&gt;0,MIN(1,AS1068/AR1068),1)</x:f>
        <x:v>0.3866596207597752</x:v>
      </x:c>
      <x:c r="AU1068" s="10" t="n">
        <x:f>AB1068/INDEX(v01_RepScale,G1068)</x:f>
        <x:v>177.8359977360017</x:v>
      </x:c>
      <x:c r="AV1068" s="32" t="n">
        <x:f>AM1068*60/v01_SeasonSeconds</x:f>
        <x:v>1640.1922455989172</x:v>
      </x:c>
    </x:row>
    <x:row r="1069">
      <x:c r="A1069" s="8" t="n">
        <x:f>A1068+1</x:f>
        <x:v>1066</x:v>
      </x:c>
      <x:c r="B1069" s="9" t="n">
        <x:f>A1069*v01_SeasonSeconds/60</x:f>
        <x:v>266.5</x:v>
      </x:c>
      <x:c r="C1069" s="9" t="n">
        <x:f>A1069/4</x:f>
        <x:v>266.5</x:v>
      </x:c>
      <x:c r="D1069" s="8" t="n">
        <x:f>IF(MOD(A1069,4)=0,1,0)</x:f>
        <x:v>0</x:v>
      </x:c>
      <x:c r="E1069" s="8" t="n">
        <x:f>IF(AND(F1068&lt;=9,AS1068&gt;=AR1068),1,0)</x:f>
        <x:v>0</x:v>
      </x:c>
      <x:c r="F1069" s="8" t="n">
        <x:f>MIN(10,F1068+E1069)</x:f>
        <x:v>5</x:v>
      </x:c>
      <x:c r="G1069" s="8" t="n">
        <x:f>MIN(F1069,9)+1</x:f>
        <x:v>6</x:v>
      </x:c>
      <x:c r="H1069" s="8" t="n">
        <x:f>IF(F1069&lt;=9,1,0)</x:f>
        <x:v>1</x:v>
      </x:c>
      <x:c r="I1069" s="9" t="n">
        <x:f>MIN(10,F1068+IF(AR1068&gt;0,MIN(1,AS1068/AR1068),1))</x:f>
        <x:v>5.386659620759775</x:v>
      </x:c>
      <x:c r="J1069" s="32" t="n">
        <x:f>INDEX(v01_FoodCap,G1069)*Arch_FoodCap*EXP(v01_CapsByProject*SUMPRODUCT((Cap_Point&lt;=I1069)*(Cap_Kind="Food")*Cap_Ln))</x:f>
        <x:v>500</x:v>
      </x:c>
      <x:c r="K1069" s="32" t="n">
        <x:f>J1069*MIN(1,v01_LeanBase*EXP(v01_CapsByProject*SUMPRODUCT((Cap_Point&lt;=I1069)*(Cap_Kind="Lean")*Cap_Ln)))</x:f>
        <x:v>500</x:v>
      </x:c>
      <x:c r="L1069" s="10" t="n">
        <x:f>INDEX(v01_HousingCap,G1069)*EXP(v01_CapsByProject*SUMPRODUCT((Cap_Point&lt;=I1069)*(Cap_Kind="Housing")*Cap_Ln))</x:f>
        <x:v>800</x:v>
      </x:c>
      <x:c r="M1069" s="10" t="n">
        <x:f>INDEX(v01_GroupCap,G1069)*v01_CohesionFactor*EXP(v01_CapsByProject*SUMPRODUCT((Cap_Point&lt;=I1069)*(Cap_Kind="Group")*Cap_Ln))</x:f>
        <x:v>10000</x:v>
      </x:c>
      <x:c r="N1069" s="32" t="n">
        <x:f>MIN(J1069,L1069,M1069)</x:f>
        <x:v>500</x:v>
      </x:c>
      <x:c r="O1069" s="10" t="n">
        <x:f>AE1068*N1069</x:f>
        <x:v>8000</x:v>
      </x:c>
      <x:c r="P1069" s="9" t="n">
        <x:f>MIN(1,(AB1068/(AE1068*IF(v01_GroupInCrowding=1,N1069,MIN(J1069,L1069))))^v01_CrowdingExp)</x:f>
        <x:v>0.02945901253065096</x:v>
      </x:c>
      <x:c r="Q1069" s="9" t="n">
        <x:f>IF(D1069=1,INDEX(v01_WinterMult,G1069),1)</x:f>
        <x:v>1</x:v>
      </x:c>
      <x:c r="R1069" s="9" t="n">
        <x:f>H1069*Z1068*v01_WomenShare*v01_BaseFertility*INDEX(v01_FertMult,G1069)*Arch_Fertility*(1-P1069)</x:f>
        <x:v>59.88491771032365</x:v>
      </x:c>
      <x:c r="S1069" s="9" t="n">
        <x:f>H1069*Y1068*INDEX(v01_MortChild,G1069)/4*Q1069</x:f>
        <x:v>11.837075558975245</x:v>
      </x:c>
      <x:c r="T1069" s="9" t="n">
        <x:f>H1069*Z1068*INDEX(v01_MortAdult,G1069)*Arch_AdultMort/4*Q1069</x:f>
        <x:v>4.674440594214791</x:v>
      </x:c>
      <x:c r="U1069" s="9" t="n">
        <x:f>H1069*AA1068*INDEX(v01_MortElder,G1069)/4*Q1069</x:f>
        <x:v>10.232874244171311</x:v>
      </x:c>
      <x:c r="V1069" s="9" t="n">
        <x:f>H1069*MAX(0,AB1068-O1069)*v01_OvercapLoss</x:f>
        <x:v>0</x:v>
      </x:c>
      <x:c r="W1069" s="9" t="n">
        <x:f>H1069*Y1068/(v01_ChildYears*4)</x:f>
        <x:v>33.820215882786414</x:v>
      </x:c>
      <x:c r="X1069" s="9" t="n">
        <x:f>H1069*Z1068/(v01_AdultYears*4)</x:f>
        <x:v>15.078840626499325</x:v>
      </x:c>
      <x:c r="Y1069" s="32" t="n">
        <x:f>Y1068+R1069-S1069-W1069-Y1068*V1069/AB1068</x:f>
        <x:v>1908.159715704601</x:v>
      </x:c>
      <x:c r="Z1069" s="32" t="n">
        <x:f>Z1068+W1069-X1069-T1069-Z1068*V1069/AB1068</x:f>
        <x:v>1883.8431723479887</x:v>
      </x:c>
      <x:c r="AA1069" s="32" t="n">
        <x:f>AA1068+X1069-U1069-AA1068*V1069/AB1068</x:f>
        <x:v>687.0375826604154</x:v>
      </x:c>
      <x:c r="AB1069" s="10" t="n">
        <x:f>Y1069+Z1069+AA1069</x:f>
        <x:v>4479.040470713006</x:v>
      </x:c>
      <x:c r="AC1069" s="8" t="n">
        <x:f>IF(AND(v01_WinterTrigger=1,D1069=1,AB1068/AE1068&gt;=K1069),1,0)</x:f>
        <x:v>0</x:v>
      </x:c>
      <x:c r="AD1069" s="8" t="n">
        <x:f>H1069*IF(AND(OR(AB1068/AE1068&gt;=v01_FissionTrigger*N1069,AC1069=1),AB1068/AE1068*v01_DaughterShare&gt;=v01_MinDaughter),MAX(1,ROUND(AE1068*v01_FissionRate,0)),0)</x:f>
        <x:v>0</x:v>
      </x:c>
      <x:c r="AE1069" s="8" t="n">
        <x:f>IF(H1069=1,MAX(1,MIN(INDEX(v01_Smax,G1069),AE1068+AD1069)),AE1068)</x:f>
        <x:v>16</x:v>
      </x:c>
      <x:c r="AF1069" s="8" t="n">
        <x:f>MAX(0,AE1069-AE1068)</x:f>
        <x:v>0</x:v>
      </x:c>
      <x:c r="AG1069" s="9" t="str">
        <x:f>IF(AF1069&gt;0,B1069,"")</x:f>
      </x:c>
      <x:c r="AH1069" s="9" t="n">
        <x:f>IF(F1069&gt;=1,1,(1+v01_LowTiesShare*(AE1069-1))/AE1069)</x:f>
        <x:v>1</x:v>
      </x:c>
      <x:c r="AI1069" s="32" t="n">
        <x:f>(Z1069+v01_ElderCommons*INDEX(LM_Elder,G1069)*AA1069)*AH1069</x:f>
        <x:v>4188.237279236719</x:v>
      </x:c>
      <x:c r="AJ1069" s="32" t="n">
        <x:f>H1069*v01_CommonsCoef*AI1069^v01_CommonsExp*INDEX(LM_Commons,G1069)</x:f>
        <x:v>955.33933865769</x:v>
      </x:c>
      <x:c r="AK1069" s="32" t="n">
        <x:f>H1069*v01_RoleScale*Arch_Roles*(AE1069*(INDEX(v01_ElderRolePerSett,G1069)*v01_OutElder*INDEX(LM_Elder,G1069)+INDEX(v01_ShamanPerSett,G1069)*v01_OutShaman)+Z1069*(INDEX(v01_PriestShare,G1069)*v01_OutPriest+INDEX(v01_ScribeShare,G1069)*v01_OutScribe*INDEX(LM_Scribe,G1069)+INDEX(v01_ScholarShare,G1069)*v01_OutScholar*INDEX(LM_Scholar,G1069)+INDEX(v01_ResearcherShare,G1069)*v01_OutResearcher*INDEX(LM_Researcher,G1069)))</x:f>
        <x:v>184.42150925747558</x:v>
      </x:c>
      <x:c r="AL1069" s="32" t="n">
        <x:f>H1069*v01_RoleScale*Arch_Roles*AE1069*INDEX(v01_MonasteryPerSett,G1069)*v01_OutMonastery*INDEX(LM_Monastery,G1069)</x:f>
        <x:v>5.034282471216728</x:v>
      </x:c>
      <x:c r="AM1069" s="32" t="n">
        <x:f>(AJ1069+AK1069+AL1069)/4*INDEX(LM_All,G1069)*INDEX(v01_Boon,G1069)*Arch_Insight</x:f>
        <x:v>412.5270867686281</x:v>
      </x:c>
      <x:c r="AN1069" s="32" t="n">
        <x:f>H1069*(v01_KHPerAdult*Z1069+v01_KHOfCommons*AJ1069/4*INDEX(LM_All,G1069))*v01_KHUsable*Arch_KH</x:f>
        <x:v>65.9345110321796</x:v>
      </x:c>
      <x:c r="AO1069" s="32" t="n">
        <x:f>MIN(AP1068+AN1069,AM1069*v01_KHMaxRatio)</x:f>
        <x:v>65.9345110321796</x:v>
      </x:c>
      <x:c r="AP1069" s="32" t="n">
        <x:f>AP1068+AN1069-AO1069</x:f>
        <x:v>0</x:v>
      </x:c>
      <x:c r="AQ1069" s="32" t="n">
        <x:f>AM1069+AO1069</x:f>
        <x:v>478.46159780080774</x:v>
      </x:c>
      <x:c r="AR1069" s="10" t="n">
        <x:f>IF(H1069=1,INDEX(v01_Req,G1069),0)</x:f>
        <x:v>47951.22698</x:v>
      </x:c>
      <x:c r="AS1069" s="32" t="n">
        <x:f>IF(H1069=1,IF(E1069=1,AS1068-AR1068,AS1068)+AQ1069,0)</x:f>
        <x:v>19019.26483685351</x:v>
      </x:c>
      <x:c r="AT1069" s="11" t="n">
        <x:f>IF(AR1069&gt;0,MIN(1,AS1069/AR1069),1)</x:f>
        <x:v>0.39663770949565613</x:v>
      </x:c>
      <x:c r="AU1069" s="10" t="n">
        <x:f>AB1069/INDEX(v01_RepScale,G1069)</x:f>
        <x:v>179.16161882852023</x:v>
      </x:c>
      <x:c r="AV1069" s="32" t="n">
        <x:f>AM1069*60/v01_SeasonSeconds</x:f>
        <x:v>1650.1083470745123</x:v>
      </x:c>
    </x:row>
    <x:row r="1070">
      <x:c r="A1070" s="8" t="n">
        <x:f>A1069+1</x:f>
        <x:v>1067</x:v>
      </x:c>
      <x:c r="B1070" s="9" t="n">
        <x:f>A1070*v01_SeasonSeconds/60</x:f>
        <x:v>266.75</x:v>
      </x:c>
      <x:c r="C1070" s="9" t="n">
        <x:f>A1070/4</x:f>
        <x:v>266.75</x:v>
      </x:c>
      <x:c r="D1070" s="8" t="n">
        <x:f>IF(MOD(A1070,4)=0,1,0)</x:f>
        <x:v>0</x:v>
      </x:c>
      <x:c r="E1070" s="8" t="n">
        <x:f>IF(AND(F1069&lt;=9,AS1069&gt;=AR1069),1,0)</x:f>
        <x:v>0</x:v>
      </x:c>
      <x:c r="F1070" s="8" t="n">
        <x:f>MIN(10,F1069+E1070)</x:f>
        <x:v>5</x:v>
      </x:c>
      <x:c r="G1070" s="8" t="n">
        <x:f>MIN(F1070,9)+1</x:f>
        <x:v>6</x:v>
      </x:c>
      <x:c r="H1070" s="8" t="n">
        <x:f>IF(F1070&lt;=9,1,0)</x:f>
        <x:v>1</x:v>
      </x:c>
      <x:c r="I1070" s="9" t="n">
        <x:f>MIN(10,F1069+IF(AR1069&gt;0,MIN(1,AS1069/AR1069),1))</x:f>
        <x:v>5.396637709495656</x:v>
      </x:c>
      <x:c r="J1070" s="32" t="n">
        <x:f>INDEX(v01_FoodCap,G1070)*Arch_FoodCap*EXP(v01_CapsByProject*SUMPRODUCT((Cap_Point&lt;=I1070)*(Cap_Kind="Food")*Cap_Ln))</x:f>
        <x:v>500</x:v>
      </x:c>
      <x:c r="K1070" s="32" t="n">
        <x:f>J1070*MIN(1,v01_LeanBase*EXP(v01_CapsByProject*SUMPRODUCT((Cap_Point&lt;=I1070)*(Cap_Kind="Lean")*Cap_Ln)))</x:f>
        <x:v>500</x:v>
      </x:c>
      <x:c r="L1070" s="10" t="n">
        <x:f>INDEX(v01_HousingCap,G1070)*EXP(v01_CapsByProject*SUMPRODUCT((Cap_Point&lt;=I1070)*(Cap_Kind="Housing")*Cap_Ln))</x:f>
        <x:v>800</x:v>
      </x:c>
      <x:c r="M1070" s="10" t="n">
        <x:f>INDEX(v01_GroupCap,G1070)*v01_CohesionFactor*EXP(v01_CapsByProject*SUMPRODUCT((Cap_Point&lt;=I1070)*(Cap_Kind="Group")*Cap_Ln))</x:f>
        <x:v>10000</x:v>
      </x:c>
      <x:c r="N1070" s="32" t="n">
        <x:f>MIN(J1070,L1070,M1070)</x:f>
        <x:v>500</x:v>
      </x:c>
      <x:c r="O1070" s="10" t="n">
        <x:f>AE1069*N1070</x:f>
        <x:v>8000</x:v>
      </x:c>
      <x:c r="P1070" s="9" t="n">
        <x:f>MIN(1,(AB1069/(AE1069*IF(v01_GroupInCrowding=1,N1070,MIN(J1070,L1070))))^v01_CrowdingExp)</x:f>
        <x:v>0.030801367426499287</x:v>
      </x:c>
      <x:c r="Q1070" s="9" t="n">
        <x:f>IF(D1070=1,INDEX(v01_WinterMult,G1070),1)</x:f>
        <x:v>1</x:v>
      </x:c>
      <x:c r="R1070" s="9" t="n">
        <x:f>H1070*Z1069*v01_WomenShare*v01_BaseFertility*INDEX(v01_FertMult,G1070)*Arch_Fertility*(1-P1070)</x:f>
        <x:v>60.25200147854567</x:v>
      </x:c>
      <x:c r="S1070" s="9" t="n">
        <x:f>H1070*Y1069*INDEX(v01_MortChild,G1070)/4*Q1070</x:f>
        <x:v>11.925998223153757</x:v>
      </x:c>
      <x:c r="T1070" s="9" t="n">
        <x:f>H1070*Z1069*INDEX(v01_MortAdult,G1070)*Arch_AdultMort/4*Q1070</x:f>
        <x:v>4.709607930869971</x:v>
      </x:c>
      <x:c r="U1070" s="9" t="n">
        <x:f>H1070*AA1069*INDEX(v01_MortElder,G1070)/4*Q1070</x:f>
        <x:v>10.305563739906232</x:v>
      </x:c>
      <x:c r="V1070" s="9" t="n">
        <x:f>H1070*MAX(0,AB1069-O1070)*v01_OvercapLoss</x:f>
        <x:v>0</x:v>
      </x:c>
      <x:c r="W1070" s="9" t="n">
        <x:f>H1070*Y1069/(v01_ChildYears*4)</x:f>
        <x:v>34.07428063758216</x:v>
      </x:c>
      <x:c r="X1070" s="9" t="n">
        <x:f>H1070*Z1069/(v01_AdultYears*4)</x:f>
        <x:v>15.19228364796765</x:v>
      </x:c>
      <x:c r="Y1070" s="32" t="n">
        <x:f>Y1069+R1070-S1070-W1070-Y1069*V1070/AB1069</x:f>
        <x:v>1922.4114383224107</x:v>
      </x:c>
      <x:c r="Z1070" s="32" t="n">
        <x:f>Z1069+W1070-X1070-T1070-Z1069*V1070/AB1069</x:f>
        <x:v>1898.0155614067335</x:v>
      </x:c>
      <x:c r="AA1070" s="32" t="n">
        <x:f>AA1069+X1070-U1070-AA1069*V1070/AB1069</x:f>
        <x:v>691.9243025684768</x:v>
      </x:c>
      <x:c r="AB1070" s="10" t="n">
        <x:f>Y1070+Z1070+AA1070</x:f>
        <x:v>4512.35130229762</x:v>
      </x:c>
      <x:c r="AC1070" s="8" t="n">
        <x:f>IF(AND(v01_WinterTrigger=1,D1070=1,AB1069/AE1069&gt;=K1070),1,0)</x:f>
        <x:v>0</x:v>
      </x:c>
      <x:c r="AD1070" s="8" t="n">
        <x:f>H1070*IF(AND(OR(AB1069/AE1069&gt;=v01_FissionTrigger*N1070,AC1070=1),AB1069/AE1069*v01_DaughterShare&gt;=v01_MinDaughter),MAX(1,ROUND(AE1069*v01_FissionRate,0)),0)</x:f>
        <x:v>0</x:v>
      </x:c>
      <x:c r="AE1070" s="8" t="n">
        <x:f>IF(H1070=1,MAX(1,MIN(INDEX(v01_Smax,G1070),AE1069+AD1070)),AE1069)</x:f>
        <x:v>16</x:v>
      </x:c>
      <x:c r="AF1070" s="8" t="n">
        <x:f>MAX(0,AE1070-AE1069)</x:f>
        <x:v>0</x:v>
      </x:c>
      <x:c r="AG1070" s="9" t="str">
        <x:f>IF(AF1070&gt;0,B1070,"")</x:f>
      </x:c>
      <x:c r="AH1070" s="9" t="n">
        <x:f>IF(F1070&gt;=1,1,(1+v01_LowTiesShare*(AE1070-1))/AE1070)</x:f>
        <x:v>1</x:v>
      </x:c>
      <x:c r="AI1070" s="32" t="n">
        <x:f>(Z1070+v01_ElderCommons*INDEX(LM_Elder,G1070)*AA1070)*AH1070</x:f>
        <x:v>4218.800225147603</x:v>
      </x:c>
      <x:c r="AJ1070" s="32" t="n">
        <x:f>H1070*v01_CommonsCoef*AI1070^v01_CommonsExp*INDEX(LM_Commons,G1070)</x:f>
        <x:v>961.2618163033231</x:v>
      </x:c>
      <x:c r="AK1070" s="32" t="n">
        <x:f>H1070*v01_RoleScale*Arch_Roles*(AE1070*(INDEX(v01_ElderRolePerSett,G1070)*v01_OutElder*INDEX(LM_Elder,G1070)+INDEX(v01_ShamanPerSett,G1070)*v01_OutShaman)+Z1070*(INDEX(v01_PriestShare,G1070)*v01_OutPriest+INDEX(v01_ScribeShare,G1070)*v01_OutScribe*INDEX(LM_Scribe,G1070)+INDEX(v01_ScholarShare,G1070)*v01_OutScholar*INDEX(LM_Scholar,G1070)+INDEX(v01_ResearcherShare,G1070)*v01_OutResearcher*INDEX(LM_Researcher,G1070)))</x:f>
        <x:v>185.42651379623504</x:v>
      </x:c>
      <x:c r="AL1070" s="32" t="n">
        <x:f>H1070*v01_RoleScale*Arch_Roles*AE1070*INDEX(v01_MonasteryPerSett,G1070)*v01_OutMonastery*INDEX(LM_Monastery,G1070)</x:f>
        <x:v>5.034282471216728</x:v>
      </x:c>
      <x:c r="AM1070" s="32" t="n">
        <x:f>(AJ1070+AK1070+AL1070)/4*INDEX(LM_All,G1070)*INDEX(v01_Boon,G1070)*Arch_Insight</x:f>
        <x:v>415.02340595126174</x:v>
      </x:c>
      <x:c r="AN1070" s="32" t="n">
        <x:f>H1070*(v01_KHPerAdult*Z1070+v01_KHOfCommons*AJ1070/4*INDEX(LM_All,G1070))*v01_KHUsable*Arch_KH</x:f>
        <x:v>66.43054464923567</x:v>
      </x:c>
      <x:c r="AO1070" s="32" t="n">
        <x:f>MIN(AP1069+AN1070,AM1070*v01_KHMaxRatio)</x:f>
        <x:v>66.43054464923567</x:v>
      </x:c>
      <x:c r="AP1070" s="32" t="n">
        <x:f>AP1069+AN1070-AO1070</x:f>
        <x:v>0</x:v>
      </x:c>
      <x:c r="AQ1070" s="32" t="n">
        <x:f>AM1070+AO1070</x:f>
        <x:v>481.4539506004974</x:v>
      </x:c>
      <x:c r="AR1070" s="10" t="n">
        <x:f>IF(H1070=1,INDEX(v01_Req,G1070),0)</x:f>
        <x:v>47951.22698</x:v>
      </x:c>
      <x:c r="AS1070" s="32" t="n">
        <x:f>IF(H1070=1,IF(E1070=1,AS1069-AR1069,AS1069)+AQ1070,0)</x:f>
        <x:v>19500.718787454007</x:v>
      </x:c>
      <x:c r="AT1070" s="11" t="n">
        <x:f>IF(AR1070&gt;0,MIN(1,AS1070/AR1070),1)</x:f>
        <x:v>0.40667820232394825</x:v>
      </x:c>
      <x:c r="AU1070" s="10" t="n">
        <x:f>AB1070/INDEX(v01_RepScale,G1070)</x:f>
        <x:v>180.49405209190482</x:v>
      </x:c>
      <x:c r="AV1070" s="32" t="n">
        <x:f>AM1070*60/v01_SeasonSeconds</x:f>
        <x:v>1660.093623805047</x:v>
      </x:c>
    </x:row>
    <x:row r="1071">
      <x:c r="A1071" s="8" t="n">
        <x:f>A1070+1</x:f>
        <x:v>1068</x:v>
      </x:c>
      <x:c r="B1071" s="9" t="n">
        <x:f>A1071*v01_SeasonSeconds/60</x:f>
        <x:v>267</x:v>
      </x:c>
      <x:c r="C1071" s="9" t="n">
        <x:f>A1071/4</x:f>
        <x:v>267</x:v>
      </x:c>
      <x:c r="D1071" s="8" t="n">
        <x:f>IF(MOD(A1071,4)=0,1,0)</x:f>
        <x:v>1</x:v>
      </x:c>
      <x:c r="E1071" s="8" t="n">
        <x:f>IF(AND(F1070&lt;=9,AS1070&gt;=AR1070),1,0)</x:f>
        <x:v>0</x:v>
      </x:c>
      <x:c r="F1071" s="8" t="n">
        <x:f>MIN(10,F1070+E1071)</x:f>
        <x:v>5</x:v>
      </x:c>
      <x:c r="G1071" s="8" t="n">
        <x:f>MIN(F1071,9)+1</x:f>
        <x:v>6</x:v>
      </x:c>
      <x:c r="H1071" s="8" t="n">
        <x:f>IF(F1071&lt;=9,1,0)</x:f>
        <x:v>1</x:v>
      </x:c>
      <x:c r="I1071" s="9" t="n">
        <x:f>MIN(10,F1070+IF(AR1070&gt;0,MIN(1,AS1070/AR1070),1))</x:f>
        <x:v>5.406678202323948</x:v>
      </x:c>
      <x:c r="J1071" s="32" t="n">
        <x:f>INDEX(v01_FoodCap,G1071)*Arch_FoodCap*EXP(v01_CapsByProject*SUMPRODUCT((Cap_Point&lt;=I1071)*(Cap_Kind="Food")*Cap_Ln))</x:f>
        <x:v>500</x:v>
      </x:c>
      <x:c r="K1071" s="32" t="n">
        <x:f>J1071*MIN(1,v01_LeanBase*EXP(v01_CapsByProject*SUMPRODUCT((Cap_Point&lt;=I1071)*(Cap_Kind="Lean")*Cap_Ln)))</x:f>
        <x:v>500</x:v>
      </x:c>
      <x:c r="L1071" s="10" t="n">
        <x:f>INDEX(v01_HousingCap,G1071)*EXP(v01_CapsByProject*SUMPRODUCT((Cap_Point&lt;=I1071)*(Cap_Kind="Housing")*Cap_Ln))</x:f>
        <x:v>800</x:v>
      </x:c>
      <x:c r="M1071" s="10" t="n">
        <x:f>INDEX(v01_GroupCap,G1071)*v01_CohesionFactor*EXP(v01_CapsByProject*SUMPRODUCT((Cap_Point&lt;=I1071)*(Cap_Kind="Group")*Cap_Ln))</x:f>
        <x:v>10000</x:v>
      </x:c>
      <x:c r="N1071" s="32" t="n">
        <x:f>MIN(J1071,L1071,M1071)</x:f>
        <x:v>500</x:v>
      </x:c>
      <x:c r="O1071" s="10" t="n">
        <x:f>AE1070*N1071</x:f>
        <x:v>8000</x:v>
      </x:c>
      <x:c r="P1071" s="9" t="n">
        <x:f>MIN(1,(AB1070/(AE1070*IF(v01_GroupInCrowding=1,N1071,MIN(J1071,L1071))))^v01_CrowdingExp)</x:f>
        <x:v>0.03220160362094361</x:v>
      </x:c>
      <x:c r="Q1071" s="9" t="n">
        <x:f>IF(D1071=1,INDEX(v01_WinterMult,G1071),1)</x:f>
        <x:v>1</x:v>
      </x:c>
      <x:c r="R1071" s="9" t="n">
        <x:f>H1071*Z1070*v01_WomenShare*v01_BaseFertility*INDEX(v01_FertMult,G1071)*Arch_Fertility*(1-P1071)</x:f>
        <x:v>60.61758174885372</x:v>
      </x:c>
      <x:c r="S1071" s="9" t="n">
        <x:f>H1071*Y1070*INDEX(v01_MortChild,G1071)/4*Q1071</x:f>
        <x:v>12.015071489515067</x:v>
      </x:c>
      <x:c r="T1071" s="9" t="n">
        <x:f>H1071*Z1070*INDEX(v01_MortAdult,G1071)*Arch_AdultMort/4*Q1071</x:f>
        <x:v>4.745038903516834</x:v>
      </x:c>
      <x:c r="U1071" s="9" t="n">
        <x:f>H1071*AA1070*INDEX(v01_MortElder,G1071)/4*Q1071</x:f>
        <x:v>10.378864538527152</x:v>
      </x:c>
      <x:c r="V1071" s="9" t="n">
        <x:f>H1071*MAX(0,AB1070-O1071)*v01_OvercapLoss</x:f>
        <x:v>0</x:v>
      </x:c>
      <x:c r="W1071" s="9" t="n">
        <x:f>H1071*Y1070/(v01_ChildYears*4)</x:f>
        <x:v>34.32877568432876</x:v>
      </x:c>
      <x:c r="X1071" s="9" t="n">
        <x:f>H1071*Z1070/(v01_AdultYears*4)</x:f>
        <x:v>15.306577108118818</x:v>
      </x:c>
      <x:c r="Y1071" s="32" t="n">
        <x:f>Y1070+R1071-S1071-W1071-Y1070*V1071/AB1070</x:f>
        <x:v>1936.6851728974207</x:v>
      </x:c>
      <x:c r="Z1071" s="32" t="n">
        <x:f>Z1070+W1071-X1071-T1071-Z1070*V1071/AB1070</x:f>
        <x:v>1912.2927210794267</x:v>
      </x:c>
      <x:c r="AA1071" s="32" t="n">
        <x:f>AA1070+X1071-U1071-AA1070*V1071/AB1070</x:f>
        <x:v>696.8520151380685</x:v>
      </x:c>
      <x:c r="AB1071" s="10" t="n">
        <x:f>Y1071+Z1071+AA1071</x:f>
        <x:v>4545.8299091149165</x:v>
      </x:c>
      <x:c r="AC1071" s="8" t="n">
        <x:f>IF(AND(v01_WinterTrigger=1,D1071=1,AB1070/AE1070&gt;=K1071),1,0)</x:f>
        <x:v>0</x:v>
      </x:c>
      <x:c r="AD1071" s="8" t="n">
        <x:f>H1071*IF(AND(OR(AB1070/AE1070&gt;=v01_FissionTrigger*N1071,AC1071=1),AB1070/AE1070*v01_DaughterShare&gt;=v01_MinDaughter),MAX(1,ROUND(AE1070*v01_FissionRate,0)),0)</x:f>
        <x:v>0</x:v>
      </x:c>
      <x:c r="AE1071" s="8" t="n">
        <x:f>IF(H1071=1,MAX(1,MIN(INDEX(v01_Smax,G1071),AE1070+AD1071)),AE1070)</x:f>
        <x:v>16</x:v>
      </x:c>
      <x:c r="AF1071" s="8" t="n">
        <x:f>MAX(0,AE1071-AE1070)</x:f>
        <x:v>0</x:v>
      </x:c>
      <x:c r="AG1071" s="9" t="str">
        <x:f>IF(AF1071&gt;0,B1071,"")</x:f>
      </x:c>
      <x:c r="AH1071" s="9" t="n">
        <x:f>IF(F1071&gt;=1,1,(1+v01_LowTiesShare*(AE1071-1))/AE1071)</x:f>
        <x:v>1</x:v>
      </x:c>
      <x:c r="AI1071" s="32" t="n">
        <x:f>(Z1071+v01_ElderCommons*INDEX(LM_Elder,G1071)*AA1071)*AH1071</x:f>
        <x:v>4249.605435239077</x:v>
      </x:c>
      <x:c r="AJ1071" s="32" t="n">
        <x:f>H1071*v01_CommonsCoef*AI1071^v01_CommonsExp*INDEX(LM_Commons,G1071)</x:f>
        <x:v>967.224730940749</x:v>
      </x:c>
      <x:c r="AK1071" s="32" t="n">
        <x:f>H1071*v01_RoleScale*Arch_Roles*(AE1071*(INDEX(v01_ElderRolePerSett,G1071)*v01_OutElder*INDEX(LM_Elder,G1071)+INDEX(v01_ShamanPerSett,G1071)*v01_OutShaman)+Z1071*(INDEX(v01_PriestShare,G1071)*v01_OutPriest+INDEX(v01_ScribeShare,G1071)*v01_OutScribe*INDEX(LM_Scribe,G1071)+INDEX(v01_ScholarShare,G1071)*v01_OutScholar*INDEX(LM_Scholar,G1071)+INDEX(v01_ResearcherShare,G1071)*v01_OutResearcher*INDEX(LM_Researcher,G1071)))</x:f>
        <x:v>186.4389479181164</x:v>
      </x:c>
      <x:c r="AL1071" s="32" t="n">
        <x:f>H1071*v01_RoleScale*Arch_Roles*AE1071*INDEX(v01_MonasteryPerSett,G1071)*v01_OutMonastery*INDEX(LM_Monastery,G1071)</x:f>
        <x:v>5.034282471216728</x:v>
      </x:c>
      <x:c r="AM1071" s="32" t="n">
        <x:f>(AJ1071+AK1071+AL1071)/4*INDEX(LM_All,G1071)*INDEX(v01_Boon,G1071)*Arch_Insight</x:f>
        <x:v>417.53697386092</x:v>
      </x:c>
      <x:c r="AN1071" s="32" t="n">
        <x:f>H1071*(v01_KHPerAdult*Z1071+v01_KHOfCommons*AJ1071/4*INDEX(LM_All,G1071))*v01_KHUsable*Arch_KH</x:f>
        <x:v>66.93024523777993</x:v>
      </x:c>
      <x:c r="AO1071" s="32" t="n">
        <x:f>MIN(AP1070+AN1071,AM1071*v01_KHMaxRatio)</x:f>
        <x:v>66.93024523777993</x:v>
      </x:c>
      <x:c r="AP1071" s="32" t="n">
        <x:f>AP1070+AN1071-AO1071</x:f>
        <x:v>0</x:v>
      </x:c>
      <x:c r="AQ1071" s="32" t="n">
        <x:f>AM1071+AO1071</x:f>
        <x:v>484.46721909869996</x:v>
      </x:c>
      <x:c r="AR1071" s="10" t="n">
        <x:f>IF(H1071=1,INDEX(v01_Req,G1071),0)</x:f>
        <x:v>47951.22698</x:v>
      </x:c>
      <x:c r="AS1071" s="32" t="n">
        <x:f>IF(H1071=1,IF(E1071=1,AS1070-AR1070,AS1070)+AQ1071,0)</x:f>
        <x:v>19985.186006552707</x:v>
      </x:c>
      <x:c r="AT1071" s="11" t="n">
        <x:f>IF(AR1071&gt;0,MIN(1,AS1071/AR1071),1)</x:f>
        <x:v>0.41678153543158214</x:v>
      </x:c>
      <x:c r="AU1071" s="10" t="n">
        <x:f>AB1071/INDEX(v01_RepScale,G1071)</x:f>
        <x:v>181.83319636459666</x:v>
      </x:c>
      <x:c r="AV1071" s="32" t="n">
        <x:f>AM1071*60/v01_SeasonSeconds</x:f>
        <x:v>1670.14789544368</x:v>
      </x:c>
    </x:row>
    <x:row r="1072">
      <x:c r="A1072" s="8" t="n">
        <x:f>A1071+1</x:f>
        <x:v>1069</x:v>
      </x:c>
      <x:c r="B1072" s="9" t="n">
        <x:f>A1072*v01_SeasonSeconds/60</x:f>
        <x:v>267.25</x:v>
      </x:c>
      <x:c r="C1072" s="9" t="n">
        <x:f>A1072/4</x:f>
        <x:v>267.25</x:v>
      </x:c>
      <x:c r="D1072" s="8" t="n">
        <x:f>IF(MOD(A1072,4)=0,1,0)</x:f>
        <x:v>0</x:v>
      </x:c>
      <x:c r="E1072" s="8" t="n">
        <x:f>IF(AND(F1071&lt;=9,AS1071&gt;=AR1071),1,0)</x:f>
        <x:v>0</x:v>
      </x:c>
      <x:c r="F1072" s="8" t="n">
        <x:f>MIN(10,F1071+E1072)</x:f>
        <x:v>5</x:v>
      </x:c>
      <x:c r="G1072" s="8" t="n">
        <x:f>MIN(F1072,9)+1</x:f>
        <x:v>6</x:v>
      </x:c>
      <x:c r="H1072" s="8" t="n">
        <x:f>IF(F1072&lt;=9,1,0)</x:f>
        <x:v>1</x:v>
      </x:c>
      <x:c r="I1072" s="9" t="n">
        <x:f>MIN(10,F1071+IF(AR1071&gt;0,MIN(1,AS1071/AR1071),1))</x:f>
        <x:v>5.416781535431582</x:v>
      </x:c>
      <x:c r="J1072" s="32" t="n">
        <x:f>INDEX(v01_FoodCap,G1072)*Arch_FoodCap*EXP(v01_CapsByProject*SUMPRODUCT((Cap_Point&lt;=I1072)*(Cap_Kind="Food")*Cap_Ln))</x:f>
        <x:v>500</x:v>
      </x:c>
      <x:c r="K1072" s="32" t="n">
        <x:f>J1072*MIN(1,v01_LeanBase*EXP(v01_CapsByProject*SUMPRODUCT((Cap_Point&lt;=I1072)*(Cap_Kind="Lean")*Cap_Ln)))</x:f>
        <x:v>500</x:v>
      </x:c>
      <x:c r="L1072" s="10" t="n">
        <x:f>INDEX(v01_HousingCap,G1072)*EXP(v01_CapsByProject*SUMPRODUCT((Cap_Point&lt;=I1072)*(Cap_Kind="Housing")*Cap_Ln))</x:f>
        <x:v>800</x:v>
      </x:c>
      <x:c r="M1072" s="10" t="n">
        <x:f>INDEX(v01_GroupCap,G1072)*v01_CohesionFactor*EXP(v01_CapsByProject*SUMPRODUCT((Cap_Point&lt;=I1072)*(Cap_Kind="Group")*Cap_Ln))</x:f>
        <x:v>10000</x:v>
      </x:c>
      <x:c r="N1072" s="32" t="n">
        <x:f>MIN(J1072,L1072,M1072)</x:f>
        <x:v>500</x:v>
      </x:c>
      <x:c r="O1072" s="10" t="n">
        <x:f>AE1071*N1072</x:f>
        <x:v>8000</x:v>
      </x:c>
      <x:c r="P1072" s="9" t="n">
        <x:f>MIN(1,(AB1071/(AE1071*IF(v01_GroupInCrowding=1,N1072,MIN(J1072,L1072))))^v01_CrowdingExp)</x:f>
        <x:v>0.03366194208633745</x:v>
      </x:c>
      <x:c r="Q1072" s="9" t="n">
        <x:f>IF(D1072=1,INDEX(v01_WinterMult,G1072),1)</x:f>
        <x:v>1</x:v>
      </x:c>
      <x:c r="R1072" s="9" t="n">
        <x:f>H1072*Z1071*v01_WomenShare*v01_BaseFertility*INDEX(v01_FertMult,G1072)*Arch_Fertility*(1-P1072)</x:f>
        <x:v>60.98140073026077</x:v>
      </x:c>
      <x:c r="S1072" s="9" t="n">
        <x:f>H1072*Y1071*INDEX(v01_MortChild,G1072)/4*Q1072</x:f>
        <x:v>12.10428233060888</x:v>
      </x:c>
      <x:c r="T1072" s="9" t="n">
        <x:f>H1072*Z1071*INDEX(v01_MortAdult,G1072)*Arch_AdultMort/4*Q1072</x:f>
        <x:v>4.780731802698567</x:v>
      </x:c>
      <x:c r="U1072" s="9" t="n">
        <x:f>H1072*AA1071*INDEX(v01_MortElder,G1072)/4*Q1072</x:f>
        <x:v>10.452780227071027</x:v>
      </x:c>
      <x:c r="V1072" s="9" t="n">
        <x:f>H1072*MAX(0,AB1071-O1072)*v01_OvercapLoss</x:f>
        <x:v>0</x:v>
      </x:c>
      <x:c r="W1072" s="9" t="n">
        <x:f>H1072*Y1071/(v01_ChildYears*4)</x:f>
        <x:v>34.583663801739654</x:v>
      </x:c>
      <x:c r="X1072" s="9" t="n">
        <x:f>H1072*Z1071/(v01_AdultYears*4)</x:f>
        <x:v>15.421715492576022</x:v>
      </x:c>
      <x:c r="Y1072" s="32" t="n">
        <x:f>Y1071+R1072-S1072-W1072-Y1071*V1072/AB1071</x:f>
        <x:v>1950.9786274953328</x:v>
      </x:c>
      <x:c r="Z1072" s="32" t="n">
        <x:f>Z1071+W1072-X1072-T1072-Z1071*V1072/AB1071</x:f>
        <x:v>1926.673937585892</x:v>
      </x:c>
      <x:c r="AA1072" s="32" t="n">
        <x:f>AA1071+X1072-U1072-AA1071*V1072/AB1071</x:f>
        <x:v>701.8209504035735</x:v>
      </x:c>
      <x:c r="AB1072" s="10" t="n">
        <x:f>Y1072+Z1072+AA1072</x:f>
        <x:v>4579.473515484799</x:v>
      </x:c>
      <x:c r="AC1072" s="8" t="n">
        <x:f>IF(AND(v01_WinterTrigger=1,D1072=1,AB1071/AE1071&gt;=K1072),1,0)</x:f>
        <x:v>0</x:v>
      </x:c>
      <x:c r="AD1072" s="8" t="n">
        <x:f>H1072*IF(AND(OR(AB1071/AE1071&gt;=v01_FissionTrigger*N1072,AC1072=1),AB1071/AE1071*v01_DaughterShare&gt;=v01_MinDaughter),MAX(1,ROUND(AE1071*v01_FissionRate,0)),0)</x:f>
        <x:v>0</x:v>
      </x:c>
      <x:c r="AE1072" s="8" t="n">
        <x:f>IF(H1072=1,MAX(1,MIN(INDEX(v01_Smax,G1072),AE1071+AD1072)),AE1071)</x:f>
        <x:v>16</x:v>
      </x:c>
      <x:c r="AF1072" s="8" t="n">
        <x:f>MAX(0,AE1072-AE1071)</x:f>
        <x:v>0</x:v>
      </x:c>
      <x:c r="AG1072" s="9" t="str">
        <x:f>IF(AF1072&gt;0,B1072,"")</x:f>
      </x:c>
      <x:c r="AH1072" s="9" t="n">
        <x:f>IF(F1072&gt;=1,1,(1+v01_LowTiesShare*(AE1072-1))/AE1072)</x:f>
        <x:v>1</x:v>
      </x:c>
      <x:c r="AI1072" s="32" t="n">
        <x:f>(Z1072+v01_ElderCommons*INDEX(LM_Elder,G1072)*AA1072)*AH1072</x:f>
        <x:v>4280.65296728974</x:v>
      </x:c>
      <x:c r="AJ1072" s="32" t="n">
        <x:f>H1072*v01_CommonsCoef*AI1072^v01_CommonsExp*INDEX(LM_Commons,G1072)</x:f>
        <x:v>973.2279946517413</x:v>
      </x:c>
      <x:c r="AK1072" s="32" t="n">
        <x:f>H1072*v01_RoleScale*Arch_Roles*(AE1072*(INDEX(v01_ElderRolePerSett,G1072)*v01_OutElder*INDEX(LM_Elder,G1072)+INDEX(v01_ShamanPerSett,G1072)*v01_OutShaman)+Z1072*(INDEX(v01_PriestShare,G1072)*v01_OutPriest+INDEX(v01_ScribeShare,G1072)*v01_OutScribe*INDEX(LM_Scribe,G1072)+INDEX(v01_ScholarShare,G1072)*v01_OutScholar*INDEX(LM_Scholar,G1072)+INDEX(v01_ResearcherShare,G1072)*v01_OutResearcher*INDEX(LM_Researcher,G1072)))</x:f>
        <x:v>187.458761006931</x:v>
      </x:c>
      <x:c r="AL1072" s="32" t="n">
        <x:f>H1072*v01_RoleScale*Arch_Roles*AE1072*INDEX(v01_MonasteryPerSett,G1072)*v01_OutMonastery*INDEX(LM_Monastery,G1072)</x:f>
        <x:v>5.034282471216728</x:v>
      </x:c>
      <x:c r="AM1072" s="32" t="n">
        <x:f>(AJ1072+AK1072+AL1072)/4*INDEX(LM_All,G1072)*INDEX(v01_Boon,G1072)*Arch_Insight</x:f>
        <x:v>420.06774057670674</x:v>
      </x:c>
      <x:c r="AN1072" s="32" t="n">
        <x:f>H1072*(v01_KHPerAdult*Z1072+v01_KHOfCommons*AJ1072/4*INDEX(LM_All,G1072))*v01_KHUsable*Arch_KH</x:f>
        <x:v>67.43358781550621</x:v>
      </x:c>
      <x:c r="AO1072" s="32" t="n">
        <x:f>MIN(AP1071+AN1072,AM1072*v01_KHMaxRatio)</x:f>
        <x:v>67.43358781550621</x:v>
      </x:c>
      <x:c r="AP1072" s="32" t="n">
        <x:f>AP1071+AN1072-AO1072</x:f>
        <x:v>0</x:v>
      </x:c>
      <x:c r="AQ1072" s="32" t="n">
        <x:f>AM1072+AO1072</x:f>
        <x:v>487.50132839221294</x:v>
      </x:c>
      <x:c r="AR1072" s="10" t="n">
        <x:f>IF(H1072=1,INDEX(v01_Req,G1072),0)</x:f>
        <x:v>47951.22698</x:v>
      </x:c>
      <x:c r="AS1072" s="32" t="n">
        <x:f>IF(H1072=1,IF(E1072=1,AS1071-AR1071,AS1071)+AQ1072,0)</x:f>
        <x:v>20472.68733494492</x:v>
      </x:c>
      <x:c r="AT1072" s="11" t="n">
        <x:f>IF(AR1072&gt;0,MIN(1,AS1072/AR1072),1)</x:f>
        <x:v>0.4269481434434177</x:v>
      </x:c>
      <x:c r="AU1072" s="10" t="n">
        <x:f>AB1072/INDEX(v01_RepScale,G1072)</x:f>
        <x:v>183.17894061939194</x:v>
      </x:c>
      <x:c r="AV1072" s="32" t="n">
        <x:f>AM1072*60/v01_SeasonSeconds</x:f>
        <x:v>1680.270962306827</x:v>
      </x:c>
    </x:row>
    <x:row r="1073">
      <x:c r="A1073" s="8" t="n">
        <x:f>A1072+1</x:f>
        <x:v>1070</x:v>
      </x:c>
      <x:c r="B1073" s="9" t="n">
        <x:f>A1073*v01_SeasonSeconds/60</x:f>
        <x:v>267.5</x:v>
      </x:c>
      <x:c r="C1073" s="9" t="n">
        <x:f>A1073/4</x:f>
        <x:v>267.5</x:v>
      </x:c>
      <x:c r="D1073" s="8" t="n">
        <x:f>IF(MOD(A1073,4)=0,1,0)</x:f>
        <x:v>0</x:v>
      </x:c>
      <x:c r="E1073" s="8" t="n">
        <x:f>IF(AND(F1072&lt;=9,AS1072&gt;=AR1072),1,0)</x:f>
        <x:v>0</x:v>
      </x:c>
      <x:c r="F1073" s="8" t="n">
        <x:f>MIN(10,F1072+E1073)</x:f>
        <x:v>5</x:v>
      </x:c>
      <x:c r="G1073" s="8" t="n">
        <x:f>MIN(F1073,9)+1</x:f>
        <x:v>6</x:v>
      </x:c>
      <x:c r="H1073" s="8" t="n">
        <x:f>IF(F1073&lt;=9,1,0)</x:f>
        <x:v>1</x:v>
      </x:c>
      <x:c r="I1073" s="9" t="n">
        <x:f>MIN(10,F1072+IF(AR1072&gt;0,MIN(1,AS1072/AR1072),1))</x:f>
        <x:v>5.4269481434434175</x:v>
      </x:c>
      <x:c r="J1073" s="32" t="n">
        <x:f>INDEX(v01_FoodCap,G1073)*Arch_FoodCap*EXP(v01_CapsByProject*SUMPRODUCT((Cap_Point&lt;=I1073)*(Cap_Kind="Food")*Cap_Ln))</x:f>
        <x:v>500</x:v>
      </x:c>
      <x:c r="K1073" s="32" t="n">
        <x:f>J1073*MIN(1,v01_LeanBase*EXP(v01_CapsByProject*SUMPRODUCT((Cap_Point&lt;=I1073)*(Cap_Kind="Lean")*Cap_Ln)))</x:f>
        <x:v>500</x:v>
      </x:c>
      <x:c r="L1073" s="10" t="n">
        <x:f>INDEX(v01_HousingCap,G1073)*EXP(v01_CapsByProject*SUMPRODUCT((Cap_Point&lt;=I1073)*(Cap_Kind="Housing")*Cap_Ln))</x:f>
        <x:v>800</x:v>
      </x:c>
      <x:c r="M1073" s="10" t="n">
        <x:f>INDEX(v01_GroupCap,G1073)*v01_CohesionFactor*EXP(v01_CapsByProject*SUMPRODUCT((Cap_Point&lt;=I1073)*(Cap_Kind="Group")*Cap_Ln))</x:f>
        <x:v>10000</x:v>
      </x:c>
      <x:c r="N1073" s="32" t="n">
        <x:f>MIN(J1073,L1073,M1073)</x:f>
        <x:v>500</x:v>
      </x:c>
      <x:c r="O1073" s="10" t="n">
        <x:f>AE1072*N1073</x:f>
        <x:v>8000</x:v>
      </x:c>
      <x:c r="P1073" s="9" t="n">
        <x:f>MIN(1,(AB1072/(AE1072*IF(v01_GroupInCrowding=1,N1073,MIN(J1073,L1073))))^v01_CrowdingExp)</x:f>
        <x:v>0.03518466239767735</x:v>
      </x:c>
      <x:c r="Q1073" s="9" t="n">
        <x:f>IF(D1073=1,INDEX(v01_WinterMult,G1073),1)</x:f>
        <x:v>1</x:v>
      </x:c>
      <x:c r="R1073" s="9" t="n">
        <x:f>H1073*Z1072*v01_WomenShare*v01_BaseFertility*INDEX(v01_FertMult,G1073)*Arch_Fertility*(1-P1073)</x:f>
        <x:v>61.34319066287045</x:v>
      </x:c>
      <x:c r="S1073" s="9" t="n">
        <x:f>H1073*Y1072*INDEX(v01_MortChild,G1073)/4*Q1073</x:f>
        <x:v>12.193616421845832</x:v>
      </x:c>
      <x:c r="T1073" s="9" t="n">
        <x:f>H1073*Z1072*INDEX(v01_MortAdult,G1073)*Arch_AdultMort/4*Q1073</x:f>
        <x:v>4.81668484396473</x:v>
      </x:c>
      <x:c r="U1073" s="9" t="n">
        <x:f>H1073*AA1072*INDEX(v01_MortElder,G1073)/4*Q1073</x:f>
        <x:v>10.527314256053602</x:v>
      </x:c>
      <x:c r="V1073" s="9" t="n">
        <x:f>H1073*MAX(0,AB1072-O1073)*v01_OvercapLoss</x:f>
        <x:v>0</x:v>
      </x:c>
      <x:c r="W1073" s="9" t="n">
        <x:f>H1073*Y1072/(v01_ChildYears*4)</x:f>
        <x:v>34.83890406241666</x:v>
      </x:c>
      <x:c r="X1073" s="9" t="n">
        <x:f>H1073*Z1072/(v01_AdultYears*4)</x:f>
        <x:v>15.537693045047515</x:v>
      </x:c>
      <x:c r="Y1073" s="32" t="n">
        <x:f>Y1072+R1073-S1073-W1073-Y1072*V1073/AB1072</x:f>
        <x:v>1965.2892976739406</x:v>
      </x:c>
      <x:c r="Z1073" s="32" t="n">
        <x:f>Z1072+W1073-X1073-T1073-Z1072*V1073/AB1072</x:f>
        <x:v>1941.1584637592964</x:v>
      </x:c>
      <x:c r="AA1073" s="32" t="n">
        <x:f>AA1072+X1073-U1073-AA1072*V1073/AB1072</x:f>
        <x:v>706.8313291925674</x:v>
      </x:c>
      <x:c r="AB1073" s="10" t="n">
        <x:f>Y1073+Z1073+AA1073</x:f>
        <x:v>4613.279090625805</x:v>
      </x:c>
      <x:c r="AC1073" s="8" t="n">
        <x:f>IF(AND(v01_WinterTrigger=1,D1073=1,AB1072/AE1072&gt;=K1073),1,0)</x:f>
        <x:v>0</x:v>
      </x:c>
      <x:c r="AD1073" s="8" t="n">
        <x:f>H1073*IF(AND(OR(AB1072/AE1072&gt;=v01_FissionTrigger*N1073,AC1073=1),AB1072/AE1072*v01_DaughterShare&gt;=v01_MinDaughter),MAX(1,ROUND(AE1072*v01_FissionRate,0)),0)</x:f>
        <x:v>0</x:v>
      </x:c>
      <x:c r="AE1073" s="8" t="n">
        <x:f>IF(H1073=1,MAX(1,MIN(INDEX(v01_Smax,G1073),AE1072+AD1073)),AE1072)</x:f>
        <x:v>16</x:v>
      </x:c>
      <x:c r="AF1073" s="8" t="n">
        <x:f>MAX(0,AE1073-AE1072)</x:f>
        <x:v>0</x:v>
      </x:c>
      <x:c r="AG1073" s="9" t="str">
        <x:f>IF(AF1073&gt;0,B1073,"")</x:f>
      </x:c>
      <x:c r="AH1073" s="9" t="n">
        <x:f>IF(F1073&gt;=1,1,(1+v01_LowTiesShare*(AE1073-1))/AE1073)</x:f>
        <x:v>1</x:v>
      </x:c>
      <x:c r="AI1073" s="32" t="n">
        <x:f>(Z1073+v01_ElderCommons*INDEX(LM_Elder,G1073)*AA1073)*AH1073</x:f>
        <x:v>4311.9428148109655</x:v>
      </x:c>
      <x:c r="AJ1073" s="32" t="n">
        <x:f>H1073*v01_CommonsCoef*AI1073^v01_CommonsExp*INDEX(LM_Commons,G1073)</x:f>
        <x:v>979.2715075745795</x:v>
      </x:c>
      <x:c r="AK1073" s="32" t="n">
        <x:f>H1073*v01_RoleScale*Arch_Roles*(AE1073*(INDEX(v01_ElderRolePerSett,G1073)*v01_OutElder*INDEX(LM_Elder,G1073)+INDEX(v01_ShamanPerSett,G1073)*v01_OutShaman)+Z1073*(INDEX(v01_PriestShare,G1073)*v01_OutPriest+INDEX(v01_ScribeShare,G1073)*v01_OutScribe*INDEX(LM_Scribe,G1073)+INDEX(v01_ScholarShare,G1073)*v01_OutScholar*INDEX(LM_Scholar,G1073)+INDEX(v01_ResearcherShare,G1073)*v01_OutResearcher*INDEX(LM_Researcher,G1073)))</x:f>
        <x:v>188.48590007894722</x:v>
      </x:c>
      <x:c r="AL1073" s="32" t="n">
        <x:f>H1073*v01_RoleScale*Arch_Roles*AE1073*INDEX(v01_MonasteryPerSett,G1073)*v01_OutMonastery*INDEX(LM_Monastery,G1073)</x:f>
        <x:v>5.034282471216728</x:v>
      </x:c>
      <x:c r="AM1073" s="32" t="n">
        <x:f>(AJ1073+AK1073+AL1073)/4*INDEX(LM_All,G1073)*INDEX(v01_Boon,G1073)*Arch_Insight</x:f>
        <x:v>422.6156510207419</x:v>
      </x:c>
      <x:c r="AN1073" s="32" t="n">
        <x:f>H1073*(v01_KHPerAdult*Z1073+v01_KHOfCommons*AJ1073/4*INDEX(LM_All,G1073))*v01_KHUsable*Arch_KH</x:f>
        <x:v>67.94054623157538</x:v>
      </x:c>
      <x:c r="AO1073" s="32" t="n">
        <x:f>MIN(AP1072+AN1073,AM1073*v01_KHMaxRatio)</x:f>
        <x:v>67.94054623157538</x:v>
      </x:c>
      <x:c r="AP1073" s="32" t="n">
        <x:f>AP1072+AN1073-AO1073</x:f>
        <x:v>0</x:v>
      </x:c>
      <x:c r="AQ1073" s="32" t="n">
        <x:f>AM1073+AO1073</x:f>
        <x:v>490.55619725231725</x:v>
      </x:c>
      <x:c r="AR1073" s="10" t="n">
        <x:f>IF(H1073=1,INDEX(v01_Req,G1073),0)</x:f>
        <x:v>47951.22698</x:v>
      </x:c>
      <x:c r="AS1073" s="32" t="n">
        <x:f>IF(H1073=1,IF(E1073=1,AS1072-AR1072,AS1072)+AQ1073,0)</x:f>
        <x:v>20963.243532197237</x:v>
      </x:c>
      <x:c r="AT1073" s="11" t="n">
        <x:f>IF(AR1073&gt;0,MIN(1,AS1073/AR1073),1)</x:f>
        <x:v>0.4371784592903286</x:v>
      </x:c>
      <x:c r="AU1073" s="10" t="n">
        <x:f>AB1073/INDEX(v01_RepScale,G1073)</x:f>
        <x:v>184.5311636250322</x:v>
      </x:c>
      <x:c r="AV1073" s="32" t="n">
        <x:f>AM1073*60/v01_SeasonSeconds</x:f>
        <x:v>1690.4626040829676</x:v>
      </x:c>
    </x:row>
    <x:row r="1074">
      <x:c r="A1074" s="8" t="n">
        <x:f>A1073+1</x:f>
        <x:v>1071</x:v>
      </x:c>
      <x:c r="B1074" s="9" t="n">
        <x:f>A1074*v01_SeasonSeconds/60</x:f>
        <x:v>267.75</x:v>
      </x:c>
      <x:c r="C1074" s="9" t="n">
        <x:f>A1074/4</x:f>
        <x:v>267.75</x:v>
      </x:c>
      <x:c r="D1074" s="8" t="n">
        <x:f>IF(MOD(A1074,4)=0,1,0)</x:f>
        <x:v>0</x:v>
      </x:c>
      <x:c r="E1074" s="8" t="n">
        <x:f>IF(AND(F1073&lt;=9,AS1073&gt;=AR1073),1,0)</x:f>
        <x:v>0</x:v>
      </x:c>
      <x:c r="F1074" s="8" t="n">
        <x:f>MIN(10,F1073+E1074)</x:f>
        <x:v>5</x:v>
      </x:c>
      <x:c r="G1074" s="8" t="n">
        <x:f>MIN(F1074,9)+1</x:f>
        <x:v>6</x:v>
      </x:c>
      <x:c r="H1074" s="8" t="n">
        <x:f>IF(F1074&lt;=9,1,0)</x:f>
        <x:v>1</x:v>
      </x:c>
      <x:c r="I1074" s="9" t="n">
        <x:f>MIN(10,F1073+IF(AR1073&gt;0,MIN(1,AS1073/AR1073),1))</x:f>
        <x:v>5.437178459290329</x:v>
      </x:c>
      <x:c r="J1074" s="32" t="n">
        <x:f>INDEX(v01_FoodCap,G1074)*Arch_FoodCap*EXP(v01_CapsByProject*SUMPRODUCT((Cap_Point&lt;=I1074)*(Cap_Kind="Food")*Cap_Ln))</x:f>
        <x:v>500</x:v>
      </x:c>
      <x:c r="K1074" s="32" t="n">
        <x:f>J1074*MIN(1,v01_LeanBase*EXP(v01_CapsByProject*SUMPRODUCT((Cap_Point&lt;=I1074)*(Cap_Kind="Lean")*Cap_Ln)))</x:f>
        <x:v>500</x:v>
      </x:c>
      <x:c r="L1074" s="10" t="n">
        <x:f>INDEX(v01_HousingCap,G1074)*EXP(v01_CapsByProject*SUMPRODUCT((Cap_Point&lt;=I1074)*(Cap_Kind="Housing")*Cap_Ln))</x:f>
        <x:v>800</x:v>
      </x:c>
      <x:c r="M1074" s="10" t="n">
        <x:f>INDEX(v01_GroupCap,G1074)*v01_CohesionFactor*EXP(v01_CapsByProject*SUMPRODUCT((Cap_Point&lt;=I1074)*(Cap_Kind="Group")*Cap_Ln))</x:f>
        <x:v>10000</x:v>
      </x:c>
      <x:c r="N1074" s="32" t="n">
        <x:f>MIN(J1074,L1074,M1074)</x:f>
        <x:v>500</x:v>
      </x:c>
      <x:c r="O1074" s="10" t="n">
        <x:f>AE1073*N1074</x:f>
        <x:v>8000</x:v>
      </x:c>
      <x:c r="P1074" s="9" t="n">
        <x:f>MIN(1,(AB1073/(AE1073*IF(v01_GroupInCrowding=1,N1074,MIN(J1074,L1074))))^v01_CrowdingExp)</x:f>
        <x:v>0.03677210166521135</x:v>
      </x:c>
      <x:c r="Q1074" s="9" t="n">
        <x:f>IF(D1074=1,INDEX(v01_WinterMult,G1074),1)</x:f>
        <x:v>1</x:v>
      </x:c>
      <x:c r="R1074" s="9" t="n">
        <x:f>H1074*Z1073*v01_WomenShare*v01_BaseFertility*INDEX(v01_FertMult,G1074)*Arch_Fertility*(1-P1074)</x:f>
        <x:v>61.70267358359458</x:v>
      </x:c>
      <x:c r="S1074" s="9" t="n">
        <x:f>H1074*Y1073*INDEX(v01_MortChild,G1074)/4*Q1074</x:f>
        <x:v>12.283058110462129</x:v>
      </x:c>
      <x:c r="T1074" s="9" t="n">
        <x:f>H1074*Z1073*INDEX(v01_MortAdult,G1074)*Arch_AdultMort/4*Q1074</x:f>
        <x:v>4.852896159398241</x:v>
      </x:c>
      <x:c r="U1074" s="9" t="n">
        <x:f>H1074*AA1073*INDEX(v01_MortElder,G1074)/4*Q1074</x:f>
        <x:v>10.602469937888511</x:v>
      </x:c>
      <x:c r="V1074" s="9" t="n">
        <x:f>H1074*MAX(0,AB1073-O1074)*v01_OvercapLoss</x:f>
        <x:v>0</x:v>
      </x:c>
      <x:c r="W1074" s="9" t="n">
        <x:f>H1074*Y1073/(v01_ChildYears*4)</x:f>
        <x:v>35.09445174417751</x:v>
      </x:c>
      <x:c r="X1074" s="9" t="n">
        <x:f>H1074*Z1073/(v01_AdultYears*4)</x:f>
        <x:v>15.654503739994325</x:v>
      </x:c>
      <x:c r="Y1074" s="32" t="n">
        <x:f>Y1073+R1074-S1074-W1074-Y1073*V1074/AB1073</x:f>
        <x:v>1979.6144614028954</x:v>
      </x:c>
      <x:c r="Z1074" s="32" t="n">
        <x:f>Z1073+W1074-X1074-T1074-Z1073*V1074/AB1073</x:f>
        <x:v>1955.7455156040814</x:v>
      </x:c>
      <x:c r="AA1074" s="32" t="n">
        <x:f>AA1073+X1074-U1074-AA1073*V1074/AB1073</x:f>
        <x:v>711.8833629946732</x:v>
      </x:c>
      <x:c r="AB1074" s="10" t="n">
        <x:f>Y1074+Z1074+AA1074</x:f>
        <x:v>4647.24334000165</x:v>
      </x:c>
      <x:c r="AC1074" s="8" t="n">
        <x:f>IF(AND(v01_WinterTrigger=1,D1074=1,AB1073/AE1073&gt;=K1074),1,0)</x:f>
        <x:v>0</x:v>
      </x:c>
      <x:c r="AD1074" s="8" t="n">
        <x:f>H1074*IF(AND(OR(AB1073/AE1073&gt;=v01_FissionTrigger*N1074,AC1074=1),AB1073/AE1073*v01_DaughterShare&gt;=v01_MinDaughter),MAX(1,ROUND(AE1073*v01_FissionRate,0)),0)</x:f>
        <x:v>0</x:v>
      </x:c>
      <x:c r="AE1074" s="8" t="n">
        <x:f>IF(H1074=1,MAX(1,MIN(INDEX(v01_Smax,G1074),AE1073+AD1074)),AE1073)</x:f>
        <x:v>16</x:v>
      </x:c>
      <x:c r="AF1074" s="8" t="n">
        <x:f>MAX(0,AE1074-AE1073)</x:f>
        <x:v>0</x:v>
      </x:c>
      <x:c r="AG1074" s="9" t="str">
        <x:f>IF(AF1074&gt;0,B1074,"")</x:f>
      </x:c>
      <x:c r="AH1074" s="9" t="n">
        <x:f>IF(F1074&gt;=1,1,(1+v01_LowTiesShare*(AE1074-1))/AE1074)</x:f>
        <x:v>1</x:v>
      </x:c>
      <x:c r="AI1074" s="32" t="n">
        <x:f>(Z1074+v01_ElderCommons*INDEX(LM_Elder,G1074)*AA1074)*AH1074</x:f>
        <x:v>4343.4749031649535</x:v>
      </x:c>
      <x:c r="AJ1074" s="32" t="n">
        <x:f>H1074*v01_CommonsCoef*AI1074^v01_CommonsExp*INDEX(LM_Commons,G1074)</x:f>
        <x:v>985.3551572261307</x:v>
      </x:c>
      <x:c r="AK1074" s="32" t="n">
        <x:f>H1074*v01_RoleScale*Arch_Roles*(AE1074*(INDEX(v01_ElderRolePerSett,G1074)*v01_OutElder*INDEX(LM_Elder,G1074)+INDEX(v01_ShamanPerSett,G1074)*v01_OutShaman)+Z1074*(INDEX(v01_PriestShare,G1074)*v01_OutPriest+INDEX(v01_ScribeShare,G1074)*v01_OutScribe*INDEX(LM_Scribe,G1074)+INDEX(v01_ScholarShare,G1074)*v01_OutScholar*INDEX(LM_Scholar,G1074)+INDEX(v01_ResearcherShare,G1074)*v01_OutResearcher*INDEX(LM_Researcher,G1074)))</x:f>
        <x:v>189.52030953880353</x:v>
      </x:c>
      <x:c r="AL1074" s="32" t="n">
        <x:f>H1074*v01_RoleScale*Arch_Roles*AE1074*INDEX(v01_MonasteryPerSett,G1074)*v01_OutMonastery*INDEX(LM_Monastery,G1074)</x:f>
        <x:v>5.034282471216728</x:v>
      </x:c>
      <x:c r="AM1074" s="32" t="n">
        <x:f>(AJ1074+AK1074+AL1074)/4*INDEX(LM_All,G1074)*INDEX(v01_Boon,G1074)*Arch_Insight</x:f>
        <x:v>425.1806446259163</x:v>
      </x:c>
      <x:c r="AN1074" s="32" t="n">
        <x:f>H1074*(v01_KHPerAdult*Z1074+v01_KHOfCommons*AJ1074/4*INDEX(LM_All,G1074))*v01_KHUsable*Arch_KH</x:f>
        <x:v>68.45109304614286</x:v>
      </x:c>
      <x:c r="AO1074" s="32" t="n">
        <x:f>MIN(AP1073+AN1074,AM1074*v01_KHMaxRatio)</x:f>
        <x:v>68.45109304614286</x:v>
      </x:c>
      <x:c r="AP1074" s="32" t="n">
        <x:f>AP1073+AN1074-AO1074</x:f>
        <x:v>0</x:v>
      </x:c>
      <x:c r="AQ1074" s="32" t="n">
        <x:f>AM1074+AO1074</x:f>
        <x:v>493.6317376720591</x:v>
      </x:c>
      <x:c r="AR1074" s="10" t="n">
        <x:f>IF(H1074=1,INDEX(v01_Req,G1074),0)</x:f>
        <x:v>47951.22698</x:v>
      </x:c>
      <x:c r="AS1074" s="32" t="n">
        <x:f>IF(H1074=1,IF(E1074=1,AS1073-AR1073,AS1073)+AQ1074,0)</x:f>
        <x:v>21456.875269869295</x:v>
      </x:c>
      <x:c r="AT1074" s="11" t="n">
        <x:f>IF(AR1074&gt;0,MIN(1,AS1074/AR1074),1)</x:f>
        <x:v>0.4474729140678455</x:v>
      </x:c>
      <x:c r="AU1074" s="10" t="n">
        <x:f>AB1074/INDEX(v01_RepScale,G1074)</x:f>
        <x:v>185.889733600066</x:v>
      </x:c>
      <x:c r="AV1074" s="32" t="n">
        <x:f>AM1074*60/v01_SeasonSeconds</x:f>
        <x:v>1700.722578503665</x:v>
      </x:c>
    </x:row>
    <x:row r="1075">
      <x:c r="A1075" s="8" t="n">
        <x:f>A1074+1</x:f>
        <x:v>1072</x:v>
      </x:c>
      <x:c r="B1075" s="9" t="n">
        <x:f>A1075*v01_SeasonSeconds/60</x:f>
        <x:v>268</x:v>
      </x:c>
      <x:c r="C1075" s="9" t="n">
        <x:f>A1075/4</x:f>
        <x:v>268</x:v>
      </x:c>
      <x:c r="D1075" s="8" t="n">
        <x:f>IF(MOD(A1075,4)=0,1,0)</x:f>
        <x:v>1</x:v>
      </x:c>
      <x:c r="E1075" s="8" t="n">
        <x:f>IF(AND(F1074&lt;=9,AS1074&gt;=AR1074),1,0)</x:f>
        <x:v>0</x:v>
      </x:c>
      <x:c r="F1075" s="8" t="n">
        <x:f>MIN(10,F1074+E1075)</x:f>
        <x:v>5</x:v>
      </x:c>
      <x:c r="G1075" s="8" t="n">
        <x:f>MIN(F1075,9)+1</x:f>
        <x:v>6</x:v>
      </x:c>
      <x:c r="H1075" s="8" t="n">
        <x:f>IF(F1075&lt;=9,1,0)</x:f>
        <x:v>1</x:v>
      </x:c>
      <x:c r="I1075" s="9" t="n">
        <x:f>MIN(10,F1074+IF(AR1074&gt;0,MIN(1,AS1074/AR1074),1))</x:f>
        <x:v>5.447472914067846</x:v>
      </x:c>
      <x:c r="J1075" s="32" t="n">
        <x:f>INDEX(v01_FoodCap,G1075)*Arch_FoodCap*EXP(v01_CapsByProject*SUMPRODUCT((Cap_Point&lt;=I1075)*(Cap_Kind="Food")*Cap_Ln))</x:f>
        <x:v>500</x:v>
      </x:c>
      <x:c r="K1075" s="32" t="n">
        <x:f>J1075*MIN(1,v01_LeanBase*EXP(v01_CapsByProject*SUMPRODUCT((Cap_Point&lt;=I1075)*(Cap_Kind="Lean")*Cap_Ln)))</x:f>
        <x:v>500</x:v>
      </x:c>
      <x:c r="L1075" s="10" t="n">
        <x:f>INDEX(v01_HousingCap,G1075)*EXP(v01_CapsByProject*SUMPRODUCT((Cap_Point&lt;=I1075)*(Cap_Kind="Housing")*Cap_Ln))</x:f>
        <x:v>800</x:v>
      </x:c>
      <x:c r="M1075" s="10" t="n">
        <x:f>INDEX(v01_GroupCap,G1075)*v01_CohesionFactor*EXP(v01_CapsByProject*SUMPRODUCT((Cap_Point&lt;=I1075)*(Cap_Kind="Group")*Cap_Ln))</x:f>
        <x:v>10000</x:v>
      </x:c>
      <x:c r="N1075" s="32" t="n">
        <x:f>MIN(J1075,L1075,M1075)</x:f>
        <x:v>500</x:v>
      </x:c>
      <x:c r="O1075" s="10" t="n">
        <x:f>AE1074*N1075</x:f>
        <x:v>8000</x:v>
      </x:c>
      <x:c r="P1075" s="9" t="n">
        <x:f>MIN(1,(AB1074/(AE1074*IF(v01_GroupInCrowding=1,N1075,MIN(J1075,L1075))))^v01_CrowdingExp)</x:f>
        <x:v>0.038426653143288705</x:v>
      </x:c>
      <x:c r="Q1075" s="9" t="n">
        <x:f>IF(D1075=1,INDEX(v01_WinterMult,G1075),1)</x:f>
        <x:v>1</x:v>
      </x:c>
      <x:c r="R1075" s="9" t="n">
        <x:f>H1075*Z1074*v01_WomenShare*v01_BaseFertility*INDEX(v01_FertMult,G1075)*Arch_Fertility*(1-P1075)</x:f>
        <x:v>62.05956111430089</x:v>
      </x:c>
      <x:c r="S1075" s="9" t="n">
        <x:f>H1075*Y1074*INDEX(v01_MortChild,G1075)/4*Q1075</x:f>
        <x:v>12.372590383768097</x:v>
      </x:c>
      <x:c r="T1075" s="9" t="n">
        <x:f>H1075*Z1074*INDEX(v01_MortAdult,G1075)*Arch_AdultMort/4*Q1075</x:f>
        <x:v>4.889363789010203</x:v>
      </x:c>
      <x:c r="U1075" s="9" t="n">
        <x:f>H1075*AA1074*INDEX(v01_MortElder,G1075)/4*Q1075</x:f>
        <x:v>10.678250444920097</x:v>
      </x:c>
      <x:c r="V1075" s="9" t="n">
        <x:f>H1075*MAX(0,AB1074-O1075)*v01_OvercapLoss</x:f>
        <x:v>0</x:v>
      </x:c>
      <x:c r="W1075" s="9" t="n">
        <x:f>H1075*Y1074/(v01_ChildYears*4)</x:f>
        <x:v>35.350258239337414</x:v>
      </x:c>
      <x:c r="X1075" s="9" t="n">
        <x:f>H1075*Z1074/(v01_AdultYears*4)</x:f>
        <x:v>15.772141254871624</x:v>
      </x:c>
      <x:c r="Y1075" s="32" t="n">
        <x:f>Y1074+R1075-S1075-W1075-Y1074*V1075/AB1074</x:f>
        <x:v>1993.9511738940907</x:v>
      </x:c>
      <x:c r="Z1075" s="32" t="n">
        <x:f>Z1074+W1075-X1075-T1075-Z1074*V1075/AB1074</x:f>
        <x:v>1970.4342687995368</x:v>
      </x:c>
      <x:c r="AA1075" s="32" t="n">
        <x:f>AA1074+X1075-U1075-AA1074*V1075/AB1074</x:f>
        <x:v>716.9772538046248</x:v>
      </x:c>
      <x:c r="AB1075" s="10" t="n">
        <x:f>Y1075+Z1075+AA1075</x:f>
        <x:v>4681.362696498252</x:v>
      </x:c>
      <x:c r="AC1075" s="8" t="n">
        <x:f>IF(AND(v01_WinterTrigger=1,D1075=1,AB1074/AE1074&gt;=K1075),1,0)</x:f>
        <x:v>0</x:v>
      </x:c>
      <x:c r="AD1075" s="8" t="n">
        <x:f>H1075*IF(AND(OR(AB1074/AE1074&gt;=v01_FissionTrigger*N1075,AC1075=1),AB1074/AE1074*v01_DaughterShare&gt;=v01_MinDaughter),MAX(1,ROUND(AE1074*v01_FissionRate,0)),0)</x:f>
        <x:v>0</x:v>
      </x:c>
      <x:c r="AE1075" s="8" t="n">
        <x:f>IF(H1075=1,MAX(1,MIN(INDEX(v01_Smax,G1075),AE1074+AD1075)),AE1074)</x:f>
        <x:v>16</x:v>
      </x:c>
      <x:c r="AF1075" s="8" t="n">
        <x:f>MAX(0,AE1075-AE1074)</x:f>
        <x:v>0</x:v>
      </x:c>
      <x:c r="AG1075" s="9" t="str">
        <x:f>IF(AF1075&gt;0,B1075,"")</x:f>
      </x:c>
      <x:c r="AH1075" s="9" t="n">
        <x:f>IF(F1075&gt;=1,1,(1+v01_LowTiesShare*(AE1075-1))/AE1075)</x:f>
        <x:v>1</x:v>
      </x:c>
      <x:c r="AI1075" s="32" t="n">
        <x:f>(Z1075+v01_ElderCommons*INDEX(LM_Elder,G1075)*AA1075)*AH1075</x:f>
        <x:v>4375.249085541927</x:v>
      </x:c>
      <x:c r="AJ1075" s="32" t="n">
        <x:f>H1075*v01_CommonsCoef*AI1075^v01_CommonsExp*INDEX(LM_Commons,G1075)</x:f>
        <x:v>991.4788178013259</x:v>
      </x:c>
      <x:c r="AK1075" s="32" t="n">
        <x:f>H1075*v01_RoleScale*Arch_Roles*(AE1075*(INDEX(v01_ElderRolePerSett,G1075)*v01_OutElder*INDEX(LM_Elder,G1075)+INDEX(v01_ShamanPerSett,G1075)*v01_OutShaman)+Z1075*(INDEX(v01_PriestShare,G1075)*v01_OutPriest+INDEX(v01_ScribeShare,G1075)*v01_OutScribe*INDEX(LM_Scribe,G1075)+INDEX(v01_ScholarShare,G1075)*v01_OutScholar*INDEX(LM_Scholar,G1075)+INDEX(v01_ResearcherShare,G1075)*v01_OutResearcher*INDEX(LM_Researcher,G1075)))</x:f>
        <x:v>190.56193093156668</x:v>
      </x:c>
      <x:c r="AL1075" s="32" t="n">
        <x:f>H1075*v01_RoleScale*Arch_Roles*AE1075*INDEX(v01_MonasteryPerSett,G1075)*v01_OutMonastery*INDEX(LM_Monastery,G1075)</x:f>
        <x:v>5.034282471216728</x:v>
      </x:c>
      <x:c r="AM1075" s="32" t="n">
        <x:f>(AJ1075+AK1075+AL1075)/4*INDEX(LM_All,G1075)*INDEX(v01_Boon,G1075)*Arch_Insight</x:f>
        <x:v>427.76265499411204</x:v>
      </x:c>
      <x:c r="AN1075" s="32" t="n">
        <x:f>H1075*(v01_KHPerAdult*Z1075+v01_KHOfCommons*AJ1075/4*INDEX(LM_All,G1075))*v01_KHUsable*Arch_KH</x:f>
        <x:v>68.96519940798379</x:v>
      </x:c>
      <x:c r="AO1075" s="32" t="n">
        <x:f>MIN(AP1074+AN1075,AM1075*v01_KHMaxRatio)</x:f>
        <x:v>68.96519940798379</x:v>
      </x:c>
      <x:c r="AP1075" s="32" t="n">
        <x:f>AP1074+AN1075-AO1075</x:f>
        <x:v>0</x:v>
      </x:c>
      <x:c r="AQ1075" s="32" t="n">
        <x:f>AM1075+AO1075</x:f>
        <x:v>496.72785440209583</x:v>
      </x:c>
      <x:c r="AR1075" s="10" t="n">
        <x:f>IF(H1075=1,INDEX(v01_Req,G1075),0)</x:f>
        <x:v>47951.22698</x:v>
      </x:c>
      <x:c r="AS1075" s="32" t="n">
        <x:f>IF(H1075=1,IF(E1075=1,AS1074-AR1074,AS1074)+AQ1075,0)</x:f>
        <x:v>21953.60312427139</x:v>
      </x:c>
      <x:c r="AT1075" s="11" t="n">
        <x:f>IF(AR1075&gt;0,MIN(1,AS1075/AR1075),1)</x:f>
        <x:v>0.4578319368851193</x:v>
      </x:c>
      <x:c r="AU1075" s="10" t="n">
        <x:f>AB1075/INDEX(v01_RepScale,G1075)</x:f>
        <x:v>187.2545078599301</x:v>
      </x:c>
      <x:c r="AV1075" s="32" t="n">
        <x:f>AM1075*60/v01_SeasonSeconds</x:f>
        <x:v>1711.0506199764482</x:v>
      </x:c>
    </x:row>
    <x:row r="1076">
      <x:c r="A1076" s="8" t="n">
        <x:f>A1075+1</x:f>
        <x:v>1073</x:v>
      </x:c>
      <x:c r="B1076" s="9" t="n">
        <x:f>A1076*v01_SeasonSeconds/60</x:f>
        <x:v>268.25</x:v>
      </x:c>
      <x:c r="C1076" s="9" t="n">
        <x:f>A1076/4</x:f>
        <x:v>268.25</x:v>
      </x:c>
      <x:c r="D1076" s="8" t="n">
        <x:f>IF(MOD(A1076,4)=0,1,0)</x:f>
        <x:v>0</x:v>
      </x:c>
      <x:c r="E1076" s="8" t="n">
        <x:f>IF(AND(F1075&lt;=9,AS1075&gt;=AR1075),1,0)</x:f>
        <x:v>0</x:v>
      </x:c>
      <x:c r="F1076" s="8" t="n">
        <x:f>MIN(10,F1075+E1076)</x:f>
        <x:v>5</x:v>
      </x:c>
      <x:c r="G1076" s="8" t="n">
        <x:f>MIN(F1076,9)+1</x:f>
        <x:v>6</x:v>
      </x:c>
      <x:c r="H1076" s="8" t="n">
        <x:f>IF(F1076&lt;=9,1,0)</x:f>
        <x:v>1</x:v>
      </x:c>
      <x:c r="I1076" s="9" t="n">
        <x:f>MIN(10,F1075+IF(AR1075&gt;0,MIN(1,AS1075/AR1075),1))</x:f>
        <x:v>5.457831936885119</x:v>
      </x:c>
      <x:c r="J1076" s="32" t="n">
        <x:f>INDEX(v01_FoodCap,G1076)*Arch_FoodCap*EXP(v01_CapsByProject*SUMPRODUCT((Cap_Point&lt;=I1076)*(Cap_Kind="Food")*Cap_Ln))</x:f>
        <x:v>500</x:v>
      </x:c>
      <x:c r="K1076" s="32" t="n">
        <x:f>J1076*MIN(1,v01_LeanBase*EXP(v01_CapsByProject*SUMPRODUCT((Cap_Point&lt;=I1076)*(Cap_Kind="Lean")*Cap_Ln)))</x:f>
        <x:v>500</x:v>
      </x:c>
      <x:c r="L1076" s="10" t="n">
        <x:f>INDEX(v01_HousingCap,G1076)*EXP(v01_CapsByProject*SUMPRODUCT((Cap_Point&lt;=I1076)*(Cap_Kind="Housing")*Cap_Ln))</x:f>
        <x:v>800</x:v>
      </x:c>
      <x:c r="M1076" s="10" t="n">
        <x:f>INDEX(v01_GroupCap,G1076)*v01_CohesionFactor*EXP(v01_CapsByProject*SUMPRODUCT((Cap_Point&lt;=I1076)*(Cap_Kind="Group")*Cap_Ln))</x:f>
        <x:v>10000</x:v>
      </x:c>
      <x:c r="N1076" s="32" t="n">
        <x:f>MIN(J1076,L1076,M1076)</x:f>
        <x:v>500</x:v>
      </x:c>
      <x:c r="O1076" s="10" t="n">
        <x:f>AE1075*N1076</x:f>
        <x:v>8000</x:v>
      </x:c>
      <x:c r="P1076" s="9" t="n">
        <x:f>MIN(1,(AB1075/(AE1075*IF(v01_GroupInCrowding=1,N1076,MIN(J1076,L1076))))^v01_CrowdingExp)</x:f>
        <x:v>0.04015076448664413</x:v>
      </x:c>
      <x:c r="Q1076" s="9" t="n">
        <x:f>IF(D1076=1,INDEX(v01_WinterMult,G1076),1)</x:f>
        <x:v>1</x:v>
      </x:c>
      <x:c r="R1076" s="9" t="n">
        <x:f>H1076*Z1075*v01_WomenShare*v01_BaseFertility*INDEX(v01_FertMult,G1076)*Arch_Fertility*(1-P1076)</x:f>
        <x:v>62.413554275706275</x:v>
      </x:c>
      <x:c r="S1076" s="9" t="n">
        <x:f>H1076*Y1075*INDEX(v01_MortChild,G1076)/4*Q1076</x:f>
        <x:v>12.462194836838068</x:v>
      </x:c>
      <x:c r="T1076" s="9" t="n">
        <x:f>H1076*Z1075*INDEX(v01_MortAdult,G1076)*Arch_AdultMort/4*Q1076</x:f>
        <x:v>4.926085671998842</x:v>
      </x:c>
      <x:c r="U1076" s="9" t="n">
        <x:f>H1076*AA1075*INDEX(v01_MortElder,G1076)/4*Q1076</x:f>
        <x:v>10.75465880706937</x:v>
      </x:c>
      <x:c r="V1076" s="9" t="n">
        <x:f>H1076*MAX(0,AB1075-O1076)*v01_OvercapLoss</x:f>
        <x:v>0</x:v>
      </x:c>
      <x:c r="W1076" s="9" t="n">
        <x:f>H1076*Y1075/(v01_ChildYears*4)</x:f>
        <x:v>35.606270962394476</x:v>
      </x:c>
      <x:c r="X1076" s="9" t="n">
        <x:f>H1076*Z1075/(v01_AdultYears*4)</x:f>
        <x:v>15.890598941931747</x:v>
      </x:c>
      <x:c r="Y1076" s="32" t="n">
        <x:f>Y1075+R1076-S1076-W1076-Y1075*V1076/AB1075</x:f>
        <x:v>2008.2962623705646</x:v>
      </x:c>
      <x:c r="Z1076" s="32" t="n">
        <x:f>Z1075+W1076-X1076-T1076-Z1075*V1076/AB1075</x:f>
        <x:v>1985.2238551480007</x:v>
      </x:c>
      <x:c r="AA1076" s="32" t="n">
        <x:f>AA1075+X1076-U1076-AA1075*V1076/AB1075</x:f>
        <x:v>722.1131939394871</x:v>
      </x:c>
      <x:c r="AB1076" s="10" t="n">
        <x:f>Y1076+Z1076+AA1076</x:f>
        <x:v>4715.633311458052</x:v>
      </x:c>
      <x:c r="AC1076" s="8" t="n">
        <x:f>IF(AND(v01_WinterTrigger=1,D1076=1,AB1075/AE1075&gt;=K1076),1,0)</x:f>
        <x:v>0</x:v>
      </x:c>
      <x:c r="AD1076" s="8" t="n">
        <x:f>H1076*IF(AND(OR(AB1075/AE1075&gt;=v01_FissionTrigger*N1076,AC1076=1),AB1075/AE1075*v01_DaughterShare&gt;=v01_MinDaughter),MAX(1,ROUND(AE1075*v01_FissionRate,0)),0)</x:f>
        <x:v>0</x:v>
      </x:c>
      <x:c r="AE1076" s="8" t="n">
        <x:f>IF(H1076=1,MAX(1,MIN(INDEX(v01_Smax,G1076),AE1075+AD1076)),AE1075)</x:f>
        <x:v>16</x:v>
      </x:c>
      <x:c r="AF1076" s="8" t="n">
        <x:f>MAX(0,AE1076-AE1075)</x:f>
        <x:v>0</x:v>
      </x:c>
      <x:c r="AG1076" s="9" t="str">
        <x:f>IF(AF1076&gt;0,B1076,"")</x:f>
      </x:c>
      <x:c r="AH1076" s="9" t="n">
        <x:f>IF(F1076&gt;=1,1,(1+v01_LowTiesShare*(AE1076-1))/AE1076)</x:f>
        <x:v>1</x:v>
      </x:c>
      <x:c r="AI1076" s="32" t="n">
        <x:f>(Z1076+v01_ElderCommons*INDEX(LM_Elder,G1076)*AA1076)*AH1076</x:f>
        <x:v>4407.265138795275</x:v>
      </x:c>
      <x:c r="AJ1076" s="32" t="n">
        <x:f>H1076*v01_CommonsCoef*AI1076^v01_CommonsExp*INDEX(LM_Commons,G1076)</x:f>
        <x:v>997.6423494499701</x:v>
      </x:c>
      <x:c r="AK1076" s="32" t="n">
        <x:f>H1076*v01_RoleScale*Arch_Roles*(AE1076*(INDEX(v01_ElderRolePerSett,G1076)*v01_OutElder*INDEX(LM_Elder,G1076)+INDEX(v01_ShamanPerSett,G1076)*v01_OutShaman)+Z1076*(INDEX(v01_PriestShare,G1076)*v01_OutPriest+INDEX(v01_ScribeShare,G1076)*v01_OutScribe*INDEX(LM_Scribe,G1076)+INDEX(v01_ScholarShare,G1076)*v01_OutScholar*INDEX(LM_Scholar,G1076)+INDEX(v01_ResearcherShare,G1076)*v01_OutResearcher*INDEX(LM_Researcher,G1076)))</x:f>
        <x:v>191.61070269086372</x:v>
      </x:c>
      <x:c r="AL1076" s="32" t="n">
        <x:f>H1076*v01_RoleScale*Arch_Roles*AE1076*INDEX(v01_MonasteryPerSett,G1076)*v01_OutMonastery*INDEX(LM_Monastery,G1076)</x:f>
        <x:v>5.034282471216728</x:v>
      </x:c>
      <x:c r="AM1076" s="32" t="n">
        <x:f>(AJ1076+AK1076+AL1076)/4*INDEX(LM_All,G1076)*INDEX(v01_Boon,G1076)*Arch_Insight</x:f>
        <x:v>430.3616095448405</x:v>
      </x:c>
      <x:c r="AN1076" s="32" t="n">
        <x:f>H1076*(v01_KHPerAdult*Z1076+v01_KHOfCommons*AJ1076/4*INDEX(LM_All,G1076))*v01_KHUsable*Arch_KH</x:f>
        <x:v>69.48283493018002</x:v>
      </x:c>
      <x:c r="AO1076" s="32" t="n">
        <x:f>MIN(AP1075+AN1076,AM1076*v01_KHMaxRatio)</x:f>
        <x:v>69.48283493018002</x:v>
      </x:c>
      <x:c r="AP1076" s="32" t="n">
        <x:f>AP1075+AN1076-AO1076</x:f>
        <x:v>0</x:v>
      </x:c>
      <x:c r="AQ1076" s="32" t="n">
        <x:f>AM1076+AO1076</x:f>
        <x:v>499.8444444750205</x:v>
      </x:c>
      <x:c r="AR1076" s="10" t="n">
        <x:f>IF(H1076=1,INDEX(v01_Req,G1076),0)</x:f>
        <x:v>47951.22698</x:v>
      </x:c>
      <x:c r="AS1076" s="32" t="n">
        <x:f>IF(H1076=1,IF(E1076=1,AS1075-AR1075,AS1075)+AQ1076,0)</x:f>
        <x:v>22453.44756874641</x:v>
      </x:c>
      <x:c r="AT1076" s="11" t="n">
        <x:f>IF(AR1076&gt;0,MIN(1,AS1076/AR1076),1)</x:f>
        <x:v>0.46825595470396475</x:v>
      </x:c>
      <x:c r="AU1076" s="10" t="n">
        <x:f>AB1076/INDEX(v01_RepScale,G1076)</x:f>
        <x:v>188.62533245832208</x:v>
      </x:c>
      <x:c r="AV1076" s="32" t="n">
        <x:f>AM1076*60/v01_SeasonSeconds</x:f>
        <x:v>1721.446438179362</x:v>
      </x:c>
    </x:row>
    <x:row r="1077">
      <x:c r="A1077" s="8" t="n">
        <x:f>A1076+1</x:f>
        <x:v>1074</x:v>
      </x:c>
      <x:c r="B1077" s="9" t="n">
        <x:f>A1077*v01_SeasonSeconds/60</x:f>
        <x:v>268.5</x:v>
      </x:c>
      <x:c r="C1077" s="9" t="n">
        <x:f>A1077/4</x:f>
        <x:v>268.5</x:v>
      </x:c>
      <x:c r="D1077" s="8" t="n">
        <x:f>IF(MOD(A1077,4)=0,1,0)</x:f>
        <x:v>0</x:v>
      </x:c>
      <x:c r="E1077" s="8" t="n">
        <x:f>IF(AND(F1076&lt;=9,AS1076&gt;=AR1076),1,0)</x:f>
        <x:v>0</x:v>
      </x:c>
      <x:c r="F1077" s="8" t="n">
        <x:f>MIN(10,F1076+E1077)</x:f>
        <x:v>5</x:v>
      </x:c>
      <x:c r="G1077" s="8" t="n">
        <x:f>MIN(F1077,9)+1</x:f>
        <x:v>6</x:v>
      </x:c>
      <x:c r="H1077" s="8" t="n">
        <x:f>IF(F1077&lt;=9,1,0)</x:f>
        <x:v>1</x:v>
      </x:c>
      <x:c r="I1077" s="9" t="n">
        <x:f>MIN(10,F1076+IF(AR1076&gt;0,MIN(1,AS1076/AR1076),1))</x:f>
        <x:v>5.468255954703965</x:v>
      </x:c>
      <x:c r="J1077" s="32" t="n">
        <x:f>INDEX(v01_FoodCap,G1077)*Arch_FoodCap*EXP(v01_CapsByProject*SUMPRODUCT((Cap_Point&lt;=I1077)*(Cap_Kind="Food")*Cap_Ln))</x:f>
        <x:v>500</x:v>
      </x:c>
      <x:c r="K1077" s="32" t="n">
        <x:f>J1077*MIN(1,v01_LeanBase*EXP(v01_CapsByProject*SUMPRODUCT((Cap_Point&lt;=I1077)*(Cap_Kind="Lean")*Cap_Ln)))</x:f>
        <x:v>500</x:v>
      </x:c>
      <x:c r="L1077" s="10" t="n">
        <x:f>INDEX(v01_HousingCap,G1077)*EXP(v01_CapsByProject*SUMPRODUCT((Cap_Point&lt;=I1077)*(Cap_Kind="Housing")*Cap_Ln))</x:f>
        <x:v>800</x:v>
      </x:c>
      <x:c r="M1077" s="10" t="n">
        <x:f>INDEX(v01_GroupCap,G1077)*v01_CohesionFactor*EXP(v01_CapsByProject*SUMPRODUCT((Cap_Point&lt;=I1077)*(Cap_Kind="Group")*Cap_Ln))</x:f>
        <x:v>10000</x:v>
      </x:c>
      <x:c r="N1077" s="32" t="n">
        <x:f>MIN(J1077,L1077,M1077)</x:f>
        <x:v>500</x:v>
      </x:c>
      <x:c r="O1077" s="10" t="n">
        <x:f>AE1076*N1077</x:f>
        <x:v>8000</x:v>
      </x:c>
      <x:c r="P1077" s="9" t="n">
        <x:f>MIN(1,(AB1076/(AE1076*IF(v01_GroupInCrowding=1,N1077,MIN(J1077,L1077))))^v01_CrowdingExp)</x:f>
        <x:v>0.0419469356241598</x:v>
      </x:c>
      <x:c r="Q1077" s="9" t="n">
        <x:f>IF(D1077=1,INDEX(v01_WinterMult,G1077),1)</x:f>
        <x:v>1</x:v>
      </x:c>
      <x:c r="R1077" s="9" t="n">
        <x:f>H1077*Z1076*v01_WomenShare*v01_BaseFertility*INDEX(v01_FertMult,G1077)*Arch_Fertility*(1-P1077)</x:f>
        <x:v>62.764343330586534</x:v>
      </x:c>
      <x:c r="S1077" s="9" t="n">
        <x:f>H1077*Y1076*INDEX(v01_MortChild,G1077)/4*Q1077</x:f>
        <x:v>12.551851639816029</x:v>
      </x:c>
      <x:c r="T1077" s="9" t="n">
        <x:f>H1077*Z1076*INDEX(v01_MortAdult,G1077)*Arch_AdultMort/4*Q1077</x:f>
        <x:v>4.963059637870002</x:v>
      </x:c>
      <x:c r="U1077" s="9" t="n">
        <x:f>H1077*AA1076*INDEX(v01_MortElder,G1077)/4*Q1077</x:f>
        <x:v>10.831697909092307</x:v>
      </x:c>
      <x:c r="V1077" s="9" t="n">
        <x:f>H1077*MAX(0,AB1076-O1077)*v01_OvercapLoss</x:f>
        <x:v>0</x:v>
      </x:c>
      <x:c r="W1077" s="9" t="n">
        <x:f>H1077*Y1076/(v01_ChildYears*4)</x:f>
        <x:v>35.86243325661722</x:v>
      </x:c>
      <x:c r="X1077" s="9" t="n">
        <x:f>H1077*Z1076/(v01_AdultYears*4)</x:f>
        <x:v>16.00986979958065</x:v>
      </x:c>
      <x:c r="Y1077" s="32" t="n">
        <x:f>Y1076+R1077-S1077-W1077-Y1076*V1077/AB1076</x:f>
        <x:v>2022.6463208047178</x:v>
      </x:c>
      <x:c r="Z1077" s="32" t="n">
        <x:f>Z1076+W1077-X1077-T1077-Z1076*V1077/AB1076</x:f>
        <x:v>2000.1133589671672</x:v>
      </x:c>
      <x:c r="AA1077" s="32" t="n">
        <x:f>AA1076+X1077-U1077-AA1076*V1077/AB1076</x:f>
        <x:v>727.2913658299755</x:v>
      </x:c>
      <x:c r="AB1077" s="10" t="n">
        <x:f>Y1077+Z1077+AA1077</x:f>
        <x:v>4750.051045601861</x:v>
      </x:c>
      <x:c r="AC1077" s="8" t="n">
        <x:f>IF(AND(v01_WinterTrigger=1,D1077=1,AB1076/AE1076&gt;=K1077),1,0)</x:f>
        <x:v>0</x:v>
      </x:c>
      <x:c r="AD1077" s="8" t="n">
        <x:f>H1077*IF(AND(OR(AB1076/AE1076&gt;=v01_FissionTrigger*N1077,AC1077=1),AB1076/AE1076*v01_DaughterShare&gt;=v01_MinDaughter),MAX(1,ROUND(AE1076*v01_FissionRate,0)),0)</x:f>
        <x:v>0</x:v>
      </x:c>
      <x:c r="AE1077" s="8" t="n">
        <x:f>IF(H1077=1,MAX(1,MIN(INDEX(v01_Smax,G1077),AE1076+AD1077)),AE1076)</x:f>
        <x:v>16</x:v>
      </x:c>
      <x:c r="AF1077" s="8" t="n">
        <x:f>MAX(0,AE1077-AE1076)</x:f>
        <x:v>0</x:v>
      </x:c>
      <x:c r="AG1077" s="9" t="str">
        <x:f>IF(AF1077&gt;0,B1077,"")</x:f>
      </x:c>
      <x:c r="AH1077" s="9" t="n">
        <x:f>IF(F1077&gt;=1,1,(1+v01_LowTiesShare*(AE1077-1))/AE1077)</x:f>
        <x:v>1</x:v>
      </x:c>
      <x:c r="AI1077" s="32" t="n">
        <x:f>(Z1077+v01_ElderCommons*INDEX(LM_Elder,G1077)*AA1077)*AH1077</x:f>
        <x:v>4439.522759133906</x:v>
      </x:c>
      <x:c r="AJ1077" s="32" t="n">
        <x:f>H1077*v01_CommonsCoef*AI1077^v01_CommonsExp*INDEX(LM_Commons,G1077)</x:f>
        <x:v>1003.8455975309225</x:v>
      </x:c>
      <x:c r="AK1077" s="32" t="n">
        <x:f>H1077*v01_RoleScale*Arch_Roles*(AE1077*(INDEX(v01_ElderRolePerSett,G1077)*v01_OutElder*INDEX(LM_Elder,G1077)+INDEX(v01_ShamanPerSett,G1077)*v01_OutShaman)+Z1077*(INDEX(v01_PriestShare,G1077)*v01_OutPriest+INDEX(v01_ScribeShare,G1077)*v01_OutScribe*INDEX(LM_Scribe,G1077)+INDEX(v01_ScholarShare,G1077)*v01_OutScholar*INDEX(LM_Scholar,G1077)+INDEX(v01_ResearcherShare,G1077)*v01_OutResearcher*INDEX(LM_Researcher,G1077)))</x:f>
        <x:v>192.66655988305013</x:v>
      </x:c>
      <x:c r="AL1077" s="32" t="n">
        <x:f>H1077*v01_RoleScale*Arch_Roles*AE1077*INDEX(v01_MonasteryPerSett,G1077)*v01_OutMonastery*INDEX(LM_Monastery,G1077)</x:f>
        <x:v>5.034282471216728</x:v>
      </x:c>
      <x:c r="AM1077" s="32" t="n">
        <x:f>(AJ1077+AK1077+AL1077)/4*INDEX(LM_All,G1077)*INDEX(v01_Boon,G1077)*Arch_Insight</x:f>
        <x:v>432.9774291542967</x:v>
      </x:c>
      <x:c r="AN1077" s="32" t="n">
        <x:f>H1077*(v01_KHPerAdult*Z1077+v01_KHOfCommons*AJ1077/4*INDEX(LM_All,G1077))*v01_KHUsable*Arch_KH</x:f>
        <x:v>70.00396756385085</x:v>
      </x:c>
      <x:c r="AO1077" s="32" t="n">
        <x:f>MIN(AP1076+AN1077,AM1077*v01_KHMaxRatio)</x:f>
        <x:v>70.00396756385085</x:v>
      </x:c>
      <x:c r="AP1077" s="32" t="n">
        <x:f>AP1076+AN1077-AO1077</x:f>
        <x:v>0</x:v>
      </x:c>
      <x:c r="AQ1077" s="32" t="n">
        <x:f>AM1077+AO1077</x:f>
        <x:v>502.98139671814755</x:v>
      </x:c>
      <x:c r="AR1077" s="10" t="n">
        <x:f>IF(H1077=1,INDEX(v01_Req,G1077),0)</x:f>
        <x:v>47951.22698</x:v>
      </x:c>
      <x:c r="AS1077" s="32" t="n">
        <x:f>IF(H1077=1,IF(E1077=1,AS1076-AR1076,AS1076)+AQ1077,0)</x:f>
        <x:v>22956.428965464558</x:v>
      </x:c>
      <x:c r="AT1077" s="11" t="n">
        <x:f>IF(AR1077&gt;0,MIN(1,AS1077/AR1077),1)</x:f>
        <x:v>0.478745392167743</x:v>
      </x:c>
      <x:c r="AU1077" s="10" t="n">
        <x:f>AB1077/INDEX(v01_RepScale,G1077)</x:f>
        <x:v>190.00204182407444</x:v>
      </x:c>
      <x:c r="AV1077" s="32" t="n">
        <x:f>AM1077*60/v01_SeasonSeconds</x:f>
        <x:v>1731.909716617187</x:v>
      </x:c>
    </x:row>
    <x:row r="1078">
      <x:c r="A1078" s="8" t="n">
        <x:f>A1077+1</x:f>
        <x:v>1075</x:v>
      </x:c>
      <x:c r="B1078" s="9" t="n">
        <x:f>A1078*v01_SeasonSeconds/60</x:f>
        <x:v>268.75</x:v>
      </x:c>
      <x:c r="C1078" s="9" t="n">
        <x:f>A1078/4</x:f>
        <x:v>268.75</x:v>
      </x:c>
      <x:c r="D1078" s="8" t="n">
        <x:f>IF(MOD(A1078,4)=0,1,0)</x:f>
        <x:v>0</x:v>
      </x:c>
      <x:c r="E1078" s="8" t="n">
        <x:f>IF(AND(F1077&lt;=9,AS1077&gt;=AR1077),1,0)</x:f>
        <x:v>0</x:v>
      </x:c>
      <x:c r="F1078" s="8" t="n">
        <x:f>MIN(10,F1077+E1078)</x:f>
        <x:v>5</x:v>
      </x:c>
      <x:c r="G1078" s="8" t="n">
        <x:f>MIN(F1078,9)+1</x:f>
        <x:v>6</x:v>
      </x:c>
      <x:c r="H1078" s="8" t="n">
        <x:f>IF(F1078&lt;=9,1,0)</x:f>
        <x:v>1</x:v>
      </x:c>
      <x:c r="I1078" s="9" t="n">
        <x:f>MIN(10,F1077+IF(AR1077&gt;0,MIN(1,AS1077/AR1077),1))</x:f>
        <x:v>5.478745392167743</x:v>
      </x:c>
      <x:c r="J1078" s="32" t="n">
        <x:f>INDEX(v01_FoodCap,G1078)*Arch_FoodCap*EXP(v01_CapsByProject*SUMPRODUCT((Cap_Point&lt;=I1078)*(Cap_Kind="Food")*Cap_Ln))</x:f>
        <x:v>500</x:v>
      </x:c>
      <x:c r="K1078" s="32" t="n">
        <x:f>J1078*MIN(1,v01_LeanBase*EXP(v01_CapsByProject*SUMPRODUCT((Cap_Point&lt;=I1078)*(Cap_Kind="Lean")*Cap_Ln)))</x:f>
        <x:v>500</x:v>
      </x:c>
      <x:c r="L1078" s="10" t="n">
        <x:f>INDEX(v01_HousingCap,G1078)*EXP(v01_CapsByProject*SUMPRODUCT((Cap_Point&lt;=I1078)*(Cap_Kind="Housing")*Cap_Ln))</x:f>
        <x:v>800</x:v>
      </x:c>
      <x:c r="M1078" s="10" t="n">
        <x:f>INDEX(v01_GroupCap,G1078)*v01_CohesionFactor*EXP(v01_CapsByProject*SUMPRODUCT((Cap_Point&lt;=I1078)*(Cap_Kind="Group")*Cap_Ln))</x:f>
        <x:v>10000</x:v>
      </x:c>
      <x:c r="N1078" s="32" t="n">
        <x:f>MIN(J1078,L1078,M1078)</x:f>
        <x:v>500</x:v>
      </x:c>
      <x:c r="O1078" s="10" t="n">
        <x:f>AE1077*N1078</x:f>
        <x:v>8000</x:v>
      </x:c>
      <x:c r="P1078" s="9" t="n">
        <x:f>MIN(1,(AB1077/(AE1077*IF(v01_GroupInCrowding=1,N1078,MIN(J1078,L1078))))^v01_CrowdingExp)</x:f>
        <x:v>0.04381771621911566</x:v>
      </x:c>
      <x:c r="Q1078" s="9" t="n">
        <x:f>IF(D1078=1,INDEX(v01_WinterMult,G1078),1)</x:f>
        <x:v>1</x:v>
      </x:c>
      <x:c r="R1078" s="9" t="n">
        <x:f>H1078*Z1077*v01_WomenShare*v01_BaseFertility*INDEX(v01_FertMult,G1078)*Arch_Fertility*(1-P1078)</x:f>
        <x:v>63.1116076601301</x:v>
      </x:c>
      <x:c r="S1078" s="9" t="n">
        <x:f>H1078*Y1077*INDEX(v01_MortChild,G1078)/4*Q1078</x:f>
        <x:v>12.641539505029487</x:v>
      </x:c>
      <x:c r="T1078" s="9" t="n">
        <x:f>H1078*Z1077*INDEX(v01_MortAdult,G1078)*Arch_AdultMort/4*Q1078</x:f>
        <x:v>5.000283397417918</x:v>
      </x:c>
      <x:c r="U1078" s="9" t="n">
        <x:f>H1078*AA1077*INDEX(v01_MortElder,G1078)/4*Q1078</x:f>
        <x:v>10.909370487449632</x:v>
      </x:c>
      <x:c r="V1078" s="9" t="n">
        <x:f>H1078*MAX(0,AB1077-O1078)*v01_OvercapLoss</x:f>
        <x:v>0</x:v>
      </x:c>
      <x:c r="W1078" s="9" t="n">
        <x:f>H1078*Y1077/(v01_ChildYears*4)</x:f>
        <x:v>36.11868430008425</x:v>
      </x:c>
      <x:c r="X1078" s="9" t="n">
        <x:f>H1078*Z1077/(v01_AdultYears*4)</x:f>
        <x:v>16.129946443283607</x:v>
      </x:c>
      <x:c r="Y1078" s="32" t="n">
        <x:f>Y1077+R1078-S1078-W1078-Y1077*V1078/AB1077</x:f>
        <x:v>2036.9977046597342</x:v>
      </x:c>
      <x:c r="Z1078" s="32" t="n">
        <x:f>Z1077+W1078-X1078-T1078-Z1077*V1078/AB1077</x:f>
        <x:v>2015.1018134265498</x:v>
      </x:c>
      <x:c r="AA1078" s="32" t="n">
        <x:f>AA1077+X1078-U1078-AA1077*V1078/AB1077</x:f>
        <x:v>732.5119417858094</x:v>
      </x:c>
      <x:c r="AB1078" s="10" t="n">
        <x:f>Y1078+Z1078+AA1078</x:f>
        <x:v>4784.611459872093</x:v>
      </x:c>
      <x:c r="AC1078" s="8" t="n">
        <x:f>IF(AND(v01_WinterTrigger=1,D1078=1,AB1077/AE1077&gt;=K1078),1,0)</x:f>
        <x:v>0</x:v>
      </x:c>
      <x:c r="AD1078" s="8" t="n">
        <x:f>H1078*IF(AND(OR(AB1077/AE1077&gt;=v01_FissionTrigger*N1078,AC1078=1),AB1077/AE1077*v01_DaughterShare&gt;=v01_MinDaughter),MAX(1,ROUND(AE1077*v01_FissionRate,0)),0)</x:f>
        <x:v>0</x:v>
      </x:c>
      <x:c r="AE1078" s="8" t="n">
        <x:f>IF(H1078=1,MAX(1,MIN(INDEX(v01_Smax,G1078),AE1077+AD1078)),AE1077)</x:f>
        <x:v>16</x:v>
      </x:c>
      <x:c r="AF1078" s="8" t="n">
        <x:f>MAX(0,AE1078-AE1077)</x:f>
        <x:v>0</x:v>
      </x:c>
      <x:c r="AG1078" s="9" t="str">
        <x:f>IF(AF1078&gt;0,B1078,"")</x:f>
      </x:c>
      <x:c r="AH1078" s="9" t="n">
        <x:f>IF(F1078&gt;=1,1,(1+v01_LowTiesShare*(AE1078-1))/AE1078)</x:f>
        <x:v>1</x:v>
      </x:c>
      <x:c r="AI1078" s="32" t="n">
        <x:f>(Z1078+v01_ElderCommons*INDEX(LM_Elder,G1078)*AA1078)*AH1078</x:f>
        <x:v>4472.021557671708</x:v>
      </x:c>
      <x:c r="AJ1078" s="32" t="n">
        <x:f>H1078*v01_CommonsCoef*AI1078^v01_CommonsExp*INDEX(LM_Commons,G1078)</x:f>
        <x:v>1010.0883918437822</x:v>
      </x:c>
      <x:c r="AK1078" s="32" t="n">
        <x:f>H1078*v01_RoleScale*Arch_Roles*(AE1078*(INDEX(v01_ElderRolePerSett,G1078)*v01_OutElder*INDEX(LM_Elder,G1078)+INDEX(v01_ShamanPerSett,G1078)*v01_OutShaman)+Z1078*(INDEX(v01_PriestShare,G1078)*v01_OutPriest+INDEX(v01_ScribeShare,G1078)*v01_OutScribe*INDEX(LM_Scribe,G1078)+INDEX(v01_ScholarShare,G1078)*v01_OutScholar*INDEX(LM_Scholar,G1078)+INDEX(v01_ResearcherShare,G1078)*v01_OutResearcher*INDEX(LM_Researcher,G1078)))</x:f>
        <x:v>193.72943394741787</x:v>
      </x:c>
      <x:c r="AL1078" s="32" t="n">
        <x:f>H1078*v01_RoleScale*Arch_Roles*AE1078*INDEX(v01_MonasteryPerSett,G1078)*v01_OutMonastery*INDEX(LM_Monastery,G1078)</x:f>
        <x:v>5.034282471216728</x:v>
      </x:c>
      <x:c r="AM1078" s="32" t="n">
        <x:f>(AJ1078+AK1078+AL1078)/4*INDEX(LM_All,G1078)*INDEX(v01_Boon,G1078)*Arch_Insight</x:f>
        <x:v>435.61002778488154</x:v>
      </x:c>
      <x:c r="AN1078" s="32" t="n">
        <x:f>H1078*(v01_KHPerAdult*Z1078+v01_KHOfCommons*AJ1078/4*INDEX(LM_All,G1078))*v01_KHUsable*Arch_KH</x:f>
        <x:v>70.52856346992924</x:v>
      </x:c>
      <x:c r="AO1078" s="32" t="n">
        <x:f>MIN(AP1077+AN1078,AM1078*v01_KHMaxRatio)</x:f>
        <x:v>70.52856346992924</x:v>
      </x:c>
      <x:c r="AP1078" s="32" t="n">
        <x:f>AP1077+AN1078-AO1078</x:f>
        <x:v>0</x:v>
      </x:c>
      <x:c r="AQ1078" s="32" t="n">
        <x:f>AM1078+AO1078</x:f>
        <x:v>506.13859125481076</x:v>
      </x:c>
      <x:c r="AR1078" s="10" t="n">
        <x:f>IF(H1078=1,INDEX(v01_Req,G1078),0)</x:f>
        <x:v>47951.22698</x:v>
      </x:c>
      <x:c r="AS1078" s="32" t="n">
        <x:f>IF(H1078=1,IF(E1078=1,AS1077-AR1077,AS1077)+AQ1078,0)</x:f>
        <x:v>23462.56755671937</x:v>
      </x:c>
      <x:c r="AT1078" s="11" t="n">
        <x:f>IF(AR1078&gt;0,MIN(1,AS1078/AR1078),1)</x:f>
        <x:v>0.4893006714198446</x:v>
      </x:c>
      <x:c r="AU1078" s="10" t="n">
        <x:f>AB1078/INDEX(v01_RepScale,G1078)</x:f>
        <x:v>191.38445839488372</x:v>
      </x:c>
      <x:c r="AV1078" s="32" t="n">
        <x:f>AM1078*60/v01_SeasonSeconds</x:f>
        <x:v>1742.4401111395262</x:v>
      </x:c>
    </x:row>
    <x:row r="1079">
      <x:c r="A1079" s="8" t="n">
        <x:f>A1078+1</x:f>
        <x:v>1076</x:v>
      </x:c>
      <x:c r="B1079" s="9" t="n">
        <x:f>A1079*v01_SeasonSeconds/60</x:f>
        <x:v>269</x:v>
      </x:c>
      <x:c r="C1079" s="9" t="n">
        <x:f>A1079/4</x:f>
        <x:v>269</x:v>
      </x:c>
      <x:c r="D1079" s="8" t="n">
        <x:f>IF(MOD(A1079,4)=0,1,0)</x:f>
        <x:v>1</x:v>
      </x:c>
      <x:c r="E1079" s="8" t="n">
        <x:f>IF(AND(F1078&lt;=9,AS1078&gt;=AR1078),1,0)</x:f>
        <x:v>0</x:v>
      </x:c>
      <x:c r="F1079" s="8" t="n">
        <x:f>MIN(10,F1078+E1079)</x:f>
        <x:v>5</x:v>
      </x:c>
      <x:c r="G1079" s="8" t="n">
        <x:f>MIN(F1079,9)+1</x:f>
        <x:v>6</x:v>
      </x:c>
      <x:c r="H1079" s="8" t="n">
        <x:f>IF(F1079&lt;=9,1,0)</x:f>
        <x:v>1</x:v>
      </x:c>
      <x:c r="I1079" s="9" t="n">
        <x:f>MIN(10,F1078+IF(AR1078&gt;0,MIN(1,AS1078/AR1078),1))</x:f>
        <x:v>5.489300671419844</x:v>
      </x:c>
      <x:c r="J1079" s="32" t="n">
        <x:f>INDEX(v01_FoodCap,G1079)*Arch_FoodCap*EXP(v01_CapsByProject*SUMPRODUCT((Cap_Point&lt;=I1079)*(Cap_Kind="Food")*Cap_Ln))</x:f>
        <x:v>500</x:v>
      </x:c>
      <x:c r="K1079" s="32" t="n">
        <x:f>J1079*MIN(1,v01_LeanBase*EXP(v01_CapsByProject*SUMPRODUCT((Cap_Point&lt;=I1079)*(Cap_Kind="Lean")*Cap_Ln)))</x:f>
        <x:v>500</x:v>
      </x:c>
      <x:c r="L1079" s="10" t="n">
        <x:f>INDEX(v01_HousingCap,G1079)*EXP(v01_CapsByProject*SUMPRODUCT((Cap_Point&lt;=I1079)*(Cap_Kind="Housing")*Cap_Ln))</x:f>
        <x:v>800</x:v>
      </x:c>
      <x:c r="M1079" s="10" t="n">
        <x:f>INDEX(v01_GroupCap,G1079)*v01_CohesionFactor*EXP(v01_CapsByProject*SUMPRODUCT((Cap_Point&lt;=I1079)*(Cap_Kind="Group")*Cap_Ln))</x:f>
        <x:v>10000</x:v>
      </x:c>
      <x:c r="N1079" s="32" t="n">
        <x:f>MIN(J1079,L1079,M1079)</x:f>
        <x:v>500</x:v>
      </x:c>
      <x:c r="O1079" s="10" t="n">
        <x:f>AE1078*N1079</x:f>
        <x:v>8000</x:v>
      </x:c>
      <x:c r="P1079" s="9" t="n">
        <x:f>MIN(1,(AB1078/(AE1078*IF(v01_GroupInCrowding=1,N1079,MIN(J1079,L1079))))^v01_CrowdingExp)</x:f>
        <x:v>0.04576570268404819</x:v>
      </x:c>
      <x:c r="Q1079" s="9" t="n">
        <x:f>IF(D1079=1,INDEX(v01_WinterMult,G1079),1)</x:f>
        <x:v>1</x:v>
      </x:c>
      <x:c r="R1079" s="9" t="n">
        <x:f>H1079*Z1078*v01_WomenShare*v01_BaseFertility*INDEX(v01_FertMult,G1079)*Arch_Fertility*(1-P1079)</x:f>
        <x:v>63.45501567752107</x:v>
      </x:c>
      <x:c r="S1079" s="9" t="n">
        <x:f>H1079*Y1078*INDEX(v01_MortChild,G1079)/4*Q1079</x:f>
        <x:v>12.731235654123338</x:v>
      </x:c>
      <x:c r="T1079" s="9" t="n">
        <x:f>H1079*Z1078*INDEX(v01_MortAdult,G1079)*Arch_AdultMort/4*Q1079</x:f>
        <x:v>5.037754533566375</x:v>
      </x:c>
      <x:c r="U1079" s="9" t="n">
        <x:f>H1079*AA1078*INDEX(v01_MortElder,G1079)/4*Q1079</x:f>
        <x:v>10.98767912678714</x:v>
      </x:c>
      <x:c r="V1079" s="9" t="n">
        <x:f>H1079*MAX(0,AB1078-O1079)*v01_OvercapLoss</x:f>
        <x:v>0</x:v>
      </x:c>
      <x:c r="W1079" s="9" t="n">
        <x:f>H1079*Y1078/(v01_ChildYears*4)</x:f>
        <x:v>36.374959011780966</x:v>
      </x:c>
      <x:c r="X1079" s="9" t="n">
        <x:f>H1079*Z1078/(v01_AdultYears*4)</x:f>
        <x:v>16.250821076020564</x:v>
      </x:c>
      <x:c r="Y1079" s="32" t="n">
        <x:f>Y1078+R1079-S1079-W1079-Y1078*V1079/AB1078</x:f>
        <x:v>2051.346525671351</x:v>
      </x:c>
      <x:c r="Z1079" s="32" t="n">
        <x:f>Z1078+W1079-X1079-T1079-Z1078*V1079/AB1078</x:f>
        <x:v>2030.188196828744</x:v>
      </x:c>
      <x:c r="AA1079" s="32" t="n">
        <x:f>AA1078+X1079-U1079-AA1078*V1079/AB1078</x:f>
        <x:v>737.7750837350428</x:v>
      </x:c>
      <x:c r="AB1079" s="10" t="n">
        <x:f>Y1079+Z1079+AA1079</x:f>
        <x:v>4819.309806235138</x:v>
      </x:c>
      <x:c r="AC1079" s="8" t="n">
        <x:f>IF(AND(v01_WinterTrigger=1,D1079=1,AB1078/AE1078&gt;=K1079),1,0)</x:f>
        <x:v>0</x:v>
      </x:c>
      <x:c r="AD1079" s="8" t="n">
        <x:f>H1079*IF(AND(OR(AB1078/AE1078&gt;=v01_FissionTrigger*N1079,AC1079=1),AB1078/AE1078*v01_DaughterShare&gt;=v01_MinDaughter),MAX(1,ROUND(AE1078*v01_FissionRate,0)),0)</x:f>
        <x:v>0</x:v>
      </x:c>
      <x:c r="AE1079" s="8" t="n">
        <x:f>IF(H1079=1,MAX(1,MIN(INDEX(v01_Smax,G1079),AE1078+AD1079)),AE1078)</x:f>
        <x:v>16</x:v>
      </x:c>
      <x:c r="AF1079" s="8" t="n">
        <x:f>MAX(0,AE1079-AE1078)</x:f>
        <x:v>0</x:v>
      </x:c>
      <x:c r="AG1079" s="9" t="str">
        <x:f>IF(AF1079&gt;0,B1079,"")</x:f>
      </x:c>
      <x:c r="AH1079" s="9" t="n">
        <x:f>IF(F1079&gt;=1,1,(1+v01_LowTiesShare*(AE1079-1))/AE1079)</x:f>
        <x:v>1</x:v>
      </x:c>
      <x:c r="AI1079" s="32" t="n">
        <x:f>(Z1079+v01_ElderCommons*INDEX(LM_Elder,G1079)*AA1079)*AH1079</x:f>
        <x:v>4504.761055834477</x:v>
      </x:c>
      <x:c r="AJ1079" s="32" t="n">
        <x:f>H1079*v01_CommonsCoef*AI1079^v01_CommonsExp*INDEX(LM_Commons,G1079)</x:f>
        <x:v>1016.3705458383251</x:v>
      </x:c>
      <x:c r="AK1079" s="32" t="n">
        <x:f>H1079*v01_RoleScale*Arch_Roles*(AE1079*(INDEX(v01_ElderRolePerSett,G1079)*v01_OutElder*INDEX(LM_Elder,G1079)+INDEX(v01_ShamanPerSett,G1079)*v01_OutShaman)+Z1079*(INDEX(v01_PriestShare,G1079)*v01_OutPriest+INDEX(v01_ScribeShare,G1079)*v01_OutScribe*INDEX(LM_Scribe,G1079)+INDEX(v01_ScholarShare,G1079)*v01_OutScholar*INDEX(LM_Scholar,G1079)+INDEX(v01_ResearcherShare,G1079)*v01_OutResearcher*INDEX(LM_Researcher,G1079)))</x:f>
        <x:v>194.79925243248948</x:v>
      </x:c>
      <x:c r="AL1079" s="32" t="n">
        <x:f>H1079*v01_RoleScale*Arch_Roles*AE1079*INDEX(v01_MonasteryPerSett,G1079)*v01_OutMonastery*INDEX(LM_Monastery,G1079)</x:f>
        <x:v>5.034282471216728</x:v>
      </x:c>
      <x:c r="AM1079" s="32" t="n">
        <x:f>(AJ1079+AK1079+AL1079)/4*INDEX(LM_All,G1079)*INDEX(v01_Boon,G1079)*Arch_Insight</x:f>
        <x:v>438.25931210529524</x:v>
      </x:c>
      <x:c r="AN1079" s="32" t="n">
        <x:f>H1079*(v01_KHPerAdult*Z1079+v01_KHOfCommons*AJ1079/4*INDEX(LM_All,G1079))*v01_KHUsable*Arch_KH</x:f>
        <x:v>71.05658688900604</x:v>
      </x:c>
      <x:c r="AO1079" s="32" t="n">
        <x:f>MIN(AP1078+AN1079,AM1079*v01_KHMaxRatio)</x:f>
        <x:v>71.05658688900604</x:v>
      </x:c>
      <x:c r="AP1079" s="32" t="n">
        <x:f>AP1078+AN1079-AO1079</x:f>
        <x:v>0</x:v>
      </x:c>
      <x:c r="AQ1079" s="32" t="n">
        <x:f>AM1079+AO1079</x:f>
        <x:v>509.3158989943013</x:v>
      </x:c>
      <x:c r="AR1079" s="10" t="n">
        <x:f>IF(H1079=1,INDEX(v01_Req,G1079),0)</x:f>
        <x:v>47951.22698</x:v>
      </x:c>
      <x:c r="AS1079" s="32" t="n">
        <x:f>IF(H1079=1,IF(E1079=1,AS1078-AR1078,AS1078)+AQ1079,0)</x:f>
        <x:v>23971.88345571367</x:v>
      </x:c>
      <x:c r="AT1079" s="11" t="n">
        <x:f>IF(AR1079&gt;0,MIN(1,AS1079/AR1079),1)</x:f>
        <x:v>0.4999222119115349</x:v>
      </x:c>
      <x:c r="AU1079" s="10" t="n">
        <x:f>AB1079/INDEX(v01_RepScale,G1079)</x:f>
        <x:v>192.77239224940553</x:v>
      </x:c>
      <x:c r="AV1079" s="32" t="n">
        <x:f>AM1079*60/v01_SeasonSeconds</x:f>
        <x:v>1753.037248421181</x:v>
      </x:c>
    </x:row>
    <x:row r="1080">
      <x:c r="A1080" s="8" t="n">
        <x:f>A1079+1</x:f>
        <x:v>1077</x:v>
      </x:c>
      <x:c r="B1080" s="9" t="n">
        <x:f>A1080*v01_SeasonSeconds/60</x:f>
        <x:v>269.25</x:v>
      </x:c>
      <x:c r="C1080" s="9" t="n">
        <x:f>A1080/4</x:f>
        <x:v>269.25</x:v>
      </x:c>
      <x:c r="D1080" s="8" t="n">
        <x:f>IF(MOD(A1080,4)=0,1,0)</x:f>
        <x:v>0</x:v>
      </x:c>
      <x:c r="E1080" s="8" t="n">
        <x:f>IF(AND(F1079&lt;=9,AS1079&gt;=AR1079),1,0)</x:f>
        <x:v>0</x:v>
      </x:c>
      <x:c r="F1080" s="8" t="n">
        <x:f>MIN(10,F1079+E1080)</x:f>
        <x:v>5</x:v>
      </x:c>
      <x:c r="G1080" s="8" t="n">
        <x:f>MIN(F1080,9)+1</x:f>
        <x:v>6</x:v>
      </x:c>
      <x:c r="H1080" s="8" t="n">
        <x:f>IF(F1080&lt;=9,1,0)</x:f>
        <x:v>1</x:v>
      </x:c>
      <x:c r="I1080" s="9" t="n">
        <x:f>MIN(10,F1079+IF(AR1079&gt;0,MIN(1,AS1079/AR1079),1))</x:f>
        <x:v>5.499922211911535</x:v>
      </x:c>
      <x:c r="J1080" s="32" t="n">
        <x:f>INDEX(v01_FoodCap,G1080)*Arch_FoodCap*EXP(v01_CapsByProject*SUMPRODUCT((Cap_Point&lt;=I1080)*(Cap_Kind="Food")*Cap_Ln))</x:f>
        <x:v>500</x:v>
      </x:c>
      <x:c r="K1080" s="32" t="n">
        <x:f>J1080*MIN(1,v01_LeanBase*EXP(v01_CapsByProject*SUMPRODUCT((Cap_Point&lt;=I1080)*(Cap_Kind="Lean")*Cap_Ln)))</x:f>
        <x:v>500</x:v>
      </x:c>
      <x:c r="L1080" s="10" t="n">
        <x:f>INDEX(v01_HousingCap,G1080)*EXP(v01_CapsByProject*SUMPRODUCT((Cap_Point&lt;=I1080)*(Cap_Kind="Housing")*Cap_Ln))</x:f>
        <x:v>800</x:v>
      </x:c>
      <x:c r="M1080" s="10" t="n">
        <x:f>INDEX(v01_GroupCap,G1080)*v01_CohesionFactor*EXP(v01_CapsByProject*SUMPRODUCT((Cap_Point&lt;=I1080)*(Cap_Kind="Group")*Cap_Ln))</x:f>
        <x:v>10000</x:v>
      </x:c>
      <x:c r="N1080" s="32" t="n">
        <x:f>MIN(J1080,L1080,M1080)</x:f>
        <x:v>500</x:v>
      </x:c>
      <x:c r="O1080" s="10" t="n">
        <x:f>AE1079*N1080</x:f>
        <x:v>8000</x:v>
      </x:c>
      <x:c r="P1080" s="9" t="n">
        <x:f>MIN(1,(AB1079/(AE1079*IF(v01_GroupInCrowding=1,N1080,MIN(J1080,L1080))))^v01_CrowdingExp)</x:f>
        <x:v>0.047793534717632695</x:v>
      </x:c>
      <x:c r="Q1080" s="9" t="n">
        <x:f>IF(D1080=1,INDEX(v01_WinterMult,G1080),1)</x:f>
        <x:v>1</x:v>
      </x:c>
      <x:c r="R1080" s="9" t="n">
        <x:f>H1080*Z1079*v01_WomenShare*v01_BaseFertility*INDEX(v01_FertMult,G1080)*Arch_Fertility*(1-P1080)</x:f>
        <x:v>63.79422478308928</x:v>
      </x:c>
      <x:c r="S1080" s="9" t="n">
        <x:f>H1080*Y1079*INDEX(v01_MortChild,G1080)/4*Q1080</x:f>
        <x:v>12.820915785445946</x:v>
      </x:c>
      <x:c r="T1080" s="9" t="n">
        <x:f>H1080*Z1079*INDEX(v01_MortAdult,G1080)*Arch_AdultMort/4*Q1080</x:f>
        <x:v>5.07547049207186</x:v>
      </x:c>
      <x:c r="U1080" s="9" t="n">
        <x:f>H1080*AA1079*INDEX(v01_MortElder,G1080)/4*Q1080</x:f>
        <x:v>11.066626256025641</x:v>
      </x:c>
      <x:c r="V1080" s="9" t="n">
        <x:f>H1080*MAX(0,AB1079-O1080)*v01_OvercapLoss</x:f>
        <x:v>0</x:v>
      </x:c>
      <x:c r="W1080" s="9" t="n">
        <x:f>H1080*Y1079/(v01_ChildYears*4)</x:f>
        <x:v>36.63118795841699</x:v>
      </x:c>
      <x:c r="X1080" s="9" t="n">
        <x:f>H1080*Z1079/(v01_AdultYears*4)</x:f>
        <x:v>16.37248545829632</x:v>
      </x:c>
      <x:c r="Y1080" s="32" t="n">
        <x:f>Y1079+R1080-S1080-W1080-Y1079*V1080/AB1079</x:f>
        <x:v>2065.688646710578</x:v>
      </x:c>
      <x:c r="Z1080" s="32" t="n">
        <x:f>Z1079+W1080-X1080-T1080-Z1079*V1080/AB1079</x:f>
        <x:v>2045.3714288367923</x:v>
      </x:c>
      <x:c r="AA1080" s="32" t="n">
        <x:f>AA1079+X1080-U1080-AA1079*V1080/AB1079</x:f>
        <x:v>743.0809429373135</x:v>
      </x:c>
      <x:c r="AB1080" s="10" t="n">
        <x:f>Y1080+Z1080+AA1080</x:f>
        <x:v>4854.141018484683</x:v>
      </x:c>
      <x:c r="AC1080" s="8" t="n">
        <x:f>IF(AND(v01_WinterTrigger=1,D1080=1,AB1079/AE1079&gt;=K1080),1,0)</x:f>
        <x:v>0</x:v>
      </x:c>
      <x:c r="AD1080" s="8" t="n">
        <x:f>H1080*IF(AND(OR(AB1079/AE1079&gt;=v01_FissionTrigger*N1080,AC1080=1),AB1079/AE1079*v01_DaughterShare&gt;=v01_MinDaughter),MAX(1,ROUND(AE1079*v01_FissionRate,0)),0)</x:f>
        <x:v>0</x:v>
      </x:c>
      <x:c r="AE1080" s="8" t="n">
        <x:f>IF(H1080=1,MAX(1,MIN(INDEX(v01_Smax,G1080),AE1079+AD1080)),AE1079)</x:f>
        <x:v>16</x:v>
      </x:c>
      <x:c r="AF1080" s="8" t="n">
        <x:f>MAX(0,AE1080-AE1079)</x:f>
        <x:v>0</x:v>
      </x:c>
      <x:c r="AG1080" s="9" t="str">
        <x:f>IF(AF1080&gt;0,B1080,"")</x:f>
      </x:c>
      <x:c r="AH1080" s="9" t="n">
        <x:f>IF(F1080&gt;=1,1,(1+v01_LowTiesShare*(AE1080-1))/AE1080)</x:f>
        <x:v>1</x:v>
      </x:c>
      <x:c r="AI1080" s="32" t="n">
        <x:f>(Z1080+v01_ElderCommons*INDEX(LM_Elder,G1080)*AA1080)*AH1080</x:f>
        <x:v>4537.740680625506</x:v>
      </x:c>
      <x:c r="AJ1080" s="32" t="n">
        <x:f>H1080*v01_CommonsCoef*AI1080^v01_CommonsExp*INDEX(LM_Commons,G1080)</x:f>
        <x:v>1022.6918558020677</x:v>
      </x:c>
      <x:c r="AK1080" s="32" t="n">
        <x:f>H1080*v01_RoleScale*Arch_Roles*(AE1080*(INDEX(v01_ElderRolePerSett,G1080)*v01_OutElder*INDEX(LM_Elder,G1080)+INDEX(v01_ShamanPerSett,G1080)*v01_OutShaman)+Z1080*(INDEX(v01_PriestShare,G1080)*v01_OutPriest+INDEX(v01_ScribeShare,G1080)*v01_OutScribe*INDEX(LM_Scribe,G1080)+INDEX(v01_ScholarShare,G1080)*v01_OutScholar*INDEX(LM_Scholar,G1080)+INDEX(v01_ResearcherShare,G1080)*v01_OutResearcher*INDEX(LM_Researcher,G1080)))</x:f>
        <x:v>195.8759387284892</x:v>
      </x:c>
      <x:c r="AL1080" s="32" t="n">
        <x:f>H1080*v01_RoleScale*Arch_Roles*AE1080*INDEX(v01_MonasteryPerSett,G1080)*v01_OutMonastery*INDEX(LM_Monastery,G1080)</x:f>
        <x:v>5.034282471216728</x:v>
      </x:c>
      <x:c r="AM1080" s="32" t="n">
        <x:f>(AJ1080+AK1080+AL1080)/4*INDEX(LM_All,G1080)*INDEX(v01_Boon,G1080)*Arch_Insight</x:f>
        <x:v>440.92518110137195</x:v>
      </x:c>
      <x:c r="AN1080" s="32" t="n">
        <x:f>H1080*(v01_KHPerAdult*Z1080+v01_KHOfCommons*AJ1080/4*INDEX(LM_All,G1080))*v01_KHUsable*Arch_KH</x:f>
        <x:v>71.58800000928774</x:v>
      </x:c>
      <x:c r="AO1080" s="32" t="n">
        <x:f>MIN(AP1079+AN1080,AM1080*v01_KHMaxRatio)</x:f>
        <x:v>71.58800000928774</x:v>
      </x:c>
      <x:c r="AP1080" s="32" t="n">
        <x:f>AP1079+AN1080-AO1080</x:f>
        <x:v>0</x:v>
      </x:c>
      <x:c r="AQ1080" s="32" t="n">
        <x:f>AM1080+AO1080</x:f>
        <x:v>512.5131811106597</x:v>
      </x:c>
      <x:c r="AR1080" s="10" t="n">
        <x:f>IF(H1080=1,INDEX(v01_Req,G1080),0)</x:f>
        <x:v>47951.22698</x:v>
      </x:c>
      <x:c r="AS1080" s="32" t="n">
        <x:f>IF(H1080=1,IF(E1080=1,AS1079-AR1079,AS1079)+AQ1080,0)</x:f>
        <x:v>24484.396636824327</x:v>
      </x:c>
      <x:c r="AT1080" s="11" t="n">
        <x:f>IF(AR1080&gt;0,MIN(1,AS1080/AR1080),1)</x:f>
        <x:v>0.5106104301989297</x:v>
      </x:c>
      <x:c r="AU1080" s="10" t="n">
        <x:f>AB1080/INDEX(v01_RepScale,G1080)</x:f>
        <x:v>194.1656407393873</x:v>
      </x:c>
      <x:c r="AV1080" s="32" t="n">
        <x:f>AM1080*60/v01_SeasonSeconds</x:f>
        <x:v>1763.7007244054878</x:v>
      </x:c>
    </x:row>
    <x:row r="1081">
      <x:c r="A1081" s="8" t="n">
        <x:f>A1080+1</x:f>
        <x:v>1078</x:v>
      </x:c>
      <x:c r="B1081" s="9" t="n">
        <x:f>A1081*v01_SeasonSeconds/60</x:f>
        <x:v>269.5</x:v>
      </x:c>
      <x:c r="C1081" s="9" t="n">
        <x:f>A1081/4</x:f>
        <x:v>269.5</x:v>
      </x:c>
      <x:c r="D1081" s="8" t="n">
        <x:f>IF(MOD(A1081,4)=0,1,0)</x:f>
        <x:v>0</x:v>
      </x:c>
      <x:c r="E1081" s="8" t="n">
        <x:f>IF(AND(F1080&lt;=9,AS1080&gt;=AR1080),1,0)</x:f>
        <x:v>0</x:v>
      </x:c>
      <x:c r="F1081" s="8" t="n">
        <x:f>MIN(10,F1080+E1081)</x:f>
        <x:v>5</x:v>
      </x:c>
      <x:c r="G1081" s="8" t="n">
        <x:f>MIN(F1081,9)+1</x:f>
        <x:v>6</x:v>
      </x:c>
      <x:c r="H1081" s="8" t="n">
        <x:f>IF(F1081&lt;=9,1,0)</x:f>
        <x:v>1</x:v>
      </x:c>
      <x:c r="I1081" s="9" t="n">
        <x:f>MIN(10,F1080+IF(AR1080&gt;0,MIN(1,AS1080/AR1080),1))</x:f>
        <x:v>5.51061043019893</x:v>
      </x:c>
      <x:c r="J1081" s="32" t="n">
        <x:f>INDEX(v01_FoodCap,G1081)*Arch_FoodCap*EXP(v01_CapsByProject*SUMPRODUCT((Cap_Point&lt;=I1081)*(Cap_Kind="Food")*Cap_Ln))</x:f>
        <x:v>500</x:v>
      </x:c>
      <x:c r="K1081" s="32" t="n">
        <x:f>J1081*MIN(1,v01_LeanBase*EXP(v01_CapsByProject*SUMPRODUCT((Cap_Point&lt;=I1081)*(Cap_Kind="Lean")*Cap_Ln)))</x:f>
        <x:v>500</x:v>
      </x:c>
      <x:c r="L1081" s="10" t="n">
        <x:f>INDEX(v01_HousingCap,G1081)*EXP(v01_CapsByProject*SUMPRODUCT((Cap_Point&lt;=I1081)*(Cap_Kind="Housing")*Cap_Ln))</x:f>
        <x:v>800</x:v>
      </x:c>
      <x:c r="M1081" s="10" t="n">
        <x:f>INDEX(v01_GroupCap,G1081)*v01_CohesionFactor*EXP(v01_CapsByProject*SUMPRODUCT((Cap_Point&lt;=I1081)*(Cap_Kind="Group")*Cap_Ln))</x:f>
        <x:v>10000</x:v>
      </x:c>
      <x:c r="N1081" s="32" t="n">
        <x:f>MIN(J1081,L1081,M1081)</x:f>
        <x:v>500</x:v>
      </x:c>
      <x:c r="O1081" s="10" t="n">
        <x:f>AE1080*N1081</x:f>
        <x:v>8000</x:v>
      </x:c>
      <x:c r="P1081" s="9" t="n">
        <x:f>MIN(1,(AB1080/(AE1080*IF(v01_GroupInCrowding=1,N1081,MIN(J1081,L1081))))^v01_CrowdingExp)</x:f>
        <x:v>0.04990389133051078</x:v>
      </x:c>
      <x:c r="Q1081" s="9" t="n">
        <x:f>IF(D1081=1,INDEX(v01_WinterMult,G1081),1)</x:f>
        <x:v>1</x:v>
      </x:c>
      <x:c r="R1081" s="9" t="n">
        <x:f>H1081*Z1080*v01_WomenShare*v01_BaseFertility*INDEX(v01_FertMult,G1081)*Arch_Fertility*(1-P1081)</x:f>
        <x:v>64.12888136561246</x:v>
      </x:c>
      <x:c r="S1081" s="9" t="n">
        <x:f>H1081*Y1080*INDEX(v01_MortChild,G1081)/4*Q1081</x:f>
        <x:v>12.910554041941111</x:v>
      </x:c>
      <x:c r="T1081" s="9" t="n">
        <x:f>H1081*Z1080*INDEX(v01_MortAdult,G1081)*Arch_AdultMort/4*Q1081</x:f>
        <x:v>5.113428572091981</x:v>
      </x:c>
      <x:c r="U1081" s="9" t="n">
        <x:f>H1081*AA1080*INDEX(v01_MortElder,G1081)/4*Q1081</x:f>
        <x:v>11.146214144059702</x:v>
      </x:c>
      <x:c r="V1081" s="9" t="n">
        <x:f>H1081*MAX(0,AB1080-O1081)*v01_OvercapLoss</x:f>
        <x:v>0</x:v>
      </x:c>
      <x:c r="W1081" s="9" t="n">
        <x:f>H1081*Y1080/(v01_ChildYears*4)</x:f>
        <x:v>36.88729726268889</x:v>
      </x:c>
      <x:c r="X1081" s="9" t="n">
        <x:f>H1081*Z1080/(v01_AdultYears*4)</x:f>
        <x:v>16.49493087771607</x:v>
      </x:c>
      <x:c r="Y1081" s="32" t="n">
        <x:f>Y1080+R1081-S1081-W1081-Y1080*V1081/AB1080</x:f>
        <x:v>2080.0196767715606</x:v>
      </x:c>
      <x:c r="Z1081" s="32" t="n">
        <x:f>Z1080+W1081-X1081-T1081-Z1080*V1081/AB1080</x:f>
        <x:v>2060.6503666496737</x:v>
      </x:c>
      <x:c r="AA1081" s="32" t="n">
        <x:f>AA1080+X1081-U1081-AA1080*V1081/AB1080</x:f>
        <x:v>748.4296596709698</x:v>
      </x:c>
      <x:c r="AB1081" s="10" t="n">
        <x:f>Y1081+Z1081+AA1081</x:f>
        <x:v>4889.099703092204</x:v>
      </x:c>
      <x:c r="AC1081" s="8" t="n">
        <x:f>IF(AND(v01_WinterTrigger=1,D1081=1,AB1080/AE1080&gt;=K1081),1,0)</x:f>
        <x:v>0</x:v>
      </x:c>
      <x:c r="AD1081" s="8" t="n">
        <x:f>H1081*IF(AND(OR(AB1080/AE1080&gt;=v01_FissionTrigger*N1081,AC1081=1),AB1080/AE1080*v01_DaughterShare&gt;=v01_MinDaughter),MAX(1,ROUND(AE1080*v01_FissionRate,0)),0)</x:f>
        <x:v>0</x:v>
      </x:c>
      <x:c r="AE1081" s="8" t="n">
        <x:f>IF(H1081=1,MAX(1,MIN(INDEX(v01_Smax,G1081),AE1080+AD1081)),AE1080)</x:f>
        <x:v>16</x:v>
      </x:c>
      <x:c r="AF1081" s="8" t="n">
        <x:f>MAX(0,AE1081-AE1080)</x:f>
        <x:v>0</x:v>
      </x:c>
      <x:c r="AG1081" s="9" t="str">
        <x:f>IF(AF1081&gt;0,B1081,"")</x:f>
      </x:c>
      <x:c r="AH1081" s="9" t="n">
        <x:f>IF(F1081&gt;=1,1,(1+v01_LowTiesShare*(AE1081-1))/AE1081)</x:f>
        <x:v>1</x:v>
      </x:c>
      <x:c r="AI1081" s="32" t="n">
        <x:f>(Z1081+v01_ElderCommons*INDEX(LM_Elder,G1081)*AA1081)*AH1081</x:f>
        <x:v>4570.959759751656</x:v>
      </x:c>
      <x:c r="AJ1081" s="32" t="n">
        <x:f>H1081*v01_CommonsCoef*AI1081^v01_CommonsExp*INDEX(LM_Commons,G1081)</x:f>
        <x:v>1029.0521000264682</x:v>
      </x:c>
      <x:c r="AK1081" s="32" t="n">
        <x:f>H1081*v01_RoleScale*Arch_Roles*(AE1081*(INDEX(v01_ElderRolePerSett,G1081)*v01_OutElder*INDEX(LM_Elder,G1081)+INDEX(v01_ShamanPerSett,G1081)*v01_OutShaman)+Z1081*(INDEX(v01_PriestShare,G1081)*v01_OutPriest+INDEX(v01_ScribeShare,G1081)*v01_OutScribe*INDEX(LM_Scribe,G1081)+INDEX(v01_ScholarShare,G1081)*v01_OutScholar*INDEX(LM_Scholar,G1081)+INDEX(v01_ResearcherShare,G1081)*v01_OutResearcher*INDEX(LM_Researcher,G1081)))</x:f>
        <x:v>196.95941179613658</x:v>
      </x:c>
      <x:c r="AL1081" s="32" t="n">
        <x:f>H1081*v01_RoleScale*Arch_Roles*AE1081*INDEX(v01_MonasteryPerSett,G1081)*v01_OutMonastery*INDEX(LM_Monastery,G1081)</x:f>
        <x:v>5.034282471216728</x:v>
      </x:c>
      <x:c r="AM1081" s="32" t="n">
        <x:f>(AJ1081+AK1081+AL1081)/4*INDEX(LM_All,G1081)*INDEX(v01_Boon,G1081)*Arch_Insight</x:f>
        <x:v>443.60752567789143</x:v>
      </x:c>
      <x:c r="AN1081" s="32" t="n">
        <x:f>H1081*(v01_KHPerAdult*Z1081+v01_KHOfCommons*AJ1081/4*INDEX(LM_All,G1081))*v01_KHUsable*Arch_KH</x:f>
        <x:v>72.12276283273857</x:v>
      </x:c>
      <x:c r="AO1081" s="32" t="n">
        <x:f>MIN(AP1080+AN1081,AM1081*v01_KHMaxRatio)</x:f>
        <x:v>72.12276283273857</x:v>
      </x:c>
      <x:c r="AP1081" s="32" t="n">
        <x:f>AP1080+AN1081-AO1081</x:f>
        <x:v>0</x:v>
      </x:c>
      <x:c r="AQ1081" s="32" t="n">
        <x:f>AM1081+AO1081</x:f>
        <x:v>515.73028851063</x:v>
      </x:c>
      <x:c r="AR1081" s="10" t="n">
        <x:f>IF(H1081=1,INDEX(v01_Req,G1081),0)</x:f>
        <x:v>47951.22698</x:v>
      </x:c>
      <x:c r="AS1081" s="32" t="n">
        <x:f>IF(H1081=1,IF(E1081=1,AS1080-AR1080,AS1080)+AQ1081,0)</x:f>
        <x:v>25000.126925334956</x:v>
      </x:c>
      <x:c r="AT1081" s="11" t="n">
        <x:f>IF(AR1081&gt;0,MIN(1,AS1081/AR1081),1)</x:f>
        <x:v>0.5213657397288765</x:v>
      </x:c>
      <x:c r="AU1081" s="10" t="n">
        <x:f>AB1081/INDEX(v01_RepScale,G1081)</x:f>
        <x:v>195.56398812368818</x:v>
      </x:c>
      <x:c r="AV1081" s="32" t="n">
        <x:f>AM1081*60/v01_SeasonSeconds</x:f>
        <x:v>1774.4301027115657</x:v>
      </x:c>
    </x:row>
    <x:row r="1082">
      <x:c r="A1082" s="8" t="n">
        <x:f>A1081+1</x:f>
        <x:v>1079</x:v>
      </x:c>
      <x:c r="B1082" s="9" t="n">
        <x:f>A1082*v01_SeasonSeconds/60</x:f>
        <x:v>269.75</x:v>
      </x:c>
      <x:c r="C1082" s="9" t="n">
        <x:f>A1082/4</x:f>
        <x:v>269.75</x:v>
      </x:c>
      <x:c r="D1082" s="8" t="n">
        <x:f>IF(MOD(A1082,4)=0,1,0)</x:f>
        <x:v>0</x:v>
      </x:c>
      <x:c r="E1082" s="8" t="n">
        <x:f>IF(AND(F1081&lt;=9,AS1081&gt;=AR1081),1,0)</x:f>
        <x:v>0</x:v>
      </x:c>
      <x:c r="F1082" s="8" t="n">
        <x:f>MIN(10,F1081+E1082)</x:f>
        <x:v>5</x:v>
      </x:c>
      <x:c r="G1082" s="8" t="n">
        <x:f>MIN(F1082,9)+1</x:f>
        <x:v>6</x:v>
      </x:c>
      <x:c r="H1082" s="8" t="n">
        <x:f>IF(F1082&lt;=9,1,0)</x:f>
        <x:v>1</x:v>
      </x:c>
      <x:c r="I1082" s="9" t="n">
        <x:f>MIN(10,F1081+IF(AR1081&gt;0,MIN(1,AS1081/AR1081),1))</x:f>
        <x:v>5.521365739728877</x:v>
      </x:c>
      <x:c r="J1082" s="32" t="n">
        <x:f>INDEX(v01_FoodCap,G1082)*Arch_FoodCap*EXP(v01_CapsByProject*SUMPRODUCT((Cap_Point&lt;=I1082)*(Cap_Kind="Food")*Cap_Ln))</x:f>
        <x:v>500</x:v>
      </x:c>
      <x:c r="K1082" s="32" t="n">
        <x:f>J1082*MIN(1,v01_LeanBase*EXP(v01_CapsByProject*SUMPRODUCT((Cap_Point&lt;=I1082)*(Cap_Kind="Lean")*Cap_Ln)))</x:f>
        <x:v>500</x:v>
      </x:c>
      <x:c r="L1082" s="10" t="n">
        <x:f>INDEX(v01_HousingCap,G1082)*EXP(v01_CapsByProject*SUMPRODUCT((Cap_Point&lt;=I1082)*(Cap_Kind="Housing")*Cap_Ln))</x:f>
        <x:v>800</x:v>
      </x:c>
      <x:c r="M1082" s="10" t="n">
        <x:f>INDEX(v01_GroupCap,G1082)*v01_CohesionFactor*EXP(v01_CapsByProject*SUMPRODUCT((Cap_Point&lt;=I1082)*(Cap_Kind="Group")*Cap_Ln))</x:f>
        <x:v>10000</x:v>
      </x:c>
      <x:c r="N1082" s="32" t="n">
        <x:f>MIN(J1082,L1082,M1082)</x:f>
        <x:v>500</x:v>
      </x:c>
      <x:c r="O1082" s="10" t="n">
        <x:f>AE1081*N1082</x:f>
        <x:v>8000</x:v>
      </x:c>
      <x:c r="P1082" s="9" t="n">
        <x:f>MIN(1,(AB1081/(AE1081*IF(v01_GroupInCrowding=1,N1082,MIN(J1082,L1082))))^v01_CrowdingExp)</x:f>
        <x:v>0.05209948632675954</x:v>
      </x:c>
      <x:c r="Q1082" s="9" t="n">
        <x:f>IF(D1082=1,INDEX(v01_WinterMult,G1082),1)</x:f>
        <x:v>1</x:v>
      </x:c>
      <x:c r="R1082" s="9" t="n">
        <x:f>H1082*Z1081*v01_WomenShare*v01_BaseFertility*INDEX(v01_FertMult,G1082)*Arch_Fertility*(1-P1082)</x:f>
        <x:v>64.45862085458985</x:v>
      </x:c>
      <x:c r="S1082" s="9" t="n">
        <x:f>H1082*Y1081*INDEX(v01_MortChild,G1082)/4*Q1082</x:f>
        <x:v>13.000122979822255</x:v>
      </x:c>
      <x:c r="T1082" s="9" t="n">
        <x:f>H1082*Z1081*INDEX(v01_MortAdult,G1082)*Arch_AdultMort/4*Q1082</x:f>
        <x:v>5.151625916624185</x:v>
      </x:c>
      <x:c r="U1082" s="9" t="n">
        <x:f>H1082*AA1081*INDEX(v01_MortElder,G1082)/4*Q1082</x:f>
        <x:v>11.226444895064548</x:v>
      </x:c>
      <x:c r="V1082" s="9" t="n">
        <x:f>H1082*MAX(0,AB1081-O1082)*v01_OvercapLoss</x:f>
        <x:v>0</x:v>
      </x:c>
      <x:c r="W1082" s="9" t="n">
        <x:f>H1082*Y1081/(v01_ChildYears*4)</x:f>
        <x:v>37.14320851377787</x:v>
      </x:c>
      <x:c r="X1082" s="9" t="n">
        <x:f>H1082*Z1081/(v01_AdultYears*4)</x:f>
        <x:v>16.618148118142532</x:v>
      </x:c>
      <x:c r="Y1082" s="32" t="n">
        <x:f>Y1081+R1082-S1082-W1082-Y1081*V1082/AB1081</x:f>
        <x:v>2094.33496613255</x:v>
      </x:c>
      <x:c r="Z1082" s="32" t="n">
        <x:f>Z1081+W1082-X1082-T1082-Z1081*V1082/AB1081</x:f>
        <x:v>2076.023801128685</x:v>
      </x:c>
      <x:c r="AA1082" s="32" t="n">
        <x:f>AA1081+X1082-U1082-AA1081*V1082/AB1081</x:f>
        <x:v>753.8213628940479</x:v>
      </x:c>
      <x:c r="AB1082" s="10" t="n">
        <x:f>Y1082+Z1082+AA1082</x:f>
        <x:v>4924.180130155283</x:v>
      </x:c>
      <x:c r="AC1082" s="8" t="n">
        <x:f>IF(AND(v01_WinterTrigger=1,D1082=1,AB1081/AE1081&gt;=K1082),1,0)</x:f>
        <x:v>0</x:v>
      </x:c>
      <x:c r="AD1082" s="8" t="n">
        <x:f>H1082*IF(AND(OR(AB1081/AE1081&gt;=v01_FissionTrigger*N1082,AC1082=1),AB1081/AE1081*v01_DaughterShare&gt;=v01_MinDaughter),MAX(1,ROUND(AE1081*v01_FissionRate,0)),0)</x:f>
        <x:v>0</x:v>
      </x:c>
      <x:c r="AE1082" s="8" t="n">
        <x:f>IF(H1082=1,MAX(1,MIN(INDEX(v01_Smax,G1082),AE1081+AD1082)),AE1081)</x:f>
        <x:v>16</x:v>
      </x:c>
      <x:c r="AF1082" s="8" t="n">
        <x:f>MAX(0,AE1082-AE1081)</x:f>
        <x:v>0</x:v>
      </x:c>
      <x:c r="AG1082" s="9" t="str">
        <x:f>IF(AF1082&gt;0,B1082,"")</x:f>
      </x:c>
      <x:c r="AH1082" s="9" t="n">
        <x:f>IF(F1082&gt;=1,1,(1+v01_LowTiesShare*(AE1082-1))/AE1082)</x:f>
        <x:v>1</x:v>
      </x:c>
      <x:c r="AI1082" s="32" t="n">
        <x:f>(Z1082+v01_ElderCommons*INDEX(LM_Elder,G1082)*AA1082)*AH1082</x:f>
        <x:v>4604.417516612628</x:v>
      </x:c>
      <x:c r="AJ1082" s="32" t="n">
        <x:f>H1082*v01_CommonsCoef*AI1082^v01_CommonsExp*INDEX(LM_Commons,G1082)</x:f>
        <x:v>1035.4510379524258</x:v>
      </x:c>
      <x:c r="AK1082" s="32" t="n">
        <x:f>H1082*v01_RoleScale*Arch_Roles*(AE1082*(INDEX(v01_ElderRolePerSett,G1082)*v01_OutElder*INDEX(LM_Elder,G1082)+INDEX(v01_ShamanPerSett,G1082)*v01_OutShaman)+Z1082*(INDEX(v01_PriestShare,G1082)*v01_OutPriest+INDEX(v01_ScribeShare,G1082)*v01_OutScribe*INDEX(LM_Scribe,G1082)+INDEX(v01_ScholarShare,G1082)*v01_OutScholar*INDEX(LM_Scholar,G1082)+INDEX(v01_ResearcherShare,G1082)*v01_OutResearcher*INDEX(LM_Researcher,G1082)))</x:f>
        <x:v>198.04958589195672</x:v>
      </x:c>
      <x:c r="AL1082" s="32" t="n">
        <x:f>H1082*v01_RoleScale*Arch_Roles*AE1082*INDEX(v01_MonasteryPerSett,G1082)*v01_OutMonastery*INDEX(LM_Monastery,G1082)</x:f>
        <x:v>5.034282471216728</x:v>
      </x:c>
      <x:c r="AM1082" s="32" t="n">
        <x:f>(AJ1082+AK1082+AL1082)/4*INDEX(LM_All,G1082)*INDEX(v01_Boon,G1082)*Arch_Insight</x:f>
        <x:v>446.30622825167427</x:v>
      </x:c>
      <x:c r="AN1082" s="32" t="n">
        <x:f>H1082*(v01_KHPerAdult*Z1082+v01_KHOfCommons*AJ1082/4*INDEX(LM_All,G1082))*v01_KHUsable*Arch_KH</x:f>
        <x:v>72.66083303950398</x:v>
      </x:c>
      <x:c r="AO1082" s="32" t="n">
        <x:f>MIN(AP1081+AN1082,AM1082*v01_KHMaxRatio)</x:f>
        <x:v>72.66083303950398</x:v>
      </x:c>
      <x:c r="AP1082" s="32" t="n">
        <x:f>AP1081+AN1082-AO1082</x:f>
        <x:v>0</x:v>
      </x:c>
      <x:c r="AQ1082" s="32" t="n">
        <x:f>AM1082+AO1082</x:f>
        <x:v>518.9670612911782</x:v>
      </x:c>
      <x:c r="AR1082" s="10" t="n">
        <x:f>IF(H1082=1,INDEX(v01_Req,G1082),0)</x:f>
        <x:v>47951.22698</x:v>
      </x:c>
      <x:c r="AS1082" s="32" t="n">
        <x:f>IF(H1082=1,IF(E1082=1,AS1081-AR1081,AS1081)+AQ1082,0)</x:f>
        <x:v>25519.093986626136</x:v>
      </x:c>
      <x:c r="AT1082" s="11" t="n">
        <x:f>IF(AR1082&gt;0,MIN(1,AS1082/AR1082),1)</x:f>
        <x:v>0.5321885506135204</x:v>
      </x:c>
      <x:c r="AU1082" s="10" t="n">
        <x:f>AB1082/INDEX(v01_RepScale,G1082)</x:f>
        <x:v>196.96720520621133</x:v>
      </x:c>
      <x:c r="AV1082" s="32" t="n">
        <x:f>AM1082*60/v01_SeasonSeconds</x:f>
        <x:v>1785.224913006697</x:v>
      </x:c>
    </x:row>
    <x:row r="1083">
      <x:c r="A1083" s="8" t="n">
        <x:f>A1082+1</x:f>
        <x:v>1080</x:v>
      </x:c>
      <x:c r="B1083" s="9" t="n">
        <x:f>A1083*v01_SeasonSeconds/60</x:f>
        <x:v>270</x:v>
      </x:c>
      <x:c r="C1083" s="9" t="n">
        <x:f>A1083/4</x:f>
        <x:v>270</x:v>
      </x:c>
      <x:c r="D1083" s="8" t="n">
        <x:f>IF(MOD(A1083,4)=0,1,0)</x:f>
        <x:v>1</x:v>
      </x:c>
      <x:c r="E1083" s="8" t="n">
        <x:f>IF(AND(F1082&lt;=9,AS1082&gt;=AR1082),1,0)</x:f>
        <x:v>0</x:v>
      </x:c>
      <x:c r="F1083" s="8" t="n">
        <x:f>MIN(10,F1082+E1083)</x:f>
        <x:v>5</x:v>
      </x:c>
      <x:c r="G1083" s="8" t="n">
        <x:f>MIN(F1083,9)+1</x:f>
        <x:v>6</x:v>
      </x:c>
      <x:c r="H1083" s="8" t="n">
        <x:f>IF(F1083&lt;=9,1,0)</x:f>
        <x:v>1</x:v>
      </x:c>
      <x:c r="I1083" s="9" t="n">
        <x:f>MIN(10,F1082+IF(AR1082&gt;0,MIN(1,AS1082/AR1082),1))</x:f>
        <x:v>5.532188550613521</x:v>
      </x:c>
      <x:c r="J1083" s="32" t="n">
        <x:f>INDEX(v01_FoodCap,G1083)*Arch_FoodCap*EXP(v01_CapsByProject*SUMPRODUCT((Cap_Point&lt;=I1083)*(Cap_Kind="Food")*Cap_Ln))</x:f>
        <x:v>500</x:v>
      </x:c>
      <x:c r="K1083" s="32" t="n">
        <x:f>J1083*MIN(1,v01_LeanBase*EXP(v01_CapsByProject*SUMPRODUCT((Cap_Point&lt;=I1083)*(Cap_Kind="Lean")*Cap_Ln)))</x:f>
        <x:v>500</x:v>
      </x:c>
      <x:c r="L1083" s="10" t="n">
        <x:f>INDEX(v01_HousingCap,G1083)*EXP(v01_CapsByProject*SUMPRODUCT((Cap_Point&lt;=I1083)*(Cap_Kind="Housing")*Cap_Ln))</x:f>
        <x:v>800</x:v>
      </x:c>
      <x:c r="M1083" s="10" t="n">
        <x:f>INDEX(v01_GroupCap,G1083)*v01_CohesionFactor*EXP(v01_CapsByProject*SUMPRODUCT((Cap_Point&lt;=I1083)*(Cap_Kind="Group")*Cap_Ln))</x:f>
        <x:v>10000</x:v>
      </x:c>
      <x:c r="N1083" s="32" t="n">
        <x:f>MIN(J1083,L1083,M1083)</x:f>
        <x:v>500</x:v>
      </x:c>
      <x:c r="O1083" s="10" t="n">
        <x:f>AE1082*N1083</x:f>
        <x:v>8000</x:v>
      </x:c>
      <x:c r="P1083" s="9" t="n">
        <x:f>MIN(1,(AB1082/(AE1082*IF(v01_GroupInCrowding=1,N1083,MIN(J1083,L1083))))^v01_CrowdingExp)</x:f>
        <x:v>0.05438306320776793</x:v>
      </x:c>
      <x:c r="Q1083" s="9" t="n">
        <x:f>IF(D1083=1,INDEX(v01_WinterMult,G1083),1)</x:f>
        <x:v>1</x:v>
      </x:c>
      <x:c r="R1083" s="9" t="n">
        <x:f>H1083*Z1082*v01_WomenShare*v01_BaseFertility*INDEX(v01_FertMult,G1083)*Arch_Fertility*(1-P1083)</x:f>
        <x:v>64.78306782852542</x:v>
      </x:c>
      <x:c r="S1083" s="9" t="n">
        <x:f>H1083*Y1082*INDEX(v01_MortChild,G1083)/4*Q1083</x:f>
        <x:v>13.089593538328439</x:v>
      </x:c>
      <x:c r="T1083" s="9" t="n">
        <x:f>H1083*Z1082*INDEX(v01_MortAdult,G1083)*Arch_AdultMort/4*Q1083</x:f>
        <x:v>5.190059502821713</x:v>
      </x:c>
      <x:c r="U1083" s="9" t="n">
        <x:f>H1083*AA1082*INDEX(v01_MortElder,G1083)/4*Q1083</x:f>
        <x:v>11.307320443410717</x:v>
      </x:c>
      <x:c r="V1083" s="9" t="n">
        <x:f>H1083*MAX(0,AB1082-O1083)*v01_OvercapLoss</x:f>
        <x:v>0</x:v>
      </x:c>
      <x:c r="W1083" s="9" t="n">
        <x:f>H1083*Y1082/(v01_ChildYears*4)</x:f>
        <x:v>37.3988386809384</x:v>
      </x:c>
      <x:c r="X1083" s="9" t="n">
        <x:f>H1083*Z1082/(v01_AdultYears*4)</x:f>
        <x:v>16.742127428457138</x:v>
      </x:c>
      <x:c r="Y1083" s="32" t="n">
        <x:f>Y1082+R1083-S1083-W1083-Y1082*V1083/AB1082</x:f>
        <x:v>2108.629601741809</x:v>
      </x:c>
      <x:c r="Z1083" s="32" t="n">
        <x:f>Z1082+W1083-X1083-T1083-Z1082*V1083/AB1082</x:f>
        <x:v>2091.4904528783445</x:v>
      </x:c>
      <x:c r="AA1083" s="32" t="n">
        <x:f>AA1082+X1083-U1083-AA1082*V1083/AB1082</x:f>
        <x:v>759.2561698790943</x:v>
      </x:c>
      <x:c r="AB1083" s="10" t="n">
        <x:f>Y1083+Z1083+AA1083</x:f>
        <x:v>4959.376224499248</x:v>
      </x:c>
      <x:c r="AC1083" s="8" t="n">
        <x:f>IF(AND(v01_WinterTrigger=1,D1083=1,AB1082/AE1082&gt;=K1083),1,0)</x:f>
        <x:v>0</x:v>
      </x:c>
      <x:c r="AD1083" s="8" t="n">
        <x:f>H1083*IF(AND(OR(AB1082/AE1082&gt;=v01_FissionTrigger*N1083,AC1083=1),AB1082/AE1082*v01_DaughterShare&gt;=v01_MinDaughter),MAX(1,ROUND(AE1082*v01_FissionRate,0)),0)</x:f>
        <x:v>0</x:v>
      </x:c>
      <x:c r="AE1083" s="8" t="n">
        <x:f>IF(H1083=1,MAX(1,MIN(INDEX(v01_Smax,G1083),AE1082+AD1083)),AE1082)</x:f>
        <x:v>16</x:v>
      </x:c>
      <x:c r="AF1083" s="8" t="n">
        <x:f>MAX(0,AE1083-AE1082)</x:f>
        <x:v>0</x:v>
      </x:c>
      <x:c r="AG1083" s="9" t="str">
        <x:f>IF(AF1083&gt;0,B1083,"")</x:f>
      </x:c>
      <x:c r="AH1083" s="9" t="n">
        <x:f>IF(F1083&gt;=1,1,(1+v01_LowTiesShare*(AE1083-1))/AE1083)</x:f>
        <x:v>1</x:v>
      </x:c>
      <x:c r="AI1083" s="32" t="n">
        <x:f>(Z1083+v01_ElderCommons*INDEX(LM_Elder,G1083)*AA1083)*AH1083</x:f>
        <x:v>4638.113065157019</x:v>
      </x:c>
      <x:c r="AJ1083" s="32" t="n">
        <x:f>H1083*v01_CommonsCoef*AI1083^v01_CommonsExp*INDEX(LM_Commons,G1083)</x:f>
        <x:v>1041.8884092959029</x:v>
      </x:c>
      <x:c r="AK1083" s="32" t="n">
        <x:f>H1083*v01_RoleScale*Arch_Roles*(AE1083*(INDEX(v01_ElderRolePerSett,G1083)*v01_OutElder*INDEX(LM_Elder,G1083)+INDEX(v01_ShamanPerSett,G1083)*v01_OutShaman)+Z1083*(INDEX(v01_PriestShare,G1083)*v01_OutPriest+INDEX(v01_ScribeShare,G1083)*v01_OutScribe*INDEX(LM_Scribe,G1083)+INDEX(v01_ScholarShare,G1083)*v01_OutScholar*INDEX(LM_Scholar,G1083)+INDEX(v01_ResearcherShare,G1083)*v01_OutResearcher*INDEX(LM_Researcher,G1083)))</x:f>
        <x:v>199.14637029036618</x:v>
      </x:c>
      <x:c r="AL1083" s="32" t="n">
        <x:f>H1083*v01_RoleScale*Arch_Roles*AE1083*INDEX(v01_MonasteryPerSett,G1083)*v01_OutMonastery*INDEX(LM_Monastery,G1083)</x:f>
        <x:v>5.034282471216728</x:v>
      </x:c>
      <x:c r="AM1083" s="32" t="n">
        <x:f>(AJ1083+AK1083+AL1083)/4*INDEX(LM_All,G1083)*INDEX(v01_Boon,G1083)*Arch_Insight</x:f>
        <x:v>449.02116233635417</x:v>
      </x:c>
      <x:c r="AN1083" s="32" t="n">
        <x:f>H1083*(v01_KHPerAdult*Z1083+v01_KHOfCommons*AJ1083/4*INDEX(LM_All,G1083))*v01_KHUsable*Arch_KH</x:f>
        <x:v>73.20216585074206</x:v>
      </x:c>
      <x:c r="AO1083" s="32" t="n">
        <x:f>MIN(AP1082+AN1083,AM1083*v01_KHMaxRatio)</x:f>
        <x:v>73.20216585074206</x:v>
      </x:c>
      <x:c r="AP1083" s="32" t="n">
        <x:f>AP1082+AN1083-AO1083</x:f>
        <x:v>0</x:v>
      </x:c>
      <x:c r="AQ1083" s="32" t="n">
        <x:f>AM1083+AO1083</x:f>
        <x:v>522.2233281870963</x:v>
      </x:c>
      <x:c r="AR1083" s="10" t="n">
        <x:f>IF(H1083=1,INDEX(v01_Req,G1083),0)</x:f>
        <x:v>47951.22698</x:v>
      </x:c>
      <x:c r="AS1083" s="32" t="n">
        <x:f>IF(H1083=1,IF(E1083=1,AS1082-AR1082,AS1082)+AQ1083,0)</x:f>
        <x:v>26041.317314813234</x:v>
      </x:c>
      <x:c r="AT1083" s="11" t="n">
        <x:f>IF(AR1083&gt;0,MIN(1,AS1083/AR1083),1)</x:f>
        <x:v>0.5430792693933529</x:v>
      </x:c>
      <x:c r="AU1083" s="10" t="n">
        <x:f>AB1083/INDEX(v01_RepScale,G1083)</x:f>
        <x:v>198.3750489799699</x:v>
      </x:c>
      <x:c r="AV1083" s="32" t="n">
        <x:f>AM1083*60/v01_SeasonSeconds</x:f>
        <x:v>1796.0846493454167</x:v>
      </x:c>
    </x:row>
    <x:row r="1084">
      <x:c r="A1084" s="8" t="n">
        <x:f>A1083+1</x:f>
        <x:v>1081</x:v>
      </x:c>
      <x:c r="B1084" s="9" t="n">
        <x:f>A1084*v01_SeasonSeconds/60</x:f>
        <x:v>270.25</x:v>
      </x:c>
      <x:c r="C1084" s="9" t="n">
        <x:f>A1084/4</x:f>
        <x:v>270.25</x:v>
      </x:c>
      <x:c r="D1084" s="8" t="n">
        <x:f>IF(MOD(A1084,4)=0,1,0)</x:f>
        <x:v>0</x:v>
      </x:c>
      <x:c r="E1084" s="8" t="n">
        <x:f>IF(AND(F1083&lt;=9,AS1083&gt;=AR1083),1,0)</x:f>
        <x:v>0</x:v>
      </x:c>
      <x:c r="F1084" s="8" t="n">
        <x:f>MIN(10,F1083+E1084)</x:f>
        <x:v>5</x:v>
      </x:c>
      <x:c r="G1084" s="8" t="n">
        <x:f>MIN(F1084,9)+1</x:f>
        <x:v>6</x:v>
      </x:c>
      <x:c r="H1084" s="8" t="n">
        <x:f>IF(F1084&lt;=9,1,0)</x:f>
        <x:v>1</x:v>
      </x:c>
      <x:c r="I1084" s="9" t="n">
        <x:f>MIN(10,F1083+IF(AR1083&gt;0,MIN(1,AS1083/AR1083),1))</x:f>
        <x:v>5.543079269393353</x:v>
      </x:c>
      <x:c r="J1084" s="32" t="n">
        <x:f>INDEX(v01_FoodCap,G1084)*Arch_FoodCap*EXP(v01_CapsByProject*SUMPRODUCT((Cap_Point&lt;=I1084)*(Cap_Kind="Food")*Cap_Ln))</x:f>
        <x:v>500</x:v>
      </x:c>
      <x:c r="K1084" s="32" t="n">
        <x:f>J1084*MIN(1,v01_LeanBase*EXP(v01_CapsByProject*SUMPRODUCT((Cap_Point&lt;=I1084)*(Cap_Kind="Lean")*Cap_Ln)))</x:f>
        <x:v>500</x:v>
      </x:c>
      <x:c r="L1084" s="10" t="n">
        <x:f>INDEX(v01_HousingCap,G1084)*EXP(v01_CapsByProject*SUMPRODUCT((Cap_Point&lt;=I1084)*(Cap_Kind="Housing")*Cap_Ln))</x:f>
        <x:v>800</x:v>
      </x:c>
      <x:c r="M1084" s="10" t="n">
        <x:f>INDEX(v01_GroupCap,G1084)*v01_CohesionFactor*EXP(v01_CapsByProject*SUMPRODUCT((Cap_Point&lt;=I1084)*(Cap_Kind="Group")*Cap_Ln))</x:f>
        <x:v>10000</x:v>
      </x:c>
      <x:c r="N1084" s="32" t="n">
        <x:f>MIN(J1084,L1084,M1084)</x:f>
        <x:v>500</x:v>
      </x:c>
      <x:c r="O1084" s="10" t="n">
        <x:f>AE1083*N1084</x:f>
        <x:v>8000</x:v>
      </x:c>
      <x:c r="P1084" s="9" t="n">
        <x:f>MIN(1,(AB1083/(AE1083*IF(v01_GroupInCrowding=1,N1084,MIN(J1084,L1084))))^v01_CrowdingExp)</x:f>
        <x:v>0.05675738946572087</x:v>
      </x:c>
      <x:c r="Q1084" s="9" t="n">
        <x:f>IF(D1084=1,INDEX(v01_WinterMult,G1084),1)</x:f>
        <x:v>1</x:v>
      </x:c>
      <x:c r="R1084" s="9" t="n">
        <x:f>H1084*Z1083*v01_WomenShare*v01_BaseFertility*INDEX(v01_FertMult,G1084)*Arch_Fertility*(1-P1084)</x:f>
        <x:v>65.10183618445622</x:v>
      </x:c>
      <x:c r="S1084" s="9" t="n">
        <x:f>H1084*Y1083*INDEX(v01_MortChild,G1084)/4*Q1084</x:f>
        <x:v>13.178935010886306</x:v>
      </x:c>
      <x:c r="T1084" s="9" t="n">
        <x:f>H1084*Z1083*INDEX(v01_MortAdult,G1084)*Arch_AdultMort/4*Q1084</x:f>
        <x:v>5.228726132195861</x:v>
      </x:c>
      <x:c r="U1084" s="9" t="n">
        <x:f>H1084*AA1083*INDEX(v01_MortElder,G1084)/4*Q1084</x:f>
        <x:v>11.388842548186414</x:v>
      </x:c>
      <x:c r="V1084" s="9" t="n">
        <x:f>H1084*MAX(0,AB1083-O1084)*v01_OvercapLoss</x:f>
        <x:v>0</x:v>
      </x:c>
      <x:c r="W1084" s="9" t="n">
        <x:f>H1084*Y1083/(v01_ChildYears*4)</x:f>
        <x:v>37.65410003110373</x:v>
      </x:c>
      <x:c r="X1084" s="9" t="n">
        <x:f>H1084*Z1083/(v01_AdultYears*4)</x:f>
        <x:v>16.866858490954392</x:v>
      </x:c>
      <x:c r="Y1084" s="32" t="n">
        <x:f>Y1083+R1084-S1084-W1084-Y1083*V1084/AB1083</x:f>
        <x:v>2122.8984028842756</x:v>
      </x:c>
      <x:c r="Z1084" s="32" t="n">
        <x:f>Z1083+W1084-X1084-T1084-Z1083*V1084/AB1083</x:f>
        <x:v>2107.048968286298</x:v>
      </x:c>
      <x:c r="AA1084" s="32" t="n">
        <x:f>AA1083+X1084-U1084-AA1083*V1084/AB1083</x:f>
        <x:v>764.7341858218623</x:v>
      </x:c>
      <x:c r="AB1084" s="10" t="n">
        <x:f>Y1084+Z1084+AA1084</x:f>
        <x:v>4994.6815569924365</x:v>
      </x:c>
      <x:c r="AC1084" s="8" t="n">
        <x:f>IF(AND(v01_WinterTrigger=1,D1084=1,AB1083/AE1083&gt;=K1084),1,0)</x:f>
        <x:v>0</x:v>
      </x:c>
      <x:c r="AD1084" s="8" t="n">
        <x:f>H1084*IF(AND(OR(AB1083/AE1083&gt;=v01_FissionTrigger*N1084,AC1084=1),AB1083/AE1083*v01_DaughterShare&gt;=v01_MinDaughter),MAX(1,ROUND(AE1083*v01_FissionRate,0)),0)</x:f>
        <x:v>0</x:v>
      </x:c>
      <x:c r="AE1084" s="8" t="n">
        <x:f>IF(H1084=1,MAX(1,MIN(INDEX(v01_Smax,G1084),AE1083+AD1084)),AE1083)</x:f>
        <x:v>16</x:v>
      </x:c>
      <x:c r="AF1084" s="8" t="n">
        <x:f>MAX(0,AE1084-AE1083)</x:f>
        <x:v>0</x:v>
      </x:c>
      <x:c r="AG1084" s="9" t="str">
        <x:f>IF(AF1084&gt;0,B1084,"")</x:f>
      </x:c>
      <x:c r="AH1084" s="9" t="n">
        <x:f>IF(F1084&gt;=1,1,(1+v01_LowTiesShare*(AE1084-1))/AE1084)</x:f>
        <x:v>1</x:v>
      </x:c>
      <x:c r="AI1084" s="32" t="n">
        <x:f>(Z1084+v01_ElderCommons*INDEX(LM_Elder,G1084)*AA1084)*AH1084</x:f>
        <x:v>4672.045404609758</x:v>
      </x:c>
      <x:c r="AJ1084" s="32" t="n">
        <x:f>H1084*v01_CommonsCoef*AI1084^v01_CommonsExp*INDEX(LM_Commons,G1084)</x:f>
        <x:v>1048.3639331546713</x:v>
      </x:c>
      <x:c r="AK1084" s="32" t="n">
        <x:f>H1084*v01_RoleScale*Arch_Roles*(AE1084*(INDEX(v01_ElderRolePerSett,G1084)*v01_OutElder*INDEX(LM_Elder,G1084)+INDEX(v01_ShamanPerSett,G1084)*v01_OutShaman)+Z1084*(INDEX(v01_PriestShare,G1084)*v01_OutPriest+INDEX(v01_ScribeShare,G1084)*v01_OutScribe*INDEX(LM_Scribe,G1084)+INDEX(v01_ScholarShare,G1084)*v01_OutScholar*INDEX(LM_Scholar,G1084)+INDEX(v01_ResearcherShare,G1084)*v01_OutResearcher*INDEX(LM_Researcher,G1084)))</x:f>
        <x:v>200.24966900285142</x:v>
      </x:c>
      <x:c r="AL1084" s="32" t="n">
        <x:f>H1084*v01_RoleScale*Arch_Roles*AE1084*INDEX(v01_MonasteryPerSett,G1084)*v01_OutMonastery*INDEX(LM_Monastery,G1084)</x:f>
        <x:v>5.034282471216728</x:v>
      </x:c>
      <x:c r="AM1084" s="32" t="n">
        <x:f>(AJ1084+AK1084+AL1084)/4*INDEX(LM_All,G1084)*INDEX(v01_Boon,G1084)*Arch_Insight</x:f>
        <x:v>451.75219211929914</x:v>
      </x:c>
      <x:c r="AN1084" s="32" t="n">
        <x:f>H1084*(v01_KHPerAdult*Z1084+v01_KHOfCommons*AJ1084/4*INDEX(LM_All,G1084))*v01_KHUsable*Arch_KH</x:f>
        <x:v>73.74671389002043</x:v>
      </x:c>
      <x:c r="AO1084" s="32" t="n">
        <x:f>MIN(AP1083+AN1084,AM1084*v01_KHMaxRatio)</x:f>
        <x:v>73.74671389002043</x:v>
      </x:c>
      <x:c r="AP1084" s="32" t="n">
        <x:f>AP1083+AN1084-AO1084</x:f>
        <x:v>0</x:v>
      </x:c>
      <x:c r="AQ1084" s="32" t="n">
        <x:f>AM1084+AO1084</x:f>
        <x:v>525.4989060093196</x:v>
      </x:c>
      <x:c r="AR1084" s="10" t="n">
        <x:f>IF(H1084=1,INDEX(v01_Req,G1084),0)</x:f>
        <x:v>47951.22698</x:v>
      </x:c>
      <x:c r="AS1084" s="32" t="n">
        <x:f>IF(H1084=1,IF(E1084=1,AS1083-AR1083,AS1083)+AQ1084,0)</x:f>
        <x:v>26566.816220822555</x:v>
      </x:c>
      <x:c r="AT1084" s="11" t="n">
        <x:f>IF(AR1084&gt;0,MIN(1,AS1084/AR1084),1)</x:f>
        <x:v>0.5540382987885445</x:v>
      </x:c>
      <x:c r="AU1084" s="10" t="n">
        <x:f>AB1084/INDEX(v01_RepScale,G1084)</x:f>
        <x:v>199.78726227969747</x:v>
      </x:c>
      <x:c r="AV1084" s="32" t="n">
        <x:f>AM1084*60/v01_SeasonSeconds</x:f>
        <x:v>1807.0087684771966</x:v>
      </x:c>
    </x:row>
    <x:row r="1085">
      <x:c r="A1085" s="8" t="n">
        <x:f>A1084+1</x:f>
        <x:v>1082</x:v>
      </x:c>
      <x:c r="B1085" s="9" t="n">
        <x:f>A1085*v01_SeasonSeconds/60</x:f>
        <x:v>270.5</x:v>
      </x:c>
      <x:c r="C1085" s="9" t="n">
        <x:f>A1085/4</x:f>
        <x:v>270.5</x:v>
      </x:c>
      <x:c r="D1085" s="8" t="n">
        <x:f>IF(MOD(A1085,4)=0,1,0)</x:f>
        <x:v>0</x:v>
      </x:c>
      <x:c r="E1085" s="8" t="n">
        <x:f>IF(AND(F1084&lt;=9,AS1084&gt;=AR1084),1,0)</x:f>
        <x:v>0</x:v>
      </x:c>
      <x:c r="F1085" s="8" t="n">
        <x:f>MIN(10,F1084+E1085)</x:f>
        <x:v>5</x:v>
      </x:c>
      <x:c r="G1085" s="8" t="n">
        <x:f>MIN(F1085,9)+1</x:f>
        <x:v>6</x:v>
      </x:c>
      <x:c r="H1085" s="8" t="n">
        <x:f>IF(F1085&lt;=9,1,0)</x:f>
        <x:v>1</x:v>
      </x:c>
      <x:c r="I1085" s="9" t="n">
        <x:f>MIN(10,F1084+IF(AR1084&gt;0,MIN(1,AS1084/AR1084),1))</x:f>
        <x:v>5.554038298788544</x:v>
      </x:c>
      <x:c r="J1085" s="32" t="n">
        <x:f>INDEX(v01_FoodCap,G1085)*Arch_FoodCap*EXP(v01_CapsByProject*SUMPRODUCT((Cap_Point&lt;=I1085)*(Cap_Kind="Food")*Cap_Ln))</x:f>
        <x:v>500</x:v>
      </x:c>
      <x:c r="K1085" s="32" t="n">
        <x:f>J1085*MIN(1,v01_LeanBase*EXP(v01_CapsByProject*SUMPRODUCT((Cap_Point&lt;=I1085)*(Cap_Kind="Lean")*Cap_Ln)))</x:f>
        <x:v>500</x:v>
      </x:c>
      <x:c r="L1085" s="10" t="n">
        <x:f>INDEX(v01_HousingCap,G1085)*EXP(v01_CapsByProject*SUMPRODUCT((Cap_Point&lt;=I1085)*(Cap_Kind="Housing")*Cap_Ln))</x:f>
        <x:v>800</x:v>
      </x:c>
      <x:c r="M1085" s="10" t="n">
        <x:f>INDEX(v01_GroupCap,G1085)*v01_CohesionFactor*EXP(v01_CapsByProject*SUMPRODUCT((Cap_Point&lt;=I1085)*(Cap_Kind="Group")*Cap_Ln))</x:f>
        <x:v>10000</x:v>
      </x:c>
      <x:c r="N1085" s="32" t="n">
        <x:f>MIN(J1085,L1085,M1085)</x:f>
        <x:v>500</x:v>
      </x:c>
      <x:c r="O1085" s="10" t="n">
        <x:f>AE1084*N1085</x:f>
        <x:v>8000</x:v>
      </x:c>
      <x:c r="P1085" s="9" t="n">
        <x:f>MIN(1,(AB1084/(AE1084*IF(v01_GroupInCrowding=1,N1085,MIN(J1085,L1085))))^v01_CrowdingExp)</x:f>
        <x:v>0.05922525023471564</x:v>
      </x:c>
      <x:c r="Q1085" s="9" t="n">
        <x:f>IF(D1085=1,INDEX(v01_WinterMult,G1085),1)</x:f>
        <x:v>1</x:v>
      </x:c>
      <x:c r="R1085" s="9" t="n">
        <x:f>H1085*Z1084*v01_WomenShare*v01_BaseFertility*INDEX(v01_FertMult,G1085)*Arch_Fertility*(1-P1085)</x:f>
        <x:v>65.4145293741305</x:v>
      </x:c>
      <x:c r="S1085" s="9" t="n">
        <x:f>H1085*Y1084*INDEX(v01_MortChild,G1085)/4*Q1085</x:f>
        <x:v>13.268115018026723</x:v>
      </x:c>
      <x:c r="T1085" s="9" t="n">
        <x:f>H1085*Z1084*INDEX(v01_MortAdult,G1085)*Arch_AdultMort/4*Q1085</x:f>
        <x:v>5.267622420715745</x:v>
      </x:c>
      <x:c r="U1085" s="9" t="n">
        <x:f>H1085*AA1084*INDEX(v01_MortElder,G1085)/4*Q1085</x:f>
        <x:v>11.471012787327934</x:v>
      </x:c>
      <x:c r="V1085" s="9" t="n">
        <x:f>H1085*MAX(0,AB1084-O1085)*v01_OvercapLoss</x:f>
        <x:v>0</x:v>
      </x:c>
      <x:c r="W1085" s="9" t="n">
        <x:f>H1085*Y1084/(v01_ChildYears*4)</x:f>
        <x:v>37.90890005150492</x:v>
      </x:c>
      <x:c r="X1085" s="9" t="n">
        <x:f>H1085*Z1084/(v01_AdultYears*4)</x:f>
        <x:v>16.99233038940563</x:v>
      </x:c>
      <x:c r="Y1085" s="32" t="n">
        <x:f>Y1084+R1085-S1085-W1085-Y1084*V1085/AB1084</x:f>
        <x:v>2137.135917188874</x:v>
      </x:c>
      <x:c r="Z1085" s="32" t="n">
        <x:f>Z1084+W1085-X1085-T1085-Z1084*V1085/AB1084</x:f>
        <x:v>2122.6979155276817</x:v>
      </x:c>
      <x:c r="AA1085" s="32" t="n">
        <x:f>AA1084+X1085-U1085-AA1084*V1085/AB1084</x:f>
        <x:v>770.25550342394</x:v>
      </x:c>
      <x:c r="AB1085" s="10" t="n">
        <x:f>Y1085+Z1085+AA1085</x:f>
        <x:v>5030.089336140496</x:v>
      </x:c>
      <x:c r="AC1085" s="8" t="n">
        <x:f>IF(AND(v01_WinterTrigger=1,D1085=1,AB1084/AE1084&gt;=K1085),1,0)</x:f>
        <x:v>0</x:v>
      </x:c>
      <x:c r="AD1085" s="8" t="n">
        <x:f>H1085*IF(AND(OR(AB1084/AE1084&gt;=v01_FissionTrigger*N1085,AC1085=1),AB1084/AE1084*v01_DaughterShare&gt;=v01_MinDaughter),MAX(1,ROUND(AE1084*v01_FissionRate,0)),0)</x:f>
        <x:v>0</x:v>
      </x:c>
      <x:c r="AE1085" s="8" t="n">
        <x:f>IF(H1085=1,MAX(1,MIN(INDEX(v01_Smax,G1085),AE1084+AD1085)),AE1084)</x:f>
        <x:v>16</x:v>
      </x:c>
      <x:c r="AF1085" s="8" t="n">
        <x:f>MAX(0,AE1085-AE1084)</x:f>
        <x:v>0</x:v>
      </x:c>
      <x:c r="AG1085" s="9" t="str">
        <x:f>IF(AF1085&gt;0,B1085,"")</x:f>
      </x:c>
      <x:c r="AH1085" s="9" t="n">
        <x:f>IF(F1085&gt;=1,1,(1+v01_LowTiesShare*(AE1085-1))/AE1085)</x:f>
        <x:v>1</x:v>
      </x:c>
      <x:c r="AI1085" s="32" t="n">
        <x:f>(Z1085+v01_ElderCommons*INDEX(LM_Elder,G1085)*AA1085)*AH1085</x:f>
        <x:v>4706.213414076559</x:v>
      </x:c>
      <x:c r="AJ1085" s="32" t="n">
        <x:f>H1085*v01_CommonsCoef*AI1085^v01_CommonsExp*INDEX(LM_Commons,G1085)</x:f>
        <x:v>1054.8773070973746</x:v>
      </x:c>
      <x:c r="AK1085" s="32" t="n">
        <x:f>H1085*v01_RoleScale*Arch_Roles*(AE1085*(INDEX(v01_ElderRolePerSett,G1085)*v01_OutElder*INDEX(LM_Elder,G1085)+INDEX(v01_ShamanPerSett,G1085)*v01_OutShaman)+Z1085*(INDEX(v01_PriestShare,G1085)*v01_OutPriest+INDEX(v01_ScribeShare,G1085)*v01_OutScribe*INDEX(LM_Scribe,G1085)+INDEX(v01_ScholarShare,G1085)*v01_OutScholar*INDEX(LM_Scholar,G1085)+INDEX(v01_ResearcherShare,G1085)*v01_OutResearcher*INDEX(LM_Researcher,G1085)))</x:f>
        <x:v>201.3593804946267</x:v>
      </x:c>
      <x:c r="AL1085" s="32" t="n">
        <x:f>H1085*v01_RoleScale*Arch_Roles*AE1085*INDEX(v01_MonasteryPerSett,G1085)*v01_OutMonastery*INDEX(LM_Monastery,G1085)</x:f>
        <x:v>5.034282471216728</x:v>
      </x:c>
      <x:c r="AM1085" s="32" t="n">
        <x:f>(AJ1085+AK1085+AL1085)/4*INDEX(LM_All,G1085)*INDEX(v01_Boon,G1085)*Arch_Insight</x:f>
        <x:v>454.4991720312529</x:v>
      </x:c>
      <x:c r="AN1085" s="32" t="n">
        <x:f>H1085*(v01_KHPerAdult*Z1085+v01_KHOfCommons*AJ1085/4*INDEX(LM_All,G1085))*v01_KHUsable*Arch_KH</x:f>
        <x:v>74.29442704346886</x:v>
      </x:c>
      <x:c r="AO1085" s="32" t="n">
        <x:f>MIN(AP1084+AN1085,AM1085*v01_KHMaxRatio)</x:f>
        <x:v>74.29442704346886</x:v>
      </x:c>
      <x:c r="AP1085" s="32" t="n">
        <x:f>AP1084+AN1085-AO1085</x:f>
        <x:v>0</x:v>
      </x:c>
      <x:c r="AQ1085" s="32" t="n">
        <x:f>AM1085+AO1085</x:f>
        <x:v>528.7935990747218</x:v>
      </x:c>
      <x:c r="AR1085" s="10" t="n">
        <x:f>IF(H1085=1,INDEX(v01_Req,G1085),0)</x:f>
        <x:v>47951.22698</x:v>
      </x:c>
      <x:c r="AS1085" s="32" t="n">
        <x:f>IF(H1085=1,IF(E1085=1,AS1084-AR1084,AS1084)+AQ1085,0)</x:f>
        <x:v>27095.609819897276</x:v>
      </x:c>
      <x:c r="AT1085" s="11" t="n">
        <x:f>IF(AR1085&gt;0,MIN(1,AS1085/AR1085),1)</x:f>
        <x:v>0.5650660374383871</x:v>
      </x:c>
      <x:c r="AU1085" s="10" t="n">
        <x:f>AB1085/INDEX(v01_RepScale,G1085)</x:f>
        <x:v>201.20357344561984</x:v>
      </x:c>
      <x:c r="AV1085" s="32" t="n">
        <x:f>AM1085*60/v01_SeasonSeconds</x:f>
        <x:v>1817.9966881250116</x:v>
      </x:c>
    </x:row>
    <x:row r="1086">
      <x:c r="A1086" s="8" t="n">
        <x:f>A1085+1</x:f>
        <x:v>1083</x:v>
      </x:c>
      <x:c r="B1086" s="9" t="n">
        <x:f>A1086*v01_SeasonSeconds/60</x:f>
        <x:v>270.75</x:v>
      </x:c>
      <x:c r="C1086" s="9" t="n">
        <x:f>A1086/4</x:f>
        <x:v>270.75</x:v>
      </x:c>
      <x:c r="D1086" s="8" t="n">
        <x:f>IF(MOD(A1086,4)=0,1,0)</x:f>
        <x:v>0</x:v>
      </x:c>
      <x:c r="E1086" s="8" t="n">
        <x:f>IF(AND(F1085&lt;=9,AS1085&gt;=AR1085),1,0)</x:f>
        <x:v>0</x:v>
      </x:c>
      <x:c r="F1086" s="8" t="n">
        <x:f>MIN(10,F1085+E1086)</x:f>
        <x:v>5</x:v>
      </x:c>
      <x:c r="G1086" s="8" t="n">
        <x:f>MIN(F1086,9)+1</x:f>
        <x:v>6</x:v>
      </x:c>
      <x:c r="H1086" s="8" t="n">
        <x:f>IF(F1086&lt;=9,1,0)</x:f>
        <x:v>1</x:v>
      </x:c>
      <x:c r="I1086" s="9" t="n">
        <x:f>MIN(10,F1085+IF(AR1085&gt;0,MIN(1,AS1085/AR1085),1))</x:f>
        <x:v>5.565066037438387</x:v>
      </x:c>
      <x:c r="J1086" s="32" t="n">
        <x:f>INDEX(v01_FoodCap,G1086)*Arch_FoodCap*EXP(v01_CapsByProject*SUMPRODUCT((Cap_Point&lt;=I1086)*(Cap_Kind="Food")*Cap_Ln))</x:f>
        <x:v>500</x:v>
      </x:c>
      <x:c r="K1086" s="32" t="n">
        <x:f>J1086*MIN(1,v01_LeanBase*EXP(v01_CapsByProject*SUMPRODUCT((Cap_Point&lt;=I1086)*(Cap_Kind="Lean")*Cap_Ln)))</x:f>
        <x:v>500</x:v>
      </x:c>
      <x:c r="L1086" s="10" t="n">
        <x:f>INDEX(v01_HousingCap,G1086)*EXP(v01_CapsByProject*SUMPRODUCT((Cap_Point&lt;=I1086)*(Cap_Kind="Housing")*Cap_Ln))</x:f>
        <x:v>800</x:v>
      </x:c>
      <x:c r="M1086" s="10" t="n">
        <x:f>INDEX(v01_GroupCap,G1086)*v01_CohesionFactor*EXP(v01_CapsByProject*SUMPRODUCT((Cap_Point&lt;=I1086)*(Cap_Kind="Group")*Cap_Ln))</x:f>
        <x:v>10000</x:v>
      </x:c>
      <x:c r="N1086" s="32" t="n">
        <x:f>MIN(J1086,L1086,M1086)</x:f>
        <x:v>500</x:v>
      </x:c>
      <x:c r="O1086" s="10" t="n">
        <x:f>AE1085*N1086</x:f>
        <x:v>8000</x:v>
      </x:c>
      <x:c r="P1086" s="9" t="n">
        <x:f>MIN(1,(AB1085/(AE1085*IF(v01_GroupInCrowding=1,N1086,MIN(J1086,L1086))))^v01_CrowdingExp)</x:f>
        <x:v>0.06178944126882978</x:v>
      </x:c>
      <x:c r="Q1086" s="9" t="n">
        <x:f>IF(D1086=1,INDEX(v01_WinterMult,G1086),1)</x:f>
        <x:v>1</x:v>
      </x:c>
      <x:c r="R1086" s="9" t="n">
        <x:f>H1086*Z1085*v01_WomenShare*v01_BaseFertility*INDEX(v01_FertMult,G1086)*Arch_Fertility*(1-P1086)</x:f>
        <x:v>65.72074071237566</x:v>
      </x:c>
      <x:c r="S1086" s="9" t="n">
        <x:f>H1086*Y1085*INDEX(v01_MortChild,G1086)/4*Q1086</x:f>
        <x:v>13.357099482430463</x:v>
      </x:c>
      <x:c r="T1086" s="9" t="n">
        <x:f>H1086*Z1085*INDEX(v01_MortAdult,G1086)*Arch_AdultMort/4*Q1086</x:f>
        <x:v>5.306744788819205</x:v>
      </x:c>
      <x:c r="U1086" s="9" t="n">
        <x:f>H1086*AA1085*INDEX(v01_MortElder,G1086)/4*Q1086</x:f>
        <x:v>11.5538325513591</x:v>
      </x:c>
      <x:c r="V1086" s="9" t="n">
        <x:f>H1086*MAX(0,AB1085-O1086)*v01_OvercapLoss</x:f>
        <x:v>0</x:v>
      </x:c>
      <x:c r="W1086" s="9" t="n">
        <x:f>H1086*Y1085/(v01_ChildYears*4)</x:f>
        <x:v>38.16314137837275</x:v>
      </x:c>
      <x:c r="X1086" s="9" t="n">
        <x:f>H1086*Z1085/(v01_AdultYears*4)</x:f>
        <x:v>17.118531576836144</x:v>
      </x:c>
      <x:c r="Y1086" s="32" t="n">
        <x:f>Y1085+R1086-S1086-W1086-Y1085*V1086/AB1085</x:f>
        <x:v>2151.3364170404466</x:v>
      </x:c>
      <x:c r="Z1086" s="32" t="n">
        <x:f>Z1085+W1086-X1086-T1086-Z1085*V1086/AB1085</x:f>
        <x:v>2138.435780540399</x:v>
      </x:c>
      <x:c r="AA1086" s="32" t="n">
        <x:f>AA1085+X1086-U1086-AA1085*V1086/AB1085</x:f>
        <x:v>775.8202024494171</x:v>
      </x:c>
      <x:c r="AB1086" s="10" t="n">
        <x:f>Y1086+Z1086+AA1086</x:f>
        <x:v>5065.592400030262</x:v>
      </x:c>
      <x:c r="AC1086" s="8" t="n">
        <x:f>IF(AND(v01_WinterTrigger=1,D1086=1,AB1085/AE1085&gt;=K1086),1,0)</x:f>
        <x:v>0</x:v>
      </x:c>
      <x:c r="AD1086" s="8" t="n">
        <x:f>H1086*IF(AND(OR(AB1085/AE1085&gt;=v01_FissionTrigger*N1086,AC1086=1),AB1085/AE1085*v01_DaughterShare&gt;=v01_MinDaughter),MAX(1,ROUND(AE1085*v01_FissionRate,0)),0)</x:f>
        <x:v>0</x:v>
      </x:c>
      <x:c r="AE1086" s="8" t="n">
        <x:f>IF(H1086=1,MAX(1,MIN(INDEX(v01_Smax,G1086),AE1085+AD1086)),AE1085)</x:f>
        <x:v>16</x:v>
      </x:c>
      <x:c r="AF1086" s="8" t="n">
        <x:f>MAX(0,AE1086-AE1085)</x:f>
        <x:v>0</x:v>
      </x:c>
      <x:c r="AG1086" s="9" t="str">
        <x:f>IF(AF1086&gt;0,B1086,"")</x:f>
      </x:c>
      <x:c r="AH1086" s="9" t="n">
        <x:f>IF(F1086&gt;=1,1,(1+v01_LowTiesShare*(AE1086-1))/AE1086)</x:f>
        <x:v>1</x:v>
      </x:c>
      <x:c r="AI1086" s="32" t="n">
        <x:f>(Z1086+v01_ElderCommons*INDEX(LM_Elder,G1086)*AA1086)*AH1086</x:f>
        <x:v>4740.615847032217</x:v>
      </x:c>
      <x:c r="AJ1086" s="32" t="n">
        <x:f>H1086*v01_CommonsCoef*AI1086^v01_CommonsExp*INDEX(LM_Commons,G1086)</x:f>
        <x:v>1061.4282062363052</x:v>
      </x:c>
      <x:c r="AK1086" s="32" t="n">
        <x:f>H1086*v01_RoleScale*Arch_Roles*(AE1086*(INDEX(v01_ElderRolePerSett,G1086)*v01_OutElder*INDEX(LM_Elder,G1086)+INDEX(v01_ShamanPerSett,G1086)*v01_OutShaman)+Z1086*(INDEX(v01_PriestShare,G1086)*v01_OutPriest+INDEX(v01_ScribeShare,G1086)*v01_OutScribe*INDEX(LM_Scribe,G1086)+INDEX(v01_ScholarShare,G1086)*v01_OutScholar*INDEX(LM_Scholar,G1086)+INDEX(v01_ResearcherShare,G1086)*v01_OutResearcher*INDEX(LM_Researcher,G1086)))</x:f>
        <x:v>202.47539739922934</x:v>
      </x:c>
      <x:c r="AL1086" s="32" t="n">
        <x:f>H1086*v01_RoleScale*Arch_Roles*AE1086*INDEX(v01_MonasteryPerSett,G1086)*v01_OutMonastery*INDEX(LM_Monastery,G1086)</x:f>
        <x:v>5.034282471216728</x:v>
      </x:c>
      <x:c r="AM1086" s="32" t="n">
        <x:f>(AJ1086+AK1086+AL1086)/4*INDEX(LM_All,G1086)*INDEX(v01_Boon,G1086)*Arch_Insight</x:f>
        <x:v>457.2619463093641</x:v>
      </x:c>
      <x:c r="AN1086" s="32" t="n">
        <x:f>H1086*(v01_KHPerAdult*Z1086+v01_KHOfCommons*AJ1086/4*INDEX(LM_All,G1086))*v01_KHUsable*Arch_KH</x:f>
        <x:v>74.84525231891395</x:v>
      </x:c>
      <x:c r="AO1086" s="32" t="n">
        <x:f>MIN(AP1085+AN1086,AM1086*v01_KHMaxRatio)</x:f>
        <x:v>74.84525231891395</x:v>
      </x:c>
      <x:c r="AP1086" s="32" t="n">
        <x:f>AP1085+AN1086-AO1086</x:f>
        <x:v>0</x:v>
      </x:c>
      <x:c r="AQ1086" s="32" t="n">
        <x:f>AM1086+AO1086</x:f>
        <x:v>532.1071986282781</x:v>
      </x:c>
      <x:c r="AR1086" s="10" t="n">
        <x:f>IF(H1086=1,INDEX(v01_Req,G1086),0)</x:f>
        <x:v>47951.22698</x:v>
      </x:c>
      <x:c r="AS1086" s="32" t="n">
        <x:f>IF(H1086=1,IF(E1086=1,AS1085-AR1085,AS1085)+AQ1086,0)</x:f>
        <x:v>27627.717018525553</x:v>
      </x:c>
      <x:c r="AT1086" s="11" t="n">
        <x:f>IF(AR1086&gt;0,MIN(1,AS1086/AR1086),1)</x:f>
        <x:v>0.5761628796286863</x:v>
      </x:c>
      <x:c r="AU1086" s="10" t="n">
        <x:f>AB1086/INDEX(v01_RepScale,G1086)</x:f>
        <x:v>202.62369600121048</x:v>
      </x:c>
      <x:c r="AV1086" s="32" t="n">
        <x:f>AM1086*60/v01_SeasonSeconds</x:f>
        <x:v>1829.0477852374563</x:v>
      </x:c>
    </x:row>
    <x:row r="1087">
      <x:c r="A1087" s="8" t="n">
        <x:f>A1086+1</x:f>
        <x:v>1084</x:v>
      </x:c>
      <x:c r="B1087" s="9" t="n">
        <x:f>A1087*v01_SeasonSeconds/60</x:f>
        <x:v>271</x:v>
      </x:c>
      <x:c r="C1087" s="9" t="n">
        <x:f>A1087/4</x:f>
        <x:v>271</x:v>
      </x:c>
      <x:c r="D1087" s="8" t="n">
        <x:f>IF(MOD(A1087,4)=0,1,0)</x:f>
        <x:v>1</x:v>
      </x:c>
      <x:c r="E1087" s="8" t="n">
        <x:f>IF(AND(F1086&lt;=9,AS1086&gt;=AR1086),1,0)</x:f>
        <x:v>0</x:v>
      </x:c>
      <x:c r="F1087" s="8" t="n">
        <x:f>MIN(10,F1086+E1087)</x:f>
        <x:v>5</x:v>
      </x:c>
      <x:c r="G1087" s="8" t="n">
        <x:f>MIN(F1087,9)+1</x:f>
        <x:v>6</x:v>
      </x:c>
      <x:c r="H1087" s="8" t="n">
        <x:f>IF(F1087&lt;=9,1,0)</x:f>
        <x:v>1</x:v>
      </x:c>
      <x:c r="I1087" s="9" t="n">
        <x:f>MIN(10,F1086+IF(AR1086&gt;0,MIN(1,AS1086/AR1086),1))</x:f>
        <x:v>5.576162879628686</x:v>
      </x:c>
      <x:c r="J1087" s="32" t="n">
        <x:f>INDEX(v01_FoodCap,G1087)*Arch_FoodCap*EXP(v01_CapsByProject*SUMPRODUCT((Cap_Point&lt;=I1087)*(Cap_Kind="Food")*Cap_Ln))</x:f>
        <x:v>500</x:v>
      </x:c>
      <x:c r="K1087" s="32" t="n">
        <x:f>J1087*MIN(1,v01_LeanBase*EXP(v01_CapsByProject*SUMPRODUCT((Cap_Point&lt;=I1087)*(Cap_Kind="Lean")*Cap_Ln)))</x:f>
        <x:v>500</x:v>
      </x:c>
      <x:c r="L1087" s="10" t="n">
        <x:f>INDEX(v01_HousingCap,G1087)*EXP(v01_CapsByProject*SUMPRODUCT((Cap_Point&lt;=I1087)*(Cap_Kind="Housing")*Cap_Ln))</x:f>
        <x:v>800</x:v>
      </x:c>
      <x:c r="M1087" s="10" t="n">
        <x:f>INDEX(v01_GroupCap,G1087)*v01_CohesionFactor*EXP(v01_CapsByProject*SUMPRODUCT((Cap_Point&lt;=I1087)*(Cap_Kind="Group")*Cap_Ln))</x:f>
        <x:v>10000</x:v>
      </x:c>
      <x:c r="N1087" s="32" t="n">
        <x:f>MIN(J1087,L1087,M1087)</x:f>
        <x:v>500</x:v>
      </x:c>
      <x:c r="O1087" s="10" t="n">
        <x:f>AE1086*N1087</x:f>
        <x:v>8000</x:v>
      </x:c>
      <x:c r="P1087" s="9" t="n">
        <x:f>MIN(1,(AB1086/(AE1086*IF(v01_GroupInCrowding=1,N1087,MIN(J1087,L1087))))^v01_CrowdingExp)</x:f>
        <x:v>0.06445276121826296</x:v>
      </x:c>
      <x:c r="Q1087" s="9" t="n">
        <x:f>IF(D1087=1,INDEX(v01_WinterMult,G1087),1)</x:f>
        <x:v>1</x:v>
      </x:c>
      <x:c r="R1087" s="9" t="n">
        <x:f>H1087*Z1086*v01_WomenShare*v01_BaseFertility*INDEX(v01_FertMult,G1087)*Arch_Fertility*(1-P1087)</x:f>
        <x:v>66.02005376328908</x:v>
      </x:c>
      <x:c r="S1087" s="9" t="n">
        <x:f>H1087*Y1086*INDEX(v01_MortChild,G1087)/4*Q1087</x:f>
        <x:v>13.445852606502791</x:v>
      </x:c>
      <x:c r="T1087" s="9" t="n">
        <x:f>H1087*Z1086*INDEX(v01_MortAdult,G1087)*Arch_AdultMort/4*Q1087</x:f>
        <x:v>5.346089451350998</x:v>
      </x:c>
      <x:c r="U1087" s="9" t="n">
        <x:f>H1087*AA1086*INDEX(v01_MortElder,G1087)/4*Q1087</x:f>
        <x:v>11.637303036741256</x:v>
      </x:c>
      <x:c r="V1087" s="9" t="n">
        <x:f>H1087*MAX(0,AB1086-O1087)*v01_OvercapLoss</x:f>
        <x:v>0</x:v>
      </x:c>
      <x:c r="W1087" s="9" t="n">
        <x:f>H1087*Y1086/(v01_ChildYears*4)</x:f>
        <x:v>38.41672173286512</x:v>
      </x:c>
      <x:c r="X1087" s="9" t="n">
        <x:f>H1087*Z1086/(v01_AdultYears*4)</x:f>
        <x:v>17.245449843067732</x:v>
      </x:c>
      <x:c r="Y1087" s="32" t="n">
        <x:f>Y1086+R1087-S1087-W1087-Y1086*V1087/AB1086</x:f>
        <x:v>2165.493896464368</x:v>
      </x:c>
      <x:c r="Z1087" s="32" t="n">
        <x:f>Z1086+W1087-X1087-T1087-Z1086*V1087/AB1086</x:f>
        <x:v>2154.260962978845</x:v>
      </x:c>
      <x:c r="AA1087" s="32" t="n">
        <x:f>AA1086+X1087-U1087-AA1086*V1087/AB1086</x:f>
        <x:v>781.4283492557436</x:v>
      </x:c>
      <x:c r="AB1087" s="10" t="n">
        <x:f>Y1087+Z1087+AA1087</x:f>
        <x:v>5101.183208698956</x:v>
      </x:c>
      <x:c r="AC1087" s="8" t="n">
        <x:f>IF(AND(v01_WinterTrigger=1,D1087=1,AB1086/AE1086&gt;=K1087),1,0)</x:f>
        <x:v>0</x:v>
      </x:c>
      <x:c r="AD1087" s="8" t="n">
        <x:f>H1087*IF(AND(OR(AB1086/AE1086&gt;=v01_FissionTrigger*N1087,AC1087=1),AB1086/AE1086*v01_DaughterShare&gt;=v01_MinDaughter),MAX(1,ROUND(AE1086*v01_FissionRate,0)),0)</x:f>
        <x:v>0</x:v>
      </x:c>
      <x:c r="AE1087" s="8" t="n">
        <x:f>IF(H1087=1,MAX(1,MIN(INDEX(v01_Smax,G1087),AE1086+AD1087)),AE1086)</x:f>
        <x:v>16</x:v>
      </x:c>
      <x:c r="AF1087" s="8" t="n">
        <x:f>MAX(0,AE1087-AE1086)</x:f>
        <x:v>0</x:v>
      </x:c>
      <x:c r="AG1087" s="9" t="str">
        <x:f>IF(AF1087&gt;0,B1087,"")</x:f>
      </x:c>
      <x:c r="AH1087" s="9" t="n">
        <x:f>IF(F1087&gt;=1,1,(1+v01_LowTiesShare*(AE1087-1))/AE1087)</x:f>
        <x:v>1</x:v>
      </x:c>
      <x:c r="AI1087" s="32" t="n">
        <x:f>(Z1087+v01_ElderCommons*INDEX(LM_Elder,G1087)*AA1087)*AH1087</x:f>
        <x:v>4775.2513257007795</x:v>
      </x:c>
      <x:c r="AJ1087" s="32" t="n">
        <x:f>H1087*v01_CommonsCoef*AI1087^v01_CommonsExp*INDEX(LM_Commons,G1087)</x:f>
        <x:v>1068.0162822855148</x:v>
      </x:c>
      <x:c r="AK1087" s="32" t="n">
        <x:f>H1087*v01_RoleScale*Arch_Roles*(AE1087*(INDEX(v01_ElderRolePerSett,G1087)*v01_OutElder*INDEX(LM_Elder,G1087)+INDEX(v01_ShamanPerSett,G1087)*v01_OutShaman)+Z1087*(INDEX(v01_PriestShare,G1087)*v01_OutPriest+INDEX(v01_ScribeShare,G1087)*v01_OutScribe*INDEX(LM_Scribe,G1087)+INDEX(v01_ScholarShare,G1087)*v01_OutScholar*INDEX(LM_Scholar,G1087)+INDEX(v01_ResearcherShare,G1087)*v01_OutResearcher*INDEX(LM_Researcher,G1087)))</x:f>
        <x:v>203.59760623158724</x:v>
      </x:c>
      <x:c r="AL1087" s="32" t="n">
        <x:f>H1087*v01_RoleScale*Arch_Roles*AE1087*INDEX(v01_MonasteryPerSett,G1087)*v01_OutMonastery*INDEX(LM_Monastery,G1087)</x:f>
        <x:v>5.034282471216728</x:v>
      </x:c>
      <x:c r="AM1087" s="32" t="n">
        <x:f>(AJ1087+AK1087+AL1087)/4*INDEX(LM_All,G1087)*INDEX(v01_Boon,G1087)*Arch_Insight</x:f>
        <x:v>460.04034855438033</x:v>
      </x:c>
      <x:c r="AN1087" s="32" t="n">
        <x:f>H1087*(v01_KHPerAdult*Z1087+v01_KHOfCommons*AJ1087/4*INDEX(LM_All,G1087))*v01_KHUsable*Arch_KH</x:f>
        <x:v>75.39913370425957</x:v>
      </x:c>
      <x:c r="AO1087" s="32" t="n">
        <x:f>MIN(AP1086+AN1087,AM1087*v01_KHMaxRatio)</x:f>
        <x:v>75.39913370425957</x:v>
      </x:c>
      <x:c r="AP1087" s="32" t="n">
        <x:f>AP1086+AN1087-AO1087</x:f>
        <x:v>0</x:v>
      </x:c>
      <x:c r="AQ1087" s="32" t="n">
        <x:f>AM1087+AO1087</x:f>
        <x:v>535.4394822586399</x:v>
      </x:c>
      <x:c r="AR1087" s="10" t="n">
        <x:f>IF(H1087=1,INDEX(v01_Req,G1087),0)</x:f>
        <x:v>47951.22698</x:v>
      </x:c>
      <x:c r="AS1087" s="32" t="n">
        <x:f>IF(H1087=1,IF(E1087=1,AS1086-AR1086,AS1086)+AQ1087,0)</x:f>
        <x:v>28163.156500784193</x:v>
      </x:c>
      <x:c r="AT1087" s="11" t="n">
        <x:f>IF(AR1087&gt;0,MIN(1,AS1087/AR1087),1)</x:f>
        <x:v>0.5873292150069649</x:v>
      </x:c>
      <x:c r="AU1087" s="10" t="n">
        <x:f>AB1087/INDEX(v01_RepScale,G1087)</x:f>
        <x:v>204.04732834795826</x:v>
      </x:c>
      <x:c r="AV1087" s="32" t="n">
        <x:f>AM1087*60/v01_SeasonSeconds</x:f>
        <x:v>1840.1613942175213</x:v>
      </x:c>
    </x:row>
    <x:row r="1088">
      <x:c r="A1088" s="8" t="n">
        <x:f>A1087+1</x:f>
        <x:v>1085</x:v>
      </x:c>
      <x:c r="B1088" s="9" t="n">
        <x:f>A1088*v01_SeasonSeconds/60</x:f>
        <x:v>271.25</x:v>
      </x:c>
      <x:c r="C1088" s="9" t="n">
        <x:f>A1088/4</x:f>
        <x:v>271.25</x:v>
      </x:c>
      <x:c r="D1088" s="8" t="n">
        <x:f>IF(MOD(A1088,4)=0,1,0)</x:f>
        <x:v>0</x:v>
      </x:c>
      <x:c r="E1088" s="8" t="n">
        <x:f>IF(AND(F1087&lt;=9,AS1087&gt;=AR1087),1,0)</x:f>
        <x:v>0</x:v>
      </x:c>
      <x:c r="F1088" s="8" t="n">
        <x:f>MIN(10,F1087+E1088)</x:f>
        <x:v>5</x:v>
      </x:c>
      <x:c r="G1088" s="8" t="n">
        <x:f>MIN(F1088,9)+1</x:f>
        <x:v>6</x:v>
      </x:c>
      <x:c r="H1088" s="8" t="n">
        <x:f>IF(F1088&lt;=9,1,0)</x:f>
        <x:v>1</x:v>
      </x:c>
      <x:c r="I1088" s="9" t="n">
        <x:f>MIN(10,F1087+IF(AR1087&gt;0,MIN(1,AS1087/AR1087),1))</x:f>
        <x:v>5.587329215006965</x:v>
      </x:c>
      <x:c r="J1088" s="32" t="n">
        <x:f>INDEX(v01_FoodCap,G1088)*Arch_FoodCap*EXP(v01_CapsByProject*SUMPRODUCT((Cap_Point&lt;=I1088)*(Cap_Kind="Food")*Cap_Ln))</x:f>
        <x:v>500</x:v>
      </x:c>
      <x:c r="K1088" s="32" t="n">
        <x:f>J1088*MIN(1,v01_LeanBase*EXP(v01_CapsByProject*SUMPRODUCT((Cap_Point&lt;=I1088)*(Cap_Kind="Lean")*Cap_Ln)))</x:f>
        <x:v>500</x:v>
      </x:c>
      <x:c r="L1088" s="10" t="n">
        <x:f>INDEX(v01_HousingCap,G1088)*EXP(v01_CapsByProject*SUMPRODUCT((Cap_Point&lt;=I1088)*(Cap_Kind="Housing")*Cap_Ln))</x:f>
        <x:v>800</x:v>
      </x:c>
      <x:c r="M1088" s="10" t="n">
        <x:f>INDEX(v01_GroupCap,G1088)*v01_CohesionFactor*EXP(v01_CapsByProject*SUMPRODUCT((Cap_Point&lt;=I1088)*(Cap_Kind="Group")*Cap_Ln))</x:f>
        <x:v>10000</x:v>
      </x:c>
      <x:c r="N1088" s="32" t="n">
        <x:f>MIN(J1088,L1088,M1088)</x:f>
        <x:v>500</x:v>
      </x:c>
      <x:c r="O1088" s="10" t="n">
        <x:f>AE1087*N1088</x:f>
        <x:v>8000</x:v>
      </x:c>
      <x:c r="P1088" s="9" t="n">
        <x:f>MIN(1,(AB1087/(AE1087*IF(v01_GroupInCrowding=1,N1088,MIN(J1088,L1088))))^v01_CrowdingExp)</x:f>
        <x:v>0.06721800317704699</x:v>
      </x:c>
      <x:c r="Q1088" s="9" t="n">
        <x:f>IF(D1088=1,INDEX(v01_WinterMult,G1088),1)</x:f>
        <x:v>1</x:v>
      </x:c>
      <x:c r="R1088" s="9" t="n">
        <x:f>H1088*Z1087*v01_WomenShare*v01_BaseFertility*INDEX(v01_FertMult,G1088)*Arch_Fertility*(1-P1088)</x:f>
        <x:v>66.31204280992978</x:v>
      </x:c>
      <x:c r="S1088" s="9" t="n">
        <x:f>H1088*Y1087*INDEX(v01_MortChild,G1088)/4*Q1088</x:f>
        <x:v>13.5343368529023</x:v>
      </x:c>
      <x:c r="T1088" s="9" t="n">
        <x:f>H1088*Z1087*INDEX(v01_MortAdult,G1088)*Arch_AdultMort/4*Q1088</x:f>
        <x:v>5.385652407447112</x:v>
      </x:c>
      <x:c r="U1088" s="9" t="n">
        <x:f>H1088*AA1087*INDEX(v01_MortElder,G1088)/4*Q1088</x:f>
        <x:v>11.721425238836153</x:v>
      </x:c>
      <x:c r="V1088" s="9" t="n">
        <x:f>H1088*MAX(0,AB1087-O1088)*v01_OvercapLoss</x:f>
        <x:v>0</x:v>
      </x:c>
      <x:c r="W1088" s="9" t="n">
        <x:f>H1088*Y1087/(v01_ChildYears*4)</x:f>
        <x:v>38.66953386543514</x:v>
      </x:c>
      <x:c r="X1088" s="9" t="n">
        <x:f>H1088*Z1087/(v01_AdultYears*4)</x:f>
        <x:v>17.37307228208746</x:v>
      </x:c>
      <x:c r="Y1088" s="32" t="n">
        <x:f>Y1087+R1088-S1088-W1088-Y1087*V1088/AB1087</x:f>
        <x:v>2179.6020685559597</x:v>
      </x:c>
      <x:c r="Z1088" s="32" t="n">
        <x:f>Z1087+W1088-X1088-T1088-Z1087*V1088/AB1087</x:f>
        <x:v>2170.1717721547457</x:v>
      </x:c>
      <x:c r="AA1088" s="32" t="n">
        <x:f>AA1087+X1088-U1088-AA1087*V1088/AB1087</x:f>
        <x:v>787.079996298995</x:v>
      </x:c>
      <x:c r="AB1088" s="10" t="n">
        <x:f>Y1088+Z1088+AA1088</x:f>
        <x:v>5136.8538370097</x:v>
      </x:c>
      <x:c r="AC1088" s="8" t="n">
        <x:f>IF(AND(v01_WinterTrigger=1,D1088=1,AB1087/AE1087&gt;=K1088),1,0)</x:f>
        <x:v>0</x:v>
      </x:c>
      <x:c r="AD1088" s="8" t="n">
        <x:f>H1088*IF(AND(OR(AB1087/AE1087&gt;=v01_FissionTrigger*N1088,AC1088=1),AB1087/AE1087*v01_DaughterShare&gt;=v01_MinDaughter),MAX(1,ROUND(AE1087*v01_FissionRate,0)),0)</x:f>
        <x:v>0</x:v>
      </x:c>
      <x:c r="AE1088" s="8" t="n">
        <x:f>IF(H1088=1,MAX(1,MIN(INDEX(v01_Smax,G1088),AE1087+AD1088)),AE1087)</x:f>
        <x:v>16</x:v>
      </x:c>
      <x:c r="AF1088" s="8" t="n">
        <x:f>MAX(0,AE1088-AE1087)</x:f>
        <x:v>0</x:v>
      </x:c>
      <x:c r="AG1088" s="9" t="str">
        <x:f>IF(AF1088&gt;0,B1088,"")</x:f>
      </x:c>
      <x:c r="AH1088" s="9" t="n">
        <x:f>IF(F1088&gt;=1,1,(1+v01_LowTiesShare*(AE1088-1))/AE1088)</x:f>
        <x:v>1</x:v>
      </x:c>
      <x:c r="AI1088" s="32" t="n">
        <x:f>(Z1088+v01_ElderCommons*INDEX(LM_Elder,G1088)*AA1088)*AH1088</x:f>
        <x:v>4810.118335337</x:v>
      </x:c>
      <x:c r="AJ1088" s="32" t="n">
        <x:f>H1088*v01_CommonsCoef*AI1088^v01_CommonsExp*INDEX(LM_Commons,G1088)</x:f>
        <x:v>1074.641162606106</x:v>
      </x:c>
      <x:c r="AK1088" s="32" t="n">
        <x:f>H1088*v01_RoleScale*Arch_Roles*(AE1088*(INDEX(v01_ElderRolePerSett,G1088)*v01_OutElder*INDEX(LM_Elder,G1088)+INDEX(v01_ShamanPerSett,G1088)*v01_OutShaman)+Z1088*(INDEX(v01_PriestShare,G1088)*v01_OutPriest+INDEX(v01_ScribeShare,G1088)*v01_OutScribe*INDEX(LM_Scribe,G1088)+INDEX(v01_ScholarShare,G1088)*v01_OutScholar*INDEX(LM_Scholar,G1088)+INDEX(v01_ResearcherShare,G1088)*v01_OutResearcher*INDEX(LM_Researcher,G1088)))</x:f>
        <x:v>204.72588710017163</x:v>
      </x:c>
      <x:c r="AL1088" s="32" t="n">
        <x:f>H1088*v01_RoleScale*Arch_Roles*AE1088*INDEX(v01_MonasteryPerSett,G1088)*v01_OutMonastery*INDEX(LM_Monastery,G1088)</x:f>
        <x:v>5.034282471216728</x:v>
      </x:c>
      <x:c r="AM1088" s="32" t="n">
        <x:f>(AJ1088+AK1088+AL1088)/4*INDEX(LM_All,G1088)*INDEX(v01_Boon,G1088)*Arch_Insight</x:f>
        <x:v>462.8342012828932</x:v>
      </x:c>
      <x:c r="AN1088" s="32" t="n">
        <x:f>H1088*(v01_KHPerAdult*Z1088+v01_KHOfCommons*AJ1088/4*INDEX(LM_All,G1088))*v01_KHUsable*Arch_KH</x:f>
        <x:v>75.9560120254161</x:v>
      </x:c>
      <x:c r="AO1088" s="32" t="n">
        <x:f>MIN(AP1087+AN1088,AM1088*v01_KHMaxRatio)</x:f>
        <x:v>75.9560120254161</x:v>
      </x:c>
      <x:c r="AP1088" s="32" t="n">
        <x:f>AP1087+AN1088-AO1088</x:f>
        <x:v>0</x:v>
      </x:c>
      <x:c r="AQ1088" s="32" t="n">
        <x:f>AM1088+AO1088</x:f>
        <x:v>538.7902133083094</x:v>
      </x:c>
      <x:c r="AR1088" s="10" t="n">
        <x:f>IF(H1088=1,INDEX(v01_Req,G1088),0)</x:f>
        <x:v>47951.22698</x:v>
      </x:c>
      <x:c r="AS1088" s="32" t="n">
        <x:f>IF(H1088=1,IF(E1088=1,AS1087-AR1087,AS1087)+AQ1088,0)</x:f>
        <x:v>28701.9467140925</x:v>
      </x:c>
      <x:c r="AT1088" s="11" t="n">
        <x:f>IF(AR1088&gt;0,MIN(1,AS1088/AR1088),1)</x:f>
        <x:v>0.5985654282853661</x:v>
      </x:c>
      <x:c r="AU1088" s="10" t="n">
        <x:f>AB1088/INDEX(v01_RepScale,G1088)</x:f>
        <x:v>205.47415348038803</x:v>
      </x:c>
      <x:c r="AV1088" s="32" t="n">
        <x:f>AM1088*60/v01_SeasonSeconds</x:f>
        <x:v>1851.3368051315729</x:v>
      </x:c>
    </x:row>
    <x:row r="1089">
      <x:c r="A1089" s="8" t="n">
        <x:f>A1088+1</x:f>
        <x:v>1086</x:v>
      </x:c>
      <x:c r="B1089" s="9" t="n">
        <x:f>A1089*v01_SeasonSeconds/60</x:f>
        <x:v>271.5</x:v>
      </x:c>
      <x:c r="C1089" s="9" t="n">
        <x:f>A1089/4</x:f>
        <x:v>271.5</x:v>
      </x:c>
      <x:c r="D1089" s="8" t="n">
        <x:f>IF(MOD(A1089,4)=0,1,0)</x:f>
        <x:v>0</x:v>
      </x:c>
      <x:c r="E1089" s="8" t="n">
        <x:f>IF(AND(F1088&lt;=9,AS1088&gt;=AR1088),1,0)</x:f>
        <x:v>0</x:v>
      </x:c>
      <x:c r="F1089" s="8" t="n">
        <x:f>MIN(10,F1088+E1089)</x:f>
        <x:v>5</x:v>
      </x:c>
      <x:c r="G1089" s="8" t="n">
        <x:f>MIN(F1089,9)+1</x:f>
        <x:v>6</x:v>
      </x:c>
      <x:c r="H1089" s="8" t="n">
        <x:f>IF(F1089&lt;=9,1,0)</x:f>
        <x:v>1</x:v>
      </x:c>
      <x:c r="I1089" s="9" t="n">
        <x:f>MIN(10,F1088+IF(AR1088&gt;0,MIN(1,AS1088/AR1088),1))</x:f>
        <x:v>5.598565428285366</x:v>
      </x:c>
      <x:c r="J1089" s="32" t="n">
        <x:f>INDEX(v01_FoodCap,G1089)*Arch_FoodCap*EXP(v01_CapsByProject*SUMPRODUCT((Cap_Point&lt;=I1089)*(Cap_Kind="Food")*Cap_Ln))</x:f>
        <x:v>500</x:v>
      </x:c>
      <x:c r="K1089" s="32" t="n">
        <x:f>J1089*MIN(1,v01_LeanBase*EXP(v01_CapsByProject*SUMPRODUCT((Cap_Point&lt;=I1089)*(Cap_Kind="Lean")*Cap_Ln)))</x:f>
        <x:v>500</x:v>
      </x:c>
      <x:c r="L1089" s="10" t="n">
        <x:f>INDEX(v01_HousingCap,G1089)*EXP(v01_CapsByProject*SUMPRODUCT((Cap_Point&lt;=I1089)*(Cap_Kind="Housing")*Cap_Ln))</x:f>
        <x:v>800</x:v>
      </x:c>
      <x:c r="M1089" s="10" t="n">
        <x:f>INDEX(v01_GroupCap,G1089)*v01_CohesionFactor*EXP(v01_CapsByProject*SUMPRODUCT((Cap_Point&lt;=I1089)*(Cap_Kind="Group")*Cap_Ln))</x:f>
        <x:v>10000</x:v>
      </x:c>
      <x:c r="N1089" s="32" t="n">
        <x:f>MIN(J1089,L1089,M1089)</x:f>
        <x:v>500</x:v>
      </x:c>
      <x:c r="O1089" s="10" t="n">
        <x:f>AE1088*N1089</x:f>
        <x:v>8000</x:v>
      </x:c>
      <x:c r="P1089" s="9" t="n">
        <x:f>MIN(1,(AB1088/(AE1088*IF(v01_GroupInCrowding=1,N1089,MIN(J1089,L1089))))^v01_CrowdingExp)</x:f>
        <x:v>0.07008794547882237</x:v>
      </x:c>
      <x:c r="Q1089" s="9" t="n">
        <x:f>IF(D1089=1,INDEX(v01_WinterMult,G1089),1)</x:f>
        <x:v>1</x:v>
      </x:c>
      <x:c r="R1089" s="9" t="n">
        <x:f>H1089*Z1088*v01_WomenShare*v01_BaseFertility*INDEX(v01_FertMult,G1089)*Arch_Fertility*(1-P1089)</x:f>
        <x:v>66.5962734131734</x:v>
      </x:c>
      <x:c r="S1089" s="9" t="n">
        <x:f>H1089*Y1088*INDEX(v01_MortChild,G1089)/4*Q1089</x:f>
        <x:v>13.622512928474748</x:v>
      </x:c>
      <x:c r="T1089" s="9" t="n">
        <x:f>H1089*Z1088*INDEX(v01_MortAdult,G1089)*Arch_AdultMort/4*Q1089</x:f>
        <x:v>5.425429430386864</x:v>
      </x:c>
      <x:c r="U1089" s="9" t="n">
        <x:f>H1089*AA1088*INDEX(v01_MortElder,G1089)/4*Q1089</x:f>
        <x:v>11.806199944484923</x:v>
      </x:c>
      <x:c r="V1089" s="9" t="n">
        <x:f>H1089*MAX(0,AB1088-O1089)*v01_OvercapLoss</x:f>
        <x:v>0</x:v>
      </x:c>
      <x:c r="W1089" s="9" t="n">
        <x:f>H1089*Y1088/(v01_ChildYears*4)</x:f>
        <x:v>38.92146550992785</x:v>
      </x:c>
      <x:c r="X1089" s="9" t="n">
        <x:f>H1089*Z1088/(v01_AdultYears*4)</x:f>
        <x:v>17.501385259312464</x:v>
      </x:c>
      <x:c r="Y1089" s="32" t="n">
        <x:f>Y1088+R1089-S1089-W1089-Y1088*V1089/AB1088</x:f>
        <x:v>2193.6543635307307</x:v>
      </x:c>
      <x:c r="Z1089" s="32" t="n">
        <x:f>Z1088+W1089-X1089-T1089-Z1088*V1089/AB1088</x:f>
        <x:v>2186.166422974974</x:v>
      </x:c>
      <x:c r="AA1089" s="32" t="n">
        <x:f>AA1088+X1089-U1089-AA1088*V1089/AB1088</x:f>
        <x:v>792.7751816138225</x:v>
      </x:c>
      <x:c r="AB1089" s="10" t="n">
        <x:f>Y1089+Z1089+AA1089</x:f>
        <x:v>5172.595968119527</x:v>
      </x:c>
      <x:c r="AC1089" s="8" t="n">
        <x:f>IF(AND(v01_WinterTrigger=1,D1089=1,AB1088/AE1088&gt;=K1089),1,0)</x:f>
        <x:v>0</x:v>
      </x:c>
      <x:c r="AD1089" s="8" t="n">
        <x:f>H1089*IF(AND(OR(AB1088/AE1088&gt;=v01_FissionTrigger*N1089,AC1089=1),AB1088/AE1088*v01_DaughterShare&gt;=v01_MinDaughter),MAX(1,ROUND(AE1088*v01_FissionRate,0)),0)</x:f>
        <x:v>0</x:v>
      </x:c>
      <x:c r="AE1089" s="8" t="n">
        <x:f>IF(H1089=1,MAX(1,MIN(INDEX(v01_Smax,G1089),AE1088+AD1089)),AE1088)</x:f>
        <x:v>16</x:v>
      </x:c>
      <x:c r="AF1089" s="8" t="n">
        <x:f>MAX(0,AE1089-AE1088)</x:f>
        <x:v>0</x:v>
      </x:c>
      <x:c r="AG1089" s="9" t="str">
        <x:f>IF(AF1089&gt;0,B1089,"")</x:f>
      </x:c>
      <x:c r="AH1089" s="9" t="n">
        <x:f>IF(F1089&gt;=1,1,(1+v01_LowTiesShare*(AE1089-1))/AE1089)</x:f>
        <x:v>1</x:v>
      </x:c>
      <x:c r="AI1089" s="32" t="n">
        <x:f>(Z1089+v01_ElderCommons*INDEX(LM_Elder,G1089)*AA1089)*AH1089</x:f>
        <x:v>4845.215218419848</x:v>
      </x:c>
      <x:c r="AJ1089" s="32" t="n">
        <x:f>H1089*v01_CommonsCoef*AI1089^v01_CommonsExp*INDEX(LM_Commons,G1089)</x:f>
        <x:v>1081.3024492408078</x:v>
      </x:c>
      <x:c r="AK1089" s="32" t="n">
        <x:f>H1089*v01_RoleScale*Arch_Roles*(AE1089*(INDEX(v01_ElderRolePerSett,G1089)*v01_OutElder*INDEX(LM_Elder,G1089)+INDEX(v01_ShamanPerSett,G1089)*v01_OutShaman)+Z1089*(INDEX(v01_PriestShare,G1089)*v01_OutPriest+INDEX(v01_ScribeShare,G1089)*v01_OutScribe*INDEX(LM_Scribe,G1089)+INDEX(v01_ScholarShare,G1089)*v01_OutScholar*INDEX(LM_Scholar,G1089)+INDEX(v01_ResearcherShare,G1089)*v01_OutResearcher*INDEX(LM_Researcher,G1089)))</x:f>
        <x:v>205.86011341893646</x:v>
      </x:c>
      <x:c r="AL1089" s="32" t="n">
        <x:f>H1089*v01_RoleScale*Arch_Roles*AE1089*INDEX(v01_MonasteryPerSett,G1089)*v01_OutMonastery*INDEX(LM_Monastery,G1089)</x:f>
        <x:v>5.034282471216728</x:v>
      </x:c>
      <x:c r="AM1089" s="32" t="n">
        <x:f>(AJ1089+AK1089+AL1089)/4*INDEX(LM_All,G1089)*INDEX(v01_Boon,G1089)*Arch_Insight</x:f>
        <x:v>465.6433154756443</x:v>
      </x:c>
      <x:c r="AN1089" s="32" t="n">
        <x:f>H1089*(v01_KHPerAdult*Z1089+v01_KHOfCommons*AJ1089/4*INDEX(LM_All,G1089))*v01_KHUsable*Arch_KH</x:f>
        <x:v>76.5158248041241</x:v>
      </x:c>
      <x:c r="AO1089" s="32" t="n">
        <x:f>MIN(AP1088+AN1089,AM1089*v01_KHMaxRatio)</x:f>
        <x:v>76.5158248041241</x:v>
      </x:c>
      <x:c r="AP1089" s="32" t="n">
        <x:f>AP1088+AN1089-AO1089</x:f>
        <x:v>0</x:v>
      </x:c>
      <x:c r="AQ1089" s="32" t="n">
        <x:f>AM1089+AO1089</x:f>
        <x:v>542.1591402797684</x:v>
      </x:c>
      <x:c r="AR1089" s="10" t="n">
        <x:f>IF(H1089=1,INDEX(v01_Req,G1089),0)</x:f>
        <x:v>47951.22698</x:v>
      </x:c>
      <x:c r="AS1089" s="32" t="n">
        <x:f>IF(H1089=1,IF(E1089=1,AS1088-AR1088,AS1088)+AQ1089,0)</x:f>
        <x:v>29244.10585437227</x:v>
      </x:c>
      <x:c r="AT1089" s="11" t="n">
        <x:f>IF(AR1089&gt;0,MIN(1,AS1089/AR1089),1)</x:f>
        <x:v>0.6098718989311724</x:v>
      </x:c>
      <x:c r="AU1089" s="10" t="n">
        <x:f>AB1089/INDEX(v01_RepScale,G1089)</x:f>
        <x:v>206.90383872478108</x:v>
      </x:c>
      <x:c r="AV1089" s="32" t="n">
        <x:f>AM1089*60/v01_SeasonSeconds</x:f>
        <x:v>1862.573261902577</x:v>
      </x:c>
    </x:row>
    <x:row r="1090">
      <x:c r="A1090" s="8" t="n">
        <x:f>A1089+1</x:f>
        <x:v>1087</x:v>
      </x:c>
      <x:c r="B1090" s="9" t="n">
        <x:f>A1090*v01_SeasonSeconds/60</x:f>
        <x:v>271.75</x:v>
      </x:c>
      <x:c r="C1090" s="9" t="n">
        <x:f>A1090/4</x:f>
        <x:v>271.75</x:v>
      </x:c>
      <x:c r="D1090" s="8" t="n">
        <x:f>IF(MOD(A1090,4)=0,1,0)</x:f>
        <x:v>0</x:v>
      </x:c>
      <x:c r="E1090" s="8" t="n">
        <x:f>IF(AND(F1089&lt;=9,AS1089&gt;=AR1089),1,0)</x:f>
        <x:v>0</x:v>
      </x:c>
      <x:c r="F1090" s="8" t="n">
        <x:f>MIN(10,F1089+E1090)</x:f>
        <x:v>5</x:v>
      </x:c>
      <x:c r="G1090" s="8" t="n">
        <x:f>MIN(F1090,9)+1</x:f>
        <x:v>6</x:v>
      </x:c>
      <x:c r="H1090" s="8" t="n">
        <x:f>IF(F1090&lt;=9,1,0)</x:f>
        <x:v>1</x:v>
      </x:c>
      <x:c r="I1090" s="9" t="n">
        <x:f>MIN(10,F1089+IF(AR1089&gt;0,MIN(1,AS1089/AR1089),1))</x:f>
        <x:v>5.609871898931172</x:v>
      </x:c>
      <x:c r="J1090" s="32" t="n">
        <x:f>INDEX(v01_FoodCap,G1090)*Arch_FoodCap*EXP(v01_CapsByProject*SUMPRODUCT((Cap_Point&lt;=I1090)*(Cap_Kind="Food")*Cap_Ln))</x:f>
        <x:v>500</x:v>
      </x:c>
      <x:c r="K1090" s="32" t="n">
        <x:f>J1090*MIN(1,v01_LeanBase*EXP(v01_CapsByProject*SUMPRODUCT((Cap_Point&lt;=I1090)*(Cap_Kind="Lean")*Cap_Ln)))</x:f>
        <x:v>500</x:v>
      </x:c>
      <x:c r="L1090" s="10" t="n">
        <x:f>INDEX(v01_HousingCap,G1090)*EXP(v01_CapsByProject*SUMPRODUCT((Cap_Point&lt;=I1090)*(Cap_Kind="Housing")*Cap_Ln))</x:f>
        <x:v>800</x:v>
      </x:c>
      <x:c r="M1090" s="10" t="n">
        <x:f>INDEX(v01_GroupCap,G1090)*v01_CohesionFactor*EXP(v01_CapsByProject*SUMPRODUCT((Cap_Point&lt;=I1090)*(Cap_Kind="Group")*Cap_Ln))</x:f>
        <x:v>10000</x:v>
      </x:c>
      <x:c r="N1090" s="32" t="n">
        <x:f>MIN(J1090,L1090,M1090)</x:f>
        <x:v>500</x:v>
      </x:c>
      <x:c r="O1090" s="10" t="n">
        <x:f>AE1089*N1090</x:f>
        <x:v>8000</x:v>
      </x:c>
      <x:c r="P1090" s="9" t="n">
        <x:f>MIN(1,(AB1089/(AE1089*IF(v01_GroupInCrowding=1,N1090,MIN(J1090,L1090))))^v01_CrowdingExp)</x:f>
        <x:v>0.073065341720871</x:v>
      </x:c>
      <x:c r="Q1090" s="9" t="n">
        <x:f>IF(D1090=1,INDEX(v01_WinterMult,G1090),1)</x:f>
        <x:v>1</x:v>
      </x:c>
      <x:c r="R1090" s="9" t="n">
        <x:f>H1090*Z1089*v01_WomenShare*v01_BaseFertility*INDEX(v01_FertMult,G1090)*Arch_Fertility*(1-P1090)</x:f>
        <x:v>66.87230306531325</x:v>
      </x:c>
      <x:c r="S1090" s="9" t="n">
        <x:f>H1090*Y1089*INDEX(v01_MortChild,G1090)/4*Q1090</x:f>
        <x:v>13.710339772067067</x:v>
      </x:c>
      <x:c r="T1090" s="9" t="n">
        <x:f>H1090*Z1089*INDEX(v01_MortAdult,G1090)*Arch_AdultMort/4*Q1090</x:f>
        <x:v>5.4654160574374355</x:v>
      </x:c>
      <x:c r="U1090" s="9" t="n">
        <x:f>H1090*AA1089*INDEX(v01_MortElder,G1090)/4*Q1090</x:f>
        <x:v>11.891627724207337</x:v>
      </x:c>
      <x:c r="V1090" s="9" t="n">
        <x:f>H1090*MAX(0,AB1089-O1090)*v01_OvercapLoss</x:f>
        <x:v>0</x:v>
      </x:c>
      <x:c r="W1090" s="9" t="n">
        <x:f>H1090*Y1089/(v01_ChildYears*4)</x:f>
        <x:v>39.17239934876305</x:v>
      </x:c>
      <x:c r="X1090" s="9" t="n">
        <x:f>H1090*Z1089/(v01_AdultYears*4)</x:f>
        <x:v>17.630374378830435</x:v>
      </x:c>
      <x:c r="Y1090" s="32" t="n">
        <x:f>Y1089+R1090-S1090-W1090-Y1089*V1090/AB1089</x:f>
        <x:v>2207.643927475214</x:v>
      </x:c>
      <x:c r="Z1090" s="32" t="n">
        <x:f>Z1089+W1090-X1090-T1090-Z1089*V1090/AB1089</x:f>
        <x:v>2202.2430318874694</x:v>
      </x:c>
      <x:c r="AA1090" s="32" t="n">
        <x:f>AA1089+X1090-U1090-AA1089*V1090/AB1089</x:f>
        <x:v>798.5139282684456</x:v>
      </x:c>
      <x:c r="AB1090" s="10" t="n">
        <x:f>Y1090+Z1090+AA1090</x:f>
        <x:v>5208.400887631129</x:v>
      </x:c>
      <x:c r="AC1090" s="8" t="n">
        <x:f>IF(AND(v01_WinterTrigger=1,D1090=1,AB1089/AE1089&gt;=K1090),1,0)</x:f>
        <x:v>0</x:v>
      </x:c>
      <x:c r="AD1090" s="8" t="n">
        <x:f>H1090*IF(AND(OR(AB1089/AE1089&gt;=v01_FissionTrigger*N1090,AC1090=1),AB1089/AE1089*v01_DaughterShare&gt;=v01_MinDaughter),MAX(1,ROUND(AE1089*v01_FissionRate,0)),0)</x:f>
        <x:v>0</x:v>
      </x:c>
      <x:c r="AE1090" s="8" t="n">
        <x:f>IF(H1090=1,MAX(1,MIN(INDEX(v01_Smax,G1090),AE1089+AD1090)),AE1089)</x:f>
        <x:v>16</x:v>
      </x:c>
      <x:c r="AF1090" s="8" t="n">
        <x:f>MAX(0,AE1090-AE1089)</x:f>
        <x:v>0</x:v>
      </x:c>
      <x:c r="AG1090" s="9" t="str">
        <x:f>IF(AF1090&gt;0,B1090,"")</x:f>
      </x:c>
      <x:c r="AH1090" s="9" t="n">
        <x:f>IF(F1090&gt;=1,1,(1+v01_LowTiesShare*(AE1090-1))/AE1090)</x:f>
        <x:v>1</x:v>
      </x:c>
      <x:c r="AI1090" s="32" t="n">
        <x:f>(Z1090+v01_ElderCommons*INDEX(LM_Elder,G1090)*AA1090)*AH1090</x:f>
        <x:v>4880.5401687704225</x:v>
      </x:c>
      <x:c r="AJ1090" s="32" t="n">
        <x:f>H1090*v01_CommonsCoef*AI1090^v01_CommonsExp*INDEX(LM_Commons,G1090)</x:f>
        <x:v>1087.9997179401971</x:v>
      </x:c>
      <x:c r="AK1090" s="32" t="n">
        <x:f>H1090*v01_RoleScale*Arch_Roles*(AE1090*(INDEX(v01_ElderRolePerSett,G1090)*v01_OutElder*INDEX(LM_Elder,G1090)+INDEX(v01_ShamanPerSett,G1090)*v01_OutShaman)+Z1090*(INDEX(v01_PriestShare,G1090)*v01_OutPriest+INDEX(v01_ScribeShare,G1090)*v01_OutScribe*INDEX(LM_Scribe,G1090)+INDEX(v01_ScholarShare,G1090)*v01_OutScholar*INDEX(LM_Scholar,G1090)+INDEX(v01_ResearcherShare,G1090)*v01_OutResearcher*INDEX(LM_Researcher,G1090)))</x:f>
        <x:v>207.00015161983174</x:v>
      </x:c>
      <x:c r="AL1090" s="32" t="n">
        <x:f>H1090*v01_RoleScale*Arch_Roles*AE1090*INDEX(v01_MonasteryPerSett,G1090)*v01_OutMonastery*INDEX(LM_Monastery,G1090)</x:f>
        <x:v>5.034282471216728</x:v>
      </x:c>
      <x:c r="AM1090" s="32" t="n">
        <x:f>(AJ1090+AK1090+AL1090)/4*INDEX(LM_All,G1090)*INDEX(v01_Boon,G1090)*Arch_Insight</x:f>
        <x:v>468.4674901230284</x:v>
      </x:c>
      <x:c r="AN1090" s="32" t="n">
        <x:f>H1090*(v01_KHPerAdult*Z1090+v01_KHOfCommons*AJ1090/4*INDEX(LM_All,G1090))*v01_KHUsable*Arch_KH</x:f>
        <x:v>77.07850611606142</x:v>
      </x:c>
      <x:c r="AO1090" s="32" t="n">
        <x:f>MIN(AP1089+AN1090,AM1090*v01_KHMaxRatio)</x:f>
        <x:v>77.07850611606142</x:v>
      </x:c>
      <x:c r="AP1090" s="32" t="n">
        <x:f>AP1089+AN1090-AO1090</x:f>
        <x:v>0</x:v>
      </x:c>
      <x:c r="AQ1090" s="32" t="n">
        <x:f>AM1090+AO1090</x:f>
        <x:v>545.5459962390898</x:v>
      </x:c>
      <x:c r="AR1090" s="10" t="n">
        <x:f>IF(H1090=1,INDEX(v01_Req,G1090),0)</x:f>
        <x:v>47951.22698</x:v>
      </x:c>
      <x:c r="AS1090" s="32" t="n">
        <x:f>IF(H1090=1,IF(E1090=1,AS1089-AR1089,AS1089)+AQ1090,0)</x:f>
        <x:v>29789.651850611357</x:v>
      </x:c>
      <x:c r="AT1090" s="11" t="n">
        <x:f>IF(AR1090&gt;0,MIN(1,AS1090/AR1090),1)</x:f>
        <x:v>0.6212490008448863</x:v>
      </x:c>
      <x:c r="AU1090" s="10" t="n">
        <x:f>AB1090/INDEX(v01_RepScale,G1090)</x:f>
        <x:v>208.33603550524515</x:v>
      </x:c>
      <x:c r="AV1090" s="32" t="n">
        <x:f>AM1090*60/v01_SeasonSeconds</x:f>
        <x:v>1873.8699604921137</x:v>
      </x:c>
    </x:row>
    <x:row r="1091">
      <x:c r="A1091" s="8" t="n">
        <x:f>A1090+1</x:f>
        <x:v>1088</x:v>
      </x:c>
      <x:c r="B1091" s="9" t="n">
        <x:f>A1091*v01_SeasonSeconds/60</x:f>
        <x:v>272</x:v>
      </x:c>
      <x:c r="C1091" s="9" t="n">
        <x:f>A1091/4</x:f>
        <x:v>272</x:v>
      </x:c>
      <x:c r="D1091" s="8" t="n">
        <x:f>IF(MOD(A1091,4)=0,1,0)</x:f>
        <x:v>1</x:v>
      </x:c>
      <x:c r="E1091" s="8" t="n">
        <x:f>IF(AND(F1090&lt;=9,AS1090&gt;=AR1090),1,0)</x:f>
        <x:v>0</x:v>
      </x:c>
      <x:c r="F1091" s="8" t="n">
        <x:f>MIN(10,F1090+E1091)</x:f>
        <x:v>5</x:v>
      </x:c>
      <x:c r="G1091" s="8" t="n">
        <x:f>MIN(F1091,9)+1</x:f>
        <x:v>6</x:v>
      </x:c>
      <x:c r="H1091" s="8" t="n">
        <x:f>IF(F1091&lt;=9,1,0)</x:f>
        <x:v>1</x:v>
      </x:c>
      <x:c r="I1091" s="9" t="n">
        <x:f>MIN(10,F1090+IF(AR1090&gt;0,MIN(1,AS1090/AR1090),1))</x:f>
        <x:v>5.6212490008448865</x:v>
      </x:c>
      <x:c r="J1091" s="32" t="n">
        <x:f>INDEX(v01_FoodCap,G1091)*Arch_FoodCap*EXP(v01_CapsByProject*SUMPRODUCT((Cap_Point&lt;=I1091)*(Cap_Kind="Food")*Cap_Ln))</x:f>
        <x:v>500</x:v>
      </x:c>
      <x:c r="K1091" s="32" t="n">
        <x:f>J1091*MIN(1,v01_LeanBase*EXP(v01_CapsByProject*SUMPRODUCT((Cap_Point&lt;=I1091)*(Cap_Kind="Lean")*Cap_Ln)))</x:f>
        <x:v>500</x:v>
      </x:c>
      <x:c r="L1091" s="10" t="n">
        <x:f>INDEX(v01_HousingCap,G1091)*EXP(v01_CapsByProject*SUMPRODUCT((Cap_Point&lt;=I1091)*(Cap_Kind="Housing")*Cap_Ln))</x:f>
        <x:v>800</x:v>
      </x:c>
      <x:c r="M1091" s="10" t="n">
        <x:f>INDEX(v01_GroupCap,G1091)*v01_CohesionFactor*EXP(v01_CapsByProject*SUMPRODUCT((Cap_Point&lt;=I1091)*(Cap_Kind="Group")*Cap_Ln))</x:f>
        <x:v>10000</x:v>
      </x:c>
      <x:c r="N1091" s="32" t="n">
        <x:f>MIN(J1091,L1091,M1091)</x:f>
        <x:v>500</x:v>
      </x:c>
      <x:c r="O1091" s="10" t="n">
        <x:f>AE1090*N1091</x:f>
        <x:v>8000</x:v>
      </x:c>
      <x:c r="P1091" s="9" t="n">
        <x:f>MIN(1,(AB1090/(AE1090*IF(v01_GroupInCrowding=1,N1091,MIN(J1091,L1091))))^v01_CrowdingExp)</x:f>
        <x:v>0.07615291000101863</x:v>
      </x:c>
      <x:c r="Q1091" s="9" t="n">
        <x:f>IF(D1091=1,INDEX(v01_WinterMult,G1091),1)</x:f>
        <x:v>1</x:v>
      </x:c>
      <x:c r="R1091" s="9" t="n">
        <x:f>H1091*Z1090*v01_WomenShare*v01_BaseFertility*INDEX(v01_FertMult,G1091)*Arch_Fertility*(1-P1091)</x:f>
        <x:v>67.1396819438325</x:v>
      </x:c>
      <x:c r="S1091" s="9" t="n">
        <x:f>H1091*Y1090*INDEX(v01_MortChild,G1091)/4*Q1091</x:f>
        <x:v>13.797774546720087</x:v>
      </x:c>
      <x:c r="T1091" s="9" t="n">
        <x:f>H1091*Z1090*INDEX(v01_MortAdult,G1091)*Arch_AdultMort/4*Q1091</x:f>
        <x:v>5.505607579718673</x:v>
      </x:c>
      <x:c r="U1091" s="9" t="n">
        <x:f>H1091*AA1090*INDEX(v01_MortElder,G1091)/4*Q1091</x:f>
        <x:v>11.977708924026684</x:v>
      </x:c>
      <x:c r="V1091" s="9" t="n">
        <x:f>H1091*MAX(0,AB1090-O1091)*v01_OvercapLoss</x:f>
        <x:v>0</x:v>
      </x:c>
      <x:c r="W1091" s="9" t="n">
        <x:f>H1091*Y1090/(v01_ChildYears*4)</x:f>
        <x:v>39.422212990628815</x:v>
      </x:c>
      <x:c r="X1091" s="9" t="n">
        <x:f>H1091*Z1090/(v01_AdultYears*4)</x:f>
        <x:v>17.760024450705398</x:v>
      </x:c>
      <x:c r="Y1091" s="32" t="n">
        <x:f>Y1090+R1091-S1091-W1091-Y1090*V1091/AB1090</x:f>
        <x:v>2221.563621881697</x:v>
      </x:c>
      <x:c r="Z1091" s="32" t="n">
        <x:f>Z1090+W1091-X1091-T1091-Z1090*V1091/AB1090</x:f>
        <x:v>2218.3996128476742</x:v>
      </x:c>
      <x:c r="AA1091" s="32" t="n">
        <x:f>AA1090+X1091-U1091-AA1090*V1091/AB1090</x:f>
        <x:v>804.2962437951243</x:v>
      </x:c>
      <x:c r="AB1091" s="10" t="n">
        <x:f>Y1091+Z1091+AA1091</x:f>
        <x:v>5244.259478524496</x:v>
      </x:c>
      <x:c r="AC1091" s="8" t="n">
        <x:f>IF(AND(v01_WinterTrigger=1,D1091=1,AB1090/AE1090&gt;=K1091),1,0)</x:f>
        <x:v>0</x:v>
      </x:c>
      <x:c r="AD1091" s="8" t="n">
        <x:f>H1091*IF(AND(OR(AB1090/AE1090&gt;=v01_FissionTrigger*N1091,AC1091=1),AB1090/AE1090*v01_DaughterShare&gt;=v01_MinDaughter),MAX(1,ROUND(AE1090*v01_FissionRate,0)),0)</x:f>
        <x:v>0</x:v>
      </x:c>
      <x:c r="AE1091" s="8" t="n">
        <x:f>IF(H1091=1,MAX(1,MIN(INDEX(v01_Smax,G1091),AE1090+AD1091)),AE1090)</x:f>
        <x:v>16</x:v>
      </x:c>
      <x:c r="AF1091" s="8" t="n">
        <x:f>MAX(0,AE1091-AE1090)</x:f>
        <x:v>0</x:v>
      </x:c>
      <x:c r="AG1091" s="9" t="str">
        <x:f>IF(AF1091&gt;0,B1091,"")</x:f>
      </x:c>
      <x:c r="AH1091" s="9" t="n">
        <x:f>IF(F1091&gt;=1,1,(1+v01_LowTiesShare*(AE1091-1))/AE1091)</x:f>
        <x:v>1</x:v>
      </x:c>
      <x:c r="AI1091" s="32" t="n">
        <x:f>(Z1091+v01_ElderCommons*INDEX(LM_Elder,G1091)*AA1091)*AH1091</x:f>
        <x:v>4916.0912256081365</x:v>
      </x:c>
      <x:c r="AJ1091" s="32" t="n">
        <x:f>H1091*v01_CommonsCoef*AI1091^v01_CommonsExp*INDEX(LM_Commons,G1091)</x:f>
        <x:v>1094.7325171831965</x:v>
      </x:c>
      <x:c r="AK1091" s="32" t="n">
        <x:f>H1091*v01_RoleScale*Arch_Roles*(AE1091*(INDEX(v01_ElderRolePerSett,G1091)*v01_OutElder*INDEX(LM_Elder,G1091)+INDEX(v01_ShamanPerSett,G1091)*v01_OutShaman)+Z1091*(INDEX(v01_PriestShare,G1091)*v01_OutPriest+INDEX(v01_ScribeShare,G1091)*v01_OutScribe*INDEX(LM_Scribe,G1091)+INDEX(v01_ScholarShare,G1091)*v01_OutScholar*INDEX(LM_Scholar,G1091)+INDEX(v01_ResearcherShare,G1091)*v01_OutResearcher*INDEX(LM_Researcher,G1091)))</x:f>
        <x:v>208.14586086677218</x:v>
      </x:c>
      <x:c r="AL1091" s="32" t="n">
        <x:f>H1091*v01_RoleScale*Arch_Roles*AE1091*INDEX(v01_MonasteryPerSett,G1091)*v01_OutMonastery*INDEX(LM_Monastery,G1091)</x:f>
        <x:v>5.034282471216728</x:v>
      </x:c>
      <x:c r="AM1091" s="32" t="n">
        <x:f>(AJ1091+AK1091+AL1091)/4*INDEX(LM_All,G1091)*INDEX(v01_Boon,G1091)*Arch_Insight</x:f>
        <x:v>471.30651176905855</x:v>
      </x:c>
      <x:c r="AN1091" s="32" t="n">
        <x:f>H1091*(v01_KHPerAdult*Z1091+v01_KHOfCommons*AJ1091/4*INDEX(LM_All,G1091))*v01_KHUsable*Arch_KH</x:f>
        <x:v>77.6439864496686</x:v>
      </x:c>
      <x:c r="AO1091" s="32" t="n">
        <x:f>MIN(AP1090+AN1091,AM1091*v01_KHMaxRatio)</x:f>
        <x:v>77.6439864496686</x:v>
      </x:c>
      <x:c r="AP1091" s="32" t="n">
        <x:f>AP1090+AN1091-AO1091</x:f>
        <x:v>0</x:v>
      </x:c>
      <x:c r="AQ1091" s="32" t="n">
        <x:f>AM1091+AO1091</x:f>
        <x:v>548.9504982187271</x:v>
      </x:c>
      <x:c r="AR1091" s="10" t="n">
        <x:f>IF(H1091=1,INDEX(v01_Req,G1091),0)</x:f>
        <x:v>47951.22698</x:v>
      </x:c>
      <x:c r="AS1091" s="32" t="n">
        <x:f>IF(H1091=1,IF(E1091=1,AS1090-AR1090,AS1090)+AQ1091,0)</x:f>
        <x:v>30338.602348830085</x:v>
      </x:c>
      <x:c r="AT1091" s="11" t="n">
        <x:f>IF(AR1091&gt;0,MIN(1,AS1091/AR1091),1)</x:f>
        <x:v>0.6326971020258569</x:v>
      </x:c>
      <x:c r="AU1091" s="10" t="n">
        <x:f>AB1091/INDEX(v01_RepScale,G1091)</x:f>
        <x:v>209.77037914097986</x:v>
      </x:c>
      <x:c r="AV1091" s="32" t="n">
        <x:f>AM1091*60/v01_SeasonSeconds</x:f>
        <x:v>1885.2260470762342</x:v>
      </x:c>
    </x:row>
    <x:row r="1092">
      <x:c r="A1092" s="8" t="n">
        <x:f>A1091+1</x:f>
        <x:v>1089</x:v>
      </x:c>
      <x:c r="B1092" s="9" t="n">
        <x:f>A1092*v01_SeasonSeconds/60</x:f>
        <x:v>272.25</x:v>
      </x:c>
      <x:c r="C1092" s="9" t="n">
        <x:f>A1092/4</x:f>
        <x:v>272.25</x:v>
      </x:c>
      <x:c r="D1092" s="8" t="n">
        <x:f>IF(MOD(A1092,4)=0,1,0)</x:f>
        <x:v>0</x:v>
      </x:c>
      <x:c r="E1092" s="8" t="n">
        <x:f>IF(AND(F1091&lt;=9,AS1091&gt;=AR1091),1,0)</x:f>
        <x:v>0</x:v>
      </x:c>
      <x:c r="F1092" s="8" t="n">
        <x:f>MIN(10,F1091+E1092)</x:f>
        <x:v>5</x:v>
      </x:c>
      <x:c r="G1092" s="8" t="n">
        <x:f>MIN(F1092,9)+1</x:f>
        <x:v>6</x:v>
      </x:c>
      <x:c r="H1092" s="8" t="n">
        <x:f>IF(F1092&lt;=9,1,0)</x:f>
        <x:v>1</x:v>
      </x:c>
      <x:c r="I1092" s="9" t="n">
        <x:f>MIN(10,F1091+IF(AR1091&gt;0,MIN(1,AS1091/AR1091),1))</x:f>
        <x:v>5.6326971020258565</x:v>
      </x:c>
      <x:c r="J1092" s="32" t="n">
        <x:f>INDEX(v01_FoodCap,G1092)*Arch_FoodCap*EXP(v01_CapsByProject*SUMPRODUCT((Cap_Point&lt;=I1092)*(Cap_Kind="Food")*Cap_Ln))</x:f>
        <x:v>500</x:v>
      </x:c>
      <x:c r="K1092" s="32" t="n">
        <x:f>J1092*MIN(1,v01_LeanBase*EXP(v01_CapsByProject*SUMPRODUCT((Cap_Point&lt;=I1092)*(Cap_Kind="Lean")*Cap_Ln)))</x:f>
        <x:v>500</x:v>
      </x:c>
      <x:c r="L1092" s="10" t="n">
        <x:f>INDEX(v01_HousingCap,G1092)*EXP(v01_CapsByProject*SUMPRODUCT((Cap_Point&lt;=I1092)*(Cap_Kind="Housing")*Cap_Ln))</x:f>
        <x:v>800</x:v>
      </x:c>
      <x:c r="M1092" s="10" t="n">
        <x:f>INDEX(v01_GroupCap,G1092)*v01_CohesionFactor*EXP(v01_CapsByProject*SUMPRODUCT((Cap_Point&lt;=I1092)*(Cap_Kind="Group")*Cap_Ln))</x:f>
        <x:v>10000</x:v>
      </x:c>
      <x:c r="N1092" s="32" t="n">
        <x:f>MIN(J1092,L1092,M1092)</x:f>
        <x:v>500</x:v>
      </x:c>
      <x:c r="O1092" s="10" t="n">
        <x:f>AE1091*N1092</x:f>
        <x:v>8000</x:v>
      </x:c>
      <x:c r="P1092" s="9" t="n">
        <x:f>MIN(1,(AB1091/(AE1091*IF(v01_GroupInCrowding=1,N1092,MIN(J1092,L1092))))^v01_CrowdingExp)</x:f>
        <x:v>0.07935332135724799</x:v>
      </x:c>
      <x:c r="Q1092" s="9" t="n">
        <x:f>IF(D1092=1,INDEX(v01_WinterMult,G1092),1)</x:f>
        <x:v>1</x:v>
      </x:c>
      <x:c r="R1092" s="9" t="n">
        <x:f>H1092*Z1091*v01_WomenShare*v01_BaseFertility*INDEX(v01_FertMult,G1092)*Arch_Fertility*(1-P1092)</x:f>
        <x:v>67.39795377052909</x:v>
      </x:c>
      <x:c r="S1092" s="9" t="n">
        <x:f>H1092*Y1091*INDEX(v01_MortChild,G1092)/4*Q1092</x:f>
        <x:v>13.884772636760609</x:v>
      </x:c>
      <x:c r="T1092" s="9" t="n">
        <x:f>H1092*Z1091*INDEX(v01_MortAdult,G1092)*Arch_AdultMort/4*Q1092</x:f>
        <x:v>5.545999032119186</x:v>
      </x:c>
      <x:c r="U1092" s="9" t="n">
        <x:f>H1092*AA1091*INDEX(v01_MortElder,G1092)/4*Q1092</x:f>
        <x:v>12.064443656926864</x:v>
      </x:c>
      <x:c r="V1092" s="9" t="n">
        <x:f>H1092*MAX(0,AB1091-O1092)*v01_OvercapLoss</x:f>
        <x:v>0</x:v>
      </x:c>
      <x:c r="W1092" s="9" t="n">
        <x:f>H1092*Y1091/(v01_ChildYears*4)</x:f>
        <x:v>39.670778962173166</x:v>
      </x:c>
      <x:c r="X1092" s="9" t="n">
        <x:f>H1092*Z1091/(v01_AdultYears*4)</x:f>
        <x:v>17.890319458448985</x:v>
      </x:c>
      <x:c r="Y1092" s="32" t="n">
        <x:f>Y1091+R1092-S1092-W1092-Y1091*V1092/AB1091</x:f>
        <x:v>2235.406024053292</x:v>
      </x:c>
      <x:c r="Z1092" s="32" t="n">
        <x:f>Z1091+W1092-X1092-T1092-Z1091*V1092/AB1091</x:f>
        <x:v>2234.634073319279</x:v>
      </x:c>
      <x:c r="AA1092" s="32" t="n">
        <x:f>AA1091+X1092-U1092-AA1091*V1092/AB1091</x:f>
        <x:v>810.1221195966464</x:v>
      </x:c>
      <x:c r="AB1092" s="10" t="n">
        <x:f>Y1092+Z1092+AA1092</x:f>
        <x:v>5280.162216969218</x:v>
      </x:c>
      <x:c r="AC1092" s="8" t="n">
        <x:f>IF(AND(v01_WinterTrigger=1,D1092=1,AB1091/AE1091&gt;=K1092),1,0)</x:f>
        <x:v>0</x:v>
      </x:c>
      <x:c r="AD1092" s="8" t="n">
        <x:f>H1092*IF(AND(OR(AB1091/AE1091&gt;=v01_FissionTrigger*N1092,AC1092=1),AB1091/AE1091*v01_DaughterShare&gt;=v01_MinDaughter),MAX(1,ROUND(AE1091*v01_FissionRate,0)),0)</x:f>
        <x:v>0</x:v>
      </x:c>
      <x:c r="AE1092" s="8" t="n">
        <x:f>IF(H1092=1,MAX(1,MIN(INDEX(v01_Smax,G1092),AE1091+AD1092)),AE1091)</x:f>
        <x:v>16</x:v>
      </x:c>
      <x:c r="AF1092" s="8" t="n">
        <x:f>MAX(0,AE1092-AE1091)</x:f>
        <x:v>0</x:v>
      </x:c>
      <x:c r="AG1092" s="9" t="str">
        <x:f>IF(AF1092&gt;0,B1092,"")</x:f>
      </x:c>
      <x:c r="AH1092" s="9" t="n">
        <x:f>IF(F1092&gt;=1,1,(1+v01_LowTiesShare*(AE1092-1))/AE1092)</x:f>
        <x:v>1</x:v>
      </x:c>
      <x:c r="AI1092" s="32" t="n">
        <x:f>(Z1092+v01_ElderCommons*INDEX(LM_Elder,G1092)*AA1092)*AH1092</x:f>
        <x:v>4951.866267560753</x:v>
      </x:c>
      <x:c r="AJ1092" s="32" t="n">
        <x:f>H1092*v01_CommonsCoef*AI1092^v01_CommonsExp*INDEX(LM_Commons,G1092)</x:f>
        <x:v>1101.5003671947761</x:v>
      </x:c>
      <x:c r="AK1092" s="32" t="n">
        <x:f>H1092*v01_RoleScale*Arch_Roles*(AE1092*(INDEX(v01_ElderRolePerSett,G1092)*v01_OutElder*INDEX(LM_Elder,G1092)+INDEX(v01_ShamanPerSett,G1092)*v01_OutShaman)+Z1092*(INDEX(v01_PriestShare,G1092)*v01_OutPriest+INDEX(v01_ScribeShare,G1092)*v01_OutScribe*INDEX(LM_Scribe,G1092)+INDEX(v01_ScholarShare,G1092)*v01_OutScholar*INDEX(LM_Scholar,G1092)+INDEX(v01_ResearcherShare,G1092)*v01_OutResearcher*INDEX(LM_Researcher,G1092)))</x:f>
        <x:v>209.29709277203852</x:v>
      </x:c>
      <x:c r="AL1092" s="32" t="n">
        <x:f>H1092*v01_RoleScale*Arch_Roles*AE1092*INDEX(v01_MonasteryPerSett,G1092)*v01_OutMonastery*INDEX(LM_Monastery,G1092)</x:f>
        <x:v>5.034282471216728</x:v>
      </x:c>
      <x:c r="AM1092" s="32" t="n">
        <x:f>(AJ1092+AK1092+AL1092)/4*INDEX(LM_All,G1092)*INDEX(v01_Boon,G1092)*Arch_Insight</x:f>
        <x:v>474.16015405519926</x:v>
      </x:c>
      <x:c r="AN1092" s="32" t="n">
        <x:f>H1092*(v01_KHPerAdult*Z1092+v01_KHOfCommons*AJ1092/4*INDEX(LM_All,G1092))*v01_KHUsable*Arch_KH</x:f>
        <x:v>78.21219256617476</x:v>
      </x:c>
      <x:c r="AO1092" s="32" t="n">
        <x:f>MIN(AP1091+AN1092,AM1092*v01_KHMaxRatio)</x:f>
        <x:v>78.21219256617476</x:v>
      </x:c>
      <x:c r="AP1092" s="32" t="n">
        <x:f>AP1091+AN1092-AO1092</x:f>
        <x:v>0</x:v>
      </x:c>
      <x:c r="AQ1092" s="32" t="n">
        <x:f>AM1092+AO1092</x:f>
        <x:v>552.372346621374</x:v>
      </x:c>
      <x:c r="AR1092" s="10" t="n">
        <x:f>IF(H1092=1,INDEX(v01_Req,G1092),0)</x:f>
        <x:v>47951.22698</x:v>
      </x:c>
      <x:c r="AS1092" s="32" t="n">
        <x:f>IF(H1092=1,IF(E1092=1,AS1091-AR1091,AS1091)+AQ1092,0)</x:f>
        <x:v>30890.97469545146</x:v>
      </x:c>
      <x:c r="AT1092" s="11" t="n">
        <x:f>IF(AR1092&gt;0,MIN(1,AS1092/AR1092),1)</x:f>
        <x:v>0.6442165642254741</x:v>
      </x:c>
      <x:c r="AU1092" s="10" t="n">
        <x:f>AB1092/INDEX(v01_RepScale,G1092)</x:f>
        <x:v>211.20648867876872</x:v>
      </x:c>
      <x:c r="AV1092" s="32" t="n">
        <x:f>AM1092*60/v01_SeasonSeconds</x:f>
        <x:v>1896.640616220797</x:v>
      </x:c>
    </x:row>
    <x:row r="1093">
      <x:c r="A1093" s="8" t="n">
        <x:f>A1092+1</x:f>
        <x:v>1090</x:v>
      </x:c>
      <x:c r="B1093" s="9" t="n">
        <x:f>A1093*v01_SeasonSeconds/60</x:f>
        <x:v>272.5</x:v>
      </x:c>
      <x:c r="C1093" s="9" t="n">
        <x:f>A1093/4</x:f>
        <x:v>272.5</x:v>
      </x:c>
      <x:c r="D1093" s="8" t="n">
        <x:f>IF(MOD(A1093,4)=0,1,0)</x:f>
        <x:v>0</x:v>
      </x:c>
      <x:c r="E1093" s="8" t="n">
        <x:f>IF(AND(F1092&lt;=9,AS1092&gt;=AR1092),1,0)</x:f>
        <x:v>0</x:v>
      </x:c>
      <x:c r="F1093" s="8" t="n">
        <x:f>MIN(10,F1092+E1093)</x:f>
        <x:v>5</x:v>
      </x:c>
      <x:c r="G1093" s="8" t="n">
        <x:f>MIN(F1093,9)+1</x:f>
        <x:v>6</x:v>
      </x:c>
      <x:c r="H1093" s="8" t="n">
        <x:f>IF(F1093&lt;=9,1,0)</x:f>
        <x:v>1</x:v>
      </x:c>
      <x:c r="I1093" s="9" t="n">
        <x:f>MIN(10,F1092+IF(AR1092&gt;0,MIN(1,AS1092/AR1092),1))</x:f>
        <x:v>5.6442165642254745</x:v>
      </x:c>
      <x:c r="J1093" s="32" t="n">
        <x:f>INDEX(v01_FoodCap,G1093)*Arch_FoodCap*EXP(v01_CapsByProject*SUMPRODUCT((Cap_Point&lt;=I1093)*(Cap_Kind="Food")*Cap_Ln))</x:f>
        <x:v>500</x:v>
      </x:c>
      <x:c r="K1093" s="32" t="n">
        <x:f>J1093*MIN(1,v01_LeanBase*EXP(v01_CapsByProject*SUMPRODUCT((Cap_Point&lt;=I1093)*(Cap_Kind="Lean")*Cap_Ln)))</x:f>
        <x:v>500</x:v>
      </x:c>
      <x:c r="L1093" s="10" t="n">
        <x:f>INDEX(v01_HousingCap,G1093)*EXP(v01_CapsByProject*SUMPRODUCT((Cap_Point&lt;=I1093)*(Cap_Kind="Housing")*Cap_Ln))</x:f>
        <x:v>800</x:v>
      </x:c>
      <x:c r="M1093" s="10" t="n">
        <x:f>INDEX(v01_GroupCap,G1093)*v01_CohesionFactor*EXP(v01_CapsByProject*SUMPRODUCT((Cap_Point&lt;=I1093)*(Cap_Kind="Group")*Cap_Ln))</x:f>
        <x:v>10000</x:v>
      </x:c>
      <x:c r="N1093" s="32" t="n">
        <x:f>MIN(J1093,L1093,M1093)</x:f>
        <x:v>500</x:v>
      </x:c>
      <x:c r="O1093" s="10" t="n">
        <x:f>AE1092*N1093</x:f>
        <x:v>8000</x:v>
      </x:c>
      <x:c r="P1093" s="9" t="n">
        <x:f>MIN(1,(AB1092/(AE1092*IF(v01_GroupInCrowding=1,N1093,MIN(J1093,L1093))))^v01_CrowdingExp)</x:f>
        <x:v>0.0826691874059204</x:v>
      </x:c>
      <x:c r="Q1093" s="9" t="n">
        <x:f>IF(D1093=1,INDEX(v01_WinterMult,G1093),1)</x:f>
        <x:v>1</x:v>
      </x:c>
      <x:c r="R1093" s="9" t="n">
        <x:f>H1093*Z1092*v01_WomenShare*v01_BaseFertility*INDEX(v01_FertMult,G1093)*Arch_Fertility*(1-P1093)</x:f>
        <x:v>67.64665678083695</x:v>
      </x:c>
      <x:c r="S1093" s="9" t="n">
        <x:f>H1093*Y1092*INDEX(v01_MortChild,G1093)/4*Q1093</x:f>
        <x:v>13.971287650333077</x:v>
      </x:c>
      <x:c r="T1093" s="9" t="n">
        <x:f>H1093*Z1092*INDEX(v01_MortAdult,G1093)*Arch_AdultMort/4*Q1093</x:f>
        <x:v>5.586585183298198</x:v>
      </x:c>
      <x:c r="U1093" s="9" t="n">
        <x:f>H1093*AA1092*INDEX(v01_MortElder,G1093)/4*Q1093</x:f>
        <x:v>12.151831793949695</x:v>
      </x:c>
      <x:c r="V1093" s="9" t="n">
        <x:f>H1093*MAX(0,AB1092-O1093)*v01_OvercapLoss</x:f>
        <x:v>0</x:v>
      </x:c>
      <x:c r="W1093" s="9" t="n">
        <x:f>H1093*Y1092/(v01_ChildYears*4)</x:f>
        <x:v>39.91796471523736</x:v>
      </x:c>
      <x:c r="X1093" s="9" t="n">
        <x:f>H1093*Z1092/(v01_AdultYears*4)</x:f>
        <x:v>18.02124252676838</x:v>
      </x:c>
      <x:c r="Y1093" s="32" t="n">
        <x:f>Y1092+R1093-S1093-W1093-Y1092*V1093/AB1092</x:f>
        <x:v>2249.163428468559</x:v>
      </x:c>
      <x:c r="Z1093" s="32" t="n">
        <x:f>Z1092+W1093-X1093-T1093-Z1092*V1093/AB1092</x:f>
        <x:v>2250.94421032445</x:v>
      </x:c>
      <x:c r="AA1093" s="32" t="n">
        <x:f>AA1092+X1093-U1093-AA1092*V1093/AB1092</x:f>
        <x:v>815.991530329465</x:v>
      </x:c>
      <x:c r="AB1093" s="10" t="n">
        <x:f>Y1093+Z1093+AA1093</x:f>
        <x:v>5316.0991691224735</x:v>
      </x:c>
      <x:c r="AC1093" s="8" t="n">
        <x:f>IF(AND(v01_WinterTrigger=1,D1093=1,AB1092/AE1092&gt;=K1093),1,0)</x:f>
        <x:v>0</x:v>
      </x:c>
      <x:c r="AD1093" s="8" t="n">
        <x:f>H1093*IF(AND(OR(AB1092/AE1092&gt;=v01_FissionTrigger*N1093,AC1093=1),AB1092/AE1092*v01_DaughterShare&gt;=v01_MinDaughter),MAX(1,ROUND(AE1092*v01_FissionRate,0)),0)</x:f>
        <x:v>0</x:v>
      </x:c>
      <x:c r="AE1093" s="8" t="n">
        <x:f>IF(H1093=1,MAX(1,MIN(INDEX(v01_Smax,G1093),AE1092+AD1093)),AE1092)</x:f>
        <x:v>16</x:v>
      </x:c>
      <x:c r="AF1093" s="8" t="n">
        <x:f>MAX(0,AE1093-AE1092)</x:f>
        <x:v>0</x:v>
      </x:c>
      <x:c r="AG1093" s="9" t="str">
        <x:f>IF(AF1093&gt;0,B1093,"")</x:f>
      </x:c>
      <x:c r="AH1093" s="9" t="n">
        <x:f>IF(F1093&gt;=1,1,(1+v01_LowTiesShare*(AE1093-1))/AE1093)</x:f>
        <x:v>1</x:v>
      </x:c>
      <x:c r="AI1093" s="32" t="n">
        <x:f>(Z1093+v01_ElderCommons*INDEX(LM_Elder,G1093)*AA1093)*AH1093</x:f>
        <x:v>4987.863006645598</x:v>
      </x:c>
      <x:c r="AJ1093" s="32" t="n">
        <x:f>H1093*v01_CommonsCoef*AI1093^v01_CommonsExp*INDEX(LM_Commons,G1093)</x:f>
        <x:v>1108.302758964078</x:v>
      </x:c>
      <x:c r="AK1093" s="32" t="n">
        <x:f>H1093*v01_RoleScale*Arch_Roles*(AE1093*(INDEX(v01_ElderRolePerSett,G1093)*v01_OutElder*INDEX(LM_Elder,G1093)+INDEX(v01_ShamanPerSett,G1093)*v01_OutShaman)+Z1093*(INDEX(v01_PriestShare,G1093)*v01_OutPriest+INDEX(v01_ScribeShare,G1093)*v01_OutScribe*INDEX(LM_Scribe,G1093)+INDEX(v01_ScholarShare,G1093)*v01_OutScholar*INDEX(LM_Scholar,G1093)+INDEX(v01_ResearcherShare,G1093)*v01_OutResearcher*INDEX(LM_Researcher,G1093)))</x:f>
        <x:v>210.453691116188</x:v>
      </x:c>
      <x:c r="AL1093" s="32" t="n">
        <x:f>H1093*v01_RoleScale*Arch_Roles*AE1093*INDEX(v01_MonasteryPerSett,G1093)*v01_OutMonastery*INDEX(LM_Monastery,G1093)</x:f>
        <x:v>5.034282471216728</x:v>
      </x:c>
      <x:c r="AM1093" s="32" t="n">
        <x:f>(AJ1093+AK1093+AL1093)/4*INDEX(LM_All,G1093)*INDEX(v01_Boon,G1093)*Arch_Insight</x:f>
        <x:v>477.0281772656179</x:v>
      </x:c>
      <x:c r="AN1093" s="32" t="n">
        <x:f>H1093*(v01_KHPerAdult*Z1093+v01_KHOfCommons*AJ1093/4*INDEX(LM_All,G1093))*v01_KHUsable*Arch_KH</x:f>
        <x:v>78.78304736135576</x:v>
      </x:c>
      <x:c r="AO1093" s="32" t="n">
        <x:f>MIN(AP1092+AN1093,AM1093*v01_KHMaxRatio)</x:f>
        <x:v>78.78304736135576</x:v>
      </x:c>
      <x:c r="AP1093" s="32" t="n">
        <x:f>AP1092+AN1093-AO1093</x:f>
        <x:v>0</x:v>
      </x:c>
      <x:c r="AQ1093" s="32" t="n">
        <x:f>AM1093+AO1093</x:f>
        <x:v>555.8112246269736</x:v>
      </x:c>
      <x:c r="AR1093" s="10" t="n">
        <x:f>IF(H1093=1,INDEX(v01_Req,G1093),0)</x:f>
        <x:v>47951.22698</x:v>
      </x:c>
      <x:c r="AS1093" s="32" t="n">
        <x:f>IF(H1093=1,IF(E1093=1,AS1092-AR1092,AS1092)+AQ1093,0)</x:f>
        <x:v>31446.785920078433</x:v>
      </x:c>
      <x:c r="AT1093" s="11" t="n">
        <x:f>IF(AR1093&gt;0,MIN(1,AS1093/AR1093),1)</x:f>
        <x:v>0.6558077425879966</x:v>
      </x:c>
      <x:c r="AU1093" s="10" t="n">
        <x:f>AB1093/INDEX(v01_RepScale,G1093)</x:f>
        <x:v>212.64396676489895</x:v>
      </x:c>
      <x:c r="AV1093" s="32" t="n">
        <x:f>AM1093*60/v01_SeasonSeconds</x:f>
        <x:v>1908.1127090624716</x:v>
      </x:c>
    </x:row>
    <x:row r="1094">
      <x:c r="A1094" s="8" t="n">
        <x:f>A1093+1</x:f>
        <x:v>1091</x:v>
      </x:c>
      <x:c r="B1094" s="9" t="n">
        <x:f>A1094*v01_SeasonSeconds/60</x:f>
        <x:v>272.75</x:v>
      </x:c>
      <x:c r="C1094" s="9" t="n">
        <x:f>A1094/4</x:f>
        <x:v>272.75</x:v>
      </x:c>
      <x:c r="D1094" s="8" t="n">
        <x:f>IF(MOD(A1094,4)=0,1,0)</x:f>
        <x:v>0</x:v>
      </x:c>
      <x:c r="E1094" s="8" t="n">
        <x:f>IF(AND(F1093&lt;=9,AS1093&gt;=AR1093),1,0)</x:f>
        <x:v>0</x:v>
      </x:c>
      <x:c r="F1094" s="8" t="n">
        <x:f>MIN(10,F1093+E1094)</x:f>
        <x:v>5</x:v>
      </x:c>
      <x:c r="G1094" s="8" t="n">
        <x:f>MIN(F1094,9)+1</x:f>
        <x:v>6</x:v>
      </x:c>
      <x:c r="H1094" s="8" t="n">
        <x:f>IF(F1094&lt;=9,1,0)</x:f>
        <x:v>1</x:v>
      </x:c>
      <x:c r="I1094" s="9" t="n">
        <x:f>MIN(10,F1093+IF(AR1093&gt;0,MIN(1,AS1093/AR1093),1))</x:f>
        <x:v>5.655807742587997</x:v>
      </x:c>
      <x:c r="J1094" s="32" t="n">
        <x:f>INDEX(v01_FoodCap,G1094)*Arch_FoodCap*EXP(v01_CapsByProject*SUMPRODUCT((Cap_Point&lt;=I1094)*(Cap_Kind="Food")*Cap_Ln))</x:f>
        <x:v>500</x:v>
      </x:c>
      <x:c r="K1094" s="32" t="n">
        <x:f>J1094*MIN(1,v01_LeanBase*EXP(v01_CapsByProject*SUMPRODUCT((Cap_Point&lt;=I1094)*(Cap_Kind="Lean")*Cap_Ln)))</x:f>
        <x:v>500</x:v>
      </x:c>
      <x:c r="L1094" s="10" t="n">
        <x:f>INDEX(v01_HousingCap,G1094)*EXP(v01_CapsByProject*SUMPRODUCT((Cap_Point&lt;=I1094)*(Cap_Kind="Housing")*Cap_Ln))</x:f>
        <x:v>800</x:v>
      </x:c>
      <x:c r="M1094" s="10" t="n">
        <x:f>INDEX(v01_GroupCap,G1094)*v01_CohesionFactor*EXP(v01_CapsByProject*SUMPRODUCT((Cap_Point&lt;=I1094)*(Cap_Kind="Group")*Cap_Ln))</x:f>
        <x:v>10000</x:v>
      </x:c>
      <x:c r="N1094" s="32" t="n">
        <x:f>MIN(J1094,L1094,M1094)</x:f>
        <x:v>500</x:v>
      </x:c>
      <x:c r="O1094" s="10" t="n">
        <x:f>AE1093*N1094</x:f>
        <x:v>8000</x:v>
      </x:c>
      <x:c r="P1094" s="9" t="n">
        <x:f>MIN(1,(AB1093/(AE1093*IF(v01_GroupInCrowding=1,N1094,MIN(J1094,L1094))))^v01_CrowdingExp)</x:f>
        <x:v>0.08610304718144389</x:v>
      </x:c>
      <x:c r="Q1094" s="9" t="n">
        <x:f>IF(D1094=1,INDEX(v01_WinterMult,G1094),1)</x:f>
        <x:v>1</x:v>
      </x:c>
      <x:c r="R1094" s="9" t="n">
        <x:f>H1094*Z1093*v01_WomenShare*v01_BaseFertility*INDEX(v01_FertMult,G1094)*Arch_Fertility*(1-P1094)</x:f>
        <x:v>67.88532480774285</x:v>
      </x:c>
      <x:c r="S1094" s="9" t="n">
        <x:f>H1094*Y1093*INDEX(v01_MortChild,G1094)/4*Q1094</x:f>
        <x:v>14.057271427928493</x:v>
      </x:c>
      <x:c r="T1094" s="9" t="n">
        <x:f>H1094*Z1093*INDEX(v01_MortAdult,G1094)*Arch_AdultMort/4*Q1094</x:f>
        <x:v>5.627360525811126</x:v>
      </x:c>
      <x:c r="U1094" s="9" t="n">
        <x:f>H1094*AA1093*INDEX(v01_MortElder,G1094)/4*Q1094</x:f>
        <x:v>12.239872954941974</x:v>
      </x:c>
      <x:c r="V1094" s="9" t="n">
        <x:f>H1094*MAX(0,AB1093-O1094)*v01_OvercapLoss</x:f>
        <x:v>0</x:v>
      </x:c>
      <x:c r="W1094" s="9" t="n">
        <x:f>H1094*Y1093/(v01_ChildYears*4)</x:f>
        <x:v>40.16363265122426</x:v>
      </x:c>
      <x:c r="X1094" s="9" t="n">
        <x:f>H1094*Z1093/(v01_AdultYears*4)</x:f>
        <x:v>18.152775889713308</x:v>
      </x:c>
      <x:c r="Y1094" s="32" t="n">
        <x:f>Y1093+R1094-S1094-W1094-Y1093*V1094/AB1093</x:f>
        <x:v>2262.827849197149</x:v>
      </x:c>
      <x:c r="Z1094" s="32" t="n">
        <x:f>Z1093+W1094-X1094-T1094-Z1093*V1094/AB1093</x:f>
        <x:v>2267.32770656015</x:v>
      </x:c>
      <x:c r="AA1094" s="32" t="n">
        <x:f>AA1093+X1094-U1094-AA1093*V1094/AB1093</x:f>
        <x:v>821.9044332642363</x:v>
      </x:c>
      <x:c r="AB1094" s="10" t="n">
        <x:f>Y1094+Z1094+AA1094</x:f>
        <x:v>5352.059989021535</x:v>
      </x:c>
      <x:c r="AC1094" s="8" t="n">
        <x:f>IF(AND(v01_WinterTrigger=1,D1094=1,AB1093/AE1093&gt;=K1094),1,0)</x:f>
        <x:v>0</x:v>
      </x:c>
      <x:c r="AD1094" s="8" t="n">
        <x:f>H1094*IF(AND(OR(AB1093/AE1093&gt;=v01_FissionTrigger*N1094,AC1094=1),AB1093/AE1093*v01_DaughterShare&gt;=v01_MinDaughter),MAX(1,ROUND(AE1093*v01_FissionRate,0)),0)</x:f>
        <x:v>0</x:v>
      </x:c>
      <x:c r="AE1094" s="8" t="n">
        <x:f>IF(H1094=1,MAX(1,MIN(INDEX(v01_Smax,G1094),AE1093+AD1094)),AE1093)</x:f>
        <x:v>16</x:v>
      </x:c>
      <x:c r="AF1094" s="8" t="n">
        <x:f>MAX(0,AE1094-AE1093)</x:f>
        <x:v>0</x:v>
      </x:c>
      <x:c r="AG1094" s="9" t="str">
        <x:f>IF(AF1094&gt;0,B1094,"")</x:f>
      </x:c>
      <x:c r="AH1094" s="9" t="n">
        <x:f>IF(F1094&gt;=1,1,(1+v01_LowTiesShare*(AE1094-1))/AE1094)</x:f>
        <x:v>1</x:v>
      </x:c>
      <x:c r="AI1094" s="32" t="n">
        <x:f>(Z1094+v01_ElderCommons*INDEX(LM_Elder,G1094)*AA1094)*AH1094</x:f>
        <x:v>5024.078982241058</x:v>
      </x:c>
      <x:c r="AJ1094" s="32" t="n">
        <x:f>H1094*v01_CommonsCoef*AI1094^v01_CommonsExp*INDEX(LM_Commons,G1094)</x:f>
        <x:v>1115.1391532664866</x:v>
      </x:c>
      <x:c r="AK1094" s="32" t="n">
        <x:f>H1094*v01_RoleScale*Arch_Roles*(AE1094*(INDEX(v01_ElderRolePerSett,G1094)*v01_OutElder*INDEX(LM_Elder,G1094)+INDEX(v01_ShamanPerSett,G1094)*v01_OutShaman)+Z1094*(INDEX(v01_PriestShare,G1094)*v01_OutPriest+INDEX(v01_ScribeShare,G1094)*v01_OutScribe*INDEX(LM_Scribe,G1094)+INDEX(v01_ScholarShare,G1094)*v01_OutScholar*INDEX(LM_Scholar,G1094)+INDEX(v01_ResearcherShare,G1094)*v01_OutResearcher*INDEX(LM_Researcher,G1094)))</x:f>
        <x:v>211.61549157265148</x:v>
      </x:c>
      <x:c r="AL1094" s="32" t="n">
        <x:f>H1094*v01_RoleScale*Arch_Roles*AE1094*INDEX(v01_MonasteryPerSett,G1094)*v01_OutMonastery*INDEX(LM_Monastery,G1094)</x:f>
        <x:v>5.034282471216728</x:v>
      </x:c>
      <x:c r="AM1094" s="32" t="n">
        <x:f>(AJ1094+AK1094+AL1094)/4*INDEX(LM_All,G1094)*INDEX(v01_Boon,G1094)*Arch_Insight</x:f>
        <x:v>479.9103278755458</x:v>
      </x:c>
      <x:c r="AN1094" s="32" t="n">
        <x:f>H1094*(v01_KHPerAdult*Z1094+v01_KHOfCommons*AJ1094/4*INDEX(LM_All,G1094))*v01_KHUsable*Arch_KH</x:f>
        <x:v>79.35646972960525</x:v>
      </x:c>
      <x:c r="AO1094" s="32" t="n">
        <x:f>MIN(AP1093+AN1094,AM1094*v01_KHMaxRatio)</x:f>
        <x:v>79.35646972960525</x:v>
      </x:c>
      <x:c r="AP1094" s="32" t="n">
        <x:f>AP1093+AN1094-AO1094</x:f>
        <x:v>0</x:v>
      </x:c>
      <x:c r="AQ1094" s="32" t="n">
        <x:f>AM1094+AO1094</x:f>
        <x:v>559.266797605151</x:v>
      </x:c>
      <x:c r="AR1094" s="10" t="n">
        <x:f>IF(H1094=1,INDEX(v01_Req,G1094),0)</x:f>
        <x:v>47951.22698</x:v>
      </x:c>
      <x:c r="AS1094" s="32" t="n">
        <x:f>IF(H1094=1,IF(E1094=1,AS1093-AR1093,AS1093)+AQ1094,0)</x:f>
        <x:v>32006.052717683586</x:v>
      </x:c>
      <x:c r="AT1094" s="11" t="n">
        <x:f>IF(AR1094&gt;0,MIN(1,AS1094/AR1094),1)</x:f>
        <x:v>0.6674709852791255</x:v>
      </x:c>
      <x:c r="AU1094" s="10" t="n">
        <x:f>AB1094/INDEX(v01_RepScale,G1094)</x:f>
        <x:v>214.0823995608614</x:v>
      </x:c>
      <x:c r="AV1094" s="32" t="n">
        <x:f>AM1094*60/v01_SeasonSeconds</x:f>
        <x:v>1919.6413115021833</x:v>
      </x:c>
    </x:row>
    <x:row r="1095">
      <x:c r="A1095" s="8" t="n">
        <x:f>A1094+1</x:f>
        <x:v>1092</x:v>
      </x:c>
      <x:c r="B1095" s="9" t="n">
        <x:f>A1095*v01_SeasonSeconds/60</x:f>
        <x:v>273</x:v>
      </x:c>
      <x:c r="C1095" s="9" t="n">
        <x:f>A1095/4</x:f>
        <x:v>273</x:v>
      </x:c>
      <x:c r="D1095" s="8" t="n">
        <x:f>IF(MOD(A1095,4)=0,1,0)</x:f>
        <x:v>1</x:v>
      </x:c>
      <x:c r="E1095" s="8" t="n">
        <x:f>IF(AND(F1094&lt;=9,AS1094&gt;=AR1094),1,0)</x:f>
        <x:v>0</x:v>
      </x:c>
      <x:c r="F1095" s="8" t="n">
        <x:f>MIN(10,F1094+E1095)</x:f>
        <x:v>5</x:v>
      </x:c>
      <x:c r="G1095" s="8" t="n">
        <x:f>MIN(F1095,9)+1</x:f>
        <x:v>6</x:v>
      </x:c>
      <x:c r="H1095" s="8" t="n">
        <x:f>IF(F1095&lt;=9,1,0)</x:f>
        <x:v>1</x:v>
      </x:c>
      <x:c r="I1095" s="9" t="n">
        <x:f>MIN(10,F1094+IF(AR1094&gt;0,MIN(1,AS1094/AR1094),1))</x:f>
        <x:v>5.667470985279126</x:v>
      </x:c>
      <x:c r="J1095" s="32" t="n">
        <x:f>INDEX(v01_FoodCap,G1095)*Arch_FoodCap*EXP(v01_CapsByProject*SUMPRODUCT((Cap_Point&lt;=I1095)*(Cap_Kind="Food")*Cap_Ln))</x:f>
        <x:v>500</x:v>
      </x:c>
      <x:c r="K1095" s="32" t="n">
        <x:f>J1095*MIN(1,v01_LeanBase*EXP(v01_CapsByProject*SUMPRODUCT((Cap_Point&lt;=I1095)*(Cap_Kind="Lean")*Cap_Ln)))</x:f>
        <x:v>500</x:v>
      </x:c>
      <x:c r="L1095" s="10" t="n">
        <x:f>INDEX(v01_HousingCap,G1095)*EXP(v01_CapsByProject*SUMPRODUCT((Cap_Point&lt;=I1095)*(Cap_Kind="Housing")*Cap_Ln))</x:f>
        <x:v>800</x:v>
      </x:c>
      <x:c r="M1095" s="10" t="n">
        <x:f>INDEX(v01_GroupCap,G1095)*v01_CohesionFactor*EXP(v01_CapsByProject*SUMPRODUCT((Cap_Point&lt;=I1095)*(Cap_Kind="Group")*Cap_Ln))</x:f>
        <x:v>10000</x:v>
      </x:c>
      <x:c r="N1095" s="32" t="n">
        <x:f>MIN(J1095,L1095,M1095)</x:f>
        <x:v>500</x:v>
      </x:c>
      <x:c r="O1095" s="10" t="n">
        <x:f>AE1094*N1095</x:f>
        <x:v>8000</x:v>
      </x:c>
      <x:c r="P1095" s="9" t="n">
        <x:f>MIN(1,(AB1094/(AE1094*IF(v01_GroupInCrowding=1,N1095,MIN(J1095,L1095))))^v01_CrowdingExp)</x:f>
        <x:v>0.08965735318807197</x:v>
      </x:c>
      <x:c r="Q1095" s="9" t="n">
        <x:f>IF(D1095=1,INDEX(v01_WinterMult,G1095),1)</x:f>
        <x:v>1</x:v>
      </x:c>
      <x:c r="R1095" s="9" t="n">
        <x:f>H1095*Z1094*v01_WomenShare*v01_BaseFertility*INDEX(v01_FertMult,G1095)*Arch_Fertility*(1-P1095)</x:f>
        <x:v>68.11348848413952</x:v>
      </x:c>
      <x:c r="S1095" s="9" t="n">
        <x:f>H1095*Y1094*INDEX(v01_MortChild,G1095)/4*Q1095</x:f>
        <x:v>14.142674057482182</x:v>
      </x:c>
      <x:c r="T1095" s="9" t="n">
        <x:f>H1095*Z1094*INDEX(v01_MortAdult,G1095)*Arch_AdultMort/4*Q1095</x:f>
        <x:v>5.668319266400375</x:v>
      </x:c>
      <x:c r="U1095" s="9" t="n">
        <x:f>H1095*AA1094*INDEX(v01_MortElder,G1095)/4*Q1095</x:f>
        <x:v>12.328566498963545</x:v>
      </x:c>
      <x:c r="V1095" s="9" t="n">
        <x:f>H1095*MAX(0,AB1094-O1095)*v01_OvercapLoss</x:f>
        <x:v>0</x:v>
      </x:c>
      <x:c r="W1095" s="9" t="n">
        <x:f>H1095*Y1094/(v01_ChildYears*4)</x:f>
        <x:v>40.407640164234806</x:v>
      </x:c>
      <x:c r="X1095" s="9" t="n">
        <x:f>H1095*Z1094/(v01_AdultYears*4)</x:f>
        <x:v>18.28490085935605</x:v>
      </x:c>
      <x:c r="Y1095" s="32" t="n">
        <x:f>Y1094+R1095-S1095-W1095-Y1094*V1095/AB1094</x:f>
        <x:v>2276.391023459572</x:v>
      </x:c>
      <x:c r="Z1095" s="32" t="n">
        <x:f>Z1094+W1095-X1095-T1095-Z1094*V1095/AB1094</x:f>
        <x:v>2283.782126598628</x:v>
      </x:c>
      <x:c r="AA1095" s="32" t="n">
        <x:f>AA1094+X1095-U1095-AA1094*V1095/AB1094</x:f>
        <x:v>827.8607676246288</x:v>
      </x:c>
      <x:c r="AB1095" s="10" t="n">
        <x:f>Y1095+Z1095+AA1095</x:f>
        <x:v>5388.033917682829</x:v>
      </x:c>
      <x:c r="AC1095" s="8" t="n">
        <x:f>IF(AND(v01_WinterTrigger=1,D1095=1,AB1094/AE1094&gt;=K1095),1,0)</x:f>
        <x:v>0</x:v>
      </x:c>
      <x:c r="AD1095" s="8" t="n">
        <x:f>H1095*IF(AND(OR(AB1094/AE1094&gt;=v01_FissionTrigger*N1095,AC1095=1),AB1094/AE1094*v01_DaughterShare&gt;=v01_MinDaughter),MAX(1,ROUND(AE1094*v01_FissionRate,0)),0)</x:f>
        <x:v>0</x:v>
      </x:c>
      <x:c r="AE1095" s="8" t="n">
        <x:f>IF(H1095=1,MAX(1,MIN(INDEX(v01_Smax,G1095),AE1094+AD1095)),AE1094)</x:f>
        <x:v>16</x:v>
      </x:c>
      <x:c r="AF1095" s="8" t="n">
        <x:f>MAX(0,AE1095-AE1094)</x:f>
        <x:v>0</x:v>
      </x:c>
      <x:c r="AG1095" s="9" t="str">
        <x:f>IF(AF1095&gt;0,B1095,"")</x:f>
      </x:c>
      <x:c r="AH1095" s="9" t="n">
        <x:f>IF(F1095&gt;=1,1,(1+v01_LowTiesShare*(AE1095-1))/AE1095)</x:f>
        <x:v>1</x:v>
      </x:c>
      <x:c r="AI1095" s="32" t="n">
        <x:f>(Z1095+v01_ElderCommons*INDEX(LM_Elder,G1095)*AA1095)*AH1095</x:f>
        <x:v>5060.511555069369</x:v>
      </x:c>
      <x:c r="AJ1095" s="32" t="n">
        <x:f>H1095*v01_CommonsCoef*AI1095^v01_CommonsExp*INDEX(LM_Commons,G1095)</x:f>
        <x:v>1122.0089796934947</x:v>
      </x:c>
      <x:c r="AK1095" s="32" t="n">
        <x:f>H1095*v01_RoleScale*Arch_Roles*(AE1095*(INDEX(v01_ElderRolePerSett,G1095)*v01_OutElder*INDEX(LM_Elder,G1095)+INDEX(v01_ShamanPerSett,G1095)*v01_OutShaman)+Z1095*(INDEX(v01_PriestShare,G1095)*v01_OutPriest+INDEX(v01_ScribeShare,G1095)*v01_OutScribe*INDEX(LM_Scribe,G1095)+INDEX(v01_ScholarShare,G1095)*v01_OutScholar*INDEX(LM_Scholar,G1095)+INDEX(v01_ResearcherShare,G1095)*v01_OutResearcher*INDEX(LM_Researcher,G1095)))</x:f>
        <x:v>212.78232143829945</x:v>
      </x:c>
      <x:c r="AL1095" s="32" t="n">
        <x:f>H1095*v01_RoleScale*Arch_Roles*AE1095*INDEX(v01_MonasteryPerSett,G1095)*v01_OutMonastery*INDEX(LM_Monastery,G1095)</x:f>
        <x:v>5.034282471216728</x:v>
      </x:c>
      <x:c r="AM1095" s="32" t="n">
        <x:f>(AJ1095+AK1095+AL1095)/4*INDEX(LM_All,G1095)*INDEX(v01_Boon,G1095)*Arch_Insight</x:f>
        <x:v>482.80633810459983</x:v>
      </x:c>
      <x:c r="AN1095" s="32" t="n">
        <x:f>H1095*(v01_KHPerAdult*Z1095+v01_KHOfCommons*AJ1095/4*INDEX(LM_All,G1095))*v01_KHUsable*Arch_KH</x:f>
        <x:v>79.93237443095198</x:v>
      </x:c>
      <x:c r="AO1095" s="32" t="n">
        <x:f>MIN(AP1094+AN1095,AM1095*v01_KHMaxRatio)</x:f>
        <x:v>79.93237443095198</x:v>
      </x:c>
      <x:c r="AP1095" s="32" t="n">
        <x:f>AP1094+AN1095-AO1095</x:f>
        <x:v>0</x:v>
      </x:c>
      <x:c r="AQ1095" s="32" t="n">
        <x:f>AM1095+AO1095</x:f>
        <x:v>562.7387125355518</x:v>
      </x:c>
      <x:c r="AR1095" s="10" t="n">
        <x:f>IF(H1095=1,INDEX(v01_Req,G1095),0)</x:f>
        <x:v>47951.22698</x:v>
      </x:c>
      <x:c r="AS1095" s="32" t="n">
        <x:f>IF(H1095=1,IF(E1095=1,AS1094-AR1094,AS1094)+AQ1095,0)</x:f>
        <x:v>32568.79143021914</x:v>
      </x:c>
      <x:c r="AT1095" s="11" t="n">
        <x:f>IF(AR1095&gt;0,MIN(1,AS1095/AR1095),1)</x:f>
        <x:v>0.6792066331024912</x:v>
      </x:c>
      <x:c r="AU1095" s="10" t="n">
        <x:f>AB1095/INDEX(v01_RepScale,G1095)</x:f>
        <x:v>215.52135670731317</x:v>
      </x:c>
      <x:c r="AV1095" s="32" t="n">
        <x:f>AM1095*60/v01_SeasonSeconds</x:f>
        <x:v>1931.2253524183993</x:v>
      </x:c>
    </x:row>
    <x:row r="1096">
      <x:c r="A1096" s="8" t="n">
        <x:f>A1095+1</x:f>
        <x:v>1093</x:v>
      </x:c>
      <x:c r="B1096" s="9" t="n">
        <x:f>A1096*v01_SeasonSeconds/60</x:f>
        <x:v>273.25</x:v>
      </x:c>
      <x:c r="C1096" s="9" t="n">
        <x:f>A1096/4</x:f>
        <x:v>273.25</x:v>
      </x:c>
      <x:c r="D1096" s="8" t="n">
        <x:f>IF(MOD(A1096,4)=0,1,0)</x:f>
        <x:v>0</x:v>
      </x:c>
      <x:c r="E1096" s="8" t="n">
        <x:f>IF(AND(F1095&lt;=9,AS1095&gt;=AR1095),1,0)</x:f>
        <x:v>0</x:v>
      </x:c>
      <x:c r="F1096" s="8" t="n">
        <x:f>MIN(10,F1095+E1096)</x:f>
        <x:v>5</x:v>
      </x:c>
      <x:c r="G1096" s="8" t="n">
        <x:f>MIN(F1096,9)+1</x:f>
        <x:v>6</x:v>
      </x:c>
      <x:c r="H1096" s="8" t="n">
        <x:f>IF(F1096&lt;=9,1,0)</x:f>
        <x:v>1</x:v>
      </x:c>
      <x:c r="I1096" s="9" t="n">
        <x:f>MIN(10,F1095+IF(AR1095&gt;0,MIN(1,AS1095/AR1095),1))</x:f>
        <x:v>5.679206633102491</x:v>
      </x:c>
      <x:c r="J1096" s="32" t="n">
        <x:f>INDEX(v01_FoodCap,G1096)*Arch_FoodCap*EXP(v01_CapsByProject*SUMPRODUCT((Cap_Point&lt;=I1096)*(Cap_Kind="Food")*Cap_Ln))</x:f>
        <x:v>500</x:v>
      </x:c>
      <x:c r="K1096" s="32" t="n">
        <x:f>J1096*MIN(1,v01_LeanBase*EXP(v01_CapsByProject*SUMPRODUCT((Cap_Point&lt;=I1096)*(Cap_Kind="Lean")*Cap_Ln)))</x:f>
        <x:v>500</x:v>
      </x:c>
      <x:c r="L1096" s="10" t="n">
        <x:f>INDEX(v01_HousingCap,G1096)*EXP(v01_CapsByProject*SUMPRODUCT((Cap_Point&lt;=I1096)*(Cap_Kind="Housing")*Cap_Ln))</x:f>
        <x:v>800</x:v>
      </x:c>
      <x:c r="M1096" s="10" t="n">
        <x:f>INDEX(v01_GroupCap,G1096)*v01_CohesionFactor*EXP(v01_CapsByProject*SUMPRODUCT((Cap_Point&lt;=I1096)*(Cap_Kind="Group")*Cap_Ln))</x:f>
        <x:v>10000</x:v>
      </x:c>
      <x:c r="N1096" s="32" t="n">
        <x:f>MIN(J1096,L1096,M1096)</x:f>
        <x:v>500</x:v>
      </x:c>
      <x:c r="O1096" s="10" t="n">
        <x:f>AE1095*N1096</x:f>
        <x:v>8000</x:v>
      </x:c>
      <x:c r="P1096" s="9" t="n">
        <x:f>MIN(1,(AB1095/(AE1095*IF(v01_GroupInCrowding=1,N1096,MIN(J1096,L1096))))^v01_CrowdingExp)</x:f>
        <x:v>0.09333445668328834</x:v>
      </x:c>
      <x:c r="Q1096" s="9" t="n">
        <x:f>IF(D1096=1,INDEX(v01_WinterMult,G1096),1)</x:f>
        <x:v>1</x:v>
      </x:c>
      <x:c r="R1096" s="9" t="n">
        <x:f>H1096*Z1095*v01_WomenShare*v01_BaseFertility*INDEX(v01_FertMult,G1096)*Arch_Fertility*(1-P1096)</x:f>
        <x:v>68.33067656677483</x:v>
      </x:c>
      <x:c r="S1096" s="9" t="n">
        <x:f>H1096*Y1095*INDEX(v01_MortChild,G1096)/4*Q1096</x:f>
        <x:v>14.227443896622326</x:v>
      </x:c>
      <x:c r="T1096" s="9" t="n">
        <x:f>H1096*Z1095*INDEX(v01_MortAdult,G1096)*Arch_AdultMort/4*Q1096</x:f>
        <x:v>5.7094553164965705</x:v>
      </x:c>
      <x:c r="U1096" s="9" t="n">
        <x:f>H1096*AA1095*INDEX(v01_MortElder,G1096)/4*Q1096</x:f>
        <x:v>12.417911514369433</x:v>
      </x:c>
      <x:c r="V1096" s="9" t="n">
        <x:f>H1096*MAX(0,AB1095-O1096)*v01_OvercapLoss</x:f>
        <x:v>0</x:v>
      </x:c>
      <x:c r="W1096" s="9" t="n">
        <x:f>H1096*Y1095/(v01_ChildYears*4)</x:f>
        <x:v>40.64983970463521</x:v>
      </x:c>
      <x:c r="X1096" s="9" t="n">
        <x:f>H1096*Z1095/(v01_AdultYears*4)</x:f>
        <x:v>18.417597795150225</x:v>
      </x:c>
      <x:c r="Y1096" s="32" t="n">
        <x:f>Y1095+R1096-S1096-W1096-Y1095*V1096/AB1095</x:f>
        <x:v>2289.844416425089</x:v>
      </x:c>
      <x:c r="Z1096" s="32" t="n">
        <x:f>Z1095+W1096-X1096-T1096-Z1095*V1096/AB1095</x:f>
        <x:v>2300.3049131916164</x:v>
      </x:c>
      <x:c r="AA1096" s="32" t="n">
        <x:f>AA1095+X1096-U1096-AA1095*V1096/AB1095</x:f>
        <x:v>833.8604539054096</x:v>
      </x:c>
      <x:c r="AB1096" s="10" t="n">
        <x:f>Y1096+Z1096+AA1096</x:f>
        <x:v>5424.009783522115</x:v>
      </x:c>
      <x:c r="AC1096" s="8" t="n">
        <x:f>IF(AND(v01_WinterTrigger=1,D1096=1,AB1095/AE1095&gt;=K1096),1,0)</x:f>
        <x:v>0</x:v>
      </x:c>
      <x:c r="AD1096" s="8" t="n">
        <x:f>H1096*IF(AND(OR(AB1095/AE1095&gt;=v01_FissionTrigger*N1096,AC1096=1),AB1095/AE1095*v01_DaughterShare&gt;=v01_MinDaughter),MAX(1,ROUND(AE1095*v01_FissionRate,0)),0)</x:f>
        <x:v>0</x:v>
      </x:c>
      <x:c r="AE1096" s="8" t="n">
        <x:f>IF(H1096=1,MAX(1,MIN(INDEX(v01_Smax,G1096),AE1095+AD1096)),AE1095)</x:f>
        <x:v>16</x:v>
      </x:c>
      <x:c r="AF1096" s="8" t="n">
        <x:f>MAX(0,AE1096-AE1095)</x:f>
        <x:v>0</x:v>
      </x:c>
      <x:c r="AG1096" s="9" t="str">
        <x:f>IF(AF1096&gt;0,B1096,"")</x:f>
      </x:c>
      <x:c r="AH1096" s="9" t="n">
        <x:f>IF(F1096&gt;=1,1,(1+v01_LowTiesShare*(AE1096-1))/AE1096)</x:f>
        <x:v>1</x:v>
      </x:c>
      <x:c r="AI1096" s="32" t="n">
        <x:f>(Z1096+v01_ElderCommons*INDEX(LM_Elder,G1096)*AA1096)*AH1096</x:f>
        <x:v>5097.157901213605</x:v>
      </x:c>
      <x:c r="AJ1096" s="32" t="n">
        <x:f>H1096*v01_CommonsCoef*AI1096^v01_CommonsExp*INDEX(LM_Commons,G1096)</x:f>
        <x:v>1128.9116356945192</x:v>
      </x:c>
      <x:c r="AK1096" s="32" t="n">
        <x:f>H1096*v01_RoleScale*Arch_Roles*(AE1096*(INDEX(v01_ElderRolePerSett,G1096)*v01_OutElder*INDEX(LM_Elder,G1096)+INDEX(v01_ShamanPerSett,G1096)*v01_OutShaman)+Z1096*(INDEX(v01_PriestShare,G1096)*v01_OutPriest+INDEX(v01_ScribeShare,G1096)*v01_OutScribe*INDEX(LM_Scribe,G1096)+INDEX(v01_ScholarShare,G1096)*v01_OutScholar*INDEX(LM_Scholar,G1096)+INDEX(v01_ResearcherShare,G1096)*v01_OutResearcher*INDEX(LM_Researcher,G1096)))</x:f>
        <x:v>213.953999371362</x:v>
      </x:c>
      <x:c r="AL1096" s="32" t="n">
        <x:f>H1096*v01_RoleScale*Arch_Roles*AE1096*INDEX(v01_MonasteryPerSett,G1096)*v01_OutMonastery*INDEX(LM_Monastery,G1096)</x:f>
        <x:v>5.034282471216728</x:v>
      </x:c>
      <x:c r="AM1096" s="32" t="n">
        <x:f>(AJ1096+AK1096+AL1096)/4*INDEX(LM_All,G1096)*INDEX(v01_Boon,G1096)*Arch_Insight</x:f>
        <x:v>485.71592547705995</x:v>
      </x:c>
      <x:c r="AN1096" s="32" t="n">
        <x:f>H1096*(v01_KHPerAdult*Z1096+v01_KHOfCommons*AJ1096/4*INDEX(LM_All,G1096))*v01_KHUsable*Arch_KH</x:f>
        <x:v>80.51067196170658</x:v>
      </x:c>
      <x:c r="AO1096" s="32" t="n">
        <x:f>MIN(AP1095+AN1096,AM1096*v01_KHMaxRatio)</x:f>
        <x:v>80.51067196170658</x:v>
      </x:c>
      <x:c r="AP1096" s="32" t="n">
        <x:f>AP1095+AN1096-AO1096</x:f>
        <x:v>0</x:v>
      </x:c>
      <x:c r="AQ1096" s="32" t="n">
        <x:f>AM1096+AO1096</x:f>
        <x:v>566.2265974387665</x:v>
      </x:c>
      <x:c r="AR1096" s="10" t="n">
        <x:f>IF(H1096=1,INDEX(v01_Req,G1096),0)</x:f>
        <x:v>47951.22698</x:v>
      </x:c>
      <x:c r="AS1096" s="32" t="n">
        <x:f>IF(H1096=1,IF(E1096=1,AS1095-AR1095,AS1095)+AQ1096,0)</x:f>
        <x:v>33135.018027657905</x:v>
      </x:c>
      <x:c r="AT1096" s="11" t="n">
        <x:f>IF(AR1096&gt;0,MIN(1,AS1096/AR1096),1)</x:f>
        <x:v>0.6910150191042704</x:v>
      </x:c>
      <x:c r="AU1096" s="10" t="n">
        <x:f>AB1096/INDEX(v01_RepScale,G1096)</x:f>
        <x:v>216.9603913408846</x:v>
      </x:c>
      <x:c r="AV1096" s="32" t="n">
        <x:f>AM1096*60/v01_SeasonSeconds</x:f>
        <x:v>1942.86370190824</x:v>
      </x:c>
    </x:row>
    <x:row r="1097">
      <x:c r="A1097" s="8" t="n">
        <x:f>A1096+1</x:f>
        <x:v>1094</x:v>
      </x:c>
      <x:c r="B1097" s="9" t="n">
        <x:f>A1097*v01_SeasonSeconds/60</x:f>
        <x:v>273.5</x:v>
      </x:c>
      <x:c r="C1097" s="9" t="n">
        <x:f>A1097/4</x:f>
        <x:v>273.5</x:v>
      </x:c>
      <x:c r="D1097" s="8" t="n">
        <x:f>IF(MOD(A1097,4)=0,1,0)</x:f>
        <x:v>0</x:v>
      </x:c>
      <x:c r="E1097" s="8" t="n">
        <x:f>IF(AND(F1096&lt;=9,AS1096&gt;=AR1096),1,0)</x:f>
        <x:v>0</x:v>
      </x:c>
      <x:c r="F1097" s="8" t="n">
        <x:f>MIN(10,F1096+E1097)</x:f>
        <x:v>5</x:v>
      </x:c>
      <x:c r="G1097" s="8" t="n">
        <x:f>MIN(F1097,9)+1</x:f>
        <x:v>6</x:v>
      </x:c>
      <x:c r="H1097" s="8" t="n">
        <x:f>IF(F1097&lt;=9,1,0)</x:f>
        <x:v>1</x:v>
      </x:c>
      <x:c r="I1097" s="9" t="n">
        <x:f>MIN(10,F1096+IF(AR1096&gt;0,MIN(1,AS1096/AR1096),1))</x:f>
        <x:v>5.69101501910427</x:v>
      </x:c>
      <x:c r="J1097" s="32" t="n">
        <x:f>INDEX(v01_FoodCap,G1097)*Arch_FoodCap*EXP(v01_CapsByProject*SUMPRODUCT((Cap_Point&lt;=I1097)*(Cap_Kind="Food")*Cap_Ln))</x:f>
        <x:v>500</x:v>
      </x:c>
      <x:c r="K1097" s="32" t="n">
        <x:f>J1097*MIN(1,v01_LeanBase*EXP(v01_CapsByProject*SUMPRODUCT((Cap_Point&lt;=I1097)*(Cap_Kind="Lean")*Cap_Ln)))</x:f>
        <x:v>500</x:v>
      </x:c>
      <x:c r="L1097" s="10" t="n">
        <x:f>INDEX(v01_HousingCap,G1097)*EXP(v01_CapsByProject*SUMPRODUCT((Cap_Point&lt;=I1097)*(Cap_Kind="Housing")*Cap_Ln))</x:f>
        <x:v>800</x:v>
      </x:c>
      <x:c r="M1097" s="10" t="n">
        <x:f>INDEX(v01_GroupCap,G1097)*v01_CohesionFactor*EXP(v01_CapsByProject*SUMPRODUCT((Cap_Point&lt;=I1097)*(Cap_Kind="Group")*Cap_Ln))</x:f>
        <x:v>10000</x:v>
      </x:c>
      <x:c r="N1097" s="32" t="n">
        <x:f>MIN(J1097,L1097,M1097)</x:f>
        <x:v>500</x:v>
      </x:c>
      <x:c r="O1097" s="10" t="n">
        <x:f>AE1096*N1097</x:f>
        <x:v>8000</x:v>
      </x:c>
      <x:c r="P1097" s="9" t="n">
        <x:f>MIN(1,(AB1096/(AE1096*IF(v01_GroupInCrowding=1,N1097,MIN(J1097,L1097))))^v01_CrowdingExp)</x:f>
        <x:v>0.09713659222193632</x:v>
      </x:c>
      <x:c r="Q1097" s="9" t="n">
        <x:f>IF(D1097=1,INDEX(v01_WinterMult,G1097),1)</x:f>
        <x:v>1</x:v>
      </x:c>
      <x:c r="R1097" s="9" t="n">
        <x:f>H1097*Z1096*v01_WomenShare*v01_BaseFertility*INDEX(v01_FertMult,G1097)*Arch_Fertility*(1-P1097)</x:f>
        <x:v>68.5364173841426</x:v>
      </x:c>
      <x:c r="S1097" s="9" t="n">
        <x:f>H1097*Y1096*INDEX(v01_MortChild,G1097)/4*Q1097</x:f>
        <x:v>14.311527602656808</x:v>
      </x:c>
      <x:c r="T1097" s="9" t="n">
        <x:f>H1097*Z1096*INDEX(v01_MortAdult,G1097)*Arch_AdultMort/4*Q1097</x:f>
        <x:v>5.750762282979041</x:v>
      </x:c>
      <x:c r="U1097" s="9" t="n">
        <x:f>H1097*AA1096*INDEX(v01_MortElder,G1097)/4*Q1097</x:f>
        <x:v>12.507906808581144</x:v>
      </x:c>
      <x:c r="V1097" s="9" t="n">
        <x:f>H1097*MAX(0,AB1096-O1097)*v01_OvercapLoss</x:f>
        <x:v>0</x:v>
      </x:c>
      <x:c r="W1097" s="9" t="n">
        <x:f>H1097*Y1096/(v01_ChildYears*4)</x:f>
        <x:v>40.89007886473373</x:v>
      </x:c>
      <x:c r="X1097" s="9" t="n">
        <x:f>H1097*Z1096/(v01_AdultYears*4)</x:f>
        <x:v>18.55084607412594</x:v>
      </x:c>
      <x:c r="Y1097" s="32" t="n">
        <x:f>Y1096+R1097-S1097-W1097-Y1096*V1097/AB1096</x:f>
        <x:v>2303.179227341841</x:v>
      </x:c>
      <x:c r="Z1097" s="32" t="n">
        <x:f>Z1096+W1097-X1097-T1097-Z1096*V1097/AB1096</x:f>
        <x:v>2316.8933836992455</x:v>
      </x:c>
      <x:c r="AA1097" s="32" t="n">
        <x:f>AA1096+X1097-U1097-AA1096*V1097/AB1096</x:f>
        <x:v>839.9033931709544</x:v>
      </x:c>
      <x:c r="AB1097" s="10" t="n">
        <x:f>Y1097+Z1097+AA1097</x:f>
        <x:v>5459.9760042120415</x:v>
      </x:c>
      <x:c r="AC1097" s="8" t="n">
        <x:f>IF(AND(v01_WinterTrigger=1,D1097=1,AB1096/AE1096&gt;=K1097),1,0)</x:f>
        <x:v>0</x:v>
      </x:c>
      <x:c r="AD1097" s="8" t="n">
        <x:f>H1097*IF(AND(OR(AB1096/AE1096&gt;=v01_FissionTrigger*N1097,AC1097=1),AB1096/AE1096*v01_DaughterShare&gt;=v01_MinDaughter),MAX(1,ROUND(AE1096*v01_FissionRate,0)),0)</x:f>
        <x:v>0</x:v>
      </x:c>
      <x:c r="AE1097" s="8" t="n">
        <x:f>IF(H1097=1,MAX(1,MIN(INDEX(v01_Smax,G1097),AE1096+AD1097)),AE1096)</x:f>
        <x:v>16</x:v>
      </x:c>
      <x:c r="AF1097" s="8" t="n">
        <x:f>MAX(0,AE1097-AE1096)</x:f>
        <x:v>0</x:v>
      </x:c>
      <x:c r="AG1097" s="9" t="str">
        <x:f>IF(AF1097&gt;0,B1097,"")</x:f>
      </x:c>
      <x:c r="AH1097" s="9" t="n">
        <x:f>IF(F1097&gt;=1,1,(1+v01_LowTiesShare*(AE1097-1))/AE1097)</x:f>
        <x:v>1</x:v>
      </x:c>
      <x:c r="AI1097" s="32" t="n">
        <x:f>(Z1097+v01_ElderCommons*INDEX(LM_Elder,G1097)*AA1097)*AH1097</x:f>
        <x:v>5134.015006193726</x:v>
      </x:c>
      <x:c r="AJ1097" s="32" t="n">
        <x:f>H1097*v01_CommonsCoef*AI1097^v01_CommonsExp*INDEX(LM_Commons,G1097)</x:f>
        <x:v>1135.8464856351584</x:v>
      </x:c>
      <x:c r="AK1097" s="32" t="n">
        <x:f>H1097*v01_RoleScale*Arch_Roles*(AE1097*(INDEX(v01_ElderRolePerSett,G1097)*v01_OutElder*INDEX(LM_Elder,G1097)+INDEX(v01_ShamanPerSett,G1097)*v01_OutShaman)+Z1097*(INDEX(v01_PriestShare,G1097)*v01_OutPriest+INDEX(v01_ScribeShare,G1097)*v01_OutScribe*INDEX(LM_Scribe,G1097)+INDEX(v01_ScholarShare,G1097)*v01_OutScholar*INDEX(LM_Scholar,G1097)+INDEX(v01_ResearcherShare,G1097)*v01_OutResearcher*INDEX(LM_Researcher,G1097)))</x:f>
        <x:v>215.13033513819295</x:v>
      </x:c>
      <x:c r="AL1097" s="32" t="n">
        <x:f>H1097*v01_RoleScale*Arch_Roles*AE1097*INDEX(v01_MonasteryPerSett,G1097)*v01_OutMonastery*INDEX(LM_Monastery,G1097)</x:f>
        <x:v>5.034282471216728</x:v>
      </x:c>
      <x:c r="AM1097" s="32" t="n">
        <x:f>(AJ1097+AK1097+AL1097)/4*INDEX(LM_All,G1097)*INDEX(v01_Boon,G1097)*Arch_Insight</x:f>
        <x:v>488.6387923912585</x:v>
      </x:c>
      <x:c r="AN1097" s="32" t="n">
        <x:f>H1097*(v01_KHPerAdult*Z1097+v01_KHOfCommons*AJ1097/4*INDEX(LM_All,G1097))*v01_KHUsable*Arch_KH</x:f>
        <x:v>81.0912684294736</x:v>
      </x:c>
      <x:c r="AO1097" s="32" t="n">
        <x:f>MIN(AP1096+AN1097,AM1097*v01_KHMaxRatio)</x:f>
        <x:v>81.0912684294736</x:v>
      </x:c>
      <x:c r="AP1097" s="32" t="n">
        <x:f>AP1096+AN1097-AO1097</x:f>
        <x:v>0</x:v>
      </x:c>
      <x:c r="AQ1097" s="32" t="n">
        <x:f>AM1097+AO1097</x:f>
        <x:v>569.7300608207321</x:v>
      </x:c>
      <x:c r="AR1097" s="10" t="n">
        <x:f>IF(H1097=1,INDEX(v01_Req,G1097),0)</x:f>
        <x:v>47951.22698</x:v>
      </x:c>
      <x:c r="AS1097" s="32" t="n">
        <x:f>IF(H1097=1,IF(E1097=1,AS1096-AR1096,AS1096)+AQ1097,0)</x:f>
        <x:v>33704.748088478635</x:v>
      </x:c>
      <x:c r="AT1097" s="11" t="n">
        <x:f>IF(AR1097&gt;0,MIN(1,AS1097/AR1097),1)</x:f>
        <x:v>0.7028964681662174</x:v>
      </x:c>
      <x:c r="AU1097" s="10" t="n">
        <x:f>AB1097/INDEX(v01_RepScale,G1097)</x:f>
        <x:v>218.39904016848166</x:v>
      </x:c>
      <x:c r="AV1097" s="32" t="n">
        <x:f>AM1097*60/v01_SeasonSeconds</x:f>
        <x:v>1954.555169565034</x:v>
      </x:c>
    </x:row>
    <x:row r="1098">
      <x:c r="A1098" s="8" t="n">
        <x:f>A1097+1</x:f>
        <x:v>1095</x:v>
      </x:c>
      <x:c r="B1098" s="9" t="n">
        <x:f>A1098*v01_SeasonSeconds/60</x:f>
        <x:v>273.75</x:v>
      </x:c>
      <x:c r="C1098" s="9" t="n">
        <x:f>A1098/4</x:f>
        <x:v>273.75</x:v>
      </x:c>
      <x:c r="D1098" s="8" t="n">
        <x:f>IF(MOD(A1098,4)=0,1,0)</x:f>
        <x:v>0</x:v>
      </x:c>
      <x:c r="E1098" s="8" t="n">
        <x:f>IF(AND(F1097&lt;=9,AS1097&gt;=AR1097),1,0)</x:f>
        <x:v>0</x:v>
      </x:c>
      <x:c r="F1098" s="8" t="n">
        <x:f>MIN(10,F1097+E1098)</x:f>
        <x:v>5</x:v>
      </x:c>
      <x:c r="G1098" s="8" t="n">
        <x:f>MIN(F1098,9)+1</x:f>
        <x:v>6</x:v>
      </x:c>
      <x:c r="H1098" s="8" t="n">
        <x:f>IF(F1098&lt;=9,1,0)</x:f>
        <x:v>1</x:v>
      </x:c>
      <x:c r="I1098" s="9" t="n">
        <x:f>MIN(10,F1097+IF(AR1097&gt;0,MIN(1,AS1097/AR1097),1))</x:f>
        <x:v>5.702896468166218</x:v>
      </x:c>
      <x:c r="J1098" s="32" t="n">
        <x:f>INDEX(v01_FoodCap,G1098)*Arch_FoodCap*EXP(v01_CapsByProject*SUMPRODUCT((Cap_Point&lt;=I1098)*(Cap_Kind="Food")*Cap_Ln))</x:f>
        <x:v>500</x:v>
      </x:c>
      <x:c r="K1098" s="32" t="n">
        <x:f>J1098*MIN(1,v01_LeanBase*EXP(v01_CapsByProject*SUMPRODUCT((Cap_Point&lt;=I1098)*(Cap_Kind="Lean")*Cap_Ln)))</x:f>
        <x:v>500</x:v>
      </x:c>
      <x:c r="L1098" s="10" t="n">
        <x:f>INDEX(v01_HousingCap,G1098)*EXP(v01_CapsByProject*SUMPRODUCT((Cap_Point&lt;=I1098)*(Cap_Kind="Housing")*Cap_Ln))</x:f>
        <x:v>800</x:v>
      </x:c>
      <x:c r="M1098" s="10" t="n">
        <x:f>INDEX(v01_GroupCap,G1098)*v01_CohesionFactor*EXP(v01_CapsByProject*SUMPRODUCT((Cap_Point&lt;=I1098)*(Cap_Kind="Group")*Cap_Ln))</x:f>
        <x:v>10000</x:v>
      </x:c>
      <x:c r="N1098" s="32" t="n">
        <x:f>MIN(J1098,L1098,M1098)</x:f>
        <x:v>500</x:v>
      </x:c>
      <x:c r="O1098" s="10" t="n">
        <x:f>AE1097*N1098</x:f>
        <x:v>8000</x:v>
      </x:c>
      <x:c r="P1098" s="9" t="n">
        <x:f>MIN(1,(AB1097/(AE1097*IF(v01_GroupInCrowding=1,N1098,MIN(J1098,L1098))))^v01_CrowdingExp)</x:f>
        <x:v>0.10106586150086763</x:v>
      </x:c>
      <x:c r="Q1098" s="9" t="n">
        <x:f>IF(D1098=1,INDEX(v01_WinterMult,G1098),1)</x:f>
        <x:v>1</x:v>
      </x:c>
      <x:c r="R1098" s="9" t="n">
        <x:f>H1098*Z1097*v01_WomenShare*v01_BaseFertility*INDEX(v01_FertMult,G1098)*Arch_Fertility*(1-P1098)</x:f>
        <x:v>68.7302404097107</x:v>
      </x:c>
      <x:c r="S1098" s="9" t="n">
        <x:f>H1098*Y1097*INDEX(v01_MortChild,G1098)/4*Q1098</x:f>
        <x:v>14.394870170886506</x:v>
      </x:c>
      <x:c r="T1098" s="9" t="n">
        <x:f>H1098*Z1097*INDEX(v01_MortAdult,G1098)*Arch_AdultMort/4*Q1098</x:f>
        <x:v>5.792233459248114</x:v>
      </x:c>
      <x:c r="U1098" s="9" t="n">
        <x:f>H1098*AA1097*INDEX(v01_MortElder,G1098)/4*Q1098</x:f>
        <x:v>12.598550897564316</x:v>
      </x:c>
      <x:c r="V1098" s="9" t="n">
        <x:f>H1098*MAX(0,AB1097-O1098)*v01_OvercapLoss</x:f>
        <x:v>0</x:v>
      </x:c>
      <x:c r="W1098" s="9" t="n">
        <x:f>H1098*Y1097/(v01_ChildYears*4)</x:f>
        <x:v>41.12820048824716</x:v>
      </x:c>
      <x:c r="X1098" s="9" t="n">
        <x:f>H1098*Z1097/(v01_AdultYears*4)</x:f>
        <x:v>18.68462406209069</x:v>
      </x:c>
      <x:c r="Y1098" s="32" t="n">
        <x:f>Y1097+R1098-S1098-W1098-Y1097*V1098/AB1097</x:f>
        <x:v>2316.386397092418</x:v>
      </x:c>
      <x:c r="Z1098" s="32" t="n">
        <x:f>Z1097+W1098-X1098-T1098-Z1097*V1098/AB1097</x:f>
        <x:v>2333.544726666154</x:v>
      </x:c>
      <x:c r="AA1098" s="32" t="n">
        <x:f>AA1097+X1098-U1098-AA1097*V1098/AB1097</x:f>
        <x:v>845.9894663354808</x:v>
      </x:c>
      <x:c r="AB1098" s="10" t="n">
        <x:f>Y1098+Z1098+AA1098</x:f>
        <x:v>5495.920590094052</x:v>
      </x:c>
      <x:c r="AC1098" s="8" t="n">
        <x:f>IF(AND(v01_WinterTrigger=1,D1098=1,AB1097/AE1097&gt;=K1098),1,0)</x:f>
        <x:v>0</x:v>
      </x:c>
      <x:c r="AD1098" s="8" t="n">
        <x:f>H1098*IF(AND(OR(AB1097/AE1097&gt;=v01_FissionTrigger*N1098,AC1098=1),AB1097/AE1097*v01_DaughterShare&gt;=v01_MinDaughter),MAX(1,ROUND(AE1097*v01_FissionRate,0)),0)</x:f>
        <x:v>0</x:v>
      </x:c>
      <x:c r="AE1098" s="8" t="n">
        <x:f>IF(H1098=1,MAX(1,MIN(INDEX(v01_Smax,G1098),AE1097+AD1098)),AE1097)</x:f>
        <x:v>16</x:v>
      </x:c>
      <x:c r="AF1098" s="8" t="n">
        <x:f>MAX(0,AE1098-AE1097)</x:f>
        <x:v>0</x:v>
      </x:c>
      <x:c r="AG1098" s="9" t="str">
        <x:f>IF(AF1098&gt;0,B1098,"")</x:f>
      </x:c>
      <x:c r="AH1098" s="9" t="n">
        <x:f>IF(F1098&gt;=1,1,(1+v01_LowTiesShare*(AE1098-1))/AE1098)</x:f>
        <x:v>1</x:v>
      </x:c>
      <x:c r="AI1098" s="32" t="n">
        <x:f>(Z1098+v01_ElderCommons*INDEX(LM_Elder,G1098)*AA1098)*AH1098</x:f>
        <x:v>5171.079659128512</x:v>
      </x:c>
      <x:c r="AJ1098" s="32" t="n">
        <x:f>H1098*v01_CommonsCoef*AI1098^v01_CommonsExp*INDEX(LM_Commons,G1098)</x:f>
        <x:v>1142.8128598766996</x:v>
      </x:c>
      <x:c r="AK1098" s="32" t="n">
        <x:f>H1098*v01_RoleScale*Arch_Roles*(AE1098*(INDEX(v01_ElderRolePerSett,G1098)*v01_OutElder*INDEX(LM_Elder,G1098)+INDEX(v01_ShamanPerSett,G1098)*v01_OutShaman)+Z1098*(INDEX(v01_PriestShare,G1098)*v01_OutPriest+INDEX(v01_ScribeShare,G1098)*v01_OutScribe*INDEX(LM_Scribe,G1098)+INDEX(v01_ScholarShare,G1098)*v01_OutScholar*INDEX(LM_Scholar,G1098)+INDEX(v01_ResearcherShare,G1098)*v01_OutResearcher*INDEX(LM_Researcher,G1098)))</x:f>
        <x:v>216.31112937047226</x:v>
      </x:c>
      <x:c r="AL1098" s="32" t="n">
        <x:f>H1098*v01_RoleScale*Arch_Roles*AE1098*INDEX(v01_MonasteryPerSett,G1098)*v01_OutMonastery*INDEX(LM_Monastery,G1098)</x:f>
        <x:v>5.034282471216728</x:v>
      </x:c>
      <x:c r="AM1098" s="32" t="n">
        <x:f>(AJ1098+AK1098+AL1098)/4*INDEX(LM_All,G1098)*INDEX(v01_Boon,G1098)*Arch_Insight</x:f>
        <x:v>491.5746257003886</x:v>
      </x:c>
      <x:c r="AN1098" s="32" t="n">
        <x:f>H1098*(v01_KHPerAdult*Z1098+v01_KHOfCommons*AJ1098/4*INDEX(LM_All,G1098))*v01_KHUsable*Arch_KH</x:f>
        <x:v>81.67406543331539</x:v>
      </x:c>
      <x:c r="AO1098" s="32" t="n">
        <x:f>MIN(AP1097+AN1098,AM1098*v01_KHMaxRatio)</x:f>
        <x:v>81.67406543331539</x:v>
      </x:c>
      <x:c r="AP1098" s="32" t="n">
        <x:f>AP1097+AN1098-AO1098</x:f>
        <x:v>0</x:v>
      </x:c>
      <x:c r="AQ1098" s="32" t="n">
        <x:f>AM1098+AO1098</x:f>
        <x:v>573.248691133704</x:v>
      </x:c>
      <x:c r="AR1098" s="10" t="n">
        <x:f>IF(H1098=1,INDEX(v01_Req,G1098),0)</x:f>
        <x:v>47951.22698</x:v>
      </x:c>
      <x:c r="AS1098" s="32" t="n">
        <x:f>IF(H1098=1,IF(E1098=1,AS1097-AR1097,AS1097)+AQ1098,0)</x:f>
        <x:v>34277.99677961234</x:v>
      </x:c>
      <x:c r="AT1098" s="11" t="n">
        <x:f>IF(AR1098&gt;0,MIN(1,AS1098/AR1098),1)</x:f>
        <x:v>0.7148512965874547</x:v>
      </x:c>
      <x:c r="AU1098" s="10" t="n">
        <x:f>AB1098/INDEX(v01_RepScale,G1098)</x:f>
        <x:v>219.8368236037621</x:v>
      </x:c>
      <x:c r="AV1098" s="32" t="n">
        <x:f>AM1098*60/v01_SeasonSeconds</x:f>
        <x:v>1966.2985028015544</x:v>
      </x:c>
    </x:row>
    <x:row r="1099">
      <x:c r="A1099" s="8" t="n">
        <x:f>A1098+1</x:f>
        <x:v>1096</x:v>
      </x:c>
      <x:c r="B1099" s="9" t="n">
        <x:f>A1099*v01_SeasonSeconds/60</x:f>
        <x:v>274</x:v>
      </x:c>
      <x:c r="C1099" s="9" t="n">
        <x:f>A1099/4</x:f>
        <x:v>274</x:v>
      </x:c>
      <x:c r="D1099" s="8" t="n">
        <x:f>IF(MOD(A1099,4)=0,1,0)</x:f>
        <x:v>1</x:v>
      </x:c>
      <x:c r="E1099" s="8" t="n">
        <x:f>IF(AND(F1098&lt;=9,AS1098&gt;=AR1098),1,0)</x:f>
        <x:v>0</x:v>
      </x:c>
      <x:c r="F1099" s="8" t="n">
        <x:f>MIN(10,F1098+E1099)</x:f>
        <x:v>5</x:v>
      </x:c>
      <x:c r="G1099" s="8" t="n">
        <x:f>MIN(F1099,9)+1</x:f>
        <x:v>6</x:v>
      </x:c>
      <x:c r="H1099" s="8" t="n">
        <x:f>IF(F1099&lt;=9,1,0)</x:f>
        <x:v>1</x:v>
      </x:c>
      <x:c r="I1099" s="9" t="n">
        <x:f>MIN(10,F1098+IF(AR1098&gt;0,MIN(1,AS1098/AR1098),1))</x:f>
        <x:v>5.7148512965874545</x:v>
      </x:c>
      <x:c r="J1099" s="32" t="n">
        <x:f>INDEX(v01_FoodCap,G1099)*Arch_FoodCap*EXP(v01_CapsByProject*SUMPRODUCT((Cap_Point&lt;=I1099)*(Cap_Kind="Food")*Cap_Ln))</x:f>
        <x:v>500</x:v>
      </x:c>
      <x:c r="K1099" s="32" t="n">
        <x:f>J1099*MIN(1,v01_LeanBase*EXP(v01_CapsByProject*SUMPRODUCT((Cap_Point&lt;=I1099)*(Cap_Kind="Lean")*Cap_Ln)))</x:f>
        <x:v>500</x:v>
      </x:c>
      <x:c r="L1099" s="10" t="n">
        <x:f>INDEX(v01_HousingCap,G1099)*EXP(v01_CapsByProject*SUMPRODUCT((Cap_Point&lt;=I1099)*(Cap_Kind="Housing")*Cap_Ln))</x:f>
        <x:v>800</x:v>
      </x:c>
      <x:c r="M1099" s="10" t="n">
        <x:f>INDEX(v01_GroupCap,G1099)*v01_CohesionFactor*EXP(v01_CapsByProject*SUMPRODUCT((Cap_Point&lt;=I1099)*(Cap_Kind="Group")*Cap_Ln))</x:f>
        <x:v>10000</x:v>
      </x:c>
      <x:c r="N1099" s="32" t="n">
        <x:f>MIN(J1099,L1099,M1099)</x:f>
        <x:v>500</x:v>
      </x:c>
      <x:c r="O1099" s="10" t="n">
        <x:f>AE1098*N1099</x:f>
        <x:v>8000</x:v>
      </x:c>
      <x:c r="P1099" s="9" t="n">
        <x:f>MIN(1,(AB1098/(AE1098*IF(v01_GroupInCrowding=1,N1099,MIN(J1099,L1099))))^v01_CrowdingExp)</x:f>
        <x:v>0.10512421655538137</x:v>
      </x:c>
      <x:c r="Q1099" s="9" t="n">
        <x:f>IF(D1099=1,INDEX(v01_WinterMult,G1099),1)</x:f>
        <x:v>1</x:v>
      </x:c>
      <x:c r="R1099" s="9" t="n">
        <x:f>H1099*Z1098*v01_WomenShare*v01_BaseFertility*INDEX(v01_FertMult,G1099)*Arch_Fertility*(1-P1099)</x:f>
        <x:v>68.91167796078828</x:v>
      </x:c>
      <x:c r="S1099" s="9" t="n">
        <x:f>H1099*Y1098*INDEX(v01_MortChild,G1099)/4*Q1099</x:f>
        <x:v>14.477414981827614</x:v>
      </x:c>
      <x:c r="T1099" s="9" t="n">
        <x:f>H1099*Z1098*INDEX(v01_MortAdult,G1099)*Arch_AdultMort/4*Q1099</x:f>
        <x:v>5.833861816665385</x:v>
      </x:c>
      <x:c r="U1099" s="9" t="n">
        <x:f>H1099*AA1098*INDEX(v01_MortElder,G1099)/4*Q1099</x:f>
        <x:v>12.68984199503221</x:v>
      </x:c>
      <x:c r="V1099" s="9" t="n">
        <x:f>H1099*MAX(0,AB1098-O1099)*v01_OvercapLoss</x:f>
        <x:v>0</x:v>
      </x:c>
      <x:c r="W1099" s="9" t="n">
        <x:f>H1099*Y1098/(v01_ChildYears*4)</x:f>
        <x:v>41.36404280522175</x:v>
      </x:c>
      <x:c r="X1099" s="9" t="n">
        <x:f>H1099*Z1098/(v01_AdultYears*4)</x:f>
        <x:v>18.81890908601737</x:v>
      </x:c>
      <x:c r="Y1099" s="32" t="n">
        <x:f>Y1098+R1099-S1099-W1099-Y1098*V1099/AB1098</x:f>
        <x:v>2329.456617266157</x:v>
      </x:c>
      <x:c r="Z1099" s="32" t="n">
        <x:f>Z1098+W1099-X1099-T1099-Z1098*V1099/AB1098</x:f>
        <x:v>2350.255998568693</x:v>
      </x:c>
      <x:c r="AA1099" s="32" t="n">
        <x:f>AA1098+X1099-U1099-AA1098*V1099/AB1098</x:f>
        <x:v>852.1185334264659</x:v>
      </x:c>
      <x:c r="AB1099" s="10" t="n">
        <x:f>Y1099+Z1099+AA1099</x:f>
        <x:v>5531.831149261316</x:v>
      </x:c>
      <x:c r="AC1099" s="8" t="n">
        <x:f>IF(AND(v01_WinterTrigger=1,D1099=1,AB1098/AE1098&gt;=K1099),1,0)</x:f>
        <x:v>0</x:v>
      </x:c>
      <x:c r="AD1099" s="8" t="n">
        <x:f>H1099*IF(AND(OR(AB1098/AE1098&gt;=v01_FissionTrigger*N1099,AC1099=1),AB1098/AE1098*v01_DaughterShare&gt;=v01_MinDaughter),MAX(1,ROUND(AE1098*v01_FissionRate,0)),0)</x:f>
        <x:v>0</x:v>
      </x:c>
      <x:c r="AE1099" s="8" t="n">
        <x:f>IF(H1099=1,MAX(1,MIN(INDEX(v01_Smax,G1099),AE1098+AD1099)),AE1098)</x:f>
        <x:v>16</x:v>
      </x:c>
      <x:c r="AF1099" s="8" t="n">
        <x:f>MAX(0,AE1099-AE1098)</x:f>
        <x:v>0</x:v>
      </x:c>
      <x:c r="AG1099" s="9" t="str">
        <x:f>IF(AF1099&gt;0,B1099,"")</x:f>
      </x:c>
      <x:c r="AH1099" s="9" t="n">
        <x:f>IF(F1099&gt;=1,1,(1+v01_LowTiesShare*(AE1099-1))/AE1099)</x:f>
        <x:v>1</x:v>
      </x:c>
      <x:c r="AI1099" s="32" t="n">
        <x:f>(Z1099+v01_ElderCommons*INDEX(LM_Elder,G1099)*AA1099)*AH1099</x:f>
        <x:v>5208.3484470122</x:v>
      </x:c>
      <x:c r="AJ1099" s="32" t="n">
        <x:f>H1099*v01_CommonsCoef*AI1099^v01_CommonsExp*INDEX(LM_Commons,G1099)</x:f>
        <x:v>1149.8100538820079</x:v>
      </x:c>
      <x:c r="AK1099" s="32" t="n">
        <x:f>H1099*v01_RoleScale*Arch_Roles*(AE1099*(INDEX(v01_ElderRolePerSett,G1099)*v01_OutElder*INDEX(LM_Elder,G1099)+INDEX(v01_ShamanPerSett,G1099)*v01_OutShaman)+Z1099*(INDEX(v01_PriestShare,G1099)*v01_OutPriest+INDEX(v01_ScribeShare,G1099)*v01_OutScribe*INDEX(LM_Scribe,G1099)+INDEX(v01_ScholarShare,G1099)*v01_OutScholar*INDEX(LM_Scholar,G1099)+INDEX(v01_ResearcherShare,G1099)*v01_OutResearcher*INDEX(LM_Researcher,G1099)))</x:f>
        <x:v>217.49617333454074</x:v>
      </x:c>
      <x:c r="AL1099" s="32" t="n">
        <x:f>H1099*v01_RoleScale*Arch_Roles*AE1099*INDEX(v01_MonasteryPerSett,G1099)*v01_OutMonastery*INDEX(LM_Monastery,G1099)</x:f>
        <x:v>5.034282471216728</x:v>
      </x:c>
      <x:c r="AM1099" s="32" t="n">
        <x:f>(AJ1099+AK1099+AL1099)/4*INDEX(LM_All,G1099)*INDEX(v01_Boon,G1099)*Arch_Insight</x:f>
        <x:v>494.523096307191</x:v>
      </x:c>
      <x:c r="AN1099" s="32" t="n">
        <x:f>H1099*(v01_KHPerAdult*Z1099+v01_KHOfCommons*AJ1099/4*INDEX(LM_All,G1099))*v01_KHUsable*Arch_KH</x:f>
        <x:v>82.25895994990425</x:v>
      </x:c>
      <x:c r="AO1099" s="32" t="n">
        <x:f>MIN(AP1098+AN1099,AM1099*v01_KHMaxRatio)</x:f>
        <x:v>82.25895994990425</x:v>
      </x:c>
      <x:c r="AP1099" s="32" t="n">
        <x:f>AP1098+AN1099-AO1099</x:f>
        <x:v>0</x:v>
      </x:c>
      <x:c r="AQ1099" s="32" t="n">
        <x:f>AM1099+AO1099</x:f>
        <x:v>576.7820562570953</x:v>
      </x:c>
      <x:c r="AR1099" s="10" t="n">
        <x:f>IF(H1099=1,INDEX(v01_Req,G1099),0)</x:f>
        <x:v>47951.22698</x:v>
      </x:c>
      <x:c r="AS1099" s="32" t="n">
        <x:f>IF(H1099=1,IF(E1099=1,AS1098-AR1098,AS1098)+AQ1099,0)</x:f>
        <x:v>34854.77883586943</x:v>
      </x:c>
      <x:c r="AT1099" s="11" t="n">
        <x:f>IF(AR1099&gt;0,MIN(1,AS1099/AR1099),1)</x:f>
        <x:v>0.7268798116554354</x:v>
      </x:c>
      <x:c r="AU1099" s="10" t="n">
        <x:f>AB1099/INDEX(v01_RepScale,G1099)</x:f>
        <x:v>221.27324597045262</x:v>
      </x:c>
      <x:c r="AV1099" s="32" t="n">
        <x:f>AM1099*60/v01_SeasonSeconds</x:f>
        <x:v>1978.092385228764</x:v>
      </x:c>
    </x:row>
    <x:row r="1100">
      <x:c r="A1100" s="8" t="n">
        <x:f>A1099+1</x:f>
        <x:v>1097</x:v>
      </x:c>
      <x:c r="B1100" s="9" t="n">
        <x:f>A1100*v01_SeasonSeconds/60</x:f>
        <x:v>274.25</x:v>
      </x:c>
      <x:c r="C1100" s="9" t="n">
        <x:f>A1100/4</x:f>
        <x:v>274.25</x:v>
      </x:c>
      <x:c r="D1100" s="8" t="n">
        <x:f>IF(MOD(A1100,4)=0,1,0)</x:f>
        <x:v>0</x:v>
      </x:c>
      <x:c r="E1100" s="8" t="n">
        <x:f>IF(AND(F1099&lt;=9,AS1099&gt;=AR1099),1,0)</x:f>
        <x:v>0</x:v>
      </x:c>
      <x:c r="F1100" s="8" t="n">
        <x:f>MIN(10,F1099+E1100)</x:f>
        <x:v>5</x:v>
      </x:c>
      <x:c r="G1100" s="8" t="n">
        <x:f>MIN(F1100,9)+1</x:f>
        <x:v>6</x:v>
      </x:c>
      <x:c r="H1100" s="8" t="n">
        <x:f>IF(F1100&lt;=9,1,0)</x:f>
        <x:v>1</x:v>
      </x:c>
      <x:c r="I1100" s="9" t="n">
        <x:f>MIN(10,F1099+IF(AR1099&gt;0,MIN(1,AS1099/AR1099),1))</x:f>
        <x:v>5.726879811655436</x:v>
      </x:c>
      <x:c r="J1100" s="32" t="n">
        <x:f>INDEX(v01_FoodCap,G1100)*Arch_FoodCap*EXP(v01_CapsByProject*SUMPRODUCT((Cap_Point&lt;=I1100)*(Cap_Kind="Food")*Cap_Ln))</x:f>
        <x:v>500</x:v>
      </x:c>
      <x:c r="K1100" s="32" t="n">
        <x:f>J1100*MIN(1,v01_LeanBase*EXP(v01_CapsByProject*SUMPRODUCT((Cap_Point&lt;=I1100)*(Cap_Kind="Lean")*Cap_Ln)))</x:f>
        <x:v>500</x:v>
      </x:c>
      <x:c r="L1100" s="10" t="n">
        <x:f>INDEX(v01_HousingCap,G1100)*EXP(v01_CapsByProject*SUMPRODUCT((Cap_Point&lt;=I1100)*(Cap_Kind="Housing")*Cap_Ln))</x:f>
        <x:v>800</x:v>
      </x:c>
      <x:c r="M1100" s="10" t="n">
        <x:f>INDEX(v01_GroupCap,G1100)*v01_CohesionFactor*EXP(v01_CapsByProject*SUMPRODUCT((Cap_Point&lt;=I1100)*(Cap_Kind="Group")*Cap_Ln))</x:f>
        <x:v>10000</x:v>
      </x:c>
      <x:c r="N1100" s="32" t="n">
        <x:f>MIN(J1100,L1100,M1100)</x:f>
        <x:v>500</x:v>
      </x:c>
      <x:c r="O1100" s="10" t="n">
        <x:f>AE1099*N1100</x:f>
        <x:v>8000</x:v>
      </x:c>
      <x:c r="P1100" s="9" t="n">
        <x:f>MIN(1,(AB1099/(AE1099*IF(v01_GroupInCrowding=1,N1100,MIN(J1100,L1100))))^v01_CrowdingExp)</x:f>
        <x:v>0.10931344237105797</x:v>
      </x:c>
      <x:c r="Q1100" s="9" t="n">
        <x:f>IF(D1100=1,INDEX(v01_WinterMult,G1100),1)</x:f>
        <x:v>1</x:v>
      </x:c>
      <x:c r="R1100" s="9" t="n">
        <x:f>H1100*Z1099*v01_WomenShare*v01_BaseFertility*INDEX(v01_FertMult,G1100)*Arch_Fertility*(1-P1100)</x:f>
        <x:v>69.08026702209338</x:v>
      </x:c>
      <x:c r="S1100" s="9" t="n">
        <x:f>H1100*Y1099*INDEX(v01_MortChild,G1100)/4*Q1100</x:f>
        <x:v>14.559103857913483</x:v>
      </x:c>
      <x:c r="T1100" s="9" t="n">
        <x:f>H1100*Z1099*INDEX(v01_MortAdult,G1100)*Arch_AdultMort/4*Q1100</x:f>
        <x:v>5.875639996421732</x:v>
      </x:c>
      <x:c r="U1100" s="9" t="n">
        <x:f>H1100*AA1099*INDEX(v01_MortElder,G1100)/4*Q1100</x:f>
        <x:v>12.781778001396988</x:v>
      </x:c>
      <x:c r="V1100" s="9" t="n">
        <x:f>H1100*MAX(0,AB1099-O1100)*v01_OvercapLoss</x:f>
        <x:v>0</x:v>
      </x:c>
      <x:c r="W1100" s="9" t="n">
        <x:f>H1100*Y1099/(v01_ChildYears*4)</x:f>
        <x:v>41.59743959403852</x:v>
      </x:c>
      <x:c r="X1100" s="9" t="n">
        <x:f>H1100*Z1099/(v01_AdultYears*4)</x:f>
        <x:v>18.95367740781204</x:v>
      </x:c>
      <x:c r="Y1100" s="32" t="n">
        <x:f>Y1099+R1100-S1100-W1100-Y1099*V1100/AB1099</x:f>
        <x:v>2342.3803408362983</x:v>
      </x:c>
      <x:c r="Z1100" s="32" t="n">
        <x:f>Z1099+W1100-X1100-T1100-Z1099*V1100/AB1099</x:f>
        <x:v>2367.0241207584977</x:v>
      </x:c>
      <x:c r="AA1100" s="32" t="n">
        <x:f>AA1099+X1100-U1100-AA1099*V1100/AB1099</x:f>
        <x:v>858.2904328328809</x:v>
      </x:c>
      <x:c r="AB1100" s="10" t="n">
        <x:f>Y1100+Z1100+AA1100</x:f>
        <x:v>5567.694894427677</x:v>
      </x:c>
      <x:c r="AC1100" s="8" t="n">
        <x:f>IF(AND(v01_WinterTrigger=1,D1100=1,AB1099/AE1099&gt;=K1100),1,0)</x:f>
        <x:v>0</x:v>
      </x:c>
      <x:c r="AD1100" s="8" t="n">
        <x:f>H1100*IF(AND(OR(AB1099/AE1099&gt;=v01_FissionTrigger*N1100,AC1100=1),AB1099/AE1099*v01_DaughterShare&gt;=v01_MinDaughter),MAX(1,ROUND(AE1099*v01_FissionRate,0)),0)</x:f>
        <x:v>0</x:v>
      </x:c>
      <x:c r="AE1100" s="8" t="n">
        <x:f>IF(H1100=1,MAX(1,MIN(INDEX(v01_Smax,G1100),AE1099+AD1100)),AE1099)</x:f>
        <x:v>16</x:v>
      </x:c>
      <x:c r="AF1100" s="8" t="n">
        <x:f>MAX(0,AE1100-AE1099)</x:f>
        <x:v>0</x:v>
      </x:c>
      <x:c r="AG1100" s="9" t="str">
        <x:f>IF(AF1100&gt;0,B1100,"")</x:f>
      </x:c>
      <x:c r="AH1100" s="9" t="n">
        <x:f>IF(F1100&gt;=1,1,(1+v01_LowTiesShare*(AE1100-1))/AE1100)</x:f>
        <x:v>1</x:v>
      </x:c>
      <x:c r="AI1100" s="32" t="n">
        <x:f>(Z1100+v01_ElderCommons*INDEX(LM_Elder,G1100)*AA1100)*AH1100</x:f>
        <x:v>5245.817749136557</x:v>
      </x:c>
      <x:c r="AJ1100" s="32" t="n">
        <x:f>H1100*v01_CommonsCoef*AI1100^v01_CommonsExp*INDEX(LM_Commons,G1100)</x:f>
        <x:v>1156.8373273532382</x:v>
      </x:c>
      <x:c r="AK1100" s="32" t="n">
        <x:f>H1100*v01_RoleScale*Arch_Roles*(AE1100*(INDEX(v01_ElderRolePerSett,G1100)*v01_OutElder*INDEX(LM_Elder,G1100)+INDEX(v01_ShamanPerSett,G1100)*v01_OutShaman)+Z1100*(INDEX(v01_PriestShare,G1100)*v01_OutPriest+INDEX(v01_ScribeShare,G1100)*v01_OutScribe*INDEX(LM_Scribe,G1100)+INDEX(v01_ScholarShare,G1100)*v01_OutScholar*INDEX(LM_Scholar,G1100)+INDEX(v01_ResearcherShare,G1100)*v01_OutResearcher*INDEX(LM_Researcher,G1100)))</x:f>
        <x:v>218.6852487146602</x:v>
      </x:c>
      <x:c r="AL1100" s="32" t="n">
        <x:f>H1100*v01_RoleScale*Arch_Roles*AE1100*INDEX(v01_MonasteryPerSett,G1100)*v01_OutMonastery*INDEX(LM_Monastery,G1100)</x:f>
        <x:v>5.034282471216728</x:v>
      </x:c>
      <x:c r="AM1100" s="32" t="n">
        <x:f>(AJ1100+AK1100+AL1100)/4*INDEX(LM_All,G1100)*INDEX(v01_Boon,G1100)*Arch_Insight</x:f>
        <x:v>497.4838587751254</x:v>
      </x:c>
      <x:c r="AN1100" s="32" t="n">
        <x:f>H1100*(v01_KHPerAdult*Z1100+v01_KHOfCommons*AJ1100/4*INDEX(LM_All,G1100))*v01_KHUsable*Arch_KH</x:f>
        <x:v>82.84584422654743</x:v>
      </x:c>
      <x:c r="AO1100" s="32" t="n">
        <x:f>MIN(AP1099+AN1100,AM1100*v01_KHMaxRatio)</x:f>
        <x:v>82.84584422654743</x:v>
      </x:c>
      <x:c r="AP1100" s="32" t="n">
        <x:f>AP1099+AN1100-AO1100</x:f>
        <x:v>0</x:v>
      </x:c>
      <x:c r="AQ1100" s="32" t="n">
        <x:f>AM1100+AO1100</x:f>
        <x:v>580.3297030016728</x:v>
      </x:c>
      <x:c r="AR1100" s="10" t="n">
        <x:f>IF(H1100=1,INDEX(v01_Req,G1100),0)</x:f>
        <x:v>47951.22698</x:v>
      </x:c>
      <x:c r="AS1100" s="32" t="n">
        <x:f>IF(H1100=1,IF(E1100=1,AS1099-AR1099,AS1099)+AQ1100,0)</x:f>
        <x:v>35435.1085388711</x:v>
      </x:c>
      <x:c r="AT1100" s="11" t="n">
        <x:f>IF(AR1100&gt;0,MIN(1,AS1100/AR1100),1)</x:f>
        <x:v>0.7389823112065672</x:v>
      </x:c>
      <x:c r="AU1100" s="10" t="n">
        <x:f>AB1100/INDEX(v01_RepScale,G1100)</x:f>
        <x:v>222.7077957771071</x:v>
      </x:c>
      <x:c r="AV1100" s="32" t="n">
        <x:f>AM1100*60/v01_SeasonSeconds</x:f>
        <x:v>1989.9354351005015</x:v>
      </x:c>
    </x:row>
    <x:row r="1101">
      <x:c r="A1101" s="8" t="n">
        <x:f>A1100+1</x:f>
        <x:v>1098</x:v>
      </x:c>
      <x:c r="B1101" s="9" t="n">
        <x:f>A1101*v01_SeasonSeconds/60</x:f>
        <x:v>274.5</x:v>
      </x:c>
      <x:c r="C1101" s="9" t="n">
        <x:f>A1101/4</x:f>
        <x:v>274.5</x:v>
      </x:c>
      <x:c r="D1101" s="8" t="n">
        <x:f>IF(MOD(A1101,4)=0,1,0)</x:f>
        <x:v>0</x:v>
      </x:c>
      <x:c r="E1101" s="8" t="n">
        <x:f>IF(AND(F1100&lt;=9,AS1100&gt;=AR1100),1,0)</x:f>
        <x:v>0</x:v>
      </x:c>
      <x:c r="F1101" s="8" t="n">
        <x:f>MIN(10,F1100+E1101)</x:f>
        <x:v>5</x:v>
      </x:c>
      <x:c r="G1101" s="8" t="n">
        <x:f>MIN(F1101,9)+1</x:f>
        <x:v>6</x:v>
      </x:c>
      <x:c r="H1101" s="8" t="n">
        <x:f>IF(F1101&lt;=9,1,0)</x:f>
        <x:v>1</x:v>
      </x:c>
      <x:c r="I1101" s="9" t="n">
        <x:f>MIN(10,F1100+IF(AR1100&gt;0,MIN(1,AS1100/AR1100),1))</x:f>
        <x:v>5.738982311206567</x:v>
      </x:c>
      <x:c r="J1101" s="32" t="n">
        <x:f>INDEX(v01_FoodCap,G1101)*Arch_FoodCap*EXP(v01_CapsByProject*SUMPRODUCT((Cap_Point&lt;=I1101)*(Cap_Kind="Food")*Cap_Ln))</x:f>
        <x:v>500</x:v>
      </x:c>
      <x:c r="K1101" s="32" t="n">
        <x:f>J1101*MIN(1,v01_LeanBase*EXP(v01_CapsByProject*SUMPRODUCT((Cap_Point&lt;=I1101)*(Cap_Kind="Lean")*Cap_Ln)))</x:f>
        <x:v>500</x:v>
      </x:c>
      <x:c r="L1101" s="10" t="n">
        <x:f>INDEX(v01_HousingCap,G1101)*EXP(v01_CapsByProject*SUMPRODUCT((Cap_Point&lt;=I1101)*(Cap_Kind="Housing")*Cap_Ln))</x:f>
        <x:v>800</x:v>
      </x:c>
      <x:c r="M1101" s="10" t="n">
        <x:f>INDEX(v01_GroupCap,G1101)*v01_CohesionFactor*EXP(v01_CapsByProject*SUMPRODUCT((Cap_Point&lt;=I1101)*(Cap_Kind="Group")*Cap_Ln))</x:f>
        <x:v>10000</x:v>
      </x:c>
      <x:c r="N1101" s="32" t="n">
        <x:f>MIN(J1101,L1101,M1101)</x:f>
        <x:v>500</x:v>
      </x:c>
      <x:c r="O1101" s="10" t="n">
        <x:f>AE1100*N1101</x:f>
        <x:v>8000</x:v>
      </x:c>
      <x:c r="P1101" s="9" t="n">
        <x:f>MIN(1,(AB1100/(AE1100*IF(v01_GroupInCrowding=1,N1101,MIN(J1101,L1101))))^v01_CrowdingExp)</x:f>
        <x:v>0.1136351389876507</x:v>
      </x:c>
      <x:c r="Q1101" s="9" t="n">
        <x:f>IF(D1101=1,INDEX(v01_WinterMult,G1101),1)</x:f>
        <x:v>1</x:v>
      </x:c>
      <x:c r="R1101" s="9" t="n">
        <x:f>H1101*Z1100*v01_WomenShare*v01_BaseFertility*INDEX(v01_FertMult,G1101)*Arch_Fertility*(1-P1101)</x:f>
        <x:v>69.23555119169649</x:v>
      </x:c>
      <x:c r="S1101" s="9" t="n">
        <x:f>H1101*Y1100*INDEX(v01_MortChild,G1101)/4*Q1101</x:f>
        <x:v>14.639877130226864</x:v>
      </x:c>
      <x:c r="T1101" s="9" t="n">
        <x:f>H1101*Z1100*INDEX(v01_MortAdult,G1101)*Arch_AdultMort/4*Q1101</x:f>
        <x:v>5.917560301896244</x:v>
      </x:c>
      <x:c r="U1101" s="9" t="n">
        <x:f>H1101*AA1100*INDEX(v01_MortElder,G1101)/4*Q1101</x:f>
        <x:v>12.874356492493213</x:v>
      </x:c>
      <x:c r="V1101" s="9" t="n">
        <x:f>H1101*MAX(0,AB1100-O1101)*v01_OvercapLoss</x:f>
        <x:v>0</x:v>
      </x:c>
      <x:c r="W1101" s="9" t="n">
        <x:f>H1101*Y1100/(v01_ChildYears*4)</x:f>
        <x:v>41.82822037207676</x:v>
      </x:c>
      <x:c r="X1101" s="9" t="n">
        <x:f>H1101*Z1100/(v01_AdultYears*4)</x:f>
        <x:v>19.088904199665304</x:v>
      </x:c>
      <x:c r="Y1101" s="32" t="n">
        <x:f>Y1100+R1101-S1101-W1101-Y1100*V1101/AB1100</x:f>
        <x:v>2355.147794525691</x:v>
      </x:c>
      <x:c r="Z1101" s="32" t="n">
        <x:f>Z1100+W1101-X1101-T1101-Z1100*V1101/AB1100</x:f>
        <x:v>2383.845876629013</x:v>
      </x:c>
      <x:c r="AA1101" s="32" t="n">
        <x:f>AA1100+X1101-U1101-AA1100*V1101/AB1100</x:f>
        <x:v>864.504980540053</x:v>
      </x:c>
      <x:c r="AB1101" s="10" t="n">
        <x:f>Y1101+Z1101+AA1101</x:f>
        <x:v>5603.498651694757</x:v>
      </x:c>
      <x:c r="AC1101" s="8" t="n">
        <x:f>IF(AND(v01_WinterTrigger=1,D1101=1,AB1100/AE1100&gt;=K1101),1,0)</x:f>
        <x:v>0</x:v>
      </x:c>
      <x:c r="AD1101" s="8" t="n">
        <x:f>H1101*IF(AND(OR(AB1100/AE1100&gt;=v01_FissionTrigger*N1101,AC1101=1),AB1100/AE1100*v01_DaughterShare&gt;=v01_MinDaughter),MAX(1,ROUND(AE1100*v01_FissionRate,0)),0)</x:f>
        <x:v>0</x:v>
      </x:c>
      <x:c r="AE1101" s="8" t="n">
        <x:f>IF(H1101=1,MAX(1,MIN(INDEX(v01_Smax,G1101),AE1100+AD1101)),AE1100)</x:f>
        <x:v>16</x:v>
      </x:c>
      <x:c r="AF1101" s="8" t="n">
        <x:f>MAX(0,AE1101-AE1100)</x:f>
        <x:v>0</x:v>
      </x:c>
      <x:c r="AG1101" s="9" t="str">
        <x:f>IF(AF1101&gt;0,B1101,"")</x:f>
      </x:c>
      <x:c r="AH1101" s="9" t="n">
        <x:f>IF(F1101&gt;=1,1,(1+v01_LowTiesShare*(AE1101-1))/AE1101)</x:f>
        <x:v>1</x:v>
      </x:c>
      <x:c r="AI1101" s="32" t="n">
        <x:f>(Z1101+v01_ElderCommons*INDEX(LM_Elder,G1101)*AA1101)*AH1101</x:f>
        <x:v>5283.483731691051</x:v>
      </x:c>
      <x:c r="AJ1101" s="32" t="n">
        <x:f>H1101*v01_CommonsCoef*AI1101^v01_CommonsExp*INDEX(LM_Commons,G1101)</x:f>
        <x:v>1163.8939034071286</x:v>
      </x:c>
      <x:c r="AK1101" s="32" t="n">
        <x:f>H1101*v01_RoleScale*Arch_Roles*(AE1101*(INDEX(v01_ElderRolePerSett,G1101)*v01_OutElder*INDEX(LM_Elder,G1101)+INDEX(v01_ShamanPerSett,G1101)*v01_OutShaman)+Z1101*(INDEX(v01_PriestShare,G1101)*v01_OutPriest+INDEX(v01_ScribeShare,G1101)*v01_OutScribe*INDEX(LM_Scribe,G1101)+INDEX(v01_ScholarShare,G1101)*v01_OutScholar*INDEX(LM_Scholar,G1101)+INDEX(v01_ResearcherShare,G1101)*v01_OutResearcher*INDEX(LM_Researcher,G1101)))</x:f>
        <x:v>219.8781274120836</x:v>
      </x:c>
      <x:c r="AL1101" s="32" t="n">
        <x:f>H1101*v01_RoleScale*Arch_Roles*AE1101*INDEX(v01_MonasteryPerSett,G1101)*v01_OutMonastery*INDEX(LM_Monastery,G1101)</x:f>
        <x:v>5.034282471216728</x:v>
      </x:c>
      <x:c r="AM1101" s="32" t="n">
        <x:f>(AJ1101+AK1101+AL1101)/4*INDEX(LM_All,G1101)*INDEX(v01_Boon,G1101)*Arch_Insight</x:f>
        <x:v>500.45655095878317</x:v>
      </x:c>
      <x:c r="AN1101" s="32" t="n">
        <x:f>H1101*(v01_KHPerAdult*Z1101+v01_KHOfCommons*AJ1101/4*INDEX(LM_All,G1101))*v01_KHUsable*Arch_KH</x:f>
        <x:v>83.43460568201546</x:v>
      </x:c>
      <x:c r="AO1101" s="32" t="n">
        <x:f>MIN(AP1100+AN1101,AM1101*v01_KHMaxRatio)</x:f>
        <x:v>83.43460568201546</x:v>
      </x:c>
      <x:c r="AP1101" s="32" t="n">
        <x:f>AP1100+AN1101-AO1101</x:f>
        <x:v>0</x:v>
      </x:c>
      <x:c r="AQ1101" s="32" t="n">
        <x:f>AM1101+AO1101</x:f>
        <x:v>583.8911566407986</x:v>
      </x:c>
      <x:c r="AR1101" s="10" t="n">
        <x:f>IF(H1101=1,INDEX(v01_Req,G1101),0)</x:f>
        <x:v>47951.22698</x:v>
      </x:c>
      <x:c r="AS1101" s="32" t="n">
        <x:f>IF(H1101=1,IF(E1101=1,AS1100-AR1100,AS1100)+AQ1101,0)</x:f>
        <x:v>36018.9996955119</x:v>
      </x:c>
      <x:c r="AT1101" s="11" t="n">
        <x:f>IF(AR1101&gt;0,MIN(1,AS1101/AR1101),1)</x:f>
        <x:v>0.7511590831770599</x:v>
      </x:c>
      <x:c r="AU1101" s="10" t="n">
        <x:f>AB1101/INDEX(v01_RepScale,G1101)</x:f>
        <x:v>224.1399460677903</x:v>
      </x:c>
      <x:c r="AV1101" s="32" t="n">
        <x:f>AM1101*60/v01_SeasonSeconds</x:f>
        <x:v>2001.8262038351327</x:v>
      </x:c>
    </x:row>
    <x:row r="1102">
      <x:c r="A1102" s="8" t="n">
        <x:f>A1101+1</x:f>
        <x:v>1099</x:v>
      </x:c>
      <x:c r="B1102" s="9" t="n">
        <x:f>A1102*v01_SeasonSeconds/60</x:f>
        <x:v>274.75</x:v>
      </x:c>
      <x:c r="C1102" s="9" t="n">
        <x:f>A1102/4</x:f>
        <x:v>274.75</x:v>
      </x:c>
      <x:c r="D1102" s="8" t="n">
        <x:f>IF(MOD(A1102,4)=0,1,0)</x:f>
        <x:v>0</x:v>
      </x:c>
      <x:c r="E1102" s="8" t="n">
        <x:f>IF(AND(F1101&lt;=9,AS1101&gt;=AR1101),1,0)</x:f>
        <x:v>0</x:v>
      </x:c>
      <x:c r="F1102" s="8" t="n">
        <x:f>MIN(10,F1101+E1102)</x:f>
        <x:v>5</x:v>
      </x:c>
      <x:c r="G1102" s="8" t="n">
        <x:f>MIN(F1102,9)+1</x:f>
        <x:v>6</x:v>
      </x:c>
      <x:c r="H1102" s="8" t="n">
        <x:f>IF(F1102&lt;=9,1,0)</x:f>
        <x:v>1</x:v>
      </x:c>
      <x:c r="I1102" s="9" t="n">
        <x:f>MIN(10,F1101+IF(AR1101&gt;0,MIN(1,AS1101/AR1101),1))</x:f>
        <x:v>5.75115908317706</x:v>
      </x:c>
      <x:c r="J1102" s="32" t="n">
        <x:f>INDEX(v01_FoodCap,G1102)*Arch_FoodCap*EXP(v01_CapsByProject*SUMPRODUCT((Cap_Point&lt;=I1102)*(Cap_Kind="Food")*Cap_Ln))</x:f>
        <x:v>500</x:v>
      </x:c>
      <x:c r="K1102" s="32" t="n">
        <x:f>J1102*MIN(1,v01_LeanBase*EXP(v01_CapsByProject*SUMPRODUCT((Cap_Point&lt;=I1102)*(Cap_Kind="Lean")*Cap_Ln)))</x:f>
        <x:v>500</x:v>
      </x:c>
      <x:c r="L1102" s="10" t="n">
        <x:f>INDEX(v01_HousingCap,G1102)*EXP(v01_CapsByProject*SUMPRODUCT((Cap_Point&lt;=I1102)*(Cap_Kind="Housing")*Cap_Ln))</x:f>
        <x:v>800</x:v>
      </x:c>
      <x:c r="M1102" s="10" t="n">
        <x:f>INDEX(v01_GroupCap,G1102)*v01_CohesionFactor*EXP(v01_CapsByProject*SUMPRODUCT((Cap_Point&lt;=I1102)*(Cap_Kind="Group")*Cap_Ln))</x:f>
        <x:v>10000</x:v>
      </x:c>
      <x:c r="N1102" s="32" t="n">
        <x:f>MIN(J1102,L1102,M1102)</x:f>
        <x:v>500</x:v>
      </x:c>
      <x:c r="O1102" s="10" t="n">
        <x:f>AE1101*N1102</x:f>
        <x:v>8000</x:v>
      </x:c>
      <x:c r="P1102" s="9" t="n">
        <x:f>MIN(1,(AB1101/(AE1101*IF(v01_GroupInCrowding=1,N1102,MIN(J1102,L1102))))^v01_CrowdingExp)</x:f>
        <x:v>0.11809070318541204</x:v>
      </x:c>
      <x:c r="Q1102" s="9" t="n">
        <x:f>IF(D1102=1,INDEX(v01_WinterMult,G1102),1)</x:f>
        <x:v>1</x:v>
      </x:c>
      <x:c r="R1102" s="9" t="n">
        <x:f>H1102*Z1101*v01_WomenShare*v01_BaseFertility*INDEX(v01_FertMult,G1102)*Arch_Fertility*(1-P1102)</x:f>
        <x:v>69.37708274548419</x:v>
      </x:c>
      <x:c r="S1102" s="9" t="n">
        <x:f>H1102*Y1101*INDEX(v01_MortChild,G1102)/4*Q1102</x:f>
        <x:v>14.71967371578557</x:v>
      </x:c>
      <x:c r="T1102" s="9" t="n">
        <x:f>H1102*Z1101*INDEX(v01_MortAdult,G1102)*Arch_AdultMort/4*Q1102</x:f>
        <x:v>5.959614691572533</x:v>
      </x:c>
      <x:c r="U1102" s="9" t="n">
        <x:f>H1102*AA1101*INDEX(v01_MortElder,G1102)/4*Q1102</x:f>
        <x:v>12.967574708100795</x:v>
      </x:c>
      <x:c r="V1102" s="9" t="n">
        <x:f>H1102*MAX(0,AB1101-O1102)*v01_OvercapLoss</x:f>
        <x:v>0</x:v>
      </x:c>
      <x:c r="W1102" s="9" t="n">
        <x:f>H1102*Y1101/(v01_ChildYears*4)</x:f>
        <x:v>42.0562106165302</x:v>
      </x:c>
      <x:c r="X1102" s="9" t="n">
        <x:f>H1102*Z1101/(v01_AdultYears*4)</x:f>
        <x:v>19.22456352120172</x:v>
      </x:c>
      <x:c r="Y1102" s="32" t="n">
        <x:f>Y1101+R1102-S1102-W1102-Y1101*V1102/AB1101</x:f>
        <x:v>2367.7489929388594</x:v>
      </x:c>
      <x:c r="Z1102" s="32" t="n">
        <x:f>Z1101+W1102-X1102-T1102-Z1101*V1102/AB1101</x:f>
        <x:v>2400.7179090327695</x:v>
      </x:c>
      <x:c r="AA1102" s="32" t="n">
        <x:f>AA1101+X1102-U1102-AA1101*V1102/AB1101</x:f>
        <x:v>870.761969353154</x:v>
      </x:c>
      <x:c r="AB1102" s="10" t="n">
        <x:f>Y1102+Z1102+AA1102</x:f>
        <x:v>5639.2288713247835</x:v>
      </x:c>
      <x:c r="AC1102" s="8" t="n">
        <x:f>IF(AND(v01_WinterTrigger=1,D1102=1,AB1101/AE1101&gt;=K1102),1,0)</x:f>
        <x:v>0</x:v>
      </x:c>
      <x:c r="AD1102" s="8" t="n">
        <x:f>H1102*IF(AND(OR(AB1101/AE1101&gt;=v01_FissionTrigger*N1102,AC1102=1),AB1101/AE1101*v01_DaughterShare&gt;=v01_MinDaughter),MAX(1,ROUND(AE1101*v01_FissionRate,0)),0)</x:f>
        <x:v>0</x:v>
      </x:c>
      <x:c r="AE1102" s="8" t="n">
        <x:f>IF(H1102=1,MAX(1,MIN(INDEX(v01_Smax,G1102),AE1101+AD1102)),AE1101)</x:f>
        <x:v>16</x:v>
      </x:c>
      <x:c r="AF1102" s="8" t="n">
        <x:f>MAX(0,AE1102-AE1101)</x:f>
        <x:v>0</x:v>
      </x:c>
      <x:c r="AG1102" s="9" t="str">
        <x:f>IF(AF1102&gt;0,B1102,"")</x:f>
      </x:c>
      <x:c r="AH1102" s="9" t="n">
        <x:f>IF(F1102&gt;=1,1,(1+v01_LowTiesShare*(AE1102-1))/AE1102)</x:f>
        <x:v>1</x:v>
      </x:c>
      <x:c r="AI1102" s="32" t="n">
        <x:f>(Z1102+v01_ElderCommons*INDEX(LM_Elder,G1102)*AA1102)*AH1102</x:f>
        <x:v>5321.342342575631</x:v>
      </x:c>
      <x:c r="AJ1102" s="32" t="n">
        <x:f>H1102*v01_CommonsCoef*AI1102^v01_CommonsExp*INDEX(LM_Commons,G1102)</x:f>
        <x:v>1170.9789677938988</x:v>
      </x:c>
      <x:c r="AK1102" s="32" t="n">
        <x:f>H1102*v01_RoleScale*Arch_Roles*(AE1102*(INDEX(v01_ElderRolePerSett,G1102)*v01_OutElder*INDEX(LM_Elder,G1102)+INDEX(v01_ShamanPerSett,G1102)*v01_OutShaman)+Z1102*(INDEX(v01_PriestShare,G1102)*v01_OutPriest+INDEX(v01_ScribeShare,G1102)*v01_OutScribe*INDEX(LM_Scribe,G1102)+INDEX(v01_ScholarShare,G1102)*v01_OutScholar*INDEX(LM_Scholar,G1102)+INDEX(v01_ResearcherShare,G1102)*v01_OutResearcher*INDEX(LM_Researcher,G1102)))</x:f>
        <x:v>221.07457136190652</x:v>
      </x:c>
      <x:c r="AL1102" s="32" t="n">
        <x:f>H1102*v01_RoleScale*Arch_Roles*AE1102*INDEX(v01_MonasteryPerSett,G1102)*v01_OutMonastery*INDEX(LM_Monastery,G1102)</x:f>
        <x:v>5.034282471216728</x:v>
      </x:c>
      <x:c r="AM1102" s="32" t="n">
        <x:f>(AJ1102+AK1102+AL1102)/4*INDEX(LM_All,G1102)*INDEX(v01_Boon,G1102)*Arch_Insight</x:f>
        <x:v>503.44079365641926</x:v>
      </x:c>
      <x:c r="AN1102" s="32" t="n">
        <x:f>H1102*(v01_KHPerAdult*Z1102+v01_KHOfCommons*AJ1102/4*INDEX(LM_All,G1102))*v01_KHUsable*Arch_KH</x:f>
        <x:v>84.02512681614694</x:v>
      </x:c>
      <x:c r="AO1102" s="32" t="n">
        <x:f>MIN(AP1101+AN1102,AM1102*v01_KHMaxRatio)</x:f>
        <x:v>84.02512681614694</x:v>
      </x:c>
      <x:c r="AP1102" s="32" t="n">
        <x:f>AP1101+AN1102-AO1102</x:f>
        <x:v>0</x:v>
      </x:c>
      <x:c r="AQ1102" s="32" t="n">
        <x:f>AM1102+AO1102</x:f>
        <x:v>587.4659204725662</x:v>
      </x:c>
      <x:c r="AR1102" s="10" t="n">
        <x:f>IF(H1102=1,INDEX(v01_Req,G1102),0)</x:f>
        <x:v>47951.22698</x:v>
      </x:c>
      <x:c r="AS1102" s="32" t="n">
        <x:f>IF(H1102=1,IF(E1102=1,AS1101-AR1101,AS1101)+AQ1102,0)</x:f>
        <x:v>36606.46561598447</x:v>
      </x:c>
      <x:c r="AT1102" s="11" t="n">
        <x:f>IF(AR1102&gt;0,MIN(1,AS1102/AR1102),1)</x:f>
        <x:v>0.7634104051446415</x:v>
      </x:c>
      <x:c r="AU1102" s="10" t="n">
        <x:f>AB1102/INDEX(v01_RepScale,G1102)</x:f>
        <x:v>225.56915485299135</x:v>
      </x:c>
      <x:c r="AV1102" s="32" t="n">
        <x:f>AM1102*60/v01_SeasonSeconds</x:f>
        <x:v>2013.763174625677</x:v>
      </x:c>
    </x:row>
    <x:row r="1103">
      <x:c r="A1103" s="8" t="n">
        <x:f>A1102+1</x:f>
        <x:v>1100</x:v>
      </x:c>
      <x:c r="B1103" s="9" t="n">
        <x:f>A1103*v01_SeasonSeconds/60</x:f>
        <x:v>275</x:v>
      </x:c>
      <x:c r="C1103" s="9" t="n">
        <x:f>A1103/4</x:f>
        <x:v>275</x:v>
      </x:c>
      <x:c r="D1103" s="8" t="n">
        <x:f>IF(MOD(A1103,4)=0,1,0)</x:f>
        <x:v>1</x:v>
      </x:c>
      <x:c r="E1103" s="8" t="n">
        <x:f>IF(AND(F1102&lt;=9,AS1102&gt;=AR1102),1,0)</x:f>
        <x:v>0</x:v>
      </x:c>
      <x:c r="F1103" s="8" t="n">
        <x:f>MIN(10,F1102+E1103)</x:f>
        <x:v>5</x:v>
      </x:c>
      <x:c r="G1103" s="8" t="n">
        <x:f>MIN(F1103,9)+1</x:f>
        <x:v>6</x:v>
      </x:c>
      <x:c r="H1103" s="8" t="n">
        <x:f>IF(F1103&lt;=9,1,0)</x:f>
        <x:v>1</x:v>
      </x:c>
      <x:c r="I1103" s="9" t="n">
        <x:f>MIN(10,F1102+IF(AR1102&gt;0,MIN(1,AS1102/AR1102),1))</x:f>
        <x:v>5.763410405144642</x:v>
      </x:c>
      <x:c r="J1103" s="32" t="n">
        <x:f>INDEX(v01_FoodCap,G1103)*Arch_FoodCap*EXP(v01_CapsByProject*SUMPRODUCT((Cap_Point&lt;=I1103)*(Cap_Kind="Food")*Cap_Ln))</x:f>
        <x:v>500</x:v>
      </x:c>
      <x:c r="K1103" s="32" t="n">
        <x:f>J1103*MIN(1,v01_LeanBase*EXP(v01_CapsByProject*SUMPRODUCT((Cap_Point&lt;=I1103)*(Cap_Kind="Lean")*Cap_Ln)))</x:f>
        <x:v>500</x:v>
      </x:c>
      <x:c r="L1103" s="10" t="n">
        <x:f>INDEX(v01_HousingCap,G1103)*EXP(v01_CapsByProject*SUMPRODUCT((Cap_Point&lt;=I1103)*(Cap_Kind="Housing")*Cap_Ln))</x:f>
        <x:v>800</x:v>
      </x:c>
      <x:c r="M1103" s="10" t="n">
        <x:f>INDEX(v01_GroupCap,G1103)*v01_CohesionFactor*EXP(v01_CapsByProject*SUMPRODUCT((Cap_Point&lt;=I1103)*(Cap_Kind="Group")*Cap_Ln))</x:f>
        <x:v>10000</x:v>
      </x:c>
      <x:c r="N1103" s="32" t="n">
        <x:f>MIN(J1103,L1103,M1103)</x:f>
        <x:v>500</x:v>
      </x:c>
      <x:c r="O1103" s="10" t="n">
        <x:f>AE1102*N1103</x:f>
        <x:v>8000</x:v>
      </x:c>
      <x:c r="P1103" s="9" t="n">
        <x:f>MIN(1,(AB1102/(AE1102*IF(v01_GroupInCrowding=1,N1103,MIN(J1103,L1103))))^v01_CrowdingExp)</x:f>
        <x:v>0.12268130985842647</x:v>
      </x:c>
      <x:c r="Q1103" s="9" t="n">
        <x:f>IF(D1103=1,INDEX(v01_WinterMult,G1103),1)</x:f>
        <x:v>1</x:v>
      </x:c>
      <x:c r="R1103" s="9" t="n">
        <x:f>H1103*Z1102*v01_WomenShare*v01_BaseFertility*INDEX(v01_FertMult,G1103)*Arch_Fertility*(1-P1103)</x:f>
        <x:v>69.50442481461755</x:v>
      </x:c>
      <x:c r="S1103" s="9" t="n">
        <x:f>H1103*Y1102*INDEX(v01_MortChild,G1103)/4*Q1103</x:f>
        <x:v>14.798431205867871</x:v>
      </x:c>
      <x:c r="T1103" s="9" t="n">
        <x:f>H1103*Z1102*INDEX(v01_MortAdult,G1103)*Arch_AdultMort/4*Q1103</x:f>
        <x:v>6.001794772581924</x:v>
      </x:c>
      <x:c r="U1103" s="9" t="n">
        <x:f>H1103*AA1102*INDEX(v01_MortElder,G1103)/4*Q1103</x:f>
        <x:v>13.06142954029731</x:v>
      </x:c>
      <x:c r="V1103" s="9" t="n">
        <x:f>H1103*MAX(0,AB1102-O1103)*v01_OvercapLoss</x:f>
        <x:v>0</x:v>
      </x:c>
      <x:c r="W1103" s="9" t="n">
        <x:f>H1103*Y1102/(v01_ChildYears*4)</x:f>
        <x:v>42.281232016765344</x:v>
      </x:c>
      <x:c r="X1103" s="9" t="n">
        <x:f>H1103*Z1102/(v01_AdultYears*4)</x:f>
        <x:v>19.360628298651367</x:v>
      </x:c>
      <x:c r="Y1103" s="32" t="n">
        <x:f>Y1102+R1103-S1103-W1103-Y1102*V1103/AB1102</x:f>
        <x:v>2380.173754530844</x:v>
      </x:c>
      <x:c r="Z1103" s="32" t="n">
        <x:f>Z1102+W1103-X1103-T1103-Z1102*V1103/AB1102</x:f>
        <x:v>2417.6367179783015</x:v>
      </x:c>
      <x:c r="AA1103" s="32" t="n">
        <x:f>AA1102+X1103-U1103-AA1102*V1103/AB1102</x:f>
        <x:v>877.061168111508</x:v>
      </x:c>
      <x:c r="AB1103" s="10" t="n">
        <x:f>Y1103+Z1103+AA1103</x:f>
        <x:v>5674.871640620653</x:v>
      </x:c>
      <x:c r="AC1103" s="8" t="n">
        <x:f>IF(AND(v01_WinterTrigger=1,D1103=1,AB1102/AE1102&gt;=K1103),1,0)</x:f>
        <x:v>0</x:v>
      </x:c>
      <x:c r="AD1103" s="8" t="n">
        <x:f>H1103*IF(AND(OR(AB1102/AE1102&gt;=v01_FissionTrigger*N1103,AC1103=1),AB1102/AE1102*v01_DaughterShare&gt;=v01_MinDaughter),MAX(1,ROUND(AE1102*v01_FissionRate,0)),0)</x:f>
        <x:v>0</x:v>
      </x:c>
      <x:c r="AE1103" s="8" t="n">
        <x:f>IF(H1103=1,MAX(1,MIN(INDEX(v01_Smax,G1103),AE1102+AD1103)),AE1102)</x:f>
        <x:v>16</x:v>
      </x:c>
      <x:c r="AF1103" s="8" t="n">
        <x:f>MAX(0,AE1103-AE1102)</x:f>
        <x:v>0</x:v>
      </x:c>
      <x:c r="AG1103" s="9" t="str">
        <x:f>IF(AF1103&gt;0,B1103,"")</x:f>
      </x:c>
      <x:c r="AH1103" s="9" t="n">
        <x:f>IF(F1103&gt;=1,1,(1+v01_LowTiesShare*(AE1103-1))/AE1103)</x:f>
        <x:v>1</x:v>
      </x:c>
      <x:c r="AI1103" s="32" t="n">
        <x:f>(Z1103+v01_ElderCommons*INDEX(LM_Elder,G1103)*AA1103)*AH1103</x:f>
        <x:v>5359.389306462355</x:v>
      </x:c>
      <x:c r="AJ1103" s="32" t="n">
        <x:f>H1103*v01_CommonsCoef*AI1103^v01_CommonsExp*INDEX(LM_Commons,G1103)</x:f>
        <x:v>1178.0916681660726</x:v>
      </x:c>
      <x:c r="AK1103" s="32" t="n">
        <x:f>H1103*v01_RoleScale*Arch_Roles*(AE1103*(INDEX(v01_ElderRolePerSett,G1103)*v01_OutElder*INDEX(LM_Elder,G1103)+INDEX(v01_ShamanPerSett,G1103)*v01_OutShaman)+Z1103*(INDEX(v01_PriestShare,G1103)*v01_OutPriest+INDEX(v01_ScribeShare,G1103)*v01_OutScribe*INDEX(LM_Scribe,G1103)+INDEX(v01_ScholarShare,G1103)*v01_OutScholar*INDEX(LM_Scholar,G1103)+INDEX(v01_ResearcherShare,G1103)*v01_OutResearcher*INDEX(LM_Researcher,G1103)))</x:f>
        <x:v>222.2743323697497</x:v>
      </x:c>
      <x:c r="AL1103" s="32" t="n">
        <x:f>H1103*v01_RoleScale*Arch_Roles*AE1103*INDEX(v01_MonasteryPerSett,G1103)*v01_OutMonastery*INDEX(LM_Monastery,G1103)</x:f>
        <x:v>5.034282471216728</x:v>
      </x:c>
      <x:c r="AM1103" s="32" t="n">
        <x:f>(AJ1103+AK1103+AL1103)/4*INDEX(LM_All,G1103)*INDEX(v01_Boon,G1103)*Arch_Insight</x:f>
        <x:v>506.43619028762066</x:v>
      </x:c>
      <x:c r="AN1103" s="32" t="n">
        <x:f>H1103*(v01_KHPerAdult*Z1103+v01_KHOfCommons*AJ1103/4*INDEX(LM_All,G1103))*v01_KHUsable*Arch_KH</x:f>
        <x:v>84.61728512924056</x:v>
      </x:c>
      <x:c r="AO1103" s="32" t="n">
        <x:f>MIN(AP1102+AN1103,AM1103*v01_KHMaxRatio)</x:f>
        <x:v>84.61728512924056</x:v>
      </x:c>
      <x:c r="AP1103" s="32" t="n">
        <x:f>AP1102+AN1103-AO1103</x:f>
        <x:v>0</x:v>
      </x:c>
      <x:c r="AQ1103" s="32" t="n">
        <x:f>AM1103+AO1103</x:f>
        <x:v>591.0534754168613</x:v>
      </x:c>
      <x:c r="AR1103" s="10" t="n">
        <x:f>IF(H1103=1,INDEX(v01_Req,G1103),0)</x:f>
        <x:v>47951.22698</x:v>
      </x:c>
      <x:c r="AS1103" s="32" t="n">
        <x:f>IF(H1103=1,IF(E1103=1,AS1102-AR1102,AS1102)+AQ1103,0)</x:f>
        <x:v>37197.51909140133</x:v>
      </x:c>
      <x:c r="AT1103" s="11" t="n">
        <x:f>IF(AR1103&gt;0,MIN(1,AS1103/AR1103),1)</x:f>
        <x:v>0.7757365438618715</x:v>
      </x:c>
      <x:c r="AU1103" s="10" t="n">
        <x:f>AB1103/INDEX(v01_RepScale,G1103)</x:f>
        <x:v>226.99486562482613</x:v>
      </x:c>
      <x:c r="AV1103" s="32" t="n">
        <x:f>AM1103*60/v01_SeasonSeconds</x:f>
        <x:v>2025.7447611504826</x:v>
      </x:c>
    </x:row>
    <x:row r="1104">
      <x:c r="A1104" s="8" t="n">
        <x:f>A1103+1</x:f>
        <x:v>1101</x:v>
      </x:c>
      <x:c r="B1104" s="9" t="n">
        <x:f>A1104*v01_SeasonSeconds/60</x:f>
        <x:v>275.25</x:v>
      </x:c>
      <x:c r="C1104" s="9" t="n">
        <x:f>A1104/4</x:f>
        <x:v>275.25</x:v>
      </x:c>
      <x:c r="D1104" s="8" t="n">
        <x:f>IF(MOD(A1104,4)=0,1,0)</x:f>
        <x:v>0</x:v>
      </x:c>
      <x:c r="E1104" s="8" t="n">
        <x:f>IF(AND(F1103&lt;=9,AS1103&gt;=AR1103),1,0)</x:f>
        <x:v>0</x:v>
      </x:c>
      <x:c r="F1104" s="8" t="n">
        <x:f>MIN(10,F1103+E1104)</x:f>
        <x:v>5</x:v>
      </x:c>
      <x:c r="G1104" s="8" t="n">
        <x:f>MIN(F1104,9)+1</x:f>
        <x:v>6</x:v>
      </x:c>
      <x:c r="H1104" s="8" t="n">
        <x:f>IF(F1104&lt;=9,1,0)</x:f>
        <x:v>1</x:v>
      </x:c>
      <x:c r="I1104" s="9" t="n">
        <x:f>MIN(10,F1103+IF(AR1103&gt;0,MIN(1,AS1103/AR1103),1))</x:f>
        <x:v>5.775736543861871</x:v>
      </x:c>
      <x:c r="J1104" s="32" t="n">
        <x:f>INDEX(v01_FoodCap,G1104)*Arch_FoodCap*EXP(v01_CapsByProject*SUMPRODUCT((Cap_Point&lt;=I1104)*(Cap_Kind="Food")*Cap_Ln))</x:f>
        <x:v>500</x:v>
      </x:c>
      <x:c r="K1104" s="32" t="n">
        <x:f>J1104*MIN(1,v01_LeanBase*EXP(v01_CapsByProject*SUMPRODUCT((Cap_Point&lt;=I1104)*(Cap_Kind="Lean")*Cap_Ln)))</x:f>
        <x:v>500</x:v>
      </x:c>
      <x:c r="L1104" s="10" t="n">
        <x:f>INDEX(v01_HousingCap,G1104)*EXP(v01_CapsByProject*SUMPRODUCT((Cap_Point&lt;=I1104)*(Cap_Kind="Housing")*Cap_Ln))</x:f>
        <x:v>800</x:v>
      </x:c>
      <x:c r="M1104" s="10" t="n">
        <x:f>INDEX(v01_GroupCap,G1104)*v01_CohesionFactor*EXP(v01_CapsByProject*SUMPRODUCT((Cap_Point&lt;=I1104)*(Cap_Kind="Group")*Cap_Ln))</x:f>
        <x:v>10000</x:v>
      </x:c>
      <x:c r="N1104" s="32" t="n">
        <x:f>MIN(J1104,L1104,M1104)</x:f>
        <x:v>500</x:v>
      </x:c>
      <x:c r="O1104" s="10" t="n">
        <x:f>AE1103*N1104</x:f>
        <x:v>8000</x:v>
      </x:c>
      <x:c r="P1104" s="9" t="n">
        <x:f>MIN(1,(AB1103/(AE1103*IF(v01_GroupInCrowding=1,N1104,MIN(J1104,L1104))))^v01_CrowdingExp)</x:f>
        <x:v>0.1274078931940475</x:v>
      </x:c>
      <x:c r="Q1104" s="9" t="n">
        <x:f>IF(D1104=1,INDEX(v01_WinterMult,G1104),1)</x:f>
        <x:v>1</x:v>
      </x:c>
      <x:c r="R1104" s="9" t="n">
        <x:f>H1104*Z1103*v01_WomenShare*v01_BaseFertility*INDEX(v01_FertMult,G1104)*Arch_Fertility*(1-P1104)</x:f>
        <x:v>69.61715366865978</x:v>
      </x:c>
      <x:c r="S1104" s="9" t="n">
        <x:f>H1104*Y1103*INDEX(v01_MortChild,G1104)/4*Q1104</x:f>
        <x:v>14.876085965817774</x:v>
      </x:c>
      <x:c r="T1104" s="9" t="n">
        <x:f>H1104*Z1103*INDEX(v01_MortAdult,G1104)*Arch_AdultMort/4*Q1104</x:f>
        <x:v>6.0440917949457535</x:v>
      </x:c>
      <x:c r="U1104" s="9" t="n">
        <x:f>H1104*AA1103*INDEX(v01_MortElder,G1104)/4*Q1104</x:f>
        <x:v>13.155917521672619</x:v>
      </x:c>
      <x:c r="V1104" s="9" t="n">
        <x:f>H1104*MAX(0,AB1103-O1104)*v01_OvercapLoss</x:f>
        <x:v>0</x:v>
      </x:c>
      <x:c r="W1104" s="9" t="n">
        <x:f>H1104*Y1103/(v01_ChildYears*4)</x:f>
        <x:v>42.503102759479354</x:v>
      </x:c>
      <x:c r="X1104" s="9" t="n">
        <x:f>H1104*Z1103/(v01_AdultYears*4)</x:f>
        <x:v>19.497070306276626</x:v>
      </x:c>
      <x:c r="Y1104" s="32" t="n">
        <x:f>Y1103+R1104-S1104-W1104-Y1103*V1104/AB1103</x:f>
        <x:v>2392.4117194742066</x:v>
      </x:c>
      <x:c r="Z1104" s="32" t="n">
        <x:f>Z1103+W1104-X1104-T1104-Z1103*V1104/AB1103</x:f>
        <x:v>2434.598658636558</x:v>
      </x:c>
      <x:c r="AA1104" s="32" t="n">
        <x:f>AA1103+X1104-U1104-AA1103*V1104/AB1103</x:f>
        <x:v>883.4023208961121</x:v>
      </x:c>
      <x:c r="AB1104" s="10" t="n">
        <x:f>Y1104+Z1104+AA1104</x:f>
        <x:v>5710.412699006876</x:v>
      </x:c>
      <x:c r="AC1104" s="8" t="n">
        <x:f>IF(AND(v01_WinterTrigger=1,D1104=1,AB1103/AE1103&gt;=K1104),1,0)</x:f>
        <x:v>0</x:v>
      </x:c>
      <x:c r="AD1104" s="8" t="n">
        <x:f>H1104*IF(AND(OR(AB1103/AE1103&gt;=v01_FissionTrigger*N1104,AC1104=1),AB1103/AE1103*v01_DaughterShare&gt;=v01_MinDaughter),MAX(1,ROUND(AE1103*v01_FissionRate,0)),0)</x:f>
        <x:v>0</x:v>
      </x:c>
      <x:c r="AE1104" s="8" t="n">
        <x:f>IF(H1104=1,MAX(1,MIN(INDEX(v01_Smax,G1104),AE1103+AD1104)),AE1103)</x:f>
        <x:v>16</x:v>
      </x:c>
      <x:c r="AF1104" s="8" t="n">
        <x:f>MAX(0,AE1104-AE1103)</x:f>
        <x:v>0</x:v>
      </x:c>
      <x:c r="AG1104" s="9" t="str">
        <x:f>IF(AF1104&gt;0,B1104,"")</x:f>
      </x:c>
      <x:c r="AH1104" s="9" t="n">
        <x:f>IF(F1104&gt;=1,1,(1+v01_LowTiesShare*(AE1104-1))/AE1104)</x:f>
        <x:v>1</x:v>
      </x:c>
      <x:c r="AI1104" s="32" t="n">
        <x:f>(Z1104+v01_ElderCommons*INDEX(LM_Elder,G1104)*AA1104)*AH1104</x:f>
        <x:v>5397.6201201437425</x:v>
      </x:c>
      <x:c r="AJ1104" s="32" t="n">
        <x:f>H1104*v01_CommonsCoef*AI1104^v01_CommonsExp*INDEX(LM_Commons,G1104)</x:f>
        <x:v>1185.2311134037643</x:v>
      </x:c>
      <x:c r="AK1104" s="32" t="n">
        <x:f>H1104*v01_RoleScale*Arch_Roles*(AE1104*(INDEX(v01_ElderRolePerSett,G1104)*v01_OutElder*INDEX(LM_Elder,G1104)+INDEX(v01_ShamanPerSett,G1104)*v01_OutShaman)+Z1104*(INDEX(v01_PriestShare,G1104)*v01_OutPriest+INDEX(v01_ScribeShare,G1104)*v01_OutScribe*INDEX(LM_Scribe,G1104)+INDEX(v01_ScholarShare,G1104)*v01_OutScholar*INDEX(LM_Scholar,G1104)+INDEX(v01_ResearcherShare,G1104)*v01_OutResearcher*INDEX(LM_Researcher,G1104)))</x:f>
        <x:v>223.47715197038707</x:v>
      </x:c>
      <x:c r="AL1104" s="32" t="n">
        <x:f>H1104*v01_RoleScale*Arch_Roles*AE1104*INDEX(v01_MonasteryPerSett,G1104)*v01_OutMonastery*INDEX(LM_Monastery,G1104)</x:f>
        <x:v>5.034282471216728</x:v>
      </x:c>
      <x:c r="AM1104" s="32" t="n">
        <x:f>(AJ1104+AK1104+AL1104)/4*INDEX(LM_All,G1104)*INDEX(v01_Boon,G1104)*Arch_Insight</x:f>
        <x:v>509.4423265992301</x:v>
      </x:c>
      <x:c r="AN1104" s="32" t="n">
        <x:f>H1104*(v01_KHPerAdult*Z1104+v01_KHOfCommons*AJ1104/4*INDEX(LM_All,G1104))*v01_KHUsable*Arch_KH</x:f>
        <x:v>85.21095305227952</x:v>
      </x:c>
      <x:c r="AO1104" s="32" t="n">
        <x:f>MIN(AP1103+AN1104,AM1104*v01_KHMaxRatio)</x:f>
        <x:v>85.21095305227952</x:v>
      </x:c>
      <x:c r="AP1104" s="32" t="n">
        <x:f>AP1103+AN1104-AO1104</x:f>
        <x:v>0</x:v>
      </x:c>
      <x:c r="AQ1104" s="32" t="n">
        <x:f>AM1104+AO1104</x:f>
        <x:v>594.6532796515096</x:v>
      </x:c>
      <x:c r="AR1104" s="10" t="n">
        <x:f>IF(H1104=1,INDEX(v01_Req,G1104),0)</x:f>
        <x:v>47951.22698</x:v>
      </x:c>
      <x:c r="AS1104" s="32" t="n">
        <x:f>IF(H1104=1,IF(E1104=1,AS1103-AR1103,AS1103)+AQ1104,0)</x:f>
        <x:v>37792.17237105284</x:v>
      </x:c>
      <x:c r="AT1104" s="11" t="n">
        <x:f>IF(AR1104&gt;0,MIN(1,AS1104/AR1104),1)</x:f>
        <x:v>0.7881377547818661</x:v>
      </x:c>
      <x:c r="AU1104" s="10" t="n">
        <x:f>AB1104/INDEX(v01_RepScale,G1104)</x:f>
        <x:v>228.41650796027506</x:v>
      </x:c>
      <x:c r="AV1104" s="32" t="n">
        <x:f>AM1104*60/v01_SeasonSeconds</x:f>
        <x:v>2037.7693063969205</x:v>
      </x:c>
    </x:row>
    <x:row r="1105">
      <x:c r="A1105" s="8" t="n">
        <x:f>A1104+1</x:f>
        <x:v>1102</x:v>
      </x:c>
      <x:c r="B1105" s="9" t="n">
        <x:f>A1105*v01_SeasonSeconds/60</x:f>
        <x:v>275.5</x:v>
      </x:c>
      <x:c r="C1105" s="9" t="n">
        <x:f>A1105/4</x:f>
        <x:v>275.5</x:v>
      </x:c>
      <x:c r="D1105" s="8" t="n">
        <x:f>IF(MOD(A1105,4)=0,1,0)</x:f>
        <x:v>0</x:v>
      </x:c>
      <x:c r="E1105" s="8" t="n">
        <x:f>IF(AND(F1104&lt;=9,AS1104&gt;=AR1104),1,0)</x:f>
        <x:v>0</x:v>
      </x:c>
      <x:c r="F1105" s="8" t="n">
        <x:f>MIN(10,F1104+E1105)</x:f>
        <x:v>5</x:v>
      </x:c>
      <x:c r="G1105" s="8" t="n">
        <x:f>MIN(F1105,9)+1</x:f>
        <x:v>6</x:v>
      </x:c>
      <x:c r="H1105" s="8" t="n">
        <x:f>IF(F1105&lt;=9,1,0)</x:f>
        <x:v>1</x:v>
      </x:c>
      <x:c r="I1105" s="9" t="n">
        <x:f>MIN(10,F1104+IF(AR1104&gt;0,MIN(1,AS1104/AR1104),1))</x:f>
        <x:v>5.788137754781866</x:v>
      </x:c>
      <x:c r="J1105" s="32" t="n">
        <x:f>INDEX(v01_FoodCap,G1105)*Arch_FoodCap*EXP(v01_CapsByProject*SUMPRODUCT((Cap_Point&lt;=I1105)*(Cap_Kind="Food")*Cap_Ln))</x:f>
        <x:v>500</x:v>
      </x:c>
      <x:c r="K1105" s="32" t="n">
        <x:f>J1105*MIN(1,v01_LeanBase*EXP(v01_CapsByProject*SUMPRODUCT((Cap_Point&lt;=I1105)*(Cap_Kind="Lean")*Cap_Ln)))</x:f>
        <x:v>500</x:v>
      </x:c>
      <x:c r="L1105" s="10" t="n">
        <x:f>INDEX(v01_HousingCap,G1105)*EXP(v01_CapsByProject*SUMPRODUCT((Cap_Point&lt;=I1105)*(Cap_Kind="Housing")*Cap_Ln))</x:f>
        <x:v>800</x:v>
      </x:c>
      <x:c r="M1105" s="10" t="n">
        <x:f>INDEX(v01_GroupCap,G1105)*v01_CohesionFactor*EXP(v01_CapsByProject*SUMPRODUCT((Cap_Point&lt;=I1105)*(Cap_Kind="Group")*Cap_Ln))</x:f>
        <x:v>10000</x:v>
      </x:c>
      <x:c r="N1105" s="32" t="n">
        <x:f>MIN(J1105,L1105,M1105)</x:f>
        <x:v>500</x:v>
      </x:c>
      <x:c r="O1105" s="10" t="n">
        <x:f>AE1104*N1105</x:f>
        <x:v>8000</x:v>
      </x:c>
      <x:c r="P1105" s="9" t="n">
        <x:f>MIN(1,(AB1104/(AE1104*IF(v01_GroupInCrowding=1,N1105,MIN(J1105,L1105))))^v01_CrowdingExp)</x:f>
        <x:v>0.13227112779218084</x:v>
      </x:c>
      <x:c r="Q1105" s="9" t="n">
        <x:f>IF(D1105=1,INDEX(v01_WinterMult,G1105),1)</x:f>
        <x:v>1</x:v>
      </x:c>
      <x:c r="R1105" s="9" t="n">
        <x:f>H1105*Z1104*v01_WomenShare*v01_BaseFertility*INDEX(v01_FertMult,G1105)*Arch_Fertility*(1-P1105)</x:f>
        <x:v>69.7148610951332</x:v>
      </x:c>
      <x:c r="S1105" s="9" t="n">
        <x:f>H1105*Y1104*INDEX(v01_MortChild,G1105)/4*Q1105</x:f>
        <x:v>14.952573246713792</x:v>
      </x:c>
      <x:c r="T1105" s="9" t="n">
        <x:f>H1105*Z1104*INDEX(v01_MortAdult,G1105)*Arch_AdultMort/4*Q1105</x:f>
        <x:v>6.086496646591395</x:v>
      </x:c>
      <x:c r="U1105" s="9" t="n">
        <x:f>H1105*AA1104*INDEX(v01_MortElder,G1105)/4*Q1105</x:f>
        <x:v>13.25103481344168</x:v>
      </x:c>
      <x:c r="V1105" s="9" t="n">
        <x:f>H1105*MAX(0,AB1104-O1105)*v01_OvercapLoss</x:f>
        <x:v>0</x:v>
      </x:c>
      <x:c r="W1105" s="9" t="n">
        <x:f>H1105*Y1104/(v01_ChildYears*4)</x:f>
        <x:v>42.72163784775369</x:v>
      </x:c>
      <x:c r="X1105" s="9" t="n">
        <x:f>H1105*Z1104/(v01_AdultYears*4)</x:f>
        <x:v>19.633860150294822</x:v>
      </x:c>
      <x:c r="Y1105" s="32" t="n">
        <x:f>Y1104+R1105-S1105-W1105-Y1104*V1105/AB1104</x:f>
        <x:v>2404.4523694748723</x:v>
      </x:c>
      <x:c r="Z1105" s="32" t="n">
        <x:f>Z1104+W1105-X1105-T1105-Z1104*V1105/AB1104</x:f>
        <x:v>2451.5999396874254</x:v>
      </x:c>
      <x:c r="AA1105" s="32" t="n">
        <x:f>AA1104+X1105-U1105-AA1104*V1105/AB1104</x:f>
        <x:v>889.7851462329652</x:v>
      </x:c>
      <x:c r="AB1105" s="10" t="n">
        <x:f>Y1105+Z1105+AA1105</x:f>
        <x:v>5745.8374553952635</x:v>
      </x:c>
      <x:c r="AC1105" s="8" t="n">
        <x:f>IF(AND(v01_WinterTrigger=1,D1105=1,AB1104/AE1104&gt;=K1105),1,0)</x:f>
        <x:v>0</x:v>
      </x:c>
      <x:c r="AD1105" s="8" t="n">
        <x:f>H1105*IF(AND(OR(AB1104/AE1104&gt;=v01_FissionTrigger*N1105,AC1105=1),AB1104/AE1104*v01_DaughterShare&gt;=v01_MinDaughter),MAX(1,ROUND(AE1104*v01_FissionRate,0)),0)</x:f>
        <x:v>0</x:v>
      </x:c>
      <x:c r="AE1105" s="8" t="n">
        <x:f>IF(H1105=1,MAX(1,MIN(INDEX(v01_Smax,G1105),AE1104+AD1105)),AE1104)</x:f>
        <x:v>16</x:v>
      </x:c>
      <x:c r="AF1105" s="8" t="n">
        <x:f>MAX(0,AE1105-AE1104)</x:f>
        <x:v>0</x:v>
      </x:c>
      <x:c r="AG1105" s="9" t="str">
        <x:f>IF(AF1105&gt;0,B1105,"")</x:f>
      </x:c>
      <x:c r="AH1105" s="9" t="n">
        <x:f>IF(F1105&gt;=1,1,(1+v01_LowTiesShare*(AE1105-1))/AE1105)</x:f>
        <x:v>1</x:v>
      </x:c>
      <x:c r="AI1105" s="32" t="n">
        <x:f>(Z1105+v01_ElderCommons*INDEX(LM_Elder,G1105)*AA1105)*AH1105</x:f>
        <x:v>5436.030048207177</x:v>
      </x:c>
      <x:c r="AJ1105" s="32" t="n">
        <x:f>H1105*v01_CommonsCoef*AI1105^v01_CommonsExp*INDEX(LM_Commons,G1105)</x:f>
        <x:v>1192.3963730031933</x:v>
      </x:c>
      <x:c r="AK1105" s="32" t="n">
        <x:f>H1105*v01_RoleScale*Arch_Roles*(AE1105*(INDEX(v01_ElderRolePerSett,G1105)*v01_OutElder*INDEX(LM_Elder,G1105)+INDEX(v01_ShamanPerSett,G1105)*v01_OutShaman)+Z1105*(INDEX(v01_PriestShare,G1105)*v01_OutPriest+INDEX(v01_ScribeShare,G1105)*v01_OutScribe*INDEX(LM_Scribe,G1105)+INDEX(v01_ScholarShare,G1105)*v01_OutScholar*INDEX(LM_Scholar,G1105)+INDEX(v01_ResearcherShare,G1105)*v01_OutResearcher*INDEX(LM_Researcher,G1105)))</x:f>
        <x:v>224.68276131049373</x:v>
      </x:c>
      <x:c r="AL1105" s="32" t="n">
        <x:f>H1105*v01_RoleScale*Arch_Roles*AE1105*INDEX(v01_MonasteryPerSett,G1105)*v01_OutMonastery*INDEX(LM_Monastery,G1105)</x:f>
        <x:v>5.034282471216728</x:v>
      </x:c>
      <x:c r="AM1105" s="32" t="n">
        <x:f>(AJ1105+AK1105+AL1105)/4*INDEX(LM_All,G1105)*INDEX(v01_Boon,G1105)*Arch_Insight</x:f>
        <x:v>512.4587704027456</x:v>
      </x:c>
      <x:c r="AN1105" s="32" t="n">
        <x:f>H1105*(v01_KHPerAdult*Z1105+v01_KHOfCommons*AJ1105/4*INDEX(LM_All,G1105))*v01_KHUsable*Arch_KH</x:f>
        <x:v>85.8059978890599</x:v>
      </x:c>
      <x:c r="AO1105" s="32" t="n">
        <x:f>MIN(AP1104+AN1105,AM1105*v01_KHMaxRatio)</x:f>
        <x:v>85.8059978890599</x:v>
      </x:c>
      <x:c r="AP1105" s="32" t="n">
        <x:f>AP1104+AN1105-AO1105</x:f>
        <x:v>0</x:v>
      </x:c>
      <x:c r="AQ1105" s="32" t="n">
        <x:f>AM1105+AO1105</x:f>
        <x:v>598.2647682918055</x:v>
      </x:c>
      <x:c r="AR1105" s="10" t="n">
        <x:f>IF(H1105=1,INDEX(v01_Req,G1105),0)</x:f>
        <x:v>47951.22698</x:v>
      </x:c>
      <x:c r="AS1105" s="32" t="n">
        <x:f>IF(H1105=1,IF(E1105=1,AS1104-AR1104,AS1104)+AQ1105,0)</x:f>
        <x:v>38390.43713934464</x:v>
      </x:c>
      <x:c r="AT1105" s="11" t="n">
        <x:f>IF(AR1105&gt;0,MIN(1,AS1105/AR1105),1)</x:f>
        <x:v>0.8006142815773396</x:v>
      </x:c>
      <x:c r="AU1105" s="10" t="n">
        <x:f>AB1105/INDEX(v01_RepScale,G1105)</x:f>
        <x:v>229.83349821581055</x:v>
      </x:c>
      <x:c r="AV1105" s="32" t="n">
        <x:f>AM1105*60/v01_SeasonSeconds</x:f>
        <x:v>2049.8350816109823</x:v>
      </x:c>
    </x:row>
    <x:row r="1106">
      <x:c r="A1106" s="8" t="n">
        <x:f>A1105+1</x:f>
        <x:v>1103</x:v>
      </x:c>
      <x:c r="B1106" s="9" t="n">
        <x:f>A1106*v01_SeasonSeconds/60</x:f>
        <x:v>275.75</x:v>
      </x:c>
      <x:c r="C1106" s="9" t="n">
        <x:f>A1106/4</x:f>
        <x:v>275.75</x:v>
      </x:c>
      <x:c r="D1106" s="8" t="n">
        <x:f>IF(MOD(A1106,4)=0,1,0)</x:f>
        <x:v>0</x:v>
      </x:c>
      <x:c r="E1106" s="8" t="n">
        <x:f>IF(AND(F1105&lt;=9,AS1105&gt;=AR1105),1,0)</x:f>
        <x:v>0</x:v>
      </x:c>
      <x:c r="F1106" s="8" t="n">
        <x:f>MIN(10,F1105+E1106)</x:f>
        <x:v>5</x:v>
      </x:c>
      <x:c r="G1106" s="8" t="n">
        <x:f>MIN(F1106,9)+1</x:f>
        <x:v>6</x:v>
      </x:c>
      <x:c r="H1106" s="8" t="n">
        <x:f>IF(F1106&lt;=9,1,0)</x:f>
        <x:v>1</x:v>
      </x:c>
      <x:c r="I1106" s="9" t="n">
        <x:f>MIN(10,F1105+IF(AR1105&gt;0,MIN(1,AS1105/AR1105),1))</x:f>
        <x:v>5.80061428157734</x:v>
      </x:c>
      <x:c r="J1106" s="32" t="n">
        <x:f>INDEX(v01_FoodCap,G1106)*Arch_FoodCap*EXP(v01_CapsByProject*SUMPRODUCT((Cap_Point&lt;=I1106)*(Cap_Kind="Food")*Cap_Ln))</x:f>
        <x:v>500</x:v>
      </x:c>
      <x:c r="K1106" s="32" t="n">
        <x:f>J1106*MIN(1,v01_LeanBase*EXP(v01_CapsByProject*SUMPRODUCT((Cap_Point&lt;=I1106)*(Cap_Kind="Lean")*Cap_Ln)))</x:f>
        <x:v>500</x:v>
      </x:c>
      <x:c r="L1106" s="10" t="n">
        <x:f>INDEX(v01_HousingCap,G1106)*EXP(v01_CapsByProject*SUMPRODUCT((Cap_Point&lt;=I1106)*(Cap_Kind="Housing")*Cap_Ln))</x:f>
        <x:v>800</x:v>
      </x:c>
      <x:c r="M1106" s="10" t="n">
        <x:f>INDEX(v01_GroupCap,G1106)*v01_CohesionFactor*EXP(v01_CapsByProject*SUMPRODUCT((Cap_Point&lt;=I1106)*(Cap_Kind="Group")*Cap_Ln))</x:f>
        <x:v>10000</x:v>
      </x:c>
      <x:c r="N1106" s="32" t="n">
        <x:f>MIN(J1106,L1106,M1106)</x:f>
        <x:v>500</x:v>
      </x:c>
      <x:c r="O1106" s="10" t="n">
        <x:f>AE1105*N1106</x:f>
        <x:v>8000</x:v>
      </x:c>
      <x:c r="P1106" s="9" t="n">
        <x:f>MIN(1,(AB1105/(AE1105*IF(v01_GroupInCrowding=1,N1106,MIN(J1106,L1106))))^v01_CrowdingExp)</x:f>
        <x:v>0.13727140987268333</x:v>
      </x:c>
      <x:c r="Q1106" s="9" t="n">
        <x:f>IF(D1106=1,INDEX(v01_WinterMult,G1106),1)</x:f>
        <x:v>1</x:v>
      </x:c>
      <x:c r="R1106" s="9" t="n">
        <x:f>H1106*Z1105*v01_WomenShare*v01_BaseFertility*INDEX(v01_FertMult,G1106)*Arch_Fertility*(1-P1106)</x:f>
        <x:v>69.79715686425067</x:v>
      </x:c>
      <x:c r="S1106" s="9" t="n">
        <x:f>H1106*Y1105*INDEX(v01_MortChild,G1106)/4*Q1106</x:f>
        <x:v>15.027827309217953</x:v>
      </x:c>
      <x:c r="T1106" s="9" t="n">
        <x:f>H1106*Z1105*INDEX(v01_MortAdult,G1106)*Arch_AdultMort/4*Q1106</x:f>
        <x:v>6.128999849218563</x:v>
      </x:c>
      <x:c r="U1106" s="9" t="n">
        <x:f>H1106*AA1105*INDEX(v01_MortElder,G1106)/4*Q1106</x:f>
        <x:v>13.346777193494477</x:v>
      </x:c>
      <x:c r="V1106" s="9" t="n">
        <x:f>H1106*MAX(0,AB1105-O1106)*v01_OvercapLoss</x:f>
        <x:v>0</x:v>
      </x:c>
      <x:c r="W1106" s="9" t="n">
        <x:f>H1106*Y1105/(v01_ChildYears*4)</x:f>
        <x:v>42.936649454908434</x:v>
      </x:c>
      <x:c r="X1106" s="9" t="n">
        <x:f>H1106*Z1105/(v01_AdultYears*4)</x:f>
        <x:v>19.770967255543752</x:v>
      </x:c>
      <x:c r="Y1106" s="32" t="n">
        <x:f>Y1105+R1106-S1106-W1106-Y1105*V1106/AB1105</x:f>
        <x:v>2416.2850495749963</x:v>
      </x:c>
      <x:c r="Z1106" s="32" t="n">
        <x:f>Z1105+W1106-X1106-T1106-Z1105*V1106/AB1105</x:f>
        <x:v>2468.6366220375717</x:v>
      </x:c>
      <x:c r="AA1106" s="32" t="n">
        <x:f>AA1105+X1106-U1106-AA1105*V1106/AB1105</x:f>
        <x:v>896.2093362950144</x:v>
      </x:c>
      <x:c r="AB1106" s="10" t="n">
        <x:f>Y1106+Z1106+AA1106</x:f>
        <x:v>5781.131007907583</x:v>
      </x:c>
      <x:c r="AC1106" s="8" t="n">
        <x:f>IF(AND(v01_WinterTrigger=1,D1106=1,AB1105/AE1105&gt;=K1106),1,0)</x:f>
        <x:v>0</x:v>
      </x:c>
      <x:c r="AD1106" s="8" t="n">
        <x:f>H1106*IF(AND(OR(AB1105/AE1105&gt;=v01_FissionTrigger*N1106,AC1106=1),AB1105/AE1105*v01_DaughterShare&gt;=v01_MinDaughter),MAX(1,ROUND(AE1105*v01_FissionRate,0)),0)</x:f>
        <x:v>0</x:v>
      </x:c>
      <x:c r="AE1106" s="8" t="n">
        <x:f>IF(H1106=1,MAX(1,MIN(INDEX(v01_Smax,G1106),AE1105+AD1106)),AE1105)</x:f>
        <x:v>16</x:v>
      </x:c>
      <x:c r="AF1106" s="8" t="n">
        <x:f>MAX(0,AE1106-AE1105)</x:f>
        <x:v>0</x:v>
      </x:c>
      <x:c r="AG1106" s="9" t="str">
        <x:f>IF(AF1106&gt;0,B1106,"")</x:f>
      </x:c>
      <x:c r="AH1106" s="9" t="n">
        <x:f>IF(F1106&gt;=1,1,(1+v01_LowTiesShare*(AE1106-1))/AE1106)</x:f>
        <x:v>1</x:v>
      </x:c>
      <x:c r="AI1106" s="32" t="n">
        <x:f>(Z1106+v01_ElderCommons*INDEX(LM_Elder,G1106)*AA1106)*AH1106</x:f>
        <x:v>5474.6141190760045</x:v>
      </x:c>
      <x:c r="AJ1106" s="32" t="n">
        <x:f>H1106*v01_CommonsCoef*AI1106^v01_CommonsExp*INDEX(LM_Commons,G1106)</x:f>
        <x:v>1199.586476535367</x:v>
      </x:c>
      <x:c r="AK1106" s="32" t="n">
        <x:f>H1106*v01_RoleScale*Arch_Roles*(AE1106*(INDEX(v01_ElderRolePerSett,G1106)*v01_OutElder*INDEX(LM_Elder,G1106)+INDEX(v01_ShamanPerSett,G1106)*v01_OutShaman)+Z1106*(INDEX(v01_PriestShare,G1106)*v01_OutPriest+INDEX(v01_ScribeShare,G1106)*v01_OutScribe*INDEX(LM_Scribe,G1106)+INDEX(v01_ScholarShare,G1106)*v01_OutScholar*INDEX(LM_Scholar,G1106)+INDEX(v01_ResearcherShare,G1106)*v01_OutResearcher*INDEX(LM_Researcher,G1106)))</x:f>
        <x:v>225.89088105772407</x:v>
      </x:c>
      <x:c r="AL1106" s="32" t="n">
        <x:f>H1106*v01_RoleScale*Arch_Roles*AE1106*INDEX(v01_MonasteryPerSett,G1106)*v01_OutMonastery*INDEX(LM_Monastery,G1106)</x:f>
        <x:v>5.034282471216728</x:v>
      </x:c>
      <x:c r="AM1106" s="32" t="n">
        <x:f>(AJ1106+AK1106+AL1106)/4*INDEX(LM_All,G1106)*INDEX(v01_Boon,G1106)*Arch_Insight</x:f>
        <x:v>515.4850713464923</x:v>
      </x:c>
      <x:c r="AN1106" s="32" t="n">
        <x:f>H1106*(v01_KHPerAdult*Z1106+v01_KHOfCommons*AJ1106/4*INDEX(LM_All,G1106))*v01_KHUsable*Arch_KH</x:f>
        <x:v>86.402281771315</x:v>
      </x:c>
      <x:c r="AO1106" s="32" t="n">
        <x:f>MIN(AP1105+AN1106,AM1106*v01_KHMaxRatio)</x:f>
        <x:v>86.402281771315</x:v>
      </x:c>
      <x:c r="AP1106" s="32" t="n">
        <x:f>AP1105+AN1106-AO1106</x:f>
        <x:v>0</x:v>
      </x:c>
      <x:c r="AQ1106" s="32" t="n">
        <x:f>AM1106+AO1106</x:f>
        <x:v>601.8873531178073</x:v>
      </x:c>
      <x:c r="AR1106" s="10" t="n">
        <x:f>IF(H1106=1,INDEX(v01_Req,G1106),0)</x:f>
        <x:v>47951.22698</x:v>
      </x:c>
      <x:c r="AS1106" s="32" t="n">
        <x:f>IF(H1106=1,IF(E1106=1,AS1105-AR1105,AS1105)+AQ1106,0)</x:f>
        <x:v>38992.32449246245</x:v>
      </x:c>
      <x:c r="AT1106" s="11" t="n">
        <x:f>IF(AR1106&gt;0,MIN(1,AS1106/AR1106),1)</x:f>
        <x:v>0.8131663556539602</x:v>
      </x:c>
      <x:c r="AU1106" s="10" t="n">
        <x:f>AB1106/INDEX(v01_RepScale,G1106)</x:f>
        <x:v>231.24524031630332</x:v>
      </x:c>
      <x:c r="AV1106" s="32" t="n">
        <x:f>AM1106*60/v01_SeasonSeconds</x:f>
        <x:v>2061.940285385969</x:v>
      </x:c>
    </x:row>
    <x:row r="1107">
      <x:c r="A1107" s="8" t="n">
        <x:f>A1106+1</x:f>
        <x:v>1104</x:v>
      </x:c>
      <x:c r="B1107" s="9" t="n">
        <x:f>A1107*v01_SeasonSeconds/60</x:f>
        <x:v>276</x:v>
      </x:c>
      <x:c r="C1107" s="9" t="n">
        <x:f>A1107/4</x:f>
        <x:v>276</x:v>
      </x:c>
      <x:c r="D1107" s="8" t="n">
        <x:f>IF(MOD(A1107,4)=0,1,0)</x:f>
        <x:v>1</x:v>
      </x:c>
      <x:c r="E1107" s="8" t="n">
        <x:f>IF(AND(F1106&lt;=9,AS1106&gt;=AR1106),1,0)</x:f>
        <x:v>0</x:v>
      </x:c>
      <x:c r="F1107" s="8" t="n">
        <x:f>MIN(10,F1106+E1107)</x:f>
        <x:v>5</x:v>
      </x:c>
      <x:c r="G1107" s="8" t="n">
        <x:f>MIN(F1107,9)+1</x:f>
        <x:v>6</x:v>
      </x:c>
      <x:c r="H1107" s="8" t="n">
        <x:f>IF(F1107&lt;=9,1,0)</x:f>
        <x:v>1</x:v>
      </x:c>
      <x:c r="I1107" s="9" t="n">
        <x:f>MIN(10,F1106+IF(AR1106&gt;0,MIN(1,AS1106/AR1106),1))</x:f>
        <x:v>5.81316635565396</x:v>
      </x:c>
      <x:c r="J1107" s="32" t="n">
        <x:f>INDEX(v01_FoodCap,G1107)*Arch_FoodCap*EXP(v01_CapsByProject*SUMPRODUCT((Cap_Point&lt;=I1107)*(Cap_Kind="Food")*Cap_Ln))</x:f>
        <x:v>500</x:v>
      </x:c>
      <x:c r="K1107" s="32" t="n">
        <x:f>J1107*MIN(1,v01_LeanBase*EXP(v01_CapsByProject*SUMPRODUCT((Cap_Point&lt;=I1107)*(Cap_Kind="Lean")*Cap_Ln)))</x:f>
        <x:v>500</x:v>
      </x:c>
      <x:c r="L1107" s="10" t="n">
        <x:f>INDEX(v01_HousingCap,G1107)*EXP(v01_CapsByProject*SUMPRODUCT((Cap_Point&lt;=I1107)*(Cap_Kind="Housing")*Cap_Ln))</x:f>
        <x:v>800</x:v>
      </x:c>
      <x:c r="M1107" s="10" t="n">
        <x:f>INDEX(v01_GroupCap,G1107)*v01_CohesionFactor*EXP(v01_CapsByProject*SUMPRODUCT((Cap_Point&lt;=I1107)*(Cap_Kind="Group")*Cap_Ln))</x:f>
        <x:v>10000</x:v>
      </x:c>
      <x:c r="N1107" s="32" t="n">
        <x:f>MIN(J1107,L1107,M1107)</x:f>
        <x:v>500</x:v>
      </x:c>
      <x:c r="O1107" s="10" t="n">
        <x:f>AE1106*N1107</x:f>
        <x:v>8000</x:v>
      </x:c>
      <x:c r="P1107" s="9" t="n">
        <x:f>MIN(1,(AB1106/(AE1106*IF(v01_GroupInCrowding=1,N1107,MIN(J1107,L1107))))^v01_CrowdingExp)</x:f>
        <x:v>0.14240883873328924</x:v>
      </x:c>
      <x:c r="Q1107" s="9" t="n">
        <x:f>IF(D1107=1,INDEX(v01_WinterMult,G1107),1)</x:f>
        <x:v>1</x:v>
      </x:c>
      <x:c r="R1107" s="9" t="n">
        <x:f>H1107*Z1106*v01_WomenShare*v01_BaseFertility*INDEX(v01_FertMult,G1107)*Arch_Fertility*(1-P1107)</x:f>
        <x:v>69.86367126547813</x:v>
      </x:c>
      <x:c r="S1107" s="9" t="n">
        <x:f>H1107*Y1106*INDEX(v01_MortChild,G1107)/4*Q1107</x:f>
        <x:v>15.101781559843728</x:v>
      </x:c>
      <x:c r="T1107" s="9" t="n">
        <x:f>H1107*Z1106*INDEX(v01_MortAdult,G1107)*Arch_AdultMort/4*Q1107</x:f>
        <x:v>6.171591555093929</x:v>
      </x:c>
      <x:c r="U1107" s="9" t="n">
        <x:f>H1107*AA1106*INDEX(v01_MortElder,G1107)/4*Q1107</x:f>
        <x:v>13.443140044425215</x:v>
      </x:c>
      <x:c r="V1107" s="9" t="n">
        <x:f>H1107*MAX(0,AB1106-O1107)*v01_OvercapLoss</x:f>
        <x:v>0</x:v>
      </x:c>
      <x:c r="W1107" s="9" t="n">
        <x:f>H1107*Y1106/(v01_ChildYears*4)</x:f>
        <x:v>43.14794731383922</x:v>
      </x:c>
      <x:c r="X1107" s="9" t="n">
        <x:f>H1107*Z1106/(v01_AdultYears*4)</x:f>
        <x:v>19.908359855141708</x:v>
      </x:c>
      <x:c r="Y1107" s="32" t="n">
        <x:f>Y1106+R1107-S1107-W1107-Y1106*V1107/AB1106</x:f>
        <x:v>2427.898991966791</x:v>
      </x:c>
      <x:c r="Z1107" s="32" t="n">
        <x:f>Z1106+W1107-X1107-T1107-Z1106*V1107/AB1106</x:f>
        <x:v>2485.7046179411755</x:v>
      </x:c>
      <x:c r="AA1107" s="32" t="n">
        <x:f>AA1106+X1107-U1107-AA1106*V1107/AB1106</x:f>
        <x:v>902.6745561057309</x:v>
      </x:c>
      <x:c r="AB1107" s="10" t="n">
        <x:f>Y1107+Z1107+AA1107</x:f>
        <x:v>5816.278166013697</x:v>
      </x:c>
      <x:c r="AC1107" s="8" t="n">
        <x:f>IF(AND(v01_WinterTrigger=1,D1107=1,AB1106/AE1106&gt;=K1107),1,0)</x:f>
        <x:v>0</x:v>
      </x:c>
      <x:c r="AD1107" s="8" t="n">
        <x:f>H1107*IF(AND(OR(AB1106/AE1106&gt;=v01_FissionTrigger*N1107,AC1107=1),AB1106/AE1106*v01_DaughterShare&gt;=v01_MinDaughter),MAX(1,ROUND(AE1106*v01_FissionRate,0)),0)</x:f>
        <x:v>0</x:v>
      </x:c>
      <x:c r="AE1107" s="8" t="n">
        <x:f>IF(H1107=1,MAX(1,MIN(INDEX(v01_Smax,G1107),AE1106+AD1107)),AE1106)</x:f>
        <x:v>16</x:v>
      </x:c>
      <x:c r="AF1107" s="8" t="n">
        <x:f>MAX(0,AE1107-AE1106)</x:f>
        <x:v>0</x:v>
      </x:c>
      <x:c r="AG1107" s="9" t="str">
        <x:f>IF(AF1107&gt;0,B1107,"")</x:f>
      </x:c>
      <x:c r="AH1107" s="9" t="n">
        <x:f>IF(F1107&gt;=1,1,(1+v01_LowTiesShare*(AE1107-1))/AE1107)</x:f>
        <x:v>1</x:v>
      </x:c>
      <x:c r="AI1107" s="32" t="n">
        <x:f>(Z1107+v01_ElderCommons*INDEX(LM_Elder,G1107)*AA1107)*AH1107</x:f>
        <x:v>5513.3671214589685</x:v>
      </x:c>
      <x:c r="AJ1107" s="32" t="n">
        <x:f>H1107*v01_CommonsCoef*AI1107^v01_CommonsExp*INDEX(LM_Commons,G1107)</x:f>
        <x:v>1206.800413181998</x:v>
      </x:c>
      <x:c r="AK1107" s="32" t="n">
        <x:f>H1107*v01_RoleScale*Arch_Roles*(AE1107*(INDEX(v01_ElderRolePerSett,G1107)*v01_OutElder*INDEX(LM_Elder,G1107)+INDEX(v01_ShamanPerSett,G1107)*v01_OutShaman)+Z1107*(INDEX(v01_PriestShare,G1107)*v01_OutPriest+INDEX(v01_ScribeShare,G1107)*v01_OutScribe*INDEX(LM_Scribe,G1107)+INDEX(v01_ScholarShare,G1107)*v01_OutScholar*INDEX(LM_Scholar,G1107)+INDEX(v01_ResearcherShare,G1107)*v01_OutResearcher*INDEX(LM_Researcher,G1107)))</x:f>
        <x:v>227.10122133836052</x:v>
      </x:c>
      <x:c r="AL1107" s="32" t="n">
        <x:f>H1107*v01_RoleScale*Arch_Roles*AE1107*INDEX(v01_MonasteryPerSett,G1107)*v01_OutMonastery*INDEX(LM_Monastery,G1107)</x:f>
        <x:v>5.034282471216728</x:v>
      </x:c>
      <x:c r="AM1107" s="32" t="n">
        <x:f>(AJ1107+AK1107+AL1107)/4*INDEX(LM_All,G1107)*INDEX(v01_Boon,G1107)*Arch_Insight</x:f>
        <x:v>518.520760725923</x:v>
      </x:c>
      <x:c r="AN1107" s="32" t="n">
        <x:f>H1107*(v01_KHPerAdult*Z1107+v01_KHOfCommons*AJ1107/4*INDEX(LM_All,G1107))*v01_KHUsable*Arch_KH</x:f>
        <x:v>86.99966162794114</x:v>
      </x:c>
      <x:c r="AO1107" s="32" t="n">
        <x:f>MIN(AP1106+AN1107,AM1107*v01_KHMaxRatio)</x:f>
        <x:v>86.99966162794114</x:v>
      </x:c>
      <x:c r="AP1107" s="32" t="n">
        <x:f>AP1106+AN1107-AO1107</x:f>
        <x:v>0</x:v>
      </x:c>
      <x:c r="AQ1107" s="32" t="n">
        <x:f>AM1107+AO1107</x:f>
        <x:v>605.5204223538641</x:v>
      </x:c>
      <x:c r="AR1107" s="10" t="n">
        <x:f>IF(H1107=1,INDEX(v01_Req,G1107),0)</x:f>
        <x:v>47951.22698</x:v>
      </x:c>
      <x:c r="AS1107" s="32" t="n">
        <x:f>IF(H1107=1,IF(E1107=1,AS1106-AR1106,AS1106)+AQ1107,0)</x:f>
        <x:v>39597.84491481632</x:v>
      </x:c>
      <x:c r="AT1107" s="11" t="n">
        <x:f>IF(AR1107&gt;0,MIN(1,AS1107/AR1107),1)</x:f>
        <x:v>0.825794195659106</x:v>
      </x:c>
      <x:c r="AU1107" s="10" t="n">
        <x:f>AB1107/INDEX(v01_RepScale,G1107)</x:f>
        <x:v>232.6511266405479</x:v>
      </x:c>
      <x:c r="AV1107" s="32" t="n">
        <x:f>AM1107*60/v01_SeasonSeconds</x:f>
        <x:v>2074.083042903692</x:v>
      </x:c>
    </x:row>
    <x:row r="1108">
      <x:c r="A1108" s="8" t="n">
        <x:f>A1107+1</x:f>
        <x:v>1105</x:v>
      </x:c>
      <x:c r="B1108" s="9" t="n">
        <x:f>A1108*v01_SeasonSeconds/60</x:f>
        <x:v>276.25</x:v>
      </x:c>
      <x:c r="C1108" s="9" t="n">
        <x:f>A1108/4</x:f>
        <x:v>276.25</x:v>
      </x:c>
      <x:c r="D1108" s="8" t="n">
        <x:f>IF(MOD(A1108,4)=0,1,0)</x:f>
        <x:v>0</x:v>
      </x:c>
      <x:c r="E1108" s="8" t="n">
        <x:f>IF(AND(F1107&lt;=9,AS1107&gt;=AR1107),1,0)</x:f>
        <x:v>0</x:v>
      </x:c>
      <x:c r="F1108" s="8" t="n">
        <x:f>MIN(10,F1107+E1108)</x:f>
        <x:v>5</x:v>
      </x:c>
      <x:c r="G1108" s="8" t="n">
        <x:f>MIN(F1108,9)+1</x:f>
        <x:v>6</x:v>
      </x:c>
      <x:c r="H1108" s="8" t="n">
        <x:f>IF(F1108&lt;=9,1,0)</x:f>
        <x:v>1</x:v>
      </x:c>
      <x:c r="I1108" s="9" t="n">
        <x:f>MIN(10,F1107+IF(AR1107&gt;0,MIN(1,AS1107/AR1107),1))</x:f>
        <x:v>5.825794195659106</x:v>
      </x:c>
      <x:c r="J1108" s="32" t="n">
        <x:f>INDEX(v01_FoodCap,G1108)*Arch_FoodCap*EXP(v01_CapsByProject*SUMPRODUCT((Cap_Point&lt;=I1108)*(Cap_Kind="Food")*Cap_Ln))</x:f>
        <x:v>500</x:v>
      </x:c>
      <x:c r="K1108" s="32" t="n">
        <x:f>J1108*MIN(1,v01_LeanBase*EXP(v01_CapsByProject*SUMPRODUCT((Cap_Point&lt;=I1108)*(Cap_Kind="Lean")*Cap_Ln)))</x:f>
        <x:v>500</x:v>
      </x:c>
      <x:c r="L1108" s="10" t="n">
        <x:f>INDEX(v01_HousingCap,G1108)*EXP(v01_CapsByProject*SUMPRODUCT((Cap_Point&lt;=I1108)*(Cap_Kind="Housing")*Cap_Ln))</x:f>
        <x:v>800</x:v>
      </x:c>
      <x:c r="M1108" s="10" t="n">
        <x:f>INDEX(v01_GroupCap,G1108)*v01_CohesionFactor*EXP(v01_CapsByProject*SUMPRODUCT((Cap_Point&lt;=I1108)*(Cap_Kind="Group")*Cap_Ln))</x:f>
        <x:v>10000</x:v>
      </x:c>
      <x:c r="N1108" s="32" t="n">
        <x:f>MIN(J1108,L1108,M1108)</x:f>
        <x:v>500</x:v>
      </x:c>
      <x:c r="O1108" s="10" t="n">
        <x:f>AE1107*N1108</x:f>
        <x:v>8000</x:v>
      </x:c>
      <x:c r="P1108" s="9" t="n">
        <x:f>MIN(1,(AB1107/(AE1107*IF(v01_GroupInCrowding=1,N1108,MIN(J1108,L1108))))^v01_CrowdingExp)</x:f>
        <x:v>0.14768319863393237</x:v>
      </x:c>
      <x:c r="Q1108" s="9" t="n">
        <x:f>IF(D1108=1,INDEX(v01_WinterMult,G1108),1)</x:f>
        <x:v>1</x:v>
      </x:c>
      <x:c r="R1108" s="9" t="n">
        <x:f>H1108*Z1107*v01_WomenShare*v01_BaseFertility*INDEX(v01_FertMult,G1108)*Arch_Fertility*(1-P1108)</x:f>
        <x:v>69.91405770044803</x:v>
      </x:c>
      <x:c r="S1108" s="9" t="n">
        <x:f>H1108*Y1107*INDEX(v01_MortChild,G1108)/4*Q1108</x:f>
        <x:v>15.174368699792446</x:v>
      </x:c>
      <x:c r="T1108" s="9" t="n">
        <x:f>H1108*Z1107*INDEX(v01_MortAdult,G1108)*Arch_AdultMort/4*Q1108</x:f>
        <x:v>6.214261544852938</x:v>
      </x:c>
      <x:c r="U1108" s="9" t="n">
        <x:f>H1108*AA1107*INDEX(v01_MortElder,G1108)/4*Q1108</x:f>
        <x:v>13.540118341585963</x:v>
      </x:c>
      <x:c r="V1108" s="9" t="n">
        <x:f>H1108*MAX(0,AB1107-O1108)*v01_OvercapLoss</x:f>
        <x:v>0</x:v>
      </x:c>
      <x:c r="W1108" s="9" t="n">
        <x:f>H1108*Y1107/(v01_ChildYears*4)</x:f>
        <x:v>43.35533914226413</x:v>
      </x:c>
      <x:c r="X1108" s="9" t="n">
        <x:f>H1108*Z1107/(v01_AdultYears*4)</x:f>
        <x:v>20.046004983396575</x:v>
      </x:c>
      <x:c r="Y1108" s="32" t="n">
        <x:f>Y1107+R1108-S1108-W1108-Y1107*V1108/AB1107</x:f>
        <x:v>2439.2833418251826</x:v>
      </x:c>
      <x:c r="Z1108" s="32" t="n">
        <x:f>Z1107+W1108-X1108-T1108-Z1107*V1108/AB1107</x:f>
        <x:v>2502.7996905551904</x:v>
      </x:c>
      <x:c r="AA1108" s="32" t="n">
        <x:f>AA1107+X1108-U1108-AA1107*V1108/AB1107</x:f>
        <x:v>909.1804427475414</x:v>
      </x:c>
      <x:c r="AB1108" s="10" t="n">
        <x:f>Y1108+Z1108+AA1108</x:f>
        <x:v>5851.263475127915</x:v>
      </x:c>
      <x:c r="AC1108" s="8" t="n">
        <x:f>IF(AND(v01_WinterTrigger=1,D1108=1,AB1107/AE1107&gt;=K1108),1,0)</x:f>
        <x:v>0</x:v>
      </x:c>
      <x:c r="AD1108" s="8" t="n">
        <x:f>H1108*IF(AND(OR(AB1107/AE1107&gt;=v01_FissionTrigger*N1108,AC1108=1),AB1107/AE1107*v01_DaughterShare&gt;=v01_MinDaughter),MAX(1,ROUND(AE1107*v01_FissionRate,0)),0)</x:f>
        <x:v>0</x:v>
      </x:c>
      <x:c r="AE1108" s="8" t="n">
        <x:f>IF(H1108=1,MAX(1,MIN(INDEX(v01_Smax,G1108),AE1107+AD1108)),AE1107)</x:f>
        <x:v>16</x:v>
      </x:c>
      <x:c r="AF1108" s="8" t="n">
        <x:f>MAX(0,AE1108-AE1107)</x:f>
        <x:v>0</x:v>
      </x:c>
      <x:c r="AG1108" s="9" t="str">
        <x:f>IF(AF1108&gt;0,B1108,"")</x:f>
      </x:c>
      <x:c r="AH1108" s="9" t="n">
        <x:f>IF(F1108&gt;=1,1,(1+v01_LowTiesShare*(AE1108-1))/AE1108)</x:f>
        <x:v>1</x:v>
      </x:c>
      <x:c r="AI1108" s="32" t="n">
        <x:f>(Z1108+v01_ElderCommons*INDEX(LM_Elder,G1108)*AA1108)*AH1108</x:f>
        <x:v>5552.283601250478</x:v>
      </x:c>
      <x:c r="AJ1108" s="32" t="n">
        <x:f>H1108*v01_CommonsCoef*AI1108^v01_CommonsExp*INDEX(LM_Commons,G1108)</x:f>
        <x:v>1214.037131355817</x:v>
      </x:c>
      <x:c r="AK1108" s="32" t="n">
        <x:f>H1108*v01_RoleScale*Arch_Roles*(AE1108*(INDEX(v01_ElderRolePerSett,G1108)*v01_OutElder*INDEX(LM_Elder,G1108)+INDEX(v01_ShamanPerSett,G1108)*v01_OutShaman)+Z1108*(INDEX(v01_PriestShare,G1108)*v01_OutPriest+INDEX(v01_ScribeShare,G1108)*v01_OutScribe*INDEX(LM_Scribe,G1108)+INDEX(v01_ScholarShare,G1108)*v01_OutScholar*INDEX(LM_Scholar,G1108)+INDEX(v01_ResearcherShare,G1108)*v01_OutResearcher*INDEX(LM_Researcher,G1108)))</x:f>
        <x:v>228.31348170577598</x:v>
      </x:c>
      <x:c r="AL1108" s="32" t="n">
        <x:f>H1108*v01_RoleScale*Arch_Roles*AE1108*INDEX(v01_MonasteryPerSett,G1108)*v01_OutMonastery*INDEX(LM_Monastery,G1108)</x:f>
        <x:v>5.034282471216728</x:v>
      </x:c>
      <x:c r="AM1108" s="32" t="n">
        <x:f>(AJ1108+AK1108+AL1108)/4*INDEX(LM_All,G1108)*INDEX(v01_Boon,G1108)*Arch_Insight</x:f>
        <x:v>521.5653513354321</x:v>
      </x:c>
      <x:c r="AN1108" s="32" t="n">
        <x:f>H1108*(v01_KHPerAdult*Z1108+v01_KHOfCommons*AJ1108/4*INDEX(LM_All,G1108))*v01_KHUsable*Arch_KH</x:f>
        <x:v>87.59798916943166</x:v>
      </x:c>
      <x:c r="AO1108" s="32" t="n">
        <x:f>MIN(AP1107+AN1108,AM1108*v01_KHMaxRatio)</x:f>
        <x:v>87.59798916943166</x:v>
      </x:c>
      <x:c r="AP1108" s="32" t="n">
        <x:f>AP1107+AN1108-AO1108</x:f>
        <x:v>0</x:v>
      </x:c>
      <x:c r="AQ1108" s="32" t="n">
        <x:f>AM1108+AO1108</x:f>
        <x:v>609.1633405048638</x:v>
      </x:c>
      <x:c r="AR1108" s="10" t="n">
        <x:f>IF(H1108=1,INDEX(v01_Req,G1108),0)</x:f>
        <x:v>47951.22698</x:v>
      </x:c>
      <x:c r="AS1108" s="32" t="n">
        <x:f>IF(H1108=1,IF(E1108=1,AS1107-AR1107,AS1107)+AQ1108,0)</x:f>
        <x:v>40207.00825532118</x:v>
      </x:c>
      <x:c r="AT1108" s="11" t="n">
        <x:f>IF(AR1108&gt;0,MIN(1,AS1108/AR1108),1)</x:f>
        <x:v>0.8384980069872069</x:v>
      </x:c>
      <x:c r="AU1108" s="10" t="n">
        <x:f>AB1108/INDEX(v01_RepScale,G1108)</x:f>
        <x:v>234.05053900511658</x:v>
      </x:c>
      <x:c r="AV1108" s="32" t="n">
        <x:f>AM1108*60/v01_SeasonSeconds</x:f>
        <x:v>2086.2614053417283</x:v>
      </x:c>
    </x:row>
    <x:row r="1109">
      <x:c r="A1109" s="8" t="n">
        <x:f>A1108+1</x:f>
        <x:v>1106</x:v>
      </x:c>
      <x:c r="B1109" s="9" t="n">
        <x:f>A1109*v01_SeasonSeconds/60</x:f>
        <x:v>276.5</x:v>
      </x:c>
      <x:c r="C1109" s="9" t="n">
        <x:f>A1109/4</x:f>
        <x:v>276.5</x:v>
      </x:c>
      <x:c r="D1109" s="8" t="n">
        <x:f>IF(MOD(A1109,4)=0,1,0)</x:f>
        <x:v>0</x:v>
      </x:c>
      <x:c r="E1109" s="8" t="n">
        <x:f>IF(AND(F1108&lt;=9,AS1108&gt;=AR1108),1,0)</x:f>
        <x:v>0</x:v>
      </x:c>
      <x:c r="F1109" s="8" t="n">
        <x:f>MIN(10,F1108+E1109)</x:f>
        <x:v>5</x:v>
      </x:c>
      <x:c r="G1109" s="8" t="n">
        <x:f>MIN(F1109,9)+1</x:f>
        <x:v>6</x:v>
      </x:c>
      <x:c r="H1109" s="8" t="n">
        <x:f>IF(F1109&lt;=9,1,0)</x:f>
        <x:v>1</x:v>
      </x:c>
      <x:c r="I1109" s="9" t="n">
        <x:f>MIN(10,F1108+IF(AR1108&gt;0,MIN(1,AS1108/AR1108),1))</x:f>
        <x:v>5.838498006987207</x:v>
      </x:c>
      <x:c r="J1109" s="32" t="n">
        <x:f>INDEX(v01_FoodCap,G1109)*Arch_FoodCap*EXP(v01_CapsByProject*SUMPRODUCT((Cap_Point&lt;=I1109)*(Cap_Kind="Food")*Cap_Ln))</x:f>
        <x:v>500</x:v>
      </x:c>
      <x:c r="K1109" s="32" t="n">
        <x:f>J1109*MIN(1,v01_LeanBase*EXP(v01_CapsByProject*SUMPRODUCT((Cap_Point&lt;=I1109)*(Cap_Kind="Lean")*Cap_Ln)))</x:f>
        <x:v>500</x:v>
      </x:c>
      <x:c r="L1109" s="10" t="n">
        <x:f>INDEX(v01_HousingCap,G1109)*EXP(v01_CapsByProject*SUMPRODUCT((Cap_Point&lt;=I1109)*(Cap_Kind="Housing")*Cap_Ln))</x:f>
        <x:v>800</x:v>
      </x:c>
      <x:c r="M1109" s="10" t="n">
        <x:f>INDEX(v01_GroupCap,G1109)*v01_CohesionFactor*EXP(v01_CapsByProject*SUMPRODUCT((Cap_Point&lt;=I1109)*(Cap_Kind="Group")*Cap_Ln))</x:f>
        <x:v>10000</x:v>
      </x:c>
      <x:c r="N1109" s="32" t="n">
        <x:f>MIN(J1109,L1109,M1109)</x:f>
        <x:v>500</x:v>
      </x:c>
      <x:c r="O1109" s="10" t="n">
        <x:f>AE1108*N1109</x:f>
        <x:v>8000</x:v>
      </x:c>
      <x:c r="P1109" s="9" t="n">
        <x:f>MIN(1,(AB1108/(AE1108*IF(v01_GroupInCrowding=1,N1109,MIN(J1109,L1109))))^v01_CrowdingExp)</x:f>
        <x:v>0.15309394129577236</x:v>
      </x:c>
      <x:c r="Q1109" s="9" t="n">
        <x:f>IF(D1109=1,INDEX(v01_WinterMult,G1109),1)</x:f>
        <x:v>1</x:v>
      </x:c>
      <x:c r="R1109" s="9" t="n">
        <x:f>H1109*Z1108*v01_WomenShare*v01_BaseFertility*INDEX(v01_FertMult,G1109)*Arch_Fertility*(1-P1109)</x:f>
        <x:v>69.94799531459047</x:v>
      </x:c>
      <x:c r="S1109" s="9" t="n">
        <x:f>H1109*Y1108*INDEX(v01_MortChild,G1109)/4*Q1109</x:f>
        <x:v>15.245520886407391</x:v>
      </x:c>
      <x:c r="T1109" s="9" t="n">
        <x:f>H1109*Z1108*INDEX(v01_MortAdult,G1109)*Arch_AdultMort/4*Q1109</x:f>
        <x:v>6.256999226387976</x:v>
      </x:c>
      <x:c r="U1109" s="9" t="n">
        <x:f>H1109*AA1108*INDEX(v01_MortElder,G1109)/4*Q1109</x:f>
        <x:v>13.637706641213121</x:v>
      </x:c>
      <x:c r="V1109" s="9" t="n">
        <x:f>H1109*MAX(0,AB1108-O1109)*v01_OvercapLoss</x:f>
        <x:v>0</x:v>
      </x:c>
      <x:c r="W1109" s="9" t="n">
        <x:f>H1109*Y1108/(v01_ChildYears*4)</x:f>
        <x:v>43.55863110402112</x:v>
      </x:c>
      <x:c r="X1109" s="9" t="n">
        <x:f>H1109*Z1108/(v01_AdultYears*4)</x:f>
        <x:v>20.183868472219277</x:v>
      </x:c>
      <x:c r="Y1109" s="32" t="n">
        <x:f>Y1108+R1109-S1109-W1109-Y1108*V1109/AB1108</x:f>
        <x:v>2450.4271851493445</x:v>
      </x:c>
      <x:c r="Z1109" s="32" t="n">
        <x:f>Z1108+W1109-X1109-T1109-Z1108*V1109/AB1108</x:f>
        <x:v>2519.9174539606042</x:v>
      </x:c>
      <x:c r="AA1109" s="32" t="n">
        <x:f>AA1108+X1109-U1109-AA1108*V1109/AB1108</x:f>
        <x:v>915.7266045785476</x:v>
      </x:c>
      <x:c r="AB1109" s="10" t="n">
        <x:f>Y1109+Z1109+AA1109</x:f>
        <x:v>5886.071243688496</x:v>
      </x:c>
      <x:c r="AC1109" s="8" t="n">
        <x:f>IF(AND(v01_WinterTrigger=1,D1109=1,AB1108/AE1108&gt;=K1109),1,0)</x:f>
        <x:v>0</x:v>
      </x:c>
      <x:c r="AD1109" s="8" t="n">
        <x:f>H1109*IF(AND(OR(AB1108/AE1108&gt;=v01_FissionTrigger*N1109,AC1109=1),AB1108/AE1108*v01_DaughterShare&gt;=v01_MinDaughter),MAX(1,ROUND(AE1108*v01_FissionRate,0)),0)</x:f>
        <x:v>0</x:v>
      </x:c>
      <x:c r="AE1109" s="8" t="n">
        <x:f>IF(H1109=1,MAX(1,MIN(INDEX(v01_Smax,G1109),AE1108+AD1109)),AE1108)</x:f>
        <x:v>16</x:v>
      </x:c>
      <x:c r="AF1109" s="8" t="n">
        <x:f>MAX(0,AE1109-AE1108)</x:f>
        <x:v>0</x:v>
      </x:c>
      <x:c r="AG1109" s="9" t="str">
        <x:f>IF(AF1109&gt;0,B1109,"")</x:f>
      </x:c>
      <x:c r="AH1109" s="9" t="n">
        <x:f>IF(F1109&gt;=1,1,(1+v01_LowTiesShare*(AE1109-1))/AE1109)</x:f>
        <x:v>1</x:v>
      </x:c>
      <x:c r="AI1109" s="32" t="n">
        <x:f>(Z1109+v01_ElderCommons*INDEX(LM_Elder,G1109)*AA1109)*AH1109</x:f>
        <x:v>5591.357858924658</x:v>
      </x:c>
      <x:c r="AJ1109" s="32" t="n">
        <x:f>H1109*v01_CommonsCoef*AI1109^v01_CommonsExp*INDEX(LM_Commons,G1109)</x:f>
        <x:v>1221.2955384124666</x:v>
      </x:c>
      <x:c r="AK1109" s="32" t="n">
        <x:f>H1109*v01_RoleScale*Arch_Roles*(AE1109*(INDEX(v01_ElderRolePerSett,G1109)*v01_OutElder*INDEX(LM_Elder,G1109)+INDEX(v01_ShamanPerSett,G1109)*v01_OutShaman)+Z1109*(INDEX(v01_PriestShare,G1109)*v01_OutPriest+INDEX(v01_ScribeShare,G1109)*v01_OutScribe*INDEX(LM_Scribe,G1109)+INDEX(v01_ScholarShare,G1109)*v01_OutScholar*INDEX(LM_Scholar,G1109)+INDEX(v01_ResearcherShare,G1109)*v01_OutResearcher*INDEX(LM_Researcher,G1109)))</x:f>
        <x:v>229.52735114194115</x:v>
      </x:c>
      <x:c r="AL1109" s="32" t="n">
        <x:f>H1109*v01_RoleScale*Arch_Roles*AE1109*INDEX(v01_MonasteryPerSett,G1109)*v01_OutMonastery*INDEX(LM_Monastery,G1109)</x:f>
        <x:v>5.034282471216728</x:v>
      </x:c>
      <x:c r="AM1109" s="32" t="n">
        <x:f>(AJ1109+AK1109+AL1109)/4*INDEX(LM_All,G1109)*INDEX(v01_Boon,G1109)*Arch_Insight</x:f>
        <x:v>524.6183373650805</x:v>
      </x:c>
      <x:c r="AN1109" s="32" t="n">
        <x:f>H1109*(v01_KHPerAdult*Z1109+v01_KHOfCommons*AJ1109/4*INDEX(LM_All,G1109))*v01_KHUsable*Arch_KH</x:f>
        <x:v>88.19711088862114</x:v>
      </x:c>
      <x:c r="AO1109" s="32" t="n">
        <x:f>MIN(AP1108+AN1109,AM1109*v01_KHMaxRatio)</x:f>
        <x:v>88.19711088862114</x:v>
      </x:c>
      <x:c r="AP1109" s="32" t="n">
        <x:f>AP1108+AN1109-AO1109</x:f>
        <x:v>0</x:v>
      </x:c>
      <x:c r="AQ1109" s="32" t="n">
        <x:f>AM1109+AO1109</x:f>
        <x:v>612.8154482537017</x:v>
      </x:c>
      <x:c r="AR1109" s="10" t="n">
        <x:f>IF(H1109=1,INDEX(v01_Req,G1109),0)</x:f>
        <x:v>47951.22698</x:v>
      </x:c>
      <x:c r="AS1109" s="32" t="n">
        <x:f>IF(H1109=1,IF(E1109=1,AS1108-AR1108,AS1108)+AQ1109,0)</x:f>
        <x:v>40819.82370357488</x:v>
      </x:c>
      <x:c r="AT1109" s="11" t="n">
        <x:f>IF(AR1109&gt;0,MIN(1,AS1109/AR1109),1)</x:f>
        <x:v>0.8512779812829491</x:v>
      </x:c>
      <x:c r="AU1109" s="10" t="n">
        <x:f>AB1109/INDEX(v01_RepScale,G1109)</x:f>
        <x:v>235.44284974753984</x:v>
      </x:c>
      <x:c r="AV1109" s="32" t="n">
        <x:f>AM1109*60/v01_SeasonSeconds</x:f>
        <x:v>2098.473349460322</x:v>
      </x:c>
    </x:row>
    <x:row r="1110">
      <x:c r="A1110" s="8" t="n">
        <x:f>A1109+1</x:f>
        <x:v>1107</x:v>
      </x:c>
      <x:c r="B1110" s="9" t="n">
        <x:f>A1110*v01_SeasonSeconds/60</x:f>
        <x:v>276.75</x:v>
      </x:c>
      <x:c r="C1110" s="9" t="n">
        <x:f>A1110/4</x:f>
        <x:v>276.75</x:v>
      </x:c>
      <x:c r="D1110" s="8" t="n">
        <x:f>IF(MOD(A1110,4)=0,1,0)</x:f>
        <x:v>0</x:v>
      </x:c>
      <x:c r="E1110" s="8" t="n">
        <x:f>IF(AND(F1109&lt;=9,AS1109&gt;=AR1109),1,0)</x:f>
        <x:v>0</x:v>
      </x:c>
      <x:c r="F1110" s="8" t="n">
        <x:f>MIN(10,F1109+E1110)</x:f>
        <x:v>5</x:v>
      </x:c>
      <x:c r="G1110" s="8" t="n">
        <x:f>MIN(F1110,9)+1</x:f>
        <x:v>6</x:v>
      </x:c>
      <x:c r="H1110" s="8" t="n">
        <x:f>IF(F1110&lt;=9,1,0)</x:f>
        <x:v>1</x:v>
      </x:c>
      <x:c r="I1110" s="9" t="n">
        <x:f>MIN(10,F1109+IF(AR1109&gt;0,MIN(1,AS1109/AR1109),1))</x:f>
        <x:v>5.851277981282949</x:v>
      </x:c>
      <x:c r="J1110" s="32" t="n">
        <x:f>INDEX(v01_FoodCap,G1110)*Arch_FoodCap*EXP(v01_CapsByProject*SUMPRODUCT((Cap_Point&lt;=I1110)*(Cap_Kind="Food")*Cap_Ln))</x:f>
        <x:v>500</x:v>
      </x:c>
      <x:c r="K1110" s="32" t="n">
        <x:f>J1110*MIN(1,v01_LeanBase*EXP(v01_CapsByProject*SUMPRODUCT((Cap_Point&lt;=I1110)*(Cap_Kind="Lean")*Cap_Ln)))</x:f>
        <x:v>500</x:v>
      </x:c>
      <x:c r="L1110" s="10" t="n">
        <x:f>INDEX(v01_HousingCap,G1110)*EXP(v01_CapsByProject*SUMPRODUCT((Cap_Point&lt;=I1110)*(Cap_Kind="Housing")*Cap_Ln))</x:f>
        <x:v>800</x:v>
      </x:c>
      <x:c r="M1110" s="10" t="n">
        <x:f>INDEX(v01_GroupCap,G1110)*v01_CohesionFactor*EXP(v01_CapsByProject*SUMPRODUCT((Cap_Point&lt;=I1110)*(Cap_Kind="Group")*Cap_Ln))</x:f>
        <x:v>10000</x:v>
      </x:c>
      <x:c r="N1110" s="32" t="n">
        <x:f>MIN(J1110,L1110,M1110)</x:f>
        <x:v>500</x:v>
      </x:c>
      <x:c r="O1110" s="10" t="n">
        <x:f>AE1109*N1110</x:f>
        <x:v>8000</x:v>
      </x:c>
      <x:c r="P1110" s="9" t="n">
        <x:f>MIN(1,(AB1109/(AE1109*IF(v01_GroupInCrowding=1,N1110,MIN(J1110,L1110))))^v01_CrowdingExp)</x:f>
        <x:v>0.15864016921430765</x:v>
      </x:c>
      <x:c r="Q1110" s="9" t="n">
        <x:f>IF(D1110=1,INDEX(v01_WinterMult,G1110),1)</x:f>
        <x:v>1</x:v>
      </x:c>
      <x:c r="R1110" s="9" t="n">
        <x:f>H1110*Z1109*v01_WomenShare*v01_BaseFertility*INDEX(v01_FertMult,G1110)*Arch_Fertility*(1-P1110)</x:f>
        <x:v>69.96519164772083</x:v>
      </x:c>
      <x:c r="S1110" s="9" t="n">
        <x:f>H1110*Y1109*INDEX(v01_MortChild,G1110)/4*Q1110</x:f>
        <x:v>15.315169907183403</x:v>
      </x:c>
      <x:c r="T1110" s="9" t="n">
        <x:f>H1110*Z1109*INDEX(v01_MortAdult,G1110)*Arch_AdultMort/4*Q1110</x:f>
        <x:v>6.299793634901511</x:v>
      </x:c>
      <x:c r="U1110" s="9" t="n">
        <x:f>H1110*AA1109*INDEX(v01_MortElder,G1110)/4*Q1110</x:f>
        <x:v>13.735899068678213</x:v>
      </x:c>
      <x:c r="V1110" s="9" t="n">
        <x:f>H1110*MAX(0,AB1109-O1110)*v01_OvercapLoss</x:f>
        <x:v>0</x:v>
      </x:c>
      <x:c r="W1110" s="9" t="n">
        <x:f>H1110*Y1109/(v01_ChildYears*4)</x:f>
        <x:v>43.757628306238296</x:v>
      </x:c>
      <x:c r="X1110" s="9" t="n">
        <x:f>H1110*Z1109/(v01_AdultYears*4)</x:f>
        <x:v>20.321914951295195</x:v>
      </x:c>
      <x:c r="Y1110" s="32" t="n">
        <x:f>Y1109+R1110-S1110-W1110-Y1109*V1110/AB1109</x:f>
        <x:v>2461.319578583644</x:v>
      </x:c>
      <x:c r="Z1110" s="32" t="n">
        <x:f>Z1109+W1110-X1110-T1110-Z1109*V1110/AB1109</x:f>
        <x:v>2537.0533736806456</x:v>
      </x:c>
      <x:c r="AA1110" s="32" t="n">
        <x:f>AA1109+X1110-U1110-AA1109*V1110/AB1109</x:f>
        <x:v>922.3126204611646</x:v>
      </x:c>
      <x:c r="AB1110" s="10" t="n">
        <x:f>Y1110+Z1110+AA1110</x:f>
        <x:v>5920.685572725454</x:v>
      </x:c>
      <x:c r="AC1110" s="8" t="n">
        <x:f>IF(AND(v01_WinterTrigger=1,D1110=1,AB1109/AE1109&gt;=K1110),1,0)</x:f>
        <x:v>0</x:v>
      </x:c>
      <x:c r="AD1110" s="8" t="n">
        <x:f>H1110*IF(AND(OR(AB1109/AE1109&gt;=v01_FissionTrigger*N1110,AC1110=1),AB1109/AE1109*v01_DaughterShare&gt;=v01_MinDaughter),MAX(1,ROUND(AE1109*v01_FissionRate,0)),0)</x:f>
        <x:v>0</x:v>
      </x:c>
      <x:c r="AE1110" s="8" t="n">
        <x:f>IF(H1110=1,MAX(1,MIN(INDEX(v01_Smax,G1110),AE1109+AD1110)),AE1109)</x:f>
        <x:v>16</x:v>
      </x:c>
      <x:c r="AF1110" s="8" t="n">
        <x:f>MAX(0,AE1110-AE1109)</x:f>
        <x:v>0</x:v>
      </x:c>
      <x:c r="AG1110" s="9" t="str">
        <x:f>IF(AF1110&gt;0,B1110,"")</x:f>
      </x:c>
      <x:c r="AH1110" s="9" t="n">
        <x:f>IF(F1110&gt;=1,1,(1+v01_LowTiesShare*(AE1110-1))/AE1110)</x:f>
        <x:v>1</x:v>
      </x:c>
      <x:c r="AI1110" s="32" t="n">
        <x:f>(Z1110+v01_ElderCommons*INDEX(LM_Elder,G1110)*AA1110)*AH1110</x:f>
        <x:v>5630.583947466337</x:v>
      </x:c>
      <x:c r="AJ1110" s="32" t="n">
        <x:f>H1110*v01_CommonsCoef*AI1110^v01_CommonsExp*INDEX(LM_Commons,G1110)</x:f>
        <x:v>1228.574500461135</x:v>
      </x:c>
      <x:c r="AK1110" s="32" t="n">
        <x:f>H1110*v01_RoleScale*Arch_Roles*(AE1110*(INDEX(v01_ElderRolePerSett,G1110)*v01_OutElder*INDEX(LM_Elder,G1110)+INDEX(v01_ShamanPerSett,G1110)*v01_OutShaman)+Z1110*(INDEX(v01_PriestShare,G1110)*v01_OutPriest+INDEX(v01_ScribeShare,G1110)*v01_OutScribe*INDEX(LM_Scribe,G1110)+INDEX(v01_ScholarShare,G1110)*v01_OutScholar*INDEX(LM_Scholar,G1110)+INDEX(v01_ResearcherShare,G1110)*v01_OutResearcher*INDEX(LM_Researcher,G1110)))</x:f>
        <x:v>230.74250809417242</x:v>
      </x:c>
      <x:c r="AL1110" s="32" t="n">
        <x:f>H1110*v01_RoleScale*Arch_Roles*AE1110*INDEX(v01_MonasteryPerSett,G1110)*v01_OutMonastery*INDEX(LM_Monastery,G1110)</x:f>
        <x:v>5.034282471216728</x:v>
      </x:c>
      <x:c r="AM1110" s="32" t="n">
        <x:f>(AJ1110+AK1110+AL1110)/4*INDEX(LM_All,G1110)*INDEX(v01_Boon,G1110)*Arch_Insight</x:f>
        <x:v>527.6791943455994</x:v>
      </x:c>
      <x:c r="AN1110" s="32" t="n">
        <x:f>H1110*(v01_KHPerAdult*Z1110+v01_KHOfCommons*AJ1110/4*INDEX(LM_All,G1110))*v01_KHUsable*Arch_KH</x:f>
        <x:v>88.7968680788226</x:v>
      </x:c>
      <x:c r="AO1110" s="32" t="n">
        <x:f>MIN(AP1109+AN1110,AM1110*v01_KHMaxRatio)</x:f>
        <x:v>88.7968680788226</x:v>
      </x:c>
      <x:c r="AP1110" s="32" t="n">
        <x:f>AP1109+AN1110-AO1110</x:f>
        <x:v>0</x:v>
      </x:c>
      <x:c r="AQ1110" s="32" t="n">
        <x:f>AM1110+AO1110</x:f>
        <x:v>616.476062424422</x:v>
      </x:c>
      <x:c r="AR1110" s="10" t="n">
        <x:f>IF(H1110=1,INDEX(v01_Req,G1110),0)</x:f>
        <x:v>47951.22698</x:v>
      </x:c>
      <x:c r="AS1110" s="32" t="n">
        <x:f>IF(H1110=1,IF(E1110=1,AS1109-AR1109,AS1109)+AQ1110,0)</x:f>
        <x:v>41436.299765999305</x:v>
      </x:c>
      <x:c r="AT1110" s="11" t="n">
        <x:f>IF(AR1110&gt;0,MIN(1,AS1110/AR1110),1)</x:f>
        <x:v>0.8641342959437095</x:v>
      </x:c>
      <x:c r="AU1110" s="10" t="n">
        <x:f>AB1110/INDEX(v01_RepScale,G1110)</x:f>
        <x:v>236.82742290901817</x:v>
      </x:c>
      <x:c r="AV1110" s="32" t="n">
        <x:f>AM1110*60/v01_SeasonSeconds</x:f>
        <x:v>2110.7167773823976</x:v>
      </x:c>
    </x:row>
    <x:row r="1111">
      <x:c r="A1111" s="8" t="n">
        <x:f>A1110+1</x:f>
        <x:v>1108</x:v>
      </x:c>
      <x:c r="B1111" s="9" t="n">
        <x:f>A1111*v01_SeasonSeconds/60</x:f>
        <x:v>277</x:v>
      </x:c>
      <x:c r="C1111" s="9" t="n">
        <x:f>A1111/4</x:f>
        <x:v>277</x:v>
      </x:c>
      <x:c r="D1111" s="8" t="n">
        <x:f>IF(MOD(A1111,4)=0,1,0)</x:f>
        <x:v>1</x:v>
      </x:c>
      <x:c r="E1111" s="8" t="n">
        <x:f>IF(AND(F1110&lt;=9,AS1110&gt;=AR1110),1,0)</x:f>
        <x:v>0</x:v>
      </x:c>
      <x:c r="F1111" s="8" t="n">
        <x:f>MIN(10,F1110+E1111)</x:f>
        <x:v>5</x:v>
      </x:c>
      <x:c r="G1111" s="8" t="n">
        <x:f>MIN(F1111,9)+1</x:f>
        <x:v>6</x:v>
      </x:c>
      <x:c r="H1111" s="8" t="n">
        <x:f>IF(F1111&lt;=9,1,0)</x:f>
        <x:v>1</x:v>
      </x:c>
      <x:c r="I1111" s="9" t="n">
        <x:f>MIN(10,F1110+IF(AR1110&gt;0,MIN(1,AS1110/AR1110),1))</x:f>
        <x:v>5.8641342959437095</x:v>
      </x:c>
      <x:c r="J1111" s="32" t="n">
        <x:f>INDEX(v01_FoodCap,G1111)*Arch_FoodCap*EXP(v01_CapsByProject*SUMPRODUCT((Cap_Point&lt;=I1111)*(Cap_Kind="Food")*Cap_Ln))</x:f>
        <x:v>500</x:v>
      </x:c>
      <x:c r="K1111" s="32" t="n">
        <x:f>J1111*MIN(1,v01_LeanBase*EXP(v01_CapsByProject*SUMPRODUCT((Cap_Point&lt;=I1111)*(Cap_Kind="Lean")*Cap_Ln)))</x:f>
        <x:v>500</x:v>
      </x:c>
      <x:c r="L1111" s="10" t="n">
        <x:f>INDEX(v01_HousingCap,G1111)*EXP(v01_CapsByProject*SUMPRODUCT((Cap_Point&lt;=I1111)*(Cap_Kind="Housing")*Cap_Ln))</x:f>
        <x:v>800</x:v>
      </x:c>
      <x:c r="M1111" s="10" t="n">
        <x:f>INDEX(v01_GroupCap,G1111)*v01_CohesionFactor*EXP(v01_CapsByProject*SUMPRODUCT((Cap_Point&lt;=I1111)*(Cap_Kind="Group")*Cap_Ln))</x:f>
        <x:v>10000</x:v>
      </x:c>
      <x:c r="N1111" s="32" t="n">
        <x:f>MIN(J1111,L1111,M1111)</x:f>
        <x:v>500</x:v>
      </x:c>
      <x:c r="O1111" s="10" t="n">
        <x:f>AE1110*N1111</x:f>
        <x:v>8000</x:v>
      </x:c>
      <x:c r="P1111" s="9" t="n">
        <x:f>MIN(1,(AB1110/(AE1110*IF(v01_GroupInCrowding=1,N1111,MIN(J1111,L1111))))^v01_CrowdingExp)</x:f>
        <x:v>0.164320619995315</x:v>
      </x:c>
      <x:c r="Q1111" s="9" t="n">
        <x:f>IF(D1111=1,INDEX(v01_WinterMult,G1111),1)</x:f>
        <x:v>1</x:v>
      </x:c>
      <x:c r="R1111" s="9" t="n">
        <x:f>H1111*Z1110*v01_WomenShare*v01_BaseFertility*INDEX(v01_FertMult,G1111)*Arch_Fertility*(1-P1111)</x:f>
        <x:v>69.9653852817558</x:v>
      </x:c>
      <x:c r="S1111" s="9" t="n">
        <x:f>H1111*Y1110*INDEX(v01_MortChild,G1111)/4*Q1111</x:f>
        <x:v>15.383247366147778</x:v>
      </x:c>
      <x:c r="T1111" s="9" t="n">
        <x:f>H1111*Z1110*INDEX(v01_MortAdult,G1111)*Arch_AdultMort/4*Q1111</x:f>
        <x:v>6.342633434201614</x:v>
      </x:c>
      <x:c r="U1111" s="9" t="n">
        <x:f>H1111*AA1110*INDEX(v01_MortElder,G1111)/4*Q1111</x:f>
        <x:v>13.834689306917468</x:v>
      </x:c>
      <x:c r="V1111" s="9" t="n">
        <x:f>H1111*MAX(0,AB1110-O1111)*v01_OvercapLoss</x:f>
        <x:v>0</x:v>
      </x:c>
      <x:c r="W1111" s="9" t="n">
        <x:f>H1111*Y1110/(v01_ChildYears*4)</x:f>
        <x:v>43.95213533185079</x:v>
      </x:c>
      <x:c r="X1111" s="9" t="n">
        <x:f>H1111*Z1110/(v01_AdultYears*4)</x:f>
        <x:v>20.46010785226327</x:v>
      </x:c>
      <x:c r="Y1111" s="32" t="n">
        <x:f>Y1110+R1111-S1111-W1111-Y1110*V1111/AB1110</x:f>
        <x:v>2471.9495811674014</x:v>
      </x:c>
      <x:c r="Z1111" s="32" t="n">
        <x:f>Z1110+W1111-X1111-T1111-Z1110*V1111/AB1110</x:f>
        <x:v>2554.2027677260317</x:v>
      </x:c>
      <x:c r="AA1111" s="32" t="n">
        <x:f>AA1110+X1111-U1111-AA1110*V1111/AB1110</x:f>
        <x:v>928.9380390065104</x:v>
      </x:c>
      <x:c r="AB1111" s="10" t="n">
        <x:f>Y1111+Z1111+AA1111</x:f>
        <x:v>5955.090387899943</x:v>
      </x:c>
      <x:c r="AC1111" s="8" t="n">
        <x:f>IF(AND(v01_WinterTrigger=1,D1111=1,AB1110/AE1110&gt;=K1111),1,0)</x:f>
        <x:v>0</x:v>
      </x:c>
      <x:c r="AD1111" s="8" t="n">
        <x:f>H1111*IF(AND(OR(AB1110/AE1110&gt;=v01_FissionTrigger*N1111,AC1111=1),AB1110/AE1110*v01_DaughterShare&gt;=v01_MinDaughter),MAX(1,ROUND(AE1110*v01_FissionRate,0)),0)</x:f>
        <x:v>0</x:v>
      </x:c>
      <x:c r="AE1111" s="8" t="n">
        <x:f>IF(H1111=1,MAX(1,MIN(INDEX(v01_Smax,G1111),AE1110+AD1111)),AE1110)</x:f>
        <x:v>16</x:v>
      </x:c>
      <x:c r="AF1111" s="8" t="n">
        <x:f>MAX(0,AE1111-AE1110)</x:f>
        <x:v>0</x:v>
      </x:c>
      <x:c r="AG1111" s="9" t="str">
        <x:f>IF(AF1111&gt;0,B1111,"")</x:f>
      </x:c>
      <x:c r="AH1111" s="9" t="n">
        <x:f>IF(F1111&gt;=1,1,(1+v01_LowTiesShare*(AE1111-1))/AE1111)</x:f>
        <x:v>1</x:v>
      </x:c>
      <x:c r="AI1111" s="32" t="n">
        <x:f>(Z1111+v01_ElderCommons*INDEX(LM_Elder,G1111)*AA1111)*AH1111</x:f>
        <x:v>5669.955670881895</x:v>
      </x:c>
      <x:c r="AJ1111" s="32" t="n">
        <x:f>H1111*v01_CommonsCoef*AI1111^v01_CommonsExp*INDEX(LM_Commons,G1111)</x:f>
        <x:v>1235.8728422809922</x:v>
      </x:c>
      <x:c r="AK1111" s="32" t="n">
        <x:f>H1111*v01_RoleScale*Arch_Roles*(AE1111*(INDEX(v01_ElderRolePerSett,G1111)*v01_OutElder*INDEX(LM_Elder,G1111)+INDEX(v01_ShamanPerSett,G1111)*v01_OutShaman)+Z1111*(INDEX(v01_PriestShare,G1111)*v01_OutPriest+INDEX(v01_ScribeShare,G1111)*v01_OutScribe*INDEX(LM_Scribe,G1111)+INDEX(v01_ScholarShare,G1111)*v01_OutScholar*INDEX(LM_Scholar,G1111)+INDEX(v01_ResearcherShare,G1111)*v01_OutResearcher*INDEX(LM_Researcher,G1111)))</x:f>
        <x:v>231.9586205492531</x:v>
      </x:c>
      <x:c r="AL1111" s="32" t="n">
        <x:f>H1111*v01_RoleScale*Arch_Roles*AE1111*INDEX(v01_MonasteryPerSett,G1111)*v01_OutMonastery*INDEX(LM_Monastery,G1111)</x:f>
        <x:v>5.034282471216728</x:v>
      </x:c>
      <x:c r="AM1111" s="32" t="n">
        <x:f>(AJ1111+AK1111+AL1111)/4*INDEX(LM_All,G1111)*INDEX(v01_Boon,G1111)*Arch_Insight</x:f>
        <x:v>530.7473791449872</x:v>
      </x:c>
      <x:c r="AN1111" s="32" t="n">
        <x:f>H1111*(v01_KHPerAdult*Z1111+v01_KHOfCommons*AJ1111/4*INDEX(LM_All,G1111))*v01_KHUsable*Arch_KH</x:f>
        <x:v>89.3970968704111</x:v>
      </x:c>
      <x:c r="AO1111" s="32" t="n">
        <x:f>MIN(AP1110+AN1111,AM1111*v01_KHMaxRatio)</x:f>
        <x:v>89.3970968704111</x:v>
      </x:c>
      <x:c r="AP1111" s="32" t="n">
        <x:f>AP1110+AN1111-AO1111</x:f>
        <x:v>0</x:v>
      </x:c>
      <x:c r="AQ1111" s="32" t="n">
        <x:f>AM1111+AO1111</x:f>
        <x:v>620.1444760153984</x:v>
      </x:c>
      <x:c r="AR1111" s="10" t="n">
        <x:f>IF(H1111=1,INDEX(v01_Req,G1111),0)</x:f>
        <x:v>47951.22698</x:v>
      </x:c>
      <x:c r="AS1111" s="32" t="n">
        <x:f>IF(H1111=1,IF(E1111=1,AS1110-AR1110,AS1110)+AQ1111,0)</x:f>
        <x:v>42056.4442420147</x:v>
      </x:c>
      <x:c r="AT1111" s="11" t="n">
        <x:f>IF(AR1111&gt;0,MIN(1,AS1111/AR1111),1)</x:f>
        <x:v>0.8770671136226826</x:v>
      </x:c>
      <x:c r="AU1111" s="10" t="n">
        <x:f>AB1111/INDEX(v01_RepScale,G1111)</x:f>
        <x:v>238.20361551599774</x:v>
      </x:c>
      <x:c r="AV1111" s="32" t="n">
        <x:f>AM1111*60/v01_SeasonSeconds</x:f>
        <x:v>2122.989516579949</x:v>
      </x:c>
    </x:row>
    <x:row r="1112">
      <x:c r="A1112" s="8" t="n">
        <x:f>A1111+1</x:f>
        <x:v>1109</x:v>
      </x:c>
      <x:c r="B1112" s="9" t="n">
        <x:f>A1112*v01_SeasonSeconds/60</x:f>
        <x:v>277.25</x:v>
      </x:c>
      <x:c r="C1112" s="9" t="n">
        <x:f>A1112/4</x:f>
        <x:v>277.25</x:v>
      </x:c>
      <x:c r="D1112" s="8" t="n">
        <x:f>IF(MOD(A1112,4)=0,1,0)</x:f>
        <x:v>0</x:v>
      </x:c>
      <x:c r="E1112" s="8" t="n">
        <x:f>IF(AND(F1111&lt;=9,AS1111&gt;=AR1111),1,0)</x:f>
        <x:v>0</x:v>
      </x:c>
      <x:c r="F1112" s="8" t="n">
        <x:f>MIN(10,F1111+E1112)</x:f>
        <x:v>5</x:v>
      </x:c>
      <x:c r="G1112" s="8" t="n">
        <x:f>MIN(F1112,9)+1</x:f>
        <x:v>6</x:v>
      </x:c>
      <x:c r="H1112" s="8" t="n">
        <x:f>IF(F1112&lt;=9,1,0)</x:f>
        <x:v>1</x:v>
      </x:c>
      <x:c r="I1112" s="9" t="n">
        <x:f>MIN(10,F1111+IF(AR1111&gt;0,MIN(1,AS1111/AR1111),1))</x:f>
        <x:v>5.877067113622683</x:v>
      </x:c>
      <x:c r="J1112" s="32" t="n">
        <x:f>INDEX(v01_FoodCap,G1112)*Arch_FoodCap*EXP(v01_CapsByProject*SUMPRODUCT((Cap_Point&lt;=I1112)*(Cap_Kind="Food")*Cap_Ln))</x:f>
        <x:v>500</x:v>
      </x:c>
      <x:c r="K1112" s="32" t="n">
        <x:f>J1112*MIN(1,v01_LeanBase*EXP(v01_CapsByProject*SUMPRODUCT((Cap_Point&lt;=I1112)*(Cap_Kind="Lean")*Cap_Ln)))</x:f>
        <x:v>500</x:v>
      </x:c>
      <x:c r="L1112" s="10" t="n">
        <x:f>INDEX(v01_HousingCap,G1112)*EXP(v01_CapsByProject*SUMPRODUCT((Cap_Point&lt;=I1112)*(Cap_Kind="Housing")*Cap_Ln))</x:f>
        <x:v>800</x:v>
      </x:c>
      <x:c r="M1112" s="10" t="n">
        <x:f>INDEX(v01_GroupCap,G1112)*v01_CohesionFactor*EXP(v01_CapsByProject*SUMPRODUCT((Cap_Point&lt;=I1112)*(Cap_Kind="Group")*Cap_Ln))</x:f>
        <x:v>10000</x:v>
      </x:c>
      <x:c r="N1112" s="32" t="n">
        <x:f>MIN(J1112,L1112,M1112)</x:f>
        <x:v>500</x:v>
      </x:c>
      <x:c r="O1112" s="10" t="n">
        <x:f>AE1111*N1112</x:f>
        <x:v>8000</x:v>
      </x:c>
      <x:c r="P1112" s="9" t="n">
        <x:f>MIN(1,(AB1111/(AE1111*IF(v01_GroupInCrowding=1,N1112,MIN(J1112,L1112))))^v01_CrowdingExp)</x:f>
        <x:v>0.17013365192956703</x:v>
      </x:c>
      <x:c r="Q1112" s="9" t="n">
        <x:f>IF(D1112=1,INDEX(v01_WinterMult,G1112),1)</x:f>
        <x:v>1</x:v>
      </x:c>
      <x:c r="R1112" s="9" t="n">
        <x:f>H1112*Z1111*v01_WomenShare*v01_BaseFertility*INDEX(v01_FertMult,G1112)*Arch_Fertility*(1-P1112)</x:f>
        <x:v>69.94834846177841</x:v>
      </x:c>
      <x:c r="S1112" s="9" t="n">
        <x:f>H1112*Y1111*INDEX(v01_MortChild,G1112)/4*Q1112</x:f>
        <x:v>15.44968488229626</x:v>
      </x:c>
      <x:c r="T1112" s="9" t="n">
        <x:f>H1112*Z1111*INDEX(v01_MortAdult,G1112)*Arch_AdultMort/4*Q1112</x:f>
        <x:v>6.3855069193150795</x:v>
      </x:c>
      <x:c r="U1112" s="9" t="n">
        <x:f>H1112*AA1111*INDEX(v01_MortElder,G1112)/4*Q1112</x:f>
        <x:v>13.934070585097656</x:v>
      </x:c>
      <x:c r="V1112" s="9" t="n">
        <x:f>H1112*MAX(0,AB1111-O1112)*v01_OvercapLoss</x:f>
        <x:v>0</x:v>
      </x:c>
      <x:c r="W1112" s="9" t="n">
        <x:f>H1112*Y1111/(v01_ChildYears*4)</x:f>
        <x:v>44.14195680656074</x:v>
      </x:c>
      <x:c r="X1112" s="9" t="n">
        <x:f>H1112*Z1111/(v01_AdultYears*4)</x:f>
        <x:v>20.598409417145415</x:v>
      </x:c>
      <x:c r="Y1112" s="32" t="n">
        <x:f>Y1111+R1112-S1112-W1112-Y1111*V1112/AB1111</x:f>
        <x:v>2482.306287940323</x:v>
      </x:c>
      <x:c r="Z1112" s="32" t="n">
        <x:f>Z1111+W1112-X1112-T1112-Z1111*V1112/AB1111</x:f>
        <x:v>2571.360808196132</x:v>
      </x:c>
      <x:c r="AA1112" s="32" t="n">
        <x:f>AA1111+X1112-U1112-AA1111*V1112/AB1111</x:f>
        <x:v>935.6023778385581</x:v>
      </x:c>
      <x:c r="AB1112" s="10" t="n">
        <x:f>Y1112+Z1112+AA1112</x:f>
        <x:v>5989.269473975012</x:v>
      </x:c>
      <x:c r="AC1112" s="8" t="n">
        <x:f>IF(AND(v01_WinterTrigger=1,D1112=1,AB1111/AE1111&gt;=K1112),1,0)</x:f>
        <x:v>0</x:v>
      </x:c>
      <x:c r="AD1112" s="8" t="n">
        <x:f>H1112*IF(AND(OR(AB1111/AE1111&gt;=v01_FissionTrigger*N1112,AC1112=1),AB1111/AE1111*v01_DaughterShare&gt;=v01_MinDaughter),MAX(1,ROUND(AE1111*v01_FissionRate,0)),0)</x:f>
        <x:v>0</x:v>
      </x:c>
      <x:c r="AE1112" s="8" t="n">
        <x:f>IF(H1112=1,MAX(1,MIN(INDEX(v01_Smax,G1112),AE1111+AD1112)),AE1111)</x:f>
        <x:v>16</x:v>
      </x:c>
      <x:c r="AF1112" s="8" t="n">
        <x:f>MAX(0,AE1112-AE1111)</x:f>
        <x:v>0</x:v>
      </x:c>
      <x:c r="AG1112" s="9" t="str">
        <x:f>IF(AF1112&gt;0,B1112,"")</x:f>
      </x:c>
      <x:c r="AH1112" s="9" t="n">
        <x:f>IF(F1112&gt;=1,1,(1+v01_LowTiesShare*(AE1112-1))/AE1112)</x:f>
        <x:v>1</x:v>
      </x:c>
      <x:c r="AI1112" s="32" t="n">
        <x:f>(Z1112+v01_ElderCommons*INDEX(LM_Elder,G1112)*AA1112)*AH1112</x:f>
        <x:v>5709.46658333232</x:v>
      </x:c>
      <x:c r="AJ1112" s="32" t="n">
        <x:f>H1112*v01_CommonsCoef*AI1112^v01_CommonsExp*INDEX(LM_Commons,G1112)</x:f>
        <x:v>1243.1893473503258</x:v>
      </x:c>
      <x:c r="AK1112" s="32" t="n">
        <x:f>H1112*v01_RoleScale*Arch_Roles*(AE1112*(INDEX(v01_ElderRolePerSett,G1112)*v01_OutElder*INDEX(LM_Elder,G1112)+INDEX(v01_ShamanPerSett,G1112)*v01_OutShaman)+Z1112*(INDEX(v01_PriestShare,G1112)*v01_OutPriest+INDEX(v01_ScribeShare,G1112)*v01_OutScribe*INDEX(LM_Scribe,G1112)+INDEX(v01_ScholarShare,G1112)*v01_OutScholar*INDEX(LM_Scholar,G1112)+INDEX(v01_ResearcherShare,G1112)*v01_OutResearcher*INDEX(LM_Researcher,G1112)))</x:f>
        <x:v>233.1753461469765</x:v>
      </x:c>
      <x:c r="AL1112" s="32" t="n">
        <x:f>H1112*v01_RoleScale*Arch_Roles*AE1112*INDEX(v01_MonasteryPerSett,G1112)*v01_OutMonastery*INDEX(LM_Monastery,G1112)</x:f>
        <x:v>5.034282471216728</x:v>
      </x:c>
      <x:c r="AM1112" s="32" t="n">
        <x:f>(AJ1112+AK1112+AL1112)/4*INDEX(LM_All,G1112)*INDEX(v01_Boon,G1112)*Arch_Insight</x:f>
        <x:v>533.8223300199247</x:v>
      </x:c>
      <x:c r="AN1112" s="32" t="n">
        <x:f>H1112*(v01_KHPerAdult*Z1112+v01_KHOfCommons*AJ1112/4*INDEX(LM_All,G1112))*v01_KHUsable*Arch_KH</x:f>
        <x:v>89.99762828686461</x:v>
      </x:c>
      <x:c r="AO1112" s="32" t="n">
        <x:f>MIN(AP1111+AN1112,AM1112*v01_KHMaxRatio)</x:f>
        <x:v>89.99762828686461</x:v>
      </x:c>
      <x:c r="AP1112" s="32" t="n">
        <x:f>AP1111+AN1112-AO1112</x:f>
        <x:v>0</x:v>
      </x:c>
      <x:c r="AQ1112" s="32" t="n">
        <x:f>AM1112+AO1112</x:f>
        <x:v>623.8199583067893</x:v>
      </x:c>
      <x:c r="AR1112" s="10" t="n">
        <x:f>IF(H1112=1,INDEX(v01_Req,G1112),0)</x:f>
        <x:v>47951.22698</x:v>
      </x:c>
      <x:c r="AS1112" s="32" t="n">
        <x:f>IF(H1112=1,IF(E1112=1,AS1111-AR1111,AS1111)+AQ1112,0)</x:f>
        <x:v>42680.26420032149</x:v>
      </x:c>
      <x:c r="AT1112" s="11" t="n">
        <x:f>IF(AR1112&gt;0,MIN(1,AS1112/AR1112),1)</x:f>
        <x:v>0.890076581734249</x:v>
      </x:c>
      <x:c r="AU1112" s="10" t="n">
        <x:f>AB1112/INDEX(v01_RepScale,G1112)</x:f>
        <x:v>239.57077895900048</x:v>
      </x:c>
      <x:c r="AV1112" s="32" t="n">
        <x:f>AM1112*60/v01_SeasonSeconds</x:f>
        <x:v>2135.289320079699</x:v>
      </x:c>
    </x:row>
    <x:row r="1113">
      <x:c r="A1113" s="8" t="n">
        <x:f>A1112+1</x:f>
        <x:v>1110</x:v>
      </x:c>
      <x:c r="B1113" s="9" t="n">
        <x:f>A1113*v01_SeasonSeconds/60</x:f>
        <x:v>277.5</x:v>
      </x:c>
      <x:c r="C1113" s="9" t="n">
        <x:f>A1113/4</x:f>
        <x:v>277.5</x:v>
      </x:c>
      <x:c r="D1113" s="8" t="n">
        <x:f>IF(MOD(A1113,4)=0,1,0)</x:f>
        <x:v>0</x:v>
      </x:c>
      <x:c r="E1113" s="8" t="n">
        <x:f>IF(AND(F1112&lt;=9,AS1112&gt;=AR1112),1,0)</x:f>
        <x:v>0</x:v>
      </x:c>
      <x:c r="F1113" s="8" t="n">
        <x:f>MIN(10,F1112+E1113)</x:f>
        <x:v>5</x:v>
      </x:c>
      <x:c r="G1113" s="8" t="n">
        <x:f>MIN(F1113,9)+1</x:f>
        <x:v>6</x:v>
      </x:c>
      <x:c r="H1113" s="8" t="n">
        <x:f>IF(F1113&lt;=9,1,0)</x:f>
        <x:v>1</x:v>
      </x:c>
      <x:c r="I1113" s="9" t="n">
        <x:f>MIN(10,F1112+IF(AR1112&gt;0,MIN(1,AS1112/AR1112),1))</x:f>
        <x:v>5.890076581734249</x:v>
      </x:c>
      <x:c r="J1113" s="32" t="n">
        <x:f>INDEX(v01_FoodCap,G1113)*Arch_FoodCap*EXP(v01_CapsByProject*SUMPRODUCT((Cap_Point&lt;=I1113)*(Cap_Kind="Food")*Cap_Ln))</x:f>
        <x:v>500</x:v>
      </x:c>
      <x:c r="K1113" s="32" t="n">
        <x:f>J1113*MIN(1,v01_LeanBase*EXP(v01_CapsByProject*SUMPRODUCT((Cap_Point&lt;=I1113)*(Cap_Kind="Lean")*Cap_Ln)))</x:f>
        <x:v>500</x:v>
      </x:c>
      <x:c r="L1113" s="10" t="n">
        <x:f>INDEX(v01_HousingCap,G1113)*EXP(v01_CapsByProject*SUMPRODUCT((Cap_Point&lt;=I1113)*(Cap_Kind="Housing")*Cap_Ln))</x:f>
        <x:v>800</x:v>
      </x:c>
      <x:c r="M1113" s="10" t="n">
        <x:f>INDEX(v01_GroupCap,G1113)*v01_CohesionFactor*EXP(v01_CapsByProject*SUMPRODUCT((Cap_Point&lt;=I1113)*(Cap_Kind="Group")*Cap_Ln))</x:f>
        <x:v>10000</x:v>
      </x:c>
      <x:c r="N1113" s="32" t="n">
        <x:f>MIN(J1113,L1113,M1113)</x:f>
        <x:v>500</x:v>
      </x:c>
      <x:c r="O1113" s="10" t="n">
        <x:f>AE1112*N1113</x:f>
        <x:v>8000</x:v>
      </x:c>
      <x:c r="P1113" s="9" t="n">
        <x:f>MIN(1,(AB1112/(AE1112*IF(v01_GroupInCrowding=1,N1113,MIN(J1113,L1113))))^v01_CrowdingExp)</x:f>
        <x:v>0.17607723102704198</x:v>
      </x:c>
      <x:c r="Q1113" s="9" t="n">
        <x:f>IF(D1113=1,INDEX(v01_WinterMult,G1113),1)</x:f>
        <x:v>1</x:v>
      </x:c>
      <x:c r="R1113" s="9" t="n">
        <x:f>H1113*Z1112*v01_WomenShare*v01_BaseFertility*INDEX(v01_FertMult,G1113)*Arch_Fertility*(1-P1113)</x:f>
        <x:v>69.91388966487752</x:v>
      </x:c>
      <x:c r="S1113" s="9" t="n">
        <x:f>H1113*Y1112*INDEX(v01_MortChild,G1113)/4*Q1113</x:f>
        <x:v>15.514414299627019</x:v>
      </x:c>
      <x:c r="T1113" s="9" t="n">
        <x:f>H1113*Z1112*INDEX(v01_MortAdult,G1113)*Arch_AdultMort/4*Q1113</x:f>
        <x:v>6.4284020204903305</x:v>
      </x:c>
      <x:c r="U1113" s="9" t="n">
        <x:f>H1113*AA1112*INDEX(v01_MortElder,G1113)/4*Q1113</x:f>
        <x:v>14.034035667578372</x:v>
      </x:c>
      <x:c r="V1113" s="9" t="n">
        <x:f>H1113*MAX(0,AB1112-O1113)*v01_OvercapLoss</x:f>
        <x:v>0</x:v>
      </x:c>
      <x:c r="W1113" s="9" t="n">
        <x:f>H1113*Y1112/(v01_ChildYears*4)</x:f>
        <x:v>44.326897998934335</x:v>
      </x:c>
      <x:c r="X1113" s="9" t="n">
        <x:f>H1113*Z1112/(v01_AdultYears*4)</x:f>
        <x:v>20.73678071125913</x:v>
      </x:c>
      <x:c r="Y1113" s="32" t="n">
        <x:f>Y1112+R1113-S1113-W1113-Y1112*V1113/AB1112</x:f>
        <x:v>2492.378865306639</x:v>
      </x:c>
      <x:c r="Z1113" s="32" t="n">
        <x:f>Z1112+W1113-X1113-T1113-Z1112*V1113/AB1112</x:f>
        <x:v>2588.5225234633167</x:v>
      </x:c>
      <x:c r="AA1113" s="32" t="n">
        <x:f>AA1112+X1113-U1113-AA1112*V1113/AB1112</x:f>
        <x:v>942.305122882239</x:v>
      </x:c>
      <x:c r="AB1113" s="10" t="n">
        <x:f>Y1113+Z1113+AA1113</x:f>
        <x:v>6023.206511652194</x:v>
      </x:c>
      <x:c r="AC1113" s="8" t="n">
        <x:f>IF(AND(v01_WinterTrigger=1,D1113=1,AB1112/AE1112&gt;=K1113),1,0)</x:f>
        <x:v>0</x:v>
      </x:c>
      <x:c r="AD1113" s="8" t="n">
        <x:f>H1113*IF(AND(OR(AB1112/AE1112&gt;=v01_FissionTrigger*N1113,AC1113=1),AB1112/AE1112*v01_DaughterShare&gt;=v01_MinDaughter),MAX(1,ROUND(AE1112*v01_FissionRate,0)),0)</x:f>
        <x:v>0</x:v>
      </x:c>
      <x:c r="AE1113" s="8" t="n">
        <x:f>IF(H1113=1,MAX(1,MIN(INDEX(v01_Smax,G1113),AE1112+AD1113)),AE1112)</x:f>
        <x:v>16</x:v>
      </x:c>
      <x:c r="AF1113" s="8" t="n">
        <x:f>MAX(0,AE1113-AE1112)</x:f>
        <x:v>0</x:v>
      </x:c>
      <x:c r="AG1113" s="9" t="str">
        <x:f>IF(AF1113&gt;0,B1113,"")</x:f>
      </x:c>
      <x:c r="AH1113" s="9" t="n">
        <x:f>IF(F1113&gt;=1,1,(1+v01_LowTiesShare*(AE1113-1))/AE1113)</x:f>
        <x:v>1</x:v>
      </x:c>
      <x:c r="AI1113" s="32" t="n">
        <x:f>(Z1113+v01_ElderCommons*INDEX(LM_Elder,G1113)*AA1113)*AH1113</x:f>
        <x:v>5749.109988929786</x:v>
      </x:c>
      <x:c r="AJ1113" s="32" t="n">
        <x:f>H1113*v01_CommonsCoef*AI1113^v01_CommonsExp*INDEX(LM_Commons,G1113)</x:f>
        <x:v>1250.5227579950256</x:v>
      </x:c>
      <x:c r="AK1113" s="32" t="n">
        <x:f>H1113*v01_RoleScale*Arch_Roles*(AE1113*(INDEX(v01_ElderRolePerSett,G1113)*v01_OutElder*INDEX(LM_Elder,G1113)+INDEX(v01_ShamanPerSett,G1113)*v01_OutShaman)+Z1113*(INDEX(v01_PriestShare,G1113)*v01_OutPriest+INDEX(v01_ScribeShare,G1113)*v01_OutScribe*INDEX(LM_Scribe,G1113)+INDEX(v01_ScholarShare,G1113)*v01_OutScholar*INDEX(LM_Scholar,G1113)+INDEX(v01_ResearcherShare,G1113)*v01_OutResearcher*INDEX(LM_Researcher,G1113)))</x:f>
        <x:v>234.39233233504456</x:v>
      </x:c>
      <x:c r="AL1113" s="32" t="n">
        <x:f>H1113*v01_RoleScale*Arch_Roles*AE1113*INDEX(v01_MonasteryPerSett,G1113)*v01_OutMonastery*INDEX(LM_Monastery,G1113)</x:f>
        <x:v>5.034282471216728</x:v>
      </x:c>
      <x:c r="AM1113" s="32" t="n">
        <x:f>(AJ1113+AK1113+AL1113)/4*INDEX(LM_All,G1113)*INDEX(v01_Boon,G1113)*Arch_Insight</x:f>
        <x:v>536.9034667250983</x:v>
      </x:c>
      <x:c r="AN1113" s="32" t="n">
        <x:f>H1113*(v01_KHPerAdult*Z1113+v01_KHOfCommons*AJ1113/4*INDEX(LM_All,G1113))*v01_KHUsable*Arch_KH</x:f>
        <x:v>90.59828832121609</x:v>
      </x:c>
      <x:c r="AO1113" s="32" t="n">
        <x:f>MIN(AP1112+AN1113,AM1113*v01_KHMaxRatio)</x:f>
        <x:v>90.59828832121609</x:v>
      </x:c>
      <x:c r="AP1113" s="32" t="n">
        <x:f>AP1112+AN1113-AO1113</x:f>
        <x:v>0</x:v>
      </x:c>
      <x:c r="AQ1113" s="32" t="n">
        <x:f>AM1113+AO1113</x:f>
        <x:v>627.5017550463143</x:v>
      </x:c>
      <x:c r="AR1113" s="10" t="n">
        <x:f>IF(H1113=1,INDEX(v01_Req,G1113),0)</x:f>
        <x:v>47951.22698</x:v>
      </x:c>
      <x:c r="AS1113" s="32" t="n">
        <x:f>IF(H1113=1,IF(E1113=1,AS1112-AR1112,AS1112)+AQ1113,0)</x:f>
        <x:v>43307.76595536781</x:v>
      </x:c>
      <x:c r="AT1113" s="11" t="n">
        <x:f>IF(AR1113&gt;0,MIN(1,AS1113/AR1113),1)</x:f>
        <x:v>0.9031628319632169</x:v>
      </x:c>
      <x:c r="AU1113" s="10" t="n">
        <x:f>AB1113/INDEX(v01_RepScale,G1113)</x:f>
        <x:v>240.92826046608778</x:v>
      </x:c>
      <x:c r="AV1113" s="32" t="n">
        <x:f>AM1113*60/v01_SeasonSeconds</x:f>
        <x:v>2147.613866900393</x:v>
      </x:c>
    </x:row>
    <x:row r="1114">
      <x:c r="A1114" s="8" t="n">
        <x:f>A1113+1</x:f>
        <x:v>1111</x:v>
      </x:c>
      <x:c r="B1114" s="9" t="n">
        <x:f>A1114*v01_SeasonSeconds/60</x:f>
        <x:v>277.75</x:v>
      </x:c>
      <x:c r="C1114" s="9" t="n">
        <x:f>A1114/4</x:f>
        <x:v>277.75</x:v>
      </x:c>
      <x:c r="D1114" s="8" t="n">
        <x:f>IF(MOD(A1114,4)=0,1,0)</x:f>
        <x:v>0</x:v>
      </x:c>
      <x:c r="E1114" s="8" t="n">
        <x:f>IF(AND(F1113&lt;=9,AS1113&gt;=AR1113),1,0)</x:f>
        <x:v>0</x:v>
      </x:c>
      <x:c r="F1114" s="8" t="n">
        <x:f>MIN(10,F1113+E1114)</x:f>
        <x:v>5</x:v>
      </x:c>
      <x:c r="G1114" s="8" t="n">
        <x:f>MIN(F1114,9)+1</x:f>
        <x:v>6</x:v>
      </x:c>
      <x:c r="H1114" s="8" t="n">
        <x:f>IF(F1114&lt;=9,1,0)</x:f>
        <x:v>1</x:v>
      </x:c>
      <x:c r="I1114" s="9" t="n">
        <x:f>MIN(10,F1113+IF(AR1113&gt;0,MIN(1,AS1113/AR1113),1))</x:f>
        <x:v>5.903162831963217</x:v>
      </x:c>
      <x:c r="J1114" s="32" t="n">
        <x:f>INDEX(v01_FoodCap,G1114)*Arch_FoodCap*EXP(v01_CapsByProject*SUMPRODUCT((Cap_Point&lt;=I1114)*(Cap_Kind="Food")*Cap_Ln))</x:f>
        <x:v>500</x:v>
      </x:c>
      <x:c r="K1114" s="32" t="n">
        <x:f>J1114*MIN(1,v01_LeanBase*EXP(v01_CapsByProject*SUMPRODUCT((Cap_Point&lt;=I1114)*(Cap_Kind="Lean")*Cap_Ln)))</x:f>
        <x:v>500</x:v>
      </x:c>
      <x:c r="L1114" s="10" t="n">
        <x:f>INDEX(v01_HousingCap,G1114)*EXP(v01_CapsByProject*SUMPRODUCT((Cap_Point&lt;=I1114)*(Cap_Kind="Housing")*Cap_Ln))</x:f>
        <x:v>800</x:v>
      </x:c>
      <x:c r="M1114" s="10" t="n">
        <x:f>INDEX(v01_GroupCap,G1114)*v01_CohesionFactor*EXP(v01_CapsByProject*SUMPRODUCT((Cap_Point&lt;=I1114)*(Cap_Kind="Group")*Cap_Ln))</x:f>
        <x:v>10000</x:v>
      </x:c>
      <x:c r="N1114" s="32" t="n">
        <x:f>MIN(J1114,L1114,M1114)</x:f>
        <x:v>500</x:v>
      </x:c>
      <x:c r="O1114" s="10" t="n">
        <x:f>AE1113*N1114</x:f>
        <x:v>8000</x:v>
      </x:c>
      <x:c r="P1114" s="9" t="n">
        <x:f>MIN(1,(AB1113/(AE1113*IF(v01_GroupInCrowding=1,N1114,MIN(J1114,L1114))))^v01_CrowdingExp)</x:f>
        <x:v>0.18214891973320796</x:v>
      </x:c>
      <x:c r="Q1114" s="9" t="n">
        <x:f>IF(D1114=1,INDEX(v01_WinterMult,G1114),1)</x:f>
        <x:v>1</x:v>
      </x:c>
      <x:c r="R1114" s="9" t="n">
        <x:f>H1114*Z1113*v01_WomenShare*v01_BaseFertility*INDEX(v01_FertMult,G1114)*Arch_Fertility*(1-P1114)</x:f>
        <x:v>69.86185608961009</x:v>
      </x:c>
      <x:c r="S1114" s="9" t="n">
        <x:f>H1114*Y1113*INDEX(v01_MortChild,G1114)/4*Q1114</x:f>
        <x:v>15.577367908166494</x:v>
      </x:c>
      <x:c r="T1114" s="9" t="n">
        <x:f>H1114*Z1113*INDEX(v01_MortAdult,G1114)*Arch_AdultMort/4*Q1114</x:f>
        <x:v>6.471306308658292</x:v>
      </x:c>
      <x:c r="U1114" s="9" t="n">
        <x:f>H1114*AA1113*INDEX(v01_MortElder,G1114)/4*Q1114</x:f>
        <x:v>14.134576843233583</x:v>
      </x:c>
      <x:c r="V1114" s="9" t="n">
        <x:f>H1114*MAX(0,AB1113-O1114)*v01_OvercapLoss</x:f>
        <x:v>0</x:v>
      </x:c>
      <x:c r="W1114" s="9" t="n">
        <x:f>H1114*Y1113/(v01_ChildYears*4)</x:f>
        <x:v>44.506765451904265</x:v>
      </x:c>
      <x:c r="X1114" s="9" t="n">
        <x:f>H1114*Z1113/(v01_AdultYears*4)</x:f>
        <x:v>20.875181640833198</x:v>
      </x:c>
      <x:c r="Y1114" s="32" t="n">
        <x:f>Y1113+R1114-S1114-W1114-Y1113*V1114/AB1113</x:f>
        <x:v>2502.156588036178</x:v>
      </x:c>
      <x:c r="Z1114" s="32" t="n">
        <x:f>Z1113+W1114-X1114-T1114-Z1113*V1114/AB1113</x:f>
        <x:v>2605.6828009657297</x:v>
      </x:c>
      <x:c r="AA1114" s="32" t="n">
        <x:f>AA1113+X1114-U1114-AA1113*V1114/AB1113</x:f>
        <x:v>949.0457276798385</x:v>
      </x:c>
      <x:c r="AB1114" s="10" t="n">
        <x:f>Y1114+Z1114+AA1114</x:f>
        <x:v>6056.885116681747</x:v>
      </x:c>
      <x:c r="AC1114" s="8" t="n">
        <x:f>IF(AND(v01_WinterTrigger=1,D1114=1,AB1113/AE1113&gt;=K1114),1,0)</x:f>
        <x:v>0</x:v>
      </x:c>
      <x:c r="AD1114" s="8" t="n">
        <x:f>H1114*IF(AND(OR(AB1113/AE1113&gt;=v01_FissionTrigger*N1114,AC1114=1),AB1113/AE1113*v01_DaughterShare&gt;=v01_MinDaughter),MAX(1,ROUND(AE1113*v01_FissionRate,0)),0)</x:f>
        <x:v>0</x:v>
      </x:c>
      <x:c r="AE1114" s="8" t="n">
        <x:f>IF(H1114=1,MAX(1,MIN(INDEX(v01_Smax,G1114),AE1113+AD1114)),AE1113)</x:f>
        <x:v>16</x:v>
      </x:c>
      <x:c r="AF1114" s="8" t="n">
        <x:f>MAX(0,AE1114-AE1113)</x:f>
        <x:v>0</x:v>
      </x:c>
      <x:c r="AG1114" s="9" t="str">
        <x:f>IF(AF1114&gt;0,B1114,"")</x:f>
      </x:c>
      <x:c r="AH1114" s="9" t="n">
        <x:f>IF(F1114&gt;=1,1,(1+v01_LowTiesShare*(AE1114-1))/AE1114)</x:f>
        <x:v>1</x:v>
      </x:c>
      <x:c r="AI1114" s="32" t="n">
        <x:f>(Z1114+v01_ElderCommons*INDEX(LM_Elder,G1114)*AA1114)*AH1114</x:f>
        <x:v>5788.878942237539</x:v>
      </x:c>
      <x:c r="AJ1114" s="32" t="n">
        <x:f>H1114*v01_CommonsCoef*AI1114^v01_CommonsExp*INDEX(LM_Commons,G1114)</x:f>
        <x:v>1257.871775662748</x:v>
      </x:c>
      <x:c r="AK1114" s="32" t="n">
        <x:f>H1114*v01_RoleScale*Arch_Roles*(AE1114*(INDEX(v01_ElderRolePerSett,G1114)*v01_OutElder*INDEX(LM_Elder,G1114)+INDEX(v01_ShamanPerSett,G1114)*v01_OutShaman)+Z1114*(INDEX(v01_PriestShare,G1114)*v01_OutPriest+INDEX(v01_ScribeShare,G1114)*v01_OutScribe*INDEX(LM_Scribe,G1114)+INDEX(v01_ScholarShare,G1114)*v01_OutScholar*INDEX(LM_Scholar,G1114)+INDEX(v01_ResearcherShare,G1114)*v01_OutResearcher*INDEX(LM_Researcher,G1114)))</x:f>
        <x:v>235.60921656711105</x:v>
      </x:c>
      <x:c r="AL1114" s="32" t="n">
        <x:f>H1114*v01_RoleScale*Arch_Roles*AE1114*INDEX(v01_MonasteryPerSett,G1114)*v01_OutMonastery*INDEX(LM_Monastery,G1114)</x:f>
        <x:v>5.034282471216728</x:v>
      </x:c>
      <x:c r="AM1114" s="32" t="n">
        <x:f>(AJ1114+AK1114+AL1114)/4*INDEX(LM_All,G1114)*INDEX(v01_Boon,G1114)*Arch_Insight</x:f>
        <x:v>539.9901906833608</x:v>
      </x:c>
      <x:c r="AN1114" s="32" t="n">
        <x:f>H1114*(v01_KHPerAdult*Z1114+v01_KHOfCommons*AJ1114/4*INDEX(LM_All,G1114))*v01_KHUsable*Arch_KH</x:f>
        <x:v>91.19889803380055</x:v>
      </x:c>
      <x:c r="AO1114" s="32" t="n">
        <x:f>MIN(AP1113+AN1114,AM1114*v01_KHMaxRatio)</x:f>
        <x:v>91.19889803380055</x:v>
      </x:c>
      <x:c r="AP1114" s="32" t="n">
        <x:f>AP1113+AN1114-AO1114</x:f>
        <x:v>0</x:v>
      </x:c>
      <x:c r="AQ1114" s="32" t="n">
        <x:f>AM1114+AO1114</x:f>
        <x:v>631.1890887171613</x:v>
      </x:c>
      <x:c r="AR1114" s="10" t="n">
        <x:f>IF(H1114=1,INDEX(v01_Req,G1114),0)</x:f>
        <x:v>47951.22698</x:v>
      </x:c>
      <x:c r="AS1114" s="32" t="n">
        <x:f>IF(H1114=1,IF(E1114=1,AS1113-AR1113,AS1113)+AQ1114,0)</x:f>
        <x:v>43938.95504408497</x:v>
      </x:c>
      <x:c r="AT1114" s="11" t="n">
        <x:f>IF(AR1114&gt;0,MIN(1,AS1114/AR1114),1)</x:f>
        <x:v>0.9163259797796518</x:v>
      </x:c>
      <x:c r="AU1114" s="10" t="n">
        <x:f>AB1114/INDEX(v01_RepScale,G1114)</x:f>
        <x:v>242.27540466726987</x:v>
      </x:c>
      <x:c r="AV1114" s="32" t="n">
        <x:f>AM1114*60/v01_SeasonSeconds</x:f>
        <x:v>2159.960762733443</x:v>
      </x:c>
    </x:row>
    <x:row r="1115">
      <x:c r="A1115" s="8" t="n">
        <x:f>A1114+1</x:f>
        <x:v>1112</x:v>
      </x:c>
      <x:c r="B1115" s="9" t="n">
        <x:f>A1115*v01_SeasonSeconds/60</x:f>
        <x:v>278</x:v>
      </x:c>
      <x:c r="C1115" s="9" t="n">
        <x:f>A1115/4</x:f>
        <x:v>278</x:v>
      </x:c>
      <x:c r="D1115" s="8" t="n">
        <x:f>IF(MOD(A1115,4)=0,1,0)</x:f>
        <x:v>1</x:v>
      </x:c>
      <x:c r="E1115" s="8" t="n">
        <x:f>IF(AND(F1114&lt;=9,AS1114&gt;=AR1114),1,0)</x:f>
        <x:v>0</x:v>
      </x:c>
      <x:c r="F1115" s="8" t="n">
        <x:f>MIN(10,F1114+E1115)</x:f>
        <x:v>5</x:v>
      </x:c>
      <x:c r="G1115" s="8" t="n">
        <x:f>MIN(F1115,9)+1</x:f>
        <x:v>6</x:v>
      </x:c>
      <x:c r="H1115" s="8" t="n">
        <x:f>IF(F1115&lt;=9,1,0)</x:f>
        <x:v>1</x:v>
      </x:c>
      <x:c r="I1115" s="9" t="n">
        <x:f>MIN(10,F1114+IF(AR1114&gt;0,MIN(1,AS1114/AR1114),1))</x:f>
        <x:v>5.916325979779652</x:v>
      </x:c>
      <x:c r="J1115" s="32" t="n">
        <x:f>INDEX(v01_FoodCap,G1115)*Arch_FoodCap*EXP(v01_CapsByProject*SUMPRODUCT((Cap_Point&lt;=I1115)*(Cap_Kind="Food")*Cap_Ln))</x:f>
        <x:v>500</x:v>
      </x:c>
      <x:c r="K1115" s="32" t="n">
        <x:f>J1115*MIN(1,v01_LeanBase*EXP(v01_CapsByProject*SUMPRODUCT((Cap_Point&lt;=I1115)*(Cap_Kind="Lean")*Cap_Ln)))</x:f>
        <x:v>500</x:v>
      </x:c>
      <x:c r="L1115" s="10" t="n">
        <x:f>INDEX(v01_HousingCap,G1115)*EXP(v01_CapsByProject*SUMPRODUCT((Cap_Point&lt;=I1115)*(Cap_Kind="Housing")*Cap_Ln))</x:f>
        <x:v>800</x:v>
      </x:c>
      <x:c r="M1115" s="10" t="n">
        <x:f>INDEX(v01_GroupCap,G1115)*v01_CohesionFactor*EXP(v01_CapsByProject*SUMPRODUCT((Cap_Point&lt;=I1115)*(Cap_Kind="Group")*Cap_Ln))</x:f>
        <x:v>10000</x:v>
      </x:c>
      <x:c r="N1115" s="32" t="n">
        <x:f>MIN(J1115,L1115,M1115)</x:f>
        <x:v>500</x:v>
      </x:c>
      <x:c r="O1115" s="10" t="n">
        <x:f>AE1114*N1115</x:f>
        <x:v>8000</x:v>
      </x:c>
      <x:c r="P1115" s="9" t="n">
        <x:f>MIN(1,(AB1114/(AE1114*IF(v01_GroupInCrowding=1,N1115,MIN(J1115,L1115))))^v01_CrowdingExp)</x:f>
        <x:v>0.18834586754863614</x:v>
      </x:c>
      <x:c r="Q1115" s="9" t="n">
        <x:f>IF(D1115=1,INDEX(v01_WinterMult,G1115),1)</x:f>
        <x:v>1</x:v>
      </x:c>
      <x:c r="R1115" s="9" t="n">
        <x:f>H1115*Z1114*v01_WomenShare*v01_BaseFertility*INDEX(v01_FertMult,G1115)*Arch_Fertility*(1-P1115)</x:f>
        <x:v>69.79213603762221</x:v>
      </x:c>
      <x:c r="S1115" s="9" t="n">
        <x:f>H1115*Y1114*INDEX(v01_MortChild,G1115)/4*Q1115</x:f>
        <x:v>15.638478675226114</x:v>
      </x:c>
      <x:c r="T1115" s="9" t="n">
        <x:f>H1115*Z1114*INDEX(v01_MortAdult,G1115)*Arch_AdultMort/4*Q1115</x:f>
        <x:v>6.514207002414325</x:v>
      </x:c>
      <x:c r="U1115" s="9" t="n">
        <x:f>H1115*AA1114*INDEX(v01_MortElder,G1115)/4*Q1115</x:f>
        <x:v>14.235685915197577</x:v>
      </x:c>
      <x:c r="V1115" s="9" t="n">
        <x:f>H1115*MAX(0,AB1114-O1115)*v01_OvercapLoss</x:f>
        <x:v>0</x:v>
      </x:c>
      <x:c r="W1115" s="9" t="n">
        <x:f>H1115*Y1114/(v01_ChildYears*4)</x:f>
        <x:v>44.68136764350318</x:v>
      </x:c>
      <x:c r="X1115" s="9" t="n">
        <x:f>H1115*Z1114/(v01_AdultYears*4)</x:f>
        <x:v>21.01357097553008</x:v>
      </x:c>
      <x:c r="Y1115" s="32" t="n">
        <x:f>Y1114+R1115-S1115-W1115-Y1114*V1115/AB1114</x:f>
        <x:v>2511.6288777550712</x:v>
      </x:c>
      <x:c r="Z1115" s="32" t="n">
        <x:f>Z1114+W1115-X1115-T1115-Z1114*V1115/AB1114</x:f>
        <x:v>2622.8363906312884</x:v>
      </x:c>
      <x:c r="AA1115" s="32" t="n">
        <x:f>AA1114+X1115-U1115-AA1114*V1115/AB1114</x:f>
        <x:v>955.823612740171</x:v>
      </x:c>
      <x:c r="AB1115" s="10" t="n">
        <x:f>Y1115+Z1115+AA1115</x:f>
        <x:v>6090.288881126531</x:v>
      </x:c>
      <x:c r="AC1115" s="8" t="n">
        <x:f>IF(AND(v01_WinterTrigger=1,D1115=1,AB1114/AE1114&gt;=K1115),1,0)</x:f>
        <x:v>0</x:v>
      </x:c>
      <x:c r="AD1115" s="8" t="n">
        <x:f>H1115*IF(AND(OR(AB1114/AE1114&gt;=v01_FissionTrigger*N1115,AC1115=1),AB1114/AE1114*v01_DaughterShare&gt;=v01_MinDaughter),MAX(1,ROUND(AE1114*v01_FissionRate,0)),0)</x:f>
        <x:v>0</x:v>
      </x:c>
      <x:c r="AE1115" s="8" t="n">
        <x:f>IF(H1115=1,MAX(1,MIN(INDEX(v01_Smax,G1115),AE1114+AD1115)),AE1114)</x:f>
        <x:v>16</x:v>
      </x:c>
      <x:c r="AF1115" s="8" t="n">
        <x:f>MAX(0,AE1115-AE1114)</x:f>
        <x:v>0</x:v>
      </x:c>
      <x:c r="AG1115" s="9" t="str">
        <x:f>IF(AF1115&gt;0,B1115,"")</x:f>
      </x:c>
      <x:c r="AH1115" s="9" t="n">
        <x:f>IF(F1115&gt;=1,1,(1+v01_LowTiesShare*(AE1115-1))/AE1115)</x:f>
        <x:v>1</x:v>
      </x:c>
      <x:c r="AI1115" s="32" t="n">
        <x:f>(Z1115+v01_ElderCommons*INDEX(LM_Elder,G1115)*AA1115)*AH1115</x:f>
        <x:v>5828.766249510973</x:v>
      </x:c>
      <x:c r="AJ1115" s="32" t="n">
        <x:f>H1115*v01_CommonsCoef*AI1115^v01_CommonsExp*INDEX(LM_Commons,G1115)</x:f>
        <x:v>1265.2350613286796</x:v>
      </x:c>
      <x:c r="AK1115" s="32" t="n">
        <x:f>H1115*v01_RoleScale*Arch_Roles*(AE1115*(INDEX(v01_ElderRolePerSett,G1115)*v01_OutElder*INDEX(LM_Elder,G1115)+INDEX(v01_ShamanPerSett,G1115)*v01_OutShaman)+Z1115*(INDEX(v01_PriestShare,G1115)*v01_OutPriest+INDEX(v01_ScribeShare,G1115)*v01_OutScribe*INDEX(LM_Scribe,G1115)+INDEX(v01_ScholarShare,G1115)*v01_OutScholar*INDEX(LM_Scholar,G1115)+INDEX(v01_ResearcherShare,G1115)*v01_OutResearcher*INDEX(LM_Researcher,G1115)))</x:f>
        <x:v>236.82562654558728</x:v>
      </x:c>
      <x:c r="AL1115" s="32" t="n">
        <x:f>H1115*v01_RoleScale*Arch_Roles*AE1115*INDEX(v01_MonasteryPerSett,G1115)*v01_OutMonastery*INDEX(LM_Monastery,G1115)</x:f>
        <x:v>5.034282471216728</x:v>
      </x:c>
      <x:c r="AM1115" s="32" t="n">
        <x:f>(AJ1115+AK1115+AL1115)/4*INDEX(LM_All,G1115)*INDEX(v01_Boon,G1115)*Arch_Insight</x:f>
        <x:v>543.0818852194429</x:v>
      </x:c>
      <x:c r="AN1115" s="32" t="n">
        <x:f>H1115*(v01_KHPerAdult*Z1115+v01_KHOfCommons*AJ1115/4*INDEX(LM_All,G1115))*v01_KHUsable*Arch_KH</x:f>
        <x:v>91.7992736720951</x:v>
      </x:c>
      <x:c r="AO1115" s="32" t="n">
        <x:f>MIN(AP1114+AN1115,AM1115*v01_KHMaxRatio)</x:f>
        <x:v>91.7992736720951</x:v>
      </x:c>
      <x:c r="AP1115" s="32" t="n">
        <x:f>AP1114+AN1115-AO1115</x:f>
        <x:v>0</x:v>
      </x:c>
      <x:c r="AQ1115" s="32" t="n">
        <x:f>AM1115+AO1115</x:f>
        <x:v>634.881158891538</x:v>
      </x:c>
      <x:c r="AR1115" s="10" t="n">
        <x:f>IF(H1115=1,INDEX(v01_Req,G1115),0)</x:f>
        <x:v>47951.22698</x:v>
      </x:c>
      <x:c r="AS1115" s="32" t="n">
        <x:f>IF(H1115=1,IF(E1115=1,AS1114-AR1114,AS1114)+AQ1115,0)</x:f>
        <x:v>44573.83620297651</x:v>
      </x:c>
      <x:c r="AT1115" s="11" t="n">
        <x:f>IF(AR1115&gt;0,MIN(1,AS1115/AR1115),1)</x:f>
        <x:v>0.929566123961079</x:v>
      </x:c>
      <x:c r="AU1115" s="10" t="n">
        <x:f>AB1115/INDEX(v01_RepScale,G1115)</x:f>
        <x:v>243.61155524506125</x:v>
      </x:c>
      <x:c r="AV1115" s="32" t="n">
        <x:f>AM1115*60/v01_SeasonSeconds</x:f>
        <x:v>2172.3275408777718</x:v>
      </x:c>
    </x:row>
    <x:row r="1116">
      <x:c r="A1116" s="8" t="n">
        <x:f>A1115+1</x:f>
        <x:v>1113</x:v>
      </x:c>
      <x:c r="B1116" s="9" t="n">
        <x:f>A1116*v01_SeasonSeconds/60</x:f>
        <x:v>278.25</x:v>
      </x:c>
      <x:c r="C1116" s="9" t="n">
        <x:f>A1116/4</x:f>
        <x:v>278.25</x:v>
      </x:c>
      <x:c r="D1116" s="8" t="n">
        <x:f>IF(MOD(A1116,4)=0,1,0)</x:f>
        <x:v>0</x:v>
      </x:c>
      <x:c r="E1116" s="8" t="n">
        <x:f>IF(AND(F1115&lt;=9,AS1115&gt;=AR1115),1,0)</x:f>
        <x:v>0</x:v>
      </x:c>
      <x:c r="F1116" s="8" t="n">
        <x:f>MIN(10,F1115+E1116)</x:f>
        <x:v>5</x:v>
      </x:c>
      <x:c r="G1116" s="8" t="n">
        <x:f>MIN(F1116,9)+1</x:f>
        <x:v>6</x:v>
      </x:c>
      <x:c r="H1116" s="8" t="n">
        <x:f>IF(F1116&lt;=9,1,0)</x:f>
        <x:v>1</x:v>
      </x:c>
      <x:c r="I1116" s="9" t="n">
        <x:f>MIN(10,F1115+IF(AR1115&gt;0,MIN(1,AS1115/AR1115),1))</x:f>
        <x:v>5.929566123961079</x:v>
      </x:c>
      <x:c r="J1116" s="32" t="n">
        <x:f>INDEX(v01_FoodCap,G1116)*Arch_FoodCap*EXP(v01_CapsByProject*SUMPRODUCT((Cap_Point&lt;=I1116)*(Cap_Kind="Food")*Cap_Ln))</x:f>
        <x:v>500</x:v>
      </x:c>
      <x:c r="K1116" s="32" t="n">
        <x:f>J1116*MIN(1,v01_LeanBase*EXP(v01_CapsByProject*SUMPRODUCT((Cap_Point&lt;=I1116)*(Cap_Kind="Lean")*Cap_Ln)))</x:f>
        <x:v>500</x:v>
      </x:c>
      <x:c r="L1116" s="10" t="n">
        <x:f>INDEX(v01_HousingCap,G1116)*EXP(v01_CapsByProject*SUMPRODUCT((Cap_Point&lt;=I1116)*(Cap_Kind="Housing")*Cap_Ln))</x:f>
        <x:v>800</x:v>
      </x:c>
      <x:c r="M1116" s="10" t="n">
        <x:f>INDEX(v01_GroupCap,G1116)*v01_CohesionFactor*EXP(v01_CapsByProject*SUMPRODUCT((Cap_Point&lt;=I1116)*(Cap_Kind="Group")*Cap_Ln))</x:f>
        <x:v>10000</x:v>
      </x:c>
      <x:c r="N1116" s="32" t="n">
        <x:f>MIN(J1116,L1116,M1116)</x:f>
        <x:v>500</x:v>
      </x:c>
      <x:c r="O1116" s="10" t="n">
        <x:f>AE1115*N1116</x:f>
        <x:v>8000</x:v>
      </x:c>
      <x:c r="P1116" s="9" t="n">
        <x:f>MIN(1,(AB1115/(AE1115*IF(v01_GroupInCrowding=1,N1116,MIN(J1116,L1116))))^v01_CrowdingExp)</x:f>
        <x:v>0.19466480376834336</x:v>
      </x:c>
      <x:c r="Q1116" s="9" t="n">
        <x:f>IF(D1116=1,INDEX(v01_WinterMult,G1116),1)</x:f>
        <x:v>1</x:v>
      </x:c>
      <x:c r="R1116" s="9" t="n">
        <x:f>H1116*Z1115*v01_WomenShare*v01_BaseFertility*INDEX(v01_FertMult,G1116)*Arch_Fertility*(1-P1116)</x:f>
        <x:v>69.7046611579751</x:v>
      </x:c>
      <x:c r="S1116" s="9" t="n">
        <x:f>H1116*Y1115*INDEX(v01_MortChild,G1116)/4*Q1116</x:f>
        <x:v>15.697680485969196</x:v>
      </x:c>
      <x:c r="T1116" s="9" t="n">
        <x:f>H1116*Z1115*INDEX(v01_MortAdult,G1116)*Arch_AdultMort/4*Q1116</x:f>
        <x:v>6.5570909765782215</x:v>
      </x:c>
      <x:c r="U1116" s="9" t="n">
        <x:f>H1116*AA1115*INDEX(v01_MortElder,G1116)/4*Q1116</x:f>
        <x:v>14.337354191102564</x:v>
      </x:c>
      <x:c r="V1116" s="9" t="n">
        <x:f>H1116*MAX(0,AB1115-O1116)*v01_OvercapLoss</x:f>
        <x:v>0</x:v>
      </x:c>
      <x:c r="W1116" s="9" t="n">
        <x:f>H1116*Y1115/(v01_ChildYears*4)</x:f>
        <x:v>44.8505156741977</x:v>
      </x:c>
      <x:c r="X1116" s="9" t="n">
        <x:f>H1116*Z1115/(v01_AdultYears*4)</x:f>
        <x:v>21.15190637605878</x:v>
      </x:c>
      <x:c r="Y1116" s="32" t="n">
        <x:f>Y1115+R1116-S1116-W1116-Y1115*V1116/AB1115</x:f>
        <x:v>2520.7853427528794</x:v>
      </x:c>
      <x:c r="Z1116" s="32" t="n">
        <x:f>Z1115+W1116-X1116-T1116-Z1115*V1116/AB1115</x:f>
        <x:v>2639.977908952849</x:v>
      </x:c>
      <x:c r="AA1116" s="32" t="n">
        <x:f>AA1115+X1116-U1116-AA1115*V1116/AB1115</x:f>
        <x:v>962.6381649251273</x:v>
      </x:c>
      <x:c r="AB1116" s="10" t="n">
        <x:f>Y1116+Z1116+AA1116</x:f>
        <x:v>6123.401416630855</x:v>
      </x:c>
      <x:c r="AC1116" s="8" t="n">
        <x:f>IF(AND(v01_WinterTrigger=1,D1116=1,AB1115/AE1115&gt;=K1116),1,0)</x:f>
        <x:v>0</x:v>
      </x:c>
      <x:c r="AD1116" s="8" t="n">
        <x:f>H1116*IF(AND(OR(AB1115/AE1115&gt;=v01_FissionTrigger*N1116,AC1116=1),AB1115/AE1115*v01_DaughterShare&gt;=v01_MinDaughter),MAX(1,ROUND(AE1115*v01_FissionRate,0)),0)</x:f>
        <x:v>0</x:v>
      </x:c>
      <x:c r="AE1116" s="8" t="n">
        <x:f>IF(H1116=1,MAX(1,MIN(INDEX(v01_Smax,G1116),AE1115+AD1116)),AE1115)</x:f>
        <x:v>16</x:v>
      </x:c>
      <x:c r="AF1116" s="8" t="n">
        <x:f>MAX(0,AE1116-AE1115)</x:f>
        <x:v>0</x:v>
      </x:c>
      <x:c r="AG1116" s="9" t="str">
        <x:f>IF(AF1116&gt;0,B1116,"")</x:f>
      </x:c>
      <x:c r="AH1116" s="9" t="n">
        <x:f>IF(F1116&gt;=1,1,(1+v01_LowTiesShare*(AE1116-1))/AE1116)</x:f>
        <x:v>1</x:v>
      </x:c>
      <x:c r="AI1116" s="32" t="n">
        <x:f>(Z1116+v01_ElderCommons*INDEX(LM_Elder,G1116)*AA1116)*AH1116</x:f>
        <x:v>5868.764470715207</x:v>
      </x:c>
      <x:c r="AJ1116" s="32" t="n">
        <x:f>H1116*v01_CommonsCoef*AI1116^v01_CommonsExp*INDEX(LM_Commons,G1116)</x:f>
        <x:v>1272.6112360383274</x:v>
      </x:c>
      <x:c r="AK1116" s="32" t="n">
        <x:f>H1116*v01_RoleScale*Arch_Roles*(AE1116*(INDEX(v01_ElderRolePerSett,G1116)*v01_OutElder*INDEX(LM_Elder,G1116)+INDEX(v01_ShamanPerSett,G1116)*v01_OutShaman)+Z1116*(INDEX(v01_PriestShare,G1116)*v01_OutPriest+INDEX(v01_ScribeShare,G1116)*v01_OutScribe*INDEX(LM_Scribe,G1116)+INDEX(v01_ScholarShare,G1116)*v01_OutScholar*INDEX(LM_Scholar,G1116)+INDEX(v01_ResearcherShare,G1116)*v01_OutResearcher*INDEX(LM_Researcher,G1116)))</x:f>
        <x:v>238.0411805106238</x:v>
      </x:c>
      <x:c r="AL1116" s="32" t="n">
        <x:f>H1116*v01_RoleScale*Arch_Roles*AE1116*INDEX(v01_MonasteryPerSett,G1116)*v01_OutMonastery*INDEX(LM_Monastery,G1116)</x:f>
        <x:v>5.034282471216728</x:v>
      </x:c>
      <x:c r="AM1116" s="32" t="n">
        <x:f>(AJ1116+AK1116+AL1116)/4*INDEX(LM_All,G1116)*INDEX(v01_Boon,G1116)*Arch_Insight</x:f>
        <x:v>546.1779158596831</x:v>
      </x:c>
      <x:c r="AN1116" s="32" t="n">
        <x:f>H1116*(v01_KHPerAdult*Z1116+v01_KHOfCommons*AJ1116/4*INDEX(LM_All,G1116))*v01_KHUsable*Arch_KH</x:f>
        <x:v>92.3992268133497</x:v>
      </x:c>
      <x:c r="AO1116" s="32" t="n">
        <x:f>MIN(AP1115+AN1116,AM1116*v01_KHMaxRatio)</x:f>
        <x:v>92.3992268133497</x:v>
      </x:c>
      <x:c r="AP1116" s="32" t="n">
        <x:f>AP1115+AN1116-AO1116</x:f>
        <x:v>0</x:v>
      </x:c>
      <x:c r="AQ1116" s="32" t="n">
        <x:f>AM1116+AO1116</x:f>
        <x:v>638.5771426730329</x:v>
      </x:c>
      <x:c r="AR1116" s="10" t="n">
        <x:f>IF(H1116=1,INDEX(v01_Req,G1116),0)</x:f>
        <x:v>47951.22698</x:v>
      </x:c>
      <x:c r="AS1116" s="32" t="n">
        <x:f>IF(H1116=1,IF(E1116=1,AS1115-AR1115,AS1115)+AQ1116,0)</x:f>
        <x:v>45212.41334564955</x:v>
      </x:c>
      <x:c r="AT1116" s="11" t="n">
        <x:f>IF(AR1116&gt;0,MIN(1,AS1116/AR1116),1)</x:f>
        <x:v>0.9428833461239108</x:v>
      </x:c>
      <x:c r="AU1116" s="10" t="n">
        <x:f>AB1116/INDEX(v01_RepScale,G1116)</x:f>
        <x:v>244.93605666523422</x:v>
      </x:c>
      <x:c r="AV1116" s="32" t="n">
        <x:f>AM1116*60/v01_SeasonSeconds</x:f>
        <x:v>2184.7116634387326</x:v>
      </x:c>
    </x:row>
    <x:row r="1117">
      <x:c r="A1117" s="8" t="n">
        <x:f>A1116+1</x:f>
        <x:v>1114</x:v>
      </x:c>
      <x:c r="B1117" s="9" t="n">
        <x:f>A1117*v01_SeasonSeconds/60</x:f>
        <x:v>278.5</x:v>
      </x:c>
      <x:c r="C1117" s="9" t="n">
        <x:f>A1117/4</x:f>
        <x:v>278.5</x:v>
      </x:c>
      <x:c r="D1117" s="8" t="n">
        <x:f>IF(MOD(A1117,4)=0,1,0)</x:f>
        <x:v>0</x:v>
      </x:c>
      <x:c r="E1117" s="8" t="n">
        <x:f>IF(AND(F1116&lt;=9,AS1116&gt;=AR1116),1,0)</x:f>
        <x:v>0</x:v>
      </x:c>
      <x:c r="F1117" s="8" t="n">
        <x:f>MIN(10,F1116+E1117)</x:f>
        <x:v>5</x:v>
      </x:c>
      <x:c r="G1117" s="8" t="n">
        <x:f>MIN(F1117,9)+1</x:f>
        <x:v>6</x:v>
      </x:c>
      <x:c r="H1117" s="8" t="n">
        <x:f>IF(F1117&lt;=9,1,0)</x:f>
        <x:v>1</x:v>
      </x:c>
      <x:c r="I1117" s="9" t="n">
        <x:f>MIN(10,F1116+IF(AR1116&gt;0,MIN(1,AS1116/AR1116),1))</x:f>
        <x:v>5.942883346123911</x:v>
      </x:c>
      <x:c r="J1117" s="32" t="n">
        <x:f>INDEX(v01_FoodCap,G1117)*Arch_FoodCap*EXP(v01_CapsByProject*SUMPRODUCT((Cap_Point&lt;=I1117)*(Cap_Kind="Food")*Cap_Ln))</x:f>
        <x:v>500</x:v>
      </x:c>
      <x:c r="K1117" s="32" t="n">
        <x:f>J1117*MIN(1,v01_LeanBase*EXP(v01_CapsByProject*SUMPRODUCT((Cap_Point&lt;=I1117)*(Cap_Kind="Lean")*Cap_Ln)))</x:f>
        <x:v>500</x:v>
      </x:c>
      <x:c r="L1117" s="10" t="n">
        <x:f>INDEX(v01_HousingCap,G1117)*EXP(v01_CapsByProject*SUMPRODUCT((Cap_Point&lt;=I1117)*(Cap_Kind="Housing")*Cap_Ln))</x:f>
        <x:v>800</x:v>
      </x:c>
      <x:c r="M1117" s="10" t="n">
        <x:f>INDEX(v01_GroupCap,G1117)*v01_CohesionFactor*EXP(v01_CapsByProject*SUMPRODUCT((Cap_Point&lt;=I1117)*(Cap_Kind="Group")*Cap_Ln))</x:f>
        <x:v>10000</x:v>
      </x:c>
      <x:c r="N1117" s="32" t="n">
        <x:f>MIN(J1117,L1117,M1117)</x:f>
        <x:v>500</x:v>
      </x:c>
      <x:c r="O1117" s="10" t="n">
        <x:f>AE1116*N1117</x:f>
        <x:v>8000</x:v>
      </x:c>
      <x:c r="P1117" s="9" t="n">
        <x:f>MIN(1,(AB1116/(AE1116*IF(v01_GroupInCrowding=1,N1117,MIN(J1117,L1117))))^v01_CrowdingExp)</x:f>
        <x:v>0.20110203254860157</x:v>
      </x:c>
      <x:c r="Q1117" s="9" t="n">
        <x:f>IF(D1117=1,INDEX(v01_WinterMult,G1117),1)</x:f>
        <x:v>1</x:v>
      </x:c>
      <x:c r="R1117" s="9" t="n">
        <x:f>H1117*Z1116*v01_WomenShare*v01_BaseFertility*INDEX(v01_FertMult,G1117)*Arch_Fertility*(1-P1117)</x:f>
        <x:v>69.5994085241078</x:v>
      </x:c>
      <x:c r="S1117" s="9" t="n">
        <x:f>H1117*Y1116*INDEX(v01_MortChild,G1117)/4*Q1117</x:f>
        <x:v>15.754908392205497</x:v>
      </x:c>
      <x:c r="T1117" s="9" t="n">
        <x:f>H1117*Z1116*INDEX(v01_MortAdult,G1117)*Arch_AdultMort/4*Q1117</x:f>
        <x:v>6.5999447723821225</x:v>
      </x:c>
      <x:c r="U1117" s="9" t="n">
        <x:f>H1117*AA1116*INDEX(v01_MortElder,G1117)/4*Q1117</x:f>
        <x:v>14.43957247387691</x:v>
      </x:c>
      <x:c r="V1117" s="9" t="n">
        <x:f>H1117*MAX(0,AB1116-O1117)*v01_OvercapLoss</x:f>
        <x:v>0</x:v>
      </x:c>
      <x:c r="W1117" s="9" t="n">
        <x:f>H1117*Y1116/(v01_ChildYears*4)</x:f>
        <x:v>45.01402397772999</x:v>
      </x:c>
      <x:c r="X1117" s="9" t="n">
        <x:f>H1117*Z1116/(v01_AdultYears*4)</x:f>
        <x:v>21.290144427039102</x:v>
      </x:c>
      <x:c r="Y1117" s="32" t="n">
        <x:f>Y1116+R1117-S1117-W1117-Y1116*V1117/AB1116</x:f>
        <x:v>2529.6158189070516</x:v>
      </x:c>
      <x:c r="Z1117" s="32" t="n">
        <x:f>Z1116+W1117-X1117-T1117-Z1116*V1117/AB1116</x:f>
        <x:v>2657.1018437311577</x:v>
      </x:c>
      <x:c r="AA1117" s="32" t="n">
        <x:f>AA1116+X1117-U1117-AA1116*V1117/AB1116</x:f>
        <x:v>969.4887368782895</x:v>
      </x:c>
      <x:c r="AB1117" s="10" t="n">
        <x:f>Y1117+Z1117+AA1117</x:f>
        <x:v>6156.206399516499</x:v>
      </x:c>
      <x:c r="AC1117" s="8" t="n">
        <x:f>IF(AND(v01_WinterTrigger=1,D1117=1,AB1116/AE1116&gt;=K1117),1,0)</x:f>
        <x:v>0</x:v>
      </x:c>
      <x:c r="AD1117" s="8" t="n">
        <x:f>H1117*IF(AND(OR(AB1116/AE1116&gt;=v01_FissionTrigger*N1117,AC1117=1),AB1116/AE1116*v01_DaughterShare&gt;=v01_MinDaughter),MAX(1,ROUND(AE1116*v01_FissionRate,0)),0)</x:f>
        <x:v>0</x:v>
      </x:c>
      <x:c r="AE1117" s="8" t="n">
        <x:f>IF(H1117=1,MAX(1,MIN(INDEX(v01_Smax,G1117),AE1116+AD1117)),AE1116)</x:f>
        <x:v>16</x:v>
      </x:c>
      <x:c r="AF1117" s="8" t="n">
        <x:f>MAX(0,AE1117-AE1116)</x:f>
        <x:v>0</x:v>
      </x:c>
      <x:c r="AG1117" s="9" t="str">
        <x:f>IF(AF1117&gt;0,B1117,"")</x:f>
      </x:c>
      <x:c r="AH1117" s="9" t="n">
        <x:f>IF(F1117&gt;=1,1,(1+v01_LowTiesShare*(AE1117-1))/AE1117)</x:f>
        <x:v>1</x:v>
      </x:c>
      <x:c r="AI1117" s="32" t="n">
        <x:f>(Z1117+v01_ElderCommons*INDEX(LM_Elder,G1117)*AA1117)*AH1117</x:f>
        <x:v>5908.8659223515515</x:v>
      </x:c>
      <x:c r="AJ1117" s="32" t="n">
        <x:f>H1117*v01_CommonsCoef*AI1117^v01_CommonsExp*INDEX(LM_Commons,G1117)</x:f>
        <x:v>1279.998881592171</x:v>
      </x:c>
      <x:c r="AK1117" s="32" t="n">
        <x:f>H1117*v01_RoleScale*Arch_Roles*(AE1117*(INDEX(v01_ElderRolePerSett,G1117)*v01_OutElder*INDEX(LM_Elder,G1117)+INDEX(v01_ShamanPerSett,G1117)*v01_OutShaman)+Z1117*(INDEX(v01_PriestShare,G1117)*v01_OutPriest+INDEX(v01_ScribeShare,G1117)*v01_OutScribe*INDEX(LM_Scribe,G1117)+INDEX(v01_ScholarShare,G1117)*v01_OutScholar*INDEX(LM_Scholar,G1117)+INDEX(v01_ResearcherShare,G1117)*v01_OutResearcher*INDEX(LM_Researcher,G1117)))</x:f>
        <x:v>239.2554875764465</x:v>
      </x:c>
      <x:c r="AL1117" s="32" t="n">
        <x:f>H1117*v01_RoleScale*Arch_Roles*AE1117*INDEX(v01_MonasteryPerSett,G1117)*v01_OutMonastery*INDEX(LM_Monastery,G1117)</x:f>
        <x:v>5.034282471216728</x:v>
      </x:c>
      <x:c r="AM1117" s="32" t="n">
        <x:f>(AJ1117+AK1117+AL1117)/4*INDEX(LM_All,G1117)*INDEX(v01_Boon,G1117)*Arch_Insight</x:f>
        <x:v>549.2776306999401</x:v>
      </x:c>
      <x:c r="AN1117" s="32" t="n">
        <x:f>H1117*(v01_KHPerAdult*Z1117+v01_KHOfCommons*AJ1117/4*INDEX(LM_All,G1117))*v01_KHUsable*Arch_KH</x:f>
        <x:v>92.99856453059053</x:v>
      </x:c>
      <x:c r="AO1117" s="32" t="n">
        <x:f>MIN(AP1116+AN1117,AM1117*v01_KHMaxRatio)</x:f>
        <x:v>92.99856453059053</x:v>
      </x:c>
      <x:c r="AP1117" s="32" t="n">
        <x:f>AP1116+AN1117-AO1117</x:f>
        <x:v>0</x:v>
      </x:c>
      <x:c r="AQ1117" s="32" t="n">
        <x:f>AM1117+AO1117</x:f>
        <x:v>642.2761952305307</x:v>
      </x:c>
      <x:c r="AR1117" s="10" t="n">
        <x:f>IF(H1117=1,INDEX(v01_Req,G1117),0)</x:f>
        <x:v>47951.22698</x:v>
      </x:c>
      <x:c r="AS1117" s="32" t="n">
        <x:f>IF(H1117=1,IF(E1117=1,AS1116-AR1116,AS1116)+AQ1117,0)</x:f>
        <x:v>45854.68954088008</x:v>
      </x:c>
      <x:c r="AT1117" s="11" t="n">
        <x:f>IF(AR1117&gt;0,MIN(1,AS1117/AR1117),1)</x:f>
        <x:v>0.956277710266009</x:v>
      </x:c>
      <x:c r="AU1117" s="10" t="n">
        <x:f>AB1117/INDEX(v01_RepScale,G1117)</x:f>
        <x:v>246.24825598065996</x:v>
      </x:c>
      <x:c r="AV1117" s="32" t="n">
        <x:f>AM1117*60/v01_SeasonSeconds</x:f>
        <x:v>2197.1105227997605</x:v>
      </x:c>
    </x:row>
    <x:row r="1118">
      <x:c r="A1118" s="8" t="n">
        <x:f>A1117+1</x:f>
        <x:v>1115</x:v>
      </x:c>
      <x:c r="B1118" s="9" t="n">
        <x:f>A1118*v01_SeasonSeconds/60</x:f>
        <x:v>278.75</x:v>
      </x:c>
      <x:c r="C1118" s="9" t="n">
        <x:f>A1118/4</x:f>
        <x:v>278.75</x:v>
      </x:c>
      <x:c r="D1118" s="8" t="n">
        <x:f>IF(MOD(A1118,4)=0,1,0)</x:f>
        <x:v>0</x:v>
      </x:c>
      <x:c r="E1118" s="8" t="n">
        <x:f>IF(AND(F1117&lt;=9,AS1117&gt;=AR1117),1,0)</x:f>
        <x:v>0</x:v>
      </x:c>
      <x:c r="F1118" s="8" t="n">
        <x:f>MIN(10,F1117+E1118)</x:f>
        <x:v>5</x:v>
      </x:c>
      <x:c r="G1118" s="8" t="n">
        <x:f>MIN(F1118,9)+1</x:f>
        <x:v>6</x:v>
      </x:c>
      <x:c r="H1118" s="8" t="n">
        <x:f>IF(F1118&lt;=9,1,0)</x:f>
        <x:v>1</x:v>
      </x:c>
      <x:c r="I1118" s="9" t="n">
        <x:f>MIN(10,F1117+IF(AR1117&gt;0,MIN(1,AS1117/AR1117),1))</x:f>
        <x:v>5.956277710266009</x:v>
      </x:c>
      <x:c r="J1118" s="32" t="n">
        <x:f>INDEX(v01_FoodCap,G1118)*Arch_FoodCap*EXP(v01_CapsByProject*SUMPRODUCT((Cap_Point&lt;=I1118)*(Cap_Kind="Food")*Cap_Ln))</x:f>
        <x:v>500</x:v>
      </x:c>
      <x:c r="K1118" s="32" t="n">
        <x:f>J1118*MIN(1,v01_LeanBase*EXP(v01_CapsByProject*SUMPRODUCT((Cap_Point&lt;=I1118)*(Cap_Kind="Lean")*Cap_Ln)))</x:f>
        <x:v>500</x:v>
      </x:c>
      <x:c r="L1118" s="10" t="n">
        <x:f>INDEX(v01_HousingCap,G1118)*EXP(v01_CapsByProject*SUMPRODUCT((Cap_Point&lt;=I1118)*(Cap_Kind="Housing")*Cap_Ln))</x:f>
        <x:v>800</x:v>
      </x:c>
      <x:c r="M1118" s="10" t="n">
        <x:f>INDEX(v01_GroupCap,G1118)*v01_CohesionFactor*EXP(v01_CapsByProject*SUMPRODUCT((Cap_Point&lt;=I1118)*(Cap_Kind="Group")*Cap_Ln))</x:f>
        <x:v>10000</x:v>
      </x:c>
      <x:c r="N1118" s="32" t="n">
        <x:f>MIN(J1118,L1118,M1118)</x:f>
        <x:v>500</x:v>
      </x:c>
      <x:c r="O1118" s="10" t="n">
        <x:f>AE1117*N1118</x:f>
        <x:v>8000</x:v>
      </x:c>
      <x:c r="P1118" s="9" t="n">
        <x:f>MIN(1,(AB1117/(AE1117*IF(v01_GroupInCrowding=1,N1118,MIN(J1118,L1118))))^v01_CrowdingExp)</x:f>
        <x:v>0.2076534304962922</x:v>
      </x:c>
      <x:c r="Q1118" s="9" t="n">
        <x:f>IF(D1118=1,INDEX(v01_WinterMult,G1118),1)</x:f>
        <x:v>1</x:v>
      </x:c>
      <x:c r="R1118" s="9" t="n">
        <x:f>H1118*Z1117*v01_WomenShare*v01_BaseFertility*INDEX(v01_FertMult,G1118)*Arch_Fertility*(1-P1118)</x:f>
        <x:v>69.47640251317787</x:v>
      </x:c>
      <x:c r="S1118" s="9" t="n">
        <x:f>H1118*Y1117*INDEX(v01_MortChild,G1118)/4*Q1118</x:f>
        <x:v>15.810098868169073</x:v>
      </x:c>
      <x:c r="T1118" s="9" t="n">
        <x:f>H1118*Z1117*INDEX(v01_MortAdult,G1118)*Arch_AdultMort/4*Q1118</x:f>
        <x:v>6.642754609327895</x:v>
      </x:c>
      <x:c r="U1118" s="9" t="n">
        <x:f>H1118*AA1117*INDEX(v01_MortElder,G1118)/4*Q1118</x:f>
        <x:v>14.542331053174342</x:v>
      </x:c>
      <x:c r="V1118" s="9" t="n">
        <x:f>H1118*MAX(0,AB1117-O1118)*v01_OvercapLoss</x:f>
        <x:v>0</x:v>
      </x:c>
      <x:c r="W1118" s="9" t="n">
        <x:f>H1118*Y1117/(v01_ChildYears*4)</x:f>
        <x:v>45.171711051911636</x:v>
      </x:c>
      <x:c r="X1118" s="9" t="n">
        <x:f>H1118*Z1117/(v01_AdultYears*4)</x:f>
        <x:v>21.42824067525127</x:v>
      </x:c>
      <x:c r="Y1118" s="32" t="n">
        <x:f>Y1117+R1118-S1118-W1118-Y1117*V1118/AB1117</x:f>
        <x:v>2538.110411500149</x:v>
      </x:c>
      <x:c r="Z1118" s="32" t="n">
        <x:f>Z1117+W1118-X1118-T1118-Z1117*V1118/AB1117</x:f>
        <x:v>2674.2025594984902</x:v>
      </x:c>
      <x:c r="AA1118" s="32" t="n">
        <x:f>AA1117+X1118-U1118-AA1117*V1118/AB1117</x:f>
        <x:v>976.3746465003663</x:v>
      </x:c>
      <x:c r="AB1118" s="10" t="n">
        <x:f>Y1118+Z1118+AA1118</x:f>
        <x:v>6188.687617499005</x:v>
      </x:c>
      <x:c r="AC1118" s="8" t="n">
        <x:f>IF(AND(v01_WinterTrigger=1,D1118=1,AB1117/AE1117&gt;=K1118),1,0)</x:f>
        <x:v>0</x:v>
      </x:c>
      <x:c r="AD1118" s="8" t="n">
        <x:f>H1118*IF(AND(OR(AB1117/AE1117&gt;=v01_FissionTrigger*N1118,AC1118=1),AB1117/AE1117*v01_DaughterShare&gt;=v01_MinDaughter),MAX(1,ROUND(AE1117*v01_FissionRate,0)),0)</x:f>
        <x:v>0</x:v>
      </x:c>
      <x:c r="AE1118" s="8" t="n">
        <x:f>IF(H1118=1,MAX(1,MIN(INDEX(v01_Smax,G1118),AE1117+AD1118)),AE1117)</x:f>
        <x:v>16</x:v>
      </x:c>
      <x:c r="AF1118" s="8" t="n">
        <x:f>MAX(0,AE1118-AE1117)</x:f>
        <x:v>0</x:v>
      </x:c>
      <x:c r="AG1118" s="9" t="str">
        <x:f>IF(AF1118&gt;0,B1118,"")</x:f>
      </x:c>
      <x:c r="AH1118" s="9" t="n">
        <x:f>IF(F1118&gt;=1,1,(1+v01_LowTiesShare*(AE1118-1))/AE1118)</x:f>
        <x:v>1</x:v>
      </x:c>
      <x:c r="AI1118" s="32" t="n">
        <x:f>(Z1118+v01_ElderCommons*INDEX(LM_Elder,G1118)*AA1118)*AH1118</x:f>
        <x:v>5949.06268112171</x:v>
      </x:c>
      <x:c r="AJ1118" s="32" t="n">
        <x:f>H1118*v01_CommonsCoef*AI1118^v01_CommonsExp*INDEX(LM_Commons,G1118)</x:f>
        <x:v>1287.396541376362</x:v>
      </x:c>
      <x:c r="AK1118" s="32" t="n">
        <x:f>H1118*v01_RoleScale*Arch_Roles*(AE1118*(INDEX(v01_ElderRolePerSett,G1118)*v01_OutElder*INDEX(LM_Elder,G1118)+INDEX(v01_ShamanPerSett,G1118)*v01_OutShaman)+Z1118*(INDEX(v01_PriestShare,G1118)*v01_OutPriest+INDEX(v01_ScribeShare,G1118)*v01_OutScribe*INDEX(LM_Scribe,G1118)+INDEX(v01_ScholarShare,G1118)*v01_OutScholar*INDEX(LM_Scholar,G1118)+INDEX(v01_ResearcherShare,G1118)*v01_OutResearcher*INDEX(LM_Researcher,G1118)))</x:f>
        <x:v>240.46814811596232</x:v>
      </x:c>
      <x:c r="AL1118" s="32" t="n">
        <x:f>H1118*v01_RoleScale*Arch_Roles*AE1118*INDEX(v01_MonasteryPerSett,G1118)*v01_OutMonastery*INDEX(LM_Monastery,G1118)</x:f>
        <x:v>5.034282471216728</x:v>
      </x:c>
      <x:c r="AM1118" s="32" t="n">
        <x:f>(AJ1118+AK1118+AL1118)/4*INDEX(LM_All,G1118)*INDEX(v01_Boon,G1118)*Arch_Insight</x:f>
        <x:v>552.3803608435289</x:v>
      </x:c>
      <x:c r="AN1118" s="32" t="n">
        <x:f>H1118*(v01_KHPerAdult*Z1118+v01_KHOfCommons*AJ1118/4*INDEX(LM_All,G1118))*v01_KHUsable*Arch_KH</x:f>
        <x:v>93.59708958244715</x:v>
      </x:c>
      <x:c r="AO1118" s="32" t="n">
        <x:f>MIN(AP1117+AN1118,AM1118*v01_KHMaxRatio)</x:f>
        <x:v>93.59708958244715</x:v>
      </x:c>
      <x:c r="AP1118" s="32" t="n">
        <x:f>AP1117+AN1118-AO1118</x:f>
        <x:v>0</x:v>
      </x:c>
      <x:c r="AQ1118" s="32" t="n">
        <x:f>AM1118+AO1118</x:f>
        <x:v>645.977450425976</x:v>
      </x:c>
      <x:c r="AR1118" s="10" t="n">
        <x:f>IF(H1118=1,INDEX(v01_Req,G1118),0)</x:f>
        <x:v>47951.22698</x:v>
      </x:c>
      <x:c r="AS1118" s="32" t="n">
        <x:f>IF(H1118=1,IF(E1118=1,AS1117-AR1117,AS1117)+AQ1118,0)</x:f>
        <x:v>46500.666991306054</x:v>
      </x:c>
      <x:c r="AT1118" s="11" t="n">
        <x:f>IF(AR1118&gt;0,MIN(1,AS1118/AR1118),1)</x:f>
        <x:v>0.9697492623223393</x:v>
      </x:c>
      <x:c r="AU1118" s="10" t="n">
        <x:f>AB1118/INDEX(v01_RepScale,G1118)</x:f>
        <x:v>247.5475046999602</x:v>
      </x:c>
      <x:c r="AV1118" s="32" t="n">
        <x:f>AM1118*60/v01_SeasonSeconds</x:f>
        <x:v>2209.5214433741157</x:v>
      </x:c>
    </x:row>
    <x:row r="1119">
      <x:c r="A1119" s="8" t="n">
        <x:f>A1118+1</x:f>
        <x:v>1116</x:v>
      </x:c>
      <x:c r="B1119" s="9" t="n">
        <x:f>A1119*v01_SeasonSeconds/60</x:f>
        <x:v>279</x:v>
      </x:c>
      <x:c r="C1119" s="9" t="n">
        <x:f>A1119/4</x:f>
        <x:v>279</x:v>
      </x:c>
      <x:c r="D1119" s="8" t="n">
        <x:f>IF(MOD(A1119,4)=0,1,0)</x:f>
        <x:v>1</x:v>
      </x:c>
      <x:c r="E1119" s="8" t="n">
        <x:f>IF(AND(F1118&lt;=9,AS1118&gt;=AR1118),1,0)</x:f>
        <x:v>0</x:v>
      </x:c>
      <x:c r="F1119" s="8" t="n">
        <x:f>MIN(10,F1118+E1119)</x:f>
        <x:v>5</x:v>
      </x:c>
      <x:c r="G1119" s="8" t="n">
        <x:f>MIN(F1119,9)+1</x:f>
        <x:v>6</x:v>
      </x:c>
      <x:c r="H1119" s="8" t="n">
        <x:f>IF(F1119&lt;=9,1,0)</x:f>
        <x:v>1</x:v>
      </x:c>
      <x:c r="I1119" s="9" t="n">
        <x:f>MIN(10,F1118+IF(AR1118&gt;0,MIN(1,AS1118/AR1118),1))</x:f>
        <x:v>5.969749262322339</x:v>
      </x:c>
      <x:c r="J1119" s="32" t="n">
        <x:f>INDEX(v01_FoodCap,G1119)*Arch_FoodCap*EXP(v01_CapsByProject*SUMPRODUCT((Cap_Point&lt;=I1119)*(Cap_Kind="Food")*Cap_Ln))</x:f>
        <x:v>500</x:v>
      </x:c>
      <x:c r="K1119" s="32" t="n">
        <x:f>J1119*MIN(1,v01_LeanBase*EXP(v01_CapsByProject*SUMPRODUCT((Cap_Point&lt;=I1119)*(Cap_Kind="Lean")*Cap_Ln)))</x:f>
        <x:v>500</x:v>
      </x:c>
      <x:c r="L1119" s="10" t="n">
        <x:f>INDEX(v01_HousingCap,G1119)*EXP(v01_CapsByProject*SUMPRODUCT((Cap_Point&lt;=I1119)*(Cap_Kind="Housing")*Cap_Ln))</x:f>
        <x:v>800</x:v>
      </x:c>
      <x:c r="M1119" s="10" t="n">
        <x:f>INDEX(v01_GroupCap,G1119)*v01_CohesionFactor*EXP(v01_CapsByProject*SUMPRODUCT((Cap_Point&lt;=I1119)*(Cap_Kind="Group")*Cap_Ln))</x:f>
        <x:v>10000</x:v>
      </x:c>
      <x:c r="N1119" s="32" t="n">
        <x:f>MIN(J1119,L1119,M1119)</x:f>
        <x:v>500</x:v>
      </x:c>
      <x:c r="O1119" s="10" t="n">
        <x:f>AE1118*N1119</x:f>
        <x:v>8000</x:v>
      </x:c>
      <x:c r="P1119" s="9" t="n">
        <x:f>MIN(1,(AB1118/(AE1118*IF(v01_GroupInCrowding=1,N1119,MIN(J1119,L1119))))^v01_CrowdingExp)</x:f>
        <x:v>0.2143144469590653</x:v>
      </x:c>
      <x:c r="Q1119" s="9" t="n">
        <x:f>IF(D1119=1,INDEX(v01_WinterMult,G1119),1)</x:f>
        <x:v>1</x:v>
      </x:c>
      <x:c r="R1119" s="9" t="n">
        <x:f>H1119*Z1118*v01_WomenShare*v01_BaseFertility*INDEX(v01_FertMult,G1119)*Arch_Fertility*(1-P1119)</x:f>
        <x:v>69.33571645780079</x:v>
      </x:c>
      <x:c r="S1119" s="9" t="n">
        <x:f>H1119*Y1118*INDEX(v01_MortChild,G1119)/4*Q1119</x:f>
        <x:v>15.863190071875932</x:v>
      </x:c>
      <x:c r="T1119" s="9" t="n">
        <x:f>H1119*Z1118*INDEX(v01_MortAdult,G1119)*Arch_AdultMort/4*Q1119</x:f>
        <x:v>6.6855063987462255</x:v>
      </x:c>
      <x:c r="U1119" s="9" t="n">
        <x:f>H1119*AA1118*INDEX(v01_MortElder,G1119)/4*Q1119</x:f>
        <x:v>14.645619697505495</x:v>
      </x:c>
      <x:c r="V1119" s="9" t="n">
        <x:f>H1119*MAX(0,AB1118-O1119)*v01_OvercapLoss</x:f>
        <x:v>0</x:v>
      </x:c>
      <x:c r="W1119" s="9" t="n">
        <x:f>H1119*Y1118/(v01_ChildYears*4)</x:f>
        <x:v>45.3234002053598</x:v>
      </x:c>
      <x:c r="X1119" s="9" t="n">
        <x:f>H1119*Z1118/(v01_AdultYears*4)</x:f>
        <x:v>21.56614967337492</x:v>
      </x:c>
      <x:c r="Y1119" s="32" t="n">
        <x:f>Y1118+R1119-S1119-W1119-Y1118*V1119/AB1118</x:f>
        <x:v>2546.259537680714</x:v>
      </x:c>
      <x:c r="Z1119" s="32" t="n">
        <x:f>Z1118+W1119-X1119-T1119-Z1118*V1119/AB1118</x:f>
        <x:v>2691.274303631729</x:v>
      </x:c>
      <x:c r="AA1119" s="32" t="n">
        <x:f>AA1118+X1119-U1119-AA1118*V1119/AB1118</x:f>
        <x:v>983.2951764762357</x:v>
      </x:c>
      <x:c r="AB1119" s="10" t="n">
        <x:f>Y1119+Z1119+AA1119</x:f>
        <x:v>6220.829017788678</x:v>
      </x:c>
      <x:c r="AC1119" s="8" t="n">
        <x:f>IF(AND(v01_WinterTrigger=1,D1119=1,AB1118/AE1118&gt;=K1119),1,0)</x:f>
        <x:v>0</x:v>
      </x:c>
      <x:c r="AD1119" s="8" t="n">
        <x:f>H1119*IF(AND(OR(AB1118/AE1118&gt;=v01_FissionTrigger*N1119,AC1119=1),AB1118/AE1118*v01_DaughterShare&gt;=v01_MinDaughter),MAX(1,ROUND(AE1118*v01_FissionRate,0)),0)</x:f>
        <x:v>0</x:v>
      </x:c>
      <x:c r="AE1119" s="8" t="n">
        <x:f>IF(H1119=1,MAX(1,MIN(INDEX(v01_Smax,G1119),AE1118+AD1119)),AE1118)</x:f>
        <x:v>16</x:v>
      </x:c>
      <x:c r="AF1119" s="8" t="n">
        <x:f>MAX(0,AE1119-AE1118)</x:f>
        <x:v>0</x:v>
      </x:c>
      <x:c r="AG1119" s="9" t="str">
        <x:f>IF(AF1119&gt;0,B1119,"")</x:f>
      </x:c>
      <x:c r="AH1119" s="9" t="n">
        <x:f>IF(F1119&gt;=1,1,(1+v01_LowTiesShare*(AE1119-1))/AE1119)</x:f>
        <x:v>1</x:v>
      </x:c>
      <x:c r="AI1119" s="32" t="n">
        <x:f>(Z1119+v01_ElderCommons*INDEX(LM_Elder,G1119)*AA1119)*AH1119</x:f>
        <x:v>5989.346588454502</x:v>
      </x:c>
      <x:c r="AJ1119" s="32" t="n">
        <x:f>H1119*v01_CommonsCoef*AI1119^v01_CommonsExp*INDEX(LM_Commons,G1119)</x:f>
        <x:v>1294.8027213428759</x:v>
      </x:c>
      <x:c r="AK1119" s="32" t="n">
        <x:f>H1119*v01_RoleScale*Arch_Roles*(AE1119*(INDEX(v01_ElderRolePerSett,G1119)*v01_OutElder*INDEX(LM_Elder,G1119)+INDEX(v01_ShamanPerSett,G1119)*v01_OutShaman)+Z1119*(INDEX(v01_PriestShare,G1119)*v01_OutPriest+INDEX(v01_ScribeShare,G1119)*v01_OutScribe*INDEX(LM_Scribe,G1119)+INDEX(v01_ScholarShare,G1119)*v01_OutScholar*INDEX(LM_Scholar,G1119)+INDEX(v01_ResearcherShare,G1119)*v01_OutResearcher*INDEX(LM_Researcher,G1119)))</x:f>
        <x:v>241.67875419425502</x:v>
      </x:c>
      <x:c r="AL1119" s="32" t="n">
        <x:f>H1119*v01_RoleScale*Arch_Roles*AE1119*INDEX(v01_MonasteryPerSett,G1119)*v01_OutMonastery*INDEX(LM_Monastery,G1119)</x:f>
        <x:v>5.034282471216728</x:v>
      </x:c>
      <x:c r="AM1119" s="32" t="n">
        <x:f>(AJ1119+AK1119+AL1119)/4*INDEX(LM_All,G1119)*INDEX(v01_Boon,G1119)*Arch_Insight</x:f>
        <x:v>555.4854209106284</x:v>
      </x:c>
      <x:c r="AN1119" s="32" t="n">
        <x:f>H1119*(v01_KHPerAdult*Z1119+v01_KHOfCommons*AJ1119/4*INDEX(LM_All,G1119))*v01_KHUsable*Arch_KH</x:f>
        <x:v>94.1946006271105</x:v>
      </x:c>
      <x:c r="AO1119" s="32" t="n">
        <x:f>MIN(AP1118+AN1119,AM1119*v01_KHMaxRatio)</x:f>
        <x:v>94.1946006271105</x:v>
      </x:c>
      <x:c r="AP1119" s="32" t="n">
        <x:f>AP1118+AN1119-AO1119</x:f>
        <x:v>0</x:v>
      </x:c>
      <x:c r="AQ1119" s="32" t="n">
        <x:f>AM1119+AO1119</x:f>
        <x:v>649.6800215377389</x:v>
      </x:c>
      <x:c r="AR1119" s="10" t="n">
        <x:f>IF(H1119=1,INDEX(v01_Req,G1119),0)</x:f>
        <x:v>47951.22698</x:v>
      </x:c>
      <x:c r="AS1119" s="32" t="n">
        <x:f>IF(H1119=1,IF(E1119=1,AS1118-AR1118,AS1118)+AQ1119,0)</x:f>
        <x:v>47150.34701284379</x:v>
      </x:c>
      <x:c r="AT1119" s="11" t="n">
        <x:f>IF(AR1119&gt;0,MIN(1,AS1119/AR1119),1)</x:f>
        <x:v>0.9832980297357095</x:v>
      </x:c>
      <x:c r="AU1119" s="10" t="n">
        <x:f>AB1119/INDEX(v01_RepScale,G1119)</x:f>
        <x:v>248.83316071154712</x:v>
      </x:c>
      <x:c r="AV1119" s="32" t="n">
        <x:f>AM1119*60/v01_SeasonSeconds</x:f>
        <x:v>2221.9416836425135</x:v>
      </x:c>
    </x:row>
    <x:row r="1120">
      <x:c r="A1120" s="8" t="n">
        <x:f>A1119+1</x:f>
        <x:v>1117</x:v>
      </x:c>
      <x:c r="B1120" s="9" t="n">
        <x:f>A1120*v01_SeasonSeconds/60</x:f>
        <x:v>279.25</x:v>
      </x:c>
      <x:c r="C1120" s="9" t="n">
        <x:f>A1120/4</x:f>
        <x:v>279.25</x:v>
      </x:c>
      <x:c r="D1120" s="8" t="n">
        <x:f>IF(MOD(A1120,4)=0,1,0)</x:f>
        <x:v>0</x:v>
      </x:c>
      <x:c r="E1120" s="8" t="n">
        <x:f>IF(AND(F1119&lt;=9,AS1119&gt;=AR1119),1,0)</x:f>
        <x:v>0</x:v>
      </x:c>
      <x:c r="F1120" s="8" t="n">
        <x:f>MIN(10,F1119+E1120)</x:f>
        <x:v>5</x:v>
      </x:c>
      <x:c r="G1120" s="8" t="n">
        <x:f>MIN(F1120,9)+1</x:f>
        <x:v>6</x:v>
      </x:c>
      <x:c r="H1120" s="8" t="n">
        <x:f>IF(F1120&lt;=9,1,0)</x:f>
        <x:v>1</x:v>
      </x:c>
      <x:c r="I1120" s="9" t="n">
        <x:f>MIN(10,F1119+IF(AR1119&gt;0,MIN(1,AS1119/AR1119),1))</x:f>
        <x:v>5.9832980297357095</x:v>
      </x:c>
      <x:c r="J1120" s="32" t="n">
        <x:f>INDEX(v01_FoodCap,G1120)*Arch_FoodCap*EXP(v01_CapsByProject*SUMPRODUCT((Cap_Point&lt;=I1120)*(Cap_Kind="Food")*Cap_Ln))</x:f>
        <x:v>500</x:v>
      </x:c>
      <x:c r="K1120" s="32" t="n">
        <x:f>J1120*MIN(1,v01_LeanBase*EXP(v01_CapsByProject*SUMPRODUCT((Cap_Point&lt;=I1120)*(Cap_Kind="Lean")*Cap_Ln)))</x:f>
        <x:v>500</x:v>
      </x:c>
      <x:c r="L1120" s="10" t="n">
        <x:f>INDEX(v01_HousingCap,G1120)*EXP(v01_CapsByProject*SUMPRODUCT((Cap_Point&lt;=I1120)*(Cap_Kind="Housing")*Cap_Ln))</x:f>
        <x:v>800</x:v>
      </x:c>
      <x:c r="M1120" s="10" t="n">
        <x:f>INDEX(v01_GroupCap,G1120)*v01_CohesionFactor*EXP(v01_CapsByProject*SUMPRODUCT((Cap_Point&lt;=I1120)*(Cap_Kind="Group")*Cap_Ln))</x:f>
        <x:v>10000</x:v>
      </x:c>
      <x:c r="N1120" s="32" t="n">
        <x:f>MIN(J1120,L1120,M1120)</x:f>
        <x:v>500</x:v>
      </x:c>
      <x:c r="O1120" s="10" t="n">
        <x:f>AE1119*N1120</x:f>
        <x:v>8000</x:v>
      </x:c>
      <x:c r="P1120" s="9" t="n">
        <x:f>MIN(1,(AB1119/(AE1119*IF(v01_GroupInCrowding=1,N1120,MIN(J1120,L1120))))^v01_CrowdingExp)</x:f>
        <x:v>0.2210801071735644</x:v>
      </x:c>
      <x:c r="Q1120" s="9" t="n">
        <x:f>IF(D1120=1,INDEX(v01_WinterMult,G1120),1)</x:f>
        <x:v>1</x:v>
      </x:c>
      <x:c r="R1120" s="9" t="n">
        <x:f>H1120*Z1119*v01_WomenShare*v01_BaseFertility*INDEX(v01_FertMult,G1120)*Arch_Fertility*(1-P1120)</x:f>
        <x:v>69.17747404099508</x:v>
      </x:c>
      <x:c r="S1120" s="9" t="n">
        <x:f>H1120*Y1119*INDEX(v01_MortChild,G1120)/4*Q1120</x:f>
        <x:v>15.914122110504463</x:v>
      </x:c>
      <x:c r="T1120" s="9" t="n">
        <x:f>H1120*Z1119*INDEX(v01_MortAdult,G1120)*Arch_AdultMort/4*Q1120</x:f>
        <x:v>6.728185759079322</x:v>
      </x:c>
      <x:c r="U1120" s="9" t="n">
        <x:f>H1120*AA1119*INDEX(v01_MortElder,G1120)/4*Q1120</x:f>
        <x:v>14.749427647143536</x:v>
      </x:c>
      <x:c r="V1120" s="9" t="n">
        <x:f>H1120*MAX(0,AB1119-O1120)*v01_OvercapLoss</x:f>
        <x:v>0</x:v>
      </x:c>
      <x:c r="W1120" s="9" t="n">
        <x:f>H1120*Y1119/(v01_ChildYears*4)</x:f>
        <x:v>45.46892031572703</x:v>
      </x:c>
      <x:c r="X1120" s="9" t="n">
        <x:f>H1120*Z1119/(v01_AdultYears*4)</x:f>
        <x:v>21.703825029288137</x:v>
      </x:c>
      <x:c r="Y1120" s="32" t="n">
        <x:f>Y1119+R1120-S1120-W1120-Y1119*V1120/AB1119</x:f>
        <x:v>2554.053969295477</x:v>
      </x:c>
      <x:c r="Z1120" s="32" t="n">
        <x:f>Z1119+W1120-X1120-T1120-Z1119*V1120/AB1119</x:f>
        <x:v>2708.3112131590888</x:v>
      </x:c>
      <x:c r="AA1120" s="32" t="n">
        <x:f>AA1119+X1120-U1120-AA1119*V1120/AB1119</x:f>
        <x:v>990.2495738583804</x:v>
      </x:c>
      <x:c r="AB1120" s="10" t="n">
        <x:f>Y1120+Z1120+AA1120</x:f>
        <x:v>6252.614756312946</x:v>
      </x:c>
      <x:c r="AC1120" s="8" t="n">
        <x:f>IF(AND(v01_WinterTrigger=1,D1120=1,AB1119/AE1119&gt;=K1120),1,0)</x:f>
        <x:v>0</x:v>
      </x:c>
      <x:c r="AD1120" s="8" t="n">
        <x:f>H1120*IF(AND(OR(AB1119/AE1119&gt;=v01_FissionTrigger*N1120,AC1120=1),AB1119/AE1119*v01_DaughterShare&gt;=v01_MinDaughter),MAX(1,ROUND(AE1119*v01_FissionRate,0)),0)</x:f>
        <x:v>0</x:v>
      </x:c>
      <x:c r="AE1120" s="8" t="n">
        <x:f>IF(H1120=1,MAX(1,MIN(INDEX(v01_Smax,G1120),AE1119+AD1120)),AE1119)</x:f>
        <x:v>16</x:v>
      </x:c>
      <x:c r="AF1120" s="8" t="n">
        <x:f>MAX(0,AE1120-AE1119)</x:f>
        <x:v>0</x:v>
      </x:c>
      <x:c r="AG1120" s="9" t="str">
        <x:f>IF(AF1120&gt;0,B1120,"")</x:f>
      </x:c>
      <x:c r="AH1120" s="9" t="n">
        <x:f>IF(F1120&gt;=1,1,(1+v01_LowTiesShare*(AE1120-1))/AE1120)</x:f>
        <x:v>1</x:v>
      </x:c>
      <x:c r="AI1120" s="32" t="n">
        <x:f>(Z1120+v01_ElderCommons*INDEX(LM_Elder,G1120)*AA1120)*AH1120</x:f>
        <x:v>6029.709255915395</x:v>
      </x:c>
      <x:c r="AJ1120" s="32" t="n">
        <x:f>H1120*v01_CommonsCoef*AI1120^v01_CommonsExp*INDEX(LM_Commons,G1120)</x:f>
        <x:v>1302.215891141695</x:v>
      </x:c>
      <x:c r="AK1120" s="32" t="n">
        <x:f>H1120*v01_RoleScale*Arch_Roles*(AE1120*(INDEX(v01_ElderRolePerSett,G1120)*v01_OutElder*INDEX(LM_Elder,G1120)+INDEX(v01_ShamanPerSett,G1120)*v01_OutShaman)+Z1120*(INDEX(v01_PriestShare,G1120)*v01_OutPriest+INDEX(v01_ScribeShare,G1120)*v01_OutScribe*INDEX(LM_Scribe,G1120)+INDEX(v01_ScholarShare,G1120)*v01_OutScholar*INDEX(LM_Scholar,G1120)+INDEX(v01_ResearcherShare,G1120)*v01_OutResearcher*INDEX(LM_Researcher,G1120)))</x:f>
        <x:v>242.8868900512697</x:v>
      </x:c>
      <x:c r="AL1120" s="32" t="n">
        <x:f>H1120*v01_RoleScale*Arch_Roles*AE1120*INDEX(v01_MonasteryPerSett,G1120)*v01_OutMonastery*INDEX(LM_Monastery,G1120)</x:f>
        <x:v>5.034282471216728</x:v>
      </x:c>
      <x:c r="AM1120" s="32" t="n">
        <x:f>(AJ1120+AK1120+AL1120)/4*INDEX(LM_All,G1120)*INDEX(v01_Boon,G1120)*Arch_Insight</x:f>
        <x:v>558.5921096201992</x:v>
      </x:c>
      <x:c r="AN1120" s="32" t="n">
        <x:f>H1120*(v01_KHPerAdult*Z1120+v01_KHOfCommons*AJ1120/4*INDEX(LM_All,G1120))*v01_KHUsable*Arch_KH</x:f>
        <x:v>94.7908924605681</x:v>
      </x:c>
      <x:c r="AO1120" s="32" t="n">
        <x:f>MIN(AP1119+AN1120,AM1120*v01_KHMaxRatio)</x:f>
        <x:v>94.7908924605681</x:v>
      </x:c>
      <x:c r="AP1120" s="32" t="n">
        <x:f>AP1119+AN1120-AO1120</x:f>
        <x:v>0</x:v>
      </x:c>
      <x:c r="AQ1120" s="32" t="n">
        <x:f>AM1120+AO1120</x:f>
        <x:v>653.3830020807673</x:v>
      </x:c>
      <x:c r="AR1120" s="10" t="n">
        <x:f>IF(H1120=1,INDEX(v01_Req,G1120),0)</x:f>
        <x:v>47951.22698</x:v>
      </x:c>
      <x:c r="AS1120" s="32" t="n">
        <x:f>IF(H1120=1,IF(E1120=1,AS1119-AR1119,AS1119)+AQ1120,0)</x:f>
        <x:v>47803.73001492456</x:v>
      </x:c>
      <x:c r="AT1120" s="11" t="n">
        <x:f>IF(AR1120&gt;0,MIN(1,AS1120/AR1120),1)</x:f>
        <x:v>0.9969240210446134</x:v>
      </x:c>
      <x:c r="AU1120" s="10" t="n">
        <x:f>AB1120/INDEX(v01_RepScale,G1120)</x:f>
        <x:v>250.10459025251785</x:v>
      </x:c>
      <x:c r="AV1120" s="32" t="n">
        <x:f>AM1120*60/v01_SeasonSeconds</x:f>
        <x:v>2234.368438480796</x:v>
      </x:c>
    </x:row>
    <x:row r="1121">
      <x:c r="A1121" s="8" t="n">
        <x:f>A1120+1</x:f>
        <x:v>1118</x:v>
      </x:c>
      <x:c r="B1121" s="9" t="n">
        <x:f>A1121*v01_SeasonSeconds/60</x:f>
        <x:v>279.5</x:v>
      </x:c>
      <x:c r="C1121" s="9" t="n">
        <x:f>A1121/4</x:f>
        <x:v>279.5</x:v>
      </x:c>
      <x:c r="D1121" s="8" t="n">
        <x:f>IF(MOD(A1121,4)=0,1,0)</x:f>
        <x:v>0</x:v>
      </x:c>
      <x:c r="E1121" s="8" t="n">
        <x:f>IF(AND(F1120&lt;=9,AS1120&gt;=AR1120),1,0)</x:f>
        <x:v>0</x:v>
      </x:c>
      <x:c r="F1121" s="8" t="n">
        <x:f>MIN(10,F1120+E1121)</x:f>
        <x:v>5</x:v>
      </x:c>
      <x:c r="G1121" s="8" t="n">
        <x:f>MIN(F1121,9)+1</x:f>
        <x:v>6</x:v>
      </x:c>
      <x:c r="H1121" s="8" t="n">
        <x:f>IF(F1121&lt;=9,1,0)</x:f>
        <x:v>1</x:v>
      </x:c>
      <x:c r="I1121" s="9" t="n">
        <x:f>MIN(10,F1120+IF(AR1120&gt;0,MIN(1,AS1120/AR1120),1))</x:f>
        <x:v>5.996924021044613</x:v>
      </x:c>
      <x:c r="J1121" s="32" t="n">
        <x:f>INDEX(v01_FoodCap,G1121)*Arch_FoodCap*EXP(v01_CapsByProject*SUMPRODUCT((Cap_Point&lt;=I1121)*(Cap_Kind="Food")*Cap_Ln))</x:f>
        <x:v>500</x:v>
      </x:c>
      <x:c r="K1121" s="32" t="n">
        <x:f>J1121*MIN(1,v01_LeanBase*EXP(v01_CapsByProject*SUMPRODUCT((Cap_Point&lt;=I1121)*(Cap_Kind="Lean")*Cap_Ln)))</x:f>
        <x:v>500</x:v>
      </x:c>
      <x:c r="L1121" s="10" t="n">
        <x:f>INDEX(v01_HousingCap,G1121)*EXP(v01_CapsByProject*SUMPRODUCT((Cap_Point&lt;=I1121)*(Cap_Kind="Housing")*Cap_Ln))</x:f>
        <x:v>800</x:v>
      </x:c>
      <x:c r="M1121" s="10" t="n">
        <x:f>INDEX(v01_GroupCap,G1121)*v01_CohesionFactor*EXP(v01_CapsByProject*SUMPRODUCT((Cap_Point&lt;=I1121)*(Cap_Kind="Group")*Cap_Ln))</x:f>
        <x:v>10000</x:v>
      </x:c>
      <x:c r="N1121" s="32" t="n">
        <x:f>MIN(J1121,L1121,M1121)</x:f>
        <x:v>500</x:v>
      </x:c>
      <x:c r="O1121" s="10" t="n">
        <x:f>AE1120*N1121</x:f>
        <x:v>8000</x:v>
      </x:c>
      <x:c r="P1121" s="9" t="n">
        <x:f>MIN(1,(AB1120/(AE1120*IF(v01_GroupInCrowding=1,N1121,MIN(J1121,L1121))))^v01_CrowdingExp)</x:f>
        <x:v>0.2279450184038045</x:v>
      </x:c>
      <x:c r="Q1121" s="9" t="n">
        <x:f>IF(D1121=1,INDEX(v01_WinterMult,G1121),1)</x:f>
        <x:v>1</x:v>
      </x:c>
      <x:c r="R1121" s="9" t="n">
        <x:f>H1121*Z1120*v01_WomenShare*v01_BaseFertility*INDEX(v01_FertMult,G1121)*Arch_Fertility*(1-P1121)</x:f>
        <x:v>69.00185040646623</x:v>
      </x:c>
      <x:c r="S1121" s="9" t="n">
        <x:f>H1121*Y1120*INDEX(v01_MortChild,G1121)/4*Q1121</x:f>
        <x:v>15.962837308096733</x:v>
      </x:c>
      <x:c r="T1121" s="9" t="n">
        <x:f>H1121*Z1120*INDEX(v01_MortAdult,G1121)*Arch_AdultMort/4*Q1121</x:f>
        <x:v>6.770778032897722</x:v>
      </x:c>
      <x:c r="U1121" s="9" t="n">
        <x:f>H1121*AA1120*INDEX(v01_MortElder,G1121)/4*Q1121</x:f>
        <x:v>14.853743607875705</x:v>
      </x:c>
      <x:c r="V1121" s="9" t="n">
        <x:f>H1121*MAX(0,AB1120-O1121)*v01_OvercapLoss</x:f>
        <x:v>0</x:v>
      </x:c>
      <x:c r="W1121" s="9" t="n">
        <x:f>H1121*Y1120/(v01_ChildYears*4)</x:f>
        <x:v>45.608106594562095</x:v>
      </x:c>
      <x:c r="X1121" s="9" t="n">
        <x:f>H1121*Z1120/(v01_AdultYears*4)</x:f>
        <x:v>21.841219460960392</x:v>
      </x:c>
      <x:c r="Y1121" s="32" t="n">
        <x:f>Y1120+R1121-S1121-W1121-Y1120*V1121/AB1120</x:f>
        <x:v>2561.484875799284</x:v>
      </x:c>
      <x:c r="Z1121" s="32" t="n">
        <x:f>Z1120+W1121-X1121-T1121-Z1120*V1121/AB1120</x:f>
        <x:v>2725.3073222597927</x:v>
      </x:c>
      <x:c r="AA1121" s="32" t="n">
        <x:f>AA1120+X1121-U1121-AA1120*V1121/AB1120</x:f>
        <x:v>997.237049711465</x:v>
      </x:c>
      <x:c r="AB1121" s="10" t="n">
        <x:f>Y1121+Z1121+AA1121</x:f>
        <x:v>6284.029247770542</x:v>
      </x:c>
      <x:c r="AC1121" s="8" t="n">
        <x:f>IF(AND(v01_WinterTrigger=1,D1121=1,AB1120/AE1120&gt;=K1121),1,0)</x:f>
        <x:v>0</x:v>
      </x:c>
      <x:c r="AD1121" s="8" t="n">
        <x:f>H1121*IF(AND(OR(AB1120/AE1120&gt;=v01_FissionTrigger*N1121,AC1121=1),AB1120/AE1120*v01_DaughterShare&gt;=v01_MinDaughter),MAX(1,ROUND(AE1120*v01_FissionRate,0)),0)</x:f>
        <x:v>0</x:v>
      </x:c>
      <x:c r="AE1121" s="8" t="n">
        <x:f>IF(H1121=1,MAX(1,MIN(INDEX(v01_Smax,G1121),AE1120+AD1121)),AE1120)</x:f>
        <x:v>16</x:v>
      </x:c>
      <x:c r="AF1121" s="8" t="n">
        <x:f>MAX(0,AE1121-AE1120)</x:f>
        <x:v>0</x:v>
      </x:c>
      <x:c r="AG1121" s="9" t="str">
        <x:f>IF(AF1121&gt;0,B1121,"")</x:f>
      </x:c>
      <x:c r="AH1121" s="9" t="n">
        <x:f>IF(F1121&gt;=1,1,(1+v01_LowTiesShare*(AE1121-1))/AE1121)</x:f>
        <x:v>1</x:v>
      </x:c>
      <x:c r="AI1121" s="32" t="n">
        <x:f>(Z1121+v01_ElderCommons*INDEX(LM_Elder,G1121)*AA1121)*AH1121</x:f>
        <x:v>6070.142071514052</x:v>
      </x:c>
      <x:c r="AJ1121" s="32" t="n">
        <x:f>H1121*v01_CommonsCoef*AI1121^v01_CommonsExp*INDEX(LM_Commons,G1121)</x:f>
        <x:v>1309.6344854066788</x:v>
      </x:c>
      <x:c r="AK1121" s="32" t="n">
        <x:f>H1121*v01_RoleScale*Arch_Roles*(AE1121*(INDEX(v01_ElderRolePerSett,G1121)*v01_OutElder*INDEX(LM_Elder,G1121)+INDEX(v01_ShamanPerSett,G1121)*v01_OutShaman)+Z1121*(INDEX(v01_PriestShare,G1121)*v01_OutPriest+INDEX(v01_ScribeShare,G1121)*v01_OutScribe*INDEX(LM_Scribe,G1121)+INDEX(v01_ScholarShare,G1121)*v01_OutScholar*INDEX(LM_Scholar,G1121)+INDEX(v01_ResearcherShare,G1121)*v01_OutResearcher*INDEX(LM_Researcher,G1121)))</x:f>
        <x:v>244.09213263363586</x:v>
      </x:c>
      <x:c r="AL1121" s="32" t="n">
        <x:f>H1121*v01_RoleScale*Arch_Roles*AE1121*INDEX(v01_MonasteryPerSett,G1121)*v01_OutMonastery*INDEX(LM_Monastery,G1121)</x:f>
        <x:v>5.034282471216728</x:v>
      </x:c>
      <x:c r="AM1121" s="32" t="n">
        <x:f>(AJ1121+AK1121+AL1121)/4*INDEX(LM_All,G1121)*INDEX(v01_Boon,G1121)*Arch_Insight</x:f>
        <x:v>561.6997104449899</x:v>
      </x:c>
      <x:c r="AN1121" s="32" t="n">
        <x:f>H1121*(v01_KHPerAdult*Z1121+v01_KHOfCommons*AJ1121/4*INDEX(LM_All,G1121))*v01_KHUsable*Arch_KH</x:f>
        <x:v>95.38575627909275</x:v>
      </x:c>
      <x:c r="AO1121" s="32" t="n">
        <x:f>MIN(AP1120+AN1121,AM1121*v01_KHMaxRatio)</x:f>
        <x:v>95.38575627909275</x:v>
      </x:c>
      <x:c r="AP1121" s="32" t="n">
        <x:f>AP1120+AN1121-AO1121</x:f>
        <x:v>0</x:v>
      </x:c>
      <x:c r="AQ1121" s="32" t="n">
        <x:f>AM1121+AO1121</x:f>
        <x:v>657.0854667240827</x:v>
      </x:c>
      <x:c r="AR1121" s="10" t="n">
        <x:f>IF(H1121=1,INDEX(v01_Req,G1121),0)</x:f>
        <x:v>47951.22698</x:v>
      </x:c>
      <x:c r="AS1121" s="32" t="n">
        <x:f>IF(H1121=1,IF(E1121=1,AS1120-AR1120,AS1120)+AQ1121,0)</x:f>
        <x:v>48460.81548164864</x:v>
      </x:c>
      <x:c r="AT1121" s="11" t="n">
        <x:f>IF(AR1121&gt;0,MIN(1,AS1121/AR1121),1)</x:f>
        <x:v>1</x:v>
      </x:c>
      <x:c r="AU1121" s="10" t="n">
        <x:f>AB1121/INDEX(v01_RepScale,G1121)</x:f>
        <x:v>251.36116991082167</x:v>
      </x:c>
      <x:c r="AV1121" s="32" t="n">
        <x:f>AM1121*60/v01_SeasonSeconds</x:f>
        <x:v>2246.7988417799597</x:v>
      </x:c>
    </x:row>
    <x:row r="1122">
      <x:c r="A1122" s="8" t="n">
        <x:f>A1121+1</x:f>
        <x:v>1119</x:v>
      </x:c>
      <x:c r="B1122" s="9" t="n">
        <x:f>A1122*v01_SeasonSeconds/60</x:f>
        <x:v>279.75</x:v>
      </x:c>
      <x:c r="C1122" s="9" t="n">
        <x:f>A1122/4</x:f>
        <x:v>279.75</x:v>
      </x:c>
      <x:c r="D1122" s="8" t="n">
        <x:f>IF(MOD(A1122,4)=0,1,0)</x:f>
        <x:v>0</x:v>
      </x:c>
      <x:c r="E1122" s="8" t="n">
        <x:f>IF(AND(F1121&lt;=9,AS1121&gt;=AR1121),1,0)</x:f>
        <x:v>1</x:v>
      </x:c>
      <x:c r="F1122" s="8" t="n">
        <x:f>MIN(10,F1121+E1122)</x:f>
        <x:v>6</x:v>
      </x:c>
      <x:c r="G1122" s="8" t="n">
        <x:f>MIN(F1122,9)+1</x:f>
        <x:v>7</x:v>
      </x:c>
      <x:c r="H1122" s="8" t="n">
        <x:f>IF(F1122&lt;=9,1,0)</x:f>
        <x:v>1</x:v>
      </x:c>
      <x:c r="I1122" s="9" t="n">
        <x:f>MIN(10,F1121+IF(AR1121&gt;0,MIN(1,AS1121/AR1121),1))</x:f>
        <x:v>6</x:v>
      </x:c>
      <x:c r="J1122" s="32" t="n">
        <x:f>INDEX(v01_FoodCap,G1122)*Arch_FoodCap*EXP(v01_CapsByProject*SUMPRODUCT((Cap_Point&lt;=I1122)*(Cap_Kind="Food")*Cap_Ln))</x:f>
        <x:v>1000</x:v>
      </x:c>
      <x:c r="K1122" s="32" t="n">
        <x:f>J1122*MIN(1,v01_LeanBase*EXP(v01_CapsByProject*SUMPRODUCT((Cap_Point&lt;=I1122)*(Cap_Kind="Lean")*Cap_Ln)))</x:f>
        <x:v>1000</x:v>
      </x:c>
      <x:c r="L1122" s="10" t="n">
        <x:f>INDEX(v01_HousingCap,G1122)*EXP(v01_CapsByProject*SUMPRODUCT((Cap_Point&lt;=I1122)*(Cap_Kind="Housing")*Cap_Ln))</x:f>
        <x:v>1600</x:v>
      </x:c>
      <x:c r="M1122" s="10" t="n">
        <x:f>INDEX(v01_GroupCap,G1122)*v01_CohesionFactor*EXP(v01_CapsByProject*SUMPRODUCT((Cap_Point&lt;=I1122)*(Cap_Kind="Group")*Cap_Ln))</x:f>
        <x:v>1000000</x:v>
      </x:c>
      <x:c r="N1122" s="32" t="n">
        <x:f>MIN(J1122,L1122,M1122)</x:f>
        <x:v>1000</x:v>
      </x:c>
      <x:c r="O1122" s="10" t="n">
        <x:f>AE1121*N1122</x:f>
        <x:v>16000</x:v>
      </x:c>
      <x:c r="P1122" s="9" t="n">
        <x:f>MIN(1,(AB1121/(AE1121*IF(v01_GroupInCrowding=1,N1122,MIN(J1122,L1122))))^v01_CrowdingExp)</x:f>
        <x:v>0.0036703652995725452</x:v>
      </x:c>
      <x:c r="Q1122" s="9" t="n">
        <x:f>IF(D1122=1,INDEX(v01_WinterMult,G1122),1)</x:f>
        <x:v>1</x:v>
      </x:c>
      <x:c r="R1122" s="9" t="n">
        <x:f>H1122*Z1121*v01_WomenShare*v01_BaseFertility*INDEX(v01_FertMult,G1122)*Arch_Fertility*(1-P1122)</x:f>
        <x:v>85.53209013825523</x:v>
      </x:c>
      <x:c r="S1122" s="9" t="n">
        <x:f>H1122*Y1121*INDEX(v01_MortChild,G1122)/4*Q1122</x:f>
        <x:v>14.088166816896061</x:v>
      </x:c>
      <x:c r="T1122" s="9" t="n">
        <x:f>H1122*Z1121*INDEX(v01_MortAdult,G1122)*Arch_AdultMort/4*Q1122</x:f>
        <x:v>6.131941475084533</x:v>
      </x:c>
      <x:c r="U1122" s="9" t="n">
        <x:f>H1122*AA1121*INDEX(v01_MortElder,G1122)/4*Q1122</x:f>
        <x:v>13.712009433532645</x:v>
      </x:c>
      <x:c r="V1122" s="9" t="n">
        <x:f>H1122*MAX(0,AB1121-O1122)*v01_OvercapLoss</x:f>
        <x:v>0</x:v>
      </x:c>
      <x:c r="W1122" s="9" t="n">
        <x:f>H1122*Y1121/(v01_ChildYears*4)</x:f>
        <x:v>45.740801353558645</x:v>
      </x:c>
      <x:c r="X1122" s="9" t="n">
        <x:f>H1122*Z1121/(v01_AdultYears*4)</x:f>
        <x:v>21.97828485693381</x:v>
      </x:c>
      <x:c r="Y1122" s="32" t="n">
        <x:f>Y1121+R1122-S1122-W1122-Y1121*V1122/AB1121</x:f>
        <x:v>2587.1879977670847</x:v>
      </x:c>
      <x:c r="Z1122" s="32" t="n">
        <x:f>Z1121+W1122-X1122-T1122-Z1121*V1122/AB1121</x:f>
        <x:v>2742.937897281333</x:v>
      </x:c>
      <x:c r="AA1122" s="32" t="n">
        <x:f>AA1121+X1122-U1122-AA1121*V1122/AB1121</x:f>
        <x:v>1005.5033251348661</x:v>
      </x:c>
      <x:c r="AB1122" s="10" t="n">
        <x:f>Y1122+Z1122+AA1122</x:f>
        <x:v>6335.629220183283</x:v>
      </x:c>
      <x:c r="AC1122" s="8" t="n">
        <x:f>IF(AND(v01_WinterTrigger=1,D1122=1,AB1121/AE1121&gt;=K1122),1,0)</x:f>
        <x:v>0</x:v>
      </x:c>
      <x:c r="AD1122" s="8" t="n">
        <x:f>H1122*IF(AND(OR(AB1121/AE1121&gt;=v01_FissionTrigger*N1122,AC1122=1),AB1121/AE1121*v01_DaughterShare&gt;=v01_MinDaughter),MAX(1,ROUND(AE1121*v01_FissionRate,0)),0)</x:f>
        <x:v>0</x:v>
      </x:c>
      <x:c r="AE1122" s="8" t="n">
        <x:f>IF(H1122=1,MAX(1,MIN(INDEX(v01_Smax,G1122),AE1121+AD1122)),AE1121)</x:f>
        <x:v>16</x:v>
      </x:c>
      <x:c r="AF1122" s="8" t="n">
        <x:f>MAX(0,AE1122-AE1121)</x:f>
        <x:v>0</x:v>
      </x:c>
      <x:c r="AG1122" s="9" t="str">
        <x:f>IF(AF1122&gt;0,B1122,"")</x:f>
      </x:c>
      <x:c r="AH1122" s="9" t="n">
        <x:f>IF(F1122&gt;=1,1,(1+v01_LowTiesShare*(AE1122-1))/AE1122)</x:f>
        <x:v>1</x:v>
      </x:c>
      <x:c r="AI1122" s="32" t="n">
        <x:f>(Z1122+v01_ElderCommons*INDEX(LM_Elder,G1122)*AA1122)*AH1122</x:f>
        <x:v>6513.575366537081</x:v>
      </x:c>
      <x:c r="AJ1122" s="32" t="n">
        <x:f>H1122*v01_CommonsCoef*AI1122^v01_CommonsExp*INDEX(LM_Commons,G1122)</x:f>
        <x:v>1523.2396089700362</x:v>
      </x:c>
      <x:c r="AK1122" s="32" t="n">
        <x:f>H1122*v01_RoleScale*Arch_Roles*(AE1122*(INDEX(v01_ElderRolePerSett,G1122)*v01_OutElder*INDEX(LM_Elder,G1122)+INDEX(v01_ShamanPerSett,G1122)*v01_OutShaman)+Z1122*(INDEX(v01_PriestShare,G1122)*v01_OutPriest+INDEX(v01_ScribeShare,G1122)*v01_OutScribe*INDEX(LM_Scribe,G1122)+INDEX(v01_ScholarShare,G1122)*v01_OutScholar*INDEX(LM_Scholar,G1122)+INDEX(v01_ResearcherShare,G1122)*v01_OutResearcher*INDEX(LM_Researcher,G1122)))</x:f>
        <x:v>399.88446884717604</x:v>
      </x:c>
      <x:c r="AL1122" s="32" t="n">
        <x:f>H1122*v01_RoleScale*Arch_Roles*AE1122*INDEX(v01_MonasteryPerSett,G1122)*v01_OutMonastery*INDEX(LM_Monastery,G1122)</x:f>
        <x:v>10.56</x:v>
      </x:c>
      <x:c r="AM1122" s="32" t="n">
        <x:f>(AJ1122+AK1122+AL1122)/4*INDEX(LM_All,G1122)*INDEX(v01_Boon,G1122)*Arch_Insight</x:f>
        <x:v>883.6332123833553</x:v>
      </x:c>
      <x:c r="AN1122" s="32" t="n">
        <x:f>H1122*(v01_KHPerAdult*Z1122+v01_KHOfCommons*AJ1122/4*INDEX(LM_All,G1122))*v01_KHUsable*Arch_KH</x:f>
        <x:v>96.00282640484664</x:v>
      </x:c>
      <x:c r="AO1122" s="32" t="n">
        <x:f>MIN(AP1121+AN1122,AM1122*v01_KHMaxRatio)</x:f>
        <x:v>96.00282640484664</x:v>
      </x:c>
      <x:c r="AP1122" s="32" t="n">
        <x:f>AP1121+AN1122-AO1122</x:f>
        <x:v>0</x:v>
      </x:c>
      <x:c r="AQ1122" s="32" t="n">
        <x:f>AM1122+AO1122</x:f>
        <x:v>979.6360387882019</x:v>
      </x:c>
      <x:c r="AR1122" s="10" t="n">
        <x:f>IF(H1122=1,INDEX(v01_Req,G1122),0)</x:f>
        <x:v>113395.942036</x:v>
      </x:c>
      <x:c r="AS1122" s="32" t="n">
        <x:f>IF(H1122=1,IF(E1122=1,AS1121-AR1121,AS1121)+AQ1122,0)</x:f>
        <x:v>1489.2245404368446</x:v>
      </x:c>
      <x:c r="AT1122" s="11" t="n">
        <x:f>IF(AR1122&gt;0,MIN(1,AS1122/AR1122),1)</x:f>
        <x:v>0.013132961494901273</x:v>
      </x:c>
      <x:c r="AU1122" s="10" t="n">
        <x:f>AB1122/INDEX(v01_RepScale,G1122)</x:f>
        <x:v>126.71258440366566</x:v>
      </x:c>
      <x:c r="AV1122" s="32" t="n">
        <x:f>AM1122*60/v01_SeasonSeconds</x:f>
        <x:v>3534.532849533421</x:v>
      </x:c>
    </x:row>
    <x:row r="1123">
      <x:c r="A1123" s="8" t="n">
        <x:f>A1122+1</x:f>
        <x:v>1120</x:v>
      </x:c>
      <x:c r="B1123" s="9" t="n">
        <x:f>A1123*v01_SeasonSeconds/60</x:f>
        <x:v>280</x:v>
      </x:c>
      <x:c r="C1123" s="9" t="n">
        <x:f>A1123/4</x:f>
        <x:v>280</x:v>
      </x:c>
      <x:c r="D1123" s="8" t="n">
        <x:f>IF(MOD(A1123,4)=0,1,0)</x:f>
        <x:v>1</x:v>
      </x:c>
      <x:c r="E1123" s="8" t="n">
        <x:f>IF(AND(F1122&lt;=9,AS1122&gt;=AR1122),1,0)</x:f>
        <x:v>0</x:v>
      </x:c>
      <x:c r="F1123" s="8" t="n">
        <x:f>MIN(10,F1122+E1123)</x:f>
        <x:v>6</x:v>
      </x:c>
      <x:c r="G1123" s="8" t="n">
        <x:f>MIN(F1123,9)+1</x:f>
        <x:v>7</x:v>
      </x:c>
      <x:c r="H1123" s="8" t="n">
        <x:f>IF(F1123&lt;=9,1,0)</x:f>
        <x:v>1</x:v>
      </x:c>
      <x:c r="I1123" s="9" t="n">
        <x:f>MIN(10,F1122+IF(AR1122&gt;0,MIN(1,AS1122/AR1122),1))</x:f>
        <x:v>6.013132961494901</x:v>
      </x:c>
      <x:c r="J1123" s="32" t="n">
        <x:f>INDEX(v01_FoodCap,G1123)*Arch_FoodCap*EXP(v01_CapsByProject*SUMPRODUCT((Cap_Point&lt;=I1123)*(Cap_Kind="Food")*Cap_Ln))</x:f>
        <x:v>1000</x:v>
      </x:c>
      <x:c r="K1123" s="32" t="n">
        <x:f>J1123*MIN(1,v01_LeanBase*EXP(v01_CapsByProject*SUMPRODUCT((Cap_Point&lt;=I1123)*(Cap_Kind="Lean")*Cap_Ln)))</x:f>
        <x:v>1000</x:v>
      </x:c>
      <x:c r="L1123" s="10" t="n">
        <x:f>INDEX(v01_HousingCap,G1123)*EXP(v01_CapsByProject*SUMPRODUCT((Cap_Point&lt;=I1123)*(Cap_Kind="Housing")*Cap_Ln))</x:f>
        <x:v>1600</x:v>
      </x:c>
      <x:c r="M1123" s="10" t="n">
        <x:f>INDEX(v01_GroupCap,G1123)*v01_CohesionFactor*EXP(v01_CapsByProject*SUMPRODUCT((Cap_Point&lt;=I1123)*(Cap_Kind="Group")*Cap_Ln))</x:f>
        <x:v>1000000</x:v>
      </x:c>
      <x:c r="N1123" s="32" t="n">
        <x:f>MIN(J1123,L1123,M1123)</x:f>
        <x:v>1000</x:v>
      </x:c>
      <x:c r="O1123" s="10" t="n">
        <x:f>AE1122*N1123</x:f>
        <x:v>16000</x:v>
      </x:c>
      <x:c r="P1123" s="9" t="n">
        <x:f>MIN(1,(AB1122/(AE1122*IF(v01_GroupInCrowding=1,N1123,MIN(J1123,L1123))))^v01_CrowdingExp)</x:f>
        <x:v>0.0038549488756228142</x:v>
      </x:c>
      <x:c r="Q1123" s="9" t="n">
        <x:f>IF(D1123=1,INDEX(v01_WinterMult,G1123),1)</x:f>
        <x:v>1</x:v>
      </x:c>
      <x:c r="R1123" s="9" t="n">
        <x:f>H1123*Z1122*v01_WomenShare*v01_BaseFertility*INDEX(v01_FertMult,G1123)*Arch_Fertility*(1-P1123)</x:f>
        <x:v>86.06946637542661</x:v>
      </x:c>
      <x:c r="S1123" s="9" t="n">
        <x:f>H1123*Y1122*INDEX(v01_MortChild,G1123)/4*Q1123</x:f>
        <x:v>14.229533987718964</x:v>
      </x:c>
      <x:c r="T1123" s="9" t="n">
        <x:f>H1123*Z1122*INDEX(v01_MortAdult,G1123)*Arch_AdultMort/4*Q1123</x:f>
        <x:v>6.171610268882999</x:v>
      </x:c>
      <x:c r="U1123" s="9" t="n">
        <x:f>H1123*AA1122*INDEX(v01_MortElder,G1123)/4*Q1123</x:f>
        <x:v>13.825670720604409</x:v>
      </x:c>
      <x:c r="V1123" s="9" t="n">
        <x:f>H1123*MAX(0,AB1122-O1123)*v01_OvercapLoss</x:f>
        <x:v>0</x:v>
      </x:c>
      <x:c r="W1123" s="9" t="n">
        <x:f>H1123*Y1122/(v01_ChildYears*4)</x:f>
        <x:v>46.199785674412226</x:v>
      </x:c>
      <x:c r="X1123" s="9" t="n">
        <x:f>H1123*Z1122/(v01_AdultYears*4)</x:f>
        <x:v>22.120466913559135</x:v>
      </x:c>
      <x:c r="Y1123" s="32" t="n">
        <x:f>Y1122+R1123-S1123-W1123-Y1122*V1123/AB1122</x:f>
        <x:v>2612.8281444803797</x:v>
      </x:c>
      <x:c r="Z1123" s="32" t="n">
        <x:f>Z1122+W1123-X1123-T1123-Z1122*V1123/AB1122</x:f>
        <x:v>2760.8456057733033</x:v>
      </x:c>
      <x:c r="AA1123" s="32" t="n">
        <x:f>AA1122+X1123-U1123-AA1122*V1123/AB1122</x:f>
        <x:v>1013.7981213278208</x:v>
      </x:c>
      <x:c r="AB1123" s="10" t="n">
        <x:f>Y1123+Z1123+AA1123</x:f>
        <x:v>6387.471871581504</x:v>
      </x:c>
      <x:c r="AC1123" s="8" t="n">
        <x:f>IF(AND(v01_WinterTrigger=1,D1123=1,AB1122/AE1122&gt;=K1123),1,0)</x:f>
        <x:v>0</x:v>
      </x:c>
      <x:c r="AD1123" s="8" t="n">
        <x:f>H1123*IF(AND(OR(AB1122/AE1122&gt;=v01_FissionTrigger*N1123,AC1123=1),AB1122/AE1122*v01_DaughterShare&gt;=v01_MinDaughter),MAX(1,ROUND(AE1122*v01_FissionRate,0)),0)</x:f>
        <x:v>0</x:v>
      </x:c>
      <x:c r="AE1123" s="8" t="n">
        <x:f>IF(H1123=1,MAX(1,MIN(INDEX(v01_Smax,G1123),AE1122+AD1123)),AE1122)</x:f>
        <x:v>16</x:v>
      </x:c>
      <x:c r="AF1123" s="8" t="n">
        <x:f>MAX(0,AE1123-AE1122)</x:f>
        <x:v>0</x:v>
      </x:c>
      <x:c r="AG1123" s="9" t="str">
        <x:f>IF(AF1123&gt;0,B1123,"")</x:f>
      </x:c>
      <x:c r="AH1123" s="9" t="n">
        <x:f>IF(F1123&gt;=1,1,(1+v01_LowTiesShare*(AE1123-1))/AE1123)</x:f>
        <x:v>1</x:v>
      </x:c>
      <x:c r="AI1123" s="32" t="n">
        <x:f>(Z1123+v01_ElderCommons*INDEX(LM_Elder,G1123)*AA1123)*AH1123</x:f>
        <x:v>6562.588560752631</x:v>
      </x:c>
      <x:c r="AJ1123" s="32" t="n">
        <x:f>H1123*v01_CommonsCoef*AI1123^v01_CommonsExp*INDEX(LM_Commons,G1123)</x:f>
        <x:v>1532.9768574266627</x:v>
      </x:c>
      <x:c r="AK1123" s="32" t="n">
        <x:f>H1123*v01_RoleScale*Arch_Roles*(AE1123*(INDEX(v01_ElderRolePerSett,G1123)*v01_OutElder*INDEX(LM_Elder,G1123)+INDEX(v01_ShamanPerSett,G1123)*v01_OutShaman)+Z1123*(INDEX(v01_PriestShare,G1123)*v01_OutPriest+INDEX(v01_ScribeShare,G1123)*v01_OutScribe*INDEX(LM_Scribe,G1123)+INDEX(v01_ScholarShare,G1123)*v01_OutScholar*INDEX(LM_Scholar,G1123)+INDEX(v01_ResearcherShare,G1123)*v01_OutResearcher*INDEX(LM_Researcher,G1123)))</x:f>
        <x:v>402.1426308880135</x:v>
      </x:c>
      <x:c r="AL1123" s="32" t="n">
        <x:f>H1123*v01_RoleScale*Arch_Roles*AE1123*INDEX(v01_MonasteryPerSett,G1123)*v01_OutMonastery*INDEX(LM_Monastery,G1123)</x:f>
        <x:v>10.56</x:v>
      </x:c>
      <x:c r="AM1123" s="32" t="n">
        <x:f>(AJ1123+AK1123+AL1123)/4*INDEX(LM_All,G1123)*INDEX(v01_Boon,G1123)*Arch_Insight</x:f>
        <x:v>889.1147402261538</x:v>
      </x:c>
      <x:c r="AN1123" s="32" t="n">
        <x:f>H1123*(v01_KHPerAdult*Z1123+v01_KHOfCommons*AJ1123/4*INDEX(LM_All,G1123))*v01_KHUsable*Arch_KH</x:f>
        <x:v>96.62959620206563</x:v>
      </x:c>
      <x:c r="AO1123" s="32" t="n">
        <x:f>MIN(AP1122+AN1123,AM1123*v01_KHMaxRatio)</x:f>
        <x:v>96.62959620206563</x:v>
      </x:c>
      <x:c r="AP1123" s="32" t="n">
        <x:f>AP1122+AN1123-AO1123</x:f>
        <x:v>0</x:v>
      </x:c>
      <x:c r="AQ1123" s="32" t="n">
        <x:f>AM1123+AO1123</x:f>
        <x:v>985.7443364282194</x:v>
      </x:c>
      <x:c r="AR1123" s="10" t="n">
        <x:f>IF(H1123=1,INDEX(v01_Req,G1123),0)</x:f>
        <x:v>113395.942036</x:v>
      </x:c>
      <x:c r="AS1123" s="32" t="n">
        <x:f>IF(H1123=1,IF(E1123=1,AS1122-AR1122,AS1122)+AQ1123,0)</x:f>
        <x:v>2474.968876865064</x:v>
      </x:c>
      <x:c r="AT1123" s="11" t="n">
        <x:f>IF(AR1123&gt;0,MIN(1,AS1123/AR1123),1)</x:f>
        <x:v>0.021825903400311552</x:v>
      </x:c>
      <x:c r="AU1123" s="10" t="n">
        <x:f>AB1123/INDEX(v01_RepScale,G1123)</x:f>
        <x:v>127.74943743163008</x:v>
      </x:c>
      <x:c r="AV1123" s="32" t="n">
        <x:f>AM1123*60/v01_SeasonSeconds</x:f>
        <x:v>3556.458960904615</x:v>
      </x:c>
    </x:row>
    <x:row r="1124">
      <x:c r="A1124" s="8" t="n">
        <x:f>A1123+1</x:f>
        <x:v>1121</x:v>
      </x:c>
      <x:c r="B1124" s="9" t="n">
        <x:f>A1124*v01_SeasonSeconds/60</x:f>
        <x:v>280.25</x:v>
      </x:c>
      <x:c r="C1124" s="9" t="n">
        <x:f>A1124/4</x:f>
        <x:v>280.25</x:v>
      </x:c>
      <x:c r="D1124" s="8" t="n">
        <x:f>IF(MOD(A1124,4)=0,1,0)</x:f>
        <x:v>0</x:v>
      </x:c>
      <x:c r="E1124" s="8" t="n">
        <x:f>IF(AND(F1123&lt;=9,AS1123&gt;=AR1123),1,0)</x:f>
        <x:v>0</x:v>
      </x:c>
      <x:c r="F1124" s="8" t="n">
        <x:f>MIN(10,F1123+E1124)</x:f>
        <x:v>6</x:v>
      </x:c>
      <x:c r="G1124" s="8" t="n">
        <x:f>MIN(F1124,9)+1</x:f>
        <x:v>7</x:v>
      </x:c>
      <x:c r="H1124" s="8" t="n">
        <x:f>IF(F1124&lt;=9,1,0)</x:f>
        <x:v>1</x:v>
      </x:c>
      <x:c r="I1124" s="9" t="n">
        <x:f>MIN(10,F1123+IF(AR1123&gt;0,MIN(1,AS1123/AR1123),1))</x:f>
        <x:v>6.021825903400312</x:v>
      </x:c>
      <x:c r="J1124" s="32" t="n">
        <x:f>INDEX(v01_FoodCap,G1124)*Arch_FoodCap*EXP(v01_CapsByProject*SUMPRODUCT((Cap_Point&lt;=I1124)*(Cap_Kind="Food")*Cap_Ln))</x:f>
        <x:v>1000</x:v>
      </x:c>
      <x:c r="K1124" s="32" t="n">
        <x:f>J1124*MIN(1,v01_LeanBase*EXP(v01_CapsByProject*SUMPRODUCT((Cap_Point&lt;=I1124)*(Cap_Kind="Lean")*Cap_Ln)))</x:f>
        <x:v>1000</x:v>
      </x:c>
      <x:c r="L1124" s="10" t="n">
        <x:f>INDEX(v01_HousingCap,G1124)*EXP(v01_CapsByProject*SUMPRODUCT((Cap_Point&lt;=I1124)*(Cap_Kind="Housing")*Cap_Ln))</x:f>
        <x:v>1600</x:v>
      </x:c>
      <x:c r="M1124" s="10" t="n">
        <x:f>INDEX(v01_GroupCap,G1124)*v01_CohesionFactor*EXP(v01_CapsByProject*SUMPRODUCT((Cap_Point&lt;=I1124)*(Cap_Kind="Group")*Cap_Ln))</x:f>
        <x:v>1000000</x:v>
      </x:c>
      <x:c r="N1124" s="32" t="n">
        <x:f>MIN(J1124,L1124,M1124)</x:f>
        <x:v>1000</x:v>
      </x:c>
      <x:c r="O1124" s="10" t="n">
        <x:f>AE1123*N1124</x:f>
        <x:v>16000</x:v>
      </x:c>
      <x:c r="P1124" s="9" t="n">
        <x:f>MIN(1,(AB1123/(AE1123*IF(v01_GroupInCrowding=1,N1124,MIN(J1124,L1124))))^v01_CrowdingExp)</x:f>
        <x:v>0.0040481268042957055</x:v>
      </x:c>
      <x:c r="Q1124" s="9" t="n">
        <x:f>IF(D1124=1,INDEX(v01_WinterMult,G1124),1)</x:f>
        <x:v>1</x:v>
      </x:c>
      <x:c r="R1124" s="9" t="n">
        <x:f>H1124*Z1123*v01_WomenShare*v01_BaseFertility*INDEX(v01_FertMult,G1124)*Arch_Fertility*(1-P1124)</x:f>
        <x:v>86.61458460923258</x:v>
      </x:c>
      <x:c r="S1124" s="9" t="n">
        <x:f>H1124*Y1123*INDEX(v01_MortChild,G1124)/4*Q1124</x:f>
        <x:v>14.370554794642088</x:v>
      </x:c>
      <x:c r="T1124" s="9" t="n">
        <x:f>H1124*Z1123*INDEX(v01_MortAdult,G1124)*Arch_AdultMort/4*Q1124</x:f>
        <x:v>6.211902612989932</x:v>
      </x:c>
      <x:c r="U1124" s="9" t="n">
        <x:f>H1124*AA1123*INDEX(v01_MortElder,G1124)/4*Q1124</x:f>
        <x:v>13.939724168257536</x:v>
      </x:c>
      <x:c r="V1124" s="9" t="n">
        <x:f>H1124*MAX(0,AB1123-O1124)*v01_OvercapLoss</x:f>
        <x:v>0</x:v>
      </x:c>
      <x:c r="W1124" s="9" t="n">
        <x:f>H1124*Y1123/(v01_ChildYears*4)</x:f>
        <x:v>46.65764543714964</x:v>
      </x:c>
      <x:c r="X1124" s="9" t="n">
        <x:f>H1124*Z1123/(v01_AdultYears*4)</x:f>
        <x:v>22.26488391752664</x:v>
      </x:c>
      <x:c r="Y1124" s="32" t="n">
        <x:f>Y1123+R1124-S1124-W1124-Y1123*V1124/AB1123</x:f>
        <x:v>2638.4145288578206</x:v>
      </x:c>
      <x:c r="Z1124" s="32" t="n">
        <x:f>Z1123+W1124-X1124-T1124-Z1123*V1124/AB1123</x:f>
        <x:v>2779.0264646799365</x:v>
      </x:c>
      <x:c r="AA1124" s="32" t="n">
        <x:f>AA1123+X1124-U1124-AA1123*V1124/AB1123</x:f>
        <x:v>1022.12328107709</x:v>
      </x:c>
      <x:c r="AB1124" s="10" t="n">
        <x:f>Y1124+Z1124+AA1124</x:f>
        <x:v>6439.564274614847</x:v>
      </x:c>
      <x:c r="AC1124" s="8" t="n">
        <x:f>IF(AND(v01_WinterTrigger=1,D1124=1,AB1123/AE1123&gt;=K1124),1,0)</x:f>
        <x:v>0</x:v>
      </x:c>
      <x:c r="AD1124" s="8" t="n">
        <x:f>H1124*IF(AND(OR(AB1123/AE1123&gt;=v01_FissionTrigger*N1124,AC1124=1),AB1123/AE1123*v01_DaughterShare&gt;=v01_MinDaughter),MAX(1,ROUND(AE1123*v01_FissionRate,0)),0)</x:f>
        <x:v>0</x:v>
      </x:c>
      <x:c r="AE1124" s="8" t="n">
        <x:f>IF(H1124=1,MAX(1,MIN(INDEX(v01_Smax,G1124),AE1123+AD1124)),AE1123)</x:f>
        <x:v>16</x:v>
      </x:c>
      <x:c r="AF1124" s="8" t="n">
        <x:f>MAX(0,AE1124-AE1123)</x:f>
        <x:v>0</x:v>
      </x:c>
      <x:c r="AG1124" s="9" t="str">
        <x:f>IF(AF1124&gt;0,B1124,"")</x:f>
      </x:c>
      <x:c r="AH1124" s="9" t="n">
        <x:f>IF(F1124&gt;=1,1,(1+v01_LowTiesShare*(AE1124-1))/AE1124)</x:f>
        <x:v>1</x:v>
      </x:c>
      <x:c r="AI1124" s="32" t="n">
        <x:f>(Z1124+v01_ElderCommons*INDEX(LM_Elder,G1124)*AA1124)*AH1124</x:f>
        <x:v>6611.988768719024</x:v>
      </x:c>
      <x:c r="AJ1124" s="32" t="n">
        <x:f>H1124*v01_CommonsCoef*AI1124^v01_CommonsExp*INDEX(LM_Commons,G1124)</x:f>
        <x:v>1542.7799605723842</x:v>
      </x:c>
      <x:c r="AK1124" s="32" t="n">
        <x:f>H1124*v01_RoleScale*Arch_Roles*(AE1124*(INDEX(v01_ElderRolePerSett,G1124)*v01_OutElder*INDEX(LM_Elder,G1124)+INDEX(v01_ShamanPerSett,G1124)*v01_OutShaman)+Z1124*(INDEX(v01_PriestShare,G1124)*v01_OutPriest+INDEX(v01_ScribeShare,G1124)*v01_OutScribe*INDEX(LM_Scribe,G1124)+INDEX(v01_ScholarShare,G1124)*v01_OutScholar*INDEX(LM_Scholar,G1124)+INDEX(v01_ResearcherShare,G1124)*v01_OutResearcher*INDEX(LM_Researcher,G1124)))</x:f>
        <x:v>404.43523719613995</x:v>
      </x:c>
      <x:c r="AL1124" s="32" t="n">
        <x:f>H1124*v01_RoleScale*Arch_Roles*AE1124*INDEX(v01_MonasteryPerSett,G1124)*v01_OutMonastery*INDEX(LM_Monastery,G1124)</x:f>
        <x:v>10.56</x:v>
      </x:c>
      <x:c r="AM1124" s="32" t="n">
        <x:f>(AJ1124+AK1124+AL1124)/4*INDEX(LM_All,G1124)*INDEX(v01_Boon,G1124)*Arch_Insight</x:f>
        <x:v>894.6421015585305</x:v>
      </x:c>
      <x:c r="AN1124" s="32" t="n">
        <x:f>H1124*(v01_KHPerAdult*Z1124+v01_KHOfCommons*AJ1124/4*INDEX(LM_All,G1124))*v01_KHUsable*Arch_KH</x:f>
        <x:v>97.26592626379777</x:v>
      </x:c>
      <x:c r="AO1124" s="32" t="n">
        <x:f>MIN(AP1123+AN1124,AM1124*v01_KHMaxRatio)</x:f>
        <x:v>97.26592626379777</x:v>
      </x:c>
      <x:c r="AP1124" s="32" t="n">
        <x:f>AP1123+AN1124-AO1124</x:f>
        <x:v>0</x:v>
      </x:c>
      <x:c r="AQ1124" s="32" t="n">
        <x:f>AM1124+AO1124</x:f>
        <x:v>991.9080278223282</x:v>
      </x:c>
      <x:c r="AR1124" s="10" t="n">
        <x:f>IF(H1124=1,INDEX(v01_Req,G1124),0)</x:f>
        <x:v>113395.942036</x:v>
      </x:c>
      <x:c r="AS1124" s="32" t="n">
        <x:f>IF(H1124=1,IF(E1124=1,AS1123-AR1123,AS1123)+AQ1124,0)</x:f>
        <x:v>3466.876904687392</x:v>
      </x:c>
      <x:c r="AT1124" s="11" t="n">
        <x:f>IF(AR1124&gt;0,MIN(1,AS1124/AR1124),1)</x:f>
        <x:v>0.03057320079043708</x:v>
      </x:c>
      <x:c r="AU1124" s="10" t="n">
        <x:f>AB1124/INDEX(v01_RepScale,G1124)</x:f>
        <x:v>128.79128549229694</x:v>
      </x:c>
      <x:c r="AV1124" s="32" t="n">
        <x:f>AM1124*60/v01_SeasonSeconds</x:f>
        <x:v>3578.568406234122</x:v>
      </x:c>
    </x:row>
    <x:row r="1125">
      <x:c r="A1125" s="8" t="n">
        <x:f>A1124+1</x:f>
        <x:v>1122</x:v>
      </x:c>
      <x:c r="B1125" s="9" t="n">
        <x:f>A1125*v01_SeasonSeconds/60</x:f>
        <x:v>280.5</x:v>
      </x:c>
      <x:c r="C1125" s="9" t="n">
        <x:f>A1125/4</x:f>
        <x:v>280.5</x:v>
      </x:c>
      <x:c r="D1125" s="8" t="n">
        <x:f>IF(MOD(A1125,4)=0,1,0)</x:f>
        <x:v>0</x:v>
      </x:c>
      <x:c r="E1125" s="8" t="n">
        <x:f>IF(AND(F1124&lt;=9,AS1124&gt;=AR1124),1,0)</x:f>
        <x:v>0</x:v>
      </x:c>
      <x:c r="F1125" s="8" t="n">
        <x:f>MIN(10,F1124+E1125)</x:f>
        <x:v>6</x:v>
      </x:c>
      <x:c r="G1125" s="8" t="n">
        <x:f>MIN(F1125,9)+1</x:f>
        <x:v>7</x:v>
      </x:c>
      <x:c r="H1125" s="8" t="n">
        <x:f>IF(F1125&lt;=9,1,0)</x:f>
        <x:v>1</x:v>
      </x:c>
      <x:c r="I1125" s="9" t="n">
        <x:f>MIN(10,F1124+IF(AR1124&gt;0,MIN(1,AS1124/AR1124),1))</x:f>
        <x:v>6.030573200790437</x:v>
      </x:c>
      <x:c r="J1125" s="32" t="n">
        <x:f>INDEX(v01_FoodCap,G1125)*Arch_FoodCap*EXP(v01_CapsByProject*SUMPRODUCT((Cap_Point&lt;=I1125)*(Cap_Kind="Food")*Cap_Ln))</x:f>
        <x:v>1000</x:v>
      </x:c>
      <x:c r="K1125" s="32" t="n">
        <x:f>J1125*MIN(1,v01_LeanBase*EXP(v01_CapsByProject*SUMPRODUCT((Cap_Point&lt;=I1125)*(Cap_Kind="Lean")*Cap_Ln)))</x:f>
        <x:v>1000</x:v>
      </x:c>
      <x:c r="L1125" s="10" t="n">
        <x:f>INDEX(v01_HousingCap,G1125)*EXP(v01_CapsByProject*SUMPRODUCT((Cap_Point&lt;=I1125)*(Cap_Kind="Housing")*Cap_Ln))</x:f>
        <x:v>1600</x:v>
      </x:c>
      <x:c r="M1125" s="10" t="n">
        <x:f>INDEX(v01_GroupCap,G1125)*v01_CohesionFactor*EXP(v01_CapsByProject*SUMPRODUCT((Cap_Point&lt;=I1125)*(Cap_Kind="Group")*Cap_Ln))</x:f>
        <x:v>1000000</x:v>
      </x:c>
      <x:c r="N1125" s="32" t="n">
        <x:f>MIN(J1125,L1125,M1125)</x:f>
        <x:v>1000</x:v>
      </x:c>
      <x:c r="O1125" s="10" t="n">
        <x:f>AE1124*N1125</x:f>
        <x:v>16000</x:v>
      </x:c>
      <x:c r="P1125" s="9" t="n">
        <x:f>MIN(1,(AB1124/(AE1124*IF(v01_GroupInCrowding=1,N1125,MIN(J1125,L1125))))^v01_CrowdingExp)</x:f>
        <x:v>0.004250294255718856</x:v>
      </x:c>
      <x:c r="Q1125" s="9" t="n">
        <x:f>IF(D1125=1,INDEX(v01_WinterMult,G1125),1)</x:f>
        <x:v>1</x:v>
      </x:c>
      <x:c r="R1125" s="9" t="n">
        <x:f>H1125*Z1124*v01_WomenShare*v01_BaseFertility*INDEX(v01_FertMult,G1125)*Arch_Fertility*(1-P1125)</x:f>
        <x:v>87.16726571050943</x:v>
      </x:c>
      <x:c r="S1125" s="9" t="n">
        <x:f>H1125*Y1124*INDEX(v01_MortChild,G1125)/4*Q1125</x:f>
        <x:v>14.511279908718013</x:v>
      </x:c>
      <x:c r="T1125" s="9" t="n">
        <x:f>H1125*Z1124*INDEX(v01_MortAdult,G1125)*Arch_AdultMort/4*Q1125</x:f>
        <x:v>6.252809545529857</x:v>
      </x:c>
      <x:c r="U1125" s="9" t="n">
        <x:f>H1125*AA1124*INDEX(v01_MortElder,G1125)/4*Q1125</x:f>
        <x:v>14.054195114809987</x:v>
      </x:c>
      <x:c r="V1125" s="9" t="n">
        <x:f>H1125*MAX(0,AB1124-O1125)*v01_OvercapLoss</x:f>
        <x:v>0</x:v>
      </x:c>
      <x:c r="W1125" s="9" t="n">
        <x:f>H1125*Y1124/(v01_ChildYears*4)</x:f>
        <x:v>47.11454515817537</x:v>
      </x:c>
      <x:c r="X1125" s="9" t="n">
        <x:f>H1125*Z1124/(v01_AdultYears*4)</x:f>
        <x:v>22.41150374741884</x:v>
      </x:c>
      <x:c r="Y1125" s="32" t="n">
        <x:f>Y1124+R1125-S1125-W1125-Y1124*V1125/AB1124</x:f>
        <x:v>2663.955969501437</x:v>
      </x:c>
      <x:c r="Z1125" s="32" t="n">
        <x:f>Z1124+W1125-X1125-T1125-Z1124*V1125/AB1124</x:f>
        <x:v>2797.476696545163</x:v>
      </x:c>
      <x:c r="AA1125" s="32" t="n">
        <x:f>AA1124+X1125-U1125-AA1124*V1125/AB1124</x:f>
        <x:v>1030.480589709699</x:v>
      </x:c>
      <x:c r="AB1125" s="10" t="n">
        <x:f>Y1125+Z1125+AA1125</x:f>
        <x:v>6491.913255756299</x:v>
      </x:c>
      <x:c r="AC1125" s="8" t="n">
        <x:f>IF(AND(v01_WinterTrigger=1,D1125=1,AB1124/AE1124&gt;=K1125),1,0)</x:f>
        <x:v>0</x:v>
      </x:c>
      <x:c r="AD1125" s="8" t="n">
        <x:f>H1125*IF(AND(OR(AB1124/AE1124&gt;=v01_FissionTrigger*N1125,AC1125=1),AB1124/AE1124*v01_DaughterShare&gt;=v01_MinDaughter),MAX(1,ROUND(AE1124*v01_FissionRate,0)),0)</x:f>
        <x:v>0</x:v>
      </x:c>
      <x:c r="AE1125" s="8" t="n">
        <x:f>IF(H1125=1,MAX(1,MIN(INDEX(v01_Smax,G1125),AE1124+AD1125)),AE1124)</x:f>
        <x:v>16</x:v>
      </x:c>
      <x:c r="AF1125" s="8" t="n">
        <x:f>MAX(0,AE1125-AE1124)</x:f>
        <x:v>0</x:v>
      </x:c>
      <x:c r="AG1125" s="9" t="str">
        <x:f>IF(AF1125&gt;0,B1125,"")</x:f>
      </x:c>
      <x:c r="AH1125" s="9" t="n">
        <x:f>IF(F1125&gt;=1,1,(1+v01_LowTiesShare*(AE1125-1))/AE1125)</x:f>
        <x:v>1</x:v>
      </x:c>
      <x:c r="AI1125" s="32" t="n">
        <x:f>(Z1125+v01_ElderCommons*INDEX(LM_Elder,G1125)*AA1125)*AH1125</x:f>
        <x:v>6661.778907956534</x:v>
      </x:c>
      <x:c r="AJ1125" s="32" t="n">
        <x:f>H1125*v01_CommonsCoef*AI1125^v01_CommonsExp*INDEX(LM_Commons,G1125)</x:f>
        <x:v>1552.6493323182385</x:v>
      </x:c>
      <x:c r="AK1125" s="32" t="n">
        <x:f>H1125*v01_RoleScale*Arch_Roles*(AE1125*(INDEX(v01_ElderRolePerSett,G1125)*v01_OutElder*INDEX(LM_Elder,G1125)+INDEX(v01_ShamanPerSett,G1125)*v01_OutShaman)+Z1125*(INDEX(v01_PriestShare,G1125)*v01_OutPriest+INDEX(v01_ScribeShare,G1125)*v01_OutScribe*INDEX(LM_Scribe,G1125)+INDEX(v01_ScholarShare,G1125)*v01_OutScholar*INDEX(LM_Scholar,G1125)+INDEX(v01_ResearcherShare,G1125)*v01_OutResearcher*INDEX(LM_Researcher,G1125)))</x:f>
        <x:v>406.761811434345</x:v>
      </x:c>
      <x:c r="AL1125" s="32" t="n">
        <x:f>H1125*v01_RoleScale*Arch_Roles*AE1125*INDEX(v01_MonasteryPerSett,G1125)*v01_OutMonastery*INDEX(LM_Monastery,G1125)</x:f>
        <x:v>10.56</x:v>
      </x:c>
      <x:c r="AM1125" s="32" t="n">
        <x:f>(AJ1125+AK1125+AL1125)/4*INDEX(LM_All,G1125)*INDEX(v01_Boon,G1125)*Arch_Insight</x:f>
        <x:v>900.2152678536748</x:v>
      </x:c>
      <x:c r="AN1125" s="32" t="n">
        <x:f>H1125*(v01_KHPerAdult*Z1125+v01_KHOfCommons*AJ1125/4*INDEX(LM_All,G1125))*v01_KHUsable*Arch_KH</x:f>
        <x:v>97.9116843790807</x:v>
      </x:c>
      <x:c r="AO1125" s="32" t="n">
        <x:f>MIN(AP1124+AN1125,AM1125*v01_KHMaxRatio)</x:f>
        <x:v>97.9116843790807</x:v>
      </x:c>
      <x:c r="AP1125" s="32" t="n">
        <x:f>AP1124+AN1125-AO1125</x:f>
        <x:v>0</x:v>
      </x:c>
      <x:c r="AQ1125" s="32" t="n">
        <x:f>AM1125+AO1125</x:f>
        <x:v>998.1269522327556</x:v>
      </x:c>
      <x:c r="AR1125" s="10" t="n">
        <x:f>IF(H1125=1,INDEX(v01_Req,G1125),0)</x:f>
        <x:v>113395.942036</x:v>
      </x:c>
      <x:c r="AS1125" s="32" t="n">
        <x:f>IF(H1125=1,IF(E1125=1,AS1124-AR1124,AS1124)+AQ1125,0)</x:f>
        <x:v>4465.003856920148</x:v>
      </x:c>
      <x:c r="AT1125" s="11" t="n">
        <x:f>IF(AR1125&gt;0,MIN(1,AS1125/AR1125),1)</x:f>
        <x:v>0.03937534074634378</x:v>
      </x:c>
      <x:c r="AU1125" s="10" t="n">
        <x:f>AB1125/INDEX(v01_RepScale,G1125)</x:f>
        <x:v>129.83826511512598</x:v>
      </x:c>
      <x:c r="AV1125" s="32" t="n">
        <x:f>AM1125*60/v01_SeasonSeconds</x:f>
        <x:v>3600.8610714146994</x:v>
      </x:c>
    </x:row>
    <x:row r="1126">
      <x:c r="A1126" s="8" t="n">
        <x:f>A1125+1</x:f>
        <x:v>1123</x:v>
      </x:c>
      <x:c r="B1126" s="9" t="n">
        <x:f>A1126*v01_SeasonSeconds/60</x:f>
        <x:v>280.75</x:v>
      </x:c>
      <x:c r="C1126" s="9" t="n">
        <x:f>A1126/4</x:f>
        <x:v>280.75</x:v>
      </x:c>
      <x:c r="D1126" s="8" t="n">
        <x:f>IF(MOD(A1126,4)=0,1,0)</x:f>
        <x:v>0</x:v>
      </x:c>
      <x:c r="E1126" s="8" t="n">
        <x:f>IF(AND(F1125&lt;=9,AS1125&gt;=AR1125),1,0)</x:f>
        <x:v>0</x:v>
      </x:c>
      <x:c r="F1126" s="8" t="n">
        <x:f>MIN(10,F1125+E1126)</x:f>
        <x:v>6</x:v>
      </x:c>
      <x:c r="G1126" s="8" t="n">
        <x:f>MIN(F1126,9)+1</x:f>
        <x:v>7</x:v>
      </x:c>
      <x:c r="H1126" s="8" t="n">
        <x:f>IF(F1126&lt;=9,1,0)</x:f>
        <x:v>1</x:v>
      </x:c>
      <x:c r="I1126" s="9" t="n">
        <x:f>MIN(10,F1125+IF(AR1125&gt;0,MIN(1,AS1125/AR1125),1))</x:f>
        <x:v>6.039375340746344</x:v>
      </x:c>
      <x:c r="J1126" s="32" t="n">
        <x:f>INDEX(v01_FoodCap,G1126)*Arch_FoodCap*EXP(v01_CapsByProject*SUMPRODUCT((Cap_Point&lt;=I1126)*(Cap_Kind="Food")*Cap_Ln))</x:f>
        <x:v>1000</x:v>
      </x:c>
      <x:c r="K1126" s="32" t="n">
        <x:f>J1126*MIN(1,v01_LeanBase*EXP(v01_CapsByProject*SUMPRODUCT((Cap_Point&lt;=I1126)*(Cap_Kind="Lean")*Cap_Ln)))</x:f>
        <x:v>1000</x:v>
      </x:c>
      <x:c r="L1126" s="10" t="n">
        <x:f>INDEX(v01_HousingCap,G1126)*EXP(v01_CapsByProject*SUMPRODUCT((Cap_Point&lt;=I1126)*(Cap_Kind="Housing")*Cap_Ln))</x:f>
        <x:v>1600</x:v>
      </x:c>
      <x:c r="M1126" s="10" t="n">
        <x:f>INDEX(v01_GroupCap,G1126)*v01_CohesionFactor*EXP(v01_CapsByProject*SUMPRODUCT((Cap_Point&lt;=I1126)*(Cap_Kind="Group")*Cap_Ln))</x:f>
        <x:v>1000000</x:v>
      </x:c>
      <x:c r="N1126" s="32" t="n">
        <x:f>MIN(J1126,L1126,M1126)</x:f>
        <x:v>1000</x:v>
      </x:c>
      <x:c r="O1126" s="10" t="n">
        <x:f>AE1125*N1126</x:f>
        <x:v>16000</x:v>
      </x:c>
      <x:c r="P1126" s="9" t="n">
        <x:f>MIN(1,(AB1125/(AE1125*IF(v01_GroupInCrowding=1,N1126,MIN(J1126,L1126))))^v01_CrowdingExp)</x:f>
        <x:v>0.004461864252991946</x:v>
      </x:c>
      <x:c r="Q1126" s="9" t="n">
        <x:f>IF(D1126=1,INDEX(v01_WinterMult,G1126),1)</x:f>
        <x:v>1</x:v>
      </x:c>
      <x:c r="R1126" s="9" t="n">
        <x:f>H1126*Z1125*v01_WomenShare*v01_BaseFertility*INDEX(v01_FertMult,G1126)*Arch_Fertility*(1-P1126)</x:f>
        <x:v>87.72733416113951</x:v>
      </x:c>
      <x:c r="S1126" s="9" t="n">
        <x:f>H1126*Y1125*INDEX(v01_MortChild,G1126)/4*Q1126</x:f>
        <x:v>14.651757832257902</x:v>
      </x:c>
      <x:c r="T1126" s="9" t="n">
        <x:f>H1126*Z1125*INDEX(v01_MortAdult,G1126)*Arch_AdultMort/4*Q1126</x:f>
        <x:v>6.294322567226617</x:v>
      </x:c>
      <x:c r="U1126" s="9" t="n">
        <x:f>H1126*AA1125*INDEX(v01_MortElder,G1126)/4*Q1126</x:f>
        <x:v>14.169108108508361</x:v>
      </x:c>
      <x:c r="V1126" s="9" t="n">
        <x:f>H1126*MAX(0,AB1125-O1126)*v01_OvercapLoss</x:f>
        <x:v>0</x:v>
      </x:c>
      <x:c r="W1126" s="9" t="n">
        <x:f>H1126*Y1125/(v01_ChildYears*4)</x:f>
        <x:v>47.570642312525656</x:v>
      </x:c>
      <x:c r="X1126" s="9" t="n">
        <x:f>H1126*Z1125/(v01_AdultYears*4)</x:f>
        <x:v>22.560295939880348</x:v>
      </x:c>
      <x:c r="Y1126" s="32" t="n">
        <x:f>Y1125+R1126-S1126-W1126-Y1125*V1126/AB1125</x:f>
        <x:v>2689.4609035177928</x:v>
      </x:c>
      <x:c r="Z1126" s="32" t="n">
        <x:f>Z1125+W1126-X1126-T1126-Z1125*V1126/AB1125</x:f>
        <x:v>2816.192720350582</x:v>
      </x:c>
      <x:c r="AA1126" s="32" t="n">
        <x:f>AA1125+X1126-U1126-AA1125*V1126/AB1125</x:f>
        <x:v>1038.8717775410707</x:v>
      </x:c>
      <x:c r="AB1126" s="10" t="n">
        <x:f>Y1126+Z1126+AA1126</x:f>
        <x:v>6544.525401409445</x:v>
      </x:c>
      <x:c r="AC1126" s="8" t="n">
        <x:f>IF(AND(v01_WinterTrigger=1,D1126=1,AB1125/AE1125&gt;=K1126),1,0)</x:f>
        <x:v>0</x:v>
      </x:c>
      <x:c r="AD1126" s="8" t="n">
        <x:f>H1126*IF(AND(OR(AB1125/AE1125&gt;=v01_FissionTrigger*N1126,AC1126=1),AB1125/AE1125*v01_DaughterShare&gt;=v01_MinDaughter),MAX(1,ROUND(AE1125*v01_FissionRate,0)),0)</x:f>
        <x:v>0</x:v>
      </x:c>
      <x:c r="AE1126" s="8" t="n">
        <x:f>IF(H1126=1,MAX(1,MIN(INDEX(v01_Smax,G1126),AE1125+AD1126)),AE1125)</x:f>
        <x:v>16</x:v>
      </x:c>
      <x:c r="AF1126" s="8" t="n">
        <x:f>MAX(0,AE1126-AE1125)</x:f>
        <x:v>0</x:v>
      </x:c>
      <x:c r="AG1126" s="9" t="str">
        <x:f>IF(AF1126&gt;0,B1126,"")</x:f>
      </x:c>
      <x:c r="AH1126" s="9" t="n">
        <x:f>IF(F1126&gt;=1,1,(1+v01_LowTiesShare*(AE1126-1))/AE1126)</x:f>
        <x:v>1</x:v>
      </x:c>
      <x:c r="AI1126" s="32" t="n">
        <x:f>(Z1126+v01_ElderCommons*INDEX(LM_Elder,G1126)*AA1126)*AH1126</x:f>
        <x:v>6711.961886129597</x:v>
      </x:c>
      <x:c r="AJ1126" s="32" t="n">
        <x:f>H1126*v01_CommonsCoef*AI1126^v01_CommonsExp*INDEX(LM_Commons,G1126)</x:f>
        <x:v>1562.5853829323087</x:v>
      </x:c>
      <x:c r="AK1126" s="32" t="n">
        <x:f>H1126*v01_RoleScale*Arch_Roles*(AE1126*(INDEX(v01_ElderRolePerSett,G1126)*v01_OutElder*INDEX(LM_Elder,G1126)+INDEX(v01_ShamanPerSett,G1126)*v01_OutShaman)+Z1126*(INDEX(v01_PriestShare,G1126)*v01_OutPriest+INDEX(v01_ScribeShare,G1126)*v01_OutScribe*INDEX(LM_Scribe,G1126)+INDEX(v01_ScholarShare,G1126)*v01_OutScholar*INDEX(LM_Scholar,G1126)+INDEX(v01_ResearcherShare,G1126)*v01_OutResearcher*INDEX(LM_Researcher,G1126)))</x:f>
        <x:v>409.1219020362084</x:v>
      </x:c>
      <x:c r="AL1126" s="32" t="n">
        <x:f>H1126*v01_RoleScale*Arch_Roles*AE1126*INDEX(v01_MonasteryPerSett,G1126)*v01_OutMonastery*INDEX(LM_Monastery,G1126)</x:f>
        <x:v>10.56</x:v>
      </x:c>
      <x:c r="AM1126" s="32" t="n">
        <x:f>(AJ1126+AK1126+AL1126)/4*INDEX(LM_All,G1126)*INDEX(v01_Boon,G1126)*Arch_Insight</x:f>
        <x:v>905.8342202395371</x:v>
      </x:c>
      <x:c r="AN1126" s="32" t="n">
        <x:f>H1126*(v01_KHPerAdult*Z1126+v01_KHOfCommons*AJ1126/4*INDEX(LM_All,G1126))*v01_KHUsable*Arch_KH</x:f>
        <x:v>98.56674521227036</x:v>
      </x:c>
      <x:c r="AO1126" s="32" t="n">
        <x:f>MIN(AP1125+AN1126,AM1126*v01_KHMaxRatio)</x:f>
        <x:v>98.56674521227036</x:v>
      </x:c>
      <x:c r="AP1126" s="32" t="n">
        <x:f>AP1125+AN1126-AO1126</x:f>
        <x:v>0</x:v>
      </x:c>
      <x:c r="AQ1126" s="32" t="n">
        <x:f>AM1126+AO1126</x:f>
        <x:v>1004.4009654518075</x:v>
      </x:c>
      <x:c r="AR1126" s="10" t="n">
        <x:f>IF(H1126=1,INDEX(v01_Req,G1126),0)</x:f>
        <x:v>113395.942036</x:v>
      </x:c>
      <x:c r="AS1126" s="32" t="n">
        <x:f>IF(H1126=1,IF(E1126=1,AS1125-AR1125,AS1125)+AQ1126,0)</x:f>
        <x:v>5469.404822371956</x:v>
      </x:c>
      <x:c r="AT1126" s="11" t="n">
        <x:f>IF(AR1126&gt;0,MIN(1,AS1126/AR1126),1)</x:f>
        <x:v>0.048232809077379285</x:v>
      </x:c>
      <x:c r="AU1126" s="10" t="n">
        <x:f>AB1126/INDEX(v01_RepScale,G1126)</x:f>
        <x:v>130.89050802818892</x:v>
      </x:c>
      <x:c r="AV1126" s="32" t="n">
        <x:f>AM1126*60/v01_SeasonSeconds</x:f>
        <x:v>3623.3368809581484</x:v>
      </x:c>
    </x:row>
    <x:row r="1127">
      <x:c r="A1127" s="8" t="n">
        <x:f>A1126+1</x:f>
        <x:v>1124</x:v>
      </x:c>
      <x:c r="B1127" s="9" t="n">
        <x:f>A1127*v01_SeasonSeconds/60</x:f>
        <x:v>281</x:v>
      </x:c>
      <x:c r="C1127" s="9" t="n">
        <x:f>A1127/4</x:f>
        <x:v>281</x:v>
      </x:c>
      <x:c r="D1127" s="8" t="n">
        <x:f>IF(MOD(A1127,4)=0,1,0)</x:f>
        <x:v>1</x:v>
      </x:c>
      <x:c r="E1127" s="8" t="n">
        <x:f>IF(AND(F1126&lt;=9,AS1126&gt;=AR1126),1,0)</x:f>
        <x:v>0</x:v>
      </x:c>
      <x:c r="F1127" s="8" t="n">
        <x:f>MIN(10,F1126+E1127)</x:f>
        <x:v>6</x:v>
      </x:c>
      <x:c r="G1127" s="8" t="n">
        <x:f>MIN(F1127,9)+1</x:f>
        <x:v>7</x:v>
      </x:c>
      <x:c r="H1127" s="8" t="n">
        <x:f>IF(F1127&lt;=9,1,0)</x:f>
        <x:v>1</x:v>
      </x:c>
      <x:c r="I1127" s="9" t="n">
        <x:f>MIN(10,F1126+IF(AR1126&gt;0,MIN(1,AS1126/AR1126),1))</x:f>
        <x:v>6.048232809077379</x:v>
      </x:c>
      <x:c r="J1127" s="32" t="n">
        <x:f>INDEX(v01_FoodCap,G1127)*Arch_FoodCap*EXP(v01_CapsByProject*SUMPRODUCT((Cap_Point&lt;=I1127)*(Cap_Kind="Food")*Cap_Ln))</x:f>
        <x:v>1000</x:v>
      </x:c>
      <x:c r="K1127" s="32" t="n">
        <x:f>J1127*MIN(1,v01_LeanBase*EXP(v01_CapsByProject*SUMPRODUCT((Cap_Point&lt;=I1127)*(Cap_Kind="Lean")*Cap_Ln)))</x:f>
        <x:v>1000</x:v>
      </x:c>
      <x:c r="L1127" s="10" t="n">
        <x:f>INDEX(v01_HousingCap,G1127)*EXP(v01_CapsByProject*SUMPRODUCT((Cap_Point&lt;=I1127)*(Cap_Kind="Housing")*Cap_Ln))</x:f>
        <x:v>1600</x:v>
      </x:c>
      <x:c r="M1127" s="10" t="n">
        <x:f>INDEX(v01_GroupCap,G1127)*v01_CohesionFactor*EXP(v01_CapsByProject*SUMPRODUCT((Cap_Point&lt;=I1127)*(Cap_Kind="Group")*Cap_Ln))</x:f>
        <x:v>1000000</x:v>
      </x:c>
      <x:c r="N1127" s="32" t="n">
        <x:f>MIN(J1127,L1127,M1127)</x:f>
        <x:v>1000</x:v>
      </x:c>
      <x:c r="O1127" s="10" t="n">
        <x:f>AE1126*N1127</x:f>
        <x:v>16000</x:v>
      </x:c>
      <x:c r="P1127" s="9" t="n">
        <x:f>MIN(1,(AB1126/(AE1126*IF(v01_GroupInCrowding=1,N1127,MIN(J1127,L1127))))^v01_CrowdingExp)</x:f>
        <x:v>0.004683268422342594</x:v>
      </x:c>
      <x:c r="Q1127" s="9" t="n">
        <x:f>IF(D1127=1,INDEX(v01_WinterMult,G1127),1)</x:f>
        <x:v>1</x:v>
      </x:c>
      <x:c r="R1127" s="9" t="n">
        <x:f>H1127*Z1126*v01_WomenShare*v01_BaseFertility*INDEX(v01_FertMult,G1127)*Arch_Fertility*(1-P1127)</x:f>
        <x:v>88.2946176182322</x:v>
      </x:c>
      <x:c r="S1127" s="9" t="n">
        <x:f>H1127*Y1126*INDEX(v01_MortChild,G1127)/4*Q1127</x:f>
        <x:v>14.79203496934786</x:v>
      </x:c>
      <x:c r="T1127" s="9" t="n">
        <x:f>H1127*Z1126*INDEX(v01_MortAdult,G1127)*Arch_AdultMort/4*Q1127</x:f>
        <x:v>6.336433620788809</x:v>
      </x:c>
      <x:c r="U1127" s="9" t="n">
        <x:f>H1127*AA1126*INDEX(v01_MortElder,G1127)/4*Q1127</x:f>
        <x:v>14.284486941189723</x:v>
      </x:c>
      <x:c r="V1127" s="9" t="n">
        <x:f>H1127*MAX(0,AB1126-O1127)*v01_OvercapLoss</x:f>
        <x:v>0</x:v>
      </x:c>
      <x:c r="W1127" s="9" t="n">
        <x:f>H1127*Y1126/(v01_ChildYears*4)</x:f>
        <x:v>48.02608756281773</x:v>
      </x:c>
      <x:c r="X1127" s="9" t="n">
        <x:f>H1127*Z1126/(v01_AdultYears*4)</x:f>
        <x:v>22.7112316157305</x:v>
      </x:c>
      <x:c r="Y1127" s="32" t="n">
        <x:f>Y1126+R1127-S1127-W1127-Y1126*V1127/AB1126</x:f>
        <x:v>2714.9373986038595</x:v>
      </x:c>
      <x:c r="Z1127" s="32" t="n">
        <x:f>Z1126+W1127-X1127-T1127-Z1126*V1127/AB1126</x:f>
        <x:v>2835.1711426768807</x:v>
      </x:c>
      <x:c r="AA1127" s="32" t="n">
        <x:f>AA1126+X1127-U1127-AA1126*V1127/AB1126</x:f>
        <x:v>1047.2985222156115</x:v>
      </x:c>
      <x:c r="AB1127" s="10" t="n">
        <x:f>Y1127+Z1127+AA1127</x:f>
        <x:v>6597.407063496352</x:v>
      </x:c>
      <x:c r="AC1127" s="8" t="n">
        <x:f>IF(AND(v01_WinterTrigger=1,D1127=1,AB1126/AE1126&gt;=K1127),1,0)</x:f>
        <x:v>0</x:v>
      </x:c>
      <x:c r="AD1127" s="8" t="n">
        <x:f>H1127*IF(AND(OR(AB1126/AE1126&gt;=v01_FissionTrigger*N1127,AC1127=1),AB1126/AE1126*v01_DaughterShare&gt;=v01_MinDaughter),MAX(1,ROUND(AE1126*v01_FissionRate,0)),0)</x:f>
        <x:v>0</x:v>
      </x:c>
      <x:c r="AE1127" s="8" t="n">
        <x:f>IF(H1127=1,MAX(1,MIN(INDEX(v01_Smax,G1127),AE1126+AD1127)),AE1126)</x:f>
        <x:v>16</x:v>
      </x:c>
      <x:c r="AF1127" s="8" t="n">
        <x:f>MAX(0,AE1127-AE1126)</x:f>
        <x:v>0</x:v>
      </x:c>
      <x:c r="AG1127" s="9" t="str">
        <x:f>IF(AF1127&gt;0,B1127,"")</x:f>
      </x:c>
      <x:c r="AH1127" s="9" t="n">
        <x:f>IF(F1127&gt;=1,1,(1+v01_LowTiesShare*(AE1127-1))/AE1127)</x:f>
        <x:v>1</x:v>
      </x:c>
      <x:c r="AI1127" s="32" t="n">
        <x:f>(Z1127+v01_ElderCommons*INDEX(LM_Elder,G1127)*AA1127)*AH1127</x:f>
        <x:v>6762.540600985423</x:v>
      </x:c>
      <x:c r="AJ1127" s="32" t="n">
        <x:f>H1127*v01_CommonsCoef*AI1127^v01_CommonsExp*INDEX(LM_Commons,G1127)</x:f>
        <x:v>1572.5885190473984</x:v>
      </x:c>
      <x:c r="AK1127" s="32" t="n">
        <x:f>H1127*v01_RoleScale*Arch_Roles*(AE1127*(INDEX(v01_ElderRolePerSett,G1127)*v01_OutElder*INDEX(LM_Elder,G1127)+INDEX(v01_ShamanPerSett,G1127)*v01_OutShaman)+Z1127*(INDEX(v01_PriestShare,G1127)*v01_OutPriest+INDEX(v01_ScribeShare,G1127)*v01_OutScribe*INDEX(LM_Scribe,G1127)+INDEX(v01_ScholarShare,G1127)*v01_OutScholar*INDEX(LM_Scholar,G1127)+INDEX(v01_ResearcherShare,G1127)*v01_OutResearcher*INDEX(LM_Researcher,G1127)))</x:f>
        <x:v>411.51508109155463</x:v>
      </x:c>
      <x:c r="AL1127" s="32" t="n">
        <x:f>H1127*v01_RoleScale*Arch_Roles*AE1127*INDEX(v01_MonasteryPerSett,G1127)*v01_OutMonastery*INDEX(LM_Monastery,G1127)</x:f>
        <x:v>10.56</x:v>
      </x:c>
      <x:c r="AM1127" s="32" t="n">
        <x:f>(AJ1127+AK1127+AL1127)/4*INDEX(LM_All,G1127)*INDEX(v01_Boon,G1127)*Arch_Insight</x:f>
        <x:v>911.4989489930229</x:v>
      </x:c>
      <x:c r="AN1127" s="32" t="n">
        <x:f>H1127*(v01_KHPerAdult*Z1127+v01_KHOfCommons*AJ1127/4*INDEX(LM_All,G1127))*v01_KHUsable*Arch_KH</x:f>
        <x:v>99.23098999369083</x:v>
      </x:c>
      <x:c r="AO1127" s="32" t="n">
        <x:f>MIN(AP1126+AN1127,AM1127*v01_KHMaxRatio)</x:f>
        <x:v>99.23098999369083</x:v>
      </x:c>
      <x:c r="AP1127" s="32" t="n">
        <x:f>AP1126+AN1127-AO1127</x:f>
        <x:v>0</x:v>
      </x:c>
      <x:c r="AQ1127" s="32" t="n">
        <x:f>AM1127+AO1127</x:f>
        <x:v>1010.7299389867137</x:v>
      </x:c>
      <x:c r="AR1127" s="10" t="n">
        <x:f>IF(H1127=1,INDEX(v01_Req,G1127),0)</x:f>
        <x:v>113395.942036</x:v>
      </x:c>
      <x:c r="AS1127" s="32" t="n">
        <x:f>IF(H1127=1,IF(E1127=1,AS1126-AR1126,AS1126)+AQ1127,0)</x:f>
        <x:v>6480.1347613586695</x:v>
      </x:c>
      <x:c r="AT1127" s="11" t="n">
        <x:f>IF(AR1127&gt;0,MIN(1,AS1127/AR1127),1)</x:f>
        <x:v>0.057146090459757465</x:v>
      </x:c>
      <x:c r="AU1127" s="10" t="n">
        <x:f>AB1127/INDEX(v01_RepScale,G1127)</x:f>
        <x:v>131.94814126992705</x:v>
      </x:c>
      <x:c r="AV1127" s="32" t="n">
        <x:f>AM1127*60/v01_SeasonSeconds</x:f>
        <x:v>3645.9957959720914</x:v>
      </x:c>
    </x:row>
    <x:row r="1128">
      <x:c r="A1128" s="8" t="n">
        <x:f>A1127+1</x:f>
        <x:v>1125</x:v>
      </x:c>
      <x:c r="B1128" s="9" t="n">
        <x:f>A1128*v01_SeasonSeconds/60</x:f>
        <x:v>281.25</x:v>
      </x:c>
      <x:c r="C1128" s="9" t="n">
        <x:f>A1128/4</x:f>
        <x:v>281.25</x:v>
      </x:c>
      <x:c r="D1128" s="8" t="n">
        <x:f>IF(MOD(A1128,4)=0,1,0)</x:f>
        <x:v>0</x:v>
      </x:c>
      <x:c r="E1128" s="8" t="n">
        <x:f>IF(AND(F1127&lt;=9,AS1127&gt;=AR1127),1,0)</x:f>
        <x:v>0</x:v>
      </x:c>
      <x:c r="F1128" s="8" t="n">
        <x:f>MIN(10,F1127+E1128)</x:f>
        <x:v>6</x:v>
      </x:c>
      <x:c r="G1128" s="8" t="n">
        <x:f>MIN(F1128,9)+1</x:f>
        <x:v>7</x:v>
      </x:c>
      <x:c r="H1128" s="8" t="n">
        <x:f>IF(F1128&lt;=9,1,0)</x:f>
        <x:v>1</x:v>
      </x:c>
      <x:c r="I1128" s="9" t="n">
        <x:f>MIN(10,F1127+IF(AR1127&gt;0,MIN(1,AS1127/AR1127),1))</x:f>
        <x:v>6.057146090459757</x:v>
      </x:c>
      <x:c r="J1128" s="32" t="n">
        <x:f>INDEX(v01_FoodCap,G1128)*Arch_FoodCap*EXP(v01_CapsByProject*SUMPRODUCT((Cap_Point&lt;=I1128)*(Cap_Kind="Food")*Cap_Ln))</x:f>
        <x:v>1000</x:v>
      </x:c>
      <x:c r="K1128" s="32" t="n">
        <x:f>J1128*MIN(1,v01_LeanBase*EXP(v01_CapsByProject*SUMPRODUCT((Cap_Point&lt;=I1128)*(Cap_Kind="Lean")*Cap_Ln)))</x:f>
        <x:v>1000</x:v>
      </x:c>
      <x:c r="L1128" s="10" t="n">
        <x:f>INDEX(v01_HousingCap,G1128)*EXP(v01_CapsByProject*SUMPRODUCT((Cap_Point&lt;=I1128)*(Cap_Kind="Housing")*Cap_Ln))</x:f>
        <x:v>1600</x:v>
      </x:c>
      <x:c r="M1128" s="10" t="n">
        <x:f>INDEX(v01_GroupCap,G1128)*v01_CohesionFactor*EXP(v01_CapsByProject*SUMPRODUCT((Cap_Point&lt;=I1128)*(Cap_Kind="Group")*Cap_Ln))</x:f>
        <x:v>1000000</x:v>
      </x:c>
      <x:c r="N1128" s="32" t="n">
        <x:f>MIN(J1128,L1128,M1128)</x:f>
        <x:v>1000</x:v>
      </x:c>
      <x:c r="O1128" s="10" t="n">
        <x:f>AE1127*N1128</x:f>
        <x:v>16000</x:v>
      </x:c>
      <x:c r="P1128" s="9" t="n">
        <x:f>MIN(1,(AB1127/(AE1127*IF(v01_GroupInCrowding=1,N1128,MIN(J1128,L1128))))^v01_CrowdingExp)</x:f>
        <x:v>0.004914957770380624</x:v>
      </x:c>
      <x:c r="Q1128" s="9" t="n">
        <x:f>IF(D1128=1,INDEX(v01_WinterMult,G1128),1)</x:f>
        <x:v>1</x:v>
      </x:c>
      <x:c r="R1128" s="9" t="n">
        <x:f>H1128*Z1127*v01_WomenShare*v01_BaseFertility*INDEX(v01_FertMult,G1128)*Arch_Fertility*(1-P1128)</x:f>
        <x:v>88.86894648152288</x:v>
      </x:c>
      <x:c r="S1128" s="9" t="n">
        <x:f>H1128*Y1127*INDEX(v01_MortChild,G1128)/4*Q1128</x:f>
        <x:v>14.932155692321226</x:v>
      </x:c>
      <x:c r="T1128" s="9" t="n">
        <x:f>H1128*Z1127*INDEX(v01_MortAdult,G1128)*Arch_AdultMort/4*Q1128</x:f>
        <x:v>6.379135071022981</x:v>
      </x:c>
      <x:c r="U1128" s="9" t="n">
        <x:f>H1128*AA1127*INDEX(v01_MortElder,G1128)/4*Q1128</x:f>
        <x:v>14.400354680464657</x:v>
      </x:c>
      <x:c r="V1128" s="9" t="n">
        <x:f>H1128*MAX(0,AB1127-O1128)*v01_OvercapLoss</x:f>
        <x:v>0</x:v>
      </x:c>
      <x:c r="W1128" s="9" t="n">
        <x:f>H1128*Y1127/(v01_ChildYears*4)</x:f>
        <x:v>48.48102497506892</x:v>
      </x:c>
      <x:c r="X1128" s="9" t="n">
        <x:f>H1128*Z1127/(v01_AdultYears*4)</x:f>
        <x:v>22.86428340868452</x:v>
      </x:c>
      <x:c r="Y1128" s="32" t="n">
        <x:f>Y1127+R1128-S1128-W1128-Y1127*V1128/AB1127</x:f>
        <x:v>2740.393164417992</x:v>
      </x:c>
      <x:c r="Z1128" s="32" t="n">
        <x:f>Z1127+W1128-X1128-T1128-Z1127*V1128/AB1127</x:f>
        <x:v>2854.408749172242</x:v>
      </x:c>
      <x:c r="AA1128" s="32" t="n">
        <x:f>AA1127+X1128-U1128-AA1127*V1128/AB1127</x:f>
        <x:v>1055.7624509438313</x:v>
      </x:c>
      <x:c r="AB1128" s="10" t="n">
        <x:f>Y1128+Z1128+AA1128</x:f>
        <x:v>6650.564364534065</x:v>
      </x:c>
      <x:c r="AC1128" s="8" t="n">
        <x:f>IF(AND(v01_WinterTrigger=1,D1128=1,AB1127/AE1127&gt;=K1128),1,0)</x:f>
        <x:v>0</x:v>
      </x:c>
      <x:c r="AD1128" s="8" t="n">
        <x:f>H1128*IF(AND(OR(AB1127/AE1127&gt;=v01_FissionTrigger*N1128,AC1128=1),AB1127/AE1127*v01_DaughterShare&gt;=v01_MinDaughter),MAX(1,ROUND(AE1127*v01_FissionRate,0)),0)</x:f>
        <x:v>0</x:v>
      </x:c>
      <x:c r="AE1128" s="8" t="n">
        <x:f>IF(H1128=1,MAX(1,MIN(INDEX(v01_Smax,G1128),AE1127+AD1128)),AE1127)</x:f>
        <x:v>16</x:v>
      </x:c>
      <x:c r="AF1128" s="8" t="n">
        <x:f>MAX(0,AE1128-AE1127)</x:f>
        <x:v>0</x:v>
      </x:c>
      <x:c r="AG1128" s="9" t="str">
        <x:f>IF(AF1128&gt;0,B1128,"")</x:f>
      </x:c>
      <x:c r="AH1128" s="9" t="n">
        <x:f>IF(F1128&gt;=1,1,(1+v01_LowTiesShare*(AE1128-1))/AE1128)</x:f>
        <x:v>1</x:v>
      </x:c>
      <x:c r="AI1128" s="32" t="n">
        <x:f>(Z1128+v01_ElderCommons*INDEX(LM_Elder,G1128)*AA1128)*AH1128</x:f>
        <x:v>6813.517940211609</x:v>
      </x:c>
      <x:c r="AJ1128" s="32" t="n">
        <x:f>H1128*v01_CommonsCoef*AI1128^v01_CommonsExp*INDEX(LM_Commons,G1128)</x:f>
        <x:v>1582.6591436527956</x:v>
      </x:c>
      <x:c r="AK1128" s="32" t="n">
        <x:f>H1128*v01_RoleScale*Arch_Roles*(AE1128*(INDEX(v01_ElderRolePerSett,G1128)*v01_OutElder*INDEX(LM_Elder,G1128)+INDEX(v01_ShamanPerSett,G1128)*v01_OutShaman)+Z1128*(INDEX(v01_PriestShare,G1128)*v01_OutPriest+INDEX(v01_ScribeShare,G1128)*v01_OutScribe*INDEX(LM_Scribe,G1128)+INDEX(v01_ScholarShare,G1128)*v01_OutScholar*INDEX(LM_Scholar,G1128)+INDEX(v01_ResearcherShare,G1128)*v01_OutResearcher*INDEX(LM_Researcher,G1128)))</x:f>
        <x:v>413.9409432706197</x:v>
      </x:c>
      <x:c r="AL1128" s="32" t="n">
        <x:f>H1128*v01_RoleScale*Arch_Roles*AE1128*INDEX(v01_MonasteryPerSett,G1128)*v01_OutMonastery*INDEX(LM_Monastery,G1128)</x:f>
        <x:v>10.56</x:v>
      </x:c>
      <x:c r="AM1128" s="32" t="n">
        <x:f>(AJ1128+AK1128+AL1128)/4*INDEX(LM_All,G1128)*INDEX(v01_Boon,G1128)*Arch_Insight</x:f>
        <x:v>917.2094530446078</x:v>
      </x:c>
      <x:c r="AN1128" s="32" t="n">
        <x:f>H1128*(v01_KHPerAdult*Z1128+v01_KHOfCommons*AJ1128/4*INDEX(LM_All,G1128))*v01_KHUsable*Arch_KH</x:f>
        <x:v>99.90430622102848</x:v>
      </x:c>
      <x:c r="AO1128" s="32" t="n">
        <x:f>MIN(AP1127+AN1128,AM1128*v01_KHMaxRatio)</x:f>
        <x:v>99.90430622102848</x:v>
      </x:c>
      <x:c r="AP1128" s="32" t="n">
        <x:f>AP1127+AN1128-AO1128</x:f>
        <x:v>0</x:v>
      </x:c>
      <x:c r="AQ1128" s="32" t="n">
        <x:f>AM1128+AO1128</x:f>
        <x:v>1017.1137592656363</x:v>
      </x:c>
      <x:c r="AR1128" s="10" t="n">
        <x:f>IF(H1128=1,INDEX(v01_Req,G1128),0)</x:f>
        <x:v>113395.942036</x:v>
      </x:c>
      <x:c r="AS1128" s="32" t="n">
        <x:f>IF(H1128=1,IF(E1128=1,AS1127-AR1127,AS1127)+AQ1128,0)</x:f>
        <x:v>7497.2485206243055</x:v>
      </x:c>
      <x:c r="AT1128" s="11" t="n">
        <x:f>IF(AR1128&gt;0,MIN(1,AS1128/AR1128),1)</x:f>
        <x:v>0.06611566856814102</x:v>
      </x:c>
      <x:c r="AU1128" s="10" t="n">
        <x:f>AB1128/INDEX(v01_RepScale,G1128)</x:f>
        <x:v>133.0112872906813</x:v>
      </x:c>
      <x:c r="AV1128" s="32" t="n">
        <x:f>AM1128*60/v01_SeasonSeconds</x:f>
        <x:v>3668.8378121784312</x:v>
      </x:c>
    </x:row>
    <x:row r="1129">
      <x:c r="A1129" s="8" t="n">
        <x:f>A1128+1</x:f>
        <x:v>1126</x:v>
      </x:c>
      <x:c r="B1129" s="9" t="n">
        <x:f>A1129*v01_SeasonSeconds/60</x:f>
        <x:v>281.5</x:v>
      </x:c>
      <x:c r="C1129" s="9" t="n">
        <x:f>A1129/4</x:f>
        <x:v>281.5</x:v>
      </x:c>
      <x:c r="D1129" s="8" t="n">
        <x:f>IF(MOD(A1129,4)=0,1,0)</x:f>
        <x:v>0</x:v>
      </x:c>
      <x:c r="E1129" s="8" t="n">
        <x:f>IF(AND(F1128&lt;=9,AS1128&gt;=AR1128),1,0)</x:f>
        <x:v>0</x:v>
      </x:c>
      <x:c r="F1129" s="8" t="n">
        <x:f>MIN(10,F1128+E1129)</x:f>
        <x:v>6</x:v>
      </x:c>
      <x:c r="G1129" s="8" t="n">
        <x:f>MIN(F1129,9)+1</x:f>
        <x:v>7</x:v>
      </x:c>
      <x:c r="H1129" s="8" t="n">
        <x:f>IF(F1129&lt;=9,1,0)</x:f>
        <x:v>1</x:v>
      </x:c>
      <x:c r="I1129" s="9" t="n">
        <x:f>MIN(10,F1128+IF(AR1128&gt;0,MIN(1,AS1128/AR1128),1))</x:f>
        <x:v>6.066115668568141</x:v>
      </x:c>
      <x:c r="J1129" s="32" t="n">
        <x:f>INDEX(v01_FoodCap,G1129)*Arch_FoodCap*EXP(v01_CapsByProject*SUMPRODUCT((Cap_Point&lt;=I1129)*(Cap_Kind="Food")*Cap_Ln))</x:f>
        <x:v>1000</x:v>
      </x:c>
      <x:c r="K1129" s="32" t="n">
        <x:f>J1129*MIN(1,v01_LeanBase*EXP(v01_CapsByProject*SUMPRODUCT((Cap_Point&lt;=I1129)*(Cap_Kind="Lean")*Cap_Ln)))</x:f>
        <x:v>1000</x:v>
      </x:c>
      <x:c r="L1129" s="10" t="n">
        <x:f>INDEX(v01_HousingCap,G1129)*EXP(v01_CapsByProject*SUMPRODUCT((Cap_Point&lt;=I1129)*(Cap_Kind="Housing")*Cap_Ln))</x:f>
        <x:v>1600</x:v>
      </x:c>
      <x:c r="M1129" s="10" t="n">
        <x:f>INDEX(v01_GroupCap,G1129)*v01_CohesionFactor*EXP(v01_CapsByProject*SUMPRODUCT((Cap_Point&lt;=I1129)*(Cap_Kind="Group")*Cap_Ln))</x:f>
        <x:v>1000000</x:v>
      </x:c>
      <x:c r="N1129" s="32" t="n">
        <x:f>MIN(J1129,L1129,M1129)</x:f>
        <x:v>1000</x:v>
      </x:c>
      <x:c r="O1129" s="10" t="n">
        <x:f>AE1128*N1129</x:f>
        <x:v>16000</x:v>
      </x:c>
      <x:c r="P1129" s="9" t="n">
        <x:f>MIN(1,(AB1128/(AE1128*IF(v01_GroupInCrowding=1,N1129,MIN(J1129,L1129))))^v01_CrowdingExp)</x:f>
        <x:v>0.005157403488936621</x:v>
      </x:c>
      <x:c r="Q1129" s="9" t="n">
        <x:f>IF(D1129=1,INDEX(v01_WinterMult,G1129),1)</x:f>
        <x:v>1</x:v>
      </x:c>
      <x:c r="R1129" s="9" t="n">
        <x:f>H1129*Z1128*v01_WomenShare*v01_BaseFertility*INDEX(v01_FertMult,G1129)*Arch_Fertility*(1-P1129)</x:f>
        <x:v>89.45015346320791</x:v>
      </x:c>
      <x:c r="S1129" s="9" t="n">
        <x:f>H1129*Y1128*INDEX(v01_MortChild,G1129)/4*Q1129</x:f>
        <x:v>15.072162404298956</x:v>
      </x:c>
      <x:c r="T1129" s="9" t="n">
        <x:f>H1129*Z1128*INDEX(v01_MortAdult,G1129)*Arch_AdultMort/4*Q1129</x:f>
        <x:v>6.422419685637545</x:v>
      </x:c>
      <x:c r="U1129" s="9" t="n">
        <x:f>H1129*AA1128*INDEX(v01_MortElder,G1129)/4*Q1129</x:f>
        <x:v>14.51673370047768</x:v>
      </x:c>
      <x:c r="V1129" s="9" t="n">
        <x:f>H1129*MAX(0,AB1128-O1129)*v01_OvercapLoss</x:f>
        <x:v>0</x:v>
      </x:c>
      <x:c r="W1129" s="9" t="n">
        <x:f>H1129*Y1128/(v01_ChildYears*4)</x:f>
        <x:v>48.93559222174986</x:v>
      </x:c>
      <x:c r="X1129" s="9" t="n">
        <x:f>H1129*Z1128/(v01_AdultYears*4)</x:f>
        <x:v>23.01942539655034</x:v>
      </x:c>
      <x:c r="Y1129" s="32" t="n">
        <x:f>Y1128+R1129-S1129-W1129-Y1128*V1129/AB1128</x:f>
        <x:v>2765.835563255151</x:v>
      </x:c>
      <x:c r="Z1129" s="32" t="n">
        <x:f>Z1128+W1129-X1129-T1129-Z1128*V1129/AB1128</x:f>
        <x:v>2873.902496311804</x:v>
      </x:c>
      <x:c r="AA1129" s="32" t="n">
        <x:f>AA1128+X1129-U1129-AA1128*V1129/AB1128</x:f>
        <x:v>1064.2651426399038</x:v>
      </x:c>
      <x:c r="AB1129" s="10" t="n">
        <x:f>Y1129+Z1129+AA1129</x:f>
        <x:v>6704.003202206859</x:v>
      </x:c>
      <x:c r="AC1129" s="8" t="n">
        <x:f>IF(AND(v01_WinterTrigger=1,D1129=1,AB1128/AE1128&gt;=K1129),1,0)</x:f>
        <x:v>0</x:v>
      </x:c>
      <x:c r="AD1129" s="8" t="n">
        <x:f>H1129*IF(AND(OR(AB1128/AE1128&gt;=v01_FissionTrigger*N1129,AC1129=1),AB1128/AE1128*v01_DaughterShare&gt;=v01_MinDaughter),MAX(1,ROUND(AE1128*v01_FissionRate,0)),0)</x:f>
        <x:v>0</x:v>
      </x:c>
      <x:c r="AE1129" s="8" t="n">
        <x:f>IF(H1129=1,MAX(1,MIN(INDEX(v01_Smax,G1129),AE1128+AD1129)),AE1128)</x:f>
        <x:v>16</x:v>
      </x:c>
      <x:c r="AF1129" s="8" t="n">
        <x:f>MAX(0,AE1129-AE1128)</x:f>
        <x:v>0</x:v>
      </x:c>
      <x:c r="AG1129" s="9" t="str">
        <x:f>IF(AF1129&gt;0,B1129,"")</x:f>
      </x:c>
      <x:c r="AH1129" s="9" t="n">
        <x:f>IF(F1129&gt;=1,1,(1+v01_LowTiesShare*(AE1129-1))/AE1129)</x:f>
        <x:v>1</x:v>
      </x:c>
      <x:c r="AI1129" s="32" t="n">
        <x:f>(Z1129+v01_ElderCommons*INDEX(LM_Elder,G1129)*AA1129)*AH1129</x:f>
        <x:v>6864.896781211443</x:v>
      </x:c>
      <x:c r="AJ1129" s="32" t="n">
        <x:f>H1129*v01_CommonsCoef*AI1129^v01_CommonsExp*INDEX(LM_Commons,G1129)</x:f>
        <x:v>1592.7976560699938</x:v>
      </x:c>
      <x:c r="AK1129" s="32" t="n">
        <x:f>H1129*v01_RoleScale*Arch_Roles*(AE1129*(INDEX(v01_ElderRolePerSett,G1129)*v01_OutElder*INDEX(LM_Elder,G1129)+INDEX(v01_ShamanPerSett,G1129)*v01_OutShaman)+Z1129*(INDEX(v01_PriestShare,G1129)*v01_OutPriest+INDEX(v01_ScribeShare,G1129)*v01_OutScribe*INDEX(LM_Scribe,G1129)+INDEX(v01_ScholarShare,G1129)*v01_OutScholar*INDEX(LM_Scholar,G1129)+INDEX(v01_ResearcherShare,G1129)*v01_OutResearcher*INDEX(LM_Researcher,G1129)))</x:f>
        <x:v>416.39910478491845</x:v>
      </x:c>
      <x:c r="AL1129" s="32" t="n">
        <x:f>H1129*v01_RoleScale*Arch_Roles*AE1129*INDEX(v01_MonasteryPerSett,G1129)*v01_OutMonastery*INDEX(LM_Monastery,G1129)</x:f>
        <x:v>10.56</x:v>
      </x:c>
      <x:c r="AM1129" s="32" t="n">
        <x:f>(AJ1129+AK1129+AL1129)/4*INDEX(LM_All,G1129)*INDEX(v01_Boon,G1129)*Arch_Insight</x:f>
        <x:v>922.9657394923914</x:v>
      </x:c>
      <x:c r="AN1129" s="32" t="n">
        <x:f>H1129*(v01_KHPerAdult*Z1129+v01_KHOfCommons*AJ1129/4*INDEX(LM_All,G1129))*v01_KHUsable*Arch_KH</x:f>
        <x:v>100.58658737091315</x:v>
      </x:c>
      <x:c r="AO1129" s="32" t="n">
        <x:f>MIN(AP1128+AN1129,AM1129*v01_KHMaxRatio)</x:f>
        <x:v>100.58658737091315</x:v>
      </x:c>
      <x:c r="AP1129" s="32" t="n">
        <x:f>AP1128+AN1129-AO1129</x:f>
        <x:v>0</x:v>
      </x:c>
      <x:c r="AQ1129" s="32" t="n">
        <x:f>AM1129+AO1129</x:f>
        <x:v>1023.5523268633046</x:v>
      </x:c>
      <x:c r="AR1129" s="10" t="n">
        <x:f>IF(H1129=1,INDEX(v01_Req,G1129),0)</x:f>
        <x:v>113395.942036</x:v>
      </x:c>
      <x:c r="AS1129" s="32" t="n">
        <x:f>IF(H1129=1,IF(E1129=1,AS1128-AR1128,AS1128)+AQ1129,0)</x:f>
        <x:v>8520.80084748761</x:v>
      </x:c>
      <x:c r="AT1129" s="11" t="n">
        <x:f>IF(AR1129&gt;0,MIN(1,AS1129/AR1129),1)</x:f>
        <x:v>0.07514202620039523</x:v>
      </x:c>
      <x:c r="AU1129" s="10" t="n">
        <x:f>AB1129/INDEX(v01_RepScale,G1129)</x:f>
        <x:v>134.08006404413717</x:v>
      </x:c>
      <x:c r="AV1129" s="32" t="n">
        <x:f>AM1129*60/v01_SeasonSeconds</x:f>
        <x:v>3691.8629579695657</x:v>
      </x:c>
    </x:row>
    <x:row r="1130">
      <x:c r="A1130" s="8" t="n">
        <x:f>A1129+1</x:f>
        <x:v>1127</x:v>
      </x:c>
      <x:c r="B1130" s="9" t="n">
        <x:f>A1130*v01_SeasonSeconds/60</x:f>
        <x:v>281.75</x:v>
      </x:c>
      <x:c r="C1130" s="9" t="n">
        <x:f>A1130/4</x:f>
        <x:v>281.75</x:v>
      </x:c>
      <x:c r="D1130" s="8" t="n">
        <x:f>IF(MOD(A1130,4)=0,1,0)</x:f>
        <x:v>0</x:v>
      </x:c>
      <x:c r="E1130" s="8" t="n">
        <x:f>IF(AND(F1129&lt;=9,AS1129&gt;=AR1129),1,0)</x:f>
        <x:v>0</x:v>
      </x:c>
      <x:c r="F1130" s="8" t="n">
        <x:f>MIN(10,F1129+E1130)</x:f>
        <x:v>6</x:v>
      </x:c>
      <x:c r="G1130" s="8" t="n">
        <x:f>MIN(F1130,9)+1</x:f>
        <x:v>7</x:v>
      </x:c>
      <x:c r="H1130" s="8" t="n">
        <x:f>IF(F1130&lt;=9,1,0)</x:f>
        <x:v>1</x:v>
      </x:c>
      <x:c r="I1130" s="9" t="n">
        <x:f>MIN(10,F1129+IF(AR1129&gt;0,MIN(1,AS1129/AR1129),1))</x:f>
        <x:v>6.075142026200395</x:v>
      </x:c>
      <x:c r="J1130" s="32" t="n">
        <x:f>INDEX(v01_FoodCap,G1130)*Arch_FoodCap*EXP(v01_CapsByProject*SUMPRODUCT((Cap_Point&lt;=I1130)*(Cap_Kind="Food")*Cap_Ln))</x:f>
        <x:v>1000</x:v>
      </x:c>
      <x:c r="K1130" s="32" t="n">
        <x:f>J1130*MIN(1,v01_LeanBase*EXP(v01_CapsByProject*SUMPRODUCT((Cap_Point&lt;=I1130)*(Cap_Kind="Lean")*Cap_Ln)))</x:f>
        <x:v>1000</x:v>
      </x:c>
      <x:c r="L1130" s="10" t="n">
        <x:f>INDEX(v01_HousingCap,G1130)*EXP(v01_CapsByProject*SUMPRODUCT((Cap_Point&lt;=I1130)*(Cap_Kind="Housing")*Cap_Ln))</x:f>
        <x:v>1600</x:v>
      </x:c>
      <x:c r="M1130" s="10" t="n">
        <x:f>INDEX(v01_GroupCap,G1130)*v01_CohesionFactor*EXP(v01_CapsByProject*SUMPRODUCT((Cap_Point&lt;=I1130)*(Cap_Kind="Group")*Cap_Ln))</x:f>
        <x:v>1000000</x:v>
      </x:c>
      <x:c r="N1130" s="32" t="n">
        <x:f>MIN(J1130,L1130,M1130)</x:f>
        <x:v>1000</x:v>
      </x:c>
      <x:c r="O1130" s="10" t="n">
        <x:f>AE1129*N1130</x:f>
        <x:v>16000</x:v>
      </x:c>
      <x:c r="P1130" s="9" t="n">
        <x:f>MIN(1,(AB1129/(AE1129*IF(v01_GroupInCrowding=1,N1130,MIN(J1130,L1130))))^v01_CrowdingExp)</x:f>
        <x:v>0.005411097787922519</x:v>
      </x:c>
      <x:c r="Q1130" s="9" t="n">
        <x:f>IF(D1130=1,INDEX(v01_WinterMult,G1130),1)</x:f>
        <x:v>1</x:v>
      </x:c>
      <x:c r="R1130" s="9" t="n">
        <x:f>H1130*Z1129*v01_WomenShare*v01_BaseFertility*INDEX(v01_FertMult,G1130)*Arch_Fertility*(1-P1130)</x:f>
        <x:v>90.03807315944616</x:v>
      </x:c>
      <x:c r="S1130" s="9" t="n">
        <x:f>H1130*Y1129*INDEX(v01_MortChild,G1130)/4*Q1130</x:f>
        <x:v>15.21209559790333</x:v>
      </x:c>
      <x:c r="T1130" s="9" t="n">
        <x:f>H1130*Z1129*INDEX(v01_MortAdult,G1130)*Arch_AdultMort/4*Q1130</x:f>
        <x:v>6.4662806167015585</x:v>
      </x:c>
      <x:c r="U1130" s="9" t="n">
        <x:f>H1130*AA1129*INDEX(v01_MortElder,G1130)/4*Q1130</x:f>
        <x:v>14.633645711298678</x:v>
      </x:c>
      <x:c r="V1130" s="9" t="n">
        <x:f>H1130*MAX(0,AB1129-O1130)*v01_OvercapLoss</x:f>
        <x:v>0</x:v>
      </x:c>
      <x:c r="W1130" s="9" t="n">
        <x:f>H1130*Y1129/(v01_ChildYears*4)</x:f>
        <x:v>49.38992077241341</x:v>
      </x:c>
      <x:c r="X1130" s="9" t="n">
        <x:f>H1130*Z1129/(v01_AdultYears*4)</x:f>
        <x:v>23.176633034772614</x:v>
      </x:c>
      <x:c r="Y1130" s="32" t="n">
        <x:f>Y1129+R1130-S1130-W1130-Y1129*V1130/AB1129</x:f>
        <x:v>2791.27162004428</x:v>
      </x:c>
      <x:c r="Z1130" s="32" t="n">
        <x:f>Z1129+W1130-X1130-T1130-Z1129*V1130/AB1129</x:f>
        <x:v>2893.649503432743</x:v>
      </x:c>
      <x:c r="AA1130" s="32" t="n">
        <x:f>AA1129+X1130-U1130-AA1129*V1130/AB1129</x:f>
        <x:v>1072.8081299633777</x:v>
      </x:c>
      <x:c r="AB1130" s="10" t="n">
        <x:f>Y1130+Z1130+AA1130</x:f>
        <x:v>6757.7292534404005</x:v>
      </x:c>
      <x:c r="AC1130" s="8" t="n">
        <x:f>IF(AND(v01_WinterTrigger=1,D1130=1,AB1129/AE1129&gt;=K1130),1,0)</x:f>
        <x:v>0</x:v>
      </x:c>
      <x:c r="AD1130" s="8" t="n">
        <x:f>H1130*IF(AND(OR(AB1129/AE1129&gt;=v01_FissionTrigger*N1130,AC1130=1),AB1129/AE1129*v01_DaughterShare&gt;=v01_MinDaughter),MAX(1,ROUND(AE1129*v01_FissionRate,0)),0)</x:f>
        <x:v>0</x:v>
      </x:c>
      <x:c r="AE1130" s="8" t="n">
        <x:f>IF(H1130=1,MAX(1,MIN(INDEX(v01_Smax,G1130),AE1129+AD1130)),AE1129)</x:f>
        <x:v>16</x:v>
      </x:c>
      <x:c r="AF1130" s="8" t="n">
        <x:f>MAX(0,AE1130-AE1129)</x:f>
        <x:v>0</x:v>
      </x:c>
      <x:c r="AG1130" s="9" t="str">
        <x:f>IF(AF1130&gt;0,B1130,"")</x:f>
      </x:c>
      <x:c r="AH1130" s="9" t="n">
        <x:f>IF(F1130&gt;=1,1,(1+v01_LowTiesShare*(AE1130-1))/AE1130)</x:f>
        <x:v>1</x:v>
      </x:c>
      <x:c r="AI1130" s="32" t="n">
        <x:f>(Z1130+v01_ElderCommons*INDEX(LM_Elder,G1130)*AA1130)*AH1130</x:f>
        <x:v>6916.67999079541</x:v>
      </x:c>
      <x:c r="AJ1130" s="32" t="n">
        <x:f>H1130*v01_CommonsCoef*AI1130^v01_CommonsExp*INDEX(LM_Commons,G1130)</x:f>
        <x:v>1603.0044519121989</x:v>
      </x:c>
      <x:c r="AK1130" s="32" t="n">
        <x:f>H1130*v01_RoleScale*Arch_Roles*(AE1130*(INDEX(v01_ElderRolePerSett,G1130)*v01_OutElder*INDEX(LM_Elder,G1130)+INDEX(v01_ShamanPerSett,G1130)*v01_OutShaman)+Z1130*(INDEX(v01_PriestShare,G1130)*v01_OutPriest+INDEX(v01_ScribeShare,G1130)*v01_OutScribe*INDEX(LM_Scribe,G1130)+INDEX(v01_ScholarShare,G1130)*v01_OutScholar*INDEX(LM_Scholar,G1130)+INDEX(v01_ResearcherShare,G1130)*v01_OutResearcher*INDEX(LM_Researcher,G1130)))</x:f>
        <x:v>418.88920238286886</x:v>
      </x:c>
      <x:c r="AL1130" s="32" t="n">
        <x:f>H1130*v01_RoleScale*Arch_Roles*AE1130*INDEX(v01_MonasteryPerSett,G1130)*v01_OutMonastery*INDEX(LM_Monastery,G1130)</x:f>
        <x:v>10.56</x:v>
      </x:c>
      <x:c r="AM1130" s="32" t="n">
        <x:f>(AJ1130+AK1130+AL1130)/4*INDEX(LM_All,G1130)*INDEX(v01_Boon,G1130)*Arch_Insight</x:f>
        <x:v>928.767823124625</x:v>
      </x:c>
      <x:c r="AN1130" s="32" t="n">
        <x:f>H1130*(v01_KHPerAdult*Z1130+v01_KHOfCommons*AJ1130/4*INDEX(LM_All,G1130))*v01_KHUsable*Arch_KH</x:f>
        <x:v>101.277732620146</x:v>
      </x:c>
      <x:c r="AO1130" s="32" t="n">
        <x:f>MIN(AP1129+AN1130,AM1130*v01_KHMaxRatio)</x:f>
        <x:v>101.277732620146</x:v>
      </x:c>
      <x:c r="AP1130" s="32" t="n">
        <x:f>AP1129+AN1130-AO1130</x:f>
        <x:v>0</x:v>
      </x:c>
      <x:c r="AQ1130" s="32" t="n">
        <x:f>AM1130+AO1130</x:f>
        <x:v>1030.045555744771</x:v>
      </x:c>
      <x:c r="AR1130" s="10" t="n">
        <x:f>IF(H1130=1,INDEX(v01_Req,G1130),0)</x:f>
        <x:v>113395.942036</x:v>
      </x:c>
      <x:c r="AS1130" s="32" t="n">
        <x:f>IF(H1130=1,IF(E1130=1,AS1129-AR1129,AS1129)+AQ1130,0)</x:f>
        <x:v>9550.84640323238</x:v>
      </x:c>
      <x:c r="AT1130" s="11" t="n">
        <x:f>IF(AR1130&gt;0,MIN(1,AS1130/AR1130),1)</x:f>
        <x:v>0.08422564539567261</x:v>
      </x:c>
      <x:c r="AU1130" s="10" t="n">
        <x:f>AB1130/INDEX(v01_RepScale,G1130)</x:f>
        <x:v>135.15458506880802</x:v>
      </x:c>
      <x:c r="AV1130" s="32" t="n">
        <x:f>AM1130*60/v01_SeasonSeconds</x:f>
        <x:v>3715.0712924985</x:v>
      </x:c>
    </x:row>
    <x:row r="1131">
      <x:c r="A1131" s="8" t="n">
        <x:f>A1130+1</x:f>
        <x:v>1128</x:v>
      </x:c>
      <x:c r="B1131" s="9" t="n">
        <x:f>A1131*v01_SeasonSeconds/60</x:f>
        <x:v>282</x:v>
      </x:c>
      <x:c r="C1131" s="9" t="n">
        <x:f>A1131/4</x:f>
        <x:v>282</x:v>
      </x:c>
      <x:c r="D1131" s="8" t="n">
        <x:f>IF(MOD(A1131,4)=0,1,0)</x:f>
        <x:v>1</x:v>
      </x:c>
      <x:c r="E1131" s="8" t="n">
        <x:f>IF(AND(F1130&lt;=9,AS1130&gt;=AR1130),1,0)</x:f>
        <x:v>0</x:v>
      </x:c>
      <x:c r="F1131" s="8" t="n">
        <x:f>MIN(10,F1130+E1131)</x:f>
        <x:v>6</x:v>
      </x:c>
      <x:c r="G1131" s="8" t="n">
        <x:f>MIN(F1131,9)+1</x:f>
        <x:v>7</x:v>
      </x:c>
      <x:c r="H1131" s="8" t="n">
        <x:f>IF(F1131&lt;=9,1,0)</x:f>
        <x:v>1</x:v>
      </x:c>
      <x:c r="I1131" s="9" t="n">
        <x:f>MIN(10,F1130+IF(AR1130&gt;0,MIN(1,AS1130/AR1130),1))</x:f>
        <x:v>6.084225645395673</x:v>
      </x:c>
      <x:c r="J1131" s="32" t="n">
        <x:f>INDEX(v01_FoodCap,G1131)*Arch_FoodCap*EXP(v01_CapsByProject*SUMPRODUCT((Cap_Point&lt;=I1131)*(Cap_Kind="Food")*Cap_Ln))</x:f>
        <x:v>1000</x:v>
      </x:c>
      <x:c r="K1131" s="32" t="n">
        <x:f>J1131*MIN(1,v01_LeanBase*EXP(v01_CapsByProject*SUMPRODUCT((Cap_Point&lt;=I1131)*(Cap_Kind="Lean")*Cap_Ln)))</x:f>
        <x:v>1000</x:v>
      </x:c>
      <x:c r="L1131" s="10" t="n">
        <x:f>INDEX(v01_HousingCap,G1131)*EXP(v01_CapsByProject*SUMPRODUCT((Cap_Point&lt;=I1131)*(Cap_Kind="Housing")*Cap_Ln))</x:f>
        <x:v>1600</x:v>
      </x:c>
      <x:c r="M1131" s="10" t="n">
        <x:f>INDEX(v01_GroupCap,G1131)*v01_CohesionFactor*EXP(v01_CapsByProject*SUMPRODUCT((Cap_Point&lt;=I1131)*(Cap_Kind="Group")*Cap_Ln))</x:f>
        <x:v>1000000</x:v>
      </x:c>
      <x:c r="N1131" s="32" t="n">
        <x:f>MIN(J1131,L1131,M1131)</x:f>
        <x:v>1000</x:v>
      </x:c>
      <x:c r="O1131" s="10" t="n">
        <x:f>AE1130*N1131</x:f>
        <x:v>16000</x:v>
      </x:c>
      <x:c r="P1131" s="9" t="n">
        <x:f>MIN(1,(AB1130/(AE1130*IF(v01_GroupInCrowding=1,N1131,MIN(J1131,L1131))))^v01_CrowdingExp)</x:f>
        <x:v>0.005676554756595162</x:v>
      </x:c>
      <x:c r="Q1131" s="9" t="n">
        <x:f>IF(D1131=1,INDEX(v01_WinterMult,G1131),1)</x:f>
        <x:v>1</x:v>
      </x:c>
      <x:c r="R1131" s="9" t="n">
        <x:f>H1131*Z1130*v01_WomenShare*v01_BaseFertility*INDEX(v01_FertMult,G1131)*Arch_Fertility*(1-P1131)</x:f>
        <x:v>90.63254162277356</x:v>
      </x:c>
      <x:c r="S1131" s="9" t="n">
        <x:f>H1131*Y1130*INDEX(v01_MortChild,G1131)/4*Q1131</x:f>
        <x:v>15.35199391024354</x:v>
      </x:c>
      <x:c r="T1131" s="9" t="n">
        <x:f>H1131*Z1130*INDEX(v01_MortAdult,G1131)*Arch_AdultMort/4*Q1131</x:f>
        <x:v>6.510711382723671</x:v>
      </x:c>
      <x:c r="U1131" s="9" t="n">
        <x:f>H1131*AA1130*INDEX(v01_MortElder,G1131)/4*Q1131</x:f>
        <x:v>14.751111786996443</x:v>
      </x:c>
      <x:c r="V1131" s="9" t="n">
        <x:f>H1131*MAX(0,AB1130-O1131)*v01_OvercapLoss</x:f>
        <x:v>0</x:v>
      </x:c>
      <x:c r="W1131" s="9" t="n">
        <x:f>H1131*Y1130/(v01_ChildYears*4)</x:f>
        <x:v>49.844136072219285</x:v>
      </x:c>
      <x:c r="X1131" s="9" t="n">
        <x:f>H1131*Z1130/(v01_AdultYears*4)</x:f>
        <x:v>23.33588309219954</x:v>
      </x:c>
      <x:c r="Y1131" s="32" t="n">
        <x:f>Y1130+R1131-S1131-W1131-Y1130*V1131/AB1130</x:f>
        <x:v>2816.708031684591</x:v>
      </x:c>
      <x:c r="Z1131" s="32" t="n">
        <x:f>Z1130+W1131-X1131-T1131-Z1130*V1131/AB1130</x:f>
        <x:v>2913.6470450300394</x:v>
      </x:c>
      <x:c r="AA1131" s="32" t="n">
        <x:f>AA1130+X1131-U1131-AA1130*V1131/AB1130</x:f>
        <x:v>1081.3929012685808</x:v>
      </x:c>
      <x:c r="AB1131" s="10" t="n">
        <x:f>Y1131+Z1131+AA1131</x:f>
        <x:v>6811.74797798321</x:v>
      </x:c>
      <x:c r="AC1131" s="8" t="n">
        <x:f>IF(AND(v01_WinterTrigger=1,D1131=1,AB1130/AE1130&gt;=K1131),1,0)</x:f>
        <x:v>0</x:v>
      </x:c>
      <x:c r="AD1131" s="8" t="n">
        <x:f>H1131*IF(AND(OR(AB1130/AE1130&gt;=v01_FissionTrigger*N1131,AC1131=1),AB1130/AE1130*v01_DaughterShare&gt;=v01_MinDaughter),MAX(1,ROUND(AE1130*v01_FissionRate,0)),0)</x:f>
        <x:v>0</x:v>
      </x:c>
      <x:c r="AE1131" s="8" t="n">
        <x:f>IF(H1131=1,MAX(1,MIN(INDEX(v01_Smax,G1131),AE1130+AD1131)),AE1130)</x:f>
        <x:v>16</x:v>
      </x:c>
      <x:c r="AF1131" s="8" t="n">
        <x:f>MAX(0,AE1131-AE1130)</x:f>
        <x:v>0</x:v>
      </x:c>
      <x:c r="AG1131" s="9" t="str">
        <x:f>IF(AF1131&gt;0,B1131,"")</x:f>
      </x:c>
      <x:c r="AH1131" s="9" t="n">
        <x:f>IF(F1131&gt;=1,1,(1+v01_LowTiesShare*(AE1131-1))/AE1131)</x:f>
        <x:v>1</x:v>
      </x:c>
      <x:c r="AI1131" s="32" t="n">
        <x:f>(Z1131+v01_ElderCommons*INDEX(LM_Elder,G1131)*AA1131)*AH1131</x:f>
        <x:v>6968.870424787217</x:v>
      </x:c>
      <x:c r="AJ1131" s="32" t="n">
        <x:f>H1131*v01_CommonsCoef*AI1131^v01_CommonsExp*INDEX(LM_Commons,G1131)</x:f>
        <x:v>1613.279923027421</x:v>
      </x:c>
      <x:c r="AK1131" s="32" t="n">
        <x:f>H1131*v01_RoleScale*Arch_Roles*(AE1131*(INDEX(v01_ElderRolePerSett,G1131)*v01_OutElder*INDEX(LM_Elder,G1131)+INDEX(v01_ShamanPerSett,G1131)*v01_OutShaman)+Z1131*(INDEX(v01_PriestShare,G1131)*v01_OutPriest+INDEX(v01_ScribeShare,G1131)*v01_OutScribe*INDEX(LM_Scribe,G1131)+INDEX(v01_ScholarShare,G1131)*v01_OutScholar*INDEX(LM_Scholar,G1131)+INDEX(v01_ResearcherShare,G1131)*v01_OutResearcher*INDEX(LM_Researcher,G1131)))</x:f>
        <x:v>421.41089237828794</x:v>
      </x:c>
      <x:c r="AL1131" s="32" t="n">
        <x:f>H1131*v01_RoleScale*Arch_Roles*AE1131*INDEX(v01_MonasteryPerSett,G1131)*v01_OutMonastery*INDEX(LM_Monastery,G1131)</x:f>
        <x:v>10.56</x:v>
      </x:c>
      <x:c r="AM1131" s="32" t="n">
        <x:f>(AJ1131+AK1131+AL1131)/4*INDEX(LM_All,G1131)*INDEX(v01_Boon,G1131)*Arch_Insight</x:f>
        <x:v>934.6157259497588</x:v>
      </x:c>
      <x:c r="AN1131" s="32" t="n">
        <x:f>H1131*(v01_KHPerAdult*Z1131+v01_KHOfCommons*AJ1131/4*INDEX(LM_All,G1131))*v01_KHUsable*Arch_KH</x:f>
        <x:v>101.97764657605138</x:v>
      </x:c>
      <x:c r="AO1131" s="32" t="n">
        <x:f>MIN(AP1130+AN1131,AM1131*v01_KHMaxRatio)</x:f>
        <x:v>101.97764657605138</x:v>
      </x:c>
      <x:c r="AP1131" s="32" t="n">
        <x:f>AP1130+AN1131-AO1131</x:f>
        <x:v>0</x:v>
      </x:c>
      <x:c r="AQ1131" s="32" t="n">
        <x:f>AM1131+AO1131</x:f>
        <x:v>1036.5933725258103</x:v>
      </x:c>
      <x:c r="AR1131" s="10" t="n">
        <x:f>IF(H1131=1,INDEX(v01_Req,G1131),0)</x:f>
        <x:v>113395.942036</x:v>
      </x:c>
      <x:c r="AS1131" s="32" t="n">
        <x:f>IF(H1131=1,IF(E1131=1,AS1130-AR1130,AS1130)+AQ1131,0)</x:f>
        <x:v>10587.439775758192</x:v>
      </x:c>
      <x:c r="AT1131" s="11" t="n">
        <x:f>IF(AR1131&gt;0,MIN(1,AS1131/AR1131),1)</x:f>
        <x:v>0.09336700754597532</x:v>
      </x:c>
      <x:c r="AU1131" s="10" t="n">
        <x:f>AB1131/INDEX(v01_RepScale,G1131)</x:f>
        <x:v>136.2349595596642</x:v>
      </x:c>
      <x:c r="AV1131" s="32" t="n">
        <x:f>AM1131*60/v01_SeasonSeconds</x:f>
        <x:v>3738.4629037990353</x:v>
      </x:c>
    </x:row>
    <x:row r="1132">
      <x:c r="A1132" s="8" t="n">
        <x:f>A1131+1</x:f>
        <x:v>1129</x:v>
      </x:c>
      <x:c r="B1132" s="9" t="n">
        <x:f>A1132*v01_SeasonSeconds/60</x:f>
        <x:v>282.25</x:v>
      </x:c>
      <x:c r="C1132" s="9" t="n">
        <x:f>A1132/4</x:f>
        <x:v>282.25</x:v>
      </x:c>
      <x:c r="D1132" s="8" t="n">
        <x:f>IF(MOD(A1132,4)=0,1,0)</x:f>
        <x:v>0</x:v>
      </x:c>
      <x:c r="E1132" s="8" t="n">
        <x:f>IF(AND(F1131&lt;=9,AS1131&gt;=AR1131),1,0)</x:f>
        <x:v>0</x:v>
      </x:c>
      <x:c r="F1132" s="8" t="n">
        <x:f>MIN(10,F1131+E1132)</x:f>
        <x:v>6</x:v>
      </x:c>
      <x:c r="G1132" s="8" t="n">
        <x:f>MIN(F1132,9)+1</x:f>
        <x:v>7</x:v>
      </x:c>
      <x:c r="H1132" s="8" t="n">
        <x:f>IF(F1132&lt;=9,1,0)</x:f>
        <x:v>1</x:v>
      </x:c>
      <x:c r="I1132" s="9" t="n">
        <x:f>MIN(10,F1131+IF(AR1131&gt;0,MIN(1,AS1131/AR1131),1))</x:f>
        <x:v>6.093367007545975</x:v>
      </x:c>
      <x:c r="J1132" s="32" t="n">
        <x:f>INDEX(v01_FoodCap,G1132)*Arch_FoodCap*EXP(v01_CapsByProject*SUMPRODUCT((Cap_Point&lt;=I1132)*(Cap_Kind="Food")*Cap_Ln))</x:f>
        <x:v>1000</x:v>
      </x:c>
      <x:c r="K1132" s="32" t="n">
        <x:f>J1132*MIN(1,v01_LeanBase*EXP(v01_CapsByProject*SUMPRODUCT((Cap_Point&lt;=I1132)*(Cap_Kind="Lean")*Cap_Ln)))</x:f>
        <x:v>1000</x:v>
      </x:c>
      <x:c r="L1132" s="10" t="n">
        <x:f>INDEX(v01_HousingCap,G1132)*EXP(v01_CapsByProject*SUMPRODUCT((Cap_Point&lt;=I1132)*(Cap_Kind="Housing")*Cap_Ln))</x:f>
        <x:v>1600</x:v>
      </x:c>
      <x:c r="M1132" s="10" t="n">
        <x:f>INDEX(v01_GroupCap,G1132)*v01_CohesionFactor*EXP(v01_CapsByProject*SUMPRODUCT((Cap_Point&lt;=I1132)*(Cap_Kind="Group")*Cap_Ln))</x:f>
        <x:v>1000000</x:v>
      </x:c>
      <x:c r="N1132" s="32" t="n">
        <x:f>MIN(J1132,L1132,M1132)</x:f>
        <x:v>1000</x:v>
      </x:c>
      <x:c r="O1132" s="10" t="n">
        <x:f>AE1131*N1132</x:f>
        <x:v>16000</x:v>
      </x:c>
      <x:c r="P1132" s="9" t="n">
        <x:f>MIN(1,(AB1131/(AE1131*IF(v01_GroupInCrowding=1,N1132,MIN(J1132,L1132))))^v01_CrowdingExp)</x:f>
        <x:v>0.005954311253538382</x:v>
      </x:c>
      <x:c r="Q1132" s="9" t="n">
        <x:f>IF(D1132=1,INDEX(v01_WinterMult,G1132),1)</x:f>
        <x:v>1</x:v>
      </x:c>
      <x:c r="R1132" s="9" t="n">
        <x:f>H1132*Z1131*v01_WomenShare*v01_BaseFertility*INDEX(v01_FertMult,G1132)*Arch_Fertility*(1-P1132)</x:f>
        <x:v>91.23339593469082</x:v>
      </x:c>
      <x:c r="S1132" s="9" t="n">
        <x:f>H1132*Y1131*INDEX(v01_MortChild,G1132)/4*Q1132</x:f>
        <x:v>15.49189417426525</x:v>
      </x:c>
      <x:c r="T1132" s="9" t="n">
        <x:f>H1132*Z1131*INDEX(v01_MortAdult,G1132)*Arch_AdultMort/4*Q1132</x:f>
        <x:v>6.5557058513175885</x:v>
      </x:c>
      <x:c r="U1132" s="9" t="n">
        <x:f>H1132*AA1131*INDEX(v01_MortElder,G1132)/4*Q1132</x:f>
        <x:v>14.869152392442986</x:v>
      </x:c>
      <x:c r="V1132" s="9" t="n">
        <x:f>H1132*MAX(0,AB1131-O1132)*v01_OvercapLoss</x:f>
        <x:v>0</x:v>
      </x:c>
      <x:c r="W1132" s="9" t="n">
        <x:f>H1132*Y1131/(v01_ChildYears*4)</x:f>
        <x:v>50.298357708653405</x:v>
      </x:c>
      <x:c r="X1132" s="9" t="n">
        <x:f>H1132*Z1131/(v01_AdultYears*4)</x:f>
        <x:v>23.49715358895193</x:v>
      </x:c>
      <x:c r="Y1132" s="32" t="n">
        <x:f>Y1131+R1132-S1132-W1132-Y1131*V1132/AB1131</x:f>
        <x:v>2842.151175736363</x:v>
      </x:c>
      <x:c r="Z1132" s="32" t="n">
        <x:f>Z1131+W1132-X1132-T1132-Z1131*V1132/AB1131</x:f>
        <x:v>2933.8925432984233</x:v>
      </x:c>
      <x:c r="AA1132" s="32" t="n">
        <x:f>AA1131+X1132-U1132-AA1131*V1132/AB1131</x:f>
        <x:v>1090.0209024650896</x:v>
      </x:c>
      <x:c r="AB1132" s="10" t="n">
        <x:f>Y1132+Z1132+AA1132</x:f>
        <x:v>6866.064621499875</x:v>
      </x:c>
      <x:c r="AC1132" s="8" t="n">
        <x:f>IF(AND(v01_WinterTrigger=1,D1132=1,AB1131/AE1131&gt;=K1132),1,0)</x:f>
        <x:v>0</x:v>
      </x:c>
      <x:c r="AD1132" s="8" t="n">
        <x:f>H1132*IF(AND(OR(AB1131/AE1131&gt;=v01_FissionTrigger*N1132,AC1132=1),AB1131/AE1131*v01_DaughterShare&gt;=v01_MinDaughter),MAX(1,ROUND(AE1131*v01_FissionRate,0)),0)</x:f>
        <x:v>0</x:v>
      </x:c>
      <x:c r="AE1132" s="8" t="n">
        <x:f>IF(H1132=1,MAX(1,MIN(INDEX(v01_Smax,G1132),AE1131+AD1132)),AE1131)</x:f>
        <x:v>16</x:v>
      </x:c>
      <x:c r="AF1132" s="8" t="n">
        <x:f>MAX(0,AE1132-AE1131)</x:f>
        <x:v>0</x:v>
      </x:c>
      <x:c r="AG1132" s="9" t="str">
        <x:f>IF(AF1132&gt;0,B1132,"")</x:f>
      </x:c>
      <x:c r="AH1132" s="9" t="n">
        <x:f>IF(F1132&gt;=1,1,(1+v01_LowTiesShare*(AE1132-1))/AE1132)</x:f>
        <x:v>1</x:v>
      </x:c>
      <x:c r="AI1132" s="32" t="n">
        <x:f>(Z1132+v01_ElderCommons*INDEX(LM_Elder,G1132)*AA1132)*AH1132</x:f>
        <x:v>7021.470927542509</x:v>
      </x:c>
      <x:c r="AJ1132" s="32" t="n">
        <x:f>H1132*v01_CommonsCoef*AI1132^v01_CommonsExp*INDEX(LM_Commons,G1132)</x:f>
        <x:v>1623.624457424923</x:v>
      </x:c>
      <x:c r="AK1132" s="32" t="n">
        <x:f>H1132*v01_RoleScale*Arch_Roles*(AE1132*(INDEX(v01_ElderRolePerSett,G1132)*v01_OutElder*INDEX(LM_Elder,G1132)+INDEX(v01_ShamanPerSett,G1132)*v01_OutShaman)+Z1132*(INDEX(v01_PriestShare,G1132)*v01_OutPriest+INDEX(v01_ScribeShare,G1132)*v01_OutScribe*INDEX(LM_Scribe,G1132)+INDEX(v01_ScholarShare,G1132)*v01_OutScholar*INDEX(LM_Scholar,G1132)+INDEX(v01_ResearcherShare,G1132)*v01_OutResearcher*INDEX(LM_Researcher,G1132)))</x:f>
        <x:v>423.96384970993114</x:v>
      </x:c>
      <x:c r="AL1132" s="32" t="n">
        <x:f>H1132*v01_RoleScale*Arch_Roles*AE1132*INDEX(v01_MonasteryPerSett,G1132)*v01_OutMonastery*INDEX(LM_Monastery,G1132)</x:f>
        <x:v>10.56</x:v>
      </x:c>
      <x:c r="AM1132" s="32" t="n">
        <x:f>(AJ1132+AK1132+AL1132)/4*INDEX(LM_All,G1132)*INDEX(v01_Boon,G1132)*Arch_Insight</x:f>
        <x:v>940.5094767330703</x:v>
      </x:c>
      <x:c r="AN1132" s="32" t="n">
        <x:f>H1132*(v01_KHPerAdult*Z1132+v01_KHOfCommons*AJ1132/4*INDEX(LM_All,G1132))*v01_KHUsable*Arch_KH</x:f>
        <x:v>102.68623901544481</x:v>
      </x:c>
      <x:c r="AO1132" s="32" t="n">
        <x:f>MIN(AP1131+AN1132,AM1132*v01_KHMaxRatio)</x:f>
        <x:v>102.68623901544481</x:v>
      </x:c>
      <x:c r="AP1132" s="32" t="n">
        <x:f>AP1131+AN1132-AO1132</x:f>
        <x:v>0</x:v>
      </x:c>
      <x:c r="AQ1132" s="32" t="n">
        <x:f>AM1132+AO1132</x:f>
        <x:v>1043.195715748515</x:v>
      </x:c>
      <x:c r="AR1132" s="10" t="n">
        <x:f>IF(H1132=1,INDEX(v01_Req,G1132),0)</x:f>
        <x:v>113395.942036</x:v>
      </x:c>
      <x:c r="AS1132" s="32" t="n">
        <x:f>IF(H1132=1,IF(E1132=1,AS1131-AR1131,AS1131)+AQ1132,0)</x:f>
        <x:v>11630.635491506708</x:v>
      </x:c>
      <x:c r="AT1132" s="11" t="n">
        <x:f>IF(AR1132&gt;0,MIN(1,AS1132/AR1132),1)</x:f>
        <x:v>0.10256659350132927</x:v>
      </x:c>
      <x:c r="AU1132" s="10" t="n">
        <x:f>AB1132/INDEX(v01_RepScale,G1132)</x:f>
        <x:v>137.3212924299975</x:v>
      </x:c>
      <x:c r="AV1132" s="32" t="n">
        <x:f>AM1132*60/v01_SeasonSeconds</x:f>
        <x:v>3762.037906932281</x:v>
      </x:c>
    </x:row>
    <x:row r="1133">
      <x:c r="A1133" s="8" t="n">
        <x:f>A1132+1</x:f>
        <x:v>1130</x:v>
      </x:c>
      <x:c r="B1133" s="9" t="n">
        <x:f>A1133*v01_SeasonSeconds/60</x:f>
        <x:v>282.5</x:v>
      </x:c>
      <x:c r="C1133" s="9" t="n">
        <x:f>A1133/4</x:f>
        <x:v>282.5</x:v>
      </x:c>
      <x:c r="D1133" s="8" t="n">
        <x:f>IF(MOD(A1133,4)=0,1,0)</x:f>
        <x:v>0</x:v>
      </x:c>
      <x:c r="E1133" s="8" t="n">
        <x:f>IF(AND(F1132&lt;=9,AS1132&gt;=AR1132),1,0)</x:f>
        <x:v>0</x:v>
      </x:c>
      <x:c r="F1133" s="8" t="n">
        <x:f>MIN(10,F1132+E1133)</x:f>
        <x:v>6</x:v>
      </x:c>
      <x:c r="G1133" s="8" t="n">
        <x:f>MIN(F1133,9)+1</x:f>
        <x:v>7</x:v>
      </x:c>
      <x:c r="H1133" s="8" t="n">
        <x:f>IF(F1133&lt;=9,1,0)</x:f>
        <x:v>1</x:v>
      </x:c>
      <x:c r="I1133" s="9" t="n">
        <x:f>MIN(10,F1132+IF(AR1132&gt;0,MIN(1,AS1132/AR1132),1))</x:f>
        <x:v>6.102566593501329</x:v>
      </x:c>
      <x:c r="J1133" s="32" t="n">
        <x:f>INDEX(v01_FoodCap,G1133)*Arch_FoodCap*EXP(v01_CapsByProject*SUMPRODUCT((Cap_Point&lt;=I1133)*(Cap_Kind="Food")*Cap_Ln))</x:f>
        <x:v>1000</x:v>
      </x:c>
      <x:c r="K1133" s="32" t="n">
        <x:f>J1133*MIN(1,v01_LeanBase*EXP(v01_CapsByProject*SUMPRODUCT((Cap_Point&lt;=I1133)*(Cap_Kind="Lean")*Cap_Ln)))</x:f>
        <x:v>1000</x:v>
      </x:c>
      <x:c r="L1133" s="10" t="n">
        <x:f>INDEX(v01_HousingCap,G1133)*EXP(v01_CapsByProject*SUMPRODUCT((Cap_Point&lt;=I1133)*(Cap_Kind="Housing")*Cap_Ln))</x:f>
        <x:v>1600</x:v>
      </x:c>
      <x:c r="M1133" s="10" t="n">
        <x:f>INDEX(v01_GroupCap,G1133)*v01_CohesionFactor*EXP(v01_CapsByProject*SUMPRODUCT((Cap_Point&lt;=I1133)*(Cap_Kind="Group")*Cap_Ln))</x:f>
        <x:v>1000000</x:v>
      </x:c>
      <x:c r="N1133" s="32" t="n">
        <x:f>MIN(J1133,L1133,M1133)</x:f>
        <x:v>1000</x:v>
      </x:c>
      <x:c r="O1133" s="10" t="n">
        <x:f>AE1132*N1133</x:f>
        <x:v>16000</x:v>
      </x:c>
      <x:c r="P1133" s="9" t="n">
        <x:f>MIN(1,(AB1132/(AE1132*IF(v01_GroupInCrowding=1,N1133,MIN(J1133,L1133))))^v01_CrowdingExp)</x:f>
        <x:v>0.006244927825603242</x:v>
      </x:c>
      <x:c r="Q1133" s="9" t="n">
        <x:f>IF(D1133=1,INDEX(v01_WinterMult,G1133),1)</x:f>
        <x:v>1</x:v>
      </x:c>
      <x:c r="R1133" s="9" t="n">
        <x:f>H1133*Z1132*v01_WomenShare*v01_BaseFertility*INDEX(v01_FertMult,G1133)*Arch_Fertility*(1-P1133)</x:f>
        <x:v>91.84047377769964</x:v>
      </x:c>
      <x:c r="S1133" s="9" t="n">
        <x:f>H1133*Y1132*INDEX(v01_MortChild,G1133)/4*Q1133</x:f>
        <x:v>15.631831466549995</x:v>
      </x:c>
      <x:c r="T1133" s="9" t="n">
        <x:f>H1133*Z1132*INDEX(v01_MortAdult,G1133)*Arch_AdultMort/4*Q1133</x:f>
        <x:v>6.601258222421452</x:v>
      </x:c>
      <x:c r="U1133" s="9" t="n">
        <x:f>H1133*AA1132*INDEX(v01_MortElder,G1133)/4*Q1133</x:f>
        <x:v>14.987787408894983</x:v>
      </x:c>
      <x:c r="V1133" s="9" t="n">
        <x:f>H1133*MAX(0,AB1132-O1133)*v01_OvercapLoss</x:f>
        <x:v>0</x:v>
      </x:c>
      <x:c r="W1133" s="9" t="n">
        <x:f>H1133*Y1132/(v01_ChildYears*4)</x:f>
        <x:v>50.752699566720764</x:v>
      </x:c>
      <x:c r="X1133" s="9" t="n">
        <x:f>H1133*Z1132/(v01_AdultYears*4)</x:f>
        <x:v>23.660423736277608</x:v>
      </x:c>
      <x:c r="Y1133" s="32" t="n">
        <x:f>Y1132+R1133-S1133-W1133-Y1132*V1133/AB1132</x:f>
        <x:v>2867.6071184807915</x:v>
      </x:c>
      <x:c r="Z1133" s="32" t="n">
        <x:f>Z1132+W1133-X1133-T1133-Z1132*V1133/AB1132</x:f>
        <x:v>2954.383560906445</x:v>
      </x:c>
      <x:c r="AA1133" s="32" t="n">
        <x:f>AA1132+X1133-U1133-AA1132*V1133/AB1132</x:f>
        <x:v>1098.6935387924723</x:v>
      </x:c>
      <x:c r="AB1133" s="10" t="n">
        <x:f>Y1133+Z1133+AA1133</x:f>
        <x:v>6920.684218179708</x:v>
      </x:c>
      <x:c r="AC1133" s="8" t="n">
        <x:f>IF(AND(v01_WinterTrigger=1,D1133=1,AB1132/AE1132&gt;=K1133),1,0)</x:f>
        <x:v>0</x:v>
      </x:c>
      <x:c r="AD1133" s="8" t="n">
        <x:f>H1133*IF(AND(OR(AB1132/AE1132&gt;=v01_FissionTrigger*N1133,AC1133=1),AB1132/AE1132*v01_DaughterShare&gt;=v01_MinDaughter),MAX(1,ROUND(AE1132*v01_FissionRate,0)),0)</x:f>
        <x:v>0</x:v>
      </x:c>
      <x:c r="AE1133" s="8" t="n">
        <x:f>IF(H1133=1,MAX(1,MIN(INDEX(v01_Smax,G1133),AE1132+AD1133)),AE1132)</x:f>
        <x:v>16</x:v>
      </x:c>
      <x:c r="AF1133" s="8" t="n">
        <x:f>MAX(0,AE1133-AE1132)</x:f>
        <x:v>0</x:v>
      </x:c>
      <x:c r="AG1133" s="9" t="str">
        <x:f>IF(AF1133&gt;0,B1133,"")</x:f>
      </x:c>
      <x:c r="AH1133" s="9" t="n">
        <x:f>IF(F1133&gt;=1,1,(1+v01_LowTiesShare*(AE1133-1))/AE1133)</x:f>
        <x:v>1</x:v>
      </x:c>
      <x:c r="AI1133" s="32" t="n">
        <x:f>(Z1133+v01_ElderCommons*INDEX(LM_Elder,G1133)*AA1133)*AH1133</x:f>
        <x:v>7074.484331378217</x:v>
      </x:c>
      <x:c r="AJ1133" s="32" t="n">
        <x:f>H1133*v01_CommonsCoef*AI1133^v01_CommonsExp*INDEX(LM_Commons,G1133)</x:f>
        <x:v>1634.038439184748</x:v>
      </x:c>
      <x:c r="AK1133" s="32" t="n">
        <x:f>H1133*v01_RoleScale*Arch_Roles*(AE1133*(INDEX(v01_ElderRolePerSett,G1133)*v01_OutElder*INDEX(LM_Elder,G1133)+INDEX(v01_ShamanPerSett,G1133)*v01_OutShaman)+Z1133*(INDEX(v01_PriestShare,G1133)*v01_OutPriest+INDEX(v01_ScribeShare,G1133)*v01_OutScribe*INDEX(LM_Scribe,G1133)+INDEX(v01_ScholarShare,G1133)*v01_OutScholar*INDEX(LM_Scholar,G1133)+INDEX(v01_ResearcherShare,G1133)*v01_OutResearcher*INDEX(LM_Researcher,G1133)))</x:f>
        <x:v>426.5477670303027</x:v>
      </x:c>
      <x:c r="AL1133" s="32" t="n">
        <x:f>H1133*v01_RoleScale*Arch_Roles*AE1133*INDEX(v01_MonasteryPerSett,G1133)*v01_OutMonastery*INDEX(LM_Monastery,G1133)</x:f>
        <x:v>10.56</x:v>
      </x:c>
      <x:c r="AM1133" s="32" t="n">
        <x:f>(AJ1133+AK1133+AL1133)/4*INDEX(LM_All,G1133)*INDEX(v01_Boon,G1133)*Arch_Insight</x:f>
        <x:v>946.4491105389368</x:v>
      </x:c>
      <x:c r="AN1133" s="32" t="n">
        <x:f>H1133*(v01_KHPerAdult*Z1133+v01_KHOfCommons*AJ1133/4*INDEX(LM_All,G1133))*v01_KHUsable*Arch_KH</x:f>
        <x:v>103.40342463172557</x:v>
      </x:c>
      <x:c r="AO1133" s="32" t="n">
        <x:f>MIN(AP1132+AN1133,AM1133*v01_KHMaxRatio)</x:f>
        <x:v>103.40342463172557</x:v>
      </x:c>
      <x:c r="AP1133" s="32" t="n">
        <x:f>AP1132+AN1133-AO1133</x:f>
        <x:v>0</x:v>
      </x:c>
      <x:c r="AQ1133" s="32" t="n">
        <x:f>AM1133+AO1133</x:f>
        <x:v>1049.8525351706623</x:v>
      </x:c>
      <x:c r="AR1133" s="10" t="n">
        <x:f>IF(H1133=1,INDEX(v01_Req,G1133),0)</x:f>
        <x:v>113395.942036</x:v>
      </x:c>
      <x:c r="AS1133" s="32" t="n">
        <x:f>IF(H1133=1,IF(E1133=1,AS1132-AR1132,AS1132)+AQ1133,0)</x:f>
        <x:v>12680.48802667737</x:v>
      </x:c>
      <x:c r="AT1133" s="11" t="n">
        <x:f>IF(AR1133&gt;0,MIN(1,AS1133/AR1133),1)</x:f>
        <x:v>0.11182488366869138</x:v>
      </x:c>
      <x:c r="AU1133" s="10" t="n">
        <x:f>AB1133/INDEX(v01_RepScale,G1133)</x:f>
        <x:v>138.41368436359417</x:v>
      </x:c>
      <x:c r="AV1133" s="32" t="n">
        <x:f>AM1133*60/v01_SeasonSeconds</x:f>
        <x:v>3785.796442155747</x:v>
      </x:c>
    </x:row>
    <x:row r="1134">
      <x:c r="A1134" s="8" t="n">
        <x:f>A1133+1</x:f>
        <x:v>1131</x:v>
      </x:c>
      <x:c r="B1134" s="9" t="n">
        <x:f>A1134*v01_SeasonSeconds/60</x:f>
        <x:v>282.75</x:v>
      </x:c>
      <x:c r="C1134" s="9" t="n">
        <x:f>A1134/4</x:f>
        <x:v>282.75</x:v>
      </x:c>
      <x:c r="D1134" s="8" t="n">
        <x:f>IF(MOD(A1134,4)=0,1,0)</x:f>
        <x:v>0</x:v>
      </x:c>
      <x:c r="E1134" s="8" t="n">
        <x:f>IF(AND(F1133&lt;=9,AS1133&gt;=AR1133),1,0)</x:f>
        <x:v>0</x:v>
      </x:c>
      <x:c r="F1134" s="8" t="n">
        <x:f>MIN(10,F1133+E1134)</x:f>
        <x:v>6</x:v>
      </x:c>
      <x:c r="G1134" s="8" t="n">
        <x:f>MIN(F1134,9)+1</x:f>
        <x:v>7</x:v>
      </x:c>
      <x:c r="H1134" s="8" t="n">
        <x:f>IF(F1134&lt;=9,1,0)</x:f>
        <x:v>1</x:v>
      </x:c>
      <x:c r="I1134" s="9" t="n">
        <x:f>MIN(10,F1133+IF(AR1133&gt;0,MIN(1,AS1133/AR1133),1))</x:f>
        <x:v>6.1118248836686915</x:v>
      </x:c>
      <x:c r="J1134" s="32" t="n">
        <x:f>INDEX(v01_FoodCap,G1134)*Arch_FoodCap*EXP(v01_CapsByProject*SUMPRODUCT((Cap_Point&lt;=I1134)*(Cap_Kind="Food")*Cap_Ln))</x:f>
        <x:v>1000</x:v>
      </x:c>
      <x:c r="K1134" s="32" t="n">
        <x:f>J1134*MIN(1,v01_LeanBase*EXP(v01_CapsByProject*SUMPRODUCT((Cap_Point&lt;=I1134)*(Cap_Kind="Lean")*Cap_Ln)))</x:f>
        <x:v>1000</x:v>
      </x:c>
      <x:c r="L1134" s="10" t="n">
        <x:f>INDEX(v01_HousingCap,G1134)*EXP(v01_CapsByProject*SUMPRODUCT((Cap_Point&lt;=I1134)*(Cap_Kind="Housing")*Cap_Ln))</x:f>
        <x:v>1600</x:v>
      </x:c>
      <x:c r="M1134" s="10" t="n">
        <x:f>INDEX(v01_GroupCap,G1134)*v01_CohesionFactor*EXP(v01_CapsByProject*SUMPRODUCT((Cap_Point&lt;=I1134)*(Cap_Kind="Group")*Cap_Ln))</x:f>
        <x:v>1000000</x:v>
      </x:c>
      <x:c r="N1134" s="32" t="n">
        <x:f>MIN(J1134,L1134,M1134)</x:f>
        <x:v>1000</x:v>
      </x:c>
      <x:c r="O1134" s="10" t="n">
        <x:f>AE1133*N1134</x:f>
        <x:v>16000</x:v>
      </x:c>
      <x:c r="P1134" s="9" t="n">
        <x:f>MIN(1,(AB1133/(AE1133*IF(v01_GroupInCrowding=1,N1134,MIN(J1134,L1134))))^v01_CrowdingExp)</x:f>
        <x:v>0.006548989655959848</x:v>
      </x:c>
      <x:c r="Q1134" s="9" t="n">
        <x:f>IF(D1134=1,INDEX(v01_WinterMult,G1134),1)</x:f>
        <x:v>1</x:v>
      </x:c>
      <x:c r="R1134" s="9" t="n">
        <x:f>H1134*Z1133*v01_WomenShare*v01_BaseFertility*INDEX(v01_FertMult,G1134)*Arch_Fertility*(1-P1134)</x:f>
        <x:v>92.45361300607942</x:v>
      </x:c>
      <x:c r="S1134" s="9" t="n">
        <x:f>H1134*Y1133*INDEX(v01_MortChild,G1134)/4*Q1134</x:f>
        <x:v>15.771839151644352</x:v>
      </x:c>
      <x:c r="T1134" s="9" t="n">
        <x:f>H1134*Z1133*INDEX(v01_MortAdult,G1134)*Arch_AdultMort/4*Q1134</x:f>
        <x:v>6.6473630120395</x:v>
      </x:c>
      <x:c r="U1134" s="9" t="n">
        <x:f>H1134*AA1133*INDEX(v01_MortElder,G1134)/4*Q1134</x:f>
        <x:v>15.107036158396493</x:v>
      </x:c>
      <x:c r="V1134" s="9" t="n">
        <x:f>H1134*MAX(0,AB1133-O1134)*v01_OvercapLoss</x:f>
        <x:v>0</x:v>
      </x:c>
      <x:c r="W1134" s="9" t="n">
        <x:f>H1134*Y1133/(v01_ChildYears*4)</x:f>
        <x:v>51.20726997287128</x:v>
      </x:c>
      <x:c r="X1134" s="9" t="n">
        <x:f>H1134*Z1133/(v01_AdultYears*4)</x:f>
        <x:v>23.825673878277783</x:v>
      </x:c>
      <x:c r="Y1134" s="32" t="n">
        <x:f>Y1133+R1134-S1134-W1134-Y1133*V1134/AB1133</x:f>
        <x:v>2893.0816223623556</x:v>
      </x:c>
      <x:c r="Z1134" s="32" t="n">
        <x:f>Z1133+W1134-X1134-T1134-Z1133*V1134/AB1133</x:f>
        <x:v>2975.117793988999</x:v>
      </x:c>
      <x:c r="AA1134" s="32" t="n">
        <x:f>AA1133+X1134-U1134-AA1133*V1134/AB1133</x:f>
        <x:v>1107.4121765123534</x:v>
      </x:c>
      <x:c r="AB1134" s="10" t="n">
        <x:f>Y1134+Z1134+AA1134</x:f>
        <x:v>6975.611592863708</x:v>
      </x:c>
      <x:c r="AC1134" s="8" t="n">
        <x:f>IF(AND(v01_WinterTrigger=1,D1134=1,AB1133/AE1133&gt;=K1134),1,0)</x:f>
        <x:v>0</x:v>
      </x:c>
      <x:c r="AD1134" s="8" t="n">
        <x:f>H1134*IF(AND(OR(AB1133/AE1133&gt;=v01_FissionTrigger*N1134,AC1134=1),AB1133/AE1133*v01_DaughterShare&gt;=v01_MinDaughter),MAX(1,ROUND(AE1133*v01_FissionRate,0)),0)</x:f>
        <x:v>0</x:v>
      </x:c>
      <x:c r="AE1134" s="8" t="n">
        <x:f>IF(H1134=1,MAX(1,MIN(INDEX(v01_Smax,G1134),AE1133+AD1134)),AE1133)</x:f>
        <x:v>16</x:v>
      </x:c>
      <x:c r="AF1134" s="8" t="n">
        <x:f>MAX(0,AE1134-AE1133)</x:f>
        <x:v>0</x:v>
      </x:c>
      <x:c r="AG1134" s="9" t="str">
        <x:f>IF(AF1134&gt;0,B1134,"")</x:f>
      </x:c>
      <x:c r="AH1134" s="9" t="n">
        <x:f>IF(F1134&gt;=1,1,(1+v01_LowTiesShare*(AE1134-1))/AE1134)</x:f>
        <x:v>1</x:v>
      </x:c>
      <x:c r="AI1134" s="32" t="n">
        <x:f>(Z1134+v01_ElderCommons*INDEX(LM_Elder,G1134)*AA1134)*AH1134</x:f>
        <x:v>7127.913455910324</x:v>
      </x:c>
      <x:c r="AJ1134" s="32" t="n">
        <x:f>H1134*v01_CommonsCoef*AI1134^v01_CommonsExp*INDEX(LM_Commons,G1134)</x:f>
        <x:v>1644.5222483500338</x:v>
      </x:c>
      <x:c r="AK1134" s="32" t="n">
        <x:f>H1134*v01_RoleScale*Arch_Roles*(AE1134*(INDEX(v01_ElderRolePerSett,G1134)*v01_OutElder*INDEX(LM_Elder,G1134)+INDEX(v01_ShamanPerSett,G1134)*v01_OutShaman)+Z1134*(INDEX(v01_PriestShare,G1134)*v01_OutPriest+INDEX(v01_ScribeShare,G1134)*v01_OutScribe*INDEX(LM_Scribe,G1134)+INDEX(v01_ScholarShare,G1134)*v01_OutScholar*INDEX(LM_Scholar,G1134)+INDEX(v01_ResearcherShare,G1134)*v01_OutResearcher*INDEX(LM_Researcher,G1134)))</x:f>
        <x:v>429.16235382201273</x:v>
      </x:c>
      <x:c r="AL1134" s="32" t="n">
        <x:f>H1134*v01_RoleScale*Arch_Roles*AE1134*INDEX(v01_MonasteryPerSett,G1134)*v01_OutMonastery*INDEX(LM_Monastery,G1134)</x:f>
        <x:v>10.56</x:v>
      </x:c>
      <x:c r="AM1134" s="32" t="n">
        <x:f>(AJ1134+AK1134+AL1134)/4*INDEX(LM_All,G1134)*INDEX(v01_Boon,G1134)*Arch_Insight</x:f>
        <x:v>952.4346682778279</x:v>
      </x:c>
      <x:c r="AN1134" s="32" t="n">
        <x:f>H1134*(v01_KHPerAdult*Z1134+v01_KHOfCommons*AJ1134/4*INDEX(LM_All,G1134))*v01_KHUsable*Arch_KH</x:f>
        <x:v>104.12912278961497</x:v>
      </x:c>
      <x:c r="AO1134" s="32" t="n">
        <x:f>MIN(AP1133+AN1134,AM1134*v01_KHMaxRatio)</x:f>
        <x:v>104.12912278961497</x:v>
      </x:c>
      <x:c r="AP1134" s="32" t="n">
        <x:f>AP1133+AN1134-AO1134</x:f>
        <x:v>0</x:v>
      </x:c>
      <x:c r="AQ1134" s="32" t="n">
        <x:f>AM1134+AO1134</x:f>
        <x:v>1056.563791067443</x:v>
      </x:c>
      <x:c r="AR1134" s="10" t="n">
        <x:f>IF(H1134=1,INDEX(v01_Req,G1134),0)</x:f>
        <x:v>113395.942036</x:v>
      </x:c>
      <x:c r="AS1134" s="32" t="n">
        <x:f>IF(H1134=1,IF(E1134=1,AS1133-AR1133,AS1133)+AQ1134,0)</x:f>
        <x:v>13737.051817744814</x:v>
      </x:c>
      <x:c r="AT1134" s="11" t="n">
        <x:f>IF(AR1134&gt;0,MIN(1,AS1134/AR1134),1)</x:f>
        <x:v>0.1211423581046991</x:v>
      </x:c>
      <x:c r="AU1134" s="10" t="n">
        <x:f>AB1134/INDEX(v01_RepScale,G1134)</x:f>
        <x:v>139.51223185727417</x:v>
      </x:c>
      <x:c r="AV1134" s="32" t="n">
        <x:f>AM1134*60/v01_SeasonSeconds</x:f>
        <x:v>3809.7386731113115</x:v>
      </x:c>
    </x:row>
    <x:row r="1135">
      <x:c r="A1135" s="8" t="n">
        <x:f>A1134+1</x:f>
        <x:v>1132</x:v>
      </x:c>
      <x:c r="B1135" s="9" t="n">
        <x:f>A1135*v01_SeasonSeconds/60</x:f>
        <x:v>283</x:v>
      </x:c>
      <x:c r="C1135" s="9" t="n">
        <x:f>A1135/4</x:f>
        <x:v>283</x:v>
      </x:c>
      <x:c r="D1135" s="8" t="n">
        <x:f>IF(MOD(A1135,4)=0,1,0)</x:f>
        <x:v>1</x:v>
      </x:c>
      <x:c r="E1135" s="8" t="n">
        <x:f>IF(AND(F1134&lt;=9,AS1134&gt;=AR1134),1,0)</x:f>
        <x:v>0</x:v>
      </x:c>
      <x:c r="F1135" s="8" t="n">
        <x:f>MIN(10,F1134+E1135)</x:f>
        <x:v>6</x:v>
      </x:c>
      <x:c r="G1135" s="8" t="n">
        <x:f>MIN(F1135,9)+1</x:f>
        <x:v>7</x:v>
      </x:c>
      <x:c r="H1135" s="8" t="n">
        <x:f>IF(F1135&lt;=9,1,0)</x:f>
        <x:v>1</x:v>
      </x:c>
      <x:c r="I1135" s="9" t="n">
        <x:f>MIN(10,F1134+IF(AR1134&gt;0,MIN(1,AS1134/AR1134),1))</x:f>
        <x:v>6.1211423581046995</x:v>
      </x:c>
      <x:c r="J1135" s="32" t="n">
        <x:f>INDEX(v01_FoodCap,G1135)*Arch_FoodCap*EXP(v01_CapsByProject*SUMPRODUCT((Cap_Point&lt;=I1135)*(Cap_Kind="Food")*Cap_Ln))</x:f>
        <x:v>1000</x:v>
      </x:c>
      <x:c r="K1135" s="32" t="n">
        <x:f>J1135*MIN(1,v01_LeanBase*EXP(v01_CapsByProject*SUMPRODUCT((Cap_Point&lt;=I1135)*(Cap_Kind="Lean")*Cap_Ln)))</x:f>
        <x:v>1000</x:v>
      </x:c>
      <x:c r="L1135" s="10" t="n">
        <x:f>INDEX(v01_HousingCap,G1135)*EXP(v01_CapsByProject*SUMPRODUCT((Cap_Point&lt;=I1135)*(Cap_Kind="Housing")*Cap_Ln))</x:f>
        <x:v>1600</x:v>
      </x:c>
      <x:c r="M1135" s="10" t="n">
        <x:f>INDEX(v01_GroupCap,G1135)*v01_CohesionFactor*EXP(v01_CapsByProject*SUMPRODUCT((Cap_Point&lt;=I1135)*(Cap_Kind="Group")*Cap_Ln))</x:f>
        <x:v>1000000</x:v>
      </x:c>
      <x:c r="N1135" s="32" t="n">
        <x:f>MIN(J1135,L1135,M1135)</x:f>
        <x:v>1000</x:v>
      </x:c>
      <x:c r="O1135" s="10" t="n">
        <x:f>AE1134*N1135</x:f>
        <x:v>16000</x:v>
      </x:c>
      <x:c r="P1135" s="9" t="n">
        <x:f>MIN(1,(AB1134/(AE1134*IF(v01_GroupInCrowding=1,N1135,MIN(J1135,L1135))))^v01_CrowdingExp)</x:f>
        <x:v>0.006867107541315299</x:v>
      </x:c>
      <x:c r="Q1135" s="9" t="n">
        <x:f>IF(D1135=1,INDEX(v01_WinterMult,G1135),1)</x:f>
        <x:v>1</x:v>
      </x:c>
      <x:c r="R1135" s="9" t="n">
        <x:f>H1135*Z1134*v01_WomenShare*v01_BaseFertility*INDEX(v01_FertMult,G1135)*Arch_Fertility*(1-P1135)</x:f>
        <x:v>93.07265121471227</x:v>
      </x:c>
      <x:c r="S1135" s="9" t="n">
        <x:f>H1135*Y1134*INDEX(v01_MortChild,G1135)/4*Q1135</x:f>
        <x:v>15.911948922992956</x:v>
      </x:c>
      <x:c r="T1135" s="9" t="n">
        <x:f>H1135*Z1134*INDEX(v01_MortAdult,G1135)*Arch_AdultMort/4*Q1135</x:f>
        <x:v>6.694015036475247</x:v>
      </x:c>
      <x:c r="U1135" s="9" t="n">
        <x:f>H1135*AA1134*INDEX(v01_MortElder,G1135)/4*Q1135</x:f>
        <x:v>15.22691742704486</x:v>
      </x:c>
      <x:c r="V1135" s="9" t="n">
        <x:f>H1135*MAX(0,AB1134-O1135)*v01_OvercapLoss</x:f>
        <x:v>0</x:v>
      </x:c>
      <x:c r="W1135" s="9" t="n">
        <x:f>H1135*Y1134/(v01_ChildYears*4)</x:f>
        <x:v>51.66217182789921</x:v>
      </x:c>
      <x:c r="X1135" s="9" t="n">
        <x:f>H1135*Z1134/(v01_AdultYears*4)</x:f>
        <x:v>23.992885435395152</x:v>
      </x:c>
      <x:c r="Y1135" s="32" t="n">
        <x:f>Y1134+R1135-S1135-W1135-Y1134*V1135/AB1134</x:f>
        <x:v>2918.5801528261754</x:v>
      </x:c>
      <x:c r="Z1135" s="32" t="n">
        <x:f>Z1134+W1135-X1135-T1135-Z1134*V1135/AB1134</x:f>
        <x:v>2996.0930653450278</x:v>
      </x:c>
      <x:c r="AA1135" s="32" t="n">
        <x:f>AA1134+X1135-U1135-AA1134*V1135/AB1134</x:f>
        <x:v>1116.1781445207039</x:v>
      </x:c>
      <x:c r="AB1135" s="10" t="n">
        <x:f>Y1135+Z1135+AA1135</x:f>
        <x:v>7030.851362691907</x:v>
      </x:c>
      <x:c r="AC1135" s="8" t="n">
        <x:f>IF(AND(v01_WinterTrigger=1,D1135=1,AB1134/AE1134&gt;=K1135),1,0)</x:f>
        <x:v>0</x:v>
      </x:c>
      <x:c r="AD1135" s="8" t="n">
        <x:f>H1135*IF(AND(OR(AB1134/AE1134&gt;=v01_FissionTrigger*N1135,AC1135=1),AB1134/AE1134*v01_DaughterShare&gt;=v01_MinDaughter),MAX(1,ROUND(AE1134*v01_FissionRate,0)),0)</x:f>
        <x:v>0</x:v>
      </x:c>
      <x:c r="AE1135" s="8" t="n">
        <x:f>IF(H1135=1,MAX(1,MIN(INDEX(v01_Smax,G1135),AE1134+AD1135)),AE1134)</x:f>
        <x:v>16</x:v>
      </x:c>
      <x:c r="AF1135" s="8" t="n">
        <x:f>MAX(0,AE1135-AE1134)</x:f>
        <x:v>0</x:v>
      </x:c>
      <x:c r="AG1135" s="9" t="str">
        <x:f>IF(AF1135&gt;0,B1135,"")</x:f>
      </x:c>
      <x:c r="AH1135" s="9" t="n">
        <x:f>IF(F1135&gt;=1,1,(1+v01_LowTiesShare*(AE1135-1))/AE1135)</x:f>
        <x:v>1</x:v>
      </x:c>
      <x:c r="AI1135" s="32" t="n">
        <x:f>(Z1135+v01_ElderCommons*INDEX(LM_Elder,G1135)*AA1135)*AH1135</x:f>
        <x:v>7181.761107297667</x:v>
      </x:c>
      <x:c r="AJ1135" s="32" t="n">
        <x:f>H1135*v01_CommonsCoef*AI1135^v01_CommonsExp*INDEX(LM_Commons,G1135)</x:f>
        <x:v>1655.07626080178</x:v>
      </x:c>
      <x:c r="AK1135" s="32" t="n">
        <x:f>H1135*v01_RoleScale*Arch_Roles*(AE1135*(INDEX(v01_ElderRolePerSett,G1135)*v01_OutElder*INDEX(LM_Elder,G1135)+INDEX(v01_ShamanPerSett,G1135)*v01_OutShaman)+Z1135*(INDEX(v01_PriestShare,G1135)*v01_OutPriest+INDEX(v01_ScribeShare,G1135)*v01_OutScribe*INDEX(LM_Scribe,G1135)+INDEX(v01_ScholarShare,G1135)*v01_OutScholar*INDEX(LM_Scholar,G1135)+INDEX(v01_ResearcherShare,G1135)*v01_OutResearcher*INDEX(LM_Researcher,G1135)))</x:f>
        <x:v>431.80733554000795</x:v>
      </x:c>
      <x:c r="AL1135" s="32" t="n">
        <x:f>H1135*v01_RoleScale*Arch_Roles*AE1135*INDEX(v01_MonasteryPerSett,G1135)*v01_OutMonastery*INDEX(LM_Monastery,G1135)</x:f>
        <x:v>10.56</x:v>
      </x:c>
      <x:c r="AM1135" s="32" t="n">
        <x:f>(AJ1135+AK1135+AL1135)/4*INDEX(LM_All,G1135)*INDEX(v01_Boon,G1135)*Arch_Insight</x:f>
        <x:v>958.4661962571054</x:v>
      </x:c>
      <x:c r="AN1135" s="32" t="n">
        <x:f>H1135*(v01_KHPerAdult*Z1135+v01_KHOfCommons*AJ1135/4*INDEX(LM_All,G1135))*v01_KHUsable*Arch_KH</x:f>
        <x:v>104.86325728707597</x:v>
      </x:c>
      <x:c r="AO1135" s="32" t="n">
        <x:f>MIN(AP1134+AN1135,AM1135*v01_KHMaxRatio)</x:f>
        <x:v>104.86325728707597</x:v>
      </x:c>
      <x:c r="AP1135" s="32" t="n">
        <x:f>AP1134+AN1135-AO1135</x:f>
        <x:v>0</x:v>
      </x:c>
      <x:c r="AQ1135" s="32" t="n">
        <x:f>AM1135+AO1135</x:f>
        <x:v>1063.3294535441814</x:v>
      </x:c>
      <x:c r="AR1135" s="10" t="n">
        <x:f>IF(H1135=1,INDEX(v01_Req,G1135),0)</x:f>
        <x:v>113395.942036</x:v>
      </x:c>
      <x:c r="AS1135" s="32" t="n">
        <x:f>IF(H1135=1,IF(E1135=1,AS1134-AR1134,AS1134)+AQ1135,0)</x:f>
        <x:v>14800.381271288996</x:v>
      </x:c>
      <x:c r="AT1135" s="11" t="n">
        <x:f>IF(AR1135&gt;0,MIN(1,AS1135/AR1135),1)</x:f>
        <x:v>0.13051949660235898</x:v>
      </x:c>
      <x:c r="AU1135" s="10" t="n">
        <x:f>AB1135/INDEX(v01_RepScale,G1135)</x:f>
        <x:v>140.61702725383813</x:v>
      </x:c>
      <x:c r="AV1135" s="32" t="n">
        <x:f>AM1135*60/v01_SeasonSeconds</x:f>
        <x:v>3833.864785028422</x:v>
      </x:c>
    </x:row>
    <x:row r="1136">
      <x:c r="A1136" s="8" t="n">
        <x:f>A1135+1</x:f>
        <x:v>1133</x:v>
      </x:c>
      <x:c r="B1136" s="9" t="n">
        <x:f>A1136*v01_SeasonSeconds/60</x:f>
        <x:v>283.25</x:v>
      </x:c>
      <x:c r="C1136" s="9" t="n">
        <x:f>A1136/4</x:f>
        <x:v>283.25</x:v>
      </x:c>
      <x:c r="D1136" s="8" t="n">
        <x:f>IF(MOD(A1136,4)=0,1,0)</x:f>
        <x:v>0</x:v>
      </x:c>
      <x:c r="E1136" s="8" t="n">
        <x:f>IF(AND(F1135&lt;=9,AS1135&gt;=AR1135),1,0)</x:f>
        <x:v>0</x:v>
      </x:c>
      <x:c r="F1136" s="8" t="n">
        <x:f>MIN(10,F1135+E1136)</x:f>
        <x:v>6</x:v>
      </x:c>
      <x:c r="G1136" s="8" t="n">
        <x:f>MIN(F1136,9)+1</x:f>
        <x:v>7</x:v>
      </x:c>
      <x:c r="H1136" s="8" t="n">
        <x:f>IF(F1136&lt;=9,1,0)</x:f>
        <x:v>1</x:v>
      </x:c>
      <x:c r="I1136" s="9" t="n">
        <x:f>MIN(10,F1135+IF(AR1135&gt;0,MIN(1,AS1135/AR1135),1))</x:f>
        <x:v>6.130519496602359</x:v>
      </x:c>
      <x:c r="J1136" s="32" t="n">
        <x:f>INDEX(v01_FoodCap,G1136)*Arch_FoodCap*EXP(v01_CapsByProject*SUMPRODUCT((Cap_Point&lt;=I1136)*(Cap_Kind="Food")*Cap_Ln))</x:f>
        <x:v>1000</x:v>
      </x:c>
      <x:c r="K1136" s="32" t="n">
        <x:f>J1136*MIN(1,v01_LeanBase*EXP(v01_CapsByProject*SUMPRODUCT((Cap_Point&lt;=I1136)*(Cap_Kind="Lean")*Cap_Ln)))</x:f>
        <x:v>1000</x:v>
      </x:c>
      <x:c r="L1136" s="10" t="n">
        <x:f>INDEX(v01_HousingCap,G1136)*EXP(v01_CapsByProject*SUMPRODUCT((Cap_Point&lt;=I1136)*(Cap_Kind="Housing")*Cap_Ln))</x:f>
        <x:v>1600</x:v>
      </x:c>
      <x:c r="M1136" s="10" t="n">
        <x:f>INDEX(v01_GroupCap,G1136)*v01_CohesionFactor*EXP(v01_CapsByProject*SUMPRODUCT((Cap_Point&lt;=I1136)*(Cap_Kind="Group")*Cap_Ln))</x:f>
        <x:v>1000000</x:v>
      </x:c>
      <x:c r="N1136" s="32" t="n">
        <x:f>MIN(J1136,L1136,M1136)</x:f>
        <x:v>1000</x:v>
      </x:c>
      <x:c r="O1136" s="10" t="n">
        <x:f>AE1135*N1136</x:f>
        <x:v>16000</x:v>
      </x:c>
      <x:c r="P1136" s="9" t="n">
        <x:f>MIN(1,(AB1135/(AE1135*IF(v01_GroupInCrowding=1,N1136,MIN(J1136,L1136))))^v01_CrowdingExp)</x:f>
        <x:v>0.007199918898240774</x:v>
      </x:c>
      <x:c r="Q1136" s="9" t="n">
        <x:f>IF(D1136=1,INDEX(v01_WinterMult,G1136),1)</x:f>
        <x:v>1</x:v>
      </x:c>
      <x:c r="R1136" s="9" t="n">
        <x:f>H1136*Z1135*v01_WomenShare*v01_BaseFertility*INDEX(v01_FertMult,G1136)*Arch_Fertility*(1-P1136)</x:f>
        <x:v>93.69742530528329</x:v>
      </x:c>
      <x:c r="S1136" s="9" t="n">
        <x:f>H1136*Y1135*INDEX(v01_MortChild,G1136)/4*Q1136</x:f>
        <x:v>16.052190840543965</x:v>
      </x:c>
      <x:c r="T1136" s="9" t="n">
        <x:f>H1136*Z1135*INDEX(v01_MortAdult,G1136)*Arch_AdultMort/4*Q1136</x:f>
        <x:v>6.741209397026312</x:v>
      </x:c>
      <x:c r="U1136" s="9" t="n">
        <x:f>H1136*AA1135*INDEX(v01_MortElder,G1136)/4*Q1136</x:f>
        <x:v>15.347449487159679</x:v>
      </x:c>
      <x:c r="V1136" s="9" t="n">
        <x:f>H1136*MAX(0,AB1135-O1136)*v01_OvercapLoss</x:f>
        <x:v>0</x:v>
      </x:c>
      <x:c r="W1136" s="9" t="n">
        <x:f>H1136*Y1135/(v01_ChildYears*4)</x:f>
        <x:v>52.11750272903885</x:v>
      </x:c>
      <x:c r="X1136" s="9" t="n">
        <x:f>H1136*Z1135/(v01_AdultYears*4)</x:f>
        <x:v>24.162040849556675</x:v>
      </x:c>
      <x:c r="Y1136" s="32" t="n">
        <x:f>Y1135+R1136-S1136-W1136-Y1135*V1136/AB1135</x:f>
        <x:v>2944.107884561876</x:v>
      </x:c>
      <x:c r="Z1136" s="32" t="n">
        <x:f>Z1135+W1136-X1136-T1136-Z1135*V1136/AB1135</x:f>
        <x:v>3017.307317827483</x:v>
      </x:c>
      <x:c r="AA1136" s="32" t="n">
        <x:f>AA1135+X1136-U1136-AA1135*V1136/AB1135</x:f>
        <x:v>1124.992735883101</x:v>
      </x:c>
      <x:c r="AB1136" s="10" t="n">
        <x:f>Y1136+Z1136+AA1136</x:f>
        <x:v>7086.407938272459</x:v>
      </x:c>
      <x:c r="AC1136" s="8" t="n">
        <x:f>IF(AND(v01_WinterTrigger=1,D1136=1,AB1135/AE1135&gt;=K1136),1,0)</x:f>
        <x:v>0</x:v>
      </x:c>
      <x:c r="AD1136" s="8" t="n">
        <x:f>H1136*IF(AND(OR(AB1135/AE1135&gt;=v01_FissionTrigger*N1136,AC1136=1),AB1135/AE1135*v01_DaughterShare&gt;=v01_MinDaughter),MAX(1,ROUND(AE1135*v01_FissionRate,0)),0)</x:f>
        <x:v>0</x:v>
      </x:c>
      <x:c r="AE1136" s="8" t="n">
        <x:f>IF(H1136=1,MAX(1,MIN(INDEX(v01_Smax,G1136),AE1135+AD1136)),AE1135)</x:f>
        <x:v>16</x:v>
      </x:c>
      <x:c r="AF1136" s="8" t="n">
        <x:f>MAX(0,AE1136-AE1135)</x:f>
        <x:v>0</x:v>
      </x:c>
      <x:c r="AG1136" s="9" t="str">
        <x:f>IF(AF1136&gt;0,B1136,"")</x:f>
      </x:c>
      <x:c r="AH1136" s="9" t="n">
        <x:f>IF(F1136&gt;=1,1,(1+v01_LowTiesShare*(AE1136-1))/AE1136)</x:f>
        <x:v>1</x:v>
      </x:c>
      <x:c r="AI1136" s="32" t="n">
        <x:f>(Z1136+v01_ElderCommons*INDEX(LM_Elder,G1136)*AA1136)*AH1136</x:f>
        <x:v>7236.030077389112</x:v>
      </x:c>
      <x:c r="AJ1136" s="32" t="n">
        <x:f>H1136*v01_CommonsCoef*AI1136^v01_CommonsExp*INDEX(LM_Commons,G1136)</x:f>
        <x:v>1665.7008481156906</x:v>
      </x:c>
      <x:c r="AK1136" s="32" t="n">
        <x:f>H1136*v01_RoleScale*Arch_Roles*(AE1136*(INDEX(v01_ElderRolePerSett,G1136)*v01_OutElder*INDEX(LM_Elder,G1136)+INDEX(v01_ShamanPerSett,G1136)*v01_OutShaman)+Z1136*(INDEX(v01_PriestShare,G1136)*v01_OutPriest+INDEX(v01_ScribeShare,G1136)*v01_OutScribe*INDEX(LM_Scribe,G1136)+INDEX(v01_ScholarShare,G1136)*v01_OutScholar*INDEX(LM_Scholar,G1136)+INDEX(v01_ResearcherShare,G1136)*v01_OutResearcher*INDEX(LM_Researcher,G1136)))</x:f>
        <x:v>434.48245277804557</x:v>
      </x:c>
      <x:c r="AL1136" s="32" t="n">
        <x:f>H1136*v01_RoleScale*Arch_Roles*AE1136*INDEX(v01_MonasteryPerSett,G1136)*v01_OutMonastery*INDEX(LM_Monastery,G1136)</x:f>
        <x:v>10.56</x:v>
      </x:c>
      <x:c r="AM1136" s="32" t="n">
        <x:f>(AJ1136+AK1136+AL1136)/4*INDEX(LM_All,G1136)*INDEX(v01_Boon,G1136)*Arch_Insight</x:f>
        <x:v>964.5437457347084</x:v>
      </x:c>
      <x:c r="AN1136" s="32" t="n">
        <x:f>H1136*(v01_KHPerAdult*Z1136+v01_KHOfCommons*AJ1136/4*INDEX(LM_All,G1136))*v01_KHUsable*Arch_KH</x:f>
        <x:v>105.6057561239619</x:v>
      </x:c>
      <x:c r="AO1136" s="32" t="n">
        <x:f>MIN(AP1135+AN1136,AM1136*v01_KHMaxRatio)</x:f>
        <x:v>105.6057561239619</x:v>
      </x:c>
      <x:c r="AP1136" s="32" t="n">
        <x:f>AP1135+AN1136-AO1136</x:f>
        <x:v>0</x:v>
      </x:c>
      <x:c r="AQ1136" s="32" t="n">
        <x:f>AM1136+AO1136</x:f>
        <x:v>1070.1495018586702</x:v>
      </x:c>
      <x:c r="AR1136" s="10" t="n">
        <x:f>IF(H1136=1,INDEX(v01_Req,G1136),0)</x:f>
        <x:v>113395.942036</x:v>
      </x:c>
      <x:c r="AS1136" s="32" t="n">
        <x:f>IF(H1136=1,IF(E1136=1,AS1135-AR1135,AS1135)+AQ1136,0)</x:f>
        <x:v>15870.530773147666</x:v>
      </x:c>
      <x:c r="AT1136" s="11" t="n">
        <x:f>IF(AR1136&gt;0,MIN(1,AS1136/AR1136),1)</x:f>
        <x:v>0.13995677877175908</x:v>
      </x:c>
      <x:c r="AU1136" s="10" t="n">
        <x:f>AB1136/INDEX(v01_RepScale,G1136)</x:f>
        <x:v>141.7281587654492</x:v>
      </x:c>
      <x:c r="AV1136" s="32" t="n">
        <x:f>AM1136*60/v01_SeasonSeconds</x:f>
        <x:v>3858.1749829388336</x:v>
      </x:c>
    </x:row>
    <x:row r="1137">
      <x:c r="A1137" s="8" t="n">
        <x:f>A1136+1</x:f>
        <x:v>1134</x:v>
      </x:c>
      <x:c r="B1137" s="9" t="n">
        <x:f>A1137*v01_SeasonSeconds/60</x:f>
        <x:v>283.5</x:v>
      </x:c>
      <x:c r="C1137" s="9" t="n">
        <x:f>A1137/4</x:f>
        <x:v>283.5</x:v>
      </x:c>
      <x:c r="D1137" s="8" t="n">
        <x:f>IF(MOD(A1137,4)=0,1,0)</x:f>
        <x:v>0</x:v>
      </x:c>
      <x:c r="E1137" s="8" t="n">
        <x:f>IF(AND(F1136&lt;=9,AS1136&gt;=AR1136),1,0)</x:f>
        <x:v>0</x:v>
      </x:c>
      <x:c r="F1137" s="8" t="n">
        <x:f>MIN(10,F1136+E1137)</x:f>
        <x:v>6</x:v>
      </x:c>
      <x:c r="G1137" s="8" t="n">
        <x:f>MIN(F1137,9)+1</x:f>
        <x:v>7</x:v>
      </x:c>
      <x:c r="H1137" s="8" t="n">
        <x:f>IF(F1137&lt;=9,1,0)</x:f>
        <x:v>1</x:v>
      </x:c>
      <x:c r="I1137" s="9" t="n">
        <x:f>MIN(10,F1136+IF(AR1136&gt;0,MIN(1,AS1136/AR1136),1))</x:f>
        <x:v>6.139956778771759</x:v>
      </x:c>
      <x:c r="J1137" s="32" t="n">
        <x:f>INDEX(v01_FoodCap,G1137)*Arch_FoodCap*EXP(v01_CapsByProject*SUMPRODUCT((Cap_Point&lt;=I1137)*(Cap_Kind="Food")*Cap_Ln))</x:f>
        <x:v>1000</x:v>
      </x:c>
      <x:c r="K1137" s="32" t="n">
        <x:f>J1137*MIN(1,v01_LeanBase*EXP(v01_CapsByProject*SUMPRODUCT((Cap_Point&lt;=I1137)*(Cap_Kind="Lean")*Cap_Ln)))</x:f>
        <x:v>1000</x:v>
      </x:c>
      <x:c r="L1137" s="10" t="n">
        <x:f>INDEX(v01_HousingCap,G1137)*EXP(v01_CapsByProject*SUMPRODUCT((Cap_Point&lt;=I1137)*(Cap_Kind="Housing")*Cap_Ln))</x:f>
        <x:v>1600</x:v>
      </x:c>
      <x:c r="M1137" s="10" t="n">
        <x:f>INDEX(v01_GroupCap,G1137)*v01_CohesionFactor*EXP(v01_CapsByProject*SUMPRODUCT((Cap_Point&lt;=I1137)*(Cap_Kind="Group")*Cap_Ln))</x:f>
        <x:v>1000000</x:v>
      </x:c>
      <x:c r="N1137" s="32" t="n">
        <x:f>MIN(J1137,L1137,M1137)</x:f>
        <x:v>1000</x:v>
      </x:c>
      <x:c r="O1137" s="10" t="n">
        <x:f>AE1136*N1137</x:f>
        <x:v>16000</x:v>
      </x:c>
      <x:c r="P1137" s="9" t="n">
        <x:f>MIN(1,(AB1136/(AE1136*IF(v01_GroupInCrowding=1,N1137,MIN(J1137,L1137))))^v01_CrowdingExp)</x:f>
        <x:v>0.007548088798424688</x:v>
      </x:c>
      <x:c r="Q1137" s="9" t="n">
        <x:f>IF(D1137=1,INDEX(v01_WinterMult,G1137),1)</x:f>
        <x:v>1</x:v>
      </x:c>
      <x:c r="R1137" s="9" t="n">
        <x:f>H1137*Z1136*v01_WomenShare*v01_BaseFertility*INDEX(v01_FertMult,G1137)*Arch_Fertility*(1-P1137)</x:f>
        <x:v>94.32777104920211</x:v>
      </x:c>
      <x:c r="S1137" s="9" t="n">
        <x:f>H1137*Y1136*INDEX(v01_MortChild,G1137)/4*Q1137</x:f>
        <x:v>16.192593365090318</x:v>
      </x:c>
      <x:c r="T1137" s="9" t="n">
        <x:f>H1137*Z1136*INDEX(v01_MortAdult,G1137)*Arch_AdultMort/4*Q1137</x:f>
        <x:v>6.7889414651118365</x:v>
      </x:c>
      <x:c r="U1137" s="9" t="n">
        <x:f>H1137*AA1136*INDEX(v01_MortElder,G1137)/4*Q1137</x:f>
        <x:v>15.468650118392638</x:v>
      </x:c>
      <x:c r="V1137" s="9" t="n">
        <x:f>H1137*MAX(0,AB1136-O1137)*v01_OvercapLoss</x:f>
        <x:v>0</x:v>
      </x:c>
      <x:c r="W1137" s="9" t="n">
        <x:f>H1137*Y1136/(v01_ChildYears*4)</x:f>
        <x:v>52.57335508146207</x:v>
      </x:c>
      <x:c r="X1137" s="9" t="n">
        <x:f>H1137*Z1136/(v01_AdultYears*4)</x:f>
        <x:v>24.3331235308668</x:v>
      </x:c>
      <x:c r="Y1137" s="32" t="n">
        <x:f>Y1136+R1137-S1137-W1137-Y1136*V1137/AB1136</x:f>
        <x:v>2969.6697071645253</x:v>
      </x:c>
      <x:c r="Z1137" s="32" t="n">
        <x:f>Z1136+W1137-X1137-T1137-Z1136*V1137/AB1136</x:f>
        <x:v>3038.7586079129665</x:v>
      </x:c>
      <x:c r="AA1137" s="32" t="n">
        <x:f>AA1136+X1137-U1137-AA1136*V1137/AB1136</x:f>
        <x:v>1133.857209295575</x:v>
      </x:c>
      <x:c r="AB1137" s="10" t="n">
        <x:f>Y1137+Z1137+AA1137</x:f>
        <x:v>7142.285524373066</x:v>
      </x:c>
      <x:c r="AC1137" s="8" t="n">
        <x:f>IF(AND(v01_WinterTrigger=1,D1137=1,AB1136/AE1136&gt;=K1137),1,0)</x:f>
        <x:v>0</x:v>
      </x:c>
      <x:c r="AD1137" s="8" t="n">
        <x:f>H1137*IF(AND(OR(AB1136/AE1136&gt;=v01_FissionTrigger*N1137,AC1137=1),AB1136/AE1136*v01_DaughterShare&gt;=v01_MinDaughter),MAX(1,ROUND(AE1136*v01_FissionRate,0)),0)</x:f>
        <x:v>0</x:v>
      </x:c>
      <x:c r="AE1137" s="8" t="n">
        <x:f>IF(H1137=1,MAX(1,MIN(INDEX(v01_Smax,G1137),AE1136+AD1137)),AE1136)</x:f>
        <x:v>16</x:v>
      </x:c>
      <x:c r="AF1137" s="8" t="n">
        <x:f>MAX(0,AE1137-AE1136)</x:f>
        <x:v>0</x:v>
      </x:c>
      <x:c r="AG1137" s="9" t="str">
        <x:f>IF(AF1137&gt;0,B1137,"")</x:f>
      </x:c>
      <x:c r="AH1137" s="9" t="n">
        <x:f>IF(F1137&gt;=1,1,(1+v01_LowTiesShare*(AE1137-1))/AE1137)</x:f>
        <x:v>1</x:v>
      </x:c>
      <x:c r="AI1137" s="32" t="n">
        <x:f>(Z1137+v01_ElderCommons*INDEX(LM_Elder,G1137)*AA1137)*AH1137</x:f>
        <x:v>7290.723142771372</x:v>
      </x:c>
      <x:c r="AJ1137" s="32" t="n">
        <x:f>H1137*v01_CommonsCoef*AI1137^v01_CommonsExp*INDEX(LM_Commons,G1137)</x:f>
        <x:v>1676.396377400696</x:v>
      </x:c>
      <x:c r="AK1137" s="32" t="n">
        <x:f>H1137*v01_RoleScale*Arch_Roles*(AE1137*(INDEX(v01_ElderRolePerSett,G1137)*v01_OutElder*INDEX(LM_Elder,G1137)+INDEX(v01_ShamanPerSett,G1137)*v01_OutShaman)+Z1137*(INDEX(v01_PriestShare,G1137)*v01_OutPriest+INDEX(v01_ScribeShare,G1137)*v01_OutScribe*INDEX(LM_Scribe,G1137)+INDEX(v01_ScholarShare,G1137)*v01_OutScholar*INDEX(LM_Scholar,G1137)+INDEX(v01_ResearcherShare,G1137)*v01_OutResearcher*INDEX(LM_Researcher,G1137)))</x:f>
        <x:v>437.187460457825</x:v>
      </x:c>
      <x:c r="AL1137" s="32" t="n">
        <x:f>H1137*v01_RoleScale*Arch_Roles*AE1137*INDEX(v01_MonasteryPerSett,G1137)*v01_OutMonastery*INDEX(LM_Monastery,G1137)</x:f>
        <x:v>10.56</x:v>
      </x:c>
      <x:c r="AM1137" s="32" t="n">
        <x:f>(AJ1137+AK1137+AL1137)/4*INDEX(LM_All,G1137)*INDEX(v01_Boon,G1137)*Arch_Insight</x:f>
        <x:v>970.6673724748229</x:v>
      </x:c>
      <x:c r="AN1137" s="32" t="n">
        <x:f>H1137*(v01_KHPerAdult*Z1137+v01_KHOfCommons*AJ1137/4*INDEX(LM_All,G1137))*v01_KHUsable*Arch_KH</x:f>
        <x:v>106.35655127695382</x:v>
      </x:c>
      <x:c r="AO1137" s="32" t="n">
        <x:f>MIN(AP1136+AN1137,AM1137*v01_KHMaxRatio)</x:f>
        <x:v>106.35655127695382</x:v>
      </x:c>
      <x:c r="AP1137" s="32" t="n">
        <x:f>AP1136+AN1137-AO1137</x:f>
        <x:v>0</x:v>
      </x:c>
      <x:c r="AQ1137" s="32" t="n">
        <x:f>AM1137+AO1137</x:f>
        <x:v>1077.0239237517767</x:v>
      </x:c>
      <x:c r="AR1137" s="10" t="n">
        <x:f>IF(H1137=1,INDEX(v01_Req,G1137),0)</x:f>
        <x:v>113395.942036</x:v>
      </x:c>
      <x:c r="AS1137" s="32" t="n">
        <x:f>IF(H1137=1,IF(E1137=1,AS1136-AR1136,AS1136)+AQ1137,0)</x:f>
        <x:v>16947.554696899442</x:v>
      </x:c>
      <x:c r="AT1137" s="11" t="n">
        <x:f>IF(AR1137&gt;0,MIN(1,AS1137/AR1137),1)</x:f>
        <x:v>0.14945468411487842</x:v>
      </x:c>
      <x:c r="AU1137" s="10" t="n">
        <x:f>AB1137/INDEX(v01_RepScale,G1137)</x:f>
        <x:v>142.84571048746133</x:v>
      </x:c>
      <x:c r="AV1137" s="32" t="n">
        <x:f>AM1137*60/v01_SeasonSeconds</x:f>
        <x:v>3882.6694898992914</x:v>
      </x:c>
    </x:row>
    <x:row r="1138">
      <x:c r="A1138" s="8" t="n">
        <x:f>A1137+1</x:f>
        <x:v>1135</x:v>
      </x:c>
      <x:c r="B1138" s="9" t="n">
        <x:f>A1138*v01_SeasonSeconds/60</x:f>
        <x:v>283.75</x:v>
      </x:c>
      <x:c r="C1138" s="9" t="n">
        <x:f>A1138/4</x:f>
        <x:v>283.75</x:v>
      </x:c>
      <x:c r="D1138" s="8" t="n">
        <x:f>IF(MOD(A1138,4)=0,1,0)</x:f>
        <x:v>0</x:v>
      </x:c>
      <x:c r="E1138" s="8" t="n">
        <x:f>IF(AND(F1137&lt;=9,AS1137&gt;=AR1137),1,0)</x:f>
        <x:v>0</x:v>
      </x:c>
      <x:c r="F1138" s="8" t="n">
        <x:f>MIN(10,F1137+E1138)</x:f>
        <x:v>6</x:v>
      </x:c>
      <x:c r="G1138" s="8" t="n">
        <x:f>MIN(F1138,9)+1</x:f>
        <x:v>7</x:v>
      </x:c>
      <x:c r="H1138" s="8" t="n">
        <x:f>IF(F1138&lt;=9,1,0)</x:f>
        <x:v>1</x:v>
      </x:c>
      <x:c r="I1138" s="9" t="n">
        <x:f>MIN(10,F1137+IF(AR1137&gt;0,MIN(1,AS1137/AR1137),1))</x:f>
        <x:v>6.149454684114878</x:v>
      </x:c>
      <x:c r="J1138" s="32" t="n">
        <x:f>INDEX(v01_FoodCap,G1138)*Arch_FoodCap*EXP(v01_CapsByProject*SUMPRODUCT((Cap_Point&lt;=I1138)*(Cap_Kind="Food")*Cap_Ln))</x:f>
        <x:v>1000</x:v>
      </x:c>
      <x:c r="K1138" s="32" t="n">
        <x:f>J1138*MIN(1,v01_LeanBase*EXP(v01_CapsByProject*SUMPRODUCT((Cap_Point&lt;=I1138)*(Cap_Kind="Lean")*Cap_Ln)))</x:f>
        <x:v>1000</x:v>
      </x:c>
      <x:c r="L1138" s="10" t="n">
        <x:f>INDEX(v01_HousingCap,G1138)*EXP(v01_CapsByProject*SUMPRODUCT((Cap_Point&lt;=I1138)*(Cap_Kind="Housing")*Cap_Ln))</x:f>
        <x:v>1600</x:v>
      </x:c>
      <x:c r="M1138" s="10" t="n">
        <x:f>INDEX(v01_GroupCap,G1138)*v01_CohesionFactor*EXP(v01_CapsByProject*SUMPRODUCT((Cap_Point&lt;=I1138)*(Cap_Kind="Group")*Cap_Ln))</x:f>
        <x:v>1000000</x:v>
      </x:c>
      <x:c r="N1138" s="32" t="n">
        <x:f>MIN(J1138,L1138,M1138)</x:f>
        <x:v>1000</x:v>
      </x:c>
      <x:c r="O1138" s="10" t="n">
        <x:f>AE1137*N1138</x:f>
        <x:v>16000</x:v>
      </x:c>
      <x:c r="P1138" s="9" t="n">
        <x:f>MIN(1,(AB1137/(AE1137*IF(v01_GroupInCrowding=1,N1138,MIN(J1138,L1138))))^v01_CrowdingExp)</x:f>
        <x:v>0.007912311032527061</x:v>
      </x:c>
      <x:c r="Q1138" s="9" t="n">
        <x:f>IF(D1138=1,INDEX(v01_WinterMult,G1138),1)</x:f>
        <x:v>1</x:v>
      </x:c>
      <x:c r="R1138" s="9" t="n">
        <x:f>H1138*Z1137*v01_WomenShare*v01_BaseFertility*INDEX(v01_FertMult,G1138)*Arch_Fertility*(1-P1138)</x:f>
        <x:v>94.96352264661328</x:v>
      </x:c>
      <x:c r="S1138" s="9" t="n">
        <x:f>H1138*Y1137*INDEX(v01_MortChild,G1138)/4*Q1138</x:f>
        <x:v>16.333183389404887</x:v>
      </x:c>
      <x:c r="T1138" s="9" t="n">
        <x:f>H1138*Z1137*INDEX(v01_MortAdult,G1138)*Arch_AdultMort/4*Q1138</x:f>
        <x:v>6.837206867804174</x:v>
      </x:c>
      <x:c r="U1138" s="9" t="n">
        <x:f>H1138*AA1137*INDEX(v01_MortElder,G1138)/4*Q1138</x:f>
        <x:v>15.590536627814158</x:v>
      </x:c>
      <x:c r="V1138" s="9" t="n">
        <x:f>H1138*MAX(0,AB1137-O1138)*v01_OvercapLoss</x:f>
        <x:v>0</x:v>
      </x:c>
      <x:c r="W1138" s="9" t="n">
        <x:f>H1138*Y1137/(v01_ChildYears*4)</x:f>
        <x:v>53.02981619936652</x:v>
      </x:c>
      <x:c r="X1138" s="9" t="n">
        <x:f>H1138*Z1137/(v01_AdultYears*4)</x:f>
        <x:v>24.506117805749728</x:v>
      </x:c>
      <x:c r="Y1138" s="32" t="n">
        <x:f>Y1137+R1138-S1138-W1138-Y1137*V1138/AB1137</x:f>
        <x:v>2995.2702302223674</x:v>
      </x:c>
      <x:c r="Z1138" s="32" t="n">
        <x:f>Z1137+W1138-X1138-T1138-Z1137*V1138/AB1137</x:f>
        <x:v>3060.445099438779</x:v>
      </x:c>
      <x:c r="AA1138" s="32" t="n">
        <x:f>AA1137+X1138-U1138-AA1137*V1138/AB1137</x:f>
        <x:v>1142.7727904735107</x:v>
      </x:c>
      <x:c r="AB1138" s="10" t="n">
        <x:f>Y1138+Z1138+AA1138</x:f>
        <x:v>7198.488120134658</x:v>
      </x:c>
      <x:c r="AC1138" s="8" t="n">
        <x:f>IF(AND(v01_WinterTrigger=1,D1138=1,AB1137/AE1137&gt;=K1138),1,0)</x:f>
        <x:v>0</x:v>
      </x:c>
      <x:c r="AD1138" s="8" t="n">
        <x:f>H1138*IF(AND(OR(AB1137/AE1137&gt;=v01_FissionTrigger*N1138,AC1138=1),AB1137/AE1137*v01_DaughterShare&gt;=v01_MinDaughter),MAX(1,ROUND(AE1137*v01_FissionRate,0)),0)</x:f>
        <x:v>0</x:v>
      </x:c>
      <x:c r="AE1138" s="8" t="n">
        <x:f>IF(H1138=1,MAX(1,MIN(INDEX(v01_Smax,G1138),AE1137+AD1138)),AE1137)</x:f>
        <x:v>16</x:v>
      </x:c>
      <x:c r="AF1138" s="8" t="n">
        <x:f>MAX(0,AE1138-AE1137)</x:f>
        <x:v>0</x:v>
      </x:c>
      <x:c r="AG1138" s="9" t="str">
        <x:f>IF(AF1138&gt;0,B1138,"")</x:f>
      </x:c>
      <x:c r="AH1138" s="9" t="n">
        <x:f>IF(F1138&gt;=1,1,(1+v01_LowTiesShare*(AE1138-1))/AE1138)</x:f>
        <x:v>1</x:v>
      </x:c>
      <x:c r="AI1138" s="32" t="n">
        <x:f>(Z1138+v01_ElderCommons*INDEX(LM_Elder,G1138)*AA1138)*AH1138</x:f>
        <x:v>7345.843063714444</x:v>
      </x:c>
      <x:c r="AJ1138" s="32" t="n">
        <x:f>H1138*v01_CommonsCoef*AI1138^v01_CommonsExp*INDEX(LM_Commons,G1138)</x:f>
        <x:v>1687.163211118726</x:v>
      </x:c>
      <x:c r="AK1138" s="32" t="n">
        <x:f>H1138*v01_RoleScale*Arch_Roles*(AE1138*(INDEX(v01_ElderRolePerSett,G1138)*v01_OutElder*INDEX(LM_Elder,G1138)+INDEX(v01_ShamanPerSett,G1138)*v01_OutShaman)+Z1138*(INDEX(v01_PriestShare,G1138)*v01_OutPriest+INDEX(v01_ScribeShare,G1138)*v01_OutScribe*INDEX(LM_Scribe,G1138)+INDEX(v01_ScholarShare,G1138)*v01_OutScholar*INDEX(LM_Scholar,G1138)+INDEX(v01_ResearcherShare,G1138)*v01_OutResearcher*INDEX(LM_Researcher,G1138)))</x:f>
        <x:v>439.92212703923</x:v>
      </x:c>
      <x:c r="AL1138" s="32" t="n">
        <x:f>H1138*v01_RoleScale*Arch_Roles*AE1138*INDEX(v01_MonasteryPerSett,G1138)*v01_OutMonastery*INDEX(LM_Monastery,G1138)</x:f>
        <x:v>10.56</x:v>
      </x:c>
      <x:c r="AM1138" s="32" t="n">
        <x:f>(AJ1138+AK1138+AL1138)/4*INDEX(LM_All,G1138)*INDEX(v01_Boon,G1138)*Arch_Insight</x:f>
        <x:v>976.8371363046266</x:v>
      </x:c>
      <x:c r="AN1138" s="32" t="n">
        <x:f>H1138*(v01_KHPerAdult*Z1138+v01_KHOfCommons*AJ1138/4*INDEX(LM_All,G1138))*v01_KHUsable*Arch_KH</x:f>
        <x:v>107.11557848035727</x:v>
      </x:c>
      <x:c r="AO1138" s="32" t="n">
        <x:f>MIN(AP1137+AN1138,AM1138*v01_KHMaxRatio)</x:f>
        <x:v>107.11557848035727</x:v>
      </x:c>
      <x:c r="AP1138" s="32" t="n">
        <x:f>AP1137+AN1138-AO1138</x:f>
        <x:v>0</x:v>
      </x:c>
      <x:c r="AQ1138" s="32" t="n">
        <x:f>AM1138+AO1138</x:f>
        <x:v>1083.952714784984</x:v>
      </x:c>
      <x:c r="AR1138" s="10" t="n">
        <x:f>IF(H1138=1,INDEX(v01_Req,G1138),0)</x:f>
        <x:v>113395.942036</x:v>
      </x:c>
      <x:c r="AS1138" s="32" t="n">
        <x:f>IF(H1138=1,IF(E1138=1,AS1137-AR1137,AS1137)+AQ1138,0)</x:f>
        <x:v>18031.507411684426</x:v>
      </x:c>
      <x:c r="AT1138" s="11" t="n">
        <x:f>IF(AR1138&gt;0,MIN(1,AS1138/AR1138),1)</x:f>
        <x:v>0.15901369209455427</x:v>
      </x:c>
      <x:c r="AU1138" s="10" t="n">
        <x:f>AB1138/INDEX(v01_RepScale,G1138)</x:f>
        <x:v>143.96976240269316</x:v>
      </x:c>
      <x:c r="AV1138" s="32" t="n">
        <x:f>AM1138*60/v01_SeasonSeconds</x:f>
        <x:v>3907.3485452185064</x:v>
      </x:c>
    </x:row>
    <x:row r="1139">
      <x:c r="A1139" s="8" t="n">
        <x:f>A1138+1</x:f>
        <x:v>1136</x:v>
      </x:c>
      <x:c r="B1139" s="9" t="n">
        <x:f>A1139*v01_SeasonSeconds/60</x:f>
        <x:v>284</x:v>
      </x:c>
      <x:c r="C1139" s="9" t="n">
        <x:f>A1139/4</x:f>
        <x:v>284</x:v>
      </x:c>
      <x:c r="D1139" s="8" t="n">
        <x:f>IF(MOD(A1139,4)=0,1,0)</x:f>
        <x:v>1</x:v>
      </x:c>
      <x:c r="E1139" s="8" t="n">
        <x:f>IF(AND(F1138&lt;=9,AS1138&gt;=AR1138),1,0)</x:f>
        <x:v>0</x:v>
      </x:c>
      <x:c r="F1139" s="8" t="n">
        <x:f>MIN(10,F1138+E1139)</x:f>
        <x:v>6</x:v>
      </x:c>
      <x:c r="G1139" s="8" t="n">
        <x:f>MIN(F1139,9)+1</x:f>
        <x:v>7</x:v>
      </x:c>
      <x:c r="H1139" s="8" t="n">
        <x:f>IF(F1139&lt;=9,1,0)</x:f>
        <x:v>1</x:v>
      </x:c>
      <x:c r="I1139" s="9" t="n">
        <x:f>MIN(10,F1138+IF(AR1138&gt;0,MIN(1,AS1138/AR1138),1))</x:f>
        <x:v>6.159013692094554</x:v>
      </x:c>
      <x:c r="J1139" s="32" t="n">
        <x:f>INDEX(v01_FoodCap,G1139)*Arch_FoodCap*EXP(v01_CapsByProject*SUMPRODUCT((Cap_Point&lt;=I1139)*(Cap_Kind="Food")*Cap_Ln))</x:f>
        <x:v>1000</x:v>
      </x:c>
      <x:c r="K1139" s="32" t="n">
        <x:f>J1139*MIN(1,v01_LeanBase*EXP(v01_CapsByProject*SUMPRODUCT((Cap_Point&lt;=I1139)*(Cap_Kind="Lean")*Cap_Ln)))</x:f>
        <x:v>1000</x:v>
      </x:c>
      <x:c r="L1139" s="10" t="n">
        <x:f>INDEX(v01_HousingCap,G1139)*EXP(v01_CapsByProject*SUMPRODUCT((Cap_Point&lt;=I1139)*(Cap_Kind="Housing")*Cap_Ln))</x:f>
        <x:v>1600</x:v>
      </x:c>
      <x:c r="M1139" s="10" t="n">
        <x:f>INDEX(v01_GroupCap,G1139)*v01_CohesionFactor*EXP(v01_CapsByProject*SUMPRODUCT((Cap_Point&lt;=I1139)*(Cap_Kind="Group")*Cap_Ln))</x:f>
        <x:v>1000000</x:v>
      </x:c>
      <x:c r="N1139" s="32" t="n">
        <x:f>MIN(J1139,L1139,M1139)</x:f>
        <x:v>1000</x:v>
      </x:c>
      <x:c r="O1139" s="10" t="n">
        <x:f>AE1138*N1139</x:f>
        <x:v>16000</x:v>
      </x:c>
      <x:c r="P1139" s="9" t="n">
        <x:f>MIN(1,(AB1138/(AE1138*IF(v01_GroupInCrowding=1,N1139,MIN(J1139,L1139))))^v01_CrowdingExp)</x:f>
        <x:v>0.008293309202151577</x:v>
      </x:c>
      <x:c r="Q1139" s="9" t="n">
        <x:f>IF(D1139=1,INDEX(v01_WinterMult,G1139),1)</x:f>
        <x:v>1</x:v>
      </x:c>
      <x:c r="R1139" s="9" t="n">
        <x:f>H1139*Z1138*v01_WomenShare*v01_BaseFertility*INDEX(v01_FertMult,G1139)*Arch_Fertility*(1-P1139)</x:f>
        <x:v>95.6045122808871</x:v>
      </x:c>
      <x:c r="S1139" s="9" t="n">
        <x:f>H1139*Y1138*INDEX(v01_MortChild,G1139)/4*Q1139</x:f>
        <x:v>16.47398626622302</x:v>
      </x:c>
      <x:c r="T1139" s="9" t="n">
        <x:f>H1139*Z1138*INDEX(v01_MortAdult,G1139)*Arch_AdultMort/4*Q1139</x:f>
        <x:v>6.886001473737252</x:v>
      </x:c>
      <x:c r="U1139" s="9" t="n">
        <x:f>H1139*AA1138*INDEX(v01_MortElder,G1139)/4*Q1139</x:f>
        <x:v>15.713125869010772</x:v>
      </x:c>
      <x:c r="V1139" s="9" t="n">
        <x:f>H1139*MAX(0,AB1138-O1139)*v01_OvercapLoss</x:f>
        <x:v>0</x:v>
      </x:c>
      <x:c r="W1139" s="9" t="n">
        <x:f>H1139*Y1138/(v01_ChildYears*4)</x:f>
        <x:v>53.48696839682799</x:v>
      </x:c>
      <x:c r="X1139" s="9" t="n">
        <x:f>H1139*Z1138/(v01_AdultYears*4)</x:f>
        <x:v>24.681008866441765</x:v>
      </x:c>
      <x:c r="Y1139" s="32" t="n">
        <x:f>Y1138+R1139-S1139-W1139-Y1138*V1139/AB1138</x:f>
        <x:v>3020.9137878402034</x:v>
      </x:c>
      <x:c r="Z1139" s="32" t="n">
        <x:f>Z1138+W1139-X1139-T1139-Z1138*V1139/AB1138</x:f>
        <x:v>3082.3650574954277</x:v>
      </x:c>
      <x:c r="AA1139" s="32" t="n">
        <x:f>AA1138+X1139-U1139-AA1138*V1139/AB1138</x:f>
        <x:v>1151.7406734709416</x:v>
      </x:c>
      <x:c r="AB1139" s="10" t="n">
        <x:f>Y1139+Z1139+AA1139</x:f>
        <x:v>7255.019518806574</x:v>
      </x:c>
      <x:c r="AC1139" s="8" t="n">
        <x:f>IF(AND(v01_WinterTrigger=1,D1139=1,AB1138/AE1138&gt;=K1139),1,0)</x:f>
        <x:v>0</x:v>
      </x:c>
      <x:c r="AD1139" s="8" t="n">
        <x:f>H1139*IF(AND(OR(AB1138/AE1138&gt;=v01_FissionTrigger*N1139,AC1139=1),AB1138/AE1138*v01_DaughterShare&gt;=v01_MinDaughter),MAX(1,ROUND(AE1138*v01_FissionRate,0)),0)</x:f>
        <x:v>0</x:v>
      </x:c>
      <x:c r="AE1139" s="8" t="n">
        <x:f>IF(H1139=1,MAX(1,MIN(INDEX(v01_Smax,G1139),AE1138+AD1139)),AE1138)</x:f>
        <x:v>16</x:v>
      </x:c>
      <x:c r="AF1139" s="8" t="n">
        <x:f>MAX(0,AE1139-AE1138)</x:f>
        <x:v>0</x:v>
      </x:c>
      <x:c r="AG1139" s="9" t="str">
        <x:f>IF(AF1139&gt;0,B1139,"")</x:f>
      </x:c>
      <x:c r="AH1139" s="9" t="n">
        <x:f>IF(F1139&gt;=1,1,(1+v01_LowTiesShare*(AE1139-1))/AE1139)</x:f>
        <x:v>1</x:v>
      </x:c>
      <x:c r="AI1139" s="32" t="n">
        <x:f>(Z1139+v01_ElderCommons*INDEX(LM_Elder,G1139)*AA1139)*AH1139</x:f>
        <x:v>7401.392583011459</x:v>
      </x:c>
      <x:c r="AJ1139" s="32" t="n">
        <x:f>H1139*v01_CommonsCoef*AI1139^v01_CommonsExp*INDEX(LM_Commons,G1139)</x:f>
        <x:v>1698.0017068852408</x:v>
      </x:c>
      <x:c r="AK1139" s="32" t="n">
        <x:f>H1139*v01_RoleScale*Arch_Roles*(AE1139*(INDEX(v01_ElderRolePerSett,G1139)*v01_OutElder*INDEX(LM_Elder,G1139)+INDEX(v01_ShamanPerSett,G1139)*v01_OutShaman)+Z1139*(INDEX(v01_PriestShare,G1139)*v01_OutPriest+INDEX(v01_ScribeShare,G1139)*v01_OutScribe*INDEX(LM_Scribe,G1139)+INDEX(v01_ScholarShare,G1139)*v01_OutScholar*INDEX(LM_Scholar,G1139)+INDEX(v01_ResearcherShare,G1139)*v01_OutResearcher*INDEX(LM_Researcher,G1139)))</x:f>
        <x:v>442.6862337501734</x:v>
      </x:c>
      <x:c r="AL1139" s="32" t="n">
        <x:f>H1139*v01_RoleScale*Arch_Roles*AE1139*INDEX(v01_MonasteryPerSett,G1139)*v01_OutMonastery*INDEX(LM_Monastery,G1139)</x:f>
        <x:v>10.56</x:v>
      </x:c>
      <x:c r="AM1139" s="32" t="n">
        <x:f>(AJ1139+AK1139+AL1139)/4*INDEX(LM_All,G1139)*INDEX(v01_Boon,G1139)*Arch_Insight</x:f>
        <x:v>983.0531006712042</x:v>
      </x:c>
      <x:c r="AN1139" s="32" t="n">
        <x:f>H1139*(v01_KHPerAdult*Z1139+v01_KHOfCommons*AJ1139/4*INDEX(LM_All,G1139))*v01_KHUsable*Arch_KH</x:f>
        <x:v>107.88277701233997</x:v>
      </x:c>
      <x:c r="AO1139" s="32" t="n">
        <x:f>MIN(AP1138+AN1139,AM1139*v01_KHMaxRatio)</x:f>
        <x:v>107.88277701233997</x:v>
      </x:c>
      <x:c r="AP1139" s="32" t="n">
        <x:f>AP1138+AN1139-AO1139</x:f>
        <x:v>0</x:v>
      </x:c>
      <x:c r="AQ1139" s="32" t="n">
        <x:f>AM1139+AO1139</x:f>
        <x:v>1090.9358776835443</x:v>
      </x:c>
      <x:c r="AR1139" s="10" t="n">
        <x:f>IF(H1139=1,INDEX(v01_Req,G1139),0)</x:f>
        <x:v>113395.942036</x:v>
      </x:c>
      <x:c r="AS1139" s="32" t="n">
        <x:f>IF(H1139=1,IF(E1139=1,AS1138-AR1138,AS1138)+AQ1139,0)</x:f>
        <x:v>19122.44328936797</x:v>
      </x:c>
      <x:c r="AT1139" s="11" t="n">
        <x:f>IF(AR1139&gt;0,MIN(1,AS1139/AR1139),1)</x:f>
        <x:v>0.16863428219765692</x:v>
      </x:c>
      <x:c r="AU1139" s="10" t="n">
        <x:f>AB1139/INDEX(v01_RepScale,G1139)</x:f>
        <x:v>145.1003903761315</x:v>
      </x:c>
      <x:c r="AV1139" s="32" t="n">
        <x:f>AM1139*60/v01_SeasonSeconds</x:f>
        <x:v>3932.212402684817</x:v>
      </x:c>
    </x:row>
    <x:row r="1140">
      <x:c r="A1140" s="8" t="n">
        <x:f>A1139+1</x:f>
        <x:v>1137</x:v>
      </x:c>
      <x:c r="B1140" s="9" t="n">
        <x:f>A1140*v01_SeasonSeconds/60</x:f>
        <x:v>284.25</x:v>
      </x:c>
      <x:c r="C1140" s="9" t="n">
        <x:f>A1140/4</x:f>
        <x:v>284.25</x:v>
      </x:c>
      <x:c r="D1140" s="8" t="n">
        <x:f>IF(MOD(A1140,4)=0,1,0)</x:f>
        <x:v>0</x:v>
      </x:c>
      <x:c r="E1140" s="8" t="n">
        <x:f>IF(AND(F1139&lt;=9,AS1139&gt;=AR1139),1,0)</x:f>
        <x:v>0</x:v>
      </x:c>
      <x:c r="F1140" s="8" t="n">
        <x:f>MIN(10,F1139+E1140)</x:f>
        <x:v>6</x:v>
      </x:c>
      <x:c r="G1140" s="8" t="n">
        <x:f>MIN(F1140,9)+1</x:f>
        <x:v>7</x:v>
      </x:c>
      <x:c r="H1140" s="8" t="n">
        <x:f>IF(F1140&lt;=9,1,0)</x:f>
        <x:v>1</x:v>
      </x:c>
      <x:c r="I1140" s="9" t="n">
        <x:f>MIN(10,F1139+IF(AR1139&gt;0,MIN(1,AS1139/AR1139),1))</x:f>
        <x:v>6.168634282197657</x:v>
      </x:c>
      <x:c r="J1140" s="32" t="n">
        <x:f>INDEX(v01_FoodCap,G1140)*Arch_FoodCap*EXP(v01_CapsByProject*SUMPRODUCT((Cap_Point&lt;=I1140)*(Cap_Kind="Food")*Cap_Ln))</x:f>
        <x:v>1000</x:v>
      </x:c>
      <x:c r="K1140" s="32" t="n">
        <x:f>J1140*MIN(1,v01_LeanBase*EXP(v01_CapsByProject*SUMPRODUCT((Cap_Point&lt;=I1140)*(Cap_Kind="Lean")*Cap_Ln)))</x:f>
        <x:v>1000</x:v>
      </x:c>
      <x:c r="L1140" s="10" t="n">
        <x:f>INDEX(v01_HousingCap,G1140)*EXP(v01_CapsByProject*SUMPRODUCT((Cap_Point&lt;=I1140)*(Cap_Kind="Housing")*Cap_Ln))</x:f>
        <x:v>1600</x:v>
      </x:c>
      <x:c r="M1140" s="10" t="n">
        <x:f>INDEX(v01_GroupCap,G1140)*v01_CohesionFactor*EXP(v01_CapsByProject*SUMPRODUCT((Cap_Point&lt;=I1140)*(Cap_Kind="Group")*Cap_Ln))</x:f>
        <x:v>1000000</x:v>
      </x:c>
      <x:c r="N1140" s="32" t="n">
        <x:f>MIN(J1140,L1140,M1140)</x:f>
        <x:v>1000</x:v>
      </x:c>
      <x:c r="O1140" s="10" t="n">
        <x:f>AE1139*N1140</x:f>
        <x:v>16000</x:v>
      </x:c>
      <x:c r="P1140" s="9" t="n">
        <x:f>MIN(1,(AB1139/(AE1139*IF(v01_GroupInCrowding=1,N1140,MIN(J1140,L1140))))^v01_CrowdingExp)</x:f>
        <x:v>0.008691837839274573</x:v>
      </x:c>
      <x:c r="Q1140" s="9" t="n">
        <x:f>IF(D1140=1,INDEX(v01_WinterMult,G1140),1)</x:f>
        <x:v>1</x:v>
      </x:c>
      <x:c r="R1140" s="9" t="n">
        <x:f>H1140*Z1139*v01_WomenShare*v01_BaseFertility*INDEX(v01_FertMult,G1140)*Arch_Fertility*(1-P1140)</x:f>
        <x:v>96.2505696680083</x:v>
      </x:c>
      <x:c r="S1140" s="9" t="n">
        <x:f>H1140*Y1139*INDEX(v01_MortChild,G1140)/4*Q1140</x:f>
        <x:v>16.615025833121116</x:v>
      </x:c>
      <x:c r="T1140" s="9" t="n">
        <x:f>H1140*Z1139*INDEX(v01_MortAdult,G1140)*Arch_AdultMort/4*Q1140</x:f>
        <x:v>6.935321379364712</x:v>
      </x:c>
      <x:c r="U1140" s="9" t="n">
        <x:f>H1140*AA1139*INDEX(v01_MortElder,G1140)/4*Q1140</x:f>
        <x:v>15.836434260225447</x:v>
      </x:c>
      <x:c r="V1140" s="9" t="n">
        <x:f>H1140*MAX(0,AB1139-O1140)*v01_OvercapLoss</x:f>
        <x:v>0</x:v>
      </x:c>
      <x:c r="W1140" s="9" t="n">
        <x:f>H1140*Y1139/(v01_ChildYears*4)</x:f>
        <x:v>53.94488906857506</x:v>
      </x:c>
      <x:c r="X1140" s="9" t="n">
        <x:f>H1140*Z1139/(v01_AdultYears*4)</x:f>
        <x:v>24.85778272173732</x:v>
      </x:c>
      <x:c r="Y1140" s="32" t="n">
        <x:f>Y1139+R1140-S1140-W1140-Y1139*V1140/AB1139</x:f>
        <x:v>3046.6044426065155</x:v>
      </x:c>
      <x:c r="Z1140" s="32" t="n">
        <x:f>Z1139+W1140-X1140-T1140-Z1139*V1140/AB1139</x:f>
        <x:v>3104.5168424629005</x:v>
      </x:c>
      <x:c r="AA1140" s="32" t="n">
        <x:f>AA1139+X1140-U1140-AA1139*V1140/AB1139</x:f>
        <x:v>1160.7620219324535</x:v>
      </x:c>
      <x:c r="AB1140" s="10" t="n">
        <x:f>Y1140+Z1140+AA1140</x:f>
        <x:v>7311.883307001869</x:v>
      </x:c>
      <x:c r="AC1140" s="8" t="n">
        <x:f>IF(AND(v01_WinterTrigger=1,D1140=1,AB1139/AE1139&gt;=K1140),1,0)</x:f>
        <x:v>0</x:v>
      </x:c>
      <x:c r="AD1140" s="8" t="n">
        <x:f>H1140*IF(AND(OR(AB1139/AE1139&gt;=v01_FissionTrigger*N1140,AC1140=1),AB1139/AE1139*v01_DaughterShare&gt;=v01_MinDaughter),MAX(1,ROUND(AE1139*v01_FissionRate,0)),0)</x:f>
        <x:v>0</x:v>
      </x:c>
      <x:c r="AE1140" s="8" t="n">
        <x:f>IF(H1140=1,MAX(1,MIN(INDEX(v01_Smax,G1140),AE1139+AD1140)),AE1139)</x:f>
        <x:v>16</x:v>
      </x:c>
      <x:c r="AF1140" s="8" t="n">
        <x:f>MAX(0,AE1140-AE1139)</x:f>
        <x:v>0</x:v>
      </x:c>
      <x:c r="AG1140" s="9" t="str">
        <x:f>IF(AF1140&gt;0,B1140,"")</x:f>
      </x:c>
      <x:c r="AH1140" s="9" t="n">
        <x:f>IF(F1140&gt;=1,1,(1+v01_LowTiesShare*(AE1140-1))/AE1140)</x:f>
        <x:v>1</x:v>
      </x:c>
      <x:c r="AI1140" s="32" t="n">
        <x:f>(Z1140+v01_ElderCommons*INDEX(LM_Elder,G1140)*AA1140)*AH1140</x:f>
        <x:v>7457.374424709602</x:v>
      </x:c>
      <x:c r="AJ1140" s="32" t="n">
        <x:f>H1140*v01_CommonsCoef*AI1140^v01_CommonsExp*INDEX(LM_Commons,G1140)</x:f>
        <x:v>1708.912217250042</x:v>
      </x:c>
      <x:c r="AK1140" s="32" t="n">
        <x:f>H1140*v01_RoleScale*Arch_Roles*(AE1140*(INDEX(v01_ElderRolePerSett,G1140)*v01_OutElder*INDEX(LM_Elder,G1140)+INDEX(v01_ShamanPerSett,G1140)*v01_OutShaman)+Z1140*(INDEX(v01_PriestShare,G1140)*v01_OutPriest+INDEX(v01_ScribeShare,G1140)*v01_OutScribe*INDEX(LM_Scribe,G1140)+INDEX(v01_ScholarShare,G1140)*v01_OutScholar*INDEX(LM_Scholar,G1140)+INDEX(v01_ResearcherShare,G1140)*v01_OutResearcher*INDEX(LM_Researcher,G1140)))</x:f>
        <x:v>445.47957383457174</x:v>
      </x:c>
      <x:c r="AL1140" s="32" t="n">
        <x:f>H1140*v01_RoleScale*Arch_Roles*AE1140*INDEX(v01_MonasteryPerSett,G1140)*v01_OutMonastery*INDEX(LM_Monastery,G1140)</x:f>
        <x:v>10.56</x:v>
      </x:c>
      <x:c r="AM1140" s="32" t="n">
        <x:f>(AJ1140+AK1140+AL1140)/4*INDEX(LM_All,G1140)*INDEX(v01_Boon,G1140)*Arch_Insight</x:f>
        <x:v>989.3153321977298</x:v>
      </x:c>
      <x:c r="AN1140" s="32" t="n">
        <x:f>H1140*(v01_KHPerAdult*Z1140+v01_KHOfCommons*AJ1140/4*INDEX(LM_All,G1140))*v01_KHUsable*Arch_KH</x:f>
        <x:v>108.65808948620152</x:v>
      </x:c>
      <x:c r="AO1140" s="32" t="n">
        <x:f>MIN(AP1139+AN1140,AM1140*v01_KHMaxRatio)</x:f>
        <x:v>108.65808948620152</x:v>
      </x:c>
      <x:c r="AP1140" s="32" t="n">
        <x:f>AP1139+AN1140-AO1140</x:f>
        <x:v>0</x:v>
      </x:c>
      <x:c r="AQ1140" s="32" t="n">
        <x:f>AM1140+AO1140</x:f>
        <x:v>1097.9734216839313</x:v>
      </x:c>
      <x:c r="AR1140" s="10" t="n">
        <x:f>IF(H1140=1,INDEX(v01_Req,G1140),0)</x:f>
        <x:v>113395.942036</x:v>
      </x:c>
      <x:c r="AS1140" s="32" t="n">
        <x:f>IF(H1140=1,IF(E1140=1,AS1139-AR1139,AS1139)+AQ1140,0)</x:f>
        <x:v>20220.4167110519</x:v>
      </x:c>
      <x:c r="AT1140" s="11" t="n">
        <x:f>IF(AR1140&gt;0,MIN(1,AS1140/AR1140),1)</x:f>
        <x:v>0.17831693399251</x:v>
      </x:c>
      <x:c r="AU1140" s="10" t="n">
        <x:f>AB1140/INDEX(v01_RepScale,G1140)</x:f>
        <x:v>146.2376661400374</x:v>
      </x:c>
      <x:c r="AV1140" s="32" t="n">
        <x:f>AM1140*60/v01_SeasonSeconds</x:f>
        <x:v>3957.2613287909194</x:v>
      </x:c>
    </x:row>
    <x:row r="1141">
      <x:c r="A1141" s="8" t="n">
        <x:f>A1140+1</x:f>
        <x:v>1138</x:v>
      </x:c>
      <x:c r="B1141" s="9" t="n">
        <x:f>A1141*v01_SeasonSeconds/60</x:f>
        <x:v>284.5</x:v>
      </x:c>
      <x:c r="C1141" s="9" t="n">
        <x:f>A1141/4</x:f>
        <x:v>284.5</x:v>
      </x:c>
      <x:c r="D1141" s="8" t="n">
        <x:f>IF(MOD(A1141,4)=0,1,0)</x:f>
        <x:v>0</x:v>
      </x:c>
      <x:c r="E1141" s="8" t="n">
        <x:f>IF(AND(F1140&lt;=9,AS1140&gt;=AR1140),1,0)</x:f>
        <x:v>0</x:v>
      </x:c>
      <x:c r="F1141" s="8" t="n">
        <x:f>MIN(10,F1140+E1141)</x:f>
        <x:v>6</x:v>
      </x:c>
      <x:c r="G1141" s="8" t="n">
        <x:f>MIN(F1141,9)+1</x:f>
        <x:v>7</x:v>
      </x:c>
      <x:c r="H1141" s="8" t="n">
        <x:f>IF(F1141&lt;=9,1,0)</x:f>
        <x:v>1</x:v>
      </x:c>
      <x:c r="I1141" s="9" t="n">
        <x:f>MIN(10,F1140+IF(AR1140&gt;0,MIN(1,AS1140/AR1140),1))</x:f>
        <x:v>6.17831693399251</x:v>
      </x:c>
      <x:c r="J1141" s="32" t="n">
        <x:f>INDEX(v01_FoodCap,G1141)*Arch_FoodCap*EXP(v01_CapsByProject*SUMPRODUCT((Cap_Point&lt;=I1141)*(Cap_Kind="Food")*Cap_Ln))</x:f>
        <x:v>1000</x:v>
      </x:c>
      <x:c r="K1141" s="32" t="n">
        <x:f>J1141*MIN(1,v01_LeanBase*EXP(v01_CapsByProject*SUMPRODUCT((Cap_Point&lt;=I1141)*(Cap_Kind="Lean")*Cap_Ln)))</x:f>
        <x:v>1000</x:v>
      </x:c>
      <x:c r="L1141" s="10" t="n">
        <x:f>INDEX(v01_HousingCap,G1141)*EXP(v01_CapsByProject*SUMPRODUCT((Cap_Point&lt;=I1141)*(Cap_Kind="Housing")*Cap_Ln))</x:f>
        <x:v>1600</x:v>
      </x:c>
      <x:c r="M1141" s="10" t="n">
        <x:f>INDEX(v01_GroupCap,G1141)*v01_CohesionFactor*EXP(v01_CapsByProject*SUMPRODUCT((Cap_Point&lt;=I1141)*(Cap_Kind="Group")*Cap_Ln))</x:f>
        <x:v>1000000</x:v>
      </x:c>
      <x:c r="N1141" s="32" t="n">
        <x:f>MIN(J1141,L1141,M1141)</x:f>
        <x:v>1000</x:v>
      </x:c>
      <x:c r="O1141" s="10" t="n">
        <x:f>AE1140*N1141</x:f>
        <x:v>16000</x:v>
      </x:c>
      <x:c r="P1141" s="9" t="n">
        <x:f>MIN(1,(AB1140/(AE1140*IF(v01_GroupInCrowding=1,N1141,MIN(J1141,L1141))))^v01_CrowdingExp)</x:f>
        <x:v>0.009108683552273133</x:v>
      </x:c>
      <x:c r="Q1141" s="9" t="n">
        <x:f>IF(D1141=1,INDEX(v01_WinterMult,G1141),1)</x:f>
        <x:v>1</x:v>
      </x:c>
      <x:c r="R1141" s="9" t="n">
        <x:f>H1141*Z1140*v01_WomenShare*v01_BaseFertility*INDEX(v01_FertMult,G1141)*Arch_Fertility*(1-P1141)</x:f>
        <x:v>96.90152160030942</x:v>
      </x:c>
      <x:c r="S1141" s="9" t="n">
        <x:f>H1141*Y1140*INDEX(v01_MortChild,G1141)/4*Q1141</x:f>
        <x:v>16.756324434335834</x:v>
      </x:c>
      <x:c r="T1141" s="9" t="n">
        <x:f>H1141*Z1140*INDEX(v01_MortAdult,G1141)*Arch_AdultMort/4*Q1141</x:f>
        <x:v>6.985162895541525</x:v>
      </x:c>
      <x:c r="U1141" s="9" t="n">
        <x:f>H1141*AA1140*INDEX(v01_MortElder,G1141)/4*Q1141</x:f>
        <x:v>15.960477801571237</x:v>
      </x:c>
      <x:c r="V1141" s="9" t="n">
        <x:f>H1141*MAX(0,AB1140-O1141)*v01_OvercapLoss</x:f>
        <x:v>0</x:v>
      </x:c>
      <x:c r="W1141" s="9" t="n">
        <x:f>H1141*Y1140/(v01_ChildYears*4)</x:f>
        <x:v>54.40365076083064</x:v>
      </x:c>
      <x:c r="X1141" s="9" t="n">
        <x:f>H1141*Z1140/(v01_AdultYears*4)</x:f>
        <x:v>25.03642614889436</x:v>
      </x:c>
      <x:c r="Y1141" s="32" t="n">
        <x:f>Y1140+R1141-S1141-W1141-Y1140*V1141/AB1140</x:f>
        <x:v>3072.3459890116583</x:v>
      </x:c>
      <x:c r="Z1141" s="32" t="n">
        <x:f>Z1140+W1141-X1141-T1141-Z1140*V1141/AB1140</x:f>
        <x:v>3126.898904179295</x:v>
      </x:c>
      <x:c r="AA1141" s="32" t="n">
        <x:f>AA1140+X1141-U1141-AA1140*V1141/AB1140</x:f>
        <x:v>1169.8379702797768</x:v>
      </x:c>
      <x:c r="AB1141" s="10" t="n">
        <x:f>Y1141+Z1141+AA1141</x:f>
        <x:v>7369.0828634707295</x:v>
      </x:c>
      <x:c r="AC1141" s="8" t="n">
        <x:f>IF(AND(v01_WinterTrigger=1,D1141=1,AB1140/AE1140&gt;=K1141),1,0)</x:f>
        <x:v>0</x:v>
      </x:c>
      <x:c r="AD1141" s="8" t="n">
        <x:f>H1141*IF(AND(OR(AB1140/AE1140&gt;=v01_FissionTrigger*N1141,AC1141=1),AB1140/AE1140*v01_DaughterShare&gt;=v01_MinDaughter),MAX(1,ROUND(AE1140*v01_FissionRate,0)),0)</x:f>
        <x:v>0</x:v>
      </x:c>
      <x:c r="AE1141" s="8" t="n">
        <x:f>IF(H1141=1,MAX(1,MIN(INDEX(v01_Smax,G1141),AE1140+AD1141)),AE1140)</x:f>
        <x:v>16</x:v>
      </x:c>
      <x:c r="AF1141" s="8" t="n">
        <x:f>MAX(0,AE1141-AE1140)</x:f>
        <x:v>0</x:v>
      </x:c>
      <x:c r="AG1141" s="9" t="str">
        <x:f>IF(AF1141&gt;0,B1141,"")</x:f>
      </x:c>
      <x:c r="AH1141" s="9" t="n">
        <x:f>IF(F1141&gt;=1,1,(1+v01_LowTiesShare*(AE1141-1))/AE1141)</x:f>
        <x:v>1</x:v>
      </x:c>
      <x:c r="AI1141" s="32" t="n">
        <x:f>(Z1141+v01_ElderCommons*INDEX(LM_Elder,G1141)*AA1141)*AH1141</x:f>
        <x:v>7513.791292728458</x:v>
      </x:c>
      <x:c r="AJ1141" s="32" t="n">
        <x:f>H1141*v01_CommonsCoef*AI1141^v01_CommonsExp*INDEX(LM_Commons,G1141)</x:f>
        <x:v>1719.8950894578013</x:v>
      </x:c>
      <x:c r="AK1141" s="32" t="n">
        <x:f>H1141*v01_RoleScale*Arch_Roles*(AE1141*(INDEX(v01_ElderRolePerSett,G1141)*v01_OutElder*INDEX(LM_Elder,G1141)+INDEX(v01_ShamanPerSett,G1141)*v01_OutShaman)+Z1141*(INDEX(v01_PriestShare,G1141)*v01_OutPriest+INDEX(v01_ScribeShare,G1141)*v01_OutScribe*INDEX(LM_Scribe,G1141)+INDEX(v01_ScholarShare,G1141)*v01_OutScholar*INDEX(LM_Scholar,G1141)+INDEX(v01_ResearcherShare,G1141)*v01_OutResearcher*INDEX(LM_Researcher,G1141)))</x:f>
        <x:v>448.30195181700907</x:v>
      </x:c>
      <x:c r="AL1141" s="32" t="n">
        <x:f>H1141*v01_RoleScale*Arch_Roles*AE1141*INDEX(v01_MonasteryPerSett,G1141)*v01_OutMonastery*INDEX(LM_Monastery,G1141)</x:f>
        <x:v>10.56</x:v>
      </x:c>
      <x:c r="AM1141" s="32" t="n">
        <x:f>(AJ1141+AK1141+AL1141)/4*INDEX(LM_All,G1141)*INDEX(v01_Boon,G1141)*Arch_Insight</x:f>
        <x:v>995.6239002380115</x:v>
      </x:c>
      <x:c r="AN1141" s="32" t="n">
        <x:f>H1141*(v01_KHPerAdult*Z1141+v01_KHOfCommons*AJ1141/4*INDEX(LM_All,G1141))*v01_KHUsable*Arch_KH</x:f>
        <x:v>109.44146164627533</x:v>
      </x:c>
      <x:c r="AO1141" s="32" t="n">
        <x:f>MIN(AP1140+AN1141,AM1141*v01_KHMaxRatio)</x:f>
        <x:v>109.44146164627533</x:v>
      </x:c>
      <x:c r="AP1141" s="32" t="n">
        <x:f>AP1140+AN1141-AO1141</x:f>
        <x:v>0</x:v>
      </x:c>
      <x:c r="AQ1141" s="32" t="n">
        <x:f>AM1141+AO1141</x:f>
        <x:v>1105.0653618842869</x:v>
      </x:c>
      <x:c r="AR1141" s="10" t="n">
        <x:f>IF(H1141=1,INDEX(v01_Req,G1141),0)</x:f>
        <x:v>113395.942036</x:v>
      </x:c>
      <x:c r="AS1141" s="32" t="n">
        <x:f>IF(H1141=1,IF(E1141=1,AS1140-AR1140,AS1140)+AQ1141,0)</x:f>
        <x:v>21325.48207293619</x:v>
      </x:c>
      <x:c r="AT1141" s="11" t="n">
        <x:f>IF(AR1141&gt;0,MIN(1,AS1141/AR1141),1)</x:f>
        <x:v>0.18806212718058246</x:v>
      </x:c>
      <x:c r="AU1141" s="10" t="n">
        <x:f>AB1141/INDEX(v01_RepScale,G1141)</x:f>
        <x:v>147.3816572694146</x:v>
      </x:c>
      <x:c r="AV1141" s="32" t="n">
        <x:f>AM1141*60/v01_SeasonSeconds</x:f>
        <x:v>3982.495600952046</x:v>
      </x:c>
    </x:row>
    <x:row r="1142">
      <x:c r="A1142" s="8" t="n">
        <x:f>A1141+1</x:f>
        <x:v>1139</x:v>
      </x:c>
      <x:c r="B1142" s="9" t="n">
        <x:f>A1142*v01_SeasonSeconds/60</x:f>
        <x:v>284.75</x:v>
      </x:c>
      <x:c r="C1142" s="9" t="n">
        <x:f>A1142/4</x:f>
        <x:v>284.75</x:v>
      </x:c>
      <x:c r="D1142" s="8" t="n">
        <x:f>IF(MOD(A1142,4)=0,1,0)</x:f>
        <x:v>0</x:v>
      </x:c>
      <x:c r="E1142" s="8" t="n">
        <x:f>IF(AND(F1141&lt;=9,AS1141&gt;=AR1141),1,0)</x:f>
        <x:v>0</x:v>
      </x:c>
      <x:c r="F1142" s="8" t="n">
        <x:f>MIN(10,F1141+E1142)</x:f>
        <x:v>6</x:v>
      </x:c>
      <x:c r="G1142" s="8" t="n">
        <x:f>MIN(F1142,9)+1</x:f>
        <x:v>7</x:v>
      </x:c>
      <x:c r="H1142" s="8" t="n">
        <x:f>IF(F1142&lt;=9,1,0)</x:f>
        <x:v>1</x:v>
      </x:c>
      <x:c r="I1142" s="9" t="n">
        <x:f>MIN(10,F1141+IF(AR1141&gt;0,MIN(1,AS1141/AR1141),1))</x:f>
        <x:v>6.188062127180583</x:v>
      </x:c>
      <x:c r="J1142" s="32" t="n">
        <x:f>INDEX(v01_FoodCap,G1142)*Arch_FoodCap*EXP(v01_CapsByProject*SUMPRODUCT((Cap_Point&lt;=I1142)*(Cap_Kind="Food")*Cap_Ln))</x:f>
        <x:v>1000</x:v>
      </x:c>
      <x:c r="K1142" s="32" t="n">
        <x:f>J1142*MIN(1,v01_LeanBase*EXP(v01_CapsByProject*SUMPRODUCT((Cap_Point&lt;=I1142)*(Cap_Kind="Lean")*Cap_Ln)))</x:f>
        <x:v>1000</x:v>
      </x:c>
      <x:c r="L1142" s="10" t="n">
        <x:f>INDEX(v01_HousingCap,G1142)*EXP(v01_CapsByProject*SUMPRODUCT((Cap_Point&lt;=I1142)*(Cap_Kind="Housing")*Cap_Ln))</x:f>
        <x:v>1600</x:v>
      </x:c>
      <x:c r="M1142" s="10" t="n">
        <x:f>INDEX(v01_GroupCap,G1142)*v01_CohesionFactor*EXP(v01_CapsByProject*SUMPRODUCT((Cap_Point&lt;=I1142)*(Cap_Kind="Group")*Cap_Ln))</x:f>
        <x:v>1000000</x:v>
      </x:c>
      <x:c r="N1142" s="32" t="n">
        <x:f>MIN(J1142,L1142,M1142)</x:f>
        <x:v>1000</x:v>
      </x:c>
      <x:c r="O1142" s="10" t="n">
        <x:f>AE1141*N1142</x:f>
        <x:v>16000</x:v>
      </x:c>
      <x:c r="P1142" s="9" t="n">
        <x:f>MIN(1,(AB1141/(AE1141*IF(v01_GroupInCrowding=1,N1142,MIN(J1142,L1142))))^v01_CrowdingExp)</x:f>
        <x:v>0.00954466619747525</x:v>
      </x:c>
      <x:c r="Q1142" s="9" t="n">
        <x:f>IF(D1142=1,INDEX(v01_WinterMult,G1142),1)</x:f>
        <x:v>1</x:v>
      </x:c>
      <x:c r="R1142" s="9" t="n">
        <x:f>H1142*Z1141*v01_WomenShare*v01_BaseFertility*INDEX(v01_FertMult,G1142)*Arch_Fertility*(1-P1142)</x:f>
        <x:v>97.55719148402804</x:v>
      </x:c>
      <x:c r="S1142" s="9" t="n">
        <x:f>H1142*Y1141*INDEX(v01_MortChild,G1142)/4*Q1142</x:f>
        <x:v>16.89790293956412</x:v>
      </x:c>
      <x:c r="T1142" s="9" t="n">
        <x:f>H1142*Z1141*INDEX(v01_MortAdult,G1142)*Arch_AdultMort/4*Q1142</x:f>
        <x:v>7.035522534403413</x:v>
      </x:c>
      <x:c r="U1142" s="9" t="n">
        <x:f>H1142*AA1141*INDEX(v01_MortElder,G1142)/4*Q1142</x:f>
        <x:v>16.08527209134693</x:v>
      </x:c>
      <x:c r="V1142" s="9" t="n">
        <x:f>H1142*MAX(0,AB1141-O1142)*v01_OvercapLoss</x:f>
        <x:v>0</x:v>
      </x:c>
      <x:c r="W1142" s="9" t="n">
        <x:f>H1142*Y1141/(v01_ChildYears*4)</x:f>
        <x:v>54.86332123235104</x:v>
      </x:c>
      <x:c r="X1142" s="9" t="n">
        <x:f>H1142*Z1141/(v01_AdultYears*4)</x:f>
        <x:v>25.21692664660722</x:v>
      </x:c>
      <x:c r="Y1142" s="32" t="n">
        <x:f>Y1141+R1142-S1142-W1142-Y1141*V1142/AB1141</x:f>
        <x:v>3098.141956323771</x:v>
      </x:c>
      <x:c r="Z1142" s="32" t="n">
        <x:f>Z1141+W1142-X1142-T1142-Z1141*V1142/AB1141</x:f>
        <x:v>3149.509776230636</x:v>
      </x:c>
      <x:c r="AA1142" s="32" t="n">
        <x:f>AA1141+X1142-U1142-AA1141*V1142/AB1141</x:f>
        <x:v>1178.969624835037</x:v>
      </x:c>
      <x:c r="AB1142" s="10" t="n">
        <x:f>Y1142+Z1142+AA1142</x:f>
        <x:v>7426.621357389444</x:v>
      </x:c>
      <x:c r="AC1142" s="8" t="n">
        <x:f>IF(AND(v01_WinterTrigger=1,D1142=1,AB1141/AE1141&gt;=K1142),1,0)</x:f>
        <x:v>0</x:v>
      </x:c>
      <x:c r="AD1142" s="8" t="n">
        <x:f>H1142*IF(AND(OR(AB1141/AE1141&gt;=v01_FissionTrigger*N1142,AC1142=1),AB1141/AE1141*v01_DaughterShare&gt;=v01_MinDaughter),MAX(1,ROUND(AE1141*v01_FissionRate,0)),0)</x:f>
        <x:v>0</x:v>
      </x:c>
      <x:c r="AE1142" s="8" t="n">
        <x:f>IF(H1142=1,MAX(1,MIN(INDEX(v01_Smax,G1142),AE1141+AD1142)),AE1141)</x:f>
        <x:v>16</x:v>
      </x:c>
      <x:c r="AF1142" s="8" t="n">
        <x:f>MAX(0,AE1142-AE1141)</x:f>
        <x:v>0</x:v>
      </x:c>
      <x:c r="AG1142" s="9" t="str">
        <x:f>IF(AF1142&gt;0,B1142,"")</x:f>
      </x:c>
      <x:c r="AH1142" s="9" t="n">
        <x:f>IF(F1142&gt;=1,1,(1+v01_LowTiesShare*(AE1142-1))/AE1142)</x:f>
        <x:v>1</x:v>
      </x:c>
      <x:c r="AI1142" s="32" t="n">
        <x:f>(Z1142+v01_ElderCommons*INDEX(LM_Elder,G1142)*AA1142)*AH1142</x:f>
        <x:v>7570.645869362024</x:v>
      </x:c>
      <x:c r="AJ1142" s="32" t="n">
        <x:f>H1142*v01_CommonsCoef*AI1142^v01_CommonsExp*INDEX(LM_Commons,G1142)</x:f>
        <x:v>1730.950665187753</x:v>
      </x:c>
      <x:c r="AK1142" s="32" t="n">
        <x:f>H1142*v01_RoleScale*Arch_Roles*(AE1142*(INDEX(v01_ElderRolePerSett,G1142)*v01_OutElder*INDEX(LM_Elder,G1142)+INDEX(v01_ShamanPerSett,G1142)*v01_OutShaman)+Z1142*(INDEX(v01_PriestShare,G1142)*v01_OutPriest+INDEX(v01_ScribeShare,G1142)*v01_OutScribe*INDEX(LM_Scribe,G1142)+INDEX(v01_ScholarShare,G1142)*v01_OutScholar*INDEX(LM_Scholar,G1142)+INDEX(v01_ResearcherShare,G1142)*v01_OutResearcher*INDEX(LM_Researcher,G1142)))</x:f>
        <x:v>451.15318278268313</x:v>
      </x:c>
      <x:c r="AL1142" s="32" t="n">
        <x:f>H1142*v01_RoleScale*Arch_Roles*AE1142*INDEX(v01_MonasteryPerSett,G1142)*v01_OutMonastery*INDEX(LM_Monastery,G1142)</x:f>
        <x:v>10.56</x:v>
      </x:c>
      <x:c r="AM1142" s="32" t="n">
        <x:f>(AJ1142+AK1142+AL1142)/4*INDEX(LM_All,G1142)*INDEX(v01_Boon,G1142)*Arch_Insight</x:f>
        <x:v>1001.9788764284975</x:v>
      </x:c>
      <x:c r="AN1142" s="32" t="n">
        <x:f>H1142*(v01_KHPerAdult*Z1142+v01_KHOfCommons*AJ1142/4*INDEX(LM_All,G1142))*v01_KHUsable*Arch_KH</x:f>
        <x:v>110.23284216807227</x:v>
      </x:c>
      <x:c r="AO1142" s="32" t="n">
        <x:f>MIN(AP1141+AN1142,AM1142*v01_KHMaxRatio)</x:f>
        <x:v>110.23284216807227</x:v>
      </x:c>
      <x:c r="AP1142" s="32" t="n">
        <x:f>AP1141+AN1142-AO1142</x:f>
        <x:v>0</x:v>
      </x:c>
      <x:c r="AQ1142" s="32" t="n">
        <x:f>AM1142+AO1142</x:f>
        <x:v>1112.2117185965699</x:v>
      </x:c>
      <x:c r="AR1142" s="10" t="n">
        <x:f>IF(H1142=1,INDEX(v01_Req,G1142),0)</x:f>
        <x:v>113395.942036</x:v>
      </x:c>
      <x:c r="AS1142" s="32" t="n">
        <x:f>IF(H1142=1,IF(E1142=1,AS1141-AR1141,AS1141)+AQ1142,0)</x:f>
        <x:v>22437.693791532758</x:v>
      </x:c>
      <x:c r="AT1142" s="11" t="n">
        <x:f>IF(AR1142&gt;0,MIN(1,AS1142/AR1142),1)</x:f>
        <x:v>0.19787034164246747</x:v>
      </x:c>
      <x:c r="AU1142" s="10" t="n">
        <x:f>AB1142/INDEX(v01_RepScale,G1142)</x:f>
        <x:v>148.53242714778887</x:v>
      </x:c>
      <x:c r="AV1142" s="32" t="n">
        <x:f>AM1142*60/v01_SeasonSeconds</x:f>
        <x:v>4007.91550571399</x:v>
      </x:c>
    </x:row>
    <x:row r="1143">
      <x:c r="A1143" s="8" t="n">
        <x:f>A1142+1</x:f>
        <x:v>1140</x:v>
      </x:c>
      <x:c r="B1143" s="9" t="n">
        <x:f>A1143*v01_SeasonSeconds/60</x:f>
        <x:v>285</x:v>
      </x:c>
      <x:c r="C1143" s="9" t="n">
        <x:f>A1143/4</x:f>
        <x:v>285</x:v>
      </x:c>
      <x:c r="D1143" s="8" t="n">
        <x:f>IF(MOD(A1143,4)=0,1,0)</x:f>
        <x:v>1</x:v>
      </x:c>
      <x:c r="E1143" s="8" t="n">
        <x:f>IF(AND(F1142&lt;=9,AS1142&gt;=AR1142),1,0)</x:f>
        <x:v>0</x:v>
      </x:c>
      <x:c r="F1143" s="8" t="n">
        <x:f>MIN(10,F1142+E1143)</x:f>
        <x:v>6</x:v>
      </x:c>
      <x:c r="G1143" s="8" t="n">
        <x:f>MIN(F1143,9)+1</x:f>
        <x:v>7</x:v>
      </x:c>
      <x:c r="H1143" s="8" t="n">
        <x:f>IF(F1143&lt;=9,1,0)</x:f>
        <x:v>1</x:v>
      </x:c>
      <x:c r="I1143" s="9" t="n">
        <x:f>MIN(10,F1142+IF(AR1142&gt;0,MIN(1,AS1142/AR1142),1))</x:f>
        <x:v>6.197870341642467</x:v>
      </x:c>
      <x:c r="J1143" s="32" t="n">
        <x:f>INDEX(v01_FoodCap,G1143)*Arch_FoodCap*EXP(v01_CapsByProject*SUMPRODUCT((Cap_Point&lt;=I1143)*(Cap_Kind="Food")*Cap_Ln))</x:f>
        <x:v>1000</x:v>
      </x:c>
      <x:c r="K1143" s="32" t="n">
        <x:f>J1143*MIN(1,v01_LeanBase*EXP(v01_CapsByProject*SUMPRODUCT((Cap_Point&lt;=I1143)*(Cap_Kind="Lean")*Cap_Ln)))</x:f>
        <x:v>1000</x:v>
      </x:c>
      <x:c r="L1143" s="10" t="n">
        <x:f>INDEX(v01_HousingCap,G1143)*EXP(v01_CapsByProject*SUMPRODUCT((Cap_Point&lt;=I1143)*(Cap_Kind="Housing")*Cap_Ln))</x:f>
        <x:v>1600</x:v>
      </x:c>
      <x:c r="M1143" s="10" t="n">
        <x:f>INDEX(v01_GroupCap,G1143)*v01_CohesionFactor*EXP(v01_CapsByProject*SUMPRODUCT((Cap_Point&lt;=I1143)*(Cap_Kind="Group")*Cap_Ln))</x:f>
        <x:v>1000000</x:v>
      </x:c>
      <x:c r="N1143" s="32" t="n">
        <x:f>MIN(J1143,L1143,M1143)</x:f>
        <x:v>1000</x:v>
      </x:c>
      <x:c r="O1143" s="10" t="n">
        <x:f>AE1142*N1143</x:f>
        <x:v>16000</x:v>
      </x:c>
      <x:c r="P1143" s="9" t="n">
        <x:f>MIN(1,(AB1142/(AE1142*IF(v01_GroupInCrowding=1,N1143,MIN(J1143,L1143))))^v01_CrowdingExp)</x:f>
        <x:v>0.0100006400749131</x:v>
      </x:c>
      <x:c r="Q1143" s="9" t="n">
        <x:f>IF(D1143=1,INDEX(v01_WinterMult,G1143),1)</x:f>
        <x:v>1</x:v>
      </x:c>
      <x:c r="R1143" s="9" t="n">
        <x:f>H1143*Z1142*v01_WomenShare*v01_BaseFertility*INDEX(v01_FertMult,G1143)*Arch_Fertility*(1-P1143)</x:f>
        <x:v>98.2173988702032</x:v>
      </x:c>
      <x:c r="S1143" s="9" t="n">
        <x:f>H1143*Y1142*INDEX(v01_MortChild,G1143)/4*Q1143</x:f>
        <x:v>17.03978075978074</x:v>
      </x:c>
      <x:c r="T1143" s="9" t="n">
        <x:f>H1143*Z1142*INDEX(v01_MortAdult,G1143)*Arch_AdultMort/4*Q1143</x:f>
        <x:v>7.08639699651893</x:v>
      </x:c>
      <x:c r="U1143" s="9" t="n">
        <x:f>H1143*AA1142*INDEX(v01_MortElder,G1143)/4*Q1143</x:f>
        <x:v>16.21083234148176</x:v>
      </x:c>
      <x:c r="V1143" s="9" t="n">
        <x:f>H1143*MAX(0,AB1142-O1143)*v01_OvercapLoss</x:f>
        <x:v>0</x:v>
      </x:c>
      <x:c r="W1143" s="9" t="n">
        <x:f>H1143*Y1142/(v01_ChildYears*4)</x:f>
        <x:v>55.32396350578163</x:v>
      </x:c>
      <x:c r="X1143" s="9" t="n">
        <x:f>H1143*Z1142/(v01_AdultYears*4)</x:f>
        <x:v>25.399272388956742</x:v>
      </x:c>
      <x:c r="Y1143" s="32" t="n">
        <x:f>Y1142+R1143-S1143-W1143-Y1142*V1143/AB1142</x:f>
        <x:v>3123.995610928412</x:v>
      </x:c>
      <x:c r="Z1143" s="32" t="n">
        <x:f>Z1142+W1143-X1143-T1143-Z1142*V1143/AB1142</x:f>
        <x:v>3172.3480703509417</x:v>
      </x:c>
      <x:c r="AA1143" s="32" t="n">
        <x:f>AA1142+X1143-U1143-AA1142*V1143/AB1142</x:f>
        <x:v>1188.1580648825118</x:v>
      </x:c>
      <x:c r="AB1143" s="10" t="n">
        <x:f>Y1143+Z1143+AA1143</x:f>
        <x:v>7484.501746161865</x:v>
      </x:c>
      <x:c r="AC1143" s="8" t="n">
        <x:f>IF(AND(v01_WinterTrigger=1,D1143=1,AB1142/AE1142&gt;=K1143),1,0)</x:f>
        <x:v>0</x:v>
      </x:c>
      <x:c r="AD1143" s="8" t="n">
        <x:f>H1143*IF(AND(OR(AB1142/AE1142&gt;=v01_FissionTrigger*N1143,AC1143=1),AB1142/AE1142*v01_DaughterShare&gt;=v01_MinDaughter),MAX(1,ROUND(AE1142*v01_FissionRate,0)),0)</x:f>
        <x:v>0</x:v>
      </x:c>
      <x:c r="AE1143" s="8" t="n">
        <x:f>IF(H1143=1,MAX(1,MIN(INDEX(v01_Smax,G1143),AE1142+AD1143)),AE1142)</x:f>
        <x:v>16</x:v>
      </x:c>
      <x:c r="AF1143" s="8" t="n">
        <x:f>MAX(0,AE1143-AE1142)</x:f>
        <x:v>0</x:v>
      </x:c>
      <x:c r="AG1143" s="9" t="str">
        <x:f>IF(AF1143&gt;0,B1143,"")</x:f>
      </x:c>
      <x:c r="AH1143" s="9" t="n">
        <x:f>IF(F1143&gt;=1,1,(1+v01_LowTiesShare*(AE1143-1))/AE1143)</x:f>
        <x:v>1</x:v>
      </x:c>
      <x:c r="AI1143" s="32" t="n">
        <x:f>(Z1143+v01_ElderCommons*INDEX(LM_Elder,G1143)*AA1143)*AH1143</x:f>
        <x:v>7627.9408136603615</x:v>
      </x:c>
      <x:c r="AJ1143" s="32" t="n">
        <x:f>H1143*v01_CommonsCoef*AI1143^v01_CommonsExp*INDEX(LM_Commons,G1143)</x:f>
        <x:v>1742.0792802719252</x:v>
      </x:c>
      <x:c r="AK1143" s="32" t="n">
        <x:f>H1143*v01_RoleScale*Arch_Roles*(AE1143*(INDEX(v01_ElderRolePerSett,G1143)*v01_OutElder*INDEX(LM_Elder,G1143)+INDEX(v01_ShamanPerSett,G1143)*v01_OutShaman)+Z1143*(INDEX(v01_PriestShare,G1143)*v01_OutPriest+INDEX(v01_ScribeShare,G1143)*v01_OutScribe*INDEX(LM_Scribe,G1143)+INDEX(v01_ScholarShare,G1143)*v01_OutScholar*INDEX(LM_Scholar,G1143)+INDEX(v01_ResearcherShare,G1143)*v01_OutResearcher*INDEX(LM_Researcher,G1143)))</x:f>
        <x:v>454.0330916712537</x:v>
      </x:c>
      <x:c r="AL1143" s="32" t="n">
        <x:f>H1143*v01_RoleScale*Arch_Roles*AE1143*INDEX(v01_MonasteryPerSett,G1143)*v01_OutMonastery*INDEX(LM_Monastery,G1143)</x:f>
        <x:v>10.56</x:v>
      </x:c>
      <x:c r="AM1143" s="32" t="n">
        <x:f>(AJ1143+AK1143+AL1143)/4*INDEX(LM_All,G1143)*INDEX(v01_Boon,G1143)*Arch_Insight</x:f>
        <x:v>1008.3803342368262</x:v>
      </x:c>
      <x:c r="AN1143" s="32" t="n">
        <x:f>H1143*(v01_KHPerAdult*Z1143+v01_KHOfCommons*AJ1143/4*INDEX(LM_All,G1143))*v01_KHUsable*Arch_KH</x:f>
        <x:v>111.03218246228296</x:v>
      </x:c>
      <x:c r="AO1143" s="32" t="n">
        <x:f>MIN(AP1142+AN1143,AM1143*v01_KHMaxRatio)</x:f>
        <x:v>111.03218246228296</x:v>
      </x:c>
      <x:c r="AP1143" s="32" t="n">
        <x:f>AP1142+AN1143-AO1143</x:f>
        <x:v>0</x:v>
      </x:c>
      <x:c r="AQ1143" s="32" t="n">
        <x:f>AM1143+AO1143</x:f>
        <x:v>1119.4125166991091</x:v>
      </x:c>
      <x:c r="AR1143" s="10" t="n">
        <x:f>IF(H1143=1,INDEX(v01_Req,G1143),0)</x:f>
        <x:v>113395.942036</x:v>
      </x:c>
      <x:c r="AS1143" s="32" t="n">
        <x:f>IF(H1143=1,IF(E1143=1,AS1142-AR1142,AS1142)+AQ1143,0)</x:f>
        <x:v>23557.10630823187</x:v>
      </x:c>
      <x:c r="AT1143" s="11" t="n">
        <x:f>IF(AR1143&gt;0,MIN(1,AS1143/AR1143),1)</x:f>
        <x:v>0.2077420574781517</x:v>
      </x:c>
      <x:c r="AU1143" s="10" t="n">
        <x:f>AB1143/INDEX(v01_RepScale,G1143)</x:f>
        <x:v>149.6900349232373</x:v>
      </x:c>
      <x:c r="AV1143" s="32" t="n">
        <x:f>AM1143*60/v01_SeasonSeconds</x:f>
        <x:v>4033.521336947305</x:v>
      </x:c>
    </x:row>
    <x:row r="1144">
      <x:c r="A1144" s="8" t="n">
        <x:f>A1143+1</x:f>
        <x:v>1141</x:v>
      </x:c>
      <x:c r="B1144" s="9" t="n">
        <x:f>A1144*v01_SeasonSeconds/60</x:f>
        <x:v>285.25</x:v>
      </x:c>
      <x:c r="C1144" s="9" t="n">
        <x:f>A1144/4</x:f>
        <x:v>285.25</x:v>
      </x:c>
      <x:c r="D1144" s="8" t="n">
        <x:f>IF(MOD(A1144,4)=0,1,0)</x:f>
        <x:v>0</x:v>
      </x:c>
      <x:c r="E1144" s="8" t="n">
        <x:f>IF(AND(F1143&lt;=9,AS1143&gt;=AR1143),1,0)</x:f>
        <x:v>0</x:v>
      </x:c>
      <x:c r="F1144" s="8" t="n">
        <x:f>MIN(10,F1143+E1144)</x:f>
        <x:v>6</x:v>
      </x:c>
      <x:c r="G1144" s="8" t="n">
        <x:f>MIN(F1144,9)+1</x:f>
        <x:v>7</x:v>
      </x:c>
      <x:c r="H1144" s="8" t="n">
        <x:f>IF(F1144&lt;=9,1,0)</x:f>
        <x:v>1</x:v>
      </x:c>
      <x:c r="I1144" s="9" t="n">
        <x:f>MIN(10,F1143+IF(AR1143&gt;0,MIN(1,AS1143/AR1143),1))</x:f>
        <x:v>6.207742057478152</x:v>
      </x:c>
      <x:c r="J1144" s="32" t="n">
        <x:f>INDEX(v01_FoodCap,G1144)*Arch_FoodCap*EXP(v01_CapsByProject*SUMPRODUCT((Cap_Point&lt;=I1144)*(Cap_Kind="Food")*Cap_Ln))</x:f>
        <x:v>1000</x:v>
      </x:c>
      <x:c r="K1144" s="32" t="n">
        <x:f>J1144*MIN(1,v01_LeanBase*EXP(v01_CapsByProject*SUMPRODUCT((Cap_Point&lt;=I1144)*(Cap_Kind="Lean")*Cap_Ln)))</x:f>
        <x:v>1000</x:v>
      </x:c>
      <x:c r="L1144" s="10" t="n">
        <x:f>INDEX(v01_HousingCap,G1144)*EXP(v01_CapsByProject*SUMPRODUCT((Cap_Point&lt;=I1144)*(Cap_Kind="Housing")*Cap_Ln))</x:f>
        <x:v>1600</x:v>
      </x:c>
      <x:c r="M1144" s="10" t="n">
        <x:f>INDEX(v01_GroupCap,G1144)*v01_CohesionFactor*EXP(v01_CapsByProject*SUMPRODUCT((Cap_Point&lt;=I1144)*(Cap_Kind="Group")*Cap_Ln))</x:f>
        <x:v>1000000</x:v>
      </x:c>
      <x:c r="N1144" s="32" t="n">
        <x:f>MIN(J1144,L1144,M1144)</x:f>
        <x:v>1000</x:v>
      </x:c>
      <x:c r="O1144" s="10" t="n">
        <x:f>AE1143*N1144</x:f>
        <x:v>16000</x:v>
      </x:c>
      <x:c r="P1144" s="9" t="n">
        <x:f>MIN(1,(AB1143/(AE1143*IF(v01_GroupInCrowding=1,N1144,MIN(J1144,L1144))))^v01_CrowdingExp)</x:f>
        <x:v>0.010477495146692951</x:v>
      </x:c>
      <x:c r="Q1144" s="9" t="n">
        <x:f>IF(D1144=1,INDEX(v01_WinterMult,G1144),1)</x:f>
        <x:v>1</x:v>
      </x:c>
      <x:c r="R1144" s="9" t="n">
        <x:f>H1144*Z1143*v01_WomenShare*v01_BaseFertility*INDEX(v01_FertMult,G1144)*Arch_Fertility*(1-P1144)</x:f>
        <x:v>98.88195897846688</x:v>
      </x:c>
      <x:c r="S1144" s="9" t="n">
        <x:f>H1144*Y1143*INDEX(v01_MortChild,G1144)/4*Q1144</x:f>
        <x:v>17.181975860106267</x:v>
      </x:c>
      <x:c r="T1144" s="9" t="n">
        <x:f>H1144*Z1143*INDEX(v01_MortAdult,G1144)*Arch_AdultMort/4*Q1144</x:f>
        <x:v>7.1377831582896185</x:v>
      </x:c>
      <x:c r="U1144" s="9" t="n">
        <x:f>H1144*AA1143*INDEX(v01_MortElder,G1144)/4*Q1144</x:f>
        <x:v>16.337173392134538</x:v>
      </x:c>
      <x:c r="V1144" s="9" t="n">
        <x:f>H1144*MAX(0,AB1143-O1144)*v01_OvercapLoss</x:f>
        <x:v>0</x:v>
      </x:c>
      <x:c r="W1144" s="9" t="n">
        <x:f>H1144*Y1143/(v01_ChildYears*4)</x:f>
        <x:v>55.78563590943593</x:v>
      </x:c>
      <x:c r="X1144" s="9" t="n">
        <x:f>H1144*Z1143/(v01_AdultYears*4)</x:f>
        <x:v>25.58345218024953</x:v>
      </x:c>
      <x:c r="Y1144" s="32" t="n">
        <x:f>Y1143+R1144-S1144-W1144-Y1143*V1144/AB1143</x:f>
        <x:v>3149.909958137337</x:v>
      </x:c>
      <x:c r="Z1144" s="32" t="n">
        <x:f>Z1143+W1144-X1144-T1144-Z1143*V1144/AB1143</x:f>
        <x:v>3195.4124709218386</x:v>
      </x:c>
      <x:c r="AA1144" s="32" t="n">
        <x:f>AA1143+X1144-U1144-AA1143*V1144/AB1143</x:f>
        <x:v>1197.4043436706268</x:v>
      </x:c>
      <x:c r="AB1144" s="10" t="n">
        <x:f>Y1144+Z1144+AA1144</x:f>
        <x:v>7542.726772729802</x:v>
      </x:c>
      <x:c r="AC1144" s="8" t="n">
        <x:f>IF(AND(v01_WinterTrigger=1,D1144=1,AB1143/AE1143&gt;=K1144),1,0)</x:f>
        <x:v>0</x:v>
      </x:c>
      <x:c r="AD1144" s="8" t="n">
        <x:f>H1144*IF(AND(OR(AB1143/AE1143&gt;=v01_FissionTrigger*N1144,AC1144=1),AB1143/AE1143*v01_DaughterShare&gt;=v01_MinDaughter),MAX(1,ROUND(AE1143*v01_FissionRate,0)),0)</x:f>
        <x:v>0</x:v>
      </x:c>
      <x:c r="AE1144" s="8" t="n">
        <x:f>IF(H1144=1,MAX(1,MIN(INDEX(v01_Smax,G1144),AE1143+AD1144)),AE1143)</x:f>
        <x:v>16</x:v>
      </x:c>
      <x:c r="AF1144" s="8" t="n">
        <x:f>MAX(0,AE1144-AE1143)</x:f>
        <x:v>0</x:v>
      </x:c>
      <x:c r="AG1144" s="9" t="str">
        <x:f>IF(AF1144&gt;0,B1144,"")</x:f>
      </x:c>
      <x:c r="AH1144" s="9" t="n">
        <x:f>IF(F1144&gt;=1,1,(1+v01_LowTiesShare*(AE1144-1))/AE1144)</x:f>
        <x:v>1</x:v>
      </x:c>
      <x:c r="AI1144" s="32" t="n">
        <x:f>(Z1144+v01_ElderCommons*INDEX(LM_Elder,G1144)*AA1144)*AH1144</x:f>
        <x:v>7685.678759686689</x:v>
      </x:c>
      <x:c r="AJ1144" s="32" t="n">
        <x:f>H1144*v01_CommonsCoef*AI1144^v01_CommonsExp*INDEX(LM_Commons,G1144)</x:f>
        <x:v>1753.2812643912848</x:v>
      </x:c>
      <x:c r="AK1144" s="32" t="n">
        <x:f>H1144*v01_RoleScale*Arch_Roles*(AE1144*(INDEX(v01_ElderRolePerSett,G1144)*v01_OutElder*INDEX(LM_Elder,G1144)+INDEX(v01_ShamanPerSett,G1144)*v01_OutShaman)+Z1144*(INDEX(v01_PriestShare,G1144)*v01_OutPriest+INDEX(v01_ScribeShare,G1144)*v01_OutScribe*INDEX(LM_Scribe,G1144)+INDEX(v01_ScholarShare,G1144)*v01_OutScholar*INDEX(LM_Scholar,G1144)+INDEX(v01_ResearcherShare,G1144)*v01_OutResearcher*INDEX(LM_Researcher,G1144)))</x:f>
        <x:v>456.9415125832438</x:v>
      </x:c>
      <x:c r="AL1144" s="32" t="n">
        <x:f>H1144*v01_RoleScale*Arch_Roles*AE1144*INDEX(v01_MonasteryPerSett,G1144)*v01_OutMonastery*INDEX(LM_Monastery,G1144)</x:f>
        <x:v>10.56</x:v>
      </x:c>
      <x:c r="AM1144" s="32" t="n">
        <x:f>(AJ1144+AK1144+AL1144)/4*INDEX(LM_All,G1144)*INDEX(v01_Boon,G1144)*Arch_Insight</x:f>
        <x:v>1014.8283485060218</x:v>
      </x:c>
      <x:c r="AN1144" s="32" t="n">
        <x:f>H1144*(v01_KHPerAdult*Z1144+v01_KHOfCommons*AJ1144/4*INDEX(LM_All,G1144))*v01_KHUsable*Arch_KH</x:f>
        <x:v>111.83943648226435</x:v>
      </x:c>
      <x:c r="AO1144" s="32" t="n">
        <x:f>MIN(AP1143+AN1144,AM1144*v01_KHMaxRatio)</x:f>
        <x:v>111.83943648226435</x:v>
      </x:c>
      <x:c r="AP1144" s="32" t="n">
        <x:f>AP1143+AN1144-AO1144</x:f>
        <x:v>0</x:v>
      </x:c>
      <x:c r="AQ1144" s="32" t="n">
        <x:f>AM1144+AO1144</x:f>
        <x:v>1126.6677849882863</x:v>
      </x:c>
      <x:c r="AR1144" s="10" t="n">
        <x:f>IF(H1144=1,INDEX(v01_Req,G1144),0)</x:f>
        <x:v>113395.942036</x:v>
      </x:c>
      <x:c r="AS1144" s="32" t="n">
        <x:f>IF(H1144=1,IF(E1144=1,AS1143-AR1143,AS1143)+AQ1144,0)</x:f>
        <x:v>24683.774093220156</x:v>
      </x:c>
      <x:c r="AT1144" s="11" t="n">
        <x:f>IF(AR1144&gt;0,MIN(1,AS1144/AR1144),1)</x:f>
        <x:v>0.21767775504156717</x:v>
      </x:c>
      <x:c r="AU1144" s="10" t="n">
        <x:f>AB1144/INDEX(v01_RepScale,G1144)</x:f>
        <x:v>150.85453545459603</x:v>
      </x:c>
      <x:c r="AV1144" s="32" t="n">
        <x:f>AM1144*60/v01_SeasonSeconds</x:f>
        <x:v>4059.3133940240873</x:v>
      </x:c>
    </x:row>
    <x:row r="1145">
      <x:c r="A1145" s="8" t="n">
        <x:f>A1144+1</x:f>
        <x:v>1142</x:v>
      </x:c>
      <x:c r="B1145" s="9" t="n">
        <x:f>A1145*v01_SeasonSeconds/60</x:f>
        <x:v>285.5</x:v>
      </x:c>
      <x:c r="C1145" s="9" t="n">
        <x:f>A1145/4</x:f>
        <x:v>285.5</x:v>
      </x:c>
      <x:c r="D1145" s="8" t="n">
        <x:f>IF(MOD(A1145,4)=0,1,0)</x:f>
        <x:v>0</x:v>
      </x:c>
      <x:c r="E1145" s="8" t="n">
        <x:f>IF(AND(F1144&lt;=9,AS1144&gt;=AR1144),1,0)</x:f>
        <x:v>0</x:v>
      </x:c>
      <x:c r="F1145" s="8" t="n">
        <x:f>MIN(10,F1144+E1145)</x:f>
        <x:v>6</x:v>
      </x:c>
      <x:c r="G1145" s="8" t="n">
        <x:f>MIN(F1145,9)+1</x:f>
        <x:v>7</x:v>
      </x:c>
      <x:c r="H1145" s="8" t="n">
        <x:f>IF(F1145&lt;=9,1,0)</x:f>
        <x:v>1</x:v>
      </x:c>
      <x:c r="I1145" s="9" t="n">
        <x:f>MIN(10,F1144+IF(AR1144&gt;0,MIN(1,AS1144/AR1144),1))</x:f>
        <x:v>6.217677755041567</x:v>
      </x:c>
      <x:c r="J1145" s="32" t="n">
        <x:f>INDEX(v01_FoodCap,G1145)*Arch_FoodCap*EXP(v01_CapsByProject*SUMPRODUCT((Cap_Point&lt;=I1145)*(Cap_Kind="Food")*Cap_Ln))</x:f>
        <x:v>1000</x:v>
      </x:c>
      <x:c r="K1145" s="32" t="n">
        <x:f>J1145*MIN(1,v01_LeanBase*EXP(v01_CapsByProject*SUMPRODUCT((Cap_Point&lt;=I1145)*(Cap_Kind="Lean")*Cap_Ln)))</x:f>
        <x:v>1000</x:v>
      </x:c>
      <x:c r="L1145" s="10" t="n">
        <x:f>INDEX(v01_HousingCap,G1145)*EXP(v01_CapsByProject*SUMPRODUCT((Cap_Point&lt;=I1145)*(Cap_Kind="Housing")*Cap_Ln))</x:f>
        <x:v>1600</x:v>
      </x:c>
      <x:c r="M1145" s="10" t="n">
        <x:f>INDEX(v01_GroupCap,G1145)*v01_CohesionFactor*EXP(v01_CapsByProject*SUMPRODUCT((Cap_Point&lt;=I1145)*(Cap_Kind="Group")*Cap_Ln))</x:f>
        <x:v>1000000</x:v>
      </x:c>
      <x:c r="N1145" s="32" t="n">
        <x:f>MIN(J1145,L1145,M1145)</x:f>
        <x:v>1000</x:v>
      </x:c>
      <x:c r="O1145" s="10" t="n">
        <x:f>AE1144*N1145</x:f>
        <x:v>16000</x:v>
      </x:c>
      <x:c r="P1145" s="9" t="n">
        <x:f>MIN(1,(AB1144/(AE1144*IF(v01_GroupInCrowding=1,N1145,MIN(J1145,L1145))))^v01_CrowdingExp)</x:f>
        <x:v>0.010976158276101025</x:v>
      </x:c>
      <x:c r="Q1145" s="9" t="n">
        <x:f>IF(D1145=1,INDEX(v01_WinterMult,G1145),1)</x:f>
        <x:v>1</x:v>
      </x:c>
      <x:c r="R1145" s="9" t="n">
        <x:f>H1145*Z1144*v01_WomenShare*v01_BaseFertility*INDEX(v01_FertMult,G1145)*Arch_Fertility*(1-P1145)</x:f>
        <x:v>99.55068221333256</x:v>
      </x:c>
      <x:c r="S1145" s="9" t="n">
        <x:f>H1145*Y1144*INDEX(v01_MortChild,G1145)/4*Q1145</x:f>
        <x:v>17.324504769755354</x:v>
      </x:c>
      <x:c r="T1145" s="9" t="n">
        <x:f>H1145*Z1144*INDEX(v01_MortAdult,G1145)*Arch_AdultMort/4*Q1145</x:f>
        <x:v>7.1896780595741365</x:v>
      </x:c>
      <x:c r="U1145" s="9" t="n">
        <x:f>H1145*AA1144*INDEX(v01_MortElder,G1145)/4*Q1145</x:f>
        <x:v>16.464309725471118</x:v>
      </x:c>
      <x:c r="V1145" s="9" t="n">
        <x:f>H1145*MAX(0,AB1144-O1145)*v01_OvercapLoss</x:f>
        <x:v>0</x:v>
      </x:c>
      <x:c r="W1145" s="9" t="n">
        <x:f>H1145*Y1144/(v01_ChildYears*4)</x:f>
        <x:v>56.24839210959531</x:v>
      </x:c>
      <x:c r="X1145" s="9" t="n">
        <x:f>H1145*Z1144/(v01_AdultYears*4)</x:f>
        <x:v>25.76945541065999</x:v>
      </x:c>
      <x:c r="Y1145" s="32" t="n">
        <x:f>Y1144+R1145-S1145-W1145-Y1144*V1145/AB1144</x:f>
        <x:v>3175.8877434713186</x:v>
      </x:c>
      <x:c r="Z1145" s="32" t="n">
        <x:f>Z1144+W1145-X1145-T1145-Z1144*V1145/AB1144</x:f>
        <x:v>3218.7017295611995</x:v>
      </x:c>
      <x:c r="AA1145" s="32" t="n">
        <x:f>AA1144+X1145-U1145-AA1144*V1145/AB1144</x:f>
        <x:v>1206.7094893558155</x:v>
      </x:c>
      <x:c r="AB1145" s="10" t="n">
        <x:f>Y1145+Z1145+AA1145</x:f>
        <x:v>7601.298962388333</x:v>
      </x:c>
      <x:c r="AC1145" s="8" t="n">
        <x:f>IF(AND(v01_WinterTrigger=1,D1145=1,AB1144/AE1144&gt;=K1145),1,0)</x:f>
        <x:v>0</x:v>
      </x:c>
      <x:c r="AD1145" s="8" t="n">
        <x:f>H1145*IF(AND(OR(AB1144/AE1144&gt;=v01_FissionTrigger*N1145,AC1145=1),AB1144/AE1144*v01_DaughterShare&gt;=v01_MinDaughter),MAX(1,ROUND(AE1144*v01_FissionRate,0)),0)</x:f>
        <x:v>0</x:v>
      </x:c>
      <x:c r="AE1145" s="8" t="n">
        <x:f>IF(H1145=1,MAX(1,MIN(INDEX(v01_Smax,G1145),AE1144+AD1145)),AE1144)</x:f>
        <x:v>16</x:v>
      </x:c>
      <x:c r="AF1145" s="8" t="n">
        <x:f>MAX(0,AE1145-AE1144)</x:f>
        <x:v>0</x:v>
      </x:c>
      <x:c r="AG1145" s="9" t="str">
        <x:f>IF(AF1145&gt;0,B1145,"")</x:f>
      </x:c>
      <x:c r="AH1145" s="9" t="n">
        <x:f>IF(F1145&gt;=1,1,(1+v01_LowTiesShare*(AE1145-1))/AE1145)</x:f>
        <x:v>1</x:v>
      </x:c>
      <x:c r="AI1145" s="32" t="n">
        <x:f>(Z1145+v01_ElderCommons*INDEX(LM_Elder,G1145)*AA1145)*AH1145</x:f>
        <x:v>7743.8623146455075</x:v>
      </x:c>
      <x:c r="AJ1145" s="32" t="n">
        <x:f>H1145*v01_CommonsCoef*AI1145^v01_CommonsExp*INDEX(LM_Commons,G1145)</x:f>
        <x:v>1764.556940749109</x:v>
      </x:c>
      <x:c r="AK1145" s="32" t="n">
        <x:f>H1145*v01_RoleScale*Arch_Roles*(AE1145*(INDEX(v01_ElderRolePerSett,G1145)*v01_OutElder*INDEX(LM_Elder,G1145)+INDEX(v01_ShamanPerSett,G1145)*v01_OutShaman)+Z1145*(INDEX(v01_PriestShare,G1145)*v01_OutPriest+INDEX(v01_ScribeShare,G1145)*v01_OutScribe*INDEX(LM_Scribe,G1145)+INDEX(v01_ScholarShare,G1145)*v01_OutScholar*INDEX(LM_Scholar,G1145)+INDEX(v01_ResearcherShare,G1145)*v01_OutResearcher*INDEX(LM_Researcher,G1145)))</x:f>
        <x:v>459.8782880976672</x:v>
      </x:c>
      <x:c r="AL1145" s="32" t="n">
        <x:f>H1145*v01_RoleScale*Arch_Roles*AE1145*INDEX(v01_MonasteryPerSett,G1145)*v01_OutMonastery*INDEX(LM_Monastery,G1145)</x:f>
        <x:v>10.56</x:v>
      </x:c>
      <x:c r="AM1145" s="32" t="n">
        <x:f>(AJ1145+AK1145+AL1145)/4*INDEX(LM_All,G1145)*INDEX(v01_Boon,G1145)*Arch_Insight</x:f>
        <x:v>1021.3229949934121</x:v>
      </x:c>
      <x:c r="AN1145" s="32" t="n">
        <x:f>H1145*(v01_KHPerAdult*Z1145+v01_KHOfCommons*AJ1145/4*INDEX(LM_All,G1145))*v01_KHUsable*Arch_KH</x:f>
        <x:v>112.65456053464199</x:v>
      </x:c>
      <x:c r="AO1145" s="32" t="n">
        <x:f>MIN(AP1144+AN1145,AM1145*v01_KHMaxRatio)</x:f>
        <x:v>112.65456053464199</x:v>
      </x:c>
      <x:c r="AP1145" s="32" t="n">
        <x:f>AP1144+AN1145-AO1145</x:f>
        <x:v>0</x:v>
      </x:c>
      <x:c r="AQ1145" s="32" t="n">
        <x:f>AM1145+AO1145</x:f>
        <x:v>1133.9775555280542</x:v>
      </x:c>
      <x:c r="AR1145" s="10" t="n">
        <x:f>IF(H1145=1,INDEX(v01_Req,G1145),0)</x:f>
        <x:v>113395.942036</x:v>
      </x:c>
      <x:c r="AS1145" s="32" t="n">
        <x:f>IF(H1145=1,IF(E1145=1,AS1144-AR1144,AS1144)+AQ1145,0)</x:f>
        <x:v>25817.75164874821</x:v>
      </x:c>
      <x:c r="AT1145" s="11" t="n">
        <x:f>IF(AR1145&gt;0,MIN(1,AS1145/AR1145),1)</x:f>
        <x:v>0.22767791496940698</x:v>
      </x:c>
      <x:c r="AU1145" s="10" t="n">
        <x:f>AB1145/INDEX(v01_RepScale,G1145)</x:f>
        <x:v>152.02597924776666</x:v>
      </x:c>
      <x:c r="AV1145" s="32" t="n">
        <x:f>AM1145*60/v01_SeasonSeconds</x:f>
        <x:v>4085.2919799736483</x:v>
      </x:c>
    </x:row>
    <x:row r="1146">
      <x:c r="A1146" s="8" t="n">
        <x:f>A1145+1</x:f>
        <x:v>1143</x:v>
      </x:c>
      <x:c r="B1146" s="9" t="n">
        <x:f>A1146*v01_SeasonSeconds/60</x:f>
        <x:v>285.75</x:v>
      </x:c>
      <x:c r="C1146" s="9" t="n">
        <x:f>A1146/4</x:f>
        <x:v>285.75</x:v>
      </x:c>
      <x:c r="D1146" s="8" t="n">
        <x:f>IF(MOD(A1146,4)=0,1,0)</x:f>
        <x:v>0</x:v>
      </x:c>
      <x:c r="E1146" s="8" t="n">
        <x:f>IF(AND(F1145&lt;=9,AS1145&gt;=AR1145),1,0)</x:f>
        <x:v>0</x:v>
      </x:c>
      <x:c r="F1146" s="8" t="n">
        <x:f>MIN(10,F1145+E1146)</x:f>
        <x:v>6</x:v>
      </x:c>
      <x:c r="G1146" s="8" t="n">
        <x:f>MIN(F1146,9)+1</x:f>
        <x:v>7</x:v>
      </x:c>
      <x:c r="H1146" s="8" t="n">
        <x:f>IF(F1146&lt;=9,1,0)</x:f>
        <x:v>1</x:v>
      </x:c>
      <x:c r="I1146" s="9" t="n">
        <x:f>MIN(10,F1145+IF(AR1145&gt;0,MIN(1,AS1145/AR1145),1))</x:f>
        <x:v>6.227677914969407</x:v>
      </x:c>
      <x:c r="J1146" s="32" t="n">
        <x:f>INDEX(v01_FoodCap,G1146)*Arch_FoodCap*EXP(v01_CapsByProject*SUMPRODUCT((Cap_Point&lt;=I1146)*(Cap_Kind="Food")*Cap_Ln))</x:f>
        <x:v>1000</x:v>
      </x:c>
      <x:c r="K1146" s="32" t="n">
        <x:f>J1146*MIN(1,v01_LeanBase*EXP(v01_CapsByProject*SUMPRODUCT((Cap_Point&lt;=I1146)*(Cap_Kind="Lean")*Cap_Ln)))</x:f>
        <x:v>1000</x:v>
      </x:c>
      <x:c r="L1146" s="10" t="n">
        <x:f>INDEX(v01_HousingCap,G1146)*EXP(v01_CapsByProject*SUMPRODUCT((Cap_Point&lt;=I1146)*(Cap_Kind="Housing")*Cap_Ln))</x:f>
        <x:v>1600</x:v>
      </x:c>
      <x:c r="M1146" s="10" t="n">
        <x:f>INDEX(v01_GroupCap,G1146)*v01_CohesionFactor*EXP(v01_CapsByProject*SUMPRODUCT((Cap_Point&lt;=I1146)*(Cap_Kind="Group")*Cap_Ln))</x:f>
        <x:v>1000000</x:v>
      </x:c>
      <x:c r="N1146" s="32" t="n">
        <x:f>MIN(J1146,L1146,M1146)</x:f>
        <x:v>1000</x:v>
      </x:c>
      <x:c r="O1146" s="10" t="n">
        <x:f>AE1145*N1146</x:f>
        <x:v>16000</x:v>
      </x:c>
      <x:c r="P1146" s="9" t="n">
        <x:f>MIN(1,(AB1145/(AE1145*IF(v01_GroupInCrowding=1,N1146,MIN(J1146,L1146))))^v01_CrowdingExp)</x:f>
        <x:v>0.01149759448524082</x:v>
      </x:c>
      <x:c r="Q1146" s="9" t="n">
        <x:f>IF(D1146=1,INDEX(v01_WinterMult,G1146),1)</x:f>
        <x:v>1</x:v>
      </x:c>
      <x:c r="R1146" s="9" t="n">
        <x:f>H1146*Z1145*v01_WomenShare*v01_BaseFertility*INDEX(v01_FertMult,G1146)*Arch_Fertility*(1-P1146)</x:f>
        <x:v>100.2233736726315</x:v>
      </x:c>
      <x:c r="S1146" s="9" t="n">
        <x:f>H1146*Y1145*INDEX(v01_MortChild,G1146)/4*Q1146</x:f>
        <x:v>17.46738258909225</x:v>
      </x:c>
      <x:c r="T1146" s="9" t="n">
        <x:f>H1146*Z1145*INDEX(v01_MortAdult,G1146)*Arch_AdultMort/4*Q1146</x:f>
        <x:v>7.242078891512699</x:v>
      </x:c>
      <x:c r="U1146" s="9" t="n">
        <x:f>H1146*AA1145*INDEX(v01_MortElder,G1146)/4*Q1146</x:f>
        <x:v>16.592255478642464</x:v>
      </x:c>
      <x:c r="V1146" s="9" t="n">
        <x:f>H1146*MAX(0,AB1145-O1146)*v01_OvercapLoss</x:f>
        <x:v>0</x:v>
      </x:c>
      <x:c r="W1146" s="9" t="n">
        <x:f>H1146*Y1145/(v01_ChildYears*4)</x:f>
        <x:v>56.712281133416404</x:v>
      </x:c>
      <x:c r="X1146" s="9" t="n">
        <x:f>H1146*Z1145/(v01_AdultYears*4)</x:f>
        <x:v>25.95727201259032</x:v>
      </x:c>
      <x:c r="Y1146" s="32" t="n">
        <x:f>Y1145+R1146-S1146-W1146-Y1145*V1146/AB1145</x:f>
        <x:v>3201.9314534214413</x:v>
      </x:c>
      <x:c r="Z1146" s="32" t="n">
        <x:f>Z1145+W1146-X1146-T1146-Z1145*V1146/AB1145</x:f>
        <x:v>3242.214659790513</x:v>
      </x:c>
      <x:c r="AA1146" s="32" t="n">
        <x:f>AA1145+X1146-U1146-AA1145*V1146/AB1145</x:f>
        <x:v>1216.0745058897633</x:v>
      </x:c>
      <x:c r="AB1146" s="10" t="n">
        <x:f>Y1146+Z1146+AA1146</x:f>
        <x:v>7660.220619101718</x:v>
      </x:c>
      <x:c r="AC1146" s="8" t="n">
        <x:f>IF(AND(v01_WinterTrigger=1,D1146=1,AB1145/AE1145&gt;=K1146),1,0)</x:f>
        <x:v>0</x:v>
      </x:c>
      <x:c r="AD1146" s="8" t="n">
        <x:f>H1146*IF(AND(OR(AB1145/AE1145&gt;=v01_FissionTrigger*N1146,AC1146=1),AB1145/AE1145*v01_DaughterShare&gt;=v01_MinDaughter),MAX(1,ROUND(AE1145*v01_FissionRate,0)),0)</x:f>
        <x:v>0</x:v>
      </x:c>
      <x:c r="AE1146" s="8" t="n">
        <x:f>IF(H1146=1,MAX(1,MIN(INDEX(v01_Smax,G1146),AE1145+AD1146)),AE1145)</x:f>
        <x:v>16</x:v>
      </x:c>
      <x:c r="AF1146" s="8" t="n">
        <x:f>MAX(0,AE1146-AE1145)</x:f>
        <x:v>0</x:v>
      </x:c>
      <x:c r="AG1146" s="9" t="str">
        <x:f>IF(AF1146&gt;0,B1146,"")</x:f>
      </x:c>
      <x:c r="AH1146" s="9" t="n">
        <x:f>IF(F1146&gt;=1,1,(1+v01_LowTiesShare*(AE1146-1))/AE1146)</x:f>
        <x:v>1</x:v>
      </x:c>
      <x:c r="AI1146" s="32" t="n">
        <x:f>(Z1146+v01_ElderCommons*INDEX(LM_Elder,G1146)*AA1146)*AH1146</x:f>
        <x:v>7802.494056877125</x:v>
      </x:c>
      <x:c r="AJ1146" s="32" t="n">
        <x:f>H1146*v01_CommonsCoef*AI1146^v01_CommonsExp*INDEX(LM_Commons,G1146)</x:f>
        <x:v>1775.9066257208801</x:v>
      </x:c>
      <x:c r="AK1146" s="32" t="n">
        <x:f>H1146*v01_RoleScale*Arch_Roles*(AE1146*(INDEX(v01_ElderRolePerSett,G1146)*v01_OutElder*INDEX(LM_Elder,G1146)+INDEX(v01_ShamanPerSett,G1146)*v01_OutShaman)+Z1146*(INDEX(v01_PriestShare,G1146)*v01_OutPriest+INDEX(v01_ScribeShare,G1146)*v01_OutScribe*INDEX(LM_Scribe,G1146)+INDEX(v01_ScholarShare,G1146)*v01_OutScholar*INDEX(LM_Scholar,G1146)+INDEX(v01_ResearcherShare,G1146)*v01_OutResearcher*INDEX(LM_Researcher,G1146)))</x:f>
        <x:v>462.84326859958367</x:v>
      </x:c>
      <x:c r="AL1146" s="32" t="n">
        <x:f>H1146*v01_RoleScale*Arch_Roles*AE1146*INDEX(v01_MonasteryPerSett,G1146)*v01_OutMonastery*INDEX(LM_Monastery,G1146)</x:f>
        <x:v>10.56</x:v>
      </x:c>
      <x:c r="AM1146" s="32" t="n">
        <x:f>(AJ1146+AK1146+AL1146)/4*INDEX(LM_All,G1146)*INDEX(v01_Boon,G1146)*Arch_Insight</x:f>
        <x:v>1027.8643499033547</x:v>
      </x:c>
      <x:c r="AN1146" s="32" t="n">
        <x:f>H1146*(v01_KHPerAdult*Z1146+v01_KHOfCommons*AJ1146/4*INDEX(LM_All,G1146))*v01_KHUsable*Arch_KH</x:f>
        <x:v>113.47751309266796</x:v>
      </x:c>
      <x:c r="AO1146" s="32" t="n">
        <x:f>MIN(AP1145+AN1146,AM1146*v01_KHMaxRatio)</x:f>
        <x:v>113.47751309266796</x:v>
      </x:c>
      <x:c r="AP1146" s="32" t="n">
        <x:f>AP1145+AN1146-AO1146</x:f>
        <x:v>0</x:v>
      </x:c>
      <x:c r="AQ1146" s="32" t="n">
        <x:f>AM1146+AO1146</x:f>
        <x:v>1141.3418629960227</x:v>
      </x:c>
      <x:c r="AR1146" s="10" t="n">
        <x:f>IF(H1146=1,INDEX(v01_Req,G1146),0)</x:f>
        <x:v>113395.942036</x:v>
      </x:c>
      <x:c r="AS1146" s="32" t="n">
        <x:f>IF(H1146=1,IF(E1146=1,AS1145-AR1145,AS1145)+AQ1146,0)</x:f>
        <x:v>26959.09351174423</x:v>
      </x:c>
      <x:c r="AT1146" s="11" t="n">
        <x:f>IF(AR1146&gt;0,MIN(1,AS1146/AR1146),1)</x:f>
        <x:v>0.23774301820417423</x:v>
      </x:c>
      <x:c r="AU1146" s="10" t="n">
        <x:f>AB1146/INDEX(v01_RepScale,G1146)</x:f>
        <x:v>153.20441238203435</x:v>
      </x:c>
      <x:c r="AV1146" s="32" t="n">
        <x:f>AM1146*60/v01_SeasonSeconds</x:f>
        <x:v>4111.457399613419</x:v>
      </x:c>
    </x:row>
    <x:row r="1147">
      <x:c r="A1147" s="8" t="n">
        <x:f>A1146+1</x:f>
        <x:v>1144</x:v>
      </x:c>
      <x:c r="B1147" s="9" t="n">
        <x:f>A1147*v01_SeasonSeconds/60</x:f>
        <x:v>286</x:v>
      </x:c>
      <x:c r="C1147" s="9" t="n">
        <x:f>A1147/4</x:f>
        <x:v>286</x:v>
      </x:c>
      <x:c r="D1147" s="8" t="n">
        <x:f>IF(MOD(A1147,4)=0,1,0)</x:f>
        <x:v>1</x:v>
      </x:c>
      <x:c r="E1147" s="8" t="n">
        <x:f>IF(AND(F1146&lt;=9,AS1146&gt;=AR1146),1,0)</x:f>
        <x:v>0</x:v>
      </x:c>
      <x:c r="F1147" s="8" t="n">
        <x:f>MIN(10,F1146+E1147)</x:f>
        <x:v>6</x:v>
      </x:c>
      <x:c r="G1147" s="8" t="n">
        <x:f>MIN(F1147,9)+1</x:f>
        <x:v>7</x:v>
      </x:c>
      <x:c r="H1147" s="8" t="n">
        <x:f>IF(F1147&lt;=9,1,0)</x:f>
        <x:v>1</x:v>
      </x:c>
      <x:c r="I1147" s="9" t="n">
        <x:f>MIN(10,F1146+IF(AR1146&gt;0,MIN(1,AS1146/AR1146),1))</x:f>
        <x:v>6.237743018204174</x:v>
      </x:c>
      <x:c r="J1147" s="32" t="n">
        <x:f>INDEX(v01_FoodCap,G1147)*Arch_FoodCap*EXP(v01_CapsByProject*SUMPRODUCT((Cap_Point&lt;=I1147)*(Cap_Kind="Food")*Cap_Ln))</x:f>
        <x:v>1000</x:v>
      </x:c>
      <x:c r="K1147" s="32" t="n">
        <x:f>J1147*MIN(1,v01_LeanBase*EXP(v01_CapsByProject*SUMPRODUCT((Cap_Point&lt;=I1147)*(Cap_Kind="Lean")*Cap_Ln)))</x:f>
        <x:v>1000</x:v>
      </x:c>
      <x:c r="L1147" s="10" t="n">
        <x:f>INDEX(v01_HousingCap,G1147)*EXP(v01_CapsByProject*SUMPRODUCT((Cap_Point&lt;=I1147)*(Cap_Kind="Housing")*Cap_Ln))</x:f>
        <x:v>1600</x:v>
      </x:c>
      <x:c r="M1147" s="10" t="n">
        <x:f>INDEX(v01_GroupCap,G1147)*v01_CohesionFactor*EXP(v01_CapsByProject*SUMPRODUCT((Cap_Point&lt;=I1147)*(Cap_Kind="Group")*Cap_Ln))</x:f>
        <x:v>1000000</x:v>
      </x:c>
      <x:c r="N1147" s="32" t="n">
        <x:f>MIN(J1147,L1147,M1147)</x:f>
        <x:v>1000</x:v>
      </x:c>
      <x:c r="O1147" s="10" t="n">
        <x:f>AE1146*N1147</x:f>
        <x:v>16000</x:v>
      </x:c>
      <x:c r="P1147" s="9" t="n">
        <x:f>MIN(1,(AB1146/(AE1146*IF(v01_GroupInCrowding=1,N1147,MIN(J1147,L1147))))^v01_CrowdingExp)</x:f>
        <x:v>0.012042808228643698</x:v>
      </x:c>
      <x:c r="Q1147" s="9" t="n">
        <x:f>IF(D1147=1,INDEX(v01_WinterMult,G1147),1)</x:f>
        <x:v>1</x:v>
      </x:c>
      <x:c r="R1147" s="9" t="n">
        <x:f>H1147*Z1146*v01_WomenShare*v01_BaseFertility*INDEX(v01_FertMult,G1147)*Arch_Fertility*(1-P1147)</x:f>
        <x:v>100.8998326478066</x:v>
      </x:c>
      <x:c r="S1147" s="9" t="n">
        <x:f>H1147*Y1146*INDEX(v01_MortChild,G1147)/4*Q1147</x:f>
        <x:v>17.610622993817927</x:v>
      </x:c>
      <x:c r="T1147" s="9" t="n">
        <x:f>H1147*Z1146*INDEX(v01_MortAdult,G1147)*Arch_AdultMort/4*Q1147</x:f>
        <x:v>7.294982984528653</x:v>
      </x:c>
      <x:c r="U1147" s="9" t="n">
        <x:f>H1147*AA1146*INDEX(v01_MortElder,G1147)/4*Q1147</x:f>
        <x:v>16.721024455984246</x:v>
      </x:c>
      <x:c r="V1147" s="9" t="n">
        <x:f>H1147*MAX(0,AB1146-O1147)*v01_OvercapLoss</x:f>
        <x:v>0</x:v>
      </x:c>
      <x:c r="W1147" s="9" t="n">
        <x:f>H1147*Y1146/(v01_ChildYears*4)</x:f>
        <x:v>57.17734738252574</x:v>
      </x:c>
      <x:c r="X1147" s="9" t="n">
        <x:f>H1147*Z1146/(v01_AdultYears*4)</x:f>
        <x:v>26.146892417665427</x:v>
      </x:c>
      <x:c r="Y1147" s="32" t="n">
        <x:f>Y1146+R1147-S1147-W1147-Y1146*V1147/AB1146</x:f>
        <x:v>3228.043315692905</x:v>
      </x:c>
      <x:c r="Z1147" s="32" t="n">
        <x:f>Z1146+W1147-X1147-T1147-Z1146*V1147/AB1146</x:f>
        <x:v>3265.950131770844</x:v>
      </x:c>
      <x:c r="AA1147" s="32" t="n">
        <x:f>AA1146+X1147-U1147-AA1146*V1147/AB1146</x:f>
        <x:v>1225.5003738514445</x:v>
      </x:c>
      <x:c r="AB1147" s="10" t="n">
        <x:f>Y1147+Z1147+AA1147</x:f>
        <x:v>7719.493821315193</x:v>
      </x:c>
      <x:c r="AC1147" s="8" t="n">
        <x:f>IF(AND(v01_WinterTrigger=1,D1147=1,AB1146/AE1146&gt;=K1147),1,0)</x:f>
        <x:v>0</x:v>
      </x:c>
      <x:c r="AD1147" s="8" t="n">
        <x:f>H1147*IF(AND(OR(AB1146/AE1146&gt;=v01_FissionTrigger*N1147,AC1147=1),AB1146/AE1146*v01_DaughterShare&gt;=v01_MinDaughter),MAX(1,ROUND(AE1146*v01_FissionRate,0)),0)</x:f>
        <x:v>0</x:v>
      </x:c>
      <x:c r="AE1147" s="8" t="n">
        <x:f>IF(H1147=1,MAX(1,MIN(INDEX(v01_Smax,G1147),AE1146+AD1147)),AE1146)</x:f>
        <x:v>16</x:v>
      </x:c>
      <x:c r="AF1147" s="8" t="n">
        <x:f>MAX(0,AE1147-AE1146)</x:f>
        <x:v>0</x:v>
      </x:c>
      <x:c r="AG1147" s="9" t="str">
        <x:f>IF(AF1147&gt;0,B1147,"")</x:f>
      </x:c>
      <x:c r="AH1147" s="9" t="n">
        <x:f>IF(F1147&gt;=1,1,(1+v01_LowTiesShare*(AE1147-1))/AE1147)</x:f>
        <x:v>1</x:v>
      </x:c>
      <x:c r="AI1147" s="32" t="n">
        <x:f>(Z1147+v01_ElderCommons*INDEX(LM_Elder,G1147)*AA1147)*AH1147</x:f>
        <x:v>7861.57653371376</x:v>
      </x:c>
      <x:c r="AJ1147" s="32" t="n">
        <x:f>H1147*v01_CommonsCoef*AI1147^v01_CommonsExp*INDEX(LM_Commons,G1147)</x:f>
        <x:v>1787.3306284799673</x:v>
      </x:c>
      <x:c r="AK1147" s="32" t="n">
        <x:f>H1147*v01_RoleScale*Arch_Roles*(AE1147*(INDEX(v01_ElderRolePerSett,G1147)*v01_OutElder*INDEX(LM_Elder,G1147)+INDEX(v01_ShamanPerSett,G1147)*v01_OutShaman)+Z1147*(INDEX(v01_PriestShare,G1147)*v01_OutPriest+INDEX(v01_ScribeShare,G1147)*v01_OutScribe*INDEX(LM_Scribe,G1147)+INDEX(v01_ScholarShare,G1147)*v01_OutScholar*INDEX(LM_Scholar,G1147)+INDEX(v01_ResearcherShare,G1147)*v01_OutResearcher*INDEX(LM_Researcher,G1147)))</x:f>
        <x:v>465.8363116163034</x:v>
      </x:c>
      <x:c r="AL1147" s="32" t="n">
        <x:f>H1147*v01_RoleScale*Arch_Roles*AE1147*INDEX(v01_MonasteryPerSett,G1147)*v01_OutMonastery*INDEX(LM_Monastery,G1147)</x:f>
        <x:v>10.56</x:v>
      </x:c>
      <x:c r="AM1147" s="32" t="n">
        <x:f>(AJ1147+AK1147+AL1147)/4*INDEX(LM_All,G1147)*INDEX(v01_Boon,G1147)*Arch_Insight</x:f>
        <x:v>1034.4524894128526</x:v>
      </x:c>
      <x:c r="AN1147" s="32" t="n">
        <x:f>H1147*(v01_KHPerAdult*Z1147+v01_KHOfCommons*AJ1147/4*INDEX(LM_All,G1147))*v01_KHUsable*Arch_KH</x:f>
        <x:v>114.30825461197954</x:v>
      </x:c>
      <x:c r="AO1147" s="32" t="n">
        <x:f>MIN(AP1146+AN1147,AM1147*v01_KHMaxRatio)</x:f>
        <x:v>114.30825461197954</x:v>
      </x:c>
      <x:c r="AP1147" s="32" t="n">
        <x:f>AP1146+AN1147-AO1147</x:f>
        <x:v>0</x:v>
      </x:c>
      <x:c r="AQ1147" s="32" t="n">
        <x:f>AM1147+AO1147</x:f>
        <x:v>1148.760744024832</x:v>
      </x:c>
      <x:c r="AR1147" s="10" t="n">
        <x:f>IF(H1147=1,INDEX(v01_Req,G1147),0)</x:f>
        <x:v>113395.942036</x:v>
      </x:c>
      <x:c r="AS1147" s="32" t="n">
        <x:f>IF(H1147=1,IF(E1147=1,AS1146-AR1146,AS1146)+AQ1147,0)</x:f>
        <x:v>28107.854255769063</x:v>
      </x:c>
      <x:c r="AT1147" s="11" t="n">
        <x:f>IF(AR1147&gt;0,MIN(1,AS1147/AR1147),1)</x:f>
        <x:v>0.24787354601142267</x:v>
      </x:c>
      <x:c r="AU1147" s="10" t="n">
        <x:f>AB1147/INDEX(v01_RepScale,G1147)</x:f>
        <x:v>154.38987642630386</x:v>
      </x:c>
      <x:c r="AV1147" s="32" t="n">
        <x:f>AM1147*60/v01_SeasonSeconds</x:f>
        <x:v>4137.8099576514105</x:v>
      </x:c>
    </x:row>
    <x:row r="1148">
      <x:c r="A1148" s="8" t="n">
        <x:f>A1147+1</x:f>
        <x:v>1145</x:v>
      </x:c>
      <x:c r="B1148" s="9" t="n">
        <x:f>A1148*v01_SeasonSeconds/60</x:f>
        <x:v>286.25</x:v>
      </x:c>
      <x:c r="C1148" s="9" t="n">
        <x:f>A1148/4</x:f>
        <x:v>286.25</x:v>
      </x:c>
      <x:c r="D1148" s="8" t="n">
        <x:f>IF(MOD(A1148,4)=0,1,0)</x:f>
        <x:v>0</x:v>
      </x:c>
      <x:c r="E1148" s="8" t="n">
        <x:f>IF(AND(F1147&lt;=9,AS1147&gt;=AR1147),1,0)</x:f>
        <x:v>0</x:v>
      </x:c>
      <x:c r="F1148" s="8" t="n">
        <x:f>MIN(10,F1147+E1148)</x:f>
        <x:v>6</x:v>
      </x:c>
      <x:c r="G1148" s="8" t="n">
        <x:f>MIN(F1148,9)+1</x:f>
        <x:v>7</x:v>
      </x:c>
      <x:c r="H1148" s="8" t="n">
        <x:f>IF(F1148&lt;=9,1,0)</x:f>
        <x:v>1</x:v>
      </x:c>
      <x:c r="I1148" s="9" t="n">
        <x:f>MIN(10,F1147+IF(AR1147&gt;0,MIN(1,AS1147/AR1147),1))</x:f>
        <x:v>6.247873546011423</x:v>
      </x:c>
      <x:c r="J1148" s="32" t="n">
        <x:f>INDEX(v01_FoodCap,G1148)*Arch_FoodCap*EXP(v01_CapsByProject*SUMPRODUCT((Cap_Point&lt;=I1148)*(Cap_Kind="Food")*Cap_Ln))</x:f>
        <x:v>1000</x:v>
      </x:c>
      <x:c r="K1148" s="32" t="n">
        <x:f>J1148*MIN(1,v01_LeanBase*EXP(v01_CapsByProject*SUMPRODUCT((Cap_Point&lt;=I1148)*(Cap_Kind="Lean")*Cap_Ln)))</x:f>
        <x:v>1000</x:v>
      </x:c>
      <x:c r="L1148" s="10" t="n">
        <x:f>INDEX(v01_HousingCap,G1148)*EXP(v01_CapsByProject*SUMPRODUCT((Cap_Point&lt;=I1148)*(Cap_Kind="Housing")*Cap_Ln))</x:f>
        <x:v>1600</x:v>
      </x:c>
      <x:c r="M1148" s="10" t="n">
        <x:f>INDEX(v01_GroupCap,G1148)*v01_CohesionFactor*EXP(v01_CapsByProject*SUMPRODUCT((Cap_Point&lt;=I1148)*(Cap_Kind="Group")*Cap_Ln))</x:f>
        <x:v>1000000</x:v>
      </x:c>
      <x:c r="N1148" s="32" t="n">
        <x:f>MIN(J1148,L1148,M1148)</x:f>
        <x:v>1000</x:v>
      </x:c>
      <x:c r="O1148" s="10" t="n">
        <x:f>AE1147*N1148</x:f>
        <x:v>16000</x:v>
      </x:c>
      <x:c r="P1148" s="9" t="n">
        <x:f>MIN(1,(AB1147/(AE1147*IF(v01_GroupInCrowding=1,N1148,MIN(J1148,L1148))))^v01_CrowdingExp)</x:f>
        <x:v>0.012612844679906705</x:v>
      </x:c>
      <x:c r="Q1148" s="9" t="n">
        <x:f>IF(D1148=1,INDEX(v01_WinterMult,G1148),1)</x:f>
        <x:v>1</x:v>
      </x:c>
      <x:c r="R1148" s="9" t="n">
        <x:f>H1148*Z1147*v01_WomenShare*v01_BaseFertility*INDEX(v01_FertMult,G1148)*Arch_Fertility*(1-P1148)</x:f>
        <x:v>101.57985211583467</x:v>
      </x:c>
      <x:c r="S1148" s="9" t="n">
        <x:f>H1148*Y1147*INDEX(v01_MortChild,G1148)/4*Q1148</x:f>
        <x:v>17.754238236310975</x:v>
      </x:c>
      <x:c r="T1148" s="9" t="n">
        <x:f>H1148*Z1147*INDEX(v01_MortAdult,G1148)*Arch_AdultMort/4*Q1148</x:f>
        <x:v>7.348387796484399</x:v>
      </x:c>
      <x:c r="U1148" s="9" t="n">
        <x:f>H1148*AA1147*INDEX(v01_MortElder,G1148)/4*Q1148</x:f>
        <x:v>16.850630140457362</x:v>
      </x:c>
      <x:c r="V1148" s="9" t="n">
        <x:f>H1148*MAX(0,AB1147-O1148)*v01_OvercapLoss</x:f>
        <x:v>0</x:v>
      </x:c>
      <x:c r="W1148" s="9" t="n">
        <x:f>H1148*Y1147/(v01_ChildYears*4)</x:f>
        <x:v>57.6436306373733</x:v>
      </x:c>
      <x:c r="X1148" s="9" t="n">
        <x:f>H1148*Z1147/(v01_AdultYears*4)</x:f>
        <x:v>26.338307514281002</x:v>
      </x:c>
      <x:c r="Y1148" s="32" t="n">
        <x:f>Y1147+R1148-S1148-W1148-Y1147*V1148/AB1147</x:f>
        <x:v>3254.225298935055</x:v>
      </x:c>
      <x:c r="Z1148" s="32" t="n">
        <x:f>Z1147+W1148-X1148-T1148-Z1147*V1148/AB1147</x:f>
        <x:v>3289.907067097452</x:v>
      </x:c>
      <x:c r="AA1148" s="32" t="n">
        <x:f>AA1147+X1148-U1148-AA1147*V1148/AB1147</x:f>
        <x:v>1234.9880512252682</x:v>
      </x:c>
      <x:c r="AB1148" s="10" t="n">
        <x:f>Y1148+Z1148+AA1148</x:f>
        <x:v>7779.120417257775</x:v>
      </x:c>
      <x:c r="AC1148" s="8" t="n">
        <x:f>IF(AND(v01_WinterTrigger=1,D1148=1,AB1147/AE1147&gt;=K1148),1,0)</x:f>
        <x:v>0</x:v>
      </x:c>
      <x:c r="AD1148" s="8" t="n">
        <x:f>H1148*IF(AND(OR(AB1147/AE1147&gt;=v01_FissionTrigger*N1148,AC1148=1),AB1147/AE1147*v01_DaughterShare&gt;=v01_MinDaughter),MAX(1,ROUND(AE1147*v01_FissionRate,0)),0)</x:f>
        <x:v>0</x:v>
      </x:c>
      <x:c r="AE1148" s="8" t="n">
        <x:f>IF(H1148=1,MAX(1,MIN(INDEX(v01_Smax,G1148),AE1147+AD1148)),AE1147)</x:f>
        <x:v>16</x:v>
      </x:c>
      <x:c r="AF1148" s="8" t="n">
        <x:f>MAX(0,AE1148-AE1147)</x:f>
        <x:v>0</x:v>
      </x:c>
      <x:c r="AG1148" s="9" t="str">
        <x:f>IF(AF1148&gt;0,B1148,"")</x:f>
      </x:c>
      <x:c r="AH1148" s="9" t="n">
        <x:f>IF(F1148&gt;=1,1,(1+v01_LowTiesShare*(AE1148-1))/AE1148)</x:f>
        <x:v>1</x:v>
      </x:c>
      <x:c r="AI1148" s="32" t="n">
        <x:f>(Z1148+v01_ElderCommons*INDEX(LM_Elder,G1148)*AA1148)*AH1148</x:f>
        <x:v>7921.1122591922085</x:v>
      </x:c>
      <x:c r="AJ1148" s="32" t="n">
        <x:f>H1148*v01_CommonsCoef*AI1148^v01_CommonsExp*INDEX(LM_Commons,G1148)</x:f>
        <x:v>1798.8292505983147</x:v>
      </x:c>
      <x:c r="AK1148" s="32" t="n">
        <x:f>H1148*v01_RoleScale*Arch_Roles*(AE1148*(INDEX(v01_ElderRolePerSett,G1148)*v01_OutElder*INDEX(LM_Elder,G1148)+INDEX(v01_ShamanPerSett,G1148)*v01_OutShaman)+Z1148*(INDEX(v01_PriestShare,G1148)*v01_OutPriest+INDEX(v01_ScribeShare,G1148)*v01_OutScribe*INDEX(LM_Scribe,G1148)+INDEX(v01_ScholarShare,G1148)*v01_OutScholar*INDEX(LM_Scholar,G1148)+INDEX(v01_ResearcherShare,G1148)*v01_OutResearcher*INDEX(LM_Researcher,G1148)))</x:f>
        <x:v>468.8572811609887</x:v>
      </x:c>
      <x:c r="AL1148" s="32" t="n">
        <x:f>H1148*v01_RoleScale*Arch_Roles*AE1148*INDEX(v01_MonasteryPerSett,G1148)*v01_OutMonastery*INDEX(LM_Monastery,G1148)</x:f>
        <x:v>10.56</x:v>
      </x:c>
      <x:c r="AM1148" s="32" t="n">
        <x:f>(AJ1148+AK1148+AL1148)/4*INDEX(LM_All,G1148)*INDEX(v01_Boon,G1148)*Arch_Insight</x:f>
        <x:v>1041.0874891891256</x:v>
      </x:c>
      <x:c r="AN1148" s="32" t="n">
        <x:f>H1148*(v01_KHPerAdult*Z1148+v01_KHOfCommons*AJ1148/4*INDEX(LM_All,G1148))*v01_KHUsable*Arch_KH</x:f>
        <x:v>115.14674734841081</x:v>
      </x:c>
      <x:c r="AO1148" s="32" t="n">
        <x:f>MIN(AP1147+AN1148,AM1148*v01_KHMaxRatio)</x:f>
        <x:v>115.14674734841081</x:v>
      </x:c>
      <x:c r="AP1148" s="32" t="n">
        <x:f>AP1147+AN1148-AO1148</x:f>
        <x:v>0</x:v>
      </x:c>
      <x:c r="AQ1148" s="32" t="n">
        <x:f>AM1148+AO1148</x:f>
        <x:v>1156.2342365375364</x:v>
      </x:c>
      <x:c r="AR1148" s="10" t="n">
        <x:f>IF(H1148=1,INDEX(v01_Req,G1148),0)</x:f>
        <x:v>113395.942036</x:v>
      </x:c>
      <x:c r="AS1148" s="32" t="n">
        <x:f>IF(H1148=1,IF(E1148=1,AS1147-AR1147,AS1147)+AQ1148,0)</x:f>
        <x:v>29264.0884923066</x:v>
      </x:c>
      <x:c r="AT1148" s="11" t="n">
        <x:f>IF(AR1148&gt;0,MIN(1,AS1148/AR1148),1)</x:f>
        <x:v>0.25806997999113657</x:v>
      </x:c>
      <x:c r="AU1148" s="10" t="n">
        <x:f>AB1148/INDEX(v01_RepScale,G1148)</x:f>
        <x:v>155.5824083451555</x:v>
      </x:c>
      <x:c r="AV1148" s="32" t="n">
        <x:f>AM1148*60/v01_SeasonSeconds</x:f>
        <x:v>4164.349956756502</x:v>
      </x:c>
    </x:row>
    <x:row r="1149">
      <x:c r="A1149" s="8" t="n">
        <x:f>A1148+1</x:f>
        <x:v>1146</x:v>
      </x:c>
      <x:c r="B1149" s="9" t="n">
        <x:f>A1149*v01_SeasonSeconds/60</x:f>
        <x:v>286.5</x:v>
      </x:c>
      <x:c r="C1149" s="9" t="n">
        <x:f>A1149/4</x:f>
        <x:v>286.5</x:v>
      </x:c>
      <x:c r="D1149" s="8" t="n">
        <x:f>IF(MOD(A1149,4)=0,1,0)</x:f>
        <x:v>0</x:v>
      </x:c>
      <x:c r="E1149" s="8" t="n">
        <x:f>IF(AND(F1148&lt;=9,AS1148&gt;=AR1148),1,0)</x:f>
        <x:v>0</x:v>
      </x:c>
      <x:c r="F1149" s="8" t="n">
        <x:f>MIN(10,F1148+E1149)</x:f>
        <x:v>6</x:v>
      </x:c>
      <x:c r="G1149" s="8" t="n">
        <x:f>MIN(F1149,9)+1</x:f>
        <x:v>7</x:v>
      </x:c>
      <x:c r="H1149" s="8" t="n">
        <x:f>IF(F1149&lt;=9,1,0)</x:f>
        <x:v>1</x:v>
      </x:c>
      <x:c r="I1149" s="9" t="n">
        <x:f>MIN(10,F1148+IF(AR1148&gt;0,MIN(1,AS1148/AR1148),1))</x:f>
        <x:v>6.258069979991136</x:v>
      </x:c>
      <x:c r="J1149" s="32" t="n">
        <x:f>INDEX(v01_FoodCap,G1149)*Arch_FoodCap*EXP(v01_CapsByProject*SUMPRODUCT((Cap_Point&lt;=I1149)*(Cap_Kind="Food")*Cap_Ln))</x:f>
        <x:v>1000</x:v>
      </x:c>
      <x:c r="K1149" s="32" t="n">
        <x:f>J1149*MIN(1,v01_LeanBase*EXP(v01_CapsByProject*SUMPRODUCT((Cap_Point&lt;=I1149)*(Cap_Kind="Lean")*Cap_Ln)))</x:f>
        <x:v>1000</x:v>
      </x:c>
      <x:c r="L1149" s="10" t="n">
        <x:f>INDEX(v01_HousingCap,G1149)*EXP(v01_CapsByProject*SUMPRODUCT((Cap_Point&lt;=I1149)*(Cap_Kind="Housing")*Cap_Ln))</x:f>
        <x:v>1600</x:v>
      </x:c>
      <x:c r="M1149" s="10" t="n">
        <x:f>INDEX(v01_GroupCap,G1149)*v01_CohesionFactor*EXP(v01_CapsByProject*SUMPRODUCT((Cap_Point&lt;=I1149)*(Cap_Kind="Group")*Cap_Ln))</x:f>
        <x:v>1000000</x:v>
      </x:c>
      <x:c r="N1149" s="32" t="n">
        <x:f>MIN(J1149,L1149,M1149)</x:f>
        <x:v>1000</x:v>
      </x:c>
      <x:c r="O1149" s="10" t="n">
        <x:f>AE1148*N1149</x:f>
        <x:v>16000</x:v>
      </x:c>
      <x:c r="P1149" s="9" t="n">
        <x:f>MIN(1,(AB1148/(AE1148*IF(v01_GroupInCrowding=1,N1149,MIN(J1149,L1149))))^v01_CrowdingExp)</x:f>
        <x:v>0.013208791027989528</x:v>
      </x:c>
      <x:c r="Q1149" s="9" t="n">
        <x:f>IF(D1149=1,INDEX(v01_WinterMult,G1149),1)</x:f>
        <x:v>1</x:v>
      </x:c>
      <x:c r="R1149" s="9" t="n">
        <x:f>H1149*Z1148*v01_WomenShare*v01_BaseFertility*INDEX(v01_FertMult,G1149)*Arch_Fertility*(1-P1149)</x:f>
        <x:v>102.26321822261967</x:v>
      </x:c>
      <x:c r="S1149" s="9" t="n">
        <x:f>H1149*Y1148*INDEX(v01_MortChild,G1149)/4*Q1149</x:f>
        <x:v>17.898239144142803</x:v>
      </x:c>
      <x:c r="T1149" s="9" t="n">
        <x:f>H1149*Z1148*INDEX(v01_MortAdult,G1149)*Arch_AdultMort/4*Q1149</x:f>
        <x:v>7.402290900969266</x:v>
      </x:c>
      <x:c r="U1149" s="9" t="n">
        <x:f>H1149*AA1148*INDEX(v01_MortElder,G1149)/4*Q1149</x:f>
        <x:v>16.98108570434744</x:v>
      </x:c>
      <x:c r="V1149" s="9" t="n">
        <x:f>H1149*MAX(0,AB1148-O1149)*v01_OvercapLoss</x:f>
        <x:v>0</x:v>
      </x:c>
      <x:c r="W1149" s="9" t="n">
        <x:f>H1149*Y1148/(v01_ChildYears*4)</x:f>
        <x:v>58.1111660524117</x:v>
      </x:c>
      <x:c r="X1149" s="9" t="n">
        <x:f>H1149*Z1148/(v01_AdultYears*4)</x:f>
        <x:v>26.531508605624612</x:v>
      </x:c>
      <x:c r="Y1149" s="32" t="n">
        <x:f>Y1148+R1149-S1149-W1149-Y1148*V1149/AB1148</x:f>
        <x:v>3280.4791119611205</x:v>
      </x:c>
      <x:c r="Z1149" s="32" t="n">
        <x:f>Z1148+W1149-X1149-T1149-Z1148*V1149/AB1148</x:f>
        <x:v>3314.0844336432697</x:v>
      </x:c>
      <x:c r="AA1149" s="32" t="n">
        <x:f>AA1148+X1149-U1149-AA1148*V1149/AB1148</x:f>
        <x:v>1244.5384741265455</x:v>
      </x:c>
      <x:c r="AB1149" s="10" t="n">
        <x:f>Y1149+Z1149+AA1149</x:f>
        <x:v>7839.102019730935</x:v>
      </x:c>
      <x:c r="AC1149" s="8" t="n">
        <x:f>IF(AND(v01_WinterTrigger=1,D1149=1,AB1148/AE1148&gt;=K1149),1,0)</x:f>
        <x:v>0</x:v>
      </x:c>
      <x:c r="AD1149" s="8" t="n">
        <x:f>H1149*IF(AND(OR(AB1148/AE1148&gt;=v01_FissionTrigger*N1149,AC1149=1),AB1148/AE1148*v01_DaughterShare&gt;=v01_MinDaughter),MAX(1,ROUND(AE1148*v01_FissionRate,0)),0)</x:f>
        <x:v>0</x:v>
      </x:c>
      <x:c r="AE1149" s="8" t="n">
        <x:f>IF(H1149=1,MAX(1,MIN(INDEX(v01_Smax,G1149),AE1148+AD1149)),AE1148)</x:f>
        <x:v>16</x:v>
      </x:c>
      <x:c r="AF1149" s="8" t="n">
        <x:f>MAX(0,AE1149-AE1148)</x:f>
        <x:v>0</x:v>
      </x:c>
      <x:c r="AG1149" s="9" t="str">
        <x:f>IF(AF1149&gt;0,B1149,"")</x:f>
      </x:c>
      <x:c r="AH1149" s="9" t="n">
        <x:f>IF(F1149&gt;=1,1,(1+v01_LowTiesShare*(AE1149-1))/AE1149)</x:f>
        <x:v>1</x:v>
      </x:c>
      <x:c r="AI1149" s="32" t="n">
        <x:f>(Z1149+v01_ElderCommons*INDEX(LM_Elder,G1149)*AA1149)*AH1149</x:f>
        <x:v>7981.103711617816</x:v>
      </x:c>
      <x:c r="AJ1149" s="32" t="n">
        <x:f>H1149*v01_CommonsCoef*AI1149^v01_CommonsExp*INDEX(LM_Commons,G1149)</x:f>
        <x:v>1810.402785621337</x:v>
      </x:c>
      <x:c r="AK1149" s="32" t="n">
        <x:f>H1149*v01_RoleScale*Arch_Roles*(AE1149*(INDEX(v01_ElderRolePerSett,G1149)*v01_OutElder*INDEX(LM_Elder,G1149)+INDEX(v01_ShamanPerSett,G1149)*v01_OutShaman)+Z1149*(INDEX(v01_PriestShare,G1149)*v01_OutPriest+INDEX(v01_ScribeShare,G1149)*v01_OutScribe*INDEX(LM_Scribe,G1149)+INDEX(v01_ScholarShare,G1149)*v01_OutScholar*INDEX(LM_Scholar,G1149)+INDEX(v01_ResearcherShare,G1149)*v01_OutResearcher*INDEX(LM_Researcher,G1149)))</x:f>
        <x:v>471.90604708241625</x:v>
      </x:c>
      <x:c r="AL1149" s="32" t="n">
        <x:f>H1149*v01_RoleScale*Arch_Roles*AE1149*INDEX(v01_MonasteryPerSett,G1149)*v01_OutMonastery*INDEX(LM_Monastery,G1149)</x:f>
        <x:v>10.56</x:v>
      </x:c>
      <x:c r="AM1149" s="32" t="n">
        <x:f>(AJ1149+AK1149+AL1149)/4*INDEX(LM_All,G1149)*INDEX(v01_Boon,G1149)*Arch_Insight</x:f>
        <x:v>1047.7694238982149</x:v>
      </x:c>
      <x:c r="AN1149" s="32" t="n">
        <x:f>H1149*(v01_KHPerAdult*Z1149+v01_KHOfCommons*AJ1149/4*INDEX(LM_All,G1149))*v01_KHUsable*Arch_KH</x:f>
        <x:v>115.99295517751445</x:v>
      </x:c>
      <x:c r="AO1149" s="32" t="n">
        <x:f>MIN(AP1148+AN1149,AM1149*v01_KHMaxRatio)</x:f>
        <x:v>115.99295517751445</x:v>
      </x:c>
      <x:c r="AP1149" s="32" t="n">
        <x:f>AP1148+AN1149-AO1149</x:f>
        <x:v>0</x:v>
      </x:c>
      <x:c r="AQ1149" s="32" t="n">
        <x:f>AM1149+AO1149</x:f>
        <x:v>1163.7623790757293</x:v>
      </x:c>
      <x:c r="AR1149" s="10" t="n">
        <x:f>IF(H1149=1,INDEX(v01_Req,G1149),0)</x:f>
        <x:v>113395.942036</x:v>
      </x:c>
      <x:c r="AS1149" s="32" t="n">
        <x:f>IF(H1149=1,IF(E1149=1,AS1148-AR1148,AS1148)+AQ1149,0)</x:f>
        <x:v>30427.85087138233</x:v>
      </x:c>
      <x:c r="AT1149" s="11" t="n">
        <x:f>IF(AR1149&gt;0,MIN(1,AS1149/AR1149),1)</x:f>
        <x:v>0.2683328020831852</x:v>
      </x:c>
      <x:c r="AU1149" s="10" t="n">
        <x:f>AB1149/INDEX(v01_RepScale,G1149)</x:f>
        <x:v>156.78204039461872</x:v>
      </x:c>
      <x:c r="AV1149" s="32" t="n">
        <x:f>AM1149*60/v01_SeasonSeconds</x:f>
        <x:v>4191.0776955928595</x:v>
      </x:c>
    </x:row>
    <x:row r="1150">
      <x:c r="A1150" s="8" t="n">
        <x:f>A1149+1</x:f>
        <x:v>1147</x:v>
      </x:c>
      <x:c r="B1150" s="9" t="n">
        <x:f>A1150*v01_SeasonSeconds/60</x:f>
        <x:v>286.75</x:v>
      </x:c>
      <x:c r="C1150" s="9" t="n">
        <x:f>A1150/4</x:f>
        <x:v>286.75</x:v>
      </x:c>
      <x:c r="D1150" s="8" t="n">
        <x:f>IF(MOD(A1150,4)=0,1,0)</x:f>
        <x:v>0</x:v>
      </x:c>
      <x:c r="E1150" s="8" t="n">
        <x:f>IF(AND(F1149&lt;=9,AS1149&gt;=AR1149),1,0)</x:f>
        <x:v>0</x:v>
      </x:c>
      <x:c r="F1150" s="8" t="n">
        <x:f>MIN(10,F1149+E1150)</x:f>
        <x:v>6</x:v>
      </x:c>
      <x:c r="G1150" s="8" t="n">
        <x:f>MIN(F1150,9)+1</x:f>
        <x:v>7</x:v>
      </x:c>
      <x:c r="H1150" s="8" t="n">
        <x:f>IF(F1150&lt;=9,1,0)</x:f>
        <x:v>1</x:v>
      </x:c>
      <x:c r="I1150" s="9" t="n">
        <x:f>MIN(10,F1149+IF(AR1149&gt;0,MIN(1,AS1149/AR1149),1))</x:f>
        <x:v>6.268332802083185</x:v>
      </x:c>
      <x:c r="J1150" s="32" t="n">
        <x:f>INDEX(v01_FoodCap,G1150)*Arch_FoodCap*EXP(v01_CapsByProject*SUMPRODUCT((Cap_Point&lt;=I1150)*(Cap_Kind="Food")*Cap_Ln))</x:f>
        <x:v>1000</x:v>
      </x:c>
      <x:c r="K1150" s="32" t="n">
        <x:f>J1150*MIN(1,v01_LeanBase*EXP(v01_CapsByProject*SUMPRODUCT((Cap_Point&lt;=I1150)*(Cap_Kind="Lean")*Cap_Ln)))</x:f>
        <x:v>1000</x:v>
      </x:c>
      <x:c r="L1150" s="10" t="n">
        <x:f>INDEX(v01_HousingCap,G1150)*EXP(v01_CapsByProject*SUMPRODUCT((Cap_Point&lt;=I1150)*(Cap_Kind="Housing")*Cap_Ln))</x:f>
        <x:v>1600</x:v>
      </x:c>
      <x:c r="M1150" s="10" t="n">
        <x:f>INDEX(v01_GroupCap,G1150)*v01_CohesionFactor*EXP(v01_CapsByProject*SUMPRODUCT((Cap_Point&lt;=I1150)*(Cap_Kind="Group")*Cap_Ln))</x:f>
        <x:v>1000000</x:v>
      </x:c>
      <x:c r="N1150" s="32" t="n">
        <x:f>MIN(J1150,L1150,M1150)</x:f>
        <x:v>1000</x:v>
      </x:c>
      <x:c r="O1150" s="10" t="n">
        <x:f>AE1149*N1150</x:f>
        <x:v>16000</x:v>
      </x:c>
      <x:c r="P1150" s="9" t="n">
        <x:f>MIN(1,(AB1149/(AE1149*IF(v01_GroupInCrowding=1,N1150,MIN(J1150,L1150))))^v01_CrowdingExp)</x:f>
        <x:v>0.013831777779342566</x:v>
      </x:c>
      <x:c r="Q1150" s="9" t="n">
        <x:f>IF(D1150=1,INDEX(v01_WinterMult,G1150),1)</x:f>
        <x:v>1</x:v>
      </x:c>
      <x:c r="R1150" s="9" t="n">
        <x:f>H1150*Z1149*v01_WomenShare*v01_BaseFertility*INDEX(v01_FertMult,G1150)*Arch_Fertility*(1-P1150)</x:f>
        <x:v>102.94970975777684</x:v>
      </x:c>
      <x:c r="S1150" s="9" t="n">
        <x:f>H1150*Y1149*INDEX(v01_MortChild,G1150)/4*Q1150</x:f>
        <x:v>18.04263511578616</x:v>
      </x:c>
      <x:c r="T1150" s="9" t="n">
        <x:f>H1150*Z1149*INDEX(v01_MortAdult,G1150)*Arch_AdultMort/4*Q1150</x:f>
        <x:v>7.456689975697357</x:v>
      </x:c>
      <x:c r="U1150" s="9" t="n">
        <x:f>H1150*AA1149*INDEX(v01_MortElder,G1150)/4*Q1150</x:f>
        <x:v>17.11240401924</x:v>
      </x:c>
      <x:c r="V1150" s="9" t="n">
        <x:f>H1150*MAX(0,AB1149-O1150)*v01_OvercapLoss</x:f>
        <x:v>0</x:v>
      </x:c>
      <x:c r="W1150" s="9" t="n">
        <x:f>H1150*Y1149/(v01_ChildYears*4)</x:f>
        <x:v>58.579984142162864</x:v>
      </x:c>
      <x:c r="X1150" s="9" t="n">
        <x:f>H1150*Z1149/(v01_AdultYears*4)</x:f>
        <x:v>26.726487368090883</x:v>
      </x:c>
      <x:c r="Y1150" s="32" t="n">
        <x:f>Y1149+R1150-S1150-W1150-Y1149*V1150/AB1149</x:f>
        <x:v>3306.806202460948</x:v>
      </x:c>
      <x:c r="Z1150" s="32" t="n">
        <x:f>Z1149+W1150-X1150-T1150-Z1149*V1150/AB1149</x:f>
        <x:v>3338.4812404416443</x:v>
      </x:c>
      <x:c r="AA1150" s="32" t="n">
        <x:f>AA1149+X1150-U1150-AA1149*V1150/AB1149</x:f>
        <x:v>1254.1525574753962</x:v>
      </x:c>
      <x:c r="AB1150" s="10" t="n">
        <x:f>Y1150+Z1150+AA1150</x:f>
        <x:v>7899.440000377988</x:v>
      </x:c>
      <x:c r="AC1150" s="8" t="n">
        <x:f>IF(AND(v01_WinterTrigger=1,D1150=1,AB1149/AE1149&gt;=K1150),1,0)</x:f>
        <x:v>0</x:v>
      </x:c>
      <x:c r="AD1150" s="8" t="n">
        <x:f>H1150*IF(AND(OR(AB1149/AE1149&gt;=v01_FissionTrigger*N1150,AC1150=1),AB1149/AE1149*v01_DaughterShare&gt;=v01_MinDaughter),MAX(1,ROUND(AE1149*v01_FissionRate,0)),0)</x:f>
        <x:v>0</x:v>
      </x:c>
      <x:c r="AE1150" s="8" t="n">
        <x:f>IF(H1150=1,MAX(1,MIN(INDEX(v01_Smax,G1150),AE1149+AD1150)),AE1149)</x:f>
        <x:v>16</x:v>
      </x:c>
      <x:c r="AF1150" s="8" t="n">
        <x:f>MAX(0,AE1150-AE1149)</x:f>
        <x:v>0</x:v>
      </x:c>
      <x:c r="AG1150" s="9" t="str">
        <x:f>IF(AF1150&gt;0,B1150,"")</x:f>
      </x:c>
      <x:c r="AH1150" s="9" t="n">
        <x:f>IF(F1150&gt;=1,1,(1+v01_LowTiesShare*(AE1150-1))/AE1150)</x:f>
        <x:v>1</x:v>
      </x:c>
      <x:c r="AI1150" s="32" t="n">
        <x:f>(Z1150+v01_ElderCommons*INDEX(LM_Elder,G1150)*AA1150)*AH1150</x:f>
        <x:v>8041.55333097438</x:v>
      </x:c>
      <x:c r="AJ1150" s="32" t="n">
        <x:f>H1150*v01_CommonsCoef*AI1150^v01_CommonsExp*INDEX(LM_Commons,G1150)</x:f>
        <x:v>1822.0515186161892</x:v>
      </x:c>
      <x:c r="AK1150" s="32" t="n">
        <x:f>H1150*v01_RoleScale*Arch_Roles*(AE1150*(INDEX(v01_ElderRolePerSett,G1150)*v01_OutElder*INDEX(LM_Elder,G1150)+INDEX(v01_ShamanPerSett,G1150)*v01_OutShaman)+Z1150*(INDEX(v01_PriestShare,G1150)*v01_OutPriest+INDEX(v01_ScribeShare,G1150)*v01_OutScribe*INDEX(LM_Scribe,G1150)+INDEX(v01_ScholarShare,G1150)*v01_OutScholar*INDEX(LM_Scholar,G1150)+INDEX(v01_ResearcherShare,G1150)*v01_OutResearcher*INDEX(LM_Researcher,G1150)))</x:f>
        <x:v>474.98248441969133</x:v>
      </x:c>
      <x:c r="AL1150" s="32" t="n">
        <x:f>H1150*v01_RoleScale*Arch_Roles*AE1150*INDEX(v01_MonasteryPerSett,G1150)*v01_OutMonastery*INDEX(LM_Monastery,G1150)</x:f>
        <x:v>10.56</x:v>
      </x:c>
      <x:c r="AM1150" s="32" t="n">
        <x:f>(AJ1150+AK1150+AL1150)/4*INDEX(LM_All,G1150)*INDEX(v01_Boon,G1150)*Arch_Insight</x:f>
        <x:v>1054.4983667036797</x:v>
      </x:c>
      <x:c r="AN1150" s="32" t="n">
        <x:f>H1150*(v01_KHPerAdult*Z1150+v01_KHOfCommons*AJ1150/4*INDEX(LM_All,G1150))*v01_KHUsable*Arch_KH</x:f>
        <x:v>116.84684341545756</x:v>
      </x:c>
      <x:c r="AO1150" s="32" t="n">
        <x:f>MIN(AP1149+AN1150,AM1150*v01_KHMaxRatio)</x:f>
        <x:v>116.84684341545756</x:v>
      </x:c>
      <x:c r="AP1150" s="32" t="n">
        <x:f>AP1149+AN1150-AO1150</x:f>
        <x:v>0</x:v>
      </x:c>
      <x:c r="AQ1150" s="32" t="n">
        <x:f>AM1150+AO1150</x:f>
        <x:v>1171.3452101191374</x:v>
      </x:c>
      <x:c r="AR1150" s="10" t="n">
        <x:f>IF(H1150=1,INDEX(v01_Req,G1150),0)</x:f>
        <x:v>113395.942036</x:v>
      </x:c>
      <x:c r="AS1150" s="32" t="n">
        <x:f>IF(H1150=1,IF(E1150=1,AS1149-AR1149,AS1149)+AQ1150,0)</x:f>
        <x:v>31599.196081501465</x:v>
      </x:c>
      <x:c r="AT1150" s="11" t="n">
        <x:f>IF(AR1150&gt;0,MIN(1,AS1150/AR1150),1)</x:f>
        <x:v>0.2786624945667775</x:v>
      </x:c>
      <x:c r="AU1150" s="10" t="n">
        <x:f>AB1150/INDEX(v01_RepScale,G1150)</x:f>
        <x:v>157.98880000755977</x:v>
      </x:c>
      <x:c r="AV1150" s="32" t="n">
        <x:f>AM1150*60/v01_SeasonSeconds</x:f>
        <x:v>4217.993466814719</x:v>
      </x:c>
    </x:row>
    <x:row r="1151">
      <x:c r="A1151" s="8" t="n">
        <x:f>A1150+1</x:f>
        <x:v>1148</x:v>
      </x:c>
      <x:c r="B1151" s="9" t="n">
        <x:f>A1151*v01_SeasonSeconds/60</x:f>
        <x:v>287</x:v>
      </x:c>
      <x:c r="C1151" s="9" t="n">
        <x:f>A1151/4</x:f>
        <x:v>287</x:v>
      </x:c>
      <x:c r="D1151" s="8" t="n">
        <x:f>IF(MOD(A1151,4)=0,1,0)</x:f>
        <x:v>1</x:v>
      </x:c>
      <x:c r="E1151" s="8" t="n">
        <x:f>IF(AND(F1150&lt;=9,AS1150&gt;=AR1150),1,0)</x:f>
        <x:v>0</x:v>
      </x:c>
      <x:c r="F1151" s="8" t="n">
        <x:f>MIN(10,F1150+E1151)</x:f>
        <x:v>6</x:v>
      </x:c>
      <x:c r="G1151" s="8" t="n">
        <x:f>MIN(F1151,9)+1</x:f>
        <x:v>7</x:v>
      </x:c>
      <x:c r="H1151" s="8" t="n">
        <x:f>IF(F1151&lt;=9,1,0)</x:f>
        <x:v>1</x:v>
      </x:c>
      <x:c r="I1151" s="9" t="n">
        <x:f>MIN(10,F1150+IF(AR1150&gt;0,MIN(1,AS1150/AR1150),1))</x:f>
        <x:v>6.2786624945667775</x:v>
      </x:c>
      <x:c r="J1151" s="32" t="n">
        <x:f>INDEX(v01_FoodCap,G1151)*Arch_FoodCap*EXP(v01_CapsByProject*SUMPRODUCT((Cap_Point&lt;=I1151)*(Cap_Kind="Food")*Cap_Ln))</x:f>
        <x:v>1000</x:v>
      </x:c>
      <x:c r="K1151" s="32" t="n">
        <x:f>J1151*MIN(1,v01_LeanBase*EXP(v01_CapsByProject*SUMPRODUCT((Cap_Point&lt;=I1151)*(Cap_Kind="Lean")*Cap_Ln)))</x:f>
        <x:v>1000</x:v>
      </x:c>
      <x:c r="L1151" s="10" t="n">
        <x:f>INDEX(v01_HousingCap,G1151)*EXP(v01_CapsByProject*SUMPRODUCT((Cap_Point&lt;=I1151)*(Cap_Kind="Housing")*Cap_Ln))</x:f>
        <x:v>1600</x:v>
      </x:c>
      <x:c r="M1151" s="10" t="n">
        <x:f>INDEX(v01_GroupCap,G1151)*v01_CohesionFactor*EXP(v01_CapsByProject*SUMPRODUCT((Cap_Point&lt;=I1151)*(Cap_Kind="Group")*Cap_Ln))</x:f>
        <x:v>1000000</x:v>
      </x:c>
      <x:c r="N1151" s="32" t="n">
        <x:f>MIN(J1151,L1151,M1151)</x:f>
        <x:v>1000</x:v>
      </x:c>
      <x:c r="O1151" s="10" t="n">
        <x:f>AE1150*N1151</x:f>
        <x:v>16000</x:v>
      </x:c>
      <x:c r="P1151" s="9" t="n">
        <x:f>MIN(1,(AB1150/(AE1150*IF(v01_GroupInCrowding=1,N1151,MIN(J1151,L1151))))^v01_CrowdingExp)</x:f>
        <x:v>0.014482980061539464</x:v>
      </x:c>
      <x:c r="Q1151" s="9" t="n">
        <x:f>IF(D1151=1,INDEX(v01_WinterMult,G1151),1)</x:f>
        <x:v>1</x:v>
      </x:c>
      <x:c r="R1151" s="9" t="n">
        <x:f>H1151*Z1150*v01_WomenShare*v01_BaseFertility*INDEX(v01_FertMult,G1151)*Arch_Fertility*(1-P1151)</x:f>
        <x:v>103.63909762081589</x:v>
      </x:c>
      <x:c r="S1151" s="9" t="n">
        <x:f>H1151*Y1150*INDEX(v01_MortChild,G1151)/4*Q1151</x:f>
        <x:v>18.187434113535215</x:v>
      </x:c>
      <x:c r="T1151" s="9" t="n">
        <x:f>H1151*Z1150*INDEX(v01_MortAdult,G1151)*Arch_AdultMort/4*Q1151</x:f>
        <x:v>7.511582790993699</x:v>
      </x:c>
      <x:c r="U1151" s="9" t="n">
        <x:f>H1151*AA1150*INDEX(v01_MortElder,G1151)/4*Q1151</x:f>
        <x:v>17.244597665286697</x:v>
      </x:c>
      <x:c r="V1151" s="9" t="n">
        <x:f>H1151*MAX(0,AB1150-O1151)*v01_OvercapLoss</x:f>
        <x:v>0</x:v>
      </x:c>
      <x:c r="W1151" s="9" t="n">
        <x:f>H1151*Y1150/(v01_ChildYears*4)</x:f>
        <x:v>59.05011075823121</x:v>
      </x:c>
      <x:c r="X1151" s="9" t="n">
        <x:f>H1151*Z1150/(v01_AdultYears*4)</x:f>
        <x:v>26.92323581001326</x:v>
      </x:c>
      <x:c r="Y1151" s="32" t="n">
        <x:f>Y1150+R1151-S1151-W1151-Y1150*V1151/AB1150</x:f>
        <x:v>3333.2077552099972</x:v>
      </x:c>
      <x:c r="Z1151" s="32" t="n">
        <x:f>Z1150+W1151-X1151-T1151-Z1150*V1151/AB1150</x:f>
        <x:v>3363.0965325988686</x:v>
      </x:c>
      <x:c r="AA1151" s="32" t="n">
        <x:f>AA1150+X1151-U1151-AA1150*V1151/AB1150</x:f>
        <x:v>1263.8311956201228</x:v>
      </x:c>
      <x:c r="AB1151" s="10" t="n">
        <x:f>Y1151+Z1151+AA1151</x:f>
        <x:v>7960.135483428989</x:v>
      </x:c>
      <x:c r="AC1151" s="8" t="n">
        <x:f>IF(AND(v01_WinterTrigger=1,D1151=1,AB1150/AE1150&gt;=K1151),1,0)</x:f>
        <x:v>0</x:v>
      </x:c>
      <x:c r="AD1151" s="8" t="n">
        <x:f>H1151*IF(AND(OR(AB1150/AE1150&gt;=v01_FissionTrigger*N1151,AC1151=1),AB1150/AE1150*v01_DaughterShare&gt;=v01_MinDaughter),MAX(1,ROUND(AE1150*v01_FissionRate,0)),0)</x:f>
        <x:v>0</x:v>
      </x:c>
      <x:c r="AE1151" s="8" t="n">
        <x:f>IF(H1151=1,MAX(1,MIN(INDEX(v01_Smax,G1151),AE1150+AD1151)),AE1150)</x:f>
        <x:v>16</x:v>
      </x:c>
      <x:c r="AF1151" s="8" t="n">
        <x:f>MAX(0,AE1151-AE1150)</x:f>
        <x:v>0</x:v>
      </x:c>
      <x:c r="AG1151" s="9" t="str">
        <x:f>IF(AF1151&gt;0,B1151,"")</x:f>
      </x:c>
      <x:c r="AH1151" s="9" t="n">
        <x:f>IF(F1151&gt;=1,1,(1+v01_LowTiesShare*(AE1151-1))/AE1151)</x:f>
        <x:v>1</x:v>
      </x:c>
      <x:c r="AI1151" s="32" t="n">
        <x:f>(Z1151+v01_ElderCommons*INDEX(LM_Elder,G1151)*AA1151)*AH1151</x:f>
        <x:v>8102.46351617433</x:v>
      </x:c>
      <x:c r="AJ1151" s="32" t="n">
        <x:f>H1151*v01_CommonsCoef*AI1151^v01_CommonsExp*INDEX(LM_Commons,G1151)</x:f>
        <x:v>1833.77572569255</x:v>
      </x:c>
      <x:c r="AK1151" s="32" t="n">
        <x:f>H1151*v01_RoleScale*Arch_Roles*(AE1151*(INDEX(v01_ElderRolePerSett,G1151)*v01_OutElder*INDEX(LM_Elder,G1151)+INDEX(v01_ShamanPerSett,G1151)*v01_OutShaman)+Z1151*(INDEX(v01_PriestShare,G1151)*v01_OutPriest+INDEX(v01_ScribeShare,G1151)*v01_OutScribe*INDEX(LM_Scribe,G1151)+INDEX(v01_ScholarShare,G1151)*v01_OutScholar*INDEX(LM_Scholar,G1151)+INDEX(v01_ResearcherShare,G1151)*v01_OutResearcher*INDEX(LM_Researcher,G1151)))</x:f>
        <x:v>478.0864727607173</x:v>
      </x:c>
      <x:c r="AL1151" s="32" t="n">
        <x:f>H1151*v01_RoleScale*Arch_Roles*AE1151*INDEX(v01_MonasteryPerSett,G1151)*v01_OutMonastery*INDEX(LM_Monastery,G1151)</x:f>
        <x:v>10.56</x:v>
      </x:c>
      <x:c r="AM1151" s="32" t="n">
        <x:f>(AJ1151+AK1151+AL1151)/4*INDEX(LM_All,G1151)*INDEX(v01_Boon,G1151)*Arch_Insight</x:f>
        <x:v>1061.2743887544505</x:v>
      </x:c>
      <x:c r="AN1151" s="32" t="n">
        <x:f>H1151*(v01_KHPerAdult*Z1151+v01_KHOfCommons*AJ1151/4*INDEX(LM_All,G1151))*v01_KHUsable*Arch_KH</x:f>
        <x:v>117.7083786409604</x:v>
      </x:c>
      <x:c r="AO1151" s="32" t="n">
        <x:f>MIN(AP1150+AN1151,AM1151*v01_KHMaxRatio)</x:f>
        <x:v>117.7083786409604</x:v>
      </x:c>
      <x:c r="AP1151" s="32" t="n">
        <x:f>AP1150+AN1151-AO1151</x:f>
        <x:v>0</x:v>
      </x:c>
      <x:c r="AQ1151" s="32" t="n">
        <x:f>AM1151+AO1151</x:f>
        <x:v>1178.982767395411</x:v>
      </x:c>
      <x:c r="AR1151" s="10" t="n">
        <x:f>IF(H1151=1,INDEX(v01_Req,G1151),0)</x:f>
        <x:v>113395.942036</x:v>
      </x:c>
      <x:c r="AS1151" s="32" t="n">
        <x:f>IF(H1151=1,IF(E1151=1,AS1150-AR1150,AS1150)+AQ1151,0)</x:f>
        <x:v>32778.178848896874</x:v>
      </x:c>
      <x:c r="AT1151" s="11" t="n">
        <x:f>IF(AR1151&gt;0,MIN(1,AS1151/AR1151),1)</x:f>
        <x:v>0.28905954005382956</x:v>
      </x:c>
      <x:c r="AU1151" s="10" t="n">
        <x:f>AB1151/INDEX(v01_RepScale,G1151)</x:f>
        <x:v>159.20270966857979</x:v>
      </x:c>
      <x:c r="AV1151" s="32" t="n">
        <x:f>AM1151*60/v01_SeasonSeconds</x:f>
        <x:v>4245.097555017802</x:v>
      </x:c>
    </x:row>
    <x:row r="1152">
      <x:c r="A1152" s="8" t="n">
        <x:f>A1151+1</x:f>
        <x:v>1149</x:v>
      </x:c>
      <x:c r="B1152" s="9" t="n">
        <x:f>A1152*v01_SeasonSeconds/60</x:f>
        <x:v>287.25</x:v>
      </x:c>
      <x:c r="C1152" s="9" t="n">
        <x:f>A1152/4</x:f>
        <x:v>287.25</x:v>
      </x:c>
      <x:c r="D1152" s="8" t="n">
        <x:f>IF(MOD(A1152,4)=0,1,0)</x:f>
        <x:v>0</x:v>
      </x:c>
      <x:c r="E1152" s="8" t="n">
        <x:f>IF(AND(F1151&lt;=9,AS1151&gt;=AR1151),1,0)</x:f>
        <x:v>0</x:v>
      </x:c>
      <x:c r="F1152" s="8" t="n">
        <x:f>MIN(10,F1151+E1152)</x:f>
        <x:v>6</x:v>
      </x:c>
      <x:c r="G1152" s="8" t="n">
        <x:f>MIN(F1152,9)+1</x:f>
        <x:v>7</x:v>
      </x:c>
      <x:c r="H1152" s="8" t="n">
        <x:f>IF(F1152&lt;=9,1,0)</x:f>
        <x:v>1</x:v>
      </x:c>
      <x:c r="I1152" s="9" t="n">
        <x:f>MIN(10,F1151+IF(AR1151&gt;0,MIN(1,AS1151/AR1151),1))</x:f>
        <x:v>6.289059540053829</x:v>
      </x:c>
      <x:c r="J1152" s="32" t="n">
        <x:f>INDEX(v01_FoodCap,G1152)*Arch_FoodCap*EXP(v01_CapsByProject*SUMPRODUCT((Cap_Point&lt;=I1152)*(Cap_Kind="Food")*Cap_Ln))</x:f>
        <x:v>1000</x:v>
      </x:c>
      <x:c r="K1152" s="32" t="n">
        <x:f>J1152*MIN(1,v01_LeanBase*EXP(v01_CapsByProject*SUMPRODUCT((Cap_Point&lt;=I1152)*(Cap_Kind="Lean")*Cap_Ln)))</x:f>
        <x:v>1000</x:v>
      </x:c>
      <x:c r="L1152" s="10" t="n">
        <x:f>INDEX(v01_HousingCap,G1152)*EXP(v01_CapsByProject*SUMPRODUCT((Cap_Point&lt;=I1152)*(Cap_Kind="Housing")*Cap_Ln))</x:f>
        <x:v>1600</x:v>
      </x:c>
      <x:c r="M1152" s="10" t="n">
        <x:f>INDEX(v01_GroupCap,G1152)*v01_CohesionFactor*EXP(v01_CapsByProject*SUMPRODUCT((Cap_Point&lt;=I1152)*(Cap_Kind="Group")*Cap_Ln))</x:f>
        <x:v>1000000</x:v>
      </x:c>
      <x:c r="N1152" s="32" t="n">
        <x:f>MIN(J1152,L1152,M1152)</x:f>
        <x:v>1000</x:v>
      </x:c>
      <x:c r="O1152" s="10" t="n">
        <x:f>AE1151*N1152</x:f>
        <x:v>16000</x:v>
      </x:c>
      <x:c r="P1152" s="9" t="n">
        <x:f>MIN(1,(AB1151/(AE1151*IF(v01_GroupInCrowding=1,N1152,MIN(J1152,L1152))))^v01_CrowdingExp)</x:f>
        <x:v>0.015163618923546646</x:v>
      </x:c>
      <x:c r="Q1152" s="9" t="n">
        <x:f>IF(D1152=1,INDEX(v01_WinterMult,G1152),1)</x:f>
        <x:v>1</x:v>
      </x:c>
      <x:c r="R1152" s="9" t="n">
        <x:f>H1152*Z1151*v01_WomenShare*v01_BaseFertility*INDEX(v01_FertMult,G1152)*Arch_Fertility*(1-P1152)</x:f>
        <x:v>104.3311442788263</x:v>
      </x:c>
      <x:c r="S1152" s="9" t="n">
        <x:f>H1152*Y1151*INDEX(v01_MortChild,G1152)/4*Q1152</x:f>
        <x:v>18.332642653654982</x:v>
      </x:c>
      <x:c r="T1152" s="9" t="n">
        <x:f>H1152*Z1151*INDEX(v01_MortAdult,G1152)*Arch_AdultMort/4*Q1152</x:f>
        <x:v>7.566967198347454</x:v>
      </x:c>
      <x:c r="U1152" s="9" t="n">
        <x:f>H1152*AA1151*INDEX(v01_MortElder,G1152)/4*Q1152</x:f>
        <x:v>17.37767893977669</x:v>
      </x:c>
      <x:c r="V1152" s="9" t="n">
        <x:f>H1152*MAX(0,AB1151-O1152)*v01_OvercapLoss</x:f>
        <x:v>0</x:v>
      </x:c>
      <x:c r="W1152" s="9" t="n">
        <x:f>H1152*Y1151/(v01_ChildYears*4)</x:f>
        <x:v>59.52156705732138</x:v>
      </x:c>
      <x:c r="X1152" s="9" t="n">
        <x:f>H1152*Z1151/(v01_AdultYears*4)</x:f>
        <x:v>27.121746230636038</x:v>
      </x:c>
      <x:c r="Y1152" s="32" t="n">
        <x:f>Y1151+R1152-S1152-W1152-Y1151*V1152/AB1151</x:f>
        <x:v>3359.684689777847</x:v>
      </x:c>
      <x:c r="Z1152" s="32" t="n">
        <x:f>Z1151+W1152-X1152-T1152-Z1151*V1152/AB1151</x:f>
        <x:v>3387.929386227207</x:v>
      </x:c>
      <x:c r="AA1152" s="32" t="n">
        <x:f>AA1151+X1152-U1152-AA1151*V1152/AB1151</x:f>
        <x:v>1273.5752629109822</x:v>
      </x:c>
      <x:c r="AB1152" s="10" t="n">
        <x:f>Y1152+Z1152+AA1152</x:f>
        <x:v>8021.189338916036</x:v>
      </x:c>
      <x:c r="AC1152" s="8" t="n">
        <x:f>IF(AND(v01_WinterTrigger=1,D1152=1,AB1151/AE1151&gt;=K1152),1,0)</x:f>
        <x:v>0</x:v>
      </x:c>
      <x:c r="AD1152" s="8" t="n">
        <x:f>H1152*IF(AND(OR(AB1151/AE1151&gt;=v01_FissionTrigger*N1152,AC1152=1),AB1151/AE1151*v01_DaughterShare&gt;=v01_MinDaughter),MAX(1,ROUND(AE1151*v01_FissionRate,0)),0)</x:f>
        <x:v>0</x:v>
      </x:c>
      <x:c r="AE1152" s="8" t="n">
        <x:f>IF(H1152=1,MAX(1,MIN(INDEX(v01_Smax,G1152),AE1151+AD1152)),AE1151)</x:f>
        <x:v>16</x:v>
      </x:c>
      <x:c r="AF1152" s="8" t="n">
        <x:f>MAX(0,AE1152-AE1151)</x:f>
        <x:v>0</x:v>
      </x:c>
      <x:c r="AG1152" s="9" t="str">
        <x:f>IF(AF1152&gt;0,B1152,"")</x:f>
      </x:c>
      <x:c r="AH1152" s="9" t="n">
        <x:f>IF(F1152&gt;=1,1,(1+v01_LowTiesShare*(AE1152-1))/AE1152)</x:f>
        <x:v>1</x:v>
      </x:c>
      <x:c r="AI1152" s="32" t="n">
        <x:f>(Z1152+v01_ElderCommons*INDEX(LM_Elder,G1152)*AA1152)*AH1152</x:f>
        <x:v>8163.836622143391</x:v>
      </x:c>
      <x:c r="AJ1152" s="32" t="n">
        <x:f>H1152*v01_CommonsCoef*AI1152^v01_CommonsExp*INDEX(LM_Commons,G1152)</x:f>
        <x:v>1845.5756734950198</x:v>
      </x:c>
      <x:c r="AK1152" s="32" t="n">
        <x:f>H1152*v01_RoleScale*Arch_Roles*(AE1152*(INDEX(v01_ElderRolePerSett,G1152)*v01_OutElder*INDEX(LM_Elder,G1152)+INDEX(v01_ShamanPerSett,G1152)*v01_OutShaman)+Z1152*(INDEX(v01_PriestShare,G1152)*v01_OutPriest+INDEX(v01_ScribeShare,G1152)*v01_OutScribe*INDEX(LM_Scribe,G1152)+INDEX(v01_ScholarShare,G1152)*v01_OutScholar*INDEX(LM_Scholar,G1152)+INDEX(v01_ResearcherShare,G1152)*v01_OutResearcher*INDEX(LM_Researcher,G1152)))</x:f>
        <x:v>481.2178956032508</x:v>
      </x:c>
      <x:c r="AL1152" s="32" t="n">
        <x:f>H1152*v01_RoleScale*Arch_Roles*AE1152*INDEX(v01_MonasteryPerSett,G1152)*v01_OutMonastery*INDEX(LM_Monastery,G1152)</x:f>
        <x:v>10.56</x:v>
      </x:c>
      <x:c r="AM1152" s="32" t="n">
        <x:f>(AJ1152+AK1152+AL1152)/4*INDEX(LM_All,G1152)*INDEX(v01_Boon,G1152)*Arch_Insight</x:f>
        <x:v>1068.0975586608936</x:v>
      </x:c>
      <x:c r="AN1152" s="32" t="n">
        <x:f>H1152*(v01_KHPerAdult*Z1152+v01_KHOfCommons*AJ1152/4*INDEX(LM_All,G1152))*v01_KHUsable*Arch_KH</x:f>
        <x:v>118.57752851795225</x:v>
      </x:c>
      <x:c r="AO1152" s="32" t="n">
        <x:f>MIN(AP1151+AN1152,AM1152*v01_KHMaxRatio)</x:f>
        <x:v>118.57752851795225</x:v>
      </x:c>
      <x:c r="AP1152" s="32" t="n">
        <x:f>AP1151+AN1152-AO1152</x:f>
        <x:v>0</x:v>
      </x:c>
      <x:c r="AQ1152" s="32" t="n">
        <x:f>AM1152+AO1152</x:f>
        <x:v>1186.6750871788458</x:v>
      </x:c>
      <x:c r="AR1152" s="10" t="n">
        <x:f>IF(H1152=1,INDEX(v01_Req,G1152),0)</x:f>
        <x:v>113395.942036</x:v>
      </x:c>
      <x:c r="AS1152" s="32" t="n">
        <x:f>IF(H1152=1,IF(E1152=1,AS1151-AR1151,AS1151)+AQ1152,0)</x:f>
        <x:v>33964.85393607572</x:v>
      </x:c>
      <x:c r="AT1152" s="11" t="n">
        <x:f>IF(AR1152&gt;0,MIN(1,AS1152/AR1152),1)</x:f>
        <x:v>0.2995244214761481</x:v>
      </x:c>
      <x:c r="AU1152" s="10" t="n">
        <x:f>AB1152/INDEX(v01_RepScale,G1152)</x:f>
        <x:v>160.42378677832073</x:v>
      </x:c>
      <x:c r="AV1152" s="32" t="n">
        <x:f>AM1152*60/v01_SeasonSeconds</x:f>
        <x:v>4272.390234643574</x:v>
      </x:c>
    </x:row>
    <x:row r="1153">
      <x:c r="A1153" s="8" t="n">
        <x:f>A1152+1</x:f>
        <x:v>1150</x:v>
      </x:c>
      <x:c r="B1153" s="9" t="n">
        <x:f>A1153*v01_SeasonSeconds/60</x:f>
        <x:v>287.5</x:v>
      </x:c>
      <x:c r="C1153" s="9" t="n">
        <x:f>A1153/4</x:f>
        <x:v>287.5</x:v>
      </x:c>
      <x:c r="D1153" s="8" t="n">
        <x:f>IF(MOD(A1153,4)=0,1,0)</x:f>
        <x:v>0</x:v>
      </x:c>
      <x:c r="E1153" s="8" t="n">
        <x:f>IF(AND(F1152&lt;=9,AS1152&gt;=AR1152),1,0)</x:f>
        <x:v>0</x:v>
      </x:c>
      <x:c r="F1153" s="8" t="n">
        <x:f>MIN(10,F1152+E1153)</x:f>
        <x:v>6</x:v>
      </x:c>
      <x:c r="G1153" s="8" t="n">
        <x:f>MIN(F1153,9)+1</x:f>
        <x:v>7</x:v>
      </x:c>
      <x:c r="H1153" s="8" t="n">
        <x:f>IF(F1153&lt;=9,1,0)</x:f>
        <x:v>1</x:v>
      </x:c>
      <x:c r="I1153" s="9" t="n">
        <x:f>MIN(10,F1152+IF(AR1152&gt;0,MIN(1,AS1152/AR1152),1))</x:f>
        <x:v>6.299524421476148</x:v>
      </x:c>
      <x:c r="J1153" s="32" t="n">
        <x:f>INDEX(v01_FoodCap,G1153)*Arch_FoodCap*EXP(v01_CapsByProject*SUMPRODUCT((Cap_Point&lt;=I1153)*(Cap_Kind="Food")*Cap_Ln))</x:f>
        <x:v>1000</x:v>
      </x:c>
      <x:c r="K1153" s="32" t="n">
        <x:f>J1153*MIN(1,v01_LeanBase*EXP(v01_CapsByProject*SUMPRODUCT((Cap_Point&lt;=I1153)*(Cap_Kind="Lean")*Cap_Ln)))</x:f>
        <x:v>1000</x:v>
      </x:c>
      <x:c r="L1153" s="10" t="n">
        <x:f>INDEX(v01_HousingCap,G1153)*EXP(v01_CapsByProject*SUMPRODUCT((Cap_Point&lt;=I1153)*(Cap_Kind="Housing")*Cap_Ln))</x:f>
        <x:v>1600</x:v>
      </x:c>
      <x:c r="M1153" s="10" t="n">
        <x:f>INDEX(v01_GroupCap,G1153)*v01_CohesionFactor*EXP(v01_CapsByProject*SUMPRODUCT((Cap_Point&lt;=I1153)*(Cap_Kind="Group")*Cap_Ln))</x:f>
        <x:v>1000000</x:v>
      </x:c>
      <x:c r="N1153" s="32" t="n">
        <x:f>MIN(J1153,L1153,M1153)</x:f>
        <x:v>1000</x:v>
      </x:c>
      <x:c r="O1153" s="10" t="n">
        <x:f>AE1152*N1153</x:f>
        <x:v>16000</x:v>
      </x:c>
      <x:c r="P1153" s="9" t="n">
        <x:f>MIN(1,(AB1152/(AE1152*IF(v01_GroupInCrowding=1,N1153,MIN(J1153,L1153))))^v01_CrowdingExp)</x:f>
        <x:v>0.015874962627178885</x:v>
      </x:c>
      <x:c r="Q1153" s="9" t="n">
        <x:f>IF(D1153=1,INDEX(v01_WinterMult,G1153),1)</x:f>
        <x:v>1</x:v>
      </x:c>
      <x:c r="R1153" s="9" t="n">
        <x:f>H1153*Z1152*v01_WomenShare*v01_BaseFertility*INDEX(v01_FertMult,G1153)*Arch_Fertility*(1-P1153)</x:f>
        <x:v>105.02560321587586</x:v>
      </x:c>
      <x:c r="S1153" s="9" t="n">
        <x:f>H1153*Y1152*INDEX(v01_MortChild,G1153)/4*Q1153</x:f>
        <x:v>18.478265793778156</x:v>
      </x:c>
      <x:c r="T1153" s="9" t="n">
        <x:f>H1153*Z1152*INDEX(v01_MortAdult,G1153)*Arch_AdultMort/4*Q1153</x:f>
        <x:v>7.622841119011215</x:v>
      </x:c>
      <x:c r="U1153" s="9" t="n">
        <x:f>H1153*AA1152*INDEX(v01_MortElder,G1153)/4*Q1153</x:f>
        <x:v>17.511659865026004</x:v>
      </x:c>
      <x:c r="V1153" s="9" t="n">
        <x:f>H1153*MAX(0,AB1152-O1153)*v01_OvercapLoss</x:f>
        <x:v>0</x:v>
      </x:c>
      <x:c r="W1153" s="9" t="n">
        <x:f>H1153*Y1152/(v01_ChildYears*4)</x:f>
        <x:v>59.994369460318694</x:v>
      </x:c>
      <x:c r="X1153" s="9" t="n">
        <x:f>H1153*Z1152/(v01_AdultYears*4)</x:f>
        <x:v>27.32201117925167</x:v>
      </x:c>
      <x:c r="Y1153" s="32" t="n">
        <x:f>Y1152+R1153-S1153-W1153-Y1152*V1153/AB1152</x:f>
        <x:v>3386.2376577396262</x:v>
      </x:c>
      <x:c r="Z1153" s="32" t="n">
        <x:f>Z1152+W1153-X1153-T1153-Z1152*V1153/AB1152</x:f>
        <x:v>3412.978903389263</x:v>
      </x:c>
      <x:c r="AA1153" s="32" t="n">
        <x:f>AA1152+X1153-U1153-AA1152*V1153/AB1152</x:f>
        <x:v>1283.3856142252077</x:v>
      </x:c>
      <x:c r="AB1153" s="10" t="n">
        <x:f>Y1153+Z1153+AA1153</x:f>
        <x:v>8082.602175354097</x:v>
      </x:c>
      <x:c r="AC1153" s="8" t="n">
        <x:f>IF(AND(v01_WinterTrigger=1,D1153=1,AB1152/AE1152&gt;=K1153),1,0)</x:f>
        <x:v>0</x:v>
      </x:c>
      <x:c r="AD1153" s="8" t="n">
        <x:f>H1153*IF(AND(OR(AB1152/AE1152&gt;=v01_FissionTrigger*N1153,AC1153=1),AB1152/AE1152*v01_DaughterShare&gt;=v01_MinDaughter),MAX(1,ROUND(AE1152*v01_FissionRate,0)),0)</x:f>
        <x:v>0</x:v>
      </x:c>
      <x:c r="AE1153" s="8" t="n">
        <x:f>IF(H1153=1,MAX(1,MIN(INDEX(v01_Smax,G1153),AE1152+AD1153)),AE1152)</x:f>
        <x:v>16</x:v>
      </x:c>
      <x:c r="AF1153" s="8" t="n">
        <x:f>MAX(0,AE1153-AE1152)</x:f>
        <x:v>0</x:v>
      </x:c>
      <x:c r="AG1153" s="9" t="str">
        <x:f>IF(AF1153&gt;0,B1153,"")</x:f>
      </x:c>
      <x:c r="AH1153" s="9" t="n">
        <x:f>IF(F1153&gt;=1,1,(1+v01_LowTiesShare*(AE1153-1))/AE1153)</x:f>
        <x:v>1</x:v>
      </x:c>
      <x:c r="AI1153" s="32" t="n">
        <x:f>(Z1153+v01_ElderCommons*INDEX(LM_Elder,G1153)*AA1153)*AH1153</x:f>
        <x:v>8225.674956733792</x:v>
      </x:c>
      <x:c r="AJ1153" s="32" t="n">
        <x:f>H1153*v01_CommonsCoef*AI1153^v01_CommonsExp*INDEX(LM_Commons,G1153)</x:f>
        <x:v>1857.4516186662358</x:v>
      </x:c>
      <x:c r="AK1153" s="32" t="n">
        <x:f>H1153*v01_RoleScale*Arch_Roles*(AE1153*(INDEX(v01_ElderRolePerSett,G1153)*v01_OutElder*INDEX(LM_Elder,G1153)+INDEX(v01_ShamanPerSett,G1153)*v01_OutShaman)+Z1153*(INDEX(v01_PriestShare,G1153)*v01_OutPriest+INDEX(v01_ScribeShare,G1153)*v01_OutScribe*INDEX(LM_Scribe,G1153)+INDEX(v01_ScholarShare,G1153)*v01_OutScholar*INDEX(LM_Scholar,G1153)+INDEX(v01_ResearcherShare,G1153)*v01_OutResearcher*INDEX(LM_Researcher,G1153)))</x:f>
        <x:v>484.376639717386</x:v>
      </x:c>
      <x:c r="AL1153" s="32" t="n">
        <x:f>H1153*v01_RoleScale*Arch_Roles*AE1153*INDEX(v01_MonasteryPerSett,G1153)*v01_OutMonastery*INDEX(LM_Monastery,G1153)</x:f>
        <x:v>10.56</x:v>
      </x:c>
      <x:c r="AM1153" s="32" t="n">
        <x:f>(AJ1153+AK1153+AL1153)/4*INDEX(LM_All,G1153)*INDEX(v01_Boon,G1153)*Arch_Insight</x:f>
        <x:v>1074.967941958147</x:v>
      </x:c>
      <x:c r="AN1153" s="32" t="n">
        <x:f>H1153*(v01_KHPerAdult*Z1153+v01_KHOfCommons*AJ1153/4*INDEX(LM_All,G1153))*v01_KHUsable*Arch_KH</x:f>
        <x:v>119.4542616186242</x:v>
      </x:c>
      <x:c r="AO1153" s="32" t="n">
        <x:f>MIN(AP1152+AN1153,AM1153*v01_KHMaxRatio)</x:f>
        <x:v>119.4542616186242</x:v>
      </x:c>
      <x:c r="AP1153" s="32" t="n">
        <x:f>AP1152+AN1153-AO1153</x:f>
        <x:v>0</x:v>
      </x:c>
      <x:c r="AQ1153" s="32" t="n">
        <x:f>AM1153+AO1153</x:f>
        <x:v>1194.4222035767714</x:v>
      </x:c>
      <x:c r="AR1153" s="10" t="n">
        <x:f>IF(H1153=1,INDEX(v01_Req,G1153),0)</x:f>
        <x:v>113395.942036</x:v>
      </x:c>
      <x:c r="AS1153" s="32" t="n">
        <x:f>IF(H1153=1,IF(E1153=1,AS1152-AR1152,AS1152)+AQ1153,0)</x:f>
        <x:v>35159.276139652495</x:v>
      </x:c>
      <x:c r="AT1153" s="11" t="n">
        <x:f>IF(AR1153&gt;0,MIN(1,AS1153/AR1153),1)</x:f>
        <x:v>0.3100576220663207</x:v>
      </x:c>
      <x:c r="AU1153" s="10" t="n">
        <x:f>AB1153/INDEX(v01_RepScale,G1153)</x:f>
        <x:v>161.65204350708194</x:v>
      </x:c>
      <x:c r="AV1153" s="32" t="n">
        <x:f>AM1153*60/v01_SeasonSeconds</x:f>
        <x:v>4299.871767832588</x:v>
      </x:c>
    </x:row>
    <x:row r="1154">
      <x:c r="A1154" s="8" t="n">
        <x:f>A1153+1</x:f>
        <x:v>1151</x:v>
      </x:c>
      <x:c r="B1154" s="9" t="n">
        <x:f>A1154*v01_SeasonSeconds/60</x:f>
        <x:v>287.75</x:v>
      </x:c>
      <x:c r="C1154" s="9" t="n">
        <x:f>A1154/4</x:f>
        <x:v>287.75</x:v>
      </x:c>
      <x:c r="D1154" s="8" t="n">
        <x:f>IF(MOD(A1154,4)=0,1,0)</x:f>
        <x:v>0</x:v>
      </x:c>
      <x:c r="E1154" s="8" t="n">
        <x:f>IF(AND(F1153&lt;=9,AS1153&gt;=AR1153),1,0)</x:f>
        <x:v>0</x:v>
      </x:c>
      <x:c r="F1154" s="8" t="n">
        <x:f>MIN(10,F1153+E1154)</x:f>
        <x:v>6</x:v>
      </x:c>
      <x:c r="G1154" s="8" t="n">
        <x:f>MIN(F1154,9)+1</x:f>
        <x:v>7</x:v>
      </x:c>
      <x:c r="H1154" s="8" t="n">
        <x:f>IF(F1154&lt;=9,1,0)</x:f>
        <x:v>1</x:v>
      </x:c>
      <x:c r="I1154" s="9" t="n">
        <x:f>MIN(10,F1153+IF(AR1153&gt;0,MIN(1,AS1153/AR1153),1))</x:f>
        <x:v>6.310057622066321</x:v>
      </x:c>
      <x:c r="J1154" s="32" t="n">
        <x:f>INDEX(v01_FoodCap,G1154)*Arch_FoodCap*EXP(v01_CapsByProject*SUMPRODUCT((Cap_Point&lt;=I1154)*(Cap_Kind="Food")*Cap_Ln))</x:f>
        <x:v>1000</x:v>
      </x:c>
      <x:c r="K1154" s="32" t="n">
        <x:f>J1154*MIN(1,v01_LeanBase*EXP(v01_CapsByProject*SUMPRODUCT((Cap_Point&lt;=I1154)*(Cap_Kind="Lean")*Cap_Ln)))</x:f>
        <x:v>1000</x:v>
      </x:c>
      <x:c r="L1154" s="10" t="n">
        <x:f>INDEX(v01_HousingCap,G1154)*EXP(v01_CapsByProject*SUMPRODUCT((Cap_Point&lt;=I1154)*(Cap_Kind="Housing")*Cap_Ln))</x:f>
        <x:v>1600</x:v>
      </x:c>
      <x:c r="M1154" s="10" t="n">
        <x:f>INDEX(v01_GroupCap,G1154)*v01_CohesionFactor*EXP(v01_CapsByProject*SUMPRODUCT((Cap_Point&lt;=I1154)*(Cap_Kind="Group")*Cap_Ln))</x:f>
        <x:v>1000000</x:v>
      </x:c>
      <x:c r="N1154" s="32" t="n">
        <x:f>MIN(J1154,L1154,M1154)</x:f>
        <x:v>1000</x:v>
      </x:c>
      <x:c r="O1154" s="10" t="n">
        <x:f>AE1153*N1154</x:f>
        <x:v>16000</x:v>
      </x:c>
      <x:c r="P1154" s="9" t="n">
        <x:f>MIN(1,(AB1153/(AE1153*IF(v01_GroupInCrowding=1,N1154,MIN(J1154,L1154))))^v01_CrowdingExp)</x:f>
        <x:v>0.016618327923660445</x:v>
      </x:c>
      <x:c r="Q1154" s="9" t="n">
        <x:f>IF(D1154=1,INDEX(v01_WinterMult,G1154),1)</x:f>
        <x:v>1</x:v>
      </x:c>
      <x:c r="R1154" s="9" t="n">
        <x:f>H1154*Z1153*v01_WomenShare*v01_BaseFertility*INDEX(v01_FertMult,G1154)*Arch_Fertility*(1-P1154)</x:f>
        <x:v>105.72221837445046</x:v>
      </x:c>
      <x:c r="S1154" s="9" t="n">
        <x:f>H1154*Y1153*INDEX(v01_MortChild,G1154)/4*Q1154</x:f>
        <x:v>18.624307117567945</x:v>
      </x:c>
      <x:c r="T1154" s="9" t="n">
        <x:f>H1154*Z1153*INDEX(v01_MortAdult,G1154)*Arch_AdultMort/4*Q1154</x:f>
        <x:v>7.679202532625841</x:v>
      </x:c>
      <x:c r="U1154" s="9" t="n">
        <x:f>H1154*AA1153*INDEX(v01_MortElder,G1154)/4*Q1154</x:f>
        <x:v>17.646552195596605</x:v>
      </x:c>
      <x:c r="V1154" s="9" t="n">
        <x:f>H1154*MAX(0,AB1153-O1154)*v01_OvercapLoss</x:f>
        <x:v>0</x:v>
      </x:c>
      <x:c r="W1154" s="9" t="n">
        <x:f>H1154*Y1153/(v01_ChildYears*4)</x:f>
        <x:v>60.46852960249333</x:v>
      </x:c>
      <x:c r="X1154" s="9" t="n">
        <x:f>H1154*Z1153/(v01_AdultYears*4)</x:f>
        <x:v>27.52402341442954</x:v>
      </x:c>
      <x:c r="Y1154" s="32" t="n">
        <x:f>Y1153+R1154-S1154-W1154-Y1153*V1154/AB1153</x:f>
        <x:v>3412.8670393940156</x:v>
      </x:c>
      <x:c r="Z1154" s="32" t="n">
        <x:f>Z1153+W1154-X1154-T1154-Z1153*V1154/AB1153</x:f>
        <x:v>3438.244207044701</x:v>
      </x:c>
      <x:c r="AA1154" s="32" t="n">
        <x:f>AA1153+X1154-U1154-AA1153*V1154/AB1153</x:f>
        <x:v>1293.2630854440408</x:v>
      </x:c>
      <x:c r="AB1154" s="10" t="n">
        <x:f>Y1154+Z1154+AA1154</x:f>
        <x:v>8144.374331882758</x:v>
      </x:c>
      <x:c r="AC1154" s="8" t="n">
        <x:f>IF(AND(v01_WinterTrigger=1,D1154=1,AB1153/AE1153&gt;=K1154),1,0)</x:f>
        <x:v>0</x:v>
      </x:c>
      <x:c r="AD1154" s="8" t="n">
        <x:f>H1154*IF(AND(OR(AB1153/AE1153&gt;=v01_FissionTrigger*N1154,AC1154=1),AB1153/AE1153*v01_DaughterShare&gt;=v01_MinDaughter),MAX(1,ROUND(AE1153*v01_FissionRate,0)),0)</x:f>
        <x:v>0</x:v>
      </x:c>
      <x:c r="AE1154" s="8" t="n">
        <x:f>IF(H1154=1,MAX(1,MIN(INDEX(v01_Smax,G1154),AE1153+AD1154)),AE1153)</x:f>
        <x:v>16</x:v>
      </x:c>
      <x:c r="AF1154" s="8" t="n">
        <x:f>MAX(0,AE1154-AE1153)</x:f>
        <x:v>0</x:v>
      </x:c>
      <x:c r="AG1154" s="9" t="str">
        <x:f>IF(AF1154&gt;0,B1154,"")</x:f>
      </x:c>
      <x:c r="AH1154" s="9" t="n">
        <x:f>IF(F1154&gt;=1,1,(1+v01_LowTiesShare*(AE1154-1))/AE1154)</x:f>
        <x:v>1</x:v>
      </x:c>
      <x:c r="AI1154" s="32" t="n">
        <x:f>(Z1154+v01_ElderCommons*INDEX(LM_Elder,G1154)*AA1154)*AH1154</x:f>
        <x:v>8287.980777459854</x:v>
      </x:c>
      <x:c r="AJ1154" s="32" t="n">
        <x:f>H1154*v01_CommonsCoef*AI1154^v01_CommonsExp*INDEX(LM_Commons,G1154)</x:f>
        <x:v>1869.403807279752</x:v>
      </x:c>
      <x:c r="AK1154" s="32" t="n">
        <x:f>H1154*v01_RoleScale*Arch_Roles*(AE1154*(INDEX(v01_ElderRolePerSett,G1154)*v01_OutElder*INDEX(LM_Elder,G1154)+INDEX(v01_ShamanPerSett,G1154)*v01_OutShaman)+Z1154*(INDEX(v01_PriestShare,G1154)*v01_OutPriest+INDEX(v01_ScribeShare,G1154)*v01_OutScribe*INDEX(LM_Scribe,G1154)+INDEX(v01_ScholarShare,G1154)*v01_OutScholar*INDEX(LM_Scholar,G1154)+INDEX(v01_ResearcherShare,G1154)*v01_OutResearcher*INDEX(LM_Researcher,G1154)))</x:f>
        <x:v>487.56259450833676</x:v>
      </x:c>
      <x:c r="AL1154" s="32" t="n">
        <x:f>H1154*v01_RoleScale*Arch_Roles*AE1154*INDEX(v01_MonasteryPerSett,G1154)*v01_OutMonastery*INDEX(LM_Monastery,G1154)</x:f>
        <x:v>10.56</x:v>
      </x:c>
      <x:c r="AM1154" s="32" t="n">
        <x:f>(AJ1154+AK1154+AL1154)/4*INDEX(LM_All,G1154)*INDEX(v01_Boon,G1154)*Arch_Insight</x:f>
        <x:v>1081.8856005557752</x:v>
      </x:c>
      <x:c r="AN1154" s="32" t="n">
        <x:f>H1154*(v01_KHPerAdult*Z1154+v01_KHOfCommons*AJ1154/4*INDEX(LM_All,G1154))*v01_KHUsable*Arch_KH</x:f>
        <x:v>120.33854724656453</x:v>
      </x:c>
      <x:c r="AO1154" s="32" t="n">
        <x:f>MIN(AP1153+AN1154,AM1154*v01_KHMaxRatio)</x:f>
        <x:v>120.33854724656453</x:v>
      </x:c>
      <x:c r="AP1154" s="32" t="n">
        <x:f>AP1153+AN1154-AO1154</x:f>
        <x:v>0</x:v>
      </x:c>
      <x:c r="AQ1154" s="32" t="n">
        <x:f>AM1154+AO1154</x:f>
        <x:v>1202.2241478023398</x:v>
      </x:c>
      <x:c r="AR1154" s="10" t="n">
        <x:f>IF(H1154=1,INDEX(v01_Req,G1154),0)</x:f>
        <x:v>113395.942036</x:v>
      </x:c>
      <x:c r="AS1154" s="32" t="n">
        <x:f>IF(H1154=1,IF(E1154=1,AS1153-AR1153,AS1153)+AQ1154,0)</x:f>
        <x:v>36361.50028745484</x:v>
      </x:c>
      <x:c r="AT1154" s="11" t="n">
        <x:f>IF(AR1154&gt;0,MIN(1,AS1154/AR1154),1)</x:f>
        <x:v>0.32065962533219305</x:v>
      </x:c>
      <x:c r="AU1154" s="10" t="n">
        <x:f>AB1154/INDEX(v01_RepScale,G1154)</x:f>
        <x:v>162.88748663765517</x:v>
      </x:c>
      <x:c r="AV1154" s="32" t="n">
        <x:f>AM1154*60/v01_SeasonSeconds</x:f>
        <x:v>4327.542402223101</x:v>
      </x:c>
    </x:row>
    <x:row r="1155">
      <x:c r="A1155" s="8" t="n">
        <x:f>A1154+1</x:f>
        <x:v>1152</x:v>
      </x:c>
      <x:c r="B1155" s="9" t="n">
        <x:f>A1155*v01_SeasonSeconds/60</x:f>
        <x:v>288</x:v>
      </x:c>
      <x:c r="C1155" s="9" t="n">
        <x:f>A1155/4</x:f>
        <x:v>288</x:v>
      </x:c>
      <x:c r="D1155" s="8" t="n">
        <x:f>IF(MOD(A1155,4)=0,1,0)</x:f>
        <x:v>1</x:v>
      </x:c>
      <x:c r="E1155" s="8" t="n">
        <x:f>IF(AND(F1154&lt;=9,AS1154&gt;=AR1154),1,0)</x:f>
        <x:v>0</x:v>
      </x:c>
      <x:c r="F1155" s="8" t="n">
        <x:f>MIN(10,F1154+E1155)</x:f>
        <x:v>6</x:v>
      </x:c>
      <x:c r="G1155" s="8" t="n">
        <x:f>MIN(F1155,9)+1</x:f>
        <x:v>7</x:v>
      </x:c>
      <x:c r="H1155" s="8" t="n">
        <x:f>IF(F1155&lt;=9,1,0)</x:f>
        <x:v>1</x:v>
      </x:c>
      <x:c r="I1155" s="9" t="n">
        <x:f>MIN(10,F1154+IF(AR1154&gt;0,MIN(1,AS1154/AR1154),1))</x:f>
        <x:v>6.320659625332193</x:v>
      </x:c>
      <x:c r="J1155" s="32" t="n">
        <x:f>INDEX(v01_FoodCap,G1155)*Arch_FoodCap*EXP(v01_CapsByProject*SUMPRODUCT((Cap_Point&lt;=I1155)*(Cap_Kind="Food")*Cap_Ln))</x:f>
        <x:v>1000</x:v>
      </x:c>
      <x:c r="K1155" s="32" t="n">
        <x:f>J1155*MIN(1,v01_LeanBase*EXP(v01_CapsByProject*SUMPRODUCT((Cap_Point&lt;=I1155)*(Cap_Kind="Lean")*Cap_Ln)))</x:f>
        <x:v>1000</x:v>
      </x:c>
      <x:c r="L1155" s="10" t="n">
        <x:f>INDEX(v01_HousingCap,G1155)*EXP(v01_CapsByProject*SUMPRODUCT((Cap_Point&lt;=I1155)*(Cap_Kind="Housing")*Cap_Ln))</x:f>
        <x:v>1600</x:v>
      </x:c>
      <x:c r="M1155" s="10" t="n">
        <x:f>INDEX(v01_GroupCap,G1155)*v01_CohesionFactor*EXP(v01_CapsByProject*SUMPRODUCT((Cap_Point&lt;=I1155)*(Cap_Kind="Group")*Cap_Ln))</x:f>
        <x:v>1000000</x:v>
      </x:c>
      <x:c r="N1155" s="32" t="n">
        <x:f>MIN(J1155,L1155,M1155)</x:f>
        <x:v>1000</x:v>
      </x:c>
      <x:c r="O1155" s="10" t="n">
        <x:f>AE1154*N1155</x:f>
        <x:v>16000</x:v>
      </x:c>
      <x:c r="P1155" s="9" t="n">
        <x:f>MIN(1,(AB1154/(AE1154*IF(v01_GroupInCrowding=1,N1155,MIN(J1155,L1155))))^v01_CrowdingExp)</x:f>
        <x:v>0.01739508130853496</x:v>
      </x:c>
      <x:c r="Q1155" s="9" t="n">
        <x:f>IF(D1155=1,INDEX(v01_WinterMult,G1155),1)</x:f>
        <x:v>1</x:v>
      </x:c>
      <x:c r="R1155" s="9" t="n">
        <x:f>H1155*Z1154*v01_WomenShare*v01_BaseFertility*INDEX(v01_FertMult,G1155)*Arch_Fertility*(1-P1155)</x:f>
        <x:v>106.42072358939362</x:v>
      </x:c>
      <x:c r="S1155" s="9" t="n">
        <x:f>H1155*Y1154*INDEX(v01_MortChild,G1155)/4*Q1155</x:f>
        <x:v>18.770768716667085</x:v>
      </x:c>
      <x:c r="T1155" s="9" t="n">
        <x:f>H1155*Z1154*INDEX(v01_MortAdult,G1155)*Arch_AdultMort/4*Q1155</x:f>
        <x:v>7.736049465850576</x:v>
      </x:c>
      <x:c r="U1155" s="9" t="n">
        <x:f>H1155*AA1154*INDEX(v01_MortElder,G1155)/4*Q1155</x:f>
        <x:v>17.78236742485556</x:v>
      </x:c>
      <x:c r="V1155" s="9" t="n">
        <x:f>H1155*MAX(0,AB1154-O1155)*v01_OvercapLoss</x:f>
        <x:v>0</x:v>
      </x:c>
      <x:c r="W1155" s="9" t="n">
        <x:f>H1155*Y1154/(v01_ChildYears*4)</x:f>
        <x:v>60.94405427489313</x:v>
      </x:c>
      <x:c r="X1155" s="9" t="n">
        <x:f>H1155*Z1154/(v01_AdultYears*4)</x:f>
        <x:v>27.727775863263716</x:v>
      </x:c>
      <x:c r="Y1155" s="32" t="n">
        <x:f>Y1154+R1155-S1155-W1155-Y1154*V1155/AB1154</x:f>
        <x:v>3439.572939991849</x:v>
      </x:c>
      <x:c r="Z1155" s="32" t="n">
        <x:f>Z1154+W1155-X1155-T1155-Z1154*V1155/AB1154</x:f>
        <x:v>3463.72443599048</x:v>
      </x:c>
      <x:c r="AA1155" s="32" t="n">
        <x:f>AA1154+X1155-U1155-AA1154*V1155/AB1154</x:f>
        <x:v>1303.2084938824491</x:v>
      </x:c>
      <x:c r="AB1155" s="10" t="n">
        <x:f>Y1155+Z1155+AA1155</x:f>
        <x:v>8206.505869864777</x:v>
      </x:c>
      <x:c r="AC1155" s="8" t="n">
        <x:f>IF(AND(v01_WinterTrigger=1,D1155=1,AB1154/AE1154&gt;=K1155),1,0)</x:f>
        <x:v>0</x:v>
      </x:c>
      <x:c r="AD1155" s="8" t="n">
        <x:f>H1155*IF(AND(OR(AB1154/AE1154&gt;=v01_FissionTrigger*N1155,AC1155=1),AB1154/AE1154*v01_DaughterShare&gt;=v01_MinDaughter),MAX(1,ROUND(AE1154*v01_FissionRate,0)),0)</x:f>
        <x:v>0</x:v>
      </x:c>
      <x:c r="AE1155" s="8" t="n">
        <x:f>IF(H1155=1,MAX(1,MIN(INDEX(v01_Smax,G1155),AE1154+AD1155)),AE1154)</x:f>
        <x:v>16</x:v>
      </x:c>
      <x:c r="AF1155" s="8" t="n">
        <x:f>MAX(0,AE1155-AE1154)</x:f>
        <x:v>0</x:v>
      </x:c>
      <x:c r="AG1155" s="9" t="str">
        <x:f>IF(AF1155&gt;0,B1155,"")</x:f>
      </x:c>
      <x:c r="AH1155" s="9" t="n">
        <x:f>IF(F1155&gt;=1,1,(1+v01_LowTiesShare*(AE1155-1))/AE1155)</x:f>
        <x:v>1</x:v>
      </x:c>
      <x:c r="AI1155" s="32" t="n">
        <x:f>(Z1155+v01_ElderCommons*INDEX(LM_Elder,G1155)*AA1155)*AH1155</x:f>
        <x:v>8350.756288049664</x:v>
      </x:c>
      <x:c r="AJ1155" s="32" t="n">
        <x:f>H1155*v01_CommonsCoef*AI1155^v01_CommonsExp*INDEX(LM_Commons,G1155)</x:f>
        <x:v>1881.4324742417307</x:v>
      </x:c>
      <x:c r="AK1155" s="32" t="n">
        <x:f>H1155*v01_RoleScale*Arch_Roles*(AE1155*(INDEX(v01_ElderRolePerSett,G1155)*v01_OutElder*INDEX(LM_Elder,G1155)+INDEX(v01_ShamanPerSett,G1155)*v01_OutShaman)+Z1155*(INDEX(v01_PriestShare,G1155)*v01_OutPriest+INDEX(v01_ScribeShare,G1155)*v01_OutScribe*INDEX(LM_Scribe,G1155)+INDEX(v01_ScholarShare,G1155)*v01_OutScholar*INDEX(LM_Scholar,G1155)+INDEX(v01_ResearcherShare,G1155)*v01_OutResearcher*INDEX(LM_Researcher,G1155)))</x:f>
        <x:v>490.77565137839946</x:v>
      </x:c>
      <x:c r="AL1155" s="32" t="n">
        <x:f>H1155*v01_RoleScale*Arch_Roles*AE1155*INDEX(v01_MonasteryPerSett,G1155)*v01_OutMonastery*INDEX(LM_Monastery,G1155)</x:f>
        <x:v>10.56</x:v>
      </x:c>
      <x:c r="AM1155" s="32" t="n">
        <x:f>(AJ1155+AK1155+AL1155)/4*INDEX(LM_All,G1155)*INDEX(v01_Boon,G1155)*Arch_Insight</x:f>
        <x:v>1088.8505921727976</x:v>
      </x:c>
      <x:c r="AN1155" s="32" t="n">
        <x:f>H1155*(v01_KHPerAdult*Z1155+v01_KHOfCommons*AJ1155/4*INDEX(LM_All,G1155))*v01_KHUsable*Arch_KH</x:f>
        <x:v>121.23035525966678</x:v>
      </x:c>
      <x:c r="AO1155" s="32" t="n">
        <x:f>MIN(AP1154+AN1155,AM1155*v01_KHMaxRatio)</x:f>
        <x:v>121.23035525966678</x:v>
      </x:c>
      <x:c r="AP1155" s="32" t="n">
        <x:f>AP1154+AN1155-AO1155</x:f>
        <x:v>0</x:v>
      </x:c>
      <x:c r="AQ1155" s="32" t="n">
        <x:f>AM1155+AO1155</x:f>
        <x:v>1210.0809474324644</x:v>
      </x:c>
      <x:c r="AR1155" s="10" t="n">
        <x:f>IF(H1155=1,INDEX(v01_Req,G1155),0)</x:f>
        <x:v>113395.942036</x:v>
      </x:c>
      <x:c r="AS1155" s="32" t="n">
        <x:f>IF(H1155=1,IF(E1155=1,AS1154-AR1154,AS1154)+AQ1155,0)</x:f>
        <x:v>37571.5812348873</x:v>
      </x:c>
      <x:c r="AT1155" s="11" t="n">
        <x:f>IF(AR1155&gt;0,MIN(1,AS1155/AR1155),1)</x:f>
        <x:v>0.3313309150248021</x:v>
      </x:c>
      <x:c r="AU1155" s="10" t="n">
        <x:f>AB1155/INDEX(v01_RepScale,G1155)</x:f>
        <x:v>164.13011739729555</x:v>
      </x:c>
      <x:c r="AV1155" s="32" t="n">
        <x:f>AM1155*60/v01_SeasonSeconds</x:f>
        <x:v>4355.4023686911905</x:v>
      </x:c>
    </x:row>
    <x:row r="1156">
      <x:c r="A1156" s="8" t="n">
        <x:f>A1155+1</x:f>
        <x:v>1153</x:v>
      </x:c>
      <x:c r="B1156" s="9" t="n">
        <x:f>A1156*v01_SeasonSeconds/60</x:f>
        <x:v>288.25</x:v>
      </x:c>
      <x:c r="C1156" s="9" t="n">
        <x:f>A1156/4</x:f>
        <x:v>288.25</x:v>
      </x:c>
      <x:c r="D1156" s="8" t="n">
        <x:f>IF(MOD(A1156,4)=0,1,0)</x:f>
        <x:v>0</x:v>
      </x:c>
      <x:c r="E1156" s="8" t="n">
        <x:f>IF(AND(F1155&lt;=9,AS1155&gt;=AR1155),1,0)</x:f>
        <x:v>0</x:v>
      </x:c>
      <x:c r="F1156" s="8" t="n">
        <x:f>MIN(10,F1155+E1156)</x:f>
        <x:v>6</x:v>
      </x:c>
      <x:c r="G1156" s="8" t="n">
        <x:f>MIN(F1156,9)+1</x:f>
        <x:v>7</x:v>
      </x:c>
      <x:c r="H1156" s="8" t="n">
        <x:f>IF(F1156&lt;=9,1,0)</x:f>
        <x:v>1</x:v>
      </x:c>
      <x:c r="I1156" s="9" t="n">
        <x:f>MIN(10,F1155+IF(AR1155&gt;0,MIN(1,AS1155/AR1155),1))</x:f>
        <x:v>6.331330915024802</x:v>
      </x:c>
      <x:c r="J1156" s="32" t="n">
        <x:f>INDEX(v01_FoodCap,G1156)*Arch_FoodCap*EXP(v01_CapsByProject*SUMPRODUCT((Cap_Point&lt;=I1156)*(Cap_Kind="Food")*Cap_Ln))</x:f>
        <x:v>1000</x:v>
      </x:c>
      <x:c r="K1156" s="32" t="n">
        <x:f>J1156*MIN(1,v01_LeanBase*EXP(v01_CapsByProject*SUMPRODUCT((Cap_Point&lt;=I1156)*(Cap_Kind="Lean")*Cap_Ln)))</x:f>
        <x:v>1000</x:v>
      </x:c>
      <x:c r="L1156" s="10" t="n">
        <x:f>INDEX(v01_HousingCap,G1156)*EXP(v01_CapsByProject*SUMPRODUCT((Cap_Point&lt;=I1156)*(Cap_Kind="Housing")*Cap_Ln))</x:f>
        <x:v>1600</x:v>
      </x:c>
      <x:c r="M1156" s="10" t="n">
        <x:f>INDEX(v01_GroupCap,G1156)*v01_CohesionFactor*EXP(v01_CapsByProject*SUMPRODUCT((Cap_Point&lt;=I1156)*(Cap_Kind="Group")*Cap_Ln))</x:f>
        <x:v>1000000</x:v>
      </x:c>
      <x:c r="N1156" s="32" t="n">
        <x:f>MIN(J1156,L1156,M1156)</x:f>
        <x:v>1000</x:v>
      </x:c>
      <x:c r="O1156" s="10" t="n">
        <x:f>AE1155*N1156</x:f>
        <x:v>16000</x:v>
      </x:c>
      <x:c r="P1156" s="9" t="n">
        <x:f>MIN(1,(AB1155/(AE1155*IF(v01_GroupInCrowding=1,N1156,MIN(J1156,L1156))))^v01_CrowdingExp)</x:f>
        <x:v>0.018206640247441508</x:v>
      </x:c>
      <x:c r="Q1156" s="9" t="n">
        <x:f>IF(D1156=1,INDEX(v01_WinterMult,G1156),1)</x:f>
        <x:v>1</x:v>
      </x:c>
      <x:c r="R1156" s="9" t="n">
        <x:f>H1156*Z1155*v01_WomenShare*v01_BaseFertility*INDEX(v01_FertMult,G1156)*Arch_Fertility*(1-P1156)</x:f>
        <x:v>107.12084201494608</x:v>
      </x:c>
      <x:c r="S1156" s="9" t="n">
        <x:f>H1156*Y1155*INDEX(v01_MortChild,G1156)/4*Q1156</x:f>
        <x:v>18.917651169955167</x:v>
      </x:c>
      <x:c r="T1156" s="9" t="n">
        <x:f>H1156*Z1155*INDEX(v01_MortAdult,G1156)*Arch_AdultMort/4*Q1156</x:f>
        <x:v>7.793379980978579</x:v>
      </x:c>
      <x:c r="U1156" s="9" t="n">
        <x:f>H1156*AA1155*INDEX(v01_MortElder,G1156)/4*Q1156</x:f>
        <x:v>17.919116790883677</x:v>
      </x:c>
      <x:c r="V1156" s="9" t="n">
        <x:f>H1156*MAX(0,AB1155-O1156)*v01_OvercapLoss</x:f>
        <x:v>0</x:v>
      </x:c>
      <x:c r="W1156" s="9" t="n">
        <x:f>H1156*Y1155/(v01_ChildYears*4)</x:f>
        <x:v>61.42094535699731</x:v>
      </x:c>
      <x:c r="X1156" s="9" t="n">
        <x:f>H1156*Z1155/(v01_AdultYears*4)</x:f>
        <x:v>27.933261580568384</x:v>
      </x:c>
      <x:c r="Y1156" s="32" t="n">
        <x:f>Y1155+R1156-S1156-W1156-Y1155*V1156/AB1155</x:f>
        <x:v>3466.3551854798425</x:v>
      </x:c>
      <x:c r="Z1156" s="32" t="n">
        <x:f>Z1155+W1156-X1156-T1156-Z1155*V1156/AB1155</x:f>
        <x:v>3489.4187397859305</x:v>
      </x:c>
      <x:c r="AA1156" s="32" t="n">
        <x:f>AA1155+X1156-U1156-AA1155*V1156/AB1155</x:f>
        <x:v>1313.2226386721338</x:v>
      </x:c>
      <x:c r="AB1156" s="10" t="n">
        <x:f>Y1156+Z1156+AA1156</x:f>
        <x:v>8268.996563937906</x:v>
      </x:c>
      <x:c r="AC1156" s="8" t="n">
        <x:f>IF(AND(v01_WinterTrigger=1,D1156=1,AB1155/AE1155&gt;=K1156),1,0)</x:f>
        <x:v>0</x:v>
      </x:c>
      <x:c r="AD1156" s="8" t="n">
        <x:f>H1156*IF(AND(OR(AB1155/AE1155&gt;=v01_FissionTrigger*N1156,AC1156=1),AB1155/AE1155*v01_DaughterShare&gt;=v01_MinDaughter),MAX(1,ROUND(AE1155*v01_FissionRate,0)),0)</x:f>
        <x:v>0</x:v>
      </x:c>
      <x:c r="AE1156" s="8" t="n">
        <x:f>IF(H1156=1,MAX(1,MIN(INDEX(v01_Smax,G1156),AE1155+AD1156)),AE1155)</x:f>
        <x:v>16</x:v>
      </x:c>
      <x:c r="AF1156" s="8" t="n">
        <x:f>MAX(0,AE1156-AE1155)</x:f>
        <x:v>0</x:v>
      </x:c>
      <x:c r="AG1156" s="9" t="str">
        <x:f>IF(AF1156&gt;0,B1156,"")</x:f>
      </x:c>
      <x:c r="AH1156" s="9" t="n">
        <x:f>IF(F1156&gt;=1,1,(1+v01_LowTiesShare*(AE1156-1))/AE1156)</x:f>
        <x:v>1</x:v>
      </x:c>
      <x:c r="AI1156" s="32" t="n">
        <x:f>(Z1156+v01_ElderCommons*INDEX(LM_Elder,G1156)*AA1156)*AH1156</x:f>
        <x:v>8414.003634806431</x:v>
      </x:c>
      <x:c r="AJ1156" s="32" t="n">
        <x:f>H1156*v01_CommonsCoef*AI1156^v01_CommonsExp*INDEX(LM_Commons,G1156)</x:f>
        <x:v>1893.5378426604707</x:v>
      </x:c>
      <x:c r="AK1156" s="32" t="n">
        <x:f>H1156*v01_RoleScale*Arch_Roles*(AE1156*(INDEX(v01_ElderRolePerSett,G1156)*v01_OutElder*INDEX(LM_Elder,G1156)+INDEX(v01_ShamanPerSett,G1156)*v01_OutShaman)+Z1156*(INDEX(v01_PriestShare,G1156)*v01_OutPriest+INDEX(v01_ScribeShare,G1156)*v01_OutScribe*INDEX(LM_Scribe,G1156)+INDEX(v01_ScholarShare,G1156)*v01_OutScholar*INDEX(LM_Scholar,G1156)+INDEX(v01_ResearcherShare,G1156)*v01_OutResearcher*INDEX(LM_Researcher,G1156)))</x:f>
        <x:v>494.0157030870058</x:v>
      </x:c>
      <x:c r="AL1156" s="32" t="n">
        <x:f>H1156*v01_RoleScale*Arch_Roles*AE1156*INDEX(v01_MonasteryPerSett,G1156)*v01_OutMonastery*INDEX(LM_Monastery,G1156)</x:f>
        <x:v>10.56</x:v>
      </x:c>
      <x:c r="AM1156" s="32" t="n">
        <x:f>(AJ1156+AK1156+AL1156)/4*INDEX(LM_All,G1156)*INDEX(v01_Boon,G1156)*Arch_Insight</x:f>
        <x:v>1095.8629697571475</x:v>
      </x:c>
      <x:c r="AN1156" s="32" t="n">
        <x:f>H1156*(v01_KHPerAdult*Z1156+v01_KHOfCommons*AJ1156/4*INDEX(LM_All,G1156))*v01_KHUsable*Arch_KH</x:f>
        <x:v>122.12965589250757</x:v>
      </x:c>
      <x:c r="AO1156" s="32" t="n">
        <x:f>MIN(AP1155+AN1156,AM1156*v01_KHMaxRatio)</x:f>
        <x:v>122.12965589250757</x:v>
      </x:c>
      <x:c r="AP1156" s="32" t="n">
        <x:f>AP1155+AN1156-AO1156</x:f>
        <x:v>0</x:v>
      </x:c>
      <x:c r="AQ1156" s="32" t="n">
        <x:f>AM1156+AO1156</x:f>
        <x:v>1217.992625649655</x:v>
      </x:c>
      <x:c r="AR1156" s="10" t="n">
        <x:f>IF(H1156=1,INDEX(v01_Req,G1156),0)</x:f>
        <x:v>113395.942036</x:v>
      </x:c>
      <x:c r="AS1156" s="32" t="n">
        <x:f>IF(H1156=1,IF(E1156=1,AS1155-AR1155,AS1155)+AQ1156,0)</x:f>
        <x:v>38789.573860536955</x:v>
      </x:c>
      <x:c r="AT1156" s="11" t="n">
        <x:f>IF(AR1156&gt;0,MIN(1,AS1156/AR1156),1)</x:f>
        <x:v>0.3420719750996236</x:v>
      </x:c>
      <x:c r="AU1156" s="10" t="n">
        <x:f>AB1156/INDEX(v01_RepScale,G1156)</x:f>
        <x:v>165.37993127875814</x:v>
      </x:c>
      <x:c r="AV1156" s="32" t="n">
        <x:f>AM1156*60/v01_SeasonSeconds</x:f>
        <x:v>4383.45187902859</x:v>
      </x:c>
    </x:row>
    <x:row r="1157">
      <x:c r="A1157" s="8" t="n">
        <x:f>A1156+1</x:f>
        <x:v>1154</x:v>
      </x:c>
      <x:c r="B1157" s="9" t="n">
        <x:f>A1157*v01_SeasonSeconds/60</x:f>
        <x:v>288.5</x:v>
      </x:c>
      <x:c r="C1157" s="9" t="n">
        <x:f>A1157/4</x:f>
        <x:v>288.5</x:v>
      </x:c>
      <x:c r="D1157" s="8" t="n">
        <x:f>IF(MOD(A1157,4)=0,1,0)</x:f>
        <x:v>0</x:v>
      </x:c>
      <x:c r="E1157" s="8" t="n">
        <x:f>IF(AND(F1156&lt;=9,AS1156&gt;=AR1156),1,0)</x:f>
        <x:v>0</x:v>
      </x:c>
      <x:c r="F1157" s="8" t="n">
        <x:f>MIN(10,F1156+E1157)</x:f>
        <x:v>6</x:v>
      </x:c>
      <x:c r="G1157" s="8" t="n">
        <x:f>MIN(F1157,9)+1</x:f>
        <x:v>7</x:v>
      </x:c>
      <x:c r="H1157" s="8" t="n">
        <x:f>IF(F1157&lt;=9,1,0)</x:f>
        <x:v>1</x:v>
      </x:c>
      <x:c r="I1157" s="9" t="n">
        <x:f>MIN(10,F1156+IF(AR1156&gt;0,MIN(1,AS1156/AR1156),1))</x:f>
        <x:v>6.342071975099624</x:v>
      </x:c>
      <x:c r="J1157" s="32" t="n">
        <x:f>INDEX(v01_FoodCap,G1157)*Arch_FoodCap*EXP(v01_CapsByProject*SUMPRODUCT((Cap_Point&lt;=I1157)*(Cap_Kind="Food")*Cap_Ln))</x:f>
        <x:v>1000</x:v>
      </x:c>
      <x:c r="K1157" s="32" t="n">
        <x:f>J1157*MIN(1,v01_LeanBase*EXP(v01_CapsByProject*SUMPRODUCT((Cap_Point&lt;=I1157)*(Cap_Kind="Lean")*Cap_Ln)))</x:f>
        <x:v>1000</x:v>
      </x:c>
      <x:c r="L1157" s="10" t="n">
        <x:f>INDEX(v01_HousingCap,G1157)*EXP(v01_CapsByProject*SUMPRODUCT((Cap_Point&lt;=I1157)*(Cap_Kind="Housing")*Cap_Ln))</x:f>
        <x:v>1600</x:v>
      </x:c>
      <x:c r="M1157" s="10" t="n">
        <x:f>INDEX(v01_GroupCap,G1157)*v01_CohesionFactor*EXP(v01_CapsByProject*SUMPRODUCT((Cap_Point&lt;=I1157)*(Cap_Kind="Group")*Cap_Ln))</x:f>
        <x:v>1000000</x:v>
      </x:c>
      <x:c r="N1157" s="32" t="n">
        <x:f>MIN(J1157,L1157,M1157)</x:f>
        <x:v>1000</x:v>
      </x:c>
      <x:c r="O1157" s="10" t="n">
        <x:f>AE1156*N1157</x:f>
        <x:v>16000</x:v>
      </x:c>
      <x:c r="P1157" s="9" t="n">
        <x:f>MIN(1,(AB1156/(AE1156*IF(v01_GroupInCrowding=1,N1157,MIN(J1157,L1157))))^v01_CrowdingExp)</x:f>
        <x:v>0.019054474364499082</x:v>
      </x:c>
      <x:c r="Q1157" s="9" t="n">
        <x:f>IF(D1157=1,INDEX(v01_WinterMult,G1157),1)</x:f>
        <x:v>1</x:v>
      </x:c>
      <x:c r="R1157" s="9" t="n">
        <x:f>H1157*Z1156*v01_WomenShare*v01_BaseFertility*INDEX(v01_FertMult,G1157)*Arch_Fertility*(1-P1157)</x:f>
        <x:v>107.82228554564283</x:v>
      </x:c>
      <x:c r="S1157" s="9" t="n">
        <x:f>H1157*Y1156*INDEX(v01_MortChild,G1157)/4*Q1157</x:f>
        <x:v>19.06495352013913</x:v>
      </x:c>
      <x:c r="T1157" s="9" t="n">
        <x:f>H1157*Z1156*INDEX(v01_MortAdult,G1157)*Arch_AdultMort/4*Q1157</x:f>
        <x:v>7.851192164518343</x:v>
      </x:c>
      <x:c r="U1157" s="9" t="n">
        <x:f>H1157*AA1156*INDEX(v01_MortElder,G1157)/4*Q1157</x:f>
        <x:v>18.05681128174184</x:v>
      </x:c>
      <x:c r="V1157" s="9" t="n">
        <x:f>H1157*MAX(0,AB1156-O1157)*v01_OvercapLoss</x:f>
        <x:v>0</x:v>
      </x:c>
      <x:c r="W1157" s="9" t="n">
        <x:f>H1157*Y1156/(v01_ChildYears*4)</x:f>
        <x:v>61.899199740711474</x:v>
      </x:c>
      <x:c r="X1157" s="9" t="n">
        <x:f>H1157*Z1156/(v01_AdultYears*4)</x:f>
        <x:v>28.140473707951053</x:v>
      </x:c>
      <x:c r="Y1157" s="32" t="n">
        <x:f>Y1156+R1157-S1157-W1157-Y1156*V1157/AB1156</x:f>
        <x:v>3493.2133177646347</x:v>
      </x:c>
      <x:c r="Z1157" s="32" t="n">
        <x:f>Z1156+W1157-X1157-T1157-Z1156*V1157/AB1156</x:f>
        <x:v>3515.326273654173</x:v>
      </x:c>
      <x:c r="AA1157" s="32" t="n">
        <x:f>AA1156+X1157-U1157-AA1156*V1157/AB1156</x:f>
        <x:v>1323.306301098343</x:v>
      </x:c>
      <x:c r="AB1157" s="10" t="n">
        <x:f>Y1157+Z1157+AA1157</x:f>
        <x:v>8331.84589251715</x:v>
      </x:c>
      <x:c r="AC1157" s="8" t="n">
        <x:f>IF(AND(v01_WinterTrigger=1,D1157=1,AB1156/AE1156&gt;=K1157),1,0)</x:f>
        <x:v>0</x:v>
      </x:c>
      <x:c r="AD1157" s="8" t="n">
        <x:f>H1157*IF(AND(OR(AB1156/AE1156&gt;=v01_FissionTrigger*N1157,AC1157=1),AB1156/AE1156*v01_DaughterShare&gt;=v01_MinDaughter),MAX(1,ROUND(AE1156*v01_FissionRate,0)),0)</x:f>
        <x:v>0</x:v>
      </x:c>
      <x:c r="AE1157" s="8" t="n">
        <x:f>IF(H1157=1,MAX(1,MIN(INDEX(v01_Smax,G1157),AE1156+AD1157)),AE1156)</x:f>
        <x:v>16</x:v>
      </x:c>
      <x:c r="AF1157" s="8" t="n">
        <x:f>MAX(0,AE1157-AE1156)</x:f>
        <x:v>0</x:v>
      </x:c>
      <x:c r="AG1157" s="9" t="str">
        <x:f>IF(AF1157&gt;0,B1157,"")</x:f>
      </x:c>
      <x:c r="AH1157" s="9" t="n">
        <x:f>IF(F1157&gt;=1,1,(1+v01_LowTiesShare*(AE1157-1))/AE1157)</x:f>
        <x:v>1</x:v>
      </x:c>
      <x:c r="AI1157" s="32" t="n">
        <x:f>(Z1157+v01_ElderCommons*INDEX(LM_Elder,G1157)*AA1157)*AH1157</x:f>
        <x:v>8477.72490277296</x:v>
      </x:c>
      <x:c r="AJ1157" s="32" t="n">
        <x:f>H1157*v01_CommonsCoef*AI1157^v01_CommonsExp*INDEX(LM_Commons,G1157)</x:f>
        <x:v>1905.7201231827848</x:v>
      </x:c>
      <x:c r="AK1157" s="32" t="n">
        <x:f>H1157*v01_RoleScale*Arch_Roles*(AE1157*(INDEX(v01_ElderRolePerSett,G1157)*v01_OutElder*INDEX(LM_Elder,G1157)+INDEX(v01_ShamanPerSett,G1157)*v01_OutShaman)+Z1157*(INDEX(v01_PriestShare,G1157)*v01_OutPriest+INDEX(v01_ScribeShare,G1157)*v01_OutScribe*INDEX(LM_Scribe,G1157)+INDEX(v01_ScholarShare,G1157)*v01_OutScholar*INDEX(LM_Scholar,G1157)+INDEX(v01_ResearcherShare,G1157)*v01_OutResearcher*INDEX(LM_Researcher,G1157)))</x:f>
        <x:v>497.28264310779116</x:v>
      </x:c>
      <x:c r="AL1157" s="32" t="n">
        <x:f>H1157*v01_RoleScale*Arch_Roles*AE1157*INDEX(v01_MonasteryPerSett,G1157)*v01_OutMonastery*INDEX(LM_Monastery,G1157)</x:f>
        <x:v>10.56</x:v>
      </x:c>
      <x:c r="AM1157" s="32" t="n">
        <x:f>(AJ1157+AK1157+AL1157)/4*INDEX(LM_All,G1157)*INDEX(v01_Boon,G1157)*Arch_Insight</x:f>
        <x:v>1102.9227808886162</x:v>
      </x:c>
      <x:c r="AN1157" s="32" t="n">
        <x:f>H1157*(v01_KHPerAdult*Z1157+v01_KHOfCommons*AJ1157/4*INDEX(LM_All,G1157))*v01_KHUsable*Arch_KH</x:f>
        <x:v>123.03641957789604</x:v>
      </x:c>
      <x:c r="AO1157" s="32" t="n">
        <x:f>MIN(AP1156+AN1157,AM1157*v01_KHMaxRatio)</x:f>
        <x:v>123.03641957789604</x:v>
      </x:c>
      <x:c r="AP1157" s="32" t="n">
        <x:f>AP1156+AN1157-AO1157</x:f>
        <x:v>0</x:v>
      </x:c>
      <x:c r="AQ1157" s="32" t="n">
        <x:f>AM1157+AO1157</x:f>
        <x:v>1225.9592004665124</x:v>
      </x:c>
      <x:c r="AR1157" s="10" t="n">
        <x:f>IF(H1157=1,INDEX(v01_Req,G1157),0)</x:f>
        <x:v>113395.942036</x:v>
      </x:c>
      <x:c r="AS1157" s="32" t="n">
        <x:f>IF(H1157=1,IF(E1157=1,AS1156-AR1156,AS1156)+AQ1157,0)</x:f>
        <x:v>40015.533061003465</x:v>
      </x:c>
      <x:c r="AT1157" s="11" t="n">
        <x:f>IF(AR1157&gt;0,MIN(1,AS1157/AR1157),1)</x:f>
        <x:v>0.3528832896709802</x:v>
      </x:c>
      <x:c r="AU1157" s="10" t="n">
        <x:f>AB1157/INDEX(v01_RepScale,G1157)</x:f>
        <x:v>166.63691785034302</x:v>
      </x:c>
      <x:c r="AV1157" s="32" t="n">
        <x:f>AM1157*60/v01_SeasonSeconds</x:f>
        <x:v>4411.691123554465</x:v>
      </x:c>
    </x:row>
    <x:row r="1158">
      <x:c r="A1158" s="8" t="n">
        <x:f>A1157+1</x:f>
        <x:v>1155</x:v>
      </x:c>
      <x:c r="B1158" s="9" t="n">
        <x:f>A1158*v01_SeasonSeconds/60</x:f>
        <x:v>288.75</x:v>
      </x:c>
      <x:c r="C1158" s="9" t="n">
        <x:f>A1158/4</x:f>
        <x:v>288.75</x:v>
      </x:c>
      <x:c r="D1158" s="8" t="n">
        <x:f>IF(MOD(A1158,4)=0,1,0)</x:f>
        <x:v>0</x:v>
      </x:c>
      <x:c r="E1158" s="8" t="n">
        <x:f>IF(AND(F1157&lt;=9,AS1157&gt;=AR1157),1,0)</x:f>
        <x:v>0</x:v>
      </x:c>
      <x:c r="F1158" s="8" t="n">
        <x:f>MIN(10,F1157+E1158)</x:f>
        <x:v>6</x:v>
      </x:c>
      <x:c r="G1158" s="8" t="n">
        <x:f>MIN(F1158,9)+1</x:f>
        <x:v>7</x:v>
      </x:c>
      <x:c r="H1158" s="8" t="n">
        <x:f>IF(F1158&lt;=9,1,0)</x:f>
        <x:v>1</x:v>
      </x:c>
      <x:c r="I1158" s="9" t="n">
        <x:f>MIN(10,F1157+IF(AR1157&gt;0,MIN(1,AS1157/AR1157),1))</x:f>
        <x:v>6.35288328967098</x:v>
      </x:c>
      <x:c r="J1158" s="32" t="n">
        <x:f>INDEX(v01_FoodCap,G1158)*Arch_FoodCap*EXP(v01_CapsByProject*SUMPRODUCT((Cap_Point&lt;=I1158)*(Cap_Kind="Food")*Cap_Ln))</x:f>
        <x:v>1000</x:v>
      </x:c>
      <x:c r="K1158" s="32" t="n">
        <x:f>J1158*MIN(1,v01_LeanBase*EXP(v01_CapsByProject*SUMPRODUCT((Cap_Point&lt;=I1158)*(Cap_Kind="Lean")*Cap_Ln)))</x:f>
        <x:v>1000</x:v>
      </x:c>
      <x:c r="L1158" s="10" t="n">
        <x:f>INDEX(v01_HousingCap,G1158)*EXP(v01_CapsByProject*SUMPRODUCT((Cap_Point&lt;=I1158)*(Cap_Kind="Housing")*Cap_Ln))</x:f>
        <x:v>1600</x:v>
      </x:c>
      <x:c r="M1158" s="10" t="n">
        <x:f>INDEX(v01_GroupCap,G1158)*v01_CohesionFactor*EXP(v01_CapsByProject*SUMPRODUCT((Cap_Point&lt;=I1158)*(Cap_Kind="Group")*Cap_Ln))</x:f>
        <x:v>1000000</x:v>
      </x:c>
      <x:c r="N1158" s="32" t="n">
        <x:f>MIN(J1158,L1158,M1158)</x:f>
        <x:v>1000</x:v>
      </x:c>
      <x:c r="O1158" s="10" t="n">
        <x:f>AE1157*N1158</x:f>
        <x:v>16000</x:v>
      </x:c>
      <x:c r="P1158" s="9" t="n">
        <x:f>MIN(1,(AB1157/(AE1157*IF(v01_GroupInCrowding=1,N1158,MIN(J1158,L1158))))^v01_CrowdingExp)</x:f>
        <x:v>0.019940106584213607</x:v>
      </x:c>
      <x:c r="Q1158" s="9" t="n">
        <x:f>IF(D1158=1,INDEX(v01_WinterMult,G1158),1)</x:f>
        <x:v>1</x:v>
      </x:c>
      <x:c r="R1158" s="9" t="n">
        <x:f>H1158*Z1157*v01_WomenShare*v01_BaseFertility*INDEX(v01_FertMult,G1158)*Arch_Fertility*(1-P1158)</x:f>
        <x:v>108.5247542319955</x:v>
      </x:c>
      <x:c r="S1158" s="9" t="n">
        <x:f>H1158*Y1157*INDEX(v01_MortChild,G1158)/4*Q1158</x:f>
        <x:v>19.21267324770549</x:v>
      </x:c>
      <x:c r="T1158" s="9" t="n">
        <x:f>H1158*Z1157*INDEX(v01_MortAdult,G1158)*Arch_AdultMort/4*Q1158</x:f>
        <x:v>7.909484115721888</x:v>
      </x:c>
      <x:c r="U1158" s="9" t="n">
        <x:f>H1158*AA1157*INDEX(v01_MortElder,G1158)/4*Q1158</x:f>
        <x:v>18.195461640102216</x:v>
      </x:c>
      <x:c r="V1158" s="9" t="n">
        <x:f>H1158*MAX(0,AB1157-O1158)*v01_OvercapLoss</x:f>
        <x:v>0</x:v>
      </x:c>
      <x:c r="W1158" s="9" t="n">
        <x:f>H1158*Y1157/(v01_ChildYears*4)</x:f>
        <x:v>62.37880924579705</x:v>
      </x:c>
      <x:c r="X1158" s="9" t="n">
        <x:f>H1158*Z1157/(v01_AdultYears*4)</x:f>
        <x:v>28.349405432694944</x:v>
      </x:c>
      <x:c r="Y1158" s="32" t="n">
        <x:f>Y1157+R1158-S1158-W1158-Y1157*V1158/AB1157</x:f>
        <x:v>3520.1465895031274</x:v>
      </x:c>
      <x:c r="Z1158" s="32" t="n">
        <x:f>Z1157+W1158-X1158-T1158-Z1157*V1158/AB1157</x:f>
        <x:v>3541.446193351553</x:v>
      </x:c>
      <x:c r="AA1158" s="32" t="n">
        <x:f>AA1157+X1158-U1158-AA1157*V1158/AB1157</x:f>
        <x:v>1333.4602448909359</x:v>
      </x:c>
      <x:c r="AB1158" s="10" t="n">
        <x:f>Y1158+Z1158+AA1158</x:f>
        <x:v>8395.053027745616</x:v>
      </x:c>
      <x:c r="AC1158" s="8" t="n">
        <x:f>IF(AND(v01_WinterTrigger=1,D1158=1,AB1157/AE1157&gt;=K1158),1,0)</x:f>
        <x:v>0</x:v>
      </x:c>
      <x:c r="AD1158" s="8" t="n">
        <x:f>H1158*IF(AND(OR(AB1157/AE1157&gt;=v01_FissionTrigger*N1158,AC1158=1),AB1157/AE1157*v01_DaughterShare&gt;=v01_MinDaughter),MAX(1,ROUND(AE1157*v01_FissionRate,0)),0)</x:f>
        <x:v>0</x:v>
      </x:c>
      <x:c r="AE1158" s="8" t="n">
        <x:f>IF(H1158=1,MAX(1,MIN(INDEX(v01_Smax,G1158),AE1157+AD1158)),AE1157)</x:f>
        <x:v>16</x:v>
      </x:c>
      <x:c r="AF1158" s="8" t="n">
        <x:f>MAX(0,AE1158-AE1157)</x:f>
        <x:v>0</x:v>
      </x:c>
      <x:c r="AG1158" s="9" t="str">
        <x:f>IF(AF1158&gt;0,B1158,"")</x:f>
      </x:c>
      <x:c r="AH1158" s="9" t="n">
        <x:f>IF(F1158&gt;=1,1,(1+v01_LowTiesShare*(AE1158-1))/AE1158)</x:f>
        <x:v>1</x:v>
      </x:c>
      <x:c r="AI1158" s="32" t="n">
        <x:f>(Z1158+v01_ElderCommons*INDEX(LM_Elder,G1158)*AA1158)*AH1158</x:f>
        <x:v>8541.922111692562</x:v>
      </x:c>
      <x:c r="AJ1158" s="32" t="n">
        <x:f>H1158*v01_CommonsCoef*AI1158^v01_CommonsExp*INDEX(LM_Commons,G1158)</x:f>
        <x:v>1917.9795132962147</x:v>
      </x:c>
      <x:c r="AK1158" s="32" t="n">
        <x:f>H1158*v01_RoleScale*Arch_Roles*(AE1158*(INDEX(v01_ElderRolePerSett,G1158)*v01_OutElder*INDEX(LM_Elder,G1158)+INDEX(v01_ShamanPerSett,G1158)*v01_OutShaman)+Z1158*(INDEX(v01_PriestShare,G1158)*v01_OutPriest+INDEX(v01_ScribeShare,G1158)*v01_OutScribe*INDEX(LM_Scribe,G1158)+INDEX(v01_ScholarShare,G1158)*v01_OutScholar*INDEX(LM_Scholar,G1158)+INDEX(v01_ResearcherShare,G1158)*v01_OutResearcher*INDEX(LM_Researcher,G1158)))</x:f>
        <x:v>500.57636498163083</x:v>
      </x:c>
      <x:c r="AL1158" s="32" t="n">
        <x:f>H1158*v01_RoleScale*Arch_Roles*AE1158*INDEX(v01_MonasteryPerSett,G1158)*v01_OutMonastery*INDEX(LM_Monastery,G1158)</x:f>
        <x:v>10.56</x:v>
      </x:c>
      <x:c r="AM1158" s="32" t="n">
        <x:f>(AJ1158+AK1158+AL1158)/4*INDEX(LM_All,G1158)*INDEX(v01_Boon,G1158)*Arch_Insight</x:f>
        <x:v>1110.0300671643467</x:v>
      </x:c>
      <x:c r="AN1158" s="32" t="n">
        <x:f>H1158*(v01_KHPerAdult*Z1158+v01_KHOfCommons*AJ1158/4*INDEX(LM_All,G1158))*v01_KHUsable*Arch_KH</x:f>
        <x:v>123.95061676730435</x:v>
      </x:c>
      <x:c r="AO1158" s="32" t="n">
        <x:f>MIN(AP1157+AN1158,AM1158*v01_KHMaxRatio)</x:f>
        <x:v>123.95061676730435</x:v>
      </x:c>
      <x:c r="AP1158" s="32" t="n">
        <x:f>AP1157+AN1158-AO1158</x:f>
        <x:v>0</x:v>
      </x:c>
      <x:c r="AQ1158" s="32" t="n">
        <x:f>AM1158+AO1158</x:f>
        <x:v>1233.9806839316511</x:v>
      </x:c>
      <x:c r="AR1158" s="10" t="n">
        <x:f>IF(H1158=1,INDEX(v01_Req,G1158),0)</x:f>
        <x:v>113395.942036</x:v>
      </x:c>
      <x:c r="AS1158" s="32" t="n">
        <x:f>IF(H1158=1,IF(E1158=1,AS1157-AR1157,AS1157)+AQ1158,0)</x:f>
        <x:v>41249.51374493512</x:v>
      </x:c>
      <x:c r="AT1158" s="11" t="n">
        <x:f>IF(AR1158&gt;0,MIN(1,AS1158/AR1158),1)</x:f>
        <x:v>0.36376534295944707</x:v>
      </x:c>
      <x:c r="AU1158" s="10" t="n">
        <x:f>AB1158/INDEX(v01_RepScale,G1158)</x:f>
        <x:v>167.90106055491233</x:v>
      </x:c>
      <x:c r="AV1158" s="32" t="n">
        <x:f>AM1158*60/v01_SeasonSeconds</x:f>
        <x:v>4440.120268657387</x:v>
      </x:c>
    </x:row>
    <x:row r="1159">
      <x:c r="A1159" s="8" t="n">
        <x:f>A1158+1</x:f>
        <x:v>1156</x:v>
      </x:c>
      <x:c r="B1159" s="9" t="n">
        <x:f>A1159*v01_SeasonSeconds/60</x:f>
        <x:v>289</x:v>
      </x:c>
      <x:c r="C1159" s="9" t="n">
        <x:f>A1159/4</x:f>
        <x:v>289</x:v>
      </x:c>
      <x:c r="D1159" s="8" t="n">
        <x:f>IF(MOD(A1159,4)=0,1,0)</x:f>
        <x:v>1</x:v>
      </x:c>
      <x:c r="E1159" s="8" t="n">
        <x:f>IF(AND(F1158&lt;=9,AS1158&gt;=AR1158),1,0)</x:f>
        <x:v>0</x:v>
      </x:c>
      <x:c r="F1159" s="8" t="n">
        <x:f>MIN(10,F1158+E1159)</x:f>
        <x:v>6</x:v>
      </x:c>
      <x:c r="G1159" s="8" t="n">
        <x:f>MIN(F1159,9)+1</x:f>
        <x:v>7</x:v>
      </x:c>
      <x:c r="H1159" s="8" t="n">
        <x:f>IF(F1159&lt;=9,1,0)</x:f>
        <x:v>1</x:v>
      </x:c>
      <x:c r="I1159" s="9" t="n">
        <x:f>MIN(10,F1158+IF(AR1158&gt;0,MIN(1,AS1158/AR1158),1))</x:f>
        <x:v>6.363765342959447</x:v>
      </x:c>
      <x:c r="J1159" s="32" t="n">
        <x:f>INDEX(v01_FoodCap,G1159)*Arch_FoodCap*EXP(v01_CapsByProject*SUMPRODUCT((Cap_Point&lt;=I1159)*(Cap_Kind="Food")*Cap_Ln))</x:f>
        <x:v>1000</x:v>
      </x:c>
      <x:c r="K1159" s="32" t="n">
        <x:f>J1159*MIN(1,v01_LeanBase*EXP(v01_CapsByProject*SUMPRODUCT((Cap_Point&lt;=I1159)*(Cap_Kind="Lean")*Cap_Ln)))</x:f>
        <x:v>1000</x:v>
      </x:c>
      <x:c r="L1159" s="10" t="n">
        <x:f>INDEX(v01_HousingCap,G1159)*EXP(v01_CapsByProject*SUMPRODUCT((Cap_Point&lt;=I1159)*(Cap_Kind="Housing")*Cap_Ln))</x:f>
        <x:v>1600</x:v>
      </x:c>
      <x:c r="M1159" s="10" t="n">
        <x:f>INDEX(v01_GroupCap,G1159)*v01_CohesionFactor*EXP(v01_CapsByProject*SUMPRODUCT((Cap_Point&lt;=I1159)*(Cap_Kind="Group")*Cap_Ln))</x:f>
        <x:v>1000000</x:v>
      </x:c>
      <x:c r="N1159" s="32" t="n">
        <x:f>MIN(J1159,L1159,M1159)</x:f>
        <x:v>1000</x:v>
      </x:c>
      <x:c r="O1159" s="10" t="n">
        <x:f>AE1158*N1159</x:f>
        <x:v>16000</x:v>
      </x:c>
      <x:c r="P1159" s="9" t="n">
        <x:f>MIN(1,(AB1158/(AE1158*IF(v01_GroupInCrowding=1,N1159,MIN(J1159,L1159))))^v01_CrowdingExp)</x:f>
        <x:v>0.02086511421694287</x:v>
      </x:c>
      <x:c r="Q1159" s="9" t="n">
        <x:f>IF(D1159=1,INDEX(v01_WinterMult,G1159),1)</x:f>
        <x:v>1</x:v>
      </x:c>
      <x:c r="R1159" s="9" t="n">
        <x:f>H1159*Z1158*v01_WomenShare*v01_BaseFertility*INDEX(v01_FertMult,G1159)*Arch_Fertility*(1-P1159)</x:f>
        <x:v>109.22793569207462</x:v>
      </x:c>
      <x:c r="S1159" s="9" t="n">
        <x:f>H1159*Y1158*INDEX(v01_MortChild,G1159)/4*Q1159</x:f>
        <x:v>19.3608062422672</x:v>
      </x:c>
      <x:c r="T1159" s="9" t="n">
        <x:f>H1159*Z1158*INDEX(v01_MortAdult,G1159)*Arch_AdultMort/4*Q1159</x:f>
        <x:v>7.968253935040994</x:v>
      </x:c>
      <x:c r="U1159" s="9" t="n">
        <x:f>H1159*AA1158*INDEX(v01_MortElder,G1159)/4*Q1159</x:f>
        <x:v>18.335078367250368</x:v>
      </x:c>
      <x:c r="V1159" s="9" t="n">
        <x:f>H1159*MAX(0,AB1158-O1159)*v01_OvercapLoss</x:f>
        <x:v>0</x:v>
      </x:c>
      <x:c r="W1159" s="9" t="n">
        <x:f>H1159*Y1158/(v01_ChildYears*4)</x:f>
        <x:v>62.85976052684156</x:v>
      </x:c>
      <x:c r="X1159" s="9" t="n">
        <x:f>H1159*Z1158/(v01_AdultYears*4)</x:f>
        <x:v>28.560049946383494</x:v>
      </x:c>
      <x:c r="Y1159" s="32" t="n">
        <x:f>Y1158+R1159-S1159-W1159-Y1158*V1159/AB1158</x:f>
        <x:v>3547.153958426093</x:v>
      </x:c>
      <x:c r="Z1159" s="32" t="n">
        <x:f>Z1158+W1159-X1159-T1159-Z1158*V1159/AB1158</x:f>
        <x:v>3567.77764999697</x:v>
      </x:c>
      <x:c r="AA1159" s="32" t="n">
        <x:f>AA1158+X1159-U1159-AA1158*V1159/AB1158</x:f>
        <x:v>1343.685216470069</x:v>
      </x:c>
      <x:c r="AB1159" s="10" t="n">
        <x:f>Y1159+Z1159+AA1159</x:f>
        <x:v>8458.616824893132</x:v>
      </x:c>
      <x:c r="AC1159" s="8" t="n">
        <x:f>IF(AND(v01_WinterTrigger=1,D1159=1,AB1158/AE1158&gt;=K1159),1,0)</x:f>
        <x:v>0</x:v>
      </x:c>
      <x:c r="AD1159" s="8" t="n">
        <x:f>H1159*IF(AND(OR(AB1158/AE1158&gt;=v01_FissionTrigger*N1159,AC1159=1),AB1158/AE1158*v01_DaughterShare&gt;=v01_MinDaughter),MAX(1,ROUND(AE1158*v01_FissionRate,0)),0)</x:f>
        <x:v>0</x:v>
      </x:c>
      <x:c r="AE1159" s="8" t="n">
        <x:f>IF(H1159=1,MAX(1,MIN(INDEX(v01_Smax,G1159),AE1158+AD1159)),AE1158)</x:f>
        <x:v>16</x:v>
      </x:c>
      <x:c r="AF1159" s="8" t="n">
        <x:f>MAX(0,AE1159-AE1158)</x:f>
        <x:v>0</x:v>
      </x:c>
      <x:c r="AG1159" s="9" t="str">
        <x:f>IF(AF1159&gt;0,B1159,"")</x:f>
      </x:c>
      <x:c r="AH1159" s="9" t="n">
        <x:f>IF(F1159&gt;=1,1,(1+v01_LowTiesShare*(AE1159-1))/AE1159)</x:f>
        <x:v>1</x:v>
      </x:c>
      <x:c r="AI1159" s="32" t="n">
        <x:f>(Z1159+v01_ElderCommons*INDEX(LM_Elder,G1159)*AA1159)*AH1159</x:f>
        <x:v>8606.597211759728</x:v>
      </x:c>
      <x:c r="AJ1159" s="32" t="n">
        <x:f>H1159*v01_CommonsCoef*AI1159^v01_CommonsExp*INDEX(LM_Commons,G1159)</x:f>
        <x:v>1930.3161965960862</x:v>
      </x:c>
      <x:c r="AK1159" s="32" t="n">
        <x:f>H1159*v01_RoleScale*Arch_Roles*(AE1159*(INDEX(v01_ElderRolePerSett,G1159)*v01_OutElder*INDEX(LM_Elder,G1159)+INDEX(v01_ShamanPerSett,G1159)*v01_OutShaman)+Z1159*(INDEX(v01_PriestShare,G1159)*v01_OutPriest+INDEX(v01_ScribeShare,G1159)*v01_OutScribe*INDEX(LM_Scribe,G1159)+INDEX(v01_ScholarShare,G1159)*v01_OutScholar*INDEX(LM_Scholar,G1159)+INDEX(v01_ResearcherShare,G1159)*v01_OutResearcher*INDEX(LM_Researcher,G1159)))</x:f>
        <x:v>503.8967616646179</x:v>
      </x:c>
      <x:c r="AL1159" s="32" t="n">
        <x:f>H1159*v01_RoleScale*Arch_Roles*AE1159*INDEX(v01_MonasteryPerSett,G1159)*v01_OutMonastery*INDEX(LM_Monastery,G1159)</x:f>
        <x:v>10.56</x:v>
      </x:c>
      <x:c r="AM1159" s="32" t="n">
        <x:f>(AJ1159+AK1159+AL1159)/4*INDEX(LM_All,G1159)*INDEX(v01_Boon,G1159)*Arch_Insight</x:f>
        <x:v>1117.1848635659462</x:v>
      </x:c>
      <x:c r="AN1159" s="32" t="n">
        <x:f>H1159*(v01_KHPerAdult*Z1159+v01_KHOfCommons*AJ1159/4*INDEX(LM_All,G1159))*v01_KHUsable*Arch_KH</x:f>
        <x:v>124.87221774989395</x:v>
      </x:c>
      <x:c r="AO1159" s="32" t="n">
        <x:f>MIN(AP1158+AN1159,AM1159*v01_KHMaxRatio)</x:f>
        <x:v>124.87221774989395</x:v>
      </x:c>
      <x:c r="AP1159" s="32" t="n">
        <x:f>AP1158+AN1159-AO1159</x:f>
        <x:v>0</x:v>
      </x:c>
      <x:c r="AQ1159" s="32" t="n">
        <x:f>AM1159+AO1159</x:f>
        <x:v>1242.0570813158402</x:v>
      </x:c>
      <x:c r="AR1159" s="10" t="n">
        <x:f>IF(H1159=1,INDEX(v01_Req,G1159),0)</x:f>
        <x:v>113395.942036</x:v>
      </x:c>
      <x:c r="AS1159" s="32" t="n">
        <x:f>IF(H1159=1,IF(E1159=1,AS1158-AR1158,AS1158)+AQ1159,0)</x:f>
        <x:v>42491.57082625096</x:v>
      </x:c>
      <x:c r="AT1159" s="11" t="n">
        <x:f>IF(AR1159&gt;0,MIN(1,AS1159/AR1159),1)</x:f>
        <x:v>0.37471861923208055</x:v>
      </x:c>
      <x:c r="AU1159" s="10" t="n">
        <x:f>AB1159/INDEX(v01_RepScale,G1159)</x:f>
        <x:v>169.17233649786263</x:v>
      </x:c>
      <x:c r="AV1159" s="32" t="n">
        <x:f>AM1159*60/v01_SeasonSeconds</x:f>
        <x:v>4468.739454263784</x:v>
      </x:c>
    </x:row>
    <x:row r="1160">
      <x:c r="A1160" s="8" t="n">
        <x:f>A1159+1</x:f>
        <x:v>1157</x:v>
      </x:c>
      <x:c r="B1160" s="9" t="n">
        <x:f>A1160*v01_SeasonSeconds/60</x:f>
        <x:v>289.25</x:v>
      </x:c>
      <x:c r="C1160" s="9" t="n">
        <x:f>A1160/4</x:f>
        <x:v>289.25</x:v>
      </x:c>
      <x:c r="D1160" s="8" t="n">
        <x:f>IF(MOD(A1160,4)=0,1,0)</x:f>
        <x:v>0</x:v>
      </x:c>
      <x:c r="E1160" s="8" t="n">
        <x:f>IF(AND(F1159&lt;=9,AS1159&gt;=AR1159),1,0)</x:f>
        <x:v>0</x:v>
      </x:c>
      <x:c r="F1160" s="8" t="n">
        <x:f>MIN(10,F1159+E1160)</x:f>
        <x:v>6</x:v>
      </x:c>
      <x:c r="G1160" s="8" t="n">
        <x:f>MIN(F1160,9)+1</x:f>
        <x:v>7</x:v>
      </x:c>
      <x:c r="H1160" s="8" t="n">
        <x:f>IF(F1160&lt;=9,1,0)</x:f>
        <x:v>1</x:v>
      </x:c>
      <x:c r="I1160" s="9" t="n">
        <x:f>MIN(10,F1159+IF(AR1159&gt;0,MIN(1,AS1159/AR1159),1))</x:f>
        <x:v>6.37471861923208</x:v>
      </x:c>
      <x:c r="J1160" s="32" t="n">
        <x:f>INDEX(v01_FoodCap,G1160)*Arch_FoodCap*EXP(v01_CapsByProject*SUMPRODUCT((Cap_Point&lt;=I1160)*(Cap_Kind="Food")*Cap_Ln))</x:f>
        <x:v>1000</x:v>
      </x:c>
      <x:c r="K1160" s="32" t="n">
        <x:f>J1160*MIN(1,v01_LeanBase*EXP(v01_CapsByProject*SUMPRODUCT((Cap_Point&lt;=I1160)*(Cap_Kind="Lean")*Cap_Ln)))</x:f>
        <x:v>1000</x:v>
      </x:c>
      <x:c r="L1160" s="10" t="n">
        <x:f>INDEX(v01_HousingCap,G1160)*EXP(v01_CapsByProject*SUMPRODUCT((Cap_Point&lt;=I1160)*(Cap_Kind="Housing")*Cap_Ln))</x:f>
        <x:v>1600</x:v>
      </x:c>
      <x:c r="M1160" s="10" t="n">
        <x:f>INDEX(v01_GroupCap,G1160)*v01_CohesionFactor*EXP(v01_CapsByProject*SUMPRODUCT((Cap_Point&lt;=I1160)*(Cap_Kind="Group")*Cap_Ln))</x:f>
        <x:v>1000000</x:v>
      </x:c>
      <x:c r="N1160" s="32" t="n">
        <x:f>MIN(J1160,L1160,M1160)</x:f>
        <x:v>1000</x:v>
      </x:c>
      <x:c r="O1160" s="10" t="n">
        <x:f>AE1159*N1160</x:f>
        <x:v>16000</x:v>
      </x:c>
      <x:c r="P1160" s="9" t="n">
        <x:f>MIN(1,(AB1159/(AE1159*IF(v01_GroupInCrowding=1,N1160,MIN(J1160,L1160))))^v01_CrowdingExp)</x:f>
        <x:v>0.021831129977022728</x:v>
      </x:c>
      <x:c r="Q1160" s="9" t="n">
        <x:f>IF(D1160=1,INDEX(v01_WinterMult,G1160),1)</x:f>
        <x:v>1</x:v>
      </x:c>
      <x:c r="R1160" s="9" t="n">
        <x:f>H1160*Z1159*v01_WomenShare*v01_BaseFertility*INDEX(v01_FertMult,G1160)*Arch_Fertility*(1-P1160)</x:f>
        <x:v>109.93150452030923</x:v>
      </x:c>
      <x:c r="S1160" s="9" t="n">
        <x:f>H1160*Y1159*INDEX(v01_MortChild,G1160)/4*Q1160</x:f>
        <x:v>19.509346771343512</x:v>
      </x:c>
      <x:c r="T1160" s="9" t="n">
        <x:f>H1160*Z1159*INDEX(v01_MortAdult,G1160)*Arch_AdultMort/4*Q1160</x:f>
        <x:v>8.027499712493182</x:v>
      </x:c>
      <x:c r="U1160" s="9" t="n">
        <x:f>H1160*AA1159*INDEX(v01_MortElder,G1160)/4*Q1160</x:f>
        <x:v>18.47567172646345</x:v>
      </x:c>
      <x:c r="V1160" s="9" t="n">
        <x:f>H1160*MAX(0,AB1159-O1160)*v01_OvercapLoss</x:f>
        <x:v>0</x:v>
      </x:c>
      <x:c r="W1160" s="9" t="n">
        <x:f>H1160*Y1159/(v01_ChildYears*4)</x:f>
        <x:v>63.34203497189452</x:v>
      </x:c>
      <x:c r="X1160" s="9" t="n">
        <x:f>H1160*Z1159/(v01_AdultYears*4)</x:f>
        <x:v>28.77240040320137</x:v>
      </x:c>
      <x:c r="Y1160" s="32" t="n">
        <x:f>Y1159+R1160-S1160-W1160-Y1159*V1160/AB1159</x:f>
        <x:v>3574.2340812031644</x:v>
      </x:c>
      <x:c r="Z1160" s="32" t="n">
        <x:f>Z1159+W1160-X1160-T1160-Z1159*V1160/AB1159</x:f>
        <x:v>3594.31978485317</x:v>
      </x:c>
      <x:c r="AA1160" s="32" t="n">
        <x:f>AA1159+X1160-U1160-AA1159*V1160/AB1159</x:f>
        <x:v>1353.981945146807</x:v>
      </x:c>
      <x:c r="AB1160" s="10" t="n">
        <x:f>Y1160+Z1160+AA1160</x:f>
        <x:v>8522.53581120314</x:v>
      </x:c>
      <x:c r="AC1160" s="8" t="n">
        <x:f>IF(AND(v01_WinterTrigger=1,D1160=1,AB1159/AE1159&gt;=K1160),1,0)</x:f>
        <x:v>0</x:v>
      </x:c>
      <x:c r="AD1160" s="8" t="n">
        <x:f>H1160*IF(AND(OR(AB1159/AE1159&gt;=v01_FissionTrigger*N1160,AC1160=1),AB1159/AE1159*v01_DaughterShare&gt;=v01_MinDaughter),MAX(1,ROUND(AE1159*v01_FissionRate,0)),0)</x:f>
        <x:v>0</x:v>
      </x:c>
      <x:c r="AE1160" s="8" t="n">
        <x:f>IF(H1160=1,MAX(1,MIN(INDEX(v01_Smax,G1160),AE1159+AD1160)),AE1159)</x:f>
        <x:v>16</x:v>
      </x:c>
      <x:c r="AF1160" s="8" t="n">
        <x:f>MAX(0,AE1160-AE1159)</x:f>
        <x:v>0</x:v>
      </x:c>
      <x:c r="AG1160" s="9" t="str">
        <x:f>IF(AF1160&gt;0,B1160,"")</x:f>
      </x:c>
      <x:c r="AH1160" s="9" t="n">
        <x:f>IF(F1160&gt;=1,1,(1+v01_LowTiesShare*(AE1160-1))/AE1160)</x:f>
        <x:v>1</x:v>
      </x:c>
      <x:c r="AI1160" s="32" t="n">
        <x:f>(Z1160+v01_ElderCommons*INDEX(LM_Elder,G1160)*AA1160)*AH1160</x:f>
        <x:v>8671.752079153695</x:v>
      </x:c>
      <x:c r="AJ1160" s="32" t="n">
        <x:f>H1160*v01_CommonsCoef*AI1160^v01_CommonsExp*INDEX(LM_Commons,G1160)</x:f>
        <x:v>1942.7303420163923</x:v>
      </x:c>
      <x:c r="AK1160" s="32" t="n">
        <x:f>H1160*v01_RoleScale*Arch_Roles*(AE1160*(INDEX(v01_ElderRolePerSett,G1160)*v01_OutElder*INDEX(LM_Elder,G1160)+INDEX(v01_ShamanPerSett,G1160)*v01_OutShaman)+Z1160*(INDEX(v01_PriestShare,G1160)*v01_OutPriest+INDEX(v01_ScribeShare,G1160)*v01_OutScribe*INDEX(LM_Scribe,G1160)+INDEX(v01_ScholarShare,G1160)*v01_OutScholar*INDEX(LM_Scholar,G1160)+INDEX(v01_ResearcherShare,G1160)*v01_OutResearcher*INDEX(LM_Researcher,G1160)))</x:f>
        <x:v>507.2437248699847</x:v>
      </x:c>
      <x:c r="AL1160" s="32" t="n">
        <x:f>H1160*v01_RoleScale*Arch_Roles*AE1160*INDEX(v01_MonasteryPerSett,G1160)*v01_OutMonastery*INDEX(LM_Monastery,G1160)</x:f>
        <x:v>10.56</x:v>
      </x:c>
      <x:c r="AM1160" s="32" t="n">
        <x:f>(AJ1160+AK1160+AL1160)/4*INDEX(LM_All,G1160)*INDEX(v01_Boon,G1160)*Arch_Insight</x:f>
        <x:v>1124.3871978073014</x:v>
      </x:c>
      <x:c r="AN1160" s="32" t="n">
        <x:f>H1160*(v01_KHPerAdult*Z1160+v01_KHOfCommons*AJ1160/4*INDEX(LM_All,G1160))*v01_KHUsable*Arch_KH</x:f>
        <x:v>125.80119246986095</x:v>
      </x:c>
      <x:c r="AO1160" s="32" t="n">
        <x:f>MIN(AP1159+AN1160,AM1160*v01_KHMaxRatio)</x:f>
        <x:v>125.80119246986095</x:v>
      </x:c>
      <x:c r="AP1160" s="32" t="n">
        <x:f>AP1159+AN1160-AO1160</x:f>
        <x:v>0</x:v>
      </x:c>
      <x:c r="AQ1160" s="32" t="n">
        <x:f>AM1160+AO1160</x:f>
        <x:v>1250.1883902771624</x:v>
      </x:c>
      <x:c r="AR1160" s="10" t="n">
        <x:f>IF(H1160=1,INDEX(v01_Req,G1160),0)</x:f>
        <x:v>113395.942036</x:v>
      </x:c>
      <x:c r="AS1160" s="32" t="n">
        <x:f>IF(H1160=1,IF(E1160=1,AS1159-AR1159,AS1159)+AQ1160,0)</x:f>
        <x:v>43741.759216528124</x:v>
      </x:c>
      <x:c r="AT1160" s="11" t="n">
        <x:f>IF(AR1160&gt;0,MIN(1,AS1160/AR1160),1)</x:f>
        <x:v>0.38574360273528446</x:v>
      </x:c>
      <x:c r="AU1160" s="10" t="n">
        <x:f>AB1160/INDEX(v01_RepScale,G1160)</x:f>
        <x:v>170.45071622406283</x:v>
      </x:c>
      <x:c r="AV1160" s="32" t="n">
        <x:f>AM1160*60/v01_SeasonSeconds</x:f>
        <x:v>4497.548791229206</x:v>
      </x:c>
    </x:row>
    <x:row r="1161">
      <x:c r="A1161" s="8" t="n">
        <x:f>A1160+1</x:f>
        <x:v>1158</x:v>
      </x:c>
      <x:c r="B1161" s="9" t="n">
        <x:f>A1161*v01_SeasonSeconds/60</x:f>
        <x:v>289.5</x:v>
      </x:c>
      <x:c r="C1161" s="9" t="n">
        <x:f>A1161/4</x:f>
        <x:v>289.5</x:v>
      </x:c>
      <x:c r="D1161" s="8" t="n">
        <x:f>IF(MOD(A1161,4)=0,1,0)</x:f>
        <x:v>0</x:v>
      </x:c>
      <x:c r="E1161" s="8" t="n">
        <x:f>IF(AND(F1160&lt;=9,AS1160&gt;=AR1160),1,0)</x:f>
        <x:v>0</x:v>
      </x:c>
      <x:c r="F1161" s="8" t="n">
        <x:f>MIN(10,F1160+E1161)</x:f>
        <x:v>6</x:v>
      </x:c>
      <x:c r="G1161" s="8" t="n">
        <x:f>MIN(F1161,9)+1</x:f>
        <x:v>7</x:v>
      </x:c>
      <x:c r="H1161" s="8" t="n">
        <x:f>IF(F1161&lt;=9,1,0)</x:f>
        <x:v>1</x:v>
      </x:c>
      <x:c r="I1161" s="9" t="n">
        <x:f>MIN(10,F1160+IF(AR1160&gt;0,MIN(1,AS1160/AR1160),1))</x:f>
        <x:v>6.3857436027352845</x:v>
      </x:c>
      <x:c r="J1161" s="32" t="n">
        <x:f>INDEX(v01_FoodCap,G1161)*Arch_FoodCap*EXP(v01_CapsByProject*SUMPRODUCT((Cap_Point&lt;=I1161)*(Cap_Kind="Food")*Cap_Ln))</x:f>
        <x:v>1000</x:v>
      </x:c>
      <x:c r="K1161" s="32" t="n">
        <x:f>J1161*MIN(1,v01_LeanBase*EXP(v01_CapsByProject*SUMPRODUCT((Cap_Point&lt;=I1161)*(Cap_Kind="Lean")*Cap_Ln)))</x:f>
        <x:v>1000</x:v>
      </x:c>
      <x:c r="L1161" s="10" t="n">
        <x:f>INDEX(v01_HousingCap,G1161)*EXP(v01_CapsByProject*SUMPRODUCT((Cap_Point&lt;=I1161)*(Cap_Kind="Housing")*Cap_Ln))</x:f>
        <x:v>1600</x:v>
      </x:c>
      <x:c r="M1161" s="10" t="n">
        <x:f>INDEX(v01_GroupCap,G1161)*v01_CohesionFactor*EXP(v01_CapsByProject*SUMPRODUCT((Cap_Point&lt;=I1161)*(Cap_Kind="Group")*Cap_Ln))</x:f>
        <x:v>1000000</x:v>
      </x:c>
      <x:c r="N1161" s="32" t="n">
        <x:f>MIN(J1161,L1161,M1161)</x:f>
        <x:v>1000</x:v>
      </x:c>
      <x:c r="O1161" s="10" t="n">
        <x:f>AE1160*N1161</x:f>
        <x:v>16000</x:v>
      </x:c>
      <x:c r="P1161" s="9" t="n">
        <x:f>MIN(1,(AB1160/(AE1160*IF(v01_GroupInCrowding=1,N1161,MIN(J1161,L1161))))^v01_CrowdingExp)</x:f>
        <x:v>0.022839842921672522</x:v>
      </x:c>
      <x:c r="Q1161" s="9" t="n">
        <x:f>IF(D1161=1,INDEX(v01_WinterMult,G1161),1)</x:f>
        <x:v>1</x:v>
      </x:c>
      <x:c r="R1161" s="9" t="n">
        <x:f>H1161*Z1160*v01_WomenShare*v01_BaseFertility*INDEX(v01_FertMult,G1161)*Arch_Fertility*(1-P1161)</x:f>
        <x:v>110.6351216950412</x:v>
      </x:c>
      <x:c r="S1161" s="9" t="n">
        <x:f>H1161*Y1160*INDEX(v01_MortChild,G1161)/4*Q1161</x:f>
        <x:v>19.658287446617404</x:v>
      </x:c>
      <x:c r="T1161" s="9" t="n">
        <x:f>H1161*Z1160*INDEX(v01_MortAdult,G1161)*Arch_AdultMort/4*Q1161</x:f>
        <x:v>8.087219515919632</x:v>
      </x:c>
      <x:c r="U1161" s="9" t="n">
        <x:f>H1161*AA1160*INDEX(v01_MortElder,G1161)/4*Q1161</x:f>
        <x:v>18.617251745768595</x:v>
      </x:c>
      <x:c r="V1161" s="9" t="n">
        <x:f>H1161*MAX(0,AB1160-O1161)*v01_OvercapLoss</x:f>
        <x:v>0</x:v>
      </x:c>
      <x:c r="W1161" s="9" t="n">
        <x:f>H1161*Y1160/(v01_ChildYears*4)</x:f>
        <x:v>63.825608592913646</x:v>
      </x:c>
      <x:c r="X1161" s="9" t="n">
        <x:f>H1161*Z1160/(v01_AdultYears*4)</x:f>
        <x:v>28.986449877848145</x:v>
      </x:c>
      <x:c r="Y1161" s="32" t="n">
        <x:f>Y1160+R1161-S1161-W1161-Y1160*V1161/AB1160</x:f>
        <x:v>3601.385306858674</x:v>
      </x:c>
      <x:c r="Z1161" s="32" t="n">
        <x:f>Z1160+W1161-X1161-T1161-Z1160*V1161/AB1160</x:f>
        <x:v>3621.071724052316</x:v>
      </x:c>
      <x:c r="AA1161" s="32" t="n">
        <x:f>AA1160+X1161-U1161-AA1160*V1161/AB1160</x:f>
        <x:v>1364.3511432788866</x:v>
      </x:c>
      <x:c r="AB1161" s="10" t="n">
        <x:f>Y1161+Z1161+AA1161</x:f>
        <x:v>8586.808174189877</x:v>
      </x:c>
      <x:c r="AC1161" s="8" t="n">
        <x:f>IF(AND(v01_WinterTrigger=1,D1161=1,AB1160/AE1160&gt;=K1161),1,0)</x:f>
        <x:v>0</x:v>
      </x:c>
      <x:c r="AD1161" s="8" t="n">
        <x:f>H1161*IF(AND(OR(AB1160/AE1160&gt;=v01_FissionTrigger*N1161,AC1161=1),AB1160/AE1160*v01_DaughterShare&gt;=v01_MinDaughter),MAX(1,ROUND(AE1160*v01_FissionRate,0)),0)</x:f>
        <x:v>0</x:v>
      </x:c>
      <x:c r="AE1161" s="8" t="n">
        <x:f>IF(H1161=1,MAX(1,MIN(INDEX(v01_Smax,G1161),AE1160+AD1161)),AE1160)</x:f>
        <x:v>16</x:v>
      </x:c>
      <x:c r="AF1161" s="8" t="n">
        <x:f>MAX(0,AE1161-AE1160)</x:f>
        <x:v>0</x:v>
      </x:c>
      <x:c r="AG1161" s="9" t="str">
        <x:f>IF(AF1161&gt;0,B1161,"")</x:f>
      </x:c>
      <x:c r="AH1161" s="9" t="n">
        <x:f>IF(F1161&gt;=1,1,(1+v01_LowTiesShare*(AE1161-1))/AE1161)</x:f>
        <x:v>1</x:v>
      </x:c>
      <x:c r="AI1161" s="32" t="n">
        <x:f>(Z1161+v01_ElderCommons*INDEX(LM_Elder,G1161)*AA1161)*AH1161</x:f>
        <x:v>8737.388511348141</x:v>
      </x:c>
      <x:c r="AJ1161" s="32" t="n">
        <x:f>H1161*v01_CommonsCoef*AI1161^v01_CommonsExp*INDEX(LM_Commons,G1161)</x:f>
        <x:v>1955.2221030234923</x:v>
      </x:c>
      <x:c r="AK1161" s="32" t="n">
        <x:f>H1161*v01_RoleScale*Arch_Roles*(AE1161*(INDEX(v01_ElderRolePerSett,G1161)*v01_OutElder*INDEX(LM_Elder,G1161)+INDEX(v01_ShamanPerSett,G1161)*v01_OutShaman)+Z1161*(INDEX(v01_PriestShare,G1161)*v01_OutPriest+INDEX(v01_ScribeShare,G1161)*v01_OutScribe*INDEX(LM_Scribe,G1161)+INDEX(v01_ScholarShare,G1161)*v01_OutScholar*INDEX(LM_Scholar,G1161)+INDEX(v01_ResearcherShare,G1161)*v01_OutResearcher*INDEX(LM_Researcher,G1161)))</x:f>
        <x:v>510.617144402997</x:v>
      </x:c>
      <x:c r="AL1161" s="32" t="n">
        <x:f>H1161*v01_RoleScale*Arch_Roles*AE1161*INDEX(v01_MonasteryPerSett,G1161)*v01_OutMonastery*INDEX(LM_Monastery,G1161)</x:f>
        <x:v>10.56</x:v>
      </x:c>
      <x:c r="AM1161" s="32" t="n">
        <x:f>(AJ1161+AK1161+AL1161)/4*INDEX(LM_All,G1161)*INDEX(v01_Boon,G1161)*Arch_Insight</x:f>
        <x:v>1131.6370896621934</x:v>
      </x:c>
      <x:c r="AN1161" s="32" t="n">
        <x:f>H1161*(v01_KHPerAdult*Z1161+v01_KHOfCommons*AJ1161/4*INDEX(LM_All,G1161))*v01_KHUsable*Arch_KH</x:f>
        <x:v>126.73751034183105</x:v>
      </x:c>
      <x:c r="AO1161" s="32" t="n">
        <x:f>MIN(AP1160+AN1161,AM1161*v01_KHMaxRatio)</x:f>
        <x:v>126.73751034183105</x:v>
      </x:c>
      <x:c r="AP1161" s="32" t="n">
        <x:f>AP1160+AN1161-AO1161</x:f>
        <x:v>0</x:v>
      </x:c>
      <x:c r="AQ1161" s="32" t="n">
        <x:f>AM1161+AO1161</x:f>
        <x:v>1258.3746000040244</x:v>
      </x:c>
      <x:c r="AR1161" s="10" t="n">
        <x:f>IF(H1161=1,INDEX(v01_Req,G1161),0)</x:f>
        <x:v>113395.942036</x:v>
      </x:c>
      <x:c r="AS1161" s="32" t="n">
        <x:f>IF(H1161=1,IF(E1161=1,AS1160-AR1160,AS1160)+AQ1161,0)</x:f>
        <x:v>45000.13381653215</x:v>
      </x:c>
      <x:c r="AT1161" s="11" t="n">
        <x:f>IF(AR1161&gt;0,MIN(1,AS1161/AR1161),1)</x:f>
        <x:v>0.39684077762011877</x:v>
      </x:c>
      <x:c r="AU1161" s="10" t="n">
        <x:f>AB1161/INDEX(v01_RepScale,G1161)</x:f>
        <x:v>171.73616348379753</x:v>
      </x:c>
      <x:c r="AV1161" s="32" t="n">
        <x:f>AM1161*60/v01_SeasonSeconds</x:f>
        <x:v>4526.5483586487735</x:v>
      </x:c>
    </x:row>
    <x:row r="1162">
      <x:c r="A1162" s="8" t="n">
        <x:f>A1161+1</x:f>
        <x:v>1159</x:v>
      </x:c>
      <x:c r="B1162" s="9" t="n">
        <x:f>A1162*v01_SeasonSeconds/60</x:f>
        <x:v>289.75</x:v>
      </x:c>
      <x:c r="C1162" s="9" t="n">
        <x:f>A1162/4</x:f>
        <x:v>289.75</x:v>
      </x:c>
      <x:c r="D1162" s="8" t="n">
        <x:f>IF(MOD(A1162,4)=0,1,0)</x:f>
        <x:v>0</x:v>
      </x:c>
      <x:c r="E1162" s="8" t="n">
        <x:f>IF(AND(F1161&lt;=9,AS1161&gt;=AR1161),1,0)</x:f>
        <x:v>0</x:v>
      </x:c>
      <x:c r="F1162" s="8" t="n">
        <x:f>MIN(10,F1161+E1162)</x:f>
        <x:v>6</x:v>
      </x:c>
      <x:c r="G1162" s="8" t="n">
        <x:f>MIN(F1162,9)+1</x:f>
        <x:v>7</x:v>
      </x:c>
      <x:c r="H1162" s="8" t="n">
        <x:f>IF(F1162&lt;=9,1,0)</x:f>
        <x:v>1</x:v>
      </x:c>
      <x:c r="I1162" s="9" t="n">
        <x:f>MIN(10,F1161+IF(AR1161&gt;0,MIN(1,AS1161/AR1161),1))</x:f>
        <x:v>6.396840777620119</x:v>
      </x:c>
      <x:c r="J1162" s="32" t="n">
        <x:f>INDEX(v01_FoodCap,G1162)*Arch_FoodCap*EXP(v01_CapsByProject*SUMPRODUCT((Cap_Point&lt;=I1162)*(Cap_Kind="Food")*Cap_Ln))</x:f>
        <x:v>1000</x:v>
      </x:c>
      <x:c r="K1162" s="32" t="n">
        <x:f>J1162*MIN(1,v01_LeanBase*EXP(v01_CapsByProject*SUMPRODUCT((Cap_Point&lt;=I1162)*(Cap_Kind="Lean")*Cap_Ln)))</x:f>
        <x:v>1000</x:v>
      </x:c>
      <x:c r="L1162" s="10" t="n">
        <x:f>INDEX(v01_HousingCap,G1162)*EXP(v01_CapsByProject*SUMPRODUCT((Cap_Point&lt;=I1162)*(Cap_Kind="Housing")*Cap_Ln))</x:f>
        <x:v>1600</x:v>
      </x:c>
      <x:c r="M1162" s="10" t="n">
        <x:f>INDEX(v01_GroupCap,G1162)*v01_CohesionFactor*EXP(v01_CapsByProject*SUMPRODUCT((Cap_Point&lt;=I1162)*(Cap_Kind="Group")*Cap_Ln))</x:f>
        <x:v>1000000</x:v>
      </x:c>
      <x:c r="N1162" s="32" t="n">
        <x:f>MIN(J1162,L1162,M1162)</x:f>
        <x:v>1000</x:v>
      </x:c>
      <x:c r="O1162" s="10" t="n">
        <x:f>AE1161*N1162</x:f>
        <x:v>16000</x:v>
      </x:c>
      <x:c r="P1162" s="9" t="n">
        <x:f>MIN(1,(AB1161/(AE1161*IF(v01_GroupInCrowding=1,N1162,MIN(J1162,L1162))))^v01_CrowdingExp)</x:f>
        <x:v>0.0238929992977624</x:v>
      </x:c>
      <x:c r="Q1162" s="9" t="n">
        <x:f>IF(D1162=1,INDEX(v01_WinterMult,G1162),1)</x:f>
        <x:v>1</x:v>
      </x:c>
      <x:c r="R1162" s="9" t="n">
        <x:f>H1162*Z1161*v01_WomenShare*v01_BaseFertility*INDEX(v01_FertMult,G1162)*Arch_Fertility*(1-P1162)</x:f>
        <x:v>111.33843398661018</x:v>
      </x:c>
      <x:c r="S1162" s="9" t="n">
        <x:f>H1162*Y1161*INDEX(v01_MortChild,G1162)/4*Q1162</x:f>
        <x:v>19.807619187722707</x:v>
      </x:c>
      <x:c r="T1162" s="9" t="n">
        <x:f>H1162*Z1161*INDEX(v01_MortAdult,G1162)*Arch_AdultMort/4*Q1162</x:f>
        <x:v>8.14741137911771</x:v>
      </x:c>
      <x:c r="U1162" s="9" t="n">
        <x:f>H1162*AA1161*INDEX(v01_MortElder,G1162)/4*Q1162</x:f>
        <x:v>18.759828220084692</x:v>
      </x:c>
      <x:c r="V1162" s="9" t="n">
        <x:f>H1162*MAX(0,AB1161-O1162)*v01_OvercapLoss</x:f>
        <x:v>0</x:v>
      </x:c>
      <x:c r="W1162" s="9" t="n">
        <x:f>H1162*Y1161/(v01_ChildYears*4)</x:f>
        <x:v>64.31045190819061</x:v>
      </x:c>
      <x:c r="X1162" s="9" t="n">
        <x:f>H1162*Z1161/(v01_AdultYears*4)</x:f>
        <x:v>29.20219132300255</x:v>
      </x:c>
      <x:c r="Y1162" s="32" t="n">
        <x:f>Y1161+R1162-S1162-W1162-Y1161*V1162/AB1161</x:f>
        <x:v>3628.605669749371</x:v>
      </x:c>
      <x:c r="Z1162" s="32" t="n">
        <x:f>Z1161+W1162-X1162-T1162-Z1161*V1162/AB1161</x:f>
        <x:v>3648.0325732583865</x:v>
      </x:c>
      <x:c r="AA1162" s="32" t="n">
        <x:f>AA1161+X1162-U1162-AA1161*V1162/AB1161</x:f>
        <x:v>1374.7935063818045</x:v>
      </x:c>
      <x:c r="AB1162" s="10" t="n">
        <x:f>Y1162+Z1162+AA1162</x:f>
        <x:v>8651.431749389561</x:v>
      </x:c>
      <x:c r="AC1162" s="8" t="n">
        <x:f>IF(AND(v01_WinterTrigger=1,D1162=1,AB1161/AE1161&gt;=K1162),1,0)</x:f>
        <x:v>0</x:v>
      </x:c>
      <x:c r="AD1162" s="8" t="n">
        <x:f>H1162*IF(AND(OR(AB1161/AE1161&gt;=v01_FissionTrigger*N1162,AC1162=1),AB1161/AE1161*v01_DaughterShare&gt;=v01_MinDaughter),MAX(1,ROUND(AE1161*v01_FissionRate,0)),0)</x:f>
        <x:v>0</x:v>
      </x:c>
      <x:c r="AE1162" s="8" t="n">
        <x:f>IF(H1162=1,MAX(1,MIN(INDEX(v01_Smax,G1162),AE1161+AD1162)),AE1161)</x:f>
        <x:v>16</x:v>
      </x:c>
      <x:c r="AF1162" s="8" t="n">
        <x:f>MAX(0,AE1162-AE1161)</x:f>
        <x:v>0</x:v>
      </x:c>
      <x:c r="AG1162" s="9" t="str">
        <x:f>IF(AF1162&gt;0,B1162,"")</x:f>
      </x:c>
      <x:c r="AH1162" s="9" t="n">
        <x:f>IF(F1162&gt;=1,1,(1+v01_LowTiesShare*(AE1162-1))/AE1162)</x:f>
        <x:v>1</x:v>
      </x:c>
      <x:c r="AI1162" s="32" t="n">
        <x:f>(Z1162+v01_ElderCommons*INDEX(LM_Elder,G1162)*AA1162)*AH1162</x:f>
        <x:v>8803.508222190154</x:v>
      </x:c>
      <x:c r="AJ1162" s="32" t="n">
        <x:f>H1162*v01_CommonsCoef*AI1162^v01_CommonsExp*INDEX(LM_Commons,G1162)</x:f>
        <x:v>1967.7916167716346</x:v>
      </x:c>
      <x:c r="AK1162" s="32" t="n">
        <x:f>H1162*v01_RoleScale*Arch_Roles*(AE1162*(INDEX(v01_ElderRolePerSett,G1162)*v01_OutElder*INDEX(LM_Elder,G1162)+INDEX(v01_ShamanPerSett,G1162)*v01_OutShaman)+Z1162*(INDEX(v01_PriestShare,G1162)*v01_OutPriest+INDEX(v01_ScribeShare,G1162)*v01_OutScribe*INDEX(LM_Scribe,G1162)+INDEX(v01_ScholarShare,G1162)*v01_OutScholar*INDEX(LM_Scholar,G1162)+INDEX(v01_ResearcherShare,G1162)*v01_OutResearcher*INDEX(LM_Researcher,G1162)))</x:f>
        <x:v>514.0169074878825</x:v>
      </x:c>
      <x:c r="AL1162" s="32" t="n">
        <x:f>H1162*v01_RoleScale*Arch_Roles*AE1162*INDEX(v01_MonasteryPerSett,G1162)*v01_OutMonastery*INDEX(LM_Monastery,G1162)</x:f>
        <x:v>10.56</x:v>
      </x:c>
      <x:c r="AM1162" s="32" t="n">
        <x:f>(AJ1162+AK1162+AL1162)/4*INDEX(LM_All,G1162)*INDEX(v01_Boon,G1162)*Arch_Insight</x:f>
        <x:v>1138.934550270824</x:v>
      </x:c>
      <x:c r="AN1162" s="32" t="n">
        <x:f>H1162*(v01_KHPerAdult*Z1162+v01_KHOfCommons*AJ1162/4*INDEX(LM_All,G1162))*v01_KHUsable*Arch_KH</x:f>
        <x:v>127.68114006404353</x:v>
      </x:c>
      <x:c r="AO1162" s="32" t="n">
        <x:f>MIN(AP1161+AN1162,AM1162*v01_KHMaxRatio)</x:f>
        <x:v>127.68114006404353</x:v>
      </x:c>
      <x:c r="AP1162" s="32" t="n">
        <x:f>AP1161+AN1162-AO1162</x:f>
        <x:v>0</x:v>
      </x:c>
      <x:c r="AQ1162" s="32" t="n">
        <x:f>AM1162+AO1162</x:f>
        <x:v>1266.6156903348676</x:v>
      </x:c>
      <x:c r="AR1162" s="10" t="n">
        <x:f>IF(H1162=1,INDEX(v01_Req,G1162),0)</x:f>
        <x:v>113395.942036</x:v>
      </x:c>
      <x:c r="AS1162" s="32" t="n">
        <x:f>IF(H1162=1,IF(E1162=1,AS1161-AR1161,AS1161)+AQ1162,0)</x:f>
        <x:v>46266.74950686702</x:v>
      </x:c>
      <x:c r="AT1162" s="11" t="n">
        <x:f>IF(AR1162&gt;0,MIN(1,AS1162/AR1162),1)</x:f>
        <x:v>0.4080106278598456</x:v>
      </x:c>
      <x:c r="AU1162" s="10" t="n">
        <x:f>AB1162/INDEX(v01_RepScale,G1162)</x:f>
        <x:v>173.02863498779124</x:v>
      </x:c>
      <x:c r="AV1162" s="32" t="n">
        <x:f>AM1162*60/v01_SeasonSeconds</x:f>
        <x:v>4555.738201083296</x:v>
      </x:c>
    </x:row>
    <x:row r="1163">
      <x:c r="A1163" s="8" t="n">
        <x:f>A1162+1</x:f>
        <x:v>1160</x:v>
      </x:c>
      <x:c r="B1163" s="9" t="n">
        <x:f>A1163*v01_SeasonSeconds/60</x:f>
        <x:v>290</x:v>
      </x:c>
      <x:c r="C1163" s="9" t="n">
        <x:f>A1163/4</x:f>
        <x:v>290</x:v>
      </x:c>
      <x:c r="D1163" s="8" t="n">
        <x:f>IF(MOD(A1163,4)=0,1,0)</x:f>
        <x:v>1</x:v>
      </x:c>
      <x:c r="E1163" s="8" t="n">
        <x:f>IF(AND(F1162&lt;=9,AS1162&gt;=AR1162),1,0)</x:f>
        <x:v>0</x:v>
      </x:c>
      <x:c r="F1163" s="8" t="n">
        <x:f>MIN(10,F1162+E1163)</x:f>
        <x:v>6</x:v>
      </x:c>
      <x:c r="G1163" s="8" t="n">
        <x:f>MIN(F1163,9)+1</x:f>
        <x:v>7</x:v>
      </x:c>
      <x:c r="H1163" s="8" t="n">
        <x:f>IF(F1163&lt;=9,1,0)</x:f>
        <x:v>1</x:v>
      </x:c>
      <x:c r="I1163" s="9" t="n">
        <x:f>MIN(10,F1162+IF(AR1162&gt;0,MIN(1,AS1162/AR1162),1))</x:f>
        <x:v>6.408010627859846</x:v>
      </x:c>
      <x:c r="J1163" s="32" t="n">
        <x:f>INDEX(v01_FoodCap,G1163)*Arch_FoodCap*EXP(v01_CapsByProject*SUMPRODUCT((Cap_Point&lt;=I1163)*(Cap_Kind="Food")*Cap_Ln))</x:f>
        <x:v>1000</x:v>
      </x:c>
      <x:c r="K1163" s="32" t="n">
        <x:f>J1163*MIN(1,v01_LeanBase*EXP(v01_CapsByProject*SUMPRODUCT((Cap_Point&lt;=I1163)*(Cap_Kind="Lean")*Cap_Ln)))</x:f>
        <x:v>1000</x:v>
      </x:c>
      <x:c r="L1163" s="10" t="n">
        <x:f>INDEX(v01_HousingCap,G1163)*EXP(v01_CapsByProject*SUMPRODUCT((Cap_Point&lt;=I1163)*(Cap_Kind="Housing")*Cap_Ln))</x:f>
        <x:v>1600</x:v>
      </x:c>
      <x:c r="M1163" s="10" t="n">
        <x:f>INDEX(v01_GroupCap,G1163)*v01_CohesionFactor*EXP(v01_CapsByProject*SUMPRODUCT((Cap_Point&lt;=I1163)*(Cap_Kind="Group")*Cap_Ln))</x:f>
        <x:v>1000000</x:v>
      </x:c>
      <x:c r="N1163" s="32" t="n">
        <x:f>MIN(J1163,L1163,M1163)</x:f>
        <x:v>1000</x:v>
      </x:c>
      <x:c r="O1163" s="10" t="n">
        <x:f>AE1162*N1163</x:f>
        <x:v>16000</x:v>
      </x:c>
      <x:c r="P1163" s="9" t="n">
        <x:f>MIN(1,(AB1162/(AE1162*IF(v01_GroupInCrowding=1,N1163,MIN(J1163,L1163))))^v01_CrowdingExp)</x:f>
        <x:v>0.02499240328243951</x:v>
      </x:c>
      <x:c r="Q1163" s="9" t="n">
        <x:f>IF(D1163=1,INDEX(v01_WinterMult,G1163),1)</x:f>
        <x:v>1</x:v>
      </x:c>
      <x:c r="R1163" s="9" t="n">
        <x:f>H1163*Z1162*v01_WomenShare*v01_BaseFertility*INDEX(v01_FertMult,G1163)*Arch_Fertility*(1-P1163)</x:f>
        <x:v>112.04107336800118</x:v>
      </x:c>
      <x:c r="S1163" s="9" t="n">
        <x:f>H1163*Y1162*INDEX(v01_MortChild,G1163)/4*Q1163</x:f>
        <x:v>19.957331183621537</x:v>
      </x:c>
      <x:c r="T1163" s="9" t="n">
        <x:f>H1163*Z1162*INDEX(v01_MortAdult,G1163)*Arch_AdultMort/4*Q1163</x:f>
        <x:v>8.208073289831368</x:v>
      </x:c>
      <x:c r="U1163" s="9" t="n">
        <x:f>H1163*AA1162*INDEX(v01_MortElder,G1163)/4*Q1163</x:f>
        <x:v>18.90341071274981</x:v>
      </x:c>
      <x:c r="V1163" s="9" t="n">
        <x:f>H1163*MAX(0,AB1162-O1163)*v01_OvercapLoss</x:f>
        <x:v>0</x:v>
      </x:c>
      <x:c r="W1163" s="9" t="n">
        <x:f>H1163*Y1162/(v01_ChildYears*4)</x:f>
        <x:v>64.79652981695305</x:v>
      </x:c>
      <x:c r="X1163" s="9" t="n">
        <x:f>H1163*Z1162/(v01_AdultYears*4)</x:f>
        <x:v>29.41961752627731</x:v>
      </x:c>
      <x:c r="Y1163" s="32" t="n">
        <x:f>Y1162+R1163-S1163-W1163-Y1162*V1163/AB1162</x:f>
        <x:v>3655.8928821167974</x:v>
      </x:c>
      <x:c r="Z1163" s="32" t="n">
        <x:f>Z1162+W1163-X1163-T1163-Z1162*V1163/AB1162</x:f>
        <x:v>3675.201412259231</x:v>
      </x:c>
      <x:c r="AA1163" s="32" t="n">
        <x:f>AA1162+X1163-U1163-AA1162*V1163/AB1162</x:f>
        <x:v>1385.309713195332</x:v>
      </x:c>
      <x:c r="AB1163" s="10" t="n">
        <x:f>Y1163+Z1163+AA1163</x:f>
        <x:v>8716.40400757136</x:v>
      </x:c>
      <x:c r="AC1163" s="8" t="n">
        <x:f>IF(AND(v01_WinterTrigger=1,D1163=1,AB1162/AE1162&gt;=K1163),1,0)</x:f>
        <x:v>0</x:v>
      </x:c>
      <x:c r="AD1163" s="8" t="n">
        <x:f>H1163*IF(AND(OR(AB1162/AE1162&gt;=v01_FissionTrigger*N1163,AC1163=1),AB1162/AE1162*v01_DaughterShare&gt;=v01_MinDaughter),MAX(1,ROUND(AE1162*v01_FissionRate,0)),0)</x:f>
        <x:v>0</x:v>
      </x:c>
      <x:c r="AE1163" s="8" t="n">
        <x:f>IF(H1163=1,MAX(1,MIN(INDEX(v01_Smax,G1163),AE1162+AD1163)),AE1162)</x:f>
        <x:v>16</x:v>
      </x:c>
      <x:c r="AF1163" s="8" t="n">
        <x:f>MAX(0,AE1163-AE1162)</x:f>
        <x:v>0</x:v>
      </x:c>
      <x:c r="AG1163" s="9" t="str">
        <x:f>IF(AF1163&gt;0,B1163,"")</x:f>
      </x:c>
      <x:c r="AH1163" s="9" t="n">
        <x:f>IF(F1163&gt;=1,1,(1+v01_LowTiesShare*(AE1163-1))/AE1163)</x:f>
        <x:v>1</x:v>
      </x:c>
      <x:c r="AI1163" s="32" t="n">
        <x:f>(Z1163+v01_ElderCommons*INDEX(LM_Elder,G1163)*AA1163)*AH1163</x:f>
        <x:v>8870.112836741726</x:v>
      </x:c>
      <x:c r="AJ1163" s="32" t="n">
        <x:f>H1163*v01_CommonsCoef*AI1163^v01_CommonsExp*INDEX(LM_Commons,G1163)</x:f>
        <x:v>1980.4390032193267</x:v>
      </x:c>
      <x:c r="AK1163" s="32" t="n">
        <x:f>H1163*v01_RoleScale*Arch_Roles*(AE1163*(INDEX(v01_ElderRolePerSett,G1163)*v01_OutElder*INDEX(LM_Elder,G1163)+INDEX(v01_ShamanPerSett,G1163)*v01_OutShaman)+Z1163*(INDEX(v01_PriestShare,G1163)*v01_OutPriest+INDEX(v01_ScribeShare,G1163)*v01_OutScribe*INDEX(LM_Scribe,G1163)+INDEX(v01_ScholarShare,G1163)*v01_OutScholar*INDEX(LM_Scholar,G1163)+INDEX(v01_ResearcherShare,G1163)*v01_OutResearcher*INDEX(LM_Researcher,G1163)))</x:f>
        <x:v>517.442898085889</x:v>
      </x:c>
      <x:c r="AL1163" s="32" t="n">
        <x:f>H1163*v01_RoleScale*Arch_Roles*AE1163*INDEX(v01_MonasteryPerSett,G1163)*v01_OutMonastery*INDEX(LM_Monastery,G1163)</x:f>
        <x:v>10.56</x:v>
      </x:c>
      <x:c r="AM1163" s="32" t="n">
        <x:f>(AJ1163+AK1163+AL1163)/4*INDEX(LM_All,G1163)*INDEX(v01_Boon,G1163)*Arch_Insight</x:f>
        <x:v>1146.279581424399</x:v>
      </x:c>
      <x:c r="AN1163" s="32" t="n">
        <x:f>H1163*(v01_KHPerAdult*Z1163+v01_KHOfCommons*AJ1163/4*INDEX(LM_All,G1163))*v01_KHUsable*Arch_KH</x:f>
        <x:v>128.63204942907308</x:v>
      </x:c>
      <x:c r="AO1163" s="32" t="n">
        <x:f>MIN(AP1162+AN1163,AM1163*v01_KHMaxRatio)</x:f>
        <x:v>128.63204942907308</x:v>
      </x:c>
      <x:c r="AP1163" s="32" t="n">
        <x:f>AP1162+AN1163-AO1163</x:f>
        <x:v>0</x:v>
      </x:c>
      <x:c r="AQ1163" s="32" t="n">
        <x:f>AM1163+AO1163</x:f>
        <x:v>1274.9116308534722</x:v>
      </x:c>
      <x:c r="AR1163" s="10" t="n">
        <x:f>IF(H1163=1,INDEX(v01_Req,G1163),0)</x:f>
        <x:v>113395.942036</x:v>
      </x:c>
      <x:c r="AS1163" s="32" t="n">
        <x:f>IF(H1163=1,IF(E1163=1,AS1162-AR1162,AS1162)+AQ1163,0)</x:f>
        <x:v>47541.66113772049</x:v>
      </x:c>
      <x:c r="AT1163" s="11" t="n">
        <x:f>IF(AR1163&gt;0,MIN(1,AS1163/AR1163),1)</x:f>
        <x:v>0.419253637159497</x:v>
      </x:c>
      <x:c r="AU1163" s="10" t="n">
        <x:f>AB1163/INDEX(v01_RepScale,G1163)</x:f>
        <x:v>174.3280801514272</x:v>
      </x:c>
      <x:c r="AV1163" s="32" t="n">
        <x:f>AM1163*60/v01_SeasonSeconds</x:f>
        <x:v>4585.118325697596</x:v>
      </x:c>
    </x:row>
    <x:row r="1164">
      <x:c r="A1164" s="8" t="n">
        <x:f>A1163+1</x:f>
        <x:v>1161</x:v>
      </x:c>
      <x:c r="B1164" s="9" t="n">
        <x:f>A1164*v01_SeasonSeconds/60</x:f>
        <x:v>290.25</x:v>
      </x:c>
      <x:c r="C1164" s="9" t="n">
        <x:f>A1164/4</x:f>
        <x:v>290.25</x:v>
      </x:c>
      <x:c r="D1164" s="8" t="n">
        <x:f>IF(MOD(A1164,4)=0,1,0)</x:f>
        <x:v>0</x:v>
      </x:c>
      <x:c r="E1164" s="8" t="n">
        <x:f>IF(AND(F1163&lt;=9,AS1163&gt;=AR1163),1,0)</x:f>
        <x:v>0</x:v>
      </x:c>
      <x:c r="F1164" s="8" t="n">
        <x:f>MIN(10,F1163+E1164)</x:f>
        <x:v>6</x:v>
      </x:c>
      <x:c r="G1164" s="8" t="n">
        <x:f>MIN(F1164,9)+1</x:f>
        <x:v>7</x:v>
      </x:c>
      <x:c r="H1164" s="8" t="n">
        <x:f>IF(F1164&lt;=9,1,0)</x:f>
        <x:v>1</x:v>
      </x:c>
      <x:c r="I1164" s="9" t="n">
        <x:f>MIN(10,F1163+IF(AR1163&gt;0,MIN(1,AS1163/AR1163),1))</x:f>
        <x:v>6.419253637159497</x:v>
      </x:c>
      <x:c r="J1164" s="32" t="n">
        <x:f>INDEX(v01_FoodCap,G1164)*Arch_FoodCap*EXP(v01_CapsByProject*SUMPRODUCT((Cap_Point&lt;=I1164)*(Cap_Kind="Food")*Cap_Ln))</x:f>
        <x:v>1000</x:v>
      </x:c>
      <x:c r="K1164" s="32" t="n">
        <x:f>J1164*MIN(1,v01_LeanBase*EXP(v01_CapsByProject*SUMPRODUCT((Cap_Point&lt;=I1164)*(Cap_Kind="Lean")*Cap_Ln)))</x:f>
        <x:v>1000</x:v>
      </x:c>
      <x:c r="L1164" s="10" t="n">
        <x:f>INDEX(v01_HousingCap,G1164)*EXP(v01_CapsByProject*SUMPRODUCT((Cap_Point&lt;=I1164)*(Cap_Kind="Housing")*Cap_Ln))</x:f>
        <x:v>1600</x:v>
      </x:c>
      <x:c r="M1164" s="10" t="n">
        <x:f>INDEX(v01_GroupCap,G1164)*v01_CohesionFactor*EXP(v01_CapsByProject*SUMPRODUCT((Cap_Point&lt;=I1164)*(Cap_Kind="Group")*Cap_Ln))</x:f>
        <x:v>1000000</x:v>
      </x:c>
      <x:c r="N1164" s="32" t="n">
        <x:f>MIN(J1164,L1164,M1164)</x:f>
        <x:v>1000</x:v>
      </x:c>
      <x:c r="O1164" s="10" t="n">
        <x:f>AE1163*N1164</x:f>
        <x:v>16000</x:v>
      </x:c>
      <x:c r="P1164" s="9" t="n">
        <x:f>MIN(1,(AB1163/(AE1163*IF(v01_GroupInCrowding=1,N1164,MIN(J1164,L1164))))^v01_CrowdingExp)</x:f>
        <x:v>0.026139917602474905</x:v>
      </x:c>
      <x:c r="Q1164" s="9" t="n">
        <x:f>IF(D1164=1,INDEX(v01_WinterMult,G1164),1)</x:f>
        <x:v>1</x:v>
      </x:c>
      <x:c r="R1164" s="9" t="n">
        <x:f>H1164*Z1163*v01_WomenShare*v01_BaseFertility*INDEX(v01_FertMult,G1164)*Arch_Fertility*(1-P1164)</x:f>
        <x:v>112.74265643036367</x:v>
      </x:c>
      <x:c r="S1164" s="9" t="n">
        <x:f>H1164*Y1163*INDEX(v01_MortChild,G1164)/4*Q1164</x:f>
        <x:v>20.107410851642385</x:v>
      </x:c>
      <x:c r="T1164" s="9" t="n">
        <x:f>H1164*Z1163*INDEX(v01_MortAdult,G1164)*Arch_AdultMort/4*Q1164</x:f>
        <x:v>8.269203177583268</x:v>
      </x:c>
      <x:c r="U1164" s="9" t="n">
        <x:f>H1164*AA1163*INDEX(v01_MortElder,G1164)/4*Q1164</x:f>
        <x:v>19.048008556435814</x:v>
      </x:c>
      <x:c r="V1164" s="9" t="n">
        <x:f>H1164*MAX(0,AB1163-O1164)*v01_OvercapLoss</x:f>
        <x:v>0</x:v>
      </x:c>
      <x:c r="W1164" s="9" t="n">
        <x:f>H1164*Y1163/(v01_ChildYears*4)</x:f>
        <x:v>65.28380146637139</x:v>
      </x:c>
      <x:c r="X1164" s="9" t="n">
        <x:f>H1164*Z1163/(v01_AdultYears*4)</x:f>
        <x:v>29.6387210666067</x:v>
      </x:c>
      <x:c r="Y1164" s="32" t="n">
        <x:f>Y1163+R1164-S1164-W1164-Y1163*V1164/AB1163</x:f>
        <x:v>3683.2443262291476</x:v>
      </x:c>
      <x:c r="Z1164" s="32" t="n">
        <x:f>Z1163+W1164-X1164-T1164-Z1163*V1164/AB1163</x:f>
        <x:v>3702.577289481412</x:v>
      </x:c>
      <x:c r="AA1164" s="32" t="n">
        <x:f>AA1163+X1164-U1164-AA1163*V1164/AB1163</x:f>
        <x:v>1395.9004257055028</x:v>
      </x:c>
      <x:c r="AB1164" s="10" t="n">
        <x:f>Y1164+Z1164+AA1164</x:f>
        <x:v>8781.722041416062</x:v>
      </x:c>
      <x:c r="AC1164" s="8" t="n">
        <x:f>IF(AND(v01_WinterTrigger=1,D1164=1,AB1163/AE1163&gt;=K1164),1,0)</x:f>
        <x:v>0</x:v>
      </x:c>
      <x:c r="AD1164" s="8" t="n">
        <x:f>H1164*IF(AND(OR(AB1163/AE1163&gt;=v01_FissionTrigger*N1164,AC1164=1),AB1163/AE1163*v01_DaughterShare&gt;=v01_MinDaughter),MAX(1,ROUND(AE1163*v01_FissionRate,0)),0)</x:f>
        <x:v>0</x:v>
      </x:c>
      <x:c r="AE1164" s="8" t="n">
        <x:f>IF(H1164=1,MAX(1,MIN(INDEX(v01_Smax,G1164),AE1163+AD1164)),AE1163)</x:f>
        <x:v>16</x:v>
      </x:c>
      <x:c r="AF1164" s="8" t="n">
        <x:f>MAX(0,AE1164-AE1163)</x:f>
        <x:v>0</x:v>
      </x:c>
      <x:c r="AG1164" s="9" t="str">
        <x:f>IF(AF1164&gt;0,B1164,"")</x:f>
      </x:c>
      <x:c r="AH1164" s="9" t="n">
        <x:f>IF(F1164&gt;=1,1,(1+v01_LowTiesShare*(AE1164-1))/AE1164)</x:f>
        <x:v>1</x:v>
      </x:c>
      <x:c r="AI1164" s="32" t="n">
        <x:f>(Z1164+v01_ElderCommons*INDEX(LM_Elder,G1164)*AA1164)*AH1164</x:f>
        <x:v>8937.203885877048</x:v>
      </x:c>
      <x:c r="AJ1164" s="32" t="n">
        <x:f>H1164*v01_CommonsCoef*AI1164^v01_CommonsExp*INDEX(LM_Commons,G1164)</x:f>
        <x:v>1993.1643642055842</x:v>
      </x:c>
      <x:c r="AK1164" s="32" t="n">
        <x:f>H1164*v01_RoleScale*Arch_Roles*(AE1164*(INDEX(v01_ElderRolePerSett,G1164)*v01_OutElder*INDEX(LM_Elder,G1164)+INDEX(v01_ShamanPerSett,G1164)*v01_OutShaman)+Z1164*(INDEX(v01_PriestShare,G1164)*v01_OutPriest+INDEX(v01_ScribeShare,G1164)*v01_OutScribe*INDEX(LM_Scribe,G1164)+INDEX(v01_ScholarShare,G1164)*v01_OutScholar*INDEX(LM_Scholar,G1164)+INDEX(v01_ResearcherShare,G1164)*v01_OutResearcher*INDEX(LM_Researcher,G1164)))</x:f>
        <x:v>520.8949962036061</x:v>
      </x:c>
      <x:c r="AL1164" s="32" t="n">
        <x:f>H1164*v01_RoleScale*Arch_Roles*AE1164*INDEX(v01_MonasteryPerSett,G1164)*v01_OutMonastery*INDEX(LM_Monastery,G1164)</x:f>
        <x:v>10.56</x:v>
      </x:c>
      <x:c r="AM1164" s="32" t="n">
        <x:f>(AJ1164+AK1164+AL1164)/4*INDEX(LM_All,G1164)*INDEX(v01_Boon,G1164)*Arch_Insight</x:f>
        <x:v>1153.6721748269272</x:v>
      </x:c>
      <x:c r="AN1164" s="32" t="n">
        <x:f>H1164*(v01_KHPerAdult*Z1164+v01_KHOfCommons*AJ1164/4*INDEX(LM_All,G1164))*v01_KHUsable*Arch_KH</x:f>
        <x:v>129.59020513184942</x:v>
      </x:c>
      <x:c r="AO1164" s="32" t="n">
        <x:f>MIN(AP1163+AN1164,AM1164*v01_KHMaxRatio)</x:f>
        <x:v>129.59020513184942</x:v>
      </x:c>
      <x:c r="AP1164" s="32" t="n">
        <x:f>AP1163+AN1164-AO1164</x:f>
        <x:v>0</x:v>
      </x:c>
      <x:c r="AQ1164" s="32" t="n">
        <x:f>AM1164+AO1164</x:f>
        <x:v>1283.2623799587766</x:v>
      </x:c>
      <x:c r="AR1164" s="10" t="n">
        <x:f>IF(H1164=1,INDEX(v01_Req,G1164),0)</x:f>
        <x:v>113395.942036</x:v>
      </x:c>
      <x:c r="AS1164" s="32" t="n">
        <x:f>IF(H1164=1,IF(E1164=1,AS1163-AR1163,AS1163)+AQ1164,0)</x:f>
        <x:v>48824.923517679264</x:v>
      </x:c>
      <x:c r="AT1164" s="11" t="n">
        <x:f>IF(AR1164&gt;0,MIN(1,AS1164/AR1164),1)</x:f>
        <x:v>0.43057028885723914</x:v>
      </x:c>
      <x:c r="AU1164" s="10" t="n">
        <x:f>AB1164/INDEX(v01_RepScale,G1164)</x:f>
        <x:v>175.63444082832123</x:v>
      </x:c>
      <x:c r="AV1164" s="32" t="n">
        <x:f>AM1164*60/v01_SeasonSeconds</x:f>
        <x:v>4614.688699307709</x:v>
      </x:c>
    </x:row>
    <x:row r="1165">
      <x:c r="A1165" s="8" t="n">
        <x:f>A1164+1</x:f>
        <x:v>1162</x:v>
      </x:c>
      <x:c r="B1165" s="9" t="n">
        <x:f>A1165*v01_SeasonSeconds/60</x:f>
        <x:v>290.5</x:v>
      </x:c>
      <x:c r="C1165" s="9" t="n">
        <x:f>A1165/4</x:f>
        <x:v>290.5</x:v>
      </x:c>
      <x:c r="D1165" s="8" t="n">
        <x:f>IF(MOD(A1165,4)=0,1,0)</x:f>
        <x:v>0</x:v>
      </x:c>
      <x:c r="E1165" s="8" t="n">
        <x:f>IF(AND(F1164&lt;=9,AS1164&gt;=AR1164),1,0)</x:f>
        <x:v>0</x:v>
      </x:c>
      <x:c r="F1165" s="8" t="n">
        <x:f>MIN(10,F1164+E1165)</x:f>
        <x:v>6</x:v>
      </x:c>
      <x:c r="G1165" s="8" t="n">
        <x:f>MIN(F1165,9)+1</x:f>
        <x:v>7</x:v>
      </x:c>
      <x:c r="H1165" s="8" t="n">
        <x:f>IF(F1165&lt;=9,1,0)</x:f>
        <x:v>1</x:v>
      </x:c>
      <x:c r="I1165" s="9" t="n">
        <x:f>MIN(10,F1164+IF(AR1164&gt;0,MIN(1,AS1164/AR1164),1))</x:f>
        <x:v>6.430570288857239</x:v>
      </x:c>
      <x:c r="J1165" s="32" t="n">
        <x:f>INDEX(v01_FoodCap,G1165)*Arch_FoodCap*EXP(v01_CapsByProject*SUMPRODUCT((Cap_Point&lt;=I1165)*(Cap_Kind="Food")*Cap_Ln))</x:f>
        <x:v>1000</x:v>
      </x:c>
      <x:c r="K1165" s="32" t="n">
        <x:f>J1165*MIN(1,v01_LeanBase*EXP(v01_CapsByProject*SUMPRODUCT((Cap_Point&lt;=I1165)*(Cap_Kind="Lean")*Cap_Ln)))</x:f>
        <x:v>1000</x:v>
      </x:c>
      <x:c r="L1165" s="10" t="n">
        <x:f>INDEX(v01_HousingCap,G1165)*EXP(v01_CapsByProject*SUMPRODUCT((Cap_Point&lt;=I1165)*(Cap_Kind="Housing")*Cap_Ln))</x:f>
        <x:v>1600</x:v>
      </x:c>
      <x:c r="M1165" s="10" t="n">
        <x:f>INDEX(v01_GroupCap,G1165)*v01_CohesionFactor*EXP(v01_CapsByProject*SUMPRODUCT((Cap_Point&lt;=I1165)*(Cap_Kind="Group")*Cap_Ln))</x:f>
        <x:v>1000000</x:v>
      </x:c>
      <x:c r="N1165" s="32" t="n">
        <x:f>MIN(J1165,L1165,M1165)</x:f>
        <x:v>1000</x:v>
      </x:c>
      <x:c r="O1165" s="10" t="n">
        <x:f>AE1164*N1165</x:f>
        <x:v>16000</x:v>
      </x:c>
      <x:c r="P1165" s="9" t="n">
        <x:f>MIN(1,(AB1164/(AE1164*IF(v01_GroupInCrowding=1,N1165,MIN(J1165,L1165))))^v01_CrowdingExp)</x:f>
        <x:v>0.02733746401601665</x:v>
      </x:c>
      <x:c r="Q1165" s="9" t="n">
        <x:f>IF(D1165=1,INDEX(v01_WinterMult,G1165),1)</x:f>
        <x:v>1</x:v>
      </x:c>
      <x:c r="R1165" s="9" t="n">
        <x:f>H1165*Z1164*v01_WomenShare*v01_BaseFertility*INDEX(v01_FertMult,G1165)*Arch_Fertility*(1-P1165)</x:f>
        <x:v>113.44278380600635</x:v>
      </x:c>
      <x:c r="S1165" s="9" t="n">
        <x:f>H1165*Y1164*INDEX(v01_MortChild,G1165)/4*Q1165</x:f>
        <x:v>20.25784379426031</x:v>
      </x:c>
      <x:c r="T1165" s="9" t="n">
        <x:f>H1165*Z1164*INDEX(v01_MortAdult,G1165)*Arch_AdultMort/4*Q1165</x:f>
        <x:v>8.330798901333177</x:v>
      </x:c>
      <x:c r="U1165" s="9" t="n">
        <x:f>H1165*AA1164*INDEX(v01_MortElder,G1165)/4*Q1165</x:f>
        <x:v>19.193630853450664</x:v>
      </x:c>
      <x:c r="V1165" s="9" t="n">
        <x:f>H1165*MAX(0,AB1164-O1165)*v01_OvercapLoss</x:f>
        <x:v>0</x:v>
      </x:c>
      <x:c r="W1165" s="9" t="n">
        <x:f>H1165*Y1164/(v01_ChildYears*4)</x:f>
        <x:v>65.77222011123477</x:v>
      </x:c>
      <x:c r="X1165" s="9" t="n">
        <x:f>H1165*Z1164/(v01_AdultYears*4)</x:f>
        <x:v>29.85949427001139</x:v>
      </x:c>
      <x:c r="Y1165" s="32" t="n">
        <x:f>Y1164+R1165-S1165-W1165-Y1164*V1165/AB1164</x:f>
        <x:v>3710.657046129659</x:v>
      </x:c>
      <x:c r="Z1165" s="32" t="n">
        <x:f>Z1164+W1165-X1165-T1165-Z1164*V1165/AB1164</x:f>
        <x:v>3730.159216421302</x:v>
      </x:c>
      <x:c r="AA1165" s="32" t="n">
        <x:f>AA1164+X1165-U1165-AA1164*V1165/AB1164</x:f>
        <x:v>1406.5662891220634</x:v>
      </x:c>
      <x:c r="AB1165" s="10" t="n">
        <x:f>Y1165+Z1165+AA1165</x:f>
        <x:v>8847.382551673025</x:v>
      </x:c>
      <x:c r="AC1165" s="8" t="n">
        <x:f>IF(AND(v01_WinterTrigger=1,D1165=1,AB1164/AE1164&gt;=K1165),1,0)</x:f>
        <x:v>0</x:v>
      </x:c>
      <x:c r="AD1165" s="8" t="n">
        <x:f>H1165*IF(AND(OR(AB1164/AE1164&gt;=v01_FissionTrigger*N1165,AC1165=1),AB1164/AE1164*v01_DaughterShare&gt;=v01_MinDaughter),MAX(1,ROUND(AE1164*v01_FissionRate,0)),0)</x:f>
        <x:v>0</x:v>
      </x:c>
      <x:c r="AE1165" s="8" t="n">
        <x:f>IF(H1165=1,MAX(1,MIN(INDEX(v01_Smax,G1165),AE1164+AD1165)),AE1164)</x:f>
        <x:v>16</x:v>
      </x:c>
      <x:c r="AF1165" s="8" t="n">
        <x:f>MAX(0,AE1165-AE1164)</x:f>
        <x:v>0</x:v>
      </x:c>
      <x:c r="AG1165" s="9" t="str">
        <x:f>IF(AF1165&gt;0,B1165,"")</x:f>
      </x:c>
      <x:c r="AH1165" s="9" t="n">
        <x:f>IF(F1165&gt;=1,1,(1+v01_LowTiesShare*(AE1165-1))/AE1165)</x:f>
        <x:v>1</x:v>
      </x:c>
      <x:c r="AI1165" s="32" t="n">
        <x:f>(Z1165+v01_ElderCommons*INDEX(LM_Elder,G1165)*AA1165)*AH1165</x:f>
        <x:v>9004.78280062904</x:v>
      </x:c>
      <x:c r="AJ1165" s="32" t="n">
        <x:f>H1165*v01_CommonsCoef*AI1165^v01_CommonsExp*INDEX(LM_Commons,G1165)</x:f>
        <x:v>2005.9677824851415</x:v>
      </x:c>
      <x:c r="AK1165" s="32" t="n">
        <x:f>H1165*v01_RoleScale*Arch_Roles*(AE1165*(INDEX(v01_ElderRolePerSett,G1165)*v01_OutElder*INDEX(LM_Elder,G1165)+INDEX(v01_ShamanPerSett,G1165)*v01_OutShaman)+Z1165*(INDEX(v01_PriestShare,G1165)*v01_OutPriest+INDEX(v01_ScribeShare,G1165)*v01_OutScribe*INDEX(LM_Scribe,G1165)+INDEX(v01_ScholarShare,G1165)*v01_OutScholar*INDEX(LM_Scholar,G1165)+INDEX(v01_ResearcherShare,G1165)*v01_OutResearcher*INDEX(LM_Researcher,G1165)))</x:f>
        <x:v>524.3730771907262</x:v>
      </x:c>
      <x:c r="AL1165" s="32" t="n">
        <x:f>H1165*v01_RoleScale*Arch_Roles*AE1165*INDEX(v01_MonasteryPerSett,G1165)*v01_OutMonastery*INDEX(LM_Monastery,G1165)</x:f>
        <x:v>10.56</x:v>
      </x:c>
      <x:c r="AM1165" s="32" t="n">
        <x:f>(AJ1165+AK1165+AL1165)/4*INDEX(LM_All,G1165)*INDEX(v01_Boon,G1165)*Arch_Insight</x:f>
        <x:v>1161.1123113334406</x:v>
      </x:c>
      <x:c r="AN1165" s="32" t="n">
        <x:f>H1165*(v01_KHPerAdult*Z1165+v01_KHOfCommons*AJ1165/4*INDEX(LM_All,G1165))*v01_KHUsable*Arch_KH</x:f>
        <x:v>130.55557257474558</x:v>
      </x:c>
      <x:c r="AO1165" s="32" t="n">
        <x:f>MIN(AP1164+AN1165,AM1165*v01_KHMaxRatio)</x:f>
        <x:v>130.55557257474558</x:v>
      </x:c>
      <x:c r="AP1165" s="32" t="n">
        <x:f>AP1164+AN1165-AO1165</x:f>
        <x:v>0</x:v>
      </x:c>
      <x:c r="AQ1165" s="32" t="n">
        <x:f>AM1165+AO1165</x:f>
        <x:v>1291.6678839081862</x:v>
      </x:c>
      <x:c r="AR1165" s="10" t="n">
        <x:f>IF(H1165=1,INDEX(v01_Req,G1165),0)</x:f>
        <x:v>113395.942036</x:v>
      </x:c>
      <x:c r="AS1165" s="32" t="n">
        <x:f>IF(H1165=1,IF(E1165=1,AS1164-AR1164,AS1164)+AQ1165,0)</x:f>
        <x:v>50116.59140158745</x:v>
      </x:c>
      <x:c r="AT1165" s="11" t="n">
        <x:f>IF(AR1165&gt;0,MIN(1,AS1165/AR1165),1)</x:f>
        <x:v>0.4419610658173011</x:v>
      </x:c>
      <x:c r="AU1165" s="10" t="n">
        <x:f>AB1165/INDEX(v01_RepScale,G1165)</x:f>
        <x:v>176.9476510334605</x:v>
      </x:c>
      <x:c r="AV1165" s="32" t="n">
        <x:f>AM1165*60/v01_SeasonSeconds</x:f>
        <x:v>4644.4492453337625</x:v>
      </x:c>
    </x:row>
    <x:row r="1166">
      <x:c r="A1166" s="8" t="n">
        <x:f>A1165+1</x:f>
        <x:v>1163</x:v>
      </x:c>
      <x:c r="B1166" s="9" t="n">
        <x:f>A1166*v01_SeasonSeconds/60</x:f>
        <x:v>290.75</x:v>
      </x:c>
      <x:c r="C1166" s="9" t="n">
        <x:f>A1166/4</x:f>
        <x:v>290.75</x:v>
      </x:c>
      <x:c r="D1166" s="8" t="n">
        <x:f>IF(MOD(A1166,4)=0,1,0)</x:f>
        <x:v>0</x:v>
      </x:c>
      <x:c r="E1166" s="8" t="n">
        <x:f>IF(AND(F1165&lt;=9,AS1165&gt;=AR1165),1,0)</x:f>
        <x:v>0</x:v>
      </x:c>
      <x:c r="F1166" s="8" t="n">
        <x:f>MIN(10,F1165+E1166)</x:f>
        <x:v>6</x:v>
      </x:c>
      <x:c r="G1166" s="8" t="n">
        <x:f>MIN(F1166,9)+1</x:f>
        <x:v>7</x:v>
      </x:c>
      <x:c r="H1166" s="8" t="n">
        <x:f>IF(F1166&lt;=9,1,0)</x:f>
        <x:v>1</x:v>
      </x:c>
      <x:c r="I1166" s="9" t="n">
        <x:f>MIN(10,F1165+IF(AR1165&gt;0,MIN(1,AS1165/AR1165),1))</x:f>
        <x:v>6.441961065817301</x:v>
      </x:c>
      <x:c r="J1166" s="32" t="n">
        <x:f>INDEX(v01_FoodCap,G1166)*Arch_FoodCap*EXP(v01_CapsByProject*SUMPRODUCT((Cap_Point&lt;=I1166)*(Cap_Kind="Food")*Cap_Ln))</x:f>
        <x:v>1000</x:v>
      </x:c>
      <x:c r="K1166" s="32" t="n">
        <x:f>J1166*MIN(1,v01_LeanBase*EXP(v01_CapsByProject*SUMPRODUCT((Cap_Point&lt;=I1166)*(Cap_Kind="Lean")*Cap_Ln)))</x:f>
        <x:v>1000</x:v>
      </x:c>
      <x:c r="L1166" s="10" t="n">
        <x:f>INDEX(v01_HousingCap,G1166)*EXP(v01_CapsByProject*SUMPRODUCT((Cap_Point&lt;=I1166)*(Cap_Kind="Housing")*Cap_Ln))</x:f>
        <x:v>1600</x:v>
      </x:c>
      <x:c r="M1166" s="10" t="n">
        <x:f>INDEX(v01_GroupCap,G1166)*v01_CohesionFactor*EXP(v01_CapsByProject*SUMPRODUCT((Cap_Point&lt;=I1166)*(Cap_Kind="Group")*Cap_Ln))</x:f>
        <x:v>1000000</x:v>
      </x:c>
      <x:c r="N1166" s="32" t="n">
        <x:f>MIN(J1166,L1166,M1166)</x:f>
        <x:v>1000</x:v>
      </x:c>
      <x:c r="O1166" s="10" t="n">
        <x:f>AE1165*N1166</x:f>
        <x:v>16000</x:v>
      </x:c>
      <x:c r="P1166" s="9" t="n">
        <x:f>MIN(1,(AB1165/(AE1165*IF(v01_GroupInCrowding=1,N1166,MIN(J1166,L1166))))^v01_CrowdingExp)</x:f>
        <x:v>0.028587023639216246</x:v>
      </x:c>
      <x:c r="Q1166" s="9" t="n">
        <x:f>IF(D1166=1,INDEX(v01_WinterMult,G1166),1)</x:f>
        <x:v>1</x:v>
      </x:c>
      <x:c r="R1166" s="9" t="n">
        <x:f>H1166*Z1165*v01_WomenShare*v01_BaseFertility*INDEX(v01_FertMult,G1166)*Arch_Fertility*(1-P1166)</x:f>
        <x:v>114.14103960178792</x:v>
      </x:c>
      <x:c r="S1166" s="9" t="n">
        <x:f>H1166*Y1165*INDEX(v01_MortChild,G1166)/4*Q1166</x:f>
        <x:v>20.408613753713123</x:v>
      </x:c>
      <x:c r="T1166" s="9" t="n">
        <x:f>H1166*Z1165*INDEX(v01_MortAdult,G1166)*Arch_AdultMort/4*Q1166</x:f>
        <x:v>8.392858236947928</x:v>
      </x:c>
      <x:c r="U1166" s="9" t="n">
        <x:f>H1166*AA1165*INDEX(v01_MortElder,G1166)/4*Q1166</x:f>
        <x:v>19.34028647542837</x:v>
      </x:c>
      <x:c r="V1166" s="9" t="n">
        <x:f>H1166*MAX(0,AB1165-O1166)*v01_OvercapLoss</x:f>
        <x:v>0</x:v>
      </x:c>
      <x:c r="W1166" s="9" t="n">
        <x:f>H1166*Y1165/(v01_ChildYears*4)</x:f>
        <x:v>66.26173296660106</x:v>
      </x:c>
      <x:c r="X1166" s="9" t="n">
        <x:f>H1166*Z1165/(v01_AdultYears*4)</x:f>
        <x:v>30.08192916468792</x:v>
      </x:c>
      <x:c r="Y1166" s="32" t="n">
        <x:f>Y1165+R1166-S1166-W1166-Y1165*V1166/AB1165</x:f>
        <x:v>3738.1277390111327</x:v>
      </x:c>
      <x:c r="Z1166" s="32" t="n">
        <x:f>Z1165+W1166-X1166-T1166-Z1165*V1166/AB1165</x:f>
        <x:v>3757.946161986267</x:v>
      </x:c>
      <x:c r="AA1166" s="32" t="n">
        <x:f>AA1165+X1166-U1166-AA1165*V1166/AB1165</x:f>
        <x:v>1417.3079318113228</x:v>
      </x:c>
      <x:c r="AB1166" s="10" t="n">
        <x:f>Y1166+Z1166+AA1166</x:f>
        <x:v>8913.381832808722</x:v>
      </x:c>
      <x:c r="AC1166" s="8" t="n">
        <x:f>IF(AND(v01_WinterTrigger=1,D1166=1,AB1165/AE1165&gt;=K1166),1,0)</x:f>
        <x:v>0</x:v>
      </x:c>
      <x:c r="AD1166" s="8" t="n">
        <x:f>H1166*IF(AND(OR(AB1165/AE1165&gt;=v01_FissionTrigger*N1166,AC1166=1),AB1165/AE1165*v01_DaughterShare&gt;=v01_MinDaughter),MAX(1,ROUND(AE1165*v01_FissionRate,0)),0)</x:f>
        <x:v>0</x:v>
      </x:c>
      <x:c r="AE1166" s="8" t="n">
        <x:f>IF(H1166=1,MAX(1,MIN(INDEX(v01_Smax,G1166),AE1165+AD1166)),AE1165)</x:f>
        <x:v>16</x:v>
      </x:c>
      <x:c r="AF1166" s="8" t="n">
        <x:f>MAX(0,AE1166-AE1165)</x:f>
        <x:v>0</x:v>
      </x:c>
      <x:c r="AG1166" s="9" t="str">
        <x:f>IF(AF1166&gt;0,B1166,"")</x:f>
      </x:c>
      <x:c r="AH1166" s="9" t="n">
        <x:f>IF(F1166&gt;=1,1,(1+v01_LowTiesShare*(AE1166-1))/AE1166)</x:f>
        <x:v>1</x:v>
      </x:c>
      <x:c r="AI1166" s="32" t="n">
        <x:f>(Z1166+v01_ElderCommons*INDEX(LM_Elder,G1166)*AA1166)*AH1166</x:f>
        <x:v>9072.850906278727</x:v>
      </x:c>
      <x:c r="AJ1166" s="32" t="n">
        <x:f>H1166*v01_CommonsCoef*AI1166^v01_CommonsExp*INDEX(LM_Commons,G1166)</x:f>
        <x:v>2018.8493207217377</x:v>
      </x:c>
      <x:c r="AK1166" s="32" t="n">
        <x:f>H1166*v01_RoleScale*Arch_Roles*(AE1166*(INDEX(v01_ElderRolePerSett,G1166)*v01_OutElder*INDEX(LM_Elder,G1166)+INDEX(v01_ShamanPerSett,G1166)*v01_OutShaman)+Z1166*(INDEX(v01_PriestShare,G1166)*v01_OutPriest+INDEX(v01_ScribeShare,G1166)*v01_OutScribe*INDEX(LM_Scribe,G1166)+INDEX(v01_ScholarShare,G1166)*v01_OutScholar*INDEX(LM_Scholar,G1166)+INDEX(v01_ResearcherShare,G1166)*v01_OutResearcher*INDEX(LM_Researcher,G1166)))</x:f>
        <x:v>527.8770110264682</x:v>
      </x:c>
      <x:c r="AL1166" s="32" t="n">
        <x:f>H1166*v01_RoleScale*Arch_Roles*AE1166*INDEX(v01_MonasteryPerSett,G1166)*v01_OutMonastery*INDEX(LM_Monastery,G1166)</x:f>
        <x:v>10.56</x:v>
      </x:c>
      <x:c r="AM1166" s="32" t="n">
        <x:f>(AJ1166+AK1166+AL1166)/4*INDEX(LM_All,G1166)*INDEX(v01_Boon,G1166)*Arch_Insight</x:f>
        <x:v>1168.5999601638753</x:v>
      </x:c>
      <x:c r="AN1166" s="32" t="n">
        <x:f>H1166*(v01_KHPerAdult*Z1166+v01_KHOfCommons*AJ1166/4*INDEX(LM_All,G1166))*v01_KHUsable*Arch_KH</x:f>
        <x:v>131.52811566951934</x:v>
      </x:c>
      <x:c r="AO1166" s="32" t="n">
        <x:f>MIN(AP1165+AN1166,AM1166*v01_KHMaxRatio)</x:f>
        <x:v>131.52811566951934</x:v>
      </x:c>
      <x:c r="AP1166" s="32" t="n">
        <x:f>AP1165+AN1166-AO1166</x:f>
        <x:v>0</x:v>
      </x:c>
      <x:c r="AQ1166" s="32" t="n">
        <x:f>AM1166+AO1166</x:f>
        <x:v>1300.1280758333946</x:v>
      </x:c>
      <x:c r="AR1166" s="10" t="n">
        <x:f>IF(H1166=1,INDEX(v01_Req,G1166),0)</x:f>
        <x:v>113395.942036</x:v>
      </x:c>
      <x:c r="AS1166" s="32" t="n">
        <x:f>IF(H1166=1,IF(E1166=1,AS1165-AR1165,AS1165)+AQ1166,0)</x:f>
        <x:v>51416.71947742085</x:v>
      </x:c>
      <x:c r="AT1166" s="11" t="n">
        <x:f>IF(AR1166&gt;0,MIN(1,AS1166/AR1166),1)</x:f>
        <x:v>0.45342645031422285</x:v>
      </x:c>
      <x:c r="AU1166" s="10" t="n">
        <x:f>AB1166/INDEX(v01_RepScale,G1166)</x:f>
        <x:v>178.26763665617443</x:v>
      </x:c>
      <x:c r="AV1166" s="32" t="n">
        <x:f>AM1166*60/v01_SeasonSeconds</x:f>
        <x:v>4674.399840655501</x:v>
      </x:c>
    </x:row>
    <x:row r="1167">
      <x:c r="A1167" s="8" t="n">
        <x:f>A1166+1</x:f>
        <x:v>1164</x:v>
      </x:c>
      <x:c r="B1167" s="9" t="n">
        <x:f>A1167*v01_SeasonSeconds/60</x:f>
        <x:v>291</x:v>
      </x:c>
      <x:c r="C1167" s="9" t="n">
        <x:f>A1167/4</x:f>
        <x:v>291</x:v>
      </x:c>
      <x:c r="D1167" s="8" t="n">
        <x:f>IF(MOD(A1167,4)=0,1,0)</x:f>
        <x:v>1</x:v>
      </x:c>
      <x:c r="E1167" s="8" t="n">
        <x:f>IF(AND(F1166&lt;=9,AS1166&gt;=AR1166),1,0)</x:f>
        <x:v>0</x:v>
      </x:c>
      <x:c r="F1167" s="8" t="n">
        <x:f>MIN(10,F1166+E1167)</x:f>
        <x:v>6</x:v>
      </x:c>
      <x:c r="G1167" s="8" t="n">
        <x:f>MIN(F1167,9)+1</x:f>
        <x:v>7</x:v>
      </x:c>
      <x:c r="H1167" s="8" t="n">
        <x:f>IF(F1167&lt;=9,1,0)</x:f>
        <x:v>1</x:v>
      </x:c>
      <x:c r="I1167" s="9" t="n">
        <x:f>MIN(10,F1166+IF(AR1166&gt;0,MIN(1,AS1166/AR1166),1))</x:f>
        <x:v>6.453426450314223</x:v>
      </x:c>
      <x:c r="J1167" s="32" t="n">
        <x:f>INDEX(v01_FoodCap,G1167)*Arch_FoodCap*EXP(v01_CapsByProject*SUMPRODUCT((Cap_Point&lt;=I1167)*(Cap_Kind="Food")*Cap_Ln))</x:f>
        <x:v>1000</x:v>
      </x:c>
      <x:c r="K1167" s="32" t="n">
        <x:f>J1167*MIN(1,v01_LeanBase*EXP(v01_CapsByProject*SUMPRODUCT((Cap_Point&lt;=I1167)*(Cap_Kind="Lean")*Cap_Ln)))</x:f>
        <x:v>1000</x:v>
      </x:c>
      <x:c r="L1167" s="10" t="n">
        <x:f>INDEX(v01_HousingCap,G1167)*EXP(v01_CapsByProject*SUMPRODUCT((Cap_Point&lt;=I1167)*(Cap_Kind="Housing")*Cap_Ln))</x:f>
        <x:v>1600</x:v>
      </x:c>
      <x:c r="M1167" s="10" t="n">
        <x:f>INDEX(v01_GroupCap,G1167)*v01_CohesionFactor*EXP(v01_CapsByProject*SUMPRODUCT((Cap_Point&lt;=I1167)*(Cap_Kind="Group")*Cap_Ln))</x:f>
        <x:v>1000000</x:v>
      </x:c>
      <x:c r="N1167" s="32" t="n">
        <x:f>MIN(J1167,L1167,M1167)</x:f>
        <x:v>1000</x:v>
      </x:c>
      <x:c r="O1167" s="10" t="n">
        <x:f>AE1166*N1167</x:f>
        <x:v>16000</x:v>
      </x:c>
      <x:c r="P1167" s="9" t="n">
        <x:f>MIN(1,(AB1166/(AE1166*IF(v01_GroupInCrowding=1,N1167,MIN(J1167,L1167))))^v01_CrowdingExp)</x:f>
        <x:v>0.02989063709894446</x:v>
      </x:c>
      <x:c r="Q1167" s="9" t="n">
        <x:f>IF(D1167=1,INDEX(v01_WinterMult,G1167),1)</x:f>
        <x:v>1</x:v>
      </x:c>
      <x:c r="R1167" s="9" t="n">
        <x:f>H1167*Z1166*v01_WomenShare*v01_BaseFertility*INDEX(v01_FertMult,G1167)*Arch_Fertility*(1-P1167)</x:f>
        <x:v>114.83699084616036</x:v>
      </x:c>
      <x:c r="S1167" s="9" t="n">
        <x:f>H1167*Y1166*INDEX(v01_MortChild,G1167)/4*Q1167</x:f>
        <x:v>20.559702564561228</x:v>
      </x:c>
      <x:c r="T1167" s="9" t="n">
        <x:f>H1167*Z1166*INDEX(v01_MortAdult,G1167)*Arch_AdultMort/4*Q1167</x:f>
        <x:v>8.4553788644691</x:v>
      </x:c>
      <x:c r="U1167" s="9" t="n">
        <x:f>H1167*AA1166*INDEX(v01_MortElder,G1167)/4*Q1167</x:f>
        <x:v>19.487984062405687</x:v>
      </x:c>
      <x:c r="V1167" s="9" t="n">
        <x:f>H1167*MAX(0,AB1166-O1167)*v01_OvercapLoss</x:f>
        <x:v>0</x:v>
      </x:c>
      <x:c r="W1167" s="9" t="n">
        <x:f>H1167*Y1166/(v01_ChildYears*4)</x:f>
        <x:v>66.75228105377023</x:v>
      </x:c>
      <x:c r="X1167" s="9" t="n">
        <x:f>H1167*Z1166/(v01_AdultYears*4)</x:f>
        <x:v>30.306017435373118</x:v>
      </x:c>
      <x:c r="Y1167" s="32" t="n">
        <x:f>Y1166+R1167-S1167-W1167-Y1166*V1167/AB1166</x:f>
        <x:v>3765.6527462389618</x:v>
      </x:c>
      <x:c r="Z1167" s="32" t="n">
        <x:f>Z1166+W1167-X1167-T1167-Z1166*V1167/AB1166</x:f>
        <x:v>3785.937046740195</x:v>
      </x:c>
      <x:c r="AA1167" s="32" t="n">
        <x:f>AA1166+X1167-U1167-AA1166*V1167/AB1166</x:f>
        <x:v>1428.1259651842902</x:v>
      </x:c>
      <x:c r="AB1167" s="10" t="n">
        <x:f>Y1167+Z1167+AA1167</x:f>
        <x:v>8979.715758163447</x:v>
      </x:c>
      <x:c r="AC1167" s="8" t="n">
        <x:f>IF(AND(v01_WinterTrigger=1,D1167=1,AB1166/AE1166&gt;=K1167),1,0)</x:f>
        <x:v>0</x:v>
      </x:c>
      <x:c r="AD1167" s="8" t="n">
        <x:f>H1167*IF(AND(OR(AB1166/AE1166&gt;=v01_FissionTrigger*N1167,AC1167=1),AB1166/AE1166*v01_DaughterShare&gt;=v01_MinDaughter),MAX(1,ROUND(AE1166*v01_FissionRate,0)),0)</x:f>
        <x:v>0</x:v>
      </x:c>
      <x:c r="AE1167" s="8" t="n">
        <x:f>IF(H1167=1,MAX(1,MIN(INDEX(v01_Smax,G1167),AE1166+AD1167)),AE1166)</x:f>
        <x:v>16</x:v>
      </x:c>
      <x:c r="AF1167" s="8" t="n">
        <x:f>MAX(0,AE1167-AE1166)</x:f>
        <x:v>0</x:v>
      </x:c>
      <x:c r="AG1167" s="9" t="str">
        <x:f>IF(AF1167&gt;0,B1167,"")</x:f>
      </x:c>
      <x:c r="AH1167" s="9" t="n">
        <x:f>IF(F1167&gt;=1,1,(1+v01_LowTiesShare*(AE1167-1))/AE1167)</x:f>
        <x:v>1</x:v>
      </x:c>
      <x:c r="AI1167" s="32" t="n">
        <x:f>(Z1167+v01_ElderCommons*INDEX(LM_Elder,G1167)*AA1167)*AH1167</x:f>
        <x:v>9141.409416181283</x:v>
      </x:c>
      <x:c r="AJ1167" s="32" t="n">
        <x:f>H1167*v01_CommonsCoef*AI1167^v01_CommonsExp*INDEX(LM_Commons,G1167)</x:f>
        <x:v>2031.8090204386374</x:v>
      </x:c>
      <x:c r="AK1167" s="32" t="n">
        <x:f>H1167*v01_RoleScale*Arch_Roles*(AE1167*(INDEX(v01_ElderRolePerSett,G1167)*v01_OutElder*INDEX(LM_Elder,G1167)+INDEX(v01_ShamanPerSett,G1167)*v01_OutShaman)+Z1167*(INDEX(v01_PriestShare,G1167)*v01_OutPriest+INDEX(v01_ScribeShare,G1167)*v01_OutScribe*INDEX(LM_Scribe,G1167)+INDEX(v01_ScholarShare,G1167)*v01_OutScholar*INDEX(LM_Scholar,G1167)+INDEX(v01_ResearcherShare,G1167)*v01_OutResearcher*INDEX(LM_Researcher,G1167)))</x:f>
        <x:v>531.4066615939386</x:v>
      </x:c>
      <x:c r="AL1167" s="32" t="n">
        <x:f>H1167*v01_RoleScale*Arch_Roles*AE1167*INDEX(v01_MonasteryPerSett,G1167)*v01_OutMonastery*INDEX(LM_Monastery,G1167)</x:f>
        <x:v>10.56</x:v>
      </x:c>
      <x:c r="AM1167" s="32" t="n">
        <x:f>(AJ1167+AK1167+AL1167)/4*INDEX(LM_All,G1167)*INDEX(v01_Boon,G1167)*Arch_Insight</x:f>
        <x:v>1176.1350780918979</x:v>
      </x:c>
      <x:c r="AN1167" s="32" t="n">
        <x:f>H1167*(v01_KHPerAdult*Z1167+v01_KHOfCommons*AJ1167/4*INDEX(LM_All,G1167))*v01_KHUsable*Arch_KH</x:f>
        <x:v>132.50779663590683</x:v>
      </x:c>
      <x:c r="AO1167" s="32" t="n">
        <x:f>MIN(AP1166+AN1167,AM1167*v01_KHMaxRatio)</x:f>
        <x:v>132.50779663590683</x:v>
      </x:c>
      <x:c r="AP1167" s="32" t="n">
        <x:f>AP1166+AN1167-AO1167</x:f>
        <x:v>0</x:v>
      </x:c>
      <x:c r="AQ1167" s="32" t="n">
        <x:f>AM1167+AO1167</x:f>
        <x:v>1308.6428747278046</x:v>
      </x:c>
      <x:c r="AR1167" s="10" t="n">
        <x:f>IF(H1167=1,INDEX(v01_Req,G1167),0)</x:f>
        <x:v>113395.942036</x:v>
      </x:c>
      <x:c r="AS1167" s="32" t="n">
        <x:f>IF(H1167=1,IF(E1167=1,AS1166-AR1166,AS1166)+AQ1167,0)</x:f>
        <x:v>52725.36235214865</x:v>
      </x:c>
      <x:c r="AT1167" s="11" t="n">
        <x:f>IF(AR1167&gt;0,MIN(1,AS1167/AR1167),1)</x:f>
        <x:v>0.4649669239081752</x:v>
      </x:c>
      <x:c r="AU1167" s="10" t="n">
        <x:f>AB1167/INDEX(v01_RepScale,G1167)</x:f>
        <x:v>179.59431516326896</x:v>
      </x:c>
      <x:c r="AV1167" s="32" t="n">
        <x:f>AM1167*60/v01_SeasonSeconds</x:f>
        <x:v>4704.5403123675915</x:v>
      </x:c>
    </x:row>
    <x:row r="1168">
      <x:c r="A1168" s="8" t="n">
        <x:f>A1167+1</x:f>
        <x:v>1165</x:v>
      </x:c>
      <x:c r="B1168" s="9" t="n">
        <x:f>A1168*v01_SeasonSeconds/60</x:f>
        <x:v>291.25</x:v>
      </x:c>
      <x:c r="C1168" s="9" t="n">
        <x:f>A1168/4</x:f>
        <x:v>291.25</x:v>
      </x:c>
      <x:c r="D1168" s="8" t="n">
        <x:f>IF(MOD(A1168,4)=0,1,0)</x:f>
        <x:v>0</x:v>
      </x:c>
      <x:c r="E1168" s="8" t="n">
        <x:f>IF(AND(F1167&lt;=9,AS1167&gt;=AR1167),1,0)</x:f>
        <x:v>0</x:v>
      </x:c>
      <x:c r="F1168" s="8" t="n">
        <x:f>MIN(10,F1167+E1168)</x:f>
        <x:v>6</x:v>
      </x:c>
      <x:c r="G1168" s="8" t="n">
        <x:f>MIN(F1168,9)+1</x:f>
        <x:v>7</x:v>
      </x:c>
      <x:c r="H1168" s="8" t="n">
        <x:f>IF(F1168&lt;=9,1,0)</x:f>
        <x:v>1</x:v>
      </x:c>
      <x:c r="I1168" s="9" t="n">
        <x:f>MIN(10,F1167+IF(AR1167&gt;0,MIN(1,AS1167/AR1167),1))</x:f>
        <x:v>6.464966923908175</x:v>
      </x:c>
      <x:c r="J1168" s="32" t="n">
        <x:f>INDEX(v01_FoodCap,G1168)*Arch_FoodCap*EXP(v01_CapsByProject*SUMPRODUCT((Cap_Point&lt;=I1168)*(Cap_Kind="Food")*Cap_Ln))</x:f>
        <x:v>1000</x:v>
      </x:c>
      <x:c r="K1168" s="32" t="n">
        <x:f>J1168*MIN(1,v01_LeanBase*EXP(v01_CapsByProject*SUMPRODUCT((Cap_Point&lt;=I1168)*(Cap_Kind="Lean")*Cap_Ln)))</x:f>
        <x:v>1000</x:v>
      </x:c>
      <x:c r="L1168" s="10" t="n">
        <x:f>INDEX(v01_HousingCap,G1168)*EXP(v01_CapsByProject*SUMPRODUCT((Cap_Point&lt;=I1168)*(Cap_Kind="Housing")*Cap_Ln))</x:f>
        <x:v>1600</x:v>
      </x:c>
      <x:c r="M1168" s="10" t="n">
        <x:f>INDEX(v01_GroupCap,G1168)*v01_CohesionFactor*EXP(v01_CapsByProject*SUMPRODUCT((Cap_Point&lt;=I1168)*(Cap_Kind="Group")*Cap_Ln))</x:f>
        <x:v>1000000</x:v>
      </x:c>
      <x:c r="N1168" s="32" t="n">
        <x:f>MIN(J1168,L1168,M1168)</x:f>
        <x:v>1000</x:v>
      </x:c>
      <x:c r="O1168" s="10" t="n">
        <x:f>AE1167*N1168</x:f>
        <x:v>16000</x:v>
      </x:c>
      <x:c r="P1168" s="9" t="n">
        <x:f>MIN(1,(AB1167/(AE1167*IF(v01_GroupInCrowding=1,N1168,MIN(J1168,L1168))))^v01_CrowdingExp)</x:f>
        <x:v>0.03125040449153509</x:v>
      </x:c>
      <x:c r="Q1168" s="9" t="n">
        <x:f>IF(D1168=1,INDEX(v01_WinterMult,G1168),1)</x:f>
        <x:v>1</x:v>
      </x:c>
      <x:c r="R1168" s="9" t="n">
        <x:f>H1168*Z1167*v01_WomenShare*v01_BaseFertility*INDEX(v01_FertMult,G1168)*Arch_Fertility*(1-P1168)</x:f>
        <x:v>115.53018695347741</x:v>
      </x:c>
      <x:c r="S1168" s="9" t="n">
        <x:f>H1168*Y1167*INDEX(v01_MortChild,G1168)/4*Q1168</x:f>
        <x:v>20.711090104314287</x:v>
      </x:c>
      <x:c r="T1168" s="9" t="n">
        <x:f>H1168*Z1167*INDEX(v01_MortAdult,G1168)*Arch_AdultMort/4*Q1168</x:f>
        <x:v>8.518358355165438</x:v>
      </x:c>
      <x:c r="U1168" s="9" t="n">
        <x:f>H1168*AA1167*INDEX(v01_MortElder,G1168)/4*Q1168</x:f>
        <x:v>19.63673202128399</x:v>
      </x:c>
      <x:c r="V1168" s="9" t="n">
        <x:f>H1168*MAX(0,AB1167-O1168)*v01_OvercapLoss</x:f>
        <x:v>0</x:v>
      </x:c>
      <x:c r="W1168" s="9" t="n">
        <x:f>H1168*Y1167/(v01_ChildYears*4)</x:f>
        <x:v>67.24379903998145</x:v>
      </x:c>
      <x:c r="X1168" s="9" t="n">
        <x:f>H1168*Z1167/(v01_AdultYears*4)</x:f>
        <x:v>30.531750376937058</x:v>
      </x:c>
      <x:c r="Y1168" s="32" t="n">
        <x:f>Y1167+R1168-S1168-W1168-Y1167*V1168/AB1167</x:f>
        <x:v>3793.2280440481436</x:v>
      </x:c>
      <x:c r="Z1168" s="32" t="n">
        <x:f>Z1167+W1168-X1168-T1168-Z1167*V1168/AB1167</x:f>
        <x:v>3814.130737048074</x:v>
      </x:c>
      <x:c r="AA1168" s="32" t="n">
        <x:f>AA1167+X1168-U1168-AA1167*V1168/AB1167</x:f>
        <x:v>1439.0209835399432</x:v>
      </x:c>
      <x:c r="AB1168" s="10" t="n">
        <x:f>Y1168+Z1168+AA1168</x:f>
        <x:v>9046.379764636162</x:v>
      </x:c>
      <x:c r="AC1168" s="8" t="n">
        <x:f>IF(AND(v01_WinterTrigger=1,D1168=1,AB1167/AE1167&gt;=K1168),1,0)</x:f>
        <x:v>0</x:v>
      </x:c>
      <x:c r="AD1168" s="8" t="n">
        <x:f>H1168*IF(AND(OR(AB1167/AE1167&gt;=v01_FissionTrigger*N1168,AC1168=1),AB1167/AE1167*v01_DaughterShare&gt;=v01_MinDaughter),MAX(1,ROUND(AE1167*v01_FissionRate,0)),0)</x:f>
        <x:v>0</x:v>
      </x:c>
      <x:c r="AE1168" s="8" t="n">
        <x:f>IF(H1168=1,MAX(1,MIN(INDEX(v01_Smax,G1168),AE1167+AD1168)),AE1167)</x:f>
        <x:v>16</x:v>
      </x:c>
      <x:c r="AF1168" s="8" t="n">
        <x:f>MAX(0,AE1168-AE1167)</x:f>
        <x:v>0</x:v>
      </x:c>
      <x:c r="AG1168" s="9" t="str">
        <x:f>IF(AF1168&gt;0,B1168,"")</x:f>
      </x:c>
      <x:c r="AH1168" s="9" t="n">
        <x:f>IF(F1168&gt;=1,1,(1+v01_LowTiesShare*(AE1168-1))/AE1168)</x:f>
        <x:v>1</x:v>
      </x:c>
      <x:c r="AI1168" s="32" t="n">
        <x:f>(Z1168+v01_ElderCommons*INDEX(LM_Elder,G1168)*AA1168)*AH1168</x:f>
        <x:v>9210.45942532286</x:v>
      </x:c>
      <x:c r="AJ1168" s="32" t="n">
        <x:f>H1168*v01_CommonsCoef*AI1168^v01_CommonsExp*INDEX(LM_Commons,G1168)</x:f>
        <x:v>2044.8469009256178</x:v>
      </x:c>
      <x:c r="AK1168" s="32" t="n">
        <x:f>H1168*v01_RoleScale*Arch_Roles*(AE1168*(INDEX(v01_ElderRolePerSett,G1168)*v01_OutElder*INDEX(LM_Elder,G1168)+INDEX(v01_ShamanPerSett,G1168)*v01_OutShaman)+Z1168*(INDEX(v01_PriestShare,G1168)*v01_OutPriest+INDEX(v01_ScribeShare,G1168)*v01_OutScribe*INDEX(LM_Scribe,G1168)+INDEX(v01_ScholarShare,G1168)*v01_OutScholar*INDEX(LM_Scholar,G1168)+INDEX(v01_ResearcherShare,G1168)*v01_OutResearcher*INDEX(LM_Researcher,G1168)))</x:f>
        <x:v>534.9618859417621</x:v>
      </x:c>
      <x:c r="AL1168" s="32" t="n">
        <x:f>H1168*v01_RoleScale*Arch_Roles*AE1168*INDEX(v01_MonasteryPerSett,G1168)*v01_OutMonastery*INDEX(LM_Monastery,G1168)</x:f>
        <x:v>10.56</x:v>
      </x:c>
      <x:c r="AM1168" s="32" t="n">
        <x:f>(AJ1168+AK1168+AL1168)/4*INDEX(LM_All,G1168)*INDEX(v01_Boon,G1168)*Arch_Insight</x:f>
        <x:v>1183.7176086080217</x:v>
      </x:c>
      <x:c r="AN1168" s="32" t="n">
        <x:f>H1168*(v01_KHPerAdult*Z1168+v01_KHOfCommons*AJ1168/4*INDEX(LM_All,G1168))*v01_KHUsable*Arch_KH</x:f>
        <x:v>133.4945757966826</x:v>
      </x:c>
      <x:c r="AO1168" s="32" t="n">
        <x:f>MIN(AP1167+AN1168,AM1168*v01_KHMaxRatio)</x:f>
        <x:v>133.4945757966826</x:v>
      </x:c>
      <x:c r="AP1168" s="32" t="n">
        <x:f>AP1167+AN1168-AO1168</x:f>
        <x:v>0</x:v>
      </x:c>
      <x:c r="AQ1168" s="32" t="n">
        <x:f>AM1168+AO1168</x:f>
        <x:v>1317.2121844047042</x:v>
      </x:c>
      <x:c r="AR1168" s="10" t="n">
        <x:f>IF(H1168=1,INDEX(v01_Req,G1168),0)</x:f>
        <x:v>113395.942036</x:v>
      </x:c>
      <x:c r="AS1168" s="32" t="n">
        <x:f>IF(H1168=1,IF(E1168=1,AS1167-AR1167,AS1167)+AQ1168,0)</x:f>
        <x:v>54042.57453655336</x:v>
      </x:c>
      <x:c r="AT1168" s="11" t="n">
        <x:f>IF(AR1168&gt;0,MIN(1,AS1168/AR1168),1)</x:f>
        <x:v>0.476582967311091</x:v>
      </x:c>
      <x:c r="AU1168" s="10" t="n">
        <x:f>AB1168/INDEX(v01_RepScale,G1168)</x:f>
        <x:v>180.92759529272323</x:v>
      </x:c>
      <x:c r="AV1168" s="32" t="n">
        <x:f>AM1168*60/v01_SeasonSeconds</x:f>
        <x:v>4734.870434432087</x:v>
      </x:c>
    </x:row>
    <x:row r="1169">
      <x:c r="A1169" s="8" t="n">
        <x:f>A1168+1</x:f>
        <x:v>1166</x:v>
      </x:c>
      <x:c r="B1169" s="9" t="n">
        <x:f>A1169*v01_SeasonSeconds/60</x:f>
        <x:v>291.5</x:v>
      </x:c>
      <x:c r="C1169" s="9" t="n">
        <x:f>A1169/4</x:f>
        <x:v>291.5</x:v>
      </x:c>
      <x:c r="D1169" s="8" t="n">
        <x:f>IF(MOD(A1169,4)=0,1,0)</x:f>
        <x:v>0</x:v>
      </x:c>
      <x:c r="E1169" s="8" t="n">
        <x:f>IF(AND(F1168&lt;=9,AS1168&gt;=AR1168),1,0)</x:f>
        <x:v>0</x:v>
      </x:c>
      <x:c r="F1169" s="8" t="n">
        <x:f>MIN(10,F1168+E1169)</x:f>
        <x:v>6</x:v>
      </x:c>
      <x:c r="G1169" s="8" t="n">
        <x:f>MIN(F1169,9)+1</x:f>
        <x:v>7</x:v>
      </x:c>
      <x:c r="H1169" s="8" t="n">
        <x:f>IF(F1169&lt;=9,1,0)</x:f>
        <x:v>1</x:v>
      </x:c>
      <x:c r="I1169" s="9" t="n">
        <x:f>MIN(10,F1168+IF(AR1168&gt;0,MIN(1,AS1168/AR1168),1))</x:f>
        <x:v>6.476582967311091</x:v>
      </x:c>
      <x:c r="J1169" s="32" t="n">
        <x:f>INDEX(v01_FoodCap,G1169)*Arch_FoodCap*EXP(v01_CapsByProject*SUMPRODUCT((Cap_Point&lt;=I1169)*(Cap_Kind="Food")*Cap_Ln))</x:f>
        <x:v>1000</x:v>
      </x:c>
      <x:c r="K1169" s="32" t="n">
        <x:f>J1169*MIN(1,v01_LeanBase*EXP(v01_CapsByProject*SUMPRODUCT((Cap_Point&lt;=I1169)*(Cap_Kind="Lean")*Cap_Ln)))</x:f>
        <x:v>1000</x:v>
      </x:c>
      <x:c r="L1169" s="10" t="n">
        <x:f>INDEX(v01_HousingCap,G1169)*EXP(v01_CapsByProject*SUMPRODUCT((Cap_Point&lt;=I1169)*(Cap_Kind="Housing")*Cap_Ln))</x:f>
        <x:v>1600</x:v>
      </x:c>
      <x:c r="M1169" s="10" t="n">
        <x:f>INDEX(v01_GroupCap,G1169)*v01_CohesionFactor*EXP(v01_CapsByProject*SUMPRODUCT((Cap_Point&lt;=I1169)*(Cap_Kind="Group")*Cap_Ln))</x:f>
        <x:v>1000000</x:v>
      </x:c>
      <x:c r="N1169" s="32" t="n">
        <x:f>MIN(J1169,L1169,M1169)</x:f>
        <x:v>1000</x:v>
      </x:c>
      <x:c r="O1169" s="10" t="n">
        <x:f>AE1168*N1169</x:f>
        <x:v>16000</x:v>
      </x:c>
      <x:c r="P1169" s="9" t="n">
        <x:f>MIN(1,(AB1168/(AE1168*IF(v01_GroupInCrowding=1,N1169,MIN(J1169,L1169))))^v01_CrowdingExp)</x:f>
        <x:v>0.032668485126199215</x:v>
      </x:c>
      <x:c r="Q1169" s="9" t="n">
        <x:f>IF(D1169=1,INDEX(v01_WinterMult,G1169),1)</x:f>
        <x:v>1</x:v>
      </x:c>
      <x:c r="R1169" s="9" t="n">
        <x:f>H1169*Z1168*v01_WomenShare*v01_BaseFertility*INDEX(v01_FertMult,G1169)*Arch_Fertility*(1-P1169)</x:f>
        <x:v>116.22015920955636</x:v>
      </x:c>
      <x:c r="S1169" s="9" t="n">
        <x:f>H1169*Y1168*INDEX(v01_MortChild,G1169)/4*Q1169</x:f>
        <x:v>20.86275424226479</x:v>
      </x:c>
      <x:c r="T1169" s="9" t="n">
        <x:f>H1169*Z1168*INDEX(v01_MortAdult,G1169)*Arch_AdultMort/4*Q1169</x:f>
        <x:v>8.581794158358166</x:v>
      </x:c>
      <x:c r="U1169" s="9" t="n">
        <x:f>H1169*AA1168*INDEX(v01_MortElder,G1169)/4*Q1169</x:f>
        <x:v>19.78653852367422</x:v>
      </x:c>
      <x:c r="V1169" s="9" t="n">
        <x:f>H1169*MAX(0,AB1168-O1169)*v01_OvercapLoss</x:f>
        <x:v>0</x:v>
      </x:c>
      <x:c r="W1169" s="9" t="n">
        <x:f>H1169*Y1168/(v01_ChildYears*4)</x:f>
        <x:v>67.73621507228827</x:v>
      </x:c>
      <x:c r="X1169" s="9" t="n">
        <x:f>H1169*Z1168/(v01_AdultYears*4)</x:f>
        <x:v>30.759118847161886</x:v>
      </x:c>
      <x:c r="Y1169" s="32" t="n">
        <x:f>Y1168+R1169-S1169-W1169-Y1168*V1169/AB1168</x:f>
        <x:v>3820.849233943147</x:v>
      </x:c>
      <x:c r="Z1169" s="32" t="n">
        <x:f>Z1168+W1169-X1169-T1169-Z1168*V1169/AB1168</x:f>
        <x:v>3842.526039114842</x:v>
      </x:c>
      <x:c r="AA1169" s="32" t="n">
        <x:f>AA1168+X1169-U1169-AA1168*V1169/AB1168</x:f>
        <x:v>1449.993563863431</x:v>
      </x:c>
      <x:c r="AB1169" s="10" t="n">
        <x:f>Y1169+Z1169+AA1169</x:f>
        <x:v>9113.36883692142</x:v>
      </x:c>
      <x:c r="AC1169" s="8" t="n">
        <x:f>IF(AND(v01_WinterTrigger=1,D1169=1,AB1168/AE1168&gt;=K1169),1,0)</x:f>
        <x:v>0</x:v>
      </x:c>
      <x:c r="AD1169" s="8" t="n">
        <x:f>H1169*IF(AND(OR(AB1168/AE1168&gt;=v01_FissionTrigger*N1169,AC1169=1),AB1168/AE1168*v01_DaughterShare&gt;=v01_MinDaughter),MAX(1,ROUND(AE1168*v01_FissionRate,0)),0)</x:f>
        <x:v>0</x:v>
      </x:c>
      <x:c r="AE1169" s="8" t="n">
        <x:f>IF(H1169=1,MAX(1,MIN(INDEX(v01_Smax,G1169),AE1168+AD1169)),AE1168)</x:f>
        <x:v>16</x:v>
      </x:c>
      <x:c r="AF1169" s="8" t="n">
        <x:f>MAX(0,AE1169-AE1168)</x:f>
        <x:v>0</x:v>
      </x:c>
      <x:c r="AG1169" s="9" t="str">
        <x:f>IF(AF1169&gt;0,B1169,"")</x:f>
      </x:c>
      <x:c r="AH1169" s="9" t="n">
        <x:f>IF(F1169&gt;=1,1,(1+v01_LowTiesShare*(AE1169-1))/AE1169)</x:f>
        <x:v>1</x:v>
      </x:c>
      <x:c r="AI1169" s="32" t="n">
        <x:f>(Z1169+v01_ElderCommons*INDEX(LM_Elder,G1169)*AA1169)*AH1169</x:f>
        <x:v>9280.001903602708</x:v>
      </x:c>
      <x:c r="AJ1169" s="32" t="n">
        <x:f>H1169*v01_CommonsCoef*AI1169^v01_CommonsExp*INDEX(LM_Commons,G1169)</x:f>
        <x:v>2057.9629581017202</x:v>
      </x:c>
      <x:c r="AK1169" s="32" t="n">
        <x:f>H1169*v01_RoleScale*Arch_Roles*(AE1169*(INDEX(v01_ElderRolePerSett,G1169)*v01_OutElder*INDEX(LM_Elder,G1169)+INDEX(v01_ShamanPerSett,G1169)*v01_OutShaman)+Z1169*(INDEX(v01_PriestShare,G1169)*v01_OutPriest+INDEX(v01_ScribeShare,G1169)*v01_OutScribe*INDEX(LM_Scribe,G1169)+INDEX(v01_ScholarShare,G1169)*v01_OutScholar*INDEX(LM_Scholar,G1169)+INDEX(v01_ResearcherShare,G1169)*v01_OutResearcher*INDEX(LM_Researcher,G1169)))</x:f>
        <x:v>538.5425335323816</x:v>
      </x:c>
      <x:c r="AL1169" s="32" t="n">
        <x:f>H1169*v01_RoleScale*Arch_Roles*AE1169*INDEX(v01_MonasteryPerSett,G1169)*v01_OutMonastery*INDEX(LM_Monastery,G1169)</x:f>
        <x:v>10.56</x:v>
      </x:c>
      <x:c r="AM1169" s="32" t="n">
        <x:f>(AJ1169+AK1169+AL1169)/4*INDEX(LM_All,G1169)*INDEX(v01_Boon,G1169)*Arch_Insight</x:f>
        <x:v>1191.3474810564153</x:v>
      </x:c>
      <x:c r="AN1169" s="32" t="n">
        <x:f>H1169*(v01_KHPerAdult*Z1169+v01_KHOfCommons*AJ1169/4*INDEX(LM_All,G1169))*v01_KHUsable*Arch_KH</x:f>
        <x:v>134.48841136901947</x:v>
      </x:c>
      <x:c r="AO1169" s="32" t="n">
        <x:f>MIN(AP1168+AN1169,AM1169*v01_KHMaxRatio)</x:f>
        <x:v>134.48841136901947</x:v>
      </x:c>
      <x:c r="AP1169" s="32" t="n">
        <x:f>AP1168+AN1169-AO1169</x:f>
        <x:v>0</x:v>
      </x:c>
      <x:c r="AQ1169" s="32" t="n">
        <x:f>AM1169+AO1169</x:f>
        <x:v>1325.8358924254348</x:v>
      </x:c>
      <x:c r="AR1169" s="10" t="n">
        <x:f>IF(H1169=1,INDEX(v01_Req,G1169),0)</x:f>
        <x:v>113395.942036</x:v>
      </x:c>
      <x:c r="AS1169" s="32" t="n">
        <x:f>IF(H1169=1,IF(E1169=1,AS1168-AR1168,AS1168)+AQ1169,0)</x:f>
        <x:v>55368.410428978794</x:v>
      </x:c>
      <x:c r="AT1169" s="11" t="n">
        <x:f>IF(AR1169&gt;0,MIN(1,AS1169/AR1169),1)</x:f>
        <x:v>0.4882750602433453</x:v>
      </x:c>
      <x:c r="AU1169" s="10" t="n">
        <x:f>AB1169/INDEX(v01_RepScale,G1169)</x:f>
        <x:v>182.2673767384284</x:v>
      </x:c>
      <x:c r="AV1169" s="32" t="n">
        <x:f>AM1169*60/v01_SeasonSeconds</x:f>
        <x:v>4765.389924225661</x:v>
      </x:c>
    </x:row>
    <x:row r="1170">
      <x:c r="A1170" s="8" t="n">
        <x:f>A1169+1</x:f>
        <x:v>1167</x:v>
      </x:c>
      <x:c r="B1170" s="9" t="n">
        <x:f>A1170*v01_SeasonSeconds/60</x:f>
        <x:v>291.75</x:v>
      </x:c>
      <x:c r="C1170" s="9" t="n">
        <x:f>A1170/4</x:f>
        <x:v>291.75</x:v>
      </x:c>
      <x:c r="D1170" s="8" t="n">
        <x:f>IF(MOD(A1170,4)=0,1,0)</x:f>
        <x:v>0</x:v>
      </x:c>
      <x:c r="E1170" s="8" t="n">
        <x:f>IF(AND(F1169&lt;=9,AS1169&gt;=AR1169),1,0)</x:f>
        <x:v>0</x:v>
      </x:c>
      <x:c r="F1170" s="8" t="n">
        <x:f>MIN(10,F1169+E1170)</x:f>
        <x:v>6</x:v>
      </x:c>
      <x:c r="G1170" s="8" t="n">
        <x:f>MIN(F1170,9)+1</x:f>
        <x:v>7</x:v>
      </x:c>
      <x:c r="H1170" s="8" t="n">
        <x:f>IF(F1170&lt;=9,1,0)</x:f>
        <x:v>1</x:v>
      </x:c>
      <x:c r="I1170" s="9" t="n">
        <x:f>MIN(10,F1169+IF(AR1169&gt;0,MIN(1,AS1169/AR1169),1))</x:f>
        <x:v>6.488275060243345</x:v>
      </x:c>
      <x:c r="J1170" s="32" t="n">
        <x:f>INDEX(v01_FoodCap,G1170)*Arch_FoodCap*EXP(v01_CapsByProject*SUMPRODUCT((Cap_Point&lt;=I1170)*(Cap_Kind="Food")*Cap_Ln))</x:f>
        <x:v>1000</x:v>
      </x:c>
      <x:c r="K1170" s="32" t="n">
        <x:f>J1170*MIN(1,v01_LeanBase*EXP(v01_CapsByProject*SUMPRODUCT((Cap_Point&lt;=I1170)*(Cap_Kind="Lean")*Cap_Ln)))</x:f>
        <x:v>1000</x:v>
      </x:c>
      <x:c r="L1170" s="10" t="n">
        <x:f>INDEX(v01_HousingCap,G1170)*EXP(v01_CapsByProject*SUMPRODUCT((Cap_Point&lt;=I1170)*(Cap_Kind="Housing")*Cap_Ln))</x:f>
        <x:v>1600</x:v>
      </x:c>
      <x:c r="M1170" s="10" t="n">
        <x:f>INDEX(v01_GroupCap,G1170)*v01_CohesionFactor*EXP(v01_CapsByProject*SUMPRODUCT((Cap_Point&lt;=I1170)*(Cap_Kind="Group")*Cap_Ln))</x:f>
        <x:v>1000000</x:v>
      </x:c>
      <x:c r="N1170" s="32" t="n">
        <x:f>MIN(J1170,L1170,M1170)</x:f>
        <x:v>1000</x:v>
      </x:c>
      <x:c r="O1170" s="10" t="n">
        <x:f>AE1169*N1170</x:f>
        <x:v>16000</x:v>
      </x:c>
      <x:c r="P1170" s="9" t="n">
        <x:f>MIN(1,(AB1169/(AE1169*IF(v01_GroupInCrowding=1,N1170,MIN(J1170,L1170))))^v01_CrowdingExp)</x:f>
        <x:v>0.034147097030451413</x:v>
      </x:c>
      <x:c r="Q1170" s="9" t="n">
        <x:f>IF(D1170=1,INDEX(v01_WinterMult,G1170),1)</x:f>
        <x:v>1</x:v>
      </x:c>
      <x:c r="R1170" s="9" t="n">
        <x:f>H1170*Z1169*v01_WomenShare*v01_BaseFertility*INDEX(v01_FertMult,G1170)*Arch_Fertility*(1-P1170)</x:f>
        <x:v>116.90642028287729</x:v>
      </x:c>
      <x:c r="S1170" s="9" t="n">
        <x:f>H1170*Y1169*INDEX(v01_MortChild,G1170)/4*Q1170</x:f>
        <x:v>21.014670786687308</x:v>
      </x:c>
      <x:c r="T1170" s="9" t="n">
        <x:f>H1170*Z1169*INDEX(v01_MortAdult,G1170)*Arch_AdultMort/4*Q1170</x:f>
        <x:v>8.645683588008394</x:v>
      </x:c>
      <x:c r="U1170" s="9" t="n">
        <x:f>H1170*AA1169*INDEX(v01_MortElder,G1170)/4*Q1170</x:f>
        <x:v>19.937411503122178</x:v>
      </x:c>
      <x:c r="V1170" s="9" t="n">
        <x:f>H1170*MAX(0,AB1169-O1170)*v01_OvercapLoss</x:f>
        <x:v>0</x:v>
      </x:c>
      <x:c r="W1170" s="9" t="n">
        <x:f>H1170*Y1169/(v01_ChildYears*4)</x:f>
        <x:v>68.22945060612763</x:v>
      </x:c>
      <x:c r="X1170" s="9" t="n">
        <x:f>H1170*Z1169/(v01_AdultYears*4)</x:f>
        <x:v>30.988113218668083</x:v>
      </x:c>
      <x:c r="Y1170" s="32" t="n">
        <x:f>Y1169+R1170-S1170-W1170-Y1169*V1170/AB1169</x:f>
        <x:v>3848.511532833209</x:v>
      </x:c>
      <x:c r="Z1170" s="32" t="n">
        <x:f>Z1169+W1170-X1170-T1170-Z1169*V1170/AB1169</x:f>
        <x:v>3871.1216929142934</x:v>
      </x:c>
      <x:c r="AA1170" s="32" t="n">
        <x:f>AA1169+X1170-U1170-AA1169*V1170/AB1169</x:f>
        <x:v>1461.044265578977</x:v>
      </x:c>
      <x:c r="AB1170" s="10" t="n">
        <x:f>Y1170+Z1170+AA1170</x:f>
        <x:v>9180.67749132648</x:v>
      </x:c>
      <x:c r="AC1170" s="8" t="n">
        <x:f>IF(AND(v01_WinterTrigger=1,D1170=1,AB1169/AE1169&gt;=K1170),1,0)</x:f>
        <x:v>0</x:v>
      </x:c>
      <x:c r="AD1170" s="8" t="n">
        <x:f>H1170*IF(AND(OR(AB1169/AE1169&gt;=v01_FissionTrigger*N1170,AC1170=1),AB1169/AE1169*v01_DaughterShare&gt;=v01_MinDaughter),MAX(1,ROUND(AE1169*v01_FissionRate,0)),0)</x:f>
        <x:v>0</x:v>
      </x:c>
      <x:c r="AE1170" s="8" t="n">
        <x:f>IF(H1170=1,MAX(1,MIN(INDEX(v01_Smax,G1170),AE1169+AD1170)),AE1169)</x:f>
        <x:v>16</x:v>
      </x:c>
      <x:c r="AF1170" s="8" t="n">
        <x:f>MAX(0,AE1170-AE1169)</x:f>
        <x:v>0</x:v>
      </x:c>
      <x:c r="AG1170" s="9" t="str">
        <x:f>IF(AF1170&gt;0,B1170,"")</x:f>
      </x:c>
      <x:c r="AH1170" s="9" t="n">
        <x:f>IF(F1170&gt;=1,1,(1+v01_LowTiesShare*(AE1170-1))/AE1170)</x:f>
        <x:v>1</x:v>
      </x:c>
      <x:c r="AI1170" s="32" t="n">
        <x:f>(Z1170+v01_ElderCommons*INDEX(LM_Elder,G1170)*AA1170)*AH1170</x:f>
        <x:v>9350.037688835457</x:v>
      </x:c>
      <x:c r="AJ1170" s="32" t="n">
        <x:f>H1170*v01_CommonsCoef*AI1170^v01_CommonsExp*INDEX(LM_Commons,G1170)</x:f>
        <x:v>2071.1571633331455</x:v>
      </x:c>
      <x:c r="AK1170" s="32" t="n">
        <x:f>H1170*v01_RoleScale*Arch_Roles*(AE1170*(INDEX(v01_ElderRolePerSett,G1170)*v01_OutElder*INDEX(LM_Elder,G1170)+INDEX(v01_ShamanPerSett,G1170)*v01_OutShaman)+Z1170*(INDEX(v01_PriestShare,G1170)*v01_OutPriest+INDEX(v01_ScribeShare,G1170)*v01_OutScribe*INDEX(LM_Scribe,G1170)+INDEX(v01_ScholarShare,G1170)*v01_OutScholar*INDEX(LM_Scholar,G1170)+INDEX(v01_ResearcherShare,G1170)*v01_OutResearcher*INDEX(LM_Researcher,G1170)))</x:f>
        <x:v>542.1484454764923</x:v>
      </x:c>
      <x:c r="AL1170" s="32" t="n">
        <x:f>H1170*v01_RoleScale*Arch_Roles*AE1170*INDEX(v01_MonasteryPerSett,G1170)*v01_OutMonastery*INDEX(LM_Monastery,G1170)</x:f>
        <x:v>10.56</x:v>
      </x:c>
      <x:c r="AM1170" s="32" t="n">
        <x:f>(AJ1170+AK1170+AL1170)/4*INDEX(LM_All,G1170)*INDEX(v01_Boon,G1170)*Arch_Insight</x:f>
        <x:v>1199.0246097448787</x:v>
      </x:c>
      <x:c r="AN1170" s="32" t="n">
        <x:f>H1170*(v01_KHPerAdult*Z1170+v01_KHOfCommons*AJ1170/4*INDEX(LM_All,G1170))*v01_KHUsable*Arch_KH</x:f>
        <x:v>135.48925925200027</x:v>
      </x:c>
      <x:c r="AO1170" s="32" t="n">
        <x:f>MIN(AP1169+AN1170,AM1170*v01_KHMaxRatio)</x:f>
        <x:v>135.48925925200027</x:v>
      </x:c>
      <x:c r="AP1170" s="32" t="n">
        <x:f>AP1169+AN1170-AO1170</x:f>
        <x:v>0</x:v>
      </x:c>
      <x:c r="AQ1170" s="32" t="n">
        <x:f>AM1170+AO1170</x:f>
        <x:v>1334.513868996879</x:v>
      </x:c>
      <x:c r="AR1170" s="10" t="n">
        <x:f>IF(H1170=1,INDEX(v01_Req,G1170),0)</x:f>
        <x:v>113395.942036</x:v>
      </x:c>
      <x:c r="AS1170" s="32" t="n">
        <x:f>IF(H1170=1,IF(E1170=1,AS1169-AR1169,AS1169)+AQ1170,0)</x:f>
        <x:v>56702.924297975675</x:v>
      </x:c>
      <x:c r="AT1170" s="11" t="n">
        <x:f>IF(AR1170&gt;0,MIN(1,AS1170/AR1170),1)</x:f>
        <x:v>0.500043681280712</x:v>
      </x:c>
      <x:c r="AU1170" s="10" t="n">
        <x:f>AB1170/INDEX(v01_RepScale,G1170)</x:f>
        <x:v>183.6135498265296</x:v>
      </x:c>
      <x:c r="AV1170" s="32" t="n">
        <x:f>AM1170*60/v01_SeasonSeconds</x:f>
        <x:v>4796.098438979515</x:v>
      </x:c>
    </x:row>
    <x:row r="1171">
      <x:c r="A1171" s="8" t="n">
        <x:f>A1170+1</x:f>
        <x:v>1168</x:v>
      </x:c>
      <x:c r="B1171" s="9" t="n">
        <x:f>A1171*v01_SeasonSeconds/60</x:f>
        <x:v>292</x:v>
      </x:c>
      <x:c r="C1171" s="9" t="n">
        <x:f>A1171/4</x:f>
        <x:v>292</x:v>
      </x:c>
      <x:c r="D1171" s="8" t="n">
        <x:f>IF(MOD(A1171,4)=0,1,0)</x:f>
        <x:v>1</x:v>
      </x:c>
      <x:c r="E1171" s="8" t="n">
        <x:f>IF(AND(F1170&lt;=9,AS1170&gt;=AR1170),1,0)</x:f>
        <x:v>0</x:v>
      </x:c>
      <x:c r="F1171" s="8" t="n">
        <x:f>MIN(10,F1170+E1171)</x:f>
        <x:v>6</x:v>
      </x:c>
      <x:c r="G1171" s="8" t="n">
        <x:f>MIN(F1171,9)+1</x:f>
        <x:v>7</x:v>
      </x:c>
      <x:c r="H1171" s="8" t="n">
        <x:f>IF(F1171&lt;=9,1,0)</x:f>
        <x:v>1</x:v>
      </x:c>
      <x:c r="I1171" s="9" t="n">
        <x:f>MIN(10,F1170+IF(AR1170&gt;0,MIN(1,AS1170/AR1170),1))</x:f>
        <x:v>6.500043681280712</x:v>
      </x:c>
      <x:c r="J1171" s="32" t="n">
        <x:f>INDEX(v01_FoodCap,G1171)*Arch_FoodCap*EXP(v01_CapsByProject*SUMPRODUCT((Cap_Point&lt;=I1171)*(Cap_Kind="Food")*Cap_Ln))</x:f>
        <x:v>1000</x:v>
      </x:c>
      <x:c r="K1171" s="32" t="n">
        <x:f>J1171*MIN(1,v01_LeanBase*EXP(v01_CapsByProject*SUMPRODUCT((Cap_Point&lt;=I1171)*(Cap_Kind="Lean")*Cap_Ln)))</x:f>
        <x:v>1000</x:v>
      </x:c>
      <x:c r="L1171" s="10" t="n">
        <x:f>INDEX(v01_HousingCap,G1171)*EXP(v01_CapsByProject*SUMPRODUCT((Cap_Point&lt;=I1171)*(Cap_Kind="Housing")*Cap_Ln))</x:f>
        <x:v>1600</x:v>
      </x:c>
      <x:c r="M1171" s="10" t="n">
        <x:f>INDEX(v01_GroupCap,G1171)*v01_CohesionFactor*EXP(v01_CapsByProject*SUMPRODUCT((Cap_Point&lt;=I1171)*(Cap_Kind="Group")*Cap_Ln))</x:f>
        <x:v>1000000</x:v>
      </x:c>
      <x:c r="N1171" s="32" t="n">
        <x:f>MIN(J1171,L1171,M1171)</x:f>
        <x:v>1000</x:v>
      </x:c>
      <x:c r="O1171" s="10" t="n">
        <x:f>AE1170*N1171</x:f>
        <x:v>16000</x:v>
      </x:c>
      <x:c r="P1171" s="9" t="n">
        <x:f>MIN(1,(AB1170/(AE1170*IF(v01_GroupInCrowding=1,N1171,MIN(J1171,L1171))))^v01_CrowdingExp)</x:f>
        <x:v>0.03568851619359323</x:v>
      </x:c>
      <x:c r="Q1171" s="9" t="n">
        <x:f>IF(D1171=1,INDEX(v01_WinterMult,G1171),1)</x:f>
        <x:v>1</x:v>
      </x:c>
      <x:c r="R1171" s="9" t="n">
        <x:f>H1171*Z1170*v01_WomenShare*v01_BaseFertility*INDEX(v01_FertMult,G1171)*Arch_Fertility*(1-P1171)</x:f>
        <x:v>117.58846376621457</x:v>
      </x:c>
      <x:c r="S1171" s="9" t="n">
        <x:f>H1171*Y1170*INDEX(v01_MortChild,G1171)/4*Q1171</x:f>
        <x:v>21.16681343058265</x:v>
      </x:c>
      <x:c r="T1171" s="9" t="n">
        <x:f>H1171*Z1170*INDEX(v01_MortAdult,G1171)*Arch_AdultMort/4*Q1171</x:f>
        <x:v>8.710023809057159</x:v>
      </x:c>
      <x:c r="U1171" s="9" t="n">
        <x:f>H1171*AA1170*INDEX(v01_MortElder,G1171)/4*Q1171</x:f>
        <x:v>20.089358651710935</x:v>
      </x:c>
      <x:c r="V1171" s="9" t="n">
        <x:f>H1171*MAX(0,AB1170-O1171)*v01_OvercapLoss</x:f>
        <x:v>0</x:v>
      </x:c>
      <x:c r="W1171" s="9" t="n">
        <x:f>H1171*Y1170/(v01_ChildYears*4)</x:f>
        <x:v>68.72342022916445</x:v>
      </x:c>
      <x:c r="X1171" s="9" t="n">
        <x:f>H1171*Z1170/(v01_AdultYears*4)</x:f>
        <x:v>31.218723329953978</x:v>
      </x:c>
      <x:c r="Y1171" s="32" t="n">
        <x:f>Y1170+R1171-S1171-W1171-Y1170*V1171/AB1170</x:f>
        <x:v>3876.2097629396767</x:v>
      </x:c>
      <x:c r="Z1171" s="32" t="n">
        <x:f>Z1170+W1171-X1171-T1171-Z1170*V1171/AB1170</x:f>
        <x:v>3899.9163660044464</x:v>
      </x:c>
      <x:c r="AA1171" s="32" t="n">
        <x:f>AA1170+X1171-U1171-AA1170*V1171/AB1170</x:f>
        <x:v>1472.17363025722</x:v>
      </x:c>
      <x:c r="AB1171" s="10" t="n">
        <x:f>Y1171+Z1171+AA1171</x:f>
        <x:v>9248.299759201343</x:v>
      </x:c>
      <x:c r="AC1171" s="8" t="n">
        <x:f>IF(AND(v01_WinterTrigger=1,D1171=1,AB1170/AE1170&gt;=K1171),1,0)</x:f>
        <x:v>0</x:v>
      </x:c>
      <x:c r="AD1171" s="8" t="n">
        <x:f>H1171*IF(AND(OR(AB1170/AE1170&gt;=v01_FissionTrigger*N1171,AC1171=1),AB1170/AE1170*v01_DaughterShare&gt;=v01_MinDaughter),MAX(1,ROUND(AE1170*v01_FissionRate,0)),0)</x:f>
        <x:v>0</x:v>
      </x:c>
      <x:c r="AE1171" s="8" t="n">
        <x:f>IF(H1171=1,MAX(1,MIN(INDEX(v01_Smax,G1171),AE1170+AD1171)),AE1170)</x:f>
        <x:v>16</x:v>
      </x:c>
      <x:c r="AF1171" s="8" t="n">
        <x:f>MAX(0,AE1171-AE1170)</x:f>
        <x:v>0</x:v>
      </x:c>
      <x:c r="AG1171" s="9" t="str">
        <x:f>IF(AF1171&gt;0,B1171,"")</x:f>
      </x:c>
      <x:c r="AH1171" s="9" t="n">
        <x:f>IF(F1171&gt;=1,1,(1+v01_LowTiesShare*(AE1171-1))/AE1171)</x:f>
        <x:v>1</x:v>
      </x:c>
      <x:c r="AI1171" s="32" t="n">
        <x:f>(Z1171+v01_ElderCommons*INDEX(LM_Elder,G1171)*AA1171)*AH1171</x:f>
        <x:v>9420.567479469022</x:v>
      </x:c>
      <x:c r="AJ1171" s="32" t="n">
        <x:f>H1171*v01_CommonsCoef*AI1171^v01_CommonsExp*INDEX(LM_Commons,G1171)</x:f>
        <x:v>2084.4294622057855</x:v>
      </x:c>
      <x:c r="AK1171" s="32" t="n">
        <x:f>H1171*v01_RoleScale*Arch_Roles*(AE1171*(INDEX(v01_ElderRolePerSett,G1171)*v01_OutElder*INDEX(LM_Elder,G1171)+INDEX(v01_ShamanPerSett,G1171)*v01_OutShaman)+Z1171*(INDEX(v01_PriestShare,G1171)*v01_OutPriest+INDEX(v01_ScribeShare,G1171)*v01_OutScribe*INDEX(LM_Scribe,G1171)+INDEX(v01_ScholarShare,G1171)*v01_OutScholar*INDEX(LM_Scholar,G1171)+INDEX(v01_ResearcherShare,G1171)*v01_OutResearcher*INDEX(LM_Researcher,G1171)))</x:f>
        <x:v>545.7794537531606</x:v>
      </x:c>
      <x:c r="AL1171" s="32" t="n">
        <x:f>H1171*v01_RoleScale*Arch_Roles*AE1171*INDEX(v01_MonasteryPerSett,G1171)*v01_OutMonastery*INDEX(LM_Monastery,G1171)</x:f>
        <x:v>10.56</x:v>
      </x:c>
      <x:c r="AM1171" s="32" t="n">
        <x:f>(AJ1171+AK1171+AL1171)/4*INDEX(LM_All,G1171)*INDEX(v01_Boon,G1171)*Arch_Insight</x:f>
        <x:v>1206.7488930275474</x:v>
      </x:c>
      <x:c r="AN1171" s="32" t="n">
        <x:f>H1171*(v01_KHPerAdult*Z1171+v01_KHOfCommons*AJ1171/4*INDEX(LM_All,G1171))*v01_KHUsable*Arch_KH</x:f>
        <x:v>136.49707281015563</x:v>
      </x:c>
      <x:c r="AO1171" s="32" t="n">
        <x:f>MIN(AP1170+AN1171,AM1171*v01_KHMaxRatio)</x:f>
        <x:v>136.49707281015563</x:v>
      </x:c>
      <x:c r="AP1171" s="32" t="n">
        <x:f>AP1170+AN1171-AO1171</x:f>
        <x:v>0</x:v>
      </x:c>
      <x:c r="AQ1171" s="32" t="n">
        <x:f>AM1171+AO1171</x:f>
        <x:v>1343.2459658377031</x:v>
      </x:c>
      <x:c r="AR1171" s="10" t="n">
        <x:f>IF(H1171=1,INDEX(v01_Req,G1171),0)</x:f>
        <x:v>113395.942036</x:v>
      </x:c>
      <x:c r="AS1171" s="32" t="n">
        <x:f>IF(H1171=1,IF(E1171=1,AS1170-AR1170,AS1170)+AQ1171,0)</x:f>
        <x:v>58046.17026381338</x:v>
      </x:c>
      <x:c r="AT1171" s="11" t="n">
        <x:f>IF(AR1171&gt;0,MIN(1,AS1171/AR1171),1)</x:f>
        <x:v>0.5118893076913226</x:v>
      </x:c>
      <x:c r="AU1171" s="10" t="n">
        <x:f>AB1171/INDEX(v01_RepScale,G1171)</x:f>
        <x:v>184.96599518402687</x:v>
      </x:c>
      <x:c r="AV1171" s="32" t="n">
        <x:f>AM1171*60/v01_SeasonSeconds</x:f>
        <x:v>4826.99557211019</x:v>
      </x:c>
    </x:row>
    <x:row r="1172">
      <x:c r="A1172" s="8" t="n">
        <x:f>A1171+1</x:f>
        <x:v>1169</x:v>
      </x:c>
      <x:c r="B1172" s="9" t="n">
        <x:f>A1172*v01_SeasonSeconds/60</x:f>
        <x:v>292.25</x:v>
      </x:c>
      <x:c r="C1172" s="9" t="n">
        <x:f>A1172/4</x:f>
        <x:v>292.25</x:v>
      </x:c>
      <x:c r="D1172" s="8" t="n">
        <x:f>IF(MOD(A1172,4)=0,1,0)</x:f>
        <x:v>0</x:v>
      </x:c>
      <x:c r="E1172" s="8" t="n">
        <x:f>IF(AND(F1171&lt;=9,AS1171&gt;=AR1171),1,0)</x:f>
        <x:v>0</x:v>
      </x:c>
      <x:c r="F1172" s="8" t="n">
        <x:f>MIN(10,F1171+E1172)</x:f>
        <x:v>6</x:v>
      </x:c>
      <x:c r="G1172" s="8" t="n">
        <x:f>MIN(F1172,9)+1</x:f>
        <x:v>7</x:v>
      </x:c>
      <x:c r="H1172" s="8" t="n">
        <x:f>IF(F1172&lt;=9,1,0)</x:f>
        <x:v>1</x:v>
      </x:c>
      <x:c r="I1172" s="9" t="n">
        <x:f>MIN(10,F1171+IF(AR1171&gt;0,MIN(1,AS1171/AR1171),1))</x:f>
        <x:v>6.511889307691322</x:v>
      </x:c>
      <x:c r="J1172" s="32" t="n">
        <x:f>INDEX(v01_FoodCap,G1172)*Arch_FoodCap*EXP(v01_CapsByProject*SUMPRODUCT((Cap_Point&lt;=I1172)*(Cap_Kind="Food")*Cap_Ln))</x:f>
        <x:v>1000</x:v>
      </x:c>
      <x:c r="K1172" s="32" t="n">
        <x:f>J1172*MIN(1,v01_LeanBase*EXP(v01_CapsByProject*SUMPRODUCT((Cap_Point&lt;=I1172)*(Cap_Kind="Lean")*Cap_Ln)))</x:f>
        <x:v>1000</x:v>
      </x:c>
      <x:c r="L1172" s="10" t="n">
        <x:f>INDEX(v01_HousingCap,G1172)*EXP(v01_CapsByProject*SUMPRODUCT((Cap_Point&lt;=I1172)*(Cap_Kind="Housing")*Cap_Ln))</x:f>
        <x:v>1600</x:v>
      </x:c>
      <x:c r="M1172" s="10" t="n">
        <x:f>INDEX(v01_GroupCap,G1172)*v01_CohesionFactor*EXP(v01_CapsByProject*SUMPRODUCT((Cap_Point&lt;=I1172)*(Cap_Kind="Group")*Cap_Ln))</x:f>
        <x:v>1000000</x:v>
      </x:c>
      <x:c r="N1172" s="32" t="n">
        <x:f>MIN(J1172,L1172,M1172)</x:f>
        <x:v>1000</x:v>
      </x:c>
      <x:c r="O1172" s="10" t="n">
        <x:f>AE1171*N1172</x:f>
        <x:v>16000</x:v>
      </x:c>
      <x:c r="P1172" s="9" t="n">
        <x:f>MIN(1,(AB1171/(AE1171*IF(v01_GroupInCrowding=1,N1172,MIN(J1172,L1172))))^v01_CrowdingExp)</x:f>
        <x:v>0.03729507552302328</x:v>
      </x:c>
      <x:c r="Q1172" s="9" t="n">
        <x:f>IF(D1172=1,INDEX(v01_WinterMult,G1172),1)</x:f>
        <x:v>1</x:v>
      </x:c>
      <x:c r="R1172" s="9" t="n">
        <x:f>H1172*Z1171*v01_WomenShare*v01_BaseFertility*INDEX(v01_FertMult,G1172)*Arch_Fertility*(1-P1172)</x:f>
        <x:v>118.26576375392634</x:v>
      </x:c>
      <x:c r="S1172" s="9" t="n">
        <x:f>H1172*Y1171*INDEX(v01_MortChild,G1172)/4*Q1172</x:f>
        <x:v>21.31915369616822</x:v>
      </x:c>
      <x:c r="T1172" s="9" t="n">
        <x:f>H1172*Z1171*INDEX(v01_MortAdult,G1172)*Arch_AdultMort/4*Q1172</x:f>
        <x:v>8.774811823510003</x:v>
      </x:c>
      <x:c r="U1172" s="9" t="n">
        <x:f>H1172*AA1171*INDEX(v01_MortElder,G1172)/4*Q1172</x:f>
        <x:v>20.242387416036777</x:v>
      </x:c>
      <x:c r="V1172" s="9" t="n">
        <x:f>H1172*MAX(0,AB1171-O1172)*v01_OvercapLoss</x:f>
        <x:v>0</x:v>
      </x:c>
      <x:c r="W1172" s="9" t="n">
        <x:f>H1172*Y1171/(v01_ChildYears*4)</x:f>
        <x:v>69.21803148106565</x:v>
      </x:c>
      <x:c r="X1172" s="9" t="n">
        <x:f>H1172*Z1171/(v01_AdultYears*4)</x:f>
        <x:v>31.450938435519728</x:v>
      </x:c>
      <x:c r="Y1172" s="32" t="n">
        <x:f>Y1171+R1172-S1172-W1172-Y1171*V1172/AB1171</x:f>
        <x:v>3903.9383415163693</x:v>
      </x:c>
      <x:c r="Z1172" s="32" t="n">
        <x:f>Z1171+W1172-X1172-T1172-Z1171*V1172/AB1171</x:f>
        <x:v>3928.9086472264826</x:v>
      </x:c>
      <x:c r="AA1172" s="32" t="n">
        <x:f>AA1171+X1172-U1172-AA1171*V1172/AB1171</x:f>
        <x:v>1483.382181276703</x:v>
      </x:c>
      <x:c r="AB1172" s="10" t="n">
        <x:f>Y1172+Z1172+AA1172</x:f>
        <x:v>9316.229170019555</x:v>
      </x:c>
      <x:c r="AC1172" s="8" t="n">
        <x:f>IF(AND(v01_WinterTrigger=1,D1172=1,AB1171/AE1171&gt;=K1172),1,0)</x:f>
        <x:v>0</x:v>
      </x:c>
      <x:c r="AD1172" s="8" t="n">
        <x:f>H1172*IF(AND(OR(AB1171/AE1171&gt;=v01_FissionTrigger*N1172,AC1172=1),AB1171/AE1171*v01_DaughterShare&gt;=v01_MinDaughter),MAX(1,ROUND(AE1171*v01_FissionRate,0)),0)</x:f>
        <x:v>0</x:v>
      </x:c>
      <x:c r="AE1172" s="8" t="n">
        <x:f>IF(H1172=1,MAX(1,MIN(INDEX(v01_Smax,G1172),AE1171+AD1172)),AE1171)</x:f>
        <x:v>16</x:v>
      </x:c>
      <x:c r="AF1172" s="8" t="n">
        <x:f>MAX(0,AE1172-AE1171)</x:f>
        <x:v>0</x:v>
      </x:c>
      <x:c r="AG1172" s="9" t="str">
        <x:f>IF(AF1172&gt;0,B1172,"")</x:f>
      </x:c>
      <x:c r="AH1172" s="9" t="n">
        <x:f>IF(F1172&gt;=1,1,(1+v01_LowTiesShare*(AE1172-1))/AE1172)</x:f>
        <x:v>1</x:v>
      </x:c>
      <x:c r="AI1172" s="32" t="n">
        <x:f>(Z1172+v01_ElderCommons*INDEX(LM_Elder,G1172)*AA1172)*AH1172</x:f>
        <x:v>9491.59182701412</x:v>
      </x:c>
      <x:c r="AJ1172" s="32" t="n">
        <x:f>H1172*v01_CommonsCoef*AI1172^v01_CommonsExp*INDEX(LM_Commons,G1172)</x:f>
        <x:v>2097.7797732519784</x:v>
      </x:c>
      <x:c r="AK1172" s="32" t="n">
        <x:f>H1172*v01_RoleScale*Arch_Roles*(AE1172*(INDEX(v01_ElderRolePerSett,G1172)*v01_OutElder*INDEX(LM_Elder,G1172)+INDEX(v01_ShamanPerSett,G1172)*v01_OutShaman)+Z1172*(INDEX(v01_PriestShare,G1172)*v01_OutPriest+INDEX(v01_ScribeShare,G1172)*v01_OutScribe*INDEX(LM_Scribe,G1172)+INDEX(v01_ScholarShare,G1172)*v01_OutScholar*INDEX(LM_Scholar,G1172)+INDEX(v01_ResearcherShare,G1172)*v01_OutResearcher*INDEX(LM_Researcher,G1172)))</x:f>
        <x:v>549.4353804152595</x:v>
      </x:c>
      <x:c r="AL1172" s="32" t="n">
        <x:f>H1172*v01_RoleScale*Arch_Roles*AE1172*INDEX(v01_MonasteryPerSett,G1172)*v01_OutMonastery*INDEX(LM_Monastery,G1172)</x:f>
        <x:v>10.56</x:v>
      </x:c>
      <x:c r="AM1172" s="32" t="n">
        <x:f>(AJ1172+AK1172+AL1172)/4*INDEX(LM_All,G1172)*INDEX(v01_Boon,G1172)*Arch_Insight</x:f>
        <x:v>1214.520212359967</x:v>
      </x:c>
      <x:c r="AN1172" s="32" t="n">
        <x:f>H1172*(v01_KHPerAdult*Z1172+v01_KHOfCommons*AJ1172/4*INDEX(LM_All,G1172))*v01_KHUsable*Arch_KH</x:f>
        <x:v>137.5118026529269</x:v>
      </x:c>
      <x:c r="AO1172" s="32" t="n">
        <x:f>MIN(AP1171+AN1172,AM1172*v01_KHMaxRatio)</x:f>
        <x:v>137.5118026529269</x:v>
      </x:c>
      <x:c r="AP1172" s="32" t="n">
        <x:f>AP1171+AN1172-AO1172</x:f>
        <x:v>0</x:v>
      </x:c>
      <x:c r="AQ1172" s="32" t="n">
        <x:f>AM1172+AO1172</x:f>
        <x:v>1352.032015012894</x:v>
      </x:c>
      <x:c r="AR1172" s="10" t="n">
        <x:f>IF(H1172=1,INDEX(v01_Req,G1172),0)</x:f>
        <x:v>113395.942036</x:v>
      </x:c>
      <x:c r="AS1172" s="32" t="n">
        <x:f>IF(H1172=1,IF(E1172=1,AS1171-AR1171,AS1171)+AQ1172,0)</x:f>
        <x:v>59398.20227882628</x:v>
      </x:c>
      <x:c r="AT1172" s="11" t="n">
        <x:f>IF(AR1172&gt;0,MIN(1,AS1172/AR1172),1)</x:f>
        <x:v>0.5238124152623471</x:v>
      </x:c>
      <x:c r="AU1172" s="10" t="n">
        <x:f>AB1172/INDEX(v01_RepScale,G1172)</x:f>
        <x:v>186.3245834003911</x:v>
      </x:c>
      <x:c r="AV1172" s="32" t="n">
        <x:f>AM1172*60/v01_SeasonSeconds</x:f>
        <x:v>4858.080849439868</x:v>
      </x:c>
    </x:row>
    <x:row r="1173">
      <x:c r="A1173" s="8" t="n">
        <x:f>A1172+1</x:f>
        <x:v>1170</x:v>
      </x:c>
      <x:c r="B1173" s="9" t="n">
        <x:f>A1173*v01_SeasonSeconds/60</x:f>
        <x:v>292.5</x:v>
      </x:c>
      <x:c r="C1173" s="9" t="n">
        <x:f>A1173/4</x:f>
        <x:v>292.5</x:v>
      </x:c>
      <x:c r="D1173" s="8" t="n">
        <x:f>IF(MOD(A1173,4)=0,1,0)</x:f>
        <x:v>0</x:v>
      </x:c>
      <x:c r="E1173" s="8" t="n">
        <x:f>IF(AND(F1172&lt;=9,AS1172&gt;=AR1172),1,0)</x:f>
        <x:v>0</x:v>
      </x:c>
      <x:c r="F1173" s="8" t="n">
        <x:f>MIN(10,F1172+E1173)</x:f>
        <x:v>6</x:v>
      </x:c>
      <x:c r="G1173" s="8" t="n">
        <x:f>MIN(F1173,9)+1</x:f>
        <x:v>7</x:v>
      </x:c>
      <x:c r="H1173" s="8" t="n">
        <x:f>IF(F1173&lt;=9,1,0)</x:f>
        <x:v>1</x:v>
      </x:c>
      <x:c r="I1173" s="9" t="n">
        <x:f>MIN(10,F1172+IF(AR1172&gt;0,MIN(1,AS1172/AR1172),1))</x:f>
        <x:v>6.523812415262347</x:v>
      </x:c>
      <x:c r="J1173" s="32" t="n">
        <x:f>INDEX(v01_FoodCap,G1173)*Arch_FoodCap*EXP(v01_CapsByProject*SUMPRODUCT((Cap_Point&lt;=I1173)*(Cap_Kind="Food")*Cap_Ln))</x:f>
        <x:v>1000</x:v>
      </x:c>
      <x:c r="K1173" s="32" t="n">
        <x:f>J1173*MIN(1,v01_LeanBase*EXP(v01_CapsByProject*SUMPRODUCT((Cap_Point&lt;=I1173)*(Cap_Kind="Lean")*Cap_Ln)))</x:f>
        <x:v>1000</x:v>
      </x:c>
      <x:c r="L1173" s="10" t="n">
        <x:f>INDEX(v01_HousingCap,G1173)*EXP(v01_CapsByProject*SUMPRODUCT((Cap_Point&lt;=I1173)*(Cap_Kind="Housing")*Cap_Ln))</x:f>
        <x:v>1600</x:v>
      </x:c>
      <x:c r="M1173" s="10" t="n">
        <x:f>INDEX(v01_GroupCap,G1173)*v01_CohesionFactor*EXP(v01_CapsByProject*SUMPRODUCT((Cap_Point&lt;=I1173)*(Cap_Kind="Group")*Cap_Ln))</x:f>
        <x:v>1000000</x:v>
      </x:c>
      <x:c r="N1173" s="32" t="n">
        <x:f>MIN(J1173,L1173,M1173)</x:f>
        <x:v>1000</x:v>
      </x:c>
      <x:c r="O1173" s="10" t="n">
        <x:f>AE1172*N1173</x:f>
        <x:v>16000</x:v>
      </x:c>
      <x:c r="P1173" s="9" t="n">
        <x:f>MIN(1,(AB1172/(AE1172*IF(v01_GroupInCrowding=1,N1173,MIN(J1173,L1173))))^v01_CrowdingExp)</x:f>
        <x:v>0.038969163486908424</x:v>
      </x:c>
      <x:c r="Q1173" s="9" t="n">
        <x:f>IF(D1173=1,INDEX(v01_WinterMult,G1173),1)</x:f>
        <x:v>1</x:v>
      </x:c>
      <x:c r="R1173" s="9" t="n">
        <x:f>H1173*Z1172*v01_WomenShare*v01_BaseFertility*INDEX(v01_FertMult,G1173)*Arch_Fertility*(1-P1173)</x:f>
        <x:v>118.93777446056895</x:v>
      </x:c>
      <x:c r="S1173" s="9" t="n">
        <x:f>H1173*Y1172*INDEX(v01_MortChild,G1173)/4*Q1173</x:f>
        <x:v>21.47166087834003</x:v>
      </x:c>
      <x:c r="T1173" s="9" t="n">
        <x:f>H1173*Z1172*INDEX(v01_MortAdult,G1173)*Arch_AdultMort/4*Q1173</x:f>
        <x:v>8.840044456259585</x:v>
      </x:c>
      <x:c r="U1173" s="9" t="n">
        <x:f>H1173*AA1172*INDEX(v01_MortElder,G1173)/4*Q1173</x:f>
        <x:v>20.396504992554668</x:v>
      </x:c>
      <x:c r="V1173" s="9" t="n">
        <x:f>H1173*MAX(0,AB1172-O1173)*v01_OvercapLoss</x:f>
        <x:v>0</x:v>
      </x:c>
      <x:c r="W1173" s="9" t="n">
        <x:f>H1173*Y1172/(v01_ChildYears*4)</x:f>
        <x:v>69.71318466993516</x:v>
      </x:c>
      <x:c r="X1173" s="9" t="n">
        <x:f>H1173*Z1172/(v01_AdultYears*4)</x:f>
        <x:v>31.68474715505228</x:v>
      </x:c>
      <x:c r="Y1173" s="32" t="n">
        <x:f>Y1172+R1173-S1173-W1173-Y1172*V1173/AB1172</x:f>
        <x:v>3931.691270428663</x:v>
      </x:c>
      <x:c r="Z1173" s="32" t="n">
        <x:f>Z1172+W1173-X1173-T1173-Z1172*V1173/AB1172</x:f>
        <x:v>3958.0970402851062</x:v>
      </x:c>
      <x:c r="AA1173" s="32" t="n">
        <x:f>AA1172+X1173-U1173-AA1172*V1173/AB1172</x:f>
        <x:v>1494.6704234392007</x:v>
      </x:c>
      <x:c r="AB1173" s="10" t="n">
        <x:f>Y1173+Z1173+AA1173</x:f>
        <x:v>9384.45873415297</x:v>
      </x:c>
      <x:c r="AC1173" s="8" t="n">
        <x:f>IF(AND(v01_WinterTrigger=1,D1173=1,AB1172/AE1172&gt;=K1173),1,0)</x:f>
        <x:v>0</x:v>
      </x:c>
      <x:c r="AD1173" s="8" t="n">
        <x:f>H1173*IF(AND(OR(AB1172/AE1172&gt;=v01_FissionTrigger*N1173,AC1173=1),AB1172/AE1172*v01_DaughterShare&gt;=v01_MinDaughter),MAX(1,ROUND(AE1172*v01_FissionRate,0)),0)</x:f>
        <x:v>0</x:v>
      </x:c>
      <x:c r="AE1173" s="8" t="n">
        <x:f>IF(H1173=1,MAX(1,MIN(INDEX(v01_Smax,G1173),AE1172+AD1173)),AE1172)</x:f>
        <x:v>16</x:v>
      </x:c>
      <x:c r="AF1173" s="8" t="n">
        <x:f>MAX(0,AE1173-AE1172)</x:f>
        <x:v>0</x:v>
      </x:c>
      <x:c r="AG1173" s="9" t="str">
        <x:f>IF(AF1173&gt;0,B1173,"")</x:f>
      </x:c>
      <x:c r="AH1173" s="9" t="n">
        <x:f>IF(F1173&gt;=1,1,(1+v01_LowTiesShare*(AE1173-1))/AE1173)</x:f>
        <x:v>1</x:v>
      </x:c>
      <x:c r="AI1173" s="32" t="n">
        <x:f>(Z1173+v01_ElderCommons*INDEX(LM_Elder,G1173)*AA1173)*AH1173</x:f>
        <x:v>9563.111128182109</x:v>
      </x:c>
      <x:c r="AJ1173" s="32" t="n">
        <x:f>H1173*v01_CommonsCoef*AI1173^v01_CommonsExp*INDEX(LM_Commons,G1173)</x:f>
        <x:v>2111.207986631223</x:v>
      </x:c>
      <x:c r="AK1173" s="32" t="n">
        <x:f>H1173*v01_RoleScale*Arch_Roles*(AE1173*(INDEX(v01_ElderRolePerSett,G1173)*v01_OutElder*INDEX(LM_Elder,G1173)+INDEX(v01_ShamanPerSett,G1173)*v01_OutShaman)+Z1173*(INDEX(v01_PriestShare,G1173)*v01_OutPriest+INDEX(v01_ScribeShare,G1173)*v01_OutScribe*INDEX(LM_Scribe,G1173)+INDEX(v01_ScholarShare,G1173)*v01_OutScholar*INDEX(LM_Scholar,G1173)+INDEX(v01_ResearcherShare,G1173)*v01_OutResearcher*INDEX(LM_Researcher,G1173)))</x:f>
        <x:v>553.1160367799519</x:v>
      </x:c>
      <x:c r="AL1173" s="32" t="n">
        <x:f>H1173*v01_RoleScale*Arch_Roles*AE1173*INDEX(v01_MonasteryPerSett,G1173)*v01_OutMonastery*INDEX(LM_Monastery,G1173)</x:f>
        <x:v>10.56</x:v>
      </x:c>
      <x:c r="AM1173" s="32" t="n">
        <x:f>(AJ1173+AK1173+AL1173)/4*INDEX(LM_All,G1173)*INDEX(v01_Boon,G1173)*Arch_Insight</x:f>
        <x:v>1222.3384313262982</x:v>
      </x:c>
      <x:c r="AN1173" s="32" t="n">
        <x:f>H1173*(v01_KHPerAdult*Z1173+v01_KHOfCommons*AJ1173/4*INDEX(LM_All,G1173))*v01_KHUsable*Arch_KH</x:f>
        <x:v>138.5333964099787</x:v>
      </x:c>
      <x:c r="AO1173" s="32" t="n">
        <x:f>MIN(AP1172+AN1173,AM1173*v01_KHMaxRatio)</x:f>
        <x:v>138.5333964099787</x:v>
      </x:c>
      <x:c r="AP1173" s="32" t="n">
        <x:f>AP1172+AN1173-AO1173</x:f>
        <x:v>0</x:v>
      </x:c>
      <x:c r="AQ1173" s="32" t="n">
        <x:f>AM1173+AO1173</x:f>
        <x:v>1360.8718277362768</x:v>
      </x:c>
      <x:c r="AR1173" s="10" t="n">
        <x:f>IF(H1173=1,INDEX(v01_Req,G1173),0)</x:f>
        <x:v>113395.942036</x:v>
      </x:c>
      <x:c r="AS1173" s="32" t="n">
        <x:f>IF(H1173=1,IF(E1173=1,AS1172-AR1172,AS1172)+AQ1173,0)</x:f>
        <x:v>60759.074106562555</x:v>
      </x:c>
      <x:c r="AT1173" s="11" t="n">
        <x:f>IF(AR1173&gt;0,MIN(1,AS1173/AR1173),1)</x:f>
        <x:v>0.5358134781161152</x:v>
      </x:c>
      <x:c r="AU1173" s="10" t="n">
        <x:f>AB1173/INDEX(v01_RepScale,G1173)</x:f>
        <x:v>187.68917468305938</x:v>
      </x:c>
      <x:c r="AV1173" s="32" t="n">
        <x:f>AM1173*60/v01_SeasonSeconds</x:f>
        <x:v>4889.353725305193</x:v>
      </x:c>
    </x:row>
    <x:row r="1174">
      <x:c r="A1174" s="8" t="n">
        <x:f>A1173+1</x:f>
        <x:v>1171</x:v>
      </x:c>
      <x:c r="B1174" s="9" t="n">
        <x:f>A1174*v01_SeasonSeconds/60</x:f>
        <x:v>292.75</x:v>
      </x:c>
      <x:c r="C1174" s="9" t="n">
        <x:f>A1174/4</x:f>
        <x:v>292.75</x:v>
      </x:c>
      <x:c r="D1174" s="8" t="n">
        <x:f>IF(MOD(A1174,4)=0,1,0)</x:f>
        <x:v>0</x:v>
      </x:c>
      <x:c r="E1174" s="8" t="n">
        <x:f>IF(AND(F1173&lt;=9,AS1173&gt;=AR1173),1,0)</x:f>
        <x:v>0</x:v>
      </x:c>
      <x:c r="F1174" s="8" t="n">
        <x:f>MIN(10,F1173+E1174)</x:f>
        <x:v>6</x:v>
      </x:c>
      <x:c r="G1174" s="8" t="n">
        <x:f>MIN(F1174,9)+1</x:f>
        <x:v>7</x:v>
      </x:c>
      <x:c r="H1174" s="8" t="n">
        <x:f>IF(F1174&lt;=9,1,0)</x:f>
        <x:v>1</x:v>
      </x:c>
      <x:c r="I1174" s="9" t="n">
        <x:f>MIN(10,F1173+IF(AR1173&gt;0,MIN(1,AS1173/AR1173),1))</x:f>
        <x:v>6.535813478116115</x:v>
      </x:c>
      <x:c r="J1174" s="32" t="n">
        <x:f>INDEX(v01_FoodCap,G1174)*Arch_FoodCap*EXP(v01_CapsByProject*SUMPRODUCT((Cap_Point&lt;=I1174)*(Cap_Kind="Food")*Cap_Ln))</x:f>
        <x:v>1000</x:v>
      </x:c>
      <x:c r="K1174" s="32" t="n">
        <x:f>J1174*MIN(1,v01_LeanBase*EXP(v01_CapsByProject*SUMPRODUCT((Cap_Point&lt;=I1174)*(Cap_Kind="Lean")*Cap_Ln)))</x:f>
        <x:v>1000</x:v>
      </x:c>
      <x:c r="L1174" s="10" t="n">
        <x:f>INDEX(v01_HousingCap,G1174)*EXP(v01_CapsByProject*SUMPRODUCT((Cap_Point&lt;=I1174)*(Cap_Kind="Housing")*Cap_Ln))</x:f>
        <x:v>1600</x:v>
      </x:c>
      <x:c r="M1174" s="10" t="n">
        <x:f>INDEX(v01_GroupCap,G1174)*v01_CohesionFactor*EXP(v01_CapsByProject*SUMPRODUCT((Cap_Point&lt;=I1174)*(Cap_Kind="Group")*Cap_Ln))</x:f>
        <x:v>1000000</x:v>
      </x:c>
      <x:c r="N1174" s="32" t="n">
        <x:f>MIN(J1174,L1174,M1174)</x:f>
        <x:v>1000</x:v>
      </x:c>
      <x:c r="O1174" s="10" t="n">
        <x:f>AE1173*N1174</x:f>
        <x:v>16000</x:v>
      </x:c>
      <x:c r="P1174" s="9" t="n">
        <x:f>MIN(1,(AB1173/(AE1173*IF(v01_GroupInCrowding=1,N1174,MIN(J1174,L1174))))^v01_CrowdingExp)</x:f>
        <x:v>0.040713222415571425</x:v>
      </x:c>
      <x:c r="Q1174" s="9" t="n">
        <x:f>IF(D1174=1,INDEX(v01_WinterMult,G1174),1)</x:f>
        <x:v>1</x:v>
      </x:c>
      <x:c r="R1174" s="9" t="n">
        <x:f>H1174*Z1173*v01_WomenShare*v01_BaseFertility*INDEX(v01_FertMult,G1174)*Arch_Fertility*(1-P1174)</x:f>
        <x:v>119.60392988695926</x:v>
      </x:c>
      <x:c r="S1174" s="9" t="n">
        <x:f>H1174*Y1173*INDEX(v01_MortChild,G1174)/4*Q1174</x:f>
        <x:v>21.624301987357644</x:v>
      </x:c>
      <x:c r="T1174" s="9" t="n">
        <x:f>H1174*Z1173*INDEX(v01_MortAdult,G1174)*Arch_AdultMort/4*Q1174</x:f>
        <x:v>8.905718340641489</x:v>
      </x:c>
      <x:c r="U1174" s="9" t="n">
        <x:f>H1174*AA1173*INDEX(v01_MortElder,G1174)/4*Q1174</x:f>
        <x:v>20.55171832228901</x:v>
      </x:c>
      <x:c r="V1174" s="9" t="n">
        <x:f>H1174*MAX(0,AB1173-O1174)*v01_OvercapLoss</x:f>
        <x:v>0</x:v>
      </x:c>
      <x:c r="W1174" s="9" t="n">
        <x:f>H1174*Y1173/(v01_ChildYears*4)</x:f>
        <x:v>70.20877268622613</x:v>
      </x:c>
      <x:c r="X1174" s="9" t="n">
        <x:f>H1174*Z1173/(v01_AdultYears*4)</x:f>
        <x:v>31.920137421654083</x:v>
      </x:c>
      <x:c r="Y1174" s="32" t="n">
        <x:f>Y1173+R1174-S1174-W1174-Y1173*V1174/AB1173</x:f>
        <x:v>3959.4621256420382</x:v>
      </x:c>
      <x:c r="Z1174" s="32" t="n">
        <x:f>Z1173+W1174-X1174-T1174-Z1173*V1174/AB1173</x:f>
        <x:v>3987.4799572090365</x:v>
      </x:c>
      <x:c r="AA1174" s="32" t="n">
        <x:f>AA1173+X1174-U1174-AA1173*V1174/AB1173</x:f>
        <x:v>1506.0388425385659</x:v>
      </x:c>
      <x:c r="AB1174" s="10" t="n">
        <x:f>Y1174+Z1174+AA1174</x:f>
        <x:v>9452.98092538964</x:v>
      </x:c>
      <x:c r="AC1174" s="8" t="n">
        <x:f>IF(AND(v01_WinterTrigger=1,D1174=1,AB1173/AE1173&gt;=K1174),1,0)</x:f>
        <x:v>0</x:v>
      </x:c>
      <x:c r="AD1174" s="8" t="n">
        <x:f>H1174*IF(AND(OR(AB1173/AE1173&gt;=v01_FissionTrigger*N1174,AC1174=1),AB1173/AE1173*v01_DaughterShare&gt;=v01_MinDaughter),MAX(1,ROUND(AE1173*v01_FissionRate,0)),0)</x:f>
        <x:v>0</x:v>
      </x:c>
      <x:c r="AE1174" s="8" t="n">
        <x:f>IF(H1174=1,MAX(1,MIN(INDEX(v01_Smax,G1174),AE1173+AD1174)),AE1173)</x:f>
        <x:v>16</x:v>
      </x:c>
      <x:c r="AF1174" s="8" t="n">
        <x:f>MAX(0,AE1174-AE1173)</x:f>
        <x:v>0</x:v>
      </x:c>
      <x:c r="AG1174" s="9" t="str">
        <x:f>IF(AF1174&gt;0,B1174,"")</x:f>
      </x:c>
      <x:c r="AH1174" s="9" t="n">
        <x:f>IF(F1174&gt;=1,1,(1+v01_LowTiesShare*(AE1174-1))/AE1174)</x:f>
        <x:v>1</x:v>
      </x:c>
      <x:c r="AI1174" s="32" t="n">
        <x:f>(Z1174+v01_ElderCommons*INDEX(LM_Elder,G1174)*AA1174)*AH1174</x:f>
        <x:v>9635.12561672866</x:v>
      </x:c>
      <x:c r="AJ1174" s="32" t="n">
        <x:f>H1174*v01_CommonsCoef*AI1174^v01_CommonsExp*INDEX(LM_Commons,G1174)</x:f>
        <x:v>2124.7139627647243</x:v>
      </x:c>
      <x:c r="AK1174" s="32" t="n">
        <x:f>H1174*v01_RoleScale*Arch_Roles*(AE1174*(INDEX(v01_ElderRolePerSett,G1174)*v01_OutElder*INDEX(LM_Elder,G1174)+INDEX(v01_ShamanPerSett,G1174)*v01_OutShaman)+Z1174*(INDEX(v01_PriestShare,G1174)*v01_OutPriest+INDEX(v01_ScribeShare,G1174)*v01_OutScribe*INDEX(LM_Scribe,G1174)+INDEX(v01_ScholarShare,G1174)*v01_OutScholar*INDEX(LM_Scholar,G1174)+INDEX(v01_ResearcherShare,G1174)*v01_OutResearcher*INDEX(LM_Researcher,G1174)))</x:f>
        <x:v>556.8212226040595</x:v>
      </x:c>
      <x:c r="AL1174" s="32" t="n">
        <x:f>H1174*v01_RoleScale*Arch_Roles*AE1174*INDEX(v01_MonasteryPerSett,G1174)*v01_OutMonastery*INDEX(LM_Monastery,G1174)</x:f>
        <x:v>10.56</x:v>
      </x:c>
      <x:c r="AM1174" s="32" t="n">
        <x:f>(AJ1174+AK1174+AL1174)/4*INDEX(LM_All,G1174)*INDEX(v01_Boon,G1174)*Arch_Insight</x:f>
        <x:v>1230.203394638516</x:v>
      </x:c>
      <x:c r="AN1174" s="32" t="n">
        <x:f>H1174*(v01_KHPerAdult*Z1174+v01_KHOfCommons*AJ1174/4*INDEX(LM_All,G1174))*v01_KHUsable*Arch_KH</x:f>
        <x:v>139.56179850231626</x:v>
      </x:c>
      <x:c r="AO1174" s="32" t="n">
        <x:f>MIN(AP1173+AN1174,AM1174*v01_KHMaxRatio)</x:f>
        <x:v>139.56179850231626</x:v>
      </x:c>
      <x:c r="AP1174" s="32" t="n">
        <x:f>AP1173+AN1174-AO1174</x:f>
        <x:v>0</x:v>
      </x:c>
      <x:c r="AQ1174" s="32" t="n">
        <x:f>AM1174+AO1174</x:f>
        <x:v>1369.7651931408323</x:v>
      </x:c>
      <x:c r="AR1174" s="10" t="n">
        <x:f>IF(H1174=1,INDEX(v01_Req,G1174),0)</x:f>
        <x:v>113395.942036</x:v>
      </x:c>
      <x:c r="AS1174" s="32" t="n">
        <x:f>IF(H1174=1,IF(E1174=1,AS1173-AR1173,AS1173)+AQ1174,0)</x:f>
        <x:v>62128.83929970339</x:v>
      </x:c>
      <x:c r="AT1174" s="11" t="n">
        <x:f>IF(AR1174&gt;0,MIN(1,AS1174/AR1174),1)</x:f>
        <x:v>0.5478929685153923</x:v>
      </x:c>
      <x:c r="AU1174" s="10" t="n">
        <x:f>AB1174/INDEX(v01_RepScale,G1174)</x:f>
        <x:v>189.0596185077928</x:v>
      </x:c>
      <x:c r="AV1174" s="32" t="n">
        <x:f>AM1174*60/v01_SeasonSeconds</x:f>
        <x:v>4920.813578554064</x:v>
      </x:c>
    </x:row>
    <x:row r="1175">
      <x:c r="A1175" s="8" t="n">
        <x:f>A1174+1</x:f>
        <x:v>1172</x:v>
      </x:c>
      <x:c r="B1175" s="9" t="n">
        <x:f>A1175*v01_SeasonSeconds/60</x:f>
        <x:v>293</x:v>
      </x:c>
      <x:c r="C1175" s="9" t="n">
        <x:f>A1175/4</x:f>
        <x:v>293</x:v>
      </x:c>
      <x:c r="D1175" s="8" t="n">
        <x:f>IF(MOD(A1175,4)=0,1,0)</x:f>
        <x:v>1</x:v>
      </x:c>
      <x:c r="E1175" s="8" t="n">
        <x:f>IF(AND(F1174&lt;=9,AS1174&gt;=AR1174),1,0)</x:f>
        <x:v>0</x:v>
      </x:c>
      <x:c r="F1175" s="8" t="n">
        <x:f>MIN(10,F1174+E1175)</x:f>
        <x:v>6</x:v>
      </x:c>
      <x:c r="G1175" s="8" t="n">
        <x:f>MIN(F1175,9)+1</x:f>
        <x:v>7</x:v>
      </x:c>
      <x:c r="H1175" s="8" t="n">
        <x:f>IF(F1175&lt;=9,1,0)</x:f>
        <x:v>1</x:v>
      </x:c>
      <x:c r="I1175" s="9" t="n">
        <x:f>MIN(10,F1174+IF(AR1174&gt;0,MIN(1,AS1174/AR1174),1))</x:f>
        <x:v>6.547892968515392</x:v>
      </x:c>
      <x:c r="J1175" s="32" t="n">
        <x:f>INDEX(v01_FoodCap,G1175)*Arch_FoodCap*EXP(v01_CapsByProject*SUMPRODUCT((Cap_Point&lt;=I1175)*(Cap_Kind="Food")*Cap_Ln))</x:f>
        <x:v>1000</x:v>
      </x:c>
      <x:c r="K1175" s="32" t="n">
        <x:f>J1175*MIN(1,v01_LeanBase*EXP(v01_CapsByProject*SUMPRODUCT((Cap_Point&lt;=I1175)*(Cap_Kind="Lean")*Cap_Ln)))</x:f>
        <x:v>1000</x:v>
      </x:c>
      <x:c r="L1175" s="10" t="n">
        <x:f>INDEX(v01_HousingCap,G1175)*EXP(v01_CapsByProject*SUMPRODUCT((Cap_Point&lt;=I1175)*(Cap_Kind="Housing")*Cap_Ln))</x:f>
        <x:v>1600</x:v>
      </x:c>
      <x:c r="M1175" s="10" t="n">
        <x:f>INDEX(v01_GroupCap,G1175)*v01_CohesionFactor*EXP(v01_CapsByProject*SUMPRODUCT((Cap_Point&lt;=I1175)*(Cap_Kind="Group")*Cap_Ln))</x:f>
        <x:v>1000000</x:v>
      </x:c>
      <x:c r="N1175" s="32" t="n">
        <x:f>MIN(J1175,L1175,M1175)</x:f>
        <x:v>1000</x:v>
      </x:c>
      <x:c r="O1175" s="10" t="n">
        <x:f>AE1174*N1175</x:f>
        <x:v>16000</x:v>
      </x:c>
      <x:c r="P1175" s="9" t="n">
        <x:f>MIN(1,(AB1174/(AE1174*IF(v01_GroupInCrowding=1,N1175,MIN(J1175,L1175))))^v01_CrowdingExp)</x:f>
        <x:v>0.0425297464328536</x:v>
      </x:c>
      <x:c r="Q1175" s="9" t="n">
        <x:f>IF(D1175=1,INDEX(v01_WinterMult,G1175),1)</x:f>
        <x:v>1</x:v>
      </x:c>
      <x:c r="R1175" s="9" t="n">
        <x:f>H1175*Z1174*v01_WomenShare*v01_BaseFertility*INDEX(v01_FertMult,G1175)*Arch_Fertility*(1-P1175)</x:f>
        <x:v>120.26364354026978</x:v>
      </x:c>
      <x:c r="S1175" s="9" t="n">
        <x:f>H1175*Y1174*INDEX(v01_MortChild,G1175)/4*Q1175</x:f>
        <x:v>21.777041691031208</x:v>
      </x:c>
      <x:c r="T1175" s="9" t="n">
        <x:f>H1175*Z1174*INDEX(v01_MortAdult,G1175)*Arch_AdultMort/4*Q1175</x:f>
        <x:v>8.971829903720332</x:v>
      </x:c>
      <x:c r="U1175" s="9" t="n">
        <x:f>H1175*AA1174*INDEX(v01_MortElder,G1175)/4*Q1175</x:f>
        <x:v>20.708034084905282</x:v>
      </x:c>
      <x:c r="V1175" s="9" t="n">
        <x:f>H1175*MAX(0,AB1174-O1175)*v01_OvercapLoss</x:f>
        <x:v>0</x:v>
      </x:c>
      <x:c r="W1175" s="9" t="n">
        <x:f>H1175*Y1174/(v01_ChildYears*4)</x:f>
        <x:v>70.7046808150364</x:v>
      </x:c>
      <x:c r="X1175" s="9" t="n">
        <x:f>H1175*Z1174/(v01_AdultYears*4)</x:f>
        <x:v>32.15709642910513</x:v>
      </x:c>
      <x:c r="Y1175" s="32" t="n">
        <x:f>Y1174+R1175-S1175-W1175-Y1174*V1175/AB1174</x:f>
        <x:v>3987.2440466762405</x:v>
      </x:c>
      <x:c r="Z1175" s="32" t="n">
        <x:f>Z1174+W1175-X1175-T1175-Z1174*V1175/AB1174</x:f>
        <x:v>4017.0557116912473</x:v>
      </x:c>
      <x:c r="AA1175" s="32" t="n">
        <x:f>AA1174+X1175-U1175-AA1174*V1175/AB1174</x:f>
        <x:v>1517.4879048827659</x:v>
      </x:c>
      <x:c r="AB1175" s="10" t="n">
        <x:f>Y1175+Z1175+AA1175</x:f>
        <x:v>9521.787663250254</x:v>
      </x:c>
      <x:c r="AC1175" s="8" t="n">
        <x:f>IF(AND(v01_WinterTrigger=1,D1175=1,AB1174/AE1174&gt;=K1175),1,0)</x:f>
        <x:v>0</x:v>
      </x:c>
      <x:c r="AD1175" s="8" t="n">
        <x:f>H1175*IF(AND(OR(AB1174/AE1174&gt;=v01_FissionTrigger*N1175,AC1175=1),AB1174/AE1174*v01_DaughterShare&gt;=v01_MinDaughter),MAX(1,ROUND(AE1174*v01_FissionRate,0)),0)</x:f>
        <x:v>0</x:v>
      </x:c>
      <x:c r="AE1175" s="8" t="n">
        <x:f>IF(H1175=1,MAX(1,MIN(INDEX(v01_Smax,G1175),AE1174+AD1175)),AE1174)</x:f>
        <x:v>16</x:v>
      </x:c>
      <x:c r="AF1175" s="8" t="n">
        <x:f>MAX(0,AE1175-AE1174)</x:f>
        <x:v>0</x:v>
      </x:c>
      <x:c r="AG1175" s="9" t="str">
        <x:f>IF(AF1175&gt;0,B1175,"")</x:f>
      </x:c>
      <x:c r="AH1175" s="9" t="n">
        <x:f>IF(F1175&gt;=1,1,(1+v01_LowTiesShare*(AE1175-1))/AE1175)</x:f>
        <x:v>1</x:v>
      </x:c>
      <x:c r="AI1175" s="32" t="n">
        <x:f>(Z1175+v01_ElderCommons*INDEX(LM_Elder,G1175)*AA1175)*AH1175</x:f>
        <x:v>9707.63535500162</x:v>
      </x:c>
      <x:c r="AJ1175" s="32" t="n">
        <x:f>H1175*v01_CommonsCoef*AI1175^v01_CommonsExp*INDEX(LM_Commons,G1175)</x:f>
        <x:v>2138.297530923814</x:v>
      </x:c>
      <x:c r="AK1175" s="32" t="n">
        <x:f>H1175*v01_RoleScale*Arch_Roles*(AE1175*(INDEX(v01_ElderRolePerSett,G1175)*v01_OutElder*INDEX(LM_Elder,G1175)+INDEX(v01_ShamanPerSett,G1175)*v01_OutShaman)+Z1175*(INDEX(v01_PriestShare,G1175)*v01_OutPriest+INDEX(v01_ScribeShare,G1175)*v01_OutScribe*INDEX(LM_Scribe,G1175)+INDEX(v01_ScholarShare,G1175)*v01_OutScholar*INDEX(LM_Scholar,G1175)+INDEX(v01_ResearcherShare,G1175)*v01_OutResearcher*INDEX(LM_Researcher,G1175)))</x:f>
        <x:v>560.5507252442662</x:v>
      </x:c>
      <x:c r="AL1175" s="32" t="n">
        <x:f>H1175*v01_RoleScale*Arch_Roles*AE1175*INDEX(v01_MonasteryPerSett,G1175)*v01_OutMonastery*INDEX(LM_Monastery,G1175)</x:f>
        <x:v>10.56</x:v>
      </x:c>
      <x:c r="AM1175" s="32" t="n">
        <x:f>(AJ1175+AK1175+AL1175)/4*INDEX(LM_All,G1175)*INDEX(v01_Boon,G1175)*Arch_Insight</x:f>
        <x:v>1238.1149271076006</x:v>
      </x:c>
      <x:c r="AN1175" s="32" t="n">
        <x:f>H1175*(v01_KHPerAdult*Z1175+v01_KHOfCommons*AJ1175/4*INDEX(LM_All,G1175))*v01_KHUsable*Arch_KH</x:f>
        <x:v>140.59694990919365</x:v>
      </x:c>
      <x:c r="AO1175" s="32" t="n">
        <x:f>MIN(AP1174+AN1175,AM1175*v01_KHMaxRatio)</x:f>
        <x:v>140.59694990919365</x:v>
      </x:c>
      <x:c r="AP1175" s="32" t="n">
        <x:f>AP1174+AN1175-AO1175</x:f>
        <x:v>0</x:v>
      </x:c>
      <x:c r="AQ1175" s="32" t="n">
        <x:f>AM1175+AO1175</x:f>
        <x:v>1378.7118770167942</x:v>
      </x:c>
      <x:c r="AR1175" s="10" t="n">
        <x:f>IF(H1175=1,INDEX(v01_Req,G1175),0)</x:f>
        <x:v>113395.942036</x:v>
      </x:c>
      <x:c r="AS1175" s="32" t="n">
        <x:f>IF(H1175=1,IF(E1175=1,AS1174-AR1174,AS1174)+AQ1175,0)</x:f>
        <x:v>63507.55117672018</x:v>
      </x:c>
      <x:c r="AT1175" s="11" t="n">
        <x:f>IF(AR1175&gt;0,MIN(1,AS1175/AR1175),1)</x:f>
        <x:v>0.5600513566575278</x:v>
      </x:c>
      <x:c r="AU1175" s="10" t="n">
        <x:f>AB1175/INDEX(v01_RepScale,G1175)</x:f>
        <x:v>190.43575326500508</x:v>
      </x:c>
      <x:c r="AV1175" s="32" t="n">
        <x:f>AM1175*60/v01_SeasonSeconds</x:f>
        <x:v>4952.459708430402</x:v>
      </x:c>
    </x:row>
    <x:row r="1176">
      <x:c r="A1176" s="8" t="n">
        <x:f>A1175+1</x:f>
        <x:v>1173</x:v>
      </x:c>
      <x:c r="B1176" s="9" t="n">
        <x:f>A1176*v01_SeasonSeconds/60</x:f>
        <x:v>293.25</x:v>
      </x:c>
      <x:c r="C1176" s="9" t="n">
        <x:f>A1176/4</x:f>
        <x:v>293.25</x:v>
      </x:c>
      <x:c r="D1176" s="8" t="n">
        <x:f>IF(MOD(A1176,4)=0,1,0)</x:f>
        <x:v>0</x:v>
      </x:c>
      <x:c r="E1176" s="8" t="n">
        <x:f>IF(AND(F1175&lt;=9,AS1175&gt;=AR1175),1,0)</x:f>
        <x:v>0</x:v>
      </x:c>
      <x:c r="F1176" s="8" t="n">
        <x:f>MIN(10,F1175+E1176)</x:f>
        <x:v>6</x:v>
      </x:c>
      <x:c r="G1176" s="8" t="n">
        <x:f>MIN(F1176,9)+1</x:f>
        <x:v>7</x:v>
      </x:c>
      <x:c r="H1176" s="8" t="n">
        <x:f>IF(F1176&lt;=9,1,0)</x:f>
        <x:v>1</x:v>
      </x:c>
      <x:c r="I1176" s="9" t="n">
        <x:f>MIN(10,F1175+IF(AR1175&gt;0,MIN(1,AS1175/AR1175),1))</x:f>
        <x:v>6.560051356657528</x:v>
      </x:c>
      <x:c r="J1176" s="32" t="n">
        <x:f>INDEX(v01_FoodCap,G1176)*Arch_FoodCap*EXP(v01_CapsByProject*SUMPRODUCT((Cap_Point&lt;=I1176)*(Cap_Kind="Food")*Cap_Ln))</x:f>
        <x:v>1000</x:v>
      </x:c>
      <x:c r="K1176" s="32" t="n">
        <x:f>J1176*MIN(1,v01_LeanBase*EXP(v01_CapsByProject*SUMPRODUCT((Cap_Point&lt;=I1176)*(Cap_Kind="Lean")*Cap_Ln)))</x:f>
        <x:v>1000</x:v>
      </x:c>
      <x:c r="L1176" s="10" t="n">
        <x:f>INDEX(v01_HousingCap,G1176)*EXP(v01_CapsByProject*SUMPRODUCT((Cap_Point&lt;=I1176)*(Cap_Kind="Housing")*Cap_Ln))</x:f>
        <x:v>1600</x:v>
      </x:c>
      <x:c r="M1176" s="10" t="n">
        <x:f>INDEX(v01_GroupCap,G1176)*v01_CohesionFactor*EXP(v01_CapsByProject*SUMPRODUCT((Cap_Point&lt;=I1176)*(Cap_Kind="Group")*Cap_Ln))</x:f>
        <x:v>1000000</x:v>
      </x:c>
      <x:c r="N1176" s="32" t="n">
        <x:f>MIN(J1176,L1176,M1176)</x:f>
        <x:v>1000</x:v>
      </x:c>
      <x:c r="O1176" s="10" t="n">
        <x:f>AE1175*N1176</x:f>
        <x:v>16000</x:v>
      </x:c>
      <x:c r="P1176" s="9" t="n">
        <x:f>MIN(1,(AB1175/(AE1175*IF(v01_GroupInCrowding=1,N1176,MIN(J1176,L1176))))^v01_CrowdingExp)</x:f>
        <x:v>0.044421278987721906</x:v>
      </x:c>
      <x:c r="Q1176" s="9" t="n">
        <x:f>IF(D1176=1,INDEX(v01_WinterMult,G1176),1)</x:f>
        <x:v>1</x:v>
      </x:c>
      <x:c r="R1176" s="9" t="n">
        <x:f>H1176*Z1175*v01_WomenShare*v01_BaseFertility*INDEX(v01_FertMult,G1176)*Arch_Fertility*(1-P1176)</x:f>
        <x:v>120.91630821520914</x:v>
      </x:c>
      <x:c r="S1176" s="9" t="n">
        <x:f>H1176*Y1175*INDEX(v01_MortChild,G1176)/4*Q1176</x:f>
        <x:v>21.929842256719322</x:v>
      </x:c>
      <x:c r="T1176" s="9" t="n">
        <x:f>H1176*Z1175*INDEX(v01_MortAdult,G1176)*Arch_AdultMort/4*Q1176</x:f>
        <x:v>9.038375351305305</x:v>
      </x:c>
      <x:c r="U1176" s="9" t="n">
        <x:f>H1176*AA1175*INDEX(v01_MortElder,G1176)/4*Q1176</x:f>
        <x:v>20.86545869213803</x:v>
      </x:c>
      <x:c r="V1176" s="9" t="n">
        <x:f>H1176*MAX(0,AB1175-O1176)*v01_OvercapLoss</x:f>
        <x:v>0</x:v>
      </x:c>
      <x:c r="W1176" s="9" t="n">
        <x:f>H1176*Y1175/(v01_ChildYears*4)</x:f>
        <x:v>71.20078654779</x:v>
      </x:c>
      <x:c r="X1176" s="9" t="n">
        <x:f>H1176*Z1175/(v01_AdultYears*4)</x:f>
        <x:v>32.39561057815522</x:v>
      </x:c>
      <x:c r="Y1176" s="32" t="n">
        <x:f>Y1175+R1176-S1176-W1176-Y1175*V1176/AB1175</x:f>
        <x:v>4015.0297260869406</x:v>
      </x:c>
      <x:c r="Z1176" s="32" t="n">
        <x:f>Z1175+W1176-X1176-T1176-Z1175*V1176/AB1175</x:f>
        <x:v>4046.8225123095767</x:v>
      </x:c>
      <x:c r="AA1176" s="32" t="n">
        <x:f>AA1175+X1176-U1176-AA1175*V1176/AB1175</x:f>
        <x:v>1529.018056768783</x:v>
      </x:c>
      <x:c r="AB1176" s="10" t="n">
        <x:f>Y1176+Z1176+AA1176</x:f>
        <x:v>9590.8702951653</x:v>
      </x:c>
      <x:c r="AC1176" s="8" t="n">
        <x:f>IF(AND(v01_WinterTrigger=1,D1176=1,AB1175/AE1175&gt;=K1176),1,0)</x:f>
        <x:v>0</x:v>
      </x:c>
      <x:c r="AD1176" s="8" t="n">
        <x:f>H1176*IF(AND(OR(AB1175/AE1175&gt;=v01_FissionTrigger*N1176,AC1176=1),AB1175/AE1175*v01_DaughterShare&gt;=v01_MinDaughter),MAX(1,ROUND(AE1175*v01_FissionRate,0)),0)</x:f>
        <x:v>0</x:v>
      </x:c>
      <x:c r="AE1176" s="8" t="n">
        <x:f>IF(H1176=1,MAX(1,MIN(INDEX(v01_Smax,G1176),AE1175+AD1176)),AE1175)</x:f>
        <x:v>16</x:v>
      </x:c>
      <x:c r="AF1176" s="8" t="n">
        <x:f>MAX(0,AE1176-AE1175)</x:f>
        <x:v>0</x:v>
      </x:c>
      <x:c r="AG1176" s="9" t="str">
        <x:f>IF(AF1176&gt;0,B1176,"")</x:f>
      </x:c>
      <x:c r="AH1176" s="9" t="n">
        <x:f>IF(F1176&gt;=1,1,(1+v01_LowTiesShare*(AE1176-1))/AE1176)</x:f>
        <x:v>1</x:v>
      </x:c>
      <x:c r="AI1176" s="32" t="n">
        <x:f>(Z1176+v01_ElderCommons*INDEX(LM_Elder,G1176)*AA1176)*AH1176</x:f>
        <x:v>9780.640225192514</x:v>
      </x:c>
      <x:c r="AJ1176" s="32" t="n">
        <x:f>H1176*v01_CommonsCoef*AI1176^v01_CommonsExp*INDEX(LM_Commons,G1176)</x:f>
        <x:v>2151.9584877724665</x:v>
      </x:c>
      <x:c r="AK1176" s="32" t="n">
        <x:f>H1176*v01_RoleScale*Arch_Roles*(AE1176*(INDEX(v01_ElderRolePerSett,G1176)*v01_OutElder*INDEX(LM_Elder,G1176)+INDEX(v01_ShamanPerSett,G1176)*v01_OutShaman)+Z1176*(INDEX(v01_PriestShare,G1176)*v01_OutPriest+INDEX(v01_ScribeShare,G1176)*v01_OutScribe*INDEX(LM_Scribe,G1176)+INDEX(v01_ScholarShare,G1176)*v01_OutScholar*INDEX(LM_Scholar,G1176)+INDEX(v01_ResearcherShare,G1176)*v01_OutResearcher*INDEX(LM_Researcher,G1176)))</x:f>
        <x:v>564.3043188022375</x:v>
      </x:c>
      <x:c r="AL1176" s="32" t="n">
        <x:f>H1176*v01_RoleScale*Arch_Roles*AE1176*INDEX(v01_MonasteryPerSett,G1176)*v01_OutMonastery*INDEX(LM_Monastery,G1176)</x:f>
        <x:v>10.56</x:v>
      </x:c>
      <x:c r="AM1176" s="32" t="n">
        <x:f>(AJ1176+AK1176+AL1176)/4*INDEX(LM_All,G1176)*INDEX(v01_Boon,G1176)*Arch_Insight</x:f>
        <x:v>1246.0728325868592</x:v>
      </x:c>
      <x:c r="AN1176" s="32" t="n">
        <x:f>H1176*(v01_KHPerAdult*Z1176+v01_KHOfCommons*AJ1176/4*INDEX(LM_All,G1176))*v01_KHUsable*Arch_KH</x:f>
        <x:v>141.63878793083518</x:v>
      </x:c>
      <x:c r="AO1176" s="32" t="n">
        <x:f>MIN(AP1175+AN1176,AM1176*v01_KHMaxRatio)</x:f>
        <x:v>141.63878793083518</x:v>
      </x:c>
      <x:c r="AP1176" s="32" t="n">
        <x:f>AP1175+AN1176-AO1176</x:f>
        <x:v>0</x:v>
      </x:c>
      <x:c r="AQ1176" s="32" t="n">
        <x:f>AM1176+AO1176</x:f>
        <x:v>1387.7116205176944</x:v>
      </x:c>
      <x:c r="AR1176" s="10" t="n">
        <x:f>IF(H1176=1,INDEX(v01_Req,G1176),0)</x:f>
        <x:v>113395.942036</x:v>
      </x:c>
      <x:c r="AS1176" s="32" t="n">
        <x:f>IF(H1176=1,IF(E1176=1,AS1175-AR1175,AS1175)+AQ1176,0)</x:f>
        <x:v>64895.262797237876</x:v>
      </x:c>
      <x:c r="AT1176" s="11" t="n">
        <x:f>IF(AR1176&gt;0,MIN(1,AS1176/AR1176),1)</x:f>
        <x:v>0.5722891104571932</x:v>
      </x:c>
      <x:c r="AU1176" s="10" t="n">
        <x:f>AB1176/INDEX(v01_RepScale,G1176)</x:f>
        <x:v>191.817405903306</x:v>
      </x:c>
      <x:c r="AV1176" s="32" t="n">
        <x:f>AM1176*60/v01_SeasonSeconds</x:f>
        <x:v>4984.291330347437</x:v>
      </x:c>
    </x:row>
    <x:row r="1177">
      <x:c r="A1177" s="8" t="n">
        <x:f>A1176+1</x:f>
        <x:v>1174</x:v>
      </x:c>
      <x:c r="B1177" s="9" t="n">
        <x:f>A1177*v01_SeasonSeconds/60</x:f>
        <x:v>293.5</x:v>
      </x:c>
      <x:c r="C1177" s="9" t="n">
        <x:f>A1177/4</x:f>
        <x:v>293.5</x:v>
      </x:c>
      <x:c r="D1177" s="8" t="n">
        <x:f>IF(MOD(A1177,4)=0,1,0)</x:f>
        <x:v>0</x:v>
      </x:c>
      <x:c r="E1177" s="8" t="n">
        <x:f>IF(AND(F1176&lt;=9,AS1176&gt;=AR1176),1,0)</x:f>
        <x:v>0</x:v>
      </x:c>
      <x:c r="F1177" s="8" t="n">
        <x:f>MIN(10,F1176+E1177)</x:f>
        <x:v>6</x:v>
      </x:c>
      <x:c r="G1177" s="8" t="n">
        <x:f>MIN(F1177,9)+1</x:f>
        <x:v>7</x:v>
      </x:c>
      <x:c r="H1177" s="8" t="n">
        <x:f>IF(F1177&lt;=9,1,0)</x:f>
        <x:v>1</x:v>
      </x:c>
      <x:c r="I1177" s="9" t="n">
        <x:f>MIN(10,F1176+IF(AR1176&gt;0,MIN(1,AS1176/AR1176),1))</x:f>
        <x:v>6.572289110457193</x:v>
      </x:c>
      <x:c r="J1177" s="32" t="n">
        <x:f>INDEX(v01_FoodCap,G1177)*Arch_FoodCap*EXP(v01_CapsByProject*SUMPRODUCT((Cap_Point&lt;=I1177)*(Cap_Kind="Food")*Cap_Ln))</x:f>
        <x:v>1000</x:v>
      </x:c>
      <x:c r="K1177" s="32" t="n">
        <x:f>J1177*MIN(1,v01_LeanBase*EXP(v01_CapsByProject*SUMPRODUCT((Cap_Point&lt;=I1177)*(Cap_Kind="Lean")*Cap_Ln)))</x:f>
        <x:v>1000</x:v>
      </x:c>
      <x:c r="L1177" s="10" t="n">
        <x:f>INDEX(v01_HousingCap,G1177)*EXP(v01_CapsByProject*SUMPRODUCT((Cap_Point&lt;=I1177)*(Cap_Kind="Housing")*Cap_Ln))</x:f>
        <x:v>1600</x:v>
      </x:c>
      <x:c r="M1177" s="10" t="n">
        <x:f>INDEX(v01_GroupCap,G1177)*v01_CohesionFactor*EXP(v01_CapsByProject*SUMPRODUCT((Cap_Point&lt;=I1177)*(Cap_Kind="Group")*Cap_Ln))</x:f>
        <x:v>1000000</x:v>
      </x:c>
      <x:c r="N1177" s="32" t="n">
        <x:f>MIN(J1177,L1177,M1177)</x:f>
        <x:v>1000</x:v>
      </x:c>
      <x:c r="O1177" s="10" t="n">
        <x:f>AE1176*N1177</x:f>
        <x:v>16000</x:v>
      </x:c>
      <x:c r="P1177" s="9" t="n">
        <x:f>MIN(1,(AB1176/(AE1176*IF(v01_GroupInCrowding=1,N1177,MIN(J1177,L1177))))^v01_CrowdingExp)</x:f>
        <x:v>0.04639040995553373</x:v>
      </x:c>
      <x:c r="Q1177" s="9" t="n">
        <x:f>IF(D1177=1,INDEX(v01_WinterMult,G1177),1)</x:f>
        <x:v>1</x:v>
      </x:c>
      <x:c r="R1177" s="9" t="n">
        <x:f>H1177*Z1176*v01_WomenShare*v01_BaseFertility*INDEX(v01_FertMult,G1177)*Arch_Fertility*(1-P1177)</x:f>
        <x:v>121.56129584380697</x:v>
      </x:c>
      <x:c r="S1177" s="9" t="n">
        <x:f>H1177*Y1176*INDEX(v01_MortChild,G1177)/4*Q1177</x:f>
        <x:v>22.082663493478172</x:v>
      </x:c>
      <x:c r="T1177" s="9" t="n">
        <x:f>H1177*Z1176*INDEX(v01_MortAdult,G1177)*Arch_AdultMort/4*Q1177</x:f>
        <x:v>9.105350652696547</x:v>
      </x:c>
      <x:c r="U1177" s="9" t="n">
        <x:f>H1177*AA1176*INDEX(v01_MortElder,G1177)/4*Q1177</x:f>
        <x:v>21.023998280570765</x:v>
      </x:c>
      <x:c r="V1177" s="9" t="n">
        <x:f>H1177*MAX(0,AB1176-O1177)*v01_OvercapLoss</x:f>
        <x:v>0</x:v>
      </x:c>
      <x:c r="W1177" s="9" t="n">
        <x:f>H1177*Y1176/(v01_ChildYears*4)</x:f>
        <x:v>71.69695939440966</x:v>
      </x:c>
      <x:c r="X1177" s="9" t="n">
        <x:f>H1177*Z1176/(v01_AdultYears*4)</x:f>
        <x:v>32.63566542185143</x:v>
      </x:c>
      <x:c r="Y1177" s="32" t="n">
        <x:f>Y1176+R1177-S1177-W1177-Y1176*V1177/AB1176</x:f>
        <x:v>4042.81139904286</x:v>
      </x:c>
      <x:c r="Z1177" s="32" t="n">
        <x:f>Z1176+W1177-X1177-T1177-Z1176*V1177/AB1176</x:f>
        <x:v>4076.7784556294387</x:v>
      </x:c>
      <x:c r="AA1177" s="32" t="n">
        <x:f>AA1176+X1177-U1177-AA1176*V1177/AB1176</x:f>
        <x:v>1540.6297239100636</x:v>
      </x:c>
      <x:c r="AB1177" s="10" t="n">
        <x:f>Y1177+Z1177+AA1177</x:f>
        <x:v>9660.219578582362</x:v>
      </x:c>
      <x:c r="AC1177" s="8" t="n">
        <x:f>IF(AND(v01_WinterTrigger=1,D1177=1,AB1176/AE1176&gt;=K1177),1,0)</x:f>
        <x:v>0</x:v>
      </x:c>
      <x:c r="AD1177" s="8" t="n">
        <x:f>H1177*IF(AND(OR(AB1176/AE1176&gt;=v01_FissionTrigger*N1177,AC1177=1),AB1176/AE1176*v01_DaughterShare&gt;=v01_MinDaughter),MAX(1,ROUND(AE1176*v01_FissionRate,0)),0)</x:f>
        <x:v>0</x:v>
      </x:c>
      <x:c r="AE1177" s="8" t="n">
        <x:f>IF(H1177=1,MAX(1,MIN(INDEX(v01_Smax,G1177),AE1176+AD1177)),AE1176)</x:f>
        <x:v>16</x:v>
      </x:c>
      <x:c r="AF1177" s="8" t="n">
        <x:f>MAX(0,AE1177-AE1176)</x:f>
        <x:v>0</x:v>
      </x:c>
      <x:c r="AG1177" s="9" t="str">
        <x:f>IF(AF1177&gt;0,B1177,"")</x:f>
      </x:c>
      <x:c r="AH1177" s="9" t="n">
        <x:f>IF(F1177&gt;=1,1,(1+v01_LowTiesShare*(AE1177-1))/AE1177)</x:f>
        <x:v>1</x:v>
      </x:c>
      <x:c r="AI1177" s="32" t="n">
        <x:f>(Z1177+v01_ElderCommons*INDEX(LM_Elder,G1177)*AA1177)*AH1177</x:f>
        <x:v>9854.139920292177</x:v>
      </x:c>
      <x:c r="AJ1177" s="32" t="n">
        <x:f>H1177*v01_CommonsCoef*AI1177^v01_CommonsExp*INDEX(LM_Commons,G1177)</x:f>
        <x:v>2165.696595864348</x:v>
      </x:c>
      <x:c r="AK1177" s="32" t="n">
        <x:f>H1177*v01_RoleScale*Arch_Roles*(AE1177*(INDEX(v01_ElderRolePerSett,G1177)*v01_OutElder*INDEX(LM_Elder,G1177)+INDEX(v01_ShamanPerSett,G1177)*v01_OutShaman)+Z1177*(INDEX(v01_PriestShare,G1177)*v01_OutPriest+INDEX(v01_ScribeShare,G1177)*v01_OutScribe*INDEX(LM_Scribe,G1177)+INDEX(v01_ScholarShare,G1177)*v01_OutScholar*INDEX(LM_Scholar,G1177)+INDEX(v01_ResearcherShare,G1177)*v01_OutResearcher*INDEX(LM_Researcher,G1177)))</x:f>
        <x:v>568.0817632548722</x:v>
      </x:c>
      <x:c r="AL1177" s="32" t="n">
        <x:f>H1177*v01_RoleScale*Arch_Roles*AE1177*INDEX(v01_MonasteryPerSett,G1177)*v01_OutMonastery*INDEX(LM_Monastery,G1177)</x:f>
        <x:v>10.56</x:v>
      </x:c>
      <x:c r="AM1177" s="32" t="n">
        <x:f>(AJ1177+AK1177+AL1177)/4*INDEX(LM_All,G1177)*INDEX(v01_Boon,G1177)*Arch_Insight</x:f>
        <x:v>1254.076892887677</x:v>
      </x:c>
      <x:c r="AN1177" s="32" t="n">
        <x:f>H1177*(v01_KHPerAdult*Z1177+v01_KHOfCommons*AJ1177/4*INDEX(LM_All,G1177))*v01_KHUsable*Arch_KH</x:f>
        <x:v>142.68724594703036</x:v>
      </x:c>
      <x:c r="AO1177" s="32" t="n">
        <x:f>MIN(AP1176+AN1177,AM1177*v01_KHMaxRatio)</x:f>
        <x:v>142.68724594703036</x:v>
      </x:c>
      <x:c r="AP1177" s="32" t="n">
        <x:f>AP1176+AN1177-AO1177</x:f>
        <x:v>0</x:v>
      </x:c>
      <x:c r="AQ1177" s="32" t="n">
        <x:f>AM1177+AO1177</x:f>
        <x:v>1396.7641388347074</x:v>
      </x:c>
      <x:c r="AR1177" s="10" t="n">
        <x:f>IF(H1177=1,INDEX(v01_Req,G1177),0)</x:f>
        <x:v>113395.942036</x:v>
      </x:c>
      <x:c r="AS1177" s="32" t="n">
        <x:f>IF(H1177=1,IF(E1177=1,AS1176-AR1176,AS1176)+AQ1177,0)</x:f>
        <x:v>66292.02693607258</x:v>
      </x:c>
      <x:c r="AT1177" s="11" t="n">
        <x:f>IF(AR1177&gt;0,MIN(1,AS1177/AR1177),1)</x:f>
        <x:v>0.584606695317428</x:v>
      </x:c>
      <x:c r="AU1177" s="10" t="n">
        <x:f>AB1177/INDEX(v01_RepScale,G1177)</x:f>
        <x:v>193.20439157164725</x:v>
      </x:c>
      <x:c r="AV1177" s="32" t="n">
        <x:f>AM1177*60/v01_SeasonSeconds</x:f>
        <x:v>5016.307571550708</x:v>
      </x:c>
    </x:row>
    <x:row r="1178">
      <x:c r="A1178" s="8" t="n">
        <x:f>A1177+1</x:f>
        <x:v>1175</x:v>
      </x:c>
      <x:c r="B1178" s="9" t="n">
        <x:f>A1178*v01_SeasonSeconds/60</x:f>
        <x:v>293.75</x:v>
      </x:c>
      <x:c r="C1178" s="9" t="n">
        <x:f>A1178/4</x:f>
        <x:v>293.75</x:v>
      </x:c>
      <x:c r="D1178" s="8" t="n">
        <x:f>IF(MOD(A1178,4)=0,1,0)</x:f>
        <x:v>0</x:v>
      </x:c>
      <x:c r="E1178" s="8" t="n">
        <x:f>IF(AND(F1177&lt;=9,AS1177&gt;=AR1177),1,0)</x:f>
        <x:v>0</x:v>
      </x:c>
      <x:c r="F1178" s="8" t="n">
        <x:f>MIN(10,F1177+E1178)</x:f>
        <x:v>6</x:v>
      </x:c>
      <x:c r="G1178" s="8" t="n">
        <x:f>MIN(F1178,9)+1</x:f>
        <x:v>7</x:v>
      </x:c>
      <x:c r="H1178" s="8" t="n">
        <x:f>IF(F1178&lt;=9,1,0)</x:f>
        <x:v>1</x:v>
      </x:c>
      <x:c r="I1178" s="9" t="n">
        <x:f>MIN(10,F1177+IF(AR1177&gt;0,MIN(1,AS1177/AR1177),1))</x:f>
        <x:v>6.584606695317428</x:v>
      </x:c>
      <x:c r="J1178" s="32" t="n">
        <x:f>INDEX(v01_FoodCap,G1178)*Arch_FoodCap*EXP(v01_CapsByProject*SUMPRODUCT((Cap_Point&lt;=I1178)*(Cap_Kind="Food")*Cap_Ln))</x:f>
        <x:v>1000</x:v>
      </x:c>
      <x:c r="K1178" s="32" t="n">
        <x:f>J1178*MIN(1,v01_LeanBase*EXP(v01_CapsByProject*SUMPRODUCT((Cap_Point&lt;=I1178)*(Cap_Kind="Lean")*Cap_Ln)))</x:f>
        <x:v>1000</x:v>
      </x:c>
      <x:c r="L1178" s="10" t="n">
        <x:f>INDEX(v01_HousingCap,G1178)*EXP(v01_CapsByProject*SUMPRODUCT((Cap_Point&lt;=I1178)*(Cap_Kind="Housing")*Cap_Ln))</x:f>
        <x:v>1600</x:v>
      </x:c>
      <x:c r="M1178" s="10" t="n">
        <x:f>INDEX(v01_GroupCap,G1178)*v01_CohesionFactor*EXP(v01_CapsByProject*SUMPRODUCT((Cap_Point&lt;=I1178)*(Cap_Kind="Group")*Cap_Ln))</x:f>
        <x:v>1000000</x:v>
      </x:c>
      <x:c r="N1178" s="32" t="n">
        <x:f>MIN(J1178,L1178,M1178)</x:f>
        <x:v>1000</x:v>
      </x:c>
      <x:c r="O1178" s="10" t="n">
        <x:f>AE1177*N1178</x:f>
        <x:v>16000</x:v>
      </x:c>
      <x:c r="P1178" s="9" t="n">
        <x:f>MIN(1,(AB1177/(AE1177*IF(v01_GroupInCrowding=1,N1178,MIN(J1178,L1178))))^v01_CrowdingExp)</x:f>
        <x:v>0.04843977227768832</x:v>
      </x:c>
      <x:c r="Q1178" s="9" t="n">
        <x:f>IF(D1178=1,INDEX(v01_WinterMult,G1178),1)</x:f>
        <x:v>1</x:v>
      </x:c>
      <x:c r="R1178" s="9" t="n">
        <x:f>H1178*Z1177*v01_WomenShare*v01_BaseFertility*INDEX(v01_FertMult,G1178)*Arch_Fertility*(1-P1178)</x:f>
        <x:v>122.19795742178313</x:v>
      </x:c>
      <x:c r="S1178" s="9" t="n">
        <x:f>H1178*Y1177*INDEX(v01_MortChild,G1178)/4*Q1178</x:f>
        <x:v>22.23546269473573</x:v>
      </x:c>
      <x:c r="T1178" s="9" t="n">
        <x:f>H1178*Z1177*INDEX(v01_MortAdult,G1178)*Arch_AdultMort/4*Q1178</x:f>
        <x:v>9.172751525166236</x:v>
      </x:c>
      <x:c r="U1178" s="9" t="n">
        <x:f>H1178*AA1177*INDEX(v01_MortElder,G1178)/4*Q1178</x:f>
        <x:v>21.183658703763374</x:v>
      </x:c>
      <x:c r="V1178" s="9" t="n">
        <x:f>H1178*MAX(0,AB1177-O1178)*v01_OvercapLoss</x:f>
        <x:v>0</x:v>
      </x:c>
      <x:c r="W1178" s="9" t="n">
        <x:f>H1178*Y1177/(v01_ChildYears*4)</x:f>
        <x:v>72.19306069719393</x:v>
      </x:c>
      <x:c r="X1178" s="9" t="n">
        <x:f>H1178*Z1177/(v01_AdultYears*4)</x:f>
        <x:v>32.87724560991483</x:v>
      </x:c>
      <x:c r="Y1178" s="32" t="n">
        <x:f>Y1177+R1178-S1178-W1178-Y1177*V1178/AB1177</x:f>
        <x:v>4070.5808330727136</x:v>
      </x:c>
      <x:c r="Z1178" s="32" t="n">
        <x:f>Z1177+W1178-X1178-T1178-Z1177*V1178/AB1177</x:f>
        <x:v>4106.921519191552</x:v>
      </x:c>
      <x:c r="AA1178" s="32" t="n">
        <x:f>AA1177+X1178-U1178-AA1177*V1178/AB1177</x:f>
        <x:v>1552.323310816215</x:v>
      </x:c>
      <x:c r="AB1178" s="10" t="n">
        <x:f>Y1178+Z1178+AA1178</x:f>
        <x:v>9729.82566308048</x:v>
      </x:c>
      <x:c r="AC1178" s="8" t="n">
        <x:f>IF(AND(v01_WinterTrigger=1,D1178=1,AB1177/AE1177&gt;=K1178),1,0)</x:f>
        <x:v>0</x:v>
      </x:c>
      <x:c r="AD1178" s="8" t="n">
        <x:f>H1178*IF(AND(OR(AB1177/AE1177&gt;=v01_FissionTrigger*N1178,AC1178=1),AB1177/AE1177*v01_DaughterShare&gt;=v01_MinDaughter),MAX(1,ROUND(AE1177*v01_FissionRate,0)),0)</x:f>
        <x:v>0</x:v>
      </x:c>
      <x:c r="AE1178" s="8" t="n">
        <x:f>IF(H1178=1,MAX(1,MIN(INDEX(v01_Smax,G1178),AE1177+AD1178)),AE1177)</x:f>
        <x:v>16</x:v>
      </x:c>
      <x:c r="AF1178" s="8" t="n">
        <x:f>MAX(0,AE1178-AE1177)</x:f>
        <x:v>0</x:v>
      </x:c>
      <x:c r="AG1178" s="9" t="str">
        <x:f>IF(AF1178&gt;0,B1178,"")</x:f>
      </x:c>
      <x:c r="AH1178" s="9" t="n">
        <x:f>IF(F1178&gt;=1,1,(1+v01_LowTiesShare*(AE1178-1))/AE1178)</x:f>
        <x:v>1</x:v>
      </x:c>
      <x:c r="AI1178" s="32" t="n">
        <x:f>(Z1178+v01_ElderCommons*INDEX(LM_Elder,G1178)*AA1178)*AH1178</x:f>
        <x:v>9928.133934752357</x:v>
      </x:c>
      <x:c r="AJ1178" s="32" t="n">
        <x:f>H1178*v01_CommonsCoef*AI1178^v01_CommonsExp*INDEX(LM_Commons,G1178)</x:f>
        <x:v>2179.5115820950564</x:v>
      </x:c>
      <x:c r="AK1178" s="32" t="n">
        <x:f>H1178*v01_RoleScale*Arch_Roles*(AE1178*(INDEX(v01_ElderRolePerSett,G1178)*v01_OutElder*INDEX(LM_Elder,G1178)+INDEX(v01_ShamanPerSett,G1178)*v01_OutShaman)+Z1178*(INDEX(v01_PriestShare,G1178)*v01_OutPriest+INDEX(v01_ScribeShare,G1178)*v01_OutScribe*INDEX(LM_Scribe,G1178)+INDEX(v01_ScholarShare,G1178)*v01_OutScholar*INDEX(LM_Scholar,G1178)+INDEX(v01_ResearcherShare,G1178)*v01_OutResearcher*INDEX(LM_Researcher,G1178)))</x:f>
        <x:v>571.8828035700546</x:v>
      </x:c>
      <x:c r="AL1178" s="32" t="n">
        <x:f>H1178*v01_RoleScale*Arch_Roles*AE1178*INDEX(v01_MonasteryPerSett,G1178)*v01_OutMonastery*INDEX(LM_Monastery,G1178)</x:f>
        <x:v>10.56</x:v>
      </x:c>
      <x:c r="AM1178" s="32" t="n">
        <x:f>(AJ1178+AK1178+AL1178)/4*INDEX(LM_All,G1178)*INDEX(v01_Boon,G1178)*Arch_Insight</x:f>
        <x:v>1262.1268666681656</x:v>
      </x:c>
      <x:c r="AN1178" s="32" t="n">
        <x:f>H1178*(v01_KHPerAdult*Z1178+v01_KHOfCommons*AJ1178/4*INDEX(LM_All,G1178))*v01_KHUsable*Arch_KH</x:f>
        <x:v>143.7422531717043</x:v>
      </x:c>
      <x:c r="AO1178" s="32" t="n">
        <x:f>MIN(AP1177+AN1178,AM1178*v01_KHMaxRatio)</x:f>
        <x:v>143.7422531717043</x:v>
      </x:c>
      <x:c r="AP1178" s="32" t="n">
        <x:f>AP1177+AN1178-AO1178</x:f>
        <x:v>0</x:v>
      </x:c>
      <x:c r="AQ1178" s="32" t="n">
        <x:f>AM1178+AO1178</x:f>
        <x:v>1405.8691198398699</x:v>
      </x:c>
      <x:c r="AR1178" s="10" t="n">
        <x:f>IF(H1178=1,INDEX(v01_Req,G1178),0)</x:f>
        <x:v>113395.942036</x:v>
      </x:c>
      <x:c r="AS1178" s="32" t="n">
        <x:f>IF(H1178=1,IF(E1178=1,AS1177-AR1177,AS1177)+AQ1178,0)</x:f>
        <x:v>67697.89605591245</x:v>
      </x:c>
      <x:c r="AT1178" s="11" t="n">
        <x:f>IF(AR1178&gt;0,MIN(1,AS1178/AR1178),1)</x:f>
        <x:v>0.5970045738887225</x:v>
      </x:c>
      <x:c r="AU1178" s="10" t="n">
        <x:f>AB1178/INDEX(v01_RepScale,G1178)</x:f>
        <x:v>194.59651326160963</x:v>
      </x:c>
      <x:c r="AV1178" s="32" t="n">
        <x:f>AM1178*60/v01_SeasonSeconds</x:f>
        <x:v>5048.507466672662</x:v>
      </x:c>
    </x:row>
    <x:row r="1179">
      <x:c r="A1179" s="8" t="n">
        <x:f>A1178+1</x:f>
        <x:v>1176</x:v>
      </x:c>
      <x:c r="B1179" s="9" t="n">
        <x:f>A1179*v01_SeasonSeconds/60</x:f>
        <x:v>294</x:v>
      </x:c>
      <x:c r="C1179" s="9" t="n">
        <x:f>A1179/4</x:f>
        <x:v>294</x:v>
      </x:c>
      <x:c r="D1179" s="8" t="n">
        <x:f>IF(MOD(A1179,4)=0,1,0)</x:f>
        <x:v>1</x:v>
      </x:c>
      <x:c r="E1179" s="8" t="n">
        <x:f>IF(AND(F1178&lt;=9,AS1178&gt;=AR1178),1,0)</x:f>
        <x:v>0</x:v>
      </x:c>
      <x:c r="F1179" s="8" t="n">
        <x:f>MIN(10,F1178+E1179)</x:f>
        <x:v>6</x:v>
      </x:c>
      <x:c r="G1179" s="8" t="n">
        <x:f>MIN(F1179,9)+1</x:f>
        <x:v>7</x:v>
      </x:c>
      <x:c r="H1179" s="8" t="n">
        <x:f>IF(F1179&lt;=9,1,0)</x:f>
        <x:v>1</x:v>
      </x:c>
      <x:c r="I1179" s="9" t="n">
        <x:f>MIN(10,F1178+IF(AR1178&gt;0,MIN(1,AS1178/AR1178),1))</x:f>
        <x:v>6.597004573888722</x:v>
      </x:c>
      <x:c r="J1179" s="32" t="n">
        <x:f>INDEX(v01_FoodCap,G1179)*Arch_FoodCap*EXP(v01_CapsByProject*SUMPRODUCT((Cap_Point&lt;=I1179)*(Cap_Kind="Food")*Cap_Ln))</x:f>
        <x:v>1000</x:v>
      </x:c>
      <x:c r="K1179" s="32" t="n">
        <x:f>J1179*MIN(1,v01_LeanBase*EXP(v01_CapsByProject*SUMPRODUCT((Cap_Point&lt;=I1179)*(Cap_Kind="Lean")*Cap_Ln)))</x:f>
        <x:v>1000</x:v>
      </x:c>
      <x:c r="L1179" s="10" t="n">
        <x:f>INDEX(v01_HousingCap,G1179)*EXP(v01_CapsByProject*SUMPRODUCT((Cap_Point&lt;=I1179)*(Cap_Kind="Housing")*Cap_Ln))</x:f>
        <x:v>1600</x:v>
      </x:c>
      <x:c r="M1179" s="10" t="n">
        <x:f>INDEX(v01_GroupCap,G1179)*v01_CohesionFactor*EXP(v01_CapsByProject*SUMPRODUCT((Cap_Point&lt;=I1179)*(Cap_Kind="Group")*Cap_Ln))</x:f>
        <x:v>1000000</x:v>
      </x:c>
      <x:c r="N1179" s="32" t="n">
        <x:f>MIN(J1179,L1179,M1179)</x:f>
        <x:v>1000</x:v>
      </x:c>
      <x:c r="O1179" s="10" t="n">
        <x:f>AE1178*N1179</x:f>
        <x:v>16000</x:v>
      </x:c>
      <x:c r="P1179" s="9" t="n">
        <x:f>MIN(1,(AB1178/(AE1178*IF(v01_GroupInCrowding=1,N1179,MIN(J1179,L1179))))^v01_CrowdingExp)</x:f>
        <x:v>0.050572038107906225</x:v>
      </x:c>
      <x:c r="Q1179" s="9" t="n">
        <x:f>IF(D1179=1,INDEX(v01_WinterMult,G1179),1)</x:f>
        <x:v>1</x:v>
      </x:c>
      <x:c r="R1179" s="9" t="n">
        <x:f>H1179*Z1178*v01_WomenShare*v01_BaseFertility*INDEX(v01_FertMult,G1179)*Arch_Fertility*(1-P1179)</x:f>
        <x:v>122.82562301992974</x:v>
      </x:c>
      <x:c r="S1179" s="9" t="n">
        <x:f>H1179*Y1178*INDEX(v01_MortChild,G1179)/4*Q1179</x:f>
        <x:v>22.388194581899924</x:v>
      </x:c>
      <x:c r="T1179" s="9" t="n">
        <x:f>H1179*Z1178*INDEX(v01_MortAdult,G1179)*Arch_AdultMort/4*Q1179</x:f>
        <x:v>9.240573418180992</x:v>
      </x:c>
      <x:c r="U1179" s="9" t="n">
        <x:f>H1179*AA1178*INDEX(v01_MortElder,G1179)/4*Q1179</x:f>
        <x:v>21.344445523722957</x:v>
      </x:c>
      <x:c r="V1179" s="9" t="n">
        <x:f>H1179*MAX(0,AB1178-O1179)*v01_OvercapLoss</x:f>
        <x:v>0</x:v>
      </x:c>
      <x:c r="W1179" s="9" t="n">
        <x:f>H1179*Y1178/(v01_ChildYears*4)</x:f>
        <x:v>72.68894344772703</x:v>
      </x:c>
      <x:c r="X1179" s="9" t="n">
        <x:f>H1179*Z1178/(v01_AdultYears*4)</x:f>
        <x:v>33.12033483218993</x:v>
      </x:c>
      <x:c r="Y1179" s="32" t="n">
        <x:f>Y1178+R1179-S1179-W1179-Y1178*V1179/AB1178</x:f>
        <x:v>4098.329318063016</x:v>
      </x:c>
      <x:c r="Z1179" s="32" t="n">
        <x:f>Z1178+W1179-X1179-T1179-Z1178*V1179/AB1178</x:f>
        <x:v>4137.249554388908</x:v>
      </x:c>
      <x:c r="AA1179" s="32" t="n">
        <x:f>AA1178+X1179-U1179-AA1178*V1179/AB1178</x:f>
        <x:v>1564.099200124682</x:v>
      </x:c>
      <x:c r="AB1179" s="10" t="n">
        <x:f>Y1179+Z1179+AA1179</x:f>
        <x:v>9799.678072576606</x:v>
      </x:c>
      <x:c r="AC1179" s="8" t="n">
        <x:f>IF(AND(v01_WinterTrigger=1,D1179=1,AB1178/AE1178&gt;=K1179),1,0)</x:f>
        <x:v>0</x:v>
      </x:c>
      <x:c r="AD1179" s="8" t="n">
        <x:f>H1179*IF(AND(OR(AB1178/AE1178&gt;=v01_FissionTrigger*N1179,AC1179=1),AB1178/AE1178*v01_DaughterShare&gt;=v01_MinDaughter),MAX(1,ROUND(AE1178*v01_FissionRate,0)),0)</x:f>
        <x:v>0</x:v>
      </x:c>
      <x:c r="AE1179" s="8" t="n">
        <x:f>IF(H1179=1,MAX(1,MIN(INDEX(v01_Smax,G1179),AE1178+AD1179)),AE1178)</x:f>
        <x:v>16</x:v>
      </x:c>
      <x:c r="AF1179" s="8" t="n">
        <x:f>MAX(0,AE1179-AE1178)</x:f>
        <x:v>0</x:v>
      </x:c>
      <x:c r="AG1179" s="9" t="str">
        <x:f>IF(AF1179&gt;0,B1179,"")</x:f>
      </x:c>
      <x:c r="AH1179" s="9" t="n">
        <x:f>IF(F1179&gt;=1,1,(1+v01_LowTiesShare*(AE1179-1))/AE1179)</x:f>
        <x:v>1</x:v>
      </x:c>
      <x:c r="AI1179" s="32" t="n">
        <x:f>(Z1179+v01_ElderCommons*INDEX(LM_Elder,G1179)*AA1179)*AH1179</x:f>
        <x:v>10002.621554856465</x:v>
      </x:c>
      <x:c r="AJ1179" s="32" t="n">
        <x:f>H1179*v01_CommonsCoef*AI1179^v01_CommonsExp*INDEX(LM_Commons,G1179)</x:f>
        <x:v>2193.4031361104608</x:v>
      </x:c>
      <x:c r="AK1179" s="32" t="n">
        <x:f>H1179*v01_RoleScale*Arch_Roles*(AE1179*(INDEX(v01_ElderRolePerSett,G1179)*v01_OutElder*INDEX(LM_Elder,G1179)+INDEX(v01_ShamanPerSett,G1179)*v01_OutShaman)+Z1179*(INDEX(v01_PriestShare,G1179)*v01_OutPriest+INDEX(v01_ScribeShare,G1179)*v01_OutScribe*INDEX(LM_Scribe,G1179)+INDEX(v01_ScholarShare,G1179)*v01_OutScholar*INDEX(LM_Scholar,G1179)+INDEX(v01_ResearcherShare,G1179)*v01_OutResearcher*INDEX(LM_Researcher,G1179)))</x:f>
        <x:v>575.7071688084412</x:v>
      </x:c>
      <x:c r="AL1179" s="32" t="n">
        <x:f>H1179*v01_RoleScale*Arch_Roles*AE1179*INDEX(v01_MonasteryPerSett,G1179)*v01_OutMonastery*INDEX(LM_Monastery,G1179)</x:f>
        <x:v>10.56</x:v>
      </x:c>
      <x:c r="AM1179" s="32" t="n">
        <x:f>(AJ1179+AK1179+AL1179)/4*INDEX(LM_All,G1179)*INDEX(v01_Boon,G1179)*Arch_Insight</x:f>
        <x:v>1270.2224882953662</x:v>
      </x:c>
      <x:c r="AN1179" s="32" t="n">
        <x:f>H1179*(v01_KHPerAdult*Z1179+v01_KHOfCommons*AJ1179/4*INDEX(LM_All,G1179))*v01_KHUsable*Arch_KH</x:f>
        <x:v>144.8037344036118</x:v>
      </x:c>
      <x:c r="AO1179" s="32" t="n">
        <x:f>MIN(AP1178+AN1179,AM1179*v01_KHMaxRatio)</x:f>
        <x:v>144.8037344036118</x:v>
      </x:c>
      <x:c r="AP1179" s="32" t="n">
        <x:f>AP1178+AN1179-AO1179</x:f>
        <x:v>0</x:v>
      </x:c>
      <x:c r="AQ1179" s="32" t="n">
        <x:f>AM1179+AO1179</x:f>
        <x:v>1415.026222698978</x:v>
      </x:c>
      <x:c r="AR1179" s="10" t="n">
        <x:f>IF(H1179=1,INDEX(v01_Req,G1179),0)</x:f>
        <x:v>113395.942036</x:v>
      </x:c>
      <x:c r="AS1179" s="32" t="n">
        <x:f>IF(H1179=1,IF(E1179=1,AS1178-AR1178,AS1178)+AQ1179,0)</x:f>
        <x:v>69112.92227861143</x:v>
      </x:c>
      <x:c r="AT1179" s="11" t="n">
        <x:f>IF(AR1179&gt;0,MIN(1,AS1179/AR1179),1)</x:f>
        <x:v>0.6094832058158662</x:v>
      </x:c>
      <x:c r="AU1179" s="10" t="n">
        <x:f>AB1179/INDEX(v01_RepScale,G1179)</x:f>
        <x:v>195.99356145153212</x:v>
      </x:c>
      <x:c r="AV1179" s="32" t="n">
        <x:f>AM1179*60/v01_SeasonSeconds</x:f>
        <x:v>5080.889953181465</x:v>
      </x:c>
    </x:row>
    <x:row r="1180">
      <x:c r="A1180" s="8" t="n">
        <x:f>A1179+1</x:f>
        <x:v>1177</x:v>
      </x:c>
      <x:c r="B1180" s="9" t="n">
        <x:f>A1180*v01_SeasonSeconds/60</x:f>
        <x:v>294.25</x:v>
      </x:c>
      <x:c r="C1180" s="9" t="n">
        <x:f>A1180/4</x:f>
        <x:v>294.25</x:v>
      </x:c>
      <x:c r="D1180" s="8" t="n">
        <x:f>IF(MOD(A1180,4)=0,1,0)</x:f>
        <x:v>0</x:v>
      </x:c>
      <x:c r="E1180" s="8" t="n">
        <x:f>IF(AND(F1179&lt;=9,AS1179&gt;=AR1179),1,0)</x:f>
        <x:v>0</x:v>
      </x:c>
      <x:c r="F1180" s="8" t="n">
        <x:f>MIN(10,F1179+E1180)</x:f>
        <x:v>6</x:v>
      </x:c>
      <x:c r="G1180" s="8" t="n">
        <x:f>MIN(F1180,9)+1</x:f>
        <x:v>7</x:v>
      </x:c>
      <x:c r="H1180" s="8" t="n">
        <x:f>IF(F1180&lt;=9,1,0)</x:f>
        <x:v>1</x:v>
      </x:c>
      <x:c r="I1180" s="9" t="n">
        <x:f>MIN(10,F1179+IF(AR1179&gt;0,MIN(1,AS1179/AR1179),1))</x:f>
        <x:v>6.609483205815867</x:v>
      </x:c>
      <x:c r="J1180" s="32" t="n">
        <x:f>INDEX(v01_FoodCap,G1180)*Arch_FoodCap*EXP(v01_CapsByProject*SUMPRODUCT((Cap_Point&lt;=I1180)*(Cap_Kind="Food")*Cap_Ln))</x:f>
        <x:v>1000</x:v>
      </x:c>
      <x:c r="K1180" s="32" t="n">
        <x:f>J1180*MIN(1,v01_LeanBase*EXP(v01_CapsByProject*SUMPRODUCT((Cap_Point&lt;=I1180)*(Cap_Kind="Lean")*Cap_Ln)))</x:f>
        <x:v>1000</x:v>
      </x:c>
      <x:c r="L1180" s="10" t="n">
        <x:f>INDEX(v01_HousingCap,G1180)*EXP(v01_CapsByProject*SUMPRODUCT((Cap_Point&lt;=I1180)*(Cap_Kind="Housing")*Cap_Ln))</x:f>
        <x:v>1600</x:v>
      </x:c>
      <x:c r="M1180" s="10" t="n">
        <x:f>INDEX(v01_GroupCap,G1180)*v01_CohesionFactor*EXP(v01_CapsByProject*SUMPRODUCT((Cap_Point&lt;=I1180)*(Cap_Kind="Group")*Cap_Ln))</x:f>
        <x:v>1000000</x:v>
      </x:c>
      <x:c r="N1180" s="32" t="n">
        <x:f>MIN(J1180,L1180,M1180)</x:f>
        <x:v>1000</x:v>
      </x:c>
      <x:c r="O1180" s="10" t="n">
        <x:f>AE1179*N1180</x:f>
        <x:v>16000</x:v>
      </x:c>
      <x:c r="P1180" s="9" t="n">
        <x:f>MIN(1,(AB1179/(AE1179*IF(v01_GroupInCrowding=1,N1180,MIN(J1180,L1180))))^v01_CrowdingExp)</x:f>
        <x:v>0.05278991443313894</x:v>
      </x:c>
      <x:c r="Q1180" s="9" t="n">
        <x:f>IF(D1180=1,INDEX(v01_WinterMult,G1180),1)</x:f>
        <x:v>1</x:v>
      </x:c>
      <x:c r="R1180" s="9" t="n">
        <x:f>H1180*Z1179*v01_WomenShare*v01_BaseFertility*INDEX(v01_FertMult,G1180)*Arch_Fertility*(1-P1180)</x:f>
        <x:v>123.44360188936152</x:v>
      </x:c>
      <x:c r="S1180" s="9" t="n">
        <x:f>H1180*Y1179*INDEX(v01_MortChild,G1180)/4*Q1180</x:f>
        <x:v>22.54081124934659</x:v>
      </x:c>
      <x:c r="T1180" s="9" t="n">
        <x:f>H1180*Z1179*INDEX(v01_MortAdult,G1180)*Arch_AdultMort/4*Q1180</x:f>
        <x:v>9.308811497375043</x:v>
      </x:c>
      <x:c r="U1180" s="9" t="n">
        <x:f>H1180*AA1179*INDEX(v01_MortElder,G1180)/4*Q1180</x:f>
        <x:v>21.506364001714378</x:v>
      </x:c>
      <x:c r="V1180" s="9" t="n">
        <x:f>H1180*MAX(0,AB1179-O1180)*v01_OvercapLoss</x:f>
        <x:v>0</x:v>
      </x:c>
      <x:c r="W1180" s="9" t="n">
        <x:f>H1180*Y1179/(v01_ChildYears*4)</x:f>
        <x:v>73.18445210826815</x:v>
      </x:c>
      <x:c r="X1180" s="9" t="n">
        <x:f>H1180*Z1179/(v01_AdultYears*4)</x:f>
        <x:v>33.36491576120087</x:v>
      </x:c>
      <x:c r="Y1180" s="32" t="n">
        <x:f>Y1179+R1180-S1180-W1180-Y1179*V1180/AB1179</x:f>
        <x:v>4126.047656594762</x:v>
      </x:c>
      <x:c r="Z1180" s="32" t="n">
        <x:f>Z1179+W1180-X1180-T1180-Z1179*V1180/AB1179</x:f>
        <x:v>4167.760279238601</x:v>
      </x:c>
      <x:c r="AA1180" s="32" t="n">
        <x:f>AA1179+X1180-U1180-AA1179*V1180/AB1179</x:f>
        <x:v>1575.9577518841684</x:v>
      </x:c>
      <x:c r="AB1180" s="10" t="n">
        <x:f>Y1180+Z1180+AA1180</x:f>
        <x:v>9869.765687717532</x:v>
      </x:c>
      <x:c r="AC1180" s="8" t="n">
        <x:f>IF(AND(v01_WinterTrigger=1,D1180=1,AB1179/AE1179&gt;=K1180),1,0)</x:f>
        <x:v>0</x:v>
      </x:c>
      <x:c r="AD1180" s="8" t="n">
        <x:f>H1180*IF(AND(OR(AB1179/AE1179&gt;=v01_FissionTrigger*N1180,AC1180=1),AB1179/AE1179*v01_DaughterShare&gt;=v01_MinDaughter),MAX(1,ROUND(AE1179*v01_FissionRate,0)),0)</x:f>
        <x:v>0</x:v>
      </x:c>
      <x:c r="AE1180" s="8" t="n">
        <x:f>IF(H1180=1,MAX(1,MIN(INDEX(v01_Smax,G1180),AE1179+AD1180)),AE1179)</x:f>
        <x:v>16</x:v>
      </x:c>
      <x:c r="AF1180" s="8" t="n">
        <x:f>MAX(0,AE1180-AE1179)</x:f>
        <x:v>0</x:v>
      </x:c>
      <x:c r="AG1180" s="9" t="str">
        <x:f>IF(AF1180&gt;0,B1180,"")</x:f>
      </x:c>
      <x:c r="AH1180" s="9" t="n">
        <x:f>IF(F1180&gt;=1,1,(1+v01_LowTiesShare*(AE1180-1))/AE1180)</x:f>
        <x:v>1</x:v>
      </x:c>
      <x:c r="AI1180" s="32" t="n">
        <x:f>(Z1180+v01_ElderCommons*INDEX(LM_Elder,G1180)*AA1180)*AH1180</x:f>
        <x:v>10077.601848804232</x:v>
      </x:c>
      <x:c r="AJ1180" s="32" t="n">
        <x:f>H1180*v01_CommonsCoef*AI1180^v01_CommonsExp*INDEX(LM_Commons,G1180)</x:f>
        <x:v>2207.3709086723225</x:v>
      </x:c>
      <x:c r="AK1180" s="32" t="n">
        <x:f>H1180*v01_RoleScale*Arch_Roles*(AE1180*(INDEX(v01_ElderRolePerSett,G1180)*v01_OutElder*INDEX(LM_Elder,G1180)+INDEX(v01_ShamanPerSett,G1180)*v01_OutShaman)+Z1180*(INDEX(v01_PriestShare,G1180)*v01_OutPriest+INDEX(v01_ScribeShare,G1180)*v01_OutScribe*INDEX(LM_Scribe,G1180)+INDEX(v01_ScholarShare,G1180)*v01_OutScholar*INDEX(LM_Scholar,G1180)+INDEX(v01_ResearcherShare,G1180)*v01_OutResearcher*INDEX(LM_Researcher,G1180)))</x:f>
        <x:v>579.5545712119875</x:v>
      </x:c>
      <x:c r="AL1180" s="32" t="n">
        <x:f>H1180*v01_RoleScale*Arch_Roles*AE1180*INDEX(v01_MonasteryPerSett,G1180)*v01_OutMonastery*INDEX(LM_Monastery,G1180)</x:f>
        <x:v>10.56</x:v>
      </x:c>
      <x:c r="AM1180" s="32" t="n">
        <x:f>(AJ1180+AK1180+AL1180)/4*INDEX(LM_All,G1180)*INDEX(v01_Boon,G1180)*Arch_Insight</x:f>
        <x:v>1278.3634666818796</x:v>
      </x:c>
      <x:c r="AN1180" s="32" t="n">
        <x:f>H1180*(v01_KHPerAdult*Z1180+v01_KHOfCommons*AJ1180/4*INDEX(LM_All,G1180))*v01_KHUsable*Arch_KH</x:f>
        <x:v>145.871609773351</x:v>
      </x:c>
      <x:c r="AO1180" s="32" t="n">
        <x:f>MIN(AP1179+AN1180,AM1180*v01_KHMaxRatio)</x:f>
        <x:v>145.871609773351</x:v>
      </x:c>
      <x:c r="AP1180" s="32" t="n">
        <x:f>AP1179+AN1180-AO1180</x:f>
        <x:v>0</x:v>
      </x:c>
      <x:c r="AQ1180" s="32" t="n">
        <x:f>AM1180+AO1180</x:f>
        <x:v>1424.2350764552307</x:v>
      </x:c>
      <x:c r="AR1180" s="10" t="n">
        <x:f>IF(H1180=1,INDEX(v01_Req,G1180),0)</x:f>
        <x:v>113395.942036</x:v>
      </x:c>
      <x:c r="AS1180" s="32" t="n">
        <x:f>IF(H1180=1,IF(E1180=1,AS1179-AR1179,AS1179)+AQ1180,0)</x:f>
        <x:v>70537.15735506665</x:v>
      </x:c>
      <x:c r="AT1180" s="11" t="n">
        <x:f>IF(AR1180&gt;0,MIN(1,AS1180/AR1180),1)</x:f>
        <x:v>0.6220430474723082</x:v>
      </x:c>
      <x:c r="AU1180" s="10" t="n">
        <x:f>AB1180/INDEX(v01_RepScale,G1180)</x:f>
        <x:v>197.39531375435064</x:v>
      </x:c>
      <x:c r="AV1180" s="32" t="n">
        <x:f>AM1180*60/v01_SeasonSeconds</x:f>
        <x:v>5113.453866727518</x:v>
      </x:c>
    </x:row>
    <x:row r="1181">
      <x:c r="A1181" s="8" t="n">
        <x:f>A1180+1</x:f>
        <x:v>1178</x:v>
      </x:c>
      <x:c r="B1181" s="9" t="n">
        <x:f>A1181*v01_SeasonSeconds/60</x:f>
        <x:v>294.5</x:v>
      </x:c>
      <x:c r="C1181" s="9" t="n">
        <x:f>A1181/4</x:f>
        <x:v>294.5</x:v>
      </x:c>
      <x:c r="D1181" s="8" t="n">
        <x:f>IF(MOD(A1181,4)=0,1,0)</x:f>
        <x:v>0</x:v>
      </x:c>
      <x:c r="E1181" s="8" t="n">
        <x:f>IF(AND(F1180&lt;=9,AS1180&gt;=AR1180),1,0)</x:f>
        <x:v>0</x:v>
      </x:c>
      <x:c r="F1181" s="8" t="n">
        <x:f>MIN(10,F1180+E1181)</x:f>
        <x:v>6</x:v>
      </x:c>
      <x:c r="G1181" s="8" t="n">
        <x:f>MIN(F1181,9)+1</x:f>
        <x:v>7</x:v>
      </x:c>
      <x:c r="H1181" s="8" t="n">
        <x:f>IF(F1181&lt;=9,1,0)</x:f>
        <x:v>1</x:v>
      </x:c>
      <x:c r="I1181" s="9" t="n">
        <x:f>MIN(10,F1180+IF(AR1180&gt;0,MIN(1,AS1180/AR1180),1))</x:f>
        <x:v>6.622043047472308</x:v>
      </x:c>
      <x:c r="J1181" s="32" t="n">
        <x:f>INDEX(v01_FoodCap,G1181)*Arch_FoodCap*EXP(v01_CapsByProject*SUMPRODUCT((Cap_Point&lt;=I1181)*(Cap_Kind="Food")*Cap_Ln))</x:f>
        <x:v>1000</x:v>
      </x:c>
      <x:c r="K1181" s="32" t="n">
        <x:f>J1181*MIN(1,v01_LeanBase*EXP(v01_CapsByProject*SUMPRODUCT((Cap_Point&lt;=I1181)*(Cap_Kind="Lean")*Cap_Ln)))</x:f>
        <x:v>1000</x:v>
      </x:c>
      <x:c r="L1181" s="10" t="n">
        <x:f>INDEX(v01_HousingCap,G1181)*EXP(v01_CapsByProject*SUMPRODUCT((Cap_Point&lt;=I1181)*(Cap_Kind="Housing")*Cap_Ln))</x:f>
        <x:v>1600</x:v>
      </x:c>
      <x:c r="M1181" s="10" t="n">
        <x:f>INDEX(v01_GroupCap,G1181)*v01_CohesionFactor*EXP(v01_CapsByProject*SUMPRODUCT((Cap_Point&lt;=I1181)*(Cap_Kind="Group")*Cap_Ln))</x:f>
        <x:v>1000000</x:v>
      </x:c>
      <x:c r="N1181" s="32" t="n">
        <x:f>MIN(J1181,L1181,M1181)</x:f>
        <x:v>1000</x:v>
      </x:c>
      <x:c r="O1181" s="10" t="n">
        <x:f>AE1180*N1181</x:f>
        <x:v>16000</x:v>
      </x:c>
      <x:c r="P1181" s="9" t="n">
        <x:f>MIN(1,(AB1180/(AE1180*IF(v01_GroupInCrowding=1,N1181,MIN(J1181,L1181))))^v01_CrowdingExp)</x:f>
        <x:v>0.05509613813714745</x:v>
      </x:c>
      <x:c r="Q1181" s="9" t="n">
        <x:f>IF(D1181=1,INDEX(v01_WinterMult,G1181),1)</x:f>
        <x:v>1</x:v>
      </x:c>
      <x:c r="R1181" s="9" t="n">
        <x:f>H1181*Z1180*v01_WomenShare*v01_BaseFertility*INDEX(v01_FertMult,G1181)*Arch_Fertility*(1-P1181)</x:f>
        <x:v>124.05118266989136</x:v>
      </x:c>
      <x:c r="S1181" s="9" t="n">
        <x:f>H1181*Y1180*INDEX(v01_MortChild,G1181)/4*Q1181</x:f>
        <x:v>22.69326211127119</x:v>
      </x:c>
      <x:c r="T1181" s="9" t="n">
        <x:f>H1181*Z1180*INDEX(v01_MortAdult,G1181)*Arch_AdultMort/4*Q1181</x:f>
        <x:v>9.377460628286851</x:v>
      </x:c>
      <x:c r="U1181" s="9" t="n">
        <x:f>H1181*AA1180*INDEX(v01_MortElder,G1181)/4*Q1181</x:f>
        <x:v>21.669419088407317</x:v>
      </x:c>
      <x:c r="V1181" s="9" t="n">
        <x:f>H1181*MAX(0,AB1180-O1181)*v01_OvercapLoss</x:f>
        <x:v>0</x:v>
      </x:c>
      <x:c r="W1181" s="9" t="n">
        <x:f>H1181*Y1180/(v01_ChildYears*4)</x:f>
        <x:v>73.67942243919218</x:v>
      </x:c>
      <x:c r="X1181" s="9" t="n">
        <x:f>H1181*Z1180/(v01_AdultYears*4)</x:f>
        <x:v>33.61096999385968</x:v>
      </x:c>
      <x:c r="Y1181" s="32" t="n">
        <x:f>Y1180+R1181-S1181-W1181-Y1180*V1181/AB1180</x:f>
        <x:v>4153.72615471419</x:v>
      </x:c>
      <x:c r="Z1181" s="32" t="n">
        <x:f>Z1180+W1181-X1181-T1181-Z1180*V1181/AB1180</x:f>
        <x:v>4198.451271055646</x:v>
      </x:c>
      <x:c r="AA1181" s="32" t="n">
        <x:f>AA1180+X1181-U1181-AA1180*V1181/AB1180</x:f>
        <x:v>1587.8993027896208</x:v>
      </x:c>
      <x:c r="AB1181" s="10" t="n">
        <x:f>Y1181+Z1181+AA1181</x:f>
        <x:v>9940.076728559457</x:v>
      </x:c>
      <x:c r="AC1181" s="8" t="n">
        <x:f>IF(AND(v01_WinterTrigger=1,D1181=1,AB1180/AE1180&gt;=K1181),1,0)</x:f>
        <x:v>0</x:v>
      </x:c>
      <x:c r="AD1181" s="8" t="n">
        <x:f>H1181*IF(AND(OR(AB1180/AE1180&gt;=v01_FissionTrigger*N1181,AC1181=1),AB1180/AE1180*v01_DaughterShare&gt;=v01_MinDaughter),MAX(1,ROUND(AE1180*v01_FissionRate,0)),0)</x:f>
        <x:v>0</x:v>
      </x:c>
      <x:c r="AE1181" s="8" t="n">
        <x:f>IF(H1181=1,MAX(1,MIN(INDEX(v01_Smax,G1181),AE1180+AD1181)),AE1180)</x:f>
        <x:v>16</x:v>
      </x:c>
      <x:c r="AF1181" s="8" t="n">
        <x:f>MAX(0,AE1181-AE1180)</x:f>
        <x:v>0</x:v>
      </x:c>
      <x:c r="AG1181" s="9" t="str">
        <x:f>IF(AF1181&gt;0,B1181,"")</x:f>
      </x:c>
      <x:c r="AH1181" s="9" t="n">
        <x:f>IF(F1181&gt;=1,1,(1+v01_LowTiesShare*(AE1181-1))/AE1181)</x:f>
        <x:v>1</x:v>
      </x:c>
      <x:c r="AI1181" s="32" t="n">
        <x:f>(Z1181+v01_ElderCommons*INDEX(LM_Elder,G1181)*AA1181)*AH1181</x:f>
        <x:v>10153.073656516724</x:v>
      </x:c>
      <x:c r="AJ1181" s="32" t="n">
        <x:f>H1181*v01_CommonsCoef*AI1181^v01_CommonsExp*INDEX(LM_Commons,G1181)</x:f>
        <x:v>2221.4145099826846</x:v>
      </x:c>
      <x:c r="AK1181" s="32" t="n">
        <x:f>H1181*v01_RoleScale*Arch_Roles*(AE1181*(INDEX(v01_ElderRolePerSett,G1181)*v01_OutElder*INDEX(LM_Elder,G1181)+INDEX(v01_ShamanPerSett,G1181)*v01_OutShaman)+Z1181*(INDEX(v01_PriestShare,G1181)*v01_OutPriest+INDEX(v01_ScribeShare,G1181)*v01_OutScribe*INDEX(LM_Scribe,G1181)+INDEX(v01_ScholarShare,G1181)*v01_OutScholar*INDEX(LM_Scholar,G1181)+INDEX(v01_ResearcherShare,G1181)*v01_OutResearcher*INDEX(LM_Researcher,G1181)))</x:f>
        <x:v>583.424705280117</x:v>
      </x:c>
      <x:c r="AL1181" s="32" t="n">
        <x:f>H1181*v01_RoleScale*Arch_Roles*AE1181*INDEX(v01_MonasteryPerSett,G1181)*v01_OutMonastery*INDEX(LM_Monastery,G1181)</x:f>
        <x:v>10.56</x:v>
      </x:c>
      <x:c r="AM1181" s="32" t="n">
        <x:f>(AJ1181+AK1181+AL1181)/4*INDEX(LM_All,G1181)*INDEX(v01_Boon,G1181)*Arch_Insight</x:f>
        <x:v>1286.549484097998</x:v>
      </x:c>
      <x:c r="AN1181" s="32" t="n">
        <x:f>H1181*(v01_KHPerAdult*Z1181+v01_KHOfCommons*AJ1181/4*INDEX(LM_All,G1181))*v01_KHUsable*Arch_KH</x:f>
        <x:v>146.94579448694762</x:v>
      </x:c>
      <x:c r="AO1181" s="32" t="n">
        <x:f>MIN(AP1180+AN1181,AM1181*v01_KHMaxRatio)</x:f>
        <x:v>146.94579448694762</x:v>
      </x:c>
      <x:c r="AP1181" s="32" t="n">
        <x:f>AP1180+AN1181-AO1181</x:f>
        <x:v>0</x:v>
      </x:c>
      <x:c r="AQ1181" s="32" t="n">
        <x:f>AM1181+AO1181</x:f>
        <x:v>1433.4952785849455</x:v>
      </x:c>
      <x:c r="AR1181" s="10" t="n">
        <x:f>IF(H1181=1,INDEX(v01_Req,G1181),0)</x:f>
        <x:v>113395.942036</x:v>
      </x:c>
      <x:c r="AS1181" s="32" t="n">
        <x:f>IF(H1181=1,IF(E1181=1,AS1180-AR1180,AS1180)+AQ1181,0)</x:f>
        <x:v>71970.6526336516</x:v>
      </x:c>
      <x:c r="AT1181" s="11" t="n">
        <x:f>IF(AR1181&gt;0,MIN(1,AS1181/AR1181),1)</x:f>
        <x:v>0.6346845516817785</x:v>
      </x:c>
      <x:c r="AU1181" s="10" t="n">
        <x:f>AB1181/INDEX(v01_RepScale,G1181)</x:f>
        <x:v>198.80153457118914</x:v>
      </x:c>
      <x:c r="AV1181" s="32" t="n">
        <x:f>AM1181*60/v01_SeasonSeconds</x:f>
        <x:v>5146.197936391992</x:v>
      </x:c>
    </x:row>
    <x:row r="1182">
      <x:c r="A1182" s="8" t="n">
        <x:f>A1181+1</x:f>
        <x:v>1179</x:v>
      </x:c>
      <x:c r="B1182" s="9" t="n">
        <x:f>A1182*v01_SeasonSeconds/60</x:f>
        <x:v>294.75</x:v>
      </x:c>
      <x:c r="C1182" s="9" t="n">
        <x:f>A1182/4</x:f>
        <x:v>294.75</x:v>
      </x:c>
      <x:c r="D1182" s="8" t="n">
        <x:f>IF(MOD(A1182,4)=0,1,0)</x:f>
        <x:v>0</x:v>
      </x:c>
      <x:c r="E1182" s="8" t="n">
        <x:f>IF(AND(F1181&lt;=9,AS1181&gt;=AR1181),1,0)</x:f>
        <x:v>0</x:v>
      </x:c>
      <x:c r="F1182" s="8" t="n">
        <x:f>MIN(10,F1181+E1182)</x:f>
        <x:v>6</x:v>
      </x:c>
      <x:c r="G1182" s="8" t="n">
        <x:f>MIN(F1182,9)+1</x:f>
        <x:v>7</x:v>
      </x:c>
      <x:c r="H1182" s="8" t="n">
        <x:f>IF(F1182&lt;=9,1,0)</x:f>
        <x:v>1</x:v>
      </x:c>
      <x:c r="I1182" s="9" t="n">
        <x:f>MIN(10,F1181+IF(AR1181&gt;0,MIN(1,AS1181/AR1181),1))</x:f>
        <x:v>6.6346845516817785</x:v>
      </x:c>
      <x:c r="J1182" s="32" t="n">
        <x:f>INDEX(v01_FoodCap,G1182)*Arch_FoodCap*EXP(v01_CapsByProject*SUMPRODUCT((Cap_Point&lt;=I1182)*(Cap_Kind="Food")*Cap_Ln))</x:f>
        <x:v>1000</x:v>
      </x:c>
      <x:c r="K1182" s="32" t="n">
        <x:f>J1182*MIN(1,v01_LeanBase*EXP(v01_CapsByProject*SUMPRODUCT((Cap_Point&lt;=I1182)*(Cap_Kind="Lean")*Cap_Ln)))</x:f>
        <x:v>1000</x:v>
      </x:c>
      <x:c r="L1182" s="10" t="n">
        <x:f>INDEX(v01_HousingCap,G1182)*EXP(v01_CapsByProject*SUMPRODUCT((Cap_Point&lt;=I1182)*(Cap_Kind="Housing")*Cap_Ln))</x:f>
        <x:v>1600</x:v>
      </x:c>
      <x:c r="M1182" s="10" t="n">
        <x:f>INDEX(v01_GroupCap,G1182)*v01_CohesionFactor*EXP(v01_CapsByProject*SUMPRODUCT((Cap_Point&lt;=I1182)*(Cap_Kind="Group")*Cap_Ln))</x:f>
        <x:v>1000000</x:v>
      </x:c>
      <x:c r="N1182" s="32" t="n">
        <x:f>MIN(J1182,L1182,M1182)</x:f>
        <x:v>1000</x:v>
      </x:c>
      <x:c r="O1182" s="10" t="n">
        <x:f>AE1181*N1182</x:f>
        <x:v>16000</x:v>
      </x:c>
      <x:c r="P1182" s="9" t="n">
        <x:f>MIN(1,(AB1181/(AE1181*IF(v01_GroupInCrowding=1,N1182,MIN(J1182,L1182))))^v01_CrowdingExp)</x:f>
        <x:v>0.05749347047515613</x:v>
      </x:c>
      <x:c r="Q1182" s="9" t="n">
        <x:f>IF(D1182=1,INDEX(v01_WinterMult,G1182),1)</x:f>
        <x:v>1</x:v>
      </x:c>
      <x:c r="R1182" s="9" t="n">
        <x:f>H1182*Z1181*v01_WomenShare*v01_BaseFertility*INDEX(v01_FertMult,G1182)*Arch_Fertility*(1-P1182)</x:f>
        <x:v>124.64763371114755</x:v>
      </x:c>
      <x:c r="S1182" s="9" t="n">
        <x:f>H1182*Y1181*INDEX(v01_MortChild,G1182)/4*Q1182</x:f>
        <x:v>22.845493850928044</x:v>
      </x:c>
      <x:c r="T1182" s="9" t="n">
        <x:f>H1182*Z1181*INDEX(v01_MortAdult,G1182)*Arch_AdultMort/4*Q1182</x:f>
        <x:v>9.446515359875203</x:v>
      </x:c>
      <x:c r="U1182" s="9" t="n">
        <x:f>H1182*AA1181*INDEX(v01_MortElder,G1182)/4*Q1182</x:f>
        <x:v>21.833615413357286</x:v>
      </x:c>
      <x:c r="V1182" s="9" t="n">
        <x:f>H1182*MAX(0,AB1181-O1182)*v01_OvercapLoss</x:f>
        <x:v>0</x:v>
      </x:c>
      <x:c r="W1182" s="9" t="n">
        <x:f>H1182*Y1181/(v01_ChildYears*4)</x:f>
        <x:v>74.17368133418196</x:v>
      </x:c>
      <x:c r="X1182" s="9" t="n">
        <x:f>H1182*Z1181/(v01_AdultYears*4)</x:f>
        <x:v>33.858477992384245</x:v>
      </x:c>
      <x:c r="Y1182" s="32" t="n">
        <x:f>Y1181+R1182-S1182-W1182-Y1181*V1182/AB1181</x:f>
        <x:v>4181.354613240227</x:v>
      </x:c>
      <x:c r="Z1182" s="32" t="n">
        <x:f>Z1181+W1182-X1182-T1182-Z1181*V1182/AB1181</x:f>
        <x:v>4229.31995903757</x:v>
      </x:c>
      <x:c r="AA1182" s="32" t="n">
        <x:f>AA1181+X1182-U1182-AA1181*V1182/AB1181</x:f>
        <x:v>1599.9241653686477</x:v>
      </x:c>
      <x:c r="AB1182" s="10" t="n">
        <x:f>Y1182+Z1182+AA1182</x:f>
        <x:v>10010.598737646444</x:v>
      </x:c>
      <x:c r="AC1182" s="8" t="n">
        <x:f>IF(AND(v01_WinterTrigger=1,D1182=1,AB1181/AE1181&gt;=K1182),1,0)</x:f>
        <x:v>0</x:v>
      </x:c>
      <x:c r="AD1182" s="8" t="n">
        <x:f>H1182*IF(AND(OR(AB1181/AE1181&gt;=v01_FissionTrigger*N1182,AC1182=1),AB1181/AE1181*v01_DaughterShare&gt;=v01_MinDaughter),MAX(1,ROUND(AE1181*v01_FissionRate,0)),0)</x:f>
        <x:v>0</x:v>
      </x:c>
      <x:c r="AE1182" s="8" t="n">
        <x:f>IF(H1182=1,MAX(1,MIN(INDEX(v01_Smax,G1182),AE1181+AD1182)),AE1181)</x:f>
        <x:v>16</x:v>
      </x:c>
      <x:c r="AF1182" s="8" t="n">
        <x:f>MAX(0,AE1182-AE1181)</x:f>
        <x:v>0</x:v>
      </x:c>
      <x:c r="AG1182" s="9" t="str">
        <x:f>IF(AF1182&gt;0,B1182,"")</x:f>
      </x:c>
      <x:c r="AH1182" s="9" t="n">
        <x:f>IF(F1182&gt;=1,1,(1+v01_LowTiesShare*(AE1182-1))/AE1182)</x:f>
        <x:v>1</x:v>
      </x:c>
      <x:c r="AI1182" s="32" t="n">
        <x:f>(Z1182+v01_ElderCommons*INDEX(LM_Elder,G1182)*AA1182)*AH1182</x:f>
        <x:v>10229.035579169999</x:v>
      </x:c>
      <x:c r="AJ1182" s="32" t="n">
        <x:f>H1182*v01_CommonsCoef*AI1182^v01_CommonsExp*INDEX(LM_Commons,G1182)</x:f>
        <x:v>2235.5335079688352</x:v>
      </x:c>
      <x:c r="AK1182" s="32" t="n">
        <x:f>H1182*v01_RoleScale*Arch_Roles*(AE1182*(INDEX(v01_ElderRolePerSett,G1182)*v01_OutElder*INDEX(LM_Elder,G1182)+INDEX(v01_ShamanPerSett,G1182)*v01_OutShaman)+Z1182*(INDEX(v01_PriestShare,G1182)*v01_OutPriest+INDEX(v01_ScribeShare,G1182)*v01_OutScribe*INDEX(LM_Scribe,G1182)+INDEX(v01_ScholarShare,G1182)*v01_OutScholar*INDEX(LM_Scholar,G1182)+INDEX(v01_ResearcherShare,G1182)*v01_OutResearcher*INDEX(LM_Researcher,G1182)))</x:f>
        <x:v>587.3172468346376</x:v>
      </x:c>
      <x:c r="AL1182" s="32" t="n">
        <x:f>H1182*v01_RoleScale*Arch_Roles*AE1182*INDEX(v01_MonasteryPerSett,G1182)*v01_OutMonastery*INDEX(LM_Monastery,G1182)</x:f>
        <x:v>10.56</x:v>
      </x:c>
      <x:c r="AM1182" s="32" t="n">
        <x:f>(AJ1182+AK1182+AL1182)/4*INDEX(LM_All,G1182)*INDEX(v01_Boon,G1182)*Arch_Insight</x:f>
        <x:v>1294.780194960684</x:v>
      </x:c>
      <x:c r="AN1182" s="32" t="n">
        <x:f>H1182*(v01_KHPerAdult*Z1182+v01_KHOfCommons*AJ1182/4*INDEX(LM_All,G1182))*v01_KHUsable*Arch_KH</x:f>
        <x:v>148.02619856631495</x:v>
      </x:c>
      <x:c r="AO1182" s="32" t="n">
        <x:f>MIN(AP1181+AN1182,AM1182*v01_KHMaxRatio)</x:f>
        <x:v>148.02619856631495</x:v>
      </x:c>
      <x:c r="AP1182" s="32" t="n">
        <x:f>AP1181+AN1182-AO1182</x:f>
        <x:v>0</x:v>
      </x:c>
      <x:c r="AQ1182" s="32" t="n">
        <x:f>AM1182+AO1182</x:f>
        <x:v>1442.8063935269988</x:v>
      </x:c>
      <x:c r="AR1182" s="10" t="n">
        <x:f>IF(H1182=1,INDEX(v01_Req,G1182),0)</x:f>
        <x:v>113395.942036</x:v>
      </x:c>
      <x:c r="AS1182" s="32" t="n">
        <x:f>IF(H1182=1,IF(E1182=1,AS1181-AR1181,AS1181)+AQ1182,0)</x:f>
        <x:v>73413.4590271786</x:v>
      </x:c>
      <x:c r="AT1182" s="11" t="n">
        <x:f>IF(AR1182&gt;0,MIN(1,AS1182/AR1182),1)</x:f>
        <x:v>0.647408167426943</x:v>
      </x:c>
      <x:c r="AU1182" s="10" t="n">
        <x:f>AB1182/INDEX(v01_RepScale,G1182)</x:f>
        <x:v>200.21197475292888</x:v>
      </x:c>
      <x:c r="AV1182" s="32" t="n">
        <x:f>AM1182*60/v01_SeasonSeconds</x:f>
        <x:v>5179.120779842736</x:v>
      </x:c>
    </x:row>
    <x:row r="1183">
      <x:c r="A1183" s="8" t="n">
        <x:f>A1182+1</x:f>
        <x:v>1180</x:v>
      </x:c>
      <x:c r="B1183" s="9" t="n">
        <x:f>A1183*v01_SeasonSeconds/60</x:f>
        <x:v>295</x:v>
      </x:c>
      <x:c r="C1183" s="9" t="n">
        <x:f>A1183/4</x:f>
        <x:v>295</x:v>
      </x:c>
      <x:c r="D1183" s="8" t="n">
        <x:f>IF(MOD(A1183,4)=0,1,0)</x:f>
        <x:v>1</x:v>
      </x:c>
      <x:c r="E1183" s="8" t="n">
        <x:f>IF(AND(F1182&lt;=9,AS1182&gt;=AR1182),1,0)</x:f>
        <x:v>0</x:v>
      </x:c>
      <x:c r="F1183" s="8" t="n">
        <x:f>MIN(10,F1182+E1183)</x:f>
        <x:v>6</x:v>
      </x:c>
      <x:c r="G1183" s="8" t="n">
        <x:f>MIN(F1183,9)+1</x:f>
        <x:v>7</x:v>
      </x:c>
      <x:c r="H1183" s="8" t="n">
        <x:f>IF(F1183&lt;=9,1,0)</x:f>
        <x:v>1</x:v>
      </x:c>
      <x:c r="I1183" s="9" t="n">
        <x:f>MIN(10,F1182+IF(AR1182&gt;0,MIN(1,AS1182/AR1182),1))</x:f>
        <x:v>6.647408167426943</x:v>
      </x:c>
      <x:c r="J1183" s="32" t="n">
        <x:f>INDEX(v01_FoodCap,G1183)*Arch_FoodCap*EXP(v01_CapsByProject*SUMPRODUCT((Cap_Point&lt;=I1183)*(Cap_Kind="Food")*Cap_Ln))</x:f>
        <x:v>1000</x:v>
      </x:c>
      <x:c r="K1183" s="32" t="n">
        <x:f>J1183*MIN(1,v01_LeanBase*EXP(v01_CapsByProject*SUMPRODUCT((Cap_Point&lt;=I1183)*(Cap_Kind="Lean")*Cap_Ln)))</x:f>
        <x:v>1000</x:v>
      </x:c>
      <x:c r="L1183" s="10" t="n">
        <x:f>INDEX(v01_HousingCap,G1183)*EXP(v01_CapsByProject*SUMPRODUCT((Cap_Point&lt;=I1183)*(Cap_Kind="Housing")*Cap_Ln))</x:f>
        <x:v>1600</x:v>
      </x:c>
      <x:c r="M1183" s="10" t="n">
        <x:f>INDEX(v01_GroupCap,G1183)*v01_CohesionFactor*EXP(v01_CapsByProject*SUMPRODUCT((Cap_Point&lt;=I1183)*(Cap_Kind="Group")*Cap_Ln))</x:f>
        <x:v>1000000</x:v>
      </x:c>
      <x:c r="N1183" s="32" t="n">
        <x:f>MIN(J1183,L1183,M1183)</x:f>
        <x:v>1000</x:v>
      </x:c>
      <x:c r="O1183" s="10" t="n">
        <x:f>AE1182*N1183</x:f>
        <x:v>16000</x:v>
      </x:c>
      <x:c r="P1183" s="9" t="n">
        <x:f>MIN(1,(AB1182/(AE1182*IF(v01_GroupInCrowding=1,N1183,MIN(J1183,L1183))))^v01_CrowdingExp)</x:f>
        <x:v>0.05998469092873142</x:v>
      </x:c>
      <x:c r="Q1183" s="9" t="n">
        <x:f>IF(D1183=1,INDEX(v01_WinterMult,G1183),1)</x:f>
        <x:v>1</x:v>
      </x:c>
      <x:c r="R1183" s="9" t="n">
        <x:f>H1183*Z1182*v01_WomenShare*v01_BaseFertility*INDEX(v01_FertMult,G1183)*Arch_Fertility*(1-P1183)</x:f>
        <x:v>125.23220351636358</x:v>
      </x:c>
      <x:c r="S1183" s="9" t="n">
        <x:f>H1183*Y1182*INDEX(v01_MortChild,G1183)/4*Q1183</x:f>
        <x:v>22.99745037282125</x:v>
      </x:c>
      <x:c r="T1183" s="9" t="n">
        <x:f>H1183*Z1182*INDEX(v01_MortAdult,G1183)*Arch_AdultMort/4*Q1183</x:f>
        <x:v>9.515969907834531</x:v>
      </x:c>
      <x:c r="U1183" s="9" t="n">
        <x:f>H1183*AA1182*INDEX(v01_MortElder,G1183)/4*Q1183</x:f>
        <x:v>21.998957273818906</x:v>
      </x:c>
      <x:c r="V1183" s="9" t="n">
        <x:f>H1183*MAX(0,AB1182-O1183)*v01_OvercapLoss</x:f>
        <x:v>0</x:v>
      </x:c>
      <x:c r="W1183" s="9" t="n">
        <x:f>H1183*Y1182/(v01_ChildYears*4)</x:f>
        <x:v>74.66704666500405</x:v>
      </x:c>
      <x:c r="X1183" s="9" t="n">
        <x:f>H1183*Z1182/(v01_AdultYears*4)</x:f>
        <x:v>34.10741902449653</x:v>
      </x:c>
      <x:c r="Y1183" s="32" t="n">
        <x:f>Y1182+R1183-S1183-W1183-Y1182*V1183/AB1182</x:f>
        <x:v>4208.922319718766</x:v>
      </x:c>
      <x:c r="Z1183" s="32" t="n">
        <x:f>Z1182+W1183-X1183-T1183-Z1182*V1183/AB1182</x:f>
        <x:v>4260.3636167702425</x:v>
      </x:c>
      <x:c r="AA1183" s="32" t="n">
        <x:f>AA1182+X1183-U1183-AA1182*V1183/AB1182</x:f>
        <x:v>1612.0326271193253</x:v>
      </x:c>
      <x:c r="AB1183" s="10" t="n">
        <x:f>Y1183+Z1183+AA1183</x:f>
        <x:v>10081.318563608333</x:v>
      </x:c>
      <x:c r="AC1183" s="8" t="n">
        <x:f>IF(AND(v01_WinterTrigger=1,D1183=1,AB1182/AE1182&gt;=K1183),1,0)</x:f>
        <x:v>0</x:v>
      </x:c>
      <x:c r="AD1183" s="8" t="n">
        <x:f>H1183*IF(AND(OR(AB1182/AE1182&gt;=v01_FissionTrigger*N1183,AC1183=1),AB1182/AE1182*v01_DaughterShare&gt;=v01_MinDaughter),MAX(1,ROUND(AE1182*v01_FissionRate,0)),0)</x:f>
        <x:v>0</x:v>
      </x:c>
      <x:c r="AE1183" s="8" t="n">
        <x:f>IF(H1183=1,MAX(1,MIN(INDEX(v01_Smax,G1183),AE1182+AD1183)),AE1182)</x:f>
        <x:v>16</x:v>
      </x:c>
      <x:c r="AF1183" s="8" t="n">
        <x:f>MAX(0,AE1183-AE1182)</x:f>
        <x:v>0</x:v>
      </x:c>
      <x:c r="AG1183" s="9" t="str">
        <x:f>IF(AF1183&gt;0,B1183,"")</x:f>
      </x:c>
      <x:c r="AH1183" s="9" t="n">
        <x:f>IF(F1183&gt;=1,1,(1+v01_LowTiesShare*(AE1183-1))/AE1183)</x:f>
        <x:v>1</x:v>
      </x:c>
      <x:c r="AI1183" s="32" t="n">
        <x:f>(Z1183+v01_ElderCommons*INDEX(LM_Elder,G1183)*AA1183)*AH1183</x:f>
        <x:v>10305.485968467712</x:v>
      </x:c>
      <x:c r="AJ1183" s="32" t="n">
        <x:f>H1183*v01_CommonsCoef*AI1183^v01_CommonsExp*INDEX(LM_Commons,G1183)</x:f>
        <x:v>2249.7274265309998</x:v>
      </x:c>
      <x:c r="AK1183" s="32" t="n">
        <x:f>H1183*v01_RoleScale*Arch_Roles*(AE1183*(INDEX(v01_ElderRolePerSett,G1183)*v01_OutElder*INDEX(LM_Elder,G1183)+INDEX(v01_ShamanPerSett,G1183)*v01_OutShaman)+Z1183*(INDEX(v01_PriestShare,G1183)*v01_OutPriest+INDEX(v01_ScribeShare,G1183)*v01_OutScribe*INDEX(LM_Scribe,G1183)+INDEX(v01_ScholarShare,G1183)*v01_OutScholar*INDEX(LM_Scholar,G1183)+INDEX(v01_ResearcherShare,G1183)*v01_OutResearcher*INDEX(LM_Researcher,G1183)))</x:f>
        <x:v>591.2318520747275</x:v>
      </x:c>
      <x:c r="AL1183" s="32" t="n">
        <x:f>H1183*v01_RoleScale*Arch_Roles*AE1183*INDEX(v01_MonasteryPerSett,G1183)*v01_OutMonastery*INDEX(LM_Monastery,G1183)</x:f>
        <x:v>10.56</x:v>
      </x:c>
      <x:c r="AM1183" s="32" t="n">
        <x:f>(AJ1183+AK1183+AL1183)/4*INDEX(LM_All,G1183)*INDEX(v01_Boon,G1183)*Arch_Insight</x:f>
        <x:v>1303.0552246009802</x:v>
      </x:c>
      <x:c r="AN1183" s="32" t="n">
        <x:f>H1183*(v01_KHPerAdult*Z1183+v01_KHOfCommons*AJ1183/4*INDEX(LM_All,G1183))*v01_KHUsable*Arch_KH</x:f>
        <x:v>149.11272658695847</x:v>
      </x:c>
      <x:c r="AO1183" s="32" t="n">
        <x:f>MIN(AP1182+AN1183,AM1183*v01_KHMaxRatio)</x:f>
        <x:v>149.11272658695847</x:v>
      </x:c>
      <x:c r="AP1183" s="32" t="n">
        <x:f>AP1182+AN1183-AO1183</x:f>
        <x:v>0</x:v>
      </x:c>
      <x:c r="AQ1183" s="32" t="n">
        <x:f>AM1183+AO1183</x:f>
        <x:v>1452.1679511879386</x:v>
      </x:c>
      <x:c r="AR1183" s="10" t="n">
        <x:f>IF(H1183=1,INDEX(v01_Req,G1183),0)</x:f>
        <x:v>113395.942036</x:v>
      </x:c>
      <x:c r="AS1183" s="32" t="n">
        <x:f>IF(H1183=1,IF(E1183=1,AS1182-AR1182,AS1182)+AQ1183,0)</x:f>
        <x:v>74865.62697836653</x:v>
      </x:c>
      <x:c r="AT1183" s="11" t="n">
        <x:f>IF(AR1183&gt;0,MIN(1,AS1183/AR1183),1)</x:f>
        <x:v>0.6602143395448739</x:v>
      </x:c>
      <x:c r="AU1183" s="10" t="n">
        <x:f>AB1183/INDEX(v01_RepScale,G1183)</x:f>
        <x:v>201.62637127216666</x:v>
      </x:c>
      <x:c r="AV1183" s="32" t="n">
        <x:f>AM1183*60/v01_SeasonSeconds</x:f>
        <x:v>5212.220898403921</x:v>
      </x:c>
    </x:row>
    <x:row r="1184">
      <x:c r="A1184" s="8" t="n">
        <x:f>A1183+1</x:f>
        <x:v>1181</x:v>
      </x:c>
      <x:c r="B1184" s="9" t="n">
        <x:f>A1184*v01_SeasonSeconds/60</x:f>
        <x:v>295.25</x:v>
      </x:c>
      <x:c r="C1184" s="9" t="n">
        <x:f>A1184/4</x:f>
        <x:v>295.25</x:v>
      </x:c>
      <x:c r="D1184" s="8" t="n">
        <x:f>IF(MOD(A1184,4)=0,1,0)</x:f>
        <x:v>0</x:v>
      </x:c>
      <x:c r="E1184" s="8" t="n">
        <x:f>IF(AND(F1183&lt;=9,AS1183&gt;=AR1183),1,0)</x:f>
        <x:v>0</x:v>
      </x:c>
      <x:c r="F1184" s="8" t="n">
        <x:f>MIN(10,F1183+E1184)</x:f>
        <x:v>6</x:v>
      </x:c>
      <x:c r="G1184" s="8" t="n">
        <x:f>MIN(F1184,9)+1</x:f>
        <x:v>7</x:v>
      </x:c>
      <x:c r="H1184" s="8" t="n">
        <x:f>IF(F1184&lt;=9,1,0)</x:f>
        <x:v>1</x:v>
      </x:c>
      <x:c r="I1184" s="9" t="n">
        <x:f>MIN(10,F1183+IF(AR1183&gt;0,MIN(1,AS1183/AR1183),1))</x:f>
        <x:v>6.660214339544874</x:v>
      </x:c>
      <x:c r="J1184" s="32" t="n">
        <x:f>INDEX(v01_FoodCap,G1184)*Arch_FoodCap*EXP(v01_CapsByProject*SUMPRODUCT((Cap_Point&lt;=I1184)*(Cap_Kind="Food")*Cap_Ln))</x:f>
        <x:v>1000</x:v>
      </x:c>
      <x:c r="K1184" s="32" t="n">
        <x:f>J1184*MIN(1,v01_LeanBase*EXP(v01_CapsByProject*SUMPRODUCT((Cap_Point&lt;=I1184)*(Cap_Kind="Lean")*Cap_Ln)))</x:f>
        <x:v>1000</x:v>
      </x:c>
      <x:c r="L1184" s="10" t="n">
        <x:f>INDEX(v01_HousingCap,G1184)*EXP(v01_CapsByProject*SUMPRODUCT((Cap_Point&lt;=I1184)*(Cap_Kind="Housing")*Cap_Ln))</x:f>
        <x:v>1600</x:v>
      </x:c>
      <x:c r="M1184" s="10" t="n">
        <x:f>INDEX(v01_GroupCap,G1184)*v01_CohesionFactor*EXP(v01_CapsByProject*SUMPRODUCT((Cap_Point&lt;=I1184)*(Cap_Kind="Group")*Cap_Ln))</x:f>
        <x:v>1000000</x:v>
      </x:c>
      <x:c r="N1184" s="32" t="n">
        <x:f>MIN(J1184,L1184,M1184)</x:f>
        <x:v>1000</x:v>
      </x:c>
      <x:c r="O1184" s="10" t="n">
        <x:f>AE1183*N1184</x:f>
        <x:v>16000</x:v>
      </x:c>
      <x:c r="P1184" s="9" t="n">
        <x:f>MIN(1,(AB1183/(AE1183*IF(v01_GroupInCrowding=1,N1184,MIN(J1184,L1184))))^v01_CrowdingExp)</x:f>
        <x:v>0.06257259041119932</x:v>
      </x:c>
      <x:c r="Q1184" s="9" t="n">
        <x:f>IF(D1184=1,INDEX(v01_WinterMult,G1184),1)</x:f>
        <x:v>1</x:v>
      </x:c>
      <x:c r="R1184" s="9" t="n">
        <x:f>H1184*Z1183*v01_WomenShare*v01_BaseFertility*INDEX(v01_FertMult,G1184)*Arch_Fertility*(1-P1184)</x:f>
        <x:v>125.80412131902203</x:v>
      </x:c>
      <x:c r="S1184" s="9" t="n">
        <x:f>H1184*Y1183*INDEX(v01_MortChild,G1184)/4*Q1184</x:f>
        <x:v>23.14907275845321</x:v>
      </x:c>
      <x:c r="T1184" s="9" t="n">
        <x:f>H1184*Z1183*INDEX(v01_MortAdult,G1184)*Arch_AdultMort/4*Q1184</x:f>
        <x:v>9.585818137733044</x:v>
      </x:c>
      <x:c r="U1184" s="9" t="n">
        <x:f>H1184*AA1183*INDEX(v01_MortElder,G1184)/4*Q1184</x:f>
        <x:v>22.16544862289072</x:v>
      </x:c>
      <x:c r="V1184" s="9" t="n">
        <x:f>H1184*MAX(0,AB1183-O1184)*v01_OvercapLoss</x:f>
        <x:v>0</x:v>
      </x:c>
      <x:c r="W1184" s="9" t="n">
        <x:f>H1184*Y1183/(v01_ChildYears*4)</x:f>
        <x:v>75.1593271378351</x:v>
      </x:c>
      <x:c r="X1184" s="9" t="n">
        <x:f>H1184*Z1183/(v01_AdultYears*4)</x:f>
        <x:v>34.35777110298583</x:v>
      </x:c>
      <x:c r="Y1184" s="32" t="n">
        <x:f>Y1183+R1184-S1184-W1184-Y1183*V1184/AB1183</x:f>
        <x:v>4236.418041141499</x:v>
      </x:c>
      <x:c r="Z1184" s="32" t="n">
        <x:f>Z1183+W1184-X1184-T1184-Z1183*V1184/AB1183</x:f>
        <x:v>4291.5793546673585</x:v>
      </x:c>
      <x:c r="AA1184" s="32" t="n">
        <x:f>AA1183+X1184-U1184-AA1183*V1184/AB1183</x:f>
        <x:v>1624.2249495994206</x:v>
      </x:c>
      <x:c r="AB1184" s="10" t="n">
        <x:f>Y1184+Z1184+AA1184</x:f>
        <x:v>10152.222345408278</x:v>
      </x:c>
      <x:c r="AC1184" s="8" t="n">
        <x:f>IF(AND(v01_WinterTrigger=1,D1184=1,AB1183/AE1183&gt;=K1184),1,0)</x:f>
        <x:v>0</x:v>
      </x:c>
      <x:c r="AD1184" s="8" t="n">
        <x:f>H1184*IF(AND(OR(AB1183/AE1183&gt;=v01_FissionTrigger*N1184,AC1184=1),AB1183/AE1183*v01_DaughterShare&gt;=v01_MinDaughter),MAX(1,ROUND(AE1183*v01_FissionRate,0)),0)</x:f>
        <x:v>0</x:v>
      </x:c>
      <x:c r="AE1184" s="8" t="n">
        <x:f>IF(H1184=1,MAX(1,MIN(INDEX(v01_Smax,G1184),AE1183+AD1184)),AE1183)</x:f>
        <x:v>16</x:v>
      </x:c>
      <x:c r="AF1184" s="8" t="n">
        <x:f>MAX(0,AE1184-AE1183)</x:f>
        <x:v>0</x:v>
      </x:c>
      <x:c r="AG1184" s="9" t="str">
        <x:f>IF(AF1184&gt;0,B1184,"")</x:f>
      </x:c>
      <x:c r="AH1184" s="9" t="n">
        <x:f>IF(F1184&gt;=1,1,(1+v01_LowTiesShare*(AE1184-1))/AE1184)</x:f>
        <x:v>1</x:v>
      </x:c>
      <x:c r="AI1184" s="32" t="n">
        <x:f>(Z1184+v01_ElderCommons*INDEX(LM_Elder,G1184)*AA1184)*AH1184</x:f>
        <x:v>10382.422915665185</x:v>
      </x:c>
      <x:c r="AJ1184" s="32" t="n">
        <x:f>H1184*v01_CommonsCoef*AI1184^v01_CommonsExp*INDEX(LM_Commons,G1184)</x:f>
        <x:v>2263.995743755296</x:v>
      </x:c>
      <x:c r="AK1184" s="32" t="n">
        <x:f>H1184*v01_RoleScale*Arch_Roles*(AE1184*(INDEX(v01_ElderRolePerSett,G1184)*v01_OutElder*INDEX(LM_Elder,G1184)+INDEX(v01_ShamanPerSett,G1184)*v01_OutShaman)+Z1184*(INDEX(v01_PriestShare,G1184)*v01_OutPriest+INDEX(v01_ScribeShare,G1184)*v01_OutScribe*INDEX(LM_Scribe,G1184)+INDEX(v01_ScholarShare,G1184)*v01_OutScholar*INDEX(LM_Scholar,G1184)+INDEX(v01_ResearcherShare,G1184)*v01_OutResearcher*INDEX(LM_Researcher,G1184)))</x:f>
        <x:v>595.1681566235538</x:v>
      </x:c>
      <x:c r="AL1184" s="32" t="n">
        <x:f>H1184*v01_RoleScale*Arch_Roles*AE1184*INDEX(v01_MonasteryPerSett,G1184)*v01_OutMonastery*INDEX(LM_Monastery,G1184)</x:f>
        <x:v>10.56</x:v>
      </x:c>
      <x:c r="AM1184" s="32" t="n">
        <x:f>(AJ1184+AK1184+AL1184)/4*INDEX(LM_All,G1184)*INDEX(v01_Boon,G1184)*Arch_Insight</x:f>
        <x:v>1311.3741680117191</x:v>
      </x:c>
      <x:c r="AN1184" s="32" t="n">
        <x:f>H1184*(v01_KHPerAdult*Z1184+v01_KHOfCommons*AJ1184/4*INDEX(LM_All,G1184))*v01_KHUsable*Arch_KH</x:f>
        <x:v>150.20527741335755</x:v>
      </x:c>
      <x:c r="AO1184" s="32" t="n">
        <x:f>MIN(AP1183+AN1184,AM1184*v01_KHMaxRatio)</x:f>
        <x:v>150.20527741335755</x:v>
      </x:c>
      <x:c r="AP1184" s="32" t="n">
        <x:f>AP1183+AN1184-AO1184</x:f>
        <x:v>0</x:v>
      </x:c>
      <x:c r="AQ1184" s="32" t="n">
        <x:f>AM1184+AO1184</x:f>
        <x:v>1461.5794454250768</x:v>
      </x:c>
      <x:c r="AR1184" s="10" t="n">
        <x:f>IF(H1184=1,INDEX(v01_Req,G1184),0)</x:f>
        <x:v>113395.942036</x:v>
      </x:c>
      <x:c r="AS1184" s="32" t="n">
        <x:f>IF(H1184=1,IF(E1184=1,AS1183-AR1183,AS1183)+AQ1184,0)</x:f>
        <x:v>76327.2064237916</x:v>
      </x:c>
      <x:c r="AT1184" s="11" t="n">
        <x:f>IF(AR1184&gt;0,MIN(1,AS1184/AR1184),1)</x:f>
        <x:v>0.6731035084091447</x:v>
      </x:c>
      <x:c r="AU1184" s="10" t="n">
        <x:f>AB1184/INDEX(v01_RepScale,G1184)</x:f>
        <x:v>203.04444690816555</x:v>
      </x:c>
      <x:c r="AV1184" s="32" t="n">
        <x:f>AM1184*60/v01_SeasonSeconds</x:f>
        <x:v>5245.4966720468765</x:v>
      </x:c>
    </x:row>
    <x:row r="1185">
      <x:c r="A1185" s="8" t="n">
        <x:f>A1184+1</x:f>
        <x:v>1182</x:v>
      </x:c>
      <x:c r="B1185" s="9" t="n">
        <x:f>A1185*v01_SeasonSeconds/60</x:f>
        <x:v>295.5</x:v>
      </x:c>
      <x:c r="C1185" s="9" t="n">
        <x:f>A1185/4</x:f>
        <x:v>295.5</x:v>
      </x:c>
      <x:c r="D1185" s="8" t="n">
        <x:f>IF(MOD(A1185,4)=0,1,0)</x:f>
        <x:v>0</x:v>
      </x:c>
      <x:c r="E1185" s="8" t="n">
        <x:f>IF(AND(F1184&lt;=9,AS1184&gt;=AR1184),1,0)</x:f>
        <x:v>0</x:v>
      </x:c>
      <x:c r="F1185" s="8" t="n">
        <x:f>MIN(10,F1184+E1185)</x:f>
        <x:v>6</x:v>
      </x:c>
      <x:c r="G1185" s="8" t="n">
        <x:f>MIN(F1185,9)+1</x:f>
        <x:v>7</x:v>
      </x:c>
      <x:c r="H1185" s="8" t="n">
        <x:f>IF(F1185&lt;=9,1,0)</x:f>
        <x:v>1</x:v>
      </x:c>
      <x:c r="I1185" s="9" t="n">
        <x:f>MIN(10,F1184+IF(AR1184&gt;0,MIN(1,AS1184/AR1184),1))</x:f>
        <x:v>6.673103508409144</x:v>
      </x:c>
      <x:c r="J1185" s="32" t="n">
        <x:f>INDEX(v01_FoodCap,G1185)*Arch_FoodCap*EXP(v01_CapsByProject*SUMPRODUCT((Cap_Point&lt;=I1185)*(Cap_Kind="Food")*Cap_Ln))</x:f>
        <x:v>1000</x:v>
      </x:c>
      <x:c r="K1185" s="32" t="n">
        <x:f>J1185*MIN(1,v01_LeanBase*EXP(v01_CapsByProject*SUMPRODUCT((Cap_Point&lt;=I1185)*(Cap_Kind="Lean")*Cap_Ln)))</x:f>
        <x:v>1000</x:v>
      </x:c>
      <x:c r="L1185" s="10" t="n">
        <x:f>INDEX(v01_HousingCap,G1185)*EXP(v01_CapsByProject*SUMPRODUCT((Cap_Point&lt;=I1185)*(Cap_Kind="Housing")*Cap_Ln))</x:f>
        <x:v>1600</x:v>
      </x:c>
      <x:c r="M1185" s="10" t="n">
        <x:f>INDEX(v01_GroupCap,G1185)*v01_CohesionFactor*EXP(v01_CapsByProject*SUMPRODUCT((Cap_Point&lt;=I1185)*(Cap_Kind="Group")*Cap_Ln))</x:f>
        <x:v>1000000</x:v>
      </x:c>
      <x:c r="N1185" s="32" t="n">
        <x:f>MIN(J1185,L1185,M1185)</x:f>
        <x:v>1000</x:v>
      </x:c>
      <x:c r="O1185" s="10" t="n">
        <x:f>AE1184*N1185</x:f>
        <x:v>16000</x:v>
      </x:c>
      <x:c r="P1185" s="9" t="n">
        <x:f>MIN(1,(AB1184/(AE1184*IF(v01_GroupInCrowding=1,N1185,MIN(J1185,L1185))))^v01_CrowdingExp)</x:f>
        <x:v>0.06525996379555914</x:v>
      </x:c>
      <x:c r="Q1185" s="9" t="n">
        <x:f>IF(D1185=1,INDEX(v01_WinterMult,G1185),1)</x:f>
        <x:v>1</x:v>
      </x:c>
      <x:c r="R1185" s="9" t="n">
        <x:f>H1185*Z1184*v01_WomenShare*v01_BaseFertility*INDEX(v01_FertMult,G1185)*Arch_Fertility*(1-P1185)</x:f>
        <x:v>126.36259780271395</x:v>
      </x:c>
      <x:c r="S1185" s="9" t="n">
        <x:f>H1185*Y1184*INDEX(v01_MortChild,G1185)/4*Q1185</x:f>
        <x:v>23.300299226278245</x:v>
      </x:c>
      <x:c r="T1185" s="9" t="n">
        <x:f>H1185*Z1184*INDEX(v01_MortAdult,G1185)*Arch_AdultMort/4*Q1185</x:f>
        <x:v>9.656053548001555</x:v>
      </x:c>
      <x:c r="U1185" s="9" t="n">
        <x:f>H1185*AA1184*INDEX(v01_MortElder,G1185)/4*Q1185</x:f>
        <x:v>22.333093056992034</x:v>
      </x:c>
      <x:c r="V1185" s="9" t="n">
        <x:f>H1185*MAX(0,AB1184-O1185)*v01_OvercapLoss</x:f>
        <x:v>0</x:v>
      </x:c>
      <x:c r="W1185" s="9" t="n">
        <x:f>H1185*Y1184/(v01_ChildYears*4)</x:f>
        <x:v>75.65032216324106</x:v>
      </x:c>
      <x:c r="X1185" s="9" t="n">
        <x:f>H1185*Z1184/(v01_AdultYears*4)</x:f>
        <x:v>34.60951092473676</x:v>
      </x:c>
      <x:c r="Y1185" s="32" t="n">
        <x:f>Y1184+R1185-S1185-W1185-Y1184*V1185/AB1184</x:f>
        <x:v>4263.830017554694</x:v>
      </x:c>
      <x:c r="Z1185" s="32" t="n">
        <x:f>Z1184+W1185-X1185-T1185-Z1184*V1185/AB1184</x:f>
        <x:v>4322.964112357861</x:v>
      </x:c>
      <x:c r="AA1185" s="32" t="n">
        <x:f>AA1184+X1185-U1185-AA1184*V1185/AB1184</x:f>
        <x:v>1636.5013674671652</x:v>
      </x:c>
      <x:c r="AB1185" s="10" t="n">
        <x:f>Y1185+Z1185+AA1185</x:f>
        <x:v>10223.29549737972</x:v>
      </x:c>
      <x:c r="AC1185" s="8" t="n">
        <x:f>IF(AND(v01_WinterTrigger=1,D1185=1,AB1184/AE1184&gt;=K1185),1,0)</x:f>
        <x:v>0</x:v>
      </x:c>
      <x:c r="AD1185" s="8" t="n">
        <x:f>H1185*IF(AND(OR(AB1184/AE1184&gt;=v01_FissionTrigger*N1185,AC1185=1),AB1184/AE1184*v01_DaughterShare&gt;=v01_MinDaughter),MAX(1,ROUND(AE1184*v01_FissionRate,0)),0)</x:f>
        <x:v>0</x:v>
      </x:c>
      <x:c r="AE1185" s="8" t="n">
        <x:f>IF(H1185=1,MAX(1,MIN(INDEX(v01_Smax,G1185),AE1184+AD1185)),AE1184)</x:f>
        <x:v>16</x:v>
      </x:c>
      <x:c r="AF1185" s="8" t="n">
        <x:f>MAX(0,AE1185-AE1184)</x:f>
        <x:v>0</x:v>
      </x:c>
      <x:c r="AG1185" s="9" t="str">
        <x:f>IF(AF1185&gt;0,B1185,"")</x:f>
      </x:c>
      <x:c r="AH1185" s="9" t="n">
        <x:f>IF(F1185&gt;=1,1,(1+v01_LowTiesShare*(AE1185-1))/AE1185)</x:f>
        <x:v>1</x:v>
      </x:c>
      <x:c r="AI1185" s="32" t="n">
        <x:f>(Z1185+v01_ElderCommons*INDEX(LM_Elder,G1185)*AA1185)*AH1185</x:f>
        <x:v>10459.844240359731</x:v>
      </x:c>
      <x:c r="AJ1185" s="32" t="n">
        <x:f>H1185*v01_CommonsCoef*AI1185^v01_CommonsExp*INDEX(LM_Commons,G1185)</x:f>
        <x:v>2278.3378900949006</x:v>
      </x:c>
      <x:c r="AK1185" s="32" t="n">
        <x:f>H1185*v01_RoleScale*Arch_Roles*(AE1185*(INDEX(v01_ElderRolePerSett,G1185)*v01_OutElder*INDEX(LM_Elder,G1185)+INDEX(v01_ShamanPerSett,G1185)*v01_OutShaman)+Z1185*(INDEX(v01_PriestShare,G1185)*v01_OutPriest+INDEX(v01_ScribeShare,G1185)*v01_OutScribe*INDEX(LM_Scribe,G1185)+INDEX(v01_ScholarShare,G1185)*v01_OutScholar*INDEX(LM_Scholar,G1185)+INDEX(v01_ResearcherShare,G1185)*v01_OutResearcher*INDEX(LM_Researcher,G1185)))</x:f>
        <x:v>599.1257745683263</x:v>
      </x:c>
      <x:c r="AL1185" s="32" t="n">
        <x:f>H1185*v01_RoleScale*Arch_Roles*AE1185*INDEX(v01_MonasteryPerSett,G1185)*v01_OutMonastery*INDEX(LM_Monastery,G1185)</x:f>
        <x:v>10.56</x:v>
      </x:c>
      <x:c r="AM1185" s="32" t="n">
        <x:f>(AJ1185+AK1185+AL1185)/4*INDEX(LM_All,G1185)*INDEX(v01_Boon,G1185)*Arch_Insight</x:f>
        <x:v>1319.7365885777072</x:v>
      </x:c>
      <x:c r="AN1185" s="32" t="n">
        <x:f>H1185*(v01_KHPerAdult*Z1185+v01_KHOfCommons*AJ1185/4*INDEX(LM_All,G1185))*v01_KHUsable*Arch_KH</x:f>
        <x:v>151.30374393252515</x:v>
      </x:c>
      <x:c r="AO1185" s="32" t="n">
        <x:f>MIN(AP1184+AN1185,AM1185*v01_KHMaxRatio)</x:f>
        <x:v>151.30374393252515</x:v>
      </x:c>
      <x:c r="AP1185" s="32" t="n">
        <x:f>AP1184+AN1185-AO1185</x:f>
        <x:v>0</x:v>
      </x:c>
      <x:c r="AQ1185" s="32" t="n">
        <x:f>AM1185+AO1185</x:f>
        <x:v>1471.0403325102322</x:v>
      </x:c>
      <x:c r="AR1185" s="10" t="n">
        <x:f>IF(H1185=1,INDEX(v01_Req,G1185),0)</x:f>
        <x:v>113395.942036</x:v>
      </x:c>
      <x:c r="AS1185" s="32" t="n">
        <x:f>IF(H1185=1,IF(E1185=1,AS1184-AR1184,AS1184)+AQ1185,0)</x:f>
        <x:v>77798.24675630184</x:v>
      </x:c>
      <x:c r="AT1185" s="11" t="n">
        <x:f>IF(AR1185&gt;0,MIN(1,AS1185/AR1185),1)</x:f>
        <x:v>0.6860761095983762</x:v>
      </x:c>
      <x:c r="AU1185" s="10" t="n">
        <x:f>AB1185/INDEX(v01_RepScale,G1185)</x:f>
        <x:v>204.4659099475944</x:v>
      </x:c>
      <x:c r="AV1185" s="32" t="n">
        <x:f>AM1185*60/v01_SeasonSeconds</x:f>
        <x:v>5278.946354310829</x:v>
      </x:c>
    </x:row>
    <x:row r="1186">
      <x:c r="A1186" s="8" t="n">
        <x:f>A1185+1</x:f>
        <x:v>1183</x:v>
      </x:c>
      <x:c r="B1186" s="9" t="n">
        <x:f>A1186*v01_SeasonSeconds/60</x:f>
        <x:v>295.75</x:v>
      </x:c>
      <x:c r="C1186" s="9" t="n">
        <x:f>A1186/4</x:f>
        <x:v>295.75</x:v>
      </x:c>
      <x:c r="D1186" s="8" t="n">
        <x:f>IF(MOD(A1186,4)=0,1,0)</x:f>
        <x:v>0</x:v>
      </x:c>
      <x:c r="E1186" s="8" t="n">
        <x:f>IF(AND(F1185&lt;=9,AS1185&gt;=AR1185),1,0)</x:f>
        <x:v>0</x:v>
      </x:c>
      <x:c r="F1186" s="8" t="n">
        <x:f>MIN(10,F1185+E1186)</x:f>
        <x:v>6</x:v>
      </x:c>
      <x:c r="G1186" s="8" t="n">
        <x:f>MIN(F1186,9)+1</x:f>
        <x:v>7</x:v>
      </x:c>
      <x:c r="H1186" s="8" t="n">
        <x:f>IF(F1186&lt;=9,1,0)</x:f>
        <x:v>1</x:v>
      </x:c>
      <x:c r="I1186" s="9" t="n">
        <x:f>MIN(10,F1185+IF(AR1185&gt;0,MIN(1,AS1185/AR1185),1))</x:f>
        <x:v>6.6860761095983765</x:v>
      </x:c>
      <x:c r="J1186" s="32" t="n">
        <x:f>INDEX(v01_FoodCap,G1186)*Arch_FoodCap*EXP(v01_CapsByProject*SUMPRODUCT((Cap_Point&lt;=I1186)*(Cap_Kind="Food")*Cap_Ln))</x:f>
        <x:v>1000</x:v>
      </x:c>
      <x:c r="K1186" s="32" t="n">
        <x:f>J1186*MIN(1,v01_LeanBase*EXP(v01_CapsByProject*SUMPRODUCT((Cap_Point&lt;=I1186)*(Cap_Kind="Lean")*Cap_Ln)))</x:f>
        <x:v>1000</x:v>
      </x:c>
      <x:c r="L1186" s="10" t="n">
        <x:f>INDEX(v01_HousingCap,G1186)*EXP(v01_CapsByProject*SUMPRODUCT((Cap_Point&lt;=I1186)*(Cap_Kind="Housing")*Cap_Ln))</x:f>
        <x:v>1600</x:v>
      </x:c>
      <x:c r="M1186" s="10" t="n">
        <x:f>INDEX(v01_GroupCap,G1186)*v01_CohesionFactor*EXP(v01_CapsByProject*SUMPRODUCT((Cap_Point&lt;=I1186)*(Cap_Kind="Group")*Cap_Ln))</x:f>
        <x:v>1000000</x:v>
      </x:c>
      <x:c r="N1186" s="32" t="n">
        <x:f>MIN(J1186,L1186,M1186)</x:f>
        <x:v>1000</x:v>
      </x:c>
      <x:c r="O1186" s="10" t="n">
        <x:f>AE1185*N1186</x:f>
        <x:v>16000</x:v>
      </x:c>
      <x:c r="P1186" s="9" t="n">
        <x:f>MIN(1,(AB1185/(AE1185*IF(v01_GroupInCrowding=1,N1186,MIN(J1186,L1186))))^v01_CrowdingExp)</x:f>
        <x:v>0.06804960173902451</x:v>
      </x:c>
      <x:c r="Q1186" s="9" t="n">
        <x:f>IF(D1186=1,INDEX(v01_WinterMult,G1186),1)</x:f>
        <x:v>1</x:v>
      </x:c>
      <x:c r="R1186" s="9" t="n">
        <x:f>H1186*Z1185*v01_WomenShare*v01_BaseFertility*INDEX(v01_FertMult,G1186)*Arch_Fertility*(1-P1186)</x:f>
        <x:v>126.90682597466413</x:v>
      </x:c>
      <x:c r="S1186" s="9" t="n">
        <x:f>H1186*Y1185*INDEX(v01_MortChild,G1186)/4*Q1186</x:f>
        <x:v>23.451065096550813</x:v>
      </x:c>
      <x:c r="T1186" s="9" t="n">
        <x:f>H1186*Z1185*INDEX(v01_MortAdult,G1186)*Arch_AdultMort/4*Q1186</x:f>
        <x:v>9.726669252805188</x:v>
      </x:c>
      <x:c r="U1186" s="9" t="n">
        <x:f>H1186*AA1185*INDEX(v01_MortElder,G1186)/4*Q1186</x:f>
        <x:v>22.50189380267352</x:v>
      </x:c>
      <x:c r="V1186" s="9" t="n">
        <x:f>H1186*MAX(0,AB1185-O1186)*v01_OvercapLoss</x:f>
        <x:v>0</x:v>
      </x:c>
      <x:c r="W1186" s="9" t="n">
        <x:f>H1186*Y1185/(v01_ChildYears*4)</x:f>
        <x:v>76.1398217420481</x:v>
      </x:c>
      <x:c r="X1186" s="9" t="n">
        <x:f>H1186*Z1185/(v01_AdultYears*4)</x:f>
        <x:v>34.86261380933759</x:v>
      </x:c>
      <x:c r="Y1186" s="32" t="n">
        <x:f>Y1185+R1186-S1186-W1186-Y1185*V1186/AB1185</x:f>
        <x:v>4291.145956690759</x:v>
      </x:c>
      <x:c r="Z1186" s="32" t="n">
        <x:f>Z1185+W1186-X1186-T1186-Z1185*V1186/AB1185</x:f>
        <x:v>4354.514651037766</x:v>
      </x:c>
      <x:c r="AA1186" s="32" t="n">
        <x:f>AA1185+X1186-U1186-AA1185*V1186/AB1185</x:f>
        <x:v>1648.8620874738292</x:v>
      </x:c>
      <x:c r="AB1186" s="10" t="n">
        <x:f>Y1186+Z1186+AA1186</x:f>
        <x:v>10294.522695202355</x:v>
      </x:c>
      <x:c r="AC1186" s="8" t="n">
        <x:f>IF(AND(v01_WinterTrigger=1,D1186=1,AB1185/AE1185&gt;=K1186),1,0)</x:f>
        <x:v>0</x:v>
      </x:c>
      <x:c r="AD1186" s="8" t="n">
        <x:f>H1186*IF(AND(OR(AB1185/AE1185&gt;=v01_FissionTrigger*N1186,AC1186=1),AB1185/AE1185*v01_DaughterShare&gt;=v01_MinDaughter),MAX(1,ROUND(AE1185*v01_FissionRate,0)),0)</x:f>
        <x:v>0</x:v>
      </x:c>
      <x:c r="AE1186" s="8" t="n">
        <x:f>IF(H1186=1,MAX(1,MIN(INDEX(v01_Smax,G1186),AE1185+AD1186)),AE1185)</x:f>
        <x:v>16</x:v>
      </x:c>
      <x:c r="AF1186" s="8" t="n">
        <x:f>MAX(0,AE1186-AE1185)</x:f>
        <x:v>0</x:v>
      </x:c>
      <x:c r="AG1186" s="9" t="str">
        <x:f>IF(AF1186&gt;0,B1186,"")</x:f>
      </x:c>
      <x:c r="AH1186" s="9" t="n">
        <x:f>IF(F1186&gt;=1,1,(1+v01_LowTiesShare*(AE1186-1))/AE1186)</x:f>
        <x:v>1</x:v>
      </x:c>
      <x:c r="AI1186" s="32" t="n">
        <x:f>(Z1186+v01_ElderCommons*INDEX(LM_Elder,G1186)*AA1186)*AH1186</x:f>
        <x:v>10537.747479064627</x:v>
      </x:c>
      <x:c r="AJ1186" s="32" t="n">
        <x:f>H1186*v01_CommonsCoef*AI1186^v01_CommonsExp*INDEX(LM_Commons,G1186)</x:f>
        <x:v>2292.7532465227773</x:v>
      </x:c>
      <x:c r="AK1186" s="32" t="n">
        <x:f>H1186*v01_RoleScale*Arch_Roles*(AE1186*(INDEX(v01_ElderRolePerSett,G1186)*v01_OutElder*INDEX(LM_Elder,G1186)+INDEX(v01_ShamanPerSett,G1186)*v01_OutShaman)+Z1186*(INDEX(v01_PriestShare,G1186)*v01_OutPriest+INDEX(v01_ScribeShare,G1186)*v01_OutScribe*INDEX(LM_Scribe,G1186)+INDEX(v01_ScholarShare,G1186)*v01_OutScholar*INDEX(LM_Scholar,G1186)+INDEX(v01_ResearcherShare,G1186)*v01_OutResearcher*INDEX(LM_Researcher,G1186)))</x:f>
        <x:v>603.1042974958623</x:v>
      </x:c>
      <x:c r="AL1186" s="32" t="n">
        <x:f>H1186*v01_RoleScale*Arch_Roles*AE1186*INDEX(v01_MonasteryPerSett,G1186)*v01_OutMonastery*INDEX(LM_Monastery,G1186)</x:f>
        <x:v>10.56</x:v>
      </x:c>
      <x:c r="AM1186" s="32" t="n">
        <x:f>(AJ1186+AK1186+AL1186)/4*INDEX(LM_All,G1186)*INDEX(v01_Boon,G1186)*Arch_Insight</x:f>
        <x:v>1328.1420167908632</x:v>
      </x:c>
      <x:c r="AN1186" s="32" t="n">
        <x:f>H1186*(v01_KHPerAdult*Z1186+v01_KHOfCommons*AJ1186/4*INDEX(LM_All,G1186))*v01_KHUsable*Arch_KH</x:f>
        <x:v>152.40801278632182</x:v>
      </x:c>
      <x:c r="AO1186" s="32" t="n">
        <x:f>MIN(AP1185+AN1186,AM1186*v01_KHMaxRatio)</x:f>
        <x:v>152.40801278632182</x:v>
      </x:c>
      <x:c r="AP1186" s="32" t="n">
        <x:f>AP1185+AN1186-AO1186</x:f>
        <x:v>0</x:v>
      </x:c>
      <x:c r="AQ1186" s="32" t="n">
        <x:f>AM1186+AO1186</x:f>
        <x:v>1480.550029577185</x:v>
      </x:c>
      <x:c r="AR1186" s="10" t="n">
        <x:f>IF(H1186=1,INDEX(v01_Req,G1186),0)</x:f>
        <x:v>113395.942036</x:v>
      </x:c>
      <x:c r="AS1186" s="32" t="n">
        <x:f>IF(H1186=1,IF(E1186=1,AS1185-AR1185,AS1185)+AQ1186,0)</x:f>
        <x:v>79278.79678587902</x:v>
      </x:c>
      <x:c r="AT1186" s="11" t="n">
        <x:f>IF(AR1186&gt;0,MIN(1,AS1186/AR1186),1)</x:f>
        <x:v>0.699132573551091</x:v>
      </x:c>
      <x:c r="AU1186" s="10" t="n">
        <x:f>AB1186/INDEX(v01_RepScale,G1186)</x:f>
        <x:v>205.8904539040471</x:v>
      </x:c>
      <x:c r="AV1186" s="32" t="n">
        <x:f>AM1186*60/v01_SeasonSeconds</x:f>
        <x:v>5312.568067163453</x:v>
      </x:c>
    </x:row>
    <x:row r="1187">
      <x:c r="A1187" s="8" t="n">
        <x:f>A1186+1</x:f>
        <x:v>1184</x:v>
      </x:c>
      <x:c r="B1187" s="9" t="n">
        <x:f>A1187*v01_SeasonSeconds/60</x:f>
        <x:v>296</x:v>
      </x:c>
      <x:c r="C1187" s="9" t="n">
        <x:f>A1187/4</x:f>
        <x:v>296</x:v>
      </x:c>
      <x:c r="D1187" s="8" t="n">
        <x:f>IF(MOD(A1187,4)=0,1,0)</x:f>
        <x:v>1</x:v>
      </x:c>
      <x:c r="E1187" s="8" t="n">
        <x:f>IF(AND(F1186&lt;=9,AS1186&gt;=AR1186),1,0)</x:f>
        <x:v>0</x:v>
      </x:c>
      <x:c r="F1187" s="8" t="n">
        <x:f>MIN(10,F1186+E1187)</x:f>
        <x:v>6</x:v>
      </x:c>
      <x:c r="G1187" s="8" t="n">
        <x:f>MIN(F1187,9)+1</x:f>
        <x:v>7</x:v>
      </x:c>
      <x:c r="H1187" s="8" t="n">
        <x:f>IF(F1187&lt;=9,1,0)</x:f>
        <x:v>1</x:v>
      </x:c>
      <x:c r="I1187" s="9" t="n">
        <x:f>MIN(10,F1186+IF(AR1186&gt;0,MIN(1,AS1186/AR1186),1))</x:f>
        <x:v>6.699132573551091</x:v>
      </x:c>
      <x:c r="J1187" s="32" t="n">
        <x:f>INDEX(v01_FoodCap,G1187)*Arch_FoodCap*EXP(v01_CapsByProject*SUMPRODUCT((Cap_Point&lt;=I1187)*(Cap_Kind="Food")*Cap_Ln))</x:f>
        <x:v>1000</x:v>
      </x:c>
      <x:c r="K1187" s="32" t="n">
        <x:f>J1187*MIN(1,v01_LeanBase*EXP(v01_CapsByProject*SUMPRODUCT((Cap_Point&lt;=I1187)*(Cap_Kind="Lean")*Cap_Ln)))</x:f>
        <x:v>1000</x:v>
      </x:c>
      <x:c r="L1187" s="10" t="n">
        <x:f>INDEX(v01_HousingCap,G1187)*EXP(v01_CapsByProject*SUMPRODUCT((Cap_Point&lt;=I1187)*(Cap_Kind="Housing")*Cap_Ln))</x:f>
        <x:v>1600</x:v>
      </x:c>
      <x:c r="M1187" s="10" t="n">
        <x:f>INDEX(v01_GroupCap,G1187)*v01_CohesionFactor*EXP(v01_CapsByProject*SUMPRODUCT((Cap_Point&lt;=I1187)*(Cap_Kind="Group")*Cap_Ln))</x:f>
        <x:v>1000000</x:v>
      </x:c>
      <x:c r="N1187" s="32" t="n">
        <x:f>MIN(J1187,L1187,M1187)</x:f>
        <x:v>1000</x:v>
      </x:c>
      <x:c r="O1187" s="10" t="n">
        <x:f>AE1186*N1187</x:f>
        <x:v>16000</x:v>
      </x:c>
      <x:c r="P1187" s="9" t="n">
        <x:f>MIN(1,(AB1186/(AE1186*IF(v01_GroupInCrowding=1,N1187,MIN(J1187,L1187))))^v01_CrowdingExp)</x:f>
        <x:v>0.07094428178107737</x:v>
      </x:c>
      <x:c r="Q1187" s="9" t="n">
        <x:f>IF(D1187=1,INDEX(v01_WinterMult,G1187),1)</x:f>
        <x:v>1</x:v>
      </x:c>
      <x:c r="R1187" s="9" t="n">
        <x:f>H1187*Z1186*v01_WomenShare*v01_BaseFertility*INDEX(v01_FertMult,G1187)*Arch_Fertility*(1-P1187)</x:f>
        <x:v>127.43598220336347</x:v>
      </x:c>
      <x:c r="S1187" s="9" t="n">
        <x:f>H1187*Y1186*INDEX(v01_MortChild,G1187)/4*Q1187</x:f>
        <x:v>23.60130276179917</x:v>
      </x:c>
      <x:c r="T1187" s="9" t="n">
        <x:f>H1187*Z1186*INDEX(v01_MortAdult,G1187)*Arch_AdultMort/4*Q1187</x:f>
        <x:v>9.797657964834974</x:v>
      </x:c>
      <x:c r="U1187" s="9" t="n">
        <x:f>H1187*AA1186*INDEX(v01_MortElder,G1187)/4*Q1187</x:f>
        <x:v>22.67185370276515</x:v>
      </x:c>
      <x:c r="V1187" s="9" t="n">
        <x:f>H1187*MAX(0,AB1186-O1187)*v01_OvercapLoss</x:f>
        <x:v>0</x:v>
      </x:c>
      <x:c r="W1187" s="9" t="n">
        <x:f>H1187*Y1186/(v01_ChildYears*4)</x:f>
        <x:v>76.62760636947783</x:v>
      </x:c>
      <x:c r="X1187" s="9" t="n">
        <x:f>H1187*Z1186/(v01_AdultYears*4)</x:f>
        <x:v>35.11705363740134</x:v>
      </x:c>
      <x:c r="Y1187" s="32" t="n">
        <x:f>Y1186+R1187-S1187-W1187-Y1186*V1187/AB1186</x:f>
        <x:v>4318.353029762846</x:v>
      </x:c>
      <x:c r="Z1187" s="32" t="n">
        <x:f>Z1186+W1187-X1187-T1187-Z1186*V1187/AB1186</x:f>
        <x:v>4386.227545805008</x:v>
      </x:c>
      <x:c r="AA1187" s="32" t="n">
        <x:f>AA1186+X1187-U1187-AA1186*V1187/AB1186</x:f>
        <x:v>1661.3072874084653</x:v>
      </x:c>
      <x:c r="AB1187" s="10" t="n">
        <x:f>Y1187+Z1187+AA1187</x:f>
        <x:v>10365.887862976319</x:v>
      </x:c>
      <x:c r="AC1187" s="8" t="n">
        <x:f>IF(AND(v01_WinterTrigger=1,D1187=1,AB1186/AE1186&gt;=K1187),1,0)</x:f>
        <x:v>0</x:v>
      </x:c>
      <x:c r="AD1187" s="8" t="n">
        <x:f>H1187*IF(AND(OR(AB1186/AE1186&gt;=v01_FissionTrigger*N1187,AC1187=1),AB1186/AE1186*v01_DaughterShare&gt;=v01_MinDaughter),MAX(1,ROUND(AE1186*v01_FissionRate,0)),0)</x:f>
        <x:v>0</x:v>
      </x:c>
      <x:c r="AE1187" s="8" t="n">
        <x:f>IF(H1187=1,MAX(1,MIN(INDEX(v01_Smax,G1187),AE1186+AD1187)),AE1186)</x:f>
        <x:v>16</x:v>
      </x:c>
      <x:c r="AF1187" s="8" t="n">
        <x:f>MAX(0,AE1187-AE1186)</x:f>
        <x:v>0</x:v>
      </x:c>
      <x:c r="AG1187" s="9" t="str">
        <x:f>IF(AF1187&gt;0,B1187,"")</x:f>
      </x:c>
      <x:c r="AH1187" s="9" t="n">
        <x:f>IF(F1187&gt;=1,1,(1+v01_LowTiesShare*(AE1187-1))/AE1187)</x:f>
        <x:v>1</x:v>
      </x:c>
      <x:c r="AI1187" s="32" t="n">
        <x:f>(Z1187+v01_ElderCommons*INDEX(LM_Elder,G1187)*AA1187)*AH1187</x:f>
        <x:v>10616.129873586753</x:v>
      </x:c>
      <x:c r="AJ1187" s="32" t="n">
        <x:f>H1187*v01_CommonsCoef*AI1187^v01_CommonsExp*INDEX(LM_Commons,G1187)</x:f>
        <x:v>2307.2411426598164</x:v>
      </x:c>
      <x:c r="AK1187" s="32" t="n">
        <x:f>H1187*v01_RoleScale*Arch_Roles*(AE1187*(INDEX(v01_ElderRolePerSett,G1187)*v01_OutElder*INDEX(LM_Elder,G1187)+INDEX(v01_ShamanPerSett,G1187)*v01_OutShaman)+Z1187*(INDEX(v01_PriestShare,G1187)*v01_OutPriest+INDEX(v01_ScribeShare,G1187)*v01_OutScribe*INDEX(LM_Scribe,G1187)+INDEX(v01_ScholarShare,G1187)*v01_OutScholar*INDEX(LM_Scholar,G1187)+INDEX(v01_ResearcherShare,G1187)*v01_OutResearcher*INDEX(LM_Researcher,G1187)))</x:f>
        <x:v>607.1032935260115</x:v>
      </x:c>
      <x:c r="AL1187" s="32" t="n">
        <x:f>H1187*v01_RoleScale*Arch_Roles*AE1187*INDEX(v01_MonasteryPerSett,G1187)*v01_OutMonastery*INDEX(LM_Monastery,G1187)</x:f>
        <x:v>10.56</x:v>
      </x:c>
      <x:c r="AM1187" s="32" t="n">
        <x:f>(AJ1187+AK1187+AL1187)/4*INDEX(LM_All,G1187)*INDEX(v01_Boon,G1187)*Arch_Insight</x:f>
        <x:v>1336.5899489531412</x:v>
      </x:c>
      <x:c r="AN1187" s="32" t="n">
        <x:f>H1187*(v01_KHPerAdult*Z1187+v01_KHOfCommons*AJ1187/4*INDEX(LM_All,G1187))*v01_KHUsable*Arch_KH</x:f>
        <x:v>153.51796410317527</x:v>
      </x:c>
      <x:c r="AO1187" s="32" t="n">
        <x:f>MIN(AP1186+AN1187,AM1187*v01_KHMaxRatio)</x:f>
        <x:v>153.51796410317527</x:v>
      </x:c>
      <x:c r="AP1187" s="32" t="n">
        <x:f>AP1186+AN1187-AO1187</x:f>
        <x:v>0</x:v>
      </x:c>
      <x:c r="AQ1187" s="32" t="n">
        <x:f>AM1187+AO1187</x:f>
        <x:v>1490.1079130563164</x:v>
      </x:c>
      <x:c r="AR1187" s="10" t="n">
        <x:f>IF(H1187=1,INDEX(v01_Req,G1187),0)</x:f>
        <x:v>113395.942036</x:v>
      </x:c>
      <x:c r="AS1187" s="32" t="n">
        <x:f>IF(H1187=1,IF(E1187=1,AS1186-AR1186,AS1186)+AQ1187,0)</x:f>
        <x:v>80768.90469893534</x:v>
      </x:c>
      <x:c r="AT1187" s="11" t="n">
        <x:f>IF(AR1187&gt;0,MIN(1,AS1187/AR1187),1)</x:f>
        <x:v>0.7122733252067653</x:v>
      </x:c>
      <x:c r="AU1187" s="10" t="n">
        <x:f>AB1187/INDEX(v01_RepScale,G1187)</x:f>
        <x:v>207.31775725952636</x:v>
      </x:c>
      <x:c r="AV1187" s="32" t="n">
        <x:f>AM1187*60/v01_SeasonSeconds</x:f>
        <x:v>5346.359795812565</x:v>
      </x:c>
    </x:row>
    <x:row r="1188">
      <x:c r="A1188" s="8" t="n">
        <x:f>A1187+1</x:f>
        <x:v>1185</x:v>
      </x:c>
      <x:c r="B1188" s="9" t="n">
        <x:f>A1188*v01_SeasonSeconds/60</x:f>
        <x:v>296.25</x:v>
      </x:c>
      <x:c r="C1188" s="9" t="n">
        <x:f>A1188/4</x:f>
        <x:v>296.25</x:v>
      </x:c>
      <x:c r="D1188" s="8" t="n">
        <x:f>IF(MOD(A1188,4)=0,1,0)</x:f>
        <x:v>0</x:v>
      </x:c>
      <x:c r="E1188" s="8" t="n">
        <x:f>IF(AND(F1187&lt;=9,AS1187&gt;=AR1187),1,0)</x:f>
        <x:v>0</x:v>
      </x:c>
      <x:c r="F1188" s="8" t="n">
        <x:f>MIN(10,F1187+E1188)</x:f>
        <x:v>6</x:v>
      </x:c>
      <x:c r="G1188" s="8" t="n">
        <x:f>MIN(F1188,9)+1</x:f>
        <x:v>7</x:v>
      </x:c>
      <x:c r="H1188" s="8" t="n">
        <x:f>IF(F1188&lt;=9,1,0)</x:f>
        <x:v>1</x:v>
      </x:c>
      <x:c r="I1188" s="9" t="n">
        <x:f>MIN(10,F1187+IF(AR1187&gt;0,MIN(1,AS1187/AR1187),1))</x:f>
        <x:v>6.712273325206765</x:v>
      </x:c>
      <x:c r="J1188" s="32" t="n">
        <x:f>INDEX(v01_FoodCap,G1188)*Arch_FoodCap*EXP(v01_CapsByProject*SUMPRODUCT((Cap_Point&lt;=I1188)*(Cap_Kind="Food")*Cap_Ln))</x:f>
        <x:v>1000</x:v>
      </x:c>
      <x:c r="K1188" s="32" t="n">
        <x:f>J1188*MIN(1,v01_LeanBase*EXP(v01_CapsByProject*SUMPRODUCT((Cap_Point&lt;=I1188)*(Cap_Kind="Lean")*Cap_Ln)))</x:f>
        <x:v>1000</x:v>
      </x:c>
      <x:c r="L1188" s="10" t="n">
        <x:f>INDEX(v01_HousingCap,G1188)*EXP(v01_CapsByProject*SUMPRODUCT((Cap_Point&lt;=I1188)*(Cap_Kind="Housing")*Cap_Ln))</x:f>
        <x:v>1600</x:v>
      </x:c>
      <x:c r="M1188" s="10" t="n">
        <x:f>INDEX(v01_GroupCap,G1188)*v01_CohesionFactor*EXP(v01_CapsByProject*SUMPRODUCT((Cap_Point&lt;=I1188)*(Cap_Kind="Group")*Cap_Ln))</x:f>
        <x:v>1000000</x:v>
      </x:c>
      <x:c r="N1188" s="32" t="n">
        <x:f>MIN(J1188,L1188,M1188)</x:f>
        <x:v>1000</x:v>
      </x:c>
      <x:c r="O1188" s="10" t="n">
        <x:f>AE1187*N1188</x:f>
        <x:v>16000</x:v>
      </x:c>
      <x:c r="P1188" s="9" t="n">
        <x:f>MIN(1,(AB1187/(AE1187*IF(v01_GroupInCrowding=1,N1188,MIN(J1188,L1188))))^v01_CrowdingExp)</x:f>
        <x:v>0.07394675869531421</x:v>
      </x:c>
      <x:c r="Q1188" s="9" t="n">
        <x:f>IF(D1188=1,INDEX(v01_WinterMult,G1188),1)</x:f>
        <x:v>1</x:v>
      </x:c>
      <x:c r="R1188" s="9" t="n">
        <x:f>H1188*Z1187*v01_WomenShare*v01_BaseFertility*INDEX(v01_FertMult,G1188)*Arch_Fertility*(1-P1188)</x:f>
        <x:v>127.94922743061768</x:v>
      </x:c>
      <x:c r="S1188" s="9" t="n">
        <x:f>H1188*Y1187*INDEX(v01_MortChild,G1188)/4*Q1188</x:f>
        <x:v>23.750941663695652</x:v>
      </x:c>
      <x:c r="T1188" s="9" t="n">
        <x:f>H1188*Z1187*INDEX(v01_MortAdult,G1188)*Arch_AdultMort/4*Q1188</x:f>
        <x:v>9.869011978061268</x:v>
      </x:c>
      <x:c r="U1188" s="9" t="n">
        <x:f>H1188*AA1187*INDEX(v01_MortElder,G1188)/4*Q1188</x:f>
        <x:v>22.8429752018664</x:v>
      </x:c>
      <x:c r="V1188" s="9" t="n">
        <x:f>H1188*MAX(0,AB1187-O1188)*v01_OvercapLoss</x:f>
        <x:v>0</x:v>
      </x:c>
      <x:c r="W1188" s="9" t="n">
        <x:f>H1188*Y1187/(v01_ChildYears*4)</x:f>
        <x:v>77.11344696005082</x:v>
      </x:c>
      <x:c r="X1188" s="9" t="n">
        <x:f>H1188*Z1187/(v01_AdultYears*4)</x:f>
        <x:v>35.372802788750064</x:v>
      </x:c>
      <x:c r="Y1188" s="32" t="n">
        <x:f>Y1187+R1188-S1188-W1188-Y1187*V1188/AB1187</x:f>
        <x:v>4345.437868569717</x:v>
      </x:c>
      <x:c r="Z1188" s="32" t="n">
        <x:f>Z1187+W1188-X1188-T1188-Z1187*V1188/AB1187</x:f>
        <x:v>4418.099177998248</x:v>
      </x:c>
      <x:c r="AA1188" s="32" t="n">
        <x:f>AA1187+X1188-U1188-AA1187*V1188/AB1187</x:f>
        <x:v>1673.8371149953489</x:v>
      </x:c>
      <x:c r="AB1188" s="10" t="n">
        <x:f>Y1188+Z1188+AA1188</x:f>
        <x:v>10437.374161563313</x:v>
      </x:c>
      <x:c r="AC1188" s="8" t="n">
        <x:f>IF(AND(v01_WinterTrigger=1,D1188=1,AB1187/AE1187&gt;=K1188),1,0)</x:f>
        <x:v>0</x:v>
      </x:c>
      <x:c r="AD1188" s="8" t="n">
        <x:f>H1188*IF(AND(OR(AB1187/AE1187&gt;=v01_FissionTrigger*N1188,AC1188=1),AB1187/AE1187*v01_DaughterShare&gt;=v01_MinDaughter),MAX(1,ROUND(AE1187*v01_FissionRate,0)),0)</x:f>
        <x:v>0</x:v>
      </x:c>
      <x:c r="AE1188" s="8" t="n">
        <x:f>IF(H1188=1,MAX(1,MIN(INDEX(v01_Smax,G1188),AE1187+AD1188)),AE1187)</x:f>
        <x:v>16</x:v>
      </x:c>
      <x:c r="AF1188" s="8" t="n">
        <x:f>MAX(0,AE1188-AE1187)</x:f>
        <x:v>0</x:v>
      </x:c>
      <x:c r="AG1188" s="9" t="str">
        <x:f>IF(AF1188&gt;0,B1188,"")</x:f>
      </x:c>
      <x:c r="AH1188" s="9" t="n">
        <x:f>IF(F1188&gt;=1,1,(1+v01_LowTiesShare*(AE1188-1))/AE1188)</x:f>
        <x:v>1</x:v>
      </x:c>
      <x:c r="AI1188" s="32" t="n">
        <x:f>(Z1188+v01_ElderCommons*INDEX(LM_Elder,G1188)*AA1188)*AH1188</x:f>
        <x:v>10694.988359230807</x:v>
      </x:c>
      <x:c r="AJ1188" s="32" t="n">
        <x:f>H1188*v01_CommonsCoef*AI1188^v01_CommonsExp*INDEX(LM_Commons,G1188)</x:f>
        <x:v>2321.800854882671</x:v>
      </x:c>
      <x:c r="AK1188" s="32" t="n">
        <x:f>H1188*v01_RoleScale*Arch_Roles*(AE1188*(INDEX(v01_ElderRolePerSett,G1188)*v01_OutElder*INDEX(LM_Elder,G1188)+INDEX(v01_ShamanPerSett,G1188)*v01_OutShaman)+Z1188*(INDEX(v01_PriestShare,G1188)*v01_OutPriest+INDEX(v01_ScribeShare,G1188)*v01_OutScribe*INDEX(LM_Scribe,G1188)+INDEX(v01_ScholarShare,G1188)*v01_OutScholar*INDEX(LM_Scholar,G1188)+INDEX(v01_ResearcherShare,G1188)*v01_OutResearcher*INDEX(LM_Researcher,G1188)))</x:f>
        <x:v>611.122306345579</x:v>
      </x:c>
      <x:c r="AL1188" s="32" t="n">
        <x:f>H1188*v01_RoleScale*Arch_Roles*AE1188*INDEX(v01_MonasteryPerSett,G1188)*v01_OutMonastery*INDEX(LM_Monastery,G1188)</x:f>
        <x:v>10.56</x:v>
      </x:c>
      <x:c r="AM1188" s="32" t="n">
        <x:f>(AJ1188+AK1188+AL1188)/4*INDEX(LM_All,G1188)*INDEX(v01_Boon,G1188)*Arch_Insight</x:f>
        <x:v>1345.0798458704053</x:v>
      </x:c>
      <x:c r="AN1188" s="32" t="n">
        <x:f>H1188*(v01_KHPerAdult*Z1188+v01_KHOfCommons*AJ1188/4*INDEX(LM_All,G1188))*v01_KHUsable*Arch_KH</x:f>
        <x:v>154.63347122993866</x:v>
      </x:c>
      <x:c r="AO1188" s="32" t="n">
        <x:f>MIN(AP1187+AN1188,AM1188*v01_KHMaxRatio)</x:f>
        <x:v>154.63347122993866</x:v>
      </x:c>
      <x:c r="AP1188" s="32" t="n">
        <x:f>AP1187+AN1188-AO1188</x:f>
        <x:v>0</x:v>
      </x:c>
      <x:c r="AQ1188" s="32" t="n">
        <x:f>AM1188+AO1188</x:f>
        <x:v>1499.7133171003438</x:v>
      </x:c>
      <x:c r="AR1188" s="10" t="n">
        <x:f>IF(H1188=1,INDEX(v01_Req,G1188),0)</x:f>
        <x:v>113395.942036</x:v>
      </x:c>
      <x:c r="AS1188" s="32" t="n">
        <x:f>IF(H1188=1,IF(E1188=1,AS1187-AR1187,AS1187)+AQ1188,0)</x:f>
        <x:v>82268.61801603567</x:v>
      </x:c>
      <x:c r="AT1188" s="11" t="n">
        <x:f>IF(AR1188&gt;0,MIN(1,AS1188/AR1188),1)</x:f>
        <x:v>0.7254987836329957</x:v>
      </x:c>
      <x:c r="AU1188" s="10" t="n">
        <x:f>AB1188/INDEX(v01_RepScale,G1188)</x:f>
        <x:v>208.74748323126627</x:v>
      </x:c>
      <x:c r="AV1188" s="32" t="n">
        <x:f>AM1188*60/v01_SeasonSeconds</x:f>
        <x:v>5380.319383481621</x:v>
      </x:c>
    </x:row>
    <x:row r="1189">
      <x:c r="A1189" s="8" t="n">
        <x:f>A1188+1</x:f>
        <x:v>1186</x:v>
      </x:c>
      <x:c r="B1189" s="9" t="n">
        <x:f>A1189*v01_SeasonSeconds/60</x:f>
        <x:v>296.5</x:v>
      </x:c>
      <x:c r="C1189" s="9" t="n">
        <x:f>A1189/4</x:f>
        <x:v>296.5</x:v>
      </x:c>
      <x:c r="D1189" s="8" t="n">
        <x:f>IF(MOD(A1189,4)=0,1,0)</x:f>
        <x:v>0</x:v>
      </x:c>
      <x:c r="E1189" s="8" t="n">
        <x:f>IF(AND(F1188&lt;=9,AS1188&gt;=AR1188),1,0)</x:f>
        <x:v>0</x:v>
      </x:c>
      <x:c r="F1189" s="8" t="n">
        <x:f>MIN(10,F1188+E1189)</x:f>
        <x:v>6</x:v>
      </x:c>
      <x:c r="G1189" s="8" t="n">
        <x:f>MIN(F1189,9)+1</x:f>
        <x:v>7</x:v>
      </x:c>
      <x:c r="H1189" s="8" t="n">
        <x:f>IF(F1189&lt;=9,1,0)</x:f>
        <x:v>1</x:v>
      </x:c>
      <x:c r="I1189" s="9" t="n">
        <x:f>MIN(10,F1188+IF(AR1188&gt;0,MIN(1,AS1188/AR1188),1))</x:f>
        <x:v>6.725498783632996</x:v>
      </x:c>
      <x:c r="J1189" s="32" t="n">
        <x:f>INDEX(v01_FoodCap,G1189)*Arch_FoodCap*EXP(v01_CapsByProject*SUMPRODUCT((Cap_Point&lt;=I1189)*(Cap_Kind="Food")*Cap_Ln))</x:f>
        <x:v>1000</x:v>
      </x:c>
      <x:c r="K1189" s="32" t="n">
        <x:f>J1189*MIN(1,v01_LeanBase*EXP(v01_CapsByProject*SUMPRODUCT((Cap_Point&lt;=I1189)*(Cap_Kind="Lean")*Cap_Ln)))</x:f>
        <x:v>1000</x:v>
      </x:c>
      <x:c r="L1189" s="10" t="n">
        <x:f>INDEX(v01_HousingCap,G1189)*EXP(v01_CapsByProject*SUMPRODUCT((Cap_Point&lt;=I1189)*(Cap_Kind="Housing")*Cap_Ln))</x:f>
        <x:v>1600</x:v>
      </x:c>
      <x:c r="M1189" s="10" t="n">
        <x:f>INDEX(v01_GroupCap,G1189)*v01_CohesionFactor*EXP(v01_CapsByProject*SUMPRODUCT((Cap_Point&lt;=I1189)*(Cap_Kind="Group")*Cap_Ln))</x:f>
        <x:v>1000000</x:v>
      </x:c>
      <x:c r="N1189" s="32" t="n">
        <x:f>MIN(J1189,L1189,M1189)</x:f>
        <x:v>1000</x:v>
      </x:c>
      <x:c r="O1189" s="10" t="n">
        <x:f>AE1188*N1189</x:f>
        <x:v>16000</x:v>
      </x:c>
      <x:c r="P1189" s="9" t="n">
        <x:f>MIN(1,(AB1188/(AE1188*IF(v01_GroupInCrowding=1,N1189,MIN(J1189,L1189))))^v01_CrowdingExp)</x:f>
        <x:v>0.0770597540794466</x:v>
      </x:c>
      <x:c r="Q1189" s="9" t="n">
        <x:f>IF(D1189=1,INDEX(v01_WinterMult,G1189),1)</x:f>
        <x:v>1</x:v>
      </x:c>
      <x:c r="R1189" s="9" t="n">
        <x:f>H1189*Z1188*v01_WomenShare*v01_BaseFertility*INDEX(v01_FertMult,G1189)*Arch_Fertility*(1-P1189)</x:f>
        <x:v>128.44570856805757</x:v>
      </x:c>
      <x:c r="S1189" s="9" t="n">
        <x:f>H1189*Y1188*INDEX(v01_MortChild,G1189)/4*Q1189</x:f>
        <x:v>23.899908277133438</x:v>
      </x:c>
      <x:c r="T1189" s="9" t="n">
        <x:f>H1189*Z1188*INDEX(v01_MortAdult,G1189)*Arch_AdultMort/4*Q1189</x:f>
        <x:v>9.940723150496057</x:v>
      </x:c>
      <x:c r="U1189" s="9" t="n">
        <x:f>H1189*AA1188*INDEX(v01_MortElder,G1189)/4*Q1189</x:f>
        <x:v>23.01526033118605</x:v>
      </x:c>
      <x:c r="V1189" s="9" t="n">
        <x:f>H1189*MAX(0,AB1188-O1189)*v01_OvercapLoss</x:f>
        <x:v>0</x:v>
      </x:c>
      <x:c r="W1189" s="9" t="n">
        <x:f>H1189*Y1188/(v01_ChildYears*4)</x:f>
        <x:v>77.5971047958878</x:v>
      </x:c>
      <x:c r="X1189" s="9" t="n">
        <x:f>H1189*Z1188/(v01_AdultYears*4)</x:f>
        <x:v>35.62983208063103</x:v>
      </x:c>
      <x:c r="Y1189" s="32" t="n">
        <x:f>Y1188+R1189-S1189-W1189-Y1188*V1189/AB1188</x:f>
        <x:v>4372.386564064754</x:v>
      </x:c>
      <x:c r="Z1189" s="32" t="n">
        <x:f>Z1188+W1189-X1189-T1189-Z1188*V1189/AB1188</x:f>
        <x:v>4450.125727563009</x:v>
      </x:c>
      <x:c r="AA1189" s="32" t="n">
        <x:f>AA1188+X1189-U1189-AA1188*V1189/AB1188</x:f>
        <x:v>1686.451686744794</x:v>
      </x:c>
      <x:c r="AB1189" s="10" t="n">
        <x:f>Y1189+Z1189+AA1189</x:f>
        <x:v>10508.963978372556</x:v>
      </x:c>
      <x:c r="AC1189" s="8" t="n">
        <x:f>IF(AND(v01_WinterTrigger=1,D1189=1,AB1188/AE1188&gt;=K1189),1,0)</x:f>
        <x:v>0</x:v>
      </x:c>
      <x:c r="AD1189" s="8" t="n">
        <x:f>H1189*IF(AND(OR(AB1188/AE1188&gt;=v01_FissionTrigger*N1189,AC1189=1),AB1188/AE1188*v01_DaughterShare&gt;=v01_MinDaughter),MAX(1,ROUND(AE1188*v01_FissionRate,0)),0)</x:f>
        <x:v>0</x:v>
      </x:c>
      <x:c r="AE1189" s="8" t="n">
        <x:f>IF(H1189=1,MAX(1,MIN(INDEX(v01_Smax,G1189),AE1188+AD1189)),AE1188)</x:f>
        <x:v>16</x:v>
      </x:c>
      <x:c r="AF1189" s="8" t="n">
        <x:f>MAX(0,AE1189-AE1188)</x:f>
        <x:v>0</x:v>
      </x:c>
      <x:c r="AG1189" s="9" t="str">
        <x:f>IF(AF1189&gt;0,B1189,"")</x:f>
      </x:c>
      <x:c r="AH1189" s="9" t="n">
        <x:f>IF(F1189&gt;=1,1,(1+v01_LowTiesShare*(AE1189-1))/AE1189)</x:f>
        <x:v>1</x:v>
      </x:c>
      <x:c r="AI1189" s="32" t="n">
        <x:f>(Z1189+v01_ElderCommons*INDEX(LM_Elder,G1189)*AA1189)*AH1189</x:f>
        <x:v>10774.319552855986</x:v>
      </x:c>
      <x:c r="AJ1189" s="32" t="n">
        <x:f>H1189*v01_CommonsCoef*AI1189^v01_CommonsExp*INDEX(LM_Commons,G1189)</x:f>
        <x:v>2336.4316044161374</x:v>
      </x:c>
      <x:c r="AK1189" s="32" t="n">
        <x:f>H1189*v01_RoleScale*Arch_Roles*(AE1189*(INDEX(v01_ElderRolePerSett,G1189)*v01_OutElder*INDEX(LM_Elder,G1189)+INDEX(v01_ShamanPerSett,G1189)*v01_OutShaman)+Z1189*(INDEX(v01_PriestShare,G1189)*v01_OutPriest+INDEX(v01_ScribeShare,G1189)*v01_OutScribe*INDEX(LM_Scribe,G1189)+INDEX(v01_ScholarShare,G1189)*v01_OutScholar*INDEX(LM_Scholar,G1189)+INDEX(v01_ResearcherShare,G1189)*v01_OutResearcher*INDEX(LM_Researcher,G1189)))</x:f>
        <x:v>615.1608542456953</x:v>
      </x:c>
      <x:c r="AL1189" s="32" t="n">
        <x:f>H1189*v01_RoleScale*Arch_Roles*AE1189*INDEX(v01_MonasteryPerSett,G1189)*v01_OutMonastery*INDEX(LM_Monastery,G1189)</x:f>
        <x:v>10.56</x:v>
      </x:c>
      <x:c r="AM1189" s="32" t="n">
        <x:f>(AJ1189+AK1189+AL1189)/4*INDEX(LM_All,G1189)*INDEX(v01_Boon,G1189)*Arch_Insight</x:f>
        <x:v>1353.6111315408125</x:v>
      </x:c>
      <x:c r="AN1189" s="32" t="n">
        <x:f>H1189*(v01_KHPerAdult*Z1189+v01_KHOfCommons*AJ1189/4*INDEX(LM_All,G1189))*v01_KHUsable*Arch_KH</x:f>
        <x:v>155.7544004647053</x:v>
      </x:c>
      <x:c r="AO1189" s="32" t="n">
        <x:f>MIN(AP1188+AN1189,AM1189*v01_KHMaxRatio)</x:f>
        <x:v>155.7544004647053</x:v>
      </x:c>
      <x:c r="AP1189" s="32" t="n">
        <x:f>AP1188+AN1189-AO1189</x:f>
        <x:v>0</x:v>
      </x:c>
      <x:c r="AQ1189" s="32" t="n">
        <x:f>AM1189+AO1189</x:f>
        <x:v>1509.3655320055177</x:v>
      </x:c>
      <x:c r="AR1189" s="10" t="n">
        <x:f>IF(H1189=1,INDEX(v01_Req,G1189),0)</x:f>
        <x:v>113395.942036</x:v>
      </x:c>
      <x:c r="AS1189" s="32" t="n">
        <x:f>IF(H1189=1,IF(E1189=1,AS1188-AR1188,AS1188)+AQ1189,0)</x:f>
        <x:v>83777.98354804119</x:v>
      </x:c>
      <x:c r="AT1189" s="11" t="n">
        <x:f>IF(AR1189&gt;0,MIN(1,AS1189/AR1189),1)</x:f>
        <x:v>0.7388093616387441</x:v>
      </x:c>
      <x:c r="AU1189" s="10" t="n">
        <x:f>AB1189/INDEX(v01_RepScale,G1189)</x:f>
        <x:v>210.17927956745112</x:v>
      </x:c>
      <x:c r="AV1189" s="32" t="n">
        <x:f>AM1189*60/v01_SeasonSeconds</x:f>
        <x:v>5414.44452616325</x:v>
      </x:c>
    </x:row>
    <x:row r="1190">
      <x:c r="A1190" s="8" t="n">
        <x:f>A1189+1</x:f>
        <x:v>1187</x:v>
      </x:c>
      <x:c r="B1190" s="9" t="n">
        <x:f>A1190*v01_SeasonSeconds/60</x:f>
        <x:v>296.75</x:v>
      </x:c>
      <x:c r="C1190" s="9" t="n">
        <x:f>A1190/4</x:f>
        <x:v>296.75</x:v>
      </x:c>
      <x:c r="D1190" s="8" t="n">
        <x:f>IF(MOD(A1190,4)=0,1,0)</x:f>
        <x:v>0</x:v>
      </x:c>
      <x:c r="E1190" s="8" t="n">
        <x:f>IF(AND(F1189&lt;=9,AS1189&gt;=AR1189),1,0)</x:f>
        <x:v>0</x:v>
      </x:c>
      <x:c r="F1190" s="8" t="n">
        <x:f>MIN(10,F1189+E1190)</x:f>
        <x:v>6</x:v>
      </x:c>
      <x:c r="G1190" s="8" t="n">
        <x:f>MIN(F1190,9)+1</x:f>
        <x:v>7</x:v>
      </x:c>
      <x:c r="H1190" s="8" t="n">
        <x:f>IF(F1190&lt;=9,1,0)</x:f>
        <x:v>1</x:v>
      </x:c>
      <x:c r="I1190" s="9" t="n">
        <x:f>MIN(10,F1189+IF(AR1189&gt;0,MIN(1,AS1189/AR1189),1))</x:f>
        <x:v>6.738809361638744</x:v>
      </x:c>
      <x:c r="J1190" s="32" t="n">
        <x:f>INDEX(v01_FoodCap,G1190)*Arch_FoodCap*EXP(v01_CapsByProject*SUMPRODUCT((Cap_Point&lt;=I1190)*(Cap_Kind="Food")*Cap_Ln))</x:f>
        <x:v>1000</x:v>
      </x:c>
      <x:c r="K1190" s="32" t="n">
        <x:f>J1190*MIN(1,v01_LeanBase*EXP(v01_CapsByProject*SUMPRODUCT((Cap_Point&lt;=I1190)*(Cap_Kind="Lean")*Cap_Ln)))</x:f>
        <x:v>1000</x:v>
      </x:c>
      <x:c r="L1190" s="10" t="n">
        <x:f>INDEX(v01_HousingCap,G1190)*EXP(v01_CapsByProject*SUMPRODUCT((Cap_Point&lt;=I1190)*(Cap_Kind="Housing")*Cap_Ln))</x:f>
        <x:v>1600</x:v>
      </x:c>
      <x:c r="M1190" s="10" t="n">
        <x:f>INDEX(v01_GroupCap,G1190)*v01_CohesionFactor*EXP(v01_CapsByProject*SUMPRODUCT((Cap_Point&lt;=I1190)*(Cap_Kind="Group")*Cap_Ln))</x:f>
        <x:v>1000000</x:v>
      </x:c>
      <x:c r="N1190" s="32" t="n">
        <x:f>MIN(J1190,L1190,M1190)</x:f>
        <x:v>1000</x:v>
      </x:c>
      <x:c r="O1190" s="10" t="n">
        <x:f>AE1189*N1190</x:f>
        <x:v>16000</x:v>
      </x:c>
      <x:c r="P1190" s="9" t="n">
        <x:f>MIN(1,(AB1189/(AE1189*IF(v01_GroupInCrowding=1,N1190,MIN(J1190,L1190))))^v01_CrowdingExp)</x:f>
        <x:v>0.08028594517263526</x:v>
      </x:c>
      <x:c r="Q1190" s="9" t="n">
        <x:f>IF(D1190=1,INDEX(v01_WinterMult,G1190),1)</x:f>
        <x:v>1</x:v>
      </x:c>
      <x:c r="R1190" s="9" t="n">
        <x:f>H1190*Z1189*v01_WomenShare*v01_BaseFertility*INDEX(v01_FertMult,G1190)*Arch_Fertility*(1-P1190)</x:f>
        <x:v>128.92456008773937</x:v>
      </x:c>
      <x:c r="S1190" s="9" t="n">
        <x:f>H1190*Y1189*INDEX(v01_MortChild,G1190)/4*Q1190</x:f>
        <x:v>24.048126102356143</x:v>
      </x:c>
      <x:c r="T1190" s="9" t="n">
        <x:f>H1190*Z1189*INDEX(v01_MortAdult,G1190)*Arch_AdultMort/4*Q1190</x:f>
        <x:v>10.012782887016769</x:v>
      </x:c>
      <x:c r="U1190" s="9" t="n">
        <x:f>H1190*AA1189*INDEX(v01_MortElder,G1190)/4*Q1190</x:f>
        <x:v>23.188710692740916</x:v>
      </x:c>
      <x:c r="V1190" s="9" t="n">
        <x:f>H1190*MAX(0,AB1189-O1190)*v01_OvercapLoss</x:f>
        <x:v>0</x:v>
      </x:c>
      <x:c r="W1190" s="9" t="n">
        <x:f>H1190*Y1189/(v01_ChildYears*4)</x:f>
        <x:v>78.07833150115631</x:v>
      </x:c>
      <x:c r="X1190" s="9" t="n">
        <x:f>H1190*Z1189/(v01_AdultYears*4)</x:f>
        <x:v>35.8881107061533</x:v>
      </x:c>
      <x:c r="Y1190" s="32" t="n">
        <x:f>Y1189+R1190-S1190-W1190-Y1189*V1190/AB1189</x:f>
        <x:v>4399.18466654898</x:v>
      </x:c>
      <x:c r="Z1190" s="32" t="n">
        <x:f>Z1189+W1190-X1190-T1190-Z1189*V1190/AB1189</x:f>
        <x:v>4482.303165470996</x:v>
      </x:c>
      <x:c r="AA1190" s="32" t="n">
        <x:f>AA1189+X1190-U1190-AA1189*V1190/AB1189</x:f>
        <x:v>1699.1510867582065</x:v>
      </x:c>
      <x:c r="AB1190" s="10" t="n">
        <x:f>Y1190+Z1190+AA1190</x:f>
        <x:v>10580.638918778182</x:v>
      </x:c>
      <x:c r="AC1190" s="8" t="n">
        <x:f>IF(AND(v01_WinterTrigger=1,D1190=1,AB1189/AE1189&gt;=K1190),1,0)</x:f>
        <x:v>0</x:v>
      </x:c>
      <x:c r="AD1190" s="8" t="n">
        <x:f>H1190*IF(AND(OR(AB1189/AE1189&gt;=v01_FissionTrigger*N1190,AC1190=1),AB1189/AE1189*v01_DaughterShare&gt;=v01_MinDaughter),MAX(1,ROUND(AE1189*v01_FissionRate,0)),0)</x:f>
        <x:v>0</x:v>
      </x:c>
      <x:c r="AE1190" s="8" t="n">
        <x:f>IF(H1190=1,MAX(1,MIN(INDEX(v01_Smax,G1190),AE1189+AD1190)),AE1189)</x:f>
        <x:v>16</x:v>
      </x:c>
      <x:c r="AF1190" s="8" t="n">
        <x:f>MAX(0,AE1190-AE1189)</x:f>
        <x:v>0</x:v>
      </x:c>
      <x:c r="AG1190" s="9" t="str">
        <x:f>IF(AF1190&gt;0,B1190,"")</x:f>
      </x:c>
      <x:c r="AH1190" s="9" t="n">
        <x:f>IF(F1190&gt;=1,1,(1+v01_LowTiesShare*(AE1190-1))/AE1190)</x:f>
        <x:v>1</x:v>
      </x:c>
      <x:c r="AI1190" s="32" t="n">
        <x:f>(Z1190+v01_ElderCommons*INDEX(LM_Elder,G1190)*AA1190)*AH1190</x:f>
        <x:v>10854.119740814269</x:v>
      </x:c>
      <x:c r="AJ1190" s="32" t="n">
        <x:f>H1190*v01_CommonsCoef*AI1190^v01_CommonsExp*INDEX(LM_Commons,G1190)</x:f>
        <x:v>2351.132555415398</x:v>
      </x:c>
      <x:c r="AK1190" s="32" t="n">
        <x:f>H1190*v01_RoleScale*Arch_Roles*(AE1190*(INDEX(v01_ElderRolePerSett,G1190)*v01_OutElder*INDEX(LM_Elder,G1190)+INDEX(v01_ShamanPerSett,G1190)*v01_OutShaman)+Z1190*(INDEX(v01_PriestShare,G1190)*v01_OutPriest+INDEX(v01_ScribeShare,G1190)*v01_OutScribe*INDEX(LM_Scribe,G1190)+INDEX(v01_ScholarShare,G1190)*v01_OutScholar*INDEX(LM_Scholar,G1190)+INDEX(v01_ResearcherShare,G1190)*v01_OutResearcher*INDEX(LM_Researcher,G1190)))</x:f>
        <x:v>619.2184291658925</x:v>
      </x:c>
      <x:c r="AL1190" s="32" t="n">
        <x:f>H1190*v01_RoleScale*Arch_Roles*AE1190*INDEX(v01_MonasteryPerSett,G1190)*v01_OutMonastery*INDEX(LM_Monastery,G1190)</x:f>
        <x:v>10.56</x:v>
      </x:c>
      <x:c r="AM1190" s="32" t="n">
        <x:f>(AJ1190+AK1190+AL1190)/4*INDEX(LM_All,G1190)*INDEX(v01_Boon,G1190)*Arch_Insight</x:f>
        <x:v>1362.1831918416337</x:v>
      </x:c>
      <x:c r="AN1190" s="32" t="n">
        <x:f>H1190*(v01_KHPerAdult*Z1190+v01_KHOfCommons*AJ1190/4*INDEX(LM_All,G1190))*v01_KHUsable*Arch_KH</x:f>
        <x:v>156.88061079148486</x:v>
      </x:c>
      <x:c r="AO1190" s="32" t="n">
        <x:f>MIN(AP1189+AN1190,AM1190*v01_KHMaxRatio)</x:f>
        <x:v>156.88061079148486</x:v>
      </x:c>
      <x:c r="AP1190" s="32" t="n">
        <x:f>AP1189+AN1190-AO1190</x:f>
        <x:v>0</x:v>
      </x:c>
      <x:c r="AQ1190" s="32" t="n">
        <x:f>AM1190+AO1190</x:f>
        <x:v>1519.0638026331185</x:v>
      </x:c>
      <x:c r="AR1190" s="10" t="n">
        <x:f>IF(H1190=1,INDEX(v01_Req,G1190),0)</x:f>
        <x:v>113395.942036</x:v>
      </x:c>
      <x:c r="AS1190" s="32" t="n">
        <x:f>IF(H1190=1,IF(E1190=1,AS1189-AR1189,AS1189)+AQ1190,0)</x:f>
        <x:v>85297.0473506743</x:v>
      </x:c>
      <x:c r="AT1190" s="11" t="n">
        <x:f>IF(AR1190&gt;0,MIN(1,AS1190/AR1190),1)</x:f>
        <x:v>0.7522054653736631</x:v>
      </x:c>
      <x:c r="AU1190" s="10" t="n">
        <x:f>AB1190/INDEX(v01_RepScale,G1190)</x:f>
        <x:v>211.61277837556364</x:v>
      </x:c>
      <x:c r="AV1190" s="32" t="n">
        <x:f>AM1190*60/v01_SeasonSeconds</x:f>
        <x:v>5448.732767366534</x:v>
      </x:c>
    </x:row>
    <x:row r="1191">
      <x:c r="A1191" s="8" t="n">
        <x:f>A1190+1</x:f>
        <x:v>1188</x:v>
      </x:c>
      <x:c r="B1191" s="9" t="n">
        <x:f>A1191*v01_SeasonSeconds/60</x:f>
        <x:v>297</x:v>
      </x:c>
      <x:c r="C1191" s="9" t="n">
        <x:f>A1191/4</x:f>
        <x:v>297</x:v>
      </x:c>
      <x:c r="D1191" s="8" t="n">
        <x:f>IF(MOD(A1191,4)=0,1,0)</x:f>
        <x:v>1</x:v>
      </x:c>
      <x:c r="E1191" s="8" t="n">
        <x:f>IF(AND(F1190&lt;=9,AS1190&gt;=AR1190),1,0)</x:f>
        <x:v>0</x:v>
      </x:c>
      <x:c r="F1191" s="8" t="n">
        <x:f>MIN(10,F1190+E1191)</x:f>
        <x:v>6</x:v>
      </x:c>
      <x:c r="G1191" s="8" t="n">
        <x:f>MIN(F1191,9)+1</x:f>
        <x:v>7</x:v>
      </x:c>
      <x:c r="H1191" s="8" t="n">
        <x:f>IF(F1191&lt;=9,1,0)</x:f>
        <x:v>1</x:v>
      </x:c>
      <x:c r="I1191" s="9" t="n">
        <x:f>MIN(10,F1190+IF(AR1190&gt;0,MIN(1,AS1190/AR1190),1))</x:f>
        <x:v>6.752205465373663</x:v>
      </x:c>
      <x:c r="J1191" s="32" t="n">
        <x:f>INDEX(v01_FoodCap,G1191)*Arch_FoodCap*EXP(v01_CapsByProject*SUMPRODUCT((Cap_Point&lt;=I1191)*(Cap_Kind="Food")*Cap_Ln))</x:f>
        <x:v>1000</x:v>
      </x:c>
      <x:c r="K1191" s="32" t="n">
        <x:f>J1191*MIN(1,v01_LeanBase*EXP(v01_CapsByProject*SUMPRODUCT((Cap_Point&lt;=I1191)*(Cap_Kind="Lean")*Cap_Ln)))</x:f>
        <x:v>1000</x:v>
      </x:c>
      <x:c r="L1191" s="10" t="n">
        <x:f>INDEX(v01_HousingCap,G1191)*EXP(v01_CapsByProject*SUMPRODUCT((Cap_Point&lt;=I1191)*(Cap_Kind="Housing")*Cap_Ln))</x:f>
        <x:v>1600</x:v>
      </x:c>
      <x:c r="M1191" s="10" t="n">
        <x:f>INDEX(v01_GroupCap,G1191)*v01_CohesionFactor*EXP(v01_CapsByProject*SUMPRODUCT((Cap_Point&lt;=I1191)*(Cap_Kind="Group")*Cap_Ln))</x:f>
        <x:v>1000000</x:v>
      </x:c>
      <x:c r="N1191" s="32" t="n">
        <x:f>MIN(J1191,L1191,M1191)</x:f>
        <x:v>1000</x:v>
      </x:c>
      <x:c r="O1191" s="10" t="n">
        <x:f>AE1190*N1191</x:f>
        <x:v>16000</x:v>
      </x:c>
      <x:c r="P1191" s="9" t="n">
        <x:f>MIN(1,(AB1190/(AE1190*IF(v01_GroupInCrowding=1,N1191,MIN(J1191,L1191))))^v01_CrowdingExp)</x:f>
        <x:v>0.08362795289494128</x:v>
      </x:c>
      <x:c r="Q1191" s="9" t="n">
        <x:f>IF(D1191=1,INDEX(v01_WinterMult,G1191),1)</x:f>
        <x:v>1</x:v>
      </x:c>
      <x:c r="R1191" s="9" t="n">
        <x:f>H1191*Z1190*v01_WomenShare*v01_BaseFertility*INDEX(v01_FertMult,G1191)*Arch_Fertility*(1-P1191)</x:f>
        <x:v>129.38490581587646</x:v>
      </x:c>
      <x:c r="S1191" s="9" t="n">
        <x:f>H1191*Y1190*INDEX(v01_MortChild,G1191)/4*Q1191</x:f>
        <x:v>24.19551566601939</x:v>
      </x:c>
      <x:c r="T1191" s="9" t="n">
        <x:f>H1191*Z1190*INDEX(v01_MortAdult,G1191)*Arch_AdultMort/4*Q1191</x:f>
        <x:v>10.085182122309739</x:v>
      </x:c>
      <x:c r="U1191" s="9" t="n">
        <x:f>H1191*AA1190*INDEX(v01_MortElder,G1191)/4*Q1191</x:f>
        <x:v>23.36332744292534</x:v>
      </x:c>
      <x:c r="V1191" s="9" t="n">
        <x:f>H1191*MAX(0,AB1190-O1191)*v01_OvercapLoss</x:f>
        <x:v>0</x:v>
      </x:c>
      <x:c r="W1191" s="9" t="n">
        <x:f>H1191*Y1190/(v01_ChildYears*4)</x:f>
        <x:v>78.5568690455175</x:v>
      </x:c>
      <x:c r="X1191" s="9" t="n">
        <x:f>H1191*Z1190/(v01_AdultYears*4)</x:f>
        <x:v>36.14760617315319</x:v>
      </x:c>
      <x:c r="Y1191" s="32" t="n">
        <x:f>Y1190+R1191-S1191-W1191-Y1190*V1191/AB1190</x:f>
        <x:v>4425.81718765332</x:v>
      </x:c>
      <x:c r="Z1191" s="32" t="n">
        <x:f>Z1190+W1191-X1191-T1191-Z1190*V1191/AB1190</x:f>
        <x:v>4514.627246221051</x:v>
      </x:c>
      <x:c r="AA1191" s="32" t="n">
        <x:f>AA1190+X1191-U1191-AA1190*V1191/AB1190</x:f>
        <x:v>1711.9353654884344</x:v>
      </x:c>
      <x:c r="AB1191" s="10" t="n">
        <x:f>Y1191+Z1191+AA1191</x:f>
        <x:v>10652.379799362805</x:v>
      </x:c>
      <x:c r="AC1191" s="8" t="n">
        <x:f>IF(AND(v01_WinterTrigger=1,D1191=1,AB1190/AE1190&gt;=K1191),1,0)</x:f>
        <x:v>0</x:v>
      </x:c>
      <x:c r="AD1191" s="8" t="n">
        <x:f>H1191*IF(AND(OR(AB1190/AE1190&gt;=v01_FissionTrigger*N1191,AC1191=1),AB1190/AE1190*v01_DaughterShare&gt;=v01_MinDaughter),MAX(1,ROUND(AE1190*v01_FissionRate,0)),0)</x:f>
        <x:v>0</x:v>
      </x:c>
      <x:c r="AE1191" s="8" t="n">
        <x:f>IF(H1191=1,MAX(1,MIN(INDEX(v01_Smax,G1191),AE1190+AD1191)),AE1190)</x:f>
        <x:v>16</x:v>
      </x:c>
      <x:c r="AF1191" s="8" t="n">
        <x:f>MAX(0,AE1191-AE1190)</x:f>
        <x:v>0</x:v>
      </x:c>
      <x:c r="AG1191" s="9" t="str">
        <x:f>IF(AF1191&gt;0,B1191,"")</x:f>
      </x:c>
      <x:c r="AH1191" s="9" t="n">
        <x:f>IF(F1191&gt;=1,1,(1+v01_LowTiesShare*(AE1191-1))/AE1191)</x:f>
        <x:v>1</x:v>
      </x:c>
      <x:c r="AI1191" s="32" t="n">
        <x:f>(Z1191+v01_ElderCommons*INDEX(LM_Elder,G1191)*AA1191)*AH1191</x:f>
        <x:v>10934.38486680268</x:v>
      </x:c>
      <x:c r="AJ1191" s="32" t="n">
        <x:f>H1191*v01_CommonsCoef*AI1191^v01_CommonsExp*INDEX(LM_Commons,G1191)</x:f>
        <x:v>2365.9028130440593</x:v>
      </x:c>
      <x:c r="AK1191" s="32" t="n">
        <x:f>H1191*v01_RoleScale*Arch_Roles*(AE1191*(INDEX(v01_ElderRolePerSett,G1191)*v01_OutElder*INDEX(LM_Elder,G1191)+INDEX(v01_ShamanPerSett,G1191)*v01_OutShaman)+Z1191*(INDEX(v01_PriestShare,G1191)*v01_OutPriest+INDEX(v01_ScribeShare,G1191)*v01_OutScribe*INDEX(LM_Scribe,G1191)+INDEX(v01_ScholarShare,G1191)*v01_OutScholar*INDEX(LM_Scholar,G1191)+INDEX(v01_ResearcherShare,G1191)*v01_OutResearcher*INDEX(LM_Researcher,G1191)))</x:f>
        <x:v>623.2944957484744</x:v>
      </x:c>
      <x:c r="AL1191" s="32" t="n">
        <x:f>H1191*v01_RoleScale*Arch_Roles*AE1191*INDEX(v01_MonasteryPerSett,G1191)*v01_OutMonastery*INDEX(LM_Monastery,G1191)</x:f>
        <x:v>10.56</x:v>
      </x:c>
      <x:c r="AM1191" s="32" t="n">
        <x:f>(AJ1191+AK1191+AL1191)/4*INDEX(LM_All,G1191)*INDEX(v01_Boon,G1191)*Arch_Insight</x:f>
        <x:v>1370.795373218851</x:v>
      </x:c>
      <x:c r="AN1191" s="32" t="n">
        <x:f>H1191*(v01_KHPerAdult*Z1191+v01_KHOfCommons*AJ1191/4*INDEX(LM_All,G1191))*v01_KHUsable*Arch_KH</x:f>
        <x:v>158.01195361773676</x:v>
      </x:c>
      <x:c r="AO1191" s="32" t="n">
        <x:f>MIN(AP1190+AN1191,AM1191*v01_KHMaxRatio)</x:f>
        <x:v>158.01195361773676</x:v>
      </x:c>
      <x:c r="AP1191" s="32" t="n">
        <x:f>AP1190+AN1191-AO1191</x:f>
        <x:v>0</x:v>
      </x:c>
      <x:c r="AQ1191" s="32" t="n">
        <x:f>AM1191+AO1191</x:f>
        <x:v>1528.8073268365877</x:v>
      </x:c>
      <x:c r="AR1191" s="10" t="n">
        <x:f>IF(H1191=1,INDEX(v01_Req,G1191),0)</x:f>
        <x:v>113395.942036</x:v>
      </x:c>
      <x:c r="AS1191" s="32" t="n">
        <x:f>IF(H1191=1,IF(E1191=1,AS1190-AR1190,AS1190)+AQ1191,0)</x:f>
        <x:v>86825.85467751088</x:v>
      </x:c>
      <x:c r="AT1191" s="11" t="n">
        <x:f>IF(AR1191&gt;0,MIN(1,AS1191/AR1191),1)</x:f>
        <x:v>0.7656874939135488</x:v>
      </x:c>
      <x:c r="AU1191" s="10" t="n">
        <x:f>AB1191/INDEX(v01_RepScale,G1191)</x:f>
        <x:v>213.0475959872561</x:v>
      </x:c>
      <x:c r="AV1191" s="32" t="n">
        <x:f>AM1191*60/v01_SeasonSeconds</x:f>
        <x:v>5483.181492875404</x:v>
      </x:c>
    </x:row>
    <x:row r="1192">
      <x:c r="A1192" s="8" t="n">
        <x:f>A1191+1</x:f>
        <x:v>1189</x:v>
      </x:c>
      <x:c r="B1192" s="9" t="n">
        <x:f>A1192*v01_SeasonSeconds/60</x:f>
        <x:v>297.25</x:v>
      </x:c>
      <x:c r="C1192" s="9" t="n">
        <x:f>A1192/4</x:f>
        <x:v>297.25</x:v>
      </x:c>
      <x:c r="D1192" s="8" t="n">
        <x:f>IF(MOD(A1192,4)=0,1,0)</x:f>
        <x:v>0</x:v>
      </x:c>
      <x:c r="E1192" s="8" t="n">
        <x:f>IF(AND(F1191&lt;=9,AS1191&gt;=AR1191),1,0)</x:f>
        <x:v>0</x:v>
      </x:c>
      <x:c r="F1192" s="8" t="n">
        <x:f>MIN(10,F1191+E1192)</x:f>
        <x:v>6</x:v>
      </x:c>
      <x:c r="G1192" s="8" t="n">
        <x:f>MIN(F1192,9)+1</x:f>
        <x:v>7</x:v>
      </x:c>
      <x:c r="H1192" s="8" t="n">
        <x:f>IF(F1192&lt;=9,1,0)</x:f>
        <x:v>1</x:v>
      </x:c>
      <x:c r="I1192" s="9" t="n">
        <x:f>MIN(10,F1191+IF(AR1191&gt;0,MIN(1,AS1191/AR1191),1))</x:f>
        <x:v>6.765687493913549</x:v>
      </x:c>
      <x:c r="J1192" s="32" t="n">
        <x:f>INDEX(v01_FoodCap,G1192)*Arch_FoodCap*EXP(v01_CapsByProject*SUMPRODUCT((Cap_Point&lt;=I1192)*(Cap_Kind="Food")*Cap_Ln))</x:f>
        <x:v>1000</x:v>
      </x:c>
      <x:c r="K1192" s="32" t="n">
        <x:f>J1192*MIN(1,v01_LeanBase*EXP(v01_CapsByProject*SUMPRODUCT((Cap_Point&lt;=I1192)*(Cap_Kind="Lean")*Cap_Ln)))</x:f>
        <x:v>1000</x:v>
      </x:c>
      <x:c r="L1192" s="10" t="n">
        <x:f>INDEX(v01_HousingCap,G1192)*EXP(v01_CapsByProject*SUMPRODUCT((Cap_Point&lt;=I1192)*(Cap_Kind="Housing")*Cap_Ln))</x:f>
        <x:v>1600</x:v>
      </x:c>
      <x:c r="M1192" s="10" t="n">
        <x:f>INDEX(v01_GroupCap,G1192)*v01_CohesionFactor*EXP(v01_CapsByProject*SUMPRODUCT((Cap_Point&lt;=I1192)*(Cap_Kind="Group")*Cap_Ln))</x:f>
        <x:v>1000000</x:v>
      </x:c>
      <x:c r="N1192" s="32" t="n">
        <x:f>MIN(J1192,L1192,M1192)</x:f>
        <x:v>1000</x:v>
      </x:c>
      <x:c r="O1192" s="10" t="n">
        <x:f>AE1191*N1192</x:f>
        <x:v>16000</x:v>
      </x:c>
      <x:c r="P1192" s="9" t="n">
        <x:f>MIN(1,(AB1191/(AE1191*IF(v01_GroupInCrowding=1,N1192,MIN(J1192,L1192))))^v01_CrowdingExp)</x:f>
        <x:v>0.08708832911009622</x:v>
      </x:c>
      <x:c r="Q1192" s="9" t="n">
        <x:f>IF(D1192=1,INDEX(v01_WinterMult,G1192),1)</x:f>
        <x:v>1</x:v>
      </x:c>
      <x:c r="R1192" s="9" t="n">
        <x:f>H1192*Z1191*v01_WomenShare*v01_BaseFertility*INDEX(v01_FertMult,G1192)*Arch_Fertility*(1-P1192)</x:f>
        <x:v>129.82586093797144</x:v>
      </x:c>
      <x:c r="S1192" s="9" t="n">
        <x:f>H1192*Y1191*INDEX(v01_MortChild,G1192)/4*Q1192</x:f>
        <x:v>24.341994532093256</x:v>
      </x:c>
      <x:c r="T1192" s="9" t="n">
        <x:f>H1192*Z1191*INDEX(v01_MortAdult,G1192)*Arch_AdultMort/4*Q1192</x:f>
        <x:v>10.157911303997365</x:v>
      </x:c>
      <x:c r="U1192" s="9" t="n">
        <x:f>H1192*AA1191*INDEX(v01_MortElder,G1192)/4*Q1192</x:f>
        <x:v>23.539111275465974</x:v>
      </x:c>
      <x:c r="V1192" s="9" t="n">
        <x:f>H1192*MAX(0,AB1191-O1192)*v01_OvercapLoss</x:f>
        <x:v>0</x:v>
      </x:c>
      <x:c r="W1192" s="9" t="n">
        <x:f>H1192*Y1191/(v01_ChildYears*4)</x:f>
        <x:v>79.03244977952356</x:v>
      </x:c>
      <x:c r="X1192" s="9" t="n">
        <x:f>H1192*Z1191/(v01_AdultYears*4)</x:f>
        <x:v>36.40828424371815</x:v>
      </x:c>
      <x:c r="Y1192" s="32" t="n">
        <x:f>Y1191+R1192-S1192-W1192-Y1191*V1192/AB1191</x:f>
        <x:v>4452.268604279675</x:v>
      </x:c>
      <x:c r="Z1192" s="32" t="n">
        <x:f>Z1191+W1192-X1192-T1192-Z1191*V1192/AB1191</x:f>
        <x:v>4547.093500452859</x:v>
      </x:c>
      <x:c r="AA1192" s="32" t="n">
        <x:f>AA1191+X1192-U1192-AA1191*V1192/AB1191</x:f>
        <x:v>1724.8045384566865</x:v>
      </x:c>
      <x:c r="AB1192" s="10" t="n">
        <x:f>Y1192+Z1192+AA1192</x:f>
        <x:v>10724.16664318922</x:v>
      </x:c>
      <x:c r="AC1192" s="8" t="n">
        <x:f>IF(AND(v01_WinterTrigger=1,D1192=1,AB1191/AE1191&gt;=K1192),1,0)</x:f>
        <x:v>0</x:v>
      </x:c>
      <x:c r="AD1192" s="8" t="n">
        <x:f>H1192*IF(AND(OR(AB1191/AE1191&gt;=v01_FissionTrigger*N1192,AC1192=1),AB1191/AE1191*v01_DaughterShare&gt;=v01_MinDaughter),MAX(1,ROUND(AE1191*v01_FissionRate,0)),0)</x:f>
        <x:v>0</x:v>
      </x:c>
      <x:c r="AE1192" s="8" t="n">
        <x:f>IF(H1192=1,MAX(1,MIN(INDEX(v01_Smax,G1192),AE1191+AD1192)),AE1191)</x:f>
        <x:v>16</x:v>
      </x:c>
      <x:c r="AF1192" s="8" t="n">
        <x:f>MAX(0,AE1192-AE1191)</x:f>
        <x:v>0</x:v>
      </x:c>
      <x:c r="AG1192" s="9" t="str">
        <x:f>IF(AF1192&gt;0,B1192,"")</x:f>
      </x:c>
      <x:c r="AH1192" s="9" t="n">
        <x:f>IF(F1192&gt;=1,1,(1+v01_LowTiesShare*(AE1192-1))/AE1192)</x:f>
        <x:v>1</x:v>
      </x:c>
      <x:c r="AI1192" s="32" t="n">
        <x:f>(Z1192+v01_ElderCommons*INDEX(LM_Elder,G1192)*AA1192)*AH1192</x:f>
        <x:v>11015.110519665433</x:v>
      </x:c>
      <x:c r="AJ1192" s="32" t="n">
        <x:f>H1192*v01_CommonsCoef*AI1192^v01_CommonsExp*INDEX(LM_Commons,G1192)</x:f>
        <x:v>2380.741421554437</x:v>
      </x:c>
      <x:c r="AK1192" s="32" t="n">
        <x:f>H1192*v01_RoleScale*Arch_Roles*(AE1192*(INDEX(v01_ElderRolePerSett,G1192)*v01_OutElder*INDEX(LM_Elder,G1192)+INDEX(v01_ShamanPerSett,G1192)*v01_OutShaman)+Z1192*(INDEX(v01_PriestShare,G1192)*v01_OutPriest+INDEX(v01_ScribeShare,G1192)*v01_OutScribe*INDEX(LM_Scribe,G1192)+INDEX(v01_ScholarShare,G1192)*v01_OutScholar*INDEX(LM_Scholar,G1192)+INDEX(v01_ResearcherShare,G1192)*v01_OutResearcher*INDEX(LM_Researcher,G1192)))</x:f>
        <x:v>627.3884904071055</x:v>
      </x:c>
      <x:c r="AL1192" s="32" t="n">
        <x:f>H1192*v01_RoleScale*Arch_Roles*AE1192*INDEX(v01_MonasteryPerSett,G1192)*v01_OutMonastery*INDEX(LM_Monastery,G1192)</x:f>
        <x:v>10.56</x:v>
      </x:c>
      <x:c r="AM1192" s="32" t="n">
        <x:f>(AJ1192+AK1192+AL1192)/4*INDEX(LM_All,G1192)*INDEX(v01_Boon,G1192)*Arch_Insight</x:f>
        <x:v>1379.4469813842836</x:v>
      </x:c>
      <x:c r="AN1192" s="32" t="n">
        <x:f>H1192*(v01_KHPerAdult*Z1192+v01_KHOfCommons*AJ1192/4*INDEX(LM_All,G1192))*v01_KHUsable*Arch_KH</x:f>
        <x:v>159.14827251585007</x:v>
      </x:c>
      <x:c r="AO1192" s="32" t="n">
        <x:f>MIN(AP1191+AN1192,AM1192*v01_KHMaxRatio)</x:f>
        <x:v>159.14827251585007</x:v>
      </x:c>
      <x:c r="AP1192" s="32" t="n">
        <x:f>AP1191+AN1192-AO1192</x:f>
        <x:v>0</x:v>
      </x:c>
      <x:c r="AQ1192" s="32" t="n">
        <x:f>AM1192+AO1192</x:f>
        <x:v>1538.5952539001337</x:v>
      </x:c>
      <x:c r="AR1192" s="10" t="n">
        <x:f>IF(H1192=1,INDEX(v01_Req,G1192),0)</x:f>
        <x:v>113395.942036</x:v>
      </x:c>
      <x:c r="AS1192" s="32" t="n">
        <x:f>IF(H1192=1,IF(E1192=1,AS1191-AR1191,AS1191)+AQ1192,0)</x:f>
        <x:v>88364.44993141101</x:v>
      </x:c>
      <x:c r="AT1192" s="11" t="n">
        <x:f>IF(AR1192&gt;0,MIN(1,AS1192/AR1192),1)</x:f>
        <x:v>0.7792558388320263</x:v>
      </x:c>
      <x:c r="AU1192" s="10" t="n">
        <x:f>AB1192/INDEX(v01_RepScale,G1192)</x:f>
        <x:v>214.48333286378443</x:v>
      </x:c>
      <x:c r="AV1192" s="32" t="n">
        <x:f>AM1192*60/v01_SeasonSeconds</x:f>
        <x:v>5517.7879255371345</x:v>
      </x:c>
    </x:row>
    <x:row r="1193">
      <x:c r="A1193" s="8" t="n">
        <x:f>A1192+1</x:f>
        <x:v>1190</x:v>
      </x:c>
      <x:c r="B1193" s="9" t="n">
        <x:f>A1193*v01_SeasonSeconds/60</x:f>
        <x:v>297.5</x:v>
      </x:c>
      <x:c r="C1193" s="9" t="n">
        <x:f>A1193/4</x:f>
        <x:v>297.5</x:v>
      </x:c>
      <x:c r="D1193" s="8" t="n">
        <x:f>IF(MOD(A1193,4)=0,1,0)</x:f>
        <x:v>0</x:v>
      </x:c>
      <x:c r="E1193" s="8" t="n">
        <x:f>IF(AND(F1192&lt;=9,AS1192&gt;=AR1192),1,0)</x:f>
        <x:v>0</x:v>
      </x:c>
      <x:c r="F1193" s="8" t="n">
        <x:f>MIN(10,F1192+E1193)</x:f>
        <x:v>6</x:v>
      </x:c>
      <x:c r="G1193" s="8" t="n">
        <x:f>MIN(F1193,9)+1</x:f>
        <x:v>7</x:v>
      </x:c>
      <x:c r="H1193" s="8" t="n">
        <x:f>IF(F1193&lt;=9,1,0)</x:f>
        <x:v>1</x:v>
      </x:c>
      <x:c r="I1193" s="9" t="n">
        <x:f>MIN(10,F1192+IF(AR1192&gt;0,MIN(1,AS1192/AR1192),1))</x:f>
        <x:v>6.779255838832026</x:v>
      </x:c>
      <x:c r="J1193" s="32" t="n">
        <x:f>INDEX(v01_FoodCap,G1193)*Arch_FoodCap*EXP(v01_CapsByProject*SUMPRODUCT((Cap_Point&lt;=I1193)*(Cap_Kind="Food")*Cap_Ln))</x:f>
        <x:v>1000</x:v>
      </x:c>
      <x:c r="K1193" s="32" t="n">
        <x:f>J1193*MIN(1,v01_LeanBase*EXP(v01_CapsByProject*SUMPRODUCT((Cap_Point&lt;=I1193)*(Cap_Kind="Lean")*Cap_Ln)))</x:f>
        <x:v>1000</x:v>
      </x:c>
      <x:c r="L1193" s="10" t="n">
        <x:f>INDEX(v01_HousingCap,G1193)*EXP(v01_CapsByProject*SUMPRODUCT((Cap_Point&lt;=I1193)*(Cap_Kind="Housing")*Cap_Ln))</x:f>
        <x:v>1600</x:v>
      </x:c>
      <x:c r="M1193" s="10" t="n">
        <x:f>INDEX(v01_GroupCap,G1193)*v01_CohesionFactor*EXP(v01_CapsByProject*SUMPRODUCT((Cap_Point&lt;=I1193)*(Cap_Kind="Group")*Cap_Ln))</x:f>
        <x:v>1000000</x:v>
      </x:c>
      <x:c r="N1193" s="32" t="n">
        <x:f>MIN(J1193,L1193,M1193)</x:f>
        <x:v>1000</x:v>
      </x:c>
      <x:c r="O1193" s="10" t="n">
        <x:f>AE1192*N1193</x:f>
        <x:v>16000</x:v>
      </x:c>
      <x:c r="P1193" s="9" t="n">
        <x:f>MIN(1,(AB1192/(AE1192*IF(v01_GroupInCrowding=1,N1193,MIN(J1193,L1193))))^v01_CrowdingExp)</x:f>
        <x:v>0.09066954312006853</x:v>
      </x:c>
      <x:c r="Q1193" s="9" t="n">
        <x:f>IF(D1193=1,INDEX(v01_WinterMult,G1193),1)</x:f>
        <x:v>1</x:v>
      </x:c>
      <x:c r="R1193" s="9" t="n">
        <x:f>H1193*Z1192*v01_WomenShare*v01_BaseFertility*INDEX(v01_FertMult,G1193)*Arch_Fertility*(1-P1193)</x:f>
        <x:v>130.2465342226408</x:v>
      </x:c>
      <x:c r="S1193" s="9" t="n">
        <x:f>H1193*Y1192*INDEX(v01_MortChild,G1193)/4*Q1193</x:f>
        <x:v>24.48747732353821</x:v>
      </x:c>
      <x:c r="T1193" s="9" t="n">
        <x:f>H1193*Z1192*INDEX(v01_MortAdult,G1193)*Arch_AdultMort/4*Q1193</x:f>
        <x:v>10.230960376018933</x:v>
      </x:c>
      <x:c r="U1193" s="9" t="n">
        <x:f>H1193*AA1192*INDEX(v01_MortElder,G1193)/4*Q1193</x:f>
        <x:v>23.71606240377944</x:v>
      </x:c>
      <x:c r="V1193" s="9" t="n">
        <x:f>H1193*MAX(0,AB1192-O1193)*v01_OvercapLoss</x:f>
        <x:v>0</x:v>
      </x:c>
      <x:c r="W1193" s="9" t="n">
        <x:f>H1193*Y1192/(v01_ChildYears*4)</x:f>
        <x:v>79.50479650499419</x:v>
      </x:c>
      <x:c r="X1193" s="9" t="n">
        <x:f>H1193*Z1192/(v01_AdultYears*4)</x:f>
        <x:v>36.670108874619835</x:v>
      </x:c>
      <x:c r="Y1193" s="32" t="n">
        <x:f>Y1192+R1193-S1193-W1193-Y1192*V1193/AB1192</x:f>
        <x:v>4478.522864673783</x:v>
      </x:c>
      <x:c r="Z1193" s="32" t="n">
        <x:f>Z1192+W1193-X1193-T1193-Z1192*V1193/AB1192</x:f>
        <x:v>4579.6972277072155</x:v>
      </x:c>
      <x:c r="AA1193" s="32" t="n">
        <x:f>AA1192+X1193-U1193-AA1192*V1193/AB1192</x:f>
        <x:v>1737.758584927527</x:v>
      </x:c>
      <x:c r="AB1193" s="10" t="n">
        <x:f>Y1193+Z1193+AA1193</x:f>
        <x:v>10795.978677308525</x:v>
      </x:c>
      <x:c r="AC1193" s="8" t="n">
        <x:f>IF(AND(v01_WinterTrigger=1,D1193=1,AB1192/AE1192&gt;=K1193),1,0)</x:f>
        <x:v>0</x:v>
      </x:c>
      <x:c r="AD1193" s="8" t="n">
        <x:f>H1193*IF(AND(OR(AB1192/AE1192&gt;=v01_FissionTrigger*N1193,AC1193=1),AB1192/AE1192*v01_DaughterShare&gt;=v01_MinDaughter),MAX(1,ROUND(AE1192*v01_FissionRate,0)),0)</x:f>
        <x:v>0</x:v>
      </x:c>
      <x:c r="AE1193" s="8" t="n">
        <x:f>IF(H1193=1,MAX(1,MIN(INDEX(v01_Smax,G1193),AE1192+AD1193)),AE1192)</x:f>
        <x:v>16</x:v>
      </x:c>
      <x:c r="AF1193" s="8" t="n">
        <x:f>MAX(0,AE1193-AE1192)</x:f>
        <x:v>0</x:v>
      </x:c>
      <x:c r="AG1193" s="9" t="str">
        <x:f>IF(AF1193&gt;0,B1193,"")</x:f>
      </x:c>
      <x:c r="AH1193" s="9" t="n">
        <x:f>IF(F1193&gt;=1,1,(1+v01_LowTiesShare*(AE1193-1))/AE1193)</x:f>
        <x:v>1</x:v>
      </x:c>
      <x:c r="AI1193" s="32" t="n">
        <x:f>(Z1193+v01_ElderCommons*INDEX(LM_Elder,G1193)*AA1193)*AH1193</x:f>
        <x:v>11096.291921185442</x:v>
      </x:c>
      <x:c r="AJ1193" s="32" t="n">
        <x:f>H1193*v01_CommonsCoef*AI1193^v01_CommonsExp*INDEX(LM_Commons,G1193)</x:f>
        <x:v>2395.6473623771753</x:v>
      </x:c>
      <x:c r="AK1193" s="32" t="n">
        <x:f>H1193*v01_RoleScale*Arch_Roles*(AE1193*(INDEX(v01_ElderRolePerSett,G1193)*v01_OutElder*INDEX(LM_Elder,G1193)+INDEX(v01_ShamanPerSett,G1193)*v01_OutShaman)+Z1193*(INDEX(v01_PriestShare,G1193)*v01_OutPriest+INDEX(v01_ScribeShare,G1193)*v01_OutScribe*INDEX(LM_Scribe,G1193)+INDEX(v01_ScholarShare,G1193)*v01_OutScholar*INDEX(LM_Scholar,G1193)+INDEX(v01_ResearcherShare,G1193)*v01_OutResearcher*INDEX(LM_Researcher,G1193)))</x:f>
        <x:v>631.4998204138798</x:v>
      </x:c>
      <x:c r="AL1193" s="32" t="n">
        <x:f>H1193*v01_RoleScale*Arch_Roles*AE1193*INDEX(v01_MonasteryPerSett,G1193)*v01_OutMonastery*INDEX(LM_Monastery,G1193)</x:f>
        <x:v>10.56</x:v>
      </x:c>
      <x:c r="AM1193" s="32" t="n">
        <x:f>(AJ1193+AK1193+AL1193)/4*INDEX(LM_All,G1193)*INDEX(v01_Boon,G1193)*Arch_Insight</x:f>
        <x:v>1388.1372800254226</x:v>
      </x:c>
      <x:c r="AN1193" s="32" t="n">
        <x:f>H1193*(v01_KHPerAdult*Z1193+v01_KHOfCommons*AJ1193/4*INDEX(LM_All,G1193))*v01_KHUsable*Arch_KH</x:f>
        <x:v>160.28940296975253</x:v>
      </x:c>
      <x:c r="AO1193" s="32" t="n">
        <x:f>MIN(AP1192+AN1193,AM1193*v01_KHMaxRatio)</x:f>
        <x:v>160.28940296975253</x:v>
      </x:c>
      <x:c r="AP1193" s="32" t="n">
        <x:f>AP1192+AN1193-AO1193</x:f>
        <x:v>0</x:v>
      </x:c>
      <x:c r="AQ1193" s="32" t="n">
        <x:f>AM1193+AO1193</x:f>
        <x:v>1548.426682995175</x:v>
      </x:c>
      <x:c r="AR1193" s="10" t="n">
        <x:f>IF(H1193=1,INDEX(v01_Req,G1193),0)</x:f>
        <x:v>113395.942036</x:v>
      </x:c>
      <x:c r="AS1193" s="32" t="n">
        <x:f>IF(H1193=1,IF(E1193=1,AS1192-AR1192,AS1192)+AQ1193,0)</x:f>
        <x:v>89912.8766144062</x:v>
      </x:c>
      <x:c r="AT1193" s="11" t="n">
        <x:f>IF(AR1193&gt;0,MIN(1,AS1193/AR1193),1)</x:f>
        <x:v>0.7929108837586217</x:v>
      </x:c>
      <x:c r="AU1193" s="10" t="n">
        <x:f>AB1193/INDEX(v01_RepScale,G1193)</x:f>
        <x:v>215.9195735461705</x:v>
      </x:c>
      <x:c r="AV1193" s="32" t="n">
        <x:f>AM1193*60/v01_SeasonSeconds</x:f>
        <x:v>5552.54912010169</x:v>
      </x:c>
    </x:row>
    <x:row r="1194">
      <x:c r="A1194" s="8" t="n">
        <x:f>A1193+1</x:f>
        <x:v>1191</x:v>
      </x:c>
      <x:c r="B1194" s="9" t="n">
        <x:f>A1194*v01_SeasonSeconds/60</x:f>
        <x:v>297.75</x:v>
      </x:c>
      <x:c r="C1194" s="9" t="n">
        <x:f>A1194/4</x:f>
        <x:v>297.75</x:v>
      </x:c>
      <x:c r="D1194" s="8" t="n">
        <x:f>IF(MOD(A1194,4)=0,1,0)</x:f>
        <x:v>0</x:v>
      </x:c>
      <x:c r="E1194" s="8" t="n">
        <x:f>IF(AND(F1193&lt;=9,AS1193&gt;=AR1193),1,0)</x:f>
        <x:v>0</x:v>
      </x:c>
      <x:c r="F1194" s="8" t="n">
        <x:f>MIN(10,F1193+E1194)</x:f>
        <x:v>6</x:v>
      </x:c>
      <x:c r="G1194" s="8" t="n">
        <x:f>MIN(F1194,9)+1</x:f>
        <x:v>7</x:v>
      </x:c>
      <x:c r="H1194" s="8" t="n">
        <x:f>IF(F1194&lt;=9,1,0)</x:f>
        <x:v>1</x:v>
      </x:c>
      <x:c r="I1194" s="9" t="n">
        <x:f>MIN(10,F1193+IF(AR1193&gt;0,MIN(1,AS1193/AR1193),1))</x:f>
        <x:v>6.792910883758622</x:v>
      </x:c>
      <x:c r="J1194" s="32" t="n">
        <x:f>INDEX(v01_FoodCap,G1194)*Arch_FoodCap*EXP(v01_CapsByProject*SUMPRODUCT((Cap_Point&lt;=I1194)*(Cap_Kind="Food")*Cap_Ln))</x:f>
        <x:v>1000</x:v>
      </x:c>
      <x:c r="K1194" s="32" t="n">
        <x:f>J1194*MIN(1,v01_LeanBase*EXP(v01_CapsByProject*SUMPRODUCT((Cap_Point&lt;=I1194)*(Cap_Kind="Lean")*Cap_Ln)))</x:f>
        <x:v>1000</x:v>
      </x:c>
      <x:c r="L1194" s="10" t="n">
        <x:f>INDEX(v01_HousingCap,G1194)*EXP(v01_CapsByProject*SUMPRODUCT((Cap_Point&lt;=I1194)*(Cap_Kind="Housing")*Cap_Ln))</x:f>
        <x:v>1600</x:v>
      </x:c>
      <x:c r="M1194" s="10" t="n">
        <x:f>INDEX(v01_GroupCap,G1194)*v01_CohesionFactor*EXP(v01_CapsByProject*SUMPRODUCT((Cap_Point&lt;=I1194)*(Cap_Kind="Group")*Cap_Ln))</x:f>
        <x:v>1000000</x:v>
      </x:c>
      <x:c r="N1194" s="32" t="n">
        <x:f>MIN(J1194,L1194,M1194)</x:f>
        <x:v>1000</x:v>
      </x:c>
      <x:c r="O1194" s="10" t="n">
        <x:f>AE1193*N1194</x:f>
        <x:v>16000</x:v>
      </x:c>
      <x:c r="P1194" s="9" t="n">
        <x:f>MIN(1,(AB1193/(AE1193*IF(v01_GroupInCrowding=1,N1194,MIN(J1194,L1194))))^v01_CrowdingExp)</x:f>
        <x:v>0.09437396740804074</x:v>
      </x:c>
      <x:c r="Q1194" s="9" t="n">
        <x:f>IF(D1194=1,INDEX(v01_WinterMult,G1194),1)</x:f>
        <x:v>1</x:v>
      </x:c>
      <x:c r="R1194" s="9" t="n">
        <x:f>H1194*Z1193*v01_WomenShare*v01_BaseFertility*INDEX(v01_FertMult,G1194)*Arch_Fertility*(1-P1194)</x:f>
        <x:v>130.64603047022774</x:v>
      </x:c>
      <x:c r="S1194" s="9" t="n">
        <x:f>H1194*Y1193*INDEX(v01_MortChild,G1194)/4*Q1194</x:f>
        <x:v>24.631875755705806</x:v>
      </x:c>
      <x:c r="T1194" s="9" t="n">
        <x:f>H1194*Z1193*INDEX(v01_MortAdult,G1194)*Arch_AdultMort/4*Q1194</x:f>
        <x:v>10.304318762341234</x:v>
      </x:c>
      <x:c r="U1194" s="9" t="n">
        <x:f>H1194*AA1193*INDEX(v01_MortElder,G1194)/4*Q1194</x:f>
        <x:v>23.894180542753496</x:v>
      </x:c>
      <x:c r="V1194" s="9" t="n">
        <x:f>H1194*MAX(0,AB1193-O1194)*v01_OvercapLoss</x:f>
        <x:v>0</x:v>
      </x:c>
      <x:c r="W1194" s="9" t="n">
        <x:f>H1194*Y1193/(v01_ChildYears*4)</x:f>
        <x:v>79.97362258346041</x:v>
      </x:c>
      <x:c r="X1194" s="9" t="n">
        <x:f>H1194*Z1193/(v01_AdultYears*4)</x:f>
        <x:v>36.933042158929155</x:v>
      </x:c>
      <x:c r="Y1194" s="32" t="n">
        <x:f>Y1193+R1194-S1194-W1194-Y1193*V1194/AB1193</x:f>
        <x:v>4504.563396804845</x:v>
      </x:c>
      <x:c r="Z1194" s="32" t="n">
        <x:f>Z1193+W1194-X1194-T1194-Z1193*V1194/AB1193</x:f>
        <x:v>4612.433489369405</x:v>
      </x:c>
      <x:c r="AA1194" s="32" t="n">
        <x:f>AA1193+X1194-U1194-AA1193*V1194/AB1193</x:f>
        <x:v>1750.7974465437026</x:v>
      </x:c>
      <x:c r="AB1194" s="10" t="n">
        <x:f>Y1194+Z1194+AA1194</x:f>
        <x:v>10867.794332717951</x:v>
      </x:c>
      <x:c r="AC1194" s="8" t="n">
        <x:f>IF(AND(v01_WinterTrigger=1,D1194=1,AB1193/AE1193&gt;=K1194),1,0)</x:f>
        <x:v>0</x:v>
      </x:c>
      <x:c r="AD1194" s="8" t="n">
        <x:f>H1194*IF(AND(OR(AB1193/AE1193&gt;=v01_FissionTrigger*N1194,AC1194=1),AB1193/AE1193*v01_DaughterShare&gt;=v01_MinDaughter),MAX(1,ROUND(AE1193*v01_FissionRate,0)),0)</x:f>
        <x:v>0</x:v>
      </x:c>
      <x:c r="AE1194" s="8" t="n">
        <x:f>IF(H1194=1,MAX(1,MIN(INDEX(v01_Smax,G1194),AE1193+AD1194)),AE1193)</x:f>
        <x:v>16</x:v>
      </x:c>
      <x:c r="AF1194" s="8" t="n">
        <x:f>MAX(0,AE1194-AE1193)</x:f>
        <x:v>0</x:v>
      </x:c>
      <x:c r="AG1194" s="9" t="str">
        <x:f>IF(AF1194&gt;0,B1194,"")</x:f>
      </x:c>
      <x:c r="AH1194" s="9" t="n">
        <x:f>IF(F1194&gt;=1,1,(1+v01_LowTiesShare*(AE1194-1))/AE1194)</x:f>
        <x:v>1</x:v>
      </x:c>
      <x:c r="AI1194" s="32" t="n">
        <x:f>(Z1194+v01_ElderCommons*INDEX(LM_Elder,G1194)*AA1194)*AH1194</x:f>
        <x:v>11177.92391390829</x:v>
      </x:c>
      <x:c r="AJ1194" s="32" t="n">
        <x:f>H1194*v01_CommonsCoef*AI1194^v01_CommonsExp*INDEX(LM_Commons,G1194)</x:f>
        <x:v>2410.6195522278463</x:v>
      </x:c>
      <x:c r="AK1194" s="32" t="n">
        <x:f>H1194*v01_RoleScale*Arch_Roles*(AE1194*(INDEX(v01_ElderRolePerSett,G1194)*v01_OutElder*INDEX(LM_Elder,G1194)+INDEX(v01_ShamanPerSett,G1194)*v01_OutShaman)+Z1194*(INDEX(v01_PriestShare,G1194)*v01_OutPriest+INDEX(v01_ScribeShare,G1194)*v01_OutScribe*INDEX(LM_Scribe,G1194)+INDEX(v01_ScholarShare,G1194)*v01_OutScholar*INDEX(LM_Scholar,G1194)+INDEX(v01_ResearcherShare,G1194)*v01_OutResearcher*INDEX(LM_Researcher,G1194)))</x:f>
        <x:v>635.6278630094819</x:v>
      </x:c>
      <x:c r="AL1194" s="32" t="n">
        <x:f>H1194*v01_RoleScale*Arch_Roles*AE1194*INDEX(v01_MonasteryPerSett,G1194)*v01_OutMonastery*INDEX(LM_Monastery,G1194)</x:f>
        <x:v>10.56</x:v>
      </x:c>
      <x:c r="AM1194" s="32" t="n">
        <x:f>(AJ1194+AK1194+AL1194)/4*INDEX(LM_All,G1194)*INDEX(v01_Boon,G1194)*Arch_Insight</x:f>
        <x:v>1396.8654895335758</x:v>
      </x:c>
      <x:c r="AN1194" s="32" t="n">
        <x:f>H1194*(v01_KHPerAdult*Z1194+v01_KHOfCommons*AJ1194/4*INDEX(LM_All,G1194))*v01_KHUsable*Arch_KH</x:f>
        <x:v>161.43517212792915</x:v>
      </x:c>
      <x:c r="AO1194" s="32" t="n">
        <x:f>MIN(AP1193+AN1194,AM1194*v01_KHMaxRatio)</x:f>
        <x:v>161.43517212792915</x:v>
      </x:c>
      <x:c r="AP1194" s="32" t="n">
        <x:f>AP1193+AN1194-AO1194</x:f>
        <x:v>0</x:v>
      </x:c>
      <x:c r="AQ1194" s="32" t="n">
        <x:f>AM1194+AO1194</x:f>
        <x:v>1558.3006616615048</x:v>
      </x:c>
      <x:c r="AR1194" s="10" t="n">
        <x:f>IF(H1194=1,INDEX(v01_Req,G1194),0)</x:f>
        <x:v>113395.942036</x:v>
      </x:c>
      <x:c r="AS1194" s="32" t="n">
        <x:f>IF(H1194=1,IF(E1194=1,AS1193-AR1193,AS1193)+AQ1194,0)</x:f>
        <x:v>91471.1772760677</x:v>
      </x:c>
      <x:c r="AT1194" s="11" t="n">
        <x:f>IF(AR1194&gt;0,MIN(1,AS1194/AR1194),1)</x:f>
        <x:v>0.8066530039234402</x:v>
      </x:c>
      <x:c r="AU1194" s="10" t="n">
        <x:f>AB1194/INDEX(v01_RepScale,G1194)</x:f>
        <x:v>217.355886654359</x:v>
      </x:c>
      <x:c r="AV1194" s="32" t="n">
        <x:f>AM1194*60/v01_SeasonSeconds</x:f>
        <x:v>5587.461958134303</x:v>
      </x:c>
    </x:row>
    <x:row r="1195">
      <x:c r="A1195" s="8" t="n">
        <x:f>A1194+1</x:f>
        <x:v>1192</x:v>
      </x:c>
      <x:c r="B1195" s="9" t="n">
        <x:f>A1195*v01_SeasonSeconds/60</x:f>
        <x:v>298</x:v>
      </x:c>
      <x:c r="C1195" s="9" t="n">
        <x:f>A1195/4</x:f>
        <x:v>298</x:v>
      </x:c>
      <x:c r="D1195" s="8" t="n">
        <x:f>IF(MOD(A1195,4)=0,1,0)</x:f>
        <x:v>1</x:v>
      </x:c>
      <x:c r="E1195" s="8" t="n">
        <x:f>IF(AND(F1194&lt;=9,AS1194&gt;=AR1194),1,0)</x:f>
        <x:v>0</x:v>
      </x:c>
      <x:c r="F1195" s="8" t="n">
        <x:f>MIN(10,F1194+E1195)</x:f>
        <x:v>6</x:v>
      </x:c>
      <x:c r="G1195" s="8" t="n">
        <x:f>MIN(F1195,9)+1</x:f>
        <x:v>7</x:v>
      </x:c>
      <x:c r="H1195" s="8" t="n">
        <x:f>IF(F1195&lt;=9,1,0)</x:f>
        <x:v>1</x:v>
      </x:c>
      <x:c r="I1195" s="9" t="n">
        <x:f>MIN(10,F1194+IF(AR1194&gt;0,MIN(1,AS1194/AR1194),1))</x:f>
        <x:v>6.80665300392344</x:v>
      </x:c>
      <x:c r="J1195" s="32" t="n">
        <x:f>INDEX(v01_FoodCap,G1195)*Arch_FoodCap*EXP(v01_CapsByProject*SUMPRODUCT((Cap_Point&lt;=I1195)*(Cap_Kind="Food")*Cap_Ln))</x:f>
        <x:v>1000</x:v>
      </x:c>
      <x:c r="K1195" s="32" t="n">
        <x:f>J1195*MIN(1,v01_LeanBase*EXP(v01_CapsByProject*SUMPRODUCT((Cap_Point&lt;=I1195)*(Cap_Kind="Lean")*Cap_Ln)))</x:f>
        <x:v>1000</x:v>
      </x:c>
      <x:c r="L1195" s="10" t="n">
        <x:f>INDEX(v01_HousingCap,G1195)*EXP(v01_CapsByProject*SUMPRODUCT((Cap_Point&lt;=I1195)*(Cap_Kind="Housing")*Cap_Ln))</x:f>
        <x:v>1600</x:v>
      </x:c>
      <x:c r="M1195" s="10" t="n">
        <x:f>INDEX(v01_GroupCap,G1195)*v01_CohesionFactor*EXP(v01_CapsByProject*SUMPRODUCT((Cap_Point&lt;=I1195)*(Cap_Kind="Group")*Cap_Ln))</x:f>
        <x:v>1000000</x:v>
      </x:c>
      <x:c r="N1195" s="32" t="n">
        <x:f>MIN(J1195,L1195,M1195)</x:f>
        <x:v>1000</x:v>
      </x:c>
      <x:c r="O1195" s="10" t="n">
        <x:f>AE1194*N1195</x:f>
        <x:v>16000</x:v>
      </x:c>
      <x:c r="P1195" s="9" t="n">
        <x:f>MIN(1,(AB1194/(AE1194*IF(v01_GroupInCrowding=1,N1195,MIN(J1195,L1195))))^v01_CrowdingExp)</x:f>
        <x:v>0.09820386265543342</x:v>
      </x:c>
      <x:c r="Q1195" s="9" t="n">
        <x:f>IF(D1195=1,INDEX(v01_WinterMult,G1195),1)</x:f>
        <x:v>1</x:v>
      </x:c>
      <x:c r="R1195" s="9" t="n">
        <x:f>H1195*Z1194*v01_WomenShare*v01_BaseFertility*INDEX(v01_FertMult,G1195)*Arch_Fertility*(1-P1195)</x:f>
        <x:v>131.0234531908696</x:v>
      </x:c>
      <x:c r="S1195" s="9" t="n">
        <x:f>H1195*Y1194*INDEX(v01_MortChild,G1195)/4*Q1195</x:f>
        <x:v>24.775098682426645</x:v>
      </x:c>
      <x:c r="T1195" s="9" t="n">
        <x:f>H1195*Z1194*INDEX(v01_MortAdult,G1195)*Arch_AdultMort/4*Q1195</x:f>
        <x:v>10.37797535108116</x:v>
      </x:c>
      <x:c r="U1195" s="9" t="n">
        <x:f>H1195*AA1194*INDEX(v01_MortElder,G1195)/4*Q1195</x:f>
        <x:v>24.07346488997591</x:v>
      </x:c>
      <x:c r="V1195" s="9" t="n">
        <x:f>H1195*MAX(0,AB1194-O1195)*v01_OvercapLoss</x:f>
        <x:v>0</x:v>
      </x:c>
      <x:c r="W1195" s="9" t="n">
        <x:f>H1195*Y1194/(v01_ChildYears*4)</x:f>
        <x:v>80.4386320858008</x:v>
      </x:c>
      <x:c r="X1195" s="9" t="n">
        <x:f>H1195*Z1194/(v01_AdultYears*4)</x:f>
        <x:v>37.197044269108105</x:v>
      </x:c>
      <x:c r="Y1195" s="32" t="n">
        <x:f>Y1194+R1195-S1195-W1195-Y1194*V1195/AB1194</x:f>
        <x:v>4530.373119227487</x:v>
      </x:c>
      <x:c r="Z1195" s="32" t="n">
        <x:f>Z1194+W1195-X1195-T1195-Z1194*V1195/AB1194</x:f>
        <x:v>4645.297101835017</x:v>
      </x:c>
      <x:c r="AA1195" s="32" t="n">
        <x:f>AA1194+X1195-U1195-AA1194*V1195/AB1194</x:f>
        <x:v>1763.9210259228348</x:v>
      </x:c>
      <x:c r="AB1195" s="10" t="n">
        <x:f>Y1195+Z1195+AA1195</x:f>
        <x:v>10939.59124698534</x:v>
      </x:c>
      <x:c r="AC1195" s="8" t="n">
        <x:f>IF(AND(v01_WinterTrigger=1,D1195=1,AB1194/AE1194&gt;=K1195),1,0)</x:f>
        <x:v>0</x:v>
      </x:c>
      <x:c r="AD1195" s="8" t="n">
        <x:f>H1195*IF(AND(OR(AB1194/AE1194&gt;=v01_FissionTrigger*N1195,AC1195=1),AB1194/AE1194*v01_DaughterShare&gt;=v01_MinDaughter),MAX(1,ROUND(AE1194*v01_FissionRate,0)),0)</x:f>
        <x:v>0</x:v>
      </x:c>
      <x:c r="AE1195" s="8" t="n">
        <x:f>IF(H1195=1,MAX(1,MIN(INDEX(v01_Smax,G1195),AE1194+AD1195)),AE1194)</x:f>
        <x:v>16</x:v>
      </x:c>
      <x:c r="AF1195" s="8" t="n">
        <x:f>MAX(0,AE1195-AE1194)</x:f>
        <x:v>0</x:v>
      </x:c>
      <x:c r="AG1195" s="9" t="str">
        <x:f>IF(AF1195&gt;0,B1195,"")</x:f>
      </x:c>
      <x:c r="AH1195" s="9" t="n">
        <x:f>IF(F1195&gt;=1,1,(1+v01_LowTiesShare*(AE1195-1))/AE1195)</x:f>
        <x:v>1</x:v>
      </x:c>
      <x:c r="AI1195" s="32" t="n">
        <x:f>(Z1195+v01_ElderCommons*INDEX(LM_Elder,G1195)*AA1195)*AH1195</x:f>
        <x:v>11260.000949045647</x:v>
      </x:c>
      <x:c r="AJ1195" s="32" t="n">
        <x:f>H1195*v01_CommonsCoef*AI1195^v01_CommonsExp*INDEX(LM_Commons,G1195)</x:f>
        <x:v>2425.656841238816</x:v>
      </x:c>
      <x:c r="AK1195" s="32" t="n">
        <x:f>H1195*v01_RoleScale*Arch_Roles*(AE1195*(INDEX(v01_ElderRolePerSett,G1195)*v01_OutElder*INDEX(LM_Elder,G1195)+INDEX(v01_ShamanPerSett,G1195)*v01_OutShaman)+Z1195*(INDEX(v01_PriestShare,G1195)*v01_OutPriest+INDEX(v01_ScribeShare,G1195)*v01_OutScribe*INDEX(LM_Scribe,G1195)+INDEX(v01_ScholarShare,G1195)*v01_OutScholar*INDEX(LM_Scholar,G1195)+INDEX(v01_ResearcherShare,G1195)*v01_OutResearcher*INDEX(LM_Researcher,G1195)))</x:f>
        <x:v>639.7719645413956</x:v>
      </x:c>
      <x:c r="AL1195" s="32" t="n">
        <x:f>H1195*v01_RoleScale*Arch_Roles*AE1195*INDEX(v01_MonasteryPerSett,G1195)*v01_OutMonastery*INDEX(LM_Monastery,G1195)</x:f>
        <x:v>10.56</x:v>
      </x:c>
      <x:c r="AM1195" s="32" t="n">
        <x:f>(AJ1195+AK1195+AL1195)/4*INDEX(LM_All,G1195)*INDEX(v01_Boon,G1195)*Arch_Insight</x:f>
        <x:v>1405.6307857563802</x:v>
      </x:c>
      <x:c r="AN1195" s="32" t="n">
        <x:f>H1195*(v01_KHPerAdult*Z1195+v01_KHOfCommons*AJ1195/4*INDEX(LM_All,G1195))*v01_KHUsable*Arch_KH</x:f>
        <x:v>162.58539856422559</x:v>
      </x:c>
      <x:c r="AO1195" s="32" t="n">
        <x:f>MIN(AP1194+AN1195,AM1195*v01_KHMaxRatio)</x:f>
        <x:v>162.58539856422559</x:v>
      </x:c>
      <x:c r="AP1195" s="32" t="n">
        <x:f>AP1194+AN1195-AO1195</x:f>
        <x:v>0</x:v>
      </x:c>
      <x:c r="AQ1195" s="32" t="n">
        <x:f>AM1195+AO1195</x:f>
        <x:v>1568.2161843206059</x:v>
      </x:c>
      <x:c r="AR1195" s="10" t="n">
        <x:f>IF(H1195=1,INDEX(v01_Req,G1195),0)</x:f>
        <x:v>113395.942036</x:v>
      </x:c>
      <x:c r="AS1195" s="32" t="n">
        <x:f>IF(H1195=1,IF(E1195=1,AS1194-AR1194,AS1194)+AQ1195,0)</x:f>
        <x:v>93039.39346038831</x:v>
      </x:c>
      <x:c r="AT1195" s="11" t="n">
        <x:f>IF(AR1195&gt;0,MIN(1,AS1195/AR1195),1)</x:f>
        <x:v>0.8204825656887347</x:v>
      </x:c>
      <x:c r="AU1195" s="10" t="n">
        <x:f>AB1195/INDEX(v01_RepScale,G1195)</x:f>
        <x:v>218.79182493970677</x:v>
      </x:c>
      <x:c r="AV1195" s="32" t="n">
        <x:f>AM1195*60/v01_SeasonSeconds</x:f>
        <x:v>5622.523143025521</x:v>
      </x:c>
    </x:row>
    <x:row r="1196">
      <x:c r="A1196" s="8" t="n">
        <x:f>A1195+1</x:f>
        <x:v>1193</x:v>
      </x:c>
      <x:c r="B1196" s="9" t="n">
        <x:f>A1196*v01_SeasonSeconds/60</x:f>
        <x:v>298.25</x:v>
      </x:c>
      <x:c r="C1196" s="9" t="n">
        <x:f>A1196/4</x:f>
        <x:v>298.25</x:v>
      </x:c>
      <x:c r="D1196" s="8" t="n">
        <x:f>IF(MOD(A1196,4)=0,1,0)</x:f>
        <x:v>0</x:v>
      </x:c>
      <x:c r="E1196" s="8" t="n">
        <x:f>IF(AND(F1195&lt;=9,AS1195&gt;=AR1195),1,0)</x:f>
        <x:v>0</x:v>
      </x:c>
      <x:c r="F1196" s="8" t="n">
        <x:f>MIN(10,F1195+E1196)</x:f>
        <x:v>6</x:v>
      </x:c>
      <x:c r="G1196" s="8" t="n">
        <x:f>MIN(F1196,9)+1</x:f>
        <x:v>7</x:v>
      </x:c>
      <x:c r="H1196" s="8" t="n">
        <x:f>IF(F1196&lt;=9,1,0)</x:f>
        <x:v>1</x:v>
      </x:c>
      <x:c r="I1196" s="9" t="n">
        <x:f>MIN(10,F1195+IF(AR1195&gt;0,MIN(1,AS1195/AR1195),1))</x:f>
        <x:v>6.820482565688735</x:v>
      </x:c>
      <x:c r="J1196" s="32" t="n">
        <x:f>INDEX(v01_FoodCap,G1196)*Arch_FoodCap*EXP(v01_CapsByProject*SUMPRODUCT((Cap_Point&lt;=I1196)*(Cap_Kind="Food")*Cap_Ln))</x:f>
        <x:v>1000</x:v>
      </x:c>
      <x:c r="K1196" s="32" t="n">
        <x:f>J1196*MIN(1,v01_LeanBase*EXP(v01_CapsByProject*SUMPRODUCT((Cap_Point&lt;=I1196)*(Cap_Kind="Lean")*Cap_Ln)))</x:f>
        <x:v>1000</x:v>
      </x:c>
      <x:c r="L1196" s="10" t="n">
        <x:f>INDEX(v01_HousingCap,G1196)*EXP(v01_CapsByProject*SUMPRODUCT((Cap_Point&lt;=I1196)*(Cap_Kind="Housing")*Cap_Ln))</x:f>
        <x:v>1600</x:v>
      </x:c>
      <x:c r="M1196" s="10" t="n">
        <x:f>INDEX(v01_GroupCap,G1196)*v01_CohesionFactor*EXP(v01_CapsByProject*SUMPRODUCT((Cap_Point&lt;=I1196)*(Cap_Kind="Group")*Cap_Ln))</x:f>
        <x:v>1000000</x:v>
      </x:c>
      <x:c r="N1196" s="32" t="n">
        <x:f>MIN(J1196,L1196,M1196)</x:f>
        <x:v>1000</x:v>
      </x:c>
      <x:c r="O1196" s="10" t="n">
        <x:f>AE1195*N1196</x:f>
        <x:v>16000</x:v>
      </x:c>
      <x:c r="P1196" s="9" t="n">
        <x:f>MIN(1,(AB1195/(AE1195*IF(v01_GroupInCrowding=1,N1196,MIN(J1196,L1196))))^v01_CrowdingExp)</x:f>
        <x:v>0.102161362068495</x:v>
      </x:c>
      <x:c r="Q1196" s="9" t="n">
        <x:f>IF(D1196=1,INDEX(v01_WinterMult,G1196),1)</x:f>
        <x:v>1</x:v>
      </x:c>
      <x:c r="R1196" s="9" t="n">
        <x:f>H1196*Z1195*v01_WomenShare*v01_BaseFertility*INDEX(v01_FertMult,G1196)*Arch_Fertility*(1-P1196)</x:f>
        <x:v>131.37790751500967</x:v>
      </x:c>
      <x:c r="S1196" s="9" t="n">
        <x:f>H1196*Y1195*INDEX(v01_MortChild,G1196)/4*Q1196</x:f>
        <x:v>24.91705215575118</x:v>
      </x:c>
      <x:c r="T1196" s="9" t="n">
        <x:f>H1196*Z1195*INDEX(v01_MortAdult,G1196)*Arch_AdultMort/4*Q1196</x:f>
        <x:v>10.451918479128787</x:v>
      </x:c>
      <x:c r="U1196" s="9" t="n">
        <x:f>H1196*AA1195*INDEX(v01_MortElder,G1196)/4*Q1196</x:f>
        <x:v>24.25391410643898</x:v>
      </x:c>
      <x:c r="V1196" s="9" t="n">
        <x:f>H1196*MAX(0,AB1195-O1196)*v01_OvercapLoss</x:f>
        <x:v>0</x:v>
      </x:c>
      <x:c r="W1196" s="9" t="n">
        <x:f>H1196*Y1195/(v01_ChildYears*4)</x:f>
        <x:v>80.89951998620514</x:v>
      </x:c>
      <x:c r="X1196" s="9" t="n">
        <x:f>H1196*Z1195/(v01_AdultYears*4)</x:f>
        <x:v>37.4620734018953</x:v>
      </x:c>
      <x:c r="Y1196" s="32" t="n">
        <x:f>Y1195+R1196-S1196-W1196-Y1195*V1196/AB1195</x:f>
        <x:v>4555.934454600541</x:v>
      </x:c>
      <x:c r="Z1196" s="32" t="n">
        <x:f>Z1195+W1196-X1196-T1196-Z1195*V1196/AB1195</x:f>
        <x:v>4678.282629940198</x:v>
      </x:c>
      <x:c r="AA1196" s="32" t="n">
        <x:f>AA1195+X1196-U1196-AA1195*V1196/AB1195</x:f>
        <x:v>1777.1291852182912</x:v>
      </x:c>
      <x:c r="AB1196" s="10" t="n">
        <x:f>Y1196+Z1196+AA1196</x:f>
        <x:v>11011.34626975903</x:v>
      </x:c>
      <x:c r="AC1196" s="8" t="n">
        <x:f>IF(AND(v01_WinterTrigger=1,D1196=1,AB1195/AE1195&gt;=K1196),1,0)</x:f>
        <x:v>0</x:v>
      </x:c>
      <x:c r="AD1196" s="8" t="n">
        <x:f>H1196*IF(AND(OR(AB1195/AE1195&gt;=v01_FissionTrigger*N1196,AC1196=1),AB1195/AE1195*v01_DaughterShare&gt;=v01_MinDaughter),MAX(1,ROUND(AE1195*v01_FissionRate,0)),0)</x:f>
        <x:v>0</x:v>
      </x:c>
      <x:c r="AE1196" s="8" t="n">
        <x:f>IF(H1196=1,MAX(1,MIN(INDEX(v01_Smax,G1196),AE1195+AD1196)),AE1195)</x:f>
        <x:v>16</x:v>
      </x:c>
      <x:c r="AF1196" s="8" t="n">
        <x:f>MAX(0,AE1196-AE1195)</x:f>
        <x:v>0</x:v>
      </x:c>
      <x:c r="AG1196" s="9" t="str">
        <x:f>IF(AF1196&gt;0,B1196,"")</x:f>
      </x:c>
      <x:c r="AH1196" s="9" t="n">
        <x:f>IF(F1196&gt;=1,1,(1+v01_LowTiesShare*(AE1196-1))/AE1196)</x:f>
        <x:v>1</x:v>
      </x:c>
      <x:c r="AI1196" s="32" t="n">
        <x:f>(Z1196+v01_ElderCommons*INDEX(LM_Elder,G1196)*AA1196)*AH1196</x:f>
        <x:v>11342.517074508789</x:v>
      </x:c>
      <x:c r="AJ1196" s="32" t="n">
        <x:f>H1196*v01_CommonsCoef*AI1196^v01_CommonsExp*INDEX(LM_Commons,G1196)</x:f>
        <x:v>2440.7580111252596</x:v>
      </x:c>
      <x:c r="AK1196" s="32" t="n">
        <x:f>H1196*v01_RoleScale*Arch_Roles*(AE1196*(INDEX(v01_ElderRolePerSett,G1196)*v01_OutElder*INDEX(LM_Elder,G1196)+INDEX(v01_ShamanPerSett,G1196)*v01_OutShaman)+Z1196*(INDEX(v01_PriestShare,G1196)*v01_OutPriest+INDEX(v01_ScribeShare,G1196)*v01_OutScribe*INDEX(LM_Scribe,G1196)+INDEX(v01_ScholarShare,G1196)*v01_OutScholar*INDEX(LM_Scholar,G1196)+INDEX(v01_ResearcherShare,G1196)*v01_OutResearcher*INDEX(LM_Researcher,G1196)))</x:f>
        <x:v>643.9314396354589</x:v>
      </x:c>
      <x:c r="AL1196" s="32" t="n">
        <x:f>H1196*v01_RoleScale*Arch_Roles*AE1196*INDEX(v01_MonasteryPerSett,G1196)*v01_OutMonastery*INDEX(LM_Monastery,G1196)</x:f>
        <x:v>10.56</x:v>
      </x:c>
      <x:c r="AM1196" s="32" t="n">
        <x:f>(AJ1196+AK1196+AL1196)/4*INDEX(LM_All,G1196)*INDEX(v01_Boon,G1196)*Arch_Insight</x:f>
        <x:v>1414.4322987811513</x:v>
      </x:c>
      <x:c r="AN1196" s="32" t="n">
        <x:f>H1196*(v01_KHPerAdult*Z1196+v01_KHOfCommons*AJ1196/4*INDEX(LM_All,G1196))*v01_KHUsable*Arch_KH</x:f>
        <x:v>163.73989204790692</x:v>
      </x:c>
      <x:c r="AO1196" s="32" t="n">
        <x:f>MIN(AP1195+AN1196,AM1196*v01_KHMaxRatio)</x:f>
        <x:v>163.73989204790692</x:v>
      </x:c>
      <x:c r="AP1196" s="32" t="n">
        <x:f>AP1195+AN1196-AO1196</x:f>
        <x:v>0</x:v>
      </x:c>
      <x:c r="AQ1196" s="32" t="n">
        <x:f>AM1196+AO1196</x:f>
        <x:v>1578.1721908290583</x:v>
      </x:c>
      <x:c r="AR1196" s="10" t="n">
        <x:f>IF(H1196=1,INDEX(v01_Req,G1196),0)</x:f>
        <x:v>113395.942036</x:v>
      </x:c>
      <x:c r="AS1196" s="32" t="n">
        <x:f>IF(H1196=1,IF(E1196=1,AS1195-AR1195,AS1195)+AQ1196,0)</x:f>
        <x:v>94617.56565121737</x:v>
      </x:c>
      <x:c r="AT1196" s="11" t="n">
        <x:f>IF(AR1196&gt;0,MIN(1,AS1196/AR1196),1)</x:f>
        <x:v>0.8343999260677157</x:v>
      </x:c>
      <x:c r="AU1196" s="10" t="n">
        <x:f>AB1196/INDEX(v01_RepScale,G1196)</x:f>
        <x:v>220.2269253951806</x:v>
      </x:c>
      <x:c r="AV1196" s="32" t="n">
        <x:f>AM1196*60/v01_SeasonSeconds</x:f>
        <x:v>5657.729195124605</x:v>
      </x:c>
    </x:row>
    <x:row r="1197">
      <x:c r="A1197" s="8" t="n">
        <x:f>A1196+1</x:f>
        <x:v>1194</x:v>
      </x:c>
      <x:c r="B1197" s="9" t="n">
        <x:f>A1197*v01_SeasonSeconds/60</x:f>
        <x:v>298.5</x:v>
      </x:c>
      <x:c r="C1197" s="9" t="n">
        <x:f>A1197/4</x:f>
        <x:v>298.5</x:v>
      </x:c>
      <x:c r="D1197" s="8" t="n">
        <x:f>IF(MOD(A1197,4)=0,1,0)</x:f>
        <x:v>0</x:v>
      </x:c>
      <x:c r="E1197" s="8" t="n">
        <x:f>IF(AND(F1196&lt;=9,AS1196&gt;=AR1196),1,0)</x:f>
        <x:v>0</x:v>
      </x:c>
      <x:c r="F1197" s="8" t="n">
        <x:f>MIN(10,F1196+E1197)</x:f>
        <x:v>6</x:v>
      </x:c>
      <x:c r="G1197" s="8" t="n">
        <x:f>MIN(F1197,9)+1</x:f>
        <x:v>7</x:v>
      </x:c>
      <x:c r="H1197" s="8" t="n">
        <x:f>IF(F1197&lt;=9,1,0)</x:f>
        <x:v>1</x:v>
      </x:c>
      <x:c r="I1197" s="9" t="n">
        <x:f>MIN(10,F1196+IF(AR1196&gt;0,MIN(1,AS1196/AR1196),1))</x:f>
        <x:v>6.834399926067716</x:v>
      </x:c>
      <x:c r="J1197" s="32" t="n">
        <x:f>INDEX(v01_FoodCap,G1197)*Arch_FoodCap*EXP(v01_CapsByProject*SUMPRODUCT((Cap_Point&lt;=I1197)*(Cap_Kind="Food")*Cap_Ln))</x:f>
        <x:v>1000</x:v>
      </x:c>
      <x:c r="K1197" s="32" t="n">
        <x:f>J1197*MIN(1,v01_LeanBase*EXP(v01_CapsByProject*SUMPRODUCT((Cap_Point&lt;=I1197)*(Cap_Kind="Lean")*Cap_Ln)))</x:f>
        <x:v>1000</x:v>
      </x:c>
      <x:c r="L1197" s="10" t="n">
        <x:f>INDEX(v01_HousingCap,G1197)*EXP(v01_CapsByProject*SUMPRODUCT((Cap_Point&lt;=I1197)*(Cap_Kind="Housing")*Cap_Ln))</x:f>
        <x:v>1600</x:v>
      </x:c>
      <x:c r="M1197" s="10" t="n">
        <x:f>INDEX(v01_GroupCap,G1197)*v01_CohesionFactor*EXP(v01_CapsByProject*SUMPRODUCT((Cap_Point&lt;=I1197)*(Cap_Kind="Group")*Cap_Ln))</x:f>
        <x:v>1000000</x:v>
      </x:c>
      <x:c r="N1197" s="32" t="n">
        <x:f>MIN(J1197,L1197,M1197)</x:f>
        <x:v>1000</x:v>
      </x:c>
      <x:c r="O1197" s="10" t="n">
        <x:f>AE1196*N1197</x:f>
        <x:v>16000</x:v>
      </x:c>
      <x:c r="P1197" s="9" t="n">
        <x:f>MIN(1,(AB1196/(AE1196*IF(v01_GroupInCrowding=1,N1197,MIN(J1197,L1197))))^v01_CrowdingExp)</x:f>
        <x:v>0.1062484550607033</x:v>
      </x:c>
      <x:c r="Q1197" s="9" t="n">
        <x:f>IF(D1197=1,INDEX(v01_WinterMult,G1197),1)</x:f>
        <x:v>1</x:v>
      </x:c>
      <x:c r="R1197" s="9" t="n">
        <x:f>H1197*Z1196*v01_WomenShare*v01_BaseFertility*INDEX(v01_FertMult,G1197)*Arch_Fertility*(1-P1197)</x:f>
        <x:v>131.7085033374094</x:v>
      </x:c>
      <x:c r="S1197" s="9" t="n">
        <x:f>H1197*Y1196*INDEX(v01_MortChild,G1197)/4*Q1197</x:f>
        <x:v>25.057639500302976</x:v>
      </x:c>
      <x:c r="T1197" s="9" t="n">
        <x:f>H1197*Z1196*INDEX(v01_MortAdult,G1197)*Arch_AdultMort/4*Q1197</x:f>
        <x:v>10.526135917365444</x:v>
      </x:c>
      <x:c r="U1197" s="9" t="n">
        <x:f>H1197*AA1196*INDEX(v01_MortElder,G1197)/4*Q1197</x:f>
        <x:v>24.435526296751505</x:v>
      </x:c>
      <x:c r="V1197" s="9" t="n">
        <x:f>H1197*MAX(0,AB1196-O1197)*v01_OvercapLoss</x:f>
        <x:v>0</x:v>
      </x:c>
      <x:c r="W1197" s="9" t="n">
        <x:f>H1197*Y1196/(v01_ChildYears*4)</x:f>
        <x:v>81.35597240358109</x:v>
      </x:c>
      <x:c r="X1197" s="9" t="n">
        <x:f>H1197*Z1196/(v01_AdultYears*4)</x:f>
        <x:v>37.72808572532418</x:v>
      </x:c>
      <x:c r="Y1197" s="32" t="n">
        <x:f>Y1196+R1197-S1197-W1197-Y1196*V1197/AB1196</x:f>
        <x:v>4581.229346034067</x:v>
      </x:c>
      <x:c r="Z1197" s="32" t="n">
        <x:f>Z1196+W1197-X1197-T1197-Z1196*V1197/AB1196</x:f>
        <x:v>4711.384380701089</x:v>
      </x:c>
      <x:c r="AA1197" s="32" t="n">
        <x:f>AA1196+X1197-U1197-AA1196*V1197/AB1196</x:f>
        <x:v>1790.421744646864</x:v>
      </x:c>
      <x:c r="AB1197" s="10" t="n">
        <x:f>Y1197+Z1197+AA1197</x:f>
        <x:v>11083.03547138202</x:v>
      </x:c>
      <x:c r="AC1197" s="8" t="n">
        <x:f>IF(AND(v01_WinterTrigger=1,D1197=1,AB1196/AE1196&gt;=K1197),1,0)</x:f>
        <x:v>0</x:v>
      </x:c>
      <x:c r="AD1197" s="8" t="n">
        <x:f>H1197*IF(AND(OR(AB1196/AE1196&gt;=v01_FissionTrigger*N1197,AC1197=1),AB1196/AE1196*v01_DaughterShare&gt;=v01_MinDaughter),MAX(1,ROUND(AE1196*v01_FissionRate,0)),0)</x:f>
        <x:v>0</x:v>
      </x:c>
      <x:c r="AE1197" s="8" t="n">
        <x:f>IF(H1197=1,MAX(1,MIN(INDEX(v01_Smax,G1197),AE1196+AD1197)),AE1196)</x:f>
        <x:v>16</x:v>
      </x:c>
      <x:c r="AF1197" s="8" t="n">
        <x:f>MAX(0,AE1197-AE1196)</x:f>
        <x:v>0</x:v>
      </x:c>
      <x:c r="AG1197" s="9" t="str">
        <x:f>IF(AF1197&gt;0,B1197,"")</x:f>
      </x:c>
      <x:c r="AH1197" s="9" t="n">
        <x:f>IF(F1197&gt;=1,1,(1+v01_LowTiesShare*(AE1197-1))/AE1197)</x:f>
        <x:v>1</x:v>
      </x:c>
      <x:c r="AI1197" s="32" t="n">
        <x:f>(Z1197+v01_ElderCommons*INDEX(LM_Elder,G1197)*AA1197)*AH1197</x:f>
        <x:v>11425.465923126829</x:v>
      </x:c>
      <x:c r="AJ1197" s="32" t="n">
        <x:f>H1197*v01_CommonsCoef*AI1197^v01_CommonsExp*INDEX(LM_Commons,G1197)</x:f>
        <x:v>2455.921773394828</x:v>
      </x:c>
      <x:c r="AK1197" s="32" t="n">
        <x:f>H1197*v01_RoleScale*Arch_Roles*(AE1197*(INDEX(v01_ElderRolePerSett,G1197)*v01_OutElder*INDEX(LM_Elder,G1197)+INDEX(v01_ShamanPerSett,G1197)*v01_OutShaman)+Z1197*(INDEX(v01_PriestShare,G1197)*v01_OutPriest+INDEX(v01_ScribeShare,G1197)*v01_OutScribe*INDEX(LM_Scribe,G1197)+INDEX(v01_ScholarShare,G1197)*v01_OutScholar*INDEX(LM_Scholar,G1197)+INDEX(v01_ResearcherShare,G1197)*v01_OutResearcher*INDEX(LM_Researcher,G1197)))</x:f>
        <x:v>648.1055704064073</x:v>
      </x:c>
      <x:c r="AL1197" s="32" t="n">
        <x:f>H1197*v01_RoleScale*Arch_Roles*AE1197*INDEX(v01_MonasteryPerSett,G1197)*v01_OutMonastery*INDEX(LM_Monastery,G1197)</x:f>
        <x:v>10.56</x:v>
      </x:c>
      <x:c r="AM1197" s="32" t="n">
        <x:f>(AJ1197+AK1197+AL1197)/4*INDEX(LM_All,G1197)*INDEX(v01_Boon,G1197)*Arch_Insight</x:f>
        <x:v>1423.269111756002</x:v>
      </x:c>
      <x:c r="AN1197" s="32" t="n">
        <x:f>H1197*(v01_KHPerAdult*Z1197+v01_KHOfCommons*AJ1197/4*INDEX(LM_All,G1197))*v01_KHUsable*Arch_KH</x:f>
        <x:v>164.8984533245381</x:v>
      </x:c>
      <x:c r="AO1197" s="32" t="n">
        <x:f>MIN(AP1196+AN1197,AM1197*v01_KHMaxRatio)</x:f>
        <x:v>164.8984533245381</x:v>
      </x:c>
      <x:c r="AP1197" s="32" t="n">
        <x:f>AP1196+AN1197-AO1197</x:f>
        <x:v>0</x:v>
      </x:c>
      <x:c r="AQ1197" s="32" t="n">
        <x:f>AM1197+AO1197</x:f>
        <x:v>1588.1675650805403</x:v>
      </x:c>
      <x:c r="AR1197" s="10" t="n">
        <x:f>IF(H1197=1,INDEX(v01_Req,G1197),0)</x:f>
        <x:v>113395.942036</x:v>
      </x:c>
      <x:c r="AS1197" s="32" t="n">
        <x:f>IF(H1197=1,IF(E1197=1,AS1196-AR1196,AS1196)+AQ1197,0)</x:f>
        <x:v>96205.73321629791</x:v>
      </x:c>
      <x:c r="AT1197" s="11" t="n">
        <x:f>IF(AR1197&gt;0,MIN(1,AS1197/AR1197),1)</x:f>
        <x:v>0.8484054322310346</x:v>
      </x:c>
      <x:c r="AU1197" s="10" t="n">
        <x:f>AB1197/INDEX(v01_RepScale,G1197)</x:f>
        <x:v>221.6607094276404</x:v>
      </x:c>
      <x:c r="AV1197" s="32" t="n">
        <x:f>AM1197*60/v01_SeasonSeconds</x:f>
        <x:v>5693.076447024008</x:v>
      </x:c>
    </x:row>
    <x:row r="1198">
      <x:c r="A1198" s="8" t="n">
        <x:f>A1197+1</x:f>
        <x:v>1195</x:v>
      </x:c>
      <x:c r="B1198" s="9" t="n">
        <x:f>A1198*v01_SeasonSeconds/60</x:f>
        <x:v>298.75</x:v>
      </x:c>
      <x:c r="C1198" s="9" t="n">
        <x:f>A1198/4</x:f>
        <x:v>298.75</x:v>
      </x:c>
      <x:c r="D1198" s="8" t="n">
        <x:f>IF(MOD(A1198,4)=0,1,0)</x:f>
        <x:v>0</x:v>
      </x:c>
      <x:c r="E1198" s="8" t="n">
        <x:f>IF(AND(F1197&lt;=9,AS1197&gt;=AR1197),1,0)</x:f>
        <x:v>0</x:v>
      </x:c>
      <x:c r="F1198" s="8" t="n">
        <x:f>MIN(10,F1197+E1198)</x:f>
        <x:v>6</x:v>
      </x:c>
      <x:c r="G1198" s="8" t="n">
        <x:f>MIN(F1198,9)+1</x:f>
        <x:v>7</x:v>
      </x:c>
      <x:c r="H1198" s="8" t="n">
        <x:f>IF(F1198&lt;=9,1,0)</x:f>
        <x:v>1</x:v>
      </x:c>
      <x:c r="I1198" s="9" t="n">
        <x:f>MIN(10,F1197+IF(AR1197&gt;0,MIN(1,AS1197/AR1197),1))</x:f>
        <x:v>6.848405432231035</x:v>
      </x:c>
      <x:c r="J1198" s="32" t="n">
        <x:f>INDEX(v01_FoodCap,G1198)*Arch_FoodCap*EXP(v01_CapsByProject*SUMPRODUCT((Cap_Point&lt;=I1198)*(Cap_Kind="Food")*Cap_Ln))</x:f>
        <x:v>1000</x:v>
      </x:c>
      <x:c r="K1198" s="32" t="n">
        <x:f>J1198*MIN(1,v01_LeanBase*EXP(v01_CapsByProject*SUMPRODUCT((Cap_Point&lt;=I1198)*(Cap_Kind="Lean")*Cap_Ln)))</x:f>
        <x:v>1000</x:v>
      </x:c>
      <x:c r="L1198" s="10" t="n">
        <x:f>INDEX(v01_HousingCap,G1198)*EXP(v01_CapsByProject*SUMPRODUCT((Cap_Point&lt;=I1198)*(Cap_Kind="Housing")*Cap_Ln))</x:f>
        <x:v>1600</x:v>
      </x:c>
      <x:c r="M1198" s="10" t="n">
        <x:f>INDEX(v01_GroupCap,G1198)*v01_CohesionFactor*EXP(v01_CapsByProject*SUMPRODUCT((Cap_Point&lt;=I1198)*(Cap_Kind="Group")*Cap_Ln))</x:f>
        <x:v>1000000</x:v>
      </x:c>
      <x:c r="N1198" s="32" t="n">
        <x:f>MIN(J1198,L1198,M1198)</x:f>
        <x:v>1000</x:v>
      </x:c>
      <x:c r="O1198" s="10" t="n">
        <x:f>AE1197*N1198</x:f>
        <x:v>16000</x:v>
      </x:c>
      <x:c r="P1198" s="9" t="n">
        <x:f>MIN(1,(AB1197/(AE1197*IF(v01_GroupInCrowding=1,N1198,MIN(J1198,L1198))))^v01_CrowdingExp)</x:f>
        <x:v>0.11046697034875198</x:v>
      </x:c>
      <x:c r="Q1198" s="9" t="n">
        <x:f>IF(D1198=1,INDEX(v01_WinterMult,G1198),1)</x:f>
        <x:v>1</x:v>
      </x:c>
      <x:c r="R1198" s="9" t="n">
        <x:f>H1198*Z1197*v01_WomenShare*v01_BaseFertility*INDEX(v01_FertMult,G1198)*Arch_Fertility*(1-P1198)</x:f>
        <x:v>132.01435869352318</x:v>
      </x:c>
      <x:c r="S1198" s="9" t="n">
        <x:f>H1198*Y1197*INDEX(v01_MortChild,G1198)/4*Q1198</x:f>
        <x:v>25.196761403187367</x:v>
      </x:c>
      <x:c r="T1198" s="9" t="n">
        <x:f>H1198*Z1197*INDEX(v01_MortAdult,G1198)*Arch_AdultMort/4*Q1198</x:f>
        <x:v>10.60061485657745</x:v>
      </x:c>
      <x:c r="U1198" s="9" t="n">
        <x:f>H1198*AA1197*INDEX(v01_MortElder,G1198)/4*Q1198</x:f>
        <x:v>24.61829898889438</x:v>
      </x:c>
      <x:c r="V1198" s="9" t="n">
        <x:f>H1198*MAX(0,AB1197-O1198)*v01_OvercapLoss</x:f>
        <x:v>0</x:v>
      </x:c>
      <x:c r="W1198" s="9" t="n">
        <x:f>H1198*Y1197/(v01_ChildYears*4)</x:f>
        <x:v>81.80766689346548</x:v>
      </x:c>
      <x:c r="X1198" s="9" t="n">
        <x:f>H1198*Z1197/(v01_AdultYears*4)</x:f>
        <x:v>37.995035328234586</x:v>
      </x:c>
      <x:c r="Y1198" s="32" t="n">
        <x:f>Y1197+R1198-S1198-W1198-Y1197*V1198/AB1197</x:f>
        <x:v>4606.239276430937</x:v>
      </x:c>
      <x:c r="Z1198" s="32" t="n">
        <x:f>Z1197+W1198-X1198-T1198-Z1197*V1198/AB1197</x:f>
        <x:v>4744.596397409742</x:v>
      </x:c>
      <x:c r="AA1198" s="32" t="n">
        <x:f>AA1197+X1198-U1198-AA1197*V1198/AB1197</x:f>
        <x:v>1803.7984809862041</x:v>
      </x:c>
      <x:c r="AB1198" s="10" t="n">
        <x:f>Y1198+Z1198+AA1198</x:f>
        <x:v>11154.634154826885</x:v>
      </x:c>
      <x:c r="AC1198" s="8" t="n">
        <x:f>IF(AND(v01_WinterTrigger=1,D1198=1,AB1197/AE1197&gt;=K1198),1,0)</x:f>
        <x:v>0</x:v>
      </x:c>
      <x:c r="AD1198" s="8" t="n">
        <x:f>H1198*IF(AND(OR(AB1197/AE1197&gt;=v01_FissionTrigger*N1198,AC1198=1),AB1197/AE1197*v01_DaughterShare&gt;=v01_MinDaughter),MAX(1,ROUND(AE1197*v01_FissionRate,0)),0)</x:f>
        <x:v>0</x:v>
      </x:c>
      <x:c r="AE1198" s="8" t="n">
        <x:f>IF(H1198=1,MAX(1,MIN(INDEX(v01_Smax,G1198),AE1197+AD1198)),AE1197)</x:f>
        <x:v>16</x:v>
      </x:c>
      <x:c r="AF1198" s="8" t="n">
        <x:f>MAX(0,AE1198-AE1197)</x:f>
        <x:v>0</x:v>
      </x:c>
      <x:c r="AG1198" s="9" t="str">
        <x:f>IF(AF1198&gt;0,B1198,"")</x:f>
      </x:c>
      <x:c r="AH1198" s="9" t="n">
        <x:f>IF(F1198&gt;=1,1,(1+v01_LowTiesShare*(AE1198-1))/AE1198)</x:f>
        <x:v>1</x:v>
      </x:c>
      <x:c r="AI1198" s="32" t="n">
        <x:f>(Z1198+v01_ElderCommons*INDEX(LM_Elder,G1198)*AA1198)*AH1198</x:f>
        <x:v>11508.840701108009</x:v>
      </x:c>
      <x:c r="AJ1198" s="32" t="n">
        <x:f>H1198*v01_CommonsCoef*AI1198^v01_CommonsExp*INDEX(LM_Commons,G1198)</x:f>
        <x:v>2471.1467676110574</x:v>
      </x:c>
      <x:c r="AK1198" s="32" t="n">
        <x:f>H1198*v01_RoleScale*Arch_Roles*(AE1198*(INDEX(v01_ElderRolePerSett,G1198)*v01_OutElder*INDEX(LM_Elder,G1198)+INDEX(v01_ShamanPerSett,G1198)*v01_OutShaman)+Z1198*(INDEX(v01_PriestShare,G1198)*v01_OutPriest+INDEX(v01_ScribeShare,G1198)*v01_OutScribe*INDEX(LM_Scribe,G1198)+INDEX(v01_ScholarShare,G1198)*v01_OutScholar*INDEX(LM_Scholar,G1198)+INDEX(v01_ResearcherShare,G1198)*v01_OutResearcher*INDEX(LM_Researcher,G1198)))</x:f>
        <x:v>652.2936057133685</x:v>
      </x:c>
      <x:c r="AL1198" s="32" t="n">
        <x:f>H1198*v01_RoleScale*Arch_Roles*AE1198*INDEX(v01_MonasteryPerSett,G1198)*v01_OutMonastery*INDEX(LM_Monastery,G1198)</x:f>
        <x:v>10.56</x:v>
      </x:c>
      <x:c r="AM1198" s="32" t="n">
        <x:f>(AJ1198+AK1198+AL1198)/4*INDEX(LM_All,G1198)*INDEX(v01_Boon,G1198)*Arch_Insight</x:f>
        <x:v>1432.1402597560589</x:v>
      </x:c>
      <x:c r="AN1198" s="32" t="n">
        <x:f>H1198*(v01_KHPerAdult*Z1198+v01_KHOfCommons*AJ1198/4*INDEX(LM_All,G1198))*v01_KHUsable*Arch_KH</x:f>
        <x:v>166.06087390934098</x:v>
      </x:c>
      <x:c r="AO1198" s="32" t="n">
        <x:f>MIN(AP1197+AN1198,AM1198*v01_KHMaxRatio)</x:f>
        <x:v>166.06087390934098</x:v>
      </x:c>
      <x:c r="AP1198" s="32" t="n">
        <x:f>AP1197+AN1198-AO1198</x:f>
        <x:v>0</x:v>
      </x:c>
      <x:c r="AQ1198" s="32" t="n">
        <x:f>AM1198+AO1198</x:f>
        <x:v>1598.2011336653998</x:v>
      </x:c>
      <x:c r="AR1198" s="10" t="n">
        <x:f>IF(H1198=1,INDEX(v01_Req,G1198),0)</x:f>
        <x:v>113395.942036</x:v>
      </x:c>
      <x:c r="AS1198" s="32" t="n">
        <x:f>IF(H1198=1,IF(E1198=1,AS1197-AR1197,AS1197)+AQ1198,0)</x:f>
        <x:v>97803.93434996331</x:v>
      </x:c>
      <x:c r="AT1198" s="11" t="n">
        <x:f>IF(AR1198&gt;0,MIN(1,AS1198/AR1198),1)</x:f>
        <x:v>0.862499421001444</x:v>
      </x:c>
      <x:c r="AU1198" s="10" t="n">
        <x:f>AB1198/INDEX(v01_RepScale,G1198)</x:f>
        <x:v>223.09268309653768</x:v>
      </x:c>
      <x:c r="AV1198" s="32" t="n">
        <x:f>AM1198*60/v01_SeasonSeconds</x:f>
        <x:v>5728.5610390242355</x:v>
      </x:c>
    </x:row>
    <x:row r="1199">
      <x:c r="A1199" s="8" t="n">
        <x:f>A1198+1</x:f>
        <x:v>1196</x:v>
      </x:c>
      <x:c r="B1199" s="9" t="n">
        <x:f>A1199*v01_SeasonSeconds/60</x:f>
        <x:v>299</x:v>
      </x:c>
      <x:c r="C1199" s="9" t="n">
        <x:f>A1199/4</x:f>
        <x:v>299</x:v>
      </x:c>
      <x:c r="D1199" s="8" t="n">
        <x:f>IF(MOD(A1199,4)=0,1,0)</x:f>
        <x:v>1</x:v>
      </x:c>
      <x:c r="E1199" s="8" t="n">
        <x:f>IF(AND(F1198&lt;=9,AS1198&gt;=AR1198),1,0)</x:f>
        <x:v>0</x:v>
      </x:c>
      <x:c r="F1199" s="8" t="n">
        <x:f>MIN(10,F1198+E1199)</x:f>
        <x:v>6</x:v>
      </x:c>
      <x:c r="G1199" s="8" t="n">
        <x:f>MIN(F1199,9)+1</x:f>
        <x:v>7</x:v>
      </x:c>
      <x:c r="H1199" s="8" t="n">
        <x:f>IF(F1199&lt;=9,1,0)</x:f>
        <x:v>1</x:v>
      </x:c>
      <x:c r="I1199" s="9" t="n">
        <x:f>MIN(10,F1198+IF(AR1198&gt;0,MIN(1,AS1198/AR1198),1))</x:f>
        <x:v>6.862499421001444</x:v>
      </x:c>
      <x:c r="J1199" s="32" t="n">
        <x:f>INDEX(v01_FoodCap,G1199)*Arch_FoodCap*EXP(v01_CapsByProject*SUMPRODUCT((Cap_Point&lt;=I1199)*(Cap_Kind="Food")*Cap_Ln))</x:f>
        <x:v>1000</x:v>
      </x:c>
      <x:c r="K1199" s="32" t="n">
        <x:f>J1199*MIN(1,v01_LeanBase*EXP(v01_CapsByProject*SUMPRODUCT((Cap_Point&lt;=I1199)*(Cap_Kind="Lean")*Cap_Ln)))</x:f>
        <x:v>1000</x:v>
      </x:c>
      <x:c r="L1199" s="10" t="n">
        <x:f>INDEX(v01_HousingCap,G1199)*EXP(v01_CapsByProject*SUMPRODUCT((Cap_Point&lt;=I1199)*(Cap_Kind="Housing")*Cap_Ln))</x:f>
        <x:v>1600</x:v>
      </x:c>
      <x:c r="M1199" s="10" t="n">
        <x:f>INDEX(v01_GroupCap,G1199)*v01_CohesionFactor*EXP(v01_CapsByProject*SUMPRODUCT((Cap_Point&lt;=I1199)*(Cap_Kind="Group")*Cap_Ln))</x:f>
        <x:v>1000000</x:v>
      </x:c>
      <x:c r="N1199" s="32" t="n">
        <x:f>MIN(J1199,L1199,M1199)</x:f>
        <x:v>1000</x:v>
      </x:c>
      <x:c r="O1199" s="10" t="n">
        <x:f>AE1198*N1199</x:f>
        <x:v>16000</x:v>
      </x:c>
      <x:c r="P1199" s="9" t="n">
        <x:f>MIN(1,(AB1198/(AE1198*IF(v01_GroupInCrowding=1,N1199,MIN(J1199,L1199))))^v01_CrowdingExp)</x:f>
        <x:v>0.1148185585321363</x:v>
      </x:c>
      <x:c r="Q1199" s="9" t="n">
        <x:f>IF(D1199=1,INDEX(v01_WinterMult,G1199),1)</x:f>
        <x:v>1</x:v>
      </x:c>
      <x:c r="R1199" s="9" t="n">
        <x:f>H1199*Z1198*v01_WomenShare*v01_BaseFertility*INDEX(v01_FertMult,G1199)*Arch_Fertility*(1-P1199)</x:f>
        <x:v>132.29460336463526</x:v>
      </x:c>
      <x:c r="S1199" s="9" t="n">
        <x:f>H1199*Y1198*INDEX(v01_MortChild,G1199)/4*Q1199</x:f>
        <x:v>25.334316020370153</x:v>
      </x:c>
      <x:c r="T1199" s="9" t="n">
        <x:f>H1199*Z1198*INDEX(v01_MortAdult,G1199)*Arch_AdultMort/4*Q1199</x:f>
        <x:v>10.675341894171918</x:v>
      </x:c>
      <x:c r="U1199" s="9" t="n">
        <x:f>H1199*AA1198*INDEX(v01_MortElder,G1199)/4*Q1199</x:f>
        <x:v>24.80222911356031</x:v>
      </x:c>
      <x:c r="V1199" s="9" t="n">
        <x:f>H1199*MAX(0,AB1198-O1199)*v01_OvercapLoss</x:f>
        <x:v>0</x:v>
      </x:c>
      <x:c r="W1199" s="9" t="n">
        <x:f>H1199*Y1198/(v01_ChildYears*4)</x:f>
        <x:v>82.25427279340958</x:v>
      </x:c>
      <x:c r="X1199" s="9" t="n">
        <x:f>H1199*Z1198/(v01_AdultYears*4)</x:f>
        <x:v>38.26287417265921</x:v>
      </x:c>
      <x:c r="Y1199" s="32" t="n">
        <x:f>Y1198+R1199-S1199-W1199-Y1198*V1199/AB1198</x:f>
        <x:v>4630.945290981792</x:v>
      </x:c>
      <x:c r="Z1199" s="32" t="n">
        <x:f>Z1198+W1199-X1199-T1199-Z1198*V1199/AB1198</x:f>
        <x:v>4777.912454136321</x:v>
      </x:c>
      <x:c r="AA1199" s="32" t="n">
        <x:f>AA1198+X1199-U1199-AA1198*V1199/AB1198</x:f>
        <x:v>1817.259126045303</x:v>
      </x:c>
      <x:c r="AB1199" s="10" t="n">
        <x:f>Y1199+Z1199+AA1199</x:f>
        <x:v>11226.116871163415</x:v>
      </x:c>
      <x:c r="AC1199" s="8" t="n">
        <x:f>IF(AND(v01_WinterTrigger=1,D1199=1,AB1198/AE1198&gt;=K1199),1,0)</x:f>
        <x:v>0</x:v>
      </x:c>
      <x:c r="AD1199" s="8" t="n">
        <x:f>H1199*IF(AND(OR(AB1198/AE1198&gt;=v01_FissionTrigger*N1199,AC1199=1),AB1198/AE1198*v01_DaughterShare&gt;=v01_MinDaughter),MAX(1,ROUND(AE1198*v01_FissionRate,0)),0)</x:f>
        <x:v>0</x:v>
      </x:c>
      <x:c r="AE1199" s="8" t="n">
        <x:f>IF(H1199=1,MAX(1,MIN(INDEX(v01_Smax,G1199),AE1198+AD1199)),AE1198)</x:f>
        <x:v>16</x:v>
      </x:c>
      <x:c r="AF1199" s="8" t="n">
        <x:f>MAX(0,AE1199-AE1198)</x:f>
        <x:v>0</x:v>
      </x:c>
      <x:c r="AG1199" s="9" t="str">
        <x:f>IF(AF1199&gt;0,B1199,"")</x:f>
      </x:c>
      <x:c r="AH1199" s="9" t="n">
        <x:f>IF(F1199&gt;=1,1,(1+v01_LowTiesShare*(AE1199-1))/AE1199)</x:f>
        <x:v>1</x:v>
      </x:c>
      <x:c r="AI1199" s="32" t="n">
        <x:f>(Z1199+v01_ElderCommons*INDEX(LM_Elder,G1199)*AA1199)*AH1199</x:f>
        <x:v>11592.634176806207</x:v>
      </x:c>
      <x:c r="AJ1199" s="32" t="n">
        <x:f>H1199*v01_CommonsCoef*AI1199^v01_CommonsExp*INDEX(LM_Commons,G1199)</x:f>
        <x:v>2486.431559721214</x:v>
      </x:c>
      <x:c r="AK1199" s="32" t="n">
        <x:f>H1199*v01_RoleScale*Arch_Roles*(AE1199*(INDEX(v01_ElderRolePerSett,G1199)*v01_OutElder*INDEX(LM_Elder,G1199)+INDEX(v01_ShamanPerSett,G1199)*v01_OutShaman)+Z1199*(INDEX(v01_PriestShare,G1199)*v01_OutPriest+INDEX(v01_ScribeShare,G1199)*v01_OutScribe*INDEX(LM_Scribe,G1199)+INDEX(v01_ScholarShare,G1199)*v01_OutScholar*INDEX(LM_Scholar,G1199)+INDEX(v01_ResearcherShare,G1199)*v01_OutResearcher*INDEX(LM_Researcher,G1199)))</x:f>
        <x:v>656.49476046659</x:v>
      </x:c>
      <x:c r="AL1199" s="32" t="n">
        <x:f>H1199*v01_RoleScale*Arch_Roles*AE1199*INDEX(v01_MonasteryPerSett,G1199)*v01_OutMonastery*INDEX(LM_Monastery,G1199)</x:f>
        <x:v>10.56</x:v>
      </x:c>
      <x:c r="AM1199" s="32" t="n">
        <x:f>(AJ1199+AK1199+AL1199)/4*INDEX(LM_All,G1199)*INDEX(v01_Boon,G1199)*Arch_Insight</x:f>
        <x:v>1441.0447287025345</x:v>
      </x:c>
      <x:c r="AN1199" s="32" t="n">
        <x:f>H1199*(v01_KHPerAdult*Z1199+v01_KHOfCommons*AJ1199/4*INDEX(LM_All,G1199))*v01_KHUsable*Arch_KH</x:f>
        <x:v>167.22693589477123</x:v>
      </x:c>
      <x:c r="AO1199" s="32" t="n">
        <x:f>MIN(AP1198+AN1199,AM1199*v01_KHMaxRatio)</x:f>
        <x:v>167.22693589477123</x:v>
      </x:c>
      <x:c r="AP1199" s="32" t="n">
        <x:f>AP1198+AN1199-AO1199</x:f>
        <x:v>0</x:v>
      </x:c>
      <x:c r="AQ1199" s="32" t="n">
        <x:f>AM1199+AO1199</x:f>
        <x:v>1608.2716645973057</x:v>
      </x:c>
      <x:c r="AR1199" s="10" t="n">
        <x:f>IF(H1199=1,INDEX(v01_Req,G1199),0)</x:f>
        <x:v>113395.942036</x:v>
      </x:c>
      <x:c r="AS1199" s="32" t="n">
        <x:f>IF(H1199=1,IF(E1199=1,AS1198-AR1198,AS1198)+AQ1199,0)</x:f>
        <x:v>99412.20601456062</x:v>
      </x:c>
      <x:c r="AT1199" s="11" t="n">
        <x:f>IF(AR1199&gt;0,MIN(1,AS1199/AR1199),1)</x:f>
        <x:v>0.8766822183372318</x:v>
      </x:c>
      <x:c r="AU1199" s="10" t="n">
        <x:f>AB1199/INDEX(v01_RepScale,G1199)</x:f>
        <x:v>224.52233742326828</x:v>
      </x:c>
      <x:c r="AV1199" s="32" t="n">
        <x:f>AM1199*60/v01_SeasonSeconds</x:f>
        <x:v>5764.178914810138</x:v>
      </x:c>
    </x:row>
    <x:row r="1200">
      <x:c r="A1200" s="8" t="n">
        <x:f>A1199+1</x:f>
        <x:v>1197</x:v>
      </x:c>
      <x:c r="B1200" s="9" t="n">
        <x:f>A1200*v01_SeasonSeconds/60</x:f>
        <x:v>299.25</x:v>
      </x:c>
      <x:c r="C1200" s="9" t="n">
        <x:f>A1200/4</x:f>
        <x:v>299.25</x:v>
      </x:c>
      <x:c r="D1200" s="8" t="n">
        <x:f>IF(MOD(A1200,4)=0,1,0)</x:f>
        <x:v>0</x:v>
      </x:c>
      <x:c r="E1200" s="8" t="n">
        <x:f>IF(AND(F1199&lt;=9,AS1199&gt;=AR1199),1,0)</x:f>
        <x:v>0</x:v>
      </x:c>
      <x:c r="F1200" s="8" t="n">
        <x:f>MIN(10,F1199+E1200)</x:f>
        <x:v>6</x:v>
      </x:c>
      <x:c r="G1200" s="8" t="n">
        <x:f>MIN(F1200,9)+1</x:f>
        <x:v>7</x:v>
      </x:c>
      <x:c r="H1200" s="8" t="n">
        <x:f>IF(F1200&lt;=9,1,0)</x:f>
        <x:v>1</x:v>
      </x:c>
      <x:c r="I1200" s="9" t="n">
        <x:f>MIN(10,F1199+IF(AR1199&gt;0,MIN(1,AS1199/AR1199),1))</x:f>
        <x:v>6.876682218337232</x:v>
      </x:c>
      <x:c r="J1200" s="32" t="n">
        <x:f>INDEX(v01_FoodCap,G1200)*Arch_FoodCap*EXP(v01_CapsByProject*SUMPRODUCT((Cap_Point&lt;=I1200)*(Cap_Kind="Food")*Cap_Ln))</x:f>
        <x:v>1000</x:v>
      </x:c>
      <x:c r="K1200" s="32" t="n">
        <x:f>J1200*MIN(1,v01_LeanBase*EXP(v01_CapsByProject*SUMPRODUCT((Cap_Point&lt;=I1200)*(Cap_Kind="Lean")*Cap_Ln)))</x:f>
        <x:v>1000</x:v>
      </x:c>
      <x:c r="L1200" s="10" t="n">
        <x:f>INDEX(v01_HousingCap,G1200)*EXP(v01_CapsByProject*SUMPRODUCT((Cap_Point&lt;=I1200)*(Cap_Kind="Housing")*Cap_Ln))</x:f>
        <x:v>1600</x:v>
      </x:c>
      <x:c r="M1200" s="10" t="n">
        <x:f>INDEX(v01_GroupCap,G1200)*v01_CohesionFactor*EXP(v01_CapsByProject*SUMPRODUCT((Cap_Point&lt;=I1200)*(Cap_Kind="Group")*Cap_Ln))</x:f>
        <x:v>1000000</x:v>
      </x:c>
      <x:c r="N1200" s="32" t="n">
        <x:f>MIN(J1200,L1200,M1200)</x:f>
        <x:v>1000</x:v>
      </x:c>
      <x:c r="O1200" s="10" t="n">
        <x:f>AE1199*N1200</x:f>
        <x:v>16000</x:v>
      </x:c>
      <x:c r="P1200" s="9" t="n">
        <x:f>MIN(1,(AB1199/(AE1199*IF(v01_GroupInCrowding=1,N1200,MIN(J1200,L1200))))^v01_CrowdingExp)</x:f>
        <x:v>0.11930467423924074</x:v>
      </x:c>
      <x:c r="Q1200" s="9" t="n">
        <x:f>IF(D1200=1,INDEX(v01_WinterMult,G1200),1)</x:f>
        <x:v>1</x:v>
      </x:c>
      <x:c r="R1200" s="9" t="n">
        <x:f>H1200*Z1199*v01_WomenShare*v01_BaseFertility*INDEX(v01_FertMult,G1200)*Arch_Fertility*(1-P1200)</x:f>
        <x:v>132.54838270543723</x:v>
      </x:c>
      <x:c r="S1200" s="9" t="n">
        <x:f>H1200*Y1199*INDEX(v01_MortChild,G1200)/4*Q1200</x:f>
        <x:v>25.470199100399853</x:v>
      </x:c>
      <x:c r="T1200" s="9" t="n">
        <x:f>H1200*Z1199*INDEX(v01_MortAdult,G1200)*Arch_AdultMort/4*Q1200</x:f>
        <x:v>10.75030302180672</x:v>
      </x:c>
      <x:c r="U1200" s="9" t="n">
        <x:f>H1200*AA1199*INDEX(v01_MortElder,G1200)/4*Q1200</x:f>
        <x:v>24.987312983122916</x:v>
      </x:c>
      <x:c r="V1200" s="9" t="n">
        <x:f>H1200*MAX(0,AB1199-O1200)*v01_OvercapLoss</x:f>
        <x:v>0</x:v>
      </x:c>
      <x:c r="W1200" s="9" t="n">
        <x:f>H1200*Y1199/(v01_ChildYears*4)</x:f>
        <x:v>82.69545162467486</x:v>
      </x:c>
      <x:c r="X1200" s="9" t="n">
        <x:f>H1200*Z1199/(v01_AdultYears*4)</x:f>
        <x:v>38.53155204948646</x:v>
      </x:c>
      <x:c r="Y1200" s="32" t="n">
        <x:f>Y1199+R1200-S1200-W1200-Y1199*V1200/AB1199</x:f>
        <x:v>4655.328022962155</x:v>
      </x:c>
      <x:c r="Z1200" s="32" t="n">
        <x:f>Z1199+W1200-X1200-T1200-Z1199*V1200/AB1199</x:f>
        <x:v>4811.326050689702</x:v>
      </x:c>
      <x:c r="AA1200" s="32" t="n">
        <x:f>AA1199+X1200-U1200-AA1199*V1200/AB1199</x:f>
        <x:v>1830.8033651116666</x:v>
      </x:c>
      <x:c r="AB1200" s="10" t="n">
        <x:f>Y1200+Z1200+AA1200</x:f>
        <x:v>11297.457438763526</x:v>
      </x:c>
      <x:c r="AC1200" s="8" t="n">
        <x:f>IF(AND(v01_WinterTrigger=1,D1200=1,AB1199/AE1199&gt;=K1200),1,0)</x:f>
        <x:v>0</x:v>
      </x:c>
      <x:c r="AD1200" s="8" t="n">
        <x:f>H1200*IF(AND(OR(AB1199/AE1199&gt;=v01_FissionTrigger*N1200,AC1200=1),AB1199/AE1199*v01_DaughterShare&gt;=v01_MinDaughter),MAX(1,ROUND(AE1199*v01_FissionRate,0)),0)</x:f>
        <x:v>0</x:v>
      </x:c>
      <x:c r="AE1200" s="8" t="n">
        <x:f>IF(H1200=1,MAX(1,MIN(INDEX(v01_Smax,G1200),AE1199+AD1200)),AE1199)</x:f>
        <x:v>16</x:v>
      </x:c>
      <x:c r="AF1200" s="8" t="n">
        <x:f>MAX(0,AE1200-AE1199)</x:f>
        <x:v>0</x:v>
      </x:c>
      <x:c r="AG1200" s="9" t="str">
        <x:f>IF(AF1200&gt;0,B1200,"")</x:f>
      </x:c>
      <x:c r="AH1200" s="9" t="n">
        <x:f>IF(F1200&gt;=1,1,(1+v01_LowTiesShare*(AE1200-1))/AE1200)</x:f>
        <x:v>1</x:v>
      </x:c>
      <x:c r="AI1200" s="32" t="n">
        <x:f>(Z1200+v01_ElderCommons*INDEX(LM_Elder,G1200)*AA1200)*AH1200</x:f>
        <x:v>11676.83866985845</x:v>
      </x:c>
      <x:c r="AJ1200" s="32" t="n">
        <x:f>H1200*v01_CommonsCoef*AI1200^v01_CommonsExp*INDEX(LM_Commons,G1200)</x:f>
        <x:v>2501.7746404598115</x:v>
      </x:c>
      <x:c r="AK1200" s="32" t="n">
        <x:f>H1200*v01_RoleScale*Arch_Roles*(AE1200*(INDEX(v01_ElderRolePerSett,G1200)*v01_OutElder*INDEX(LM_Elder,G1200)+INDEX(v01_ShamanPerSett,G1200)*v01_OutShaman)+Z1200*(INDEX(v01_PriestShare,G1200)*v01_OutPriest+INDEX(v01_ScribeShare,G1200)*v01_OutScribe*INDEX(LM_Scribe,G1200)+INDEX(v01_ScholarShare,G1200)*v01_OutScholar*INDEX(LM_Scholar,G1200)+INDEX(v01_ResearcherShare,G1200)*v01_OutResearcher*INDEX(LM_Researcher,G1200)))</x:f>
        <x:v>660.7082149919714</x:v>
      </x:c>
      <x:c r="AL1200" s="32" t="n">
        <x:f>H1200*v01_RoleScale*Arch_Roles*AE1200*INDEX(v01_MonasteryPerSett,G1200)*v01_OutMonastery*INDEX(LM_Monastery,G1200)</x:f>
        <x:v>10.56</x:v>
      </x:c>
      <x:c r="AM1200" s="32" t="n">
        <x:f>(AJ1200+AK1200+AL1200)/4*INDEX(LM_All,G1200)*INDEX(v01_Boon,G1200)*Arch_Insight</x:f>
        <x:v>1449.981454342798</x:v>
      </x:c>
      <x:c r="AN1200" s="32" t="n">
        <x:f>H1200*(v01_KHPerAdult*Z1200+v01_KHOfCommons*AJ1200/4*INDEX(LM_All,G1200))*v01_KHUsable*Arch_KH</x:f>
        <x:v>168.39641177413958</x:v>
      </x:c>
      <x:c r="AO1200" s="32" t="n">
        <x:f>MIN(AP1199+AN1200,AM1200*v01_KHMaxRatio)</x:f>
        <x:v>168.39641177413958</x:v>
      </x:c>
      <x:c r="AP1200" s="32" t="n">
        <x:f>AP1199+AN1200-AO1200</x:f>
        <x:v>0</x:v>
      </x:c>
      <x:c r="AQ1200" s="32" t="n">
        <x:f>AM1200+AO1200</x:f>
        <x:v>1618.3778661169376</x:v>
      </x:c>
      <x:c r="AR1200" s="10" t="n">
        <x:f>IF(H1200=1,INDEX(v01_Req,G1200),0)</x:f>
        <x:v>113395.942036</x:v>
      </x:c>
      <x:c r="AS1200" s="32" t="n">
        <x:f>IF(H1200=1,IF(E1200=1,AS1199-AR1199,AS1199)+AQ1200,0)</x:f>
        <x:v>101030.58388067756</x:v>
      </x:c>
      <x:c r="AT1200" s="11" t="n">
        <x:f>IF(AR1200&gt;0,MIN(1,AS1200/AR1200),1)</x:f>
        <x:v>0.8909541388051013</x:v>
      </x:c>
      <x:c r="AU1200" s="10" t="n">
        <x:f>AB1200/INDEX(v01_RepScale,G1200)</x:f>
        <x:v>225.94914877527052</x:v>
      </x:c>
      <x:c r="AV1200" s="32" t="n">
        <x:f>AM1200*60/v01_SeasonSeconds</x:f>
        <x:v>5799.925817371192</x:v>
      </x:c>
    </x:row>
    <x:row r="1201">
      <x:c r="A1201" s="8" t="n">
        <x:f>A1200+1</x:f>
        <x:v>1198</x:v>
      </x:c>
      <x:c r="B1201" s="9" t="n">
        <x:f>A1201*v01_SeasonSeconds/60</x:f>
        <x:v>299.5</x:v>
      </x:c>
      <x:c r="C1201" s="9" t="n">
        <x:f>A1201/4</x:f>
        <x:v>299.5</x:v>
      </x:c>
      <x:c r="D1201" s="8" t="n">
        <x:f>IF(MOD(A1201,4)=0,1,0)</x:f>
        <x:v>0</x:v>
      </x:c>
      <x:c r="E1201" s="8" t="n">
        <x:f>IF(AND(F1200&lt;=9,AS1200&gt;=AR1200),1,0)</x:f>
        <x:v>0</x:v>
      </x:c>
      <x:c r="F1201" s="8" t="n">
        <x:f>MIN(10,F1200+E1201)</x:f>
        <x:v>6</x:v>
      </x:c>
      <x:c r="G1201" s="8" t="n">
        <x:f>MIN(F1201,9)+1</x:f>
        <x:v>7</x:v>
      </x:c>
      <x:c r="H1201" s="8" t="n">
        <x:f>IF(F1201&lt;=9,1,0)</x:f>
        <x:v>1</x:v>
      </x:c>
      <x:c r="I1201" s="9" t="n">
        <x:f>MIN(10,F1200+IF(AR1200&gt;0,MIN(1,AS1200/AR1200),1))</x:f>
        <x:v>6.890954138805101</x:v>
      </x:c>
      <x:c r="J1201" s="32" t="n">
        <x:f>INDEX(v01_FoodCap,G1201)*Arch_FoodCap*EXP(v01_CapsByProject*SUMPRODUCT((Cap_Point&lt;=I1201)*(Cap_Kind="Food")*Cap_Ln))</x:f>
        <x:v>1000</x:v>
      </x:c>
      <x:c r="K1201" s="32" t="n">
        <x:f>J1201*MIN(1,v01_LeanBase*EXP(v01_CapsByProject*SUMPRODUCT((Cap_Point&lt;=I1201)*(Cap_Kind="Lean")*Cap_Ln)))</x:f>
        <x:v>1000</x:v>
      </x:c>
      <x:c r="L1201" s="10" t="n">
        <x:f>INDEX(v01_HousingCap,G1201)*EXP(v01_CapsByProject*SUMPRODUCT((Cap_Point&lt;=I1201)*(Cap_Kind="Housing")*Cap_Ln))</x:f>
        <x:v>1600</x:v>
      </x:c>
      <x:c r="M1201" s="10" t="n">
        <x:f>INDEX(v01_GroupCap,G1201)*v01_CohesionFactor*EXP(v01_CapsByProject*SUMPRODUCT((Cap_Point&lt;=I1201)*(Cap_Kind="Group")*Cap_Ln))</x:f>
        <x:v>1000000</x:v>
      </x:c>
      <x:c r="N1201" s="32" t="n">
        <x:f>MIN(J1201,L1201,M1201)</x:f>
        <x:v>1000</x:v>
      </x:c>
      <x:c r="O1201" s="10" t="n">
        <x:f>AE1200*N1201</x:f>
        <x:v>16000</x:v>
      </x:c>
      <x:c r="P1201" s="9" t="n">
        <x:f>MIN(1,(AB1200/(AE1200*IF(v01_GroupInCrowding=1,N1201,MIN(J1201,L1201))))^v01_CrowdingExp)</x:f>
        <x:v>0.12392655793621889</x:v>
      </x:c>
      <x:c r="Q1201" s="9" t="n">
        <x:f>IF(D1201=1,INDEX(v01_WinterMult,G1201),1)</x:f>
        <x:v>1</x:v>
      </x:c>
      <x:c r="R1201" s="9" t="n">
        <x:f>H1201*Z1200*v01_WomenShare*v01_BaseFertility*INDEX(v01_FertMult,G1201)*Arch_Fertility*(1-P1201)</x:f>
        <x:v>132.77486168474425</x:v>
      </x:c>
      <x:c r="S1201" s="9" t="n">
        <x:f>H1201*Y1200*INDEX(v01_MortChild,G1201)/4*Q1201</x:f>
        <x:v>25.60430412629185</x:v>
      </x:c>
      <x:c r="T1201" s="9" t="n">
        <x:f>H1201*Z1200*INDEX(v01_MortAdult,G1201)*Arch_AdultMort/4*Q1201</x:f>
        <x:v>10.82548361405183</x:v>
      </x:c>
      <x:c r="U1201" s="9" t="n">
        <x:f>H1201*AA1200*INDEX(v01_MortElder,G1201)/4*Q1201</x:f>
        <x:v>25.173546270285417</x:v>
      </x:c>
      <x:c r="V1201" s="9" t="n">
        <x:f>H1201*MAX(0,AB1200-O1201)*v01_OvercapLoss</x:f>
        <x:v>0</x:v>
      </x:c>
      <x:c r="W1201" s="9" t="n">
        <x:f>H1201*Y1200/(v01_ChildYears*4)</x:f>
        <x:v>83.13085755289562</x:v>
      </x:c>
      <x:c r="X1201" s="9" t="n">
        <x:f>H1201*Z1200/(v01_AdultYears*4)</x:f>
        <x:v>38.80101653782018</x:v>
      </x:c>
      <x:c r="Y1201" s="32" t="n">
        <x:f>Y1200+R1201-S1201-W1201-Y1200*V1201/AB1200</x:f>
        <x:v>4679.367722967711</x:v>
      </x:c>
      <x:c r="Z1201" s="32" t="n">
        <x:f>Z1200+W1201-X1201-T1201-Z1200*V1201/AB1200</x:f>
        <x:v>4844.8304080907255</x:v>
      </x:c>
      <x:c r="AA1201" s="32" t="n">
        <x:f>AA1200+X1201-U1201-AA1200*V1201/AB1200</x:f>
        <x:v>1844.4308353792014</x:v>
      </x:c>
      <x:c r="AB1201" s="10" t="n">
        <x:f>Y1201+Z1201+AA1201</x:f>
        <x:v>11368.62896643764</x:v>
      </x:c>
      <x:c r="AC1201" s="8" t="n">
        <x:f>IF(AND(v01_WinterTrigger=1,D1201=1,AB1200/AE1200&gt;=K1201),1,0)</x:f>
        <x:v>0</x:v>
      </x:c>
      <x:c r="AD1201" s="8" t="n">
        <x:f>H1201*IF(AND(OR(AB1200/AE1200&gt;=v01_FissionTrigger*N1201,AC1201=1),AB1200/AE1200*v01_DaughterShare&gt;=v01_MinDaughter),MAX(1,ROUND(AE1200*v01_FissionRate,0)),0)</x:f>
        <x:v>0</x:v>
      </x:c>
      <x:c r="AE1201" s="8" t="n">
        <x:f>IF(H1201=1,MAX(1,MIN(INDEX(v01_Smax,G1201),AE1200+AD1201)),AE1200)</x:f>
        <x:v>16</x:v>
      </x:c>
      <x:c r="AF1201" s="8" t="n">
        <x:f>MAX(0,AE1201-AE1200)</x:f>
        <x:v>0</x:v>
      </x:c>
      <x:c r="AG1201" s="9" t="str">
        <x:f>IF(AF1201&gt;0,B1201,"")</x:f>
      </x:c>
      <x:c r="AH1201" s="9" t="n">
        <x:f>IF(F1201&gt;=1,1,(1+v01_LowTiesShare*(AE1201-1))/AE1201)</x:f>
        <x:v>1</x:v>
      </x:c>
      <x:c r="AI1201" s="32" t="n">
        <x:f>(Z1201+v01_ElderCommons*INDEX(LM_Elder,G1201)*AA1201)*AH1201</x:f>
        <x:v>11761.44604076273</x:v>
      </x:c>
      <x:c r="AJ1201" s="32" t="n">
        <x:f>H1201*v01_CommonsCoef*AI1201^v01_CommonsExp*INDEX(LM_Commons,G1201)</x:f>
        <x:v>2517.174423839581</x:v>
      </x:c>
      <x:c r="AK1201" s="32" t="n">
        <x:f>H1201*v01_RoleScale*Arch_Roles*(AE1201*(INDEX(v01_ElderRolePerSett,G1201)*v01_OutElder*INDEX(LM_Elder,G1201)+INDEX(v01_ShamanPerSett,G1201)*v01_OutShaman)+Z1201*(INDEX(v01_PriestShare,G1201)*v01_OutPriest+INDEX(v01_ScribeShare,G1201)*v01_OutScribe*INDEX(LM_Scribe,G1201)+INDEX(v01_ScholarShare,G1201)*v01_OutScholar*INDEX(LM_Scholar,G1201)+INDEX(v01_ResearcherShare,G1201)*v01_OutResearcher*INDEX(LM_Researcher,G1201)))</x:f>
        <x:v>664.9331144602404</x:v>
      </x:c>
      <x:c r="AL1201" s="32" t="n">
        <x:f>H1201*v01_RoleScale*Arch_Roles*AE1201*INDEX(v01_MonasteryPerSett,G1201)*v01_OutMonastery*INDEX(LM_Monastery,G1201)</x:f>
        <x:v>10.56</x:v>
      </x:c>
      <x:c r="AM1201" s="32" t="n">
        <x:f>(AJ1201+AK1201+AL1201)/4*INDEX(LM_All,G1201)*INDEX(v01_Boon,G1201)*Arch_Insight</x:f>
        <x:v>1458.9493212999441</x:v>
      </x:c>
      <x:c r="AN1201" s="32" t="n">
        <x:f>H1201*(v01_KHPerAdult*Z1201+v01_KHOfCommons*AJ1201/4*INDEX(LM_All,G1201))*v01_KHUsable*Arch_KH</x:f>
        <x:v>169.56906428317538</x:v>
      </x:c>
      <x:c r="AO1201" s="32" t="n">
        <x:f>MIN(AP1200+AN1201,AM1201*v01_KHMaxRatio)</x:f>
        <x:v>169.56906428317538</x:v>
      </x:c>
      <x:c r="AP1201" s="32" t="n">
        <x:f>AP1200+AN1201-AO1201</x:f>
        <x:v>0</x:v>
      </x:c>
      <x:c r="AQ1201" s="32" t="n">
        <x:f>AM1201+AO1201</x:f>
        <x:v>1628.5183855831194</x:v>
      </x:c>
      <x:c r="AR1201" s="10" t="n">
        <x:f>IF(H1201=1,INDEX(v01_Req,G1201),0)</x:f>
        <x:v>113395.942036</x:v>
      </x:c>
      <x:c r="AS1201" s="32" t="n">
        <x:f>IF(H1201=1,IF(E1201=1,AS1200-AR1200,AS1200)+AQ1201,0)</x:f>
        <x:v>102659.10226626067</x:v>
      </x:c>
      <x:c r="AT1201" s="11" t="n">
        <x:f>IF(AR1201&gt;0,MIN(1,AS1201/AR1201),1)</x:f>
        <x:v>0.9053154850432771</x:v>
      </x:c>
      <x:c r="AU1201" s="10" t="n">
        <x:f>AB1201/INDEX(v01_RepScale,G1201)</x:f>
        <x:v>227.3725793287528</x:v>
      </x:c>
      <x:c r="AV1201" s="32" t="n">
        <x:f>AM1201*60/v01_SeasonSeconds</x:f>
        <x:v>5835.7972851997765</x:v>
      </x:c>
    </x:row>
    <x:row r="1202">
      <x:c r="A1202" s="8" t="n">
        <x:f>A1201+1</x:f>
        <x:v>1199</x:v>
      </x:c>
      <x:c r="B1202" s="9" t="n">
        <x:f>A1202*v01_SeasonSeconds/60</x:f>
        <x:v>299.75</x:v>
      </x:c>
      <x:c r="C1202" s="9" t="n">
        <x:f>A1202/4</x:f>
        <x:v>299.75</x:v>
      </x:c>
      <x:c r="D1202" s="8" t="n">
        <x:f>IF(MOD(A1202,4)=0,1,0)</x:f>
        <x:v>0</x:v>
      </x:c>
      <x:c r="E1202" s="8" t="n">
        <x:f>IF(AND(F1201&lt;=9,AS1201&gt;=AR1201),1,0)</x:f>
        <x:v>0</x:v>
      </x:c>
      <x:c r="F1202" s="8" t="n">
        <x:f>MIN(10,F1201+E1202)</x:f>
        <x:v>6</x:v>
      </x:c>
      <x:c r="G1202" s="8" t="n">
        <x:f>MIN(F1202,9)+1</x:f>
        <x:v>7</x:v>
      </x:c>
      <x:c r="H1202" s="8" t="n">
        <x:f>IF(F1202&lt;=9,1,0)</x:f>
        <x:v>1</x:v>
      </x:c>
      <x:c r="I1202" s="9" t="n">
        <x:f>MIN(10,F1201+IF(AR1201&gt;0,MIN(1,AS1201/AR1201),1))</x:f>
        <x:v>6.905315485043277</x:v>
      </x:c>
      <x:c r="J1202" s="32" t="n">
        <x:f>INDEX(v01_FoodCap,G1202)*Arch_FoodCap*EXP(v01_CapsByProject*SUMPRODUCT((Cap_Point&lt;=I1202)*(Cap_Kind="Food")*Cap_Ln))</x:f>
        <x:v>1000</x:v>
      </x:c>
      <x:c r="K1202" s="32" t="n">
        <x:f>J1202*MIN(1,v01_LeanBase*EXP(v01_CapsByProject*SUMPRODUCT((Cap_Point&lt;=I1202)*(Cap_Kind="Lean")*Cap_Ln)))</x:f>
        <x:v>1000</x:v>
      </x:c>
      <x:c r="L1202" s="10" t="n">
        <x:f>INDEX(v01_HousingCap,G1202)*EXP(v01_CapsByProject*SUMPRODUCT((Cap_Point&lt;=I1202)*(Cap_Kind="Housing")*Cap_Ln))</x:f>
        <x:v>1600</x:v>
      </x:c>
      <x:c r="M1202" s="10" t="n">
        <x:f>INDEX(v01_GroupCap,G1202)*v01_CohesionFactor*EXP(v01_CapsByProject*SUMPRODUCT((Cap_Point&lt;=I1202)*(Cap_Kind="Group")*Cap_Ln))</x:f>
        <x:v>1000000</x:v>
      </x:c>
      <x:c r="N1202" s="32" t="n">
        <x:f>MIN(J1202,L1202,M1202)</x:f>
        <x:v>1000</x:v>
      </x:c>
      <x:c r="O1202" s="10" t="n">
        <x:f>AE1201*N1202</x:f>
        <x:v>16000</x:v>
      </x:c>
      <x:c r="P1202" s="9" t="n">
        <x:f>MIN(1,(AB1201/(AE1201*IF(v01_GroupInCrowding=1,N1202,MIN(J1202,L1202))))^v01_CrowdingExp)</x:f>
        <x:v>0.12868521750870177</x:v>
      </x:c>
      <x:c r="Q1202" s="9" t="n">
        <x:f>IF(D1202=1,INDEX(v01_WinterMult,G1202),1)</x:f>
        <x:v>1</x:v>
      </x:c>
      <x:c r="R1202" s="9" t="n">
        <x:f>H1202*Z1201*v01_WomenShare*v01_BaseFertility*INDEX(v01_FertMult,G1202)*Arch_Fertility*(1-P1202)</x:f>
        <x:v>132.97322912683313</x:v>
      </x:c>
      <x:c r="S1202" s="9" t="n">
        <x:f>H1202*Y1201*INDEX(v01_MortChild,G1202)/4*Q1202</x:f>
        <x:v>25.73652247632241</x:v>
      </x:c>
      <x:c r="T1202" s="9" t="n">
        <x:f>H1202*Z1201*INDEX(v01_MortAdult,G1202)*Arch_AdultMort/4*Q1202</x:f>
        <x:v>10.900868418204132</x:v>
      </x:c>
      <x:c r="U1202" s="9" t="n">
        <x:f>H1202*AA1201*INDEX(v01_MortElder,G1202)/4*Q1202</x:f>
        <x:v>25.36092398646402</x:v>
      </x:c>
      <x:c r="V1202" s="9" t="n">
        <x:f>H1202*MAX(0,AB1201-O1202)*v01_OvercapLoss</x:f>
        <x:v>0</x:v>
      </x:c>
      <x:c r="W1202" s="9" t="n">
        <x:f>H1202*Y1201/(v01_ChildYears*4)</x:f>
        <x:v>83.5601379101377</x:v>
      </x:c>
      <x:c r="X1202" s="9" t="n">
        <x:f>H1202*Z1201/(v01_AdultYears*4)</x:f>
        <x:v>39.071212968473596</x:v>
      </x:c>
      <x:c r="Y1202" s="32" t="n">
        <x:f>Y1201+R1202-S1202-W1202-Y1201*V1202/AB1201</x:f>
        <x:v>4703.044291708084</x:v>
      </x:c>
      <x:c r="Z1202" s="32" t="n">
        <x:f>Z1201+W1202-X1202-T1202-Z1201*V1202/AB1201</x:f>
        <x:v>4878.418464614186</x:v>
      </x:c>
      <x:c r="AA1202" s="32" t="n">
        <x:f>AA1201+X1202-U1202-AA1201*V1202/AB1201</x:f>
        <x:v>1858.141124361211</x:v>
      </x:c>
      <x:c r="AB1202" s="10" t="n">
        <x:f>Y1202+Z1202+AA1202</x:f>
        <x:v>11439.60388068348</x:v>
      </x:c>
      <x:c r="AC1202" s="8" t="n">
        <x:f>IF(AND(v01_WinterTrigger=1,D1202=1,AB1201/AE1201&gt;=K1202),1,0)</x:f>
        <x:v>0</x:v>
      </x:c>
      <x:c r="AD1202" s="8" t="n">
        <x:f>H1202*IF(AND(OR(AB1201/AE1201&gt;=v01_FissionTrigger*N1202,AC1202=1),AB1201/AE1201*v01_DaughterShare&gt;=v01_MinDaughter),MAX(1,ROUND(AE1201*v01_FissionRate,0)),0)</x:f>
        <x:v>0</x:v>
      </x:c>
      <x:c r="AE1202" s="8" t="n">
        <x:f>IF(H1202=1,MAX(1,MIN(INDEX(v01_Smax,G1202),AE1201+AD1202)),AE1201)</x:f>
        <x:v>16</x:v>
      </x:c>
      <x:c r="AF1202" s="8" t="n">
        <x:f>MAX(0,AE1202-AE1201)</x:f>
        <x:v>0</x:v>
      </x:c>
      <x:c r="AG1202" s="9" t="str">
        <x:f>IF(AF1202&gt;0,B1202,"")</x:f>
      </x:c>
      <x:c r="AH1202" s="9" t="n">
        <x:f>IF(F1202&gt;=1,1,(1+v01_LowTiesShare*(AE1202-1))/AE1202)</x:f>
        <x:v>1</x:v>
      </x:c>
      <x:c r="AI1202" s="32" t="n">
        <x:f>(Z1202+v01_ElderCommons*INDEX(LM_Elder,G1202)*AA1202)*AH1202</x:f>
        <x:v>11846.447680968728</x:v>
      </x:c>
      <x:c r="AJ1202" s="32" t="n">
        <x:f>H1202*v01_CommonsCoef*AI1202^v01_CommonsExp*INDEX(LM_Commons,G1202)</x:f>
        <x:v>2532.629245742156</x:v>
      </x:c>
      <x:c r="AK1202" s="32" t="n">
        <x:f>H1202*v01_RoleScale*Arch_Roles*(AE1202*(INDEX(v01_ElderRolePerSett,G1202)*v01_OutElder*INDEX(LM_Elder,G1202)+INDEX(v01_ShamanPerSett,G1202)*v01_OutShaman)+Z1202*(INDEX(v01_PriestShare,G1202)*v01_OutPriest+INDEX(v01_ScribeShare,G1202)*v01_OutScribe*INDEX(LM_Scribe,G1202)+INDEX(v01_ScholarShare,G1202)*v01_OutScholar*INDEX(LM_Scholar,G1202)+INDEX(v01_ResearcherShare,G1202)*v01_OutResearcher*INDEX(LM_Researcher,G1202)))</x:f>
        <x:v>669.1685683878487</x:v>
      </x:c>
      <x:c r="AL1202" s="32" t="n">
        <x:f>H1202*v01_RoleScale*Arch_Roles*AE1202*INDEX(v01_MonasteryPerSett,G1202)*v01_OutMonastery*INDEX(LM_Monastery,G1202)</x:f>
        <x:v>10.56</x:v>
      </x:c>
      <x:c r="AM1202" s="32" t="n">
        <x:f>(AJ1202+AK1202+AL1202)/4*INDEX(LM_All,G1202)*INDEX(v01_Boon,G1202)*Arch_Insight</x:f>
        <x:v>1467.947162200708</x:v>
      </x:c>
      <x:c r="AN1202" s="32" t="n">
        <x:f>H1202*(v01_KHPerAdult*Z1202+v01_KHOfCommons*AJ1202/4*INDEX(LM_All,G1202))*v01_KHUsable*Arch_KH</x:f>
        <x:v>170.74464626149648</x:v>
      </x:c>
      <x:c r="AO1202" s="32" t="n">
        <x:f>MIN(AP1201+AN1202,AM1202*v01_KHMaxRatio)</x:f>
        <x:v>170.74464626149648</x:v>
      </x:c>
      <x:c r="AP1202" s="32" t="n">
        <x:f>AP1201+AN1202-AO1202</x:f>
        <x:v>0</x:v>
      </x:c>
      <x:c r="AQ1202" s="32" t="n">
        <x:f>AM1202+AO1202</x:f>
        <x:v>1638.6918084622043</x:v>
      </x:c>
      <x:c r="AR1202" s="10" t="n">
        <x:f>IF(H1202=1,INDEX(v01_Req,G1202),0)</x:f>
        <x:v>113395.942036</x:v>
      </x:c>
      <x:c r="AS1202" s="32" t="n">
        <x:f>IF(H1202=1,IF(E1202=1,AS1201-AR1201,AS1201)+AQ1202,0)</x:f>
        <x:v>104297.79407472287</x:v>
      </x:c>
      <x:c r="AT1202" s="11" t="n">
        <x:f>IF(AR1202&gt;0,MIN(1,AS1202/AR1202),1)</x:f>
        <x:v>0.9197665472156956</x:v>
      </x:c>
      <x:c r="AU1202" s="10" t="n">
        <x:f>AB1202/INDEX(v01_RepScale,G1202)</x:f>
        <x:v>228.79207761366962</x:v>
      </x:c>
      <x:c r="AV1202" s="32" t="n">
        <x:f>AM1202*60/v01_SeasonSeconds</x:f>
        <x:v>5871.788648802832</x:v>
      </x:c>
    </x:row>
    <x:row r="1203">
      <x:c r="A1203" s="8" t="n">
        <x:f>A1202+1</x:f>
        <x:v>1200</x:v>
      </x:c>
      <x:c r="B1203" s="9" t="n">
        <x:f>A1203*v01_SeasonSeconds/60</x:f>
        <x:v>300</x:v>
      </x:c>
      <x:c r="C1203" s="9" t="n">
        <x:f>A1203/4</x:f>
        <x:v>300</x:v>
      </x:c>
      <x:c r="D1203" s="8" t="n">
        <x:f>IF(MOD(A1203,4)=0,1,0)</x:f>
        <x:v>1</x:v>
      </x:c>
      <x:c r="E1203" s="8" t="n">
        <x:f>IF(AND(F1202&lt;=9,AS1202&gt;=AR1202),1,0)</x:f>
        <x:v>0</x:v>
      </x:c>
      <x:c r="F1203" s="8" t="n">
        <x:f>MIN(10,F1202+E1203)</x:f>
        <x:v>6</x:v>
      </x:c>
      <x:c r="G1203" s="8" t="n">
        <x:f>MIN(F1203,9)+1</x:f>
        <x:v>7</x:v>
      </x:c>
      <x:c r="H1203" s="8" t="n">
        <x:f>IF(F1203&lt;=9,1,0)</x:f>
        <x:v>1</x:v>
      </x:c>
      <x:c r="I1203" s="9" t="n">
        <x:f>MIN(10,F1202+IF(AR1202&gt;0,MIN(1,AS1202/AR1202),1))</x:f>
        <x:v>6.919766547215696</x:v>
      </x:c>
      <x:c r="J1203" s="32" t="n">
        <x:f>INDEX(v01_FoodCap,G1203)*Arch_FoodCap*EXP(v01_CapsByProject*SUMPRODUCT((Cap_Point&lt;=I1203)*(Cap_Kind="Food")*Cap_Ln))</x:f>
        <x:v>1000</x:v>
      </x:c>
      <x:c r="K1203" s="32" t="n">
        <x:f>J1203*MIN(1,v01_LeanBase*EXP(v01_CapsByProject*SUMPRODUCT((Cap_Point&lt;=I1203)*(Cap_Kind="Lean")*Cap_Ln)))</x:f>
        <x:v>1000</x:v>
      </x:c>
      <x:c r="L1203" s="10" t="n">
        <x:f>INDEX(v01_HousingCap,G1203)*EXP(v01_CapsByProject*SUMPRODUCT((Cap_Point&lt;=I1203)*(Cap_Kind="Housing")*Cap_Ln))</x:f>
        <x:v>1600</x:v>
      </x:c>
      <x:c r="M1203" s="10" t="n">
        <x:f>INDEX(v01_GroupCap,G1203)*v01_CohesionFactor*EXP(v01_CapsByProject*SUMPRODUCT((Cap_Point&lt;=I1203)*(Cap_Kind="Group")*Cap_Ln))</x:f>
        <x:v>1000000</x:v>
      </x:c>
      <x:c r="N1203" s="32" t="n">
        <x:f>MIN(J1203,L1203,M1203)</x:f>
        <x:v>1000</x:v>
      </x:c>
      <x:c r="O1203" s="10" t="n">
        <x:f>AE1202*N1203</x:f>
        <x:v>16000</x:v>
      </x:c>
      <x:c r="P1203" s="9" t="n">
        <x:f>MIN(1,(AB1202/(AE1202*IF(v01_GroupInCrowding=1,N1203,MIN(J1203,L1203))))^v01_CrowdingExp)</x:f>
        <x:v>0.1335814097403167</x:v>
      </x:c>
      <x:c r="Q1203" s="9" t="n">
        <x:f>IF(D1203=1,INDEX(v01_WinterMult,G1203),1)</x:f>
        <x:v>1</x:v>
      </x:c>
      <x:c r="R1203" s="9" t="n">
        <x:f>H1203*Z1202*v01_WomenShare*v01_BaseFertility*INDEX(v01_FertMult,G1203)*Arch_Fertility*(1-P1203)</x:f>
        <x:v>133.14270213744666</x:v>
      </x:c>
      <x:c r="S1203" s="9" t="n">
        <x:f>H1203*Y1202*INDEX(v01_MortChild,G1203)/4*Q1203</x:f>
        <x:v>25.866743604394458</x:v>
      </x:c>
      <x:c r="T1203" s="9" t="n">
        <x:f>H1203*Z1202*INDEX(v01_MortAdult,G1203)*Arch_AdultMort/4*Q1203</x:f>
        <x:v>10.976441545381917</x:v>
      </x:c>
      <x:c r="U1203" s="9" t="n">
        <x:f>H1203*AA1202*INDEX(v01_MortElder,G1203)/4*Q1203</x:f>
        <x:v>25.54944045996665</x:v>
      </x:c>
      <x:c r="V1203" s="9" t="n">
        <x:f>H1203*MAX(0,AB1202-O1203)*v01_OvercapLoss</x:f>
        <x:v>0</x:v>
      </x:c>
      <x:c r="W1203" s="9" t="n">
        <x:f>H1203*Y1202/(v01_ChildYears*4)</x:f>
        <x:v>83.9829337805015</x:v>
      </x:c>
      <x:c r="X1203" s="9" t="n">
        <x:f>H1203*Z1202/(v01_AdultYears*4)</x:f>
        <x:v>39.342084392049884</x:v>
      </x:c>
      <x:c r="Y1203" s="32" t="n">
        <x:f>Y1202+R1203-S1203-W1203-Y1202*V1203/AB1202</x:f>
        <x:v>4726.337316460635</x:v>
      </x:c>
      <x:c r="Z1203" s="32" t="n">
        <x:f>Z1202+W1203-X1203-T1203-Z1202*V1203/AB1202</x:f>
        <x:v>4912.082872457255</x:v>
      </x:c>
      <x:c r="AA1203" s="32" t="n">
        <x:f>AA1202+X1203-U1203-AA1202*V1203/AB1202</x:f>
        <x:v>1871.9337682932942</x:v>
      </x:c>
      <x:c r="AB1203" s="10" t="n">
        <x:f>Y1203+Z1203+AA1203</x:f>
        <x:v>11510.353957211184</x:v>
      </x:c>
      <x:c r="AC1203" s="8" t="n">
        <x:f>IF(AND(v01_WinterTrigger=1,D1203=1,AB1202/AE1202&gt;=K1203),1,0)</x:f>
        <x:v>0</x:v>
      </x:c>
      <x:c r="AD1203" s="8" t="n">
        <x:f>H1203*IF(AND(OR(AB1202/AE1202&gt;=v01_FissionTrigger*N1203,AC1203=1),AB1202/AE1202*v01_DaughterShare&gt;=v01_MinDaughter),MAX(1,ROUND(AE1202*v01_FissionRate,0)),0)</x:f>
        <x:v>0</x:v>
      </x:c>
      <x:c r="AE1203" s="8" t="n">
        <x:f>IF(H1203=1,MAX(1,MIN(INDEX(v01_Smax,G1203),AE1202+AD1203)),AE1202)</x:f>
        <x:v>16</x:v>
      </x:c>
      <x:c r="AF1203" s="8" t="n">
        <x:f>MAX(0,AE1203-AE1202)</x:f>
        <x:v>0</x:v>
      </x:c>
      <x:c r="AG1203" s="9" t="str">
        <x:f>IF(AF1203&gt;0,B1203,"")</x:f>
      </x:c>
      <x:c r="AH1203" s="9" t="n">
        <x:f>IF(F1203&gt;=1,1,(1+v01_LowTiesShare*(AE1203-1))/AE1203)</x:f>
        <x:v>1</x:v>
      </x:c>
      <x:c r="AI1203" s="32" t="n">
        <x:f>(Z1203+v01_ElderCommons*INDEX(LM_Elder,G1203)*AA1203)*AH1203</x:f>
        <x:v>11931.834503557107</x:v>
      </x:c>
      <x:c r="AJ1203" s="32" t="n">
        <x:f>H1203*v01_CommonsCoef*AI1203^v01_CommonsExp*INDEX(LM_Commons,G1203)</x:f>
        <x:v>2548.137362621167</x:v>
      </x:c>
      <x:c r="AK1203" s="32" t="n">
        <x:f>H1203*v01_RoleScale*Arch_Roles*(AE1203*(INDEX(v01_ElderRolePerSett,G1203)*v01_OutElder*INDEX(LM_Elder,G1203)+INDEX(v01_ShamanPerSett,G1203)*v01_OutShaman)+Z1203*(INDEX(v01_PriestShare,G1203)*v01_OutPriest+INDEX(v01_ScribeShare,G1203)*v01_OutScribe*INDEX(LM_Scribe,G1203)+INDEX(v01_ScholarShare,G1203)*v01_OutScholar*INDEX(LM_Scholar,G1203)+INDEX(v01_ResearcherShare,G1203)*v01_OutResearcher*INDEX(LM_Researcher,G1203)))</x:f>
        <x:v>673.4136502168598</x:v>
      </x:c>
      <x:c r="AL1203" s="32" t="n">
        <x:f>H1203*v01_RoleScale*Arch_Roles*AE1203*INDEX(v01_MonasteryPerSett,G1203)*v01_OutMonastery*INDEX(LM_Monastery,G1203)</x:f>
        <x:v>10.56</x:v>
      </x:c>
      <x:c r="AM1203" s="32" t="n">
        <x:f>(AJ1203+AK1203+AL1203)/4*INDEX(LM_All,G1203)*INDEX(v01_Boon,G1203)*Arch_Insight</x:f>
        <x:v>1476.9737568908392</x:v>
      </x:c>
      <x:c r="AN1203" s="32" t="n">
        <x:f>H1203*(v01_KHPerAdult*Z1203+v01_KHOfCommons*AJ1203/4*INDEX(LM_All,G1203))*v01_KHUsable*Arch_KH</x:f>
        <x:v>171.9229005360039</x:v>
      </x:c>
      <x:c r="AO1203" s="32" t="n">
        <x:f>MIN(AP1202+AN1203,AM1203*v01_KHMaxRatio)</x:f>
        <x:v>171.9229005360039</x:v>
      </x:c>
      <x:c r="AP1203" s="32" t="n">
        <x:f>AP1202+AN1203-AO1203</x:f>
        <x:v>0</x:v>
      </x:c>
      <x:c r="AQ1203" s="32" t="n">
        <x:f>AM1203+AO1203</x:f>
        <x:v>1648.8966574268431</x:v>
      </x:c>
      <x:c r="AR1203" s="10" t="n">
        <x:f>IF(H1203=1,INDEX(v01_Req,G1203),0)</x:f>
        <x:v>113395.942036</x:v>
      </x:c>
      <x:c r="AS1203" s="32" t="n">
        <x:f>IF(H1203=1,IF(E1203=1,AS1202-AR1202,AS1202)+AQ1203,0)</x:f>
        <x:v>105946.69073214971</x:v>
      </x:c>
      <x:c r="AT1203" s="11" t="n">
        <x:f>IF(AR1203&gt;0,MIN(1,AS1203/AR1203),1)</x:f>
        <x:v>0.9343076024582488</x:v>
      </x:c>
      <x:c r="AU1203" s="10" t="n">
        <x:f>AB1203/INDEX(v01_RepScale,G1203)</x:f>
        <x:v>230.20707914422368</x:v>
      </x:c>
      <x:c r="AV1203" s="32" t="n">
        <x:f>AM1203*60/v01_SeasonSeconds</x:f>
        <x:v>5907.895027563357</x:v>
      </x:c>
    </x:row>
    <x:row r="1204">
      <x:c r="A1204" s="8" t="n">
        <x:f>A1203+1</x:f>
        <x:v>1201</x:v>
      </x:c>
      <x:c r="B1204" s="9" t="n">
        <x:f>A1204*v01_SeasonSeconds/60</x:f>
        <x:v>300.25</x:v>
      </x:c>
      <x:c r="C1204" s="9" t="n">
        <x:f>A1204/4</x:f>
        <x:v>300.25</x:v>
      </x:c>
      <x:c r="D1204" s="8" t="n">
        <x:f>IF(MOD(A1204,4)=0,1,0)</x:f>
        <x:v>0</x:v>
      </x:c>
      <x:c r="E1204" s="8" t="n">
        <x:f>IF(AND(F1203&lt;=9,AS1203&gt;=AR1203),1,0)</x:f>
        <x:v>0</x:v>
      </x:c>
      <x:c r="F1204" s="8" t="n">
        <x:f>MIN(10,F1203+E1204)</x:f>
        <x:v>6</x:v>
      </x:c>
      <x:c r="G1204" s="8" t="n">
        <x:f>MIN(F1204,9)+1</x:f>
        <x:v>7</x:v>
      </x:c>
      <x:c r="H1204" s="8" t="n">
        <x:f>IF(F1204&lt;=9,1,0)</x:f>
        <x:v>1</x:v>
      </x:c>
      <x:c r="I1204" s="9" t="n">
        <x:f>MIN(10,F1203+IF(AR1203&gt;0,MIN(1,AS1203/AR1203),1))</x:f>
        <x:v>6.934307602458249</x:v>
      </x:c>
      <x:c r="J1204" s="32" t="n">
        <x:f>INDEX(v01_FoodCap,G1204)*Arch_FoodCap*EXP(v01_CapsByProject*SUMPRODUCT((Cap_Point&lt;=I1204)*(Cap_Kind="Food")*Cap_Ln))</x:f>
        <x:v>1000</x:v>
      </x:c>
      <x:c r="K1204" s="32" t="n">
        <x:f>J1204*MIN(1,v01_LeanBase*EXP(v01_CapsByProject*SUMPRODUCT((Cap_Point&lt;=I1204)*(Cap_Kind="Lean")*Cap_Ln)))</x:f>
        <x:v>1000</x:v>
      </x:c>
      <x:c r="L1204" s="10" t="n">
        <x:f>INDEX(v01_HousingCap,G1204)*EXP(v01_CapsByProject*SUMPRODUCT((Cap_Point&lt;=I1204)*(Cap_Kind="Housing")*Cap_Ln))</x:f>
        <x:v>1600</x:v>
      </x:c>
      <x:c r="M1204" s="10" t="n">
        <x:f>INDEX(v01_GroupCap,G1204)*v01_CohesionFactor*EXP(v01_CapsByProject*SUMPRODUCT((Cap_Point&lt;=I1204)*(Cap_Kind="Group")*Cap_Ln))</x:f>
        <x:v>1000000</x:v>
      </x:c>
      <x:c r="N1204" s="32" t="n">
        <x:f>MIN(J1204,L1204,M1204)</x:f>
        <x:v>1000</x:v>
      </x:c>
      <x:c r="O1204" s="10" t="n">
        <x:f>AE1203*N1204</x:f>
        <x:v>16000</x:v>
      </x:c>
      <x:c r="P1204" s="9" t="n">
        <x:f>MIN(1,(AB1203/(AE1203*IF(v01_GroupInCrowding=1,N1204,MIN(J1204,L1204))))^v01_CrowdingExp)</x:f>
        <x:v>0.13861562182587955</x:v>
      </x:c>
      <x:c r="Q1204" s="9" t="n">
        <x:f>IF(D1204=1,INDEX(v01_WinterMult,G1204),1)</x:f>
        <x:v>1</x:v>
      </x:c>
      <x:c r="R1204" s="9" t="n">
        <x:f>H1204*Z1203*v01_WomenShare*v01_BaseFertility*INDEX(v01_FertMult,G1204)*Arch_Fertility*(1-P1204)</x:f>
        <x:v>133.28253069488719</x:v>
      </x:c>
      <x:c r="S1204" s="9" t="n">
        <x:f>H1204*Y1203*INDEX(v01_MortChild,G1204)/4*Q1204</x:f>
        <x:v>25.99485524053349</x:v>
      </x:c>
      <x:c r="T1204" s="9" t="n">
        <x:f>H1204*Z1203*INDEX(v01_MortAdult,G1204)*Arch_AdultMort/4*Q1204</x:f>
        <x:v>11.052186463028823</x:v>
      </x:c>
      <x:c r="U1204" s="9" t="n">
        <x:f>H1204*AA1203*INDEX(v01_MortElder,G1204)/4*Q1204</x:f>
        <x:v>25.739089314032796</x:v>
      </x:c>
      <x:c r="V1204" s="9" t="n">
        <x:f>H1204*MAX(0,AB1203-O1204)*v01_OvercapLoss</x:f>
        <x:v>0</x:v>
      </x:c>
      <x:c r="W1204" s="9" t="n">
        <x:f>H1204*Y1203/(v01_ChildYears*4)</x:f>
        <x:v>84.39888065108276</x:v>
      </x:c>
      <x:c r="X1204" s="9" t="n">
        <x:f>H1204*Z1203/(v01_AdultYears*4)</x:f>
        <x:v>39.61357155207464</x:v>
      </x:c>
      <x:c r="Y1204" s="32" t="n">
        <x:f>Y1203+R1204-S1204-W1204-Y1203*V1204/AB1203</x:f>
        <x:v>4749.226111263906</x:v>
      </x:c>
      <x:c r="Z1204" s="32" t="n">
        <x:f>Z1203+W1204-X1204-T1204-Z1203*V1204/AB1203</x:f>
        <x:v>4945.815995093233</x:v>
      </x:c>
      <x:c r="AA1204" s="32" t="n">
        <x:f>AA1203+X1204-U1204-AA1203*V1204/AB1203</x:f>
        <x:v>1885.8082505313362</x:v>
      </x:c>
      <x:c r="AB1204" s="10" t="n">
        <x:f>Y1204+Z1204+AA1204</x:f>
        <x:v>11580.850356888475</x:v>
      </x:c>
      <x:c r="AC1204" s="8" t="n">
        <x:f>IF(AND(v01_WinterTrigger=1,D1204=1,AB1203/AE1203&gt;=K1204),1,0)</x:f>
        <x:v>0</x:v>
      </x:c>
      <x:c r="AD1204" s="8" t="n">
        <x:f>H1204*IF(AND(OR(AB1203/AE1203&gt;=v01_FissionTrigger*N1204,AC1204=1),AB1203/AE1203*v01_DaughterShare&gt;=v01_MinDaughter),MAX(1,ROUND(AE1203*v01_FissionRate,0)),0)</x:f>
        <x:v>0</x:v>
      </x:c>
      <x:c r="AE1204" s="8" t="n">
        <x:f>IF(H1204=1,MAX(1,MIN(INDEX(v01_Smax,G1204),AE1203+AD1204)),AE1203)</x:f>
        <x:v>16</x:v>
      </x:c>
      <x:c r="AF1204" s="8" t="n">
        <x:f>MAX(0,AE1204-AE1203)</x:f>
        <x:v>0</x:v>
      </x:c>
      <x:c r="AG1204" s="9" t="str">
        <x:f>IF(AF1204&gt;0,B1204,"")</x:f>
      </x:c>
      <x:c r="AH1204" s="9" t="n">
        <x:f>IF(F1204&gt;=1,1,(1+v01_LowTiesShare*(AE1204-1))/AE1204)</x:f>
        <x:v>1</x:v>
      </x:c>
      <x:c r="AI1204" s="32" t="n">
        <x:f>(Z1204+v01_ElderCommons*INDEX(LM_Elder,G1204)*AA1204)*AH1204</x:f>
        <x:v>12017.596934585745</x:v>
      </x:c>
      <x:c r="AJ1204" s="32" t="n">
        <x:f>H1204*v01_CommonsCoef*AI1204^v01_CommonsExp*INDEX(LM_Commons,G1204)</x:f>
        <x:v>2563.696950330826</x:v>
      </x:c>
      <x:c r="AK1204" s="32" t="n">
        <x:f>H1204*v01_RoleScale*Arch_Roles*(AE1204*(INDEX(v01_ElderRolePerSett,G1204)*v01_OutElder*INDEX(LM_Elder,G1204)+INDEX(v01_ShamanPerSett,G1204)*v01_OutShaman)+Z1204*(INDEX(v01_PriestShare,G1204)*v01_OutPriest+INDEX(v01_ScribeShare,G1204)*v01_OutScribe*INDEX(LM_Scribe,G1204)+INDEX(v01_ScholarShare,G1204)*v01_OutScholar*INDEX(LM_Scholar,G1204)+INDEX(v01_ResearcherShare,G1204)*v01_OutResearcher*INDEX(LM_Researcher,G1204)))</x:f>
        <x:v>677.6673969812566</x:v>
      </x:c>
      <x:c r="AL1204" s="32" t="n">
        <x:f>H1204*v01_RoleScale*Arch_Roles*AE1204*INDEX(v01_MonasteryPerSett,G1204)*v01_OutMonastery*INDEX(LM_Monastery,G1204)</x:f>
        <x:v>10.56</x:v>
      </x:c>
      <x:c r="AM1204" s="32" t="n">
        <x:f>(AJ1204+AK1204+AL1204)/4*INDEX(LM_All,G1204)*INDEX(v01_Boon,G1204)*Arch_Insight</x:f>
        <x:v>1486.027831747317</x:v>
      </x:c>
      <x:c r="AN1204" s="32" t="n">
        <x:f>H1204*(v01_KHPerAdult*Z1204+v01_KHOfCommons*AJ1204/4*INDEX(LM_All,G1204))*v01_KHUsable*Arch_KH</x:f>
        <x:v>173.10355982826314</x:v>
      </x:c>
      <x:c r="AO1204" s="32" t="n">
        <x:f>MIN(AP1203+AN1204,AM1204*v01_KHMaxRatio)</x:f>
        <x:v>173.10355982826314</x:v>
      </x:c>
      <x:c r="AP1204" s="32" t="n">
        <x:f>AP1203+AN1204-AO1204</x:f>
        <x:v>0</x:v>
      </x:c>
      <x:c r="AQ1204" s="32" t="n">
        <x:f>AM1204+AO1204</x:f>
        <x:v>1659.13139157558</x:v>
      </x:c>
      <x:c r="AR1204" s="10" t="n">
        <x:f>IF(H1204=1,INDEX(v01_Req,G1204),0)</x:f>
        <x:v>113395.942036</x:v>
      </x:c>
      <x:c r="AS1204" s="32" t="n">
        <x:f>IF(H1204=1,IF(E1204=1,AS1203-AR1203,AS1203)+AQ1204,0)</x:f>
        <x:v>107605.82212372529</x:v>
      </x:c>
      <x:c r="AT1204" s="11" t="n">
        <x:f>IF(AR1204&gt;0,MIN(1,AS1204/AR1204),1)</x:f>
        <x:v>0.9489389143181464</x:v>
      </x:c>
      <x:c r="AU1204" s="10" t="n">
        <x:f>AB1204/INDEX(v01_RepScale,G1204)</x:f>
        <x:v>231.61700713776952</x:v>
      </x:c>
      <x:c r="AV1204" s="32" t="n">
        <x:f>AM1204*60/v01_SeasonSeconds</x:f>
        <x:v>5944.111326989268</x:v>
      </x:c>
    </x:row>
    <x:row r="1205">
      <x:c r="A1205" s="8" t="n">
        <x:f>A1204+1</x:f>
        <x:v>1202</x:v>
      </x:c>
      <x:c r="B1205" s="9" t="n">
        <x:f>A1205*v01_SeasonSeconds/60</x:f>
        <x:v>300.5</x:v>
      </x:c>
      <x:c r="C1205" s="9" t="n">
        <x:f>A1205/4</x:f>
        <x:v>300.5</x:v>
      </x:c>
      <x:c r="D1205" s="8" t="n">
        <x:f>IF(MOD(A1205,4)=0,1,0)</x:f>
        <x:v>0</x:v>
      </x:c>
      <x:c r="E1205" s="8" t="n">
        <x:f>IF(AND(F1204&lt;=9,AS1204&gt;=AR1204),1,0)</x:f>
        <x:v>0</x:v>
      </x:c>
      <x:c r="F1205" s="8" t="n">
        <x:f>MIN(10,F1204+E1205)</x:f>
        <x:v>6</x:v>
      </x:c>
      <x:c r="G1205" s="8" t="n">
        <x:f>MIN(F1205,9)+1</x:f>
        <x:v>7</x:v>
      </x:c>
      <x:c r="H1205" s="8" t="n">
        <x:f>IF(F1205&lt;=9,1,0)</x:f>
        <x:v>1</x:v>
      </x:c>
      <x:c r="I1205" s="9" t="n">
        <x:f>MIN(10,F1204+IF(AR1204&gt;0,MIN(1,AS1204/AR1204),1))</x:f>
        <x:v>6.948938914318147</x:v>
      </x:c>
      <x:c r="J1205" s="32" t="n">
        <x:f>INDEX(v01_FoodCap,G1205)*Arch_FoodCap*EXP(v01_CapsByProject*SUMPRODUCT((Cap_Point&lt;=I1205)*(Cap_Kind="Food")*Cap_Ln))</x:f>
        <x:v>1000</x:v>
      </x:c>
      <x:c r="K1205" s="32" t="n">
        <x:f>J1205*MIN(1,v01_LeanBase*EXP(v01_CapsByProject*SUMPRODUCT((Cap_Point&lt;=I1205)*(Cap_Kind="Lean")*Cap_Ln)))</x:f>
        <x:v>1000</x:v>
      </x:c>
      <x:c r="L1205" s="10" t="n">
        <x:f>INDEX(v01_HousingCap,G1205)*EXP(v01_CapsByProject*SUMPRODUCT((Cap_Point&lt;=I1205)*(Cap_Kind="Housing")*Cap_Ln))</x:f>
        <x:v>1600</x:v>
      </x:c>
      <x:c r="M1205" s="10" t="n">
        <x:f>INDEX(v01_GroupCap,G1205)*v01_CohesionFactor*EXP(v01_CapsByProject*SUMPRODUCT((Cap_Point&lt;=I1205)*(Cap_Kind="Group")*Cap_Ln))</x:f>
        <x:v>1000000</x:v>
      </x:c>
      <x:c r="N1205" s="32" t="n">
        <x:f>MIN(J1205,L1205,M1205)</x:f>
        <x:v>1000</x:v>
      </x:c>
      <x:c r="O1205" s="10" t="n">
        <x:f>AE1204*N1205</x:f>
        <x:v>16000</x:v>
      </x:c>
      <x:c r="P1205" s="9" t="n">
        <x:f>MIN(1,(AB1204/(AE1204*IF(v01_GroupInCrowding=1,N1205,MIN(J1205,L1205))))^v01_CrowdingExp)</x:f>
        <x:v>0.14378805307076298</x:v>
      </x:c>
      <x:c r="Q1205" s="9" t="n">
        <x:f>IF(D1205=1,INDEX(v01_WinterMult,G1205),1)</x:f>
        <x:v>1</x:v>
      </x:c>
      <x:c r="R1205" s="9" t="n">
        <x:f>H1205*Z1204*v01_WomenShare*v01_BaseFertility*INDEX(v01_FertMult,G1205)*Arch_Fertility*(1-P1205)</x:f>
        <x:v>133.39200238284496</x:v>
      </x:c>
      <x:c r="S1205" s="9" t="n">
        <x:f>H1205*Y1204*INDEX(v01_MortChild,G1205)/4*Q1205</x:f>
        <x:v>26.120743611951482</x:v>
      </x:c>
      <x:c r="T1205" s="9" t="n">
        <x:f>H1205*Z1204*INDEX(v01_MortAdult,G1205)*Arch_AdultMort/4*Q1205</x:f>
        <x:v>11.128085988959773</x:v>
      </x:c>
      <x:c r="U1205" s="9" t="n">
        <x:f>H1205*AA1204*INDEX(v01_MortElder,G1205)/4*Q1205</x:f>
        <x:v>25.92986344480587</x:v>
      </x:c>
      <x:c r="V1205" s="9" t="n">
        <x:f>H1205*MAX(0,AB1204-O1205)*v01_OvercapLoss</x:f>
        <x:v>0</x:v>
      </x:c>
      <x:c r="W1205" s="9" t="n">
        <x:f>H1205*Y1204/(v01_ChildYears*4)</x:f>
        <x:v>84.80760912971262</x:v>
      </x:c>
      <x:c r="X1205" s="9" t="n">
        <x:f>H1205*Z1204/(v01_AdultYears*4)</x:f>
        <x:v>39.885612863655105</x:v>
      </x:c>
      <x:c r="Y1205" s="32" t="n">
        <x:f>Y1204+R1205-S1205-W1205-Y1204*V1205/AB1204</x:f>
        <x:v>4771.6897609050875</x:v>
      </x:c>
      <x:c r="Z1205" s="32" t="n">
        <x:f>Z1204+W1205-X1205-T1205-Z1204*V1205/AB1204</x:f>
        <x:v>4979.609905370331</x:v>
      </x:c>
      <x:c r="AA1205" s="32" t="n">
        <x:f>AA1204+X1205-U1205-AA1204*V1205/AB1204</x:f>
        <x:v>1899.7639999501853</x:v>
      </x:c>
      <x:c r="AB1205" s="10" t="n">
        <x:f>Y1205+Z1205+AA1205</x:f>
        <x:v>11651.063666225604</x:v>
      </x:c>
      <x:c r="AC1205" s="8" t="n">
        <x:f>IF(AND(v01_WinterTrigger=1,D1205=1,AB1204/AE1204&gt;=K1205),1,0)</x:f>
        <x:v>0</x:v>
      </x:c>
      <x:c r="AD1205" s="8" t="n">
        <x:f>H1205*IF(AND(OR(AB1204/AE1204&gt;=v01_FissionTrigger*N1205,AC1205=1),AB1204/AE1204*v01_DaughterShare&gt;=v01_MinDaughter),MAX(1,ROUND(AE1204*v01_FissionRate,0)),0)</x:f>
        <x:v>0</x:v>
      </x:c>
      <x:c r="AE1205" s="8" t="n">
        <x:f>IF(H1205=1,MAX(1,MIN(INDEX(v01_Smax,G1205),AE1204+AD1205)),AE1204)</x:f>
        <x:v>16</x:v>
      </x:c>
      <x:c r="AF1205" s="8" t="n">
        <x:f>MAX(0,AE1205-AE1204)</x:f>
        <x:v>0</x:v>
      </x:c>
      <x:c r="AG1205" s="9" t="str">
        <x:f>IF(AF1205&gt;0,B1205,"")</x:f>
      </x:c>
      <x:c r="AH1205" s="9" t="n">
        <x:f>IF(F1205&gt;=1,1,(1+v01_LowTiesShare*(AE1205-1))/AE1205)</x:f>
        <x:v>1</x:v>
      </x:c>
      <x:c r="AI1205" s="32" t="n">
        <x:f>(Z1205+v01_ElderCommons*INDEX(LM_Elder,G1205)*AA1205)*AH1205</x:f>
        <x:v>12103.724905183526</x:v>
      </x:c>
      <x:c r="AJ1205" s="32" t="n">
        <x:f>H1205*v01_CommonsCoef*AI1205^v01_CommonsExp*INDEX(LM_Commons,G1205)</x:f>
        <x:v>2579.306103093368</x:v>
      </x:c>
      <x:c r="AK1205" s="32" t="n">
        <x:f>H1205*v01_RoleScale*Arch_Roles*(AE1205*(INDEX(v01_ElderRolePerSett,G1205)*v01_OutElder*INDEX(LM_Elder,G1205)+INDEX(v01_ShamanPerSett,G1205)*v01_OutShaman)+Z1205*(INDEX(v01_PriestShare,G1205)*v01_OutPriest+INDEX(v01_ScribeShare,G1205)*v01_OutScribe*INDEX(LM_Scribe,G1205)+INDEX(v01_ScholarShare,G1205)*v01_OutScholar*INDEX(LM_Scholar,G1205)+INDEX(v01_ResearcherShare,G1205)*v01_OutResearcher*INDEX(LM_Researcher,G1205)))</x:f>
        <x:v>681.9288090671987</x:v>
      </x:c>
      <x:c r="AL1205" s="32" t="n">
        <x:f>H1205*v01_RoleScale*Arch_Roles*AE1205*INDEX(v01_MonasteryPerSett,G1205)*v01_OutMonastery*INDEX(LM_Monastery,G1205)</x:f>
        <x:v>10.56</x:v>
      </x:c>
      <x:c r="AM1205" s="32" t="n">
        <x:f>(AJ1205+AK1205+AL1205)/4*INDEX(LM_All,G1205)*INDEX(v01_Boon,G1205)*Arch_Insight</x:f>
        <x:v>1495.1080590969457</x:v>
      </x:c>
      <x:c r="AN1205" s="32" t="n">
        <x:f>H1205*(v01_KHPerAdult*Z1205+v01_KHOfCommons*AJ1205/4*INDEX(LM_All,G1205))*v01_KHUsable*Arch_KH</x:f>
        <x:v>174.28634668796158</x:v>
      </x:c>
      <x:c r="AO1205" s="32" t="n">
        <x:f>MIN(AP1204+AN1205,AM1205*v01_KHMaxRatio)</x:f>
        <x:v>174.28634668796158</x:v>
      </x:c>
      <x:c r="AP1205" s="32" t="n">
        <x:f>AP1204+AN1205-AO1205</x:f>
        <x:v>0</x:v>
      </x:c>
      <x:c r="AQ1205" s="32" t="n">
        <x:f>AM1205+AO1205</x:f>
        <x:v>1669.3944057849073</x:v>
      </x:c>
      <x:c r="AR1205" s="10" t="n">
        <x:f>IF(H1205=1,INDEX(v01_Req,G1205),0)</x:f>
        <x:v>113395.942036</x:v>
      </x:c>
      <x:c r="AS1205" s="32" t="n">
        <x:f>IF(H1205=1,IF(E1205=1,AS1204-AR1204,AS1204)+AQ1205,0)</x:f>
        <x:v>109275.21652951019</x:v>
      </x:c>
      <x:c r="AT1205" s="11" t="n">
        <x:f>IF(AR1205&gt;0,MIN(1,AS1205/AR1205),1)</x:f>
        <x:v>0.9636607321875629</x:v>
      </x:c>
      <x:c r="AU1205" s="10" t="n">
        <x:f>AB1205/INDEX(v01_RepScale,G1205)</x:f>
        <x:v>233.02127332451207</x:v>
      </x:c>
      <x:c r="AV1205" s="32" t="n">
        <x:f>AM1205*60/v01_SeasonSeconds</x:f>
        <x:v>5980.432236387783</x:v>
      </x:c>
    </x:row>
    <x:row r="1206">
      <x:c r="A1206" s="8" t="n">
        <x:f>A1205+1</x:f>
        <x:v>1203</x:v>
      </x:c>
      <x:c r="B1206" s="9" t="n">
        <x:f>A1206*v01_SeasonSeconds/60</x:f>
        <x:v>300.75</x:v>
      </x:c>
      <x:c r="C1206" s="9" t="n">
        <x:f>A1206/4</x:f>
        <x:v>300.75</x:v>
      </x:c>
      <x:c r="D1206" s="8" t="n">
        <x:f>IF(MOD(A1206,4)=0,1,0)</x:f>
        <x:v>0</x:v>
      </x:c>
      <x:c r="E1206" s="8" t="n">
        <x:f>IF(AND(F1205&lt;=9,AS1205&gt;=AR1205),1,0)</x:f>
        <x:v>0</x:v>
      </x:c>
      <x:c r="F1206" s="8" t="n">
        <x:f>MIN(10,F1205+E1206)</x:f>
        <x:v>6</x:v>
      </x:c>
      <x:c r="G1206" s="8" t="n">
        <x:f>MIN(F1206,9)+1</x:f>
        <x:v>7</x:v>
      </x:c>
      <x:c r="H1206" s="8" t="n">
        <x:f>IF(F1206&lt;=9,1,0)</x:f>
        <x:v>1</x:v>
      </x:c>
      <x:c r="I1206" s="9" t="n">
        <x:f>MIN(10,F1205+IF(AR1205&gt;0,MIN(1,AS1205/AR1205),1))</x:f>
        <x:v>6.963660732187563</x:v>
      </x:c>
      <x:c r="J1206" s="32" t="n">
        <x:f>INDEX(v01_FoodCap,G1206)*Arch_FoodCap*EXP(v01_CapsByProject*SUMPRODUCT((Cap_Point&lt;=I1206)*(Cap_Kind="Food")*Cap_Ln))</x:f>
        <x:v>1000</x:v>
      </x:c>
      <x:c r="K1206" s="32" t="n">
        <x:f>J1206*MIN(1,v01_LeanBase*EXP(v01_CapsByProject*SUMPRODUCT((Cap_Point&lt;=I1206)*(Cap_Kind="Lean")*Cap_Ln)))</x:f>
        <x:v>1000</x:v>
      </x:c>
      <x:c r="L1206" s="10" t="n">
        <x:f>INDEX(v01_HousingCap,G1206)*EXP(v01_CapsByProject*SUMPRODUCT((Cap_Point&lt;=I1206)*(Cap_Kind="Housing")*Cap_Ln))</x:f>
        <x:v>1600</x:v>
      </x:c>
      <x:c r="M1206" s="10" t="n">
        <x:f>INDEX(v01_GroupCap,G1206)*v01_CohesionFactor*EXP(v01_CapsByProject*SUMPRODUCT((Cap_Point&lt;=I1206)*(Cap_Kind="Group")*Cap_Ln))</x:f>
        <x:v>1000000</x:v>
      </x:c>
      <x:c r="N1206" s="32" t="n">
        <x:f>MIN(J1206,L1206,M1206)</x:f>
        <x:v>1000</x:v>
      </x:c>
      <x:c r="O1206" s="10" t="n">
        <x:f>AE1205*N1206</x:f>
        <x:v>16000</x:v>
      </x:c>
      <x:c r="P1206" s="9" t="n">
        <x:f>MIN(1,(AB1205/(AE1205*IF(v01_GroupInCrowding=1,N1206,MIN(J1206,L1206))))^v01_CrowdingExp)</x:f>
        <x:v>0.1490985969410267</x:v>
      </x:c>
      <x:c r="Q1206" s="9" t="n">
        <x:f>IF(D1206=1,INDEX(v01_WinterMult,G1206),1)</x:f>
        <x:v>1</x:v>
      </x:c>
      <x:c r="R1206" s="9" t="n">
        <x:f>H1206*Z1205*v01_WomenShare*v01_BaseFertility*INDEX(v01_FertMult,G1206)*Arch_Fertility*(1-P1206)</x:f>
        <x:v>133.47044723772825</x:v>
      </x:c>
      <x:c r="S1206" s="9" t="n">
        <x:f>H1206*Y1205*INDEX(v01_MortChild,G1206)/4*Q1206</x:f>
        <x:v>26.24429368497798</x:v>
      </x:c>
      <x:c r="T1206" s="9" t="n">
        <x:f>H1206*Z1205*INDEX(v01_MortAdult,G1206)*Arch_AdultMort/4*Q1206</x:f>
        <x:v>11.204122287083244</x:v>
      </x:c>
      <x:c r="U1206" s="9" t="n">
        <x:f>H1206*AA1205*INDEX(v01_MortElder,G1206)/4*Q1206</x:f>
        <x:v>26.121754999315048</x:v>
      </x:c>
      <x:c r="V1206" s="9" t="n">
        <x:f>H1206*MAX(0,AB1205-O1206)*v01_OvercapLoss</x:f>
        <x:v>0</x:v>
      </x:c>
      <x:c r="W1206" s="9" t="n">
        <x:f>H1206*Y1205/(v01_ChildYears*4)</x:f>
        <x:v>85.20874573044799</x:v>
      </x:c>
      <x:c r="X1206" s="9" t="n">
        <x:f>H1206*Z1205/(v01_AdultYears*4)</x:f>
        <x:v>40.15814439814783</x:v>
      </x:c>
      <x:c r="Y1206" s="32" t="n">
        <x:f>Y1205+R1206-S1206-W1206-Y1205*V1206/AB1205</x:f>
        <x:v>4793.707168727389</x:v>
      </x:c>
      <x:c r="Z1206" s="32" t="n">
        <x:f>Z1205+W1206-X1206-T1206-Z1205*V1206/AB1205</x:f>
        <x:v>5013.456384415548</x:v>
      </x:c>
      <x:c r="AA1206" s="32" t="n">
        <x:f>AA1205+X1206-U1206-AA1205*V1206/AB1205</x:f>
        <x:v>1913.8003893490181</x:v>
      </x:c>
      <x:c r="AB1206" s="10" t="n">
        <x:f>Y1206+Z1206+AA1206</x:f>
        <x:v>11720.963942491957</x:v>
      </x:c>
      <x:c r="AC1206" s="8" t="n">
        <x:f>IF(AND(v01_WinterTrigger=1,D1206=1,AB1205/AE1205&gt;=K1206),1,0)</x:f>
        <x:v>0</x:v>
      </x:c>
      <x:c r="AD1206" s="8" t="n">
        <x:f>H1206*IF(AND(OR(AB1205/AE1205&gt;=v01_FissionTrigger*N1206,AC1206=1),AB1205/AE1205*v01_DaughterShare&gt;=v01_MinDaughter),MAX(1,ROUND(AE1205*v01_FissionRate,0)),0)</x:f>
        <x:v>0</x:v>
      </x:c>
      <x:c r="AE1206" s="8" t="n">
        <x:f>IF(H1206=1,MAX(1,MIN(INDEX(v01_Smax,G1206),AE1205+AD1206)),AE1205)</x:f>
        <x:v>16</x:v>
      </x:c>
      <x:c r="AF1206" s="8" t="n">
        <x:f>MAX(0,AE1206-AE1205)</x:f>
        <x:v>0</x:v>
      </x:c>
      <x:c r="AG1206" s="9" t="str">
        <x:f>IF(AF1206&gt;0,B1206,"")</x:f>
      </x:c>
      <x:c r="AH1206" s="9" t="n">
        <x:f>IF(F1206&gt;=1,1,(1+v01_LowTiesShare*(AE1206-1))/AE1206)</x:f>
        <x:v>1</x:v>
      </x:c>
      <x:c r="AI1206" s="32" t="n">
        <x:f>(Z1206+v01_ElderCommons*INDEX(LM_Elder,G1206)*AA1206)*AH1206</x:f>
        <x:v>12190.207844474367</x:v>
      </x:c>
      <x:c r="AJ1206" s="32" t="n">
        <x:f>H1206*v01_CommonsCoef*AI1206^v01_CommonsExp*INDEX(LM_Commons,G1206)</x:f>
        <x:v>2594.9628326189554</x:v>
      </x:c>
      <x:c r="AK1206" s="32" t="n">
        <x:f>H1206*v01_RoleScale*Arch_Roles*(AE1206*(INDEX(v01_ElderRolePerSett,G1206)*v01_OutElder*INDEX(LM_Elder,G1206)+INDEX(v01_ShamanPerSett,G1206)*v01_OutShaman)+Z1206*(INDEX(v01_PriestShare,G1206)*v01_OutPriest+INDEX(v01_ScribeShare,G1206)*v01_OutScribe*INDEX(LM_Scribe,G1206)+INDEX(v01_ScholarShare,G1206)*v01_OutScholar*INDEX(LM_Scholar,G1206)+INDEX(v01_ResearcherShare,G1206)*v01_OutResearcher*INDEX(LM_Researcher,G1206)))</x:f>
        <x:v>686.1968500748005</x:v>
      </x:c>
      <x:c r="AL1206" s="32" t="n">
        <x:f>H1206*v01_RoleScale*Arch_Roles*AE1206*INDEX(v01_MonasteryPerSett,G1206)*v01_OutMonastery*INDEX(LM_Monastery,G1206)</x:f>
        <x:v>10.56</x:v>
      </x:c>
      <x:c r="AM1206" s="32" t="n">
        <x:f>(AJ1206+AK1206+AL1206)/4*INDEX(LM_All,G1206)*INDEX(v01_Boon,G1206)*Arch_Insight</x:f>
        <x:v>1504.2130567510183</x:v>
      </x:c>
      <x:c r="AN1206" s="32" t="n">
        <x:f>H1206*(v01_KHPerAdult*Z1206+v01_KHOfCommons*AJ1206/4*INDEX(LM_All,G1206))*v01_KHUsable*Arch_KH</x:f>
        <x:v>175.47097345454418</x:v>
      </x:c>
      <x:c r="AO1206" s="32" t="n">
        <x:f>MIN(AP1205+AN1206,AM1206*v01_KHMaxRatio)</x:f>
        <x:v>175.47097345454418</x:v>
      </x:c>
      <x:c r="AP1206" s="32" t="n">
        <x:f>AP1205+AN1206-AO1206</x:f>
        <x:v>0</x:v>
      </x:c>
      <x:c r="AQ1206" s="32" t="n">
        <x:f>AM1206+AO1206</x:f>
        <x:v>1679.6840302055625</x:v>
      </x:c>
      <x:c r="AR1206" s="10" t="n">
        <x:f>IF(H1206=1,INDEX(v01_Req,G1206),0)</x:f>
        <x:v>113395.942036</x:v>
      </x:c>
      <x:c r="AS1206" s="32" t="n">
        <x:f>IF(H1206=1,IF(E1206=1,AS1205-AR1205,AS1205)+AQ1206,0)</x:f>
        <x:v>110954.90055971575</x:v>
      </x:c>
      <x:c r="AT1206" s="11" t="n">
        <x:f>IF(AR1206&gt;0,MIN(1,AS1206/AR1206),1)</x:f>
        <x:v>0.9784732907328441</x:v>
      </x:c>
      <x:c r="AU1206" s="10" t="n">
        <x:f>AB1206/INDEX(v01_RepScale,G1206)</x:f>
        <x:v>234.41927884983915</x:v>
      </x:c>
      <x:c r="AV1206" s="32" t="n">
        <x:f>AM1206*60/v01_SeasonSeconds</x:f>
        <x:v>6016.852227004073</x:v>
      </x:c>
    </x:row>
    <x:row r="1207">
      <x:c r="A1207" s="8" t="n">
        <x:f>A1206+1</x:f>
        <x:v>1204</x:v>
      </x:c>
      <x:c r="B1207" s="9" t="n">
        <x:f>A1207*v01_SeasonSeconds/60</x:f>
        <x:v>301</x:v>
      </x:c>
      <x:c r="C1207" s="9" t="n">
        <x:f>A1207/4</x:f>
        <x:v>301</x:v>
      </x:c>
      <x:c r="D1207" s="8" t="n">
        <x:f>IF(MOD(A1207,4)=0,1,0)</x:f>
        <x:v>1</x:v>
      </x:c>
      <x:c r="E1207" s="8" t="n">
        <x:f>IF(AND(F1206&lt;=9,AS1206&gt;=AR1206),1,0)</x:f>
        <x:v>0</x:v>
      </x:c>
      <x:c r="F1207" s="8" t="n">
        <x:f>MIN(10,F1206+E1207)</x:f>
        <x:v>6</x:v>
      </x:c>
      <x:c r="G1207" s="8" t="n">
        <x:f>MIN(F1207,9)+1</x:f>
        <x:v>7</x:v>
      </x:c>
      <x:c r="H1207" s="8" t="n">
        <x:f>IF(F1207&lt;=9,1,0)</x:f>
        <x:v>1</x:v>
      </x:c>
      <x:c r="I1207" s="9" t="n">
        <x:f>MIN(10,F1206+IF(AR1206&gt;0,MIN(1,AS1206/AR1206),1))</x:f>
        <x:v>6.978473290732844</x:v>
      </x:c>
      <x:c r="J1207" s="32" t="n">
        <x:f>INDEX(v01_FoodCap,G1207)*Arch_FoodCap*EXP(v01_CapsByProject*SUMPRODUCT((Cap_Point&lt;=I1207)*(Cap_Kind="Food")*Cap_Ln))</x:f>
        <x:v>1000</x:v>
      </x:c>
      <x:c r="K1207" s="32" t="n">
        <x:f>J1207*MIN(1,v01_LeanBase*EXP(v01_CapsByProject*SUMPRODUCT((Cap_Point&lt;=I1207)*(Cap_Kind="Lean")*Cap_Ln)))</x:f>
        <x:v>1000</x:v>
      </x:c>
      <x:c r="L1207" s="10" t="n">
        <x:f>INDEX(v01_HousingCap,G1207)*EXP(v01_CapsByProject*SUMPRODUCT((Cap_Point&lt;=I1207)*(Cap_Kind="Housing")*Cap_Ln))</x:f>
        <x:v>1600</x:v>
      </x:c>
      <x:c r="M1207" s="10" t="n">
        <x:f>INDEX(v01_GroupCap,G1207)*v01_CohesionFactor*EXP(v01_CapsByProject*SUMPRODUCT((Cap_Point&lt;=I1207)*(Cap_Kind="Group")*Cap_Ln))</x:f>
        <x:v>1000000</x:v>
      </x:c>
      <x:c r="N1207" s="32" t="n">
        <x:f>MIN(J1207,L1207,M1207)</x:f>
        <x:v>1000</x:v>
      </x:c>
      <x:c r="O1207" s="10" t="n">
        <x:f>AE1206*N1207</x:f>
        <x:v>16000</x:v>
      </x:c>
      <x:c r="P1207" s="9" t="n">
        <x:f>MIN(1,(AB1206/(AE1206*IF(v01_GroupInCrowding=1,N1207,MIN(J1207,L1207))))^v01_CrowdingExp)</x:f>
        <x:v>0.15454682364113753</x:v>
      </x:c>
      <x:c r="Q1207" s="9" t="n">
        <x:f>IF(D1207=1,INDEX(v01_WinterMult,G1207),1)</x:f>
        <x:v>1</x:v>
      </x:c>
      <x:c r="R1207" s="9" t="n">
        <x:f>H1207*Z1206*v01_WomenShare*v01_BaseFertility*INDEX(v01_FertMult,G1207)*Arch_Fertility*(1-P1207)</x:f>
        <x:v>133.5172426793334</x:v>
      </x:c>
      <x:c r="S1207" s="9" t="n">
        <x:f>H1207*Y1206*INDEX(v01_MortChild,G1207)/4*Q1207</x:f>
        <x:v>26.36538942800064</x:v>
      </x:c>
      <x:c r="T1207" s="9" t="n">
        <x:f>H1207*Z1206*INDEX(v01_MortAdult,G1207)*Arch_AdultMort/4*Q1207</x:f>
        <x:v>11.280276864934983</x:v>
      </x:c>
      <x:c r="U1207" s="9" t="n">
        <x:f>H1207*AA1206*INDEX(v01_MortElder,G1207)/4*Q1207</x:f>
        <x:v>26.314755353549</x:v>
      </x:c>
      <x:c r="V1207" s="9" t="n">
        <x:f>H1207*MAX(0,AB1206-O1207)*v01_OvercapLoss</x:f>
        <x:v>0</x:v>
      </x:c>
      <x:c r="W1207" s="9" t="n">
        <x:f>H1207*Y1206/(v01_ChildYears*4)</x:f>
        <x:v>85.6019137272748</x:v>
      </x:c>
      <x:c r="X1207" s="9" t="n">
        <x:f>H1207*Z1206/(v01_AdultYears*4)</x:f>
        <x:v>40.43109987431894</x:v>
      </x:c>
      <x:c r="Y1207" s="32" t="n">
        <x:f>Y1206+R1207-S1207-W1207-Y1206*V1207/AB1206</x:f>
        <x:v>4815.257108251447</x:v>
      </x:c>
      <x:c r="Z1207" s="32" t="n">
        <x:f>Z1206+W1207-X1207-T1207-Z1206*V1207/AB1206</x:f>
        <x:v>5047.3469214035695</x:v>
      </x:c>
      <x:c r="AA1207" s="32" t="n">
        <x:f>AA1206+X1207-U1207-AA1206*V1207/AB1206</x:f>
        <x:v>1927.9167338697882</x:v>
      </x:c>
      <x:c r="AB1207" s="10" t="n">
        <x:f>Y1207+Z1207+AA1207</x:f>
        <x:v>11790.520763524804</x:v>
      </x:c>
      <x:c r="AC1207" s="8" t="n">
        <x:f>IF(AND(v01_WinterTrigger=1,D1207=1,AB1206/AE1206&gt;=K1207),1,0)</x:f>
        <x:v>0</x:v>
      </x:c>
      <x:c r="AD1207" s="8" t="n">
        <x:f>H1207*IF(AND(OR(AB1206/AE1206&gt;=v01_FissionTrigger*N1207,AC1207=1),AB1206/AE1206*v01_DaughterShare&gt;=v01_MinDaughter),MAX(1,ROUND(AE1206*v01_FissionRate,0)),0)</x:f>
        <x:v>0</x:v>
      </x:c>
      <x:c r="AE1207" s="8" t="n">
        <x:f>IF(H1207=1,MAX(1,MIN(INDEX(v01_Smax,G1207),AE1206+AD1207)),AE1206)</x:f>
        <x:v>16</x:v>
      </x:c>
      <x:c r="AF1207" s="8" t="n">
        <x:f>MAX(0,AE1207-AE1206)</x:f>
        <x:v>0</x:v>
      </x:c>
      <x:c r="AG1207" s="9" t="str">
        <x:f>IF(AF1207&gt;0,B1207,"")</x:f>
      </x:c>
      <x:c r="AH1207" s="9" t="n">
        <x:f>IF(F1207&gt;=1,1,(1+v01_LowTiesShare*(AE1207-1))/AE1207)</x:f>
        <x:v>1</x:v>
      </x:c>
      <x:c r="AI1207" s="32" t="n">
        <x:f>(Z1207+v01_ElderCommons*INDEX(LM_Elder,G1207)*AA1207)*AH1207</x:f>
        <x:v>12277.034673415275</x:v>
      </x:c>
      <x:c r="AJ1207" s="32" t="n">
        <x:f>H1207*v01_CommonsCoef*AI1207^v01_CommonsExp*INDEX(LM_Commons,G1207)</x:f>
        <x:v>2610.6650673917525</x:v>
      </x:c>
      <x:c r="AK1207" s="32" t="n">
        <x:f>H1207*v01_RoleScale*Arch_Roles*(AE1207*(INDEX(v01_ElderRolePerSett,G1207)*v01_OutElder*INDEX(LM_Elder,G1207)+INDEX(v01_ShamanPerSett,G1207)*v01_OutShaman)+Z1207*(INDEX(v01_PriestShare,G1207)*v01_OutPriest+INDEX(v01_ScribeShare,G1207)*v01_OutScribe*INDEX(LM_Scribe,G1207)+INDEX(v01_ScholarShare,G1207)*v01_OutScholar*INDEX(LM_Scholar,G1207)+INDEX(v01_ResearcherShare,G1207)*v01_OutResearcher*INDEX(LM_Researcher,G1207)))</x:f>
        <x:v>690.4704467889901</x:v>
      </x:c>
      <x:c r="AL1207" s="32" t="n">
        <x:f>H1207*v01_RoleScale*Arch_Roles*AE1207*INDEX(v01_MonasteryPerSett,G1207)*v01_OutMonastery*INDEX(LM_Monastery,G1207)</x:f>
        <x:v>10.56</x:v>
      </x:c>
      <x:c r="AM1207" s="32" t="n">
        <x:f>(AJ1207+AK1207+AL1207)/4*INDEX(LM_All,G1207)*INDEX(v01_Boon,G1207)*Arch_Insight</x:f>
        <x:v>1513.3413876657557</x:v>
      </x:c>
      <x:c r="AN1207" s="32" t="n">
        <x:f>H1207*(v01_KHPerAdult*Z1207+v01_KHOfCommons*AJ1207/4*INDEX(LM_All,G1207))*v01_KHUsable*Arch_KH</x:f>
        <x:v>176.65714224912492</x:v>
      </x:c>
      <x:c r="AO1207" s="32" t="n">
        <x:f>MIN(AP1206+AN1207,AM1207*v01_KHMaxRatio)</x:f>
        <x:v>176.65714224912492</x:v>
      </x:c>
      <x:c r="AP1207" s="32" t="n">
        <x:f>AP1206+AN1207-AO1207</x:f>
        <x:v>0</x:v>
      </x:c>
      <x:c r="AQ1207" s="32" t="n">
        <x:f>AM1207+AO1207</x:f>
        <x:v>1689.9985299148807</x:v>
      </x:c>
      <x:c r="AR1207" s="10" t="n">
        <x:f>IF(H1207=1,INDEX(v01_Req,G1207),0)</x:f>
        <x:v>113395.942036</x:v>
      </x:c>
      <x:c r="AS1207" s="32" t="n">
        <x:f>IF(H1207=1,IF(E1207=1,AS1206-AR1206,AS1206)+AQ1207,0)</x:f>
        <x:v>112644.89908963063</x:v>
      </x:c>
      <x:c r="AT1207" s="11" t="n">
        <x:f>IF(AR1207&gt;0,MIN(1,AS1207/AR1207),1)</x:f>
        <x:v>0.9933768093206464</x:v>
      </x:c>
      <x:c r="AU1207" s="10" t="n">
        <x:f>AB1207/INDEX(v01_RepScale,G1207)</x:f>
        <x:v>235.8104152704961</x:v>
      </x:c>
      <x:c r="AV1207" s="32" t="n">
        <x:f>AM1207*60/v01_SeasonSeconds</x:f>
        <x:v>6053.365550663023</x:v>
      </x:c>
    </x:row>
    <x:row r="1208">
      <x:c r="A1208" s="8" t="n">
        <x:f>A1207+1</x:f>
        <x:v>1205</x:v>
      </x:c>
      <x:c r="B1208" s="9" t="n">
        <x:f>A1208*v01_SeasonSeconds/60</x:f>
        <x:v>301.25</x:v>
      </x:c>
      <x:c r="C1208" s="9" t="n">
        <x:f>A1208/4</x:f>
        <x:v>301.25</x:v>
      </x:c>
      <x:c r="D1208" s="8" t="n">
        <x:f>IF(MOD(A1208,4)=0,1,0)</x:f>
        <x:v>0</x:v>
      </x:c>
      <x:c r="E1208" s="8" t="n">
        <x:f>IF(AND(F1207&lt;=9,AS1207&gt;=AR1207),1,0)</x:f>
        <x:v>0</x:v>
      </x:c>
      <x:c r="F1208" s="8" t="n">
        <x:f>MIN(10,F1207+E1208)</x:f>
        <x:v>6</x:v>
      </x:c>
      <x:c r="G1208" s="8" t="n">
        <x:f>MIN(F1208,9)+1</x:f>
        <x:v>7</x:v>
      </x:c>
      <x:c r="H1208" s="8" t="n">
        <x:f>IF(F1208&lt;=9,1,0)</x:f>
        <x:v>1</x:v>
      </x:c>
      <x:c r="I1208" s="9" t="n">
        <x:f>MIN(10,F1207+IF(AR1207&gt;0,MIN(1,AS1207/AR1207),1))</x:f>
        <x:v>6.9933768093206465</x:v>
      </x:c>
      <x:c r="J1208" s="32" t="n">
        <x:f>INDEX(v01_FoodCap,G1208)*Arch_FoodCap*EXP(v01_CapsByProject*SUMPRODUCT((Cap_Point&lt;=I1208)*(Cap_Kind="Food")*Cap_Ln))</x:f>
        <x:v>1000</x:v>
      </x:c>
      <x:c r="K1208" s="32" t="n">
        <x:f>J1208*MIN(1,v01_LeanBase*EXP(v01_CapsByProject*SUMPRODUCT((Cap_Point&lt;=I1208)*(Cap_Kind="Lean")*Cap_Ln)))</x:f>
        <x:v>1000</x:v>
      </x:c>
      <x:c r="L1208" s="10" t="n">
        <x:f>INDEX(v01_HousingCap,G1208)*EXP(v01_CapsByProject*SUMPRODUCT((Cap_Point&lt;=I1208)*(Cap_Kind="Housing")*Cap_Ln))</x:f>
        <x:v>1600</x:v>
      </x:c>
      <x:c r="M1208" s="10" t="n">
        <x:f>INDEX(v01_GroupCap,G1208)*v01_CohesionFactor*EXP(v01_CapsByProject*SUMPRODUCT((Cap_Point&lt;=I1208)*(Cap_Kind="Group")*Cap_Ln))</x:f>
        <x:v>1000000</x:v>
      </x:c>
      <x:c r="N1208" s="32" t="n">
        <x:f>MIN(J1208,L1208,M1208)</x:f>
        <x:v>1000</x:v>
      </x:c>
      <x:c r="O1208" s="10" t="n">
        <x:f>AE1207*N1208</x:f>
        <x:v>16000</x:v>
      </x:c>
      <x:c r="P1208" s="9" t="n">
        <x:f>MIN(1,(AB1207/(AE1207*IF(v01_GroupInCrowding=1,N1208,MIN(J1208,L1208))))^v01_CrowdingExp)</x:f>
        <x:v>0.16013196340719452</x:v>
      </x:c>
      <x:c r="Q1208" s="9" t="n">
        <x:f>IF(D1208=1,INDEX(v01_WinterMult,G1208),1)</x:f>
        <x:v>1</x:v>
      </x:c>
      <x:c r="R1208" s="9" t="n">
        <x:f>H1208*Z1207*v01_WomenShare*v01_BaseFertility*INDEX(v01_FertMult,G1208)*Arch_Fertility*(1-P1208)</x:f>
        <x:v>133.53181848978167</x:v>
      </x:c>
      <x:c r="S1208" s="9" t="n">
        <x:f>H1208*Y1207*INDEX(v01_MortChild,G1208)/4*Q1208</x:f>
        <x:v>26.483914095382957</x:v>
      </x:c>
      <x:c r="T1208" s="9" t="n">
        <x:f>H1208*Z1207*INDEX(v01_MortAdult,G1208)*Arch_AdultMort/4*Q1208</x:f>
        <x:v>11.35653057315803</x:v>
      </x:c>
      <x:c r="U1208" s="9" t="n">
        <x:f>H1208*AA1207*INDEX(v01_MortElder,G1208)/4*Q1208</x:f>
        <x:v>26.508855090709588</x:v>
      </x:c>
      <x:c r="V1208" s="9" t="n">
        <x:f>H1208*MAX(0,AB1207-O1208)*v01_OvercapLoss</x:f>
        <x:v>0</x:v>
      </x:c>
      <x:c r="W1208" s="9" t="n">
        <x:f>H1208*Y1207/(v01_ChildYears*4)</x:f>
        <x:v>85.98673407591869</x:v>
      </x:c>
      <x:c r="X1208" s="9" t="n">
        <x:f>H1208*Z1207/(v01_AdultYears*4)</x:f>
        <x:v>40.7044106564804</x:v>
      </x:c>
      <x:c r="Y1208" s="32" t="n">
        <x:f>Y1207+R1208-S1208-W1208-Y1207*V1208/AB1207</x:f>
        <x:v>4836.318278569927</x:v>
      </x:c>
      <x:c r="Z1208" s="32" t="n">
        <x:f>Z1207+W1208-X1208-T1208-Z1207*V1208/AB1207</x:f>
        <x:v>5081.272714249849</x:v>
      </x:c>
      <x:c r="AA1208" s="32" t="n">
        <x:f>AA1207+X1208-U1208-AA1207*V1208/AB1207</x:f>
        <x:v>1942.112289435559</x:v>
      </x:c>
      <x:c r="AB1208" s="10" t="n">
        <x:f>Y1208+Z1208+AA1208</x:f>
        <x:v>11859.703282255336</x:v>
      </x:c>
      <x:c r="AC1208" s="8" t="n">
        <x:f>IF(AND(v01_WinterTrigger=1,D1208=1,AB1207/AE1207&gt;=K1208),1,0)</x:f>
        <x:v>0</x:v>
      </x:c>
      <x:c r="AD1208" s="8" t="n">
        <x:f>H1208*IF(AND(OR(AB1207/AE1207&gt;=v01_FissionTrigger*N1208,AC1208=1),AB1207/AE1207*v01_DaughterShare&gt;=v01_MinDaughter),MAX(1,ROUND(AE1207*v01_FissionRate,0)),0)</x:f>
        <x:v>0</x:v>
      </x:c>
      <x:c r="AE1208" s="8" t="n">
        <x:f>IF(H1208=1,MAX(1,MIN(INDEX(v01_Smax,G1208),AE1207+AD1208)),AE1207)</x:f>
        <x:v>16</x:v>
      </x:c>
      <x:c r="AF1208" s="8" t="n">
        <x:f>MAX(0,AE1208-AE1207)</x:f>
        <x:v>0</x:v>
      </x:c>
      <x:c r="AG1208" s="9" t="str">
        <x:f>IF(AF1208&gt;0,B1208,"")</x:f>
      </x:c>
      <x:c r="AH1208" s="9" t="n">
        <x:f>IF(F1208&gt;=1,1,(1+v01_LowTiesShare*(AE1208-1))/AE1208)</x:f>
        <x:v>1</x:v>
      </x:c>
      <x:c r="AI1208" s="32" t="n">
        <x:f>(Z1208+v01_ElderCommons*INDEX(LM_Elder,G1208)*AA1208)*AH1208</x:f>
        <x:v>12364.193799633194</x:v>
      </x:c>
      <x:c r="AJ1208" s="32" t="n">
        <x:f>H1208*v01_CommonsCoef*AI1208^v01_CommonsExp*INDEX(LM_Commons,G1208)</x:f>
        <x:v>2626.4106521359217</x:v>
      </x:c>
      <x:c r="AK1208" s="32" t="n">
        <x:f>H1208*v01_RoleScale*Arch_Roles*(AE1208*(INDEX(v01_ElderRolePerSett,G1208)*v01_OutElder*INDEX(LM_Elder,G1208)+INDEX(v01_ShamanPerSett,G1208)*v01_OutShaman)+Z1208*(INDEX(v01_PriestShare,G1208)*v01_OutPriest+INDEX(v01_ScribeShare,G1208)*v01_OutScribe*INDEX(LM_Scribe,G1208)+INDEX(v01_ScholarShare,G1208)*v01_OutScholar*INDEX(LM_Scholar,G1208)+INDEX(v01_ResearcherShare,G1208)*v01_OutResearcher*INDEX(LM_Researcher,G1208)))</x:f>
        <x:v>694.7484892669058</x:v>
      </x:c>
      <x:c r="AL1208" s="32" t="n">
        <x:f>H1208*v01_RoleScale*Arch_Roles*AE1208*INDEX(v01_MonasteryPerSett,G1208)*v01_OutMonastery*INDEX(LM_Monastery,G1208)</x:f>
        <x:v>10.56</x:v>
      </x:c>
      <x:c r="AM1208" s="32" t="n">
        <x:f>(AJ1208+AK1208+AL1208)/4*INDEX(LM_All,G1208)*INDEX(v01_Boon,G1208)*Arch_Insight</x:f>
        <x:v>1522.491559738223</x:v>
      </x:c>
      <x:c r="AN1208" s="32" t="n">
        <x:f>H1208*(v01_KHPerAdult*Z1208+v01_KHOfCommons*AJ1208/4*INDEX(LM_All,G1208))*v01_KHUsable*Arch_KH</x:f>
        <x:v>177.8445449987447</x:v>
      </x:c>
      <x:c r="AO1208" s="32" t="n">
        <x:f>MIN(AP1207+AN1208,AM1208*v01_KHMaxRatio)</x:f>
        <x:v>177.8445449987447</x:v>
      </x:c>
      <x:c r="AP1208" s="32" t="n">
        <x:f>AP1207+AN1208-AO1208</x:f>
        <x:v>0</x:v>
      </x:c>
      <x:c r="AQ1208" s="32" t="n">
        <x:f>AM1208+AO1208</x:f>
        <x:v>1700.3361047369676</x:v>
      </x:c>
      <x:c r="AR1208" s="10" t="n">
        <x:f>IF(H1208=1,INDEX(v01_Req,G1208),0)</x:f>
        <x:v>113395.942036</x:v>
      </x:c>
      <x:c r="AS1208" s="32" t="n">
        <x:f>IF(H1208=1,IF(E1208=1,AS1207-AR1207,AS1207)+AQ1208,0)</x:f>
        <x:v>114345.2351943676</x:v>
      </x:c>
      <x:c r="AT1208" s="11" t="n">
        <x:f>IF(AR1208&gt;0,MIN(1,AS1208/AR1208),1)</x:f>
        <x:v>1</x:v>
      </x:c>
      <x:c r="AU1208" s="10" t="n">
        <x:f>AB1208/INDEX(v01_RepScale,G1208)</x:f>
        <x:v>237.19406564510672</x:v>
      </x:c>
      <x:c r="AV1208" s="32" t="n">
        <x:f>AM1208*60/v01_SeasonSeconds</x:f>
        <x:v>6089.966238952892</x:v>
      </x:c>
    </x:row>
    <x:row r="1209">
      <x:c r="A1209" s="8" t="n">
        <x:f>A1208+1</x:f>
        <x:v>1206</x:v>
      </x:c>
      <x:c r="B1209" s="9" t="n">
        <x:f>A1209*v01_SeasonSeconds/60</x:f>
        <x:v>301.5</x:v>
      </x:c>
      <x:c r="C1209" s="9" t="n">
        <x:f>A1209/4</x:f>
        <x:v>301.5</x:v>
      </x:c>
      <x:c r="D1209" s="8" t="n">
        <x:f>IF(MOD(A1209,4)=0,1,0)</x:f>
        <x:v>0</x:v>
      </x:c>
      <x:c r="E1209" s="8" t="n">
        <x:f>IF(AND(F1208&lt;=9,AS1208&gt;=AR1208),1,0)</x:f>
        <x:v>1</x:v>
      </x:c>
      <x:c r="F1209" s="8" t="n">
        <x:f>MIN(10,F1208+E1209)</x:f>
        <x:v>7</x:v>
      </x:c>
      <x:c r="G1209" s="8" t="n">
        <x:f>MIN(F1209,9)+1</x:f>
        <x:v>8</x:v>
      </x:c>
      <x:c r="H1209" s="8" t="n">
        <x:f>IF(F1209&lt;=9,1,0)</x:f>
        <x:v>1</x:v>
      </x:c>
      <x:c r="I1209" s="9" t="n">
        <x:f>MIN(10,F1208+IF(AR1208&gt;0,MIN(1,AS1208/AR1208),1))</x:f>
        <x:v>7</x:v>
      </x:c>
      <x:c r="J1209" s="32" t="n">
        <x:f>INDEX(v01_FoodCap,G1209)*Arch_FoodCap*EXP(v01_CapsByProject*SUMPRODUCT((Cap_Point&lt;=I1209)*(Cap_Kind="Food")*Cap_Ln))</x:f>
        <x:v>2500</x:v>
      </x:c>
      <x:c r="K1209" s="32" t="n">
        <x:f>J1209*MIN(1,v01_LeanBase*EXP(v01_CapsByProject*SUMPRODUCT((Cap_Point&lt;=I1209)*(Cap_Kind="Lean")*Cap_Ln)))</x:f>
        <x:v>2500</x:v>
      </x:c>
      <x:c r="L1209" s="10" t="n">
        <x:f>INDEX(v01_HousingCap,G1209)*EXP(v01_CapsByProject*SUMPRODUCT((Cap_Point&lt;=I1209)*(Cap_Kind="Housing")*Cap_Ln))</x:f>
        <x:v>4000</x:v>
      </x:c>
      <x:c r="M1209" s="10" t="n">
        <x:f>INDEX(v01_GroupCap,G1209)*v01_CohesionFactor*EXP(v01_CapsByProject*SUMPRODUCT((Cap_Point&lt;=I1209)*(Cap_Kind="Group")*Cap_Ln))</x:f>
        <x:v>1000000</x:v>
      </x:c>
      <x:c r="N1209" s="32" t="n">
        <x:f>MIN(J1209,L1209,M1209)</x:f>
        <x:v>2500</x:v>
      </x:c>
      <x:c r="O1209" s="10" t="n">
        <x:f>AE1208*N1209</x:f>
        <x:v>40000</x:v>
      </x:c>
      <x:c r="P1209" s="9" t="n">
        <x:f>MIN(1,(AB1208/(AE1208*IF(v01_GroupInCrowding=1,N1209,MIN(J1209,L1209))))^v01_CrowdingExp)</x:f>
        <x:v>0.0006793334403611421</x:v>
      </x:c>
      <x:c r="Q1209" s="9" t="n">
        <x:f>IF(D1209=1,INDEX(v01_WinterMult,G1209),1)</x:f>
        <x:v>1</x:v>
      </x:c>
      <x:c r="R1209" s="9" t="n">
        <x:f>H1209*Z1208*v01_WomenShare*v01_BaseFertility*INDEX(v01_FertMult,G1209)*Arch_Fertility*(1-P1209)</x:f>
        <x:v>152.3346250732639</x:v>
      </x:c>
      <x:c r="S1209" s="9" t="n">
        <x:f>H1209*Y1208*INDEX(v01_MortChild,G1209)/4*Q1209</x:f>
        <x:v>18.136193544637226</x:v>
      </x:c>
      <x:c r="T1209" s="9" t="n">
        <x:f>H1209*Z1208*INDEX(v01_MortAdult,G1209)*Arch_AdultMort/4*Q1209</x:f>
        <x:v>8.892227249937235</x:v>
      </x:c>
      <x:c r="U1209" s="9" t="n">
        <x:f>H1209*AA1208*INDEX(v01_MortElder,G1209)/4*Q1209</x:f>
        <x:v>24.27640361794449</x:v>
      </x:c>
      <x:c r="V1209" s="9" t="n">
        <x:f>H1209*MAX(0,AB1208-O1209)*v01_OvercapLoss</x:f>
        <x:v>0</x:v>
      </x:c>
      <x:c r="W1209" s="9" t="n">
        <x:f>H1209*Y1208/(v01_ChildYears*4)</x:f>
        <x:v>86.36282640303442</x:v>
      </x:c>
      <x:c r="X1209" s="9" t="n">
        <x:f>H1209*Z1208/(v01_AdultYears*4)</x:f>
        <x:v>40.97800576007943</x:v>
      </x:c>
      <x:c r="Y1209" s="32" t="n">
        <x:f>Y1208+R1209-S1209-W1209-Y1208*V1209/AB1208</x:f>
        <x:v>4884.15388369552</x:v>
      </x:c>
      <x:c r="Z1209" s="32" t="n">
        <x:f>Z1208+W1209-X1209-T1209-Z1208*V1209/AB1208</x:f>
        <x:v>5117.765307642866</x:v>
      </x:c>
      <x:c r="AA1209" s="32" t="n">
        <x:f>AA1208+X1209-U1209-AA1208*V1209/AB1208</x:f>
        <x:v>1958.813891577694</x:v>
      </x:c>
      <x:c r="AB1209" s="10" t="n">
        <x:f>Y1209+Z1209+AA1209</x:f>
        <x:v>11960.73308291608</x:v>
      </x:c>
      <x:c r="AC1209" s="8" t="n">
        <x:f>IF(AND(v01_WinterTrigger=1,D1209=1,AB1208/AE1208&gt;=K1209),1,0)</x:f>
        <x:v>0</x:v>
      </x:c>
      <x:c r="AD1209" s="8" t="n">
        <x:f>H1209*IF(AND(OR(AB1208/AE1208&gt;=v01_FissionTrigger*N1209,AC1209=1),AB1208/AE1208*v01_DaughterShare&gt;=v01_MinDaughter),MAX(1,ROUND(AE1208*v01_FissionRate,0)),0)</x:f>
        <x:v>0</x:v>
      </x:c>
      <x:c r="AE1209" s="8" t="n">
        <x:f>IF(H1209=1,MAX(1,MIN(INDEX(v01_Smax,G1209),AE1208+AD1209)),AE1208)</x:f>
        <x:v>16</x:v>
      </x:c>
      <x:c r="AF1209" s="8" t="n">
        <x:f>MAX(0,AE1209-AE1208)</x:f>
        <x:v>0</x:v>
      </x:c>
      <x:c r="AG1209" s="9" t="str">
        <x:f>IF(AF1209&gt;0,B1209,"")</x:f>
      </x:c>
      <x:c r="AH1209" s="9" t="n">
        <x:f>IF(F1209&gt;=1,1,(1+v01_LowTiesShare*(AE1209-1))/AE1209)</x:f>
        <x:v>1</x:v>
      </x:c>
      <x:c r="AI1209" s="32" t="n">
        <x:f>(Z1209+v01_ElderCommons*INDEX(LM_Elder,G1209)*AA1209)*AH1209</x:f>
        <x:v>12463.31740105922</x:v>
      </x:c>
      <x:c r="AJ1209" s="32" t="n">
        <x:f>H1209*v01_CommonsCoef*AI1209^v01_CommonsExp*INDEX(LM_Commons,G1209)</x:f>
        <x:v>3547.697300485437</x:v>
      </x:c>
      <x:c r="AK1209" s="32" t="n">
        <x:f>H1209*v01_RoleScale*Arch_Roles*(AE1209*(INDEX(v01_ElderRolePerSett,G1209)*v01_OutElder*INDEX(LM_Elder,G1209)+INDEX(v01_ShamanPerSett,G1209)*v01_OutShaman)+Z1209*(INDEX(v01_PriestShare,G1209)*v01_OutPriest+INDEX(v01_ScribeShare,G1209)*v01_OutScribe*INDEX(LM_Scribe,G1209)+INDEX(v01_ScholarShare,G1209)*v01_OutScholar*INDEX(LM_Scholar,G1209)+INDEX(v01_ResearcherShare,G1209)*v01_OutResearcher*INDEX(LM_Researcher,G1209)))</x:f>
        <x:v>974.0718470080344</x:v>
      </x:c>
      <x:c r="AL1209" s="32" t="n">
        <x:f>H1209*v01_RoleScale*Arch_Roles*AE1209*INDEX(v01_MonasteryPerSett,G1209)*v01_OutMonastery*INDEX(LM_Monastery,G1209)</x:f>
        <x:v>10.56</x:v>
      </x:c>
      <x:c r="AM1209" s="32" t="n">
        <x:f>(AJ1209+AK1209+AL1209)/4*INDEX(LM_All,G1209)*INDEX(v01_Boon,G1209)*Arch_Insight</x:f>
        <x:v>2727.5672202566857</x:v>
      </x:c>
      <x:c r="AN1209" s="32" t="n">
        <x:f>H1209*(v01_KHPerAdult*Z1209+v01_KHOfCommons*AJ1209/4*INDEX(LM_All,G1209))*v01_KHUsable*Arch_KH</x:f>
        <x:v>179.1217857675003</x:v>
      </x:c>
      <x:c r="AO1209" s="32" t="n">
        <x:f>MIN(AP1208+AN1209,AM1209*v01_KHMaxRatio)</x:f>
        <x:v>179.1217857675003</x:v>
      </x:c>
      <x:c r="AP1209" s="32" t="n">
        <x:f>AP1208+AN1209-AO1209</x:f>
        <x:v>0</x:v>
      </x:c>
      <x:c r="AQ1209" s="32" t="n">
        <x:f>AM1209+AO1209</x:f>
        <x:v>2906.689006024186</x:v>
      </x:c>
      <x:c r="AR1209" s="10" t="n">
        <x:f>IF(H1209=1,INDEX(v01_Req,G1209),0)</x:f>
        <x:v>240231.2486535</x:v>
      </x:c>
      <x:c r="AS1209" s="32" t="n">
        <x:f>IF(H1209=1,IF(E1209=1,AS1208-AR1208,AS1208)+AQ1209,0)</x:f>
        <x:v>3855.9821643917967</x:v>
      </x:c>
      <x:c r="AT1209" s="11" t="n">
        <x:f>IF(AR1209&gt;0,MIN(1,AS1209/AR1209),1)</x:f>
        <x:v>0.016051126512494268</x:v>
      </x:c>
      <x:c r="AU1209" s="10" t="n">
        <x:f>AB1209/INDEX(v01_RepScale,G1209)</x:f>
        <x:v>119.6073308291608</x:v>
      </x:c>
      <x:c r="AV1209" s="32" t="n">
        <x:f>AM1209*60/v01_SeasonSeconds</x:f>
        <x:v>10910.268881026743</x:v>
      </x:c>
    </x:row>
    <x:row r="1210">
      <x:c r="A1210" s="8" t="n">
        <x:f>A1209+1</x:f>
        <x:v>1207</x:v>
      </x:c>
      <x:c r="B1210" s="9" t="n">
        <x:f>A1210*v01_SeasonSeconds/60</x:f>
        <x:v>301.75</x:v>
      </x:c>
      <x:c r="C1210" s="9" t="n">
        <x:f>A1210/4</x:f>
        <x:v>301.75</x:v>
      </x:c>
      <x:c r="D1210" s="8" t="n">
        <x:f>IF(MOD(A1210,4)=0,1,0)</x:f>
        <x:v>0</x:v>
      </x:c>
      <x:c r="E1210" s="8" t="n">
        <x:f>IF(AND(F1209&lt;=9,AS1209&gt;=AR1209),1,0)</x:f>
        <x:v>0</x:v>
      </x:c>
      <x:c r="F1210" s="8" t="n">
        <x:f>MIN(10,F1209+E1210)</x:f>
        <x:v>7</x:v>
      </x:c>
      <x:c r="G1210" s="8" t="n">
        <x:f>MIN(F1210,9)+1</x:f>
        <x:v>8</x:v>
      </x:c>
      <x:c r="H1210" s="8" t="n">
        <x:f>IF(F1210&lt;=9,1,0)</x:f>
        <x:v>1</x:v>
      </x:c>
      <x:c r="I1210" s="9" t="n">
        <x:f>MIN(10,F1209+IF(AR1209&gt;0,MIN(1,AS1209/AR1209),1))</x:f>
        <x:v>7.016051126512494</x:v>
      </x:c>
      <x:c r="J1210" s="32" t="n">
        <x:f>INDEX(v01_FoodCap,G1210)*Arch_FoodCap*EXP(v01_CapsByProject*SUMPRODUCT((Cap_Point&lt;=I1210)*(Cap_Kind="Food")*Cap_Ln))</x:f>
        <x:v>2500</x:v>
      </x:c>
      <x:c r="K1210" s="32" t="n">
        <x:f>J1210*MIN(1,v01_LeanBase*EXP(v01_CapsByProject*SUMPRODUCT((Cap_Point&lt;=I1210)*(Cap_Kind="Lean")*Cap_Ln)))</x:f>
        <x:v>2500</x:v>
      </x:c>
      <x:c r="L1210" s="10" t="n">
        <x:f>INDEX(v01_HousingCap,G1210)*EXP(v01_CapsByProject*SUMPRODUCT((Cap_Point&lt;=I1210)*(Cap_Kind="Housing")*Cap_Ln))</x:f>
        <x:v>4000</x:v>
      </x:c>
      <x:c r="M1210" s="10" t="n">
        <x:f>INDEX(v01_GroupCap,G1210)*v01_CohesionFactor*EXP(v01_CapsByProject*SUMPRODUCT((Cap_Point&lt;=I1210)*(Cap_Kind="Group")*Cap_Ln))</x:f>
        <x:v>1000000</x:v>
      </x:c>
      <x:c r="N1210" s="32" t="n">
        <x:f>MIN(J1210,L1210,M1210)</x:f>
        <x:v>2500</x:v>
      </x:c>
      <x:c r="O1210" s="10" t="n">
        <x:f>AE1209*N1210</x:f>
        <x:v>40000</x:v>
      </x:c>
      <x:c r="P1210" s="9" t="n">
        <x:f>MIN(1,(AB1209/(AE1209*IF(v01_GroupInCrowding=1,N1210,MIN(J1210,L1210))))^v01_CrowdingExp)</x:f>
        <x:v>0.0007148037864549456</x:v>
      </x:c>
      <x:c r="Q1210" s="9" t="n">
        <x:f>IF(D1210=1,INDEX(v01_WinterMult,G1210),1)</x:f>
        <x:v>1</x:v>
      </x:c>
      <x:c r="R1210" s="9" t="n">
        <x:f>H1210*Z1209*v01_WomenShare*v01_BaseFertility*INDEX(v01_FertMult,G1210)*Arch_Fertility*(1-P1210)</x:f>
        <x:v>153.42321328868326</x:v>
      </x:c>
      <x:c r="S1210" s="9" t="n">
        <x:f>H1210*Y1209*INDEX(v01_MortChild,G1210)/4*Q1210</x:f>
        <x:v>18.315577063858196</x:v>
      </x:c>
      <x:c r="T1210" s="9" t="n">
        <x:f>H1210*Z1209*INDEX(v01_MortAdult,G1210)*Arch_AdultMort/4*Q1210</x:f>
        <x:v>8.956089288375015</x:v>
      </x:c>
      <x:c r="U1210" s="9" t="n">
        <x:f>H1210*AA1209*INDEX(v01_MortElder,G1210)/4*Q1210</x:f>
        <x:v>24.485173644721176</x:v>
      </x:c>
      <x:c r="V1210" s="9" t="n">
        <x:f>H1210*MAX(0,AB1209-O1210)*v01_OvercapLoss</x:f>
        <x:v>0</x:v>
      </x:c>
      <x:c r="W1210" s="9" t="n">
        <x:f>H1210*Y1209/(v01_ChildYears*4)</x:f>
        <x:v>87.21703363741999</x:v>
      </x:c>
      <x:c r="X1210" s="9" t="n">
        <x:f>H1210*Z1209/(v01_AdultYears*4)</x:f>
        <x:v>41.272300868087626</x:v>
      </x:c>
      <x:c r="Y1210" s="32" t="n">
        <x:f>Y1209+R1210-S1210-W1210-Y1209*V1210/AB1209</x:f>
        <x:v>4932.044486282925</x:v>
      </x:c>
      <x:c r="Z1210" s="32" t="n">
        <x:f>Z1209+W1210-X1210-T1210-Z1209*V1210/AB1209</x:f>
        <x:v>5154.753951123824</x:v>
      </x:c>
      <x:c r="AA1210" s="32" t="n">
        <x:f>AA1209+X1210-U1210-AA1209*V1210/AB1209</x:f>
        <x:v>1975.6010188010603</x:v>
      </x:c>
      <x:c r="AB1210" s="10" t="n">
        <x:f>Y1210+Z1210+AA1210</x:f>
        <x:v>12062.39945620781</x:v>
      </x:c>
      <x:c r="AC1210" s="8" t="n">
        <x:f>IF(AND(v01_WinterTrigger=1,D1210=1,AB1209/AE1209&gt;=K1210),1,0)</x:f>
        <x:v>0</x:v>
      </x:c>
      <x:c r="AD1210" s="8" t="n">
        <x:f>H1210*IF(AND(OR(AB1209/AE1209&gt;=v01_FissionTrigger*N1210,AC1210=1),AB1209/AE1209*v01_DaughterShare&gt;=v01_MinDaughter),MAX(1,ROUND(AE1209*v01_FissionRate,0)),0)</x:f>
        <x:v>0</x:v>
      </x:c>
      <x:c r="AE1210" s="8" t="n">
        <x:f>IF(H1210=1,MAX(1,MIN(INDEX(v01_Smax,G1210),AE1209+AD1210)),AE1209)</x:f>
        <x:v>16</x:v>
      </x:c>
      <x:c r="AF1210" s="8" t="n">
        <x:f>MAX(0,AE1210-AE1209)</x:f>
        <x:v>0</x:v>
      </x:c>
      <x:c r="AG1210" s="9" t="str">
        <x:f>IF(AF1210&gt;0,B1210,"")</x:f>
      </x:c>
      <x:c r="AH1210" s="9" t="n">
        <x:f>IF(F1210&gt;=1,1,(1+v01_LowTiesShare*(AE1210-1))/AE1210)</x:f>
        <x:v>1</x:v>
      </x:c>
      <x:c r="AI1210" s="32" t="n">
        <x:f>(Z1210+v01_ElderCommons*INDEX(LM_Elder,G1210)*AA1210)*AH1210</x:f>
        <x:v>12563.2577716278</x:v>
      </x:c>
      <x:c r="AJ1210" s="32" t="n">
        <x:f>H1210*v01_CommonsCoef*AI1210^v01_CommonsExp*INDEX(LM_Commons,G1210)</x:f>
        <x:v>3571.8637203681533</x:v>
      </x:c>
      <x:c r="AK1210" s="32" t="n">
        <x:f>H1210*v01_RoleScale*Arch_Roles*(AE1210*(INDEX(v01_ElderRolePerSett,G1210)*v01_OutElder*INDEX(LM_Elder,G1210)+INDEX(v01_ShamanPerSett,G1210)*v01_OutShaman)+Z1210*(INDEX(v01_PriestShare,G1210)*v01_OutPriest+INDEX(v01_ScribeShare,G1210)*v01_OutScribe*INDEX(LM_Scribe,G1210)+INDEX(v01_ScholarShare,G1210)*v01_OutScholar*INDEX(LM_Scholar,G1210)+INDEX(v01_ResearcherShare,G1210)*v01_OutResearcher*INDEX(LM_Researcher,G1210)))</x:f>
        <x:v>980.721665333041</x:v>
      </x:c>
      <x:c r="AL1210" s="32" t="n">
        <x:f>H1210*v01_RoleScale*Arch_Roles*AE1210*INDEX(v01_MonasteryPerSett,G1210)*v01_OutMonastery*INDEX(LM_Monastery,G1210)</x:f>
        <x:v>10.56</x:v>
      </x:c>
      <x:c r="AM1210" s="32" t="n">
        <x:f>(AJ1210+AK1210+AL1210)/4*INDEX(LM_All,G1210)*INDEX(v01_Boon,G1210)*Arch_Insight</x:f>
        <x:v>2746.112510868135</x:v>
      </x:c>
      <x:c r="AN1210" s="32" t="n">
        <x:f>H1210*(v01_KHPerAdult*Z1210+v01_KHOfCommons*AJ1210/4*INDEX(LM_All,G1210))*v01_KHUsable*Arch_KH</x:f>
        <x:v>180.41638828933384</x:v>
      </x:c>
      <x:c r="AO1210" s="32" t="n">
        <x:f>MIN(AP1209+AN1210,AM1210*v01_KHMaxRatio)</x:f>
        <x:v>180.41638828933384</x:v>
      </x:c>
      <x:c r="AP1210" s="32" t="n">
        <x:f>AP1209+AN1210-AO1210</x:f>
        <x:v>0</x:v>
      </x:c>
      <x:c r="AQ1210" s="32" t="n">
        <x:f>AM1210+AO1210</x:f>
        <x:v>2926.528899157469</x:v>
      </x:c>
      <x:c r="AR1210" s="10" t="n">
        <x:f>IF(H1210=1,INDEX(v01_Req,G1210),0)</x:f>
        <x:v>240231.2486535</x:v>
      </x:c>
      <x:c r="AS1210" s="32" t="n">
        <x:f>IF(H1210=1,IF(E1210=1,AS1209-AR1209,AS1209)+AQ1210,0)</x:f>
        <x:v>6782.511063549266</x:v>
      </x:c>
      <x:c r="AT1210" s="11" t="n">
        <x:f>IF(AR1210&gt;0,MIN(1,AS1210/AR1210),1)</x:f>
        <x:v>0.02823325900175497</x:v>
      </x:c>
      <x:c r="AU1210" s="10" t="n">
        <x:f>AB1210/INDEX(v01_RepScale,G1210)</x:f>
        <x:v>120.6239945620781</x:v>
      </x:c>
      <x:c r="AV1210" s="32" t="n">
        <x:f>AM1210*60/v01_SeasonSeconds</x:f>
        <x:v>10984.45004347254</x:v>
      </x:c>
    </x:row>
    <x:row r="1211">
      <x:c r="A1211" s="8" t="n">
        <x:f>A1210+1</x:f>
        <x:v>1208</x:v>
      </x:c>
      <x:c r="B1211" s="9" t="n">
        <x:f>A1211*v01_SeasonSeconds/60</x:f>
        <x:v>302</x:v>
      </x:c>
      <x:c r="C1211" s="9" t="n">
        <x:f>A1211/4</x:f>
        <x:v>302</x:v>
      </x:c>
      <x:c r="D1211" s="8" t="n">
        <x:f>IF(MOD(A1211,4)=0,1,0)</x:f>
        <x:v>1</x:v>
      </x:c>
      <x:c r="E1211" s="8" t="n">
        <x:f>IF(AND(F1210&lt;=9,AS1210&gt;=AR1210),1,0)</x:f>
        <x:v>0</x:v>
      </x:c>
      <x:c r="F1211" s="8" t="n">
        <x:f>MIN(10,F1210+E1211)</x:f>
        <x:v>7</x:v>
      </x:c>
      <x:c r="G1211" s="8" t="n">
        <x:f>MIN(F1211,9)+1</x:f>
        <x:v>8</x:v>
      </x:c>
      <x:c r="H1211" s="8" t="n">
        <x:f>IF(F1211&lt;=9,1,0)</x:f>
        <x:v>1</x:v>
      </x:c>
      <x:c r="I1211" s="9" t="n">
        <x:f>MIN(10,F1210+IF(AR1210&gt;0,MIN(1,AS1210/AR1210),1))</x:f>
        <x:v>7.028233259001755</x:v>
      </x:c>
      <x:c r="J1211" s="32" t="n">
        <x:f>INDEX(v01_FoodCap,G1211)*Arch_FoodCap*EXP(v01_CapsByProject*SUMPRODUCT((Cap_Point&lt;=I1211)*(Cap_Kind="Food")*Cap_Ln))</x:f>
        <x:v>2500</x:v>
      </x:c>
      <x:c r="K1211" s="32" t="n">
        <x:f>J1211*MIN(1,v01_LeanBase*EXP(v01_CapsByProject*SUMPRODUCT((Cap_Point&lt;=I1211)*(Cap_Kind="Lean")*Cap_Ln)))</x:f>
        <x:v>2500</x:v>
      </x:c>
      <x:c r="L1211" s="10" t="n">
        <x:f>INDEX(v01_HousingCap,G1211)*EXP(v01_CapsByProject*SUMPRODUCT((Cap_Point&lt;=I1211)*(Cap_Kind="Housing")*Cap_Ln))</x:f>
        <x:v>4000</x:v>
      </x:c>
      <x:c r="M1211" s="10" t="n">
        <x:f>INDEX(v01_GroupCap,G1211)*v01_CohesionFactor*EXP(v01_CapsByProject*SUMPRODUCT((Cap_Point&lt;=I1211)*(Cap_Kind="Group")*Cap_Ln))</x:f>
        <x:v>1000000</x:v>
      </x:c>
      <x:c r="N1211" s="32" t="n">
        <x:f>MIN(J1211,L1211,M1211)</x:f>
        <x:v>2500</x:v>
      </x:c>
      <x:c r="O1211" s="10" t="n">
        <x:f>AE1210*N1211</x:f>
        <x:v>40000</x:v>
      </x:c>
      <x:c r="P1211" s="9" t="n">
        <x:f>MIN(1,(AB1210/(AE1210*IF(v01_GroupInCrowding=1,N1211,MIN(J1211,L1211))))^v01_CrowdingExp)</x:f>
        <x:v>0.000752042337056912</x:v>
      </x:c>
      <x:c r="Q1211" s="9" t="n">
        <x:f>IF(D1211=1,INDEX(v01_WinterMult,G1211),1)</x:f>
        <x:v>1</x:v>
      </x:c>
      <x:c r="R1211" s="9" t="n">
        <x:f>H1211*Z1210*v01_WomenShare*v01_BaseFertility*INDEX(v01_FertMult,G1211)*Arch_Fertility*(1-P1211)</x:f>
        <x:v>154.526320737464</x:v>
      </x:c>
      <x:c r="S1211" s="9" t="n">
        <x:f>H1211*Y1210*INDEX(v01_MortChild,G1211)/4*Q1211</x:f>
        <x:v>18.495166823560968</x:v>
      </x:c>
      <x:c r="T1211" s="9" t="n">
        <x:f>H1211*Z1210*INDEX(v01_MortAdult,G1211)*Arch_AdultMort/4*Q1211</x:f>
        <x:v>9.020819414466692</x:v>
      </x:c>
      <x:c r="U1211" s="9" t="n">
        <x:f>H1211*AA1210*INDEX(v01_MortElder,G1211)/4*Q1211</x:f>
        <x:v>24.695012735013254</x:v>
      </x:c>
      <x:c r="V1211" s="9" t="n">
        <x:f>H1211*MAX(0,AB1210-O1211)*v01_OvercapLoss</x:f>
        <x:v>0</x:v>
      </x:c>
      <x:c r="W1211" s="9" t="n">
        <x:f>H1211*Y1210/(v01_ChildYears*4)</x:f>
        <x:v>88.07222296933796</x:v>
      </x:c>
      <x:c r="X1211" s="9" t="n">
        <x:f>H1211*Z1210/(v01_AdultYears*4)</x:f>
        <x:v>41.570596380030835</x:v>
      </x:c>
      <x:c r="Y1211" s="32" t="n">
        <x:f>Y1210+R1211-S1211-W1211-Y1210*V1211/AB1210</x:f>
        <x:v>4980.00341722749</x:v>
      </x:c>
      <x:c r="Z1211" s="32" t="n">
        <x:f>Z1210+W1211-X1211-T1211-Z1210*V1211/AB1210</x:f>
        <x:v>5192.234758298664</x:v>
      </x:c>
      <x:c r="AA1211" s="32" t="n">
        <x:f>AA1210+X1211-U1211-AA1210*V1211/AB1210</x:f>
        <x:v>1992.4766024460778</x:v>
      </x:c>
      <x:c r="AB1211" s="10" t="n">
        <x:f>Y1211+Z1211+AA1211</x:f>
        <x:v>12164.714777972233</x:v>
      </x:c>
      <x:c r="AC1211" s="8" t="n">
        <x:f>IF(AND(v01_WinterTrigger=1,D1211=1,AB1210/AE1210&gt;=K1211),1,0)</x:f>
        <x:v>0</x:v>
      </x:c>
      <x:c r="AD1211" s="8" t="n">
        <x:f>H1211*IF(AND(OR(AB1210/AE1210&gt;=v01_FissionTrigger*N1211,AC1211=1),AB1210/AE1210*v01_DaughterShare&gt;=v01_MinDaughter),MAX(1,ROUND(AE1210*v01_FissionRate,0)),0)</x:f>
        <x:v>0</x:v>
      </x:c>
      <x:c r="AE1211" s="8" t="n">
        <x:f>IF(H1211=1,MAX(1,MIN(INDEX(v01_Smax,G1211),AE1210+AD1211)),AE1210)</x:f>
        <x:v>16</x:v>
      </x:c>
      <x:c r="AF1211" s="8" t="n">
        <x:f>MAX(0,AE1211-AE1210)</x:f>
        <x:v>0</x:v>
      </x:c>
      <x:c r="AG1211" s="9" t="str">
        <x:f>IF(AF1211&gt;0,B1211,"")</x:f>
      </x:c>
      <x:c r="AH1211" s="9" t="n">
        <x:f>IF(F1211&gt;=1,1,(1+v01_LowTiesShare*(AE1211-1))/AE1211)</x:f>
        <x:v>1</x:v>
      </x:c>
      <x:c r="AI1211" s="32" t="n">
        <x:f>(Z1211+v01_ElderCommons*INDEX(LM_Elder,G1211)*AA1211)*AH1211</x:f>
        <x:v>12664.022017471456</x:v>
      </x:c>
      <x:c r="AJ1211" s="32" t="n">
        <x:f>H1211*v01_CommonsCoef*AI1211^v01_CommonsExp*INDEX(LM_Commons,G1211)</x:f>
        <x:v>3596.2001839750956</x:v>
      </x:c>
      <x:c r="AK1211" s="32" t="n">
        <x:f>H1211*v01_RoleScale*Arch_Roles*(AE1211*(INDEX(v01_ElderRolePerSett,G1211)*v01_OutElder*INDEX(LM_Elder,G1211)+INDEX(v01_ShamanPerSett,G1211)*v01_OutShaman)+Z1211*(INDEX(v01_PriestShare,G1211)*v01_OutPriest+INDEX(v01_ScribeShare,G1211)*v01_OutScribe*INDEX(LM_Scribe,G1211)+INDEX(v01_ScholarShare,G1211)*v01_OutScholar*INDEX(LM_Scholar,G1211)+INDEX(v01_ResearcherShare,G1211)*v01_OutResearcher*INDEX(LM_Researcher,G1211)))</x:f>
        <x:v>987.4599648469338</x:v>
      </x:c>
      <x:c r="AL1211" s="32" t="n">
        <x:f>H1211*v01_RoleScale*Arch_Roles*AE1211*INDEX(v01_MonasteryPerSett,G1211)*v01_OutMonastery*INDEX(LM_Monastery,G1211)</x:f>
        <x:v>10.56</x:v>
      </x:c>
      <x:c r="AM1211" s="32" t="n">
        <x:f>(AJ1211+AK1211+AL1211)/4*INDEX(LM_All,G1211)*INDEX(v01_Boon,G1211)*Arch_Insight</x:f>
        <x:v>2764.813382430498</x:v>
      </x:c>
      <x:c r="AN1211" s="32" t="n">
        <x:f>H1211*(v01_KHPerAdult*Z1211+v01_KHOfCommons*AJ1211/4*INDEX(LM_All,G1211))*v01_KHUsable*Arch_KH</x:f>
        <x:v>181.72821654045322</x:v>
      </x:c>
      <x:c r="AO1211" s="32" t="n">
        <x:f>MIN(AP1210+AN1211,AM1211*v01_KHMaxRatio)</x:f>
        <x:v>181.72821654045322</x:v>
      </x:c>
      <x:c r="AP1211" s="32" t="n">
        <x:f>AP1210+AN1211-AO1211</x:f>
        <x:v>0</x:v>
      </x:c>
      <x:c r="AQ1211" s="32" t="n">
        <x:f>AM1211+AO1211</x:f>
        <x:v>2946.5415989709513</x:v>
      </x:c>
      <x:c r="AR1211" s="10" t="n">
        <x:f>IF(H1211=1,INDEX(v01_Req,G1211),0)</x:f>
        <x:v>240231.2486535</x:v>
      </x:c>
      <x:c r="AS1211" s="32" t="n">
        <x:f>IF(H1211=1,IF(E1211=1,AS1210-AR1210,AS1210)+AQ1211,0)</x:f>
        <x:v>9729.052662520216</x:v>
      </x:c>
      <x:c r="AT1211" s="11" t="n">
        <x:f>IF(AR1211&gt;0,MIN(1,AS1211/AR1211),1)</x:f>
        <x:v>0.04049869747192221</x:v>
      </x:c>
      <x:c r="AU1211" s="10" t="n">
        <x:f>AB1211/INDEX(v01_RepScale,G1211)</x:f>
        <x:v>121.64714777972233</x:v>
      </x:c>
      <x:c r="AV1211" s="32" t="n">
        <x:f>AM1211*60/v01_SeasonSeconds</x:f>
        <x:v>11059.253529721993</x:v>
      </x:c>
    </x:row>
    <x:row r="1212">
      <x:c r="A1212" s="8" t="n">
        <x:f>A1211+1</x:f>
        <x:v>1209</x:v>
      </x:c>
      <x:c r="B1212" s="9" t="n">
        <x:f>A1212*v01_SeasonSeconds/60</x:f>
        <x:v>302.25</x:v>
      </x:c>
      <x:c r="C1212" s="9" t="n">
        <x:f>A1212/4</x:f>
        <x:v>302.25</x:v>
      </x:c>
      <x:c r="D1212" s="8" t="n">
        <x:f>IF(MOD(A1212,4)=0,1,0)</x:f>
        <x:v>0</x:v>
      </x:c>
      <x:c r="E1212" s="8" t="n">
        <x:f>IF(AND(F1211&lt;=9,AS1211&gt;=AR1211),1,0)</x:f>
        <x:v>0</x:v>
      </x:c>
      <x:c r="F1212" s="8" t="n">
        <x:f>MIN(10,F1211+E1212)</x:f>
        <x:v>7</x:v>
      </x:c>
      <x:c r="G1212" s="8" t="n">
        <x:f>MIN(F1212,9)+1</x:f>
        <x:v>8</x:v>
      </x:c>
      <x:c r="H1212" s="8" t="n">
        <x:f>IF(F1212&lt;=9,1,0)</x:f>
        <x:v>1</x:v>
      </x:c>
      <x:c r="I1212" s="9" t="n">
        <x:f>MIN(10,F1211+IF(AR1211&gt;0,MIN(1,AS1211/AR1211),1))</x:f>
        <x:v>7.040498697471922</x:v>
      </x:c>
      <x:c r="J1212" s="32" t="n">
        <x:f>INDEX(v01_FoodCap,G1212)*Arch_FoodCap*EXP(v01_CapsByProject*SUMPRODUCT((Cap_Point&lt;=I1212)*(Cap_Kind="Food")*Cap_Ln))</x:f>
        <x:v>2500</x:v>
      </x:c>
      <x:c r="K1212" s="32" t="n">
        <x:f>J1212*MIN(1,v01_LeanBase*EXP(v01_CapsByProject*SUMPRODUCT((Cap_Point&lt;=I1212)*(Cap_Kind="Lean")*Cap_Ln)))</x:f>
        <x:v>2500</x:v>
      </x:c>
      <x:c r="L1212" s="10" t="n">
        <x:f>INDEX(v01_HousingCap,G1212)*EXP(v01_CapsByProject*SUMPRODUCT((Cap_Point&lt;=I1212)*(Cap_Kind="Housing")*Cap_Ln))</x:f>
        <x:v>4000</x:v>
      </x:c>
      <x:c r="M1212" s="10" t="n">
        <x:f>INDEX(v01_GroupCap,G1212)*v01_CohesionFactor*EXP(v01_CapsByProject*SUMPRODUCT((Cap_Point&lt;=I1212)*(Cap_Kind="Group")*Cap_Ln))</x:f>
        <x:v>1000000</x:v>
      </x:c>
      <x:c r="N1212" s="32" t="n">
        <x:f>MIN(J1212,L1212,M1212)</x:f>
        <x:v>2500</x:v>
      </x:c>
      <x:c r="O1212" s="10" t="n">
        <x:f>AE1211*N1212</x:f>
        <x:v>40000</x:v>
      </x:c>
      <x:c r="P1212" s="9" t="n">
        <x:f>MIN(1,(AB1211/(AE1211*IF(v01_GroupInCrowding=1,N1212,MIN(J1212,L1212))))^v01_CrowdingExp)</x:f>
        <x:v>0.0007911368900966718</x:v>
      </x:c>
      <x:c r="Q1212" s="9" t="n">
        <x:f>IF(D1212=1,INDEX(v01_WinterMult,G1212),1)</x:f>
        <x:v>1</x:v>
      </x:c>
      <x:c r="R1212" s="9" t="n">
        <x:f>H1212*Z1211*v01_WomenShare*v01_BaseFertility*INDEX(v01_FertMult,G1212)*Arch_Fertility*(1-P1212)</x:f>
        <x:v>155.64380969517993</x:v>
      </x:c>
      <x:c r="S1212" s="9" t="n">
        <x:f>H1212*Y1211*INDEX(v01_MortChild,G1212)/4*Q1212</x:f>
        <x:v>18.675012814603086</x:v>
      </x:c>
      <x:c r="T1212" s="9" t="n">
        <x:f>H1212*Z1211*INDEX(v01_MortAdult,G1212)*Arch_AdultMort/4*Q1212</x:f>
        <x:v>9.086410827022663</x:v>
      </x:c>
      <x:c r="U1212" s="9" t="n">
        <x:f>H1212*AA1211*INDEX(v01_MortElder,G1212)/4*Q1212</x:f>
        <x:v>24.905957530575975</x:v>
      </x:c>
      <x:c r="V1212" s="9" t="n">
        <x:f>H1212*MAX(0,AB1211-O1212)*v01_OvercapLoss</x:f>
        <x:v>0</x:v>
      </x:c>
      <x:c r="W1212" s="9" t="n">
        <x:f>H1212*Y1211/(v01_ChildYears*4)</x:f>
        <x:v>88.9286324504909</x:v>
      </x:c>
      <x:c r="X1212" s="9" t="n">
        <x:f>H1212*Z1211/(v01_AdultYears*4)</x:f>
        <x:v>41.87286095402148</x:v>
      </x:c>
      <x:c r="Y1212" s="32" t="n">
        <x:f>Y1211+R1212-S1212-W1212-Y1211*V1212/AB1211</x:f>
        <x:v>5028.0435816575755</x:v>
      </x:c>
      <x:c r="Z1212" s="32" t="n">
        <x:f>Z1211+W1212-X1212-T1212-Z1211*V1212/AB1211</x:f>
        <x:v>5230.204118968111</x:v>
      </x:c>
      <x:c r="AA1212" s="32" t="n">
        <x:f>AA1211+X1212-U1212-AA1211*V1212/AB1211</x:f>
        <x:v>2009.4435058695233</x:v>
      </x:c>
      <x:c r="AB1212" s="10" t="n">
        <x:f>Y1212+Z1212+AA1212</x:f>
        <x:v>12267.69120649521</x:v>
      </x:c>
      <x:c r="AC1212" s="8" t="n">
        <x:f>IF(AND(v01_WinterTrigger=1,D1212=1,AB1211/AE1211&gt;=K1212),1,0)</x:f>
        <x:v>0</x:v>
      </x:c>
      <x:c r="AD1212" s="8" t="n">
        <x:f>H1212*IF(AND(OR(AB1211/AE1211&gt;=v01_FissionTrigger*N1212,AC1212=1),AB1211/AE1211*v01_DaughterShare&gt;=v01_MinDaughter),MAX(1,ROUND(AE1211*v01_FissionRate,0)),0)</x:f>
        <x:v>0</x:v>
      </x:c>
      <x:c r="AE1212" s="8" t="n">
        <x:f>IF(H1212=1,MAX(1,MIN(INDEX(v01_Smax,G1212),AE1211+AD1212)),AE1211)</x:f>
        <x:v>16</x:v>
      </x:c>
      <x:c r="AF1212" s="8" t="n">
        <x:f>MAX(0,AE1212-AE1211)</x:f>
        <x:v>0</x:v>
      </x:c>
      <x:c r="AG1212" s="9" t="str">
        <x:f>IF(AF1212&gt;0,B1212,"")</x:f>
      </x:c>
      <x:c r="AH1212" s="9" t="n">
        <x:f>IF(F1212&gt;=1,1,(1+v01_LowTiesShare*(AE1212-1))/AE1212)</x:f>
        <x:v>1</x:v>
      </x:c>
      <x:c r="AI1212" s="32" t="n">
        <x:f>(Z1212+v01_ElderCommons*INDEX(LM_Elder,G1212)*AA1212)*AH1212</x:f>
        <x:v>12765.617265978824</x:v>
      </x:c>
      <x:c r="AJ1212" s="32" t="n">
        <x:f>H1212*v01_CommonsCoef*AI1212^v01_CommonsExp*INDEX(LM_Commons,G1212)</x:f>
        <x:v>3620.707962212717</x:v>
      </x:c>
      <x:c r="AK1212" s="32" t="n">
        <x:f>H1212*v01_RoleScale*Arch_Roles*(AE1212*(INDEX(v01_ElderRolePerSett,G1212)*v01_OutElder*INDEX(LM_Elder,G1212)+INDEX(v01_ShamanPerSett,G1212)*v01_OutShaman)+Z1212*(INDEX(v01_PriestShare,G1212)*v01_OutPriest+INDEX(v01_ScribeShare,G1212)*v01_OutScribe*INDEX(LM_Scribe,G1212)+INDEX(v01_ScholarShare,G1212)*v01_OutScholar*INDEX(LM_Scholar,G1212)+INDEX(v01_ResearcherShare,G1212)*v01_OutResearcher*INDEX(LM_Researcher,G1212)))</x:f>
        <x:v>994.286096508087</x:v>
      </x:c>
      <x:c r="AL1212" s="32" t="n">
        <x:f>H1212*v01_RoleScale*Arch_Roles*AE1212*INDEX(v01_MonasteryPerSett,G1212)*v01_OutMonastery*INDEX(LM_Monastery,G1212)</x:f>
        <x:v>10.56</x:v>
      </x:c>
      <x:c r="AM1212" s="32" t="n">
        <x:f>(AJ1212+AK1212+AL1212)/4*INDEX(LM_All,G1212)*INDEX(v01_Boon,G1212)*Arch_Insight</x:f>
        <x:v>2783.670209183612</x:v>
      </x:c>
      <x:c r="AN1212" s="32" t="n">
        <x:f>H1212*(v01_KHPerAdult*Z1212+v01_KHOfCommons*AJ1212/4*INDEX(LM_All,G1212))*v01_KHUsable*Arch_KH</x:f>
        <x:v>183.05714416388392</x:v>
      </x:c>
      <x:c r="AO1212" s="32" t="n">
        <x:f>MIN(AP1211+AN1212,AM1212*v01_KHMaxRatio)</x:f>
        <x:v>183.05714416388392</x:v>
      </x:c>
      <x:c r="AP1212" s="32" t="n">
        <x:f>AP1211+AN1212-AO1212</x:f>
        <x:v>0</x:v>
      </x:c>
      <x:c r="AQ1212" s="32" t="n">
        <x:f>AM1212+AO1212</x:f>
        <x:v>2966.727353347496</x:v>
      </x:c>
      <x:c r="AR1212" s="10" t="n">
        <x:f>IF(H1212=1,INDEX(v01_Req,G1212),0)</x:f>
        <x:v>240231.2486535</x:v>
      </x:c>
      <x:c r="AS1212" s="32" t="n">
        <x:f>IF(H1212=1,IF(E1212=1,AS1211-AR1211,AS1211)+AQ1212,0)</x:f>
        <x:v>12695.780015867713</x:v>
      </x:c>
      <x:c r="AT1212" s="11" t="n">
        <x:f>IF(AR1212&gt;0,MIN(1,AS1212/AR1212),1)</x:f>
        <x:v>0.05284816228957625</x:v>
      </x:c>
      <x:c r="AU1212" s="10" t="n">
        <x:f>AB1212/INDEX(v01_RepScale,G1212)</x:f>
        <x:v>122.6769120649521</x:v>
      </x:c>
      <x:c r="AV1212" s="32" t="n">
        <x:f>AM1212*60/v01_SeasonSeconds</x:f>
        <x:v>11134.680836734447</x:v>
      </x:c>
    </x:row>
    <x:row r="1213">
      <x:c r="A1213" s="8" t="n">
        <x:f>A1212+1</x:f>
        <x:v>1210</x:v>
      </x:c>
      <x:c r="B1213" s="9" t="n">
        <x:f>A1213*v01_SeasonSeconds/60</x:f>
        <x:v>302.5</x:v>
      </x:c>
      <x:c r="C1213" s="9" t="n">
        <x:f>A1213/4</x:f>
        <x:v>302.5</x:v>
      </x:c>
      <x:c r="D1213" s="8" t="n">
        <x:f>IF(MOD(A1213,4)=0,1,0)</x:f>
        <x:v>0</x:v>
      </x:c>
      <x:c r="E1213" s="8" t="n">
        <x:f>IF(AND(F1212&lt;=9,AS1212&gt;=AR1212),1,0)</x:f>
        <x:v>0</x:v>
      </x:c>
      <x:c r="F1213" s="8" t="n">
        <x:f>MIN(10,F1212+E1213)</x:f>
        <x:v>7</x:v>
      </x:c>
      <x:c r="G1213" s="8" t="n">
        <x:f>MIN(F1213,9)+1</x:f>
        <x:v>8</x:v>
      </x:c>
      <x:c r="H1213" s="8" t="n">
        <x:f>IF(F1213&lt;=9,1,0)</x:f>
        <x:v>1</x:v>
      </x:c>
      <x:c r="I1213" s="9" t="n">
        <x:f>MIN(10,F1212+IF(AR1212&gt;0,MIN(1,AS1212/AR1212),1))</x:f>
        <x:v>7.0528481622895765</x:v>
      </x:c>
      <x:c r="J1213" s="32" t="n">
        <x:f>INDEX(v01_FoodCap,G1213)*Arch_FoodCap*EXP(v01_CapsByProject*SUMPRODUCT((Cap_Point&lt;=I1213)*(Cap_Kind="Food")*Cap_Ln))</x:f>
        <x:v>2500</x:v>
      </x:c>
      <x:c r="K1213" s="32" t="n">
        <x:f>J1213*MIN(1,v01_LeanBase*EXP(v01_CapsByProject*SUMPRODUCT((Cap_Point&lt;=I1213)*(Cap_Kind="Lean")*Cap_Ln)))</x:f>
        <x:v>2500</x:v>
      </x:c>
      <x:c r="L1213" s="10" t="n">
        <x:f>INDEX(v01_HousingCap,G1213)*EXP(v01_CapsByProject*SUMPRODUCT((Cap_Point&lt;=I1213)*(Cap_Kind="Housing")*Cap_Ln))</x:f>
        <x:v>4000</x:v>
      </x:c>
      <x:c r="M1213" s="10" t="n">
        <x:f>INDEX(v01_GroupCap,G1213)*v01_CohesionFactor*EXP(v01_CapsByProject*SUMPRODUCT((Cap_Point&lt;=I1213)*(Cap_Kind="Group")*Cap_Ln))</x:f>
        <x:v>1000000</x:v>
      </x:c>
      <x:c r="N1213" s="32" t="n">
        <x:f>MIN(J1213,L1213,M1213)</x:f>
        <x:v>2500</x:v>
      </x:c>
      <x:c r="O1213" s="10" t="n">
        <x:f>AE1212*N1213</x:f>
        <x:v>40000</x:v>
      </x:c>
      <x:c r="P1213" s="9" t="n">
        <x:f>MIN(1,(AB1212/(AE1212*IF(v01_GroupInCrowding=1,N1213,MIN(J1213,L1213))))^v01_CrowdingExp)</x:f>
        <x:v>0.0008321796017443402</x:v>
      </x:c>
      <x:c r="Q1213" s="9" t="n">
        <x:f>IF(D1213=1,INDEX(v01_WinterMult,G1213),1)</x:f>
        <x:v>1</x:v>
      </x:c>
      <x:c r="R1213" s="9" t="n">
        <x:f>H1213*Z1212*v01_WomenShare*v01_BaseFertility*INDEX(v01_FertMult,G1213)*Arch_Fertility*(1-P1213)</x:f>
        <x:v>156.7755494936204</x:v>
      </x:c>
      <x:c r="S1213" s="9" t="n">
        <x:f>H1213*Y1212*INDEX(v01_MortChild,G1213)/4*Q1213</x:f>
        <x:v>18.855163431215907</x:v>
      </x:c>
      <x:c r="T1213" s="9" t="n">
        <x:f>H1213*Z1212*INDEX(v01_MortAdult,G1213)*Arch_AdultMort/4*Q1213</x:f>
        <x:v>9.152857208194195</x:v>
      </x:c>
      <x:c r="U1213" s="9" t="n">
        <x:f>H1213*AA1212*INDEX(v01_MortElder,G1213)/4*Q1213</x:f>
        <x:v>25.118043823369042</x:v>
      </x:c>
      <x:c r="V1213" s="9" t="n">
        <x:f>H1213*MAX(0,AB1212-O1213)*v01_OvercapLoss</x:f>
        <x:v>0</x:v>
      </x:c>
      <x:c r="W1213" s="9" t="n">
        <x:f>H1213*Y1212/(v01_ChildYears*4)</x:f>
        <x:v>89.78649252959956</x:v>
      </x:c>
      <x:c r="X1213" s="9" t="n">
        <x:f>H1213*Z1212/(v01_AdultYears*4)</x:f>
        <x:v>42.17906547554929</x:v>
      </x:c>
      <x:c r="Y1213" s="32" t="n">
        <x:f>Y1212+R1213-S1213-W1213-Y1212*V1213/AB1212</x:f>
        <x:v>5076.1774751903795</x:v>
      </x:c>
      <x:c r="Z1213" s="32" t="n">
        <x:f>Z1212+W1213-X1213-T1213-Z1212*V1213/AB1212</x:f>
        <x:v>5268.658688813967</x:v>
      </x:c>
      <x:c r="AA1213" s="32" t="n">
        <x:f>AA1212+X1213-U1213-AA1212*V1213/AB1212</x:f>
        <x:v>2026.5045275217035</x:v>
      </x:c>
      <x:c r="AB1213" s="10" t="n">
        <x:f>Y1213+Z1213+AA1213</x:f>
        <x:v>12371.340691526051</x:v>
      </x:c>
      <x:c r="AC1213" s="8" t="n">
        <x:f>IF(AND(v01_WinterTrigger=1,D1213=1,AB1212/AE1212&gt;=K1213),1,0)</x:f>
        <x:v>0</x:v>
      </x:c>
      <x:c r="AD1213" s="8" t="n">
        <x:f>H1213*IF(AND(OR(AB1212/AE1212&gt;=v01_FissionTrigger*N1213,AC1213=1),AB1212/AE1212*v01_DaughterShare&gt;=v01_MinDaughter),MAX(1,ROUND(AE1212*v01_FissionRate,0)),0)</x:f>
        <x:v>0</x:v>
      </x:c>
      <x:c r="AE1213" s="8" t="n">
        <x:f>IF(H1213=1,MAX(1,MIN(INDEX(v01_Smax,G1213),AE1212+AD1213)),AE1212)</x:f>
        <x:v>16</x:v>
      </x:c>
      <x:c r="AF1213" s="8" t="n">
        <x:f>MAX(0,AE1213-AE1212)</x:f>
        <x:v>0</x:v>
      </x:c>
      <x:c r="AG1213" s="9" t="str">
        <x:f>IF(AF1213&gt;0,B1213,"")</x:f>
      </x:c>
      <x:c r="AH1213" s="9" t="n">
        <x:f>IF(F1213&gt;=1,1,(1+v01_LowTiesShare*(AE1213-1))/AE1213)</x:f>
        <x:v>1</x:v>
      </x:c>
      <x:c r="AI1213" s="32" t="n">
        <x:f>(Z1213+v01_ElderCommons*INDEX(LM_Elder,G1213)*AA1213)*AH1213</x:f>
        <x:v>12868.050667020354</x:v>
      </x:c>
      <x:c r="AJ1213" s="32" t="n">
        <x:f>H1213*v01_CommonsCoef*AI1213^v01_CommonsExp*INDEX(LM_Commons,G1213)</x:f>
        <x:v>3645.3883258636815</x:v>
      </x:c>
      <x:c r="AK1213" s="32" t="n">
        <x:f>H1213*v01_RoleScale*Arch_Roles*(AE1213*(INDEX(v01_ElderRolePerSett,G1213)*v01_OutElder*INDEX(LM_Elder,G1213)+INDEX(v01_ShamanPerSett,G1213)*v01_OutShaman)+Z1213*(INDEX(v01_PriestShare,G1213)*v01_OutPriest+INDEX(v01_ScribeShare,G1213)*v01_OutScribe*INDEX(LM_Scribe,G1213)+INDEX(v01_ScholarShare,G1213)*v01_OutScholar*INDEX(LM_Scholar,G1213)+INDEX(v01_ResearcherShare,G1213)*v01_OutResearcher*INDEX(LM_Researcher,G1213)))</x:f>
        <x:v>1001.199459074975</x:v>
      </x:c>
      <x:c r="AL1213" s="32" t="n">
        <x:f>H1213*v01_RoleScale*Arch_Roles*AE1213*INDEX(v01_MonasteryPerSett,G1213)*v01_OutMonastery*INDEX(LM_Monastery,G1213)</x:f>
        <x:v>10.56</x:v>
      </x:c>
      <x:c r="AM1213" s="32" t="n">
        <x:f>(AJ1213+AK1213+AL1213)/4*INDEX(LM_All,G1213)*INDEX(v01_Boon,G1213)*Arch_Insight</x:f>
        <x:v>2802.6833940590386</x:v>
      </x:c>
      <x:c r="AN1213" s="32" t="n">
        <x:f>H1213*(v01_KHPerAdult*Z1213+v01_KHOfCommons*AJ1213/4*INDEX(LM_All,G1213))*v01_KHUsable*Arch_KH</x:f>
        <x:v>184.40305410848885</x:v>
      </x:c>
      <x:c r="AO1213" s="32" t="n">
        <x:f>MIN(AP1212+AN1213,AM1213*v01_KHMaxRatio)</x:f>
        <x:v>184.40305410848885</x:v>
      </x:c>
      <x:c r="AP1213" s="32" t="n">
        <x:f>AP1212+AN1213-AO1213</x:f>
        <x:v>0</x:v>
      </x:c>
      <x:c r="AQ1213" s="32" t="n">
        <x:f>AM1213+AO1213</x:f>
        <x:v>2987.0864481675276</x:v>
      </x:c>
      <x:c r="AR1213" s="10" t="n">
        <x:f>IF(H1213=1,INDEX(v01_Req,G1213),0)</x:f>
        <x:v>240231.2486535</x:v>
      </x:c>
      <x:c r="AS1213" s="32" t="n">
        <x:f>IF(H1213=1,IF(E1213=1,AS1212-AR1212,AS1212)+AQ1213,0)</x:f>
        <x:v>15682.86646403524</x:v>
      </x:c>
      <x:c r="AT1213" s="11" t="n">
        <x:f>IF(AR1213&gt;0,MIN(1,AS1213/AR1213),1)</x:f>
        <x:v>0.06528237501131913</x:v>
      </x:c>
      <x:c r="AU1213" s="10" t="n">
        <x:f>AB1213/INDEX(v01_RepScale,G1213)</x:f>
        <x:v>123.7134069152605</x:v>
      </x:c>
      <x:c r="AV1213" s="32" t="n">
        <x:f>AM1213*60/v01_SeasonSeconds</x:f>
        <x:v>11210.733576236154</x:v>
      </x:c>
    </x:row>
    <x:row r="1214">
      <x:c r="A1214" s="8" t="n">
        <x:f>A1213+1</x:f>
        <x:v>1211</x:v>
      </x:c>
      <x:c r="B1214" s="9" t="n">
        <x:f>A1214*v01_SeasonSeconds/60</x:f>
        <x:v>302.75</x:v>
      </x:c>
      <x:c r="C1214" s="9" t="n">
        <x:f>A1214/4</x:f>
        <x:v>302.75</x:v>
      </x:c>
      <x:c r="D1214" s="8" t="n">
        <x:f>IF(MOD(A1214,4)=0,1,0)</x:f>
        <x:v>0</x:v>
      </x:c>
      <x:c r="E1214" s="8" t="n">
        <x:f>IF(AND(F1213&lt;=9,AS1213&gt;=AR1213),1,0)</x:f>
        <x:v>0</x:v>
      </x:c>
      <x:c r="F1214" s="8" t="n">
        <x:f>MIN(10,F1213+E1214)</x:f>
        <x:v>7</x:v>
      </x:c>
      <x:c r="G1214" s="8" t="n">
        <x:f>MIN(F1214,9)+1</x:f>
        <x:v>8</x:v>
      </x:c>
      <x:c r="H1214" s="8" t="n">
        <x:f>IF(F1214&lt;=9,1,0)</x:f>
        <x:v>1</x:v>
      </x:c>
      <x:c r="I1214" s="9" t="n">
        <x:f>MIN(10,F1213+IF(AR1213&gt;0,MIN(1,AS1213/AR1213),1))</x:f>
        <x:v>7.065282375011319</x:v>
      </x:c>
      <x:c r="J1214" s="32" t="n">
        <x:f>INDEX(v01_FoodCap,G1214)*Arch_FoodCap*EXP(v01_CapsByProject*SUMPRODUCT((Cap_Point&lt;=I1214)*(Cap_Kind="Food")*Cap_Ln))</x:f>
        <x:v>2500</x:v>
      </x:c>
      <x:c r="K1214" s="32" t="n">
        <x:f>J1214*MIN(1,v01_LeanBase*EXP(v01_CapsByProject*SUMPRODUCT((Cap_Point&lt;=I1214)*(Cap_Kind="Lean")*Cap_Ln)))</x:f>
        <x:v>2500</x:v>
      </x:c>
      <x:c r="L1214" s="10" t="n">
        <x:f>INDEX(v01_HousingCap,G1214)*EXP(v01_CapsByProject*SUMPRODUCT((Cap_Point&lt;=I1214)*(Cap_Kind="Housing")*Cap_Ln))</x:f>
        <x:v>4000</x:v>
      </x:c>
      <x:c r="M1214" s="10" t="n">
        <x:f>INDEX(v01_GroupCap,G1214)*v01_CohesionFactor*EXP(v01_CapsByProject*SUMPRODUCT((Cap_Point&lt;=I1214)*(Cap_Kind="Group")*Cap_Ln))</x:f>
        <x:v>1000000</x:v>
      </x:c>
      <x:c r="N1214" s="32" t="n">
        <x:f>MIN(J1214,L1214,M1214)</x:f>
        <x:v>2500</x:v>
      </x:c>
      <x:c r="O1214" s="10" t="n">
        <x:f>AE1213*N1214</x:f>
        <x:v>40000</x:v>
      </x:c>
      <x:c r="P1214" s="9" t="n">
        <x:f>MIN(1,(AB1213/(AE1213*IF(v01_GroupInCrowding=1,N1214,MIN(J1214,L1214))))^v01_CrowdingExp)</x:f>
        <x:v>0.0008752672002625552</x:v>
      </x:c>
      <x:c r="Q1214" s="9" t="n">
        <x:f>IF(D1214=1,INDEX(v01_WinterMult,G1214),1)</x:f>
        <x:v>1</x:v>
      </x:c>
      <x:c r="R1214" s="9" t="n">
        <x:f>H1214*Z1213*v01_WomenShare*v01_BaseFertility*INDEX(v01_FertMult,G1214)*Arch_Fertility*(1-P1214)</x:f>
        <x:v>157.92141614022808</x:v>
      </x:c>
      <x:c r="S1214" s="9" t="n">
        <x:f>H1214*Y1213*INDEX(v01_MortChild,G1214)/4*Q1214</x:f>
        <x:v>19.03566553196392</x:v>
      </x:c>
      <x:c r="T1214" s="9" t="n">
        <x:f>H1214*Z1213*INDEX(v01_MortAdult,G1214)*Arch_AdultMort/4*Q1214</x:f>
        <x:v>9.220152705424443</x:v>
      </x:c>
      <x:c r="U1214" s="9" t="n">
        <x:f>H1214*AA1213*INDEX(v01_MortElder,G1214)/4*Q1214</x:f>
        <x:v>25.331306594021296</x:v>
      </x:c>
      <x:c r="V1214" s="9" t="n">
        <x:f>H1214*MAX(0,AB1213-O1214)*v01_OvercapLoss</x:f>
        <x:v>0</x:v>
      </x:c>
      <x:c r="W1214" s="9" t="n">
        <x:f>H1214*Y1213/(v01_ChildYears*4)</x:f>
        <x:v>90.64602634268535</x:v>
      </x:c>
      <x:c r="X1214" s="9" t="n">
        <x:f>H1214*Z1213/(v01_AdultYears*4)</x:f>
        <x:v>42.48918297430619</x:v>
      </x:c>
      <x:c r="Y1214" s="32" t="n">
        <x:f>Y1213+R1214-S1214-W1214-Y1213*V1214/AB1213</x:f>
        <x:v>5124.417199455958</x:v>
      </x:c>
      <x:c r="Z1214" s="32" t="n">
        <x:f>Z1213+W1214-X1214-T1214-Z1213*V1214/AB1213</x:f>
        <x:v>5307.595379476921</x:v>
      </x:c>
      <x:c r="AA1214" s="32" t="n">
        <x:f>AA1213+X1214-U1214-AA1213*V1214/AB1213</x:f>
        <x:v>2043.6624039019882</x:v>
      </x:c>
      <x:c r="AB1214" s="10" t="n">
        <x:f>Y1214+Z1214+AA1214</x:f>
        <x:v>12475.674982834867</x:v>
      </x:c>
      <x:c r="AC1214" s="8" t="n">
        <x:f>IF(AND(v01_WinterTrigger=1,D1214=1,AB1213/AE1213&gt;=K1214),1,0)</x:f>
        <x:v>0</x:v>
      </x:c>
      <x:c r="AD1214" s="8" t="n">
        <x:f>H1214*IF(AND(OR(AB1213/AE1213&gt;=v01_FissionTrigger*N1214,AC1214=1),AB1213/AE1213*v01_DaughterShare&gt;=v01_MinDaughter),MAX(1,ROUND(AE1213*v01_FissionRate,0)),0)</x:f>
        <x:v>0</x:v>
      </x:c>
      <x:c r="AE1214" s="8" t="n">
        <x:f>IF(H1214=1,MAX(1,MIN(INDEX(v01_Smax,G1214),AE1213+AD1214)),AE1213)</x:f>
        <x:v>16</x:v>
      </x:c>
      <x:c r="AF1214" s="8" t="n">
        <x:f>MAX(0,AE1214-AE1213)</x:f>
        <x:v>0</x:v>
      </x:c>
      <x:c r="AG1214" s="9" t="str">
        <x:f>IF(AF1214&gt;0,B1214,"")</x:f>
      </x:c>
      <x:c r="AH1214" s="9" t="n">
        <x:f>IF(F1214&gt;=1,1,(1+v01_LowTiesShare*(AE1214-1))/AE1214)</x:f>
        <x:v>1</x:v>
      </x:c>
      <x:c r="AI1214" s="32" t="n">
        <x:f>(Z1214+v01_ElderCommons*INDEX(LM_Elder,G1214)*AA1214)*AH1214</x:f>
        <x:v>12971.329394109376</x:v>
      </x:c>
      <x:c r="AJ1214" s="32" t="n">
        <x:f>H1214*v01_CommonsCoef*AI1214^v01_CommonsExp*INDEX(LM_Commons,G1214)</x:f>
        <x:v>3670.2425458627595</x:v>
      </x:c>
      <x:c r="AK1214" s="32" t="n">
        <x:f>H1214*v01_RoleScale*Arch_Roles*(AE1214*(INDEX(v01_ElderRolePerSett,G1214)*v01_OutElder*INDEX(LM_Elder,G1214)+INDEX(v01_ShamanPerSett,G1214)*v01_OutShaman)+Z1214*(INDEX(v01_PriestShare,G1214)*v01_OutPriest+INDEX(v01_ScribeShare,G1214)*v01_OutScribe*INDEX(LM_Scribe,G1214)+INDEX(v01_ScholarShare,G1214)*v01_OutScholar*INDEX(LM_Scholar,G1214)+INDEX(v01_ResearcherShare,G1214)*v01_OutResearcher*INDEX(LM_Researcher,G1214)))</x:f>
        <x:v>1008.1994973223609</x:v>
      </x:c>
      <x:c r="AL1214" s="32" t="n">
        <x:f>H1214*v01_RoleScale*Arch_Roles*AE1214*INDEX(v01_MonasteryPerSett,G1214)*v01_OutMonastery*INDEX(LM_Monastery,G1214)</x:f>
        <x:v>10.56</x:v>
      </x:c>
      <x:c r="AM1214" s="32" t="n">
        <x:f>(AJ1214+AK1214+AL1214)/4*INDEX(LM_All,G1214)*INDEX(v01_Boon,G1214)*Arch_Insight</x:f>
        <x:v>2821.8533677725977</x:v>
      </x:c>
      <x:c r="AN1214" s="32" t="n">
        <x:f>H1214*(v01_KHPerAdult*Z1214+v01_KHOfCommons*AJ1214/4*INDEX(LM_All,G1214))*v01_KHUsable*Arch_KH</x:f>
        <x:v>185.76583828169223</x:v>
      </x:c>
      <x:c r="AO1214" s="32" t="n">
        <x:f>MIN(AP1213+AN1214,AM1214*v01_KHMaxRatio)</x:f>
        <x:v>185.76583828169223</x:v>
      </x:c>
      <x:c r="AP1214" s="32" t="n">
        <x:f>AP1213+AN1214-AO1214</x:f>
        <x:v>0</x:v>
      </x:c>
      <x:c r="AQ1214" s="32" t="n">
        <x:f>AM1214+AO1214</x:f>
        <x:v>3007.61920605429</x:v>
      </x:c>
      <x:c r="AR1214" s="10" t="n">
        <x:f>IF(H1214=1,INDEX(v01_Req,G1214),0)</x:f>
        <x:v>240231.2486535</x:v>
      </x:c>
      <x:c r="AS1214" s="32" t="n">
        <x:f>IF(H1214=1,IF(E1214=1,AS1213-AR1213,AS1213)+AQ1214,0)</x:f>
        <x:v>18690.48567008953</x:v>
      </x:c>
      <x:c r="AT1214" s="11" t="n">
        <x:f>IF(AR1214&gt;0,MIN(1,AS1214/AR1214),1)</x:f>
        <x:v>0.07780205853672244</x:v>
      </x:c>
      <x:c r="AU1214" s="10" t="n">
        <x:f>AB1214/INDEX(v01_RepScale,G1214)</x:f>
        <x:v>124.75674982834867</x:v>
      </x:c>
      <x:c r="AV1214" s="32" t="n">
        <x:f>AM1214*60/v01_SeasonSeconds</x:f>
        <x:v>11287.41347109039</x:v>
      </x:c>
    </x:row>
    <x:row r="1215">
      <x:c r="A1215" s="8" t="n">
        <x:f>A1214+1</x:f>
        <x:v>1212</x:v>
      </x:c>
      <x:c r="B1215" s="9" t="n">
        <x:f>A1215*v01_SeasonSeconds/60</x:f>
        <x:v>303</x:v>
      </x:c>
      <x:c r="C1215" s="9" t="n">
        <x:f>A1215/4</x:f>
        <x:v>303</x:v>
      </x:c>
      <x:c r="D1215" s="8" t="n">
        <x:f>IF(MOD(A1215,4)=0,1,0)</x:f>
        <x:v>1</x:v>
      </x:c>
      <x:c r="E1215" s="8" t="n">
        <x:f>IF(AND(F1214&lt;=9,AS1214&gt;=AR1214),1,0)</x:f>
        <x:v>0</x:v>
      </x:c>
      <x:c r="F1215" s="8" t="n">
        <x:f>MIN(10,F1214+E1215)</x:f>
        <x:v>7</x:v>
      </x:c>
      <x:c r="G1215" s="8" t="n">
        <x:f>MIN(F1215,9)+1</x:f>
        <x:v>8</x:v>
      </x:c>
      <x:c r="H1215" s="8" t="n">
        <x:f>IF(F1215&lt;=9,1,0)</x:f>
        <x:v>1</x:v>
      </x:c>
      <x:c r="I1215" s="9" t="n">
        <x:f>MIN(10,F1214+IF(AR1214&gt;0,MIN(1,AS1214/AR1214),1))</x:f>
        <x:v>7.077802058536722</x:v>
      </x:c>
      <x:c r="J1215" s="32" t="n">
        <x:f>INDEX(v01_FoodCap,G1215)*Arch_FoodCap*EXP(v01_CapsByProject*SUMPRODUCT((Cap_Point&lt;=I1215)*(Cap_Kind="Food")*Cap_Ln))</x:f>
        <x:v>2500</x:v>
      </x:c>
      <x:c r="K1215" s="32" t="n">
        <x:f>J1215*MIN(1,v01_LeanBase*EXP(v01_CapsByProject*SUMPRODUCT((Cap_Point&lt;=I1215)*(Cap_Kind="Lean")*Cap_Ln)))</x:f>
        <x:v>2500</x:v>
      </x:c>
      <x:c r="L1215" s="10" t="n">
        <x:f>INDEX(v01_HousingCap,G1215)*EXP(v01_CapsByProject*SUMPRODUCT((Cap_Point&lt;=I1215)*(Cap_Kind="Housing")*Cap_Ln))</x:f>
        <x:v>4000</x:v>
      </x:c>
      <x:c r="M1215" s="10" t="n">
        <x:f>INDEX(v01_GroupCap,G1215)*v01_CohesionFactor*EXP(v01_CapsByProject*SUMPRODUCT((Cap_Point&lt;=I1215)*(Cap_Kind="Group")*Cap_Ln))</x:f>
        <x:v>1000000</x:v>
      </x:c>
      <x:c r="N1215" s="32" t="n">
        <x:f>MIN(J1215,L1215,M1215)</x:f>
        <x:v>2500</x:v>
      </x:c>
      <x:c r="O1215" s="10" t="n">
        <x:f>AE1214*N1215</x:f>
        <x:v>40000</x:v>
      </x:c>
      <x:c r="P1215" s="9" t="n">
        <x:f>MIN(1,(AB1214/(AE1214*IF(v01_GroupInCrowding=1,N1215,MIN(J1215,L1215))))^v01_CrowdingExp)</x:f>
        <x:v>0.0009205012101761681</x:v>
      </x:c>
      <x:c r="Q1215" s="9" t="n">
        <x:f>IF(D1215=1,INDEX(v01_WinterMult,G1215),1)</x:f>
        <x:v>1</x:v>
      </x:c>
      <x:c r="R1215" s="9" t="n">
        <x:f>H1215*Z1214*v01_WomenShare*v01_BaseFertility*INDEX(v01_FertMult,G1215)*Arch_Fertility*(1-P1215)</x:f>
        <x:v>159.0812919452096</x:v>
      </x:c>
      <x:c r="S1215" s="9" t="n">
        <x:f>H1215*Y1214*INDEX(v01_MortChild,G1215)/4*Q1215</x:f>
        <x:v>19.216564497959844</x:v>
      </x:c>
      <x:c r="T1215" s="9" t="n">
        <x:f>H1215*Z1214*INDEX(v01_MortAdult,G1215)*Arch_AdultMort/4*Q1215</x:f>
        <x:v>9.288291914084612</x:v>
      </x:c>
      <x:c r="U1215" s="9" t="n">
        <x:f>H1215*AA1214*INDEX(v01_MortElder,G1215)/4*Q1215</x:f>
        <x:v>25.545780048774855</x:v>
      </x:c>
      <x:c r="V1215" s="9" t="n">
        <x:f>H1215*MAX(0,AB1214-O1215)*v01_OvercapLoss</x:f>
        <x:v>0</x:v>
      </x:c>
      <x:c r="W1215" s="9" t="n">
        <x:f>H1215*Y1214/(v01_ChildYears*4)</x:f>
        <x:v>91.50744999028497</x:v>
      </x:c>
      <x:c r="X1215" s="9" t="n">
        <x:f>H1215*Z1214/(v01_AdultYears*4)</x:f>
        <x:v>42.80318854416872</x:v>
      </x:c>
      <x:c r="Y1215" s="32" t="n">
        <x:f>Y1214+R1215-S1215-W1215-Y1214*V1215/AB1214</x:f>
        <x:v>5172.774476912923</x:v>
      </x:c>
      <x:c r="Z1215" s="32" t="n">
        <x:f>Z1214+W1215-X1215-T1215-Z1214*V1215/AB1214</x:f>
        <x:v>5347.0113490089525</x:v>
      </x:c>
      <x:c r="AA1215" s="32" t="n">
        <x:f>AA1214+X1215-U1215-AA1214*V1215/AB1214</x:f>
        <x:v>2060.919812397382</x:v>
      </x:c>
      <x:c r="AB1215" s="10" t="n">
        <x:f>Y1215+Z1215+AA1215</x:f>
        <x:v>12580.705638319258</x:v>
      </x:c>
      <x:c r="AC1215" s="8" t="n">
        <x:f>IF(AND(v01_WinterTrigger=1,D1215=1,AB1214/AE1214&gt;=K1215),1,0)</x:f>
        <x:v>0</x:v>
      </x:c>
      <x:c r="AD1215" s="8" t="n">
        <x:f>H1215*IF(AND(OR(AB1214/AE1214&gt;=v01_FissionTrigger*N1215,AC1215=1),AB1214/AE1214*v01_DaughterShare&gt;=v01_MinDaughter),MAX(1,ROUND(AE1214*v01_FissionRate,0)),0)</x:f>
        <x:v>0</x:v>
      </x:c>
      <x:c r="AE1215" s="8" t="n">
        <x:f>IF(H1215=1,MAX(1,MIN(INDEX(v01_Smax,G1215),AE1214+AD1215)),AE1214)</x:f>
        <x:v>16</x:v>
      </x:c>
      <x:c r="AF1215" s="8" t="n">
        <x:f>MAX(0,AE1215-AE1214)</x:f>
        <x:v>0</x:v>
      </x:c>
      <x:c r="AG1215" s="9" t="str">
        <x:f>IF(AF1215&gt;0,B1215,"")</x:f>
      </x:c>
      <x:c r="AH1215" s="9" t="n">
        <x:f>IF(F1215&gt;=1,1,(1+v01_LowTiesShare*(AE1215-1))/AE1215)</x:f>
        <x:v>1</x:v>
      </x:c>
      <x:c r="AI1215" s="32" t="n">
        <x:f>(Z1215+v01_ElderCommons*INDEX(LM_Elder,G1215)*AA1215)*AH1215</x:f>
        <x:v>13075.460645499134</x:v>
      </x:c>
      <x:c r="AJ1215" s="32" t="n">
        <x:f>H1215*v01_CommonsCoef*AI1215^v01_CommonsExp*INDEX(LM_Commons,G1215)</x:f>
        <x:v>3695.271893555483</x:v>
      </x:c>
      <x:c r="AK1215" s="32" t="n">
        <x:f>H1215*v01_RoleScale*Arch_Roles*(AE1215*(INDEX(v01_ElderRolePerSett,G1215)*v01_OutElder*INDEX(LM_Elder,G1215)+INDEX(v01_ShamanPerSett,G1215)*v01_OutShaman)+Z1215*(INDEX(v01_PriestShare,G1215)*v01_OutPriest+INDEX(v01_ScribeShare,G1215)*v01_OutScribe*INDEX(LM_Scribe,G1215)+INDEX(v01_ScholarShare,G1215)*v01_OutScholar*INDEX(LM_Scholar,G1215)+INDEX(v01_ResearcherShare,G1215)*v01_OutResearcher*INDEX(LM_Researcher,G1215)))</x:f>
        <x:v>1015.2857003248295</x:v>
      </x:c>
      <x:c r="AL1215" s="32" t="n">
        <x:f>H1215*v01_RoleScale*Arch_Roles*AE1215*INDEX(v01_MonasteryPerSett,G1215)*v01_OutMonastery*INDEX(LM_Monastery,G1215)</x:f>
        <x:v>10.56</x:v>
      </x:c>
      <x:c r="AM1215" s="32" t="n">
        <x:f>(AJ1215+AK1215+AL1215)/4*INDEX(LM_All,G1215)*INDEX(v01_Boon,G1215)*Arch_Insight</x:f>
        <x:v>2841.1805879470508</x:v>
      </x:c>
      <x:c r="AN1215" s="32" t="n">
        <x:f>H1215*(v01_KHPerAdult*Z1215+v01_KHOfCommons*AJ1215/4*INDEX(LM_All,G1215))*v01_KHUsable*Arch_KH</x:f>
        <x:v>187.14539721531332</x:v>
      </x:c>
      <x:c r="AO1215" s="32" t="n">
        <x:f>MIN(AP1214+AN1215,AM1215*v01_KHMaxRatio)</x:f>
        <x:v>187.14539721531332</x:v>
      </x:c>
      <x:c r="AP1215" s="32" t="n">
        <x:f>AP1214+AN1215-AO1215</x:f>
        <x:v>0</x:v>
      </x:c>
      <x:c r="AQ1215" s="32" t="n">
        <x:f>AM1215+AO1215</x:f>
        <x:v>3028.3259851623643</x:v>
      </x:c>
      <x:c r="AR1215" s="10" t="n">
        <x:f>IF(H1215=1,INDEX(v01_Req,G1215),0)</x:f>
        <x:v>240231.2486535</x:v>
      </x:c>
      <x:c r="AS1215" s="32" t="n">
        <x:f>IF(H1215=1,IF(E1215=1,AS1214-AR1214,AS1214)+AQ1215,0)</x:f>
        <x:v>21718.81165525189</x:v>
      </x:c>
      <x:c r="AT1215" s="11" t="n">
        <x:f>IF(AR1215&gt;0,MIN(1,AS1215/AR1215),1)</x:f>
        <x:v>0.09040793725623199</x:v>
      </x:c>
      <x:c r="AU1215" s="10" t="n">
        <x:f>AB1215/INDEX(v01_RepScale,G1215)</x:f>
        <x:v>125.80705638319257</x:v>
      </x:c>
      <x:c r="AV1215" s="32" t="n">
        <x:f>AM1215*60/v01_SeasonSeconds</x:f>
        <x:v>11364.722351788203</x:v>
      </x:c>
    </x:row>
    <x:row r="1216">
      <x:c r="A1216" s="8" t="n">
        <x:f>A1215+1</x:f>
        <x:v>1213</x:v>
      </x:c>
      <x:c r="B1216" s="9" t="n">
        <x:f>A1216*v01_SeasonSeconds/60</x:f>
        <x:v>303.25</x:v>
      </x:c>
      <x:c r="C1216" s="9" t="n">
        <x:f>A1216/4</x:f>
        <x:v>303.25</x:v>
      </x:c>
      <x:c r="D1216" s="8" t="n">
        <x:f>IF(MOD(A1216,4)=0,1,0)</x:f>
        <x:v>0</x:v>
      </x:c>
      <x:c r="E1216" s="8" t="n">
        <x:f>IF(AND(F1215&lt;=9,AS1215&gt;=AR1215),1,0)</x:f>
        <x:v>0</x:v>
      </x:c>
      <x:c r="F1216" s="8" t="n">
        <x:f>MIN(10,F1215+E1216)</x:f>
        <x:v>7</x:v>
      </x:c>
      <x:c r="G1216" s="8" t="n">
        <x:f>MIN(F1216,9)+1</x:f>
        <x:v>8</x:v>
      </x:c>
      <x:c r="H1216" s="8" t="n">
        <x:f>IF(F1216&lt;=9,1,0)</x:f>
        <x:v>1</x:v>
      </x:c>
      <x:c r="I1216" s="9" t="n">
        <x:f>MIN(10,F1215+IF(AR1215&gt;0,MIN(1,AS1215/AR1215),1))</x:f>
        <x:v>7.090407937256232</x:v>
      </x:c>
      <x:c r="J1216" s="32" t="n">
        <x:f>INDEX(v01_FoodCap,G1216)*Arch_FoodCap*EXP(v01_CapsByProject*SUMPRODUCT((Cap_Point&lt;=I1216)*(Cap_Kind="Food")*Cap_Ln))</x:f>
        <x:v>2500</x:v>
      </x:c>
      <x:c r="K1216" s="32" t="n">
        <x:f>J1216*MIN(1,v01_LeanBase*EXP(v01_CapsByProject*SUMPRODUCT((Cap_Point&lt;=I1216)*(Cap_Kind="Lean")*Cap_Ln)))</x:f>
        <x:v>2500</x:v>
      </x:c>
      <x:c r="L1216" s="10" t="n">
        <x:f>INDEX(v01_HousingCap,G1216)*EXP(v01_CapsByProject*SUMPRODUCT((Cap_Point&lt;=I1216)*(Cap_Kind="Housing")*Cap_Ln))</x:f>
        <x:v>4000</x:v>
      </x:c>
      <x:c r="M1216" s="10" t="n">
        <x:f>INDEX(v01_GroupCap,G1216)*v01_CohesionFactor*EXP(v01_CapsByProject*SUMPRODUCT((Cap_Point&lt;=I1216)*(Cap_Kind="Group")*Cap_Ln))</x:f>
        <x:v>1000000</x:v>
      </x:c>
      <x:c r="N1216" s="32" t="n">
        <x:f>MIN(J1216,L1216,M1216)</x:f>
        <x:v>2500</x:v>
      </x:c>
      <x:c r="O1216" s="10" t="n">
        <x:f>AE1215*N1216</x:f>
        <x:v>40000</x:v>
      </x:c>
      <x:c r="P1216" s="9" t="n">
        <x:f>MIN(1,(AB1215/(AE1215*IF(v01_GroupInCrowding=1,N1216,MIN(J1216,L1216))))^v01_CrowdingExp)</x:f>
        <x:v>0.0009679881872358136</x:v>
      </x:c>
      <x:c r="Q1216" s="9" t="n">
        <x:f>IF(D1216=1,INDEX(v01_WinterMult,G1216),1)</x:f>
        <x:v>1</x:v>
      </x:c>
      <x:c r="R1216" s="9" t="n">
        <x:f>H1216*Z1215*v01_WomenShare*v01_BaseFertility*INDEX(v01_FertMult,G1216)*Arch_Fertility*(1-P1216)</x:f>
        <x:v>160.25506515558288</x:v>
      </x:c>
      <x:c r="S1216" s="9" t="n">
        <x:f>H1216*Y1215*INDEX(v01_MortChild,G1216)/4*Q1216</x:f>
        <x:v>19.39790428842346</x:v>
      </x:c>
      <x:c r="T1216" s="9" t="n">
        <x:f>H1216*Z1215*INDEX(v01_MortAdult,G1216)*Arch_AdultMort/4*Q1216</x:f>
        <x:v>9.357269860765667</x:v>
      </x:c>
      <x:c r="U1216" s="9" t="n">
        <x:f>H1216*AA1215*INDEX(v01_MortElder,G1216)/4*Q1216</x:f>
        <x:v>25.761497654967275</x:v>
      </x:c>
      <x:c r="V1216" s="9" t="n">
        <x:f>H1216*MAX(0,AB1215-O1216)*v01_OvercapLoss</x:f>
        <x:v>0</x:v>
      </x:c>
      <x:c r="W1216" s="9" t="n">
        <x:f>H1216*Y1215/(v01_ChildYears*4)</x:f>
        <x:v>92.37097280201648</x:v>
      </x:c>
      <x:c r="X1216" s="9" t="n">
        <x:f>H1216*Z1215/(v01_AdultYears*4)</x:f>
        <x:v>43.12105926620123</x:v>
      </x:c>
      <x:c r="Y1216" s="32" t="n">
        <x:f>Y1215+R1216-S1216-W1216-Y1215*V1216/AB1215</x:f>
        <x:v>5221.2606649780655</x:v>
      </x:c>
      <x:c r="Z1216" s="32" t="n">
        <x:f>Z1215+W1216-X1216-T1216-Z1215*V1216/AB1215</x:f>
        <x:v>5386.903992684002</x:v>
      </x:c>
      <x:c r="AA1216" s="32" t="n">
        <x:f>AA1215+X1216-U1216-AA1215*V1216/AB1215</x:f>
        <x:v>2078.2793740086163</x:v>
      </x:c>
      <x:c r="AB1216" s="10" t="n">
        <x:f>Y1216+Z1216+AA1216</x:f>
        <x:v>12686.444031670684</x:v>
      </x:c>
      <x:c r="AC1216" s="8" t="n">
        <x:f>IF(AND(v01_WinterTrigger=1,D1216=1,AB1215/AE1215&gt;=K1216),1,0)</x:f>
        <x:v>0</x:v>
      </x:c>
      <x:c r="AD1216" s="8" t="n">
        <x:f>H1216*IF(AND(OR(AB1215/AE1215&gt;=v01_FissionTrigger*N1216,AC1216=1),AB1215/AE1215*v01_DaughterShare&gt;=v01_MinDaughter),MAX(1,ROUND(AE1215*v01_FissionRate,0)),0)</x:f>
        <x:v>0</x:v>
      </x:c>
      <x:c r="AE1216" s="8" t="n">
        <x:f>IF(H1216=1,MAX(1,MIN(INDEX(v01_Smax,G1216),AE1215+AD1216)),AE1215)</x:f>
        <x:v>16</x:v>
      </x:c>
      <x:c r="AF1216" s="8" t="n">
        <x:f>MAX(0,AE1216-AE1215)</x:f>
        <x:v>0</x:v>
      </x:c>
      <x:c r="AG1216" s="9" t="str">
        <x:f>IF(AF1216&gt;0,B1216,"")</x:f>
      </x:c>
      <x:c r="AH1216" s="9" t="n">
        <x:f>IF(F1216&gt;=1,1,(1+v01_LowTiesShare*(AE1216-1))/AE1216)</x:f>
        <x:v>1</x:v>
      </x:c>
      <x:c r="AI1216" s="32" t="n">
        <x:f>(Z1216+v01_ElderCommons*INDEX(LM_Elder,G1216)*AA1216)*AH1216</x:f>
        <x:v>13180.451645216313</x:v>
      </x:c>
      <x:c r="AJ1216" s="32" t="n">
        <x:f>H1216*v01_CommonsCoef*AI1216^v01_CommonsExp*INDEX(LM_Commons,G1216)</x:f>
        <x:v>3720.477640939833</x:v>
      </x:c>
      <x:c r="AK1216" s="32" t="n">
        <x:f>H1216*v01_RoleScale*Arch_Roles*(AE1216*(INDEX(v01_ElderRolePerSett,G1216)*v01_OutElder*INDEX(LM_Elder,G1216)+INDEX(v01_ShamanPerSett,G1216)*v01_OutShaman)+Z1216*(INDEX(v01_PriestShare,G1216)*v01_OutPriest+INDEX(v01_ScribeShare,G1216)*v01_OutScribe*INDEX(LM_Scribe,G1216)+INDEX(v01_ScholarShare,G1216)*v01_OutScholar*INDEX(LM_Scholar,G1216)+INDEX(v01_ResearcherShare,G1216)*v01_OutResearcher*INDEX(LM_Researcher,G1216)))</x:f>
        <x:v>1022.45759980473</x:v>
      </x:c>
      <x:c r="AL1216" s="32" t="n">
        <x:f>H1216*v01_RoleScale*Arch_Roles*AE1216*INDEX(v01_MonasteryPerSett,G1216)*v01_OutMonastery*INDEX(LM_Monastery,G1216)</x:f>
        <x:v>10.56</x:v>
      </x:c>
      <x:c r="AM1216" s="32" t="n">
        <x:f>(AJ1216+AK1216+AL1216)/4*INDEX(LM_All,G1216)*INDEX(v01_Boon,G1216)*Arch_Insight</x:f>
        <x:v>2860.6655382633394</x:v>
      </x:c>
      <x:c r="AN1216" s="32" t="n">
        <x:f>H1216*(v01_KHPerAdult*Z1216+v01_KHOfCommons*AJ1216/4*INDEX(LM_All,G1216))*v01_KHUsable*Arch_KH</x:f>
        <x:v>188.54163974394007</x:v>
      </x:c>
      <x:c r="AO1216" s="32" t="n">
        <x:f>MIN(AP1215+AN1216,AM1216*v01_KHMaxRatio)</x:f>
        <x:v>188.54163974394007</x:v>
      </x:c>
      <x:c r="AP1216" s="32" t="n">
        <x:f>AP1215+AN1216-AO1216</x:f>
        <x:v>0</x:v>
      </x:c>
      <x:c r="AQ1216" s="32" t="n">
        <x:f>AM1216+AO1216</x:f>
        <x:v>3049.2071780072793</x:v>
      </x:c>
      <x:c r="AR1216" s="10" t="n">
        <x:f>IF(H1216=1,INDEX(v01_Req,G1216),0)</x:f>
        <x:v>240231.2486535</x:v>
      </x:c>
      <x:c r="AS1216" s="32" t="n">
        <x:f>IF(H1216=1,IF(E1216=1,AS1215-AR1215,AS1215)+AQ1216,0)</x:f>
        <x:v>24768.01883325917</x:v>
      </x:c>
      <x:c r="AT1216" s="11" t="n">
        <x:f>IF(AR1216&gt;0,MIN(1,AS1216/AR1216),1)</x:f>
        <x:v>0.10310073719420065</x:v>
      </x:c>
      <x:c r="AU1216" s="10" t="n">
        <x:f>AB1216/INDEX(v01_RepScale,G1216)</x:f>
        <x:v>126.86444031670685</x:v>
      </x:c>
      <x:c r="AV1216" s="32" t="n">
        <x:f>AM1216*60/v01_SeasonSeconds</x:f>
        <x:v>11442.662153053358</x:v>
      </x:c>
    </x:row>
    <x:row r="1217">
      <x:c r="A1217" s="8" t="n">
        <x:f>A1216+1</x:f>
        <x:v>1214</x:v>
      </x:c>
      <x:c r="B1217" s="9" t="n">
        <x:f>A1217*v01_SeasonSeconds/60</x:f>
        <x:v>303.5</x:v>
      </x:c>
      <x:c r="C1217" s="9" t="n">
        <x:f>A1217/4</x:f>
        <x:v>303.5</x:v>
      </x:c>
      <x:c r="D1217" s="8" t="n">
        <x:f>IF(MOD(A1217,4)=0,1,0)</x:f>
        <x:v>0</x:v>
      </x:c>
      <x:c r="E1217" s="8" t="n">
        <x:f>IF(AND(F1216&lt;=9,AS1216&gt;=AR1216),1,0)</x:f>
        <x:v>0</x:v>
      </x:c>
      <x:c r="F1217" s="8" t="n">
        <x:f>MIN(10,F1216+E1217)</x:f>
        <x:v>7</x:v>
      </x:c>
      <x:c r="G1217" s="8" t="n">
        <x:f>MIN(F1217,9)+1</x:f>
        <x:v>8</x:v>
      </x:c>
      <x:c r="H1217" s="8" t="n">
        <x:f>IF(F1217&lt;=9,1,0)</x:f>
        <x:v>1</x:v>
      </x:c>
      <x:c r="I1217" s="9" t="n">
        <x:f>MIN(10,F1216+IF(AR1216&gt;0,MIN(1,AS1216/AR1216),1))</x:f>
        <x:v>7.1031007371942</x:v>
      </x:c>
      <x:c r="J1217" s="32" t="n">
        <x:f>INDEX(v01_FoodCap,G1217)*Arch_FoodCap*EXP(v01_CapsByProject*SUMPRODUCT((Cap_Point&lt;=I1217)*(Cap_Kind="Food")*Cap_Ln))</x:f>
        <x:v>2500</x:v>
      </x:c>
      <x:c r="K1217" s="32" t="n">
        <x:f>J1217*MIN(1,v01_LeanBase*EXP(v01_CapsByProject*SUMPRODUCT((Cap_Point&lt;=I1217)*(Cap_Kind="Lean")*Cap_Ln)))</x:f>
        <x:v>2500</x:v>
      </x:c>
      <x:c r="L1217" s="10" t="n">
        <x:f>INDEX(v01_HousingCap,G1217)*EXP(v01_CapsByProject*SUMPRODUCT((Cap_Point&lt;=I1217)*(Cap_Kind="Housing")*Cap_Ln))</x:f>
        <x:v>4000</x:v>
      </x:c>
      <x:c r="M1217" s="10" t="n">
        <x:f>INDEX(v01_GroupCap,G1217)*v01_CohesionFactor*EXP(v01_CapsByProject*SUMPRODUCT((Cap_Point&lt;=I1217)*(Cap_Kind="Group")*Cap_Ln))</x:f>
        <x:v>1000000</x:v>
      </x:c>
      <x:c r="N1217" s="32" t="n">
        <x:f>MIN(J1217,L1217,M1217)</x:f>
        <x:v>2500</x:v>
      </x:c>
      <x:c r="O1217" s="10" t="n">
        <x:f>AE1216*N1217</x:f>
        <x:v>40000</x:v>
      </x:c>
      <x:c r="P1217" s="9" t="n">
        <x:f>MIN(1,(AB1216/(AE1216*IF(v01_GroupInCrowding=1,N1217,MIN(J1217,L1217))))^v01_CrowdingExp)</x:f>
        <x:v>0.001017839964671373</x:v>
      </x:c>
      <x:c r="Q1217" s="9" t="n">
        <x:f>IF(D1217=1,INDEX(v01_WinterMult,G1217),1)</x:f>
        <x:v>1</x:v>
      </x:c>
      <x:c r="R1217" s="9" t="n">
        <x:f>H1217*Z1216*v01_WomenShare*v01_BaseFertility*INDEX(v01_FertMult,G1217)*Arch_Fertility*(1-P1217)</x:f>
        <x:v>161.442629595432</x:v>
      </x:c>
      <x:c r="S1217" s="9" t="n">
        <x:f>H1217*Y1216*INDEX(v01_MortChild,G1217)/4*Q1217</x:f>
        <x:v>19.579727493667743</x:v>
      </x:c>
      <x:c r="T1217" s="9" t="n">
        <x:f>H1217*Z1216*INDEX(v01_MortAdult,G1217)*Arch_AdultMort/4*Q1217</x:f>
        <x:v>9.427081987197004</x:v>
      </x:c>
      <x:c r="U1217" s="9" t="n">
        <x:f>H1217*AA1216*INDEX(v01_MortElder,G1217)/4*Q1217</x:f>
        <x:v>25.978492175107704</x:v>
      </x:c>
      <x:c r="V1217" s="9" t="n">
        <x:f>H1217*MAX(0,AB1216-O1217)*v01_OvercapLoss</x:f>
        <x:v>0</x:v>
      </x:c>
      <x:c r="W1217" s="9" t="n">
        <x:f>H1217*Y1216/(v01_ChildYears*4)</x:f>
        <x:v>93.23679758889402</x:v>
      </x:c>
      <x:c r="X1217" s="9" t="n">
        <x:f>H1217*Z1216/(v01_AdultYears*4)</x:f>
        <x:v>43.44277413454841</x:v>
      </x:c>
      <x:c r="Y1217" s="32" t="n">
        <x:f>Y1216+R1217-S1217-W1217-Y1216*V1217/AB1216</x:f>
        <x:v>5269.886769490936</x:v>
      </x:c>
      <x:c r="Z1217" s="32" t="n">
        <x:f>Z1216+W1217-X1217-T1217-Z1216*V1217/AB1216</x:f>
        <x:v>5427.270934151151</x:v>
      </x:c>
      <x:c r="AA1217" s="32" t="n">
        <x:f>AA1216+X1217-U1217-AA1216*V1217/AB1216</x:f>
        <x:v>2095.7436559680573</x:v>
      </x:c>
      <x:c r="AB1217" s="10" t="n">
        <x:f>Y1217+Z1217+AA1217</x:f>
        <x:v>12792.901359610143</x:v>
      </x:c>
      <x:c r="AC1217" s="8" t="n">
        <x:f>IF(AND(v01_WinterTrigger=1,D1217=1,AB1216/AE1216&gt;=K1217),1,0)</x:f>
        <x:v>0</x:v>
      </x:c>
      <x:c r="AD1217" s="8" t="n">
        <x:f>H1217*IF(AND(OR(AB1216/AE1216&gt;=v01_FissionTrigger*N1217,AC1217=1),AB1216/AE1216*v01_DaughterShare&gt;=v01_MinDaughter),MAX(1,ROUND(AE1216*v01_FissionRate,0)),0)</x:f>
        <x:v>0</x:v>
      </x:c>
      <x:c r="AE1217" s="8" t="n">
        <x:f>IF(H1217=1,MAX(1,MIN(INDEX(v01_Smax,G1217),AE1216+AD1217)),AE1216)</x:f>
        <x:v>16</x:v>
      </x:c>
      <x:c r="AF1217" s="8" t="n">
        <x:f>MAX(0,AE1217-AE1216)</x:f>
        <x:v>0</x:v>
      </x:c>
      <x:c r="AG1217" s="9" t="str">
        <x:f>IF(AF1217&gt;0,B1217,"")</x:f>
      </x:c>
      <x:c r="AH1217" s="9" t="n">
        <x:f>IF(F1217&gt;=1,1,(1+v01_LowTiesShare*(AE1217-1))/AE1217)</x:f>
        <x:v>1</x:v>
      </x:c>
      <x:c r="AI1217" s="32" t="n">
        <x:f>(Z1217+v01_ElderCommons*INDEX(LM_Elder,G1217)*AA1217)*AH1217</x:f>
        <x:v>13286.309644031366</x:v>
      </x:c>
      <x:c r="AJ1217" s="32" t="n">
        <x:f>H1217*v01_CommonsCoef*AI1217^v01_CommonsExp*INDEX(LM_Commons,G1217)</x:f>
        <x:v>3745.861060891145</x:v>
      </x:c>
      <x:c r="AK1217" s="32" t="n">
        <x:f>H1217*v01_RoleScale*Arch_Roles*(AE1217*(INDEX(v01_ElderRolePerSett,G1217)*v01_OutElder*INDEX(LM_Elder,G1217)+INDEX(v01_ShamanPerSett,G1217)*v01_OutShaman)+Z1217*(INDEX(v01_PriestShare,G1217)*v01_OutPriest+INDEX(v01_ScribeShare,G1217)*v01_OutScribe*INDEX(LM_Scribe,G1217)+INDEX(v01_ScholarShare,G1217)*v01_OutScholar*INDEX(LM_Scholar,G1217)+INDEX(v01_ResearcherShare,G1217)*v01_OutResearcher*INDEX(LM_Researcher,G1217)))</x:f>
        <x:v>1029.714768541694</x:v>
      </x:c>
      <x:c r="AL1217" s="32" t="n">
        <x:f>H1217*v01_RoleScale*Arch_Roles*AE1217*INDEX(v01_MonasteryPerSett,G1217)*v01_OutMonastery*INDEX(LM_Monastery,G1217)</x:f>
        <x:v>10.56</x:v>
      </x:c>
      <x:c r="AM1217" s="32" t="n">
        <x:f>(AJ1217+AK1217+AL1217)/4*INDEX(LM_All,G1217)*INDEX(v01_Boon,G1217)*Arch_Insight</x:f>
        <x:v>2880.3087276387755</x:v>
      </x:c>
      <x:c r="AN1217" s="32" t="n">
        <x:f>H1217*(v01_KHPerAdult*Z1217+v01_KHOfCommons*AJ1217/4*INDEX(LM_All,G1217))*v01_KHUsable*Arch_KH</x:f>
        <x:v>189.95448269529027</x:v>
      </x:c>
      <x:c r="AO1217" s="32" t="n">
        <x:f>MIN(AP1216+AN1217,AM1217*v01_KHMaxRatio)</x:f>
        <x:v>189.95448269529027</x:v>
      </x:c>
      <x:c r="AP1217" s="32" t="n">
        <x:f>AP1216+AN1217-AO1217</x:f>
        <x:v>0</x:v>
      </x:c>
      <x:c r="AQ1217" s="32" t="n">
        <x:f>AM1217+AO1217</x:f>
        <x:v>3070.2632103340657</x:v>
      </x:c>
      <x:c r="AR1217" s="10" t="n">
        <x:f>IF(H1217=1,INDEX(v01_Req,G1217),0)</x:f>
        <x:v>240231.2486535</x:v>
      </x:c>
      <x:c r="AS1217" s="32" t="n">
        <x:f>IF(H1217=1,IF(E1217=1,AS1216-AR1216,AS1216)+AQ1217,0)</x:f>
        <x:v>27838.282043593237</x:v>
      </x:c>
      <x:c r="AT1217" s="11" t="n">
        <x:f>IF(AR1217&gt;0,MIN(1,AS1217/AR1217),1)</x:f>
        <x:v>0.11588118614721131</x:v>
      </x:c>
      <x:c r="AU1217" s="10" t="n">
        <x:f>AB1217/INDEX(v01_RepScale,G1217)</x:f>
        <x:v>127.92901359610143</x:v>
      </x:c>
      <x:c r="AV1217" s="32" t="n">
        <x:f>AM1217*60/v01_SeasonSeconds</x:f>
        <x:v>11521.234910555102</x:v>
      </x:c>
    </x:row>
    <x:row r="1218">
      <x:c r="A1218" s="8" t="n">
        <x:f>A1217+1</x:f>
        <x:v>1215</x:v>
      </x:c>
      <x:c r="B1218" s="9" t="n">
        <x:f>A1218*v01_SeasonSeconds/60</x:f>
        <x:v>303.75</x:v>
      </x:c>
      <x:c r="C1218" s="9" t="n">
        <x:f>A1218/4</x:f>
        <x:v>303.75</x:v>
      </x:c>
      <x:c r="D1218" s="8" t="n">
        <x:f>IF(MOD(A1218,4)=0,1,0)</x:f>
        <x:v>0</x:v>
      </x:c>
      <x:c r="E1218" s="8" t="n">
        <x:f>IF(AND(F1217&lt;=9,AS1217&gt;=AR1217),1,0)</x:f>
        <x:v>0</x:v>
      </x:c>
      <x:c r="F1218" s="8" t="n">
        <x:f>MIN(10,F1217+E1218)</x:f>
        <x:v>7</x:v>
      </x:c>
      <x:c r="G1218" s="8" t="n">
        <x:f>MIN(F1218,9)+1</x:f>
        <x:v>8</x:v>
      </x:c>
      <x:c r="H1218" s="8" t="n">
        <x:f>IF(F1218&lt;=9,1,0)</x:f>
        <x:v>1</x:v>
      </x:c>
      <x:c r="I1218" s="9" t="n">
        <x:f>MIN(10,F1217+IF(AR1217&gt;0,MIN(1,AS1217/AR1217),1))</x:f>
        <x:v>7.115881186147211</x:v>
      </x:c>
      <x:c r="J1218" s="32" t="n">
        <x:f>INDEX(v01_FoodCap,G1218)*Arch_FoodCap*EXP(v01_CapsByProject*SUMPRODUCT((Cap_Point&lt;=I1218)*(Cap_Kind="Food")*Cap_Ln))</x:f>
        <x:v>2500</x:v>
      </x:c>
      <x:c r="K1218" s="32" t="n">
        <x:f>J1218*MIN(1,v01_LeanBase*EXP(v01_CapsByProject*SUMPRODUCT((Cap_Point&lt;=I1218)*(Cap_Kind="Lean")*Cap_Ln)))</x:f>
        <x:v>2500</x:v>
      </x:c>
      <x:c r="L1218" s="10" t="n">
        <x:f>INDEX(v01_HousingCap,G1218)*EXP(v01_CapsByProject*SUMPRODUCT((Cap_Point&lt;=I1218)*(Cap_Kind="Housing")*Cap_Ln))</x:f>
        <x:v>4000</x:v>
      </x:c>
      <x:c r="M1218" s="10" t="n">
        <x:f>INDEX(v01_GroupCap,G1218)*v01_CohesionFactor*EXP(v01_CapsByProject*SUMPRODUCT((Cap_Point&lt;=I1218)*(Cap_Kind="Group")*Cap_Ln))</x:f>
        <x:v>1000000</x:v>
      </x:c>
      <x:c r="N1218" s="32" t="n">
        <x:f>MIN(J1218,L1218,M1218)</x:f>
        <x:v>2500</x:v>
      </x:c>
      <x:c r="O1218" s="10" t="n">
        <x:f>AE1217*N1218</x:f>
        <x:v>40000</x:v>
      </x:c>
      <x:c r="P1218" s="9" t="n">
        <x:f>MIN(1,(AB1217/(AE1217*IF(v01_GroupInCrowding=1,N1218,MIN(J1218,L1218))))^v01_CrowdingExp)</x:f>
        <x:v>0.0010701739112517299</x:v>
      </x:c>
      <x:c r="Q1218" s="9" t="n">
        <x:f>IF(D1218=1,INDEX(v01_WinterMult,G1218),1)</x:f>
        <x:v>1</x:v>
      </x:c>
      <x:c r="R1218" s="9" t="n">
        <x:f>H1218*Z1217*v01_WomenShare*v01_BaseFertility*INDEX(v01_FertMult,G1218)*Arch_Fertility*(1-P1218)</x:f>
        <x:v>162.64388431164383</x:v>
      </x:c>
      <x:c r="S1218" s="9" t="n">
        <x:f>H1218*Y1217*INDEX(v01_MortChild,G1218)/4*Q1218</x:f>
        <x:v>19.762075385591007</x:v>
      </x:c>
      <x:c r="T1218" s="9" t="n">
        <x:f>H1218*Z1217*INDEX(v01_MortAdult,G1218)*Arch_AdultMort/4*Q1218</x:f>
        <x:v>9.497724134764514</x:v>
      </x:c>
      <x:c r="U1218" s="9" t="n">
        <x:f>H1218*AA1217*INDEX(v01_MortElder,G1218)/4*Q1218</x:f>
        <x:v>26.196795699600717</x:v>
      </x:c>
      <x:c r="V1218" s="9" t="n">
        <x:f>H1218*MAX(0,AB1217-O1218)*v01_OvercapLoss</x:f>
        <x:v>0</x:v>
      </x:c>
      <x:c r="W1218" s="9" t="n">
        <x:f>H1218*Y1217/(v01_ChildYears*4)</x:f>
        <x:v>94.10512088376672</x:v>
      </x:c>
      <x:c r="X1218" s="9" t="n">
        <x:f>H1218*Z1217/(v01_AdultYears*4)</x:f>
        <x:v>43.768313985089925</x:v>
      </x:c>
      <x:c r="Y1218" s="32" t="n">
        <x:f>Y1217+R1218-S1218-W1218-Y1217*V1218/AB1217</x:f>
        <x:v>5318.663457533222</x:v>
      </x:c>
      <x:c r="Z1218" s="32" t="n">
        <x:f>Z1217+W1218-X1218-T1218-Z1217*V1218/AB1217</x:f>
        <x:v>5468.110016915064</x:v>
      </x:c>
      <x:c r="AA1218" s="32" t="n">
        <x:f>AA1217+X1218-U1218-AA1217*V1218/AB1217</x:f>
        <x:v>2113.3151742535465</x:v>
      </x:c>
      <x:c r="AB1218" s="10" t="n">
        <x:f>Y1218+Z1218+AA1218</x:f>
        <x:v>12900.088648701832</x:v>
      </x:c>
      <x:c r="AC1218" s="8" t="n">
        <x:f>IF(AND(v01_WinterTrigger=1,D1218=1,AB1217/AE1217&gt;=K1218),1,0)</x:f>
        <x:v>0</x:v>
      </x:c>
      <x:c r="AD1218" s="8" t="n">
        <x:f>H1218*IF(AND(OR(AB1217/AE1217&gt;=v01_FissionTrigger*N1218,AC1218=1),AB1217/AE1217*v01_DaughterShare&gt;=v01_MinDaughter),MAX(1,ROUND(AE1217*v01_FissionRate,0)),0)</x:f>
        <x:v>0</x:v>
      </x:c>
      <x:c r="AE1218" s="8" t="n">
        <x:f>IF(H1218=1,MAX(1,MIN(INDEX(v01_Smax,G1218),AE1217+AD1218)),AE1217)</x:f>
        <x:v>16</x:v>
      </x:c>
      <x:c r="AF1218" s="8" t="n">
        <x:f>MAX(0,AE1218-AE1217)</x:f>
        <x:v>0</x:v>
      </x:c>
      <x:c r="AG1218" s="9" t="str">
        <x:f>IF(AF1218&gt;0,B1218,"")</x:f>
      </x:c>
      <x:c r="AH1218" s="9" t="n">
        <x:f>IF(F1218&gt;=1,1,(1+v01_LowTiesShare*(AE1218-1))/AE1218)</x:f>
        <x:v>1</x:v>
      </x:c>
      <x:c r="AI1218" s="32" t="n">
        <x:f>(Z1218+v01_ElderCommons*INDEX(LM_Elder,G1218)*AA1218)*AH1218</x:f>
        <x:v>13393.041920365864</x:v>
      </x:c>
      <x:c r="AJ1218" s="32" t="n">
        <x:f>H1218*v01_CommonsCoef*AI1218^v01_CommonsExp*INDEX(LM_Commons,G1218)</x:f>
        <x:v>3771.423427370452</x:v>
      </x:c>
      <x:c r="AK1218" s="32" t="n">
        <x:f>H1218*v01_RoleScale*Arch_Roles*(AE1218*(INDEX(v01_ElderRolePerSett,G1218)*v01_OutElder*INDEX(LM_Elder,G1218)+INDEX(v01_ShamanPerSett,G1218)*v01_OutShaman)+Z1218*(INDEX(v01_PriestShare,G1218)*v01_OutPriest+INDEX(v01_ScribeShare,G1218)*v01_OutScribe*INDEX(LM_Scribe,G1218)+INDEX(v01_ScholarShare,G1218)*v01_OutScholar*INDEX(LM_Scholar,G1218)+INDEX(v01_ResearcherShare,G1218)*v01_OutResearcher*INDEX(LM_Researcher,G1218)))</x:f>
        <x:v>1037.0568188409902</x:v>
      </x:c>
      <x:c r="AL1218" s="32" t="n">
        <x:f>H1218*v01_RoleScale*Arch_Roles*AE1218*INDEX(v01_MonasteryPerSett,G1218)*v01_OutMonastery*INDEX(LM_Monastery,G1218)</x:f>
        <x:v>10.56</x:v>
      </x:c>
      <x:c r="AM1218" s="32" t="n">
        <x:f>(AJ1218+AK1218+AL1218)/4*INDEX(LM_All,G1218)*INDEX(v01_Boon,G1218)*Arch_Insight</x:f>
        <x:v>2900.1106894306754</x:v>
      </x:c>
      <x:c r="AN1218" s="32" t="n">
        <x:f>H1218*(v01_KHPerAdult*Z1218+v01_KHOfCommons*AJ1218/4*INDEX(LM_All,G1218))*v01_KHUsable*Arch_KH</x:f>
        <x:v>191.38385059202724</x:v>
      </x:c>
      <x:c r="AO1218" s="32" t="n">
        <x:f>MIN(AP1217+AN1218,AM1218*v01_KHMaxRatio)</x:f>
        <x:v>191.38385059202724</x:v>
      </x:c>
      <x:c r="AP1218" s="32" t="n">
        <x:f>AP1217+AN1218-AO1218</x:f>
        <x:v>0</x:v>
      </x:c>
      <x:c r="AQ1218" s="32" t="n">
        <x:f>AM1218+AO1218</x:f>
        <x:v>3091.4945400227025</x:v>
      </x:c>
      <x:c r="AR1218" s="10" t="n">
        <x:f>IF(H1218=1,INDEX(v01_Req,G1218),0)</x:f>
        <x:v>240231.2486535</x:v>
      </x:c>
      <x:c r="AS1218" s="32" t="n">
        <x:f>IF(H1218=1,IF(E1218=1,AS1217-AR1217,AS1217)+AQ1218,0)</x:f>
        <x:v>30929.776583615938</x:v>
      </x:c>
      <x:c r="AT1218" s="11" t="n">
        <x:f>IF(AR1218&gt;0,MIN(1,AS1218/AR1218),1)</x:f>
        <x:v>0.12875001381784357</x:v>
      </x:c>
      <x:c r="AU1218" s="10" t="n">
        <x:f>AB1218/INDEX(v01_RepScale,G1218)</x:f>
        <x:v>129.00088648701833</x:v>
      </x:c>
      <x:c r="AV1218" s="32" t="n">
        <x:f>AM1218*60/v01_SeasonSeconds</x:f>
        <x:v>11600.442757722702</x:v>
      </x:c>
    </x:row>
    <x:row r="1219">
      <x:c r="A1219" s="8" t="n">
        <x:f>A1218+1</x:f>
        <x:v>1216</x:v>
      </x:c>
      <x:c r="B1219" s="9" t="n">
        <x:f>A1219*v01_SeasonSeconds/60</x:f>
        <x:v>304</x:v>
      </x:c>
      <x:c r="C1219" s="9" t="n">
        <x:f>A1219/4</x:f>
        <x:v>304</x:v>
      </x:c>
      <x:c r="D1219" s="8" t="n">
        <x:f>IF(MOD(A1219,4)=0,1,0)</x:f>
        <x:v>1</x:v>
      </x:c>
      <x:c r="E1219" s="8" t="n">
        <x:f>IF(AND(F1218&lt;=9,AS1218&gt;=AR1218),1,0)</x:f>
        <x:v>0</x:v>
      </x:c>
      <x:c r="F1219" s="8" t="n">
        <x:f>MIN(10,F1218+E1219)</x:f>
        <x:v>7</x:v>
      </x:c>
      <x:c r="G1219" s="8" t="n">
        <x:f>MIN(F1219,9)+1</x:f>
        <x:v>8</x:v>
      </x:c>
      <x:c r="H1219" s="8" t="n">
        <x:f>IF(F1219&lt;=9,1,0)</x:f>
        <x:v>1</x:v>
      </x:c>
      <x:c r="I1219" s="9" t="n">
        <x:f>MIN(10,F1218+IF(AR1218&gt;0,MIN(1,AS1218/AR1218),1))</x:f>
        <x:v>7.128750013817844</x:v>
      </x:c>
      <x:c r="J1219" s="32" t="n">
        <x:f>INDEX(v01_FoodCap,G1219)*Arch_FoodCap*EXP(v01_CapsByProject*SUMPRODUCT((Cap_Point&lt;=I1219)*(Cap_Kind="Food")*Cap_Ln))</x:f>
        <x:v>2500</x:v>
      </x:c>
      <x:c r="K1219" s="32" t="n">
        <x:f>J1219*MIN(1,v01_LeanBase*EXP(v01_CapsByProject*SUMPRODUCT((Cap_Point&lt;=I1219)*(Cap_Kind="Lean")*Cap_Ln)))</x:f>
        <x:v>2500</x:v>
      </x:c>
      <x:c r="L1219" s="10" t="n">
        <x:f>INDEX(v01_HousingCap,G1219)*EXP(v01_CapsByProject*SUMPRODUCT((Cap_Point&lt;=I1219)*(Cap_Kind="Housing")*Cap_Ln))</x:f>
        <x:v>4000</x:v>
      </x:c>
      <x:c r="M1219" s="10" t="n">
        <x:f>INDEX(v01_GroupCap,G1219)*v01_CohesionFactor*EXP(v01_CapsByProject*SUMPRODUCT((Cap_Point&lt;=I1219)*(Cap_Kind="Group")*Cap_Ln))</x:f>
        <x:v>1000000</x:v>
      </x:c>
      <x:c r="N1219" s="32" t="n">
        <x:f>MIN(J1219,L1219,M1219)</x:f>
        <x:v>2500</x:v>
      </x:c>
      <x:c r="O1219" s="10" t="n">
        <x:f>AE1218*N1219</x:f>
        <x:v>40000</x:v>
      </x:c>
      <x:c r="P1219" s="9" t="n">
        <x:f>MIN(1,(AB1218/(AE1218*IF(v01_GroupInCrowding=1,N1219,MIN(J1219,L1219))))^v01_CrowdingExp)</x:f>
        <x:v>0.0011251132016881391</x:v>
      </x:c>
      <x:c r="Q1219" s="9" t="n">
        <x:f>IF(D1219=1,INDEX(v01_WinterMult,G1219),1)</x:f>
        <x:v>1</x:v>
      </x:c>
      <x:c r="R1219" s="9" t="n">
        <x:f>H1219*Z1218*v01_WomenShare*v01_BaseFertility*INDEX(v01_FertMult,G1219)*Arch_Fertility*(1-P1219)</x:f>
        <x:v>163.85873322440247</x:v>
      </x:c>
      <x:c r="S1219" s="9" t="n">
        <x:f>H1219*Y1218*INDEX(v01_MortChild,G1219)/4*Q1219</x:f>
        <x:v>19.944987965749583</x:v>
      </x:c>
      <x:c r="T1219" s="9" t="n">
        <x:f>H1219*Z1218*INDEX(v01_MortAdult,G1219)*Arch_AdultMort/4*Q1219</x:f>
        <x:v>9.569192529601363</x:v>
      </x:c>
      <x:c r="U1219" s="9" t="n">
        <x:f>H1219*AA1218*INDEX(v01_MortElder,G1219)/4*Q1219</x:f>
        <x:v>26.416439678169333</x:v>
      </x:c>
      <x:c r="V1219" s="9" t="n">
        <x:f>H1219*MAX(0,AB1218-O1219)*v01_OvercapLoss</x:f>
        <x:v>0</x:v>
      </x:c>
      <x:c r="W1219" s="9" t="n">
        <x:f>H1219*Y1218/(v01_ChildYears*4)</x:f>
        <x:v>94.97613317023611</x:v>
      </x:c>
      <x:c r="X1219" s="9" t="n">
        <x:f>H1219*Z1218/(v01_AdultYears*4)</x:f>
        <x:v>44.09766142673439</x:v>
      </x:c>
      <x:c r="Y1219" s="32" t="n">
        <x:f>Y1218+R1219-S1219-W1219-Y1218*V1219/AB1218</x:f>
        <x:v>5367.601069621639</x:v>
      </x:c>
      <x:c r="Z1219" s="32" t="n">
        <x:f>Z1218+W1219-X1219-T1219-Z1218*V1219/AB1218</x:f>
        <x:v>5509.419296128964</x:v>
      </x:c>
      <x:c r="AA1219" s="32" t="n">
        <x:f>AA1218+X1219-U1219-AA1218*V1219/AB1218</x:f>
        <x:v>2130.9963960021114</x:v>
      </x:c>
      <x:c r="AB1219" s="10" t="n">
        <x:f>Y1219+Z1219+AA1219</x:f>
        <x:v>13008.016761752715</x:v>
      </x:c>
      <x:c r="AC1219" s="8" t="n">
        <x:f>IF(AND(v01_WinterTrigger=1,D1219=1,AB1218/AE1218&gt;=K1219),1,0)</x:f>
        <x:v>0</x:v>
      </x:c>
      <x:c r="AD1219" s="8" t="n">
        <x:f>H1219*IF(AND(OR(AB1218/AE1218&gt;=v01_FissionTrigger*N1219,AC1219=1),AB1218/AE1218*v01_DaughterShare&gt;=v01_MinDaughter),MAX(1,ROUND(AE1218*v01_FissionRate,0)),0)</x:f>
        <x:v>0</x:v>
      </x:c>
      <x:c r="AE1219" s="8" t="n">
        <x:f>IF(H1219=1,MAX(1,MIN(INDEX(v01_Smax,G1219),AE1218+AD1219)),AE1218)</x:f>
        <x:v>16</x:v>
      </x:c>
      <x:c r="AF1219" s="8" t="n">
        <x:f>MAX(0,AE1219-AE1218)</x:f>
        <x:v>0</x:v>
      </x:c>
      <x:c r="AG1219" s="9" t="str">
        <x:f>IF(AF1219&gt;0,B1219,"")</x:f>
      </x:c>
      <x:c r="AH1219" s="9" t="n">
        <x:f>IF(F1219&gt;=1,1,(1+v01_LowTiesShare*(AE1219-1))/AE1219)</x:f>
        <x:v>1</x:v>
      </x:c>
      <x:c r="AI1219" s="32" t="n">
        <x:f>(Z1219+v01_ElderCommons*INDEX(LM_Elder,G1219)*AA1219)*AH1219</x:f>
        <x:v>13500.65578113688</x:v>
      </x:c>
      <x:c r="AJ1219" s="32" t="n">
        <x:f>H1219*v01_CommonsCoef*AI1219^v01_CommonsExp*INDEX(LM_Commons,G1219)</x:f>
        <x:v>3797.1660156163625</x:v>
      </x:c>
      <x:c r="AK1219" s="32" t="n">
        <x:f>H1219*v01_RoleScale*Arch_Roles*(AE1219*(INDEX(v01_ElderRolePerSett,G1219)*v01_OutElder*INDEX(LM_Elder,G1219)+INDEX(v01_ShamanPerSett,G1219)*v01_OutShaman)+Z1219*(INDEX(v01_PriestShare,G1219)*v01_OutPriest+INDEX(v01_ScribeShare,G1219)*v01_OutScribe*INDEX(LM_Scribe,G1219)+INDEX(v01_ScholarShare,G1219)*v01_OutScholar*INDEX(LM_Scholar,G1219)+INDEX(v01_ResearcherShare,G1219)*v01_OutResearcher*INDEX(LM_Researcher,G1219)))</x:f>
        <x:v>1044.483401058065</x:v>
      </x:c>
      <x:c r="AL1219" s="32" t="n">
        <x:f>H1219*v01_RoleScale*Arch_Roles*AE1219*INDEX(v01_MonasteryPerSett,G1219)*v01_OutMonastery*INDEX(LM_Monastery,G1219)</x:f>
        <x:v>10.56</x:v>
      </x:c>
      <x:c r="AM1219" s="32" t="n">
        <x:f>(AJ1219+AK1219+AL1219)/4*INDEX(LM_All,G1219)*INDEX(v01_Boon,G1219)*Arch_Insight</x:f>
        <x:v>2920.0719806638995</x:v>
      </x:c>
      <x:c r="AN1219" s="32" t="n">
        <x:f>H1219*(v01_KHPerAdult*Z1219+v01_KHOfCommons*AJ1219/4*INDEX(LM_All,G1219))*v01_KHUsable*Arch_KH</x:f>
        <x:v>192.82967536451372</x:v>
      </x:c>
      <x:c r="AO1219" s="32" t="n">
        <x:f>MIN(AP1218+AN1219,AM1219*v01_KHMaxRatio)</x:f>
        <x:v>192.82967536451372</x:v>
      </x:c>
      <x:c r="AP1219" s="32" t="n">
        <x:f>AP1218+AN1219-AO1219</x:f>
        <x:v>0</x:v>
      </x:c>
      <x:c r="AQ1219" s="32" t="n">
        <x:f>AM1219+AO1219</x:f>
        <x:v>3112.901656028413</x:v>
      </x:c>
      <x:c r="AR1219" s="10" t="n">
        <x:f>IF(H1219=1,INDEX(v01_Req,G1219),0)</x:f>
        <x:v>240231.2486535</x:v>
      </x:c>
      <x:c r="AS1219" s="32" t="n">
        <x:f>IF(H1219=1,IF(E1219=1,AS1218-AR1218,AS1218)+AQ1219,0)</x:f>
        <x:v>34042.67823964435</x:v>
      </x:c>
      <x:c r="AT1219" s="11" t="n">
        <x:f>IF(AR1219&gt;0,MIN(1,AS1219/AR1219),1)</x:f>
        <x:v>0.14170795194402938</x:v>
      </x:c>
      <x:c r="AU1219" s="10" t="n">
        <x:f>AB1219/INDEX(v01_RepScale,G1219)</x:f>
        <x:v>130.08016761752714</x:v>
      </x:c>
      <x:c r="AV1219" s="32" t="n">
        <x:f>AM1219*60/v01_SeasonSeconds</x:f>
        <x:v>11680.287922655598</x:v>
      </x:c>
    </x:row>
    <x:row r="1220">
      <x:c r="A1220" s="8" t="n">
        <x:f>A1219+1</x:f>
        <x:v>1217</x:v>
      </x:c>
      <x:c r="B1220" s="9" t="n">
        <x:f>A1220*v01_SeasonSeconds/60</x:f>
        <x:v>304.25</x:v>
      </x:c>
      <x:c r="C1220" s="9" t="n">
        <x:f>A1220/4</x:f>
        <x:v>304.25</x:v>
      </x:c>
      <x:c r="D1220" s="8" t="n">
        <x:f>IF(MOD(A1220,4)=0,1,0)</x:f>
        <x:v>0</x:v>
      </x:c>
      <x:c r="E1220" s="8" t="n">
        <x:f>IF(AND(F1219&lt;=9,AS1219&gt;=AR1219),1,0)</x:f>
        <x:v>0</x:v>
      </x:c>
      <x:c r="F1220" s="8" t="n">
        <x:f>MIN(10,F1219+E1220)</x:f>
        <x:v>7</x:v>
      </x:c>
      <x:c r="G1220" s="8" t="n">
        <x:f>MIN(F1220,9)+1</x:f>
        <x:v>8</x:v>
      </x:c>
      <x:c r="H1220" s="8" t="n">
        <x:f>IF(F1220&lt;=9,1,0)</x:f>
        <x:v>1</x:v>
      </x:c>
      <x:c r="I1220" s="9" t="n">
        <x:f>MIN(10,F1219+IF(AR1219&gt;0,MIN(1,AS1219/AR1219),1))</x:f>
        <x:v>7.14170795194403</x:v>
      </x:c>
      <x:c r="J1220" s="32" t="n">
        <x:f>INDEX(v01_FoodCap,G1220)*Arch_FoodCap*EXP(v01_CapsByProject*SUMPRODUCT((Cap_Point&lt;=I1220)*(Cap_Kind="Food")*Cap_Ln))</x:f>
        <x:v>2500</x:v>
      </x:c>
      <x:c r="K1220" s="32" t="n">
        <x:f>J1220*MIN(1,v01_LeanBase*EXP(v01_CapsByProject*SUMPRODUCT((Cap_Point&lt;=I1220)*(Cap_Kind="Lean")*Cap_Ln)))</x:f>
        <x:v>2500</x:v>
      </x:c>
      <x:c r="L1220" s="10" t="n">
        <x:f>INDEX(v01_HousingCap,G1220)*EXP(v01_CapsByProject*SUMPRODUCT((Cap_Point&lt;=I1220)*(Cap_Kind="Housing")*Cap_Ln))</x:f>
        <x:v>4000</x:v>
      </x:c>
      <x:c r="M1220" s="10" t="n">
        <x:f>INDEX(v01_GroupCap,G1220)*v01_CohesionFactor*EXP(v01_CapsByProject*SUMPRODUCT((Cap_Point&lt;=I1220)*(Cap_Kind="Group")*Cap_Ln))</x:f>
        <x:v>1000000</x:v>
      </x:c>
      <x:c r="N1220" s="32" t="n">
        <x:f>MIN(J1220,L1220,M1220)</x:f>
        <x:v>2500</x:v>
      </x:c>
      <x:c r="O1220" s="10" t="n">
        <x:f>AE1219*N1220</x:f>
        <x:v>40000</x:v>
      </x:c>
      <x:c r="P1220" s="9" t="n">
        <x:f>MIN(1,(AB1219/(AE1219*IF(v01_GroupInCrowding=1,N1220,MIN(J1220,L1220))))^v01_CrowdingExp)</x:f>
        <x:v>0.001182787099940017</x:v>
      </x:c>
      <x:c r="Q1220" s="9" t="n">
        <x:f>IF(D1220=1,INDEX(v01_WinterMult,G1220),1)</x:f>
        <x:v>1</x:v>
      </x:c>
      <x:c r="R1220" s="9" t="n">
        <x:f>H1220*Z1219*v01_WomenShare*v01_BaseFertility*INDEX(v01_FertMult,G1220)*Arch_Fertility*(1-P1220)</x:f>
        <x:v>165.08708478172022</x:v>
      </x:c>
      <x:c r="S1220" s="9" t="n">
        <x:f>H1220*Y1219*INDEX(v01_MortChild,G1220)/4*Q1220</x:f>
        <x:v>20.128504011081144</x:v>
      </x:c>
      <x:c r="T1220" s="9" t="n">
        <x:f>H1220*Z1219*INDEX(v01_MortAdult,G1220)*Arch_AdultMort/4*Q1220</x:f>
        <x:v>9.641483768225687</x:v>
      </x:c>
      <x:c r="U1220" s="9" t="n">
        <x:f>H1220*AA1219*INDEX(v01_MortElder,G1220)/4*Q1220</x:f>
        <x:v>26.637454950026395</x:v>
      </x:c>
      <x:c r="V1220" s="9" t="n">
        <x:f>H1220*MAX(0,AB1219-O1220)*v01_OvercapLoss</x:f>
        <x:v>0</x:v>
      </x:c>
      <x:c r="W1220" s="9" t="n">
        <x:f>H1220*Y1219/(v01_ChildYears*4)</x:f>
        <x:v>95.8500191003864</x:v>
      </x:c>
      <x:c r="X1220" s="9" t="n">
        <x:f>H1220*Z1219/(v01_AdultYears*4)</x:f>
        <x:v>44.43080077523358</x:v>
      </x:c>
      <x:c r="Y1220" s="32" t="n">
        <x:f>Y1219+R1220-S1220-W1220-Y1219*V1220/AB1219</x:f>
        <x:v>5416.709631291891</x:v>
      </x:c>
      <x:c r="Z1220" s="32" t="n">
        <x:f>Z1219+W1220-X1220-T1220-Z1219*V1220/AB1219</x:f>
        <x:v>5551.197030685891</x:v>
      </x:c>
      <x:c r="AA1220" s="32" t="n">
        <x:f>AA1219+X1220-U1220-AA1219*V1220/AB1219</x:f>
        <x:v>2148.7897418273183</x:v>
      </x:c>
      <x:c r="AB1220" s="10" t="n">
        <x:f>Y1220+Z1220+AA1220</x:f>
        <x:v>13116.696403805101</x:v>
      </x:c>
      <x:c r="AC1220" s="8" t="n">
        <x:f>IF(AND(v01_WinterTrigger=1,D1220=1,AB1219/AE1219&gt;=K1220),1,0)</x:f>
        <x:v>0</x:v>
      </x:c>
      <x:c r="AD1220" s="8" t="n">
        <x:f>H1220*IF(AND(OR(AB1219/AE1219&gt;=v01_FissionTrigger*N1220,AC1220=1),AB1219/AE1219*v01_DaughterShare&gt;=v01_MinDaughter),MAX(1,ROUND(AE1219*v01_FissionRate,0)),0)</x:f>
        <x:v>0</x:v>
      </x:c>
      <x:c r="AE1220" s="8" t="n">
        <x:f>IF(H1220=1,MAX(1,MIN(INDEX(v01_Smax,G1220),AE1219+AD1220)),AE1219)</x:f>
        <x:v>16</x:v>
      </x:c>
      <x:c r="AF1220" s="8" t="n">
        <x:f>MAX(0,AE1220-AE1219)</x:f>
        <x:v>0</x:v>
      </x:c>
      <x:c r="AG1220" s="9" t="str">
        <x:f>IF(AF1220&gt;0,B1220,"")</x:f>
      </x:c>
      <x:c r="AH1220" s="9" t="n">
        <x:f>IF(F1220&gt;=1,1,(1+v01_LowTiesShare*(AE1220-1))/AE1220)</x:f>
        <x:v>1</x:v>
      </x:c>
      <x:c r="AI1220" s="32" t="n">
        <x:f>(Z1220+v01_ElderCommons*INDEX(LM_Elder,G1220)*AA1220)*AH1220</x:f>
        <x:v>13609.158562538334</x:v>
      </x:c>
      <x:c r="AJ1220" s="32" t="n">
        <x:f>H1220*v01_CommonsCoef*AI1220^v01_CommonsExp*INDEX(LM_Commons,G1220)</x:f>
        <x:v>3823.0901023206256</x:v>
      </x:c>
      <x:c r="AK1220" s="32" t="n">
        <x:f>H1220*v01_RoleScale*Arch_Roles*(AE1220*(INDEX(v01_ElderRolePerSett,G1220)*v01_OutElder*INDEX(LM_Elder,G1220)+INDEX(v01_ShamanPerSett,G1220)*v01_OutShaman)+Z1220*(INDEX(v01_PriestShare,G1220)*v01_OutPriest+INDEX(v01_ScribeShare,G1220)*v01_OutScribe*INDEX(LM_Scribe,G1220)+INDEX(v01_ScholarShare,G1220)*v01_OutScholar*INDEX(LM_Scholar,G1220)+INDEX(v01_ResearcherShare,G1220)*v01_OutResearcher*INDEX(LM_Researcher,G1220)))</x:f>
        <x:v>1051.9942021767095</x:v>
      </x:c>
      <x:c r="AL1220" s="32" t="n">
        <x:f>H1220*v01_RoleScale*Arch_Roles*AE1220*INDEX(v01_MonasteryPerSett,G1220)*v01_OutMonastery*INDEX(LM_Monastery,G1220)</x:f>
        <x:v>10.56</x:v>
      </x:c>
      <x:c r="AM1220" s="32" t="n">
        <x:f>(AJ1220+AK1220+AL1220)/4*INDEX(LM_All,G1220)*INDEX(v01_Boon,G1220)*Arch_Insight</x:f>
        <x:v>2940.1931812808393</x:v>
      </x:c>
      <x:c r="AN1220" s="32" t="n">
        <x:f>H1220*(v01_KHPerAdult*Z1220+v01_KHOfCommons*AJ1220/4*INDEX(LM_All,G1220))*v01_KHUsable*Arch_KH</x:f>
        <x:v>194.2918960740062</x:v>
      </x:c>
      <x:c r="AO1220" s="32" t="n">
        <x:f>MIN(AP1219+AN1220,AM1220*v01_KHMaxRatio)</x:f>
        <x:v>194.2918960740062</x:v>
      </x:c>
      <x:c r="AP1220" s="32" t="n">
        <x:f>AP1219+AN1220-AO1220</x:f>
        <x:v>0</x:v>
      </x:c>
      <x:c r="AQ1220" s="32" t="n">
        <x:f>AM1220+AO1220</x:f>
        <x:v>3134.4850773548455</x:v>
      </x:c>
      <x:c r="AR1220" s="10" t="n">
        <x:f>IF(H1220=1,INDEX(v01_Req,G1220),0)</x:f>
        <x:v>240231.2486535</x:v>
      </x:c>
      <x:c r="AS1220" s="32" t="n">
        <x:f>IF(H1220=1,IF(E1220=1,AS1219-AR1219,AS1219)+AQ1220,0)</x:f>
        <x:v>37177.1633169992</x:v>
      </x:c>
      <x:c r="AT1220" s="11" t="n">
        <x:f>IF(AR1220&gt;0,MIN(1,AS1220/AR1220),1)</x:f>
        <x:v>0.15475573442413423</x:v>
      </x:c>
      <x:c r="AU1220" s="10" t="n">
        <x:f>AB1220/INDEX(v01_RepScale,G1220)</x:f>
        <x:v>131.16696403805102</x:v>
      </x:c>
      <x:c r="AV1220" s="32" t="n">
        <x:f>AM1220*60/v01_SeasonSeconds</x:f>
        <x:v>11760.772725123357</x:v>
      </x:c>
    </x:row>
    <x:row r="1221">
      <x:c r="A1221" s="8" t="n">
        <x:f>A1220+1</x:f>
        <x:v>1218</x:v>
      </x:c>
      <x:c r="B1221" s="9" t="n">
        <x:f>A1221*v01_SeasonSeconds/60</x:f>
        <x:v>304.5</x:v>
      </x:c>
      <x:c r="C1221" s="9" t="n">
        <x:f>A1221/4</x:f>
        <x:v>304.5</x:v>
      </x:c>
      <x:c r="D1221" s="8" t="n">
        <x:f>IF(MOD(A1221,4)=0,1,0)</x:f>
        <x:v>0</x:v>
      </x:c>
      <x:c r="E1221" s="8" t="n">
        <x:f>IF(AND(F1220&lt;=9,AS1220&gt;=AR1220),1,0)</x:f>
        <x:v>0</x:v>
      </x:c>
      <x:c r="F1221" s="8" t="n">
        <x:f>MIN(10,F1220+E1221)</x:f>
        <x:v>7</x:v>
      </x:c>
      <x:c r="G1221" s="8" t="n">
        <x:f>MIN(F1221,9)+1</x:f>
        <x:v>8</x:v>
      </x:c>
      <x:c r="H1221" s="8" t="n">
        <x:f>IF(F1221&lt;=9,1,0)</x:f>
        <x:v>1</x:v>
      </x:c>
      <x:c r="I1221" s="9" t="n">
        <x:f>MIN(10,F1220+IF(AR1220&gt;0,MIN(1,AS1220/AR1220),1))</x:f>
        <x:v>7.154755734424135</x:v>
      </x:c>
      <x:c r="J1221" s="32" t="n">
        <x:f>INDEX(v01_FoodCap,G1221)*Arch_FoodCap*EXP(v01_CapsByProject*SUMPRODUCT((Cap_Point&lt;=I1221)*(Cap_Kind="Food")*Cap_Ln))</x:f>
        <x:v>2500</x:v>
      </x:c>
      <x:c r="K1221" s="32" t="n">
        <x:f>J1221*MIN(1,v01_LeanBase*EXP(v01_CapsByProject*SUMPRODUCT((Cap_Point&lt;=I1221)*(Cap_Kind="Lean")*Cap_Ln)))</x:f>
        <x:v>2500</x:v>
      </x:c>
      <x:c r="L1221" s="10" t="n">
        <x:f>INDEX(v01_HousingCap,G1221)*EXP(v01_CapsByProject*SUMPRODUCT((Cap_Point&lt;=I1221)*(Cap_Kind="Housing")*Cap_Ln))</x:f>
        <x:v>4000</x:v>
      </x:c>
      <x:c r="M1221" s="10" t="n">
        <x:f>INDEX(v01_GroupCap,G1221)*v01_CohesionFactor*EXP(v01_CapsByProject*SUMPRODUCT((Cap_Point&lt;=I1221)*(Cap_Kind="Group")*Cap_Ln))</x:f>
        <x:v>1000000</x:v>
      </x:c>
      <x:c r="N1221" s="32" t="n">
        <x:f>MIN(J1221,L1221,M1221)</x:f>
        <x:v>2500</x:v>
      </x:c>
      <x:c r="O1221" s="10" t="n">
        <x:f>AE1220*N1221</x:f>
        <x:v>40000</x:v>
      </x:c>
      <x:c r="P1221" s="9" t="n">
        <x:f>MIN(1,(AB1220/(AE1220*IF(v01_GroupInCrowding=1,N1221,MIN(J1221,L1221))))^v01_CrowdingExp)</x:f>
        <x:v>0.0012433312560040713</x:v>
      </x:c>
      <x:c r="Q1221" s="9" t="n">
        <x:f>IF(D1221=1,INDEX(v01_WinterMult,G1221),1)</x:f>
        <x:v>1</x:v>
      </x:c>
      <x:c r="R1221" s="9" t="n">
        <x:f>H1221*Z1220*v01_WomenShare*v01_BaseFertility*INDEX(v01_FertMult,G1221)*Arch_Fertility*(1-P1221)</x:f>
        <x:v>166.32885161728206</x:v>
      </x:c>
      <x:c r="S1221" s="9" t="n">
        <x:f>H1221*Y1220*INDEX(v01_MortChild,G1221)/4*Q1221</x:f>
        <x:v>20.31266111734459</x:v>
      </x:c>
      <x:c r="T1221" s="9" t="n">
        <x:f>H1221*Z1220*INDEX(v01_MortAdult,G1221)*Arch_AdultMort/4*Q1221</x:f>
        <x:v>9.71459480370031</x:v>
      </x:c>
      <x:c r="U1221" s="9" t="n">
        <x:f>H1221*AA1220*INDEX(v01_MortElder,G1221)/4*Q1221</x:f>
        <x:v>26.85987177284148</x:v>
      </x:c>
      <x:c r="V1221" s="9" t="n">
        <x:f>H1221*MAX(0,AB1220-O1221)*v01_OvercapLoss</x:f>
        <x:v>0</x:v>
      </x:c>
      <x:c r="W1221" s="9" t="n">
        <x:f>H1221*Y1220/(v01_ChildYears*4)</x:f>
        <x:v>96.72695770164091</x:v>
      </x:c>
      <x:c r="X1221" s="9" t="n">
        <x:f>H1221*Z1220/(v01_AdultYears*4)</x:f>
        <x:v>44.76771798940235</x:v>
      </x:c>
      <x:c r="Y1221" s="32" t="n">
        <x:f>Y1220+R1221-S1221-W1221-Y1220*V1221/AB1220</x:f>
        <x:v>5465.998864090188</x:v>
      </x:c>
      <x:c r="Z1221" s="32" t="n">
        <x:f>Z1220+W1221-X1221-T1221-Z1220*V1221/AB1220</x:f>
        <x:v>5593.441675594429</x:v>
      </x:c>
      <x:c r="AA1221" s="32" t="n">
        <x:f>AA1220+X1221-U1221-AA1220*V1221/AB1220</x:f>
        <x:v>2166.697588043879</x:v>
      </x:c>
      <x:c r="AB1221" s="10" t="n">
        <x:f>Y1221+Z1221+AA1221</x:f>
        <x:v>13226.138127728496</x:v>
      </x:c>
      <x:c r="AC1221" s="8" t="n">
        <x:f>IF(AND(v01_WinterTrigger=1,D1221=1,AB1220/AE1220&gt;=K1221),1,0)</x:f>
        <x:v>0</x:v>
      </x:c>
      <x:c r="AD1221" s="8" t="n">
        <x:f>H1221*IF(AND(OR(AB1220/AE1220&gt;=v01_FissionTrigger*N1221,AC1221=1),AB1220/AE1220*v01_DaughterShare&gt;=v01_MinDaughter),MAX(1,ROUND(AE1220*v01_FissionRate,0)),0)</x:f>
        <x:v>0</x:v>
      </x:c>
      <x:c r="AE1221" s="8" t="n">
        <x:f>IF(H1221=1,MAX(1,MIN(INDEX(v01_Smax,G1221),AE1220+AD1221)),AE1220)</x:f>
        <x:v>16</x:v>
      </x:c>
      <x:c r="AF1221" s="8" t="n">
        <x:f>MAX(0,AE1221-AE1220)</x:f>
        <x:v>0</x:v>
      </x:c>
      <x:c r="AG1221" s="9" t="str">
        <x:f>IF(AF1221&gt;0,B1221,"")</x:f>
      </x:c>
      <x:c r="AH1221" s="9" t="n">
        <x:f>IF(F1221&gt;=1,1,(1+v01_LowTiesShare*(AE1221-1))/AE1221)</x:f>
        <x:v>1</x:v>
      </x:c>
      <x:c r="AI1221" s="32" t="n">
        <x:f>(Z1221+v01_ElderCommons*INDEX(LM_Elder,G1221)*AA1221)*AH1221</x:f>
        <x:v>13718.557630758976</x:v>
      </x:c>
      <x:c r="AJ1221" s="32" t="n">
        <x:f>H1221*v01_CommonsCoef*AI1221^v01_CommonsExp*INDEX(LM_Commons,G1221)</x:f>
        <x:v>3849.196965787411</x:v>
      </x:c>
      <x:c r="AK1221" s="32" t="n">
        <x:f>H1221*v01_RoleScale*Arch_Roles*(AE1221*(INDEX(v01_ElderRolePerSett,G1221)*v01_OutElder*INDEX(LM_Elder,G1221)+INDEX(v01_ShamanPerSett,G1221)*v01_OutShaman)+Z1221*(INDEX(v01_PriestShare,G1221)*v01_OutPriest+INDEX(v01_ScribeShare,G1221)*v01_OutScribe*INDEX(LM_Scribe,G1221)+INDEX(v01_ScholarShare,G1221)*v01_OutScholar*INDEX(LM_Scholar,G1221)+INDEX(v01_ResearcherShare,G1221)*v01_OutResearcher*INDEX(LM_Researcher,G1221)))</x:f>
        <x:v>1059.5889444383665</x:v>
      </x:c>
      <x:c r="AL1221" s="32" t="n">
        <x:f>H1221*v01_RoleScale*Arch_Roles*AE1221*INDEX(v01_MonasteryPerSett,G1221)*v01_OutMonastery*INDEX(LM_Monastery,G1221)</x:f>
        <x:v>10.56</x:v>
      </x:c>
      <x:c r="AM1221" s="32" t="n">
        <x:f>(AJ1221+AK1221+AL1221)/4*INDEX(LM_All,G1221)*INDEX(v01_Boon,G1221)*Arch_Insight</x:f>
        <x:v>2960.474893412393</x:v>
      </x:c>
      <x:c r="AN1221" s="32" t="n">
        <x:f>H1221*(v01_KHPerAdult*Z1221+v01_KHOfCommons*AJ1221/4*INDEX(LM_All,G1221))*v01_KHUsable*Arch_KH</x:f>
        <x:v>195.77045864580504</x:v>
      </x:c>
      <x:c r="AO1221" s="32" t="n">
        <x:f>MIN(AP1220+AN1221,AM1221*v01_KHMaxRatio)</x:f>
        <x:v>195.77045864580504</x:v>
      </x:c>
      <x:c r="AP1221" s="32" t="n">
        <x:f>AP1220+AN1221-AO1221</x:f>
        <x:v>0</x:v>
      </x:c>
      <x:c r="AQ1221" s="32" t="n">
        <x:f>AM1221+AO1221</x:f>
        <x:v>3156.245352058198</x:v>
      </x:c>
      <x:c r="AR1221" s="10" t="n">
        <x:f>IF(H1221=1,INDEX(v01_Req,G1221),0)</x:f>
        <x:v>240231.2486535</x:v>
      </x:c>
      <x:c r="AS1221" s="32" t="n">
        <x:f>IF(H1221=1,IF(E1221=1,AS1220-AR1220,AS1220)+AQ1221,0)</x:f>
        <x:v>40333.4086690574</x:v>
      </x:c>
      <x:c r="AT1221" s="11" t="n">
        <x:f>IF(AR1221&gt;0,MIN(1,AS1221/AR1221),1)</x:f>
        <x:v>0.16789409743789285</x:v>
      </x:c>
      <x:c r="AU1221" s="10" t="n">
        <x:f>AB1221/INDEX(v01_RepScale,G1221)</x:f>
        <x:v>132.26138127728495</x:v>
      </x:c>
      <x:c r="AV1221" s="32" t="n">
        <x:f>AM1221*60/v01_SeasonSeconds</x:f>
        <x:v>11841.899573649573</x:v>
      </x:c>
    </x:row>
    <x:row r="1222">
      <x:c r="A1222" s="8" t="n">
        <x:f>A1221+1</x:f>
        <x:v>1219</x:v>
      </x:c>
      <x:c r="B1222" s="9" t="n">
        <x:f>A1222*v01_SeasonSeconds/60</x:f>
        <x:v>304.75</x:v>
      </x:c>
      <x:c r="C1222" s="9" t="n">
        <x:f>A1222/4</x:f>
        <x:v>304.75</x:v>
      </x:c>
      <x:c r="D1222" s="8" t="n">
        <x:f>IF(MOD(A1222,4)=0,1,0)</x:f>
        <x:v>0</x:v>
      </x:c>
      <x:c r="E1222" s="8" t="n">
        <x:f>IF(AND(F1221&lt;=9,AS1221&gt;=AR1221),1,0)</x:f>
        <x:v>0</x:v>
      </x:c>
      <x:c r="F1222" s="8" t="n">
        <x:f>MIN(10,F1221+E1222)</x:f>
        <x:v>7</x:v>
      </x:c>
      <x:c r="G1222" s="8" t="n">
        <x:f>MIN(F1222,9)+1</x:f>
        <x:v>8</x:v>
      </x:c>
      <x:c r="H1222" s="8" t="n">
        <x:f>IF(F1222&lt;=9,1,0)</x:f>
        <x:v>1</x:v>
      </x:c>
      <x:c r="I1222" s="9" t="n">
        <x:f>MIN(10,F1221+IF(AR1221&gt;0,MIN(1,AS1221/AR1221),1))</x:f>
        <x:v>7.167894097437893</x:v>
      </x:c>
      <x:c r="J1222" s="32" t="n">
        <x:f>INDEX(v01_FoodCap,G1222)*Arch_FoodCap*EXP(v01_CapsByProject*SUMPRODUCT((Cap_Point&lt;=I1222)*(Cap_Kind="Food")*Cap_Ln))</x:f>
        <x:v>2500</x:v>
      </x:c>
      <x:c r="K1222" s="32" t="n">
        <x:f>J1222*MIN(1,v01_LeanBase*EXP(v01_CapsByProject*SUMPRODUCT((Cap_Point&lt;=I1222)*(Cap_Kind="Lean")*Cap_Ln)))</x:f>
        <x:v>2500</x:v>
      </x:c>
      <x:c r="L1222" s="10" t="n">
        <x:f>INDEX(v01_HousingCap,G1222)*EXP(v01_CapsByProject*SUMPRODUCT((Cap_Point&lt;=I1222)*(Cap_Kind="Housing")*Cap_Ln))</x:f>
        <x:v>4000</x:v>
      </x:c>
      <x:c r="M1222" s="10" t="n">
        <x:f>INDEX(v01_GroupCap,G1222)*v01_CohesionFactor*EXP(v01_CapsByProject*SUMPRODUCT((Cap_Point&lt;=I1222)*(Cap_Kind="Group")*Cap_Ln))</x:f>
        <x:v>1000000</x:v>
      </x:c>
      <x:c r="N1222" s="32" t="n">
        <x:f>MIN(J1222,L1222,M1222)</x:f>
        <x:v>2500</x:v>
      </x:c>
      <x:c r="O1222" s="10" t="n">
        <x:f>AE1221*N1222</x:f>
        <x:v>40000</x:v>
      </x:c>
      <x:c r="P1222" s="9" t="n">
        <x:f>MIN(1,(AB1221/(AE1221*IF(v01_GroupInCrowding=1,N1222,MIN(J1222,L1222))))^v01_CrowdingExp)</x:f>
        <x:v>0.0013068880167901478</x:v>
      </x:c>
      <x:c r="Q1222" s="9" t="n">
        <x:f>IF(D1222=1,INDEX(v01_WinterMult,G1222),1)</x:f>
        <x:v>1</x:v>
      </x:c>
      <x:c r="R1222" s="9" t="n">
        <x:f>H1222*Z1221*v01_WomenShare*v01_BaseFertility*INDEX(v01_FertMult,G1222)*Arch_Fertility*(1-P1222)</x:f>
        <x:v>167.5839502108794</x:v>
      </x:c>
      <x:c r="S1222" s="9" t="n">
        <x:f>H1222*Y1221*INDEX(v01_MortChild,G1222)/4*Q1222</x:f>
        <x:v>20.497495740338206</x:v>
      </x:c>
      <x:c r="T1222" s="9" t="n">
        <x:f>H1222*Z1221*INDEX(v01_MortAdult,G1222)*Arch_AdultMort/4*Q1222</x:f>
        <x:v>9.788522932290252</x:v>
      </x:c>
      <x:c r="U1222" s="9" t="n">
        <x:f>H1222*AA1221*INDEX(v01_MortElder,G1222)/4*Q1222</x:f>
        <x:v>27.08371985054849</x:v>
      </x:c>
      <x:c r="V1222" s="9" t="n">
        <x:f>H1222*MAX(0,AB1221-O1222)*v01_OvercapLoss</x:f>
        <x:v>0</x:v>
      </x:c>
      <x:c r="W1222" s="9" t="n">
        <x:f>H1222*Y1221/(v01_ChildYears*4)</x:f>
        <x:v>97.60712257303908</x:v>
      </x:c>
      <x:c r="X1222" s="9" t="n">
        <x:f>H1222*Z1221/(v01_AdultYears*4)</x:f>
        <x:v>45.1084006096325</x:v>
      </x:c>
      <x:c r="Y1222" s="32" t="n">
        <x:f>Y1221+R1222-S1222-W1222-Y1221*V1222/AB1221</x:f>
        <x:v>5515.47819598769</x:v>
      </x:c>
      <x:c r="Z1222" s="32" t="n">
        <x:f>Z1221+W1222-X1222-T1222-Z1221*V1222/AB1221</x:f>
        <x:v>5636.151874625546</x:v>
      </x:c>
      <x:c r="AA1222" s="32" t="n">
        <x:f>AA1221+X1222-U1222-AA1221*V1222/AB1221</x:f>
        <x:v>2184.7222688029633</x:v>
      </x:c>
      <x:c r="AB1222" s="10" t="n">
        <x:f>Y1222+Z1222+AA1222</x:f>
        <x:v>13336.352339416198</x:v>
      </x:c>
      <x:c r="AC1222" s="8" t="n">
        <x:f>IF(AND(v01_WinterTrigger=1,D1222=1,AB1221/AE1221&gt;=K1222),1,0)</x:f>
        <x:v>0</x:v>
      </x:c>
      <x:c r="AD1222" s="8" t="n">
        <x:f>H1222*IF(AND(OR(AB1221/AE1221&gt;=v01_FissionTrigger*N1222,AC1222=1),AB1221/AE1221*v01_DaughterShare&gt;=v01_MinDaughter),MAX(1,ROUND(AE1221*v01_FissionRate,0)),0)</x:f>
        <x:v>0</x:v>
      </x:c>
      <x:c r="AE1222" s="8" t="n">
        <x:f>IF(H1222=1,MAX(1,MIN(INDEX(v01_Smax,G1222),AE1221+AD1222)),AE1221)</x:f>
        <x:v>16</x:v>
      </x:c>
      <x:c r="AF1222" s="8" t="n">
        <x:f>MAX(0,AE1222-AE1221)</x:f>
        <x:v>0</x:v>
      </x:c>
      <x:c r="AG1222" s="9" t="str">
        <x:f>IF(AF1222&gt;0,B1222,"")</x:f>
      </x:c>
      <x:c r="AH1222" s="9" t="n">
        <x:f>IF(F1222&gt;=1,1,(1+v01_LowTiesShare*(AE1222-1))/AE1222)</x:f>
        <x:v>1</x:v>
      </x:c>
      <x:c r="AI1222" s="32" t="n">
        <x:f>(Z1222+v01_ElderCommons*INDEX(LM_Elder,G1222)*AA1222)*AH1222</x:f>
        <x:v>13828.860382636658</x:v>
      </x:c>
      <x:c r="AJ1222" s="32" t="n">
        <x:f>H1222*v01_CommonsCoef*AI1222^v01_CommonsExp*INDEX(LM_Commons,G1222)</x:f>
        <x:v>3875.487886076361</x:v>
      </x:c>
      <x:c r="AK1222" s="32" t="n">
        <x:f>H1222*v01_RoleScale*Arch_Roles*(AE1222*(INDEX(v01_ElderRolePerSett,G1222)*v01_OutElder*INDEX(LM_Elder,G1222)+INDEX(v01_ShamanPerSett,G1222)*v01_OutShaman)+Z1222*(INDEX(v01_PriestShare,G1222)*v01_OutPriest+INDEX(v01_ScribeShare,G1222)*v01_OutScribe*INDEX(LM_Scribe,G1222)+INDEX(v01_ScholarShare,G1222)*v01_OutScholar*INDEX(LM_Scholar,G1222)+INDEX(v01_ResearcherShare,G1222)*v01_OutResearcher*INDEX(LM_Researcher,G1222)))</x:f>
        <x:v>1067.2673840201805</x:v>
      </x:c>
      <x:c r="AL1222" s="32" t="n">
        <x:f>H1222*v01_RoleScale*Arch_Roles*AE1222*INDEX(v01_MonasteryPerSett,G1222)*v01_OutMonastery*INDEX(LM_Monastery,G1222)</x:f>
        <x:v>10.56</x:v>
      </x:c>
      <x:c r="AM1222" s="32" t="n">
        <x:f>(AJ1222+AK1222+AL1222)/4*INDEX(LM_All,G1222)*INDEX(v01_Boon,G1222)*Arch_Insight</x:f>
        <x:v>2980.917740668498</x:v>
      </x:c>
      <x:c r="AN1222" s="32" t="n">
        <x:f>H1222*(v01_KHPerAdult*Z1222+v01_KHOfCommons*AJ1222/4*INDEX(LM_All,G1222))*v01_KHUsable*Arch_KH</x:f>
        <x:v>197.26531561189412</x:v>
      </x:c>
      <x:c r="AO1222" s="32" t="n">
        <x:f>MIN(AP1221+AN1222,AM1222*v01_KHMaxRatio)</x:f>
        <x:v>197.26531561189412</x:v>
      </x:c>
      <x:c r="AP1222" s="32" t="n">
        <x:f>AP1221+AN1222-AO1222</x:f>
        <x:v>0</x:v>
      </x:c>
      <x:c r="AQ1222" s="32" t="n">
        <x:f>AM1222+AO1222</x:f>
        <x:v>3178.183056280392</x:v>
      </x:c>
      <x:c r="AR1222" s="10" t="n">
        <x:f>IF(H1222=1,INDEX(v01_Req,G1222),0)</x:f>
        <x:v>240231.2486535</x:v>
      </x:c>
      <x:c r="AS1222" s="32" t="n">
        <x:f>IF(H1222=1,IF(E1222=1,AS1221-AR1221,AS1221)+AQ1222,0)</x:f>
        <x:v>43511.59172533779</x:v>
      </x:c>
      <x:c r="AT1222" s="11" t="n">
        <x:f>IF(AR1222&gt;0,MIN(1,AS1222/AR1222),1)</x:f>
        <x:v>0.1811237795633206</x:v>
      </x:c>
      <x:c r="AU1222" s="10" t="n">
        <x:f>AB1222/INDEX(v01_RepScale,G1222)</x:f>
        <x:v>133.36352339416197</x:v>
      </x:c>
      <x:c r="AV1222" s="32" t="n">
        <x:f>AM1222*60/v01_SeasonSeconds</x:f>
        <x:v>11923.670962673992</x:v>
      </x:c>
    </x:row>
    <x:row r="1223">
      <x:c r="A1223" s="8" t="n">
        <x:f>A1222+1</x:f>
        <x:v>1220</x:v>
      </x:c>
      <x:c r="B1223" s="9" t="n">
        <x:f>A1223*v01_SeasonSeconds/60</x:f>
        <x:v>305</x:v>
      </x:c>
      <x:c r="C1223" s="9" t="n">
        <x:f>A1223/4</x:f>
        <x:v>305</x:v>
      </x:c>
      <x:c r="D1223" s="8" t="n">
        <x:f>IF(MOD(A1223,4)=0,1,0)</x:f>
        <x:v>1</x:v>
      </x:c>
      <x:c r="E1223" s="8" t="n">
        <x:f>IF(AND(F1222&lt;=9,AS1222&gt;=AR1222),1,0)</x:f>
        <x:v>0</x:v>
      </x:c>
      <x:c r="F1223" s="8" t="n">
        <x:f>MIN(10,F1222+E1223)</x:f>
        <x:v>7</x:v>
      </x:c>
      <x:c r="G1223" s="8" t="n">
        <x:f>MIN(F1223,9)+1</x:f>
        <x:v>8</x:v>
      </x:c>
      <x:c r="H1223" s="8" t="n">
        <x:f>IF(F1223&lt;=9,1,0)</x:f>
        <x:v>1</x:v>
      </x:c>
      <x:c r="I1223" s="9" t="n">
        <x:f>MIN(10,F1222+IF(AR1222&gt;0,MIN(1,AS1222/AR1222),1))</x:f>
        <x:v>7.181123779563321</x:v>
      </x:c>
      <x:c r="J1223" s="32" t="n">
        <x:f>INDEX(v01_FoodCap,G1223)*Arch_FoodCap*EXP(v01_CapsByProject*SUMPRODUCT((Cap_Point&lt;=I1223)*(Cap_Kind="Food")*Cap_Ln))</x:f>
        <x:v>2500</x:v>
      </x:c>
      <x:c r="K1223" s="32" t="n">
        <x:f>J1223*MIN(1,v01_LeanBase*EXP(v01_CapsByProject*SUMPRODUCT((Cap_Point&lt;=I1223)*(Cap_Kind="Lean")*Cap_Ln)))</x:f>
        <x:v>2500</x:v>
      </x:c>
      <x:c r="L1223" s="10" t="n">
        <x:f>INDEX(v01_HousingCap,G1223)*EXP(v01_CapsByProject*SUMPRODUCT((Cap_Point&lt;=I1223)*(Cap_Kind="Housing")*Cap_Ln))</x:f>
        <x:v>4000</x:v>
      </x:c>
      <x:c r="M1223" s="10" t="n">
        <x:f>INDEX(v01_GroupCap,G1223)*v01_CohesionFactor*EXP(v01_CapsByProject*SUMPRODUCT((Cap_Point&lt;=I1223)*(Cap_Kind="Group")*Cap_Ln))</x:f>
        <x:v>1000000</x:v>
      </x:c>
      <x:c r="N1223" s="32" t="n">
        <x:f>MIN(J1223,L1223,M1223)</x:f>
        <x:v>2500</x:v>
      </x:c>
      <x:c r="O1223" s="10" t="n">
        <x:f>AE1222*N1223</x:f>
        <x:v>40000</x:v>
      </x:c>
      <x:c r="P1223" s="9" t="n">
        <x:f>MIN(1,(AB1222/(AE1222*IF(v01_GroupInCrowding=1,N1223,MIN(J1223,L1223))))^v01_CrowdingExp)</x:f>
        <x:v>0.001373606751710297</x:v>
      </x:c>
      <x:c r="Q1223" s="9" t="n">
        <x:f>IF(D1223=1,INDEX(v01_WinterMult,G1223),1)</x:f>
        <x:v>1</x:v>
      </x:c>
      <x:c r="R1223" s="9" t="n">
        <x:f>H1223*Z1222*v01_WomenShare*v01_BaseFertility*INDEX(v01_FertMult,G1223)*Arch_Fertility*(1-P1223)</x:f>
        <x:v>168.85230055070687</x:v>
      </x:c>
      <x:c r="S1223" s="9" t="n">
        <x:f>H1223*Y1222*INDEX(v01_MortChild,G1223)/4*Q1223</x:f>
        <x:v>20.683043234953836</x:v>
      </x:c>
      <x:c r="T1223" s="9" t="n">
        <x:f>H1223*Z1222*INDEX(v01_MortAdult,G1223)*Arch_AdultMort/4*Q1223</x:f>
        <x:v>9.863265780594705</x:v>
      </x:c>
      <x:c r="U1223" s="9" t="n">
        <x:f>H1223*AA1222*INDEX(v01_MortElder,G1223)/4*Q1223</x:f>
        <x:v>27.309028360037043</x:v>
      </x:c>
      <x:c r="V1223" s="9" t="n">
        <x:f>H1223*MAX(0,AB1222-O1223)*v01_OvercapLoss</x:f>
        <x:v>0</x:v>
      </x:c>
      <x:c r="W1223" s="9" t="n">
        <x:f>H1223*Y1222/(v01_ChildYears*4)</x:f>
        <x:v>98.49068207120875</x:v>
      </x:c>
      <x:c r="X1223" s="9" t="n">
        <x:f>H1223*Z1222/(v01_AdultYears*4)</x:f>
        <x:v>45.452837698593115</x:v>
      </x:c>
      <x:c r="Y1223" s="32" t="n">
        <x:f>Y1222+R1223-S1223-W1223-Y1222*V1223/AB1222</x:f>
        <x:v>5565.156771232235</x:v>
      </x:c>
      <x:c r="Z1223" s="32" t="n">
        <x:f>Z1222+W1223-X1223-T1223-Z1222*V1223/AB1222</x:f>
        <x:v>5679.326453217567</x:v>
      </x:c>
      <x:c r="AA1223" s="32" t="n">
        <x:f>AA1222+X1223-U1223-AA1222*V1223/AB1222</x:f>
        <x:v>2202.866078141519</x:v>
      </x:c>
      <x:c r="AB1223" s="10" t="n">
        <x:f>Y1223+Z1223+AA1223</x:f>
        <x:v>13447.349302591323</x:v>
      </x:c>
      <x:c r="AC1223" s="8" t="n">
        <x:f>IF(AND(v01_WinterTrigger=1,D1223=1,AB1222/AE1222&gt;=K1223),1,0)</x:f>
        <x:v>0</x:v>
      </x:c>
      <x:c r="AD1223" s="8" t="n">
        <x:f>H1223*IF(AND(OR(AB1222/AE1222&gt;=v01_FissionTrigger*N1223,AC1223=1),AB1222/AE1222*v01_DaughterShare&gt;=v01_MinDaughter),MAX(1,ROUND(AE1222*v01_FissionRate,0)),0)</x:f>
        <x:v>0</x:v>
      </x:c>
      <x:c r="AE1223" s="8" t="n">
        <x:f>IF(H1223=1,MAX(1,MIN(INDEX(v01_Smax,G1223),AE1222+AD1223)),AE1222)</x:f>
        <x:v>16</x:v>
      </x:c>
      <x:c r="AF1223" s="8" t="n">
        <x:f>MAX(0,AE1223-AE1222)</x:f>
        <x:v>0</x:v>
      </x:c>
      <x:c r="AG1223" s="9" t="str">
        <x:f>IF(AF1223&gt;0,B1223,"")</x:f>
      </x:c>
      <x:c r="AH1223" s="9" t="n">
        <x:f>IF(F1223&gt;=1,1,(1+v01_LowTiesShare*(AE1223-1))/AE1223)</x:f>
        <x:v>1</x:v>
      </x:c>
      <x:c r="AI1223" s="32" t="n">
        <x:f>(Z1223+v01_ElderCommons*INDEX(LM_Elder,G1223)*AA1223)*AH1223</x:f>
        <x:v>13940.074246248265</x:v>
      </x:c>
      <x:c r="AJ1223" s="32" t="n">
        <x:f>H1223*v01_CommonsCoef*AI1223^v01_CommonsExp*INDEX(LM_Commons,G1223)</x:f>
        <x:v>3901.9641451294015</x:v>
      </x:c>
      <x:c r="AK1223" s="32" t="n">
        <x:f>H1223*v01_RoleScale*Arch_Roles*(AE1223*(INDEX(v01_ElderRolePerSett,G1223)*v01_OutElder*INDEX(LM_Elder,G1223)+INDEX(v01_ShamanPerSett,G1223)*v01_OutShaman)+Z1223*(INDEX(v01_PriestShare,G1223)*v01_OutPriest+INDEX(v01_ScribeShare,G1223)*v01_OutScribe*INDEX(LM_Scribe,G1223)+INDEX(v01_ScholarShare,G1223)*v01_OutScholar*INDEX(LM_Scholar,G1223)+INDEX(v01_ResearcherShare,G1223)*v01_OutResearcher*INDEX(LM_Researcher,G1223)))</x:f>
        <x:v>1075.0293097594542</x:v>
      </x:c>
      <x:c r="AL1223" s="32" t="n">
        <x:f>H1223*v01_RoleScale*Arch_Roles*AE1223*INDEX(v01_MonasteryPerSett,G1223)*v01_OutMonastery*INDEX(LM_Monastery,G1223)</x:f>
        <x:v>10.56</x:v>
      </x:c>
      <x:c r="AM1223" s="32" t="n">
        <x:f>(AJ1223+AK1223+AL1223)/4*INDEX(LM_All,G1223)*INDEX(v01_Boon,G1223)*Arch_Insight</x:f>
        <x:v>3001.5223674468184</x:v>
      </x:c>
      <x:c r="AN1223" s="32" t="n">
        <x:f>H1223*(v01_KHPerAdult*Z1223+v01_KHOfCommons*AJ1223/4*INDEX(LM_All,G1223))*v01_KHUsable*Arch_KH</x:f>
        <x:v>198.77642586261484</x:v>
      </x:c>
      <x:c r="AO1223" s="32" t="n">
        <x:f>MIN(AP1222+AN1223,AM1223*v01_KHMaxRatio)</x:f>
        <x:v>198.77642586261484</x:v>
      </x:c>
      <x:c r="AP1223" s="32" t="n">
        <x:f>AP1222+AN1223-AO1223</x:f>
        <x:v>0</x:v>
      </x:c>
      <x:c r="AQ1223" s="32" t="n">
        <x:f>AM1223+AO1223</x:f>
        <x:v>3200.298793309433</x:v>
      </x:c>
      <x:c r="AR1223" s="10" t="n">
        <x:f>IF(H1223=1,INDEX(v01_Req,G1223),0)</x:f>
        <x:v>240231.2486535</x:v>
      </x:c>
      <x:c r="AS1223" s="32" t="n">
        <x:f>IF(H1223=1,IF(E1223=1,AS1222-AR1222,AS1222)+AQ1223,0)</x:f>
        <x:v>46711.890518647226</x:v>
      </x:c>
      <x:c r="AT1223" s="11" t="n">
        <x:f>IF(AR1223&gt;0,MIN(1,AS1223/AR1223),1)</x:f>
        <x:v>0.19444552188971304</x:v>
      </x:c>
      <x:c r="AU1223" s="10" t="n">
        <x:f>AB1223/INDEX(v01_RepScale,G1223)</x:f>
        <x:v>134.47349302591323</x:v>
      </x:c>
      <x:c r="AV1223" s="32" t="n">
        <x:f>AM1223*60/v01_SeasonSeconds</x:f>
        <x:v>12006.089469787274</x:v>
      </x:c>
    </x:row>
    <x:row r="1224">
      <x:c r="A1224" s="8" t="n">
        <x:f>A1223+1</x:f>
        <x:v>1221</x:v>
      </x:c>
      <x:c r="B1224" s="9" t="n">
        <x:f>A1224*v01_SeasonSeconds/60</x:f>
        <x:v>305.25</x:v>
      </x:c>
      <x:c r="C1224" s="9" t="n">
        <x:f>A1224/4</x:f>
        <x:v>305.25</x:v>
      </x:c>
      <x:c r="D1224" s="8" t="n">
        <x:f>IF(MOD(A1224,4)=0,1,0)</x:f>
        <x:v>0</x:v>
      </x:c>
      <x:c r="E1224" s="8" t="n">
        <x:f>IF(AND(F1223&lt;=9,AS1223&gt;=AR1223),1,0)</x:f>
        <x:v>0</x:v>
      </x:c>
      <x:c r="F1224" s="8" t="n">
        <x:f>MIN(10,F1223+E1224)</x:f>
        <x:v>7</x:v>
      </x:c>
      <x:c r="G1224" s="8" t="n">
        <x:f>MIN(F1224,9)+1</x:f>
        <x:v>8</x:v>
      </x:c>
      <x:c r="H1224" s="8" t="n">
        <x:f>IF(F1224&lt;=9,1,0)</x:f>
        <x:v>1</x:v>
      </x:c>
      <x:c r="I1224" s="9" t="n">
        <x:f>MIN(10,F1223+IF(AR1223&gt;0,MIN(1,AS1223/AR1223),1))</x:f>
        <x:v>7.194445521889713</x:v>
      </x:c>
      <x:c r="J1224" s="32" t="n">
        <x:f>INDEX(v01_FoodCap,G1224)*Arch_FoodCap*EXP(v01_CapsByProject*SUMPRODUCT((Cap_Point&lt;=I1224)*(Cap_Kind="Food")*Cap_Ln))</x:f>
        <x:v>2500</x:v>
      </x:c>
      <x:c r="K1224" s="32" t="n">
        <x:f>J1224*MIN(1,v01_LeanBase*EXP(v01_CapsByProject*SUMPRODUCT((Cap_Point&lt;=I1224)*(Cap_Kind="Lean")*Cap_Ln)))</x:f>
        <x:v>2500</x:v>
      </x:c>
      <x:c r="L1224" s="10" t="n">
        <x:f>INDEX(v01_HousingCap,G1224)*EXP(v01_CapsByProject*SUMPRODUCT((Cap_Point&lt;=I1224)*(Cap_Kind="Housing")*Cap_Ln))</x:f>
        <x:v>4000</x:v>
      </x:c>
      <x:c r="M1224" s="10" t="n">
        <x:f>INDEX(v01_GroupCap,G1224)*v01_CohesionFactor*EXP(v01_CapsByProject*SUMPRODUCT((Cap_Point&lt;=I1224)*(Cap_Kind="Group")*Cap_Ln))</x:f>
        <x:v>1000000</x:v>
      </x:c>
      <x:c r="N1224" s="32" t="n">
        <x:f>MIN(J1224,L1224,M1224)</x:f>
        <x:v>2500</x:v>
      </x:c>
      <x:c r="O1224" s="10" t="n">
        <x:f>AE1223*N1224</x:f>
        <x:v>40000</x:v>
      </x:c>
      <x:c r="P1224" s="9" t="n">
        <x:f>MIN(1,(AB1223/(AE1223*IF(v01_GroupInCrowding=1,N1224,MIN(J1224,L1224))))^v01_CrowdingExp)</x:f>
        <x:v>0.0014436441936310045</x:v>
      </x:c>
      <x:c r="Q1224" s="9" t="n">
        <x:f>IF(D1224=1,INDEX(v01_WinterMult,G1224),1)</x:f>
        <x:v>1</x:v>
      </x:c>
      <x:c r="R1224" s="9" t="n">
        <x:f>H1224*Z1223*v01_WomenShare*v01_BaseFertility*INDEX(v01_FertMult,G1224)*Arch_Fertility*(1-P1224)</x:f>
        <x:v>170.13382579678935</x:v>
      </x:c>
      <x:c r="S1224" s="9" t="n">
        <x:f>H1224*Y1223*INDEX(v01_MortChild,G1224)/4*Q1224</x:f>
        <x:v>20.86933789212088</x:v>
      </x:c>
      <x:c r="T1224" s="9" t="n">
        <x:f>H1224*Z1223*INDEX(v01_MortAdult,G1224)*Arch_AdultMort/4*Q1224</x:f>
        <x:v>9.938821293130744</x:v>
      </x:c>
      <x:c r="U1224" s="9" t="n">
        <x:f>H1224*AA1223*INDEX(v01_MortElder,G1224)/4*Q1224</x:f>
        <x:v>27.53582597676899</x:v>
      </x:c>
      <x:c r="V1224" s="9" t="n">
        <x:f>H1224*MAX(0,AB1223-O1224)*v01_OvercapLoss</x:f>
        <x:v>0</x:v>
      </x:c>
      <x:c r="W1224" s="9" t="n">
        <x:f>H1224*Y1223/(v01_ChildYears*4)</x:f>
        <x:v>99.3777994862899</x:v>
      </x:c>
      <x:c r="X1224" s="9" t="n">
        <x:f>H1224*Z1223/(v01_AdultYears*4)</x:f>
        <x:v>45.80101978401264</x:v>
      </x:c>
      <x:c r="Y1224" s="32" t="n">
        <x:f>Y1223+R1224-S1224-W1224-Y1223*V1224/AB1223</x:f>
        <x:v>5615.043459650613</x:v>
      </x:c>
      <x:c r="Z1224" s="32" t="n">
        <x:f>Z1223+W1224-X1224-T1224-Z1223*V1224/AB1223</x:f>
        <x:v>5722.964411626714</x:v>
      </x:c>
      <x:c r="AA1224" s="32" t="n">
        <x:f>AA1223+X1224-U1224-AA1223*V1224/AB1223</x:f>
        <x:v>2221.131271948763</x:v>
      </x:c>
      <x:c r="AB1224" s="10" t="n">
        <x:f>Y1224+Z1224+AA1224</x:f>
        <x:v>13559.13914322609</x:v>
      </x:c>
      <x:c r="AC1224" s="8" t="n">
        <x:f>IF(AND(v01_WinterTrigger=1,D1224=1,AB1223/AE1223&gt;=K1224),1,0)</x:f>
        <x:v>0</x:v>
      </x:c>
      <x:c r="AD1224" s="8" t="n">
        <x:f>H1224*IF(AND(OR(AB1223/AE1223&gt;=v01_FissionTrigger*N1224,AC1224=1),AB1223/AE1223*v01_DaughterShare&gt;=v01_MinDaughter),MAX(1,ROUND(AE1223*v01_FissionRate,0)),0)</x:f>
        <x:v>0</x:v>
      </x:c>
      <x:c r="AE1224" s="8" t="n">
        <x:f>IF(H1224=1,MAX(1,MIN(INDEX(v01_Smax,G1224),AE1223+AD1224)),AE1223)</x:f>
        <x:v>16</x:v>
      </x:c>
      <x:c r="AF1224" s="8" t="n">
        <x:f>MAX(0,AE1224-AE1223)</x:f>
        <x:v>0</x:v>
      </x:c>
      <x:c r="AG1224" s="9" t="str">
        <x:f>IF(AF1224&gt;0,B1224,"")</x:f>
      </x:c>
      <x:c r="AH1224" s="9" t="n">
        <x:f>IF(F1224&gt;=1,1,(1+v01_LowTiesShare*(AE1224-1))/AE1224)</x:f>
        <x:v>1</x:v>
      </x:c>
      <x:c r="AI1224" s="32" t="n">
        <x:f>(Z1224+v01_ElderCommons*INDEX(LM_Elder,G1224)*AA1224)*AH1224</x:f>
        <x:v>14052.206681434574</x:v>
      </x:c>
      <x:c r="AJ1224" s="32" t="n">
        <x:f>H1224*v01_CommonsCoef*AI1224^v01_CommonsExp*INDEX(LM_Commons,G1224)</x:f>
        <x:v>3928.6270268812655</x:v>
      </x:c>
      <x:c r="AK1224" s="32" t="n">
        <x:f>H1224*v01_RoleScale*Arch_Roles*(AE1224*(INDEX(v01_ElderRolePerSett,G1224)*v01_OutElder*INDEX(LM_Elder,G1224)+INDEX(v01_ShamanPerSett,G1224)*v01_OutShaman)+Z1224*(INDEX(v01_PriestShare,G1224)*v01_OutPriest+INDEX(v01_ScribeShare,G1224)*v01_OutScribe*INDEX(LM_Scribe,G1224)+INDEX(v01_ScholarShare,G1224)*v01_OutScholar*INDEX(LM_Scholar,G1224)+INDEX(v01_ResearcherShare,G1224)*v01_OutResearcher*INDEX(LM_Researcher,G1224)))</x:f>
        <x:v>1082.8745419222505</x:v>
      </x:c>
      <x:c r="AL1224" s="32" t="n">
        <x:f>H1224*v01_RoleScale*Arch_Roles*AE1224*INDEX(v01_MonasteryPerSett,G1224)*v01_OutMonastery*INDEX(LM_Monastery,G1224)</x:f>
        <x:v>10.56</x:v>
      </x:c>
      <x:c r="AM1224" s="32" t="n">
        <x:f>(AJ1224+AK1224+AL1224)/4*INDEX(LM_All,G1224)*INDEX(v01_Boon,G1224)*Arch_Insight</x:f>
        <x:v>3022.2894382582062</x:v>
      </x:c>
      <x:c r="AN1224" s="32" t="n">
        <x:f>H1224*(v01_KHPerAdult*Z1224+v01_KHOfCommons*AJ1224/4*INDEX(LM_All,G1224))*v01_KHUsable*Arch_KH</x:f>
        <x:v>200.30375440693498</x:v>
      </x:c>
      <x:c r="AO1224" s="32" t="n">
        <x:f>MIN(AP1223+AN1224,AM1224*v01_KHMaxRatio)</x:f>
        <x:v>200.30375440693498</x:v>
      </x:c>
      <x:c r="AP1224" s="32" t="n">
        <x:f>AP1223+AN1224-AO1224</x:f>
        <x:v>0</x:v>
      </x:c>
      <x:c r="AQ1224" s="32" t="n">
        <x:f>AM1224+AO1224</x:f>
        <x:v>3222.593192665141</x:v>
      </x:c>
      <x:c r="AR1224" s="10" t="n">
        <x:f>IF(H1224=1,INDEX(v01_Req,G1224),0)</x:f>
        <x:v>240231.2486535</x:v>
      </x:c>
      <x:c r="AS1224" s="32" t="n">
        <x:f>IF(H1224=1,IF(E1224=1,AS1223-AR1223,AS1223)+AQ1224,0)</x:f>
        <x:v>49934.483711312365</x:v>
      </x:c>
      <x:c r="AT1224" s="11" t="n">
        <x:f>IF(AR1224&gt;0,MIN(1,AS1224/AR1224),1)</x:f>
        <x:v>0.20786006812684008</x:v>
      </x:c>
      <x:c r="AU1224" s="10" t="n">
        <x:f>AB1224/INDEX(v01_RepScale,G1224)</x:f>
        <x:v>135.5913914322609</x:v>
      </x:c>
      <x:c r="AV1224" s="32" t="n">
        <x:f>AM1224*60/v01_SeasonSeconds</x:f>
        <x:v>12089.157753032825</x:v>
      </x:c>
    </x:row>
    <x:row r="1225">
      <x:c r="A1225" s="8" t="n">
        <x:f>A1224+1</x:f>
        <x:v>1222</x:v>
      </x:c>
      <x:c r="B1225" s="9" t="n">
        <x:f>A1225*v01_SeasonSeconds/60</x:f>
        <x:v>305.5</x:v>
      </x:c>
      <x:c r="C1225" s="9" t="n">
        <x:f>A1225/4</x:f>
        <x:v>305.5</x:v>
      </x:c>
      <x:c r="D1225" s="8" t="n">
        <x:f>IF(MOD(A1225,4)=0,1,0)</x:f>
        <x:v>0</x:v>
      </x:c>
      <x:c r="E1225" s="8" t="n">
        <x:f>IF(AND(F1224&lt;=9,AS1224&gt;=AR1224),1,0)</x:f>
        <x:v>0</x:v>
      </x:c>
      <x:c r="F1225" s="8" t="n">
        <x:f>MIN(10,F1224+E1225)</x:f>
        <x:v>7</x:v>
      </x:c>
      <x:c r="G1225" s="8" t="n">
        <x:f>MIN(F1225,9)+1</x:f>
        <x:v>8</x:v>
      </x:c>
      <x:c r="H1225" s="8" t="n">
        <x:f>IF(F1225&lt;=9,1,0)</x:f>
        <x:v>1</x:v>
      </x:c>
      <x:c r="I1225" s="9" t="n">
        <x:f>MIN(10,F1224+IF(AR1224&gt;0,MIN(1,AS1224/AR1224),1))</x:f>
        <x:v>7.20786006812684</x:v>
      </x:c>
      <x:c r="J1225" s="32" t="n">
        <x:f>INDEX(v01_FoodCap,G1225)*Arch_FoodCap*EXP(v01_CapsByProject*SUMPRODUCT((Cap_Point&lt;=I1225)*(Cap_Kind="Food")*Cap_Ln))</x:f>
        <x:v>2500</x:v>
      </x:c>
      <x:c r="K1225" s="32" t="n">
        <x:f>J1225*MIN(1,v01_LeanBase*EXP(v01_CapsByProject*SUMPRODUCT((Cap_Point&lt;=I1225)*(Cap_Kind="Lean")*Cap_Ln)))</x:f>
        <x:v>2500</x:v>
      </x:c>
      <x:c r="L1225" s="10" t="n">
        <x:f>INDEX(v01_HousingCap,G1225)*EXP(v01_CapsByProject*SUMPRODUCT((Cap_Point&lt;=I1225)*(Cap_Kind="Housing")*Cap_Ln))</x:f>
        <x:v>4000</x:v>
      </x:c>
      <x:c r="M1225" s="10" t="n">
        <x:f>INDEX(v01_GroupCap,G1225)*v01_CohesionFactor*EXP(v01_CapsByProject*SUMPRODUCT((Cap_Point&lt;=I1225)*(Cap_Kind="Group")*Cap_Ln))</x:f>
        <x:v>1000000</x:v>
      </x:c>
      <x:c r="N1225" s="32" t="n">
        <x:f>MIN(J1225,L1225,M1225)</x:f>
        <x:v>2500</x:v>
      </x:c>
      <x:c r="O1225" s="10" t="n">
        <x:f>AE1224*N1225</x:f>
        <x:v>40000</x:v>
      </x:c>
      <x:c r="P1225" s="9" t="n">
        <x:f>MIN(1,(AB1224/(AE1224*IF(v01_GroupInCrowding=1,N1225,MIN(J1225,L1225))))^v01_CrowdingExp)</x:f>
        <x:v>0.001517164795862371</x:v>
      </x:c>
      <x:c r="Q1225" s="9" t="n">
        <x:f>IF(D1225=1,INDEX(v01_WinterMult,G1225),1)</x:f>
        <x:v>1</x:v>
      </x:c>
      <x:c r="R1225" s="9" t="n">
        <x:f>H1225*Z1224*v01_WomenShare*v01_BaseFertility*INDEX(v01_FertMult,G1225)*Arch_Fertility*(1-P1225)</x:f>
        <x:v>171.42845194480262</x:v>
      </x:c>
      <x:c r="S1225" s="9" t="n">
        <x:f>H1225*Y1224*INDEX(v01_MortChild,G1225)/4*Q1225</x:f>
        <x:v>21.0564129736898</x:v>
      </x:c>
      <x:c r="T1225" s="9" t="n">
        <x:f>H1225*Z1224*INDEX(v01_MortAdult,G1225)*Arch_AdultMort/4*Q1225</x:f>
        <x:v>10.015187720346749</x:v>
      </x:c>
      <x:c r="U1225" s="9" t="n">
        <x:f>H1225*AA1224*INDEX(v01_MortElder,G1225)/4*Q1225</x:f>
        <x:v>27.764140899359536</x:v>
      </x:c>
      <x:c r="V1225" s="9" t="n">
        <x:f>H1225*MAX(0,AB1224-O1225)*v01_OvercapLoss</x:f>
        <x:v>0</x:v>
      </x:c>
      <x:c r="W1225" s="9" t="n">
        <x:f>H1225*Y1224/(v01_ChildYears*4)</x:f>
        <x:v>100.26863320804667</x:v>
      </x:c>
      <x:c r="X1225" s="9" t="n">
        <x:f>H1225*Z1224/(v01_AdultYears*4)</x:f>
        <x:v>46.15293880344124</x:v>
      </x:c>
      <x:c r="Y1225" s="32" t="n">
        <x:f>Y1224+R1225-S1225-W1225-Y1224*V1225/AB1224</x:f>
        <x:v>5665.14686541368</x:v>
      </x:c>
      <x:c r="Z1225" s="32" t="n">
        <x:f>Z1224+W1225-X1225-T1225-Z1224*V1225/AB1224</x:f>
        <x:v>5767.064918310972</x:v>
      </x:c>
      <x:c r="AA1225" s="32" t="n">
        <x:f>AA1224+X1225-U1225-AA1224*V1225/AB1224</x:f>
        <x:v>2239.5200698528447</x:v>
      </x:c>
      <x:c r="AB1225" s="10" t="n">
        <x:f>Y1225+Z1225+AA1225</x:f>
        <x:v>13671.731853577496</x:v>
      </x:c>
      <x:c r="AC1225" s="8" t="n">
        <x:f>IF(AND(v01_WinterTrigger=1,D1225=1,AB1224/AE1224&gt;=K1225),1,0)</x:f>
        <x:v>0</x:v>
      </x:c>
      <x:c r="AD1225" s="8" t="n">
        <x:f>H1225*IF(AND(OR(AB1224/AE1224&gt;=v01_FissionTrigger*N1225,AC1225=1),AB1224/AE1224*v01_DaughterShare&gt;=v01_MinDaughter),MAX(1,ROUND(AE1224*v01_FissionRate,0)),0)</x:f>
        <x:v>0</x:v>
      </x:c>
      <x:c r="AE1225" s="8" t="n">
        <x:f>IF(H1225=1,MAX(1,MIN(INDEX(v01_Smax,G1225),AE1224+AD1225)),AE1224)</x:f>
        <x:v>16</x:v>
      </x:c>
      <x:c r="AF1225" s="8" t="n">
        <x:f>MAX(0,AE1225-AE1224)</x:f>
        <x:v>0</x:v>
      </x:c>
      <x:c r="AG1225" s="9" t="str">
        <x:f>IF(AF1225&gt;0,B1225,"")</x:f>
      </x:c>
      <x:c r="AH1225" s="9" t="n">
        <x:f>IF(F1225&gt;=1,1,(1+v01_LowTiesShare*(AE1225-1))/AE1225)</x:f>
        <x:v>1</x:v>
      </x:c>
      <x:c r="AI1225" s="32" t="n">
        <x:f>(Z1225+v01_ElderCommons*INDEX(LM_Elder,G1225)*AA1225)*AH1225</x:f>
        <x:v>14165.265180259139</x:v>
      </x:c>
      <x:c r="AJ1225" s="32" t="n">
        <x:f>H1225*v01_CommonsCoef*AI1225^v01_CommonsExp*INDEX(LM_Commons,G1225)</x:f>
        <x:v>3955.4778173536442</x:v>
      </x:c>
      <x:c r="AK1225" s="32" t="n">
        <x:f>H1225*v01_RoleScale*Arch_Roles*(AE1225*(INDEX(v01_ElderRolePerSett,G1225)*v01_OutElder*INDEX(LM_Elder,G1225)+INDEX(v01_ShamanPerSett,G1225)*v01_OutShaman)+Z1225*(INDEX(v01_PriestShare,G1225)*v01_OutPriest+INDEX(v01_ScribeShare,G1225)*v01_OutScribe*INDEX(LM_Scribe,G1225)+INDEX(v01_ScholarShare,G1225)*v01_OutScholar*INDEX(LM_Scholar,G1225)+INDEX(v01_ResearcherShare,G1225)*v01_OutResearcher*INDEX(LM_Researcher,G1225)))</x:f>
        <x:v>1090.8029310139464</x:v>
      </x:c>
      <x:c r="AL1225" s="32" t="n">
        <x:f>H1225*v01_RoleScale*Arch_Roles*AE1225*INDEX(v01_MonasteryPerSett,G1225)*v01_OutMonastery*INDEX(LM_Monastery,G1225)</x:f>
        <x:v>10.56</x:v>
      </x:c>
      <x:c r="AM1225" s="32" t="n">
        <x:f>(AJ1225+AK1225+AL1225)/4*INDEX(LM_All,G1225)*INDEX(v01_Boon,G1225)*Arch_Insight</x:f>
        <x:v>3043.219637067543</x:v>
      </x:c>
      <x:c r="AN1225" s="32" t="n">
        <x:f>H1225*(v01_KHPerAdult*Z1225+v01_KHOfCommons*AJ1225/4*INDEX(LM_All,G1225))*v01_KHUsable*Arch_KH</x:f>
        <x:v>201.847272140884</x:v>
      </x:c>
      <x:c r="AO1225" s="32" t="n">
        <x:f>MIN(AP1224+AN1225,AM1225*v01_KHMaxRatio)</x:f>
        <x:v>201.847272140884</x:v>
      </x:c>
      <x:c r="AP1225" s="32" t="n">
        <x:f>AP1224+AN1225-AO1225</x:f>
        <x:v>0</x:v>
      </x:c>
      <x:c r="AQ1225" s="32" t="n">
        <x:f>AM1225+AO1225</x:f>
        <x:v>3245.0669092084268</x:v>
      </x:c>
      <x:c r="AR1225" s="10" t="n">
        <x:f>IF(H1225=1,INDEX(v01_Req,G1225),0)</x:f>
        <x:v>240231.2486535</x:v>
      </x:c>
      <x:c r="AS1225" s="32" t="n">
        <x:f>IF(H1225=1,IF(E1225=1,AS1224-AR1224,AS1224)+AQ1225,0)</x:f>
        <x:v>53179.55062052079</x:v>
      </x:c>
      <x:c r="AT1225" s="11" t="n">
        <x:f>IF(AR1225&gt;0,MIN(1,AS1225/AR1225),1)</x:f>
        <x:v>0.22136816471043225</x:v>
      </x:c>
      <x:c r="AU1225" s="10" t="n">
        <x:f>AB1225/INDEX(v01_RepScale,G1225)</x:f>
        <x:v>136.71731853577495</x:v>
      </x:c>
      <x:c r="AV1225" s="32" t="n">
        <x:f>AM1225*60/v01_SeasonSeconds</x:f>
        <x:v>12172.878548270171</x:v>
      </x:c>
    </x:row>
    <x:row r="1226">
      <x:c r="A1226" s="8" t="n">
        <x:f>A1225+1</x:f>
        <x:v>1223</x:v>
      </x:c>
      <x:c r="B1226" s="9" t="n">
        <x:f>A1226*v01_SeasonSeconds/60</x:f>
        <x:v>305.75</x:v>
      </x:c>
      <x:c r="C1226" s="9" t="n">
        <x:f>A1226/4</x:f>
        <x:v>305.75</x:v>
      </x:c>
      <x:c r="D1226" s="8" t="n">
        <x:f>IF(MOD(A1226,4)=0,1,0)</x:f>
        <x:v>0</x:v>
      </x:c>
      <x:c r="E1226" s="8" t="n">
        <x:f>IF(AND(F1225&lt;=9,AS1225&gt;=AR1225),1,0)</x:f>
        <x:v>0</x:v>
      </x:c>
      <x:c r="F1226" s="8" t="n">
        <x:f>MIN(10,F1225+E1226)</x:f>
        <x:v>7</x:v>
      </x:c>
      <x:c r="G1226" s="8" t="n">
        <x:f>MIN(F1226,9)+1</x:f>
        <x:v>8</x:v>
      </x:c>
      <x:c r="H1226" s="8" t="n">
        <x:f>IF(F1226&lt;=9,1,0)</x:f>
        <x:v>1</x:v>
      </x:c>
      <x:c r="I1226" s="9" t="n">
        <x:f>MIN(10,F1225+IF(AR1225&gt;0,MIN(1,AS1225/AR1225),1))</x:f>
        <x:v>7.221368164710432</x:v>
      </x:c>
      <x:c r="J1226" s="32" t="n">
        <x:f>INDEX(v01_FoodCap,G1226)*Arch_FoodCap*EXP(v01_CapsByProject*SUMPRODUCT((Cap_Point&lt;=I1226)*(Cap_Kind="Food")*Cap_Ln))</x:f>
        <x:v>2500</x:v>
      </x:c>
      <x:c r="K1226" s="32" t="n">
        <x:f>J1226*MIN(1,v01_LeanBase*EXP(v01_CapsByProject*SUMPRODUCT((Cap_Point&lt;=I1226)*(Cap_Kind="Lean")*Cap_Ln)))</x:f>
        <x:v>2500</x:v>
      </x:c>
      <x:c r="L1226" s="10" t="n">
        <x:f>INDEX(v01_HousingCap,G1226)*EXP(v01_CapsByProject*SUMPRODUCT((Cap_Point&lt;=I1226)*(Cap_Kind="Housing")*Cap_Ln))</x:f>
        <x:v>4000</x:v>
      </x:c>
      <x:c r="M1226" s="10" t="n">
        <x:f>INDEX(v01_GroupCap,G1226)*v01_CohesionFactor*EXP(v01_CapsByProject*SUMPRODUCT((Cap_Point&lt;=I1226)*(Cap_Kind="Group")*Cap_Ln))</x:f>
        <x:v>1000000</x:v>
      </x:c>
      <x:c r="N1226" s="32" t="n">
        <x:f>MIN(J1226,L1226,M1226)</x:f>
        <x:v>2500</x:v>
      </x:c>
      <x:c r="O1226" s="10" t="n">
        <x:f>AE1225*N1226</x:f>
        <x:v>40000</x:v>
      </x:c>
      <x:c r="P1226" s="9" t="n">
        <x:f>MIN(1,(AB1225/(AE1225*IF(v01_GroupInCrowding=1,N1226,MIN(J1226,L1226))))^v01_CrowdingExp)</x:f>
        <x:v>0.0015943411058823448</x:v>
      </x:c>
      <x:c r="Q1226" s="9" t="n">
        <x:f>IF(D1226=1,INDEX(v01_WinterMult,G1226),1)</x:f>
        <x:v>1</x:v>
      </x:c>
      <x:c r="R1226" s="9" t="n">
        <x:f>H1226*Z1225*v01_WomenShare*v01_BaseFertility*INDEX(v01_FertMult,G1226)*Arch_Fertility*(1-P1226)</x:f>
        <x:v>172.7361074895425</x:v>
      </x:c>
      <x:c r="S1226" s="9" t="n">
        <x:f>H1226*Y1225*INDEX(v01_MortChild,G1226)/4*Q1226</x:f>
        <x:v>21.2443007453013</x:v>
      </x:c>
      <x:c r="T1226" s="9" t="n">
        <x:f>H1226*Z1225*INDEX(v01_MortAdult,G1226)*Arch_AdultMort/4*Q1226</x:f>
        <x:v>10.0923636070442</x:v>
      </x:c>
      <x:c r="U1226" s="9" t="n">
        <x:f>H1226*AA1225*INDEX(v01_MortElder,G1226)/4*Q1226</x:f>
        <x:v>27.99400087316056</x:v>
      </x:c>
      <x:c r="V1226" s="9" t="n">
        <x:f>H1226*MAX(0,AB1225-O1226)*v01_OvercapLoss</x:f>
        <x:v>0</x:v>
      </x:c>
      <x:c r="W1226" s="9" t="n">
        <x:f>H1226*Y1225/(v01_ChildYears*4)</x:f>
        <x:v>101.16333688238714</x:v>
      </x:c>
      <x:c r="X1226" s="9" t="n">
        <x:f>H1226*Z1225/(v01_AdultYears*4)</x:f>
        <x:v>46.508588050894936</x:v>
      </x:c>
      <x:c r="Y1226" s="32" t="n">
        <x:f>Y1225+R1226-S1226-W1226-Y1225*V1226/AB1225</x:f>
        <x:v>5715.475335275534</x:v>
      </x:c>
      <x:c r="Z1226" s="32" t="n">
        <x:f>Z1225+W1226-X1226-T1226-Z1225*V1226/AB1225</x:f>
        <x:v>5811.62730353542</x:v>
      </x:c>
      <x:c r="AA1226" s="32" t="n">
        <x:f>AA1225+X1226-U1226-AA1225*V1226/AB1225</x:f>
        <x:v>2258.034657030579</x:v>
      </x:c>
      <x:c r="AB1226" s="10" t="n">
        <x:f>Y1226+Z1226+AA1226</x:f>
        <x:v>13785.137295841532</x:v>
      </x:c>
      <x:c r="AC1226" s="8" t="n">
        <x:f>IF(AND(v01_WinterTrigger=1,D1226=1,AB1225/AE1225&gt;=K1226),1,0)</x:f>
        <x:v>0</x:v>
      </x:c>
      <x:c r="AD1226" s="8" t="n">
        <x:f>H1226*IF(AND(OR(AB1225/AE1225&gt;=v01_FissionTrigger*N1226,AC1226=1),AB1225/AE1225*v01_DaughterShare&gt;=v01_MinDaughter),MAX(1,ROUND(AE1225*v01_FissionRate,0)),0)</x:f>
        <x:v>0</x:v>
      </x:c>
      <x:c r="AE1226" s="8" t="n">
        <x:f>IF(H1226=1,MAX(1,MIN(INDEX(v01_Smax,G1226),AE1225+AD1226)),AE1225)</x:f>
        <x:v>16</x:v>
      </x:c>
      <x:c r="AF1226" s="8" t="n">
        <x:f>MAX(0,AE1226-AE1225)</x:f>
        <x:v>0</x:v>
      </x:c>
      <x:c r="AG1226" s="9" t="str">
        <x:f>IF(AF1226&gt;0,B1226,"")</x:f>
      </x:c>
      <x:c r="AH1226" s="9" t="n">
        <x:f>IF(F1226&gt;=1,1,(1+v01_LowTiesShare*(AE1226-1))/AE1226)</x:f>
        <x:v>1</x:v>
      </x:c>
      <x:c r="AI1226" s="32" t="n">
        <x:f>(Z1226+v01_ElderCommons*INDEX(LM_Elder,G1226)*AA1226)*AH1226</x:f>
        <x:v>14279.257267400091</x:v>
      </x:c>
      <x:c r="AJ1226" s="32" t="n">
        <x:f>H1226*v01_CommonsCoef*AI1226^v01_CommonsExp*INDEX(LM_Commons,G1226)</x:f>
        <x:v>3982.5178047328523</x:v>
      </x:c>
      <x:c r="AK1226" s="32" t="n">
        <x:f>H1226*v01_RoleScale*Arch_Roles*(AE1226*(INDEX(v01_ElderRolePerSett,G1226)*v01_OutElder*INDEX(LM_Elder,G1226)+INDEX(v01_ShamanPerSett,G1226)*v01_OutShaman)+Z1226*(INDEX(v01_PriestShare,G1226)*v01_OutPriest+INDEX(v01_ScribeShare,G1226)*v01_OutScribe*INDEX(LM_Scribe,G1226)+INDEX(v01_ScholarShare,G1226)*v01_OutScholar*INDEX(LM_Scholar,G1226)+INDEX(v01_ResearcherShare,G1226)*v01_OutResearcher*INDEX(LM_Researcher,G1226)))</x:f>
        <x:v>1098.8143566295978</x:v>
      </x:c>
      <x:c r="AL1226" s="32" t="n">
        <x:f>H1226*v01_RoleScale*Arch_Roles*AE1226*INDEX(v01_MonasteryPerSett,G1226)*v01_OutMonastery*INDEX(LM_Monastery,G1226)</x:f>
        <x:v>10.56</x:v>
      </x:c>
      <x:c r="AM1226" s="32" t="n">
        <x:f>(AJ1226+AK1226+AL1226)/4*INDEX(LM_All,G1226)*INDEX(v01_Boon,G1226)*Arch_Insight</x:f>
        <x:v>3064.3136666486316</x:v>
      </x:c>
      <x:c r="AN1226" s="32" t="n">
        <x:f>H1226*(v01_KHPerAdult*Z1226+v01_KHOfCommons*AJ1226/4*INDEX(LM_All,G1226))*v01_KHUsable*Arch_KH</x:f>
        <x:v>203.4069556237397</x:v>
      </x:c>
      <x:c r="AO1226" s="32" t="n">
        <x:f>MIN(AP1225+AN1226,AM1226*v01_KHMaxRatio)</x:f>
        <x:v>203.4069556237397</x:v>
      </x:c>
      <x:c r="AP1226" s="32" t="n">
        <x:f>AP1225+AN1226-AO1226</x:f>
        <x:v>0</x:v>
      </x:c>
      <x:c r="AQ1226" s="32" t="n">
        <x:f>AM1226+AO1226</x:f>
        <x:v>3267.720622272371</x:v>
      </x:c>
      <x:c r="AR1226" s="10" t="n">
        <x:f>IF(H1226=1,INDEX(v01_Req,G1226),0)</x:f>
        <x:v>240231.2486535</x:v>
      </x:c>
      <x:c r="AS1226" s="32" t="n">
        <x:f>IF(H1226=1,IF(E1226=1,AS1225-AR1225,AS1225)+AQ1226,0)</x:f>
        <x:v>56447.27124279316</x:v>
      </x:c>
      <x:c r="AT1226" s="11" t="n">
        <x:f>IF(AR1226&gt;0,MIN(1,AS1226/AR1226),1)</x:f>
        <x:v>0.23497056090404986</x:v>
      </x:c>
      <x:c r="AU1226" s="10" t="n">
        <x:f>AB1226/INDEX(v01_RepScale,G1226)</x:f>
        <x:v>137.8513729584153</x:v>
      </x:c>
      <x:c r="AV1226" s="32" t="n">
        <x:f>AM1226*60/v01_SeasonSeconds</x:f>
        <x:v>12257.254666594526</x:v>
      </x:c>
    </x:row>
    <x:row r="1227">
      <x:c r="A1227" s="8" t="n">
        <x:f>A1226+1</x:f>
        <x:v>1224</x:v>
      </x:c>
      <x:c r="B1227" s="9" t="n">
        <x:f>A1227*v01_SeasonSeconds/60</x:f>
        <x:v>306</x:v>
      </x:c>
      <x:c r="C1227" s="9" t="n">
        <x:f>A1227/4</x:f>
        <x:v>306</x:v>
      </x:c>
      <x:c r="D1227" s="8" t="n">
        <x:f>IF(MOD(A1227,4)=0,1,0)</x:f>
        <x:v>1</x:v>
      </x:c>
      <x:c r="E1227" s="8" t="n">
        <x:f>IF(AND(F1226&lt;=9,AS1226&gt;=AR1226),1,0)</x:f>
        <x:v>0</x:v>
      </x:c>
      <x:c r="F1227" s="8" t="n">
        <x:f>MIN(10,F1226+E1227)</x:f>
        <x:v>7</x:v>
      </x:c>
      <x:c r="G1227" s="8" t="n">
        <x:f>MIN(F1227,9)+1</x:f>
        <x:v>8</x:v>
      </x:c>
      <x:c r="H1227" s="8" t="n">
        <x:f>IF(F1227&lt;=9,1,0)</x:f>
        <x:v>1</x:v>
      </x:c>
      <x:c r="I1227" s="9" t="n">
        <x:f>MIN(10,F1226+IF(AR1226&gt;0,MIN(1,AS1226/AR1226),1))</x:f>
        <x:v>7.23497056090405</x:v>
      </x:c>
      <x:c r="J1227" s="32" t="n">
        <x:f>INDEX(v01_FoodCap,G1227)*Arch_FoodCap*EXP(v01_CapsByProject*SUMPRODUCT((Cap_Point&lt;=I1227)*(Cap_Kind="Food")*Cap_Ln))</x:f>
        <x:v>2500</x:v>
      </x:c>
      <x:c r="K1227" s="32" t="n">
        <x:f>J1227*MIN(1,v01_LeanBase*EXP(v01_CapsByProject*SUMPRODUCT((Cap_Point&lt;=I1227)*(Cap_Kind="Lean")*Cap_Ln)))</x:f>
        <x:v>2500</x:v>
      </x:c>
      <x:c r="L1227" s="10" t="n">
        <x:f>INDEX(v01_HousingCap,G1227)*EXP(v01_CapsByProject*SUMPRODUCT((Cap_Point&lt;=I1227)*(Cap_Kind="Housing")*Cap_Ln))</x:f>
        <x:v>4000</x:v>
      </x:c>
      <x:c r="M1227" s="10" t="n">
        <x:f>INDEX(v01_GroupCap,G1227)*v01_CohesionFactor*EXP(v01_CapsByProject*SUMPRODUCT((Cap_Point&lt;=I1227)*(Cap_Kind="Group")*Cap_Ln))</x:f>
        <x:v>1000000</x:v>
      </x:c>
      <x:c r="N1227" s="32" t="n">
        <x:f>MIN(J1227,L1227,M1227)</x:f>
        <x:v>2500</x:v>
      </x:c>
      <x:c r="O1227" s="10" t="n">
        <x:f>AE1226*N1227</x:f>
        <x:v>40000</x:v>
      </x:c>
      <x:c r="P1227" s="9" t="n">
        <x:f>MIN(1,(AB1226/(AE1226*IF(v01_GroupInCrowding=1,N1227,MIN(J1227,L1227))))^v01_CrowdingExp)</x:f>
        <x:v>0.0016753541565184193</x:v>
      </x:c>
      <x:c r="Q1227" s="9" t="n">
        <x:f>IF(D1227=1,INDEX(v01_WinterMult,G1227),1)</x:f>
        <x:v>1</x:v>
      </x:c>
      <x:c r="R1227" s="9" t="n">
        <x:f>H1227*Z1226*v01_WomenShare*v01_BaseFertility*INDEX(v01_FertMult,G1227)*Arch_Fertility*(1-P1227)</x:f>
        <x:v>174.05672308728916</x:v>
      </x:c>
      <x:c r="S1227" s="9" t="n">
        <x:f>H1227*Y1226*INDEX(v01_MortChild,G1227)/4*Q1227</x:f>
        <x:v>21.43303250728325</x:v>
      </x:c>
      <x:c r="T1227" s="9" t="n">
        <x:f>H1227*Z1226*INDEX(v01_MortAdult,G1227)*Arch_AdultMort/4*Q1227</x:f>
        <x:v>10.170347781186985</x:v>
      </x:c>
      <x:c r="U1227" s="9" t="n">
        <x:f>H1227*AA1226*INDEX(v01_MortElder,G1227)/4*Q1227</x:f>
        <x:v>28.22543321288224</x:v>
      </x:c>
      <x:c r="V1227" s="9" t="n">
        <x:f>H1227*MAX(0,AB1226-O1227)*v01_OvercapLoss</x:f>
        <x:v>0</x:v>
      </x:c>
      <x:c r="W1227" s="9" t="n">
        <x:f>H1227*Y1226/(v01_ChildYears*4)</x:f>
        <x:v>102.06205955849168</x:v>
      </x:c>
      <x:c r="X1227" s="9" t="n">
        <x:f>H1227*Z1226/(v01_AdultYears*4)</x:f>
        <x:v>46.86796212528564</x:v>
      </x:c>
      <x:c r="Y1227" s="32" t="n">
        <x:f>Y1226+R1227-S1227-W1227-Y1226*V1227/AB1226</x:f>
        <x:v>5766.036966297049</x:v>
      </x:c>
      <x:c r="Z1227" s="32" t="n">
        <x:f>Z1226+W1227-X1227-T1227-Z1226*V1227/AB1226</x:f>
        <x:v>5856.651053187438</x:v>
      </x:c>
      <x:c r="AA1227" s="32" t="n">
        <x:f>AA1226+X1227-U1227-AA1226*V1227/AB1226</x:f>
        <x:v>2276.6771859429823</x:v>
      </x:c>
      <x:c r="AB1227" s="10" t="n">
        <x:f>Y1227+Z1227+AA1227</x:f>
        <x:v>13899.36520542747</x:v>
      </x:c>
      <x:c r="AC1227" s="8" t="n">
        <x:f>IF(AND(v01_WinterTrigger=1,D1227=1,AB1226/AE1226&gt;=K1227),1,0)</x:f>
        <x:v>0</x:v>
      </x:c>
      <x:c r="AD1227" s="8" t="n">
        <x:f>H1227*IF(AND(OR(AB1226/AE1226&gt;=v01_FissionTrigger*N1227,AC1227=1),AB1226/AE1226*v01_DaughterShare&gt;=v01_MinDaughter),MAX(1,ROUND(AE1226*v01_FissionRate,0)),0)</x:f>
        <x:v>0</x:v>
      </x:c>
      <x:c r="AE1227" s="8" t="n">
        <x:f>IF(H1227=1,MAX(1,MIN(INDEX(v01_Smax,G1227),AE1226+AD1227)),AE1226)</x:f>
        <x:v>16</x:v>
      </x:c>
      <x:c r="AF1227" s="8" t="n">
        <x:f>MAX(0,AE1227-AE1226)</x:f>
        <x:v>0</x:v>
      </x:c>
      <x:c r="AG1227" s="9" t="str">
        <x:f>IF(AF1227&gt;0,B1227,"")</x:f>
      </x:c>
      <x:c r="AH1227" s="9" t="n">
        <x:f>IF(F1227&gt;=1,1,(1+v01_LowTiesShare*(AE1227-1))/AE1227)</x:f>
        <x:v>1</x:v>
      </x:c>
      <x:c r="AI1227" s="32" t="n">
        <x:f>(Z1227+v01_ElderCommons*INDEX(LM_Elder,G1227)*AA1227)*AH1227</x:f>
        <x:v>14394.190500473622</x:v>
      </x:c>
      <x:c r="AJ1227" s="32" t="n">
        <x:f>H1227*v01_CommonsCoef*AI1227^v01_CommonsExp*INDEX(LM_Commons,G1227)</x:f>
        <x:v>4009.7482794308303</x:v>
      </x:c>
      <x:c r="AK1227" s="32" t="n">
        <x:f>H1227*v01_RoleScale*Arch_Roles*(AE1227*(INDEX(v01_ElderRolePerSett,G1227)*v01_OutElder*INDEX(LM_Elder,G1227)+INDEX(v01_ShamanPerSett,G1227)*v01_OutShaman)+Z1227*(INDEX(v01_PriestShare,G1227)*v01_OutPriest+INDEX(v01_ScribeShare,G1227)*v01_OutScribe*INDEX(LM_Scribe,G1227)+INDEX(v01_ScholarShare,G1227)*v01_OutScholar*INDEX(LM_Scholar,G1227)+INDEX(v01_ResearcherShare,G1227)*v01_OutResearcher*INDEX(LM_Researcher,G1227)))</x:f>
        <x:v>1106.9087263420377</x:v>
      </x:c>
      <x:c r="AL1227" s="32" t="n">
        <x:f>H1227*v01_RoleScale*Arch_Roles*AE1227*INDEX(v01_MonasteryPerSett,G1227)*v01_OutMonastery*INDEX(LM_Monastery,G1227)</x:f>
        <x:v>10.56</x:v>
      </x:c>
      <x:c r="AM1227" s="32" t="n">
        <x:f>(AJ1227+AK1227+AL1227)/4*INDEX(LM_All,G1227)*INDEX(v01_Boon,G1227)*Arch_Insight</x:f>
        <x:v>3085.5722479517585</x:v>
      </x:c>
      <x:c r="AN1227" s="32" t="n">
        <x:f>H1227*(v01_KHPerAdult*Z1227+v01_KHOfCommons*AJ1227/4*INDEX(LM_All,G1227))*v01_KHUsable*Arch_KH</x:f>
        <x:v>204.98278686156033</x:v>
      </x:c>
      <x:c r="AO1227" s="32" t="n">
        <x:f>MIN(AP1226+AN1227,AM1227*v01_KHMaxRatio)</x:f>
        <x:v>204.98278686156033</x:v>
      </x:c>
      <x:c r="AP1227" s="32" t="n">
        <x:f>AP1226+AN1227-AO1227</x:f>
        <x:v>0</x:v>
      </x:c>
      <x:c r="AQ1227" s="32" t="n">
        <x:f>AM1227+AO1227</x:f>
        <x:v>3290.555034813319</x:v>
      </x:c>
      <x:c r="AR1227" s="10" t="n">
        <x:f>IF(H1227=1,INDEX(v01_Req,G1227),0)</x:f>
        <x:v>240231.2486535</x:v>
      </x:c>
      <x:c r="AS1227" s="32" t="n">
        <x:f>IF(H1227=1,IF(E1227=1,AS1226-AR1226,AS1226)+AQ1227,0)</x:f>
        <x:v>59737.82627760648</x:v>
      </x:c>
      <x:c r="AT1227" s="11" t="n">
        <x:f>IF(AR1227&gt;0,MIN(1,AS1227/AR1227),1)</x:f>
        <x:v>0.24866800889741844</x:v>
      </x:c>
      <x:c r="AU1227" s="10" t="n">
        <x:f>AB1227/INDEX(v01_RepScale,G1227)</x:f>
        <x:v>138.9936520542747</x:v>
      </x:c>
      <x:c r="AV1227" s="32" t="n">
        <x:f>AM1227*60/v01_SeasonSeconds</x:f>
        <x:v>12342.288991807034</x:v>
      </x:c>
    </x:row>
    <x:row r="1228">
      <x:c r="A1228" s="8" t="n">
        <x:f>A1227+1</x:f>
        <x:v>1225</x:v>
      </x:c>
      <x:c r="B1228" s="9" t="n">
        <x:f>A1228*v01_SeasonSeconds/60</x:f>
        <x:v>306.25</x:v>
      </x:c>
      <x:c r="C1228" s="9" t="n">
        <x:f>A1228/4</x:f>
        <x:v>306.25</x:v>
      </x:c>
      <x:c r="D1228" s="8" t="n">
        <x:f>IF(MOD(A1228,4)=0,1,0)</x:f>
        <x:v>0</x:v>
      </x:c>
      <x:c r="E1228" s="8" t="n">
        <x:f>IF(AND(F1227&lt;=9,AS1227&gt;=AR1227),1,0)</x:f>
        <x:v>0</x:v>
      </x:c>
      <x:c r="F1228" s="8" t="n">
        <x:f>MIN(10,F1227+E1228)</x:f>
        <x:v>7</x:v>
      </x:c>
      <x:c r="G1228" s="8" t="n">
        <x:f>MIN(F1228,9)+1</x:f>
        <x:v>8</x:v>
      </x:c>
      <x:c r="H1228" s="8" t="n">
        <x:f>IF(F1228&lt;=9,1,0)</x:f>
        <x:v>1</x:v>
      </x:c>
      <x:c r="I1228" s="9" t="n">
        <x:f>MIN(10,F1227+IF(AR1227&gt;0,MIN(1,AS1227/AR1227),1))</x:f>
        <x:v>7.248668008897418</x:v>
      </x:c>
      <x:c r="J1228" s="32" t="n">
        <x:f>INDEX(v01_FoodCap,G1228)*Arch_FoodCap*EXP(v01_CapsByProject*SUMPRODUCT((Cap_Point&lt;=I1228)*(Cap_Kind="Food")*Cap_Ln))</x:f>
        <x:v>2500</x:v>
      </x:c>
      <x:c r="K1228" s="32" t="n">
        <x:f>J1228*MIN(1,v01_LeanBase*EXP(v01_CapsByProject*SUMPRODUCT((Cap_Point&lt;=I1228)*(Cap_Kind="Lean")*Cap_Ln)))</x:f>
        <x:v>2500</x:v>
      </x:c>
      <x:c r="L1228" s="10" t="n">
        <x:f>INDEX(v01_HousingCap,G1228)*EXP(v01_CapsByProject*SUMPRODUCT((Cap_Point&lt;=I1228)*(Cap_Kind="Housing")*Cap_Ln))</x:f>
        <x:v>4000</x:v>
      </x:c>
      <x:c r="M1228" s="10" t="n">
        <x:f>INDEX(v01_GroupCap,G1228)*v01_CohesionFactor*EXP(v01_CapsByProject*SUMPRODUCT((Cap_Point&lt;=I1228)*(Cap_Kind="Group")*Cap_Ln))</x:f>
        <x:v>1000000</x:v>
      </x:c>
      <x:c r="N1228" s="32" t="n">
        <x:f>MIN(J1228,L1228,M1228)</x:f>
        <x:v>2500</x:v>
      </x:c>
      <x:c r="O1228" s="10" t="n">
        <x:f>AE1227*N1228</x:f>
        <x:v>40000</x:v>
      </x:c>
      <x:c r="P1228" s="9" t="n">
        <x:f>MIN(1,(AB1227/(AE1227*IF(v01_GroupInCrowding=1,N1228,MIN(J1228,L1228))))^v01_CrowdingExp)</x:f>
        <x:v>0.0017603938753340523</x:v>
      </x:c>
      <x:c r="Q1228" s="9" t="n">
        <x:f>IF(D1228=1,INDEX(v01_WinterMult,G1228),1)</x:f>
        <x:v>1</x:v>
      </x:c>
      <x:c r="R1228" s="9" t="n">
        <x:f>H1228*Z1227*v01_WomenShare*v01_BaseFertility*INDEX(v01_FertMult,G1228)*Arch_Fertility*(1-P1228)</x:f>
        <x:v>175.39023121630316</x:v>
      </x:c>
      <x:c r="S1228" s="9" t="n">
        <x:f>H1228*Y1227*INDEX(v01_MortChild,G1228)/4*Q1228</x:f>
        <x:v>21.62263862361393</x:v>
      </x:c>
      <x:c r="T1228" s="9" t="n">
        <x:f>H1228*Z1227*INDEX(v01_MortAdult,G1228)*Arch_AdultMort/4*Q1228</x:f>
        <x:v>10.249139343078017</x:v>
      </x:c>
      <x:c r="U1228" s="9" t="n">
        <x:f>H1228*AA1227*INDEX(v01_MortElder,G1228)/4*Q1228</x:f>
        <x:v>28.45846482428728</x:v>
      </x:c>
      <x:c r="V1228" s="9" t="n">
        <x:f>H1228*MAX(0,AB1227-O1228)*v01_OvercapLoss</x:f>
        <x:v>0</x:v>
      </x:c>
      <x:c r="W1228" s="9" t="n">
        <x:f>H1228*Y1227/(v01_ChildYears*4)</x:f>
        <x:v>102.96494582673301</x:v>
      </x:c>
      <x:c r="X1228" s="9" t="n">
        <x:f>H1228*Z1227/(v01_AdultYears*4)</x:f>
        <x:v>47.23105688054385</x:v>
      </x:c>
      <x:c r="Y1228" s="32" t="n">
        <x:f>Y1227+R1228-S1228-W1228-Y1227*V1228/AB1227</x:f>
        <x:v>5816.839613063005</x:v>
      </x:c>
      <x:c r="Z1228" s="32" t="n">
        <x:f>Z1227+W1228-X1228-T1228-Z1227*V1228/AB1227</x:f>
        <x:v>5902.135802790549</x:v>
      </x:c>
      <x:c r="AA1228" s="32" t="n">
        <x:f>AA1227+X1228-U1228-AA1227*V1228/AB1227</x:f>
        <x:v>2295.449777999239</x:v>
      </x:c>
      <x:c r="AB1228" s="10" t="n">
        <x:f>Y1228+Z1228+AA1228</x:f>
        <x:v>14014.425193852792</x:v>
      </x:c>
      <x:c r="AC1228" s="8" t="n">
        <x:f>IF(AND(v01_WinterTrigger=1,D1228=1,AB1227/AE1227&gt;=K1228),1,0)</x:f>
        <x:v>0</x:v>
      </x:c>
      <x:c r="AD1228" s="8" t="n">
        <x:f>H1228*IF(AND(OR(AB1227/AE1227&gt;=v01_FissionTrigger*N1228,AC1228=1),AB1227/AE1227*v01_DaughterShare&gt;=v01_MinDaughter),MAX(1,ROUND(AE1227*v01_FissionRate,0)),0)</x:f>
        <x:v>0</x:v>
      </x:c>
      <x:c r="AE1228" s="8" t="n">
        <x:f>IF(H1228=1,MAX(1,MIN(INDEX(v01_Smax,G1228),AE1227+AD1228)),AE1227)</x:f>
        <x:v>16</x:v>
      </x:c>
      <x:c r="AF1228" s="8" t="n">
        <x:f>MAX(0,AE1228-AE1227)</x:f>
        <x:v>0</x:v>
      </x:c>
      <x:c r="AG1228" s="9" t="str">
        <x:f>IF(AF1228&gt;0,B1228,"")</x:f>
      </x:c>
      <x:c r="AH1228" s="9" t="n">
        <x:f>IF(F1228&gt;=1,1,(1+v01_LowTiesShare*(AE1228-1))/AE1228)</x:f>
        <x:v>1</x:v>
      </x:c>
      <x:c r="AI1228" s="32" t="n">
        <x:f>(Z1228+v01_ElderCommons*INDEX(LM_Elder,G1228)*AA1228)*AH1228</x:f>
        <x:v>14510.072470287694</x:v>
      </x:c>
      <x:c r="AJ1228" s="32" t="n">
        <x:f>H1228*v01_CommonsCoef*AI1228^v01_CommonsExp*INDEX(LM_Commons,G1228)</x:f>
        <x:v>4037.1705341292986</x:v>
      </x:c>
      <x:c r="AK1228" s="32" t="n">
        <x:f>H1228*v01_RoleScale*Arch_Roles*(AE1228*(INDEX(v01_ElderRolePerSett,G1228)*v01_OutElder*INDEX(LM_Elder,G1228)+INDEX(v01_ShamanPerSett,G1228)*v01_OutShaman)+Z1228*(INDEX(v01_PriestShare,G1228)*v01_OutPriest+INDEX(v01_ScribeShare,G1228)*v01_OutScribe*INDEX(LM_Scribe,G1228)+INDEX(v01_ScholarShare,G1228)*v01_OutScholar*INDEX(LM_Scholar,G1228)+INDEX(v01_ResearcherShare,G1228)*v01_OutResearcher*INDEX(LM_Researcher,G1228)))</x:f>
        <x:v>1115.085974625685</x:v>
      </x:c>
      <x:c r="AL1228" s="32" t="n">
        <x:f>H1228*v01_RoleScale*Arch_Roles*AE1228*INDEX(v01_MonasteryPerSett,G1228)*v01_OutMonastery*INDEX(LM_Monastery,G1228)</x:f>
        <x:v>10.56</x:v>
      </x:c>
      <x:c r="AM1228" s="32" t="n">
        <x:f>(AJ1228+AK1228+AL1228)/4*INDEX(LM_All,G1228)*INDEX(v01_Boon,G1228)*Arch_Insight</x:f>
        <x:v>3106.9961194826133</x:v>
      </x:c>
      <x:c r="AN1228" s="32" t="n">
        <x:f>H1228*(v01_KHPerAdult*Z1228+v01_KHOfCommons*AJ1228/4*INDEX(LM_All,G1228))*v01_KHUsable*Arch_KH</x:f>
        <x:v>206.5747530976692</x:v>
      </x:c>
      <x:c r="AO1228" s="32" t="n">
        <x:f>MIN(AP1227+AN1228,AM1228*v01_KHMaxRatio)</x:f>
        <x:v>206.5747530976692</x:v>
      </x:c>
      <x:c r="AP1228" s="32" t="n">
        <x:f>AP1227+AN1228-AO1228</x:f>
        <x:v>0</x:v>
      </x:c>
      <x:c r="AQ1228" s="32" t="n">
        <x:f>AM1228+AO1228</x:f>
        <x:v>3313.5708725802824</x:v>
      </x:c>
      <x:c r="AR1228" s="10" t="n">
        <x:f>IF(H1228=1,INDEX(v01_Req,G1228),0)</x:f>
        <x:v>240231.2486535</x:v>
      </x:c>
      <x:c r="AS1228" s="32" t="n">
        <x:f>IF(H1228=1,IF(E1228=1,AS1227-AR1227,AS1227)+AQ1228,0)</x:f>
        <x:v>63051.39715018676</x:v>
      </x:c>
      <x:c r="AT1228" s="11" t="n">
        <x:f>IF(AR1228&gt;0,MIN(1,AS1228/AR1228),1)</x:f>
        <x:v>0.26246126390130703</x:v>
      </x:c>
      <x:c r="AU1228" s="10" t="n">
        <x:f>AB1228/INDEX(v01_RepScale,G1228)</x:f>
        <x:v>140.14425193852793</x:v>
      </x:c>
      <x:c r="AV1228" s="32" t="n">
        <x:f>AM1228*60/v01_SeasonSeconds</x:f>
        <x:v>12427.984477930453</x:v>
      </x:c>
    </x:row>
    <x:row r="1229">
      <x:c r="A1229" s="8" t="n">
        <x:f>A1228+1</x:f>
        <x:v>1226</x:v>
      </x:c>
      <x:c r="B1229" s="9" t="n">
        <x:f>A1229*v01_SeasonSeconds/60</x:f>
        <x:v>306.5</x:v>
      </x:c>
      <x:c r="C1229" s="9" t="n">
        <x:f>A1229/4</x:f>
        <x:v>306.5</x:v>
      </x:c>
      <x:c r="D1229" s="8" t="n">
        <x:f>IF(MOD(A1229,4)=0,1,0)</x:f>
        <x:v>0</x:v>
      </x:c>
      <x:c r="E1229" s="8" t="n">
        <x:f>IF(AND(F1228&lt;=9,AS1228&gt;=AR1228),1,0)</x:f>
        <x:v>0</x:v>
      </x:c>
      <x:c r="F1229" s="8" t="n">
        <x:f>MIN(10,F1228+E1229)</x:f>
        <x:v>7</x:v>
      </x:c>
      <x:c r="G1229" s="8" t="n">
        <x:f>MIN(F1229,9)+1</x:f>
        <x:v>8</x:v>
      </x:c>
      <x:c r="H1229" s="8" t="n">
        <x:f>IF(F1229&lt;=9,1,0)</x:f>
        <x:v>1</x:v>
      </x:c>
      <x:c r="I1229" s="9" t="n">
        <x:f>MIN(10,F1228+IF(AR1228&gt;0,MIN(1,AS1228/AR1228),1))</x:f>
        <x:v>7.262461263901307</x:v>
      </x:c>
      <x:c r="J1229" s="32" t="n">
        <x:f>INDEX(v01_FoodCap,G1229)*Arch_FoodCap*EXP(v01_CapsByProject*SUMPRODUCT((Cap_Point&lt;=I1229)*(Cap_Kind="Food")*Cap_Ln))</x:f>
        <x:v>2500</x:v>
      </x:c>
      <x:c r="K1229" s="32" t="n">
        <x:f>J1229*MIN(1,v01_LeanBase*EXP(v01_CapsByProject*SUMPRODUCT((Cap_Point&lt;=I1229)*(Cap_Kind="Lean")*Cap_Ln)))</x:f>
        <x:v>2500</x:v>
      </x:c>
      <x:c r="L1229" s="10" t="n">
        <x:f>INDEX(v01_HousingCap,G1229)*EXP(v01_CapsByProject*SUMPRODUCT((Cap_Point&lt;=I1229)*(Cap_Kind="Housing")*Cap_Ln))</x:f>
        <x:v>4000</x:v>
      </x:c>
      <x:c r="M1229" s="10" t="n">
        <x:f>INDEX(v01_GroupCap,G1229)*v01_CohesionFactor*EXP(v01_CapsByProject*SUMPRODUCT((Cap_Point&lt;=I1229)*(Cap_Kind="Group")*Cap_Ln))</x:f>
        <x:v>1000000</x:v>
      </x:c>
      <x:c r="N1229" s="32" t="n">
        <x:f>MIN(J1229,L1229,M1229)</x:f>
        <x:v>2500</x:v>
      </x:c>
      <x:c r="O1229" s="10" t="n">
        <x:f>AE1228*N1229</x:f>
        <x:v>40000</x:v>
      </x:c>
      <x:c r="P1229" s="9" t="n">
        <x:f>MIN(1,(AB1228/(AE1228*IF(v01_GroupInCrowding=1,N1229,MIN(J1229,L1229))))^v01_CrowdingExp)</x:f>
        <x:v>0.0018496595129916902</x:v>
      </x:c>
      <x:c r="Q1229" s="9" t="n">
        <x:f>IF(D1229=1,INDEX(v01_WinterMult,G1229),1)</x:f>
        <x:v>1</x:v>
      </x:c>
      <x:c r="R1229" s="9" t="n">
        <x:f>H1229*Z1228*v01_WomenShare*v01_BaseFertility*INDEX(v01_FertMult,G1229)*Arch_Fertility*(1-P1229)</x:f>
        <x:v>176.73656583467846</x:v>
      </x:c>
      <x:c r="S1229" s="9" t="n">
        <x:f>H1229*Y1228*INDEX(v01_MortChild,G1229)/4*Q1229</x:f>
        <x:v>21.81314854898627</x:v>
      </x:c>
      <x:c r="T1229" s="9" t="n">
        <x:f>H1229*Z1228*INDEX(v01_MortAdult,G1229)*Arch_AdultMort/4*Q1229</x:f>
        <x:v>10.328737654883462</x:v>
      </x:c>
      <x:c r="U1229" s="9" t="n">
        <x:f>H1229*AA1228*INDEX(v01_MortElder,G1229)/4*Q1229</x:f>
        <x:v>28.69312222499049</x:v>
      </x:c>
      <x:c r="V1229" s="9" t="n">
        <x:f>H1229*MAX(0,AB1228-O1229)*v01_OvercapLoss</x:f>
        <x:v>0</x:v>
      </x:c>
      <x:c r="W1229" s="9" t="n">
        <x:f>H1229*Y1228/(v01_ChildYears*4)</x:f>
        <x:v>103.87213594755367</x:v>
      </x:c>
      <x:c r="X1229" s="9" t="n">
        <x:f>H1229*Z1228/(v01_AdultYears*4)</x:f>
        <x:v>47.59786937734314</x:v>
      </x:c>
      <x:c r="Y1229" s="32" t="n">
        <x:f>Y1228+R1229-S1229-W1229-Y1228*V1229/AB1228</x:f>
        <x:v>5867.890894401143</x:v>
      </x:c>
      <x:c r="Z1229" s="32" t="n">
        <x:f>Z1228+W1229-X1229-T1229-Z1228*V1229/AB1228</x:f>
        <x:v>5948.081331705876</x:v>
      </x:c>
      <x:c r="AA1229" s="32" t="n">
        <x:f>AA1228+X1229-U1229-AA1228*V1229/AB1228</x:f>
        <x:v>2314.3545251515916</x:v>
      </x:c>
      <x:c r="AB1229" s="10" t="n">
        <x:f>Y1229+Z1229+AA1229</x:f>
        <x:v>14130.326751258612</x:v>
      </x:c>
      <x:c r="AC1229" s="8" t="n">
        <x:f>IF(AND(v01_WinterTrigger=1,D1229=1,AB1228/AE1228&gt;=K1229),1,0)</x:f>
        <x:v>0</x:v>
      </x:c>
      <x:c r="AD1229" s="8" t="n">
        <x:f>H1229*IF(AND(OR(AB1228/AE1228&gt;=v01_FissionTrigger*N1229,AC1229=1),AB1228/AE1228*v01_DaughterShare&gt;=v01_MinDaughter),MAX(1,ROUND(AE1228*v01_FissionRate,0)),0)</x:f>
        <x:v>0</x:v>
      </x:c>
      <x:c r="AE1229" s="8" t="n">
        <x:f>IF(H1229=1,MAX(1,MIN(INDEX(v01_Smax,G1229),AE1228+AD1229)),AE1228)</x:f>
        <x:v>16</x:v>
      </x:c>
      <x:c r="AF1229" s="8" t="n">
        <x:f>MAX(0,AE1229-AE1228)</x:f>
        <x:v>0</x:v>
      </x:c>
      <x:c r="AG1229" s="9" t="str">
        <x:f>IF(AF1229&gt;0,B1229,"")</x:f>
      </x:c>
      <x:c r="AH1229" s="9" t="n">
        <x:f>IF(F1229&gt;=1,1,(1+v01_LowTiesShare*(AE1229-1))/AE1229)</x:f>
        <x:v>1</x:v>
      </x:c>
      <x:c r="AI1229" s="32" t="n">
        <x:f>(Z1229+v01_ElderCommons*INDEX(LM_Elder,G1229)*AA1229)*AH1229</x:f>
        <x:v>14626.910801024345</x:v>
      </x:c>
      <x:c r="AJ1229" s="32" t="n">
        <x:f>H1229*v01_CommonsCoef*AI1229^v01_CommonsExp*INDEX(LM_Commons,G1229)</x:f>
        <x:v>4064.785863806799</x:v>
      </x:c>
      <x:c r="AK1229" s="32" t="n">
        <x:f>H1229*v01_RoleScale*Arch_Roles*(AE1229*(INDEX(v01_ElderRolePerSett,G1229)*v01_OutElder*INDEX(LM_Elder,G1229)+INDEX(v01_ShamanPerSett,G1229)*v01_OutShaman)+Z1229*(INDEX(v01_PriestShare,G1229)*v01_OutPriest+INDEX(v01_ScribeShare,G1229)*v01_OutScribe*INDEX(LM_Scribe,G1229)+INDEX(v01_ScholarShare,G1229)*v01_OutScholar*INDEX(LM_Scholar,G1229)+INDEX(v01_ResearcherShare,G1229)*v01_OutResearcher*INDEX(LM_Researcher,G1229)))</x:f>
        <x:v>1123.3460618140825</x:v>
      </x:c>
      <x:c r="AL1229" s="32" t="n">
        <x:f>H1229*v01_RoleScale*Arch_Roles*AE1229*INDEX(v01_MonasteryPerSett,G1229)*v01_OutMonastery*INDEX(LM_Monastery,G1229)</x:f>
        <x:v>10.56</x:v>
      </x:c>
      <x:c r="AM1229" s="32" t="n">
        <x:f>(AJ1229+AK1229+AL1229)/4*INDEX(LM_All,G1229)*INDEX(v01_Boon,G1229)*Arch_Insight</x:f>
        <x:v>3128.5860366912043</x:v>
      </x:c>
      <x:c r="AN1229" s="32" t="n">
        <x:f>H1229*(v01_KHPerAdult*Z1229+v01_KHOfCommons*AJ1229/4*INDEX(LM_All,G1229))*v01_KHUsable*Arch_KH</x:f>
        <x:v>208.18284660970568</x:v>
      </x:c>
      <x:c r="AO1229" s="32" t="n">
        <x:f>MIN(AP1228+AN1229,AM1229*v01_KHMaxRatio)</x:f>
        <x:v>208.18284660970568</x:v>
      </x:c>
      <x:c r="AP1229" s="32" t="n">
        <x:f>AP1228+AN1229-AO1229</x:f>
        <x:v>0</x:v>
      </x:c>
      <x:c r="AQ1229" s="32" t="n">
        <x:f>AM1229+AO1229</x:f>
        <x:v>3336.76888330091</x:v>
      </x:c>
      <x:c r="AR1229" s="10" t="n">
        <x:f>IF(H1229=1,INDEX(v01_Req,G1229),0)</x:f>
        <x:v>240231.2486535</x:v>
      </x:c>
      <x:c r="AS1229" s="32" t="n">
        <x:f>IF(H1229=1,IF(E1229=1,AS1228-AR1228,AS1228)+AQ1229,0)</x:f>
        <x:v>66388.16603348768</x:v>
      </x:c>
      <x:c r="AT1229" s="11" t="n">
        <x:f>IF(AR1229&gt;0,MIN(1,AS1229/AR1229),1)</x:f>
        <x:v>0.2763510842390173</x:v>
      </x:c>
      <x:c r="AU1229" s="10" t="n">
        <x:f>AB1229/INDEX(v01_RepScale,G1229)</x:f>
        <x:v>141.3032675125861</x:v>
      </x:c>
      <x:c r="AV1229" s="32" t="n">
        <x:f>AM1229*60/v01_SeasonSeconds</x:f>
        <x:v>12514.344146764817</x:v>
      </x:c>
    </x:row>
    <x:row r="1230">
      <x:c r="A1230" s="8" t="n">
        <x:f>A1229+1</x:f>
        <x:v>1227</x:v>
      </x:c>
      <x:c r="B1230" s="9" t="n">
        <x:f>A1230*v01_SeasonSeconds/60</x:f>
        <x:v>306.75</x:v>
      </x:c>
      <x:c r="C1230" s="9" t="n">
        <x:f>A1230/4</x:f>
        <x:v>306.75</x:v>
      </x:c>
      <x:c r="D1230" s="8" t="n">
        <x:f>IF(MOD(A1230,4)=0,1,0)</x:f>
        <x:v>0</x:v>
      </x:c>
      <x:c r="E1230" s="8" t="n">
        <x:f>IF(AND(F1229&lt;=9,AS1229&gt;=AR1229),1,0)</x:f>
        <x:v>0</x:v>
      </x:c>
      <x:c r="F1230" s="8" t="n">
        <x:f>MIN(10,F1229+E1230)</x:f>
        <x:v>7</x:v>
      </x:c>
      <x:c r="G1230" s="8" t="n">
        <x:f>MIN(F1230,9)+1</x:f>
        <x:v>8</x:v>
      </x:c>
      <x:c r="H1230" s="8" t="n">
        <x:f>IF(F1230&lt;=9,1,0)</x:f>
        <x:v>1</x:v>
      </x:c>
      <x:c r="I1230" s="9" t="n">
        <x:f>MIN(10,F1229+IF(AR1229&gt;0,MIN(1,AS1229/AR1229),1))</x:f>
        <x:v>7.2763510842390176</x:v>
      </x:c>
      <x:c r="J1230" s="32" t="n">
        <x:f>INDEX(v01_FoodCap,G1230)*Arch_FoodCap*EXP(v01_CapsByProject*SUMPRODUCT((Cap_Point&lt;=I1230)*(Cap_Kind="Food")*Cap_Ln))</x:f>
        <x:v>2500</x:v>
      </x:c>
      <x:c r="K1230" s="32" t="n">
        <x:f>J1230*MIN(1,v01_LeanBase*EXP(v01_CapsByProject*SUMPRODUCT((Cap_Point&lt;=I1230)*(Cap_Kind="Lean")*Cap_Ln)))</x:f>
        <x:v>2500</x:v>
      </x:c>
      <x:c r="L1230" s="10" t="n">
        <x:f>INDEX(v01_HousingCap,G1230)*EXP(v01_CapsByProject*SUMPRODUCT((Cap_Point&lt;=I1230)*(Cap_Kind="Housing")*Cap_Ln))</x:f>
        <x:v>4000</x:v>
      </x:c>
      <x:c r="M1230" s="10" t="n">
        <x:f>INDEX(v01_GroupCap,G1230)*v01_CohesionFactor*EXP(v01_CapsByProject*SUMPRODUCT((Cap_Point&lt;=I1230)*(Cap_Kind="Group")*Cap_Ln))</x:f>
        <x:v>1000000</x:v>
      </x:c>
      <x:c r="N1230" s="32" t="n">
        <x:f>MIN(J1230,L1230,M1230)</x:f>
        <x:v>2500</x:v>
      </x:c>
      <x:c r="O1230" s="10" t="n">
        <x:f>AE1229*N1230</x:f>
        <x:v>40000</x:v>
      </x:c>
      <x:c r="P1230" s="9" t="n">
        <x:f>MIN(1,(AB1229/(AE1229*IF(v01_GroupInCrowding=1,N1230,MIN(J1230,L1230))))^v01_CrowdingExp)</x:f>
        <x:v>0.0019433600913891357</x:v>
      </x:c>
      <x:c r="Q1230" s="9" t="n">
        <x:f>IF(D1230=1,INDEX(v01_WinterMult,G1230),1)</x:f>
        <x:v>1</x:v>
      </x:c>
      <x:c r="R1230" s="9" t="n">
        <x:f>H1230*Z1229*v01_WomenShare*v01_BaseFertility*INDEX(v01_FertMult,G1230)*Arch_Fertility*(1-P1230)</x:f>
        <x:v>178.09566203476507</x:v>
      </x:c>
      <x:c r="S1230" s="9" t="n">
        <x:f>H1230*Y1229*INDEX(v01_MortChild,G1230)/4*Q1230</x:f>
        <x:v>22.004590854004284</x:v>
      </x:c>
      <x:c r="T1230" s="9" t="n">
        <x:f>H1230*Z1229*INDEX(v01_MortAdult,G1230)*Arch_AdultMort/4*Q1230</x:f>
        <x:v>10.409142330485285</x:v>
      </x:c>
      <x:c r="U1230" s="9" t="n">
        <x:f>H1230*AA1229*INDEX(v01_MortElder,G1230)/4*Q1230</x:f>
        <x:v>28.929431564394896</x:v>
      </x:c>
      <x:c r="V1230" s="9" t="n">
        <x:f>H1230*MAX(0,AB1229-O1230)*v01_OvercapLoss</x:f>
        <x:v>0</x:v>
      </x:c>
      <x:c r="W1230" s="9" t="n">
        <x:f>H1230*Y1229/(v01_ChildYears*4)</x:f>
        <x:v>104.78376597144897</x:v>
      </x:c>
      <x:c r="X1230" s="9" t="n">
        <x:f>H1230*Z1229/(v01_AdultYears*4)</x:f>
        <x:v>47.968397836337715</x:v>
      </x:c>
      <x:c r="Y1230" s="32" t="n">
        <x:f>Y1229+R1230-S1230-W1230-Y1229*V1230/AB1229</x:f>
        <x:v>5919.198199610455</x:v>
      </x:c>
      <x:c r="Z1230" s="32" t="n">
        <x:f>Z1229+W1230-X1230-T1230-Z1229*V1230/AB1229</x:f>
        <x:v>5994.4875575105025</x:v>
      </x:c>
      <x:c r="AA1230" s="32" t="n">
        <x:f>AA1229+X1230-U1230-AA1229*V1230/AB1229</x:f>
        <x:v>2333.3934914235347</x:v>
      </x:c>
      <x:c r="AB1230" s="10" t="n">
        <x:f>Y1230+Z1230+AA1230</x:f>
        <x:v>14247.079248544493</x:v>
      </x:c>
      <x:c r="AC1230" s="8" t="n">
        <x:f>IF(AND(v01_WinterTrigger=1,D1230=1,AB1229/AE1229&gt;=K1230),1,0)</x:f>
        <x:v>0</x:v>
      </x:c>
      <x:c r="AD1230" s="8" t="n">
        <x:f>H1230*IF(AND(OR(AB1229/AE1229&gt;=v01_FissionTrigger*N1230,AC1230=1),AB1229/AE1229*v01_DaughterShare&gt;=v01_MinDaughter),MAX(1,ROUND(AE1229*v01_FissionRate,0)),0)</x:f>
        <x:v>0</x:v>
      </x:c>
      <x:c r="AE1230" s="8" t="n">
        <x:f>IF(H1230=1,MAX(1,MIN(INDEX(v01_Smax,G1230),AE1229+AD1230)),AE1229)</x:f>
        <x:v>16</x:v>
      </x:c>
      <x:c r="AF1230" s="8" t="n">
        <x:f>MAX(0,AE1230-AE1229)</x:f>
        <x:v>0</x:v>
      </x:c>
      <x:c r="AG1230" s="9" t="str">
        <x:f>IF(AF1230&gt;0,B1230,"")</x:f>
      </x:c>
      <x:c r="AH1230" s="9" t="n">
        <x:f>IF(F1230&gt;=1,1,(1+v01_LowTiesShare*(AE1230-1))/AE1230)</x:f>
        <x:v>1</x:v>
      </x:c>
      <x:c r="AI1230" s="32" t="n">
        <x:f>(Z1230+v01_ElderCommons*INDEX(LM_Elder,G1230)*AA1230)*AH1230</x:f>
        <x:v>14744.713150348758</x:v>
      </x:c>
      <x:c r="AJ1230" s="32" t="n">
        <x:f>H1230*v01_CommonsCoef*AI1230^v01_CommonsExp*INDEX(LM_Commons,G1230)</x:f>
        <x:v>4092.5955657483582</x:v>
      </x:c>
      <x:c r="AK1230" s="32" t="n">
        <x:f>H1230*v01_RoleScale*Arch_Roles*(AE1230*(INDEX(v01_ElderRolePerSett,G1230)*v01_OutElder*INDEX(LM_Elder,G1230)+INDEX(v01_ShamanPerSett,G1230)*v01_OutShaman)+Z1230*(INDEX(v01_PriestShare,G1230)*v01_OutPriest+INDEX(v01_ScribeShare,G1230)*v01_OutScribe*INDEX(LM_Scribe,G1230)+INDEX(v01_ScholarShare,G1230)*v01_OutScholar*INDEX(LM_Scholar,G1230)+INDEX(v01_ResearcherShare,G1230)*v01_OutResearcher*INDEX(LM_Researcher,G1230)))</x:f>
        <x:v>1131.688973089238</x:v>
      </x:c>
      <x:c r="AL1230" s="32" t="n">
        <x:f>H1230*v01_RoleScale*Arch_Roles*AE1230*INDEX(v01_MonasteryPerSett,G1230)*v01_OutMonastery*INDEX(LM_Monastery,G1230)</x:f>
        <x:v>10.56</x:v>
      </x:c>
      <x:c r="AM1230" s="32" t="n">
        <x:f>(AJ1230+AK1230+AL1230)/4*INDEX(LM_All,G1230)*INDEX(v01_Boon,G1230)*Arch_Insight</x:f>
        <x:v>3150.3427713694578</x:v>
      </x:c>
      <x:c r="AN1230" s="32" t="n">
        <x:f>H1230*(v01_KHPerAdult*Z1230+v01_KHOfCommons*AJ1230/4*INDEX(LM_All,G1230))*v01_KHUsable*Arch_KH</x:f>
        <x:v>209.80706451286758</x:v>
      </x:c>
      <x:c r="AO1230" s="32" t="n">
        <x:f>MIN(AP1229+AN1230,AM1230*v01_KHMaxRatio)</x:f>
        <x:v>209.80706451286758</x:v>
      </x:c>
      <x:c r="AP1230" s="32" t="n">
        <x:f>AP1229+AN1230-AO1230</x:f>
        <x:v>0</x:v>
      </x:c>
      <x:c r="AQ1230" s="32" t="n">
        <x:f>AM1230+AO1230</x:f>
        <x:v>3360.1498358823255</x:v>
      </x:c>
      <x:c r="AR1230" s="10" t="n">
        <x:f>IF(H1230=1,INDEX(v01_Req,G1230),0)</x:f>
        <x:v>240231.2486535</x:v>
      </x:c>
      <x:c r="AS1230" s="32" t="n">
        <x:f>IF(H1230=1,IF(E1230=1,AS1229-AR1229,AS1229)+AQ1230,0)</x:f>
        <x:v>69748.31586937001</x:v>
      </x:c>
      <x:c r="AT1230" s="11" t="n">
        <x:f>IF(AR1230&gt;0,MIN(1,AS1230/AR1230),1)</x:f>
        <x:v>0.2903382314345467</x:v>
      </x:c>
      <x:c r="AU1230" s="10" t="n">
        <x:f>AB1230/INDEX(v01_RepScale,G1230)</x:f>
        <x:v>142.47079248544492</x:v>
      </x:c>
      <x:c r="AV1230" s="32" t="n">
        <x:f>AM1230*60/v01_SeasonSeconds</x:f>
        <x:v>12601.371085477831</x:v>
      </x:c>
    </x:row>
    <x:row r="1231">
      <x:c r="A1231" s="8" t="n">
        <x:f>A1230+1</x:f>
        <x:v>1228</x:v>
      </x:c>
      <x:c r="B1231" s="9" t="n">
        <x:f>A1231*v01_SeasonSeconds/60</x:f>
        <x:v>307</x:v>
      </x:c>
      <x:c r="C1231" s="9" t="n">
        <x:f>A1231/4</x:f>
        <x:v>307</x:v>
      </x:c>
      <x:c r="D1231" s="8" t="n">
        <x:f>IF(MOD(A1231,4)=0,1,0)</x:f>
        <x:v>1</x:v>
      </x:c>
      <x:c r="E1231" s="8" t="n">
        <x:f>IF(AND(F1230&lt;=9,AS1230&gt;=AR1230),1,0)</x:f>
        <x:v>0</x:v>
      </x:c>
      <x:c r="F1231" s="8" t="n">
        <x:f>MIN(10,F1230+E1231)</x:f>
        <x:v>7</x:v>
      </x:c>
      <x:c r="G1231" s="8" t="n">
        <x:f>MIN(F1231,9)+1</x:f>
        <x:v>8</x:v>
      </x:c>
      <x:c r="H1231" s="8" t="n">
        <x:f>IF(F1231&lt;=9,1,0)</x:f>
        <x:v>1</x:v>
      </x:c>
      <x:c r="I1231" s="9" t="n">
        <x:f>MIN(10,F1230+IF(AR1230&gt;0,MIN(1,AS1230/AR1230),1))</x:f>
        <x:v>7.290338231434546</x:v>
      </x:c>
      <x:c r="J1231" s="32" t="n">
        <x:f>INDEX(v01_FoodCap,G1231)*Arch_FoodCap*EXP(v01_CapsByProject*SUMPRODUCT((Cap_Point&lt;=I1231)*(Cap_Kind="Food")*Cap_Ln))</x:f>
        <x:v>2500</x:v>
      </x:c>
      <x:c r="K1231" s="32" t="n">
        <x:f>J1231*MIN(1,v01_LeanBase*EXP(v01_CapsByProject*SUMPRODUCT((Cap_Point&lt;=I1231)*(Cap_Kind="Lean")*Cap_Ln)))</x:f>
        <x:v>2500</x:v>
      </x:c>
      <x:c r="L1231" s="10" t="n">
        <x:f>INDEX(v01_HousingCap,G1231)*EXP(v01_CapsByProject*SUMPRODUCT((Cap_Point&lt;=I1231)*(Cap_Kind="Housing")*Cap_Ln))</x:f>
        <x:v>4000</x:v>
      </x:c>
      <x:c r="M1231" s="10" t="n">
        <x:f>INDEX(v01_GroupCap,G1231)*v01_CohesionFactor*EXP(v01_CapsByProject*SUMPRODUCT((Cap_Point&lt;=I1231)*(Cap_Kind="Group")*Cap_Ln))</x:f>
        <x:v>1000000</x:v>
      </x:c>
      <x:c r="N1231" s="32" t="n">
        <x:f>MIN(J1231,L1231,M1231)</x:f>
        <x:v>2500</x:v>
      </x:c>
      <x:c r="O1231" s="10" t="n">
        <x:f>AE1230*N1231</x:f>
        <x:v>40000</x:v>
      </x:c>
      <x:c r="P1231" s="9" t="n">
        <x:f>MIN(1,(AB1230/(AE1230*IF(v01_GroupInCrowding=1,N1231,MIN(J1231,L1231))))^v01_CrowdingExp)</x:f>
        <x:v>0.0020417148723905596</x:v>
      </x:c>
      <x:c r="Q1231" s="9" t="n">
        <x:f>IF(D1231=1,INDEX(v01_WinterMult,G1231),1)</x:f>
        <x:v>1</x:v>
      </x:c>
      <x:c r="R1231" s="9" t="n">
        <x:f>H1231*Z1230*v01_WomenShare*v01_BaseFertility*INDEX(v01_FertMult,G1231)*Arch_Fertility*(1-P1231)</x:f>
        <x:v>179.4674556933592</x:v>
      </x:c>
      <x:c r="S1231" s="9" t="n">
        <x:f>H1231*Y1230*INDEX(v01_MortChild,G1231)/4*Q1231</x:f>
        <x:v>22.196993248539204</x:v>
      </x:c>
      <x:c r="T1231" s="9" t="n">
        <x:f>H1231*Z1230*INDEX(v01_MortAdult,G1231)*Arch_AdultMort/4*Q1231</x:f>
        <x:v>10.49035322564338</x:v>
      </x:c>
      <x:c r="U1231" s="9" t="n">
        <x:f>H1231*AA1230*INDEX(v01_MortElder,G1231)/4*Q1231</x:f>
        <x:v>29.167418642794186</x:v>
      </x:c>
      <x:c r="V1231" s="9" t="n">
        <x:f>H1231*MAX(0,AB1230-O1231)*v01_OvercapLoss</x:f>
        <x:v>0</x:v>
      </x:c>
      <x:c r="W1231" s="9" t="n">
        <x:f>H1231*Y1230/(v01_ChildYears*4)</x:f>
        <x:v>105.6999678501867</x:v>
      </x:c>
      <x:c r="X1231" s="9" t="n">
        <x:f>H1231*Z1230/(v01_AdultYears*4)</x:f>
        <x:v>48.34264159282663</x:v>
      </x:c>
      <x:c r="Y1231" s="32" t="n">
        <x:f>Y1230+R1231-S1231-W1231-Y1230*V1231/AB1230</x:f>
        <x:v>5970.768694205089</x:v>
      </x:c>
      <x:c r="Z1231" s="32" t="n">
        <x:f>Z1230+W1231-X1231-T1231-Z1230*V1231/AB1230</x:f>
        <x:v>6041.354530542219</x:v>
      </x:c>
      <x:c r="AA1231" s="32" t="n">
        <x:f>AA1230+X1231-U1231-AA1230*V1231/AB1230</x:f>
        <x:v>2352.568714373567</x:v>
      </x:c>
      <x:c r="AB1231" s="10" t="n">
        <x:f>Y1231+Z1231+AA1231</x:f>
        <x:v>14364.691939120876</x:v>
      </x:c>
      <x:c r="AC1231" s="8" t="n">
        <x:f>IF(AND(v01_WinterTrigger=1,D1231=1,AB1230/AE1230&gt;=K1231),1,0)</x:f>
        <x:v>0</x:v>
      </x:c>
      <x:c r="AD1231" s="8" t="n">
        <x:f>H1231*IF(AND(OR(AB1230/AE1230&gt;=v01_FissionTrigger*N1231,AC1231=1),AB1230/AE1230*v01_DaughterShare&gt;=v01_MinDaughter),MAX(1,ROUND(AE1230*v01_FissionRate,0)),0)</x:f>
        <x:v>0</x:v>
      </x:c>
      <x:c r="AE1231" s="8" t="n">
        <x:f>IF(H1231=1,MAX(1,MIN(INDEX(v01_Smax,G1231),AE1230+AD1231)),AE1230)</x:f>
        <x:v>16</x:v>
      </x:c>
      <x:c r="AF1231" s="8" t="n">
        <x:f>MAX(0,AE1231-AE1230)</x:f>
        <x:v>0</x:v>
      </x:c>
      <x:c r="AG1231" s="9" t="str">
        <x:f>IF(AF1231&gt;0,B1231,"")</x:f>
      </x:c>
      <x:c r="AH1231" s="9" t="n">
        <x:f>IF(F1231&gt;=1,1,(1+v01_LowTiesShare*(AE1231-1))/AE1231)</x:f>
        <x:v>1</x:v>
      </x:c>
      <x:c r="AI1231" s="32" t="n">
        <x:f>(Z1231+v01_ElderCommons*INDEX(LM_Elder,G1231)*AA1231)*AH1231</x:f>
        <x:v>14863.487209443096</x:v>
      </x:c>
      <x:c r="AJ1231" s="32" t="n">
        <x:f>H1231*v01_CommonsCoef*AI1231^v01_CommonsExp*INDEX(LM_Commons,G1231)</x:f>
        <x:v>4120.600939537422</x:v>
      </x:c>
      <x:c r="AK1231" s="32" t="n">
        <x:f>H1231*v01_RoleScale*Arch_Roles*(AE1231*(INDEX(v01_ElderRolePerSett,G1231)*v01_OutElder*INDEX(LM_Elder,G1231)+INDEX(v01_ShamanPerSett,G1231)*v01_OutShaman)+Z1231*(INDEX(v01_PriestShare,G1231)*v01_OutPriest+INDEX(v01_ScribeShare,G1231)*v01_OutScribe*INDEX(LM_Scribe,G1231)+INDEX(v01_ScholarShare,G1231)*v01_OutScholar*INDEX(LM_Scholar,G1231)+INDEX(v01_ResearcherShare,G1231)*v01_OutResearcher*INDEX(LM_Researcher,G1231)))</x:f>
        <x:v>1140.1147175008803</x:v>
      </x:c>
      <x:c r="AL1231" s="32" t="n">
        <x:f>H1231*v01_RoleScale*Arch_Roles*AE1231*INDEX(v01_MonasteryPerSett,G1231)*v01_OutMonastery*INDEX(LM_Monastery,G1231)</x:f>
        <x:v>10.56</x:v>
      </x:c>
      <x:c r="AM1231" s="32" t="n">
        <x:f>(AJ1231+AK1231+AL1231)/4*INDEX(LM_All,G1231)*INDEX(v01_Boon,G1231)*Arch_Insight</x:f>
        <x:v>3172.26711105615</x:v>
      </x:c>
      <x:c r="AN1231" s="32" t="n">
        <x:f>H1231*(v01_KHPerAdult*Z1231+v01_KHOfCommons*AJ1231/4*INDEX(LM_All,G1231))*v01_KHUsable*Arch_KH</x:f>
        <x:v>211.4474085689777</x:v>
      </x:c>
      <x:c r="AO1231" s="32" t="n">
        <x:f>MIN(AP1230+AN1231,AM1231*v01_KHMaxRatio)</x:f>
        <x:v>211.4474085689777</x:v>
      </x:c>
      <x:c r="AP1231" s="32" t="n">
        <x:f>AP1230+AN1231-AO1231</x:f>
        <x:v>0</x:v>
      </x:c>
      <x:c r="AQ1231" s="32" t="n">
        <x:f>AM1231+AO1231</x:f>
        <x:v>3383.7145196251277</x:v>
      </x:c>
      <x:c r="AR1231" s="10" t="n">
        <x:f>IF(H1231=1,INDEX(v01_Req,G1231),0)</x:f>
        <x:v>240231.2486535</x:v>
      </x:c>
      <x:c r="AS1231" s="32" t="n">
        <x:f>IF(H1231=1,IF(E1231=1,AS1230-AR1230,AS1230)+AQ1231,0)</x:f>
        <x:v>73132.03038899513</x:v>
      </x:c>
      <x:c r="AT1231" s="11" t="n">
        <x:f>IF(AR1231&gt;0,MIN(1,AS1231/AR1231),1)</x:f>
        <x:v>0.30442347029747935</x:v>
      </x:c>
      <x:c r="AU1231" s="10" t="n">
        <x:f>AB1231/INDEX(v01_RepScale,G1231)</x:f>
        <x:v>143.64691939120877</x:v>
      </x:c>
      <x:c r="AV1231" s="32" t="n">
        <x:f>AM1231*60/v01_SeasonSeconds</x:f>
        <x:v>12689.0684442246</x:v>
      </x:c>
    </x:row>
    <x:row r="1232">
      <x:c r="A1232" s="8" t="n">
        <x:f>A1231+1</x:f>
        <x:v>1229</x:v>
      </x:c>
      <x:c r="B1232" s="9" t="n">
        <x:f>A1232*v01_SeasonSeconds/60</x:f>
        <x:v>307.25</x:v>
      </x:c>
      <x:c r="C1232" s="9" t="n">
        <x:f>A1232/4</x:f>
        <x:v>307.25</x:v>
      </x:c>
      <x:c r="D1232" s="8" t="n">
        <x:f>IF(MOD(A1232,4)=0,1,0)</x:f>
        <x:v>0</x:v>
      </x:c>
      <x:c r="E1232" s="8" t="n">
        <x:f>IF(AND(F1231&lt;=9,AS1231&gt;=AR1231),1,0)</x:f>
        <x:v>0</x:v>
      </x:c>
      <x:c r="F1232" s="8" t="n">
        <x:f>MIN(10,F1231+E1232)</x:f>
        <x:v>7</x:v>
      </x:c>
      <x:c r="G1232" s="8" t="n">
        <x:f>MIN(F1232,9)+1</x:f>
        <x:v>8</x:v>
      </x:c>
      <x:c r="H1232" s="8" t="n">
        <x:f>IF(F1232&lt;=9,1,0)</x:f>
        <x:v>1</x:v>
      </x:c>
      <x:c r="I1232" s="9" t="n">
        <x:f>MIN(10,F1231+IF(AR1231&gt;0,MIN(1,AS1231/AR1231),1))</x:f>
        <x:v>7.304423470297479</x:v>
      </x:c>
      <x:c r="J1232" s="32" t="n">
        <x:f>INDEX(v01_FoodCap,G1232)*Arch_FoodCap*EXP(v01_CapsByProject*SUMPRODUCT((Cap_Point&lt;=I1232)*(Cap_Kind="Food")*Cap_Ln))</x:f>
        <x:v>2500</x:v>
      </x:c>
      <x:c r="K1232" s="32" t="n">
        <x:f>J1232*MIN(1,v01_LeanBase*EXP(v01_CapsByProject*SUMPRODUCT((Cap_Point&lt;=I1232)*(Cap_Kind="Lean")*Cap_Ln)))</x:f>
        <x:v>2500</x:v>
      </x:c>
      <x:c r="L1232" s="10" t="n">
        <x:f>INDEX(v01_HousingCap,G1232)*EXP(v01_CapsByProject*SUMPRODUCT((Cap_Point&lt;=I1232)*(Cap_Kind="Housing")*Cap_Ln))</x:f>
        <x:v>4000</x:v>
      </x:c>
      <x:c r="M1232" s="10" t="n">
        <x:f>INDEX(v01_GroupCap,G1232)*v01_CohesionFactor*EXP(v01_CapsByProject*SUMPRODUCT((Cap_Point&lt;=I1232)*(Cap_Kind="Group")*Cap_Ln))</x:f>
        <x:v>1000000</x:v>
      </x:c>
      <x:c r="N1232" s="32" t="n">
        <x:f>MIN(J1232,L1232,M1232)</x:f>
        <x:v>2500</x:v>
      </x:c>
      <x:c r="O1232" s="10" t="n">
        <x:f>AE1231*N1232</x:f>
        <x:v>40000</x:v>
      </x:c>
      <x:c r="P1232" s="9" t="n">
        <x:f>MIN(1,(AB1231/(AE1231*IF(v01_GroupInCrowding=1,N1232,MIN(J1232,L1232))))^v01_CrowdingExp)</x:f>
        <x:v>0.0021449538479978688</x:v>
      </x:c>
      <x:c r="Q1232" s="9" t="n">
        <x:f>IF(D1232=1,INDEX(v01_WinterMult,G1232),1)</x:f>
        <x:v>1</x:v>
      </x:c>
      <x:c r="R1232" s="9" t="n">
        <x:f>H1232*Z1231*v01_WomenShare*v01_BaseFertility*INDEX(v01_FertMult,G1232)*Arch_Fertility*(1-P1232)</x:f>
        <x:v>180.8518831168444</x:v>
      </x:c>
      <x:c r="S1232" s="9" t="n">
        <x:f>H1232*Y1231*INDEX(v01_MortChild,G1232)/4*Q1232</x:f>
        <x:v>22.39038260326908</x:v>
      </x:c>
      <x:c r="T1232" s="9" t="n">
        <x:f>H1232*Z1231*INDEX(v01_MortAdult,G1232)*Arch_AdultMort/4*Q1232</x:f>
        <x:v>10.572370428448885</x:v>
      </x:c>
      <x:c r="U1232" s="9" t="n">
        <x:f>H1232*AA1231*INDEX(v01_MortElder,G1232)/4*Q1232</x:f>
        <x:v>29.40710892966959</x:v>
      </x:c>
      <x:c r="V1232" s="9" t="n">
        <x:f>H1232*MAX(0,AB1231-O1232)*v01_OvercapLoss</x:f>
        <x:v>0</x:v>
      </x:c>
      <x:c r="W1232" s="9" t="n">
        <x:f>H1232*Y1231/(v01_ChildYears*4)</x:f>
        <x:v>106.62086953937659</x:v>
      </x:c>
      <x:c r="X1232" s="9" t="n">
        <x:f>H1232*Z1231/(v01_AdultYears*4)</x:f>
        <x:v>48.72060105275983</x:v>
      </x:c>
      <x:c r="Y1232" s="32" t="n">
        <x:f>Y1231+R1232-S1232-W1232-Y1231*V1232/AB1231</x:f>
        <x:v>6022.609325179287</x:v>
      </x:c>
      <x:c r="Z1232" s="32" t="n">
        <x:f>Z1231+W1232-X1232-T1232-Z1231*V1232/AB1231</x:f>
        <x:v>6088.682428600387</x:v>
      </x:c>
      <x:c r="AA1232" s="32" t="n">
        <x:f>AA1231+X1232-U1232-AA1231*V1232/AB1231</x:f>
        <x:v>2371.8822064966575</x:v>
      </x:c>
      <x:c r="AB1232" s="10" t="n">
        <x:f>Y1232+Z1232+AA1232</x:f>
        <x:v>14483.173960276332</x:v>
      </x:c>
      <x:c r="AC1232" s="8" t="n">
        <x:f>IF(AND(v01_WinterTrigger=1,D1232=1,AB1231/AE1231&gt;=K1232),1,0)</x:f>
        <x:v>0</x:v>
      </x:c>
      <x:c r="AD1232" s="8" t="n">
        <x:f>H1232*IF(AND(OR(AB1231/AE1231&gt;=v01_FissionTrigger*N1232,AC1232=1),AB1231/AE1231*v01_DaughterShare&gt;=v01_MinDaughter),MAX(1,ROUND(AE1231*v01_FissionRate,0)),0)</x:f>
        <x:v>0</x:v>
      </x:c>
      <x:c r="AE1232" s="8" t="n">
        <x:f>IF(H1232=1,MAX(1,MIN(INDEX(v01_Smax,G1232),AE1231+AD1232)),AE1231)</x:f>
        <x:v>16</x:v>
      </x:c>
      <x:c r="AF1232" s="8" t="n">
        <x:f>MAX(0,AE1232-AE1231)</x:f>
        <x:v>0</x:v>
      </x:c>
      <x:c r="AG1232" s="9" t="str">
        <x:f>IF(AF1232&gt;0,B1232,"")</x:f>
      </x:c>
      <x:c r="AH1232" s="9" t="n">
        <x:f>IF(F1232&gt;=1,1,(1+v01_LowTiesShare*(AE1232-1))/AE1232)</x:f>
        <x:v>1</x:v>
      </x:c>
      <x:c r="AI1232" s="32" t="n">
        <x:f>(Z1232+v01_ElderCommons*INDEX(LM_Elder,G1232)*AA1232)*AH1232</x:f>
        <x:v>14983.240702962852</x:v>
      </x:c>
      <x:c r="AJ1232" s="32" t="n">
        <x:f>H1232*v01_CommonsCoef*AI1232^v01_CommonsExp*INDEX(LM_Commons,G1232)</x:f>
        <x:v>4148.803287029696</x:v>
      </x:c>
      <x:c r="AK1232" s="32" t="n">
        <x:f>H1232*v01_RoleScale*Arch_Roles*(AE1232*(INDEX(v01_ElderRolePerSett,G1232)*v01_OutElder*INDEX(LM_Elder,G1232)+INDEX(v01_ShamanPerSett,G1232)*v01_OutShaman)+Z1232*(INDEX(v01_PriestShare,G1232)*v01_OutPriest+INDEX(v01_ScribeShare,G1232)*v01_OutScribe*INDEX(LM_Scribe,G1232)+INDEX(v01_ScholarShare,G1232)*v01_OutScholar*INDEX(LM_Scholar,G1232)+INDEX(v01_ResearcherShare,G1232)*v01_OutResearcher*INDEX(LM_Researcher,G1232)))</x:f>
        <x:v>1148.6233270137775</x:v>
      </x:c>
      <x:c r="AL1232" s="32" t="n">
        <x:f>H1232*v01_RoleScale*Arch_Roles*AE1232*INDEX(v01_MonasteryPerSett,G1232)*v01_OutMonastery*INDEX(LM_Monastery,G1232)</x:f>
        <x:v>10.56</x:v>
      </x:c>
      <x:c r="AM1232" s="32" t="n">
        <x:f>(AJ1232+AK1232+AL1232)/4*INDEX(LM_All,G1232)*INDEX(v01_Boon,G1232)*Arch_Insight</x:f>
        <x:v>3194.3598584478373</x:v>
      </x:c>
      <x:c r="AN1232" s="32" t="n">
        <x:f>H1232*(v01_KHPerAdult*Z1232+v01_KHOfCommons*AJ1232/4*INDEX(LM_All,G1232))*v01_KHUsable*Arch_KH</x:f>
        <x:v>213.1038850010135</x:v>
      </x:c>
      <x:c r="AO1232" s="32" t="n">
        <x:f>MIN(AP1231+AN1232,AM1232*v01_KHMaxRatio)</x:f>
        <x:v>213.1038850010135</x:v>
      </x:c>
      <x:c r="AP1232" s="32" t="n">
        <x:f>AP1231+AN1232-AO1232</x:f>
        <x:v>0</x:v>
      </x:c>
      <x:c r="AQ1232" s="32" t="n">
        <x:f>AM1232+AO1232</x:f>
        <x:v>3407.463743448851</x:v>
      </x:c>
      <x:c r="AR1232" s="10" t="n">
        <x:f>IF(H1232=1,INDEX(v01_Req,G1232),0)</x:f>
        <x:v>240231.2486535</x:v>
      </x:c>
      <x:c r="AS1232" s="32" t="n">
        <x:f>IF(H1232=1,IF(E1232=1,AS1231-AR1231,AS1231)+AQ1232,0)</x:f>
        <x:v>76539.49413244399</x:v>
      </x:c>
      <x:c r="AT1232" s="11" t="n">
        <x:f>IF(AR1232&gt;0,MIN(1,AS1232/AR1232),1)</x:f>
        <x:v>0.31860756900465315</x:v>
      </x:c>
      <x:c r="AU1232" s="10" t="n">
        <x:f>AB1232/INDEX(v01_RepScale,G1232)</x:f>
        <x:v>144.83173960276332</x:v>
      </x:c>
      <x:c r="AV1232" s="32" t="n">
        <x:f>AM1232*60/v01_SeasonSeconds</x:f>
        <x:v>12777.439433791349</x:v>
      </x:c>
    </x:row>
    <x:row r="1233">
      <x:c r="A1233" s="8" t="n">
        <x:f>A1232+1</x:f>
        <x:v>1230</x:v>
      </x:c>
      <x:c r="B1233" s="9" t="n">
        <x:f>A1233*v01_SeasonSeconds/60</x:f>
        <x:v>307.5</x:v>
      </x:c>
      <x:c r="C1233" s="9" t="n">
        <x:f>A1233/4</x:f>
        <x:v>307.5</x:v>
      </x:c>
      <x:c r="D1233" s="8" t="n">
        <x:f>IF(MOD(A1233,4)=0,1,0)</x:f>
        <x:v>0</x:v>
      </x:c>
      <x:c r="E1233" s="8" t="n">
        <x:f>IF(AND(F1232&lt;=9,AS1232&gt;=AR1232),1,0)</x:f>
        <x:v>0</x:v>
      </x:c>
      <x:c r="F1233" s="8" t="n">
        <x:f>MIN(10,F1232+E1233)</x:f>
        <x:v>7</x:v>
      </x:c>
      <x:c r="G1233" s="8" t="n">
        <x:f>MIN(F1233,9)+1</x:f>
        <x:v>8</x:v>
      </x:c>
      <x:c r="H1233" s="8" t="n">
        <x:f>IF(F1233&lt;=9,1,0)</x:f>
        <x:v>1</x:v>
      </x:c>
      <x:c r="I1233" s="9" t="n">
        <x:f>MIN(10,F1232+IF(AR1232&gt;0,MIN(1,AS1232/AR1232),1))</x:f>
        <x:v>7.318607569004653</x:v>
      </x:c>
      <x:c r="J1233" s="32" t="n">
        <x:f>INDEX(v01_FoodCap,G1233)*Arch_FoodCap*EXP(v01_CapsByProject*SUMPRODUCT((Cap_Point&lt;=I1233)*(Cap_Kind="Food")*Cap_Ln))</x:f>
        <x:v>2500</x:v>
      </x:c>
      <x:c r="K1233" s="32" t="n">
        <x:f>J1233*MIN(1,v01_LeanBase*EXP(v01_CapsByProject*SUMPRODUCT((Cap_Point&lt;=I1233)*(Cap_Kind="Lean")*Cap_Ln)))</x:f>
        <x:v>2500</x:v>
      </x:c>
      <x:c r="L1233" s="10" t="n">
        <x:f>INDEX(v01_HousingCap,G1233)*EXP(v01_CapsByProject*SUMPRODUCT((Cap_Point&lt;=I1233)*(Cap_Kind="Housing")*Cap_Ln))</x:f>
        <x:v>4000</x:v>
      </x:c>
      <x:c r="M1233" s="10" t="n">
        <x:f>INDEX(v01_GroupCap,G1233)*v01_CohesionFactor*EXP(v01_CapsByProject*SUMPRODUCT((Cap_Point&lt;=I1233)*(Cap_Kind="Group")*Cap_Ln))</x:f>
        <x:v>1000000</x:v>
      </x:c>
      <x:c r="N1233" s="32" t="n">
        <x:f>MIN(J1233,L1233,M1233)</x:f>
        <x:v>2500</x:v>
      </x:c>
      <x:c r="O1233" s="10" t="n">
        <x:f>AE1232*N1233</x:f>
        <x:v>40000</x:v>
      </x:c>
      <x:c r="P1233" s="9" t="n">
        <x:f>MIN(1,(AB1232/(AE1232*IF(v01_GroupInCrowding=1,N1233,MIN(J1233,L1233))))^v01_CrowdingExp)</x:f>
        <x:v>0.002253318252832077</x:v>
      </x:c>
      <x:c r="Q1233" s="9" t="n">
        <x:f>IF(D1233=1,INDEX(v01_WinterMult,G1233),1)</x:f>
        <x:v>1</x:v>
      </x:c>
      <x:c r="R1233" s="9" t="n">
        <x:f>H1233*Z1232*v01_WomenShare*v01_BaseFertility*INDEX(v01_FertMult,G1233)*Arch_Fertility*(1-P1233)</x:f>
        <x:v>182.2488806804497</x:v>
      </x:c>
      <x:c r="S1233" s="9" t="n">
        <x:f>H1233*Y1232*INDEX(v01_MortChild,G1233)/4*Q1233</x:f>
        <x:v>22.584784969422326</x:v>
      </x:c>
      <x:c r="T1233" s="9" t="n">
        <x:f>H1233*Z1232*INDEX(v01_MortAdult,G1233)*Arch_AdultMort/4*Q1233</x:f>
        <x:v>10.655194250050677</x:v>
      </x:c>
      <x:c r="U1233" s="9" t="n">
        <x:f>H1233*AA1232*INDEX(v01_MortElder,G1233)/4*Q1233</x:f>
        <x:v>29.64852758120822</x:v>
      </x:c>
      <x:c r="V1233" s="9" t="n">
        <x:f>H1233*MAX(0,AB1232-O1233)*v01_OvercapLoss</x:f>
        <x:v>0</x:v>
      </x:c>
      <x:c r="W1233" s="9" t="n">
        <x:f>H1233*Y1232/(v01_ChildYears*4)</x:f>
        <x:v>107.54659509248727</x:v>
      </x:c>
      <x:c r="X1233" s="9" t="n">
        <x:f>H1233*Z1232/(v01_AdultYears*4)</x:f>
        <x:v>49.10227765000312</x:v>
      </x:c>
      <x:c r="Y1233" s="32" t="n">
        <x:f>Y1232+R1233-S1233-W1233-Y1232*V1233/AB1232</x:f>
        <x:v>6074.726825797828</x:v>
      </x:c>
      <x:c r="Z1233" s="32" t="n">
        <x:f>Z1232+W1233-X1233-T1233-Z1232*V1233/AB1232</x:f>
        <x:v>6136.47155179282</x:v>
      </x:c>
      <x:c r="AA1233" s="32" t="n">
        <x:f>AA1232+X1233-U1233-AA1232*V1233/AB1232</x:f>
        <x:v>2391.3359565654523</x:v>
      </x:c>
      <x:c r="AB1233" s="10" t="n">
        <x:f>Y1233+Z1233+AA1233</x:f>
        <x:v>14602.5343341561</x:v>
      </x:c>
      <x:c r="AC1233" s="8" t="n">
        <x:f>IF(AND(v01_WinterTrigger=1,D1233=1,AB1232/AE1232&gt;=K1233),1,0)</x:f>
        <x:v>0</x:v>
      </x:c>
      <x:c r="AD1233" s="8" t="n">
        <x:f>H1233*IF(AND(OR(AB1232/AE1232&gt;=v01_FissionTrigger*N1233,AC1233=1),AB1232/AE1232*v01_DaughterShare&gt;=v01_MinDaughter),MAX(1,ROUND(AE1232*v01_FissionRate,0)),0)</x:f>
        <x:v>0</x:v>
      </x:c>
      <x:c r="AE1233" s="8" t="n">
        <x:f>IF(H1233=1,MAX(1,MIN(INDEX(v01_Smax,G1233),AE1232+AD1233)),AE1232)</x:f>
        <x:v>16</x:v>
      </x:c>
      <x:c r="AF1233" s="8" t="n">
        <x:f>MAX(0,AE1233-AE1232)</x:f>
        <x:v>0</x:v>
      </x:c>
      <x:c r="AG1233" s="9" t="str">
        <x:f>IF(AF1233&gt;0,B1233,"")</x:f>
      </x:c>
      <x:c r="AH1233" s="9" t="n">
        <x:f>IF(F1233&gt;=1,1,(1+v01_LowTiesShare*(AE1233-1))/AE1233)</x:f>
        <x:v>1</x:v>
      </x:c>
      <x:c r="AI1233" s="32" t="n">
        <x:f>(Z1233+v01_ElderCommons*INDEX(LM_Elder,G1233)*AA1233)*AH1233</x:f>
        <x:v>15103.981388913266</x:v>
      </x:c>
      <x:c r="AJ1233" s="32" t="n">
        <x:f>H1233*v01_CommonsCoef*AI1233^v01_CommonsExp*INDEX(LM_Commons,G1233)</x:f>
        <x:v>4177.203912308476</x:v>
      </x:c>
      <x:c r="AK1233" s="32" t="n">
        <x:f>H1233*v01_RoleScale*Arch_Roles*(AE1233*(INDEX(v01_ElderRolePerSett,G1233)*v01_OutElder*INDEX(LM_Elder,G1233)+INDEX(v01_ShamanPerSett,G1233)*v01_OutShaman)+Z1233*(INDEX(v01_PriestShare,G1233)*v01_OutPriest+INDEX(v01_ScribeShare,G1233)*v01_OutScribe*INDEX(LM_Scribe,G1233)+INDEX(v01_ScholarShare,G1233)*v01_OutScholar*INDEX(LM_Scholar,G1233)+INDEX(v01_ResearcherShare,G1233)*v01_OutResearcher*INDEX(LM_Researcher,G1233)))</x:f>
        <x:v>1157.214855581313</x:v>
      </x:c>
      <x:c r="AL1233" s="32" t="n">
        <x:f>H1233*v01_RoleScale*Arch_Roles*AE1233*INDEX(v01_MonasteryPerSett,G1233)*v01_OutMonastery*INDEX(LM_Monastery,G1233)</x:f>
        <x:v>10.56</x:v>
      </x:c>
      <x:c r="AM1233" s="32" t="n">
        <x:f>(AJ1233+AK1233+AL1233)/4*INDEX(LM_All,G1233)*INDEX(v01_Boon,G1233)*Arch_Insight</x:f>
        <x:v>3216.6218308144526</x:v>
      </x:c>
      <x:c r="AN1233" s="32" t="n">
        <x:f>H1233*(v01_KHPerAdult*Z1233+v01_KHOfCommons*AJ1233/4*INDEX(LM_All,G1233))*v01_KHUsable*Arch_KH</x:f>
        <x:v>214.77650431274867</x:v>
      </x:c>
      <x:c r="AO1233" s="32" t="n">
        <x:f>MIN(AP1232+AN1233,AM1233*v01_KHMaxRatio)</x:f>
        <x:v>214.77650431274867</x:v>
      </x:c>
      <x:c r="AP1233" s="32" t="n">
        <x:f>AP1232+AN1233-AO1233</x:f>
        <x:v>0</x:v>
      </x:c>
      <x:c r="AQ1233" s="32" t="n">
        <x:f>AM1233+AO1233</x:f>
        <x:v>3431.3983351272013</x:v>
      </x:c>
      <x:c r="AR1233" s="10" t="n">
        <x:f>IF(H1233=1,INDEX(v01_Req,G1233),0)</x:f>
        <x:v>240231.2486535</x:v>
      </x:c>
      <x:c r="AS1233" s="32" t="n">
        <x:f>IF(H1233=1,IF(E1233=1,AS1232-AR1232,AS1232)+AQ1233,0)</x:f>
        <x:v>79970.89246757119</x:v>
      </x:c>
      <x:c r="AT1233" s="11" t="n">
        <x:f>IF(AR1233&gt;0,MIN(1,AS1233/AR1233),1)</x:f>
        <x:v>0.3328912991786428</x:v>
      </x:c>
      <x:c r="AU1233" s="10" t="n">
        <x:f>AB1233/INDEX(v01_RepScale,G1233)</x:f>
        <x:v>146.025343341561</x:v>
      </x:c>
      <x:c r="AV1233" s="32" t="n">
        <x:f>AM1233*60/v01_SeasonSeconds</x:f>
        <x:v>12866.48732325781</x:v>
      </x:c>
    </x:row>
    <x:row r="1234">
      <x:c r="A1234" s="8" t="n">
        <x:f>A1233+1</x:f>
        <x:v>1231</x:v>
      </x:c>
      <x:c r="B1234" s="9" t="n">
        <x:f>A1234*v01_SeasonSeconds/60</x:f>
        <x:v>307.75</x:v>
      </x:c>
      <x:c r="C1234" s="9" t="n">
        <x:f>A1234/4</x:f>
        <x:v>307.75</x:v>
      </x:c>
      <x:c r="D1234" s="8" t="n">
        <x:f>IF(MOD(A1234,4)=0,1,0)</x:f>
        <x:v>0</x:v>
      </x:c>
      <x:c r="E1234" s="8" t="n">
        <x:f>IF(AND(F1233&lt;=9,AS1233&gt;=AR1233),1,0)</x:f>
        <x:v>0</x:v>
      </x:c>
      <x:c r="F1234" s="8" t="n">
        <x:f>MIN(10,F1233+E1234)</x:f>
        <x:v>7</x:v>
      </x:c>
      <x:c r="G1234" s="8" t="n">
        <x:f>MIN(F1234,9)+1</x:f>
        <x:v>8</x:v>
      </x:c>
      <x:c r="H1234" s="8" t="n">
        <x:f>IF(F1234&lt;=9,1,0)</x:f>
        <x:v>1</x:v>
      </x:c>
      <x:c r="I1234" s="9" t="n">
        <x:f>MIN(10,F1233+IF(AR1233&gt;0,MIN(1,AS1233/AR1233),1))</x:f>
        <x:v>7.332891299178643</x:v>
      </x:c>
      <x:c r="J1234" s="32" t="n">
        <x:f>INDEX(v01_FoodCap,G1234)*Arch_FoodCap*EXP(v01_CapsByProject*SUMPRODUCT((Cap_Point&lt;=I1234)*(Cap_Kind="Food")*Cap_Ln))</x:f>
        <x:v>2500</x:v>
      </x:c>
      <x:c r="K1234" s="32" t="n">
        <x:f>J1234*MIN(1,v01_LeanBase*EXP(v01_CapsByProject*SUMPRODUCT((Cap_Point&lt;=I1234)*(Cap_Kind="Lean")*Cap_Ln)))</x:f>
        <x:v>2500</x:v>
      </x:c>
      <x:c r="L1234" s="10" t="n">
        <x:f>INDEX(v01_HousingCap,G1234)*EXP(v01_CapsByProject*SUMPRODUCT((Cap_Point&lt;=I1234)*(Cap_Kind="Housing")*Cap_Ln))</x:f>
        <x:v>4000</x:v>
      </x:c>
      <x:c r="M1234" s="10" t="n">
        <x:f>INDEX(v01_GroupCap,G1234)*v01_CohesionFactor*EXP(v01_CapsByProject*SUMPRODUCT((Cap_Point&lt;=I1234)*(Cap_Kind="Group")*Cap_Ln))</x:f>
        <x:v>1000000</x:v>
      </x:c>
      <x:c r="N1234" s="32" t="n">
        <x:f>MIN(J1234,L1234,M1234)</x:f>
        <x:v>2500</x:v>
      </x:c>
      <x:c r="O1234" s="10" t="n">
        <x:f>AE1233*N1234</x:f>
        <x:v>40000</x:v>
      </x:c>
      <x:c r="P1234" s="9" t="n">
        <x:f>MIN(1,(AB1233/(AE1233*IF(v01_GroupInCrowding=1,N1234,MIN(J1234,L1234))))^v01_CrowdingExp)</x:f>
        <x:v>0.0023670610998176556</x:v>
      </x:c>
      <x:c r="Q1234" s="9" t="n">
        <x:f>IF(D1234=1,INDEX(v01_WinterMult,G1234),1)</x:f>
        <x:v>1</x:v>
      </x:c>
      <x:c r="R1234" s="9" t="n">
        <x:f>H1234*Z1233*v01_WomenShare*v01_BaseFertility*INDEX(v01_FertMult,G1234)*Arch_Fertility*(1-P1234)</x:f>
        <x:v>183.658384460773</x:v>
      </x:c>
      <x:c r="S1234" s="9" t="n">
        <x:f>H1234*Y1233*INDEX(v01_MortChild,G1234)/4*Q1234</x:f>
        <x:v>22.780225596741854</x:v>
      </x:c>
      <x:c r="T1234" s="9" t="n">
        <x:f>H1234*Z1233*INDEX(v01_MortAdult,G1234)*Arch_AdultMort/4*Q1234</x:f>
        <x:v>10.738825215637435</x:v>
      </x:c>
      <x:c r="U1234" s="9" t="n">
        <x:f>H1234*AA1233*INDEX(v01_MortElder,G1234)/4*Q1234</x:f>
        <x:v>29.891699457068157</x:v>
      </x:c>
      <x:c r="V1234" s="9" t="n">
        <x:f>H1234*MAX(0,AB1233-O1234)*v01_OvercapLoss</x:f>
        <x:v>0</x:v>
      </x:c>
      <x:c r="W1234" s="9" t="n">
        <x:f>H1234*Y1233/(v01_ChildYears*4)</x:f>
        <x:v>108.47726474638978</x:v>
      </x:c>
      <x:c r="X1234" s="9" t="n">
        <x:f>H1234*Z1233/(v01_AdultYears*4)</x:f>
        <x:v>49.487673804780805</x:v>
      </x:c>
      <x:c r="Y1234" s="32" t="n">
        <x:f>Y1233+R1234-S1234-W1234-Y1233*V1234/AB1233</x:f>
        <x:v>6127.127719915469</x:v>
      </x:c>
      <x:c r="Z1234" s="32" t="n">
        <x:f>Z1233+W1234-X1234-T1234-Z1233*V1234/AB1233</x:f>
        <x:v>6184.722317518792</x:v>
      </x:c>
      <x:c r="AA1234" s="32" t="n">
        <x:f>AA1233+X1234-U1234-AA1233*V1234/AB1233</x:f>
        <x:v>2410.931930913165</x:v>
      </x:c>
      <x:c r="AB1234" s="10" t="n">
        <x:f>Y1234+Z1234+AA1234</x:f>
        <x:v>14722.781968347426</x:v>
      </x:c>
      <x:c r="AC1234" s="8" t="n">
        <x:f>IF(AND(v01_WinterTrigger=1,D1234=1,AB1233/AE1233&gt;=K1234),1,0)</x:f>
        <x:v>0</x:v>
      </x:c>
      <x:c r="AD1234" s="8" t="n">
        <x:f>H1234*IF(AND(OR(AB1233/AE1233&gt;=v01_FissionTrigger*N1234,AC1234=1),AB1233/AE1233*v01_DaughterShare&gt;=v01_MinDaughter),MAX(1,ROUND(AE1233*v01_FissionRate,0)),0)</x:f>
        <x:v>0</x:v>
      </x:c>
      <x:c r="AE1234" s="8" t="n">
        <x:f>IF(H1234=1,MAX(1,MIN(INDEX(v01_Smax,G1234),AE1233+AD1234)),AE1233)</x:f>
        <x:v>16</x:v>
      </x:c>
      <x:c r="AF1234" s="8" t="n">
        <x:f>MAX(0,AE1234-AE1233)</x:f>
        <x:v>0</x:v>
      </x:c>
      <x:c r="AG1234" s="9" t="str">
        <x:f>IF(AF1234&gt;0,B1234,"")</x:f>
      </x:c>
      <x:c r="AH1234" s="9" t="n">
        <x:f>IF(F1234&gt;=1,1,(1+v01_LowTiesShare*(AE1234-1))/AE1234)</x:f>
        <x:v>1</x:v>
      </x:c>
      <x:c r="AI1234" s="32" t="n">
        <x:f>(Z1234+v01_ElderCommons*INDEX(LM_Elder,G1234)*AA1234)*AH1234</x:f>
        <x:v>15225.71705844316</x:v>
      </x:c>
      <x:c r="AJ1234" s="32" t="n">
        <x:f>H1234*v01_CommonsCoef*AI1234^v01_CommonsExp*INDEX(LM_Commons,G1234)</x:f>
        <x:v>4205.80412162098</x:v>
      </x:c>
      <x:c r="AK1234" s="32" t="n">
        <x:f>H1234*v01_RoleScale*Arch_Roles*(AE1234*(INDEX(v01_ElderRolePerSett,G1234)*v01_OutElder*INDEX(LM_Elder,G1234)+INDEX(v01_ShamanPerSett,G1234)*v01_OutShaman)+Z1234*(INDEX(v01_PriestShare,G1234)*v01_OutPriest+INDEX(v01_ScribeShare,G1234)*v01_OutScribe*INDEX(LM_Scribe,G1234)+INDEX(v01_ScholarShare,G1234)*v01_OutScholar*INDEX(LM_Scholar,G1234)+INDEX(v01_ResearcherShare,G1234)*v01_OutResearcher*INDEX(LM_Researcher,G1234)))</x:f>
        <x:v>1165.8893782435284</x:v>
      </x:c>
      <x:c r="AL1234" s="32" t="n">
        <x:f>H1234*v01_RoleScale*Arch_Roles*AE1234*INDEX(v01_MonasteryPerSett,G1234)*v01_OutMonastery*INDEX(LM_Monastery,G1234)</x:f>
        <x:v>10.56</x:v>
      </x:c>
      <x:c r="AM1234" s="32" t="n">
        <x:f>(AJ1234+AK1234+AL1234)/4*INDEX(LM_All,G1234)*INDEX(v01_Boon,G1234)*Arch_Insight</x:f>
        <x:v>3239.053859418184</x:v>
      </x:c>
      <x:c r="AN1234" s="32" t="n">
        <x:f>H1234*(v01_KHPerAdult*Z1234+v01_KHOfCommons*AJ1234/4*INDEX(LM_All,G1234))*v01_KHUsable*Arch_KH</x:f>
        <x:v>216.46528111315772</x:v>
      </x:c>
      <x:c r="AO1234" s="32" t="n">
        <x:f>MIN(AP1233+AN1234,AM1234*v01_KHMaxRatio)</x:f>
        <x:v>216.46528111315772</x:v>
      </x:c>
      <x:c r="AP1234" s="32" t="n">
        <x:f>AP1233+AN1234-AO1234</x:f>
        <x:v>0</x:v>
      </x:c>
      <x:c r="AQ1234" s="32" t="n">
        <x:f>AM1234+AO1234</x:f>
        <x:v>3455.5191405313417</x:v>
      </x:c>
      <x:c r="AR1234" s="10" t="n">
        <x:f>IF(H1234=1,INDEX(v01_Req,G1234),0)</x:f>
        <x:v>240231.2486535</x:v>
      </x:c>
      <x:c r="AS1234" s="32" t="n">
        <x:f>IF(H1234=1,IF(E1234=1,AS1233-AR1233,AS1233)+AQ1234,0)</x:f>
        <x:v>83426.41160810253</x:v>
      </x:c>
      <x:c r="AT1234" s="11" t="n">
        <x:f>IF(AR1234&gt;0,MIN(1,AS1234/AR1234),1)</x:f>
        <x:v>0.3472754359630935</x:v>
      </x:c>
      <x:c r="AU1234" s="10" t="n">
        <x:f>AB1234/INDEX(v01_RepScale,G1234)</x:f>
        <x:v>147.22781968347425</x:v>
      </x:c>
      <x:c r="AV1234" s="32" t="n">
        <x:f>AM1234*60/v01_SeasonSeconds</x:f>
        <x:v>12956.215437672736</x:v>
      </x:c>
    </x:row>
    <x:row r="1235">
      <x:c r="A1235" s="8" t="n">
        <x:f>A1234+1</x:f>
        <x:v>1232</x:v>
      </x:c>
      <x:c r="B1235" s="9" t="n">
        <x:f>A1235*v01_SeasonSeconds/60</x:f>
        <x:v>308</x:v>
      </x:c>
      <x:c r="C1235" s="9" t="n">
        <x:f>A1235/4</x:f>
        <x:v>308</x:v>
      </x:c>
      <x:c r="D1235" s="8" t="n">
        <x:f>IF(MOD(A1235,4)=0,1,0)</x:f>
        <x:v>1</x:v>
      </x:c>
      <x:c r="E1235" s="8" t="n">
        <x:f>IF(AND(F1234&lt;=9,AS1234&gt;=AR1234),1,0)</x:f>
        <x:v>0</x:v>
      </x:c>
      <x:c r="F1235" s="8" t="n">
        <x:f>MIN(10,F1234+E1235)</x:f>
        <x:v>7</x:v>
      </x:c>
      <x:c r="G1235" s="8" t="n">
        <x:f>MIN(F1235,9)+1</x:f>
        <x:v>8</x:v>
      </x:c>
      <x:c r="H1235" s="8" t="n">
        <x:f>IF(F1235&lt;=9,1,0)</x:f>
        <x:v>1</x:v>
      </x:c>
      <x:c r="I1235" s="9" t="n">
        <x:f>MIN(10,F1234+IF(AR1234&gt;0,MIN(1,AS1234/AR1234),1))</x:f>
        <x:v>7.347275435963094</x:v>
      </x:c>
      <x:c r="J1235" s="32" t="n">
        <x:f>INDEX(v01_FoodCap,G1235)*Arch_FoodCap*EXP(v01_CapsByProject*SUMPRODUCT((Cap_Point&lt;=I1235)*(Cap_Kind="Food")*Cap_Ln))</x:f>
        <x:v>2500</x:v>
      </x:c>
      <x:c r="K1235" s="32" t="n">
        <x:f>J1235*MIN(1,v01_LeanBase*EXP(v01_CapsByProject*SUMPRODUCT((Cap_Point&lt;=I1235)*(Cap_Kind="Lean")*Cap_Ln)))</x:f>
        <x:v>2500</x:v>
      </x:c>
      <x:c r="L1235" s="10" t="n">
        <x:f>INDEX(v01_HousingCap,G1235)*EXP(v01_CapsByProject*SUMPRODUCT((Cap_Point&lt;=I1235)*(Cap_Kind="Housing")*Cap_Ln))</x:f>
        <x:v>4000</x:v>
      </x:c>
      <x:c r="M1235" s="10" t="n">
        <x:f>INDEX(v01_GroupCap,G1235)*v01_CohesionFactor*EXP(v01_CapsByProject*SUMPRODUCT((Cap_Point&lt;=I1235)*(Cap_Kind="Group")*Cap_Ln))</x:f>
        <x:v>1000000</x:v>
      </x:c>
      <x:c r="N1235" s="32" t="n">
        <x:f>MIN(J1235,L1235,M1235)</x:f>
        <x:v>2500</x:v>
      </x:c>
      <x:c r="O1235" s="10" t="n">
        <x:f>AE1234*N1235</x:f>
        <x:v>40000</x:v>
      </x:c>
      <x:c r="P1235" s="9" t="n">
        <x:f>MIN(1,(AB1234/(AE1234*IF(v01_GroupInCrowding=1,N1235,MIN(J1235,L1235))))^v01_CrowdingExp)</x:f>
        <x:v>0.0024864477399853934</x:v>
      </x:c>
      <x:c r="Q1235" s="9" t="n">
        <x:f>IF(D1235=1,INDEX(v01_WinterMult,G1235),1)</x:f>
        <x:v>1</x:v>
      </x:c>
      <x:c r="R1235" s="9" t="n">
        <x:f>H1235*Z1234*v01_WomenShare*v01_BaseFertility*INDEX(v01_FertMult,G1235)*Arch_Fertility*(1-P1235)</x:f>
        <x:v>185.08032986069878</x:v>
      </x:c>
      <x:c r="S1235" s="9" t="n">
        <x:f>H1235*Y1234*INDEX(v01_MortChild,G1235)/4*Q1235</x:f>
        <x:v>22.976728949683007</x:v>
      </x:c>
      <x:c r="T1235" s="9" t="n">
        <x:f>H1235*Z1234*INDEX(v01_MortAdult,G1235)*Arch_AdultMort/4*Q1235</x:f>
        <x:v>10.823264055657885</x:v>
      </x:c>
      <x:c r="U1235" s="9" t="n">
        <x:f>H1235*AA1234*INDEX(v01_MortElder,G1235)/4*Q1235</x:f>
        <x:v>30.136649136414565</x:v>
      </x:c>
      <x:c r="V1235" s="9" t="n">
        <x:f>H1235*MAX(0,AB1234-O1235)*v01_OvercapLoss</x:f>
        <x:v>0</x:v>
      </x:c>
      <x:c r="W1235" s="9" t="n">
        <x:f>H1235*Y1234/(v01_ChildYears*4)</x:f>
        <x:v>109.41299499849052</x:v>
      </x:c>
      <x:c r="X1235" s="9" t="n">
        <x:f>H1235*Z1234/(v01_AdultYears*4)</x:f>
        <x:v>49.87679288321606</x:v>
      </x:c>
      <x:c r="Y1235" s="32" t="n">
        <x:f>Y1234+R1235-S1235-W1235-Y1234*V1235/AB1234</x:f>
        <x:v>6179.818325827994</x:v>
      </x:c>
      <x:c r="Z1235" s="32" t="n">
        <x:f>Z1234+W1235-X1235-T1235-Z1234*V1235/AB1234</x:f>
        <x:v>6233.435255578409</x:v>
      </x:c>
      <x:c r="AA1235" s="32" t="n">
        <x:f>AA1234+X1235-U1235-AA1234*V1235/AB1234</x:f>
        <x:v>2430.6720746599667</x:v>
      </x:c>
      <x:c r="AB1235" s="10" t="n">
        <x:f>Y1235+Z1235+AA1235</x:f>
        <x:v>14843.92565606637</x:v>
      </x:c>
      <x:c r="AC1235" s="8" t="n">
        <x:f>IF(AND(v01_WinterTrigger=1,D1235=1,AB1234/AE1234&gt;=K1235),1,0)</x:f>
        <x:v>0</x:v>
      </x:c>
      <x:c r="AD1235" s="8" t="n">
        <x:f>H1235*IF(AND(OR(AB1234/AE1234&gt;=v01_FissionTrigger*N1235,AC1235=1),AB1234/AE1234*v01_DaughterShare&gt;=v01_MinDaughter),MAX(1,ROUND(AE1234*v01_FissionRate,0)),0)</x:f>
        <x:v>0</x:v>
      </x:c>
      <x:c r="AE1235" s="8" t="n">
        <x:f>IF(H1235=1,MAX(1,MIN(INDEX(v01_Smax,G1235),AE1234+AD1235)),AE1234)</x:f>
        <x:v>16</x:v>
      </x:c>
      <x:c r="AF1235" s="8" t="n">
        <x:f>MAX(0,AE1235-AE1234)</x:f>
        <x:v>0</x:v>
      </x:c>
      <x:c r="AG1235" s="9" t="str">
        <x:f>IF(AF1235&gt;0,B1235,"")</x:f>
      </x:c>
      <x:c r="AH1235" s="9" t="n">
        <x:f>IF(F1235&gt;=1,1,(1+v01_LowTiesShare*(AE1235-1))/AE1235)</x:f>
        <x:v>1</x:v>
      </x:c>
      <x:c r="AI1235" s="32" t="n">
        <x:f>(Z1235+v01_ElderCommons*INDEX(LM_Elder,G1235)*AA1235)*AH1235</x:f>
        <x:v>15348.455535553283</x:v>
      </x:c>
      <x:c r="AJ1235" s="32" t="n">
        <x:f>H1235*v01_CommonsCoef*AI1235^v01_CommonsExp*INDEX(LM_Commons,G1235)</x:f>
        <x:v>4234.605223295193</x:v>
      </x:c>
      <x:c r="AK1235" s="32" t="n">
        <x:f>H1235*v01_RoleScale*Arch_Roles*(AE1235*(INDEX(v01_ElderRolePerSett,G1235)*v01_OutElder*INDEX(LM_Elder,G1235)+INDEX(v01_ShamanPerSett,G1235)*v01_OutShaman)+Z1235*(INDEX(v01_PriestShare,G1235)*v01_OutPriest+INDEX(v01_ScribeShare,G1235)*v01_OutScribe*INDEX(LM_Scribe,G1235)+INDEX(v01_ScholarShare,G1235)*v01_OutScholar*INDEX(LM_Scholar,G1235)+INDEX(v01_ResearcherShare,G1235)*v01_OutResearcher*INDEX(LM_Researcher,G1235)))</x:f>
        <x:v>1174.6469902478864</x:v>
      </x:c>
      <x:c r="AL1235" s="32" t="n">
        <x:f>H1235*v01_RoleScale*Arch_Roles*AE1235*INDEX(v01_MonasteryPerSett,G1235)*v01_OutMonastery*INDEX(LM_Monastery,G1235)</x:f>
        <x:v>10.56</x:v>
      </x:c>
      <x:c r="AM1235" s="32" t="n">
        <x:f>(AJ1235+AK1235+AL1235)/4*INDEX(LM_All,G1235)*INDEX(v01_Boon,G1235)*Arch_Insight</x:f>
        <x:v>3261.65678893431</x:v>
      </x:c>
      <x:c r="AN1235" s="32" t="n">
        <x:f>H1235*(v01_KHPerAdult*Z1235+v01_KHOfCommons*AJ1235/4*INDEX(LM_All,G1235))*v01_KHUsable*Arch_KH</x:f>
        <x:v>218.17023394524432</x:v>
      </x:c>
      <x:c r="AO1235" s="32" t="n">
        <x:f>MIN(AP1234+AN1235,AM1235*v01_KHMaxRatio)</x:f>
        <x:v>218.17023394524432</x:v>
      </x:c>
      <x:c r="AP1235" s="32" t="n">
        <x:f>AP1234+AN1235-AO1235</x:f>
        <x:v>0</x:v>
      </x:c>
      <x:c r="AQ1235" s="32" t="n">
        <x:f>AM1235+AO1235</x:f>
        <x:v>3479.8270228795545</x:v>
      </x:c>
      <x:c r="AR1235" s="10" t="n">
        <x:f>IF(H1235=1,INDEX(v01_Req,G1235),0)</x:f>
        <x:v>240231.2486535</x:v>
      </x:c>
      <x:c r="AS1235" s="32" t="n">
        <x:f>IF(H1235=1,IF(E1235=1,AS1234-AR1234,AS1234)+AQ1235,0)</x:f>
        <x:v>86906.23863098209</x:v>
      </x:c>
      <x:c r="AT1235" s="11" t="n">
        <x:f>IF(AR1235&gt;0,MIN(1,AS1235/AR1235),1)</x:f>
        <x:v>0.36176075809493125</x:v>
      </x:c>
      <x:c r="AU1235" s="10" t="n">
        <x:f>AB1235/INDEX(v01_RepScale,G1235)</x:f>
        <x:v>148.4392565606637</x:v>
      </x:c>
      <x:c r="AV1235" s="32" t="n">
        <x:f>AM1235*60/v01_SeasonSeconds</x:f>
        <x:v>13046.62715573724</x:v>
      </x:c>
    </x:row>
    <x:row r="1236">
      <x:c r="A1236" s="8" t="n">
        <x:f>A1235+1</x:f>
        <x:v>1233</x:v>
      </x:c>
      <x:c r="B1236" s="9" t="n">
        <x:f>A1236*v01_SeasonSeconds/60</x:f>
        <x:v>308.25</x:v>
      </x:c>
      <x:c r="C1236" s="9" t="n">
        <x:f>A1236/4</x:f>
        <x:v>308.25</x:v>
      </x:c>
      <x:c r="D1236" s="8" t="n">
        <x:f>IF(MOD(A1236,4)=0,1,0)</x:f>
        <x:v>0</x:v>
      </x:c>
      <x:c r="E1236" s="8" t="n">
        <x:f>IF(AND(F1235&lt;=9,AS1235&gt;=AR1235),1,0)</x:f>
        <x:v>0</x:v>
      </x:c>
      <x:c r="F1236" s="8" t="n">
        <x:f>MIN(10,F1235+E1236)</x:f>
        <x:v>7</x:v>
      </x:c>
      <x:c r="G1236" s="8" t="n">
        <x:f>MIN(F1236,9)+1</x:f>
        <x:v>8</x:v>
      </x:c>
      <x:c r="H1236" s="8" t="n">
        <x:f>IF(F1236&lt;=9,1,0)</x:f>
        <x:v>1</x:v>
      </x:c>
      <x:c r="I1236" s="9" t="n">
        <x:f>MIN(10,F1235+IF(AR1235&gt;0,MIN(1,AS1235/AR1235),1))</x:f>
        <x:v>7.361760758094931</x:v>
      </x:c>
      <x:c r="J1236" s="32" t="n">
        <x:f>INDEX(v01_FoodCap,G1236)*Arch_FoodCap*EXP(v01_CapsByProject*SUMPRODUCT((Cap_Point&lt;=I1236)*(Cap_Kind="Food")*Cap_Ln))</x:f>
        <x:v>2500</x:v>
      </x:c>
      <x:c r="K1236" s="32" t="n">
        <x:f>J1236*MIN(1,v01_LeanBase*EXP(v01_CapsByProject*SUMPRODUCT((Cap_Point&lt;=I1236)*(Cap_Kind="Lean")*Cap_Ln)))</x:f>
        <x:v>2500</x:v>
      </x:c>
      <x:c r="L1236" s="10" t="n">
        <x:f>INDEX(v01_HousingCap,G1236)*EXP(v01_CapsByProject*SUMPRODUCT((Cap_Point&lt;=I1236)*(Cap_Kind="Housing")*Cap_Ln))</x:f>
        <x:v>4000</x:v>
      </x:c>
      <x:c r="M1236" s="10" t="n">
        <x:f>INDEX(v01_GroupCap,G1236)*v01_CohesionFactor*EXP(v01_CapsByProject*SUMPRODUCT((Cap_Point&lt;=I1236)*(Cap_Kind="Group")*Cap_Ln))</x:f>
        <x:v>1000000</x:v>
      </x:c>
      <x:c r="N1236" s="32" t="n">
        <x:f>MIN(J1236,L1236,M1236)</x:f>
        <x:v>2500</x:v>
      </x:c>
      <x:c r="O1236" s="10" t="n">
        <x:f>AE1235*N1236</x:f>
        <x:v>40000</x:v>
      </x:c>
      <x:c r="P1236" s="9" t="n">
        <x:f>MIN(1,(AB1235/(AE1235*IF(v01_GroupInCrowding=1,N1236,MIN(J1236,L1236))))^v01_CrowdingExp)</x:f>
        <x:v>0.002611756447330812</x:v>
      </x:c>
      <x:c r="Q1236" s="9" t="n">
        <x:f>IF(D1236=1,INDEX(v01_WinterMult,G1236),1)</x:f>
        <x:v>1</x:v>
      </x:c>
      <x:c r="R1236" s="9" t="n">
        <x:f>H1236*Z1235*v01_WomenShare*v01_BaseFertility*INDEX(v01_FertMult,G1236)*Arch_Fertility*(1-P1236)</x:f>
        <x:v>186.514651225819</x:v>
      </x:c>
      <x:c r="S1236" s="9" t="n">
        <x:f>H1236*Y1235*INDEX(v01_MortChild,G1236)/4*Q1236</x:f>
        <x:v>23.174318721854977</x:v>
      </x:c>
      <x:c r="T1236" s="9" t="n">
        <x:f>H1236*Z1235*INDEX(v01_MortAdult,G1236)*Arch_AdultMort/4*Q1236</x:f>
        <x:v>10.908511697262217</x:v>
      </x:c>
      <x:c r="U1236" s="9" t="n">
        <x:f>H1236*AA1235*INDEX(v01_MortElder,G1236)/4*Q1236</x:f>
        <x:v>30.383400933249586</x:v>
      </x:c>
      <x:c r="V1236" s="9" t="n">
        <x:f>H1236*MAX(0,AB1235-O1236)*v01_OvercapLoss</x:f>
        <x:v>0</x:v>
      </x:c>
      <x:c r="W1236" s="9" t="n">
        <x:f>H1236*Y1235/(v01_ChildYears*4)</x:f>
        <x:v>110.35389867549989</x:v>
      </x:c>
      <x:c r="X1236" s="9" t="n">
        <x:f>H1236*Z1235/(v01_AdultYears*4)</x:f>
        <x:v>50.269639157890396</x:v>
      </x:c>
      <x:c r="Y1236" s="32" t="n">
        <x:f>Y1235+R1236-S1236-W1236-Y1235*V1236/AB1235</x:f>
        <x:v>6232.8047596564575</x:v>
      </x:c>
      <x:c r="Z1236" s="32" t="n">
        <x:f>Z1235+W1236-X1236-T1236-Z1235*V1236/AB1235</x:f>
        <x:v>6282.611003398757</x:v>
      </x:c>
      <x:c r="AA1236" s="32" t="n">
        <x:f>AA1235+X1236-U1236-AA1235*V1236/AB1235</x:f>
        <x:v>2450.5583128846074</x:v>
      </x:c>
      <x:c r="AB1236" s="10" t="n">
        <x:f>Y1236+Z1236+AA1236</x:f>
        <x:v>14965.974075939823</x:v>
      </x:c>
      <x:c r="AC1236" s="8" t="n">
        <x:f>IF(AND(v01_WinterTrigger=1,D1236=1,AB1235/AE1235&gt;=K1236),1,0)</x:f>
        <x:v>0</x:v>
      </x:c>
      <x:c r="AD1236" s="8" t="n">
        <x:f>H1236*IF(AND(OR(AB1235/AE1235&gt;=v01_FissionTrigger*N1236,AC1236=1),AB1235/AE1235*v01_DaughterShare&gt;=v01_MinDaughter),MAX(1,ROUND(AE1235*v01_FissionRate,0)),0)</x:f>
        <x:v>0</x:v>
      </x:c>
      <x:c r="AE1236" s="8" t="n">
        <x:f>IF(H1236=1,MAX(1,MIN(INDEX(v01_Smax,G1236),AE1235+AD1236)),AE1235)</x:f>
        <x:v>16</x:v>
      </x:c>
      <x:c r="AF1236" s="8" t="n">
        <x:f>MAX(0,AE1236-AE1235)</x:f>
        <x:v>0</x:v>
      </x:c>
      <x:c r="AG1236" s="9" t="str">
        <x:f>IF(AF1236&gt;0,B1236,"")</x:f>
      </x:c>
      <x:c r="AH1236" s="9" t="n">
        <x:f>IF(F1236&gt;=1,1,(1+v01_LowTiesShare*(AE1236-1))/AE1236)</x:f>
        <x:v>1</x:v>
      </x:c>
      <x:c r="AI1236" s="32" t="n">
        <x:f>(Z1236+v01_ElderCommons*INDEX(LM_Elder,G1236)*AA1236)*AH1236</x:f>
        <x:v>15472.204676716035</x:v>
      </x:c>
      <x:c r="AJ1236" s="32" t="n">
        <x:f>H1236*v01_CommonsCoef*AI1236^v01_CommonsExp*INDEX(LM_Commons,G1236)</x:f>
        <x:v>4263.608527636627</x:v>
      </x:c>
      <x:c r="AK1236" s="32" t="n">
        <x:f>H1236*v01_RoleScale*Arch_Roles*(AE1236*(INDEX(v01_ElderRolePerSett,G1236)*v01_OutElder*INDEX(LM_Elder,G1236)+INDEX(v01_ShamanPerSett,G1236)*v01_OutShaman)+Z1236*(INDEX(v01_PriestShare,G1236)*v01_OutPriest+INDEX(v01_ScribeShare,G1236)*v01_OutScribe*INDEX(LM_Scribe,G1236)+INDEX(v01_ScholarShare,G1236)*v01_OutScholar*INDEX(LM_Scholar,G1236)+INDEX(v01_ResearcherShare,G1236)*v01_OutResearcher*INDEX(LM_Researcher,G1236)))</x:f>
        <x:v>1183.4878061910285</x:v>
      </x:c>
      <x:c r="AL1236" s="32" t="n">
        <x:f>H1236*v01_RoleScale*Arch_Roles*AE1236*INDEX(v01_MonasteryPerSett,G1236)*v01_OutMonastery*INDEX(LM_Monastery,G1236)</x:f>
        <x:v>10.56</x:v>
      </x:c>
      <x:c r="AM1236" s="32" t="n">
        <x:f>(AJ1236+AK1236+AL1236)/4*INDEX(LM_All,G1236)*INDEX(v01_Boon,G1236)*Arch_Insight</x:f>
        <x:v>3284.4314768725726</x:v>
      </x:c>
      <x:c r="AN1236" s="32" t="n">
        <x:f>H1236*(v01_KHPerAdult*Z1236+v01_KHOfCommons*AJ1236/4*INDEX(LM_All,G1236))*v01_KHUsable*Arch_KH</x:f>
        <x:v>219.8913851189565</x:v>
      </x:c>
      <x:c r="AO1236" s="32" t="n">
        <x:f>MIN(AP1235+AN1236,AM1236*v01_KHMaxRatio)</x:f>
        <x:v>219.8913851189565</x:v>
      </x:c>
      <x:c r="AP1236" s="32" t="n">
        <x:f>AP1235+AN1236-AO1236</x:f>
        <x:v>0</x:v>
      </x:c>
      <x:c r="AQ1236" s="32" t="n">
        <x:f>AM1236+AO1236</x:f>
        <x:v>3504.322861991529</x:v>
      </x:c>
      <x:c r="AR1236" s="10" t="n">
        <x:f>IF(H1236=1,INDEX(v01_Req,G1236),0)</x:f>
        <x:v>240231.2486535</x:v>
      </x:c>
      <x:c r="AS1236" s="32" t="n">
        <x:f>IF(H1236=1,IF(E1236=1,AS1235-AR1235,AS1235)+AQ1236,0)</x:f>
        <x:v>90410.56149297362</x:v>
      </x:c>
      <x:c r="AT1236" s="11" t="n">
        <x:f>IF(AR1236&gt;0,MIN(1,AS1236/AR1236),1)</x:f>
        <x:v>0.3763480479734683</x:v>
      </x:c>
      <x:c r="AU1236" s="10" t="n">
        <x:f>AB1236/INDEX(v01_RepScale,G1236)</x:f>
        <x:v>149.65974075939823</x:v>
      </x:c>
      <x:c r="AV1236" s="32" t="n">
        <x:f>AM1236*60/v01_SeasonSeconds</x:f>
        <x:v>13137.72590749029</x:v>
      </x:c>
    </x:row>
    <x:row r="1237">
      <x:c r="A1237" s="8" t="n">
        <x:f>A1236+1</x:f>
        <x:v>1234</x:v>
      </x:c>
      <x:c r="B1237" s="9" t="n">
        <x:f>A1237*v01_SeasonSeconds/60</x:f>
        <x:v>308.5</x:v>
      </x:c>
      <x:c r="C1237" s="9" t="n">
        <x:f>A1237/4</x:f>
        <x:v>308.5</x:v>
      </x:c>
      <x:c r="D1237" s="8" t="n">
        <x:f>IF(MOD(A1237,4)=0,1,0)</x:f>
        <x:v>0</x:v>
      </x:c>
      <x:c r="E1237" s="8" t="n">
        <x:f>IF(AND(F1236&lt;=9,AS1236&gt;=AR1236),1,0)</x:f>
        <x:v>0</x:v>
      </x:c>
      <x:c r="F1237" s="8" t="n">
        <x:f>MIN(10,F1236+E1237)</x:f>
        <x:v>7</x:v>
      </x:c>
      <x:c r="G1237" s="8" t="n">
        <x:f>MIN(F1237,9)+1</x:f>
        <x:v>8</x:v>
      </x:c>
      <x:c r="H1237" s="8" t="n">
        <x:f>IF(F1237&lt;=9,1,0)</x:f>
        <x:v>1</x:v>
      </x:c>
      <x:c r="I1237" s="9" t="n">
        <x:f>MIN(10,F1236+IF(AR1236&gt;0,MIN(1,AS1236/AR1236),1))</x:f>
        <x:v>7.376348047973468</x:v>
      </x:c>
      <x:c r="J1237" s="32" t="n">
        <x:f>INDEX(v01_FoodCap,G1237)*Arch_FoodCap*EXP(v01_CapsByProject*SUMPRODUCT((Cap_Point&lt;=I1237)*(Cap_Kind="Food")*Cap_Ln))</x:f>
        <x:v>2500</x:v>
      </x:c>
      <x:c r="K1237" s="32" t="n">
        <x:f>J1237*MIN(1,v01_LeanBase*EXP(v01_CapsByProject*SUMPRODUCT((Cap_Point&lt;=I1237)*(Cap_Kind="Lean")*Cap_Ln)))</x:f>
        <x:v>2500</x:v>
      </x:c>
      <x:c r="L1237" s="10" t="n">
        <x:f>INDEX(v01_HousingCap,G1237)*EXP(v01_CapsByProject*SUMPRODUCT((Cap_Point&lt;=I1237)*(Cap_Kind="Housing")*Cap_Ln))</x:f>
        <x:v>4000</x:v>
      </x:c>
      <x:c r="M1237" s="10" t="n">
        <x:f>INDEX(v01_GroupCap,G1237)*v01_CohesionFactor*EXP(v01_CapsByProject*SUMPRODUCT((Cap_Point&lt;=I1237)*(Cap_Kind="Group")*Cap_Ln))</x:f>
        <x:v>1000000</x:v>
      </x:c>
      <x:c r="N1237" s="32" t="n">
        <x:f>MIN(J1237,L1237,M1237)</x:f>
        <x:v>2500</x:v>
      </x:c>
      <x:c r="O1237" s="10" t="n">
        <x:f>AE1236*N1237</x:f>
        <x:v>40000</x:v>
      </x:c>
      <x:c r="P1237" s="9" t="n">
        <x:f>MIN(1,(AB1236/(AE1236*IF(v01_GroupInCrowding=1,N1237,MIN(J1237,L1237))))^v01_CrowdingExp)</x:f>
        <x:v>0.0027432790296854077</x:v>
      </x:c>
      <x:c r="Q1237" s="9" t="n">
        <x:f>IF(D1237=1,INDEX(v01_WinterMult,G1237),1)</x:f>
        <x:v>1</x:v>
      </x:c>
      <x:c r="R1237" s="9" t="n">
        <x:f>H1237*Z1236*v01_WomenShare*v01_BaseFertility*INDEX(v01_FertMult,G1237)*Arch_Fertility*(1-P1237)</x:f>
        <x:v>187.96128145144388</x:v>
      </x:c>
      <x:c r="S1237" s="9" t="n">
        <x:f>H1237*Y1236*INDEX(v01_MortChild,G1237)/4*Q1237</x:f>
        <x:v>23.373017848711715</x:v>
      </x:c>
      <x:c r="T1237" s="9" t="n">
        <x:f>H1237*Z1236*INDEX(v01_MortAdult,G1237)*Arch_AdultMort/4*Q1237</x:f>
        <x:v>10.994569255947825</x:v>
      </x:c>
      <x:c r="U1237" s="9" t="n">
        <x:f>H1237*AA1236*INDEX(v01_MortElder,G1237)/4*Q1237</x:f>
        <x:v>30.631978911057594</x:v>
      </x:c>
      <x:c r="V1237" s="9" t="n">
        <x:f>H1237*MAX(0,AB1236-O1237)*v01_OvercapLoss</x:f>
        <x:v>0</x:v>
      </x:c>
      <x:c r="W1237" s="9" t="n">
        <x:f>H1237*Y1236/(v01_ChildYears*4)</x:f>
        <x:v>111.30008499386531</x:v>
      </x:c>
      <x:c r="X1237" s="9" t="n">
        <x:f>H1237*Z1236/(v01_AdultYears*4)</x:f>
        <x:v>50.66621776934481</x:v>
      </x:c>
      <x:c r="Y1237" s="32" t="n">
        <x:f>Y1236+R1237-S1237-W1237-Y1236*V1237/AB1236</x:f>
        <x:v>6286.092938265324</x:v>
      </x:c>
      <x:c r="Z1237" s="32" t="n">
        <x:f>Z1236+W1237-X1237-T1237-Z1236*V1237/AB1236</x:f>
        <x:v>6332.2503013673295</x:v>
      </x:c>
      <x:c r="AA1237" s="32" t="n">
        <x:f>AA1236+X1237-U1237-AA1236*V1237/AB1236</x:f>
        <x:v>2470.5925517428946</x:v>
      </x:c>
      <x:c r="AB1237" s="10" t="n">
        <x:f>Y1237+Z1237+AA1237</x:f>
        <x:v>15088.935791375548</x:v>
      </x:c>
      <x:c r="AC1237" s="8" t="n">
        <x:f>IF(AND(v01_WinterTrigger=1,D1237=1,AB1236/AE1236&gt;=K1237),1,0)</x:f>
        <x:v>0</x:v>
      </x:c>
      <x:c r="AD1237" s="8" t="n">
        <x:f>H1237*IF(AND(OR(AB1236/AE1236&gt;=v01_FissionTrigger*N1237,AC1237=1),AB1236/AE1236*v01_DaughterShare&gt;=v01_MinDaughter),MAX(1,ROUND(AE1236*v01_FissionRate,0)),0)</x:f>
        <x:v>0</x:v>
      </x:c>
      <x:c r="AE1237" s="8" t="n">
        <x:f>IF(H1237=1,MAX(1,MIN(INDEX(v01_Smax,G1237),AE1236+AD1237)),AE1236)</x:f>
        <x:v>16</x:v>
      </x:c>
      <x:c r="AF1237" s="8" t="n">
        <x:f>MAX(0,AE1237-AE1236)</x:f>
        <x:v>0</x:v>
      </x:c>
      <x:c r="AG1237" s="9" t="str">
        <x:f>IF(AF1237&gt;0,B1237,"")</x:f>
      </x:c>
      <x:c r="AH1237" s="9" t="n">
        <x:f>IF(F1237&gt;=1,1,(1+v01_LowTiesShare*(AE1237-1))/AE1237)</x:f>
        <x:v>1</x:v>
      </x:c>
      <x:c r="AI1237" s="32" t="n">
        <x:f>(Z1237+v01_ElderCommons*INDEX(LM_Elder,G1237)*AA1237)*AH1237</x:f>
        <x:v>15596.972370403186</x:v>
      </x:c>
      <x:c r="AJ1237" s="32" t="n">
        <x:f>H1237*v01_CommonsCoef*AI1237^v01_CommonsExp*INDEX(LM_Commons,G1237)</x:f>
        <x:v>4292.815346804397</x:v>
      </x:c>
      <x:c r="AK1237" s="32" t="n">
        <x:f>H1237*v01_RoleScale*Arch_Roles*(AE1237*(INDEX(v01_ElderRolePerSett,G1237)*v01_OutElder*INDEX(LM_Elder,G1237)+INDEX(v01_ShamanPerSett,G1237)*v01_OutShaman)+Z1237*(INDEX(v01_PriestShare,G1237)*v01_OutPriest+INDEX(v01_ScribeShare,G1237)*v01_OutScribe*INDEX(LM_Scribe,G1237)+INDEX(v01_ScholarShare,G1237)*v01_OutScholar*INDEX(LM_Scholar,G1237)+INDEX(v01_ResearcherShare,G1237)*v01_OutResearcher*INDEX(LM_Researcher,G1237)))</x:f>
        <x:v>1192.4119591798185</x:v>
      </x:c>
      <x:c r="AL1237" s="32" t="n">
        <x:f>H1237*v01_RoleScale*Arch_Roles*AE1237*INDEX(v01_MonasteryPerSett,G1237)*v01_OutMonastery*INDEX(LM_Monastery,G1237)</x:f>
        <x:v>10.56</x:v>
      </x:c>
      <x:c r="AM1237" s="32" t="n">
        <x:f>(AJ1237+AK1237+AL1237)/4*INDEX(LM_All,G1237)*INDEX(v01_Boon,G1237)*Arch_Insight</x:f>
        <x:v>3307.378792997721</x:v>
      </x:c>
      <x:c r="AN1237" s="32" t="n">
        <x:f>H1237*(v01_KHPerAdult*Z1237+v01_KHOfCommons*AJ1237/4*INDEX(LM_All,G1237))*v01_KHUsable*Arch_KH</x:f>
        <x:v>221.62876054785656</x:v>
      </x:c>
      <x:c r="AO1237" s="32" t="n">
        <x:f>MIN(AP1236+AN1237,AM1237*v01_KHMaxRatio)</x:f>
        <x:v>221.62876054785656</x:v>
      </x:c>
      <x:c r="AP1237" s="32" t="n">
        <x:f>AP1236+AN1237-AO1237</x:f>
        <x:v>0</x:v>
      </x:c>
      <x:c r="AQ1237" s="32" t="n">
        <x:f>AM1237+AO1237</x:f>
        <x:v>3529.0075535455776</x:v>
      </x:c>
      <x:c r="AR1237" s="10" t="n">
        <x:f>IF(H1237=1,INDEX(v01_Req,G1237),0)</x:f>
        <x:v>240231.2486535</x:v>
      </x:c>
      <x:c r="AS1237" s="32" t="n">
        <x:f>IF(H1237=1,IF(E1237=1,AS1236-AR1236,AS1236)+AQ1237,0)</x:f>
        <x:v>93939.5690465192</x:v>
      </x:c>
      <x:c r="AT1237" s="11" t="n">
        <x:f>IF(AR1237&gt;0,MIN(1,AS1237/AR1237),1)</x:f>
        <x:v>0.39103809172641774</x:v>
      </x:c>
      <x:c r="AU1237" s="10" t="n">
        <x:f>AB1237/INDEX(v01_RepScale,G1237)</x:f>
        <x:v>150.88935791375548</x:v>
      </x:c>
      <x:c r="AV1237" s="32" t="n">
        <x:f>AM1237*60/v01_SeasonSeconds</x:f>
        <x:v>13229.515171990884</x:v>
      </x:c>
    </x:row>
    <x:row r="1238">
      <x:c r="A1238" s="8" t="n">
        <x:f>A1237+1</x:f>
        <x:v>1235</x:v>
      </x:c>
      <x:c r="B1238" s="9" t="n">
        <x:f>A1238*v01_SeasonSeconds/60</x:f>
        <x:v>308.75</x:v>
      </x:c>
      <x:c r="C1238" s="9" t="n">
        <x:f>A1238/4</x:f>
        <x:v>308.75</x:v>
      </x:c>
      <x:c r="D1238" s="8" t="n">
        <x:f>IF(MOD(A1238,4)=0,1,0)</x:f>
        <x:v>0</x:v>
      </x:c>
      <x:c r="E1238" s="8" t="n">
        <x:f>IF(AND(F1237&lt;=9,AS1237&gt;=AR1237),1,0)</x:f>
        <x:v>0</x:v>
      </x:c>
      <x:c r="F1238" s="8" t="n">
        <x:f>MIN(10,F1237+E1238)</x:f>
        <x:v>7</x:v>
      </x:c>
      <x:c r="G1238" s="8" t="n">
        <x:f>MIN(F1238,9)+1</x:f>
        <x:v>8</x:v>
      </x:c>
      <x:c r="H1238" s="8" t="n">
        <x:f>IF(F1238&lt;=9,1,0)</x:f>
        <x:v>1</x:v>
      </x:c>
      <x:c r="I1238" s="9" t="n">
        <x:f>MIN(10,F1237+IF(AR1237&gt;0,MIN(1,AS1237/AR1237),1))</x:f>
        <x:v>7.391038091726418</x:v>
      </x:c>
      <x:c r="J1238" s="32" t="n">
        <x:f>INDEX(v01_FoodCap,G1238)*Arch_FoodCap*EXP(v01_CapsByProject*SUMPRODUCT((Cap_Point&lt;=I1238)*(Cap_Kind="Food")*Cap_Ln))</x:f>
        <x:v>2500</x:v>
      </x:c>
      <x:c r="K1238" s="32" t="n">
        <x:f>J1238*MIN(1,v01_LeanBase*EXP(v01_CapsByProject*SUMPRODUCT((Cap_Point&lt;=I1238)*(Cap_Kind="Lean")*Cap_Ln)))</x:f>
        <x:v>2500</x:v>
      </x:c>
      <x:c r="L1238" s="10" t="n">
        <x:f>INDEX(v01_HousingCap,G1238)*EXP(v01_CapsByProject*SUMPRODUCT((Cap_Point&lt;=I1238)*(Cap_Kind="Housing")*Cap_Ln))</x:f>
        <x:v>4000</x:v>
      </x:c>
      <x:c r="M1238" s="10" t="n">
        <x:f>INDEX(v01_GroupCap,G1238)*v01_CohesionFactor*EXP(v01_CapsByProject*SUMPRODUCT((Cap_Point&lt;=I1238)*(Cap_Kind="Group")*Cap_Ln))</x:f>
        <x:v>1000000</x:v>
      </x:c>
      <x:c r="N1238" s="32" t="n">
        <x:f>MIN(J1238,L1238,M1238)</x:f>
        <x:v>2500</x:v>
      </x:c>
      <x:c r="O1238" s="10" t="n">
        <x:f>AE1237*N1238</x:f>
        <x:v>40000</x:v>
      </x:c>
      <x:c r="P1238" s="9" t="n">
        <x:f>MIN(1,(AB1237/(AE1237*IF(v01_GroupInCrowding=1,N1238,MIN(J1238,L1238))))^v01_CrowdingExp)</x:f>
        <x:v>0.0028813214665766437</x:v>
      </x:c>
      <x:c r="Q1238" s="9" t="n">
        <x:f>IF(D1238=1,INDEX(v01_WinterMult,G1238),1)</x:f>
        <x:v>1</x:v>
      </x:c>
      <x:c r="R1238" s="9" t="n">
        <x:f>H1238*Z1237*v01_WomenShare*v01_BaseFertility*INDEX(v01_FertMult,G1238)*Arch_Fertility*(1-P1238)</x:f>
        <x:v>189.4201515792679</x:v>
      </x:c>
      <x:c r="S1238" s="9" t="n">
        <x:f>H1238*Y1237*INDEX(v01_MortChild,G1238)/4*Q1238</x:f>
        <x:v>23.572848518494965</x:v>
      </x:c>
      <x:c r="T1238" s="9" t="n">
        <x:f>H1238*Z1237*INDEX(v01_MortAdult,G1238)*Arch_AdultMort/4*Q1238</x:f>
        <x:v>11.081438027392826</x:v>
      </x:c>
      <x:c r="U1238" s="9" t="n">
        <x:f>H1238*AA1237*INDEX(v01_MortElder,G1238)/4*Q1238</x:f>
        <x:v>30.882406896786183</x:v>
      </x:c>
      <x:c r="V1238" s="9" t="n">
        <x:f>H1238*MAX(0,AB1237-O1238)*v01_OvercapLoss</x:f>
        <x:v>0</x:v>
      </x:c>
      <x:c r="W1238" s="9" t="n">
        <x:f>H1238*Y1237/(v01_ChildYears*4)</x:f>
        <x:v>112.25165961188078</x:v>
      </x:c>
      <x:c r="X1238" s="9" t="n">
        <x:f>H1238*Z1237/(v01_AdultYears*4)</x:f>
        <x:v>51.066534688446204</x:v>
      </x:c>
      <x:c r="Y1238" s="32" t="n">
        <x:f>Y1237+R1238-S1238-W1238-Y1237*V1238/AB1237</x:f>
        <x:v>6339.688581714216</x:v>
      </x:c>
      <x:c r="Z1238" s="32" t="n">
        <x:f>Z1237+W1238-X1238-T1238-Z1237*V1238/AB1237</x:f>
        <x:v>6382.353988263371</x:v>
      </x:c>
      <x:c r="AA1238" s="32" t="n">
        <x:f>AA1237+X1238-U1238-AA1237*V1238/AB1237</x:f>
        <x:v>2490.7766795345547</x:v>
      </x:c>
      <x:c r="AB1238" s="10" t="n">
        <x:f>Y1238+Z1238+AA1238</x:f>
        <x:v>15212.819249512142</x:v>
      </x:c>
      <x:c r="AC1238" s="8" t="n">
        <x:f>IF(AND(v01_WinterTrigger=1,D1238=1,AB1237/AE1237&gt;=K1238),1,0)</x:f>
        <x:v>0</x:v>
      </x:c>
      <x:c r="AD1238" s="8" t="n">
        <x:f>H1238*IF(AND(OR(AB1237/AE1237&gt;=v01_FissionTrigger*N1238,AC1238=1),AB1237/AE1237*v01_DaughterShare&gt;=v01_MinDaughter),MAX(1,ROUND(AE1237*v01_FissionRate,0)),0)</x:f>
        <x:v>0</x:v>
      </x:c>
      <x:c r="AE1238" s="8" t="n">
        <x:f>IF(H1238=1,MAX(1,MIN(INDEX(v01_Smax,G1238),AE1237+AD1238)),AE1237)</x:f>
        <x:v>16</x:v>
      </x:c>
      <x:c r="AF1238" s="8" t="n">
        <x:f>MAX(0,AE1238-AE1237)</x:f>
        <x:v>0</x:v>
      </x:c>
      <x:c r="AG1238" s="9" t="str">
        <x:f>IF(AF1238&gt;0,B1238,"")</x:f>
      </x:c>
      <x:c r="AH1238" s="9" t="n">
        <x:f>IF(F1238&gt;=1,1,(1+v01_LowTiesShare*(AE1238-1))/AE1238)</x:f>
        <x:v>1</x:v>
      </x:c>
      <x:c r="AI1238" s="32" t="n">
        <x:f>(Z1238+v01_ElderCommons*INDEX(LM_Elder,G1238)*AA1238)*AH1238</x:f>
        <x:v>15722.766536517953</x:v>
      </x:c>
      <x:c r="AJ1238" s="32" t="n">
        <x:f>H1238*v01_CommonsCoef*AI1238^v01_CommonsExp*INDEX(LM_Commons,G1238)</x:f>
        <x:v>4322.226994665947</x:v>
      </x:c>
      <x:c r="AK1238" s="32" t="n">
        <x:f>H1238*v01_RoleScale*Arch_Roles*(AE1238*(INDEX(v01_ElderRolePerSett,G1238)*v01_OutElder*INDEX(LM_Elder,G1238)+INDEX(v01_ShamanPerSett,G1238)*v01_OutShaman)+Z1238*(INDEX(v01_PriestShare,G1238)*v01_OutPriest+INDEX(v01_ScribeShare,G1238)*v01_OutScribe*INDEX(LM_Scribe,G1238)+INDEX(v01_ScholarShare,G1238)*v01_OutScholar*INDEX(LM_Scholar,G1238)+INDEX(v01_ResearcherShare,G1238)*v01_OutResearcher*INDEX(LM_Researcher,G1238)))</x:f>
        <x:v>1201.419600009989</x:v>
      </x:c>
      <x:c r="AL1238" s="32" t="n">
        <x:f>H1238*v01_RoleScale*Arch_Roles*AE1238*INDEX(v01_MonasteryPerSett,G1238)*v01_OutMonastery*INDEX(LM_Monastery,G1238)</x:f>
        <x:v>10.56</x:v>
      </x:c>
      <x:c r="AM1238" s="32" t="n">
        <x:f>(AJ1238+AK1238+AL1238)/4*INDEX(LM_All,G1238)*INDEX(v01_Boon,G1238)*Arch_Insight</x:f>
        <x:v>3330.499618747781</x:v>
      </x:c>
      <x:c r="AN1238" s="32" t="n">
        <x:f>H1238*(v01_KHPerAdult*Z1238+v01_KHOfCommons*AJ1238/4*INDEX(LM_All,G1238))*v01_KHUsable*Arch_KH</x:f>
        <x:v>223.38238958921798</x:v>
      </x:c>
      <x:c r="AO1238" s="32" t="n">
        <x:f>MIN(AP1237+AN1238,AM1238*v01_KHMaxRatio)</x:f>
        <x:v>223.38238958921798</x:v>
      </x:c>
      <x:c r="AP1238" s="32" t="n">
        <x:f>AP1237+AN1238-AO1238</x:f>
        <x:v>0</x:v>
      </x:c>
      <x:c r="AQ1238" s="32" t="n">
        <x:f>AM1238+AO1238</x:f>
        <x:v>3553.8820083369988</x:v>
      </x:c>
      <x:c r="AR1238" s="10" t="n">
        <x:f>IF(H1238=1,INDEX(v01_Req,G1238),0)</x:f>
        <x:v>240231.2486535</x:v>
      </x:c>
      <x:c r="AS1238" s="32" t="n">
        <x:f>IF(H1238=1,IF(E1238=1,AS1237-AR1237,AS1237)+AQ1238,0)</x:f>
        <x:v>97493.4510548562</x:v>
      </x:c>
      <x:c r="AT1238" s="11" t="n">
        <x:f>IF(AR1238&gt;0,MIN(1,AS1238/AR1238),1)</x:f>
        <x:v>0.40583167927281966</x:v>
      </x:c>
      <x:c r="AU1238" s="10" t="n">
        <x:f>AB1238/INDEX(v01_RepScale,G1238)</x:f>
        <x:v>152.12819249512143</x:v>
      </x:c>
      <x:c r="AV1238" s="32" t="n">
        <x:f>AM1238*60/v01_SeasonSeconds</x:f>
        <x:v>13321.998474991124</x:v>
      </x:c>
    </x:row>
    <x:row r="1239">
      <x:c r="A1239" s="8" t="n">
        <x:f>A1238+1</x:f>
        <x:v>1236</x:v>
      </x:c>
      <x:c r="B1239" s="9" t="n">
        <x:f>A1239*v01_SeasonSeconds/60</x:f>
        <x:v>309</x:v>
      </x:c>
      <x:c r="C1239" s="9" t="n">
        <x:f>A1239/4</x:f>
        <x:v>309</x:v>
      </x:c>
      <x:c r="D1239" s="8" t="n">
        <x:f>IF(MOD(A1239,4)=0,1,0)</x:f>
        <x:v>1</x:v>
      </x:c>
      <x:c r="E1239" s="8" t="n">
        <x:f>IF(AND(F1238&lt;=9,AS1238&gt;=AR1238),1,0)</x:f>
        <x:v>0</x:v>
      </x:c>
      <x:c r="F1239" s="8" t="n">
        <x:f>MIN(10,F1238+E1239)</x:f>
        <x:v>7</x:v>
      </x:c>
      <x:c r="G1239" s="8" t="n">
        <x:f>MIN(F1239,9)+1</x:f>
        <x:v>8</x:v>
      </x:c>
      <x:c r="H1239" s="8" t="n">
        <x:f>IF(F1239&lt;=9,1,0)</x:f>
        <x:v>1</x:v>
      </x:c>
      <x:c r="I1239" s="9" t="n">
        <x:f>MIN(10,F1238+IF(AR1238&gt;0,MIN(1,AS1238/AR1238),1))</x:f>
        <x:v>7.405831679272819</x:v>
      </x:c>
      <x:c r="J1239" s="32" t="n">
        <x:f>INDEX(v01_FoodCap,G1239)*Arch_FoodCap*EXP(v01_CapsByProject*SUMPRODUCT((Cap_Point&lt;=I1239)*(Cap_Kind="Food")*Cap_Ln))</x:f>
        <x:v>2500</x:v>
      </x:c>
      <x:c r="K1239" s="32" t="n">
        <x:f>J1239*MIN(1,v01_LeanBase*EXP(v01_CapsByProject*SUMPRODUCT((Cap_Point&lt;=I1239)*(Cap_Kind="Lean")*Cap_Ln)))</x:f>
        <x:v>2500</x:v>
      </x:c>
      <x:c r="L1239" s="10" t="n">
        <x:f>INDEX(v01_HousingCap,G1239)*EXP(v01_CapsByProject*SUMPRODUCT((Cap_Point&lt;=I1239)*(Cap_Kind="Housing")*Cap_Ln))</x:f>
        <x:v>4000</x:v>
      </x:c>
      <x:c r="M1239" s="10" t="n">
        <x:f>INDEX(v01_GroupCap,G1239)*v01_CohesionFactor*EXP(v01_CapsByProject*SUMPRODUCT((Cap_Point&lt;=I1239)*(Cap_Kind="Group")*Cap_Ln))</x:f>
        <x:v>1000000</x:v>
      </x:c>
      <x:c r="N1239" s="32" t="n">
        <x:f>MIN(J1239,L1239,M1239)</x:f>
        <x:v>2500</x:v>
      </x:c>
      <x:c r="O1239" s="10" t="n">
        <x:f>AE1238*N1239</x:f>
        <x:v>40000</x:v>
      </x:c>
      <x:c r="P1239" s="9" t="n">
        <x:f>MIN(1,(AB1238/(AE1238*IF(v01_GroupInCrowding=1,N1239,MIN(J1239,L1239))))^v01_CrowdingExp)</x:f>
        <x:v>0.0030262045750694194</x:v>
      </x:c>
      <x:c r="Q1239" s="9" t="n">
        <x:f>IF(D1239=1,INDEX(v01_WinterMult,G1239),1)</x:f>
        <x:v>1</x:v>
      </x:c>
      <x:c r="R1239" s="9" t="n">
        <x:f>H1239*Z1238*v01_WomenShare*v01_BaseFertility*INDEX(v01_FertMult,G1239)*Arch_Fertility*(1-P1239)</x:f>
        <x:v>190.89119038273128</x:v>
      </x:c>
      <x:c r="S1239" s="9" t="n">
        <x:f>H1239*Y1238*INDEX(v01_MortChild,G1239)/4*Q1239</x:f>
        <x:v>23.773832181428308</x:v>
      </x:c>
      <x:c r="T1239" s="9" t="n">
        <x:f>H1239*Z1238*INDEX(v01_MortAdult,G1239)*Arch_AdultMort/4*Q1239</x:f>
        <x:v>11.1691194794609</x:v>
      </x:c>
      <x:c r="U1239" s="9" t="n">
        <x:f>H1239*AA1238*INDEX(v01_MortElder,G1239)/4*Q1239</x:f>
        <x:v>31.134708494181936</x:v>
      </x:c>
      <x:c r="V1239" s="9" t="n">
        <x:f>H1239*MAX(0,AB1238-O1239)*v01_OvercapLoss</x:f>
        <x:v>0</x:v>
      </x:c>
      <x:c r="W1239" s="9" t="n">
        <x:f>H1239*Y1238/(v01_ChildYears*4)</x:f>
        <x:v>113.20872467346814</x:v>
      </x:c>
      <x:c r="X1239" s="9" t="n">
        <x:f>H1239*Z1238/(v01_AdultYears*4)</x:f>
        <x:v>51.47059667954332</x:v>
      </x:c>
      <x:c r="Y1239" s="32" t="n">
        <x:f>Y1238+R1239-S1239-W1239-Y1238*V1239/AB1238</x:f>
        <x:v>6393.59721524205</x:v>
      </x:c>
      <x:c r="Z1239" s="32" t="n">
        <x:f>Z1238+W1239-X1239-T1239-Z1238*V1239/AB1238</x:f>
        <x:v>6432.922996777835</x:v>
      </x:c>
      <x:c r="AA1239" s="32" t="n">
        <x:f>AA1238+X1239-U1239-AA1238*V1239/AB1238</x:f>
        <x:v>2511.112567719916</x:v>
      </x:c>
      <x:c r="AB1239" s="10" t="n">
        <x:f>Y1239+Z1239+AA1239</x:f>
        <x:v>15337.6327797398</x:v>
      </x:c>
      <x:c r="AC1239" s="8" t="n">
        <x:f>IF(AND(v01_WinterTrigger=1,D1239=1,AB1238/AE1238&gt;=K1239),1,0)</x:f>
        <x:v>0</x:v>
      </x:c>
      <x:c r="AD1239" s="8" t="n">
        <x:f>H1239*IF(AND(OR(AB1238/AE1238&gt;=v01_FissionTrigger*N1239,AC1239=1),AB1238/AE1238*v01_DaughterShare&gt;=v01_MinDaughter),MAX(1,ROUND(AE1238*v01_FissionRate,0)),0)</x:f>
        <x:v>0</x:v>
      </x:c>
      <x:c r="AE1239" s="8" t="n">
        <x:f>IF(H1239=1,MAX(1,MIN(INDEX(v01_Smax,G1239),AE1238+AD1239)),AE1238)</x:f>
        <x:v>16</x:v>
      </x:c>
      <x:c r="AF1239" s="8" t="n">
        <x:f>MAX(0,AE1239-AE1238)</x:f>
        <x:v>0</x:v>
      </x:c>
      <x:c r="AG1239" s="9" t="str">
        <x:f>IF(AF1239&gt;0,B1239,"")</x:f>
      </x:c>
      <x:c r="AH1239" s="9" t="n">
        <x:f>IF(F1239&gt;=1,1,(1+v01_LowTiesShare*(AE1239-1))/AE1239)</x:f>
        <x:v>1</x:v>
      </x:c>
      <x:c r="AI1239" s="32" t="n">
        <x:f>(Z1239+v01_ElderCommons*INDEX(LM_Elder,G1239)*AA1239)*AH1239</x:f>
        <x:v>15849.59512572752</x:v>
      </x:c>
      <x:c r="AJ1239" s="32" t="n">
        <x:f>H1239*v01_CommonsCoef*AI1239^v01_CommonsExp*INDEX(LM_Commons,G1239)</x:f>
        <x:v>4351.844786629663</x:v>
      </x:c>
      <x:c r="AK1239" s="32" t="n">
        <x:f>H1239*v01_RoleScale*Arch_Roles*(AE1239*(INDEX(v01_ElderRolePerSett,G1239)*v01_OutElder*INDEX(LM_Elder,G1239)+INDEX(v01_ShamanPerSett,G1239)*v01_OutShaman)+Z1239*(INDEX(v01_PriestShare,G1239)*v01_OutPriest+INDEX(v01_ScribeShare,G1239)*v01_OutScribe*INDEX(LM_Scribe,G1239)+INDEX(v01_ScholarShare,G1239)*v01_OutScholar*INDEX(LM_Scholar,G1239)+INDEX(v01_ResearcherShare,G1239)*v01_OutResearcher*INDEX(LM_Researcher,G1239)))</x:f>
        <x:v>1210.510896360719</x:v>
      </x:c>
      <x:c r="AL1239" s="32" t="n">
        <x:f>H1239*v01_RoleScale*Arch_Roles*AE1239*INDEX(v01_MonasteryPerSett,G1239)*v01_OutMonastery*INDEX(LM_Monastery,G1239)</x:f>
        <x:v>10.56</x:v>
      </x:c>
      <x:c r="AM1239" s="32" t="n">
        <x:f>(AJ1239+AK1239+AL1239)/4*INDEX(LM_All,G1239)*INDEX(v01_Boon,G1239)*Arch_Insight</x:f>
        <x:v>3353.794846648626</x:v>
      </x:c>
      <x:c r="AN1239" s="32" t="n">
        <x:f>H1239*(v01_KHPerAdult*Z1239+v01_KHOfCommons*AJ1239/4*INDEX(LM_All,G1239))*v01_KHUsable*Arch_KH</x:f>
        <x:v>225.1523048872242</x:v>
      </x:c>
      <x:c r="AO1239" s="32" t="n">
        <x:f>MIN(AP1238+AN1239,AM1239*v01_KHMaxRatio)</x:f>
        <x:v>225.1523048872242</x:v>
      </x:c>
      <x:c r="AP1239" s="32" t="n">
        <x:f>AP1238+AN1239-AO1239</x:f>
        <x:v>0</x:v>
      </x:c>
      <x:c r="AQ1239" s="32" t="n">
        <x:f>AM1239+AO1239</x:f>
        <x:v>3578.94715153585</x:v>
      </x:c>
      <x:c r="AR1239" s="10" t="n">
        <x:f>IF(H1239=1,INDEX(v01_Req,G1239),0)</x:f>
        <x:v>240231.2486535</x:v>
      </x:c>
      <x:c r="AS1239" s="32" t="n">
        <x:f>IF(H1239=1,IF(E1239=1,AS1238-AR1238,AS1238)+AQ1239,0)</x:f>
        <x:v>101072.39820639204</x:v>
      </x:c>
      <x:c r="AT1239" s="11" t="n">
        <x:f>IF(AR1239&gt;0,MIN(1,AS1239/AR1239),1)</x:f>
        <x:v>0.4207296043828788</x:v>
      </x:c>
      <x:c r="AU1239" s="10" t="n">
        <x:f>AB1239/INDEX(v01_RepScale,G1239)</x:f>
        <x:v>153.376327797398</x:v>
      </x:c>
      <x:c r="AV1239" s="32" t="n">
        <x:f>AM1239*60/v01_SeasonSeconds</x:f>
        <x:v>13415.179386594504</x:v>
      </x:c>
    </x:row>
    <x:row r="1240">
      <x:c r="A1240" s="8" t="n">
        <x:f>A1239+1</x:f>
        <x:v>1237</x:v>
      </x:c>
      <x:c r="B1240" s="9" t="n">
        <x:f>A1240*v01_SeasonSeconds/60</x:f>
        <x:v>309.25</x:v>
      </x:c>
      <x:c r="C1240" s="9" t="n">
        <x:f>A1240/4</x:f>
        <x:v>309.25</x:v>
      </x:c>
      <x:c r="D1240" s="8" t="n">
        <x:f>IF(MOD(A1240,4)=0,1,0)</x:f>
        <x:v>0</x:v>
      </x:c>
      <x:c r="E1240" s="8" t="n">
        <x:f>IF(AND(F1239&lt;=9,AS1239&gt;=AR1239),1,0)</x:f>
        <x:v>0</x:v>
      </x:c>
      <x:c r="F1240" s="8" t="n">
        <x:f>MIN(10,F1239+E1240)</x:f>
        <x:v>7</x:v>
      </x:c>
      <x:c r="G1240" s="8" t="n">
        <x:f>MIN(F1240,9)+1</x:f>
        <x:v>8</x:v>
      </x:c>
      <x:c r="H1240" s="8" t="n">
        <x:f>IF(F1240&lt;=9,1,0)</x:f>
        <x:v>1</x:v>
      </x:c>
      <x:c r="I1240" s="9" t="n">
        <x:f>MIN(10,F1239+IF(AR1239&gt;0,MIN(1,AS1239/AR1239),1))</x:f>
        <x:v>7.4207296043828785</x:v>
      </x:c>
      <x:c r="J1240" s="32" t="n">
        <x:f>INDEX(v01_FoodCap,G1240)*Arch_FoodCap*EXP(v01_CapsByProject*SUMPRODUCT((Cap_Point&lt;=I1240)*(Cap_Kind="Food")*Cap_Ln))</x:f>
        <x:v>2500</x:v>
      </x:c>
      <x:c r="K1240" s="32" t="n">
        <x:f>J1240*MIN(1,v01_LeanBase*EXP(v01_CapsByProject*SUMPRODUCT((Cap_Point&lt;=I1240)*(Cap_Kind="Lean")*Cap_Ln)))</x:f>
        <x:v>2500</x:v>
      </x:c>
      <x:c r="L1240" s="10" t="n">
        <x:f>INDEX(v01_HousingCap,G1240)*EXP(v01_CapsByProject*SUMPRODUCT((Cap_Point&lt;=I1240)*(Cap_Kind="Housing")*Cap_Ln))</x:f>
        <x:v>4000</x:v>
      </x:c>
      <x:c r="M1240" s="10" t="n">
        <x:f>INDEX(v01_GroupCap,G1240)*v01_CohesionFactor*EXP(v01_CapsByProject*SUMPRODUCT((Cap_Point&lt;=I1240)*(Cap_Kind="Group")*Cap_Ln))</x:f>
        <x:v>1000000</x:v>
      </x:c>
      <x:c r="N1240" s="32" t="n">
        <x:f>MIN(J1240,L1240,M1240)</x:f>
        <x:v>2500</x:v>
      </x:c>
      <x:c r="O1240" s="10" t="n">
        <x:f>AE1239*N1240</x:f>
        <x:v>40000</x:v>
      </x:c>
      <x:c r="P1240" s="9" t="n">
        <x:f>MIN(1,(AB1239/(AE1239*IF(v01_GroupInCrowding=1,N1240,MIN(J1240,L1240))))^v01_CrowdingExp)</x:f>
        <x:v>0.0031782647045962066</x:v>
      </x:c>
      <x:c r="Q1240" s="9" t="n">
        <x:f>IF(D1240=1,INDEX(v01_WinterMult,G1240),1)</x:f>
        <x:v>1</x:v>
      </x:c>
      <x:c r="R1240" s="9" t="n">
        <x:f>H1240*Z1239*v01_WomenShare*v01_BaseFertility*INDEX(v01_FertMult,G1240)*Arch_Fertility*(1-P1240)</x:f>
        <x:v>192.3743239400937</x:v>
      </x:c>
      <x:c r="S1240" s="9" t="n">
        <x:f>H1240*Y1239*INDEX(v01_MortChild,G1240)/4*Q1240</x:f>
        <x:v>23.975989557157686</x:v>
      </x:c>
      <x:c r="T1240" s="9" t="n">
        <x:f>H1240*Z1239*INDEX(v01_MortAdult,G1240)*Arch_AdultMort/4*Q1240</x:f>
        <x:v>11.257615244361212</x:v>
      </x:c>
      <x:c r="U1240" s="9" t="n">
        <x:f>H1240*AA1239*INDEX(v01_MortElder,G1240)/4*Q1240</x:f>
        <x:v>31.388907096498954</x:v>
      </x:c>
      <x:c r="V1240" s="9" t="n">
        <x:f>H1240*MAX(0,AB1239-O1240)*v01_OvercapLoss</x:f>
        <x:v>0</x:v>
      </x:c>
      <x:c r="W1240" s="9" t="n">
        <x:f>H1240*Y1239/(v01_ChildYears*4)</x:f>
        <x:v>114.17137884360804</x:v>
      </x:c>
      <x:c r="X1240" s="9" t="n">
        <x:f>H1240*Z1239/(v01_AdultYears*4)</x:f>
        <x:v>51.87841126433737</x:v>
      </x:c>
      <x:c r="Y1240" s="32" t="n">
        <x:f>Y1239+R1240-S1240-W1240-Y1239*V1240/AB1239</x:f>
        <x:v>6447.824170781378</x:v>
      </x:c>
      <x:c r="Z1240" s="32" t="n">
        <x:f>Z1239+W1240-X1240-T1240-Z1239*V1240/AB1239</x:f>
        <x:v>6483.958349112744</x:v>
      </x:c>
      <x:c r="AA1240" s="32" t="n">
        <x:f>AA1239+X1240-U1240-AA1239*V1240/AB1239</x:f>
        <x:v>2531.602071887755</x:v>
      </x:c>
      <x:c r="AB1240" s="10" t="n">
        <x:f>Y1240+Z1240+AA1240</x:f>
        <x:v>15463.384591781876</x:v>
      </x:c>
      <x:c r="AC1240" s="8" t="n">
        <x:f>IF(AND(v01_WinterTrigger=1,D1240=1,AB1239/AE1239&gt;=K1240),1,0)</x:f>
        <x:v>0</x:v>
      </x:c>
      <x:c r="AD1240" s="8" t="n">
        <x:f>H1240*IF(AND(OR(AB1239/AE1239&gt;=v01_FissionTrigger*N1240,AC1240=1),AB1239/AE1239*v01_DaughterShare&gt;=v01_MinDaughter),MAX(1,ROUND(AE1239*v01_FissionRate,0)),0)</x:f>
        <x:v>0</x:v>
      </x:c>
      <x:c r="AE1240" s="8" t="n">
        <x:f>IF(H1240=1,MAX(1,MIN(INDEX(v01_Smax,G1240),AE1239+AD1240)),AE1239)</x:f>
        <x:v>16</x:v>
      </x:c>
      <x:c r="AF1240" s="8" t="n">
        <x:f>MAX(0,AE1240-AE1239)</x:f>
        <x:v>0</x:v>
      </x:c>
      <x:c r="AG1240" s="9" t="str">
        <x:f>IF(AF1240&gt;0,B1240,"")</x:f>
      </x:c>
      <x:c r="AH1240" s="9" t="n">
        <x:f>IF(F1240&gt;=1,1,(1+v01_LowTiesShare*(AE1240-1))/AE1240)</x:f>
        <x:v>1</x:v>
      </x:c>
      <x:c r="AI1240" s="32" t="n">
        <x:f>(Z1240+v01_ElderCommons*INDEX(LM_Elder,G1240)*AA1240)*AH1240</x:f>
        <x:v>15977.466118691824</x:v>
      </x:c>
      <x:c r="AJ1240" s="32" t="n">
        <x:f>H1240*v01_CommonsCoef*AI1240^v01_CommonsExp*INDEX(LM_Commons,G1240)</x:f>
        <x:v>4381.670039454639</x:v>
      </x:c>
      <x:c r="AK1240" s="32" t="n">
        <x:f>H1240*v01_RoleScale*Arch_Roles*(AE1240*(INDEX(v01_ElderRolePerSett,G1240)*v01_OutElder*INDEX(LM_Elder,G1240)+INDEX(v01_ShamanPerSett,G1240)*v01_OutShaman)+Z1240*(INDEX(v01_PriestShare,G1240)*v01_OutPriest+INDEX(v01_ScribeShare,G1240)*v01_OutScribe*INDEX(LM_Scribe,G1240)+INDEX(v01_ScholarShare,G1240)*v01_OutScholar*INDEX(LM_Scholar,G1240)+INDEX(v01_ResearcherShare,G1240)*v01_OutResearcher*INDEX(LM_Researcher,G1240)))</x:f>
        <x:v>1219.6860320034891</x:v>
      </x:c>
      <x:c r="AL1240" s="32" t="n">
        <x:f>H1240*v01_RoleScale*Arch_Roles*AE1240*INDEX(v01_MonasteryPerSett,G1240)*v01_OutMonastery*INDEX(LM_Monastery,G1240)</x:f>
        <x:v>10.56</x:v>
      </x:c>
      <x:c r="AM1240" s="32" t="n">
        <x:f>(AJ1240+AK1240+AL1240)/4*INDEX(LM_All,G1240)*INDEX(v01_Boon,G1240)*Arch_Insight</x:f>
        <x:v>3377.265379723377</x:v>
      </x:c>
      <x:c r="AN1240" s="32" t="n">
        <x:f>H1240*(v01_KHPerAdult*Z1240+v01_KHOfCommons*AJ1240/4*INDEX(LM_All,G1240))*v01_KHUsable*Arch_KH</x:f>
        <x:v>226.93854221894605</x:v>
      </x:c>
      <x:c r="AO1240" s="32" t="n">
        <x:f>MIN(AP1239+AN1240,AM1240*v01_KHMaxRatio)</x:f>
        <x:v>226.93854221894605</x:v>
      </x:c>
      <x:c r="AP1240" s="32" t="n">
        <x:f>AP1239+AN1240-AO1240</x:f>
        <x:v>0</x:v>
      </x:c>
      <x:c r="AQ1240" s="32" t="n">
        <x:f>AM1240+AO1240</x:f>
        <x:v>3604.203921942323</x:v>
      </x:c>
      <x:c r="AR1240" s="10" t="n">
        <x:f>IF(H1240=1,INDEX(v01_Req,G1240),0)</x:f>
        <x:v>240231.2486535</x:v>
      </x:c>
      <x:c r="AS1240" s="32" t="n">
        <x:f>IF(H1240=1,IF(E1240=1,AS1239-AR1239,AS1239)+AQ1240,0)</x:f>
        <x:v>104676.60212833436</x:v>
      </x:c>
      <x:c r="AT1240" s="11" t="n">
        <x:f>IF(AR1240&gt;0,MIN(1,AS1240/AR1240),1)</x:f>
        <x:v>0.43573266473470207</x:v>
      </x:c>
      <x:c r="AU1240" s="10" t="n">
        <x:f>AB1240/INDEX(v01_RepScale,G1240)</x:f>
        <x:v>154.63384591781877</x:v>
      </x:c>
      <x:c r="AV1240" s="32" t="n">
        <x:f>AM1240*60/v01_SeasonSeconds</x:f>
        <x:v>13509.061518893508</x:v>
      </x:c>
    </x:row>
    <x:row r="1241">
      <x:c r="A1241" s="8" t="n">
        <x:f>A1240+1</x:f>
        <x:v>1238</x:v>
      </x:c>
      <x:c r="B1241" s="9" t="n">
        <x:f>A1241*v01_SeasonSeconds/60</x:f>
        <x:v>309.5</x:v>
      </x:c>
      <x:c r="C1241" s="9" t="n">
        <x:f>A1241/4</x:f>
        <x:v>309.5</x:v>
      </x:c>
      <x:c r="D1241" s="8" t="n">
        <x:f>IF(MOD(A1241,4)=0,1,0)</x:f>
        <x:v>0</x:v>
      </x:c>
      <x:c r="E1241" s="8" t="n">
        <x:f>IF(AND(F1240&lt;=9,AS1240&gt;=AR1240),1,0)</x:f>
        <x:v>0</x:v>
      </x:c>
      <x:c r="F1241" s="8" t="n">
        <x:f>MIN(10,F1240+E1241)</x:f>
        <x:v>7</x:v>
      </x:c>
      <x:c r="G1241" s="8" t="n">
        <x:f>MIN(F1241,9)+1</x:f>
        <x:v>8</x:v>
      </x:c>
      <x:c r="H1241" s="8" t="n">
        <x:f>IF(F1241&lt;=9,1,0)</x:f>
        <x:v>1</x:v>
      </x:c>
      <x:c r="I1241" s="9" t="n">
        <x:f>MIN(10,F1240+IF(AR1240&gt;0,MIN(1,AS1240/AR1240),1))</x:f>
        <x:v>7.435732664734702</x:v>
      </x:c>
      <x:c r="J1241" s="32" t="n">
        <x:f>INDEX(v01_FoodCap,G1241)*Arch_FoodCap*EXP(v01_CapsByProject*SUMPRODUCT((Cap_Point&lt;=I1241)*(Cap_Kind="Food")*Cap_Ln))</x:f>
        <x:v>2500</x:v>
      </x:c>
      <x:c r="K1241" s="32" t="n">
        <x:f>J1241*MIN(1,v01_LeanBase*EXP(v01_CapsByProject*SUMPRODUCT((Cap_Point&lt;=I1241)*(Cap_Kind="Lean")*Cap_Ln)))</x:f>
        <x:v>2500</x:v>
      </x:c>
      <x:c r="L1241" s="10" t="n">
        <x:f>INDEX(v01_HousingCap,G1241)*EXP(v01_CapsByProject*SUMPRODUCT((Cap_Point&lt;=I1241)*(Cap_Kind="Housing")*Cap_Ln))</x:f>
        <x:v>4000</x:v>
      </x:c>
      <x:c r="M1241" s="10" t="n">
        <x:f>INDEX(v01_GroupCap,G1241)*v01_CohesionFactor*EXP(v01_CapsByProject*SUMPRODUCT((Cap_Point&lt;=I1241)*(Cap_Kind="Group")*Cap_Ln))</x:f>
        <x:v>1000000</x:v>
      </x:c>
      <x:c r="N1241" s="32" t="n">
        <x:f>MIN(J1241,L1241,M1241)</x:f>
        <x:v>2500</x:v>
      </x:c>
      <x:c r="O1241" s="10" t="n">
        <x:f>AE1240*N1241</x:f>
        <x:v>40000</x:v>
      </x:c>
      <x:c r="P1241" s="9" t="n">
        <x:f>MIN(1,(AB1240/(AE1240*IF(v01_GroupInCrowding=1,N1241,MIN(J1241,L1241))))^v01_CrowdingExp)</x:f>
        <x:v>0.003337854461795007</x:v>
      </x:c>
      <x:c r="Q1241" s="9" t="n">
        <x:f>IF(D1241=1,INDEX(v01_WinterMult,G1241),1)</x:f>
        <x:v>1</x:v>
      </x:c>
      <x:c r="R1241" s="9" t="n">
        <x:f>H1241*Z1240*v01_WomenShare*v01_BaseFertility*INDEX(v01_FertMult,G1241)*Arch_Fertility*(1-P1241)</x:f>
        <x:v>193.86947519421193</x:v>
      </x:c>
      <x:c r="S1241" s="9" t="n">
        <x:f>H1241*Y1240*INDEX(v01_MortChild,G1241)/4*Q1241</x:f>
        <x:v>24.179340640430166</x:v>
      </x:c>
      <x:c r="T1241" s="9" t="n">
        <x:f>H1241*Z1240*INDEX(v01_MortAdult,G1241)*Arch_AdultMort/4*Q1241</x:f>
        <x:v>11.346927110947302</x:v>
      </x:c>
      <x:c r="U1241" s="9" t="n">
        <x:f>H1241*AA1240*INDEX(v01_MortElder,G1241)/4*Q1241</x:f>
        <x:v>31.645025898596938</x:v>
      </x:c>
      <x:c r="V1241" s="9" t="n">
        <x:f>H1241*MAX(0,AB1240-O1241)*v01_OvercapLoss</x:f>
        <x:v>0</x:v>
      </x:c>
      <x:c r="W1241" s="9" t="n">
        <x:f>H1241*Y1240/(v01_ChildYears*4)</x:f>
        <x:v>115.13971733538175</x:v>
      </x:c>
      <x:c r="X1241" s="9" t="n">
        <x:f>H1241*Z1240/(v01_AdultYears*4)</x:f>
        <x:v>52.2899866863931</x:v>
      </x:c>
      <x:c r="Y1241" s="32" t="n">
        <x:f>Y1240+R1241-S1241-W1241-Y1240*V1241/AB1240</x:f>
        <x:v>6502.374587999778</x:v>
      </x:c>
      <x:c r="Z1241" s="32" t="n">
        <x:f>Z1240+W1241-X1241-T1241-Z1240*V1241/AB1240</x:f>
        <x:v>6535.461152650786</x:v>
      </x:c>
      <x:c r="AA1241" s="32" t="n">
        <x:f>AA1240+X1241-U1241-AA1240*V1241/AB1240</x:f>
        <x:v>2552.247032675551</x:v>
      </x:c>
      <x:c r="AB1241" s="10" t="n">
        <x:f>Y1241+Z1241+AA1241</x:f>
        <x:v>15590.082773326114</x:v>
      </x:c>
      <x:c r="AC1241" s="8" t="n">
        <x:f>IF(AND(v01_WinterTrigger=1,D1241=1,AB1240/AE1240&gt;=K1241),1,0)</x:f>
        <x:v>0</x:v>
      </x:c>
      <x:c r="AD1241" s="8" t="n">
        <x:f>H1241*IF(AND(OR(AB1240/AE1240&gt;=v01_FissionTrigger*N1241,AC1241=1),AB1240/AE1240*v01_DaughterShare&gt;=v01_MinDaughter),MAX(1,ROUND(AE1240*v01_FissionRate,0)),0)</x:f>
        <x:v>0</x:v>
      </x:c>
      <x:c r="AE1241" s="8" t="n">
        <x:f>IF(H1241=1,MAX(1,MIN(INDEX(v01_Smax,G1241),AE1240+AD1241)),AE1240)</x:f>
        <x:v>16</x:v>
      </x:c>
      <x:c r="AF1241" s="8" t="n">
        <x:f>MAX(0,AE1241-AE1240)</x:f>
        <x:v>0</x:v>
      </x:c>
      <x:c r="AG1241" s="9" t="str">
        <x:f>IF(AF1241&gt;0,B1241,"")</x:f>
      </x:c>
      <x:c r="AH1241" s="9" t="n">
        <x:f>IF(F1241&gt;=1,1,(1+v01_LowTiesShare*(AE1241-1))/AE1241)</x:f>
        <x:v>1</x:v>
      </x:c>
      <x:c r="AI1241" s="32" t="n">
        <x:f>(Z1241+v01_ElderCommons*INDEX(LM_Elder,G1241)*AA1241)*AH1241</x:f>
        <x:v>16106.387525184102</x:v>
      </x:c>
      <x:c r="AJ1241" s="32" t="n">
        <x:f>H1241*v01_CommonsCoef*AI1241^v01_CommonsExp*INDEX(LM_Commons,G1241)</x:f>
        <x:v>4411.7040710367</x:v>
      </x:c>
      <x:c r="AK1241" s="32" t="n">
        <x:f>H1241*v01_RoleScale*Arch_Roles*(AE1241*(INDEX(v01_ElderRolePerSett,G1241)*v01_OutElder*INDEX(LM_Elder,G1241)+INDEX(v01_ShamanPerSett,G1241)*v01_OutShaman)+Z1241*(INDEX(v01_PriestShare,G1241)*v01_OutPriest+INDEX(v01_ScribeShare,G1241)*v01_OutScribe*INDEX(LM_Scribe,G1241)+INDEX(v01_ScholarShare,G1241)*v01_OutScholar*INDEX(LM_Scholar,G1241)+INDEX(v01_ResearcherShare,G1241)*v01_OutResearcher*INDEX(LM_Researcher,G1241)))</x:f>
        <x:v>1228.9452060235583</x:v>
      </x:c>
      <x:c r="AL1241" s="32" t="n">
        <x:f>H1241*v01_RoleScale*Arch_Roles*AE1241*INDEX(v01_MonasteryPerSett,G1241)*v01_OutMonastery*INDEX(LM_Monastery,G1241)</x:f>
        <x:v>10.56</x:v>
      </x:c>
      <x:c r="AM1241" s="32" t="n">
        <x:f>(AJ1241+AK1241+AL1241)/4*INDEX(LM_All,G1241)*INDEX(v01_Boon,G1241)*Arch_Insight</x:f>
        <x:v>3400.9121308951107</x:v>
      </x:c>
      <x:c r="AN1241" s="32" t="n">
        <x:f>H1241*(v01_KHPerAdult*Z1241+v01_KHOfCommons*AJ1241/4*INDEX(LM_All,G1241))*v01_KHUsable*Arch_KH</x:f>
        <x:v>228.74114034277753</x:v>
      </x:c>
      <x:c r="AO1241" s="32" t="n">
        <x:f>MIN(AP1240+AN1241,AM1241*v01_KHMaxRatio)</x:f>
        <x:v>228.74114034277753</x:v>
      </x:c>
      <x:c r="AP1241" s="32" t="n">
        <x:f>AP1240+AN1241-AO1241</x:f>
        <x:v>0</x:v>
      </x:c>
      <x:c r="AQ1241" s="32" t="n">
        <x:f>AM1241+AO1241</x:f>
        <x:v>3629.6532712378885</x:v>
      </x:c>
      <x:c r="AR1241" s="10" t="n">
        <x:f>IF(H1241=1,INDEX(v01_Req,G1241),0)</x:f>
        <x:v>240231.2486535</x:v>
      </x:c>
      <x:c r="AS1241" s="32" t="n">
        <x:f>IF(H1241=1,IF(E1241=1,AS1240-AR1240,AS1240)+AQ1241,0)</x:f>
        <x:v>108306.25539957224</x:v>
      </x:c>
      <x:c r="AT1241" s="11" t="n">
        <x:f>IF(AR1241&gt;0,MIN(1,AS1241/AR1241),1)</x:f>
        <x:v>0.4508416619679186</x:v>
      </x:c>
      <x:c r="AU1241" s="10" t="n">
        <x:f>AB1241/INDEX(v01_RepScale,G1241)</x:f>
        <x:v>155.90082773326114</x:v>
      </x:c>
      <x:c r="AV1241" s="32" t="n">
        <x:f>AM1241*60/v01_SeasonSeconds</x:f>
        <x:v>13603.648523580441</x:v>
      </x:c>
    </x:row>
    <x:row r="1242">
      <x:c r="A1242" s="8" t="n">
        <x:f>A1241+1</x:f>
        <x:v>1239</x:v>
      </x:c>
      <x:c r="B1242" s="9" t="n">
        <x:f>A1242*v01_SeasonSeconds/60</x:f>
        <x:v>309.75</x:v>
      </x:c>
      <x:c r="C1242" s="9" t="n">
        <x:f>A1242/4</x:f>
        <x:v>309.75</x:v>
      </x:c>
      <x:c r="D1242" s="8" t="n">
        <x:f>IF(MOD(A1242,4)=0,1,0)</x:f>
        <x:v>0</x:v>
      </x:c>
      <x:c r="E1242" s="8" t="n">
        <x:f>IF(AND(F1241&lt;=9,AS1241&gt;=AR1241),1,0)</x:f>
        <x:v>0</x:v>
      </x:c>
      <x:c r="F1242" s="8" t="n">
        <x:f>MIN(10,F1241+E1242)</x:f>
        <x:v>7</x:v>
      </x:c>
      <x:c r="G1242" s="8" t="n">
        <x:f>MIN(F1242,9)+1</x:f>
        <x:v>8</x:v>
      </x:c>
      <x:c r="H1242" s="8" t="n">
        <x:f>IF(F1242&lt;=9,1,0)</x:f>
        <x:v>1</x:v>
      </x:c>
      <x:c r="I1242" s="9" t="n">
        <x:f>MIN(10,F1241+IF(AR1241&gt;0,MIN(1,AS1241/AR1241),1))</x:f>
        <x:v>7.450841661967918</x:v>
      </x:c>
      <x:c r="J1242" s="32" t="n">
        <x:f>INDEX(v01_FoodCap,G1242)*Arch_FoodCap*EXP(v01_CapsByProject*SUMPRODUCT((Cap_Point&lt;=I1242)*(Cap_Kind="Food")*Cap_Ln))</x:f>
        <x:v>2500</x:v>
      </x:c>
      <x:c r="K1242" s="32" t="n">
        <x:f>J1242*MIN(1,v01_LeanBase*EXP(v01_CapsByProject*SUMPRODUCT((Cap_Point&lt;=I1242)*(Cap_Kind="Lean")*Cap_Ln)))</x:f>
        <x:v>2500</x:v>
      </x:c>
      <x:c r="L1242" s="10" t="n">
        <x:f>INDEX(v01_HousingCap,G1242)*EXP(v01_CapsByProject*SUMPRODUCT((Cap_Point&lt;=I1242)*(Cap_Kind="Housing")*Cap_Ln))</x:f>
        <x:v>4000</x:v>
      </x:c>
      <x:c r="M1242" s="10" t="n">
        <x:f>INDEX(v01_GroupCap,G1242)*v01_CohesionFactor*EXP(v01_CapsByProject*SUMPRODUCT((Cap_Point&lt;=I1242)*(Cap_Kind="Group")*Cap_Ln))</x:f>
        <x:v>1000000</x:v>
      </x:c>
      <x:c r="N1242" s="32" t="n">
        <x:f>MIN(J1242,L1242,M1242)</x:f>
        <x:v>2500</x:v>
      </x:c>
      <x:c r="O1242" s="10" t="n">
        <x:f>AE1241*N1242</x:f>
        <x:v>40000</x:v>
      </x:c>
      <x:c r="P1242" s="9" t="n">
        <x:f>MIN(1,(AB1241/(AE1241*IF(v01_GroupInCrowding=1,N1242,MIN(J1242,L1242))))^v01_CrowdingExp)</x:f>
        <x:v>0.0035053434663829906</x:v>
      </x:c>
      <x:c r="Q1242" s="9" t="n">
        <x:f>IF(D1242=1,INDEX(v01_WinterMult,G1242),1)</x:f>
        <x:v>1</x:v>
      </x:c>
      <x:c r="R1242" s="9" t="n">
        <x:f>H1242*Z1241*v01_WomenShare*v01_BaseFertility*INDEX(v01_FertMult,G1242)*Arch_Fertility*(1-P1242)</x:f>
        <x:v>195.37656349798627</x:v>
      </x:c>
      <x:c r="S1242" s="9" t="n">
        <x:f>H1242*Y1241*INDEX(v01_MortChild,G1242)/4*Q1242</x:f>
        <x:v>24.383904704999164</x:v>
      </x:c>
      <x:c r="T1242" s="9" t="n">
        <x:f>H1242*Z1241*INDEX(v01_MortAdult,G1242)*Arch_AdultMort/4*Q1242</x:f>
        <x:v>11.437057017138876</x:v>
      </x:c>
      <x:c r="U1242" s="9" t="n">
        <x:f>H1242*AA1241*INDEX(v01_MortElder,G1242)/4*Q1242</x:f>
        <x:v>31.90308790844439</x:v>
      </x:c>
      <x:c r="V1242" s="9" t="n">
        <x:f>H1242*MAX(0,AB1241-O1242)*v01_OvercapLoss</x:f>
        <x:v>0</x:v>
      </x:c>
      <x:c r="W1242" s="9" t="n">
        <x:f>H1242*Y1241/(v01_ChildYears*4)</x:f>
        <x:v>116.11383192856746</x:v>
      </x:c>
      <x:c r="X1242" s="9" t="n">
        <x:f>H1242*Z1241/(v01_AdultYears*4)</x:f>
        <x:v>52.705331876216015</x:v>
      </x:c>
      <x:c r="Y1242" s="32" t="n">
        <x:f>Y1241+R1242-S1242-W1242-Y1241*V1242/AB1241</x:f>
        <x:v>6557.253414864198</x:v>
      </x:c>
      <x:c r="Z1242" s="32" t="n">
        <x:f>Z1241+W1242-X1242-T1242-Z1241*V1242/AB1241</x:f>
        <x:v>6587.432595685998</x:v>
      </x:c>
      <x:c r="AA1242" s="32" t="n">
        <x:f>AA1241+X1242-U1242-AA1241*V1242/AB1241</x:f>
        <x:v>2573.0492766433226</x:v>
      </x:c>
      <x:c r="AB1242" s="10" t="n">
        <x:f>Y1242+Z1242+AA1242</x:f>
        <x:v>15717.735287193518</x:v>
      </x:c>
      <x:c r="AC1242" s="8" t="n">
        <x:f>IF(AND(v01_WinterTrigger=1,D1242=1,AB1241/AE1241&gt;=K1242),1,0)</x:f>
        <x:v>0</x:v>
      </x:c>
      <x:c r="AD1242" s="8" t="n">
        <x:f>H1242*IF(AND(OR(AB1241/AE1241&gt;=v01_FissionTrigger*N1242,AC1242=1),AB1241/AE1241*v01_DaughterShare&gt;=v01_MinDaughter),MAX(1,ROUND(AE1241*v01_FissionRate,0)),0)</x:f>
        <x:v>0</x:v>
      </x:c>
      <x:c r="AE1242" s="8" t="n">
        <x:f>IF(H1242=1,MAX(1,MIN(INDEX(v01_Smax,G1242),AE1241+AD1242)),AE1241)</x:f>
        <x:v>16</x:v>
      </x:c>
      <x:c r="AF1242" s="8" t="n">
        <x:f>MAX(0,AE1242-AE1241)</x:f>
        <x:v>0</x:v>
      </x:c>
      <x:c r="AG1242" s="9" t="str">
        <x:f>IF(AF1242&gt;0,B1242,"")</x:f>
      </x:c>
      <x:c r="AH1242" s="9" t="n">
        <x:f>IF(F1242&gt;=1,1,(1+v01_LowTiesShare*(AE1242-1))/AE1242)</x:f>
        <x:v>1</x:v>
      </x:c>
      <x:c r="AI1242" s="32" t="n">
        <x:f>(Z1242+v01_ElderCommons*INDEX(LM_Elder,G1242)*AA1242)*AH1242</x:f>
        <x:v>16236.367383098459</x:v>
      </x:c>
      <x:c r="AJ1242" s="32" t="n">
        <x:f>H1242*v01_CommonsCoef*AI1242^v01_CommonsExp*INDEX(LM_Commons,G1242)</x:f>
        <x:v>4441.948200169819</x:v>
      </x:c>
      <x:c r="AK1242" s="32" t="n">
        <x:f>H1242*v01_RoleScale*Arch_Roles*(AE1242*(INDEX(v01_ElderRolePerSett,G1242)*v01_OutElder*INDEX(LM_Elder,G1242)+INDEX(v01_ShamanPerSett,G1242)*v01_OutShaman)+Z1242*(INDEX(v01_PriestShare,G1242)*v01_OutPriest+INDEX(v01_ScribeShare,G1242)*v01_OutScribe*INDEX(LM_Scribe,G1242)+INDEX(v01_ScholarShare,G1242)*v01_OutScholar*INDEX(LM_Scholar,G1242)+INDEX(v01_ResearcherShare,G1242)*v01_OutResearcher*INDEX(LM_Researcher,G1242)))</x:f>
        <x:v>1238.2886320524287</x:v>
      </x:c>
      <x:c r="AL1242" s="32" t="n">
        <x:f>H1242*v01_RoleScale*Arch_Roles*AE1242*INDEX(v01_MonasteryPerSett,G1242)*v01_OutMonastery*INDEX(LM_Monastery,G1242)</x:f>
        <x:v>10.56</x:v>
      </x:c>
      <x:c r="AM1242" s="32" t="n">
        <x:f>(AJ1242+AK1242+AL1242)/4*INDEX(LM_All,G1242)*INDEX(v01_Boon,G1242)*Arch_Insight</x:f>
        <x:v>3424.736022381381</x:v>
      </x:c>
      <x:c r="AN1242" s="32" t="n">
        <x:f>H1242*(v01_KHPerAdult*Z1242+v01_KHOfCommons*AJ1242/4*INDEX(LM_All,G1242))*v01_KHUsable*Arch_KH</x:f>
        <x:v>230.56014084900994</x:v>
      </x:c>
      <x:c r="AO1242" s="32" t="n">
        <x:f>MIN(AP1241+AN1242,AM1242*v01_KHMaxRatio)</x:f>
        <x:v>230.56014084900994</x:v>
      </x:c>
      <x:c r="AP1242" s="32" t="n">
        <x:f>AP1241+AN1242-AO1242</x:f>
        <x:v>0</x:v>
      </x:c>
      <x:c r="AQ1242" s="32" t="n">
        <x:f>AM1242+AO1242</x:f>
        <x:v>3655.2961632303914</x:v>
      </x:c>
      <x:c r="AR1242" s="10" t="n">
        <x:f>IF(H1242=1,INDEX(v01_Req,G1242),0)</x:f>
        <x:v>240231.2486535</x:v>
      </x:c>
      <x:c r="AS1242" s="32" t="n">
        <x:f>IF(H1242=1,IF(E1242=1,AS1241-AR1241,AS1241)+AQ1242,0)</x:f>
        <x:v>111961.55156280263</x:v>
      </x:c>
      <x:c r="AT1242" s="11" t="n">
        <x:f>IF(AR1242&gt;0,MIN(1,AS1242/AR1242),1)</x:f>
        <x:v>0.46605740173415794</x:v>
      </x:c>
      <x:c r="AU1242" s="10" t="n">
        <x:f>AB1242/INDEX(v01_RepScale,G1242)</x:f>
        <x:v>157.17735287193517</x:v>
      </x:c>
      <x:c r="AV1242" s="32" t="n">
        <x:f>AM1242*60/v01_SeasonSeconds</x:f>
        <x:v>13698.944089525525</x:v>
      </x:c>
    </x:row>
    <x:row r="1243">
      <x:c r="A1243" s="8" t="n">
        <x:f>A1242+1</x:f>
        <x:v>1240</x:v>
      </x:c>
      <x:c r="B1243" s="9" t="n">
        <x:f>A1243*v01_SeasonSeconds/60</x:f>
        <x:v>310</x:v>
      </x:c>
      <x:c r="C1243" s="9" t="n">
        <x:f>A1243/4</x:f>
        <x:v>310</x:v>
      </x:c>
      <x:c r="D1243" s="8" t="n">
        <x:f>IF(MOD(A1243,4)=0,1,0)</x:f>
        <x:v>1</x:v>
      </x:c>
      <x:c r="E1243" s="8" t="n">
        <x:f>IF(AND(F1242&lt;=9,AS1242&gt;=AR1242),1,0)</x:f>
        <x:v>0</x:v>
      </x:c>
      <x:c r="F1243" s="8" t="n">
        <x:f>MIN(10,F1242+E1243)</x:f>
        <x:v>7</x:v>
      </x:c>
      <x:c r="G1243" s="8" t="n">
        <x:f>MIN(F1243,9)+1</x:f>
        <x:v>8</x:v>
      </x:c>
      <x:c r="H1243" s="8" t="n">
        <x:f>IF(F1243&lt;=9,1,0)</x:f>
        <x:v>1</x:v>
      </x:c>
      <x:c r="I1243" s="9" t="n">
        <x:f>MIN(10,F1242+IF(AR1242&gt;0,MIN(1,AS1242/AR1242),1))</x:f>
        <x:v>7.466057401734158</x:v>
      </x:c>
      <x:c r="J1243" s="32" t="n">
        <x:f>INDEX(v01_FoodCap,G1243)*Arch_FoodCap*EXP(v01_CapsByProject*SUMPRODUCT((Cap_Point&lt;=I1243)*(Cap_Kind="Food")*Cap_Ln))</x:f>
        <x:v>2500</x:v>
      </x:c>
      <x:c r="K1243" s="32" t="n">
        <x:f>J1243*MIN(1,v01_LeanBase*EXP(v01_CapsByProject*SUMPRODUCT((Cap_Point&lt;=I1243)*(Cap_Kind="Lean")*Cap_Ln)))</x:f>
        <x:v>2500</x:v>
      </x:c>
      <x:c r="L1243" s="10" t="n">
        <x:f>INDEX(v01_HousingCap,G1243)*EXP(v01_CapsByProject*SUMPRODUCT((Cap_Point&lt;=I1243)*(Cap_Kind="Housing")*Cap_Ln))</x:f>
        <x:v>4000</x:v>
      </x:c>
      <x:c r="M1243" s="10" t="n">
        <x:f>INDEX(v01_GroupCap,G1243)*v01_CohesionFactor*EXP(v01_CapsByProject*SUMPRODUCT((Cap_Point&lt;=I1243)*(Cap_Kind="Group")*Cap_Ln))</x:f>
        <x:v>1000000</x:v>
      </x:c>
      <x:c r="N1243" s="32" t="n">
        <x:f>MIN(J1243,L1243,M1243)</x:f>
        <x:v>2500</x:v>
      </x:c>
      <x:c r="O1243" s="10" t="n">
        <x:f>AE1242*N1243</x:f>
        <x:v>40000</x:v>
      </x:c>
      <x:c r="P1243" s="9" t="n">
        <x:f>MIN(1,(AB1242/(AE1242*IF(v01_GroupInCrowding=1,N1243,MIN(J1243,L1243))))^v01_CrowdingExp)</x:f>
        <x:v>0.003681119139098974</x:v>
      </x:c>
      <x:c r="Q1243" s="9" t="n">
        <x:f>IF(D1243=1,INDEX(v01_WinterMult,G1243),1)</x:f>
        <x:v>1</x:v>
      </x:c>
      <x:c r="R1243" s="9" t="n">
        <x:f>H1243*Z1242*v01_WomenShare*v01_BaseFertility*INDEX(v01_FertMult,G1243)*Arch_Fertility*(1-P1243)</x:f>
        <x:v>196.89550414441482</x:v>
      </x:c>
      <x:c r="S1243" s="9" t="n">
        <x:f>H1243*Y1242*INDEX(v01_MortChild,G1243)/4*Q1243</x:f>
        <x:v>24.58970030574074</x:v>
      </x:c>
      <x:c r="T1243" s="9" t="n">
        <x:f>H1243*Z1242*INDEX(v01_MortAdult,G1243)*Arch_AdultMort/4*Q1243</x:f>
        <x:v>11.528007042450497</x:v>
      </x:c>
      <x:c r="U1243" s="9" t="n">
        <x:f>H1243*AA1242*INDEX(v01_MortElder,G1243)/4*Q1243</x:f>
        <x:v>32.16311595804154</x:v>
      </x:c>
      <x:c r="V1243" s="9" t="n">
        <x:f>H1243*MAX(0,AB1242-O1243)*v01_OvercapLoss</x:f>
        <x:v>0</x:v>
      </x:c>
      <x:c r="W1243" s="9" t="n">
        <x:f>H1243*Y1242/(v01_ChildYears*4)</x:f>
        <x:v>117.09381097971782</x:v>
      </x:c>
      <x:c r="X1243" s="9" t="n">
        <x:f>H1243*Z1242/(v01_AdultYears*4)</x:f>
        <x:v>53.12445641682257</x:v>
      </x:c>
      <x:c r="Y1243" s="32" t="n">
        <x:f>Y1242+R1243-S1243-W1243-Y1242*V1243/AB1242</x:f>
        <x:v>6612.465407723154</x:v>
      </x:c>
      <x:c r="Z1243" s="32" t="n">
        <x:f>Z1242+W1243-X1243-T1243-Z1242*V1243/AB1242</x:f>
        <x:v>6639.873943206443</x:v>
      </x:c>
      <x:c r="AA1243" s="32" t="n">
        <x:f>AA1242+X1243-U1243-AA1242*V1243/AB1242</x:f>
        <x:v>2594.010617102104</x:v>
      </x:c>
      <x:c r="AB1243" s="10" t="n">
        <x:f>Y1243+Z1243+AA1243</x:f>
        <x:v>15846.3499680317</x:v>
      </x:c>
      <x:c r="AC1243" s="8" t="n">
        <x:f>IF(AND(v01_WinterTrigger=1,D1243=1,AB1242/AE1242&gt;=K1243),1,0)</x:f>
        <x:v>0</x:v>
      </x:c>
      <x:c r="AD1243" s="8" t="n">
        <x:f>H1243*IF(AND(OR(AB1242/AE1242&gt;=v01_FissionTrigger*N1243,AC1243=1),AB1242/AE1242*v01_DaughterShare&gt;=v01_MinDaughter),MAX(1,ROUND(AE1242*v01_FissionRate,0)),0)</x:f>
        <x:v>0</x:v>
      </x:c>
      <x:c r="AE1243" s="8" t="n">
        <x:f>IF(H1243=1,MAX(1,MIN(INDEX(v01_Smax,G1243),AE1242+AD1243)),AE1242)</x:f>
        <x:v>16</x:v>
      </x:c>
      <x:c r="AF1243" s="8" t="n">
        <x:f>MAX(0,AE1243-AE1242)</x:f>
        <x:v>0</x:v>
      </x:c>
      <x:c r="AG1243" s="9" t="str">
        <x:f>IF(AF1243&gt;0,B1243,"")</x:f>
      </x:c>
      <x:c r="AH1243" s="9" t="n">
        <x:f>IF(F1243&gt;=1,1,(1+v01_LowTiesShare*(AE1243-1))/AE1243)</x:f>
        <x:v>1</x:v>
      </x:c>
      <x:c r="AI1243" s="32" t="n">
        <x:f>(Z1243+v01_ElderCommons*INDEX(LM_Elder,G1243)*AA1243)*AH1243</x:f>
        <x:v>16367.413757339333</x:v>
      </x:c>
      <x:c r="AJ1243" s="32" t="n">
        <x:f>H1243*v01_CommonsCoef*AI1243^v01_CommonsExp*INDEX(LM_Commons,G1243)</x:f>
        <x:v>4472.403746281935</x:v>
      </x:c>
      <x:c r="AK1243" s="32" t="n">
        <x:f>H1243*v01_RoleScale*Arch_Roles*(AE1243*(INDEX(v01_ElderRolePerSett,G1243)*v01_OutElder*INDEX(LM_Elder,G1243)+INDEX(v01_ShamanPerSett,G1243)*v01_OutShaman)+Z1243*(INDEX(v01_PriestShare,G1243)*v01_OutPriest+INDEX(v01_ScribeShare,G1243)*v01_OutScribe*INDEX(LM_Scribe,G1243)+INDEX(v01_ScholarShare,G1243)*v01_OutScholar*INDEX(LM_Scholar,G1243)+INDEX(v01_ResearcherShare,G1243)*v01_OutResearcher*INDEX(LM_Researcher,G1243)))</x:f>
        <x:v>1247.7165375096542</x:v>
      </x:c>
      <x:c r="AL1243" s="32" t="n">
        <x:f>H1243*v01_RoleScale*Arch_Roles*AE1243*INDEX(v01_MonasteryPerSett,G1243)*v01_OutMonastery*INDEX(LM_Monastery,G1243)</x:f>
        <x:v>10.56</x:v>
      </x:c>
      <x:c r="AM1243" s="32" t="n">
        <x:f>(AJ1243+AK1243+AL1243)/4*INDEX(LM_All,G1243)*INDEX(v01_Boon,G1243)*Arch_Insight</x:f>
        <x:v>3448.737985078948</x:v>
      </x:c>
      <x:c r="AN1243" s="32" t="n">
        <x:f>H1243*(v01_KHPerAdult*Z1243+v01_KHOfCommons*AJ1243/4*INDEX(LM_All,G1243))*v01_KHUsable*Arch_KH</x:f>
        <x:v>232.39558801222552</x:v>
      </x:c>
      <x:c r="AO1243" s="32" t="n">
        <x:f>MIN(AP1242+AN1243,AM1243*v01_KHMaxRatio)</x:f>
        <x:v>232.39558801222552</x:v>
      </x:c>
      <x:c r="AP1243" s="32" t="n">
        <x:f>AP1242+AN1243-AO1243</x:f>
        <x:v>0</x:v>
      </x:c>
      <x:c r="AQ1243" s="32" t="n">
        <x:f>AM1243+AO1243</x:f>
        <x:v>3681.1335730911733</x:v>
      </x:c>
      <x:c r="AR1243" s="10" t="n">
        <x:f>IF(H1243=1,INDEX(v01_Req,G1243),0)</x:f>
        <x:v>240231.2486535</x:v>
      </x:c>
      <x:c r="AS1243" s="32" t="n">
        <x:f>IF(H1243=1,IF(E1243=1,AS1242-AR1242,AS1242)+AQ1243,0)</x:f>
        <x:v>115642.6851358938</x:v>
      </x:c>
      <x:c r="AT1243" s="11" t="n">
        <x:f>IF(AR1243&gt;0,MIN(1,AS1243/AR1243),1)</x:f>
        <x:v>0.4813806937443522</x:v>
      </x:c>
      <x:c r="AU1243" s="10" t="n">
        <x:f>AB1243/INDEX(v01_RepScale,G1243)</x:f>
        <x:v>158.463499680317</x:v>
      </x:c>
      <x:c r="AV1243" s="32" t="n">
        <x:f>AM1243*60/v01_SeasonSeconds</x:f>
        <x:v>13794.951940315792</x:v>
      </x:c>
    </x:row>
    <x:row r="1244">
      <x:c r="A1244" s="8" t="n">
        <x:f>A1243+1</x:f>
        <x:v>1241</x:v>
      </x:c>
      <x:c r="B1244" s="9" t="n">
        <x:f>A1244*v01_SeasonSeconds/60</x:f>
        <x:v>310.25</x:v>
      </x:c>
      <x:c r="C1244" s="9" t="n">
        <x:f>A1244/4</x:f>
        <x:v>310.25</x:v>
      </x:c>
      <x:c r="D1244" s="8" t="n">
        <x:f>IF(MOD(A1244,4)=0,1,0)</x:f>
        <x:v>0</x:v>
      </x:c>
      <x:c r="E1244" s="8" t="n">
        <x:f>IF(AND(F1243&lt;=9,AS1243&gt;=AR1243),1,0)</x:f>
        <x:v>0</x:v>
      </x:c>
      <x:c r="F1244" s="8" t="n">
        <x:f>MIN(10,F1243+E1244)</x:f>
        <x:v>7</x:v>
      </x:c>
      <x:c r="G1244" s="8" t="n">
        <x:f>MIN(F1244,9)+1</x:f>
        <x:v>8</x:v>
      </x:c>
      <x:c r="H1244" s="8" t="n">
        <x:f>IF(F1244&lt;=9,1,0)</x:f>
        <x:v>1</x:v>
      </x:c>
      <x:c r="I1244" s="9" t="n">
        <x:f>MIN(10,F1243+IF(AR1243&gt;0,MIN(1,AS1243/AR1243),1))</x:f>
        <x:v>7.481380693744352</x:v>
      </x:c>
      <x:c r="J1244" s="32" t="n">
        <x:f>INDEX(v01_FoodCap,G1244)*Arch_FoodCap*EXP(v01_CapsByProject*SUMPRODUCT((Cap_Point&lt;=I1244)*(Cap_Kind="Food")*Cap_Ln))</x:f>
        <x:v>2500</x:v>
      </x:c>
      <x:c r="K1244" s="32" t="n">
        <x:f>J1244*MIN(1,v01_LeanBase*EXP(v01_CapsByProject*SUMPRODUCT((Cap_Point&lt;=I1244)*(Cap_Kind="Lean")*Cap_Ln)))</x:f>
        <x:v>2500</x:v>
      </x:c>
      <x:c r="L1244" s="10" t="n">
        <x:f>INDEX(v01_HousingCap,G1244)*EXP(v01_CapsByProject*SUMPRODUCT((Cap_Point&lt;=I1244)*(Cap_Kind="Housing")*Cap_Ln))</x:f>
        <x:v>4000</x:v>
      </x:c>
      <x:c r="M1244" s="10" t="n">
        <x:f>INDEX(v01_GroupCap,G1244)*v01_CohesionFactor*EXP(v01_CapsByProject*SUMPRODUCT((Cap_Point&lt;=I1244)*(Cap_Kind="Group")*Cap_Ln))</x:f>
        <x:v>1000000</x:v>
      </x:c>
      <x:c r="N1244" s="32" t="n">
        <x:f>MIN(J1244,L1244,M1244)</x:f>
        <x:v>2500</x:v>
      </x:c>
      <x:c r="O1244" s="10" t="n">
        <x:f>AE1243*N1244</x:f>
        <x:v>40000</x:v>
      </x:c>
      <x:c r="P1244" s="9" t="n">
        <x:f>MIN(1,(AB1243/(AE1243*IF(v01_GroupInCrowding=1,N1244,MIN(J1244,L1244))))^v01_CrowdingExp)</x:f>
        <x:v>0.0038655875227489507</x:v>
      </x:c>
      <x:c r="Q1244" s="9" t="n">
        <x:f>IF(D1244=1,INDEX(v01_WinterMult,G1244),1)</x:f>
        <x:v>1</x:v>
      </x:c>
      <x:c r="R1244" s="9" t="n">
        <x:f>H1244*Z1243*v01_WomenShare*v01_BaseFertility*INDEX(v01_FertMult,G1244)*Arch_Fertility*(1-P1244)</x:f>
        <x:v>198.42620788016876</x:v>
      </x:c>
      <x:c r="S1244" s="9" t="n">
        <x:f>H1244*Y1243*INDEX(v01_MortChild,G1244)/4*Q1244</x:f>
        <x:v>24.79674527896183</x:v>
      </x:c>
      <x:c r="T1244" s="9" t="n">
        <x:f>H1244*Z1243*INDEX(v01_MortAdult,G1244)*Arch_AdultMort/4*Q1244</x:f>
        <x:v>11.619779400611275</x:v>
      </x:c>
      <x:c r="U1244" s="9" t="n">
        <x:f>H1244*AA1243*INDEX(v01_MortElder,G1244)/4*Q1244</x:f>
        <x:v>32.4251327137763</x:v>
      </x:c>
      <x:c r="V1244" s="9" t="n">
        <x:f>H1244*MAX(0,AB1243-O1244)*v01_OvercapLoss</x:f>
        <x:v>0</x:v>
      </x:c>
      <x:c r="W1244" s="9" t="n">
        <x:f>H1244*Y1243/(v01_ChildYears*4)</x:f>
        <x:v>118.07973942362776</x:v>
      </x:c>
      <x:c r="X1244" s="9" t="n">
        <x:f>H1244*Z1243/(v01_AdultYears*4)</x:f>
        <x:v>53.54737050972938</x:v>
      </x:c>
      <x:c r="Y1244" s="32" t="n">
        <x:f>Y1243+R1244-S1244-W1244-Y1243*V1244/AB1243</x:f>
        <x:v>6668.015130900733</x:v>
      </x:c>
      <x:c r="Z1244" s="32" t="n">
        <x:f>Z1243+W1244-X1244-T1244-Z1243*V1244/AB1243</x:f>
        <x:v>6692.7865327197305</x:v>
      </x:c>
      <x:c r="AA1244" s="32" t="n">
        <x:f>AA1243+X1244-U1244-AA1243*V1244/AB1243</x:f>
        <x:v>2615.132854898057</x:v>
      </x:c>
      <x:c r="AB1244" s="10" t="n">
        <x:f>Y1244+Z1244+AA1244</x:f>
        <x:v>15975.93451851852</x:v>
      </x:c>
      <x:c r="AC1244" s="8" t="n">
        <x:f>IF(AND(v01_WinterTrigger=1,D1244=1,AB1243/AE1243&gt;=K1244),1,0)</x:f>
        <x:v>0</x:v>
      </x:c>
      <x:c r="AD1244" s="8" t="n">
        <x:f>H1244*IF(AND(OR(AB1243/AE1243&gt;=v01_FissionTrigger*N1244,AC1244=1),AB1243/AE1243*v01_DaughterShare&gt;=v01_MinDaughter),MAX(1,ROUND(AE1243*v01_FissionRate,0)),0)</x:f>
        <x:v>0</x:v>
      </x:c>
      <x:c r="AE1244" s="8" t="n">
        <x:f>IF(H1244=1,MAX(1,MIN(INDEX(v01_Smax,G1244),AE1243+AD1244)),AE1243)</x:f>
        <x:v>16</x:v>
      </x:c>
      <x:c r="AF1244" s="8" t="n">
        <x:f>MAX(0,AE1244-AE1243)</x:f>
        <x:v>0</x:v>
      </x:c>
      <x:c r="AG1244" s="9" t="str">
        <x:f>IF(AF1244&gt;0,B1244,"")</x:f>
      </x:c>
      <x:c r="AH1244" s="9" t="n">
        <x:f>IF(F1244&gt;=1,1,(1+v01_LowTiesShare*(AE1244-1))/AE1244)</x:f>
        <x:v>1</x:v>
      </x:c>
      <x:c r="AI1244" s="32" t="n">
        <x:f>(Z1244+v01_ElderCommons*INDEX(LM_Elder,G1244)*AA1244)*AH1244</x:f>
        <x:v>16499.53473858744</x:v>
      </x:c>
      <x:c r="AJ1244" s="32" t="n">
        <x:f>H1244*v01_CommonsCoef*AI1244^v01_CommonsExp*INDEX(LM_Commons,G1244)</x:f>
        <x:v>4503.072029144152</x:v>
      </x:c>
      <x:c r="AK1244" s="32" t="n">
        <x:f>H1244*v01_RoleScale*Arch_Roles*(AE1244*(INDEX(v01_ElderRolePerSett,G1244)*v01_OutElder*INDEX(LM_Elder,G1244)+INDEX(v01_ShamanPerSett,G1244)*v01_OutShaman)+Z1244*(INDEX(v01_PriestShare,G1244)*v01_OutPriest+INDEX(v01_ScribeShare,G1244)*v01_OutScribe*INDEX(LM_Scribe,G1244)+INDEX(v01_ScholarShare,G1244)*v01_OutScholar*INDEX(LM_Scholar,G1244)+INDEX(v01_ResearcherShare,G1244)*v01_OutResearcher*INDEX(LM_Researcher,G1244)))</x:f>
        <x:v>1257.229162852353</x:v>
      </x:c>
      <x:c r="AL1244" s="32" t="n">
        <x:f>H1244*v01_RoleScale*Arch_Roles*AE1244*INDEX(v01_MonasteryPerSett,G1244)*v01_OutMonastery*INDEX(LM_Monastery,G1244)</x:f>
        <x:v>10.56</x:v>
      </x:c>
      <x:c r="AM1244" s="32" t="n">
        <x:f>(AJ1244+AK1244+AL1244)/4*INDEX(LM_All,G1244)*INDEX(v01_Boon,G1244)*Arch_Insight</x:f>
        <x:v>3472.9189579371264</x:v>
      </x:c>
      <x:c r="AN1244" s="32" t="n">
        <x:f>H1244*(v01_KHPerAdult*Z1244+v01_KHOfCommons*AJ1244/4*INDEX(LM_All,G1244))*v01_KHUsable*Arch_KH</x:f>
        <x:v>234.24752864519056</x:v>
      </x:c>
      <x:c r="AO1244" s="32" t="n">
        <x:f>MIN(AP1243+AN1244,AM1244*v01_KHMaxRatio)</x:f>
        <x:v>234.24752864519056</x:v>
      </x:c>
      <x:c r="AP1244" s="32" t="n">
        <x:f>AP1243+AN1244-AO1244</x:f>
        <x:v>0</x:v>
      </x:c>
      <x:c r="AQ1244" s="32" t="n">
        <x:f>AM1244+AO1244</x:f>
        <x:v>3707.166486582317</x:v>
      </x:c>
      <x:c r="AR1244" s="10" t="n">
        <x:f>IF(H1244=1,INDEX(v01_Req,G1244),0)</x:f>
        <x:v>240231.2486535</x:v>
      </x:c>
      <x:c r="AS1244" s="32" t="n">
        <x:f>IF(H1244=1,IF(E1244=1,AS1243-AR1243,AS1243)+AQ1244,0)</x:f>
        <x:v>119349.85162247611</x:v>
      </x:c>
      <x:c r="AT1244" s="11" t="n">
        <x:f>IF(AR1244&gt;0,MIN(1,AS1244/AR1244),1)</x:f>
        <x:v>0.4968123518128218</x:v>
      </x:c>
      <x:c r="AU1244" s="10" t="n">
        <x:f>AB1244/INDEX(v01_RepScale,G1244)</x:f>
        <x:v>159.7593451851852</x:v>
      </x:c>
      <x:c r="AV1244" s="32" t="n">
        <x:f>AM1244*60/v01_SeasonSeconds</x:f>
        <x:v>13891.675831748506</x:v>
      </x:c>
    </x:row>
    <x:row r="1245">
      <x:c r="A1245" s="8" t="n">
        <x:f>A1244+1</x:f>
        <x:v>1242</x:v>
      </x:c>
      <x:c r="B1245" s="9" t="n">
        <x:f>A1245*v01_SeasonSeconds/60</x:f>
        <x:v>310.5</x:v>
      </x:c>
      <x:c r="C1245" s="9" t="n">
        <x:f>A1245/4</x:f>
        <x:v>310.5</x:v>
      </x:c>
      <x:c r="D1245" s="8" t="n">
        <x:f>IF(MOD(A1245,4)=0,1,0)</x:f>
        <x:v>0</x:v>
      </x:c>
      <x:c r="E1245" s="8" t="n">
        <x:f>IF(AND(F1244&lt;=9,AS1244&gt;=AR1244),1,0)</x:f>
        <x:v>0</x:v>
      </x:c>
      <x:c r="F1245" s="8" t="n">
        <x:f>MIN(10,F1244+E1245)</x:f>
        <x:v>7</x:v>
      </x:c>
      <x:c r="G1245" s="8" t="n">
        <x:f>MIN(F1245,9)+1</x:f>
        <x:v>8</x:v>
      </x:c>
      <x:c r="H1245" s="8" t="n">
        <x:f>IF(F1245&lt;=9,1,0)</x:f>
        <x:v>1</x:v>
      </x:c>
      <x:c r="I1245" s="9" t="n">
        <x:f>MIN(10,F1244+IF(AR1244&gt;0,MIN(1,AS1244/AR1244),1))</x:f>
        <x:v>7.496812351812822</x:v>
      </x:c>
      <x:c r="J1245" s="32" t="n">
        <x:f>INDEX(v01_FoodCap,G1245)*Arch_FoodCap*EXP(v01_CapsByProject*SUMPRODUCT((Cap_Point&lt;=I1245)*(Cap_Kind="Food")*Cap_Ln))</x:f>
        <x:v>2500</x:v>
      </x:c>
      <x:c r="K1245" s="32" t="n">
        <x:f>J1245*MIN(1,v01_LeanBase*EXP(v01_CapsByProject*SUMPRODUCT((Cap_Point&lt;=I1245)*(Cap_Kind="Lean")*Cap_Ln)))</x:f>
        <x:v>2500</x:v>
      </x:c>
      <x:c r="L1245" s="10" t="n">
        <x:f>INDEX(v01_HousingCap,G1245)*EXP(v01_CapsByProject*SUMPRODUCT((Cap_Point&lt;=I1245)*(Cap_Kind="Housing")*Cap_Ln))</x:f>
        <x:v>4000</x:v>
      </x:c>
      <x:c r="M1245" s="10" t="n">
        <x:f>INDEX(v01_GroupCap,G1245)*v01_CohesionFactor*EXP(v01_CapsByProject*SUMPRODUCT((Cap_Point&lt;=I1245)*(Cap_Kind="Group")*Cap_Ln))</x:f>
        <x:v>1000000</x:v>
      </x:c>
      <x:c r="N1245" s="32" t="n">
        <x:f>MIN(J1245,L1245,M1245)</x:f>
        <x:v>2500</x:v>
      </x:c>
      <x:c r="O1245" s="10" t="n">
        <x:f>AE1244*N1245</x:f>
        <x:v>40000</x:v>
      </x:c>
      <x:c r="P1245" s="9" t="n">
        <x:f>MIN(1,(AB1244/(AE1244*IF(v01_GroupInCrowding=1,N1245,MIN(J1245,L1245))))^v01_CrowdingExp)</x:f>
        <x:v>0.00405917413738523</x:v>
      </x:c>
      <x:c r="Q1245" s="9" t="n">
        <x:f>IF(D1245=1,INDEX(v01_WinterMult,G1245),1)</x:f>
        <x:v>1</x:v>
      </x:c>
      <x:c r="R1245" s="9" t="n">
        <x:f>H1245*Z1244*v01_WomenShare*v01_BaseFertility*INDEX(v01_FertMult,G1245)*Arch_Fertility*(1-P1245)</x:f>
        <x:v>199.9685804015722</x:v>
      </x:c>
      <x:c r="S1245" s="9" t="n">
        <x:f>H1245*Y1244*INDEX(v01_MortChild,G1245)/4*Q1245</x:f>
        <x:v>25.005056740877748</x:v>
      </x:c>
      <x:c r="T1245" s="9" t="n">
        <x:f>H1245*Z1244*INDEX(v01_MortAdult,G1245)*Arch_AdultMort/4*Q1245</x:f>
        <x:v>11.712376432259529</x:v>
      </x:c>
      <x:c r="U1245" s="9" t="n">
        <x:f>H1245*AA1244*INDEX(v01_MortElder,G1245)/4*Q1245</x:f>
        <x:v>32.68916068622571</x:v>
      </x:c>
      <x:c r="V1245" s="9" t="n">
        <x:f>H1245*MAX(0,AB1244-O1245)*v01_OvercapLoss</x:f>
        <x:v>0</x:v>
      </x:c>
      <x:c r="W1245" s="9" t="n">
        <x:f>H1245*Y1244/(v01_ChildYears*4)</x:f>
        <x:v>119.07169876608452</x:v>
      </x:c>
      <x:c r="X1245" s="9" t="n">
        <x:f>H1245*Z1244/(v01_AdultYears*4)</x:f>
        <x:v>53.97408494128815</x:v>
      </x:c>
      <x:c r="Y1245" s="32" t="n">
        <x:f>Y1244+R1245-S1245-W1245-Y1244*V1245/AB1244</x:f>
        <x:v>6723.9069557953435</x:v>
      </x:c>
      <x:c r="Z1245" s="32" t="n">
        <x:f>Z1244+W1245-X1245-T1245-Z1244*V1245/AB1244</x:f>
        <x:v>6746.171770112267</x:v>
      </x:c>
      <x:c r="AA1245" s="32" t="n">
        <x:f>AA1244+X1245-U1245-AA1244*V1245/AB1244</x:f>
        <x:v>2636.417779153119</x:v>
      </x:c>
      <x:c r="AB1245" s="10" t="n">
        <x:f>Y1245+Z1245+AA1245</x:f>
        <x:v>16106.496505060728</x:v>
      </x:c>
      <x:c r="AC1245" s="8" t="n">
        <x:f>IF(AND(v01_WinterTrigger=1,D1245=1,AB1244/AE1244&gt;=K1245),1,0)</x:f>
        <x:v>0</x:v>
      </x:c>
      <x:c r="AD1245" s="8" t="n">
        <x:f>H1245*IF(AND(OR(AB1244/AE1244&gt;=v01_FissionTrigger*N1245,AC1245=1),AB1244/AE1244*v01_DaughterShare&gt;=v01_MinDaughter),MAX(1,ROUND(AE1244*v01_FissionRate,0)),0)</x:f>
        <x:v>0</x:v>
      </x:c>
      <x:c r="AE1245" s="8" t="n">
        <x:f>IF(H1245=1,MAX(1,MIN(INDEX(v01_Smax,G1245),AE1244+AD1245)),AE1244)</x:f>
        <x:v>16</x:v>
      </x:c>
      <x:c r="AF1245" s="8" t="n">
        <x:f>MAX(0,AE1245-AE1244)</x:f>
        <x:v>0</x:v>
      </x:c>
      <x:c r="AG1245" s="9" t="str">
        <x:f>IF(AF1245&gt;0,B1245,"")</x:f>
      </x:c>
      <x:c r="AH1245" s="9" t="n">
        <x:f>IF(F1245&gt;=1,1,(1+v01_LowTiesShare*(AE1245-1))/AE1245)</x:f>
        <x:v>1</x:v>
      </x:c>
      <x:c r="AI1245" s="32" t="n">
        <x:f>(Z1245+v01_ElderCommons*INDEX(LM_Elder,G1245)*AA1245)*AH1245</x:f>
        <x:v>16632.738441936464</x:v>
      </x:c>
      <x:c r="AJ1245" s="32" t="n">
        <x:f>H1245*v01_CommonsCoef*AI1245^v01_CommonsExp*INDEX(LM_Commons,G1245)</x:f>
        <x:v>4533.954368552204</x:v>
      </x:c>
      <x:c r="AK1245" s="32" t="n">
        <x:f>H1245*v01_RoleScale*Arch_Roles*(AE1245*(INDEX(v01_ElderRolePerSett,G1245)*v01_OutElder*INDEX(LM_Elder,G1245)+INDEX(v01_ShamanPerSett,G1245)*v01_OutShaman)+Z1245*(INDEX(v01_PriestShare,G1245)*v01_OutPriest+INDEX(v01_ScribeShare,G1245)*v01_OutScribe*INDEX(LM_Scribe,G1245)+INDEX(v01_ScholarShare,G1245)*v01_OutScholar*INDEX(LM_Scholar,G1245)+INDEX(v01_ResearcherShare,G1245)*v01_OutResearcher*INDEX(LM_Researcher,G1245)))</x:f>
        <x:v>1266.8267608307833</x:v>
      </x:c>
      <x:c r="AL1245" s="32" t="n">
        <x:f>H1245*v01_RoleScale*Arch_Roles*AE1245*INDEX(v01_MonasteryPerSett,G1245)*v01_OutMonastery*INDEX(LM_Monastery,G1245)</x:f>
        <x:v>10.56</x:v>
      </x:c>
      <x:c r="AM1245" s="32" t="n">
        <x:f>(AJ1245+AK1245+AL1245)/4*INDEX(LM_All,G1245)*INDEX(v01_Boon,G1245)*Arch_Insight</x:f>
        <x:v>3497.2798873180986</x:v>
      </x:c>
      <x:c r="AN1245" s="32" t="n">
        <x:f>H1245*(v01_KHPerAdult*Z1245+v01_KHOfCommons*AJ1245/4*INDEX(LM_All,G1245))*v01_KHUsable*Arch_KH</x:f>
        <x:v>236.11601195392936</x:v>
      </x:c>
      <x:c r="AO1245" s="32" t="n">
        <x:f>MIN(AP1244+AN1245,AM1245*v01_KHMaxRatio)</x:f>
        <x:v>236.11601195392936</x:v>
      </x:c>
      <x:c r="AP1245" s="32" t="n">
        <x:f>AP1244+AN1245-AO1245</x:f>
        <x:v>0</x:v>
      </x:c>
      <x:c r="AQ1245" s="32" t="n">
        <x:f>AM1245+AO1245</x:f>
        <x:v>3733.395899272028</x:v>
      </x:c>
      <x:c r="AR1245" s="10" t="n">
        <x:f>IF(H1245=1,INDEX(v01_Req,G1245),0)</x:f>
        <x:v>240231.2486535</x:v>
      </x:c>
      <x:c r="AS1245" s="32" t="n">
        <x:f>IF(H1245=1,IF(E1245=1,AS1244-AR1244,AS1244)+AQ1245,0)</x:f>
        <x:v>123083.24752174814</x:v>
      </x:c>
      <x:c r="AT1245" s="11" t="n">
        <x:f>IF(AR1245&gt;0,MIN(1,AS1245/AR1245),1)</x:f>
        <x:v>0.512353193898095</x:v>
      </x:c>
      <x:c r="AU1245" s="10" t="n">
        <x:f>AB1245/INDEX(v01_RepScale,G1245)</x:f>
        <x:v>161.06496505060727</x:v>
      </x:c>
      <x:c r="AV1245" s="32" t="n">
        <x:f>AM1245*60/v01_SeasonSeconds</x:f>
        <x:v>13989.119549272395</x:v>
      </x:c>
    </x:row>
    <x:row r="1246">
      <x:c r="A1246" s="8" t="n">
        <x:f>A1245+1</x:f>
        <x:v>1243</x:v>
      </x:c>
      <x:c r="B1246" s="9" t="n">
        <x:f>A1246*v01_SeasonSeconds/60</x:f>
        <x:v>310.75</x:v>
      </x:c>
      <x:c r="C1246" s="9" t="n">
        <x:f>A1246/4</x:f>
        <x:v>310.75</x:v>
      </x:c>
      <x:c r="D1246" s="8" t="n">
        <x:f>IF(MOD(A1246,4)=0,1,0)</x:f>
        <x:v>0</x:v>
      </x:c>
      <x:c r="E1246" s="8" t="n">
        <x:f>IF(AND(F1245&lt;=9,AS1245&gt;=AR1245),1,0)</x:f>
        <x:v>0</x:v>
      </x:c>
      <x:c r="F1246" s="8" t="n">
        <x:f>MIN(10,F1245+E1246)</x:f>
        <x:v>7</x:v>
      </x:c>
      <x:c r="G1246" s="8" t="n">
        <x:f>MIN(F1246,9)+1</x:f>
        <x:v>8</x:v>
      </x:c>
      <x:c r="H1246" s="8" t="n">
        <x:f>IF(F1246&lt;=9,1,0)</x:f>
        <x:v>1</x:v>
      </x:c>
      <x:c r="I1246" s="9" t="n">
        <x:f>MIN(10,F1245+IF(AR1245&gt;0,MIN(1,AS1245/AR1245),1))</x:f>
        <x:v>7.512353193898095</x:v>
      </x:c>
      <x:c r="J1246" s="32" t="n">
        <x:f>INDEX(v01_FoodCap,G1246)*Arch_FoodCap*EXP(v01_CapsByProject*SUMPRODUCT((Cap_Point&lt;=I1246)*(Cap_Kind="Food")*Cap_Ln))</x:f>
        <x:v>2500</x:v>
      </x:c>
      <x:c r="K1246" s="32" t="n">
        <x:f>J1246*MIN(1,v01_LeanBase*EXP(v01_CapsByProject*SUMPRODUCT((Cap_Point&lt;=I1246)*(Cap_Kind="Lean")*Cap_Ln)))</x:f>
        <x:v>2500</x:v>
      </x:c>
      <x:c r="L1246" s="10" t="n">
        <x:f>INDEX(v01_HousingCap,G1246)*EXP(v01_CapsByProject*SUMPRODUCT((Cap_Point&lt;=I1246)*(Cap_Kind="Housing")*Cap_Ln))</x:f>
        <x:v>4000</x:v>
      </x:c>
      <x:c r="M1246" s="10" t="n">
        <x:f>INDEX(v01_GroupCap,G1246)*v01_CohesionFactor*EXP(v01_CapsByProject*SUMPRODUCT((Cap_Point&lt;=I1246)*(Cap_Kind="Group")*Cap_Ln))</x:f>
        <x:v>1000000</x:v>
      </x:c>
      <x:c r="N1246" s="32" t="n">
        <x:f>MIN(J1246,L1246,M1246)</x:f>
        <x:v>2500</x:v>
      </x:c>
      <x:c r="O1246" s="10" t="n">
        <x:f>AE1245*N1246</x:f>
        <x:v>40000</x:v>
      </x:c>
      <x:c r="P1246" s="9" t="n">
        <x:f>MIN(1,(AB1245/(AE1245*IF(v01_GroupInCrowding=1,N1246,MIN(J1246,L1246))))^v01_CrowdingExp)</x:f>
        <x:v>0.004262324870640871</x:v>
      </x:c>
      <x:c r="Q1246" s="9" t="n">
        <x:f>IF(D1246=1,INDEX(v01_WinterMult,G1246),1)</x:f>
        <x:v>1</x:v>
      </x:c>
      <x:c r="R1246" s="9" t="n">
        <x:f>H1246*Z1245*v01_WomenShare*v01_BaseFertility*INDEX(v01_FertMult,G1246)*Arch_Fertility*(1-P1246)</x:f>
        <x:v>201.52252183184706</x:v>
      </x:c>
      <x:c r="S1246" s="9" t="n">
        <x:f>H1246*Y1245*INDEX(v01_MortChild,G1246)/4*Q1246</x:f>
        <x:v>25.214651084232536</x:v>
      </x:c>
      <x:c r="T1246" s="9" t="n">
        <x:f>H1246*Z1245*INDEX(v01_MortAdult,G1246)*Arch_AdultMort/4*Q1246</x:f>
        <x:v>11.805800597696468</x:v>
      </x:c>
      <x:c r="U1246" s="9" t="n">
        <x:f>H1246*AA1245*INDEX(v01_MortElder,G1246)/4*Q1246</x:f>
        <x:v>32.95522223941399</x:v>
      </x:c>
      <x:c r="V1246" s="9" t="n">
        <x:f>H1246*MAX(0,AB1245-O1246)*v01_OvercapLoss</x:f>
        <x:v>0</x:v>
      </x:c>
      <x:c r="W1246" s="9" t="n">
        <x:f>H1246*Y1245/(v01_ChildYears*4)</x:f>
        <x:v>120.069767067774</x:v>
      </x:c>
      <x:c r="X1246" s="9" t="n">
        <x:f>H1246*Z1245/(v01_AdultYears*4)</x:f>
        <x:v>54.40461104929248</x:v>
      </x:c>
      <x:c r="Y1246" s="32" t="n">
        <x:f>Y1245+R1246-S1246-W1246-Y1245*V1246/AB1245</x:f>
        <x:v>6780.145059475185</x:v>
      </x:c>
      <x:c r="Z1246" s="32" t="n">
        <x:f>Z1245+W1246-X1246-T1246-Z1245*V1246/AB1245</x:f>
        <x:v>6800.031125533052</x:v>
      </x:c>
      <x:c r="AA1246" s="32" t="n">
        <x:f>AA1245+X1246-U1246-AA1245*V1246/AB1245</x:f>
        <x:v>2657.8671679629974</x:v>
      </x:c>
      <x:c r="AB1246" s="10" t="n">
        <x:f>Y1246+Z1246+AA1246</x:f>
        <x:v>16238.043352971234</x:v>
      </x:c>
      <x:c r="AC1246" s="8" t="n">
        <x:f>IF(AND(v01_WinterTrigger=1,D1246=1,AB1245/AE1245&gt;=K1246),1,0)</x:f>
        <x:v>0</x:v>
      </x:c>
      <x:c r="AD1246" s="8" t="n">
        <x:f>H1246*IF(AND(OR(AB1245/AE1245&gt;=v01_FissionTrigger*N1246,AC1246=1),AB1245/AE1245*v01_DaughterShare&gt;=v01_MinDaughter),MAX(1,ROUND(AE1245*v01_FissionRate,0)),0)</x:f>
        <x:v>0</x:v>
      </x:c>
      <x:c r="AE1246" s="8" t="n">
        <x:f>IF(H1246=1,MAX(1,MIN(INDEX(v01_Smax,G1246),AE1245+AD1246)),AE1245)</x:f>
        <x:v>16</x:v>
      </x:c>
      <x:c r="AF1246" s="8" t="n">
        <x:f>MAX(0,AE1246-AE1245)</x:f>
        <x:v>0</x:v>
      </x:c>
      <x:c r="AG1246" s="9" t="str">
        <x:f>IF(AF1246&gt;0,B1246,"")</x:f>
      </x:c>
      <x:c r="AH1246" s="9" t="n">
        <x:f>IF(F1246&gt;=1,1,(1+v01_LowTiesShare*(AE1246-1))/AE1246)</x:f>
        <x:v>1</x:v>
      </x:c>
      <x:c r="AI1246" s="32" t="n">
        <x:f>(Z1246+v01_ElderCommons*INDEX(LM_Elder,G1246)*AA1246)*AH1246</x:f>
        <x:v>16767.033005394293</x:v>
      </x:c>
      <x:c r="AJ1246" s="32" t="n">
        <x:f>H1246*v01_CommonsCoef*AI1246^v01_CommonsExp*INDEX(LM_Commons,G1246)</x:f>
        <x:v>4565.052083979017</x:v>
      </x:c>
      <x:c r="AK1246" s="32" t="n">
        <x:f>H1246*v01_RoleScale*Arch_Roles*(AE1246*(INDEX(v01_ElderRolePerSett,G1246)*v01_OutElder*INDEX(LM_Elder,G1246)+INDEX(v01_ShamanPerSett,G1246)*v01_OutShaman)+Z1246*(INDEX(v01_PriestShare,G1246)*v01_OutPriest+INDEX(v01_ScribeShare,G1246)*v01_OutScribe*INDEX(LM_Scribe,G1246)+INDEX(v01_ScholarShare,G1246)*v01_OutScholar*INDEX(LM_Scholar,G1246)+INDEX(v01_ResearcherShare,G1246)*v01_OutResearcher*INDEX(LM_Researcher,G1246)))</x:f>
        <x:v>1276.509595748332</x:v>
      </x:c>
      <x:c r="AL1246" s="32" t="n">
        <x:f>H1246*v01_RoleScale*Arch_Roles*AE1246*INDEX(v01_MonasteryPerSett,G1246)*v01_OutMonastery*INDEX(LM_Monastery,G1246)</x:f>
        <x:v>10.56</x:v>
      </x:c>
      <x:c r="AM1246" s="32" t="n">
        <x:f>(AJ1246+AK1246+AL1246)/4*INDEX(LM_All,G1246)*INDEX(v01_Boon,G1246)*Arch_Insight</x:f>
        <x:v>3521.8217263424826</x:v>
      </x:c>
      <x:c r="AN1246" s="32" t="n">
        <x:f>H1246*(v01_KHPerAdult*Z1246+v01_KHOfCommons*AJ1246/4*INDEX(LM_All,G1246))*v01_KHUsable*Arch_KH</x:f>
        <x:v>238.0010893936568</x:v>
      </x:c>
      <x:c r="AO1246" s="32" t="n">
        <x:f>MIN(AP1245+AN1246,AM1246*v01_KHMaxRatio)</x:f>
        <x:v>238.0010893936568</x:v>
      </x:c>
      <x:c r="AP1246" s="32" t="n">
        <x:f>AP1245+AN1246-AO1246</x:f>
        <x:v>0</x:v>
      </x:c>
      <x:c r="AQ1246" s="32" t="n">
        <x:f>AM1246+AO1246</x:f>
        <x:v>3759.8228157361395</x:v>
      </x:c>
      <x:c r="AR1246" s="10" t="n">
        <x:f>IF(H1246=1,INDEX(v01_Req,G1246),0)</x:f>
        <x:v>240231.2486535</x:v>
      </x:c>
      <x:c r="AS1246" s="32" t="n">
        <x:f>IF(H1246=1,IF(E1246=1,AS1245-AR1245,AS1245)+AQ1246,0)</x:f>
        <x:v>126843.07033748429</x:v>
      </x:c>
      <x:c r="AT1246" s="11" t="n">
        <x:f>IF(AR1246&gt;0,MIN(1,AS1246/AR1246),1)</x:f>
        <x:v>0.5280040421404032</x:v>
      </x:c>
      <x:c r="AU1246" s="10" t="n">
        <x:f>AB1246/INDEX(v01_RepScale,G1246)</x:f>
        <x:v>162.38043352971235</x:v>
      </x:c>
      <x:c r="AV1246" s="32" t="n">
        <x:f>AM1246*60/v01_SeasonSeconds</x:f>
        <x:v>14087.28690536993</x:v>
      </x:c>
    </x:row>
    <x:row r="1247">
      <x:c r="A1247" s="8" t="n">
        <x:f>A1246+1</x:f>
        <x:v>1244</x:v>
      </x:c>
      <x:c r="B1247" s="9" t="n">
        <x:f>A1247*v01_SeasonSeconds/60</x:f>
        <x:v>311</x:v>
      </x:c>
      <x:c r="C1247" s="9" t="n">
        <x:f>A1247/4</x:f>
        <x:v>311</x:v>
      </x:c>
      <x:c r="D1247" s="8" t="n">
        <x:f>IF(MOD(A1247,4)=0,1,0)</x:f>
        <x:v>1</x:v>
      </x:c>
      <x:c r="E1247" s="8" t="n">
        <x:f>IF(AND(F1246&lt;=9,AS1246&gt;=AR1246),1,0)</x:f>
        <x:v>0</x:v>
      </x:c>
      <x:c r="F1247" s="8" t="n">
        <x:f>MIN(10,F1246+E1247)</x:f>
        <x:v>7</x:v>
      </x:c>
      <x:c r="G1247" s="8" t="n">
        <x:f>MIN(F1247,9)+1</x:f>
        <x:v>8</x:v>
      </x:c>
      <x:c r="H1247" s="8" t="n">
        <x:f>IF(F1247&lt;=9,1,0)</x:f>
        <x:v>1</x:v>
      </x:c>
      <x:c r="I1247" s="9" t="n">
        <x:f>MIN(10,F1246+IF(AR1246&gt;0,MIN(1,AS1246/AR1246),1))</x:f>
        <x:v>7.528004042140403</x:v>
      </x:c>
      <x:c r="J1247" s="32" t="n">
        <x:f>INDEX(v01_FoodCap,G1247)*Arch_FoodCap*EXP(v01_CapsByProject*SUMPRODUCT((Cap_Point&lt;=I1247)*(Cap_Kind="Food")*Cap_Ln))</x:f>
        <x:v>2500</x:v>
      </x:c>
      <x:c r="K1247" s="32" t="n">
        <x:f>J1247*MIN(1,v01_LeanBase*EXP(v01_CapsByProject*SUMPRODUCT((Cap_Point&lt;=I1247)*(Cap_Kind="Lean")*Cap_Ln)))</x:f>
        <x:v>2500</x:v>
      </x:c>
      <x:c r="L1247" s="10" t="n">
        <x:f>INDEX(v01_HousingCap,G1247)*EXP(v01_CapsByProject*SUMPRODUCT((Cap_Point&lt;=I1247)*(Cap_Kind="Housing")*Cap_Ln))</x:f>
        <x:v>4000</x:v>
      </x:c>
      <x:c r="M1247" s="10" t="n">
        <x:f>INDEX(v01_GroupCap,G1247)*v01_CohesionFactor*EXP(v01_CapsByProject*SUMPRODUCT((Cap_Point&lt;=I1247)*(Cap_Kind="Group")*Cap_Ln))</x:f>
        <x:v>1000000</x:v>
      </x:c>
      <x:c r="N1247" s="32" t="n">
        <x:f>MIN(J1247,L1247,M1247)</x:f>
        <x:v>2500</x:v>
      </x:c>
      <x:c r="O1247" s="10" t="n">
        <x:f>AE1246*N1247</x:f>
        <x:v>40000</x:v>
      </x:c>
      <x:c r="P1247" s="9" t="n">
        <x:f>MIN(1,(AB1246/(AE1246*IF(v01_GroupInCrowding=1,N1247,MIN(J1247,L1247))))^v01_CrowdingExp)</x:f>
        <x:v>0.0044755069042258</x:v>
      </x:c>
      <x:c r="Q1247" s="9" t="n">
        <x:f>IF(D1247=1,INDEX(v01_WinterMult,G1247),1)</x:f>
        <x:v>1</x:v>
      </x:c>
      <x:c r="R1247" s="9" t="n">
        <x:f>H1247*Z1246*v01_WomenShare*v01_BaseFertility*INDEX(v01_FertMult,G1247)*Arch_Fertility*(1-P1247)</x:f>
        <x:v>203.08792617845333</x:v>
      </x:c>
      <x:c r="S1247" s="9" t="n">
        <x:f>H1247*Y1246*INDEX(v01_MortChild,G1247)/4*Q1247</x:f>
        <x:v>25.425543973031942</x:v>
      </x:c>
      <x:c r="T1247" s="9" t="n">
        <x:f>H1247*Z1246*INDEX(v01_MortAdult,G1247)*Arch_AdultMort/4*Q1247</x:f>
        <x:v>11.900054469682841</x:v>
      </x:c>
      <x:c r="U1247" s="9" t="n">
        <x:f>H1247*AA1246*INDEX(v01_MortElder,G1247)/4*Q1247</x:f>
        <x:v>33.22333959953747</x:v>
      </x:c>
      <x:c r="V1247" s="9" t="n">
        <x:f>H1247*MAX(0,AB1246-O1247)*v01_OvercapLoss</x:f>
        <x:v>0</x:v>
      </x:c>
      <x:c r="W1247" s="9" t="n">
        <x:f>H1247*Y1246/(v01_ChildYears*4)</x:f>
        <x:v>121.07401891919973</x:v>
      </x:c>
      <x:c r="X1247" s="9" t="n">
        <x:f>H1247*Z1246/(v01_AdultYears*4)</x:f>
        <x:v>54.838960689782674</x:v>
      </x:c>
      <x:c r="Y1247" s="32" t="n">
        <x:f>Y1246+R1247-S1247-W1247-Y1246*V1247/AB1246</x:f>
        <x:v>6836.733422761406</x:v>
      </x:c>
      <x:c r="Z1247" s="32" t="n">
        <x:f>Z1246+W1247-X1247-T1247-Z1246*V1247/AB1246</x:f>
        <x:v>6854.366129292786</x:v>
      </x:c>
      <x:c r="AA1247" s="32" t="n">
        <x:f>AA1246+X1247-U1247-AA1246*V1247/AB1246</x:f>
        <x:v>2679.4827890532424</x:v>
      </x:c>
      <x:c r="AB1247" s="10" t="n">
        <x:f>Y1247+Z1247+AA1247</x:f>
        <x:v>16370.582341107434</x:v>
      </x:c>
      <x:c r="AC1247" s="8" t="n">
        <x:f>IF(AND(v01_WinterTrigger=1,D1247=1,AB1246/AE1246&gt;=K1247),1,0)</x:f>
        <x:v>0</x:v>
      </x:c>
      <x:c r="AD1247" s="8" t="n">
        <x:f>H1247*IF(AND(OR(AB1246/AE1246&gt;=v01_FissionTrigger*N1247,AC1247=1),AB1246/AE1246*v01_DaughterShare&gt;=v01_MinDaughter),MAX(1,ROUND(AE1246*v01_FissionRate,0)),0)</x:f>
        <x:v>0</x:v>
      </x:c>
      <x:c r="AE1247" s="8" t="n">
        <x:f>IF(H1247=1,MAX(1,MIN(INDEX(v01_Smax,G1247),AE1246+AD1247)),AE1246)</x:f>
        <x:v>16</x:v>
      </x:c>
      <x:c r="AF1247" s="8" t="n">
        <x:f>MAX(0,AE1247-AE1246)</x:f>
        <x:v>0</x:v>
      </x:c>
      <x:c r="AG1247" s="9" t="str">
        <x:f>IF(AF1247&gt;0,B1247,"")</x:f>
      </x:c>
      <x:c r="AH1247" s="9" t="n">
        <x:f>IF(F1247&gt;=1,1,(1+v01_LowTiesShare*(AE1247-1))/AE1247)</x:f>
        <x:v>1</x:v>
      </x:c>
      <x:c r="AI1247" s="32" t="n">
        <x:f>(Z1247+v01_ElderCommons*INDEX(LM_Elder,G1247)*AA1247)*AH1247</x:f>
        <x:v>16902.426588242444</x:v>
      </x:c>
      <x:c r="AJ1247" s="32" t="n">
        <x:f>H1247*v01_CommonsCoef*AI1247^v01_CommonsExp*INDEX(LM_Commons,G1247)</x:f>
        <x:v>4596.366494197142</x:v>
      </x:c>
      <x:c r="AK1247" s="32" t="n">
        <x:f>H1247*v01_RoleScale*Arch_Roles*(AE1247*(INDEX(v01_ElderRolePerSett,G1247)*v01_OutElder*INDEX(LM_Elder,G1247)+INDEX(v01_ShamanPerSett,G1247)*v01_OutShaman)+Z1247*(INDEX(v01_PriestShare,G1247)*v01_OutPriest+INDEX(v01_ScribeShare,G1247)*v01_OutScribe*INDEX(LM_Scribe,G1247)+INDEX(v01_ScholarShare,G1247)*v01_OutScholar*INDEX(LM_Scholar,G1247)+INDEX(v01_ResearcherShare,G1247)*v01_OutResearcher*INDEX(LM_Researcher,G1247)))</x:f>
        <x:v>1286.2779427242572</x:v>
      </x:c>
      <x:c r="AL1247" s="32" t="n">
        <x:f>H1247*v01_RoleScale*Arch_Roles*AE1247*INDEX(v01_MonasteryPerSett,G1247)*v01_OutMonastery*INDEX(LM_Monastery,G1247)</x:f>
        <x:v>10.56</x:v>
      </x:c>
      <x:c r="AM1247" s="32" t="n">
        <x:f>(AJ1247+AK1247+AL1247)/4*INDEX(LM_All,G1247)*INDEX(v01_Boon,G1247)*Arch_Insight</x:f>
        <x:v>3546.545434218427</x:v>
      </x:c>
      <x:c r="AN1247" s="32" t="n">
        <x:f>H1247*(v01_KHPerAdult*Z1247+v01_KHOfCommons*AJ1247/4*INDEX(LM_All,G1247))*v01_KHUsable*Arch_KH</x:f>
        <x:v>239.90281452524752</x:v>
      </x:c>
      <x:c r="AO1247" s="32" t="n">
        <x:f>MIN(AP1246+AN1247,AM1247*v01_KHMaxRatio)</x:f>
        <x:v>239.90281452524752</x:v>
      </x:c>
      <x:c r="AP1247" s="32" t="n">
        <x:f>AP1246+AN1247-AO1247</x:f>
        <x:v>0</x:v>
      </x:c>
      <x:c r="AQ1247" s="32" t="n">
        <x:f>AM1247+AO1247</x:f>
        <x:v>3786.4482487436744</x:v>
      </x:c>
      <x:c r="AR1247" s="10" t="n">
        <x:f>IF(H1247=1,INDEX(v01_Req,G1247),0)</x:f>
        <x:v>240231.2486535</x:v>
      </x:c>
      <x:c r="AS1247" s="32" t="n">
        <x:f>IF(H1247=1,IF(E1247=1,AS1246-AR1246,AS1246)+AQ1247,0)</x:f>
        <x:v>130629.51858622796</x:v>
      </x:c>
      <x:c r="AT1247" s="11" t="n">
        <x:f>IF(AR1247&gt;0,MIN(1,AS1247/AR1247),1)</x:f>
        <x:v>0.543765722895787</x:v>
      </x:c>
      <x:c r="AU1247" s="10" t="n">
        <x:f>AB1247/INDEX(v01_RepScale,G1247)</x:f>
        <x:v>163.70582341107433</x:v>
      </x:c>
      <x:c r="AV1247" s="32" t="n">
        <x:f>AM1247*60/v01_SeasonSeconds</x:f>
        <x:v>14186.181736873708</x:v>
      </x:c>
    </x:row>
    <x:row r="1248">
      <x:c r="A1248" s="8" t="n">
        <x:f>A1247+1</x:f>
        <x:v>1245</x:v>
      </x:c>
      <x:c r="B1248" s="9" t="n">
        <x:f>A1248*v01_SeasonSeconds/60</x:f>
        <x:v>311.25</x:v>
      </x:c>
      <x:c r="C1248" s="9" t="n">
        <x:f>A1248/4</x:f>
        <x:v>311.25</x:v>
      </x:c>
      <x:c r="D1248" s="8" t="n">
        <x:f>IF(MOD(A1248,4)=0,1,0)</x:f>
        <x:v>0</x:v>
      </x:c>
      <x:c r="E1248" s="8" t="n">
        <x:f>IF(AND(F1247&lt;=9,AS1247&gt;=AR1247),1,0)</x:f>
        <x:v>0</x:v>
      </x:c>
      <x:c r="F1248" s="8" t="n">
        <x:f>MIN(10,F1247+E1248)</x:f>
        <x:v>7</x:v>
      </x:c>
      <x:c r="G1248" s="8" t="n">
        <x:f>MIN(F1248,9)+1</x:f>
        <x:v>8</x:v>
      </x:c>
      <x:c r="H1248" s="8" t="n">
        <x:f>IF(F1248&lt;=9,1,0)</x:f>
        <x:v>1</x:v>
      </x:c>
      <x:c r="I1248" s="9" t="n">
        <x:f>MIN(10,F1247+IF(AR1247&gt;0,MIN(1,AS1247/AR1247),1))</x:f>
        <x:v>7.543765722895787</x:v>
      </x:c>
      <x:c r="J1248" s="32" t="n">
        <x:f>INDEX(v01_FoodCap,G1248)*Arch_FoodCap*EXP(v01_CapsByProject*SUMPRODUCT((Cap_Point&lt;=I1248)*(Cap_Kind="Food")*Cap_Ln))</x:f>
        <x:v>2500</x:v>
      </x:c>
      <x:c r="K1248" s="32" t="n">
        <x:f>J1248*MIN(1,v01_LeanBase*EXP(v01_CapsByProject*SUMPRODUCT((Cap_Point&lt;=I1248)*(Cap_Kind="Lean")*Cap_Ln)))</x:f>
        <x:v>2500</x:v>
      </x:c>
      <x:c r="L1248" s="10" t="n">
        <x:f>INDEX(v01_HousingCap,G1248)*EXP(v01_CapsByProject*SUMPRODUCT((Cap_Point&lt;=I1248)*(Cap_Kind="Housing")*Cap_Ln))</x:f>
        <x:v>4000</x:v>
      </x:c>
      <x:c r="M1248" s="10" t="n">
        <x:f>INDEX(v01_GroupCap,G1248)*v01_CohesionFactor*EXP(v01_CapsByProject*SUMPRODUCT((Cap_Point&lt;=I1248)*(Cap_Kind="Group")*Cap_Ln))</x:f>
        <x:v>1000000</x:v>
      </x:c>
      <x:c r="N1248" s="32" t="n">
        <x:f>MIN(J1248,L1248,M1248)</x:f>
        <x:v>2500</x:v>
      </x:c>
      <x:c r="O1248" s="10" t="n">
        <x:f>AE1247*N1248</x:f>
        <x:v>40000</x:v>
      </x:c>
      <x:c r="P1248" s="9" t="n">
        <x:f>MIN(1,(AB1247/(AE1247*IF(v01_GroupInCrowding=1,N1248,MIN(J1248,L1248))))^v01_CrowdingExp)</x:f>
        <x:v>0.004699209677569087</x:v>
      </x:c>
      <x:c r="Q1248" s="9" t="n">
        <x:f>IF(D1248=1,INDEX(v01_WinterMult,G1248),1)</x:f>
        <x:v>1</x:v>
      </x:c>
      <x:c r="R1248" s="9" t="n">
        <x:f>H1248*Z1247*v01_WomenShare*v01_BaseFertility*INDEX(v01_FertMult,G1248)*Arch_Fertility*(1-P1248)</x:f>
        <x:v>204.66468076933234</x:v>
      </x:c>
      <x:c r="S1248" s="9" t="n">
        <x:f>H1248*Y1247*INDEX(v01_MortChild,G1248)/4*Q1248</x:f>
        <x:v>25.63775033535527</x:v>
      </x:c>
      <x:c r="T1248" s="9" t="n">
        <x:f>H1248*Z1247*INDEX(v01_MortAdult,G1248)*Arch_AdultMort/4*Q1248</x:f>
        <x:v>11.995140726262376</x:v>
      </x:c>
      <x:c r="U1248" s="9" t="n">
        <x:f>H1248*AA1247*INDEX(v01_MortElder,G1248)/4*Q1248</x:f>
        <x:v>33.49353486316553</x:v>
      </x:c>
      <x:c r="V1248" s="9" t="n">
        <x:f>H1248*MAX(0,AB1247-O1248)*v01_OvercapLoss</x:f>
        <x:v>0</x:v>
      </x:c>
      <x:c r="W1248" s="9" t="n">
        <x:f>H1248*Y1247/(v01_ChildYears*4)</x:f>
        <x:v>122.08452540645366</x:v>
      </x:c>
      <x:c r="X1248" s="9" t="n">
        <x:f>H1248*Z1247/(v01_AdultYears*4)</x:f>
        <x:v>55.277146203974084</x:v>
      </x:c>
      <x:c r="Y1248" s="32" t="n">
        <x:f>Y1247+R1248-S1248-W1248-Y1247*V1248/AB1247</x:f>
        <x:v>6893.675827788929</x:v>
      </x:c>
      <x:c r="Z1248" s="32" t="n">
        <x:f>Z1247+W1248-X1248-T1248-Z1247*V1248/AB1247</x:f>
        <x:v>6909.178367769004</x:v>
      </x:c>
      <x:c r="AA1248" s="32" t="n">
        <x:f>AA1247+X1248-U1248-AA1247*V1248/AB1247</x:f>
        <x:v>2701.266400394051</x:v>
      </x:c>
      <x:c r="AB1248" s="10" t="n">
        <x:f>Y1248+Z1248+AA1248</x:f>
        <x:v>16504.120595951983</x:v>
      </x:c>
      <x:c r="AC1248" s="8" t="n">
        <x:f>IF(AND(v01_WinterTrigger=1,D1248=1,AB1247/AE1247&gt;=K1248),1,0)</x:f>
        <x:v>0</x:v>
      </x:c>
      <x:c r="AD1248" s="8" t="n">
        <x:f>H1248*IF(AND(OR(AB1247/AE1247&gt;=v01_FissionTrigger*N1248,AC1248=1),AB1247/AE1247*v01_DaughterShare&gt;=v01_MinDaughter),MAX(1,ROUND(AE1247*v01_FissionRate,0)),0)</x:f>
        <x:v>0</x:v>
      </x:c>
      <x:c r="AE1248" s="8" t="n">
        <x:f>IF(H1248=1,MAX(1,MIN(INDEX(v01_Smax,G1248),AE1247+AD1248)),AE1247)</x:f>
        <x:v>16</x:v>
      </x:c>
      <x:c r="AF1248" s="8" t="n">
        <x:f>MAX(0,AE1248-AE1247)</x:f>
        <x:v>0</x:v>
      </x:c>
      <x:c r="AG1248" s="9" t="str">
        <x:f>IF(AF1248&gt;0,B1248,"")</x:f>
      </x:c>
      <x:c r="AH1248" s="9" t="n">
        <x:f>IF(F1248&gt;=1,1,(1+v01_LowTiesShare*(AE1248-1))/AE1248)</x:f>
        <x:v>1</x:v>
      </x:c>
      <x:c r="AI1248" s="32" t="n">
        <x:f>(Z1248+v01_ElderCommons*INDEX(LM_Elder,G1248)*AA1248)*AH1248</x:f>
        <x:v>17038.927369246696</x:v>
      </x:c>
      <x:c r="AJ1248" s="32" t="n">
        <x:f>H1248*v01_CommonsCoef*AI1248^v01_CommonsExp*INDEX(LM_Commons,G1248)</x:f>
        <x:v>4627.898916869708</x:v>
      </x:c>
      <x:c r="AK1248" s="32" t="n">
        <x:f>H1248*v01_RoleScale*Arch_Roles*(AE1248*(INDEX(v01_ElderRolePerSett,G1248)*v01_OutElder*INDEX(LM_Elder,G1248)+INDEX(v01_ShamanPerSett,G1248)*v01_OutShaman)+Z1248*(INDEX(v01_PriestShare,G1248)*v01_OutPriest+INDEX(v01_ScribeShare,G1248)*v01_OutScribe*INDEX(LM_Scribe,G1248)+INDEX(v01_ScholarShare,G1248)*v01_OutScholar*INDEX(LM_Scholar,G1248)+INDEX(v01_ResearcherShare,G1248)*v01_OutResearcher*INDEX(LM_Researcher,G1248)))</x:f>
        <x:v>1296.1320869575115</x:v>
      </x:c>
      <x:c r="AL1248" s="32" t="n">
        <x:f>H1248*v01_RoleScale*Arch_Roles*AE1248*INDEX(v01_MonasteryPerSett,G1248)*v01_OutMonastery*INDEX(LM_Monastery,G1248)</x:f>
        <x:v>10.56</x:v>
      </x:c>
      <x:c r="AM1248" s="32" t="n">
        <x:f>(AJ1248+AK1248+AL1248)/4*INDEX(LM_All,G1248)*INDEX(v01_Boon,G1248)*Arch_Insight</x:f>
        <x:v>3571.4519755524134</x:v>
      </x:c>
      <x:c r="AN1248" s="32" t="n">
        <x:f>H1248*(v01_KHPerAdult*Z1248+v01_KHOfCommons*AJ1248/4*INDEX(LM_All,G1248))*v01_KHUsable*Arch_KH</x:f>
        <x:v>241.82124287191513</x:v>
      </x:c>
      <x:c r="AO1248" s="32" t="n">
        <x:f>MIN(AP1247+AN1248,AM1248*v01_KHMaxRatio)</x:f>
        <x:v>241.82124287191513</x:v>
      </x:c>
      <x:c r="AP1248" s="32" t="n">
        <x:f>AP1247+AN1248-AO1248</x:f>
        <x:v>0</x:v>
      </x:c>
      <x:c r="AQ1248" s="32" t="n">
        <x:f>AM1248+AO1248</x:f>
        <x:v>3813.2732184243287</x:v>
      </x:c>
      <x:c r="AR1248" s="10" t="n">
        <x:f>IF(H1248=1,INDEX(v01_Req,G1248),0)</x:f>
        <x:v>240231.2486535</x:v>
      </x:c>
      <x:c r="AS1248" s="32" t="n">
        <x:f>IF(H1248=1,IF(E1248=1,AS1247-AR1247,AS1247)+AQ1248,0)</x:f>
        <x:v>134442.79180465228</x:v>
      </x:c>
      <x:c r="AT1248" s="11" t="n">
        <x:f>IF(AR1248&gt;0,MIN(1,AS1248/AR1248),1)</x:f>
        <x:v>0.5596390667667354</x:v>
      </x:c>
      <x:c r="AU1248" s="10" t="n">
        <x:f>AB1248/INDEX(v01_RepScale,G1248)</x:f>
        <x:v>165.04120595951983</x:v>
      </x:c>
      <x:c r="AV1248" s="32" t="n">
        <x:f>AM1248*60/v01_SeasonSeconds</x:f>
        <x:v>14285.807902209654</x:v>
      </x:c>
    </x:row>
    <x:row r="1249">
      <x:c r="A1249" s="8" t="n">
        <x:f>A1248+1</x:f>
        <x:v>1246</x:v>
      </x:c>
      <x:c r="B1249" s="9" t="n">
        <x:f>A1249*v01_SeasonSeconds/60</x:f>
        <x:v>311.5</x:v>
      </x:c>
      <x:c r="C1249" s="9" t="n">
        <x:f>A1249/4</x:f>
        <x:v>311.5</x:v>
      </x:c>
      <x:c r="D1249" s="8" t="n">
        <x:f>IF(MOD(A1249,4)=0,1,0)</x:f>
        <x:v>0</x:v>
      </x:c>
      <x:c r="E1249" s="8" t="n">
        <x:f>IF(AND(F1248&lt;=9,AS1248&gt;=AR1248),1,0)</x:f>
        <x:v>0</x:v>
      </x:c>
      <x:c r="F1249" s="8" t="n">
        <x:f>MIN(10,F1248+E1249)</x:f>
        <x:v>7</x:v>
      </x:c>
      <x:c r="G1249" s="8" t="n">
        <x:f>MIN(F1249,9)+1</x:f>
        <x:v>8</x:v>
      </x:c>
      <x:c r="H1249" s="8" t="n">
        <x:f>IF(F1249&lt;=9,1,0)</x:f>
        <x:v>1</x:v>
      </x:c>
      <x:c r="I1249" s="9" t="n">
        <x:f>MIN(10,F1248+IF(AR1248&gt;0,MIN(1,AS1248/AR1248),1))</x:f>
        <x:v>7.559639066766735</x:v>
      </x:c>
      <x:c r="J1249" s="32" t="n">
        <x:f>INDEX(v01_FoodCap,G1249)*Arch_FoodCap*EXP(v01_CapsByProject*SUMPRODUCT((Cap_Point&lt;=I1249)*(Cap_Kind="Food")*Cap_Ln))</x:f>
        <x:v>2500</x:v>
      </x:c>
      <x:c r="K1249" s="32" t="n">
        <x:f>J1249*MIN(1,v01_LeanBase*EXP(v01_CapsByProject*SUMPRODUCT((Cap_Point&lt;=I1249)*(Cap_Kind="Lean")*Cap_Ln)))</x:f>
        <x:v>2500</x:v>
      </x:c>
      <x:c r="L1249" s="10" t="n">
        <x:f>INDEX(v01_HousingCap,G1249)*EXP(v01_CapsByProject*SUMPRODUCT((Cap_Point&lt;=I1249)*(Cap_Kind="Housing")*Cap_Ln))</x:f>
        <x:v>4000</x:v>
      </x:c>
      <x:c r="M1249" s="10" t="n">
        <x:f>INDEX(v01_GroupCap,G1249)*v01_CohesionFactor*EXP(v01_CapsByProject*SUMPRODUCT((Cap_Point&lt;=I1249)*(Cap_Kind="Group")*Cap_Ln))</x:f>
        <x:v>1000000</x:v>
      </x:c>
      <x:c r="N1249" s="32" t="n">
        <x:f>MIN(J1249,L1249,M1249)</x:f>
        <x:v>2500</x:v>
      </x:c>
      <x:c r="O1249" s="10" t="n">
        <x:f>AE1248*N1249</x:f>
        <x:v>40000</x:v>
      </x:c>
      <x:c r="P1249" s="9" t="n">
        <x:f>MIN(1,(AB1248/(AE1248*IF(v01_GroupInCrowding=1,N1249,MIN(J1249,L1249))))^v01_CrowdingExp)</x:f>
        <x:v>0.004933945889562063</x:v>
      </x:c>
      <x:c r="Q1249" s="9" t="n">
        <x:f>IF(D1249=1,INDEX(v01_WinterMult,G1249),1)</x:f>
        <x:v>1</x:v>
      </x:c>
      <x:c r="R1249" s="9" t="n">
        <x:f>H1249*Z1248*v01_WomenShare*v01_BaseFertility*INDEX(v01_FertMult,G1249)*Arch_Fertility*(1-P1249)</x:f>
        <x:v>206.25266566683297</x:v>
      </x:c>
      <x:c r="S1249" s="9" t="n">
        <x:f>H1249*Y1248*INDEX(v01_MortChild,G1249)/4*Q1249</x:f>
        <x:v>25.851284354208484</x:v>
      </x:c>
      <x:c r="T1249" s="9" t="n">
        <x:f>H1249*Z1248*INDEX(v01_MortAdult,G1249)*Arch_AdultMort/4*Q1249</x:f>
        <x:v>12.091062143595757</x:v>
      </x:c>
      <x:c r="U1249" s="9" t="n">
        <x:f>H1249*AA1248*INDEX(v01_MortElder,G1249)/4*Q1249</x:f>
        <x:v>33.76583000492564</x:v>
      </x:c>
      <x:c r="V1249" s="9" t="n">
        <x:f>H1249*MAX(0,AB1248-O1249)*v01_OvercapLoss</x:f>
        <x:v>0</x:v>
      </x:c>
      <x:c r="W1249" s="9" t="n">
        <x:f>H1249*Y1248/(v01_ChildYears*4)</x:f>
        <x:v>123.10135406765946</x:v>
      </x:c>
      <x:c r="X1249" s="9" t="n">
        <x:f>H1249*Z1248/(v01_AdultYears*4)</x:f>
        <x:v>55.7191803852339</x:v>
      </x:c>
      <x:c r="Y1249" s="32" t="n">
        <x:f>Y1248+R1249-S1249-W1249-Y1248*V1249/AB1248</x:f>
        <x:v>6950.975855033895</x:v>
      </x:c>
      <x:c r="Z1249" s="32" t="n">
        <x:f>Z1248+W1249-X1249-T1249-Z1248*V1249/AB1248</x:f>
        <x:v>6964.469479307833</x:v>
      </x:c>
      <x:c r="AA1249" s="32" t="n">
        <x:f>AA1248+X1249-U1249-AA1248*V1249/AB1248</x:f>
        <x:v>2723.219750774359</x:v>
      </x:c>
      <x:c r="AB1249" s="10" t="n">
        <x:f>Y1249+Z1249+AA1249</x:f>
        <x:v>16638.66508511609</x:v>
      </x:c>
      <x:c r="AC1249" s="8" t="n">
        <x:f>IF(AND(v01_WinterTrigger=1,D1249=1,AB1248/AE1248&gt;=K1249),1,0)</x:f>
        <x:v>0</x:v>
      </x:c>
      <x:c r="AD1249" s="8" t="n">
        <x:f>H1249*IF(AND(OR(AB1248/AE1248&gt;=v01_FissionTrigger*N1249,AC1249=1),AB1248/AE1248*v01_DaughterShare&gt;=v01_MinDaughter),MAX(1,ROUND(AE1248*v01_FissionRate,0)),0)</x:f>
        <x:v>0</x:v>
      </x:c>
      <x:c r="AE1249" s="8" t="n">
        <x:f>IF(H1249=1,MAX(1,MIN(INDEX(v01_Smax,G1249),AE1248+AD1249)),AE1248)</x:f>
        <x:v>16</x:v>
      </x:c>
      <x:c r="AF1249" s="8" t="n">
        <x:f>MAX(0,AE1249-AE1248)</x:f>
        <x:v>0</x:v>
      </x:c>
      <x:c r="AG1249" s="9" t="str">
        <x:f>IF(AF1249&gt;0,B1249,"")</x:f>
      </x:c>
      <x:c r="AH1249" s="9" t="n">
        <x:f>IF(F1249&gt;=1,1,(1+v01_LowTiesShare*(AE1249-1))/AE1249)</x:f>
        <x:v>1</x:v>
      </x:c>
      <x:c r="AI1249" s="32" t="n">
        <x:f>(Z1249+v01_ElderCommons*INDEX(LM_Elder,G1249)*AA1249)*AH1249</x:f>
        <x:v>17176.54354471168</x:v>
      </x:c>
      <x:c r="AJ1249" s="32" t="n">
        <x:f>H1249*v01_CommonsCoef*AI1249^v01_CommonsExp*INDEX(LM_Commons,G1249)</x:f>
        <x:v>4659.650668108511</x:v>
      </x:c>
      <x:c r="AK1249" s="32" t="n">
        <x:f>H1249*v01_RoleScale*Arch_Roles*(AE1249*(INDEX(v01_ElderRolePerSett,G1249)*v01_OutElder*INDEX(LM_Elder,G1249)+INDEX(v01_ShamanPerSett,G1249)*v01_OutShaman)+Z1249*(INDEX(v01_PriestShare,G1249)*v01_OutPriest+INDEX(v01_ScribeShare,G1249)*v01_OutScribe*INDEX(LM_Scribe,G1249)+INDEX(v01_ScholarShare,G1249)*v01_OutScholar*INDEX(LM_Scholar,G1249)+INDEX(v01_ResearcherShare,G1249)*v01_OutResearcher*INDEX(LM_Researcher,G1249)))</x:f>
        <x:v>1306.0723229899622</x:v>
      </x:c>
      <x:c r="AL1249" s="32" t="n">
        <x:f>H1249*v01_RoleScale*Arch_Roles*AE1249*INDEX(v01_MonasteryPerSett,G1249)*v01_OutMonastery*INDEX(LM_Monastery,G1249)</x:f>
        <x:v>10.56</x:v>
      </x:c>
      <x:c r="AM1249" s="32" t="n">
        <x:f>(AJ1249+AK1249+AL1249)/4*INDEX(LM_All,G1249)*INDEX(v01_Boon,G1249)*Arch_Insight</x:f>
        <x:v>3596.542319639916</x:v>
      </x:c>
      <x:c r="AN1249" s="32" t="n">
        <x:f>H1249*(v01_KHPerAdult*Z1249+v01_KHOfCommons*AJ1249/4*INDEX(LM_All,G1249))*v01_KHUsable*Arch_KH</x:f>
        <x:v>243.75643177577416</x:v>
      </x:c>
      <x:c r="AO1249" s="32" t="n">
        <x:f>MIN(AP1248+AN1249,AM1249*v01_KHMaxRatio)</x:f>
        <x:v>243.75643177577416</x:v>
      </x:c>
      <x:c r="AP1249" s="32" t="n">
        <x:f>AP1248+AN1249-AO1249</x:f>
        <x:v>0</x:v>
      </x:c>
      <x:c r="AQ1249" s="32" t="n">
        <x:f>AM1249+AO1249</x:f>
        <x:v>3840.2987514156903</x:v>
      </x:c>
      <x:c r="AR1249" s="10" t="n">
        <x:f>IF(H1249=1,INDEX(v01_Req,G1249),0)</x:f>
        <x:v>240231.2486535</x:v>
      </x:c>
      <x:c r="AS1249" s="32" t="n">
        <x:f>IF(H1249=1,IF(E1249=1,AS1248-AR1248,AS1248)+AQ1249,0)</x:f>
        <x:v>138283.09055606797</x:v>
      </x:c>
      <x:c r="AT1249" s="11" t="n">
        <x:f>IF(AR1249&gt;0,MIN(1,AS1249/AR1249),1)</x:f>
        <x:v>0.5756249086292766</x:v>
      </x:c>
      <x:c r="AU1249" s="10" t="n">
        <x:f>AB1249/INDEX(v01_RepScale,G1249)</x:f>
        <x:v>166.38665085116088</x:v>
      </x:c>
      <x:c r="AV1249" s="32" t="n">
        <x:f>AM1249*60/v01_SeasonSeconds</x:f>
        <x:v>14386.169278559664</x:v>
      </x:c>
    </x:row>
    <x:row r="1250">
      <x:c r="A1250" s="8" t="n">
        <x:f>A1249+1</x:f>
        <x:v>1247</x:v>
      </x:c>
      <x:c r="B1250" s="9" t="n">
        <x:f>A1250*v01_SeasonSeconds/60</x:f>
        <x:v>311.75</x:v>
      </x:c>
      <x:c r="C1250" s="9" t="n">
        <x:f>A1250/4</x:f>
        <x:v>311.75</x:v>
      </x:c>
      <x:c r="D1250" s="8" t="n">
        <x:f>IF(MOD(A1250,4)=0,1,0)</x:f>
        <x:v>0</x:v>
      </x:c>
      <x:c r="E1250" s="8" t="n">
        <x:f>IF(AND(F1249&lt;=9,AS1249&gt;=AR1249),1,0)</x:f>
        <x:v>0</x:v>
      </x:c>
      <x:c r="F1250" s="8" t="n">
        <x:f>MIN(10,F1249+E1250)</x:f>
        <x:v>7</x:v>
      </x:c>
      <x:c r="G1250" s="8" t="n">
        <x:f>MIN(F1250,9)+1</x:f>
        <x:v>8</x:v>
      </x:c>
      <x:c r="H1250" s="8" t="n">
        <x:f>IF(F1250&lt;=9,1,0)</x:f>
        <x:v>1</x:v>
      </x:c>
      <x:c r="I1250" s="9" t="n">
        <x:f>MIN(10,F1249+IF(AR1249&gt;0,MIN(1,AS1249/AR1249),1))</x:f>
        <x:v>7.575624908629276</x:v>
      </x:c>
      <x:c r="J1250" s="32" t="n">
        <x:f>INDEX(v01_FoodCap,G1250)*Arch_FoodCap*EXP(v01_CapsByProject*SUMPRODUCT((Cap_Point&lt;=I1250)*(Cap_Kind="Food")*Cap_Ln))</x:f>
        <x:v>2500</x:v>
      </x:c>
      <x:c r="K1250" s="32" t="n">
        <x:f>J1250*MIN(1,v01_LeanBase*EXP(v01_CapsByProject*SUMPRODUCT((Cap_Point&lt;=I1250)*(Cap_Kind="Lean")*Cap_Ln)))</x:f>
        <x:v>2500</x:v>
      </x:c>
      <x:c r="L1250" s="10" t="n">
        <x:f>INDEX(v01_HousingCap,G1250)*EXP(v01_CapsByProject*SUMPRODUCT((Cap_Point&lt;=I1250)*(Cap_Kind="Housing")*Cap_Ln))</x:f>
        <x:v>4000</x:v>
      </x:c>
      <x:c r="M1250" s="10" t="n">
        <x:f>INDEX(v01_GroupCap,G1250)*v01_CohesionFactor*EXP(v01_CapsByProject*SUMPRODUCT((Cap_Point&lt;=I1250)*(Cap_Kind="Group")*Cap_Ln))</x:f>
        <x:v>1000000</x:v>
      </x:c>
      <x:c r="N1250" s="32" t="n">
        <x:f>MIN(J1250,L1250,M1250)</x:f>
        <x:v>2500</x:v>
      </x:c>
      <x:c r="O1250" s="10" t="n">
        <x:f>AE1249*N1250</x:f>
        <x:v>40000</x:v>
      </x:c>
      <x:c r="P1250" s="9" t="n">
        <x:f>MIN(1,(AB1249/(AE1249*IF(v01_GroupInCrowding=1,N1250,MIN(J1250,L1250))))^v01_CrowdingExp)</x:f>
        <x:v>0.005180252539318181</x:v>
      </x:c>
      <x:c r="Q1250" s="9" t="n">
        <x:f>IF(D1250=1,INDEX(v01_WinterMult,G1250),1)</x:f>
        <x:v>1</x:v>
      </x:c>
      <x:c r="R1250" s="9" t="n">
        <x:f>H1250*Z1249*v01_WomenShare*v01_BaseFertility*INDEX(v01_FertMult,G1250)*Arch_Fertility*(1-P1250)</x:f>
        <x:v>207.85175305807934</x:v>
      </x:c>
      <x:c r="S1250" s="9" t="n">
        <x:f>H1250*Y1249*INDEX(v01_MortChild,G1250)/4*Q1250</x:f>
        <x:v>26.066159456377104</x:v>
      </x:c>
      <x:c r="T1250" s="9" t="n">
        <x:f>H1250*Z1249*INDEX(v01_MortAdult,G1250)*Arch_AdultMort/4*Q1250</x:f>
        <x:v>12.187821588788708</x:v>
      </x:c>
      <x:c r="U1250" s="9" t="n">
        <x:f>H1250*AA1249*INDEX(v01_MortElder,G1250)/4*Q1250</x:f>
        <x:v>34.04024688467949</x:v>
      </x:c>
      <x:c r="V1250" s="9" t="n">
        <x:f>H1250*MAX(0,AB1249-O1250)*v01_OvercapLoss</x:f>
        <x:v>0</x:v>
      </x:c>
      <x:c r="W1250" s="9" t="n">
        <x:f>H1250*Y1249/(v01_ChildYears*4)</x:f>
        <x:v>124.12456883989098</x:v>
      </x:c>
      <x:c r="X1250" s="9" t="n">
        <x:f>H1250*Z1249/(v01_AdultYears*4)</x:f>
        <x:v>56.165076446030916</x:v>
      </x:c>
      <x:c r="Y1250" s="32" t="n">
        <x:f>Y1249+R1250-S1250-W1250-Y1249*V1250/AB1249</x:f>
        <x:v>7008.636879795706</x:v>
      </x:c>
      <x:c r="Z1250" s="32" t="n">
        <x:f>Z1249+W1250-X1250-T1250-Z1249*V1250/AB1249</x:f>
        <x:v>7020.2411501129045</x:v>
      </x:c>
      <x:c r="AA1250" s="32" t="n">
        <x:f>AA1249+X1250-U1250-AA1249*V1250/AB1249</x:f>
        <x:v>2745.3445803357104</x:v>
      </x:c>
      <x:c r="AB1250" s="10" t="n">
        <x:f>Y1250+Z1250+AA1250</x:f>
        <x:v>16774.22261024432</x:v>
      </x:c>
      <x:c r="AC1250" s="8" t="n">
        <x:f>IF(AND(v01_WinterTrigger=1,D1250=1,AB1249/AE1249&gt;=K1250),1,0)</x:f>
        <x:v>0</x:v>
      </x:c>
      <x:c r="AD1250" s="8" t="n">
        <x:f>H1250*IF(AND(OR(AB1249/AE1249&gt;=v01_FissionTrigger*N1250,AC1250=1),AB1249/AE1249*v01_DaughterShare&gt;=v01_MinDaughter),MAX(1,ROUND(AE1249*v01_FissionRate,0)),0)</x:f>
        <x:v>0</x:v>
      </x:c>
      <x:c r="AE1250" s="8" t="n">
        <x:f>IF(H1250=1,MAX(1,MIN(INDEX(v01_Smax,G1250),AE1249+AD1250)),AE1249)</x:f>
        <x:v>16</x:v>
      </x:c>
      <x:c r="AF1250" s="8" t="n">
        <x:f>MAX(0,AE1250-AE1249)</x:f>
        <x:v>0</x:v>
      </x:c>
      <x:c r="AG1250" s="9" t="str">
        <x:f>IF(AF1250&gt;0,B1250,"")</x:f>
      </x:c>
      <x:c r="AH1250" s="9" t="n">
        <x:f>IF(F1250&gt;=1,1,(1+v01_LowTiesShare*(AE1250-1))/AE1250)</x:f>
        <x:v>1</x:v>
      </x:c>
      <x:c r="AI1250" s="32" t="n">
        <x:f>(Z1250+v01_ElderCommons*INDEX(LM_Elder,G1250)*AA1250)*AH1250</x:f>
        <x:v>17315.28332637182</x:v>
      </x:c>
      <x:c r="AJ1250" s="32" t="n">
        <x:f>H1250*v01_CommonsCoef*AI1250^v01_CommonsExp*INDEX(LM_Commons,G1250)</x:f>
        <x:v>4691.623061997769</x:v>
      </x:c>
      <x:c r="AK1250" s="32" t="n">
        <x:f>H1250*v01_RoleScale*Arch_Roles*(AE1250*(INDEX(v01_ElderRolePerSett,G1250)*v01_OutElder*INDEX(LM_Elder,G1250)+INDEX(v01_ShamanPerSett,G1250)*v01_OutShaman)+Z1250*(INDEX(v01_PriestShare,G1250)*v01_OutPriest+INDEX(v01_ScribeShare,G1250)*v01_OutScribe*INDEX(LM_Scribe,G1250)+INDEX(v01_ScholarShare,G1250)*v01_OutScholar*INDEX(LM_Scholar,G1250)+INDEX(v01_ResearcherShare,G1250)*v01_OutResearcher*INDEX(LM_Researcher,G1250)))</x:f>
        <x:v>1316.098953967298</x:v>
      </x:c>
      <x:c r="AL1250" s="32" t="n">
        <x:f>H1250*v01_RoleScale*Arch_Roles*AE1250*INDEX(v01_MonasteryPerSett,G1250)*v01_OutMonastery*INDEX(LM_Monastery,G1250)</x:f>
        <x:v>10.56</x:v>
      </x:c>
      <x:c r="AM1250" s="32" t="n">
        <x:f>(AJ1250+AK1250+AL1250)/4*INDEX(LM_All,G1250)*INDEX(v01_Boon,G1250)*Arch_Insight</x:f>
        <x:v>3621.8174397340113</x:v>
      </x:c>
      <x:c r="AN1250" s="32" t="n">
        <x:f>H1250*(v01_KHPerAdult*Z1250+v01_KHOfCommons*AJ1250/4*INDEX(LM_All,G1250))*v01_KHUsable*Arch_KH</x:f>
        <x:v>245.70844025395166</x:v>
      </x:c>
      <x:c r="AO1250" s="32" t="n">
        <x:f>MIN(AP1249+AN1250,AM1250*v01_KHMaxRatio)</x:f>
        <x:v>245.70844025395166</x:v>
      </x:c>
      <x:c r="AP1250" s="32" t="n">
        <x:f>AP1249+AN1250-AO1250</x:f>
        <x:v>0</x:v>
      </x:c>
      <x:c r="AQ1250" s="32" t="n">
        <x:f>AM1250+AO1250</x:f>
        <x:v>3867.525879987963</x:v>
      </x:c>
      <x:c r="AR1250" s="10" t="n">
        <x:f>IF(H1250=1,INDEX(v01_Req,G1250),0)</x:f>
        <x:v>240231.2486535</x:v>
      </x:c>
      <x:c r="AS1250" s="32" t="n">
        <x:f>IF(H1250=1,IF(E1250=1,AS1249-AR1249,AS1249)+AQ1250,0)</x:f>
        <x:v>142150.61643605592</x:v>
      </x:c>
      <x:c r="AT1250" s="11" t="n">
        <x:f>IF(AR1250&gt;0,MIN(1,AS1250/AR1250),1)</x:f>
        <x:v>0.5917240876564244</x:v>
      </x:c>
      <x:c r="AU1250" s="10" t="n">
        <x:f>AB1250/INDEX(v01_RepScale,G1250)</x:f>
        <x:v>167.7422261024432</x:v>
      </x:c>
      <x:c r="AV1250" s="32" t="n">
        <x:f>AM1250*60/v01_SeasonSeconds</x:f>
        <x:v>14487.269758936045</x:v>
      </x:c>
    </x:row>
    <x:row r="1251">
      <x:c r="A1251" s="8" t="n">
        <x:f>A1250+1</x:f>
        <x:v>1248</x:v>
      </x:c>
      <x:c r="B1251" s="9" t="n">
        <x:f>A1251*v01_SeasonSeconds/60</x:f>
        <x:v>312</x:v>
      </x:c>
      <x:c r="C1251" s="9" t="n">
        <x:f>A1251/4</x:f>
        <x:v>312</x:v>
      </x:c>
      <x:c r="D1251" s="8" t="n">
        <x:f>IF(MOD(A1251,4)=0,1,0)</x:f>
        <x:v>1</x:v>
      </x:c>
      <x:c r="E1251" s="8" t="n">
        <x:f>IF(AND(F1250&lt;=9,AS1250&gt;=AR1250),1,0)</x:f>
        <x:v>0</x:v>
      </x:c>
      <x:c r="F1251" s="8" t="n">
        <x:f>MIN(10,F1250+E1251)</x:f>
        <x:v>7</x:v>
      </x:c>
      <x:c r="G1251" s="8" t="n">
        <x:f>MIN(F1251,9)+1</x:f>
        <x:v>8</x:v>
      </x:c>
      <x:c r="H1251" s="8" t="n">
        <x:f>IF(F1251&lt;=9,1,0)</x:f>
        <x:v>1</x:v>
      </x:c>
      <x:c r="I1251" s="9" t="n">
        <x:f>MIN(10,F1250+IF(AR1250&gt;0,MIN(1,AS1250/AR1250),1))</x:f>
        <x:v>7.5917240876564245</x:v>
      </x:c>
      <x:c r="J1251" s="32" t="n">
        <x:f>INDEX(v01_FoodCap,G1251)*Arch_FoodCap*EXP(v01_CapsByProject*SUMPRODUCT((Cap_Point&lt;=I1251)*(Cap_Kind="Food")*Cap_Ln))</x:f>
        <x:v>2500</x:v>
      </x:c>
      <x:c r="K1251" s="32" t="n">
        <x:f>J1251*MIN(1,v01_LeanBase*EXP(v01_CapsByProject*SUMPRODUCT((Cap_Point&lt;=I1251)*(Cap_Kind="Lean")*Cap_Ln)))</x:f>
        <x:v>2500</x:v>
      </x:c>
      <x:c r="L1251" s="10" t="n">
        <x:f>INDEX(v01_HousingCap,G1251)*EXP(v01_CapsByProject*SUMPRODUCT((Cap_Point&lt;=I1251)*(Cap_Kind="Housing")*Cap_Ln))</x:f>
        <x:v>4000</x:v>
      </x:c>
      <x:c r="M1251" s="10" t="n">
        <x:f>INDEX(v01_GroupCap,G1251)*v01_CohesionFactor*EXP(v01_CapsByProject*SUMPRODUCT((Cap_Point&lt;=I1251)*(Cap_Kind="Group")*Cap_Ln))</x:f>
        <x:v>1000000</x:v>
      </x:c>
      <x:c r="N1251" s="32" t="n">
        <x:f>MIN(J1251,L1251,M1251)</x:f>
        <x:v>2500</x:v>
      </x:c>
      <x:c r="O1251" s="10" t="n">
        <x:f>AE1250*N1251</x:f>
        <x:v>40000</x:v>
      </x:c>
      <x:c r="P1251" s="9" t="n">
        <x:f>MIN(1,(AB1250/(AE1250*IF(v01_GroupInCrowding=1,N1251,MIN(J1251,L1251))))^v01_CrowdingExp)</x:f>
        <x:v>0.005438692006817316</x:v>
      </x:c>
      <x:c r="Q1251" s="9" t="n">
        <x:f>IF(D1251=1,INDEX(v01_WinterMult,G1251),1)</x:f>
        <x:v>1</x:v>
      </x:c>
      <x:c r="R1251" s="9" t="n">
        <x:f>H1251*Z1250*v01_WomenShare*v01_BaseFertility*INDEX(v01_FertMult,G1251)*Arch_Fertility*(1-P1251)</x:f>
        <x:v>209.46180662051566</x:v>
      </x:c>
      <x:c r="S1251" s="9" t="n">
        <x:f>H1251*Y1250*INDEX(v01_MortChild,G1251)/4*Q1251</x:f>
        <x:v>26.282388299233894</x:v>
      </x:c>
      <x:c r="T1251" s="9" t="n">
        <x:f>H1251*Z1250*INDEX(v01_MortAdult,G1251)*Arch_AdultMort/4*Q1251</x:f>
        <x:v>12.285422012697584</x:v>
      </x:c>
      <x:c r="U1251" s="9" t="n">
        <x:f>H1251*AA1250*INDEX(v01_MortElder,G1251)/4*Q1251</x:f>
        <x:v>34.316807254196384</x:v>
      </x:c>
      <x:c r="V1251" s="9" t="n">
        <x:f>H1251*MAX(0,AB1250-O1251)*v01_OvercapLoss</x:f>
        <x:v>0</x:v>
      </x:c>
      <x:c r="W1251" s="9" t="n">
        <x:f>H1251*Y1250/(v01_ChildYears*4)</x:f>
        <x:v>125.15422999635189</x:v>
      </x:c>
      <x:c r="X1251" s="9" t="n">
        <x:f>H1251*Z1250/(v01_AdultYears*4)</x:f>
        <x:v>56.61484798478149</x:v>
      </x:c>
      <x:c r="Y1251" s="32" t="n">
        <x:f>Y1250+R1251-S1251-W1251-Y1250*V1251/AB1250</x:f>
        <x:v>7066.662068120635</x:v>
      </x:c>
      <x:c r="Z1251" s="32" t="n">
        <x:f>Z1250+W1251-X1251-T1251-Z1250*V1251/AB1250</x:f>
        <x:v>7076.495110111778</x:v>
      </x:c>
      <x:c r="AA1251" s="32" t="n">
        <x:f>AA1250+X1251-U1251-AA1250*V1251/AB1250</x:f>
        <x:v>2767.6426210662958</x:v>
      </x:c>
      <x:c r="AB1251" s="10" t="n">
        <x:f>Y1251+Z1251+AA1251</x:f>
        <x:v>16910.799799298708</x:v>
      </x:c>
      <x:c r="AC1251" s="8" t="n">
        <x:f>IF(AND(v01_WinterTrigger=1,D1251=1,AB1250/AE1250&gt;=K1251),1,0)</x:f>
        <x:v>0</x:v>
      </x:c>
      <x:c r="AD1251" s="8" t="n">
        <x:f>H1251*IF(AND(OR(AB1250/AE1250&gt;=v01_FissionTrigger*N1251,AC1251=1),AB1250/AE1250*v01_DaughterShare&gt;=v01_MinDaughter),MAX(1,ROUND(AE1250*v01_FissionRate,0)),0)</x:f>
        <x:v>0</x:v>
      </x:c>
      <x:c r="AE1251" s="8" t="n">
        <x:f>IF(H1251=1,MAX(1,MIN(INDEX(v01_Smax,G1251),AE1250+AD1251)),AE1250)</x:f>
        <x:v>16</x:v>
      </x:c>
      <x:c r="AF1251" s="8" t="n">
        <x:f>MAX(0,AE1251-AE1250)</x:f>
        <x:v>0</x:v>
      </x:c>
      <x:c r="AG1251" s="9" t="str">
        <x:f>IF(AF1251&gt;0,B1251,"")</x:f>
      </x:c>
      <x:c r="AH1251" s="9" t="n">
        <x:f>IF(F1251&gt;=1,1,(1+v01_LowTiesShare*(AE1251-1))/AE1251)</x:f>
        <x:v>1</x:v>
      </x:c>
      <x:c r="AI1251" s="32" t="n">
        <x:f>(Z1251+v01_ElderCommons*INDEX(LM_Elder,G1251)*AA1251)*AH1251</x:f>
        <x:v>17455.154939110387</x:v>
      </x:c>
      <x:c r="AJ1251" s="32" t="n">
        <x:f>H1251*v01_CommonsCoef*AI1251^v01_CommonsExp*INDEX(LM_Commons,G1251)</x:f>
        <x:v>4723.817410081956</x:v>
      </x:c>
      <x:c r="AK1251" s="32" t="n">
        <x:f>H1251*v01_RoleScale*Arch_Roles*(AE1251*(INDEX(v01_ElderRolePerSett,G1251)*v01_OutElder*INDEX(LM_Elder,G1251)+INDEX(v01_ShamanPerSett,G1251)*v01_OutShaman)+Z1251*(INDEX(v01_PriestShare,G1251)*v01_OutPriest+INDEX(v01_ScribeShare,G1251)*v01_OutScribe*INDEX(LM_Scribe,G1251)+INDEX(v01_ScholarShare,G1251)*v01_OutScholar*INDEX(LM_Scholar,G1251)+INDEX(v01_ResearcherShare,G1251)*v01_OutResearcher*INDEX(LM_Researcher,G1251)))</x:f>
        <x:v>1326.2122908958954</x:v>
      </x:c>
      <x:c r="AL1251" s="32" t="n">
        <x:f>H1251*v01_RoleScale*Arch_Roles*AE1251*INDEX(v01_MonasteryPerSett,G1251)*v01_OutMonastery*INDEX(LM_Monastery,G1251)</x:f>
        <x:v>10.56</x:v>
      </x:c>
      <x:c r="AM1251" s="32" t="n">
        <x:f>(AJ1251+AK1251+AL1251)/4*INDEX(LM_All,G1251)*INDEX(v01_Boon,G1251)*Arch_Insight</x:f>
        <x:v>3647.2783122899323</x:v>
      </x:c>
      <x:c r="AN1251" s="32" t="n">
        <x:f>H1251*(v01_KHPerAdult*Z1251+v01_KHOfCommons*AJ1251/4*INDEX(LM_All,G1251))*v01_KHUsable*Arch_KH</x:f>
        <x:v>247.6773288539122</x:v>
      </x:c>
      <x:c r="AO1251" s="32" t="n">
        <x:f>MIN(AP1250+AN1251,AM1251*v01_KHMaxRatio)</x:f>
        <x:v>247.6773288539122</x:v>
      </x:c>
      <x:c r="AP1251" s="32" t="n">
        <x:f>AP1250+AN1251-AO1251</x:f>
        <x:v>0</x:v>
      </x:c>
      <x:c r="AQ1251" s="32" t="n">
        <x:f>AM1251+AO1251</x:f>
        <x:v>3894.9556411438443</x:v>
      </x:c>
      <x:c r="AR1251" s="10" t="n">
        <x:f>IF(H1251=1,INDEX(v01_Req,G1251),0)</x:f>
        <x:v>240231.2486535</x:v>
      </x:c>
      <x:c r="AS1251" s="32" t="n">
        <x:f>IF(H1251=1,IF(E1251=1,AS1250-AR1250,AS1250)+AQ1251,0)</x:f>
        <x:v>146045.57207719976</x:v>
      </x:c>
      <x:c r="AT1251" s="11" t="n">
        <x:f>IF(AR1251&gt;0,MIN(1,AS1251/AR1251),1)</x:f>
        <x:v>0.6079374473378777</x:v>
      </x:c>
      <x:c r="AU1251" s="10" t="n">
        <x:f>AB1251/INDEX(v01_RepScale,G1251)</x:f>
        <x:v>169.10799799298707</x:v>
      </x:c>
      <x:c r="AV1251" s="32" t="n">
        <x:f>AM1251*60/v01_SeasonSeconds</x:f>
        <x:v>14589.11324915973</x:v>
      </x:c>
    </x:row>
    <x:row r="1252">
      <x:c r="A1252" s="8" t="n">
        <x:f>A1251+1</x:f>
        <x:v>1249</x:v>
      </x:c>
      <x:c r="B1252" s="9" t="n">
        <x:f>A1252*v01_SeasonSeconds/60</x:f>
        <x:v>312.25</x:v>
      </x:c>
      <x:c r="C1252" s="9" t="n">
        <x:f>A1252/4</x:f>
        <x:v>312.25</x:v>
      </x:c>
      <x:c r="D1252" s="8" t="n">
        <x:f>IF(MOD(A1252,4)=0,1,0)</x:f>
        <x:v>0</x:v>
      </x:c>
      <x:c r="E1252" s="8" t="n">
        <x:f>IF(AND(F1251&lt;=9,AS1251&gt;=AR1251),1,0)</x:f>
        <x:v>0</x:v>
      </x:c>
      <x:c r="F1252" s="8" t="n">
        <x:f>MIN(10,F1251+E1252)</x:f>
        <x:v>7</x:v>
      </x:c>
      <x:c r="G1252" s="8" t="n">
        <x:f>MIN(F1252,9)+1</x:f>
        <x:v>8</x:v>
      </x:c>
      <x:c r="H1252" s="8" t="n">
        <x:f>IF(F1252&lt;=9,1,0)</x:f>
        <x:v>1</x:v>
      </x:c>
      <x:c r="I1252" s="9" t="n">
        <x:f>MIN(10,F1251+IF(AR1251&gt;0,MIN(1,AS1251/AR1251),1))</x:f>
        <x:v>7.607937447337878</x:v>
      </x:c>
      <x:c r="J1252" s="32" t="n">
        <x:f>INDEX(v01_FoodCap,G1252)*Arch_FoodCap*EXP(v01_CapsByProject*SUMPRODUCT((Cap_Point&lt;=I1252)*(Cap_Kind="Food")*Cap_Ln))</x:f>
        <x:v>2500</x:v>
      </x:c>
      <x:c r="K1252" s="32" t="n">
        <x:f>J1252*MIN(1,v01_LeanBase*EXP(v01_CapsByProject*SUMPRODUCT((Cap_Point&lt;=I1252)*(Cap_Kind="Lean")*Cap_Ln)))</x:f>
        <x:v>2500</x:v>
      </x:c>
      <x:c r="L1252" s="10" t="n">
        <x:f>INDEX(v01_HousingCap,G1252)*EXP(v01_CapsByProject*SUMPRODUCT((Cap_Point&lt;=I1252)*(Cap_Kind="Housing")*Cap_Ln))</x:f>
        <x:v>4000</x:v>
      </x:c>
      <x:c r="M1252" s="10" t="n">
        <x:f>INDEX(v01_GroupCap,G1252)*v01_CohesionFactor*EXP(v01_CapsByProject*SUMPRODUCT((Cap_Point&lt;=I1252)*(Cap_Kind="Group")*Cap_Ln))</x:f>
        <x:v>1000000</x:v>
      </x:c>
      <x:c r="N1252" s="32" t="n">
        <x:f>MIN(J1252,L1252,M1252)</x:f>
        <x:v>2500</x:v>
      </x:c>
      <x:c r="O1252" s="10" t="n">
        <x:f>AE1251*N1252</x:f>
        <x:v>40000</x:v>
      </x:c>
      <x:c r="P1252" s="9" t="n">
        <x:f>MIN(1,(AB1251/(AE1251*IF(v01_GroupInCrowding=1,N1252,MIN(J1252,L1252))))^v01_CrowdingExp)</x:f>
        <x:v>0.005709853174242757</x:v>
      </x:c>
      <x:c r="Q1252" s="9" t="n">
        <x:f>IF(D1252=1,INDEX(v01_WinterMult,G1252),1)</x:f>
        <x:v>1</x:v>
      </x:c>
      <x:c r="R1252" s="9" t="n">
        <x:f>H1252*Z1251*v01_WomenShare*v01_BaseFertility*INDEX(v01_FertMult,G1252)*Arch_Fertility*(1-P1252)</x:f>
        <x:v>211.0826808613438</x:v>
      </x:c>
      <x:c r="S1252" s="9" t="n">
        <x:f>H1252*Y1251*INDEX(v01_MortChild,G1252)/4*Q1252</x:f>
        <x:v>26.49998275545238</x:v>
      </x:c>
      <x:c r="T1252" s="9" t="n">
        <x:f>H1252*Z1251*INDEX(v01_MortAdult,G1252)*Arch_AdultMort/4*Q1252</x:f>
        <x:v>12.383866442695611</x:v>
      </x:c>
      <x:c r="U1252" s="9" t="n">
        <x:f>H1252*AA1251*INDEX(v01_MortElder,G1252)/4*Q1252</x:f>
        <x:v>34.5955327633287</x:v>
      </x:c>
      <x:c r="V1252" s="9" t="n">
        <x:f>H1252*MAX(0,AB1251-O1252)*v01_OvercapLoss</x:f>
        <x:v>0</x:v>
      </x:c>
      <x:c r="W1252" s="9" t="n">
        <x:f>H1252*Y1251/(v01_ChildYears*4)</x:f>
        <x:v>126.19039407358277</x:v>
      </x:c>
      <x:c r="X1252" s="9" t="n">
        <x:f>H1252*Z1251/(v01_AdultYears*4)</x:f>
        <x:v>57.068508952514335</x:v>
      </x:c>
      <x:c r="Y1252" s="32" t="n">
        <x:f>Y1251+R1252-S1252-W1252-Y1251*V1252/AB1251</x:f>
        <x:v>7125.054372152944</x:v>
      </x:c>
      <x:c r="Z1252" s="32" t="n">
        <x:f>Z1251+W1252-X1252-T1252-Z1251*V1252/AB1251</x:f>
        <x:v>7133.233128790151</x:v>
      </x:c>
      <x:c r="AA1252" s="32" t="n">
        <x:f>AA1251+X1252-U1252-AA1251*V1252/AB1251</x:f>
        <x:v>2790.1155972554816</x:v>
      </x:c>
      <x:c r="AB1252" s="10" t="n">
        <x:f>Y1252+Z1252+AA1252</x:f>
        <x:v>17048.403098198574</x:v>
      </x:c>
      <x:c r="AC1252" s="8" t="n">
        <x:f>IF(AND(v01_WinterTrigger=1,D1252=1,AB1251/AE1251&gt;=K1252),1,0)</x:f>
        <x:v>0</x:v>
      </x:c>
      <x:c r="AD1252" s="8" t="n">
        <x:f>H1252*IF(AND(OR(AB1251/AE1251&gt;=v01_FissionTrigger*N1252,AC1252=1),AB1251/AE1251*v01_DaughterShare&gt;=v01_MinDaughter),MAX(1,ROUND(AE1251*v01_FissionRate,0)),0)</x:f>
        <x:v>0</x:v>
      </x:c>
      <x:c r="AE1252" s="8" t="n">
        <x:f>IF(H1252=1,MAX(1,MIN(INDEX(v01_Smax,G1252),AE1251+AD1252)),AE1251)</x:f>
        <x:v>16</x:v>
      </x:c>
      <x:c r="AF1252" s="8" t="n">
        <x:f>MAX(0,AE1252-AE1251)</x:f>
        <x:v>0</x:v>
      </x:c>
      <x:c r="AG1252" s="9" t="str">
        <x:f>IF(AF1252&gt;0,B1252,"")</x:f>
      </x:c>
      <x:c r="AH1252" s="9" t="n">
        <x:f>IF(F1252&gt;=1,1,(1+v01_LowTiesShare*(AE1252-1))/AE1252)</x:f>
        <x:v>1</x:v>
      </x:c>
      <x:c r="AI1252" s="32" t="n">
        <x:f>(Z1252+v01_ElderCommons*INDEX(LM_Elder,G1252)*AA1252)*AH1252</x:f>
        <x:v>17596.166618498206</x:v>
      </x:c>
      <x:c r="AJ1252" s="32" t="n">
        <x:f>H1252*v01_CommonsCoef*AI1252^v01_CommonsExp*INDEX(LM_Commons,G1252)</x:f>
        <x:v>4756.235020816089</x:v>
      </x:c>
      <x:c r="AK1252" s="32" t="n">
        <x:f>H1252*v01_RoleScale*Arch_Roles*(AE1252*(INDEX(v01_ElderRolePerSett,G1252)*v01_OutElder*INDEX(LM_Elder,G1252)+INDEX(v01_ShamanPerSett,G1252)*v01_OutShaman)+Z1252*(INDEX(v01_PriestShare,G1252)*v01_OutPriest+INDEX(v01_ScribeShare,G1252)*v01_OutScribe*INDEX(LM_Scribe,G1252)+INDEX(v01_ScholarShare,G1252)*v01_OutScholar*INDEX(LM_Scholar,G1252)+INDEX(v01_ResearcherShare,G1252)*v01_OutResearcher*INDEX(LM_Researcher,G1252)))</x:f>
        <x:v>1336.4126518938933</x:v>
      </x:c>
      <x:c r="AL1252" s="32" t="n">
        <x:f>H1252*v01_RoleScale*Arch_Roles*AE1252*INDEX(v01_MonasteryPerSett,G1252)*v01_OutMonastery*INDEX(LM_Monastery,G1252)</x:f>
        <x:v>10.56</x:v>
      </x:c>
      <x:c r="AM1252" s="32" t="n">
        <x:f>(AJ1252+AK1252+AL1252)/4*INDEX(LM_All,G1252)*INDEX(v01_Boon,G1252)*Arch_Insight</x:f>
        <x:v>3672.9259161835444</x:v>
      </x:c>
      <x:c r="AN1252" s="32" t="n">
        <x:f>H1252*(v01_KHPerAdult*Z1252+v01_KHOfCommons*AJ1252/4*INDEX(LM_All,G1252))*v01_KHUsable*Arch_KH</x:f>
        <x:v>249.66315950765528</x:v>
      </x:c>
      <x:c r="AO1252" s="32" t="n">
        <x:f>MIN(AP1251+AN1252,AM1252*v01_KHMaxRatio)</x:f>
        <x:v>249.66315950765528</x:v>
      </x:c>
      <x:c r="AP1252" s="32" t="n">
        <x:f>AP1251+AN1252-AO1252</x:f>
        <x:v>0</x:v>
      </x:c>
      <x:c r="AQ1252" s="32" t="n">
        <x:f>AM1252+AO1252</x:f>
        <x:v>3922.5890756911995</x:v>
      </x:c>
      <x:c r="AR1252" s="10" t="n">
        <x:f>IF(H1252=1,INDEX(v01_Req,G1252),0)</x:f>
        <x:v>240231.2486535</x:v>
      </x:c>
      <x:c r="AS1252" s="32" t="n">
        <x:f>IF(H1252=1,IF(E1252=1,AS1251-AR1251,AS1251)+AQ1252,0)</x:f>
        <x:v>149968.16115289097</x:v>
      </x:c>
      <x:c r="AT1252" s="11" t="n">
        <x:f>IF(AR1252&gt;0,MIN(1,AS1252/AR1252),1)</x:f>
        <x:v>0.6242658354958605</x:v>
      </x:c>
      <x:c r="AU1252" s="10" t="n">
        <x:f>AB1252/INDEX(v01_RepScale,G1252)</x:f>
        <x:v>170.48403098198574</x:v>
      </x:c>
      <x:c r="AV1252" s="32" t="n">
        <x:f>AM1252*60/v01_SeasonSeconds</x:f>
        <x:v>14691.703664734177</x:v>
      </x:c>
    </x:row>
    <x:row r="1253">
      <x:c r="A1253" s="8" t="n">
        <x:f>A1252+1</x:f>
        <x:v>1250</x:v>
      </x:c>
      <x:c r="B1253" s="9" t="n">
        <x:f>A1253*v01_SeasonSeconds/60</x:f>
        <x:v>312.5</x:v>
      </x:c>
      <x:c r="C1253" s="9" t="n">
        <x:f>A1253/4</x:f>
        <x:v>312.5</x:v>
      </x:c>
      <x:c r="D1253" s="8" t="n">
        <x:f>IF(MOD(A1253,4)=0,1,0)</x:f>
        <x:v>0</x:v>
      </x:c>
      <x:c r="E1253" s="8" t="n">
        <x:f>IF(AND(F1252&lt;=9,AS1252&gt;=AR1252),1,0)</x:f>
        <x:v>0</x:v>
      </x:c>
      <x:c r="F1253" s="8" t="n">
        <x:f>MIN(10,F1252+E1253)</x:f>
        <x:v>7</x:v>
      </x:c>
      <x:c r="G1253" s="8" t="n">
        <x:f>MIN(F1253,9)+1</x:f>
        <x:v>8</x:v>
      </x:c>
      <x:c r="H1253" s="8" t="n">
        <x:f>IF(F1253&lt;=9,1,0)</x:f>
        <x:v>1</x:v>
      </x:c>
      <x:c r="I1253" s="9" t="n">
        <x:f>MIN(10,F1252+IF(AR1252&gt;0,MIN(1,AS1252/AR1252),1))</x:f>
        <x:v>7.62426583549586</x:v>
      </x:c>
      <x:c r="J1253" s="32" t="n">
        <x:f>INDEX(v01_FoodCap,G1253)*Arch_FoodCap*EXP(v01_CapsByProject*SUMPRODUCT((Cap_Point&lt;=I1253)*(Cap_Kind="Food")*Cap_Ln))</x:f>
        <x:v>2500</x:v>
      </x:c>
      <x:c r="K1253" s="32" t="n">
        <x:f>J1253*MIN(1,v01_LeanBase*EXP(v01_CapsByProject*SUMPRODUCT((Cap_Point&lt;=I1253)*(Cap_Kind="Lean")*Cap_Ln)))</x:f>
        <x:v>2500</x:v>
      </x:c>
      <x:c r="L1253" s="10" t="n">
        <x:f>INDEX(v01_HousingCap,G1253)*EXP(v01_CapsByProject*SUMPRODUCT((Cap_Point&lt;=I1253)*(Cap_Kind="Housing")*Cap_Ln))</x:f>
        <x:v>4000</x:v>
      </x:c>
      <x:c r="M1253" s="10" t="n">
        <x:f>INDEX(v01_GroupCap,G1253)*v01_CohesionFactor*EXP(v01_CapsByProject*SUMPRODUCT((Cap_Point&lt;=I1253)*(Cap_Kind="Group")*Cap_Ln))</x:f>
        <x:v>1000000</x:v>
      </x:c>
      <x:c r="N1253" s="32" t="n">
        <x:f>MIN(J1253,L1253,M1253)</x:f>
        <x:v>2500</x:v>
      </x:c>
      <x:c r="O1253" s="10" t="n">
        <x:f>AE1252*N1253</x:f>
        <x:v>40000</x:v>
      </x:c>
      <x:c r="P1253" s="9" t="n">
        <x:f>MIN(1,(AB1252/(AE1252*IF(v01_GroupInCrowding=1,N1253,MIN(J1253,L1253))))^v01_CrowdingExp)</x:f>
        <x:v>0.005994352588747343</x:v>
      </x:c>
      <x:c r="Q1253" s="9" t="n">
        <x:f>IF(D1253=1,INDEX(v01_WinterMult,G1253),1)</x:f>
        <x:v>1</x:v>
      </x:c>
      <x:c r="R1253" s="9" t="n">
        <x:f>H1253*Z1252*v01_WomenShare*v01_BaseFertility*INDEX(v01_FertMult,G1253)*Arch_Fertility*(1-P1253)</x:f>
        <x:v>212.71422042955348</x:v>
      </x:c>
      <x:c r="S1253" s="9" t="n">
        <x:f>H1253*Y1252*INDEX(v01_MortChild,G1253)/4*Q1253</x:f>
        <x:v>26.718953895573538</x:v>
      </x:c>
      <x:c r="T1253" s="9" t="n">
        <x:f>H1253*Z1252*INDEX(v01_MortAdult,G1253)*Arch_AdultMort/4*Q1253</x:f>
        <x:v>12.483157975382763</x:v>
      </x:c>
      <x:c r="U1253" s="9" t="n">
        <x:f>H1253*AA1252*INDEX(v01_MortElder,G1253)/4*Q1253</x:f>
        <x:v>34.87644496569352</x:v>
      </x:c>
      <x:c r="V1253" s="9" t="n">
        <x:f>H1253*MAX(0,AB1252-O1253)*v01_OvercapLoss</x:f>
        <x:v>0</x:v>
      </x:c>
      <x:c r="W1253" s="9" t="n">
        <x:f>H1253*Y1252/(v01_ChildYears*4)</x:f>
        <x:v>127.23311378844542</x:v>
      </x:c>
      <x:c r="X1253" s="9" t="n">
        <x:f>H1253*Z1252/(v01_AdultYears*4)</x:f>
        <x:v>57.52607361927541</x:v>
      </x:c>
      <x:c r="Y1253" s="32" t="n">
        <x:f>Y1252+R1253-S1253-W1253-Y1252*V1253/AB1252</x:f>
        <x:v>7183.816524898478</x:v>
      </x:c>
      <x:c r="Z1253" s="32" t="n">
        <x:f>Z1252+W1253-X1253-T1253-Z1252*V1253/AB1252</x:f>
        <x:v>7190.457010983938</x:v>
      </x:c>
      <x:c r="AA1253" s="32" t="n">
        <x:f>AA1252+X1253-U1253-AA1252*V1253/AB1252</x:f>
        <x:v>2812.7652259090632</x:v>
      </x:c>
      <x:c r="AB1253" s="10" t="n">
        <x:f>Y1253+Z1253+AA1253</x:f>
        <x:v>17187.03876179148</x:v>
      </x:c>
      <x:c r="AC1253" s="8" t="n">
        <x:f>IF(AND(v01_WinterTrigger=1,D1253=1,AB1252/AE1252&gt;=K1253),1,0)</x:f>
        <x:v>0</x:v>
      </x:c>
      <x:c r="AD1253" s="8" t="n">
        <x:f>H1253*IF(AND(OR(AB1252/AE1252&gt;=v01_FissionTrigger*N1253,AC1253=1),AB1252/AE1252*v01_DaughterShare&gt;=v01_MinDaughter),MAX(1,ROUND(AE1252*v01_FissionRate,0)),0)</x:f>
        <x:v>0</x:v>
      </x:c>
      <x:c r="AE1253" s="8" t="n">
        <x:f>IF(H1253=1,MAX(1,MIN(INDEX(v01_Smax,G1253),AE1252+AD1253)),AE1252)</x:f>
        <x:v>16</x:v>
      </x:c>
      <x:c r="AF1253" s="8" t="n">
        <x:f>MAX(0,AE1253-AE1252)</x:f>
        <x:v>0</x:v>
      </x:c>
      <x:c r="AG1253" s="9" t="str">
        <x:f>IF(AF1253&gt;0,B1253,"")</x:f>
      </x:c>
      <x:c r="AH1253" s="9" t="n">
        <x:f>IF(F1253&gt;=1,1,(1+v01_LowTiesShare*(AE1253-1))/AE1253)</x:f>
        <x:v>1</x:v>
      </x:c>
      <x:c r="AI1253" s="32" t="n">
        <x:f>(Z1253+v01_ElderCommons*INDEX(LM_Elder,G1253)*AA1253)*AH1253</x:f>
        <x:v>17738.326608142925</x:v>
      </x:c>
      <x:c r="AJ1253" s="32" t="n">
        <x:f>H1253*v01_CommonsCoef*AI1253^v01_CommonsExp*INDEX(LM_Commons,G1253)</x:f>
        <x:v>4788.877198976704</x:v>
      </x:c>
      <x:c r="AK1253" s="32" t="n">
        <x:f>H1253*v01_RoleScale*Arch_Roles*(AE1253*(INDEX(v01_ElderRolePerSett,G1253)*v01_OutElder*INDEX(LM_Elder,G1253)+INDEX(v01_ShamanPerSett,G1253)*v01_OutShaman)+Z1253*(INDEX(v01_PriestShare,G1253)*v01_OutPriest+INDEX(v01_ScribeShare,G1253)*v01_OutScribe*INDEX(LM_Scribe,G1253)+INDEX(v01_ScholarShare,G1253)*v01_OutScholar*INDEX(LM_Scholar,G1253)+INDEX(v01_ResearcherShare,G1253)*v01_OutResearcher*INDEX(LM_Researcher,G1253)))</x:f>
        <x:v>1346.7003614346922</x:v>
      </x:c>
      <x:c r="AL1253" s="32" t="n">
        <x:f>H1253*v01_RoleScale*Arch_Roles*AE1253*INDEX(v01_MonasteryPerSett,G1253)*v01_OutMonastery*INDEX(LM_Monastery,G1253)</x:f>
        <x:v>10.56</x:v>
      </x:c>
      <x:c r="AM1253" s="32" t="n">
        <x:f>(AJ1253+AK1253+AL1253)/4*INDEX(LM_All,G1253)*INDEX(v01_Boon,G1253)*Arch_Insight</x:f>
        <x:v>3698.7612319016084</x:v>
      </x:c>
      <x:c r="AN1253" s="32" t="n">
        <x:f>H1253*(v01_KHPerAdult*Z1253+v01_KHOfCommons*AJ1253/4*INDEX(LM_All,G1253))*v01_KHUsable*Arch_KH</x:f>
        <x:v>251.66599538443782</x:v>
      </x:c>
      <x:c r="AO1253" s="32" t="n">
        <x:f>MIN(AP1252+AN1253,AM1253*v01_KHMaxRatio)</x:f>
        <x:v>251.66599538443782</x:v>
      </x:c>
      <x:c r="AP1253" s="32" t="n">
        <x:f>AP1252+AN1253-AO1253</x:f>
        <x:v>0</x:v>
      </x:c>
      <x:c r="AQ1253" s="32" t="n">
        <x:f>AM1253+AO1253</x:f>
        <x:v>3950.427227286046</x:v>
      </x:c>
      <x:c r="AR1253" s="10" t="n">
        <x:f>IF(H1253=1,INDEX(v01_Req,G1253),0)</x:f>
        <x:v>240231.2486535</x:v>
      </x:c>
      <x:c r="AS1253" s="32" t="n">
        <x:f>IF(H1253=1,IF(E1253=1,AS1252-AR1252,AS1252)+AQ1253,0)</x:f>
        <x:v>153918.588380177</x:v>
      </x:c>
      <x:c r="AT1253" s="11" t="n">
        <x:f>IF(AR1253&gt;0,MIN(1,AS1253/AR1253),1)</x:f>
        <x:v>0.6407101042969771</x:v>
      </x:c>
      <x:c r="AU1253" s="10" t="n">
        <x:f>AB1253/INDEX(v01_RepScale,G1253)</x:f>
        <x:v>171.8703876179148</x:v>
      </x:c>
      <x:c r="AV1253" s="32" t="n">
        <x:f>AM1253*60/v01_SeasonSeconds</x:f>
        <x:v>14795.044927606434</x:v>
      </x:c>
    </x:row>
    <x:row r="1254">
      <x:c r="A1254" s="8" t="n">
        <x:f>A1253+1</x:f>
        <x:v>1251</x:v>
      </x:c>
      <x:c r="B1254" s="9" t="n">
        <x:f>A1254*v01_SeasonSeconds/60</x:f>
        <x:v>312.75</x:v>
      </x:c>
      <x:c r="C1254" s="9" t="n">
        <x:f>A1254/4</x:f>
        <x:v>312.75</x:v>
      </x:c>
      <x:c r="D1254" s="8" t="n">
        <x:f>IF(MOD(A1254,4)=0,1,0)</x:f>
        <x:v>0</x:v>
      </x:c>
      <x:c r="E1254" s="8" t="n">
        <x:f>IF(AND(F1253&lt;=9,AS1253&gt;=AR1253),1,0)</x:f>
        <x:v>0</x:v>
      </x:c>
      <x:c r="F1254" s="8" t="n">
        <x:f>MIN(10,F1253+E1254)</x:f>
        <x:v>7</x:v>
      </x:c>
      <x:c r="G1254" s="8" t="n">
        <x:f>MIN(F1254,9)+1</x:f>
        <x:v>8</x:v>
      </x:c>
      <x:c r="H1254" s="8" t="n">
        <x:f>IF(F1254&lt;=9,1,0)</x:f>
        <x:v>1</x:v>
      </x:c>
      <x:c r="I1254" s="9" t="n">
        <x:f>MIN(10,F1253+IF(AR1253&gt;0,MIN(1,AS1253/AR1253),1))</x:f>
        <x:v>7.640710104296977</x:v>
      </x:c>
      <x:c r="J1254" s="32" t="n">
        <x:f>INDEX(v01_FoodCap,G1254)*Arch_FoodCap*EXP(v01_CapsByProject*SUMPRODUCT((Cap_Point&lt;=I1254)*(Cap_Kind="Food")*Cap_Ln))</x:f>
        <x:v>2500</x:v>
      </x:c>
      <x:c r="K1254" s="32" t="n">
        <x:f>J1254*MIN(1,v01_LeanBase*EXP(v01_CapsByProject*SUMPRODUCT((Cap_Point&lt;=I1254)*(Cap_Kind="Lean")*Cap_Ln)))</x:f>
        <x:v>2500</x:v>
      </x:c>
      <x:c r="L1254" s="10" t="n">
        <x:f>INDEX(v01_HousingCap,G1254)*EXP(v01_CapsByProject*SUMPRODUCT((Cap_Point&lt;=I1254)*(Cap_Kind="Housing")*Cap_Ln))</x:f>
        <x:v>4000</x:v>
      </x:c>
      <x:c r="M1254" s="10" t="n">
        <x:f>INDEX(v01_GroupCap,G1254)*v01_CohesionFactor*EXP(v01_CapsByProject*SUMPRODUCT((Cap_Point&lt;=I1254)*(Cap_Kind="Group")*Cap_Ln))</x:f>
        <x:v>1000000</x:v>
      </x:c>
      <x:c r="N1254" s="32" t="n">
        <x:f>MIN(J1254,L1254,M1254)</x:f>
        <x:v>2500</x:v>
      </x:c>
      <x:c r="O1254" s="10" t="n">
        <x:f>AE1253*N1254</x:f>
        <x:v>40000</x:v>
      </x:c>
      <x:c r="P1254" s="9" t="n">
        <x:f>MIN(1,(AB1253/(AE1253*IF(v01_GroupInCrowding=1,N1254,MIN(J1254,L1254))))^v01_CrowdingExp)</x:f>
        <x:v>0.006292835667300266</x:v>
      </x:c>
      <x:c r="Q1254" s="9" t="n">
        <x:f>IF(D1254=1,INDEX(v01_WinterMult,G1254),1)</x:f>
        <x:v>1</x:v>
      </x:c>
      <x:c r="R1254" s="9" t="n">
        <x:f>H1254*Z1253*v01_WomenShare*v01_BaseFertility*INDEX(v01_FertMult,G1254)*Arch_Fertility*(1-P1254)</x:f>
        <x:v>214.35625939923088</x:v>
      </x:c>
      <x:c r="S1254" s="9" t="n">
        <x:f>H1254*Y1253*INDEX(v01_MortChild,G1254)/4*Q1254</x:f>
        <x:v>26.939311968369292</x:v>
      </x:c>
      <x:c r="T1254" s="9" t="n">
        <x:f>H1254*Z1253*INDEX(v01_MortAdult,G1254)*Arch_AdultMort/4*Q1254</x:f>
        <x:v>12.583299769221892</x:v>
      </x:c>
      <x:c r="U1254" s="9" t="n">
        <x:f>H1254*AA1253*INDEX(v01_MortElder,G1254)/4*Q1254</x:f>
        <x:v>35.15956532386329</x:v>
      </x:c>
      <x:c r="V1254" s="9" t="n">
        <x:f>H1254*MAX(0,AB1253-O1254)*v01_OvercapLoss</x:f>
        <x:v>0</x:v>
      </x:c>
      <x:c r="W1254" s="9" t="n">
        <x:f>H1254*Y1253/(v01_ChildYears*4)</x:f>
        <x:v>128.28243794461568</x:v>
      </x:c>
      <x:c r="X1254" s="9" t="n">
        <x:f>H1254*Z1253/(v01_AdultYears*4)</x:f>
        <x:v>57.98755654019305</x:v>
      </x:c>
      <x:c r="Y1254" s="32" t="n">
        <x:f>Y1253+R1254-S1254-W1254-Y1253*V1254/AB1253</x:f>
        <x:v>7242.951034384724</x:v>
      </x:c>
      <x:c r="Z1254" s="32" t="n">
        <x:f>Z1253+W1254-X1254-T1254-Z1253*V1254/AB1253</x:f>
        <x:v>7248.1685926191385</x:v>
      </x:c>
      <x:c r="AA1254" s="32" t="n">
        <x:f>AA1253+X1254-U1254-AA1253*V1254/AB1253</x:f>
        <x:v>2835.593217125393</x:v>
      </x:c>
      <x:c r="AB1254" s="10" t="n">
        <x:f>Y1254+Z1254+AA1254</x:f>
        <x:v>17326.712844129255</x:v>
      </x:c>
      <x:c r="AC1254" s="8" t="n">
        <x:f>IF(AND(v01_WinterTrigger=1,D1254=1,AB1253/AE1253&gt;=K1254),1,0)</x:f>
        <x:v>0</x:v>
      </x:c>
      <x:c r="AD1254" s="8" t="n">
        <x:f>H1254*IF(AND(OR(AB1253/AE1253&gt;=v01_FissionTrigger*N1254,AC1254=1),AB1253/AE1253*v01_DaughterShare&gt;=v01_MinDaughter),MAX(1,ROUND(AE1253*v01_FissionRate,0)),0)</x:f>
        <x:v>0</x:v>
      </x:c>
      <x:c r="AE1254" s="8" t="n">
        <x:f>IF(H1254=1,MAX(1,MIN(INDEX(v01_Smax,G1254),AE1253+AD1254)),AE1253)</x:f>
        <x:v>16</x:v>
      </x:c>
      <x:c r="AF1254" s="8" t="n">
        <x:f>MAX(0,AE1254-AE1253)</x:f>
        <x:v>0</x:v>
      </x:c>
      <x:c r="AG1254" s="9" t="str">
        <x:f>IF(AF1254&gt;0,B1254,"")</x:f>
      </x:c>
      <x:c r="AH1254" s="9" t="n">
        <x:f>IF(F1254&gt;=1,1,(1+v01_LowTiesShare*(AE1254-1))/AE1254)</x:f>
        <x:v>1</x:v>
      </x:c>
      <x:c r="AI1254" s="32" t="n">
        <x:f>(Z1254+v01_ElderCommons*INDEX(LM_Elder,G1254)*AA1254)*AH1254</x:f>
        <x:v>17881.64315683936</x:v>
      </x:c>
      <x:c r="AJ1254" s="32" t="n">
        <x:f>H1254*v01_CommonsCoef*AI1254^v01_CommonsExp*INDEX(LM_Commons,G1254)</x:f>
        <x:v>4821.745245031716</x:v>
      </x:c>
      <x:c r="AK1254" s="32" t="n">
        <x:f>H1254*v01_RoleScale*Arch_Roles*(AE1254*(INDEX(v01_ElderRolePerSett,G1254)*v01_OutElder*INDEX(LM_Elder,G1254)+INDEX(v01_ShamanPerSett,G1254)*v01_OutShaman)+Z1254*(INDEX(v01_PriestShare,G1254)*v01_OutPriest+INDEX(v01_ScribeShare,G1254)*v01_OutScribe*INDEX(LM_Scribe,G1254)+INDEX(v01_ScholarShare,G1254)*v01_OutScholar*INDEX(LM_Scholar,G1254)+INDEX(v01_ResearcherShare,G1254)*v01_OutResearcher*INDEX(LM_Researcher,G1254)))</x:f>
        <x:v>1357.0757495810687</x:v>
      </x:c>
      <x:c r="AL1254" s="32" t="n">
        <x:f>H1254*v01_RoleScale*Arch_Roles*AE1254*INDEX(v01_MonasteryPerSett,G1254)*v01_OutMonastery*INDEX(LM_Monastery,G1254)</x:f>
        <x:v>10.56</x:v>
      </x:c>
      <x:c r="AM1254" s="32" t="n">
        <x:f>(AJ1254+AK1254+AL1254)/4*INDEX(LM_All,G1254)*INDEX(v01_Boon,G1254)*Arch_Insight</x:f>
        <x:v>3724.7852407016453</x:v>
      </x:c>
      <x:c r="AN1254" s="32" t="n">
        <x:f>H1254*(v01_KHPerAdult*Z1254+v01_KHOfCommons*AJ1254/4*INDEX(LM_All,G1254))*v01_KHUsable*Arch_KH</x:f>
        <x:v>253.68590074166985</x:v>
      </x:c>
      <x:c r="AO1254" s="32" t="n">
        <x:f>MIN(AP1253+AN1254,AM1254*v01_KHMaxRatio)</x:f>
        <x:v>253.68590074166985</x:v>
      </x:c>
      <x:c r="AP1254" s="32" t="n">
        <x:f>AP1253+AN1254-AO1254</x:f>
        <x:v>0</x:v>
      </x:c>
      <x:c r="AQ1254" s="32" t="n">
        <x:f>AM1254+AO1254</x:f>
        <x:v>3978.471141443315</x:v>
      </x:c>
      <x:c r="AR1254" s="10" t="n">
        <x:f>IF(H1254=1,INDEX(v01_Req,G1254),0)</x:f>
        <x:v>240231.2486535</x:v>
      </x:c>
      <x:c r="AS1254" s="32" t="n">
        <x:f>IF(H1254=1,IF(E1254=1,AS1253-AR1253,AS1253)+AQ1254,0)</x:f>
        <x:v>157897.05952162034</x:v>
      </x:c>
      <x:c r="AT1254" s="11" t="n">
        <x:f>IF(AR1254&gt;0,MIN(1,AS1254/AR1254),1)</x:f>
        <x:v>0.6572711102599511</x:v>
      </x:c>
      <x:c r="AU1254" s="10" t="n">
        <x:f>AB1254/INDEX(v01_RepScale,G1254)</x:f>
        <x:v>173.26712844129256</x:v>
      </x:c>
      <x:c r="AV1254" s="32" t="n">
        <x:f>AM1254*60/v01_SeasonSeconds</x:f>
        <x:v>14899.140962806581</x:v>
      </x:c>
    </x:row>
    <x:row r="1255">
      <x:c r="A1255" s="8" t="n">
        <x:f>A1254+1</x:f>
        <x:v>1252</x:v>
      </x:c>
      <x:c r="B1255" s="9" t="n">
        <x:f>A1255*v01_SeasonSeconds/60</x:f>
        <x:v>313</x:v>
      </x:c>
      <x:c r="C1255" s="9" t="n">
        <x:f>A1255/4</x:f>
        <x:v>313</x:v>
      </x:c>
      <x:c r="D1255" s="8" t="n">
        <x:f>IF(MOD(A1255,4)=0,1,0)</x:f>
        <x:v>1</x:v>
      </x:c>
      <x:c r="E1255" s="8" t="n">
        <x:f>IF(AND(F1254&lt;=9,AS1254&gt;=AR1254),1,0)</x:f>
        <x:v>0</x:v>
      </x:c>
      <x:c r="F1255" s="8" t="n">
        <x:f>MIN(10,F1254+E1255)</x:f>
        <x:v>7</x:v>
      </x:c>
      <x:c r="G1255" s="8" t="n">
        <x:f>MIN(F1255,9)+1</x:f>
        <x:v>8</x:v>
      </x:c>
      <x:c r="H1255" s="8" t="n">
        <x:f>IF(F1255&lt;=9,1,0)</x:f>
        <x:v>1</x:v>
      </x:c>
      <x:c r="I1255" s="9" t="n">
        <x:f>MIN(10,F1254+IF(AR1254&gt;0,MIN(1,AS1254/AR1254),1))</x:f>
        <x:v>7.657271110259951</x:v>
      </x:c>
      <x:c r="J1255" s="32" t="n">
        <x:f>INDEX(v01_FoodCap,G1255)*Arch_FoodCap*EXP(v01_CapsByProject*SUMPRODUCT((Cap_Point&lt;=I1255)*(Cap_Kind="Food")*Cap_Ln))</x:f>
        <x:v>2500</x:v>
      </x:c>
      <x:c r="K1255" s="32" t="n">
        <x:f>J1255*MIN(1,v01_LeanBase*EXP(v01_CapsByProject*SUMPRODUCT((Cap_Point&lt;=I1255)*(Cap_Kind="Lean")*Cap_Ln)))</x:f>
        <x:v>2500</x:v>
      </x:c>
      <x:c r="L1255" s="10" t="n">
        <x:f>INDEX(v01_HousingCap,G1255)*EXP(v01_CapsByProject*SUMPRODUCT((Cap_Point&lt;=I1255)*(Cap_Kind="Housing")*Cap_Ln))</x:f>
        <x:v>4000</x:v>
      </x:c>
      <x:c r="M1255" s="10" t="n">
        <x:f>INDEX(v01_GroupCap,G1255)*v01_CohesionFactor*EXP(v01_CapsByProject*SUMPRODUCT((Cap_Point&lt;=I1255)*(Cap_Kind="Group")*Cap_Ln))</x:f>
        <x:v>1000000</x:v>
      </x:c>
      <x:c r="N1255" s="32" t="n">
        <x:f>MIN(J1255,L1255,M1255)</x:f>
        <x:v>2500</x:v>
      </x:c>
      <x:c r="O1255" s="10" t="n">
        <x:f>AE1254*N1255</x:f>
        <x:v>40000</x:v>
      </x:c>
      <x:c r="P1255" s="9" t="n">
        <x:f>MIN(1,(AB1254/(AE1254*IF(v01_GroupInCrowding=1,N1255,MIN(J1255,L1255))))^v01_CrowdingExp)</x:f>
        <x:v>0.00660597794416549</x:v>
      </x:c>
      <x:c r="Q1255" s="9" t="n">
        <x:f>IF(D1255=1,INDEX(v01_WinterMult,G1255),1)</x:f>
        <x:v>1</x:v>
      </x:c>
      <x:c r="R1255" s="9" t="n">
        <x:f>H1255*Z1254*v01_WomenShare*v01_BaseFertility*INDEX(v01_FertMult,G1255)*Arch_Fertility*(1-P1255)</x:f>
        <x:v>216.0086205228211</x:v>
      </x:c>
      <x:c r="S1255" s="9" t="n">
        <x:f>H1255*Y1254*INDEX(v01_MortChild,G1255)/4*Q1255</x:f>
        <x:v>27.161066378942714</x:v>
      </x:c>
      <x:c r="T1255" s="9" t="n">
        <x:f>H1255*Z1254*INDEX(v01_MortAdult,G1255)*Arch_AdultMort/4*Q1255</x:f>
        <x:v>12.684295037083492</x:v>
      </x:c>
      <x:c r="U1255" s="9" t="n">
        <x:f>H1255*AA1254*INDEX(v01_MortElder,G1255)/4*Q1255</x:f>
        <x:v>35.444915214067414</x:v>
      </x:c>
      <x:c r="V1255" s="9" t="n">
        <x:f>H1255*MAX(0,AB1254-O1255)*v01_OvercapLoss</x:f>
        <x:v>0</x:v>
      </x:c>
      <x:c r="W1255" s="9" t="n">
        <x:f>H1255*Y1254/(v01_ChildYears*4)</x:f>
        <x:v>129.33841132829863</x:v>
      </x:c>
      <x:c r="X1255" s="9" t="n">
        <x:f>H1255*Z1254/(v01_AdultYears*4)</x:f>
        <x:v>58.452972521122085</x:v>
      </x:c>
      <x:c r="Y1255" s="32" t="n">
        <x:f>Y1254+R1255-S1255-W1255-Y1254*V1255/AB1254</x:f>
        <x:v>7302.460177200304</x:v>
      </x:c>
      <x:c r="Z1255" s="32" t="n">
        <x:f>Z1254+W1255-X1255-T1255-Z1254*V1255/AB1254</x:f>
        <x:v>7306.369736389231</x:v>
      </x:c>
      <x:c r="AA1255" s="32" t="n">
        <x:f>AA1254+X1255-U1255-AA1254*V1255/AB1254</x:f>
        <x:v>2858.6012744324476</x:v>
      </x:c>
      <x:c r="AB1255" s="10" t="n">
        <x:f>Y1255+Z1255+AA1255</x:f>
        <x:v>17467.431188021983</x:v>
      </x:c>
      <x:c r="AC1255" s="8" t="n">
        <x:f>IF(AND(v01_WinterTrigger=1,D1255=1,AB1254/AE1254&gt;=K1255),1,0)</x:f>
        <x:v>0</x:v>
      </x:c>
      <x:c r="AD1255" s="8" t="n">
        <x:f>H1255*IF(AND(OR(AB1254/AE1254&gt;=v01_FissionTrigger*N1255,AC1255=1),AB1254/AE1254*v01_DaughterShare&gt;=v01_MinDaughter),MAX(1,ROUND(AE1254*v01_FissionRate,0)),0)</x:f>
        <x:v>0</x:v>
      </x:c>
      <x:c r="AE1255" s="8" t="n">
        <x:f>IF(H1255=1,MAX(1,MIN(INDEX(v01_Smax,G1255),AE1254+AD1255)),AE1254)</x:f>
        <x:v>16</x:v>
      </x:c>
      <x:c r="AF1255" s="8" t="n">
        <x:f>MAX(0,AE1255-AE1254)</x:f>
        <x:v>0</x:v>
      </x:c>
      <x:c r="AG1255" s="9" t="str">
        <x:f>IF(AF1255&gt;0,B1255,"")</x:f>
      </x:c>
      <x:c r="AH1255" s="9" t="n">
        <x:f>IF(F1255&gt;=1,1,(1+v01_LowTiesShare*(AE1255-1))/AE1255)</x:f>
        <x:v>1</x:v>
      </x:c>
      <x:c r="AI1255" s="32" t="n">
        <x:f>(Z1255+v01_ElderCommons*INDEX(LM_Elder,G1255)*AA1255)*AH1255</x:f>
        <x:v>18026.12451551091</x:v>
      </x:c>
      <x:c r="AJ1255" s="32" t="n">
        <x:f>H1255*v01_CommonsCoef*AI1255^v01_CommonsExp*INDEX(LM_Commons,G1255)</x:f>
        <x:v>4854.84045446721</x:v>
      </x:c>
      <x:c r="AK1255" s="32" t="n">
        <x:f>H1255*v01_RoleScale*Arch_Roles*(AE1255*(INDEX(v01_ElderRolePerSett,G1255)*v01_OutElder*INDEX(LM_Elder,G1255)+INDEX(v01_ShamanPerSett,G1255)*v01_OutShaman)+Z1255*(INDEX(v01_PriestShare,G1255)*v01_OutPriest+INDEX(v01_ScribeShare,G1255)*v01_OutScribe*INDEX(LM_Scribe,G1255)+INDEX(v01_ScholarShare,G1255)*v01_OutScholar*INDEX(LM_Scholar,G1255)+INDEX(v01_ResearcherShare,G1255)*v01_OutResearcher*INDEX(LM_Researcher,G1255)))</x:f>
        <x:v>1367.539151208056</x:v>
      </x:c>
      <x:c r="AL1255" s="32" t="n">
        <x:f>H1255*v01_RoleScale*Arch_Roles*AE1255*INDEX(v01_MonasteryPerSett,G1255)*v01_OutMonastery*INDEX(LM_Monastery,G1255)</x:f>
        <x:v>10.56</x:v>
      </x:c>
      <x:c r="AM1255" s="32" t="n">
        <x:f>(AJ1255+AK1255+AL1255)/4*INDEX(LM_All,G1255)*INDEX(v01_Boon,G1255)*Arch_Insight</x:f>
        <x:v>3750.998923739128</x:v>
      </x:c>
      <x:c r="AN1255" s="32" t="n">
        <x:f>H1255*(v01_KHPerAdult*Z1255+v01_KHOfCommons*AJ1255/4*INDEX(LM_All,G1255))*v01_KHUsable*Arch_KH</x:f>
        <x:v>255.72294077362307</x:v>
      </x:c>
      <x:c r="AO1255" s="32" t="n">
        <x:f>MIN(AP1254+AN1255,AM1255*v01_KHMaxRatio)</x:f>
        <x:v>255.72294077362307</x:v>
      </x:c>
      <x:c r="AP1255" s="32" t="n">
        <x:f>AP1254+AN1255-AO1255</x:f>
        <x:v>0</x:v>
      </x:c>
      <x:c r="AQ1255" s="32" t="n">
        <x:f>AM1255+AO1255</x:f>
        <x:v>4006.721864512751</x:v>
      </x:c>
      <x:c r="AR1255" s="10" t="n">
        <x:f>IF(H1255=1,INDEX(v01_Req,G1255),0)</x:f>
        <x:v>240231.2486535</x:v>
      </x:c>
      <x:c r="AS1255" s="32" t="n">
        <x:f>IF(H1255=1,IF(E1255=1,AS1254-AR1254,AS1254)+AQ1255,0)</x:f>
        <x:v>161903.78138613308</x:v>
      </x:c>
      <x:c r="AT1255" s="11" t="n">
        <x:f>IF(AR1255&gt;0,MIN(1,AS1255/AR1255),1)</x:f>
        <x:v>0.6739497142590998</x:v>
      </x:c>
      <x:c r="AU1255" s="10" t="n">
        <x:f>AB1255/INDEX(v01_RepScale,G1255)</x:f>
        <x:v>174.67431188021982</x:v>
      </x:c>
      <x:c r="AV1255" s="32" t="n">
        <x:f>AM1255*60/v01_SeasonSeconds</x:f>
        <x:v>15003.995694956511</x:v>
      </x:c>
    </x:row>
    <x:row r="1256">
      <x:c r="A1256" s="8" t="n">
        <x:f>A1255+1</x:f>
        <x:v>1253</x:v>
      </x:c>
      <x:c r="B1256" s="9" t="n">
        <x:f>A1256*v01_SeasonSeconds/60</x:f>
        <x:v>313.25</x:v>
      </x:c>
      <x:c r="C1256" s="9" t="n">
        <x:f>A1256/4</x:f>
        <x:v>313.25</x:v>
      </x:c>
      <x:c r="D1256" s="8" t="n">
        <x:f>IF(MOD(A1256,4)=0,1,0)</x:f>
        <x:v>0</x:v>
      </x:c>
      <x:c r="E1256" s="8" t="n">
        <x:f>IF(AND(F1255&lt;=9,AS1255&gt;=AR1255),1,0)</x:f>
        <x:v>0</x:v>
      </x:c>
      <x:c r="F1256" s="8" t="n">
        <x:f>MIN(10,F1255+E1256)</x:f>
        <x:v>7</x:v>
      </x:c>
      <x:c r="G1256" s="8" t="n">
        <x:f>MIN(F1256,9)+1</x:f>
        <x:v>8</x:v>
      </x:c>
      <x:c r="H1256" s="8" t="n">
        <x:f>IF(F1256&lt;=9,1,0)</x:f>
        <x:v>1</x:v>
      </x:c>
      <x:c r="I1256" s="9" t="n">
        <x:f>MIN(10,F1255+IF(AR1255&gt;0,MIN(1,AS1255/AR1255),1))</x:f>
        <x:v>7.6739497142591</x:v>
      </x:c>
      <x:c r="J1256" s="32" t="n">
        <x:f>INDEX(v01_FoodCap,G1256)*Arch_FoodCap*EXP(v01_CapsByProject*SUMPRODUCT((Cap_Point&lt;=I1256)*(Cap_Kind="Food")*Cap_Ln))</x:f>
        <x:v>2500</x:v>
      </x:c>
      <x:c r="K1256" s="32" t="n">
        <x:f>J1256*MIN(1,v01_LeanBase*EXP(v01_CapsByProject*SUMPRODUCT((Cap_Point&lt;=I1256)*(Cap_Kind="Lean")*Cap_Ln)))</x:f>
        <x:v>2500</x:v>
      </x:c>
      <x:c r="L1256" s="10" t="n">
        <x:f>INDEX(v01_HousingCap,G1256)*EXP(v01_CapsByProject*SUMPRODUCT((Cap_Point&lt;=I1256)*(Cap_Kind="Housing")*Cap_Ln))</x:f>
        <x:v>4000</x:v>
      </x:c>
      <x:c r="M1256" s="10" t="n">
        <x:f>INDEX(v01_GroupCap,G1256)*v01_CohesionFactor*EXP(v01_CapsByProject*SUMPRODUCT((Cap_Point&lt;=I1256)*(Cap_Kind="Group")*Cap_Ln))</x:f>
        <x:v>1000000</x:v>
      </x:c>
      <x:c r="N1256" s="32" t="n">
        <x:f>MIN(J1256,L1256,M1256)</x:f>
        <x:v>2500</x:v>
      </x:c>
      <x:c r="O1256" s="10" t="n">
        <x:f>AE1255*N1256</x:f>
        <x:v>40000</x:v>
      </x:c>
      <x:c r="P1256" s="9" t="n">
        <x:f>MIN(1,(AB1255/(AE1255*IF(v01_GroupInCrowding=1,N1256,MIN(J1256,L1256))))^v01_CrowdingExp)</x:f>
        <x:v>0.006934486361445793</x:v>
      </x:c>
      <x:c r="Q1256" s="9" t="n">
        <x:f>IF(D1256=1,INDEX(v01_WinterMult,G1256),1)</x:f>
        <x:v>1</x:v>
      </x:c>
      <x:c r="R1256" s="9" t="n">
        <x:f>H1256*Z1255*v01_WomenShare*v01_BaseFertility*INDEX(v01_FertMult,G1256)*Arch_Fertility*(1-P1256)</x:f>
        <x:v>217.67111445301677</x:v>
      </x:c>
      <x:c r="S1256" s="9" t="n">
        <x:f>H1256*Y1255*INDEX(v01_MortChild,G1256)/4*Q1256</x:f>
        <x:v>27.38422566450114</x:v>
      </x:c>
      <x:c r="T1256" s="9" t="n">
        <x:f>H1256*Z1255*INDEX(v01_MortAdult,G1256)*Arch_AdultMort/4*Q1256</x:f>
        <x:v>12.786147038681154</x:v>
      </x:c>
      <x:c r="U1256" s="9" t="n">
        <x:f>H1256*AA1255*INDEX(v01_MortElder,G1256)/4*Q1256</x:f>
        <x:v>35.7325159304056</x:v>
      </x:c>
      <x:c r="V1256" s="9" t="n">
        <x:f>H1256*MAX(0,AB1255-O1256)*v01_OvercapLoss</x:f>
        <x:v>0</x:v>
      </x:c>
      <x:c r="W1256" s="9" t="n">
        <x:f>H1256*Y1255/(v01_ChildYears*4)</x:f>
        <x:v>130.40107459286259</x:v>
      </x:c>
      <x:c r="X1256" s="9" t="n">
        <x:f>H1256*Z1255/(v01_AdultYears*4)</x:f>
        <x:v>58.922336583784116</x:v>
      </x:c>
      <x:c r="Y1256" s="32" t="n">
        <x:f>Y1255+R1256-S1256-W1256-Y1255*V1256/AB1255</x:f>
        <x:v>7362.345991395957</x:v>
      </x:c>
      <x:c r="Z1256" s="32" t="n">
        <x:f>Z1255+W1256-X1256-T1256-Z1255*V1256/AB1255</x:f>
        <x:v>7365.0623273596275</x:v>
      </x:c>
      <x:c r="AA1256" s="32" t="n">
        <x:f>AA1255+X1256-U1256-AA1255*V1256/AB1255</x:f>
        <x:v>2881.7910950858263</x:v>
      </x:c>
      <x:c r="AB1256" s="10" t="n">
        <x:f>Y1256+Z1256+AA1256</x:f>
        <x:v>17609.199413841412</x:v>
      </x:c>
      <x:c r="AC1256" s="8" t="n">
        <x:f>IF(AND(v01_WinterTrigger=1,D1256=1,AB1255/AE1255&gt;=K1256),1,0)</x:f>
        <x:v>0</x:v>
      </x:c>
      <x:c r="AD1256" s="8" t="n">
        <x:f>H1256*IF(AND(OR(AB1255/AE1255&gt;=v01_FissionTrigger*N1256,AC1256=1),AB1255/AE1255*v01_DaughterShare&gt;=v01_MinDaughter),MAX(1,ROUND(AE1255*v01_FissionRate,0)),0)</x:f>
        <x:v>0</x:v>
      </x:c>
      <x:c r="AE1256" s="8" t="n">
        <x:f>IF(H1256=1,MAX(1,MIN(INDEX(v01_Smax,G1256),AE1255+AD1256)),AE1255)</x:f>
        <x:v>16</x:v>
      </x:c>
      <x:c r="AF1256" s="8" t="n">
        <x:f>MAX(0,AE1256-AE1255)</x:f>
        <x:v>0</x:v>
      </x:c>
      <x:c r="AG1256" s="9" t="str">
        <x:f>IF(AF1256&gt;0,B1256,"")</x:f>
      </x:c>
      <x:c r="AH1256" s="9" t="n">
        <x:f>IF(F1256&gt;=1,1,(1+v01_LowTiesShare*(AE1256-1))/AE1256)</x:f>
        <x:v>1</x:v>
      </x:c>
      <x:c r="AI1256" s="32" t="n">
        <x:f>(Z1256+v01_ElderCommons*INDEX(LM_Elder,G1256)*AA1256)*AH1256</x:f>
        <x:v>18171.778933931477</x:v>
      </x:c>
      <x:c r="AJ1256" s="32" t="n">
        <x:f>H1256*v01_CommonsCoef*AI1256^v01_CommonsExp*INDEX(LM_Commons,G1256)</x:f>
        <x:v>4888.164117069153</x:v>
      </x:c>
      <x:c r="AK1256" s="32" t="n">
        <x:f>H1256*v01_RoleScale*Arch_Roles*(AE1256*(INDEX(v01_ElderRolePerSett,G1256)*v01_OutElder*INDEX(LM_Elder,G1256)+INDEX(v01_ShamanPerSett,G1256)*v01_OutShaman)+Z1256*(INDEX(v01_PriestShare,G1256)*v01_OutPriest+INDEX(v01_ScribeShare,G1256)*v01_OutScribe*INDEX(LM_Scribe,G1256)+INDEX(v01_ScholarShare,G1256)*v01_OutScholar*INDEX(LM_Scholar,G1256)+INDEX(v01_ResearcherShare,G1256)*v01_OutResearcher*INDEX(LM_Researcher,G1256)))</x:f>
        <x:v>1378.0909052127138</x:v>
      </x:c>
      <x:c r="AL1256" s="32" t="n">
        <x:f>H1256*v01_RoleScale*Arch_Roles*AE1256*INDEX(v01_MonasteryPerSett,G1256)*v01_OutMonastery*INDEX(LM_Monastery,G1256)</x:f>
        <x:v>10.56</x:v>
      </x:c>
      <x:c r="AM1256" s="32" t="n">
        <x:f>(AJ1256+AK1256+AL1256)/4*INDEX(LM_All,G1256)*INDEX(v01_Boon,G1256)*Arch_Insight</x:f>
        <x:v>3777.4032611596463</x:v>
      </x:c>
      <x:c r="AN1256" s="32" t="n">
        <x:f>H1256*(v01_KHPerAdult*Z1256+v01_KHOfCommons*AJ1256/4*INDEX(LM_All,G1256))*v01_KHUsable*Arch_KH</x:f>
        <x:v>257.777181457587</x:v>
      </x:c>
      <x:c r="AO1256" s="32" t="n">
        <x:f>MIN(AP1255+AN1256,AM1256*v01_KHMaxRatio)</x:f>
        <x:v>257.777181457587</x:v>
      </x:c>
      <x:c r="AP1256" s="32" t="n">
        <x:f>AP1255+AN1256-AO1256</x:f>
        <x:v>0</x:v>
      </x:c>
      <x:c r="AQ1256" s="32" t="n">
        <x:f>AM1256+AO1256</x:f>
        <x:v>4035.1804426172334</x:v>
      </x:c>
      <x:c r="AR1256" s="10" t="n">
        <x:f>IF(H1256=1,INDEX(v01_Req,G1256),0)</x:f>
        <x:v>240231.2486535</x:v>
      </x:c>
      <x:c r="AS1256" s="32" t="n">
        <x:f>IF(H1256=1,IF(E1256=1,AS1255-AR1255,AS1255)+AQ1256,0)</x:f>
        <x:v>165938.96182875033</x:v>
      </x:c>
      <x:c r="AT1256" s="11" t="n">
        <x:f>IF(AR1256&gt;0,MIN(1,AS1256/AR1256),1)</x:f>
        <x:v>0.69074678152339</x:v>
      </x:c>
      <x:c r="AU1256" s="10" t="n">
        <x:f>AB1256/INDEX(v01_RepScale,G1256)</x:f>
        <x:v>176.09199413841412</x:v>
      </x:c>
      <x:c r="AV1256" s="32" t="n">
        <x:f>AM1256*60/v01_SeasonSeconds</x:f>
        <x:v>15109.613044638585</x:v>
      </x:c>
    </x:row>
    <x:row r="1257">
      <x:c r="A1257" s="8" t="n">
        <x:f>A1256+1</x:f>
        <x:v>1254</x:v>
      </x:c>
      <x:c r="B1257" s="9" t="n">
        <x:f>A1257*v01_SeasonSeconds/60</x:f>
        <x:v>313.5</x:v>
      </x:c>
      <x:c r="C1257" s="9" t="n">
        <x:f>A1257/4</x:f>
        <x:v>313.5</x:v>
      </x:c>
      <x:c r="D1257" s="8" t="n">
        <x:f>IF(MOD(A1257,4)=0,1,0)</x:f>
        <x:v>0</x:v>
      </x:c>
      <x:c r="E1257" s="8" t="n">
        <x:f>IF(AND(F1256&lt;=9,AS1256&gt;=AR1256),1,0)</x:f>
        <x:v>0</x:v>
      </x:c>
      <x:c r="F1257" s="8" t="n">
        <x:f>MIN(10,F1256+E1257)</x:f>
        <x:v>7</x:v>
      </x:c>
      <x:c r="G1257" s="8" t="n">
        <x:f>MIN(F1257,9)+1</x:f>
        <x:v>8</x:v>
      </x:c>
      <x:c r="H1257" s="8" t="n">
        <x:f>IF(F1257&lt;=9,1,0)</x:f>
        <x:v>1</x:v>
      </x:c>
      <x:c r="I1257" s="9" t="n">
        <x:f>MIN(10,F1256+IF(AR1256&gt;0,MIN(1,AS1256/AR1256),1))</x:f>
        <x:v>7.69074678152339</x:v>
      </x:c>
      <x:c r="J1257" s="32" t="n">
        <x:f>INDEX(v01_FoodCap,G1257)*Arch_FoodCap*EXP(v01_CapsByProject*SUMPRODUCT((Cap_Point&lt;=I1257)*(Cap_Kind="Food")*Cap_Ln))</x:f>
        <x:v>2500</x:v>
      </x:c>
      <x:c r="K1257" s="32" t="n">
        <x:f>J1257*MIN(1,v01_LeanBase*EXP(v01_CapsByProject*SUMPRODUCT((Cap_Point&lt;=I1257)*(Cap_Kind="Lean")*Cap_Ln)))</x:f>
        <x:v>2500</x:v>
      </x:c>
      <x:c r="L1257" s="10" t="n">
        <x:f>INDEX(v01_HousingCap,G1257)*EXP(v01_CapsByProject*SUMPRODUCT((Cap_Point&lt;=I1257)*(Cap_Kind="Housing")*Cap_Ln))</x:f>
        <x:v>4000</x:v>
      </x:c>
      <x:c r="M1257" s="10" t="n">
        <x:f>INDEX(v01_GroupCap,G1257)*v01_CohesionFactor*EXP(v01_CapsByProject*SUMPRODUCT((Cap_Point&lt;=I1257)*(Cap_Kind="Group")*Cap_Ln))</x:f>
        <x:v>1000000</x:v>
      </x:c>
      <x:c r="N1257" s="32" t="n">
        <x:f>MIN(J1257,L1257,M1257)</x:f>
        <x:v>2500</x:v>
      </x:c>
      <x:c r="O1257" s="10" t="n">
        <x:f>AE1256*N1257</x:f>
        <x:v>40000</x:v>
      </x:c>
      <x:c r="P1257" s="9" t="n">
        <x:f>MIN(1,(AB1256/(AE1256*IF(v01_GroupInCrowding=1,N1257,MIN(J1257,L1257))))^v01_CrowdingExp)</x:f>
        <x:v>0.007279100602991017</x:v>
      </x:c>
      <x:c r="Q1257" s="9" t="n">
        <x:f>IF(D1257=1,INDEX(v01_WinterMult,G1257),1)</x:f>
        <x:v>1</x:v>
      </x:c>
      <x:c r="R1257" s="9" t="n">
        <x:f>H1257*Z1256*v01_WomenShare*v01_BaseFertility*INDEX(v01_FertMult,G1257)*Arch_Fertility*(1-P1257)</x:f>
        <x:v>219.34353893194435</x:v>
      </x:c>
      <x:c r="S1257" s="9" t="n">
        <x:f>H1257*Y1256*INDEX(v01_MortChild,G1257)/4*Q1257</x:f>
        <x:v>27.60879746773484</x:v>
      </x:c>
      <x:c r="T1257" s="9" t="n">
        <x:f>H1257*Z1256*INDEX(v01_MortAdult,G1257)*Arch_AdultMort/4*Q1257</x:f>
        <x:v>12.888859072879349</x:v>
      </x:c>
      <x:c r="U1257" s="9" t="n">
        <x:f>H1257*AA1256*INDEX(v01_MortElder,G1257)/4*Q1257</x:f>
        <x:v>36.02238868857283</x:v>
      </x:c>
      <x:c r="V1257" s="9" t="n">
        <x:f>H1257*MAX(0,AB1256-O1257)*v01_OvercapLoss</x:f>
        <x:v>0</x:v>
      </x:c>
      <x:c r="W1257" s="9" t="n">
        <x:f>H1257*Y1256/(v01_ChildYears*4)</x:f>
        <x:v>131.47046413207065</x:v>
      </x:c>
      <x:c r="X1257" s="9" t="n">
        <x:f>H1257*Z1256/(v01_AdultYears*4)</x:f>
        <x:v>59.39566393031958</x:v>
      </x:c>
      <x:c r="Y1257" s="32" t="n">
        <x:f>Y1256+R1257-S1257-W1257-Y1256*V1257/AB1256</x:f>
        <x:v>7422.610268728096</x:v>
      </x:c>
      <x:c r="Z1257" s="32" t="n">
        <x:f>Z1256+W1257-X1257-T1257-Z1256*V1257/AB1256</x:f>
        <x:v>7424.248268488499</x:v>
      </x:c>
      <x:c r="AA1257" s="32" t="n">
        <x:f>AA1256+X1257-U1257-AA1256*V1257/AB1256</x:f>
        <x:v>2905.164370327573</x:v>
      </x:c>
      <x:c r="AB1257" s="10" t="n">
        <x:f>Y1257+Z1257+AA1257</x:f>
        <x:v>17752.022907544168</x:v>
      </x:c>
      <x:c r="AC1257" s="8" t="n">
        <x:f>IF(AND(v01_WinterTrigger=1,D1257=1,AB1256/AE1256&gt;=K1257),1,0)</x:f>
        <x:v>0</x:v>
      </x:c>
      <x:c r="AD1257" s="8" t="n">
        <x:f>H1257*IF(AND(OR(AB1256/AE1256&gt;=v01_FissionTrigger*N1257,AC1257=1),AB1256/AE1256*v01_DaughterShare&gt;=v01_MinDaughter),MAX(1,ROUND(AE1256*v01_FissionRate,0)),0)</x:f>
        <x:v>0</x:v>
      </x:c>
      <x:c r="AE1257" s="8" t="n">
        <x:f>IF(H1257=1,MAX(1,MIN(INDEX(v01_Smax,G1257),AE1256+AD1257)),AE1256)</x:f>
        <x:v>16</x:v>
      </x:c>
      <x:c r="AF1257" s="8" t="n">
        <x:f>MAX(0,AE1257-AE1256)</x:f>
        <x:v>0</x:v>
      </x:c>
      <x:c r="AG1257" s="9" t="str">
        <x:f>IF(AF1257&gt;0,B1257,"")</x:f>
      </x:c>
      <x:c r="AH1257" s="9" t="n">
        <x:f>IF(F1257&gt;=1,1,(1+v01_LowTiesShare*(AE1257-1))/AE1257)</x:f>
        <x:v>1</x:v>
      </x:c>
      <x:c r="AI1257" s="32" t="n">
        <x:f>(Z1257+v01_ElderCommons*INDEX(LM_Elder,G1257)*AA1257)*AH1257</x:f>
        <x:v>18318.6146572169</x:v>
      </x:c>
      <x:c r="AJ1257" s="32" t="n">
        <x:f>H1257*v01_CommonsCoef*AI1257^v01_CommonsExp*INDEX(LM_Commons,G1257)</x:f>
        <x:v>4921.717516157897</x:v>
      </x:c>
      <x:c r="AK1257" s="32" t="n">
        <x:f>H1257*v01_RoleScale*Arch_Roles*(AE1257*(INDEX(v01_ElderRolePerSett,G1257)*v01_OutElder*INDEX(LM_Elder,G1257)+INDEX(v01_ShamanPerSett,G1257)*v01_OutShaman)+Z1257*(INDEX(v01_PriestShare,G1257)*v01_OutPriest+INDEX(v01_ScribeShare,G1257)*v01_OutScribe*INDEX(LM_Scribe,G1257)+INDEX(v01_ScholarShare,G1257)*v01_OutScholar*INDEX(LM_Scholar,G1257)+INDEX(v01_ResearcherShare,G1257)*v01_OutResearcher*INDEX(LM_Researcher,G1257)))</x:f>
        <x:v>1388.7313537088623</x:v>
      </x:c>
      <x:c r="AL1257" s="32" t="n">
        <x:f>H1257*v01_RoleScale*Arch_Roles*AE1257*INDEX(v01_MonasteryPerSett,G1257)*v01_OutMonastery*INDEX(LM_Monastery,G1257)</x:f>
        <x:v>10.56</x:v>
      </x:c>
      <x:c r="AM1257" s="32" t="n">
        <x:f>(AJ1257+AK1257+AL1257)/4*INDEX(LM_All,G1257)*INDEX(v01_Boon,G1257)*Arch_Insight</x:f>
        <x:v>3803.9992311536253</x:v>
      </x:c>
      <x:c r="AN1257" s="32" t="n">
        <x:f>H1257*(v01_KHPerAdult*Z1257+v01_KHOfCommons*AJ1257/4*INDEX(LM_All,G1257))*v01_KHUsable*Arch_KH</x:f>
        <x:v>259.8486893970975</x:v>
      </x:c>
      <x:c r="AO1257" s="32" t="n">
        <x:f>MIN(AP1256+AN1257,AM1257*v01_KHMaxRatio)</x:f>
        <x:v>259.8486893970975</x:v>
      </x:c>
      <x:c r="AP1257" s="32" t="n">
        <x:f>AP1256+AN1257-AO1257</x:f>
        <x:v>0</x:v>
      </x:c>
      <x:c r="AQ1257" s="32" t="n">
        <x:f>AM1257+AO1257</x:f>
        <x:v>4063.847920550723</x:v>
      </x:c>
      <x:c r="AR1257" s="10" t="n">
        <x:f>IF(H1257=1,INDEX(v01_Req,G1257),0)</x:f>
        <x:v>240231.2486535</x:v>
      </x:c>
      <x:c r="AS1257" s="32" t="n">
        <x:f>IF(H1257=1,IF(E1257=1,AS1256-AR1256,AS1256)+AQ1257,0)</x:f>
        <x:v>170002.80974930106</x:v>
      </x:c>
      <x:c r="AT1257" s="11" t="n">
        <x:f>IF(AR1257&gt;0,MIN(1,AS1257/AR1257),1)</x:f>
        <x:v>0.7076631816309058</x:v>
      </x:c>
      <x:c r="AU1257" s="10" t="n">
        <x:f>AB1257/INDEX(v01_RepScale,G1257)</x:f>
        <x:v>177.52022907544168</x:v>
      </x:c>
      <x:c r="AV1257" s="32" t="n">
        <x:f>AM1257*60/v01_SeasonSeconds</x:f>
        <x:v>15215.996924614501</x:v>
      </x:c>
    </x:row>
    <x:row r="1258">
      <x:c r="A1258" s="8" t="n">
        <x:f>A1257+1</x:f>
        <x:v>1255</x:v>
      </x:c>
      <x:c r="B1258" s="9" t="n">
        <x:f>A1258*v01_SeasonSeconds/60</x:f>
        <x:v>313.75</x:v>
      </x:c>
      <x:c r="C1258" s="9" t="n">
        <x:f>A1258/4</x:f>
        <x:v>313.75</x:v>
      </x:c>
      <x:c r="D1258" s="8" t="n">
        <x:f>IF(MOD(A1258,4)=0,1,0)</x:f>
        <x:v>0</x:v>
      </x:c>
      <x:c r="E1258" s="8" t="n">
        <x:f>IF(AND(F1257&lt;=9,AS1257&gt;=AR1257),1,0)</x:f>
        <x:v>0</x:v>
      </x:c>
      <x:c r="F1258" s="8" t="n">
        <x:f>MIN(10,F1257+E1258)</x:f>
        <x:v>7</x:v>
      </x:c>
      <x:c r="G1258" s="8" t="n">
        <x:f>MIN(F1258,9)+1</x:f>
        <x:v>8</x:v>
      </x:c>
      <x:c r="H1258" s="8" t="n">
        <x:f>IF(F1258&lt;=9,1,0)</x:f>
        <x:v>1</x:v>
      </x:c>
      <x:c r="I1258" s="9" t="n">
        <x:f>MIN(10,F1257+IF(AR1257&gt;0,MIN(1,AS1257/AR1257),1))</x:f>
        <x:v>7.707663181630906</x:v>
      </x:c>
      <x:c r="J1258" s="32" t="n">
        <x:f>INDEX(v01_FoodCap,G1258)*Arch_FoodCap*EXP(v01_CapsByProject*SUMPRODUCT((Cap_Point&lt;=I1258)*(Cap_Kind="Food")*Cap_Ln))</x:f>
        <x:v>2500</x:v>
      </x:c>
      <x:c r="K1258" s="32" t="n">
        <x:f>J1258*MIN(1,v01_LeanBase*EXP(v01_CapsByProject*SUMPRODUCT((Cap_Point&lt;=I1258)*(Cap_Kind="Lean")*Cap_Ln)))</x:f>
        <x:v>2500</x:v>
      </x:c>
      <x:c r="L1258" s="10" t="n">
        <x:f>INDEX(v01_HousingCap,G1258)*EXP(v01_CapsByProject*SUMPRODUCT((Cap_Point&lt;=I1258)*(Cap_Kind="Housing")*Cap_Ln))</x:f>
        <x:v>4000</x:v>
      </x:c>
      <x:c r="M1258" s="10" t="n">
        <x:f>INDEX(v01_GroupCap,G1258)*v01_CohesionFactor*EXP(v01_CapsByProject*SUMPRODUCT((Cap_Point&lt;=I1258)*(Cap_Kind="Group")*Cap_Ln))</x:f>
        <x:v>1000000</x:v>
      </x:c>
      <x:c r="N1258" s="32" t="n">
        <x:f>MIN(J1258,L1258,M1258)</x:f>
        <x:v>2500</x:v>
      </x:c>
      <x:c r="O1258" s="10" t="n">
        <x:f>AE1257*N1258</x:f>
        <x:v>40000</x:v>
      </x:c>
      <x:c r="P1258" s="9" t="n">
        <x:f>MIN(1,(AB1257/(AE1257*IF(v01_GroupInCrowding=1,N1258,MIN(J1258,L1258))))^v01_CrowdingExp)</x:f>
        <x:v>0.007640594471813106</x:v>
      </x:c>
      <x:c r="Q1258" s="9" t="n">
        <x:f>IF(D1258=1,INDEX(v01_WinterMult,G1258),1)</x:f>
        <x:v>1</x:v>
      </x:c>
      <x:c r="R1258" s="9" t="n">
        <x:f>H1258*Z1257*v01_WomenShare*v01_BaseFertility*INDEX(v01_FertMult,G1258)*Arch_Fertility*(1-P1258)</x:f>
        <x:v>221.02567794632753</x:v>
      </x:c>
      <x:c r="S1258" s="9" t="n">
        <x:f>H1258*Y1257*INDEX(v01_MortChild,G1258)/4*Q1258</x:f>
        <x:v>27.83478850773036</x:v>
      </x:c>
      <x:c r="T1258" s="9" t="n">
        <x:f>H1258*Z1257*INDEX(v01_MortAdult,G1258)*Arch_AdultMort/4*Q1258</x:f>
        <x:v>12.992434469854873</x:v>
      </x:c>
      <x:c r="U1258" s="9" t="n">
        <x:f>H1258*AA1257*INDEX(v01_MortElder,G1258)/4*Q1258</x:f>
        <x:v>36.314554629094665</x:v>
      </x:c>
      <x:c r="V1258" s="9" t="n">
        <x:f>H1258*MAX(0,AB1257-O1258)*v01_OvercapLoss</x:f>
        <x:v>0</x:v>
      </x:c>
      <x:c r="W1258" s="9" t="n">
        <x:f>H1258*Y1257/(v01_ChildYears*4)</x:f>
        <x:v>132.54661194157316</x:v>
      </x:c>
      <x:c r="X1258" s="9" t="n">
        <x:f>H1258*Z1257/(v01_AdultYears*4)</x:f>
        <x:v>59.87296990716531</x:v>
      </x:c>
      <x:c r="Y1258" s="32" t="n">
        <x:f>Y1257+R1258-S1258-W1258-Y1257*V1258/AB1257</x:f>
        <x:v>7483.254546225121</x:v>
      </x:c>
      <x:c r="Z1258" s="32" t="n">
        <x:f>Z1257+W1258-X1258-T1258-Z1257*V1258/AB1257</x:f>
        <x:v>7483.929476053052</x:v>
      </x:c>
      <x:c r="AA1258" s="32" t="n">
        <x:f>AA1257+X1258-U1258-AA1257*V1258/AB1257</x:f>
        <x:v>2928.722785605644</x:v>
      </x:c>
      <x:c r="AB1258" s="10" t="n">
        <x:f>Y1258+Z1258+AA1258</x:f>
        <x:v>17895.906807883817</x:v>
      </x:c>
      <x:c r="AC1258" s="8" t="n">
        <x:f>IF(AND(v01_WinterTrigger=1,D1258=1,AB1257/AE1257&gt;=K1258),1,0)</x:f>
        <x:v>0</x:v>
      </x:c>
      <x:c r="AD1258" s="8" t="n">
        <x:f>H1258*IF(AND(OR(AB1257/AE1257&gt;=v01_FissionTrigger*N1258,AC1258=1),AB1257/AE1257*v01_DaughterShare&gt;=v01_MinDaughter),MAX(1,ROUND(AE1257*v01_FissionRate,0)),0)</x:f>
        <x:v>0</x:v>
      </x:c>
      <x:c r="AE1258" s="8" t="n">
        <x:f>IF(H1258=1,MAX(1,MIN(INDEX(v01_Smax,G1258),AE1257+AD1258)),AE1257)</x:f>
        <x:v>16</x:v>
      </x:c>
      <x:c r="AF1258" s="8" t="n">
        <x:f>MAX(0,AE1258-AE1257)</x:f>
        <x:v>0</x:v>
      </x:c>
      <x:c r="AG1258" s="9" t="str">
        <x:f>IF(AF1258&gt;0,B1258,"")</x:f>
      </x:c>
      <x:c r="AH1258" s="9" t="n">
        <x:f>IF(F1258&gt;=1,1,(1+v01_LowTiesShare*(AE1258-1))/AE1258)</x:f>
        <x:v>1</x:v>
      </x:c>
      <x:c r="AI1258" s="32" t="n">
        <x:f>(Z1258+v01_ElderCommons*INDEX(LM_Elder,G1258)*AA1258)*AH1258</x:f>
        <x:v>18466.639922074217</x:v>
      </x:c>
      <x:c r="AJ1258" s="32" t="n">
        <x:f>H1258*v01_CommonsCoef*AI1258^v01_CommonsExp*INDEX(LM_Commons,G1258)</x:f>
        <x:v>4955.501927773241</x:v>
      </x:c>
      <x:c r="AK1258" s="32" t="n">
        <x:f>H1258*v01_RoleScale*Arch_Roles*(AE1258*(INDEX(v01_ElderRolePerSett,G1258)*v01_OutElder*INDEX(LM_Elder,G1258)+INDEX(v01_ShamanPerSett,G1258)*v01_OutShaman)+Z1258*(INDEX(v01_PriestShare,G1258)*v01_OutPriest+INDEX(v01_ScribeShare,G1258)*v01_OutScribe*INDEX(LM_Scribe,G1258)+INDEX(v01_ScholarShare,G1258)*v01_OutScholar*INDEX(LM_Scholar,G1258)+INDEX(v01_ResearcherShare,G1258)*v01_OutResearcher*INDEX(LM_Researcher,G1258)))</x:f>
        <x:v>1399.4608412048176</x:v>
      </x:c>
      <x:c r="AL1258" s="32" t="n">
        <x:f>H1258*v01_RoleScale*Arch_Roles*AE1258*INDEX(v01_MonasteryPerSett,G1258)*v01_OutMonastery*INDEX(LM_Monastery,G1258)</x:f>
        <x:v>10.56</x:v>
      </x:c>
      <x:c r="AM1258" s="32" t="n">
        <x:f>(AJ1258+AK1258+AL1258)/4*INDEX(LM_All,G1258)*INDEX(v01_Boon,G1258)*Arch_Insight</x:f>
        <x:v>3830.7878089710457</x:v>
      </x:c>
      <x:c r="AN1258" s="32" t="n">
        <x:f>H1258*(v01_KHPerAdult*Z1258+v01_KHOfCommons*AJ1258/4*INDEX(LM_All,G1258))*v01_KHUsable*Arch_KH</x:f>
        <x:v>261.93753166185684</x:v>
      </x:c>
      <x:c r="AO1258" s="32" t="n">
        <x:f>MIN(AP1257+AN1258,AM1258*v01_KHMaxRatio)</x:f>
        <x:v>261.93753166185684</x:v>
      </x:c>
      <x:c r="AP1258" s="32" t="n">
        <x:f>AP1257+AN1258-AO1258</x:f>
        <x:v>0</x:v>
      </x:c>
      <x:c r="AQ1258" s="32" t="n">
        <x:f>AM1258+AO1258</x:f>
        <x:v>4092.7253406329028</x:v>
      </x:c>
      <x:c r="AR1258" s="10" t="n">
        <x:f>IF(H1258=1,INDEX(v01_Req,G1258),0)</x:f>
        <x:v>240231.2486535</x:v>
      </x:c>
      <x:c r="AS1258" s="32" t="n">
        <x:f>IF(H1258=1,IF(E1258=1,AS1257-AR1257,AS1257)+AQ1258,0)</x:f>
        <x:v>174095.53508993395</x:v>
      </x:c>
      <x:c r="AT1258" s="11" t="n">
        <x:f>IF(AR1258&gt;0,MIN(1,AS1258/AR1258),1)</x:f>
        <x:v>0.7246997884985498</x:v>
      </x:c>
      <x:c r="AU1258" s="10" t="n">
        <x:f>AB1258/INDEX(v01_RepScale,G1258)</x:f>
        <x:v>178.9590680788382</x:v>
      </x:c>
      <x:c r="AV1258" s="32" t="n">
        <x:f>AM1258*60/v01_SeasonSeconds</x:f>
        <x:v>15323.151235884183</x:v>
      </x:c>
    </x:row>
    <x:row r="1259">
      <x:c r="A1259" s="8" t="n">
        <x:f>A1258+1</x:f>
        <x:v>1256</x:v>
      </x:c>
      <x:c r="B1259" s="9" t="n">
        <x:f>A1259*v01_SeasonSeconds/60</x:f>
        <x:v>314</x:v>
      </x:c>
      <x:c r="C1259" s="9" t="n">
        <x:f>A1259/4</x:f>
        <x:v>314</x:v>
      </x:c>
      <x:c r="D1259" s="8" t="n">
        <x:f>IF(MOD(A1259,4)=0,1,0)</x:f>
        <x:v>1</x:v>
      </x:c>
      <x:c r="E1259" s="8" t="n">
        <x:f>IF(AND(F1258&lt;=9,AS1258&gt;=AR1258),1,0)</x:f>
        <x:v>0</x:v>
      </x:c>
      <x:c r="F1259" s="8" t="n">
        <x:f>MIN(10,F1258+E1259)</x:f>
        <x:v>7</x:v>
      </x:c>
      <x:c r="G1259" s="8" t="n">
        <x:f>MIN(F1259,9)+1</x:f>
        <x:v>8</x:v>
      </x:c>
      <x:c r="H1259" s="8" t="n">
        <x:f>IF(F1259&lt;=9,1,0)</x:f>
        <x:v>1</x:v>
      </x:c>
      <x:c r="I1259" s="9" t="n">
        <x:f>MIN(10,F1258+IF(AR1258&gt;0,MIN(1,AS1258/AR1258),1))</x:f>
        <x:v>7.724699788498549</x:v>
      </x:c>
      <x:c r="J1259" s="32" t="n">
        <x:f>INDEX(v01_FoodCap,G1259)*Arch_FoodCap*EXP(v01_CapsByProject*SUMPRODUCT((Cap_Point&lt;=I1259)*(Cap_Kind="Food")*Cap_Ln))</x:f>
        <x:v>2500</x:v>
      </x:c>
      <x:c r="K1259" s="32" t="n">
        <x:f>J1259*MIN(1,v01_LeanBase*EXP(v01_CapsByProject*SUMPRODUCT((Cap_Point&lt;=I1259)*(Cap_Kind="Lean")*Cap_Ln)))</x:f>
        <x:v>2500</x:v>
      </x:c>
      <x:c r="L1259" s="10" t="n">
        <x:f>INDEX(v01_HousingCap,G1259)*EXP(v01_CapsByProject*SUMPRODUCT((Cap_Point&lt;=I1259)*(Cap_Kind="Housing")*Cap_Ln))</x:f>
        <x:v>4000</x:v>
      </x:c>
      <x:c r="M1259" s="10" t="n">
        <x:f>INDEX(v01_GroupCap,G1259)*v01_CohesionFactor*EXP(v01_CapsByProject*SUMPRODUCT((Cap_Point&lt;=I1259)*(Cap_Kind="Group")*Cap_Ln))</x:f>
        <x:v>1000000</x:v>
      </x:c>
      <x:c r="N1259" s="32" t="n">
        <x:f>MIN(J1259,L1259,M1259)</x:f>
        <x:v>2500</x:v>
      </x:c>
      <x:c r="O1259" s="10" t="n">
        <x:f>AE1258*N1259</x:f>
        <x:v>40000</x:v>
      </x:c>
      <x:c r="P1259" s="9" t="n">
        <x:f>MIN(1,(AB1258/(AE1258*IF(v01_GroupInCrowding=1,N1259,MIN(J1259,L1259))))^v01_CrowdingExp)</x:f>
        <x:v>0.008019777310972554</x:v>
      </x:c>
      <x:c r="Q1259" s="9" t="n">
        <x:f>IF(D1259=1,INDEX(v01_WinterMult,G1259),1)</x:f>
        <x:v>1</x:v>
      </x:c>
      <x:c r="R1259" s="9" t="n">
        <x:f>H1259*Z1258*v01_WomenShare*v01_BaseFertility*INDEX(v01_FertMult,G1259)*Arch_Fertility*(1-P1259)</x:f>
        <x:v>222.7173008473225</x:v>
      </x:c>
      <x:c r="S1259" s="9" t="n">
        <x:f>H1259*Y1258*INDEX(v01_MortChild,G1259)/4*Q1259</x:f>
        <x:v>28.0622045483442</x:v>
      </x:c>
      <x:c r="T1259" s="9" t="n">
        <x:f>H1259*Z1258*INDEX(v01_MortAdult,G1259)*Arch_AdultMort/4*Q1259</x:f>
        <x:v>13.096876583092842</x:v>
      </x:c>
      <x:c r="U1259" s="9" t="n">
        <x:f>H1259*AA1258*INDEX(v01_MortElder,G1259)/4*Q1259</x:f>
        <x:v>36.60903482007055</x:v>
      </x:c>
      <x:c r="V1259" s="9" t="n">
        <x:f>H1259*MAX(0,AB1258-O1259)*v01_OvercapLoss</x:f>
        <x:v>0</x:v>
      </x:c>
      <x:c r="W1259" s="9" t="n">
        <x:f>H1259*Y1258/(v01_ChildYears*4)</x:f>
        <x:v>133.62954546830574</x:v>
      </x:c>
      <x:c r="X1259" s="9" t="n">
        <x:f>H1259*Z1258/(v01_AdultYears*4)</x:f>
        <x:v>60.354269968169774</x:v>
      </x:c>
      <x:c r="Y1259" s="32" t="n">
        <x:f>Y1258+R1259-S1259-W1259-Y1258*V1259/AB1258</x:f>
        <x:v>7544.280097055794</x:v>
      </x:c>
      <x:c r="Z1259" s="32" t="n">
        <x:f>Z1258+W1259-X1259-T1259-Z1258*V1259/AB1258</x:f>
        <x:v>7544.1078749700955</x:v>
      </x:c>
      <x:c r="AA1259" s="32" t="n">
        <x:f>AA1258+X1259-U1259-AA1258*V1259/AB1258</x:f>
        <x:v>2952.468020753743</x:v>
      </x:c>
      <x:c r="AB1259" s="10" t="n">
        <x:f>Y1259+Z1259+AA1259</x:f>
        <x:v>18040.85599277963</x:v>
      </x:c>
      <x:c r="AC1259" s="8" t="n">
        <x:f>IF(AND(v01_WinterTrigger=1,D1259=1,AB1258/AE1258&gt;=K1259),1,0)</x:f>
        <x:v>0</x:v>
      </x:c>
      <x:c r="AD1259" s="8" t="n">
        <x:f>H1259*IF(AND(OR(AB1258/AE1258&gt;=v01_FissionTrigger*N1259,AC1259=1),AB1258/AE1258*v01_DaughterShare&gt;=v01_MinDaughter),MAX(1,ROUND(AE1258*v01_FissionRate,0)),0)</x:f>
        <x:v>0</x:v>
      </x:c>
      <x:c r="AE1259" s="8" t="n">
        <x:f>IF(H1259=1,MAX(1,MIN(INDEX(v01_Smax,G1259),AE1258+AD1259)),AE1258)</x:f>
        <x:v>16</x:v>
      </x:c>
      <x:c r="AF1259" s="8" t="n">
        <x:f>MAX(0,AE1259-AE1258)</x:f>
        <x:v>0</x:v>
      </x:c>
      <x:c r="AG1259" s="9" t="str">
        <x:f>IF(AF1259&gt;0,B1259,"")</x:f>
      </x:c>
      <x:c r="AH1259" s="9" t="n">
        <x:f>IF(F1259&gt;=1,1,(1+v01_LowTiesShare*(AE1259-1))/AE1259)</x:f>
        <x:v>1</x:v>
      </x:c>
      <x:c r="AI1259" s="32" t="n">
        <x:f>(Z1259+v01_ElderCommons*INDEX(LM_Elder,G1259)*AA1259)*AH1259</x:f>
        <x:v>18615.862952796633</x:v>
      </x:c>
      <x:c r="AJ1259" s="32" t="n">
        <x:f>H1259*v01_CommonsCoef*AI1259^v01_CommonsExp*INDEX(LM_Commons,G1259)</x:f>
        <x:v>4989.518619807718</x:v>
      </x:c>
      <x:c r="AK1259" s="32" t="n">
        <x:f>H1259*v01_RoleScale*Arch_Roles*(AE1259*(INDEX(v01_ElderRolePerSett,G1259)*v01_OutElder*INDEX(LM_Elder,G1259)+INDEX(v01_ShamanPerSett,G1259)*v01_OutShaman)+Z1259*(INDEX(v01_PriestShare,G1259)*v01_OutPriest+INDEX(v01_ScribeShare,G1259)*v01_OutScribe*INDEX(LM_Scribe,G1259)+INDEX(v01_ScholarShare,G1259)*v01_OutScholar*INDEX(LM_Scholar,G1259)+INDEX(v01_ResearcherShare,G1259)*v01_OutResearcher*INDEX(LM_Researcher,G1259)))</x:f>
        <x:v>1410.2797137621237</x:v>
      </x:c>
      <x:c r="AL1259" s="32" t="n">
        <x:f>H1259*v01_RoleScale*Arch_Roles*AE1259*INDEX(v01_MonasteryPerSett,G1259)*v01_OutMonastery*INDEX(LM_Monastery,G1259)</x:f>
        <x:v>10.56</x:v>
      </x:c>
      <x:c r="AM1259" s="32" t="n">
        <x:f>(AJ1259+AK1259+AL1259)/4*INDEX(LM_All,G1259)*INDEX(v01_Boon,G1259)*Arch_Insight</x:f>
        <x:v>3857.7699658935812</x:v>
      </x:c>
      <x:c r="AN1259" s="32" t="n">
        <x:f>H1259*(v01_KHPerAdult*Z1259+v01_KHOfCommons*AJ1259/4*INDEX(LM_All,G1259))*v01_KHUsable*Arch_KH</x:f>
        <x:v>264.0437756239533</x:v>
      </x:c>
      <x:c r="AO1259" s="32" t="n">
        <x:f>MIN(AP1258+AN1259,AM1259*v01_KHMaxRatio)</x:f>
        <x:v>264.0437756239533</x:v>
      </x:c>
      <x:c r="AP1259" s="32" t="n">
        <x:f>AP1258+AN1259-AO1259</x:f>
        <x:v>0</x:v>
      </x:c>
      <x:c r="AQ1259" s="32" t="n">
        <x:f>AM1259+AO1259</x:f>
        <x:v>4121.813741517534</x:v>
      </x:c>
      <x:c r="AR1259" s="10" t="n">
        <x:f>IF(H1259=1,INDEX(v01_Req,G1259),0)</x:f>
        <x:v>240231.2486535</x:v>
      </x:c>
      <x:c r="AS1259" s="32" t="n">
        <x:f>IF(H1259=1,IF(E1259=1,AS1258-AR1258,AS1258)+AQ1259,0)</x:f>
        <x:v>178217.3488314515</x:v>
      </x:c>
      <x:c r="AT1259" s="11" t="n">
        <x:f>IF(AR1259&gt;0,MIN(1,AS1259/AR1259),1)</x:f>
        <x:v>0.7418574803667825</x:v>
      </x:c>
      <x:c r="AU1259" s="10" t="n">
        <x:f>AB1259/INDEX(v01_RepScale,G1259)</x:f>
        <x:v>180.40855992779632</x:v>
      </x:c>
      <x:c r="AV1259" s="32" t="n">
        <x:f>AM1259*60/v01_SeasonSeconds</x:f>
        <x:v>15431.079863574325</x:v>
      </x:c>
    </x:row>
    <x:row r="1260">
      <x:c r="A1260" s="8" t="n">
        <x:f>A1259+1</x:f>
        <x:v>1257</x:v>
      </x:c>
      <x:c r="B1260" s="9" t="n">
        <x:f>A1260*v01_SeasonSeconds/60</x:f>
        <x:v>314.25</x:v>
      </x:c>
      <x:c r="C1260" s="9" t="n">
        <x:f>A1260/4</x:f>
        <x:v>314.25</x:v>
      </x:c>
      <x:c r="D1260" s="8" t="n">
        <x:f>IF(MOD(A1260,4)=0,1,0)</x:f>
        <x:v>0</x:v>
      </x:c>
      <x:c r="E1260" s="8" t="n">
        <x:f>IF(AND(F1259&lt;=9,AS1259&gt;=AR1259),1,0)</x:f>
        <x:v>0</x:v>
      </x:c>
      <x:c r="F1260" s="8" t="n">
        <x:f>MIN(10,F1259+E1260)</x:f>
        <x:v>7</x:v>
      </x:c>
      <x:c r="G1260" s="8" t="n">
        <x:f>MIN(F1260,9)+1</x:f>
        <x:v>8</x:v>
      </x:c>
      <x:c r="H1260" s="8" t="n">
        <x:f>IF(F1260&lt;=9,1,0)</x:f>
        <x:v>1</x:v>
      </x:c>
      <x:c r="I1260" s="9" t="n">
        <x:f>MIN(10,F1259+IF(AR1259&gt;0,MIN(1,AS1259/AR1259),1))</x:f>
        <x:v>7.741857480366782</x:v>
      </x:c>
      <x:c r="J1260" s="32" t="n">
        <x:f>INDEX(v01_FoodCap,G1260)*Arch_FoodCap*EXP(v01_CapsByProject*SUMPRODUCT((Cap_Point&lt;=I1260)*(Cap_Kind="Food")*Cap_Ln))</x:f>
        <x:v>2500</x:v>
      </x:c>
      <x:c r="K1260" s="32" t="n">
        <x:f>J1260*MIN(1,v01_LeanBase*EXP(v01_CapsByProject*SUMPRODUCT((Cap_Point&lt;=I1260)*(Cap_Kind="Lean")*Cap_Ln)))</x:f>
        <x:v>2500</x:v>
      </x:c>
      <x:c r="L1260" s="10" t="n">
        <x:f>INDEX(v01_HousingCap,G1260)*EXP(v01_CapsByProject*SUMPRODUCT((Cap_Point&lt;=I1260)*(Cap_Kind="Housing")*Cap_Ln))</x:f>
        <x:v>4000</x:v>
      </x:c>
      <x:c r="M1260" s="10" t="n">
        <x:f>INDEX(v01_GroupCap,G1260)*v01_CohesionFactor*EXP(v01_CapsByProject*SUMPRODUCT((Cap_Point&lt;=I1260)*(Cap_Kind="Group")*Cap_Ln))</x:f>
        <x:v>1000000</x:v>
      </x:c>
      <x:c r="N1260" s="32" t="n">
        <x:f>MIN(J1260,L1260,M1260)</x:f>
        <x:v>2500</x:v>
      </x:c>
      <x:c r="O1260" s="10" t="n">
        <x:f>AE1259*N1260</x:f>
        <x:v>40000</x:v>
      </x:c>
      <x:c r="P1260" s="9" t="n">
        <x:f>MIN(1,(AB1259/(AE1259*IF(v01_GroupInCrowding=1,N1260,MIN(J1260,L1260))))^v01_CrowdingExp)</x:f>
        <x:v>0.008417495467697805</x:v>
      </x:c>
      <x:c r="Q1260" s="9" t="n">
        <x:f>IF(D1260=1,INDEX(v01_WinterMult,G1260),1)</x:f>
        <x:v>1</x:v>
      </x:c>
      <x:c r="R1260" s="9" t="n">
        <x:f>H1260*Z1259*v01_WomenShare*v01_BaseFertility*INDEX(v01_FertMult,G1260)*Arch_Fertility*(1-P1260)</x:f>
        <x:v>224.41816143374135</x:v>
      </x:c>
      <x:c r="S1260" s="9" t="n">
        <x:f>H1260*Y1259*INDEX(v01_MortChild,G1260)/4*Q1260</x:f>
        <x:v>28.291050363959226</x:v>
      </x:c>
      <x:c r="T1260" s="9" t="n">
        <x:f>H1260*Z1259*INDEX(v01_MortAdult,G1260)*Arch_AdultMort/4*Q1260</x:f>
        <x:v>13.202188781197668</x:v>
      </x:c>
      <x:c r="U1260" s="9" t="n">
        <x:f>H1260*AA1259*INDEX(v01_MortElder,G1260)/4*Q1260</x:f>
        <x:v>36.90585025942179</x:v>
      </x:c>
      <x:c r="V1260" s="9" t="n">
        <x:f>H1260*MAX(0,AB1259-O1260)*v01_OvercapLoss</x:f>
        <x:v>0</x:v>
      </x:c>
      <x:c r="W1260" s="9" t="n">
        <x:f>H1260*Y1259/(v01_ChildYears*4)</x:f>
        <x:v>134.71928744742488</x:v>
      </x:c>
      <x:c r="X1260" s="9" t="n">
        <x:f>H1260*Z1259/(v01_AdultYears*4)</x:f>
        <x:v>60.83957963685561</x:v>
      </x:c>
      <x:c r="Y1260" s="32" t="n">
        <x:f>Y1259+R1260-S1260-W1260-Y1259*V1260/AB1259</x:f>
        <x:v>7605.6879206781505</x:v>
      </x:c>
      <x:c r="Z1260" s="32" t="n">
        <x:f>Z1259+W1260-X1260-T1260-Z1259*V1260/AB1259</x:f>
        <x:v>7604.785393999467</x:v>
      </x:c>
      <x:c r="AA1260" s="32" t="n">
        <x:f>AA1259+X1260-U1260-AA1259*V1260/AB1259</x:f>
        <x:v>2976.401750131177</x:v>
      </x:c>
      <x:c r="AB1260" s="10" t="n">
        <x:f>Y1260+Z1260+AA1260</x:f>
        <x:v>18186.87506480879</x:v>
      </x:c>
      <x:c r="AC1260" s="8" t="n">
        <x:f>IF(AND(v01_WinterTrigger=1,D1260=1,AB1259/AE1259&gt;=K1260),1,0)</x:f>
        <x:v>0</x:v>
      </x:c>
      <x:c r="AD1260" s="8" t="n">
        <x:f>H1260*IF(AND(OR(AB1259/AE1259&gt;=v01_FissionTrigger*N1260,AC1260=1),AB1259/AE1259*v01_DaughterShare&gt;=v01_MinDaughter),MAX(1,ROUND(AE1259*v01_FissionRate,0)),0)</x:f>
        <x:v>0</x:v>
      </x:c>
      <x:c r="AE1260" s="8" t="n">
        <x:f>IF(H1260=1,MAX(1,MIN(INDEX(v01_Smax,G1260),AE1259+AD1260)),AE1259)</x:f>
        <x:v>16</x:v>
      </x:c>
      <x:c r="AF1260" s="8" t="n">
        <x:f>MAX(0,AE1260-AE1259)</x:f>
        <x:v>0</x:v>
      </x:c>
      <x:c r="AG1260" s="9" t="str">
        <x:f>IF(AF1260&gt;0,B1260,"")</x:f>
      </x:c>
      <x:c r="AH1260" s="9" t="n">
        <x:f>IF(F1260&gt;=1,1,(1+v01_LowTiesShare*(AE1260-1))/AE1260)</x:f>
        <x:v>1</x:v>
      </x:c>
      <x:c r="AI1260" s="32" t="n">
        <x:f>(Z1260+v01_ElderCommons*INDEX(LM_Elder,G1260)*AA1260)*AH1260</x:f>
        <x:v>18766.29195699138</x:v>
      </x:c>
      <x:c r="AJ1260" s="32" t="n">
        <x:f>H1260*v01_CommonsCoef*AI1260^v01_CommonsExp*INDEX(LM_Commons,G1260)</x:f>
        <x:v>5023.768851085659</x:v>
      </x:c>
      <x:c r="AK1260" s="32" t="n">
        <x:f>H1260*v01_RoleScale*Arch_Roles*(AE1260*(INDEX(v01_ElderRolePerSett,G1260)*v01_OutElder*INDEX(LM_Elder,G1260)+INDEX(v01_ShamanPerSett,G1260)*v01_OutShaman)+Z1260*(INDEX(v01_PriestShare,G1260)*v01_OutPriest+INDEX(v01_ScribeShare,G1260)*v01_OutScribe*INDEX(LM_Scribe,G1260)+INDEX(v01_ScholarShare,G1260)*v01_OutScholar*INDEX(LM_Scholar,G1260)+INDEX(v01_ResearcherShare,G1260)*v01_OutResearcher*INDEX(LM_Researcher,G1260)))</x:f>
        <x:v>1421.1883181332241</x:v>
      </x:c>
      <x:c r="AL1260" s="32" t="n">
        <x:f>H1260*v01_RoleScale*Arch_Roles*AE1260*INDEX(v01_MonasteryPerSett,G1260)*v01_OutMonastery*INDEX(LM_Monastery,G1260)</x:f>
        <x:v>10.56</x:v>
      </x:c>
      <x:c r="AM1260" s="32" t="n">
        <x:f>(AJ1260+AK1260+AL1260)/4*INDEX(LM_All,G1260)*INDEX(v01_Boon,G1260)*Arch_Insight</x:f>
        <x:v>3884.9466681614217</x:v>
      </x:c>
      <x:c r="AN1260" s="32" t="n">
        <x:f>H1260*(v01_KHPerAdult*Z1260+v01_KHOfCommons*AJ1260/4*INDEX(LM_All,G1260))*v01_KHUsable*Arch_KH</x:f>
        <x:v>266.16748878998135</x:v>
      </x:c>
      <x:c r="AO1260" s="32" t="n">
        <x:f>MIN(AP1259+AN1260,AM1260*v01_KHMaxRatio)</x:f>
        <x:v>266.16748878998135</x:v>
      </x:c>
      <x:c r="AP1260" s="32" t="n">
        <x:f>AP1259+AN1260-AO1260</x:f>
        <x:v>0</x:v>
      </x:c>
      <x:c r="AQ1260" s="32" t="n">
        <x:f>AM1260+AO1260</x:f>
        <x:v>4151.114156951403</x:v>
      </x:c>
      <x:c r="AR1260" s="10" t="n">
        <x:f>IF(H1260=1,INDEX(v01_Req,G1260),0)</x:f>
        <x:v>240231.2486535</x:v>
      </x:c>
      <x:c r="AS1260" s="32" t="n">
        <x:f>IF(H1260=1,IF(E1260=1,AS1259-AR1259,AS1259)+AQ1260,0)</x:f>
        <x:v>182368.4629884029</x:v>
      </x:c>
      <x:c r="AT1260" s="11" t="n">
        <x:f>IF(AR1260&gt;0,MIN(1,AS1260/AR1260),1)</x:f>
        <x:v>0.7591371397791964</x:v>
      </x:c>
      <x:c r="AU1260" s="10" t="n">
        <x:f>AB1260/INDEX(v01_RepScale,G1260)</x:f>
        <x:v>181.8687506480879</x:v>
      </x:c>
      <x:c r="AV1260" s="32" t="n">
        <x:f>AM1260*60/v01_SeasonSeconds</x:f>
        <x:v>15539.786672645687</x:v>
      </x:c>
    </x:row>
    <x:row r="1261">
      <x:c r="A1261" s="8" t="n">
        <x:f>A1260+1</x:f>
        <x:v>1258</x:v>
      </x:c>
      <x:c r="B1261" s="9" t="n">
        <x:f>A1261*v01_SeasonSeconds/60</x:f>
        <x:v>314.5</x:v>
      </x:c>
      <x:c r="C1261" s="9" t="n">
        <x:f>A1261/4</x:f>
        <x:v>314.5</x:v>
      </x:c>
      <x:c r="D1261" s="8" t="n">
        <x:f>IF(MOD(A1261,4)=0,1,0)</x:f>
        <x:v>0</x:v>
      </x:c>
      <x:c r="E1261" s="8" t="n">
        <x:f>IF(AND(F1260&lt;=9,AS1260&gt;=AR1260),1,0)</x:f>
        <x:v>0</x:v>
      </x:c>
      <x:c r="F1261" s="8" t="n">
        <x:f>MIN(10,F1260+E1261)</x:f>
        <x:v>7</x:v>
      </x:c>
      <x:c r="G1261" s="8" t="n">
        <x:f>MIN(F1261,9)+1</x:f>
        <x:v>8</x:v>
      </x:c>
      <x:c r="H1261" s="8" t="n">
        <x:f>IF(F1261&lt;=9,1,0)</x:f>
        <x:v>1</x:v>
      </x:c>
      <x:c r="I1261" s="9" t="n">
        <x:f>MIN(10,F1260+IF(AR1260&gt;0,MIN(1,AS1260/AR1260),1))</x:f>
        <x:v>7.759137139779196</x:v>
      </x:c>
      <x:c r="J1261" s="32" t="n">
        <x:f>INDEX(v01_FoodCap,G1261)*Arch_FoodCap*EXP(v01_CapsByProject*SUMPRODUCT((Cap_Point&lt;=I1261)*(Cap_Kind="Food")*Cap_Ln))</x:f>
        <x:v>2500</x:v>
      </x:c>
      <x:c r="K1261" s="32" t="n">
        <x:f>J1261*MIN(1,v01_LeanBase*EXP(v01_CapsByProject*SUMPRODUCT((Cap_Point&lt;=I1261)*(Cap_Kind="Lean")*Cap_Ln)))</x:f>
        <x:v>2500</x:v>
      </x:c>
      <x:c r="L1261" s="10" t="n">
        <x:f>INDEX(v01_HousingCap,G1261)*EXP(v01_CapsByProject*SUMPRODUCT((Cap_Point&lt;=I1261)*(Cap_Kind="Housing")*Cap_Ln))</x:f>
        <x:v>4000</x:v>
      </x:c>
      <x:c r="M1261" s="10" t="n">
        <x:f>INDEX(v01_GroupCap,G1261)*v01_CohesionFactor*EXP(v01_CapsByProject*SUMPRODUCT((Cap_Point&lt;=I1261)*(Cap_Kind="Group")*Cap_Ln))</x:f>
        <x:v>1000000</x:v>
      </x:c>
      <x:c r="N1261" s="32" t="n">
        <x:f>MIN(J1261,L1261,M1261)</x:f>
        <x:v>2500</x:v>
      </x:c>
      <x:c r="O1261" s="10" t="n">
        <x:f>AE1260*N1261</x:f>
        <x:v>40000</x:v>
      </x:c>
      <x:c r="P1261" s="9" t="n">
        <x:f>MIN(1,(AB1260/(AE1260*IF(v01_GroupInCrowding=1,N1261,MIN(J1261,L1261))))^v01_CrowdingExp)</x:f>
        <x:v>0.00883463380026995</x:v>
      </x:c>
      <x:c r="Q1261" s="9" t="n">
        <x:f>IF(D1261=1,INDEX(v01_WinterMult,G1261),1)</x:f>
        <x:v>1</x:v>
      </x:c>
      <x:c r="R1261" s="9" t="n">
        <x:f>H1261*Z1260*v01_WomenShare*v01_BaseFertility*INDEX(v01_FertMult,G1261)*Arch_Fertility*(1-P1261)</x:f>
        <x:v>226.12799699741518</x:v>
      </x:c>
      <x:c r="S1261" s="9" t="n">
        <x:f>H1261*Y1260*INDEX(v01_MortChild,G1261)/4*Q1261</x:f>
        <x:v>28.521329702543063</x:v>
      </x:c>
      <x:c r="T1261" s="9" t="n">
        <x:f>H1261*Z1260*INDEX(v01_MortAdult,G1261)*Arch_AdultMort/4*Q1261</x:f>
        <x:v>13.308374439499067</x:v>
      </x:c>
      <x:c r="U1261" s="9" t="n">
        <x:f>H1261*AA1260*INDEX(v01_MortElder,G1261)/4*Q1261</x:f>
        <x:v>37.20502187663971</x:v>
      </x:c>
      <x:c r="V1261" s="9" t="n">
        <x:f>H1261*MAX(0,AB1260-O1261)*v01_OvercapLoss</x:f>
        <x:v>0</x:v>
      </x:c>
      <x:c r="W1261" s="9" t="n">
        <x:f>H1261*Y1260/(v01_ChildYears*4)</x:f>
        <x:v>135.81585572639554</x:v>
      </x:c>
      <x:c r="X1261" s="9" t="n">
        <x:f>H1261*Z1260/(v01_AdultYears*4)</x:f>
        <x:v>61.32891446773763</x:v>
      </x:c>
      <x:c r="Y1261" s="32" t="n">
        <x:f>Y1260+R1261-S1261-W1261-Y1260*V1261/AB1260</x:f>
        <x:v>7667.478732246626</x:v>
      </x:c>
      <x:c r="Z1261" s="32" t="n">
        <x:f>Z1260+W1261-X1261-T1261-Z1260*V1261/AB1260</x:f>
        <x:v>7665.963960818626</x:v>
      </x:c>
      <x:c r="AA1261" s="32" t="n">
        <x:f>AA1260+X1261-U1261-AA1260*V1261/AB1260</x:f>
        <x:v>3000.525642722275</x:v>
      </x:c>
      <x:c r="AB1261" s="10" t="n">
        <x:f>Y1261+Z1261+AA1261</x:f>
        <x:v>18333.968335787526</x:v>
      </x:c>
      <x:c r="AC1261" s="8" t="n">
        <x:f>IF(AND(v01_WinterTrigger=1,D1261=1,AB1260/AE1260&gt;=K1261),1,0)</x:f>
        <x:v>0</x:v>
      </x:c>
      <x:c r="AD1261" s="8" t="n">
        <x:f>H1261*IF(AND(OR(AB1260/AE1260&gt;=v01_FissionTrigger*N1261,AC1261=1),AB1260/AE1260*v01_DaughterShare&gt;=v01_MinDaughter),MAX(1,ROUND(AE1260*v01_FissionRate,0)),0)</x:f>
        <x:v>0</x:v>
      </x:c>
      <x:c r="AE1261" s="8" t="n">
        <x:f>IF(H1261=1,MAX(1,MIN(INDEX(v01_Smax,G1261),AE1260+AD1261)),AE1260)</x:f>
        <x:v>16</x:v>
      </x:c>
      <x:c r="AF1261" s="8" t="n">
        <x:f>MAX(0,AE1261-AE1260)</x:f>
        <x:v>0</x:v>
      </x:c>
      <x:c r="AG1261" s="9" t="str">
        <x:f>IF(AF1261&gt;0,B1261,"")</x:f>
      </x:c>
      <x:c r="AH1261" s="9" t="n">
        <x:f>IF(F1261&gt;=1,1,(1+v01_LowTiesShare*(AE1261-1))/AE1261)</x:f>
        <x:v>1</x:v>
      </x:c>
      <x:c r="AI1261" s="32" t="n">
        <x:f>(Z1261+v01_ElderCommons*INDEX(LM_Elder,G1261)*AA1261)*AH1261</x:f>
        <x:v>18917.935121027156</x:v>
      </x:c>
      <x:c r="AJ1261" s="32" t="n">
        <x:f>H1261*v01_CommonsCoef*AI1261^v01_CommonsExp*INDEX(LM_Commons,G1261)</x:f>
        <x:v>5058.25387038547</x:v>
      </x:c>
      <x:c r="AK1261" s="32" t="n">
        <x:f>H1261*v01_RoleScale*Arch_Roles*(AE1261*(INDEX(v01_ElderRolePerSett,G1261)*v01_OutElder*INDEX(LM_Elder,G1261)+INDEX(v01_ShamanPerSett,G1261)*v01_OutShaman)+Z1261*(INDEX(v01_PriestShare,G1261)*v01_OutPriest+INDEX(v01_ScribeShare,G1261)*v01_OutScribe*INDEX(LM_Scribe,G1261)+INDEX(v01_ScholarShare,G1261)*v01_OutScholar*INDEX(LM_Scholar,G1261)+INDEX(v01_ResearcherShare,G1261)*v01_OutResearcher*INDEX(LM_Researcher,G1261)))</x:f>
        <x:v>1432.1870008759727</x:v>
      </x:c>
      <x:c r="AL1261" s="32" t="n">
        <x:f>H1261*v01_RoleScale*Arch_Roles*AE1261*INDEX(v01_MonasteryPerSett,G1261)*v01_OutMonastery*INDEX(LM_Monastery,G1261)</x:f>
        <x:v>10.56</x:v>
      </x:c>
      <x:c r="AM1261" s="32" t="n">
        <x:f>(AJ1261+AK1261+AL1261)/4*INDEX(LM_All,G1261)*INDEX(v01_Boon,G1261)*Arch_Insight</x:f>
        <x:v>3912.3188758519896</x:v>
      </x:c>
      <x:c r="AN1261" s="32" t="n">
        <x:f>H1261*(v01_KHPerAdult*Z1261+v01_KHOfCommons*AJ1261/4*INDEX(LM_All,G1261))*v01_KHUsable*Arch_KH</x:f>
        <x:v>268.3087386286519</x:v>
      </x:c>
      <x:c r="AO1261" s="32" t="n">
        <x:f>MIN(AP1260+AN1261,AM1261*v01_KHMaxRatio)</x:f>
        <x:v>268.3087386286519</x:v>
      </x:c>
      <x:c r="AP1261" s="32" t="n">
        <x:f>AP1260+AN1261-AO1261</x:f>
        <x:v>0</x:v>
      </x:c>
      <x:c r="AQ1261" s="32" t="n">
        <x:f>AM1261+AO1261</x:f>
        <x:v>4180.627614480642</x:v>
      </x:c>
      <x:c r="AR1261" s="10" t="n">
        <x:f>IF(H1261=1,INDEX(v01_Req,G1261),0)</x:f>
        <x:v>240231.2486535</x:v>
      </x:c>
      <x:c r="AS1261" s="32" t="n">
        <x:f>IF(H1261=1,IF(E1261=1,AS1260-AR1260,AS1260)+AQ1261,0)</x:f>
        <x:v>186549.09060288355</x:v>
      </x:c>
      <x:c r="AT1261" s="11" t="n">
        <x:f>IF(AR1261&gt;0,MIN(1,AS1261/AR1261),1)</x:f>
        <x:v>0.7765396535567051</x:v>
      </x:c>
      <x:c r="AU1261" s="10" t="n">
        <x:f>AB1261/INDEX(v01_RepScale,G1261)</x:f>
        <x:v>183.33968335787526</x:v>
      </x:c>
      <x:c r="AV1261" s="32" t="n">
        <x:f>AM1261*60/v01_SeasonSeconds</x:f>
        <x:v>15649.275503407958</x:v>
      </x:c>
    </x:row>
    <x:row r="1262">
      <x:c r="A1262" s="8" t="n">
        <x:f>A1261+1</x:f>
        <x:v>1259</x:v>
      </x:c>
      <x:c r="B1262" s="9" t="n">
        <x:f>A1262*v01_SeasonSeconds/60</x:f>
        <x:v>314.75</x:v>
      </x:c>
      <x:c r="C1262" s="9" t="n">
        <x:f>A1262/4</x:f>
        <x:v>314.75</x:v>
      </x:c>
      <x:c r="D1262" s="8" t="n">
        <x:f>IF(MOD(A1262,4)=0,1,0)</x:f>
        <x:v>0</x:v>
      </x:c>
      <x:c r="E1262" s="8" t="n">
        <x:f>IF(AND(F1261&lt;=9,AS1261&gt;=AR1261),1,0)</x:f>
        <x:v>0</x:v>
      </x:c>
      <x:c r="F1262" s="8" t="n">
        <x:f>MIN(10,F1261+E1262)</x:f>
        <x:v>7</x:v>
      </x:c>
      <x:c r="G1262" s="8" t="n">
        <x:f>MIN(F1262,9)+1</x:f>
        <x:v>8</x:v>
      </x:c>
      <x:c r="H1262" s="8" t="n">
        <x:f>IF(F1262&lt;=9,1,0)</x:f>
        <x:v>1</x:v>
      </x:c>
      <x:c r="I1262" s="9" t="n">
        <x:f>MIN(10,F1261+IF(AR1261&gt;0,MIN(1,AS1261/AR1261),1))</x:f>
        <x:v>7.776539653556705</x:v>
      </x:c>
      <x:c r="J1262" s="32" t="n">
        <x:f>INDEX(v01_FoodCap,G1262)*Arch_FoodCap*EXP(v01_CapsByProject*SUMPRODUCT((Cap_Point&lt;=I1262)*(Cap_Kind="Food")*Cap_Ln))</x:f>
        <x:v>2500</x:v>
      </x:c>
      <x:c r="K1262" s="32" t="n">
        <x:f>J1262*MIN(1,v01_LeanBase*EXP(v01_CapsByProject*SUMPRODUCT((Cap_Point&lt;=I1262)*(Cap_Kind="Lean")*Cap_Ln)))</x:f>
        <x:v>2500</x:v>
      </x:c>
      <x:c r="L1262" s="10" t="n">
        <x:f>INDEX(v01_HousingCap,G1262)*EXP(v01_CapsByProject*SUMPRODUCT((Cap_Point&lt;=I1262)*(Cap_Kind="Housing")*Cap_Ln))</x:f>
        <x:v>4000</x:v>
      </x:c>
      <x:c r="M1262" s="10" t="n">
        <x:f>INDEX(v01_GroupCap,G1262)*v01_CohesionFactor*EXP(v01_CapsByProject*SUMPRODUCT((Cap_Point&lt;=I1262)*(Cap_Kind="Group")*Cap_Ln))</x:f>
        <x:v>1000000</x:v>
      </x:c>
      <x:c r="N1262" s="32" t="n">
        <x:f>MIN(J1262,L1262,M1262)</x:f>
        <x:v>2500</x:v>
      </x:c>
      <x:c r="O1262" s="10" t="n">
        <x:f>AE1261*N1262</x:f>
        <x:v>40000</x:v>
      </x:c>
      <x:c r="P1262" s="9" t="n">
        <x:f>MIN(1,(AB1261/(AE1261*IF(v01_GroupInCrowding=1,N1262,MIN(J1262,L1262))))^v01_CrowdingExp)</x:f>
        <x:v>0.009272117226945497</x:v>
      </x:c>
      <x:c r="Q1262" s="9" t="n">
        <x:f>IF(D1262=1,INDEX(v01_WinterMult,G1262),1)</x:f>
        <x:v>1</x:v>
      </x:c>
      <x:c r="R1262" s="9" t="n">
        <x:f>H1262*Z1261*v01_WomenShare*v01_BaseFertility*INDEX(v01_FertMult,G1262)*Arch_Fertility*(1-P1262)</x:f>
        <x:v>227.84652732949127</x:v>
      </x:c>
      <x:c r="S1262" s="9" t="n">
        <x:f>H1262*Y1261*INDEX(v01_MortChild,G1262)/4*Q1262</x:f>
        <x:v>28.75304524592485</x:v>
      </x:c>
      <x:c r="T1262" s="9" t="n">
        <x:f>H1262*Z1261*INDEX(v01_MortAdult,G1262)*Arch_AdultMort/4*Q1262</x:f>
        <x:v>13.415436931432597</x:v>
      </x:c>
      <x:c r="U1262" s="9" t="n">
        <x:f>H1262*AA1261*INDEX(v01_MortElder,G1262)/4*Q1262</x:f>
        <x:v>37.506570534028434</x:v>
      </x:c>
      <x:c r="V1262" s="9" t="n">
        <x:f>H1262*MAX(0,AB1261-O1262)*v01_OvercapLoss</x:f>
        <x:v>0</x:v>
      </x:c>
      <x:c r="W1262" s="9" t="n">
        <x:f>H1262*Y1261/(v01_ChildYears*4)</x:f>
        <x:v>136.91926307583262</x:v>
      </x:c>
      <x:c r="X1262" s="9" t="n">
        <x:f>H1262*Z1261/(v01_AdultYears*4)</x:f>
        <x:v>61.822290006601825</x:v>
      </x:c>
      <x:c r="Y1262" s="32" t="n">
        <x:f>Y1261+R1262-S1262-W1262-Y1261*V1262/AB1261</x:f>
        <x:v>7729.65295125436</x:v>
      </x:c>
      <x:c r="Z1262" s="32" t="n">
        <x:f>Z1261+W1262-X1262-T1262-Z1261*V1262/AB1261</x:f>
        <x:v>7727.645496956424</x:v>
      </x:c>
      <x:c r="AA1262" s="32" t="n">
        <x:f>AA1261+X1262-U1262-AA1261*V1262/AB1261</x:f>
        <x:v>3024.841362194848</x:v>
      </x:c>
      <x:c r="AB1262" s="10" t="n">
        <x:f>Y1262+Z1262+AA1262</x:f>
        <x:v>18482.13981040563</x:v>
      </x:c>
      <x:c r="AC1262" s="8" t="n">
        <x:f>IF(AND(v01_WinterTrigger=1,D1262=1,AB1261/AE1261&gt;=K1262),1,0)</x:f>
        <x:v>0</x:v>
      </x:c>
      <x:c r="AD1262" s="8" t="n">
        <x:f>H1262*IF(AND(OR(AB1261/AE1261&gt;=v01_FissionTrigger*N1262,AC1262=1),AB1261/AE1261*v01_DaughterShare&gt;=v01_MinDaughter),MAX(1,ROUND(AE1261*v01_FissionRate,0)),0)</x:f>
        <x:v>0</x:v>
      </x:c>
      <x:c r="AE1262" s="8" t="n">
        <x:f>IF(H1262=1,MAX(1,MIN(INDEX(v01_Smax,G1262),AE1261+AD1262)),AE1261)</x:f>
        <x:v>16</x:v>
      </x:c>
      <x:c r="AF1262" s="8" t="n">
        <x:f>MAX(0,AE1262-AE1261)</x:f>
        <x:v>0</x:v>
      </x:c>
      <x:c r="AG1262" s="9" t="str">
        <x:f>IF(AF1262&gt;0,B1262,"")</x:f>
      </x:c>
      <x:c r="AH1262" s="9" t="n">
        <x:f>IF(F1262&gt;=1,1,(1+v01_LowTiesShare*(AE1262-1))/AE1262)</x:f>
        <x:v>1</x:v>
      </x:c>
      <x:c r="AI1262" s="32" t="n">
        <x:f>(Z1262+v01_ElderCommons*INDEX(LM_Elder,G1262)*AA1262)*AH1262</x:f>
        <x:v>19070.800605187105</x:v>
      </x:c>
      <x:c r="AJ1262" s="32" t="n">
        <x:f>H1262*v01_CommonsCoef*AI1262^v01_CommonsExp*INDEX(LM_Commons,G1262)</x:f>
        <x:v>5092.9749154024785</x:v>
      </x:c>
      <x:c r="AK1262" s="32" t="n">
        <x:f>H1262*v01_RoleScale*Arch_Roles*(AE1262*(INDEX(v01_ElderRolePerSett,G1262)*v01_OutElder*INDEX(LM_Elder,G1262)+INDEX(v01_ShamanPerSett,G1262)*v01_OutShaman)+Z1262*(INDEX(v01_PriestShare,G1262)*v01_OutPriest+INDEX(v01_ScribeShare,G1262)*v01_OutScribe*INDEX(LM_Scribe,G1262)+INDEX(v01_ScholarShare,G1262)*v01_OutScholar*INDEX(LM_Scholar,G1262)+INDEX(v01_ResearcherShare,G1262)*v01_OutResearcher*INDEX(LM_Researcher,G1262)))</x:f>
        <x:v>1443.2761074428258</x:v>
      </x:c>
      <x:c r="AL1262" s="32" t="n">
        <x:f>H1262*v01_RoleScale*Arch_Roles*AE1262*INDEX(v01_MonasteryPerSett,G1262)*v01_OutMonastery*INDEX(LM_Monastery,G1262)</x:f>
        <x:v>10.56</x:v>
      </x:c>
      <x:c r="AM1262" s="32" t="n">
        <x:f>(AJ1262+AK1262+AL1262)/4*INDEX(LM_All,G1262)*INDEX(v01_Boon,G1262)*Arch_Insight</x:f>
        <x:v>3939.887541707653</x:v>
      </x:c>
      <x:c r="AN1262" s="32" t="n">
        <x:f>H1262*(v01_KHPerAdult*Z1262+v01_KHOfCommons*AJ1262/4*INDEX(LM_All,G1262))*v01_KHUsable*Arch_KH</x:f>
        <x:v>270.46759239347483</x:v>
      </x:c>
      <x:c r="AO1262" s="32" t="n">
        <x:f>MIN(AP1261+AN1262,AM1262*v01_KHMaxRatio)</x:f>
        <x:v>270.46759239347483</x:v>
      </x:c>
      <x:c r="AP1262" s="32" t="n">
        <x:f>AP1261+AN1262-AO1262</x:f>
        <x:v>0</x:v>
      </x:c>
      <x:c r="AQ1262" s="32" t="n">
        <x:f>AM1262+AO1262</x:f>
        <x:v>4210.355134101128</x:v>
      </x:c>
      <x:c r="AR1262" s="10" t="n">
        <x:f>IF(H1262=1,INDEX(v01_Req,G1262),0)</x:f>
        <x:v>240231.2486535</x:v>
      </x:c>
      <x:c r="AS1262" s="32" t="n">
        <x:f>IF(H1262=1,IF(E1262=1,AS1261-AR1261,AS1261)+AQ1262,0)</x:f>
        <x:v>190759.44573698466</x:v>
      </x:c>
      <x:c r="AT1262" s="11" t="n">
        <x:f>IF(AR1262&gt;0,MIN(1,AS1262/AR1262),1)</x:f>
        <x:v>0.7940659127661136</x:v>
      </x:c>
      <x:c r="AU1262" s="10" t="n">
        <x:f>AB1262/INDEX(v01_RepScale,G1262)</x:f>
        <x:v>184.82139810405633</x:v>
      </x:c>
      <x:c r="AV1262" s="32" t="n">
        <x:f>AM1262*60/v01_SeasonSeconds</x:f>
        <x:v>15759.550166830611</x:v>
      </x:c>
    </x:row>
    <x:row r="1263">
      <x:c r="A1263" s="8" t="n">
        <x:f>A1262+1</x:f>
        <x:v>1260</x:v>
      </x:c>
      <x:c r="B1263" s="9" t="n">
        <x:f>A1263*v01_SeasonSeconds/60</x:f>
        <x:v>315</x:v>
      </x:c>
      <x:c r="C1263" s="9" t="n">
        <x:f>A1263/4</x:f>
        <x:v>315</x:v>
      </x:c>
      <x:c r="D1263" s="8" t="n">
        <x:f>IF(MOD(A1263,4)=0,1,0)</x:f>
        <x:v>1</x:v>
      </x:c>
      <x:c r="E1263" s="8" t="n">
        <x:f>IF(AND(F1262&lt;=9,AS1262&gt;=AR1262),1,0)</x:f>
        <x:v>0</x:v>
      </x:c>
      <x:c r="F1263" s="8" t="n">
        <x:f>MIN(10,F1262+E1263)</x:f>
        <x:v>7</x:v>
      </x:c>
      <x:c r="G1263" s="8" t="n">
        <x:f>MIN(F1263,9)+1</x:f>
        <x:v>8</x:v>
      </x:c>
      <x:c r="H1263" s="8" t="n">
        <x:f>IF(F1263&lt;=9,1,0)</x:f>
        <x:v>1</x:v>
      </x:c>
      <x:c r="I1263" s="9" t="n">
        <x:f>MIN(10,F1262+IF(AR1262&gt;0,MIN(1,AS1262/AR1262),1))</x:f>
        <x:v>7.794065912766113</x:v>
      </x:c>
      <x:c r="J1263" s="32" t="n">
        <x:f>INDEX(v01_FoodCap,G1263)*Arch_FoodCap*EXP(v01_CapsByProject*SUMPRODUCT((Cap_Point&lt;=I1263)*(Cap_Kind="Food")*Cap_Ln))</x:f>
        <x:v>2500</x:v>
      </x:c>
      <x:c r="K1263" s="32" t="n">
        <x:f>J1263*MIN(1,v01_LeanBase*EXP(v01_CapsByProject*SUMPRODUCT((Cap_Point&lt;=I1263)*(Cap_Kind="Lean")*Cap_Ln)))</x:f>
        <x:v>2500</x:v>
      </x:c>
      <x:c r="L1263" s="10" t="n">
        <x:f>INDEX(v01_HousingCap,G1263)*EXP(v01_CapsByProject*SUMPRODUCT((Cap_Point&lt;=I1263)*(Cap_Kind="Housing")*Cap_Ln))</x:f>
        <x:v>4000</x:v>
      </x:c>
      <x:c r="M1263" s="10" t="n">
        <x:f>INDEX(v01_GroupCap,G1263)*v01_CohesionFactor*EXP(v01_CapsByProject*SUMPRODUCT((Cap_Point&lt;=I1263)*(Cap_Kind="Group")*Cap_Ln))</x:f>
        <x:v>1000000</x:v>
      </x:c>
      <x:c r="N1263" s="32" t="n">
        <x:f>MIN(J1263,L1263,M1263)</x:f>
        <x:v>2500</x:v>
      </x:c>
      <x:c r="O1263" s="10" t="n">
        <x:f>AE1262*N1263</x:f>
        <x:v>40000</x:v>
      </x:c>
      <x:c r="P1263" s="9" t="n">
        <x:f>MIN(1,(AB1262/(AE1262*IF(v01_GroupInCrowding=1,N1263,MIN(J1263,L1263))))^v01_CrowdingExp)</x:f>
        <x:v>0.009730912315899327</x:v>
      </x:c>
      <x:c r="Q1263" s="9" t="n">
        <x:f>IF(D1263=1,INDEX(v01_WinterMult,G1263),1)</x:f>
        <x:v>1</x:v>
      </x:c>
      <x:c r="R1263" s="9" t="n">
        <x:f>H1263*Z1262*v01_WomenShare*v01_BaseFertility*INDEX(v01_FertMult,G1263)*Arch_Fertility*(1-P1263)</x:f>
        <x:v>229.5734536865156</x:v>
      </x:c>
      <x:c r="S1263" s="9" t="n">
        <x:f>H1263*Y1262*INDEX(v01_MortChild,G1263)/4*Q1263</x:f>
        <x:v>28.98619856720385</x:v>
      </x:c>
      <x:c r="T1263" s="9" t="n">
        <x:f>H1263*Z1262*INDEX(v01_MortAdult,G1263)*Arch_AdultMort/4*Q1263</x:f>
        <x:v>13.523379619673742</x:v>
      </x:c>
      <x:c r="U1263" s="9" t="n">
        <x:f>H1263*AA1262*INDEX(v01_MortElder,G1263)/4*Q1263</x:f>
        <x:v>37.8105170274356</x:v>
      </x:c>
      <x:c r="V1263" s="9" t="n">
        <x:f>H1263*MAX(0,AB1262-O1263)*v01_OvercapLoss</x:f>
        <x:v>0</x:v>
      </x:c>
      <x:c r="W1263" s="9" t="n">
        <x:f>H1263*Y1262/(v01_ChildYears*4)</x:f>
        <x:v>138.029516986685</x:v>
      </x:c>
      <x:c r="X1263" s="9" t="n">
        <x:f>H1263*Z1262/(v01_AdultYears*4)</x:f>
        <x:v>62.31972174964858</x:v>
      </x:c>
      <x:c r="Y1263" s="32" t="n">
        <x:f>Y1262+R1263-S1263-W1263-Y1262*V1263/AB1262</x:f>
        <x:v>7792.210689386987</x:v>
      </x:c>
      <x:c r="Z1263" s="32" t="n">
        <x:f>Z1262+W1263-X1263-T1263-Z1262*V1263/AB1262</x:f>
        <x:v>7789.831912573787</x:v>
      </x:c>
      <x:c r="AA1263" s="32" t="n">
        <x:f>AA1262+X1263-U1263-AA1262*V1263/AB1262</x:f>
        <x:v>3049.350566917061</x:v>
      </x:c>
      <x:c r="AB1263" s="10" t="n">
        <x:f>Y1263+Z1263+AA1263</x:f>
        <x:v>18631.393168877832</x:v>
      </x:c>
      <x:c r="AC1263" s="8" t="n">
        <x:f>IF(AND(v01_WinterTrigger=1,D1263=1,AB1262/AE1262&gt;=K1263),1,0)</x:f>
        <x:v>0</x:v>
      </x:c>
      <x:c r="AD1263" s="8" t="n">
        <x:f>H1263*IF(AND(OR(AB1262/AE1262&gt;=v01_FissionTrigger*N1263,AC1263=1),AB1262/AE1262*v01_DaughterShare&gt;=v01_MinDaughter),MAX(1,ROUND(AE1262*v01_FissionRate,0)),0)</x:f>
        <x:v>0</x:v>
      </x:c>
      <x:c r="AE1263" s="8" t="n">
        <x:f>IF(H1263=1,MAX(1,MIN(INDEX(v01_Smax,G1263),AE1262+AD1263)),AE1262)</x:f>
        <x:v>16</x:v>
      </x:c>
      <x:c r="AF1263" s="8" t="n">
        <x:f>MAX(0,AE1263-AE1262)</x:f>
        <x:v>0</x:v>
      </x:c>
      <x:c r="AG1263" s="9" t="str">
        <x:f>IF(AF1263&gt;0,B1263,"")</x:f>
      </x:c>
      <x:c r="AH1263" s="9" t="n">
        <x:f>IF(F1263&gt;=1,1,(1+v01_LowTiesShare*(AE1263-1))/AE1263)</x:f>
        <x:v>1</x:v>
      </x:c>
      <x:c r="AI1263" s="32" t="n">
        <x:f>(Z1263+v01_ElderCommons*INDEX(LM_Elder,G1263)*AA1263)*AH1263</x:f>
        <x:v>19224.896538512767</x:v>
      </x:c>
      <x:c r="AJ1263" s="32" t="n">
        <x:f>H1263*v01_CommonsCoef*AI1263^v01_CommonsExp*INDEX(LM_Commons,G1263)</x:f>
        <x:v>5127.933211649509</x:v>
      </x:c>
      <x:c r="AK1263" s="32" t="n">
        <x:f>H1263*v01_RoleScale*Arch_Roles*(AE1263*(INDEX(v01_ElderRolePerSett,G1263)*v01_OutElder*INDEX(LM_Elder,G1263)+INDEX(v01_ShamanPerSett,G1263)*v01_OutShaman)+Z1263*(INDEX(v01_PriestShare,G1263)*v01_OutPriest+INDEX(v01_ScribeShare,G1263)*v01_OutScribe*INDEX(LM_Scribe,G1263)+INDEX(v01_ScholarShare,G1263)*v01_OutScholar*INDEX(LM_Scholar,G1263)+INDEX(v01_ResearcherShare,G1263)*v01_OutResearcher*INDEX(LM_Researcher,G1263)))</x:f>
        <x:v>1454.4559812425155</x:v>
      </x:c>
      <x:c r="AL1263" s="32" t="n">
        <x:f>H1263*v01_RoleScale*Arch_Roles*AE1263*INDEX(v01_MonasteryPerSett,G1263)*v01_OutMonastery*INDEX(LM_Monastery,G1263)</x:f>
        <x:v>10.56</x:v>
      </x:c>
      <x:c r="AM1263" s="32" t="n">
        <x:f>(AJ1263+AK1263+AL1263)/4*INDEX(LM_All,G1263)*INDEX(v01_Boon,G1263)*Arch_Insight</x:f>
        <x:v>3967.6536099093983</x:v>
      </x:c>
      <x:c r="AN1263" s="32" t="n">
        <x:f>H1263*(v01_KHPerAdult*Z1263+v01_KHOfCommons*AJ1263/4*INDEX(LM_All,G1263))*v01_KHUsable*Arch_KH</x:f>
        <x:v>272.64411694008254</x:v>
      </x:c>
      <x:c r="AO1263" s="32" t="n">
        <x:f>MIN(AP1262+AN1263,AM1263*v01_KHMaxRatio)</x:f>
        <x:v>272.64411694008254</x:v>
      </x:c>
      <x:c r="AP1263" s="32" t="n">
        <x:f>AP1262+AN1263-AO1263</x:f>
        <x:v>0</x:v>
      </x:c>
      <x:c r="AQ1263" s="32" t="n">
        <x:f>AM1263+AO1263</x:f>
        <x:v>4240.297726849481</x:v>
      </x:c>
      <x:c r="AR1263" s="10" t="n">
        <x:f>IF(H1263=1,INDEX(v01_Req,G1263),0)</x:f>
        <x:v>240231.2486535</x:v>
      </x:c>
      <x:c r="AS1263" s="32" t="n">
        <x:f>IF(H1263=1,IF(E1263=1,AS1262-AR1262,AS1262)+AQ1263,0)</x:f>
        <x:v>194999.74346383414</x:v>
      </x:c>
      <x:c r="AT1263" s="11" t="n">
        <x:f>IF(AR1263&gt;0,MIN(1,AS1263/AR1263),1)</x:f>
        <x:v>0.8117168126828247</x:v>
      </x:c>
      <x:c r="AU1263" s="10" t="n">
        <x:f>AB1263/INDEX(v01_RepScale,G1263)</x:f>
        <x:v>186.31393168877833</x:v>
      </x:c>
      <x:c r="AV1263" s="32" t="n">
        <x:f>AM1263*60/v01_SeasonSeconds</x:f>
        <x:v>15870.614439637593</x:v>
      </x:c>
    </x:row>
    <x:row r="1264">
      <x:c r="A1264" s="8" t="n">
        <x:f>A1263+1</x:f>
        <x:v>1261</x:v>
      </x:c>
      <x:c r="B1264" s="9" t="n">
        <x:f>A1264*v01_SeasonSeconds/60</x:f>
        <x:v>315.25</x:v>
      </x:c>
      <x:c r="C1264" s="9" t="n">
        <x:f>A1264/4</x:f>
        <x:v>315.25</x:v>
      </x:c>
      <x:c r="D1264" s="8" t="n">
        <x:f>IF(MOD(A1264,4)=0,1,0)</x:f>
        <x:v>0</x:v>
      </x:c>
      <x:c r="E1264" s="8" t="n">
        <x:f>IF(AND(F1263&lt;=9,AS1263&gt;=AR1263),1,0)</x:f>
        <x:v>0</x:v>
      </x:c>
      <x:c r="F1264" s="8" t="n">
        <x:f>MIN(10,F1263+E1264)</x:f>
        <x:v>7</x:v>
      </x:c>
      <x:c r="G1264" s="8" t="n">
        <x:f>MIN(F1264,9)+1</x:f>
        <x:v>8</x:v>
      </x:c>
      <x:c r="H1264" s="8" t="n">
        <x:f>IF(F1264&lt;=9,1,0)</x:f>
        <x:v>1</x:v>
      </x:c>
      <x:c r="I1264" s="9" t="n">
        <x:f>MIN(10,F1263+IF(AR1263&gt;0,MIN(1,AS1263/AR1263),1))</x:f>
        <x:v>7.811716812682825</x:v>
      </x:c>
      <x:c r="J1264" s="32" t="n">
        <x:f>INDEX(v01_FoodCap,G1264)*Arch_FoodCap*EXP(v01_CapsByProject*SUMPRODUCT((Cap_Point&lt;=I1264)*(Cap_Kind="Food")*Cap_Ln))</x:f>
        <x:v>2500</x:v>
      </x:c>
      <x:c r="K1264" s="32" t="n">
        <x:f>J1264*MIN(1,v01_LeanBase*EXP(v01_CapsByProject*SUMPRODUCT((Cap_Point&lt;=I1264)*(Cap_Kind="Lean")*Cap_Ln)))</x:f>
        <x:v>2500</x:v>
      </x:c>
      <x:c r="L1264" s="10" t="n">
        <x:f>INDEX(v01_HousingCap,G1264)*EXP(v01_CapsByProject*SUMPRODUCT((Cap_Point&lt;=I1264)*(Cap_Kind="Housing")*Cap_Ln))</x:f>
        <x:v>4000</x:v>
      </x:c>
      <x:c r="M1264" s="10" t="n">
        <x:f>INDEX(v01_GroupCap,G1264)*v01_CohesionFactor*EXP(v01_CapsByProject*SUMPRODUCT((Cap_Point&lt;=I1264)*(Cap_Kind="Group")*Cap_Ln))</x:f>
        <x:v>1000000</x:v>
      </x:c>
      <x:c r="N1264" s="32" t="n">
        <x:f>MIN(J1264,L1264,M1264)</x:f>
        <x:v>2500</x:v>
      </x:c>
      <x:c r="O1264" s="10" t="n">
        <x:f>AE1263*N1264</x:f>
        <x:v>40000</x:v>
      </x:c>
      <x:c r="P1264" s="9" t="n">
        <x:f>MIN(1,(AB1263/(AE1263*IF(v01_GroupInCrowding=1,N1264,MIN(J1264,L1264))))^v01_CrowdingExp)</x:f>
        <x:v>0.01021202891484373</x:v>
      </x:c>
      <x:c r="Q1264" s="9" t="n">
        <x:f>IF(D1264=1,INDEX(v01_WinterMult,G1264),1)</x:f>
        <x:v>1</x:v>
      </x:c>
      <x:c r="R1264" s="9" t="n">
        <x:f>H1264*Z1263*v01_WomenShare*v01_BaseFertility*INDEX(v01_FertMult,G1264)*Arch_Fertility*(1-P1264)</x:f>
        <x:v>231.3084577152243</x:v>
      </x:c>
      <x:c r="S1264" s="9" t="n">
        <x:f>H1264*Y1263*INDEX(v01_MortChild,G1264)/4*Q1264</x:f>
        <x:v>29.220790085201198</x:v>
      </x:c>
      <x:c r="T1264" s="9" t="n">
        <x:f>H1264*Z1263*INDEX(v01_MortAdult,G1264)*Arch_AdultMort/4*Q1264</x:f>
        <x:v>13.632205847004128</x:v>
      </x:c>
      <x:c r="U1264" s="9" t="n">
        <x:f>H1264*AA1263*INDEX(v01_MortElder,G1264)/4*Q1264</x:f>
        <x:v>38.116882086463264</x:v>
      </x:c>
      <x:c r="V1264" s="9" t="n">
        <x:f>H1264*MAX(0,AB1263-O1264)*v01_OvercapLoss</x:f>
        <x:v>0</x:v>
      </x:c>
      <x:c r="W1264" s="9" t="n">
        <x:f>H1264*Y1263/(v01_ChildYears*4)</x:f>
        <x:v>139.14661945333904</x:v>
      </x:c>
      <x:c r="X1264" s="9" t="n">
        <x:f>H1264*Z1263/(v01_AdultYears*4)</x:f>
        <x:v>62.82122510140151</x:v>
      </x:c>
      <x:c r="Y1264" s="32" t="n">
        <x:f>Y1263+R1264-S1264-W1264-Y1263*V1264/AB1263</x:f>
        <x:v>7855.151737563671</x:v>
      </x:c>
      <x:c r="Z1264" s="32" t="n">
        <x:f>Z1263+W1264-X1264-T1264-Z1263*V1264/AB1263</x:f>
        <x:v>7852.525101078721</x:v>
      </x:c>
      <x:c r="AA1264" s="32" t="n">
        <x:f>AA1263+X1264-U1264-AA1263*V1264/AB1263</x:f>
        <x:v>3074.054909931999</x:v>
      </x:c>
      <x:c r="AB1264" s="10" t="n">
        <x:f>Y1264+Z1264+AA1264</x:f>
        <x:v>18781.73174857439</x:v>
      </x:c>
      <x:c r="AC1264" s="8" t="n">
        <x:f>IF(AND(v01_WinterTrigger=1,D1264=1,AB1263/AE1263&gt;=K1264),1,0)</x:f>
        <x:v>0</x:v>
      </x:c>
      <x:c r="AD1264" s="8" t="n">
        <x:f>H1264*IF(AND(OR(AB1263/AE1263&gt;=v01_FissionTrigger*N1264,AC1264=1),AB1263/AE1263*v01_DaughterShare&gt;=v01_MinDaughter),MAX(1,ROUND(AE1263*v01_FissionRate,0)),0)</x:f>
        <x:v>0</x:v>
      </x:c>
      <x:c r="AE1264" s="8" t="n">
        <x:f>IF(H1264=1,MAX(1,MIN(INDEX(v01_Smax,G1264),AE1263+AD1264)),AE1263)</x:f>
        <x:v>16</x:v>
      </x:c>
      <x:c r="AF1264" s="8" t="n">
        <x:f>MAX(0,AE1264-AE1263)</x:f>
        <x:v>0</x:v>
      </x:c>
      <x:c r="AG1264" s="9" t="str">
        <x:f>IF(AF1264&gt;0,B1264,"")</x:f>
      </x:c>
      <x:c r="AH1264" s="9" t="n">
        <x:f>IF(F1264&gt;=1,1,(1+v01_LowTiesShare*(AE1264-1))/AE1264)</x:f>
        <x:v>1</x:v>
      </x:c>
      <x:c r="AI1264" s="32" t="n">
        <x:f>(Z1264+v01_ElderCommons*INDEX(LM_Elder,G1264)*AA1264)*AH1264</x:f>
        <x:v>19380.23101332372</x:v>
      </x:c>
      <x:c r="AJ1264" s="32" t="n">
        <x:f>H1264*v01_CommonsCoef*AI1264^v01_CommonsExp*INDEX(LM_Commons,G1264)</x:f>
        <x:v>5163.129971292352</x:v>
      </x:c>
      <x:c r="AK1264" s="32" t="n">
        <x:f>H1264*v01_RoleScale*Arch_Roles*(AE1264*(INDEX(v01_ElderRolePerSett,G1264)*v01_OutElder*INDEX(LM_Elder,G1264)+INDEX(v01_ShamanPerSett,G1264)*v01_OutShaman)+Z1264*(INDEX(v01_PriestShare,G1264)*v01_OutPriest+INDEX(v01_ScribeShare,G1264)*v01_OutScribe*INDEX(LM_Scribe,G1264)+INDEX(v01_ScholarShare,G1264)*v01_OutScholar*INDEX(LM_Scholar,G1264)+INDEX(v01_ResearcherShare,G1264)*v01_OutResearcher*INDEX(LM_Researcher,G1264)))</x:f>
        <x:v>1465.7269626719324</x:v>
      </x:c>
      <x:c r="AL1264" s="32" t="n">
        <x:f>H1264*v01_RoleScale*Arch_Roles*AE1264*INDEX(v01_MonasteryPerSett,G1264)*v01_OutMonastery*INDEX(LM_Monastery,G1264)</x:f>
        <x:v>10.56</x:v>
      </x:c>
      <x:c r="AM1264" s="32" t="n">
        <x:f>(AJ1264+AK1264+AL1264)/4*INDEX(LM_All,G1264)*INDEX(v01_Boon,G1264)*Arch_Insight</x:f>
        <x:v>3995.6180147934006</x:v>
      </x:c>
      <x:c r="AN1264" s="32" t="n">
        <x:f>H1264*(v01_KHPerAdult*Z1264+v01_KHOfCommons*AJ1264/4*INDEX(LM_All,G1264))*v01_KHUsable*Arch_KH</x:f>
        <x:v>274.8383785377552</x:v>
      </x:c>
      <x:c r="AO1264" s="32" t="n">
        <x:f>MIN(AP1263+AN1264,AM1264*v01_KHMaxRatio)</x:f>
        <x:v>274.8383785377552</x:v>
      </x:c>
      <x:c r="AP1264" s="32" t="n">
        <x:f>AP1263+AN1264-AO1264</x:f>
        <x:v>0</x:v>
      </x:c>
      <x:c r="AQ1264" s="32" t="n">
        <x:f>AM1264+AO1264</x:f>
        <x:v>4270.456393331156</x:v>
      </x:c>
      <x:c r="AR1264" s="10" t="n">
        <x:f>IF(H1264=1,INDEX(v01_Req,G1264),0)</x:f>
        <x:v>240231.2486535</x:v>
      </x:c>
      <x:c r="AS1264" s="32" t="n">
        <x:f>IF(H1264=1,IF(E1264=1,AS1263-AR1263,AS1263)+AQ1264,0)</x:f>
        <x:v>199270.19985716528</x:v>
      </x:c>
      <x:c r="AT1264" s="11" t="n">
        <x:f>IF(AR1264&gt;0,MIN(1,AS1264/AR1264),1)</x:f>
        <x:v>0.8294932527474171</x:v>
      </x:c>
      <x:c r="AU1264" s="10" t="n">
        <x:f>AB1264/INDEX(v01_RepScale,G1264)</x:f>
        <x:v>187.81731748574393</x:v>
      </x:c>
      <x:c r="AV1264" s="32" t="n">
        <x:f>AM1264*60/v01_SeasonSeconds</x:f>
        <x:v>15982.472059173602</x:v>
      </x:c>
    </x:row>
    <x:row r="1265">
      <x:c r="A1265" s="8" t="n">
        <x:f>A1264+1</x:f>
        <x:v>1262</x:v>
      </x:c>
      <x:c r="B1265" s="9" t="n">
        <x:f>A1265*v01_SeasonSeconds/60</x:f>
        <x:v>315.5</x:v>
      </x:c>
      <x:c r="C1265" s="9" t="n">
        <x:f>A1265/4</x:f>
        <x:v>315.5</x:v>
      </x:c>
      <x:c r="D1265" s="8" t="n">
        <x:f>IF(MOD(A1265,4)=0,1,0)</x:f>
        <x:v>0</x:v>
      </x:c>
      <x:c r="E1265" s="8" t="n">
        <x:f>IF(AND(F1264&lt;=9,AS1264&gt;=AR1264),1,0)</x:f>
        <x:v>0</x:v>
      </x:c>
      <x:c r="F1265" s="8" t="n">
        <x:f>MIN(10,F1264+E1265)</x:f>
        <x:v>7</x:v>
      </x:c>
      <x:c r="G1265" s="8" t="n">
        <x:f>MIN(F1265,9)+1</x:f>
        <x:v>8</x:v>
      </x:c>
      <x:c r="H1265" s="8" t="n">
        <x:f>IF(F1265&lt;=9,1,0)</x:f>
        <x:v>1</x:v>
      </x:c>
      <x:c r="I1265" s="9" t="n">
        <x:f>MIN(10,F1264+IF(AR1264&gt;0,MIN(1,AS1264/AR1264),1))</x:f>
        <x:v>7.829493252747417</x:v>
      </x:c>
      <x:c r="J1265" s="32" t="n">
        <x:f>INDEX(v01_FoodCap,G1265)*Arch_FoodCap*EXP(v01_CapsByProject*SUMPRODUCT((Cap_Point&lt;=I1265)*(Cap_Kind="Food")*Cap_Ln))</x:f>
        <x:v>2500</x:v>
      </x:c>
      <x:c r="K1265" s="32" t="n">
        <x:f>J1265*MIN(1,v01_LeanBase*EXP(v01_CapsByProject*SUMPRODUCT((Cap_Point&lt;=I1265)*(Cap_Kind="Lean")*Cap_Ln)))</x:f>
        <x:v>2500</x:v>
      </x:c>
      <x:c r="L1265" s="10" t="n">
        <x:f>INDEX(v01_HousingCap,G1265)*EXP(v01_CapsByProject*SUMPRODUCT((Cap_Point&lt;=I1265)*(Cap_Kind="Housing")*Cap_Ln))</x:f>
        <x:v>4000</x:v>
      </x:c>
      <x:c r="M1265" s="10" t="n">
        <x:f>INDEX(v01_GroupCap,G1265)*v01_CohesionFactor*EXP(v01_CapsByProject*SUMPRODUCT((Cap_Point&lt;=I1265)*(Cap_Kind="Group")*Cap_Ln))</x:f>
        <x:v>1000000</x:v>
      </x:c>
      <x:c r="N1265" s="32" t="n">
        <x:f>MIN(J1265,L1265,M1265)</x:f>
        <x:v>2500</x:v>
      </x:c>
      <x:c r="O1265" s="10" t="n">
        <x:f>AE1264*N1265</x:f>
        <x:v>40000</x:v>
      </x:c>
      <x:c r="P1265" s="9" t="n">
        <x:f>MIN(1,(AB1264/(AE1264*IF(v01_GroupInCrowding=1,N1265,MIN(J1265,L1265))))^v01_CrowdingExp)</x:f>
        <x:v>0.010716521818615642</x:v>
      </x:c>
      <x:c r="Q1265" s="9" t="n">
        <x:f>IF(D1265=1,INDEX(v01_WinterMult,G1265),1)</x:f>
        <x:v>1</x:v>
      </x:c>
      <x:c r="R1265" s="9" t="n">
        <x:f>H1265*Z1264*v01_WomenShare*v01_BaseFertility*INDEX(v01_FertMult,G1265)*Arch_Fertility*(1-P1265)</x:f>
        <x:v>233.0512003350535</x:v>
      </x:c>
      <x:c r="S1265" s="9" t="n">
        <x:f>H1265*Y1264*INDEX(v01_MortChild,G1265)/4*Q1265</x:f>
        <x:v>29.456819015863765</x:v>
      </x:c>
      <x:c r="T1265" s="9" t="n">
        <x:f>H1265*Z1264*INDEX(v01_MortAdult,G1265)*Arch_AdultMort/4*Q1265</x:f>
        <x:v>13.741918926887761</x:v>
      </x:c>
      <x:c r="U1265" s="9" t="n">
        <x:f>H1265*AA1264*INDEX(v01_MortElder,G1265)/4*Q1265</x:f>
        <x:v>38.42568637414999</x:v>
      </x:c>
      <x:c r="V1265" s="9" t="n">
        <x:f>H1265*MAX(0,AB1264-O1265)*v01_OvercapLoss</x:f>
        <x:v>0</x:v>
      </x:c>
      <x:c r="W1265" s="9" t="n">
        <x:f>H1265*Y1264/(v01_ChildYears*4)</x:f>
        <x:v>140.27056674220842</x:v>
      </x:c>
      <x:c r="X1265" s="9" t="n">
        <x:f>H1265*Z1264/(v01_AdultYears*4)</x:f>
        <x:v>63.32681533128</x:v>
      </x:c>
      <x:c r="Y1265" s="32" t="n">
        <x:f>Y1264+R1265-S1265-W1265-Y1264*V1265/AB1264</x:f>
        <x:v>7918.475552140652</x:v>
      </x:c>
      <x:c r="Z1265" s="32" t="n">
        <x:f>Z1264+W1265-X1265-T1265-Z1264*V1265/AB1264</x:f>
        <x:v>7915.726933562762</x:v>
      </x:c>
      <x:c r="AA1265" s="32" t="n">
        <x:f>AA1264+X1265-U1265-AA1264*V1265/AB1264</x:f>
        <x:v>3098.9560388891296</x:v>
      </x:c>
      <x:c r="AB1265" s="10" t="n">
        <x:f>Y1265+Z1265+AA1265</x:f>
        <x:v>18933.158524592545</x:v>
      </x:c>
      <x:c r="AC1265" s="8" t="n">
        <x:f>IF(AND(v01_WinterTrigger=1,D1265=1,AB1264/AE1264&gt;=K1265),1,0)</x:f>
        <x:v>0</x:v>
      </x:c>
      <x:c r="AD1265" s="8" t="n">
        <x:f>H1265*IF(AND(OR(AB1264/AE1264&gt;=v01_FissionTrigger*N1265,AC1265=1),AB1264/AE1264*v01_DaughterShare&gt;=v01_MinDaughter),MAX(1,ROUND(AE1264*v01_FissionRate,0)),0)</x:f>
        <x:v>0</x:v>
      </x:c>
      <x:c r="AE1265" s="8" t="n">
        <x:f>IF(H1265=1,MAX(1,MIN(INDEX(v01_Smax,G1265),AE1264+AD1265)),AE1264)</x:f>
        <x:v>16</x:v>
      </x:c>
      <x:c r="AF1265" s="8" t="n">
        <x:f>MAX(0,AE1265-AE1264)</x:f>
        <x:v>0</x:v>
      </x:c>
      <x:c r="AG1265" s="9" t="str">
        <x:f>IF(AF1265&gt;0,B1265,"")</x:f>
      </x:c>
      <x:c r="AH1265" s="9" t="n">
        <x:f>IF(F1265&gt;=1,1,(1+v01_LowTiesShare*(AE1265-1))/AE1265)</x:f>
        <x:v>1</x:v>
      </x:c>
      <x:c r="AI1265" s="32" t="n">
        <x:f>(Z1265+v01_ElderCommons*INDEX(LM_Elder,G1265)*AA1265)*AH1265</x:f>
        <x:v>19536.812079396997</x:v>
      </x:c>
      <x:c r="AJ1265" s="32" t="n">
        <x:f>H1265*v01_CommonsCoef*AI1265^v01_CommonsExp*INDEX(LM_Commons,G1265)</x:f>
        <x:v>5198.566391917042</x:v>
      </x:c>
      <x:c r="AK1265" s="32" t="n">
        <x:f>H1265*v01_RoleScale*Arch_Roles*(AE1265*(INDEX(v01_ElderRolePerSett,G1265)*v01_OutElder*INDEX(LM_Elder,G1265)+INDEX(v01_ShamanPerSett,G1265)*v01_OutShaman)+Z1265*(INDEX(v01_PriestShare,G1265)*v01_OutPriest+INDEX(v01_ScribeShare,G1265)*v01_OutScribe*INDEX(LM_Scribe,G1265)+INDEX(v01_ScholarShare,G1265)*v01_OutScholar*INDEX(LM_Scholar,G1265)+INDEX(v01_ResearcherShare,G1265)*v01_OutResearcher*INDEX(LM_Researcher,G1265)))</x:f>
        <x:v>1477.0893881159132</x:v>
      </x:c>
      <x:c r="AL1265" s="32" t="n">
        <x:f>H1265*v01_RoleScale*Arch_Roles*AE1265*INDEX(v01_MonasteryPerSett,G1265)*v01_OutMonastery*INDEX(LM_Monastery,G1265)</x:f>
        <x:v>10.56</x:v>
      </x:c>
      <x:c r="AM1265" s="32" t="n">
        <x:f>(AJ1265+AK1265+AL1265)/4*INDEX(LM_All,G1265)*INDEX(v01_Boon,G1265)*Arch_Insight</x:f>
        <x:v>4023.7816795072354</x:v>
      </x:c>
      <x:c r="AN1265" s="32" t="n">
        <x:f>H1265*(v01_KHPerAdult*Z1265+v01_KHOfCommons*AJ1265/4*INDEX(LM_All,G1265))*v01_KHUsable*Arch_KH</x:f>
        <x:v>277.0504426746966</x:v>
      </x:c>
      <x:c r="AO1265" s="32" t="n">
        <x:f>MIN(AP1264+AN1265,AM1265*v01_KHMaxRatio)</x:f>
        <x:v>277.0504426746966</x:v>
      </x:c>
      <x:c r="AP1265" s="32" t="n">
        <x:f>AP1264+AN1265-AO1265</x:f>
        <x:v>0</x:v>
      </x:c>
      <x:c r="AQ1265" s="32" t="n">
        <x:f>AM1265+AO1265</x:f>
        <x:v>4300.832122181932</x:v>
      </x:c>
      <x:c r="AR1265" s="10" t="n">
        <x:f>IF(H1265=1,INDEX(v01_Req,G1265),0)</x:f>
        <x:v>240231.2486535</x:v>
      </x:c>
      <x:c r="AS1265" s="32" t="n">
        <x:f>IF(H1265=1,IF(E1265=1,AS1264-AR1264,AS1264)+AQ1265,0)</x:f>
        <x:v>203571.0319793472</x:v>
      </x:c>
      <x:c r="AT1265" s="11" t="n">
        <x:f>IF(AR1265&gt;0,MIN(1,AS1265/AR1265),1)</x:f>
        <x:v>0.8473961365158201</x:v>
      </x:c>
      <x:c r="AU1265" s="10" t="n">
        <x:f>AB1265/INDEX(v01_RepScale,G1265)</x:f>
        <x:v>189.33158524592545</x:v>
      </x:c>
      <x:c r="AV1265" s="32" t="n">
        <x:f>AM1265*60/v01_SeasonSeconds</x:f>
        <x:v>16095.126718028941</x:v>
      </x:c>
    </x:row>
    <x:row r="1266">
      <x:c r="A1266" s="8" t="n">
        <x:f>A1265+1</x:f>
        <x:v>1263</x:v>
      </x:c>
      <x:c r="B1266" s="9" t="n">
        <x:f>A1266*v01_SeasonSeconds/60</x:f>
        <x:v>315.75</x:v>
      </x:c>
      <x:c r="C1266" s="9" t="n">
        <x:f>A1266/4</x:f>
        <x:v>315.75</x:v>
      </x:c>
      <x:c r="D1266" s="8" t="n">
        <x:f>IF(MOD(A1266,4)=0,1,0)</x:f>
        <x:v>0</x:v>
      </x:c>
      <x:c r="E1266" s="8" t="n">
        <x:f>IF(AND(F1265&lt;=9,AS1265&gt;=AR1265),1,0)</x:f>
        <x:v>0</x:v>
      </x:c>
      <x:c r="F1266" s="8" t="n">
        <x:f>MIN(10,F1265+E1266)</x:f>
        <x:v>7</x:v>
      </x:c>
      <x:c r="G1266" s="8" t="n">
        <x:f>MIN(F1266,9)+1</x:f>
        <x:v>8</x:v>
      </x:c>
      <x:c r="H1266" s="8" t="n">
        <x:f>IF(F1266&lt;=9,1,0)</x:f>
        <x:v>1</x:v>
      </x:c>
      <x:c r="I1266" s="9" t="n">
        <x:f>MIN(10,F1265+IF(AR1265&gt;0,MIN(1,AS1265/AR1265),1))</x:f>
        <x:v>7.84739613651582</x:v>
      </x:c>
      <x:c r="J1266" s="32" t="n">
        <x:f>INDEX(v01_FoodCap,G1266)*Arch_FoodCap*EXP(v01_CapsByProject*SUMPRODUCT((Cap_Point&lt;=I1266)*(Cap_Kind="Food")*Cap_Ln))</x:f>
        <x:v>2500</x:v>
      </x:c>
      <x:c r="K1266" s="32" t="n">
        <x:f>J1266*MIN(1,v01_LeanBase*EXP(v01_CapsByProject*SUMPRODUCT((Cap_Point&lt;=I1266)*(Cap_Kind="Lean")*Cap_Ln)))</x:f>
        <x:v>2500</x:v>
      </x:c>
      <x:c r="L1266" s="10" t="n">
        <x:f>INDEX(v01_HousingCap,G1266)*EXP(v01_CapsByProject*SUMPRODUCT((Cap_Point&lt;=I1266)*(Cap_Kind="Housing")*Cap_Ln))</x:f>
        <x:v>4000</x:v>
      </x:c>
      <x:c r="M1266" s="10" t="n">
        <x:f>INDEX(v01_GroupCap,G1266)*v01_CohesionFactor*EXP(v01_CapsByProject*SUMPRODUCT((Cap_Point&lt;=I1266)*(Cap_Kind="Group")*Cap_Ln))</x:f>
        <x:v>1000000</x:v>
      </x:c>
      <x:c r="N1266" s="32" t="n">
        <x:f>MIN(J1266,L1266,M1266)</x:f>
        <x:v>2500</x:v>
      </x:c>
      <x:c r="O1266" s="10" t="n">
        <x:f>AE1265*N1266</x:f>
        <x:v>40000</x:v>
      </x:c>
      <x:c r="P1266" s="9" t="n">
        <x:f>MIN(1,(AB1265/(AE1265*IF(v01_GroupInCrowding=1,N1266,MIN(J1266,L1266))))^v01_CrowdingExp)</x:f>
        <x:v>0.011245492472619077</x:v>
      </x:c>
      <x:c r="Q1266" s="9" t="n">
        <x:f>IF(D1266=1,INDEX(v01_WinterMult,G1266),1)</x:f>
        <x:v>1</x:v>
      </x:c>
      <x:c r="R1266" s="9" t="n">
        <x:f>H1266*Z1265*v01_WomenShare*v01_BaseFertility*INDEX(v01_FertMult,G1266)*Arch_Fertility*(1-P1266)</x:f>
        <x:v>234.8013205774822</x:v>
      </x:c>
      <x:c r="S1266" s="9" t="n">
        <x:f>H1266*Y1265*INDEX(v01_MortChild,G1266)/4*Q1266</x:f>
        <x:v>29.694283320527447</x:v>
      </x:c>
      <x:c r="T1266" s="9" t="n">
        <x:f>H1266*Z1265*INDEX(v01_MortAdult,G1266)*Arch_AdultMort/4*Q1266</x:f>
        <x:v>13.852522133734833</x:v>
      </x:c>
      <x:c r="U1266" s="9" t="n">
        <x:f>H1266*AA1265*INDEX(v01_MortElder,G1266)/4*Q1266</x:f>
        <x:v>38.736950486114125</x:v>
      </x:c>
      <x:c r="V1266" s="9" t="n">
        <x:f>H1266*MAX(0,AB1265-O1266)*v01_OvercapLoss</x:f>
        <x:v>0</x:v>
      </x:c>
      <x:c r="W1266" s="9" t="n">
        <x:f>H1266*Y1265/(v01_ChildYears*4)</x:f>
        <x:v>141.40134914536878</x:v>
      </x:c>
      <x:c r="X1266" s="9" t="n">
        <x:f>H1266*Z1265/(v01_AdultYears*4)</x:f>
        <x:v>63.83650752873195</x:v>
      </x:c>
      <x:c r="Y1266" s="32" t="n">
        <x:f>Y1265+R1266-S1266-W1266-Y1265*V1266/AB1265</x:f>
        <x:v>7982.181240252238</x:v>
      </x:c>
      <x:c r="Z1266" s="32" t="n">
        <x:f>Z1265+W1266-X1266-T1266-Z1265*V1266/AB1265</x:f>
        <x:v>7979.4392530456635</x:v>
      </x:c>
      <x:c r="AA1266" s="32" t="n">
        <x:f>AA1265+X1266-U1266-AA1265*V1266/AB1265</x:f>
        <x:v>3124.0555959317476</x:v>
      </x:c>
      <x:c r="AB1266" s="10" t="n">
        <x:f>Y1266+Z1266+AA1266</x:f>
        <x:v>19085.676089229648</x:v>
      </x:c>
      <x:c r="AC1266" s="8" t="n">
        <x:f>IF(AND(v01_WinterTrigger=1,D1266=1,AB1265/AE1265&gt;=K1266),1,0)</x:f>
        <x:v>0</x:v>
      </x:c>
      <x:c r="AD1266" s="8" t="n">
        <x:f>H1266*IF(AND(OR(AB1265/AE1265&gt;=v01_FissionTrigger*N1266,AC1266=1),AB1265/AE1265*v01_DaughterShare&gt;=v01_MinDaughter),MAX(1,ROUND(AE1265*v01_FissionRate,0)),0)</x:f>
        <x:v>0</x:v>
      </x:c>
      <x:c r="AE1266" s="8" t="n">
        <x:f>IF(H1266=1,MAX(1,MIN(INDEX(v01_Smax,G1266),AE1265+AD1266)),AE1265)</x:f>
        <x:v>16</x:v>
      </x:c>
      <x:c r="AF1266" s="8" t="n">
        <x:f>MAX(0,AE1266-AE1265)</x:f>
        <x:v>0</x:v>
      </x:c>
      <x:c r="AG1266" s="9" t="str">
        <x:f>IF(AF1266&gt;0,B1266,"")</x:f>
      </x:c>
      <x:c r="AH1266" s="9" t="n">
        <x:f>IF(F1266&gt;=1,1,(1+v01_LowTiesShare*(AE1266-1))/AE1266)</x:f>
        <x:v>1</x:v>
      </x:c>
      <x:c r="AI1266" s="32" t="n">
        <x:f>(Z1266+v01_ElderCommons*INDEX(LM_Elder,G1266)*AA1266)*AH1266</x:f>
        <x:v>19694.647737789717</x:v>
      </x:c>
      <x:c r="AJ1266" s="32" t="n">
        <x:f>H1266*v01_CommonsCoef*AI1266^v01_CommonsExp*INDEX(LM_Commons,G1266)</x:f>
        <x:v>5234.243655225833</x:v>
      </x:c>
      <x:c r="AK1266" s="32" t="n">
        <x:f>H1266*v01_RoleScale*Arch_Roles*(AE1266*(INDEX(v01_ElderRolePerSett,G1266)*v01_OutElder*INDEX(LM_Elder,G1266)+INDEX(v01_ShamanPerSett,G1266)*v01_OutShaman)+Z1266*(INDEX(v01_PriestShare,G1266)*v01_OutPriest+INDEX(v01_ScribeShare,G1266)*v01_OutScribe*INDEX(LM_Scribe,G1266)+INDEX(v01_ScholarShare,G1266)*v01_OutScholar*INDEX(LM_Scholar,G1266)+INDEX(v01_ResearcherShare,G1266)*v01_OutResearcher*INDEX(LM_Researcher,G1266)))</x:f>
        <x:v>1488.5435889125492</x:v>
      </x:c>
      <x:c r="AL1266" s="32" t="n">
        <x:f>H1266*v01_RoleScale*Arch_Roles*AE1266*INDEX(v01_MonasteryPerSett,G1266)*v01_OutMonastery*INDEX(LM_Monastery,G1266)</x:f>
        <x:v>10.56</x:v>
      </x:c>
      <x:c r="AM1266" s="32" t="n">
        <x:f>(AJ1266+AK1266+AL1266)/4*INDEX(LM_All,G1266)*INDEX(v01_Boon,G1266)*Arch_Insight</x:f>
        <x:v>4052.145514602434</x:v>
      </x:c>
      <x:c r="AN1266" s="32" t="n">
        <x:f>H1266*(v01_KHPerAdult*Z1266+v01_KHOfCommons*AJ1266/4*INDEX(LM_All,G1266))*v01_KHUsable*Arch_KH</x:f>
        <x:v>279.2803738565982</x:v>
      </x:c>
      <x:c r="AO1266" s="32" t="n">
        <x:f>MIN(AP1265+AN1266,AM1266*v01_KHMaxRatio)</x:f>
        <x:v>279.2803738565982</x:v>
      </x:c>
      <x:c r="AP1266" s="32" t="n">
        <x:f>AP1265+AN1266-AO1266</x:f>
        <x:v>0</x:v>
      </x:c>
      <x:c r="AQ1266" s="32" t="n">
        <x:f>AM1266+AO1266</x:f>
        <x:v>4331.425888459033</x:v>
      </x:c>
      <x:c r="AR1266" s="10" t="n">
        <x:f>IF(H1266=1,INDEX(v01_Req,G1266),0)</x:f>
        <x:v>240231.2486535</x:v>
      </x:c>
      <x:c r="AS1266" s="32" t="n">
        <x:f>IF(H1266=1,IF(E1266=1,AS1265-AR1265,AS1265)+AQ1266,0)</x:f>
        <x:v>207902.45786780622</x:v>
      </x:c>
      <x:c r="AT1266" s="11" t="n">
        <x:f>IF(AR1266&gt;0,MIN(1,AS1266/AR1266),1)</x:f>
        <x:v>0.8654263716027903</x:v>
      </x:c>
      <x:c r="AU1266" s="10" t="n">
        <x:f>AB1266/INDEX(v01_RepScale,G1266)</x:f>
        <x:v>190.85676089229648</x:v>
      </x:c>
      <x:c r="AV1266" s="32" t="n">
        <x:f>AM1266*60/v01_SeasonSeconds</x:f>
        <x:v>16208.582058409736</x:v>
      </x:c>
    </x:row>
    <x:row r="1267">
      <x:c r="A1267" s="8" t="n">
        <x:f>A1266+1</x:f>
        <x:v>1264</x:v>
      </x:c>
      <x:c r="B1267" s="9" t="n">
        <x:f>A1267*v01_SeasonSeconds/60</x:f>
        <x:v>316</x:v>
      </x:c>
      <x:c r="C1267" s="9" t="n">
        <x:f>A1267/4</x:f>
        <x:v>316</x:v>
      </x:c>
      <x:c r="D1267" s="8" t="n">
        <x:f>IF(MOD(A1267,4)=0,1,0)</x:f>
        <x:v>1</x:v>
      </x:c>
      <x:c r="E1267" s="8" t="n">
        <x:f>IF(AND(F1266&lt;=9,AS1266&gt;=AR1266),1,0)</x:f>
        <x:v>0</x:v>
      </x:c>
      <x:c r="F1267" s="8" t="n">
        <x:f>MIN(10,F1266+E1267)</x:f>
        <x:v>7</x:v>
      </x:c>
      <x:c r="G1267" s="8" t="n">
        <x:f>MIN(F1267,9)+1</x:f>
        <x:v>8</x:v>
      </x:c>
      <x:c r="H1267" s="8" t="n">
        <x:f>IF(F1267&lt;=9,1,0)</x:f>
        <x:v>1</x:v>
      </x:c>
      <x:c r="I1267" s="9" t="n">
        <x:f>MIN(10,F1266+IF(AR1266&gt;0,MIN(1,AS1266/AR1266),1))</x:f>
        <x:v>7.865426371602791</x:v>
      </x:c>
      <x:c r="J1267" s="32" t="n">
        <x:f>INDEX(v01_FoodCap,G1267)*Arch_FoodCap*EXP(v01_CapsByProject*SUMPRODUCT((Cap_Point&lt;=I1267)*(Cap_Kind="Food")*Cap_Ln))</x:f>
        <x:v>2500</x:v>
      </x:c>
      <x:c r="K1267" s="32" t="n">
        <x:f>J1267*MIN(1,v01_LeanBase*EXP(v01_CapsByProject*SUMPRODUCT((Cap_Point&lt;=I1267)*(Cap_Kind="Lean")*Cap_Ln)))</x:f>
        <x:v>2500</x:v>
      </x:c>
      <x:c r="L1267" s="10" t="n">
        <x:f>INDEX(v01_HousingCap,G1267)*EXP(v01_CapsByProject*SUMPRODUCT((Cap_Point&lt;=I1267)*(Cap_Kind="Housing")*Cap_Ln))</x:f>
        <x:v>4000</x:v>
      </x:c>
      <x:c r="M1267" s="10" t="n">
        <x:f>INDEX(v01_GroupCap,G1267)*v01_CohesionFactor*EXP(v01_CapsByProject*SUMPRODUCT((Cap_Point&lt;=I1267)*(Cap_Kind="Group")*Cap_Ln))</x:f>
        <x:v>1000000</x:v>
      </x:c>
      <x:c r="N1267" s="32" t="n">
        <x:f>MIN(J1267,L1267,M1267)</x:f>
        <x:v>2500</x:v>
      </x:c>
      <x:c r="O1267" s="10" t="n">
        <x:f>AE1266*N1267</x:f>
        <x:v>40000</x:v>
      </x:c>
      <x:c r="P1267" s="9" t="n">
        <x:f>MIN(1,(AB1266/(AE1266*IF(v01_GroupInCrowding=1,N1267,MIN(J1267,L1267))))^v01_CrowdingExp)</x:f>
        <x:v>0.011800090709560814</x:v>
      </x:c>
      <x:c r="Q1267" s="9" t="n">
        <x:f>IF(D1267=1,INDEX(v01_WinterMult,G1267),1)</x:f>
        <x:v>1</x:v>
      </x:c>
      <x:c r="R1267" s="9" t="n">
        <x:f>H1267*Z1266*v01_WomenShare*v01_BaseFertility*INDEX(v01_FertMult,G1267)*Arch_Fertility*(1-P1267)</x:f>
        <x:v>236.55843438144885</x:v>
      </x:c>
      <x:c r="S1267" s="9" t="n">
        <x:f>H1267*Y1266*INDEX(v01_MortChild,G1267)/4*Q1267</x:f>
        <x:v>29.933179650945892</x:v>
      </x:c>
      <x:c r="T1267" s="9" t="n">
        <x:f>H1267*Z1266*INDEX(v01_MortAdult,G1267)*Arch_AdultMort/4*Q1267</x:f>
        <x:v>13.964018692829912</x:v>
      </x:c>
      <x:c r="U1267" s="9" t="n">
        <x:f>H1267*AA1266*INDEX(v01_MortElder,G1267)/4*Q1267</x:f>
        <x:v>39.050694949146845</x:v>
      </x:c>
      <x:c r="V1267" s="9" t="n">
        <x:f>H1267*MAX(0,AB1266-O1267)*v01_OvercapLoss</x:f>
        <x:v>0</x:v>
      </x:c>
      <x:c r="W1267" s="9" t="n">
        <x:f>H1267*Y1266/(v01_ChildYears*4)</x:f>
        <x:v>142.53895071878998</x:v>
      </x:c>
      <x:c r="X1267" s="9" t="n">
        <x:f>H1267*Z1266/(v01_AdultYears*4)</x:f>
        <x:v>64.35031655681986</x:v>
      </x:c>
      <x:c r="Y1267" s="32" t="n">
        <x:f>Y1266+R1267-S1267-W1267-Y1266*V1267/AB1266</x:f>
        <x:v>8046.267544263951</x:v>
      </x:c>
      <x:c r="Z1267" s="32" t="n">
        <x:f>Z1266+W1267-X1267-T1267-Z1266*V1267/AB1266</x:f>
        <x:v>8043.663868514804</x:v>
      </x:c>
      <x:c r="AA1267" s="32" t="n">
        <x:f>AA1266+X1267-U1267-AA1266*V1267/AB1266</x:f>
        <x:v>3149.3552175394207</x:v>
      </x:c>
      <x:c r="AB1267" s="10" t="n">
        <x:f>Y1267+Z1267+AA1267</x:f>
        <x:v>19239.286630318176</x:v>
      </x:c>
      <x:c r="AC1267" s="8" t="n">
        <x:f>IF(AND(v01_WinterTrigger=1,D1267=1,AB1266/AE1266&gt;=K1267),1,0)</x:f>
        <x:v>0</x:v>
      </x:c>
      <x:c r="AD1267" s="8" t="n">
        <x:f>H1267*IF(AND(OR(AB1266/AE1266&gt;=v01_FissionTrigger*N1267,AC1267=1),AB1266/AE1266*v01_DaughterShare&gt;=v01_MinDaughter),MAX(1,ROUND(AE1266*v01_FissionRate,0)),0)</x:f>
        <x:v>0</x:v>
      </x:c>
      <x:c r="AE1267" s="8" t="n">
        <x:f>IF(H1267=1,MAX(1,MIN(INDEX(v01_Smax,G1267),AE1266+AD1267)),AE1266)</x:f>
        <x:v>16</x:v>
      </x:c>
      <x:c r="AF1267" s="8" t="n">
        <x:f>MAX(0,AE1267-AE1266)</x:f>
        <x:v>0</x:v>
      </x:c>
      <x:c r="AG1267" s="9" t="str">
        <x:f>IF(AF1267&gt;0,B1267,"")</x:f>
      </x:c>
      <x:c r="AH1267" s="9" t="n">
        <x:f>IF(F1267&gt;=1,1,(1+v01_LowTiesShare*(AE1267-1))/AE1267)</x:f>
        <x:v>1</x:v>
      </x:c>
      <x:c r="AI1267" s="32" t="n">
        <x:f>(Z1267+v01_ElderCommons*INDEX(LM_Elder,G1267)*AA1267)*AH1267</x:f>
        <x:v>19853.745934287632</x:v>
      </x:c>
      <x:c r="AJ1267" s="32" t="n">
        <x:f>H1267*v01_CommonsCoef*AI1267^v01_CommonsExp*INDEX(LM_Commons,G1267)</x:f>
        <x:v>5270.162925658607</x:v>
      </x:c>
      <x:c r="AK1267" s="32" t="n">
        <x:f>H1267*v01_RoleScale*Arch_Roles*(AE1267*(INDEX(v01_ElderRolePerSett,G1267)*v01_OutElder*INDEX(LM_Elder,G1267)+INDEX(v01_ShamanPerSett,G1267)*v01_OutShaman)+Z1267*(INDEX(v01_PriestShare,G1267)*v01_OutPriest+INDEX(v01_ScribeShare,G1267)*v01_OutScribe*INDEX(LM_Scribe,G1267)+INDEX(v01_ScholarShare,G1267)*v01_OutScholar*INDEX(LM_Scholar,G1267)+INDEX(v01_ResearcherShare,G1267)*v01_OutResearcher*INDEX(LM_Researcher,G1267)))</x:f>
        <x:v>1500.0898902815914</x:v>
      </x:c>
      <x:c r="AL1267" s="32" t="n">
        <x:f>H1267*v01_RoleScale*Arch_Roles*AE1267*INDEX(v01_MonasteryPerSett,G1267)*v01_OutMonastery*INDEX(LM_Monastery,G1267)</x:f>
        <x:v>10.56</x:v>
      </x:c>
      <x:c r="AM1267" s="32" t="n">
        <x:f>(AJ1267+AK1267+AL1267)/4*INDEX(LM_All,G1267)*INDEX(v01_Boon,G1267)*Arch_Insight</x:f>
        <x:v>4080.7104165599562</x:v>
      </x:c>
      <x:c r="AN1267" s="32" t="n">
        <x:f>H1267*(v01_KHPerAdult*Z1267+v01_KHOfCommons*AJ1267/4*INDEX(LM_All,G1267))*v01_KHUsable*Arch_KH</x:f>
        <x:v>281.5282353980181</x:v>
      </x:c>
      <x:c r="AO1267" s="32" t="n">
        <x:f>MIN(AP1266+AN1267,AM1267*v01_KHMaxRatio)</x:f>
        <x:v>281.5282353980181</x:v>
      </x:c>
      <x:c r="AP1267" s="32" t="n">
        <x:f>AP1266+AN1267-AO1267</x:f>
        <x:v>0</x:v>
      </x:c>
      <x:c r="AQ1267" s="32" t="n">
        <x:f>AM1267+AO1267</x:f>
        <x:v>4362.238651957974</x:v>
      </x:c>
      <x:c r="AR1267" s="10" t="n">
        <x:f>IF(H1267=1,INDEX(v01_Req,G1267),0)</x:f>
        <x:v>240231.2486535</x:v>
      </x:c>
      <x:c r="AS1267" s="32" t="n">
        <x:f>IF(H1267=1,IF(E1267=1,AS1266-AR1266,AS1266)+AQ1267,0)</x:f>
        <x:v>212264.6965197642</x:v>
      </x:c>
      <x:c r="AT1267" s="11" t="n">
        <x:f>IF(AR1267&gt;0,MIN(1,AS1267/AR1267),1)</x:f>
        <x:v>0.8835848696183832</x:v>
      </x:c>
      <x:c r="AU1267" s="10" t="n">
        <x:f>AB1267/INDEX(v01_RepScale,G1267)</x:f>
        <x:v>192.39286630318176</x:v>
      </x:c>
      <x:c r="AV1267" s="32" t="n">
        <x:f>AM1267*60/v01_SeasonSeconds</x:f>
        <x:v>16322.841666239825</x:v>
      </x:c>
    </x:row>
    <x:row r="1268">
      <x:c r="A1268" s="8" t="n">
        <x:f>A1267+1</x:f>
        <x:v>1265</x:v>
      </x:c>
      <x:c r="B1268" s="9" t="n">
        <x:f>A1268*v01_SeasonSeconds/60</x:f>
        <x:v>316.25</x:v>
      </x:c>
      <x:c r="C1268" s="9" t="n">
        <x:f>A1268/4</x:f>
        <x:v>316.25</x:v>
      </x:c>
      <x:c r="D1268" s="8" t="n">
        <x:f>IF(MOD(A1268,4)=0,1,0)</x:f>
        <x:v>0</x:v>
      </x:c>
      <x:c r="E1268" s="8" t="n">
        <x:f>IF(AND(F1267&lt;=9,AS1267&gt;=AR1267),1,0)</x:f>
        <x:v>0</x:v>
      </x:c>
      <x:c r="F1268" s="8" t="n">
        <x:f>MIN(10,F1267+E1268)</x:f>
        <x:v>7</x:v>
      </x:c>
      <x:c r="G1268" s="8" t="n">
        <x:f>MIN(F1268,9)+1</x:f>
        <x:v>8</x:v>
      </x:c>
      <x:c r="H1268" s="8" t="n">
        <x:f>IF(F1268&lt;=9,1,0)</x:f>
        <x:v>1</x:v>
      </x:c>
      <x:c r="I1268" s="9" t="n">
        <x:f>MIN(10,F1267+IF(AR1267&gt;0,MIN(1,AS1267/AR1267),1))</x:f>
        <x:v>7.8835848696183835</x:v>
      </x:c>
      <x:c r="J1268" s="32" t="n">
        <x:f>INDEX(v01_FoodCap,G1268)*Arch_FoodCap*EXP(v01_CapsByProject*SUMPRODUCT((Cap_Point&lt;=I1268)*(Cap_Kind="Food")*Cap_Ln))</x:f>
        <x:v>2500</x:v>
      </x:c>
      <x:c r="K1268" s="32" t="n">
        <x:f>J1268*MIN(1,v01_LeanBase*EXP(v01_CapsByProject*SUMPRODUCT((Cap_Point&lt;=I1268)*(Cap_Kind="Lean")*Cap_Ln)))</x:f>
        <x:v>2500</x:v>
      </x:c>
      <x:c r="L1268" s="10" t="n">
        <x:f>INDEX(v01_HousingCap,G1268)*EXP(v01_CapsByProject*SUMPRODUCT((Cap_Point&lt;=I1268)*(Cap_Kind="Housing")*Cap_Ln))</x:f>
        <x:v>4000</x:v>
      </x:c>
      <x:c r="M1268" s="10" t="n">
        <x:f>INDEX(v01_GroupCap,G1268)*v01_CohesionFactor*EXP(v01_CapsByProject*SUMPRODUCT((Cap_Point&lt;=I1268)*(Cap_Kind="Group")*Cap_Ln))</x:f>
        <x:v>1000000</x:v>
      </x:c>
      <x:c r="N1268" s="32" t="n">
        <x:f>MIN(J1268,L1268,M1268)</x:f>
        <x:v>2500</x:v>
      </x:c>
      <x:c r="O1268" s="10" t="n">
        <x:f>AE1267*N1268</x:f>
        <x:v>40000</x:v>
      </x:c>
      <x:c r="P1268" s="9" t="n">
        <x:f>MIN(1,(AB1267/(AE1267*IF(v01_GroupInCrowding=1,N1268,MIN(J1268,L1268))))^v01_CrowdingExp)</x:f>
        <x:v>0.012381516516420013</x:v>
      </x:c>
      <x:c r="Q1268" s="9" t="n">
        <x:f>IF(D1268=1,INDEX(v01_WinterMult,G1268),1)</x:f>
        <x:v>1</x:v>
      </x:c>
      <x:c r="R1268" s="9" t="n">
        <x:f>H1268*Z1267*v01_WomenShare*v01_BaseFertility*INDEX(v01_FertMult,G1268)*Arch_Fertility*(1-P1268)</x:f>
        <x:v>238.32213334422767</x:v>
      </x:c>
      <x:c r="S1268" s="9" t="n">
        <x:f>H1268*Y1267*INDEX(v01_MortChild,G1268)/4*Q1268</x:f>
        <x:v>30.173503290989814</x:v>
      </x:c>
      <x:c r="T1268" s="9" t="n">
        <x:f>H1268*Z1267*INDEX(v01_MortAdult,G1268)*Arch_AdultMort/4*Q1268</x:f>
        <x:v>14.076411769900906</x:v>
      </x:c>
      <x:c r="U1268" s="9" t="n">
        <x:f>H1268*AA1267*INDEX(v01_MortElder,G1268)/4*Q1268</x:f>
        <x:v>39.366940219242764</x:v>
      </x:c>
      <x:c r="V1268" s="9" t="n">
        <x:f>H1268*MAX(0,AB1267-O1268)*v01_OvercapLoss</x:f>
        <x:v>0</x:v>
      </x:c>
      <x:c r="W1268" s="9" t="n">
        <x:f>H1268*Y1267/(v01_ChildYears*4)</x:f>
        <x:v>143.68334900471342</x:v>
      </x:c>
      <x:c r="X1268" s="9" t="n">
        <x:f>H1268*Z1267/(v01_AdultYears*4)</x:f>
        <x:v>64.86825700415164</x:v>
      </x:c>
      <x:c r="Y1268" s="32" t="n">
        <x:f>Y1267+R1268-S1268-W1268-Y1267*V1268/AB1267</x:f>
        <x:v>8110.732825312476</x:v>
      </x:c>
      <x:c r="Z1268" s="32" t="n">
        <x:f>Z1267+W1268-X1268-T1268-Z1267*V1268/AB1267</x:f>
        <x:v>8108.402548745465</x:v>
      </x:c>
      <x:c r="AA1268" s="32" t="n">
        <x:f>AA1267+X1268-U1268-AA1267*V1268/AB1267</x:f>
        <x:v>3174.8565343243295</x:v>
      </x:c>
      <x:c r="AB1268" s="10" t="n">
        <x:f>Y1268+Z1268+AA1268</x:f>
        <x:v>19393.991908382268</x:v>
      </x:c>
      <x:c r="AC1268" s="8" t="n">
        <x:f>IF(AND(v01_WinterTrigger=1,D1268=1,AB1267/AE1267&gt;=K1268),1,0)</x:f>
        <x:v>0</x:v>
      </x:c>
      <x:c r="AD1268" s="8" t="n">
        <x:f>H1268*IF(AND(OR(AB1267/AE1267&gt;=v01_FissionTrigger*N1268,AC1268=1),AB1267/AE1267*v01_DaughterShare&gt;=v01_MinDaughter),MAX(1,ROUND(AE1267*v01_FissionRate,0)),0)</x:f>
        <x:v>0</x:v>
      </x:c>
      <x:c r="AE1268" s="8" t="n">
        <x:f>IF(H1268=1,MAX(1,MIN(INDEX(v01_Smax,G1268),AE1267+AD1268)),AE1267)</x:f>
        <x:v>16</x:v>
      </x:c>
      <x:c r="AF1268" s="8" t="n">
        <x:f>MAX(0,AE1268-AE1267)</x:f>
        <x:v>0</x:v>
      </x:c>
      <x:c r="AG1268" s="9" t="str">
        <x:f>IF(AF1268&gt;0,B1268,"")</x:f>
      </x:c>
      <x:c r="AH1268" s="9" t="n">
        <x:f>IF(F1268&gt;=1,1,(1+v01_LowTiesShare*(AE1268-1))/AE1268)</x:f>
        <x:v>1</x:v>
      </x:c>
      <x:c r="AI1268" s="32" t="n">
        <x:f>(Z1268+v01_ElderCommons*INDEX(LM_Elder,G1268)*AA1268)*AH1268</x:f>
        <x:v>20014.1145524617</x:v>
      </x:c>
      <x:c r="AJ1268" s="32" t="n">
        <x:f>H1268*v01_CommonsCoef*AI1268^v01_CommonsExp*INDEX(LM_Commons,G1268)</x:f>
        <x:v>5306.325348936314</x:v>
      </x:c>
      <x:c r="AK1268" s="32" t="n">
        <x:f>H1268*v01_RoleScale*Arch_Roles*(AE1268*(INDEX(v01_ElderRolePerSett,G1268)*v01_OutElder*INDEX(LM_Elder,G1268)+INDEX(v01_ShamanPerSett,G1268)*v01_OutShaman)+Z1268*(INDEX(v01_PriestShare,G1268)*v01_OutPriest+INDEX(v01_ScribeShare,G1268)*v01_OutScribe*INDEX(LM_Scribe,G1268)+INDEX(v01_ScholarShare,G1268)*v01_OutScholar*INDEX(LM_Scholar,G1268)+INDEX(v01_ResearcherShare,G1268)*v01_OutResearcher*INDEX(LM_Researcher,G1268)))</x:f>
        <x:v>1511.7286102134597</x:v>
      </x:c>
      <x:c r="AL1268" s="32" t="n">
        <x:f>H1268*v01_RoleScale*Arch_Roles*AE1268*INDEX(v01_MonasteryPerSett,G1268)*v01_OutMonastery*INDEX(LM_Monastery,G1268)</x:f>
        <x:v>10.56</x:v>
      </x:c>
      <x:c r="AM1268" s="32" t="n">
        <x:f>(AJ1268+AK1268+AL1268)/4*INDEX(LM_All,G1268)*INDEX(v01_Boon,G1268)*Arch_Insight</x:f>
        <x:v>4109.477266245032</x:v>
      </x:c>
      <x:c r="AN1268" s="32" t="n">
        <x:f>H1268*(v01_KHPerAdult*Z1268+v01_KHOfCommons*AJ1268/4*INDEX(LM_All,G1268))*v01_KHUsable*Arch_KH</x:f>
        <x:v>283.79408920609126</x:v>
      </x:c>
      <x:c r="AO1268" s="32" t="n">
        <x:f>MIN(AP1267+AN1268,AM1268*v01_KHMaxRatio)</x:f>
        <x:v>283.79408920609126</x:v>
      </x:c>
      <x:c r="AP1268" s="32" t="n">
        <x:f>AP1267+AN1268-AO1268</x:f>
        <x:v>0</x:v>
      </x:c>
      <x:c r="AQ1268" s="32" t="n">
        <x:f>AM1268+AO1268</x:f>
        <x:v>4393.271355451124</x:v>
      </x:c>
      <x:c r="AR1268" s="10" t="n">
        <x:f>IF(H1268=1,INDEX(v01_Req,G1268),0)</x:f>
        <x:v>240231.2486535</x:v>
      </x:c>
      <x:c r="AS1268" s="32" t="n">
        <x:f>IF(H1268=1,IF(E1268=1,AS1267-AR1267,AS1267)+AQ1268,0)</x:f>
        <x:v>216657.9678752153</x:v>
      </x:c>
      <x:c r="AT1268" s="11" t="n">
        <x:f>IF(AR1268&gt;0,MIN(1,AS1268/AR1268),1)</x:f>
        <x:v>0.9018725460970907</x:v>
      </x:c>
      <x:c r="AU1268" s="10" t="n">
        <x:f>AB1268/INDEX(v01_RepScale,G1268)</x:f>
        <x:v>193.93991908382267</x:v>
      </x:c>
      <x:c r="AV1268" s="32" t="n">
        <x:f>AM1268*60/v01_SeasonSeconds</x:f>
        <x:v>16437.90906498013</x:v>
      </x:c>
    </x:row>
    <x:row r="1269">
      <x:c r="A1269" s="8" t="n">
        <x:f>A1268+1</x:f>
        <x:v>1266</x:v>
      </x:c>
      <x:c r="B1269" s="9" t="n">
        <x:f>A1269*v01_SeasonSeconds/60</x:f>
        <x:v>316.5</x:v>
      </x:c>
      <x:c r="C1269" s="9" t="n">
        <x:f>A1269/4</x:f>
        <x:v>316.5</x:v>
      </x:c>
      <x:c r="D1269" s="8" t="n">
        <x:f>IF(MOD(A1269,4)=0,1,0)</x:f>
        <x:v>0</x:v>
      </x:c>
      <x:c r="E1269" s="8" t="n">
        <x:f>IF(AND(F1268&lt;=9,AS1268&gt;=AR1268),1,0)</x:f>
        <x:v>0</x:v>
      </x:c>
      <x:c r="F1269" s="8" t="n">
        <x:f>MIN(10,F1268+E1269)</x:f>
        <x:v>7</x:v>
      </x:c>
      <x:c r="G1269" s="8" t="n">
        <x:f>MIN(F1269,9)+1</x:f>
        <x:v>8</x:v>
      </x:c>
      <x:c r="H1269" s="8" t="n">
        <x:f>IF(F1269&lt;=9,1,0)</x:f>
        <x:v>1</x:v>
      </x:c>
      <x:c r="I1269" s="9" t="n">
        <x:f>MIN(10,F1268+IF(AR1268&gt;0,MIN(1,AS1268/AR1268),1))</x:f>
        <x:v>7.90187254609709</x:v>
      </x:c>
      <x:c r="J1269" s="32" t="n">
        <x:f>INDEX(v01_FoodCap,G1269)*Arch_FoodCap*EXP(v01_CapsByProject*SUMPRODUCT((Cap_Point&lt;=I1269)*(Cap_Kind="Food")*Cap_Ln))</x:f>
        <x:v>2500</x:v>
      </x:c>
      <x:c r="K1269" s="32" t="n">
        <x:f>J1269*MIN(1,v01_LeanBase*EXP(v01_CapsByProject*SUMPRODUCT((Cap_Point&lt;=I1269)*(Cap_Kind="Lean")*Cap_Ln)))</x:f>
        <x:v>2500</x:v>
      </x:c>
      <x:c r="L1269" s="10" t="n">
        <x:f>INDEX(v01_HousingCap,G1269)*EXP(v01_CapsByProject*SUMPRODUCT((Cap_Point&lt;=I1269)*(Cap_Kind="Housing")*Cap_Ln))</x:f>
        <x:v>4000</x:v>
      </x:c>
      <x:c r="M1269" s="10" t="n">
        <x:f>INDEX(v01_GroupCap,G1269)*v01_CohesionFactor*EXP(v01_CapsByProject*SUMPRODUCT((Cap_Point&lt;=I1269)*(Cap_Kind="Group")*Cap_Ln))</x:f>
        <x:v>1000000</x:v>
      </x:c>
      <x:c r="N1269" s="32" t="n">
        <x:f>MIN(J1269,L1269,M1269)</x:f>
        <x:v>2500</x:v>
      </x:c>
      <x:c r="O1269" s="10" t="n">
        <x:f>AE1268*N1269</x:f>
        <x:v>40000</x:v>
      </x:c>
      <x:c r="P1269" s="9" t="n">
        <x:f>MIN(1,(AB1268/(AE1268*IF(v01_GroupInCrowding=1,N1269,MIN(J1269,L1269))))^v01_CrowdingExp)</x:f>
        <x:v>0.012991021828043662</x:v>
      </x:c>
      <x:c r="Q1269" s="9" t="n">
        <x:f>IF(D1269=1,INDEX(v01_WinterMult,G1269),1)</x:f>
        <x:v>1</x:v>
      </x:c>
      <x:c r="R1269" s="9" t="n">
        <x:f>H1269*Z1268*v01_WomenShare*v01_BaseFertility*INDEX(v01_FertMult,G1269)*Arch_Fertility*(1-P1269)</x:f>
        <x:v>240.0919834273244</x:v>
      </x:c>
      <x:c r="S1269" s="9" t="n">
        <x:f>H1269*Y1268*INDEX(v01_MortChild,G1269)/4*Q1269</x:f>
        <x:v>30.415248094921782</x:v>
      </x:c>
      <x:c r="T1269" s="9" t="n">
        <x:f>H1269*Z1268*INDEX(v01_MortAdult,G1269)*Arch_AdultMort/4*Q1269</x:f>
        <x:v>14.189704460304563</x:v>
      </x:c>
      <x:c r="U1269" s="9" t="n">
        <x:f>H1269*AA1268*INDEX(v01_MortElder,G1269)/4*Q1269</x:f>
        <x:v>39.68570667905412</x:v>
      </x:c>
      <x:c r="V1269" s="9" t="n">
        <x:f>H1269*MAX(0,AB1268-O1269)*v01_OvercapLoss</x:f>
        <x:v>0</x:v>
      </x:c>
      <x:c r="W1269" s="9" t="n">
        <x:f>H1269*Y1268/(v01_ChildYears*4)</x:f>
        <x:v>144.8345147377228</x:v>
      </x:c>
      <x:c r="X1269" s="9" t="n">
        <x:f>H1269*Z1268/(v01_AdultYears*4)</x:f>
        <x:v>65.39034313504406</x:v>
      </x:c>
      <x:c r="Y1269" s="32" t="n">
        <x:f>Y1268+R1269-S1269-W1269-Y1268*V1269/AB1268</x:f>
        <x:v>8175.575045907156</x:v>
      </x:c>
      <x:c r="Z1269" s="32" t="n">
        <x:f>Z1268+W1269-X1269-T1269-Z1268*V1269/AB1268</x:f>
        <x:v>8173.657015887839</x:v>
      </x:c>
      <x:c r="AA1269" s="32" t="n">
        <x:f>AA1268+X1269-U1269-AA1268*V1269/AB1268</x:f>
        <x:v>3200.5611707803196</x:v>
      </x:c>
      <x:c r="AB1269" s="10" t="n">
        <x:f>Y1269+Z1269+AA1269</x:f>
        <x:v>19549.793232575314</x:v>
      </x:c>
      <x:c r="AC1269" s="8" t="n">
        <x:f>IF(AND(v01_WinterTrigger=1,D1269=1,AB1268/AE1268&gt;=K1269),1,0)</x:f>
        <x:v>0</x:v>
      </x:c>
      <x:c r="AD1269" s="8" t="n">
        <x:f>H1269*IF(AND(OR(AB1268/AE1268&gt;=v01_FissionTrigger*N1269,AC1269=1),AB1268/AE1268*v01_DaughterShare&gt;=v01_MinDaughter),MAX(1,ROUND(AE1268*v01_FissionRate,0)),0)</x:f>
        <x:v>0</x:v>
      </x:c>
      <x:c r="AE1269" s="8" t="n">
        <x:f>IF(H1269=1,MAX(1,MIN(INDEX(v01_Smax,G1269),AE1268+AD1269)),AE1268)</x:f>
        <x:v>16</x:v>
      </x:c>
      <x:c r="AF1269" s="8" t="n">
        <x:f>MAX(0,AE1269-AE1268)</x:f>
        <x:v>0</x:v>
      </x:c>
      <x:c r="AG1269" s="9" t="str">
        <x:f>IF(AF1269&gt;0,B1269,"")</x:f>
      </x:c>
      <x:c r="AH1269" s="9" t="n">
        <x:f>IF(F1269&gt;=1,1,(1+v01_LowTiesShare*(AE1269-1))/AE1269)</x:f>
        <x:v>1</x:v>
      </x:c>
      <x:c r="AI1269" s="32" t="n">
        <x:f>(Z1269+v01_ElderCommons*INDEX(LM_Elder,G1269)*AA1269)*AH1269</x:f>
        <x:v>20175.76140631404</x:v>
      </x:c>
      <x:c r="AJ1269" s="32" t="n">
        <x:f>H1269*v01_CommonsCoef*AI1269^v01_CommonsExp*INDEX(LM_Commons,G1269)</x:f>
        <x:v>5342.732050522964</x:v>
      </x:c>
      <x:c r="AK1269" s="32" t="n">
        <x:f>H1269*v01_RoleScale*Arch_Roles*(AE1269*(INDEX(v01_ElderRolePerSett,G1269)*v01_OutElder*INDEX(LM_Elder,G1269)+INDEX(v01_ShamanPerSett,G1269)*v01_OutShaman)+Z1269*(INDEX(v01_PriestShare,G1269)*v01_OutPriest+INDEX(v01_ScribeShare,G1269)*v01_OutScribe*INDEX(LM_Scribe,G1269)+INDEX(v01_ScholarShare,G1269)*v01_OutScholar*INDEX(LM_Scholar,G1269)+INDEX(v01_ResearcherShare,G1269)*v01_OutResearcher*INDEX(LM_Researcher,G1269)))</x:f>
        <x:v>1523.4600583163158</x:v>
      </x:c>
      <x:c r="AL1269" s="32" t="n">
        <x:f>H1269*v01_RoleScale*Arch_Roles*AE1269*INDEX(v01_MonasteryPerSett,G1269)*v01_OutMonastery*INDEX(LM_Monastery,G1269)</x:f>
        <x:v>10.56</x:v>
      </x:c>
      <x:c r="AM1269" s="32" t="n">
        <x:f>(AJ1269+AK1269+AL1269)/4*INDEX(LM_All,G1269)*INDEX(v01_Boon,G1269)*Arch_Insight</x:f>
        <x:v>4138.446927287748</x:v>
      </x:c>
      <x:c r="AN1269" s="32" t="n">
        <x:f>H1269*(v01_KHPerAdult*Z1269+v01_KHOfCommons*AJ1269/4*INDEX(LM_All,G1269))*v01_KHUsable*Arch_KH</x:f>
        <x:v>286.07799555607437</x:v>
      </x:c>
      <x:c r="AO1269" s="32" t="n">
        <x:f>MIN(AP1268+AN1269,AM1269*v01_KHMaxRatio)</x:f>
        <x:v>286.07799555607437</x:v>
      </x:c>
      <x:c r="AP1269" s="32" t="n">
        <x:f>AP1268+AN1269-AO1269</x:f>
        <x:v>0</x:v>
      </x:c>
      <x:c r="AQ1269" s="32" t="n">
        <x:f>AM1269+AO1269</x:f>
        <x:v>4424.524922843822</x:v>
      </x:c>
      <x:c r="AR1269" s="10" t="n">
        <x:f>IF(H1269=1,INDEX(v01_Req,G1269),0)</x:f>
        <x:v>240231.2486535</x:v>
      </x:c>
      <x:c r="AS1269" s="32" t="n">
        <x:f>IF(H1269=1,IF(E1269=1,AS1268-AR1268,AS1268)+AQ1269,0)</x:f>
        <x:v>221082.49279805913</x:v>
      </x:c>
      <x:c r="AT1269" s="11" t="n">
        <x:f>IF(AR1269&gt;0,MIN(1,AS1269/AR1269),1)</x:f>
        <x:v>0.9202903204193046</x:v>
      </x:c>
      <x:c r="AU1269" s="10" t="n">
        <x:f>AB1269/INDEX(v01_RepScale,G1269)</x:f>
        <x:v>195.49793232575314</x:v>
      </x:c>
      <x:c r="AV1269" s="32" t="n">
        <x:f>AM1269*60/v01_SeasonSeconds</x:f>
        <x:v>16553.78770915099</x:v>
      </x:c>
    </x:row>
    <x:row r="1270">
      <x:c r="A1270" s="8" t="n">
        <x:f>A1269+1</x:f>
        <x:v>1267</x:v>
      </x:c>
      <x:c r="B1270" s="9" t="n">
        <x:f>A1270*v01_SeasonSeconds/60</x:f>
        <x:v>316.75</x:v>
      </x:c>
      <x:c r="C1270" s="9" t="n">
        <x:f>A1270/4</x:f>
        <x:v>316.75</x:v>
      </x:c>
      <x:c r="D1270" s="8" t="n">
        <x:f>IF(MOD(A1270,4)=0,1,0)</x:f>
        <x:v>0</x:v>
      </x:c>
      <x:c r="E1270" s="8" t="n">
        <x:f>IF(AND(F1269&lt;=9,AS1269&gt;=AR1269),1,0)</x:f>
        <x:v>0</x:v>
      </x:c>
      <x:c r="F1270" s="8" t="n">
        <x:f>MIN(10,F1269+E1270)</x:f>
        <x:v>7</x:v>
      </x:c>
      <x:c r="G1270" s="8" t="n">
        <x:f>MIN(F1270,9)+1</x:f>
        <x:v>8</x:v>
      </x:c>
      <x:c r="H1270" s="8" t="n">
        <x:f>IF(F1270&lt;=9,1,0)</x:f>
        <x:v>1</x:v>
      </x:c>
      <x:c r="I1270" s="9" t="n">
        <x:f>MIN(10,F1269+IF(AR1269&gt;0,MIN(1,AS1269/AR1269),1))</x:f>
        <x:v>7.920290320419305</x:v>
      </x:c>
      <x:c r="J1270" s="32" t="n">
        <x:f>INDEX(v01_FoodCap,G1270)*Arch_FoodCap*EXP(v01_CapsByProject*SUMPRODUCT((Cap_Point&lt;=I1270)*(Cap_Kind="Food")*Cap_Ln))</x:f>
        <x:v>2500</x:v>
      </x:c>
      <x:c r="K1270" s="32" t="n">
        <x:f>J1270*MIN(1,v01_LeanBase*EXP(v01_CapsByProject*SUMPRODUCT((Cap_Point&lt;=I1270)*(Cap_Kind="Lean")*Cap_Ln)))</x:f>
        <x:v>2500</x:v>
      </x:c>
      <x:c r="L1270" s="10" t="n">
        <x:f>INDEX(v01_HousingCap,G1270)*EXP(v01_CapsByProject*SUMPRODUCT((Cap_Point&lt;=I1270)*(Cap_Kind="Housing")*Cap_Ln))</x:f>
        <x:v>4000</x:v>
      </x:c>
      <x:c r="M1270" s="10" t="n">
        <x:f>INDEX(v01_GroupCap,G1270)*v01_CohesionFactor*EXP(v01_CapsByProject*SUMPRODUCT((Cap_Point&lt;=I1270)*(Cap_Kind="Group")*Cap_Ln))</x:f>
        <x:v>1000000</x:v>
      </x:c>
      <x:c r="N1270" s="32" t="n">
        <x:f>MIN(J1270,L1270,M1270)</x:f>
        <x:v>2500</x:v>
      </x:c>
      <x:c r="O1270" s="10" t="n">
        <x:f>AE1269*N1270</x:f>
        <x:v>40000</x:v>
      </x:c>
      <x:c r="P1270" s="9" t="n">
        <x:f>MIN(1,(AB1269/(AE1269*IF(v01_GroupInCrowding=1,N1270,MIN(J1270,L1270))))^v01_CrowdingExp)</x:f>
        <x:v>0.01362991234315666</x:v>
      </x:c>
      <x:c r="Q1270" s="9" t="n">
        <x:f>IF(D1270=1,INDEX(v01_WinterMult,G1270),1)</x:f>
        <x:v>1</x:v>
      </x:c>
      <x:c r="R1270" s="9" t="n">
        <x:f>H1270*Z1269*v01_WomenShare*v01_BaseFertility*INDEX(v01_FertMult,G1270)*Arch_Fertility*(1-P1270)</x:f>
        <x:v>241.8675236171478</x:v>
      </x:c>
      <x:c r="S1270" s="9" t="n">
        <x:f>H1270*Y1269*INDEX(v01_MortChild,G1270)/4*Q1270</x:f>
        <x:v>30.658406422151835</x:v>
      </x:c>
      <x:c r="T1270" s="9" t="n">
        <x:f>H1270*Z1269*INDEX(v01_MortAdult,G1270)*Arch_AdultMort/4*Q1270</x:f>
        <x:v>14.30389977780372</x:v>
      </x:c>
      <x:c r="U1270" s="9" t="n">
        <x:f>H1270*AA1269*INDEX(v01_MortElder,G1270)/4*Q1270</x:f>
        <x:v>40.007014634754</x:v>
      </x:c>
      <x:c r="V1270" s="9" t="n">
        <x:f>H1270*MAX(0,AB1269-O1270)*v01_OvercapLoss</x:f>
        <x:v>0</x:v>
      </x:c>
      <x:c r="W1270" s="9" t="n">
        <x:f>H1270*Y1269/(v01_ChildYears*4)</x:f>
        <x:v>145.99241153405634</x:v>
      </x:c>
      <x:c r="X1270" s="9" t="n">
        <x:f>H1270*Z1269/(v01_AdultYears*4)</x:f>
        <x:v>65.91658883780515</x:v>
      </x:c>
      <x:c r="Y1270" s="32" t="n">
        <x:f>Y1269+R1270-S1270-W1270-Y1269*V1270/AB1269</x:f>
        <x:v>8240.791751568097</x:v>
      </x:c>
      <x:c r="Z1270" s="32" t="n">
        <x:f>Z1269+W1270-X1270-T1270-Z1269*V1270/AB1269</x:f>
        <x:v>8239.428938806286</x:v>
      </x:c>
      <x:c r="AA1270" s="32" t="n">
        <x:f>AA1269+X1270-U1270-AA1269*V1270/AB1269</x:f>
        <x:v>3226.470744983371</x:v>
      </x:c>
      <x:c r="AB1270" s="10" t="n">
        <x:f>Y1270+Z1270+AA1270</x:f>
        <x:v>19706.691435357752</x:v>
      </x:c>
      <x:c r="AC1270" s="8" t="n">
        <x:f>IF(AND(v01_WinterTrigger=1,D1270=1,AB1269/AE1269&gt;=K1270),1,0)</x:f>
        <x:v>0</x:v>
      </x:c>
      <x:c r="AD1270" s="8" t="n">
        <x:f>H1270*IF(AND(OR(AB1269/AE1269&gt;=v01_FissionTrigger*N1270,AC1270=1),AB1269/AE1269*v01_DaughterShare&gt;=v01_MinDaughter),MAX(1,ROUND(AE1269*v01_FissionRate,0)),0)</x:f>
        <x:v>0</x:v>
      </x:c>
      <x:c r="AE1270" s="8" t="n">
        <x:f>IF(H1270=1,MAX(1,MIN(INDEX(v01_Smax,G1270),AE1269+AD1270)),AE1269)</x:f>
        <x:v>16</x:v>
      </x:c>
      <x:c r="AF1270" s="8" t="n">
        <x:f>MAX(0,AE1270-AE1269)</x:f>
        <x:v>0</x:v>
      </x:c>
      <x:c r="AG1270" s="9" t="str">
        <x:f>IF(AF1270&gt;0,B1270,"")</x:f>
      </x:c>
      <x:c r="AH1270" s="9" t="n">
        <x:f>IF(F1270&gt;=1,1,(1+v01_LowTiesShare*(AE1270-1))/AE1270)</x:f>
        <x:v>1</x:v>
      </x:c>
      <x:c r="AI1270" s="32" t="n">
        <x:f>(Z1270+v01_ElderCommons*INDEX(LM_Elder,G1270)*AA1270)*AH1270</x:f>
        <x:v>20338.694232493926</x:v>
      </x:c>
      <x:c r="AJ1270" s="32" t="n">
        <x:f>H1270*v01_CommonsCoef*AI1270^v01_CommonsExp*INDEX(LM_Commons,G1270)</x:f>
        <x:v>5379.384134002514</x:v>
      </x:c>
      <x:c r="AK1270" s="32" t="n">
        <x:f>H1270*v01_RoleScale*Arch_Roles*(AE1270*(INDEX(v01_ElderRolePerSett,G1270)*v01_OutElder*INDEX(LM_Elder,G1270)+INDEX(v01_ShamanPerSett,G1270)*v01_OutShaman)+Z1270*(INDEX(v01_PriestShare,G1270)*v01_OutPriest+INDEX(v01_ScribeShare,G1270)*v01_OutScribe*INDEX(LM_Scribe,G1270)+INDEX(v01_ScholarShare,G1270)*v01_OutScholar*INDEX(LM_Scholar,G1270)+INDEX(v01_ResearcherShare,G1270)*v01_OutResearcher*INDEX(LM_Researcher,G1270)))</x:f>
        <x:v>1535.284534618594</x:v>
      </x:c>
      <x:c r="AL1270" s="32" t="n">
        <x:f>H1270*v01_RoleScale*Arch_Roles*AE1270*INDEX(v01_MonasteryPerSett,G1270)*v01_OutMonastery*INDEX(LM_Monastery,G1270)</x:f>
        <x:v>10.56</x:v>
      </x:c>
      <x:c r="AM1270" s="32" t="n">
        <x:f>(AJ1270+AK1270+AL1270)/4*INDEX(LM_All,G1270)*INDEX(v01_Boon,G1270)*Arch_Insight</x:f>
        <x:v>4167.620244385614</x:v>
      </x:c>
      <x:c r="AN1270" s="32" t="n">
        <x:f>H1270*(v01_KHPerAdult*Z1270+v01_KHOfCommons*AJ1270/4*INDEX(LM_All,G1270))*v01_KHUsable*Arch_KH</x:f>
        <x:v>288.38001285821997</x:v>
      </x:c>
      <x:c r="AO1270" s="32" t="n">
        <x:f>MIN(AP1269+AN1270,AM1270*v01_KHMaxRatio)</x:f>
        <x:v>288.38001285821997</x:v>
      </x:c>
      <x:c r="AP1270" s="32" t="n">
        <x:f>AP1269+AN1270-AO1270</x:f>
        <x:v>0</x:v>
      </x:c>
      <x:c r="AQ1270" s="32" t="n">
        <x:f>AM1270+AO1270</x:f>
        <x:v>4456.000257243833</x:v>
      </x:c>
      <x:c r="AR1270" s="10" t="n">
        <x:f>IF(H1270=1,INDEX(v01_Req,G1270),0)</x:f>
        <x:v>240231.2486535</x:v>
      </x:c>
      <x:c r="AS1270" s="32" t="n">
        <x:f>IF(H1270=1,IF(E1270=1,AS1269-AR1269,AS1269)+AQ1270,0)</x:f>
        <x:v>225538.49305530297</x:v>
      </x:c>
      <x:c r="AT1270" s="11" t="n">
        <x:f>IF(AR1270&gt;0,MIN(1,AS1270/AR1270),1)</x:f>
        <x:v>0.9388391157247438</x:v>
      </x:c>
      <x:c r="AU1270" s="10" t="n">
        <x:f>AB1270/INDEX(v01_RepScale,G1270)</x:f>
        <x:v>197.06691435357752</x:v>
      </x:c>
      <x:c r="AV1270" s="32" t="n">
        <x:f>AM1270*60/v01_SeasonSeconds</x:f>
        <x:v>16670.480977542455</x:v>
      </x:c>
    </x:row>
    <x:row r="1271">
      <x:c r="A1271" s="8" t="n">
        <x:f>A1270+1</x:f>
        <x:v>1268</x:v>
      </x:c>
      <x:c r="B1271" s="9" t="n">
        <x:f>A1271*v01_SeasonSeconds/60</x:f>
        <x:v>317</x:v>
      </x:c>
      <x:c r="C1271" s="9" t="n">
        <x:f>A1271/4</x:f>
        <x:v>317</x:v>
      </x:c>
      <x:c r="D1271" s="8" t="n">
        <x:f>IF(MOD(A1271,4)=0,1,0)</x:f>
        <x:v>1</x:v>
      </x:c>
      <x:c r="E1271" s="8" t="n">
        <x:f>IF(AND(F1270&lt;=9,AS1270&gt;=AR1270),1,0)</x:f>
        <x:v>0</x:v>
      </x:c>
      <x:c r="F1271" s="8" t="n">
        <x:f>MIN(10,F1270+E1271)</x:f>
        <x:v>7</x:v>
      </x:c>
      <x:c r="G1271" s="8" t="n">
        <x:f>MIN(F1271,9)+1</x:f>
        <x:v>8</x:v>
      </x:c>
      <x:c r="H1271" s="8" t="n">
        <x:f>IF(F1271&lt;=9,1,0)</x:f>
        <x:v>1</x:v>
      </x:c>
      <x:c r="I1271" s="9" t="n">
        <x:f>MIN(10,F1270+IF(AR1270&gt;0,MIN(1,AS1270/AR1270),1))</x:f>
        <x:v>7.938839115724743</x:v>
      </x:c>
      <x:c r="J1271" s="32" t="n">
        <x:f>INDEX(v01_FoodCap,G1271)*Arch_FoodCap*EXP(v01_CapsByProject*SUMPRODUCT((Cap_Point&lt;=I1271)*(Cap_Kind="Food")*Cap_Ln))</x:f>
        <x:v>2500</x:v>
      </x:c>
      <x:c r="K1271" s="32" t="n">
        <x:f>J1271*MIN(1,v01_LeanBase*EXP(v01_CapsByProject*SUMPRODUCT((Cap_Point&lt;=I1271)*(Cap_Kind="Lean")*Cap_Ln)))</x:f>
        <x:v>2500</x:v>
      </x:c>
      <x:c r="L1271" s="10" t="n">
        <x:f>INDEX(v01_HousingCap,G1271)*EXP(v01_CapsByProject*SUMPRODUCT((Cap_Point&lt;=I1271)*(Cap_Kind="Housing")*Cap_Ln))</x:f>
        <x:v>4000</x:v>
      </x:c>
      <x:c r="M1271" s="10" t="n">
        <x:f>INDEX(v01_GroupCap,G1271)*v01_CohesionFactor*EXP(v01_CapsByProject*SUMPRODUCT((Cap_Point&lt;=I1271)*(Cap_Kind="Group")*Cap_Ln))</x:f>
        <x:v>1000000</x:v>
      </x:c>
      <x:c r="N1271" s="32" t="n">
        <x:f>MIN(J1271,L1271,M1271)</x:f>
        <x:v>2500</x:v>
      </x:c>
      <x:c r="O1271" s="10" t="n">
        <x:f>AE1270*N1271</x:f>
        <x:v>40000</x:v>
      </x:c>
      <x:c r="P1271" s="9" t="n">
        <x:f>MIN(1,(AB1270/(AE1270*IF(v01_GroupInCrowding=1,N1271,MIN(J1271,L1271))))^v01_CrowdingExp)</x:f>
        <x:v>0.014299549357911848</x:v>
      </x:c>
      <x:c r="Q1271" s="9" t="n">
        <x:f>IF(D1271=1,INDEX(v01_WinterMult,G1271),1)</x:f>
        <x:v>1</x:v>
      </x:c>
      <x:c r="R1271" s="9" t="n">
        <x:f>H1271*Z1270*v01_WomenShare*v01_BaseFertility*INDEX(v01_FertMult,G1271)*Arch_Fertility*(1-P1271)</x:f>
        <x:v>243.64826454044453</x:v>
      </x:c>
      <x:c r="S1271" s="9" t="n">
        <x:f>H1271*Y1270*INDEX(v01_MortChild,G1271)/4*Q1271</x:f>
        <x:v>30.90296906838036</x:v>
      </x:c>
      <x:c r="T1271" s="9" t="n">
        <x:f>H1271*Z1270*INDEX(v01_MortAdult,G1271)*Arch_AdultMort/4*Q1271</x:f>
        <x:v>14.419000642911001</x:v>
      </x:c>
      <x:c r="U1271" s="9" t="n">
        <x:f>H1271*AA1270*INDEX(v01_MortElder,G1271)/4*Q1271</x:f>
        <x:v>40.33088431229214</x:v>
      </x:c>
      <x:c r="V1271" s="9" t="n">
        <x:f>H1271*MAX(0,AB1270-O1271)*v01_OvercapLoss</x:f>
        <x:v>0</x:v>
      </x:c>
      <x:c r="W1271" s="9" t="n">
        <x:f>H1271*Y1270/(v01_ChildYears*4)</x:f>
        <x:v>147.156995563716</x:v>
      </x:c>
      <x:c r="X1271" s="9" t="n">
        <x:f>H1271*Z1270/(v01_AdultYears*4)</x:f>
        <x:v>66.44700757101843</x:v>
      </x:c>
      <x:c r="Y1271" s="32" t="n">
        <x:f>Y1270+R1271-S1271-W1271-Y1270*V1271/AB1270</x:f>
        <x:v>8306.380051476444</x:v>
      </x:c>
      <x:c r="Z1271" s="32" t="n">
        <x:f>Z1270+W1271-X1271-T1271-Z1270*V1271/AB1270</x:f>
        <x:v>8305.719926156075</x:v>
      </x:c>
      <x:c r="AA1271" s="32" t="n">
        <x:f>AA1270+X1271-U1271-AA1270*V1271/AB1270</x:f>
        <x:v>3252.586868242097</x:v>
      </x:c>
      <x:c r="AB1271" s="10" t="n">
        <x:f>Y1271+Z1271+AA1271</x:f>
        <x:v>19864.686845874618</x:v>
      </x:c>
      <x:c r="AC1271" s="8" t="n">
        <x:f>IF(AND(v01_WinterTrigger=1,D1271=1,AB1270/AE1270&gt;=K1271),1,0)</x:f>
        <x:v>0</x:v>
      </x:c>
      <x:c r="AD1271" s="8" t="n">
        <x:f>H1271*IF(AND(OR(AB1270/AE1270&gt;=v01_FissionTrigger*N1271,AC1271=1),AB1270/AE1270*v01_DaughterShare&gt;=v01_MinDaughter),MAX(1,ROUND(AE1270*v01_FissionRate,0)),0)</x:f>
        <x:v>0</x:v>
      </x:c>
      <x:c r="AE1271" s="8" t="n">
        <x:f>IF(H1271=1,MAX(1,MIN(INDEX(v01_Smax,G1271),AE1270+AD1271)),AE1270)</x:f>
        <x:v>16</x:v>
      </x:c>
      <x:c r="AF1271" s="8" t="n">
        <x:f>MAX(0,AE1271-AE1270)</x:f>
        <x:v>0</x:v>
      </x:c>
      <x:c r="AG1271" s="9" t="str">
        <x:f>IF(AF1271&gt;0,B1271,"")</x:f>
      </x:c>
      <x:c r="AH1271" s="9" t="n">
        <x:f>IF(F1271&gt;=1,1,(1+v01_LowTiesShare*(AE1271-1))/AE1271)</x:f>
        <x:v>1</x:v>
      </x:c>
      <x:c r="AI1271" s="32" t="n">
        <x:f>(Z1271+v01_ElderCommons*INDEX(LM_Elder,G1271)*AA1271)*AH1271</x:f>
        <x:v>20502.920682063937</x:v>
      </x:c>
      <x:c r="AJ1271" s="32" t="n">
        <x:f>H1271*v01_CommonsCoef*AI1271^v01_CommonsExp*INDEX(LM_Commons,G1271)</x:f>
        <x:v>5416.282679366945</x:v>
      </x:c>
      <x:c r="AK1271" s="32" t="n">
        <x:f>H1271*v01_RoleScale*Arch_Roles*(AE1271*(INDEX(v01_ElderRolePerSett,G1271)*v01_OutElder*INDEX(LM_Elder,G1271)+INDEX(v01_ShamanPerSett,G1271)*v01_OutShaman)+Z1271*(INDEX(v01_PriestShare,G1271)*v01_OutPriest+INDEX(v01_ScribeShare,G1271)*v01_OutScribe*INDEX(LM_Scribe,G1271)+INDEX(v01_ScholarShare,G1271)*v01_OutScholar*INDEX(LM_Scholar,G1271)+INDEX(v01_ResearcherShare,G1271)*v01_OutResearcher*INDEX(LM_Researcher,G1271)))</x:f>
        <x:v>1547.202328324339</x:v>
      </x:c>
      <x:c r="AL1271" s="32" t="n">
        <x:f>H1271*v01_RoleScale*Arch_Roles*AE1271*INDEX(v01_MonasteryPerSett,G1271)*v01_OutMonastery*INDEX(LM_Monastery,G1271)</x:f>
        <x:v>10.56</x:v>
      </x:c>
      <x:c r="AM1271" s="32" t="n">
        <x:f>(AJ1271+AK1271+AL1271)/4*INDEX(LM_All,G1271)*INDEX(v01_Boon,G1271)*Arch_Insight</x:f>
        <x:v>4196.998041524284</x:v>
      </x:c>
      <x:c r="AN1271" s="32" t="n">
        <x:f>H1271*(v01_KHPerAdult*Z1271+v01_KHOfCommons*AJ1271/4*INDEX(LM_All,G1271))*v01_KHUsable*Arch_KH</x:f>
        <x:v>290.70019741546264</x:v>
      </x:c>
      <x:c r="AO1271" s="32" t="n">
        <x:f>MIN(AP1270+AN1271,AM1271*v01_KHMaxRatio)</x:f>
        <x:v>290.70019741546264</x:v>
      </x:c>
      <x:c r="AP1271" s="32" t="n">
        <x:f>AP1270+AN1271-AO1271</x:f>
        <x:v>0</x:v>
      </x:c>
      <x:c r="AQ1271" s="32" t="n">
        <x:f>AM1271+AO1271</x:f>
        <x:v>4487.698238939747</x:v>
      </x:c>
      <x:c r="AR1271" s="10" t="n">
        <x:f>IF(H1271=1,INDEX(v01_Req,G1271),0)</x:f>
        <x:v>240231.2486535</x:v>
      </x:c>
      <x:c r="AS1271" s="32" t="n">
        <x:f>IF(H1271=1,IF(E1271=1,AS1270-AR1270,AS1270)+AQ1271,0)</x:f>
        <x:v>230026.19129424272</x:v>
      </x:c>
      <x:c r="AT1271" s="11" t="n">
        <x:f>IF(AR1271&gt;0,MIN(1,AS1271/AR1271),1)</x:f>
        <x:v>0.9575198588174653</x:v>
      </x:c>
      <x:c r="AU1271" s="10" t="n">
        <x:f>AB1271/INDEX(v01_RepScale,G1271)</x:f>
        <x:v>198.64686845874618</x:v>
      </x:c>
      <x:c r="AV1271" s="32" t="n">
        <x:f>AM1271*60/v01_SeasonSeconds</x:f>
        <x:v>16787.992166097138</x:v>
      </x:c>
    </x:row>
    <x:row r="1272">
      <x:c r="A1272" s="8" t="n">
        <x:f>A1271+1</x:f>
        <x:v>1269</x:v>
      </x:c>
      <x:c r="B1272" s="9" t="n">
        <x:f>A1272*v01_SeasonSeconds/60</x:f>
        <x:v>317.25</x:v>
      </x:c>
      <x:c r="C1272" s="9" t="n">
        <x:f>A1272/4</x:f>
        <x:v>317.25</x:v>
      </x:c>
      <x:c r="D1272" s="8" t="n">
        <x:f>IF(MOD(A1272,4)=0,1,0)</x:f>
        <x:v>0</x:v>
      </x:c>
      <x:c r="E1272" s="8" t="n">
        <x:f>IF(AND(F1271&lt;=9,AS1271&gt;=AR1271),1,0)</x:f>
        <x:v>0</x:v>
      </x:c>
      <x:c r="F1272" s="8" t="n">
        <x:f>MIN(10,F1271+E1272)</x:f>
        <x:v>7</x:v>
      </x:c>
      <x:c r="G1272" s="8" t="n">
        <x:f>MIN(F1272,9)+1</x:f>
        <x:v>8</x:v>
      </x:c>
      <x:c r="H1272" s="8" t="n">
        <x:f>IF(F1272&lt;=9,1,0)</x:f>
        <x:v>1</x:v>
      </x:c>
      <x:c r="I1272" s="9" t="n">
        <x:f>MIN(10,F1271+IF(AR1271&gt;0,MIN(1,AS1271/AR1271),1))</x:f>
        <x:v>7.957519858817466</x:v>
      </x:c>
      <x:c r="J1272" s="32" t="n">
        <x:f>INDEX(v01_FoodCap,G1272)*Arch_FoodCap*EXP(v01_CapsByProject*SUMPRODUCT((Cap_Point&lt;=I1272)*(Cap_Kind="Food")*Cap_Ln))</x:f>
        <x:v>2500</x:v>
      </x:c>
      <x:c r="K1272" s="32" t="n">
        <x:f>J1272*MIN(1,v01_LeanBase*EXP(v01_CapsByProject*SUMPRODUCT((Cap_Point&lt;=I1272)*(Cap_Kind="Lean")*Cap_Ln)))</x:f>
        <x:v>2500</x:v>
      </x:c>
      <x:c r="L1272" s="10" t="n">
        <x:f>INDEX(v01_HousingCap,G1272)*EXP(v01_CapsByProject*SUMPRODUCT((Cap_Point&lt;=I1272)*(Cap_Kind="Housing")*Cap_Ln))</x:f>
        <x:v>4000</x:v>
      </x:c>
      <x:c r="M1272" s="10" t="n">
        <x:f>INDEX(v01_GroupCap,G1272)*v01_CohesionFactor*EXP(v01_CapsByProject*SUMPRODUCT((Cap_Point&lt;=I1272)*(Cap_Kind="Group")*Cap_Ln))</x:f>
        <x:v>1000000</x:v>
      </x:c>
      <x:c r="N1272" s="32" t="n">
        <x:f>MIN(J1272,L1272,M1272)</x:f>
        <x:v>2500</x:v>
      </x:c>
      <x:c r="O1272" s="10" t="n">
        <x:f>AE1271*N1272</x:f>
        <x:v>40000</x:v>
      </x:c>
      <x:c r="P1272" s="9" t="n">
        <x:f>MIN(1,(AB1271/(AE1271*IF(v01_GroupInCrowding=1,N1272,MIN(J1272,L1272))))^v01_CrowdingExp)</x:f>
        <x:v>0.015001351611380248</x:v>
      </x:c>
      <x:c r="Q1272" s="9" t="n">
        <x:f>IF(D1272=1,INDEX(v01_WinterMult,G1272),1)</x:f>
        <x:v>1</x:v>
      </x:c>
      <x:c r="R1272" s="9" t="n">
        <x:f>H1272*Z1271*v01_WomenShare*v01_BaseFertility*INDEX(v01_FertMult,G1272)*Arch_Fertility*(1-P1272)</x:f>
        <x:v>245.4336870347448</x:v>
      </x:c>
      <x:c r="S1272" s="9" t="n">
        <x:f>H1272*Y1271*INDEX(v01_MortChild,G1272)/4*Q1272</x:f>
        <x:v>31.148925193036664</x:v>
      </x:c>
      <x:c r="T1272" s="9" t="n">
        <x:f>H1272*Z1271*INDEX(v01_MortAdult,G1272)*Arch_AdultMort/4*Q1272</x:f>
        <x:v>14.53500987077313</x:v>
      </x:c>
      <x:c r="U1272" s="9" t="n">
        <x:f>H1272*AA1271*INDEX(v01_MortElder,G1272)/4*Q1272</x:f>
        <x:v>40.65733585302621</x:v>
      </x:c>
      <x:c r="V1272" s="9" t="n">
        <x:f>H1272*MAX(0,AB1271-O1272)*v01_OvercapLoss</x:f>
        <x:v>0</x:v>
      </x:c>
      <x:c r="W1272" s="9" t="n">
        <x:f>H1272*Y1271/(v01_ChildYears*4)</x:f>
        <x:v>148.3282152049365</x:v>
      </x:c>
      <x:c r="X1272" s="9" t="n">
        <x:f>H1272*Z1271/(v01_AdultYears*4)</x:f>
        <x:v>66.98161230771028</x:v>
      </x:c>
      <x:c r="Y1272" s="32" t="n">
        <x:f>Y1271+R1272-S1272-W1272-Y1271*V1272/AB1271</x:f>
        <x:v>8372.336598113217</x:v>
      </x:c>
      <x:c r="Z1272" s="32" t="n">
        <x:f>Z1271+W1272-X1272-T1272-Z1271*V1272/AB1271</x:f>
        <x:v>8372.531519182527</x:v>
      </x:c>
      <x:c r="AA1272" s="32" t="n">
        <x:f>AA1271+X1272-U1272-AA1271*V1272/AB1271</x:f>
        <x:v>3278.911144696781</x:v>
      </x:c>
      <x:c r="AB1272" s="10" t="n">
        <x:f>Y1272+Z1272+AA1272</x:f>
        <x:v>20023.779261992524</x:v>
      </x:c>
      <x:c r="AC1272" s="8" t="n">
        <x:f>IF(AND(v01_WinterTrigger=1,D1272=1,AB1271/AE1271&gt;=K1272),1,0)</x:f>
        <x:v>0</x:v>
      </x:c>
      <x:c r="AD1272" s="8" t="n">
        <x:f>H1272*IF(AND(OR(AB1271/AE1271&gt;=v01_FissionTrigger*N1272,AC1272=1),AB1271/AE1271*v01_DaughterShare&gt;=v01_MinDaughter),MAX(1,ROUND(AE1271*v01_FissionRate,0)),0)</x:f>
        <x:v>0</x:v>
      </x:c>
      <x:c r="AE1272" s="8" t="n">
        <x:f>IF(H1272=1,MAX(1,MIN(INDEX(v01_Smax,G1272),AE1271+AD1272)),AE1271)</x:f>
        <x:v>16</x:v>
      </x:c>
      <x:c r="AF1272" s="8" t="n">
        <x:f>MAX(0,AE1272-AE1271)</x:f>
        <x:v>0</x:v>
      </x:c>
      <x:c r="AG1272" s="9" t="str">
        <x:f>IF(AF1272&gt;0,B1272,"")</x:f>
      </x:c>
      <x:c r="AH1272" s="9" t="n">
        <x:f>IF(F1272&gt;=1,1,(1+v01_LowTiesShare*(AE1272-1))/AE1272)</x:f>
        <x:v>1</x:v>
      </x:c>
      <x:c r="AI1272" s="32" t="n">
        <x:f>(Z1272+v01_ElderCommons*INDEX(LM_Elder,G1272)*AA1272)*AH1272</x:f>
        <x:v>20668.448311795455</x:v>
      </x:c>
      <x:c r="AJ1272" s="32" t="n">
        <x:f>H1272*v01_CommonsCoef*AI1272^v01_CommonsExp*INDEX(LM_Commons,G1272)</x:f>
        <x:v>5453.428741211663</x:v>
      </x:c>
      <x:c r="AK1272" s="32" t="n">
        <x:f>H1272*v01_RoleScale*Arch_Roles*(AE1272*(INDEX(v01_ElderRolePerSett,G1272)*v01_OutElder*INDEX(LM_Elder,G1272)+INDEX(v01_ShamanPerSett,G1272)*v01_OutShaman)+Z1272*(INDEX(v01_PriestShare,G1272)*v01_OutPriest+INDEX(v01_ScribeShare,G1272)*v01_OutScribe*INDEX(LM_Scribe,G1272)+INDEX(v01_ScholarShare,G1272)*v01_OutScholar*INDEX(LM_Scholar,G1272)+INDEX(v01_ResearcherShare,G1272)*v01_OutResearcher*INDEX(LM_Researcher,G1272)))</x:f>
        <x:v>1559.2137165186346</x:v>
      </x:c>
      <x:c r="AL1272" s="32" t="n">
        <x:f>H1272*v01_RoleScale*Arch_Roles*AE1272*INDEX(v01_MonasteryPerSett,G1272)*v01_OutMonastery*INDEX(LM_Monastery,G1272)</x:f>
        <x:v>10.56</x:v>
      </x:c>
      <x:c r="AM1272" s="32" t="n">
        <x:f>(AJ1272+AK1272+AL1272)/4*INDEX(LM_All,G1272)*INDEX(v01_Boon,G1272)*Arch_Insight</x:f>
        <x:v>4226.58112011247</x:v>
      </x:c>
      <x:c r="AN1272" s="32" t="n">
        <x:f>H1272*(v01_KHPerAdult*Z1272+v01_KHOfCommons*AJ1272/4*INDEX(LM_All,G1272))*v01_KHUsable*Arch_KH</x:f>
        <x:v>293.03860317138844</x:v>
      </x:c>
      <x:c r="AO1272" s="32" t="n">
        <x:f>MIN(AP1271+AN1272,AM1272*v01_KHMaxRatio)</x:f>
        <x:v>293.03860317138844</x:v>
      </x:c>
      <x:c r="AP1272" s="32" t="n">
        <x:f>AP1271+AN1272-AO1272</x:f>
        <x:v>0</x:v>
      </x:c>
      <x:c r="AQ1272" s="32" t="n">
        <x:f>AM1272+AO1272</x:f>
        <x:v>4519.619723283859</x:v>
      </x:c>
      <x:c r="AR1272" s="10" t="n">
        <x:f>IF(H1272=1,INDEX(v01_Req,G1272),0)</x:f>
        <x:v>240231.2486535</x:v>
      </x:c>
      <x:c r="AS1272" s="32" t="n">
        <x:f>IF(H1272=1,IF(E1272=1,AS1271-AR1271,AS1271)+AQ1272,0)</x:f>
        <x:v>234545.81101752658</x:v>
      </x:c>
      <x:c r="AT1272" s="11" t="n">
        <x:f>IF(AR1272&gt;0,MIN(1,AS1272/AR1272),1)</x:f>
        <x:v>0.9763334800620636</x:v>
      </x:c>
      <x:c r="AU1272" s="10" t="n">
        <x:f>AB1272/INDEX(v01_RepScale,G1272)</x:f>
        <x:v>200.23779261992524</x:v>
      </x:c>
      <x:c r="AV1272" s="32" t="n">
        <x:f>AM1272*60/v01_SeasonSeconds</x:f>
        <x:v>16906.32448044988</x:v>
      </x:c>
    </x:row>
    <x:row r="1273">
      <x:c r="A1273" s="8" t="n">
        <x:f>A1272+1</x:f>
        <x:v>1270</x:v>
      </x:c>
      <x:c r="B1273" s="9" t="n">
        <x:f>A1273*v01_SeasonSeconds/60</x:f>
        <x:v>317.5</x:v>
      </x:c>
      <x:c r="C1273" s="9" t="n">
        <x:f>A1273/4</x:f>
        <x:v>317.5</x:v>
      </x:c>
      <x:c r="D1273" s="8" t="n">
        <x:f>IF(MOD(A1273,4)=0,1,0)</x:f>
        <x:v>0</x:v>
      </x:c>
      <x:c r="E1273" s="8" t="n">
        <x:f>IF(AND(F1272&lt;=9,AS1272&gt;=AR1272),1,0)</x:f>
        <x:v>0</x:v>
      </x:c>
      <x:c r="F1273" s="8" t="n">
        <x:f>MIN(10,F1272+E1273)</x:f>
        <x:v>7</x:v>
      </x:c>
      <x:c r="G1273" s="8" t="n">
        <x:f>MIN(F1273,9)+1</x:f>
        <x:v>8</x:v>
      </x:c>
      <x:c r="H1273" s="8" t="n">
        <x:f>IF(F1273&lt;=9,1,0)</x:f>
        <x:v>1</x:v>
      </x:c>
      <x:c r="I1273" s="9" t="n">
        <x:f>MIN(10,F1272+IF(AR1272&gt;0,MIN(1,AS1272/AR1272),1))</x:f>
        <x:v>7.976333480062063</x:v>
      </x:c>
      <x:c r="J1273" s="32" t="n">
        <x:f>INDEX(v01_FoodCap,G1273)*Arch_FoodCap*EXP(v01_CapsByProject*SUMPRODUCT((Cap_Point&lt;=I1273)*(Cap_Kind="Food")*Cap_Ln))</x:f>
        <x:v>2500</x:v>
      </x:c>
      <x:c r="K1273" s="32" t="n">
        <x:f>J1273*MIN(1,v01_LeanBase*EXP(v01_CapsByProject*SUMPRODUCT((Cap_Point&lt;=I1273)*(Cap_Kind="Lean")*Cap_Ln)))</x:f>
        <x:v>2500</x:v>
      </x:c>
      <x:c r="L1273" s="10" t="n">
        <x:f>INDEX(v01_HousingCap,G1273)*EXP(v01_CapsByProject*SUMPRODUCT((Cap_Point&lt;=I1273)*(Cap_Kind="Housing")*Cap_Ln))</x:f>
        <x:v>4000</x:v>
      </x:c>
      <x:c r="M1273" s="10" t="n">
        <x:f>INDEX(v01_GroupCap,G1273)*v01_CohesionFactor*EXP(v01_CapsByProject*SUMPRODUCT((Cap_Point&lt;=I1273)*(Cap_Kind="Group")*Cap_Ln))</x:f>
        <x:v>1000000</x:v>
      </x:c>
      <x:c r="N1273" s="32" t="n">
        <x:f>MIN(J1273,L1273,M1273)</x:f>
        <x:v>2500</x:v>
      </x:c>
      <x:c r="O1273" s="10" t="n">
        <x:f>AE1272*N1273</x:f>
        <x:v>40000</x:v>
      </x:c>
      <x:c r="P1273" s="9" t="n">
        <x:f>MIN(1,(AB1272/(AE1272*IF(v01_GroupInCrowding=1,N1273,MIN(J1273,L1273))))^v01_CrowdingExp)</x:f>
        <x:v>0.015736797136588855</x:v>
      </x:c>
      <x:c r="Q1273" s="9" t="n">
        <x:f>IF(D1273=1,INDEX(v01_WinterMult,G1273),1)</x:f>
        <x:v>1</x:v>
      </x:c>
      <x:c r="R1273" s="9" t="n">
        <x:f>H1273*Z1272*v01_WomenShare*v01_BaseFertility*INDEX(v01_FertMult,G1273)*Arch_Fertility*(1-P1273)</x:f>
        <x:v>247.22324067436367</x:v>
      </x:c>
      <x:c r="S1273" s="9" t="n">
        <x:f>H1273*Y1272*INDEX(v01_MortChild,G1273)/4*Q1273</x:f>
        <x:v>31.396262242924564</x:v>
      </x:c>
      <x:c r="T1273" s="9" t="n">
        <x:f>H1273*Z1272*INDEX(v01_MortAdult,G1273)*Arch_AdultMort/4*Q1273</x:f>
        <x:v>14.651930158569423</x:v>
      </x:c>
      <x:c r="U1273" s="9" t="n">
        <x:f>H1273*AA1272*INDEX(v01_MortElder,G1273)/4*Q1273</x:f>
        <x:v>40.98638930870976</x:v>
      </x:c>
      <x:c r="V1273" s="9" t="n">
        <x:f>H1273*MAX(0,AB1272-O1273)*v01_OvercapLoss</x:f>
        <x:v>0</x:v>
      </x:c>
      <x:c r="W1273" s="9" t="n">
        <x:f>H1273*Y1272/(v01_ChildYears*4)</x:f>
        <x:v>149.50601068059316</x:v>
      </x:c>
      <x:c r="X1273" s="9" t="n">
        <x:f>H1273*Z1272/(v01_AdultYears*4)</x:f>
        <x:v>67.52041547727843</x:v>
      </x:c>
      <x:c r="Y1273" s="32" t="n">
        <x:f>Y1272+R1273-S1273-W1273-Y1272*V1273/AB1272</x:f>
        <x:v>8438.657565864063</x:v>
      </x:c>
      <x:c r="Z1273" s="32" t="n">
        <x:f>Z1272+W1273-X1273-T1273-Z1272*V1273/AB1272</x:f>
        <x:v>8439.865184227274</x:v>
      </x:c>
      <x:c r="AA1273" s="32" t="n">
        <x:f>AA1272+X1273-U1273-AA1272*V1273/AB1272</x:f>
        <x:v>3305.445170865349</x:v>
      </x:c>
      <x:c r="AB1273" s="10" t="n">
        <x:f>Y1273+Z1273+AA1273</x:f>
        <x:v>20183.96792095669</x:v>
      </x:c>
      <x:c r="AC1273" s="8" t="n">
        <x:f>IF(AND(v01_WinterTrigger=1,D1273=1,AB1272/AE1272&gt;=K1273),1,0)</x:f>
        <x:v>0</x:v>
      </x:c>
      <x:c r="AD1273" s="8" t="n">
        <x:f>H1273*IF(AND(OR(AB1272/AE1272&gt;=v01_FissionTrigger*N1273,AC1273=1),AB1272/AE1272*v01_DaughterShare&gt;=v01_MinDaughter),MAX(1,ROUND(AE1272*v01_FissionRate,0)),0)</x:f>
        <x:v>0</x:v>
      </x:c>
      <x:c r="AE1273" s="8" t="n">
        <x:f>IF(H1273=1,MAX(1,MIN(INDEX(v01_Smax,G1273),AE1272+AD1273)),AE1272)</x:f>
        <x:v>16</x:v>
      </x:c>
      <x:c r="AF1273" s="8" t="n">
        <x:f>MAX(0,AE1273-AE1272)</x:f>
        <x:v>0</x:v>
      </x:c>
      <x:c r="AG1273" s="9" t="str">
        <x:f>IF(AF1273&gt;0,B1273,"")</x:f>
      </x:c>
      <x:c r="AH1273" s="9" t="n">
        <x:f>IF(F1273&gt;=1,1,(1+v01_LowTiesShare*(AE1273-1))/AE1273)</x:f>
        <x:v>1</x:v>
      </x:c>
      <x:c r="AI1273" s="32" t="n">
        <x:f>(Z1273+v01_ElderCommons*INDEX(LM_Elder,G1273)*AA1273)*AH1273</x:f>
        <x:v>20835.284574972335</x:v>
      </x:c>
      <x:c r="AJ1273" s="32" t="n">
        <x:f>H1273*v01_CommonsCoef*AI1273^v01_CommonsExp*INDEX(LM_Commons,G1273)</x:f>
        <x:v>5490.823346834243</x:v>
      </x:c>
      <x:c r="AK1273" s="32" t="n">
        <x:f>H1273*v01_RoleScale*Arch_Roles*(AE1273*(INDEX(v01_ElderRolePerSett,G1273)*v01_OutElder*INDEX(LM_Elder,G1273)+INDEX(v01_ShamanPerSett,G1273)*v01_OutShaman)+Z1273*(INDEX(v01_PriestShare,G1273)*v01_OutPriest+INDEX(v01_ScribeShare,G1273)*v01_OutScribe*INDEX(LM_Scribe,G1273)+INDEX(v01_ScholarShare,G1273)*v01_OutScholar*INDEX(LM_Scholar,G1273)+INDEX(v01_ResearcherShare,G1273)*v01_OutResearcher*INDEX(LM_Researcher,G1273)))</x:f>
        <x:v>1571.3189628203793</x:v>
      </x:c>
      <x:c r="AL1273" s="32" t="n">
        <x:f>H1273*v01_RoleScale*Arch_Roles*AE1273*INDEX(v01_MonasteryPerSett,G1273)*v01_OutMonastery*INDEX(LM_Monastery,G1273)</x:f>
        <x:v>10.56</x:v>
      </x:c>
      <x:c r="AM1273" s="32" t="n">
        <x:f>(AJ1273+AK1273+AL1273)/4*INDEX(LM_All,G1273)*INDEX(v01_Boon,G1273)*Arch_Insight</x:f>
        <x:v>4256.370257026989</x:v>
      </x:c>
      <x:c r="AN1273" s="32" t="n">
        <x:f>H1273*(v01_KHPerAdult*Z1273+v01_KHOfCommons*AJ1273/4*INDEX(LM_All,G1273))*v01_KHUsable*Arch_KH</x:f>
        <x:v>295.3952814479546</x:v>
      </x:c>
      <x:c r="AO1273" s="32" t="n">
        <x:f>MIN(AP1272+AN1273,AM1273*v01_KHMaxRatio)</x:f>
        <x:v>295.3952814479546</x:v>
      </x:c>
      <x:c r="AP1273" s="32" t="n">
        <x:f>AP1272+AN1273-AO1273</x:f>
        <x:v>0</x:v>
      </x:c>
      <x:c r="AQ1273" s="32" t="n">
        <x:f>AM1273+AO1273</x:f>
        <x:v>4551.765538474943</x:v>
      </x:c>
      <x:c r="AR1273" s="10" t="n">
        <x:f>IF(H1273=1,INDEX(v01_Req,G1273),0)</x:f>
        <x:v>240231.2486535</x:v>
      </x:c>
      <x:c r="AS1273" s="32" t="n">
        <x:f>IF(H1273=1,IF(E1273=1,AS1272-AR1272,AS1272)+AQ1273,0)</x:f>
        <x:v>239097.57655600153</x:v>
      </x:c>
      <x:c r="AT1273" s="11" t="n">
        <x:f>IF(AR1273&gt;0,MIN(1,AS1273/AR1273),1)</x:f>
        <x:v>0.9952809132706394</x:v>
      </x:c>
      <x:c r="AU1273" s="10" t="n">
        <x:f>AB1273/INDEX(v01_RepScale,G1273)</x:f>
        <x:v>201.8396792095669</x:v>
      </x:c>
      <x:c r="AV1273" s="32" t="n">
        <x:f>AM1273*60/v01_SeasonSeconds</x:f>
        <x:v>17025.481028107955</x:v>
      </x:c>
    </x:row>
    <x:row r="1274">
      <x:c r="A1274" s="8" t="n">
        <x:f>A1273+1</x:f>
        <x:v>1271</x:v>
      </x:c>
      <x:c r="B1274" s="9" t="n">
        <x:f>A1274*v01_SeasonSeconds/60</x:f>
        <x:v>317.75</x:v>
      </x:c>
      <x:c r="C1274" s="9" t="n">
        <x:f>A1274/4</x:f>
        <x:v>317.75</x:v>
      </x:c>
      <x:c r="D1274" s="8" t="n">
        <x:f>IF(MOD(A1274,4)=0,1,0)</x:f>
        <x:v>0</x:v>
      </x:c>
      <x:c r="E1274" s="8" t="n">
        <x:f>IF(AND(F1273&lt;=9,AS1273&gt;=AR1273),1,0)</x:f>
        <x:v>0</x:v>
      </x:c>
      <x:c r="F1274" s="8" t="n">
        <x:f>MIN(10,F1273+E1274)</x:f>
        <x:v>7</x:v>
      </x:c>
      <x:c r="G1274" s="8" t="n">
        <x:f>MIN(F1274,9)+1</x:f>
        <x:v>8</x:v>
      </x:c>
      <x:c r="H1274" s="8" t="n">
        <x:f>IF(F1274&lt;=9,1,0)</x:f>
        <x:v>1</x:v>
      </x:c>
      <x:c r="I1274" s="9" t="n">
        <x:f>MIN(10,F1273+IF(AR1273&gt;0,MIN(1,AS1273/AR1273),1))</x:f>
        <x:v>7.99528091327064</x:v>
      </x:c>
      <x:c r="J1274" s="32" t="n">
        <x:f>INDEX(v01_FoodCap,G1274)*Arch_FoodCap*EXP(v01_CapsByProject*SUMPRODUCT((Cap_Point&lt;=I1274)*(Cap_Kind="Food")*Cap_Ln))</x:f>
        <x:v>2500</x:v>
      </x:c>
      <x:c r="K1274" s="32" t="n">
        <x:f>J1274*MIN(1,v01_LeanBase*EXP(v01_CapsByProject*SUMPRODUCT((Cap_Point&lt;=I1274)*(Cap_Kind="Lean")*Cap_Ln)))</x:f>
        <x:v>2500</x:v>
      </x:c>
      <x:c r="L1274" s="10" t="n">
        <x:f>INDEX(v01_HousingCap,G1274)*EXP(v01_CapsByProject*SUMPRODUCT((Cap_Point&lt;=I1274)*(Cap_Kind="Housing")*Cap_Ln))</x:f>
        <x:v>4000</x:v>
      </x:c>
      <x:c r="M1274" s="10" t="n">
        <x:f>INDEX(v01_GroupCap,G1274)*v01_CohesionFactor*EXP(v01_CapsByProject*SUMPRODUCT((Cap_Point&lt;=I1274)*(Cap_Kind="Group")*Cap_Ln))</x:f>
        <x:v>1000000</x:v>
      </x:c>
      <x:c r="N1274" s="32" t="n">
        <x:f>MIN(J1274,L1274,M1274)</x:f>
        <x:v>2500</x:v>
      </x:c>
      <x:c r="O1274" s="10" t="n">
        <x:f>AE1273*N1274</x:f>
        <x:v>40000</x:v>
      </x:c>
      <x:c r="P1274" s="9" t="n">
        <x:f>MIN(1,(AB1273/(AE1273*IF(v01_GroupInCrowding=1,N1274,MIN(J1274,L1274))))^v01_CrowdingExp)</x:f>
        <x:v>0.016507425109850687</x:v>
      </x:c>
      <x:c r="Q1274" s="9" t="n">
        <x:f>IF(D1274=1,INDEX(v01_WinterMult,G1274),1)</x:f>
        <x:v>1</x:v>
      </x:c>
      <x:c r="R1274" s="9" t="n">
        <x:f>H1274*Z1273*v01_WomenShare*v01_BaseFertility*INDEX(v01_FertMult,G1274)*Arch_Fertility*(1-P1274)</x:f>
        <x:v>249.01634225284218</x:v>
      </x:c>
      <x:c r="S1274" s="9" t="n">
        <x:f>H1274*Y1273*INDEX(v01_MortChild,G1274)/4*Q1274</x:f>
        <x:v>31.644965871990237</x:v>
      </x:c>
      <x:c r="T1274" s="9" t="n">
        <x:f>H1274*Z1273*INDEX(v01_MortAdult,G1274)*Arch_AdultMort/4*Q1274</x:f>
        <x:v>14.769764072397729</x:v>
      </x:c>
      <x:c r="U1274" s="9" t="n">
        <x:f>H1274*AA1273*INDEX(v01_MortElder,G1274)/4*Q1274</x:f>
        <x:v>41.31806463581687</x:v>
      </x:c>
      <x:c r="V1274" s="9" t="n">
        <x:f>H1274*MAX(0,AB1273-O1274)*v01_OvercapLoss</x:f>
        <x:v>0</x:v>
      </x:c>
      <x:c r="W1274" s="9" t="n">
        <x:f>H1274*Y1273/(v01_ChildYears*4)</x:f>
        <x:v>150.69031367614397</x:v>
      </x:c>
      <x:c r="X1274" s="9" t="n">
        <x:f>H1274*Z1273/(v01_AdultYears*4)</x:f>
        <x:v>68.06342890505866</x:v>
      </x:c>
      <x:c r="Y1274" s="32" t="n">
        <x:f>Y1273+R1274-S1274-W1274-Y1273*V1274/AB1273</x:f>
        <x:v>8505.33862856877</x:v>
      </x:c>
      <x:c r="Z1274" s="32" t="n">
        <x:f>Z1273+W1274-X1274-T1274-Z1273*V1274/AB1273</x:f>
        <x:v>8507.722304925961</x:v>
      </x:c>
      <x:c r="AA1274" s="32" t="n">
        <x:f>AA1273+X1274-U1274-AA1273*V1274/AB1273</x:f>
        <x:v>3332.190535134591</x:v>
      </x:c>
      <x:c r="AB1274" s="10" t="n">
        <x:f>Y1274+Z1274+AA1274</x:f>
        <x:v>20345.25146862932</x:v>
      </x:c>
      <x:c r="AC1274" s="8" t="n">
        <x:f>IF(AND(v01_WinterTrigger=1,D1274=1,AB1273/AE1273&gt;=K1274),1,0)</x:f>
        <x:v>0</x:v>
      </x:c>
      <x:c r="AD1274" s="8" t="n">
        <x:f>H1274*IF(AND(OR(AB1273/AE1273&gt;=v01_FissionTrigger*N1274,AC1274=1),AB1273/AE1273*v01_DaughterShare&gt;=v01_MinDaughter),MAX(1,ROUND(AE1273*v01_FissionRate,0)),0)</x:f>
        <x:v>0</x:v>
      </x:c>
      <x:c r="AE1274" s="8" t="n">
        <x:f>IF(H1274=1,MAX(1,MIN(INDEX(v01_Smax,G1274),AE1273+AD1274)),AE1273)</x:f>
        <x:v>16</x:v>
      </x:c>
      <x:c r="AF1274" s="8" t="n">
        <x:f>MAX(0,AE1274-AE1273)</x:f>
        <x:v>0</x:v>
      </x:c>
      <x:c r="AG1274" s="9" t="str">
        <x:f>IF(AF1274&gt;0,B1274,"")</x:f>
      </x:c>
      <x:c r="AH1274" s="9" t="n">
        <x:f>IF(F1274&gt;=1,1,(1+v01_LowTiesShare*(AE1274-1))/AE1274)</x:f>
        <x:v>1</x:v>
      </x:c>
      <x:c r="AI1274" s="32" t="n">
        <x:f>(Z1274+v01_ElderCommons*INDEX(LM_Elder,G1274)*AA1274)*AH1274</x:f>
        <x:v>21003.436811680676</x:v>
      </x:c>
      <x:c r="AJ1274" s="32" t="n">
        <x:f>H1274*v01_CommonsCoef*AI1274^v01_CommonsExp*INDEX(LM_Commons,G1274)</x:f>
        <x:v>5528.467494232481</x:v>
      </x:c>
      <x:c r="AK1274" s="32" t="n">
        <x:f>H1274*v01_RoleScale*Arch_Roles*(AE1274*(INDEX(v01_ElderRolePerSett,G1274)*v01_OutElder*INDEX(LM_Elder,G1274)+INDEX(v01_ShamanPerSett,G1274)*v01_OutShaman)+Z1274*(INDEX(v01_PriestShare,G1274)*v01_OutPriest+INDEX(v01_ScribeShare,G1274)*v01_OutScribe*INDEX(LM_Scribe,G1274)+INDEX(v01_ScholarShare,G1274)*v01_OutScholar*INDEX(LM_Scholar,G1274)+INDEX(v01_ResearcherShare,G1274)*v01_OutResearcher*INDEX(LM_Researcher,G1274)))</x:f>
        <x:v>1583.5183159795893</x:v>
      </x:c>
      <x:c r="AL1274" s="32" t="n">
        <x:f>H1274*v01_RoleScale*Arch_Roles*AE1274*INDEX(v01_MonasteryPerSett,G1274)*v01_OutMonastery*INDEX(LM_Monastery,G1274)</x:f>
        <x:v>10.56</x:v>
      </x:c>
      <x:c r="AM1274" s="32" t="n">
        <x:f>(AJ1274+AK1274+AL1274)/4*INDEX(LM_All,G1274)*INDEX(v01_Boon,G1274)*Arch_Insight</x:f>
        <x:v>4286.36620256385</x:v>
      </x:c>
      <x:c r="AN1274" s="32" t="n">
        <x:f>H1274*(v01_KHPerAdult*Z1274+v01_KHOfCommons*AJ1274/4*INDEX(LM_All,G1274))*v01_KHUsable*Arch_KH</x:f>
        <x:v>297.7702806724086</x:v>
      </x:c>
      <x:c r="AO1274" s="32" t="n">
        <x:f>MIN(AP1273+AN1274,AM1274*v01_KHMaxRatio)</x:f>
        <x:v>297.7702806724086</x:v>
      </x:c>
      <x:c r="AP1274" s="32" t="n">
        <x:f>AP1273+AN1274-AO1274</x:f>
        <x:v>0</x:v>
      </x:c>
      <x:c r="AQ1274" s="32" t="n">
        <x:f>AM1274+AO1274</x:f>
        <x:v>4584.136483236258</x:v>
      </x:c>
      <x:c r="AR1274" s="10" t="n">
        <x:f>IF(H1274=1,INDEX(v01_Req,G1274),0)</x:f>
        <x:v>240231.2486535</x:v>
      </x:c>
      <x:c r="AS1274" s="32" t="n">
        <x:f>IF(H1274=1,IF(E1274=1,AS1273-AR1273,AS1273)+AQ1274,0)</x:f>
        <x:v>243681.71303923777</x:v>
      </x:c>
      <x:c r="AT1274" s="11" t="n">
        <x:f>IF(AR1274&gt;0,MIN(1,AS1274/AR1274),1)</x:f>
        <x:v>1</x:v>
      </x:c>
      <x:c r="AU1274" s="10" t="n">
        <x:f>AB1274/INDEX(v01_RepScale,G1274)</x:f>
        <x:v>203.45251468629323</x:v>
      </x:c>
      <x:c r="AV1274" s="32" t="n">
        <x:f>AM1274*60/v01_SeasonSeconds</x:f>
        <x:v>17145.4648102554</x:v>
      </x:c>
    </x:row>
    <x:row r="1275">
      <x:c r="A1275" s="8" t="n">
        <x:f>A1274+1</x:f>
        <x:v>1272</x:v>
      </x:c>
      <x:c r="B1275" s="9" t="n">
        <x:f>A1275*v01_SeasonSeconds/60</x:f>
        <x:v>318</x:v>
      </x:c>
      <x:c r="C1275" s="9" t="n">
        <x:f>A1275/4</x:f>
        <x:v>318</x:v>
      </x:c>
      <x:c r="D1275" s="8" t="n">
        <x:f>IF(MOD(A1275,4)=0,1,0)</x:f>
        <x:v>1</x:v>
      </x:c>
      <x:c r="E1275" s="8" t="n">
        <x:f>IF(AND(F1274&lt;=9,AS1274&gt;=AR1274),1,0)</x:f>
        <x:v>1</x:v>
      </x:c>
      <x:c r="F1275" s="8" t="n">
        <x:f>MIN(10,F1274+E1275)</x:f>
        <x:v>8</x:v>
      </x:c>
      <x:c r="G1275" s="8" t="n">
        <x:f>MIN(F1275,9)+1</x:f>
        <x:v>9</x:v>
      </x:c>
      <x:c r="H1275" s="8" t="n">
        <x:f>IF(F1275&lt;=9,1,0)</x:f>
        <x:v>1</x:v>
      </x:c>
      <x:c r="I1275" s="9" t="n">
        <x:f>MIN(10,F1274+IF(AR1274&gt;0,MIN(1,AS1274/AR1274),1))</x:f>
        <x:v>8</x:v>
      </x:c>
      <x:c r="J1275" s="32" t="n">
        <x:f>INDEX(v01_FoodCap,G1275)*Arch_FoodCap*EXP(v01_CapsByProject*SUMPRODUCT((Cap_Point&lt;=I1275)*(Cap_Kind="Food")*Cap_Ln))</x:f>
        <x:v>6000</x:v>
      </x:c>
      <x:c r="K1275" s="32" t="n">
        <x:f>J1275*MIN(1,v01_LeanBase*EXP(v01_CapsByProject*SUMPRODUCT((Cap_Point&lt;=I1275)*(Cap_Kind="Lean")*Cap_Ln)))</x:f>
        <x:v>6000</x:v>
      </x:c>
      <x:c r="L1275" s="10" t="n">
        <x:f>INDEX(v01_HousingCap,G1275)*EXP(v01_CapsByProject*SUMPRODUCT((Cap_Point&lt;=I1275)*(Cap_Kind="Housing")*Cap_Ln))</x:f>
        <x:v>10000</x:v>
      </x:c>
      <x:c r="M1275" s="10" t="n">
        <x:f>INDEX(v01_GroupCap,G1275)*v01_CohesionFactor*EXP(v01_CapsByProject*SUMPRODUCT((Cap_Point&lt;=I1275)*(Cap_Kind="Group")*Cap_Ln))</x:f>
        <x:v>1000000</x:v>
      </x:c>
      <x:c r="N1275" s="32" t="n">
        <x:f>MIN(J1275,L1275,M1275)</x:f>
        <x:v>6000</x:v>
      </x:c>
      <x:c r="O1275" s="10" t="n">
        <x:f>AE1274*N1275</x:f>
        <x:v>96000</x:v>
      </x:c>
      <x:c r="P1275" s="9" t="n">
        <x:f>MIN(1,(AB1274/(AE1274*IF(v01_GroupInCrowding=1,N1275,MIN(J1275,L1275))))^v01_CrowdingExp)</x:f>
        <x:v>0.00009060475170304561</x:v>
      </x:c>
      <x:c r="Q1275" s="9" t="n">
        <x:f>IF(D1275=1,INDEX(v01_WinterMult,G1275),1)</x:f>
        <x:v>1</x:v>
      </x:c>
      <x:c r="R1275" s="9" t="n">
        <x:f>H1275*Z1274*v01_WomenShare*v01_BaseFertility*INDEX(v01_FertMult,G1275)*Arch_Fertility*(1-P1275)</x:f>
        <x:v>191.4064079593267</x:v>
      </x:c>
      <x:c r="S1275" s="9" t="n">
        <x:f>H1275*Y1274*INDEX(v01_MortChild,G1275)/4*Q1275</x:f>
        <x:v>12.758007942853155</x:v>
      </x:c>
      <x:c r="T1275" s="9" t="n">
        <x:f>H1275*Z1274*INDEX(v01_MortAdult,G1275)*Arch_AdultMort/4*Q1275</x:f>
        <x:v>8.507722304925961</x:v>
      </x:c>
      <x:c r="U1275" s="9" t="n">
        <x:f>H1275*AA1274*INDEX(v01_MortElder,G1275)/4*Q1275</x:f>
        <x:v>29.15666718242767</x:v>
      </x:c>
      <x:c r="V1275" s="9" t="n">
        <x:f>H1275*MAX(0,AB1274-O1275)*v01_OvercapLoss</x:f>
        <x:v>0</x:v>
      </x:c>
      <x:c r="W1275" s="9" t="n">
        <x:f>H1275*Y1274/(v01_ChildYears*4)</x:f>
        <x:v>151.88104693872805</x:v>
      </x:c>
      <x:c r="X1275" s="9" t="n">
        <x:f>H1275*Z1274/(v01_AdultYears*4)</x:f>
        <x:v>68.61066374940292</x:v>
      </x:c>
      <x:c r="Y1275" s="32" t="n">
        <x:f>Y1274+R1275-S1275-W1275-Y1274*V1275/AB1274</x:f>
        <x:v>8532.105981646515</x:v>
      </x:c>
      <x:c r="Z1275" s="32" t="n">
        <x:f>Z1274+W1275-X1275-T1275-Z1274*V1275/AB1274</x:f>
        <x:v>8582.48496581036</x:v>
      </x:c>
      <x:c r="AA1275" s="32" t="n">
        <x:f>AA1274+X1275-U1275-AA1274*V1275/AB1274</x:f>
        <x:v>3371.6445317015664</x:v>
      </x:c>
      <x:c r="AB1275" s="10" t="n">
        <x:f>Y1275+Z1275+AA1275</x:f>
        <x:v>20486.235479158444</x:v>
      </x:c>
      <x:c r="AC1275" s="8" t="n">
        <x:f>IF(AND(v01_WinterTrigger=1,D1275=1,AB1274/AE1274&gt;=K1275),1,0)</x:f>
        <x:v>0</x:v>
      </x:c>
      <x:c r="AD1275" s="8" t="n">
        <x:f>H1275*IF(AND(OR(AB1274/AE1274&gt;=v01_FissionTrigger*N1275,AC1275=1),AB1274/AE1274*v01_DaughterShare&gt;=v01_MinDaughter),MAX(1,ROUND(AE1274*v01_FissionRate,0)),0)</x:f>
        <x:v>0</x:v>
      </x:c>
      <x:c r="AE1275" s="8" t="n">
        <x:f>IF(H1275=1,MAX(1,MIN(INDEX(v01_Smax,G1275),AE1274+AD1275)),AE1274)</x:f>
        <x:v>15</x:v>
      </x:c>
      <x:c r="AF1275" s="8" t="n">
        <x:f>MAX(0,AE1275-AE1274)</x:f>
        <x:v>0</x:v>
      </x:c>
      <x:c r="AG1275" s="9" t="str">
        <x:f>IF(AF1275&gt;0,B1275,"")</x:f>
      </x:c>
      <x:c r="AH1275" s="9" t="n">
        <x:f>IF(F1275&gt;=1,1,(1+v01_LowTiesShare*(AE1275-1))/AE1275)</x:f>
        <x:v>1</x:v>
      </x:c>
      <x:c r="AI1275" s="32" t="n">
        <x:f>(Z1275+v01_ElderCommons*INDEX(LM_Elder,G1275)*AA1275)*AH1275</x:f>
        <x:v>21226.151959691233</x:v>
      </x:c>
      <x:c r="AJ1275" s="32" t="n">
        <x:f>H1275*v01_CommonsCoef*AI1275^v01_CommonsExp*INDEX(LM_Commons,G1275)</x:f>
        <x:v>8614.750836706966</x:v>
      </x:c>
      <x:c r="AK1275" s="32" t="n">
        <x:f>H1275*v01_RoleScale*Arch_Roles*(AE1275*(INDEX(v01_ElderRolePerSett,G1275)*v01_OutElder*INDEX(LM_Elder,G1275)+INDEX(v01_ShamanPerSett,G1275)*v01_OutShaman)+Z1275*(INDEX(v01_PriestShare,G1275)*v01_OutPriest+INDEX(v01_ScribeShare,G1275)*v01_OutScribe*INDEX(LM_Scribe,G1275)+INDEX(v01_ScholarShare,G1275)*v01_OutScholar*INDEX(LM_Scholar,G1275)+INDEX(v01_ResearcherShare,G1275)*v01_OutResearcher*INDEX(LM_Researcher,G1275)))</x:f>
        <x:v>2267.0618102836643</x:v>
      </x:c>
      <x:c r="AL1275" s="32" t="n">
        <x:f>H1275*v01_RoleScale*Arch_Roles*AE1275*INDEX(v01_MonasteryPerSett,G1275)*v01_OutMonastery*INDEX(LM_Monastery,G1275)</x:f>
        <x:v>6.6000000000000005</x:v>
      </x:c>
      <x:c r="AM1275" s="32" t="n">
        <x:f>(AJ1275+AK1275+AL1275)/4*INDEX(LM_All,G1275)*INDEX(v01_Boon,G1275)*Arch_Insight</x:f>
        <x:v>7845.008489274267</x:v>
      </x:c>
      <x:c r="AN1275" s="32" t="n">
        <x:f>H1275*(v01_KHPerAdult*Z1275+v01_KHOfCommons*AJ1275/4*INDEX(LM_All,G1275))*v01_KHUsable*Arch_KH</x:f>
        <x:v>300.3869738033626</x:v>
      </x:c>
      <x:c r="AO1275" s="32" t="n">
        <x:f>MIN(AP1274+AN1275,AM1275*v01_KHMaxRatio)</x:f>
        <x:v>300.3869738033626</x:v>
      </x:c>
      <x:c r="AP1275" s="32" t="n">
        <x:f>AP1274+AN1275-AO1275</x:f>
        <x:v>0</x:v>
      </x:c>
      <x:c r="AQ1275" s="32" t="n">
        <x:f>AM1275+AO1275</x:f>
        <x:v>8145.39546307763</x:v>
      </x:c>
      <x:c r="AR1275" s="10" t="n">
        <x:f>IF(H1275=1,INDEX(v01_Req,G1275),0)</x:f>
        <x:v>743165.805333726</x:v>
      </x:c>
      <x:c r="AS1275" s="32" t="n">
        <x:f>IF(H1275=1,IF(E1275=1,AS1274-AR1274,AS1274)+AQ1275,0)</x:f>
        <x:v>11595.859848815411</x:v>
      </x:c>
      <x:c r="AT1275" s="11" t="n">
        <x:f>IF(AR1275&gt;0,MIN(1,AS1275/AR1275),1)</x:f>
        <x:v>0.015603328040111015</x:v>
      </x:c>
      <x:c r="AU1275" s="10" t="n">
        <x:f>AB1275/INDEX(v01_RepScale,G1275)</x:f>
        <x:v>81.94494191663378</x:v>
      </x:c>
      <x:c r="AV1275" s="32" t="n">
        <x:f>AM1275*60/v01_SeasonSeconds</x:f>
        <x:v>31380.033957097065</x:v>
      </x:c>
    </x:row>
    <x:row r="1276">
      <x:c r="A1276" s="8" t="n">
        <x:f>A1275+1</x:f>
        <x:v>1273</x:v>
      </x:c>
      <x:c r="B1276" s="9" t="n">
        <x:f>A1276*v01_SeasonSeconds/60</x:f>
        <x:v>318.25</x:v>
      </x:c>
      <x:c r="C1276" s="9" t="n">
        <x:f>A1276/4</x:f>
        <x:v>318.25</x:v>
      </x:c>
      <x:c r="D1276" s="8" t="n">
        <x:f>IF(MOD(A1276,4)=0,1,0)</x:f>
        <x:v>0</x:v>
      </x:c>
      <x:c r="E1276" s="8" t="n">
        <x:f>IF(AND(F1275&lt;=9,AS1275&gt;=AR1275),1,0)</x:f>
        <x:v>0</x:v>
      </x:c>
      <x:c r="F1276" s="8" t="n">
        <x:f>MIN(10,F1275+E1276)</x:f>
        <x:v>8</x:v>
      </x:c>
      <x:c r="G1276" s="8" t="n">
        <x:f>MIN(F1276,9)+1</x:f>
        <x:v>9</x:v>
      </x:c>
      <x:c r="H1276" s="8" t="n">
        <x:f>IF(F1276&lt;=9,1,0)</x:f>
        <x:v>1</x:v>
      </x:c>
      <x:c r="I1276" s="9" t="n">
        <x:f>MIN(10,F1275+IF(AR1275&gt;0,MIN(1,AS1275/AR1275),1))</x:f>
        <x:v>8.015603328040111</x:v>
      </x:c>
      <x:c r="J1276" s="32" t="n">
        <x:f>INDEX(v01_FoodCap,G1276)*Arch_FoodCap*EXP(v01_CapsByProject*SUMPRODUCT((Cap_Point&lt;=I1276)*(Cap_Kind="Food")*Cap_Ln))</x:f>
        <x:v>6000</x:v>
      </x:c>
      <x:c r="K1276" s="32" t="n">
        <x:f>J1276*MIN(1,v01_LeanBase*EXP(v01_CapsByProject*SUMPRODUCT((Cap_Point&lt;=I1276)*(Cap_Kind="Lean")*Cap_Ln)))</x:f>
        <x:v>6000</x:v>
      </x:c>
      <x:c r="L1276" s="10" t="n">
        <x:f>INDEX(v01_HousingCap,G1276)*EXP(v01_CapsByProject*SUMPRODUCT((Cap_Point&lt;=I1276)*(Cap_Kind="Housing")*Cap_Ln))</x:f>
        <x:v>10000</x:v>
      </x:c>
      <x:c r="M1276" s="10" t="n">
        <x:f>INDEX(v01_GroupCap,G1276)*v01_CohesionFactor*EXP(v01_CapsByProject*SUMPRODUCT((Cap_Point&lt;=I1276)*(Cap_Kind="Group")*Cap_Ln))</x:f>
        <x:v>1000000</x:v>
      </x:c>
      <x:c r="N1276" s="32" t="n">
        <x:f>MIN(J1276,L1276,M1276)</x:f>
        <x:v>6000</x:v>
      </x:c>
      <x:c r="O1276" s="10" t="n">
        <x:f>AE1275*N1276</x:f>
        <x:v>90000</x:v>
      </x:c>
      <x:c r="P1276" s="9" t="n">
        <x:f>MIN(1,(AB1275/(AE1275*IF(v01_GroupInCrowding=1,N1276,MIN(J1276,L1276))))^v01_CrowdingExp)</x:f>
        <x:v>0.0001390970456269744</x:v>
      </x:c>
      <x:c r="Q1276" s="9" t="n">
        <x:f>IF(D1276=1,INDEX(v01_WinterMult,G1276),1)</x:f>
        <x:v>1</x:v>
      </x:c>
      <x:c r="R1276" s="9" t="n">
        <x:f>H1276*Z1275*v01_WomenShare*v01_BaseFertility*INDEX(v01_FertMult,G1276)*Arch_Fertility*(1-P1276)</x:f>
        <x:v>193.07905126891822</x:v>
      </x:c>
      <x:c r="S1276" s="9" t="n">
        <x:f>H1276*Y1275*INDEX(v01_MortChild,G1276)/4*Q1276</x:f>
        <x:v>12.798158972469773</x:v>
      </x:c>
      <x:c r="T1276" s="9" t="n">
        <x:f>H1276*Z1275*INDEX(v01_MortAdult,G1276)*Arch_AdultMort/4*Q1276</x:f>
        <x:v>8.582484965810359</x:v>
      </x:c>
      <x:c r="U1276" s="9" t="n">
        <x:f>H1276*AA1275*INDEX(v01_MortElder,G1276)/4*Q1276</x:f>
        <x:v>29.50188965238871</x:v>
      </x:c>
      <x:c r="V1276" s="9" t="n">
        <x:f>H1276*MAX(0,AB1275-O1276)*v01_OvercapLoss</x:f>
        <x:v>0</x:v>
      </x:c>
      <x:c r="W1276" s="9" t="n">
        <x:f>H1276*Y1275/(v01_ChildYears*4)</x:f>
        <x:v>152.35903538654492</x:v>
      </x:c>
      <x:c r="X1276" s="9" t="n">
        <x:f>H1276*Z1275/(v01_AdultYears*4)</x:f>
        <x:v>69.21358843395451</x:v>
      </x:c>
      <x:c r="Y1276" s="32" t="n">
        <x:f>Y1275+R1276-S1276-W1276-Y1275*V1276/AB1275</x:f>
        <x:v>8560.027838556418</x:v>
      </x:c>
      <x:c r="Z1276" s="32" t="n">
        <x:f>Z1275+W1276-X1276-T1276-Z1275*V1276/AB1275</x:f>
        <x:v>8657.047927797139</x:v>
      </x:c>
      <x:c r="AA1276" s="32" t="n">
        <x:f>AA1275+X1276-U1276-AA1275*V1276/AB1275</x:f>
        <x:v>3411.356230483132</x:v>
      </x:c>
      <x:c r="AB1276" s="10" t="n">
        <x:f>Y1276+Z1276+AA1276</x:f>
        <x:v>20628.431996836687</x:v>
      </x:c>
      <x:c r="AC1276" s="8" t="n">
        <x:f>IF(AND(v01_WinterTrigger=1,D1276=1,AB1275/AE1275&gt;=K1276),1,0)</x:f>
        <x:v>0</x:v>
      </x:c>
      <x:c r="AD1276" s="8" t="n">
        <x:f>H1276*IF(AND(OR(AB1275/AE1275&gt;=v01_FissionTrigger*N1276,AC1276=1),AB1275/AE1275*v01_DaughterShare&gt;=v01_MinDaughter),MAX(1,ROUND(AE1275*v01_FissionRate,0)),0)</x:f>
        <x:v>0</x:v>
      </x:c>
      <x:c r="AE1276" s="8" t="n">
        <x:f>IF(H1276=1,MAX(1,MIN(INDEX(v01_Smax,G1276),AE1275+AD1276)),AE1275)</x:f>
        <x:v>15</x:v>
      </x:c>
      <x:c r="AF1276" s="8" t="n">
        <x:f>MAX(0,AE1276-AE1275)</x:f>
        <x:v>0</x:v>
      </x:c>
      <x:c r="AG1276" s="9" t="str">
        <x:f>IF(AF1276&gt;0,B1276,"")</x:f>
      </x:c>
      <x:c r="AH1276" s="9" t="n">
        <x:f>IF(F1276&gt;=1,1,(1+v01_LowTiesShare*(AE1276-1))/AE1276)</x:f>
        <x:v>1</x:v>
      </x:c>
      <x:c r="AI1276" s="32" t="n">
        <x:f>(Z1276+v01_ElderCommons*INDEX(LM_Elder,G1276)*AA1276)*AH1276</x:f>
        <x:v>21449.633792108885</x:v>
      </x:c>
      <x:c r="AJ1276" s="32" t="n">
        <x:f>H1276*v01_CommonsCoef*AI1276^v01_CommonsExp*INDEX(LM_Commons,G1276)</x:f>
        <x:v>8691.786336482246</x:v>
      </x:c>
      <x:c r="AK1276" s="32" t="n">
        <x:f>H1276*v01_RoleScale*Arch_Roles*(AE1276*(INDEX(v01_ElderRolePerSett,G1276)*v01_OutElder*INDEX(LM_Elder,G1276)+INDEX(v01_ShamanPerSett,G1276)*v01_OutShaman)+Z1276*(INDEX(v01_PriestShare,G1276)*v01_OutPriest+INDEX(v01_ScribeShare,G1276)*v01_OutScribe*INDEX(LM_Scribe,G1276)+INDEX(v01_ScholarShare,G1276)*v01_OutScholar*INDEX(LM_Scholar,G1276)+INDEX(v01_ResearcherShare,G1276)*v01_OutResearcher*INDEX(LM_Researcher,G1276)))</x:f>
        <x:v>2286.317782684389</x:v>
      </x:c>
      <x:c r="AL1276" s="32" t="n">
        <x:f>H1276*v01_RoleScale*Arch_Roles*AE1276*INDEX(v01_MonasteryPerSett,G1276)*v01_OutMonastery*INDEX(LM_Monastery,G1276)</x:f>
        <x:v>6.6000000000000005</x:v>
      </x:c>
      <x:c r="AM1276" s="32" t="n">
        <x:f>(AJ1276+AK1276+AL1276)/4*INDEX(LM_All,G1276)*INDEX(v01_Boon,G1276)*Arch_Insight</x:f>
        <x:v>7914.385674099664</x:v>
      </x:c>
      <x:c r="AN1276" s="32" t="n">
        <x:f>H1276*(v01_KHPerAdult*Z1276+v01_KHOfCommons*AJ1276/4*INDEX(LM_All,G1276))*v01_KHUsable*Arch_KH</x:f>
        <x:v>302.9966774728998</x:v>
      </x:c>
      <x:c r="AO1276" s="32" t="n">
        <x:f>MIN(AP1275+AN1276,AM1276*v01_KHMaxRatio)</x:f>
        <x:v>302.9966774728998</x:v>
      </x:c>
      <x:c r="AP1276" s="32" t="n">
        <x:f>AP1275+AN1276-AO1276</x:f>
        <x:v>0</x:v>
      </x:c>
      <x:c r="AQ1276" s="32" t="n">
        <x:f>AM1276+AO1276</x:f>
        <x:v>8217.382351572563</x:v>
      </x:c>
      <x:c r="AR1276" s="10" t="n">
        <x:f>IF(H1276=1,INDEX(v01_Req,G1276),0)</x:f>
        <x:v>743165.805333726</x:v>
      </x:c>
      <x:c r="AS1276" s="32" t="n">
        <x:f>IF(H1276=1,IF(E1276=1,AS1275-AR1275,AS1275)+AQ1276,0)</x:f>
        <x:v>19813.242200387976</x:v>
      </x:c>
      <x:c r="AT1276" s="11" t="n">
        <x:f>IF(AR1276&gt;0,MIN(1,AS1276/AR1276),1)</x:f>
        <x:v>0.0266605945243816</x:v>
      </x:c>
      <x:c r="AU1276" s="10" t="n">
        <x:f>AB1276/INDEX(v01_RepScale,G1276)</x:f>
        <x:v>82.51372798734675</x:v>
      </x:c>
      <x:c r="AV1276" s="32" t="n">
        <x:f>AM1276*60/v01_SeasonSeconds</x:f>
        <x:v>31657.542696398657</x:v>
      </x:c>
    </x:row>
    <x:row r="1277">
      <x:c r="A1277" s="8" t="n">
        <x:f>A1276+1</x:f>
        <x:v>1274</x:v>
      </x:c>
      <x:c r="B1277" s="9" t="n">
        <x:f>A1277*v01_SeasonSeconds/60</x:f>
        <x:v>318.5</x:v>
      </x:c>
      <x:c r="C1277" s="9" t="n">
        <x:f>A1277/4</x:f>
        <x:v>318.5</x:v>
      </x:c>
      <x:c r="D1277" s="8" t="n">
        <x:f>IF(MOD(A1277,4)=0,1,0)</x:f>
        <x:v>0</x:v>
      </x:c>
      <x:c r="E1277" s="8" t="n">
        <x:f>IF(AND(F1276&lt;=9,AS1276&gt;=AR1276),1,0)</x:f>
        <x:v>0</x:v>
      </x:c>
      <x:c r="F1277" s="8" t="n">
        <x:f>MIN(10,F1276+E1277)</x:f>
        <x:v>8</x:v>
      </x:c>
      <x:c r="G1277" s="8" t="n">
        <x:f>MIN(F1277,9)+1</x:f>
        <x:v>9</x:v>
      </x:c>
      <x:c r="H1277" s="8" t="n">
        <x:f>IF(F1277&lt;=9,1,0)</x:f>
        <x:v>1</x:v>
      </x:c>
      <x:c r="I1277" s="9" t="n">
        <x:f>MIN(10,F1276+IF(AR1276&gt;0,MIN(1,AS1276/AR1276),1))</x:f>
        <x:v>8.026660594524381</x:v>
      </x:c>
      <x:c r="J1277" s="32" t="n">
        <x:f>INDEX(v01_FoodCap,G1277)*Arch_FoodCap*EXP(v01_CapsByProject*SUMPRODUCT((Cap_Point&lt;=I1277)*(Cap_Kind="Food")*Cap_Ln))</x:f>
        <x:v>6000</x:v>
      </x:c>
      <x:c r="K1277" s="32" t="n">
        <x:f>J1277*MIN(1,v01_LeanBase*EXP(v01_CapsByProject*SUMPRODUCT((Cap_Point&lt;=I1277)*(Cap_Kind="Lean")*Cap_Ln)))</x:f>
        <x:v>6000</x:v>
      </x:c>
      <x:c r="L1277" s="10" t="n">
        <x:f>INDEX(v01_HousingCap,G1277)*EXP(v01_CapsByProject*SUMPRODUCT((Cap_Point&lt;=I1277)*(Cap_Kind="Housing")*Cap_Ln))</x:f>
        <x:v>10000</x:v>
      </x:c>
      <x:c r="M1277" s="10" t="n">
        <x:f>INDEX(v01_GroupCap,G1277)*v01_CohesionFactor*EXP(v01_CapsByProject*SUMPRODUCT((Cap_Point&lt;=I1277)*(Cap_Kind="Group")*Cap_Ln))</x:f>
        <x:v>1000000</x:v>
      </x:c>
      <x:c r="N1277" s="32" t="n">
        <x:f>MIN(J1277,L1277,M1277)</x:f>
        <x:v>6000</x:v>
      </x:c>
      <x:c r="O1277" s="10" t="n">
        <x:f>AE1276*N1277</x:f>
        <x:v>90000</x:v>
      </x:c>
      <x:c r="P1277" s="9" t="n">
        <x:f>MIN(1,(AB1276/(AE1276*IF(v01_GroupInCrowding=1,N1277,MIN(J1277,L1277))))^v01_CrowdingExp)</x:f>
        <x:v>0.00014499140217669548</x:v>
      </x:c>
      <x:c r="Q1277" s="9" t="n">
        <x:f>IF(D1277=1,INDEX(v01_WinterMult,G1277),1)</x:f>
        <x:v>1</x:v>
      </x:c>
      <x:c r="R1277" s="9" t="n">
        <x:f>H1277*Z1276*v01_WomenShare*v01_BaseFertility*INDEX(v01_FertMult,G1277)*Arch_Fertility*(1-P1277)</x:f>
        <x:v>194.75533643128597</x:v>
      </x:c>
      <x:c r="S1277" s="9" t="n">
        <x:f>H1277*Y1276*INDEX(v01_MortChild,G1277)/4*Q1277</x:f>
        <x:v>12.840041757834626</x:v>
      </x:c>
      <x:c r="T1277" s="9" t="n">
        <x:f>H1277*Z1276*INDEX(v01_MortAdult,G1277)*Arch_AdultMort/4*Q1277</x:f>
        <x:v>8.657047927797139</x:v>
      </x:c>
      <x:c r="U1277" s="9" t="n">
        <x:f>H1277*AA1276*INDEX(v01_MortElder,G1277)/4*Q1277</x:f>
        <x:v>29.84936701672741</x:v>
      </x:c>
      <x:c r="V1277" s="9" t="n">
        <x:f>H1277*MAX(0,AB1276-O1277)*v01_OvercapLoss</x:f>
        <x:v>0</x:v>
      </x:c>
      <x:c r="W1277" s="9" t="n">
        <x:f>H1277*Y1276/(v01_ChildYears*4)</x:f>
        <x:v>152.85763997422174</x:v>
      </x:c>
      <x:c r="X1277" s="9" t="n">
        <x:f>H1277*Z1276/(v01_AdultYears*4)</x:f>
        <x:v>69.81490264352531</x:v>
      </x:c>
      <x:c r="Y1277" s="32" t="n">
        <x:f>Y1276+R1277-S1277-W1277-Y1276*V1277/AB1276</x:f>
        <x:v>8589.085493255649</x:v>
      </x:c>
      <x:c r="Z1277" s="32" t="n">
        <x:f>Z1276+W1277-X1277-T1277-Z1276*V1277/AB1276</x:f>
        <x:v>8731.433617200037</x:v>
      </x:c>
      <x:c r="AA1277" s="32" t="n">
        <x:f>AA1276+X1277-U1277-AA1276*V1277/AB1276</x:f>
        <x:v>3451.32176610993</x:v>
      </x:c>
      <x:c r="AB1277" s="10" t="n">
        <x:f>Y1277+Z1277+AA1277</x:f>
        <x:v>20771.840876565617</x:v>
      </x:c>
      <x:c r="AC1277" s="8" t="n">
        <x:f>IF(AND(v01_WinterTrigger=1,D1277=1,AB1276/AE1276&gt;=K1277),1,0)</x:f>
        <x:v>0</x:v>
      </x:c>
      <x:c r="AD1277" s="8" t="n">
        <x:f>H1277*IF(AND(OR(AB1276/AE1276&gt;=v01_FissionTrigger*N1277,AC1277=1),AB1276/AE1276*v01_DaughterShare&gt;=v01_MinDaughter),MAX(1,ROUND(AE1276*v01_FissionRate,0)),0)</x:f>
        <x:v>0</x:v>
      </x:c>
      <x:c r="AE1277" s="8" t="n">
        <x:f>IF(H1277=1,MAX(1,MIN(INDEX(v01_Smax,G1277),AE1276+AD1277)),AE1276)</x:f>
        <x:v>15</x:v>
      </x:c>
      <x:c r="AF1277" s="8" t="n">
        <x:f>MAX(0,AE1277-AE1276)</x:f>
        <x:v>0</x:v>
      </x:c>
      <x:c r="AG1277" s="9" t="str">
        <x:f>IF(AF1277&gt;0,B1277,"")</x:f>
      </x:c>
      <x:c r="AH1277" s="9" t="n">
        <x:f>IF(F1277&gt;=1,1,(1+v01_LowTiesShare*(AE1277-1))/AE1277)</x:f>
        <x:v>1</x:v>
      </x:c>
      <x:c r="AI1277" s="32" t="n">
        <x:f>(Z1277+v01_ElderCommons*INDEX(LM_Elder,G1277)*AA1277)*AH1277</x:f>
        <x:v>21673.890240112276</x:v>
      </x:c>
      <x:c r="AJ1277" s="32" t="n">
        <x:f>H1277*v01_CommonsCoef*AI1277^v01_CommonsExp*INDEX(LM_Commons,G1277)</x:f>
        <x:v>8768.967924051442</x:v>
      </x:c>
      <x:c r="AK1277" s="32" t="n">
        <x:f>H1277*v01_RoleScale*Arch_Roles*(AE1277*(INDEX(v01_ElderRolePerSett,G1277)*v01_OutElder*INDEX(LM_Elder,G1277)+INDEX(v01_ShamanPerSett,G1277)*v01_OutShaman)+Z1277*(INDEX(v01_PriestShare,G1277)*v01_OutPriest+INDEX(v01_ScribeShare,G1277)*v01_OutScribe*INDEX(LM_Scribe,G1277)+INDEX(v01_ScholarShare,G1277)*v01_OutScholar*INDEX(LM_Scholar,G1277)+INDEX(v01_ResearcherShare,G1277)*v01_OutResearcher*INDEX(LM_Researcher,G1277)))</x:f>
        <x:v>2305.527974232373</x:v>
      </x:c>
      <x:c r="AL1277" s="32" t="n">
        <x:f>H1277*v01_RoleScale*Arch_Roles*AE1277*INDEX(v01_MonasteryPerSett,G1277)*v01_OutMonastery*INDEX(LM_Monastery,G1277)</x:f>
        <x:v>6.6000000000000005</x:v>
      </x:c>
      <x:c r="AM1277" s="32" t="n">
        <x:f>(AJ1277+AK1277+AL1277)/4*INDEX(LM_All,G1277)*INDEX(v01_Boon,G1277)*Arch_Insight</x:f>
        <x:v>7983.835129221069</x:v>
      </x:c>
      <x:c r="AN1277" s="32" t="n">
        <x:f>H1277*(v01_KHPerAdult*Z1277+v01_KHOfCommons*AJ1277/4*INDEX(LM_All,G1277))*v01_KHUsable*Arch_KH</x:f>
        <x:v>305.6001766020013</x:v>
      </x:c>
      <x:c r="AO1277" s="32" t="n">
        <x:f>MIN(AP1276+AN1277,AM1277*v01_KHMaxRatio)</x:f>
        <x:v>305.6001766020013</x:v>
      </x:c>
      <x:c r="AP1277" s="32" t="n">
        <x:f>AP1276+AN1277-AO1277</x:f>
        <x:v>0</x:v>
      </x:c>
      <x:c r="AQ1277" s="32" t="n">
        <x:f>AM1277+AO1277</x:f>
        <x:v>8289.43530582307</x:v>
      </x:c>
      <x:c r="AR1277" s="10" t="n">
        <x:f>IF(H1277=1,INDEX(v01_Req,G1277),0)</x:f>
        <x:v>743165.805333726</x:v>
      </x:c>
      <x:c r="AS1277" s="32" t="n">
        <x:f>IF(H1277=1,IF(E1277=1,AS1276-AR1276,AS1276)+AQ1277,0)</x:f>
        <x:v>28102.677506211046</x:v>
      </x:c>
      <x:c r="AT1277" s="11" t="n">
        <x:f>IF(AR1277&gt;0,MIN(1,AS1277/AR1277),1)</x:f>
        <x:v>0.03781481508502838</x:v>
      </x:c>
      <x:c r="AU1277" s="10" t="n">
        <x:f>AB1277/INDEX(v01_RepScale,G1277)</x:f>
        <x:v>83.08736350626246</x:v>
      </x:c>
      <x:c r="AV1277" s="32" t="n">
        <x:f>AM1277*60/v01_SeasonSeconds</x:f>
        <x:v>31935.340516884276</x:v>
      </x:c>
    </x:row>
    <x:row r="1278">
      <x:c r="A1278" s="8" t="n">
        <x:f>A1277+1</x:f>
        <x:v>1275</x:v>
      </x:c>
      <x:c r="B1278" s="9" t="n">
        <x:f>A1278*v01_SeasonSeconds/60</x:f>
        <x:v>318.75</x:v>
      </x:c>
      <x:c r="C1278" s="9" t="n">
        <x:f>A1278/4</x:f>
        <x:v>318.75</x:v>
      </x:c>
      <x:c r="D1278" s="8" t="n">
        <x:f>IF(MOD(A1278,4)=0,1,0)</x:f>
        <x:v>0</x:v>
      </x:c>
      <x:c r="E1278" s="8" t="n">
        <x:f>IF(AND(F1277&lt;=9,AS1277&gt;=AR1277),1,0)</x:f>
        <x:v>0</x:v>
      </x:c>
      <x:c r="F1278" s="8" t="n">
        <x:f>MIN(10,F1277+E1278)</x:f>
        <x:v>8</x:v>
      </x:c>
      <x:c r="G1278" s="8" t="n">
        <x:f>MIN(F1278,9)+1</x:f>
        <x:v>9</x:v>
      </x:c>
      <x:c r="H1278" s="8" t="n">
        <x:f>IF(F1278&lt;=9,1,0)</x:f>
        <x:v>1</x:v>
      </x:c>
      <x:c r="I1278" s="9" t="n">
        <x:f>MIN(10,F1277+IF(AR1277&gt;0,MIN(1,AS1277/AR1277),1))</x:f>
        <x:v>8.037814815085028</x:v>
      </x:c>
      <x:c r="J1278" s="32" t="n">
        <x:f>INDEX(v01_FoodCap,G1278)*Arch_FoodCap*EXP(v01_CapsByProject*SUMPRODUCT((Cap_Point&lt;=I1278)*(Cap_Kind="Food")*Cap_Ln))</x:f>
        <x:v>6000</x:v>
      </x:c>
      <x:c r="K1278" s="32" t="n">
        <x:f>J1278*MIN(1,v01_LeanBase*EXP(v01_CapsByProject*SUMPRODUCT((Cap_Point&lt;=I1278)*(Cap_Kind="Lean")*Cap_Ln)))</x:f>
        <x:v>6000</x:v>
      </x:c>
      <x:c r="L1278" s="10" t="n">
        <x:f>INDEX(v01_HousingCap,G1278)*EXP(v01_CapsByProject*SUMPRODUCT((Cap_Point&lt;=I1278)*(Cap_Kind="Housing")*Cap_Ln))</x:f>
        <x:v>10000</x:v>
      </x:c>
      <x:c r="M1278" s="10" t="n">
        <x:f>INDEX(v01_GroupCap,G1278)*v01_CohesionFactor*EXP(v01_CapsByProject*SUMPRODUCT((Cap_Point&lt;=I1278)*(Cap_Kind="Group")*Cap_Ln))</x:f>
        <x:v>1000000</x:v>
      </x:c>
      <x:c r="N1278" s="32" t="n">
        <x:f>MIN(J1278,L1278,M1278)</x:f>
        <x:v>6000</x:v>
      </x:c>
      <x:c r="O1278" s="10" t="n">
        <x:f>AE1277*N1278</x:f>
        <x:v>90000</x:v>
      </x:c>
      <x:c r="P1278" s="9" t="n">
        <x:f>MIN(1,(AB1277/(AE1277*IF(v01_GroupInCrowding=1,N1278,MIN(J1278,L1278))))^v01_CrowdingExp)</x:f>
        <x:v>0.0001511453760309551</x:v>
      </x:c>
      <x:c r="Q1278" s="9" t="n">
        <x:f>IF(D1278=1,INDEX(v01_WinterMult,G1278),1)</x:f>
        <x:v>1</x:v>
      </x:c>
      <x:c r="R1278" s="9" t="n">
        <x:f>H1278*Z1277*v01_WomenShare*v01_BaseFertility*INDEX(v01_FertMult,G1278)*Arch_Fertility*(1-P1278)</x:f>
        <x:v>196.4275627811102</x:v>
      </x:c>
      <x:c r="S1278" s="9" t="n">
        <x:f>H1278*Y1277*INDEX(v01_MortChild,G1278)/4*Q1278</x:f>
        <x:v>12.883628239883473</x:v>
      </x:c>
      <x:c r="T1278" s="9" t="n">
        <x:f>H1278*Z1277*INDEX(v01_MortAdult,G1278)*Arch_AdultMort/4*Q1278</x:f>
        <x:v>8.731433617200038</x:v>
      </x:c>
      <x:c r="U1278" s="9" t="n">
        <x:f>H1278*AA1277*INDEX(v01_MortElder,G1278)/4*Q1278</x:f>
        <x:v>30.19906545346189</x:v>
      </x:c>
      <x:c r="V1278" s="9" t="n">
        <x:f>H1278*MAX(0,AB1277-O1278)*v01_OvercapLoss</x:f>
        <x:v>0</x:v>
      </x:c>
      <x:c r="W1278" s="9" t="n">
        <x:f>H1278*Y1277/(v01_ChildYears*4)</x:f>
        <x:v>153.37652666527944</x:v>
      </x:c>
      <x:c r="X1278" s="9" t="n">
        <x:f>H1278*Z1277/(v01_AdultYears*4)</x:f>
        <x:v>70.41478723548417</x:v>
      </x:c>
      <x:c r="Y1278" s="32" t="n">
        <x:f>Y1277+R1278-S1278-W1278-Y1277*V1278/AB1277</x:f>
        <x:v>8619.252901131595</x:v>
      </x:c>
      <x:c r="Z1278" s="32" t="n">
        <x:f>Z1277+W1278-X1278-T1278-Z1277*V1278/AB1277</x:f>
        <x:v>8805.663923012631</x:v>
      </x:c>
      <x:c r="AA1278" s="32" t="n">
        <x:f>AA1277+X1278-U1278-AA1277*V1278/AB1277</x:f>
        <x:v>3491.5374878919524</x:v>
      </x:c>
      <x:c r="AB1278" s="10" t="n">
        <x:f>Y1278+Z1278+AA1278</x:f>
        <x:v>20916.454312036178</x:v>
      </x:c>
      <x:c r="AC1278" s="8" t="n">
        <x:f>IF(AND(v01_WinterTrigger=1,D1278=1,AB1277/AE1277&gt;=K1278),1,0)</x:f>
        <x:v>0</x:v>
      </x:c>
      <x:c r="AD1278" s="8" t="n">
        <x:f>H1278*IF(AND(OR(AB1277/AE1277&gt;=v01_FissionTrigger*N1278,AC1278=1),AB1277/AE1277*v01_DaughterShare&gt;=v01_MinDaughter),MAX(1,ROUND(AE1277*v01_FissionRate,0)),0)</x:f>
        <x:v>0</x:v>
      </x:c>
      <x:c r="AE1278" s="8" t="n">
        <x:f>IF(H1278=1,MAX(1,MIN(INDEX(v01_Smax,G1278),AE1277+AD1278)),AE1277)</x:f>
        <x:v>15</x:v>
      </x:c>
      <x:c r="AF1278" s="8" t="n">
        <x:f>MAX(0,AE1278-AE1277)</x:f>
        <x:v>0</x:v>
      </x:c>
      <x:c r="AG1278" s="9" t="str">
        <x:f>IF(AF1278&gt;0,B1278,"")</x:f>
      </x:c>
      <x:c r="AH1278" s="9" t="n">
        <x:f>IF(F1278&gt;=1,1,(1+v01_LowTiesShare*(AE1278-1))/AE1278)</x:f>
        <x:v>1</x:v>
      </x:c>
      <x:c r="AI1278" s="32" t="n">
        <x:f>(Z1278+v01_ElderCommons*INDEX(LM_Elder,G1278)*AA1278)*AH1278</x:f>
        <x:v>21898.929502607454</x:v>
      </x:c>
      <x:c r="AJ1278" s="32" t="n">
        <x:f>H1278*v01_CommonsCoef*AI1278^v01_CommonsExp*INDEX(LM_Commons,G1278)</x:f>
        <x:v>8846.298607127606</x:v>
      </x:c>
      <x:c r="AK1278" s="32" t="n">
        <x:f>H1278*v01_RoleScale*Arch_Roles*(AE1278*(INDEX(v01_ElderRolePerSett,G1278)*v01_OutElder*INDEX(LM_Elder,G1278)+INDEX(v01_ShamanPerSett,G1278)*v01_OutShaman)+Z1278*(INDEX(v01_PriestShare,G1278)*v01_OutPriest+INDEX(v01_ScribeShare,G1278)*v01_OutScribe*INDEX(LM_Scribe,G1278)+INDEX(v01_ScholarShare,G1278)*v01_OutScholar*INDEX(LM_Scholar,G1278)+INDEX(v01_ResearcherShare,G1278)*v01_OutResearcher*INDEX(LM_Researcher,G1278)))</x:f>
        <x:v>2324.698037785885</x:v>
      </x:c>
      <x:c r="AL1278" s="32" t="n">
        <x:f>H1278*v01_RoleScale*Arch_Roles*AE1278*INDEX(v01_MonasteryPerSett,G1278)*v01_OutMonastery*INDEX(LM_Monastery,G1278)</x:f>
        <x:v>6.6000000000000005</x:v>
      </x:c>
      <x:c r="AM1278" s="32" t="n">
        <x:f>(AJ1278+AK1278+AL1278)/4*INDEX(LM_All,G1278)*INDEX(v01_Boon,G1278)*Arch_Insight</x:f>
        <x:v>8053.3630945062905</x:v>
      </x:c>
      <x:c r="AN1278" s="32" t="n">
        <x:f>H1278*(v01_KHPerAdult*Z1278+v01_KHOfCommons*AJ1278/4*INDEX(LM_All,G1278))*v01_KHUsable*Arch_KH</x:f>
        <x:v>308.1982373054421</x:v>
      </x:c>
      <x:c r="AO1278" s="32" t="n">
        <x:f>MIN(AP1277+AN1278,AM1278*v01_KHMaxRatio)</x:f>
        <x:v>308.1982373054421</x:v>
      </x:c>
      <x:c r="AP1278" s="32" t="n">
        <x:f>AP1277+AN1278-AO1278</x:f>
        <x:v>0</x:v>
      </x:c>
      <x:c r="AQ1278" s="32" t="n">
        <x:f>AM1278+AO1278</x:f>
        <x:v>8361.561331811732</x:v>
      </x:c>
      <x:c r="AR1278" s="10" t="n">
        <x:f>IF(H1278=1,INDEX(v01_Req,G1278),0)</x:f>
        <x:v>743165.805333726</x:v>
      </x:c>
      <x:c r="AS1278" s="32" t="n">
        <x:f>IF(H1278=1,IF(E1278=1,AS1277-AR1277,AS1277)+AQ1278,0)</x:f>
        <x:v>36464.23883802278</x:v>
      </x:c>
      <x:c r="AT1278" s="11" t="n">
        <x:f>IF(AR1278&gt;0,MIN(1,AS1278/AR1278),1)</x:f>
        <x:v>0.049066088046998</x:v>
      </x:c>
      <x:c r="AU1278" s="10" t="n">
        <x:f>AB1278/INDEX(v01_RepScale,G1278)</x:f>
        <x:v>83.6658172481447</x:v>
      </x:c>
      <x:c r="AV1278" s="32" t="n">
        <x:f>AM1278*60/v01_SeasonSeconds</x:f>
        <x:v>32213.452378025162</x:v>
      </x:c>
    </x:row>
    <x:row r="1279">
      <x:c r="A1279" s="8" t="n">
        <x:f>A1278+1</x:f>
        <x:v>1276</x:v>
      </x:c>
      <x:c r="B1279" s="9" t="n">
        <x:f>A1279*v01_SeasonSeconds/60</x:f>
        <x:v>319</x:v>
      </x:c>
      <x:c r="C1279" s="9" t="n">
        <x:f>A1279/4</x:f>
        <x:v>319</x:v>
      </x:c>
      <x:c r="D1279" s="8" t="n">
        <x:f>IF(MOD(A1279,4)=0,1,0)</x:f>
        <x:v>1</x:v>
      </x:c>
      <x:c r="E1279" s="8" t="n">
        <x:f>IF(AND(F1278&lt;=9,AS1278&gt;=AR1278),1,0)</x:f>
        <x:v>0</x:v>
      </x:c>
      <x:c r="F1279" s="8" t="n">
        <x:f>MIN(10,F1278+E1279)</x:f>
        <x:v>8</x:v>
      </x:c>
      <x:c r="G1279" s="8" t="n">
        <x:f>MIN(F1279,9)+1</x:f>
        <x:v>9</x:v>
      </x:c>
      <x:c r="H1279" s="8" t="n">
        <x:f>IF(F1279&lt;=9,1,0)</x:f>
        <x:v>1</x:v>
      </x:c>
      <x:c r="I1279" s="9" t="n">
        <x:f>MIN(10,F1278+IF(AR1278&gt;0,MIN(1,AS1278/AR1278),1))</x:f>
        <x:v>8.049066088046999</x:v>
      </x:c>
      <x:c r="J1279" s="32" t="n">
        <x:f>INDEX(v01_FoodCap,G1279)*Arch_FoodCap*EXP(v01_CapsByProject*SUMPRODUCT((Cap_Point&lt;=I1279)*(Cap_Kind="Food")*Cap_Ln))</x:f>
        <x:v>6000</x:v>
      </x:c>
      <x:c r="K1279" s="32" t="n">
        <x:f>J1279*MIN(1,v01_LeanBase*EXP(v01_CapsByProject*SUMPRODUCT((Cap_Point&lt;=I1279)*(Cap_Kind="Lean")*Cap_Ln)))</x:f>
        <x:v>6000</x:v>
      </x:c>
      <x:c r="L1279" s="10" t="n">
        <x:f>INDEX(v01_HousingCap,G1279)*EXP(v01_CapsByProject*SUMPRODUCT((Cap_Point&lt;=I1279)*(Cap_Kind="Housing")*Cap_Ln))</x:f>
        <x:v>10000</x:v>
      </x:c>
      <x:c r="M1279" s="10" t="n">
        <x:f>INDEX(v01_GroupCap,G1279)*v01_CohesionFactor*EXP(v01_CapsByProject*SUMPRODUCT((Cap_Point&lt;=I1279)*(Cap_Kind="Group")*Cap_Ln))</x:f>
        <x:v>1000000</x:v>
      </x:c>
      <x:c r="N1279" s="32" t="n">
        <x:f>MIN(J1279,L1279,M1279)</x:f>
        <x:v>6000</x:v>
      </x:c>
      <x:c r="O1279" s="10" t="n">
        <x:f>AE1278*N1279</x:f>
        <x:v>90000</x:v>
      </x:c>
      <x:c r="P1279" s="9" t="n">
        <x:f>MIN(1,(AB1278/(AE1278*IF(v01_GroupInCrowding=1,N1279,MIN(J1279,L1279))))^v01_CrowdingExp)</x:f>
        <x:v>0.00015756992961137527</x:v>
      </x:c>
      <x:c r="Q1279" s="9" t="n">
        <x:f>IF(D1279=1,INDEX(v01_WinterMult,G1279),1)</x:f>
        <x:v>1</x:v>
      </x:c>
      <x:c r="R1279" s="9" t="n">
        <x:f>H1279*Z1278*v01_WomenShare*v01_BaseFertility*INDEX(v01_FertMult,G1279)*Arch_Fertility*(1-P1279)</x:f>
        <x:v>198.09621934128228</x:v>
      </x:c>
      <x:c r="S1279" s="9" t="n">
        <x:f>H1279*Y1278*INDEX(v01_MortChild,G1279)/4*Q1279</x:f>
        <x:v>12.928879351697391</x:v>
      </x:c>
      <x:c r="T1279" s="9" t="n">
        <x:f>H1279*Z1278*INDEX(v01_MortAdult,G1279)*Arch_AdultMort/4*Q1279</x:f>
        <x:v>8.80566392301263</x:v>
      </x:c>
      <x:c r="U1279" s="9" t="n">
        <x:f>H1279*AA1278*INDEX(v01_MortElder,G1279)/4*Q1279</x:f>
        <x:v>30.550953019054585</x:v>
      </x:c>
      <x:c r="V1279" s="9" t="n">
        <x:f>H1279*MAX(0,AB1278-O1279)*v01_OvercapLoss</x:f>
        <x:v>0</x:v>
      </x:c>
      <x:c r="W1279" s="9" t="n">
        <x:f>H1279*Y1278/(v01_ChildYears*4)</x:f>
        <x:v>153.9152303773499</x:v>
      </x:c>
      <x:c r="X1279" s="9" t="n">
        <x:f>H1279*Z1278/(v01_AdultYears*4)</x:f>
        <x:v>71.01341873397283</x:v>
      </x:c>
      <x:c r="Y1279" s="32" t="n">
        <x:f>Y1278+R1279-S1279-W1279-Y1278*V1279/AB1278</x:f>
        <x:v>8650.50501074383</x:v>
      </x:c>
      <x:c r="Z1279" s="32" t="n">
        <x:f>Z1278+W1279-X1279-T1279-Z1278*V1279/AB1278</x:f>
        <x:v>8879.760070732995</x:v>
      </x:c>
      <x:c r="AA1279" s="32" t="n">
        <x:f>AA1278+X1279-U1279-AA1278*V1279/AB1278</x:f>
        <x:v>3531.9999536068703</x:v>
      </x:c>
      <x:c r="AB1279" s="10" t="n">
        <x:f>Y1279+Z1279+AA1279</x:f>
        <x:v>21062.265035083696</x:v>
      </x:c>
      <x:c r="AC1279" s="8" t="n">
        <x:f>IF(AND(v01_WinterTrigger=1,D1279=1,AB1278/AE1278&gt;=K1279),1,0)</x:f>
        <x:v>0</x:v>
      </x:c>
      <x:c r="AD1279" s="8" t="n">
        <x:f>H1279*IF(AND(OR(AB1278/AE1278&gt;=v01_FissionTrigger*N1279,AC1279=1),AB1278/AE1278*v01_DaughterShare&gt;=v01_MinDaughter),MAX(1,ROUND(AE1278*v01_FissionRate,0)),0)</x:f>
        <x:v>0</x:v>
      </x:c>
      <x:c r="AE1279" s="8" t="n">
        <x:f>IF(H1279=1,MAX(1,MIN(INDEX(v01_Smax,G1279),AE1278+AD1279)),AE1278)</x:f>
        <x:v>15</x:v>
      </x:c>
      <x:c r="AF1279" s="8" t="n">
        <x:f>MAX(0,AE1279-AE1278)</x:f>
        <x:v>0</x:v>
      </x:c>
      <x:c r="AG1279" s="9" t="str">
        <x:f>IF(AF1279&gt;0,B1279,"")</x:f>
      </x:c>
      <x:c r="AH1279" s="9" t="n">
        <x:f>IF(F1279&gt;=1,1,(1+v01_LowTiesShare*(AE1279-1))/AE1279)</x:f>
        <x:v>1</x:v>
      </x:c>
      <x:c r="AI1279" s="32" t="n">
        <x:f>(Z1279+v01_ElderCommons*INDEX(LM_Elder,G1279)*AA1279)*AH1279</x:f>
        <x:v>22124.75989675876</x:v>
      </x:c>
      <x:c r="AJ1279" s="32" t="n">
        <x:f>H1279*v01_CommonsCoef*AI1279^v01_CommonsExp*INDEX(LM_Commons,G1279)</x:f>
        <x:v>8923.781410082815</x:v>
      </x:c>
      <x:c r="AK1279" s="32" t="n">
        <x:f>H1279*v01_RoleScale*Arch_Roles*(AE1279*(INDEX(v01_ElderRolePerSett,G1279)*v01_OutElder*INDEX(LM_Elder,G1279)+INDEX(v01_ShamanPerSett,G1279)*v01_OutShaman)+Z1279*(INDEX(v01_PriestShare,G1279)*v01_OutPriest+INDEX(v01_ScribeShare,G1279)*v01_OutScribe*INDEX(LM_Scribe,G1279)+INDEX(v01_ScholarShare,G1279)*v01_OutScholar*INDEX(LM_Scholar,G1279)+INDEX(v01_ResearcherShare,G1279)*v01_OutResearcher*INDEX(LM_Researcher,G1279)))</x:f>
        <x:v>2343.833454854702</x:v>
      </x:c>
      <x:c r="AL1279" s="32" t="n">
        <x:f>H1279*v01_RoleScale*Arch_Roles*AE1279*INDEX(v01_MonasteryPerSett,G1279)*v01_OutMonastery*INDEX(LM_Monastery,G1279)</x:f>
        <x:v>6.6000000000000005</x:v>
      </x:c>
      <x:c r="AM1279" s="32" t="n">
        <x:f>(AJ1279+AK1279+AL1279)/4*INDEX(LM_All,G1279)*INDEX(v01_Boon,G1279)*Arch_Insight</x:f>
        <x:v>8122.9756983706875</x:v>
      </x:c>
      <x:c r="AN1279" s="32" t="n">
        <x:f>H1279*(v01_KHPerAdult*Z1279+v01_KHOfCommons*AJ1279/4*INDEX(LM_All,G1279))*v01_KHUsable*Arch_KH</x:f>
        <x:v>310.7916024756548</x:v>
      </x:c>
      <x:c r="AO1279" s="32" t="n">
        <x:f>MIN(AP1278+AN1279,AM1279*v01_KHMaxRatio)</x:f>
        <x:v>310.7916024756548</x:v>
      </x:c>
      <x:c r="AP1279" s="32" t="n">
        <x:f>AP1278+AN1279-AO1279</x:f>
        <x:v>0</x:v>
      </x:c>
      <x:c r="AQ1279" s="32" t="n">
        <x:f>AM1279+AO1279</x:f>
        <x:v>8433.767300846343</x:v>
      </x:c>
      <x:c r="AR1279" s="10" t="n">
        <x:f>IF(H1279=1,INDEX(v01_Req,G1279),0)</x:f>
        <x:v>743165.805333726</x:v>
      </x:c>
      <x:c r="AS1279" s="32" t="n">
        <x:f>IF(H1279=1,IF(E1279=1,AS1278-AR1278,AS1278)+AQ1279,0)</x:f>
        <x:v>44898.006138869125</x:v>
      </x:c>
      <x:c r="AT1279" s="11" t="n">
        <x:f>IF(AR1279&gt;0,MIN(1,AS1279/AR1279),1)</x:f>
        <x:v>0.060414520981232754</x:v>
      </x:c>
      <x:c r="AU1279" s="10" t="n">
        <x:f>AB1279/INDEX(v01_RepScale,G1279)</x:f>
        <x:v>84.24906014033478</x:v>
      </x:c>
      <x:c r="AV1279" s="32" t="n">
        <x:f>AM1279*60/v01_SeasonSeconds</x:f>
        <x:v>32491.90279348275</x:v>
      </x:c>
    </x:row>
    <x:row r="1280">
      <x:c r="A1280" s="8" t="n">
        <x:f>A1279+1</x:f>
        <x:v>1277</x:v>
      </x:c>
      <x:c r="B1280" s="9" t="n">
        <x:f>A1280*v01_SeasonSeconds/60</x:f>
        <x:v>319.25</x:v>
      </x:c>
      <x:c r="C1280" s="9" t="n">
        <x:f>A1280/4</x:f>
        <x:v>319.25</x:v>
      </x:c>
      <x:c r="D1280" s="8" t="n">
        <x:f>IF(MOD(A1280,4)=0,1,0)</x:f>
        <x:v>0</x:v>
      </x:c>
      <x:c r="E1280" s="8" t="n">
        <x:f>IF(AND(F1279&lt;=9,AS1279&gt;=AR1279),1,0)</x:f>
        <x:v>0</x:v>
      </x:c>
      <x:c r="F1280" s="8" t="n">
        <x:f>MIN(10,F1279+E1280)</x:f>
        <x:v>8</x:v>
      </x:c>
      <x:c r="G1280" s="8" t="n">
        <x:f>MIN(F1280,9)+1</x:f>
        <x:v>9</x:v>
      </x:c>
      <x:c r="H1280" s="8" t="n">
        <x:f>IF(F1280&lt;=9,1,0)</x:f>
        <x:v>1</x:v>
      </x:c>
      <x:c r="I1280" s="9" t="n">
        <x:f>MIN(10,F1279+IF(AR1279&gt;0,MIN(1,AS1279/AR1279),1))</x:f>
        <x:v>8.060414520981233</x:v>
      </x:c>
      <x:c r="J1280" s="32" t="n">
        <x:f>INDEX(v01_FoodCap,G1280)*Arch_FoodCap*EXP(v01_CapsByProject*SUMPRODUCT((Cap_Point&lt;=I1280)*(Cap_Kind="Food")*Cap_Ln))</x:f>
        <x:v>6000</x:v>
      </x:c>
      <x:c r="K1280" s="32" t="n">
        <x:f>J1280*MIN(1,v01_LeanBase*EXP(v01_CapsByProject*SUMPRODUCT((Cap_Point&lt;=I1280)*(Cap_Kind="Lean")*Cap_Ln)))</x:f>
        <x:v>6000</x:v>
      </x:c>
      <x:c r="L1280" s="10" t="n">
        <x:f>INDEX(v01_HousingCap,G1280)*EXP(v01_CapsByProject*SUMPRODUCT((Cap_Point&lt;=I1280)*(Cap_Kind="Housing")*Cap_Ln))</x:f>
        <x:v>10000</x:v>
      </x:c>
      <x:c r="M1280" s="10" t="n">
        <x:f>INDEX(v01_GroupCap,G1280)*v01_CohesionFactor*EXP(v01_CapsByProject*SUMPRODUCT((Cap_Point&lt;=I1280)*(Cap_Kind="Group")*Cap_Ln))</x:f>
        <x:v>1000000</x:v>
      </x:c>
      <x:c r="N1280" s="32" t="n">
        <x:f>MIN(J1280,L1280,M1280)</x:f>
        <x:v>6000</x:v>
      </x:c>
      <x:c r="O1280" s="10" t="n">
        <x:f>AE1279*N1280</x:f>
        <x:v>90000</x:v>
      </x:c>
      <x:c r="P1280" s="9" t="n">
        <x:f>MIN(1,(AB1279/(AE1279*IF(v01_GroupInCrowding=1,N1280,MIN(J1280,L1280))))^v01_CrowdingExp)</x:f>
        <x:v>0.000164276478132546</x:v>
      </x:c>
      <x:c r="Q1280" s="9" t="n">
        <x:f>IF(D1280=1,INDEX(v01_WinterMult,G1280),1)</x:f>
        <x:v>1</x:v>
      </x:c>
      <x:c r="R1280" s="9" t="n">
        <x:f>H1280*Z1279*v01_WomenShare*v01_BaseFertility*INDEX(v01_FertMult,G1280)*Arch_Fertility*(1-P1280)</x:f>
        <x:v>199.76178003799302</x:v>
      </x:c>
      <x:c r="S1280" s="9" t="n">
        <x:f>H1280*Y1279*INDEX(v01_MortChild,G1280)/4*Q1280</x:f>
        <x:v>12.975757516115744</x:v>
      </x:c>
      <x:c r="T1280" s="9" t="n">
        <x:f>H1280*Z1279*INDEX(v01_MortAdult,G1280)*Arch_AdultMort/4*Q1280</x:f>
        <x:v>8.879760070732996</x:v>
      </x:c>
      <x:c r="U1280" s="9" t="n">
        <x:f>H1280*AA1279*INDEX(v01_MortElder,G1280)/4*Q1280</x:f>
        <x:v>30.90499959406012</x:v>
      </x:c>
      <x:c r="V1280" s="9" t="n">
        <x:f>H1280*MAX(0,AB1279-O1280)*v01_OvercapLoss</x:f>
        <x:v>0</x:v>
      </x:c>
      <x:c r="W1280" s="9" t="n">
        <x:f>H1280*Y1279/(v01_ChildYears*4)</x:f>
        <x:v>154.47330376328267</x:v>
      </x:c>
      <x:c r="X1280" s="9" t="n">
        <x:f>H1280*Z1279/(v01_AdultYears*4)</x:f>
        <x:v>71.61096831236286</x:v>
      </x:c>
      <x:c r="Y1280" s="32" t="n">
        <x:f>Y1279+R1280-S1280-W1280-Y1279*V1280/AB1279</x:f>
        <x:v>8682.817729502422</x:v>
      </x:c>
      <x:c r="Z1280" s="32" t="n">
        <x:f>Z1279+W1280-X1280-T1280-Z1279*V1280/AB1279</x:f>
        <x:v>8953.742646113182</x:v>
      </x:c>
      <x:c r="AA1280" s="32" t="n">
        <x:f>AA1279+X1280-U1280-AA1279*V1280/AB1279</x:f>
        <x:v>3572.705922325173</x:v>
      </x:c>
      <x:c r="AB1280" s="10" t="n">
        <x:f>Y1280+Z1280+AA1280</x:f>
        <x:v>21209.26629794078</x:v>
      </x:c>
      <x:c r="AC1280" s="8" t="n">
        <x:f>IF(AND(v01_WinterTrigger=1,D1280=1,AB1279/AE1279&gt;=K1280),1,0)</x:f>
        <x:v>0</x:v>
      </x:c>
      <x:c r="AD1280" s="8" t="n">
        <x:f>H1280*IF(AND(OR(AB1279/AE1279&gt;=v01_FissionTrigger*N1280,AC1280=1),AB1279/AE1279*v01_DaughterShare&gt;=v01_MinDaughter),MAX(1,ROUND(AE1279*v01_FissionRate,0)),0)</x:f>
        <x:v>0</x:v>
      </x:c>
      <x:c r="AE1280" s="8" t="n">
        <x:f>IF(H1280=1,MAX(1,MIN(INDEX(v01_Smax,G1280),AE1279+AD1280)),AE1279)</x:f>
        <x:v>15</x:v>
      </x:c>
      <x:c r="AF1280" s="8" t="n">
        <x:f>MAX(0,AE1280-AE1279)</x:f>
        <x:v>0</x:v>
      </x:c>
      <x:c r="AG1280" s="9" t="str">
        <x:f>IF(AF1280&gt;0,B1280,"")</x:f>
      </x:c>
      <x:c r="AH1280" s="9" t="n">
        <x:f>IF(F1280&gt;=1,1,(1+v01_LowTiesShare*(AE1280-1))/AE1280)</x:f>
        <x:v>1</x:v>
      </x:c>
      <x:c r="AI1280" s="32" t="n">
        <x:f>(Z1280+v01_ElderCommons*INDEX(LM_Elder,G1280)*AA1280)*AH1280</x:f>
        <x:v>22351.38985483258</x:v>
      </x:c>
      <x:c r="AJ1280" s="32" t="n">
        <x:f>H1280*v01_CommonsCoef*AI1280^v01_CommonsExp*INDEX(LM_Commons,G1280)</x:f>
        <x:v>9001.419373108416</x:v>
      </x:c>
      <x:c r="AK1280" s="32" t="n">
        <x:f>H1280*v01_RoleScale*Arch_Roles*(AE1280*(INDEX(v01_ElderRolePerSett,G1280)*v01_OutElder*INDEX(LM_Elder,G1280)+INDEX(v01_ShamanPerSett,G1280)*v01_OutShaman)+Z1280*(INDEX(v01_PriestShare,G1280)*v01_OutPriest+INDEX(v01_ScribeShare,G1280)*v01_OutScribe*INDEX(LM_Scribe,G1280)+INDEX(v01_ScholarShare,G1280)*v01_OutScholar*INDEX(LM_Scholar,G1280)+INDEX(v01_ResearcherShare,G1280)*v01_OutResearcher*INDEX(LM_Researcher,G1280)))</x:f>
        <x:v>2362.9395417334395</x:v>
      </x:c>
      <x:c r="AL1280" s="32" t="n">
        <x:f>H1280*v01_RoleScale*Arch_Roles*AE1280*INDEX(v01_MonasteryPerSett,G1280)*v01_OutMonastery*INDEX(LM_Monastery,G1280)</x:f>
        <x:v>6.6000000000000005</x:v>
      </x:c>
      <x:c r="AM1280" s="32" t="n">
        <x:f>(AJ1280+AK1280+AL1280)/4*INDEX(LM_All,G1280)*INDEX(v01_Boon,G1280)*Arch_Insight</x:f>
        <x:v>8192.67896159116</x:v>
      </x:c>
      <x:c r="AN1280" s="32" t="n">
        <x:f>H1280*(v01_KHPerAdult*Z1280+v01_KHOfCommons*AJ1280/4*INDEX(LM_All,G1280))*v01_KHUsable*Arch_KH</x:f>
        <x:v>313.3809926139614</x:v>
      </x:c>
      <x:c r="AO1280" s="32" t="n">
        <x:f>MIN(AP1279+AN1280,AM1280*v01_KHMaxRatio)</x:f>
        <x:v>313.3809926139614</x:v>
      </x:c>
      <x:c r="AP1280" s="32" t="n">
        <x:f>AP1279+AN1280-AO1280</x:f>
        <x:v>0</x:v>
      </x:c>
      <x:c r="AQ1280" s="32" t="n">
        <x:f>AM1280+AO1280</x:f>
        <x:v>8506.059954205122</x:v>
      </x:c>
      <x:c r="AR1280" s="10" t="n">
        <x:f>IF(H1280=1,INDEX(v01_Req,G1280),0)</x:f>
        <x:v>743165.805333726</x:v>
      </x:c>
      <x:c r="AS1280" s="32" t="n">
        <x:f>IF(H1280=1,IF(E1280=1,AS1279-AR1279,AS1279)+AQ1280,0)</x:f>
        <x:v>53404.066093074245</x:v>
      </x:c>
      <x:c r="AT1280" s="11" t="n">
        <x:f>IF(AR1280&gt;0,MIN(1,AS1280/AR1280),1)</x:f>
        <x:v>0.07186023052970342</x:v>
      </x:c>
      <x:c r="AU1280" s="10" t="n">
        <x:f>AB1280/INDEX(v01_RepScale,G1280)</x:f>
        <x:v>84.83706519176312</x:v>
      </x:c>
      <x:c r="AV1280" s="32" t="n">
        <x:f>AM1280*60/v01_SeasonSeconds</x:f>
        <x:v>32770.71584636464</x:v>
      </x:c>
    </x:row>
    <x:row r="1281">
      <x:c r="A1281" s="8" t="n">
        <x:f>A1280+1</x:f>
        <x:v>1278</x:v>
      </x:c>
      <x:c r="B1281" s="9" t="n">
        <x:f>A1281*v01_SeasonSeconds/60</x:f>
        <x:v>319.5</x:v>
      </x:c>
      <x:c r="C1281" s="9" t="n">
        <x:f>A1281/4</x:f>
        <x:v>319.5</x:v>
      </x:c>
      <x:c r="D1281" s="8" t="n">
        <x:f>IF(MOD(A1281,4)=0,1,0)</x:f>
        <x:v>0</x:v>
      </x:c>
      <x:c r="E1281" s="8" t="n">
        <x:f>IF(AND(F1280&lt;=9,AS1280&gt;=AR1280),1,0)</x:f>
        <x:v>0</x:v>
      </x:c>
      <x:c r="F1281" s="8" t="n">
        <x:f>MIN(10,F1280+E1281)</x:f>
        <x:v>8</x:v>
      </x:c>
      <x:c r="G1281" s="8" t="n">
        <x:f>MIN(F1281,9)+1</x:f>
        <x:v>9</x:v>
      </x:c>
      <x:c r="H1281" s="8" t="n">
        <x:f>IF(F1281&lt;=9,1,0)</x:f>
        <x:v>1</x:v>
      </x:c>
      <x:c r="I1281" s="9" t="n">
        <x:f>MIN(10,F1280+IF(AR1280&gt;0,MIN(1,AS1280/AR1280),1))</x:f>
        <x:v>8.071860230529703</x:v>
      </x:c>
      <x:c r="J1281" s="32" t="n">
        <x:f>INDEX(v01_FoodCap,G1281)*Arch_FoodCap*EXP(v01_CapsByProject*SUMPRODUCT((Cap_Point&lt;=I1281)*(Cap_Kind="Food")*Cap_Ln))</x:f>
        <x:v>6000</x:v>
      </x:c>
      <x:c r="K1281" s="32" t="n">
        <x:f>J1281*MIN(1,v01_LeanBase*EXP(v01_CapsByProject*SUMPRODUCT((Cap_Point&lt;=I1281)*(Cap_Kind="Lean")*Cap_Ln)))</x:f>
        <x:v>6000</x:v>
      </x:c>
      <x:c r="L1281" s="10" t="n">
        <x:f>INDEX(v01_HousingCap,G1281)*EXP(v01_CapsByProject*SUMPRODUCT((Cap_Point&lt;=I1281)*(Cap_Kind="Housing")*Cap_Ln))</x:f>
        <x:v>10000</x:v>
      </x:c>
      <x:c r="M1281" s="10" t="n">
        <x:f>INDEX(v01_GroupCap,G1281)*v01_CohesionFactor*EXP(v01_CapsByProject*SUMPRODUCT((Cap_Point&lt;=I1281)*(Cap_Kind="Group")*Cap_Ln))</x:f>
        <x:v>1000000</x:v>
      </x:c>
      <x:c r="N1281" s="32" t="n">
        <x:f>MIN(J1281,L1281,M1281)</x:f>
        <x:v>6000</x:v>
      </x:c>
      <x:c r="O1281" s="10" t="n">
        <x:f>AE1280*N1281</x:f>
        <x:v>90000</x:v>
      </x:c>
      <x:c r="P1281" s="9" t="n">
        <x:f>MIN(1,(AB1280/(AE1280*IF(v01_GroupInCrowding=1,N1281,MIN(J1281,L1281))))^v01_CrowdingExp)</x:f>
        <x:v>0.00017127690772976808</x:v>
      </x:c>
      <x:c r="Q1281" s="9" t="n">
        <x:f>IF(D1281=1,INDEX(v01_WinterMult,G1281),1)</x:f>
        <x:v>1</x:v>
      </x:c>
      <x:c r="R1281" s="9" t="n">
        <x:f>H1281*Z1280*v01_WomenShare*v01_BaseFertility*INDEX(v01_FertMult,G1281)*Arch_Fertility*(1-P1281)</x:f>
        <x:v>201.42470422710332</x:v>
      </x:c>
      <x:c r="S1281" s="9" t="n">
        <x:f>H1281*Y1280*INDEX(v01_MortChild,G1281)/4*Q1281</x:f>
        <x:v>13.024226594253633</x:v>
      </x:c>
      <x:c r="T1281" s="9" t="n">
        <x:f>H1281*Z1280*INDEX(v01_MortAdult,G1281)*Arch_AdultMort/4*Q1281</x:f>
        <x:v>8.953742646113183</x:v>
      </x:c>
      <x:c r="U1281" s="9" t="n">
        <x:f>H1281*AA1280*INDEX(v01_MortElder,G1281)/4*Q1281</x:f>
        <x:v>31.261176820345266</x:v>
      </x:c>
      <x:c r="V1281" s="9" t="n">
        <x:f>H1281*MAX(0,AB1280-O1281)*v01_OvercapLoss</x:f>
        <x:v>0</x:v>
      </x:c>
      <x:c r="W1281" s="9" t="n">
        <x:f>H1281*Y1280/(v01_ChildYears*4)</x:f>
        <x:v>155.05031659825752</x:v>
      </x:c>
      <x:c r="X1281" s="9" t="n">
        <x:f>H1281*Z1280/(v01_AdultYears*4)</x:f>
        <x:v>72.20760198478372</x:v>
      </x:c>
      <x:c r="Y1281" s="32" t="n">
        <x:f>Y1280+R1281-S1281-W1281-Y1280*V1281/AB1280</x:f>
        <x:v>8716.167890537014</x:v>
      </x:c>
      <x:c r="Z1281" s="32" t="n">
        <x:f>Z1280+W1281-X1281-T1281-Z1280*V1281/AB1280</x:f>
        <x:v>9027.63161808054</x:v>
      </x:c>
      <x:c r="AA1281" s="32" t="n">
        <x:f>AA1280+X1281-U1281-AA1280*V1281/AB1280</x:f>
        <x:v>3613.6523474896117</x:v>
      </x:c>
      <x:c r="AB1281" s="10" t="n">
        <x:f>Y1281+Z1281+AA1281</x:f>
        <x:v>21357.451856107167</x:v>
      </x:c>
      <x:c r="AC1281" s="8" t="n">
        <x:f>IF(AND(v01_WinterTrigger=1,D1281=1,AB1280/AE1280&gt;=K1281),1,0)</x:f>
        <x:v>0</x:v>
      </x:c>
      <x:c r="AD1281" s="8" t="n">
        <x:f>H1281*IF(AND(OR(AB1280/AE1280&gt;=v01_FissionTrigger*N1281,AC1281=1),AB1280/AE1280*v01_DaughterShare&gt;=v01_MinDaughter),MAX(1,ROUND(AE1280*v01_FissionRate,0)),0)</x:f>
        <x:v>0</x:v>
      </x:c>
      <x:c r="AE1281" s="8" t="n">
        <x:f>IF(H1281=1,MAX(1,MIN(INDEX(v01_Smax,G1281),AE1280+AD1281)),AE1280)</x:f>
        <x:v>15</x:v>
      </x:c>
      <x:c r="AF1281" s="8" t="n">
        <x:f>MAX(0,AE1281-AE1280)</x:f>
        <x:v>0</x:v>
      </x:c>
      <x:c r="AG1281" s="9" t="str">
        <x:f>IF(AF1281&gt;0,B1281,"")</x:f>
      </x:c>
      <x:c r="AH1281" s="9" t="n">
        <x:f>IF(F1281&gt;=1,1,(1+v01_LowTiesShare*(AE1281-1))/AE1281)</x:f>
        <x:v>1</x:v>
      </x:c>
      <x:c r="AI1281" s="32" t="n">
        <x:f>(Z1281+v01_ElderCommons*INDEX(LM_Elder,G1281)*AA1281)*AH1281</x:f>
        <x:v>22578.827921166587</x:v>
      </x:c>
      <x:c r="AJ1281" s="32" t="n">
        <x:f>H1281*v01_CommonsCoef*AI1281^v01_CommonsExp*INDEX(LM_Commons,G1281)</x:f>
        <x:v>9079.2155514156</x:v>
      </x:c>
      <x:c r="AK1281" s="32" t="n">
        <x:f>H1281*v01_RoleScale*Arch_Roles*(AE1281*(INDEX(v01_ElderRolePerSett,G1281)*v01_OutElder*INDEX(LM_Elder,G1281)+INDEX(v01_ShamanPerSett,G1281)*v01_OutShaman)+Z1281*(INDEX(v01_PriestShare,G1281)*v01_OutPriest+INDEX(v01_ScribeShare,G1281)*v01_OutScribe*INDEX(LM_Scribe,G1281)+INDEX(v01_ScholarShare,G1281)*v01_OutScholar*INDEX(LM_Scholar,G1281)+INDEX(v01_ResearcherShare,G1281)*v01_OutResearcher*INDEX(LM_Researcher,G1281)))</x:f>
        <x:v>2382.0214554210106</x:v>
      </x:c>
      <x:c r="AL1281" s="32" t="n">
        <x:f>H1281*v01_RoleScale*Arch_Roles*AE1281*INDEX(v01_MonasteryPerSett,G1281)*v01_OutMonastery*INDEX(LM_Monastery,G1281)</x:f>
        <x:v>6.6000000000000005</x:v>
      </x:c>
      <x:c r="AM1281" s="32" t="n">
        <x:f>(AJ1281+AK1281+AL1281)/4*INDEX(LM_All,G1281)*INDEX(v01_Boon,G1281)*Arch_Insight</x:f>
        <x:v>8262.478800995079</x:v>
      </x:c>
      <x:c r="AN1281" s="32" t="n">
        <x:f>H1281*(v01_KHPerAdult*Z1281+v01_KHOfCommons*AJ1281/4*INDEX(LM_All,G1281))*v01_KHUsable*Arch_KH</x:f>
        <x:v>315.9671066328189</x:v>
      </x:c>
      <x:c r="AO1281" s="32" t="n">
        <x:f>MIN(AP1280+AN1281,AM1281*v01_KHMaxRatio)</x:f>
        <x:v>315.9671066328189</x:v>
      </x:c>
      <x:c r="AP1281" s="32" t="n">
        <x:f>AP1280+AN1281-AO1281</x:f>
        <x:v>0</x:v>
      </x:c>
      <x:c r="AQ1281" s="32" t="n">
        <x:f>AM1281+AO1281</x:f>
        <x:v>8578.445907627898</x:v>
      </x:c>
      <x:c r="AR1281" s="10" t="n">
        <x:f>IF(H1281=1,INDEX(v01_Req,G1281),0)</x:f>
        <x:v>743165.805333726</x:v>
      </x:c>
      <x:c r="AS1281" s="32" t="n">
        <x:f>IF(H1281=1,IF(E1281=1,AS1280-AR1280,AS1280)+AQ1281,0)</x:f>
        <x:v>61982.51200070215</x:v>
      </x:c>
      <x:c r="AT1281" s="11" t="n">
        <x:f>IF(AR1281&gt;0,MIN(1,AS1281/AR1281),1)</x:f>
        <x:v>0.08340334223648554</x:v>
      </x:c>
      <x:c r="AU1281" s="10" t="n">
        <x:f>AB1281/INDEX(v01_RepScale,G1281)</x:f>
        <x:v>85.42980742442867</x:v>
      </x:c>
      <x:c r="AV1281" s="32" t="n">
        <x:f>AM1281*60/v01_SeasonSeconds</x:f>
        <x:v>33049.915203980316</x:v>
      </x:c>
    </x:row>
    <x:row r="1282">
      <x:c r="A1282" s="8" t="n">
        <x:f>A1281+1</x:f>
        <x:v>1279</x:v>
      </x:c>
      <x:c r="B1282" s="9" t="n">
        <x:f>A1282*v01_SeasonSeconds/60</x:f>
        <x:v>319.75</x:v>
      </x:c>
      <x:c r="C1282" s="9" t="n">
        <x:f>A1282/4</x:f>
        <x:v>319.75</x:v>
      </x:c>
      <x:c r="D1282" s="8" t="n">
        <x:f>IF(MOD(A1282,4)=0,1,0)</x:f>
        <x:v>0</x:v>
      </x:c>
      <x:c r="E1282" s="8" t="n">
        <x:f>IF(AND(F1281&lt;=9,AS1281&gt;=AR1281),1,0)</x:f>
        <x:v>0</x:v>
      </x:c>
      <x:c r="F1282" s="8" t="n">
        <x:f>MIN(10,F1281+E1282)</x:f>
        <x:v>8</x:v>
      </x:c>
      <x:c r="G1282" s="8" t="n">
        <x:f>MIN(F1282,9)+1</x:f>
        <x:v>9</x:v>
      </x:c>
      <x:c r="H1282" s="8" t="n">
        <x:f>IF(F1282&lt;=9,1,0)</x:f>
        <x:v>1</x:v>
      </x:c>
      <x:c r="I1282" s="9" t="n">
        <x:f>MIN(10,F1281+IF(AR1281&gt;0,MIN(1,AS1281/AR1281),1))</x:f>
        <x:v>8.083403342236485</x:v>
      </x:c>
      <x:c r="J1282" s="32" t="n">
        <x:f>INDEX(v01_FoodCap,G1282)*Arch_FoodCap*EXP(v01_CapsByProject*SUMPRODUCT((Cap_Point&lt;=I1282)*(Cap_Kind="Food")*Cap_Ln))</x:f>
        <x:v>6000</x:v>
      </x:c>
      <x:c r="K1282" s="32" t="n">
        <x:f>J1282*MIN(1,v01_LeanBase*EXP(v01_CapsByProject*SUMPRODUCT((Cap_Point&lt;=I1282)*(Cap_Kind="Lean")*Cap_Ln)))</x:f>
        <x:v>6000</x:v>
      </x:c>
      <x:c r="L1282" s="10" t="n">
        <x:f>INDEX(v01_HousingCap,G1282)*EXP(v01_CapsByProject*SUMPRODUCT((Cap_Point&lt;=I1282)*(Cap_Kind="Housing")*Cap_Ln))</x:f>
        <x:v>10000</x:v>
      </x:c>
      <x:c r="M1282" s="10" t="n">
        <x:f>INDEX(v01_GroupCap,G1282)*v01_CohesionFactor*EXP(v01_CapsByProject*SUMPRODUCT((Cap_Point&lt;=I1282)*(Cap_Kind="Group")*Cap_Ln))</x:f>
        <x:v>1000000</x:v>
      </x:c>
      <x:c r="N1282" s="32" t="n">
        <x:f>MIN(J1282,L1282,M1282)</x:f>
        <x:v>6000</x:v>
      </x:c>
      <x:c r="O1282" s="10" t="n">
        <x:f>AE1281*N1282</x:f>
        <x:v>90000</x:v>
      </x:c>
      <x:c r="P1282" s="9" t="n">
        <x:f>MIN(1,(AB1281/(AE1281*IF(v01_GroupInCrowding=1,N1282,MIN(J1282,L1282))))^v01_CrowdingExp)</x:f>
        <x:v>0.00017858359431436457</x:v>
      </x:c>
      <x:c r="Q1282" s="9" t="n">
        <x:f>IF(D1282=1,INDEX(v01_WinterMult,G1282),1)</x:f>
        <x:v>1</x:v>
      </x:c>
      <x:c r="R1282" s="9" t="n">
        <x:f>H1282*Z1281*v01_WomenShare*v01_BaseFertility*INDEX(v01_FertMult,G1282)*Arch_Fertility*(1-P1282)</x:f>
        <x:v>203.08543720150584</x:v>
      </x:c>
      <x:c r="S1282" s="9" t="n">
        <x:f>H1282*Y1281*INDEX(v01_MortChild,G1282)/4*Q1282</x:f>
        <x:v>13.074251835805521</x:v>
      </x:c>
      <x:c r="T1282" s="9" t="n">
        <x:f>H1282*Z1281*INDEX(v01_MortAdult,G1282)*Arch_AdultMort/4*Q1282</x:f>
        <x:v>9.027631618080541</x:v>
      </x:c>
      <x:c r="U1282" s="9" t="n">
        <x:f>H1282*AA1281*INDEX(v01_MortElder,G1282)/4*Q1282</x:f>
        <x:v>31.619458040534106</x:v>
      </x:c>
      <x:c r="V1282" s="9" t="n">
        <x:f>H1282*MAX(0,AB1281-O1282)*v01_OvercapLoss</x:f>
        <x:v>0</x:v>
      </x:c>
      <x:c r="W1282" s="9" t="n">
        <x:f>H1282*Y1281/(v01_ChildYears*4)</x:f>
        <x:v>155.64585518816097</x:v>
      </x:c>
      <x:c r="X1282" s="9" t="n">
        <x:f>H1282*Z1281/(v01_AdultYears*4)</x:f>
        <x:v>72.8034807909721</x:v>
      </x:c>
      <x:c r="Y1282" s="32" t="n">
        <x:f>Y1281+R1282-S1282-W1282-Y1281*V1282/AB1281</x:f>
        <x:v>8750.533220714553</x:v>
      </x:c>
      <x:c r="Z1282" s="32" t="n">
        <x:f>Z1281+W1282-X1282-T1282-Z1281*V1282/AB1281</x:f>
        <x:v>9101.446360859649</x:v>
      </x:c>
      <x:c r="AA1282" s="32" t="n">
        <x:f>AA1281+X1282-U1282-AA1281*V1282/AB1281</x:f>
        <x:v>3654.8363702400497</x:v>
      </x:c>
      <x:c r="AB1282" s="10" t="n">
        <x:f>Y1282+Z1282+AA1282</x:f>
        <x:v>21506.815951814253</x:v>
      </x:c>
      <x:c r="AC1282" s="8" t="n">
        <x:f>IF(AND(v01_WinterTrigger=1,D1282=1,AB1281/AE1281&gt;=K1282),1,0)</x:f>
        <x:v>0</x:v>
      </x:c>
      <x:c r="AD1282" s="8" t="n">
        <x:f>H1282*IF(AND(OR(AB1281/AE1281&gt;=v01_FissionTrigger*N1282,AC1282=1),AB1281/AE1281*v01_DaughterShare&gt;=v01_MinDaughter),MAX(1,ROUND(AE1281*v01_FissionRate,0)),0)</x:f>
        <x:v>0</x:v>
      </x:c>
      <x:c r="AE1282" s="8" t="n">
        <x:f>IF(H1282=1,MAX(1,MIN(INDEX(v01_Smax,G1282),AE1281+AD1282)),AE1281)</x:f>
        <x:v>15</x:v>
      </x:c>
      <x:c r="AF1282" s="8" t="n">
        <x:f>MAX(0,AE1282-AE1281)</x:f>
        <x:v>0</x:v>
      </x:c>
      <x:c r="AG1282" s="9" t="str">
        <x:f>IF(AF1282&gt;0,B1282,"")</x:f>
      </x:c>
      <x:c r="AH1282" s="9" t="n">
        <x:f>IF(F1282&gt;=1,1,(1+v01_LowTiesShare*(AE1282-1))/AE1282)</x:f>
        <x:v>1</x:v>
      </x:c>
      <x:c r="AI1282" s="32" t="n">
        <x:f>(Z1282+v01_ElderCommons*INDEX(LM_Elder,G1282)*AA1282)*AH1282</x:f>
        <x:v>22807.082749259833</x:v>
      </x:c>
      <x:c r="AJ1282" s="32" t="n">
        <x:f>H1282*v01_CommonsCoef*AI1282^v01_CommonsExp*INDEX(LM_Commons,G1282)</x:f>
        <x:v>9157.173014474558</x:v>
      </x:c>
      <x:c r="AK1282" s="32" t="n">
        <x:f>H1282*v01_RoleScale*Arch_Roles*(AE1282*(INDEX(v01_ElderRolePerSett,G1282)*v01_OutElder*INDEX(LM_Elder,G1282)+INDEX(v01_ShamanPerSett,G1282)*v01_OutShaman)+Z1282*(INDEX(v01_PriestShare,G1282)*v01_OutPriest+INDEX(v01_ScribeShare,G1282)*v01_OutScribe*INDEX(LM_Scribe,G1282)+INDEX(v01_ScholarShare,G1282)*v01_OutScholar*INDEX(LM_Scholar,G1282)+INDEX(v01_ResearcherShare,G1282)*v01_OutResearcher*INDEX(LM_Researcher,G1282)))</x:f>
        <x:v>2401.0841993336403</x:v>
      </x:c>
      <x:c r="AL1282" s="32" t="n">
        <x:f>H1282*v01_RoleScale*Arch_Roles*AE1282*INDEX(v01_MonasteryPerSett,G1282)*v01_OutMonastery*INDEX(LM_Monastery,G1282)</x:f>
        <x:v>6.6000000000000005</x:v>
      </x:c>
      <x:c r="AM1282" s="32" t="n">
        <x:f>(AJ1282+AK1282+AL1282)/4*INDEX(LM_All,G1282)*INDEX(v01_Boon,G1282)*Arch_Insight</x:f>
        <x:v>8332.381033028285</x:v>
      </x:c>
      <x:c r="AN1282" s="32" t="n">
        <x:f>H1282*(v01_KHPerAdult*Z1282+v01_KHOfCommons*AJ1282/4*INDEX(LM_All,G1282))*v01_KHUsable*Arch_KH</x:f>
        <x:v>318.55062263008773</x:v>
      </x:c>
      <x:c r="AO1282" s="32" t="n">
        <x:f>MIN(AP1281+AN1282,AM1282*v01_KHMaxRatio)</x:f>
        <x:v>318.55062263008773</x:v>
      </x:c>
      <x:c r="AP1282" s="32" t="n">
        <x:f>AP1281+AN1282-AO1282</x:f>
        <x:v>0</x:v>
      </x:c>
      <x:c r="AQ1282" s="32" t="n">
        <x:f>AM1282+AO1282</x:f>
        <x:v>8650.931655658373</x:v>
      </x:c>
      <x:c r="AR1282" s="10" t="n">
        <x:f>IF(H1282=1,INDEX(v01_Req,G1282),0)</x:f>
        <x:v>743165.805333726</x:v>
      </x:c>
      <x:c r="AS1282" s="32" t="n">
        <x:f>IF(H1282=1,IF(E1282=1,AS1281-AR1281,AS1281)+AQ1282,0)</x:f>
        <x:v>70633.44365636053</x:v>
      </x:c>
      <x:c r="AT1282" s="11" t="n">
        <x:f>IF(AR1282&gt;0,MIN(1,AS1282/AR1282),1)</x:f>
        <x:v>0.09504399038467852</x:v>
      </x:c>
      <x:c r="AU1282" s="10" t="n">
        <x:f>AB1282/INDEX(v01_RepScale,G1282)</x:f>
        <x:v>86.02726380725701</x:v>
      </x:c>
      <x:c r="AV1282" s="32" t="n">
        <x:f>AM1282*60/v01_SeasonSeconds</x:f>
        <x:v>33329.52413211314</x:v>
      </x:c>
    </x:row>
    <x:row r="1283">
      <x:c r="A1283" s="8" t="n">
        <x:f>A1282+1</x:f>
        <x:v>1280</x:v>
      </x:c>
      <x:c r="B1283" s="9" t="n">
        <x:f>A1283*v01_SeasonSeconds/60</x:f>
        <x:v>320</x:v>
      </x:c>
      <x:c r="C1283" s="9" t="n">
        <x:f>A1283/4</x:f>
        <x:v>320</x:v>
      </x:c>
      <x:c r="D1283" s="8" t="n">
        <x:f>IF(MOD(A1283,4)=0,1,0)</x:f>
        <x:v>1</x:v>
      </x:c>
      <x:c r="E1283" s="8" t="n">
        <x:f>IF(AND(F1282&lt;=9,AS1282&gt;=AR1282),1,0)</x:f>
        <x:v>0</x:v>
      </x:c>
      <x:c r="F1283" s="8" t="n">
        <x:f>MIN(10,F1282+E1283)</x:f>
        <x:v>8</x:v>
      </x:c>
      <x:c r="G1283" s="8" t="n">
        <x:f>MIN(F1283,9)+1</x:f>
        <x:v>9</x:v>
      </x:c>
      <x:c r="H1283" s="8" t="n">
        <x:f>IF(F1283&lt;=9,1,0)</x:f>
        <x:v>1</x:v>
      </x:c>
      <x:c r="I1283" s="9" t="n">
        <x:f>MIN(10,F1282+IF(AR1282&gt;0,MIN(1,AS1282/AR1282),1))</x:f>
        <x:v>8.095043990384678</x:v>
      </x:c>
      <x:c r="J1283" s="32" t="n">
        <x:f>INDEX(v01_FoodCap,G1283)*Arch_FoodCap*EXP(v01_CapsByProject*SUMPRODUCT((Cap_Point&lt;=I1283)*(Cap_Kind="Food")*Cap_Ln))</x:f>
        <x:v>6000</x:v>
      </x:c>
      <x:c r="K1283" s="32" t="n">
        <x:f>J1283*MIN(1,v01_LeanBase*EXP(v01_CapsByProject*SUMPRODUCT((Cap_Point&lt;=I1283)*(Cap_Kind="Lean")*Cap_Ln)))</x:f>
        <x:v>6000</x:v>
      </x:c>
      <x:c r="L1283" s="10" t="n">
        <x:f>INDEX(v01_HousingCap,G1283)*EXP(v01_CapsByProject*SUMPRODUCT((Cap_Point&lt;=I1283)*(Cap_Kind="Housing")*Cap_Ln))</x:f>
        <x:v>10000</x:v>
      </x:c>
      <x:c r="M1283" s="10" t="n">
        <x:f>INDEX(v01_GroupCap,G1283)*v01_CohesionFactor*EXP(v01_CapsByProject*SUMPRODUCT((Cap_Point&lt;=I1283)*(Cap_Kind="Group")*Cap_Ln))</x:f>
        <x:v>1000000</x:v>
      </x:c>
      <x:c r="N1283" s="32" t="n">
        <x:f>MIN(J1283,L1283,M1283)</x:f>
        <x:v>6000</x:v>
      </x:c>
      <x:c r="O1283" s="10" t="n">
        <x:f>AE1282*N1283</x:f>
        <x:v>90000</x:v>
      </x:c>
      <x:c r="P1283" s="9" t="n">
        <x:f>MIN(1,(AB1282/(AE1282*IF(v01_GroupInCrowding=1,N1283,MIN(J1283,L1283))))^v01_CrowdingExp)</x:f>
        <x:v>0.0001862094231847217</x:v>
      </x:c>
      <x:c r="Q1283" s="9" t="n">
        <x:f>IF(D1283=1,INDEX(v01_WinterMult,G1283),1)</x:f>
        <x:v>1</x:v>
      </x:c>
      <x:c r="R1283" s="9" t="n">
        <x:f>H1283*Z1282*v01_WomenShare*v01_BaseFertility*INDEX(v01_FertMult,G1283)*Arch_Fertility*(1-P1283)</x:f>
        <x:v>204.74441068010955</x:v>
      </x:c>
      <x:c r="S1283" s="9" t="n">
        <x:f>H1283*Y1282*INDEX(v01_MortChild,G1283)/4*Q1283</x:f>
        <x:v>13.125799831071829</x:v>
      </x:c>
      <x:c r="T1283" s="9" t="n">
        <x:f>H1283*Z1282*INDEX(v01_MortAdult,G1283)*Arch_AdultMort/4*Q1283</x:f>
        <x:v>9.101446360859649</x:v>
      </x:c>
      <x:c r="U1283" s="9" t="n">
        <x:f>H1283*AA1282*INDEX(v01_MortElder,G1283)/4*Q1283</x:f>
        <x:v>31.979818239600437</x:v>
      </x:c>
      <x:c r="V1283" s="9" t="n">
        <x:f>H1283*MAX(0,AB1282-O1283)*v01_OvercapLoss</x:f>
        <x:v>0</x:v>
      </x:c>
      <x:c r="W1283" s="9" t="n">
        <x:f>H1283*Y1282/(v01_ChildYears*4)</x:f>
        <x:v>156.25952179847417</x:v>
      </x:c>
      <x:c r="X1283" s="9" t="n">
        <x:f>H1283*Z1282/(v01_AdultYears*4)</x:f>
        <x:v>73.39876097467459</x:v>
      </x:c>
      <x:c r="Y1283" s="32" t="n">
        <x:f>Y1282+R1283-S1283-W1283-Y1282*V1283/AB1282</x:f>
        <x:v>8785.892309765117</x:v>
      </x:c>
      <x:c r="Z1283" s="32" t="n">
        <x:f>Z1282+W1283-X1283-T1283-Z1282*V1283/AB1282</x:f>
        <x:v>9175.20567532259</x:v>
      </x:c>
      <x:c r="AA1283" s="32" t="n">
        <x:f>AA1282+X1283-U1283-AA1282*V1283/AB1282</x:f>
        <x:v>3696.255312975124</x:v>
      </x:c>
      <x:c r="AB1283" s="10" t="n">
        <x:f>Y1283+Z1283+AA1283</x:f>
        <x:v>21657.35329806283</x:v>
      </x:c>
      <x:c r="AC1283" s="8" t="n">
        <x:f>IF(AND(v01_WinterTrigger=1,D1283=1,AB1282/AE1282&gt;=K1283),1,0)</x:f>
        <x:v>0</x:v>
      </x:c>
      <x:c r="AD1283" s="8" t="n">
        <x:f>H1283*IF(AND(OR(AB1282/AE1282&gt;=v01_FissionTrigger*N1283,AC1283=1),AB1282/AE1282*v01_DaughterShare&gt;=v01_MinDaughter),MAX(1,ROUND(AE1282*v01_FissionRate,0)),0)</x:f>
        <x:v>0</x:v>
      </x:c>
      <x:c r="AE1283" s="8" t="n">
        <x:f>IF(H1283=1,MAX(1,MIN(INDEX(v01_Smax,G1283),AE1282+AD1283)),AE1282)</x:f>
        <x:v>15</x:v>
      </x:c>
      <x:c r="AF1283" s="8" t="n">
        <x:f>MAX(0,AE1283-AE1282)</x:f>
        <x:v>0</x:v>
      </x:c>
      <x:c r="AG1283" s="9" t="str">
        <x:f>IF(AF1283&gt;0,B1283,"")</x:f>
      </x:c>
      <x:c r="AH1283" s="9" t="n">
        <x:f>IF(F1283&gt;=1,1,(1+v01_LowTiesShare*(AE1283-1))/AE1283)</x:f>
        <x:v>1</x:v>
      </x:c>
      <x:c r="AI1283" s="32" t="n">
        <x:f>(Z1283+v01_ElderCommons*INDEX(LM_Elder,G1283)*AA1283)*AH1283</x:f>
        <x:v>23036.163098979305</x:v>
      </x:c>
      <x:c r="AJ1283" s="32" t="n">
        <x:f>H1283*v01_CommonsCoef*AI1283^v01_CommonsExp*INDEX(LM_Commons,G1283)</x:f>
        <x:v>9235.294845290535</x:v>
      </x:c>
      <x:c r="AK1283" s="32" t="n">
        <x:f>H1283*v01_RoleScale*Arch_Roles*(AE1283*(INDEX(v01_ElderRolePerSett,G1283)*v01_OutElder*INDEX(LM_Elder,G1283)+INDEX(v01_ShamanPerSett,G1283)*v01_OutShaman)+Z1283*(INDEX(v01_PriestShare,G1283)*v01_OutPriest+INDEX(v01_ScribeShare,G1283)*v01_OutScribe*INDEX(LM_Scribe,G1283)+INDEX(v01_ScholarShare,G1283)*v01_OutScholar*INDEX(LM_Scholar,G1283)+INDEX(v01_ResearcherShare,G1283)*v01_OutResearcher*INDEX(LM_Researcher,G1283)))</x:f>
        <x:v>2420.1326288185983</x:v>
      </x:c>
      <x:c r="AL1283" s="32" t="n">
        <x:f>H1283*v01_RoleScale*Arch_Roles*AE1283*INDEX(v01_MonasteryPerSett,G1283)*v01_OutMonastery*INDEX(LM_Monastery,G1283)</x:f>
        <x:v>6.6000000000000005</x:v>
      </x:c>
      <x:c r="AM1283" s="32" t="n">
        <x:f>(AJ1283+AK1283+AL1283)/4*INDEX(LM_All,G1283)*INDEX(v01_Boon,G1283)*Arch_Insight</x:f>
        <x:v>8402.391377206095</x:v>
      </x:c>
      <x:c r="AN1283" s="32" t="n">
        <x:f>H1283*(v01_KHPerAdult*Z1283+v01_KHOfCommons*AJ1283/4*INDEX(LM_All,G1283))*v01_KHUsable*Arch_KH</x:f>
        <x:v>321.13219863629064</x:v>
      </x:c>
      <x:c r="AO1283" s="32" t="n">
        <x:f>MIN(AP1282+AN1283,AM1283*v01_KHMaxRatio)</x:f>
        <x:v>321.13219863629064</x:v>
      </x:c>
      <x:c r="AP1283" s="32" t="n">
        <x:f>AP1282+AN1283-AO1283</x:f>
        <x:v>0</x:v>
      </x:c>
      <x:c r="AQ1283" s="32" t="n">
        <x:f>AM1283+AO1283</x:f>
        <x:v>8723.523575842386</x:v>
      </x:c>
      <x:c r="AR1283" s="10" t="n">
        <x:f>IF(H1283=1,INDEX(v01_Req,G1283),0)</x:f>
        <x:v>743165.805333726</x:v>
      </x:c>
      <x:c r="AS1283" s="32" t="n">
        <x:f>IF(H1283=1,IF(E1283=1,AS1282-AR1282,AS1282)+AQ1283,0)</x:f>
        <x:v>79356.96723220291</x:v>
      </x:c>
      <x:c r="AT1283" s="11" t="n">
        <x:f>IF(AR1283&gt;0,MIN(1,AS1283/AR1283),1)</x:f>
        <x:v>0.10678231783897386</x:v>
      </x:c>
      <x:c r="AU1283" s="10" t="n">
        <x:f>AB1283/INDEX(v01_RepScale,G1283)</x:f>
        <x:v>86.62941319225132</x:v>
      </x:c>
      <x:c r="AV1283" s="32" t="n">
        <x:f>AM1283*60/v01_SeasonSeconds</x:f>
        <x:v>33609.56550882438</x:v>
      </x:c>
    </x:row>
    <x:row r="1284">
      <x:c r="A1284" s="8" t="n">
        <x:f>A1283+1</x:f>
        <x:v>1281</x:v>
      </x:c>
      <x:c r="B1284" s="9" t="n">
        <x:f>A1284*v01_SeasonSeconds/60</x:f>
        <x:v>320.25</x:v>
      </x:c>
      <x:c r="C1284" s="9" t="n">
        <x:f>A1284/4</x:f>
        <x:v>320.25</x:v>
      </x:c>
      <x:c r="D1284" s="8" t="n">
        <x:f>IF(MOD(A1284,4)=0,1,0)</x:f>
        <x:v>0</x:v>
      </x:c>
      <x:c r="E1284" s="8" t="n">
        <x:f>IF(AND(F1283&lt;=9,AS1283&gt;=AR1283),1,0)</x:f>
        <x:v>0</x:v>
      </x:c>
      <x:c r="F1284" s="8" t="n">
        <x:f>MIN(10,F1283+E1284)</x:f>
        <x:v>8</x:v>
      </x:c>
      <x:c r="G1284" s="8" t="n">
        <x:f>MIN(F1284,9)+1</x:f>
        <x:v>9</x:v>
      </x:c>
      <x:c r="H1284" s="8" t="n">
        <x:f>IF(F1284&lt;=9,1,0)</x:f>
        <x:v>1</x:v>
      </x:c>
      <x:c r="I1284" s="9" t="n">
        <x:f>MIN(10,F1283+IF(AR1283&gt;0,MIN(1,AS1283/AR1283),1))</x:f>
        <x:v>8.106782317838974</x:v>
      </x:c>
      <x:c r="J1284" s="32" t="n">
        <x:f>INDEX(v01_FoodCap,G1284)*Arch_FoodCap*EXP(v01_CapsByProject*SUMPRODUCT((Cap_Point&lt;=I1284)*(Cap_Kind="Food")*Cap_Ln))</x:f>
        <x:v>6000</x:v>
      </x:c>
      <x:c r="K1284" s="32" t="n">
        <x:f>J1284*MIN(1,v01_LeanBase*EXP(v01_CapsByProject*SUMPRODUCT((Cap_Point&lt;=I1284)*(Cap_Kind="Lean")*Cap_Ln)))</x:f>
        <x:v>6000</x:v>
      </x:c>
      <x:c r="L1284" s="10" t="n">
        <x:f>INDEX(v01_HousingCap,G1284)*EXP(v01_CapsByProject*SUMPRODUCT((Cap_Point&lt;=I1284)*(Cap_Kind="Housing")*Cap_Ln))</x:f>
        <x:v>10000</x:v>
      </x:c>
      <x:c r="M1284" s="10" t="n">
        <x:f>INDEX(v01_GroupCap,G1284)*v01_CohesionFactor*EXP(v01_CapsByProject*SUMPRODUCT((Cap_Point&lt;=I1284)*(Cap_Kind="Group")*Cap_Ln))</x:f>
        <x:v>1000000</x:v>
      </x:c>
      <x:c r="N1284" s="32" t="n">
        <x:f>MIN(J1284,L1284,M1284)</x:f>
        <x:v>6000</x:v>
      </x:c>
      <x:c r="O1284" s="10" t="n">
        <x:f>AE1283*N1284</x:f>
        <x:v>90000</x:v>
      </x:c>
      <x:c r="P1284" s="9" t="n">
        <x:f>MIN(1,(AB1283/(AE1283*IF(v01_GroupInCrowding=1,N1284,MIN(J1284,L1284))))^v01_CrowdingExp)</x:f>
        <x:v>0.00019416780942232861</x:v>
      </x:c>
      <x:c r="Q1284" s="9" t="n">
        <x:f>IF(D1284=1,INDEX(v01_WinterMult,G1284),1)</x:f>
        <x:v>1</x:v>
      </x:c>
      <x:c r="R1284" s="9" t="n">
        <x:f>H1284*Z1283*v01_WomenShare*v01_BaseFertility*INDEX(v01_FertMult,G1284)*Arch_Fertility*(1-P1284)</x:f>
        <x:v>206.4020432790513</x:v>
      </x:c>
      <x:c r="S1284" s="9" t="n">
        <x:f>H1284*Y1283*INDEX(v01_MortChild,G1284)/4*Q1284</x:f>
        <x:v>13.178838464647676</x:v>
      </x:c>
      <x:c r="T1284" s="9" t="n">
        <x:f>H1284*Z1283*INDEX(v01_MortAdult,G1284)*Arch_AdultMort/4*Q1284</x:f>
        <x:v>9.17520567532259</x:v>
      </x:c>
      <x:c r="U1284" s="9" t="n">
        <x:f>H1284*AA1283*INDEX(v01_MortElder,G1284)/4*Q1284</x:f>
        <x:v>32.342233988532335</x:v>
      </x:c>
      <x:c r="V1284" s="9" t="n">
        <x:f>H1284*MAX(0,AB1283-O1284)*v01_OvercapLoss</x:f>
        <x:v>0</x:v>
      </x:c>
      <x:c r="W1284" s="9" t="n">
        <x:f>H1284*Y1283/(v01_ChildYears*4)</x:f>
        <x:v>156.8909341029485</x:v>
      </x:c>
      <x:c r="X1284" s="9" t="n">
        <x:f>H1284*Z1283/(v01_AdultYears*4)</x:f>
        <x:v>73.99359415582734</x:v>
      </x:c>
      <x:c r="Y1284" s="32" t="n">
        <x:f>Y1283+R1284-S1284-W1284-Y1283*V1284/AB1283</x:f>
        <x:v>8822.224580476572</x:v>
      </x:c>
      <x:c r="Z1284" s="32" t="n">
        <x:f>Z1283+W1284-X1284-T1284-Z1283*V1284/AB1283</x:f>
        <x:v>9248.927809594388</x:v>
      </x:c>
      <x:c r="AA1284" s="32" t="n">
        <x:f>AA1283+X1284-U1284-AA1283*V1284/AB1283</x:f>
        <x:v>3737.906673142419</x:v>
      </x:c>
      <x:c r="AB1284" s="10" t="n">
        <x:f>Y1284+Z1284+AA1284</x:f>
        <x:v>21809.059063213375</x:v>
      </x:c>
      <x:c r="AC1284" s="8" t="n">
        <x:f>IF(AND(v01_WinterTrigger=1,D1284=1,AB1283/AE1283&gt;=K1284),1,0)</x:f>
        <x:v>0</x:v>
      </x:c>
      <x:c r="AD1284" s="8" t="n">
        <x:f>H1284*IF(AND(OR(AB1283/AE1283&gt;=v01_FissionTrigger*N1284,AC1284=1),AB1283/AE1283*v01_DaughterShare&gt;=v01_MinDaughter),MAX(1,ROUND(AE1283*v01_FissionRate,0)),0)</x:f>
        <x:v>0</x:v>
      </x:c>
      <x:c r="AE1284" s="8" t="n">
        <x:f>IF(H1284=1,MAX(1,MIN(INDEX(v01_Smax,G1284),AE1283+AD1284)),AE1283)</x:f>
        <x:v>15</x:v>
      </x:c>
      <x:c r="AF1284" s="8" t="n">
        <x:f>MAX(0,AE1284-AE1283)</x:f>
        <x:v>0</x:v>
      </x:c>
      <x:c r="AG1284" s="9" t="str">
        <x:f>IF(AF1284&gt;0,B1284,"")</x:f>
      </x:c>
      <x:c r="AH1284" s="9" t="n">
        <x:f>IF(F1284&gt;=1,1,(1+v01_LowTiesShare*(AE1284-1))/AE1284)</x:f>
        <x:v>1</x:v>
      </x:c>
      <x:c r="AI1284" s="32" t="n">
        <x:f>(Z1284+v01_ElderCommons*INDEX(LM_Elder,G1284)*AA1284)*AH1284</x:f>
        <x:v>23266.07783387846</x:v>
      </x:c>
      <x:c r="AJ1284" s="32" t="n">
        <x:f>H1284*v01_CommonsCoef*AI1284^v01_CommonsExp*INDEX(LM_Commons,G1284)</x:f>
        <x:v>9313.584139715113</x:v>
      </x:c>
      <x:c r="AK1284" s="32" t="n">
        <x:f>H1284*v01_RoleScale*Arch_Roles*(AE1284*(INDEX(v01_ElderRolePerSett,G1284)*v01_OutElder*INDEX(LM_Elder,G1284)+INDEX(v01_ShamanPerSett,G1284)*v01_OutShaman)+Z1284*(INDEX(v01_PriestShare,G1284)*v01_OutPriest+INDEX(v01_ScribeShare,G1284)*v01_OutScribe*INDEX(LM_Scribe,G1284)+INDEX(v01_ScholarShare,G1284)*v01_OutScholar*INDEX(LM_Scholar,G1284)+INDEX(v01_ResearcherShare,G1284)*v01_OutResearcher*INDEX(LM_Researcher,G1284)))</x:f>
        <x:v>2439.1714564755785</x:v>
      </x:c>
      <x:c r="AL1284" s="32" t="n">
        <x:f>H1284*v01_RoleScale*Arch_Roles*AE1284*INDEX(v01_MonasteryPerSett,G1284)*v01_OutMonastery*INDEX(LM_Monastery,G1284)</x:f>
        <x:v>6.6000000000000005</x:v>
      </x:c>
      <x:c r="AM1284" s="32" t="n">
        <x:f>(AJ1284+AK1284+AL1284)/4*INDEX(LM_All,G1284)*INDEX(v01_Boon,G1284)*Arch_Insight</x:f>
        <x:v>8472.515459451084</x:v>
      </x:c>
      <x:c r="AN1284" s="32" t="n">
        <x:f>H1284*(v01_KHPerAdult*Z1284+v01_KHOfCommons*AJ1284/4*INDEX(LM_All,G1284))*v01_KHUsable*Arch_KH</x:f>
        <x:v>323.71247333580357</x:v>
      </x:c>
      <x:c r="AO1284" s="32" t="n">
        <x:f>MIN(AP1283+AN1284,AM1284*v01_KHMaxRatio)</x:f>
        <x:v>323.71247333580357</x:v>
      </x:c>
      <x:c r="AP1284" s="32" t="n">
        <x:f>AP1283+AN1284-AO1284</x:f>
        <x:v>0</x:v>
      </x:c>
      <x:c r="AQ1284" s="32" t="n">
        <x:f>AM1284+AO1284</x:f>
        <x:v>8796.227932786887</x:v>
      </x:c>
      <x:c r="AR1284" s="10" t="n">
        <x:f>IF(H1284=1,INDEX(v01_Req,G1284),0)</x:f>
        <x:v>743165.805333726</x:v>
      </x:c>
      <x:c r="AS1284" s="32" t="n">
        <x:f>IF(H1284=1,IF(E1284=1,AS1283-AR1283,AS1283)+AQ1284,0)</x:f>
        <x:v>88153.1951649898</x:v>
      </x:c>
      <x:c r="AT1284" s="11" t="n">
        <x:f>IF(AR1284&gt;0,MIN(1,AS1284/AR1284),1)</x:f>
        <x:v>0.1186184758936853</x:v>
      </x:c>
      <x:c r="AU1284" s="10" t="n">
        <x:f>AB1284/INDEX(v01_RepScale,G1284)</x:f>
        <x:v>87.2362362528535</x:v>
      </x:c>
      <x:c r="AV1284" s="32" t="n">
        <x:f>AM1284*60/v01_SeasonSeconds</x:f>
        <x:v>33890.06183780434</x:v>
      </x:c>
    </x:row>
    <x:row r="1285">
      <x:c r="A1285" s="8" t="n">
        <x:f>A1284+1</x:f>
        <x:v>1282</x:v>
      </x:c>
      <x:c r="B1285" s="9" t="n">
        <x:f>A1285*v01_SeasonSeconds/60</x:f>
        <x:v>320.5</x:v>
      </x:c>
      <x:c r="C1285" s="9" t="n">
        <x:f>A1285/4</x:f>
        <x:v>320.5</x:v>
      </x:c>
      <x:c r="D1285" s="8" t="n">
        <x:f>IF(MOD(A1285,4)=0,1,0)</x:f>
        <x:v>0</x:v>
      </x:c>
      <x:c r="E1285" s="8" t="n">
        <x:f>IF(AND(F1284&lt;=9,AS1284&gt;=AR1284),1,0)</x:f>
        <x:v>0</x:v>
      </x:c>
      <x:c r="F1285" s="8" t="n">
        <x:f>MIN(10,F1284+E1285)</x:f>
        <x:v>8</x:v>
      </x:c>
      <x:c r="G1285" s="8" t="n">
        <x:f>MIN(F1285,9)+1</x:f>
        <x:v>9</x:v>
      </x:c>
      <x:c r="H1285" s="8" t="n">
        <x:f>IF(F1285&lt;=9,1,0)</x:f>
        <x:v>1</x:v>
      </x:c>
      <x:c r="I1285" s="9" t="n">
        <x:f>MIN(10,F1284+IF(AR1284&gt;0,MIN(1,AS1284/AR1284),1))</x:f>
        <x:v>8.118618475893685</x:v>
      </x:c>
      <x:c r="J1285" s="32" t="n">
        <x:f>INDEX(v01_FoodCap,G1285)*Arch_FoodCap*EXP(v01_CapsByProject*SUMPRODUCT((Cap_Point&lt;=I1285)*(Cap_Kind="Food")*Cap_Ln))</x:f>
        <x:v>6000</x:v>
      </x:c>
      <x:c r="K1285" s="32" t="n">
        <x:f>J1285*MIN(1,v01_LeanBase*EXP(v01_CapsByProject*SUMPRODUCT((Cap_Point&lt;=I1285)*(Cap_Kind="Lean")*Cap_Ln)))</x:f>
        <x:v>6000</x:v>
      </x:c>
      <x:c r="L1285" s="10" t="n">
        <x:f>INDEX(v01_HousingCap,G1285)*EXP(v01_CapsByProject*SUMPRODUCT((Cap_Point&lt;=I1285)*(Cap_Kind="Housing")*Cap_Ln))</x:f>
        <x:v>10000</x:v>
      </x:c>
      <x:c r="M1285" s="10" t="n">
        <x:f>INDEX(v01_GroupCap,G1285)*v01_CohesionFactor*EXP(v01_CapsByProject*SUMPRODUCT((Cap_Point&lt;=I1285)*(Cap_Kind="Group")*Cap_Ln))</x:f>
        <x:v>1000000</x:v>
      </x:c>
      <x:c r="N1285" s="32" t="n">
        <x:f>MIN(J1285,L1285,M1285)</x:f>
        <x:v>6000</x:v>
      </x:c>
      <x:c r="O1285" s="10" t="n">
        <x:f>AE1284*N1285</x:f>
        <x:v>90000</x:v>
      </x:c>
      <x:c r="P1285" s="9" t="n">
        <x:f>MIN(1,(AB1284/(AE1284*IF(v01_GroupInCrowding=1,N1285,MIN(J1285,L1285))))^v01_CrowdingExp)</x:f>
        <x:v>0.00020247271910323175</x:v>
      </x:c>
      <x:c r="Q1285" s="9" t="n">
        <x:f>IF(D1285=1,INDEX(v01_WinterMult,G1285),1)</x:f>
        <x:v>1</x:v>
      </x:c>
      <x:c r="R1285" s="9" t="n">
        <x:f>H1285*Z1284*v01_WomenShare*v01_BaseFertility*INDEX(v01_FertMult,G1285)*Arch_Fertility*(1-P1285)</x:f>
        <x:v>208.05874096571975</x:v>
      </x:c>
      <x:c r="S1285" s="9" t="n">
        <x:f>H1285*Y1284*INDEX(v01_MortChild,G1285)/4*Q1285</x:f>
        <x:v>13.233336870714858</x:v>
      </x:c>
      <x:c r="T1285" s="9" t="n">
        <x:f>H1285*Z1284*INDEX(v01_MortAdult,G1285)*Arch_AdultMort/4*Q1285</x:f>
        <x:v>9.248927809594388</x:v>
      </x:c>
      <x:c r="U1285" s="9" t="n">
        <x:f>H1285*AA1284*INDEX(v01_MortElder,G1285)/4*Q1285</x:f>
        <x:v>32.70668338999617</x:v>
      </x:c>
      <x:c r="V1285" s="9" t="n">
        <x:f>H1285*MAX(0,AB1284-O1285)*v01_OvercapLoss</x:f>
        <x:v>0</x:v>
      </x:c>
      <x:c r="W1285" s="9" t="n">
        <x:f>H1285*Y1284/(v01_ChildYears*4)</x:f>
        <x:v>157.53972465136735</x:v>
      </x:c>
      <x:c r="X1285" s="9" t="n">
        <x:f>H1285*Z1284/(v01_AdultYears*4)</x:f>
        <x:v>74.58812749672894</x:v>
      </x:c>
      <x:c r="Y1285" s="32" t="n">
        <x:f>Y1284+R1285-S1285-W1285-Y1284*V1285/AB1284</x:f>
        <x:v>8859.51025992021</x:v>
      </x:c>
      <x:c r="Z1285" s="32" t="n">
        <x:f>Z1284+W1285-X1285-T1285-Z1284*V1285/AB1284</x:f>
        <x:v>9322.630478939433</x:v>
      </x:c>
      <x:c r="AA1285" s="32" t="n">
        <x:f>AA1284+X1285-U1285-AA1284*V1285/AB1284</x:f>
        <x:v>3779.788117249152</x:v>
      </x:c>
      <x:c r="AB1285" s="10" t="n">
        <x:f>Y1285+Z1285+AA1285</x:f>
        <x:v>21961.928856108792</x:v>
      </x:c>
      <x:c r="AC1285" s="8" t="n">
        <x:f>IF(AND(v01_WinterTrigger=1,D1285=1,AB1284/AE1284&gt;=K1285),1,0)</x:f>
        <x:v>0</x:v>
      </x:c>
      <x:c r="AD1285" s="8" t="n">
        <x:f>H1285*IF(AND(OR(AB1284/AE1284&gt;=v01_FissionTrigger*N1285,AC1285=1),AB1284/AE1284*v01_DaughterShare&gt;=v01_MinDaughter),MAX(1,ROUND(AE1284*v01_FissionRate,0)),0)</x:f>
        <x:v>0</x:v>
      </x:c>
      <x:c r="AE1285" s="8" t="n">
        <x:f>IF(H1285=1,MAX(1,MIN(INDEX(v01_Smax,G1285),AE1284+AD1285)),AE1284)</x:f>
        <x:v>15</x:v>
      </x:c>
      <x:c r="AF1285" s="8" t="n">
        <x:f>MAX(0,AE1285-AE1284)</x:f>
        <x:v>0</x:v>
      </x:c>
      <x:c r="AG1285" s="9" t="str">
        <x:f>IF(AF1285&gt;0,B1285,"")</x:f>
      </x:c>
      <x:c r="AH1285" s="9" t="n">
        <x:f>IF(F1285&gt;=1,1,(1+v01_LowTiesShare*(AE1285-1))/AE1285)</x:f>
        <x:v>1</x:v>
      </x:c>
      <x:c r="AI1285" s="32" t="n">
        <x:f>(Z1285+v01_ElderCommons*INDEX(LM_Elder,G1285)*AA1285)*AH1285</x:f>
        <x:v>23496.83591862375</x:v>
      </x:c>
      <x:c r="AJ1285" s="32" t="n">
        <x:f>H1285*v01_CommonsCoef*AI1285^v01_CommonsExp*INDEX(LM_Commons,G1285)</x:f>
        <x:v>9392.044005791242</x:v>
      </x:c>
      <x:c r="AK1285" s="32" t="n">
        <x:f>H1285*v01_RoleScale*Arch_Roles*(AE1285*(INDEX(v01_ElderRolePerSett,G1285)*v01_OutElder*INDEX(LM_Elder,G1285)+INDEX(v01_ShamanPerSett,G1285)*v01_OutShaman)+Z1285*(INDEX(v01_PriestShare,G1285)*v01_OutPriest+INDEX(v01_ScribeShare,G1285)*v01_OutScribe*INDEX(LM_Scribe,G1285)+INDEX(v01_ScholarShare,G1285)*v01_OutScholar*INDEX(LM_Scholar,G1285)+INDEX(v01_ResearcherShare,G1285)*v01_OutResearcher*INDEX(LM_Researcher,G1285)))</x:f>
        <x:v>2458.2052572923913</x:v>
      </x:c>
      <x:c r="AL1285" s="32" t="n">
        <x:f>H1285*v01_RoleScale*Arch_Roles*AE1285*INDEX(v01_MonasteryPerSett,G1285)*v01_OutMonastery*INDEX(LM_Monastery,G1285)</x:f>
        <x:v>6.6000000000000005</x:v>
      </x:c>
      <x:c r="AM1285" s="32" t="n">
        <x:f>(AJ1285+AK1285+AL1285)/4*INDEX(LM_All,G1285)*INDEX(v01_Boon,G1285)*Arch_Insight</x:f>
        <x:v>8542.758815321418</x:v>
      </x:c>
      <x:c r="AN1285" s="32" t="n">
        <x:f>H1285*(v01_KHPerAdult*Z1285+v01_KHOfCommons*AJ1285/4*INDEX(LM_All,G1285))*v01_KHUsable*Arch_KH</x:f>
        <x:v>326.29206676288015</x:v>
      </x:c>
      <x:c r="AO1285" s="32" t="n">
        <x:f>MIN(AP1284+AN1285,AM1285*v01_KHMaxRatio)</x:f>
        <x:v>326.29206676288015</x:v>
      </x:c>
      <x:c r="AP1285" s="32" t="n">
        <x:f>AP1284+AN1285-AO1285</x:f>
        <x:v>0</x:v>
      </x:c>
      <x:c r="AQ1285" s="32" t="n">
        <x:f>AM1285+AO1285</x:f>
        <x:v>8869.050882084299</x:v>
      </x:c>
      <x:c r="AR1285" s="10" t="n">
        <x:f>IF(H1285=1,INDEX(v01_Req,G1285),0)</x:f>
        <x:v>743165.805333726</x:v>
      </x:c>
      <x:c r="AS1285" s="32" t="n">
        <x:f>IF(H1285=1,IF(E1285=1,AS1284-AR1284,AS1284)+AQ1285,0)</x:f>
        <x:v>97022.24604707409</x:v>
      </x:c>
      <x:c r="AT1285" s="11" t="n">
        <x:f>IF(AR1285&gt;0,MIN(1,AS1285/AR1285),1)</x:f>
        <x:v>0.1305526241260593</x:v>
      </x:c>
      <x:c r="AU1285" s="10" t="n">
        <x:f>AB1285/INDEX(v01_RepScale,G1285)</x:f>
        <x:v>87.84771542443517</x:v>
      </x:c>
      <x:c r="AV1285" s="32" t="n">
        <x:f>AM1285*60/v01_SeasonSeconds</x:f>
        <x:v>34171.03526128567</x:v>
      </x:c>
    </x:row>
    <x:row r="1286">
      <x:c r="A1286" s="8" t="n">
        <x:f>A1285+1</x:f>
        <x:v>1283</x:v>
      </x:c>
      <x:c r="B1286" s="9" t="n">
        <x:f>A1286*v01_SeasonSeconds/60</x:f>
        <x:v>320.75</x:v>
      </x:c>
      <x:c r="C1286" s="9" t="n">
        <x:f>A1286/4</x:f>
        <x:v>320.75</x:v>
      </x:c>
      <x:c r="D1286" s="8" t="n">
        <x:f>IF(MOD(A1286,4)=0,1,0)</x:f>
        <x:v>0</x:v>
      </x:c>
      <x:c r="E1286" s="8" t="n">
        <x:f>IF(AND(F1285&lt;=9,AS1285&gt;=AR1285),1,0)</x:f>
        <x:v>0</x:v>
      </x:c>
      <x:c r="F1286" s="8" t="n">
        <x:f>MIN(10,F1285+E1286)</x:f>
        <x:v>8</x:v>
      </x:c>
      <x:c r="G1286" s="8" t="n">
        <x:f>MIN(F1286,9)+1</x:f>
        <x:v>9</x:v>
      </x:c>
      <x:c r="H1286" s="8" t="n">
        <x:f>IF(F1286&lt;=9,1,0)</x:f>
        <x:v>1</x:v>
      </x:c>
      <x:c r="I1286" s="9" t="n">
        <x:f>MIN(10,F1285+IF(AR1285&gt;0,MIN(1,AS1285/AR1285),1))</x:f>
        <x:v>8.130552624126059</x:v>
      </x:c>
      <x:c r="J1286" s="32" t="n">
        <x:f>INDEX(v01_FoodCap,G1286)*Arch_FoodCap*EXP(v01_CapsByProject*SUMPRODUCT((Cap_Point&lt;=I1286)*(Cap_Kind="Food")*Cap_Ln))</x:f>
        <x:v>6000</x:v>
      </x:c>
      <x:c r="K1286" s="32" t="n">
        <x:f>J1286*MIN(1,v01_LeanBase*EXP(v01_CapsByProject*SUMPRODUCT((Cap_Point&lt;=I1286)*(Cap_Kind="Lean")*Cap_Ln)))</x:f>
        <x:v>6000</x:v>
      </x:c>
      <x:c r="L1286" s="10" t="n">
        <x:f>INDEX(v01_HousingCap,G1286)*EXP(v01_CapsByProject*SUMPRODUCT((Cap_Point&lt;=I1286)*(Cap_Kind="Housing")*Cap_Ln))</x:f>
        <x:v>10000</x:v>
      </x:c>
      <x:c r="M1286" s="10" t="n">
        <x:f>INDEX(v01_GroupCap,G1286)*v01_CohesionFactor*EXP(v01_CapsByProject*SUMPRODUCT((Cap_Point&lt;=I1286)*(Cap_Kind="Group")*Cap_Ln))</x:f>
        <x:v>1000000</x:v>
      </x:c>
      <x:c r="N1286" s="32" t="n">
        <x:f>MIN(J1286,L1286,M1286)</x:f>
        <x:v>6000</x:v>
      </x:c>
      <x:c r="O1286" s="10" t="n">
        <x:f>AE1285*N1286</x:f>
        <x:v>90000</x:v>
      </x:c>
      <x:c r="P1286" s="9" t="n">
        <x:f>MIN(1,(AB1285/(AE1285*IF(v01_GroupInCrowding=1,N1286,MIN(J1286,L1286))))^v01_CrowdingExp)</x:f>
        <x:v>0.00021113869135650062</x:v>
      </x:c>
      <x:c r="Q1286" s="9" t="n">
        <x:f>IF(D1286=1,INDEX(v01_WinterMult,G1286),1)</x:f>
        <x:v>1</x:v>
      </x:c>
      <x:c r="R1286" s="9" t="n">
        <x:f>H1286*Z1285*v01_WomenShare*v01_BaseFertility*INDEX(v01_FertMult,G1286)*Arch_Fertility*(1-P1286)</x:f>
        <x:v>209.71489749615245</x:v>
      </x:c>
      <x:c r="S1286" s="9" t="n">
        <x:f>H1286*Y1285*INDEX(v01_MortChild,G1286)/4*Q1286</x:f>
        <x:v>13.289265389880313</x:v>
      </x:c>
      <x:c r="T1286" s="9" t="n">
        <x:f>H1286*Z1285*INDEX(v01_MortAdult,G1286)*Arch_AdultMort/4*Q1286</x:f>
        <x:v>9.322630478939432</x:v>
      </x:c>
      <x:c r="U1286" s="9" t="n">
        <x:f>H1286*AA1285*INDEX(v01_MortElder,G1286)/4*Q1286</x:f>
        <x:v>33.073146025930086</x:v>
      </x:c>
      <x:c r="V1286" s="9" t="n">
        <x:f>H1286*MAX(0,AB1285-O1286)*v01_OvercapLoss</x:f>
        <x:v>0</x:v>
      </x:c>
      <x:c r="W1286" s="9" t="n">
        <x:f>H1286*Y1285/(v01_ChildYears*4)</x:f>
        <x:v>158.20554035571803</x:v>
      </x:c>
      <x:c r="X1286" s="9" t="n">
        <x:f>H1286*Z1285/(v01_AdultYears*4)</x:f>
        <x:v>75.18250386241478</x:v>
      </x:c>
      <x:c r="Y1286" s="32" t="n">
        <x:f>Y1285+R1286-S1286-W1286-Y1285*V1286/AB1285</x:f>
        <x:v>8897.730351670763</x:v>
      </x:c>
      <x:c r="Z1286" s="32" t="n">
        <x:f>Z1285+W1286-X1286-T1286-Z1285*V1286/AB1285</x:f>
        <x:v>9396.330884953797</x:v>
      </x:c>
      <x:c r="AA1286" s="32" t="n">
        <x:f>AA1285+X1286-U1286-AA1285*V1286/AB1285</x:f>
        <x:v>3821.897475085637</x:v>
      </x:c>
      <x:c r="AB1286" s="10" t="n">
        <x:f>Y1286+Z1286+AA1286</x:f>
        <x:v>22115.9587117102</x:v>
      </x:c>
      <x:c r="AC1286" s="8" t="n">
        <x:f>IF(AND(v01_WinterTrigger=1,D1286=1,AB1285/AE1285&gt;=K1286),1,0)</x:f>
        <x:v>0</x:v>
      </x:c>
      <x:c r="AD1286" s="8" t="n">
        <x:f>H1286*IF(AND(OR(AB1285/AE1285&gt;=v01_FissionTrigger*N1286,AC1286=1),AB1285/AE1285*v01_DaughterShare&gt;=v01_MinDaughter),MAX(1,ROUND(AE1285*v01_FissionRate,0)),0)</x:f>
        <x:v>0</x:v>
      </x:c>
      <x:c r="AE1286" s="8" t="n">
        <x:f>IF(H1286=1,MAX(1,MIN(INDEX(v01_Smax,G1286),AE1285+AD1286)),AE1285)</x:f>
        <x:v>15</x:v>
      </x:c>
      <x:c r="AF1286" s="8" t="n">
        <x:f>MAX(0,AE1286-AE1285)</x:f>
        <x:v>0</x:v>
      </x:c>
      <x:c r="AG1286" s="9" t="str">
        <x:f>IF(AF1286&gt;0,B1286,"")</x:f>
      </x:c>
      <x:c r="AH1286" s="9" t="n">
        <x:f>IF(F1286&gt;=1,1,(1+v01_LowTiesShare*(AE1286-1))/AE1286)</x:f>
        <x:v>1</x:v>
      </x:c>
      <x:c r="AI1286" s="32" t="n">
        <x:f>(Z1286+v01_ElderCommons*INDEX(LM_Elder,G1286)*AA1286)*AH1286</x:f>
        <x:v>23728.446416524937</x:v>
      </x:c>
      <x:c r="AJ1286" s="32" t="n">
        <x:f>H1286*v01_CommonsCoef*AI1286^v01_CommonsExp*INDEX(LM_Commons,G1286)</x:f>
        <x:v>9470.677563130464</x:v>
      </x:c>
      <x:c r="AK1286" s="32" t="n">
        <x:f>H1286*v01_RoleScale*Arch_Roles*(AE1286*(INDEX(v01_ElderRolePerSett,G1286)*v01_OutElder*INDEX(LM_Elder,G1286)+INDEX(v01_ShamanPerSett,G1286)*v01_OutShaman)+Z1286*(INDEX(v01_PriestShare,G1286)*v01_OutPriest+INDEX(v01_ScribeShare,G1286)*v01_OutScribe*INDEX(LM_Scribe,G1286)+INDEX(v01_ScholarShare,G1286)*v01_OutScholar*INDEX(LM_Scholar,G1286)+INDEX(v01_ResearcherShare,G1286)*v01_OutResearcher*INDEX(LM_Researcher,G1286)))</x:f>
        <x:v>2477.2384736014005</x:v>
      </x:c>
      <x:c r="AL1286" s="32" t="n">
        <x:f>H1286*v01_RoleScale*Arch_Roles*AE1286*INDEX(v01_MonasteryPerSett,G1286)*v01_OutMonastery*INDEX(LM_Monastery,G1286)</x:f>
        <x:v>6.6000000000000005</x:v>
      </x:c>
      <x:c r="AM1286" s="32" t="n">
        <x:f>(AJ1286+AK1286+AL1286)/4*INDEX(LM_All,G1286)*INDEX(v01_Boon,G1286)*Arch_Insight</x:f>
        <x:v>8613.126893133216</x:v>
      </x:c>
      <x:c r="AN1286" s="32" t="n">
        <x:f>H1286*(v01_KHPerAdult*Z1286+v01_KHOfCommons*AJ1286/4*INDEX(LM_All,G1286))*v01_KHUsable*Arch_KH</x:f>
        <x:v>328.8715809733829</x:v>
      </x:c>
      <x:c r="AO1286" s="32" t="n">
        <x:f>MIN(AP1285+AN1286,AM1286*v01_KHMaxRatio)</x:f>
        <x:v>328.8715809733829</x:v>
      </x:c>
      <x:c r="AP1286" s="32" t="n">
        <x:f>AP1285+AN1286-AO1286</x:f>
        <x:v>0</x:v>
      </x:c>
      <x:c r="AQ1286" s="32" t="n">
        <x:f>AM1286+AO1286</x:f>
        <x:v>8941.998474106598</x:v>
      </x:c>
      <x:c r="AR1286" s="10" t="n">
        <x:f>IF(H1286=1,INDEX(v01_Req,G1286),0)</x:f>
        <x:v>743165.805333726</x:v>
      </x:c>
      <x:c r="AS1286" s="32" t="n">
        <x:f>IF(H1286=1,IF(E1286=1,AS1285-AR1285,AS1285)+AQ1286,0)</x:f>
        <x:v>105964.24452118069</x:v>
      </x:c>
      <x:c r="AT1286" s="11" t="n">
        <x:f>IF(AR1286&gt;0,MIN(1,AS1286/AR1286),1)</x:f>
        <x:v>0.14258493025469113</x:v>
      </x:c>
      <x:c r="AU1286" s="10" t="n">
        <x:f>AB1286/INDEX(v01_RepScale,G1286)</x:f>
        <x:v>88.4638348468408</x:v>
      </x:c>
      <x:c r="AV1286" s="32" t="n">
        <x:f>AM1286*60/v01_SeasonSeconds</x:f>
        <x:v>34452.507572532864</x:v>
      </x:c>
    </x:row>
    <x:row r="1287">
      <x:c r="A1287" s="8" t="n">
        <x:f>A1286+1</x:f>
        <x:v>1284</x:v>
      </x:c>
      <x:c r="B1287" s="9" t="n">
        <x:f>A1287*v01_SeasonSeconds/60</x:f>
        <x:v>321</x:v>
      </x:c>
      <x:c r="C1287" s="9" t="n">
        <x:f>A1287/4</x:f>
        <x:v>321</x:v>
      </x:c>
      <x:c r="D1287" s="8" t="n">
        <x:f>IF(MOD(A1287,4)=0,1,0)</x:f>
        <x:v>1</x:v>
      </x:c>
      <x:c r="E1287" s="8" t="n">
        <x:f>IF(AND(F1286&lt;=9,AS1286&gt;=AR1286),1,0)</x:f>
        <x:v>0</x:v>
      </x:c>
      <x:c r="F1287" s="8" t="n">
        <x:f>MIN(10,F1286+E1287)</x:f>
        <x:v>8</x:v>
      </x:c>
      <x:c r="G1287" s="8" t="n">
        <x:f>MIN(F1287,9)+1</x:f>
        <x:v>9</x:v>
      </x:c>
      <x:c r="H1287" s="8" t="n">
        <x:f>IF(F1287&lt;=9,1,0)</x:f>
        <x:v>1</x:v>
      </x:c>
      <x:c r="I1287" s="9" t="n">
        <x:f>MIN(10,F1286+IF(AR1286&gt;0,MIN(1,AS1286/AR1286),1))</x:f>
        <x:v>8.14258493025469</x:v>
      </x:c>
      <x:c r="J1287" s="32" t="n">
        <x:f>INDEX(v01_FoodCap,G1287)*Arch_FoodCap*EXP(v01_CapsByProject*SUMPRODUCT((Cap_Point&lt;=I1287)*(Cap_Kind="Food")*Cap_Ln))</x:f>
        <x:v>6000</x:v>
      </x:c>
      <x:c r="K1287" s="32" t="n">
        <x:f>J1287*MIN(1,v01_LeanBase*EXP(v01_CapsByProject*SUMPRODUCT((Cap_Point&lt;=I1287)*(Cap_Kind="Lean")*Cap_Ln)))</x:f>
        <x:v>6000</x:v>
      </x:c>
      <x:c r="L1287" s="10" t="n">
        <x:f>INDEX(v01_HousingCap,G1287)*EXP(v01_CapsByProject*SUMPRODUCT((Cap_Point&lt;=I1287)*(Cap_Kind="Housing")*Cap_Ln))</x:f>
        <x:v>10000</x:v>
      </x:c>
      <x:c r="M1287" s="10" t="n">
        <x:f>INDEX(v01_GroupCap,G1287)*v01_CohesionFactor*EXP(v01_CapsByProject*SUMPRODUCT((Cap_Point&lt;=I1287)*(Cap_Kind="Group")*Cap_Ln))</x:f>
        <x:v>1000000</x:v>
      </x:c>
      <x:c r="N1287" s="32" t="n">
        <x:f>MIN(J1287,L1287,M1287)</x:f>
        <x:v>6000</x:v>
      </x:c>
      <x:c r="O1287" s="10" t="n">
        <x:f>AE1286*N1287</x:f>
        <x:v>90000</x:v>
      </x:c>
      <x:c r="P1287" s="9" t="n">
        <x:f>MIN(1,(AB1286/(AE1286*IF(v01_GroupInCrowding=1,N1287,MIN(J1287,L1287))))^v01_CrowdingExp)</x:f>
        <x:v>0.00022018086130252263</x:v>
      </x:c>
      <x:c r="Q1287" s="9" t="n">
        <x:f>IF(D1287=1,INDEX(v01_WinterMult,G1287),1)</x:f>
        <x:v>1</x:v>
      </x:c>
      <x:c r="R1287" s="9" t="n">
        <x:f>H1287*Z1286*v01_WomenShare*v01_BaseFertility*INDEX(v01_FertMult,G1287)*Arch_Fertility*(1-P1287)</x:f>
        <x:v>211.37089483634549</x:v>
      </x:c>
      <x:c r="S1287" s="9" t="n">
        <x:f>H1287*Y1286*INDEX(v01_MortChild,G1287)/4*Q1287</x:f>
        <x:v>13.346595527506146</x:v>
      </x:c>
      <x:c r="T1287" s="9" t="n">
        <x:f>H1287*Z1286*INDEX(v01_MortAdult,G1287)*Arch_AdultMort/4*Q1287</x:f>
        <x:v>9.396330884953798</x:v>
      </x:c>
      <x:c r="U1287" s="9" t="n">
        <x:f>H1287*AA1286*INDEX(v01_MortElder,G1287)/4*Q1287</x:f>
        <x:v>33.44160290699933</x:v>
      </x:c>
      <x:c r="V1287" s="9" t="n">
        <x:f>H1287*MAX(0,AB1286-O1287)*v01_OvercapLoss</x:f>
        <x:v>0</x:v>
      </x:c>
      <x:c r="W1287" s="9" t="n">
        <x:f>H1287*Y1286/(v01_ChildYears*4)</x:f>
        <x:v>158.88804199412078</x:v>
      </x:c>
      <x:c r="X1287" s="9" t="n">
        <x:f>H1287*Z1286/(v01_AdultYears*4)</x:f>
        <x:v>75.77686197543385</x:v>
      </x:c>
      <x:c r="Y1287" s="32" t="n">
        <x:f>Y1286+R1287-S1287-W1287-Y1286*V1287/AB1286</x:f>
        <x:v>8936.866608985481</x:v>
      </x:c>
      <x:c r="Z1287" s="32" t="n">
        <x:f>Z1286+W1287-X1287-T1287-Z1286*V1287/AB1286</x:f>
        <x:v>9470.045734087531</x:v>
      </x:c>
      <x:c r="AA1287" s="32" t="n">
        <x:f>AA1286+X1287-U1287-AA1286*V1287/AB1286</x:f>
        <x:v>3864.2327341540713</x:v>
      </x:c>
      <x:c r="AB1287" s="10" t="n">
        <x:f>Y1287+Z1287+AA1287</x:f>
        <x:v>22271.145077227084</x:v>
      </x:c>
      <x:c r="AC1287" s="8" t="n">
        <x:f>IF(AND(v01_WinterTrigger=1,D1287=1,AB1286/AE1286&gt;=K1287),1,0)</x:f>
        <x:v>0</x:v>
      </x:c>
      <x:c r="AD1287" s="8" t="n">
        <x:f>H1287*IF(AND(OR(AB1286/AE1286&gt;=v01_FissionTrigger*N1287,AC1287=1),AB1286/AE1286*v01_DaughterShare&gt;=v01_MinDaughter),MAX(1,ROUND(AE1286*v01_FissionRate,0)),0)</x:f>
        <x:v>0</x:v>
      </x:c>
      <x:c r="AE1287" s="8" t="n">
        <x:f>IF(H1287=1,MAX(1,MIN(INDEX(v01_Smax,G1287),AE1286+AD1287)),AE1286)</x:f>
        <x:v>15</x:v>
      </x:c>
      <x:c r="AF1287" s="8" t="n">
        <x:f>MAX(0,AE1287-AE1286)</x:f>
        <x:v>0</x:v>
      </x:c>
      <x:c r="AG1287" s="9" t="str">
        <x:f>IF(AF1287&gt;0,B1287,"")</x:f>
      </x:c>
      <x:c r="AH1287" s="9" t="n">
        <x:f>IF(F1287&gt;=1,1,(1+v01_LowTiesShare*(AE1287-1))/AE1287)</x:f>
        <x:v>1</x:v>
      </x:c>
      <x:c r="AI1287" s="32" t="n">
        <x:f>(Z1287+v01_ElderCommons*INDEX(LM_Elder,G1287)*AA1287)*AH1287</x:f>
        <x:v>23960.918487165298</x:v>
      </x:c>
      <x:c r="AJ1287" s="32" t="n">
        <x:f>H1287*v01_CommonsCoef*AI1287^v01_CommonsExp*INDEX(LM_Commons,G1287)</x:f>
        <x:v>9549.487942320886</x:v>
      </x:c>
      <x:c r="AK1287" s="32" t="n">
        <x:f>H1287*v01_RoleScale*Arch_Roles*(AE1287*(INDEX(v01_ElderRolePerSett,G1287)*v01_OutElder*INDEX(LM_Elder,G1287)+INDEX(v01_ShamanPerSett,G1287)*v01_OutShaman)+Z1287*(INDEX(v01_PriestShare,G1287)*v01_OutPriest+INDEX(v01_ScribeShare,G1287)*v01_OutScribe*INDEX(LM_Scribe,G1287)+INDEX(v01_ScholarShare,G1287)*v01_OutScholar*INDEX(LM_Scholar,G1287)+INDEX(v01_ResearcherShare,G1287)*v01_OutResearcher*INDEX(LM_Researcher,G1287)))</x:f>
        <x:v>2496.2754198629295</x:v>
      </x:c>
      <x:c r="AL1287" s="32" t="n">
        <x:f>H1287*v01_RoleScale*Arch_Roles*AE1287*INDEX(v01_MonasteryPerSett,G1287)*v01_OutMonastery*INDEX(LM_Monastery,G1287)</x:f>
        <x:v>6.6000000000000005</x:v>
      </x:c>
      <x:c r="AM1287" s="32" t="n">
        <x:f>(AJ1287+AK1287+AL1287)/4*INDEX(LM_All,G1287)*INDEX(v01_Boon,G1287)*Arch_Insight</x:f>
        <x:v>8683.625056980403</x:v>
      </x:c>
      <x:c r="AN1287" s="32" t="n">
        <x:f>H1287*(v01_KHPerAdult*Z1287+v01_KHOfCommons*AJ1287/4*INDEX(LM_All,G1287))*v01_KHUsable*Arch_KH</x:f>
        <x:v>331.4516006930636</x:v>
      </x:c>
      <x:c r="AO1287" s="32" t="n">
        <x:f>MIN(AP1286+AN1287,AM1287*v01_KHMaxRatio)</x:f>
        <x:v>331.4516006930636</x:v>
      </x:c>
      <x:c r="AP1287" s="32" t="n">
        <x:f>AP1286+AN1287-AO1287</x:f>
        <x:v>0</x:v>
      </x:c>
      <x:c r="AQ1287" s="32" t="n">
        <x:f>AM1287+AO1287</x:f>
        <x:v>9015.076657673468</x:v>
      </x:c>
      <x:c r="AR1287" s="10" t="n">
        <x:f>IF(H1287=1,INDEX(v01_Req,G1287),0)</x:f>
        <x:v>743165.805333726</x:v>
      </x:c>
      <x:c r="AS1287" s="32" t="n">
        <x:f>IF(H1287=1,IF(E1287=1,AS1286-AR1286,AS1286)+AQ1287,0)</x:f>
        <x:v>114979.32117885415</x:v>
      </x:c>
      <x:c r="AT1287" s="11" t="n">
        <x:f>IF(AR1287&gt;0,MIN(1,AS1287/AR1287),1)</x:f>
        <x:v>0.15471557000287647</x:v>
      </x:c>
      <x:c r="AU1287" s="10" t="n">
        <x:f>AB1287/INDEX(v01_RepScale,G1287)</x:f>
        <x:v>89.08458030890833</x:v>
      </x:c>
      <x:c r="AV1287" s="32" t="n">
        <x:f>AM1287*60/v01_SeasonSeconds</x:f>
        <x:v>34734.50022792161</x:v>
      </x:c>
    </x:row>
    <x:row r="1288">
      <x:c r="A1288" s="8" t="n">
        <x:f>A1287+1</x:f>
        <x:v>1285</x:v>
      </x:c>
      <x:c r="B1288" s="9" t="n">
        <x:f>A1288*v01_SeasonSeconds/60</x:f>
        <x:v>321.25</x:v>
      </x:c>
      <x:c r="C1288" s="9" t="n">
        <x:f>A1288/4</x:f>
        <x:v>321.25</x:v>
      </x:c>
      <x:c r="D1288" s="8" t="n">
        <x:f>IF(MOD(A1288,4)=0,1,0)</x:f>
        <x:v>0</x:v>
      </x:c>
      <x:c r="E1288" s="8" t="n">
        <x:f>IF(AND(F1287&lt;=9,AS1287&gt;=AR1287),1,0)</x:f>
        <x:v>0</x:v>
      </x:c>
      <x:c r="F1288" s="8" t="n">
        <x:f>MIN(10,F1287+E1288)</x:f>
        <x:v>8</x:v>
      </x:c>
      <x:c r="G1288" s="8" t="n">
        <x:f>MIN(F1288,9)+1</x:f>
        <x:v>9</x:v>
      </x:c>
      <x:c r="H1288" s="8" t="n">
        <x:f>IF(F1288&lt;=9,1,0)</x:f>
        <x:v>1</x:v>
      </x:c>
      <x:c r="I1288" s="9" t="n">
        <x:f>MIN(10,F1287+IF(AR1287&gt;0,MIN(1,AS1287/AR1287),1))</x:f>
        <x:v>8.154715570002876</x:v>
      </x:c>
      <x:c r="J1288" s="32" t="n">
        <x:f>INDEX(v01_FoodCap,G1288)*Arch_FoodCap*EXP(v01_CapsByProject*SUMPRODUCT((Cap_Point&lt;=I1288)*(Cap_Kind="Food")*Cap_Ln))</x:f>
        <x:v>6000</x:v>
      </x:c>
      <x:c r="K1288" s="32" t="n">
        <x:f>J1288*MIN(1,v01_LeanBase*EXP(v01_CapsByProject*SUMPRODUCT((Cap_Point&lt;=I1288)*(Cap_Kind="Lean")*Cap_Ln)))</x:f>
        <x:v>6000</x:v>
      </x:c>
      <x:c r="L1288" s="10" t="n">
        <x:f>INDEX(v01_HousingCap,G1288)*EXP(v01_CapsByProject*SUMPRODUCT((Cap_Point&lt;=I1288)*(Cap_Kind="Housing")*Cap_Ln))</x:f>
        <x:v>10000</x:v>
      </x:c>
      <x:c r="M1288" s="10" t="n">
        <x:f>INDEX(v01_GroupCap,G1288)*v01_CohesionFactor*EXP(v01_CapsByProject*SUMPRODUCT((Cap_Point&lt;=I1288)*(Cap_Kind="Group")*Cap_Ln))</x:f>
        <x:v>1000000</x:v>
      </x:c>
      <x:c r="N1288" s="32" t="n">
        <x:f>MIN(J1288,L1288,M1288)</x:f>
        <x:v>6000</x:v>
      </x:c>
      <x:c r="O1288" s="10" t="n">
        <x:f>AE1287*N1288</x:f>
        <x:v>90000</x:v>
      </x:c>
      <x:c r="P1288" s="9" t="n">
        <x:f>MIN(1,(AB1287/(AE1287*IF(v01_GroupInCrowding=1,N1288,MIN(J1288,L1288))))^v01_CrowdingExp)</x:f>
        <x:v>0.00022961498390522325</x:v>
      </x:c>
      <x:c r="Q1288" s="9" t="n">
        <x:f>IF(D1288=1,INDEX(v01_WinterMult,G1288),1)</x:f>
        <x:v>1</x:v>
      </x:c>
      <x:c r="R1288" s="9" t="n">
        <x:f>H1288*Z1287*v01_WomenShare*v01_BaseFertility*INDEX(v01_FertMult,G1288)*Arch_Fertility*(1-P1288)</x:f>
        <x:v>213.02710356799614</x:v>
      </x:c>
      <x:c r="S1288" s="9" t="n">
        <x:f>H1288*Y1287*INDEX(v01_MortChild,G1288)/4*Q1288</x:f>
        <x:v>13.405299913478222</x:v>
      </x:c>
      <x:c r="T1288" s="9" t="n">
        <x:f>H1288*Z1287*INDEX(v01_MortAdult,G1288)*Arch_AdultMort/4*Q1288</x:f>
        <x:v>9.470045734087531</x:v>
      </x:c>
      <x:c r="U1288" s="9" t="n">
        <x:f>H1288*AA1287*INDEX(v01_MortElder,G1288)/4*Q1288</x:f>
        <x:v>33.81203642384813</x:v>
      </x:c>
      <x:c r="V1288" s="9" t="n">
        <x:f>H1288*MAX(0,AB1287-O1288)*v01_OvercapLoss</x:f>
        <x:v>0</x:v>
      </x:c>
      <x:c r="W1288" s="9" t="n">
        <x:f>H1288*Y1287/(v01_ChildYears*4)</x:f>
        <x:v>159.5869037318836</x:v>
      </x:c>
      <x:c r="X1288" s="9" t="n">
        <x:f>H1288*Z1287/(v01_AdultYears*4)</x:f>
        <x:v>76.37133656522202</x:v>
      </x:c>
      <x:c r="Y1288" s="32" t="n">
        <x:f>Y1287+R1288-S1288-W1288-Y1287*V1288/AB1287</x:f>
        <x:v>8976.901508908115</x:v>
      </x:c>
      <x:c r="Z1288" s="32" t="n">
        <x:f>Z1287+W1288-X1288-T1288-Z1287*V1288/AB1287</x:f>
        <x:v>9543.791255520106</x:v>
      </x:c>
      <x:c r="AA1288" s="32" t="n">
        <x:f>AA1287+X1288-U1288-AA1287*V1288/AB1287</x:f>
        <x:v>3906.7920342954453</x:v>
      </x:c>
      <x:c r="AB1288" s="10" t="n">
        <x:f>Y1288+Z1288+AA1288</x:f>
        <x:v>22427.484798723664</x:v>
      </x:c>
      <x:c r="AC1288" s="8" t="n">
        <x:f>IF(AND(v01_WinterTrigger=1,D1288=1,AB1287/AE1287&gt;=K1288),1,0)</x:f>
        <x:v>0</x:v>
      </x:c>
      <x:c r="AD1288" s="8" t="n">
        <x:f>H1288*IF(AND(OR(AB1287/AE1287&gt;=v01_FissionTrigger*N1288,AC1288=1),AB1287/AE1287*v01_DaughterShare&gt;=v01_MinDaughter),MAX(1,ROUND(AE1287*v01_FissionRate,0)),0)</x:f>
        <x:v>0</x:v>
      </x:c>
      <x:c r="AE1288" s="8" t="n">
        <x:f>IF(H1288=1,MAX(1,MIN(INDEX(v01_Smax,G1288),AE1287+AD1288)),AE1287)</x:f>
        <x:v>15</x:v>
      </x:c>
      <x:c r="AF1288" s="8" t="n">
        <x:f>MAX(0,AE1288-AE1287)</x:f>
        <x:v>0</x:v>
      </x:c>
      <x:c r="AG1288" s="9" t="str">
        <x:f>IF(AF1288&gt;0,B1288,"")</x:f>
      </x:c>
      <x:c r="AH1288" s="9" t="n">
        <x:f>IF(F1288&gt;=1,1,(1+v01_LowTiesShare*(AE1288-1))/AE1288)</x:f>
        <x:v>1</x:v>
      </x:c>
      <x:c r="AI1288" s="32" t="n">
        <x:f>(Z1288+v01_ElderCommons*INDEX(LM_Elder,G1288)*AA1288)*AH1288</x:f>
        <x:v>24194.261384128025</x:v>
      </x:c>
      <x:c r="AJ1288" s="32" t="n">
        <x:f>H1288*v01_CommonsCoef*AI1288^v01_CommonsExp*INDEX(LM_Commons,G1288)</x:f>
        <x:v>9628.478284364579</x:v>
      </x:c>
      <x:c r="AK1288" s="32" t="n">
        <x:f>H1288*v01_RoleScale*Arch_Roles*(AE1288*(INDEX(v01_ElderRolePerSett,G1288)*v01_OutElder*INDEX(LM_Elder,G1288)+INDEX(v01_ShamanPerSett,G1288)*v01_OutShaman)+Z1288*(INDEX(v01_PriestShare,G1288)*v01_OutPriest+INDEX(v01_ScribeShare,G1288)*v01_OutScribe*INDEX(LM_Scribe,G1288)+INDEX(v01_ScholarShare,G1288)*v01_OutScholar*INDEX(LM_Scholar,G1288)+INDEX(v01_ResearcherShare,G1288)*v01_OutResearcher*INDEX(LM_Researcher,G1288)))</x:f>
        <x:v>2515.3202872816155</x:v>
      </x:c>
      <x:c r="AL1288" s="32" t="n">
        <x:f>H1288*v01_RoleScale*Arch_Roles*AE1288*INDEX(v01_MonasteryPerSett,G1288)*v01_OutMonastery*INDEX(LM_Monastery,G1288)</x:f>
        <x:v>6.6000000000000005</x:v>
      </x:c>
      <x:c r="AM1288" s="32" t="n">
        <x:f>(AJ1288+AK1288+AL1288)/4*INDEX(LM_All,G1288)*INDEX(v01_Boon,G1288)*Arch_Insight</x:f>
        <x:v>8754.258589655408</x:v>
      </x:c>
      <x:c r="AN1288" s="32" t="n">
        <x:f>H1288*(v01_KHPerAdult*Z1288+v01_KHOfCommons*AJ1288/4*INDEX(LM_All,G1288))*v01_KHUsable*Arch_KH</x:f>
        <x:v>334.0326939432037</x:v>
      </x:c>
      <x:c r="AO1288" s="32" t="n">
        <x:f>MIN(AP1287+AN1288,AM1288*v01_KHMaxRatio)</x:f>
        <x:v>334.0326939432037</x:v>
      </x:c>
      <x:c r="AP1288" s="32" t="n">
        <x:f>AP1287+AN1288-AO1288</x:f>
        <x:v>0</x:v>
      </x:c>
      <x:c r="AQ1288" s="32" t="n">
        <x:f>AM1288+AO1288</x:f>
        <x:v>9088.291283598612</x:v>
      </x:c>
      <x:c r="AR1288" s="10" t="n">
        <x:f>IF(H1288=1,INDEX(v01_Req,G1288),0)</x:f>
        <x:v>743165.805333726</x:v>
      </x:c>
      <x:c r="AS1288" s="32" t="n">
        <x:f>IF(H1288=1,IF(E1288=1,AS1287-AR1287,AS1287)+AQ1288,0)</x:f>
        <x:v>124067.61246245276</x:v>
      </x:c>
      <x:c r="AT1288" s="11" t="n">
        <x:f>IF(AR1288&gt;0,MIN(1,AS1288/AR1288),1)</x:f>
        <x:v>0.16694472696673518</x:v>
      </x:c>
      <x:c r="AU1288" s="10" t="n">
        <x:f>AB1288/INDEX(v01_RepScale,G1288)</x:f>
        <x:v>89.70993919489466</x:v>
      </x:c>
      <x:c r="AV1288" s="32" t="n">
        <x:f>AM1288*60/v01_SeasonSeconds</x:f>
        <x:v>35017.03435862164</x:v>
      </x:c>
    </x:row>
    <x:row r="1289">
      <x:c r="A1289" s="8" t="n">
        <x:f>A1288+1</x:f>
        <x:v>1286</x:v>
      </x:c>
      <x:c r="B1289" s="9" t="n">
        <x:f>A1289*v01_SeasonSeconds/60</x:f>
        <x:v>321.5</x:v>
      </x:c>
      <x:c r="C1289" s="9" t="n">
        <x:f>A1289/4</x:f>
        <x:v>321.5</x:v>
      </x:c>
      <x:c r="D1289" s="8" t="n">
        <x:f>IF(MOD(A1289,4)=0,1,0)</x:f>
        <x:v>0</x:v>
      </x:c>
      <x:c r="E1289" s="8" t="n">
        <x:f>IF(AND(F1288&lt;=9,AS1288&gt;=AR1288),1,0)</x:f>
        <x:v>0</x:v>
      </x:c>
      <x:c r="F1289" s="8" t="n">
        <x:f>MIN(10,F1288+E1289)</x:f>
        <x:v>8</x:v>
      </x:c>
      <x:c r="G1289" s="8" t="n">
        <x:f>MIN(F1289,9)+1</x:f>
        <x:v>9</x:v>
      </x:c>
      <x:c r="H1289" s="8" t="n">
        <x:f>IF(F1289&lt;=9,1,0)</x:f>
        <x:v>1</x:v>
      </x:c>
      <x:c r="I1289" s="9" t="n">
        <x:f>MIN(10,F1288+IF(AR1288&gt;0,MIN(1,AS1288/AR1288),1))</x:f>
        <x:v>8.166944726966735</x:v>
      </x:c>
      <x:c r="J1289" s="32" t="n">
        <x:f>INDEX(v01_FoodCap,G1289)*Arch_FoodCap*EXP(v01_CapsByProject*SUMPRODUCT((Cap_Point&lt;=I1289)*(Cap_Kind="Food")*Cap_Ln))</x:f>
        <x:v>6000</x:v>
      </x:c>
      <x:c r="K1289" s="32" t="n">
        <x:f>J1289*MIN(1,v01_LeanBase*EXP(v01_CapsByProject*SUMPRODUCT((Cap_Point&lt;=I1289)*(Cap_Kind="Lean")*Cap_Ln)))</x:f>
        <x:v>6000</x:v>
      </x:c>
      <x:c r="L1289" s="10" t="n">
        <x:f>INDEX(v01_HousingCap,G1289)*EXP(v01_CapsByProject*SUMPRODUCT((Cap_Point&lt;=I1289)*(Cap_Kind="Housing")*Cap_Ln))</x:f>
        <x:v>10000</x:v>
      </x:c>
      <x:c r="M1289" s="10" t="n">
        <x:f>INDEX(v01_GroupCap,G1289)*v01_CohesionFactor*EXP(v01_CapsByProject*SUMPRODUCT((Cap_Point&lt;=I1289)*(Cap_Kind="Group")*Cap_Ln))</x:f>
        <x:v>1000000</x:v>
      </x:c>
      <x:c r="N1289" s="32" t="n">
        <x:f>MIN(J1289,L1289,M1289)</x:f>
        <x:v>6000</x:v>
      </x:c>
      <x:c r="O1289" s="10" t="n">
        <x:f>AE1288*N1289</x:f>
        <x:v>90000</x:v>
      </x:c>
      <x:c r="P1289" s="9" t="n">
        <x:f>MIN(1,(AB1288/(AE1288*IF(v01_GroupInCrowding=1,N1289,MIN(J1289,L1289))))^v01_CrowdingExp)</x:f>
        <x:v>0.00023945745877360788</x:v>
      </x:c>
      <x:c r="Q1289" s="9" t="n">
        <x:f>IF(D1289=1,INDEX(v01_WinterMult,G1289),1)</x:f>
        <x:v>1</x:v>
      </x:c>
      <x:c r="R1289" s="9" t="n">
        <x:f>H1289*Z1288*v01_WomenShare*v01_BaseFertility*INDEX(v01_FertMult,G1289)*Arch_Fertility*(1-P1289)</x:f>
        <x:v>214.68388327917728</x:v>
      </x:c>
      <x:c r="S1289" s="9" t="n">
        <x:f>H1289*Y1288*INDEX(v01_MortChild,G1289)/4*Q1289</x:f>
        <x:v>13.465352263362172</x:v>
      </x:c>
      <x:c r="T1289" s="9" t="n">
        <x:f>H1289*Z1288*INDEX(v01_MortAdult,G1289)*Arch_AdultMort/4*Q1289</x:f>
        <x:v>9.543791255520105</x:v>
      </x:c>
      <x:c r="U1289" s="9" t="n">
        <x:f>H1289*AA1288*INDEX(v01_MortElder,G1289)/4*Q1289</x:f>
        <x:v>34.18443030008515</x:v>
      </x:c>
      <x:c r="V1289" s="9" t="n">
        <x:f>H1289*MAX(0,AB1288-O1289)*v01_OvercapLoss</x:f>
        <x:v>0</x:v>
      </x:c>
      <x:c r="W1289" s="9" t="n">
        <x:f>H1289*Y1288/(v01_ChildYears*4)</x:f>
        <x:v>160.30181265907348</x:v>
      </x:c>
      <x:c r="X1289" s="9" t="n">
        <x:f>H1289*Z1288/(v01_AdultYears*4)</x:f>
        <x:v>76.96605851225891</x:v>
      </x:c>
      <x:c r="Y1289" s="32" t="n">
        <x:f>Y1288+R1289-S1289-W1289-Y1288*V1289/AB1288</x:f>
        <x:v>9017.818227264856</x:v>
      </x:c>
      <x:c r="Z1289" s="32" t="n">
        <x:f>Z1288+W1289-X1289-T1289-Z1288*V1289/AB1288</x:f>
        <x:v>9617.5832184114</x:v>
      </x:c>
      <x:c r="AA1289" s="32" t="n">
        <x:f>AA1288+X1289-U1289-AA1288*V1289/AB1288</x:f>
        <x:v>3949.573662507619</x:v>
      </x:c>
      <x:c r="AB1289" s="10" t="n">
        <x:f>Y1289+Z1289+AA1289</x:f>
        <x:v>22584.975108183877</x:v>
      </x:c>
      <x:c r="AC1289" s="8" t="n">
        <x:f>IF(AND(v01_WinterTrigger=1,D1289=1,AB1288/AE1288&gt;=K1289),1,0)</x:f>
        <x:v>0</x:v>
      </x:c>
      <x:c r="AD1289" s="8" t="n">
        <x:f>H1289*IF(AND(OR(AB1288/AE1288&gt;=v01_FissionTrigger*N1289,AC1289=1),AB1288/AE1288*v01_DaughterShare&gt;=v01_MinDaughter),MAX(1,ROUND(AE1288*v01_FissionRate,0)),0)</x:f>
        <x:v>0</x:v>
      </x:c>
      <x:c r="AE1289" s="8" t="n">
        <x:f>IF(H1289=1,MAX(1,MIN(INDEX(v01_Smax,G1289),AE1288+AD1289)),AE1288)</x:f>
        <x:v>15</x:v>
      </x:c>
      <x:c r="AF1289" s="8" t="n">
        <x:f>MAX(0,AE1289-AE1288)</x:f>
        <x:v>0</x:v>
      </x:c>
      <x:c r="AG1289" s="9" t="str">
        <x:f>IF(AF1289&gt;0,B1289,"")</x:f>
      </x:c>
      <x:c r="AH1289" s="9" t="n">
        <x:f>IF(F1289&gt;=1,1,(1+v01_LowTiesShare*(AE1289-1))/AE1289)</x:f>
        <x:v>1</x:v>
      </x:c>
      <x:c r="AI1289" s="32" t="n">
        <x:f>(Z1289+v01_ElderCommons*INDEX(LM_Elder,G1289)*AA1289)*AH1289</x:f>
        <x:v>24428.48445281497</x:v>
      </x:c>
      <x:c r="AJ1289" s="32" t="n">
        <x:f>H1289*v01_CommonsCoef*AI1289^v01_CommonsExp*INDEX(LM_Commons,G1289)</x:f>
        <x:v>9707.651740143001</x:v>
      </x:c>
      <x:c r="AK1289" s="32" t="n">
        <x:f>H1289*v01_RoleScale*Arch_Roles*(AE1289*(INDEX(v01_ElderRolePerSett,G1289)*v01_OutElder*INDEX(LM_Elder,G1289)+INDEX(v01_ShamanPerSett,G1289)*v01_OutShaman)+Z1289*(INDEX(v01_PriestShare,G1289)*v01_OutPriest+INDEX(v01_ScribeShare,G1289)*v01_OutScribe*INDEX(LM_Scribe,G1289)+INDEX(v01_ScholarShare,G1289)*v01_OutScholar*INDEX(LM_Scholar,G1289)+INDEX(v01_ResearcherShare,G1289)*v01_OutResearcher*INDEX(LM_Researcher,G1289)))</x:f>
        <x:v>2534.3771482614948</x:v>
      </x:c>
      <x:c r="AL1289" s="32" t="n">
        <x:f>H1289*v01_RoleScale*Arch_Roles*AE1289*INDEX(v01_MonasteryPerSett,G1289)*v01_OutMonastery*INDEX(LM_Monastery,G1289)</x:f>
        <x:v>6.6000000000000005</x:v>
      </x:c>
      <x:c r="AM1289" s="32" t="n">
        <x:f>(AJ1289+AK1289+AL1289)/4*INDEX(LM_All,G1289)*INDEX(v01_Boon,G1289)*Arch_Insight</x:f>
        <x:v>8825.03269547385</x:v>
      </x:c>
      <x:c r="AN1289" s="32" t="n">
        <x:f>H1289*(v01_KHPerAdult*Z1289+v01_KHOfCommons*AJ1289/4*INDEX(LM_All,G1289))*v01_KHUsable*Arch_KH</x:f>
        <x:v>336.615412644399</x:v>
      </x:c>
      <x:c r="AO1289" s="32" t="n">
        <x:f>MIN(AP1288+AN1289,AM1289*v01_KHMaxRatio)</x:f>
        <x:v>336.615412644399</x:v>
      </x:c>
      <x:c r="AP1289" s="32" t="n">
        <x:f>AP1288+AN1289-AO1289</x:f>
        <x:v>0</x:v>
      </x:c>
      <x:c r="AQ1289" s="32" t="n">
        <x:f>AM1289+AO1289</x:f>
        <x:v>9161.64810811825</x:v>
      </x:c>
      <x:c r="AR1289" s="10" t="n">
        <x:f>IF(H1289=1,INDEX(v01_Req,G1289),0)</x:f>
        <x:v>743165.805333726</x:v>
      </x:c>
      <x:c r="AS1289" s="32" t="n">
        <x:f>IF(H1289=1,IF(E1289=1,AS1288-AR1288,AS1288)+AQ1289,0)</x:f>
        <x:v>133229.260570571</x:v>
      </x:c>
      <x:c r="AT1289" s="11" t="n">
        <x:f>IF(AR1289&gt;0,MIN(1,AS1289/AR1289),1)</x:f>
        <x:v>0.17927259248794833</x:v>
      </x:c>
      <x:c r="AU1289" s="10" t="n">
        <x:f>AB1289/INDEX(v01_RepScale,G1289)</x:f>
        <x:v>90.3399004327355</x:v>
      </x:c>
      <x:c r="AV1289" s="32" t="n">
        <x:f>AM1289*60/v01_SeasonSeconds</x:f>
        <x:v>35300.1307818954</x:v>
      </x:c>
    </x:row>
    <x:row r="1290">
      <x:c r="A1290" s="8" t="n">
        <x:f>A1289+1</x:f>
        <x:v>1287</x:v>
      </x:c>
      <x:c r="B1290" s="9" t="n">
        <x:f>A1290*v01_SeasonSeconds/60</x:f>
        <x:v>321.75</x:v>
      </x:c>
      <x:c r="C1290" s="9" t="n">
        <x:f>A1290/4</x:f>
        <x:v>321.75</x:v>
      </x:c>
      <x:c r="D1290" s="8" t="n">
        <x:f>IF(MOD(A1290,4)=0,1,0)</x:f>
        <x:v>0</x:v>
      </x:c>
      <x:c r="E1290" s="8" t="n">
        <x:f>IF(AND(F1289&lt;=9,AS1289&gt;=AR1289),1,0)</x:f>
        <x:v>0</x:v>
      </x:c>
      <x:c r="F1290" s="8" t="n">
        <x:f>MIN(10,F1289+E1290)</x:f>
        <x:v>8</x:v>
      </x:c>
      <x:c r="G1290" s="8" t="n">
        <x:f>MIN(F1290,9)+1</x:f>
        <x:v>9</x:v>
      </x:c>
      <x:c r="H1290" s="8" t="n">
        <x:f>IF(F1290&lt;=9,1,0)</x:f>
        <x:v>1</x:v>
      </x:c>
      <x:c r="I1290" s="9" t="n">
        <x:f>MIN(10,F1289+IF(AR1289&gt;0,MIN(1,AS1289/AR1289),1))</x:f>
        <x:v>8.179272592487948</x:v>
      </x:c>
      <x:c r="J1290" s="32" t="n">
        <x:f>INDEX(v01_FoodCap,G1290)*Arch_FoodCap*EXP(v01_CapsByProject*SUMPRODUCT((Cap_Point&lt;=I1290)*(Cap_Kind="Food")*Cap_Ln))</x:f>
        <x:v>6000</x:v>
      </x:c>
      <x:c r="K1290" s="32" t="n">
        <x:f>J1290*MIN(1,v01_LeanBase*EXP(v01_CapsByProject*SUMPRODUCT((Cap_Point&lt;=I1290)*(Cap_Kind="Lean")*Cap_Ln)))</x:f>
        <x:v>6000</x:v>
      </x:c>
      <x:c r="L1290" s="10" t="n">
        <x:f>INDEX(v01_HousingCap,G1290)*EXP(v01_CapsByProject*SUMPRODUCT((Cap_Point&lt;=I1290)*(Cap_Kind="Housing")*Cap_Ln))</x:f>
        <x:v>10000</x:v>
      </x:c>
      <x:c r="M1290" s="10" t="n">
        <x:f>INDEX(v01_GroupCap,G1290)*v01_CohesionFactor*EXP(v01_CapsByProject*SUMPRODUCT((Cap_Point&lt;=I1290)*(Cap_Kind="Group")*Cap_Ln))</x:f>
        <x:v>1000000</x:v>
      </x:c>
      <x:c r="N1290" s="32" t="n">
        <x:f>MIN(J1290,L1290,M1290)</x:f>
        <x:v>6000</x:v>
      </x:c>
      <x:c r="O1290" s="10" t="n">
        <x:f>AE1289*N1290</x:f>
        <x:v>90000</x:v>
      </x:c>
      <x:c r="P1290" s="9" t="n">
        <x:f>MIN(1,(AB1289/(AE1289*IF(v01_GroupInCrowding=1,N1290,MIN(J1290,L1290))))^v01_CrowdingExp)</x:f>
        <x:v>0.0002497253559493842</x:v>
      </x:c>
      <x:c r="Q1290" s="9" t="n">
        <x:f>IF(D1290=1,INDEX(v01_WinterMult,G1290),1)</x:f>
        <x:v>1</x:v>
      </x:c>
      <x:c r="R1290" s="9" t="n">
        <x:f>H1290*Z1289*v01_WomenShare*v01_BaseFertility*INDEX(v01_FertMult,G1290)*Arch_Fertility*(1-P1290)</x:f>
        <x:v>216.34158294042325</x:v>
      </x:c>
      <x:c r="S1290" s="9" t="n">
        <x:f>H1290*Y1289*INDEX(v01_MortChild,G1290)/4*Q1290</x:f>
        <x:v>13.526727340897283</x:v>
      </x:c>
      <x:c r="T1290" s="9" t="n">
        <x:f>H1290*Z1289*INDEX(v01_MortAdult,G1290)*Arch_AdultMort/4*Q1290</x:f>
        <x:v>9.6175832184114</x:v>
      </x:c>
      <x:c r="U1290" s="9" t="n">
        <x:f>H1290*AA1289*INDEX(v01_MortElder,G1290)/4*Q1290</x:f>
        <x:v>34.55876954694167</x:v>
      </x:c>
      <x:c r="V1290" s="9" t="n">
        <x:f>H1290*MAX(0,AB1289-O1290)*v01_OvercapLoss</x:f>
        <x:v>0</x:v>
      </x:c>
      <x:c r="W1290" s="9" t="n">
        <x:f>H1290*Y1289/(v01_ChildYears*4)</x:f>
        <x:v>161.03246834401529</x:v>
      </x:c>
      <x:c r="X1290" s="9" t="n">
        <x:f>H1290*Z1289/(v01_AdultYears*4)</x:f>
        <x:v>77.56115498718871</x:v>
      </x:c>
      <x:c r="Y1290" s="32" t="n">
        <x:f>Y1289+R1290-S1290-W1290-Y1289*V1290/AB1289</x:f>
        <x:v>9059.600614520366</x:v>
      </x:c>
      <x:c r="Z1290" s="32" t="n">
        <x:f>Z1289+W1290-X1290-T1290-Z1289*V1290/AB1289</x:f>
        <x:v>9691.436948549817</x:v>
      </x:c>
      <x:c r="AA1290" s="32" t="n">
        <x:f>AA1289+X1290-U1290-AA1289*V1290/AB1289</x:f>
        <x:v>3992.576047947866</x:v>
      </x:c>
      <x:c r="AB1290" s="10" t="n">
        <x:f>Y1290+Z1290+AA1290</x:f>
        <x:v>22743.61361101805</x:v>
      </x:c>
      <x:c r="AC1290" s="8" t="n">
        <x:f>IF(AND(v01_WinterTrigger=1,D1290=1,AB1289/AE1289&gt;=K1290),1,0)</x:f>
        <x:v>0</x:v>
      </x:c>
      <x:c r="AD1290" s="8" t="n">
        <x:f>H1290*IF(AND(OR(AB1289/AE1289&gt;=v01_FissionTrigger*N1290,AC1290=1),AB1289/AE1289*v01_DaughterShare&gt;=v01_MinDaughter),MAX(1,ROUND(AE1289*v01_FissionRate,0)),0)</x:f>
        <x:v>0</x:v>
      </x:c>
      <x:c r="AE1290" s="8" t="n">
        <x:f>IF(H1290=1,MAX(1,MIN(INDEX(v01_Smax,G1290),AE1289+AD1290)),AE1289)</x:f>
        <x:v>15</x:v>
      </x:c>
      <x:c r="AF1290" s="8" t="n">
        <x:f>MAX(0,AE1290-AE1289)</x:f>
        <x:v>0</x:v>
      </x:c>
      <x:c r="AG1290" s="9" t="str">
        <x:f>IF(AF1290&gt;0,B1290,"")</x:f>
      </x:c>
      <x:c r="AH1290" s="9" t="n">
        <x:f>IF(F1290&gt;=1,1,(1+v01_LowTiesShare*(AE1290-1))/AE1290)</x:f>
        <x:v>1</x:v>
      </x:c>
      <x:c r="AI1290" s="32" t="n">
        <x:f>(Z1290+v01_ElderCommons*INDEX(LM_Elder,G1290)*AA1290)*AH1290</x:f>
        <x:v>24663.597128354315</x:v>
      </x:c>
      <x:c r="AJ1290" s="32" t="n">
        <x:f>H1290*v01_CommonsCoef*AI1290^v01_CommonsExp*INDEX(LM_Commons,G1290)</x:f>
        <x:v>9787.011469909217</x:v>
      </x:c>
      <x:c r="AK1290" s="32" t="n">
        <x:f>H1290*v01_RoleScale*Arch_Roles*(AE1290*(INDEX(v01_ElderRolePerSett,G1290)*v01_OutElder*INDEX(LM_Elder,G1290)+INDEX(v01_ShamanPerSett,G1290)*v01_OutShaman)+Z1290*(INDEX(v01_PriestShare,G1290)*v01_OutPriest+INDEX(v01_ScribeShare,G1290)*v01_OutScribe*INDEX(LM_Scribe,G1290)+INDEX(v01_ScholarShare,G1290)*v01_OutScholar*INDEX(LM_Scholar,G1290)+INDEX(v01_ResearcherShare,G1290)*v01_OutResearcher*INDEX(LM_Researcher,G1290)))</x:f>
        <x:v>2553.4499607054004</x:v>
      </x:c>
      <x:c r="AL1290" s="32" t="n">
        <x:f>H1290*v01_RoleScale*Arch_Roles*AE1290*INDEX(v01_MonasteryPerSett,G1290)*v01_OutMonastery*INDEX(LM_Monastery,G1290)</x:f>
        <x:v>6.6000000000000005</x:v>
      </x:c>
      <x:c r="AM1290" s="32" t="n">
        <x:f>(AJ1290+AK1290+AL1290)/4*INDEX(LM_All,G1290)*INDEX(v01_Boon,G1290)*Arch_Insight</x:f>
        <x:v>8895.952503006372</x:v>
      </x:c>
      <x:c r="AN1290" s="32" t="n">
        <x:f>H1290*(v01_KHPerAdult*Z1290+v01_KHOfCommons*AJ1290/4*INDEX(LM_All,G1290))*v01_KHUsable*Arch_KH</x:f>
        <x:v>339.20029319924356</x:v>
      </x:c>
      <x:c r="AO1290" s="32" t="n">
        <x:f>MIN(AP1289+AN1290,AM1290*v01_KHMaxRatio)</x:f>
        <x:v>339.20029319924356</x:v>
      </x:c>
      <x:c r="AP1290" s="32" t="n">
        <x:f>AP1289+AN1290-AO1290</x:f>
        <x:v>0</x:v>
      </x:c>
      <x:c r="AQ1290" s="32" t="n">
        <x:f>AM1290+AO1290</x:f>
        <x:v>9235.152796205615</x:v>
      </x:c>
      <x:c r="AR1290" s="10" t="n">
        <x:f>IF(H1290=1,INDEX(v01_Req,G1290),0)</x:f>
        <x:v>743165.805333726</x:v>
      </x:c>
      <x:c r="AS1290" s="32" t="n">
        <x:f>IF(H1290=1,IF(E1290=1,AS1289-AR1289,AS1289)+AQ1290,0)</x:f>
        <x:v>142464.41336677663</x:v>
      </x:c>
      <x:c r="AT1290" s="11" t="n">
        <x:f>IF(AR1290&gt;0,MIN(1,AS1290/AR1290),1)</x:f>
        <x:v>0.19169936553095518</x:v>
      </x:c>
      <x:c r="AU1290" s="10" t="n">
        <x:f>AB1290/INDEX(v01_RepScale,G1290)</x:f>
        <x:v>90.9744544440722</x:v>
      </x:c>
      <x:c r="AV1290" s="32" t="n">
        <x:f>AM1290*60/v01_SeasonSeconds</x:f>
        <x:v>35583.81001202549</x:v>
      </x:c>
    </x:row>
    <x:row r="1291">
      <x:c r="A1291" s="8" t="n">
        <x:f>A1290+1</x:f>
        <x:v>1288</x:v>
      </x:c>
      <x:c r="B1291" s="9" t="n">
        <x:f>A1291*v01_SeasonSeconds/60</x:f>
        <x:v>322</x:v>
      </x:c>
      <x:c r="C1291" s="9" t="n">
        <x:f>A1291/4</x:f>
        <x:v>322</x:v>
      </x:c>
      <x:c r="D1291" s="8" t="n">
        <x:f>IF(MOD(A1291,4)=0,1,0)</x:f>
        <x:v>1</x:v>
      </x:c>
      <x:c r="E1291" s="8" t="n">
        <x:f>IF(AND(F1290&lt;=9,AS1290&gt;=AR1290),1,0)</x:f>
        <x:v>0</x:v>
      </x:c>
      <x:c r="F1291" s="8" t="n">
        <x:f>MIN(10,F1290+E1291)</x:f>
        <x:v>8</x:v>
      </x:c>
      <x:c r="G1291" s="8" t="n">
        <x:f>MIN(F1291,9)+1</x:f>
        <x:v>9</x:v>
      </x:c>
      <x:c r="H1291" s="8" t="n">
        <x:f>IF(F1291&lt;=9,1,0)</x:f>
        <x:v>1</x:v>
      </x:c>
      <x:c r="I1291" s="9" t="n">
        <x:f>MIN(10,F1290+IF(AR1290&gt;0,MIN(1,AS1290/AR1290),1))</x:f>
        <x:v>8.191699365530955</x:v>
      </x:c>
      <x:c r="J1291" s="32" t="n">
        <x:f>INDEX(v01_FoodCap,G1291)*Arch_FoodCap*EXP(v01_CapsByProject*SUMPRODUCT((Cap_Point&lt;=I1291)*(Cap_Kind="Food")*Cap_Ln))</x:f>
        <x:v>6000</x:v>
      </x:c>
      <x:c r="K1291" s="32" t="n">
        <x:f>J1291*MIN(1,v01_LeanBase*EXP(v01_CapsByProject*SUMPRODUCT((Cap_Point&lt;=I1291)*(Cap_Kind="Lean")*Cap_Ln)))</x:f>
        <x:v>6000</x:v>
      </x:c>
      <x:c r="L1291" s="10" t="n">
        <x:f>INDEX(v01_HousingCap,G1291)*EXP(v01_CapsByProject*SUMPRODUCT((Cap_Point&lt;=I1291)*(Cap_Kind="Housing")*Cap_Ln))</x:f>
        <x:v>10000</x:v>
      </x:c>
      <x:c r="M1291" s="10" t="n">
        <x:f>INDEX(v01_GroupCap,G1291)*v01_CohesionFactor*EXP(v01_CapsByProject*SUMPRODUCT((Cap_Point&lt;=I1291)*(Cap_Kind="Group")*Cap_Ln))</x:f>
        <x:v>1000000</x:v>
      </x:c>
      <x:c r="N1291" s="32" t="n">
        <x:f>MIN(J1291,L1291,M1291)</x:f>
        <x:v>6000</x:v>
      </x:c>
      <x:c r="O1291" s="10" t="n">
        <x:f>AE1290*N1291</x:f>
        <x:v>90000</x:v>
      </x:c>
      <x:c r="P1291" s="9" t="n">
        <x:f>MIN(1,(AB1290/(AE1290*IF(v01_GroupInCrowding=1,N1291,MIN(J1291,L1291))))^v01_CrowdingExp)</x:f>
        <x:v>0.0002604364427188277</x:v>
      </x:c>
      <x:c r="Q1291" s="9" t="n">
        <x:f>IF(D1291=1,INDEX(v01_WinterMult,G1291),1)</x:f>
        <x:v>1</x:v>
      </x:c>
      <x:c r="R1291" s="9" t="n">
        <x:f>H1291*Z1290*v01_WomenShare*v01_BaseFertility*INDEX(v01_FertMult,G1291)*Arch_Fertility*(1-P1291)</x:f>
        <x:v>218.00054126668732</x:v>
      </x:c>
      <x:c r="S1291" s="9" t="n">
        <x:f>H1291*Y1290*INDEX(v01_MortChild,G1291)/4*Q1291</x:f>
        <x:v>13.58940092178055</x:v>
      </x:c>
      <x:c r="T1291" s="9" t="n">
        <x:f>H1291*Z1290*INDEX(v01_MortAdult,G1291)*Arch_AdultMort/4*Q1291</x:f>
        <x:v>9.691436948549818</x:v>
      </x:c>
      <x:c r="U1291" s="9" t="n">
        <x:f>H1291*AA1290*INDEX(v01_MortElder,G1291)/4*Q1291</x:f>
        <x:v>34.93504041954383</x:v>
      </x:c>
      <x:c r="V1291" s="9" t="n">
        <x:f>H1291*MAX(0,AB1290-O1291)*v01_OvercapLoss</x:f>
        <x:v>0</x:v>
      </x:c>
      <x:c r="W1291" s="9" t="n">
        <x:f>H1291*Y1290/(v01_ChildYears*4)</x:f>
        <x:v>161.7785824021494</x:v>
      </x:c>
      <x:c r="X1291" s="9" t="n">
        <x:f>H1291*Z1290/(v01_AdultYears*4)</x:f>
        <x:v>78.15674958507917</x:v>
      </x:c>
      <x:c r="Y1291" s="32" t="n">
        <x:f>Y1290+R1291-S1291-W1291-Y1290*V1291/AB1290</x:f>
        <x:v>9102.233172463122</x:v>
      </x:c>
      <x:c r="Z1291" s="32" t="n">
        <x:f>Z1290+W1291-X1291-T1291-Z1290*V1291/AB1290</x:f>
        <x:v>9765.367344418339</x:v>
      </x:c>
      <x:c r="AA1291" s="32" t="n">
        <x:f>AA1290+X1291-U1291-AA1290*V1291/AB1290</x:f>
        <x:v>4035.797757113401</x:v>
      </x:c>
      <x:c r="AB1291" s="10" t="n">
        <x:f>Y1291+Z1291+AA1291</x:f>
        <x:v>22903.39827399486</x:v>
      </x:c>
      <x:c r="AC1291" s="8" t="n">
        <x:f>IF(AND(v01_WinterTrigger=1,D1291=1,AB1290/AE1290&gt;=K1291),1,0)</x:f>
        <x:v>0</x:v>
      </x:c>
      <x:c r="AD1291" s="8" t="n">
        <x:f>H1291*IF(AND(OR(AB1290/AE1290&gt;=v01_FissionTrigger*N1291,AC1291=1),AB1290/AE1290*v01_DaughterShare&gt;=v01_MinDaughter),MAX(1,ROUND(AE1290*v01_FissionRate,0)),0)</x:f>
        <x:v>0</x:v>
      </x:c>
      <x:c r="AE1291" s="8" t="n">
        <x:f>IF(H1291=1,MAX(1,MIN(INDEX(v01_Smax,G1291),AE1290+AD1291)),AE1290)</x:f>
        <x:v>15</x:v>
      </x:c>
      <x:c r="AF1291" s="8" t="n">
        <x:f>MAX(0,AE1291-AE1290)</x:f>
        <x:v>0</x:v>
      </x:c>
      <x:c r="AG1291" s="9" t="str">
        <x:f>IF(AF1291&gt;0,B1291,"")</x:f>
      </x:c>
      <x:c r="AH1291" s="9" t="n">
        <x:f>IF(F1291&gt;=1,1,(1+v01_LowTiesShare*(AE1291-1))/AE1291)</x:f>
        <x:v>1</x:v>
      </x:c>
      <x:c r="AI1291" s="32" t="n">
        <x:f>(Z1291+v01_ElderCommons*INDEX(LM_Elder,G1291)*AA1291)*AH1291</x:f>
        <x:v>24899.60893359359</x:v>
      </x:c>
      <x:c r="AJ1291" s="32" t="n">
        <x:f>H1291*v01_CommonsCoef*AI1291^v01_CommonsExp*INDEX(LM_Commons,G1291)</x:f>
        <x:v>9866.560642805644</x:v>
      </x:c>
      <x:c r="AK1291" s="32" t="n">
        <x:f>H1291*v01_RoleScale*Arch_Roles*(AE1291*(INDEX(v01_ElderRolePerSett,G1291)*v01_OutElder*INDEX(LM_Elder,G1291)+INDEX(v01_ShamanPerSett,G1291)*v01_OutShaman)+Z1291*(INDEX(v01_PriestShare,G1291)*v01_OutPriest+INDEX(v01_ScribeShare,G1291)*v01_OutScribe*INDEX(LM_Scribe,G1291)+INDEX(v01_ScholarShare,G1291)*v01_OutScholar*INDEX(LM_Scholar,G1291)+INDEX(v01_ResearcherShare,G1291)*v01_OutResearcher*INDEX(LM_Researcher,G1291)))</x:f>
        <x:v>2572.5425721640404</x:v>
      </x:c>
      <x:c r="AL1291" s="32" t="n">
        <x:f>H1291*v01_RoleScale*Arch_Roles*AE1291*INDEX(v01_MonasteryPerSett,G1291)*v01_OutMonastery*INDEX(LM_Monastery,G1291)</x:f>
        <x:v>6.6000000000000005</x:v>
      </x:c>
      <x:c r="AM1291" s="32" t="n">
        <x:f>(AJ1291+AK1291+AL1291)/4*INDEX(LM_All,G1291)*INDEX(v01_Boon,G1291)*Arch_Insight</x:f>
        <x:v>8967.023067720553</x:v>
      </x:c>
      <x:c r="AN1291" s="32" t="n">
        <x:f>H1291*(v01_KHPerAdult*Z1291+v01_KHOfCommons*AJ1291/4*INDEX(LM_All,G1291))*v01_KHUsable*Arch_KH</x:f>
        <x:v>341.78785705464185</x:v>
      </x:c>
      <x:c r="AO1291" s="32" t="n">
        <x:f>MIN(AP1290+AN1291,AM1291*v01_KHMaxRatio)</x:f>
        <x:v>341.78785705464185</x:v>
      </x:c>
      <x:c r="AP1291" s="32" t="n">
        <x:f>AP1290+AN1291-AO1291</x:f>
        <x:v>0</x:v>
      </x:c>
      <x:c r="AQ1291" s="32" t="n">
        <x:f>AM1291+AO1291</x:f>
        <x:v>9308.810924775195</x:v>
      </x:c>
      <x:c r="AR1291" s="10" t="n">
        <x:f>IF(H1291=1,INDEX(v01_Req,G1291),0)</x:f>
        <x:v>743165.805333726</x:v>
      </x:c>
      <x:c r="AS1291" s="32" t="n">
        <x:f>IF(H1291=1,IF(E1291=1,AS1290-AR1290,AS1290)+AQ1291,0)</x:f>
        <x:v>151773.22429155183</x:v>
      </x:c>
      <x:c r="AT1291" s="11" t="n">
        <x:f>IF(AR1291&gt;0,MIN(1,AS1291/AR1291),1)</x:f>
        <x:v>0.20422525256446178</x:v>
      </x:c>
      <x:c r="AU1291" s="10" t="n">
        <x:f>AB1291/INDEX(v01_RepScale,G1291)</x:f>
        <x:v>91.61359309597944</x:v>
      </x:c>
      <x:c r="AV1291" s="32" t="n">
        <x:f>AM1291*60/v01_SeasonSeconds</x:f>
        <x:v>35868.09227088221</x:v>
      </x:c>
    </x:row>
    <x:row r="1292">
      <x:c r="A1292" s="8" t="n">
        <x:f>A1291+1</x:f>
        <x:v>1289</x:v>
      </x:c>
      <x:c r="B1292" s="9" t="n">
        <x:f>A1292*v01_SeasonSeconds/60</x:f>
        <x:v>322.25</x:v>
      </x:c>
      <x:c r="C1292" s="9" t="n">
        <x:f>A1292/4</x:f>
        <x:v>322.25</x:v>
      </x:c>
      <x:c r="D1292" s="8" t="n">
        <x:f>IF(MOD(A1292,4)=0,1,0)</x:f>
        <x:v>0</x:v>
      </x:c>
      <x:c r="E1292" s="8" t="n">
        <x:f>IF(AND(F1291&lt;=9,AS1291&gt;=AR1291),1,0)</x:f>
        <x:v>0</x:v>
      </x:c>
      <x:c r="F1292" s="8" t="n">
        <x:f>MIN(10,F1291+E1292)</x:f>
        <x:v>8</x:v>
      </x:c>
      <x:c r="G1292" s="8" t="n">
        <x:f>MIN(F1292,9)+1</x:f>
        <x:v>9</x:v>
      </x:c>
      <x:c r="H1292" s="8" t="n">
        <x:f>IF(F1292&lt;=9,1,0)</x:f>
        <x:v>1</x:v>
      </x:c>
      <x:c r="I1292" s="9" t="n">
        <x:f>MIN(10,F1291+IF(AR1291&gt;0,MIN(1,AS1291/AR1291),1))</x:f>
        <x:v>8.204225252564461</x:v>
      </x:c>
      <x:c r="J1292" s="32" t="n">
        <x:f>INDEX(v01_FoodCap,G1292)*Arch_FoodCap*EXP(v01_CapsByProject*SUMPRODUCT((Cap_Point&lt;=I1292)*(Cap_Kind="Food")*Cap_Ln))</x:f>
        <x:v>6000</x:v>
      </x:c>
      <x:c r="K1292" s="32" t="n">
        <x:f>J1292*MIN(1,v01_LeanBase*EXP(v01_CapsByProject*SUMPRODUCT((Cap_Point&lt;=I1292)*(Cap_Kind="Lean")*Cap_Ln)))</x:f>
        <x:v>6000</x:v>
      </x:c>
      <x:c r="L1292" s="10" t="n">
        <x:f>INDEX(v01_HousingCap,G1292)*EXP(v01_CapsByProject*SUMPRODUCT((Cap_Point&lt;=I1292)*(Cap_Kind="Housing")*Cap_Ln))</x:f>
        <x:v>10000</x:v>
      </x:c>
      <x:c r="M1292" s="10" t="n">
        <x:f>INDEX(v01_GroupCap,G1292)*v01_CohesionFactor*EXP(v01_CapsByProject*SUMPRODUCT((Cap_Point&lt;=I1292)*(Cap_Kind="Group")*Cap_Ln))</x:f>
        <x:v>1000000</x:v>
      </x:c>
      <x:c r="N1292" s="32" t="n">
        <x:f>MIN(J1292,L1292,M1292)</x:f>
        <x:v>6000</x:v>
      </x:c>
      <x:c r="O1292" s="10" t="n">
        <x:f>AE1291*N1292</x:f>
        <x:v>90000</x:v>
      </x:c>
      <x:c r="P1292" s="9" t="n">
        <x:f>MIN(1,(AB1291/(AE1291*IF(v01_GroupInCrowding=1,N1292,MIN(J1292,L1292))))^v01_CrowdingExp)</x:f>
        <x:v>0.00027160921148851124</x:v>
      </x:c>
      <x:c r="Q1292" s="9" t="n">
        <x:f>IF(D1292=1,INDEX(v01_WinterMult,G1292),1)</x:f>
        <x:v>1</x:v>
      </x:c>
      <x:c r="R1292" s="9" t="n">
        <x:f>H1292*Z1291*v01_WomenShare*v01_BaseFertility*INDEX(v01_FertMult,G1292)*Arch_Fertility*(1-P1292)</x:f>
        <x:v>219.6610870656156</x:v>
      </x:c>
      <x:c r="S1292" s="9" t="n">
        <x:f>H1292*Y1291*INDEX(v01_MortChild,G1292)/4*Q1292</x:f>
        <x:v>13.653349758694684</x:v>
      </x:c>
      <x:c r="T1292" s="9" t="n">
        <x:f>H1292*Z1291*INDEX(v01_MortAdult,G1292)*Arch_AdultMort/4*Q1292</x:f>
        <x:v>9.765367344418339</x:v>
      </x:c>
      <x:c r="U1292" s="9" t="n">
        <x:f>H1292*AA1291*INDEX(v01_MortElder,G1292)/4*Q1292</x:f>
        <x:v>35.31323037474226</x:v>
      </x:c>
      <x:c r="V1292" s="9" t="n">
        <x:f>H1292*MAX(0,AB1291-O1292)*v01_OvercapLoss</x:f>
        <x:v>0</x:v>
      </x:c>
      <x:c r="W1292" s="9" t="n">
        <x:f>H1292*Y1291/(v01_ChildYears*4)</x:f>
        <x:v>162.5398780796986</x:v>
      </x:c>
      <x:c r="X1292" s="9" t="n">
        <x:f>H1292*Z1291/(v01_AdultYears*4)</x:f>
        <x:v>78.7529624549866</x:v>
      </x:c>
      <x:c r="Y1292" s="32" t="n">
        <x:f>Y1291+R1292-S1292-W1292-Y1291*V1292/AB1291</x:f>
        <x:v>9145.701031690343</x:v>
      </x:c>
      <x:c r="Z1292" s="32" t="n">
        <x:f>Z1291+W1292-X1292-T1292-Z1291*V1292/AB1291</x:f>
        <x:v>9839.388892698633</x:v>
      </x:c>
      <x:c r="AA1292" s="32" t="n">
        <x:f>AA1291+X1292-U1292-AA1291*V1292/AB1291</x:f>
        <x:v>4079.237489193645</x:v>
      </x:c>
      <x:c r="AB1292" s="10" t="n">
        <x:f>Y1292+Z1292+AA1292</x:f>
        <x:v>23064.32741358262</x:v>
      </x:c>
      <x:c r="AC1292" s="8" t="n">
        <x:f>IF(AND(v01_WinterTrigger=1,D1292=1,AB1291/AE1291&gt;=K1292),1,0)</x:f>
        <x:v>0</x:v>
      </x:c>
      <x:c r="AD1292" s="8" t="n">
        <x:f>H1292*IF(AND(OR(AB1291/AE1291&gt;=v01_FissionTrigger*N1292,AC1292=1),AB1291/AE1291*v01_DaughterShare&gt;=v01_MinDaughter),MAX(1,ROUND(AE1291*v01_FissionRate,0)),0)</x:f>
        <x:v>0</x:v>
      </x:c>
      <x:c r="AE1292" s="8" t="n">
        <x:f>IF(H1292=1,MAX(1,MIN(INDEX(v01_Smax,G1292),AE1291+AD1292)),AE1291)</x:f>
        <x:v>15</x:v>
      </x:c>
      <x:c r="AF1292" s="8" t="n">
        <x:f>MAX(0,AE1292-AE1291)</x:f>
        <x:v>0</x:v>
      </x:c>
      <x:c r="AG1292" s="9" t="str">
        <x:f>IF(AF1292&gt;0,B1292,"")</x:f>
      </x:c>
      <x:c r="AH1292" s="9" t="n">
        <x:f>IF(F1292&gt;=1,1,(1+v01_LowTiesShare*(AE1292-1))/AE1292)</x:f>
        <x:v>1</x:v>
      </x:c>
      <x:c r="AI1292" s="32" t="n">
        <x:f>(Z1292+v01_ElderCommons*INDEX(LM_Elder,G1292)*AA1292)*AH1292</x:f>
        <x:v>25136.5294771748</x:v>
      </x:c>
      <x:c r="AJ1292" s="32" t="n">
        <x:f>H1292*v01_CommonsCoef*AI1292^v01_CommonsExp*INDEX(LM_Commons,G1292)</x:f>
        <x:v>9946.302436406166</x:v>
      </x:c>
      <x:c r="AK1292" s="32" t="n">
        <x:f>H1292*v01_RoleScale*Arch_Roles*(AE1292*(INDEX(v01_ElderRolePerSett,G1292)*v01_OutElder*INDEX(LM_Elder,G1292)+INDEX(v01_ShamanPerSett,G1292)*v01_OutShaman)+Z1292*(INDEX(v01_PriestShare,G1292)*v01_OutPriest+INDEX(v01_ScribeShare,G1292)*v01_OutScribe*INDEX(LM_Scribe,G1292)+INDEX(v01_ScholarShare,G1292)*v01_OutScholar*INDEX(LM_Scholar,G1292)+INDEX(v01_ResearcherShare,G1292)*v01_OutResearcher*INDEX(LM_Researcher,G1292)))</x:f>
        <x:v>2591.6587238399484</x:v>
      </x:c>
      <x:c r="AL1292" s="32" t="n">
        <x:f>H1292*v01_RoleScale*Arch_Roles*AE1292*INDEX(v01_MonasteryPerSett,G1292)*v01_OutMonastery*INDEX(LM_Monastery,G1292)</x:f>
        <x:v>6.6000000000000005</x:v>
      </x:c>
      <x:c r="AM1292" s="32" t="n">
        <x:f>(AJ1292+AK1292+AL1292)/4*INDEX(LM_All,G1292)*INDEX(v01_Boon,G1292)*Arch_Insight</x:f>
        <x:v>9038.24937453582</x:v>
      </x:c>
      <x:c r="AN1292" s="32" t="n">
        <x:f>H1292*(v01_KHPerAdult*Z1292+v01_KHOfCommons*AJ1292/4*INDEX(LM_All,G1292))*v01_KHUsable*Arch_KH</x:f>
        <x:v>344.37861124445215</x:v>
      </x:c>
      <x:c r="AO1292" s="32" t="n">
        <x:f>MIN(AP1291+AN1292,AM1292*v01_KHMaxRatio)</x:f>
        <x:v>344.37861124445215</x:v>
      </x:c>
      <x:c r="AP1292" s="32" t="n">
        <x:f>AP1291+AN1292-AO1292</x:f>
        <x:v>0</x:v>
      </x:c>
      <x:c r="AQ1292" s="32" t="n">
        <x:f>AM1292+AO1292</x:f>
        <x:v>9382.627985780273</x:v>
      </x:c>
      <x:c r="AR1292" s="10" t="n">
        <x:f>IF(H1292=1,INDEX(v01_Req,G1292),0)</x:f>
        <x:v>743165.805333726</x:v>
      </x:c>
      <x:c r="AS1292" s="32" t="n">
        <x:f>IF(H1292=1,IF(E1292=1,AS1291-AR1291,AS1291)+AQ1292,0)</x:f>
        <x:v>161155.8522773321</x:v>
      </x:c>
      <x:c r="AT1292" s="11" t="n">
        <x:f>IF(AR1292&gt;0,MIN(1,AS1292/AR1292),1)</x:f>
        <x:v>0.2168504674471176</x:v>
      </x:c>
      <x:c r="AU1292" s="10" t="n">
        <x:f>AB1292/INDEX(v01_RepScale,G1292)</x:f>
        <x:v>92.25730965433048</x:v>
      </x:c>
      <x:c r="AV1292" s="32" t="n">
        <x:f>AM1292*60/v01_SeasonSeconds</x:f>
        <x:v>36152.99749814328</x:v>
      </x:c>
    </x:row>
    <x:row r="1293">
      <x:c r="A1293" s="8" t="n">
        <x:f>A1292+1</x:f>
        <x:v>1290</x:v>
      </x:c>
      <x:c r="B1293" s="9" t="n">
        <x:f>A1293*v01_SeasonSeconds/60</x:f>
        <x:v>322.5</x:v>
      </x:c>
      <x:c r="C1293" s="9" t="n">
        <x:f>A1293/4</x:f>
        <x:v>322.5</x:v>
      </x:c>
      <x:c r="D1293" s="8" t="n">
        <x:f>IF(MOD(A1293,4)=0,1,0)</x:f>
        <x:v>0</x:v>
      </x:c>
      <x:c r="E1293" s="8" t="n">
        <x:f>IF(AND(F1292&lt;=9,AS1292&gt;=AR1292),1,0)</x:f>
        <x:v>0</x:v>
      </x:c>
      <x:c r="F1293" s="8" t="n">
        <x:f>MIN(10,F1292+E1293)</x:f>
        <x:v>8</x:v>
      </x:c>
      <x:c r="G1293" s="8" t="n">
        <x:f>MIN(F1293,9)+1</x:f>
        <x:v>9</x:v>
      </x:c>
      <x:c r="H1293" s="8" t="n">
        <x:f>IF(F1293&lt;=9,1,0)</x:f>
        <x:v>1</x:v>
      </x:c>
      <x:c r="I1293" s="9" t="n">
        <x:f>MIN(10,F1292+IF(AR1292&gt;0,MIN(1,AS1292/AR1292),1))</x:f>
        <x:v>8.216850467447118</x:v>
      </x:c>
      <x:c r="J1293" s="32" t="n">
        <x:f>INDEX(v01_FoodCap,G1293)*Arch_FoodCap*EXP(v01_CapsByProject*SUMPRODUCT((Cap_Point&lt;=I1293)*(Cap_Kind="Food")*Cap_Ln))</x:f>
        <x:v>6000</x:v>
      </x:c>
      <x:c r="K1293" s="32" t="n">
        <x:f>J1293*MIN(1,v01_LeanBase*EXP(v01_CapsByProject*SUMPRODUCT((Cap_Point&lt;=I1293)*(Cap_Kind="Lean")*Cap_Ln)))</x:f>
        <x:v>6000</x:v>
      </x:c>
      <x:c r="L1293" s="10" t="n">
        <x:f>INDEX(v01_HousingCap,G1293)*EXP(v01_CapsByProject*SUMPRODUCT((Cap_Point&lt;=I1293)*(Cap_Kind="Housing")*Cap_Ln))</x:f>
        <x:v>10000</x:v>
      </x:c>
      <x:c r="M1293" s="10" t="n">
        <x:f>INDEX(v01_GroupCap,G1293)*v01_CohesionFactor*EXP(v01_CapsByProject*SUMPRODUCT((Cap_Point&lt;=I1293)*(Cap_Kind="Group")*Cap_Ln))</x:f>
        <x:v>1000000</x:v>
      </x:c>
      <x:c r="N1293" s="32" t="n">
        <x:f>MIN(J1293,L1293,M1293)</x:f>
        <x:v>6000</x:v>
      </x:c>
      <x:c r="O1293" s="10" t="n">
        <x:f>AE1292*N1293</x:f>
        <x:v>90000</x:v>
      </x:c>
      <x:c r="P1293" s="9" t="n">
        <x:f>MIN(1,(AB1292/(AE1292*IF(v01_GroupInCrowding=1,N1293,MIN(J1293,L1293))))^v01_CrowdingExp)</x:f>
        <x:v>0.00028326290876601155</x:v>
      </x:c>
      <x:c r="Q1293" s="9" t="n">
        <x:f>IF(D1293=1,INDEX(v01_WinterMult,G1293),1)</x:f>
        <x:v>1</x:v>
      </x:c>
      <x:c r="R1293" s="9" t="n">
        <x:f>H1293*Z1292*v01_WomenShare*v01_BaseFertility*INDEX(v01_FertMult,G1293)*Arch_Fertility*(1-P1293)</x:f>
        <x:v>221.32353957255913</x:v>
      </x:c>
      <x:c r="S1293" s="9" t="n">
        <x:f>H1293*Y1292*INDEX(v01_MortChild,G1293)/4*Q1293</x:f>
        <x:v>13.718551547535515</x:v>
      </x:c>
      <x:c r="T1293" s="9" t="n">
        <x:f>H1293*Z1292*INDEX(v01_MortAdult,G1293)*Arch_AdultMort/4*Q1293</x:f>
        <x:v>9.839388892698633</x:v>
      </x:c>
      <x:c r="U1293" s="9" t="n">
        <x:f>H1293*AA1292*INDEX(v01_MortElder,G1293)/4*Q1293</x:f>
        <x:v>35.6933280304444</x:v>
      </x:c>
      <x:c r="V1293" s="9" t="n">
        <x:f>H1293*MAX(0,AB1292-O1293)*v01_OvercapLoss</x:f>
        <x:v>0</x:v>
      </x:c>
      <x:c r="W1293" s="9" t="n">
        <x:f>H1293*Y1292/(v01_ChildYears*4)</x:f>
        <x:v>163.31608985161327</x:v>
      </x:c>
      <x:c r="X1293" s="9" t="n">
        <x:f>H1293*Z1292/(v01_AdultYears*4)</x:f>
        <x:v>79.34991042498898</x:v>
      </x:c>
      <x:c r="Y1293" s="32" t="n">
        <x:f>Y1292+R1293-S1293-W1293-Y1292*V1293/AB1292</x:f>
        <x:v>9189.989929863754</x:v>
      </x:c>
      <x:c r="Z1293" s="32" t="n">
        <x:f>Z1292+W1293-X1293-T1293-Z1292*V1293/AB1292</x:f>
        <x:v>9913.515683232557</x:v>
      </x:c>
      <x:c r="AA1293" s="32" t="n">
        <x:f>AA1292+X1293-U1293-AA1292*V1293/AB1292</x:f>
        <x:v>4122.894071588189</x:v>
      </x:c>
      <x:c r="AB1293" s="10" t="n">
        <x:f>Y1293+Z1293+AA1293</x:f>
        <x:v>23226.399684684504</x:v>
      </x:c>
      <x:c r="AC1293" s="8" t="n">
        <x:f>IF(AND(v01_WinterTrigger=1,D1293=1,AB1292/AE1292&gt;=K1293),1,0)</x:f>
        <x:v>0</x:v>
      </x:c>
      <x:c r="AD1293" s="8" t="n">
        <x:f>H1293*IF(AND(OR(AB1292/AE1292&gt;=v01_FissionTrigger*N1293,AC1293=1),AB1292/AE1292*v01_DaughterShare&gt;=v01_MinDaughter),MAX(1,ROUND(AE1292*v01_FissionRate,0)),0)</x:f>
        <x:v>0</x:v>
      </x:c>
      <x:c r="AE1293" s="8" t="n">
        <x:f>IF(H1293=1,MAX(1,MIN(INDEX(v01_Smax,G1293),AE1292+AD1293)),AE1292)</x:f>
        <x:v>15</x:v>
      </x:c>
      <x:c r="AF1293" s="8" t="n">
        <x:f>MAX(0,AE1293-AE1292)</x:f>
        <x:v>0</x:v>
      </x:c>
      <x:c r="AG1293" s="9" t="str">
        <x:f>IF(AF1293&gt;0,B1293,"")</x:f>
      </x:c>
      <x:c r="AH1293" s="9" t="n">
        <x:f>IF(F1293&gt;=1,1,(1+v01_LowTiesShare*(AE1293-1))/AE1293)</x:f>
        <x:v>1</x:v>
      </x:c>
      <x:c r="AI1293" s="32" t="n">
        <x:f>(Z1293+v01_ElderCommons*INDEX(LM_Elder,G1293)*AA1293)*AH1293</x:f>
        <x:v>25374.368451688264</x:v>
      </x:c>
      <x:c r="AJ1293" s="32" t="n">
        <x:f>H1293*v01_CommonsCoef*AI1293^v01_CommonsExp*INDEX(LM_Commons,G1293)</x:f>
        <x:v>10026.24003628147</x:v>
      </x:c>
      <x:c r="AK1293" s="32" t="n">
        <x:f>H1293*v01_RoleScale*Arch_Roles*(AE1293*(INDEX(v01_ElderRolePerSett,G1293)*v01_OutElder*INDEX(LM_Elder,G1293)+INDEX(v01_ShamanPerSett,G1293)*v01_OutShaman)+Z1293*(INDEX(v01_PriestShare,G1293)*v01_OutPriest+INDEX(v01_ScribeShare,G1293)*v01_OutScribe*INDEX(LM_Scribe,G1293)+INDEX(v01_ScholarShare,G1293)*v01_OutScholar*INDEX(LM_Scholar,G1293)+INDEX(v01_ResearcherShare,G1293)*v01_OutResearcher*INDEX(LM_Researcher,G1293)))</x:f>
        <x:v>2610.8020544513133</x:v>
      </x:c>
      <x:c r="AL1293" s="32" t="n">
        <x:f>H1293*v01_RoleScale*Arch_Roles*AE1293*INDEX(v01_MonasteryPerSett,G1293)*v01_OutMonastery*INDEX(LM_Monastery,G1293)</x:f>
        <x:v>6.6000000000000005</x:v>
      </x:c>
      <x:c r="AM1293" s="32" t="n">
        <x:f>(AJ1293+AK1293+AL1293)/4*INDEX(LM_All,G1293)*INDEX(v01_Boon,G1293)*Arch_Insight</x:f>
        <x:v>9109.636340294135</x:v>
      </x:c>
      <x:c r="AN1293" s="32" t="n">
        <x:f>H1293*(v01_KHPerAdult*Z1293+v01_KHOfCommons*AJ1293/4*INDEX(LM_All,G1293))*v01_KHUsable*Arch_KH</x:f>
        <x:v>346.9730489131395</x:v>
      </x:c>
      <x:c r="AO1293" s="32" t="n">
        <x:f>MIN(AP1292+AN1293,AM1293*v01_KHMaxRatio)</x:f>
        <x:v>346.9730489131395</x:v>
      </x:c>
      <x:c r="AP1293" s="32" t="n">
        <x:f>AP1292+AN1293-AO1293</x:f>
        <x:v>0</x:v>
      </x:c>
      <x:c r="AQ1293" s="32" t="n">
        <x:f>AM1293+AO1293</x:f>
        <x:v>9456.609389207275</x:v>
      </x:c>
      <x:c r="AR1293" s="10" t="n">
        <x:f>IF(H1293=1,INDEX(v01_Req,G1293),0)</x:f>
        <x:v>743165.805333726</x:v>
      </x:c>
      <x:c r="AS1293" s="32" t="n">
        <x:f>IF(H1293=1,IF(E1293=1,AS1292-AR1292,AS1292)+AQ1293,0)</x:f>
        <x:v>170612.46166653937</x:v>
      </x:c>
      <x:c r="AT1293" s="11" t="n">
        <x:f>IF(AR1293&gt;0,MIN(1,AS1293/AR1293),1)</x:f>
        <x:v>0.22957523131722152</x:v>
      </x:c>
      <x:c r="AU1293" s="10" t="n">
        <x:f>AB1293/INDEX(v01_RepScale,G1293)</x:f>
        <x:v>92.90559873873802</x:v>
      </x:c>
      <x:c r="AV1293" s="32" t="n">
        <x:f>AM1293*60/v01_SeasonSeconds</x:f>
        <x:v>36438.54536117653</x:v>
      </x:c>
    </x:row>
    <x:row r="1294">
      <x:c r="A1294" s="8" t="n">
        <x:f>A1293+1</x:f>
        <x:v>1291</x:v>
      </x:c>
      <x:c r="B1294" s="9" t="n">
        <x:f>A1294*v01_SeasonSeconds/60</x:f>
        <x:v>322.75</x:v>
      </x:c>
      <x:c r="C1294" s="9" t="n">
        <x:f>A1294/4</x:f>
        <x:v>322.75</x:v>
      </x:c>
      <x:c r="D1294" s="8" t="n">
        <x:f>IF(MOD(A1294,4)=0,1,0)</x:f>
        <x:v>0</x:v>
      </x:c>
      <x:c r="E1294" s="8" t="n">
        <x:f>IF(AND(F1293&lt;=9,AS1293&gt;=AR1293),1,0)</x:f>
        <x:v>0</x:v>
      </x:c>
      <x:c r="F1294" s="8" t="n">
        <x:f>MIN(10,F1293+E1294)</x:f>
        <x:v>8</x:v>
      </x:c>
      <x:c r="G1294" s="8" t="n">
        <x:f>MIN(F1294,9)+1</x:f>
        <x:v>9</x:v>
      </x:c>
      <x:c r="H1294" s="8" t="n">
        <x:f>IF(F1294&lt;=9,1,0)</x:f>
        <x:v>1</x:v>
      </x:c>
      <x:c r="I1294" s="9" t="n">
        <x:f>MIN(10,F1293+IF(AR1293&gt;0,MIN(1,AS1293/AR1293),1))</x:f>
        <x:v>8.229575231317222</x:v>
      </x:c>
      <x:c r="J1294" s="32" t="n">
        <x:f>INDEX(v01_FoodCap,G1294)*Arch_FoodCap*EXP(v01_CapsByProject*SUMPRODUCT((Cap_Point&lt;=I1294)*(Cap_Kind="Food")*Cap_Ln))</x:f>
        <x:v>6000</x:v>
      </x:c>
      <x:c r="K1294" s="32" t="n">
        <x:f>J1294*MIN(1,v01_LeanBase*EXP(v01_CapsByProject*SUMPRODUCT((Cap_Point&lt;=I1294)*(Cap_Kind="Lean")*Cap_Ln)))</x:f>
        <x:v>6000</x:v>
      </x:c>
      <x:c r="L1294" s="10" t="n">
        <x:f>INDEX(v01_HousingCap,G1294)*EXP(v01_CapsByProject*SUMPRODUCT((Cap_Point&lt;=I1294)*(Cap_Kind="Housing")*Cap_Ln))</x:f>
        <x:v>10000</x:v>
      </x:c>
      <x:c r="M1294" s="10" t="n">
        <x:f>INDEX(v01_GroupCap,G1294)*v01_CohesionFactor*EXP(v01_CapsByProject*SUMPRODUCT((Cap_Point&lt;=I1294)*(Cap_Kind="Group")*Cap_Ln))</x:f>
        <x:v>1000000</x:v>
      </x:c>
      <x:c r="N1294" s="32" t="n">
        <x:f>MIN(J1294,L1294,M1294)</x:f>
        <x:v>6000</x:v>
      </x:c>
      <x:c r="O1294" s="10" t="n">
        <x:f>AE1293*N1294</x:f>
        <x:v>90000</x:v>
      </x:c>
      <x:c r="P1294" s="9" t="n">
        <x:f>MIN(1,(AB1293/(AE1293*IF(v01_GroupInCrowding=1,N1294,MIN(J1294,L1294))))^v01_CrowdingExp)</x:f>
        <x:v>0.0002954175652882725</x:v>
      </x:c>
      <x:c r="Q1294" s="9" t="n">
        <x:f>IF(D1294=1,INDEX(v01_WinterMult,G1294),1)</x:f>
        <x:v>1</x:v>
      </x:c>
      <x:c r="R1294" s="9" t="n">
        <x:f>H1294*Z1293*v01_WomenShare*v01_BaseFertility*INDEX(v01_FertMult,G1294)*Arch_Fertility*(1-P1294)</x:f>
        <x:v>222.9882087727343</x:v>
      </x:c>
      <x:c r="S1294" s="9" t="n">
        <x:f>H1294*Y1293*INDEX(v01_MortChild,G1294)/4*Q1294</x:f>
        <x:v>13.784984894795631</x:v>
      </x:c>
      <x:c r="T1294" s="9" t="n">
        <x:f>H1294*Z1293*INDEX(v01_MortAdult,G1294)*Arch_AdultMort/4*Q1294</x:f>
        <x:v>9.913515683232557</x:v>
      </x:c>
      <x:c r="U1294" s="9" t="n">
        <x:f>H1294*AA1293*INDEX(v01_MortElder,G1294)/4*Q1294</x:f>
        <x:v>36.075323126396654</x:v>
      </x:c>
      <x:c r="V1294" s="9" t="n">
        <x:f>H1294*MAX(0,AB1293-O1294)*v01_OvercapLoss</x:f>
        <x:v>0</x:v>
      </x:c>
      <x:c r="W1294" s="9" t="n">
        <x:f>H1294*Y1293/(v01_ChildYears*4)</x:f>
        <x:v>164.10696303328132</x:v>
      </x:c>
      <x:c r="X1294" s="9" t="n">
        <x:f>H1294*Z1293/(v01_AdultYears*4)</x:f>
        <x:v>79.9477071228432</x:v>
      </x:c>
      <x:c r="Y1294" s="32" t="n">
        <x:f>Y1293+R1294-S1294-W1294-Y1293*V1294/AB1293</x:f>
        <x:v>9235.08619070841</x:v>
      </x:c>
      <x:c r="Z1294" s="32" t="n">
        <x:f>Z1293+W1294-X1294-T1294-Z1293*V1294/AB1293</x:f>
        <x:v>9987.761423459762</x:v>
      </x:c>
      <x:c r="AA1294" s="32" t="n">
        <x:f>AA1293+X1294-U1294-AA1293*V1294/AB1293</x:f>
        <x:v>4166.766455584635</x:v>
      </x:c>
      <x:c r="AB1294" s="10" t="n">
        <x:f>Y1294+Z1294+AA1294</x:f>
        <x:v>23389.61406975281</x:v>
      </x:c>
      <x:c r="AC1294" s="8" t="n">
        <x:f>IF(AND(v01_WinterTrigger=1,D1294=1,AB1293/AE1293&gt;=K1294),1,0)</x:f>
        <x:v>0</x:v>
      </x:c>
      <x:c r="AD1294" s="8" t="n">
        <x:f>H1294*IF(AND(OR(AB1293/AE1293&gt;=v01_FissionTrigger*N1294,AC1294=1),AB1293/AE1293*v01_DaughterShare&gt;=v01_MinDaughter),MAX(1,ROUND(AE1293*v01_FissionRate,0)),0)</x:f>
        <x:v>0</x:v>
      </x:c>
      <x:c r="AE1294" s="8" t="n">
        <x:f>IF(H1294=1,MAX(1,MIN(INDEX(v01_Smax,G1294),AE1293+AD1294)),AE1293)</x:f>
        <x:v>15</x:v>
      </x:c>
      <x:c r="AF1294" s="8" t="n">
        <x:f>MAX(0,AE1294-AE1293)</x:f>
        <x:v>0</x:v>
      </x:c>
      <x:c r="AG1294" s="9" t="str">
        <x:f>IF(AF1294&gt;0,B1294,"")</x:f>
      </x:c>
      <x:c r="AH1294" s="9" t="n">
        <x:f>IF(F1294&gt;=1,1,(1+v01_LowTiesShare*(AE1294-1))/AE1294)</x:f>
        <x:v>1</x:v>
      </x:c>
      <x:c r="AI1294" s="32" t="n">
        <x:f>(Z1294+v01_ElderCommons*INDEX(LM_Elder,G1294)*AA1294)*AH1294</x:f>
        <x:v>25613.135631902143</x:v>
      </x:c>
      <x:c r="AJ1294" s="32" t="n">
        <x:f>H1294*v01_CommonsCoef*AI1294^v01_CommonsExp*INDEX(LM_Commons,G1294)</x:f>
        <x:v>10106.37663558647</x:v>
      </x:c>
      <x:c r="AK1294" s="32" t="n">
        <x:f>H1294*v01_RoleScale*Arch_Roles*(AE1294*(INDEX(v01_ElderRolePerSett,G1294)*v01_OutElder*INDEX(LM_Elder,G1294)+INDEX(v01_ShamanPerSett,G1294)*v01_OutShaman)+Z1294*(INDEX(v01_PriestShare,G1294)*v01_OutPriest+INDEX(v01_ScribeShare,G1294)*v01_OutScribe*INDEX(LM_Scribe,G1294)+INDEX(v01_ScholarShare,G1294)*v01_OutScholar*INDEX(LM_Scholar,G1294)+INDEX(v01_ResearcherShare,G1294)*v01_OutResearcher*INDEX(LM_Researcher,G1294)))</x:f>
        <x:v>2629.9761039605046</x:v>
      </x:c>
      <x:c r="AL1294" s="32" t="n">
        <x:f>H1294*v01_RoleScale*Arch_Roles*AE1294*INDEX(v01_MonasteryPerSett,G1294)*v01_OutMonastery*INDEX(LM_Monastery,G1294)</x:f>
        <x:v>6.6000000000000005</x:v>
      </x:c>
      <x:c r="AM1294" s="32" t="n">
        <x:f>(AJ1294+AK1294+AL1294)/4*INDEX(LM_All,G1294)*INDEX(v01_Boon,G1294)*Arch_Insight</x:f>
        <x:v>9181.188816149099</x:v>
      </x:c>
      <x:c r="AN1294" s="32" t="n">
        <x:f>H1294*(v01_KHPerAdult*Z1294+v01_KHOfCommons*AJ1294/4*INDEX(LM_All,G1294))*v01_KHUsable*Arch_KH</x:f>
        <x:v>349.5716498210917</x:v>
      </x:c>
      <x:c r="AO1294" s="32" t="n">
        <x:f>MIN(AP1293+AN1294,AM1294*v01_KHMaxRatio)</x:f>
        <x:v>349.5716498210917</x:v>
      </x:c>
      <x:c r="AP1294" s="32" t="n">
        <x:f>AP1293+AN1294-AO1294</x:f>
        <x:v>0</x:v>
      </x:c>
      <x:c r="AQ1294" s="32" t="n">
        <x:f>AM1294+AO1294</x:f>
        <x:v>9530.76046597019</x:v>
      </x:c>
      <x:c r="AR1294" s="10" t="n">
        <x:f>IF(H1294=1,INDEX(v01_Req,G1294),0)</x:f>
        <x:v>743165.805333726</x:v>
      </x:c>
      <x:c r="AS1294" s="32" t="n">
        <x:f>IF(H1294=1,IF(E1294=1,AS1293-AR1293,AS1293)+AQ1294,0)</x:f>
        <x:v>180143.22213250957</x:v>
      </x:c>
      <x:c r="AT1294" s="11" t="n">
        <x:f>IF(AR1294&gt;0,MIN(1,AS1294/AR1294),1)</x:f>
        <x:v>0.24239977248632216</x:v>
      </x:c>
      <x:c r="AU1294" s="10" t="n">
        <x:f>AB1294/INDEX(v01_RepScale,G1294)</x:f>
        <x:v>93.55845627901124</x:v>
      </x:c>
      <x:c r="AV1294" s="32" t="n">
        <x:f>AM1294*60/v01_SeasonSeconds</x:f>
        <x:v>36724.755264596395</x:v>
      </x:c>
    </x:row>
    <x:row r="1295">
      <x:c r="A1295" s="8" t="n">
        <x:f>A1294+1</x:f>
        <x:v>1292</x:v>
      </x:c>
      <x:c r="B1295" s="9" t="n">
        <x:f>A1295*v01_SeasonSeconds/60</x:f>
        <x:v>323</x:v>
      </x:c>
      <x:c r="C1295" s="9" t="n">
        <x:f>A1295/4</x:f>
        <x:v>323</x:v>
      </x:c>
      <x:c r="D1295" s="8" t="n">
        <x:f>IF(MOD(A1295,4)=0,1,0)</x:f>
        <x:v>1</x:v>
      </x:c>
      <x:c r="E1295" s="8" t="n">
        <x:f>IF(AND(F1294&lt;=9,AS1294&gt;=AR1294),1,0)</x:f>
        <x:v>0</x:v>
      </x:c>
      <x:c r="F1295" s="8" t="n">
        <x:f>MIN(10,F1294+E1295)</x:f>
        <x:v>8</x:v>
      </x:c>
      <x:c r="G1295" s="8" t="n">
        <x:f>MIN(F1295,9)+1</x:f>
        <x:v>9</x:v>
      </x:c>
      <x:c r="H1295" s="8" t="n">
        <x:f>IF(F1295&lt;=9,1,0)</x:f>
        <x:v>1</x:v>
      </x:c>
      <x:c r="I1295" s="9" t="n">
        <x:f>MIN(10,F1294+IF(AR1294&gt;0,MIN(1,AS1294/AR1294),1))</x:f>
        <x:v>8.242399772486323</x:v>
      </x:c>
      <x:c r="J1295" s="32" t="n">
        <x:f>INDEX(v01_FoodCap,G1295)*Arch_FoodCap*EXP(v01_CapsByProject*SUMPRODUCT((Cap_Point&lt;=I1295)*(Cap_Kind="Food")*Cap_Ln))</x:f>
        <x:v>6000</x:v>
      </x:c>
      <x:c r="K1295" s="32" t="n">
        <x:f>J1295*MIN(1,v01_LeanBase*EXP(v01_CapsByProject*SUMPRODUCT((Cap_Point&lt;=I1295)*(Cap_Kind="Lean")*Cap_Ln)))</x:f>
        <x:v>6000</x:v>
      </x:c>
      <x:c r="L1295" s="10" t="n">
        <x:f>INDEX(v01_HousingCap,G1295)*EXP(v01_CapsByProject*SUMPRODUCT((Cap_Point&lt;=I1295)*(Cap_Kind="Housing")*Cap_Ln))</x:f>
        <x:v>10000</x:v>
      </x:c>
      <x:c r="M1295" s="10" t="n">
        <x:f>INDEX(v01_GroupCap,G1295)*v01_CohesionFactor*EXP(v01_CapsByProject*SUMPRODUCT((Cap_Point&lt;=I1295)*(Cap_Kind="Group")*Cap_Ln))</x:f>
        <x:v>1000000</x:v>
      </x:c>
      <x:c r="N1295" s="32" t="n">
        <x:f>MIN(J1295,L1295,M1295)</x:f>
        <x:v>6000</x:v>
      </x:c>
      <x:c r="O1295" s="10" t="n">
        <x:f>AE1294*N1295</x:f>
        <x:v>90000</x:v>
      </x:c>
      <x:c r="P1295" s="9" t="n">
        <x:f>MIN(1,(AB1294/(AE1294*IF(v01_GroupInCrowding=1,N1295,MIN(J1295,L1295))))^v01_CrowdingExp)</x:f>
        <x:v>0.00030809402734191196</x:v>
      </x:c>
      <x:c r="Q1295" s="9" t="n">
        <x:f>IF(D1295=1,INDEX(v01_WinterMult,G1295),1)</x:f>
        <x:v>1</x:v>
      </x:c>
      <x:c r="R1295" s="9" t="n">
        <x:f>H1295*Z1294*v01_WomenShare*v01_BaseFertility*INDEX(v01_FertMult,G1295)*Arch_Fertility*(1-P1295)</x:f>
        <x:v>224.65539571092023</x:v>
      </x:c>
      <x:c r="S1295" s="9" t="n">
        <x:f>H1295*Y1294*INDEX(v01_MortChild,G1295)/4*Q1295</x:f>
        <x:v>13.852629286062617</x:v>
      </x:c>
      <x:c r="T1295" s="9" t="n">
        <x:f>H1295*Z1294*INDEX(v01_MortAdult,G1295)*Arch_AdultMort/4*Q1295</x:f>
        <x:v>9.987761423459762</x:v>
      </x:c>
      <x:c r="U1295" s="9" t="n">
        <x:f>H1295*AA1294*INDEX(v01_MortElder,G1295)/4*Q1295</x:f>
        <x:v>36.45920648636556</x:v>
      </x:c>
      <x:c r="V1295" s="9" t="n">
        <x:f>H1295*MAX(0,AB1294-O1295)*v01_OvercapLoss</x:f>
        <x:v>0</x:v>
      </x:c>
      <x:c r="W1295" s="9" t="n">
        <x:f>H1295*Y1294/(v01_ChildYears*4)</x:f>
        <x:v>164.91225340550733</x:v>
      </x:c>
      <x:c r="X1295" s="9" t="n">
        <x:f>H1295*Z1294/(v01_AdultYears*4)</x:f>
        <x:v>80.54646309241744</x:v>
      </x:c>
      <x:c r="Y1295" s="32" t="n">
        <x:f>Y1294+R1295-S1295-W1295-Y1294*V1295/AB1294</x:f>
        <x:v>9280.976703727762</x:v>
      </x:c>
      <x:c r="Z1295" s="32" t="n">
        <x:f>Z1294+W1295-X1295-T1295-Z1294*V1295/AB1294</x:f>
        <x:v>10062.139452349393</x:v>
      </x:c>
      <x:c r="AA1295" s="32" t="n">
        <x:f>AA1294+X1295-U1295-AA1294*V1295/AB1294</x:f>
        <x:v>4210.853712190687</x:v>
      </x:c>
      <x:c r="AB1295" s="10" t="n">
        <x:f>Y1295+Z1295+AA1295</x:f>
        <x:v>23553.969868267843</x:v>
      </x:c>
      <x:c r="AC1295" s="8" t="n">
        <x:f>IF(AND(v01_WinterTrigger=1,D1295=1,AB1294/AE1294&gt;=K1295),1,0)</x:f>
        <x:v>0</x:v>
      </x:c>
      <x:c r="AD1295" s="8" t="n">
        <x:f>H1295*IF(AND(OR(AB1294/AE1294&gt;=v01_FissionTrigger*N1295,AC1295=1),AB1294/AE1294*v01_DaughterShare&gt;=v01_MinDaughter),MAX(1,ROUND(AE1294*v01_FissionRate,0)),0)</x:f>
        <x:v>0</x:v>
      </x:c>
      <x:c r="AE1295" s="8" t="n">
        <x:f>IF(H1295=1,MAX(1,MIN(INDEX(v01_Smax,G1295),AE1294+AD1295)),AE1294)</x:f>
        <x:v>15</x:v>
      </x:c>
      <x:c r="AF1295" s="8" t="n">
        <x:f>MAX(0,AE1295-AE1294)</x:f>
        <x:v>0</x:v>
      </x:c>
      <x:c r="AG1295" s="9" t="str">
        <x:f>IF(AF1295&gt;0,B1295,"")</x:f>
      </x:c>
      <x:c r="AH1295" s="9" t="n">
        <x:f>IF(F1295&gt;=1,1,(1+v01_LowTiesShare*(AE1295-1))/AE1295)</x:f>
        <x:v>1</x:v>
      </x:c>
      <x:c r="AI1295" s="32" t="n">
        <x:f>(Z1295+v01_ElderCommons*INDEX(LM_Elder,G1295)*AA1295)*AH1295</x:f>
        <x:v>25852.840873064466</x:v>
      </x:c>
      <x:c r="AJ1295" s="32" t="n">
        <x:f>H1295*v01_CommonsCoef*AI1295^v01_CommonsExp*INDEX(LM_Commons,G1295)</x:f>
        <x:v>10186.715434668795</x:v>
      </x:c>
      <x:c r="AK1295" s="32" t="n">
        <x:f>H1295*v01_RoleScale*Arch_Roles*(AE1295*(INDEX(v01_ElderRolePerSett,G1295)*v01_OutElder*INDEX(LM_Elder,G1295)+INDEX(v01_ShamanPerSett,G1295)*v01_OutShaman)+Z1295*(INDEX(v01_PriestShare,G1295)*v01_OutPriest+INDEX(v01_ScribeShare,G1295)*v01_OutScribe*INDEX(LM_Scribe,G1295)+INDEX(v01_ScholarShare,G1295)*v01_OutScholar*INDEX(LM_Scholar,G1295)+INDEX(v01_ResearcherShare,G1295)*v01_OutResearcher*INDEX(LM_Researcher,G1295)))</x:f>
        <x:v>2649.184317171951</x:v>
      </x:c>
      <x:c r="AL1295" s="32" t="n">
        <x:f>H1295*v01_RoleScale*Arch_Roles*AE1295*INDEX(v01_MonasteryPerSett,G1295)*v01_OutMonastery*INDEX(LM_Monastery,G1295)</x:f>
        <x:v>6.6000000000000005</x:v>
      </x:c>
      <x:c r="AM1295" s="32" t="n">
        <x:f>(AJ1295+AK1295+AL1295)/4*INDEX(LM_All,G1295)*INDEX(v01_Boon,G1295)*Arch_Insight</x:f>
        <x:v>9252.911589876117</x:v>
      </x:c>
      <x:c r="AN1295" s="32" t="n">
        <x:f>H1295*(v01_KHPerAdult*Z1295+v01_KHOfCommons*AJ1295/4*INDEX(LM_All,G1295))*v01_KHUsable*Arch_KH</x:f>
        <x:v>352.1748808322287</x:v>
      </x:c>
      <x:c r="AO1295" s="32" t="n">
        <x:f>MIN(AP1294+AN1295,AM1295*v01_KHMaxRatio)</x:f>
        <x:v>352.1748808322287</x:v>
      </x:c>
      <x:c r="AP1295" s="32" t="n">
        <x:f>AP1294+AN1295-AO1295</x:f>
        <x:v>0</x:v>
      </x:c>
      <x:c r="AQ1295" s="32" t="n">
        <x:f>AM1295+AO1295</x:f>
        <x:v>9605.086470708346</x:v>
      </x:c>
      <x:c r="AR1295" s="10" t="n">
        <x:f>IF(H1295=1,INDEX(v01_Req,G1295),0)</x:f>
        <x:v>743165.805333726</x:v>
      </x:c>
      <x:c r="AS1295" s="32" t="n">
        <x:f>IF(H1295=1,IF(E1295=1,AS1294-AR1294,AS1294)+AQ1295,0)</x:f>
        <x:v>189748.3086032179</x:v>
      </x:c>
      <x:c r="AT1295" s="11" t="n">
        <x:f>IF(AR1295&gt;0,MIN(1,AS1295/AR1295),1)</x:f>
        <x:v>0.2553243263365832</x:v>
      </x:c>
      <x:c r="AU1295" s="10" t="n">
        <x:f>AB1295/INDEX(v01_RepScale,G1295)</x:f>
        <x:v>94.21587947307137</x:v>
      </x:c>
      <x:c r="AV1295" s="32" t="n">
        <x:f>AM1295*60/v01_SeasonSeconds</x:f>
        <x:v>37011.64635950447</x:v>
      </x:c>
    </x:row>
    <x:row r="1296">
      <x:c r="A1296" s="8" t="n">
        <x:f>A1295+1</x:f>
        <x:v>1293</x:v>
      </x:c>
      <x:c r="B1296" s="9" t="n">
        <x:f>A1296*v01_SeasonSeconds/60</x:f>
        <x:v>323.25</x:v>
      </x:c>
      <x:c r="C1296" s="9" t="n">
        <x:f>A1296/4</x:f>
        <x:v>323.25</x:v>
      </x:c>
      <x:c r="D1296" s="8" t="n">
        <x:f>IF(MOD(A1296,4)=0,1,0)</x:f>
        <x:v>0</x:v>
      </x:c>
      <x:c r="E1296" s="8" t="n">
        <x:f>IF(AND(F1295&lt;=9,AS1295&gt;=AR1295),1,0)</x:f>
        <x:v>0</x:v>
      </x:c>
      <x:c r="F1296" s="8" t="n">
        <x:f>MIN(10,F1295+E1296)</x:f>
        <x:v>8</x:v>
      </x:c>
      <x:c r="G1296" s="8" t="n">
        <x:f>MIN(F1296,9)+1</x:f>
        <x:v>9</x:v>
      </x:c>
      <x:c r="H1296" s="8" t="n">
        <x:f>IF(F1296&lt;=9,1,0)</x:f>
        <x:v>1</x:v>
      </x:c>
      <x:c r="I1296" s="9" t="n">
        <x:f>MIN(10,F1295+IF(AR1295&gt;0,MIN(1,AS1295/AR1295),1))</x:f>
        <x:v>8.255324326336583</x:v>
      </x:c>
      <x:c r="J1296" s="32" t="n">
        <x:f>INDEX(v01_FoodCap,G1296)*Arch_FoodCap*EXP(v01_CapsByProject*SUMPRODUCT((Cap_Point&lt;=I1296)*(Cap_Kind="Food")*Cap_Ln))</x:f>
        <x:v>6000</x:v>
      </x:c>
      <x:c r="K1296" s="32" t="n">
        <x:f>J1296*MIN(1,v01_LeanBase*EXP(v01_CapsByProject*SUMPRODUCT((Cap_Point&lt;=I1296)*(Cap_Kind="Lean")*Cap_Ln)))</x:f>
        <x:v>6000</x:v>
      </x:c>
      <x:c r="L1296" s="10" t="n">
        <x:f>INDEX(v01_HousingCap,G1296)*EXP(v01_CapsByProject*SUMPRODUCT((Cap_Point&lt;=I1296)*(Cap_Kind="Housing")*Cap_Ln))</x:f>
        <x:v>10000</x:v>
      </x:c>
      <x:c r="M1296" s="10" t="n">
        <x:f>INDEX(v01_GroupCap,G1296)*v01_CohesionFactor*EXP(v01_CapsByProject*SUMPRODUCT((Cap_Point&lt;=I1296)*(Cap_Kind="Group")*Cap_Ln))</x:f>
        <x:v>1000000</x:v>
      </x:c>
      <x:c r="N1296" s="32" t="n">
        <x:f>MIN(J1296,L1296,M1296)</x:f>
        <x:v>6000</x:v>
      </x:c>
      <x:c r="O1296" s="10" t="n">
        <x:f>AE1295*N1296</x:f>
        <x:v>90000</x:v>
      </x:c>
      <x:c r="P1296" s="9" t="n">
        <x:f>MIN(1,(AB1295/(AE1295*IF(v01_GroupInCrowding=1,N1296,MIN(J1296,L1296))))^v01_CrowdingExp)</x:f>
        <x:v>0.00032131398932141797</x:v>
      </x:c>
      <x:c r="Q1296" s="9" t="n">
        <x:f>IF(D1296=1,INDEX(v01_WinterMult,G1296),1)</x:f>
        <x:v>1</x:v>
      </x:c>
      <x:c r="R1296" s="9" t="n">
        <x:f>H1296*Z1295*v01_WomenShare*v01_BaseFertility*INDEX(v01_FertMult,G1296)*Arch_Fertility*(1-P1296)</x:f>
        <x:v>226.3253927890691</x:v>
      </x:c>
      <x:c r="S1296" s="9" t="n">
        <x:f>H1296*Y1295*INDEX(v01_MortChild,G1296)/4*Q1296</x:f>
        <x:v>13.921465055591643</x:v>
      </x:c>
      <x:c r="T1296" s="9" t="n">
        <x:f>H1296*Z1295*INDEX(v01_MortAdult,G1296)*Arch_AdultMort/4*Q1296</x:f>
        <x:v>10.062139452349394</x:v>
      </x:c>
      <x:c r="U1296" s="9" t="n">
        <x:f>H1296*AA1295*INDEX(v01_MortElder,G1296)/4*Q1296</x:f>
        <x:v>36.84496998166851</x:v>
      </x:c>
      <x:c r="V1296" s="9" t="n">
        <x:f>H1296*MAX(0,AB1295-O1296)*v01_OvercapLoss</x:f>
        <x:v>0</x:v>
      </x:c>
      <x:c r="W1296" s="9" t="n">
        <x:f>H1296*Y1295/(v01_ChildYears*4)</x:f>
        <x:v>165.73172685228147</x:v>
      </x:c>
      <x:c r="X1296" s="9" t="n">
        <x:f>H1296*Z1295/(v01_AdultYears*4)</x:f>
        <x:v>81.14628590604349</x:v>
      </x:c>
      <x:c r="Y1296" s="32" t="n">
        <x:f>Y1295+R1296-S1296-W1296-Y1295*V1296/AB1295</x:f>
        <x:v>9327.648904608957</x:v>
      </x:c>
      <x:c r="Z1296" s="32" t="n">
        <x:f>Z1295+W1296-X1296-T1296-Z1295*V1296/AB1295</x:f>
        <x:v>10136.662753843282</x:v>
      </x:c>
      <x:c r="AA1296" s="32" t="n">
        <x:f>AA1295+X1296-U1296-AA1295*V1296/AB1295</x:f>
        <x:v>4255.155028115062</x:v>
      </x:c>
      <x:c r="AB1296" s="10" t="n">
        <x:f>Y1296+Z1296+AA1296</x:f>
        <x:v>23719.466686567303</x:v>
      </x:c>
      <x:c r="AC1296" s="8" t="n">
        <x:f>IF(AND(v01_WinterTrigger=1,D1296=1,AB1295/AE1295&gt;=K1296),1,0)</x:f>
        <x:v>0</x:v>
      </x:c>
      <x:c r="AD1296" s="8" t="n">
        <x:f>H1296*IF(AND(OR(AB1295/AE1295&gt;=v01_FissionTrigger*N1296,AC1296=1),AB1295/AE1295*v01_DaughterShare&gt;=v01_MinDaughter),MAX(1,ROUND(AE1295*v01_FissionRate,0)),0)</x:f>
        <x:v>0</x:v>
      </x:c>
      <x:c r="AE1296" s="8" t="n">
        <x:f>IF(H1296=1,MAX(1,MIN(INDEX(v01_Smax,G1296),AE1295+AD1296)),AE1295)</x:f>
        <x:v>15</x:v>
      </x:c>
      <x:c r="AF1296" s="8" t="n">
        <x:f>MAX(0,AE1296-AE1295)</x:f>
        <x:v>0</x:v>
      </x:c>
      <x:c r="AG1296" s="9" t="str">
        <x:f>IF(AF1296&gt;0,B1296,"")</x:f>
      </x:c>
      <x:c r="AH1296" s="9" t="n">
        <x:f>IF(F1296&gt;=1,1,(1+v01_LowTiesShare*(AE1296-1))/AE1296)</x:f>
        <x:v>1</x:v>
      </x:c>
      <x:c r="AI1296" s="32" t="n">
        <x:f>(Z1296+v01_ElderCommons*INDEX(LM_Elder,G1296)*AA1296)*AH1296</x:f>
        <x:v>26093.494109274765</x:v>
      </x:c>
      <x:c r="AJ1296" s="32" t="n">
        <x:f>H1296*v01_CommonsCoef*AI1296^v01_CommonsExp*INDEX(LM_Commons,G1296)</x:f>
        <x:v>10267.259640697317</x:v>
      </x:c>
      <x:c r="AK1296" s="32" t="n">
        <x:f>H1296*v01_RoleScale*Arch_Roles*(AE1296*(INDEX(v01_ElderRolePerSett,G1296)*v01_OutElder*INDEX(LM_Elder,G1296)+INDEX(v01_ShamanPerSett,G1296)*v01_OutShaman)+Z1296*(INDEX(v01_PriestShare,G1296)*v01_OutPriest+INDEX(v01_ScribeShare,G1296)*v01_OutScribe*INDEX(LM_Scribe,G1296)+INDEX(v01_ScholarShare,G1296)*v01_OutScholar*INDEX(LM_Scholar,G1296)+INDEX(v01_ResearcherShare,G1296)*v01_OutResearcher*INDEX(LM_Researcher,G1296)))</x:f>
        <x:v>2668.430047203862</x:v>
      </x:c>
      <x:c r="AL1296" s="32" t="n">
        <x:f>H1296*v01_RoleScale*Arch_Roles*AE1296*INDEX(v01_MonasteryPerSett,G1296)*v01_OutMonastery*INDEX(LM_Monastery,G1296)</x:f>
        <x:v>6.6000000000000005</x:v>
      </x:c>
      <x:c r="AM1296" s="32" t="n">
        <x:f>(AJ1296+AK1296+AL1296)/4*INDEX(LM_All,G1296)*INDEX(v01_Boon,G1296)*Arch_Insight</x:f>
        <x:v>9324.809388106112</x:v>
      </x:c>
      <x:c r="AN1296" s="32" t="n">
        <x:f>H1296*(v01_KHPerAdult*Z1296+v01_KHOfCommons*AJ1296/4*INDEX(LM_All,G1296))*v01_KHUsable*Arch_KH</x:f>
        <x:v>354.7831963845149</x:v>
      </x:c>
      <x:c r="AO1296" s="32" t="n">
        <x:f>MIN(AP1295+AN1296,AM1296*v01_KHMaxRatio)</x:f>
        <x:v>354.7831963845149</x:v>
      </x:c>
      <x:c r="AP1296" s="32" t="n">
        <x:f>AP1295+AN1296-AO1296</x:f>
        <x:v>0</x:v>
      </x:c>
      <x:c r="AQ1296" s="32" t="n">
        <x:f>AM1296+AO1296</x:f>
        <x:v>9679.592584490627</x:v>
      </x:c>
      <x:c r="AR1296" s="10" t="n">
        <x:f>IF(H1296=1,INDEX(v01_Req,G1296),0)</x:f>
        <x:v>743165.805333726</x:v>
      </x:c>
      <x:c r="AS1296" s="32" t="n">
        <x:f>IF(H1296=1,IF(E1296=1,AS1295-AR1295,AS1295)+AQ1296,0)</x:f>
        <x:v>199427.90118770854</x:v>
      </x:c>
      <x:c r="AT1296" s="11" t="n">
        <x:f>IF(AR1296&gt;0,MIN(1,AS1296/AR1296),1)</x:f>
        <x:v>0.2683491352217874</x:v>
      </x:c>
      <x:c r="AU1296" s="10" t="n">
        <x:f>AB1296/INDEX(v01_RepScale,G1296)</x:f>
        <x:v>94.8778667462692</x:v>
      </x:c>
      <x:c r="AV1296" s="32" t="n">
        <x:f>AM1296*60/v01_SeasonSeconds</x:f>
        <x:v>37299.23755242445</x:v>
      </x:c>
    </x:row>
    <x:row r="1297">
      <x:c r="A1297" s="8" t="n">
        <x:f>A1296+1</x:f>
        <x:v>1294</x:v>
      </x:c>
      <x:c r="B1297" s="9" t="n">
        <x:f>A1297*v01_SeasonSeconds/60</x:f>
        <x:v>323.5</x:v>
      </x:c>
      <x:c r="C1297" s="9" t="n">
        <x:f>A1297/4</x:f>
        <x:v>323.5</x:v>
      </x:c>
      <x:c r="D1297" s="8" t="n">
        <x:f>IF(MOD(A1297,4)=0,1,0)</x:f>
        <x:v>0</x:v>
      </x:c>
      <x:c r="E1297" s="8" t="n">
        <x:f>IF(AND(F1296&lt;=9,AS1296&gt;=AR1296),1,0)</x:f>
        <x:v>0</x:v>
      </x:c>
      <x:c r="F1297" s="8" t="n">
        <x:f>MIN(10,F1296+E1297)</x:f>
        <x:v>8</x:v>
      </x:c>
      <x:c r="G1297" s="8" t="n">
        <x:f>MIN(F1297,9)+1</x:f>
        <x:v>9</x:v>
      </x:c>
      <x:c r="H1297" s="8" t="n">
        <x:f>IF(F1297&lt;=9,1,0)</x:f>
        <x:v>1</x:v>
      </x:c>
      <x:c r="I1297" s="9" t="n">
        <x:f>MIN(10,F1296+IF(AR1296&gt;0,MIN(1,AS1296/AR1296),1))</x:f>
        <x:v>8.268349135221788</x:v>
      </x:c>
      <x:c r="J1297" s="32" t="n">
        <x:f>INDEX(v01_FoodCap,G1297)*Arch_FoodCap*EXP(v01_CapsByProject*SUMPRODUCT((Cap_Point&lt;=I1297)*(Cap_Kind="Food")*Cap_Ln))</x:f>
        <x:v>6000</x:v>
      </x:c>
      <x:c r="K1297" s="32" t="n">
        <x:f>J1297*MIN(1,v01_LeanBase*EXP(v01_CapsByProject*SUMPRODUCT((Cap_Point&lt;=I1297)*(Cap_Kind="Lean")*Cap_Ln)))</x:f>
        <x:v>6000</x:v>
      </x:c>
      <x:c r="L1297" s="10" t="n">
        <x:f>INDEX(v01_HousingCap,G1297)*EXP(v01_CapsByProject*SUMPRODUCT((Cap_Point&lt;=I1297)*(Cap_Kind="Housing")*Cap_Ln))</x:f>
        <x:v>10000</x:v>
      </x:c>
      <x:c r="M1297" s="10" t="n">
        <x:f>INDEX(v01_GroupCap,G1297)*v01_CohesionFactor*EXP(v01_CapsByProject*SUMPRODUCT((Cap_Point&lt;=I1297)*(Cap_Kind="Group")*Cap_Ln))</x:f>
        <x:v>1000000</x:v>
      </x:c>
      <x:c r="N1297" s="32" t="n">
        <x:f>MIN(J1297,L1297,M1297)</x:f>
        <x:v>6000</x:v>
      </x:c>
      <x:c r="O1297" s="10" t="n">
        <x:f>AE1296*N1297</x:f>
        <x:v>90000</x:v>
      </x:c>
      <x:c r="P1297" s="9" t="n">
        <x:f>MIN(1,(AB1296/(AE1296*IF(v01_GroupInCrowding=1,N1297,MIN(J1297,L1297))))^v01_CrowdingExp)</x:f>
        <x:v>0.00033510002757290605</x:v>
      </x:c>
      <x:c r="Q1297" s="9" t="n">
        <x:f>IF(D1297=1,INDEX(v01_WinterMult,G1297),1)</x:f>
        <x:v>1</x:v>
      </x:c>
      <x:c r="R1297" s="9" t="n">
        <x:f>H1297*Z1296*v01_WomenShare*v01_BaseFertility*INDEX(v01_FertMult,G1297)*Arch_Fertility*(1-P1297)</x:f>
        <x:v>227.99848405218688</x:v>
      </x:c>
      <x:c r="S1297" s="9" t="n">
        <x:f>H1297*Y1296*INDEX(v01_MortChild,G1297)/4*Q1297</x:f>
        <x:v>13.991473356913437</x:v>
      </x:c>
      <x:c r="T1297" s="9" t="n">
        <x:f>H1297*Z1296*INDEX(v01_MortAdult,G1297)*Arch_AdultMort/4*Q1297</x:f>
        <x:v>10.136662753843282</x:v>
      </x:c>
      <x:c r="U1297" s="9" t="n">
        <x:f>H1297*AA1296*INDEX(v01_MortElder,G1297)/4*Q1297</x:f>
        <x:v>37.232606496006795</x:v>
      </x:c>
      <x:c r="V1297" s="9" t="n">
        <x:f>H1297*MAX(0,AB1296-O1297)*v01_OvercapLoss</x:f>
        <x:v>0</x:v>
      </x:c>
      <x:c r="W1297" s="9" t="n">
        <x:f>H1297*Y1296/(v01_ChildYears*4)</x:f>
        <x:v>166.56515901087423</x:v>
      </x:c>
      <x:c r="X1297" s="9" t="n">
        <x:f>H1297*Z1296/(v01_AdultYears*4)</x:f>
        <x:v>81.7472802729297</x:v>
      </x:c>
      <x:c r="Y1297" s="32" t="n">
        <x:f>Y1296+R1297-S1297-W1297-Y1296*V1297/AB1296</x:f>
        <x:v>9375.090756293357</x:v>
      </x:c>
      <x:c r="Z1297" s="32" t="n">
        <x:f>Z1296+W1297-X1297-T1297-Z1296*V1297/AB1296</x:f>
        <x:v>10211.343969827383</x:v>
      </x:c>
      <x:c r="AA1297" s="32" t="n">
        <x:f>AA1296+X1297-U1297-AA1296*V1297/AB1296</x:f>
        <x:v>4299.669701891985</x:v>
      </x:c>
      <x:c r="AB1297" s="10" t="n">
        <x:f>Y1297+Z1297+AA1297</x:f>
        <x:v>23886.104428012724</x:v>
      </x:c>
      <x:c r="AC1297" s="8" t="n">
        <x:f>IF(AND(v01_WinterTrigger=1,D1297=1,AB1296/AE1296&gt;=K1297),1,0)</x:f>
        <x:v>0</x:v>
      </x:c>
      <x:c r="AD1297" s="8" t="n">
        <x:f>H1297*IF(AND(OR(AB1296/AE1296&gt;=v01_FissionTrigger*N1297,AC1297=1),AB1296/AE1296*v01_DaughterShare&gt;=v01_MinDaughter),MAX(1,ROUND(AE1296*v01_FissionRate,0)),0)</x:f>
        <x:v>0</x:v>
      </x:c>
      <x:c r="AE1297" s="8" t="n">
        <x:f>IF(H1297=1,MAX(1,MIN(INDEX(v01_Smax,G1297),AE1296+AD1297)),AE1296)</x:f>
        <x:v>15</x:v>
      </x:c>
      <x:c r="AF1297" s="8" t="n">
        <x:f>MAX(0,AE1297-AE1296)</x:f>
        <x:v>0</x:v>
      </x:c>
      <x:c r="AG1297" s="9" t="str">
        <x:f>IF(AF1297&gt;0,B1297,"")</x:f>
      </x:c>
      <x:c r="AH1297" s="9" t="n">
        <x:f>IF(F1297&gt;=1,1,(1+v01_LowTiesShare*(AE1297-1))/AE1297)</x:f>
        <x:v>1</x:v>
      </x:c>
      <x:c r="AI1297" s="32" t="n">
        <x:f>(Z1297+v01_ElderCommons*INDEX(LM_Elder,G1297)*AA1297)*AH1297</x:f>
        <x:v>26335.105351922328</x:v>
      </x:c>
      <x:c r="AJ1297" s="32" t="n">
        <x:f>H1297*v01_CommonsCoef*AI1297^v01_CommonsExp*INDEX(LM_Commons,G1297)</x:f>
        <x:v>10348.012467309669</x:v>
      </x:c>
      <x:c r="AK1297" s="32" t="n">
        <x:f>H1297*v01_RoleScale*Arch_Roles*(AE1297*(INDEX(v01_ElderRolePerSett,G1297)*v01_OutElder*INDEX(LM_Elder,G1297)+INDEX(v01_ShamanPerSett,G1297)*v01_OutShaman)+Z1297*(INDEX(v01_PriestShare,G1297)*v01_OutPriest+INDEX(v01_ScribeShare,G1297)*v01_OutScribe*INDEX(LM_Scribe,G1297)+INDEX(v01_ScholarShare,G1297)*v01_OutScholar*INDEX(LM_Scholar,G1297)+INDEX(v01_ResearcherShare,G1297)*v01_OutResearcher*INDEX(LM_Researcher,G1297)))</x:f>
        <x:v>2687.716558838116</x:v>
      </x:c>
      <x:c r="AL1297" s="32" t="n">
        <x:f>H1297*v01_RoleScale*Arch_Roles*AE1297*INDEX(v01_MonasteryPerSett,G1297)*v01_OutMonastery*INDEX(LM_Monastery,G1297)</x:f>
        <x:v>6.6000000000000005</x:v>
      </x:c>
      <x:c r="AM1297" s="32" t="n">
        <x:f>(AJ1297+AK1297+AL1297)/4*INDEX(LM_All,G1297)*INDEX(v01_Boon,G1297)*Arch_Insight</x:f>
        <x:v>9396.886878485106</x:v>
      </x:c>
      <x:c r="AN1297" s="32" t="n">
        <x:f>H1297*(v01_KHPerAdult*Z1297+v01_KHOfCommons*AJ1297/4*INDEX(LM_All,G1297))*v01_KHUsable*Arch_KH</x:f>
        <x:v>357.3970389439584</x:v>
      </x:c>
      <x:c r="AO1297" s="32" t="n">
        <x:f>MIN(AP1296+AN1297,AM1297*v01_KHMaxRatio)</x:f>
        <x:v>357.3970389439584</x:v>
      </x:c>
      <x:c r="AP1297" s="32" t="n">
        <x:f>AP1296+AN1297-AO1297</x:f>
        <x:v>0</x:v>
      </x:c>
      <x:c r="AQ1297" s="32" t="n">
        <x:f>AM1297+AO1297</x:f>
        <x:v>9754.283917429064</x:v>
      </x:c>
      <x:c r="AR1297" s="10" t="n">
        <x:f>IF(H1297=1,INDEX(v01_Req,G1297),0)</x:f>
        <x:v>743165.805333726</x:v>
      </x:c>
      <x:c r="AS1297" s="32" t="n">
        <x:f>IF(H1297=1,IF(E1297=1,AS1296-AR1296,AS1296)+AQ1297,0)</x:f>
        <x:v>209182.1851051376</x:v>
      </x:c>
      <x:c r="AT1297" s="11" t="n">
        <x:f>IF(AR1297&gt;0,MIN(1,AS1297/AR1297),1)</x:f>
        <x:v>0.2814744483718573</x:v>
      </x:c>
      <x:c r="AU1297" s="10" t="n">
        <x:f>AB1297/INDEX(v01_RepScale,G1297)</x:f>
        <x:v>95.5444177120509</x:v>
      </x:c>
      <x:c r="AV1297" s="32" t="n">
        <x:f>AM1297*60/v01_SeasonSeconds</x:f>
        <x:v>37587.54751394042</x:v>
      </x:c>
    </x:row>
    <x:row r="1298">
      <x:c r="A1298" s="8" t="n">
        <x:f>A1297+1</x:f>
        <x:v>1295</x:v>
      </x:c>
      <x:c r="B1298" s="9" t="n">
        <x:f>A1298*v01_SeasonSeconds/60</x:f>
        <x:v>323.75</x:v>
      </x:c>
      <x:c r="C1298" s="9" t="n">
        <x:f>A1298/4</x:f>
        <x:v>323.75</x:v>
      </x:c>
      <x:c r="D1298" s="8" t="n">
        <x:f>IF(MOD(A1298,4)=0,1,0)</x:f>
        <x:v>0</x:v>
      </x:c>
      <x:c r="E1298" s="8" t="n">
        <x:f>IF(AND(F1297&lt;=9,AS1297&gt;=AR1297),1,0)</x:f>
        <x:v>0</x:v>
      </x:c>
      <x:c r="F1298" s="8" t="n">
        <x:f>MIN(10,F1297+E1298)</x:f>
        <x:v>8</x:v>
      </x:c>
      <x:c r="G1298" s="8" t="n">
        <x:f>MIN(F1298,9)+1</x:f>
        <x:v>9</x:v>
      </x:c>
      <x:c r="H1298" s="8" t="n">
        <x:f>IF(F1298&lt;=9,1,0)</x:f>
        <x:v>1</x:v>
      </x:c>
      <x:c r="I1298" s="9" t="n">
        <x:f>MIN(10,F1297+IF(AR1297&gt;0,MIN(1,AS1297/AR1297),1))</x:f>
        <x:v>8.281474448371858</x:v>
      </x:c>
      <x:c r="J1298" s="32" t="n">
        <x:f>INDEX(v01_FoodCap,G1298)*Arch_FoodCap*EXP(v01_CapsByProject*SUMPRODUCT((Cap_Point&lt;=I1298)*(Cap_Kind="Food")*Cap_Ln))</x:f>
        <x:v>6000</x:v>
      </x:c>
      <x:c r="K1298" s="32" t="n">
        <x:f>J1298*MIN(1,v01_LeanBase*EXP(v01_CapsByProject*SUMPRODUCT((Cap_Point&lt;=I1298)*(Cap_Kind="Lean")*Cap_Ln)))</x:f>
        <x:v>6000</x:v>
      </x:c>
      <x:c r="L1298" s="10" t="n">
        <x:f>INDEX(v01_HousingCap,G1298)*EXP(v01_CapsByProject*SUMPRODUCT((Cap_Point&lt;=I1298)*(Cap_Kind="Housing")*Cap_Ln))</x:f>
        <x:v>10000</x:v>
      </x:c>
      <x:c r="M1298" s="10" t="n">
        <x:f>INDEX(v01_GroupCap,G1298)*v01_CohesionFactor*EXP(v01_CapsByProject*SUMPRODUCT((Cap_Point&lt;=I1298)*(Cap_Kind="Group")*Cap_Ln))</x:f>
        <x:v>1000000</x:v>
      </x:c>
      <x:c r="N1298" s="32" t="n">
        <x:f>MIN(J1298,L1298,M1298)</x:f>
        <x:v>6000</x:v>
      </x:c>
      <x:c r="O1298" s="10" t="n">
        <x:f>AE1297*N1298</x:f>
        <x:v>90000</x:v>
      </x:c>
      <x:c r="P1298" s="9" t="n">
        <x:f>MIN(1,(AB1297/(AE1297*IF(v01_GroupInCrowding=1,N1298,MIN(J1298,L1298))))^v01_CrowdingExp)</x:f>
        <x:v>0.00034947563557288753</x:v>
      </x:c>
      <x:c r="Q1298" s="9" t="n">
        <x:f>IF(D1298=1,INDEX(v01_WinterMult,G1298),1)</x:f>
        <x:v>1</x:v>
      </x:c>
      <x:c r="R1298" s="9" t="n">
        <x:f>H1298*Z1297*v01_WomenShare*v01_BaseFertility*INDEX(v01_FertMult,G1298)*Arch_Fertility*(1-P1298)</x:f>
        <x:v>229.67494546282816</x:v>
      </x:c>
      <x:c r="S1298" s="9" t="n">
        <x:f>H1298*Y1297*INDEX(v01_MortChild,G1298)/4*Q1298</x:f>
        <x:v>14.062636134440035</x:v>
      </x:c>
      <x:c r="T1298" s="9" t="n">
        <x:f>H1298*Z1297*INDEX(v01_MortAdult,G1298)*Arch_AdultMort/4*Q1298</x:f>
        <x:v>10.211343969827384</x:v>
      </x:c>
      <x:c r="U1298" s="9" t="n">
        <x:f>H1298*AA1297*INDEX(v01_MortElder,G1298)/4*Q1298</x:f>
        <x:v>37.62210989155487</x:v>
      </x:c>
      <x:c r="V1298" s="9" t="n">
        <x:f>H1298*MAX(0,AB1297-O1298)*v01_OvercapLoss</x:f>
        <x:v>0</x:v>
      </x:c>
      <x:c r="W1298" s="9" t="n">
        <x:f>H1298*Y1297/(v01_ChildYears*4)</x:f>
        <x:v>167.41233493380994</x:v>
      </x:c>
      <x:c r="X1298" s="9" t="n">
        <x:f>H1298*Z1297/(v01_AdultYears*4)</x:f>
        <x:v>82.34954814376923</x:v>
      </x:c>
      <x:c r="Y1298" s="32" t="n">
        <x:f>Y1297+R1298-S1298-W1298-Y1297*V1298/AB1297</x:f>
        <x:v>9423.290730687935</x:v>
      </x:c>
      <x:c r="Z1298" s="32" t="n">
        <x:f>Z1297+W1298-X1298-T1298-Z1297*V1298/AB1297</x:f>
        <x:v>10286.195412647596</x:v>
      </x:c>
      <x:c r="AA1298" s="32" t="n">
        <x:f>AA1297+X1298-U1298-AA1297*V1298/AB1297</x:f>
        <x:v>4344.3971401441995</x:v>
      </x:c>
      <x:c r="AB1298" s="10" t="n">
        <x:f>Y1298+Z1298+AA1298</x:f>
        <x:v>24053.883283479732</x:v>
      </x:c>
      <x:c r="AC1298" s="8" t="n">
        <x:f>IF(AND(v01_WinterTrigger=1,D1298=1,AB1297/AE1297&gt;=K1298),1,0)</x:f>
        <x:v>0</x:v>
      </x:c>
      <x:c r="AD1298" s="8" t="n">
        <x:f>H1298*IF(AND(OR(AB1297/AE1297&gt;=v01_FissionTrigger*N1298,AC1298=1),AB1297/AE1297*v01_DaughterShare&gt;=v01_MinDaughter),MAX(1,ROUND(AE1297*v01_FissionRate,0)),0)</x:f>
        <x:v>0</x:v>
      </x:c>
      <x:c r="AE1298" s="8" t="n">
        <x:f>IF(H1298=1,MAX(1,MIN(INDEX(v01_Smax,G1298),AE1297+AD1298)),AE1297)</x:f>
        <x:v>15</x:v>
      </x:c>
      <x:c r="AF1298" s="8" t="n">
        <x:f>MAX(0,AE1298-AE1297)</x:f>
        <x:v>0</x:v>
      </x:c>
      <x:c r="AG1298" s="9" t="str">
        <x:f>IF(AF1298&gt;0,B1298,"")</x:f>
      </x:c>
      <x:c r="AH1298" s="9" t="n">
        <x:f>IF(F1298&gt;=1,1,(1+v01_LowTiesShare*(AE1298-1))/AE1298)</x:f>
        <x:v>1</x:v>
      </x:c>
      <x:c r="AI1298" s="32" t="n">
        <x:f>(Z1298+v01_ElderCommons*INDEX(LM_Elder,G1298)*AA1298)*AH1298</x:f>
        <x:v>26577.684688188347</x:v>
      </x:c>
      <x:c r="AJ1298" s="32" t="n">
        <x:f>H1298*v01_CommonsCoef*AI1298^v01_CommonsExp*INDEX(LM_Commons,G1298)</x:f>
        <x:v>10428.9771342779</x:v>
      </x:c>
      <x:c r="AK1298" s="32" t="n">
        <x:f>H1298*v01_RoleScale*Arch_Roles*(AE1298*(INDEX(v01_ElderRolePerSett,G1298)*v01_OutElder*INDEX(LM_Elder,G1298)+INDEX(v01_ShamanPerSett,G1298)*v01_OutShaman)+Z1298*(INDEX(v01_PriestShare,G1298)*v01_OutPriest+INDEX(v01_ScribeShare,G1298)*v01_OutScribe*INDEX(LM_Scribe,G1298)+INDEX(v01_ScholarShare,G1298)*v01_OutScholar*INDEX(LM_Scholar,G1298)+INDEX(v01_ResearcherShare,G1298)*v01_OutResearcher*INDEX(LM_Researcher,G1298)))</x:f>
        <x:v>2707.0470317524832</x:v>
      </x:c>
      <x:c r="AL1298" s="32" t="n">
        <x:f>H1298*v01_RoleScale*Arch_Roles*AE1298*INDEX(v01_MonasteryPerSett,G1298)*v01_OutMonastery*INDEX(LM_Monastery,G1298)</x:f>
        <x:v>6.6000000000000005</x:v>
      </x:c>
      <x:c r="AM1298" s="32" t="n">
        <x:f>(AJ1298+AK1298+AL1298)/4*INDEX(LM_All,G1298)*INDEX(v01_Boon,G1298)*Arch_Insight</x:f>
        <x:v>9469.148671762146</x:v>
      </x:c>
      <x:c r="AN1298" s="32" t="n">
        <x:f>H1298*(v01_KHPerAdult*Z1298+v01_KHOfCommons*AJ1298/4*INDEX(LM_All,G1298))*v01_KHUsable*Arch_KH</x:f>
        <x:v>360.01683944266586</x:v>
      </x:c>
      <x:c r="AO1298" s="32" t="n">
        <x:f>MIN(AP1297+AN1298,AM1298*v01_KHMaxRatio)</x:f>
        <x:v>360.01683944266586</x:v>
      </x:c>
      <x:c r="AP1298" s="32" t="n">
        <x:f>AP1297+AN1298-AO1298</x:f>
        <x:v>0</x:v>
      </x:c>
      <x:c r="AQ1298" s="32" t="n">
        <x:f>AM1298+AO1298</x:f>
        <x:v>9829.165511204812</x:v>
      </x:c>
      <x:c r="AR1298" s="10" t="n">
        <x:f>IF(H1298=1,INDEX(v01_Req,G1298),0)</x:f>
        <x:v>743165.805333726</x:v>
      </x:c>
      <x:c r="AS1298" s="32" t="n">
        <x:f>IF(H1298=1,IF(E1298=1,AS1297-AR1297,AS1297)+AQ1298,0)</x:f>
        <x:v>219011.35061634242</x:v>
      </x:c>
      <x:c r="AT1298" s="11" t="n">
        <x:f>IF(AR1298&gt;0,MIN(1,AS1298/AR1298),1)</x:f>
        <x:v>0.2947005218007753</x:v>
      </x:c>
      <x:c r="AU1298" s="10" t="n">
        <x:f>AB1298/INDEX(v01_RepScale,G1298)</x:f>
        <x:v>96.21553313391892</x:v>
      </x:c>
      <x:c r="AV1298" s="32" t="n">
        <x:f>AM1298*60/v01_SeasonSeconds</x:f>
        <x:v>37876.594687048586</x:v>
      </x:c>
    </x:row>
    <x:row r="1299">
      <x:c r="A1299" s="8" t="n">
        <x:f>A1298+1</x:f>
        <x:v>1296</x:v>
      </x:c>
      <x:c r="B1299" s="9" t="n">
        <x:f>A1299*v01_SeasonSeconds/60</x:f>
        <x:v>324</x:v>
      </x:c>
      <x:c r="C1299" s="9" t="n">
        <x:f>A1299/4</x:f>
        <x:v>324</x:v>
      </x:c>
      <x:c r="D1299" s="8" t="n">
        <x:f>IF(MOD(A1299,4)=0,1,0)</x:f>
        <x:v>1</x:v>
      </x:c>
      <x:c r="E1299" s="8" t="n">
        <x:f>IF(AND(F1298&lt;=9,AS1298&gt;=AR1298),1,0)</x:f>
        <x:v>0</x:v>
      </x:c>
      <x:c r="F1299" s="8" t="n">
        <x:f>MIN(10,F1298+E1299)</x:f>
        <x:v>8</x:v>
      </x:c>
      <x:c r="G1299" s="8" t="n">
        <x:f>MIN(F1299,9)+1</x:f>
        <x:v>9</x:v>
      </x:c>
      <x:c r="H1299" s="8" t="n">
        <x:f>IF(F1299&lt;=9,1,0)</x:f>
        <x:v>1</x:v>
      </x:c>
      <x:c r="I1299" s="9" t="n">
        <x:f>MIN(10,F1298+IF(AR1298&gt;0,MIN(1,AS1298/AR1298),1))</x:f>
        <x:v>8.294700521800776</x:v>
      </x:c>
      <x:c r="J1299" s="32" t="n">
        <x:f>INDEX(v01_FoodCap,G1299)*Arch_FoodCap*EXP(v01_CapsByProject*SUMPRODUCT((Cap_Point&lt;=I1299)*(Cap_Kind="Food")*Cap_Ln))</x:f>
        <x:v>6000</x:v>
      </x:c>
      <x:c r="K1299" s="32" t="n">
        <x:f>J1299*MIN(1,v01_LeanBase*EXP(v01_CapsByProject*SUMPRODUCT((Cap_Point&lt;=I1299)*(Cap_Kind="Lean")*Cap_Ln)))</x:f>
        <x:v>6000</x:v>
      </x:c>
      <x:c r="L1299" s="10" t="n">
        <x:f>INDEX(v01_HousingCap,G1299)*EXP(v01_CapsByProject*SUMPRODUCT((Cap_Point&lt;=I1299)*(Cap_Kind="Housing")*Cap_Ln))</x:f>
        <x:v>10000</x:v>
      </x:c>
      <x:c r="M1299" s="10" t="n">
        <x:f>INDEX(v01_GroupCap,G1299)*v01_CohesionFactor*EXP(v01_CapsByProject*SUMPRODUCT((Cap_Point&lt;=I1299)*(Cap_Kind="Group")*Cap_Ln))</x:f>
        <x:v>1000000</x:v>
      </x:c>
      <x:c r="N1299" s="32" t="n">
        <x:f>MIN(J1299,L1299,M1299)</x:f>
        <x:v>6000</x:v>
      </x:c>
      <x:c r="O1299" s="10" t="n">
        <x:f>AE1298*N1299</x:f>
        <x:v>90000</x:v>
      </x:c>
      <x:c r="P1299" s="9" t="n">
        <x:f>MIN(1,(AB1298/(AE1298*IF(v01_GroupInCrowding=1,N1299,MIN(J1299,L1299))))^v01_CrowdingExp)</x:f>
        <x:v>0.0003644652604933425</x:v>
      </x:c>
      <x:c r="Q1299" s="9" t="n">
        <x:f>IF(D1299=1,INDEX(v01_WinterMult,G1299),1)</x:f>
        <x:v>1</x:v>
      </x:c>
      <x:c r="R1299" s="9" t="n">
        <x:f>H1299*Z1298*v01_WomenShare*v01_BaseFertility*INDEX(v01_FertMult,G1299)*Arch_Fertility*(1-P1299)</x:f>
        <x:v>231.35504516453335</x:v>
      </x:c>
      <x:c r="S1299" s="9" t="n">
        <x:f>H1299*Y1298*INDEX(v01_MortChild,G1299)/4*Q1299</x:f>
        <x:v>14.134936096031902</x:v>
      </x:c>
      <x:c r="T1299" s="9" t="n">
        <x:f>H1299*Z1298*INDEX(v01_MortAdult,G1299)*Arch_AdultMort/4*Q1299</x:f>
        <x:v>10.286195412647595</x:v>
      </x:c>
      <x:c r="U1299" s="9" t="n">
        <x:f>H1299*AA1298*INDEX(v01_MortElder,G1299)/4*Q1299</x:f>
        <x:v>38.01347497626175</x:v>
      </x:c>
      <x:c r="V1299" s="9" t="n">
        <x:f>H1299*MAX(0,AB1298-O1299)*v01_OvercapLoss</x:f>
        <x:v>0</x:v>
      </x:c>
      <x:c r="W1299" s="9" t="n">
        <x:f>H1299*Y1298/(v01_ChildYears*4)</x:f>
        <x:v>168.27304876228456</x:v>
      </x:c>
      <x:c r="X1299" s="9" t="n">
        <x:f>H1299*Z1298/(v01_AdultYears*4)</x:f>
        <x:v>82.95318881167415</x:v>
      </x:c>
      <x:c r="Y1299" s="32" t="n">
        <x:f>Y1298+R1299-S1299-W1299-Y1298*V1299/AB1298</x:f>
        <x:v>9472.237790994152</x:v>
      </x:c>
      <x:c r="Z1299" s="32" t="n">
        <x:f>Z1298+W1299-X1299-T1299-Z1298*V1299/AB1298</x:f>
        <x:v>10361.229077185559</x:v>
      </x:c>
      <x:c r="AA1299" s="32" t="n">
        <x:f>AA1298+X1299-U1299-AA1298*V1299/AB1298</x:f>
        <x:v>4389.336853979612</x:v>
      </x:c>
      <x:c r="AB1299" s="10" t="n">
        <x:f>Y1299+Z1299+AA1299</x:f>
        <x:v>24222.803722159326</x:v>
      </x:c>
      <x:c r="AC1299" s="8" t="n">
        <x:f>IF(AND(v01_WinterTrigger=1,D1299=1,AB1298/AE1298&gt;=K1299),1,0)</x:f>
        <x:v>0</x:v>
      </x:c>
      <x:c r="AD1299" s="8" t="n">
        <x:f>H1299*IF(AND(OR(AB1298/AE1298&gt;=v01_FissionTrigger*N1299,AC1299=1),AB1298/AE1298*v01_DaughterShare&gt;=v01_MinDaughter),MAX(1,ROUND(AE1298*v01_FissionRate,0)),0)</x:f>
        <x:v>0</x:v>
      </x:c>
      <x:c r="AE1299" s="8" t="n">
        <x:f>IF(H1299=1,MAX(1,MIN(INDEX(v01_Smax,G1299),AE1298+AD1299)),AE1298)</x:f>
        <x:v>15</x:v>
      </x:c>
      <x:c r="AF1299" s="8" t="n">
        <x:f>MAX(0,AE1299-AE1298)</x:f>
        <x:v>0</x:v>
      </x:c>
      <x:c r="AG1299" s="9" t="str">
        <x:f>IF(AF1299&gt;0,B1299,"")</x:f>
      </x:c>
      <x:c r="AH1299" s="9" t="n">
        <x:f>IF(F1299&gt;=1,1,(1+v01_LowTiesShare*(AE1299-1))/AE1299)</x:f>
        <x:v>1</x:v>
      </x:c>
      <x:c r="AI1299" s="32" t="n">
        <x:f>(Z1299+v01_ElderCommons*INDEX(LM_Elder,G1299)*AA1299)*AH1299</x:f>
        <x:v>26821.242279609105</x:v>
      </x:c>
      <x:c r="AJ1299" s="32" t="n">
        <x:f>H1299*v01_CommonsCoef*AI1299^v01_CommonsExp*INDEX(LM_Commons,G1299)</x:f>
        <x:v>10510.15686719124</x:v>
      </x:c>
      <x:c r="AK1299" s="32" t="n">
        <x:f>H1299*v01_RoleScale*Arch_Roles*(AE1299*(INDEX(v01_ElderRolePerSett,G1299)*v01_OutElder*INDEX(LM_Elder,G1299)+INDEX(v01_ShamanPerSett,G1299)*v01_OutShaman)+Z1299*(INDEX(v01_PriestShare,G1299)*v01_OutPriest+INDEX(v01_ScribeShare,G1299)*v01_OutScribe*INDEX(LM_Scribe,G1299)+INDEX(v01_ScholarShare,G1299)*v01_OutScholar*INDEX(LM_Scholar,G1299)+INDEX(v01_ResearcherShare,G1299)*v01_OutResearcher*INDEX(LM_Researcher,G1299)))</x:f>
        <x:v>2726.4245636392184</x:v>
      </x:c>
      <x:c r="AL1299" s="32" t="n">
        <x:f>H1299*v01_RoleScale*Arch_Roles*AE1299*INDEX(v01_MonasteryPerSett,G1299)*v01_OutMonastery*INDEX(LM_Monastery,G1299)</x:f>
        <x:v>6.6000000000000005</x:v>
      </x:c>
      <x:c r="AM1299" s="32" t="n">
        <x:f>(AJ1299+AK1299+AL1299)/4*INDEX(LM_All,G1299)*INDEX(v01_Boon,G1299)*Arch_Insight</x:f>
        <x:v>9541.599323807632</x:v>
      </x:c>
      <x:c r="AN1299" s="32" t="n">
        <x:f>H1299*(v01_KHPerAdult*Z1299+v01_KHOfCommons*AJ1299/4*INDEX(LM_All,G1299))*v01_KHUsable*Arch_KH</x:f>
        <x:v>362.64301770149456</x:v>
      </x:c>
      <x:c r="AO1299" s="32" t="n">
        <x:f>MIN(AP1298+AN1299,AM1299*v01_KHMaxRatio)</x:f>
        <x:v>362.64301770149456</x:v>
      </x:c>
      <x:c r="AP1299" s="32" t="n">
        <x:f>AP1298+AN1299-AO1299</x:f>
        <x:v>0</x:v>
      </x:c>
      <x:c r="AQ1299" s="32" t="n">
        <x:f>AM1299+AO1299</x:f>
        <x:v>9904.242341509127</x:v>
      </x:c>
      <x:c r="AR1299" s="10" t="n">
        <x:f>IF(H1299=1,INDEX(v01_Req,G1299),0)</x:f>
        <x:v>743165.805333726</x:v>
      </x:c>
      <x:c r="AS1299" s="32" t="n">
        <x:f>IF(H1299=1,IF(E1299=1,AS1298-AR1298,AS1298)+AQ1299,0)</x:f>
        <x:v>228915.59295785154</x:v>
      </x:c>
      <x:c r="AT1299" s="11" t="n">
        <x:f>IF(AR1299&gt;0,MIN(1,AS1299/AR1299),1)</x:f>
        <x:v>0.3080276182177875</x:v>
      </x:c>
      <x:c r="AU1299" s="10" t="n">
        <x:f>AB1299/INDEX(v01_RepScale,G1299)</x:f>
        <x:v>96.89121488863731</x:v>
      </x:c>
      <x:c r="AV1299" s="32" t="n">
        <x:f>AM1299*60/v01_SeasonSeconds</x:f>
        <x:v>38166.39729523053</x:v>
      </x:c>
    </x:row>
    <x:row r="1300">
      <x:c r="A1300" s="8" t="n">
        <x:f>A1299+1</x:f>
        <x:v>1297</x:v>
      </x:c>
      <x:c r="B1300" s="9" t="n">
        <x:f>A1300*v01_SeasonSeconds/60</x:f>
        <x:v>324.25</x:v>
      </x:c>
      <x:c r="C1300" s="9" t="n">
        <x:f>A1300/4</x:f>
        <x:v>324.25</x:v>
      </x:c>
      <x:c r="D1300" s="8" t="n">
        <x:f>IF(MOD(A1300,4)=0,1,0)</x:f>
        <x:v>0</x:v>
      </x:c>
      <x:c r="E1300" s="8" t="n">
        <x:f>IF(AND(F1299&lt;=9,AS1299&gt;=AR1299),1,0)</x:f>
        <x:v>0</x:v>
      </x:c>
      <x:c r="F1300" s="8" t="n">
        <x:f>MIN(10,F1299+E1300)</x:f>
        <x:v>8</x:v>
      </x:c>
      <x:c r="G1300" s="8" t="n">
        <x:f>MIN(F1300,9)+1</x:f>
        <x:v>9</x:v>
      </x:c>
      <x:c r="H1300" s="8" t="n">
        <x:f>IF(F1300&lt;=9,1,0)</x:f>
        <x:v>1</x:v>
      </x:c>
      <x:c r="I1300" s="9" t="n">
        <x:f>MIN(10,F1299+IF(AR1299&gt;0,MIN(1,AS1299/AR1299),1))</x:f>
        <x:v>8.308027618217787</x:v>
      </x:c>
      <x:c r="J1300" s="32" t="n">
        <x:f>INDEX(v01_FoodCap,G1300)*Arch_FoodCap*EXP(v01_CapsByProject*SUMPRODUCT((Cap_Point&lt;=I1300)*(Cap_Kind="Food")*Cap_Ln))</x:f>
        <x:v>6000</x:v>
      </x:c>
      <x:c r="K1300" s="32" t="n">
        <x:f>J1300*MIN(1,v01_LeanBase*EXP(v01_CapsByProject*SUMPRODUCT((Cap_Point&lt;=I1300)*(Cap_Kind="Lean")*Cap_Ln)))</x:f>
        <x:v>6000</x:v>
      </x:c>
      <x:c r="L1300" s="10" t="n">
        <x:f>INDEX(v01_HousingCap,G1300)*EXP(v01_CapsByProject*SUMPRODUCT((Cap_Point&lt;=I1300)*(Cap_Kind="Housing")*Cap_Ln))</x:f>
        <x:v>10000</x:v>
      </x:c>
      <x:c r="M1300" s="10" t="n">
        <x:f>INDEX(v01_GroupCap,G1300)*v01_CohesionFactor*EXP(v01_CapsByProject*SUMPRODUCT((Cap_Point&lt;=I1300)*(Cap_Kind="Group")*Cap_Ln))</x:f>
        <x:v>1000000</x:v>
      </x:c>
      <x:c r="N1300" s="32" t="n">
        <x:f>MIN(J1300,L1300,M1300)</x:f>
        <x:v>6000</x:v>
      </x:c>
      <x:c r="O1300" s="10" t="n">
        <x:f>AE1299*N1300</x:f>
        <x:v>90000</x:v>
      </x:c>
      <x:c r="P1300" s="9" t="n">
        <x:f>MIN(1,(AB1299/(AE1299*IF(v01_GroupInCrowding=1,N1300,MIN(J1300,L1300))))^v01_CrowdingExp)</x:f>
        <x:v>0.0003800943412062805</x:v>
      </x:c>
      <x:c r="Q1300" s="9" t="n">
        <x:f>IF(D1300=1,INDEX(v01_WinterMult,G1300),1)</x:f>
        <x:v>1</x:v>
      </x:c>
      <x:c r="R1300" s="9" t="n">
        <x:f>H1300*Z1299*v01_WomenShare*v01_BaseFertility*INDEX(v01_FertMult,G1300)*Arch_Fertility*(1-P1300)</x:f>
        <x:v>233.039043734521</x:v>
      </x:c>
      <x:c r="S1300" s="9" t="n">
        <x:f>H1300*Y1299*INDEX(v01_MortChild,G1300)/4*Q1300</x:f>
        <x:v>14.208356686491227</x:v>
      </x:c>
      <x:c r="T1300" s="9" t="n">
        <x:f>H1300*Z1299*INDEX(v01_MortAdult,G1300)*Arch_AdultMort/4*Q1300</x:f>
        <x:v>10.361229077185559</x:v>
      </x:c>
      <x:c r="U1300" s="9" t="n">
        <x:f>H1300*AA1299*INDEX(v01_MortElder,G1300)/4*Q1300</x:f>
        <x:v>38.40669747232161</x:v>
      </x:c>
      <x:c r="V1300" s="9" t="n">
        <x:f>H1300*MAX(0,AB1299-O1300)*v01_OvercapLoss</x:f>
        <x:v>0</x:v>
      </x:c>
      <x:c r="W1300" s="9" t="n">
        <x:f>H1300*Y1299/(v01_ChildYears*4)</x:f>
        <x:v>169.14710341060984</x:v>
      </x:c>
      <x:c r="X1300" s="9" t="n">
        <x:f>H1300*Z1299/(v01_AdultYears*4)</x:f>
        <x:v>83.55829900956095</x:v>
      </x:c>
      <x:c r="Y1300" s="32" t="n">
        <x:f>Y1299+R1300-S1300-W1300-Y1299*V1300/AB1299</x:f>
        <x:v>9521.92137463157</x:v>
      </x:c>
      <x:c r="Z1300" s="32" t="n">
        <x:f>Z1299+W1300-X1300-T1300-Z1299*V1300/AB1299</x:f>
        <x:v>10436.456652509423</x:v>
      </x:c>
      <x:c r="AA1300" s="32" t="n">
        <x:f>AA1299+X1300-U1300-AA1299*V1300/AB1299</x:f>
        <x:v>4434.488455516851</x:v>
      </x:c>
      <x:c r="AB1300" s="10" t="n">
        <x:f>Y1300+Z1300+AA1300</x:f>
        <x:v>24392.866482657842</x:v>
      </x:c>
      <x:c r="AC1300" s="8" t="n">
        <x:f>IF(AND(v01_WinterTrigger=1,D1300=1,AB1299/AE1299&gt;=K1300),1,0)</x:f>
        <x:v>0</x:v>
      </x:c>
      <x:c r="AD1300" s="8" t="n">
        <x:f>H1300*IF(AND(OR(AB1299/AE1299&gt;=v01_FissionTrigger*N1300,AC1300=1),AB1299/AE1299*v01_DaughterShare&gt;=v01_MinDaughter),MAX(1,ROUND(AE1299*v01_FissionRate,0)),0)</x:f>
        <x:v>0</x:v>
      </x:c>
      <x:c r="AE1300" s="8" t="n">
        <x:f>IF(H1300=1,MAX(1,MIN(INDEX(v01_Smax,G1300),AE1299+AD1300)),AE1299)</x:f>
        <x:v>15</x:v>
      </x:c>
      <x:c r="AF1300" s="8" t="n">
        <x:f>MAX(0,AE1300-AE1299)</x:f>
        <x:v>0</x:v>
      </x:c>
      <x:c r="AG1300" s="9" t="str">
        <x:f>IF(AF1300&gt;0,B1300,"")</x:f>
      </x:c>
      <x:c r="AH1300" s="9" t="n">
        <x:f>IF(F1300&gt;=1,1,(1+v01_LowTiesShare*(AE1300-1))/AE1300)</x:f>
        <x:v>1</x:v>
      </x:c>
      <x:c r="AI1300" s="32" t="n">
        <x:f>(Z1300+v01_ElderCommons*INDEX(LM_Elder,G1300)*AA1300)*AH1300</x:f>
        <x:v>27065.788360697614</x:v>
      </x:c>
      <x:c r="AJ1300" s="32" t="n">
        <x:f>H1300*v01_CommonsCoef*AI1300^v01_CommonsExp*INDEX(LM_Commons,G1300)</x:f>
        <x:v>10591.554897155127</x:v>
      </x:c>
      <x:c r="AK1300" s="32" t="n">
        <x:f>H1300*v01_RoleScale*Arch_Roles*(AE1300*(INDEX(v01_ElderRolePerSett,G1300)*v01_OutElder*INDEX(LM_Elder,G1300)+INDEX(v01_ShamanPerSett,G1300)*v01_OutShaman)+Z1300*(INDEX(v01_PriestShare,G1300)*v01_OutPriest+INDEX(v01_ScribeShare,G1300)*v01_OutScribe*INDEX(LM_Scribe,G1300)+INDEX(v01_ScholarShare,G1300)*v01_OutScholar*INDEX(LM_Scholar,G1300)+INDEX(v01_ResearcherShare,G1300)*v01_OutResearcher*INDEX(LM_Researcher,G1300)))</x:f>
        <x:v>2745.852173213884</x:v>
      </x:c>
      <x:c r="AL1300" s="32" t="n">
        <x:f>H1300*v01_RoleScale*Arch_Roles*AE1300*INDEX(v01_MonasteryPerSett,G1300)*v01_OutMonastery*INDEX(LM_Monastery,G1300)</x:f>
        <x:v>6.6000000000000005</x:v>
      </x:c>
      <x:c r="AM1300" s="32" t="n">
        <x:f>(AJ1300+AK1300+AL1300)/4*INDEX(LM_All,G1300)*INDEX(v01_Boon,G1300)*Arch_Insight</x:f>
        <x:v>9614.243337564316</x:v>
      </x:c>
      <x:c r="AN1300" s="32" t="n">
        <x:f>H1300*(v01_KHPerAdult*Z1300+v01_KHOfCommons*AJ1300/4*INDEX(LM_All,G1300))*v01_KHUsable*Arch_KH</x:f>
        <x:v>365.2759828378298</x:v>
      </x:c>
      <x:c r="AO1300" s="32" t="n">
        <x:f>MIN(AP1299+AN1300,AM1300*v01_KHMaxRatio)</x:f>
        <x:v>365.2759828378298</x:v>
      </x:c>
      <x:c r="AP1300" s="32" t="n">
        <x:f>AP1299+AN1300-AO1300</x:f>
        <x:v>0</x:v>
      </x:c>
      <x:c r="AQ1300" s="32" t="n">
        <x:f>AM1300+AO1300</x:f>
        <x:v>9979.519320402145</x:v>
      </x:c>
      <x:c r="AR1300" s="10" t="n">
        <x:f>IF(H1300=1,INDEX(v01_Req,G1300),0)</x:f>
        <x:v>743165.805333726</x:v>
      </x:c>
      <x:c r="AS1300" s="32" t="n">
        <x:f>IF(H1300=1,IF(E1300=1,AS1299-AR1299,AS1299)+AQ1300,0)</x:f>
        <x:v>238895.11227825368</x:v>
      </x:c>
      <x:c r="AT1300" s="11" t="n">
        <x:f>IF(AR1300&gt;0,MIN(1,AS1300/AR1300),1)</x:f>
        <x:v>0.3214560069417826</x:v>
      </x:c>
      <x:c r="AU1300" s="10" t="n">
        <x:f>AB1300/INDEX(v01_RepScale,G1300)</x:f>
        <x:v>97.57146593063138</x:v>
      </x:c>
      <x:c r="AV1300" s="32" t="n">
        <x:f>AM1300*60/v01_SeasonSeconds</x:f>
        <x:v>38456.97335025726</x:v>
      </x:c>
    </x:row>
    <x:row r="1301">
      <x:c r="A1301" s="8" t="n">
        <x:f>A1300+1</x:f>
        <x:v>1298</x:v>
      </x:c>
      <x:c r="B1301" s="9" t="n">
        <x:f>A1301*v01_SeasonSeconds/60</x:f>
        <x:v>324.5</x:v>
      </x:c>
      <x:c r="C1301" s="9" t="n">
        <x:f>A1301/4</x:f>
        <x:v>324.5</x:v>
      </x:c>
      <x:c r="D1301" s="8" t="n">
        <x:f>IF(MOD(A1301,4)=0,1,0)</x:f>
        <x:v>0</x:v>
      </x:c>
      <x:c r="E1301" s="8" t="n">
        <x:f>IF(AND(F1300&lt;=9,AS1300&gt;=AR1300),1,0)</x:f>
        <x:v>0</x:v>
      </x:c>
      <x:c r="F1301" s="8" t="n">
        <x:f>MIN(10,F1300+E1301)</x:f>
        <x:v>8</x:v>
      </x:c>
      <x:c r="G1301" s="8" t="n">
        <x:f>MIN(F1301,9)+1</x:f>
        <x:v>9</x:v>
      </x:c>
      <x:c r="H1301" s="8" t="n">
        <x:f>IF(F1301&lt;=9,1,0)</x:f>
        <x:v>1</x:v>
      </x:c>
      <x:c r="I1301" s="9" t="n">
        <x:f>MIN(10,F1300+IF(AR1300&gt;0,MIN(1,AS1300/AR1300),1))</x:f>
        <x:v>8.321456006941782</x:v>
      </x:c>
      <x:c r="J1301" s="32" t="n">
        <x:f>INDEX(v01_FoodCap,G1301)*Arch_FoodCap*EXP(v01_CapsByProject*SUMPRODUCT((Cap_Point&lt;=I1301)*(Cap_Kind="Food")*Cap_Ln))</x:f>
        <x:v>6000</x:v>
      </x:c>
      <x:c r="K1301" s="32" t="n">
        <x:f>J1301*MIN(1,v01_LeanBase*EXP(v01_CapsByProject*SUMPRODUCT((Cap_Point&lt;=I1301)*(Cap_Kind="Lean")*Cap_Ln)))</x:f>
        <x:v>6000</x:v>
      </x:c>
      <x:c r="L1301" s="10" t="n">
        <x:f>INDEX(v01_HousingCap,G1301)*EXP(v01_CapsByProject*SUMPRODUCT((Cap_Point&lt;=I1301)*(Cap_Kind="Housing")*Cap_Ln))</x:f>
        <x:v>10000</x:v>
      </x:c>
      <x:c r="M1301" s="10" t="n">
        <x:f>INDEX(v01_GroupCap,G1301)*v01_CohesionFactor*EXP(v01_CapsByProject*SUMPRODUCT((Cap_Point&lt;=I1301)*(Cap_Kind="Group")*Cap_Ln))</x:f>
        <x:v>1000000</x:v>
      </x:c>
      <x:c r="N1301" s="32" t="n">
        <x:f>MIN(J1301,L1301,M1301)</x:f>
        <x:v>6000</x:v>
      </x:c>
      <x:c r="O1301" s="10" t="n">
        <x:f>AE1300*N1301</x:f>
        <x:v>90000</x:v>
      </x:c>
      <x:c r="P1301" s="9" t="n">
        <x:f>MIN(1,(AB1300/(AE1300*IF(v01_GroupInCrowding=1,N1301,MIN(J1301,L1301))))^v01_CrowdingExp)</x:f>
        <x:v>0.0003963893477829492</x:v>
      </x:c>
      <x:c r="Q1301" s="9" t="n">
        <x:f>IF(D1301=1,INDEX(v01_WinterMult,G1301),1)</x:f>
        <x:v>1</x:v>
      </x:c>
      <x:c r="R1301" s="9" t="n">
        <x:f>H1301*Z1300*v01_WomenShare*v01_BaseFertility*INDEX(v01_FertMult,G1301)*Arch_Fertility*(1-P1301)</x:f>
        <x:v>234.7271944259348</x:v>
      </x:c>
      <x:c r="S1301" s="9" t="n">
        <x:f>H1301*Y1300*INDEX(v01_MortChild,G1301)/4*Q1301</x:f>
        <x:v>14.282882061947356</x:v>
      </x:c>
      <x:c r="T1301" s="9" t="n">
        <x:f>H1301*Z1300*INDEX(v01_MortAdult,G1301)*Arch_AdultMort/4*Q1301</x:f>
        <x:v>10.436456652509424</x:v>
      </x:c>
      <x:c r="U1301" s="9" t="n">
        <x:f>H1301*AA1300*INDEX(v01_MortElder,G1301)/4*Q1301</x:f>
        <x:v>38.80177398577245</x:v>
      </x:c>
      <x:c r="V1301" s="9" t="n">
        <x:f>H1301*MAX(0,AB1300-O1301)*v01_OvercapLoss</x:f>
        <x:v>0</x:v>
      </x:c>
      <x:c r="W1301" s="9" t="n">
        <x:f>H1301*Y1300/(v01_ChildYears*4)</x:f>
        <x:v>170.03431026127805</x:v>
      </x:c>
      <x:c r="X1301" s="9" t="n">
        <x:f>H1301*Z1300/(v01_AdultYears*4)</x:f>
        <x:v>84.16497300410825</x:v>
      </x:c>
      <x:c r="Y1301" s="32" t="n">
        <x:f>Y1300+R1301-S1301-W1301-Y1300*V1301/AB1300</x:f>
        <x:v>9572.33137673428</x:v>
      </x:c>
      <x:c r="Z1301" s="32" t="n">
        <x:f>Z1300+W1301-X1301-T1301-Z1300*V1301/AB1300</x:f>
        <x:v>10511.889533114085</x:v>
      </x:c>
      <x:c r="AA1301" s="32" t="n">
        <x:f>AA1300+X1301-U1301-AA1300*V1301/AB1300</x:f>
        <x:v>4479.851654535187</x:v>
      </x:c>
      <x:c r="AB1301" s="10" t="n">
        <x:f>Y1301+Z1301+AA1301</x:f>
        <x:v>24564.072564383554</x:v>
      </x:c>
      <x:c r="AC1301" s="8" t="n">
        <x:f>IF(AND(v01_WinterTrigger=1,D1301=1,AB1300/AE1300&gt;=K1301),1,0)</x:f>
        <x:v>0</x:v>
      </x:c>
      <x:c r="AD1301" s="8" t="n">
        <x:f>H1301*IF(AND(OR(AB1300/AE1300&gt;=v01_FissionTrigger*N1301,AC1301=1),AB1300/AE1300*v01_DaughterShare&gt;=v01_MinDaughter),MAX(1,ROUND(AE1300*v01_FissionRate,0)),0)</x:f>
        <x:v>0</x:v>
      </x:c>
      <x:c r="AE1301" s="8" t="n">
        <x:f>IF(H1301=1,MAX(1,MIN(INDEX(v01_Smax,G1301),AE1300+AD1301)),AE1300)</x:f>
        <x:v>15</x:v>
      </x:c>
      <x:c r="AF1301" s="8" t="n">
        <x:f>MAX(0,AE1301-AE1300)</x:f>
        <x:v>0</x:v>
      </x:c>
      <x:c r="AG1301" s="9" t="str">
        <x:f>IF(AF1301&gt;0,B1301,"")</x:f>
      </x:c>
      <x:c r="AH1301" s="9" t="n">
        <x:f>IF(F1301&gt;=1,1,(1+v01_LowTiesShare*(AE1301-1))/AE1301)</x:f>
        <x:v>1</x:v>
      </x:c>
      <x:c r="AI1301" s="32" t="n">
        <x:f>(Z1301+v01_ElderCommons*INDEX(LM_Elder,G1301)*AA1301)*AH1301</x:f>
        <x:v>27311.333237621035</x:v>
      </x:c>
      <x:c r="AJ1301" s="32" t="n">
        <x:f>H1301*v01_CommonsCoef*AI1301^v01_CommonsExp*INDEX(LM_Commons,G1301)</x:f>
        <x:v>10673.174460505674</x:v>
      </x:c>
      <x:c r="AK1301" s="32" t="n">
        <x:f>H1301*v01_RoleScale*Arch_Roles*(AE1301*(INDEX(v01_ElderRolePerSett,G1301)*v01_OutElder*INDEX(LM_Elder,G1301)+INDEX(v01_ShamanPerSett,G1301)*v01_OutShaman)+Z1301*(INDEX(v01_PriestShare,G1301)*v01_OutPriest+INDEX(v01_ScribeShare,G1301)*v01_OutScribe*INDEX(LM_Scribe,G1301)+INDEX(v01_ScholarShare,G1301)*v01_OutScholar*INDEX(LM_Scholar,G1301)+INDEX(v01_ResearcherShare,G1301)*v01_OutResearcher*INDEX(LM_Researcher,G1301)))</x:f>
        <x:v>2765.332803118153</x:v>
      </x:c>
      <x:c r="AL1301" s="32" t="n">
        <x:f>H1301*v01_RoleScale*Arch_Roles*AE1301*INDEX(v01_MonasteryPerSett,G1301)*v01_OutMonastery*INDEX(LM_Monastery,G1301)</x:f>
        <x:v>6.6000000000000005</x:v>
      </x:c>
      <x:c r="AM1301" s="32" t="n">
        <x:f>(AJ1301+AK1301+AL1301)/4*INDEX(LM_All,G1301)*INDEX(v01_Boon,G1301)*Arch_Insight</x:f>
        <x:v>9687.085164933022</x:v>
      </x:c>
      <x:c r="AN1301" s="32" t="n">
        <x:f>H1301*(v01_KHPerAdult*Z1301+v01_KHOfCommons*AJ1301/4*INDEX(LM_All,G1301))*v01_KHUsable*Arch_KH</x:f>
        <x:v>367.916133658993</x:v>
      </x:c>
      <x:c r="AO1301" s="32" t="n">
        <x:f>MIN(AP1300+AN1301,AM1301*v01_KHMaxRatio)</x:f>
        <x:v>367.916133658993</x:v>
      </x:c>
      <x:c r="AP1301" s="32" t="n">
        <x:f>AP1300+AN1301-AO1301</x:f>
        <x:v>0</x:v>
      </x:c>
      <x:c r="AQ1301" s="32" t="n">
        <x:f>AM1301+AO1301</x:f>
        <x:v>10055.001298592015</x:v>
      </x:c>
      <x:c r="AR1301" s="10" t="n">
        <x:f>IF(H1301=1,INDEX(v01_Req,G1301),0)</x:f>
        <x:v>743165.805333726</x:v>
      </x:c>
      <x:c r="AS1301" s="32" t="n">
        <x:f>IF(H1301=1,IF(E1301=1,AS1300-AR1300,AS1300)+AQ1301,0)</x:f>
        <x:v>248950.1135768457</x:v>
      </x:c>
      <x:c r="AT1301" s="11" t="n">
        <x:f>IF(AR1301&gt;0,MIN(1,AS1301/AR1301),1)</x:f>
        <x:v>0.33498596381873647</x:v>
      </x:c>
      <x:c r="AU1301" s="10" t="n">
        <x:f>AB1301/INDEX(v01_RepScale,G1301)</x:f>
        <x:v>98.25629025753422</x:v>
      </x:c>
      <x:c r="AV1301" s="32" t="n">
        <x:f>AM1301*60/v01_SeasonSeconds</x:f>
        <x:v>38748.340659732086</x:v>
      </x:c>
    </x:row>
    <x:row r="1302">
      <x:c r="A1302" s="8" t="n">
        <x:f>A1301+1</x:f>
        <x:v>1299</x:v>
      </x:c>
      <x:c r="B1302" s="9" t="n">
        <x:f>A1302*v01_SeasonSeconds/60</x:f>
        <x:v>324.75</x:v>
      </x:c>
      <x:c r="C1302" s="9" t="n">
        <x:f>A1302/4</x:f>
        <x:v>324.75</x:v>
      </x:c>
      <x:c r="D1302" s="8" t="n">
        <x:f>IF(MOD(A1302,4)=0,1,0)</x:f>
        <x:v>0</x:v>
      </x:c>
      <x:c r="E1302" s="8" t="n">
        <x:f>IF(AND(F1301&lt;=9,AS1301&gt;=AR1301),1,0)</x:f>
        <x:v>0</x:v>
      </x:c>
      <x:c r="F1302" s="8" t="n">
        <x:f>MIN(10,F1301+E1302)</x:f>
        <x:v>8</x:v>
      </x:c>
      <x:c r="G1302" s="8" t="n">
        <x:f>MIN(F1302,9)+1</x:f>
        <x:v>9</x:v>
      </x:c>
      <x:c r="H1302" s="8" t="n">
        <x:f>IF(F1302&lt;=9,1,0)</x:f>
        <x:v>1</x:v>
      </x:c>
      <x:c r="I1302" s="9" t="n">
        <x:f>MIN(10,F1301+IF(AR1301&gt;0,MIN(1,AS1301/AR1301),1))</x:f>
        <x:v>8.334985963818736</x:v>
      </x:c>
      <x:c r="J1302" s="32" t="n">
        <x:f>INDEX(v01_FoodCap,G1302)*Arch_FoodCap*EXP(v01_CapsByProject*SUMPRODUCT((Cap_Point&lt;=I1302)*(Cap_Kind="Food")*Cap_Ln))</x:f>
        <x:v>6000</x:v>
      </x:c>
      <x:c r="K1302" s="32" t="n">
        <x:f>J1302*MIN(1,v01_LeanBase*EXP(v01_CapsByProject*SUMPRODUCT((Cap_Point&lt;=I1302)*(Cap_Kind="Lean")*Cap_Ln)))</x:f>
        <x:v>6000</x:v>
      </x:c>
      <x:c r="L1302" s="10" t="n">
        <x:f>INDEX(v01_HousingCap,G1302)*EXP(v01_CapsByProject*SUMPRODUCT((Cap_Point&lt;=I1302)*(Cap_Kind="Housing")*Cap_Ln))</x:f>
        <x:v>10000</x:v>
      </x:c>
      <x:c r="M1302" s="10" t="n">
        <x:f>INDEX(v01_GroupCap,G1302)*v01_CohesionFactor*EXP(v01_CapsByProject*SUMPRODUCT((Cap_Point&lt;=I1302)*(Cap_Kind="Group")*Cap_Ln))</x:f>
        <x:v>1000000</x:v>
      </x:c>
      <x:c r="N1302" s="32" t="n">
        <x:f>MIN(J1302,L1302,M1302)</x:f>
        <x:v>6000</x:v>
      </x:c>
      <x:c r="O1302" s="10" t="n">
        <x:f>AE1301*N1302</x:f>
        <x:v>90000</x:v>
      </x:c>
      <x:c r="P1302" s="9" t="n">
        <x:f>MIN(1,(AB1301/(AE1301*IF(v01_GroupInCrowding=1,N1302,MIN(J1302,L1302))))^v01_CrowdingExp)</x:f>
        <x:v>0.00041337782254488055</x:v>
      </x:c>
      <x:c r="Q1302" s="9" t="n">
        <x:f>IF(D1302=1,INDEX(v01_WinterMult,G1302),1)</x:f>
        <x:v>1</x:v>
      </x:c>
      <x:c r="R1302" s="9" t="n">
        <x:f>H1302*Z1301*v01_WomenShare*v01_BaseFertility*INDEX(v01_FertMult,G1302)*Arch_Fertility*(1-P1302)</x:f>
        <x:v>236.4197433999312</x:v>
      </x:c>
      <x:c r="S1302" s="9" t="n">
        <x:f>H1302*Y1301*INDEX(v01_MortChild,G1302)/4*Q1302</x:f>
        <x:v>14.358497065101421</x:v>
      </x:c>
      <x:c r="T1302" s="9" t="n">
        <x:f>H1302*Z1301*INDEX(v01_MortAdult,G1302)*Arch_AdultMort/4*Q1302</x:f>
        <x:v>10.511889533114084</x:v>
      </x:c>
      <x:c r="U1302" s="9" t="n">
        <x:f>H1302*AA1301*INDEX(v01_MortElder,G1302)/4*Q1302</x:f>
        <x:v>39.198701977182886</x:v>
      </x:c>
      <x:c r="V1302" s="9" t="n">
        <x:f>H1302*MAX(0,AB1301-O1302)*v01_OvercapLoss</x:f>
        <x:v>0</x:v>
      </x:c>
      <x:c r="W1302" s="9" t="n">
        <x:f>H1302*Y1301/(v01_ChildYears*4)</x:f>
        <x:v>170.93448887025502</x:v>
      </x:c>
      <x:c r="X1302" s="9" t="n">
        <x:f>H1302*Z1301/(v01_AdultYears*4)</x:f>
        <x:v>84.77330268640391</x:v>
      </x:c>
      <x:c r="Y1302" s="32" t="n">
        <x:f>Y1301+R1302-S1302-W1302-Y1301*V1302/AB1301</x:f>
        <x:v>9623.458134198856</x:v>
      </x:c>
      <x:c r="Z1302" s="32" t="n">
        <x:f>Z1301+W1302-X1302-T1302-Z1301*V1302/AB1301</x:f>
        <x:v>10587.53882976482</x:v>
      </x:c>
      <x:c r="AA1302" s="32" t="n">
        <x:f>AA1301+X1302-U1302-AA1301*V1302/AB1301</x:f>
        <x:v>4525.426255244408</x:v>
      </x:c>
      <x:c r="AB1302" s="10" t="n">
        <x:f>Y1302+Z1302+AA1302</x:f>
        <x:v>24736.423219208085</x:v>
      </x:c>
      <x:c r="AC1302" s="8" t="n">
        <x:f>IF(AND(v01_WinterTrigger=1,D1302=1,AB1301/AE1301&gt;=K1302),1,0)</x:f>
        <x:v>0</x:v>
      </x:c>
      <x:c r="AD1302" s="8" t="n">
        <x:f>H1302*IF(AND(OR(AB1301/AE1301&gt;=v01_FissionTrigger*N1302,AC1302=1),AB1301/AE1301*v01_DaughterShare&gt;=v01_MinDaughter),MAX(1,ROUND(AE1301*v01_FissionRate,0)),0)</x:f>
        <x:v>0</x:v>
      </x:c>
      <x:c r="AE1302" s="8" t="n">
        <x:f>IF(H1302=1,MAX(1,MIN(INDEX(v01_Smax,G1302),AE1301+AD1302)),AE1301)</x:f>
        <x:v>15</x:v>
      </x:c>
      <x:c r="AF1302" s="8" t="n">
        <x:f>MAX(0,AE1302-AE1301)</x:f>
        <x:v>0</x:v>
      </x:c>
      <x:c r="AG1302" s="9" t="str">
        <x:f>IF(AF1302&gt;0,B1302,"")</x:f>
      </x:c>
      <x:c r="AH1302" s="9" t="n">
        <x:f>IF(F1302&gt;=1,1,(1+v01_LowTiesShare*(AE1302-1))/AE1302)</x:f>
        <x:v>1</x:v>
      </x:c>
      <x:c r="AI1302" s="32" t="n">
        <x:f>(Z1302+v01_ElderCommons*INDEX(LM_Elder,G1302)*AA1302)*AH1302</x:f>
        <x:v>27557.88728693135</x:v>
      </x:c>
      <x:c r="AJ1302" s="32" t="n">
        <x:f>H1302*v01_CommonsCoef*AI1302^v01_CommonsExp*INDEX(LM_Commons,G1302)</x:f>
        <x:v>10755.018798538631</x:v>
      </x:c>
      <x:c r="AK1302" s="32" t="n">
        <x:f>H1302*v01_RoleScale*Arch_Roles*(AE1302*(INDEX(v01_ElderRolePerSett,G1302)*v01_OutElder*INDEX(LM_Elder,G1302)+INDEX(v01_ShamanPerSett,G1302)*v01_OutShaman)+Z1302*(INDEX(v01_PriestShare,G1302)*v01_OutPriest+INDEX(v01_ScribeShare,G1302)*v01_OutScribe*INDEX(LM_Scribe,G1302)+INDEX(v01_ScholarShare,G1302)*v01_OutScholar*INDEX(LM_Scholar,G1302)+INDEX(v01_ResearcherShare,G1302)*v01_OutResearcher*INDEX(LM_Researcher,G1302)))</x:f>
        <x:v>2784.869322720192</x:v>
      </x:c>
      <x:c r="AL1302" s="32" t="n">
        <x:f>H1302*v01_RoleScale*Arch_Roles*AE1302*INDEX(v01_MonasteryPerSett,G1302)*v01_OutMonastery*INDEX(LM_Monastery,G1302)</x:f>
        <x:v>6.6000000000000005</x:v>
      </x:c>
      <x:c r="AM1302" s="32" t="n">
        <x:f>(AJ1302+AK1302+AL1302)/4*INDEX(LM_All,G1302)*INDEX(v01_Boon,G1302)*Arch_Insight</x:f>
        <x:v>9760.129208595003</x:v>
      </x:c>
      <x:c r="AN1302" s="32" t="n">
        <x:f>H1302*(v01_KHPerAdult*Z1302+v01_KHOfCommons*AJ1302/4*INDEX(LM_All,G1302))*v01_KHUsable*Arch_KH</x:f>
        <x:v>370.56385904176875</x:v>
      </x:c>
      <x:c r="AO1302" s="32" t="n">
        <x:f>MIN(AP1301+AN1302,AM1302*v01_KHMaxRatio)</x:f>
        <x:v>370.56385904176875</x:v>
      </x:c>
      <x:c r="AP1302" s="32" t="n">
        <x:f>AP1301+AN1302-AO1302</x:f>
        <x:v>0</x:v>
      </x:c>
      <x:c r="AQ1302" s="32" t="n">
        <x:f>AM1302+AO1302</x:f>
        <x:v>10130.693067636772</x:v>
      </x:c>
      <x:c r="AR1302" s="10" t="n">
        <x:f>IF(H1302=1,INDEX(v01_Req,G1302),0)</x:f>
        <x:v>743165.805333726</x:v>
      </x:c>
      <x:c r="AS1302" s="32" t="n">
        <x:f>IF(H1302=1,IF(E1302=1,AS1301-AR1301,AS1301)+AQ1302,0)</x:f>
        <x:v>259080.80664448248</x:v>
      </x:c>
      <x:c r="AT1302" s="11" t="n">
        <x:f>IF(AR1302&gt;0,MIN(1,AS1302/AR1302),1)</x:f>
        <x:v>0.3486177711421204</x:v>
      </x:c>
      <x:c r="AU1302" s="10" t="n">
        <x:f>AB1302/INDEX(v01_RepScale,G1302)</x:f>
        <x:v>98.94569287683234</x:v>
      </x:c>
      <x:c r="AV1302" s="32" t="n">
        <x:f>AM1302*60/v01_SeasonSeconds</x:f>
        <x:v>39040.51683438001</x:v>
      </x:c>
    </x:row>
    <x:row r="1303">
      <x:c r="A1303" s="8" t="n">
        <x:f>A1302+1</x:f>
        <x:v>1300</x:v>
      </x:c>
      <x:c r="B1303" s="9" t="n">
        <x:f>A1303*v01_SeasonSeconds/60</x:f>
        <x:v>325</x:v>
      </x:c>
      <x:c r="C1303" s="9" t="n">
        <x:f>A1303/4</x:f>
        <x:v>325</x:v>
      </x:c>
      <x:c r="D1303" s="8" t="n">
        <x:f>IF(MOD(A1303,4)=0,1,0)</x:f>
        <x:v>1</x:v>
      </x:c>
      <x:c r="E1303" s="8" t="n">
        <x:f>IF(AND(F1302&lt;=9,AS1302&gt;=AR1302),1,0)</x:f>
        <x:v>0</x:v>
      </x:c>
      <x:c r="F1303" s="8" t="n">
        <x:f>MIN(10,F1302+E1303)</x:f>
        <x:v>8</x:v>
      </x:c>
      <x:c r="G1303" s="8" t="n">
        <x:f>MIN(F1303,9)+1</x:f>
        <x:v>9</x:v>
      </x:c>
      <x:c r="H1303" s="8" t="n">
        <x:f>IF(F1303&lt;=9,1,0)</x:f>
        <x:v>1</x:v>
      </x:c>
      <x:c r="I1303" s="9" t="n">
        <x:f>MIN(10,F1302+IF(AR1302&gt;0,MIN(1,AS1302/AR1302),1))</x:f>
        <x:v>8.34861777114212</x:v>
      </x:c>
      <x:c r="J1303" s="32" t="n">
        <x:f>INDEX(v01_FoodCap,G1303)*Arch_FoodCap*EXP(v01_CapsByProject*SUMPRODUCT((Cap_Point&lt;=I1303)*(Cap_Kind="Food")*Cap_Ln))</x:f>
        <x:v>6000</x:v>
      </x:c>
      <x:c r="K1303" s="32" t="n">
        <x:f>J1303*MIN(1,v01_LeanBase*EXP(v01_CapsByProject*SUMPRODUCT((Cap_Point&lt;=I1303)*(Cap_Kind="Lean")*Cap_Ln)))</x:f>
        <x:v>6000</x:v>
      </x:c>
      <x:c r="L1303" s="10" t="n">
        <x:f>INDEX(v01_HousingCap,G1303)*EXP(v01_CapsByProject*SUMPRODUCT((Cap_Point&lt;=I1303)*(Cap_Kind="Housing")*Cap_Ln))</x:f>
        <x:v>10000</x:v>
      </x:c>
      <x:c r="M1303" s="10" t="n">
        <x:f>INDEX(v01_GroupCap,G1303)*v01_CohesionFactor*EXP(v01_CapsByProject*SUMPRODUCT((Cap_Point&lt;=I1303)*(Cap_Kind="Group")*Cap_Ln))</x:f>
        <x:v>1000000</x:v>
      </x:c>
      <x:c r="N1303" s="32" t="n">
        <x:f>MIN(J1303,L1303,M1303)</x:f>
        <x:v>6000</x:v>
      </x:c>
      <x:c r="O1303" s="10" t="n">
        <x:f>AE1302*N1303</x:f>
        <x:v>90000</x:v>
      </x:c>
      <x:c r="P1303" s="9" t="n">
        <x:f>MIN(1,(AB1302/(AE1302*IF(v01_GroupInCrowding=1,N1303,MIN(J1303,L1303))))^v01_CrowdingExp)</x:f>
        <x:v>0.00043108842272603765</x:v>
      </x:c>
      <x:c r="Q1303" s="9" t="n">
        <x:f>IF(D1303=1,INDEX(v01_WinterMult,G1303),1)</x:f>
        <x:v>1</x:v>
      </x:c>
      <x:c r="R1303" s="9" t="n">
        <x:f>H1303*Z1302*v01_WomenShare*v01_BaseFertility*INDEX(v01_FertMult,G1303)*Arch_Fertility*(1-P1303)</x:f>
        <x:v>238.11692994787828</x:v>
      </x:c>
      <x:c r="S1303" s="9" t="n">
        <x:f>H1303*Y1302*INDEX(v01_MortChild,G1303)/4*Q1303</x:f>
        <x:v>14.435187201298284</x:v>
      </x:c>
      <x:c r="T1303" s="9" t="n">
        <x:f>H1303*Z1302*INDEX(v01_MortAdult,G1303)*Arch_AdultMort/4*Q1303</x:f>
        <x:v>10.58753882976482</x:v>
      </x:c>
      <x:c r="U1303" s="9" t="n">
        <x:f>H1303*AA1302*INDEX(v01_MortElder,G1303)/4*Q1303</x:f>
        <x:v>39.597479733388575</x:v>
      </x:c>
      <x:c r="V1303" s="9" t="n">
        <x:f>H1303*MAX(0,AB1302-O1303)*v01_OvercapLoss</x:f>
        <x:v>0</x:v>
      </x:c>
      <x:c r="W1303" s="9" t="n">
        <x:f>H1303*Y1302/(v01_ChildYears*4)</x:f>
        <x:v>171.84746668212242</x:v>
      </x:c>
      <x:c r="X1303" s="9" t="n">
        <x:f>H1303*Z1302/(v01_AdultYears*4)</x:f>
        <x:v>85.38337765939372</x:v>
      </x:c>
      <x:c r="Y1303" s="32" t="n">
        <x:f>Y1302+R1303-S1303-W1303-Y1302*V1303/AB1302</x:f>
        <x:v>9675.292410263315</x:v>
      </x:c>
      <x:c r="Z1303" s="32" t="n">
        <x:f>Z1302+W1303-X1303-T1303-Z1302*V1303/AB1302</x:f>
        <x:v>10663.415379957785</x:v>
      </x:c>
      <x:c r="AA1303" s="32" t="n">
        <x:f>AA1302+X1303-U1303-AA1302*V1303/AB1302</x:f>
        <x:v>4571.212153170413</x:v>
      </x:c>
      <x:c r="AB1303" s="10" t="n">
        <x:f>Y1303+Z1303+AA1303</x:f>
        <x:v>24909.919943391516</x:v>
      </x:c>
      <x:c r="AC1303" s="8" t="n">
        <x:f>IF(AND(v01_WinterTrigger=1,D1303=1,AB1302/AE1302&gt;=K1303),1,0)</x:f>
        <x:v>0</x:v>
      </x:c>
      <x:c r="AD1303" s="8" t="n">
        <x:f>H1303*IF(AND(OR(AB1302/AE1302&gt;=v01_FissionTrigger*N1303,AC1303=1),AB1302/AE1302*v01_DaughterShare&gt;=v01_MinDaughter),MAX(1,ROUND(AE1302*v01_FissionRate,0)),0)</x:f>
        <x:v>0</x:v>
      </x:c>
      <x:c r="AE1303" s="8" t="n">
        <x:f>IF(H1303=1,MAX(1,MIN(INDEX(v01_Smax,G1303),AE1302+AD1303)),AE1302)</x:f>
        <x:v>15</x:v>
      </x:c>
      <x:c r="AF1303" s="8" t="n">
        <x:f>MAX(0,AE1303-AE1302)</x:f>
        <x:v>0</x:v>
      </x:c>
      <x:c r="AG1303" s="9" t="str">
        <x:f>IF(AF1303&gt;0,B1303,"")</x:f>
      </x:c>
      <x:c r="AH1303" s="9" t="n">
        <x:f>IF(F1303&gt;=1,1,(1+v01_LowTiesShare*(AE1303-1))/AE1303)</x:f>
        <x:v>1</x:v>
      </x:c>
      <x:c r="AI1303" s="32" t="n">
        <x:f>(Z1303+v01_ElderCommons*INDEX(LM_Elder,G1303)*AA1303)*AH1303</x:f>
        <x:v>27805.460954346832</x:v>
      </x:c>
      <x:c r="AJ1303" s="32" t="n">
        <x:f>H1303*v01_CommonsCoef*AI1303^v01_CommonsExp*INDEX(LM_Commons,G1303)</x:f>
        <x:v>10837.091157252138</x:v>
      </x:c>
      <x:c r="AK1303" s="32" t="n">
        <x:f>H1303*v01_RoleScale*Arch_Roles*(AE1303*(INDEX(v01_ElderRolePerSett,G1303)*v01_OutElder*INDEX(LM_Elder,G1303)+INDEX(v01_ShamanPerSett,G1303)*v01_OutShaman)+Z1303*(INDEX(v01_PriestShare,G1303)*v01_OutPriest+INDEX(v01_ScribeShare,G1303)*v01_OutScribe*INDEX(LM_Scribe,G1303)+INDEX(v01_ScholarShare,G1303)*v01_OutScholar*INDEX(LM_Scholar,G1303)+INDEX(v01_ResearcherShare,G1303)*v01_OutResearcher*INDEX(LM_Researcher,G1303)))</x:f>
        <x:v>2804.464530816096</x:v>
      </x:c>
      <x:c r="AL1303" s="32" t="n">
        <x:f>H1303*v01_RoleScale*Arch_Roles*AE1303*INDEX(v01_MonasteryPerSett,G1303)*v01_OutMonastery*INDEX(LM_Monastery,G1303)</x:f>
        <x:v>6.6000000000000005</x:v>
      </x:c>
      <x:c r="AM1303" s="32" t="n">
        <x:f>(AJ1303+AK1303+AL1303)/4*INDEX(LM_All,G1303)*INDEX(v01_Boon,G1303)*Arch_Insight</x:f>
        <x:v>9833.379823772975</x:v>
      </x:c>
      <x:c r="AN1303" s="32" t="n">
        <x:f>H1303*(v01_KHPerAdult*Z1303+v01_KHOfCommons*AJ1303/4*INDEX(LM_All,G1303))*v01_KHUsable*Arch_KH</x:f>
        <x:v>373.2195382985224</x:v>
      </x:c>
      <x:c r="AO1303" s="32" t="n">
        <x:f>MIN(AP1302+AN1303,AM1303*v01_KHMaxRatio)</x:f>
        <x:v>373.2195382985224</x:v>
      </x:c>
      <x:c r="AP1303" s="32" t="n">
        <x:f>AP1302+AN1303-AO1303</x:f>
        <x:v>0</x:v>
      </x:c>
      <x:c r="AQ1303" s="32" t="n">
        <x:f>AM1303+AO1303</x:f>
        <x:v>10206.599362071498</x:v>
      </x:c>
      <x:c r="AR1303" s="10" t="n">
        <x:f>IF(H1303=1,INDEX(v01_Req,G1303),0)</x:f>
        <x:v>743165.805333726</x:v>
      </x:c>
      <x:c r="AS1303" s="32" t="n">
        <x:f>IF(H1303=1,IF(E1303=1,AS1302-AR1302,AS1302)+AQ1303,0)</x:f>
        <x:v>269287.40600655397</x:v>
      </x:c>
      <x:c r="AT1303" s="11" t="n">
        <x:f>IF(AR1303&gt;0,MIN(1,AS1303/AR1303),1)</x:f>
        <x:v>0.362351717576171</x:v>
      </x:c>
      <x:c r="AU1303" s="10" t="n">
        <x:f>AB1303/INDEX(v01_RepScale,G1303)</x:f>
        <x:v>99.63967977356607</x:v>
      </x:c>
      <x:c r="AV1303" s="32" t="n">
        <x:f>AM1303*60/v01_SeasonSeconds</x:f>
        <x:v>39333.5192950919</x:v>
      </x:c>
    </x:row>
    <x:row r="1304">
      <x:c r="A1304" s="8" t="n">
        <x:f>A1303+1</x:f>
        <x:v>1301</x:v>
      </x:c>
      <x:c r="B1304" s="9" t="n">
        <x:f>A1304*v01_SeasonSeconds/60</x:f>
        <x:v>325.25</x:v>
      </x:c>
      <x:c r="C1304" s="9" t="n">
        <x:f>A1304/4</x:f>
        <x:v>325.25</x:v>
      </x:c>
      <x:c r="D1304" s="8" t="n">
        <x:f>IF(MOD(A1304,4)=0,1,0)</x:f>
        <x:v>0</x:v>
      </x:c>
      <x:c r="E1304" s="8" t="n">
        <x:f>IF(AND(F1303&lt;=9,AS1303&gt;=AR1303),1,0)</x:f>
        <x:v>0</x:v>
      </x:c>
      <x:c r="F1304" s="8" t="n">
        <x:f>MIN(10,F1303+E1304)</x:f>
        <x:v>8</x:v>
      </x:c>
      <x:c r="G1304" s="8" t="n">
        <x:f>MIN(F1304,9)+1</x:f>
        <x:v>9</x:v>
      </x:c>
      <x:c r="H1304" s="8" t="n">
        <x:f>IF(F1304&lt;=9,1,0)</x:f>
        <x:v>1</x:v>
      </x:c>
      <x:c r="I1304" s="9" t="n">
        <x:f>MIN(10,F1303+IF(AR1303&gt;0,MIN(1,AS1303/AR1303),1))</x:f>
        <x:v>8.362351717576171</x:v>
      </x:c>
      <x:c r="J1304" s="32" t="n">
        <x:f>INDEX(v01_FoodCap,G1304)*Arch_FoodCap*EXP(v01_CapsByProject*SUMPRODUCT((Cap_Point&lt;=I1304)*(Cap_Kind="Food")*Cap_Ln))</x:f>
        <x:v>6000</x:v>
      </x:c>
      <x:c r="K1304" s="32" t="n">
        <x:f>J1304*MIN(1,v01_LeanBase*EXP(v01_CapsByProject*SUMPRODUCT((Cap_Point&lt;=I1304)*(Cap_Kind="Lean")*Cap_Ln)))</x:f>
        <x:v>6000</x:v>
      </x:c>
      <x:c r="L1304" s="10" t="n">
        <x:f>INDEX(v01_HousingCap,G1304)*EXP(v01_CapsByProject*SUMPRODUCT((Cap_Point&lt;=I1304)*(Cap_Kind="Housing")*Cap_Ln))</x:f>
        <x:v>10000</x:v>
      </x:c>
      <x:c r="M1304" s="10" t="n">
        <x:f>INDEX(v01_GroupCap,G1304)*v01_CohesionFactor*EXP(v01_CapsByProject*SUMPRODUCT((Cap_Point&lt;=I1304)*(Cap_Kind="Group")*Cap_Ln))</x:f>
        <x:v>1000000</x:v>
      </x:c>
      <x:c r="N1304" s="32" t="n">
        <x:f>MIN(J1304,L1304,M1304)</x:f>
        <x:v>6000</x:v>
      </x:c>
      <x:c r="O1304" s="10" t="n">
        <x:f>AE1303*N1304</x:f>
        <x:v>90000</x:v>
      </x:c>
      <x:c r="P1304" s="9" t="n">
        <x:f>MIN(1,(AB1303/(AE1303*IF(v01_GroupInCrowding=1,N1304,MIN(J1304,L1304))))^v01_CrowdingExp)</x:f>
        <x:v>0.0004495509648075316</x:v>
      </x:c>
      <x:c r="Q1304" s="9" t="n">
        <x:f>IF(D1304=1,INDEX(v01_WinterMult,G1304),1)</x:f>
        <x:v>1</x:v>
      </x:c>
      <x:c r="R1304" s="9" t="n">
        <x:f>H1304*Z1303*v01_WomenShare*v01_BaseFertility*INDEX(v01_FertMult,G1304)*Arch_Fertility*(1-P1304)</x:f>
        <x:v>239.8189867039256</x:v>
      </x:c>
      <x:c r="S1304" s="9" t="n">
        <x:f>H1304*Y1303*INDEX(v01_MortChild,G1304)/4*Q1304</x:f>
        <x:v>14.512938615394972</x:v>
      </x:c>
      <x:c r="T1304" s="9" t="n">
        <x:f>H1304*Z1303*INDEX(v01_MortAdult,G1304)*Arch_AdultMort/4*Q1304</x:f>
        <x:v>10.663415379957785</x:v>
      </x:c>
      <x:c r="U1304" s="9" t="n">
        <x:f>H1304*AA1303*INDEX(v01_MortElder,G1304)/4*Q1304</x:f>
        <x:v>39.99810634024112</x:v>
      </x:c>
      <x:c r="V1304" s="9" t="n">
        <x:f>H1304*MAX(0,AB1303-O1304)*v01_OvercapLoss</x:f>
        <x:v>0</x:v>
      </x:c>
      <x:c r="W1304" s="9" t="n">
        <x:f>H1304*Y1303/(v01_ChildYears*4)</x:f>
        <x:v>172.77307875470206</x:v>
      </x:c>
      <x:c r="X1304" s="9" t="n">
        <x:f>H1304*Z1303/(v01_AdultYears*4)</x:f>
        <x:v>85.9952853222402</x:v>
      </x:c>
      <x:c r="Y1304" s="32" t="n">
        <x:f>Y1303+R1304-S1304-W1304-Y1303*V1304/AB1303</x:f>
        <x:v>9727.825379597143</x:v>
      </x:c>
      <x:c r="Z1304" s="32" t="n">
        <x:f>Z1303+W1304-X1304-T1304-Z1303*V1304/AB1303</x:f>
        <x:v>10739.529758010289</x:v>
      </x:c>
      <x:c r="AA1304" s="32" t="n">
        <x:f>AA1303+X1304-U1304-AA1303*V1304/AB1303</x:f>
        <x:v>4617.209332152413</x:v>
      </x:c>
      <x:c r="AB1304" s="10" t="n">
        <x:f>Y1304+Z1304+AA1304</x:f>
        <x:v>25084.564469759844</x:v>
      </x:c>
      <x:c r="AC1304" s="8" t="n">
        <x:f>IF(AND(v01_WinterTrigger=1,D1304=1,AB1303/AE1303&gt;=K1304),1,0)</x:f>
        <x:v>0</x:v>
      </x:c>
      <x:c r="AD1304" s="8" t="n">
        <x:f>H1304*IF(AND(OR(AB1303/AE1303&gt;=v01_FissionTrigger*N1304,AC1304=1),AB1303/AE1303*v01_DaughterShare&gt;=v01_MinDaughter),MAX(1,ROUND(AE1303*v01_FissionRate,0)),0)</x:f>
        <x:v>0</x:v>
      </x:c>
      <x:c r="AE1304" s="8" t="n">
        <x:f>IF(H1304=1,MAX(1,MIN(INDEX(v01_Smax,G1304),AE1303+AD1304)),AE1303)</x:f>
        <x:v>15</x:v>
      </x:c>
      <x:c r="AF1304" s="8" t="n">
        <x:f>MAX(0,AE1304-AE1303)</x:f>
        <x:v>0</x:v>
      </x:c>
      <x:c r="AG1304" s="9" t="str">
        <x:f>IF(AF1304&gt;0,B1304,"")</x:f>
      </x:c>
      <x:c r="AH1304" s="9" t="n">
        <x:f>IF(F1304&gt;=1,1,(1+v01_LowTiesShare*(AE1304-1))/AE1304)</x:f>
        <x:v>1</x:v>
      </x:c>
      <x:c r="AI1304" s="32" t="n">
        <x:f>(Z1304+v01_ElderCommons*INDEX(LM_Elder,G1304)*AA1304)*AH1304</x:f>
        <x:v>28054.064753581835</x:v>
      </x:c>
      <x:c r="AJ1304" s="32" t="n">
        <x:f>H1304*v01_CommonsCoef*AI1304^v01_CommonsExp*INDEX(LM_Commons,G1304)</x:f>
        <x:v>10919.39478710241</x:v>
      </x:c>
      <x:c r="AK1304" s="32" t="n">
        <x:f>H1304*v01_RoleScale*Arch_Roles*(AE1304*(INDEX(v01_ElderRolePerSett,G1304)*v01_OutElder*INDEX(LM_Elder,G1304)+INDEX(v01_ShamanPerSett,G1304)*v01_OutShaman)+Z1304*(INDEX(v01_PriestShare,G1304)*v01_OutPriest+INDEX(v01_ScribeShare,G1304)*v01_OutScribe*INDEX(LM_Scribe,G1304)+INDEX(v01_ScholarShare,G1304)*v01_OutScholar*INDEX(LM_Scholar,G1304)+INDEX(v01_ResearcherShare,G1304)*v01_OutResearcher*INDEX(LM_Researcher,G1304)))</x:f>
        <x:v>2824.121158235715</x:v>
      </x:c>
      <x:c r="AL1304" s="32" t="n">
        <x:f>H1304*v01_RoleScale*Arch_Roles*AE1304*INDEX(v01_MonasteryPerSett,G1304)*v01_OutMonastery*INDEX(LM_Monastery,G1304)</x:f>
        <x:v>6.6000000000000005</x:v>
      </x:c>
      <x:c r="AM1304" s="32" t="n">
        <x:f>(AJ1304+AK1304+AL1304)/4*INDEX(LM_All,G1304)*INDEX(v01_Boon,G1304)*Arch_Insight</x:f>
        <x:v>9906.84131993256</x:v>
      </x:c>
      <x:c r="AN1304" s="32" t="n">
        <x:f>H1304*(v01_KHPerAdult*Z1304+v01_KHOfCommons*AJ1304/4*INDEX(LM_All,G1304))*v01_KHUsable*Arch_KH</x:f>
        <x:v>375.8835415303601</x:v>
      </x:c>
      <x:c r="AO1304" s="32" t="n">
        <x:f>MIN(AP1303+AN1304,AM1304*v01_KHMaxRatio)</x:f>
        <x:v>375.8835415303601</x:v>
      </x:c>
      <x:c r="AP1304" s="32" t="n">
        <x:f>AP1303+AN1304-AO1304</x:f>
        <x:v>0</x:v>
      </x:c>
      <x:c r="AQ1304" s="32" t="n">
        <x:f>AM1304+AO1304</x:f>
        <x:v>10282.72486146292</x:v>
      </x:c>
      <x:c r="AR1304" s="10" t="n">
        <x:f>IF(H1304=1,INDEX(v01_Req,G1304),0)</x:f>
        <x:v>743165.805333726</x:v>
      </x:c>
      <x:c r="AS1304" s="32" t="n">
        <x:f>IF(H1304=1,IF(E1304=1,AS1303-AR1303,AS1303)+AQ1304,0)</x:f>
        <x:v>279570.13086801686</x:v>
      </x:c>
      <x:c r="AT1304" s="11" t="n">
        <x:f>IF(AR1304&gt;0,MIN(1,AS1304/AR1304),1)</x:f>
        <x:v>0.3761880980819255</x:v>
      </x:c>
      <x:c r="AU1304" s="10" t="n">
        <x:f>AB1304/INDEX(v01_RepScale,G1304)</x:f>
        <x:v>100.33825787903938</x:v>
      </x:c>
      <x:c r="AV1304" s="32" t="n">
        <x:f>AM1304*60/v01_SeasonSeconds</x:f>
        <x:v>39627.36527973024</x:v>
      </x:c>
    </x:row>
    <x:row r="1305">
      <x:c r="A1305" s="8" t="n">
        <x:f>A1304+1</x:f>
        <x:v>1302</x:v>
      </x:c>
      <x:c r="B1305" s="9" t="n">
        <x:f>A1305*v01_SeasonSeconds/60</x:f>
        <x:v>325.5</x:v>
      </x:c>
      <x:c r="C1305" s="9" t="n">
        <x:f>A1305/4</x:f>
        <x:v>325.5</x:v>
      </x:c>
      <x:c r="D1305" s="8" t="n">
        <x:f>IF(MOD(A1305,4)=0,1,0)</x:f>
        <x:v>0</x:v>
      </x:c>
      <x:c r="E1305" s="8" t="n">
        <x:f>IF(AND(F1304&lt;=9,AS1304&gt;=AR1304),1,0)</x:f>
        <x:v>0</x:v>
      </x:c>
      <x:c r="F1305" s="8" t="n">
        <x:f>MIN(10,F1304+E1305)</x:f>
        <x:v>8</x:v>
      </x:c>
      <x:c r="G1305" s="8" t="n">
        <x:f>MIN(F1305,9)+1</x:f>
        <x:v>9</x:v>
      </x:c>
      <x:c r="H1305" s="8" t="n">
        <x:f>IF(F1305&lt;=9,1,0)</x:f>
        <x:v>1</x:v>
      </x:c>
      <x:c r="I1305" s="9" t="n">
        <x:f>MIN(10,F1304+IF(AR1304&gt;0,MIN(1,AS1304/AR1304),1))</x:f>
        <x:v>8.376188098081926</x:v>
      </x:c>
      <x:c r="J1305" s="32" t="n">
        <x:f>INDEX(v01_FoodCap,G1305)*Arch_FoodCap*EXP(v01_CapsByProject*SUMPRODUCT((Cap_Point&lt;=I1305)*(Cap_Kind="Food")*Cap_Ln))</x:f>
        <x:v>6000</x:v>
      </x:c>
      <x:c r="K1305" s="32" t="n">
        <x:f>J1305*MIN(1,v01_LeanBase*EXP(v01_CapsByProject*SUMPRODUCT((Cap_Point&lt;=I1305)*(Cap_Kind="Lean")*Cap_Ln)))</x:f>
        <x:v>6000</x:v>
      </x:c>
      <x:c r="L1305" s="10" t="n">
        <x:f>INDEX(v01_HousingCap,G1305)*EXP(v01_CapsByProject*SUMPRODUCT((Cap_Point&lt;=I1305)*(Cap_Kind="Housing")*Cap_Ln))</x:f>
        <x:v>10000</x:v>
      </x:c>
      <x:c r="M1305" s="10" t="n">
        <x:f>INDEX(v01_GroupCap,G1305)*v01_CohesionFactor*EXP(v01_CapsByProject*SUMPRODUCT((Cap_Point&lt;=I1305)*(Cap_Kind="Group")*Cap_Ln))</x:f>
        <x:v>1000000</x:v>
      </x:c>
      <x:c r="N1305" s="32" t="n">
        <x:f>MIN(J1305,L1305,M1305)</x:f>
        <x:v>6000</x:v>
      </x:c>
      <x:c r="O1305" s="10" t="n">
        <x:f>AE1304*N1305</x:f>
        <x:v>90000</x:v>
      </x:c>
      <x:c r="P1305" s="9" t="n">
        <x:f>MIN(1,(AB1304/(AE1304*IF(v01_GroupInCrowding=1,N1305,MIN(J1305,L1305))))^v01_CrowdingExp)</x:f>
        <x:v>0.0004687964705885559</x:v>
      </x:c>
      <x:c r="Q1305" s="9" t="n">
        <x:f>IF(D1305=1,INDEX(v01_WinterMult,G1305),1)</x:f>
        <x:v>1</x:v>
      </x:c>
      <x:c r="R1305" s="9" t="n">
        <x:f>H1305*Z1304*v01_WomenShare*v01_BaseFertility*INDEX(v01_FertMult,G1305)*Arch_Fertility*(1-P1305)</x:f>
        <x:v>241.52613984818893</x:v>
      </x:c>
      <x:c r="S1305" s="9" t="n">
        <x:f>H1305*Y1304*INDEX(v01_MortChild,G1305)/4*Q1305</x:f>
        <x:v>14.591738069395715</x:v>
      </x:c>
      <x:c r="T1305" s="9" t="n">
        <x:f>H1305*Z1304*INDEX(v01_MortAdult,G1305)*Arch_AdultMort/4*Q1305</x:f>
        <x:v>10.739529758010288</x:v>
      </x:c>
      <x:c r="U1305" s="9" t="n">
        <x:f>H1305*AA1304*INDEX(v01_MortElder,G1305)/4*Q1305</x:f>
        <x:v>40.400581656333614</x:v>
      </x:c>
      <x:c r="V1305" s="9" t="n">
        <x:f>H1305*MAX(0,AB1304-O1305)*v01_OvercapLoss</x:f>
        <x:v>0</x:v>
      </x:c>
      <x:c r="W1305" s="9" t="n">
        <x:f>H1305*Y1304/(v01_ChildYears*4)</x:f>
        <x:v>173.71116749280614</x:v>
      </x:c>
      <x:c r="X1305" s="9" t="n">
        <x:f>H1305*Z1304/(v01_AdultYears*4)</x:f>
        <x:v>86.60911095169588</x:v>
      </x:c>
      <x:c r="Y1305" s="32" t="n">
        <x:f>Y1304+R1305-S1305-W1305-Y1304*V1305/AB1304</x:f>
        <x:v>9781.048613883131</x:v>
      </x:c>
      <x:c r="Z1305" s="32" t="n">
        <x:f>Z1304+W1305-X1305-T1305-Z1304*V1305/AB1304</x:f>
        <x:v>10815.892284793388</x:v>
      </x:c>
      <x:c r="AA1305" s="32" t="n">
        <x:f>AA1304+X1305-U1305-AA1304*V1305/AB1304</x:f>
        <x:v>4663.417861447774</x:v>
      </x:c>
      <x:c r="AB1305" s="10" t="n">
        <x:f>Y1305+Z1305+AA1305</x:f>
        <x:v>25260.358760124294</x:v>
      </x:c>
      <x:c r="AC1305" s="8" t="n">
        <x:f>IF(AND(v01_WinterTrigger=1,D1305=1,AB1304/AE1304&gt;=K1305),1,0)</x:f>
        <x:v>0</x:v>
      </x:c>
      <x:c r="AD1305" s="8" t="n">
        <x:f>H1305*IF(AND(OR(AB1304/AE1304&gt;=v01_FissionTrigger*N1305,AC1305=1),AB1304/AE1304*v01_DaughterShare&gt;=v01_MinDaughter),MAX(1,ROUND(AE1304*v01_FissionRate,0)),0)</x:f>
        <x:v>0</x:v>
      </x:c>
      <x:c r="AE1305" s="8" t="n">
        <x:f>IF(H1305=1,MAX(1,MIN(INDEX(v01_Smax,G1305),AE1304+AD1305)),AE1304)</x:f>
        <x:v>15</x:v>
      </x:c>
      <x:c r="AF1305" s="8" t="n">
        <x:f>MAX(0,AE1305-AE1304)</x:f>
        <x:v>0</x:v>
      </x:c>
      <x:c r="AG1305" s="9" t="str">
        <x:f>IF(AF1305&gt;0,B1305,"")</x:f>
      </x:c>
      <x:c r="AH1305" s="9" t="n">
        <x:f>IF(F1305&gt;=1,1,(1+v01_LowTiesShare*(AE1305-1))/AE1305)</x:f>
        <x:v>1</x:v>
      </x:c>
      <x:c r="AI1305" s="32" t="n">
        <x:f>(Z1305+v01_ElderCommons*INDEX(LM_Elder,G1305)*AA1305)*AH1305</x:f>
        <x:v>28303.70926522254</x:v>
      </x:c>
      <x:c r="AJ1305" s="32" t="n">
        <x:f>H1305*v01_CommonsCoef*AI1305^v01_CommonsExp*INDEX(LM_Commons,G1305)</x:f>
        <x:v>11001.932942771622</x:v>
      </x:c>
      <x:c r="AK1305" s="32" t="n">
        <x:f>H1305*v01_RoleScale*Arch_Roles*(AE1305*(INDEX(v01_ElderRolePerSett,G1305)*v01_OutElder*INDEX(LM_Elder,G1305)+INDEX(v01_ShamanPerSett,G1305)*v01_OutShaman)+Z1305*(INDEX(v01_PriestShare,G1305)*v01_OutPriest+INDEX(v01_ScribeShare,G1305)*v01_OutScribe*INDEX(LM_Scribe,G1305)+INDEX(v01_ScholarShare,G1305)*v01_OutScholar*INDEX(LM_Scholar,G1305)+INDEX(v01_ResearcherShare,G1305)*v01_OutResearcher*INDEX(LM_Researcher,G1305)))</x:f>
        <x:v>2843.8418703561065</x:v>
      </x:c>
      <x:c r="AL1305" s="32" t="n">
        <x:f>H1305*v01_RoleScale*Arch_Roles*AE1305*INDEX(v01_MonasteryPerSett,G1305)*v01_OutMonastery*INDEX(LM_Monastery,G1305)</x:f>
        <x:v>6.6000000000000005</x:v>
      </x:c>
      <x:c r="AM1305" s="32" t="n">
        <x:f>(AJ1305+AK1305+AL1305)/4*INDEX(LM_All,G1305)*INDEX(v01_Boon,G1305)*Arch_Insight</x:f>
        <x:v>9980.517962425967</x:v>
      </x:c>
      <x:c r="AN1305" s="32" t="n">
        <x:f>H1305*(v01_KHPerAdult*Z1305+v01_KHOfCommons*AJ1305/4*INDEX(LM_All,G1305))*v01_KHUsable*Arch_KH</x:f>
        <x:v>378.55622996776856</x:v>
      </x:c>
      <x:c r="AO1305" s="32" t="n">
        <x:f>MIN(AP1304+AN1305,AM1305*v01_KHMaxRatio)</x:f>
        <x:v>378.55622996776856</x:v>
      </x:c>
      <x:c r="AP1305" s="32" t="n">
        <x:f>AP1304+AN1305-AO1305</x:f>
        <x:v>0</x:v>
      </x:c>
      <x:c r="AQ1305" s="32" t="n">
        <x:f>AM1305+AO1305</x:f>
        <x:v>10359.074192393735</x:v>
      </x:c>
      <x:c r="AR1305" s="10" t="n">
        <x:f>IF(H1305=1,INDEX(v01_Req,G1305),0)</x:f>
        <x:v>743165.805333726</x:v>
      </x:c>
      <x:c r="AS1305" s="32" t="n">
        <x:f>IF(H1305=1,IF(E1305=1,AS1304-AR1304,AS1304)+AQ1305,0)</x:f>
        <x:v>289929.2050604106</x:v>
      </x:c>
      <x:c r="AT1305" s="11" t="n">
        <x:f>IF(AR1305&gt;0,MIN(1,AS1305/AR1305),1)</x:f>
        <x:v>0.39012721384592636</x:v>
      </x:c>
      <x:c r="AU1305" s="10" t="n">
        <x:f>AB1305/INDEX(v01_RepScale,G1305)</x:f>
        <x:v>101.04143504049718</x:v>
      </x:c>
      <x:c r="AV1305" s="32" t="n">
        <x:f>AM1305*60/v01_SeasonSeconds</x:f>
        <x:v>39922.07184970387</x:v>
      </x:c>
    </x:row>
    <x:row r="1306">
      <x:c r="A1306" s="8" t="n">
        <x:f>A1305+1</x:f>
        <x:v>1303</x:v>
      </x:c>
      <x:c r="B1306" s="9" t="n">
        <x:f>A1306*v01_SeasonSeconds/60</x:f>
        <x:v>325.75</x:v>
      </x:c>
      <x:c r="C1306" s="9" t="n">
        <x:f>A1306/4</x:f>
        <x:v>325.75</x:v>
      </x:c>
      <x:c r="D1306" s="8" t="n">
        <x:f>IF(MOD(A1306,4)=0,1,0)</x:f>
        <x:v>0</x:v>
      </x:c>
      <x:c r="E1306" s="8" t="n">
        <x:f>IF(AND(F1305&lt;=9,AS1305&gt;=AR1305),1,0)</x:f>
        <x:v>0</x:v>
      </x:c>
      <x:c r="F1306" s="8" t="n">
        <x:f>MIN(10,F1305+E1306)</x:f>
        <x:v>8</x:v>
      </x:c>
      <x:c r="G1306" s="8" t="n">
        <x:f>MIN(F1306,9)+1</x:f>
        <x:v>9</x:v>
      </x:c>
      <x:c r="H1306" s="8" t="n">
        <x:f>IF(F1306&lt;=9,1,0)</x:f>
        <x:v>1</x:v>
      </x:c>
      <x:c r="I1306" s="9" t="n">
        <x:f>MIN(10,F1305+IF(AR1305&gt;0,MIN(1,AS1305/AR1305),1))</x:f>
        <x:v>8.390127213845926</x:v>
      </x:c>
      <x:c r="J1306" s="32" t="n">
        <x:f>INDEX(v01_FoodCap,G1306)*Arch_FoodCap*EXP(v01_CapsByProject*SUMPRODUCT((Cap_Point&lt;=I1306)*(Cap_Kind="Food")*Cap_Ln))</x:f>
        <x:v>6000</x:v>
      </x:c>
      <x:c r="K1306" s="32" t="n">
        <x:f>J1306*MIN(1,v01_LeanBase*EXP(v01_CapsByProject*SUMPRODUCT((Cap_Point&lt;=I1306)*(Cap_Kind="Lean")*Cap_Ln)))</x:f>
        <x:v>6000</x:v>
      </x:c>
      <x:c r="L1306" s="10" t="n">
        <x:f>INDEX(v01_HousingCap,G1306)*EXP(v01_CapsByProject*SUMPRODUCT((Cap_Point&lt;=I1306)*(Cap_Kind="Housing")*Cap_Ln))</x:f>
        <x:v>10000</x:v>
      </x:c>
      <x:c r="M1306" s="10" t="n">
        <x:f>INDEX(v01_GroupCap,G1306)*v01_CohesionFactor*EXP(v01_CapsByProject*SUMPRODUCT((Cap_Point&lt;=I1306)*(Cap_Kind="Group")*Cap_Ln))</x:f>
        <x:v>1000000</x:v>
      </x:c>
      <x:c r="N1306" s="32" t="n">
        <x:f>MIN(J1306,L1306,M1306)</x:f>
        <x:v>6000</x:v>
      </x:c>
      <x:c r="O1306" s="10" t="n">
        <x:f>AE1305*N1306</x:f>
        <x:v>90000</x:v>
      </x:c>
      <x:c r="P1306" s="9" t="n">
        <x:f>MIN(1,(AB1305/(AE1305*IF(v01_GroupInCrowding=1,N1306,MIN(J1306,L1306))))^v01_CrowdingExp)</x:f>
        <x:v>0.0004888572150595526</x:v>
      </x:c>
      <x:c r="Q1306" s="9" t="n">
        <x:f>IF(D1306=1,INDEX(v01_WinterMult,G1306),1)</x:f>
        <x:v>1</x:v>
      </x:c>
      <x:c r="R1306" s="9" t="n">
        <x:f>H1306*Z1305*v01_WomenShare*v01_BaseFertility*INDEX(v01_FertMult,G1306)*Arch_Fertility*(1-P1306)</x:f>
        <x:v>243.23860930078487</x:v>
      </x:c>
      <x:c r="S1306" s="9" t="n">
        <x:f>H1306*Y1305*INDEX(v01_MortChild,G1306)/4*Q1306</x:f>
        <x:v>14.671572920824698</x:v>
      </x:c>
      <x:c r="T1306" s="9" t="n">
        <x:f>H1306*Z1305*INDEX(v01_MortAdult,G1306)*Arch_AdultMort/4*Q1306</x:f>
        <x:v>10.815892284793389</x:v>
      </x:c>
      <x:c r="U1306" s="9" t="n">
        <x:f>H1306*AA1305*INDEX(v01_MortElder,G1306)/4*Q1306</x:f>
        <x:v>40.804906287668025</x:v>
      </x:c>
      <x:c r="V1306" s="9" t="n">
        <x:f>H1306*MAX(0,AB1305-O1306)*v01_OvercapLoss</x:f>
        <x:v>0</x:v>
      </x:c>
      <x:c r="W1306" s="9" t="n">
        <x:f>H1306*Y1305/(v01_ChildYears*4)</x:f>
        <x:v>174.6615823907702</x:v>
      </x:c>
      <x:c r="X1306" s="9" t="n">
        <x:f>H1306*Z1305/(v01_AdultYears*4)</x:f>
        <x:v>87.22493778059184</x:v>
      </x:c>
      <x:c r="Y1306" s="32" t="n">
        <x:f>Y1305+R1306-S1306-W1306-Y1305*V1306/AB1305</x:f>
        <x:v>9834.95406787232</x:v>
      </x:c>
      <x:c r="Z1306" s="32" t="n">
        <x:f>Z1305+W1306-X1306-T1306-Z1305*V1306/AB1305</x:f>
        <x:v>10892.513037118773</x:v>
      </x:c>
      <x:c r="AA1306" s="32" t="n">
        <x:f>AA1305+X1306-U1306-AA1305*V1306/AB1305</x:f>
        <x:v>4709.837892940698</x:v>
      </x:c>
      <x:c r="AB1306" s="10" t="n">
        <x:f>Y1306+Z1306+AA1306</x:f>
        <x:v>25437.30499793179</x:v>
      </x:c>
      <x:c r="AC1306" s="8" t="n">
        <x:f>IF(AND(v01_WinterTrigger=1,D1306=1,AB1305/AE1305&gt;=K1306),1,0)</x:f>
        <x:v>0</x:v>
      </x:c>
      <x:c r="AD1306" s="8" t="n">
        <x:f>H1306*IF(AND(OR(AB1305/AE1305&gt;=v01_FissionTrigger*N1306,AC1306=1),AB1305/AE1305*v01_DaughterShare&gt;=v01_MinDaughter),MAX(1,ROUND(AE1305*v01_FissionRate,0)),0)</x:f>
        <x:v>0</x:v>
      </x:c>
      <x:c r="AE1306" s="8" t="n">
        <x:f>IF(H1306=1,MAX(1,MIN(INDEX(v01_Smax,G1306),AE1305+AD1306)),AE1305)</x:f>
        <x:v>15</x:v>
      </x:c>
      <x:c r="AF1306" s="8" t="n">
        <x:f>MAX(0,AE1306-AE1305)</x:f>
        <x:v>0</x:v>
      </x:c>
      <x:c r="AG1306" s="9" t="str">
        <x:f>IF(AF1306&gt;0,B1306,"")</x:f>
      </x:c>
      <x:c r="AH1306" s="9" t="n">
        <x:f>IF(F1306&gt;=1,1,(1+v01_LowTiesShare*(AE1306-1))/AE1306)</x:f>
        <x:v>1</x:v>
      </x:c>
      <x:c r="AI1306" s="32" t="n">
        <x:f>(Z1306+v01_ElderCommons*INDEX(LM_Elder,G1306)*AA1306)*AH1306</x:f>
        <x:v>28554.40513564639</x:v>
      </x:c>
      <x:c r="AJ1306" s="32" t="n">
        <x:f>H1306*v01_CommonsCoef*AI1306^v01_CommonsExp*INDEX(LM_Commons,G1306)</x:f>
        <x:v>11084.708882947243</x:v>
      </x:c>
      <x:c r="AK1306" s="32" t="n">
        <x:f>H1306*v01_RoleScale*Arch_Roles*(AE1306*(INDEX(v01_ElderRolePerSett,G1306)*v01_OutElder*INDEX(LM_Elder,G1306)+INDEX(v01_ShamanPerSett,G1306)*v01_OutShaman)+Z1306*(INDEX(v01_PriestShare,G1306)*v01_OutPriest+INDEX(v01_ScribeShare,G1306)*v01_OutScribe*INDEX(LM_Scribe,G1306)+INDEX(v01_ScholarShare,G1306)*v01_OutScholar*INDEX(LM_Scholar,G1306)+INDEX(v01_ResearcherShare,G1306)*v01_OutResearcher*INDEX(LM_Researcher,G1306)))</x:f>
        <x:v>2863.6292695257102</x:v>
      </x:c>
      <x:c r="AL1306" s="32" t="n">
        <x:f>H1306*v01_RoleScale*Arch_Roles*AE1306*INDEX(v01_MonasteryPerSett,G1306)*v01_OutMonastery*INDEX(LM_Monastery,G1306)</x:f>
        <x:v>6.6000000000000005</x:v>
      </x:c>
      <x:c r="AM1306" s="32" t="n">
        <x:f>(AJ1306+AK1306+AL1306)/4*INDEX(LM_All,G1306)*INDEX(v01_Boon,G1306)*Arch_Insight</x:f>
        <x:v>10054.413974079602</x:v>
      </x:c>
      <x:c r="AN1306" s="32" t="n">
        <x:f>H1306*(v01_KHPerAdult*Z1306+v01_KHOfCommons*AJ1306/4*INDEX(LM_All,G1306))*v01_KHUsable*Arch_KH</x:f>
        <x:v>381.2379562991571</x:v>
      </x:c>
      <x:c r="AO1306" s="32" t="n">
        <x:f>MIN(AP1305+AN1306,AM1306*v01_KHMaxRatio)</x:f>
        <x:v>381.2379562991571</x:v>
      </x:c>
      <x:c r="AP1306" s="32" t="n">
        <x:f>AP1305+AN1306-AO1306</x:f>
        <x:v>0</x:v>
      </x:c>
      <x:c r="AQ1306" s="32" t="n">
        <x:f>AM1306+AO1306</x:f>
        <x:v>10435.651930378759</x:v>
      </x:c>
      <x:c r="AR1306" s="10" t="n">
        <x:f>IF(H1306=1,INDEX(v01_Req,G1306),0)</x:f>
        <x:v>743165.805333726</x:v>
      </x:c>
      <x:c r="AS1306" s="32" t="n">
        <x:f>IF(H1306=1,IF(E1306=1,AS1305-AR1305,AS1305)+AQ1306,0)</x:f>
        <x:v>300364.85699078935</x:v>
      </x:c>
      <x:c r="AT1306" s="11" t="n">
        <x:f>IF(AR1306&gt;0,MIN(1,AS1306/AR1306),1)</x:f>
        <x:v>0.40416937221150473</x:v>
      </x:c>
      <x:c r="AU1306" s="10" t="n">
        <x:f>AB1306/INDEX(v01_RepScale,G1306)</x:f>
        <x:v>101.74921999172716</x:v>
      </x:c>
      <x:c r="AV1306" s="32" t="n">
        <x:f>AM1306*60/v01_SeasonSeconds</x:f>
        <x:v>40217.65589631841</x:v>
      </x:c>
    </x:row>
    <x:row r="1307">
      <x:c r="A1307" s="8" t="n">
        <x:f>A1306+1</x:f>
        <x:v>1304</x:v>
      </x:c>
      <x:c r="B1307" s="9" t="n">
        <x:f>A1307*v01_SeasonSeconds/60</x:f>
        <x:v>326</x:v>
      </x:c>
      <x:c r="C1307" s="9" t="n">
        <x:f>A1307/4</x:f>
        <x:v>326</x:v>
      </x:c>
      <x:c r="D1307" s="8" t="n">
        <x:f>IF(MOD(A1307,4)=0,1,0)</x:f>
        <x:v>1</x:v>
      </x:c>
      <x:c r="E1307" s="8" t="n">
        <x:f>IF(AND(F1306&lt;=9,AS1306&gt;=AR1306),1,0)</x:f>
        <x:v>0</x:v>
      </x:c>
      <x:c r="F1307" s="8" t="n">
        <x:f>MIN(10,F1306+E1307)</x:f>
        <x:v>8</x:v>
      </x:c>
      <x:c r="G1307" s="8" t="n">
        <x:f>MIN(F1307,9)+1</x:f>
        <x:v>9</x:v>
      </x:c>
      <x:c r="H1307" s="8" t="n">
        <x:f>IF(F1307&lt;=9,1,0)</x:f>
        <x:v>1</x:v>
      </x:c>
      <x:c r="I1307" s="9" t="n">
        <x:f>MIN(10,F1306+IF(AR1306&gt;0,MIN(1,AS1306/AR1306),1))</x:f>
        <x:v>8.404169372211506</x:v>
      </x:c>
      <x:c r="J1307" s="32" t="n">
        <x:f>INDEX(v01_FoodCap,G1307)*Arch_FoodCap*EXP(v01_CapsByProject*SUMPRODUCT((Cap_Point&lt;=I1307)*(Cap_Kind="Food")*Cap_Ln))</x:f>
        <x:v>6000</x:v>
      </x:c>
      <x:c r="K1307" s="32" t="n">
        <x:f>J1307*MIN(1,v01_LeanBase*EXP(v01_CapsByProject*SUMPRODUCT((Cap_Point&lt;=I1307)*(Cap_Kind="Lean")*Cap_Ln)))</x:f>
        <x:v>6000</x:v>
      </x:c>
      <x:c r="L1307" s="10" t="n">
        <x:f>INDEX(v01_HousingCap,G1307)*EXP(v01_CapsByProject*SUMPRODUCT((Cap_Point&lt;=I1307)*(Cap_Kind="Housing")*Cap_Ln))</x:f>
        <x:v>10000</x:v>
      </x:c>
      <x:c r="M1307" s="10" t="n">
        <x:f>INDEX(v01_GroupCap,G1307)*v01_CohesionFactor*EXP(v01_CapsByProject*SUMPRODUCT((Cap_Point&lt;=I1307)*(Cap_Kind="Group")*Cap_Ln))</x:f>
        <x:v>1000000</x:v>
      </x:c>
      <x:c r="N1307" s="32" t="n">
        <x:f>MIN(J1307,L1307,M1307)</x:f>
        <x:v>6000</x:v>
      </x:c>
      <x:c r="O1307" s="10" t="n">
        <x:f>AE1306*N1307</x:f>
        <x:v>90000</x:v>
      </x:c>
      <x:c r="P1307" s="9" t="n">
        <x:f>MIN(1,(AB1306/(AE1306*IF(v01_GroupInCrowding=1,N1307,MIN(J1307,L1307))))^v01_CrowdingExp)</x:f>
        <x:v>0.0005097667761459366</x:v>
      </x:c>
      <x:c r="Q1307" s="9" t="n">
        <x:f>IF(D1307=1,INDEX(v01_WinterMult,G1307),1)</x:f>
        <x:v>1</x:v>
      </x:c>
      <x:c r="R1307" s="9" t="n">
        <x:f>H1307*Z1306*v01_WomenShare*v01_BaseFertility*INDEX(v01_FertMult,G1307)*Arch_Fertility*(1-P1307)</x:f>
        <x:v>244.95660890693358</x:v>
      </x:c>
      <x:c r="S1307" s="9" t="n">
        <x:f>H1307*Y1306*INDEX(v01_MortChild,G1307)/4*Q1307</x:f>
        <x:v>14.752431101808481</x:v>
      </x:c>
      <x:c r="T1307" s="9" t="n">
        <x:f>H1307*Z1306*INDEX(v01_MortAdult,G1307)*Arch_AdultMort/4*Q1307</x:f>
        <x:v>10.892513037118773</x:v>
      </x:c>
      <x:c r="U1307" s="9" t="n">
        <x:f>H1307*AA1306*INDEX(v01_MortElder,G1307)/4*Q1307</x:f>
        <x:v>41.21108156323111</x:v>
      </x:c>
      <x:c r="V1307" s="9" t="n">
        <x:f>H1307*MAX(0,AB1306-O1307)*v01_OvercapLoss</x:f>
        <x:v>0</x:v>
      </x:c>
      <x:c r="W1307" s="9" t="n">
        <x:f>H1307*Y1306/(v01_ChildYears*4)</x:f>
        <x:v>175.6241797834343</x:v>
      </x:c>
      <x:c r="X1307" s="9" t="n">
        <x:f>H1307*Z1306/(v01_AdultYears*4)</x:f>
        <x:v>87.8428470735385</x:v>
      </x:c>
      <x:c r="Y1307" s="32" t="n">
        <x:f>Y1306+R1307-S1307-W1307-Y1306*V1307/AB1306</x:f>
        <x:v>9889.534065894013</x:v>
      </x:c>
      <x:c r="Z1307" s="32" t="n">
        <x:f>Z1306+W1307-X1307-T1307-Z1306*V1307/AB1306</x:f>
        <x:v>10969.40185679155</x:v>
      </x:c>
      <x:c r="AA1307" s="32" t="n">
        <x:f>AA1306+X1307-U1307-AA1306*V1307/AB1306</x:f>
        <x:v>4756.469658451006</x:v>
      </x:c>
      <x:c r="AB1307" s="10" t="n">
        <x:f>Y1307+Z1307+AA1307</x:f>
        <x:v>25615.40558113657</x:v>
      </x:c>
      <x:c r="AC1307" s="8" t="n">
        <x:f>IF(AND(v01_WinterTrigger=1,D1307=1,AB1306/AE1306&gt;=K1307),1,0)</x:f>
        <x:v>0</x:v>
      </x:c>
      <x:c r="AD1307" s="8" t="n">
        <x:f>H1307*IF(AND(OR(AB1306/AE1306&gt;=v01_FissionTrigger*N1307,AC1307=1),AB1306/AE1306*v01_DaughterShare&gt;=v01_MinDaughter),MAX(1,ROUND(AE1306*v01_FissionRate,0)),0)</x:f>
        <x:v>0</x:v>
      </x:c>
      <x:c r="AE1307" s="8" t="n">
        <x:f>IF(H1307=1,MAX(1,MIN(INDEX(v01_Smax,G1307),AE1306+AD1307)),AE1306)</x:f>
        <x:v>15</x:v>
      </x:c>
      <x:c r="AF1307" s="8" t="n">
        <x:f>MAX(0,AE1307-AE1306)</x:f>
        <x:v>0</x:v>
      </x:c>
      <x:c r="AG1307" s="9" t="str">
        <x:f>IF(AF1307&gt;0,B1307,"")</x:f>
      </x:c>
      <x:c r="AH1307" s="9" t="n">
        <x:f>IF(F1307&gt;=1,1,(1+v01_LowTiesShare*(AE1307-1))/AE1307)</x:f>
        <x:v>1</x:v>
      </x:c>
      <x:c r="AI1307" s="32" t="n">
        <x:f>(Z1307+v01_ElderCommons*INDEX(LM_Elder,G1307)*AA1307)*AH1307</x:f>
        <x:v>28806.16307598282</x:v>
      </x:c>
      <x:c r="AJ1307" s="32" t="n">
        <x:f>H1307*v01_CommonsCoef*AI1307^v01_CommonsExp*INDEX(LM_Commons,G1307)</x:f>
        <x:v>11167.725870112075</x:v>
      </x:c>
      <x:c r="AK1307" s="32" t="n">
        <x:f>H1307*v01_RoleScale*Arch_Roles*(AE1307*(INDEX(v01_ElderRolePerSett,G1307)*v01_OutElder*INDEX(LM_Elder,G1307)+INDEX(v01_ShamanPerSett,G1307)*v01_OutShaman)+Z1307*(INDEX(v01_PriestShare,G1307)*v01_OutPriest+INDEX(v01_ScribeShare,G1307)*v01_OutScribe*INDEX(LM_Scribe,G1307)+INDEX(v01_ScholarShare,G1307)*v01_OutScholar*INDEX(LM_Scholar,G1307)+INDEX(v01_ResearcherShare,G1307)*v01_OutResearcher*INDEX(LM_Researcher,G1307)))</x:f>
        <x:v>2883.4858974022395</x:v>
      </x:c>
      <x:c r="AL1307" s="32" t="n">
        <x:f>H1307*v01_RoleScale*Arch_Roles*AE1307*INDEX(v01_MonasteryPerSett,G1307)*v01_OutMonastery*INDEX(LM_Monastery,G1307)</x:f>
        <x:v>6.6000000000000005</x:v>
      </x:c>
      <x:c r="AM1307" s="32" t="n">
        <x:f>(AJ1307+AK1307+AL1307)/4*INDEX(LM_All,G1307)*INDEX(v01_Boon,G1307)*Arch_Insight</x:f>
        <x:v>10128.533536727227</x:v>
      </x:c>
      <x:c r="AN1307" s="32" t="n">
        <x:f>H1307*(v01_KHPerAdult*Z1307+v01_KHOfCommons*AJ1307/4*INDEX(LM_All,G1307))*v01_KHUsable*Arch_KH</x:f>
        <x:v>383.92906498770424</x:v>
      </x:c>
      <x:c r="AO1307" s="32" t="n">
        <x:f>MIN(AP1306+AN1307,AM1307*v01_KHMaxRatio)</x:f>
        <x:v>383.92906498770424</x:v>
      </x:c>
      <x:c r="AP1307" s="32" t="n">
        <x:f>AP1306+AN1307-AO1307</x:f>
        <x:v>0</x:v>
      </x:c>
      <x:c r="AQ1307" s="32" t="n">
        <x:f>AM1307+AO1307</x:f>
        <x:v>10512.462601714931</x:v>
      </x:c>
      <x:c r="AR1307" s="10" t="n">
        <x:f>IF(H1307=1,INDEX(v01_Req,G1307),0)</x:f>
        <x:v>743165.805333726</x:v>
      </x:c>
      <x:c r="AS1307" s="32" t="n">
        <x:f>IF(H1307=1,IF(E1307=1,AS1306-AR1306,AS1306)+AQ1307,0)</x:f>
        <x:v>310877.3195925043</x:v>
      </x:c>
      <x:c r="AT1307" s="11" t="n">
        <x:f>IF(AR1307&gt;0,MIN(1,AS1307/AR1307),1)</x:f>
        <x:v>0.4183148866125531</x:v>
      </x:c>
      <x:c r="AU1307" s="10" t="n">
        <x:f>AB1307/INDEX(v01_RepScale,G1307)</x:f>
        <x:v>102.46162232454627</x:v>
      </x:c>
      <x:c r="AV1307" s="32" t="n">
        <x:f>AM1307*60/v01_SeasonSeconds</x:f>
        <x:v>40514.13414690891</x:v>
      </x:c>
    </x:row>
    <x:row r="1308">
      <x:c r="A1308" s="8" t="n">
        <x:f>A1307+1</x:f>
        <x:v>1305</x:v>
      </x:c>
      <x:c r="B1308" s="9" t="n">
        <x:f>A1308*v01_SeasonSeconds/60</x:f>
        <x:v>326.25</x:v>
      </x:c>
      <x:c r="C1308" s="9" t="n">
        <x:f>A1308/4</x:f>
        <x:v>326.25</x:v>
      </x:c>
      <x:c r="D1308" s="8" t="n">
        <x:f>IF(MOD(A1308,4)=0,1,0)</x:f>
        <x:v>0</x:v>
      </x:c>
      <x:c r="E1308" s="8" t="n">
        <x:f>IF(AND(F1307&lt;=9,AS1307&gt;=AR1307),1,0)</x:f>
        <x:v>0</x:v>
      </x:c>
      <x:c r="F1308" s="8" t="n">
        <x:f>MIN(10,F1307+E1308)</x:f>
        <x:v>8</x:v>
      </x:c>
      <x:c r="G1308" s="8" t="n">
        <x:f>MIN(F1308,9)+1</x:f>
        <x:v>9</x:v>
      </x:c>
      <x:c r="H1308" s="8" t="n">
        <x:f>IF(F1308&lt;=9,1,0)</x:f>
        <x:v>1</x:v>
      </x:c>
      <x:c r="I1308" s="9" t="n">
        <x:f>MIN(10,F1307+IF(AR1307&gt;0,MIN(1,AS1307/AR1307),1))</x:f>
        <x:v>8.418314886612553</x:v>
      </x:c>
      <x:c r="J1308" s="32" t="n">
        <x:f>INDEX(v01_FoodCap,G1308)*Arch_FoodCap*EXP(v01_CapsByProject*SUMPRODUCT((Cap_Point&lt;=I1308)*(Cap_Kind="Food")*Cap_Ln))</x:f>
        <x:v>6000</x:v>
      </x:c>
      <x:c r="K1308" s="32" t="n">
        <x:f>J1308*MIN(1,v01_LeanBase*EXP(v01_CapsByProject*SUMPRODUCT((Cap_Point&lt;=I1308)*(Cap_Kind="Lean")*Cap_Ln)))</x:f>
        <x:v>6000</x:v>
      </x:c>
      <x:c r="L1308" s="10" t="n">
        <x:f>INDEX(v01_HousingCap,G1308)*EXP(v01_CapsByProject*SUMPRODUCT((Cap_Point&lt;=I1308)*(Cap_Kind="Housing")*Cap_Ln))</x:f>
        <x:v>10000</x:v>
      </x:c>
      <x:c r="M1308" s="10" t="n">
        <x:f>INDEX(v01_GroupCap,G1308)*v01_CohesionFactor*EXP(v01_CapsByProject*SUMPRODUCT((Cap_Point&lt;=I1308)*(Cap_Kind="Group")*Cap_Ln))</x:f>
        <x:v>1000000</x:v>
      </x:c>
      <x:c r="N1308" s="32" t="n">
        <x:f>MIN(J1308,L1308,M1308)</x:f>
        <x:v>6000</x:v>
      </x:c>
      <x:c r="O1308" s="10" t="n">
        <x:f>AE1307*N1308</x:f>
        <x:v>90000</x:v>
      </x:c>
      <x:c r="P1308" s="9" t="n">
        <x:f>MIN(1,(AB1307/(AE1307*IF(v01_GroupInCrowding=1,N1308,MIN(J1308,L1308))))^v01_CrowdingExp)</x:f>
        <x:v>0.0005315600863932119</x:v>
      </x:c>
      <x:c r="Q1308" s="9" t="n">
        <x:f>IF(D1308=1,INDEX(v01_WinterMult,G1308),1)</x:f>
        <x:v>1</x:v>
      </x:c>
      <x:c r="R1308" s="9" t="n">
        <x:f>H1308*Z1307*v01_WomenShare*v01_BaseFertility*INDEX(v01_FertMult,G1308)*Arch_Fertility*(1-P1308)</x:f>
        <x:v>246.68034661333962</x:v>
      </x:c>
      <x:c r="S1308" s="9" t="n">
        <x:f>H1308*Y1307*INDEX(v01_MortChild,G1308)/4*Q1308</x:f>
        <x:v>14.83430109884102</x:v>
      </x:c>
      <x:c r="T1308" s="9" t="n">
        <x:f>H1308*Z1307*INDEX(v01_MortAdult,G1308)*Arch_AdultMort/4*Q1308</x:f>
        <x:v>10.969401856791551</x:v>
      </x:c>
      <x:c r="U1308" s="9" t="n">
        <x:f>H1308*AA1307*INDEX(v01_MortElder,G1308)/4*Q1308</x:f>
        <x:v>41.619109511446304</x:v>
      </x:c>
      <x:c r="V1308" s="9" t="n">
        <x:f>H1308*MAX(0,AB1307-O1308)*v01_OvercapLoss</x:f>
        <x:v>0</x:v>
      </x:c>
      <x:c r="W1308" s="9" t="n">
        <x:f>H1308*Y1307/(v01_ChildYears*4)</x:f>
        <x:v>176.59882260525023</x:v>
      </x:c>
      <x:c r="X1308" s="9" t="n">
        <x:f>H1308*Z1307/(v01_AdultYears*4)</x:f>
        <x:v>88.46291819993185</x:v>
      </x:c>
      <x:c r="Y1308" s="32" t="n">
        <x:f>Y1307+R1308-S1308-W1308-Y1307*V1308/AB1307</x:f>
        <x:v>9944.78128880326</x:v>
      </x:c>
      <x:c r="Z1308" s="32" t="n">
        <x:f>Z1307+W1308-X1308-T1308-Z1307*V1308/AB1307</x:f>
        <x:v>11046.568359340077</x:v>
      </x:c>
      <x:c r="AA1308" s="32" t="n">
        <x:f>AA1307+X1308-U1308-AA1307*V1308/AB1307</x:f>
        <x:v>4803.313467139491</x:v>
      </x:c>
      <x:c r="AB1308" s="10" t="n">
        <x:f>Y1308+Z1308+AA1308</x:f>
        <x:v>25794.66311528283</x:v>
      </x:c>
      <x:c r="AC1308" s="8" t="n">
        <x:f>IF(AND(v01_WinterTrigger=1,D1308=1,AB1307/AE1307&gt;=K1308),1,0)</x:f>
        <x:v>0</x:v>
      </x:c>
      <x:c r="AD1308" s="8" t="n">
        <x:f>H1308*IF(AND(OR(AB1307/AE1307&gt;=v01_FissionTrigger*N1308,AC1308=1),AB1307/AE1307*v01_DaughterShare&gt;=v01_MinDaughter),MAX(1,ROUND(AE1307*v01_FissionRate,0)),0)</x:f>
        <x:v>0</x:v>
      </x:c>
      <x:c r="AE1308" s="8" t="n">
        <x:f>IF(H1308=1,MAX(1,MIN(INDEX(v01_Smax,G1308),AE1307+AD1308)),AE1307)</x:f>
        <x:v>15</x:v>
      </x:c>
      <x:c r="AF1308" s="8" t="n">
        <x:f>MAX(0,AE1308-AE1307)</x:f>
        <x:v>0</x:v>
      </x:c>
      <x:c r="AG1308" s="9" t="str">
        <x:f>IF(AF1308&gt;0,B1308,"")</x:f>
      </x:c>
      <x:c r="AH1308" s="9" t="n">
        <x:f>IF(F1308&gt;=1,1,(1+v01_LowTiesShare*(AE1308-1))/AE1308)</x:f>
        <x:v>1</x:v>
      </x:c>
      <x:c r="AI1308" s="32" t="n">
        <x:f>(Z1308+v01_ElderCommons*INDEX(LM_Elder,G1308)*AA1308)*AH1308</x:f>
        <x:v>29058.993861113166</x:v>
      </x:c>
      <x:c r="AJ1308" s="32" t="n">
        <x:f>H1308*v01_CommonsCoef*AI1308^v01_CommonsExp*INDEX(LM_Commons,G1308)</x:f>
        <x:v>11250.987170344324</x:v>
      </x:c>
      <x:c r="AK1308" s="32" t="n">
        <x:f>H1308*v01_RoleScale*Arch_Roles*(AE1308*(INDEX(v01_ElderRolePerSett,G1308)*v01_OutElder*INDEX(LM_Elder,G1308)+INDEX(v01_ShamanPerSett,G1308)*v01_OutShaman)+Z1308*(INDEX(v01_PriestShare,G1308)*v01_OutPriest+INDEX(v01_ScribeShare,G1308)*v01_OutScribe*INDEX(LM_Scribe,G1308)+INDEX(v01_ScholarShare,G1308)*v01_OutScholar*INDEX(LM_Scholar,G1308)+INDEX(v01_ResearcherShare,G1308)*v01_OutResearcher*INDEX(LM_Researcher,G1308)))</x:f>
        <x:v>2903.4142372071733</x:v>
      </x:c>
      <x:c r="AL1308" s="32" t="n">
        <x:f>H1308*v01_RoleScale*Arch_Roles*AE1308*INDEX(v01_MonasteryPerSett,G1308)*v01_OutMonastery*INDEX(LM_Monastery,G1308)</x:f>
        <x:v>6.6000000000000005</x:v>
      </x:c>
      <x:c r="AM1308" s="32" t="n">
        <x:f>(AJ1308+AK1308+AL1308)/4*INDEX(LM_All,G1308)*INDEX(v01_Boon,G1308)*Arch_Insight</x:f>
        <x:v>10202.880792690252</x:v>
      </x:c>
      <x:c r="AN1308" s="32" t="n">
        <x:f>H1308*(v01_KHPerAdult*Z1308+v01_KHOfCommons*AJ1308/4*INDEX(LM_All,G1308))*v01_KHUsable*Arch_KH</x:f>
        <x:v>386.6298925769027</x:v>
      </x:c>
      <x:c r="AO1308" s="32" t="n">
        <x:f>MIN(AP1307+AN1308,AM1308*v01_KHMaxRatio)</x:f>
        <x:v>386.6298925769027</x:v>
      </x:c>
      <x:c r="AP1308" s="32" t="n">
        <x:f>AP1307+AN1308-AO1308</x:f>
        <x:v>0</x:v>
      </x:c>
      <x:c r="AQ1308" s="32" t="n">
        <x:f>AM1308+AO1308</x:f>
        <x:v>10589.510685267154</x:v>
      </x:c>
      <x:c r="AR1308" s="10" t="n">
        <x:f>IF(H1308=1,INDEX(v01_Req,G1308),0)</x:f>
        <x:v>743165.805333726</x:v>
      </x:c>
      <x:c r="AS1308" s="32" t="n">
        <x:f>IF(H1308=1,IF(E1308=1,AS1307-AR1307,AS1307)+AQ1308,0)</x:f>
        <x:v>321466.83027777146</x:v>
      </x:c>
      <x:c r="AT1308" s="11" t="n">
        <x:f>IF(AR1308&gt;0,MIN(1,AS1308/AR1308),1)</x:f>
        <x:v>0.4325640765097011</x:v>
      </x:c>
      <x:c r="AU1308" s="10" t="n">
        <x:f>AB1308/INDEX(v01_RepScale,G1308)</x:f>
        <x:v>103.17865246113132</x:v>
      </x:c>
      <x:c r="AV1308" s="32" t="n">
        <x:f>AM1308*60/v01_SeasonSeconds</x:f>
        <x:v>40811.523170761</x:v>
      </x:c>
    </x:row>
    <x:row r="1309">
      <x:c r="A1309" s="8" t="n">
        <x:f>A1308+1</x:f>
        <x:v>1306</x:v>
      </x:c>
      <x:c r="B1309" s="9" t="n">
        <x:f>A1309*v01_SeasonSeconds/60</x:f>
        <x:v>326.5</x:v>
      </x:c>
      <x:c r="C1309" s="9" t="n">
        <x:f>A1309/4</x:f>
        <x:v>326.5</x:v>
      </x:c>
      <x:c r="D1309" s="8" t="n">
        <x:f>IF(MOD(A1309,4)=0,1,0)</x:f>
        <x:v>0</x:v>
      </x:c>
      <x:c r="E1309" s="8" t="n">
        <x:f>IF(AND(F1308&lt;=9,AS1308&gt;=AR1308),1,0)</x:f>
        <x:v>0</x:v>
      </x:c>
      <x:c r="F1309" s="8" t="n">
        <x:f>MIN(10,F1308+E1309)</x:f>
        <x:v>8</x:v>
      </x:c>
      <x:c r="G1309" s="8" t="n">
        <x:f>MIN(F1309,9)+1</x:f>
        <x:v>9</x:v>
      </x:c>
      <x:c r="H1309" s="8" t="n">
        <x:f>IF(F1309&lt;=9,1,0)</x:f>
        <x:v>1</x:v>
      </x:c>
      <x:c r="I1309" s="9" t="n">
        <x:f>MIN(10,F1308+IF(AR1308&gt;0,MIN(1,AS1308/AR1308),1))</x:f>
        <x:v>8.432564076509701</x:v>
      </x:c>
      <x:c r="J1309" s="32" t="n">
        <x:f>INDEX(v01_FoodCap,G1309)*Arch_FoodCap*EXP(v01_CapsByProject*SUMPRODUCT((Cap_Point&lt;=I1309)*(Cap_Kind="Food")*Cap_Ln))</x:f>
        <x:v>6000</x:v>
      </x:c>
      <x:c r="K1309" s="32" t="n">
        <x:f>J1309*MIN(1,v01_LeanBase*EXP(v01_CapsByProject*SUMPRODUCT((Cap_Point&lt;=I1309)*(Cap_Kind="Lean")*Cap_Ln)))</x:f>
        <x:v>6000</x:v>
      </x:c>
      <x:c r="L1309" s="10" t="n">
        <x:f>INDEX(v01_HousingCap,G1309)*EXP(v01_CapsByProject*SUMPRODUCT((Cap_Point&lt;=I1309)*(Cap_Kind="Housing")*Cap_Ln))</x:f>
        <x:v>10000</x:v>
      </x:c>
      <x:c r="M1309" s="10" t="n">
        <x:f>INDEX(v01_GroupCap,G1309)*v01_CohesionFactor*EXP(v01_CapsByProject*SUMPRODUCT((Cap_Point&lt;=I1309)*(Cap_Kind="Group")*Cap_Ln))</x:f>
        <x:v>1000000</x:v>
      </x:c>
      <x:c r="N1309" s="32" t="n">
        <x:f>MIN(J1309,L1309,M1309)</x:f>
        <x:v>6000</x:v>
      </x:c>
      <x:c r="O1309" s="10" t="n">
        <x:f>AE1308*N1309</x:f>
        <x:v>90000</x:v>
      </x:c>
      <x:c r="P1309" s="9" t="n">
        <x:f>MIN(1,(AB1308/(AE1308*IF(v01_GroupInCrowding=1,N1309,MIN(J1309,L1309))))^v01_CrowdingExp)</x:f>
        <x:v>0.0005542734866668005</x:v>
      </x:c>
      <x:c r="Q1309" s="9" t="n">
        <x:f>IF(D1309=1,INDEX(v01_WinterMult,G1309),1)</x:f>
        <x:v>1</x:v>
      </x:c>
      <x:c r="R1309" s="9" t="n">
        <x:f>H1309*Z1308*v01_WomenShare*v01_BaseFertility*INDEX(v01_FertMult,G1309)*Arch_Fertility*(1-P1309)</x:f>
        <x:v>248.41002463604642</x:v>
      </x:c>
      <x:c r="S1309" s="9" t="n">
        <x:f>H1309*Y1308*INDEX(v01_MortChild,G1309)/4*Q1309</x:f>
        <x:v>14.91717193320489</x:v>
      </x:c>
      <x:c r="T1309" s="9" t="n">
        <x:f>H1309*Z1308*INDEX(v01_MortAdult,G1309)*Arch_AdultMort/4*Q1309</x:f>
        <x:v>11.046568359340078</x:v>
      </x:c>
      <x:c r="U1309" s="9" t="n">
        <x:f>H1309*AA1308*INDEX(v01_MortElder,G1309)/4*Q1309</x:f>
        <x:v>42.02899283747055</x:v>
      </x:c>
      <x:c r="V1309" s="9" t="n">
        <x:f>H1309*MAX(0,AB1308-O1309)*v01_OvercapLoss</x:f>
        <x:v>0</x:v>
      </x:c>
      <x:c r="W1309" s="9" t="n">
        <x:f>H1309*Y1308/(v01_ChildYears*4)</x:f>
        <x:v>177.5853801572011</x:v>
      </x:c>
      <x:c r="X1309" s="9" t="n">
        <x:f>H1309*Z1308/(v01_AdultYears*4)</x:f>
        <x:v>89.08522870435546</x:v>
      </x:c>
      <x:c r="Y1309" s="32" t="n">
        <x:f>Y1308+R1309-S1309-W1309-Y1308*V1309/AB1308</x:f>
        <x:v>10000.688761348902</x:v>
      </x:c>
      <x:c r="Z1309" s="32" t="n">
        <x:f>Z1308+W1309-X1309-T1309-Z1308*V1309/AB1308</x:f>
        <x:v>11124.021942433583</x:v>
      </x:c>
      <x:c r="AA1309" s="32" t="n">
        <x:f>AA1308+X1309-U1309-AA1308*V1309/AB1308</x:f>
        <x:v>4850.369703006376</x:v>
      </x:c>
      <x:c r="AB1309" s="10" t="n">
        <x:f>Y1309+Z1309+AA1309</x:f>
        <x:v>25975.08040678886</x:v>
      </x:c>
      <x:c r="AC1309" s="8" t="n">
        <x:f>IF(AND(v01_WinterTrigger=1,D1309=1,AB1308/AE1308&gt;=K1309),1,0)</x:f>
        <x:v>0</x:v>
      </x:c>
      <x:c r="AD1309" s="8" t="n">
        <x:f>H1309*IF(AND(OR(AB1308/AE1308&gt;=v01_FissionTrigger*N1309,AC1309=1),AB1308/AE1308*v01_DaughterShare&gt;=v01_MinDaughter),MAX(1,ROUND(AE1308*v01_FissionRate,0)),0)</x:f>
        <x:v>0</x:v>
      </x:c>
      <x:c r="AE1309" s="8" t="n">
        <x:f>IF(H1309=1,MAX(1,MIN(INDEX(v01_Smax,G1309),AE1308+AD1309)),AE1308)</x:f>
        <x:v>15</x:v>
      </x:c>
      <x:c r="AF1309" s="8" t="n">
        <x:f>MAX(0,AE1309-AE1308)</x:f>
        <x:v>0</x:v>
      </x:c>
      <x:c r="AG1309" s="9" t="str">
        <x:f>IF(AF1309&gt;0,B1309,"")</x:f>
      </x:c>
      <x:c r="AH1309" s="9" t="n">
        <x:f>IF(F1309&gt;=1,1,(1+v01_LowTiesShare*(AE1309-1))/AE1309)</x:f>
        <x:v>1</x:v>
      </x:c>
      <x:c r="AI1309" s="32" t="n">
        <x:f>(Z1309+v01_ElderCommons*INDEX(LM_Elder,G1309)*AA1309)*AH1309</x:f>
        <x:v>29312.90832870749</x:v>
      </x:c>
      <x:c r="AJ1309" s="32" t="n">
        <x:f>H1309*v01_CommonsCoef*AI1309^v01_CommonsExp*INDEX(LM_Commons,G1309)</x:f>
        <x:v>11334.496053126977</x:v>
      </x:c>
      <x:c r="AK1309" s="32" t="n">
        <x:f>H1309*v01_RoleScale*Arch_Roles*(AE1309*(INDEX(v01_ElderRolePerSett,G1309)*v01_OutElder*INDEX(LM_Elder,G1309)+INDEX(v01_ShamanPerSett,G1309)*v01_OutShaman)+Z1309*(INDEX(v01_PriestShare,G1309)*v01_OutPriest+INDEX(v01_ScribeShare,G1309)*v01_OutScribe*INDEX(LM_Scribe,G1309)+INDEX(v01_ScholarShare,G1309)*v01_OutScholar*INDEX(LM_Scholar,G1309)+INDEX(v01_ResearcherShare,G1309)*v01_OutResearcher*INDEX(LM_Researcher,G1309)))</x:f>
        <x:v>2923.416715899614</x:v>
      </x:c>
      <x:c r="AL1309" s="32" t="n">
        <x:f>H1309*v01_RoleScale*Arch_Roles*AE1309*INDEX(v01_MonasteryPerSett,G1309)*v01_OutMonastery*INDEX(LM_Monastery,G1309)</x:f>
        <x:v>6.6000000000000005</x:v>
      </x:c>
      <x:c r="AM1309" s="32" t="n">
        <x:f>(AJ1309+AK1309+AL1309)/4*INDEX(LM_All,G1309)*INDEX(v01_Boon,G1309)*Arch_Insight</x:f>
        <x:v>10277.45984620664</x:v>
      </x:c>
      <x:c r="AN1309" s="32" t="n">
        <x:f>H1309*(v01_KHPerAdult*Z1309+v01_KHOfCommons*AJ1309/4*INDEX(LM_All,G1309))*v01_KHUsable*Arch_KH</x:f>
        <x:v>389.3407679851754</x:v>
      </x:c>
      <x:c r="AO1309" s="32" t="n">
        <x:f>MIN(AP1308+AN1309,AM1309*v01_KHMaxRatio)</x:f>
        <x:v>389.3407679851754</x:v>
      </x:c>
      <x:c r="AP1309" s="32" t="n">
        <x:f>AP1308+AN1309-AO1309</x:f>
        <x:v>0</x:v>
      </x:c>
      <x:c r="AQ1309" s="32" t="n">
        <x:f>AM1309+AO1309</x:f>
        <x:v>10666.800614191816</x:v>
      </x:c>
      <x:c r="AR1309" s="10" t="n">
        <x:f>IF(H1309=1,INDEX(v01_Req,G1309),0)</x:f>
        <x:v>743165.805333726</x:v>
      </x:c>
      <x:c r="AS1309" s="32" t="n">
        <x:f>IF(H1309=1,IF(E1309=1,AS1308-AR1308,AS1308)+AQ1309,0)</x:f>
        <x:v>332133.63089196326</x:v>
      </x:c>
      <x:c r="AT1309" s="11" t="n">
        <x:f>IF(AR1309&gt;0,MIN(1,AS1309/AR1309),1)</x:f>
        <x:v>0.4469172673288101</x:v>
      </x:c>
      <x:c r="AU1309" s="10" t="n">
        <x:f>AB1309/INDEX(v01_RepScale,G1309)</x:f>
        <x:v>103.90032162715544</x:v>
      </x:c>
      <x:c r="AV1309" s="32" t="n">
        <x:f>AM1309*60/v01_SeasonSeconds</x:f>
        <x:v>41109.83938482656</x:v>
      </x:c>
    </x:row>
    <x:row r="1310">
      <x:c r="A1310" s="8" t="n">
        <x:f>A1309+1</x:f>
        <x:v>1307</x:v>
      </x:c>
      <x:c r="B1310" s="9" t="n">
        <x:f>A1310*v01_SeasonSeconds/60</x:f>
        <x:v>326.75</x:v>
      </x:c>
      <x:c r="C1310" s="9" t="n">
        <x:f>A1310/4</x:f>
        <x:v>326.75</x:v>
      </x:c>
      <x:c r="D1310" s="8" t="n">
        <x:f>IF(MOD(A1310,4)=0,1,0)</x:f>
        <x:v>0</x:v>
      </x:c>
      <x:c r="E1310" s="8" t="n">
        <x:f>IF(AND(F1309&lt;=9,AS1309&gt;=AR1309),1,0)</x:f>
        <x:v>0</x:v>
      </x:c>
      <x:c r="F1310" s="8" t="n">
        <x:f>MIN(10,F1309+E1310)</x:f>
        <x:v>8</x:v>
      </x:c>
      <x:c r="G1310" s="8" t="n">
        <x:f>MIN(F1310,9)+1</x:f>
        <x:v>9</x:v>
      </x:c>
      <x:c r="H1310" s="8" t="n">
        <x:f>IF(F1310&lt;=9,1,0)</x:f>
        <x:v>1</x:v>
      </x:c>
      <x:c r="I1310" s="9" t="n">
        <x:f>MIN(10,F1309+IF(AR1309&gt;0,MIN(1,AS1309/AR1309),1))</x:f>
        <x:v>8.44691726732881</x:v>
      </x:c>
      <x:c r="J1310" s="32" t="n">
        <x:f>INDEX(v01_FoodCap,G1310)*Arch_FoodCap*EXP(v01_CapsByProject*SUMPRODUCT((Cap_Point&lt;=I1310)*(Cap_Kind="Food")*Cap_Ln))</x:f>
        <x:v>6000</x:v>
      </x:c>
      <x:c r="K1310" s="32" t="n">
        <x:f>J1310*MIN(1,v01_LeanBase*EXP(v01_CapsByProject*SUMPRODUCT((Cap_Point&lt;=I1310)*(Cap_Kind="Lean")*Cap_Ln)))</x:f>
        <x:v>6000</x:v>
      </x:c>
      <x:c r="L1310" s="10" t="n">
        <x:f>INDEX(v01_HousingCap,G1310)*EXP(v01_CapsByProject*SUMPRODUCT((Cap_Point&lt;=I1310)*(Cap_Kind="Housing")*Cap_Ln))</x:f>
        <x:v>10000</x:v>
      </x:c>
      <x:c r="M1310" s="10" t="n">
        <x:f>INDEX(v01_GroupCap,G1310)*v01_CohesionFactor*EXP(v01_CapsByProject*SUMPRODUCT((Cap_Point&lt;=I1310)*(Cap_Kind="Group")*Cap_Ln))</x:f>
        <x:v>1000000</x:v>
      </x:c>
      <x:c r="N1310" s="32" t="n">
        <x:f>MIN(J1310,L1310,M1310)</x:f>
        <x:v>6000</x:v>
      </x:c>
      <x:c r="O1310" s="10" t="n">
        <x:f>AE1309*N1310</x:f>
        <x:v>90000</x:v>
      </x:c>
      <x:c r="P1310" s="9" t="n">
        <x:f>MIN(1,(AB1309/(AE1309*IF(v01_GroupInCrowding=1,N1310,MIN(J1310,L1310))))^v01_CrowdingExp)</x:f>
        <x:v>0.0005779447819425306</x:v>
      </x:c>
      <x:c r="Q1310" s="9" t="n">
        <x:f>IF(D1310=1,INDEX(v01_WinterMult,G1310),1)</x:f>
        <x:v>1</x:v>
      </x:c>
      <x:c r="R1310" s="9" t="n">
        <x:f>H1310*Z1309*v01_WomenShare*v01_BaseFertility*INDEX(v01_FertMult,G1310)*Arch_Fertility*(1-P1310)</x:f>
        <x:v>250.1458396199491</x:v>
      </x:c>
      <x:c r="S1310" s="9" t="n">
        <x:f>H1310*Y1309*INDEX(v01_MortChild,G1310)/4*Q1310</x:f>
        <x:v>15.001033142023353</x:v>
      </x:c>
      <x:c r="T1310" s="9" t="n">
        <x:f>H1310*Z1309*INDEX(v01_MortAdult,G1310)*Arch_AdultMort/4*Q1310</x:f>
        <x:v>11.124021942433583</x:v>
      </x:c>
      <x:c r="U1310" s="9" t="n">
        <x:f>H1310*AA1309*INDEX(v01_MortElder,G1310)/4*Q1310</x:f>
        <x:v>42.440734901305795</x:v>
      </x:c>
      <x:c r="V1310" s="9" t="n">
        <x:f>H1310*MAX(0,AB1309-O1310)*v01_OvercapLoss</x:f>
        <x:v>0</x:v>
      </x:c>
      <x:c r="W1310" s="9" t="n">
        <x:f>H1310*Y1309/(v01_ChildYears*4)</x:f>
        <x:v>178.58372788123037</x:v>
      </x:c>
      <x:c r="X1310" s="9" t="n">
        <x:f>H1310*Z1309/(v01_AdultYears*4)</x:f>
        <x:v>89.70985437446437</x:v>
      </x:c>
      <x:c r="Y1310" s="32" t="n">
        <x:f>Y1309+R1310-S1310-W1310-Y1309*V1310/AB1309</x:f>
        <x:v>10057.249839945596</x:v>
      </x:c>
      <x:c r="Z1310" s="32" t="n">
        <x:f>Z1309+W1310-X1310-T1310-Z1309*V1310/AB1309</x:f>
        <x:v>11201.771793997914</x:v>
      </x:c>
      <x:c r="AA1310" s="32" t="n">
        <x:f>AA1309+X1310-U1310-AA1309*V1310/AB1309</x:f>
        <x:v>4897.638822479535</x:v>
      </x:c>
      <x:c r="AB1310" s="10" t="n">
        <x:f>Y1310+Z1310+AA1310</x:f>
        <x:v>26156.660456423044</x:v>
      </x:c>
      <x:c r="AC1310" s="8" t="n">
        <x:f>IF(AND(v01_WinterTrigger=1,D1310=1,AB1309/AE1309&gt;=K1310),1,0)</x:f>
        <x:v>0</x:v>
      </x:c>
      <x:c r="AD1310" s="8" t="n">
        <x:f>H1310*IF(AND(OR(AB1309/AE1309&gt;=v01_FissionTrigger*N1310,AC1310=1),AB1309/AE1309*v01_DaughterShare&gt;=v01_MinDaughter),MAX(1,ROUND(AE1309*v01_FissionRate,0)),0)</x:f>
        <x:v>0</x:v>
      </x:c>
      <x:c r="AE1310" s="8" t="n">
        <x:f>IF(H1310=1,MAX(1,MIN(INDEX(v01_Smax,G1310),AE1309+AD1310)),AE1309)</x:f>
        <x:v>15</x:v>
      </x:c>
      <x:c r="AF1310" s="8" t="n">
        <x:f>MAX(0,AE1310-AE1309)</x:f>
        <x:v>0</x:v>
      </x:c>
      <x:c r="AG1310" s="9" t="str">
        <x:f>IF(AF1310&gt;0,B1310,"")</x:f>
      </x:c>
      <x:c r="AH1310" s="9" t="n">
        <x:f>IF(F1310&gt;=1,1,(1+v01_LowTiesShare*(AE1310-1))/AE1310)</x:f>
        <x:v>1</x:v>
      </x:c>
      <x:c r="AI1310" s="32" t="n">
        <x:f>(Z1310+v01_ElderCommons*INDEX(LM_Elder,G1310)*AA1310)*AH1310</x:f>
        <x:v>29567.917378296166</x:v>
      </x:c>
      <x:c r="AJ1310" s="32" t="n">
        <x:f>H1310*v01_CommonsCoef*AI1310^v01_CommonsExp*INDEX(LM_Commons,G1310)</x:f>
        <x:v>11418.255791165871</x:v>
      </x:c>
      <x:c r="AK1310" s="32" t="n">
        <x:f>H1310*v01_RoleScale*Arch_Roles*(AE1310*(INDEX(v01_ElderRolePerSett,G1310)*v01_OutElder*INDEX(LM_Elder,G1310)+INDEX(v01_ShamanPerSett,G1310)*v01_OutShaman)+Z1310*(INDEX(v01_PriestShare,G1310)*v01_OutPriest+INDEX(v01_ScribeShare,G1310)*v01_OutScribe*INDEX(LM_Scribe,G1310)+INDEX(v01_ScholarShare,G1310)*v01_OutScholar*INDEX(LM_Scholar,G1310)+INDEX(v01_ResearcherShare,G1310)*v01_OutResearcher*INDEX(LM_Researcher,G1310)))</x:f>
        <x:v>2943.4957062721883</x:v>
      </x:c>
      <x:c r="AL1310" s="32" t="n">
        <x:f>H1310*v01_RoleScale*Arch_Roles*AE1310*INDEX(v01_MonasteryPerSett,G1310)*v01_OutMonastery*INDEX(LM_Monastery,G1310)</x:f>
        <x:v>6.6000000000000005</x:v>
      </x:c>
      <x:c r="AM1310" s="32" t="n">
        <x:f>(AJ1310+AK1310+AL1310)/4*INDEX(LM_All,G1310)*INDEX(v01_Boon,G1310)*Arch_Insight</x:f>
        <x:v>10352.27476480991</x:v>
      </x:c>
      <x:c r="AN1310" s="32" t="n">
        <x:f>H1310*(v01_KHPerAdult*Z1310+v01_KHOfCommons*AJ1310/4*INDEX(LM_All,G1310))*v01_KHUsable*Arch_KH</x:f>
        <x:v>392.06201278992694</x:v>
      </x:c>
      <x:c r="AO1310" s="32" t="n">
        <x:f>MIN(AP1309+AN1310,AM1310*v01_KHMaxRatio)</x:f>
        <x:v>392.06201278992694</x:v>
      </x:c>
      <x:c r="AP1310" s="32" t="n">
        <x:f>AP1309+AN1310-AO1310</x:f>
        <x:v>0</x:v>
      </x:c>
      <x:c r="AQ1310" s="32" t="n">
        <x:f>AM1310+AO1310</x:f>
        <x:v>10744.336777599838</x:v>
      </x:c>
      <x:c r="AR1310" s="10" t="n">
        <x:f>IF(H1310=1,INDEX(v01_Req,G1310),0)</x:f>
        <x:v>743165.805333726</x:v>
      </x:c>
      <x:c r="AS1310" s="32" t="n">
        <x:f>IF(H1310=1,IF(E1310=1,AS1309-AR1309,AS1309)+AQ1310,0)</x:f>
        <x:v>342877.9676695631</x:v>
      </x:c>
      <x:c r="AT1310" s="11" t="n">
        <x:f>IF(AR1310&gt;0,MIN(1,AS1310/AR1310),1)</x:f>
        <x:v>0.46137479040170626</x:v>
      </x:c>
      <x:c r="AU1310" s="10" t="n">
        <x:f>AB1310/INDEX(v01_RepScale,G1310)</x:f>
        <x:v>104.62664182569218</x:v>
      </x:c>
      <x:c r="AV1310" s="32" t="n">
        <x:f>AM1310*60/v01_SeasonSeconds</x:f>
        <x:v>41409.09905923964</x:v>
      </x:c>
    </x:row>
    <x:row r="1311">
      <x:c r="A1311" s="8" t="n">
        <x:f>A1310+1</x:f>
        <x:v>1308</x:v>
      </x:c>
      <x:c r="B1311" s="9" t="n">
        <x:f>A1311*v01_SeasonSeconds/60</x:f>
        <x:v>327</x:v>
      </x:c>
      <x:c r="C1311" s="9" t="n">
        <x:f>A1311/4</x:f>
        <x:v>327</x:v>
      </x:c>
      <x:c r="D1311" s="8" t="n">
        <x:f>IF(MOD(A1311,4)=0,1,0)</x:f>
        <x:v>1</x:v>
      </x:c>
      <x:c r="E1311" s="8" t="n">
        <x:f>IF(AND(F1310&lt;=9,AS1310&gt;=AR1310),1,0)</x:f>
        <x:v>0</x:v>
      </x:c>
      <x:c r="F1311" s="8" t="n">
        <x:f>MIN(10,F1310+E1311)</x:f>
        <x:v>8</x:v>
      </x:c>
      <x:c r="G1311" s="8" t="n">
        <x:f>MIN(F1311,9)+1</x:f>
        <x:v>9</x:v>
      </x:c>
      <x:c r="H1311" s="8" t="n">
        <x:f>IF(F1311&lt;=9,1,0)</x:f>
        <x:v>1</x:v>
      </x:c>
      <x:c r="I1311" s="9" t="n">
        <x:f>MIN(10,F1310+IF(AR1310&gt;0,MIN(1,AS1310/AR1310),1))</x:f>
        <x:v>8.461374790401706</x:v>
      </x:c>
      <x:c r="J1311" s="32" t="n">
        <x:f>INDEX(v01_FoodCap,G1311)*Arch_FoodCap*EXP(v01_CapsByProject*SUMPRODUCT((Cap_Point&lt;=I1311)*(Cap_Kind="Food")*Cap_Ln))</x:f>
        <x:v>6000</x:v>
      </x:c>
      <x:c r="K1311" s="32" t="n">
        <x:f>J1311*MIN(1,v01_LeanBase*EXP(v01_CapsByProject*SUMPRODUCT((Cap_Point&lt;=I1311)*(Cap_Kind="Lean")*Cap_Ln)))</x:f>
        <x:v>6000</x:v>
      </x:c>
      <x:c r="L1311" s="10" t="n">
        <x:f>INDEX(v01_HousingCap,G1311)*EXP(v01_CapsByProject*SUMPRODUCT((Cap_Point&lt;=I1311)*(Cap_Kind="Housing")*Cap_Ln))</x:f>
        <x:v>10000</x:v>
      </x:c>
      <x:c r="M1311" s="10" t="n">
        <x:f>INDEX(v01_GroupCap,G1311)*v01_CohesionFactor*EXP(v01_CapsByProject*SUMPRODUCT((Cap_Point&lt;=I1311)*(Cap_Kind="Group")*Cap_Ln))</x:f>
        <x:v>1000000</x:v>
      </x:c>
      <x:c r="N1311" s="32" t="n">
        <x:f>MIN(J1311,L1311,M1311)</x:f>
        <x:v>6000</x:v>
      </x:c>
      <x:c r="O1311" s="10" t="n">
        <x:f>AE1310*N1311</x:f>
        <x:v>90000</x:v>
      </x:c>
      <x:c r="P1311" s="9" t="n">
        <x:f>MIN(1,(AB1310/(AE1310*IF(v01_GroupInCrowding=1,N1311,MIN(J1311,L1311))))^v01_CrowdingExp)</x:f>
        <x:v>0.0006026132992663973</x:v>
      </x:c>
      <x:c r="Q1311" s="9" t="n">
        <x:f>IF(D1311=1,INDEX(v01_WinterMult,G1311),1)</x:f>
        <x:v>1</x:v>
      </x:c>
      <x:c r="R1311" s="9" t="n">
        <x:f>H1311*Z1310*v01_WomenShare*v01_BaseFertility*INDEX(v01_FertMult,G1311)*Arch_Fertility*(1-P1311)</x:f>
        <x:v>251.8879827901388</x:v>
      </x:c>
      <x:c r="S1311" s="9" t="n">
        <x:f>H1311*Y1310*INDEX(v01_MortChild,G1311)/4*Q1311</x:f>
        <x:v>15.085874759918395</x:v>
      </x:c>
      <x:c r="T1311" s="9" t="n">
        <x:f>H1311*Z1310*INDEX(v01_MortAdult,G1311)*Arch_AdultMort/4*Q1311</x:f>
        <x:v>11.201771793997914</x:v>
      </x:c>
      <x:c r="U1311" s="9" t="n">
        <x:f>H1311*AA1310*INDEX(v01_MortElder,G1311)/4*Q1311</x:f>
        <x:v>42.85433969669593</x:v>
      </x:c>
      <x:c r="V1311" s="9" t="n">
        <x:f>H1311*MAX(0,AB1310-O1311)*v01_OvercapLoss</x:f>
        <x:v>0</x:v>
      </x:c>
      <x:c r="W1311" s="9" t="n">
        <x:f>H1311*Y1310/(v01_ChildYears*4)</x:f>
        <x:v>179.59374714188564</x:v>
      </x:c>
      <x:c r="X1311" s="9" t="n">
        <x:f>H1311*Z1310/(v01_AdultYears*4)</x:f>
        <x:v>90.33686930643479</x:v>
      </x:c>
      <x:c r="Y1311" s="32" t="n">
        <x:f>Y1310+R1311-S1311-W1311-Y1310*V1311/AB1310</x:f>
        <x:v>10114.458200833931</x:v>
      </x:c>
      <x:c r="Z1311" s="32" t="n">
        <x:f>Z1310+W1311-X1311-T1311-Z1310*V1311/AB1310</x:f>
        <x:v>11279.826900039367</x:v>
      </x:c>
      <x:c r="AA1311" s="32" t="n">
        <x:f>AA1310+X1311-U1311-AA1310*V1311/AB1310</x:f>
        <x:v>4945.121352089273</x:v>
      </x:c>
      <x:c r="AB1311" s="10" t="n">
        <x:f>Y1311+Z1311+AA1311</x:f>
        <x:v>26339.406452962572</x:v>
      </x:c>
      <x:c r="AC1311" s="8" t="n">
        <x:f>IF(AND(v01_WinterTrigger=1,D1311=1,AB1310/AE1310&gt;=K1311),1,0)</x:f>
        <x:v>0</x:v>
      </x:c>
      <x:c r="AD1311" s="8" t="n">
        <x:f>H1311*IF(AND(OR(AB1310/AE1310&gt;=v01_FissionTrigger*N1311,AC1311=1),AB1310/AE1310*v01_DaughterShare&gt;=v01_MinDaughter),MAX(1,ROUND(AE1310*v01_FissionRate,0)),0)</x:f>
        <x:v>0</x:v>
      </x:c>
      <x:c r="AE1311" s="8" t="n">
        <x:f>IF(H1311=1,MAX(1,MIN(INDEX(v01_Smax,G1311),AE1310+AD1311)),AE1310)</x:f>
        <x:v>15</x:v>
      </x:c>
      <x:c r="AF1311" s="8" t="n">
        <x:f>MAX(0,AE1311-AE1310)</x:f>
        <x:v>0</x:v>
      </x:c>
      <x:c r="AG1311" s="9" t="str">
        <x:f>IF(AF1311&gt;0,B1311,"")</x:f>
      </x:c>
      <x:c r="AH1311" s="9" t="n">
        <x:f>IF(F1311&gt;=1,1,(1+v01_LowTiesShare*(AE1311-1))/AE1311)</x:f>
        <x:v>1</x:v>
      </x:c>
      <x:c r="AI1311" s="32" t="n">
        <x:f>(Z1311+v01_ElderCommons*INDEX(LM_Elder,G1311)*AA1311)*AH1311</x:f>
        <x:v>29824.03197037414</x:v>
      </x:c>
      <x:c r="AJ1311" s="32" t="n">
        <x:f>H1311*v01_CommonsCoef*AI1311^v01_CommonsExp*INDEX(LM_Commons,G1311)</x:f>
        <x:v>11502.269660215712</x:v>
      </x:c>
      <x:c r="AK1311" s="32" t="n">
        <x:f>H1311*v01_RoleScale*Arch_Roles*(AE1311*(INDEX(v01_ElderRolePerSett,G1311)*v01_OutElder*INDEX(LM_Elder,G1311)+INDEX(v01_ShamanPerSett,G1311)*v01_OutShaman)+Z1311*(INDEX(v01_PriestShare,G1311)*v01_OutPriest+INDEX(v01_ScribeShare,G1311)*v01_OutScribe*INDEX(LM_Scribe,G1311)+INDEX(v01_ScholarShare,G1311)*v01_OutScholar*INDEX(LM_Scholar,G1311)+INDEX(v01_ResearcherShare,G1311)*v01_OutResearcher*INDEX(LM_Researcher,G1311)))</x:f>
        <x:v>2963.6535289715653</x:v>
      </x:c>
      <x:c r="AL1311" s="32" t="n">
        <x:f>H1311*v01_RoleScale*Arch_Roles*AE1311*INDEX(v01_MonasteryPerSett,G1311)*v01_OutMonastery*INDEX(LM_Monastery,G1311)</x:f>
        <x:v>6.6000000000000005</x:v>
      </x:c>
      <x:c r="AM1311" s="32" t="n">
        <x:f>(AJ1311+AK1311+AL1311)/4*INDEX(LM_All,G1311)*INDEX(v01_Boon,G1311)*Arch_Insight</x:f>
        <x:v>10427.329580659542</x:v>
      </x:c>
      <x:c r="AN1311" s="32" t="n">
        <x:f>H1311*(v01_KHPerAdult*Z1311+v01_KHOfCommons*AJ1311/4*INDEX(LM_All,G1311))*v01_KHUsable*Arch_KH</x:f>
        <x:v>394.79394150137784</x:v>
      </x:c>
      <x:c r="AO1311" s="32" t="n">
        <x:f>MIN(AP1310+AN1311,AM1311*v01_KHMaxRatio)</x:f>
        <x:v>394.79394150137784</x:v>
      </x:c>
      <x:c r="AP1311" s="32" t="n">
        <x:f>AP1310+AN1311-AO1311</x:f>
        <x:v>0</x:v>
      </x:c>
      <x:c r="AQ1311" s="32" t="n">
        <x:f>AM1311+AO1311</x:f>
        <x:v>10822.123522160919</x:v>
      </x:c>
      <x:c r="AR1311" s="10" t="n">
        <x:f>IF(H1311=1,INDEX(v01_Req,G1311),0)</x:f>
        <x:v>743165.805333726</x:v>
      </x:c>
      <x:c r="AS1311" s="32" t="n">
        <x:f>IF(H1311=1,IF(E1311=1,AS1310-AR1310,AS1310)+AQ1311,0)</x:f>
        <x:v>353700.091191724</x:v>
      </x:c>
      <x:c r="AT1311" s="11" t="n">
        <x:f>IF(AR1311&gt;0,MIN(1,AS1311/AR1311),1)</x:f>
        <x:v>0.4759369829090716</x:v>
      </x:c>
      <x:c r="AU1311" s="10" t="n">
        <x:f>AB1311/INDEX(v01_RepScale,G1311)</x:f>
        <x:v>105.35762581185028</x:v>
      </x:c>
      <x:c r="AV1311" s="32" t="n">
        <x:f>AM1311*60/v01_SeasonSeconds</x:f>
        <x:v>41709.318322638166</x:v>
      </x:c>
    </x:row>
    <x:row r="1312">
      <x:c r="A1312" s="8" t="n">
        <x:f>A1311+1</x:f>
        <x:v>1309</x:v>
      </x:c>
      <x:c r="B1312" s="9" t="n">
        <x:f>A1312*v01_SeasonSeconds/60</x:f>
        <x:v>327.25</x:v>
      </x:c>
      <x:c r="C1312" s="9" t="n">
        <x:f>A1312/4</x:f>
        <x:v>327.25</x:v>
      </x:c>
      <x:c r="D1312" s="8" t="n">
        <x:f>IF(MOD(A1312,4)=0,1,0)</x:f>
        <x:v>0</x:v>
      </x:c>
      <x:c r="E1312" s="8" t="n">
        <x:f>IF(AND(F1311&lt;=9,AS1311&gt;=AR1311),1,0)</x:f>
        <x:v>0</x:v>
      </x:c>
      <x:c r="F1312" s="8" t="n">
        <x:f>MIN(10,F1311+E1312)</x:f>
        <x:v>8</x:v>
      </x:c>
      <x:c r="G1312" s="8" t="n">
        <x:f>MIN(F1312,9)+1</x:f>
        <x:v>9</x:v>
      </x:c>
      <x:c r="H1312" s="8" t="n">
        <x:f>IF(F1312&lt;=9,1,0)</x:f>
        <x:v>1</x:v>
      </x:c>
      <x:c r="I1312" s="9" t="n">
        <x:f>MIN(10,F1311+IF(AR1311&gt;0,MIN(1,AS1311/AR1311),1))</x:f>
        <x:v>8.475936982909072</x:v>
      </x:c>
      <x:c r="J1312" s="32" t="n">
        <x:f>INDEX(v01_FoodCap,G1312)*Arch_FoodCap*EXP(v01_CapsByProject*SUMPRODUCT((Cap_Point&lt;=I1312)*(Cap_Kind="Food")*Cap_Ln))</x:f>
        <x:v>6000</x:v>
      </x:c>
      <x:c r="K1312" s="32" t="n">
        <x:f>J1312*MIN(1,v01_LeanBase*EXP(v01_CapsByProject*SUMPRODUCT((Cap_Point&lt;=I1312)*(Cap_Kind="Lean")*Cap_Ln)))</x:f>
        <x:v>6000</x:v>
      </x:c>
      <x:c r="L1312" s="10" t="n">
        <x:f>INDEX(v01_HousingCap,G1312)*EXP(v01_CapsByProject*SUMPRODUCT((Cap_Point&lt;=I1312)*(Cap_Kind="Housing")*Cap_Ln))</x:f>
        <x:v>10000</x:v>
      </x:c>
      <x:c r="M1312" s="10" t="n">
        <x:f>INDEX(v01_GroupCap,G1312)*v01_CohesionFactor*EXP(v01_CapsByProject*SUMPRODUCT((Cap_Point&lt;=I1312)*(Cap_Kind="Group")*Cap_Ln))</x:f>
        <x:v>1000000</x:v>
      </x:c>
      <x:c r="N1312" s="32" t="n">
        <x:f>MIN(J1312,L1312,M1312)</x:f>
        <x:v>6000</x:v>
      </x:c>
      <x:c r="O1312" s="10" t="n">
        <x:f>AE1311*N1312</x:f>
        <x:v>90000</x:v>
      </x:c>
      <x:c r="P1312" s="9" t="n">
        <x:f>MIN(1,(AB1311/(AE1311*IF(v01_GroupInCrowding=1,N1312,MIN(J1312,L1312))))^v01_CrowdingExp)</x:f>
        <x:v>0.0006283199479649753</x:v>
      </x:c>
      <x:c r="Q1312" s="9" t="n">
        <x:f>IF(D1312=1,INDEX(v01_WinterMult,G1312),1)</x:f>
        <x:v>1</x:v>
      </x:c>
      <x:c r="R1312" s="9" t="n">
        <x:f>H1312*Z1311*v01_WomenShare*v01_BaseFertility*INDEX(v01_FertMult,G1312)*Arch_Fertility*(1-P1312)</x:f>
        <x:v>253.6366400952408</x:v>
      </x:c>
      <x:c r="S1312" s="9" t="n">
        <x:f>H1312*Y1311*INDEX(v01_MortChild,G1312)/4*Q1312</x:f>
        <x:v>15.171687301250897</x:v>
      </x:c>
      <x:c r="T1312" s="9" t="n">
        <x:f>H1312*Z1311*INDEX(v01_MortAdult,G1312)*Arch_AdultMort/4*Q1312</x:f>
        <x:v>11.279826900039367</x:v>
      </x:c>
      <x:c r="U1312" s="9" t="n">
        <x:f>H1312*AA1311*INDEX(v01_MortElder,G1312)/4*Q1312</x:f>
        <x:v>43.269811830781144</x:v>
      </x:c>
      <x:c r="V1312" s="9" t="n">
        <x:f>H1312*MAX(0,AB1311-O1312)*v01_OvercapLoss</x:f>
        <x:v>0</x:v>
      </x:c>
      <x:c r="W1312" s="9" t="n">
        <x:f>H1312*Y1311/(v01_ChildYears*4)</x:f>
        <x:v>180.61532501489162</x:v>
      </x:c>
      <x:c r="X1312" s="9" t="n">
        <x:f>H1312*Z1311/(v01_AdultYears*4)</x:f>
        <x:v>90.96634596805941</x:v>
      </x:c>
      <x:c r="Y1312" s="32" t="n">
        <x:f>Y1311+R1312-S1312-W1312-Y1311*V1312/AB1311</x:f>
        <x:v>10172.307828613031</x:v>
      </x:c>
      <x:c r="Z1312" s="32" t="n">
        <x:f>Z1311+W1312-X1312-T1312-Z1311*V1312/AB1311</x:f>
        <x:v>11358.196052186158</x:v>
      </x:c>
      <x:c r="AA1312" s="32" t="n">
        <x:f>AA1311+X1312-U1312-AA1311*V1312/AB1311</x:f>
        <x:v>4992.817886226552</x:v>
      </x:c>
      <x:c r="AB1312" s="10" t="n">
        <x:f>Y1312+Z1312+AA1312</x:f>
        <x:v>26523.32176702574</x:v>
      </x:c>
      <x:c r="AC1312" s="8" t="n">
        <x:f>IF(AND(v01_WinterTrigger=1,D1312=1,AB1311/AE1311&gt;=K1312),1,0)</x:f>
        <x:v>0</x:v>
      </x:c>
      <x:c r="AD1312" s="8" t="n">
        <x:f>H1312*IF(AND(OR(AB1311/AE1311&gt;=v01_FissionTrigger*N1312,AC1312=1),AB1311/AE1311*v01_DaughterShare&gt;=v01_MinDaughter),MAX(1,ROUND(AE1311*v01_FissionRate,0)),0)</x:f>
        <x:v>0</x:v>
      </x:c>
      <x:c r="AE1312" s="8" t="n">
        <x:f>IF(H1312=1,MAX(1,MIN(INDEX(v01_Smax,G1312),AE1311+AD1312)),AE1311)</x:f>
        <x:v>15</x:v>
      </x:c>
      <x:c r="AF1312" s="8" t="n">
        <x:f>MAX(0,AE1312-AE1311)</x:f>
        <x:v>0</x:v>
      </x:c>
      <x:c r="AG1312" s="9" t="str">
        <x:f>IF(AF1312&gt;0,B1312,"")</x:f>
      </x:c>
      <x:c r="AH1312" s="9" t="n">
        <x:f>IF(F1312&gt;=1,1,(1+v01_LowTiesShare*(AE1312-1))/AE1312)</x:f>
        <x:v>1</x:v>
      </x:c>
      <x:c r="AI1312" s="32" t="n">
        <x:f>(Z1312+v01_ElderCommons*INDEX(LM_Elder,G1312)*AA1312)*AH1312</x:f>
        <x:v>30081.26312553573</x:v>
      </x:c>
      <x:c r="AJ1312" s="32" t="n">
        <x:f>H1312*v01_CommonsCoef*AI1312^v01_CommonsExp*INDEX(LM_Commons,G1312)</x:f>
        <x:v>11586.54093891348</x:v>
      </x:c>
      <x:c r="AK1312" s="32" t="n">
        <x:f>H1312*v01_RoleScale*Arch_Roles*(AE1312*(INDEX(v01_ElderRolePerSett,G1312)*v01_OutElder*INDEX(LM_Elder,G1312)+INDEX(v01_ShamanPerSett,G1312)*v01_OutShaman)+Z1312*(INDEX(v01_PriestShare,G1312)*v01_OutPriest+INDEX(v01_ScribeShare,G1312)*v01_OutScribe*INDEX(LM_Scribe,G1312)+INDEX(v01_ScholarShare,G1312)*v01_OutScholar*INDEX(LM_Scholar,G1312)+INDEX(v01_ResearcherShare,G1312)*v01_OutResearcher*INDEX(LM_Researcher,G1312)))</x:f>
        <x:v>2983.8924544460438</x:v>
      </x:c>
      <x:c r="AL1312" s="32" t="n">
        <x:f>H1312*v01_RoleScale*Arch_Roles*AE1312*INDEX(v01_MonasteryPerSett,G1312)*v01_OutMonastery*INDEX(LM_Monastery,G1312)</x:f>
        <x:v>6.6000000000000005</x:v>
      </x:c>
      <x:c r="AM1312" s="32" t="n">
        <x:f>(AJ1312+AK1312+AL1312)/4*INDEX(LM_All,G1312)*INDEX(v01_Boon,G1312)*Arch_Insight</x:f>
        <x:v>10502.628291824174</x:v>
      </x:c>
      <x:c r="AN1312" s="32" t="n">
        <x:f>H1312*(v01_KHPerAdult*Z1312+v01_KHOfCommons*AJ1312/4*INDEX(LM_All,G1312))*v01_KHUsable*Arch_KH</x:f>
        <x:v>397.5368618265155</x:v>
      </x:c>
      <x:c r="AO1312" s="32" t="n">
        <x:f>MIN(AP1311+AN1312,AM1312*v01_KHMaxRatio)</x:f>
        <x:v>397.5368618265155</x:v>
      </x:c>
      <x:c r="AP1312" s="32" t="n">
        <x:f>AP1311+AN1312-AO1312</x:f>
        <x:v>0</x:v>
      </x:c>
      <x:c r="AQ1312" s="32" t="n">
        <x:f>AM1312+AO1312</x:f>
        <x:v>10900.165153650689</x:v>
      </x:c>
      <x:c r="AR1312" s="10" t="n">
        <x:f>IF(H1312=1,INDEX(v01_Req,G1312),0)</x:f>
        <x:v>743165.805333726</x:v>
      </x:c>
      <x:c r="AS1312" s="32" t="n">
        <x:f>IF(H1312=1,IF(E1312=1,AS1311-AR1311,AS1311)+AQ1312,0)</x:f>
        <x:v>364600.2563453747</x:v>
      </x:c>
      <x:c r="AT1312" s="11" t="n">
        <x:f>IF(AR1312&gt;0,MIN(1,AS1312/AR1312),1)</x:f>
        <x:v>0.49060418782541715</x:v>
      </x:c>
      <x:c r="AU1312" s="10" t="n">
        <x:f>AB1312/INDEX(v01_RepScale,G1312)</x:f>
        <x:v>106.09328706810297</x:v>
      </x:c>
      <x:c r="AV1312" s="32" t="n">
        <x:f>AM1312*60/v01_SeasonSeconds</x:f>
        <x:v>42010.513167296696</x:v>
      </x:c>
    </x:row>
    <x:row r="1313">
      <x:c r="A1313" s="8" t="n">
        <x:f>A1312+1</x:f>
        <x:v>1310</x:v>
      </x:c>
      <x:c r="B1313" s="9" t="n">
        <x:f>A1313*v01_SeasonSeconds/60</x:f>
        <x:v>327.5</x:v>
      </x:c>
      <x:c r="C1313" s="9" t="n">
        <x:f>A1313/4</x:f>
        <x:v>327.5</x:v>
      </x:c>
      <x:c r="D1313" s="8" t="n">
        <x:f>IF(MOD(A1313,4)=0,1,0)</x:f>
        <x:v>0</x:v>
      </x:c>
      <x:c r="E1313" s="8" t="n">
        <x:f>IF(AND(F1312&lt;=9,AS1312&gt;=AR1312),1,0)</x:f>
        <x:v>0</x:v>
      </x:c>
      <x:c r="F1313" s="8" t="n">
        <x:f>MIN(10,F1312+E1313)</x:f>
        <x:v>8</x:v>
      </x:c>
      <x:c r="G1313" s="8" t="n">
        <x:f>MIN(F1313,9)+1</x:f>
        <x:v>9</x:v>
      </x:c>
      <x:c r="H1313" s="8" t="n">
        <x:f>IF(F1313&lt;=9,1,0)</x:f>
        <x:v>1</x:v>
      </x:c>
      <x:c r="I1313" s="9" t="n">
        <x:f>MIN(10,F1312+IF(AR1312&gt;0,MIN(1,AS1312/AR1312),1))</x:f>
        <x:v>8.490604187825417</x:v>
      </x:c>
      <x:c r="J1313" s="32" t="n">
        <x:f>INDEX(v01_FoodCap,G1313)*Arch_FoodCap*EXP(v01_CapsByProject*SUMPRODUCT((Cap_Point&lt;=I1313)*(Cap_Kind="Food")*Cap_Ln))</x:f>
        <x:v>6000</x:v>
      </x:c>
      <x:c r="K1313" s="32" t="n">
        <x:f>J1313*MIN(1,v01_LeanBase*EXP(v01_CapsByProject*SUMPRODUCT((Cap_Point&lt;=I1313)*(Cap_Kind="Lean")*Cap_Ln)))</x:f>
        <x:v>6000</x:v>
      </x:c>
      <x:c r="L1313" s="10" t="n">
        <x:f>INDEX(v01_HousingCap,G1313)*EXP(v01_CapsByProject*SUMPRODUCT((Cap_Point&lt;=I1313)*(Cap_Kind="Housing")*Cap_Ln))</x:f>
        <x:v>10000</x:v>
      </x:c>
      <x:c r="M1313" s="10" t="n">
        <x:f>INDEX(v01_GroupCap,G1313)*v01_CohesionFactor*EXP(v01_CapsByProject*SUMPRODUCT((Cap_Point&lt;=I1313)*(Cap_Kind="Group")*Cap_Ln))</x:f>
        <x:v>1000000</x:v>
      </x:c>
      <x:c r="N1313" s="32" t="n">
        <x:f>MIN(J1313,L1313,M1313)</x:f>
        <x:v>6000</x:v>
      </x:c>
      <x:c r="O1313" s="10" t="n">
        <x:f>AE1312*N1313</x:f>
        <x:v>90000</x:v>
      </x:c>
      <x:c r="P1313" s="9" t="n">
        <x:f>MIN(1,(AB1312/(AE1312*IF(v01_GroupInCrowding=1,N1313,MIN(J1313,L1313))))^v01_CrowdingExp)</x:f>
        <x:v>0.0006551072821906941</x:v>
      </x:c>
      <x:c r="Q1313" s="9" t="n">
        <x:f>IF(D1313=1,INDEX(v01_WinterMult,G1313),1)</x:f>
        <x:v>1</x:v>
      </x:c>
      <x:c r="R1313" s="9" t="n">
        <x:f>H1313*Z1312*v01_WomenShare*v01_BaseFertility*INDEX(v01_FertMult,G1313)*Arch_Fertility*(1-P1313)</x:f>
        <x:v>255.39199234289597</x:v>
      </x:c>
      <x:c r="S1313" s="9" t="n">
        <x:f>H1313*Y1312*INDEX(v01_MortChild,G1313)/4*Q1313</x:f>
        <x:v>15.258461742919547</x:v>
      </x:c>
      <x:c r="T1313" s="9" t="n">
        <x:f>H1313*Z1312*INDEX(v01_MortAdult,G1313)*Arch_AdultMort/4*Q1313</x:f>
        <x:v>11.358196052186159</x:v>
      </x:c>
      <x:c r="U1313" s="9" t="n">
        <x:f>H1313*AA1312*INDEX(v01_MortElder,G1313)/4*Q1313</x:f>
        <x:v>43.68715650448234</x:v>
      </x:c>
      <x:c r="V1313" s="9" t="n">
        <x:f>H1313*MAX(0,AB1312-O1313)*v01_OvercapLoss</x:f>
        <x:v>0</x:v>
      </x:c>
      <x:c r="W1313" s="9" t="n">
        <x:f>H1313*Y1312/(v01_ChildYears*4)</x:f>
        <x:v>181.64835408237556</x:v>
      </x:c>
      <x:c r="X1313" s="9" t="n">
        <x:f>H1313*Z1312/(v01_AdultYears*4)</x:f>
        <x:v>91.59835525956579</x:v>
      </x:c>
      <x:c r="Y1313" s="32" t="n">
        <x:f>Y1312+R1313-S1313-W1313-Y1312*V1313/AB1312</x:f>
        <x:v>10230.793005130632</x:v>
      </x:c>
      <x:c r="Z1313" s="32" t="n">
        <x:f>Z1312+W1313-X1313-T1313-Z1312*V1313/AB1312</x:f>
        <x:v>11436.887854956782</x:v>
      </x:c>
      <x:c r="AA1313" s="32" t="n">
        <x:f>AA1312+X1313-U1313-AA1312*V1313/AB1312</x:f>
        <x:v>5040.729084981636</x:v>
      </x:c>
      <x:c r="AB1313" s="10" t="n">
        <x:f>Y1313+Z1313+AA1313</x:f>
        <x:v>26708.40994506905</x:v>
      </x:c>
      <x:c r="AC1313" s="8" t="n">
        <x:f>IF(AND(v01_WinterTrigger=1,D1313=1,AB1312/AE1312&gt;=K1313),1,0)</x:f>
        <x:v>0</x:v>
      </x:c>
      <x:c r="AD1313" s="8" t="n">
        <x:f>H1313*IF(AND(OR(AB1312/AE1312&gt;=v01_FissionTrigger*N1313,AC1313=1),AB1312/AE1312*v01_DaughterShare&gt;=v01_MinDaughter),MAX(1,ROUND(AE1312*v01_FissionRate,0)),0)</x:f>
        <x:v>0</x:v>
      </x:c>
      <x:c r="AE1313" s="8" t="n">
        <x:f>IF(H1313=1,MAX(1,MIN(INDEX(v01_Smax,G1313),AE1312+AD1313)),AE1312)</x:f>
        <x:v>15</x:v>
      </x:c>
      <x:c r="AF1313" s="8" t="n">
        <x:f>MAX(0,AE1313-AE1312)</x:f>
        <x:v>0</x:v>
      </x:c>
      <x:c r="AG1313" s="9" t="str">
        <x:f>IF(AF1313&gt;0,B1313,"")</x:f>
      </x:c>
      <x:c r="AH1313" s="9" t="n">
        <x:f>IF(F1313&gt;=1,1,(1+v01_LowTiesShare*(AE1313-1))/AE1313)</x:f>
        <x:v>1</x:v>
      </x:c>
      <x:c r="AI1313" s="32" t="n">
        <x:f>(Z1313+v01_ElderCommons*INDEX(LM_Elder,G1313)*AA1313)*AH1313</x:f>
        <x:v>30339.62192363792</x:v>
      </x:c>
      <x:c r="AJ1313" s="32" t="n">
        <x:f>H1313*v01_CommonsCoef*AI1313^v01_CommonsExp*INDEX(LM_Commons,G1313)</x:f>
        <x:v>11671.072908618542</x:v>
      </x:c>
      <x:c r="AK1313" s="32" t="n">
        <x:f>H1313*v01_RoleScale*Arch_Roles*(AE1313*(INDEX(v01_ElderRolePerSett,G1313)*v01_OutElder*INDEX(LM_Elder,G1313)+INDEX(v01_ShamanPerSett,G1313)*v01_OutShaman)+Z1313*(INDEX(v01_PriestShare,G1313)*v01_OutPriest+INDEX(v01_ScribeShare,G1313)*v01_OutScribe*INDEX(LM_Scribe,G1313)+INDEX(v01_ScholarShare,G1313)*v01_OutScholar*INDEX(LM_Scholar,G1313)+INDEX(v01_ResearcherShare,G1313)*v01_OutResearcher*INDEX(LM_Researcher,G1313)))</x:f>
        <x:v>3004.2147048226193</x:v>
      </x:c>
      <x:c r="AL1313" s="32" t="n">
        <x:f>H1313*v01_RoleScale*Arch_Roles*AE1313*INDEX(v01_MonasteryPerSett,G1313)*v01_OutMonastery*INDEX(LM_Monastery,G1313)</x:f>
        <x:v>6.6000000000000005</x:v>
      </x:c>
      <x:c r="AM1313" s="32" t="n">
        <x:f>(AJ1313+AK1313+AL1313)/4*INDEX(LM_All,G1313)*INDEX(v01_Boon,G1313)*Arch_Insight</x:f>
        <x:v>10578.17486351881</x:v>
      </x:c>
      <x:c r="AN1313" s="32" t="n">
        <x:f>H1313*(v01_KHPerAdult*Z1313+v01_KHOfCommons*AJ1313/4*INDEX(LM_All,G1313))*v01_KHUsable*Arch_KH</x:f>
        <x:v>400.2910749234874</x:v>
      </x:c>
      <x:c r="AO1313" s="32" t="n">
        <x:f>MIN(AP1312+AN1313,AM1313*v01_KHMaxRatio)</x:f>
        <x:v>400.2910749234874</x:v>
      </x:c>
      <x:c r="AP1313" s="32" t="n">
        <x:f>AP1312+AN1313-AO1313</x:f>
        <x:v>0</x:v>
      </x:c>
      <x:c r="AQ1313" s="32" t="n">
        <x:f>AM1313+AO1313</x:f>
        <x:v>10978.465938442298</x:v>
      </x:c>
      <x:c r="AR1313" s="10" t="n">
        <x:f>IF(H1313=1,INDEX(v01_Req,G1313),0)</x:f>
        <x:v>743165.805333726</x:v>
      </x:c>
      <x:c r="AS1313" s="32" t="n">
        <x:f>IF(H1313=1,IF(E1313=1,AS1312-AR1312,AS1312)+AQ1313,0)</x:f>
        <x:v>375578.72228381695</x:v>
      </x:c>
      <x:c r="AT1313" s="11" t="n">
        <x:f>IF(AR1313&gt;0,MIN(1,AS1313/AR1313),1)</x:f>
        <x:v>0.5053767538660631</x:v>
      </x:c>
      <x:c r="AU1313" s="10" t="n">
        <x:f>AB1313/INDEX(v01_RepScale,G1313)</x:f>
        <x:v>106.83363978027619</x:v>
      </x:c>
      <x:c r="AV1313" s="32" t="n">
        <x:f>AM1313*60/v01_SeasonSeconds</x:f>
        <x:v>42312.69945407524</x:v>
      </x:c>
    </x:row>
    <x:row r="1314">
      <x:c r="A1314" s="8" t="n">
        <x:f>A1313+1</x:f>
        <x:v>1311</x:v>
      </x:c>
      <x:c r="B1314" s="9" t="n">
        <x:f>A1314*v01_SeasonSeconds/60</x:f>
        <x:v>327.75</x:v>
      </x:c>
      <x:c r="C1314" s="9" t="n">
        <x:f>A1314/4</x:f>
        <x:v>327.75</x:v>
      </x:c>
      <x:c r="D1314" s="8" t="n">
        <x:f>IF(MOD(A1314,4)=0,1,0)</x:f>
        <x:v>0</x:v>
      </x:c>
      <x:c r="E1314" s="8" t="n">
        <x:f>IF(AND(F1313&lt;=9,AS1313&gt;=AR1313),1,0)</x:f>
        <x:v>0</x:v>
      </x:c>
      <x:c r="F1314" s="8" t="n">
        <x:f>MIN(10,F1313+E1314)</x:f>
        <x:v>8</x:v>
      </x:c>
      <x:c r="G1314" s="8" t="n">
        <x:f>MIN(F1314,9)+1</x:f>
        <x:v>9</x:v>
      </x:c>
      <x:c r="H1314" s="8" t="n">
        <x:f>IF(F1314&lt;=9,1,0)</x:f>
        <x:v>1</x:v>
      </x:c>
      <x:c r="I1314" s="9" t="n">
        <x:f>MIN(10,F1313+IF(AR1313&gt;0,MIN(1,AS1313/AR1313),1))</x:f>
        <x:v>8.505376753866063</x:v>
      </x:c>
      <x:c r="J1314" s="32" t="n">
        <x:f>INDEX(v01_FoodCap,G1314)*Arch_FoodCap*EXP(v01_CapsByProject*SUMPRODUCT((Cap_Point&lt;=I1314)*(Cap_Kind="Food")*Cap_Ln))</x:f>
        <x:v>6000</x:v>
      </x:c>
      <x:c r="K1314" s="32" t="n">
        <x:f>J1314*MIN(1,v01_LeanBase*EXP(v01_CapsByProject*SUMPRODUCT((Cap_Point&lt;=I1314)*(Cap_Kind="Lean")*Cap_Ln)))</x:f>
        <x:v>6000</x:v>
      </x:c>
      <x:c r="L1314" s="10" t="n">
        <x:f>INDEX(v01_HousingCap,G1314)*EXP(v01_CapsByProject*SUMPRODUCT((Cap_Point&lt;=I1314)*(Cap_Kind="Housing")*Cap_Ln))</x:f>
        <x:v>10000</x:v>
      </x:c>
      <x:c r="M1314" s="10" t="n">
        <x:f>INDEX(v01_GroupCap,G1314)*v01_CohesionFactor*EXP(v01_CapsByProject*SUMPRODUCT((Cap_Point&lt;=I1314)*(Cap_Kind="Group")*Cap_Ln))</x:f>
        <x:v>1000000</x:v>
      </x:c>
      <x:c r="N1314" s="32" t="n">
        <x:f>MIN(J1314,L1314,M1314)</x:f>
        <x:v>6000</x:v>
      </x:c>
      <x:c r="O1314" s="10" t="n">
        <x:f>AE1313*N1314</x:f>
        <x:v>90000</x:v>
      </x:c>
      <x:c r="P1314" s="9" t="n">
        <x:f>MIN(1,(AB1313/(AE1313*IF(v01_GroupInCrowding=1,N1314,MIN(J1314,L1314))))^v01_CrowdingExp)</x:f>
        <x:v>0.0006830195658891257</x:v>
      </x:c>
      <x:c r="Q1314" s="9" t="n">
        <x:f>IF(D1314=1,INDEX(v01_WinterMult,G1314),1)</x:f>
        <x:v>1</x:v>
      </x:c>
      <x:c r="R1314" s="9" t="n">
        <x:f>H1314*Z1313*v01_WomenShare*v01_BaseFertility*INDEX(v01_FertMult,G1314)*Arch_Fertility*(1-P1314)</x:f>
        <x:v>257.15421532752674</x:v>
      </x:c>
      <x:c r="S1314" s="9" t="n">
        <x:f>H1314*Y1313*INDEX(v01_MortChild,G1314)/4*Q1314</x:f>
        <x:v>15.346189507695948</x:v>
      </x:c>
      <x:c r="T1314" s="9" t="n">
        <x:f>H1314*Z1313*INDEX(v01_MortAdult,G1314)*Arch_AdultMort/4*Q1314</x:f>
        <x:v>11.436887854956781</x:v>
      </x:c>
      <x:c r="U1314" s="9" t="n">
        <x:f>H1314*AA1313*INDEX(v01_MortElder,G1314)/4*Q1314</x:f>
        <x:v>44.10637949358932</x:v>
      </x:c>
      <x:c r="V1314" s="9" t="n">
        <x:f>H1314*MAX(0,AB1313-O1314)*v01_OvercapLoss</x:f>
        <x:v>0</x:v>
      </x:c>
      <x:c r="W1314" s="9" t="n">
        <x:f>H1314*Y1313/(v01_ChildYears*4)</x:f>
        <x:v>182.69273223447559</x:v>
      </x:c>
      <x:c r="X1314" s="9" t="n">
        <x:f>H1314*Z1313/(v01_AdultYears*4)</x:f>
        <x:v>92.23296657223212</x:v>
      </x:c>
      <x:c r="Y1314" s="32" t="n">
        <x:f>Y1313+R1314-S1314-W1314-Y1313*V1314/AB1313</x:f>
        <x:v>10289.908298715985</x:v>
      </x:c>
      <x:c r="Z1314" s="32" t="n">
        <x:f>Z1313+W1314-X1314-T1314-Z1313*V1314/AB1313</x:f>
        <x:v>11515.910732764069</x:v>
      </x:c>
      <x:c r="AA1314" s="32" t="n">
        <x:f>AA1313+X1314-U1314-AA1313*V1314/AB1313</x:f>
        <x:v>5088.855672060279</x:v>
      </x:c>
      <x:c r="AB1314" s="10" t="n">
        <x:f>Y1314+Z1314+AA1314</x:f>
        <x:v>26894.67470354033</x:v>
      </x:c>
      <x:c r="AC1314" s="8" t="n">
        <x:f>IF(AND(v01_WinterTrigger=1,D1314=1,AB1313/AE1313&gt;=K1314),1,0)</x:f>
        <x:v>0</x:v>
      </x:c>
      <x:c r="AD1314" s="8" t="n">
        <x:f>H1314*IF(AND(OR(AB1313/AE1313&gt;=v01_FissionTrigger*N1314,AC1314=1),AB1313/AE1313*v01_DaughterShare&gt;=v01_MinDaughter),MAX(1,ROUND(AE1313*v01_FissionRate,0)),0)</x:f>
        <x:v>0</x:v>
      </x:c>
      <x:c r="AE1314" s="8" t="n">
        <x:f>IF(H1314=1,MAX(1,MIN(INDEX(v01_Smax,G1314),AE1313+AD1314)),AE1313)</x:f>
        <x:v>15</x:v>
      </x:c>
      <x:c r="AF1314" s="8" t="n">
        <x:f>MAX(0,AE1314-AE1313)</x:f>
        <x:v>0</x:v>
      </x:c>
      <x:c r="AG1314" s="9" t="str">
        <x:f>IF(AF1314&gt;0,B1314,"")</x:f>
      </x:c>
      <x:c r="AH1314" s="9" t="n">
        <x:f>IF(F1314&gt;=1,1,(1+v01_LowTiesShare*(AE1314-1))/AE1314)</x:f>
        <x:v>1</x:v>
      </x:c>
      <x:c r="AI1314" s="32" t="n">
        <x:f>(Z1314+v01_ElderCommons*INDEX(LM_Elder,G1314)*AA1314)*AH1314</x:f>
        <x:v>30599.119502990114</x:v>
      </x:c>
      <x:c r="AJ1314" s="32" t="n">
        <x:f>H1314*v01_CommonsCoef*AI1314^v01_CommonsExp*INDEX(LM_Commons,G1314)</x:f>
        <x:v>11755.868853258875</x:v>
      </x:c>
      <x:c r="AK1314" s="32" t="n">
        <x:f>H1314*v01_RoleScale*Arch_Roles*(AE1314*(INDEX(v01_ElderRolePerSett,G1314)*v01_OutElder*INDEX(LM_Elder,G1314)+INDEX(v01_ShamanPerSett,G1314)*v01_OutShaman)+Z1314*(INDEX(v01_PriestShare,G1314)*v01_OutPriest+INDEX(v01_ScribeShare,G1314)*v01_OutScribe*INDEX(LM_Scribe,G1314)+INDEX(v01_ScholarShare,G1314)*v01_OutScholar*INDEX(LM_Scholar,G1314)+INDEX(v01_ResearcherShare,G1314)*v01_OutResearcher*INDEX(LM_Researcher,G1314)))</x:f>
        <x:v>3024.6224557157875</x:v>
      </x:c>
      <x:c r="AL1314" s="32" t="n">
        <x:f>H1314*v01_RoleScale*Arch_Roles*AE1314*INDEX(v01_MonasteryPerSett,G1314)*v01_OutMonastery*INDEX(LM_Monastery,G1314)</x:f>
        <x:v>6.6000000000000005</x:v>
      </x:c>
      <x:c r="AM1314" s="32" t="n">
        <x:f>(AJ1314+AK1314+AL1314)/4*INDEX(LM_All,G1314)*INDEX(v01_Boon,G1314)*Arch_Insight</x:f>
        <x:v>10653.973229297264</x:v>
      </x:c>
      <x:c r="AN1314" s="32" t="n">
        <x:f>H1314*(v01_KHPerAdult*Z1314+v01_KHOfCommons*AJ1314/4*INDEX(LM_All,G1314))*v01_KHUsable*Arch_KH</x:f>
        <x:v>403.05687564674236</x:v>
      </x:c>
      <x:c r="AO1314" s="32" t="n">
        <x:f>MIN(AP1313+AN1314,AM1314*v01_KHMaxRatio)</x:f>
        <x:v>403.05687564674236</x:v>
      </x:c>
      <x:c r="AP1314" s="32" t="n">
        <x:f>AP1313+AN1314-AO1314</x:f>
        <x:v>0</x:v>
      </x:c>
      <x:c r="AQ1314" s="32" t="n">
        <x:f>AM1314+AO1314</x:f>
        <x:v>11057.030104944006</x:v>
      </x:c>
      <x:c r="AR1314" s="10" t="n">
        <x:f>IF(H1314=1,INDEX(v01_Req,G1314),0)</x:f>
        <x:v>743165.805333726</x:v>
      </x:c>
      <x:c r="AS1314" s="32" t="n">
        <x:f>IF(H1314=1,IF(E1314=1,AS1313-AR1313,AS1313)+AQ1314,0)</x:f>
        <x:v>386635.752388761</x:v>
      </x:c>
      <x:c r="AT1314" s="11" t="n">
        <x:f>IF(AR1314&gt;0,MIN(1,AS1314/AR1314),1)</x:f>
        <x:v>0.5202550354360537</x:v>
      </x:c>
      <x:c r="AU1314" s="10" t="n">
        <x:f>AB1314/INDEX(v01_RepScale,G1314)</x:f>
        <x:v>107.57869881416133</x:v>
      </x:c>
      <x:c r="AV1314" s="32" t="n">
        <x:f>AM1314*60/v01_SeasonSeconds</x:f>
        <x:v>42615.892917189056</x:v>
      </x:c>
    </x:row>
    <x:row r="1315">
      <x:c r="A1315" s="8" t="n">
        <x:f>A1314+1</x:f>
        <x:v>1312</x:v>
      </x:c>
      <x:c r="B1315" s="9" t="n">
        <x:f>A1315*v01_SeasonSeconds/60</x:f>
        <x:v>328</x:v>
      </x:c>
      <x:c r="C1315" s="9" t="n">
        <x:f>A1315/4</x:f>
        <x:v>328</x:v>
      </x:c>
      <x:c r="D1315" s="8" t="n">
        <x:f>IF(MOD(A1315,4)=0,1,0)</x:f>
        <x:v>1</x:v>
      </x:c>
      <x:c r="E1315" s="8" t="n">
        <x:f>IF(AND(F1314&lt;=9,AS1314&gt;=AR1314),1,0)</x:f>
        <x:v>0</x:v>
      </x:c>
      <x:c r="F1315" s="8" t="n">
        <x:f>MIN(10,F1314+E1315)</x:f>
        <x:v>8</x:v>
      </x:c>
      <x:c r="G1315" s="8" t="n">
        <x:f>MIN(F1315,9)+1</x:f>
        <x:v>9</x:v>
      </x:c>
      <x:c r="H1315" s="8" t="n">
        <x:f>IF(F1315&lt;=9,1,0)</x:f>
        <x:v>1</x:v>
      </x:c>
      <x:c r="I1315" s="9" t="n">
        <x:f>MIN(10,F1314+IF(AR1314&gt;0,MIN(1,AS1314/AR1314),1))</x:f>
        <x:v>8.520255035436053</x:v>
      </x:c>
      <x:c r="J1315" s="32" t="n">
        <x:f>INDEX(v01_FoodCap,G1315)*Arch_FoodCap*EXP(v01_CapsByProject*SUMPRODUCT((Cap_Point&lt;=I1315)*(Cap_Kind="Food")*Cap_Ln))</x:f>
        <x:v>6000</x:v>
      </x:c>
      <x:c r="K1315" s="32" t="n">
        <x:f>J1315*MIN(1,v01_LeanBase*EXP(v01_CapsByProject*SUMPRODUCT((Cap_Point&lt;=I1315)*(Cap_Kind="Lean")*Cap_Ln)))</x:f>
        <x:v>6000</x:v>
      </x:c>
      <x:c r="L1315" s="10" t="n">
        <x:f>INDEX(v01_HousingCap,G1315)*EXP(v01_CapsByProject*SUMPRODUCT((Cap_Point&lt;=I1315)*(Cap_Kind="Housing")*Cap_Ln))</x:f>
        <x:v>10000</x:v>
      </x:c>
      <x:c r="M1315" s="10" t="n">
        <x:f>INDEX(v01_GroupCap,G1315)*v01_CohesionFactor*EXP(v01_CapsByProject*SUMPRODUCT((Cap_Point&lt;=I1315)*(Cap_Kind="Group")*Cap_Ln))</x:f>
        <x:v>1000000</x:v>
      </x:c>
      <x:c r="N1315" s="32" t="n">
        <x:f>MIN(J1315,L1315,M1315)</x:f>
        <x:v>6000</x:v>
      </x:c>
      <x:c r="O1315" s="10" t="n">
        <x:f>AE1314*N1315</x:f>
        <x:v>90000</x:v>
      </x:c>
      <x:c r="P1315" s="9" t="n">
        <x:f>MIN(1,(AB1314/(AE1314*IF(v01_GroupInCrowding=1,N1315,MIN(J1315,L1315))))^v01_CrowdingExp)</x:f>
        <x:v>0.0007121028402783999</x:v>
      </x:c>
      <x:c r="Q1315" s="9" t="n">
        <x:f>IF(D1315=1,INDEX(v01_WinterMult,G1315),1)</x:f>
        <x:v>1</x:v>
      </x:c>
      <x:c r="R1315" s="9" t="n">
        <x:f>H1315*Z1314*v01_WomenShare*v01_BaseFertility*INDEX(v01_FertMult,G1315)*Arch_Fertility*(1-P1315)</x:f>
        <x:v>258.9234799505146</x:v>
      </x:c>
      <x:c r="S1315" s="9" t="n">
        <x:f>H1315*Y1314*INDEX(v01_MortChild,G1315)/4*Q1315</x:f>
        <x:v>15.434862448073979</x:v>
      </x:c>
      <x:c r="T1315" s="9" t="n">
        <x:f>H1315*Z1314*INDEX(v01_MortAdult,G1315)*Arch_AdultMort/4*Q1315</x:f>
        <x:v>11.515910732764068</x:v>
      </x:c>
      <x:c r="U1315" s="9" t="n">
        <x:f>H1315*AA1314*INDEX(v01_MortElder,G1315)/4*Q1315</x:f>
        <x:v>44.52748713052745</x:v>
      </x:c>
      <x:c r="V1315" s="9" t="n">
        <x:f>H1315*MAX(0,AB1314-O1315)*v01_OvercapLoss</x:f>
        <x:v>0</x:v>
      </x:c>
      <x:c r="W1315" s="9" t="n">
        <x:f>H1315*Y1314/(v01_ChildYears*4)</x:f>
        <x:v>183.74836247707117</x:v>
      </x:c>
      <x:c r="X1315" s="9" t="n">
        <x:f>H1315*Z1314/(v01_AdultYears*4)</x:f>
        <x:v>92.87024784487151</x:v>
      </x:c>
      <x:c r="Y1315" s="32" t="n">
        <x:f>Y1314+R1315-S1315-W1315-Y1314*V1315/AB1314</x:f>
        <x:v>10349.648553741354</x:v>
      </x:c>
      <x:c r="Z1315" s="32" t="n">
        <x:f>Z1314+W1315-X1315-T1315-Z1314*V1315/AB1314</x:f>
        <x:v>11595.272936663503</x:v>
      </x:c>
      <x:c r="AA1315" s="32" t="n">
        <x:f>AA1314+X1315-U1315-AA1314*V1315/AB1314</x:f>
        <x:v>5137.198432774623</x:v>
      </x:c>
      <x:c r="AB1315" s="10" t="n">
        <x:f>Y1315+Z1315+AA1315</x:f>
        <x:v>27082.11992317948</x:v>
      </x:c>
      <x:c r="AC1315" s="8" t="n">
        <x:f>IF(AND(v01_WinterTrigger=1,D1315=1,AB1314/AE1314&gt;=K1315),1,0)</x:f>
        <x:v>0</x:v>
      </x:c>
      <x:c r="AD1315" s="8" t="n">
        <x:f>H1315*IF(AND(OR(AB1314/AE1314&gt;=v01_FissionTrigger*N1315,AC1315=1),AB1314/AE1314*v01_DaughterShare&gt;=v01_MinDaughter),MAX(1,ROUND(AE1314*v01_FissionRate,0)),0)</x:f>
        <x:v>0</x:v>
      </x:c>
      <x:c r="AE1315" s="8" t="n">
        <x:f>IF(H1315=1,MAX(1,MIN(INDEX(v01_Smax,G1315),AE1314+AD1315)),AE1314)</x:f>
        <x:v>15</x:v>
      </x:c>
      <x:c r="AF1315" s="8" t="n">
        <x:f>MAX(0,AE1315-AE1314)</x:f>
        <x:v>0</x:v>
      </x:c>
      <x:c r="AG1315" s="9" t="str">
        <x:f>IF(AF1315&gt;0,B1315,"")</x:f>
      </x:c>
      <x:c r="AH1315" s="9" t="n">
        <x:f>IF(F1315&gt;=1,1,(1+v01_LowTiesShare*(AE1315-1))/AE1315)</x:f>
        <x:v>1</x:v>
      </x:c>
      <x:c r="AI1315" s="32" t="n">
        <x:f>(Z1315+v01_ElderCommons*INDEX(LM_Elder,G1315)*AA1315)*AH1315</x:f>
        <x:v>30859.76705956834</x:v>
      </x:c>
      <x:c r="AJ1315" s="32" t="n">
        <x:f>H1315*v01_CommonsCoef*AI1315^v01_CommonsExp*INDEX(LM_Commons,G1315)</x:f>
        <x:v>11840.932059182784</x:v>
      </x:c>
      <x:c r="AK1315" s="32" t="n">
        <x:f>H1315*v01_RoleScale*Arch_Roles*(AE1315*(INDEX(v01_ElderRolePerSett,G1315)*v01_OutElder*INDEX(LM_Elder,G1315)+INDEX(v01_ShamanPerSett,G1315)*v01_OutShaman)+Z1315*(INDEX(v01_PriestShare,G1315)*v01_OutPriest+INDEX(v01_ScribeShare,G1315)*v01_OutScribe*INDEX(LM_Scribe,G1315)+INDEX(v01_ScholarShare,G1315)*v01_OutScholar*INDEX(LM_Scholar,G1315)+INDEX(v01_ResearcherShare,G1315)*v01_OutResearcher*INDEX(LM_Researcher,G1315)))</x:f>
        <x:v>3045.117837970306</x:v>
      </x:c>
      <x:c r="AL1315" s="32" t="n">
        <x:f>H1315*v01_RoleScale*Arch_Roles*AE1315*INDEX(v01_MonasteryPerSett,G1315)*v01_OutMonastery*INDEX(LM_Monastery,G1315)</x:f>
        <x:v>6.6000000000000005</x:v>
      </x:c>
      <x:c r="AM1315" s="32" t="n">
        <x:f>(AJ1315+AK1315+AL1315)/4*INDEX(LM_All,G1315)*INDEX(v01_Boon,G1315)*Arch_Insight</x:f>
        <x:v>10730.027292200955</x:v>
      </x:c>
      <x:c r="AN1315" s="32" t="n">
        <x:f>H1315*(v01_KHPerAdult*Z1315+v01_KHOfCommons*AJ1315/4*INDEX(LM_All,G1315))*v01_KHUsable*Arch_KH</x:f>
        <x:v>405.8345527832226</x:v>
      </x:c>
      <x:c r="AO1315" s="32" t="n">
        <x:f>MIN(AP1314+AN1315,AM1315*v01_KHMaxRatio)</x:f>
        <x:v>405.8345527832226</x:v>
      </x:c>
      <x:c r="AP1315" s="32" t="n">
        <x:f>AP1314+AN1315-AO1315</x:f>
        <x:v>0</x:v>
      </x:c>
      <x:c r="AQ1315" s="32" t="n">
        <x:f>AM1315+AO1315</x:f>
        <x:v>11135.861844984178</x:v>
      </x:c>
      <x:c r="AR1315" s="10" t="n">
        <x:f>IF(H1315=1,INDEX(v01_Req,G1315),0)</x:f>
        <x:v>743165.805333726</x:v>
      </x:c>
      <x:c r="AS1315" s="32" t="n">
        <x:f>IF(H1315=1,IF(E1315=1,AS1314-AR1314,AS1314)+AQ1315,0)</x:f>
        <x:v>397771.61423374515</x:v>
      </x:c>
      <x:c r="AT1315" s="11" t="n">
        <x:f>IF(AR1315&gt;0,MIN(1,AS1315/AR1315),1)</x:f>
        <x:v>0.5352393925809353</x:v>
      </x:c>
      <x:c r="AU1315" s="10" t="n">
        <x:f>AB1315/INDEX(v01_RepScale,G1315)</x:f>
        <x:v>108.32847969271792</x:v>
      </x:c>
      <x:c r="AV1315" s="32" t="n">
        <x:f>AM1315*60/v01_SeasonSeconds</x:f>
        <x:v>42920.10916880382</x:v>
      </x:c>
    </x:row>
    <x:row r="1316">
      <x:c r="A1316" s="8" t="n">
        <x:f>A1315+1</x:f>
        <x:v>1313</x:v>
      </x:c>
      <x:c r="B1316" s="9" t="n">
        <x:f>A1316*v01_SeasonSeconds/60</x:f>
        <x:v>328.25</x:v>
      </x:c>
      <x:c r="C1316" s="9" t="n">
        <x:f>A1316/4</x:f>
        <x:v>328.25</x:v>
      </x:c>
      <x:c r="D1316" s="8" t="n">
        <x:f>IF(MOD(A1316,4)=0,1,0)</x:f>
        <x:v>0</x:v>
      </x:c>
      <x:c r="E1316" s="8" t="n">
        <x:f>IF(AND(F1315&lt;=9,AS1315&gt;=AR1315),1,0)</x:f>
        <x:v>0</x:v>
      </x:c>
      <x:c r="F1316" s="8" t="n">
        <x:f>MIN(10,F1315+E1316)</x:f>
        <x:v>8</x:v>
      </x:c>
      <x:c r="G1316" s="8" t="n">
        <x:f>MIN(F1316,9)+1</x:f>
        <x:v>9</x:v>
      </x:c>
      <x:c r="H1316" s="8" t="n">
        <x:f>IF(F1316&lt;=9,1,0)</x:f>
        <x:v>1</x:v>
      </x:c>
      <x:c r="I1316" s="9" t="n">
        <x:f>MIN(10,F1315+IF(AR1315&gt;0,MIN(1,AS1315/AR1315),1))</x:f>
        <x:v>8.535239392580936</x:v>
      </x:c>
      <x:c r="J1316" s="32" t="n">
        <x:f>INDEX(v01_FoodCap,G1316)*Arch_FoodCap*EXP(v01_CapsByProject*SUMPRODUCT((Cap_Point&lt;=I1316)*(Cap_Kind="Food")*Cap_Ln))</x:f>
        <x:v>6000</x:v>
      </x:c>
      <x:c r="K1316" s="32" t="n">
        <x:f>J1316*MIN(1,v01_LeanBase*EXP(v01_CapsByProject*SUMPRODUCT((Cap_Point&lt;=I1316)*(Cap_Kind="Lean")*Cap_Ln)))</x:f>
        <x:v>6000</x:v>
      </x:c>
      <x:c r="L1316" s="10" t="n">
        <x:f>INDEX(v01_HousingCap,G1316)*EXP(v01_CapsByProject*SUMPRODUCT((Cap_Point&lt;=I1316)*(Cap_Kind="Housing")*Cap_Ln))</x:f>
        <x:v>10000</x:v>
      </x:c>
      <x:c r="M1316" s="10" t="n">
        <x:f>INDEX(v01_GroupCap,G1316)*v01_CohesionFactor*EXP(v01_CapsByProject*SUMPRODUCT((Cap_Point&lt;=I1316)*(Cap_Kind="Group")*Cap_Ln))</x:f>
        <x:v>1000000</x:v>
      </x:c>
      <x:c r="N1316" s="32" t="n">
        <x:f>MIN(J1316,L1316,M1316)</x:f>
        <x:v>6000</x:v>
      </x:c>
      <x:c r="O1316" s="10" t="n">
        <x:f>AE1315*N1316</x:f>
        <x:v>90000</x:v>
      </x:c>
      <x:c r="P1316" s="9" t="n">
        <x:f>MIN(1,(AB1315/(AE1315*IF(v01_GroupInCrowding=1,N1316,MIN(J1316,L1316))))^v01_CrowdingExp)</x:f>
        <x:v>0.0007424049939339876</x:v>
      </x:c>
      <x:c r="Q1316" s="9" t="n">
        <x:f>IF(D1316=1,INDEX(v01_WinterMult,G1316),1)</x:f>
        <x:v>1</x:v>
      </x:c>
      <x:c r="R1316" s="9" t="n">
        <x:f>H1316*Z1315*v01_WomenShare*v01_BaseFertility*INDEX(v01_FertMult,G1316)*Arch_Fertility*(1-P1316)</x:f>
        <x:v>260.6999523329092</x:v>
      </x:c>
      <x:c r="S1316" s="9" t="n">
        <x:f>H1316*Y1315*INDEX(v01_MortChild,G1316)/4*Q1316</x:f>
        <x:v>15.52447283061203</x:v>
      </x:c>
      <x:c r="T1316" s="9" t="n">
        <x:f>H1316*Z1315*INDEX(v01_MortAdult,G1316)*Arch_AdultMort/4*Q1316</x:f>
        <x:v>11.595272936663504</x:v>
      </x:c>
      <x:c r="U1316" s="9" t="n">
        <x:f>H1316*AA1315*INDEX(v01_MortElder,G1316)/4*Q1316</x:f>
        <x:v>44.95048628677796</x:v>
      </x:c>
      <x:c r="V1316" s="9" t="n">
        <x:f>H1316*MAX(0,AB1315-O1316)*v01_OvercapLoss</x:f>
        <x:v>0</x:v>
      </x:c>
      <x:c r="W1316" s="9" t="n">
        <x:f>H1316*Y1315/(v01_ChildYears*4)</x:f>
        <x:v>184.8151527453813</x:v>
      </x:c>
      <x:c r="X1316" s="9" t="n">
        <x:f>H1316*Z1315/(v01_AdultYears*4)</x:f>
        <x:v>93.51026561825405</x:v>
      </x:c>
      <x:c r="Y1316" s="32" t="n">
        <x:f>Y1315+R1316-S1316-W1316-Y1315*V1316/AB1315</x:f>
        <x:v>10410.00888049827</x:v>
      </x:c>
      <x:c r="Z1316" s="32" t="n">
        <x:f>Z1315+W1316-X1316-T1316-Z1315*V1316/AB1315</x:f>
        <x:v>11674.982550853967</x:v>
      </x:c>
      <x:c r="AA1316" s="32" t="n">
        <x:f>AA1315+X1316-U1316-AA1315*V1316/AB1315</x:f>
        <x:v>5185.7582121061</x:v>
      </x:c>
      <x:c r="AB1316" s="10" t="n">
        <x:f>Y1316+Z1316+AA1316</x:f>
        <x:v>27270.749643458337</x:v>
      </x:c>
      <x:c r="AC1316" s="8" t="n">
        <x:f>IF(AND(v01_WinterTrigger=1,D1316=1,AB1315/AE1315&gt;=K1316),1,0)</x:f>
        <x:v>0</x:v>
      </x:c>
      <x:c r="AD1316" s="8" t="n">
        <x:f>H1316*IF(AND(OR(AB1315/AE1315&gt;=v01_FissionTrigger*N1316,AC1316=1),AB1315/AE1315*v01_DaughterShare&gt;=v01_MinDaughter),MAX(1,ROUND(AE1315*v01_FissionRate,0)),0)</x:f>
        <x:v>0</x:v>
      </x:c>
      <x:c r="AE1316" s="8" t="n">
        <x:f>IF(H1316=1,MAX(1,MIN(INDEX(v01_Smax,G1316),AE1315+AD1316)),AE1315)</x:f>
        <x:v>15</x:v>
      </x:c>
      <x:c r="AF1316" s="8" t="n">
        <x:f>MAX(0,AE1316-AE1315)</x:f>
        <x:v>0</x:v>
      </x:c>
      <x:c r="AG1316" s="9" t="str">
        <x:f>IF(AF1316&gt;0,B1316,"")</x:f>
      </x:c>
      <x:c r="AH1316" s="9" t="n">
        <x:f>IF(F1316&gt;=1,1,(1+v01_LowTiesShare*(AE1316-1))/AE1316)</x:f>
        <x:v>1</x:v>
      </x:c>
      <x:c r="AI1316" s="32" t="n">
        <x:f>(Z1316+v01_ElderCommons*INDEX(LM_Elder,G1316)*AA1316)*AH1316</x:f>
        <x:v>31121.575846251842</x:v>
      </x:c>
      <x:c r="AJ1316" s="32" t="n">
        <x:f>H1316*v01_CommonsCoef*AI1316^v01_CommonsExp*INDEX(LM_Commons,G1316)</x:f>
        <x:v>11926.265815015508</x:v>
      </x:c>
      <x:c r="AK1316" s="32" t="n">
        <x:f>H1316*v01_RoleScale*Arch_Roles*(AE1316*(INDEX(v01_ElderRolePerSett,G1316)*v01_OutElder*INDEX(LM_Elder,G1316)+INDEX(v01_ShamanPerSett,G1316)*v01_OutShaman)+Z1316*(INDEX(v01_PriestShare,G1316)*v01_OutPriest+INDEX(v01_ScribeShare,G1316)*v01_OutScribe*INDEX(LM_Scribe,G1316)+INDEX(v01_ScholarShare,G1316)*v01_OutScholar*INDEX(LM_Scholar,G1316)+INDEX(v01_ResearcherShare,G1316)*v01_OutResearcher*INDEX(LM_Researcher,G1316)))</x:f>
        <x:v>3065.7029393400203</x:v>
      </x:c>
      <x:c r="AL1316" s="32" t="n">
        <x:f>H1316*v01_RoleScale*Arch_Roles*AE1316*INDEX(v01_MonasteryPerSett,G1316)*v01_OutMonastery*INDEX(LM_Monastery,G1316)</x:f>
        <x:v>6.6000000000000005</x:v>
      </x:c>
      <x:c r="AM1316" s="32" t="n">
        <x:f>(AJ1316+AK1316+AL1316)/4*INDEX(LM_All,G1316)*INDEX(v01_Boon,G1316)*Arch_Insight</x:f>
        <x:v>10806.34092586518</x:v>
      </x:c>
      <x:c r="AN1316" s="32" t="n">
        <x:f>H1316*(v01_KHPerAdult*Z1316+v01_KHOfCommons*AJ1316/4*INDEX(LM_All,G1316))*v01_KHUsable*Arch_KH</x:f>
        <x:v>408.6243892798888</x:v>
      </x:c>
      <x:c r="AO1316" s="32" t="n">
        <x:f>MIN(AP1315+AN1316,AM1316*v01_KHMaxRatio)</x:f>
        <x:v>408.6243892798888</x:v>
      </x:c>
      <x:c r="AP1316" s="32" t="n">
        <x:f>AP1315+AN1316-AO1316</x:f>
        <x:v>0</x:v>
      </x:c>
      <x:c r="AQ1316" s="32" t="n">
        <x:f>AM1316+AO1316</x:f>
        <x:v>11214.96531514507</x:v>
      </x:c>
      <x:c r="AR1316" s="10" t="n">
        <x:f>IF(H1316=1,INDEX(v01_Req,G1316),0)</x:f>
        <x:v>743165.805333726</x:v>
      </x:c>
      <x:c r="AS1316" s="32" t="n">
        <x:f>IF(H1316=1,IF(E1316=1,AS1315-AR1315,AS1315)+AQ1316,0)</x:f>
        <x:v>408986.57954889024</x:v>
      </x:c>
      <x:c r="AT1316" s="11" t="n">
        <x:f>IF(AR1316&gt;0,MIN(1,AS1316/AR1316),1)</x:f>
        <x:v>0.5503301909393298</x:v>
      </x:c>
      <x:c r="AU1316" s="10" t="n">
        <x:f>AB1316/INDEX(v01_RepScale,G1316)</x:f>
        <x:v>109.08299857383335</x:v>
      </x:c>
      <x:c r="AV1316" s="32" t="n">
        <x:f>AM1316*60/v01_SeasonSeconds</x:f>
        <x:v>43225.36370346073</x:v>
      </x:c>
    </x:row>
    <x:row r="1317">
      <x:c r="A1317" s="8" t="n">
        <x:f>A1316+1</x:f>
        <x:v>1314</x:v>
      </x:c>
      <x:c r="B1317" s="9" t="n">
        <x:f>A1317*v01_SeasonSeconds/60</x:f>
        <x:v>328.5</x:v>
      </x:c>
      <x:c r="C1317" s="9" t="n">
        <x:f>A1317/4</x:f>
        <x:v>328.5</x:v>
      </x:c>
      <x:c r="D1317" s="8" t="n">
        <x:f>IF(MOD(A1317,4)=0,1,0)</x:f>
        <x:v>0</x:v>
      </x:c>
      <x:c r="E1317" s="8" t="n">
        <x:f>IF(AND(F1316&lt;=9,AS1316&gt;=AR1316),1,0)</x:f>
        <x:v>0</x:v>
      </x:c>
      <x:c r="F1317" s="8" t="n">
        <x:f>MIN(10,F1316+E1317)</x:f>
        <x:v>8</x:v>
      </x:c>
      <x:c r="G1317" s="8" t="n">
        <x:f>MIN(F1317,9)+1</x:f>
        <x:v>9</x:v>
      </x:c>
      <x:c r="H1317" s="8" t="n">
        <x:f>IF(F1317&lt;=9,1,0)</x:f>
        <x:v>1</x:v>
      </x:c>
      <x:c r="I1317" s="9" t="n">
        <x:f>MIN(10,F1316+IF(AR1316&gt;0,MIN(1,AS1316/AR1316),1))</x:f>
        <x:v>8.550330190939329</x:v>
      </x:c>
      <x:c r="J1317" s="32" t="n">
        <x:f>INDEX(v01_FoodCap,G1317)*Arch_FoodCap*EXP(v01_CapsByProject*SUMPRODUCT((Cap_Point&lt;=I1317)*(Cap_Kind="Food")*Cap_Ln))</x:f>
        <x:v>6000</x:v>
      </x:c>
      <x:c r="K1317" s="32" t="n">
        <x:f>J1317*MIN(1,v01_LeanBase*EXP(v01_CapsByProject*SUMPRODUCT((Cap_Point&lt;=I1317)*(Cap_Kind="Lean")*Cap_Ln)))</x:f>
        <x:v>6000</x:v>
      </x:c>
      <x:c r="L1317" s="10" t="n">
        <x:f>INDEX(v01_HousingCap,G1317)*EXP(v01_CapsByProject*SUMPRODUCT((Cap_Point&lt;=I1317)*(Cap_Kind="Housing")*Cap_Ln))</x:f>
        <x:v>10000</x:v>
      </x:c>
      <x:c r="M1317" s="10" t="n">
        <x:f>INDEX(v01_GroupCap,G1317)*v01_CohesionFactor*EXP(v01_CapsByProject*SUMPRODUCT((Cap_Point&lt;=I1317)*(Cap_Kind="Group")*Cap_Ln))</x:f>
        <x:v>1000000</x:v>
      </x:c>
      <x:c r="N1317" s="32" t="n">
        <x:f>MIN(J1317,L1317,M1317)</x:f>
        <x:v>6000</x:v>
      </x:c>
      <x:c r="O1317" s="10" t="n">
        <x:f>AE1316*N1317</x:f>
        <x:v>90000</x:v>
      </x:c>
      <x:c r="P1317" s="9" t="n">
        <x:f>MIN(1,(AB1316/(AE1316*IF(v01_GroupInCrowding=1,N1317,MIN(J1317,L1317))))^v01_CrowdingExp)</x:f>
        <x:v>0.0007739758355752111</x:v>
      </x:c>
      <x:c r="Q1317" s="9" t="n">
        <x:f>IF(D1317=1,INDEX(v01_WinterMult,G1317),1)</x:f>
        <x:v>1</x:v>
      </x:c>
      <x:c r="R1317" s="9" t="n">
        <x:f>H1317*Z1316*v01_WomenShare*v01_BaseFertility*INDEX(v01_FertMult,G1317)*Arch_Fertility*(1-P1317)</x:f>
        <x:v>262.48379392077396</x:v>
      </x:c>
      <x:c r="S1317" s="9" t="n">
        <x:f>H1317*Y1316*INDEX(v01_MortChild,G1317)/4*Q1317</x:f>
        <x:v>15.615013320747405</x:v>
      </x:c>
      <x:c r="T1317" s="9" t="n">
        <x:f>H1317*Z1316*INDEX(v01_MortAdult,G1317)*Arch_AdultMort/4*Q1317</x:f>
        <x:v>11.674982550853967</x:v>
      </x:c>
      <x:c r="U1317" s="9" t="n">
        <x:f>H1317*AA1316*INDEX(v01_MortElder,G1317)/4*Q1317</x:f>
        <x:v>45.375384355928375</x:v>
      </x:c>
      <x:c r="V1317" s="9" t="n">
        <x:f>H1317*MAX(0,AB1316-O1317)*v01_OvercapLoss</x:f>
        <x:v>0</x:v>
      </x:c>
      <x:c r="W1317" s="9" t="n">
        <x:f>H1317*Y1316/(v01_ChildYears*4)</x:f>
        <x:v>185.8930157231834</x:v>
      </x:c>
      <x:c r="X1317" s="9" t="n">
        <x:f>H1317*Z1316/(v01_AdultYears*4)</x:f>
        <x:v>94.15308508753199</x:v>
      </x:c>
      <x:c r="Y1317" s="32" t="n">
        <x:f>Y1316+R1317-S1317-W1317-Y1316*V1317/AB1316</x:f>
        <x:v>10470.984645375114</x:v>
      </x:c>
      <x:c r="Z1317" s="32" t="n">
        <x:f>Z1316+W1317-X1317-T1317-Z1316*V1317/AB1316</x:f>
        <x:v>11755.047498938764</x:v>
      </x:c>
      <x:c r="AA1317" s="32" t="n">
        <x:f>AA1316+X1317-U1317-AA1316*V1317/AB1316</x:f>
        <x:v>5234.535912837704</x:v>
      </x:c>
      <x:c r="AB1317" s="10" t="n">
        <x:f>Y1317+Z1317+AA1317</x:f>
        <x:v>27460.568057151584</x:v>
      </x:c>
      <x:c r="AC1317" s="8" t="n">
        <x:f>IF(AND(v01_WinterTrigger=1,D1317=1,AB1316/AE1316&gt;=K1317),1,0)</x:f>
        <x:v>0</x:v>
      </x:c>
      <x:c r="AD1317" s="8" t="n">
        <x:f>H1317*IF(AND(OR(AB1316/AE1316&gt;=v01_FissionTrigger*N1317,AC1317=1),AB1316/AE1316*v01_DaughterShare&gt;=v01_MinDaughter),MAX(1,ROUND(AE1316*v01_FissionRate,0)),0)</x:f>
        <x:v>0</x:v>
      </x:c>
      <x:c r="AE1317" s="8" t="n">
        <x:f>IF(H1317=1,MAX(1,MIN(INDEX(v01_Smax,G1317),AE1316+AD1317)),AE1316)</x:f>
        <x:v>15</x:v>
      </x:c>
      <x:c r="AF1317" s="8" t="n">
        <x:f>MAX(0,AE1317-AE1316)</x:f>
        <x:v>0</x:v>
      </x:c>
      <x:c r="AG1317" s="9" t="str">
        <x:f>IF(AF1317&gt;0,B1317,"")</x:f>
      </x:c>
      <x:c r="AH1317" s="9" t="n">
        <x:f>IF(F1317&gt;=1,1,(1+v01_LowTiesShare*(AE1317-1))/AE1317)</x:f>
        <x:v>1</x:v>
      </x:c>
      <x:c r="AI1317" s="32" t="n">
        <x:f>(Z1317+v01_ElderCommons*INDEX(LM_Elder,G1317)*AA1317)*AH1317</x:f>
        <x:v>31384.557172080153</x:v>
      </x:c>
      <x:c r="AJ1317" s="32" t="n">
        <x:f>H1317*v01_CommonsCoef*AI1317^v01_CommonsExp*INDEX(LM_Commons,G1317)</x:f>
        <x:v>12011.873411520137</x:v>
      </x:c>
      <x:c r="AK1317" s="32" t="n">
        <x:f>H1317*v01_RoleScale*Arch_Roles*(AE1317*(INDEX(v01_ElderRolePerSett,G1317)*v01_OutElder*INDEX(LM_Elder,G1317)+INDEX(v01_ShamanPerSett,G1317)*v01_OutShaman)+Z1317*(INDEX(v01_PriestShare,G1317)*v01_OutPriest+INDEX(v01_ScribeShare,G1317)*v01_OutScribe*INDEX(LM_Scribe,G1317)+INDEX(v01_ScholarShare,G1317)*v01_OutScholar*INDEX(LM_Scholar,G1317)+INDEX(v01_ResearcherShare,G1317)*v01_OutResearcher*INDEX(LM_Researcher,G1317)))</x:f>
        <x:v>3086.379806104778</x:v>
      </x:c>
      <x:c r="AL1317" s="32" t="n">
        <x:f>H1317*v01_RoleScale*Arch_Roles*AE1317*INDEX(v01_MonasteryPerSett,G1317)*v01_OutMonastery*INDEX(LM_Monastery,G1317)</x:f>
        <x:v>6.6000000000000005</x:v>
      </x:c>
      <x:c r="AM1317" s="32" t="n">
        <x:f>(AJ1317+AK1317+AL1317)/4*INDEX(LM_All,G1317)*INDEX(v01_Boon,G1317)*Arch_Insight</x:f>
        <x:v>10882.917975583878</x:v>
      </x:c>
      <x:c r="AN1317" s="32" t="n">
        <x:f>H1317*(v01_KHPerAdult*Z1317+v01_KHOfCommons*AJ1317/4*INDEX(LM_All,G1317))*v01_KHUsable*Arch_KH</x:f>
        <x:v>411.4266624628567</x:v>
      </x:c>
      <x:c r="AO1317" s="32" t="n">
        <x:f>MIN(AP1316+AN1317,AM1317*v01_KHMaxRatio)</x:f>
        <x:v>411.4266624628567</x:v>
      </x:c>
      <x:c r="AP1317" s="32" t="n">
        <x:f>AP1316+AN1317-AO1317</x:f>
        <x:v>0</x:v>
      </x:c>
      <x:c r="AQ1317" s="32" t="n">
        <x:f>AM1317+AO1317</x:f>
        <x:v>11294.344638046734</x:v>
      </x:c>
      <x:c r="AR1317" s="10" t="n">
        <x:f>IF(H1317=1,INDEX(v01_Req,G1317),0)</x:f>
        <x:v>743165.805333726</x:v>
      </x:c>
      <x:c r="AS1317" s="32" t="n">
        <x:f>IF(H1317=1,IF(E1317=1,AS1316-AR1316,AS1316)+AQ1317,0)</x:f>
        <x:v>420280.924186937</x:v>
      </x:c>
      <x:c r="AT1317" s="11" t="n">
        <x:f>IF(AR1317&gt;0,MIN(1,AS1317/AR1317),1)</x:f>
        <x:v>0.5655278016972345</x:v>
      </x:c>
      <x:c r="AU1317" s="10" t="n">
        <x:f>AB1317/INDEX(v01_RepScale,G1317)</x:f>
        <x:v>109.84227222860633</x:v>
      </x:c>
      <x:c r="AV1317" s="32" t="n">
        <x:f>AM1317*60/v01_SeasonSeconds</x:f>
        <x:v>43531.67190233551</x:v>
      </x:c>
    </x:row>
    <x:row r="1318">
      <x:c r="A1318" s="8" t="n">
        <x:f>A1317+1</x:f>
        <x:v>1315</x:v>
      </x:c>
      <x:c r="B1318" s="9" t="n">
        <x:f>A1318*v01_SeasonSeconds/60</x:f>
        <x:v>328.75</x:v>
      </x:c>
      <x:c r="C1318" s="9" t="n">
        <x:f>A1318/4</x:f>
        <x:v>328.75</x:v>
      </x:c>
      <x:c r="D1318" s="8" t="n">
        <x:f>IF(MOD(A1318,4)=0,1,0)</x:f>
        <x:v>0</x:v>
      </x:c>
      <x:c r="E1318" s="8" t="n">
        <x:f>IF(AND(F1317&lt;=9,AS1317&gt;=AR1317),1,0)</x:f>
        <x:v>0</x:v>
      </x:c>
      <x:c r="F1318" s="8" t="n">
        <x:f>MIN(10,F1317+E1318)</x:f>
        <x:v>8</x:v>
      </x:c>
      <x:c r="G1318" s="8" t="n">
        <x:f>MIN(F1318,9)+1</x:f>
        <x:v>9</x:v>
      </x:c>
      <x:c r="H1318" s="8" t="n">
        <x:f>IF(F1318&lt;=9,1,0)</x:f>
        <x:v>1</x:v>
      </x:c>
      <x:c r="I1318" s="9" t="n">
        <x:f>MIN(10,F1317+IF(AR1317&gt;0,MIN(1,AS1317/AR1317),1))</x:f>
        <x:v>8.565527801697234</x:v>
      </x:c>
      <x:c r="J1318" s="32" t="n">
        <x:f>INDEX(v01_FoodCap,G1318)*Arch_FoodCap*EXP(v01_CapsByProject*SUMPRODUCT((Cap_Point&lt;=I1318)*(Cap_Kind="Food")*Cap_Ln))</x:f>
        <x:v>6000</x:v>
      </x:c>
      <x:c r="K1318" s="32" t="n">
        <x:f>J1318*MIN(1,v01_LeanBase*EXP(v01_CapsByProject*SUMPRODUCT((Cap_Point&lt;=I1318)*(Cap_Kind="Lean")*Cap_Ln)))</x:f>
        <x:v>6000</x:v>
      </x:c>
      <x:c r="L1318" s="10" t="n">
        <x:f>INDEX(v01_HousingCap,G1318)*EXP(v01_CapsByProject*SUMPRODUCT((Cap_Point&lt;=I1318)*(Cap_Kind="Housing")*Cap_Ln))</x:f>
        <x:v>10000</x:v>
      </x:c>
      <x:c r="M1318" s="10" t="n">
        <x:f>INDEX(v01_GroupCap,G1318)*v01_CohesionFactor*EXP(v01_CapsByProject*SUMPRODUCT((Cap_Point&lt;=I1318)*(Cap_Kind="Group")*Cap_Ln))</x:f>
        <x:v>1000000</x:v>
      </x:c>
      <x:c r="N1318" s="32" t="n">
        <x:f>MIN(J1318,L1318,M1318)</x:f>
        <x:v>6000</x:v>
      </x:c>
      <x:c r="O1318" s="10" t="n">
        <x:f>AE1317*N1318</x:f>
        <x:v>90000</x:v>
      </x:c>
      <x:c r="P1318" s="9" t="n">
        <x:f>MIN(1,(AB1317/(AE1317*IF(v01_GroupInCrowding=1,N1318,MIN(J1318,L1318))))^v01_CrowdingExp)</x:f>
        <x:v>0.000806867169653134</x:v>
      </x:c>
      <x:c r="Q1318" s="9" t="n">
        <x:f>IF(D1318=1,INDEX(v01_WinterMult,G1318),1)</x:f>
        <x:v>1</x:v>
      </x:c>
      <x:c r="R1318" s="9" t="n">
        <x:f>H1318*Z1317*v01_WomenShare*v01_BaseFertility*INDEX(v01_FertMult,G1318)*Arch_Fertility*(1-P1318)</x:f>
        <x:v>264.2751615832685</x:v>
      </x:c>
      <x:c r="S1318" s="9" t="n">
        <x:f>H1318*Y1317*INDEX(v01_MortChild,G1318)/4*Q1318</x:f>
        <x:v>15.706476968062672</x:v>
      </x:c>
      <x:c r="T1318" s="9" t="n">
        <x:f>H1318*Z1317*INDEX(v01_MortAdult,G1318)*Arch_AdultMort/4*Q1318</x:f>
        <x:v>11.755047498938763</x:v>
      </x:c>
      <x:c r="U1318" s="9" t="n">
        <x:f>H1318*AA1317*INDEX(v01_MortElder,G1318)/4*Q1318</x:f>
        <x:v>45.80218923732991</x:v>
      </x:c>
      <x:c r="V1318" s="9" t="n">
        <x:f>H1318*MAX(0,AB1317-O1318)*v01_OvercapLoss</x:f>
        <x:v>0</x:v>
      </x:c>
      <x:c r="W1318" s="9" t="n">
        <x:f>H1318*Y1317/(v01_ChildYears*4)</x:f>
        <x:v>186.98186866741275</x:v>
      </x:c>
      <x:c r="X1318" s="9" t="n">
        <x:f>H1318*Z1317/(v01_AdultYears*4)</x:f>
        <x:v>94.79877015273196</x:v>
      </x:c>
      <x:c r="Y1318" s="32" t="n">
        <x:f>Y1317+R1318-S1318-W1318-Y1317*V1318/AB1317</x:f>
        <x:v>10532.571461322908</x:v>
      </x:c>
      <x:c r="Z1318" s="32" t="n">
        <x:f>Z1317+W1318-X1318-T1318-Z1317*V1318/AB1317</x:f>
        <x:v>11835.475549954506</x:v>
      </x:c>
      <x:c r="AA1318" s="32" t="n">
        <x:f>AA1317+X1318-U1318-AA1317*V1318/AB1317</x:f>
        <x:v>5283.532493753106</x:v>
      </x:c>
      <x:c r="AB1318" s="10" t="n">
        <x:f>Y1318+Z1318+AA1318</x:f>
        <x:v>27651.579505030517</x:v>
      </x:c>
      <x:c r="AC1318" s="8" t="n">
        <x:f>IF(AND(v01_WinterTrigger=1,D1318=1,AB1317/AE1317&gt;=K1318),1,0)</x:f>
        <x:v>0</x:v>
      </x:c>
      <x:c r="AD1318" s="8" t="n">
        <x:f>H1318*IF(AND(OR(AB1317/AE1317&gt;=v01_FissionTrigger*N1318,AC1318=1),AB1317/AE1317*v01_DaughterShare&gt;=v01_MinDaughter),MAX(1,ROUND(AE1317*v01_FissionRate,0)),0)</x:f>
        <x:v>0</x:v>
      </x:c>
      <x:c r="AE1318" s="8" t="n">
        <x:f>IF(H1318=1,MAX(1,MIN(INDEX(v01_Smax,G1318),AE1317+AD1318)),AE1317)</x:f>
        <x:v>15</x:v>
      </x:c>
      <x:c r="AF1318" s="8" t="n">
        <x:f>MAX(0,AE1318-AE1317)</x:f>
        <x:v>0</x:v>
      </x:c>
      <x:c r="AG1318" s="9" t="str">
        <x:f>IF(AF1318&gt;0,B1318,"")</x:f>
      </x:c>
      <x:c r="AH1318" s="9" t="n">
        <x:f>IF(F1318&gt;=1,1,(1+v01_LowTiesShare*(AE1318-1))/AE1318)</x:f>
        <x:v>1</x:v>
      </x:c>
      <x:c r="AI1318" s="32" t="n">
        <x:f>(Z1318+v01_ElderCommons*INDEX(LM_Elder,G1318)*AA1318)*AH1318</x:f>
        <x:v>31648.722401528652</x:v>
      </x:c>
      <x:c r="AJ1318" s="32" t="n">
        <x:f>H1318*v01_CommonsCoef*AI1318^v01_CommonsExp*INDEX(LM_Commons,G1318)</x:f>
        <x:v>12097.75814146225</x:v>
      </x:c>
      <x:c r="AK1318" s="32" t="n">
        <x:f>H1318*v01_RoleScale*Arch_Roles*(AE1318*(INDEX(v01_ElderRolePerSett,G1318)*v01_OutElder*INDEX(LM_Elder,G1318)+INDEX(v01_ShamanPerSett,G1318)*v01_OutShaman)+Z1318*(INDEX(v01_PriestShare,G1318)*v01_OutPriest+INDEX(v01_ScribeShare,G1318)*v01_OutScribe*INDEX(LM_Scribe,G1318)+INDEX(v01_ScholarShare,G1318)*v01_OutScholar*INDEX(LM_Scholar,G1318)+INDEX(v01_ResearcherShare,G1318)*v01_OutResearcher*INDEX(LM_Researcher,G1318)))</x:f>
        <x:v>3107.150444627397</x:v>
      </x:c>
      <x:c r="AL1318" s="32" t="n">
        <x:f>H1318*v01_RoleScale*Arch_Roles*AE1318*INDEX(v01_MonasteryPerSett,G1318)*v01_OutMonastery*INDEX(LM_Monastery,G1318)</x:f>
        <x:v>6.6000000000000005</x:v>
      </x:c>
      <x:c r="AM1318" s="32" t="n">
        <x:f>(AJ1318+AK1318+AL1318)/4*INDEX(LM_All,G1318)*INDEX(v01_Boon,G1318)*Arch_Insight</x:f>
        <x:v>10959.762259333882</x:v>
      </x:c>
      <x:c r="AN1318" s="32" t="n">
        <x:f>H1318*(v01_KHPerAdult*Z1318+v01_KHOfCommons*AJ1318/4*INDEX(LM_All,G1318))*v01_KHUsable*Arch_KH</x:f>
        <x:v>414.2416442484077</x:v>
      </x:c>
      <x:c r="AO1318" s="32" t="n">
        <x:f>MIN(AP1317+AN1318,AM1318*v01_KHMaxRatio)</x:f>
        <x:v>414.2416442484077</x:v>
      </x:c>
      <x:c r="AP1318" s="32" t="n">
        <x:f>AP1317+AN1318-AO1318</x:f>
        <x:v>0</x:v>
      </x:c>
      <x:c r="AQ1318" s="32" t="n">
        <x:f>AM1318+AO1318</x:f>
        <x:v>11374.00390358229</x:v>
      </x:c>
      <x:c r="AR1318" s="10" t="n">
        <x:f>IF(H1318=1,INDEX(v01_Req,G1318),0)</x:f>
        <x:v>743165.805333726</x:v>
      </x:c>
      <x:c r="AS1318" s="32" t="n">
        <x:f>IF(H1318=1,IF(E1318=1,AS1317-AR1317,AS1317)+AQ1318,0)</x:f>
        <x:v>431654.9280905193</x:v>
      </x:c>
      <x:c r="AT1318" s="11" t="n">
        <x:f>IF(AR1318&gt;0,MIN(1,AS1318/AR1318),1)</x:f>
        <x:v>0.5808326015439856</x:v>
      </x:c>
      <x:c r="AU1318" s="10" t="n">
        <x:f>AB1318/INDEX(v01_RepScale,G1318)</x:f>
        <x:v>110.60631802012207</x:v>
      </x:c>
      <x:c r="AV1318" s="32" t="n">
        <x:f>AM1318*60/v01_SeasonSeconds</x:f>
        <x:v>43839.04903733553</x:v>
      </x:c>
    </x:row>
    <x:row r="1319">
      <x:c r="A1319" s="8" t="n">
        <x:f>A1318+1</x:f>
        <x:v>1316</x:v>
      </x:c>
      <x:c r="B1319" s="9" t="n">
        <x:f>A1319*v01_SeasonSeconds/60</x:f>
        <x:v>329</x:v>
      </x:c>
      <x:c r="C1319" s="9" t="n">
        <x:f>A1319/4</x:f>
        <x:v>329</x:v>
      </x:c>
      <x:c r="D1319" s="8" t="n">
        <x:f>IF(MOD(A1319,4)=0,1,0)</x:f>
        <x:v>1</x:v>
      </x:c>
      <x:c r="E1319" s="8" t="n">
        <x:f>IF(AND(F1318&lt;=9,AS1318&gt;=AR1318),1,0)</x:f>
        <x:v>0</x:v>
      </x:c>
      <x:c r="F1319" s="8" t="n">
        <x:f>MIN(10,F1318+E1319)</x:f>
        <x:v>8</x:v>
      </x:c>
      <x:c r="G1319" s="8" t="n">
        <x:f>MIN(F1319,9)+1</x:f>
        <x:v>9</x:v>
      </x:c>
      <x:c r="H1319" s="8" t="n">
        <x:f>IF(F1319&lt;=9,1,0)</x:f>
        <x:v>1</x:v>
      </x:c>
      <x:c r="I1319" s="9" t="n">
        <x:f>MIN(10,F1318+IF(AR1318&gt;0,MIN(1,AS1318/AR1318),1))</x:f>
        <x:v>8.580832601543985</x:v>
      </x:c>
      <x:c r="J1319" s="32" t="n">
        <x:f>INDEX(v01_FoodCap,G1319)*Arch_FoodCap*EXP(v01_CapsByProject*SUMPRODUCT((Cap_Point&lt;=I1319)*(Cap_Kind="Food")*Cap_Ln))</x:f>
        <x:v>6000</x:v>
      </x:c>
      <x:c r="K1319" s="32" t="n">
        <x:f>J1319*MIN(1,v01_LeanBase*EXP(v01_CapsByProject*SUMPRODUCT((Cap_Point&lt;=I1319)*(Cap_Kind="Lean")*Cap_Ln)))</x:f>
        <x:v>6000</x:v>
      </x:c>
      <x:c r="L1319" s="10" t="n">
        <x:f>INDEX(v01_HousingCap,G1319)*EXP(v01_CapsByProject*SUMPRODUCT((Cap_Point&lt;=I1319)*(Cap_Kind="Housing")*Cap_Ln))</x:f>
        <x:v>10000</x:v>
      </x:c>
      <x:c r="M1319" s="10" t="n">
        <x:f>INDEX(v01_GroupCap,G1319)*v01_CohesionFactor*EXP(v01_CapsByProject*SUMPRODUCT((Cap_Point&lt;=I1319)*(Cap_Kind="Group")*Cap_Ln))</x:f>
        <x:v>1000000</x:v>
      </x:c>
      <x:c r="N1319" s="32" t="n">
        <x:f>MIN(J1319,L1319,M1319)</x:f>
        <x:v>6000</x:v>
      </x:c>
      <x:c r="O1319" s="10" t="n">
        <x:f>AE1318*N1319</x:f>
        <x:v>90000</x:v>
      </x:c>
      <x:c r="P1319" s="9" t="n">
        <x:f>MIN(1,(AB1318/(AE1318*IF(v01_GroupInCrowding=1,N1319,MIN(J1319,L1319))))^v01_CrowdingExp)</x:f>
        <x:v>0.0008411328748427647</x:v>
      </x:c>
      <x:c r="Q1319" s="9" t="n">
        <x:f>IF(D1319=1,INDEX(v01_WinterMult,G1319),1)</x:f>
        <x:v>1</x:v>
      </x:c>
      <x:c r="R1319" s="9" t="n">
        <x:f>H1319*Z1318*v01_WomenShare*v01_BaseFertility*INDEX(v01_FertMult,G1319)*Arch_Fertility*(1-P1319)</x:f>
        <x:v>266.07420770355094</x:v>
      </x:c>
      <x:c r="S1319" s="9" t="n">
        <x:f>H1319*Y1318*INDEX(v01_MortChild,G1319)/4*Q1319</x:f>
        <x:v>15.798857191984363</x:v>
      </x:c>
      <x:c r="T1319" s="9" t="n">
        <x:f>H1319*Z1318*INDEX(v01_MortAdult,G1319)*Arch_AdultMort/4*Q1319</x:f>
        <x:v>11.835475549954506</x:v>
      </x:c>
      <x:c r="U1319" s="9" t="n">
        <x:f>H1319*AA1318*INDEX(v01_MortElder,G1319)/4*Q1319</x:f>
        <x:v>46.230909320339684</x:v>
      </x:c>
      <x:c r="V1319" s="9" t="n">
        <x:f>H1319*MAX(0,AB1318-O1319)*v01_OvercapLoss</x:f>
        <x:v>0</x:v>
      </x:c>
      <x:c r="W1319" s="9" t="n">
        <x:f>H1319*Y1318/(v01_ChildYears*4)</x:f>
        <x:v>188.08163323790907</x:v>
      </x:c>
      <x:c r="X1319" s="9" t="n">
        <x:f>H1319*Z1318/(v01_AdultYears*4)</x:f>
        <x:v>95.44738346737505</x:v>
      </x:c>
      <x:c r="Y1319" s="32" t="n">
        <x:f>Y1318+R1319-S1319-W1319-Y1318*V1319/AB1318</x:f>
        <x:v>10594.765178596565</x:v>
      </x:c>
      <x:c r="Z1319" s="32" t="n">
        <x:f>Z1318+W1319-X1319-T1319-Z1318*V1319/AB1318</x:f>
        <x:v>11916.274324175085</x:v>
      </x:c>
      <x:c r="AA1319" s="32" t="n">
        <x:f>AA1318+X1319-U1319-AA1318*V1319/AB1318</x:f>
        <x:v>5332.748967900142</x:v>
      </x:c>
      <x:c r="AB1319" s="10" t="n">
        <x:f>Y1319+Z1319+AA1319</x:f>
        <x:v>27843.788470671792</x:v>
      </x:c>
      <x:c r="AC1319" s="8" t="n">
        <x:f>IF(AND(v01_WinterTrigger=1,D1319=1,AB1318/AE1318&gt;=K1319),1,0)</x:f>
        <x:v>0</x:v>
      </x:c>
      <x:c r="AD1319" s="8" t="n">
        <x:f>H1319*IF(AND(OR(AB1318/AE1318&gt;=v01_FissionTrigger*N1319,AC1319=1),AB1318/AE1318*v01_DaughterShare&gt;=v01_MinDaughter),MAX(1,ROUND(AE1318*v01_FissionRate,0)),0)</x:f>
        <x:v>0</x:v>
      </x:c>
      <x:c r="AE1319" s="8" t="n">
        <x:f>IF(H1319=1,MAX(1,MIN(INDEX(v01_Smax,G1319),AE1318+AD1319)),AE1318)</x:f>
        <x:v>15</x:v>
      </x:c>
      <x:c r="AF1319" s="8" t="n">
        <x:f>MAX(0,AE1319-AE1318)</x:f>
        <x:v>0</x:v>
      </x:c>
      <x:c r="AG1319" s="9" t="str">
        <x:f>IF(AF1319&gt;0,B1319,"")</x:f>
      </x:c>
      <x:c r="AH1319" s="9" t="n">
        <x:f>IF(F1319&gt;=1,1,(1+v01_LowTiesShare*(AE1319-1))/AE1319)</x:f>
        <x:v>1</x:v>
      </x:c>
      <x:c r="AI1319" s="32" t="n">
        <x:f>(Z1319+v01_ElderCommons*INDEX(LM_Elder,G1319)*AA1319)*AH1319</x:f>
        <x:v>31914.082953800615</x:v>
      </x:c>
      <x:c r="AJ1319" s="32" t="n">
        <x:f>H1319*v01_CommonsCoef*AI1319^v01_CommonsExp*INDEX(LM_Commons,G1319)</x:f>
        <x:v>12183.923299477683</x:v>
      </x:c>
      <x:c r="AK1319" s="32" t="n">
        <x:f>H1319*v01_RoleScale*Arch_Roles*(AE1319*(INDEX(v01_ElderRolePerSett,G1319)*v01_OutElder*INDEX(LM_Elder,G1319)+INDEX(v01_ShamanPerSett,G1319)*v01_OutShaman)+Z1319*(INDEX(v01_PriestShare,G1319)*v01_OutPriest+INDEX(v01_ScribeShare,G1319)*v01_OutScribe*INDEX(LM_Scribe,G1319)+INDEX(v01_ScholarShare,G1319)*v01_OutScholar*INDEX(LM_Scholar,G1319)+INDEX(v01_ResearcherShare,G1319)*v01_OutResearcher*INDEX(LM_Researcher,G1319)))</x:f>
        <x:v>3128.0168228525504</x:v>
      </x:c>
      <x:c r="AL1319" s="32" t="n">
        <x:f>H1319*v01_RoleScale*Arch_Roles*AE1319*INDEX(v01_MonasteryPerSett,G1319)*v01_OutMonastery*INDEX(LM_Monastery,G1319)</x:f>
        <x:v>6.6000000000000005</x:v>
      </x:c>
      <x:c r="AM1319" s="32" t="n">
        <x:f>(AJ1319+AK1319+AL1319)/4*INDEX(LM_All,G1319)*INDEX(v01_Boon,G1319)*Arch_Insight</x:f>
        <x:v>11036.877568759592</x:v>
      </x:c>
      <x:c r="AN1319" s="32" t="n">
        <x:f>H1319*(v01_KHPerAdult*Z1319+v01_KHOfCommons*AJ1319/4*INDEX(LM_All,G1319))*v01_KHUsable*Arch_KH</x:f>
        <x:v>417.06960134612797</x:v>
      </x:c>
      <x:c r="AO1319" s="32" t="n">
        <x:f>MIN(AP1318+AN1319,AM1319*v01_KHMaxRatio)</x:f>
        <x:v>417.06960134612797</x:v>
      </x:c>
      <x:c r="AP1319" s="32" t="n">
        <x:f>AP1318+AN1319-AO1319</x:f>
        <x:v>0</x:v>
      </x:c>
      <x:c r="AQ1319" s="32" t="n">
        <x:f>AM1319+AO1319</x:f>
        <x:v>11453.94717010572</x:v>
      </x:c>
      <x:c r="AR1319" s="10" t="n">
        <x:f>IF(H1319=1,INDEX(v01_Req,G1319),0)</x:f>
        <x:v>743165.805333726</x:v>
      </x:c>
      <x:c r="AS1319" s="32" t="n">
        <x:f>IF(H1319=1,IF(E1319=1,AS1318-AR1318,AS1318)+AQ1319,0)</x:f>
        <x:v>443108.875260625</x:v>
      </x:c>
      <x:c r="AT1319" s="11" t="n">
        <x:f>IF(AR1319&gt;0,MIN(1,AS1319/AR1319),1)</x:f>
        <x:v>0.5962449726298191</x:v>
      </x:c>
      <x:c r="AU1319" s="10" t="n">
        <x:f>AB1319/INDEX(v01_RepScale,G1319)</x:f>
        <x:v>111.37515388268717</x:v>
      </x:c>
      <x:c r="AV1319" s="32" t="n">
        <x:f>AM1319*60/v01_SeasonSeconds</x:f>
        <x:v>44147.51027503836</x:v>
      </x:c>
    </x:row>
    <x:row r="1320">
      <x:c r="A1320" s="8" t="n">
        <x:f>A1319+1</x:f>
        <x:v>1317</x:v>
      </x:c>
      <x:c r="B1320" s="9" t="n">
        <x:f>A1320*v01_SeasonSeconds/60</x:f>
        <x:v>329.25</x:v>
      </x:c>
      <x:c r="C1320" s="9" t="n">
        <x:f>A1320/4</x:f>
        <x:v>329.25</x:v>
      </x:c>
      <x:c r="D1320" s="8" t="n">
        <x:f>IF(MOD(A1320,4)=0,1,0)</x:f>
        <x:v>0</x:v>
      </x:c>
      <x:c r="E1320" s="8" t="n">
        <x:f>IF(AND(F1319&lt;=9,AS1319&gt;=AR1319),1,0)</x:f>
        <x:v>0</x:v>
      </x:c>
      <x:c r="F1320" s="8" t="n">
        <x:f>MIN(10,F1319+E1320)</x:f>
        <x:v>8</x:v>
      </x:c>
      <x:c r="G1320" s="8" t="n">
        <x:f>MIN(F1320,9)+1</x:f>
        <x:v>9</x:v>
      </x:c>
      <x:c r="H1320" s="8" t="n">
        <x:f>IF(F1320&lt;=9,1,0)</x:f>
        <x:v>1</x:v>
      </x:c>
      <x:c r="I1320" s="9" t="n">
        <x:f>MIN(10,F1319+IF(AR1319&gt;0,MIN(1,AS1319/AR1319),1))</x:f>
        <x:v>8.596244972629819</x:v>
      </x:c>
      <x:c r="J1320" s="32" t="n">
        <x:f>INDEX(v01_FoodCap,G1320)*Arch_FoodCap*EXP(v01_CapsByProject*SUMPRODUCT((Cap_Point&lt;=I1320)*(Cap_Kind="Food")*Cap_Ln))</x:f>
        <x:v>6000</x:v>
      </x:c>
      <x:c r="K1320" s="32" t="n">
        <x:f>J1320*MIN(1,v01_LeanBase*EXP(v01_CapsByProject*SUMPRODUCT((Cap_Point&lt;=I1320)*(Cap_Kind="Lean")*Cap_Ln)))</x:f>
        <x:v>6000</x:v>
      </x:c>
      <x:c r="L1320" s="10" t="n">
        <x:f>INDEX(v01_HousingCap,G1320)*EXP(v01_CapsByProject*SUMPRODUCT((Cap_Point&lt;=I1320)*(Cap_Kind="Housing")*Cap_Ln))</x:f>
        <x:v>10000</x:v>
      </x:c>
      <x:c r="M1320" s="10" t="n">
        <x:f>INDEX(v01_GroupCap,G1320)*v01_CohesionFactor*EXP(v01_CapsByProject*SUMPRODUCT((Cap_Point&lt;=I1320)*(Cap_Kind="Group")*Cap_Ln))</x:f>
        <x:v>1000000</x:v>
      </x:c>
      <x:c r="N1320" s="32" t="n">
        <x:f>MIN(J1320,L1320,M1320)</x:f>
        <x:v>6000</x:v>
      </x:c>
      <x:c r="O1320" s="10" t="n">
        <x:f>AE1319*N1320</x:f>
        <x:v>90000</x:v>
      </x:c>
      <x:c r="P1320" s="9" t="n">
        <x:f>MIN(1,(AB1319/(AE1319*IF(v01_GroupInCrowding=1,N1320,MIN(J1320,L1320))))^v01_CrowdingExp)</x:f>
        <x:v>0.0008768289855459626</x:v>
      </x:c>
      <x:c r="Q1320" s="9" t="n">
        <x:f>IF(D1320=1,INDEX(v01_WinterMult,G1320),1)</x:f>
        <x:v>1</x:v>
      </x:c>
      <x:c r="R1320" s="9" t="n">
        <x:f>H1320*Z1319*v01_WomenShare*v01_BaseFertility*INDEX(v01_FertMult,G1320)*Arch_Fertility*(1-P1320)</x:f>
        <x:v>267.88108026257845</x:v>
      </x:c>
      <x:c r="S1320" s="9" t="n">
        <x:f>H1320*Y1319*INDEX(v01_MortChild,G1320)/4*Q1320</x:f>
        <x:v>15.892147767894848</x:v>
      </x:c>
      <x:c r="T1320" s="9" t="n">
        <x:f>H1320*Z1319*INDEX(v01_MortAdult,G1320)*Arch_AdultMort/4*Q1320</x:f>
        <x:v>11.916274324175085</x:v>
      </x:c>
      <x:c r="U1320" s="9" t="n">
        <x:f>H1320*AA1319*INDEX(v01_MortElder,G1320)/4*Q1320</x:f>
        <x:v>46.66155346912625</x:v>
      </x:c>
      <x:c r="V1320" s="9" t="n">
        <x:f>H1320*MAX(0,AB1319-O1320)*v01_OvercapLoss</x:f>
        <x:v>0</x:v>
      </x:c>
      <x:c r="W1320" s="9" t="n">
        <x:f>H1320*Y1319/(v01_ChildYears*4)</x:f>
        <x:v>189.1922353320815</x:v>
      </x:c>
      <x:c r="X1320" s="9" t="n">
        <x:f>H1320*Z1319/(v01_AdultYears*4)</x:f>
        <x:v>96.09898648528295</x:v>
      </x:c>
      <x:c r="Y1320" s="32" t="n">
        <x:f>Y1319+R1320-S1320-W1320-Y1319*V1320/AB1319</x:f>
        <x:v>10657.561875759166</x:v>
      </x:c>
      <x:c r="Z1320" s="32" t="n">
        <x:f>Z1319+W1320-X1320-T1320-Z1319*V1320/AB1319</x:f>
        <x:v>11997.451298697708</x:v>
      </x:c>
      <x:c r="AA1320" s="32" t="n">
        <x:f>AA1319+X1320-U1320-AA1319*V1320/AB1319</x:f>
        <x:v>5382.186400916298</x:v>
      </x:c>
      <x:c r="AB1320" s="10" t="n">
        <x:f>Y1320+Z1320+AA1320</x:f>
        <x:v>28037.199575373168</x:v>
      </x:c>
      <x:c r="AC1320" s="8" t="n">
        <x:f>IF(AND(v01_WinterTrigger=1,D1320=1,AB1319/AE1319&gt;=K1320),1,0)</x:f>
        <x:v>0</x:v>
      </x:c>
      <x:c r="AD1320" s="8" t="n">
        <x:f>H1320*IF(AND(OR(AB1319/AE1319&gt;=v01_FissionTrigger*N1320,AC1320=1),AB1319/AE1319*v01_DaughterShare&gt;=v01_MinDaughter),MAX(1,ROUND(AE1319*v01_FissionRate,0)),0)</x:f>
        <x:v>0</x:v>
      </x:c>
      <x:c r="AE1320" s="8" t="n">
        <x:f>IF(H1320=1,MAX(1,MIN(INDEX(v01_Smax,G1320),AE1319+AD1320)),AE1319)</x:f>
        <x:v>15</x:v>
      </x:c>
      <x:c r="AF1320" s="8" t="n">
        <x:f>MAX(0,AE1320-AE1319)</x:f>
        <x:v>0</x:v>
      </x:c>
      <x:c r="AG1320" s="9" t="str">
        <x:f>IF(AF1320&gt;0,B1320,"")</x:f>
      </x:c>
      <x:c r="AH1320" s="9" t="n">
        <x:f>IF(F1320&gt;=1,1,(1+v01_LowTiesShare*(AE1320-1))/AE1320)</x:f>
        <x:v>1</x:v>
      </x:c>
      <x:c r="AI1320" s="32" t="n">
        <x:f>(Z1320+v01_ElderCommons*INDEX(LM_Elder,G1320)*AA1320)*AH1320</x:f>
        <x:v>32180.65030213383</x:v>
      </x:c>
      <x:c r="AJ1320" s="32" t="n">
        <x:f>H1320*v01_CommonsCoef*AI1320^v01_CommonsExp*INDEX(LM_Commons,G1320)</x:f>
        <x:v>12270.372181942894</x:v>
      </x:c>
      <x:c r="AK1320" s="32" t="n">
        <x:f>H1320*v01_RoleScale*Arch_Roles*(AE1320*(INDEX(v01_ElderRolePerSett,G1320)*v01_OutElder*INDEX(LM_Elder,G1320)+INDEX(v01_ShamanPerSett,G1320)*v01_OutShaman)+Z1320*(INDEX(v01_PriestShare,G1320)*v01_OutPriest+INDEX(v01_ScribeShare,G1320)*v01_OutScribe*INDEX(LM_Scribe,G1320)+INDEX(v01_ScholarShare,G1320)*v01_OutScholar*INDEX(LM_Scholar,G1320)+INDEX(v01_ResearcherShare,G1320)*v01_OutResearcher*INDEX(LM_Researcher,G1320)))</x:f>
        <x:v>3148.980871749362</x:v>
      </x:c>
      <x:c r="AL1320" s="32" t="n">
        <x:f>H1320*v01_RoleScale*Arch_Roles*AE1320*INDEX(v01_MonasteryPerSett,G1320)*v01_OutMonastery*INDEX(LM_Monastery,G1320)</x:f>
        <x:v>6.6000000000000005</x:v>
      </x:c>
      <x:c r="AM1320" s="32" t="n">
        <x:f>(AJ1320+AK1320+AL1320)/4*INDEX(LM_All,G1320)*INDEX(v01_Boon,G1320)*Arch_Insight</x:f>
        <x:v>11114.267670118928</x:v>
      </x:c>
      <x:c r="AN1320" s="32" t="n">
        <x:f>H1320*(v01_KHPerAdult*Z1320+v01_KHOfCommons*AJ1320/4*INDEX(LM_All,G1320))*v01_KHUsable*Arch_KH</x:f>
        <x:v>419.91079545441977</x:v>
      </x:c>
      <x:c r="AO1320" s="32" t="n">
        <x:f>MIN(AP1319+AN1320,AM1320*v01_KHMaxRatio)</x:f>
        <x:v>419.91079545441977</x:v>
      </x:c>
      <x:c r="AP1320" s="32" t="n">
        <x:f>AP1319+AN1320-AO1320</x:f>
        <x:v>0</x:v>
      </x:c>
      <x:c r="AQ1320" s="32" t="n">
        <x:f>AM1320+AO1320</x:f>
        <x:v>11534.178465573348</x:v>
      </x:c>
      <x:c r="AR1320" s="10" t="n">
        <x:f>IF(H1320=1,INDEX(v01_Req,G1320),0)</x:f>
        <x:v>743165.805333726</x:v>
      </x:c>
      <x:c r="AS1320" s="32" t="n">
        <x:f>IF(H1320=1,IF(E1320=1,AS1319-AR1319,AS1319)+AQ1320,0)</x:f>
        <x:v>454643.0537261983</x:v>
      </x:c>
      <x:c r="AT1320" s="11" t="n">
        <x:f>IF(AR1320&gt;0,MIN(1,AS1320/AR1320),1)</x:f>
        <x:v>0.611765302524968</x:v>
      </x:c>
      <x:c r="AU1320" s="10" t="n">
        <x:f>AB1320/INDEX(v01_RepScale,G1320)</x:f>
        <x:v>112.14879830149268</x:v>
      </x:c>
      <x:c r="AV1320" s="32" t="n">
        <x:f>AM1320*60/v01_SeasonSeconds</x:f>
        <x:v>44457.070680475714</x:v>
      </x:c>
    </x:row>
    <x:row r="1321">
      <x:c r="A1321" s="8" t="n">
        <x:f>A1320+1</x:f>
        <x:v>1318</x:v>
      </x:c>
      <x:c r="B1321" s="9" t="n">
        <x:f>A1321*v01_SeasonSeconds/60</x:f>
        <x:v>329.5</x:v>
      </x:c>
      <x:c r="C1321" s="9" t="n">
        <x:f>A1321/4</x:f>
        <x:v>329.5</x:v>
      </x:c>
      <x:c r="D1321" s="8" t="n">
        <x:f>IF(MOD(A1321,4)=0,1,0)</x:f>
        <x:v>0</x:v>
      </x:c>
      <x:c r="E1321" s="8" t="n">
        <x:f>IF(AND(F1320&lt;=9,AS1320&gt;=AR1320),1,0)</x:f>
        <x:v>0</x:v>
      </x:c>
      <x:c r="F1321" s="8" t="n">
        <x:f>MIN(10,F1320+E1321)</x:f>
        <x:v>8</x:v>
      </x:c>
      <x:c r="G1321" s="8" t="n">
        <x:f>MIN(F1321,9)+1</x:f>
        <x:v>9</x:v>
      </x:c>
      <x:c r="H1321" s="8" t="n">
        <x:f>IF(F1321&lt;=9,1,0)</x:f>
        <x:v>1</x:v>
      </x:c>
      <x:c r="I1321" s="9" t="n">
        <x:f>MIN(10,F1320+IF(AR1320&gt;0,MIN(1,AS1320/AR1320),1))</x:f>
        <x:v>8.611765302524969</x:v>
      </x:c>
      <x:c r="J1321" s="32" t="n">
        <x:f>INDEX(v01_FoodCap,G1321)*Arch_FoodCap*EXP(v01_CapsByProject*SUMPRODUCT((Cap_Point&lt;=I1321)*(Cap_Kind="Food")*Cap_Ln))</x:f>
        <x:v>6000</x:v>
      </x:c>
      <x:c r="K1321" s="32" t="n">
        <x:f>J1321*MIN(1,v01_LeanBase*EXP(v01_CapsByProject*SUMPRODUCT((Cap_Point&lt;=I1321)*(Cap_Kind="Lean")*Cap_Ln)))</x:f>
        <x:v>6000</x:v>
      </x:c>
      <x:c r="L1321" s="10" t="n">
        <x:f>INDEX(v01_HousingCap,G1321)*EXP(v01_CapsByProject*SUMPRODUCT((Cap_Point&lt;=I1321)*(Cap_Kind="Housing")*Cap_Ln))</x:f>
        <x:v>10000</x:v>
      </x:c>
      <x:c r="M1321" s="10" t="n">
        <x:f>INDEX(v01_GroupCap,G1321)*v01_CohesionFactor*EXP(v01_CapsByProject*SUMPRODUCT((Cap_Point&lt;=I1321)*(Cap_Kind="Group")*Cap_Ln))</x:f>
        <x:v>1000000</x:v>
      </x:c>
      <x:c r="N1321" s="32" t="n">
        <x:f>MIN(J1321,L1321,M1321)</x:f>
        <x:v>6000</x:v>
      </x:c>
      <x:c r="O1321" s="10" t="n">
        <x:f>AE1320*N1321</x:f>
        <x:v>90000</x:v>
      </x:c>
      <x:c r="P1321" s="9" t="n">
        <x:f>MIN(1,(AB1320/(AE1320*IF(v01_GroupInCrowding=1,N1321,MIN(J1321,L1321))))^v01_CrowdingExp)</x:f>
        <x:v>0.0009140137765148688</x:v>
      </x:c>
      <x:c r="Q1321" s="9" t="n">
        <x:f>IF(D1321=1,INDEX(v01_WinterMult,G1321),1)</x:f>
        <x:v>1</x:v>
      </x:c>
      <x:c r="R1321" s="9" t="n">
        <x:f>H1321*Z1320*v01_WomenShare*v01_BaseFertility*INDEX(v01_FertMult,G1321)*Arch_Fertility*(1-P1321)</x:f>
        <x:v>269.69592291587173</x:v>
      </x:c>
      <x:c r="S1321" s="9" t="n">
        <x:f>H1321*Y1320*INDEX(v01_MortChild,G1321)/4*Q1321</x:f>
        <x:v>15.986342813638748</x:v>
      </x:c>
      <x:c r="T1321" s="9" t="n">
        <x:f>H1321*Z1320*INDEX(v01_MortAdult,G1321)*Arch_AdultMort/4*Q1321</x:f>
        <x:v>11.997451298697708</x:v>
      </x:c>
      <x:c r="U1321" s="9" t="n">
        <x:f>H1321*AA1320*INDEX(v01_MortElder,G1321)/4*Q1321</x:f>
        <x:v>47.09413100801761</x:v>
      </x:c>
      <x:c r="V1321" s="9" t="n">
        <x:f>H1321*MAX(0,AB1320-O1321)*v01_OvercapLoss</x:f>
        <x:v>0</x:v>
      </x:c>
      <x:c r="W1321" s="9" t="n">
        <x:f>H1321*Y1320/(v01_ChildYears*4)</x:f>
        <x:v>190.3136049242708</x:v>
      </x:c>
      <x:c r="X1321" s="9" t="n">
        <x:f>H1321*Z1320/(v01_AdultYears*4)</x:f>
        <x:v>96.75363950562668</x:v>
      </x:c>
      <x:c r="Y1321" s="32" t="n">
        <x:f>Y1320+R1321-S1321-W1321-Y1320*V1321/AB1320</x:f>
        <x:v>10720.957850937126</x:v>
      </x:c>
      <x:c r="Z1321" s="32" t="n">
        <x:f>Z1320+W1321-X1321-T1321-Z1320*V1321/AB1320</x:f>
        <x:v>12079.013812817655</x:v>
      </x:c>
      <x:c r="AA1321" s="32" t="n">
        <x:f>AA1320+X1321-U1321-AA1320*V1321/AB1320</x:f>
        <x:v>5431.845909413907</x:v>
      </x:c>
      <x:c r="AB1321" s="10" t="n">
        <x:f>Y1321+Z1321+AA1321</x:f>
        <x:v>28231.81757316869</x:v>
      </x:c>
      <x:c r="AC1321" s="8" t="n">
        <x:f>IF(AND(v01_WinterTrigger=1,D1321=1,AB1320/AE1320&gt;=K1321),1,0)</x:f>
        <x:v>0</x:v>
      </x:c>
      <x:c r="AD1321" s="8" t="n">
        <x:f>H1321*IF(AND(OR(AB1320/AE1320&gt;=v01_FissionTrigger*N1321,AC1321=1),AB1320/AE1320*v01_DaughterShare&gt;=v01_MinDaughter),MAX(1,ROUND(AE1320*v01_FissionRate,0)),0)</x:f>
        <x:v>0</x:v>
      </x:c>
      <x:c r="AE1321" s="8" t="n">
        <x:f>IF(H1321=1,MAX(1,MIN(INDEX(v01_Smax,G1321),AE1320+AD1321)),AE1320)</x:f>
        <x:v>15</x:v>
      </x:c>
      <x:c r="AF1321" s="8" t="n">
        <x:f>MAX(0,AE1321-AE1320)</x:f>
        <x:v>0</x:v>
      </x:c>
      <x:c r="AG1321" s="9" t="str">
        <x:f>IF(AF1321&gt;0,B1321,"")</x:f>
      </x:c>
      <x:c r="AH1321" s="9" t="n">
        <x:f>IF(F1321&gt;=1,1,(1+v01_LowTiesShare*(AE1321-1))/AE1321)</x:f>
        <x:v>1</x:v>
      </x:c>
      <x:c r="AI1321" s="32" t="n">
        <x:f>(Z1321+v01_ElderCommons*INDEX(LM_Elder,G1321)*AA1321)*AH1321</x:f>
        <x:v>32448.435973119806</x:v>
      </x:c>
      <x:c r="AJ1321" s="32" t="n">
        <x:f>H1321*v01_CommonsCoef*AI1321^v01_CommonsExp*INDEX(LM_Commons,G1321)</x:f>
        <x:v>12357.10808684729</x:v>
      </x:c>
      <x:c r="AK1321" s="32" t="n">
        <x:f>H1321*v01_RoleScale*Arch_Roles*(AE1321*(INDEX(v01_ElderRolePerSett,G1321)*v01_OutElder*INDEX(LM_Elder,G1321)+INDEX(v01_ShamanPerSett,G1321)*v01_OutShaman)+Z1321*(INDEX(v01_PriestShare,G1321)*v01_OutPriest+INDEX(v01_ScribeShare,G1321)*v01_OutScribe*INDEX(LM_Scribe,G1321)+INDEX(v01_ScholarShare,G1321)*v01_OutScholar*INDEX(LM_Scholar,G1321)+INDEX(v01_ResearcherShare,G1321)*v01_OutResearcher*INDEX(LM_Researcher,G1321)))</x:f>
        <x:v>3170.044486699448</x:v>
      </x:c>
      <x:c r="AL1321" s="32" t="n">
        <x:f>H1321*v01_RoleScale*Arch_Roles*AE1321*INDEX(v01_MonasteryPerSett,G1321)*v01_OutMonastery*INDEX(LM_Monastery,G1321)</x:f>
        <x:v>6.6000000000000005</x:v>
      </x:c>
      <x:c r="AM1321" s="32" t="n">
        <x:f>(AJ1321+AK1321+AL1321)/4*INDEX(LM_All,G1321)*INDEX(v01_Boon,G1321)*Arch_Insight</x:f>
        <x:v>11191.936305191446</x:v>
      </x:c>
      <x:c r="AN1321" s="32" t="n">
        <x:f>H1321*(v01_KHPerAdult*Z1321+v01_KHOfCommons*AJ1321/4*INDEX(LM_All,G1321))*v01_KHUsable*Arch_KH</x:f>
        <x:v>422.7654834486179</x:v>
      </x:c>
      <x:c r="AO1321" s="32" t="n">
        <x:f>MIN(AP1320+AN1321,AM1321*v01_KHMaxRatio)</x:f>
        <x:v>422.7654834486179</x:v>
      </x:c>
      <x:c r="AP1321" s="32" t="n">
        <x:f>AP1320+AN1321-AO1321</x:f>
        <x:v>0</x:v>
      </x:c>
      <x:c r="AQ1321" s="32" t="n">
        <x:f>AM1321+AO1321</x:f>
        <x:v>11614.701788640064</x:v>
      </x:c>
      <x:c r="AR1321" s="10" t="n">
        <x:f>IF(H1321=1,INDEX(v01_Req,G1321),0)</x:f>
        <x:v>743165.805333726</x:v>
      </x:c>
      <x:c r="AS1321" s="32" t="n">
        <x:f>IF(H1321=1,IF(E1321=1,AS1320-AR1320,AS1320)+AQ1321,0)</x:f>
        <x:v>466257.7555148384</x:v>
      </x:c>
      <x:c r="AT1321" s="11" t="n">
        <x:f>IF(AR1321&gt;0,MIN(1,AS1321/AR1321),1)</x:f>
        <x:v>0.6273939841802337</x:v>
      </x:c>
      <x:c r="AU1321" s="10" t="n">
        <x:f>AB1321/INDEX(v01_RepScale,G1321)</x:f>
        <x:v>112.92727029267476</x:v>
      </x:c>
      <x:c r="AV1321" s="32" t="n">
        <x:f>AM1321*60/v01_SeasonSeconds</x:f>
        <x:v>44767.745220765784</x:v>
      </x:c>
    </x:row>
    <x:row r="1322">
      <x:c r="A1322" s="8" t="n">
        <x:f>A1321+1</x:f>
        <x:v>1319</x:v>
      </x:c>
      <x:c r="B1322" s="9" t="n">
        <x:f>A1322*v01_SeasonSeconds/60</x:f>
        <x:v>329.75</x:v>
      </x:c>
      <x:c r="C1322" s="9" t="n">
        <x:f>A1322/4</x:f>
        <x:v>329.75</x:v>
      </x:c>
      <x:c r="D1322" s="8" t="n">
        <x:f>IF(MOD(A1322,4)=0,1,0)</x:f>
        <x:v>0</x:v>
      </x:c>
      <x:c r="E1322" s="8" t="n">
        <x:f>IF(AND(F1321&lt;=9,AS1321&gt;=AR1321),1,0)</x:f>
        <x:v>0</x:v>
      </x:c>
      <x:c r="F1322" s="8" t="n">
        <x:f>MIN(10,F1321+E1322)</x:f>
        <x:v>8</x:v>
      </x:c>
      <x:c r="G1322" s="8" t="n">
        <x:f>MIN(F1322,9)+1</x:f>
        <x:v>9</x:v>
      </x:c>
      <x:c r="H1322" s="8" t="n">
        <x:f>IF(F1322&lt;=9,1,0)</x:f>
        <x:v>1</x:v>
      </x:c>
      <x:c r="I1322" s="9" t="n">
        <x:f>MIN(10,F1321+IF(AR1321&gt;0,MIN(1,AS1321/AR1321),1))</x:f>
        <x:v>8.627393984180234</x:v>
      </x:c>
      <x:c r="J1322" s="32" t="n">
        <x:f>INDEX(v01_FoodCap,G1322)*Arch_FoodCap*EXP(v01_CapsByProject*SUMPRODUCT((Cap_Point&lt;=I1322)*(Cap_Kind="Food")*Cap_Ln))</x:f>
        <x:v>6000</x:v>
      </x:c>
      <x:c r="K1322" s="32" t="n">
        <x:f>J1322*MIN(1,v01_LeanBase*EXP(v01_CapsByProject*SUMPRODUCT((Cap_Point&lt;=I1322)*(Cap_Kind="Lean")*Cap_Ln)))</x:f>
        <x:v>6000</x:v>
      </x:c>
      <x:c r="L1322" s="10" t="n">
        <x:f>INDEX(v01_HousingCap,G1322)*EXP(v01_CapsByProject*SUMPRODUCT((Cap_Point&lt;=I1322)*(Cap_Kind="Housing")*Cap_Ln))</x:f>
        <x:v>10000</x:v>
      </x:c>
      <x:c r="M1322" s="10" t="n">
        <x:f>INDEX(v01_GroupCap,G1322)*v01_CohesionFactor*EXP(v01_CapsByProject*SUMPRODUCT((Cap_Point&lt;=I1322)*(Cap_Kind="Group")*Cap_Ln))</x:f>
        <x:v>1000000</x:v>
      </x:c>
      <x:c r="N1322" s="32" t="n">
        <x:f>MIN(J1322,L1322,M1322)</x:f>
        <x:v>6000</x:v>
      </x:c>
      <x:c r="O1322" s="10" t="n">
        <x:f>AE1321*N1322</x:f>
        <x:v>90000</x:v>
      </x:c>
      <x:c r="P1322" s="9" t="n">
        <x:f>MIN(1,(AB1321/(AE1321*IF(v01_GroupInCrowding=1,N1322,MIN(J1322,L1322))))^v01_CrowdingExp)</x:f>
        <x:v>0.0009527478507093436</x:v>
      </x:c>
      <x:c r="Q1322" s="9" t="n">
        <x:f>IF(D1322=1,INDEX(v01_WinterMult,G1322),1)</x:f>
        <x:v>1</x:v>
      </x:c>
      <x:c r="R1322" s="9" t="n">
        <x:f>H1322*Z1321*v01_WomenShare*v01_BaseFertility*INDEX(v01_FertMult,G1322)*Arch_Fertility*(1-P1322)</x:f>
        <x:v>271.5188750632981</x:v>
      </x:c>
      <x:c r="S1322" s="9" t="n">
        <x:f>H1322*Y1321*INDEX(v01_MortChild,G1322)/4*Q1322</x:f>
        <x:v>16.08143677640569</x:v>
      </x:c>
      <x:c r="T1322" s="9" t="n">
        <x:f>H1322*Z1321*INDEX(v01_MortAdult,G1322)*Arch_AdultMort/4*Q1322</x:f>
        <x:v>12.079013812817655</x:v>
      </x:c>
      <x:c r="U1322" s="9" t="n">
        <x:f>H1322*AA1321*INDEX(v01_MortElder,G1322)/4*Q1322</x:f>
        <x:v>47.528651707371694</x:v>
      </x:c>
      <x:c r="V1322" s="9" t="n">
        <x:f>H1322*MAX(0,AB1321-O1322)*v01_OvercapLoss</x:f>
        <x:v>0</x:v>
      </x:c>
      <x:c r="W1322" s="9" t="n">
        <x:f>H1322*Y1321/(v01_ChildYears*4)</x:f>
        <x:v>191.44567590959153</x:v>
      </x:c>
      <x:c r="X1322" s="9" t="n">
        <x:f>H1322*Z1321/(v01_AdultYears*4)</x:f>
        <x:v>97.41140171627141</x:v>
      </x:c>
      <x:c r="Y1322" s="32" t="n">
        <x:f>Y1321+R1322-S1322-W1322-Y1321*V1322/AB1321</x:f>
        <x:v>10784.949613314428</x:v>
      </x:c>
      <x:c r="Z1322" s="32" t="n">
        <x:f>Z1321+W1322-X1322-T1322-Z1321*V1322/AB1321</x:f>
        <x:v>12160.969073198157</x:v>
      </x:c>
      <x:c r="AA1322" s="32" t="n">
        <x:f>AA1321+X1322-U1322-AA1321*V1322/AB1321</x:f>
        <x:v>5481.728659422806</x:v>
      </x:c>
      <x:c r="AB1322" s="10" t="n">
        <x:f>Y1322+Z1322+AA1322</x:f>
        <x:v>28427.64734593539</x:v>
      </x:c>
      <x:c r="AC1322" s="8" t="n">
        <x:f>IF(AND(v01_WinterTrigger=1,D1322=1,AB1321/AE1321&gt;=K1322),1,0)</x:f>
        <x:v>0</x:v>
      </x:c>
      <x:c r="AD1322" s="8" t="n">
        <x:f>H1322*IF(AND(OR(AB1321/AE1321&gt;=v01_FissionTrigger*N1322,AC1322=1),AB1321/AE1321*v01_DaughterShare&gt;=v01_MinDaughter),MAX(1,ROUND(AE1321*v01_FissionRate,0)),0)</x:f>
        <x:v>0</x:v>
      </x:c>
      <x:c r="AE1322" s="8" t="n">
        <x:f>IF(H1322=1,MAX(1,MIN(INDEX(v01_Smax,G1322),AE1321+AD1322)),AE1321)</x:f>
        <x:v>15</x:v>
      </x:c>
      <x:c r="AF1322" s="8" t="n">
        <x:f>MAX(0,AE1322-AE1321)</x:f>
        <x:v>0</x:v>
      </x:c>
      <x:c r="AG1322" s="9" t="str">
        <x:f>IF(AF1322&gt;0,B1322,"")</x:f>
      </x:c>
      <x:c r="AH1322" s="9" t="n">
        <x:f>IF(F1322&gt;=1,1,(1+v01_LowTiesShare*(AE1322-1))/AE1322)</x:f>
        <x:v>1</x:v>
      </x:c>
      <x:c r="AI1322" s="32" t="n">
        <x:f>(Z1322+v01_ElderCommons*INDEX(LM_Elder,G1322)*AA1322)*AH1322</x:f>
        <x:v>32717.45154603368</x:v>
      </x:c>
      <x:c r="AJ1322" s="32" t="n">
        <x:f>H1322*v01_CommonsCoef*AI1322^v01_CommonsExp*INDEX(LM_Commons,G1322)</x:f>
        <x:v>12444.134313667046</x:v>
      </x:c>
      <x:c r="AK1322" s="32" t="n">
        <x:f>H1322*v01_RoleScale*Arch_Roles*(AE1322*(INDEX(v01_ElderRolePerSett,G1322)*v01_OutElder*INDEX(LM_Elder,G1322)+INDEX(v01_ShamanPerSett,G1322)*v01_OutShaman)+Z1322*(INDEX(v01_PriestShare,G1322)*v01_OutPriest+INDEX(v01_ScribeShare,G1322)*v01_OutScribe*INDEX(LM_Scribe,G1322)+INDEX(v01_ScholarShare,G1322)*v01_OutScholar*INDEX(LM_Scholar,G1322)+INDEX(v01_ResearcherShare,G1322)*v01_OutResearcher*INDEX(LM_Researcher,G1322)))</x:f>
        <x:v>3191.209528832042</x:v>
      </x:c>
      <x:c r="AL1322" s="32" t="n">
        <x:f>H1322*v01_RoleScale*Arch_Roles*AE1322*INDEX(v01_MonasteryPerSett,G1322)*v01_OutMonastery*INDEX(LM_Monastery,G1322)</x:f>
        <x:v>6.6000000000000005</x:v>
      </x:c>
      <x:c r="AM1322" s="32" t="n">
        <x:f>(AJ1322+AK1322+AL1322)/4*INDEX(LM_All,G1322)*INDEX(v01_Boon,G1322)*Arch_Insight</x:f>
        <x:v>11269.887192149346</x:v>
      </x:c>
      <x:c r="AN1322" s="32" t="n">
        <x:f>H1322*(v01_KHPerAdult*Z1322+v01_KHOfCommons*AJ1322/4*INDEX(LM_All,G1322))*v01_KHUsable*Arch_KH</x:f>
        <x:v>425.6339175619355</x:v>
      </x:c>
      <x:c r="AO1322" s="32" t="n">
        <x:f>MIN(AP1321+AN1322,AM1322*v01_KHMaxRatio)</x:f>
        <x:v>425.6339175619355</x:v>
      </x:c>
      <x:c r="AP1322" s="32" t="n">
        <x:f>AP1321+AN1322-AO1322</x:f>
        <x:v>0</x:v>
      </x:c>
      <x:c r="AQ1322" s="32" t="n">
        <x:f>AM1322+AO1322</x:f>
        <x:v>11695.521109711282</x:v>
      </x:c>
      <x:c r="AR1322" s="10" t="n">
        <x:f>IF(H1322=1,INDEX(v01_Req,G1322),0)</x:f>
        <x:v>743165.805333726</x:v>
      </x:c>
      <x:c r="AS1322" s="32" t="n">
        <x:f>IF(H1322=1,IF(E1322=1,AS1321-AR1321,AS1321)+AQ1322,0)</x:f>
        <x:v>477953.27662454965</x:v>
      </x:c>
      <x:c r="AT1322" s="11" t="n">
        <x:f>IF(AR1322&gt;0,MIN(1,AS1322/AR1322),1)</x:f>
        <x:v>0.6431314158889752</x:v>
      </x:c>
      <x:c r="AU1322" s="10" t="n">
        <x:f>AB1322/INDEX(v01_RepScale,G1322)</x:f>
        <x:v>113.71058938374156</x:v>
      </x:c>
      <x:c r="AV1322" s="32" t="n">
        <x:f>AM1322*60/v01_SeasonSeconds</x:f>
        <x:v>45079.548768597386</x:v>
      </x:c>
    </x:row>
    <x:row r="1323">
      <x:c r="A1323" s="8" t="n">
        <x:f>A1322+1</x:f>
        <x:v>1320</x:v>
      </x:c>
      <x:c r="B1323" s="9" t="n">
        <x:f>A1323*v01_SeasonSeconds/60</x:f>
        <x:v>330</x:v>
      </x:c>
      <x:c r="C1323" s="9" t="n">
        <x:f>A1323/4</x:f>
        <x:v>330</x:v>
      </x:c>
      <x:c r="D1323" s="8" t="n">
        <x:f>IF(MOD(A1323,4)=0,1,0)</x:f>
        <x:v>1</x:v>
      </x:c>
      <x:c r="E1323" s="8" t="n">
        <x:f>IF(AND(F1322&lt;=9,AS1322&gt;=AR1322),1,0)</x:f>
        <x:v>0</x:v>
      </x:c>
      <x:c r="F1323" s="8" t="n">
        <x:f>MIN(10,F1322+E1323)</x:f>
        <x:v>8</x:v>
      </x:c>
      <x:c r="G1323" s="8" t="n">
        <x:f>MIN(F1323,9)+1</x:f>
        <x:v>9</x:v>
      </x:c>
      <x:c r="H1323" s="8" t="n">
        <x:f>IF(F1323&lt;=9,1,0)</x:f>
        <x:v>1</x:v>
      </x:c>
      <x:c r="I1323" s="9" t="n">
        <x:f>MIN(10,F1322+IF(AR1322&gt;0,MIN(1,AS1322/AR1322),1))</x:f>
        <x:v>8.643131415888975</x:v>
      </x:c>
      <x:c r="J1323" s="32" t="n">
        <x:f>INDEX(v01_FoodCap,G1323)*Arch_FoodCap*EXP(v01_CapsByProject*SUMPRODUCT((Cap_Point&lt;=I1323)*(Cap_Kind="Food")*Cap_Ln))</x:f>
        <x:v>6000</x:v>
      </x:c>
      <x:c r="K1323" s="32" t="n">
        <x:f>J1323*MIN(1,v01_LeanBase*EXP(v01_CapsByProject*SUMPRODUCT((Cap_Point&lt;=I1323)*(Cap_Kind="Lean")*Cap_Ln)))</x:f>
        <x:v>6000</x:v>
      </x:c>
      <x:c r="L1323" s="10" t="n">
        <x:f>INDEX(v01_HousingCap,G1323)*EXP(v01_CapsByProject*SUMPRODUCT((Cap_Point&lt;=I1323)*(Cap_Kind="Housing")*Cap_Ln))</x:f>
        <x:v>10000</x:v>
      </x:c>
      <x:c r="M1323" s="10" t="n">
        <x:f>INDEX(v01_GroupCap,G1323)*v01_CohesionFactor*EXP(v01_CapsByProject*SUMPRODUCT((Cap_Point&lt;=I1323)*(Cap_Kind="Group")*Cap_Ln))</x:f>
        <x:v>1000000</x:v>
      </x:c>
      <x:c r="N1323" s="32" t="n">
        <x:f>MIN(J1323,L1323,M1323)</x:f>
        <x:v>6000</x:v>
      </x:c>
      <x:c r="O1323" s="10" t="n">
        <x:f>AE1322*N1323</x:f>
        <x:v>90000</x:v>
      </x:c>
      <x:c r="P1323" s="9" t="n">
        <x:f>MIN(1,(AB1322/(AE1322*IF(v01_GroupInCrowding=1,N1323,MIN(J1323,L1323))))^v01_CrowdingExp)</x:f>
        <x:v>0.0009930942305054037</x:v>
      </x:c>
      <x:c r="Q1323" s="9" t="n">
        <x:f>IF(D1323=1,INDEX(v01_WinterMult,G1323),1)</x:f>
        <x:v>1</x:v>
      </x:c>
      <x:c r="R1323" s="9" t="n">
        <x:f>H1323*Z1322*v01_WomenShare*v01_BaseFertility*INDEX(v01_FertMult,G1323)*Arch_Fertility*(1-P1323)</x:f>
        <x:v>273.3500719119197</x:v>
      </x:c>
      <x:c r="S1323" s="9" t="n">
        <x:f>H1323*Y1322*INDEX(v01_MortChild,G1323)/4*Q1323</x:f>
        <x:v>16.17742441997164</x:v>
      </x:c>
      <x:c r="T1323" s="9" t="n">
        <x:f>H1323*Z1322*INDEX(v01_MortAdult,G1323)*Arch_AdultMort/4*Q1323</x:f>
        <x:v>12.160969073198158</x:v>
      </x:c>
      <x:c r="U1323" s="9" t="n">
        <x:f>H1323*AA1322*INDEX(v01_MortElder,G1323)/4*Q1323</x:f>
        <x:v>47.96512576994956</x:v>
      </x:c>
      <x:c r="V1323" s="9" t="n">
        <x:f>H1323*MAX(0,AB1322-O1323)*v01_OvercapLoss</x:f>
        <x:v>0</x:v>
      </x:c>
      <x:c r="W1323" s="9" t="n">
        <x:f>H1323*Y1322/(v01_ChildYears*4)</x:f>
        <x:v>192.58838595204335</x:v>
      </x:c>
      <x:c r="X1323" s="9" t="n">
        <x:f>H1323*Z1322/(v01_AdultYears*4)</x:f>
        <x:v>98.07233123546901</x:v>
      </x:c>
      <x:c r="Y1323" s="32" t="n">
        <x:f>Y1322+R1323-S1323-W1323-Y1322*V1323/AB1322</x:f>
        <x:v>10849.533874854333</x:v>
      </x:c>
      <x:c r="Z1323" s="32" t="n">
        <x:f>Z1322+W1323-X1323-T1323-Z1322*V1323/AB1322</x:f>
        <x:v>12243.324158841533</x:v>
      </x:c>
      <x:c r="AA1323" s="32" t="n">
        <x:f>AA1322+X1323-U1323-AA1322*V1323/AB1322</x:f>
        <x:v>5531.835864888326</x:v>
      </x:c>
      <x:c r="AB1323" s="10" t="n">
        <x:f>Y1323+Z1323+AA1323</x:f>
        <x:v>28624.69389858419</x:v>
      </x:c>
      <x:c r="AC1323" s="8" t="n">
        <x:f>IF(AND(v01_WinterTrigger=1,D1323=1,AB1322/AE1322&gt;=K1323),1,0)</x:f>
        <x:v>0</x:v>
      </x:c>
      <x:c r="AD1323" s="8" t="n">
        <x:f>H1323*IF(AND(OR(AB1322/AE1322&gt;=v01_FissionTrigger*N1323,AC1323=1),AB1322/AE1322*v01_DaughterShare&gt;=v01_MinDaughter),MAX(1,ROUND(AE1322*v01_FissionRate,0)),0)</x:f>
        <x:v>0</x:v>
      </x:c>
      <x:c r="AE1323" s="8" t="n">
        <x:f>IF(H1323=1,MAX(1,MIN(INDEX(v01_Smax,G1323),AE1322+AD1323)),AE1322)</x:f>
        <x:v>15</x:v>
      </x:c>
      <x:c r="AF1323" s="8" t="n">
        <x:f>MAX(0,AE1323-AE1322)</x:f>
        <x:v>0</x:v>
      </x:c>
      <x:c r="AG1323" s="9" t="str">
        <x:f>IF(AF1323&gt;0,B1323,"")</x:f>
      </x:c>
      <x:c r="AH1323" s="9" t="n">
        <x:f>IF(F1323&gt;=1,1,(1+v01_LowTiesShare*(AE1323-1))/AE1323)</x:f>
        <x:v>1</x:v>
      </x:c>
      <x:c r="AI1323" s="32" t="n">
        <x:f>(Z1323+v01_ElderCommons*INDEX(LM_Elder,G1323)*AA1323)*AH1323</x:f>
        <x:v>32987.708652172754</x:v>
      </x:c>
      <x:c r="AJ1323" s="32" t="n">
        <x:f>H1323*v01_CommonsCoef*AI1323^v01_CommonsExp*INDEX(LM_Commons,G1323)</x:f>
        <x:v>12531.454163239732</x:v>
      </x:c>
      <x:c r="AK1323" s="32" t="n">
        <x:f>H1323*v01_RoleScale*Arch_Roles*(AE1323*(INDEX(v01_ElderRolePerSett,G1323)*v01_OutElder*INDEX(LM_Elder,G1323)+INDEX(v01_ShamanPerSett,G1323)*v01_OutShaman)+Z1323*(INDEX(v01_PriestShare,G1323)*v01_OutPriest+INDEX(v01_ScribeShare,G1323)*v01_OutScribe*INDEX(LM_Scribe,G1323)+INDEX(v01_ScholarShare,G1323)*v01_OutScholar*INDEX(LM_Scholar,G1323)+INDEX(v01_ResearcherShare,G1323)*v01_OutResearcher*INDEX(LM_Researcher,G1323)))</x:f>
        <x:v>3212.477826307796</x:v>
      </x:c>
      <x:c r="AL1323" s="32" t="n">
        <x:f>H1323*v01_RoleScale*Arch_Roles*AE1323*INDEX(v01_MonasteryPerSett,G1323)*v01_OutMonastery*INDEX(LM_Monastery,G1323)</x:f>
        <x:v>6.6000000000000005</x:v>
      </x:c>
      <x:c r="AM1323" s="32" t="n">
        <x:f>(AJ1323+AK1323+AL1323)/4*INDEX(LM_All,G1323)*INDEX(v01_Boon,G1323)*Arch_Insight</x:f>
        <x:v>11348.124026392125</x:v>
      </x:c>
      <x:c r="AN1323" s="32" t="n">
        <x:f>H1323*(v01_KHPerAdult*Z1323+v01_KHOfCommons*AJ1323/4*INDEX(LM_All,G1323))*v01_KHUsable*Arch_KH</x:f>
        <x:v>428.5163455594536</x:v>
      </x:c>
      <x:c r="AO1323" s="32" t="n">
        <x:f>MIN(AP1322+AN1323,AM1323*v01_KHMaxRatio)</x:f>
        <x:v>428.5163455594536</x:v>
      </x:c>
      <x:c r="AP1323" s="32" t="n">
        <x:f>AP1322+AN1323-AO1323</x:f>
        <x:v>0</x:v>
      </x:c>
      <x:c r="AQ1323" s="32" t="n">
        <x:f>AM1323+AO1323</x:f>
        <x:v>11776.640371951578</x:v>
      </x:c>
      <x:c r="AR1323" s="10" t="n">
        <x:f>IF(H1323=1,INDEX(v01_Req,G1323),0)</x:f>
        <x:v>743165.805333726</x:v>
      </x:c>
      <x:c r="AS1323" s="32" t="n">
        <x:f>IF(H1323=1,IF(E1323=1,AS1322-AR1322,AS1322)+AQ1323,0)</x:f>
        <x:v>489729.9169965012</x:v>
      </x:c>
      <x:c r="AT1323" s="11" t="n">
        <x:f>IF(AR1323&gt;0,MIN(1,AS1323/AR1323),1)</x:f>
        <x:v>0.6589780012504519</x:v>
      </x:c>
      <x:c r="AU1323" s="10" t="n">
        <x:f>AB1323/INDEX(v01_RepScale,G1323)</x:f>
        <x:v>114.49877559433676</x:v>
      </x:c>
      <x:c r="AV1323" s="32" t="n">
        <x:f>AM1323*60/v01_SeasonSeconds</x:f>
        <x:v>45392.4961055685</x:v>
      </x:c>
    </x:row>
    <x:row r="1324">
      <x:c r="A1324" s="8" t="n">
        <x:f>A1323+1</x:f>
        <x:v>1321</x:v>
      </x:c>
      <x:c r="B1324" s="9" t="n">
        <x:f>A1324*v01_SeasonSeconds/60</x:f>
        <x:v>330.25</x:v>
      </x:c>
      <x:c r="C1324" s="9" t="n">
        <x:f>A1324/4</x:f>
        <x:v>330.25</x:v>
      </x:c>
      <x:c r="D1324" s="8" t="n">
        <x:f>IF(MOD(A1324,4)=0,1,0)</x:f>
        <x:v>0</x:v>
      </x:c>
      <x:c r="E1324" s="8" t="n">
        <x:f>IF(AND(F1323&lt;=9,AS1323&gt;=AR1323),1,0)</x:f>
        <x:v>0</x:v>
      </x:c>
      <x:c r="F1324" s="8" t="n">
        <x:f>MIN(10,F1323+E1324)</x:f>
        <x:v>8</x:v>
      </x:c>
      <x:c r="G1324" s="8" t="n">
        <x:f>MIN(F1324,9)+1</x:f>
        <x:v>9</x:v>
      </x:c>
      <x:c r="H1324" s="8" t="n">
        <x:f>IF(F1324&lt;=9,1,0)</x:f>
        <x:v>1</x:v>
      </x:c>
      <x:c r="I1324" s="9" t="n">
        <x:f>MIN(10,F1323+IF(AR1323&gt;0,MIN(1,AS1323/AR1323),1))</x:f>
        <x:v>8.658978001250452</x:v>
      </x:c>
      <x:c r="J1324" s="32" t="n">
        <x:f>INDEX(v01_FoodCap,G1324)*Arch_FoodCap*EXP(v01_CapsByProject*SUMPRODUCT((Cap_Point&lt;=I1324)*(Cap_Kind="Food")*Cap_Ln))</x:f>
        <x:v>6000</x:v>
      </x:c>
      <x:c r="K1324" s="32" t="n">
        <x:f>J1324*MIN(1,v01_LeanBase*EXP(v01_CapsByProject*SUMPRODUCT((Cap_Point&lt;=I1324)*(Cap_Kind="Lean")*Cap_Ln)))</x:f>
        <x:v>6000</x:v>
      </x:c>
      <x:c r="L1324" s="10" t="n">
        <x:f>INDEX(v01_HousingCap,G1324)*EXP(v01_CapsByProject*SUMPRODUCT((Cap_Point&lt;=I1324)*(Cap_Kind="Housing")*Cap_Ln))</x:f>
        <x:v>10000</x:v>
      </x:c>
      <x:c r="M1324" s="10" t="n">
        <x:f>INDEX(v01_GroupCap,G1324)*v01_CohesionFactor*EXP(v01_CapsByProject*SUMPRODUCT((Cap_Point&lt;=I1324)*(Cap_Kind="Group")*Cap_Ln))</x:f>
        <x:v>1000000</x:v>
      </x:c>
      <x:c r="N1324" s="32" t="n">
        <x:f>MIN(J1324,L1324,M1324)</x:f>
        <x:v>6000</x:v>
      </x:c>
      <x:c r="O1324" s="10" t="n">
        <x:f>AE1323*N1324</x:f>
        <x:v>90000</x:v>
      </x:c>
      <x:c r="P1324" s="9" t="n">
        <x:f>MIN(1,(AB1323/(AE1323*IF(v01_GroupInCrowding=1,N1324,MIN(J1324,L1324))))^v01_CrowdingExp)</x:f>
        <x:v>0.001035118452375545</x:v>
      </x:c>
      <x:c r="Q1324" s="9" t="n">
        <x:f>IF(D1324=1,INDEX(v01_WinterMult,G1324),1)</x:f>
        <x:v>1</x:v>
      </x:c>
      <x:c r="R1324" s="9" t="n">
        <x:f>H1324*Z1323*v01_WomenShare*v01_BaseFertility*INDEX(v01_FertMult,G1324)*Arch_Fertility*(1-P1324)</x:f>
        <x:v>275.1896445319417</x:v>
      </x:c>
      <x:c r="S1324" s="9" t="n">
        <x:f>H1324*Y1323*INDEX(v01_MortChild,G1324)/4*Q1324</x:f>
        <x:v>16.2743008122815</x:v>
      </x:c>
      <x:c r="T1324" s="9" t="n">
        <x:f>H1324*Z1323*INDEX(v01_MortAdult,G1324)*Arch_AdultMort/4*Q1324</x:f>
        <x:v>12.243324158841533</x:v>
      </x:c>
      <x:c r="U1324" s="9" t="n">
        <x:f>H1324*AA1323*INDEX(v01_MortElder,G1324)/4*Q1324</x:f>
        <x:v>48.403563817772856</x:v>
      </x:c>
      <x:c r="V1324" s="9" t="n">
        <x:f>H1324*MAX(0,AB1323-O1324)*v01_OvercapLoss</x:f>
        <x:v>0</x:v>
      </x:c>
      <x:c r="W1324" s="9" t="n">
        <x:f>H1324*Y1323/(v01_ChildYears*4)</x:f>
        <x:v>193.74167633668452</x:v>
      </x:c>
      <x:c r="X1324" s="9" t="n">
        <x:f>H1324*Z1323/(v01_AdultYears*4)</x:f>
        <x:v>98.73648515194785</x:v>
      </x:c>
      <x:c r="Y1324" s="32" t="n">
        <x:f>Y1323+R1324-S1324-W1324-Y1323*V1324/AB1323</x:f>
        <x:v>10914.70754223731</x:v>
      </x:c>
      <x:c r="Z1324" s="32" t="n">
        <x:f>Z1323+W1324-X1324-T1324-Z1323*V1324/AB1323</x:f>
        <x:v>12326.086025867426</x:v>
      </x:c>
      <x:c r="AA1324" s="32" t="n">
        <x:f>AA1323+X1324-U1324-AA1323*V1324/AB1323</x:f>
        <x:v>5582.168786222501</x:v>
      </x:c>
      <x:c r="AB1324" s="10" t="n">
        <x:f>Y1324+Z1324+AA1324</x:f>
        <x:v>28822.962354327236</x:v>
      </x:c>
      <x:c r="AC1324" s="8" t="n">
        <x:f>IF(AND(v01_WinterTrigger=1,D1324=1,AB1323/AE1323&gt;=K1324),1,0)</x:f>
        <x:v>0</x:v>
      </x:c>
      <x:c r="AD1324" s="8" t="n">
        <x:f>H1324*IF(AND(OR(AB1323/AE1323&gt;=v01_FissionTrigger*N1324,AC1324=1),AB1323/AE1323*v01_DaughterShare&gt;=v01_MinDaughter),MAX(1,ROUND(AE1323*v01_FissionRate,0)),0)</x:f>
        <x:v>0</x:v>
      </x:c>
      <x:c r="AE1324" s="8" t="n">
        <x:f>IF(H1324=1,MAX(1,MIN(INDEX(v01_Smax,G1324),AE1323+AD1324)),AE1323)</x:f>
        <x:v>15</x:v>
      </x:c>
      <x:c r="AF1324" s="8" t="n">
        <x:f>MAX(0,AE1324-AE1323)</x:f>
        <x:v>0</x:v>
      </x:c>
      <x:c r="AG1324" s="9" t="str">
        <x:f>IF(AF1324&gt;0,B1324,"")</x:f>
      </x:c>
      <x:c r="AH1324" s="9" t="n">
        <x:f>IF(F1324&gt;=1,1,(1+v01_LowTiesShare*(AE1324-1))/AE1324)</x:f>
        <x:v>1</x:v>
      </x:c>
      <x:c r="AI1324" s="32" t="n">
        <x:f>(Z1324+v01_ElderCommons*INDEX(LM_Elder,G1324)*AA1324)*AH1324</x:f>
        <x:v>33259.21897420181</x:v>
      </x:c>
      <x:c r="AJ1324" s="32" t="n">
        <x:f>H1324*v01_CommonsCoef*AI1324^v01_CommonsExp*INDEX(LM_Commons,G1324)</x:f>
        <x:v>12619.070937639317</x:v>
      </x:c>
      <x:c r="AK1324" s="32" t="n">
        <x:f>H1324*v01_RoleScale*Arch_Roles*(AE1324*(INDEX(v01_ElderRolePerSett,G1324)*v01_OutElder*INDEX(LM_Elder,G1324)+INDEX(v01_ShamanPerSett,G1324)*v01_OutShaman)+Z1324*(INDEX(v01_PriestShare,G1324)*v01_OutPriest+INDEX(v01_ScribeShare,G1324)*v01_OutScribe*INDEX(LM_Scribe,G1324)+INDEX(v01_ScholarShare,G1324)*v01_OutScholar*INDEX(LM_Scholar,G1324)+INDEX(v01_ResearcherShare,G1324)*v01_OutResearcher*INDEX(LM_Researcher,G1324)))</x:f>
        <x:v>3233.8511755527684</x:v>
      </x:c>
      <x:c r="AL1324" s="32" t="n">
        <x:f>H1324*v01_RoleScale*Arch_Roles*AE1324*INDEX(v01_MonasteryPerSett,G1324)*v01_OutMonastery*INDEX(LM_Monastery,G1324)</x:f>
        <x:v>6.6000000000000005</x:v>
      </x:c>
      <x:c r="AM1324" s="32" t="n">
        <x:f>(AJ1324+AK1324+AL1324)/4*INDEX(LM_All,G1324)*INDEX(v01_Boon,G1324)*Arch_Insight</x:f>
        <x:v>11426.650481345587</x:v>
      </x:c>
      <x:c r="AN1324" s="32" t="n">
        <x:f>H1324*(v01_KHPerAdult*Z1324+v01_KHOfCommons*AJ1324/4*INDEX(LM_All,G1324))*v01_KHUsable*Arch_KH</x:f>
        <x:v>431.4130109053599</x:v>
      </x:c>
      <x:c r="AO1324" s="32" t="n">
        <x:f>MIN(AP1323+AN1324,AM1324*v01_KHMaxRatio)</x:f>
        <x:v>431.4130109053599</x:v>
      </x:c>
      <x:c r="AP1324" s="32" t="n">
        <x:f>AP1323+AN1324-AO1324</x:f>
        <x:v>0</x:v>
      </x:c>
      <x:c r="AQ1324" s="32" t="n">
        <x:f>AM1324+AO1324</x:f>
        <x:v>11858.063492250947</x:v>
      </x:c>
      <x:c r="AR1324" s="10" t="n">
        <x:f>IF(H1324=1,INDEX(v01_Req,G1324),0)</x:f>
        <x:v>743165.805333726</x:v>
      </x:c>
      <x:c r="AS1324" s="32" t="n">
        <x:f>IF(H1324=1,IF(E1324=1,AS1323-AR1323,AS1323)+AQ1324,0)</x:f>
        <x:v>501587.98048875213</x:v>
      </x:c>
      <x:c r="AT1324" s="11" t="n">
        <x:f>IF(AR1324&gt;0,MIN(1,AS1324/AR1324),1)</x:f>
        <x:v>0.6749341491344708</x:v>
      </x:c>
      <x:c r="AU1324" s="10" t="n">
        <x:f>AB1324/INDEX(v01_RepScale,G1324)</x:f>
        <x:v>115.29184941730894</x:v>
      </x:c>
      <x:c r="AV1324" s="32" t="n">
        <x:f>AM1324*60/v01_SeasonSeconds</x:f>
        <x:v>45706.60192538235</x:v>
      </x:c>
    </x:row>
    <x:row r="1325">
      <x:c r="A1325" s="8" t="n">
        <x:f>A1324+1</x:f>
        <x:v>1322</x:v>
      </x:c>
      <x:c r="B1325" s="9" t="n">
        <x:f>A1325*v01_SeasonSeconds/60</x:f>
        <x:v>330.5</x:v>
      </x:c>
      <x:c r="C1325" s="9" t="n">
        <x:f>A1325/4</x:f>
        <x:v>330.5</x:v>
      </x:c>
      <x:c r="D1325" s="8" t="n">
        <x:f>IF(MOD(A1325,4)=0,1,0)</x:f>
        <x:v>0</x:v>
      </x:c>
      <x:c r="E1325" s="8" t="n">
        <x:f>IF(AND(F1324&lt;=9,AS1324&gt;=AR1324),1,0)</x:f>
        <x:v>0</x:v>
      </x:c>
      <x:c r="F1325" s="8" t="n">
        <x:f>MIN(10,F1324+E1325)</x:f>
        <x:v>8</x:v>
      </x:c>
      <x:c r="G1325" s="8" t="n">
        <x:f>MIN(F1325,9)+1</x:f>
        <x:v>9</x:v>
      </x:c>
      <x:c r="H1325" s="8" t="n">
        <x:f>IF(F1325&lt;=9,1,0)</x:f>
        <x:v>1</x:v>
      </x:c>
      <x:c r="I1325" s="9" t="n">
        <x:f>MIN(10,F1324+IF(AR1324&gt;0,MIN(1,AS1324/AR1324),1))</x:f>
        <x:v>8.67493414913447</x:v>
      </x:c>
      <x:c r="J1325" s="32" t="n">
        <x:f>INDEX(v01_FoodCap,G1325)*Arch_FoodCap*EXP(v01_CapsByProject*SUMPRODUCT((Cap_Point&lt;=I1325)*(Cap_Kind="Food")*Cap_Ln))</x:f>
        <x:v>6000</x:v>
      </x:c>
      <x:c r="K1325" s="32" t="n">
        <x:f>J1325*MIN(1,v01_LeanBase*EXP(v01_CapsByProject*SUMPRODUCT((Cap_Point&lt;=I1325)*(Cap_Kind="Lean")*Cap_Ln)))</x:f>
        <x:v>6000</x:v>
      </x:c>
      <x:c r="L1325" s="10" t="n">
        <x:f>INDEX(v01_HousingCap,G1325)*EXP(v01_CapsByProject*SUMPRODUCT((Cap_Point&lt;=I1325)*(Cap_Kind="Housing")*Cap_Ln))</x:f>
        <x:v>10000</x:v>
      </x:c>
      <x:c r="M1325" s="10" t="n">
        <x:f>INDEX(v01_GroupCap,G1325)*v01_CohesionFactor*EXP(v01_CapsByProject*SUMPRODUCT((Cap_Point&lt;=I1325)*(Cap_Kind="Group")*Cap_Ln))</x:f>
        <x:v>1000000</x:v>
      </x:c>
      <x:c r="N1325" s="32" t="n">
        <x:f>MIN(J1325,L1325,M1325)</x:f>
        <x:v>6000</x:v>
      </x:c>
      <x:c r="O1325" s="10" t="n">
        <x:f>AE1324*N1325</x:f>
        <x:v>90000</x:v>
      </x:c>
      <x:c r="P1325" s="9" t="n">
        <x:f>MIN(1,(AB1324/(AE1324*IF(v01_GroupInCrowding=1,N1325,MIN(J1325,L1325))))^v01_CrowdingExp)</x:f>
        <x:v>0.0010788886651654677</x:v>
      </x:c>
      <x:c r="Q1325" s="9" t="n">
        <x:f>IF(D1325=1,INDEX(v01_WinterMult,G1325),1)</x:f>
        <x:v>1</x:v>
      </x:c>
      <x:c r="R1325" s="9" t="n">
        <x:f>H1325*Z1324*v01_WomenShare*v01_BaseFertility*INDEX(v01_FertMult,G1325)*Arch_Fertility*(1-P1325)</x:f>
        <x:v>277.03771990578593</x:v>
      </x:c>
      <x:c r="S1325" s="9" t="n">
        <x:f>H1325*Y1324*INDEX(v01_MortChild,G1325)/4*Q1325</x:f>
        <x:v>16.372061313355964</x:v>
      </x:c>
      <x:c r="T1325" s="9" t="n">
        <x:f>H1325*Z1324*INDEX(v01_MortAdult,G1325)*Arch_AdultMort/4*Q1325</x:f>
        <x:v>12.326086025867426</x:v>
      </x:c>
      <x:c r="U1325" s="9" t="n">
        <x:f>H1325*AA1324*INDEX(v01_MortElder,G1325)/4*Q1325</x:f>
        <x:v>48.843976879446885</x:v>
      </x:c>
      <x:c r="V1325" s="9" t="n">
        <x:f>H1325*MAX(0,AB1324-O1325)*v01_OvercapLoss</x:f>
        <x:v>0</x:v>
      </x:c>
      <x:c r="W1325" s="9" t="n">
        <x:f>H1325*Y1324/(v01_ChildYears*4)</x:f>
        <x:v>194.90549182566625</x:v>
      </x:c>
      <x:c r="X1325" s="9" t="n">
        <x:f>H1325*Z1324/(v01_AdultYears*4)</x:f>
        <x:v>99.40391956344698</x:v>
      </x:c>
      <x:c r="Y1325" s="32" t="n">
        <x:f>Y1324+R1325-S1325-W1325-Y1324*V1325/AB1324</x:f>
        <x:v>10980.467709004073</x:v>
      </x:c>
      <x:c r="Z1325" s="32" t="n">
        <x:f>Z1324+W1325-X1325-T1325-Z1324*V1325/AB1324</x:f>
        <x:v>12409.261512103778</x:v>
      </x:c>
      <x:c r="AA1325" s="32" t="n">
        <x:f>AA1324+X1325-U1325-AA1324*V1325/AB1324</x:f>
        <x:v>5632.728728906501</x:v>
      </x:c>
      <x:c r="AB1325" s="10" t="n">
        <x:f>Y1325+Z1325+AA1325</x:f>
        <x:v>29022.45795001435</x:v>
      </x:c>
      <x:c r="AC1325" s="8" t="n">
        <x:f>IF(AND(v01_WinterTrigger=1,D1325=1,AB1324/AE1324&gt;=K1325),1,0)</x:f>
        <x:v>0</x:v>
      </x:c>
      <x:c r="AD1325" s="8" t="n">
        <x:f>H1325*IF(AND(OR(AB1324/AE1324&gt;=v01_FissionTrigger*N1325,AC1325=1),AB1324/AE1324*v01_DaughterShare&gt;=v01_MinDaughter),MAX(1,ROUND(AE1324*v01_FissionRate,0)),0)</x:f>
        <x:v>0</x:v>
      </x:c>
      <x:c r="AE1325" s="8" t="n">
        <x:f>IF(H1325=1,MAX(1,MIN(INDEX(v01_Smax,G1325),AE1324+AD1325)),AE1324)</x:f>
        <x:v>15</x:v>
      </x:c>
      <x:c r="AF1325" s="8" t="n">
        <x:f>MAX(0,AE1325-AE1324)</x:f>
        <x:v>0</x:v>
      </x:c>
      <x:c r="AG1325" s="9" t="str">
        <x:f>IF(AF1325&gt;0,B1325,"")</x:f>
      </x:c>
      <x:c r="AH1325" s="9" t="n">
        <x:f>IF(F1325&gt;=1,1,(1+v01_LowTiesShare*(AE1325-1))/AE1325)</x:f>
        <x:v>1</x:v>
      </x:c>
      <x:c r="AI1325" s="32" t="n">
        <x:f>(Z1325+v01_ElderCommons*INDEX(LM_Elder,G1325)*AA1325)*AH1325</x:f>
        <x:v>33531.994245503156</x:v>
      </x:c>
      <x:c r="AJ1325" s="32" t="n">
        <x:f>H1325*v01_CommonsCoef*AI1325^v01_CommonsExp*INDEX(LM_Commons,G1325)</x:f>
        <x:v>12706.987940050865</x:v>
      </x:c>
      <x:c r="AK1325" s="32" t="n">
        <x:f>H1325*v01_RoleScale*Arch_Roles*(AE1325*(INDEX(v01_ElderRolePerSett,G1325)*v01_OutElder*INDEX(LM_Elder,G1325)+INDEX(v01_ShamanPerSett,G1325)*v01_OutShaman)+Z1325*(INDEX(v01_PriestShare,G1325)*v01_OutPriest+INDEX(v01_ScribeShare,G1325)*v01_OutScribe*INDEX(LM_Scribe,G1325)+INDEX(v01_ScholarShare,G1325)*v01_OutScholar*INDEX(LM_Scholar,G1325)+INDEX(v01_ResearcherShare,G1325)*v01_OutResearcher*INDEX(LM_Researcher,G1325)))</x:f>
        <x:v>3255.3313424440466</x:v>
      </x:c>
      <x:c r="AL1325" s="32" t="n">
        <x:f>H1325*v01_RoleScale*Arch_Roles*AE1325*INDEX(v01_MonasteryPerSett,G1325)*v01_OutMonastery*INDEX(LM_Monastery,G1325)</x:f>
        <x:v>6.6000000000000005</x:v>
      </x:c>
      <x:c r="AM1325" s="32" t="n">
        <x:f>(AJ1325+AK1325+AL1325)/4*INDEX(LM_All,G1325)*INDEX(v01_Boon,G1325)*Arch_Insight</x:f>
        <x:v>11505.470209225796</x:v>
      </x:c>
      <x:c r="AN1325" s="32" t="n">
        <x:f>H1325*(v01_KHPerAdult*Z1325+v01_KHOfCommons*AJ1325/4*INDEX(LM_All,G1325))*v01_KHUsable*Arch_KH</x:f>
        <x:v>434.3241529236322</x:v>
      </x:c>
      <x:c r="AO1325" s="32" t="n">
        <x:f>MIN(AP1324+AN1325,AM1325*v01_KHMaxRatio)</x:f>
        <x:v>434.3241529236322</x:v>
      </x:c>
      <x:c r="AP1325" s="32" t="n">
        <x:f>AP1324+AN1325-AO1325</x:f>
        <x:v>0</x:v>
      </x:c>
      <x:c r="AQ1325" s="32" t="n">
        <x:f>AM1325+AO1325</x:f>
        <x:v>11939.794362149429</x:v>
      </x:c>
      <x:c r="AR1325" s="10" t="n">
        <x:f>IF(H1325=1,INDEX(v01_Req,G1325),0)</x:f>
        <x:v>743165.805333726</x:v>
      </x:c>
      <x:c r="AS1325" s="32" t="n">
        <x:f>IF(H1325=1,IF(E1325=1,AS1324-AR1324,AS1324)+AQ1325,0)</x:f>
        <x:v>513527.77485090157</x:v>
      </x:c>
      <x:c r="AT1325" s="11" t="n">
        <x:f>IF(AR1325&gt;0,MIN(1,AS1325/AR1325),1)</x:f>
        <x:v>0.6910002736472742</x:v>
      </x:c>
      <x:c r="AU1325" s="10" t="n">
        <x:f>AB1325/INDEX(v01_RepScale,G1325)</x:f>
        <x:v>116.08983180005741</x:v>
      </x:c>
      <x:c r="AV1325" s="32" t="n">
        <x:f>AM1325*60/v01_SeasonSeconds</x:f>
        <x:v>46021.88083690318</x:v>
      </x:c>
    </x:row>
    <x:row r="1326">
      <x:c r="A1326" s="8" t="n">
        <x:f>A1325+1</x:f>
        <x:v>1323</x:v>
      </x:c>
      <x:c r="B1326" s="9" t="n">
        <x:f>A1326*v01_SeasonSeconds/60</x:f>
        <x:v>330.75</x:v>
      </x:c>
      <x:c r="C1326" s="9" t="n">
        <x:f>A1326/4</x:f>
        <x:v>330.75</x:v>
      </x:c>
      <x:c r="D1326" s="8" t="n">
        <x:f>IF(MOD(A1326,4)=0,1,0)</x:f>
        <x:v>0</x:v>
      </x:c>
      <x:c r="E1326" s="8" t="n">
        <x:f>IF(AND(F1325&lt;=9,AS1325&gt;=AR1325),1,0)</x:f>
        <x:v>0</x:v>
      </x:c>
      <x:c r="F1326" s="8" t="n">
        <x:f>MIN(10,F1325+E1326)</x:f>
        <x:v>8</x:v>
      </x:c>
      <x:c r="G1326" s="8" t="n">
        <x:f>MIN(F1326,9)+1</x:f>
        <x:v>9</x:v>
      </x:c>
      <x:c r="H1326" s="8" t="n">
        <x:f>IF(F1326&lt;=9,1,0)</x:f>
        <x:v>1</x:v>
      </x:c>
      <x:c r="I1326" s="9" t="n">
        <x:f>MIN(10,F1325+IF(AR1325&gt;0,MIN(1,AS1325/AR1325),1))</x:f>
        <x:v>8.691000273647274</x:v>
      </x:c>
      <x:c r="J1326" s="32" t="n">
        <x:f>INDEX(v01_FoodCap,G1326)*Arch_FoodCap*EXP(v01_CapsByProject*SUMPRODUCT((Cap_Point&lt;=I1326)*(Cap_Kind="Food")*Cap_Ln))</x:f>
        <x:v>6000</x:v>
      </x:c>
      <x:c r="K1326" s="32" t="n">
        <x:f>J1326*MIN(1,v01_LeanBase*EXP(v01_CapsByProject*SUMPRODUCT((Cap_Point&lt;=I1326)*(Cap_Kind="Lean")*Cap_Ln)))</x:f>
        <x:v>6000</x:v>
      </x:c>
      <x:c r="L1326" s="10" t="n">
        <x:f>INDEX(v01_HousingCap,G1326)*EXP(v01_CapsByProject*SUMPRODUCT((Cap_Point&lt;=I1326)*(Cap_Kind="Housing")*Cap_Ln))</x:f>
        <x:v>10000</x:v>
      </x:c>
      <x:c r="M1326" s="10" t="n">
        <x:f>INDEX(v01_GroupCap,G1326)*v01_CohesionFactor*EXP(v01_CapsByProject*SUMPRODUCT((Cap_Point&lt;=I1326)*(Cap_Kind="Group")*Cap_Ln))</x:f>
        <x:v>1000000</x:v>
      </x:c>
      <x:c r="N1326" s="32" t="n">
        <x:f>MIN(J1326,L1326,M1326)</x:f>
        <x:v>6000</x:v>
      </x:c>
      <x:c r="O1326" s="10" t="n">
        <x:f>AE1325*N1326</x:f>
        <x:v>90000</x:v>
      </x:c>
      <x:c r="P1326" s="9" t="n">
        <x:f>MIN(1,(AB1325/(AE1325*IF(v01_GroupInCrowding=1,N1326,MIN(J1326,L1326))))^v01_CrowdingExp)</x:f>
        <x:v>0.001124475732095721</x:v>
      </x:c>
      <x:c r="Q1326" s="9" t="n">
        <x:f>IF(D1326=1,INDEX(v01_WinterMult,G1326),1)</x:f>
        <x:v>1</x:v>
      </x:c>
      <x:c r="R1326" s="9" t="n">
        <x:f>H1326*Z1325*v01_WomenShare*v01_BaseFertility*INDEX(v01_FertMult,G1326)*Arch_Fertility*(1-P1326)</x:f>
        <x:v>278.8944209703042</x:v>
      </x:c>
      <x:c r="S1326" s="9" t="n">
        <x:f>H1326*Y1325*INDEX(v01_MortChild,G1326)/4*Q1326</x:f>
        <x:v>16.47070156350611</x:v>
      </x:c>
      <x:c r="T1326" s="9" t="n">
        <x:f>H1326*Z1325*INDEX(v01_MortAdult,G1326)*Arch_AdultMort/4*Q1326</x:f>
        <x:v>12.409261512103779</x:v>
      </x:c>
      <x:c r="U1326" s="9" t="n">
        <x:f>H1326*AA1325*INDEX(v01_MortElder,G1326)/4*Q1326</x:f>
        <x:v>49.28637637793189</x:v>
      </x:c>
      <x:c r="V1326" s="9" t="n">
        <x:f>H1326*MAX(0,AB1325-O1326)*v01_OvercapLoss</x:f>
        <x:v>0</x:v>
      </x:c>
      <x:c r="W1326" s="9" t="n">
        <x:f>H1326*Y1325/(v01_ChildYears*4)</x:f>
        <x:v>196.0797805179299</x:v>
      </x:c>
      <x:c r="X1326" s="9" t="n">
        <x:f>H1326*Z1325/(v01_AdultYears*4)</x:f>
        <x:v>100.07468961374015</x:v>
      </x:c>
      <x:c r="Y1326" s="32" t="n">
        <x:f>Y1325+R1326-S1326-W1326-Y1325*V1326/AB1325</x:f>
        <x:v>11046.81164789294</x:v>
      </x:c>
      <x:c r="Z1326" s="32" t="n">
        <x:f>Z1325+W1326-X1326-T1326-Z1325*V1326/AB1325</x:f>
        <x:v>12492.857341495863</x:v>
      </x:c>
      <x:c r="AA1326" s="32" t="n">
        <x:f>AA1325+X1326-U1326-AA1325*V1326/AB1325</x:f>
        <x:v>5683.517042142309</x:v>
      </x:c>
      <x:c r="AB1326" s="10" t="n">
        <x:f>Y1326+Z1326+AA1326</x:f>
        <x:v>29223.186031531113</x:v>
      </x:c>
      <x:c r="AC1326" s="8" t="n">
        <x:f>IF(AND(v01_WinterTrigger=1,D1326=1,AB1325/AE1325&gt;=K1326),1,0)</x:f>
        <x:v>0</x:v>
      </x:c>
      <x:c r="AD1326" s="8" t="n">
        <x:f>H1326*IF(AND(OR(AB1325/AE1325&gt;=v01_FissionTrigger*N1326,AC1326=1),AB1325/AE1325*v01_DaughterShare&gt;=v01_MinDaughter),MAX(1,ROUND(AE1325*v01_FissionRate,0)),0)</x:f>
        <x:v>0</x:v>
      </x:c>
      <x:c r="AE1326" s="8" t="n">
        <x:f>IF(H1326=1,MAX(1,MIN(INDEX(v01_Smax,G1326),AE1325+AD1326)),AE1325)</x:f>
        <x:v>15</x:v>
      </x:c>
      <x:c r="AF1326" s="8" t="n">
        <x:f>MAX(0,AE1326-AE1325)</x:f>
        <x:v>0</x:v>
      </x:c>
      <x:c r="AG1326" s="9" t="str">
        <x:f>IF(AF1326&gt;0,B1326,"")</x:f>
      </x:c>
      <x:c r="AH1326" s="9" t="n">
        <x:f>IF(F1326&gt;=1,1,(1+v01_LowTiesShare*(AE1326-1))/AE1326)</x:f>
        <x:v>1</x:v>
      </x:c>
      <x:c r="AI1326" s="32" t="n">
        <x:f>(Z1326+v01_ElderCommons*INDEX(LM_Elder,G1326)*AA1326)*AH1326</x:f>
        <x:v>33806.04624952952</x:v>
      </x:c>
      <x:c r="AJ1326" s="32" t="n">
        <x:f>H1326*v01_CommonsCoef*AI1326^v01_CommonsExp*INDEX(LM_Commons,G1326)</x:f>
        <x:v>12795.208474644482</x:v>
      </x:c>
      <x:c r="AK1326" s="32" t="n">
        <x:f>H1326*v01_RoleScale*Arch_Roles*(AE1326*(INDEX(v01_ElderRolePerSett,G1326)*v01_OutElder*INDEX(LM_Elder,G1326)+INDEX(v01_ShamanPerSett,G1326)*v01_OutShaman)+Z1326*(INDEX(v01_PriestShare,G1326)*v01_OutPriest+INDEX(v01_ScribeShare,G1326)*v01_OutScribe*INDEX(LM_Scribe,G1326)+INDEX(v01_ScholarShare,G1326)*v01_OutScholar*INDEX(LM_Scholar,G1326)+INDEX(v01_ResearcherShare,G1326)*v01_OutResearcher*INDEX(LM_Researcher,G1326)))</x:f>
        <x:v>3276.920063448385</x:v>
      </x:c>
      <x:c r="AL1326" s="32" t="n">
        <x:f>H1326*v01_RoleScale*Arch_Roles*AE1326*INDEX(v01_MonasteryPerSett,G1326)*v01_OutMonastery*INDEX(LM_Monastery,G1326)</x:f>
        <x:v>6.6000000000000005</x:v>
      </x:c>
      <x:c r="AM1326" s="32" t="n">
        <x:f>(AJ1326+AK1326+AL1326)/4*INDEX(LM_All,G1326)*INDEX(v01_Boon,G1326)*Arch_Insight</x:f>
        <x:v>11584.586841768643</x:v>
      </x:c>
      <x:c r="AN1326" s="32" t="n">
        <x:f>H1326*(v01_KHPerAdult*Z1326+v01_KHOfCommons*AJ1326/4*INDEX(LM_All,G1326))*v01_KHUsable*Arch_KH</x:f>
        <x:v>437.25000695235525</x:v>
      </x:c>
      <x:c r="AO1326" s="32" t="n">
        <x:f>MIN(AP1325+AN1326,AM1326*v01_KHMaxRatio)</x:f>
        <x:v>437.25000695235525</x:v>
      </x:c>
      <x:c r="AP1326" s="32" t="n">
        <x:f>AP1325+AN1326-AO1326</x:f>
        <x:v>0</x:v>
      </x:c>
      <x:c r="AQ1326" s="32" t="n">
        <x:f>AM1326+AO1326</x:f>
        <x:v>12021.836848721</x:v>
      </x:c>
      <x:c r="AR1326" s="10" t="n">
        <x:f>IF(H1326=1,INDEX(v01_Req,G1326),0)</x:f>
        <x:v>743165.805333726</x:v>
      </x:c>
      <x:c r="AS1326" s="32" t="n">
        <x:f>IF(H1326=1,IF(E1326=1,AS1325-AR1325,AS1325)+AQ1326,0)</x:f>
        <x:v>525549.6116996226</x:v>
      </x:c>
      <x:c r="AT1326" s="11" t="n">
        <x:f>IF(AR1326&gt;0,MIN(1,AS1326/AR1326),1)</x:f>
        <x:v>0.7071767940986188</x:v>
      </x:c>
      <x:c r="AU1326" s="10" t="n">
        <x:f>AB1326/INDEX(v01_RepScale,G1326)</x:f>
        <x:v>116.89274412612446</x:v>
      </x:c>
      <x:c r="AV1326" s="32" t="n">
        <x:f>AM1326*60/v01_SeasonSeconds</x:f>
        <x:v>46338.34736707457</x:v>
      </x:c>
    </x:row>
    <x:row r="1327">
      <x:c r="A1327" s="8" t="n">
        <x:f>A1326+1</x:f>
        <x:v>1324</x:v>
      </x:c>
      <x:c r="B1327" s="9" t="n">
        <x:f>A1327*v01_SeasonSeconds/60</x:f>
        <x:v>331</x:v>
      </x:c>
      <x:c r="C1327" s="9" t="n">
        <x:f>A1327/4</x:f>
        <x:v>331</x:v>
      </x:c>
      <x:c r="D1327" s="8" t="n">
        <x:f>IF(MOD(A1327,4)=0,1,0)</x:f>
        <x:v>1</x:v>
      </x:c>
      <x:c r="E1327" s="8" t="n">
        <x:f>IF(AND(F1326&lt;=9,AS1326&gt;=AR1326),1,0)</x:f>
        <x:v>0</x:v>
      </x:c>
      <x:c r="F1327" s="8" t="n">
        <x:f>MIN(10,F1326+E1327)</x:f>
        <x:v>8</x:v>
      </x:c>
      <x:c r="G1327" s="8" t="n">
        <x:f>MIN(F1327,9)+1</x:f>
        <x:v>9</x:v>
      </x:c>
      <x:c r="H1327" s="8" t="n">
        <x:f>IF(F1327&lt;=9,1,0)</x:f>
        <x:v>1</x:v>
      </x:c>
      <x:c r="I1327" s="9" t="n">
        <x:f>MIN(10,F1326+IF(AR1326&gt;0,MIN(1,AS1326/AR1326),1))</x:f>
        <x:v>8.707176794098618</x:v>
      </x:c>
      <x:c r="J1327" s="32" t="n">
        <x:f>INDEX(v01_FoodCap,G1327)*Arch_FoodCap*EXP(v01_CapsByProject*SUMPRODUCT((Cap_Point&lt;=I1327)*(Cap_Kind="Food")*Cap_Ln))</x:f>
        <x:v>6000</x:v>
      </x:c>
      <x:c r="K1327" s="32" t="n">
        <x:f>J1327*MIN(1,v01_LeanBase*EXP(v01_CapsByProject*SUMPRODUCT((Cap_Point&lt;=I1327)*(Cap_Kind="Lean")*Cap_Ln)))</x:f>
        <x:v>6000</x:v>
      </x:c>
      <x:c r="L1327" s="10" t="n">
        <x:f>INDEX(v01_HousingCap,G1327)*EXP(v01_CapsByProject*SUMPRODUCT((Cap_Point&lt;=I1327)*(Cap_Kind="Housing")*Cap_Ln))</x:f>
        <x:v>10000</x:v>
      </x:c>
      <x:c r="M1327" s="10" t="n">
        <x:f>INDEX(v01_GroupCap,G1327)*v01_CohesionFactor*EXP(v01_CapsByProject*SUMPRODUCT((Cap_Point&lt;=I1327)*(Cap_Kind="Group")*Cap_Ln))</x:f>
        <x:v>1000000</x:v>
      </x:c>
      <x:c r="N1327" s="32" t="n">
        <x:f>MIN(J1327,L1327,M1327)</x:f>
        <x:v>6000</x:v>
      </x:c>
      <x:c r="O1327" s="10" t="n">
        <x:f>AE1326*N1327</x:f>
        <x:v>90000</x:v>
      </x:c>
      <x:c r="P1327" s="9" t="n">
        <x:f>MIN(1,(AB1326/(AE1326*IF(v01_GroupInCrowding=1,N1327,MIN(J1327,L1327))))^v01_CrowdingExp)</x:f>
        <x:v>0.0011719533366206323</x:v>
      </x:c>
      <x:c r="Q1327" s="9" t="n">
        <x:f>IF(D1327=1,INDEX(v01_WinterMult,G1327),1)</x:f>
        <x:v>1</x:v>
      </x:c>
      <x:c r="R1327" s="9" t="n">
        <x:f>H1327*Z1326*v01_WomenShare*v01_BaseFertility*INDEX(v01_FertMult,G1327)*Arch_Fertility*(1-P1327)</x:f>
        <x:v>280.7598666521378</x:v>
      </x:c>
      <x:c r="S1327" s="9" t="n">
        <x:f>H1327*Y1326*INDEX(v01_MortChild,G1327)/4*Q1327</x:f>
        <x:v>16.57021747183941</x:v>
      </x:c>
      <x:c r="T1327" s="9" t="n">
        <x:f>H1327*Z1326*INDEX(v01_MortAdult,G1327)*Arch_AdultMort/4*Q1327</x:f>
        <x:v>12.492857341495863</x:v>
      </x:c>
      <x:c r="U1327" s="9" t="n">
        <x:f>H1327*AA1326*INDEX(v01_MortElder,G1327)/4*Q1327</x:f>
        <x:v>49.73077411874521</x:v>
      </x:c>
      <x:c r="V1327" s="9" t="n">
        <x:f>H1327*MAX(0,AB1326-O1327)*v01_OvercapLoss</x:f>
        <x:v>0</x:v>
      </x:c>
      <x:c r="W1327" s="9" t="n">
        <x:f>H1327*Y1326/(v01_ChildYears*4)</x:f>
        <x:v>197.26449371237393</x:v>
      </x:c>
      <x:c r="X1327" s="9" t="n">
        <x:f>H1327*Z1326/(v01_AdultYears*4)</x:f>
        <x:v>100.74884952819244</x:v>
      </x:c>
      <x:c r="Y1327" s="32" t="n">
        <x:f>Y1326+R1327-S1327-W1327-Y1326*V1327/AB1326</x:f>
        <x:v>11113.736803360865</x:v>
      </x:c>
      <x:c r="Z1327" s="32" t="n">
        <x:f>Z1326+W1327-X1327-T1327-Z1326*V1327/AB1326</x:f>
        <x:v>12576.880128338547</x:v>
      </x:c>
      <x:c r="AA1327" s="32" t="n">
        <x:f>AA1326+X1327-U1327-AA1326*V1327/AB1326</x:f>
        <x:v>5734.535117551756</x:v>
      </x:c>
      <x:c r="AB1327" s="10" t="n">
        <x:f>Y1327+Z1327+AA1327</x:f>
        <x:v>29425.15204925117</x:v>
      </x:c>
      <x:c r="AC1327" s="8" t="n">
        <x:f>IF(AND(v01_WinterTrigger=1,D1327=1,AB1326/AE1326&gt;=K1327),1,0)</x:f>
        <x:v>0</x:v>
      </x:c>
      <x:c r="AD1327" s="8" t="n">
        <x:f>H1327*IF(AND(OR(AB1326/AE1326&gt;=v01_FissionTrigger*N1327,AC1327=1),AB1326/AE1326*v01_DaughterShare&gt;=v01_MinDaughter),MAX(1,ROUND(AE1326*v01_FissionRate,0)),0)</x:f>
        <x:v>0</x:v>
      </x:c>
      <x:c r="AE1327" s="8" t="n">
        <x:f>IF(H1327=1,MAX(1,MIN(INDEX(v01_Smax,G1327),AE1326+AD1327)),AE1326)</x:f>
        <x:v>15</x:v>
      </x:c>
      <x:c r="AF1327" s="8" t="n">
        <x:f>MAX(0,AE1327-AE1326)</x:f>
        <x:v>0</x:v>
      </x:c>
      <x:c r="AG1327" s="9" t="str">
        <x:f>IF(AF1327&gt;0,B1327,"")</x:f>
      </x:c>
      <x:c r="AH1327" s="9" t="n">
        <x:f>IF(F1327&gt;=1,1,(1+v01_LowTiesShare*(AE1327-1))/AE1327)</x:f>
        <x:v>1</x:v>
      </x:c>
      <x:c r="AI1327" s="32" t="n">
        <x:f>(Z1327+v01_ElderCommons*INDEX(LM_Elder,G1327)*AA1327)*AH1327</x:f>
        <x:v>34081.38681915763</x:v>
      </x:c>
      <x:c r="AJ1327" s="32" t="n">
        <x:f>H1327*v01_CommonsCoef*AI1327^v01_CommonsExp*INDEX(LM_Commons,G1327)</x:f>
        <x:v>12883.73584644783</x:v>
      </x:c>
      <x:c r="AK1327" s="32" t="n">
        <x:f>H1327*v01_RoleScale*Arch_Roles*(AE1327*(INDEX(v01_ElderRolePerSett,G1327)*v01_OutElder*INDEX(LM_Elder,G1327)+INDEX(v01_ShamanPerSett,G1327)*v01_OutShaman)+Z1327*(INDEX(v01_PriestShare,G1327)*v01_OutPriest+INDEX(v01_ScribeShare,G1327)*v01_OutScribe*INDEX(LM_Scribe,G1327)+INDEX(v01_ScholarShare,G1327)*v01_OutScholar*INDEX(LM_Scholar,G1327)+INDEX(v01_ResearcherShare,G1327)*v01_OutResearcher*INDEX(LM_Researcher,G1327)))</x:f>
        <x:v>3298.6190467151923</x:v>
      </x:c>
      <x:c r="AL1327" s="32" t="n">
        <x:f>H1327*v01_RoleScale*Arch_Roles*AE1327*INDEX(v01_MonasteryPerSett,G1327)*v01_OutMonastery*INDEX(LM_Monastery,G1327)</x:f>
        <x:v>6.6000000000000005</x:v>
      </x:c>
      <x:c r="AM1327" s="32" t="n">
        <x:f>(AJ1327+AK1327+AL1327)/4*INDEX(LM_All,G1327)*INDEX(v01_Boon,G1327)*Arch_Insight</x:f>
        <x:v>11664.00399092547</x:v>
      </x:c>
      <x:c r="AN1327" s="32" t="n">
        <x:f>H1327*(v01_KHPerAdult*Z1327+v01_KHOfCommons*AJ1327/4*INDEX(LM_All,G1327))*v01_KHUsable*Arch_KH</x:f>
        <x:v>440.1908044918492</x:v>
      </x:c>
      <x:c r="AO1327" s="32" t="n">
        <x:f>MIN(AP1326+AN1327,AM1327*v01_KHMaxRatio)</x:f>
        <x:v>440.1908044918492</x:v>
      </x:c>
      <x:c r="AP1327" s="32" t="n">
        <x:f>AP1326+AN1327-AO1327</x:f>
        <x:v>0</x:v>
      </x:c>
      <x:c r="AQ1327" s="32" t="n">
        <x:f>AM1327+AO1327</x:f>
        <x:v>12104.19479541732</x:v>
      </x:c>
      <x:c r="AR1327" s="10" t="n">
        <x:f>IF(H1327=1,INDEX(v01_Req,G1327),0)</x:f>
        <x:v>743165.805333726</x:v>
      </x:c>
      <x:c r="AS1327" s="32" t="n">
        <x:f>IF(H1327=1,IF(E1327=1,AS1326-AR1326,AS1326)+AQ1327,0)</x:f>
        <x:v>537653.80649504</x:v>
      </x:c>
      <x:c r="AT1327" s="11" t="n">
        <x:f>IF(AR1327&gt;0,MIN(1,AS1327/AR1327),1)</x:f>
        <x:v>0.7234641349699898</x:v>
      </x:c>
      <x:c r="AU1327" s="10" t="n">
        <x:f>AB1327/INDEX(v01_RepScale,G1327)</x:f>
        <x:v>117.70060819700468</x:v>
      </x:c>
      <x:c r="AV1327" s="32" t="n">
        <x:f>AM1327*60/v01_SeasonSeconds</x:f>
        <x:v>46656.01596370188</x:v>
      </x:c>
    </x:row>
    <x:row r="1328">
      <x:c r="A1328" s="8" t="n">
        <x:f>A1327+1</x:f>
        <x:v>1325</x:v>
      </x:c>
      <x:c r="B1328" s="9" t="n">
        <x:f>A1328*v01_SeasonSeconds/60</x:f>
        <x:v>331.25</x:v>
      </x:c>
      <x:c r="C1328" s="9" t="n">
        <x:f>A1328/4</x:f>
        <x:v>331.25</x:v>
      </x:c>
      <x:c r="D1328" s="8" t="n">
        <x:f>IF(MOD(A1328,4)=0,1,0)</x:f>
        <x:v>0</x:v>
      </x:c>
      <x:c r="E1328" s="8" t="n">
        <x:f>IF(AND(F1327&lt;=9,AS1327&gt;=AR1327),1,0)</x:f>
        <x:v>0</x:v>
      </x:c>
      <x:c r="F1328" s="8" t="n">
        <x:f>MIN(10,F1327+E1328)</x:f>
        <x:v>8</x:v>
      </x:c>
      <x:c r="G1328" s="8" t="n">
        <x:f>MIN(F1328,9)+1</x:f>
        <x:v>9</x:v>
      </x:c>
      <x:c r="H1328" s="8" t="n">
        <x:f>IF(F1328&lt;=9,1,0)</x:f>
        <x:v>1</x:v>
      </x:c>
      <x:c r="I1328" s="9" t="n">
        <x:f>MIN(10,F1327+IF(AR1327&gt;0,MIN(1,AS1327/AR1327),1))</x:f>
        <x:v>8.72346413496999</x:v>
      </x:c>
      <x:c r="J1328" s="32" t="n">
        <x:f>INDEX(v01_FoodCap,G1328)*Arch_FoodCap*EXP(v01_CapsByProject*SUMPRODUCT((Cap_Point&lt;=I1328)*(Cap_Kind="Food")*Cap_Ln))</x:f>
        <x:v>6000</x:v>
      </x:c>
      <x:c r="K1328" s="32" t="n">
        <x:f>J1328*MIN(1,v01_LeanBase*EXP(v01_CapsByProject*SUMPRODUCT((Cap_Point&lt;=I1328)*(Cap_Kind="Lean")*Cap_Ln)))</x:f>
        <x:v>6000</x:v>
      </x:c>
      <x:c r="L1328" s="10" t="n">
        <x:f>INDEX(v01_HousingCap,G1328)*EXP(v01_CapsByProject*SUMPRODUCT((Cap_Point&lt;=I1328)*(Cap_Kind="Housing")*Cap_Ln))</x:f>
        <x:v>10000</x:v>
      </x:c>
      <x:c r="M1328" s="10" t="n">
        <x:f>INDEX(v01_GroupCap,G1328)*v01_CohesionFactor*EXP(v01_CapsByProject*SUMPRODUCT((Cap_Point&lt;=I1328)*(Cap_Kind="Group")*Cap_Ln))</x:f>
        <x:v>1000000</x:v>
      </x:c>
      <x:c r="N1328" s="32" t="n">
        <x:f>MIN(J1328,L1328,M1328)</x:f>
        <x:v>6000</x:v>
      </x:c>
      <x:c r="O1328" s="10" t="n">
        <x:f>AE1327*N1328</x:f>
        <x:v>90000</x:v>
      </x:c>
      <x:c r="P1328" s="9" t="n">
        <x:f>MIN(1,(AB1327/(AE1327*IF(v01_GroupInCrowding=1,N1328,MIN(J1328,L1328))))^v01_CrowdingExp)</x:f>
        <x:v>0.0012213980922809308</x:v>
      </x:c>
      <x:c r="Q1328" s="9" t="n">
        <x:f>IF(D1328=1,INDEX(v01_WinterMult,G1328),1)</x:f>
        <x:v>1</x:v>
      </x:c>
      <x:c r="R1328" s="9" t="n">
        <x:f>H1328*Z1327*v01_WomenShare*v01_BaseFertility*INDEX(v01_FertMult,G1328)*Arch_Fertility*(1-P1328)</x:f>
        <x:v>282.63417189621634</x:v>
      </x:c>
      <x:c r="S1328" s="9" t="n">
        <x:f>H1328*Y1327*INDEX(v01_MortChild,G1328)/4*Q1328</x:f>
        <x:v>16.670605205041298</x:v>
      </x:c>
      <x:c r="T1328" s="9" t="n">
        <x:f>H1328*Z1327*INDEX(v01_MortAdult,G1328)*Arch_AdultMort/4*Q1328</x:f>
        <x:v>12.576880128338548</x:v>
      </x:c>
      <x:c r="U1328" s="9" t="n">
        <x:f>H1328*AA1327*INDEX(v01_MortElder,G1328)/4*Q1328</x:f>
        <x:v>50.177182278577874</x:v>
      </x:c>
      <x:c r="V1328" s="9" t="n">
        <x:f>H1328*MAX(0,AB1327-O1328)*v01_OvercapLoss</x:f>
        <x:v>0</x:v>
      </x:c>
      <x:c r="W1328" s="9" t="n">
        <x:f>H1328*Y1327/(v01_ChildYears*4)</x:f>
        <x:v>198.45958577430116</x:v>
      </x:c>
      <x:c r="X1328" s="9" t="n">
        <x:f>H1328*Z1327/(v01_AdultYears*4)</x:f>
        <x:v>101.42645264789151</x:v>
      </x:c>
      <x:c r="Y1328" s="32" t="n">
        <x:f>Y1327+R1328-S1328-W1328-Y1327*V1328/AB1327</x:f>
        <x:v>11181.24078427774</x:v>
      </x:c>
      <x:c r="Z1328" s="32" t="n">
        <x:f>Z1327+W1328-X1328-T1328-Z1327*V1328/AB1327</x:f>
        <x:v>12661.336381336618</x:v>
      </x:c>
      <x:c r="AA1328" s="32" t="n">
        <x:f>AA1327+X1328-U1328-AA1327*V1328/AB1327</x:f>
        <x:v>5785.78438792107</x:v>
      </x:c>
      <x:c r="AB1328" s="10" t="n">
        <x:f>Y1328+Z1328+AA1328</x:f>
        <x:v>29628.361553535426</x:v>
      </x:c>
      <x:c r="AC1328" s="8" t="n">
        <x:f>IF(AND(v01_WinterTrigger=1,D1328=1,AB1327/AE1327&gt;=K1328),1,0)</x:f>
        <x:v>0</x:v>
      </x:c>
      <x:c r="AD1328" s="8" t="n">
        <x:f>H1328*IF(AND(OR(AB1327/AE1327&gt;=v01_FissionTrigger*N1328,AC1328=1),AB1327/AE1327*v01_DaughterShare&gt;=v01_MinDaughter),MAX(1,ROUND(AE1327*v01_FissionRate,0)),0)</x:f>
        <x:v>0</x:v>
      </x:c>
      <x:c r="AE1328" s="8" t="n">
        <x:f>IF(H1328=1,MAX(1,MIN(INDEX(v01_Smax,G1328),AE1327+AD1328)),AE1327)</x:f>
        <x:v>15</x:v>
      </x:c>
      <x:c r="AF1328" s="8" t="n">
        <x:f>MAX(0,AE1328-AE1327)</x:f>
        <x:v>0</x:v>
      </x:c>
      <x:c r="AG1328" s="9" t="str">
        <x:f>IF(AF1328&gt;0,B1328,"")</x:f>
      </x:c>
      <x:c r="AH1328" s="9" t="n">
        <x:f>IF(F1328&gt;=1,1,(1+v01_LowTiesShare*(AE1328-1))/AE1328)</x:f>
        <x:v>1</x:v>
      </x:c>
      <x:c r="AI1328" s="32" t="n">
        <x:f>(Z1328+v01_ElderCommons*INDEX(LM_Elder,G1328)*AA1328)*AH1328</x:f>
        <x:v>34358.02783604063</x:v>
      </x:c>
      <x:c r="AJ1328" s="32" t="n">
        <x:f>H1328*v01_CommonsCoef*AI1328^v01_CommonsExp*INDEX(LM_Commons,G1328)</x:f>
        <x:v>12972.573361216726</x:v>
      </x:c>
      <x:c r="AK1328" s="32" t="n">
        <x:f>H1328*v01_RoleScale*Arch_Roles*(AE1328*(INDEX(v01_ElderRolePerSett,G1328)*v01_OutElder*INDEX(LM_Elder,G1328)+INDEX(v01_ShamanPerSett,G1328)*v01_OutShaman)+Z1328*(INDEX(v01_PriestShare,G1328)*v01_OutPriest+INDEX(v01_ScribeShare,G1328)*v01_OutScribe*INDEX(LM_Scribe,G1328)+INDEX(v01_ScholarShare,G1328)*v01_OutScholar*INDEX(LM_Scholar,G1328)+INDEX(v01_ResearcherShare,G1328)*v01_OutResearcher*INDEX(LM_Researcher,G1328)))</x:f>
        <x:v>3320.4299731251144</x:v>
      </x:c>
      <x:c r="AL1328" s="32" t="n">
        <x:f>H1328*v01_RoleScale*Arch_Roles*AE1328*INDEX(v01_MonasteryPerSett,G1328)*v01_OutMonastery*INDEX(LM_Monastery,G1328)</x:f>
        <x:v>6.6000000000000005</x:v>
      </x:c>
      <x:c r="AM1328" s="32" t="n">
        <x:f>(AJ1328+AK1328+AL1328)/4*INDEX(LM_All,G1328)*INDEX(v01_Boon,G1328)*Arch_Insight</x:f>
        <x:v>11743.725249525334</x:v>
      </x:c>
      <x:c r="AN1328" s="32" t="n">
        <x:f>H1328*(v01_KHPerAdult*Z1328+v01_KHOfCommons*AJ1328/4*INDEX(LM_All,G1328))*v01_KHUsable*Arch_KH</x:f>
        <x:v>443.14677334678163</x:v>
      </x:c>
      <x:c r="AO1328" s="32" t="n">
        <x:f>MIN(AP1327+AN1328,AM1328*v01_KHMaxRatio)</x:f>
        <x:v>443.14677334678163</x:v>
      </x:c>
      <x:c r="AP1328" s="32" t="n">
        <x:f>AP1327+AN1328-AO1328</x:f>
        <x:v>0</x:v>
      </x:c>
      <x:c r="AQ1328" s="32" t="n">
        <x:f>AM1328+AO1328</x:f>
        <x:v>12186.872022872116</x:v>
      </x:c>
      <x:c r="AR1328" s="10" t="n">
        <x:f>IF(H1328=1,INDEX(v01_Req,G1328),0)</x:f>
        <x:v>743165.805333726</x:v>
      </x:c>
      <x:c r="AS1328" s="32" t="n">
        <x:f>IF(H1328=1,IF(E1328=1,AS1327-AR1327,AS1327)+AQ1328,0)</x:f>
        <x:v>549840.678517912</x:v>
      </x:c>
      <x:c r="AT1328" s="11" t="n">
        <x:f>IF(AR1328&gt;0,MIN(1,AS1328/AR1328),1)</x:f>
        <x:v>0.739862725883897</x:v>
      </x:c>
      <x:c r="AU1328" s="10" t="n">
        <x:f>AB1328/INDEX(v01_RepScale,G1328)</x:f>
        <x:v>118.51344621414171</x:v>
      </x:c>
      <x:c r="AV1328" s="32" t="n">
        <x:f>AM1328*60/v01_SeasonSeconds</x:f>
        <x:v>46974.90099810134</x:v>
      </x:c>
    </x:row>
    <x:row r="1329">
      <x:c r="A1329" s="8" t="n">
        <x:f>A1328+1</x:f>
        <x:v>1326</x:v>
      </x:c>
      <x:c r="B1329" s="9" t="n">
        <x:f>A1329*v01_SeasonSeconds/60</x:f>
        <x:v>331.5</x:v>
      </x:c>
      <x:c r="C1329" s="9" t="n">
        <x:f>A1329/4</x:f>
        <x:v>331.5</x:v>
      </x:c>
      <x:c r="D1329" s="8" t="n">
        <x:f>IF(MOD(A1329,4)=0,1,0)</x:f>
        <x:v>0</x:v>
      </x:c>
      <x:c r="E1329" s="8" t="n">
        <x:f>IF(AND(F1328&lt;=9,AS1328&gt;=AR1328),1,0)</x:f>
        <x:v>0</x:v>
      </x:c>
      <x:c r="F1329" s="8" t="n">
        <x:f>MIN(10,F1328+E1329)</x:f>
        <x:v>8</x:v>
      </x:c>
      <x:c r="G1329" s="8" t="n">
        <x:f>MIN(F1329,9)+1</x:f>
        <x:v>9</x:v>
      </x:c>
      <x:c r="H1329" s="8" t="n">
        <x:f>IF(F1329&lt;=9,1,0)</x:f>
        <x:v>1</x:v>
      </x:c>
      <x:c r="I1329" s="9" t="n">
        <x:f>MIN(10,F1328+IF(AR1328&gt;0,MIN(1,AS1328/AR1328),1))</x:f>
        <x:v>8.739862725883897</x:v>
      </x:c>
      <x:c r="J1329" s="32" t="n">
        <x:f>INDEX(v01_FoodCap,G1329)*Arch_FoodCap*EXP(v01_CapsByProject*SUMPRODUCT((Cap_Point&lt;=I1329)*(Cap_Kind="Food")*Cap_Ln))</x:f>
        <x:v>6000</x:v>
      </x:c>
      <x:c r="K1329" s="32" t="n">
        <x:f>J1329*MIN(1,v01_LeanBase*EXP(v01_CapsByProject*SUMPRODUCT((Cap_Point&lt;=I1329)*(Cap_Kind="Lean")*Cap_Ln)))</x:f>
        <x:v>6000</x:v>
      </x:c>
      <x:c r="L1329" s="10" t="n">
        <x:f>INDEX(v01_HousingCap,G1329)*EXP(v01_CapsByProject*SUMPRODUCT((Cap_Point&lt;=I1329)*(Cap_Kind="Housing")*Cap_Ln))</x:f>
        <x:v>10000</x:v>
      </x:c>
      <x:c r="M1329" s="10" t="n">
        <x:f>INDEX(v01_GroupCap,G1329)*v01_CohesionFactor*EXP(v01_CapsByProject*SUMPRODUCT((Cap_Point&lt;=I1329)*(Cap_Kind="Group")*Cap_Ln))</x:f>
        <x:v>1000000</x:v>
      </x:c>
      <x:c r="N1329" s="32" t="n">
        <x:f>MIN(J1329,L1329,M1329)</x:f>
        <x:v>6000</x:v>
      </x:c>
      <x:c r="O1329" s="10" t="n">
        <x:f>AE1328*N1329</x:f>
        <x:v>90000</x:v>
      </x:c>
      <x:c r="P1329" s="9" t="n">
        <x:f>MIN(1,(AB1328/(AE1328*IF(v01_GroupInCrowding=1,N1329,MIN(J1329,L1329))))^v01_CrowdingExp)</x:f>
        <x:v>0.0012728896566905263</x:v>
      </x:c>
      <x:c r="Q1329" s="9" t="n">
        <x:f>IF(D1329=1,INDEX(v01_WinterMult,G1329),1)</x:f>
        <x:v>1</x:v>
      </x:c>
      <x:c r="R1329" s="9" t="n">
        <x:f>H1329*Z1328*v01_WomenShare*v01_BaseFertility*INDEX(v01_FertMult,G1329)*Arch_Fertility*(1-P1329)</x:f>
        <x:v>284.517447687381</x:v>
      </x:c>
      <x:c r="S1329" s="9" t="n">
        <x:f>H1329*Y1328*INDEX(v01_MortChild,G1329)/4*Q1329</x:f>
        <x:v>16.77186117641661</x:v>
      </x:c>
      <x:c r="T1329" s="9" t="n">
        <x:f>H1329*Z1328*INDEX(v01_MortAdult,G1329)*Arch_AdultMort/4*Q1329</x:f>
        <x:v>12.661336381336618</x:v>
      </x:c>
      <x:c r="U1329" s="9" t="n">
        <x:f>H1329*AA1328*INDEX(v01_MortElder,G1329)/4*Q1329</x:f>
        <x:v>50.62561339430937</x:v>
      </x:c>
      <x:c r="V1329" s="9" t="n">
        <x:f>H1329*MAX(0,AB1328-O1329)*v01_OvercapLoss</x:f>
        <x:v>0</x:v>
      </x:c>
      <x:c r="W1329" s="9" t="n">
        <x:f>H1329*Y1328/(v01_ChildYears*4)</x:f>
        <x:v>199.66501400495963</x:v>
      </x:c>
      <x:c r="X1329" s="9" t="n">
        <x:f>H1329*Z1328/(v01_AdultYears*4)</x:f>
        <x:v>102.10755146239208</x:v>
      </x:c>
      <x:c r="Y1329" s="32" t="n">
        <x:f>Y1328+R1329-S1329-W1329-Y1328*V1329/AB1328</x:f>
        <x:v>11249.321356783745</x:v>
      </x:c>
      <x:c r="Z1329" s="32" t="n">
        <x:f>Z1328+W1329-X1329-T1329-Z1328*V1329/AB1328</x:f>
        <x:v>12746.232507497849</x:v>
      </x:c>
      <x:c r="AA1329" s="32" t="n">
        <x:f>AA1328+X1329-U1329-AA1328*V1329/AB1328</x:f>
        <x:v>5837.266325989152</x:v>
      </x:c>
      <x:c r="AB1329" s="10" t="n">
        <x:f>Y1329+Z1329+AA1329</x:f>
        <x:v>29832.820190270748</x:v>
      </x:c>
      <x:c r="AC1329" s="8" t="n">
        <x:f>IF(AND(v01_WinterTrigger=1,D1329=1,AB1328/AE1328&gt;=K1329),1,0)</x:f>
        <x:v>0</x:v>
      </x:c>
      <x:c r="AD1329" s="8" t="n">
        <x:f>H1329*IF(AND(OR(AB1328/AE1328&gt;=v01_FissionTrigger*N1329,AC1329=1),AB1328/AE1328*v01_DaughterShare&gt;=v01_MinDaughter),MAX(1,ROUND(AE1328*v01_FissionRate,0)),0)</x:f>
        <x:v>0</x:v>
      </x:c>
      <x:c r="AE1329" s="8" t="n">
        <x:f>IF(H1329=1,MAX(1,MIN(INDEX(v01_Smax,G1329),AE1328+AD1329)),AE1328)</x:f>
        <x:v>15</x:v>
      </x:c>
      <x:c r="AF1329" s="8" t="n">
        <x:f>MAX(0,AE1329-AE1328)</x:f>
        <x:v>0</x:v>
      </x:c>
      <x:c r="AG1329" s="9" t="str">
        <x:f>IF(AF1329&gt;0,B1329,"")</x:f>
      </x:c>
      <x:c r="AH1329" s="9" t="n">
        <x:f>IF(F1329&gt;=1,1,(1+v01_LowTiesShare*(AE1329-1))/AE1329)</x:f>
        <x:v>1</x:v>
      </x:c>
      <x:c r="AI1329" s="32" t="n">
        <x:f>(Z1329+v01_ElderCommons*INDEX(LM_Elder,G1329)*AA1329)*AH1329</x:f>
        <x:v>34635.98122995717</x:v>
      </x:c>
      <x:c r="AJ1329" s="32" t="n">
        <x:f>H1329*v01_CommonsCoef*AI1329^v01_CommonsExp*INDEX(LM_Commons,G1329)</x:f>
        <x:v>13061.72432530324</x:v>
      </x:c>
      <x:c r="AK1329" s="32" t="n">
        <x:f>H1329*v01_RoleScale*Arch_Roles*(AE1329*(INDEX(v01_ElderRolePerSett,G1329)*v01_OutElder*INDEX(LM_Elder,G1329)+INDEX(v01_ShamanPerSett,G1329)*v01_OutShaman)+Z1329*(INDEX(v01_PriestShare,G1329)*v01_OutPriest+INDEX(v01_ScribeShare,G1329)*v01_OutScribe*INDEX(LM_Scribe,G1329)+INDEX(v01_ScholarShare,G1329)*v01_OutScholar*INDEX(LM_Scholar,G1329)+INDEX(v01_ResearcherShare,G1329)*v01_OutResearcher*INDEX(LM_Researcher,G1329)))</x:f>
        <x:v>3342.3544972954255</x:v>
      </x:c>
      <x:c r="AL1329" s="32" t="n">
        <x:f>H1329*v01_RoleScale*Arch_Roles*AE1329*INDEX(v01_MonasteryPerSett,G1329)*v01_OutMonastery*INDEX(LM_Monastery,G1329)</x:f>
        <x:v>6.6000000000000005</x:v>
      </x:c>
      <x:c r="AM1329" s="32" t="n">
        <x:f>(AJ1329+AK1329+AL1329)/4*INDEX(LM_All,G1329)*INDEX(v01_Boon,G1329)*Arch_Insight</x:f>
        <x:v>11823.754191904362</x:v>
      </x:c>
      <x:c r="AN1329" s="32" t="n">
        <x:f>H1329*(v01_KHPerAdult*Z1329+v01_KHOfCommons*AJ1329/4*INDEX(LM_All,G1329))*v01_KHUsable*Arch_KH</x:f>
        <x:v>446.11813776242474</x:v>
      </x:c>
      <x:c r="AO1329" s="32" t="n">
        <x:f>MIN(AP1328+AN1329,AM1329*v01_KHMaxRatio)</x:f>
        <x:v>446.11813776242474</x:v>
      </x:c>
      <x:c r="AP1329" s="32" t="n">
        <x:f>AP1328+AN1329-AO1329</x:f>
        <x:v>0</x:v>
      </x:c>
      <x:c r="AQ1329" s="32" t="n">
        <x:f>AM1329+AO1329</x:f>
        <x:v>12269.872329666787</x:v>
      </x:c>
      <x:c r="AR1329" s="10" t="n">
        <x:f>IF(H1329=1,INDEX(v01_Req,G1329),0)</x:f>
        <x:v>743165.805333726</x:v>
      </x:c>
      <x:c r="AS1329" s="32" t="n">
        <x:f>IF(H1329=1,IF(E1329=1,AS1328-AR1328,AS1328)+AQ1329,0)</x:f>
        <x:v>562110.5508475788</x:v>
      </x:c>
      <x:c r="AT1329" s="11" t="n">
        <x:f>IF(AR1329&gt;0,MIN(1,AS1329/AR1329),1)</x:f>
        <x:v>0.7563730015742012</x:v>
      </x:c>
      <x:c r="AU1329" s="10" t="n">
        <x:f>AB1329/INDEX(v01_RepScale,G1329)</x:f>
        <x:v>119.331280761083</x:v>
      </x:c>
      <x:c r="AV1329" s="32" t="n">
        <x:f>AM1329*60/v01_SeasonSeconds</x:f>
        <x:v>47295.016767617446</x:v>
      </x:c>
    </x:row>
    <x:row r="1330">
      <x:c r="A1330" s="8" t="n">
        <x:f>A1329+1</x:f>
        <x:v>1327</x:v>
      </x:c>
      <x:c r="B1330" s="9" t="n">
        <x:f>A1330*v01_SeasonSeconds/60</x:f>
        <x:v>331.75</x:v>
      </x:c>
      <x:c r="C1330" s="9" t="n">
        <x:f>A1330/4</x:f>
        <x:v>331.75</x:v>
      </x:c>
      <x:c r="D1330" s="8" t="n">
        <x:f>IF(MOD(A1330,4)=0,1,0)</x:f>
        <x:v>0</x:v>
      </x:c>
      <x:c r="E1330" s="8" t="n">
        <x:f>IF(AND(F1329&lt;=9,AS1329&gt;=AR1329),1,0)</x:f>
        <x:v>0</x:v>
      </x:c>
      <x:c r="F1330" s="8" t="n">
        <x:f>MIN(10,F1329+E1330)</x:f>
        <x:v>8</x:v>
      </x:c>
      <x:c r="G1330" s="8" t="n">
        <x:f>MIN(F1330,9)+1</x:f>
        <x:v>9</x:v>
      </x:c>
      <x:c r="H1330" s="8" t="n">
        <x:f>IF(F1330&lt;=9,1,0)</x:f>
        <x:v>1</x:v>
      </x:c>
      <x:c r="I1330" s="9" t="n">
        <x:f>MIN(10,F1329+IF(AR1329&gt;0,MIN(1,AS1329/AR1329),1))</x:f>
        <x:v>8.7563730015742</x:v>
      </x:c>
      <x:c r="J1330" s="32" t="n">
        <x:f>INDEX(v01_FoodCap,G1330)*Arch_FoodCap*EXP(v01_CapsByProject*SUMPRODUCT((Cap_Point&lt;=I1330)*(Cap_Kind="Food")*Cap_Ln))</x:f>
        <x:v>6000</x:v>
      </x:c>
      <x:c r="K1330" s="32" t="n">
        <x:f>J1330*MIN(1,v01_LeanBase*EXP(v01_CapsByProject*SUMPRODUCT((Cap_Point&lt;=I1330)*(Cap_Kind="Lean")*Cap_Ln)))</x:f>
        <x:v>6000</x:v>
      </x:c>
      <x:c r="L1330" s="10" t="n">
        <x:f>INDEX(v01_HousingCap,G1330)*EXP(v01_CapsByProject*SUMPRODUCT((Cap_Point&lt;=I1330)*(Cap_Kind="Housing")*Cap_Ln))</x:f>
        <x:v>10000</x:v>
      </x:c>
      <x:c r="M1330" s="10" t="n">
        <x:f>INDEX(v01_GroupCap,G1330)*v01_CohesionFactor*EXP(v01_CapsByProject*SUMPRODUCT((Cap_Point&lt;=I1330)*(Cap_Kind="Group")*Cap_Ln))</x:f>
        <x:v>1000000</x:v>
      </x:c>
      <x:c r="N1330" s="32" t="n">
        <x:f>MIN(J1330,L1330,M1330)</x:f>
        <x:v>6000</x:v>
      </x:c>
      <x:c r="O1330" s="10" t="n">
        <x:f>AE1329*N1330</x:f>
        <x:v>90000</x:v>
      </x:c>
      <x:c r="P1330" s="9" t="n">
        <x:f>MIN(1,(AB1329/(AE1329*IF(v01_GroupInCrowding=1,N1330,MIN(J1330,L1330))))^v01_CrowdingExp)</x:f>
        <x:v>0.0013265108498019924</x:v>
      </x:c>
      <x:c r="Q1330" s="9" t="n">
        <x:f>IF(D1330=1,INDEX(v01_WinterMult,G1330),1)</x:f>
        <x:v>1</x:v>
      </x:c>
      <x:c r="R1330" s="9" t="n">
        <x:f>H1330*Z1329*v01_WomenShare*v01_BaseFertility*INDEX(v01_FertMult,G1330)*Arch_Fertility*(1-P1330)</x:f>
        <x:v>286.40980106510744</x:v>
      </x:c>
      <x:c r="S1330" s="9" t="n">
        <x:f>H1330*Y1329*INDEX(v01_MortChild,G1330)/4*Q1330</x:f>
        <x:v>16.87398203517562</x:v>
      </x:c>
      <x:c r="T1330" s="9" t="n">
        <x:f>H1330*Z1329*INDEX(v01_MortAdult,G1330)*Arch_AdultMort/4*Q1330</x:f>
        <x:v>12.746232507497849</x:v>
      </x:c>
      <x:c r="U1330" s="9" t="n">
        <x:f>H1330*AA1329*INDEX(v01_MortElder,G1330)/4*Q1330</x:f>
        <x:v>51.076080352405086</x:v>
      </x:c>
      <x:c r="V1330" s="9" t="n">
        <x:f>H1330*MAX(0,AB1329-O1330)*v01_OvercapLoss</x:f>
        <x:v>0</x:v>
      </x:c>
      <x:c r="W1330" s="9" t="n">
        <x:f>H1330*Y1329/(v01_ChildYears*4)</x:f>
        <x:v>200.88073851399545</x:v>
      </x:c>
      <x:c r="X1330" s="9" t="n">
        <x:f>H1330*Z1329/(v01_AdultYears*4)</x:f>
        <x:v>102.79219764111168</x:v>
      </x:c>
      <x:c r="Y1330" s="32" t="n">
        <x:f>Y1329+R1330-S1330-W1330-Y1329*V1330/AB1329</x:f>
        <x:v>11317.976437299681</x:v>
      </x:c>
      <x:c r="Z1330" s="32" t="n">
        <x:f>Z1329+W1330-X1330-T1330-Z1329*V1330/AB1329</x:f>
        <x:v>12831.574815863234</x:v>
      </x:c>
      <x:c r="AA1330" s="32" t="n">
        <x:f>AA1329+X1330-U1330-AA1329*V1330/AB1329</x:f>
        <x:v>5888.982443277859</x:v>
      </x:c>
      <x:c r="AB1330" s="10" t="n">
        <x:f>Y1330+Z1330+AA1330</x:f>
        <x:v>30038.533696440772</x:v>
      </x:c>
      <x:c r="AC1330" s="8" t="n">
        <x:f>IF(AND(v01_WinterTrigger=1,D1330=1,AB1329/AE1329&gt;=K1330),1,0)</x:f>
        <x:v>0</x:v>
      </x:c>
      <x:c r="AD1330" s="8" t="n">
        <x:f>H1330*IF(AND(OR(AB1329/AE1329&gt;=v01_FissionTrigger*N1330,AC1330=1),AB1329/AE1329*v01_DaughterShare&gt;=v01_MinDaughter),MAX(1,ROUND(AE1329*v01_FissionRate,0)),0)</x:f>
        <x:v>0</x:v>
      </x:c>
      <x:c r="AE1330" s="8" t="n">
        <x:f>IF(H1330=1,MAX(1,MIN(INDEX(v01_Smax,G1330),AE1329+AD1330)),AE1329)</x:f>
        <x:v>15</x:v>
      </x:c>
      <x:c r="AF1330" s="8" t="n">
        <x:f>MAX(0,AE1330-AE1329)</x:f>
        <x:v>0</x:v>
      </x:c>
      <x:c r="AG1330" s="9" t="str">
        <x:f>IF(AF1330&gt;0,B1330,"")</x:f>
      </x:c>
      <x:c r="AH1330" s="9" t="n">
        <x:f>IF(F1330&gt;=1,1,(1+v01_LowTiesShare*(AE1330-1))/AE1330)</x:f>
        <x:v>1</x:v>
      </x:c>
      <x:c r="AI1330" s="32" t="n">
        <x:f>(Z1330+v01_ElderCommons*INDEX(LM_Elder,G1330)*AA1330)*AH1330</x:f>
        <x:v>34915.25897815521</x:v>
      </x:c>
      <x:c r="AJ1330" s="32" t="n">
        <x:f>H1330*v01_CommonsCoef*AI1330^v01_CommonsExp*INDEX(LM_Commons,G1330)</x:f>
        <x:v>13151.192045520665</x:v>
      </x:c>
      <x:c r="AK1330" s="32" t="n">
        <x:f>H1330*v01_RoleScale*Arch_Roles*(AE1330*(INDEX(v01_ElderRolePerSett,G1330)*v01_OutElder*INDEX(LM_Elder,G1330)+INDEX(v01_ShamanPerSett,G1330)*v01_OutShaman)+Z1330*(INDEX(v01_PriestShare,G1330)*v01_OutPriest+INDEX(v01_ScribeShare,G1330)*v01_OutScribe*INDEX(LM_Scribe,G1330)+INDEX(v01_ScholarShare,G1330)*v01_OutScholar*INDEX(LM_Scholar,G1330)+INDEX(v01_ResearcherShare,G1330)*v01_OutResearcher*INDEX(LM_Researcher,G1330)))</x:f>
        <x:v>3364.3942485433627</x:v>
      </x:c>
      <x:c r="AL1330" s="32" t="n">
        <x:f>H1330*v01_RoleScale*Arch_Roles*AE1330*INDEX(v01_MonasteryPerSett,G1330)*v01_OutMonastery*INDEX(LM_Monastery,G1330)</x:f>
        <x:v>6.6000000000000005</x:v>
      </x:c>
      <x:c r="AM1330" s="32" t="n">
        <x:f>(AJ1330+AK1330+AL1330)/4*INDEX(LM_All,G1330)*INDEX(v01_Boon,G1330)*Arch_Insight</x:f>
        <x:v>11904.094374502516</x:v>
      </x:c>
      <x:c r="AN1330" s="32" t="n">
        <x:f>H1330*(v01_KHPerAdult*Z1330+v01_KHOfCommons*AJ1330/4*INDEX(LM_All,G1330))*v01_KHUsable*Arch_KH</x:f>
        <x:v>449.10511855521315</x:v>
      </x:c>
      <x:c r="AO1330" s="32" t="n">
        <x:f>MIN(AP1329+AN1330,AM1330*v01_KHMaxRatio)</x:f>
        <x:v>449.10511855521315</x:v>
      </x:c>
      <x:c r="AP1330" s="32" t="n">
        <x:f>AP1329+AN1330-AO1330</x:f>
        <x:v>0</x:v>
      </x:c>
      <x:c r="AQ1330" s="32" t="n">
        <x:f>AM1330+AO1330</x:f>
        <x:v>12353.19949305773</x:v>
      </x:c>
      <x:c r="AR1330" s="10" t="n">
        <x:f>IF(H1330=1,INDEX(v01_Req,G1330),0)</x:f>
        <x:v>743165.805333726</x:v>
      </x:c>
      <x:c r="AS1330" s="32" t="n">
        <x:f>IF(H1330=1,IF(E1330=1,AS1329-AR1329,AS1329)+AQ1330,0)</x:f>
        <x:v>574463.7503406365</x:v>
      </x:c>
      <x:c r="AT1330" s="11" t="n">
        <x:f>IF(AR1330&gt;0,MIN(1,AS1330/AR1330),1)</x:f>
        <x:v>0.7729954018574197</x:v>
      </x:c>
      <x:c r="AU1330" s="10" t="n">
        <x:f>AB1330/INDEX(v01_RepScale,G1330)</x:f>
        <x:v>120.15413478576309</x:v>
      </x:c>
      <x:c r="AV1330" s="32" t="n">
        <x:f>AM1330*60/v01_SeasonSeconds</x:f>
        <x:v>47616.377498010064</x:v>
      </x:c>
    </x:row>
    <x:row r="1331">
      <x:c r="A1331" s="8" t="n">
        <x:f>A1330+1</x:f>
        <x:v>1328</x:v>
      </x:c>
      <x:c r="B1331" s="9" t="n">
        <x:f>A1331*v01_SeasonSeconds/60</x:f>
        <x:v>332</x:v>
      </x:c>
      <x:c r="C1331" s="9" t="n">
        <x:f>A1331/4</x:f>
        <x:v>332</x:v>
      </x:c>
      <x:c r="D1331" s="8" t="n">
        <x:f>IF(MOD(A1331,4)=0,1,0)</x:f>
        <x:v>1</x:v>
      </x:c>
      <x:c r="E1331" s="8" t="n">
        <x:f>IF(AND(F1330&lt;=9,AS1330&gt;=AR1330),1,0)</x:f>
        <x:v>0</x:v>
      </x:c>
      <x:c r="F1331" s="8" t="n">
        <x:f>MIN(10,F1330+E1331)</x:f>
        <x:v>8</x:v>
      </x:c>
      <x:c r="G1331" s="8" t="n">
        <x:f>MIN(F1331,9)+1</x:f>
        <x:v>9</x:v>
      </x:c>
      <x:c r="H1331" s="8" t="n">
        <x:f>IF(F1331&lt;=9,1,0)</x:f>
        <x:v>1</x:v>
      </x:c>
      <x:c r="I1331" s="9" t="n">
        <x:f>MIN(10,F1330+IF(AR1330&gt;0,MIN(1,AS1330/AR1330),1))</x:f>
        <x:v>8.77299540185742</x:v>
      </x:c>
      <x:c r="J1331" s="32" t="n">
        <x:f>INDEX(v01_FoodCap,G1331)*Arch_FoodCap*EXP(v01_CapsByProject*SUMPRODUCT((Cap_Point&lt;=I1331)*(Cap_Kind="Food")*Cap_Ln))</x:f>
        <x:v>6000</x:v>
      </x:c>
      <x:c r="K1331" s="32" t="n">
        <x:f>J1331*MIN(1,v01_LeanBase*EXP(v01_CapsByProject*SUMPRODUCT((Cap_Point&lt;=I1331)*(Cap_Kind="Lean")*Cap_Ln)))</x:f>
        <x:v>6000</x:v>
      </x:c>
      <x:c r="L1331" s="10" t="n">
        <x:f>INDEX(v01_HousingCap,G1331)*EXP(v01_CapsByProject*SUMPRODUCT((Cap_Point&lt;=I1331)*(Cap_Kind="Housing")*Cap_Ln))</x:f>
        <x:v>10000</x:v>
      </x:c>
      <x:c r="M1331" s="10" t="n">
        <x:f>INDEX(v01_GroupCap,G1331)*v01_CohesionFactor*EXP(v01_CapsByProject*SUMPRODUCT((Cap_Point&lt;=I1331)*(Cap_Kind="Group")*Cap_Ln))</x:f>
        <x:v>1000000</x:v>
      </x:c>
      <x:c r="N1331" s="32" t="n">
        <x:f>MIN(J1331,L1331,M1331)</x:f>
        <x:v>6000</x:v>
      </x:c>
      <x:c r="O1331" s="10" t="n">
        <x:f>AE1330*N1331</x:f>
        <x:v>90000</x:v>
      </x:c>
      <x:c r="P1331" s="9" t="n">
        <x:f>MIN(1,(AB1330/(AE1330*IF(v01_GroupInCrowding=1,N1331,MIN(J1331,L1331))))^v01_CrowdingExp)</x:f>
        <x:v>0.0013823477765994852</x:v>
      </x:c>
      <x:c r="Q1331" s="9" t="n">
        <x:f>IF(D1331=1,INDEX(v01_WinterMult,G1331),1)</x:f>
        <x:v>1</x:v>
      </x:c>
      <x:c r="R1331" s="9" t="n">
        <x:f>H1331*Z1330*v01_WomenShare*v01_BaseFertility*INDEX(v01_FertMult,G1331)*Arch_Fertility*(1-P1331)</x:f>
        <x:v>288.3113351312907</x:v>
      </x:c>
      <x:c r="S1331" s="9" t="n">
        <x:f>H1331*Y1330*INDEX(v01_MortChild,G1331)/4*Q1331</x:f>
        <x:v>16.976964655949523</x:v>
      </x:c>
      <x:c r="T1331" s="9" t="n">
        <x:f>H1331*Z1330*INDEX(v01_MortAdult,G1331)*Arch_AdultMort/4*Q1331</x:f>
        <x:v>12.831574815863235</x:v>
      </x:c>
      <x:c r="U1331" s="9" t="n">
        <x:f>H1331*AA1330*INDEX(v01_MortElder,G1331)/4*Q1331</x:f>
        <x:v>51.52859637868127</x:v>
      </x:c>
      <x:c r="V1331" s="9" t="n">
        <x:f>H1331*MAX(0,AB1330-O1331)*v01_OvercapLoss</x:f>
        <x:v>0</x:v>
      </x:c>
      <x:c r="W1331" s="9" t="n">
        <x:f>H1331*Y1330/(v01_ChildYears*4)</x:f>
        <x:v>202.10672209463718</x:v>
      </x:c>
      <x:c r="X1331" s="9" t="n">
        <x:f>H1331*Z1330/(v01_AdultYears*4)</x:f>
        <x:v>103.48044206341318</x:v>
      </x:c>
      <x:c r="Y1331" s="32" t="n">
        <x:f>Y1330+R1331-S1331-W1331-Y1330*V1331/AB1330</x:f>
        <x:v>11387.204085680387</x:v>
      </x:c>
      <x:c r="Z1331" s="32" t="n">
        <x:f>Z1330+W1331-X1331-T1331-Z1330*V1331/AB1330</x:f>
        <x:v>12917.369521078594</x:v>
      </x:c>
      <x:c r="AA1331" s="32" t="n">
        <x:f>AA1330+X1331-U1331-AA1330*V1331/AB1330</x:f>
        <x:v>5940.9342889625905</x:v>
      </x:c>
      <x:c r="AB1331" s="10" t="n">
        <x:f>Y1331+Z1331+AA1331</x:f>
        <x:v>30245.507895721574</x:v>
      </x:c>
      <x:c r="AC1331" s="8" t="n">
        <x:f>IF(AND(v01_WinterTrigger=1,D1331=1,AB1330/AE1330&gt;=K1331),1,0)</x:f>
        <x:v>0</x:v>
      </x:c>
      <x:c r="AD1331" s="8" t="n">
        <x:f>H1331*IF(AND(OR(AB1330/AE1330&gt;=v01_FissionTrigger*N1331,AC1331=1),AB1330/AE1330*v01_DaughterShare&gt;=v01_MinDaughter),MAX(1,ROUND(AE1330*v01_FissionRate,0)),0)</x:f>
        <x:v>0</x:v>
      </x:c>
      <x:c r="AE1331" s="8" t="n">
        <x:f>IF(H1331=1,MAX(1,MIN(INDEX(v01_Smax,G1331),AE1330+AD1331)),AE1330)</x:f>
        <x:v>15</x:v>
      </x:c>
      <x:c r="AF1331" s="8" t="n">
        <x:f>MAX(0,AE1331-AE1330)</x:f>
        <x:v>0</x:v>
      </x:c>
      <x:c r="AG1331" s="9" t="str">
        <x:f>IF(AF1331&gt;0,B1331,"")</x:f>
      </x:c>
      <x:c r="AH1331" s="9" t="n">
        <x:f>IF(F1331&gt;=1,1,(1+v01_LowTiesShare*(AE1331-1))/AE1331)</x:f>
        <x:v>1</x:v>
      </x:c>
      <x:c r="AI1331" s="32" t="n">
        <x:f>(Z1331+v01_ElderCommons*INDEX(LM_Elder,G1331)*AA1331)*AH1331</x:f>
        <x:v>35195.87310468831</x:v>
      </x:c>
      <x:c r="AJ1331" s="32" t="n">
        <x:f>H1331*v01_CommonsCoef*AI1331^v01_CommonsExp*INDEX(LM_Commons,G1331)</x:f>
        <x:v>13240.979829004862</x:v>
      </x:c>
      <x:c r="AK1331" s="32" t="n">
        <x:f>H1331*v01_RoleScale*Arch_Roles*(AE1331*(INDEX(v01_ElderRolePerSett,G1331)*v01_OutElder*INDEX(LM_Elder,G1331)+INDEX(v01_ShamanPerSett,G1331)*v01_OutShaman)+Z1331*(INDEX(v01_PriestShare,G1331)*v01_OutPriest+INDEX(v01_ScribeShare,G1331)*v01_OutScribe*INDEX(LM_Scribe,G1331)+INDEX(v01_ScholarShare,G1331)*v01_OutScholar*INDEX(LM_Scholar,G1331)+INDEX(v01_ResearcherShare,G1331)*v01_OutResearcher*INDEX(LM_Researcher,G1331)))</x:f>
        <x:v>3386.550831808499</x:v>
      </x:c>
      <x:c r="AL1331" s="32" t="n">
        <x:f>H1331*v01_RoleScale*Arch_Roles*AE1331*INDEX(v01_MonasteryPerSett,G1331)*v01_OutMonastery*INDEX(LM_Monastery,G1331)</x:f>
        <x:v>6.6000000000000005</x:v>
      </x:c>
      <x:c r="AM1331" s="32" t="n">
        <x:f>(AJ1331+AK1331+AL1331)/4*INDEX(LM_All,G1331)*INDEX(v01_Boon,G1331)*Arch_Insight</x:f>
        <x:v>11984.74933642827</x:v>
      </x:c>
      <x:c r="AN1331" s="32" t="n">
        <x:f>H1331*(v01_KHPerAdult*Z1331+v01_KHOfCommons*AJ1331/4*INDEX(LM_All,G1331))*v01_KHUsable*Arch_KH</x:f>
        <x:v>452.1079332377508</x:v>
      </x:c>
      <x:c r="AO1331" s="32" t="n">
        <x:f>MIN(AP1330+AN1331,AM1331*v01_KHMaxRatio)</x:f>
        <x:v>452.1079332377508</x:v>
      </x:c>
      <x:c r="AP1331" s="32" t="n">
        <x:f>AP1330+AN1331-AO1331</x:f>
        <x:v>0</x:v>
      </x:c>
      <x:c r="AQ1331" s="32" t="n">
        <x:f>AM1331+AO1331</x:f>
        <x:v>12436.857269666021</x:v>
      </x:c>
      <x:c r="AR1331" s="10" t="n">
        <x:f>IF(H1331=1,INDEX(v01_Req,G1331),0)</x:f>
        <x:v>743165.805333726</x:v>
      </x:c>
      <x:c r="AS1331" s="32" t="n">
        <x:f>IF(H1331=1,IF(E1331=1,AS1330-AR1330,AS1330)+AQ1331,0)</x:f>
        <x:v>586900.6076103025</x:v>
      </x:c>
      <x:c r="AT1331" s="11" t="n">
        <x:f>IF(AR1331&gt;0,MIN(1,AS1331/AR1331),1)</x:f>
        <x:v>0.7897303716049596</x:v>
      </x:c>
      <x:c r="AU1331" s="10" t="n">
        <x:f>AB1331/INDEX(v01_RepScale,G1331)</x:f>
        <x:v>120.9820315828863</x:v>
      </x:c>
      <x:c r="AV1331" s="32" t="n">
        <x:f>AM1331*60/v01_SeasonSeconds</x:f>
        <x:v>47938.99734571308</x:v>
      </x:c>
    </x:row>
    <x:row r="1332">
      <x:c r="A1332" s="8" t="n">
        <x:f>A1331+1</x:f>
        <x:v>1329</x:v>
      </x:c>
      <x:c r="B1332" s="9" t="n">
        <x:f>A1332*v01_SeasonSeconds/60</x:f>
        <x:v>332.25</x:v>
      </x:c>
      <x:c r="C1332" s="9" t="n">
        <x:f>A1332/4</x:f>
        <x:v>332.25</x:v>
      </x:c>
      <x:c r="D1332" s="8" t="n">
        <x:f>IF(MOD(A1332,4)=0,1,0)</x:f>
        <x:v>0</x:v>
      </x:c>
      <x:c r="E1332" s="8" t="n">
        <x:f>IF(AND(F1331&lt;=9,AS1331&gt;=AR1331),1,0)</x:f>
        <x:v>0</x:v>
      </x:c>
      <x:c r="F1332" s="8" t="n">
        <x:f>MIN(10,F1331+E1332)</x:f>
        <x:v>8</x:v>
      </x:c>
      <x:c r="G1332" s="8" t="n">
        <x:f>MIN(F1332,9)+1</x:f>
        <x:v>9</x:v>
      </x:c>
      <x:c r="H1332" s="8" t="n">
        <x:f>IF(F1332&lt;=9,1,0)</x:f>
        <x:v>1</x:v>
      </x:c>
      <x:c r="I1332" s="9" t="n">
        <x:f>MIN(10,F1331+IF(AR1331&gt;0,MIN(1,AS1331/AR1331),1))</x:f>
        <x:v>8.789730371604959</x:v>
      </x:c>
      <x:c r="J1332" s="32" t="n">
        <x:f>INDEX(v01_FoodCap,G1332)*Arch_FoodCap*EXP(v01_CapsByProject*SUMPRODUCT((Cap_Point&lt;=I1332)*(Cap_Kind="Food")*Cap_Ln))</x:f>
        <x:v>6000</x:v>
      </x:c>
      <x:c r="K1332" s="32" t="n">
        <x:f>J1332*MIN(1,v01_LeanBase*EXP(v01_CapsByProject*SUMPRODUCT((Cap_Point&lt;=I1332)*(Cap_Kind="Lean")*Cap_Ln)))</x:f>
        <x:v>6000</x:v>
      </x:c>
      <x:c r="L1332" s="10" t="n">
        <x:f>INDEX(v01_HousingCap,G1332)*EXP(v01_CapsByProject*SUMPRODUCT((Cap_Point&lt;=I1332)*(Cap_Kind="Housing")*Cap_Ln))</x:f>
        <x:v>10000</x:v>
      </x:c>
      <x:c r="M1332" s="10" t="n">
        <x:f>INDEX(v01_GroupCap,G1332)*v01_CohesionFactor*EXP(v01_CapsByProject*SUMPRODUCT((Cap_Point&lt;=I1332)*(Cap_Kind="Group")*Cap_Ln))</x:f>
        <x:v>1000000</x:v>
      </x:c>
      <x:c r="N1332" s="32" t="n">
        <x:f>MIN(J1332,L1332,M1332)</x:f>
        <x:v>6000</x:v>
      </x:c>
      <x:c r="O1332" s="10" t="n">
        <x:f>AE1331*N1332</x:f>
        <x:v>90000</x:v>
      </x:c>
      <x:c r="P1332" s="9" t="n">
        <x:f>MIN(1,(AB1331/(AE1331*IF(v01_GroupInCrowding=1,N1332,MIN(J1332,L1332))))^v01_CrowdingExp)</x:f>
        <x:v>0.0014404899543720333</x:v>
      </x:c>
      <x:c r="Q1332" s="9" t="n">
        <x:f>IF(D1332=1,INDEX(v01_WinterMult,G1332),1)</x:f>
        <x:v>1</x:v>
      </x:c>
      <x:c r="R1332" s="9" t="n">
        <x:f>H1332*Z1331*v01_WomenShare*v01_BaseFertility*INDEX(v01_FertMult,G1332)*Arch_Fertility*(1-P1332)</x:f>
        <x:v>290.2221490510477</x:v>
      </x:c>
      <x:c r="S1332" s="9" t="n">
        <x:f>H1332*Y1331*INDEX(v01_MortChild,G1332)/4*Q1332</x:f>
        <x:v>17.08080612852058</x:v>
      </x:c>
      <x:c r="T1332" s="9" t="n">
        <x:f>H1332*Z1331*INDEX(v01_MortAdult,G1332)*Arch_AdultMort/4*Q1332</x:f>
        <x:v>12.917369521078594</x:v>
      </x:c>
      <x:c r="U1332" s="9" t="n">
        <x:f>H1332*AA1331*INDEX(v01_MortElder,G1332)/4*Q1332</x:f>
        <x:v>51.98317502842267</x:v>
      </x:c>
      <x:c r="V1332" s="9" t="n">
        <x:f>H1332*MAX(0,AB1331-O1332)*v01_OvercapLoss</x:f>
        <x:v>0</x:v>
      </x:c>
      <x:c r="W1332" s="9" t="n">
        <x:f>H1332*Y1331/(v01_ChildYears*4)</x:f>
        <x:v>203.34293010143548</x:v>
      </x:c>
      <x:c r="X1332" s="9" t="n">
        <x:f>H1332*Z1331/(v01_AdultYears*4)</x:f>
        <x:v>104.17233484740801</x:v>
      </x:c>
      <x:c r="Y1332" s="32" t="n">
        <x:f>Y1331+R1332-S1332-W1332-Y1331*V1332/AB1331</x:f>
        <x:v>11457.002498501479</x:v>
      </x:c>
      <x:c r="Z1332" s="32" t="n">
        <x:f>Z1331+W1332-X1332-T1332-Z1331*V1332/AB1331</x:f>
        <x:v>13003.622746811541</x:v>
      </x:c>
      <x:c r="AA1332" s="32" t="n">
        <x:f>AA1331+X1332-U1332-AA1331*V1332/AB1331</x:f>
        <x:v>5993.1234487815755</x:v>
      </x:c>
      <x:c r="AB1332" s="10" t="n">
        <x:f>Y1332+Z1332+AA1332</x:f>
        <x:v>30453.748694094596</x:v>
      </x:c>
      <x:c r="AC1332" s="8" t="n">
        <x:f>IF(AND(v01_WinterTrigger=1,D1332=1,AB1331/AE1331&gt;=K1332),1,0)</x:f>
        <x:v>0</x:v>
      </x:c>
      <x:c r="AD1332" s="8" t="n">
        <x:f>H1332*IF(AND(OR(AB1331/AE1331&gt;=v01_FissionTrigger*N1332,AC1332=1),AB1331/AE1331*v01_DaughterShare&gt;=v01_MinDaughter),MAX(1,ROUND(AE1331*v01_FissionRate,0)),0)</x:f>
        <x:v>0</x:v>
      </x:c>
      <x:c r="AE1332" s="8" t="n">
        <x:f>IF(H1332=1,MAX(1,MIN(INDEX(v01_Smax,G1332),AE1331+AD1332)),AE1331)</x:f>
        <x:v>15</x:v>
      </x:c>
      <x:c r="AF1332" s="8" t="n">
        <x:f>MAX(0,AE1332-AE1331)</x:f>
        <x:v>0</x:v>
      </x:c>
      <x:c r="AG1332" s="9" t="str">
        <x:f>IF(AF1332&gt;0,B1332,"")</x:f>
      </x:c>
      <x:c r="AH1332" s="9" t="n">
        <x:f>IF(F1332&gt;=1,1,(1+v01_LowTiesShare*(AE1332-1))/AE1332)</x:f>
        <x:v>1</x:v>
      </x:c>
      <x:c r="AI1332" s="32" t="n">
        <x:f>(Z1332+v01_ElderCommons*INDEX(LM_Elder,G1332)*AA1332)*AH1332</x:f>
        <x:v>35477.83567974245</x:v>
      </x:c>
      <x:c r="AJ1332" s="32" t="n">
        <x:f>H1332*v01_CommonsCoef*AI1332^v01_CommonsExp*INDEX(LM_Commons,G1332)</x:f>
        <x:v>13331.09098307131</x:v>
      </x:c>
      <x:c r="AK1332" s="32" t="n">
        <x:f>H1332*v01_RoleScale*Arch_Roles*(AE1332*(INDEX(v01_ElderRolePerSett,G1332)*v01_OutElder*INDEX(LM_Elder,G1332)+INDEX(v01_ShamanPerSett,G1332)*v01_OutShaman)+Z1332*(INDEX(v01_PriestShare,G1332)*v01_OutPriest+INDEX(v01_ScribeShare,G1332)*v01_OutScribe*INDEX(LM_Scribe,G1332)+INDEX(v01_ScholarShare,G1332)*v01_OutScholar*INDEX(LM_Scholar,G1332)+INDEX(v01_ResearcherShare,G1332)*v01_OutResearcher*INDEX(LM_Researcher,G1332)))</x:f>
        <x:v>3408.8258285351794</x:v>
      </x:c>
      <x:c r="AL1332" s="32" t="n">
        <x:f>H1332*v01_RoleScale*Arch_Roles*AE1332*INDEX(v01_MonasteryPerSett,G1332)*v01_OutMonastery*INDEX(LM_Monastery,G1332)</x:f>
        <x:v>6.6000000000000005</x:v>
      </x:c>
      <x:c r="AM1332" s="32" t="n">
        <x:f>(AJ1332+AK1332+AL1332)/4*INDEX(LM_All,G1332)*INDEX(v01_Boon,G1332)*Arch_Insight</x:f>
        <x:v>12065.722599991406</x:v>
      </x:c>
      <x:c r="AN1332" s="32" t="n">
        <x:f>H1332*(v01_KHPerAdult*Z1332+v01_KHOfCommons*AJ1332/4*INDEX(LM_All,G1332))*v01_KHUsable*Arch_KH</x:f>
        <x:v>455.12679613840396</x:v>
      </x:c>
      <x:c r="AO1332" s="32" t="n">
        <x:f>MIN(AP1331+AN1332,AM1332*v01_KHMaxRatio)</x:f>
        <x:v>455.12679613840396</x:v>
      </x:c>
      <x:c r="AP1332" s="32" t="n">
        <x:f>AP1331+AN1332-AO1332</x:f>
        <x:v>0</x:v>
      </x:c>
      <x:c r="AQ1332" s="32" t="n">
        <x:f>AM1332+AO1332</x:f>
        <x:v>12520.84939612981</x:v>
      </x:c>
      <x:c r="AR1332" s="10" t="n">
        <x:f>IF(H1332=1,INDEX(v01_Req,G1332),0)</x:f>
        <x:v>743165.805333726</x:v>
      </x:c>
      <x:c r="AS1332" s="32" t="n">
        <x:f>IF(H1332=1,IF(E1332=1,AS1331-AR1331,AS1331)+AQ1332,0)</x:f>
        <x:v>599421.4570064323</x:v>
      </x:c>
      <x:c r="AT1332" s="11" t="n">
        <x:f>IF(AR1332&gt;0,MIN(1,AS1332/AR1332),1)</x:f>
        <x:v>0.8065783607162283</x:v>
      </x:c>
      <x:c r="AU1332" s="10" t="n">
        <x:f>AB1332/INDEX(v01_RepScale,G1332)</x:f>
        <x:v>121.81499477637838</x:v>
      </x:c>
      <x:c r="AV1332" s="32" t="n">
        <x:f>AM1332*60/v01_SeasonSeconds</x:f>
        <x:v>48262.890399965625</x:v>
      </x:c>
    </x:row>
    <x:row r="1333">
      <x:c r="A1333" s="8" t="n">
        <x:f>A1332+1</x:f>
        <x:v>1330</x:v>
      </x:c>
      <x:c r="B1333" s="9" t="n">
        <x:f>A1333*v01_SeasonSeconds/60</x:f>
        <x:v>332.5</x:v>
      </x:c>
      <x:c r="C1333" s="9" t="n">
        <x:f>A1333/4</x:f>
        <x:v>332.5</x:v>
      </x:c>
      <x:c r="D1333" s="8" t="n">
        <x:f>IF(MOD(A1333,4)=0,1,0)</x:f>
        <x:v>0</x:v>
      </x:c>
      <x:c r="E1333" s="8" t="n">
        <x:f>IF(AND(F1332&lt;=9,AS1332&gt;=AR1332),1,0)</x:f>
        <x:v>0</x:v>
      </x:c>
      <x:c r="F1333" s="8" t="n">
        <x:f>MIN(10,F1332+E1333)</x:f>
        <x:v>8</x:v>
      </x:c>
      <x:c r="G1333" s="8" t="n">
        <x:f>MIN(F1333,9)+1</x:f>
        <x:v>9</x:v>
      </x:c>
      <x:c r="H1333" s="8" t="n">
        <x:f>IF(F1333&lt;=9,1,0)</x:f>
        <x:v>1</x:v>
      </x:c>
      <x:c r="I1333" s="9" t="n">
        <x:f>MIN(10,F1332+IF(AR1332&gt;0,MIN(1,AS1332/AR1332),1))</x:f>
        <x:v>8.806578360716228</x:v>
      </x:c>
      <x:c r="J1333" s="32" t="n">
        <x:f>INDEX(v01_FoodCap,G1333)*Arch_FoodCap*EXP(v01_CapsByProject*SUMPRODUCT((Cap_Point&lt;=I1333)*(Cap_Kind="Food")*Cap_Ln))</x:f>
        <x:v>6000</x:v>
      </x:c>
      <x:c r="K1333" s="32" t="n">
        <x:f>J1333*MIN(1,v01_LeanBase*EXP(v01_CapsByProject*SUMPRODUCT((Cap_Point&lt;=I1333)*(Cap_Kind="Lean")*Cap_Ln)))</x:f>
        <x:v>6000</x:v>
      </x:c>
      <x:c r="L1333" s="10" t="n">
        <x:f>INDEX(v01_HousingCap,G1333)*EXP(v01_CapsByProject*SUMPRODUCT((Cap_Point&lt;=I1333)*(Cap_Kind="Housing")*Cap_Ln))</x:f>
        <x:v>10000</x:v>
      </x:c>
      <x:c r="M1333" s="10" t="n">
        <x:f>INDEX(v01_GroupCap,G1333)*v01_CohesionFactor*EXP(v01_CapsByProject*SUMPRODUCT((Cap_Point&lt;=I1333)*(Cap_Kind="Group")*Cap_Ln))</x:f>
        <x:v>1000000</x:v>
      </x:c>
      <x:c r="N1333" s="32" t="n">
        <x:f>MIN(J1333,L1333,M1333)</x:f>
        <x:v>6000</x:v>
      </x:c>
      <x:c r="O1333" s="10" t="n">
        <x:f>AE1332*N1333</x:f>
        <x:v>90000</x:v>
      </x:c>
      <x:c r="P1333" s="9" t="n">
        <x:f>MIN(1,(AB1332/(AE1332*IF(v01_GroupInCrowding=1,N1333,MIN(J1333,L1333))))^v01_CrowdingExp)</x:f>
        <x:v>0.001501030444724305</x:v>
      </x:c>
      <x:c r="Q1333" s="9" t="n">
        <x:f>IF(D1333=1,INDEX(v01_WinterMult,G1333),1)</x:f>
        <x:v>1</x:v>
      </x:c>
      <x:c r="R1333" s="9" t="n">
        <x:f>H1333*Z1332*v01_WomenShare*v01_BaseFertility*INDEX(v01_FertMult,G1333)*Arch_Fertility*(1-P1333)</x:f>
        <x:v>292.14233804647955</x:v>
      </x:c>
      <x:c r="S1333" s="9" t="n">
        <x:f>H1333*Y1332*INDEX(v01_MortChild,G1333)/4*Q1333</x:f>
        <x:v>17.185503747752218</x:v>
      </x:c>
      <x:c r="T1333" s="9" t="n">
        <x:f>H1333*Z1332*INDEX(v01_MortAdult,G1333)*Arch_AdultMort/4*Q1333</x:f>
        <x:v>13.00362274681154</x:v>
      </x:c>
      <x:c r="U1333" s="9" t="n">
        <x:f>H1333*AA1332*INDEX(v01_MortElder,G1333)/4*Q1333</x:f>
        <x:v>52.43983017683879</x:v>
      </x:c>
      <x:c r="V1333" s="9" t="n">
        <x:f>H1333*MAX(0,AB1332-O1333)*v01_OvercapLoss</x:f>
        <x:v>0</x:v>
      </x:c>
      <x:c r="W1333" s="9" t="n">
        <x:f>H1333*Y1332/(v01_ChildYears*4)</x:f>
        <x:v>204.58933033038355</x:v>
      </x:c>
      <x:c r="X1333" s="9" t="n">
        <x:f>H1333*Z1332/(v01_AdultYears*4)</x:f>
        <x:v>104.86792537751244</x:v>
      </x:c>
      <x:c r="Y1333" s="32" t="n">
        <x:f>Y1332+R1333-S1333-W1333-Y1332*V1333/AB1332</x:f>
        <x:v>11527.370002469823</x:v>
      </x:c>
      <x:c r="Z1333" s="32" t="n">
        <x:f>Z1332+W1333-X1333-T1333-Z1332*V1333/AB1332</x:f>
        <x:v>13090.340529017602</x:v>
      </x:c>
      <x:c r="AA1333" s="32" t="n">
        <x:f>AA1332+X1333-U1333-AA1332*V1333/AB1332</x:f>
        <x:v>6045.551543982249</x:v>
      </x:c>
      <x:c r="AB1333" s="10" t="n">
        <x:f>Y1333+Z1333+AA1333</x:f>
        <x:v>30663.262075469673</x:v>
      </x:c>
      <x:c r="AC1333" s="8" t="n">
        <x:f>IF(AND(v01_WinterTrigger=1,D1333=1,AB1332/AE1332&gt;=K1333),1,0)</x:f>
        <x:v>0</x:v>
      </x:c>
      <x:c r="AD1333" s="8" t="n">
        <x:f>H1333*IF(AND(OR(AB1332/AE1332&gt;=v01_FissionTrigger*N1333,AC1333=1),AB1332/AE1332*v01_DaughterShare&gt;=v01_MinDaughter),MAX(1,ROUND(AE1332*v01_FissionRate,0)),0)</x:f>
        <x:v>0</x:v>
      </x:c>
      <x:c r="AE1333" s="8" t="n">
        <x:f>IF(H1333=1,MAX(1,MIN(INDEX(v01_Smax,G1333),AE1332+AD1333)),AE1332)</x:f>
        <x:v>15</x:v>
      </x:c>
      <x:c r="AF1333" s="8" t="n">
        <x:f>MAX(0,AE1333-AE1332)</x:f>
        <x:v>0</x:v>
      </x:c>
      <x:c r="AG1333" s="9" t="str">
        <x:f>IF(AF1333&gt;0,B1333,"")</x:f>
      </x:c>
      <x:c r="AH1333" s="9" t="n">
        <x:f>IF(F1333&gt;=1,1,(1+v01_LowTiesShare*(AE1333-1))/AE1333)</x:f>
        <x:v>1</x:v>
      </x:c>
      <x:c r="AI1333" s="32" t="n">
        <x:f>(Z1333+v01_ElderCommons*INDEX(LM_Elder,G1333)*AA1333)*AH1333</x:f>
        <x:v>35761.15881895104</x:v>
      </x:c>
      <x:c r="AJ1333" s="32" t="n">
        <x:f>H1333*v01_CommonsCoef*AI1333^v01_CommonsExp*INDEX(LM_Commons,G1333)</x:f>
        <x:v>13421.528815067342</x:v>
      </x:c>
      <x:c r="AK1333" s="32" t="n">
        <x:f>H1333*v01_RoleScale*Arch_Roles*(AE1333*(INDEX(v01_ElderRolePerSett,G1333)*v01_OutElder*INDEX(LM_Elder,G1333)+INDEX(v01_ShamanPerSett,G1333)*v01_OutShaman)+Z1333*(INDEX(v01_PriestShare,G1333)*v01_OutPriest+INDEX(v01_ScribeShare,G1333)*v01_OutScribe*INDEX(LM_Scribe,G1333)+INDEX(v01_ScholarShare,G1333)*v01_OutScholar*INDEX(LM_Scholar,G1333)+INDEX(v01_ResearcherShare,G1333)*v01_OutResearcher*INDEX(LM_Researcher,G1333)))</x:f>
        <x:v>3431.220797515999</x:v>
      </x:c>
      <x:c r="AL1333" s="32" t="n">
        <x:f>H1333*v01_RoleScale*Arch_Roles*AE1333*INDEX(v01_MonasteryPerSett,G1333)*v01_OutMonastery*INDEX(LM_Monastery,G1333)</x:f>
        <x:v>6.6000000000000005</x:v>
      </x:c>
      <x:c r="AM1333" s="32" t="n">
        <x:f>(AJ1333+AK1333+AL1333)/4*INDEX(LM_All,G1333)*INDEX(v01_Boon,G1333)*Arch_Insight</x:f>
        <x:v>12147.017671204256</x:v>
      </x:c>
      <x:c r="AN1333" s="32" t="n">
        <x:f>H1333*(v01_KHPerAdult*Z1333+v01_KHOfCommons*AJ1333/4*INDEX(LM_All,G1333))*v01_KHUsable*Arch_KH</x:f>
        <x:v>458.1619185156161</x:v>
      </x:c>
      <x:c r="AO1333" s="32" t="n">
        <x:f>MIN(AP1332+AN1333,AM1333*v01_KHMaxRatio)</x:f>
        <x:v>458.1619185156161</x:v>
      </x:c>
      <x:c r="AP1333" s="32" t="n">
        <x:f>AP1332+AN1333-AO1333</x:f>
        <x:v>0</x:v>
      </x:c>
      <x:c r="AQ1333" s="32" t="n">
        <x:f>AM1333+AO1333</x:f>
        <x:v>12605.179589719872</x:v>
      </x:c>
      <x:c r="AR1333" s="10" t="n">
        <x:f>IF(H1333=1,INDEX(v01_Req,G1333),0)</x:f>
        <x:v>743165.805333726</x:v>
      </x:c>
      <x:c r="AS1333" s="32" t="n">
        <x:f>IF(H1333=1,IF(E1333=1,AS1332-AR1332,AS1332)+AQ1333,0)</x:f>
        <x:v>612026.6365961522</x:v>
      </x:c>
      <x:c r="AT1333" s="11" t="n">
        <x:f>IF(AR1333&gt;0,MIN(1,AS1333/AR1333),1)</x:f>
        <x:v>0.8235398240925732</x:v>
      </x:c>
      <x:c r="AU1333" s="10" t="n">
        <x:f>AB1333/INDEX(v01_RepScale,G1333)</x:f>
        <x:v>122.65304830187868</x:v>
      </x:c>
      <x:c r="AV1333" s="32" t="n">
        <x:f>AM1333*60/v01_SeasonSeconds</x:f>
        <x:v>48588.07068481702</x:v>
      </x:c>
    </x:row>
    <x:row r="1334">
      <x:c r="A1334" s="8" t="n">
        <x:f>A1333+1</x:f>
        <x:v>1331</x:v>
      </x:c>
      <x:c r="B1334" s="9" t="n">
        <x:f>A1334*v01_SeasonSeconds/60</x:f>
        <x:v>332.75</x:v>
      </x:c>
      <x:c r="C1334" s="9" t="n">
        <x:f>A1334/4</x:f>
        <x:v>332.75</x:v>
      </x:c>
      <x:c r="D1334" s="8" t="n">
        <x:f>IF(MOD(A1334,4)=0,1,0)</x:f>
        <x:v>0</x:v>
      </x:c>
      <x:c r="E1334" s="8" t="n">
        <x:f>IF(AND(F1333&lt;=9,AS1333&gt;=AR1333),1,0)</x:f>
        <x:v>0</x:v>
      </x:c>
      <x:c r="F1334" s="8" t="n">
        <x:f>MIN(10,F1333+E1334)</x:f>
        <x:v>8</x:v>
      </x:c>
      <x:c r="G1334" s="8" t="n">
        <x:f>MIN(F1334,9)+1</x:f>
        <x:v>9</x:v>
      </x:c>
      <x:c r="H1334" s="8" t="n">
        <x:f>IF(F1334&lt;=9,1,0)</x:f>
        <x:v>1</x:v>
      </x:c>
      <x:c r="I1334" s="9" t="n">
        <x:f>MIN(10,F1333+IF(AR1333&gt;0,MIN(1,AS1333/AR1333),1))</x:f>
        <x:v>8.823539824092574</x:v>
      </x:c>
      <x:c r="J1334" s="32" t="n">
        <x:f>INDEX(v01_FoodCap,G1334)*Arch_FoodCap*EXP(v01_CapsByProject*SUMPRODUCT((Cap_Point&lt;=I1334)*(Cap_Kind="Food")*Cap_Ln))</x:f>
        <x:v>6000</x:v>
      </x:c>
      <x:c r="K1334" s="32" t="n">
        <x:f>J1334*MIN(1,v01_LeanBase*EXP(v01_CapsByProject*SUMPRODUCT((Cap_Point&lt;=I1334)*(Cap_Kind="Lean")*Cap_Ln)))</x:f>
        <x:v>6000</x:v>
      </x:c>
      <x:c r="L1334" s="10" t="n">
        <x:f>INDEX(v01_HousingCap,G1334)*EXP(v01_CapsByProject*SUMPRODUCT((Cap_Point&lt;=I1334)*(Cap_Kind="Housing")*Cap_Ln))</x:f>
        <x:v>10000</x:v>
      </x:c>
      <x:c r="M1334" s="10" t="n">
        <x:f>INDEX(v01_GroupCap,G1334)*v01_CohesionFactor*EXP(v01_CapsByProject*SUMPRODUCT((Cap_Point&lt;=I1334)*(Cap_Kind="Group")*Cap_Ln))</x:f>
        <x:v>1000000</x:v>
      </x:c>
      <x:c r="N1334" s="32" t="n">
        <x:f>MIN(J1334,L1334,M1334)</x:f>
        <x:v>6000</x:v>
      </x:c>
      <x:c r="O1334" s="10" t="n">
        <x:f>AE1333*N1334</x:f>
        <x:v>90000</x:v>
      </x:c>
      <x:c r="P1334" s="9" t="n">
        <x:f>MIN(1,(AB1333/(AE1333*IF(v01_GroupInCrowding=1,N1334,MIN(J1334,L1334))))^v01_CrowdingExp)</x:f>
        <x:v>0.0015640659904863161</x:v>
      </x:c>
      <x:c r="Q1334" s="9" t="n">
        <x:f>IF(D1334=1,INDEX(v01_WinterMult,G1334),1)</x:f>
        <x:v>1</x:v>
      </x:c>
      <x:c r="R1334" s="9" t="n">
        <x:f>H1334*Z1333*v01_WomenShare*v01_BaseFertility*INDEX(v01_FertMult,G1334)*Arch_Fertility*(1-P1334)</x:f>
        <x:v>294.07199338332634</x:v>
      </x:c>
      <x:c r="S1334" s="9" t="n">
        <x:f>H1334*Y1333*INDEX(v01_MortChild,G1334)/4*Q1334</x:f>
        <x:v>17.291055003704734</x:v>
      </x:c>
      <x:c r="T1334" s="9" t="n">
        <x:f>H1334*Z1333*INDEX(v01_MortAdult,G1334)*Arch_AdultMort/4*Q1334</x:f>
        <x:v>13.090340529017602</x:v>
      </x:c>
      <x:c r="U1334" s="9" t="n">
        <x:f>H1334*AA1333*INDEX(v01_MortElder,G1334)/4*Q1334</x:f>
        <x:v>52.89857600984469</x:v>
      </x:c>
      <x:c r="V1334" s="9" t="n">
        <x:f>H1334*MAX(0,AB1333-O1334)*v01_OvercapLoss</x:f>
        <x:v>0</x:v>
      </x:c>
      <x:c r="W1334" s="9" t="n">
        <x:f>H1334*Y1333/(v01_ChildYears*4)</x:f>
        <x:v>205.84589290124683</x:v>
      </x:c>
      <x:c r="X1334" s="9" t="n">
        <x:f>H1334*Z1333/(v01_AdultYears*4)</x:f>
        <x:v>105.5672623307871</x:v>
      </x:c>
      <x:c r="Y1334" s="32" t="n">
        <x:f>Y1333+R1334-S1334-W1334-Y1333*V1334/AB1333</x:f>
        <x:v>11598.305047948197</x:v>
      </x:c>
      <x:c r="Z1334" s="32" t="n">
        <x:f>Z1333+W1334-X1334-T1334-Z1333*V1334/AB1333</x:f>
        <x:v>13177.528819059044</x:v>
      </x:c>
      <x:c r="AA1334" s="32" t="n">
        <x:f>AA1333+X1334-U1334-AA1333*V1334/AB1333</x:f>
        <x:v>6098.220230303192</x:v>
      </x:c>
      <x:c r="AB1334" s="10" t="n">
        <x:f>Y1334+Z1334+AA1334</x:f>
        <x:v>30874.054097310433</x:v>
      </x:c>
      <x:c r="AC1334" s="8" t="n">
        <x:f>IF(AND(v01_WinterTrigger=1,D1334=1,AB1333/AE1333&gt;=K1334),1,0)</x:f>
        <x:v>0</x:v>
      </x:c>
      <x:c r="AD1334" s="8" t="n">
        <x:f>H1334*IF(AND(OR(AB1333/AE1333&gt;=v01_FissionTrigger*N1334,AC1334=1),AB1333/AE1333*v01_DaughterShare&gt;=v01_MinDaughter),MAX(1,ROUND(AE1333*v01_FissionRate,0)),0)</x:f>
        <x:v>0</x:v>
      </x:c>
      <x:c r="AE1334" s="8" t="n">
        <x:f>IF(H1334=1,MAX(1,MIN(INDEX(v01_Smax,G1334),AE1333+AD1334)),AE1333)</x:f>
        <x:v>15</x:v>
      </x:c>
      <x:c r="AF1334" s="8" t="n">
        <x:f>MAX(0,AE1334-AE1333)</x:f>
        <x:v>0</x:v>
      </x:c>
      <x:c r="AG1334" s="9" t="str">
        <x:f>IF(AF1334&gt;0,B1334,"")</x:f>
      </x:c>
      <x:c r="AH1334" s="9" t="n">
        <x:f>IF(F1334&gt;=1,1,(1+v01_LowTiesShare*(AE1334-1))/AE1334)</x:f>
        <x:v>1</x:v>
      </x:c>
      <x:c r="AI1334" s="32" t="n">
        <x:f>(Z1334+v01_ElderCommons*INDEX(LM_Elder,G1334)*AA1334)*AH1334</x:f>
        <x:v>36045.85468269601</x:v>
      </x:c>
      <x:c r="AJ1334" s="32" t="n">
        <x:f>H1334*v01_CommonsCoef*AI1334^v01_CommonsExp*INDEX(LM_Commons,G1334)</x:f>
        <x:v>13512.296632218859</x:v>
      </x:c>
      <x:c r="AK1334" s="32" t="n">
        <x:f>H1334*v01_RoleScale*Arch_Roles*(AE1334*(INDEX(v01_ElderRolePerSett,G1334)*v01_OutElder*INDEX(LM_Elder,G1334)+INDEX(v01_ShamanPerSett,G1334)*v01_OutShaman)+Z1334*(INDEX(v01_PriestShare,G1334)*v01_OutPriest+INDEX(v01_ScribeShare,G1334)*v01_OutScribe*INDEX(LM_Scribe,G1334)+INDEX(v01_ScholarShare,G1334)*v01_OutScholar*INDEX(LM_Scholar,G1334)+INDEX(v01_ResearcherShare,G1334)*v01_OutResearcher*INDEX(LM_Researcher,G1334)))</x:f>
        <x:v>3453.737275697245</x:v>
      </x:c>
      <x:c r="AL1334" s="32" t="n">
        <x:f>H1334*v01_RoleScale*Arch_Roles*AE1334*INDEX(v01_MonasteryPerSett,G1334)*v01_OutMonastery*INDEX(LM_Monastery,G1334)</x:f>
        <x:v>6.6000000000000005</x:v>
      </x:c>
      <x:c r="AM1334" s="32" t="n">
        <x:f>(AJ1334+AK1334+AL1334)/4*INDEX(LM_All,G1334)*INDEX(v01_Boon,G1334)*Arch_Insight</x:f>
        <x:v>12228.638040251584</x:v>
      </x:c>
      <x:c r="AN1334" s="32" t="n">
        <x:f>H1334*(v01_KHPerAdult*Z1334+v01_KHOfCommons*AJ1334/4*INDEX(LM_All,G1334))*v01_KHUsable*Arch_KH</x:f>
        <x:v>461.2135086670665</x:v>
      </x:c>
      <x:c r="AO1334" s="32" t="n">
        <x:f>MIN(AP1333+AN1334,AM1334*v01_KHMaxRatio)</x:f>
        <x:v>461.2135086670665</x:v>
      </x:c>
      <x:c r="AP1334" s="32" t="n">
        <x:f>AP1333+AN1334-AO1334</x:f>
        <x:v>0</x:v>
      </x:c>
      <x:c r="AQ1334" s="32" t="n">
        <x:f>AM1334+AO1334</x:f>
        <x:v>12689.85154891865</x:v>
      </x:c>
      <x:c r="AR1334" s="10" t="n">
        <x:f>IF(H1334=1,INDEX(v01_Req,G1334),0)</x:f>
        <x:v>743165.805333726</x:v>
      </x:c>
      <x:c r="AS1334" s="32" t="n">
        <x:f>IF(H1334=1,IF(E1334=1,AS1333-AR1333,AS1333)+AQ1334,0)</x:f>
        <x:v>624716.4881450708</x:v>
      </x:c>
      <x:c r="AT1334" s="11" t="n">
        <x:f>IF(AR1334&gt;0,MIN(1,AS1334/AR1334),1)</x:f>
        <x:v>0.8406152216120004</x:v>
      </x:c>
      <x:c r="AU1334" s="10" t="n">
        <x:f>AB1334/INDEX(v01_RepScale,G1334)</x:f>
        <x:v>123.49621638924172</x:v>
      </x:c>
      <x:c r="AV1334" s="32" t="n">
        <x:f>AM1334*60/v01_SeasonSeconds</x:f>
        <x:v>48914.55216100634</x:v>
      </x:c>
    </x:row>
    <x:row r="1335">
      <x:c r="A1335" s="8" t="n">
        <x:f>A1334+1</x:f>
        <x:v>1332</x:v>
      </x:c>
      <x:c r="B1335" s="9" t="n">
        <x:f>A1335*v01_SeasonSeconds/60</x:f>
        <x:v>333</x:v>
      </x:c>
      <x:c r="C1335" s="9" t="n">
        <x:f>A1335/4</x:f>
        <x:v>333</x:v>
      </x:c>
      <x:c r="D1335" s="8" t="n">
        <x:f>IF(MOD(A1335,4)=0,1,0)</x:f>
        <x:v>1</x:v>
      </x:c>
      <x:c r="E1335" s="8" t="n">
        <x:f>IF(AND(F1334&lt;=9,AS1334&gt;=AR1334),1,0)</x:f>
        <x:v>0</x:v>
      </x:c>
      <x:c r="F1335" s="8" t="n">
        <x:f>MIN(10,F1334+E1335)</x:f>
        <x:v>8</x:v>
      </x:c>
      <x:c r="G1335" s="8" t="n">
        <x:f>MIN(F1335,9)+1</x:f>
        <x:v>9</x:v>
      </x:c>
      <x:c r="H1335" s="8" t="n">
        <x:f>IF(F1335&lt;=9,1,0)</x:f>
        <x:v>1</x:v>
      </x:c>
      <x:c r="I1335" s="9" t="n">
        <x:f>MIN(10,F1334+IF(AR1334&gt;0,MIN(1,AS1334/AR1334),1))</x:f>
        <x:v>8.840615221612001</x:v>
      </x:c>
      <x:c r="J1335" s="32" t="n">
        <x:f>INDEX(v01_FoodCap,G1335)*Arch_FoodCap*EXP(v01_CapsByProject*SUMPRODUCT((Cap_Point&lt;=I1335)*(Cap_Kind="Food")*Cap_Ln))</x:f>
        <x:v>6000</x:v>
      </x:c>
      <x:c r="K1335" s="32" t="n">
        <x:f>J1335*MIN(1,v01_LeanBase*EXP(v01_CapsByProject*SUMPRODUCT((Cap_Point&lt;=I1335)*(Cap_Kind="Lean")*Cap_Ln)))</x:f>
        <x:v>6000</x:v>
      </x:c>
      <x:c r="L1335" s="10" t="n">
        <x:f>INDEX(v01_HousingCap,G1335)*EXP(v01_CapsByProject*SUMPRODUCT((Cap_Point&lt;=I1335)*(Cap_Kind="Housing")*Cap_Ln))</x:f>
        <x:v>10000</x:v>
      </x:c>
      <x:c r="M1335" s="10" t="n">
        <x:f>INDEX(v01_GroupCap,G1335)*v01_CohesionFactor*EXP(v01_CapsByProject*SUMPRODUCT((Cap_Point&lt;=I1335)*(Cap_Kind="Group")*Cap_Ln))</x:f>
        <x:v>1000000</x:v>
      </x:c>
      <x:c r="N1335" s="32" t="n">
        <x:f>MIN(J1335,L1335,M1335)</x:f>
        <x:v>6000</x:v>
      </x:c>
      <x:c r="O1335" s="10" t="n">
        <x:f>AE1334*N1335</x:f>
        <x:v>90000</x:v>
      </x:c>
      <x:c r="P1335" s="9" t="n">
        <x:f>MIN(1,(AB1334/(AE1334*IF(v01_GroupInCrowding=1,N1335,MIN(J1335,L1335))))^v01_CrowdingExp)</x:f>
        <x:v>0.0016296971576876729</x:v>
      </x:c>
      <x:c r="Q1335" s="9" t="n">
        <x:f>IF(D1335=1,INDEX(v01_WinterMult,G1335),1)</x:f>
        <x:v>1</x:v>
      </x:c>
      <x:c r="R1335" s="9" t="n">
        <x:f>H1335*Z1334*v01_WomenShare*v01_BaseFertility*INDEX(v01_FertMult,G1335)*Arch_Fertility*(1-P1335)</x:f>
        <x:v>296.01120235043874</x:v>
      </x:c>
      <x:c r="S1335" s="9" t="n">
        <x:f>H1335*Y1334*INDEX(v01_MortChild,G1335)/4*Q1335</x:f>
        <x:v>17.397457571922295</x:v>
      </x:c>
      <x:c r="T1335" s="9" t="n">
        <x:f>H1335*Z1334*INDEX(v01_MortAdult,G1335)*Arch_AdultMort/4*Q1335</x:f>
        <x:v>13.177528819059043</x:v>
      </x:c>
      <x:c r="U1335" s="9" t="n">
        <x:f>H1335*AA1334*INDEX(v01_MortElder,G1335)/4*Q1335</x:f>
        <x:v>53.35942701515293</x:v>
      </x:c>
      <x:c r="V1335" s="9" t="n">
        <x:f>H1335*MAX(0,AB1334-O1335)*v01_OvercapLoss</x:f>
        <x:v>0</x:v>
      </x:c>
      <x:c r="W1335" s="9" t="n">
        <x:f>H1335*Y1334/(v01_ChildYears*4)</x:f>
        <x:v>207.1125901419321</x:v>
      </x:c>
      <x:c r="X1335" s="9" t="n">
        <x:f>H1335*Z1334/(v01_AdultYears*4)</x:f>
        <x:v>106.27039370208907</x:v>
      </x:c>
      <x:c r="Y1335" s="32" t="n">
        <x:f>Y1334+R1335-S1335-W1335-Y1334*V1335/AB1334</x:f>
        <x:v>11669.806202584781</x:v>
      </x:c>
      <x:c r="Z1335" s="32" t="n">
        <x:f>Z1334+W1335-X1335-T1335-Z1334*V1335/AB1334</x:f>
        <x:v>13265.19348667983</x:v>
      </x:c>
      <x:c r="AA1335" s="32" t="n">
        <x:f>AA1334+X1335-U1335-AA1334*V1335/AB1334</x:f>
        <x:v>6151.131196990128</x:v>
      </x:c>
      <x:c r="AB1335" s="10" t="n">
        <x:f>Y1335+Z1335+AA1335</x:f>
        <x:v>31086.130886254738</x:v>
      </x:c>
      <x:c r="AC1335" s="8" t="n">
        <x:f>IF(AND(v01_WinterTrigger=1,D1335=1,AB1334/AE1334&gt;=K1335),1,0)</x:f>
        <x:v>0</x:v>
      </x:c>
      <x:c r="AD1335" s="8" t="n">
        <x:f>H1335*IF(AND(OR(AB1334/AE1334&gt;=v01_FissionTrigger*N1335,AC1335=1),AB1334/AE1334*v01_DaughterShare&gt;=v01_MinDaughter),MAX(1,ROUND(AE1334*v01_FissionRate,0)),0)</x:f>
        <x:v>0</x:v>
      </x:c>
      <x:c r="AE1335" s="8" t="n">
        <x:f>IF(H1335=1,MAX(1,MIN(INDEX(v01_Smax,G1335),AE1334+AD1335)),AE1334)</x:f>
        <x:v>15</x:v>
      </x:c>
      <x:c r="AF1335" s="8" t="n">
        <x:f>MAX(0,AE1335-AE1334)</x:f>
        <x:v>0</x:v>
      </x:c>
      <x:c r="AG1335" s="9" t="str">
        <x:f>IF(AF1335&gt;0,B1335,"")</x:f>
      </x:c>
      <x:c r="AH1335" s="9" t="n">
        <x:f>IF(F1335&gt;=1,1,(1+v01_LowTiesShare*(AE1335-1))/AE1335)</x:f>
        <x:v>1</x:v>
      </x:c>
      <x:c r="AI1335" s="32" t="n">
        <x:f>(Z1335+v01_ElderCommons*INDEX(LM_Elder,G1335)*AA1335)*AH1335</x:f>
        <x:v>36331.935475392806</x:v>
      </x:c>
      <x:c r="AJ1335" s="32" t="n">
        <x:f>H1335*v01_CommonsCoef*AI1335^v01_CommonsExp*INDEX(LM_Commons,G1335)</x:f>
        <x:v>13603.397741471037</x:v>
      </x:c>
      <x:c r="AK1335" s="32" t="n">
        <x:f>H1335*v01_RoleScale*Arch_Roles*(AE1335*(INDEX(v01_ElderRolePerSett,G1335)*v01_OutElder*INDEX(LM_Elder,G1335)+INDEX(v01_ShamanPerSett,G1335)*v01_OutShaman)+Z1335*(INDEX(v01_PriestShare,G1335)*v01_OutPriest+INDEX(v01_ScribeShare,G1335)*v01_OutScribe*INDEX(LM_Scribe,G1335)+INDEX(v01_ScholarShare,G1335)*v01_OutScholar*INDEX(LM_Scholar,G1335)+INDEX(v01_ResearcherShare,G1335)*v01_OutResearcher*INDEX(LM_Researcher,G1335)))</x:f>
        <x:v>3476.3767789471813</x:v>
      </x:c>
      <x:c r="AL1335" s="32" t="n">
        <x:f>H1335*v01_RoleScale*Arch_Roles*AE1335*INDEX(v01_MonasteryPerSett,G1335)*v01_OutMonastery*INDEX(LM_Monastery,G1335)</x:f>
        <x:v>6.6000000000000005</x:v>
      </x:c>
      <x:c r="AM1335" s="32" t="n">
        <x:f>(AJ1335+AK1335+AL1335)/4*INDEX(LM_All,G1335)*INDEX(v01_Boon,G1335)*Arch_Insight</x:f>
        <x:v>12310.587181929362</x:v>
      </x:c>
      <x:c r="AN1335" s="32" t="n">
        <x:f>H1335*(v01_KHPerAdult*Z1335+v01_KHOfCommons*AJ1335/4*INDEX(LM_All,G1335))*v01_KHUsable*Arch_KH</x:f>
        <x:v>464.281772033794</x:v>
      </x:c>
      <x:c r="AO1335" s="32" t="n">
        <x:f>MIN(AP1334+AN1335,AM1335*v01_KHMaxRatio)</x:f>
        <x:v>464.281772033794</x:v>
      </x:c>
      <x:c r="AP1335" s="32" t="n">
        <x:f>AP1334+AN1335-AO1335</x:f>
        <x:v>0</x:v>
      </x:c>
      <x:c r="AQ1335" s="32" t="n">
        <x:f>AM1335+AO1335</x:f>
        <x:v>12774.868953963156</x:v>
      </x:c>
      <x:c r="AR1335" s="10" t="n">
        <x:f>IF(H1335=1,INDEX(v01_Req,G1335),0)</x:f>
        <x:v>743165.805333726</x:v>
      </x:c>
      <x:c r="AS1335" s="32" t="n">
        <x:f>IF(H1335=1,IF(E1335=1,AS1334-AR1334,AS1334)+AQ1335,0)</x:f>
        <x:v>637491.357099034</x:v>
      </x:c>
      <x:c r="AT1335" s="11" t="n">
        <x:f>IF(AR1335&gt;0,MIN(1,AS1335/AR1335),1)</x:f>
        <x:v>0.8578050181046236</x:v>
      </x:c>
      <x:c r="AU1335" s="10" t="n">
        <x:f>AB1335/INDEX(v01_RepScale,G1335)</x:f>
        <x:v>124.34452354501894</x:v>
      </x:c>
      <x:c r="AV1335" s="32" t="n">
        <x:f>AM1335*60/v01_SeasonSeconds</x:f>
        <x:v>49242.34872771745</x:v>
      </x:c>
    </x:row>
    <x:row r="1336">
      <x:c r="A1336" s="8" t="n">
        <x:f>A1335+1</x:f>
        <x:v>1333</x:v>
      </x:c>
      <x:c r="B1336" s="9" t="n">
        <x:f>A1336*v01_SeasonSeconds/60</x:f>
        <x:v>333.25</x:v>
      </x:c>
      <x:c r="C1336" s="9" t="n">
        <x:f>A1336/4</x:f>
        <x:v>333.25</x:v>
      </x:c>
      <x:c r="D1336" s="8" t="n">
        <x:f>IF(MOD(A1336,4)=0,1,0)</x:f>
        <x:v>0</x:v>
      </x:c>
      <x:c r="E1336" s="8" t="n">
        <x:f>IF(AND(F1335&lt;=9,AS1335&gt;=AR1335),1,0)</x:f>
        <x:v>0</x:v>
      </x:c>
      <x:c r="F1336" s="8" t="n">
        <x:f>MIN(10,F1335+E1336)</x:f>
        <x:v>8</x:v>
      </x:c>
      <x:c r="G1336" s="8" t="n">
        <x:f>MIN(F1336,9)+1</x:f>
        <x:v>9</x:v>
      </x:c>
      <x:c r="H1336" s="8" t="n">
        <x:f>IF(F1336&lt;=9,1,0)</x:f>
        <x:v>1</x:v>
      </x:c>
      <x:c r="I1336" s="9" t="n">
        <x:f>MIN(10,F1335+IF(AR1335&gt;0,MIN(1,AS1335/AR1335),1))</x:f>
        <x:v>8.857805018104624</x:v>
      </x:c>
      <x:c r="J1336" s="32" t="n">
        <x:f>INDEX(v01_FoodCap,G1336)*Arch_FoodCap*EXP(v01_CapsByProject*SUMPRODUCT((Cap_Point&lt;=I1336)*(Cap_Kind="Food")*Cap_Ln))</x:f>
        <x:v>6000</x:v>
      </x:c>
      <x:c r="K1336" s="32" t="n">
        <x:f>J1336*MIN(1,v01_LeanBase*EXP(v01_CapsByProject*SUMPRODUCT((Cap_Point&lt;=I1336)*(Cap_Kind="Lean")*Cap_Ln)))</x:f>
        <x:v>6000</x:v>
      </x:c>
      <x:c r="L1336" s="10" t="n">
        <x:f>INDEX(v01_HousingCap,G1336)*EXP(v01_CapsByProject*SUMPRODUCT((Cap_Point&lt;=I1336)*(Cap_Kind="Housing")*Cap_Ln))</x:f>
        <x:v>10000</x:v>
      </x:c>
      <x:c r="M1336" s="10" t="n">
        <x:f>INDEX(v01_GroupCap,G1336)*v01_CohesionFactor*EXP(v01_CapsByProject*SUMPRODUCT((Cap_Point&lt;=I1336)*(Cap_Kind="Group")*Cap_Ln))</x:f>
        <x:v>1000000</x:v>
      </x:c>
      <x:c r="N1336" s="32" t="n">
        <x:f>MIN(J1336,L1336,M1336)</x:f>
        <x:v>6000</x:v>
      </x:c>
      <x:c r="O1336" s="10" t="n">
        <x:f>AE1335*N1336</x:f>
        <x:v>90000</x:v>
      </x:c>
      <x:c r="P1336" s="9" t="n">
        <x:f>MIN(1,(AB1335/(AE1335*IF(v01_GroupInCrowding=1,N1336,MIN(J1336,L1336))))^v01_CrowdingExp)</x:f>
        <x:v>0.001698028482766324</x:v>
      </x:c>
      <x:c r="Q1336" s="9" t="n">
        <x:f>IF(D1336=1,INDEX(v01_WinterMult,G1336),1)</x:f>
        <x:v>1</x:v>
      </x:c>
      <x:c r="R1336" s="9" t="n">
        <x:f>H1336*Z1335*v01_WomenShare*v01_BaseFertility*INDEX(v01_FertMult,G1336)*Arch_Fertility*(1-P1336)</x:f>
        <x:v>297.96004823197586</x:v>
      </x:c>
      <x:c r="S1336" s="9" t="n">
        <x:f>H1336*Y1335*INDEX(v01_MortChild,G1336)/4*Q1336</x:f>
        <x:v>17.50470930387717</x:v>
      </x:c>
      <x:c r="T1336" s="9" t="n">
        <x:f>H1336*Z1335*INDEX(v01_MortAdult,G1336)*Arch_AdultMort/4*Q1336</x:f>
        <x:v>13.265193486679829</x:v>
      </x:c>
      <x:c r="U1336" s="9" t="n">
        <x:f>H1336*AA1335*INDEX(v01_MortElder,G1336)/4*Q1336</x:f>
        <x:v>53.82239797366363</x:v>
      </x:c>
      <x:c r="V1336" s="9" t="n">
        <x:f>H1336*MAX(0,AB1335-O1336)*v01_OvercapLoss</x:f>
        <x:v>0</x:v>
      </x:c>
      <x:c r="W1336" s="9" t="n">
        <x:f>H1336*Y1335/(v01_ChildYears*4)</x:f>
        <x:v>208.38939647472824</x:v>
      </x:c>
      <x:c r="X1336" s="9" t="n">
        <x:f>H1336*Z1335/(v01_AdultYears*4)</x:f>
        <x:v>106.97736682806314</x:v>
      </x:c>
      <x:c r="Y1336" s="32" t="n">
        <x:f>Y1335+R1336-S1336-W1336-Y1335*V1336/AB1335</x:f>
        <x:v>11741.872145038153</x:v>
      </x:c>
      <x:c r="Z1336" s="32" t="n">
        <x:f>Z1335+W1336-X1336-T1336-Z1335*V1336/AB1335</x:f>
        <x:v>13353.340322839815</x:v>
      </x:c>
      <x:c r="AA1336" s="32" t="n">
        <x:f>AA1335+X1336-U1336-AA1335*V1336/AB1335</x:f>
        <x:v>6204.286165844527</x:v>
      </x:c>
      <x:c r="AB1336" s="10" t="n">
        <x:f>Y1336+Z1336+AA1336</x:f>
        <x:v>31299.49863372249</x:v>
      </x:c>
      <x:c r="AC1336" s="8" t="n">
        <x:f>IF(AND(v01_WinterTrigger=1,D1336=1,AB1335/AE1335&gt;=K1336),1,0)</x:f>
        <x:v>0</x:v>
      </x:c>
      <x:c r="AD1336" s="8" t="n">
        <x:f>H1336*IF(AND(OR(AB1335/AE1335&gt;=v01_FissionTrigger*N1336,AC1336=1),AB1335/AE1335*v01_DaughterShare&gt;=v01_MinDaughter),MAX(1,ROUND(AE1335*v01_FissionRate,0)),0)</x:f>
        <x:v>0</x:v>
      </x:c>
      <x:c r="AE1336" s="8" t="n">
        <x:f>IF(H1336=1,MAX(1,MIN(INDEX(v01_Smax,G1336),AE1335+AD1336)),AE1335)</x:f>
        <x:v>15</x:v>
      </x:c>
      <x:c r="AF1336" s="8" t="n">
        <x:f>MAX(0,AE1336-AE1335)</x:f>
        <x:v>0</x:v>
      </x:c>
      <x:c r="AG1336" s="9" t="str">
        <x:f>IF(AF1336&gt;0,B1336,"")</x:f>
      </x:c>
      <x:c r="AH1336" s="9" t="n">
        <x:f>IF(F1336&gt;=1,1,(1+v01_LowTiesShare*(AE1336-1))/AE1336)</x:f>
        <x:v>1</x:v>
      </x:c>
      <x:c r="AI1336" s="32" t="n">
        <x:f>(Z1336+v01_ElderCommons*INDEX(LM_Elder,G1336)*AA1336)*AH1336</x:f>
        <x:v>36619.41344475679</x:v>
      </x:c>
      <x:c r="AJ1336" s="32" t="n">
        <x:f>H1336*v01_CommonsCoef*AI1336^v01_CommonsExp*INDEX(LM_Commons,G1336)</x:f>
        <x:v>13694.835449322296</x:v>
      </x:c>
      <x:c r="AK1336" s="32" t="n">
        <x:f>H1336*v01_RoleScale*Arch_Roles*(AE1336*(INDEX(v01_ElderRolePerSett,G1336)*v01_OutElder*INDEX(LM_Elder,G1336)+INDEX(v01_ShamanPerSett,G1336)*v01_OutShaman)+Z1336*(INDEX(v01_PriestShare,G1336)*v01_OutPriest+INDEX(v01_ScribeShare,G1336)*v01_OutScribe*INDEX(LM_Scribe,G1336)+INDEX(v01_ScholarShare,G1336)*v01_OutScholar*INDEX(LM_Scholar,G1336)+INDEX(v01_ResearcherShare,G1336)*v01_OutResearcher*INDEX(LM_Researcher,G1336)))</x:f>
        <x:v>3499.140802787984</x:v>
      </x:c>
      <x:c r="AL1336" s="32" t="n">
        <x:f>H1336*v01_RoleScale*Arch_Roles*AE1336*INDEX(v01_MonasteryPerSett,G1336)*v01_OutMonastery*INDEX(LM_Monastery,G1336)</x:f>
        <x:v>6.6000000000000005</x:v>
      </x:c>
      <x:c r="AM1336" s="32" t="n">
        <x:f>(AJ1336+AK1336+AL1336)/4*INDEX(LM_All,G1336)*INDEX(v01_Boon,G1336)*Arch_Insight</x:f>
        <x:v>12392.86855605249</x:v>
      </x:c>
      <x:c r="AN1336" s="32" t="n">
        <x:f>H1336*(v01_KHPerAdult*Z1336+v01_KHOfCommons*AJ1336/4*INDEX(LM_All,G1336))*v01_KHUsable*Arch_KH</x:f>
        <x:v>467.3669112993935</x:v>
      </x:c>
      <x:c r="AO1336" s="32" t="n">
        <x:f>MIN(AP1335+AN1336,AM1336*v01_KHMaxRatio)</x:f>
        <x:v>467.3669112993935</x:v>
      </x:c>
      <x:c r="AP1336" s="32" t="n">
        <x:f>AP1335+AN1336-AO1336</x:f>
        <x:v>0</x:v>
      </x:c>
      <x:c r="AQ1336" s="32" t="n">
        <x:f>AM1336+AO1336</x:f>
        <x:v>12860.235467351884</x:v>
      </x:c>
      <x:c r="AR1336" s="10" t="n">
        <x:f>IF(H1336=1,INDEX(v01_Req,G1336),0)</x:f>
        <x:v>743165.805333726</x:v>
      </x:c>
      <x:c r="AS1336" s="32" t="n">
        <x:f>IF(H1336=1,IF(E1336=1,AS1335-AR1335,AS1335)+AQ1336,0)</x:f>
        <x:v>650351.5925663859</x:v>
      </x:c>
      <x:c r="AT1336" s="11" t="n">
        <x:f>IF(AR1336&gt;0,MIN(1,AS1336/AR1336),1)</x:f>
        <x:v>0.875109683328795</x:v>
      </x:c>
      <x:c r="AU1336" s="10" t="n">
        <x:f>AB1336/INDEX(v01_RepScale,G1336)</x:f>
        <x:v>125.19799453488996</x:v>
      </x:c>
      <x:c r="AV1336" s="32" t="n">
        <x:f>AM1336*60/v01_SeasonSeconds</x:f>
        <x:v>49571.47422420995</x:v>
      </x:c>
    </x:row>
    <x:row r="1337">
      <x:c r="A1337" s="8" t="n">
        <x:f>A1336+1</x:f>
        <x:v>1334</x:v>
      </x:c>
      <x:c r="B1337" s="9" t="n">
        <x:f>A1337*v01_SeasonSeconds/60</x:f>
        <x:v>333.5</x:v>
      </x:c>
      <x:c r="C1337" s="9" t="n">
        <x:f>A1337/4</x:f>
        <x:v>333.5</x:v>
      </x:c>
      <x:c r="D1337" s="8" t="n">
        <x:f>IF(MOD(A1337,4)=0,1,0)</x:f>
        <x:v>0</x:v>
      </x:c>
      <x:c r="E1337" s="8" t="n">
        <x:f>IF(AND(F1336&lt;=9,AS1336&gt;=AR1336),1,0)</x:f>
        <x:v>0</x:v>
      </x:c>
      <x:c r="F1337" s="8" t="n">
        <x:f>MIN(10,F1336+E1337)</x:f>
        <x:v>8</x:v>
      </x:c>
      <x:c r="G1337" s="8" t="n">
        <x:f>MIN(F1337,9)+1</x:f>
        <x:v>9</x:v>
      </x:c>
      <x:c r="H1337" s="8" t="n">
        <x:f>IF(F1337&lt;=9,1,0)</x:f>
        <x:v>1</x:v>
      </x:c>
      <x:c r="I1337" s="9" t="n">
        <x:f>MIN(10,F1336+IF(AR1336&gt;0,MIN(1,AS1336/AR1336),1))</x:f>
        <x:v>8.875109683328795</x:v>
      </x:c>
      <x:c r="J1337" s="32" t="n">
        <x:f>INDEX(v01_FoodCap,G1337)*Arch_FoodCap*EXP(v01_CapsByProject*SUMPRODUCT((Cap_Point&lt;=I1337)*(Cap_Kind="Food")*Cap_Ln))</x:f>
        <x:v>6000</x:v>
      </x:c>
      <x:c r="K1337" s="32" t="n">
        <x:f>J1337*MIN(1,v01_LeanBase*EXP(v01_CapsByProject*SUMPRODUCT((Cap_Point&lt;=I1337)*(Cap_Kind="Lean")*Cap_Ln)))</x:f>
        <x:v>6000</x:v>
      </x:c>
      <x:c r="L1337" s="10" t="n">
        <x:f>INDEX(v01_HousingCap,G1337)*EXP(v01_CapsByProject*SUMPRODUCT((Cap_Point&lt;=I1337)*(Cap_Kind="Housing")*Cap_Ln))</x:f>
        <x:v>10000</x:v>
      </x:c>
      <x:c r="M1337" s="10" t="n">
        <x:f>INDEX(v01_GroupCap,G1337)*v01_CohesionFactor*EXP(v01_CapsByProject*SUMPRODUCT((Cap_Point&lt;=I1337)*(Cap_Kind="Group")*Cap_Ln))</x:f>
        <x:v>1000000</x:v>
      </x:c>
      <x:c r="N1337" s="32" t="n">
        <x:f>MIN(J1337,L1337,M1337)</x:f>
        <x:v>6000</x:v>
      </x:c>
      <x:c r="O1337" s="10" t="n">
        <x:f>AE1336*N1337</x:f>
        <x:v>90000</x:v>
      </x:c>
      <x:c r="P1337" s="9" t="n">
        <x:f>MIN(1,(AB1336/(AE1336*IF(v01_GroupInCrowding=1,N1337,MIN(J1337,L1337))))^v01_CrowdingExp)</x:f>
        <x:v>0.0017691686251859948</x:v>
      </x:c>
      <x:c r="Q1337" s="9" t="n">
        <x:f>IF(D1337=1,INDEX(v01_WinterMult,G1337),1)</x:f>
        <x:v>1</x:v>
      </x:c>
      <x:c r="R1337" s="9" t="n">
        <x:f>H1337*Z1336*v01_WomenShare*v01_BaseFertility*INDEX(v01_FertMult,G1337)*Arch_Fertility*(1-P1337)</x:f>
        <x:v>299.9186102722324</x:v>
      </x:c>
      <x:c r="S1337" s="9" t="n">
        <x:f>H1337*Y1336*INDEX(v01_MortChild,G1337)/4*Q1337</x:f>
        <x:v>17.61280821755723</x:v>
      </x:c>
      <x:c r="T1337" s="9" t="n">
        <x:f>H1337*Z1336*INDEX(v01_MortAdult,G1337)*Arch_AdultMort/4*Q1337</x:f>
        <x:v>13.353340322839815</x:v>
      </x:c>
      <x:c r="U1337" s="9" t="n">
        <x:f>H1337*AA1336*INDEX(v01_MortElder,G1337)/4*Q1337</x:f>
        <x:v>54.28750395113962</x:v>
      </x:c>
      <x:c r="V1337" s="9" t="n">
        <x:f>H1337*MAX(0,AB1336-O1337)*v01_OvercapLoss</x:f>
        <x:v>0</x:v>
      </x:c>
      <x:c r="W1337" s="9" t="n">
        <x:f>H1337*Y1336/(v01_ChildYears*4)</x:f>
        <x:v>209.67628830425272</x:v>
      </x:c>
      <x:c r="X1337" s="9" t="n">
        <x:f>H1337*Z1336/(v01_AdultYears*4)</x:f>
        <x:v>107.6882284099985</x:v>
      </x:c>
      <x:c r="Y1337" s="32" t="n">
        <x:f>Y1336+R1337-S1337-W1337-Y1336*V1337/AB1336</x:f>
        <x:v>11814.501658788577</x:v>
      </x:c>
      <x:c r="Z1337" s="32" t="n">
        <x:f>Z1336+W1337-X1337-T1337-Z1336*V1337/AB1336</x:f>
        <x:v>13441.975042411228</x:v>
      </x:c>
      <x:c r="AA1337" s="32" t="n">
        <x:f>AA1336+X1337-U1337-AA1336*V1337/AB1336</x:f>
        <x:v>6257.686890303386</x:v>
      </x:c>
      <x:c r="AB1337" s="10" t="n">
        <x:f>Y1337+Z1337+AA1337</x:f>
        <x:v>31514.16359150319</x:v>
      </x:c>
      <x:c r="AC1337" s="8" t="n">
        <x:f>IF(AND(v01_WinterTrigger=1,D1337=1,AB1336/AE1336&gt;=K1337),1,0)</x:f>
        <x:v>0</x:v>
      </x:c>
      <x:c r="AD1337" s="8" t="n">
        <x:f>H1337*IF(AND(OR(AB1336/AE1336&gt;=v01_FissionTrigger*N1337,AC1337=1),AB1336/AE1336*v01_DaughterShare&gt;=v01_MinDaughter),MAX(1,ROUND(AE1336*v01_FissionRate,0)),0)</x:f>
        <x:v>0</x:v>
      </x:c>
      <x:c r="AE1337" s="8" t="n">
        <x:f>IF(H1337=1,MAX(1,MIN(INDEX(v01_Smax,G1337),AE1336+AD1337)),AE1336)</x:f>
        <x:v>15</x:v>
      </x:c>
      <x:c r="AF1337" s="8" t="n">
        <x:f>MAX(0,AE1337-AE1336)</x:f>
        <x:v>0</x:v>
      </x:c>
      <x:c r="AG1337" s="9" t="str">
        <x:f>IF(AF1337&gt;0,B1337,"")</x:f>
      </x:c>
      <x:c r="AH1337" s="9" t="n">
        <x:f>IF(F1337&gt;=1,1,(1+v01_LowTiesShare*(AE1337-1))/AE1337)</x:f>
        <x:v>1</x:v>
      </x:c>
      <x:c r="AI1337" s="32" t="n">
        <x:f>(Z1337+v01_ElderCommons*INDEX(LM_Elder,G1337)*AA1337)*AH1337</x:f>
        <x:v>36908.30088104893</x:v>
      </x:c>
      <x:c r="AJ1337" s="32" t="n">
        <x:f>H1337*v01_CommonsCoef*AI1337^v01_CommonsExp*INDEX(LM_Commons,G1337)</x:f>
        <x:v>13786.613061650936</x:v>
      </x:c>
      <x:c r="AK1337" s="32" t="n">
        <x:f>H1337*v01_RoleScale*Arch_Roles*(AE1337*(INDEX(v01_ElderRolePerSett,G1337)*v01_OutElder*INDEX(LM_Elder,G1337)+INDEX(v01_ShamanPerSett,G1337)*v01_OutShaman)+Z1337*(INDEX(v01_PriestShare,G1337)*v01_OutPriest+INDEX(v01_ScribeShare,G1337)*v01_OutScribe*INDEX(LM_Scribe,G1337)+INDEX(v01_ScholarShare,G1337)*v01_OutScholar*INDEX(LM_Scholar,G1337)+INDEX(v01_ResearcherShare,G1337)*v01_OutResearcher*INDEX(LM_Researcher,G1337)))</x:f>
        <x:v>3522.030823092109</x:v>
      </x:c>
      <x:c r="AL1337" s="32" t="n">
        <x:f>H1337*v01_RoleScale*Arch_Roles*AE1337*INDEX(v01_MonasteryPerSett,G1337)*v01_OutMonastery*INDEX(LM_Monastery,G1337)</x:f>
        <x:v>6.6000000000000005</x:v>
      </x:c>
      <x:c r="AM1337" s="32" t="n">
        <x:f>(AJ1337+AK1337+AL1337)/4*INDEX(LM_All,G1337)*INDEX(v01_Boon,G1337)*Arch_Insight</x:f>
        <x:v>12475.48560783163</x:v>
      </x:c>
      <x:c r="AN1337" s="32" t="n">
        <x:f>H1337*(v01_KHPerAdult*Z1337+v01_KHOfCommons*AJ1337/4*INDEX(LM_All,G1337))*v01_KHUsable*Arch_KH</x:f>
        <x:v>470.469126484393</x:v>
      </x:c>
      <x:c r="AO1337" s="32" t="n">
        <x:f>MIN(AP1336+AN1337,AM1337*v01_KHMaxRatio)</x:f>
        <x:v>470.469126484393</x:v>
      </x:c>
      <x:c r="AP1337" s="32" t="n">
        <x:f>AP1336+AN1337-AO1337</x:f>
        <x:v>0</x:v>
      </x:c>
      <x:c r="AQ1337" s="32" t="n">
        <x:f>AM1337+AO1337</x:f>
        <x:v>12945.954734316023</x:v>
      </x:c>
      <x:c r="AR1337" s="10" t="n">
        <x:f>IF(H1337=1,INDEX(v01_Req,G1337),0)</x:f>
        <x:v>743165.805333726</x:v>
      </x:c>
      <x:c r="AS1337" s="32" t="n">
        <x:f>IF(H1337=1,IF(E1337=1,AS1336-AR1336,AS1336)+AQ1337,0)</x:f>
        <x:v>663297.5473007018</x:v>
      </x:c>
      <x:c r="AT1337" s="11" t="n">
        <x:f>IF(AR1337&gt;0,MIN(1,AS1337/AR1337),1)</x:f>
        <x:v>0.8925296919478709</x:v>
      </x:c>
      <x:c r="AU1337" s="10" t="n">
        <x:f>AB1337/INDEX(v01_RepScale,G1337)</x:f>
        <x:v>126.05665436601276</x:v>
      </x:c>
      <x:c r="AV1337" s="32" t="n">
        <x:f>AM1337*60/v01_SeasonSeconds</x:f>
        <x:v>49901.94243132652</x:v>
      </x:c>
    </x:row>
    <x:row r="1338">
      <x:c r="A1338" s="8" t="n">
        <x:f>A1337+1</x:f>
        <x:v>1335</x:v>
      </x:c>
      <x:c r="B1338" s="9" t="n">
        <x:f>A1338*v01_SeasonSeconds/60</x:f>
        <x:v>333.75</x:v>
      </x:c>
      <x:c r="C1338" s="9" t="n">
        <x:f>A1338/4</x:f>
        <x:v>333.75</x:v>
      </x:c>
      <x:c r="D1338" s="8" t="n">
        <x:f>IF(MOD(A1338,4)=0,1,0)</x:f>
        <x:v>0</x:v>
      </x:c>
      <x:c r="E1338" s="8" t="n">
        <x:f>IF(AND(F1337&lt;=9,AS1337&gt;=AR1337),1,0)</x:f>
        <x:v>0</x:v>
      </x:c>
      <x:c r="F1338" s="8" t="n">
        <x:f>MIN(10,F1337+E1338)</x:f>
        <x:v>8</x:v>
      </x:c>
      <x:c r="G1338" s="8" t="n">
        <x:f>MIN(F1338,9)+1</x:f>
        <x:v>9</x:v>
      </x:c>
      <x:c r="H1338" s="8" t="n">
        <x:f>IF(F1338&lt;=9,1,0)</x:f>
        <x:v>1</x:v>
      </x:c>
      <x:c r="I1338" s="9" t="n">
        <x:f>MIN(10,F1337+IF(AR1337&gt;0,MIN(1,AS1337/AR1337),1))</x:f>
        <x:v>8.892529691947871</x:v>
      </x:c>
      <x:c r="J1338" s="32" t="n">
        <x:f>INDEX(v01_FoodCap,G1338)*Arch_FoodCap*EXP(v01_CapsByProject*SUMPRODUCT((Cap_Point&lt;=I1338)*(Cap_Kind="Food")*Cap_Ln))</x:f>
        <x:v>6000</x:v>
      </x:c>
      <x:c r="K1338" s="32" t="n">
        <x:f>J1338*MIN(1,v01_LeanBase*EXP(v01_CapsByProject*SUMPRODUCT((Cap_Point&lt;=I1338)*(Cap_Kind="Lean")*Cap_Ln)))</x:f>
        <x:v>6000</x:v>
      </x:c>
      <x:c r="L1338" s="10" t="n">
        <x:f>INDEX(v01_HousingCap,G1338)*EXP(v01_CapsByProject*SUMPRODUCT((Cap_Point&lt;=I1338)*(Cap_Kind="Housing")*Cap_Ln))</x:f>
        <x:v>10000</x:v>
      </x:c>
      <x:c r="M1338" s="10" t="n">
        <x:f>INDEX(v01_GroupCap,G1338)*v01_CohesionFactor*EXP(v01_CapsByProject*SUMPRODUCT((Cap_Point&lt;=I1338)*(Cap_Kind="Group")*Cap_Ln))</x:f>
        <x:v>1000000</x:v>
      </x:c>
      <x:c r="N1338" s="32" t="n">
        <x:f>MIN(J1338,L1338,M1338)</x:f>
        <x:v>6000</x:v>
      </x:c>
      <x:c r="O1338" s="10" t="n">
        <x:f>AE1337*N1338</x:f>
        <x:v>90000</x:v>
      </x:c>
      <x:c r="P1338" s="9" t="n">
        <x:f>MIN(1,(AB1337/(AE1337*IF(v01_GroupInCrowding=1,N1338,MIN(J1338,L1338))))^v01_CrowdingExp)</x:f>
        <x:v>0.001843230525640679</x:v>
      </x:c>
      <x:c r="Q1338" s="9" t="n">
        <x:f>IF(D1338=1,INDEX(v01_WinterMult,G1338),1)</x:f>
        <x:v>1</x:v>
      </x:c>
      <x:c r="R1338" s="9" t="n">
        <x:f>H1338*Z1337*v01_WomenShare*v01_BaseFertility*INDEX(v01_FertMult,G1338)*Arch_Fertility*(1-P1338)</x:f>
        <x:v>301.8869636329835</x:v>
      </x:c>
      <x:c r="S1338" s="9" t="n">
        <x:f>H1338*Y1337*INDEX(v01_MortChild,G1338)/4*Q1338</x:f>
        <x:v>17.721752488182865</x:v>
      </x:c>
      <x:c r="T1338" s="9" t="n">
        <x:f>H1338*Z1337*INDEX(v01_MortAdult,G1338)*Arch_AdultMort/4*Q1338</x:f>
        <x:v>13.441975042411228</x:v>
      </x:c>
      <x:c r="U1338" s="9" t="n">
        <x:f>H1338*AA1337*INDEX(v01_MortElder,G1338)/4*Q1338</x:f>
        <x:v>54.75476029015463</x:v>
      </x:c>
      <x:c r="V1338" s="9" t="n">
        <x:f>H1338*MAX(0,AB1337-O1338)*v01_OvercapLoss</x:f>
        <x:v>0</x:v>
      </x:c>
      <x:c r="W1338" s="9" t="n">
        <x:f>H1338*Y1337/(v01_ChildYears*4)</x:f>
        <x:v>210.97324390693888</x:v>
      </x:c>
      <x:c r="X1338" s="9" t="n">
        <x:f>H1338*Z1337/(v01_AdultYears*4)</x:f>
        <x:v>108.40302453557442</x:v>
      </x:c>
      <x:c r="Y1338" s="32" t="n">
        <x:f>Y1337+R1338-S1338-W1338-Y1337*V1338/AB1337</x:f>
        <x:v>11887.693626026437</x:v>
      </x:c>
      <x:c r="Z1338" s="32" t="n">
        <x:f>Z1337+W1338-X1338-T1338-Z1337*V1338/AB1337</x:f>
        <x:v>13531.103286740181</x:v>
      </x:c>
      <x:c r="AA1338" s="32" t="n">
        <x:f>AA1337+X1338-U1338-AA1337*V1338/AB1337</x:f>
        <x:v>6311.335154548805</x:v>
      </x:c>
      <x:c r="AB1338" s="10" t="n">
        <x:f>Y1338+Z1338+AA1338</x:f>
        <x:v>31730.132067315422</x:v>
      </x:c>
      <x:c r="AC1338" s="8" t="n">
        <x:f>IF(AND(v01_WinterTrigger=1,D1338=1,AB1337/AE1337&gt;=K1338),1,0)</x:f>
        <x:v>0</x:v>
      </x:c>
      <x:c r="AD1338" s="8" t="n">
        <x:f>H1338*IF(AND(OR(AB1337/AE1337&gt;=v01_FissionTrigger*N1338,AC1338=1),AB1337/AE1337*v01_DaughterShare&gt;=v01_MinDaughter),MAX(1,ROUND(AE1337*v01_FissionRate,0)),0)</x:f>
        <x:v>0</x:v>
      </x:c>
      <x:c r="AE1338" s="8" t="n">
        <x:f>IF(H1338=1,MAX(1,MIN(INDEX(v01_Smax,G1338),AE1337+AD1338)),AE1337)</x:f>
        <x:v>15</x:v>
      </x:c>
      <x:c r="AF1338" s="8" t="n">
        <x:f>MAX(0,AE1338-AE1337)</x:f>
        <x:v>0</x:v>
      </x:c>
      <x:c r="AG1338" s="9" t="str">
        <x:f>IF(AF1338&gt;0,B1338,"")</x:f>
      </x:c>
      <x:c r="AH1338" s="9" t="n">
        <x:f>IF(F1338&gt;=1,1,(1+v01_LowTiesShare*(AE1338-1))/AE1338)</x:f>
        <x:v>1</x:v>
      </x:c>
      <x:c r="AI1338" s="32" t="n">
        <x:f>(Z1338+v01_ElderCommons*INDEX(LM_Elder,G1338)*AA1338)*AH1338</x:f>
        <x:v>37198.610116298194</x:v>
      </x:c>
      <x:c r="AJ1338" s="32" t="n">
        <x:f>H1338*v01_CommonsCoef*AI1338^v01_CommonsExp*INDEX(LM_Commons,G1338)</x:f>
        <x:v>13878.73388353379</x:v>
      </x:c>
      <x:c r="AK1338" s="32" t="n">
        <x:f>H1338*v01_RoleScale*Arch_Roles*(AE1338*(INDEX(v01_ElderRolePerSett,G1338)*v01_OutElder*INDEX(LM_Elder,G1338)+INDEX(v01_ShamanPerSett,G1338)*v01_OutShaman)+Z1338*(INDEX(v01_PriestShare,G1338)*v01_OutPriest+INDEX(v01_ScribeShare,G1338)*v01_OutScribe*INDEX(LM_Scribe,G1338)+INDEX(v01_ScholarShare,G1338)*v01_OutScholar*INDEX(LM_Scholar,G1338)+INDEX(v01_ResearcherShare,G1338)*v01_OutResearcher*INDEX(LM_Researcher,G1338)))</x:f>
        <x:v>3545.048296743809</x:v>
      </x:c>
      <x:c r="AL1338" s="32" t="n">
        <x:f>H1338*v01_RoleScale*Arch_Roles*AE1338*INDEX(v01_MonasteryPerSett,G1338)*v01_OutMonastery*INDEX(LM_Monastery,G1338)</x:f>
        <x:v>6.6000000000000005</x:v>
      </x:c>
      <x:c r="AM1338" s="32" t="n">
        <x:f>(AJ1338+AK1338+AL1338)/4*INDEX(LM_All,G1338)*INDEX(v01_Boon,G1338)*Arch_Insight</x:f>
        <x:v>12558.441768219138</x:v>
      </x:c>
      <x:c r="AN1338" s="32" t="n">
        <x:f>H1338*(v01_KHPerAdult*Z1338+v01_KHOfCommons*AJ1338/4*INDEX(LM_All,G1338))*v01_KHUsable*Arch_KH</x:f>
        <x:v>473.5886150359063</x:v>
      </x:c>
      <x:c r="AO1338" s="32" t="n">
        <x:f>MIN(AP1337+AN1338,AM1338*v01_KHMaxRatio)</x:f>
        <x:v>473.5886150359063</x:v>
      </x:c>
      <x:c r="AP1338" s="32" t="n">
        <x:f>AP1337+AN1338-AO1338</x:f>
        <x:v>0</x:v>
      </x:c>
      <x:c r="AQ1338" s="32" t="n">
        <x:f>AM1338+AO1338</x:f>
        <x:v>13032.030383255043</x:v>
      </x:c>
      <x:c r="AR1338" s="10" t="n">
        <x:f>IF(H1338=1,INDEX(v01_Req,G1338),0)</x:f>
        <x:v>743165.805333726</x:v>
      </x:c>
      <x:c r="AS1338" s="32" t="n">
        <x:f>IF(H1338=1,IF(E1338=1,AS1337-AR1337,AS1337)+AQ1338,0)</x:f>
        <x:v>676329.577683957</x:v>
      </x:c>
      <x:c r="AT1338" s="11" t="n">
        <x:f>IF(AR1338&gt;0,MIN(1,AS1338/AR1338),1)</x:f>
        <x:v>0.910065523507563</x:v>
      </x:c>
      <x:c r="AU1338" s="10" t="n">
        <x:f>AB1338/INDEX(v01_RepScale,G1338)</x:f>
        <x:v>126.9205282692617</x:v>
      </x:c>
      <x:c r="AV1338" s="32" t="n">
        <x:f>AM1338*60/v01_SeasonSeconds</x:f>
        <x:v>50233.76707287655</x:v>
      </x:c>
    </x:row>
    <x:row r="1339">
      <x:c r="A1339" s="8" t="n">
        <x:f>A1338+1</x:f>
        <x:v>1336</x:v>
      </x:c>
      <x:c r="B1339" s="9" t="n">
        <x:f>A1339*v01_SeasonSeconds/60</x:f>
        <x:v>334</x:v>
      </x:c>
      <x:c r="C1339" s="9" t="n">
        <x:f>A1339/4</x:f>
        <x:v>334</x:v>
      </x:c>
      <x:c r="D1339" s="8" t="n">
        <x:f>IF(MOD(A1339,4)=0,1,0)</x:f>
        <x:v>1</x:v>
      </x:c>
      <x:c r="E1339" s="8" t="n">
        <x:f>IF(AND(F1338&lt;=9,AS1338&gt;=AR1338),1,0)</x:f>
        <x:v>0</x:v>
      </x:c>
      <x:c r="F1339" s="8" t="n">
        <x:f>MIN(10,F1338+E1339)</x:f>
        <x:v>8</x:v>
      </x:c>
      <x:c r="G1339" s="8" t="n">
        <x:f>MIN(F1339,9)+1</x:f>
        <x:v>9</x:v>
      </x:c>
      <x:c r="H1339" s="8" t="n">
        <x:f>IF(F1339&lt;=9,1,0)</x:f>
        <x:v>1</x:v>
      </x:c>
      <x:c r="I1339" s="9" t="n">
        <x:f>MIN(10,F1338+IF(AR1338&gt;0,MIN(1,AS1338/AR1338),1))</x:f>
        <x:v>8.910065523507562</x:v>
      </x:c>
      <x:c r="J1339" s="32" t="n">
        <x:f>INDEX(v01_FoodCap,G1339)*Arch_FoodCap*EXP(v01_CapsByProject*SUMPRODUCT((Cap_Point&lt;=I1339)*(Cap_Kind="Food")*Cap_Ln))</x:f>
        <x:v>6000</x:v>
      </x:c>
      <x:c r="K1339" s="32" t="n">
        <x:f>J1339*MIN(1,v01_LeanBase*EXP(v01_CapsByProject*SUMPRODUCT((Cap_Point&lt;=I1339)*(Cap_Kind="Lean")*Cap_Ln)))</x:f>
        <x:v>6000</x:v>
      </x:c>
      <x:c r="L1339" s="10" t="n">
        <x:f>INDEX(v01_HousingCap,G1339)*EXP(v01_CapsByProject*SUMPRODUCT((Cap_Point&lt;=I1339)*(Cap_Kind="Housing")*Cap_Ln))</x:f>
        <x:v>10000</x:v>
      </x:c>
      <x:c r="M1339" s="10" t="n">
        <x:f>INDEX(v01_GroupCap,G1339)*v01_CohesionFactor*EXP(v01_CapsByProject*SUMPRODUCT((Cap_Point&lt;=I1339)*(Cap_Kind="Group")*Cap_Ln))</x:f>
        <x:v>1000000</x:v>
      </x:c>
      <x:c r="N1339" s="32" t="n">
        <x:f>MIN(J1339,L1339,M1339)</x:f>
        <x:v>6000</x:v>
      </x:c>
      <x:c r="O1339" s="10" t="n">
        <x:f>AE1338*N1339</x:f>
        <x:v>90000</x:v>
      </x:c>
      <x:c r="P1339" s="9" t="n">
        <x:f>MIN(1,(AB1338/(AE1338*IF(v01_GroupInCrowding=1,N1339,MIN(J1339,L1339))))^v01_CrowdingExp)</x:f>
        <x:v>0.0019203315700287943</x:v>
      </x:c>
      <x:c r="Q1339" s="9" t="n">
        <x:f>IF(D1339=1,INDEX(v01_WinterMult,G1339),1)</x:f>
        <x:v>1</x:v>
      </x:c>
      <x:c r="R1339" s="9" t="n">
        <x:f>H1339*Z1338*v01_WomenShare*v01_BaseFertility*INDEX(v01_FertMult,G1339)*Arch_Fertility*(1-P1339)</x:f>
        <x:v>303.86517934322995</x:v>
      </x:c>
      <x:c r="S1339" s="9" t="n">
        <x:f>H1339*Y1338*INDEX(v01_MortChild,G1339)/4*Q1339</x:f>
        <x:v>17.831540439039657</x:v>
      </x:c>
      <x:c r="T1339" s="9" t="n">
        <x:f>H1339*Z1338*INDEX(v01_MortAdult,G1339)*Arch_AdultMort/4*Q1339</x:f>
        <x:v>13.531103286740182</x:v>
      </x:c>
      <x:c r="U1339" s="9" t="n">
        <x:f>H1339*AA1338*INDEX(v01_MortElder,G1339)/4*Q1339</x:f>
        <x:v>55.22418260230205</x:v>
      </x:c>
      <x:c r="V1339" s="9" t="n">
        <x:f>H1339*MAX(0,AB1338-O1339)*v01_OvercapLoss</x:f>
        <x:v>0</x:v>
      </x:c>
      <x:c r="W1339" s="9" t="n">
        <x:f>H1339*Y1338/(v01_ChildYears*4)</x:f>
        <x:v>212.28024332190066</x:v>
      </x:c>
      <x:c r="X1339" s="9" t="n">
        <x:f>H1339*Z1338/(v01_AdultYears*4)</x:f>
        <x:v>109.12180069951759</x:v>
      </x:c>
      <x:c r="Y1339" s="32" t="n">
        <x:f>Y1338+R1339-S1339-W1339-Y1338*V1339/AB1338</x:f>
        <x:v>11961.447021608727</x:v>
      </x:c>
      <x:c r="Z1339" s="32" t="n">
        <x:f>Z1338+W1339-X1339-T1339-Z1338*V1339/AB1338</x:f>
        <x:v>13620.730626075825</x:v>
      </x:c>
      <x:c r="AA1339" s="32" t="n">
        <x:f>AA1338+X1339-U1339-AA1338*V1339/AB1338</x:f>
        <x:v>6365.232772646021</x:v>
      </x:c>
      <x:c r="AB1339" s="10" t="n">
        <x:f>Y1339+Z1339+AA1339</x:f>
        <x:v>31947.410420330572</x:v>
      </x:c>
      <x:c r="AC1339" s="8" t="n">
        <x:f>IF(AND(v01_WinterTrigger=1,D1339=1,AB1338/AE1338&gt;=K1339),1,0)</x:f>
        <x:v>0</x:v>
      </x:c>
      <x:c r="AD1339" s="8" t="n">
        <x:f>H1339*IF(AND(OR(AB1338/AE1338&gt;=v01_FissionTrigger*N1339,AC1339=1),AB1338/AE1338*v01_DaughterShare&gt;=v01_MinDaughter),MAX(1,ROUND(AE1338*v01_FissionRate,0)),0)</x:f>
        <x:v>0</x:v>
      </x:c>
      <x:c r="AE1339" s="8" t="n">
        <x:f>IF(H1339=1,MAX(1,MIN(INDEX(v01_Smax,G1339),AE1338+AD1339)),AE1338)</x:f>
        <x:v>15</x:v>
      </x:c>
      <x:c r="AF1339" s="8" t="n">
        <x:f>MAX(0,AE1339-AE1338)</x:f>
        <x:v>0</x:v>
      </x:c>
      <x:c r="AG1339" s="9" t="str">
        <x:f>IF(AF1339&gt;0,B1339,"")</x:f>
      </x:c>
      <x:c r="AH1339" s="9" t="n">
        <x:f>IF(F1339&gt;=1,1,(1+v01_LowTiesShare*(AE1339-1))/AE1339)</x:f>
        <x:v>1</x:v>
      </x:c>
      <x:c r="AI1339" s="32" t="n">
        <x:f>(Z1339+v01_ElderCommons*INDEX(LM_Elder,G1339)*AA1339)*AH1339</x:f>
        <x:v>37490.3535234984</x:v>
      </x:c>
      <x:c r="AJ1339" s="32" t="n">
        <x:f>H1339*v01_CommonsCoef*AI1339^v01_CommonsExp*INDEX(LM_Commons,G1339)</x:f>
        <x:v>13971.201219056224</x:v>
      </x:c>
      <x:c r="AK1339" s="32" t="n">
        <x:f>H1339*v01_RoleScale*Arch_Roles*(AE1339*(INDEX(v01_ElderRolePerSett,G1339)*v01_OutElder*INDEX(LM_Elder,G1339)+INDEX(v01_ShamanPerSett,G1339)*v01_OutShaman)+Z1339*(INDEX(v01_PriestShare,G1339)*v01_OutPriest+INDEX(v01_ScribeShare,G1339)*v01_OutScribe*INDEX(LM_Scribe,G1339)+INDEX(v01_ScholarShare,G1339)*v01_OutScholar*INDEX(LM_Scholar,G1339)+INDEX(v01_ResearcherShare,G1339)*v01_OutResearcher*INDEX(LM_Researcher,G1339)))</x:f>
        <x:v>3568.19466226646</x:v>
      </x:c>
      <x:c r="AL1339" s="32" t="n">
        <x:f>H1339*v01_RoleScale*Arch_Roles*AE1339*INDEX(v01_MonasteryPerSett,G1339)*v01_OutMonastery*INDEX(LM_Monastery,G1339)</x:f>
        <x:v>6.6000000000000005</x:v>
      </x:c>
      <x:c r="AM1339" s="32" t="n">
        <x:f>(AJ1339+AK1339+AL1339)/4*INDEX(LM_All,G1339)*INDEX(v01_Boon,G1339)*Arch_Insight</x:f>
        <x:v>12641.740454224191</x:v>
      </x:c>
      <x:c r="AN1339" s="32" t="n">
        <x:f>H1339*(v01_KHPerAdult*Z1339+v01_KHOfCommons*AJ1339/4*INDEX(LM_All,G1339))*v01_KHUsable*Arch_KH</x:f>
        <x:v>476.7255719126539</x:v>
      </x:c>
      <x:c r="AO1339" s="32" t="n">
        <x:f>MIN(AP1338+AN1339,AM1339*v01_KHMaxRatio)</x:f>
        <x:v>476.7255719126539</x:v>
      </x:c>
      <x:c r="AP1339" s="32" t="n">
        <x:f>AP1338+AN1339-AO1339</x:f>
        <x:v>0</x:v>
      </x:c>
      <x:c r="AQ1339" s="32" t="n">
        <x:f>AM1339+AO1339</x:f>
        <x:v>13118.466026136844</x:v>
      </x:c>
      <x:c r="AR1339" s="10" t="n">
        <x:f>IF(H1339=1,INDEX(v01_Req,G1339),0)</x:f>
        <x:v>743165.805333726</x:v>
      </x:c>
      <x:c r="AS1339" s="32" t="n">
        <x:f>IF(H1339=1,IF(E1339=1,AS1338-AR1338,AS1338)+AQ1339,0)</x:f>
        <x:v>689448.0437100938</x:v>
      </x:c>
      <x:c r="AT1339" s="11" t="n">
        <x:f>IF(AR1339&gt;0,MIN(1,AS1339/AR1339),1)</x:f>
        <x:v>0.9277176624138275</x:v>
      </x:c>
      <x:c r="AU1339" s="10" t="n">
        <x:f>AB1339/INDEX(v01_RepScale,G1339)</x:f>
        <x:v>127.7896416813223</x:v>
      </x:c>
      <x:c r="AV1339" s="32" t="n">
        <x:f>AM1339*60/v01_SeasonSeconds</x:f>
        <x:v>50566.961816896765</x:v>
      </x:c>
    </x:row>
    <x:row r="1340">
      <x:c r="A1340" s="8" t="n">
        <x:f>A1339+1</x:f>
        <x:v>1337</x:v>
      </x:c>
      <x:c r="B1340" s="9" t="n">
        <x:f>A1340*v01_SeasonSeconds/60</x:f>
        <x:v>334.25</x:v>
      </x:c>
      <x:c r="C1340" s="9" t="n">
        <x:f>A1340/4</x:f>
        <x:v>334.25</x:v>
      </x:c>
      <x:c r="D1340" s="8" t="n">
        <x:f>IF(MOD(A1340,4)=0,1,0)</x:f>
        <x:v>0</x:v>
      </x:c>
      <x:c r="E1340" s="8" t="n">
        <x:f>IF(AND(F1339&lt;=9,AS1339&gt;=AR1339),1,0)</x:f>
        <x:v>0</x:v>
      </x:c>
      <x:c r="F1340" s="8" t="n">
        <x:f>MIN(10,F1339+E1340)</x:f>
        <x:v>8</x:v>
      </x:c>
      <x:c r="G1340" s="8" t="n">
        <x:f>MIN(F1340,9)+1</x:f>
        <x:v>9</x:v>
      </x:c>
      <x:c r="H1340" s="8" t="n">
        <x:f>IF(F1340&lt;=9,1,0)</x:f>
        <x:v>1</x:v>
      </x:c>
      <x:c r="I1340" s="9" t="n">
        <x:f>MIN(10,F1339+IF(AR1339&gt;0,MIN(1,AS1339/AR1339),1))</x:f>
        <x:v>8.927717662413828</x:v>
      </x:c>
      <x:c r="J1340" s="32" t="n">
        <x:f>INDEX(v01_FoodCap,G1340)*Arch_FoodCap*EXP(v01_CapsByProject*SUMPRODUCT((Cap_Point&lt;=I1340)*(Cap_Kind="Food")*Cap_Ln))</x:f>
        <x:v>6000</x:v>
      </x:c>
      <x:c r="K1340" s="32" t="n">
        <x:f>J1340*MIN(1,v01_LeanBase*EXP(v01_CapsByProject*SUMPRODUCT((Cap_Point&lt;=I1340)*(Cap_Kind="Lean")*Cap_Ln)))</x:f>
        <x:v>6000</x:v>
      </x:c>
      <x:c r="L1340" s="10" t="n">
        <x:f>INDEX(v01_HousingCap,G1340)*EXP(v01_CapsByProject*SUMPRODUCT((Cap_Point&lt;=I1340)*(Cap_Kind="Housing")*Cap_Ln))</x:f>
        <x:v>10000</x:v>
      </x:c>
      <x:c r="M1340" s="10" t="n">
        <x:f>INDEX(v01_GroupCap,G1340)*v01_CohesionFactor*EXP(v01_CapsByProject*SUMPRODUCT((Cap_Point&lt;=I1340)*(Cap_Kind="Group")*Cap_Ln))</x:f>
        <x:v>1000000</x:v>
      </x:c>
      <x:c r="N1340" s="32" t="n">
        <x:f>MIN(J1340,L1340,M1340)</x:f>
        <x:v>6000</x:v>
      </x:c>
      <x:c r="O1340" s="10" t="n">
        <x:f>AE1339*N1340</x:f>
        <x:v>90000</x:v>
      </x:c>
      <x:c r="P1340" s="9" t="n">
        <x:f>MIN(1,(AB1339/(AE1339*IF(v01_GroupInCrowding=1,N1340,MIN(J1340,L1340))))^v01_CrowdingExp)</x:f>
        <x:v>0.002000593759383702</x:v>
      </x:c>
      <x:c r="Q1340" s="9" t="n">
        <x:f>IF(D1340=1,INDEX(v01_WinterMult,G1340),1)</x:f>
        <x:v>1</x:v>
      </x:c>
      <x:c r="R1340" s="9" t="n">
        <x:f>H1340*Z1339*v01_WomenShare*v01_BaseFertility*INDEX(v01_FertMult,G1340)*Arch_Fertility*(1-P1340)</x:f>
        <x:v>305.8533242412086</x:v>
      </x:c>
      <x:c r="S1340" s="9" t="n">
        <x:f>H1340*Y1339*INDEX(v01_MortChild,G1340)/4*Q1340</x:f>
        <x:v>17.94217053241309</x:v>
      </x:c>
      <x:c r="T1340" s="9" t="n">
        <x:f>H1340*Z1339*INDEX(v01_MortAdult,G1340)*Arch_AdultMort/4*Q1340</x:f>
        <x:v>13.620730626075826</x:v>
      </x:c>
      <x:c r="U1340" s="9" t="n">
        <x:f>H1340*AA1339*INDEX(v01_MortElder,G1340)/4*Q1340</x:f>
        <x:v>55.69578676065269</x:v>
      </x:c>
      <x:c r="V1340" s="9" t="n">
        <x:f>H1340*MAX(0,AB1339-O1340)*v01_OvercapLoss</x:f>
        <x:v>0</x:v>
      </x:c>
      <x:c r="W1340" s="9" t="n">
        <x:f>H1340*Y1339/(v01_ChildYears*4)</x:f>
        <x:v>213.59726824301296</x:v>
      </x:c>
      <x:c r="X1340" s="9" t="n">
        <x:f>H1340*Z1339/(v01_AdultYears*4)</x:f>
        <x:v>109.84460182319214</x:v>
      </x:c>
      <x:c r="Y1340" s="32" t="n">
        <x:f>Y1339+R1340-S1340-W1340-Y1339*V1340/AB1339</x:f>
        <x:v>12035.76090707451</x:v>
      </x:c>
      <x:c r="Z1340" s="32" t="n">
        <x:f>Z1339+W1340-X1340-T1340-Z1339*V1340/AB1339</x:f>
        <x:v>13710.86256186957</x:v>
      </x:c>
      <x:c r="AA1340" s="32" t="n">
        <x:f>AA1339+X1340-U1340-AA1339*V1340/AB1339</x:f>
        <x:v>6419.381587708561</x:v>
      </x:c>
      <x:c r="AB1340" s="10" t="n">
        <x:f>Y1340+Z1340+AA1340</x:f>
        <x:v>32166.00505665264</x:v>
      </x:c>
      <x:c r="AC1340" s="8" t="n">
        <x:f>IF(AND(v01_WinterTrigger=1,D1340=1,AB1339/AE1339&gt;=K1340),1,0)</x:f>
        <x:v>0</x:v>
      </x:c>
      <x:c r="AD1340" s="8" t="n">
        <x:f>H1340*IF(AND(OR(AB1339/AE1339&gt;=v01_FissionTrigger*N1340,AC1340=1),AB1339/AE1339*v01_DaughterShare&gt;=v01_MinDaughter),MAX(1,ROUND(AE1339*v01_FissionRate,0)),0)</x:f>
        <x:v>0</x:v>
      </x:c>
      <x:c r="AE1340" s="8" t="n">
        <x:f>IF(H1340=1,MAX(1,MIN(INDEX(v01_Smax,G1340),AE1339+AD1340)),AE1339)</x:f>
        <x:v>15</x:v>
      </x:c>
      <x:c r="AF1340" s="8" t="n">
        <x:f>MAX(0,AE1340-AE1339)</x:f>
        <x:v>0</x:v>
      </x:c>
      <x:c r="AG1340" s="9" t="str">
        <x:f>IF(AF1340&gt;0,B1340,"")</x:f>
      </x:c>
      <x:c r="AH1340" s="9" t="n">
        <x:f>IF(F1340&gt;=1,1,(1+v01_LowTiesShare*(AE1340-1))/AE1340)</x:f>
        <x:v>1</x:v>
      </x:c>
      <x:c r="AI1340" s="32" t="n">
        <x:f>(Z1340+v01_ElderCommons*INDEX(LM_Elder,G1340)*AA1340)*AH1340</x:f>
        <x:v>37783.54351577668</x:v>
      </x:c>
      <x:c r="AJ1340" s="32" t="n">
        <x:f>H1340*v01_CommonsCoef*AI1340^v01_CommonsExp*INDEX(LM_Commons,G1340)</x:f>
        <x:v>14064.018371112776</x:v>
      </x:c>
      <x:c r="AK1340" s="32" t="n">
        <x:f>H1340*v01_RoleScale*Arch_Roles*(AE1340*(INDEX(v01_ElderRolePerSett,G1340)*v01_OutElder*INDEX(LM_Elder,G1340)+INDEX(v01_ShamanPerSett,G1340)*v01_OutShaman)+Z1340*(INDEX(v01_PriestShare,G1340)*v01_OutPriest+INDEX(v01_ScribeShare,G1340)*v01_OutScribe*INDEX(LM_Scribe,G1340)+INDEX(v01_ScholarShare,G1340)*v01_OutScholar*INDEX(LM_Scholar,G1340)+INDEX(v01_ResearcherShare,G1340)*v01_OutResearcher*INDEX(LM_Researcher,G1340)))</x:f>
        <x:v>3591.471340416343</x:v>
      </x:c>
      <x:c r="AL1340" s="32" t="n">
        <x:f>H1340*v01_RoleScale*Arch_Roles*AE1340*INDEX(v01_MonasteryPerSett,G1340)*v01_OutMonastery*INDEX(LM_Monastery,G1340)</x:f>
        <x:v>6.6000000000000005</x:v>
      </x:c>
      <x:c r="AM1340" s="32" t="n">
        <x:f>(AJ1340+AK1340+AL1340)/4*INDEX(LM_All,G1340)*INDEX(v01_Boon,G1340)*Arch_Insight</x:f>
        <x:v>12725.38506919693</x:v>
      </x:c>
      <x:c r="AN1340" s="32" t="n">
        <x:f>H1340*(v01_KHPerAdult*Z1340+v01_KHOfCommons*AJ1340/4*INDEX(LM_All,G1340))*v01_KHUsable*Arch_KH</x:f>
        <x:v>479.88018966543495</x:v>
      </x:c>
      <x:c r="AO1340" s="32" t="n">
        <x:f>MIN(AP1339+AN1340,AM1340*v01_KHMaxRatio)</x:f>
        <x:v>479.88018966543495</x:v>
      </x:c>
      <x:c r="AP1340" s="32" t="n">
        <x:f>AP1339+AN1340-AO1340</x:f>
        <x:v>0</x:v>
      </x:c>
      <x:c r="AQ1340" s="32" t="n">
        <x:f>AM1340+AO1340</x:f>
        <x:v>13205.265258862364</x:v>
      </x:c>
      <x:c r="AR1340" s="10" t="n">
        <x:f>IF(H1340=1,INDEX(v01_Req,G1340),0)</x:f>
        <x:v>743165.805333726</x:v>
      </x:c>
      <x:c r="AS1340" s="32" t="n">
        <x:f>IF(H1340=1,IF(E1340=1,AS1339-AR1339,AS1339)+AQ1340,0)</x:f>
        <x:v>702653.3089689562</x:v>
      </x:c>
      <x:c r="AT1340" s="11" t="n">
        <x:f>IF(AR1340&gt;0,MIN(1,AS1340/AR1340),1)</x:f>
        <x:v>0.9454865979112465</x:v>
      </x:c>
      <x:c r="AU1340" s="10" t="n">
        <x:f>AB1340/INDEX(v01_RepScale,G1340)</x:f>
        <x:v>128.66402022661057</x:v>
      </x:c>
      <x:c r="AV1340" s="32" t="n">
        <x:f>AM1340*60/v01_SeasonSeconds</x:f>
        <x:v>50901.54027678772</x:v>
      </x:c>
    </x:row>
    <x:row r="1341">
      <x:c r="A1341" s="8" t="n">
        <x:f>A1340+1</x:f>
        <x:v>1338</x:v>
      </x:c>
      <x:c r="B1341" s="9" t="n">
        <x:f>A1341*v01_SeasonSeconds/60</x:f>
        <x:v>334.5</x:v>
      </x:c>
      <x:c r="C1341" s="9" t="n">
        <x:f>A1341/4</x:f>
        <x:v>334.5</x:v>
      </x:c>
      <x:c r="D1341" s="8" t="n">
        <x:f>IF(MOD(A1341,4)=0,1,0)</x:f>
        <x:v>0</x:v>
      </x:c>
      <x:c r="E1341" s="8" t="n">
        <x:f>IF(AND(F1340&lt;=9,AS1340&gt;=AR1340),1,0)</x:f>
        <x:v>0</x:v>
      </x:c>
      <x:c r="F1341" s="8" t="n">
        <x:f>MIN(10,F1340+E1341)</x:f>
        <x:v>8</x:v>
      </x:c>
      <x:c r="G1341" s="8" t="n">
        <x:f>MIN(F1341,9)+1</x:f>
        <x:v>9</x:v>
      </x:c>
      <x:c r="H1341" s="8" t="n">
        <x:f>IF(F1341&lt;=9,1,0)</x:f>
        <x:v>1</x:v>
      </x:c>
      <x:c r="I1341" s="9" t="n">
        <x:f>MIN(10,F1340+IF(AR1340&gt;0,MIN(1,AS1340/AR1340),1))</x:f>
        <x:v>8.945486597911247</x:v>
      </x:c>
      <x:c r="J1341" s="32" t="n">
        <x:f>INDEX(v01_FoodCap,G1341)*Arch_FoodCap*EXP(v01_CapsByProject*SUMPRODUCT((Cap_Point&lt;=I1341)*(Cap_Kind="Food")*Cap_Ln))</x:f>
        <x:v>6000</x:v>
      </x:c>
      <x:c r="K1341" s="32" t="n">
        <x:f>J1341*MIN(1,v01_LeanBase*EXP(v01_CapsByProject*SUMPRODUCT((Cap_Point&lt;=I1341)*(Cap_Kind="Lean")*Cap_Ln)))</x:f>
        <x:v>6000</x:v>
      </x:c>
      <x:c r="L1341" s="10" t="n">
        <x:f>INDEX(v01_HousingCap,G1341)*EXP(v01_CapsByProject*SUMPRODUCT((Cap_Point&lt;=I1341)*(Cap_Kind="Housing")*Cap_Ln))</x:f>
        <x:v>10000</x:v>
      </x:c>
      <x:c r="M1341" s="10" t="n">
        <x:f>INDEX(v01_GroupCap,G1341)*v01_CohesionFactor*EXP(v01_CapsByProject*SUMPRODUCT((Cap_Point&lt;=I1341)*(Cap_Kind="Group")*Cap_Ln))</x:f>
        <x:v>1000000</x:v>
      </x:c>
      <x:c r="N1341" s="32" t="n">
        <x:f>MIN(J1341,L1341,M1341)</x:f>
        <x:v>6000</x:v>
      </x:c>
      <x:c r="O1341" s="10" t="n">
        <x:f>AE1340*N1341</x:f>
        <x:v>90000</x:v>
      </x:c>
      <x:c r="P1341" s="9" t="n">
        <x:f>MIN(1,(AB1340/(AE1340*IF(v01_GroupInCrowding=1,N1341,MIN(J1341,L1341))))^v01_CrowdingExp)</x:f>
        <x:v>0.002084143885951324</x:v>
      </x:c>
      <x:c r="Q1341" s="9" t="n">
        <x:f>IF(D1341=1,INDEX(v01_WinterMult,G1341),1)</x:f>
        <x:v>1</x:v>
      </x:c>
      <x:c r="R1341" s="9" t="n">
        <x:f>H1341*Z1340*v01_WomenShare*v01_BaseFertility*INDEX(v01_FertMult,G1341)*Arch_Fertility*(1-P1341)</x:f>
        <x:v>307.85146090852794</x:v>
      </x:c>
      <x:c r="S1341" s="9" t="n">
        <x:f>H1341*Y1340*INDEX(v01_MortChild,G1341)/4*Q1341</x:f>
        <x:v>18.053641360611763</x:v>
      </x:c>
      <x:c r="T1341" s="9" t="n">
        <x:f>H1341*Z1340*INDEX(v01_MortAdult,G1341)*Arch_AdultMort/4*Q1341</x:f>
        <x:v>13.71086256186957</x:v>
      </x:c>
      <x:c r="U1341" s="9" t="n">
        <x:f>H1341*AA1340*INDEX(v01_MortElder,G1341)/4*Q1341</x:f>
        <x:v>56.169588892449916</x:v>
      </x:c>
      <x:c r="V1341" s="9" t="n">
        <x:f>H1341*MAX(0,AB1340-O1341)*v01_OvercapLoss</x:f>
        <x:v>0</x:v>
      </x:c>
      <x:c r="W1341" s="9" t="n">
        <x:f>H1341*Y1340/(v01_ChildYears*4)</x:f>
        <x:v>214.9243019120448</x:v>
      </x:c>
      <x:c r="X1341" s="9" t="n">
        <x:f>H1341*Z1340/(v01_AdultYears*4)</x:f>
        <x:v>110.5714722731417</x:v>
      </x:c>
      <x:c r="Y1341" s="32" t="n">
        <x:f>Y1340+R1341-S1341-W1341-Y1340*V1341/AB1340</x:f>
        <x:v>12110.634424710383</x:v>
      </x:c>
      <x:c r="Z1341" s="32" t="n">
        <x:f>Z1340+W1341-X1341-T1341-Z1340*V1341/AB1340</x:f>
        <x:v>13801.504528946603</x:v>
      </x:c>
      <x:c r="AA1341" s="32" t="n">
        <x:f>AA1340+X1341-U1341-AA1340*V1341/AB1340</x:f>
        <x:v>6473.783471089253</x:v>
      </x:c>
      <x:c r="AB1341" s="10" t="n">
        <x:f>Y1341+Z1341+AA1341</x:f>
        <x:v>32385.922424746237</x:v>
      </x:c>
      <x:c r="AC1341" s="8" t="n">
        <x:f>IF(AND(v01_WinterTrigger=1,D1341=1,AB1340/AE1340&gt;=K1341),1,0)</x:f>
        <x:v>0</x:v>
      </x:c>
      <x:c r="AD1341" s="8" t="n">
        <x:f>H1341*IF(AND(OR(AB1340/AE1340&gt;=v01_FissionTrigger*N1341,AC1341=1),AB1340/AE1340*v01_DaughterShare&gt;=v01_MinDaughter),MAX(1,ROUND(AE1340*v01_FissionRate,0)),0)</x:f>
        <x:v>0</x:v>
      </x:c>
      <x:c r="AE1341" s="8" t="n">
        <x:f>IF(H1341=1,MAX(1,MIN(INDEX(v01_Smax,G1341),AE1340+AD1341)),AE1340)</x:f>
        <x:v>15</x:v>
      </x:c>
      <x:c r="AF1341" s="8" t="n">
        <x:f>MAX(0,AE1341-AE1340)</x:f>
        <x:v>0</x:v>
      </x:c>
      <x:c r="AG1341" s="9" t="str">
        <x:f>IF(AF1341&gt;0,B1341,"")</x:f>
      </x:c>
      <x:c r="AH1341" s="9" t="n">
        <x:f>IF(F1341&gt;=1,1,(1+v01_LowTiesShare*(AE1341-1))/AE1341)</x:f>
        <x:v>1</x:v>
      </x:c>
      <x:c r="AI1341" s="32" t="n">
        <x:f>(Z1341+v01_ElderCommons*INDEX(LM_Elder,G1341)*AA1341)*AH1341</x:f>
        <x:v>38078.1925455313</x:v>
      </x:c>
      <x:c r="AJ1341" s="32" t="n">
        <x:f>H1341*v01_CommonsCoef*AI1341^v01_CommonsExp*INDEX(LM_Commons,G1341)</x:f>
        <x:v>14157.1886411978</x:v>
      </x:c>
      <x:c r="AK1341" s="32" t="n">
        <x:f>H1341*v01_RoleScale*Arch_Roles*(AE1341*(INDEX(v01_ElderRolePerSett,G1341)*v01_OutElder*INDEX(LM_Elder,G1341)+INDEX(v01_ShamanPerSett,G1341)*v01_OutShaman)+Z1341*(INDEX(v01_PriestShare,G1341)*v01_OutPriest+INDEX(v01_ScribeShare,G1341)*v01_OutScribe*INDEX(LM_Scribe,G1341)+INDEX(v01_ScholarShare,G1341)*v01_OutScholar*INDEX(LM_Scholar,G1341)+INDEX(v01_ResearcherShare,G1341)*v01_OutResearcher*INDEX(LM_Researcher,G1341)))</x:f>
        <x:v>3614.879734743439</x:v>
      </x:c>
      <x:c r="AL1341" s="32" t="n">
        <x:f>H1341*v01_RoleScale*Arch_Roles*AE1341*INDEX(v01_MonasteryPerSett,G1341)*v01_OutMonastery*INDEX(LM_Monastery,G1341)</x:f>
        <x:v>6.6000000000000005</x:v>
      </x:c>
      <x:c r="AM1341" s="32" t="n">
        <x:f>(AJ1341+AK1341+AL1341)/4*INDEX(LM_All,G1341)*INDEX(v01_Boon,G1341)*Arch_Insight</x:f>
        <x:v>12809.379003081693</x:v>
      </x:c>
      <x:c r="AN1341" s="32" t="n">
        <x:f>H1341*(v01_KHPerAdult*Z1341+v01_KHOfCommons*AJ1341/4*INDEX(LM_All,G1341))*v01_KHUsable*Arch_KH</x:f>
        <x:v>483.0526585131311</x:v>
      </x:c>
      <x:c r="AO1341" s="32" t="n">
        <x:f>MIN(AP1340+AN1341,AM1341*v01_KHMaxRatio)</x:f>
        <x:v>483.0526585131311</x:v>
      </x:c>
      <x:c r="AP1341" s="32" t="n">
        <x:f>AP1340+AN1341-AO1341</x:f>
        <x:v>0</x:v>
      </x:c>
      <x:c r="AQ1341" s="32" t="n">
        <x:f>AM1341+AO1341</x:f>
        <x:v>13292.431661594825</x:v>
      </x:c>
      <x:c r="AR1341" s="10" t="n">
        <x:f>IF(H1341=1,INDEX(v01_Req,G1341),0)</x:f>
        <x:v>743165.805333726</x:v>
      </x:c>
      <x:c r="AS1341" s="32" t="n">
        <x:f>IF(H1341=1,IF(E1341=1,AS1340-AR1340,AS1340)+AQ1341,0)</x:f>
        <x:v>715945.740630551</x:v>
      </x:c>
      <x:c r="AT1341" s="11" t="n">
        <x:f>IF(AR1341&gt;0,MIN(1,AS1341/AR1341),1)</x:f>
        <x:v>0.9633728240618504</x:v>
      </x:c>
      <x:c r="AU1341" s="10" t="n">
        <x:f>AB1341/INDEX(v01_RepScale,G1341)</x:f>
        <x:v>129.54368969898493</x:v>
      </x:c>
      <x:c r="AV1341" s="32" t="n">
        <x:f>AM1341*60/v01_SeasonSeconds</x:f>
        <x:v>51237.51601232677</x:v>
      </x:c>
    </x:row>
    <x:row r="1342">
      <x:c r="A1342" s="8" t="n">
        <x:f>A1341+1</x:f>
        <x:v>1339</x:v>
      </x:c>
      <x:c r="B1342" s="9" t="n">
        <x:f>A1342*v01_SeasonSeconds/60</x:f>
        <x:v>334.75</x:v>
      </x:c>
      <x:c r="C1342" s="9" t="n">
        <x:f>A1342/4</x:f>
        <x:v>334.75</x:v>
      </x:c>
      <x:c r="D1342" s="8" t="n">
        <x:f>IF(MOD(A1342,4)=0,1,0)</x:f>
        <x:v>0</x:v>
      </x:c>
      <x:c r="E1342" s="8" t="n">
        <x:f>IF(AND(F1341&lt;=9,AS1341&gt;=AR1341),1,0)</x:f>
        <x:v>0</x:v>
      </x:c>
      <x:c r="F1342" s="8" t="n">
        <x:f>MIN(10,F1341+E1342)</x:f>
        <x:v>8</x:v>
      </x:c>
      <x:c r="G1342" s="8" t="n">
        <x:f>MIN(F1342,9)+1</x:f>
        <x:v>9</x:v>
      </x:c>
      <x:c r="H1342" s="8" t="n">
        <x:f>IF(F1342&lt;=9,1,0)</x:f>
        <x:v>1</x:v>
      </x:c>
      <x:c r="I1342" s="9" t="n">
        <x:f>MIN(10,F1341+IF(AR1341&gt;0,MIN(1,AS1341/AR1341),1))</x:f>
        <x:v>8.96337282406185</x:v>
      </x:c>
      <x:c r="J1342" s="32" t="n">
        <x:f>INDEX(v01_FoodCap,G1342)*Arch_FoodCap*EXP(v01_CapsByProject*SUMPRODUCT((Cap_Point&lt;=I1342)*(Cap_Kind="Food")*Cap_Ln))</x:f>
        <x:v>6000</x:v>
      </x:c>
      <x:c r="K1342" s="32" t="n">
        <x:f>J1342*MIN(1,v01_LeanBase*EXP(v01_CapsByProject*SUMPRODUCT((Cap_Point&lt;=I1342)*(Cap_Kind="Lean")*Cap_Ln)))</x:f>
        <x:v>6000</x:v>
      </x:c>
      <x:c r="L1342" s="10" t="n">
        <x:f>INDEX(v01_HousingCap,G1342)*EXP(v01_CapsByProject*SUMPRODUCT((Cap_Point&lt;=I1342)*(Cap_Kind="Housing")*Cap_Ln))</x:f>
        <x:v>10000</x:v>
      </x:c>
      <x:c r="M1342" s="10" t="n">
        <x:f>INDEX(v01_GroupCap,G1342)*v01_CohesionFactor*EXP(v01_CapsByProject*SUMPRODUCT((Cap_Point&lt;=I1342)*(Cap_Kind="Group")*Cap_Ln))</x:f>
        <x:v>1000000</x:v>
      </x:c>
      <x:c r="N1342" s="32" t="n">
        <x:f>MIN(J1342,L1342,M1342)</x:f>
        <x:v>6000</x:v>
      </x:c>
      <x:c r="O1342" s="10" t="n">
        <x:f>AE1341*N1342</x:f>
        <x:v>90000</x:v>
      </x:c>
      <x:c r="P1342" s="9" t="n">
        <x:f>MIN(1,(AB1341/(AE1341*IF(v01_GroupInCrowding=1,N1342,MIN(J1342,L1342))))^v01_CrowdingExp)</x:f>
        <x:v>0.0021711137156095518</x:v>
      </x:c>
      <x:c r="Q1342" s="9" t="n">
        <x:f>IF(D1342=1,INDEX(v01_WinterMult,G1342),1)</x:f>
        <x:v>1</x:v>
      </x:c>
      <x:c r="R1342" s="9" t="n">
        <x:f>H1342*Z1341*v01_WomenShare*v01_BaseFertility*INDEX(v01_FertMult,G1342)*Arch_Fertility*(1-P1342)</x:f>
        <x:v>309.85964759627456</x:v>
      </x:c>
      <x:c r="S1342" s="9" t="n">
        <x:f>H1342*Y1341*INDEX(v01_MortChild,G1342)/4*Q1342</x:f>
        <x:v>18.165951637065575</x:v>
      </x:c>
      <x:c r="T1342" s="9" t="n">
        <x:f>H1342*Z1341*INDEX(v01_MortAdult,G1342)*Arch_AdultMort/4*Q1342</x:f>
        <x:v>13.801504528946603</x:v>
      </x:c>
      <x:c r="U1342" s="9" t="n">
        <x:f>H1342*AA1341*INDEX(v01_MortElder,G1342)/4*Q1342</x:f>
        <x:v>56.64560537203097</x:v>
      </x:c>
      <x:c r="V1342" s="9" t="n">
        <x:f>H1342*MAX(0,AB1341-O1342)*v01_OvercapLoss</x:f>
        <x:v>0</x:v>
      </x:c>
      <x:c r="W1342" s="9" t="n">
        <x:f>H1342*Y1341/(v01_ChildYears*4)</x:f>
        <x:v>216.2613290126854</x:v>
      </x:c>
      <x:c r="X1342" s="9" t="n">
        <x:f>H1342*Z1341/(v01_AdultYears*4)</x:f>
        <x:v>111.30245587860163</x:v>
      </x:c>
      <x:c r="Y1342" s="32" t="n">
        <x:f>Y1341+R1342-S1342-W1342-Y1341*V1342/AB1341</x:f>
        <x:v>12186.066791656907</x:v>
      </x:c>
      <x:c r="Z1342" s="32" t="n">
        <x:f>Z1341+W1342-X1342-T1342-Z1341*V1342/AB1341</x:f>
        <x:v>13892.66189755174</x:v>
      </x:c>
      <x:c r="AA1342" s="32" t="n">
        <x:f>AA1341+X1342-U1342-AA1341*V1342/AB1341</x:f>
        <x:v>6528.440321595824</x:v>
      </x:c>
      <x:c r="AB1342" s="10" t="n">
        <x:f>Y1342+Z1342+AA1342</x:f>
        <x:v>32607.16901080447</x:v>
      </x:c>
      <x:c r="AC1342" s="8" t="n">
        <x:f>IF(AND(v01_WinterTrigger=1,D1342=1,AB1341/AE1341&gt;=K1342),1,0)</x:f>
        <x:v>0</x:v>
      </x:c>
      <x:c r="AD1342" s="8" t="n">
        <x:f>H1342*IF(AND(OR(AB1341/AE1341&gt;=v01_FissionTrigger*N1342,AC1342=1),AB1341/AE1341*v01_DaughterShare&gt;=v01_MinDaughter),MAX(1,ROUND(AE1341*v01_FissionRate,0)),0)</x:f>
        <x:v>0</x:v>
      </x:c>
      <x:c r="AE1342" s="8" t="n">
        <x:f>IF(H1342=1,MAX(1,MIN(INDEX(v01_Smax,G1342),AE1341+AD1342)),AE1341)</x:f>
        <x:v>15</x:v>
      </x:c>
      <x:c r="AF1342" s="8" t="n">
        <x:f>MAX(0,AE1342-AE1341)</x:f>
        <x:v>0</x:v>
      </x:c>
      <x:c r="AG1342" s="9" t="str">
        <x:f>IF(AF1342&gt;0,B1342,"")</x:f>
      </x:c>
      <x:c r="AH1342" s="9" t="n">
        <x:f>IF(F1342&gt;=1,1,(1+v01_LowTiesShare*(AE1342-1))/AE1342)</x:f>
        <x:v>1</x:v>
      </x:c>
      <x:c r="AI1342" s="32" t="n">
        <x:f>(Z1342+v01_ElderCommons*INDEX(LM_Elder,G1342)*AA1342)*AH1342</x:f>
        <x:v>38374.31310353608</x:v>
      </x:c>
      <x:c r="AJ1342" s="32" t="n">
        <x:f>H1342*v01_CommonsCoef*AI1342^v01_CommonsExp*INDEX(LM_Commons,G1342)</x:f>
        <x:v>14250.71532918534</x:v>
      </x:c>
      <x:c r="AK1342" s="32" t="n">
        <x:f>H1342*v01_RoleScale*Arch_Roles*(AE1342*(INDEX(v01_ElderRolePerSett,G1342)*v01_OutElder*INDEX(LM_Elder,G1342)+INDEX(v01_ShamanPerSett,G1342)*v01_OutShaman)+Z1342*(INDEX(v01_PriestShare,G1342)*v01_OutPriest+INDEX(v01_ScribeShare,G1342)*v01_OutScribe*INDEX(LM_Scribe,G1342)+INDEX(v01_ScholarShare,G1342)*v01_OutScholar*INDEX(LM_Scholar,G1342)+INDEX(v01_ResearcherShare,G1342)*v01_OutResearcher*INDEX(LM_Researcher,G1342)))</x:f>
        <x:v>3638.4212321197692</x:v>
      </x:c>
      <x:c r="AL1342" s="32" t="n">
        <x:f>H1342*v01_RoleScale*Arch_Roles*AE1342*INDEX(v01_MonasteryPerSett,G1342)*v01_OutMonastery*INDEX(LM_Monastery,G1342)</x:f>
        <x:v>6.6000000000000005</x:v>
      </x:c>
      <x:c r="AM1342" s="32" t="n">
        <x:f>(AJ1342+AK1342+AL1342)/4*INDEX(LM_All,G1342)*INDEX(v01_Boon,G1342)*Arch_Insight</x:f>
        <x:v>12893.725632639062</x:v>
      </x:c>
      <x:c r="AN1342" s="32" t="n">
        <x:f>H1342*(v01_KHPerAdult*Z1342+v01_KHOfCommons*AJ1342/4*INDEX(LM_All,G1342))*v01_KHUsable*Arch_KH</x:f>
        <x:v>486.2431664143109</x:v>
      </x:c>
      <x:c r="AO1342" s="32" t="n">
        <x:f>MIN(AP1341+AN1342,AM1342*v01_KHMaxRatio)</x:f>
        <x:v>486.2431664143109</x:v>
      </x:c>
      <x:c r="AP1342" s="32" t="n">
        <x:f>AP1341+AN1342-AO1342</x:f>
        <x:v>0</x:v>
      </x:c>
      <x:c r="AQ1342" s="32" t="n">
        <x:f>AM1342+AO1342</x:f>
        <x:v>13379.968799053373</x:v>
      </x:c>
      <x:c r="AR1342" s="10" t="n">
        <x:f>IF(H1342=1,INDEX(v01_Req,G1342),0)</x:f>
        <x:v>743165.805333726</x:v>
      </x:c>
      <x:c r="AS1342" s="32" t="n">
        <x:f>IF(H1342=1,IF(E1342=1,AS1341-AR1341,AS1341)+AQ1342,0)</x:f>
        <x:v>729325.7094296044</x:v>
      </x:c>
      <x:c r="AT1342" s="11" t="n">
        <x:f>IF(AR1342&gt;0,MIN(1,AS1342/AR1342),1)</x:f>
        <x:v>0.9813768397243376</x:v>
      </x:c>
      <x:c r="AU1342" s="10" t="n">
        <x:f>AB1342/INDEX(v01_RepScale,G1342)</x:f>
        <x:v>130.42867604321788</x:v>
      </x:c>
      <x:c r="AV1342" s="32" t="n">
        <x:f>AM1342*60/v01_SeasonSeconds</x:f>
        <x:v>51574.902530556246</x:v>
      </x:c>
    </x:row>
    <x:row r="1343">
      <x:c r="A1343" s="8" t="n">
        <x:f>A1342+1</x:f>
        <x:v>1340</x:v>
      </x:c>
      <x:c r="B1343" s="9" t="n">
        <x:f>A1343*v01_SeasonSeconds/60</x:f>
        <x:v>335</x:v>
      </x:c>
      <x:c r="C1343" s="9" t="n">
        <x:f>A1343/4</x:f>
        <x:v>335</x:v>
      </x:c>
      <x:c r="D1343" s="8" t="n">
        <x:f>IF(MOD(A1343,4)=0,1,0)</x:f>
        <x:v>1</x:v>
      </x:c>
      <x:c r="E1343" s="8" t="n">
        <x:f>IF(AND(F1342&lt;=9,AS1342&gt;=AR1342),1,0)</x:f>
        <x:v>0</x:v>
      </x:c>
      <x:c r="F1343" s="8" t="n">
        <x:f>MIN(10,F1342+E1343)</x:f>
        <x:v>8</x:v>
      </x:c>
      <x:c r="G1343" s="8" t="n">
        <x:f>MIN(F1343,9)+1</x:f>
        <x:v>9</x:v>
      </x:c>
      <x:c r="H1343" s="8" t="n">
        <x:f>IF(F1343&lt;=9,1,0)</x:f>
        <x:v>1</x:v>
      </x:c>
      <x:c r="I1343" s="9" t="n">
        <x:f>MIN(10,F1342+IF(AR1342&gt;0,MIN(1,AS1342/AR1342),1))</x:f>
        <x:v>8.981376839724337</x:v>
      </x:c>
      <x:c r="J1343" s="32" t="n">
        <x:f>INDEX(v01_FoodCap,G1343)*Arch_FoodCap*EXP(v01_CapsByProject*SUMPRODUCT((Cap_Point&lt;=I1343)*(Cap_Kind="Food")*Cap_Ln))</x:f>
        <x:v>6000</x:v>
      </x:c>
      <x:c r="K1343" s="32" t="n">
        <x:f>J1343*MIN(1,v01_LeanBase*EXP(v01_CapsByProject*SUMPRODUCT((Cap_Point&lt;=I1343)*(Cap_Kind="Lean")*Cap_Ln)))</x:f>
        <x:v>6000</x:v>
      </x:c>
      <x:c r="L1343" s="10" t="n">
        <x:f>INDEX(v01_HousingCap,G1343)*EXP(v01_CapsByProject*SUMPRODUCT((Cap_Point&lt;=I1343)*(Cap_Kind="Housing")*Cap_Ln))</x:f>
        <x:v>10000</x:v>
      </x:c>
      <x:c r="M1343" s="10" t="n">
        <x:f>INDEX(v01_GroupCap,G1343)*v01_CohesionFactor*EXP(v01_CapsByProject*SUMPRODUCT((Cap_Point&lt;=I1343)*(Cap_Kind="Group")*Cap_Ln))</x:f>
        <x:v>1000000</x:v>
      </x:c>
      <x:c r="N1343" s="32" t="n">
        <x:f>MIN(J1343,L1343,M1343)</x:f>
        <x:v>6000</x:v>
      </x:c>
      <x:c r="O1343" s="10" t="n">
        <x:f>AE1342*N1343</x:f>
        <x:v>90000</x:v>
      </x:c>
      <x:c r="P1343" s="9" t="n">
        <x:f>MIN(1,(AB1342/(AE1342*IF(v01_GroupInCrowding=1,N1343,MIN(J1343,L1343))))^v01_CrowdingExp)</x:f>
        <x:v>0.002261640176827932</x:v>
      </x:c>
      <x:c r="Q1343" s="9" t="n">
        <x:f>IF(D1343=1,INDEX(v01_WinterMult,G1343),1)</x:f>
        <x:v>1</x:v>
      </x:c>
      <x:c r="R1343" s="9" t="n">
        <x:f>H1343*Z1342*v01_WomenShare*v01_BaseFertility*INDEX(v01_FertMult,G1343)*Arch_Fertility*(1-P1343)</x:f>
        <x:v>311.87793814292587</x:v>
      </x:c>
      <x:c r="S1343" s="9" t="n">
        <x:f>H1343*Y1342*INDEX(v01_MortChild,G1343)/4*Q1343</x:f>
        <x:v>18.279100187485362</x:v>
      </x:c>
      <x:c r="T1343" s="9" t="n">
        <x:f>H1343*Z1342*INDEX(v01_MortAdult,G1343)*Arch_AdultMort/4*Q1343</x:f>
        <x:v>13.89266189755174</x:v>
      </x:c>
      <x:c r="U1343" s="9" t="n">
        <x:f>H1343*AA1342*INDEX(v01_MortElder,G1343)/4*Q1343</x:f>
        <x:v>57.12385281396346</x:v>
      </x:c>
      <x:c r="V1343" s="9" t="n">
        <x:f>H1343*MAX(0,AB1342-O1343)*v01_OvercapLoss</x:f>
        <x:v>0</x:v>
      </x:c>
      <x:c r="W1343" s="9" t="n">
        <x:f>H1343*Y1342/(v01_ChildYears*4)</x:f>
        <x:v>217.60833556530193</x:v>
      </x:c>
      <x:c r="X1343" s="9" t="n">
        <x:f>H1343*Z1342/(v01_AdultYears*4)</x:f>
        <x:v>112.0375959479979</x:v>
      </x:c>
      <x:c r="Y1343" s="32" t="n">
        <x:f>Y1342+R1343-S1343-W1343-Y1342*V1343/AB1342</x:f>
        <x:v>12262.057294047047</x:v>
      </x:c>
      <x:c r="Z1343" s="32" t="n">
        <x:f>Z1342+W1343-X1343-T1343-Z1342*V1343/AB1342</x:f>
        <x:v>13984.339975271494</x:v>
      </x:c>
      <x:c r="AA1343" s="32" t="n">
        <x:f>AA1342+X1343-U1343-AA1342*V1343/AB1342</x:f>
        <x:v>6583.354064729858</x:v>
      </x:c>
      <x:c r="AB1343" s="10" t="n">
        <x:f>Y1343+Z1343+AA1343</x:f>
        <x:v>32829.7513340484</x:v>
      </x:c>
      <x:c r="AC1343" s="8" t="n">
        <x:f>IF(AND(v01_WinterTrigger=1,D1343=1,AB1342/AE1342&gt;=K1343),1,0)</x:f>
        <x:v>0</x:v>
      </x:c>
      <x:c r="AD1343" s="8" t="n">
        <x:f>H1343*IF(AND(OR(AB1342/AE1342&gt;=v01_FissionTrigger*N1343,AC1343=1),AB1342/AE1342*v01_DaughterShare&gt;=v01_MinDaughter),MAX(1,ROUND(AE1342*v01_FissionRate,0)),0)</x:f>
        <x:v>0</x:v>
      </x:c>
      <x:c r="AE1343" s="8" t="n">
        <x:f>IF(H1343=1,MAX(1,MIN(INDEX(v01_Smax,G1343),AE1342+AD1343)),AE1342)</x:f>
        <x:v>15</x:v>
      </x:c>
      <x:c r="AF1343" s="8" t="n">
        <x:f>MAX(0,AE1343-AE1342)</x:f>
        <x:v>0</x:v>
      </x:c>
      <x:c r="AG1343" s="9" t="str">
        <x:f>IF(AF1343&gt;0,B1343,"")</x:f>
      </x:c>
      <x:c r="AH1343" s="9" t="n">
        <x:f>IF(F1343&gt;=1,1,(1+v01_LowTiesShare*(AE1343-1))/AE1343)</x:f>
        <x:v>1</x:v>
      </x:c>
      <x:c r="AI1343" s="32" t="n">
        <x:f>(Z1343+v01_ElderCommons*INDEX(LM_Elder,G1343)*AA1343)*AH1343</x:f>
        <x:v>38671.917718008466</x:v>
      </x:c>
      <x:c r="AJ1343" s="32" t="n">
        <x:f>H1343*v01_CommonsCoef*AI1343^v01_CommonsExp*INDEX(LM_Commons,G1343)</x:f>
        <x:v>14344.601733097525</x:v>
      </x:c>
      <x:c r="AK1343" s="32" t="n">
        <x:f>H1343*v01_RoleScale*Arch_Roles*(AE1343*(INDEX(v01_ElderRolePerSett,G1343)*v01_OutElder*INDEX(LM_Elder,G1343)+INDEX(v01_ShamanPerSett,G1343)*v01_OutShaman)+Z1343*(INDEX(v01_PriestShare,G1343)*v01_OutPriest+INDEX(v01_ScribeShare,G1343)*v01_OutScribe*INDEX(LM_Scribe,G1343)+INDEX(v01_ScholarShare,G1343)*v01_OutScholar*INDEX(LM_Scholar,G1343)+INDEX(v01_ResearcherShare,G1343)*v01_OutResearcher*INDEX(LM_Researcher,G1343)))</x:f>
        <x:v>3662.0972032357786</x:v>
      </x:c>
      <x:c r="AL1343" s="32" t="n">
        <x:f>H1343*v01_RoleScale*Arch_Roles*AE1343*INDEX(v01_MonasteryPerSett,G1343)*v01_OutMonastery*INDEX(LM_Monastery,G1343)</x:f>
        <x:v>6.6000000000000005</x:v>
      </x:c>
      <x:c r="AM1343" s="32" t="n">
        <x:f>(AJ1343+AK1343+AL1343)/4*INDEX(LM_All,G1343)*INDEX(v01_Boon,G1343)*Arch_Insight</x:f>
        <x:v>12978.428321636648</x:v>
      </x:c>
      <x:c r="AN1343" s="32" t="n">
        <x:f>H1343*(v01_KHPerAdult*Z1343+v01_KHOfCommons*AJ1343/4*INDEX(LM_All,G1343))*v01_KHUsable*Arch_KH</x:f>
        <x:v>489.4518991345023</x:v>
      </x:c>
      <x:c r="AO1343" s="32" t="n">
        <x:f>MIN(AP1342+AN1343,AM1343*v01_KHMaxRatio)</x:f>
        <x:v>489.4518991345023</x:v>
      </x:c>
      <x:c r="AP1343" s="32" t="n">
        <x:f>AP1342+AN1343-AO1343</x:f>
        <x:v>0</x:v>
      </x:c>
      <x:c r="AQ1343" s="32" t="n">
        <x:f>AM1343+AO1343</x:f>
        <x:v>13467.88022077115</x:v>
      </x:c>
      <x:c r="AR1343" s="10" t="n">
        <x:f>IF(H1343=1,INDEX(v01_Req,G1343),0)</x:f>
        <x:v>743165.805333726</x:v>
      </x:c>
      <x:c r="AS1343" s="32" t="n">
        <x:f>IF(H1343=1,IF(E1343=1,AS1342-AR1342,AS1342)+AQ1343,0)</x:f>
        <x:v>742793.5896503755</x:v>
      </x:c>
      <x:c r="AT1343" s="11" t="n">
        <x:f>IF(AR1343&gt;0,MIN(1,AS1343/AR1343),1)</x:f>
        <x:v>0.9994991485336394</x:v>
      </x:c>
      <x:c r="AU1343" s="10" t="n">
        <x:f>AB1343/INDEX(v01_RepScale,G1343)</x:f>
        <x:v>131.3190053361936</x:v>
      </x:c>
      <x:c r="AV1343" s="32" t="n">
        <x:f>AM1343*60/v01_SeasonSeconds</x:f>
        <x:v>51913.71328654659</x:v>
      </x:c>
    </x:row>
    <x:row r="1344">
      <x:c r="A1344" s="8" t="n">
        <x:f>A1343+1</x:f>
        <x:v>1341</x:v>
      </x:c>
      <x:c r="B1344" s="9" t="n">
        <x:f>A1344*v01_SeasonSeconds/60</x:f>
        <x:v>335.25</x:v>
      </x:c>
      <x:c r="C1344" s="9" t="n">
        <x:f>A1344/4</x:f>
        <x:v>335.25</x:v>
      </x:c>
      <x:c r="D1344" s="8" t="n">
        <x:f>IF(MOD(A1344,4)=0,1,0)</x:f>
        <x:v>0</x:v>
      </x:c>
      <x:c r="E1344" s="8" t="n">
        <x:f>IF(AND(F1343&lt;=9,AS1343&gt;=AR1343),1,0)</x:f>
        <x:v>0</x:v>
      </x:c>
      <x:c r="F1344" s="8" t="n">
        <x:f>MIN(10,F1343+E1344)</x:f>
        <x:v>8</x:v>
      </x:c>
      <x:c r="G1344" s="8" t="n">
        <x:f>MIN(F1344,9)+1</x:f>
        <x:v>9</x:v>
      </x:c>
      <x:c r="H1344" s="8" t="n">
        <x:f>IF(F1344&lt;=9,1,0)</x:f>
        <x:v>1</x:v>
      </x:c>
      <x:c r="I1344" s="9" t="n">
        <x:f>MIN(10,F1343+IF(AR1343&gt;0,MIN(1,AS1343/AR1343),1))</x:f>
        <x:v>8.999499148533639</x:v>
      </x:c>
      <x:c r="J1344" s="32" t="n">
        <x:f>INDEX(v01_FoodCap,G1344)*Arch_FoodCap*EXP(v01_CapsByProject*SUMPRODUCT((Cap_Point&lt;=I1344)*(Cap_Kind="Food")*Cap_Ln))</x:f>
        <x:v>6000</x:v>
      </x:c>
      <x:c r="K1344" s="32" t="n">
        <x:f>J1344*MIN(1,v01_LeanBase*EXP(v01_CapsByProject*SUMPRODUCT((Cap_Point&lt;=I1344)*(Cap_Kind="Lean")*Cap_Ln)))</x:f>
        <x:v>6000</x:v>
      </x:c>
      <x:c r="L1344" s="10" t="n">
        <x:f>INDEX(v01_HousingCap,G1344)*EXP(v01_CapsByProject*SUMPRODUCT((Cap_Point&lt;=I1344)*(Cap_Kind="Housing")*Cap_Ln))</x:f>
        <x:v>10000</x:v>
      </x:c>
      <x:c r="M1344" s="10" t="n">
        <x:f>INDEX(v01_GroupCap,G1344)*v01_CohesionFactor*EXP(v01_CapsByProject*SUMPRODUCT((Cap_Point&lt;=I1344)*(Cap_Kind="Group")*Cap_Ln))</x:f>
        <x:v>1000000</x:v>
      </x:c>
      <x:c r="N1344" s="32" t="n">
        <x:f>MIN(J1344,L1344,M1344)</x:f>
        <x:v>6000</x:v>
      </x:c>
      <x:c r="O1344" s="10" t="n">
        <x:f>AE1343*N1344</x:f>
        <x:v>90000</x:v>
      </x:c>
      <x:c r="P1344" s="9" t="n">
        <x:f>MIN(1,(AB1343/(AE1343*IF(v01_GroupInCrowding=1,N1344,MIN(J1344,L1344))))^v01_CrowdingExp)</x:f>
        <x:v>0.0023558655563697757</x:v>
      </x:c>
      <x:c r="Q1344" s="9" t="n">
        <x:f>IF(D1344=1,INDEX(v01_WinterMult,G1344),1)</x:f>
        <x:v>1</x:v>
      </x:c>
      <x:c r="R1344" s="9" t="n">
        <x:f>H1344*Z1343*v01_WomenShare*v01_BaseFertility*INDEX(v01_FertMult,G1344)*Arch_Fertility*(1-P1344)</x:f>
        <x:v>313.9063818838917</x:v>
      </x:c>
      <x:c r="S1344" s="9" t="n">
        <x:f>H1344*Y1343*INDEX(v01_MortChild,G1344)/4*Q1344</x:f>
        <x:v>18.39308594107057</x:v>
      </x:c>
      <x:c r="T1344" s="9" t="n">
        <x:f>H1344*Z1343*INDEX(v01_MortAdult,G1344)*Arch_AdultMort/4*Q1344</x:f>
        <x:v>13.984339975271494</x:v>
      </x:c>
      <x:c r="U1344" s="9" t="n">
        <x:f>H1344*AA1343*INDEX(v01_MortElder,G1344)/4*Q1344</x:f>
        <x:v>57.60434806638626</x:v>
      </x:c>
      <x:c r="V1344" s="9" t="n">
        <x:f>H1344*MAX(0,AB1343-O1344)*v01_OvercapLoss</x:f>
        <x:v>0</x:v>
      </x:c>
      <x:c r="W1344" s="9" t="n">
        <x:f>H1344*Y1343/(v01_ChildYears*4)</x:f>
        <x:v>218.9653088222687</x:v>
      </x:c>
      <x:c r="X1344" s="9" t="n">
        <x:f>H1344*Z1343/(v01_AdultYears*4)</x:f>
        <x:v>112.77693528444753</x:v>
      </x:c>
      <x:c r="Y1344" s="32" t="n">
        <x:f>Y1343+R1344-S1344-W1344-Y1343*V1344/AB1343</x:f>
        <x:v>12338.605281167598</x:v>
      </x:c>
      <x:c r="Z1344" s="32" t="n">
        <x:f>Z1343+W1344-X1344-T1344-Z1343*V1344/AB1343</x:f>
        <x:v>14076.544008834044</x:v>
      </x:c>
      <x:c r="AA1344" s="32" t="n">
        <x:f>AA1343+X1344-U1344-AA1343*V1344/AB1343</x:f>
        <x:v>6638.526651947919</x:v>
      </x:c>
      <x:c r="AB1344" s="10" t="n">
        <x:f>Y1344+Z1344+AA1344</x:f>
        <x:v>33053.675941949565</x:v>
      </x:c>
      <x:c r="AC1344" s="8" t="n">
        <x:f>IF(AND(v01_WinterTrigger=1,D1344=1,AB1343/AE1343&gt;=K1344),1,0)</x:f>
        <x:v>0</x:v>
      </x:c>
      <x:c r="AD1344" s="8" t="n">
        <x:f>H1344*IF(AND(OR(AB1343/AE1343&gt;=v01_FissionTrigger*N1344,AC1344=1),AB1343/AE1343*v01_DaughterShare&gt;=v01_MinDaughter),MAX(1,ROUND(AE1343*v01_FissionRate,0)),0)</x:f>
        <x:v>0</x:v>
      </x:c>
      <x:c r="AE1344" s="8" t="n">
        <x:f>IF(H1344=1,MAX(1,MIN(INDEX(v01_Smax,G1344),AE1343+AD1344)),AE1343)</x:f>
        <x:v>15</x:v>
      </x:c>
      <x:c r="AF1344" s="8" t="n">
        <x:f>MAX(0,AE1344-AE1343)</x:f>
        <x:v>0</x:v>
      </x:c>
      <x:c r="AG1344" s="9" t="str">
        <x:f>IF(AF1344&gt;0,B1344,"")</x:f>
      </x:c>
      <x:c r="AH1344" s="9" t="n">
        <x:f>IF(F1344&gt;=1,1,(1+v01_LowTiesShare*(AE1344-1))/AE1344)</x:f>
        <x:v>1</x:v>
      </x:c>
      <x:c r="AI1344" s="32" t="n">
        <x:f>(Z1344+v01_ElderCommons*INDEX(LM_Elder,G1344)*AA1344)*AH1344</x:f>
        <x:v>38971.01895363874</x:v>
      </x:c>
      <x:c r="AJ1344" s="32" t="n">
        <x:f>H1344*v01_CommonsCoef*AI1344^v01_CommonsExp*INDEX(LM_Commons,G1344)</x:f>
        <x:v>14438.851148860715</x:v>
      </x:c>
      <x:c r="AK1344" s="32" t="n">
        <x:f>H1344*v01_RoleScale*Arch_Roles*(AE1344*(INDEX(v01_ElderRolePerSett,G1344)*v01_OutElder*INDEX(LM_Elder,G1344)+INDEX(v01_ShamanPerSett,G1344)*v01_OutShaman)+Z1344*(INDEX(v01_PriestShare,G1344)*v01_OutPriest+INDEX(v01_ScribeShare,G1344)*v01_OutScribe*INDEX(LM_Scribe,G1344)+INDEX(v01_ScholarShare,G1344)*v01_OutScholar*INDEX(LM_Scholar,G1344)+INDEX(v01_ResearcherShare,G1344)*v01_OutResearcher*INDEX(LM_Researcher,G1344)))</x:f>
        <x:v>3685.9090030651732</x:v>
      </x:c>
      <x:c r="AL1344" s="32" t="n">
        <x:f>H1344*v01_RoleScale*Arch_Roles*AE1344*INDEX(v01_MonasteryPerSett,G1344)*v01_OutMonastery*INDEX(LM_Monastery,G1344)</x:f>
        <x:v>6.6000000000000005</x:v>
      </x:c>
      <x:c r="AM1344" s="32" t="n">
        <x:f>(AJ1344+AK1344+AL1344)/4*INDEX(LM_All,G1344)*INDEX(v01_Boon,G1344)*Arch_Insight</x:f>
        <x:v>13063.490421008299</x:v>
      </x:c>
      <x:c r="AN1344" s="32" t="n">
        <x:f>H1344*(v01_KHPerAdult*Z1344+v01_KHOfCommons*AJ1344/4*INDEX(LM_All,G1344))*v01_KHUsable*Arch_KH</x:f>
        <x:v>492.6790403091915</x:v>
      </x:c>
      <x:c r="AO1344" s="32" t="n">
        <x:f>MIN(AP1343+AN1344,AM1344*v01_KHMaxRatio)</x:f>
        <x:v>492.6790403091915</x:v>
      </x:c>
      <x:c r="AP1344" s="32" t="n">
        <x:f>AP1343+AN1344-AO1344</x:f>
        <x:v>0</x:v>
      </x:c>
      <x:c r="AQ1344" s="32" t="n">
        <x:f>AM1344+AO1344</x:f>
        <x:v>13556.16946131749</x:v>
      </x:c>
      <x:c r="AR1344" s="10" t="n">
        <x:f>IF(H1344=1,INDEX(v01_Req,G1344),0)</x:f>
        <x:v>743165.805333726</x:v>
      </x:c>
      <x:c r="AS1344" s="32" t="n">
        <x:f>IF(H1344=1,IF(E1344=1,AS1343-AR1343,AS1343)+AQ1344,0)</x:f>
        <x:v>756349.759111693</x:v>
      </x:c>
      <x:c r="AT1344" s="11" t="n">
        <x:f>IF(AR1344&gt;0,MIN(1,AS1344/AR1344),1)</x:f>
        <x:v>1</x:v>
      </x:c>
      <x:c r="AU1344" s="10" t="n">
        <x:f>AB1344/INDEX(v01_RepScale,G1344)</x:f>
        <x:v>132.21470376779826</x:v>
      </x:c>
      <x:c r="AV1344" s="32" t="n">
        <x:f>AM1344*60/v01_SeasonSeconds</x:f>
        <x:v>52253.961684033195</x:v>
      </x:c>
    </x:row>
    <x:row r="1345">
      <x:c r="A1345" s="8" t="n">
        <x:f>A1344+1</x:f>
        <x:v>1342</x:v>
      </x:c>
      <x:c r="B1345" s="9" t="n">
        <x:f>A1345*v01_SeasonSeconds/60</x:f>
        <x:v>335.5</x:v>
      </x:c>
      <x:c r="C1345" s="9" t="n">
        <x:f>A1345/4</x:f>
        <x:v>335.5</x:v>
      </x:c>
      <x:c r="D1345" s="8" t="n">
        <x:f>IF(MOD(A1345,4)=0,1,0)</x:f>
        <x:v>0</x:v>
      </x:c>
      <x:c r="E1345" s="8" t="n">
        <x:f>IF(AND(F1344&lt;=9,AS1344&gt;=AR1344),1,0)</x:f>
        <x:v>1</x:v>
      </x:c>
      <x:c r="F1345" s="8" t="n">
        <x:f>MIN(10,F1344+E1345)</x:f>
        <x:v>9</x:v>
      </x:c>
      <x:c r="G1345" s="8" t="n">
        <x:f>MIN(F1345,9)+1</x:f>
        <x:v>10</x:v>
      </x:c>
      <x:c r="H1345" s="8" t="n">
        <x:f>IF(F1345&lt;=9,1,0)</x:f>
        <x:v>1</x:v>
      </x:c>
      <x:c r="I1345" s="9" t="n">
        <x:f>MIN(10,F1344+IF(AR1344&gt;0,MIN(1,AS1344/AR1344),1))</x:f>
        <x:v>9</x:v>
      </x:c>
      <x:c r="J1345" s="32" t="n">
        <x:f>INDEX(v01_FoodCap,G1345)*Arch_FoodCap*EXP(v01_CapsByProject*SUMPRODUCT((Cap_Point&lt;=I1345)*(Cap_Kind="Food")*Cap_Ln))</x:f>
        <x:v>12000</x:v>
      </x:c>
      <x:c r="K1345" s="32" t="n">
        <x:f>J1345*MIN(1,v01_LeanBase*EXP(v01_CapsByProject*SUMPRODUCT((Cap_Point&lt;=I1345)*(Cap_Kind="Lean")*Cap_Ln)))</x:f>
        <x:v>12000</x:v>
      </x:c>
      <x:c r="L1345" s="10" t="n">
        <x:f>INDEX(v01_HousingCap,G1345)*EXP(v01_CapsByProject*SUMPRODUCT((Cap_Point&lt;=I1345)*(Cap_Kind="Housing")*Cap_Ln))</x:f>
        <x:v>20000</x:v>
      </x:c>
      <x:c r="M1345" s="10" t="n">
        <x:f>INDEX(v01_GroupCap,G1345)*v01_CohesionFactor*EXP(v01_CapsByProject*SUMPRODUCT((Cap_Point&lt;=I1345)*(Cap_Kind="Group")*Cap_Ln))</x:f>
        <x:v>1000000</x:v>
      </x:c>
      <x:c r="N1345" s="32" t="n">
        <x:f>MIN(J1345,L1345,M1345)</x:f>
        <x:v>12000</x:v>
      </x:c>
      <x:c r="O1345" s="10" t="n">
        <x:f>AE1344*N1345</x:f>
        <x:v>180000</x:v>
      </x:c>
      <x:c r="P1345" s="9" t="n">
        <x:f>MIN(1,(AB1344/(AE1344*IF(v01_GroupInCrowding=1,N1345,MIN(J1345,L1345))))^v01_CrowdingExp)</x:f>
        <x:v>0.00003834277659284932</x:v>
      </x:c>
      <x:c r="Q1345" s="9" t="n">
        <x:f>IF(D1345=1,INDEX(v01_WinterMult,G1345),1)</x:f>
        <x:v>1</x:v>
      </x:c>
      <x:c r="R1345" s="9" t="n">
        <x:f>H1345*Z1344*v01_WomenShare*v01_BaseFertility*INDEX(v01_FertMult,G1345)*Arch_Fertility*(1-P1345)</x:f>
        <x:v>232.25407053835656</x:v>
      </x:c>
      <x:c r="S1345" s="9" t="n">
        <x:f>H1345*Y1344*INDEX(v01_MortChild,G1345)/4*Q1345</x:f>
        <x:v>9.253953960875698</x:v>
      </x:c>
      <x:c r="T1345" s="9" t="n">
        <x:f>H1345*Z1344*INDEX(v01_MortAdult,G1345)*Arch_AdultMort/4*Q1345</x:f>
        <x:v>8.797840005521278</x:v>
      </x:c>
      <x:c r="U1345" s="9" t="n">
        <x:f>H1345*AA1344*INDEX(v01_MortElder,G1345)/4*Q1345</x:f>
        <x:v>41.490791574674496</x:v>
      </x:c>
      <x:c r="V1345" s="9" t="n">
        <x:f>H1345*MAX(0,AB1344-O1345)*v01_OvercapLoss</x:f>
        <x:v>0</x:v>
      </x:c>
      <x:c r="W1345" s="9" t="n">
        <x:f>H1345*Y1344/(v01_ChildYears*4)</x:f>
        <x:v>220.3322371637071</x:v>
      </x:c>
      <x:c r="X1345" s="9" t="n">
        <x:f>H1345*Z1344/(v01_AdultYears*4)</x:f>
        <x:v>113.52051620027454</x:v>
      </x:c>
      <x:c r="Y1345" s="32" t="n">
        <x:f>Y1344+R1345-S1345-W1345-Y1344*V1345/AB1344</x:f>
        <x:v>12341.273160581371</x:v>
      </x:c>
      <x:c r="Z1345" s="32" t="n">
        <x:f>Z1344+W1345-X1345-T1345-Z1344*V1345/AB1344</x:f>
        <x:v>14174.557889791955</x:v>
      </x:c>
      <x:c r="AA1345" s="32" t="n">
        <x:f>AA1344+X1345-U1345-AA1344*V1345/AB1344</x:f>
        <x:v>6710.55637657352</x:v>
      </x:c>
      <x:c r="AB1345" s="10" t="n">
        <x:f>Y1345+Z1345+AA1345</x:f>
        <x:v>33226.38742694684</x:v>
      </x:c>
      <x:c r="AC1345" s="8" t="n">
        <x:f>IF(AND(v01_WinterTrigger=1,D1345=1,AB1344/AE1344&gt;=K1345),1,0)</x:f>
        <x:v>0</x:v>
      </x:c>
      <x:c r="AD1345" s="8" t="n">
        <x:f>H1345*IF(AND(OR(AB1344/AE1344&gt;=v01_FissionTrigger*N1345,AC1345=1),AB1344/AE1344*v01_DaughterShare&gt;=v01_MinDaughter),MAX(1,ROUND(AE1344*v01_FissionRate,0)),0)</x:f>
        <x:v>0</x:v>
      </x:c>
      <x:c r="AE1345" s="8" t="n">
        <x:f>IF(H1345=1,MAX(1,MIN(INDEX(v01_Smax,G1345),AE1344+AD1345)),AE1344)</x:f>
        <x:v>15</x:v>
      </x:c>
      <x:c r="AF1345" s="8" t="n">
        <x:f>MAX(0,AE1345-AE1344)</x:f>
        <x:v>0</x:v>
      </x:c>
      <x:c r="AG1345" s="9" t="str">
        <x:f>IF(AF1345&gt;0,B1345,"")</x:f>
      </x:c>
      <x:c r="AH1345" s="9" t="n">
        <x:f>IF(F1345&gt;=1,1,(1+v01_LowTiesShare*(AE1345-1))/AE1345)</x:f>
        <x:v>1</x:v>
      </x:c>
      <x:c r="AI1345" s="32" t="n">
        <x:f>(Z1345+v01_ElderCommons*INDEX(LM_Elder,G1345)*AA1345)*AH1345</x:f>
        <x:v>40567.398779397976</x:v>
      </x:c>
      <x:c r="AJ1345" s="32" t="n">
        <x:f>H1345*v01_CommonsCoef*AI1345^v01_CommonsExp*INDEX(LM_Commons,G1345)</x:f>
        <x:v>22174.336729181046</x:v>
      </x:c>
      <x:c r="AK1345" s="32" t="n">
        <x:f>H1345*v01_RoleScale*Arch_Roles*(AE1345*(INDEX(v01_ElderRolePerSett,G1345)*v01_OutElder*INDEX(LM_Elder,G1345)+INDEX(v01_ShamanPerSett,G1345)*v01_OutShaman)+Z1345*(INDEX(v01_PriestShare,G1345)*v01_OutPriest+INDEX(v01_ScribeShare,G1345)*v01_OutScribe*INDEX(LM_Scribe,G1345)+INDEX(v01_ScholarShare,G1345)*v01_OutScholar*INDEX(LM_Scholar,G1345)+INDEX(v01_ResearcherShare,G1345)*v01_OutResearcher*INDEX(LM_Researcher,G1345)))</x:f>
        <x:v>6433.154055099454</x:v>
      </x:c>
      <x:c r="AL1345" s="32" t="n">
        <x:f>H1345*v01_RoleScale*Arch_Roles*AE1345*INDEX(v01_MonasteryPerSett,G1345)*v01_OutMonastery*INDEX(LM_Monastery,G1345)</x:f>
        <x:v>3.3000000000000003</x:v>
      </x:c>
      <x:c r="AM1345" s="32" t="n">
        <x:f>(AJ1345+AK1345+AL1345)/4*INDEX(LM_All,G1345)*INDEX(v01_Boon,G1345)*Arch_Insight</x:f>
        <x:v>24776.155760444202</x:v>
      </x:c>
      <x:c r="AN1345" s="32" t="n">
        <x:f>H1345*(v01_KHPerAdult*Z1345+v01_KHOfCommons*AJ1345/4*INDEX(LM_All,G1345))*v01_KHUsable*Arch_KH</x:f>
        <x:v>496.10952614271844</x:v>
      </x:c>
      <x:c r="AO1345" s="32" t="n">
        <x:f>MIN(AP1344+AN1345,AM1345*v01_KHMaxRatio)</x:f>
        <x:v>496.10952614271844</x:v>
      </x:c>
      <x:c r="AP1345" s="32" t="n">
        <x:f>AP1344+AN1345-AO1345</x:f>
        <x:v>0</x:v>
      </x:c>
      <x:c r="AQ1345" s="32" t="n">
        <x:f>AM1345+AO1345</x:f>
        <x:v>25272.26528658692</x:v>
      </x:c>
      <x:c r="AR1345" s="10" t="n">
        <x:f>IF(H1345=1,INDEX(v01_Req,G1345),0)</x:f>
        <x:v>1845340.8943637449</x:v>
      </x:c>
      <x:c r="AS1345" s="32" t="n">
        <x:f>IF(H1345=1,IF(E1345=1,AS1344-AR1344,AS1344)+AQ1345,0)</x:f>
        <x:v>38456.21906455394</x:v>
      </x:c>
      <x:c r="AT1345" s="11" t="n">
        <x:f>IF(AR1345&gt;0,MIN(1,AS1345/AR1345),1)</x:f>
        <x:v>0.02083962870058936</x:v>
      </x:c>
      <x:c r="AU1345" s="10" t="n">
        <x:f>AB1345/INDEX(v01_RepScale,G1345)</x:f>
        <x:v>66.45277485389369</x:v>
      </x:c>
      <x:c r="AV1345" s="32" t="n">
        <x:f>AM1345*60/v01_SeasonSeconds</x:f>
        <x:v>99104.62304177681</x:v>
      </x:c>
    </x:row>
    <x:row r="1346">
      <x:c r="A1346" s="8" t="n">
        <x:f>A1345+1</x:f>
        <x:v>1343</x:v>
      </x:c>
      <x:c r="B1346" s="9" t="n">
        <x:f>A1346*v01_SeasonSeconds/60</x:f>
        <x:v>335.75</x:v>
      </x:c>
      <x:c r="C1346" s="9" t="n">
        <x:f>A1346/4</x:f>
        <x:v>335.75</x:v>
      </x:c>
      <x:c r="D1346" s="8" t="n">
        <x:f>IF(MOD(A1346,4)=0,1,0)</x:f>
        <x:v>0</x:v>
      </x:c>
      <x:c r="E1346" s="8" t="n">
        <x:f>IF(AND(F1345&lt;=9,AS1345&gt;=AR1345),1,0)</x:f>
        <x:v>0</x:v>
      </x:c>
      <x:c r="F1346" s="8" t="n">
        <x:f>MIN(10,F1345+E1346)</x:f>
        <x:v>9</x:v>
      </x:c>
      <x:c r="G1346" s="8" t="n">
        <x:f>MIN(F1346,9)+1</x:f>
        <x:v>10</x:v>
      </x:c>
      <x:c r="H1346" s="8" t="n">
        <x:f>IF(F1346&lt;=9,1,0)</x:f>
        <x:v>1</x:v>
      </x:c>
      <x:c r="I1346" s="9" t="n">
        <x:f>MIN(10,F1345+IF(AR1345&gt;0,MIN(1,AS1345/AR1345),1))</x:f>
        <x:v>9.020839628700589</x:v>
      </x:c>
      <x:c r="J1346" s="32" t="n">
        <x:f>INDEX(v01_FoodCap,G1346)*Arch_FoodCap*EXP(v01_CapsByProject*SUMPRODUCT((Cap_Point&lt;=I1346)*(Cap_Kind="Food")*Cap_Ln))</x:f>
        <x:v>12000</x:v>
      </x:c>
      <x:c r="K1346" s="32" t="n">
        <x:f>J1346*MIN(1,v01_LeanBase*EXP(v01_CapsByProject*SUMPRODUCT((Cap_Point&lt;=I1346)*(Cap_Kind="Lean")*Cap_Ln)))</x:f>
        <x:v>12000</x:v>
      </x:c>
      <x:c r="L1346" s="10" t="n">
        <x:f>INDEX(v01_HousingCap,G1346)*EXP(v01_CapsByProject*SUMPRODUCT((Cap_Point&lt;=I1346)*(Cap_Kind="Housing")*Cap_Ln))</x:f>
        <x:v>20000</x:v>
      </x:c>
      <x:c r="M1346" s="10" t="n">
        <x:f>INDEX(v01_GroupCap,G1346)*v01_CohesionFactor*EXP(v01_CapsByProject*SUMPRODUCT((Cap_Point&lt;=I1346)*(Cap_Kind="Group")*Cap_Ln))</x:f>
        <x:v>1000000</x:v>
      </x:c>
      <x:c r="N1346" s="32" t="n">
        <x:f>MIN(J1346,L1346,M1346)</x:f>
        <x:v>12000</x:v>
      </x:c>
      <x:c r="O1346" s="10" t="n">
        <x:f>AE1345*N1346</x:f>
        <x:v>180000</x:v>
      </x:c>
      <x:c r="P1346" s="9" t="n">
        <x:f>MIN(1,(AB1345/(AE1345*IF(v01_GroupInCrowding=1,N1346,MIN(J1346,L1346))))^v01_CrowdingExp)</x:f>
        <x:v>0.000039560677248264875</x:v>
      </x:c>
      <x:c r="Q1346" s="9" t="n">
        <x:f>IF(D1346=1,INDEX(v01_WinterMult,G1346),1)</x:f>
        <x:v>1</x:v>
      </x:c>
      <x:c r="R1346" s="9" t="n">
        <x:f>H1346*Z1345*v01_WomenShare*v01_BaseFertility*INDEX(v01_FertMult,G1346)*Arch_Fertility*(1-P1346)</x:f>
        <x:v>233.8709527222553</x:v>
      </x:c>
      <x:c r="S1346" s="9" t="n">
        <x:f>H1346*Y1345*INDEX(v01_MortChild,G1346)/4*Q1346</x:f>
        <x:v>9.255954870436028</x:v>
      </x:c>
      <x:c r="T1346" s="9" t="n">
        <x:f>H1346*Z1345*INDEX(v01_MortAdult,G1346)*Arch_AdultMort/4*Q1346</x:f>
        <x:v>8.859098681119972</x:v>
      </x:c>
      <x:c r="U1346" s="9" t="n">
        <x:f>H1346*AA1345*INDEX(v01_MortElder,G1346)/4*Q1346</x:f>
        <x:v>41.9409773535845</x:v>
      </x:c>
      <x:c r="V1346" s="9" t="n">
        <x:f>H1346*MAX(0,AB1345-O1346)*v01_OvercapLoss</x:f>
        <x:v>0</x:v>
      </x:c>
      <x:c r="W1346" s="9" t="n">
        <x:f>H1346*Y1345/(v01_ChildYears*4)</x:f>
        <x:v>220.3798778675245</x:v>
      </x:c>
      <x:c r="X1346" s="9" t="n">
        <x:f>H1346*Z1345/(v01_AdultYears*4)</x:f>
        <x:v>114.31095072412867</x:v>
      </x:c>
      <x:c r="Y1346" s="32" t="n">
        <x:f>Y1345+R1346-S1346-W1346-Y1345*V1346/AB1345</x:f>
        <x:v>12345.508280565666</x:v>
      </x:c>
      <x:c r="Z1346" s="32" t="n">
        <x:f>Z1345+W1346-X1346-T1346-Z1345*V1346/AB1345</x:f>
        <x:v>14271.767718254232</x:v>
      </x:c>
      <x:c r="AA1346" s="32" t="n">
        <x:f>AA1345+X1346-U1346-AA1345*V1346/AB1345</x:f>
        <x:v>6782.926349944064</x:v>
      </x:c>
      <x:c r="AB1346" s="10" t="n">
        <x:f>Y1346+Z1346+AA1346</x:f>
        <x:v>33400.20234876396</x:v>
      </x:c>
      <x:c r="AC1346" s="8" t="n">
        <x:f>IF(AND(v01_WinterTrigger=1,D1346=1,AB1345/AE1345&gt;=K1346),1,0)</x:f>
        <x:v>0</x:v>
      </x:c>
      <x:c r="AD1346" s="8" t="n">
        <x:f>H1346*IF(AND(OR(AB1345/AE1345&gt;=v01_FissionTrigger*N1346,AC1346=1),AB1345/AE1345*v01_DaughterShare&gt;=v01_MinDaughter),MAX(1,ROUND(AE1345*v01_FissionRate,0)),0)</x:f>
        <x:v>0</x:v>
      </x:c>
      <x:c r="AE1346" s="8" t="n">
        <x:f>IF(H1346=1,MAX(1,MIN(INDEX(v01_Smax,G1346),AE1345+AD1346)),AE1345)</x:f>
        <x:v>15</x:v>
      </x:c>
      <x:c r="AF1346" s="8" t="n">
        <x:f>MAX(0,AE1346-AE1345)</x:f>
        <x:v>0</x:v>
      </x:c>
      <x:c r="AG1346" s="9" t="str">
        <x:f>IF(AF1346&gt;0,B1346,"")</x:f>
      </x:c>
      <x:c r="AH1346" s="9" t="n">
        <x:f>IF(F1346&gt;=1,1,(1+v01_LowTiesShare*(AE1346-1))/AE1346)</x:f>
        <x:v>1</x:v>
      </x:c>
      <x:c r="AI1346" s="32" t="n">
        <x:f>(Z1346+v01_ElderCommons*INDEX(LM_Elder,G1346)*AA1346)*AH1346</x:f>
        <x:v>40949.242114408495</x:v>
      </x:c>
      <x:c r="AJ1346" s="32" t="n">
        <x:f>H1346*v01_CommonsCoef*AI1346^v01_CommonsExp*INDEX(LM_Commons,G1346)</x:f>
        <x:v>22351.62174214372</x:v>
      </x:c>
      <x:c r="AK1346" s="32" t="n">
        <x:f>H1346*v01_RoleScale*Arch_Roles*(AE1346*(INDEX(v01_ElderRolePerSett,G1346)*v01_OutElder*INDEX(LM_Elder,G1346)+INDEX(v01_ShamanPerSett,G1346)*v01_OutShaman)+Z1346*(INDEX(v01_PriestShare,G1346)*v01_OutPriest+INDEX(v01_ScribeShare,G1346)*v01_OutScribe*INDEX(LM_Scribe,G1346)+INDEX(v01_ScholarShare,G1346)*v01_OutScholar*INDEX(LM_Scholar,G1346)+INDEX(v01_ResearcherShare,G1346)*v01_OutResearcher*INDEX(LM_Researcher,G1346)))</x:f>
        <x:v>6476.916344882598</x:v>
      </x:c>
      <x:c r="AL1346" s="32" t="n">
        <x:f>H1346*v01_RoleScale*Arch_Roles*AE1346*INDEX(v01_MonasteryPerSett,G1346)*v01_OutMonastery*INDEX(LM_Monastery,G1346)</x:f>
        <x:v>3.3000000000000003</x:v>
      </x:c>
      <x:c r="AM1346" s="32" t="n">
        <x:f>(AJ1346+AK1346+AL1346)/4*INDEX(LM_All,G1346)*INDEX(v01_Boon,G1346)*Arch_Insight</x:f>
        <x:v>24967.576628345047</x:v>
      </x:c>
      <x:c r="AN1346" s="32" t="n">
        <x:f>H1346*(v01_KHPerAdult*Z1346+v01_KHOfCommons*AJ1346/4*INDEX(LM_All,G1346))*v01_KHUsable*Arch_KH</x:f>
        <x:v>499.5118701388981</x:v>
      </x:c>
      <x:c r="AO1346" s="32" t="n">
        <x:f>MIN(AP1345+AN1346,AM1346*v01_KHMaxRatio)</x:f>
        <x:v>499.5118701388981</x:v>
      </x:c>
      <x:c r="AP1346" s="32" t="n">
        <x:f>AP1345+AN1346-AO1346</x:f>
        <x:v>0</x:v>
      </x:c>
      <x:c r="AQ1346" s="32" t="n">
        <x:f>AM1346+AO1346</x:f>
        <x:v>25467.088498483943</x:v>
      </x:c>
      <x:c r="AR1346" s="10" t="n">
        <x:f>IF(H1346=1,INDEX(v01_Req,G1346),0)</x:f>
        <x:v>1845340.8943637449</x:v>
      </x:c>
      <x:c r="AS1346" s="32" t="n">
        <x:f>IF(H1346=1,IF(E1346=1,AS1345-AR1345,AS1345)+AQ1346,0)</x:f>
        <x:v>63923.30756303788</x:v>
      </x:c>
      <x:c r="AT1346" s="11" t="n">
        <x:f>IF(AR1346&gt;0,MIN(1,AS1346/AR1346),1)</x:f>
        <x:v>0.03464037878219677</x:v>
      </x:c>
      <x:c r="AU1346" s="10" t="n">
        <x:f>AB1346/INDEX(v01_RepScale,G1346)</x:f>
        <x:v>66.80040469752792</x:v>
      </x:c>
      <x:c r="AV1346" s="32" t="n">
        <x:f>AM1346*60/v01_SeasonSeconds</x:f>
        <x:v>99870.30651338019</x:v>
      </x:c>
    </x:row>
    <x:row r="1347">
      <x:c r="A1347" s="8" t="n">
        <x:f>A1346+1</x:f>
        <x:v>1344</x:v>
      </x:c>
      <x:c r="B1347" s="9" t="n">
        <x:f>A1347*v01_SeasonSeconds/60</x:f>
        <x:v>336</x:v>
      </x:c>
      <x:c r="C1347" s="9" t="n">
        <x:f>A1347/4</x:f>
        <x:v>336</x:v>
      </x:c>
      <x:c r="D1347" s="8" t="n">
        <x:f>IF(MOD(A1347,4)=0,1,0)</x:f>
        <x:v>1</x:v>
      </x:c>
      <x:c r="E1347" s="8" t="n">
        <x:f>IF(AND(F1346&lt;=9,AS1346&gt;=AR1346),1,0)</x:f>
        <x:v>0</x:v>
      </x:c>
      <x:c r="F1347" s="8" t="n">
        <x:f>MIN(10,F1346+E1347)</x:f>
        <x:v>9</x:v>
      </x:c>
      <x:c r="G1347" s="8" t="n">
        <x:f>MIN(F1347,9)+1</x:f>
        <x:v>10</x:v>
      </x:c>
      <x:c r="H1347" s="8" t="n">
        <x:f>IF(F1347&lt;=9,1,0)</x:f>
        <x:v>1</x:v>
      </x:c>
      <x:c r="I1347" s="9" t="n">
        <x:f>MIN(10,F1346+IF(AR1346&gt;0,MIN(1,AS1346/AR1346),1))</x:f>
        <x:v>9.034640378782196</x:v>
      </x:c>
      <x:c r="J1347" s="32" t="n">
        <x:f>INDEX(v01_FoodCap,G1347)*Arch_FoodCap*EXP(v01_CapsByProject*SUMPRODUCT((Cap_Point&lt;=I1347)*(Cap_Kind="Food")*Cap_Ln))</x:f>
        <x:v>12000</x:v>
      </x:c>
      <x:c r="K1347" s="32" t="n">
        <x:f>J1347*MIN(1,v01_LeanBase*EXP(v01_CapsByProject*SUMPRODUCT((Cap_Point&lt;=I1347)*(Cap_Kind="Lean")*Cap_Ln)))</x:f>
        <x:v>12000</x:v>
      </x:c>
      <x:c r="L1347" s="10" t="n">
        <x:f>INDEX(v01_HousingCap,G1347)*EXP(v01_CapsByProject*SUMPRODUCT((Cap_Point&lt;=I1347)*(Cap_Kind="Housing")*Cap_Ln))</x:f>
        <x:v>20000</x:v>
      </x:c>
      <x:c r="M1347" s="10" t="n">
        <x:f>INDEX(v01_GroupCap,G1347)*v01_CohesionFactor*EXP(v01_CapsByProject*SUMPRODUCT((Cap_Point&lt;=I1347)*(Cap_Kind="Group")*Cap_Ln))</x:f>
        <x:v>1000000</x:v>
      </x:c>
      <x:c r="N1347" s="32" t="n">
        <x:f>MIN(J1347,L1347,M1347)</x:f>
        <x:v>12000</x:v>
      </x:c>
      <x:c r="O1347" s="10" t="n">
        <x:f>AE1346*N1347</x:f>
        <x:v>180000</x:v>
      </x:c>
      <x:c r="P1347" s="9" t="n">
        <x:f>MIN(1,(AB1346/(AE1346*IF(v01_GroupInCrowding=1,N1347,MIN(J1347,L1347))))^v01_CrowdingExp)</x:f>
        <x:v>0.00004081873644072203</x:v>
      </x:c>
      <x:c r="Q1347" s="9" t="n">
        <x:f>IF(D1347=1,INDEX(v01_WinterMult,G1347),1)</x:f>
        <x:v>1</x:v>
      </x:c>
      <x:c r="R1347" s="9" t="n">
        <x:f>H1347*Z1346*v01_WomenShare*v01_BaseFertility*INDEX(v01_FertMult,G1347)*Arch_Fertility*(1-P1347)</x:f>
        <x:v>235.47455518503176</x:v>
      </x:c>
      <x:c r="S1347" s="9" t="n">
        <x:f>H1347*Y1346*INDEX(v01_MortChild,G1347)/4*Q1347</x:f>
        <x:v>9.259131210424249</x:v>
      </x:c>
      <x:c r="T1347" s="9" t="n">
        <x:f>H1347*Z1346*INDEX(v01_MortAdult,G1347)*Arch_AdultMort/4*Q1347</x:f>
        <x:v>8.919854823908896</x:v>
      </x:c>
      <x:c r="U1347" s="9" t="n">
        <x:f>H1347*AA1346*INDEX(v01_MortElder,G1347)/4*Q1347</x:f>
        <x:v>42.3932896871504</x:v>
      </x:c>
      <x:c r="V1347" s="9" t="n">
        <x:f>H1347*MAX(0,AB1346-O1347)*v01_OvercapLoss</x:f>
        <x:v>0</x:v>
      </x:c>
      <x:c r="W1347" s="9" t="n">
        <x:f>H1347*Y1346/(v01_ChildYears*4)</x:f>
        <x:v>220.45550501010118</x:v>
      </x:c>
      <x:c r="X1347" s="9" t="n">
        <x:f>H1347*Z1346/(v01_AdultYears*4)</x:f>
        <x:v>115.09490095366316</x:v>
      </x:c>
      <x:c r="Y1347" s="32" t="n">
        <x:f>Y1346+R1347-S1347-W1347-Y1346*V1347/AB1346</x:f>
        <x:v>12351.268199530172</x:v>
      </x:c>
      <x:c r="Z1347" s="32" t="n">
        <x:f>Z1346+W1347-X1347-T1347-Z1346*V1347/AB1346</x:f>
        <x:v>14368.20846748676</x:v>
      </x:c>
      <x:c r="AA1347" s="32" t="n">
        <x:f>AA1346+X1347-U1347-AA1346*V1347/AB1346</x:f>
        <x:v>6855.627961210577</x:v>
      </x:c>
      <x:c r="AB1347" s="10" t="n">
        <x:f>Y1347+Z1347+AA1347</x:f>
        <x:v>33575.10462822751</x:v>
      </x:c>
      <x:c r="AC1347" s="8" t="n">
        <x:f>IF(AND(v01_WinterTrigger=1,D1347=1,AB1346/AE1346&gt;=K1347),1,0)</x:f>
        <x:v>0</x:v>
      </x:c>
      <x:c r="AD1347" s="8" t="n">
        <x:f>H1347*IF(AND(OR(AB1346/AE1346&gt;=v01_FissionTrigger*N1347,AC1347=1),AB1346/AE1346*v01_DaughterShare&gt;=v01_MinDaughter),MAX(1,ROUND(AE1346*v01_FissionRate,0)),0)</x:f>
        <x:v>0</x:v>
      </x:c>
      <x:c r="AE1347" s="8" t="n">
        <x:f>IF(H1347=1,MAX(1,MIN(INDEX(v01_Smax,G1347),AE1346+AD1347)),AE1346)</x:f>
        <x:v>15</x:v>
      </x:c>
      <x:c r="AF1347" s="8" t="n">
        <x:f>MAX(0,AE1347-AE1346)</x:f>
        <x:v>0</x:v>
      </x:c>
      <x:c r="AG1347" s="9" t="str">
        <x:f>IF(AF1347&gt;0,B1347,"")</x:f>
      </x:c>
      <x:c r="AH1347" s="9" t="n">
        <x:f>IF(F1347&gt;=1,1,(1+v01_LowTiesShare*(AE1347-1))/AE1347)</x:f>
        <x:v>1</x:v>
      </x:c>
      <x:c r="AI1347" s="32" t="n">
        <x:f>(Z1347+v01_ElderCommons*INDEX(LM_Elder,G1347)*AA1347)*AH1347</x:f>
        <x:v>41331.62071303807</x:v>
      </x:c>
      <x:c r="AJ1347" s="32" t="n">
        <x:f>H1347*v01_CommonsCoef*AI1347^v01_CommonsExp*INDEX(LM_Commons,G1347)</x:f>
        <x:v>22528.906948646225</x:v>
      </x:c>
      <x:c r="AK1347" s="32" t="n">
        <x:f>H1347*v01_RoleScale*Arch_Roles*(AE1347*(INDEX(v01_ElderRolePerSett,G1347)*v01_OutElder*INDEX(LM_Elder,G1347)+INDEX(v01_ShamanPerSett,G1347)*v01_OutShaman)+Z1347*(INDEX(v01_PriestShare,G1347)*v01_OutPriest+INDEX(v01_ScribeShare,G1347)*v01_OutScribe*INDEX(LM_Scribe,G1347)+INDEX(v01_ScholarShare,G1347)*v01_OutScholar*INDEX(LM_Scholar,G1347)+INDEX(v01_ResearcherShare,G1347)*v01_OutResearcher*INDEX(LM_Researcher,G1347)))</x:f>
        <x:v>6520.332407657106</x:v>
      </x:c>
      <x:c r="AL1347" s="32" t="n">
        <x:f>H1347*v01_RoleScale*Arch_Roles*AE1347*INDEX(v01_MonasteryPerSett,G1347)*v01_OutMonastery*INDEX(LM_Monastery,G1347)</x:f>
        <x:v>3.3000000000000003</x:v>
      </x:c>
      <x:c r="AM1347" s="32" t="n">
        <x:f>(AJ1347+AK1347+AL1347)/4*INDEX(LM_All,G1347)*INDEX(v01_Boon,G1347)*Arch_Insight</x:f>
        <x:v>25158.697840805187</x:v>
      </x:c>
      <x:c r="AN1347" s="32" t="n">
        <x:f>H1347*(v01_KHPerAdult*Z1347+v01_KHOfCommons*AJ1347/4*INDEX(LM_All,G1347))*v01_KHUsable*Arch_KH</x:f>
        <x:v>502.8872963620366</x:v>
      </x:c>
      <x:c r="AO1347" s="32" t="n">
        <x:f>MIN(AP1346+AN1347,AM1347*v01_KHMaxRatio)</x:f>
        <x:v>502.8872963620366</x:v>
      </x:c>
      <x:c r="AP1347" s="32" t="n">
        <x:f>AP1346+AN1347-AO1347</x:f>
        <x:v>0</x:v>
      </x:c>
      <x:c r="AQ1347" s="32" t="n">
        <x:f>AM1347+AO1347</x:f>
        <x:v>25661.585137167225</x:v>
      </x:c>
      <x:c r="AR1347" s="10" t="n">
        <x:f>IF(H1347=1,INDEX(v01_Req,G1347),0)</x:f>
        <x:v>1845340.8943637449</x:v>
      </x:c>
      <x:c r="AS1347" s="32" t="n">
        <x:f>IF(H1347=1,IF(E1347=1,AS1346-AR1346,AS1346)+AQ1347,0)</x:f>
        <x:v>89584.8927002051</x:v>
      </x:c>
      <x:c r="AT1347" s="11" t="n">
        <x:f>IF(AR1347&gt;0,MIN(1,AS1347/AR1347),1)</x:f>
        <x:v>0.04854652762198341</x:v>
      </x:c>
      <x:c r="AU1347" s="10" t="n">
        <x:f>AB1347/INDEX(v01_RepScale,G1347)</x:f>
        <x:v>67.15020925645503</x:v>
      </x:c>
      <x:c r="AV1347" s="32" t="n">
        <x:f>AM1347*60/v01_SeasonSeconds</x:f>
        <x:v>100634.79136322075</x:v>
      </x:c>
    </x:row>
    <x:row r="1348">
      <x:c r="A1348" s="8" t="n">
        <x:f>A1347+1</x:f>
        <x:v>1345</x:v>
      </x:c>
      <x:c r="B1348" s="9" t="n">
        <x:f>A1348*v01_SeasonSeconds/60</x:f>
        <x:v>336.25</x:v>
      </x:c>
      <x:c r="C1348" s="9" t="n">
        <x:f>A1348/4</x:f>
        <x:v>336.25</x:v>
      </x:c>
      <x:c r="D1348" s="8" t="n">
        <x:f>IF(MOD(A1348,4)=0,1,0)</x:f>
        <x:v>0</x:v>
      </x:c>
      <x:c r="E1348" s="8" t="n">
        <x:f>IF(AND(F1347&lt;=9,AS1347&gt;=AR1347),1,0)</x:f>
        <x:v>0</x:v>
      </x:c>
      <x:c r="F1348" s="8" t="n">
        <x:f>MIN(10,F1347+E1348)</x:f>
        <x:v>9</x:v>
      </x:c>
      <x:c r="G1348" s="8" t="n">
        <x:f>MIN(F1348,9)+1</x:f>
        <x:v>10</x:v>
      </x:c>
      <x:c r="H1348" s="8" t="n">
        <x:f>IF(F1348&lt;=9,1,0)</x:f>
        <x:v>1</x:v>
      </x:c>
      <x:c r="I1348" s="9" t="n">
        <x:f>MIN(10,F1347+IF(AR1347&gt;0,MIN(1,AS1347/AR1347),1))</x:f>
        <x:v>9.048546527621983</x:v>
      </x:c>
      <x:c r="J1348" s="32" t="n">
        <x:f>INDEX(v01_FoodCap,G1348)*Arch_FoodCap*EXP(v01_CapsByProject*SUMPRODUCT((Cap_Point&lt;=I1348)*(Cap_Kind="Food")*Cap_Ln))</x:f>
        <x:v>12000</x:v>
      </x:c>
      <x:c r="K1348" s="32" t="n">
        <x:f>J1348*MIN(1,v01_LeanBase*EXP(v01_CapsByProject*SUMPRODUCT((Cap_Point&lt;=I1348)*(Cap_Kind="Lean")*Cap_Ln)))</x:f>
        <x:v>12000</x:v>
      </x:c>
      <x:c r="L1348" s="10" t="n">
        <x:f>INDEX(v01_HousingCap,G1348)*EXP(v01_CapsByProject*SUMPRODUCT((Cap_Point&lt;=I1348)*(Cap_Kind="Housing")*Cap_Ln))</x:f>
        <x:v>20000</x:v>
      </x:c>
      <x:c r="M1348" s="10" t="n">
        <x:f>INDEX(v01_GroupCap,G1348)*v01_CohesionFactor*EXP(v01_CapsByProject*SUMPRODUCT((Cap_Point&lt;=I1348)*(Cap_Kind="Group")*Cap_Ln))</x:f>
        <x:v>1000000</x:v>
      </x:c>
      <x:c r="N1348" s="32" t="n">
        <x:f>MIN(J1348,L1348,M1348)</x:f>
        <x:v>12000</x:v>
      </x:c>
      <x:c r="O1348" s="10" t="n">
        <x:f>AE1347*N1348</x:f>
        <x:v>180000</x:v>
      </x:c>
      <x:c r="P1348" s="9" t="n">
        <x:f>MIN(1,(AB1347/(AE1347*IF(v01_GroupInCrowding=1,N1348,MIN(J1348,L1348))))^v01_CrowdingExp)</x:f>
        <x:v>0.00004211814327793016</x:v>
      </x:c>
      <x:c r="Q1348" s="9" t="n">
        <x:f>IF(D1348=1,INDEX(v01_WinterMult,G1348),1)</x:f>
        <x:v>1</x:v>
      </x:c>
      <x:c r="R1348" s="9" t="n">
        <x:f>H1348*Z1347*v01_WomenShare*v01_BaseFertility*INDEX(v01_FertMult,G1348)*Arch_Fertility*(1-P1348)</x:f>
        <x:v>237.065454536194</x:v>
      </x:c>
      <x:c r="S1348" s="9" t="n">
        <x:f>H1348*Y1347*INDEX(v01_MortChild,G1348)/4*Q1348</x:f>
        <x:v>9.26345114964763</x:v>
      </x:c>
      <x:c r="T1348" s="9" t="n">
        <x:f>H1348*Z1347*INDEX(v01_MortAdult,G1348)*Arch_AdultMort/4*Q1348</x:f>
        <x:v>8.980130292179226</x:v>
      </x:c>
      <x:c r="U1348" s="9" t="n">
        <x:f>H1348*AA1347*INDEX(v01_MortElder,G1348)/4*Q1348</x:f>
        <x:v>42.84767475756611</x:v>
      </x:c>
      <x:c r="V1348" s="9" t="n">
        <x:f>H1348*MAX(0,AB1347-O1348)*v01_OvercapLoss</x:f>
        <x:v>0</x:v>
      </x:c>
      <x:c r="W1348" s="9" t="n">
        <x:f>H1348*Y1347/(v01_ChildYears*4)</x:f>
        <x:v>220.55836070589592</x:v>
      </x:c>
      <x:c r="X1348" s="9" t="n">
        <x:f>H1348*Z1347/(v01_AdultYears*4)</x:f>
        <x:v>115.87264893134484</x:v>
      </x:c>
      <x:c r="Y1348" s="32" t="n">
        <x:f>Y1347+R1348-S1348-W1348-Y1347*V1348/AB1347</x:f>
        <x:v>12358.511842210823</x:v>
      </x:c>
      <x:c r="Z1348" s="32" t="n">
        <x:f>Z1347+W1348-X1348-T1348-Z1347*V1348/AB1347</x:f>
        <x:v>14463.914048969133</x:v>
      </x:c>
      <x:c r="AA1348" s="32" t="n">
        <x:f>AA1347+X1348-U1348-AA1347*V1348/AB1347</x:f>
        <x:v>6928.652935384356</x:v>
      </x:c>
      <x:c r="AB1348" s="10" t="n">
        <x:f>Y1348+Z1348+AA1348</x:f>
        <x:v>33751.07882656431</x:v>
      </x:c>
      <x:c r="AC1348" s="8" t="n">
        <x:f>IF(AND(v01_WinterTrigger=1,D1348=1,AB1347/AE1347&gt;=K1348),1,0)</x:f>
        <x:v>0</x:v>
      </x:c>
      <x:c r="AD1348" s="8" t="n">
        <x:f>H1348*IF(AND(OR(AB1347/AE1347&gt;=v01_FissionTrigger*N1348,AC1348=1),AB1347/AE1347*v01_DaughterShare&gt;=v01_MinDaughter),MAX(1,ROUND(AE1347*v01_FissionRate,0)),0)</x:f>
        <x:v>0</x:v>
      </x:c>
      <x:c r="AE1348" s="8" t="n">
        <x:f>IF(H1348=1,MAX(1,MIN(INDEX(v01_Smax,G1348),AE1347+AD1348)),AE1347)</x:f>
        <x:v>15</x:v>
      </x:c>
      <x:c r="AF1348" s="8" t="n">
        <x:f>MAX(0,AE1348-AE1347)</x:f>
        <x:v>0</x:v>
      </x:c>
      <x:c r="AG1348" s="9" t="str">
        <x:f>IF(AF1348&gt;0,B1348,"")</x:f>
      </x:c>
      <x:c r="AH1348" s="9" t="n">
        <x:f>IF(F1348&gt;=1,1,(1+v01_LowTiesShare*(AE1348-1))/AE1348)</x:f>
        <x:v>1</x:v>
      </x:c>
      <x:c r="AI1348" s="32" t="n">
        <x:f>(Z1348+v01_ElderCommons*INDEX(LM_Elder,G1348)*AA1348)*AH1348</x:f>
        <x:v>41714.535940961156</x:v>
      </x:c>
      <x:c r="AJ1348" s="32" t="n">
        <x:f>H1348*v01_CommonsCoef*AI1348^v01_CommonsExp*INDEX(LM_Commons,G1348)</x:f>
        <x:v>22706.194584568457</x:v>
      </x:c>
      <x:c r="AK1348" s="32" t="n">
        <x:f>H1348*v01_RoleScale*Arch_Roles*(AE1348*(INDEX(v01_ElderRolePerSett,G1348)*v01_OutElder*INDEX(LM_Elder,G1348)+INDEX(v01_ShamanPerSett,G1348)*v01_OutShaman)+Z1348*(INDEX(v01_PriestShare,G1348)*v01_OutPriest+INDEX(v01_ScribeShare,G1348)*v01_OutScribe*INDEX(LM_Scribe,G1348)+INDEX(v01_ScholarShare,G1348)*v01_OutScholar*INDEX(LM_Scholar,G1348)+INDEX(v01_ResearcherShare,G1348)*v01_OutResearcher*INDEX(LM_Researcher,G1348)))</x:f>
        <x:v>6563.417509821659</x:v>
      </x:c>
      <x:c r="AL1348" s="32" t="n">
        <x:f>H1348*v01_RoleScale*Arch_Roles*AE1348*INDEX(v01_MonasteryPerSett,G1348)*v01_OutMonastery*INDEX(LM_Monastery,G1348)</x:f>
        <x:v>3.3000000000000003</x:v>
      </x:c>
      <x:c r="AM1348" s="32" t="n">
        <x:f>(AJ1348+AK1348+AL1348)/4*INDEX(LM_All,G1348)*INDEX(v01_Boon,G1348)*Arch_Insight</x:f>
        <x:v>25349.534554315167</x:v>
      </x:c>
      <x:c r="AN1348" s="32" t="n">
        <x:f>H1348*(v01_KHPerAdult*Z1348+v01_KHOfCommons*AJ1348/4*INDEX(LM_All,G1348))*v01_KHUsable*Arch_KH</x:f>
        <x:v>506.2369917139197</x:v>
      </x:c>
      <x:c r="AO1348" s="32" t="n">
        <x:f>MIN(AP1347+AN1348,AM1348*v01_KHMaxRatio)</x:f>
        <x:v>506.2369917139197</x:v>
      </x:c>
      <x:c r="AP1348" s="32" t="n">
        <x:f>AP1347+AN1348-AO1348</x:f>
        <x:v>0</x:v>
      </x:c>
      <x:c r="AQ1348" s="32" t="n">
        <x:f>AM1348+AO1348</x:f>
        <x:v>25855.771546029086</x:v>
      </x:c>
      <x:c r="AR1348" s="10" t="n">
        <x:f>IF(H1348=1,INDEX(v01_Req,G1348),0)</x:f>
        <x:v>1845340.8943637449</x:v>
      </x:c>
      <x:c r="AS1348" s="32" t="n">
        <x:f>IF(H1348=1,IF(E1348=1,AS1347-AR1347,AS1347)+AQ1348,0)</x:f>
        <x:v>115440.6642462342</x:v>
      </x:c>
      <x:c r="AT1348" s="11" t="n">
        <x:f>IF(AR1348&gt;0,MIN(1,AS1348/AR1348),1)</x:f>
        <x:v>0.06255790710476668</x:v>
      </x:c>
      <x:c r="AU1348" s="10" t="n">
        <x:f>AB1348/INDEX(v01_RepScale,G1348)</x:f>
        <x:v>67.50215765312862</x:v>
      </x:c>
      <x:c r="AV1348" s="32" t="n">
        <x:f>AM1348*60/v01_SeasonSeconds</x:f>
        <x:v>101398.13821726067</x:v>
      </x:c>
    </x:row>
    <x:row r="1349">
      <x:c r="A1349" s="8" t="n">
        <x:f>A1348+1</x:f>
        <x:v>1346</x:v>
      </x:c>
      <x:c r="B1349" s="9" t="n">
        <x:f>A1349*v01_SeasonSeconds/60</x:f>
        <x:v>336.5</x:v>
      </x:c>
      <x:c r="C1349" s="9" t="n">
        <x:f>A1349/4</x:f>
        <x:v>336.5</x:v>
      </x:c>
      <x:c r="D1349" s="8" t="n">
        <x:f>IF(MOD(A1349,4)=0,1,0)</x:f>
        <x:v>0</x:v>
      </x:c>
      <x:c r="E1349" s="8" t="n">
        <x:f>IF(AND(F1348&lt;=9,AS1348&gt;=AR1348),1,0)</x:f>
        <x:v>0</x:v>
      </x:c>
      <x:c r="F1349" s="8" t="n">
        <x:f>MIN(10,F1348+E1349)</x:f>
        <x:v>9</x:v>
      </x:c>
      <x:c r="G1349" s="8" t="n">
        <x:f>MIN(F1349,9)+1</x:f>
        <x:v>10</x:v>
      </x:c>
      <x:c r="H1349" s="8" t="n">
        <x:f>IF(F1349&lt;=9,1,0)</x:f>
        <x:v>1</x:v>
      </x:c>
      <x:c r="I1349" s="9" t="n">
        <x:f>MIN(10,F1348+IF(AR1348&gt;0,MIN(1,AS1348/AR1348),1))</x:f>
        <x:v>9.062557907104766</x:v>
      </x:c>
      <x:c r="J1349" s="32" t="n">
        <x:f>INDEX(v01_FoodCap,G1349)*Arch_FoodCap*EXP(v01_CapsByProject*SUMPRODUCT((Cap_Point&lt;=I1349)*(Cap_Kind="Food")*Cap_Ln))</x:f>
        <x:v>12000</x:v>
      </x:c>
      <x:c r="K1349" s="32" t="n">
        <x:f>J1349*MIN(1,v01_LeanBase*EXP(v01_CapsByProject*SUMPRODUCT((Cap_Point&lt;=I1349)*(Cap_Kind="Lean")*Cap_Ln)))</x:f>
        <x:v>12000</x:v>
      </x:c>
      <x:c r="L1349" s="10" t="n">
        <x:f>INDEX(v01_HousingCap,G1349)*EXP(v01_CapsByProject*SUMPRODUCT((Cap_Point&lt;=I1349)*(Cap_Kind="Housing")*Cap_Ln))</x:f>
        <x:v>20000</x:v>
      </x:c>
      <x:c r="M1349" s="10" t="n">
        <x:f>INDEX(v01_GroupCap,G1349)*v01_CohesionFactor*EXP(v01_CapsByProject*SUMPRODUCT((Cap_Point&lt;=I1349)*(Cap_Kind="Group")*Cap_Ln))</x:f>
        <x:v>1000000</x:v>
      </x:c>
      <x:c r="N1349" s="32" t="n">
        <x:f>MIN(J1349,L1349,M1349)</x:f>
        <x:v>12000</x:v>
      </x:c>
      <x:c r="O1349" s="10" t="n">
        <x:f>AE1348*N1349</x:f>
        <x:v>180000</x:v>
      </x:c>
      <x:c r="P1349" s="9" t="n">
        <x:f>MIN(1,(AB1348/(AE1348*IF(v01_GroupInCrowding=1,N1349,MIN(J1349,L1349))))^v01_CrowdingExp)</x:f>
        <x:v>0.000043460120385666605</x:v>
      </x:c>
      <x:c r="Q1349" s="9" t="n">
        <x:f>IF(D1349=1,INDEX(v01_WinterMult,G1349),1)</x:f>
        <x:v>1</x:v>
      </x:c>
      <x:c r="R1349" s="9" t="n">
        <x:f>H1349*Z1348*v01_WomenShare*v01_BaseFertility*INDEX(v01_FertMult,G1349)*Arch_Fertility*(1-P1349)</x:f>
        <x:v>238.64420985113475</x:v>
      </x:c>
      <x:c r="S1349" s="9" t="n">
        <x:f>H1349*Y1348*INDEX(v01_MortChild,G1349)/4*Q1349</x:f>
        <x:v>9.268883881658118</x:v>
      </x:c>
      <x:c r="T1349" s="9" t="n">
        <x:f>H1349*Z1348*INDEX(v01_MortAdult,G1349)*Arch_AdultMort/4*Q1349</x:f>
        <x:v>9.039946280605708</x:v>
      </x:c>
      <x:c r="U1349" s="9" t="n">
        <x:f>H1349*AA1348*INDEX(v01_MortElder,G1349)/4*Q1349</x:f>
        <x:v>43.30408084615223</x:v>
      </x:c>
      <x:c r="V1349" s="9" t="n">
        <x:f>H1349*MAX(0,AB1348-O1349)*v01_OvercapLoss</x:f>
        <x:v>0</x:v>
      </x:c>
      <x:c r="W1349" s="9" t="n">
        <x:f>H1349*Y1348/(v01_ChildYears*4)</x:f>
        <x:v>220.6877114680504</x:v>
      </x:c>
      <x:c r="X1349" s="9" t="n">
        <x:f>H1349*Z1348/(v01_AdultYears*4)</x:f>
        <x:v>116.64446813684785</x:v>
      </x:c>
      <x:c r="Y1349" s="32" t="n">
        <x:f>Y1348+R1349-S1349-W1349-Y1348*V1349/AB1348</x:f>
        <x:v>12367.19945671225</x:v>
      </x:c>
      <x:c r="Z1349" s="32" t="n">
        <x:f>Z1348+W1349-X1349-T1349-Z1348*V1349/AB1348</x:f>
        <x:v>14558.917346019729</x:v>
      </x:c>
      <x:c r="AA1349" s="32" t="n">
        <x:f>AA1348+X1349-U1349-AA1348*V1349/AB1348</x:f>
        <x:v>7001.993322675052</x:v>
      </x:c>
      <x:c r="AB1349" s="10" t="n">
        <x:f>Y1349+Z1349+AA1349</x:f>
        <x:v>33928.11012540703</x:v>
      </x:c>
      <x:c r="AC1349" s="8" t="n">
        <x:f>IF(AND(v01_WinterTrigger=1,D1349=1,AB1348/AE1348&gt;=K1349),1,0)</x:f>
        <x:v>0</x:v>
      </x:c>
      <x:c r="AD1349" s="8" t="n">
        <x:f>H1349*IF(AND(OR(AB1348/AE1348&gt;=v01_FissionTrigger*N1349,AC1349=1),AB1348/AE1348*v01_DaughterShare&gt;=v01_MinDaughter),MAX(1,ROUND(AE1348*v01_FissionRate,0)),0)</x:f>
        <x:v>0</x:v>
      </x:c>
      <x:c r="AE1349" s="8" t="n">
        <x:f>IF(H1349=1,MAX(1,MIN(INDEX(v01_Smax,G1349),AE1348+AD1349)),AE1348)</x:f>
        <x:v>15</x:v>
      </x:c>
      <x:c r="AF1349" s="8" t="n">
        <x:f>MAX(0,AE1349-AE1348)</x:f>
        <x:v>0</x:v>
      </x:c>
      <x:c r="AG1349" s="9" t="str">
        <x:f>IF(AF1349&gt;0,B1349,"")</x:f>
      </x:c>
      <x:c r="AH1349" s="9" t="n">
        <x:f>IF(F1349&gt;=1,1,(1+v01_LowTiesShare*(AE1349-1))/AE1349)</x:f>
        <x:v>1</x:v>
      </x:c>
      <x:c r="AI1349" s="32" t="n">
        <x:f>(Z1349+v01_ElderCommons*INDEX(LM_Elder,G1349)*AA1349)*AH1349</x:f>
        <x:v>42097.989414706906</x:v>
      </x:c>
      <x:c r="AJ1349" s="32" t="n">
        <x:f>H1349*v01_CommonsCoef*AI1349^v01_CommonsExp*INDEX(LM_Commons,G1349)</x:f>
        <x:v>22883.486966604734</x:v>
      </x:c>
      <x:c r="AK1349" s="32" t="n">
        <x:f>H1349*v01_RoleScale*Arch_Roles*(AE1349*(INDEX(v01_ElderRolePerSett,G1349)*v01_OutElder*INDEX(LM_Elder,G1349)+INDEX(v01_ShamanPerSett,G1349)*v01_OutShaman)+Z1349*(INDEX(v01_PriestShare,G1349)*v01_OutPriest+INDEX(v01_ScribeShare,G1349)*v01_OutScribe*INDEX(LM_Scribe,G1349)+INDEX(v01_ScholarShare,G1349)*v01_OutScholar*INDEX(LM_Scholar,G1349)+INDEX(v01_ResearcherShare,G1349)*v01_OutResearcher*INDEX(LM_Researcher,G1349)))</x:f>
        <x:v>6606.186454913416</x:v>
      </x:c>
      <x:c r="AL1349" s="32" t="n">
        <x:f>H1349*v01_RoleScale*Arch_Roles*AE1349*INDEX(v01_MonasteryPerSett,G1349)*v01_OutMonastery*INDEX(LM_Monastery,G1349)</x:f>
        <x:v>3.3000000000000003</x:v>
      </x:c>
      <x:c r="AM1349" s="32" t="n">
        <x:f>(AJ1349+AK1349+AL1349)/4*INDEX(LM_All,G1349)*INDEX(v01_Boon,G1349)*Arch_Insight</x:f>
        <x:v>25540.101594523294</x:v>
      </x:c>
      <x:c r="AN1349" s="32" t="n">
        <x:f>H1349*(v01_KHPerAdult*Z1349+v01_KHOfCommons*AJ1349/4*INDEX(LM_All,G1349))*v01_KHUsable*Arch_KH</x:f>
        <x:v>509.56210711069053</x:v>
      </x:c>
      <x:c r="AO1349" s="32" t="n">
        <x:f>MIN(AP1348+AN1349,AM1349*v01_KHMaxRatio)</x:f>
        <x:v>509.56210711069053</x:v>
      </x:c>
      <x:c r="AP1349" s="32" t="n">
        <x:f>AP1348+AN1349-AO1349</x:f>
        <x:v>0</x:v>
      </x:c>
      <x:c r="AQ1349" s="32" t="n">
        <x:f>AM1349+AO1349</x:f>
        <x:v>26049.663701633985</x:v>
      </x:c>
      <x:c r="AR1349" s="10" t="n">
        <x:f>IF(H1349=1,INDEX(v01_Req,G1349),0)</x:f>
        <x:v>1845340.8943637449</x:v>
      </x:c>
      <x:c r="AS1349" s="32" t="n">
        <x:f>IF(H1349=1,IF(E1349=1,AS1348-AR1348,AS1348)+AQ1349,0)</x:f>
        <x:v>141490.32794786818</x:v>
      </x:c>
      <x:c r="AT1349" s="11" t="n">
        <x:f>IF(AR1349&gt;0,MIN(1,AS1349/AR1349),1)</x:f>
        <x:v>0.07667435777314881</x:v>
      </x:c>
      <x:c r="AU1349" s="10" t="n">
        <x:f>AB1349/INDEX(v01_RepScale,G1349)</x:f>
        <x:v>67.85622025081406</x:v>
      </x:c>
      <x:c r="AV1349" s="32" t="n">
        <x:f>AM1349*60/v01_SeasonSeconds</x:f>
        <x:v>102160.40637809318</x:v>
      </x:c>
    </x:row>
    <x:row r="1350">
      <x:c r="A1350" s="8" t="n">
        <x:f>A1349+1</x:f>
        <x:v>1347</x:v>
      </x:c>
      <x:c r="B1350" s="9" t="n">
        <x:f>A1350*v01_SeasonSeconds/60</x:f>
        <x:v>336.75</x:v>
      </x:c>
      <x:c r="C1350" s="9" t="n">
        <x:f>A1350/4</x:f>
        <x:v>336.75</x:v>
      </x:c>
      <x:c r="D1350" s="8" t="n">
        <x:f>IF(MOD(A1350,4)=0,1,0)</x:f>
        <x:v>0</x:v>
      </x:c>
      <x:c r="E1350" s="8" t="n">
        <x:f>IF(AND(F1349&lt;=9,AS1349&gt;=AR1349),1,0)</x:f>
        <x:v>0</x:v>
      </x:c>
      <x:c r="F1350" s="8" t="n">
        <x:f>MIN(10,F1349+E1350)</x:f>
        <x:v>9</x:v>
      </x:c>
      <x:c r="G1350" s="8" t="n">
        <x:f>MIN(F1350,9)+1</x:f>
        <x:v>10</x:v>
      </x:c>
      <x:c r="H1350" s="8" t="n">
        <x:f>IF(F1350&lt;=9,1,0)</x:f>
        <x:v>1</x:v>
      </x:c>
      <x:c r="I1350" s="9" t="n">
        <x:f>MIN(10,F1349+IF(AR1349&gt;0,MIN(1,AS1349/AR1349),1))</x:f>
        <x:v>9.076674357773149</x:v>
      </x:c>
      <x:c r="J1350" s="32" t="n">
        <x:f>INDEX(v01_FoodCap,G1350)*Arch_FoodCap*EXP(v01_CapsByProject*SUMPRODUCT((Cap_Point&lt;=I1350)*(Cap_Kind="Food")*Cap_Ln))</x:f>
        <x:v>12000</x:v>
      </x:c>
      <x:c r="K1350" s="32" t="n">
        <x:f>J1350*MIN(1,v01_LeanBase*EXP(v01_CapsByProject*SUMPRODUCT((Cap_Point&lt;=I1350)*(Cap_Kind="Lean")*Cap_Ln)))</x:f>
        <x:v>12000</x:v>
      </x:c>
      <x:c r="L1350" s="10" t="n">
        <x:f>INDEX(v01_HousingCap,G1350)*EXP(v01_CapsByProject*SUMPRODUCT((Cap_Point&lt;=I1350)*(Cap_Kind="Housing")*Cap_Ln))</x:f>
        <x:v>20000</x:v>
      </x:c>
      <x:c r="M1350" s="10" t="n">
        <x:f>INDEX(v01_GroupCap,G1350)*v01_CohesionFactor*EXP(v01_CapsByProject*SUMPRODUCT((Cap_Point&lt;=I1350)*(Cap_Kind="Group")*Cap_Ln))</x:f>
        <x:v>1000000</x:v>
      </x:c>
      <x:c r="N1350" s="32" t="n">
        <x:f>MIN(J1350,L1350,M1350)</x:f>
        <x:v>12000</x:v>
      </x:c>
      <x:c r="O1350" s="10" t="n">
        <x:f>AE1349*N1350</x:f>
        <x:v>180000</x:v>
      </x:c>
      <x:c r="P1350" s="9" t="n">
        <x:f>MIN(1,(AB1349/(AE1349*IF(v01_GroupInCrowding=1,N1350,MIN(J1350,L1350))))^v01_CrowdingExp)</x:f>
        <x:v>0.00004484592476689014</x:v>
      </x:c>
      <x:c r="Q1350" s="9" t="n">
        <x:f>IF(D1350=1,INDEX(v01_WinterMult,G1350),1)</x:f>
        <x:v>1</x:v>
      </x:c>
      <x:c r="R1350" s="9" t="n">
        <x:f>H1350*Z1349*v01_WomenShare*v01_BaseFertility*INDEX(v01_FertMult,G1350)*Arch_Fertility*(1-P1350)</x:f>
        <x:v>240.21136322547775</x:v>
      </x:c>
      <x:c r="S1350" s="9" t="n">
        <x:f>H1350*Y1349*INDEX(v01_MortChild,G1350)/4*Q1350</x:f>
        <x:v>9.275399592534187</x:v>
      </x:c>
      <x:c r="T1350" s="9" t="n">
        <x:f>H1350*Z1349*INDEX(v01_MortAdult,G1350)*Arch_AdultMort/4*Q1350</x:f>
        <x:v>9.09932334126233</x:v>
      </x:c>
      <x:c r="U1350" s="9" t="n">
        <x:f>H1350*AA1349*INDEX(v01_MortElder,G1350)/4*Q1350</x:f>
        <x:v>43.76245826671908</x:v>
      </x:c>
      <x:c r="V1350" s="9" t="n">
        <x:f>H1350*MAX(0,AB1349-O1350)*v01_OvercapLoss</x:f>
        <x:v>0</x:v>
      </x:c>
      <x:c r="W1350" s="9" t="n">
        <x:f>H1350*Y1349/(v01_ChildYears*4)</x:f>
        <x:v>220.84284744129016</x:v>
      </x:c>
      <x:c r="X1350" s="9" t="n">
        <x:f>H1350*Z1349/(v01_AdultYears*4)</x:f>
        <x:v>117.41062375822362</x:v>
      </x:c>
      <x:c r="Y1350" s="32" t="n">
        <x:f>Y1349+R1350-S1350-W1350-Y1349*V1350/AB1349</x:f>
        <x:v>12377.292572903903</x:v>
      </x:c>
      <x:c r="Z1350" s="32" t="n">
        <x:f>Z1349+W1350-X1350-T1350-Z1349*V1350/AB1349</x:f>
        <x:v>14653.250246361533</x:v>
      </x:c>
      <x:c r="AA1350" s="32" t="n">
        <x:f>AA1349+X1350-U1350-AA1349*V1350/AB1349</x:f>
        <x:v>7075.641488166556</x:v>
      </x:c>
      <x:c r="AB1350" s="10" t="n">
        <x:f>Y1350+Z1350+AA1350</x:f>
        <x:v>34106.18430743199</x:v>
      </x:c>
      <x:c r="AC1350" s="8" t="n">
        <x:f>IF(AND(v01_WinterTrigger=1,D1350=1,AB1349/AE1349&gt;=K1350),1,0)</x:f>
        <x:v>0</x:v>
      </x:c>
      <x:c r="AD1350" s="8" t="n">
        <x:f>H1350*IF(AND(OR(AB1349/AE1349&gt;=v01_FissionTrigger*N1350,AC1350=1),AB1349/AE1349*v01_DaughterShare&gt;=v01_MinDaughter),MAX(1,ROUND(AE1349*v01_FissionRate,0)),0)</x:f>
        <x:v>0</x:v>
      </x:c>
      <x:c r="AE1350" s="8" t="n">
        <x:f>IF(H1350=1,MAX(1,MIN(INDEX(v01_Smax,G1350),AE1349+AD1350)),AE1349)</x:f>
        <x:v>15</x:v>
      </x:c>
      <x:c r="AF1350" s="8" t="n">
        <x:f>MAX(0,AE1350-AE1349)</x:f>
        <x:v>0</x:v>
      </x:c>
      <x:c r="AG1350" s="9" t="str">
        <x:f>IF(AF1350&gt;0,B1350,"")</x:f>
      </x:c>
      <x:c r="AH1350" s="9" t="n">
        <x:f>IF(F1350&gt;=1,1,(1+v01_LowTiesShare*(AE1350-1))/AE1350)</x:f>
        <x:v>1</x:v>
      </x:c>
      <x:c r="AI1350" s="32" t="n">
        <x:f>(Z1350+v01_ElderCommons*INDEX(LM_Elder,G1350)*AA1350)*AH1350</x:f>
        <x:v>42481.98299361992</x:v>
      </x:c>
      <x:c r="AJ1350" s="32" t="n">
        <x:f>H1350*v01_CommonsCoef*AI1350^v01_CommonsExp*INDEX(LM_Commons,G1350)</x:f>
        <x:v>23060.78648869745</x:v>
      </x:c>
      <x:c r="AK1350" s="32" t="n">
        <x:f>H1350*v01_RoleScale*Arch_Roles*(AE1350*(INDEX(v01_ElderRolePerSett,G1350)*v01_OutElder*INDEX(LM_Elder,G1350)+INDEX(v01_ShamanPerSett,G1350)*v01_OutShaman)+Z1350*(INDEX(v01_PriestShare,G1350)*v01_OutPriest+INDEX(v01_ScribeShare,G1350)*v01_OutScribe*INDEX(LM_Scribe,G1350)+INDEX(v01_ScholarShare,G1350)*v01_OutScholar*INDEX(LM_Scholar,G1350)+INDEX(v01_ResearcherShare,G1350)*v01_OutResearcher*INDEX(LM_Researcher,G1350)))</x:f>
        <x:v>6648.653598268622</x:v>
      </x:c>
      <x:c r="AL1350" s="32" t="n">
        <x:f>H1350*v01_RoleScale*Arch_Roles*AE1350*INDEX(v01_MonasteryPerSett,G1350)*v01_OutMonastery*INDEX(LM_Monastery,G1350)</x:f>
        <x:v>3.3000000000000003</x:v>
      </x:c>
      <x:c r="AM1350" s="32" t="n">
        <x:f>(AJ1350+AK1350+AL1350)/4*INDEX(LM_All,G1350)*INDEX(v01_Boon,G1350)*Arch_Insight</x:f>
        <x:v>25730.413465842932</x:v>
      </x:c>
      <x:c r="AN1350" s="32" t="n">
        <x:f>H1350*(v01_KHPerAdult*Z1350+v01_KHOfCommons*AJ1350/4*INDEX(LM_All,G1350))*v01_KHUsable*Arch_KH</x:f>
        <x:v>512.8637586226537</x:v>
      </x:c>
      <x:c r="AO1350" s="32" t="n">
        <x:f>MIN(AP1349+AN1350,AM1350*v01_KHMaxRatio)</x:f>
        <x:v>512.8637586226537</x:v>
      </x:c>
      <x:c r="AP1350" s="32" t="n">
        <x:f>AP1349+AN1350-AO1350</x:f>
        <x:v>0</x:v>
      </x:c>
      <x:c r="AQ1350" s="32" t="n">
        <x:f>AM1350+AO1350</x:f>
        <x:v>26243.277224465586</x:v>
      </x:c>
      <x:c r="AR1350" s="10" t="n">
        <x:f>IF(H1350=1,INDEX(v01_Req,G1350),0)</x:f>
        <x:v>1845340.8943637449</x:v>
      </x:c>
      <x:c r="AS1350" s="32" t="n">
        <x:f>IF(H1350=1,IF(E1350=1,AS1349-AR1349,AS1349)+AQ1350,0)</x:f>
        <x:v>167733.60517233377</x:v>
      </x:c>
      <x:c r="AT1350" s="11" t="n">
        <x:f>IF(AR1350&gt;0,MIN(1,AS1350/AR1350),1)</x:f>
        <x:v>0.09089572863455489</x:v>
      </x:c>
      <x:c r="AU1350" s="10" t="n">
        <x:f>AB1350/INDEX(v01_RepScale,G1350)</x:f>
        <x:v>68.21236861486398</x:v>
      </x:c>
      <x:c r="AV1350" s="32" t="n">
        <x:f>AM1350*60/v01_SeasonSeconds</x:f>
        <x:v>102921.65386337173</x:v>
      </x:c>
    </x:row>
    <x:row r="1351">
      <x:c r="A1351" s="8" t="n">
        <x:f>A1350+1</x:f>
        <x:v>1348</x:v>
      </x:c>
      <x:c r="B1351" s="9" t="n">
        <x:f>A1351*v01_SeasonSeconds/60</x:f>
        <x:v>337</x:v>
      </x:c>
      <x:c r="C1351" s="9" t="n">
        <x:f>A1351/4</x:f>
        <x:v>337</x:v>
      </x:c>
      <x:c r="D1351" s="8" t="n">
        <x:f>IF(MOD(A1351,4)=0,1,0)</x:f>
        <x:v>1</x:v>
      </x:c>
      <x:c r="E1351" s="8" t="n">
        <x:f>IF(AND(F1350&lt;=9,AS1350&gt;=AR1350),1,0)</x:f>
        <x:v>0</x:v>
      </x:c>
      <x:c r="F1351" s="8" t="n">
        <x:f>MIN(10,F1350+E1351)</x:f>
        <x:v>9</x:v>
      </x:c>
      <x:c r="G1351" s="8" t="n">
        <x:f>MIN(F1351,9)+1</x:f>
        <x:v>10</x:v>
      </x:c>
      <x:c r="H1351" s="8" t="n">
        <x:f>IF(F1351&lt;=9,1,0)</x:f>
        <x:v>1</x:v>
      </x:c>
      <x:c r="I1351" s="9" t="n">
        <x:f>MIN(10,F1350+IF(AR1350&gt;0,MIN(1,AS1350/AR1350),1))</x:f>
        <x:v>9.090895728634555</x:v>
      </x:c>
      <x:c r="J1351" s="32" t="n">
        <x:f>INDEX(v01_FoodCap,G1351)*Arch_FoodCap*EXP(v01_CapsByProject*SUMPRODUCT((Cap_Point&lt;=I1351)*(Cap_Kind="Food")*Cap_Ln))</x:f>
        <x:v>12000</x:v>
      </x:c>
      <x:c r="K1351" s="32" t="n">
        <x:f>J1351*MIN(1,v01_LeanBase*EXP(v01_CapsByProject*SUMPRODUCT((Cap_Point&lt;=I1351)*(Cap_Kind="Lean")*Cap_Ln)))</x:f>
        <x:v>12000</x:v>
      </x:c>
      <x:c r="L1351" s="10" t="n">
        <x:f>INDEX(v01_HousingCap,G1351)*EXP(v01_CapsByProject*SUMPRODUCT((Cap_Point&lt;=I1351)*(Cap_Kind="Housing")*Cap_Ln))</x:f>
        <x:v>20000</x:v>
      </x:c>
      <x:c r="M1351" s="10" t="n">
        <x:f>INDEX(v01_GroupCap,G1351)*v01_CohesionFactor*EXP(v01_CapsByProject*SUMPRODUCT((Cap_Point&lt;=I1351)*(Cap_Kind="Group")*Cap_Ln))</x:f>
        <x:v>1000000</x:v>
      </x:c>
      <x:c r="N1351" s="32" t="n">
        <x:f>MIN(J1351,L1351,M1351)</x:f>
        <x:v>12000</x:v>
      </x:c>
      <x:c r="O1351" s="10" t="n">
        <x:f>AE1350*N1351</x:f>
        <x:v>180000</x:v>
      </x:c>
      <x:c r="P1351" s="9" t="n">
        <x:f>MIN(1,(AB1350/(AE1350*IF(v01_GroupInCrowding=1,N1351,MIN(J1351,L1351))))^v01_CrowdingExp)</x:f>
        <x:v>0.00004627684868501313</x:v>
      </x:c>
      <x:c r="Q1351" s="9" t="n">
        <x:f>IF(D1351=1,INDEX(v01_WinterMult,G1351),1)</x:f>
        <x:v>1</x:v>
      </x:c>
      <x:c r="R1351" s="9" t="n">
        <x:f>H1351*Z1350*v01_WomenShare*v01_BaseFertility*INDEX(v01_FertMult,G1351)*Arch_Fertility*(1-P1351)</x:f>
        <x:v>241.76744031193283</x:v>
      </x:c>
      <x:c r="S1351" s="9" t="n">
        <x:f>H1351*Y1350*INDEX(v01_MortChild,G1351)/4*Q1351</x:f>
        <x:v>9.282969429677928</x:v>
      </x:c>
      <x:c r="T1351" s="9" t="n">
        <x:f>H1351*Z1350*INDEX(v01_MortAdult,G1351)*Arch_AdultMort/4*Q1351</x:f>
        <x:v>9.158281403975959</x:v>
      </x:c>
      <x:c r="U1351" s="9" t="n">
        <x:f>H1351*AA1350*INDEX(v01_MortElder,G1351)/4*Q1351</x:f>
        <x:v>44.22275930104098</x:v>
      </x:c>
      <x:c r="V1351" s="9" t="n">
        <x:f>H1351*MAX(0,AB1350-O1351)*v01_OvercapLoss</x:f>
        <x:v>0</x:v>
      </x:c>
      <x:c r="W1351" s="9" t="n">
        <x:f>H1351*Y1350/(v01_ChildYears*4)</x:f>
        <x:v>221.02308165899828</x:v>
      </x:c>
      <x:c r="X1351" s="9" t="n">
        <x:f>H1351*Z1350/(v01_AdultYears*4)</x:f>
        <x:v>118.1713729545285</x:v>
      </x:c>
      <x:c r="Y1351" s="32" t="n">
        <x:f>Y1350+R1351-S1351-W1351-Y1350*V1351/AB1350</x:f>
        <x:v>12388.75396212716</x:v>
      </x:c>
      <x:c r="Z1351" s="32" t="n">
        <x:f>Z1350+W1351-X1351-T1351-Z1350*V1351/AB1350</x:f>
        <x:v>14746.943673662026</x:v>
      </x:c>
      <x:c r="AA1351" s="32" t="n">
        <x:f>AA1350+X1351-U1351-AA1350*V1351/AB1350</x:f>
        <x:v>7149.590101820043</x:v>
      </x:c>
      <x:c r="AB1351" s="10" t="n">
        <x:f>Y1351+Z1351+AA1351</x:f>
        <x:v>34285.28773760923</x:v>
      </x:c>
      <x:c r="AC1351" s="8" t="n">
        <x:f>IF(AND(v01_WinterTrigger=1,D1351=1,AB1350/AE1350&gt;=K1351),1,0)</x:f>
        <x:v>0</x:v>
      </x:c>
      <x:c r="AD1351" s="8" t="n">
        <x:f>H1351*IF(AND(OR(AB1350/AE1350&gt;=v01_FissionTrigger*N1351,AC1351=1),AB1350/AE1350*v01_DaughterShare&gt;=v01_MinDaughter),MAX(1,ROUND(AE1350*v01_FissionRate,0)),0)</x:f>
        <x:v>0</x:v>
      </x:c>
      <x:c r="AE1351" s="8" t="n">
        <x:f>IF(H1351=1,MAX(1,MIN(INDEX(v01_Smax,G1351),AE1350+AD1351)),AE1350)</x:f>
        <x:v>15</x:v>
      </x:c>
      <x:c r="AF1351" s="8" t="n">
        <x:f>MAX(0,AE1351-AE1350)</x:f>
        <x:v>0</x:v>
      </x:c>
      <x:c r="AG1351" s="9" t="str">
        <x:f>IF(AF1351&gt;0,B1351,"")</x:f>
      </x:c>
      <x:c r="AH1351" s="9" t="n">
        <x:f>IF(F1351&gt;=1,1,(1+v01_LowTiesShare*(AE1351-1))/AE1351)</x:f>
        <x:v>1</x:v>
      </x:c>
      <x:c r="AI1351" s="32" t="n">
        <x:f>(Z1351+v01_ElderCommons*INDEX(LM_Elder,G1351)*AA1351)*AH1351</x:f>
        <x:v>42866.51877208176</x:v>
      </x:c>
      <x:c r="AJ1351" s="32" t="n">
        <x:f>H1351*v01_CommonsCoef*AI1351^v01_CommonsExp*INDEX(LM_Commons,G1351)</x:f>
        <x:v>23238.095618609783</x:v>
      </x:c>
      <x:c r="AK1351" s="32" t="n">
        <x:f>H1351*v01_RoleScale*Arch_Roles*(AE1351*(INDEX(v01_ElderRolePerSett,G1351)*v01_OutElder*INDEX(LM_Elder,G1351)+INDEX(v01_ShamanPerSett,G1351)*v01_OutShaman)+Z1351*(INDEX(v01_PriestShare,G1351)*v01_OutPriest+INDEX(v01_ScribeShare,G1351)*v01_OutScribe*INDEX(LM_Scribe,G1351)+INDEX(v01_ScholarShare,G1351)*v01_OutScholar*INDEX(LM_Scholar,G1351)+INDEX(v01_ResearcherShare,G1351)*v01_OutResearcher*INDEX(LM_Researcher,G1351)))</x:f>
        <x:v>6690.832861221351</x:v>
      </x:c>
      <x:c r="AL1351" s="32" t="n">
        <x:f>H1351*v01_RoleScale*Arch_Roles*AE1351*INDEX(v01_MonasteryPerSett,G1351)*v01_OutMonastery*INDEX(LM_Monastery,G1351)</x:f>
        <x:v>3.3000000000000003</x:v>
      </x:c>
      <x:c r="AM1351" s="32" t="n">
        <x:f>(AJ1351+AK1351+AL1351)/4*INDEX(LM_All,G1351)*INDEX(v01_Boon,G1351)*Arch_Insight</x:f>
        <x:v>25920.484360780312</x:v>
      </x:c>
      <x:c r="AN1351" s="32" t="n">
        <x:f>H1351*(v01_KHPerAdult*Z1351+v01_KHOfCommons*AJ1351/4*INDEX(LM_All,G1351))*v01_KHUsable*Arch_KH</x:f>
        <x:v>516.1430285781709</x:v>
      </x:c>
      <x:c r="AO1351" s="32" t="n">
        <x:f>MIN(AP1350+AN1351,AM1351*v01_KHMaxRatio)</x:f>
        <x:v>516.1430285781709</x:v>
      </x:c>
      <x:c r="AP1351" s="32" t="n">
        <x:f>AP1350+AN1351-AO1351</x:f>
        <x:v>0</x:v>
      </x:c>
      <x:c r="AQ1351" s="32" t="n">
        <x:f>AM1351+AO1351</x:f>
        <x:v>26436.627389358484</x:v>
      </x:c>
      <x:c r="AR1351" s="10" t="n">
        <x:f>IF(H1351=1,INDEX(v01_Req,G1351),0)</x:f>
        <x:v>1845340.8943637449</x:v>
      </x:c>
      <x:c r="AS1351" s="32" t="n">
        <x:f>IF(H1351=1,IF(E1351=1,AS1350-AR1350,AS1350)+AQ1351,0)</x:f>
        <x:v>194170.23256169225</x:v>
      </x:c>
      <x:c r="AT1351" s="11" t="n">
        <x:f>IF(AR1351&gt;0,MIN(1,AS1351/AR1351),1)</x:f>
        <x:v>0.10522187697392367</x:v>
      </x:c>
      <x:c r="AU1351" s="10" t="n">
        <x:f>AB1351/INDEX(v01_RepScale,G1351)</x:f>
        <x:v>68.57057547521846</x:v>
      </x:c>
      <x:c r="AV1351" s="32" t="n">
        <x:f>AM1351*60/v01_SeasonSeconds</x:f>
        <x:v>103681.93744312125</x:v>
      </x:c>
    </x:row>
    <x:row r="1352">
      <x:c r="A1352" s="8" t="n">
        <x:f>A1351+1</x:f>
        <x:v>1349</x:v>
      </x:c>
      <x:c r="B1352" s="9" t="n">
        <x:f>A1352*v01_SeasonSeconds/60</x:f>
        <x:v>337.25</x:v>
      </x:c>
      <x:c r="C1352" s="9" t="n">
        <x:f>A1352/4</x:f>
        <x:v>337.25</x:v>
      </x:c>
      <x:c r="D1352" s="8" t="n">
        <x:f>IF(MOD(A1352,4)=0,1,0)</x:f>
        <x:v>0</x:v>
      </x:c>
      <x:c r="E1352" s="8" t="n">
        <x:f>IF(AND(F1351&lt;=9,AS1351&gt;=AR1351),1,0)</x:f>
        <x:v>0</x:v>
      </x:c>
      <x:c r="F1352" s="8" t="n">
        <x:f>MIN(10,F1351+E1352)</x:f>
        <x:v>9</x:v>
      </x:c>
      <x:c r="G1352" s="8" t="n">
        <x:f>MIN(F1352,9)+1</x:f>
        <x:v>10</x:v>
      </x:c>
      <x:c r="H1352" s="8" t="n">
        <x:f>IF(F1352&lt;=9,1,0)</x:f>
        <x:v>1</x:v>
      </x:c>
      <x:c r="I1352" s="9" t="n">
        <x:f>MIN(10,F1351+IF(AR1351&gt;0,MIN(1,AS1351/AR1351),1))</x:f>
        <x:v>9.105221876973923</x:v>
      </x:c>
      <x:c r="J1352" s="32" t="n">
        <x:f>INDEX(v01_FoodCap,G1352)*Arch_FoodCap*EXP(v01_CapsByProject*SUMPRODUCT((Cap_Point&lt;=I1352)*(Cap_Kind="Food")*Cap_Ln))</x:f>
        <x:v>12000</x:v>
      </x:c>
      <x:c r="K1352" s="32" t="n">
        <x:f>J1352*MIN(1,v01_LeanBase*EXP(v01_CapsByProject*SUMPRODUCT((Cap_Point&lt;=I1352)*(Cap_Kind="Lean")*Cap_Ln)))</x:f>
        <x:v>12000</x:v>
      </x:c>
      <x:c r="L1352" s="10" t="n">
        <x:f>INDEX(v01_HousingCap,G1352)*EXP(v01_CapsByProject*SUMPRODUCT((Cap_Point&lt;=I1352)*(Cap_Kind="Housing")*Cap_Ln))</x:f>
        <x:v>20000</x:v>
      </x:c>
      <x:c r="M1352" s="10" t="n">
        <x:f>INDEX(v01_GroupCap,G1352)*v01_CohesionFactor*EXP(v01_CapsByProject*SUMPRODUCT((Cap_Point&lt;=I1352)*(Cap_Kind="Group")*Cap_Ln))</x:f>
        <x:v>1000000</x:v>
      </x:c>
      <x:c r="N1352" s="32" t="n">
        <x:f>MIN(J1352,L1352,M1352)</x:f>
        <x:v>12000</x:v>
      </x:c>
      <x:c r="O1352" s="10" t="n">
        <x:f>AE1351*N1352</x:f>
        <x:v>180000</x:v>
      </x:c>
      <x:c r="P1352" s="9" t="n">
        <x:f>MIN(1,(AB1351/(AE1351*IF(v01_GroupInCrowding=1,N1352,MIN(J1352,L1352))))^v01_CrowdingExp)</x:f>
        <x:v>0.00004775422057187016</x:v>
      </x:c>
      <x:c r="Q1352" s="9" t="n">
        <x:f>IF(D1352=1,INDEX(v01_WinterMult,G1352),1)</x:f>
        <x:v>1</x:v>
      </x:c>
      <x:c r="R1352" s="9" t="n">
        <x:f>H1352*Z1351*v01_WomenShare*v01_BaseFertility*INDEX(v01_FertMult,G1352)*Arch_Fertility*(1-P1352)</x:f>
        <x:v>243.3129508402077</x:v>
      </x:c>
      <x:c r="S1352" s="9" t="n">
        <x:f>H1352*Y1351*INDEX(v01_MortChild,G1352)/4*Q1352</x:f>
        <x:v>9.291565471595371</x:v>
      </x:c>
      <x:c r="T1352" s="9" t="n">
        <x:f>H1352*Z1351*INDEX(v01_MortAdult,G1352)*Arch_AdultMort/4*Q1352</x:f>
        <x:v>9.216839796038768</x:v>
      </x:c>
      <x:c r="U1352" s="9" t="n">
        <x:f>H1352*AA1351*INDEX(v01_MortElder,G1352)/4*Q1352</x:f>
        <x:v>44.68493813637527</x:v>
      </x:c>
      <x:c r="V1352" s="9" t="n">
        <x:f>H1352*MAX(0,AB1351-O1352)*v01_OvercapLoss</x:f>
        <x:v>0</x:v>
      </x:c>
      <x:c r="W1352" s="9" t="n">
        <x:f>H1352*Y1351/(v01_ChildYears*4)</x:f>
        <x:v>221.2277493236993</x:v>
      </x:c>
      <x:c r="X1352" s="9" t="n">
        <x:f>H1352*Z1351/(v01_AdultYears*4)</x:f>
        <x:v>118.92696511017763</x:v>
      </x:c>
      <x:c r="Y1352" s="32" t="n">
        <x:f>Y1351+R1352-S1352-W1352-Y1351*V1352/AB1351</x:f>
        <x:v>12401.547598172072</x:v>
      </x:c>
      <x:c r="Z1352" s="32" t="n">
        <x:f>Z1351+W1352-X1352-T1352-Z1351*V1352/AB1351</x:f>
        <x:v>14840.02761807951</x:v>
      </x:c>
      <x:c r="AA1352" s="32" t="n">
        <x:f>AA1351+X1352-U1352-AA1351*V1352/AB1351</x:f>
        <x:v>7223.832128793845</x:v>
      </x:c>
      <x:c r="AB1352" s="10" t="n">
        <x:f>Y1352+Z1352+AA1352</x:f>
        <x:v>34465.40734504543</x:v>
      </x:c>
      <x:c r="AC1352" s="8" t="n">
        <x:f>IF(AND(v01_WinterTrigger=1,D1352=1,AB1351/AE1351&gt;=K1352),1,0)</x:f>
        <x:v>0</x:v>
      </x:c>
      <x:c r="AD1352" s="8" t="n">
        <x:f>H1352*IF(AND(OR(AB1351/AE1351&gt;=v01_FissionTrigger*N1352,AC1352=1),AB1351/AE1351*v01_DaughterShare&gt;=v01_MinDaughter),MAX(1,ROUND(AE1351*v01_FissionRate,0)),0)</x:f>
        <x:v>0</x:v>
      </x:c>
      <x:c r="AE1352" s="8" t="n">
        <x:f>IF(H1352=1,MAX(1,MIN(INDEX(v01_Smax,G1352),AE1351+AD1352)),AE1351)</x:f>
        <x:v>15</x:v>
      </x:c>
      <x:c r="AF1352" s="8" t="n">
        <x:f>MAX(0,AE1352-AE1351)</x:f>
        <x:v>0</x:v>
      </x:c>
      <x:c r="AG1352" s="9" t="str">
        <x:f>IF(AF1352&gt;0,B1352,"")</x:f>
      </x:c>
      <x:c r="AH1352" s="9" t="n">
        <x:f>IF(F1352&gt;=1,1,(1+v01_LowTiesShare*(AE1352-1))/AE1352)</x:f>
        <x:v>1</x:v>
      </x:c>
      <x:c r="AI1352" s="32" t="n">
        <x:f>(Z1352+v01_ElderCommons*INDEX(LM_Elder,G1352)*AA1352)*AH1352</x:f>
        <x:v>43251.59907198504</x:v>
      </x:c>
      <x:c r="AJ1352" s="32" t="n">
        <x:f>H1352*v01_CommonsCoef*AI1352^v01_CommonsExp*INDEX(LM_Commons,G1352)</x:f>
        <x:v>23415.416894631882</x:v>
      </x:c>
      <x:c r="AK1352" s="32" t="n">
        <x:f>H1352*v01_RoleScale*Arch_Roles*(AE1352*(INDEX(v01_ElderRolePerSett,G1352)*v01_OutElder*INDEX(LM_Elder,G1352)+INDEX(v01_ShamanPerSett,G1352)*v01_OutShaman)+Z1352*(INDEX(v01_PriestShare,G1352)*v01_OutPriest+INDEX(v01_ScribeShare,G1352)*v01_OutScribe*INDEX(LM_Scribe,G1352)+INDEX(v01_ScholarShare,G1352)*v01_OutScholar*INDEX(LM_Scholar,G1352)+INDEX(v01_ResearcherShare,G1352)*v01_OutResearcher*INDEX(LM_Researcher,G1352)))</x:f>
        <x:v>6732.737744854972</x:v>
      </x:c>
      <x:c r="AL1352" s="32" t="n">
        <x:f>H1352*v01_RoleScale*Arch_Roles*AE1352*INDEX(v01_MonasteryPerSett,G1352)*v01_OutMonastery*INDEX(LM_Monastery,G1352)</x:f>
        <x:v>3.3000000000000003</x:v>
      </x:c>
      <x:c r="AM1352" s="32" t="n">
        <x:f>(AJ1352+AK1352+AL1352)/4*INDEX(LM_All,G1352)*INDEX(v01_Boon,G1352)*Arch_Insight</x:f>
        <x:v>26110.32816899055</x:v>
      </x:c>
      <x:c r="AN1352" s="32" t="n">
        <x:f>H1352*(v01_KHPerAdult*Z1352+v01_KHOfCommons*AJ1352/4*INDEX(LM_All,G1352))*v01_KHUsable*Arch_KH</x:f>
        <x:v>519.4009666327829</x:v>
      </x:c>
      <x:c r="AO1352" s="32" t="n">
        <x:f>MIN(AP1351+AN1352,AM1352*v01_KHMaxRatio)</x:f>
        <x:v>519.4009666327829</x:v>
      </x:c>
      <x:c r="AP1352" s="32" t="n">
        <x:f>AP1351+AN1352-AO1352</x:f>
        <x:v>0</x:v>
      </x:c>
      <x:c r="AQ1352" s="32" t="n">
        <x:f>AM1352+AO1352</x:f>
        <x:v>26629.729135623333</x:v>
      </x:c>
      <x:c r="AR1352" s="10" t="n">
        <x:f>IF(H1352=1,INDEX(v01_Req,G1352),0)</x:f>
        <x:v>1845340.8943637449</x:v>
      </x:c>
      <x:c r="AS1352" s="32" t="n">
        <x:f>IF(H1352=1,IF(E1352=1,AS1351-AR1351,AS1351)+AQ1352,0)</x:f>
        <x:v>220799.96169731556</x:v>
      </x:c>
      <x:c r="AT1352" s="11" t="n">
        <x:f>IF(AR1352&gt;0,MIN(1,AS1352/AR1352),1)</x:f>
        <x:v>0.1196526681718855</x:v>
      </x:c>
      <x:c r="AU1352" s="10" t="n">
        <x:f>AB1352/INDEX(v01_RepScale,G1352)</x:f>
        <x:v>68.93081469009086</x:v>
      </x:c>
      <x:c r="AV1352" s="32" t="n">
        <x:f>AM1352*60/v01_SeasonSeconds</x:f>
        <x:v>104441.3126759622</x:v>
      </x:c>
    </x:row>
    <x:row r="1353">
      <x:c r="A1353" s="8" t="n">
        <x:f>A1352+1</x:f>
        <x:v>1350</x:v>
      </x:c>
      <x:c r="B1353" s="9" t="n">
        <x:f>A1353*v01_SeasonSeconds/60</x:f>
        <x:v>337.5</x:v>
      </x:c>
      <x:c r="C1353" s="9" t="n">
        <x:f>A1353/4</x:f>
        <x:v>337.5</x:v>
      </x:c>
      <x:c r="D1353" s="8" t="n">
        <x:f>IF(MOD(A1353,4)=0,1,0)</x:f>
        <x:v>0</x:v>
      </x:c>
      <x:c r="E1353" s="8" t="n">
        <x:f>IF(AND(F1352&lt;=9,AS1352&gt;=AR1352),1,0)</x:f>
        <x:v>0</x:v>
      </x:c>
      <x:c r="F1353" s="8" t="n">
        <x:f>MIN(10,F1352+E1353)</x:f>
        <x:v>9</x:v>
      </x:c>
      <x:c r="G1353" s="8" t="n">
        <x:f>MIN(F1353,9)+1</x:f>
        <x:v>10</x:v>
      </x:c>
      <x:c r="H1353" s="8" t="n">
        <x:f>IF(F1353&lt;=9,1,0)</x:f>
        <x:v>1</x:v>
      </x:c>
      <x:c r="I1353" s="9" t="n">
        <x:f>MIN(10,F1352+IF(AR1352&gt;0,MIN(1,AS1352/AR1352),1))</x:f>
        <x:v>9.119652668171886</x:v>
      </x:c>
      <x:c r="J1353" s="32" t="n">
        <x:f>INDEX(v01_FoodCap,G1353)*Arch_FoodCap*EXP(v01_CapsByProject*SUMPRODUCT((Cap_Point&lt;=I1353)*(Cap_Kind="Food")*Cap_Ln))</x:f>
        <x:v>12000</x:v>
      </x:c>
      <x:c r="K1353" s="32" t="n">
        <x:f>J1353*MIN(1,v01_LeanBase*EXP(v01_CapsByProject*SUMPRODUCT((Cap_Point&lt;=I1353)*(Cap_Kind="Lean")*Cap_Ln)))</x:f>
        <x:v>12000</x:v>
      </x:c>
      <x:c r="L1353" s="10" t="n">
        <x:f>INDEX(v01_HousingCap,G1353)*EXP(v01_CapsByProject*SUMPRODUCT((Cap_Point&lt;=I1353)*(Cap_Kind="Housing")*Cap_Ln))</x:f>
        <x:v>20000</x:v>
      </x:c>
      <x:c r="M1353" s="10" t="n">
        <x:f>INDEX(v01_GroupCap,G1353)*v01_CohesionFactor*EXP(v01_CapsByProject*SUMPRODUCT((Cap_Point&lt;=I1353)*(Cap_Kind="Group")*Cap_Ln))</x:f>
        <x:v>1000000</x:v>
      </x:c>
      <x:c r="N1353" s="32" t="n">
        <x:f>MIN(J1353,L1353,M1353)</x:f>
        <x:v>12000</x:v>
      </x:c>
      <x:c r="O1353" s="10" t="n">
        <x:f>AE1352*N1353</x:f>
        <x:v>180000</x:v>
      </x:c>
      <x:c r="P1353" s="9" t="n">
        <x:f>MIN(1,(AB1352/(AE1352*IF(v01_GroupInCrowding=1,N1353,MIN(J1353,L1353))))^v01_CrowdingExp)</x:f>
        <x:v>0.00004927940596093844</x:v>
      </x:c>
      <x:c r="Q1353" s="9" t="n">
        <x:f>IF(D1353=1,INDEX(v01_WinterMult,G1353),1)</x:f>
        <x:v>1</x:v>
      </x:c>
      <x:c r="R1353" s="9" t="n">
        <x:f>H1353*Z1352*v01_WomenShare*v01_BaseFertility*INDEX(v01_FertMult,G1353)*Arch_Fertility*(1-P1353)</x:f>
        <x:v>244.84838912051183</x:v>
      </x:c>
      <x:c r="S1353" s="9" t="n">
        <x:f>H1353*Y1352*INDEX(v01_MortChild,G1353)/4*Q1353</x:f>
        <x:v>9.301160698629054</x:v>
      </x:c>
      <x:c r="T1353" s="9" t="n">
        <x:f>H1353*Z1352*INDEX(v01_MortAdult,G1353)*Arch_AdultMort/4*Q1353</x:f>
        <x:v>9.275017261299693</x:v>
      </x:c>
      <x:c r="U1353" s="9" t="n">
        <x:f>H1353*AA1352*INDEX(v01_MortElder,G1353)/4*Q1353</x:f>
        <x:v>45.14895080496154</x:v>
      </x:c>
      <x:c r="V1353" s="9" t="n">
        <x:f>H1353*MAX(0,AB1352-O1353)*v01_OvercapLoss</x:f>
        <x:v>0</x:v>
      </x:c>
      <x:c r="W1353" s="9" t="n">
        <x:f>H1353*Y1352/(v01_ChildYears*4)</x:f>
        <x:v>221.45620711021556</x:v>
      </x:c>
      <x:c r="X1353" s="9" t="n">
        <x:f>H1353*Z1352/(v01_AdultYears*4)</x:f>
        <x:v>119.67764208128636</x:v>
      </x:c>
      <x:c r="Y1353" s="32" t="n">
        <x:f>Y1352+R1353-S1353-W1353-Y1352*V1353/AB1352</x:f>
        <x:v>12415.63861948374</x:v>
      </x:c>
      <x:c r="Z1353" s="32" t="n">
        <x:f>Z1352+W1353-X1353-T1353-Z1352*V1353/AB1352</x:f>
        <x:v>14932.53116584714</x:v>
      </x:c>
      <x:c r="AA1353" s="32" t="n">
        <x:f>AA1352+X1353-U1353-AA1352*V1353/AB1352</x:f>
        <x:v>7298.36082007017</x:v>
      </x:c>
      <x:c r="AB1353" s="10" t="n">
        <x:f>Y1353+Z1353+AA1353</x:f>
        <x:v>34646.53060540105</x:v>
      </x:c>
      <x:c r="AC1353" s="8" t="n">
        <x:f>IF(AND(v01_WinterTrigger=1,D1353=1,AB1352/AE1352&gt;=K1353),1,0)</x:f>
        <x:v>0</x:v>
      </x:c>
      <x:c r="AD1353" s="8" t="n">
        <x:f>H1353*IF(AND(OR(AB1352/AE1352&gt;=v01_FissionTrigger*N1353,AC1353=1),AB1352/AE1352*v01_DaughterShare&gt;=v01_MinDaughter),MAX(1,ROUND(AE1352*v01_FissionRate,0)),0)</x:f>
        <x:v>0</x:v>
      </x:c>
      <x:c r="AE1353" s="8" t="n">
        <x:f>IF(H1353=1,MAX(1,MIN(INDEX(v01_Smax,G1353),AE1352+AD1353)),AE1352)</x:f>
        <x:v>15</x:v>
      </x:c>
      <x:c r="AF1353" s="8" t="n">
        <x:f>MAX(0,AE1353-AE1352)</x:f>
        <x:v>0</x:v>
      </x:c>
      <x:c r="AG1353" s="9" t="str">
        <x:f>IF(AF1353&gt;0,B1353,"")</x:f>
      </x:c>
      <x:c r="AH1353" s="9" t="n">
        <x:f>IF(F1353&gt;=1,1,(1+v01_LowTiesShare*(AE1353-1))/AE1353)</x:f>
        <x:v>1</x:v>
      </x:c>
      <x:c r="AI1353" s="32" t="n">
        <x:f>(Z1353+v01_ElderCommons*INDEX(LM_Elder,G1353)*AA1353)*AH1353</x:f>
        <x:v>43637.22643545199</x:v>
      </x:c>
      <x:c r="AJ1353" s="32" t="n">
        <x:f>H1353*v01_CommonsCoef*AI1353^v01_CommonsExp*INDEX(LM_Commons,G1353)</x:f>
        <x:v>23592.752922415595</x:v>
      </x:c>
      <x:c r="AK1353" s="32" t="n">
        <x:f>H1353*v01_RoleScale*Arch_Roles*(AE1353*(INDEX(v01_ElderRolePerSett,G1353)*v01_OutElder*INDEX(LM_Elder,G1353)+INDEX(v01_ShamanPerSett,G1353)*v01_OutShaman)+Z1353*(INDEX(v01_PriestShare,G1353)*v01_OutPriest+INDEX(v01_ScribeShare,G1353)*v01_OutScribe*INDEX(LM_Scribe,G1353)+INDEX(v01_ScholarShare,G1353)*v01_OutScholar*INDEX(LM_Scholar,G1353)+INDEX(v01_ResearcherShare,G1353)*v01_OutResearcher*INDEX(LM_Researcher,G1353)))</x:f>
        <x:v>6774.381343320397</x:v>
      </x:c>
      <x:c r="AL1353" s="32" t="n">
        <x:f>H1353*v01_RoleScale*Arch_Roles*AE1353*INDEX(v01_MonasteryPerSett,G1353)*v01_OutMonastery*INDEX(LM_Monastery,G1353)</x:f>
        <x:v>3.3000000000000003</x:v>
      </x:c>
      <x:c r="AM1353" s="32" t="n">
        <x:f>(AJ1353+AK1353+AL1353)/4*INDEX(LM_All,G1353)*INDEX(v01_Boon,G1353)*Arch_Insight</x:f>
        <x:v>26299.958486069845</x:v>
      </x:c>
      <x:c r="AN1353" s="32" t="n">
        <x:f>H1353*(v01_KHPerAdult*Z1353+v01_KHOfCommons*AJ1353/4*INDEX(LM_All,G1353))*v01_KHUsable*Arch_KH</x:f>
        <x:v>522.6385908046499</x:v>
      </x:c>
      <x:c r="AO1353" s="32" t="n">
        <x:f>MIN(AP1352+AN1353,AM1353*v01_KHMaxRatio)</x:f>
        <x:v>522.6385908046499</x:v>
      </x:c>
      <x:c r="AP1353" s="32" t="n">
        <x:f>AP1352+AN1353-AO1353</x:f>
        <x:v>0</x:v>
      </x:c>
      <x:c r="AQ1353" s="32" t="n">
        <x:f>AM1353+AO1353</x:f>
        <x:v>26822.597076874496</x:v>
      </x:c>
      <x:c r="AR1353" s="10" t="n">
        <x:f>IF(H1353=1,INDEX(v01_Req,G1353),0)</x:f>
        <x:v>1845340.8943637449</x:v>
      </x:c>
      <x:c r="AS1353" s="32" t="n">
        <x:f>IF(H1353=1,IF(E1353=1,AS1352-AR1352,AS1352)+AQ1353,0)</x:f>
        <x:v>247622.55877419005</x:v>
      </x:c>
      <x:c r="AT1353" s="11" t="n">
        <x:f>IF(AR1353&gt;0,MIN(1,AS1353/AR1353),1)</x:f>
        <x:v>0.13418797552826564</x:v>
      </x:c>
      <x:c r="AU1353" s="10" t="n">
        <x:f>AB1353/INDEX(v01_RepScale,G1353)</x:f>
        <x:v>69.29306121080211</x:v>
      </x:c>
      <x:c r="AV1353" s="32" t="n">
        <x:f>AM1353*60/v01_SeasonSeconds</x:f>
        <x:v>105199.83394427938</x:v>
      </x:c>
    </x:row>
    <x:row r="1354">
      <x:c r="A1354" s="8" t="n">
        <x:f>A1353+1</x:f>
        <x:v>1351</x:v>
      </x:c>
      <x:c r="B1354" s="9" t="n">
        <x:f>A1354*v01_SeasonSeconds/60</x:f>
        <x:v>337.75</x:v>
      </x:c>
      <x:c r="C1354" s="9" t="n">
        <x:f>A1354/4</x:f>
        <x:v>337.75</x:v>
      </x:c>
      <x:c r="D1354" s="8" t="n">
        <x:f>IF(MOD(A1354,4)=0,1,0)</x:f>
        <x:v>0</x:v>
      </x:c>
      <x:c r="E1354" s="8" t="n">
        <x:f>IF(AND(F1353&lt;=9,AS1353&gt;=AR1353),1,0)</x:f>
        <x:v>0</x:v>
      </x:c>
      <x:c r="F1354" s="8" t="n">
        <x:f>MIN(10,F1353+E1354)</x:f>
        <x:v>9</x:v>
      </x:c>
      <x:c r="G1354" s="8" t="n">
        <x:f>MIN(F1354,9)+1</x:f>
        <x:v>10</x:v>
      </x:c>
      <x:c r="H1354" s="8" t="n">
        <x:f>IF(F1354&lt;=9,1,0)</x:f>
        <x:v>1</x:v>
      </x:c>
      <x:c r="I1354" s="9" t="n">
        <x:f>MIN(10,F1353+IF(AR1353&gt;0,MIN(1,AS1353/AR1353),1))</x:f>
        <x:v>9.134187975528265</x:v>
      </x:c>
      <x:c r="J1354" s="32" t="n">
        <x:f>INDEX(v01_FoodCap,G1354)*Arch_FoodCap*EXP(v01_CapsByProject*SUMPRODUCT((Cap_Point&lt;=I1354)*(Cap_Kind="Food")*Cap_Ln))</x:f>
        <x:v>12000</x:v>
      </x:c>
      <x:c r="K1354" s="32" t="n">
        <x:f>J1354*MIN(1,v01_LeanBase*EXP(v01_CapsByProject*SUMPRODUCT((Cap_Point&lt;=I1354)*(Cap_Kind="Lean")*Cap_Ln)))</x:f>
        <x:v>12000</x:v>
      </x:c>
      <x:c r="L1354" s="10" t="n">
        <x:f>INDEX(v01_HousingCap,G1354)*EXP(v01_CapsByProject*SUMPRODUCT((Cap_Point&lt;=I1354)*(Cap_Kind="Housing")*Cap_Ln))</x:f>
        <x:v>20000</x:v>
      </x:c>
      <x:c r="M1354" s="10" t="n">
        <x:f>INDEX(v01_GroupCap,G1354)*v01_CohesionFactor*EXP(v01_CapsByProject*SUMPRODUCT((Cap_Point&lt;=I1354)*(Cap_Kind="Group")*Cap_Ln))</x:f>
        <x:v>1000000</x:v>
      </x:c>
      <x:c r="N1354" s="32" t="n">
        <x:f>MIN(J1354,L1354,M1354)</x:f>
        <x:v>12000</x:v>
      </x:c>
      <x:c r="O1354" s="10" t="n">
        <x:f>AE1353*N1354</x:f>
        <x:v>180000</x:v>
      </x:c>
      <x:c r="P1354" s="9" t="n">
        <x:f>MIN(1,(AB1353/(AE1353*IF(v01_GroupInCrowding=1,N1354,MIN(J1354,L1354))))^v01_CrowdingExp)</x:f>
        <x:v>0.000050853808446385245</x:v>
      </x:c>
      <x:c r="Q1354" s="9" t="n">
        <x:f>IF(D1354=1,INDEX(v01_WinterMult,G1354),1)</x:f>
        <x:v>1</x:v>
      </x:c>
      <x:c r="R1354" s="9" t="n">
        <x:f>H1354*Z1353*v01_WomenShare*v01_BaseFertility*INDEX(v01_FertMult,G1354)*Arch_Fertility*(1-P1354)</x:f>
        <x:v>246.37423453116563</x:v>
      </x:c>
      <x:c r="S1354" s="9" t="n">
        <x:f>H1354*Y1353*INDEX(v01_MortChild,G1354)/4*Q1354</x:f>
        <x:v>9.311728964612804</x:v>
      </x:c>
      <x:c r="T1354" s="9" t="n">
        <x:f>H1354*Z1353*INDEX(v01_MortAdult,G1354)*Arch_AdultMort/4*Q1354</x:f>
        <x:v>9.332831978654463</x:v>
      </x:c>
      <x:c r="U1354" s="9" t="n">
        <x:f>H1354*AA1353*INDEX(v01_MortElder,G1354)/4*Q1354</x:f>
        <x:v>45.61475512543856</x:v>
      </x:c>
      <x:c r="V1354" s="9" t="n">
        <x:f>H1354*MAX(0,AB1353-O1354)*v01_OvercapLoss</x:f>
        <x:v>0</x:v>
      </x:c>
      <x:c r="W1354" s="9" t="n">
        <x:f>H1354*Y1353/(v01_ChildYears*4)</x:f>
        <x:v>221.70783249078107</x:v>
      </x:c>
      <x:c r="X1354" s="9" t="n">
        <x:f>H1354*Z1353/(v01_AdultYears*4)</x:f>
        <x:v>120.42363843425113</x:v>
      </x:c>
      <x:c r="Y1354" s="32" t="n">
        <x:f>Y1353+R1354-S1354-W1354-Y1353*V1354/AB1353</x:f>
        <x:v>12430.993292559511</x:v>
      </x:c>
      <x:c r="Z1354" s="32" t="n">
        <x:f>Z1353+W1354-X1354-T1354-Z1353*V1354/AB1353</x:f>
        <x:v>15024.482527925016</x:v>
      </x:c>
      <x:c r="AA1354" s="32" t="n">
        <x:f>AA1353+X1354-U1354-AA1353*V1354/AB1353</x:f>
        <x:v>7373.169703378982</x:v>
      </x:c>
      <x:c r="AB1354" s="10" t="n">
        <x:f>Y1354+Z1354+AA1354</x:f>
        <x:v>34828.64552386351</x:v>
      </x:c>
      <x:c r="AC1354" s="8" t="n">
        <x:f>IF(AND(v01_WinterTrigger=1,D1354=1,AB1353/AE1353&gt;=K1354),1,0)</x:f>
        <x:v>0</x:v>
      </x:c>
      <x:c r="AD1354" s="8" t="n">
        <x:f>H1354*IF(AND(OR(AB1353/AE1353&gt;=v01_FissionTrigger*N1354,AC1354=1),AB1353/AE1353*v01_DaughterShare&gt;=v01_MinDaughter),MAX(1,ROUND(AE1353*v01_FissionRate,0)),0)</x:f>
        <x:v>0</x:v>
      </x:c>
      <x:c r="AE1354" s="8" t="n">
        <x:f>IF(H1354=1,MAX(1,MIN(INDEX(v01_Smax,G1354),AE1353+AD1354)),AE1353)</x:f>
        <x:v>15</x:v>
      </x:c>
      <x:c r="AF1354" s="8" t="n">
        <x:f>MAX(0,AE1354-AE1353)</x:f>
        <x:v>0</x:v>
      </x:c>
      <x:c r="AG1354" s="9" t="str">
        <x:f>IF(AF1354&gt;0,B1354,"")</x:f>
      </x:c>
      <x:c r="AH1354" s="9" t="n">
        <x:f>IF(F1354&gt;=1,1,(1+v01_LowTiesShare*(AE1354-1))/AE1354)</x:f>
        <x:v>1</x:v>
      </x:c>
      <x:c r="AI1354" s="32" t="n">
        <x:f>(Z1354+v01_ElderCommons*INDEX(LM_Elder,G1354)*AA1354)*AH1354</x:f>
        <x:v>44023.403617789896</x:v>
      </x:c>
      <x:c r="AJ1354" s="32" t="n">
        <x:f>H1354*v01_CommonsCoef*AI1354^v01_CommonsExp*INDEX(LM_Commons,G1354)</x:f>
        <x:v>23770.106371932652</x:v>
      </x:c>
      <x:c r="AK1354" s="32" t="n">
        <x:f>H1354*v01_RoleScale*Arch_Roles*(AE1354*(INDEX(v01_ElderRolePerSett,G1354)*v01_OutElder*INDEX(LM_Elder,G1354)+INDEX(v01_ShamanPerSett,G1354)*v01_OutShaman)+Z1354*(INDEX(v01_PriestShare,G1354)*v01_OutPriest+INDEX(v01_ScribeShare,G1354)*v01_OutScribe*INDEX(LM_Scribe,G1354)+INDEX(v01_ScholarShare,G1354)*v01_OutScholar*INDEX(LM_Scholar,G1354)+INDEX(v01_ResearcherShare,G1354)*v01_OutResearcher*INDEX(LM_Researcher,G1354)))</x:f>
        <x:v>6815.77635673479</x:v>
      </x:c>
      <x:c r="AL1354" s="32" t="n">
        <x:f>H1354*v01_RoleScale*Arch_Roles*AE1354*INDEX(v01_MonasteryPerSett,G1354)*v01_OutMonastery*INDEX(LM_Monastery,G1354)</x:f>
        <x:v>3.3000000000000003</x:v>
      </x:c>
      <x:c r="AM1354" s="32" t="n">
        <x:f>(AJ1354+AK1354+AL1354)/4*INDEX(LM_All,G1354)*INDEX(v01_Boon,G1354)*Arch_Insight</x:f>
        <x:v>26489.38862209129</x:v>
      </x:c>
      <x:c r="AN1354" s="32" t="n">
        <x:f>H1354*(v01_KHPerAdult*Z1354+v01_KHOfCommons*AJ1354/4*INDEX(LM_All,G1354))*v01_KHUsable*Arch_KH</x:f>
        <x:v>525.8568884773756</x:v>
      </x:c>
      <x:c r="AO1354" s="32" t="n">
        <x:f>MIN(AP1353+AN1354,AM1354*v01_KHMaxRatio)</x:f>
        <x:v>525.8568884773756</x:v>
      </x:c>
      <x:c r="AP1354" s="32" t="n">
        <x:f>AP1353+AN1354-AO1354</x:f>
        <x:v>0</x:v>
      </x:c>
      <x:c r="AQ1354" s="32" t="n">
        <x:f>AM1354+AO1354</x:f>
        <x:v>27015.245510568664</x:v>
      </x:c>
      <x:c r="AR1354" s="10" t="n">
        <x:f>IF(H1354=1,INDEX(v01_Req,G1354),0)</x:f>
        <x:v>1845340.8943637449</x:v>
      </x:c>
      <x:c r="AS1354" s="32" t="n">
        <x:f>IF(H1354=1,IF(E1354=1,AS1353-AR1353,AS1353)+AQ1354,0)</x:f>
        <x:v>274637.8042847587</x:v>
      </x:c>
      <x:c r="AT1354" s="11" t="n">
        <x:f>IF(AR1354&gt;0,MIN(1,AS1354/AR1354),1)</x:f>
        <x:v>0.14882768009075692</x:v>
      </x:c>
      <x:c r="AU1354" s="10" t="n">
        <x:f>AB1354/INDEX(v01_RepScale,G1354)</x:f>
        <x:v>69.65729104772701</x:v>
      </x:c>
      <x:c r="AV1354" s="32" t="n">
        <x:f>AM1354*60/v01_SeasonSeconds</x:f>
        <x:v>105957.55448836516</x:v>
      </x:c>
    </x:row>
    <x:row r="1355">
      <x:c r="A1355" s="8" t="n">
        <x:f>A1354+1</x:f>
        <x:v>1352</x:v>
      </x:c>
      <x:c r="B1355" s="9" t="n">
        <x:f>A1355*v01_SeasonSeconds/60</x:f>
        <x:v>338</x:v>
      </x:c>
      <x:c r="C1355" s="9" t="n">
        <x:f>A1355/4</x:f>
        <x:v>338</x:v>
      </x:c>
      <x:c r="D1355" s="8" t="n">
        <x:f>IF(MOD(A1355,4)=0,1,0)</x:f>
        <x:v>1</x:v>
      </x:c>
      <x:c r="E1355" s="8" t="n">
        <x:f>IF(AND(F1354&lt;=9,AS1354&gt;=AR1354),1,0)</x:f>
        <x:v>0</x:v>
      </x:c>
      <x:c r="F1355" s="8" t="n">
        <x:f>MIN(10,F1354+E1355)</x:f>
        <x:v>9</x:v>
      </x:c>
      <x:c r="G1355" s="8" t="n">
        <x:f>MIN(F1355,9)+1</x:f>
        <x:v>10</x:v>
      </x:c>
      <x:c r="H1355" s="8" t="n">
        <x:f>IF(F1355&lt;=9,1,0)</x:f>
        <x:v>1</x:v>
      </x:c>
      <x:c r="I1355" s="9" t="n">
        <x:f>MIN(10,F1354+IF(AR1354&gt;0,MIN(1,AS1354/AR1354),1))</x:f>
        <x:v>9.148827680090758</x:v>
      </x:c>
      <x:c r="J1355" s="32" t="n">
        <x:f>INDEX(v01_FoodCap,G1355)*Arch_FoodCap*EXP(v01_CapsByProject*SUMPRODUCT((Cap_Point&lt;=I1355)*(Cap_Kind="Food")*Cap_Ln))</x:f>
        <x:v>12000</x:v>
      </x:c>
      <x:c r="K1355" s="32" t="n">
        <x:f>J1355*MIN(1,v01_LeanBase*EXP(v01_CapsByProject*SUMPRODUCT((Cap_Point&lt;=I1355)*(Cap_Kind="Lean")*Cap_Ln)))</x:f>
        <x:v>12000</x:v>
      </x:c>
      <x:c r="L1355" s="10" t="n">
        <x:f>INDEX(v01_HousingCap,G1355)*EXP(v01_CapsByProject*SUMPRODUCT((Cap_Point&lt;=I1355)*(Cap_Kind="Housing")*Cap_Ln))</x:f>
        <x:v>20000</x:v>
      </x:c>
      <x:c r="M1355" s="10" t="n">
        <x:f>INDEX(v01_GroupCap,G1355)*v01_CohesionFactor*EXP(v01_CapsByProject*SUMPRODUCT((Cap_Point&lt;=I1355)*(Cap_Kind="Group")*Cap_Ln))</x:f>
        <x:v>1000000</x:v>
      </x:c>
      <x:c r="N1355" s="32" t="n">
        <x:f>MIN(J1355,L1355,M1355)</x:f>
        <x:v>12000</x:v>
      </x:c>
      <x:c r="O1355" s="10" t="n">
        <x:f>AE1354*N1355</x:f>
        <x:v>180000</x:v>
      </x:c>
      <x:c r="P1355" s="9" t="n">
        <x:f>MIN(1,(AB1354/(AE1354*IF(v01_GroupInCrowding=1,N1355,MIN(J1355,L1355))))^v01_CrowdingExp)</x:f>
        <x:v>0.00005247887066853755</x:v>
      </x:c>
      <x:c r="Q1355" s="9" t="n">
        <x:f>IF(D1355=1,INDEX(v01_WinterMult,G1355),1)</x:f>
        <x:v>1</x:v>
      </x:c>
      <x:c r="R1355" s="9" t="n">
        <x:f>H1355*Z1354*v01_WomenShare*v01_BaseFertility*INDEX(v01_FertMult,G1355)*Arch_Fertility*(1-P1355)</x:f>
        <x:v>247.89095199081797</x:v>
      </x:c>
      <x:c r="S1355" s="9" t="n">
        <x:f>H1355*Y1354*INDEX(v01_MortChild,G1355)/4*Q1355</x:f>
        <x:v>9.323244969419633</x:v>
      </x:c>
      <x:c r="T1355" s="9" t="n">
        <x:f>H1355*Z1354*INDEX(v01_MortAdult,G1355)*Arch_AdultMort/4*Q1355</x:f>
        <x:v>9.390301579953135</x:v>
      </x:c>
      <x:c r="U1355" s="9" t="n">
        <x:f>H1355*AA1354*INDEX(v01_MortElder,G1355)/4*Q1355</x:f>
        <x:v>46.08231064611864</x:v>
      </x:c>
      <x:c r="V1355" s="9" t="n">
        <x:f>H1355*MAX(0,AB1354-O1355)*v01_OvercapLoss</x:f>
        <x:v>0</x:v>
      </x:c>
      <x:c r="W1355" s="9" t="n">
        <x:f>H1355*Y1354/(v01_ChildYears*4)</x:f>
        <x:v>221.98202308141984</x:v>
      </x:c>
      <x:c r="X1355" s="9" t="n">
        <x:f>H1355*Z1354/(v01_AdultYears*4)</x:f>
        <x:v>121.16518167681464</x:v>
      </x:c>
      <x:c r="Y1355" s="32" t="n">
        <x:f>Y1354+R1355-S1355-W1355-Y1354*V1355/AB1354</x:f>
        <x:v>12447.57897649949</x:v>
      </x:c>
      <x:c r="Z1355" s="32" t="n">
        <x:f>Z1354+W1355-X1355-T1355-Z1354*V1355/AB1354</x:f>
        <x:v>15115.909067749668</x:v>
      </x:c>
      <x:c r="AA1355" s="32" t="n">
        <x:f>AA1354+X1355-U1355-AA1354*V1355/AB1354</x:f>
        <x:v>7448.252574409678</x:v>
      </x:c>
      <x:c r="AB1355" s="10" t="n">
        <x:f>Y1355+Z1355+AA1355</x:f>
        <x:v>35011.740618658834</x:v>
      </x:c>
      <x:c r="AC1355" s="8" t="n">
        <x:f>IF(AND(v01_WinterTrigger=1,D1355=1,AB1354/AE1354&gt;=K1355),1,0)</x:f>
        <x:v>0</x:v>
      </x:c>
      <x:c r="AD1355" s="8" t="n">
        <x:f>H1355*IF(AND(OR(AB1354/AE1354&gt;=v01_FissionTrigger*N1355,AC1355=1),AB1354/AE1354*v01_DaughterShare&gt;=v01_MinDaughter),MAX(1,ROUND(AE1354*v01_FissionRate,0)),0)</x:f>
        <x:v>0</x:v>
      </x:c>
      <x:c r="AE1355" s="8" t="n">
        <x:f>IF(H1355=1,MAX(1,MIN(INDEX(v01_Smax,G1355),AE1354+AD1355)),AE1354)</x:f>
        <x:v>15</x:v>
      </x:c>
      <x:c r="AF1355" s="8" t="n">
        <x:f>MAX(0,AE1355-AE1354)</x:f>
        <x:v>0</x:v>
      </x:c>
      <x:c r="AG1355" s="9" t="str">
        <x:f>IF(AF1355&gt;0,B1355,"")</x:f>
      </x:c>
      <x:c r="AH1355" s="9" t="n">
        <x:f>IF(F1355&gt;=1,1,(1+v01_LowTiesShare*(AE1355-1))/AE1355)</x:f>
        <x:v>1</x:v>
      </x:c>
      <x:c r="AI1355" s="32" t="n">
        <x:f>(Z1355+v01_ElderCommons*INDEX(LM_Elder,G1355)*AA1355)*AH1355</x:f>
        <x:v>44410.13358067584</x:v>
      </x:c>
      <x:c r="AJ1355" s="32" t="n">
        <x:f>H1355*v01_CommonsCoef*AI1355^v01_CommonsExp*INDEX(LM_Commons,G1355)</x:f>
        <x:v>23947.479974551654</x:v>
      </x:c>
      <x:c r="AK1355" s="32" t="n">
        <x:f>H1355*v01_RoleScale*Arch_Roles*(AE1355*(INDEX(v01_ElderRolePerSett,G1355)*v01_OutElder*INDEX(LM_Elder,G1355)+INDEX(v01_ShamanPerSett,G1355)*v01_OutShaman)+Z1355*(INDEX(v01_PriestShare,G1355)*v01_OutPriest+INDEX(v01_ScribeShare,G1355)*v01_OutScribe*INDEX(LM_Scribe,G1355)+INDEX(v01_ScholarShare,G1355)*v01_OutScholar*INDEX(LM_Scholar,G1355)+INDEX(v01_ResearcherShare,G1355)*v01_OutResearcher*INDEX(LM_Researcher,G1355)))</x:f>
        <x:v>6856.9351036739345</x:v>
      </x:c>
      <x:c r="AL1355" s="32" t="n">
        <x:f>H1355*v01_RoleScale*Arch_Roles*AE1355*INDEX(v01_MonasteryPerSett,G1355)*v01_OutMonastery*INDEX(LM_Monastery,G1355)</x:f>
        <x:v>3.3000000000000003</x:v>
      </x:c>
      <x:c r="AM1355" s="32" t="n">
        <x:f>(AJ1355+AK1355+AL1355)/4*INDEX(LM_All,G1355)*INDEX(v01_Boon,G1355)*Arch_Insight</x:f>
        <x:v>26678.631609891658</x:v>
      </x:c>
      <x:c r="AN1355" s="32" t="n">
        <x:f>H1355*(v01_KHPerAdult*Z1355+v01_KHOfCommons*AJ1355/4*INDEX(LM_All,G1355))*v01_KHUsable*Arch_KH</x:f>
        <x:v>529.0568173712384</x:v>
      </x:c>
      <x:c r="AO1355" s="32" t="n">
        <x:f>MIN(AP1354+AN1355,AM1355*v01_KHMaxRatio)</x:f>
        <x:v>529.0568173712384</x:v>
      </x:c>
      <x:c r="AP1355" s="32" t="n">
        <x:f>AP1354+AN1355-AO1355</x:f>
        <x:v>0</x:v>
      </x:c>
      <x:c r="AQ1355" s="32" t="n">
        <x:f>AM1355+AO1355</x:f>
        <x:v>27207.688427262896</x:v>
      </x:c>
      <x:c r="AR1355" s="10" t="n">
        <x:f>IF(H1355=1,INDEX(v01_Req,G1355),0)</x:f>
        <x:v>1845340.8943637449</x:v>
      </x:c>
      <x:c r="AS1355" s="32" t="n">
        <x:f>IF(H1355=1,IF(E1355=1,AS1354-AR1354,AS1354)+AQ1355,0)</x:f>
        <x:v>301845.4927120216</x:v>
      </x:c>
      <x:c r="AT1355" s="11" t="n">
        <x:f>IF(AR1355&gt;0,MIN(1,AS1355/AR1355),1)</x:f>
        <x:v>0.16357167048860904</x:v>
      </x:c>
      <x:c r="AU1355" s="10" t="n">
        <x:f>AB1355/INDEX(v01_RepScale,G1355)</x:f>
        <x:v>70.02348123731767</x:v>
      </x:c>
      <x:c r="AV1355" s="32" t="n">
        <x:f>AM1355*60/v01_SeasonSeconds</x:f>
        <x:v>106714.52643956663</x:v>
      </x:c>
    </x:row>
    <x:row r="1356">
      <x:c r="A1356" s="8" t="n">
        <x:f>A1355+1</x:f>
        <x:v>1353</x:v>
      </x:c>
      <x:c r="B1356" s="9" t="n">
        <x:f>A1356*v01_SeasonSeconds/60</x:f>
        <x:v>338.25</x:v>
      </x:c>
      <x:c r="C1356" s="9" t="n">
        <x:f>A1356/4</x:f>
        <x:v>338.25</x:v>
      </x:c>
      <x:c r="D1356" s="8" t="n">
        <x:f>IF(MOD(A1356,4)=0,1,0)</x:f>
        <x:v>0</x:v>
      </x:c>
      <x:c r="E1356" s="8" t="n">
        <x:f>IF(AND(F1355&lt;=9,AS1355&gt;=AR1355),1,0)</x:f>
        <x:v>0</x:v>
      </x:c>
      <x:c r="F1356" s="8" t="n">
        <x:f>MIN(10,F1355+E1356)</x:f>
        <x:v>9</x:v>
      </x:c>
      <x:c r="G1356" s="8" t="n">
        <x:f>MIN(F1356,9)+1</x:f>
        <x:v>10</x:v>
      </x:c>
      <x:c r="H1356" s="8" t="n">
        <x:f>IF(F1356&lt;=9,1,0)</x:f>
        <x:v>1</x:v>
      </x:c>
      <x:c r="I1356" s="9" t="n">
        <x:f>MIN(10,F1355+IF(AR1355&gt;0,MIN(1,AS1355/AR1355),1))</x:f>
        <x:v>9.16357167048861</x:v>
      </x:c>
      <x:c r="J1356" s="32" t="n">
        <x:f>INDEX(v01_FoodCap,G1356)*Arch_FoodCap*EXP(v01_CapsByProject*SUMPRODUCT((Cap_Point&lt;=I1356)*(Cap_Kind="Food")*Cap_Ln))</x:f>
        <x:v>12000</x:v>
      </x:c>
      <x:c r="K1356" s="32" t="n">
        <x:f>J1356*MIN(1,v01_LeanBase*EXP(v01_CapsByProject*SUMPRODUCT((Cap_Point&lt;=I1356)*(Cap_Kind="Lean")*Cap_Ln)))</x:f>
        <x:v>12000</x:v>
      </x:c>
      <x:c r="L1356" s="10" t="n">
        <x:f>INDEX(v01_HousingCap,G1356)*EXP(v01_CapsByProject*SUMPRODUCT((Cap_Point&lt;=I1356)*(Cap_Kind="Housing")*Cap_Ln))</x:f>
        <x:v>20000</x:v>
      </x:c>
      <x:c r="M1356" s="10" t="n">
        <x:f>INDEX(v01_GroupCap,G1356)*v01_CohesionFactor*EXP(v01_CapsByProject*SUMPRODUCT((Cap_Point&lt;=I1356)*(Cap_Kind="Group")*Cap_Ln))</x:f>
        <x:v>1000000</x:v>
      </x:c>
      <x:c r="N1356" s="32" t="n">
        <x:f>MIN(J1356,L1356,M1356)</x:f>
        <x:v>12000</x:v>
      </x:c>
      <x:c r="O1356" s="10" t="n">
        <x:f>AE1355*N1356</x:f>
        <x:v>180000</x:v>
      </x:c>
      <x:c r="P1356" s="9" t="n">
        <x:f>MIN(1,(AB1355/(AE1355*IF(v01_GroupInCrowding=1,N1356,MIN(J1356,L1356))))^v01_CrowdingExp)</x:f>
        <x:v>0.00005415607532638658</x:v>
      </x:c>
      <x:c r="Q1356" s="9" t="n">
        <x:f>IF(D1356=1,INDEX(v01_WinterMult,G1356),1)</x:f>
        <x:v>1</x:v>
      </x:c>
      <x:c r="R1356" s="9" t="n">
        <x:f>H1356*Z1355*v01_WomenShare*v01_BaseFertility*INDEX(v01_FertMult,G1356)*Arch_Fertility*(1-P1356)</x:f>
        <x:v>249.39899241575287</x:v>
      </x:c>
      <x:c r="S1356" s="9" t="n">
        <x:f>H1356*Y1355*INDEX(v01_MortChild,G1356)/4*Q1356</x:f>
        <x:v>9.335684232374618</x:v>
      </x:c>
      <x:c r="T1356" s="9" t="n">
        <x:f>H1356*Z1355*INDEX(v01_MortAdult,G1356)*Arch_AdultMort/4*Q1356</x:f>
        <x:v>9.447443167343543</x:v>
      </x:c>
      <x:c r="U1356" s="9" t="n">
        <x:f>H1356*AA1355*INDEX(v01_MortElder,G1356)/4*Q1356</x:f>
        <x:v>46.551578590060494</x:v>
      </x:c>
      <x:c r="V1356" s="9" t="n">
        <x:f>H1356*MAX(0,AB1355-O1356)*v01_OvercapLoss</x:f>
        <x:v>0</x:v>
      </x:c>
      <x:c r="W1356" s="9" t="n">
        <x:f>H1356*Y1355/(v01_ChildYears*4)</x:f>
        <x:v>222.27819600891945</x:v>
      </x:c>
      <x:c r="X1356" s="9" t="n">
        <x:f>H1356*Z1355/(v01_AdultYears*4)</x:f>
        <x:v>121.90249248185216</x:v>
      </x:c>
      <x:c r="Y1356" s="32" t="n">
        <x:f>Y1355+R1356-S1356-W1356-Y1355*V1356/AB1355</x:f>
        <x:v>12465.364088673949</x:v>
      </x:c>
      <x:c r="Z1356" s="32" t="n">
        <x:f>Z1355+W1356-X1356-T1356-Z1355*V1356/AB1355</x:f>
        <x:v>15206.837328109392</x:v>
      </x:c>
      <x:c r="AA1356" s="32" t="n">
        <x:f>AA1355+X1356-U1356-AA1355*V1356/AB1355</x:f>
        <x:v>7523.60348830147</x:v>
      </x:c>
      <x:c r="AB1356" s="10" t="n">
        <x:f>Y1356+Z1356+AA1356</x:f>
        <x:v>35195.80490508481</x:v>
      </x:c>
      <x:c r="AC1356" s="8" t="n">
        <x:f>IF(AND(v01_WinterTrigger=1,D1356=1,AB1355/AE1355&gt;=K1356),1,0)</x:f>
        <x:v>0</x:v>
      </x:c>
      <x:c r="AD1356" s="8" t="n">
        <x:f>H1356*IF(AND(OR(AB1355/AE1355&gt;=v01_FissionTrigger*N1356,AC1356=1),AB1355/AE1355*v01_DaughterShare&gt;=v01_MinDaughter),MAX(1,ROUND(AE1355*v01_FissionRate,0)),0)</x:f>
        <x:v>0</x:v>
      </x:c>
      <x:c r="AE1356" s="8" t="n">
        <x:f>IF(H1356=1,MAX(1,MIN(INDEX(v01_Smax,G1356),AE1355+AD1356)),AE1355)</x:f>
        <x:v>15</x:v>
      </x:c>
      <x:c r="AF1356" s="8" t="n">
        <x:f>MAX(0,AE1356-AE1355)</x:f>
        <x:v>0</x:v>
      </x:c>
      <x:c r="AG1356" s="9" t="str">
        <x:f>IF(AF1356&gt;0,B1356,"")</x:f>
      </x:c>
      <x:c r="AH1356" s="9" t="n">
        <x:f>IF(F1356&gt;=1,1,(1+v01_LowTiesShare*(AE1356-1))/AE1356)</x:f>
        <x:v>1</x:v>
      </x:c>
      <x:c r="AI1356" s="32" t="n">
        <x:f>(Z1356+v01_ElderCommons*INDEX(LM_Elder,G1356)*AA1356)*AH1356</x:f>
        <x:v>44797.41948556339</x:v>
      </x:c>
      <x:c r="AJ1356" s="32" t="n">
        <x:f>H1356*v01_CommonsCoef*AI1356^v01_CommonsExp*INDEX(LM_Commons,G1356)</x:f>
        <x:v>24124.876520229274</x:v>
      </x:c>
      <x:c r="AK1356" s="32" t="n">
        <x:f>H1356*v01_RoleScale*Arch_Roles*(AE1356*(INDEX(v01_ElderRolePerSett,G1356)*v01_OutElder*INDEX(LM_Elder,G1356)+INDEX(v01_ShamanPerSett,G1356)*v01_OutShaman)+Z1356*(INDEX(v01_PriestShare,G1356)*v01_OutPriest+INDEX(v01_ScribeShare,G1356)*v01_OutScribe*INDEX(LM_Scribe,G1356)+INDEX(v01_ScholarShare,G1356)*v01_OutScholar*INDEX(LM_Scholar,G1356)+INDEX(v01_ResearcherShare,G1356)*v01_OutResearcher*INDEX(LM_Researcher,G1356)))</x:f>
        <x:v>6897.869533271077</x:v>
      </x:c>
      <x:c r="AL1356" s="32" t="n">
        <x:f>H1356*v01_RoleScale*Arch_Roles*AE1356*INDEX(v01_MonasteryPerSett,G1356)*v01_OutMonastery*INDEX(LM_Monastery,G1356)</x:f>
        <x:v>3.3000000000000003</x:v>
      </x:c>
      <x:c r="AM1356" s="32" t="n">
        <x:f>(AJ1356+AK1356+AL1356)/4*INDEX(LM_All,G1356)*INDEX(v01_Boon,G1356)*Arch_Insight</x:f>
        <x:v>26867.700213116328</x:v>
      </x:c>
      <x:c r="AN1356" s="32" t="n">
        <x:f>H1356*(v01_KHPerAdult*Z1356+v01_KHOfCommons*AJ1356/4*INDEX(LM_All,G1356))*v01_KHUsable*Arch_KH</x:f>
        <x:v>532.2393064838287</x:v>
      </x:c>
      <x:c r="AO1356" s="32" t="n">
        <x:f>MIN(AP1355+AN1356,AM1356*v01_KHMaxRatio)</x:f>
        <x:v>532.2393064838287</x:v>
      </x:c>
      <x:c r="AP1356" s="32" t="n">
        <x:f>AP1355+AN1356-AO1356</x:f>
        <x:v>0</x:v>
      </x:c>
      <x:c r="AQ1356" s="32" t="n">
        <x:f>AM1356+AO1356</x:f>
        <x:v>27399.939519600157</x:v>
      </x:c>
      <x:c r="AR1356" s="10" t="n">
        <x:f>IF(H1356=1,INDEX(v01_Req,G1356),0)</x:f>
        <x:v>1845340.8943637449</x:v>
      </x:c>
      <x:c r="AS1356" s="32" t="n">
        <x:f>IF(H1356=1,IF(E1356=1,AS1355-AR1355,AS1355)+AQ1356,0)</x:f>
        <x:v>329245.4322316217</x:v>
      </x:c>
      <x:c r="AT1356" s="11" t="n">
        <x:f>IF(AR1356&gt;0,MIN(1,AS1356/AR1356),1)</x:f>
        <x:v>0.1784198427711874</x:v>
      </x:c>
      <x:c r="AU1356" s="10" t="n">
        <x:f>AB1356/INDEX(v01_RepScale,G1356)</x:f>
        <x:v>70.39160981016963</x:v>
      </x:c>
      <x:c r="AV1356" s="32" t="n">
        <x:f>AM1356*60/v01_SeasonSeconds</x:f>
        <x:v>107470.80085246531</x:v>
      </x:c>
    </x:row>
    <x:row r="1357">
      <x:c r="A1357" s="8" t="n">
        <x:f>A1356+1</x:f>
        <x:v>1354</x:v>
      </x:c>
      <x:c r="B1357" s="9" t="n">
        <x:f>A1357*v01_SeasonSeconds/60</x:f>
        <x:v>338.5</x:v>
      </x:c>
      <x:c r="C1357" s="9" t="n">
        <x:f>A1357/4</x:f>
        <x:v>338.5</x:v>
      </x:c>
      <x:c r="D1357" s="8" t="n">
        <x:f>IF(MOD(A1357,4)=0,1,0)</x:f>
        <x:v>0</x:v>
      </x:c>
      <x:c r="E1357" s="8" t="n">
        <x:f>IF(AND(F1356&lt;=9,AS1356&gt;=AR1356),1,0)</x:f>
        <x:v>0</x:v>
      </x:c>
      <x:c r="F1357" s="8" t="n">
        <x:f>MIN(10,F1356+E1357)</x:f>
        <x:v>9</x:v>
      </x:c>
      <x:c r="G1357" s="8" t="n">
        <x:f>MIN(F1357,9)+1</x:f>
        <x:v>10</x:v>
      </x:c>
      <x:c r="H1357" s="8" t="n">
        <x:f>IF(F1357&lt;=9,1,0)</x:f>
        <x:v>1</x:v>
      </x:c>
      <x:c r="I1357" s="9" t="n">
        <x:f>MIN(10,F1356+IF(AR1356&gt;0,MIN(1,AS1356/AR1356),1))</x:f>
        <x:v>9.178419842771188</x:v>
      </x:c>
      <x:c r="J1357" s="32" t="n">
        <x:f>INDEX(v01_FoodCap,G1357)*Arch_FoodCap*EXP(v01_CapsByProject*SUMPRODUCT((Cap_Point&lt;=I1357)*(Cap_Kind="Food")*Cap_Ln))</x:f>
        <x:v>12000</x:v>
      </x:c>
      <x:c r="K1357" s="32" t="n">
        <x:f>J1357*MIN(1,v01_LeanBase*EXP(v01_CapsByProject*SUMPRODUCT((Cap_Point&lt;=I1357)*(Cap_Kind="Lean")*Cap_Ln)))</x:f>
        <x:v>12000</x:v>
      </x:c>
      <x:c r="L1357" s="10" t="n">
        <x:f>INDEX(v01_HousingCap,G1357)*EXP(v01_CapsByProject*SUMPRODUCT((Cap_Point&lt;=I1357)*(Cap_Kind="Housing")*Cap_Ln))</x:f>
        <x:v>20000</x:v>
      </x:c>
      <x:c r="M1357" s="10" t="n">
        <x:f>INDEX(v01_GroupCap,G1357)*v01_CohesionFactor*EXP(v01_CapsByProject*SUMPRODUCT((Cap_Point&lt;=I1357)*(Cap_Kind="Group")*Cap_Ln))</x:f>
        <x:v>1000000</x:v>
      </x:c>
      <x:c r="N1357" s="32" t="n">
        <x:f>MIN(J1357,L1357,M1357)</x:f>
        <x:v>12000</x:v>
      </x:c>
      <x:c r="O1357" s="10" t="n">
        <x:f>AE1356*N1357</x:f>
        <x:v>180000</x:v>
      </x:c>
      <x:c r="P1357" s="9" t="n">
        <x:f>MIN(1,(AB1356/(AE1356*IF(v01_GroupInCrowding=1,N1357,MIN(J1357,L1357))))^v01_CrowdingExp)</x:f>
        <x:v>0.000055886946217761804</x:v>
      </x:c>
      <x:c r="Q1357" s="9" t="n">
        <x:f>IF(D1357=1,INDEX(v01_WinterMult,G1357),1)</x:f>
        <x:v>1</x:v>
      </x:c>
      <x:c r="R1357" s="9" t="n">
        <x:f>H1357*Z1356*v01_WomenShare*v01_BaseFertility*INDEX(v01_FertMult,G1357)*Arch_Fertility*(1-P1357)</x:f>
        <x:v>250.89879316275668</x:v>
      </x:c>
      <x:c r="S1357" s="9" t="n">
        <x:f>H1357*Y1356*INDEX(v01_MortChild,G1357)/4*Q1357</x:f>
        <x:v>9.349023066505461</x:v>
      </x:c>
      <x:c r="T1357" s="9" t="n">
        <x:f>H1357*Z1356*INDEX(v01_MortAdult,G1357)*Arch_AdultMort/4*Q1357</x:f>
        <x:v>9.50427333006837</x:v>
      </x:c>
      <x:c r="U1357" s="9" t="n">
        <x:f>H1357*AA1356*INDEX(v01_MortElder,G1357)/4*Q1357</x:f>
        <x:v>47.02252180188419</x:v>
      </x:c>
      <x:c r="V1357" s="9" t="n">
        <x:f>H1357*MAX(0,AB1356-O1357)*v01_OvercapLoss</x:f>
        <x:v>0</x:v>
      </x:c>
      <x:c r="W1357" s="9" t="n">
        <x:f>H1357*Y1356/(v01_ChildYears*4)</x:f>
        <x:v>222.59578729774907</x:v>
      </x:c>
      <x:c r="X1357" s="9" t="n">
        <x:f>H1357*Z1356/(v01_AdultYears*4)</x:f>
        <x:v>122.635784904108</x:v>
      </x:c>
      <x:c r="Y1357" s="32" t="n">
        <x:f>Y1356+R1357-S1357-W1357-Y1356*V1357/AB1356</x:f>
        <x:v>12484.318071472451</x:v>
      </x:c>
      <x:c r="Z1357" s="32" t="n">
        <x:f>Z1356+W1357-X1357-T1357-Z1356*V1357/AB1356</x:f>
        <x:v>15297.293057172963</x:v>
      </x:c>
      <x:c r="AA1357" s="32" t="n">
        <x:f>AA1356+X1357-U1357-AA1356*V1357/AB1356</x:f>
        <x:v>7599.216751403694</x:v>
      </x:c>
      <x:c r="AB1357" s="10" t="n">
        <x:f>Y1357+Z1357+AA1357</x:f>
        <x:v>35380.82788004911</x:v>
      </x:c>
      <x:c r="AC1357" s="8" t="n">
        <x:f>IF(AND(v01_WinterTrigger=1,D1357=1,AB1356/AE1356&gt;=K1357),1,0)</x:f>
        <x:v>0</x:v>
      </x:c>
      <x:c r="AD1357" s="8" t="n">
        <x:f>H1357*IF(AND(OR(AB1356/AE1356&gt;=v01_FissionTrigger*N1357,AC1357=1),AB1356/AE1356*v01_DaughterShare&gt;=v01_MinDaughter),MAX(1,ROUND(AE1356*v01_FissionRate,0)),0)</x:f>
        <x:v>0</x:v>
      </x:c>
      <x:c r="AE1357" s="8" t="n">
        <x:f>IF(H1357=1,MAX(1,MIN(INDEX(v01_Smax,G1357),AE1356+AD1357)),AE1356)</x:f>
        <x:v>15</x:v>
      </x:c>
      <x:c r="AF1357" s="8" t="n">
        <x:f>MAX(0,AE1357-AE1356)</x:f>
        <x:v>0</x:v>
      </x:c>
      <x:c r="AG1357" s="9" t="str">
        <x:f>IF(AF1357&gt;0,B1357,"")</x:f>
      </x:c>
      <x:c r="AH1357" s="9" t="n">
        <x:f>IF(F1357&gt;=1,1,(1+v01_LowTiesShare*(AE1357-1))/AE1357)</x:f>
        <x:v>1</x:v>
      </x:c>
      <x:c r="AI1357" s="32" t="n">
        <x:f>(Z1357+v01_ElderCommons*INDEX(LM_Elder,G1357)*AA1357)*AH1357</x:f>
        <x:v>45185.26468730433</x:v>
      </x:c>
      <x:c r="AJ1357" s="32" t="n">
        <x:f>H1357*v01_CommonsCoef*AI1357^v01_CommonsExp*INDEX(LM_Commons,G1357)</x:f>
        <x:v>24302.298854811364</x:v>
      </x:c>
      <x:c r="AK1357" s="32" t="n">
        <x:f>H1357*v01_RoleScale*Arch_Roles*(AE1357*(INDEX(v01_ElderRolePerSett,G1357)*v01_OutElder*INDEX(LM_Elder,G1357)+INDEX(v01_ShamanPerSett,G1357)*v01_OutShaman)+Z1357*(INDEX(v01_PriestShare,G1357)*v01_OutPriest+INDEX(v01_ScribeShare,G1357)*v01_OutScribe*INDEX(LM_Scribe,G1357)+INDEX(v01_ScholarShare,G1357)*v01_OutScholar*INDEX(LM_Scholar,G1357)+INDEX(v01_ResearcherShare,G1357)*v01_OutResearcher*INDEX(LM_Researcher,G1357)))</x:f>
        <x:v>6938.591236934629</x:v>
      </x:c>
      <x:c r="AL1357" s="32" t="n">
        <x:f>H1357*v01_RoleScale*Arch_Roles*AE1357*INDEX(v01_MonasteryPerSett,G1357)*v01_OutMonastery*INDEX(LM_Monastery,G1357)</x:f>
        <x:v>3.3000000000000003</x:v>
      </x:c>
      <x:c r="AM1357" s="32" t="n">
        <x:f>(AJ1357+AK1357+AL1357)/4*INDEX(LM_All,G1357)*INDEX(v01_Boon,G1357)*Arch_Insight</x:f>
        <x:v>27056.60693402933</x:v>
      </x:c>
      <x:c r="AN1357" s="32" t="n">
        <x:f>H1357*(v01_KHPerAdult*Z1357+v01_KHOfCommons*AJ1357/4*INDEX(LM_All,G1357))*v01_KHUsable*Arch_KH</x:f>
        <x:v>535.4052570010538</x:v>
      </x:c>
      <x:c r="AO1357" s="32" t="n">
        <x:f>MIN(AP1356+AN1357,AM1357*v01_KHMaxRatio)</x:f>
        <x:v>535.4052570010538</x:v>
      </x:c>
      <x:c r="AP1357" s="32" t="n">
        <x:f>AP1356+AN1357-AO1357</x:f>
        <x:v>0</x:v>
      </x:c>
      <x:c r="AQ1357" s="32" t="n">
        <x:f>AM1357+AO1357</x:f>
        <x:v>27592.012191030382</x:v>
      </x:c>
      <x:c r="AR1357" s="10" t="n">
        <x:f>IF(H1357=1,INDEX(v01_Req,G1357),0)</x:f>
        <x:v>1845340.8943637449</x:v>
      </x:c>
      <x:c r="AS1357" s="32" t="n">
        <x:f>IF(H1357=1,IF(E1357=1,AS1356-AR1356,AS1356)+AQ1357,0)</x:f>
        <x:v>356837.4444226521</x:v>
      </x:c>
      <x:c r="AT1357" s="11" t="n">
        <x:f>IF(AR1357&gt;0,MIN(1,AS1357/AR1357),1)</x:f>
        <x:v>0.19337210025125795</x:v>
      </x:c>
      <x:c r="AU1357" s="10" t="n">
        <x:f>AB1357/INDEX(v01_RepScale,G1357)</x:f>
        <x:v>70.76165576009822</x:v>
      </x:c>
      <x:c r="AV1357" s="32" t="n">
        <x:f>AM1357*60/v01_SeasonSeconds</x:f>
        <x:v>108226.42773611732</x:v>
      </x:c>
    </x:row>
    <x:row r="1358">
      <x:c r="A1358" s="8" t="n">
        <x:f>A1357+1</x:f>
        <x:v>1355</x:v>
      </x:c>
      <x:c r="B1358" s="9" t="n">
        <x:f>A1358*v01_SeasonSeconds/60</x:f>
        <x:v>338.75</x:v>
      </x:c>
      <x:c r="C1358" s="9" t="n">
        <x:f>A1358/4</x:f>
        <x:v>338.75</x:v>
      </x:c>
      <x:c r="D1358" s="8" t="n">
        <x:f>IF(MOD(A1358,4)=0,1,0)</x:f>
        <x:v>0</x:v>
      </x:c>
      <x:c r="E1358" s="8" t="n">
        <x:f>IF(AND(F1357&lt;=9,AS1357&gt;=AR1357),1,0)</x:f>
        <x:v>0</x:v>
      </x:c>
      <x:c r="F1358" s="8" t="n">
        <x:f>MIN(10,F1357+E1358)</x:f>
        <x:v>9</x:v>
      </x:c>
      <x:c r="G1358" s="8" t="n">
        <x:f>MIN(F1358,9)+1</x:f>
        <x:v>10</x:v>
      </x:c>
      <x:c r="H1358" s="8" t="n">
        <x:f>IF(F1358&lt;=9,1,0)</x:f>
        <x:v>1</x:v>
      </x:c>
      <x:c r="I1358" s="9" t="n">
        <x:f>MIN(10,F1357+IF(AR1357&gt;0,MIN(1,AS1357/AR1357),1))</x:f>
        <x:v>9.193372100251258</x:v>
      </x:c>
      <x:c r="J1358" s="32" t="n">
        <x:f>INDEX(v01_FoodCap,G1358)*Arch_FoodCap*EXP(v01_CapsByProject*SUMPRODUCT((Cap_Point&lt;=I1358)*(Cap_Kind="Food")*Cap_Ln))</x:f>
        <x:v>12000</x:v>
      </x:c>
      <x:c r="K1358" s="32" t="n">
        <x:f>J1358*MIN(1,v01_LeanBase*EXP(v01_CapsByProject*SUMPRODUCT((Cap_Point&lt;=I1358)*(Cap_Kind="Lean")*Cap_Ln)))</x:f>
        <x:v>12000</x:v>
      </x:c>
      <x:c r="L1358" s="10" t="n">
        <x:f>INDEX(v01_HousingCap,G1358)*EXP(v01_CapsByProject*SUMPRODUCT((Cap_Point&lt;=I1358)*(Cap_Kind="Housing")*Cap_Ln))</x:f>
        <x:v>20000</x:v>
      </x:c>
      <x:c r="M1358" s="10" t="n">
        <x:f>INDEX(v01_GroupCap,G1358)*v01_CohesionFactor*EXP(v01_CapsByProject*SUMPRODUCT((Cap_Point&lt;=I1358)*(Cap_Kind="Group")*Cap_Ln))</x:f>
        <x:v>1000000</x:v>
      </x:c>
      <x:c r="N1358" s="32" t="n">
        <x:f>MIN(J1358,L1358,M1358)</x:f>
        <x:v>12000</x:v>
      </x:c>
      <x:c r="O1358" s="10" t="n">
        <x:f>AE1357*N1358</x:f>
        <x:v>180000</x:v>
      </x:c>
      <x:c r="P1358" s="9" t="n">
        <x:f>MIN(1,(AB1357/(AE1357*IF(v01_GroupInCrowding=1,N1358,MIN(J1358,L1358))))^v01_CrowdingExp)</x:f>
        <x:v>0.000057673049307826636</x:v>
      </x:c>
      <x:c r="Q1358" s="9" t="n">
        <x:f>IF(D1358=1,INDEX(v01_WinterMult,G1358),1)</x:f>
        <x:v>1</x:v>
      </x:c>
      <x:c r="R1358" s="9" t="n">
        <x:f>H1358*Z1357*v01_WomenShare*v01_BaseFertility*INDEX(v01_FertMult,G1358)*Arch_Fertility*(1-P1358)</x:f>
        <x:v>252.39077845799733</x:v>
      </x:c>
      <x:c r="S1358" s="9" t="n">
        <x:f>H1358*Y1357*INDEX(v01_MortChild,G1358)/4*Q1358</x:f>
        <x:v>9.363238553604338</x:v>
      </x:c>
      <x:c r="T1358" s="9" t="n">
        <x:f>H1358*Z1357*INDEX(v01_MortAdult,G1358)*Arch_AdultMort/4*Q1358</x:f>
        <x:v>9.560808160733101</x:v>
      </x:c>
      <x:c r="U1358" s="9" t="n">
        <x:f>H1358*AA1357*INDEX(v01_MortElder,G1358)/4*Q1358</x:f>
        <x:v>47.49510469627309</x:v>
      </x:c>
      <x:c r="V1358" s="9" t="n">
        <x:f>H1358*MAX(0,AB1357-O1358)*v01_OvercapLoss</x:f>
        <x:v>0</x:v>
      </x:c>
      <x:c r="W1358" s="9" t="n">
        <x:f>H1358*Y1357/(v01_ChildYears*4)</x:f>
        <x:v>222.93425127629376</x:v>
      </x:c>
      <x:c r="X1358" s="9" t="n">
        <x:f>H1358*Z1357/(v01_AdultYears*4)</x:f>
        <x:v>123.36526659010454</x:v>
      </x:c>
      <x:c r="Y1358" s="32" t="n">
        <x:f>Y1357+R1358-S1358-W1358-Y1357*V1358/AB1357</x:f>
        <x:v>12504.41136010055</x:v>
      </x:c>
      <x:c r="Z1358" s="32" t="n">
        <x:f>Z1357+W1358-X1358-T1358-Z1357*V1358/AB1357</x:f>
        <x:v>15387.30123369842</x:v>
      </x:c>
      <x:c r="AA1358" s="32" t="n">
        <x:f>AA1357+X1358-U1358-AA1357*V1358/AB1357</x:f>
        <x:v>7675.086913297525</x:v>
      </x:c>
      <x:c r="AB1358" s="10" t="n">
        <x:f>Y1358+Z1358+AA1358</x:f>
        <x:v>35566.7995070965</x:v>
      </x:c>
      <x:c r="AC1358" s="8" t="n">
        <x:f>IF(AND(v01_WinterTrigger=1,D1358=1,AB1357/AE1357&gt;=K1358),1,0)</x:f>
        <x:v>0</x:v>
      </x:c>
      <x:c r="AD1358" s="8" t="n">
        <x:f>H1358*IF(AND(OR(AB1357/AE1357&gt;=v01_FissionTrigger*N1358,AC1358=1),AB1357/AE1357*v01_DaughterShare&gt;=v01_MinDaughter),MAX(1,ROUND(AE1357*v01_FissionRate,0)),0)</x:f>
        <x:v>0</x:v>
      </x:c>
      <x:c r="AE1358" s="8" t="n">
        <x:f>IF(H1358=1,MAX(1,MIN(INDEX(v01_Smax,G1358),AE1357+AD1358)),AE1357)</x:f>
        <x:v>15</x:v>
      </x:c>
      <x:c r="AF1358" s="8" t="n">
        <x:f>MAX(0,AE1358-AE1357)</x:f>
        <x:v>0</x:v>
      </x:c>
      <x:c r="AG1358" s="9" t="str">
        <x:f>IF(AF1358&gt;0,B1358,"")</x:f>
      </x:c>
      <x:c r="AH1358" s="9" t="n">
        <x:f>IF(F1358&gt;=1,1,(1+v01_LowTiesShare*(AE1358-1))/AE1358)</x:f>
        <x:v>1</x:v>
      </x:c>
      <x:c r="AI1358" s="32" t="n">
        <x:f>(Z1358+v01_ElderCommons*INDEX(LM_Elder,G1358)*AA1358)*AH1358</x:f>
        <x:v>45573.6727279786</x:v>
      </x:c>
      <x:c r="AJ1358" s="32" t="n">
        <x:f>H1358*v01_CommonsCoef*AI1358^v01_CommonsExp*INDEX(LM_Commons,G1358)</x:f>
        <x:v>24479.749877439725</x:v>
      </x:c>
      <x:c r="AK1358" s="32" t="n">
        <x:f>H1358*v01_RoleScale*Arch_Roles*(AE1358*(INDEX(v01_ElderRolePerSett,G1358)*v01_OutElder*INDEX(LM_Elder,G1358)+INDEX(v01_ShamanPerSett,G1358)*v01_OutShaman)+Z1358*(INDEX(v01_PriestShare,G1358)*v01_OutPriest+INDEX(v01_ScribeShare,G1358)*v01_OutScribe*INDEX(LM_Scribe,G1358)+INDEX(v01_ScholarShare,G1358)*v01_OutScholar*INDEX(LM_Scholar,G1358)+INDEX(v01_ResearcherShare,G1358)*v01_OutResearcher*INDEX(LM_Researcher,G1358)))</x:f>
        <x:v>6979.111459696754</x:v>
      </x:c>
      <x:c r="AL1358" s="32" t="n">
        <x:f>H1358*v01_RoleScale*Arch_Roles*AE1358*INDEX(v01_MonasteryPerSett,G1358)*v01_OutMonastery*INDEX(LM_Monastery,G1358)</x:f>
        <x:v>3.3000000000000003</x:v>
      </x:c>
      <x:c r="AM1358" s="32" t="n">
        <x:f>(AJ1358+AK1358+AL1358)/4*INDEX(LM_All,G1358)*INDEX(v01_Boon,G1358)*Arch_Insight</x:f>
        <x:v>27245.36402109523</x:v>
      </x:c>
      <x:c r="AN1358" s="32" t="n">
        <x:f>H1358*(v01_KHPerAdult*Z1358+v01_KHOfCommons*AJ1358/4*INDEX(LM_All,G1358))*v01_KHUsable*Arch_KH</x:f>
        <x:v>538.5555431794446</x:v>
      </x:c>
      <x:c r="AO1358" s="32" t="n">
        <x:f>MIN(AP1357+AN1358,AM1358*v01_KHMaxRatio)</x:f>
        <x:v>538.5555431794446</x:v>
      </x:c>
      <x:c r="AP1358" s="32" t="n">
        <x:f>AP1357+AN1358-AO1358</x:f>
        <x:v>0</x:v>
      </x:c>
      <x:c r="AQ1358" s="32" t="n">
        <x:f>AM1358+AO1358</x:f>
        <x:v>27783.919564274674</x:v>
      </x:c>
      <x:c r="AR1358" s="10" t="n">
        <x:f>IF(H1358=1,INDEX(v01_Req,G1358),0)</x:f>
        <x:v>1845340.8943637449</x:v>
      </x:c>
      <x:c r="AS1358" s="32" t="n">
        <x:f>IF(H1358=1,IF(E1358=1,AS1357-AR1357,AS1357)+AQ1358,0)</x:f>
        <x:v>384621.36398692674</x:v>
      </x:c>
      <x:c r="AT1358" s="11" t="n">
        <x:f>IF(AR1358&gt;0,MIN(1,AS1358/AR1358),1)</x:f>
        <x:v>0.20842835335285861</x:v>
      </x:c>
      <x:c r="AU1358" s="10" t="n">
        <x:f>AB1358/INDEX(v01_RepScale,G1358)</x:f>
        <x:v>71.133599014193</x:v>
      </x:c>
      <x:c r="AV1358" s="32" t="n">
        <x:f>AM1358*60/v01_SeasonSeconds</x:f>
        <x:v>108981.45608438092</x:v>
      </x:c>
    </x:row>
    <x:row r="1359">
      <x:c r="A1359" s="8" t="n">
        <x:f>A1358+1</x:f>
        <x:v>1356</x:v>
      </x:c>
      <x:c r="B1359" s="9" t="n">
        <x:f>A1359*v01_SeasonSeconds/60</x:f>
        <x:v>339</x:v>
      </x:c>
      <x:c r="C1359" s="9" t="n">
        <x:f>A1359/4</x:f>
        <x:v>339</x:v>
      </x:c>
      <x:c r="D1359" s="8" t="n">
        <x:f>IF(MOD(A1359,4)=0,1,0)</x:f>
        <x:v>1</x:v>
      </x:c>
      <x:c r="E1359" s="8" t="n">
        <x:f>IF(AND(F1358&lt;=9,AS1358&gt;=AR1358),1,0)</x:f>
        <x:v>0</x:v>
      </x:c>
      <x:c r="F1359" s="8" t="n">
        <x:f>MIN(10,F1358+E1359)</x:f>
        <x:v>9</x:v>
      </x:c>
      <x:c r="G1359" s="8" t="n">
        <x:f>MIN(F1359,9)+1</x:f>
        <x:v>10</x:v>
      </x:c>
      <x:c r="H1359" s="8" t="n">
        <x:f>IF(F1359&lt;=9,1,0)</x:f>
        <x:v>1</x:v>
      </x:c>
      <x:c r="I1359" s="9" t="n">
        <x:f>MIN(10,F1358+IF(AR1358&gt;0,MIN(1,AS1358/AR1358),1))</x:f>
        <x:v>9.20842835335286</x:v>
      </x:c>
      <x:c r="J1359" s="32" t="n">
        <x:f>INDEX(v01_FoodCap,G1359)*Arch_FoodCap*EXP(v01_CapsByProject*SUMPRODUCT((Cap_Point&lt;=I1359)*(Cap_Kind="Food")*Cap_Ln))</x:f>
        <x:v>12000</x:v>
      </x:c>
      <x:c r="K1359" s="32" t="n">
        <x:f>J1359*MIN(1,v01_LeanBase*EXP(v01_CapsByProject*SUMPRODUCT((Cap_Point&lt;=I1359)*(Cap_Kind="Lean")*Cap_Ln)))</x:f>
        <x:v>12000</x:v>
      </x:c>
      <x:c r="L1359" s="10" t="n">
        <x:f>INDEX(v01_HousingCap,G1359)*EXP(v01_CapsByProject*SUMPRODUCT((Cap_Point&lt;=I1359)*(Cap_Kind="Housing")*Cap_Ln))</x:f>
        <x:v>20000</x:v>
      </x:c>
      <x:c r="M1359" s="10" t="n">
        <x:f>INDEX(v01_GroupCap,G1359)*v01_CohesionFactor*EXP(v01_CapsByProject*SUMPRODUCT((Cap_Point&lt;=I1359)*(Cap_Kind="Group")*Cap_Ln))</x:f>
        <x:v>1000000</x:v>
      </x:c>
      <x:c r="N1359" s="32" t="n">
        <x:f>MIN(J1359,L1359,M1359)</x:f>
        <x:v>12000</x:v>
      </x:c>
      <x:c r="O1359" s="10" t="n">
        <x:f>AE1358*N1359</x:f>
        <x:v>180000</x:v>
      </x:c>
      <x:c r="P1359" s="9" t="n">
        <x:f>MIN(1,(AB1358/(AE1358*IF(v01_GroupInCrowding=1,N1359,MIN(J1359,L1359))))^v01_CrowdingExp)</x:f>
        <x:v>0.000059515993826570174</x:v>
      </x:c>
      <x:c r="Q1359" s="9" t="n">
        <x:f>IF(D1359=1,INDEX(v01_WinterMult,G1359),1)</x:f>
        <x:v>1</x:v>
      </x:c>
      <x:c r="R1359" s="9" t="n">
        <x:f>H1359*Z1358*v01_WomenShare*v01_BaseFertility*INDEX(v01_FertMult,G1359)*Arch_Fertility*(1-P1359)</x:f>
        <x:v>253.8753598123576</x:v>
      </x:c>
      <x:c r="S1359" s="9" t="n">
        <x:f>H1359*Y1358*INDEX(v01_MortChild,G1359)/4*Q1359</x:f>
        <x:v>9.378308520075413</x:v>
      </x:c>
      <x:c r="T1359" s="9" t="n">
        <x:f>H1359*Z1358*INDEX(v01_MortAdult,G1359)*Arch_AdultMort/4*Q1359</x:f>
        <x:v>9.617063271061513</x:v>
      </x:c>
      <x:c r="U1359" s="9" t="n">
        <x:f>H1359*AA1358*INDEX(v01_MortElder,G1359)/4*Q1359</x:f>
        <x:v>47.969293208109534</x:v>
      </x:c>
      <x:c r="V1359" s="9" t="n">
        <x:f>H1359*MAX(0,AB1358-O1359)*v01_OvercapLoss</x:f>
        <x:v>0</x:v>
      </x:c>
      <x:c r="W1359" s="9" t="n">
        <x:f>H1359*Y1358/(v01_ChildYears*4)</x:f>
        <x:v>223.29306000179554</x:v>
      </x:c>
      <x:c r="X1359" s="9" t="n">
        <x:f>H1359*Z1358/(v01_AdultYears*4)</x:f>
        <x:v>124.09113898143886</x:v>
      </x:c>
      <x:c r="Y1359" s="32" t="n">
        <x:f>Y1358+R1359-S1359-W1359-Y1358*V1359/AB1358</x:f>
        <x:v>12525.615351391036</x:v>
      </x:c>
      <x:c r="Z1359" s="32" t="n">
        <x:f>Z1358+W1359-X1359-T1359-Z1358*V1359/AB1358</x:f>
        <x:v>15476.886091447714</x:v>
      </x:c>
      <x:c r="AA1359" s="32" t="n">
        <x:f>AA1358+X1359-U1359-AA1358*V1359/AB1358</x:f>
        <x:v>7751.208759070854</x:v>
      </x:c>
      <x:c r="AB1359" s="10" t="n">
        <x:f>Y1359+Z1359+AA1359</x:f>
        <x:v>35753.710201909606</x:v>
      </x:c>
      <x:c r="AC1359" s="8" t="n">
        <x:f>IF(AND(v01_WinterTrigger=1,D1359=1,AB1358/AE1358&gt;=K1359),1,0)</x:f>
        <x:v>0</x:v>
      </x:c>
      <x:c r="AD1359" s="8" t="n">
        <x:f>H1359*IF(AND(OR(AB1358/AE1358&gt;=v01_FissionTrigger*N1359,AC1359=1),AB1358/AE1358*v01_DaughterShare&gt;=v01_MinDaughter),MAX(1,ROUND(AE1358*v01_FissionRate,0)),0)</x:f>
        <x:v>0</x:v>
      </x:c>
      <x:c r="AE1359" s="8" t="n">
        <x:f>IF(H1359=1,MAX(1,MIN(INDEX(v01_Smax,G1359),AE1358+AD1359)),AE1358)</x:f>
        <x:v>15</x:v>
      </x:c>
      <x:c r="AF1359" s="8" t="n">
        <x:f>MAX(0,AE1359-AE1358)</x:f>
        <x:v>0</x:v>
      </x:c>
      <x:c r="AG1359" s="9" t="str">
        <x:f>IF(AF1359&gt;0,B1359,"")</x:f>
      </x:c>
      <x:c r="AH1359" s="9" t="n">
        <x:f>IF(F1359&gt;=1,1,(1+v01_LowTiesShare*(AE1359-1))/AE1359)</x:f>
        <x:v>1</x:v>
      </x:c>
      <x:c r="AI1359" s="32" t="n">
        <x:f>(Z1359+v01_ElderCommons*INDEX(LM_Elder,G1359)*AA1359)*AH1359</x:f>
        <x:v>45962.647330925814</x:v>
      </x:c>
      <x:c r="AJ1359" s="32" t="n">
        <x:f>H1359*v01_CommonsCoef*AI1359^v01_CommonsExp*INDEX(LM_Commons,G1359)</x:f>
        <x:v>24657.232538060518</x:v>
      </x:c>
      <x:c r="AK1359" s="32" t="n">
        <x:f>H1359*v01_RoleScale*Arch_Roles*(AE1359*(INDEX(v01_ElderRolePerSett,G1359)*v01_OutElder*INDEX(LM_Elder,G1359)+INDEX(v01_ShamanPerSett,G1359)*v01_OutShaman)+Z1359*(INDEX(v01_PriestShare,G1359)*v01_OutPriest+INDEX(v01_ScribeShare,G1359)*v01_OutScribe*INDEX(LM_Scribe,G1359)+INDEX(v01_ScholarShare,G1359)*v01_OutScholar*INDEX(LM_Scholar,G1359)+INDEX(v01_ResearcherShare,G1359)*v01_OutResearcher*INDEX(LM_Researcher,G1359)))</x:f>
        <x:v>7019.441111204447</x:v>
      </x:c>
      <x:c r="AL1359" s="32" t="n">
        <x:f>H1359*v01_RoleScale*Arch_Roles*AE1359*INDEX(v01_MonasteryPerSett,G1359)*v01_OutMonastery*INDEX(LM_Monastery,G1359)</x:f>
        <x:v>3.3000000000000003</x:v>
      </x:c>
      <x:c r="AM1359" s="32" t="n">
        <x:f>(AJ1359+AK1359+AL1359)/4*INDEX(LM_All,G1359)*INDEX(v01_Boon,G1359)*Arch_Insight</x:f>
        <x:v>27433.98347633947</x:v>
      </x:c>
      <x:c r="AN1359" s="32" t="n">
        <x:f>H1359*(v01_KHPerAdult*Z1359+v01_KHOfCommons*AJ1359/4*INDEX(LM_All,G1359))*v01_KHUsable*Arch_KH</x:f>
        <x:v>541.6910132006699</x:v>
      </x:c>
      <x:c r="AO1359" s="32" t="n">
        <x:f>MIN(AP1358+AN1359,AM1359*v01_KHMaxRatio)</x:f>
        <x:v>541.6910132006699</x:v>
      </x:c>
      <x:c r="AP1359" s="32" t="n">
        <x:f>AP1358+AN1359-AO1359</x:f>
        <x:v>0</x:v>
      </x:c>
      <x:c r="AQ1359" s="32" t="n">
        <x:f>AM1359+AO1359</x:f>
        <x:v>27975.67448954014</x:v>
      </x:c>
      <x:c r="AR1359" s="10" t="n">
        <x:f>IF(H1359=1,INDEX(v01_Req,G1359),0)</x:f>
        <x:v>1845340.8943637449</x:v>
      </x:c>
      <x:c r="AS1359" s="32" t="n">
        <x:f>IF(H1359=1,IF(E1359=1,AS1358-AR1358,AS1358)+AQ1359,0)</x:f>
        <x:v>412597.0384764669</x:v>
      </x:c>
      <x:c r="AT1359" s="11" t="n">
        <x:f>IF(AR1359&gt;0,MIN(1,AS1359/AR1359),1)</x:f>
        <x:v>0.2235885194636226</x:v>
      </x:c>
      <x:c r="AU1359" s="10" t="n">
        <x:f>AB1359/INDEX(v01_RepScale,G1359)</x:f>
        <x:v>71.50742040381921</x:v>
      </x:c>
      <x:c r="AV1359" s="32" t="n">
        <x:f>AM1359*60/v01_SeasonSeconds</x:f>
        <x:v>109735.93390535787</x:v>
      </x:c>
    </x:row>
    <x:row r="1360">
      <x:c r="A1360" s="8" t="n">
        <x:f>A1359+1</x:f>
        <x:v>1357</x:v>
      </x:c>
      <x:c r="B1360" s="9" t="n">
        <x:f>A1360*v01_SeasonSeconds/60</x:f>
        <x:v>339.25</x:v>
      </x:c>
      <x:c r="C1360" s="9" t="n">
        <x:f>A1360/4</x:f>
        <x:v>339.25</x:v>
      </x:c>
      <x:c r="D1360" s="8" t="n">
        <x:f>IF(MOD(A1360,4)=0,1,0)</x:f>
        <x:v>0</x:v>
      </x:c>
      <x:c r="E1360" s="8" t="n">
        <x:f>IF(AND(F1359&lt;=9,AS1359&gt;=AR1359),1,0)</x:f>
        <x:v>0</x:v>
      </x:c>
      <x:c r="F1360" s="8" t="n">
        <x:f>MIN(10,F1359+E1360)</x:f>
        <x:v>9</x:v>
      </x:c>
      <x:c r="G1360" s="8" t="n">
        <x:f>MIN(F1360,9)+1</x:f>
        <x:v>10</x:v>
      </x:c>
      <x:c r="H1360" s="8" t="n">
        <x:f>IF(F1360&lt;=9,1,0)</x:f>
        <x:v>1</x:v>
      </x:c>
      <x:c r="I1360" s="9" t="n">
        <x:f>MIN(10,F1359+IF(AR1359&gt;0,MIN(1,AS1359/AR1359),1))</x:f>
        <x:v>9.223588519463622</x:v>
      </x:c>
      <x:c r="J1360" s="32" t="n">
        <x:f>INDEX(v01_FoodCap,G1360)*Arch_FoodCap*EXP(v01_CapsByProject*SUMPRODUCT((Cap_Point&lt;=I1360)*(Cap_Kind="Food")*Cap_Ln))</x:f>
        <x:v>12000</x:v>
      </x:c>
      <x:c r="K1360" s="32" t="n">
        <x:f>J1360*MIN(1,v01_LeanBase*EXP(v01_CapsByProject*SUMPRODUCT((Cap_Point&lt;=I1360)*(Cap_Kind="Lean")*Cap_Ln)))</x:f>
        <x:v>12000</x:v>
      </x:c>
      <x:c r="L1360" s="10" t="n">
        <x:f>INDEX(v01_HousingCap,G1360)*EXP(v01_CapsByProject*SUMPRODUCT((Cap_Point&lt;=I1360)*(Cap_Kind="Housing")*Cap_Ln))</x:f>
        <x:v>20000</x:v>
      </x:c>
      <x:c r="M1360" s="10" t="n">
        <x:f>INDEX(v01_GroupCap,G1360)*v01_CohesionFactor*EXP(v01_CapsByProject*SUMPRODUCT((Cap_Point&lt;=I1360)*(Cap_Kind="Group")*Cap_Ln))</x:f>
        <x:v>1000000</x:v>
      </x:c>
      <x:c r="N1360" s="32" t="n">
        <x:f>MIN(J1360,L1360,M1360)</x:f>
        <x:v>12000</x:v>
      </x:c>
      <x:c r="O1360" s="10" t="n">
        <x:f>AE1359*N1360</x:f>
        <x:v>180000</x:v>
      </x:c>
      <x:c r="P1360" s="9" t="n">
        <x:f>MIN(1,(AB1359/(AE1359*IF(v01_GroupInCrowding=1,N1360,MIN(J1360,L1360))))^v01_CrowdingExp)</x:f>
        <x:v>0.00006141743339598698</x:v>
      </x:c>
      <x:c r="Q1360" s="9" t="n">
        <x:f>IF(D1360=1,INDEX(v01_WinterMult,G1360),1)</x:f>
        <x:v>1</x:v>
      </x:c>
      <x:c r="R1360" s="9" t="n">
        <x:f>H1360*Z1359*v01_WomenShare*v01_BaseFertility*INDEX(v01_FertMult,G1360)*Arch_Fertility*(1-P1360)</x:f>
        <x:v>255.35293642364573</x:v>
      </x:c>
      <x:c r="S1360" s="9" t="n">
        <x:f>H1360*Y1359*INDEX(v01_MortChild,G1360)/4*Q1360</x:f>
        <x:v>9.394211513543278</x:v>
      </x:c>
      <x:c r="T1360" s="9" t="n">
        <x:f>H1360*Z1359*INDEX(v01_MortAdult,G1360)*Arch_AdultMort/4*Q1360</x:f>
        <x:v>9.67305380715482</x:v>
      </x:c>
      <x:c r="U1360" s="9" t="n">
        <x:f>H1360*AA1359*INDEX(v01_MortElder,G1360)/4*Q1360</x:f>
        <x:v>48.445054744192845</x:v>
      </x:c>
      <x:c r="V1360" s="9" t="n">
        <x:f>H1360*MAX(0,AB1359-O1360)*v01_OvercapLoss</x:f>
        <x:v>0</x:v>
      </x:c>
      <x:c r="W1360" s="9" t="n">
        <x:f>H1360*Y1359/(v01_ChildYears*4)</x:f>
        <x:v>223.67170270341134</x:v>
      </x:c>
      <x:c r="X1360" s="9" t="n">
        <x:f>H1360*Z1359/(v01_AdultYears*4)</x:f>
        <x:v>124.81359751167511</x:v>
      </x:c>
      <x:c r="Y1360" s="32" t="n">
        <x:f>Y1359+R1360-S1360-W1360-Y1359*V1360/AB1359</x:f>
        <x:v>12547.902373597726</x:v>
      </x:c>
      <x:c r="Z1360" s="32" t="n">
        <x:f>Z1359+W1360-X1360-T1360-Z1359*V1360/AB1359</x:f>
        <x:v>15566.071142832296</x:v>
      </x:c>
      <x:c r="AA1360" s="32" t="n">
        <x:f>AA1359+X1360-U1360-AA1359*V1360/AB1359</x:f>
        <x:v>7827.577301838336</x:v>
      </x:c>
      <x:c r="AB1360" s="10" t="n">
        <x:f>Y1360+Z1360+AA1360</x:f>
        <x:v>35941.550818268355</x:v>
      </x:c>
      <x:c r="AC1360" s="8" t="n">
        <x:f>IF(AND(v01_WinterTrigger=1,D1360=1,AB1359/AE1359&gt;=K1360),1,0)</x:f>
        <x:v>0</x:v>
      </x:c>
      <x:c r="AD1360" s="8" t="n">
        <x:f>H1360*IF(AND(OR(AB1359/AE1359&gt;=v01_FissionTrigger*N1360,AC1360=1),AB1359/AE1359*v01_DaughterShare&gt;=v01_MinDaughter),MAX(1,ROUND(AE1359*v01_FissionRate,0)),0)</x:f>
        <x:v>0</x:v>
      </x:c>
      <x:c r="AE1360" s="8" t="n">
        <x:f>IF(H1360=1,MAX(1,MIN(INDEX(v01_Smax,G1360),AE1359+AD1360)),AE1359)</x:f>
        <x:v>15</x:v>
      </x:c>
      <x:c r="AF1360" s="8" t="n">
        <x:f>MAX(0,AE1360-AE1359)</x:f>
        <x:v>0</x:v>
      </x:c>
      <x:c r="AG1360" s="9" t="str">
        <x:f>IF(AF1360&gt;0,B1360,"")</x:f>
      </x:c>
      <x:c r="AH1360" s="9" t="n">
        <x:f>IF(F1360&gt;=1,1,(1+v01_LowTiesShare*(AE1360-1))/AE1360)</x:f>
        <x:v>1</x:v>
      </x:c>
      <x:c r="AI1360" s="32" t="n">
        <x:f>(Z1360+v01_ElderCommons*INDEX(LM_Elder,G1360)*AA1360)*AH1360</x:f>
        <x:v>46352.19239497188</x:v>
      </x:c>
      <x:c r="AJ1360" s="32" t="n">
        <x:f>H1360*v01_CommonsCoef*AI1360^v01_CommonsExp*INDEX(LM_Commons,G1360)</x:f>
        <x:v>24834.749835030503</x:v>
      </x:c>
      <x:c r="AK1360" s="32" t="n">
        <x:f>H1360*v01_RoleScale*Arch_Roles*(AE1360*(INDEX(v01_ElderRolePerSett,G1360)*v01_OutElder*INDEX(LM_Elder,G1360)+INDEX(v01_ShamanPerSett,G1360)*v01_OutShaman)+Z1360*(INDEX(v01_PriestShare,G1360)*v01_OutPriest+INDEX(v01_ScribeShare,G1360)*v01_OutScribe*INDEX(LM_Scribe,G1360)+INDEX(v01_ScholarShare,G1360)*v01_OutScholar*INDEX(LM_Scholar,G1360)+INDEX(v01_ResearcherShare,G1360)*v01_OutResearcher*INDEX(LM_Researcher,G1360)))</x:f>
        <x:v>7059.590776364397</x:v>
      </x:c>
      <x:c r="AL1360" s="32" t="n">
        <x:f>H1360*v01_RoleScale*Arch_Roles*AE1360*INDEX(v01_MonasteryPerSett,G1360)*v01_OutMonastery*INDEX(LM_Monastery,G1360)</x:f>
        <x:v>3.3000000000000003</x:v>
      </x:c>
      <x:c r="AM1360" s="32" t="n">
        <x:f>(AJ1360+AK1360+AL1360)/4*INDEX(LM_All,G1360)*INDEX(v01_Boon,G1360)*Arch_Insight</x:f>
        <x:v>27622.47706249358</x:v>
      </x:c>
      <x:c r="AN1360" s="32" t="n">
        <x:f>H1360*(v01_KHPerAdult*Z1360+v01_KHOfCommons*AJ1360/4*INDEX(LM_All,G1360))*v01_KHUsable*Arch_KH</x:f>
        <x:v>544.8124899991303</x:v>
      </x:c>
      <x:c r="AO1360" s="32" t="n">
        <x:f>MIN(AP1359+AN1360,AM1360*v01_KHMaxRatio)</x:f>
        <x:v>544.8124899991303</x:v>
      </x:c>
      <x:c r="AP1360" s="32" t="n">
        <x:f>AP1359+AN1360-AO1360</x:f>
        <x:v>0</x:v>
      </x:c>
      <x:c r="AQ1360" s="32" t="n">
        <x:f>AM1360+AO1360</x:f>
        <x:v>28167.28955249271</x:v>
      </x:c>
      <x:c r="AR1360" s="10" t="n">
        <x:f>IF(H1360=1,INDEX(v01_Req,G1360),0)</x:f>
        <x:v>1845340.8943637449</x:v>
      </x:c>
      <x:c r="AS1360" s="32" t="n">
        <x:f>IF(H1360=1,IF(E1360=1,AS1359-AR1359,AS1359)+AQ1360,0)</x:f>
        <x:v>440764.32802895963</x:v>
      </x:c>
      <x:c r="AT1360" s="11" t="n">
        <x:f>IF(AR1360&gt;0,MIN(1,AS1360/AR1360),1)</x:f>
        <x:v>0.2388525227914221</x:v>
      </x:c>
      <x:c r="AU1360" s="10" t="n">
        <x:f>AB1360/INDEX(v01_RepScale,G1360)</x:f>
        <x:v>71.88310163653671</x:v>
      </x:c>
      <x:c r="AV1360" s="32" t="n">
        <x:f>AM1360*60/v01_SeasonSeconds</x:f>
        <x:v>110489.90824997432</x:v>
      </x:c>
    </x:row>
    <x:row r="1361">
      <x:c r="A1361" s="8" t="n">
        <x:f>A1360+1</x:f>
        <x:v>1358</x:v>
      </x:c>
      <x:c r="B1361" s="9" t="n">
        <x:f>A1361*v01_SeasonSeconds/60</x:f>
        <x:v>339.5</x:v>
      </x:c>
      <x:c r="C1361" s="9" t="n">
        <x:f>A1361/4</x:f>
        <x:v>339.5</x:v>
      </x:c>
      <x:c r="D1361" s="8" t="n">
        <x:f>IF(MOD(A1361,4)=0,1,0)</x:f>
        <x:v>0</x:v>
      </x:c>
      <x:c r="E1361" s="8" t="n">
        <x:f>IF(AND(F1360&lt;=9,AS1360&gt;=AR1360),1,0)</x:f>
        <x:v>0</x:v>
      </x:c>
      <x:c r="F1361" s="8" t="n">
        <x:f>MIN(10,F1360+E1361)</x:f>
        <x:v>9</x:v>
      </x:c>
      <x:c r="G1361" s="8" t="n">
        <x:f>MIN(F1361,9)+1</x:f>
        <x:v>10</x:v>
      </x:c>
      <x:c r="H1361" s="8" t="n">
        <x:f>IF(F1361&lt;=9,1,0)</x:f>
        <x:v>1</x:v>
      </x:c>
      <x:c r="I1361" s="9" t="n">
        <x:f>MIN(10,F1360+IF(AR1360&gt;0,MIN(1,AS1360/AR1360),1))</x:f>
        <x:v>9.238852522791422</x:v>
      </x:c>
      <x:c r="J1361" s="32" t="n">
        <x:f>INDEX(v01_FoodCap,G1361)*Arch_FoodCap*EXP(v01_CapsByProject*SUMPRODUCT((Cap_Point&lt;=I1361)*(Cap_Kind="Food")*Cap_Ln))</x:f>
        <x:v>12000</x:v>
      </x:c>
      <x:c r="K1361" s="32" t="n">
        <x:f>J1361*MIN(1,v01_LeanBase*EXP(v01_CapsByProject*SUMPRODUCT((Cap_Point&lt;=I1361)*(Cap_Kind="Lean")*Cap_Ln)))</x:f>
        <x:v>12000</x:v>
      </x:c>
      <x:c r="L1361" s="10" t="n">
        <x:f>INDEX(v01_HousingCap,G1361)*EXP(v01_CapsByProject*SUMPRODUCT((Cap_Point&lt;=I1361)*(Cap_Kind="Housing")*Cap_Ln))</x:f>
        <x:v>20000</x:v>
      </x:c>
      <x:c r="M1361" s="10" t="n">
        <x:f>INDEX(v01_GroupCap,G1361)*v01_CohesionFactor*EXP(v01_CapsByProject*SUMPRODUCT((Cap_Point&lt;=I1361)*(Cap_Kind="Group")*Cap_Ln))</x:f>
        <x:v>1000000</x:v>
      </x:c>
      <x:c r="N1361" s="32" t="n">
        <x:f>MIN(J1361,L1361,M1361)</x:f>
        <x:v>12000</x:v>
      </x:c>
      <x:c r="O1361" s="10" t="n">
        <x:f>AE1360*N1361</x:f>
        <x:v>180000</x:v>
      </x:c>
      <x:c r="P1361" s="9" t="n">
        <x:f>MIN(1,(AB1360/(AE1360*IF(v01_GroupInCrowding=1,N1361,MIN(J1361,L1361))))^v01_CrowdingExp)</x:f>
        <x:v>0.00006337906718765998</x:v>
      </x:c>
      <x:c r="Q1361" s="9" t="n">
        <x:f>IF(D1361=1,INDEX(v01_WinterMult,G1361),1)</x:f>
        <x:v>1</x:v>
      </x:c>
      <x:c r="R1361" s="9" t="n">
        <x:f>H1361*Z1360*v01_WomenShare*v01_BaseFertility*INDEX(v01_FertMult,G1361)*Arch_Fertility*(1-P1361)</x:f>
        <x:v>256.8238955660976</x:v>
      </x:c>
      <x:c r="S1361" s="9" t="n">
        <x:f>H1361*Y1360*INDEX(v01_MortChild,G1361)/4*Q1361</x:f>
        <x:v>9.410926780198295</x:v>
      </x:c>
      <x:c r="T1361" s="9" t="n">
        <x:f>H1361*Z1360*INDEX(v01_MortAdult,G1361)*Arch_AdultMort/4*Q1361</x:f>
        <x:v>9.728794464270186</x:v>
      </x:c>
      <x:c r="U1361" s="9" t="n">
        <x:f>H1361*AA1360*INDEX(v01_MortElder,G1361)/4*Q1361</x:f>
        <x:v>48.922358136489606</x:v>
      </x:c>
      <x:c r="V1361" s="9" t="n">
        <x:f>H1361*MAX(0,AB1360-O1361)*v01_OvercapLoss</x:f>
        <x:v>0</x:v>
      </x:c>
      <x:c r="W1361" s="9" t="n">
        <x:f>H1361*Y1360/(v01_ChildYears*4)</x:f>
        <x:v>224.06968524281655</x:v>
      </x:c>
      <x:c r="X1361" s="9" t="n">
        <x:f>H1361*Z1360/(v01_AdultYears*4)</x:f>
        <x:v>125.53283179703465</x:v>
      </x:c>
      <x:c r="Y1361" s="32" t="n">
        <x:f>Y1360+R1361-S1361-W1361-Y1360*V1361/AB1360</x:f>
        <x:v>12571.24565714081</x:v>
      </x:c>
      <x:c r="Z1361" s="32" t="n">
        <x:f>Z1360+W1361-X1361-T1361-Z1360*V1361/AB1360</x:f>
        <x:v>15654.879201813808</x:v>
      </x:c>
      <x:c r="AA1361" s="32" t="n">
        <x:f>AA1360+X1361-U1361-AA1360*V1361/AB1360</x:f>
        <x:v>7904.187775498881</x:v>
      </x:c>
      <x:c r="AB1361" s="10" t="n">
        <x:f>Y1361+Z1361+AA1361</x:f>
        <x:v>36130.3126344535</x:v>
      </x:c>
      <x:c r="AC1361" s="8" t="n">
        <x:f>IF(AND(v01_WinterTrigger=1,D1361=1,AB1360/AE1360&gt;=K1361),1,0)</x:f>
        <x:v>0</x:v>
      </x:c>
      <x:c r="AD1361" s="8" t="n">
        <x:f>H1361*IF(AND(OR(AB1360/AE1360&gt;=v01_FissionTrigger*N1361,AC1361=1),AB1360/AE1360*v01_DaughterShare&gt;=v01_MinDaughter),MAX(1,ROUND(AE1360*v01_FissionRate,0)),0)</x:f>
        <x:v>0</x:v>
      </x:c>
      <x:c r="AE1361" s="8" t="n">
        <x:f>IF(H1361=1,MAX(1,MIN(INDEX(v01_Smax,G1361),AE1360+AD1361)),AE1360)</x:f>
        <x:v>15</x:v>
      </x:c>
      <x:c r="AF1361" s="8" t="n">
        <x:f>MAX(0,AE1361-AE1360)</x:f>
        <x:v>0</x:v>
      </x:c>
      <x:c r="AG1361" s="9" t="str">
        <x:f>IF(AF1361&gt;0,B1361,"")</x:f>
      </x:c>
      <x:c r="AH1361" s="9" t="n">
        <x:f>IF(F1361&gt;=1,1,(1+v01_LowTiesShare*(AE1361-1))/AE1361)</x:f>
        <x:v>1</x:v>
      </x:c>
      <x:c r="AI1361" s="32" t="n">
        <x:f>(Z1361+v01_ElderCommons*INDEX(LM_Elder,G1361)*AA1361)*AH1361</x:f>
        <x:v>46742.31198884471</x:v>
      </x:c>
      <x:c r="AJ1361" s="32" t="n">
        <x:f>H1361*v01_CommonsCoef*AI1361^v01_CommonsExp*INDEX(LM_Commons,G1361)</x:f>
        <x:v>25012.304812817307</x:v>
      </x:c>
      <x:c r="AK1361" s="32" t="n">
        <x:f>H1361*v01_RoleScale*Arch_Roles*(AE1361*(INDEX(v01_ElderRolePerSett,G1361)*v01_OutElder*INDEX(LM_Elder,G1361)+INDEX(v01_ShamanPerSett,G1361)*v01_OutShaman)+Z1361*(INDEX(v01_PriestShare,G1361)*v01_OutPriest+INDEX(v01_ScribeShare,G1361)*v01_OutScribe*INDEX(LM_Scribe,G1361)+INDEX(v01_ScholarShare,G1361)*v01_OutScholar*INDEX(LM_Scholar,G1361)+INDEX(v01_ResearcherShare,G1361)*v01_OutResearcher*INDEX(LM_Researcher,G1361)))</x:f>
        <x:v>7099.570725652505</x:v>
      </x:c>
      <x:c r="AL1361" s="32" t="n">
        <x:f>H1361*v01_RoleScale*Arch_Roles*AE1361*INDEX(v01_MonasteryPerSett,G1361)*v01_OutMonastery*INDEX(LM_Monastery,G1361)</x:f>
        <x:v>3.3000000000000003</x:v>
      </x:c>
      <x:c r="AM1361" s="32" t="n">
        <x:f>(AJ1361+AK1361+AL1361)/4*INDEX(LM_All,G1361)*INDEX(v01_Boon,G1361)*Arch_Insight</x:f>
        <x:v>27810.856309931438</x:v>
      </x:c>
      <x:c r="AN1361" s="32" t="n">
        <x:f>H1361*(v01_KHPerAdult*Z1361+v01_KHOfCommons*AJ1361/4*INDEX(LM_All,G1361))*v01_KHUsable*Arch_KH</x:f>
        <x:v>547.9207720634834</x:v>
      </x:c>
      <x:c r="AO1361" s="32" t="n">
        <x:f>MIN(AP1360+AN1361,AM1361*v01_KHMaxRatio)</x:f>
        <x:v>547.9207720634834</x:v>
      </x:c>
      <x:c r="AP1361" s="32" t="n">
        <x:f>AP1360+AN1361-AO1361</x:f>
        <x:v>0</x:v>
      </x:c>
      <x:c r="AQ1361" s="32" t="n">
        <x:f>AM1361+AO1361</x:f>
        <x:v>28358.777081994922</x:v>
      </x:c>
      <x:c r="AR1361" s="10" t="n">
        <x:f>IF(H1361=1,INDEX(v01_Req,G1361),0)</x:f>
        <x:v>1845340.8943637449</x:v>
      </x:c>
      <x:c r="AS1361" s="32" t="n">
        <x:f>IF(H1361=1,IF(E1361=1,AS1360-AR1360,AS1360)+AQ1361,0)</x:f>
        <x:v>469123.10511095455</x:v>
      </x:c>
      <x:c r="AT1361" s="11" t="n">
        <x:f>IF(AR1361&gt;0,MIN(1,AS1361/AR1361),1)</x:f>
        <x:v>0.2542202942252052</x:v>
      </x:c>
      <x:c r="AU1361" s="10" t="n">
        <x:f>AB1361/INDEX(v01_RepScale,G1361)</x:f>
        <x:v>72.26062526890699</x:v>
      </x:c>
      <x:c r="AV1361" s="32" t="n">
        <x:f>AM1361*60/v01_SeasonSeconds</x:f>
        <x:v>111243.42523972575</x:v>
      </x:c>
    </x:row>
    <x:row r="1362">
      <x:c r="A1362" s="8" t="n">
        <x:f>A1361+1</x:f>
        <x:v>1359</x:v>
      </x:c>
      <x:c r="B1362" s="9" t="n">
        <x:f>A1362*v01_SeasonSeconds/60</x:f>
        <x:v>339.75</x:v>
      </x:c>
      <x:c r="C1362" s="9" t="n">
        <x:f>A1362/4</x:f>
        <x:v>339.75</x:v>
      </x:c>
      <x:c r="D1362" s="8" t="n">
        <x:f>IF(MOD(A1362,4)=0,1,0)</x:f>
        <x:v>0</x:v>
      </x:c>
      <x:c r="E1362" s="8" t="n">
        <x:f>IF(AND(F1361&lt;=9,AS1361&gt;=AR1361),1,0)</x:f>
        <x:v>0</x:v>
      </x:c>
      <x:c r="F1362" s="8" t="n">
        <x:f>MIN(10,F1361+E1362)</x:f>
        <x:v>9</x:v>
      </x:c>
      <x:c r="G1362" s="8" t="n">
        <x:f>MIN(F1362,9)+1</x:f>
        <x:v>10</x:v>
      </x:c>
      <x:c r="H1362" s="8" t="n">
        <x:f>IF(F1362&lt;=9,1,0)</x:f>
        <x:v>1</x:v>
      </x:c>
      <x:c r="I1362" s="9" t="n">
        <x:f>MIN(10,F1361+IF(AR1361&gt;0,MIN(1,AS1361/AR1361),1))</x:f>
        <x:v>9.254220294225206</x:v>
      </x:c>
      <x:c r="J1362" s="32" t="n">
        <x:f>INDEX(v01_FoodCap,G1362)*Arch_FoodCap*EXP(v01_CapsByProject*SUMPRODUCT((Cap_Point&lt;=I1362)*(Cap_Kind="Food")*Cap_Ln))</x:f>
        <x:v>12000</x:v>
      </x:c>
      <x:c r="K1362" s="32" t="n">
        <x:f>J1362*MIN(1,v01_LeanBase*EXP(v01_CapsByProject*SUMPRODUCT((Cap_Point&lt;=I1362)*(Cap_Kind="Lean")*Cap_Ln)))</x:f>
        <x:v>12000</x:v>
      </x:c>
      <x:c r="L1362" s="10" t="n">
        <x:f>INDEX(v01_HousingCap,G1362)*EXP(v01_CapsByProject*SUMPRODUCT((Cap_Point&lt;=I1362)*(Cap_Kind="Housing")*Cap_Ln))</x:f>
        <x:v>20000</x:v>
      </x:c>
      <x:c r="M1362" s="10" t="n">
        <x:f>INDEX(v01_GroupCap,G1362)*v01_CohesionFactor*EXP(v01_CapsByProject*SUMPRODUCT((Cap_Point&lt;=I1362)*(Cap_Kind="Group")*Cap_Ln))</x:f>
        <x:v>1000000</x:v>
      </x:c>
      <x:c r="N1362" s="32" t="n">
        <x:f>MIN(J1362,L1362,M1362)</x:f>
        <x:v>12000</x:v>
      </x:c>
      <x:c r="O1362" s="10" t="n">
        <x:f>AE1361*N1362</x:f>
        <x:v>180000</x:v>
      </x:c>
      <x:c r="P1362" s="9" t="n">
        <x:f>MIN(1,(AB1361/(AE1361*IF(v01_GroupInCrowding=1,N1362,MIN(J1362,L1362))))^v01_CrowdingExp)</x:f>
        <x:v>0.00006540264111148</x:v>
      </x:c>
      <x:c r="Q1362" s="9" t="n">
        <x:f>IF(D1362=1,INDEX(v01_WinterMult,G1362),1)</x:f>
        <x:v>1</x:v>
      </x:c>
      <x:c r="R1362" s="9" t="n">
        <x:f>H1362*Z1361*v01_WomenShare*v01_BaseFertility*INDEX(v01_FertMult,G1362)*Arch_Fertility*(1-P1362)</x:f>
        <x:v>258.2886129675676</x:v>
      </x:c>
      <x:c r="S1362" s="9" t="n">
        <x:f>H1362*Y1361*INDEX(v01_MortChild,G1362)/4*Q1362</x:f>
        <x:v>9.428434242855607</x:v>
      </x:c>
      <x:c r="T1362" s="9" t="n">
        <x:f>H1362*Z1361*INDEX(v01_MortAdult,G1362)*Arch_AdultMort/4*Q1362</x:f>
        <x:v>9.78429950113363</x:v>
      </x:c>
      <x:c r="U1362" s="9" t="n">
        <x:f>H1362*AA1361*INDEX(v01_MortElder,G1362)/4*Q1362</x:f>
        <x:v>49.401173596868006</x:v>
      </x:c>
      <x:c r="V1362" s="9" t="n">
        <x:f>H1362*MAX(0,AB1361-O1362)*v01_OvercapLoss</x:f>
        <x:v>0</x:v>
      </x:c>
      <x:c r="W1362" s="9" t="n">
        <x:f>H1362*Y1361/(v01_ChildYears*4)</x:f>
        <x:v>224.48652959180018</x:v>
      </x:c>
      <x:c r="X1362" s="9" t="n">
        <x:f>H1362*Z1361/(v01_AdultYears*4)</x:f>
        <x:v>126.2490258210791</x:v>
      </x:c>
      <x:c r="Y1362" s="32" t="n">
        <x:f>Y1361+R1362-S1362-W1362-Y1361*V1362/AB1361</x:f>
        <x:v>12595.61930627372</x:v>
      </x:c>
      <x:c r="Z1362" s="32" t="n">
        <x:f>Z1361+W1362-X1362-T1362-Z1361*V1362/AB1361</x:f>
        <x:v>15743.332406083397</x:v>
      </x:c>
      <x:c r="AA1362" s="32" t="n">
        <x:f>AA1361+X1362-U1362-AA1361*V1362/AB1361</x:f>
        <x:v>7981.035627723092</x:v>
      </x:c>
      <x:c r="AB1362" s="10" t="n">
        <x:f>Y1362+Z1362+AA1362</x:f>
        <x:v>36319.98734008021</x:v>
      </x:c>
      <x:c r="AC1362" s="8" t="n">
        <x:f>IF(AND(v01_WinterTrigger=1,D1362=1,AB1361/AE1361&gt;=K1362),1,0)</x:f>
        <x:v>0</x:v>
      </x:c>
      <x:c r="AD1362" s="8" t="n">
        <x:f>H1362*IF(AND(OR(AB1361/AE1361&gt;=v01_FissionTrigger*N1362,AC1362=1),AB1361/AE1361*v01_DaughterShare&gt;=v01_MinDaughter),MAX(1,ROUND(AE1361*v01_FissionRate,0)),0)</x:f>
        <x:v>0</x:v>
      </x:c>
      <x:c r="AE1362" s="8" t="n">
        <x:f>IF(H1362=1,MAX(1,MIN(INDEX(v01_Smax,G1362),AE1361+AD1362)),AE1361)</x:f>
        <x:v>15</x:v>
      </x:c>
      <x:c r="AF1362" s="8" t="n">
        <x:f>MAX(0,AE1362-AE1361)</x:f>
        <x:v>0</x:v>
      </x:c>
      <x:c r="AG1362" s="9" t="str">
        <x:f>IF(AF1362&gt;0,B1362,"")</x:f>
      </x:c>
      <x:c r="AH1362" s="9" t="n">
        <x:f>IF(F1362&gt;=1,1,(1+v01_LowTiesShare*(AE1362-1))/AE1362)</x:f>
        <x:v>1</x:v>
      </x:c>
      <x:c r="AI1362" s="32" t="n">
        <x:f>(Z1362+v01_ElderCommons*INDEX(LM_Elder,G1362)*AA1362)*AH1362</x:f>
        <x:v>47133.01034577289</x:v>
      </x:c>
      <x:c r="AJ1362" s="32" t="n">
        <x:f>H1362*v01_CommonsCoef*AI1362^v01_CommonsExp*INDEX(LM_Commons,G1362)</x:f>
        <x:v>25189.900559790218</x:v>
      </x:c>
      <x:c r="AK1362" s="32" t="n">
        <x:f>H1362*v01_RoleScale*Arch_Roles*(AE1362*(INDEX(v01_ElderRolePerSett,G1362)*v01_OutElder*INDEX(LM_Elder,G1362)+INDEX(v01_ShamanPerSett,G1362)*v01_OutShaman)+Z1362*(INDEX(v01_PriestShare,G1362)*v01_OutPriest+INDEX(v01_ScribeShare,G1362)*v01_OutScribe*INDEX(LM_Scribe,G1362)+INDEX(v01_ScholarShare,G1362)*v01_OutScholar*INDEX(LM_Scholar,G1362)+INDEX(v01_ResearcherShare,G1362)*v01_OutResearcher*INDEX(LM_Researcher,G1362)))</x:f>
        <x:v>7139.390925098649</x:v>
      </x:c>
      <x:c r="AL1362" s="32" t="n">
        <x:f>H1362*v01_RoleScale*Arch_Roles*AE1362*INDEX(v01_MonasteryPerSett,G1362)*v01_OutMonastery*INDEX(LM_Monastery,G1362)</x:f>
        <x:v>3.3000000000000003</x:v>
      </x:c>
      <x:c r="AM1362" s="32" t="n">
        <x:f>(AJ1362+AK1362+AL1362)/4*INDEX(LM_All,G1362)*INDEX(v01_Boon,G1362)*Arch_Insight</x:f>
        <x:v>27999.132523402706</x:v>
      </x:c>
      <x:c r="AN1362" s="32" t="n">
        <x:f>H1362*(v01_KHPerAdult*Z1362+v01_KHOfCommons*AJ1362/4*INDEX(LM_All,G1362))*v01_KHUsable*Arch_KH</x:f>
        <x:v>551.0166342129189</x:v>
      </x:c>
      <x:c r="AO1362" s="32" t="n">
        <x:f>MIN(AP1361+AN1362,AM1362*v01_KHMaxRatio)</x:f>
        <x:v>551.0166342129189</x:v>
      </x:c>
      <x:c r="AP1362" s="32" t="n">
        <x:f>AP1361+AN1362-AO1362</x:f>
        <x:v>0</x:v>
      </x:c>
      <x:c r="AQ1362" s="32" t="n">
        <x:f>AM1362+AO1362</x:f>
        <x:v>28550.149157615626</x:v>
      </x:c>
      <x:c r="AR1362" s="10" t="n">
        <x:f>IF(H1362=1,INDEX(v01_Req,G1362),0)</x:f>
        <x:v>1845340.8943637449</x:v>
      </x:c>
      <x:c r="AS1362" s="32" t="n">
        <x:f>IF(H1362=1,IF(E1362=1,AS1361-AR1361,AS1361)+AQ1362,0)</x:f>
        <x:v>497673.25426857016</x:v>
      </x:c>
      <x:c r="AT1362" s="11" t="n">
        <x:f>IF(AR1362&gt;0,MIN(1,AS1362/AR1362),1)</x:f>
        <x:v>0.2696917711999023</x:v>
      </x:c>
      <x:c r="AU1362" s="10" t="n">
        <x:f>AB1362/INDEX(v01_RepScale,G1362)</x:f>
        <x:v>72.63997468016042</x:v>
      </x:c>
      <x:c r="AV1362" s="32" t="n">
        <x:f>AM1362*60/v01_SeasonSeconds</x:f>
        <x:v>111996.53009361083</x:v>
      </x:c>
    </x:row>
    <x:row r="1363">
      <x:c r="A1363" s="8" t="n">
        <x:f>A1362+1</x:f>
        <x:v>1360</x:v>
      </x:c>
      <x:c r="B1363" s="9" t="n">
        <x:f>A1363*v01_SeasonSeconds/60</x:f>
        <x:v>340</x:v>
      </x:c>
      <x:c r="C1363" s="9" t="n">
        <x:f>A1363/4</x:f>
        <x:v>340</x:v>
      </x:c>
      <x:c r="D1363" s="8" t="n">
        <x:f>IF(MOD(A1363,4)=0,1,0)</x:f>
        <x:v>1</x:v>
      </x:c>
      <x:c r="E1363" s="8" t="n">
        <x:f>IF(AND(F1362&lt;=9,AS1362&gt;=AR1362),1,0)</x:f>
        <x:v>0</x:v>
      </x:c>
      <x:c r="F1363" s="8" t="n">
        <x:f>MIN(10,F1362+E1363)</x:f>
        <x:v>9</x:v>
      </x:c>
      <x:c r="G1363" s="8" t="n">
        <x:f>MIN(F1363,9)+1</x:f>
        <x:v>10</x:v>
      </x:c>
      <x:c r="H1363" s="8" t="n">
        <x:f>IF(F1363&lt;=9,1,0)</x:f>
        <x:v>1</x:v>
      </x:c>
      <x:c r="I1363" s="9" t="n">
        <x:f>MIN(10,F1362+IF(AR1362&gt;0,MIN(1,AS1362/AR1362),1))</x:f>
        <x:v>9.269691771199902</x:v>
      </x:c>
      <x:c r="J1363" s="32" t="n">
        <x:f>INDEX(v01_FoodCap,G1363)*Arch_FoodCap*EXP(v01_CapsByProject*SUMPRODUCT((Cap_Point&lt;=I1363)*(Cap_Kind="Food")*Cap_Ln))</x:f>
        <x:v>12000</x:v>
      </x:c>
      <x:c r="K1363" s="32" t="n">
        <x:f>J1363*MIN(1,v01_LeanBase*EXP(v01_CapsByProject*SUMPRODUCT((Cap_Point&lt;=I1363)*(Cap_Kind="Lean")*Cap_Ln)))</x:f>
        <x:v>12000</x:v>
      </x:c>
      <x:c r="L1363" s="10" t="n">
        <x:f>INDEX(v01_HousingCap,G1363)*EXP(v01_CapsByProject*SUMPRODUCT((Cap_Point&lt;=I1363)*(Cap_Kind="Housing")*Cap_Ln))</x:f>
        <x:v>20000</x:v>
      </x:c>
      <x:c r="M1363" s="10" t="n">
        <x:f>INDEX(v01_GroupCap,G1363)*v01_CohesionFactor*EXP(v01_CapsByProject*SUMPRODUCT((Cap_Point&lt;=I1363)*(Cap_Kind="Group")*Cap_Ln))</x:f>
        <x:v>1000000</x:v>
      </x:c>
      <x:c r="N1363" s="32" t="n">
        <x:f>MIN(J1363,L1363,M1363)</x:f>
        <x:v>12000</x:v>
      </x:c>
      <x:c r="O1363" s="10" t="n">
        <x:f>AE1362*N1363</x:f>
        <x:v>180000</x:v>
      </x:c>
      <x:c r="P1363" s="9" t="n">
        <x:f>MIN(1,(AB1362/(AE1362*IF(v01_GroupInCrowding=1,N1363,MIN(J1363,L1363))))^v01_CrowdingExp)</x:f>
        <x:v>0.00006748994903625815</x:v>
      </x:c>
      <x:c r="Q1363" s="9" t="n">
        <x:f>IF(D1363=1,INDEX(v01_WinterMult,G1363),1)</x:f>
        <x:v>1</x:v>
      </x:c>
      <x:c r="R1363" s="9" t="n">
        <x:f>H1363*Z1362*v01_WomenShare*v01_BaseFertility*INDEX(v01_FertMult,G1363)*Arch_Fertility*(1-P1363)</x:f>
        <x:v>259.7474531747973</x:v>
      </x:c>
      <x:c r="S1363" s="9" t="n">
        <x:f>H1363*Y1362*INDEX(v01_MortChild,G1363)/4*Q1363</x:f>
        <x:v>9.44671447970529</x:v>
      </x:c>
      <x:c r="T1363" s="9" t="n">
        <x:f>H1363*Z1362*INDEX(v01_MortAdult,G1363)*Arch_AdultMort/4*Q1363</x:f>
        <x:v>9.839582753802123</x:v>
      </x:c>
      <x:c r="U1363" s="9" t="n">
        <x:f>H1363*AA1362*INDEX(v01_MortElder,G1363)/4*Q1363</x:f>
        <x:v>49.88147267326933</x:v>
      </x:c>
      <x:c r="V1363" s="9" t="n">
        <x:f>H1363*MAX(0,AB1362-O1363)*v01_OvercapLoss</x:f>
        <x:v>0</x:v>
      </x:c>
      <x:c r="W1363" s="9" t="n">
        <x:f>H1363*Y1362/(v01_ChildYears*4)</x:f>
        <x:v>224.92177332631644</x:v>
      </x:c>
      <x:c r="X1363" s="9" t="n">
        <x:f>H1363*Z1362/(v01_AdultYears*4)</x:f>
        <x:v>126.96235811357577</x:v>
      </x:c>
      <x:c r="Y1363" s="32" t="n">
        <x:f>Y1362+R1363-S1363-W1363-Y1362*V1363/AB1362</x:f>
        <x:v>12620.998271642497</x:v>
      </x:c>
      <x:c r="Z1363" s="32" t="n">
        <x:f>Z1362+W1363-X1363-T1363-Z1362*V1363/AB1362</x:f>
        <x:v>15831.452238542333</x:v>
      </x:c>
      <x:c r="AA1363" s="32" t="n">
        <x:f>AA1362+X1363-U1363-AA1362*V1363/AB1362</x:f>
        <x:v>8058.116513163399</x:v>
      </x:c>
      <x:c r="AB1363" s="10" t="n">
        <x:f>Y1363+Z1363+AA1363</x:f>
        <x:v>36510.56702334823</x:v>
      </x:c>
      <x:c r="AC1363" s="8" t="n">
        <x:f>IF(AND(v01_WinterTrigger=1,D1363=1,AB1362/AE1362&gt;=K1363),1,0)</x:f>
        <x:v>0</x:v>
      </x:c>
      <x:c r="AD1363" s="8" t="n">
        <x:f>H1363*IF(AND(OR(AB1362/AE1362&gt;=v01_FissionTrigger*N1363,AC1363=1),AB1362/AE1362*v01_DaughterShare&gt;=v01_MinDaughter),MAX(1,ROUND(AE1362*v01_FissionRate,0)),0)</x:f>
        <x:v>0</x:v>
      </x:c>
      <x:c r="AE1363" s="8" t="n">
        <x:f>IF(H1363=1,MAX(1,MIN(INDEX(v01_Smax,G1363),AE1362+AD1363)),AE1362)</x:f>
        <x:v>15</x:v>
      </x:c>
      <x:c r="AF1363" s="8" t="n">
        <x:f>MAX(0,AE1363-AE1362)</x:f>
        <x:v>0</x:v>
      </x:c>
      <x:c r="AG1363" s="9" t="str">
        <x:f>IF(AF1363&gt;0,B1363,"")</x:f>
      </x:c>
      <x:c r="AH1363" s="9" t="n">
        <x:f>IF(F1363&gt;=1,1,(1+v01_LowTiesShare*(AE1363-1))/AE1363)</x:f>
        <x:v>1</x:v>
      </x:c>
      <x:c r="AI1363" s="32" t="n">
        <x:f>(Z1363+v01_ElderCommons*INDEX(LM_Elder,G1363)*AA1363)*AH1363</x:f>
        <x:v>47524.29185826152</x:v>
      </x:c>
      <x:c r="AJ1363" s="32" t="n">
        <x:f>H1363*v01_CommonsCoef*AI1363^v01_CommonsExp*INDEX(LM_Commons,G1363)</x:f>
        <x:v>25367.54020609805</x:v>
      </x:c>
      <x:c r="AK1363" s="32" t="n">
        <x:f>H1363*v01_RoleScale*Arch_Roles*(AE1363*(INDEX(v01_ElderRolePerSett,G1363)*v01_OutElder*INDEX(LM_Elder,G1363)+INDEX(v01_ShamanPerSett,G1363)*v01_OutShaman)+Z1363*(INDEX(v01_PriestShare,G1363)*v01_OutPriest+INDEX(v01_ScribeShare,G1363)*v01_OutScribe*INDEX(LM_Scribe,G1363)+INDEX(v01_ScholarShare,G1363)*v01_OutScholar*INDEX(LM_Scholar,G1363)+INDEX(v01_ResearcherShare,G1363)*v01_OutResearcher*INDEX(LM_Researcher,G1363)))</x:f>
        <x:v>7179.061045956917</x:v>
      </x:c>
      <x:c r="AL1363" s="32" t="n">
        <x:f>H1363*v01_RoleScale*Arch_Roles*AE1363*INDEX(v01_MonasteryPerSett,G1363)*v01_OutMonastery*INDEX(LM_Monastery,G1363)</x:f>
        <x:v>3.3000000000000003</x:v>
      </x:c>
      <x:c r="AM1363" s="32" t="n">
        <x:f>(AJ1363+AK1363+AL1363)/4*INDEX(LM_All,G1363)*INDEX(v01_Boon,G1363)*Arch_Insight</x:f>
        <x:v>28187.31678856924</x:v>
      </x:c>
      <x:c r="AN1363" s="32" t="n">
        <x:f>H1363*(v01_KHPerAdult*Z1363+v01_KHOfCommons*AJ1363/4*INDEX(LM_All,G1363))*v01_KHUsable*Arch_KH</x:f>
        <x:v>554.1008283489816</x:v>
      </x:c>
      <x:c r="AO1363" s="32" t="n">
        <x:f>MIN(AP1362+AN1363,AM1363*v01_KHMaxRatio)</x:f>
        <x:v>554.1008283489816</x:v>
      </x:c>
      <x:c r="AP1363" s="32" t="n">
        <x:f>AP1362+AN1363-AO1363</x:f>
        <x:v>0</x:v>
      </x:c>
      <x:c r="AQ1363" s="32" t="n">
        <x:f>AM1363+AO1363</x:f>
        <x:v>28741.41761691822</x:v>
      </x:c>
      <x:c r="AR1363" s="10" t="n">
        <x:f>IF(H1363=1,INDEX(v01_Req,G1363),0)</x:f>
        <x:v>1845340.8943637449</x:v>
      </x:c>
      <x:c r="AS1363" s="32" t="n">
        <x:f>IF(H1363=1,IF(E1363=1,AS1362-AR1362,AS1362)+AQ1363,0)</x:f>
        <x:v>526414.6718854884</x:v>
      </x:c>
      <x:c r="AT1363" s="11" t="n">
        <x:f>IF(AR1363&gt;0,MIN(1,AS1363/AR1363),1)</x:f>
        <x:v>0.28526689756528206</x:v>
      </x:c>
      <x:c r="AU1363" s="10" t="n">
        <x:f>AB1363/INDEX(v01_RepScale,G1363)</x:f>
        <x:v>73.02113404669646</x:v>
      </x:c>
      <x:c r="AV1363" s="32" t="n">
        <x:f>AM1363*60/v01_SeasonSeconds</x:f>
        <x:v>112749.26715427697</x:v>
      </x:c>
    </x:row>
    <x:row r="1364">
      <x:c r="A1364" s="8" t="n">
        <x:f>A1363+1</x:f>
        <x:v>1361</x:v>
      </x:c>
      <x:c r="B1364" s="9" t="n">
        <x:f>A1364*v01_SeasonSeconds/60</x:f>
        <x:v>340.25</x:v>
      </x:c>
      <x:c r="C1364" s="9" t="n">
        <x:f>A1364/4</x:f>
        <x:v>340.25</x:v>
      </x:c>
      <x:c r="D1364" s="8" t="n">
        <x:f>IF(MOD(A1364,4)=0,1,0)</x:f>
        <x:v>0</x:v>
      </x:c>
      <x:c r="E1364" s="8" t="n">
        <x:f>IF(AND(F1363&lt;=9,AS1363&gt;=AR1363),1,0)</x:f>
        <x:v>0</x:v>
      </x:c>
      <x:c r="F1364" s="8" t="n">
        <x:f>MIN(10,F1363+E1364)</x:f>
        <x:v>9</x:v>
      </x:c>
      <x:c r="G1364" s="8" t="n">
        <x:f>MIN(F1364,9)+1</x:f>
        <x:v>10</x:v>
      </x:c>
      <x:c r="H1364" s="8" t="n">
        <x:f>IF(F1364&lt;=9,1,0)</x:f>
        <x:v>1</x:v>
      </x:c>
      <x:c r="I1364" s="9" t="n">
        <x:f>MIN(10,F1363+IF(AR1363&gt;0,MIN(1,AS1363/AR1363),1))</x:f>
        <x:v>9.285266897565283</x:v>
      </x:c>
      <x:c r="J1364" s="32" t="n">
        <x:f>INDEX(v01_FoodCap,G1364)*Arch_FoodCap*EXP(v01_CapsByProject*SUMPRODUCT((Cap_Point&lt;=I1364)*(Cap_Kind="Food")*Cap_Ln))</x:f>
        <x:v>12000</x:v>
      </x:c>
      <x:c r="K1364" s="32" t="n">
        <x:f>J1364*MIN(1,v01_LeanBase*EXP(v01_CapsByProject*SUMPRODUCT((Cap_Point&lt;=I1364)*(Cap_Kind="Lean")*Cap_Ln)))</x:f>
        <x:v>12000</x:v>
      </x:c>
      <x:c r="L1364" s="10" t="n">
        <x:f>INDEX(v01_HousingCap,G1364)*EXP(v01_CapsByProject*SUMPRODUCT((Cap_Point&lt;=I1364)*(Cap_Kind="Housing")*Cap_Ln))</x:f>
        <x:v>20000</x:v>
      </x:c>
      <x:c r="M1364" s="10" t="n">
        <x:f>INDEX(v01_GroupCap,G1364)*v01_CohesionFactor*EXP(v01_CapsByProject*SUMPRODUCT((Cap_Point&lt;=I1364)*(Cap_Kind="Group")*Cap_Ln))</x:f>
        <x:v>1000000</x:v>
      </x:c>
      <x:c r="N1364" s="32" t="n">
        <x:f>MIN(J1364,L1364,M1364)</x:f>
        <x:v>12000</x:v>
      </x:c>
      <x:c r="O1364" s="10" t="n">
        <x:f>AE1363*N1364</x:f>
        <x:v>180000</x:v>
      </x:c>
      <x:c r="P1364" s="9" t="n">
        <x:f>MIN(1,(AB1363/(AE1363*IF(v01_GroupInCrowding=1,N1364,MIN(J1364,L1364))))^v01_CrowdingExp)</x:f>
        <x:v>0.00006964283404300878</x:v>
      </x:c>
      <x:c r="Q1364" s="9" t="n">
        <x:f>IF(D1364=1,INDEX(v01_WinterMult,G1364),1)</x:f>
        <x:v>1</x:v>
      </x:c>
      <x:c r="R1364" s="9" t="n">
        <x:f>H1364*Z1363*v01_WomenShare*v01_BaseFertility*INDEX(v01_FertMult,G1364)*Arch_Fertility*(1-P1364)</x:f>
        <x:v>261.2007699071335</x:v>
      </x:c>
      <x:c r="S1364" s="9" t="n">
        <x:f>H1364*Y1363*INDEX(v01_MortChild,G1364)/4*Q1364</x:f>
        <x:v>9.465748703731872</x:v>
      </x:c>
      <x:c r="T1364" s="9" t="n">
        <x:f>H1364*Z1363*INDEX(v01_MortAdult,G1364)*Arch_AdultMort/4*Q1364</x:f>
        <x:v>9.894657649088959</x:v>
      </x:c>
      <x:c r="U1364" s="9" t="n">
        <x:f>H1364*AA1363*INDEX(v01_MortElder,G1364)/4*Q1364</x:f>
        <x:v>50.36322820727125</x:v>
      </x:c>
      <x:c r="V1364" s="9" t="n">
        <x:f>H1364*MAX(0,AB1363-O1364)*v01_OvercapLoss</x:f>
        <x:v>0</x:v>
      </x:c>
      <x:c r="W1364" s="9" t="n">
        <x:f>H1364*Y1363/(v01_ChildYears*4)</x:f>
        <x:v>225.37496913647314</x:v>
      </x:c>
      <x:c r="X1364" s="9" t="n">
        <x:f>H1364*Z1363/(v01_AdultYears*4)</x:f>
        <x:v>127.67300192372849</x:v>
      </x:c>
      <x:c r="Y1364" s="32" t="n">
        <x:f>Y1363+R1364-S1364-W1364-Y1363*V1364/AB1363</x:f>
        <x:v>12647.358323709424</x:v>
      </x:c>
      <x:c r="Z1364" s="32" t="n">
        <x:f>Z1363+W1364-X1364-T1364-Z1363*V1364/AB1363</x:f>
        <x:v>15919.259548105989</x:v>
      </x:c>
      <x:c r="AA1364" s="32" t="n">
        <x:f>AA1363+X1364-U1364-AA1363*V1364/AB1363</x:f>
        <x:v>8135.426286879856</x:v>
      </x:c>
      <x:c r="AB1364" s="10" t="n">
        <x:f>Y1364+Z1364+AA1364</x:f>
        <x:v>36702.044158695266</x:v>
      </x:c>
      <x:c r="AC1364" s="8" t="n">
        <x:f>IF(AND(v01_WinterTrigger=1,D1364=1,AB1363/AE1363&gt;=K1364),1,0)</x:f>
        <x:v>0</x:v>
      </x:c>
      <x:c r="AD1364" s="8" t="n">
        <x:f>H1364*IF(AND(OR(AB1363/AE1363&gt;=v01_FissionTrigger*N1364,AC1364=1),AB1363/AE1363*v01_DaughterShare&gt;=v01_MinDaughter),MAX(1,ROUND(AE1363*v01_FissionRate,0)),0)</x:f>
        <x:v>0</x:v>
      </x:c>
      <x:c r="AE1364" s="8" t="n">
        <x:f>IF(H1364=1,MAX(1,MIN(INDEX(v01_Smax,G1364),AE1363+AD1364)),AE1363)</x:f>
        <x:v>15</x:v>
      </x:c>
      <x:c r="AF1364" s="8" t="n">
        <x:f>MAX(0,AE1364-AE1363)</x:f>
        <x:v>0</x:v>
      </x:c>
      <x:c r="AG1364" s="9" t="str">
        <x:f>IF(AF1364&gt;0,B1364,"")</x:f>
      </x:c>
      <x:c r="AH1364" s="9" t="n">
        <x:f>IF(F1364&gt;=1,1,(1+v01_LowTiesShare*(AE1364-1))/AE1364)</x:f>
        <x:v>1</x:v>
      </x:c>
      <x:c r="AI1364" s="32" t="n">
        <x:f>(Z1364+v01_ElderCommons*INDEX(LM_Elder,G1364)*AA1364)*AH1364</x:f>
        <x:v>47916.16107303962</x:v>
      </x:c>
      <x:c r="AJ1364" s="32" t="n">
        <x:f>H1364*v01_CommonsCoef*AI1364^v01_CommonsExp*INDEX(LM_Commons,G1364)</x:f>
        <x:v>25545.226921630794</x:v>
      </x:c>
      <x:c r="AK1364" s="32" t="n">
        <x:f>H1364*v01_RoleScale*Arch_Roles*(AE1364*(INDEX(v01_ElderRolePerSett,G1364)*v01_OutElder*INDEX(LM_Elder,G1364)+INDEX(v01_ShamanPerSett,G1364)*v01_OutShaman)+Z1364*(INDEX(v01_PriestShare,G1364)*v01_OutPriest+INDEX(v01_ScribeShare,G1364)*v01_OutScribe*INDEX(LM_Scribe,G1364)+INDEX(v01_ScholarShare,G1364)*v01_OutScholar*INDEX(LM_Scholar,G1364)+INDEX(v01_ResearcherShare,G1364)*v01_OutResearcher*INDEX(LM_Researcher,G1364)))</x:f>
        <x:v>7218.590474071217</x:v>
      </x:c>
      <x:c r="AL1364" s="32" t="n">
        <x:f>H1364*v01_RoleScale*Arch_Roles*AE1364*INDEX(v01_MonasteryPerSett,G1364)*v01_OutMonastery*INDEX(LM_Monastery,G1364)</x:f>
        <x:v>3.3000000000000003</x:v>
      </x:c>
      <x:c r="AM1364" s="32" t="n">
        <x:f>(AJ1364+AK1364+AL1364)/4*INDEX(LM_All,G1364)*INDEX(v01_Boon,G1364)*Arch_Insight</x:f>
        <x:v>28375.419978350314</x:v>
      </x:c>
      <x:c r="AN1364" s="32" t="n">
        <x:f>H1364*(v01_KHPerAdult*Z1364+v01_KHOfCommons*AJ1364/4*INDEX(LM_All,G1364))*v01_KHUsable*Arch_KH</x:f>
        <x:v>557.1740841837096</x:v>
      </x:c>
      <x:c r="AO1364" s="32" t="n">
        <x:f>MIN(AP1363+AN1364,AM1364*v01_KHMaxRatio)</x:f>
        <x:v>557.1740841837096</x:v>
      </x:c>
      <x:c r="AP1364" s="32" t="n">
        <x:f>AP1363+AN1364-AO1364</x:f>
        <x:v>0</x:v>
      </x:c>
      <x:c r="AQ1364" s="32" t="n">
        <x:f>AM1364+AO1364</x:f>
        <x:v>28932.594062534023</x:v>
      </x:c>
      <x:c r="AR1364" s="10" t="n">
        <x:f>IF(H1364=1,INDEX(v01_Req,G1364),0)</x:f>
        <x:v>1845340.8943637449</x:v>
      </x:c>
      <x:c r="AS1364" s="32" t="n">
        <x:f>IF(H1364=1,IF(E1364=1,AS1363-AR1363,AS1363)+AQ1364,0)</x:f>
        <x:v>555347.2659480225</x:v>
      </x:c>
      <x:c r="AT1364" s="11" t="n">
        <x:f>IF(AR1364&gt;0,MIN(1,AS1364/AR1364),1)</x:f>
        <x:v>0.3009456234586405</x:v>
      </x:c>
      <x:c r="AU1364" s="10" t="n">
        <x:f>AB1364/INDEX(v01_RepScale,G1364)</x:f>
        <x:v>73.40408831739053</x:v>
      </x:c>
      <x:c r="AV1364" s="32" t="n">
        <x:f>AM1364*60/v01_SeasonSeconds</x:f>
        <x:v>113501.67991340127</x:v>
      </x:c>
    </x:row>
    <x:row r="1365">
      <x:c r="A1365" s="8" t="n">
        <x:f>A1364+1</x:f>
        <x:v>1362</x:v>
      </x:c>
      <x:c r="B1365" s="9" t="n">
        <x:f>A1365*v01_SeasonSeconds/60</x:f>
        <x:v>340.5</x:v>
      </x:c>
      <x:c r="C1365" s="9" t="n">
        <x:f>A1365/4</x:f>
        <x:v>340.5</x:v>
      </x:c>
      <x:c r="D1365" s="8" t="n">
        <x:f>IF(MOD(A1365,4)=0,1,0)</x:f>
        <x:v>0</x:v>
      </x:c>
      <x:c r="E1365" s="8" t="n">
        <x:f>IF(AND(F1364&lt;=9,AS1364&gt;=AR1364),1,0)</x:f>
        <x:v>0</x:v>
      </x:c>
      <x:c r="F1365" s="8" t="n">
        <x:f>MIN(10,F1364+E1365)</x:f>
        <x:v>9</x:v>
      </x:c>
      <x:c r="G1365" s="8" t="n">
        <x:f>MIN(F1365,9)+1</x:f>
        <x:v>10</x:v>
      </x:c>
      <x:c r="H1365" s="8" t="n">
        <x:f>IF(F1365&lt;=9,1,0)</x:f>
        <x:v>1</x:v>
      </x:c>
      <x:c r="I1365" s="9" t="n">
        <x:f>MIN(10,F1364+IF(AR1364&gt;0,MIN(1,AS1364/AR1364),1))</x:f>
        <x:v>9.30094562345864</x:v>
      </x:c>
      <x:c r="J1365" s="32" t="n">
        <x:f>INDEX(v01_FoodCap,G1365)*Arch_FoodCap*EXP(v01_CapsByProject*SUMPRODUCT((Cap_Point&lt;=I1365)*(Cap_Kind="Food")*Cap_Ln))</x:f>
        <x:v>12000</x:v>
      </x:c>
      <x:c r="K1365" s="32" t="n">
        <x:f>J1365*MIN(1,v01_LeanBase*EXP(v01_CapsByProject*SUMPRODUCT((Cap_Point&lt;=I1365)*(Cap_Kind="Lean")*Cap_Ln)))</x:f>
        <x:v>12000</x:v>
      </x:c>
      <x:c r="L1365" s="10" t="n">
        <x:f>INDEX(v01_HousingCap,G1365)*EXP(v01_CapsByProject*SUMPRODUCT((Cap_Point&lt;=I1365)*(Cap_Kind="Housing")*Cap_Ln))</x:f>
        <x:v>20000</x:v>
      </x:c>
      <x:c r="M1365" s="10" t="n">
        <x:f>INDEX(v01_GroupCap,G1365)*v01_CohesionFactor*EXP(v01_CapsByProject*SUMPRODUCT((Cap_Point&lt;=I1365)*(Cap_Kind="Group")*Cap_Ln))</x:f>
        <x:v>1000000</x:v>
      </x:c>
      <x:c r="N1365" s="32" t="n">
        <x:f>MIN(J1365,L1365,M1365)</x:f>
        <x:v>12000</x:v>
      </x:c>
      <x:c r="O1365" s="10" t="n">
        <x:f>AE1364*N1365</x:f>
        <x:v>180000</x:v>
      </x:c>
      <x:c r="P1365" s="9" t="n">
        <x:f>MIN(1,(AB1364/(AE1364*IF(v01_GroupInCrowding=1,N1365,MIN(J1365,L1365))))^v01_CrowdingExp)</x:f>
        <x:v>0.00007186318971170002</x:v>
      </x:c>
      <x:c r="Q1365" s="9" t="n">
        <x:f>IF(D1365=1,INDEX(v01_WinterMult,G1365),1)</x:f>
        <x:v>1</x:v>
      </x:c>
      <x:c r="R1365" s="9" t="n">
        <x:f>H1365*Z1364*v01_WomenShare*v01_BaseFertility*INDEX(v01_FertMult,G1365)*Arch_Fertility*(1-P1365)</x:f>
        <x:v>262.64890639906076</x:v>
      </x:c>
      <x:c r="S1365" s="9" t="n">
        <x:f>H1365*Y1364*INDEX(v01_MortChild,G1365)/4*Q1365</x:f>
        <x:v>9.485518742782068</x:v>
      </x:c>
      <x:c r="T1365" s="9" t="n">
        <x:f>H1365*Z1364*INDEX(v01_MortAdult,G1365)*Arch_AdultMort/4*Q1365</x:f>
        <x:v>9.949537217566244</x:v>
      </x:c>
      <x:c r="U1365" s="9" t="n">
        <x:f>H1365*AA1364*INDEX(v01_MortElder,G1365)/4*Q1365</x:f>
        <x:v>50.8464142929991</x:v>
      </x:c>
      <x:c r="V1365" s="9" t="n">
        <x:f>H1365*MAX(0,AB1364-O1365)*v01_OvercapLoss</x:f>
        <x:v>0</x:v>
      </x:c>
      <x:c r="W1365" s="9" t="n">
        <x:f>H1365*Y1364/(v01_ChildYears*4)</x:f>
        <x:v>225.84568435195402</x:v>
      </x:c>
      <x:c r="X1365" s="9" t="n">
        <x:f>H1365*Z1364/(v01_AdultYears*4)</x:f>
        <x:v>128.38112538795153</x:v>
      </x:c>
      <x:c r="Y1365" s="32" t="n">
        <x:f>Y1364+R1365-S1365-W1365-Y1364*V1365/AB1364</x:f>
        <x:v>12674.67602701375</x:v>
      </x:c>
      <x:c r="Z1365" s="32" t="n">
        <x:f>Z1364+W1365-X1365-T1365-Z1364*V1365/AB1364</x:f>
        <x:v>16006.774569852425</x:v>
      </x:c>
      <x:c r="AA1365" s="32" t="n">
        <x:f>AA1364+X1365-U1365-AA1364*V1365/AB1364</x:f>
        <x:v>8212.96099797481</x:v>
      </x:c>
      <x:c r="AB1365" s="10" t="n">
        <x:f>Y1365+Z1365+AA1365</x:f>
        <x:v>36894.41159484099</x:v>
      </x:c>
      <x:c r="AC1365" s="8" t="n">
        <x:f>IF(AND(v01_WinterTrigger=1,D1365=1,AB1364/AE1364&gt;=K1365),1,0)</x:f>
        <x:v>0</x:v>
      </x:c>
      <x:c r="AD1365" s="8" t="n">
        <x:f>H1365*IF(AND(OR(AB1364/AE1364&gt;=v01_FissionTrigger*N1365,AC1365=1),AB1364/AE1364*v01_DaughterShare&gt;=v01_MinDaughter),MAX(1,ROUND(AE1364*v01_FissionRate,0)),0)</x:f>
        <x:v>0</x:v>
      </x:c>
      <x:c r="AE1365" s="8" t="n">
        <x:f>IF(H1365=1,MAX(1,MIN(INDEX(v01_Smax,G1365),AE1364+AD1365)),AE1364)</x:f>
        <x:v>15</x:v>
      </x:c>
      <x:c r="AF1365" s="8" t="n">
        <x:f>MAX(0,AE1365-AE1364)</x:f>
        <x:v>0</x:v>
      </x:c>
      <x:c r="AG1365" s="9" t="str">
        <x:f>IF(AF1365&gt;0,B1365,"")</x:f>
      </x:c>
      <x:c r="AH1365" s="9" t="n">
        <x:f>IF(F1365&gt;=1,1,(1+v01_LowTiesShare*(AE1365-1))/AE1365)</x:f>
        <x:v>1</x:v>
      </x:c>
      <x:c r="AI1365" s="32" t="n">
        <x:f>(Z1365+v01_ElderCommons*INDEX(LM_Elder,G1365)*AA1365)*AH1365</x:f>
        <x:v>48308.622686173694</x:v>
      </x:c>
      <x:c r="AJ1365" s="32" t="n">
        <x:f>H1365*v01_CommonsCoef*AI1365^v01_CommonsExp*INDEX(LM_Commons,G1365)</x:f>
        <x:v>25722.963914061853</x:v>
      </x:c>
      <x:c r="AK1365" s="32" t="n">
        <x:f>H1365*v01_RoleScale*Arch_Roles*(AE1365*(INDEX(v01_ElderRolePerSett,G1365)*v01_OutElder*INDEX(LM_Elder,G1365)+INDEX(v01_ShamanPerSett,G1365)*v01_OutShaman)+Z1365*(INDEX(v01_PriestShare,G1365)*v01_OutPriest+INDEX(v01_ScribeShare,G1365)*v01_OutScribe*INDEX(LM_Scribe,G1365)+INDEX(v01_ScholarShare,G1365)*v01_OutScholar*INDEX(LM_Scholar,G1365)+INDEX(v01_ResearcherShare,G1365)*v01_OutResearcher*INDEX(LM_Researcher,G1365)))</x:f>
        <x:v>7257.988318945841</x:v>
      </x:c>
      <x:c r="AL1365" s="32" t="n">
        <x:f>H1365*v01_RoleScale*Arch_Roles*AE1365*INDEX(v01_MonasteryPerSett,G1365)*v01_OutMonastery*INDEX(LM_Monastery,G1365)</x:f>
        <x:v>3.3000000000000003</x:v>
      </x:c>
      <x:c r="AM1365" s="32" t="n">
        <x:f>(AJ1365+AK1365+AL1365)/4*INDEX(LM_All,G1365)*INDEX(v01_Boon,G1365)*Arch_Insight</x:f>
        <x:v>28563.452759082124</x:v>
      </x:c>
      <x:c r="AN1365" s="32" t="n">
        <x:f>H1365*(v01_KHPerAdult*Z1365+v01_KHOfCommons*AJ1365/4*INDEX(LM_All,G1365))*v01_KHUsable*Arch_KH</x:f>
        <x:v>560.2371099448349</x:v>
      </x:c>
      <x:c r="AO1365" s="32" t="n">
        <x:f>MIN(AP1364+AN1365,AM1365*v01_KHMaxRatio)</x:f>
        <x:v>560.2371099448349</x:v>
      </x:c>
      <x:c r="AP1365" s="32" t="n">
        <x:f>AP1364+AN1365-AO1365</x:f>
        <x:v>0</x:v>
      </x:c>
      <x:c r="AQ1365" s="32" t="n">
        <x:f>AM1365+AO1365</x:f>
        <x:v>29123.68986902696</x:v>
      </x:c>
      <x:c r="AR1365" s="10" t="n">
        <x:f>IF(H1365=1,INDEX(v01_Req,G1365),0)</x:f>
        <x:v>1845340.8943637449</x:v>
      </x:c>
      <x:c r="AS1365" s="32" t="n">
        <x:f>IF(H1365=1,IF(E1365=1,AS1364-AR1364,AS1364)+AQ1365,0)</x:f>
        <x:v>584470.9558170495</x:v>
      </x:c>
      <x:c r="AT1365" s="11" t="n">
        <x:f>IF(AR1365&gt;0,MIN(1,AS1365/AR1365),1)</x:f>
        <x:v>0.31672790518121</x:v>
      </x:c>
      <x:c r="AU1365" s="10" t="n">
        <x:f>AB1365/INDEX(v01_RepScale,G1365)</x:f>
        <x:v>73.78882318968198</x:v>
      </x:c>
      <x:c r="AV1365" s="32" t="n">
        <x:f>AM1365*60/v01_SeasonSeconds</x:f>
        <x:v>114253.8110363285</x:v>
      </x:c>
    </x:row>
    <x:row r="1366">
      <x:c r="A1366" s="8" t="n">
        <x:f>A1365+1</x:f>
        <x:v>1363</x:v>
      </x:c>
      <x:c r="B1366" s="9" t="n">
        <x:f>A1366*v01_SeasonSeconds/60</x:f>
        <x:v>340.75</x:v>
      </x:c>
      <x:c r="C1366" s="9" t="n">
        <x:f>A1366/4</x:f>
        <x:v>340.75</x:v>
      </x:c>
      <x:c r="D1366" s="8" t="n">
        <x:f>IF(MOD(A1366,4)=0,1,0)</x:f>
        <x:v>0</x:v>
      </x:c>
      <x:c r="E1366" s="8" t="n">
        <x:f>IF(AND(F1365&lt;=9,AS1365&gt;=AR1365),1,0)</x:f>
        <x:v>0</x:v>
      </x:c>
      <x:c r="F1366" s="8" t="n">
        <x:f>MIN(10,F1365+E1366)</x:f>
        <x:v>9</x:v>
      </x:c>
      <x:c r="G1366" s="8" t="n">
        <x:f>MIN(F1366,9)+1</x:f>
        <x:v>10</x:v>
      </x:c>
      <x:c r="H1366" s="8" t="n">
        <x:f>IF(F1366&lt;=9,1,0)</x:f>
        <x:v>1</x:v>
      </x:c>
      <x:c r="I1366" s="9" t="n">
        <x:f>MIN(10,F1365+IF(AR1365&gt;0,MIN(1,AS1365/AR1365),1))</x:f>
        <x:v>9.31672790518121</x:v>
      </x:c>
      <x:c r="J1366" s="32" t="n">
        <x:f>INDEX(v01_FoodCap,G1366)*Arch_FoodCap*EXP(v01_CapsByProject*SUMPRODUCT((Cap_Point&lt;=I1366)*(Cap_Kind="Food")*Cap_Ln))</x:f>
        <x:v>12000</x:v>
      </x:c>
      <x:c r="K1366" s="32" t="n">
        <x:f>J1366*MIN(1,v01_LeanBase*EXP(v01_CapsByProject*SUMPRODUCT((Cap_Point&lt;=I1366)*(Cap_Kind="Lean")*Cap_Ln)))</x:f>
        <x:v>12000</x:v>
      </x:c>
      <x:c r="L1366" s="10" t="n">
        <x:f>INDEX(v01_HousingCap,G1366)*EXP(v01_CapsByProject*SUMPRODUCT((Cap_Point&lt;=I1366)*(Cap_Kind="Housing")*Cap_Ln))</x:f>
        <x:v>20000</x:v>
      </x:c>
      <x:c r="M1366" s="10" t="n">
        <x:f>INDEX(v01_GroupCap,G1366)*v01_CohesionFactor*EXP(v01_CapsByProject*SUMPRODUCT((Cap_Point&lt;=I1366)*(Cap_Kind="Group")*Cap_Ln))</x:f>
        <x:v>1000000</x:v>
      </x:c>
      <x:c r="N1366" s="32" t="n">
        <x:f>MIN(J1366,L1366,M1366)</x:f>
        <x:v>12000</x:v>
      </x:c>
      <x:c r="O1366" s="10" t="n">
        <x:f>AE1365*N1366</x:f>
        <x:v>180000</x:v>
      </x:c>
      <x:c r="P1366" s="9" t="n">
        <x:f>MIN(1,(AB1365/(AE1365*IF(v01_GroupInCrowding=1,N1366,MIN(J1366,L1366))))^v01_CrowdingExp)</x:f>
        <x:v>0.0000741529614422955</x:v>
      </x:c>
      <x:c r="Q1366" s="9" t="n">
        <x:f>IF(D1366=1,INDEX(v01_WinterMult,G1366),1)</x:f>
        <x:v>1</x:v>
      </x:c>
      <x:c r="R1366" s="9" t="n">
        <x:f>H1366*Z1365*v01_WomenShare*v01_BaseFertility*INDEX(v01_FertMult,G1366)*Arch_Fertility*(1-P1366)</x:f>
        <x:v>264.0921957318963</x:v>
      </x:c>
      <x:c r="S1366" s="9" t="n">
        <x:f>H1366*Y1365*INDEX(v01_MortChild,G1366)/4*Q1366</x:f>
        <x:v>9.506007020260313</x:v>
      </x:c>
      <x:c r="T1366" s="9" t="n">
        <x:f>H1366*Z1365*INDEX(v01_MortAdult,G1366)*Arch_AdultMort/4*Q1366</x:f>
        <x:v>10.004234106157766</x:v>
      </x:c>
      <x:c r="U1366" s="9" t="n">
        <x:f>H1366*AA1365*INDEX(v01_MortElder,G1366)/4*Q1366</x:f>
        <x:v>51.331006237342564</x:v>
      </x:c>
      <x:c r="V1366" s="9" t="n">
        <x:f>H1366*MAX(0,AB1365-O1366)*v01_OvercapLoss</x:f>
        <x:v>0</x:v>
      </x:c>
      <x:c r="W1366" s="9" t="n">
        <x:f>H1366*Y1365/(v01_ChildYears*4)</x:f>
        <x:v>226.3335004823884</x:v>
      </x:c>
      <x:c r="X1366" s="9" t="n">
        <x:f>H1366*Z1365/(v01_AdultYears*4)</x:f>
        <x:v>129.08689169235828</x:v>
      </x:c>
      <x:c r="Y1366" s="32" t="n">
        <x:f>Y1365+R1366-S1366-W1366-Y1365*V1366/AB1365</x:f>
        <x:v>12702.928715242999</x:v>
      </x:c>
      <x:c r="Z1366" s="32" t="n">
        <x:f>Z1365+W1366-X1366-T1366-Z1365*V1366/AB1365</x:f>
        <x:v>16094.016944536295</x:v>
      </x:c>
      <x:c r="AA1366" s="32" t="n">
        <x:f>AA1365+X1366-U1366-AA1365*V1366/AB1365</x:f>
        <x:v>8290.716883429826</x:v>
      </x:c>
      <x:c r="AB1366" s="10" t="n">
        <x:f>Y1366+Z1366+AA1366</x:f>
        <x:v>37087.662543209124</x:v>
      </x:c>
      <x:c r="AC1366" s="8" t="n">
        <x:f>IF(AND(v01_WinterTrigger=1,D1366=1,AB1365/AE1365&gt;=K1366),1,0)</x:f>
        <x:v>0</x:v>
      </x:c>
      <x:c r="AD1366" s="8" t="n">
        <x:f>H1366*IF(AND(OR(AB1365/AE1365&gt;=v01_FissionTrigger*N1366,AC1366=1),AB1365/AE1365*v01_DaughterShare&gt;=v01_MinDaughter),MAX(1,ROUND(AE1365*v01_FissionRate,0)),0)</x:f>
        <x:v>0</x:v>
      </x:c>
      <x:c r="AE1366" s="8" t="n">
        <x:f>IF(H1366=1,MAX(1,MIN(INDEX(v01_Smax,G1366),AE1365+AD1366)),AE1365)</x:f>
        <x:v>15</x:v>
      </x:c>
      <x:c r="AF1366" s="8" t="n">
        <x:f>MAX(0,AE1366-AE1365)</x:f>
        <x:v>0</x:v>
      </x:c>
      <x:c r="AG1366" s="9" t="str">
        <x:f>IF(AF1366&gt;0,B1366,"")</x:f>
      </x:c>
      <x:c r="AH1366" s="9" t="n">
        <x:f>IF(F1366&gt;=1,1,(1+v01_LowTiesShare*(AE1366-1))/AE1366)</x:f>
        <x:v>1</x:v>
      </x:c>
      <x:c r="AI1366" s="32" t="n">
        <x:f>(Z1366+v01_ElderCommons*INDEX(LM_Elder,G1366)*AA1366)*AH1366</x:f>
        <x:v>48701.68153834204</x:v>
      </x:c>
      <x:c r="AJ1366" s="32" t="n">
        <x:f>H1366*v01_CommonsCoef*AI1366^v01_CommonsExp*INDEX(LM_Commons,G1366)</x:f>
        <x:v>25900.754426967855</x:v>
      </x:c>
      <x:c r="AK1366" s="32" t="n">
        <x:f>H1366*v01_RoleScale*Arch_Roles*(AE1366*(INDEX(v01_ElderRolePerSett,G1366)*v01_OutElder*INDEX(LM_Elder,G1366)+INDEX(v01_ShamanPerSett,G1366)*v01_OutShaman)+Z1366*(INDEX(v01_PriestShare,G1366)*v01_OutPriest+INDEX(v01_ScribeShare,G1366)*v01_OutScribe*INDEX(LM_Scribe,G1366)+INDEX(v01_ScholarShare,G1366)*v01_OutScholar*INDEX(LM_Scholar,G1366)+INDEX(v01_ResearcherShare,G1366)*v01_OutResearcher*INDEX(LM_Researcher,G1366)))</x:f>
        <x:v>7297.263422530317</x:v>
      </x:c>
      <x:c r="AL1366" s="32" t="n">
        <x:f>H1366*v01_RoleScale*Arch_Roles*AE1366*INDEX(v01_MonasteryPerSett,G1366)*v01_OutMonastery*INDEX(LM_Monastery,G1366)</x:f>
        <x:v>3.3000000000000003</x:v>
      </x:c>
      <x:c r="AM1366" s="32" t="n">
        <x:f>(AJ1366+AK1366+AL1366)/4*INDEX(LM_All,G1366)*INDEX(v01_Boon,G1366)*Arch_Insight</x:f>
        <x:v>28751.425596497014</x:v>
      </x:c>
      <x:c r="AN1366" s="32" t="n">
        <x:f>H1366*(v01_KHPerAdult*Z1366+v01_KHOfCommons*AJ1366/4*INDEX(LM_All,G1366))*v01_KHUsable*Arch_KH</x:f>
        <x:v>563.2905930587704</x:v>
      </x:c>
      <x:c r="AO1366" s="32" t="n">
        <x:f>MIN(AP1365+AN1366,AM1366*v01_KHMaxRatio)</x:f>
        <x:v>563.2905930587704</x:v>
      </x:c>
      <x:c r="AP1366" s="32" t="n">
        <x:f>AP1365+AN1366-AO1366</x:f>
        <x:v>0</x:v>
      </x:c>
      <x:c r="AQ1366" s="32" t="n">
        <x:f>AM1366+AO1366</x:f>
        <x:v>29314.716189555784</x:v>
      </x:c>
      <x:c r="AR1366" s="10" t="n">
        <x:f>IF(H1366=1,INDEX(v01_Req,G1366),0)</x:f>
        <x:v>1845340.8943637449</x:v>
      </x:c>
      <x:c r="AS1366" s="32" t="n">
        <x:f>IF(H1366=1,IF(E1366=1,AS1365-AR1365,AS1365)+AQ1366,0)</x:f>
        <x:v>613785.6720066053</x:v>
      </x:c>
      <x:c r="AT1366" s="11" t="n">
        <x:f>IF(AR1366&gt;0,MIN(1,AS1366/AR1366),1)</x:f>
        <x:v>0.3326137050781788</x:v>
      </x:c>
      <x:c r="AU1366" s="10" t="n">
        <x:f>AB1366/INDEX(v01_RepScale,G1366)</x:f>
        <x:v>74.17532508641825</x:v>
      </x:c>
      <x:c r="AV1366" s="32" t="n">
        <x:f>AM1366*60/v01_SeasonSeconds</x:f>
        <x:v>115005.70238598806</x:v>
      </x:c>
    </x:row>
    <x:row r="1367">
      <x:c r="A1367" s="8" t="n">
        <x:f>A1366+1</x:f>
        <x:v>1364</x:v>
      </x:c>
      <x:c r="B1367" s="9" t="n">
        <x:f>A1367*v01_SeasonSeconds/60</x:f>
        <x:v>341</x:v>
      </x:c>
      <x:c r="C1367" s="9" t="n">
        <x:f>A1367/4</x:f>
        <x:v>341</x:v>
      </x:c>
      <x:c r="D1367" s="8" t="n">
        <x:f>IF(MOD(A1367,4)=0,1,0)</x:f>
        <x:v>1</x:v>
      </x:c>
      <x:c r="E1367" s="8" t="n">
        <x:f>IF(AND(F1366&lt;=9,AS1366&gt;=AR1366),1,0)</x:f>
        <x:v>0</x:v>
      </x:c>
      <x:c r="F1367" s="8" t="n">
        <x:f>MIN(10,F1366+E1367)</x:f>
        <x:v>9</x:v>
      </x:c>
      <x:c r="G1367" s="8" t="n">
        <x:f>MIN(F1367,9)+1</x:f>
        <x:v>10</x:v>
      </x:c>
      <x:c r="H1367" s="8" t="n">
        <x:f>IF(F1367&lt;=9,1,0)</x:f>
        <x:v>1</x:v>
      </x:c>
      <x:c r="I1367" s="9" t="n">
        <x:f>MIN(10,F1366+IF(AR1366&gt;0,MIN(1,AS1366/AR1366),1))</x:f>
        <x:v>9.33261370507818</x:v>
      </x:c>
      <x:c r="J1367" s="32" t="n">
        <x:f>INDEX(v01_FoodCap,G1367)*Arch_FoodCap*EXP(v01_CapsByProject*SUMPRODUCT((Cap_Point&lt;=I1367)*(Cap_Kind="Food")*Cap_Ln))</x:f>
        <x:v>12000</x:v>
      </x:c>
      <x:c r="K1367" s="32" t="n">
        <x:f>J1367*MIN(1,v01_LeanBase*EXP(v01_CapsByProject*SUMPRODUCT((Cap_Point&lt;=I1367)*(Cap_Kind="Lean")*Cap_Ln)))</x:f>
        <x:v>12000</x:v>
      </x:c>
      <x:c r="L1367" s="10" t="n">
        <x:f>INDEX(v01_HousingCap,G1367)*EXP(v01_CapsByProject*SUMPRODUCT((Cap_Point&lt;=I1367)*(Cap_Kind="Housing")*Cap_Ln))</x:f>
        <x:v>20000</x:v>
      </x:c>
      <x:c r="M1367" s="10" t="n">
        <x:f>INDEX(v01_GroupCap,G1367)*v01_CohesionFactor*EXP(v01_CapsByProject*SUMPRODUCT((Cap_Point&lt;=I1367)*(Cap_Kind="Group")*Cap_Ln))</x:f>
        <x:v>1000000</x:v>
      </x:c>
      <x:c r="N1367" s="32" t="n">
        <x:f>MIN(J1367,L1367,M1367)</x:f>
        <x:v>12000</x:v>
      </x:c>
      <x:c r="O1367" s="10" t="n">
        <x:f>AE1366*N1367</x:f>
        <x:v>180000</x:v>
      </x:c>
      <x:c r="P1367" s="9" t="n">
        <x:f>MIN(1,(AB1366/(AE1366*IF(v01_GroupInCrowding=1,N1367,MIN(J1367,L1367))))^v01_CrowdingExp)</x:f>
        <x:v>0.00007651414781092774</x:v>
      </x:c>
      <x:c r="Q1367" s="9" t="n">
        <x:f>IF(D1367=1,INDEX(v01_WinterMult,G1367),1)</x:f>
        <x:v>1</x:v>
      </x:c>
      <x:c r="R1367" s="9" t="n">
        <x:f>H1367*Z1366*v01_WomenShare*v01_BaseFertility*INDEX(v01_FertMult,G1367)*Arch_Fertility*(1-P1367)</x:f>
        <x:v>265.53096115499136</x:v>
      </x:c>
      <x:c r="S1367" s="9" t="n">
        <x:f>H1367*Y1366*INDEX(v01_MortChild,G1367)/4*Q1367</x:f>
        <x:v>9.52719653643225</x:v>
      </x:c>
      <x:c r="T1367" s="9" t="n">
        <x:f>H1367*Z1366*INDEX(v01_MortAdult,G1367)*Arch_AdultMort/4*Q1367</x:f>
        <x:v>10.058760590335185</x:v>
      </x:c>
      <x:c r="U1367" s="9" t="n">
        <x:f>H1367*AA1366*INDEX(v01_MortElder,G1367)/4*Q1367</x:f>
        <x:v>51.81698052143642</x:v>
      </x:c>
      <x:c r="V1367" s="9" t="n">
        <x:f>H1367*MAX(0,AB1366-O1367)*v01_OvercapLoss</x:f>
        <x:v>0</x:v>
      </x:c>
      <x:c r="W1367" s="9" t="n">
        <x:f>H1367*Y1366/(v01_ChildYears*4)</x:f>
        <x:v>226.8380127721964</x:v>
      </x:c>
      <x:c r="X1367" s="9" t="n">
        <x:f>H1367*Z1366/(v01_AdultYears*4)</x:f>
        <x:v>129.7904592301314</x:v>
      </x:c>
      <x:c r="Y1367" s="32" t="n">
        <x:f>Y1366+R1367-S1367-W1367-Y1366*V1367/AB1366</x:f>
        <x:v>12732.094467089362</x:v>
      </x:c>
      <x:c r="Z1367" s="32" t="n">
        <x:f>Z1366+W1367-X1367-T1367-Z1366*V1367/AB1366</x:f>
        <x:v>16181.005737488025</x:v>
      </x:c>
      <x:c r="AA1367" s="32" t="n">
        <x:f>AA1366+X1367-U1367-AA1366*V1367/AB1366</x:f>
        <x:v>8368.69036213852</x:v>
      </x:c>
      <x:c r="AB1367" s="10" t="n">
        <x:f>Y1367+Z1367+AA1367</x:f>
        <x:v>37281.79056671591</x:v>
      </x:c>
      <x:c r="AC1367" s="8" t="n">
        <x:f>IF(AND(v01_WinterTrigger=1,D1367=1,AB1366/AE1366&gt;=K1367),1,0)</x:f>
        <x:v>0</x:v>
      </x:c>
      <x:c r="AD1367" s="8" t="n">
        <x:f>H1367*IF(AND(OR(AB1366/AE1366&gt;=v01_FissionTrigger*N1367,AC1367=1),AB1366/AE1366*v01_DaughterShare&gt;=v01_MinDaughter),MAX(1,ROUND(AE1366*v01_FissionRate,0)),0)</x:f>
        <x:v>0</x:v>
      </x:c>
      <x:c r="AE1367" s="8" t="n">
        <x:f>IF(H1367=1,MAX(1,MIN(INDEX(v01_Smax,G1367),AE1366+AD1367)),AE1366)</x:f>
        <x:v>15</x:v>
      </x:c>
      <x:c r="AF1367" s="8" t="n">
        <x:f>MAX(0,AE1367-AE1366)</x:f>
        <x:v>0</x:v>
      </x:c>
      <x:c r="AG1367" s="9" t="str">
        <x:f>IF(AF1367&gt;0,B1367,"")</x:f>
      </x:c>
      <x:c r="AH1367" s="9" t="n">
        <x:f>IF(F1367&gt;=1,1,(1+v01_LowTiesShare*(AE1367-1))/AE1367)</x:f>
        <x:v>1</x:v>
      </x:c>
      <x:c r="AI1367" s="32" t="n">
        <x:f>(Z1367+v01_ElderCommons*INDEX(LM_Elder,G1367)*AA1367)*AH1367</x:f>
        <x:v>49095.342610264845</x:v>
      </x:c>
      <x:c r="AJ1367" s="32" t="n">
        <x:f>H1367*v01_CommonsCoef*AI1367^v01_CommonsExp*INDEX(LM_Commons,G1367)</x:f>
        <x:v>26078.601738023077</x:v>
      </x:c>
      <x:c r="AK1367" s="32" t="n">
        <x:f>H1367*v01_RoleScale*Arch_Roles*(AE1367*(INDEX(v01_ElderRolePerSett,G1367)*v01_OutElder*INDEX(LM_Elder,G1367)+INDEX(v01_ShamanPerSett,G1367)*v01_OutShaman)+Z1367*(INDEX(v01_PriestShare,G1367)*v01_OutPriest+INDEX(v01_ScribeShare,G1367)*v01_OutScribe*INDEX(LM_Scribe,G1367)+INDEX(v01_ScholarShare,G1367)*v01_OutScholar*INDEX(LM_Scholar,G1367)+INDEX(v01_ResearcherShare,G1367)*v01_OutResearcher*INDEX(LM_Researcher,G1367)))</x:f>
        <x:v>7336.424367727508</x:v>
      </x:c>
      <x:c r="AL1367" s="32" t="n">
        <x:f>H1367*v01_RoleScale*Arch_Roles*AE1367*INDEX(v01_MonasteryPerSett,G1367)*v01_OutMonastery*INDEX(LM_Monastery,G1367)</x:f>
        <x:v>3.3000000000000003</x:v>
      </x:c>
      <x:c r="AM1367" s="32" t="n">
        <x:f>(AJ1367+AK1367+AL1367)/4*INDEX(LM_All,G1367)*INDEX(v01_Boon,G1367)*Arch_Insight</x:f>
        <x:v>28939.348761527675</x:v>
      </x:c>
      <x:c r="AN1367" s="32" t="n">
        <x:f>H1367*(v01_KHPerAdult*Z1367+v01_KHOfCommons*AJ1367/4*INDEX(LM_All,G1367))*v01_KHUsable*Arch_KH</x:f>
        <x:v>566.3352008120809</x:v>
      </x:c>
      <x:c r="AO1367" s="32" t="n">
        <x:f>MIN(AP1366+AN1367,AM1367*v01_KHMaxRatio)</x:f>
        <x:v>566.3352008120809</x:v>
      </x:c>
      <x:c r="AP1367" s="32" t="n">
        <x:f>AP1366+AN1367-AO1367</x:f>
        <x:v>0</x:v>
      </x:c>
      <x:c r="AQ1367" s="32" t="n">
        <x:f>AM1367+AO1367</x:f>
        <x:v>29505.683962339757</x:v>
      </x:c>
      <x:c r="AR1367" s="10" t="n">
        <x:f>IF(H1367=1,INDEX(v01_Req,G1367),0)</x:f>
        <x:v>1845340.8943637449</x:v>
      </x:c>
      <x:c r="AS1367" s="32" t="n">
        <x:f>IF(H1367=1,IF(E1367=1,AS1366-AR1366,AS1366)+AQ1367,0)</x:f>
        <x:v>643291.3559689451</x:v>
      </x:c>
      <x:c r="AT1367" s="11" t="n">
        <x:f>IF(AR1367&gt;0,MIN(1,AS1367/AR1367),1)</x:f>
        <x:v>0.3486029914222139</x:v>
      </x:c>
      <x:c r="AU1367" s="10" t="n">
        <x:f>AB1367/INDEX(v01_RepScale,G1367)</x:f>
        <x:v>74.56358113343181</x:v>
      </x:c>
      <x:c r="AV1367" s="32" t="n">
        <x:f>AM1367*60/v01_SeasonSeconds</x:f>
        <x:v>115757.3950461107</x:v>
      </x:c>
    </x:row>
    <x:row r="1368">
      <x:c r="A1368" s="8" t="n">
        <x:f>A1367+1</x:f>
        <x:v>1365</x:v>
      </x:c>
      <x:c r="B1368" s="9" t="n">
        <x:f>A1368*v01_SeasonSeconds/60</x:f>
        <x:v>341.25</x:v>
      </x:c>
      <x:c r="C1368" s="9" t="n">
        <x:f>A1368/4</x:f>
        <x:v>341.25</x:v>
      </x:c>
      <x:c r="D1368" s="8" t="n">
        <x:f>IF(MOD(A1368,4)=0,1,0)</x:f>
        <x:v>0</x:v>
      </x:c>
      <x:c r="E1368" s="8" t="n">
        <x:f>IF(AND(F1367&lt;=9,AS1367&gt;=AR1367),1,0)</x:f>
        <x:v>0</x:v>
      </x:c>
      <x:c r="F1368" s="8" t="n">
        <x:f>MIN(10,F1367+E1368)</x:f>
        <x:v>9</x:v>
      </x:c>
      <x:c r="G1368" s="8" t="n">
        <x:f>MIN(F1368,9)+1</x:f>
        <x:v>10</x:v>
      </x:c>
      <x:c r="H1368" s="8" t="n">
        <x:f>IF(F1368&lt;=9,1,0)</x:f>
        <x:v>1</x:v>
      </x:c>
      <x:c r="I1368" s="9" t="n">
        <x:f>MIN(10,F1367+IF(AR1367&gt;0,MIN(1,AS1367/AR1367),1))</x:f>
        <x:v>9.348602991422213</x:v>
      </x:c>
      <x:c r="J1368" s="32" t="n">
        <x:f>INDEX(v01_FoodCap,G1368)*Arch_FoodCap*EXP(v01_CapsByProject*SUMPRODUCT((Cap_Point&lt;=I1368)*(Cap_Kind="Food")*Cap_Ln))</x:f>
        <x:v>12000</x:v>
      </x:c>
      <x:c r="K1368" s="32" t="n">
        <x:f>J1368*MIN(1,v01_LeanBase*EXP(v01_CapsByProject*SUMPRODUCT((Cap_Point&lt;=I1368)*(Cap_Kind="Lean")*Cap_Ln)))</x:f>
        <x:v>12000</x:v>
      </x:c>
      <x:c r="L1368" s="10" t="n">
        <x:f>INDEX(v01_HousingCap,G1368)*EXP(v01_CapsByProject*SUMPRODUCT((Cap_Point&lt;=I1368)*(Cap_Kind="Housing")*Cap_Ln))</x:f>
        <x:v>20000</x:v>
      </x:c>
      <x:c r="M1368" s="10" t="n">
        <x:f>INDEX(v01_GroupCap,G1368)*v01_CohesionFactor*EXP(v01_CapsByProject*SUMPRODUCT((Cap_Point&lt;=I1368)*(Cap_Kind="Group")*Cap_Ln))</x:f>
        <x:v>1000000</x:v>
      </x:c>
      <x:c r="N1368" s="32" t="n">
        <x:f>MIN(J1368,L1368,M1368)</x:f>
        <x:v>12000</x:v>
      </x:c>
      <x:c r="O1368" s="10" t="n">
        <x:f>AE1367*N1368</x:f>
        <x:v>180000</x:v>
      </x:c>
      <x:c r="P1368" s="9" t="n">
        <x:f>MIN(1,(AB1367/(AE1367*IF(v01_GroupInCrowding=1,N1368,MIN(J1368,L1368))))^v01_CrowdingExp)</x:f>
        <x:v>0.0000789488019620734</x:v>
      </x:c>
      <x:c r="Q1368" s="9" t="n">
        <x:f>IF(D1368=1,INDEX(v01_WinterMult,G1368),1)</x:f>
        <x:v>1</x:v>
      </x:c>
      <x:c r="R1368" s="9" t="n">
        <x:f>H1368*Z1367*v01_WomenShare*v01_BaseFertility*INDEX(v01_FertMult,G1368)*Arch_Fertility*(1-P1368)</x:f>
        <x:v>266.9655163967634</x:v>
      </x:c>
      <x:c r="S1368" s="9" t="n">
        <x:f>H1368*Y1367*INDEX(v01_MortChild,G1368)/4*Q1368</x:f>
        <x:v>9.549070850317023</x:v>
      </x:c>
      <x:c r="T1368" s="9" t="n">
        <x:f>H1368*Z1367*INDEX(v01_MortAdult,G1368)*Arch_AdultMort/4*Q1368</x:f>
        <x:v>10.113128585930015</x:v>
      </x:c>
      <x:c r="U1368" s="9" t="n">
        <x:f>H1368*AA1367*INDEX(v01_MortElder,G1368)/4*Q1368</x:f>
        <x:v>52.30431476336576</x:v>
      </x:c>
      <x:c r="V1368" s="9" t="n">
        <x:f>H1368*MAX(0,AB1367-O1368)*v01_OvercapLoss</x:f>
        <x:v>0</x:v>
      </x:c>
      <x:c r="W1368" s="9" t="n">
        <x:f>H1368*Y1367/(v01_ChildYears*4)</x:f>
        <x:v>227.3588297694529</x:v>
      </x:c>
      <x:c r="X1368" s="9" t="n">
        <x:f>H1368*Z1367/(v01_AdultYears*4)</x:f>
        <x:v>130.49198175393568</x:v>
      </x:c>
      <x:c r="Y1368" s="32" t="n">
        <x:f>Y1367+R1368-S1368-W1368-Y1367*V1368/AB1367</x:f>
        <x:v>12762.152082866356</x:v>
      </x:c>
      <x:c r="Z1368" s="32" t="n">
        <x:f>Z1367+W1368-X1368-T1368-Z1367*V1368/AB1367</x:f>
        <x:v>16267.759456917613</x:v>
      </x:c>
      <x:c r="AA1368" s="32" t="n">
        <x:f>AA1367+X1368-U1368-AA1367*V1368/AB1367</x:f>
        <x:v>8446.878029129091</x:v>
      </x:c>
      <x:c r="AB1368" s="10" t="n">
        <x:f>Y1368+Z1368+AA1368</x:f>
        <x:v>37476.78956891306</x:v>
      </x:c>
      <x:c r="AC1368" s="8" t="n">
        <x:f>IF(AND(v01_WinterTrigger=1,D1368=1,AB1367/AE1367&gt;=K1368),1,0)</x:f>
        <x:v>0</x:v>
      </x:c>
      <x:c r="AD1368" s="8" t="n">
        <x:f>H1368*IF(AND(OR(AB1367/AE1367&gt;=v01_FissionTrigger*N1368,AC1368=1),AB1367/AE1367*v01_DaughterShare&gt;=v01_MinDaughter),MAX(1,ROUND(AE1367*v01_FissionRate,0)),0)</x:f>
        <x:v>0</x:v>
      </x:c>
      <x:c r="AE1368" s="8" t="n">
        <x:f>IF(H1368=1,MAX(1,MIN(INDEX(v01_Smax,G1368),AE1367+AD1368)),AE1367)</x:f>
        <x:v>15</x:v>
      </x:c>
      <x:c r="AF1368" s="8" t="n">
        <x:f>MAX(0,AE1368-AE1367)</x:f>
        <x:v>0</x:v>
      </x:c>
      <x:c r="AG1368" s="9" t="str">
        <x:f>IF(AF1368&gt;0,B1368,"")</x:f>
      </x:c>
      <x:c r="AH1368" s="9" t="n">
        <x:f>IF(F1368&gt;=1,1,(1+v01_LowTiesShare*(AE1368-1))/AE1368)</x:f>
        <x:v>1</x:v>
      </x:c>
      <x:c r="AI1368" s="32" t="n">
        <x:f>(Z1368+v01_ElderCommons*INDEX(LM_Elder,G1368)*AA1368)*AH1368</x:f>
        <x:v>49489.611018285024</x:v>
      </x:c>
      <x:c r="AJ1368" s="32" t="n">
        <x:f>H1368*v01_CommonsCoef*AI1368^v01_CommonsExp*INDEX(LM_Commons,G1368)</x:f>
        <x:v>26256.50915726572</x:v>
      </x:c>
      <x:c r="AK1368" s="32" t="n">
        <x:f>H1368*v01_RoleScale*Arch_Roles*(AE1368*(INDEX(v01_ElderRolePerSett,G1368)*v01_OutElder*INDEX(LM_Elder,G1368)+INDEX(v01_ShamanPerSett,G1368)*v01_OutShaman)+Z1368*(INDEX(v01_PriestShare,G1368)*v01_OutPriest+INDEX(v01_ScribeShare,G1368)*v01_OutScribe*INDEX(LM_Scribe,G1368)+INDEX(v01_ScholarShare,G1368)*v01_OutScholar*INDEX(LM_Scholar,G1368)+INDEX(v01_ResearcherShare,G1368)*v01_OutResearcher*INDEX(LM_Researcher,G1368)))</x:f>
        <x:v>7375.479486633683</x:v>
      </x:c>
      <x:c r="AL1368" s="32" t="n">
        <x:f>H1368*v01_RoleScale*Arch_Roles*AE1368*INDEX(v01_MonasteryPerSett,G1368)*v01_OutMonastery*INDEX(LM_Monastery,G1368)</x:f>
        <x:v>3.3000000000000003</x:v>
      </x:c>
      <x:c r="AM1368" s="32" t="n">
        <x:f>(AJ1368+AK1368+AL1368)/4*INDEX(LM_All,G1368)*INDEX(v01_Boon,G1368)*Arch_Insight</x:f>
        <x:v>29127.23233594149</x:v>
      </x:c>
      <x:c r="AN1368" s="32" t="n">
        <x:f>H1368*(v01_KHPerAdult*Z1368+v01_KHOfCommons*AJ1368/4*INDEX(LM_All,G1368))*v01_KHUsable*Arch_KH</x:f>
        <x:v>569.3715809921164</x:v>
      </x:c>
      <x:c r="AO1368" s="32" t="n">
        <x:f>MIN(AP1367+AN1368,AM1368*v01_KHMaxRatio)</x:f>
        <x:v>569.3715809921164</x:v>
      </x:c>
      <x:c r="AP1368" s="32" t="n">
        <x:f>AP1367+AN1368-AO1368</x:f>
        <x:v>0</x:v>
      </x:c>
      <x:c r="AQ1368" s="32" t="n">
        <x:f>AM1368+AO1368</x:f>
        <x:v>29696.603916933607</x:v>
      </x:c>
      <x:c r="AR1368" s="10" t="n">
        <x:f>IF(H1368=1,INDEX(v01_Req,G1368),0)</x:f>
        <x:v>1845340.8943637449</x:v>
      </x:c>
      <x:c r="AS1368" s="32" t="n">
        <x:f>IF(H1368=1,IF(E1368=1,AS1367-AR1367,AS1367)+AQ1368,0)</x:f>
        <x:v>672987.9598858787</x:v>
      </x:c>
      <x:c r="AT1368" s="11" t="n">
        <x:f>IF(AR1368&gt;0,MIN(1,AS1368/AR1368),1)</x:f>
        <x:v>0.364695738300385</x:v>
      </x:c>
      <x:c r="AU1368" s="10" t="n">
        <x:f>AB1368/INDEX(v01_RepScale,G1368)</x:f>
        <x:v>74.95357913782613</x:v>
      </x:c>
      <x:c r="AV1368" s="32" t="n">
        <x:f>AM1368*60/v01_SeasonSeconds</x:f>
        <x:v>116508.92934376597</x:v>
      </x:c>
    </x:row>
    <x:row r="1369">
      <x:c r="A1369" s="8" t="n">
        <x:f>A1368+1</x:f>
        <x:v>1366</x:v>
      </x:c>
      <x:c r="B1369" s="9" t="n">
        <x:f>A1369*v01_SeasonSeconds/60</x:f>
        <x:v>341.5</x:v>
      </x:c>
      <x:c r="C1369" s="9" t="n">
        <x:f>A1369/4</x:f>
        <x:v>341.5</x:v>
      </x:c>
      <x:c r="D1369" s="8" t="n">
        <x:f>IF(MOD(A1369,4)=0,1,0)</x:f>
        <x:v>0</x:v>
      </x:c>
      <x:c r="E1369" s="8" t="n">
        <x:f>IF(AND(F1368&lt;=9,AS1368&gt;=AR1368),1,0)</x:f>
        <x:v>0</x:v>
      </x:c>
      <x:c r="F1369" s="8" t="n">
        <x:f>MIN(10,F1368+E1369)</x:f>
        <x:v>9</x:v>
      </x:c>
      <x:c r="G1369" s="8" t="n">
        <x:f>MIN(F1369,9)+1</x:f>
        <x:v>10</x:v>
      </x:c>
      <x:c r="H1369" s="8" t="n">
        <x:f>IF(F1369&lt;=9,1,0)</x:f>
        <x:v>1</x:v>
      </x:c>
      <x:c r="I1369" s="9" t="n">
        <x:f>MIN(10,F1368+IF(AR1368&gt;0,MIN(1,AS1368/AR1368),1))</x:f>
        <x:v>9.364695738300385</x:v>
      </x:c>
      <x:c r="J1369" s="32" t="n">
        <x:f>INDEX(v01_FoodCap,G1369)*Arch_FoodCap*EXP(v01_CapsByProject*SUMPRODUCT((Cap_Point&lt;=I1369)*(Cap_Kind="Food")*Cap_Ln))</x:f>
        <x:v>12000</x:v>
      </x:c>
      <x:c r="K1369" s="32" t="n">
        <x:f>J1369*MIN(1,v01_LeanBase*EXP(v01_CapsByProject*SUMPRODUCT((Cap_Point&lt;=I1369)*(Cap_Kind="Lean")*Cap_Ln)))</x:f>
        <x:v>12000</x:v>
      </x:c>
      <x:c r="L1369" s="10" t="n">
        <x:f>INDEX(v01_HousingCap,G1369)*EXP(v01_CapsByProject*SUMPRODUCT((Cap_Point&lt;=I1369)*(Cap_Kind="Housing")*Cap_Ln))</x:f>
        <x:v>20000</x:v>
      </x:c>
      <x:c r="M1369" s="10" t="n">
        <x:f>INDEX(v01_GroupCap,G1369)*v01_CohesionFactor*EXP(v01_CapsByProject*SUMPRODUCT((Cap_Point&lt;=I1369)*(Cap_Kind="Group")*Cap_Ln))</x:f>
        <x:v>1000000</x:v>
      </x:c>
      <x:c r="N1369" s="32" t="n">
        <x:f>MIN(J1369,L1369,M1369)</x:f>
        <x:v>12000</x:v>
      </x:c>
      <x:c r="O1369" s="10" t="n">
        <x:f>AE1368*N1369</x:f>
        <x:v>180000</x:v>
      </x:c>
      <x:c r="P1369" s="9" t="n">
        <x:f>MIN(1,(AB1368/(AE1368*IF(v01_GroupInCrowding=1,N1369,MIN(J1369,L1369))))^v01_CrowdingExp)</x:f>
        <x:v>0.00008145903303761749</x:v>
      </x:c>
      <x:c r="Q1369" s="9" t="n">
        <x:f>IF(D1369=1,INDEX(v01_WinterMult,G1369),1)</x:f>
        <x:v>1</x:v>
      </x:c>
      <x:c r="R1369" s="9" t="n">
        <x:f>H1369*Z1368*v01_WomenShare*v01_BaseFertility*INDEX(v01_FertMult,G1369)*Arch_Fertility*(1-P1369)</x:f>
        <x:v>268.39616596588235</x:v>
      </x:c>
      <x:c r="S1369" s="9" t="n">
        <x:f>H1369*Y1368*INDEX(v01_MortChild,G1369)/4*Q1369</x:f>
        <x:v>9.571614062149767</x:v>
      </x:c>
      <x:c r="T1369" s="9" t="n">
        <x:f>H1369*Z1368*INDEX(v01_MortAdult,G1369)*Arch_AdultMort/4*Q1369</x:f>
        <x:v>10.167349660573509</x:v>
      </x:c>
      <x:c r="U1369" s="9" t="n">
        <x:f>H1369*AA1368*INDEX(v01_MortElder,G1369)/4*Q1369</x:f>
        <x:v>52.792987682056825</x:v>
      </x:c>
      <x:c r="V1369" s="9" t="n">
        <x:f>H1369*MAX(0,AB1368-O1369)*v01_OvercapLoss</x:f>
        <x:v>0</x:v>
      </x:c>
      <x:c r="W1369" s="9" t="n">
        <x:f>H1369*Y1368/(v01_ChildYears*4)</x:f>
        <x:v>227.89557290832778</x:v>
      </x:c>
      <x:c r="X1369" s="9" t="n">
        <x:f>H1369*Z1368/(v01_AdultYears*4)</x:f>
        <x:v>131.19160852352914</x:v>
      </x:c>
      <x:c r="Y1369" s="32" t="n">
        <x:f>Y1368+R1369-S1369-W1369-Y1368*V1369/AB1368</x:f>
        <x:v>12793.08106186176</x:v>
      </x:c>
      <x:c r="Z1369" s="32" t="n">
        <x:f>Z1368+W1369-X1369-T1369-Z1368*V1369/AB1368</x:f>
        <x:v>16354.296071641837</x:v>
      </x:c>
      <x:c r="AA1369" s="32" t="n">
        <x:f>AA1368+X1369-U1369-AA1368*V1369/AB1368</x:f>
        <x:v>8525.276649970565</x:v>
      </x:c>
      <x:c r="AB1369" s="10" t="n">
        <x:f>Y1369+Z1369+AA1369</x:f>
        <x:v>37672.65378347416</x:v>
      </x:c>
      <x:c r="AC1369" s="8" t="n">
        <x:f>IF(AND(v01_WinterTrigger=1,D1369=1,AB1368/AE1368&gt;=K1369),1,0)</x:f>
        <x:v>0</x:v>
      </x:c>
      <x:c r="AD1369" s="8" t="n">
        <x:f>H1369*IF(AND(OR(AB1368/AE1368&gt;=v01_FissionTrigger*N1369,AC1369=1),AB1368/AE1368*v01_DaughterShare&gt;=v01_MinDaughter),MAX(1,ROUND(AE1368*v01_FissionRate,0)),0)</x:f>
        <x:v>0</x:v>
      </x:c>
      <x:c r="AE1369" s="8" t="n">
        <x:f>IF(H1369=1,MAX(1,MIN(INDEX(v01_Smax,G1369),AE1368+AD1369)),AE1368)</x:f>
        <x:v>15</x:v>
      </x:c>
      <x:c r="AF1369" s="8" t="n">
        <x:f>MAX(0,AE1369-AE1368)</x:f>
        <x:v>0</x:v>
      </x:c>
      <x:c r="AG1369" s="9" t="str">
        <x:f>IF(AF1369&gt;0,B1369,"")</x:f>
      </x:c>
      <x:c r="AH1369" s="9" t="n">
        <x:f>IF(F1369&gt;=1,1,(1+v01_LowTiesShare*(AE1369-1))/AE1369)</x:f>
        <x:v>1</x:v>
      </x:c>
      <x:c r="AI1369" s="32" t="n">
        <x:f>(Z1369+v01_ElderCommons*INDEX(LM_Elder,G1369)*AA1369)*AH1369</x:f>
        <x:v>49884.492010095026</x:v>
      </x:c>
      <x:c r="AJ1369" s="32" t="n">
        <x:f>H1369*v01_CommonsCoef*AI1369^v01_CommonsExp*INDEX(LM_Commons,G1369)</x:f>
        <x:v>26434.480025433262</x:v>
      </x:c>
      <x:c r="AK1369" s="32" t="n">
        <x:f>H1369*v01_RoleScale*Arch_Roles*(AE1369*(INDEX(v01_ElderRolePerSett,G1369)*v01_OutElder*INDEX(LM_Elder,G1369)+INDEX(v01_ShamanPerSett,G1369)*v01_OutShaman)+Z1369*(INDEX(v01_PriestShare,G1369)*v01_OutPriest+INDEX(v01_ScribeShare,G1369)*v01_OutScribe*INDEX(LM_Scribe,G1369)+INDEX(v01_ScholarShare,G1369)*v01_OutScholar*INDEX(LM_Scholar,G1369)+INDEX(v01_ResearcherShare,G1369)*v01_OutResearcher*INDEX(LM_Researcher,G1369)))</x:f>
        <x:v>7414.4368685190275</x:v>
      </x:c>
      <x:c r="AL1369" s="32" t="n">
        <x:f>H1369*v01_RoleScale*Arch_Roles*AE1369*INDEX(v01_MonasteryPerSett,G1369)*v01_OutMonastery*INDEX(LM_Monastery,G1369)</x:f>
        <x:v>3.3000000000000003</x:v>
      </x:c>
      <x:c r="AM1369" s="32" t="n">
        <x:f>(AJ1369+AK1369+AL1369)/4*INDEX(LM_All,G1369)*INDEX(v01_Boon,G1369)*Arch_Insight</x:f>
        <x:v>29315.08621780987</x:v>
      </x:c>
      <x:c r="AN1369" s="32" t="n">
        <x:f>H1369*(v01_KHPerAdult*Z1369+v01_KHOfCommons*AJ1369/4*INDEX(LM_All,G1369))*v01_KHUsable*Arch_KH</x:f>
        <x:v>572.4003625074643</x:v>
      </x:c>
      <x:c r="AO1369" s="32" t="n">
        <x:f>MIN(AP1368+AN1369,AM1369*v01_KHMaxRatio)</x:f>
        <x:v>572.4003625074643</x:v>
      </x:c>
      <x:c r="AP1369" s="32" t="n">
        <x:f>AP1368+AN1369-AO1369</x:f>
        <x:v>0</x:v>
      </x:c>
      <x:c r="AQ1369" s="32" t="n">
        <x:f>AM1369+AO1369</x:f>
        <x:v>29887.486580317334</x:v>
      </x:c>
      <x:c r="AR1369" s="10" t="n">
        <x:f>IF(H1369=1,INDEX(v01_Req,G1369),0)</x:f>
        <x:v>1845340.8943637449</x:v>
      </x:c>
      <x:c r="AS1369" s="32" t="n">
        <x:f>IF(H1369=1,IF(E1369=1,AS1368-AR1368,AS1368)+AQ1369,0)</x:f>
        <x:v>702875.4464661961</x:v>
      </x:c>
      <x:c r="AT1369" s="11" t="n">
        <x:f>IF(AR1369&gt;0,MIN(1,AS1369/AR1369),1)</x:f>
        <x:v>0.38089192550438794</x:v>
      </x:c>
      <x:c r="AU1369" s="10" t="n">
        <x:f>AB1369/INDEX(v01_RepScale,G1369)</x:f>
        <x:v>75.34530756694832</x:v>
      </x:c>
      <x:c r="AV1369" s="32" t="n">
        <x:f>AM1369*60/v01_SeasonSeconds</x:f>
        <x:v>117260.34487123947</x:v>
      </x:c>
    </x:row>
    <x:row r="1370">
      <x:c r="A1370" s="8" t="n">
        <x:f>A1369+1</x:f>
        <x:v>1367</x:v>
      </x:c>
      <x:c r="B1370" s="9" t="n">
        <x:f>A1370*v01_SeasonSeconds/60</x:f>
        <x:v>341.75</x:v>
      </x:c>
      <x:c r="C1370" s="9" t="n">
        <x:f>A1370/4</x:f>
        <x:v>341.75</x:v>
      </x:c>
      <x:c r="D1370" s="8" t="n">
        <x:f>IF(MOD(A1370,4)=0,1,0)</x:f>
        <x:v>0</x:v>
      </x:c>
      <x:c r="E1370" s="8" t="n">
        <x:f>IF(AND(F1369&lt;=9,AS1369&gt;=AR1369),1,0)</x:f>
        <x:v>0</x:v>
      </x:c>
      <x:c r="F1370" s="8" t="n">
        <x:f>MIN(10,F1369+E1370)</x:f>
        <x:v>9</x:v>
      </x:c>
      <x:c r="G1370" s="8" t="n">
        <x:f>MIN(F1370,9)+1</x:f>
        <x:v>10</x:v>
      </x:c>
      <x:c r="H1370" s="8" t="n">
        <x:f>IF(F1370&lt;=9,1,0)</x:f>
        <x:v>1</x:v>
      </x:c>
      <x:c r="I1370" s="9" t="n">
        <x:f>MIN(10,F1369+IF(AR1369&gt;0,MIN(1,AS1369/AR1369),1))</x:f>
        <x:v>9.380891925504388</x:v>
      </x:c>
      <x:c r="J1370" s="32" t="n">
        <x:f>INDEX(v01_FoodCap,G1370)*Arch_FoodCap*EXP(v01_CapsByProject*SUMPRODUCT((Cap_Point&lt;=I1370)*(Cap_Kind="Food")*Cap_Ln))</x:f>
        <x:v>12000</x:v>
      </x:c>
      <x:c r="K1370" s="32" t="n">
        <x:f>J1370*MIN(1,v01_LeanBase*EXP(v01_CapsByProject*SUMPRODUCT((Cap_Point&lt;=I1370)*(Cap_Kind="Lean")*Cap_Ln)))</x:f>
        <x:v>12000</x:v>
      </x:c>
      <x:c r="L1370" s="10" t="n">
        <x:f>INDEX(v01_HousingCap,G1370)*EXP(v01_CapsByProject*SUMPRODUCT((Cap_Point&lt;=I1370)*(Cap_Kind="Housing")*Cap_Ln))</x:f>
        <x:v>20000</x:v>
      </x:c>
      <x:c r="M1370" s="10" t="n">
        <x:f>INDEX(v01_GroupCap,G1370)*v01_CohesionFactor*EXP(v01_CapsByProject*SUMPRODUCT((Cap_Point&lt;=I1370)*(Cap_Kind="Group")*Cap_Ln))</x:f>
        <x:v>1000000</x:v>
      </x:c>
      <x:c r="N1370" s="32" t="n">
        <x:f>MIN(J1370,L1370,M1370)</x:f>
        <x:v>12000</x:v>
      </x:c>
      <x:c r="O1370" s="10" t="n">
        <x:f>AE1369*N1370</x:f>
        <x:v>180000</x:v>
      </x:c>
      <x:c r="P1370" s="9" t="n">
        <x:f>MIN(1,(AB1369/(AE1369*IF(v01_GroupInCrowding=1,N1370,MIN(J1370,L1370))))^v01_CrowdingExp)</x:f>
        <x:v>0.00008404700764372152</x:v>
      </x:c>
      <x:c r="Q1370" s="9" t="n">
        <x:f>IF(D1370=1,INDEX(v01_WinterMult,G1370),1)</x:f>
        <x:v>1</x:v>
      </x:c>
      <x:c r="R1370" s="9" t="n">
        <x:f>H1370*Z1369*v01_WomenShare*v01_BaseFertility*INDEX(v01_FertMult,G1370)*Arch_Fertility*(1-P1370)</x:f>
        <x:v>269.8232054429158</x:v>
      </x:c>
      <x:c r="S1370" s="9" t="n">
        <x:f>H1370*Y1369*INDEX(v01_MortChild,G1370)/4*Q1370</x:f>
        <x:v>9.59481079639632</x:v>
      </x:c>
      <x:c r="T1370" s="9" t="n">
        <x:f>H1370*Z1369*INDEX(v01_MortAdult,G1370)*Arch_AdultMort/4*Q1370</x:f>
        <x:v>10.221435044776149</x:v>
      </x:c>
      <x:c r="U1370" s="9" t="n">
        <x:f>H1370*AA1369*INDEX(v01_MortElder,G1370)/4*Q1370</x:f>
        <x:v>53.28297906231603</x:v>
      </x:c>
      <x:c r="V1370" s="9" t="n">
        <x:f>H1370*MAX(0,AB1369-O1370)*v01_OvercapLoss</x:f>
        <x:v>0</x:v>
      </x:c>
      <x:c r="W1370" s="9" t="n">
        <x:f>H1370*Y1369/(v01_ChildYears*4)</x:f>
        <x:v>228.4478761046743</x:v>
      </x:c>
      <x:c r="X1370" s="9" t="n">
        <x:f>H1370*Z1369/(v01_AdultYears*4)</x:f>
        <x:v>131.8894844487245</x:v>
      </x:c>
      <x:c r="Y1370" s="32" t="n">
        <x:f>Y1369+R1370-S1370-W1370-Y1369*V1370/AB1369</x:f>
        <x:v>12824.861580403605</x:v>
      </x:c>
      <x:c r="Z1370" s="32" t="n">
        <x:f>Z1369+W1370-X1370-T1370-Z1369*V1370/AB1369</x:f>
        <x:v>16440.63302825301</x:v>
      </x:c>
      <x:c r="AA1370" s="32" t="n">
        <x:f>AA1369+X1370-U1370-AA1369*V1370/AB1369</x:f>
        <x:v>8603.883155356973</x:v>
      </x:c>
      <x:c r="AB1370" s="10" t="n">
        <x:f>Y1370+Z1370+AA1370</x:f>
        <x:v>37869.37776401359</x:v>
      </x:c>
      <x:c r="AC1370" s="8" t="n">
        <x:f>IF(AND(v01_WinterTrigger=1,D1370=1,AB1369/AE1369&gt;=K1370),1,0)</x:f>
        <x:v>0</x:v>
      </x:c>
      <x:c r="AD1370" s="8" t="n">
        <x:f>H1370*IF(AND(OR(AB1369/AE1369&gt;=v01_FissionTrigger*N1370,AC1370=1),AB1369/AE1369*v01_DaughterShare&gt;=v01_MinDaughter),MAX(1,ROUND(AE1369*v01_FissionRate,0)),0)</x:f>
        <x:v>0</x:v>
      </x:c>
      <x:c r="AE1370" s="8" t="n">
        <x:f>IF(H1370=1,MAX(1,MIN(INDEX(v01_Smax,G1370),AE1369+AD1370)),AE1369)</x:f>
        <x:v>15</x:v>
      </x:c>
      <x:c r="AF1370" s="8" t="n">
        <x:f>MAX(0,AE1370-AE1369)</x:f>
        <x:v>0</x:v>
      </x:c>
      <x:c r="AG1370" s="9" t="str">
        <x:f>IF(AF1370&gt;0,B1370,"")</x:f>
      </x:c>
      <x:c r="AH1370" s="9" t="n">
        <x:f>IF(F1370&gt;=1,1,(1+v01_LowTiesShare*(AE1370-1))/AE1370)</x:f>
        <x:v>1</x:v>
      </x:c>
      <x:c r="AI1370" s="32" t="n">
        <x:f>(Z1370+v01_ElderCommons*INDEX(LM_Elder,G1370)*AA1370)*AH1370</x:f>
        <x:v>50279.99096060495</x:v>
      </x:c>
      <x:c r="AJ1370" s="32" t="n">
        <x:f>H1370*v01_CommonsCoef*AI1370^v01_CommonsExp*INDEX(LM_Commons,G1370)</x:f>
        <x:v>26612.517712364315</x:v>
      </x:c>
      <x:c r="AK1370" s="32" t="n">
        <x:f>H1370*v01_RoleScale*Arch_Roles*(AE1370*(INDEX(v01_ElderRolePerSett,G1370)*v01_OutElder*INDEX(LM_Elder,G1370)+INDEX(v01_ShamanPerSett,G1370)*v01_OutShaman)+Z1370*(INDEX(v01_PriestShare,G1370)*v01_OutPriest+INDEX(v01_ScribeShare,G1370)*v01_OutScribe*INDEX(LM_Scribe,G1370)+INDEX(v01_ScholarShare,G1370)*v01_OutScholar*INDEX(LM_Scholar,G1370)+INDEX(v01_ResearcherShare,G1370)*v01_OutResearcher*INDEX(LM_Researcher,G1370)))</x:f>
        <x:v>7453.304367556731</x:v>
      </x:c>
      <x:c r="AL1370" s="32" t="n">
        <x:f>H1370*v01_RoleScale*Arch_Roles*AE1370*INDEX(v01_MonasteryPerSett,G1370)*v01_OutMonastery*INDEX(LM_Monastery,G1370)</x:f>
        <x:v>3.3000000000000003</x:v>
      </x:c>
      <x:c r="AM1370" s="32" t="n">
        <x:f>(AJ1370+AK1370+AL1370)/4*INDEX(LM_All,G1370)*INDEX(v01_Boon,G1370)*Arch_Insight</x:f>
        <x:v>29502.920126817466</x:v>
      </x:c>
      <x:c r="AN1370" s="32" t="n">
        <x:f>H1370*(v01_KHPerAdult*Z1370+v01_KHOfCommons*AJ1370/4*INDEX(LM_All,G1370))*v01_KHUsable*Arch_KH</x:f>
        <x:v>575.4221559888554</x:v>
      </x:c>
      <x:c r="AO1370" s="32" t="n">
        <x:f>MIN(AP1369+AN1370,AM1370*v01_KHMaxRatio)</x:f>
        <x:v>575.4221559888554</x:v>
      </x:c>
      <x:c r="AP1370" s="32" t="n">
        <x:f>AP1369+AN1370-AO1370</x:f>
        <x:v>0</x:v>
      </x:c>
      <x:c r="AQ1370" s="32" t="n">
        <x:f>AM1370+AO1370</x:f>
        <x:v>30078.34228280632</x:v>
      </x:c>
      <x:c r="AR1370" s="10" t="n">
        <x:f>IF(H1370=1,INDEX(v01_Req,G1370),0)</x:f>
        <x:v>1845340.8943637449</x:v>
      </x:c>
      <x:c r="AS1370" s="32" t="n">
        <x:f>IF(H1370=1,IF(E1370=1,AS1369-AR1369,AS1369)+AQ1370,0)</x:f>
        <x:v>732953.7887490024</x:v>
      </x:c>
      <x:c r="AT1370" s="11" t="n">
        <x:f>IF(AR1370&gt;0,MIN(1,AS1370/AR1370),1)</x:f>
        <x:v>0.397191538423971</x:v>
      </x:c>
      <x:c r="AU1370" s="10" t="n">
        <x:f>AB1370/INDEX(v01_RepScale,G1370)</x:f>
        <x:v>75.73875552802718</x:v>
      </x:c>
      <x:c r="AV1370" s="32" t="n">
        <x:f>AM1370*60/v01_SeasonSeconds</x:f>
        <x:v>118011.68050726986</x:v>
      </x:c>
    </x:row>
    <x:row r="1371">
      <x:c r="A1371" s="8" t="n">
        <x:f>A1370+1</x:f>
        <x:v>1368</x:v>
      </x:c>
      <x:c r="B1371" s="9" t="n">
        <x:f>A1371*v01_SeasonSeconds/60</x:f>
        <x:v>342</x:v>
      </x:c>
      <x:c r="C1371" s="9" t="n">
        <x:f>A1371/4</x:f>
        <x:v>342</x:v>
      </x:c>
      <x:c r="D1371" s="8" t="n">
        <x:f>IF(MOD(A1371,4)=0,1,0)</x:f>
        <x:v>1</x:v>
      </x:c>
      <x:c r="E1371" s="8" t="n">
        <x:f>IF(AND(F1370&lt;=9,AS1370&gt;=AR1370),1,0)</x:f>
        <x:v>0</x:v>
      </x:c>
      <x:c r="F1371" s="8" t="n">
        <x:f>MIN(10,F1370+E1371)</x:f>
        <x:v>9</x:v>
      </x:c>
      <x:c r="G1371" s="8" t="n">
        <x:f>MIN(F1371,9)+1</x:f>
        <x:v>10</x:v>
      </x:c>
      <x:c r="H1371" s="8" t="n">
        <x:f>IF(F1371&lt;=9,1,0)</x:f>
        <x:v>1</x:v>
      </x:c>
      <x:c r="I1371" s="9" t="n">
        <x:f>MIN(10,F1370+IF(AR1370&gt;0,MIN(1,AS1370/AR1370),1))</x:f>
        <x:v>9.397191538423971</x:v>
      </x:c>
      <x:c r="J1371" s="32" t="n">
        <x:f>INDEX(v01_FoodCap,G1371)*Arch_FoodCap*EXP(v01_CapsByProject*SUMPRODUCT((Cap_Point&lt;=I1371)*(Cap_Kind="Food")*Cap_Ln))</x:f>
        <x:v>12000</x:v>
      </x:c>
      <x:c r="K1371" s="32" t="n">
        <x:f>J1371*MIN(1,v01_LeanBase*EXP(v01_CapsByProject*SUMPRODUCT((Cap_Point&lt;=I1371)*(Cap_Kind="Lean")*Cap_Ln)))</x:f>
        <x:v>12000</x:v>
      </x:c>
      <x:c r="L1371" s="10" t="n">
        <x:f>INDEX(v01_HousingCap,G1371)*EXP(v01_CapsByProject*SUMPRODUCT((Cap_Point&lt;=I1371)*(Cap_Kind="Housing")*Cap_Ln))</x:f>
        <x:v>20000</x:v>
      </x:c>
      <x:c r="M1371" s="10" t="n">
        <x:f>INDEX(v01_GroupCap,G1371)*v01_CohesionFactor*EXP(v01_CapsByProject*SUMPRODUCT((Cap_Point&lt;=I1371)*(Cap_Kind="Group")*Cap_Ln))</x:f>
        <x:v>1000000</x:v>
      </x:c>
      <x:c r="N1371" s="32" t="n">
        <x:f>MIN(J1371,L1371,M1371)</x:f>
        <x:v>12000</x:v>
      </x:c>
      <x:c r="O1371" s="10" t="n">
        <x:f>AE1370*N1371</x:f>
        <x:v>180000</x:v>
      </x:c>
      <x:c r="P1371" s="9" t="n">
        <x:f>MIN(1,(AB1370/(AE1370*IF(v01_GroupInCrowding=1,N1371,MIN(J1371,L1371))))^v01_CrowdingExp)</x:f>
        <x:v>0.00008671495135643461</x:v>
      </x:c>
      <x:c r="Q1371" s="9" t="n">
        <x:f>IF(D1371=1,INDEX(v01_WinterMult,G1371),1)</x:f>
        <x:v>1</x:v>
      </x:c>
      <x:c r="R1371" s="9" t="n">
        <x:f>H1371*Z1370*v01_WomenShare*v01_BaseFertility*INDEX(v01_FertMult,G1371)*Arch_Fertility*(1-P1371)</x:f>
        <x:v>271.246921762735</x:v>
      </x:c>
      <x:c r="S1371" s="9" t="n">
        <x:f>H1371*Y1370*INDEX(v01_MortChild,G1371)/4*Q1371</x:f>
        <x:v>9.618646185302705</x:v>
      </x:c>
      <x:c r="T1371" s="9" t="n">
        <x:f>H1371*Z1370*INDEX(v01_MortAdult,G1371)*Arch_AdultMort/4*Q1371</x:f>
        <x:v>10.275395642658133</x:v>
      </x:c>
      <x:c r="U1371" s="9" t="n">
        <x:f>H1371*AA1370*INDEX(v01_MortElder,G1371)/4*Q1371</x:f>
        <x:v>53.77426972098108</x:v>
      </x:c>
      <x:c r="V1371" s="9" t="n">
        <x:f>H1371*MAX(0,AB1370-O1371)*v01_OvercapLoss</x:f>
        <x:v>0</x:v>
      </x:c>
      <x:c r="W1371" s="9" t="n">
        <x:f>H1371*Y1370/(v01_ChildYears*4)</x:f>
        <x:v>229.0153853643501</x:v>
      </x:c>
      <x:c r="X1371" s="9" t="n">
        <x:f>H1371*Z1370/(v01_AdultYears*4)</x:f>
        <x:v>132.58575022784686</x:v>
      </x:c>
      <x:c r="Y1371" s="32" t="n">
        <x:f>Y1370+R1371-S1371-W1371-Y1370*V1371/AB1370</x:f>
        <x:v>12857.474470616688</x:v>
      </x:c>
      <x:c r="Z1371" s="32" t="n">
        <x:f>Z1370+W1371-X1371-T1371-Z1370*V1371/AB1370</x:f>
        <x:v>16526.787267746855</x:v>
      </x:c>
      <x:c r="AA1371" s="32" t="n">
        <x:f>AA1370+X1371-U1371-AA1370*V1371/AB1370</x:f>
        <x:v>8682.694635863838</x:v>
      </x:c>
      <x:c r="AB1371" s="10" t="n">
        <x:f>Y1371+Z1371+AA1371</x:f>
        <x:v>38066.95637422738</x:v>
      </x:c>
      <x:c r="AC1371" s="8" t="n">
        <x:f>IF(AND(v01_WinterTrigger=1,D1371=1,AB1370/AE1370&gt;=K1371),1,0)</x:f>
        <x:v>0</x:v>
      </x:c>
      <x:c r="AD1371" s="8" t="n">
        <x:f>H1371*IF(AND(OR(AB1370/AE1370&gt;=v01_FissionTrigger*N1371,AC1371=1),AB1370/AE1370*v01_DaughterShare&gt;=v01_MinDaughter),MAX(1,ROUND(AE1370*v01_FissionRate,0)),0)</x:f>
        <x:v>0</x:v>
      </x:c>
      <x:c r="AE1371" s="8" t="n">
        <x:f>IF(H1371=1,MAX(1,MIN(INDEX(v01_Smax,G1371),AE1370+AD1371)),AE1370)</x:f>
        <x:v>15</x:v>
      </x:c>
      <x:c r="AF1371" s="8" t="n">
        <x:f>MAX(0,AE1371-AE1370)</x:f>
        <x:v>0</x:v>
      </x:c>
      <x:c r="AG1371" s="9" t="str">
        <x:f>IF(AF1371&gt;0,B1371,"")</x:f>
      </x:c>
      <x:c r="AH1371" s="9" t="n">
        <x:f>IF(F1371&gt;=1,1,(1+v01_LowTiesShare*(AE1371-1))/AE1371)</x:f>
        <x:v>1</x:v>
      </x:c>
      <x:c r="AI1371" s="32" t="n">
        <x:f>(Z1371+v01_ElderCommons*INDEX(LM_Elder,G1371)*AA1371)*AH1371</x:f>
        <x:v>50676.1133679475</x:v>
      </x:c>
      <x:c r="AJ1371" s="32" t="n">
        <x:f>H1371*v01_CommonsCoef*AI1371^v01_CommonsExp*INDEX(LM_Commons,G1371)</x:f>
        <x:v>26790.625615464465</x:v>
      </x:c>
      <x:c r="AK1371" s="32" t="n">
        <x:f>H1371*v01_RoleScale*Arch_Roles*(AE1371*(INDEX(v01_ElderRolePerSett,G1371)*v01_OutElder*INDEX(LM_Elder,G1371)+INDEX(v01_ShamanPerSett,G1371)*v01_OutShaman)+Z1371*(INDEX(v01_PriestShare,G1371)*v01_OutPriest+INDEX(v01_ScribeShare,G1371)*v01_OutScribe*INDEX(LM_Scribe,G1371)+INDEX(v01_ScholarShare,G1371)*v01_OutScholar*INDEX(LM_Scholar,G1371)+INDEX(v01_ResearcherShare,G1371)*v01_OutResearcher*INDEX(LM_Researcher,G1371)))</x:f>
        <x:v>7492.089610308591</x:v>
      </x:c>
      <x:c r="AL1371" s="32" t="n">
        <x:f>H1371*v01_RoleScale*Arch_Roles*AE1371*INDEX(v01_MonasteryPerSett,G1371)*v01_OutMonastery*INDEX(LM_Monastery,G1371)</x:f>
        <x:v>3.3000000000000003</x:v>
      </x:c>
      <x:c r="AM1371" s="32" t="n">
        <x:f>(AJ1371+AK1371+AL1371)/4*INDEX(LM_All,G1371)*INDEX(v01_Boon,G1371)*Arch_Insight</x:f>
        <x:v>29690.743609416015</x:v>
      </x:c>
      <x:c r="AN1371" s="32" t="n">
        <x:f>H1371*(v01_KHPerAdult*Z1371+v01_KHOfCommons*AJ1371/4*INDEX(LM_All,G1371))*v01_KHUsable*Arch_KH</x:f>
        <x:v>578.43755437114</x:v>
      </x:c>
      <x:c r="AO1371" s="32" t="n">
        <x:f>MIN(AP1370+AN1371,AM1371*v01_KHMaxRatio)</x:f>
        <x:v>578.43755437114</x:v>
      </x:c>
      <x:c r="AP1371" s="32" t="n">
        <x:f>AP1370+AN1371-AO1371</x:f>
        <x:v>0</x:v>
      </x:c>
      <x:c r="AQ1371" s="32" t="n">
        <x:f>AM1371+AO1371</x:f>
        <x:v>30269.181163787154</x:v>
      </x:c>
      <x:c r="AR1371" s="10" t="n">
        <x:f>IF(H1371=1,INDEX(v01_Req,G1371),0)</x:f>
        <x:v>1845340.8943637449</x:v>
      </x:c>
      <x:c r="AS1371" s="32" t="n">
        <x:f>IF(H1371=1,IF(E1371=1,AS1370-AR1370,AS1370)+AQ1371,0)</x:f>
        <x:v>763222.9699127895</x:v>
      </x:c>
      <x:c r="AT1371" s="11" t="n">
        <x:f>IF(AR1371&gt;0,MIN(1,AS1371/AR1371),1)</x:f>
        <x:v>0.41359456794347</x:v>
      </x:c>
      <x:c r="AU1371" s="10" t="n">
        <x:f>AB1371/INDEX(v01_RepScale,G1371)</x:f>
        <x:v>76.13391274845476</x:v>
      </x:c>
      <x:c r="AV1371" s="32" t="n">
        <x:f>AM1371*60/v01_SeasonSeconds</x:f>
        <x:v>118762.97443766406</x:v>
      </x:c>
    </x:row>
    <x:row r="1372">
      <x:c r="A1372" s="8" t="n">
        <x:f>A1371+1</x:f>
        <x:v>1369</x:v>
      </x:c>
      <x:c r="B1372" s="9" t="n">
        <x:f>A1372*v01_SeasonSeconds/60</x:f>
        <x:v>342.25</x:v>
      </x:c>
      <x:c r="C1372" s="9" t="n">
        <x:f>A1372/4</x:f>
        <x:v>342.25</x:v>
      </x:c>
      <x:c r="D1372" s="8" t="n">
        <x:f>IF(MOD(A1372,4)=0,1,0)</x:f>
        <x:v>0</x:v>
      </x:c>
      <x:c r="E1372" s="8" t="n">
        <x:f>IF(AND(F1371&lt;=9,AS1371&gt;=AR1371),1,0)</x:f>
        <x:v>0</x:v>
      </x:c>
      <x:c r="F1372" s="8" t="n">
        <x:f>MIN(10,F1371+E1372)</x:f>
        <x:v>9</x:v>
      </x:c>
      <x:c r="G1372" s="8" t="n">
        <x:f>MIN(F1372,9)+1</x:f>
        <x:v>10</x:v>
      </x:c>
      <x:c r="H1372" s="8" t="n">
        <x:f>IF(F1372&lt;=9,1,0)</x:f>
        <x:v>1</x:v>
      </x:c>
      <x:c r="I1372" s="9" t="n">
        <x:f>MIN(10,F1371+IF(AR1371&gt;0,MIN(1,AS1371/AR1371),1))</x:f>
        <x:v>9.41359456794347</x:v>
      </x:c>
      <x:c r="J1372" s="32" t="n">
        <x:f>INDEX(v01_FoodCap,G1372)*Arch_FoodCap*EXP(v01_CapsByProject*SUMPRODUCT((Cap_Point&lt;=I1372)*(Cap_Kind="Food")*Cap_Ln))</x:f>
        <x:v>12000</x:v>
      </x:c>
      <x:c r="K1372" s="32" t="n">
        <x:f>J1372*MIN(1,v01_LeanBase*EXP(v01_CapsByProject*SUMPRODUCT((Cap_Point&lt;=I1372)*(Cap_Kind="Lean")*Cap_Ln)))</x:f>
        <x:v>12000</x:v>
      </x:c>
      <x:c r="L1372" s="10" t="n">
        <x:f>INDEX(v01_HousingCap,G1372)*EXP(v01_CapsByProject*SUMPRODUCT((Cap_Point&lt;=I1372)*(Cap_Kind="Housing")*Cap_Ln))</x:f>
        <x:v>20000</x:v>
      </x:c>
      <x:c r="M1372" s="10" t="n">
        <x:f>INDEX(v01_GroupCap,G1372)*v01_CohesionFactor*EXP(v01_CapsByProject*SUMPRODUCT((Cap_Point&lt;=I1372)*(Cap_Kind="Group")*Cap_Ln))</x:f>
        <x:v>1000000</x:v>
      </x:c>
      <x:c r="N1372" s="32" t="n">
        <x:f>MIN(J1372,L1372,M1372)</x:f>
        <x:v>12000</x:v>
      </x:c>
      <x:c r="O1372" s="10" t="n">
        <x:f>AE1371*N1372</x:f>
        <x:v>180000</x:v>
      </x:c>
      <x:c r="P1372" s="9" t="n">
        <x:f>MIN(1,(AB1371/(AE1371*IF(v01_GroupInCrowding=1,N1372,MIN(J1372,L1372))))^v01_CrowdingExp)</x:f>
        <x:v>0.00008946515026701023</x:v>
      </x:c>
      <x:c r="Q1372" s="9" t="n">
        <x:f>IF(D1372=1,INDEX(v01_WinterMult,G1372),1)</x:f>
        <x:v>1</x:v>
      </x:c>
      <x:c r="R1372" s="9" t="n">
        <x:f>H1372*Z1371*v01_WomenShare*v01_BaseFertility*INDEX(v01_FertMult,G1372)*Arch_Fertility*(1-P1372)</x:f>
        <x:v>272.6675934879685</x:v>
      </x:c>
      <x:c r="S1372" s="9" t="n">
        <x:f>H1372*Y1371*INDEX(v01_MortChild,G1372)/4*Q1372</x:f>
        <x:v>9.643105852962515</x:v>
      </x:c>
      <x:c r="T1372" s="9" t="n">
        <x:f>H1372*Z1371*INDEX(v01_MortAdult,G1372)*Arch_AdultMort/4*Q1372</x:f>
        <x:v>10.329242042341784</x:v>
      </x:c>
      <x:c r="U1372" s="9" t="n">
        <x:f>H1372*AA1371*INDEX(v01_MortElder,G1372)/4*Q1372</x:f>
        <x:v>54.26684147414899</x:v>
      </x:c>
      <x:c r="V1372" s="9" t="n">
        <x:f>H1372*MAX(0,AB1371-O1372)*v01_OvercapLoss</x:f>
        <x:v>0</x:v>
      </x:c>
      <x:c r="W1372" s="9" t="n">
        <x:f>H1372*Y1371/(v01_ChildYears*4)</x:f>
        <x:v>229.59775840386942</x:v>
      </x:c>
      <x:c r="X1372" s="9" t="n">
        <x:f>H1372*Z1371/(v01_AdultYears*4)</x:f>
        <x:v>133.28054248182949</x:v>
      </x:c>
      <x:c r="Y1372" s="32" t="n">
        <x:f>Y1371+R1372-S1372-W1372-Y1371*V1372/AB1371</x:f>
        <x:v>12890.901199847822</x:v>
      </x:c>
      <x:c r="Z1372" s="32" t="n">
        <x:f>Z1371+W1372-X1372-T1372-Z1371*V1372/AB1371</x:f>
        <x:v>16612.775241626554</x:v>
      </x:c>
      <x:c r="AA1372" s="32" t="n">
        <x:f>AA1371+X1372-U1372-AA1371*V1372/AB1371</x:f>
        <x:v>8761.708336871518</x:v>
      </x:c>
      <x:c r="AB1372" s="10" t="n">
        <x:f>Y1372+Z1372+AA1372</x:f>
        <x:v>38265.38477834589</x:v>
      </x:c>
      <x:c r="AC1372" s="8" t="n">
        <x:f>IF(AND(v01_WinterTrigger=1,D1372=1,AB1371/AE1371&gt;=K1372),1,0)</x:f>
        <x:v>0</x:v>
      </x:c>
      <x:c r="AD1372" s="8" t="n">
        <x:f>H1372*IF(AND(OR(AB1371/AE1371&gt;=v01_FissionTrigger*N1372,AC1372=1),AB1371/AE1371*v01_DaughterShare&gt;=v01_MinDaughter),MAX(1,ROUND(AE1371*v01_FissionRate,0)),0)</x:f>
        <x:v>0</x:v>
      </x:c>
      <x:c r="AE1372" s="8" t="n">
        <x:f>IF(H1372=1,MAX(1,MIN(INDEX(v01_Smax,G1372),AE1371+AD1372)),AE1371)</x:f>
        <x:v>15</x:v>
      </x:c>
      <x:c r="AF1372" s="8" t="n">
        <x:f>MAX(0,AE1372-AE1371)</x:f>
        <x:v>0</x:v>
      </x:c>
      <x:c r="AG1372" s="9" t="str">
        <x:f>IF(AF1372&gt;0,B1372,"")</x:f>
      </x:c>
      <x:c r="AH1372" s="9" t="n">
        <x:f>IF(F1372&gt;=1,1,(1+v01_LowTiesShare*(AE1372-1))/AE1372)</x:f>
        <x:v>1</x:v>
      </x:c>
      <x:c r="AI1372" s="32" t="n">
        <x:f>(Z1372+v01_ElderCommons*INDEX(LM_Elder,G1372)*AA1372)*AH1372</x:f>
        <x:v>51072.86484961542</x:v>
      </x:c>
      <x:c r="AJ1372" s="32" t="n">
        <x:f>H1372*v01_CommonsCoef*AI1372^v01_CommonsExp*INDEX(LM_Commons,G1372)</x:f>
        <x:v>26968.80715823375</x:v>
      </x:c>
      <x:c r="AK1372" s="32" t="n">
        <x:f>H1372*v01_RoleScale*Arch_Roles*(AE1372*(INDEX(v01_ElderRolePerSett,G1372)*v01_OutElder*INDEX(LM_Elder,G1372)+INDEX(v01_ShamanPerSett,G1372)*v01_OutShaman)+Z1372*(INDEX(v01_PriestShare,G1372)*v01_OutPriest+INDEX(v01_ScribeShare,G1372)*v01_OutScribe*INDEX(LM_Scribe,G1372)+INDEX(v01_ScholarShare,G1372)*v01_OutScholar*INDEX(LM_Scholar,G1372)+INDEX(v01_ResearcherShare,G1372)*v01_OutResearcher*INDEX(LM_Researcher,G1372)))</x:f>
        <x:v>7530.800002974791</x:v>
      </x:c>
      <x:c r="AL1372" s="32" t="n">
        <x:f>H1372*v01_RoleScale*Arch_Roles*AE1372*INDEX(v01_MonasteryPerSett,G1372)*v01_OutMonastery*INDEX(LM_Monastery,G1372)</x:f>
        <x:v>3.3000000000000003</x:v>
      </x:c>
      <x:c r="AM1372" s="32" t="n">
        <x:f>(AJ1372+AK1372+AL1372)/4*INDEX(LM_All,G1372)*INDEX(v01_Boon,G1372)*Arch_Insight</x:f>
        <x:v>29878.566043827243</x:v>
      </x:c>
      <x:c r="AN1372" s="32" t="n">
        <x:f>H1372*(v01_KHPerAdult*Z1372+v01_KHOfCommons*AJ1372/4*INDEX(LM_All,G1372))*v01_KHUsable*Arch_KH</x:f>
        <x:v>581.4471334569294</x:v>
      </x:c>
      <x:c r="AO1372" s="32" t="n">
        <x:f>MIN(AP1371+AN1372,AM1372*v01_KHMaxRatio)</x:f>
        <x:v>581.4471334569294</x:v>
      </x:c>
      <x:c r="AP1372" s="32" t="n">
        <x:f>AP1371+AN1372-AO1372</x:f>
        <x:v>0</x:v>
      </x:c>
      <x:c r="AQ1372" s="32" t="n">
        <x:f>AM1372+AO1372</x:f>
        <x:v>30460.01317728417</x:v>
      </x:c>
      <x:c r="AR1372" s="10" t="n">
        <x:f>IF(H1372=1,INDEX(v01_Req,G1372),0)</x:f>
        <x:v>1845340.8943637449</x:v>
      </x:c>
      <x:c r="AS1372" s="32" t="n">
        <x:f>IF(H1372=1,IF(E1372=1,AS1371-AR1371,AS1371)+AQ1372,0)</x:f>
        <x:v>793682.9830900737</x:v>
      </x:c>
      <x:c r="AT1372" s="11" t="n">
        <x:f>IF(AR1372&gt;0,MIN(1,AS1372/AR1372),1)</x:f>
        <x:v>0.430101010341359</x:v>
      </x:c>
      <x:c r="AU1372" s="10" t="n">
        <x:f>AB1372/INDEX(v01_RepScale,G1372)</x:f>
        <x:v>76.53076955669178</x:v>
      </x:c>
      <x:c r="AV1372" s="32" t="n">
        <x:f>AM1372*60/v01_SeasonSeconds</x:f>
        <x:v>119514.26417530897</x:v>
      </x:c>
    </x:row>
    <x:row r="1373">
      <x:c r="A1373" s="8" t="n">
        <x:f>A1372+1</x:f>
        <x:v>1370</x:v>
      </x:c>
      <x:c r="B1373" s="9" t="n">
        <x:f>A1373*v01_SeasonSeconds/60</x:f>
        <x:v>342.5</x:v>
      </x:c>
      <x:c r="C1373" s="9" t="n">
        <x:f>A1373/4</x:f>
        <x:v>342.5</x:v>
      </x:c>
      <x:c r="D1373" s="8" t="n">
        <x:f>IF(MOD(A1373,4)=0,1,0)</x:f>
        <x:v>0</x:v>
      </x:c>
      <x:c r="E1373" s="8" t="n">
        <x:f>IF(AND(F1372&lt;=9,AS1372&gt;=AR1372),1,0)</x:f>
        <x:v>0</x:v>
      </x:c>
      <x:c r="F1373" s="8" t="n">
        <x:f>MIN(10,F1372+E1373)</x:f>
        <x:v>9</x:v>
      </x:c>
      <x:c r="G1373" s="8" t="n">
        <x:f>MIN(F1373,9)+1</x:f>
        <x:v>10</x:v>
      </x:c>
      <x:c r="H1373" s="8" t="n">
        <x:f>IF(F1373&lt;=9,1,0)</x:f>
        <x:v>1</x:v>
      </x:c>
      <x:c r="I1373" s="9" t="n">
        <x:f>MIN(10,F1372+IF(AR1372&gt;0,MIN(1,AS1372/AR1372),1))</x:f>
        <x:v>9.430101010341359</x:v>
      </x:c>
      <x:c r="J1373" s="32" t="n">
        <x:f>INDEX(v01_FoodCap,G1373)*Arch_FoodCap*EXP(v01_CapsByProject*SUMPRODUCT((Cap_Point&lt;=I1373)*(Cap_Kind="Food")*Cap_Ln))</x:f>
        <x:v>12000</x:v>
      </x:c>
      <x:c r="K1373" s="32" t="n">
        <x:f>J1373*MIN(1,v01_LeanBase*EXP(v01_CapsByProject*SUMPRODUCT((Cap_Point&lt;=I1373)*(Cap_Kind="Lean")*Cap_Ln)))</x:f>
        <x:v>12000</x:v>
      </x:c>
      <x:c r="L1373" s="10" t="n">
        <x:f>INDEX(v01_HousingCap,G1373)*EXP(v01_CapsByProject*SUMPRODUCT((Cap_Point&lt;=I1373)*(Cap_Kind="Housing")*Cap_Ln))</x:f>
        <x:v>20000</x:v>
      </x:c>
      <x:c r="M1373" s="10" t="n">
        <x:f>INDEX(v01_GroupCap,G1373)*v01_CohesionFactor*EXP(v01_CapsByProject*SUMPRODUCT((Cap_Point&lt;=I1373)*(Cap_Kind="Group")*Cap_Ln))</x:f>
        <x:v>1000000</x:v>
      </x:c>
      <x:c r="N1373" s="32" t="n">
        <x:f>MIN(J1373,L1373,M1373)</x:f>
        <x:v>12000</x:v>
      </x:c>
      <x:c r="O1373" s="10" t="n">
        <x:f>AE1372*N1373</x:f>
        <x:v>180000</x:v>
      </x:c>
      <x:c r="P1373" s="9" t="n">
        <x:f>MIN(1,(AB1372/(AE1372*IF(v01_GroupInCrowding=1,N1373,MIN(J1373,L1373))))^v01_CrowdingExp)</x:f>
        <x:v>0.00009229995256791656</x:v>
      </x:c>
      <x:c r="Q1373" s="9" t="n">
        <x:f>IF(D1373=1,INDEX(v01_WinterMult,G1373),1)</x:f>
        <x:v>1</x:v>
      </x:c>
      <x:c r="R1373" s="9" t="n">
        <x:f>H1373*Z1372*v01_WomenShare*v01_BaseFertility*INDEX(v01_FertMult,G1373)*Arch_Fertility*(1-P1373)</x:f>
        <x:v>274.08549107378553</x:v>
      </x:c>
      <x:c r="S1373" s="9" t="n">
        <x:f>H1373*Y1372*INDEX(v01_MortChild,G1373)/4*Q1373</x:f>
        <x:v>9.668175899885867</x:v>
      </x:c>
      <x:c r="T1373" s="9" t="n">
        <x:f>H1373*Z1372*INDEX(v01_MortAdult,G1373)*Arch_AdultMort/4*Q1373</x:f>
        <x:v>10.382984526016596</x:v>
      </x:c>
      <x:c r="U1373" s="9" t="n">
        <x:f>H1373*AA1372*INDEX(v01_MortElder,G1373)/4*Q1373</x:f>
        <x:v>54.76067710544699</x:v>
      </x:c>
      <x:c r="V1373" s="9" t="n">
        <x:f>H1373*MAX(0,AB1372-O1373)*v01_OvercapLoss</x:f>
        <x:v>0</x:v>
      </x:c>
      <x:c r="W1373" s="9" t="n">
        <x:f>H1373*Y1372/(v01_ChildYears*4)</x:f>
        <x:v>230.19466428299683</x:v>
      </x:c>
      <x:c r="X1373" s="9" t="n">
        <x:f>H1373*Z1372/(v01_AdultYears*4)</x:f>
        <x:v>133.9739938840851</x:v>
      </x:c>
      <x:c r="Y1373" s="32" t="n">
        <x:f>Y1372+R1373-S1373-W1373-Y1372*V1373/AB1372</x:f>
        <x:v>12925.123850738724</x:v>
      </x:c>
      <x:c r="Z1373" s="32" t="n">
        <x:f>Z1372+W1373-X1373-T1373-Z1372*V1373/AB1372</x:f>
        <x:v>16698.61292749945</x:v>
      </x:c>
      <x:c r="AA1373" s="32" t="n">
        <x:f>AA1372+X1373-U1373-AA1372*V1373/AB1372</x:f>
        <x:v>8840.921653650155</x:v>
      </x:c>
      <x:c r="AB1373" s="10" t="n">
        <x:f>Y1373+Z1373+AA1373</x:f>
        <x:v>38464.658431888325</x:v>
      </x:c>
      <x:c r="AC1373" s="8" t="n">
        <x:f>IF(AND(v01_WinterTrigger=1,D1373=1,AB1372/AE1372&gt;=K1373),1,0)</x:f>
        <x:v>0</x:v>
      </x:c>
      <x:c r="AD1373" s="8" t="n">
        <x:f>H1373*IF(AND(OR(AB1372/AE1372&gt;=v01_FissionTrigger*N1373,AC1373=1),AB1372/AE1372*v01_DaughterShare&gt;=v01_MinDaughter),MAX(1,ROUND(AE1372*v01_FissionRate,0)),0)</x:f>
        <x:v>0</x:v>
      </x:c>
      <x:c r="AE1373" s="8" t="n">
        <x:f>IF(H1373=1,MAX(1,MIN(INDEX(v01_Smax,G1373),AE1372+AD1373)),AE1372)</x:f>
        <x:v>15</x:v>
      </x:c>
      <x:c r="AF1373" s="8" t="n">
        <x:f>MAX(0,AE1373-AE1372)</x:f>
        <x:v>0</x:v>
      </x:c>
      <x:c r="AG1373" s="9" t="str">
        <x:f>IF(AF1373&gt;0,B1373,"")</x:f>
      </x:c>
      <x:c r="AH1373" s="9" t="n">
        <x:f>IF(F1373&gt;=1,1,(1+v01_LowTiesShare*(AE1373-1))/AE1373)</x:f>
        <x:v>1</x:v>
      </x:c>
      <x:c r="AI1373" s="32" t="n">
        <x:f>(Z1373+v01_ElderCommons*INDEX(LM_Elder,G1373)*AA1373)*AH1373</x:f>
        <x:v>51470.25113872709</x:v>
      </x:c>
      <x:c r="AJ1373" s="32" t="n">
        <x:f>H1373*v01_CommonsCoef*AI1373^v01_CommonsExp*INDEX(LM_Commons,G1373)</x:f>
        <x:v>27147.06578885335</x:v>
      </x:c>
      <x:c r="AK1373" s="32" t="n">
        <x:f>H1373*v01_RoleScale*Arch_Roles*(AE1373*(INDEX(v01_ElderRolePerSett,G1373)*v01_OutElder*INDEX(LM_Elder,G1373)+INDEX(v01_ShamanPerSett,G1373)*v01_OutShaman)+Z1373*(INDEX(v01_PriestShare,G1373)*v01_OutPriest+INDEX(v01_ScribeShare,G1373)*v01_OutScribe*INDEX(LM_Scribe,G1373)+INDEX(v01_ScholarShare,G1373)*v01_OutScholar*INDEX(LM_Scholar,G1373)+INDEX(v01_ResearcherShare,G1373)*v01_OutResearcher*INDEX(LM_Researcher,G1373)))</x:f>
        <x:v>7569.4427384152905</x:v>
      </x:c>
      <x:c r="AL1373" s="32" t="n">
        <x:f>H1373*v01_RoleScale*Arch_Roles*AE1373*INDEX(v01_MonasteryPerSett,G1373)*v01_OutMonastery*INDEX(LM_Monastery,G1373)</x:f>
        <x:v>3.3000000000000003</x:v>
      </x:c>
      <x:c r="AM1373" s="32" t="n">
        <x:f>(AJ1373+AK1373+AL1373)/4*INDEX(LM_All,G1373)*INDEX(v01_Boon,G1373)*Arch_Insight</x:f>
        <x:v>30066.396644899294</x:v>
      </x:c>
      <x:c r="AN1373" s="32" t="n">
        <x:f>H1373*(v01_KHPerAdult*Z1373+v01_KHOfCommons*AJ1373/4*INDEX(LM_All,G1373))*v01_KHUsable*Arch_KH</x:f>
        <x:v>584.4514524624807</x:v>
      </x:c>
      <x:c r="AO1373" s="32" t="n">
        <x:f>MIN(AP1372+AN1373,AM1373*v01_KHMaxRatio)</x:f>
        <x:v>584.4514524624807</x:v>
      </x:c>
      <x:c r="AP1373" s="32" t="n">
        <x:f>AP1372+AN1373-AO1373</x:f>
        <x:v>0</x:v>
      </x:c>
      <x:c r="AQ1373" s="32" t="n">
        <x:f>AM1373+AO1373</x:f>
        <x:v>30650.848097361773</x:v>
      </x:c>
      <x:c r="AR1373" s="10" t="n">
        <x:f>IF(H1373=1,INDEX(v01_Req,G1373),0)</x:f>
        <x:v>1845340.8943637449</x:v>
      </x:c>
      <x:c r="AS1373" s="32" t="n">
        <x:f>IF(H1373=1,IF(E1373=1,AS1372-AR1372,AS1372)+AQ1373,0)</x:f>
        <x:v>824333.8311874354</x:v>
      </x:c>
      <x:c r="AT1373" s="11" t="n">
        <x:f>IF(AR1373&gt;0,MIN(1,AS1373/AR1373),1)</x:f>
        <x:v>0.44671086719272945</x:v>
      </x:c>
      <x:c r="AU1373" s="10" t="n">
        <x:f>AB1373/INDEX(v01_RepScale,G1373)</x:f>
        <x:v>76.92931686377665</x:v>
      </x:c>
      <x:c r="AV1373" s="32" t="n">
        <x:f>AM1373*60/v01_SeasonSeconds</x:f>
        <x:v>120265.58657959718</x:v>
      </x:c>
    </x:row>
    <x:row r="1374">
      <x:c r="A1374" s="8" t="n">
        <x:f>A1373+1</x:f>
        <x:v>1371</x:v>
      </x:c>
      <x:c r="B1374" s="9" t="n">
        <x:f>A1374*v01_SeasonSeconds/60</x:f>
        <x:v>342.75</x:v>
      </x:c>
      <x:c r="C1374" s="9" t="n">
        <x:f>A1374/4</x:f>
        <x:v>342.75</x:v>
      </x:c>
      <x:c r="D1374" s="8" t="n">
        <x:f>IF(MOD(A1374,4)=0,1,0)</x:f>
        <x:v>0</x:v>
      </x:c>
      <x:c r="E1374" s="8" t="n">
        <x:f>IF(AND(F1373&lt;=9,AS1373&gt;=AR1373),1,0)</x:f>
        <x:v>0</x:v>
      </x:c>
      <x:c r="F1374" s="8" t="n">
        <x:f>MIN(10,F1373+E1374)</x:f>
        <x:v>9</x:v>
      </x:c>
      <x:c r="G1374" s="8" t="n">
        <x:f>MIN(F1374,9)+1</x:f>
        <x:v>10</x:v>
      </x:c>
      <x:c r="H1374" s="8" t="n">
        <x:f>IF(F1374&lt;=9,1,0)</x:f>
        <x:v>1</x:v>
      </x:c>
      <x:c r="I1374" s="9" t="n">
        <x:f>MIN(10,F1373+IF(AR1373&gt;0,MIN(1,AS1373/AR1373),1))</x:f>
        <x:v>9.44671086719273</x:v>
      </x:c>
      <x:c r="J1374" s="32" t="n">
        <x:f>INDEX(v01_FoodCap,G1374)*Arch_FoodCap*EXP(v01_CapsByProject*SUMPRODUCT((Cap_Point&lt;=I1374)*(Cap_Kind="Food")*Cap_Ln))</x:f>
        <x:v>12000</x:v>
      </x:c>
      <x:c r="K1374" s="32" t="n">
        <x:f>J1374*MIN(1,v01_LeanBase*EXP(v01_CapsByProject*SUMPRODUCT((Cap_Point&lt;=I1374)*(Cap_Kind="Lean")*Cap_Ln)))</x:f>
        <x:v>12000</x:v>
      </x:c>
      <x:c r="L1374" s="10" t="n">
        <x:f>INDEX(v01_HousingCap,G1374)*EXP(v01_CapsByProject*SUMPRODUCT((Cap_Point&lt;=I1374)*(Cap_Kind="Housing")*Cap_Ln))</x:f>
        <x:v>20000</x:v>
      </x:c>
      <x:c r="M1374" s="10" t="n">
        <x:f>INDEX(v01_GroupCap,G1374)*v01_CohesionFactor*EXP(v01_CapsByProject*SUMPRODUCT((Cap_Point&lt;=I1374)*(Cap_Kind="Group")*Cap_Ln))</x:f>
        <x:v>1000000</x:v>
      </x:c>
      <x:c r="N1374" s="32" t="n">
        <x:f>MIN(J1374,L1374,M1374)</x:f>
        <x:v>12000</x:v>
      </x:c>
      <x:c r="O1374" s="10" t="n">
        <x:f>AE1373*N1374</x:f>
        <x:v>180000</x:v>
      </x:c>
      <x:c r="P1374" s="9" t="n">
        <x:f>MIN(1,(AB1373/(AE1373*IF(v01_GroupInCrowding=1,N1374,MIN(J1374,L1374))))^v01_CrowdingExp)</x:f>
        <x:v>0.00009522177018055674</x:v>
      </x:c>
      <x:c r="Q1374" s="9" t="n">
        <x:f>IF(D1374=1,INDEX(v01_WinterMult,G1374),1)</x:f>
        <x:v>1</x:v>
      </x:c>
      <x:c r="R1374" s="9" t="n">
        <x:f>H1374*Z1373*v01_WomenShare*v01_BaseFertility*INDEX(v01_FertMult,G1374)*Arch_Fertility*(1-P1374)</x:f>
        <x:v>275.5008771242794</x:v>
      </x:c>
      <x:c r="S1374" s="9" t="n">
        <x:f>H1374*Y1373*INDEX(v01_MortChild,G1374)/4*Q1374</x:f>
        <x:v>9.693842888054043</x:v>
      </x:c>
      <x:c r="T1374" s="9" t="n">
        <x:f>H1374*Z1373*INDEX(v01_MortAdult,G1374)*Arch_AdultMort/4*Q1374</x:f>
        <x:v>10.436633079687155</x:v>
      </x:c>
      <x:c r="U1374" s="9" t="n">
        <x:f>H1374*AA1373*INDEX(v01_MortElder,G1374)/4*Q1374</x:f>
        <x:v>55.255760335313475</x:v>
      </x:c>
      <x:c r="V1374" s="9" t="n">
        <x:f>H1374*MAX(0,AB1373-O1374)*v01_OvercapLoss</x:f>
        <x:v>0</x:v>
      </x:c>
      <x:c r="W1374" s="9" t="n">
        <x:f>H1374*Y1373/(v01_ChildYears*4)</x:f>
        <x:v>230.8057830489058</x:v>
      </x:c>
      <x:c r="X1374" s="9" t="n">
        <x:f>H1374*Z1373/(v01_AdultYears*4)</x:f>
        <x:v>134.6662332862859</x:v>
      </x:c>
      <x:c r="Y1374" s="32" t="n">
        <x:f>Y1373+R1374-S1374-W1374-Y1373*V1374/AB1373</x:f>
        <x:v>12960.125101926043</x:v>
      </x:c>
      <x:c r="Z1374" s="32" t="n">
        <x:f>Z1373+W1374-X1374-T1374-Z1373*V1374/AB1373</x:f>
        <x:v>16784.31584418238</x:v>
      </x:c>
      <x:c r="AA1374" s="32" t="n">
        <x:f>AA1373+X1374-U1374-AA1373*V1374/AB1373</x:f>
        <x:v>8920.332126601126</x:v>
      </x:c>
      <x:c r="AB1374" s="10" t="n">
        <x:f>Y1374+Z1374+AA1374</x:f>
        <x:v>38664.77307270955</x:v>
      </x:c>
      <x:c r="AC1374" s="8" t="n">
        <x:f>IF(AND(v01_WinterTrigger=1,D1374=1,AB1373/AE1373&gt;=K1374),1,0)</x:f>
        <x:v>0</x:v>
      </x:c>
      <x:c r="AD1374" s="8" t="n">
        <x:f>H1374*IF(AND(OR(AB1373/AE1373&gt;=v01_FissionTrigger*N1374,AC1374=1),AB1373/AE1373*v01_DaughterShare&gt;=v01_MinDaughter),MAX(1,ROUND(AE1373*v01_FissionRate,0)),0)</x:f>
        <x:v>0</x:v>
      </x:c>
      <x:c r="AE1374" s="8" t="n">
        <x:f>IF(H1374=1,MAX(1,MIN(INDEX(v01_Smax,G1374),AE1373+AD1374)),AE1373)</x:f>
        <x:v>15</x:v>
      </x:c>
      <x:c r="AF1374" s="8" t="n">
        <x:f>MAX(0,AE1374-AE1373)</x:f>
        <x:v>0</x:v>
      </x:c>
      <x:c r="AG1374" s="9" t="str">
        <x:f>IF(AF1374&gt;0,B1374,"")</x:f>
      </x:c>
      <x:c r="AH1374" s="9" t="n">
        <x:f>IF(F1374&gt;=1,1,(1+v01_LowTiesShare*(AE1374-1))/AE1374)</x:f>
        <x:v>1</x:v>
      </x:c>
      <x:c r="AI1374" s="32" t="n">
        <x:f>(Z1374+v01_ElderCommons*INDEX(LM_Elder,G1374)*AA1374)*AH1374</x:f>
        <x:v>51868.27808041635</x:v>
      </x:c>
      <x:c r="AJ1374" s="32" t="n">
        <x:f>H1374*v01_CommonsCoef*AI1374^v01_CommonsExp*INDEX(LM_Commons,G1374)</x:f>
        <x:v>27325.404978829312</x:v>
      </x:c>
      <x:c r="AK1374" s="32" t="n">
        <x:f>H1374*v01_RoleScale*Arch_Roles*(AE1374*(INDEX(v01_ElderRolePerSett,G1374)*v01_OutElder*INDEX(LM_Elder,G1374)+INDEX(v01_ShamanPerSett,G1374)*v01_OutShaman)+Z1374*(INDEX(v01_PriestShare,G1374)*v01_OutPriest+INDEX(v01_ScribeShare,G1374)*v01_OutScribe*INDEX(LM_Scribe,G1374)+INDEX(v01_ScholarShare,G1374)*v01_OutScholar*INDEX(LM_Scholar,G1374)+INDEX(v01_ResearcherShare,G1374)*v01_OutResearcher*INDEX(LM_Researcher,G1374)))</x:f>
        <x:v>7608.024802949994</x:v>
      </x:c>
      <x:c r="AL1374" s="32" t="n">
        <x:f>H1374*v01_RoleScale*Arch_Roles*AE1374*INDEX(v01_MonasteryPerSett,G1374)*v01_OutMonastery*INDEX(LM_Monastery,G1374)</x:f>
        <x:v>3.3000000000000003</x:v>
      </x:c>
      <x:c r="AM1374" s="32" t="n">
        <x:f>(AJ1374+AK1374+AL1374)/4*INDEX(LM_All,G1374)*INDEX(v01_Boon,G1374)*Arch_Insight</x:f>
        <x:v>30254.244468821027</x:v>
      </x:c>
      <x:c r="AN1374" s="32" t="n">
        <x:f>H1374*(v01_KHPerAdult*Z1374+v01_KHOfCommons*AJ1374/4*INDEX(LM_All,G1374))*v01_KHUsable*Arch_KH</x:f>
        <x:v>587.4510545463833</x:v>
      </x:c>
      <x:c r="AO1374" s="32" t="n">
        <x:f>MIN(AP1373+AN1374,AM1374*v01_KHMaxRatio)</x:f>
        <x:v>587.4510545463833</x:v>
      </x:c>
      <x:c r="AP1374" s="32" t="n">
        <x:f>AP1373+AN1374-AO1374</x:f>
        <x:v>0</x:v>
      </x:c>
      <x:c r="AQ1374" s="32" t="n">
        <x:f>AM1374+AO1374</x:f>
        <x:v>30841.69552336741</x:v>
      </x:c>
      <x:c r="AR1374" s="10" t="n">
        <x:f>IF(H1374=1,INDEX(v01_Req,G1374),0)</x:f>
        <x:v>1845340.8943637449</x:v>
      </x:c>
      <x:c r="AS1374" s="32" t="n">
        <x:f>IF(H1374=1,IF(E1374=1,AS1373-AR1373,AS1373)+AQ1374,0)</x:f>
        <x:v>855175.5267108028</x:v>
      </x:c>
      <x:c r="AT1374" s="11" t="n">
        <x:f>IF(AR1374&gt;0,MIN(1,AS1374/AR1374),1)</x:f>
        <x:v>0.46342414527460996</x:v>
      </x:c>
      <x:c r="AU1374" s="10" t="n">
        <x:f>AB1374/INDEX(v01_RepScale,G1374)</x:f>
        <x:v>77.3295461454191</x:v>
      </x:c>
      <x:c r="AV1374" s="32" t="n">
        <x:f>AM1374*60/v01_SeasonSeconds</x:f>
        <x:v>121016.97787528411</x:v>
      </x:c>
    </x:row>
    <x:row r="1375">
      <x:c r="A1375" s="8" t="n">
        <x:f>A1374+1</x:f>
        <x:v>1372</x:v>
      </x:c>
      <x:c r="B1375" s="9" t="n">
        <x:f>A1375*v01_SeasonSeconds/60</x:f>
        <x:v>343</x:v>
      </x:c>
      <x:c r="C1375" s="9" t="n">
        <x:f>A1375/4</x:f>
        <x:v>343</x:v>
      </x:c>
      <x:c r="D1375" s="8" t="n">
        <x:f>IF(MOD(A1375,4)=0,1,0)</x:f>
        <x:v>1</x:v>
      </x:c>
      <x:c r="E1375" s="8" t="n">
        <x:f>IF(AND(F1374&lt;=9,AS1374&gt;=AR1374),1,0)</x:f>
        <x:v>0</x:v>
      </x:c>
      <x:c r="F1375" s="8" t="n">
        <x:f>MIN(10,F1374+E1375)</x:f>
        <x:v>9</x:v>
      </x:c>
      <x:c r="G1375" s="8" t="n">
        <x:f>MIN(F1375,9)+1</x:f>
        <x:v>10</x:v>
      </x:c>
      <x:c r="H1375" s="8" t="n">
        <x:f>IF(F1375&lt;=9,1,0)</x:f>
        <x:v>1</x:v>
      </x:c>
      <x:c r="I1375" s="9" t="n">
        <x:f>MIN(10,F1374+IF(AR1374&gt;0,MIN(1,AS1374/AR1374),1))</x:f>
        <x:v>9.46342414527461</x:v>
      </x:c>
      <x:c r="J1375" s="32" t="n">
        <x:f>INDEX(v01_FoodCap,G1375)*Arch_FoodCap*EXP(v01_CapsByProject*SUMPRODUCT((Cap_Point&lt;=I1375)*(Cap_Kind="Food")*Cap_Ln))</x:f>
        <x:v>12000</x:v>
      </x:c>
      <x:c r="K1375" s="32" t="n">
        <x:f>J1375*MIN(1,v01_LeanBase*EXP(v01_CapsByProject*SUMPRODUCT((Cap_Point&lt;=I1375)*(Cap_Kind="Lean")*Cap_Ln)))</x:f>
        <x:v>12000</x:v>
      </x:c>
      <x:c r="L1375" s="10" t="n">
        <x:f>INDEX(v01_HousingCap,G1375)*EXP(v01_CapsByProject*SUMPRODUCT((Cap_Point&lt;=I1375)*(Cap_Kind="Housing")*Cap_Ln))</x:f>
        <x:v>20000</x:v>
      </x:c>
      <x:c r="M1375" s="10" t="n">
        <x:f>INDEX(v01_GroupCap,G1375)*v01_CohesionFactor*EXP(v01_CapsByProject*SUMPRODUCT((Cap_Point&lt;=I1375)*(Cap_Kind="Group")*Cap_Ln))</x:f>
        <x:v>1000000</x:v>
      </x:c>
      <x:c r="N1375" s="32" t="n">
        <x:f>MIN(J1375,L1375,M1375)</x:f>
        <x:v>12000</x:v>
      </x:c>
      <x:c r="O1375" s="10" t="n">
        <x:f>AE1374*N1375</x:f>
        <x:v>180000</x:v>
      </x:c>
      <x:c r="P1375" s="9" t="n">
        <x:f>MIN(1,(AB1374/(AE1374*IF(v01_GroupInCrowding=1,N1375,MIN(J1375,L1375))))^v01_CrowdingExp)</x:f>
        <x:v>0.00009823308042573888</x:v>
      </x:c>
      <x:c r="Q1375" s="9" t="n">
        <x:f>IF(D1375=1,INDEX(v01_WinterMult,G1375),1)</x:f>
        <x:v>1</x:v>
      </x:c>
      <x:c r="R1375" s="9" t="n">
        <x:f>H1375*Z1374*v01_WomenShare*v01_BaseFertility*INDEX(v01_FertMult,G1375)*Arch_Fertility*(1-P1375)</x:f>
        <x:v>276.91400664071375</x:v>
      </x:c>
      <x:c r="S1375" s="9" t="n">
        <x:f>H1375*Y1374*INDEX(v01_MortChild,G1375)/4*Q1375</x:f>
        <x:v>9.720093826444533</x:v>
      </x:c>
      <x:c r="T1375" s="9" t="n">
        <x:f>H1375*Z1374*INDEX(v01_MortAdult,G1375)*Arch_AdultMort/4*Q1375</x:f>
        <x:v>10.490197402613987</x:v>
      </x:c>
      <x:c r="U1375" s="9" t="n">
        <x:f>H1375*AA1374*INDEX(v01_MortElder,G1375)/4*Q1375</x:f>
        <x:v>55.75207579125704</x:v>
      </x:c>
      <x:c r="V1375" s="9" t="n">
        <x:f>H1375*MAX(0,AB1374-O1375)*v01_OvercapLoss</x:f>
        <x:v>0</x:v>
      </x:c>
      <x:c r="W1375" s="9" t="n">
        <x:f>H1375*Y1374/(v01_ChildYears*4)</x:f>
        <x:v>231.4308053915365</x:v>
      </x:c>
      <x:c r="X1375" s="9" t="n">
        <x:f>H1375*Z1374/(v01_AdultYears*4)</x:f>
        <x:v>135.35738584018048</x:v>
      </x:c>
      <x:c r="Y1375" s="32" t="n">
        <x:f>Y1374+R1375-S1375-W1375-Y1374*V1375/AB1374</x:f>
        <x:v>12995.888209348777</x:v>
      </x:c>
      <x:c r="Z1375" s="32" t="n">
        <x:f>Z1374+W1375-X1375-T1375-Z1374*V1375/AB1374</x:f>
        <x:v>16869.899066331123</x:v>
      </x:c>
      <x:c r="AA1375" s="32" t="n">
        <x:f>AA1374+X1375-U1375-AA1374*V1375/AB1374</x:f>
        <x:v>8999.937436650049</x:v>
      </x:c>
      <x:c r="AB1375" s="10" t="n">
        <x:f>Y1375+Z1375+AA1375</x:f>
        <x:v>38865.724712329946</x:v>
      </x:c>
      <x:c r="AC1375" s="8" t="n">
        <x:f>IF(AND(v01_WinterTrigger=1,D1375=1,AB1374/AE1374&gt;=K1375),1,0)</x:f>
        <x:v>0</x:v>
      </x:c>
      <x:c r="AD1375" s="8" t="n">
        <x:f>H1375*IF(AND(OR(AB1374/AE1374&gt;=v01_FissionTrigger*N1375,AC1375=1),AB1374/AE1374*v01_DaughterShare&gt;=v01_MinDaughter),MAX(1,ROUND(AE1374*v01_FissionRate,0)),0)</x:f>
        <x:v>0</x:v>
      </x:c>
      <x:c r="AE1375" s="8" t="n">
        <x:f>IF(H1375=1,MAX(1,MIN(INDEX(v01_Smax,G1375),AE1374+AD1375)),AE1374)</x:f>
        <x:v>15</x:v>
      </x:c>
      <x:c r="AF1375" s="8" t="n">
        <x:f>MAX(0,AE1375-AE1374)</x:f>
        <x:v>0</x:v>
      </x:c>
      <x:c r="AG1375" s="9" t="str">
        <x:f>IF(AF1375&gt;0,B1375,"")</x:f>
      </x:c>
      <x:c r="AH1375" s="9" t="n">
        <x:f>IF(F1375&gt;=1,1,(1+v01_LowTiesShare*(AE1375-1))/AE1375)</x:f>
        <x:v>1</x:v>
      </x:c>
      <x:c r="AI1375" s="32" t="n">
        <x:f>(Z1375+v01_ElderCommons*INDEX(LM_Elder,G1375)*AA1375)*AH1375</x:f>
        <x:v>52266.95162834249</x:v>
      </x:c>
      <x:c r="AJ1375" s="32" t="n">
        <x:f>H1375*v01_CommonsCoef*AI1375^v01_CommonsExp*INDEX(LM_Commons,G1375)</x:f>
        <x:v>27503.828221691245</x:v>
      </x:c>
      <x:c r="AK1375" s="32" t="n">
        <x:f>H1375*v01_RoleScale*Arch_Roles*(AE1375*(INDEX(v01_ElderRolePerSett,G1375)*v01_OutElder*INDEX(LM_Elder,G1375)+INDEX(v01_ShamanPerSett,G1375)*v01_OutShaman)+Z1375*(INDEX(v01_PriestShare,G1375)*v01_OutPriest+INDEX(v01_ScribeShare,G1375)*v01_OutScribe*INDEX(LM_Scribe,G1375)+INDEX(v01_ScholarShare,G1375)*v01_OutScholar*INDEX(LM_Scholar,G1375)+INDEX(v01_ResearcherShare,G1375)*v01_OutResearcher*INDEX(LM_Researcher,G1375)))</x:f>
        <x:v>7646.552982944694</x:v>
      </x:c>
      <x:c r="AL1375" s="32" t="n">
        <x:f>H1375*v01_RoleScale*Arch_Roles*AE1375*INDEX(v01_MonasteryPerSett,G1375)*v01_OutMonastery*INDEX(LM_Monastery,G1375)</x:f>
        <x:v>3.3000000000000003</x:v>
      </x:c>
      <x:c r="AM1375" s="32" t="n">
        <x:f>(AJ1375+AK1375+AL1375)/4*INDEX(LM_All,G1375)*INDEX(v01_Boon,G1375)*Arch_Insight</x:f>
        <x:v>30442.11841769836</x:v>
      </x:c>
      <x:c r="AN1375" s="32" t="n">
        <x:f>H1375*(v01_KHPerAdult*Z1375+v01_KHOfCommons*AJ1375/4*INDEX(LM_All,G1375))*v01_KHUsable*Arch_KH</x:f>
        <x:v>590.4464673215894</x:v>
      </x:c>
      <x:c r="AO1375" s="32" t="n">
        <x:f>MIN(AP1374+AN1375,AM1375*v01_KHMaxRatio)</x:f>
        <x:v>590.4464673215894</x:v>
      </x:c>
      <x:c r="AP1375" s="32" t="n">
        <x:f>AP1374+AN1375-AO1375</x:f>
        <x:v>0</x:v>
      </x:c>
      <x:c r="AQ1375" s="32" t="n">
        <x:f>AM1375+AO1375</x:f>
        <x:v>31032.564885019947</x:v>
      </x:c>
      <x:c r="AR1375" s="10" t="n">
        <x:f>IF(H1375=1,INDEX(v01_Req,G1375),0)</x:f>
        <x:v>1845340.8943637449</x:v>
      </x:c>
      <x:c r="AS1375" s="32" t="n">
        <x:f>IF(H1375=1,IF(E1375=1,AS1374-AR1374,AS1374)+AQ1375,0)</x:f>
        <x:v>886208.0915958227</x:v>
      </x:c>
      <x:c r="AT1375" s="11" t="n">
        <x:f>IF(AR1375&gt;0,MIN(1,AS1375/AR1375),1)</x:f>
        <x:v>0.48024085647404374</x:v>
      </x:c>
      <x:c r="AU1375" s="10" t="n">
        <x:f>AB1375/INDEX(v01_RepScale,G1375)</x:f>
        <x:v>77.73144942465989</x:v>
      </x:c>
      <x:c r="AV1375" s="32" t="n">
        <x:f>AM1375*60/v01_SeasonSeconds</x:f>
        <x:v>121768.47367079344</x:v>
      </x:c>
    </x:row>
    <x:row r="1376">
      <x:c r="A1376" s="8" t="n">
        <x:f>A1375+1</x:f>
        <x:v>1373</x:v>
      </x:c>
      <x:c r="B1376" s="9" t="n">
        <x:f>A1376*v01_SeasonSeconds/60</x:f>
        <x:v>343.25</x:v>
      </x:c>
      <x:c r="C1376" s="9" t="n">
        <x:f>A1376/4</x:f>
        <x:v>343.25</x:v>
      </x:c>
      <x:c r="D1376" s="8" t="n">
        <x:f>IF(MOD(A1376,4)=0,1,0)</x:f>
        <x:v>0</x:v>
      </x:c>
      <x:c r="E1376" s="8" t="n">
        <x:f>IF(AND(F1375&lt;=9,AS1375&gt;=AR1375),1,0)</x:f>
        <x:v>0</x:v>
      </x:c>
      <x:c r="F1376" s="8" t="n">
        <x:f>MIN(10,F1375+E1376)</x:f>
        <x:v>9</x:v>
      </x:c>
      <x:c r="G1376" s="8" t="n">
        <x:f>MIN(F1376,9)+1</x:f>
        <x:v>10</x:v>
      </x:c>
      <x:c r="H1376" s="8" t="n">
        <x:f>IF(F1376&lt;=9,1,0)</x:f>
        <x:v>1</x:v>
      </x:c>
      <x:c r="I1376" s="9" t="n">
        <x:f>MIN(10,F1375+IF(AR1375&gt;0,MIN(1,AS1375/AR1375),1))</x:f>
        <x:v>9.480240856474044</x:v>
      </x:c>
      <x:c r="J1376" s="32" t="n">
        <x:f>INDEX(v01_FoodCap,G1376)*Arch_FoodCap*EXP(v01_CapsByProject*SUMPRODUCT((Cap_Point&lt;=I1376)*(Cap_Kind="Food")*Cap_Ln))</x:f>
        <x:v>12000</x:v>
      </x:c>
      <x:c r="K1376" s="32" t="n">
        <x:f>J1376*MIN(1,v01_LeanBase*EXP(v01_CapsByProject*SUMPRODUCT((Cap_Point&lt;=I1376)*(Cap_Kind="Lean")*Cap_Ln)))</x:f>
        <x:v>12000</x:v>
      </x:c>
      <x:c r="L1376" s="10" t="n">
        <x:f>INDEX(v01_HousingCap,G1376)*EXP(v01_CapsByProject*SUMPRODUCT((Cap_Point&lt;=I1376)*(Cap_Kind="Housing")*Cap_Ln))</x:f>
        <x:v>20000</x:v>
      </x:c>
      <x:c r="M1376" s="10" t="n">
        <x:f>INDEX(v01_GroupCap,G1376)*v01_CohesionFactor*EXP(v01_CapsByProject*SUMPRODUCT((Cap_Point&lt;=I1376)*(Cap_Kind="Group")*Cap_Ln))</x:f>
        <x:v>1000000</x:v>
      </x:c>
      <x:c r="N1376" s="32" t="n">
        <x:f>MIN(J1376,L1376,M1376)</x:f>
        <x:v>12000</x:v>
      </x:c>
      <x:c r="O1376" s="10" t="n">
        <x:f>AE1375*N1376</x:f>
        <x:v>180000</x:v>
      </x:c>
      <x:c r="P1376" s="9" t="n">
        <x:f>MIN(1,(AB1375/(AE1375*IF(v01_GroupInCrowding=1,N1376,MIN(J1376,L1376))))^v01_CrowdingExp)</x:f>
        <x:v>0.00010133642773796439</x:v>
      </x:c>
      <x:c r="Q1376" s="9" t="n">
        <x:f>IF(D1376=1,INDEX(v01_WinterMult,G1376),1)</x:f>
        <x:v>1</x:v>
      </x:c>
      <x:c r="R1376" s="9" t="n">
        <x:f>H1376*Z1375*v01_WomenShare*v01_BaseFertility*INDEX(v01_FertMult,G1376)*Arch_Fertility*(1-P1376)</x:f>
        <x:v>278.3251272618868</x:v>
      </x:c>
      <x:c r="S1376" s="9" t="n">
        <x:f>H1376*Y1375*INDEX(v01_MortChild,G1376)/4*Q1376</x:f>
        <x:v>9.746916157011583</x:v>
      </x:c>
      <x:c r="T1376" s="9" t="n">
        <x:f>H1376*Z1375*INDEX(v01_MortAdult,G1376)*Arch_AdultMort/4*Q1376</x:f>
        <x:v>10.543686916456952</x:v>
      </x:c>
      <x:c r="U1376" s="9" t="n">
        <x:f>H1376*AA1375*INDEX(v01_MortElder,G1376)/4*Q1376</x:f>
        <x:v>56.249608979062806</x:v>
      </x:c>
      <x:c r="V1376" s="9" t="n">
        <x:f>H1376*MAX(0,AB1375-O1376)*v01_OvercapLoss</x:f>
        <x:v>0</x:v>
      </x:c>
      <x:c r="W1376" s="9" t="n">
        <x:f>H1376*Y1375/(v01_ChildYears*4)</x:f>
        <x:v>232.0694323097996</x:v>
      </x:c>
      <x:c r="X1376" s="9" t="n">
        <x:f>H1376*Z1375/(v01_AdultYears*4)</x:f>
        <x:v>136.04757311557358</x:v>
      </x:c>
      <x:c r="Y1376" s="32" t="n">
        <x:f>Y1375+R1376-S1376-W1376-Y1375*V1376/AB1375</x:f>
        <x:v>13032.396988143853</x:v>
      </x:c>
      <x:c r="Z1376" s="32" t="n">
        <x:f>Z1375+W1376-X1376-T1376-Z1375*V1376/AB1375</x:f>
        <x:v>16955.37723860889</x:v>
      </x:c>
      <x:c r="AA1376" s="32" t="n">
        <x:f>AA1375+X1376-U1376-AA1375*V1376/AB1375</x:f>
        <x:v>9079.73540078656</x:v>
      </x:c>
      <x:c r="AB1376" s="10" t="n">
        <x:f>Y1376+Z1376+AA1376</x:f>
        <x:v>39067.5096275393</x:v>
      </x:c>
      <x:c r="AC1376" s="8" t="n">
        <x:f>IF(AND(v01_WinterTrigger=1,D1376=1,AB1375/AE1375&gt;=K1376),1,0)</x:f>
        <x:v>0</x:v>
      </x:c>
      <x:c r="AD1376" s="8" t="n">
        <x:f>H1376*IF(AND(OR(AB1375/AE1375&gt;=v01_FissionTrigger*N1376,AC1376=1),AB1375/AE1375*v01_DaughterShare&gt;=v01_MinDaughter),MAX(1,ROUND(AE1375*v01_FissionRate,0)),0)</x:f>
        <x:v>0</x:v>
      </x:c>
      <x:c r="AE1376" s="8" t="n">
        <x:f>IF(H1376=1,MAX(1,MIN(INDEX(v01_Smax,G1376),AE1375+AD1376)),AE1375)</x:f>
        <x:v>15</x:v>
      </x:c>
      <x:c r="AF1376" s="8" t="n">
        <x:f>MAX(0,AE1376-AE1375)</x:f>
        <x:v>0</x:v>
      </x:c>
      <x:c r="AG1376" s="9" t="str">
        <x:f>IF(AF1376&gt;0,B1376,"")</x:f>
      </x:c>
      <x:c r="AH1376" s="9" t="n">
        <x:f>IF(F1376&gt;=1,1,(1+v01_LowTiesShare*(AE1376-1))/AE1376)</x:f>
        <x:v>1</x:v>
      </x:c>
      <x:c r="AI1376" s="32" t="n">
        <x:f>(Z1376+v01_ElderCommons*INDEX(LM_Elder,G1376)*AA1376)*AH1376</x:f>
        <x:v>52666.27784131652</x:v>
      </x:c>
      <x:c r="AJ1376" s="32" t="n">
        <x:f>H1376*v01_CommonsCoef*AI1376^v01_CommonsExp*INDEX(LM_Commons,G1376)</x:f>
        <x:v>27682.339031743704</x:v>
      </x:c>
      <x:c r="AK1376" s="32" t="n">
        <x:f>H1376*v01_RoleScale*Arch_Roles*(AE1376*(INDEX(v01_ElderRolePerSett,G1376)*v01_OutElder*INDEX(LM_Elder,G1376)+INDEX(v01_ShamanPerSett,G1376)*v01_OutShaman)+Z1376*(INDEX(v01_PriestShare,G1376)*v01_OutPriest+INDEX(v01_ScribeShare,G1376)*v01_OutScribe*INDEX(LM_Scribe,G1376)+INDEX(v01_ScholarShare,G1376)*v01_OutScholar*INDEX(LM_Scholar,G1376)+INDEX(v01_ResearcherShare,G1376)*v01_OutResearcher*INDEX(LM_Researcher,G1376)))</x:f>
        <x:v>7685.033871189494</x:v>
      </x:c>
      <x:c r="AL1376" s="32" t="n">
        <x:f>H1376*v01_RoleScale*Arch_Roles*AE1376*INDEX(v01_MonasteryPerSett,G1376)*v01_OutMonastery*INDEX(LM_Monastery,G1376)</x:f>
        <x:v>3.3000000000000003</x:v>
      </x:c>
      <x:c r="AM1376" s="32" t="n">
        <x:f>(AJ1376+AK1376+AL1376)/4*INDEX(LM_All,G1376)*INDEX(v01_Boon,G1376)*Arch_Insight</x:f>
        <x:v>30630.027243996512</x:v>
      </x:c>
      <x:c r="AN1376" s="32" t="n">
        <x:f>H1376*(v01_KHPerAdult*Z1376+v01_KHOfCommons*AJ1376/4*INDEX(LM_All,G1376))*v01_KHUsable*Arch_KH</x:f>
        <x:v>593.4382033513111</x:v>
      </x:c>
      <x:c r="AO1376" s="32" t="n">
        <x:f>MIN(AP1375+AN1376,AM1376*v01_KHMaxRatio)</x:f>
        <x:v>593.4382033513111</x:v>
      </x:c>
      <x:c r="AP1376" s="32" t="n">
        <x:f>AP1375+AN1376-AO1376</x:f>
        <x:v>0</x:v>
      </x:c>
      <x:c r="AQ1376" s="32" t="n">
        <x:f>AM1376+AO1376</x:f>
        <x:v>31223.465447347822</x:v>
      </x:c>
      <x:c r="AR1376" s="10" t="n">
        <x:f>IF(H1376=1,INDEX(v01_Req,G1376),0)</x:f>
        <x:v>1845340.8943637449</x:v>
      </x:c>
      <x:c r="AS1376" s="32" t="n">
        <x:f>IF(H1376=1,IF(E1376=1,AS1375-AR1375,AS1375)+AQ1376,0)</x:f>
        <x:v>917431.5570431706</x:v>
      </x:c>
      <x:c r="AT1376" s="11" t="n">
        <x:f>IF(AR1376&gt;0,MIN(1,AS1376/AR1376),1)</x:f>
        <x:v>0.4971610176988419</x:v>
      </x:c>
      <x:c r="AU1376" s="10" t="n">
        <x:f>AB1376/INDEX(v01_RepScale,G1376)</x:f>
        <x:v>78.1350192550786</x:v>
      </x:c>
      <x:c r="AV1376" s="32" t="n">
        <x:f>AM1376*60/v01_SeasonSeconds</x:f>
        <x:v>122520.10897598605</x:v>
      </x:c>
    </x:row>
    <x:row r="1377">
      <x:c r="A1377" s="8" t="n">
        <x:f>A1376+1</x:f>
        <x:v>1374</x:v>
      </x:c>
      <x:c r="B1377" s="9" t="n">
        <x:f>A1377*v01_SeasonSeconds/60</x:f>
        <x:v>343.5</x:v>
      </x:c>
      <x:c r="C1377" s="9" t="n">
        <x:f>A1377/4</x:f>
        <x:v>343.5</x:v>
      </x:c>
      <x:c r="D1377" s="8" t="n">
        <x:f>IF(MOD(A1377,4)=0,1,0)</x:f>
        <x:v>0</x:v>
      </x:c>
      <x:c r="E1377" s="8" t="n">
        <x:f>IF(AND(F1376&lt;=9,AS1376&gt;=AR1376),1,0)</x:f>
        <x:v>0</x:v>
      </x:c>
      <x:c r="F1377" s="8" t="n">
        <x:f>MIN(10,F1376+E1377)</x:f>
        <x:v>9</x:v>
      </x:c>
      <x:c r="G1377" s="8" t="n">
        <x:f>MIN(F1377,9)+1</x:f>
        <x:v>10</x:v>
      </x:c>
      <x:c r="H1377" s="8" t="n">
        <x:f>IF(F1377&lt;=9,1,0)</x:f>
        <x:v>1</x:v>
      </x:c>
      <x:c r="I1377" s="9" t="n">
        <x:f>MIN(10,F1376+IF(AR1376&gt;0,MIN(1,AS1376/AR1376),1))</x:f>
        <x:v>9.497161017698842</x:v>
      </x:c>
      <x:c r="J1377" s="32" t="n">
        <x:f>INDEX(v01_FoodCap,G1377)*Arch_FoodCap*EXP(v01_CapsByProject*SUMPRODUCT((Cap_Point&lt;=I1377)*(Cap_Kind="Food")*Cap_Ln))</x:f>
        <x:v>12000</x:v>
      </x:c>
      <x:c r="K1377" s="32" t="n">
        <x:f>J1377*MIN(1,v01_LeanBase*EXP(v01_CapsByProject*SUMPRODUCT((Cap_Point&lt;=I1377)*(Cap_Kind="Lean")*Cap_Ln)))</x:f>
        <x:v>12000</x:v>
      </x:c>
      <x:c r="L1377" s="10" t="n">
        <x:f>INDEX(v01_HousingCap,G1377)*EXP(v01_CapsByProject*SUMPRODUCT((Cap_Point&lt;=I1377)*(Cap_Kind="Housing")*Cap_Ln))</x:f>
        <x:v>20000</x:v>
      </x:c>
      <x:c r="M1377" s="10" t="n">
        <x:f>INDEX(v01_GroupCap,G1377)*v01_CohesionFactor*EXP(v01_CapsByProject*SUMPRODUCT((Cap_Point&lt;=I1377)*(Cap_Kind="Group")*Cap_Ln))</x:f>
        <x:v>1000000</x:v>
      </x:c>
      <x:c r="N1377" s="32" t="n">
        <x:f>MIN(J1377,L1377,M1377)</x:f>
        <x:v>12000</x:v>
      </x:c>
      <x:c r="O1377" s="10" t="n">
        <x:f>AE1376*N1377</x:f>
        <x:v>180000</x:v>
      </x:c>
      <x:c r="P1377" s="9" t="n">
        <x:f>MIN(1,(AB1376/(AE1376*IF(v01_GroupInCrowding=1,N1377,MIN(J1377,L1377))))^v01_CrowdingExp)</x:f>
        <x:v>0.00010453442542463053</x:v>
      </x:c>
      <x:c r="Q1377" s="9" t="n">
        <x:f>IF(D1377=1,INDEX(v01_WinterMult,G1377),1)</x:f>
        <x:v>1</x:v>
      </x:c>
      <x:c r="R1377" s="9" t="n">
        <x:f>H1377*Z1376*v01_WomenShare*v01_BaseFertility*INDEX(v01_FertMult,G1377)*Arch_Fertility*(1-P1377)</x:f>
        <x:v>279.734479496858</x:v>
      </x:c>
      <x:c r="S1377" s="9" t="n">
        <x:f>H1377*Y1376*INDEX(v01_MortChild,G1377)/4*Q1377</x:f>
        <x:v>9.77429774110789</x:v>
      </x:c>
      <x:c r="T1377" s="9" t="n">
        <x:f>H1377*Z1376*INDEX(v01_MortAdult,G1377)*Arch_AdultMort/4*Q1377</x:f>
        <x:v>10.597110774130556</x:v>
      </x:c>
      <x:c r="U1377" s="9" t="n">
        <x:f>H1377*AA1376*INDEX(v01_MortElder,G1377)/4*Q1377</x:f>
        <x:v>56.748346254916</x:v>
      </x:c>
      <x:c r="V1377" s="9" t="n">
        <x:f>H1377*MAX(0,AB1376-O1377)*v01_OvercapLoss</x:f>
        <x:v>0</x:v>
      </x:c>
      <x:c r="W1377" s="9" t="n">
        <x:f>H1377*Y1376/(v01_ChildYears*4)</x:f>
        <x:v>232.7213747882831</x:v>
      </x:c>
      <x:c r="X1377" s="9" t="n">
        <x:f>H1377*Z1376/(v01_AdultYears*4)</x:f>
        <x:v>136.73691321458782</x:v>
      </x:c>
      <x:c r="Y1377" s="32" t="n">
        <x:f>Y1376+R1377-S1377-W1377-Y1376*V1377/AB1376</x:f>
        <x:v>13069.63579511132</x:v>
      </x:c>
      <x:c r="Z1377" s="32" t="n">
        <x:f>Z1376+W1377-X1377-T1377-Z1376*V1377/AB1376</x:f>
        <x:v>17040.764589408453</x:v>
      </x:c>
      <x:c r="AA1377" s="32" t="n">
        <x:f>AA1376+X1377-U1377-AA1376*V1377/AB1376</x:f>
        <x:v>9159.723967746233</x:v>
      </x:c>
      <x:c r="AB1377" s="10" t="n">
        <x:f>Y1377+Z1377+AA1377</x:f>
        <x:v>39270.12435226601</x:v>
      </x:c>
      <x:c r="AC1377" s="8" t="n">
        <x:f>IF(AND(v01_WinterTrigger=1,D1377=1,AB1376/AE1376&gt;=K1377),1,0)</x:f>
        <x:v>0</x:v>
      </x:c>
      <x:c r="AD1377" s="8" t="n">
        <x:f>H1377*IF(AND(OR(AB1376/AE1376&gt;=v01_FissionTrigger*N1377,AC1377=1),AB1376/AE1376*v01_DaughterShare&gt;=v01_MinDaughter),MAX(1,ROUND(AE1376*v01_FissionRate,0)),0)</x:f>
        <x:v>0</x:v>
      </x:c>
      <x:c r="AE1377" s="8" t="n">
        <x:f>IF(H1377=1,MAX(1,MIN(INDEX(v01_Smax,G1377),AE1376+AD1377)),AE1376)</x:f>
        <x:v>15</x:v>
      </x:c>
      <x:c r="AF1377" s="8" t="n">
        <x:f>MAX(0,AE1377-AE1376)</x:f>
        <x:v>0</x:v>
      </x:c>
      <x:c r="AG1377" s="9" t="str">
        <x:f>IF(AF1377&gt;0,B1377,"")</x:f>
      </x:c>
      <x:c r="AH1377" s="9" t="n">
        <x:f>IF(F1377&gt;=1,1,(1+v01_LowTiesShare*(AE1377-1))/AE1377)</x:f>
        <x:v>1</x:v>
      </x:c>
      <x:c r="AI1377" s="32" t="n">
        <x:f>(Z1377+v01_ElderCommons*INDEX(LM_Elder,G1377)*AA1377)*AH1377</x:f>
        <x:v>53066.26288004017</x:v>
      </x:c>
      <x:c r="AJ1377" s="32" t="n">
        <x:f>H1377*v01_CommonsCoef*AI1377^v01_CommonsExp*INDEX(LM_Commons,G1377)</x:f>
        <x:v>27860.94094286855</x:v>
      </x:c>
      <x:c r="AK1377" s="32" t="n">
        <x:f>H1377*v01_RoleScale*Arch_Roles*(AE1377*(INDEX(v01_ElderRolePerSett,G1377)*v01_OutElder*INDEX(LM_Elder,G1377)+INDEX(v01_ShamanPerSett,G1377)*v01_OutShaman)+Z1377*(INDEX(v01_PriestShare,G1377)*v01_OutPriest+INDEX(v01_ScribeShare,G1377)*v01_OutScribe*INDEX(LM_Scribe,G1377)+INDEX(v01_ScholarShare,G1377)*v01_OutScholar*INDEX(LM_Scholar,G1377)+INDEX(v01_ResearcherShare,G1377)*v01_OutResearcher*INDEX(LM_Researcher,G1377)))</x:f>
        <x:v>7723.473873076294</x:v>
      </x:c>
      <x:c r="AL1377" s="32" t="n">
        <x:f>H1377*v01_RoleScale*Arch_Roles*AE1377*INDEX(v01_MonasteryPerSett,G1377)*v01_OutMonastery*INDEX(LM_Monastery,G1377)</x:f>
        <x:v>3.3000000000000003</x:v>
      </x:c>
      <x:c r="AM1377" s="32" t="n">
        <x:f>(AJ1377+AK1377+AL1377)/4*INDEX(LM_All,G1377)*INDEX(v01_Boon,G1377)*Arch_Insight</x:f>
        <x:v>30817.979554852456</x:v>
      </x:c>
      <x:c r="AN1377" s="32" t="n">
        <x:f>H1377*(v01_KHPerAdult*Z1377+v01_KHOfCommons*AJ1377/4*INDEX(LM_All,G1377))*v01_KHUsable*Arch_KH</x:f>
        <x:v>596.4267606292958</x:v>
      </x:c>
      <x:c r="AO1377" s="32" t="n">
        <x:f>MIN(AP1376+AN1377,AM1377*v01_KHMaxRatio)</x:f>
        <x:v>596.4267606292958</x:v>
      </x:c>
      <x:c r="AP1377" s="32" t="n">
        <x:f>AP1376+AN1377-AO1377</x:f>
        <x:v>0</x:v>
      </x:c>
      <x:c r="AQ1377" s="32" t="n">
        <x:f>AM1377+AO1377</x:f>
        <x:v>31414.406315481752</x:v>
      </x:c>
      <x:c r="AR1377" s="10" t="n">
        <x:f>IF(H1377=1,INDEX(v01_Req,G1377),0)</x:f>
        <x:v>1845340.8943637449</x:v>
      </x:c>
      <x:c r="AS1377" s="32" t="n">
        <x:f>IF(H1377=1,IF(E1377=1,AS1376-AR1376,AS1376)+AQ1377,0)</x:f>
        <x:v>948845.9633586523</x:v>
      </x:c>
      <x:c r="AT1377" s="11" t="n">
        <x:f>IF(AR1377&gt;0,MIN(1,AS1377/AR1377),1)</x:f>
        <x:v>0.5141846507909342</x:v>
      </x:c>
      <x:c r="AU1377" s="10" t="n">
        <x:f>AB1377/INDEX(v01_RepScale,G1377)</x:f>
        <x:v>78.54024870453202</x:v>
      </x:c>
      <x:c r="AV1377" s="32" t="n">
        <x:f>AM1377*60/v01_SeasonSeconds</x:f>
        <x:v>123271.91821940982</x:v>
      </x:c>
    </x:row>
    <x:row r="1378">
      <x:c r="A1378" s="8" t="n">
        <x:f>A1377+1</x:f>
        <x:v>1375</x:v>
      </x:c>
      <x:c r="B1378" s="9" t="n">
        <x:f>A1378*v01_SeasonSeconds/60</x:f>
        <x:v>343.75</x:v>
      </x:c>
      <x:c r="C1378" s="9" t="n">
        <x:f>A1378/4</x:f>
        <x:v>343.75</x:v>
      </x:c>
      <x:c r="D1378" s="8" t="n">
        <x:f>IF(MOD(A1378,4)=0,1,0)</x:f>
        <x:v>0</x:v>
      </x:c>
      <x:c r="E1378" s="8" t="n">
        <x:f>IF(AND(F1377&lt;=9,AS1377&gt;=AR1377),1,0)</x:f>
        <x:v>0</x:v>
      </x:c>
      <x:c r="F1378" s="8" t="n">
        <x:f>MIN(10,F1377+E1378)</x:f>
        <x:v>9</x:v>
      </x:c>
      <x:c r="G1378" s="8" t="n">
        <x:f>MIN(F1378,9)+1</x:f>
        <x:v>10</x:v>
      </x:c>
      <x:c r="H1378" s="8" t="n">
        <x:f>IF(F1378&lt;=9,1,0)</x:f>
        <x:v>1</x:v>
      </x:c>
      <x:c r="I1378" s="9" t="n">
        <x:f>MIN(10,F1377+IF(AR1377&gt;0,MIN(1,AS1377/AR1377),1))</x:f>
        <x:v>9.514184650790934</x:v>
      </x:c>
      <x:c r="J1378" s="32" t="n">
        <x:f>INDEX(v01_FoodCap,G1378)*Arch_FoodCap*EXP(v01_CapsByProject*SUMPRODUCT((Cap_Point&lt;=I1378)*(Cap_Kind="Food")*Cap_Ln))</x:f>
        <x:v>12000</x:v>
      </x:c>
      <x:c r="K1378" s="32" t="n">
        <x:f>J1378*MIN(1,v01_LeanBase*EXP(v01_CapsByProject*SUMPRODUCT((Cap_Point&lt;=I1378)*(Cap_Kind="Lean")*Cap_Ln)))</x:f>
        <x:v>12000</x:v>
      </x:c>
      <x:c r="L1378" s="10" t="n">
        <x:f>INDEX(v01_HousingCap,G1378)*EXP(v01_CapsByProject*SUMPRODUCT((Cap_Point&lt;=I1378)*(Cap_Kind="Housing")*Cap_Ln))</x:f>
        <x:v>20000</x:v>
      </x:c>
      <x:c r="M1378" s="10" t="n">
        <x:f>INDEX(v01_GroupCap,G1378)*v01_CohesionFactor*EXP(v01_CapsByProject*SUMPRODUCT((Cap_Point&lt;=I1378)*(Cap_Kind="Group")*Cap_Ln))</x:f>
        <x:v>1000000</x:v>
      </x:c>
      <x:c r="N1378" s="32" t="n">
        <x:f>MIN(J1378,L1378,M1378)</x:f>
        <x:v>12000</x:v>
      </x:c>
      <x:c r="O1378" s="10" t="n">
        <x:f>AE1377*N1378</x:f>
        <x:v>180000</x:v>
      </x:c>
      <x:c r="P1378" s="9" t="n">
        <x:f>MIN(1,(AB1377/(AE1377*IF(v01_GroupInCrowding=1,N1378,MIN(J1378,L1378))))^v01_CrowdingExp)</x:f>
        <x:v>0.00010782975747127269</x:v>
      </x:c>
      <x:c r="Q1378" s="9" t="n">
        <x:f>IF(D1378=1,INDEX(v01_WinterMult,G1378),1)</x:f>
        <x:v>1</x:v>
      </x:c>
      <x:c r="R1378" s="9" t="n">
        <x:f>H1378*Z1377*v01_WomenShare*v01_BaseFertility*INDEX(v01_FertMult,G1378)*Arch_Fertility*(1-P1378)</x:f>
        <x:v>281.1422969502783</x:v>
      </x:c>
      <x:c r="S1378" s="9" t="n">
        <x:f>H1378*Y1377*INDEX(v01_MortChild,G1378)/4*Q1378</x:f>
        <x:v>9.802226846333491</x:v>
      </x:c>
      <x:c r="T1378" s="9" t="n">
        <x:f>H1378*Z1377*INDEX(v01_MortAdult,G1378)*Arch_AdultMort/4*Q1378</x:f>
        <x:v>10.650477868380284</x:v>
      </x:c>
      <x:c r="U1378" s="9" t="n">
        <x:f>H1378*AA1377*INDEX(v01_MortElder,G1378)/4*Q1378</x:f>
        <x:v>57.24827479841396</x:v>
      </x:c>
      <x:c r="V1378" s="9" t="n">
        <x:f>H1378*MAX(0,AB1377-O1378)*v01_OvercapLoss</x:f>
        <x:v>0</x:v>
      </x:c>
      <x:c r="W1378" s="9" t="n">
        <x:f>H1378*Y1377/(v01_ChildYears*4)</x:f>
        <x:v>233.38635348413072</x:v>
      </x:c>
      <x:c r="X1378" s="9" t="n">
        <x:f>H1378*Z1377/(v01_AdultYears*4)</x:f>
        <x:v>137.42552088232623</x:v>
      </x:c>
      <x:c r="Y1378" s="32" t="n">
        <x:f>Y1377+R1378-S1378-W1378-Y1377*V1378/AB1377</x:f>
        <x:v>13107.589511731134</x:v>
      </x:c>
      <x:c r="Z1378" s="32" t="n">
        <x:f>Z1377+W1378-X1378-T1378-Z1377*V1378/AB1377</x:f>
        <x:v>17126.074944141874</x:v>
      </x:c>
      <x:c r="AA1378" s="32" t="n">
        <x:f>AA1377+X1378-U1378-AA1377*V1378/AB1377</x:f>
        <x:v>9239.901213830146</x:v>
      </x:c>
      <x:c r="AB1378" s="10" t="n">
        <x:f>Y1378+Z1378+AA1378</x:f>
        <x:v>39473.56566970315</x:v>
      </x:c>
      <x:c r="AC1378" s="8" t="n">
        <x:f>IF(AND(v01_WinterTrigger=1,D1378=1,AB1377/AE1377&gt;=K1378),1,0)</x:f>
        <x:v>0</x:v>
      </x:c>
      <x:c r="AD1378" s="8" t="n">
        <x:f>H1378*IF(AND(OR(AB1377/AE1377&gt;=v01_FissionTrigger*N1378,AC1378=1),AB1377/AE1377*v01_DaughterShare&gt;=v01_MinDaughter),MAX(1,ROUND(AE1377*v01_FissionRate,0)),0)</x:f>
        <x:v>0</x:v>
      </x:c>
      <x:c r="AE1378" s="8" t="n">
        <x:f>IF(H1378=1,MAX(1,MIN(INDEX(v01_Smax,G1378),AE1377+AD1378)),AE1377)</x:f>
        <x:v>15</x:v>
      </x:c>
      <x:c r="AF1378" s="8" t="n">
        <x:f>MAX(0,AE1378-AE1377)</x:f>
        <x:v>0</x:v>
      </x:c>
      <x:c r="AG1378" s="9" t="str">
        <x:f>IF(AF1378&gt;0,B1378,"")</x:f>
      </x:c>
      <x:c r="AH1378" s="9" t="n">
        <x:f>IF(F1378&gt;=1,1,(1+v01_LowTiesShare*(AE1378-1))/AE1378)</x:f>
        <x:v>1</x:v>
      </x:c>
      <x:c r="AI1378" s="32" t="n">
        <x:f>(Z1378+v01_ElderCommons*INDEX(LM_Elder,G1378)*AA1378)*AH1378</x:f>
        <x:v>53466.9130039538</x:v>
      </x:c>
      <x:c r="AJ1378" s="32" t="n">
        <x:f>H1378*v01_CommonsCoef*AI1378^v01_CommonsExp*INDEX(LM_Commons,G1378)</x:f>
        <x:v>28039.63750737612</x:v>
      </x:c>
      <x:c r="AK1378" s="32" t="n">
        <x:f>H1378*v01_RoleScale*Arch_Roles*(AE1378*(INDEX(v01_ElderRolePerSett,G1378)*v01_OutElder*INDEX(LM_Elder,G1378)+INDEX(v01_ShamanPerSett,G1378)*v01_OutShaman)+Z1378*(INDEX(v01_PriestShare,G1378)*v01_OutPriest+INDEX(v01_ScribeShare,G1378)*v01_OutScribe*INDEX(LM_Scribe,G1378)+INDEX(v01_ScholarShare,G1378)*v01_OutScholar*INDEX(LM_Scholar,G1378)+INDEX(v01_ResearcherShare,G1378)*v01_OutResearcher*INDEX(LM_Researcher,G1378)))</x:f>
        <x:v>7761.879212581604</x:v>
      </x:c>
      <x:c r="AL1378" s="32" t="n">
        <x:f>H1378*v01_RoleScale*Arch_Roles*AE1378*INDEX(v01_MonasteryPerSett,G1378)*v01_OutMonastery*INDEX(LM_Monastery,G1378)</x:f>
        <x:v>3.3000000000000003</x:v>
      </x:c>
      <x:c r="AM1378" s="32" t="n">
        <x:f>(AJ1378+AK1378+AL1378)/4*INDEX(LM_All,G1378)*INDEX(v01_Boon,G1378)*Arch_Insight</x:f>
        <x:v>31005.98381626097</x:v>
      </x:c>
      <x:c r="AN1378" s="32" t="n">
        <x:f>H1378*(v01_KHPerAdult*Z1378+v01_KHOfCommons*AJ1378/4*INDEX(LM_All,G1378))*v01_KHUsable*Arch_KH</x:f>
        <x:v>599.4126230449656</x:v>
      </x:c>
      <x:c r="AO1378" s="32" t="n">
        <x:f>MIN(AP1377+AN1378,AM1378*v01_KHMaxRatio)</x:f>
        <x:v>599.4126230449656</x:v>
      </x:c>
      <x:c r="AP1378" s="32" t="n">
        <x:f>AP1377+AN1378-AO1378</x:f>
        <x:v>0</x:v>
      </x:c>
      <x:c r="AQ1378" s="32" t="n">
        <x:f>AM1378+AO1378</x:f>
        <x:v>31605.396439305936</x:v>
      </x:c>
      <x:c r="AR1378" s="10" t="n">
        <x:f>IF(H1378=1,INDEX(v01_Req,G1378),0)</x:f>
        <x:v>1845340.8943637449</x:v>
      </x:c>
      <x:c r="AS1378" s="32" t="n">
        <x:f>IF(H1378=1,IF(E1378=1,AS1377-AR1377,AS1377)+AQ1378,0)</x:f>
        <x:v>980451.3597979583</x:v>
      </x:c>
      <x:c r="AT1378" s="11" t="n">
        <x:f>IF(AR1378&gt;0,MIN(1,AS1378/AR1378),1)</x:f>
        <x:v>0.5313117824422399</x:v>
      </x:c>
      <x:c r="AU1378" s="10" t="n">
        <x:f>AB1378/INDEX(v01_RepScale,G1378)</x:f>
        <x:v>78.9471313394063</x:v>
      </x:c>
      <x:c r="AV1378" s="32" t="n">
        <x:f>AM1378*60/v01_SeasonSeconds</x:f>
        <x:v>124023.93526504388</x:v>
      </x:c>
    </x:row>
    <x:row r="1379">
      <x:c r="A1379" s="8" t="n">
        <x:f>A1378+1</x:f>
        <x:v>1376</x:v>
      </x:c>
      <x:c r="B1379" s="9" t="n">
        <x:f>A1379*v01_SeasonSeconds/60</x:f>
        <x:v>344</x:v>
      </x:c>
      <x:c r="C1379" s="9" t="n">
        <x:f>A1379/4</x:f>
        <x:v>344</x:v>
      </x:c>
      <x:c r="D1379" s="8" t="n">
        <x:f>IF(MOD(A1379,4)=0,1,0)</x:f>
        <x:v>1</x:v>
      </x:c>
      <x:c r="E1379" s="8" t="n">
        <x:f>IF(AND(F1378&lt;=9,AS1378&gt;=AR1378),1,0)</x:f>
        <x:v>0</x:v>
      </x:c>
      <x:c r="F1379" s="8" t="n">
        <x:f>MIN(10,F1378+E1379)</x:f>
        <x:v>9</x:v>
      </x:c>
      <x:c r="G1379" s="8" t="n">
        <x:f>MIN(F1379,9)+1</x:f>
        <x:v>10</x:v>
      </x:c>
      <x:c r="H1379" s="8" t="n">
        <x:f>IF(F1379&lt;=9,1,0)</x:f>
        <x:v>1</x:v>
      </x:c>
      <x:c r="I1379" s="9" t="n">
        <x:f>MIN(10,F1378+IF(AR1378&gt;0,MIN(1,AS1378/AR1378),1))</x:f>
        <x:v>9.53131178244224</x:v>
      </x:c>
      <x:c r="J1379" s="32" t="n">
        <x:f>INDEX(v01_FoodCap,G1379)*Arch_FoodCap*EXP(v01_CapsByProject*SUMPRODUCT((Cap_Point&lt;=I1379)*(Cap_Kind="Food")*Cap_Ln))</x:f>
        <x:v>12000</x:v>
      </x:c>
      <x:c r="K1379" s="32" t="n">
        <x:f>J1379*MIN(1,v01_LeanBase*EXP(v01_CapsByProject*SUMPRODUCT((Cap_Point&lt;=I1379)*(Cap_Kind="Lean")*Cap_Ln)))</x:f>
        <x:v>12000</x:v>
      </x:c>
      <x:c r="L1379" s="10" t="n">
        <x:f>INDEX(v01_HousingCap,G1379)*EXP(v01_CapsByProject*SUMPRODUCT((Cap_Point&lt;=I1379)*(Cap_Kind="Housing")*Cap_Ln))</x:f>
        <x:v>20000</x:v>
      </x:c>
      <x:c r="M1379" s="10" t="n">
        <x:f>INDEX(v01_GroupCap,G1379)*v01_CohesionFactor*EXP(v01_CapsByProject*SUMPRODUCT((Cap_Point&lt;=I1379)*(Cap_Kind="Group")*Cap_Ln))</x:f>
        <x:v>1000000</x:v>
      </x:c>
      <x:c r="N1379" s="32" t="n">
        <x:f>MIN(J1379,L1379,M1379)</x:f>
        <x:v>12000</x:v>
      </x:c>
      <x:c r="O1379" s="10" t="n">
        <x:f>AE1378*N1379</x:f>
        <x:v>180000</x:v>
      </x:c>
      <x:c r="P1379" s="9" t="n">
        <x:f>MIN(1,(AB1378/(AE1378*IF(v01_GroupInCrowding=1,N1379,MIN(J1379,L1379))))^v01_CrowdingExp)</x:f>
        <x:v>0.00011122518039399672</x:v>
      </x:c>
      <x:c r="Q1379" s="9" t="n">
        <x:f>IF(D1379=1,INDEX(v01_WinterMult,G1379),1)</x:f>
        <x:v>1</x:v>
      </x:c>
      <x:c r="R1379" s="9" t="n">
        <x:f>H1379*Z1378*v01_WomenShare*v01_BaseFertility*INDEX(v01_FertMult,G1379)*Arch_Fertility*(1-P1379)</x:f>
        <x:v>282.5488065405517</x:v>
      </x:c>
      <x:c r="S1379" s="9" t="n">
        <x:f>H1379*Y1378*INDEX(v01_MortChild,G1379)/4*Q1379</x:f>
        <x:v>9.830692133798351</x:v>
      </x:c>
      <x:c r="T1379" s="9" t="n">
        <x:f>H1379*Z1378*INDEX(v01_MortAdult,G1379)*Arch_AdultMort/4*Q1379</x:f>
        <x:v>10.703796840088671</x:v>
      </x:c>
      <x:c r="U1379" s="9" t="n">
        <x:f>H1379*AA1378*INDEX(v01_MortElder,G1379)/4*Q1379</x:f>
        <x:v>57.749382586438415</x:v>
      </x:c>
      <x:c r="V1379" s="9" t="n">
        <x:f>H1379*MAX(0,AB1378-O1379)*v01_OvercapLoss</x:f>
        <x:v>0</x:v>
      </x:c>
      <x:c r="W1379" s="9" t="n">
        <x:f>H1379*Y1378/(v01_ChildYears*4)</x:f>
        <x:v>234.06409842377025</x:v>
      </x:c>
      <x:c r="X1379" s="9" t="n">
        <x:f>H1379*Z1378/(v01_AdultYears*4)</x:f>
        <x:v>138.11350761404736</x:v>
      </x:c>
      <x:c r="Y1379" s="32" t="n">
        <x:f>Y1378+R1379-S1379-W1379-Y1378*V1379/AB1378</x:f>
        <x:v>13146.243527714116</x:v>
      </x:c>
      <x:c r="Z1379" s="32" t="n">
        <x:f>Z1378+W1379-X1379-T1379-Z1378*V1379/AB1378</x:f>
        <x:v>17211.321738111506</x:v>
      </x:c>
      <x:c r="AA1379" s="32" t="n">
        <x:f>AA1378+X1379-U1379-AA1378*V1379/AB1378</x:f>
        <x:v>9320.265338857755</x:v>
      </x:c>
      <x:c r="AB1379" s="10" t="n">
        <x:f>Y1379+Z1379+AA1379</x:f>
        <x:v>39677.830604683375</x:v>
      </x:c>
      <x:c r="AC1379" s="8" t="n">
        <x:f>IF(AND(v01_WinterTrigger=1,D1379=1,AB1378/AE1378&gt;=K1379),1,0)</x:f>
        <x:v>0</x:v>
      </x:c>
      <x:c r="AD1379" s="8" t="n">
        <x:f>H1379*IF(AND(OR(AB1378/AE1378&gt;=v01_FissionTrigger*N1379,AC1379=1),AB1378/AE1378*v01_DaughterShare&gt;=v01_MinDaughter),MAX(1,ROUND(AE1378*v01_FissionRate,0)),0)</x:f>
        <x:v>0</x:v>
      </x:c>
      <x:c r="AE1379" s="8" t="n">
        <x:f>IF(H1379=1,MAX(1,MIN(INDEX(v01_Smax,G1379),AE1378+AD1379)),AE1378)</x:f>
        <x:v>15</x:v>
      </x:c>
      <x:c r="AF1379" s="8" t="n">
        <x:f>MAX(0,AE1379-AE1378)</x:f>
        <x:v>0</x:v>
      </x:c>
      <x:c r="AG1379" s="9" t="str">
        <x:f>IF(AF1379&gt;0,B1379,"")</x:f>
      </x:c>
      <x:c r="AH1379" s="9" t="n">
        <x:f>IF(F1379&gt;=1,1,(1+v01_LowTiesShare*(AE1379-1))/AE1379)</x:f>
        <x:v>1</x:v>
      </x:c>
      <x:c r="AI1379" s="32" t="n">
        <x:f>(Z1379+v01_ElderCommons*INDEX(LM_Elder,G1379)*AA1379)*AH1379</x:f>
        <x:v>53868.23456818996</x:v>
      </x:c>
      <x:c r="AJ1379" s="32" t="n">
        <x:f>H1379*v01_CommonsCoef*AI1379^v01_CommonsExp*INDEX(LM_Commons,G1379)</x:f>
        <x:v>28218.43229490356</x:v>
      </x:c>
      <x:c r="AK1379" s="32" t="n">
        <x:f>H1379*v01_RoleScale*Arch_Roles*(AE1379*(INDEX(v01_ElderRolePerSett,G1379)*v01_OutElder*INDEX(LM_Elder,G1379)+INDEX(v01_ShamanPerSett,G1379)*v01_OutShaman)+Z1379*(INDEX(v01_PriestShare,G1379)*v01_OutPriest+INDEX(v01_ScribeShare,G1379)*v01_OutScribe*INDEX(LM_Scribe,G1379)+INDEX(v01_ScholarShare,G1379)*v01_OutScholar*INDEX(LM_Scholar,G1379)+INDEX(v01_ResearcherShare,G1379)*v01_OutResearcher*INDEX(LM_Researcher,G1379)))</x:f>
        <x:v>7800.255938060867</x:v>
      </x:c>
      <x:c r="AL1379" s="32" t="n">
        <x:f>H1379*v01_RoleScale*Arch_Roles*AE1379*INDEX(v01_MonasteryPerSett,G1379)*v01_OutMonastery*INDEX(LM_Monastery,G1379)</x:f>
        <x:v>3.3000000000000003</x:v>
      </x:c>
      <x:c r="AM1379" s="32" t="n">
        <x:f>(AJ1379+AK1379+AL1379)/4*INDEX(LM_All,G1379)*INDEX(v01_Boon,G1379)*Arch_Insight</x:f>
        <x:v>31194.048357138377</x:v>
      </x:c>
      <x:c r="AN1379" s="32" t="n">
        <x:f>H1379*(v01_KHPerAdult*Z1379+v01_KHOfCommons*AJ1379/4*INDEX(LM_All,G1379))*v01_KHUsable*Arch_KH</x:f>
        <x:v>602.3962608339027</x:v>
      </x:c>
      <x:c r="AO1379" s="32" t="n">
        <x:f>MIN(AP1378+AN1379,AM1379*v01_KHMaxRatio)</x:f>
        <x:v>602.3962608339027</x:v>
      </x:c>
      <x:c r="AP1379" s="32" t="n">
        <x:f>AP1378+AN1379-AO1379</x:f>
        <x:v>0</x:v>
      </x:c>
      <x:c r="AQ1379" s="32" t="n">
        <x:f>AM1379+AO1379</x:f>
        <x:v>31796.44461797228</x:v>
      </x:c>
      <x:c r="AR1379" s="10" t="n">
        <x:f>IF(H1379=1,INDEX(v01_Req,G1379),0)</x:f>
        <x:v>1845340.8943637449</x:v>
      </x:c>
      <x:c r="AS1379" s="32" t="n">
        <x:f>IF(H1379=1,IF(E1379=1,AS1378-AR1378,AS1378)+AQ1379,0)</x:f>
        <x:v>1012247.8044159305</x:v>
      </x:c>
      <x:c r="AT1379" s="11" t="n">
        <x:f>IF(AR1379&gt;0,MIN(1,AS1379/AR1379),1)</x:f>
        <x:v>0.5485424441129851</x:v>
      </x:c>
      <x:c r="AU1379" s="10" t="n">
        <x:f>AB1379/INDEX(v01_RepScale,G1379)</x:f>
        <x:v>79.35566120936674</x:v>
      </x:c>
      <x:c r="AV1379" s="32" t="n">
        <x:f>AM1379*60/v01_SeasonSeconds</x:f>
        <x:v>124776.19342855351</x:v>
      </x:c>
    </x:row>
    <x:row r="1380">
      <x:c r="A1380" s="8" t="n">
        <x:f>A1379+1</x:f>
        <x:v>1377</x:v>
      </x:c>
      <x:c r="B1380" s="9" t="n">
        <x:f>A1380*v01_SeasonSeconds/60</x:f>
        <x:v>344.25</x:v>
      </x:c>
      <x:c r="C1380" s="9" t="n">
        <x:f>A1380/4</x:f>
        <x:v>344.25</x:v>
      </x:c>
      <x:c r="D1380" s="8" t="n">
        <x:f>IF(MOD(A1380,4)=0,1,0)</x:f>
        <x:v>0</x:v>
      </x:c>
      <x:c r="E1380" s="8" t="n">
        <x:f>IF(AND(F1379&lt;=9,AS1379&gt;=AR1379),1,0)</x:f>
        <x:v>0</x:v>
      </x:c>
      <x:c r="F1380" s="8" t="n">
        <x:f>MIN(10,F1379+E1380)</x:f>
        <x:v>9</x:v>
      </x:c>
      <x:c r="G1380" s="8" t="n">
        <x:f>MIN(F1380,9)+1</x:f>
        <x:v>10</x:v>
      </x:c>
      <x:c r="H1380" s="8" t="n">
        <x:f>IF(F1380&lt;=9,1,0)</x:f>
        <x:v>1</x:v>
      </x:c>
      <x:c r="I1380" s="9" t="n">
        <x:f>MIN(10,F1379+IF(AR1379&gt;0,MIN(1,AS1379/AR1379),1))</x:f>
        <x:v>9.548542444112986</x:v>
      </x:c>
      <x:c r="J1380" s="32" t="n">
        <x:f>INDEX(v01_FoodCap,G1380)*Arch_FoodCap*EXP(v01_CapsByProject*SUMPRODUCT((Cap_Point&lt;=I1380)*(Cap_Kind="Food")*Cap_Ln))</x:f>
        <x:v>12000</x:v>
      </x:c>
      <x:c r="K1380" s="32" t="n">
        <x:f>J1380*MIN(1,v01_LeanBase*EXP(v01_CapsByProject*SUMPRODUCT((Cap_Point&lt;=I1380)*(Cap_Kind="Lean")*Cap_Ln)))</x:f>
        <x:v>12000</x:v>
      </x:c>
      <x:c r="L1380" s="10" t="n">
        <x:f>INDEX(v01_HousingCap,G1380)*EXP(v01_CapsByProject*SUMPRODUCT((Cap_Point&lt;=I1380)*(Cap_Kind="Housing")*Cap_Ln))</x:f>
        <x:v>20000</x:v>
      </x:c>
      <x:c r="M1380" s="10" t="n">
        <x:f>INDEX(v01_GroupCap,G1380)*v01_CohesionFactor*EXP(v01_CapsByProject*SUMPRODUCT((Cap_Point&lt;=I1380)*(Cap_Kind="Group")*Cap_Ln))</x:f>
        <x:v>1000000</x:v>
      </x:c>
      <x:c r="N1380" s="32" t="n">
        <x:f>MIN(J1380,L1380,M1380)</x:f>
        <x:v>12000</x:v>
      </x:c>
      <x:c r="O1380" s="10" t="n">
        <x:f>AE1379*N1380</x:f>
        <x:v>180000</x:v>
      </x:c>
      <x:c r="P1380" s="9" t="n">
        <x:f>MIN(1,(AB1379/(AE1379*IF(v01_GroupInCrowding=1,N1380,MIN(J1380,L1380))))^v01_CrowdingExp)</x:f>
        <x:v>0.0001147235251402877</x:v>
      </x:c>
      <x:c r="Q1380" s="9" t="n">
        <x:f>IF(D1380=1,INDEX(v01_WinterMult,G1380),1)</x:f>
        <x:v>1</x:v>
      </x:c>
      <x:c r="R1380" s="9" t="n">
        <x:f>H1380*Z1379*v01_WomenShare*v01_BaseFertility*INDEX(v01_FertMult,G1380)*Arch_Fertility*(1-P1380)</x:f>
        <x:v>283.9542287110549</x:v>
      </x:c>
      <x:c r="S1380" s="9" t="n">
        <x:f>H1380*Y1379*INDEX(v01_MortChild,G1380)/4*Q1380</x:f>
        <x:v>9.859682645785586</x:v>
      </x:c>
      <x:c r="T1380" s="9" t="n">
        <x:f>H1380*Z1379*INDEX(v01_MortAdult,G1380)*Arch_AdultMort/4*Q1380</x:f>
        <x:v>10.757076086319692</x:v>
      </x:c>
      <x:c r="U1380" s="9" t="n">
        <x:f>H1380*AA1379*INDEX(v01_MortElder,G1380)/4*Q1380</x:f>
        <x:v>58.25165836786097</x:v>
      </x:c>
      <x:c r="V1380" s="9" t="n">
        <x:f>H1380*MAX(0,AB1379-O1380)*v01_OvercapLoss</x:f>
        <x:v>0</x:v>
      </x:c>
      <x:c r="W1380" s="9" t="n">
        <x:f>H1380*Y1379/(v01_ChildYears*4)</x:f>
        <x:v>234.75434870918065</x:v>
      </x:c>
      <x:c r="X1380" s="9" t="n">
        <x:f>H1380*Z1379/(v01_AdultYears*4)</x:f>
        <x:v>138.80098175896376</x:v>
      </x:c>
      <x:c r="Y1380" s="32" t="n">
        <x:f>Y1379+R1380-S1380-W1380-Y1379*V1380/AB1379</x:f>
        <x:v>13185.583725070204</x:v>
      </x:c>
      <x:c r="Z1380" s="32" t="n">
        <x:f>Z1379+W1380-X1380-T1380-Z1379*V1380/AB1379</x:f>
        <x:v>17296.518028975403</x:v>
      </x:c>
      <x:c r="AA1380" s="32" t="n">
        <x:f>AA1379+X1380-U1380-AA1379*V1380/AB1379</x:f>
        <x:v>9400.814662248858</x:v>
      </x:c>
      <x:c r="AB1380" s="10" t="n">
        <x:f>Y1380+Z1380+AA1380</x:f>
        <x:v>39882.916416294465</x:v>
      </x:c>
      <x:c r="AC1380" s="8" t="n">
        <x:f>IF(AND(v01_WinterTrigger=1,D1380=1,AB1379/AE1379&gt;=K1380),1,0)</x:f>
        <x:v>0</x:v>
      </x:c>
      <x:c r="AD1380" s="8" t="n">
        <x:f>H1380*IF(AND(OR(AB1379/AE1379&gt;=v01_FissionTrigger*N1380,AC1380=1),AB1379/AE1379*v01_DaughterShare&gt;=v01_MinDaughter),MAX(1,ROUND(AE1379*v01_FissionRate,0)),0)</x:f>
        <x:v>0</x:v>
      </x:c>
      <x:c r="AE1380" s="8" t="n">
        <x:f>IF(H1380=1,MAX(1,MIN(INDEX(v01_Smax,G1380),AE1379+AD1380)),AE1379)</x:f>
        <x:v>15</x:v>
      </x:c>
      <x:c r="AF1380" s="8" t="n">
        <x:f>MAX(0,AE1380-AE1379)</x:f>
        <x:v>0</x:v>
      </x:c>
      <x:c r="AG1380" s="9" t="str">
        <x:f>IF(AF1380&gt;0,B1380,"")</x:f>
      </x:c>
      <x:c r="AH1380" s="9" t="n">
        <x:f>IF(F1380&gt;=1,1,(1+v01_LowTiesShare*(AE1380-1))/AE1380)</x:f>
        <x:v>1</x:v>
      </x:c>
      <x:c r="AI1380" s="32" t="n">
        <x:f>(Z1380+v01_ElderCommons*INDEX(LM_Elder,G1380)*AA1380)*AH1380</x:f>
        <x:v>54270.234020629025</x:v>
      </x:c>
      <x:c r="AJ1380" s="32" t="n">
        <x:f>H1380*v01_CommonsCoef*AI1380^v01_CommonsExp*INDEX(LM_Commons,G1380)</x:f>
        <x:v>28397.328891358433</x:v>
      </x:c>
      <x:c r="AK1380" s="32" t="n">
        <x:f>H1380*v01_RoleScale*Arch_Roles*(AE1380*(INDEX(v01_ElderRolePerSett,G1380)*v01_OutElder*INDEX(LM_Elder,G1380)+INDEX(v01_ShamanPerSett,G1380)*v01_OutShaman)+Z1380*(INDEX(v01_PriestShare,G1380)*v01_OutPriest+INDEX(v01_ScribeShare,G1380)*v01_OutScribe*INDEX(LM_Scribe,G1380)+INDEX(v01_ScholarShare,G1380)*v01_OutScholar*INDEX(LM_Scholar,G1380)+INDEX(v01_ResearcherShare,G1380)*v01_OutResearcher*INDEX(LM_Researcher,G1380)))</x:f>
        <x:v>7838.609927860177</x:v>
      </x:c>
      <x:c r="AL1380" s="32" t="n">
        <x:f>H1380*v01_RoleScale*Arch_Roles*AE1380*INDEX(v01_MonasteryPerSett,G1380)*v01_OutMonastery*INDEX(LM_Monastery,G1380)</x:f>
        <x:v>3.3000000000000003</x:v>
      </x:c>
      <x:c r="AM1380" s="32" t="n">
        <x:f>(AJ1380+AK1380+AL1380)/4*INDEX(LM_All,G1380)*INDEX(v01_Boon,G1380)*Arch_Insight</x:f>
        <x:v>31382.18137326734</x:v>
      </x:c>
      <x:c r="AN1380" s="32" t="n">
        <x:f>H1380*(v01_KHPerAdult*Z1380+v01_KHOfCommons*AJ1380/4*INDEX(LM_All,G1380))*v01_KHUsable*Arch_KH</x:f>
        <x:v>605.3781310141391</x:v>
      </x:c>
      <x:c r="AO1380" s="32" t="n">
        <x:f>MIN(AP1379+AN1380,AM1380*v01_KHMaxRatio)</x:f>
        <x:v>605.3781310141391</x:v>
      </x:c>
      <x:c r="AP1380" s="32" t="n">
        <x:f>AP1379+AN1380-AO1380</x:f>
        <x:v>0</x:v>
      </x:c>
      <x:c r="AQ1380" s="32" t="n">
        <x:f>AM1380+AO1380</x:f>
        <x:v>31987.55950428148</x:v>
      </x:c>
      <x:c r="AR1380" s="10" t="n">
        <x:f>IF(H1380=1,INDEX(v01_Req,G1380),0)</x:f>
        <x:v>1845340.8943637449</x:v>
      </x:c>
      <x:c r="AS1380" s="32" t="n">
        <x:f>IF(H1380=1,IF(E1380=1,AS1379-AR1379,AS1379)+AQ1380,0)</x:f>
        <x:v>1044235.363920212</x:v>
      </x:c>
      <x:c r="AT1380" s="11" t="n">
        <x:f>IF(AR1380&gt;0,MIN(1,AS1380/AR1380),1)</x:f>
        <x:v>0.565876671952395</x:v>
      </x:c>
      <x:c r="AU1380" s="10" t="n">
        <x:f>AB1380/INDEX(v01_RepScale,G1380)</x:f>
        <x:v>79.76583283258893</x:v>
      </x:c>
      <x:c r="AV1380" s="32" t="n">
        <x:f>AM1380*60/v01_SeasonSeconds</x:f>
        <x:v>125528.72549306936</x:v>
      </x:c>
    </x:row>
    <x:row r="1381">
      <x:c r="A1381" s="8" t="n">
        <x:f>A1380+1</x:f>
        <x:v>1378</x:v>
      </x:c>
      <x:c r="B1381" s="9" t="n">
        <x:f>A1381*v01_SeasonSeconds/60</x:f>
        <x:v>344.5</x:v>
      </x:c>
      <x:c r="C1381" s="9" t="n">
        <x:f>A1381/4</x:f>
        <x:v>344.5</x:v>
      </x:c>
      <x:c r="D1381" s="8" t="n">
        <x:f>IF(MOD(A1381,4)=0,1,0)</x:f>
        <x:v>0</x:v>
      </x:c>
      <x:c r="E1381" s="8" t="n">
        <x:f>IF(AND(F1380&lt;=9,AS1380&gt;=AR1380),1,0)</x:f>
        <x:v>0</x:v>
      </x:c>
      <x:c r="F1381" s="8" t="n">
        <x:f>MIN(10,F1380+E1381)</x:f>
        <x:v>9</x:v>
      </x:c>
      <x:c r="G1381" s="8" t="n">
        <x:f>MIN(F1381,9)+1</x:f>
        <x:v>10</x:v>
      </x:c>
      <x:c r="H1381" s="8" t="n">
        <x:f>IF(F1381&lt;=9,1,0)</x:f>
        <x:v>1</x:v>
      </x:c>
      <x:c r="I1381" s="9" t="n">
        <x:f>MIN(10,F1380+IF(AR1380&gt;0,MIN(1,AS1380/AR1380),1))</x:f>
        <x:v>9.565876671952395</x:v>
      </x:c>
      <x:c r="J1381" s="32" t="n">
        <x:f>INDEX(v01_FoodCap,G1381)*Arch_FoodCap*EXP(v01_CapsByProject*SUMPRODUCT((Cap_Point&lt;=I1381)*(Cap_Kind="Food")*Cap_Ln))</x:f>
        <x:v>12000</x:v>
      </x:c>
      <x:c r="K1381" s="32" t="n">
        <x:f>J1381*MIN(1,v01_LeanBase*EXP(v01_CapsByProject*SUMPRODUCT((Cap_Point&lt;=I1381)*(Cap_Kind="Lean")*Cap_Ln)))</x:f>
        <x:v>12000</x:v>
      </x:c>
      <x:c r="L1381" s="10" t="n">
        <x:f>INDEX(v01_HousingCap,G1381)*EXP(v01_CapsByProject*SUMPRODUCT((Cap_Point&lt;=I1381)*(Cap_Kind="Housing")*Cap_Ln))</x:f>
        <x:v>20000</x:v>
      </x:c>
      <x:c r="M1381" s="10" t="n">
        <x:f>INDEX(v01_GroupCap,G1381)*v01_CohesionFactor*EXP(v01_CapsByProject*SUMPRODUCT((Cap_Point&lt;=I1381)*(Cap_Kind="Group")*Cap_Ln))</x:f>
        <x:v>1000000</x:v>
      </x:c>
      <x:c r="N1381" s="32" t="n">
        <x:f>MIN(J1381,L1381,M1381)</x:f>
        <x:v>12000</x:v>
      </x:c>
      <x:c r="O1381" s="10" t="n">
        <x:f>AE1380*N1381</x:f>
        <x:v>180000</x:v>
      </x:c>
      <x:c r="P1381" s="9" t="n">
        <x:f>MIN(1,(AB1380/(AE1380*IF(v01_GroupInCrowding=1,N1381,MIN(J1381,L1381))))^v01_CrowdingExp)</x:f>
        <x:v>0.00011832769903940508</x:v>
      </x:c>
      <x:c r="Q1381" s="9" t="n">
        <x:f>IF(D1381=1,INDEX(v01_WinterMult,G1381),1)</x:f>
        <x:v>1</x:v>
      </x:c>
      <x:c r="R1381" s="9" t="n">
        <x:f>H1381*Z1380*v01_WomenShare*v01_BaseFertility*INDEX(v01_FertMult,G1381)*Arch_Fertility*(1-P1381)</x:f>
        <x:v>285.3587776346281</x:v>
      </x:c>
      <x:c r="S1381" s="9" t="n">
        <x:f>H1381*Y1380*INDEX(v01_MortChild,G1381)/4*Q1381</x:f>
        <x:v>9.889187793802654</x:v>
      </x:c>
      <x:c r="T1381" s="9" t="n">
        <x:f>H1381*Z1380*INDEX(v01_MortAdult,G1381)*Arch_AdultMort/4*Q1381</x:f>
        <x:v>10.810323768109626</x:v>
      </x:c>
      <x:c r="U1381" s="9" t="n">
        <x:f>H1381*AA1380*INDEX(v01_MortElder,G1381)/4*Q1381</x:f>
        <x:v>58.755091639055365</x:v>
      </x:c>
      <x:c r="V1381" s="9" t="n">
        <x:f>H1381*MAX(0,AB1380-O1381)*v01_OvercapLoss</x:f>
        <x:v>0</x:v>
      </x:c>
      <x:c r="W1381" s="9" t="n">
        <x:f>H1381*Y1380/(v01_ChildYears*4)</x:f>
        <x:v>235.45685223339652</x:v>
      </x:c>
      <x:c r="X1381" s="9" t="n">
        <x:f>H1381*Z1380/(v01_AdultYears*4)</x:f>
        <x:v>139.48804862076938</x:v>
      </x:c>
      <x:c r="Y1381" s="32" t="n">
        <x:f>Y1380+R1381-S1381-W1381-Y1380*V1381/AB1380</x:f>
        <x:v>13225.596462677635</x:v>
      </x:c>
      <x:c r="Z1381" s="32" t="n">
        <x:f>Z1380+W1381-X1381-T1381-Z1380*V1381/AB1380</x:f>
        <x:v>17381.67650881992</x:v>
      </x:c>
      <x:c r="AA1381" s="32" t="n">
        <x:f>AA1380+X1381-U1381-AA1380*V1381/AB1380</x:f>
        <x:v>9481.547619230572</x:v>
      </x:c>
      <x:c r="AB1381" s="10" t="n">
        <x:f>Y1381+Z1381+AA1381</x:f>
        <x:v>40088.82059072813</x:v>
      </x:c>
      <x:c r="AC1381" s="8" t="n">
        <x:f>IF(AND(v01_WinterTrigger=1,D1381=1,AB1380/AE1380&gt;=K1381),1,0)</x:f>
        <x:v>0</x:v>
      </x:c>
      <x:c r="AD1381" s="8" t="n">
        <x:f>H1381*IF(AND(OR(AB1380/AE1380&gt;=v01_FissionTrigger*N1381,AC1381=1),AB1380/AE1380*v01_DaughterShare&gt;=v01_MinDaughter),MAX(1,ROUND(AE1380*v01_FissionRate,0)),0)</x:f>
        <x:v>0</x:v>
      </x:c>
      <x:c r="AE1381" s="8" t="n">
        <x:f>IF(H1381=1,MAX(1,MIN(INDEX(v01_Smax,G1381),AE1380+AD1381)),AE1380)</x:f>
        <x:v>15</x:v>
      </x:c>
      <x:c r="AF1381" s="8" t="n">
        <x:f>MAX(0,AE1381-AE1380)</x:f>
        <x:v>0</x:v>
      </x:c>
      <x:c r="AG1381" s="9" t="str">
        <x:f>IF(AF1381&gt;0,B1381,"")</x:f>
      </x:c>
      <x:c r="AH1381" s="9" t="n">
        <x:f>IF(F1381&gt;=1,1,(1+v01_LowTiesShare*(AE1381-1))/AE1381)</x:f>
        <x:v>1</x:v>
      </x:c>
      <x:c r="AI1381" s="32" t="n">
        <x:f>(Z1381+v01_ElderCommons*INDEX(LM_Elder,G1381)*AA1381)*AH1381</x:f>
        <x:v>54672.917899053646</x:v>
      </x:c>
      <x:c r="AJ1381" s="32" t="n">
        <x:f>H1381*v01_CommonsCoef*AI1381^v01_CommonsExp*INDEX(LM_Commons,G1381)</x:f>
        <x:v>28576.330897905867</x:v>
      </x:c>
      <x:c r="AK1381" s="32" t="n">
        <x:f>H1381*v01_RoleScale*Arch_Roles*(AE1381*(INDEX(v01_ElderRolePerSett,G1381)*v01_OutElder*INDEX(LM_Elder,G1381)+INDEX(v01_ShamanPerSett,G1381)*v01_OutShaman)+Z1381*(INDEX(v01_PriestShare,G1381)*v01_OutPriest+INDEX(v01_ScribeShare,G1381)*v01_OutScribe*INDEX(LM_Scribe,G1381)+INDEX(v01_ScholarShare,G1381)*v01_OutScholar*INDEX(LM_Scholar,G1381)+INDEX(v01_ResearcherShare,G1381)*v01_OutResearcher*INDEX(LM_Researcher,G1381)))</x:f>
        <x:v>7876.946895751175</x:v>
      </x:c>
      <x:c r="AL1381" s="32" t="n">
        <x:f>H1381*v01_RoleScale*Arch_Roles*AE1381*INDEX(v01_MonasteryPerSett,G1381)*v01_OutMonastery*INDEX(LM_Monastery,G1381)</x:f>
        <x:v>3.3000000000000003</x:v>
      </x:c>
      <x:c r="AM1381" s="32" t="n">
        <x:f>(AJ1381+AK1381+AL1381)/4*INDEX(LM_All,G1381)*INDEX(v01_Boon,G1381)*Arch_Insight</x:f>
        <x:v>31570.390931126207</x:v>
      </x:c>
      <x:c r="AN1381" s="32" t="n">
        <x:f>H1381*(v01_KHPerAdult*Z1381+v01_KHOfCommons*AJ1381/4*INDEX(LM_All,G1381))*v01_KHUsable*Arch_KH</x:f>
        <x:v>608.3586778086972</x:v>
      </x:c>
      <x:c r="AO1381" s="32" t="n">
        <x:f>MIN(AP1380+AN1381,AM1381*v01_KHMaxRatio)</x:f>
        <x:v>608.3586778086972</x:v>
      </x:c>
      <x:c r="AP1381" s="32" t="n">
        <x:f>AP1380+AN1381-AO1381</x:f>
        <x:v>0</x:v>
      </x:c>
      <x:c r="AQ1381" s="32" t="n">
        <x:f>AM1381+AO1381</x:f>
        <x:v>32178.749608934904</x:v>
      </x:c>
      <x:c r="AR1381" s="10" t="n">
        <x:f>IF(H1381=1,INDEX(v01_Req,G1381),0)</x:f>
        <x:v>1845340.8943637449</x:v>
      </x:c>
      <x:c r="AS1381" s="32" t="n">
        <x:f>IF(H1381=1,IF(E1381=1,AS1380-AR1380,AS1380)+AQ1381,0)</x:f>
        <x:v>1076414.1135291469</x:v>
      </x:c>
      <x:c r="AT1381" s="11" t="n">
        <x:f>IF(AR1381&gt;0,MIN(1,AS1381/AR1381),1)</x:f>
        <x:v>0.5833145067216883</x:v>
      </x:c>
      <x:c r="AU1381" s="10" t="n">
        <x:f>AB1381/INDEX(v01_RepScale,G1381)</x:f>
        <x:v>80.17764118145627</x:v>
      </x:c>
      <x:c r="AV1381" s="32" t="n">
        <x:f>AM1381*60/v01_SeasonSeconds</x:f>
        <x:v>126281.56372450483</x:v>
      </x:c>
    </x:row>
    <x:row r="1382">
      <x:c r="A1382" s="8" t="n">
        <x:f>A1381+1</x:f>
        <x:v>1379</x:v>
      </x:c>
      <x:c r="B1382" s="9" t="n">
        <x:f>A1382*v01_SeasonSeconds/60</x:f>
        <x:v>344.75</x:v>
      </x:c>
      <x:c r="C1382" s="9" t="n">
        <x:f>A1382/4</x:f>
        <x:v>344.75</x:v>
      </x:c>
      <x:c r="D1382" s="8" t="n">
        <x:f>IF(MOD(A1382,4)=0,1,0)</x:f>
        <x:v>0</x:v>
      </x:c>
      <x:c r="E1382" s="8" t="n">
        <x:f>IF(AND(F1381&lt;=9,AS1381&gt;=AR1381),1,0)</x:f>
        <x:v>0</x:v>
      </x:c>
      <x:c r="F1382" s="8" t="n">
        <x:f>MIN(10,F1381+E1382)</x:f>
        <x:v>9</x:v>
      </x:c>
      <x:c r="G1382" s="8" t="n">
        <x:f>MIN(F1382,9)+1</x:f>
        <x:v>10</x:v>
      </x:c>
      <x:c r="H1382" s="8" t="n">
        <x:f>IF(F1382&lt;=9,1,0)</x:f>
        <x:v>1</x:v>
      </x:c>
      <x:c r="I1382" s="9" t="n">
        <x:f>MIN(10,F1381+IF(AR1381&gt;0,MIN(1,AS1381/AR1381),1))</x:f>
        <x:v>9.583314506721688</x:v>
      </x:c>
      <x:c r="J1382" s="32" t="n">
        <x:f>INDEX(v01_FoodCap,G1382)*Arch_FoodCap*EXP(v01_CapsByProject*SUMPRODUCT((Cap_Point&lt;=I1382)*(Cap_Kind="Food")*Cap_Ln))</x:f>
        <x:v>12000</x:v>
      </x:c>
      <x:c r="K1382" s="32" t="n">
        <x:f>J1382*MIN(1,v01_LeanBase*EXP(v01_CapsByProject*SUMPRODUCT((Cap_Point&lt;=I1382)*(Cap_Kind="Lean")*Cap_Ln)))</x:f>
        <x:v>12000</x:v>
      </x:c>
      <x:c r="L1382" s="10" t="n">
        <x:f>INDEX(v01_HousingCap,G1382)*EXP(v01_CapsByProject*SUMPRODUCT((Cap_Point&lt;=I1382)*(Cap_Kind="Housing")*Cap_Ln))</x:f>
        <x:v>20000</x:v>
      </x:c>
      <x:c r="M1382" s="10" t="n">
        <x:f>INDEX(v01_GroupCap,G1382)*v01_CohesionFactor*EXP(v01_CapsByProject*SUMPRODUCT((Cap_Point&lt;=I1382)*(Cap_Kind="Group")*Cap_Ln))</x:f>
        <x:v>1000000</x:v>
      </x:c>
      <x:c r="N1382" s="32" t="n">
        <x:f>MIN(J1382,L1382,M1382)</x:f>
        <x:v>12000</x:v>
      </x:c>
      <x:c r="O1382" s="10" t="n">
        <x:f>AE1381*N1382</x:f>
        <x:v>180000</x:v>
      </x:c>
      <x:c r="P1382" s="9" t="n">
        <x:f>MIN(1,(AB1381/(AE1381*IF(v01_GroupInCrowding=1,N1382,MIN(J1382,L1382))))^v01_CrowdingExp)</x:f>
        <x:v>0.00012204068780360952</x:v>
      </x:c>
      <x:c r="Q1382" s="9" t="n">
        <x:f>IF(D1382=1,INDEX(v01_WinterMult,G1382),1)</x:f>
        <x:v>1</x:v>
      </x:c>
      <x:c r="R1382" s="9" t="n">
        <x:f>H1382*Z1381*v01_WomenShare*v01_BaseFertility*INDEX(v01_FertMult,G1382)*Arch_Fertility*(1-P1382)</x:f>
        <x:v>286.76266141154946</x:v>
      </x:c>
      <x:c r="S1382" s="9" t="n">
        <x:f>H1382*Y1381*INDEX(v01_MortChild,G1382)/4*Q1382</x:f>
        <x:v>9.919197347008227</x:v>
      </x:c>
      <x:c r="T1382" s="9" t="n">
        <x:f>H1382*Z1381*INDEX(v01_MortAdult,G1382)*Arch_AdultMort/4*Q1382</x:f>
        <x:v>10.863547818012451</x:v>
      </x:c>
      <x:c r="U1382" s="9" t="n">
        <x:f>H1382*AA1381*INDEX(v01_MortElder,G1382)/4*Q1382</x:f>
        <x:v>59.25967262019108</x:v>
      </x:c>
      <x:c r="V1382" s="9" t="n">
        <x:f>H1382*MAX(0,AB1381-O1382)*v01_OvercapLoss</x:f>
        <x:v>0</x:v>
      </x:c>
      <x:c r="W1382" s="9" t="n">
        <x:f>H1382*Y1381/(v01_ChildYears*4)</x:f>
        <x:v>236.17136540495775</x:v>
      </x:c>
      <x:c r="X1382" s="9" t="n">
        <x:f>H1382*Z1381/(v01_AdultYears*4)</x:f>
        <x:v>140.17481055499937</x:v>
      </x:c>
      <x:c r="Y1382" s="32" t="n">
        <x:f>Y1381+R1382-S1382-W1382-Y1381*V1382/AB1381</x:f>
        <x:v>13266.268561337218</x:v>
      </x:c>
      <x:c r="Z1382" s="32" t="n">
        <x:f>Z1381+W1382-X1382-T1382-Z1381*V1382/AB1381</x:f>
        <x:v>17466.809515851866</x:v>
      </x:c>
      <x:c r="AA1382" s="32" t="n">
        <x:f>AA1381+X1382-U1382-AA1381*V1382/AB1381</x:f>
        <x:v>9562.46275716538</x:v>
      </x:c>
      <x:c r="AB1382" s="10" t="n">
        <x:f>Y1382+Z1382+AA1382</x:f>
        <x:v>40295.54083435447</x:v>
      </x:c>
      <x:c r="AC1382" s="8" t="n">
        <x:f>IF(AND(v01_WinterTrigger=1,D1382=1,AB1381/AE1381&gt;=K1382),1,0)</x:f>
        <x:v>0</x:v>
      </x:c>
      <x:c r="AD1382" s="8" t="n">
        <x:f>H1382*IF(AND(OR(AB1381/AE1381&gt;=v01_FissionTrigger*N1382,AC1382=1),AB1381/AE1381*v01_DaughterShare&gt;=v01_MinDaughter),MAX(1,ROUND(AE1381*v01_FissionRate,0)),0)</x:f>
        <x:v>0</x:v>
      </x:c>
      <x:c r="AE1382" s="8" t="n">
        <x:f>IF(H1382=1,MAX(1,MIN(INDEX(v01_Smax,G1382),AE1381+AD1382)),AE1381)</x:f>
        <x:v>15</x:v>
      </x:c>
      <x:c r="AF1382" s="8" t="n">
        <x:f>MAX(0,AE1382-AE1381)</x:f>
        <x:v>0</x:v>
      </x:c>
      <x:c r="AG1382" s="9" t="str">
        <x:f>IF(AF1382&gt;0,B1382,"")</x:f>
      </x:c>
      <x:c r="AH1382" s="9" t="n">
        <x:f>IF(F1382&gt;=1,1,(1+v01_LowTiesShare*(AE1382-1))/AE1382)</x:f>
        <x:v>1</x:v>
      </x:c>
      <x:c r="AI1382" s="32" t="n">
        <x:f>(Z1382+v01_ElderCommons*INDEX(LM_Elder,G1382)*AA1382)*AH1382</x:f>
        <x:v>55076.29282839909</x:v>
      </x:c>
      <x:c r="AJ1382" s="32" t="n">
        <x:f>H1382*v01_CommonsCoef*AI1382^v01_CommonsExp*INDEX(LM_Commons,G1382)</x:f>
        <x:v>28755.441929997796</x:v>
      </x:c>
      <x:c r="AK1382" s="32" t="n">
        <x:f>H1382*v01_RoleScale*Arch_Roles*(AE1382*(INDEX(v01_ElderRolePerSett,G1382)*v01_OutElder*INDEX(LM_Elder,G1382)+INDEX(v01_ShamanPerSett,G1382)*v01_OutShaman)+Z1382*(INDEX(v01_PriestShare,G1382)*v01_OutPriest+INDEX(v01_ScribeShare,G1382)*v01_OutScribe*INDEX(LM_Scribe,G1382)+INDEX(v01_ScholarShare,G1382)*v01_OutScholar*INDEX(LM_Scholar,G1382)+INDEX(v01_ResearcherShare,G1382)*v01_OutResearcher*INDEX(LM_Researcher,G1382)))</x:f>
        <x:v>7915.272396194664</x:v>
      </x:c>
      <x:c r="AL1382" s="32" t="n">
        <x:f>H1382*v01_RoleScale*Arch_Roles*AE1382*INDEX(v01_MonasteryPerSett,G1382)*v01_OutMonastery*INDEX(LM_Monastery,G1382)</x:f>
        <x:v>3.3000000000000003</x:v>
      </x:c>
      <x:c r="AM1382" s="32" t="n">
        <x:f>(AJ1382+AK1382+AL1382)/4*INDEX(LM_All,G1382)*INDEX(v01_Boon,G1382)*Arch_Insight</x:f>
        <x:v>31758.68497160649</x:v>
      </x:c>
      <x:c r="AN1382" s="32" t="n">
        <x:f>H1382*(v01_KHPerAdult*Z1382+v01_KHOfCommons*AJ1382/4*INDEX(LM_All,G1382))*v01_KHUsable*Arch_KH</x:f>
        <x:v>611.3383330548153</x:v>
      </x:c>
      <x:c r="AO1382" s="32" t="n">
        <x:f>MIN(AP1381+AN1382,AM1382*v01_KHMaxRatio)</x:f>
        <x:v>611.3383330548153</x:v>
      </x:c>
      <x:c r="AP1382" s="32" t="n">
        <x:f>AP1381+AN1382-AO1382</x:f>
        <x:v>0</x:v>
      </x:c>
      <x:c r="AQ1382" s="32" t="n">
        <x:f>AM1382+AO1382</x:f>
        <x:v>32370.023304661307</x:v>
      </x:c>
      <x:c r="AR1382" s="10" t="n">
        <x:f>IF(H1382=1,INDEX(v01_Req,G1382),0)</x:f>
        <x:v>1845340.8943637449</x:v>
      </x:c>
      <x:c r="AS1382" s="32" t="n">
        <x:f>IF(H1382=1,IF(E1382=1,AS1381-AR1381,AS1381)+AQ1382,0)</x:f>
        <x:v>1108784.1368338082</x:v>
      </x:c>
      <x:c r="AT1382" s="11" t="n">
        <x:f>IF(AR1382&gt;0,MIN(1,AS1382/AR1382),1)</x:f>
        <x:v>0.60085599371931</x:v>
      </x:c>
      <x:c r="AU1382" s="10" t="n">
        <x:f>AB1382/INDEX(v01_RepScale,G1382)</x:f>
        <x:v>80.59108166870894</x:v>
      </x:c>
      <x:c r="AV1382" s="32" t="n">
        <x:f>AM1382*60/v01_SeasonSeconds</x:f>
        <x:v>127034.73988642596</x:v>
      </x:c>
    </x:row>
    <x:row r="1383">
      <x:c r="A1383" s="8" t="n">
        <x:f>A1382+1</x:f>
        <x:v>1380</x:v>
      </x:c>
      <x:c r="B1383" s="9" t="n">
        <x:f>A1383*v01_SeasonSeconds/60</x:f>
        <x:v>345</x:v>
      </x:c>
      <x:c r="C1383" s="9" t="n">
        <x:f>A1383/4</x:f>
        <x:v>345</x:v>
      </x:c>
      <x:c r="D1383" s="8" t="n">
        <x:f>IF(MOD(A1383,4)=0,1,0)</x:f>
        <x:v>1</x:v>
      </x:c>
      <x:c r="E1383" s="8" t="n">
        <x:f>IF(AND(F1382&lt;=9,AS1382&gt;=AR1382),1,0)</x:f>
        <x:v>0</x:v>
      </x:c>
      <x:c r="F1383" s="8" t="n">
        <x:f>MIN(10,F1382+E1383)</x:f>
        <x:v>9</x:v>
      </x:c>
      <x:c r="G1383" s="8" t="n">
        <x:f>MIN(F1383,9)+1</x:f>
        <x:v>10</x:v>
      </x:c>
      <x:c r="H1383" s="8" t="n">
        <x:f>IF(F1383&lt;=9,1,0)</x:f>
        <x:v>1</x:v>
      </x:c>
      <x:c r="I1383" s="9" t="n">
        <x:f>MIN(10,F1382+IF(AR1382&gt;0,MIN(1,AS1382/AR1382),1))</x:f>
        <x:v>9.60085599371931</x:v>
      </x:c>
      <x:c r="J1383" s="32" t="n">
        <x:f>INDEX(v01_FoodCap,G1383)*Arch_FoodCap*EXP(v01_CapsByProject*SUMPRODUCT((Cap_Point&lt;=I1383)*(Cap_Kind="Food")*Cap_Ln))</x:f>
        <x:v>12000</x:v>
      </x:c>
      <x:c r="K1383" s="32" t="n">
        <x:f>J1383*MIN(1,v01_LeanBase*EXP(v01_CapsByProject*SUMPRODUCT((Cap_Point&lt;=I1383)*(Cap_Kind="Lean")*Cap_Ln)))</x:f>
        <x:v>12000</x:v>
      </x:c>
      <x:c r="L1383" s="10" t="n">
        <x:f>INDEX(v01_HousingCap,G1383)*EXP(v01_CapsByProject*SUMPRODUCT((Cap_Point&lt;=I1383)*(Cap_Kind="Housing")*Cap_Ln))</x:f>
        <x:v>20000</x:v>
      </x:c>
      <x:c r="M1383" s="10" t="n">
        <x:f>INDEX(v01_GroupCap,G1383)*v01_CohesionFactor*EXP(v01_CapsByProject*SUMPRODUCT((Cap_Point&lt;=I1383)*(Cap_Kind="Group")*Cap_Ln))</x:f>
        <x:v>1000000</x:v>
      </x:c>
      <x:c r="N1383" s="32" t="n">
        <x:f>MIN(J1383,L1383,M1383)</x:f>
        <x:v>12000</x:v>
      </x:c>
      <x:c r="O1383" s="10" t="n">
        <x:f>AE1382*N1383</x:f>
        <x:v>180000</x:v>
      </x:c>
      <x:c r="P1383" s="9" t="n">
        <x:f>MIN(1,(AB1382/(AE1382*IF(v01_GroupInCrowding=1,N1383,MIN(J1383,L1383))))^v01_CrowdingExp)</x:f>
        <x:v>0.00012586555758149743</x:v>
      </x:c>
      <x:c r="Q1383" s="9" t="n">
        <x:f>IF(D1383=1,INDEX(v01_WinterMult,G1383),1)</x:f>
        <x:v>1</x:v>
      </x:c>
      <x:c r="R1383" s="9" t="n">
        <x:f>H1383*Z1382*v01_WomenShare*v01_BaseFertility*INDEX(v01_FertMult,G1383)*Arch_Fertility*(1-P1383)</x:f>
        <x:v>288.1660822611942</x:v>
      </x:c>
      <x:c r="S1383" s="9" t="n">
        <x:f>H1383*Y1382*INDEX(v01_MortChild,G1383)/4*Q1383</x:f>
        <x:v>9.949701421002914</x:v>
      </x:c>
      <x:c r="T1383" s="9" t="n">
        <x:f>H1383*Z1382*INDEX(v01_MortAdult,G1383)*Arch_AdultMort/4*Q1383</x:f>
        <x:v>10.916755947407417</x:v>
      </x:c>
      <x:c r="U1383" s="9" t="n">
        <x:f>H1383*AA1382*INDEX(v01_MortElder,G1383)/4*Q1383</x:f>
        <x:v>59.76539223228363</x:v>
      </x:c>
      <x:c r="V1383" s="9" t="n">
        <x:f>H1383*MAX(0,AB1382-O1383)*v01_OvercapLoss</x:f>
        <x:v>0</x:v>
      </x:c>
      <x:c r="W1383" s="9" t="n">
        <x:f>H1383*Y1382/(v01_ChildYears*4)</x:f>
        <x:v>236.89765288102174</x:v>
      </x:c>
      <x:c r="X1383" s="9" t="n">
        <x:f>H1383*Z1382/(v01_AdultYears*4)</x:f>
        <x:v>140.8613670633215</x:v>
      </x:c>
      <x:c r="Y1383" s="32" t="n">
        <x:f>Y1382+R1383-S1383-W1383-Y1382*V1383/AB1382</x:f>
        <x:v>13307.587289296387</x:v>
      </x:c>
      <x:c r="Z1383" s="32" t="n">
        <x:f>Z1382+W1383-X1383-T1383-Z1382*V1383/AB1382</x:f>
        <x:v>17551.92904572216</x:v>
      </x:c>
      <x:c r="AA1383" s="32" t="n">
        <x:f>AA1382+X1383-U1383-AA1382*V1383/AB1382</x:f>
        <x:v>9643.558731996418</x:v>
      </x:c>
      <x:c r="AB1383" s="10" t="n">
        <x:f>Y1383+Z1383+AA1383</x:f>
        <x:v>40503.075067014965</x:v>
      </x:c>
      <x:c r="AC1383" s="8" t="n">
        <x:f>IF(AND(v01_WinterTrigger=1,D1383=1,AB1382/AE1382&gt;=K1383),1,0)</x:f>
        <x:v>0</x:v>
      </x:c>
      <x:c r="AD1383" s="8" t="n">
        <x:f>H1383*IF(AND(OR(AB1382/AE1382&gt;=v01_FissionTrigger*N1383,AC1383=1),AB1382/AE1382*v01_DaughterShare&gt;=v01_MinDaughter),MAX(1,ROUND(AE1382*v01_FissionRate,0)),0)</x:f>
        <x:v>0</x:v>
      </x:c>
      <x:c r="AE1383" s="8" t="n">
        <x:f>IF(H1383=1,MAX(1,MIN(INDEX(v01_Smax,G1383),AE1382+AD1383)),AE1382)</x:f>
        <x:v>15</x:v>
      </x:c>
      <x:c r="AF1383" s="8" t="n">
        <x:f>MAX(0,AE1383-AE1382)</x:f>
        <x:v>0</x:v>
      </x:c>
      <x:c r="AG1383" s="9" t="str">
        <x:f>IF(AF1383&gt;0,B1383,"")</x:f>
      </x:c>
      <x:c r="AH1383" s="9" t="n">
        <x:f>IF(F1383&gt;=1,1,(1+v01_LowTiesShare*(AE1383-1))/AE1383)</x:f>
        <x:v>1</x:v>
      </x:c>
      <x:c r="AI1383" s="32" t="n">
        <x:f>(Z1383+v01_ElderCommons*INDEX(LM_Elder,G1383)*AA1383)*AH1383</x:f>
        <x:v>55480.36551809605</x:v>
      </x:c>
      <x:c r="AJ1383" s="32" t="n">
        <x:f>H1383*v01_CommonsCoef*AI1383^v01_CommonsExp*INDEX(LM_Commons,G1383)</x:f>
        <x:v>28934.665616442446</x:v>
      </x:c>
      <x:c r="AK1383" s="32" t="n">
        <x:f>H1383*v01_RoleScale*Arch_Roles*(AE1383*(INDEX(v01_ElderRolePerSett,G1383)*v01_OutElder*INDEX(LM_Elder,G1383)+INDEX(v01_ShamanPerSett,G1383)*v01_OutShaman)+Z1383*(INDEX(v01_PriestShare,G1383)*v01_OutPriest+INDEX(v01_ScribeShare,G1383)*v01_OutScribe*INDEX(LM_Scribe,G1383)+INDEX(v01_ScholarShare,G1383)*v01_OutScholar*INDEX(LM_Scholar,G1383)+INDEX(v01_ResearcherShare,G1383)*v01_OutResearcher*INDEX(LM_Researcher,G1383)))</x:f>
        <x:v>7953.591829438334</x:v>
      </x:c>
      <x:c r="AL1383" s="32" t="n">
        <x:f>H1383*v01_RoleScale*Arch_Roles*AE1383*INDEX(v01_MonasteryPerSett,G1383)*v01_OutMonastery*INDEX(LM_Monastery,G1383)</x:f>
        <x:v>3.3000000000000003</x:v>
      </x:c>
      <x:c r="AM1383" s="32" t="n">
        <x:f>(AJ1383+AK1383+AL1383)/4*INDEX(LM_All,G1383)*INDEX(v01_Boon,G1383)*Arch_Insight</x:f>
        <x:v>31947.07131362162</x:v>
      </x:c>
      <x:c r="AN1383" s="32" t="n">
        <x:f>H1383*(v01_KHPerAdult*Z1383+v01_KHOfCommons*AJ1383/4*INDEX(LM_All,G1383))*v01_KHUsable*Arch_KH</x:f>
        <x:v>614.3175166002757</x:v>
      </x:c>
      <x:c r="AO1383" s="32" t="n">
        <x:f>MIN(AP1382+AN1383,AM1383*v01_KHMaxRatio)</x:f>
        <x:v>614.3175166002757</x:v>
      </x:c>
      <x:c r="AP1383" s="32" t="n">
        <x:f>AP1382+AN1383-AO1383</x:f>
        <x:v>0</x:v>
      </x:c>
      <x:c r="AQ1383" s="32" t="n">
        <x:f>AM1383+AO1383</x:f>
        <x:v>32561.3888302219</x:v>
      </x:c>
      <x:c r="AR1383" s="10" t="n">
        <x:f>IF(H1383=1,INDEX(v01_Req,G1383),0)</x:f>
        <x:v>1845340.8943637449</x:v>
      </x:c>
      <x:c r="AS1383" s="32" t="n">
        <x:f>IF(H1383=1,IF(E1383=1,AS1382-AR1382,AS1382)+AQ1383,0)</x:f>
        <x:v>1141345.52566403</x:v>
      </x:c>
      <x:c r="AT1383" s="11" t="n">
        <x:f>IF(AR1383&gt;0,MIN(1,AS1383/AR1383),1)</x:f>
        <x:v>0.6185011827083335</x:v>
      </x:c>
      <x:c r="AU1383" s="10" t="n">
        <x:f>AB1383/INDEX(v01_RepScale,G1383)</x:f>
        <x:v>81.00615013402992</x:v>
      </x:c>
      <x:c r="AV1383" s="32" t="n">
        <x:f>AM1383*60/v01_SeasonSeconds</x:f>
        <x:v>127788.2852544865</x:v>
      </x:c>
    </x:row>
    <x:row r="1384">
      <x:c r="A1384" s="8" t="n">
        <x:f>A1383+1</x:f>
        <x:v>1381</x:v>
      </x:c>
      <x:c r="B1384" s="9" t="n">
        <x:f>A1384*v01_SeasonSeconds/60</x:f>
        <x:v>345.25</x:v>
      </x:c>
      <x:c r="C1384" s="9" t="n">
        <x:f>A1384/4</x:f>
        <x:v>345.25</x:v>
      </x:c>
      <x:c r="D1384" s="8" t="n">
        <x:f>IF(MOD(A1384,4)=0,1,0)</x:f>
        <x:v>0</x:v>
      </x:c>
      <x:c r="E1384" s="8" t="n">
        <x:f>IF(AND(F1383&lt;=9,AS1383&gt;=AR1383),1,0)</x:f>
        <x:v>0</x:v>
      </x:c>
      <x:c r="F1384" s="8" t="n">
        <x:f>MIN(10,F1383+E1384)</x:f>
        <x:v>9</x:v>
      </x:c>
      <x:c r="G1384" s="8" t="n">
        <x:f>MIN(F1384,9)+1</x:f>
        <x:v>10</x:v>
      </x:c>
      <x:c r="H1384" s="8" t="n">
        <x:f>IF(F1384&lt;=9,1,0)</x:f>
        <x:v>1</x:v>
      </x:c>
      <x:c r="I1384" s="9" t="n">
        <x:f>MIN(10,F1383+IF(AR1383&gt;0,MIN(1,AS1383/AR1383),1))</x:f>
        <x:v>9.618501182708334</x:v>
      </x:c>
      <x:c r="J1384" s="32" t="n">
        <x:f>INDEX(v01_FoodCap,G1384)*Arch_FoodCap*EXP(v01_CapsByProject*SUMPRODUCT((Cap_Point&lt;=I1384)*(Cap_Kind="Food")*Cap_Ln))</x:f>
        <x:v>12000</x:v>
      </x:c>
      <x:c r="K1384" s="32" t="n">
        <x:f>J1384*MIN(1,v01_LeanBase*EXP(v01_CapsByProject*SUMPRODUCT((Cap_Point&lt;=I1384)*(Cap_Kind="Lean")*Cap_Ln)))</x:f>
        <x:v>12000</x:v>
      </x:c>
      <x:c r="L1384" s="10" t="n">
        <x:f>INDEX(v01_HousingCap,G1384)*EXP(v01_CapsByProject*SUMPRODUCT((Cap_Point&lt;=I1384)*(Cap_Kind="Housing")*Cap_Ln))</x:f>
        <x:v>20000</x:v>
      </x:c>
      <x:c r="M1384" s="10" t="n">
        <x:f>INDEX(v01_GroupCap,G1384)*v01_CohesionFactor*EXP(v01_CapsByProject*SUMPRODUCT((Cap_Point&lt;=I1384)*(Cap_Kind="Group")*Cap_Ln))</x:f>
        <x:v>1000000</x:v>
      </x:c>
      <x:c r="N1384" s="32" t="n">
        <x:f>MIN(J1384,L1384,M1384)</x:f>
        <x:v>12000</x:v>
      </x:c>
      <x:c r="O1384" s="10" t="n">
        <x:f>AE1383*N1384</x:f>
        <x:v>180000</x:v>
      </x:c>
      <x:c r="P1384" s="9" t="n">
        <x:f>MIN(1,(AB1383/(AE1383*IF(v01_GroupInCrowding=1,N1384,MIN(J1384,L1384))))^v01_CrowdingExp)</x:f>
        <x:v>0.00012980545706474988</x:v>
      </x:c>
      <x:c r="Q1384" s="9" t="n">
        <x:f>IF(D1384=1,INDEX(v01_WinterMult,G1384),1)</x:f>
        <x:v>1</x:v>
      </x:c>
      <x:c r="R1384" s="9" t="n">
        <x:f>H1384*Z1383*v01_WomenShare*v01_BaseFertility*INDEX(v01_FertMult,G1384)*Arch_Fertility*(1-P1384)</x:f>
        <x:v>289.5692367075752</x:v>
      </x:c>
      <x:c r="S1384" s="9" t="n">
        <x:f>H1384*Y1383*INDEX(v01_MortChild,G1384)/4*Q1384</x:f>
        <x:v>9.980690466972291</x:v>
      </x:c>
      <x:c r="T1384" s="9" t="n">
        <x:f>H1384*Z1383*INDEX(v01_MortAdult,G1384)*Arch_AdultMort/4*Q1384</x:f>
        <x:v>10.969955653576351</x:v>
      </x:c>
      <x:c r="U1384" s="9" t="n">
        <x:f>H1384*AA1383*INDEX(v01_MortElder,G1384)/4*Q1384</x:f>
        <x:v>60.27224207497761</x:v>
      </x:c>
      <x:c r="V1384" s="9" t="n">
        <x:f>H1384*MAX(0,AB1383-O1384)*v01_OvercapLoss</x:f>
        <x:v>0</x:v>
      </x:c>
      <x:c r="W1384" s="9" t="n">
        <x:f>H1384*Y1383/(v01_ChildYears*4)</x:f>
        <x:v>237.63548730886404</x:v>
      </x:c>
      <x:c r="X1384" s="9" t="n">
        <x:f>H1384*Z1383/(v01_AdultYears*4)</x:f>
        <x:v>141.54781488485614</x:v>
      </x:c>
      <x:c r="Y1384" s="32" t="n">
        <x:f>Y1383+R1384-S1384-W1384-Y1383*V1384/AB1383</x:f>
        <x:v>13349.540348228125</x:v>
      </x:c>
      <x:c r="Z1384" s="32" t="n">
        <x:f>Z1383+W1384-X1384-T1384-Z1383*V1384/AB1383</x:f>
        <x:v>17637.04676249259</x:v>
      </x:c>
      <x:c r="AA1384" s="32" t="n">
        <x:f>AA1383+X1384-U1384-AA1383*V1384/AB1383</x:f>
        <x:v>9724.834304806296</x:v>
      </x:c>
      <x:c r="AB1384" s="10" t="n">
        <x:f>Y1384+Z1384+AA1384</x:f>
        <x:v>40711.42141552702</x:v>
      </x:c>
      <x:c r="AC1384" s="8" t="n">
        <x:f>IF(AND(v01_WinterTrigger=1,D1384=1,AB1383/AE1383&gt;=K1384),1,0)</x:f>
        <x:v>0</x:v>
      </x:c>
      <x:c r="AD1384" s="8" t="n">
        <x:f>H1384*IF(AND(OR(AB1383/AE1383&gt;=v01_FissionTrigger*N1384,AC1384=1),AB1383/AE1383*v01_DaughterShare&gt;=v01_MinDaughter),MAX(1,ROUND(AE1383*v01_FissionRate,0)),0)</x:f>
        <x:v>0</x:v>
      </x:c>
      <x:c r="AE1384" s="8" t="n">
        <x:f>IF(H1384=1,MAX(1,MIN(INDEX(v01_Smax,G1384),AE1383+AD1384)),AE1383)</x:f>
        <x:v>15</x:v>
      </x:c>
      <x:c r="AF1384" s="8" t="n">
        <x:f>MAX(0,AE1384-AE1383)</x:f>
        <x:v>0</x:v>
      </x:c>
      <x:c r="AG1384" s="9" t="str">
        <x:f>IF(AF1384&gt;0,B1384,"")</x:f>
      </x:c>
      <x:c r="AH1384" s="9" t="n">
        <x:f>IF(F1384&gt;=1,1,(1+v01_LowTiesShare*(AE1384-1))/AE1384)</x:f>
        <x:v>1</x:v>
      </x:c>
      <x:c r="AI1384" s="32" t="n">
        <x:f>(Z1384+v01_ElderCommons*INDEX(LM_Elder,G1384)*AA1384)*AH1384</x:f>
        <x:v>55885.1427595031</x:v>
      </x:c>
      <x:c r="AJ1384" s="32" t="n">
        <x:f>H1384*v01_CommonsCoef*AI1384^v01_CommonsExp*INDEX(LM_Commons,G1384)</x:f>
        <x:v>29114.005598512736</x:v>
      </x:c>
      <x:c r="AK1384" s="32" t="n">
        <x:f>H1384*v01_RoleScale*Arch_Roles*(AE1384*(INDEX(v01_ElderRolePerSett,G1384)*v01_OutElder*INDEX(LM_Elder,G1384)+INDEX(v01_ShamanPerSett,G1384)*v01_OutShaman)+Z1384*(INDEX(v01_PriestShare,G1384)*v01_OutPriest+INDEX(v01_ScribeShare,G1384)*v01_OutScribe*INDEX(LM_Scribe,G1384)+INDEX(v01_ScholarShare,G1384)*v01_OutScholar*INDEX(LM_Scholar,G1384)+INDEX(v01_ResearcherShare,G1384)*v01_OutResearcher*INDEX(LM_Researcher,G1384)))</x:f>
        <x:v>7991.9104464538195</x:v>
      </x:c>
      <x:c r="AL1384" s="32" t="n">
        <x:f>H1384*v01_RoleScale*Arch_Roles*AE1384*INDEX(v01_MonasteryPerSett,G1384)*v01_OutMonastery*INDEX(LM_Monastery,G1384)</x:f>
        <x:v>3.3000000000000003</x:v>
      </x:c>
      <x:c r="AM1384" s="32" t="n">
        <x:f>(AJ1384+AK1384+AL1384)/4*INDEX(LM_All,G1384)*INDEX(v01_Boon,G1384)*Arch_Insight</x:f>
        <x:v>32135.557657610138</x:v>
      </x:c>
      <x:c r="AN1384" s="32" t="n">
        <x:f>H1384*(v01_KHPerAdult*Z1384+v01_KHOfCommons*AJ1384/4*INDEX(LM_All,G1384))*v01_KHUsable*Arch_KH</x:f>
        <x:v>617.2966366872406</x:v>
      </x:c>
      <x:c r="AO1384" s="32" t="n">
        <x:f>MIN(AP1383+AN1384,AM1384*v01_KHMaxRatio)</x:f>
        <x:v>617.2966366872406</x:v>
      </x:c>
      <x:c r="AP1384" s="32" t="n">
        <x:f>AP1383+AN1384-AO1384</x:f>
        <x:v>0</x:v>
      </x:c>
      <x:c r="AQ1384" s="32" t="n">
        <x:f>AM1384+AO1384</x:f>
        <x:v>32752.85429429738</x:v>
      </x:c>
      <x:c r="AR1384" s="10" t="n">
        <x:f>IF(H1384=1,INDEX(v01_Req,G1384),0)</x:f>
        <x:v>1845340.8943637449</x:v>
      </x:c>
      <x:c r="AS1384" s="32" t="n">
        <x:f>IF(H1384=1,IF(E1384=1,AS1383-AR1383,AS1383)+AQ1384,0)</x:f>
        <x:v>1174098.3799583274</x:v>
      </x:c>
      <x:c r="AT1384" s="11" t="n">
        <x:f>IF(AR1384&gt;0,MIN(1,AS1384/AR1384),1)</x:f>
        <x:v>0.636250127845969</x:v>
      </x:c>
      <x:c r="AU1384" s="10" t="n">
        <x:f>AB1384/INDEX(v01_RepScale,G1384)</x:f>
        <x:v>81.42284283105403</x:v>
      </x:c>
      <x:c r="AV1384" s="32" t="n">
        <x:f>AM1384*60/v01_SeasonSeconds</x:f>
        <x:v>128542.23063044055</x:v>
      </x:c>
    </x:row>
    <x:row r="1385">
      <x:c r="A1385" s="8" t="n">
        <x:f>A1384+1</x:f>
        <x:v>1382</x:v>
      </x:c>
      <x:c r="B1385" s="9" t="n">
        <x:f>A1385*v01_SeasonSeconds/60</x:f>
        <x:v>345.5</x:v>
      </x:c>
      <x:c r="C1385" s="9" t="n">
        <x:f>A1385/4</x:f>
        <x:v>345.5</x:v>
      </x:c>
      <x:c r="D1385" s="8" t="n">
        <x:f>IF(MOD(A1385,4)=0,1,0)</x:f>
        <x:v>0</x:v>
      </x:c>
      <x:c r="E1385" s="8" t="n">
        <x:f>IF(AND(F1384&lt;=9,AS1384&gt;=AR1384),1,0)</x:f>
        <x:v>0</x:v>
      </x:c>
      <x:c r="F1385" s="8" t="n">
        <x:f>MIN(10,F1384+E1385)</x:f>
        <x:v>9</x:v>
      </x:c>
      <x:c r="G1385" s="8" t="n">
        <x:f>MIN(F1385,9)+1</x:f>
        <x:v>10</x:v>
      </x:c>
      <x:c r="H1385" s="8" t="n">
        <x:f>IF(F1385&lt;=9,1,0)</x:f>
        <x:v>1</x:v>
      </x:c>
      <x:c r="I1385" s="9" t="n">
        <x:f>MIN(10,F1384+IF(AR1384&gt;0,MIN(1,AS1384/AR1384),1))</x:f>
        <x:v>9.636250127845969</x:v>
      </x:c>
      <x:c r="J1385" s="32" t="n">
        <x:f>INDEX(v01_FoodCap,G1385)*Arch_FoodCap*EXP(v01_CapsByProject*SUMPRODUCT((Cap_Point&lt;=I1385)*(Cap_Kind="Food")*Cap_Ln))</x:f>
        <x:v>12000</x:v>
      </x:c>
      <x:c r="K1385" s="32" t="n">
        <x:f>J1385*MIN(1,v01_LeanBase*EXP(v01_CapsByProject*SUMPRODUCT((Cap_Point&lt;=I1385)*(Cap_Kind="Lean")*Cap_Ln)))</x:f>
        <x:v>12000</x:v>
      </x:c>
      <x:c r="L1385" s="10" t="n">
        <x:f>INDEX(v01_HousingCap,G1385)*EXP(v01_CapsByProject*SUMPRODUCT((Cap_Point&lt;=I1385)*(Cap_Kind="Housing")*Cap_Ln))</x:f>
        <x:v>20000</x:v>
      </x:c>
      <x:c r="M1385" s="10" t="n">
        <x:f>INDEX(v01_GroupCap,G1385)*v01_CohesionFactor*EXP(v01_CapsByProject*SUMPRODUCT((Cap_Point&lt;=I1385)*(Cap_Kind="Group")*Cap_Ln))</x:f>
        <x:v>1000000</x:v>
      </x:c>
      <x:c r="N1385" s="32" t="n">
        <x:f>MIN(J1385,L1385,M1385)</x:f>
        <x:v>12000</x:v>
      </x:c>
      <x:c r="O1385" s="10" t="n">
        <x:f>AE1384*N1385</x:f>
        <x:v>180000</x:v>
      </x:c>
      <x:c r="P1385" s="9" t="n">
        <x:f>MIN(1,(AB1384/(AE1384*IF(v01_GroupInCrowding=1,N1385,MIN(J1385,L1385))))^v01_CrowdingExp)</x:f>
        <x:v>0.00013386361964963828</x:v>
      </x:c>
      <x:c r="Q1385" s="9" t="n">
        <x:f>IF(D1385=1,INDEX(v01_WinterMult,G1385),1)</x:f>
        <x:v>1</x:v>
      </x:c>
      <x:c r="R1385" s="9" t="n">
        <x:f>H1385*Z1384*v01_WomenShare*v01_BaseFertility*INDEX(v01_FertMult,G1385)*Arch_Fertility*(1-P1385)</x:f>
        <x:v>290.97231575895506</x:v>
      </x:c>
      <x:c r="S1385" s="9" t="n">
        <x:f>H1385*Y1384*INDEX(v01_MortChild,G1385)/4*Q1385</x:f>
        <x:v>10.012155261171094</x:v>
      </x:c>
      <x:c r="T1385" s="9" t="n">
        <x:f>H1385*Z1384*INDEX(v01_MortAdult,G1385)*Arch_AdultMort/4*Q1385</x:f>
        <x:v>11.02315422655787</x:v>
      </x:c>
      <x:c r="U1385" s="9" t="n">
        <x:f>H1385*AA1384*INDEX(v01_MortElder,G1385)/4*Q1385</x:f>
        <x:v>60.78021440503935</x:v>
      </x:c>
      <x:c r="V1385" s="9" t="n">
        <x:f>H1385*MAX(0,AB1384-O1385)*v01_OvercapLoss</x:f>
        <x:v>0</x:v>
      </x:c>
      <x:c r="W1385" s="9" t="n">
        <x:f>H1385*Y1384/(v01_ChildYears*4)</x:f>
        <x:v>238.38464907550224</x:v>
      </x:c>
      <x:c r="X1385" s="9" t="n">
        <x:f>H1385*Z1384/(v01_AdultYears*4)</x:f>
        <x:v>142.23424808461766</x:v>
      </x:c>
      <x:c r="Y1385" s="32" t="n">
        <x:f>Y1384+R1385-S1385-W1385-Y1384*V1385/AB1384</x:f>
        <x:v>13392.115859650406</x:v>
      </x:c>
      <x:c r="Z1385" s="32" t="n">
        <x:f>Z1384+W1385-X1385-T1385-Z1384*V1385/AB1384</x:f>
        <x:v>17722.17400925692</x:v>
      </x:c>
      <x:c r="AA1385" s="32" t="n">
        <x:f>AA1384+X1385-U1385-AA1384*V1385/AB1384</x:f>
        <x:v>9806.288338485874</x:v>
      </x:c>
      <x:c r="AB1385" s="10" t="n">
        <x:f>Y1385+Z1385+AA1385</x:f>
        <x:v>40920.5782073932</x:v>
      </x:c>
      <x:c r="AC1385" s="8" t="n">
        <x:f>IF(AND(v01_WinterTrigger=1,D1385=1,AB1384/AE1384&gt;=K1385),1,0)</x:f>
        <x:v>0</x:v>
      </x:c>
      <x:c r="AD1385" s="8" t="n">
        <x:f>H1385*IF(AND(OR(AB1384/AE1384&gt;=v01_FissionTrigger*N1385,AC1385=1),AB1384/AE1384*v01_DaughterShare&gt;=v01_MinDaughter),MAX(1,ROUND(AE1384*v01_FissionRate,0)),0)</x:f>
        <x:v>0</x:v>
      </x:c>
      <x:c r="AE1385" s="8" t="n">
        <x:f>IF(H1385=1,MAX(1,MIN(INDEX(v01_Smax,G1385),AE1384+AD1385)),AE1384)</x:f>
        <x:v>15</x:v>
      </x:c>
      <x:c r="AF1385" s="8" t="n">
        <x:f>MAX(0,AE1385-AE1384)</x:f>
        <x:v>0</x:v>
      </x:c>
      <x:c r="AG1385" s="9" t="str">
        <x:f>IF(AF1385&gt;0,B1385,"")</x:f>
      </x:c>
      <x:c r="AH1385" s="9" t="n">
        <x:f>IF(F1385&gt;=1,1,(1+v01_LowTiesShare*(AE1385-1))/AE1385)</x:f>
        <x:v>1</x:v>
      </x:c>
      <x:c r="AI1385" s="32" t="n">
        <x:f>(Z1385+v01_ElderCommons*INDEX(LM_Elder,G1385)*AA1385)*AH1385</x:f>
        <x:v>56290.63142342602</x:v>
      </x:c>
      <x:c r="AJ1385" s="32" t="n">
        <x:f>H1385*v01_CommonsCoef*AI1385^v01_CommonsExp*INDEX(LM_Commons,G1385)</x:f>
        <x:v>29293.465529092045</x:v>
      </x:c>
      <x:c r="AK1385" s="32" t="n">
        <x:f>H1385*v01_RoleScale*Arch_Roles*(AE1385*(INDEX(v01_ElderRolePerSett,G1385)*v01_OutElder*INDEX(LM_Elder,G1385)+INDEX(v01_ShamanPerSett,G1385)*v01_OutShaman)+Z1385*(INDEX(v01_PriestShare,G1385)*v01_OutPriest+INDEX(v01_ScribeShare,G1385)*v01_OutScribe*INDEX(LM_Scribe,G1385)+INDEX(v01_ScholarShare,G1385)*v01_OutScholar*INDEX(LM_Scholar,G1385)+INDEX(v01_ResearcherShare,G1385)*v01_OutResearcher*INDEX(LM_Researcher,G1385)))</x:f>
        <x:v>8030.233353718155</x:v>
      </x:c>
      <x:c r="AL1385" s="32" t="n">
        <x:f>H1385*v01_RoleScale*Arch_Roles*AE1385*INDEX(v01_MonasteryPerSett,G1385)*v01_OutMonastery*INDEX(LM_Monastery,G1385)</x:f>
        <x:v>3.3000000000000003</x:v>
      </x:c>
      <x:c r="AM1385" s="32" t="n">
        <x:f>(AJ1385+AK1385+AL1385)/4*INDEX(LM_All,G1385)*INDEX(v01_Boon,G1385)*Arch_Insight</x:f>
        <x:v>32324.151588936576</x:v>
      </x:c>
      <x:c r="AN1385" s="32" t="n">
        <x:f>H1385*(v01_KHPerAdult*Z1385+v01_KHOfCommons*AJ1385/4*INDEX(LM_All,G1385))*v01_KHUsable*Arch_KH</x:f>
        <x:v>620.2760903239922</x:v>
      </x:c>
      <x:c r="AO1385" s="32" t="n">
        <x:f>MIN(AP1384+AN1385,AM1385*v01_KHMaxRatio)</x:f>
        <x:v>620.2760903239922</x:v>
      </x:c>
      <x:c r="AP1385" s="32" t="n">
        <x:f>AP1384+AN1385-AO1385</x:f>
        <x:v>0</x:v>
      </x:c>
      <x:c r="AQ1385" s="32" t="n">
        <x:f>AM1385+AO1385</x:f>
        <x:v>32944.42767926057</x:v>
      </x:c>
      <x:c r="AR1385" s="10" t="n">
        <x:f>IF(H1385=1,INDEX(v01_Req,G1385),0)</x:f>
        <x:v>1845340.8943637449</x:v>
      </x:c>
      <x:c r="AS1385" s="32" t="n">
        <x:f>IF(H1385=1,IF(E1385=1,AS1384-AR1384,AS1384)+AQ1385,0)</x:f>
        <x:v>1207042.807637588</x:v>
      </x:c>
      <x:c r="AT1385" s="11" t="n">
        <x:f>IF(AR1385&gt;0,MIN(1,AS1385/AR1385),1)</x:f>
        <x:v>0.6541028876151169</x:v>
      </x:c>
      <x:c r="AU1385" s="10" t="n">
        <x:f>AB1385/INDEX(v01_RepScale,G1385)</x:f>
        <x:v>81.8411564147864</x:v>
      </x:c>
      <x:c r="AV1385" s="32" t="n">
        <x:f>AM1385*60/v01_SeasonSeconds</x:f>
        <x:v>129296.6063557463</x:v>
      </x:c>
    </x:row>
    <x:row r="1386">
      <x:c r="A1386" s="8" t="n">
        <x:f>A1385+1</x:f>
        <x:v>1383</x:v>
      </x:c>
      <x:c r="B1386" s="9" t="n">
        <x:f>A1386*v01_SeasonSeconds/60</x:f>
        <x:v>345.75</x:v>
      </x:c>
      <x:c r="C1386" s="9" t="n">
        <x:f>A1386/4</x:f>
        <x:v>345.75</x:v>
      </x:c>
      <x:c r="D1386" s="8" t="n">
        <x:f>IF(MOD(A1386,4)=0,1,0)</x:f>
        <x:v>0</x:v>
      </x:c>
      <x:c r="E1386" s="8" t="n">
        <x:f>IF(AND(F1385&lt;=9,AS1385&gt;=AR1385),1,0)</x:f>
        <x:v>0</x:v>
      </x:c>
      <x:c r="F1386" s="8" t="n">
        <x:f>MIN(10,F1385+E1386)</x:f>
        <x:v>9</x:v>
      </x:c>
      <x:c r="G1386" s="8" t="n">
        <x:f>MIN(F1386,9)+1</x:f>
        <x:v>10</x:v>
      </x:c>
      <x:c r="H1386" s="8" t="n">
        <x:f>IF(F1386&lt;=9,1,0)</x:f>
        <x:v>1</x:v>
      </x:c>
      <x:c r="I1386" s="9" t="n">
        <x:f>MIN(10,F1385+IF(AR1385&gt;0,MIN(1,AS1385/AR1385),1))</x:f>
        <x:v>9.654102887615117</x:v>
      </x:c>
      <x:c r="J1386" s="32" t="n">
        <x:f>INDEX(v01_FoodCap,G1386)*Arch_FoodCap*EXP(v01_CapsByProject*SUMPRODUCT((Cap_Point&lt;=I1386)*(Cap_Kind="Food")*Cap_Ln))</x:f>
        <x:v>12000</x:v>
      </x:c>
      <x:c r="K1386" s="32" t="n">
        <x:f>J1386*MIN(1,v01_LeanBase*EXP(v01_CapsByProject*SUMPRODUCT((Cap_Point&lt;=I1386)*(Cap_Kind="Lean")*Cap_Ln)))</x:f>
        <x:v>12000</x:v>
      </x:c>
      <x:c r="L1386" s="10" t="n">
        <x:f>INDEX(v01_HousingCap,G1386)*EXP(v01_CapsByProject*SUMPRODUCT((Cap_Point&lt;=I1386)*(Cap_Kind="Housing")*Cap_Ln))</x:f>
        <x:v>20000</x:v>
      </x:c>
      <x:c r="M1386" s="10" t="n">
        <x:f>INDEX(v01_GroupCap,G1386)*v01_CohesionFactor*EXP(v01_CapsByProject*SUMPRODUCT((Cap_Point&lt;=I1386)*(Cap_Kind="Group")*Cap_Ln))</x:f>
        <x:v>1000000</x:v>
      </x:c>
      <x:c r="N1386" s="32" t="n">
        <x:f>MIN(J1386,L1386,M1386)</x:f>
        <x:v>12000</x:v>
      </x:c>
      <x:c r="O1386" s="10" t="n">
        <x:f>AE1385*N1386</x:f>
        <x:v>180000</x:v>
      </x:c>
      <x:c r="P1386" s="9" t="n">
        <x:f>MIN(1,(AB1385/(AE1385*IF(v01_GroupInCrowding=1,N1386,MIN(J1386,L1386))))^v01_CrowdingExp)</x:f>
        <x:v>0.00013804336565465935</x:v>
      </x:c>
      <x:c r="Q1386" s="9" t="n">
        <x:f>IF(D1386=1,INDEX(v01_WinterMult,G1386),1)</x:f>
        <x:v>1</x:v>
      </x:c>
      <x:c r="R1386" s="9" t="n">
        <x:f>H1386*Z1385*v01_WomenShare*v01_BaseFertility*INDEX(v01_FertMult,G1386)*Arch_Fertility*(1-P1386)</x:f>
        <x:v>292.37550508171444</x:v>
      </x:c>
      <x:c r="S1386" s="9" t="n">
        <x:f>H1386*Y1385*INDEX(v01_MortChild,G1386)/4*Q1386</x:f>
        <x:v>10.044086894737806</x:v>
      </x:c>
      <x:c r="T1386" s="9" t="n">
        <x:f>H1386*Z1385*INDEX(v01_MortAdult,G1386)*Arch_AdultMort/4*Q1386</x:f>
        <x:v>11.076358755785575</x:v>
      </x:c>
      <x:c r="U1386" s="9" t="n">
        <x:f>H1386*AA1385*INDEX(v01_MortElder,G1386)/4*Q1386</x:f>
        <x:v>61.289302115536714</x:v>
      </x:c>
      <x:c r="V1386" s="9" t="n">
        <x:f>H1386*MAX(0,AB1385-O1386)*v01_OvercapLoss</x:f>
        <x:v>0</x:v>
      </x:c>
      <x:c r="W1386" s="9" t="n">
        <x:f>H1386*Y1385/(v01_ChildYears*4)</x:f>
        <x:v>239.14492606518584</x:v>
      </x:c>
      <x:c r="X1386" s="9" t="n">
        <x:f>H1386*Z1385/(v01_AdultYears*4)</x:f>
        <x:v>142.9207581391687</x:v>
      </x:c>
      <x:c r="Y1386" s="32" t="n">
        <x:f>Y1385+R1386-S1386-W1386-Y1385*V1386/AB1385</x:f>
        <x:v>13435.302351772198</x:v>
      </x:c>
      <x:c r="Z1386" s="32" t="n">
        <x:f>Z1385+W1386-X1386-T1386-Z1385*V1386/AB1385</x:f>
        <x:v>17807.321818427154</x:v>
      </x:c>
      <x:c r="AA1386" s="32" t="n">
        <x:f>AA1385+X1386-U1386-AA1385*V1386/AB1385</x:f>
        <x:v>9887.919794509507</x:v>
      </x:c>
      <x:c r="AB1386" s="10" t="n">
        <x:f>Y1386+Z1386+AA1386</x:f>
        <x:v>41130.54396470886</x:v>
      </x:c>
      <x:c r="AC1386" s="8" t="n">
        <x:f>IF(AND(v01_WinterTrigger=1,D1386=1,AB1385/AE1385&gt;=K1386),1,0)</x:f>
        <x:v>0</x:v>
      </x:c>
      <x:c r="AD1386" s="8" t="n">
        <x:f>H1386*IF(AND(OR(AB1385/AE1385&gt;=v01_FissionTrigger*N1386,AC1386=1),AB1385/AE1385*v01_DaughterShare&gt;=v01_MinDaughter),MAX(1,ROUND(AE1385*v01_FissionRate,0)),0)</x:f>
        <x:v>0</x:v>
      </x:c>
      <x:c r="AE1386" s="8" t="n">
        <x:f>IF(H1386=1,MAX(1,MIN(INDEX(v01_Smax,G1386),AE1385+AD1386)),AE1385)</x:f>
        <x:v>15</x:v>
      </x:c>
      <x:c r="AF1386" s="8" t="n">
        <x:f>MAX(0,AE1386-AE1385)</x:f>
        <x:v>0</x:v>
      </x:c>
      <x:c r="AG1386" s="9" t="str">
        <x:f>IF(AF1386&gt;0,B1386,"")</x:f>
      </x:c>
      <x:c r="AH1386" s="9" t="n">
        <x:f>IF(F1386&gt;=1,1,(1+v01_LowTiesShare*(AE1386-1))/AE1386)</x:f>
        <x:v>1</x:v>
      </x:c>
      <x:c r="AI1386" s="32" t="n">
        <x:f>(Z1386+v01_ElderCommons*INDEX(LM_Elder,G1386)*AA1386)*AH1386</x:f>
        <x:v>56696.838457721</x:v>
      </x:c>
      <x:c r="AJ1386" s="32" t="n">
        <x:f>H1386*v01_CommonsCoef*AI1386^v01_CommonsExp*INDEX(LM_Commons,G1386)</x:f>
        <x:v>29473.04907185594</x:v>
      </x:c>
      <x:c r="AK1386" s="32" t="n">
        <x:f>H1386*v01_RoleScale*Arch_Roles*(AE1386*(INDEX(v01_ElderRolePerSett,G1386)*v01_OutElder*INDEX(LM_Elder,G1386)+INDEX(v01_ShamanPerSett,G1386)*v01_OutShaman)+Z1386*(INDEX(v01_PriestShare,G1386)*v01_OutPriest+INDEX(v01_ScribeShare,G1386)*v01_OutScribe*INDEX(LM_Scribe,G1386)+INDEX(v01_ScholarShare,G1386)*v01_OutScholar*INDEX(LM_Scholar,G1386)+INDEX(v01_ResearcherShare,G1386)*v01_OutResearcher*INDEX(LM_Researcher,G1386)))</x:f>
        <x:v>8068.565517844477</x:v>
      </x:c>
      <x:c r="AL1386" s="32" t="n">
        <x:f>H1386*v01_RoleScale*Arch_Roles*AE1386*INDEX(v01_MonasteryPerSett,G1386)*v01_OutMonastery*INDEX(LM_Monastery,G1386)</x:f>
        <x:v>3.3000000000000003</x:v>
      </x:c>
      <x:c r="AM1386" s="32" t="n">
        <x:f>(AJ1386+AK1386+AL1386)/4*INDEX(LM_All,G1386)*INDEX(v01_Boon,G1386)*Arch_Insight</x:f>
        <x:v>32512.860581192937</x:v>
      </x:c>
      <x:c r="AN1386" s="32" t="n">
        <x:f>H1386*(v01_KHPerAdult*Z1386+v01_KHOfCommons*AJ1386/4*INDEX(LM_All,G1386))*v01_KHUsable*Arch_KH</x:f>
        <x:v>623.2562636449503</x:v>
      </x:c>
      <x:c r="AO1386" s="32" t="n">
        <x:f>MIN(AP1385+AN1386,AM1386*v01_KHMaxRatio)</x:f>
        <x:v>623.2562636449503</x:v>
      </x:c>
      <x:c r="AP1386" s="32" t="n">
        <x:f>AP1385+AN1386-AO1386</x:f>
        <x:v>0</x:v>
      </x:c>
      <x:c r="AQ1386" s="32" t="n">
        <x:f>AM1386+AO1386</x:f>
        <x:v>33136.11684483789</x:v>
      </x:c>
      <x:c r="AR1386" s="10" t="n">
        <x:f>IF(H1386=1,INDEX(v01_Req,G1386),0)</x:f>
        <x:v>1845340.8943637449</x:v>
      </x:c>
      <x:c r="AS1386" s="32" t="n">
        <x:f>IF(H1386=1,IF(E1386=1,AS1385-AR1385,AS1385)+AQ1386,0)</x:f>
        <x:v>1240178.9244824257</x:v>
      </x:c>
      <x:c r="AT1386" s="11" t="n">
        <x:f>IF(AR1386&gt;0,MIN(1,AS1386/AR1386),1)</x:f>
        <x:v>0.672059524757905</x:v>
      </x:c>
      <x:c r="AU1386" s="10" t="n">
        <x:f>AB1386/INDEX(v01_RepScale,G1386)</x:f>
        <x:v>82.26108792941771</x:v>
      </x:c>
      <x:c r="AV1386" s="32" t="n">
        <x:f>AM1386*60/v01_SeasonSeconds</x:f>
        <x:v>130051.44232477175</x:v>
      </x:c>
    </x:row>
    <x:row r="1387">
      <x:c r="A1387" s="8" t="n">
        <x:f>A1386+1</x:f>
        <x:v>1384</x:v>
      </x:c>
      <x:c r="B1387" s="9" t="n">
        <x:f>A1387*v01_SeasonSeconds/60</x:f>
        <x:v>346</x:v>
      </x:c>
      <x:c r="C1387" s="9" t="n">
        <x:f>A1387/4</x:f>
        <x:v>346</x:v>
      </x:c>
      <x:c r="D1387" s="8" t="n">
        <x:f>IF(MOD(A1387,4)=0,1,0)</x:f>
        <x:v>1</x:v>
      </x:c>
      <x:c r="E1387" s="8" t="n">
        <x:f>IF(AND(F1386&lt;=9,AS1386&gt;=AR1386),1,0)</x:f>
        <x:v>0</x:v>
      </x:c>
      <x:c r="F1387" s="8" t="n">
        <x:f>MIN(10,F1386+E1387)</x:f>
        <x:v>9</x:v>
      </x:c>
      <x:c r="G1387" s="8" t="n">
        <x:f>MIN(F1387,9)+1</x:f>
        <x:v>10</x:v>
      </x:c>
      <x:c r="H1387" s="8" t="n">
        <x:f>IF(F1387&lt;=9,1,0)</x:f>
        <x:v>1</x:v>
      </x:c>
      <x:c r="I1387" s="9" t="n">
        <x:f>MIN(10,F1386+IF(AR1386&gt;0,MIN(1,AS1386/AR1386),1))</x:f>
        <x:v>9.672059524757906</x:v>
      </x:c>
      <x:c r="J1387" s="32" t="n">
        <x:f>INDEX(v01_FoodCap,G1387)*Arch_FoodCap*EXP(v01_CapsByProject*SUMPRODUCT((Cap_Point&lt;=I1387)*(Cap_Kind="Food")*Cap_Ln))</x:f>
        <x:v>12000</x:v>
      </x:c>
      <x:c r="K1387" s="32" t="n">
        <x:f>J1387*MIN(1,v01_LeanBase*EXP(v01_CapsByProject*SUMPRODUCT((Cap_Point&lt;=I1387)*(Cap_Kind="Lean")*Cap_Ln)))</x:f>
        <x:v>12000</x:v>
      </x:c>
      <x:c r="L1387" s="10" t="n">
        <x:f>INDEX(v01_HousingCap,G1387)*EXP(v01_CapsByProject*SUMPRODUCT((Cap_Point&lt;=I1387)*(Cap_Kind="Housing")*Cap_Ln))</x:f>
        <x:v>20000</x:v>
      </x:c>
      <x:c r="M1387" s="10" t="n">
        <x:f>INDEX(v01_GroupCap,G1387)*v01_CohesionFactor*EXP(v01_CapsByProject*SUMPRODUCT((Cap_Point&lt;=I1387)*(Cap_Kind="Group")*Cap_Ln))</x:f>
        <x:v>1000000</x:v>
      </x:c>
      <x:c r="N1387" s="32" t="n">
        <x:f>MIN(J1387,L1387,M1387)</x:f>
        <x:v>12000</x:v>
      </x:c>
      <x:c r="O1387" s="10" t="n">
        <x:f>AE1386*N1387</x:f>
        <x:v>180000</x:v>
      </x:c>
      <x:c r="P1387" s="9" t="n">
        <x:f>MIN(1,(AB1386/(AE1386*IF(v01_GroupInCrowding=1,N1387,MIN(J1387,L1387))))^v01_CrowdingExp)</x:f>
        <x:v>0.00014234810459571253</x:v>
      </x:c>
      <x:c r="Q1387" s="9" t="n">
        <x:f>IF(D1387=1,INDEX(v01_WinterMult,G1387),1)</x:f>
        <x:v>1</x:v>
      </x:c>
      <x:c r="R1387" s="9" t="n">
        <x:f>H1387*Z1386*v01_WomenShare*v01_BaseFertility*INDEX(v01_FertMult,G1387)*Arch_Fertility*(1-P1387)</x:f>
        <x:v>293.77898516865326</x:v>
      </x:c>
      <x:c r="S1387" s="9" t="n">
        <x:f>H1387*Y1386*INDEX(v01_MortChild,G1387)/4*Q1387</x:f>
        <x:v>10.076476763829149</x:v>
      </x:c>
      <x:c r="T1387" s="9" t="n">
        <x:f>H1387*Z1386*INDEX(v01_MortAdult,G1387)*Arch_AdultMort/4*Q1387</x:f>
        <x:v>11.129576136516972</x:v>
      </x:c>
      <x:c r="U1387" s="9" t="n">
        <x:f>H1387*AA1386*INDEX(v01_MortElder,G1387)/4*Q1387</x:f>
        <x:v>61.79949871568442</x:v>
      </x:c>
      <x:c r="V1387" s="9" t="n">
        <x:f>H1387*MAX(0,AB1386-O1387)*v01_OvercapLoss</x:f>
        <x:v>0</x:v>
      </x:c>
      <x:c r="W1387" s="9" t="n">
        <x:f>H1387*Y1386/(v01_ChildYears*4)</x:f>
        <x:v>239.91611342450352</x:v>
      </x:c>
      <x:c r="X1387" s="9" t="n">
        <x:f>H1387*Z1386/(v01_AdultYears*4)</x:f>
        <x:v>143.60743401957382</x:v>
      </x:c>
      <x:c r="Y1387" s="32" t="n">
        <x:f>Y1386+R1387-S1387-W1387-Y1386*V1387/AB1386</x:f>
        <x:v>13479.088746752519</x:v>
      </x:c>
      <x:c r="Z1387" s="32" t="n">
        <x:f>Z1386+W1387-X1387-T1387-Z1386*V1387/AB1386</x:f>
        <x:v>17892.500921695566</x:v>
      </x:c>
      <x:c r="AA1387" s="32" t="n">
        <x:f>AA1386+X1387-U1387-AA1386*V1387/AB1386</x:f>
        <x:v>9969.727729813396</x:v>
      </x:c>
      <x:c r="AB1387" s="10" t="n">
        <x:f>Y1387+Z1387+AA1387</x:f>
        <x:v>41341.31739826148</x:v>
      </x:c>
      <x:c r="AC1387" s="8" t="n">
        <x:f>IF(AND(v01_WinterTrigger=1,D1387=1,AB1386/AE1386&gt;=K1387),1,0)</x:f>
        <x:v>0</x:v>
      </x:c>
      <x:c r="AD1387" s="8" t="n">
        <x:f>H1387*IF(AND(OR(AB1386/AE1386&gt;=v01_FissionTrigger*N1387,AC1387=1),AB1386/AE1386*v01_DaughterShare&gt;=v01_MinDaughter),MAX(1,ROUND(AE1386*v01_FissionRate,0)),0)</x:f>
        <x:v>0</x:v>
      </x:c>
      <x:c r="AE1387" s="8" t="n">
        <x:f>IF(H1387=1,MAX(1,MIN(INDEX(v01_Smax,G1387),AE1386+AD1387)),AE1386)</x:f>
        <x:v>15</x:v>
      </x:c>
      <x:c r="AF1387" s="8" t="n">
        <x:f>MAX(0,AE1387-AE1386)</x:f>
        <x:v>0</x:v>
      </x:c>
      <x:c r="AG1387" s="9" t="str">
        <x:f>IF(AF1387&gt;0,B1387,"")</x:f>
      </x:c>
      <x:c r="AH1387" s="9" t="n">
        <x:f>IF(F1387&gt;=1,1,(1+v01_LowTiesShare*(AE1387-1))/AE1387)</x:f>
        <x:v>1</x:v>
      </x:c>
      <x:c r="AI1387" s="32" t="n">
        <x:f>(Z1387+v01_ElderCommons*INDEX(LM_Elder,G1387)*AA1387)*AH1387</x:f>
        <x:v>57103.770884979094</x:v>
      </x:c>
      <x:c r="AJ1387" s="32" t="n">
        <x:f>H1387*v01_CommonsCoef*AI1387^v01_CommonsExp*INDEX(LM_Commons,G1387)</x:f>
        <x:v>29652.759900488505</x:v>
      </x:c>
      <x:c r="AK1387" s="32" t="n">
        <x:f>H1387*v01_RoleScale*Arch_Roles*(AE1387*(INDEX(v01_ElderRolePerSett,G1387)*v01_OutElder*INDEX(LM_Elder,G1387)+INDEX(v01_ShamanPerSett,G1387)*v01_OutShaman)+Z1387*(INDEX(v01_PriestShare,G1387)*v01_OutPriest+INDEX(v01_ScribeShare,G1387)*v01_OutScribe*INDEX(LM_Scribe,G1387)+INDEX(v01_ScholarShare,G1387)*v01_OutScholar*INDEX(LM_Scholar,G1387)+INDEX(v01_ResearcherShare,G1387)*v01_OutResearcher*INDEX(LM_Researcher,G1387)))</x:f>
        <x:v>8106.911770066772</x:v>
      </x:c>
      <x:c r="AL1387" s="32" t="n">
        <x:f>H1387*v01_RoleScale*Arch_Roles*AE1387*INDEX(v01_MonasteryPerSett,G1387)*v01_OutMonastery*INDEX(LM_Monastery,G1387)</x:f>
        <x:v>3.3000000000000003</x:v>
      </x:c>
      <x:c r="AM1387" s="32" t="n">
        <x:f>(AJ1387+AK1387+AL1387)/4*INDEX(LM_All,G1387)*INDEX(v01_Boon,G1387)*Arch_Insight</x:f>
        <x:v>32701.691999403727</x:v>
      </x:c>
      <x:c r="AN1387" s="32" t="n">
        <x:f>H1387*(v01_KHPerAdult*Z1387+v01_KHOfCommons*AJ1387/4*INDEX(LM_All,G1387))*v01_KHUsable*Arch_KH</x:f>
        <x:v>626.2375322593448</x:v>
      </x:c>
      <x:c r="AO1387" s="32" t="n">
        <x:f>MIN(AP1386+AN1387,AM1387*v01_KHMaxRatio)</x:f>
        <x:v>626.2375322593448</x:v>
      </x:c>
      <x:c r="AP1387" s="32" t="n">
        <x:f>AP1386+AN1387-AO1387</x:f>
        <x:v>0</x:v>
      </x:c>
      <x:c r="AQ1387" s="32" t="n">
        <x:f>AM1387+AO1387</x:f>
        <x:v>33327.929531663074</x:v>
      </x:c>
      <x:c r="AR1387" s="10" t="n">
        <x:f>IF(H1387=1,INDEX(v01_Req,G1387),0)</x:f>
        <x:v>1845340.8943637449</x:v>
      </x:c>
      <x:c r="AS1387" s="32" t="n">
        <x:f>IF(H1387=1,IF(E1387=1,AS1386-AR1386,AS1386)+AQ1387,0)</x:f>
        <x:v>1273506.8540140889</x:v>
      </x:c>
      <x:c r="AT1387" s="11" t="n">
        <x:f>IF(AR1387&gt;0,MIN(1,AS1387/AR1387),1)</x:f>
        <x:v>0.6901201062111515</x:v>
      </x:c>
      <x:c r="AU1387" s="10" t="n">
        <x:f>AB1387/INDEX(v01_RepScale,G1387)</x:f>
        <x:v>82.68263479652296</x:v>
      </x:c>
      <x:c r="AV1387" s="32" t="n">
        <x:f>AM1387*60/v01_SeasonSeconds</x:f>
        <x:v>130806.76799761491</x:v>
      </x:c>
    </x:row>
    <x:row r="1388">
      <x:c r="A1388" s="8" t="n">
        <x:f>A1387+1</x:f>
        <x:v>1385</x:v>
      </x:c>
      <x:c r="B1388" s="9" t="n">
        <x:f>A1388*v01_SeasonSeconds/60</x:f>
        <x:v>346.25</x:v>
      </x:c>
      <x:c r="C1388" s="9" t="n">
        <x:f>A1388/4</x:f>
        <x:v>346.25</x:v>
      </x:c>
      <x:c r="D1388" s="8" t="n">
        <x:f>IF(MOD(A1388,4)=0,1,0)</x:f>
        <x:v>0</x:v>
      </x:c>
      <x:c r="E1388" s="8" t="n">
        <x:f>IF(AND(F1387&lt;=9,AS1387&gt;=AR1387),1,0)</x:f>
        <x:v>0</x:v>
      </x:c>
      <x:c r="F1388" s="8" t="n">
        <x:f>MIN(10,F1387+E1388)</x:f>
        <x:v>9</x:v>
      </x:c>
      <x:c r="G1388" s="8" t="n">
        <x:f>MIN(F1388,9)+1</x:f>
        <x:v>10</x:v>
      </x:c>
      <x:c r="H1388" s="8" t="n">
        <x:f>IF(F1388&lt;=9,1,0)</x:f>
        <x:v>1</x:v>
      </x:c>
      <x:c r="I1388" s="9" t="n">
        <x:f>MIN(10,F1387+IF(AR1387&gt;0,MIN(1,AS1387/AR1387),1))</x:f>
        <x:v>9.690120106211152</x:v>
      </x:c>
      <x:c r="J1388" s="32" t="n">
        <x:f>INDEX(v01_FoodCap,G1388)*Arch_FoodCap*EXP(v01_CapsByProject*SUMPRODUCT((Cap_Point&lt;=I1388)*(Cap_Kind="Food")*Cap_Ln))</x:f>
        <x:v>12000</x:v>
      </x:c>
      <x:c r="K1388" s="32" t="n">
        <x:f>J1388*MIN(1,v01_LeanBase*EXP(v01_CapsByProject*SUMPRODUCT((Cap_Point&lt;=I1388)*(Cap_Kind="Lean")*Cap_Ln)))</x:f>
        <x:v>12000</x:v>
      </x:c>
      <x:c r="L1388" s="10" t="n">
        <x:f>INDEX(v01_HousingCap,G1388)*EXP(v01_CapsByProject*SUMPRODUCT((Cap_Point&lt;=I1388)*(Cap_Kind="Housing")*Cap_Ln))</x:f>
        <x:v>20000</x:v>
      </x:c>
      <x:c r="M1388" s="10" t="n">
        <x:f>INDEX(v01_GroupCap,G1388)*v01_CohesionFactor*EXP(v01_CapsByProject*SUMPRODUCT((Cap_Point&lt;=I1388)*(Cap_Kind="Group")*Cap_Ln))</x:f>
        <x:v>1000000</x:v>
      </x:c>
      <x:c r="N1388" s="32" t="n">
        <x:f>MIN(J1388,L1388,M1388)</x:f>
        <x:v>12000</x:v>
      </x:c>
      <x:c r="O1388" s="10" t="n">
        <x:f>AE1387*N1388</x:f>
        <x:v>180000</x:v>
      </x:c>
      <x:c r="P1388" s="9" t="n">
        <x:f>MIN(1,(AB1387/(AE1387*IF(v01_GroupInCrowding=1,N1388,MIN(J1388,L1388))))^v01_CrowdingExp)</x:f>
        <x:v>0.00014678133752025978</x:v>
      </x:c>
      <x:c r="Q1388" s="9" t="n">
        <x:f>IF(D1388=1,INDEX(v01_WinterMult,G1388),1)</x:f>
        <x:v>1</x:v>
      </x:c>
      <x:c r="R1388" s="9" t="n">
        <x:f>H1388*Z1387*v01_WomenShare*v01_BaseFertility*INDEX(v01_FertMult,G1388)*Arch_Fertility*(1-P1388)</x:f>
        <x:v>295.1829315018985</x:v>
      </x:c>
      <x:c r="S1388" s="9" t="n">
        <x:f>H1388*Y1387*INDEX(v01_MortChild,G1388)/4*Q1388</x:f>
        <x:v>10.10931656006439</x:v>
      </x:c>
      <x:c r="T1388" s="9" t="n">
        <x:f>H1388*Z1387*INDEX(v01_MortAdult,G1388)*Arch_AdultMort/4*Q1388</x:f>
        <x:v>11.182813076059729</x:v>
      </x:c>
      <x:c r="U1388" s="9" t="n">
        <x:f>H1388*AA1387*INDEX(v01_MortElder,G1388)/4*Q1388</x:f>
        <x:v>62.31079831133373</x:v>
      </x:c>
      <x:c r="V1388" s="9" t="n">
        <x:f>H1388*MAX(0,AB1387-O1388)*v01_OvercapLoss</x:f>
        <x:v>0</x:v>
      </x:c>
      <x:c r="W1388" s="9" t="n">
        <x:f>H1388*Y1387/(v01_ChildYears*4)</x:f>
        <x:v>240.6980133348664</x:v>
      </x:c>
      <x:c r="X1388" s="9" t="n">
        <x:f>H1388*Z1387/(v01_AdultYears*4)</x:f>
        <x:v>144.29436227173844</x:v>
      </x:c>
      <x:c r="Y1388" s="32" t="n">
        <x:f>Y1387+R1388-S1388-W1388-Y1387*V1388/AB1387</x:f>
        <x:v>13523.464348359486</x:v>
      </x:c>
      <x:c r="Z1388" s="32" t="n">
        <x:f>Z1387+W1388-X1388-T1388-Z1387*V1388/AB1387</x:f>
        <x:v>17977.721759682634</x:v>
      </x:c>
      <x:c r="AA1388" s="32" t="n">
        <x:f>AA1387+X1388-U1388-AA1387*V1388/AB1387</x:f>
        <x:v>10051.7112937738</x:v>
      </x:c>
      <x:c r="AB1388" s="10" t="n">
        <x:f>Y1388+Z1388+AA1388</x:f>
        <x:v>41552.89740181592</x:v>
      </x:c>
      <x:c r="AC1388" s="8" t="n">
        <x:f>IF(AND(v01_WinterTrigger=1,D1388=1,AB1387/AE1387&gt;=K1388),1,0)</x:f>
        <x:v>0</x:v>
      </x:c>
      <x:c r="AD1388" s="8" t="n">
        <x:f>H1388*IF(AND(OR(AB1387/AE1387&gt;=v01_FissionTrigger*N1388,AC1388=1),AB1387/AE1387*v01_DaughterShare&gt;=v01_MinDaughter),MAX(1,ROUND(AE1387*v01_FissionRate,0)),0)</x:f>
        <x:v>0</x:v>
      </x:c>
      <x:c r="AE1388" s="8" t="n">
        <x:f>IF(H1388=1,MAX(1,MIN(INDEX(v01_Smax,G1388),AE1387+AD1388)),AE1387)</x:f>
        <x:v>15</x:v>
      </x:c>
      <x:c r="AF1388" s="8" t="n">
        <x:f>MAX(0,AE1388-AE1387)</x:f>
        <x:v>0</x:v>
      </x:c>
      <x:c r="AG1388" s="9" t="str">
        <x:f>IF(AF1388&gt;0,B1388,"")</x:f>
      </x:c>
      <x:c r="AH1388" s="9" t="n">
        <x:f>IF(F1388&gt;=1,1,(1+v01_LowTiesShare*(AE1388-1))/AE1388)</x:f>
        <x:v>1</x:v>
      </x:c>
      <x:c r="AI1388" s="32" t="n">
        <x:f>(Z1388+v01_ElderCommons*INDEX(LM_Elder,G1388)*AA1388)*AH1388</x:f>
        <x:v>57511.4358002894</x:v>
      </x:c>
      <x:c r="AJ1388" s="32" t="n">
        <x:f>H1388*v01_CommonsCoef*AI1388^v01_CommonsExp*INDEX(LM_Commons,G1388)</x:f>
        <x:v>29832.601697932027</x:v>
      </x:c>
      <x:c r="AK1388" s="32" t="n">
        <x:f>H1388*v01_RoleScale*Arch_Roles*(AE1388*(INDEX(v01_ElderRolePerSett,G1388)*v01_OutElder*INDEX(LM_Elder,G1388)+INDEX(v01_ShamanPerSett,G1388)*v01_OutShaman)+Z1388*(INDEX(v01_PriestShare,G1388)*v01_OutPriest+INDEX(v01_ScribeShare,G1388)*v01_OutScribe*INDEX(LM_Scribe,G1388)+INDEX(v01_ScholarShare,G1388)*v01_OutScholar*INDEX(LM_Scholar,G1388)+INDEX(v01_ResearcherShare,G1388)*v01_OutResearcher*INDEX(LM_Researcher,G1388)))</x:f>
        <x:v>8145.276810583222</x:v>
      </x:c>
      <x:c r="AL1388" s="32" t="n">
        <x:f>H1388*v01_RoleScale*Arch_Roles*AE1388*INDEX(v01_MonasteryPerSett,G1388)*v01_OutMonastery*INDEX(LM_Monastery,G1388)</x:f>
        <x:v>3.3000000000000003</x:v>
      </x:c>
      <x:c r="AM1388" s="32" t="n">
        <x:f>(AJ1388+AK1388+AL1388)/4*INDEX(LM_All,G1388)*INDEX(v01_Boon,G1388)*Arch_Insight</x:f>
        <x:v>32890.65310313738</x:v>
      </x:c>
      <x:c r="AN1388" s="32" t="n">
        <x:f>H1388*(v01_KHPerAdult*Z1388+v01_KHOfCommons*AJ1388/4*INDEX(LM_All,G1388))*v01_KHUsable*Arch_KH</x:f>
        <x:v>629.2202615888922</x:v>
      </x:c>
      <x:c r="AO1388" s="32" t="n">
        <x:f>MIN(AP1387+AN1388,AM1388*v01_KHMaxRatio)</x:f>
        <x:v>629.2202615888922</x:v>
      </x:c>
      <x:c r="AP1388" s="32" t="n">
        <x:f>AP1387+AN1388-AO1388</x:f>
        <x:v>0</x:v>
      </x:c>
      <x:c r="AQ1388" s="32" t="n">
        <x:f>AM1388+AO1388</x:f>
        <x:v>33519.87336472627</x:v>
      </x:c>
      <x:c r="AR1388" s="10" t="n">
        <x:f>IF(H1388=1,INDEX(v01_Req,G1388),0)</x:f>
        <x:v>1845340.8943637449</x:v>
      </x:c>
      <x:c r="AS1388" s="32" t="n">
        <x:f>IF(H1388=1,IF(E1388=1,AS1387-AR1387,AS1387)+AQ1388,0)</x:f>
        <x:v>1307026.7273788152</x:v>
      </x:c>
      <x:c r="AT1388" s="11" t="n">
        <x:f>IF(AR1388&gt;0,MIN(1,AS1388/AR1388),1)</x:f>
        <x:v>0.708284703043697</x:v>
      </x:c>
      <x:c r="AU1388" s="10" t="n">
        <x:f>AB1388/INDEX(v01_RepScale,G1388)</x:f>
        <x:v>83.10579480363184</x:v>
      </x:c>
      <x:c r="AV1388" s="32" t="n">
        <x:f>AM1388*60/v01_SeasonSeconds</x:f>
        <x:v>131562.61241254953</x:v>
      </x:c>
    </x:row>
    <x:row r="1389">
      <x:c r="A1389" s="8" t="n">
        <x:f>A1388+1</x:f>
        <x:v>1386</x:v>
      </x:c>
      <x:c r="B1389" s="9" t="n">
        <x:f>A1389*v01_SeasonSeconds/60</x:f>
        <x:v>346.5</x:v>
      </x:c>
      <x:c r="C1389" s="9" t="n">
        <x:f>A1389/4</x:f>
        <x:v>346.5</x:v>
      </x:c>
      <x:c r="D1389" s="8" t="n">
        <x:f>IF(MOD(A1389,4)=0,1,0)</x:f>
        <x:v>0</x:v>
      </x:c>
      <x:c r="E1389" s="8" t="n">
        <x:f>IF(AND(F1388&lt;=9,AS1388&gt;=AR1388),1,0)</x:f>
        <x:v>0</x:v>
      </x:c>
      <x:c r="F1389" s="8" t="n">
        <x:f>MIN(10,F1388+E1389)</x:f>
        <x:v>9</x:v>
      </x:c>
      <x:c r="G1389" s="8" t="n">
        <x:f>MIN(F1389,9)+1</x:f>
        <x:v>10</x:v>
      </x:c>
      <x:c r="H1389" s="8" t="n">
        <x:f>IF(F1389&lt;=9,1,0)</x:f>
        <x:v>1</x:v>
      </x:c>
      <x:c r="I1389" s="9" t="n">
        <x:f>MIN(10,F1388+IF(AR1388&gt;0,MIN(1,AS1388/AR1388),1))</x:f>
        <x:v>9.708284703043697</x:v>
      </x:c>
      <x:c r="J1389" s="32" t="n">
        <x:f>INDEX(v01_FoodCap,G1389)*Arch_FoodCap*EXP(v01_CapsByProject*SUMPRODUCT((Cap_Point&lt;=I1389)*(Cap_Kind="Food")*Cap_Ln))</x:f>
        <x:v>12000</x:v>
      </x:c>
      <x:c r="K1389" s="32" t="n">
        <x:f>J1389*MIN(1,v01_LeanBase*EXP(v01_CapsByProject*SUMPRODUCT((Cap_Point&lt;=I1389)*(Cap_Kind="Lean")*Cap_Ln)))</x:f>
        <x:v>12000</x:v>
      </x:c>
      <x:c r="L1389" s="10" t="n">
        <x:f>INDEX(v01_HousingCap,G1389)*EXP(v01_CapsByProject*SUMPRODUCT((Cap_Point&lt;=I1389)*(Cap_Kind="Housing")*Cap_Ln))</x:f>
        <x:v>20000</x:v>
      </x:c>
      <x:c r="M1389" s="10" t="n">
        <x:f>INDEX(v01_GroupCap,G1389)*v01_CohesionFactor*EXP(v01_CapsByProject*SUMPRODUCT((Cap_Point&lt;=I1389)*(Cap_Kind="Group")*Cap_Ln))</x:f>
        <x:v>1000000</x:v>
      </x:c>
      <x:c r="N1389" s="32" t="n">
        <x:f>MIN(J1389,L1389,M1389)</x:f>
        <x:v>12000</x:v>
      </x:c>
      <x:c r="O1389" s="10" t="n">
        <x:f>AE1388*N1389</x:f>
        <x:v>180000</x:v>
      </x:c>
      <x:c r="P1389" s="9" t="n">
        <x:f>MIN(1,(AB1388/(AE1388*IF(v01_GroupInCrowding=1,N1389,MIN(J1389,L1389))))^v01_CrowdingExp)</x:f>
        <x:v>0.00015134665940195333</x:v>
      </x:c>
      <x:c r="Q1389" s="9" t="n">
        <x:f>IF(D1389=1,INDEX(v01_WinterMult,G1389),1)</x:f>
        <x:v>1</x:v>
      </x:c>
      <x:c r="R1389" s="9" t="n">
        <x:f>H1389*Z1388*v01_WomenShare*v01_BaseFertility*INDEX(v01_FertMult,G1389)*Arch_Fertility*(1-P1389)</x:f>
        <x:v>296.58751471058565</x:v>
      </x:c>
      <x:c r="S1389" s="9" t="n">
        <x:f>H1389*Y1388*INDEX(v01_MortChild,G1389)/4*Q1389</x:f>
        <x:v>10.142598261269615</x:v>
      </x:c>
      <x:c r="T1389" s="9" t="n">
        <x:f>H1389*Z1388*INDEX(v01_MortAdult,G1389)*Arch_AdultMort/4*Q1389</x:f>
        <x:v>11.236076099801647</x:v>
      </x:c>
      <x:c r="U1389" s="9" t="n">
        <x:f>H1389*AA1388*INDEX(v01_MortElder,G1389)/4*Q1389</x:f>
        <x:v>62.82319558608626</x:v>
      </x:c>
      <x:c r="V1389" s="9" t="n">
        <x:f>H1389*MAX(0,AB1388-O1389)*v01_OvercapLoss</x:f>
        <x:v>0</x:v>
      </x:c>
      <x:c r="W1389" s="9" t="n">
        <x:f>H1389*Y1388/(v01_ChildYears*4)</x:f>
        <x:v>241.4904347921337</x:v>
      </x:c>
      <x:c r="X1389" s="9" t="n">
        <x:f>H1389*Z1388/(v01_AdultYears*4)</x:f>
        <x:v>144.9816270942148</x:v>
      </x:c>
      <x:c r="Y1389" s="32" t="n">
        <x:f>Y1388+R1389-S1389-W1389-Y1388*V1389/AB1388</x:f>
        <x:v>13568.41883001667</x:v>
      </x:c>
      <x:c r="Z1389" s="32" t="n">
        <x:f>Z1388+W1389-X1389-T1389-Z1388*V1389/AB1388</x:f>
        <x:v>18062.99449128075</x:v>
      </x:c>
      <x:c r="AA1389" s="32" t="n">
        <x:f>AA1388+X1389-U1389-AA1388*V1389/AB1388</x:f>
        <x:v>10133.86972528193</x:v>
      </x:c>
      <x:c r="AB1389" s="10" t="n">
        <x:f>Y1389+Z1389+AA1389</x:f>
        <x:v>41765.28304657935</x:v>
      </x:c>
      <x:c r="AC1389" s="8" t="n">
        <x:f>IF(AND(v01_WinterTrigger=1,D1389=1,AB1388/AE1388&gt;=K1389),1,0)</x:f>
        <x:v>0</x:v>
      </x:c>
      <x:c r="AD1389" s="8" t="n">
        <x:f>H1389*IF(AND(OR(AB1388/AE1388&gt;=v01_FissionTrigger*N1389,AC1389=1),AB1388/AE1388*v01_DaughterShare&gt;=v01_MinDaughter),MAX(1,ROUND(AE1388*v01_FissionRate,0)),0)</x:f>
        <x:v>0</x:v>
      </x:c>
      <x:c r="AE1389" s="8" t="n">
        <x:f>IF(H1389=1,MAX(1,MIN(INDEX(v01_Smax,G1389),AE1388+AD1389)),AE1388)</x:f>
        <x:v>15</x:v>
      </x:c>
      <x:c r="AF1389" s="8" t="n">
        <x:f>MAX(0,AE1389-AE1388)</x:f>
        <x:v>0</x:v>
      </x:c>
      <x:c r="AG1389" s="9" t="str">
        <x:f>IF(AF1389&gt;0,B1389,"")</x:f>
      </x:c>
      <x:c r="AH1389" s="9" t="n">
        <x:f>IF(F1389&gt;=1,1,(1+v01_LowTiesShare*(AE1389-1))/AE1389)</x:f>
        <x:v>1</x:v>
      </x:c>
      <x:c r="AI1389" s="32" t="n">
        <x:f>(Z1389+v01_ElderCommons*INDEX(LM_Elder,G1389)*AA1389)*AH1389</x:f>
        <x:v>57919.84036907817</x:v>
      </x:c>
      <x:c r="AJ1389" s="32" t="n">
        <x:f>H1389*v01_CommonsCoef*AI1389^v01_CommonsExp*INDEX(LM_Commons,G1389)</x:f>
        <x:v>30012.578155668583</x:v>
      </x:c>
      <x:c r="AK1389" s="32" t="n">
        <x:f>H1389*v01_RoleScale*Arch_Roles*(AE1389*(INDEX(v01_ElderRolePerSett,G1389)*v01_OutElder*INDEX(LM_Elder,G1389)+INDEX(v01_ShamanPerSett,G1389)*v01_OutShaman)+Z1389*(INDEX(v01_PriestShare,G1389)*v01_OutPriest+INDEX(v01_ScribeShare,G1389)*v01_OutScribe*INDEX(LM_Scribe,G1389)+INDEX(v01_ScholarShare,G1389)*v01_OutScholar*INDEX(LM_Scholar,G1389)+INDEX(v01_ResearcherShare,G1389)*v01_OutResearcher*INDEX(LM_Researcher,G1389)))</x:f>
        <x:v>8183.665212762588</x:v>
      </x:c>
      <x:c r="AL1389" s="32" t="n">
        <x:f>H1389*v01_RoleScale*Arch_Roles*AE1389*INDEX(v01_MonasteryPerSett,G1389)*v01_OutMonastery*INDEX(LM_Monastery,G1389)</x:f>
        <x:v>3.3000000000000003</x:v>
      </x:c>
      <x:c r="AM1389" s="32" t="n">
        <x:f>(AJ1389+AK1389+AL1389)/4*INDEX(LM_All,G1389)*INDEX(v01_Boon,G1389)*Arch_Insight</x:f>
        <x:v>33079.751049526785</x:v>
      </x:c>
      <x:c r="AN1389" s="32" t="n">
        <x:f>H1389*(v01_KHPerAdult*Z1389+v01_KHOfCommons*AJ1389/4*INDEX(LM_All,G1389))*v01_KHUsable*Arch_KH</x:f>
        <x:v>632.2048071948262</x:v>
      </x:c>
      <x:c r="AO1389" s="32" t="n">
        <x:f>MIN(AP1388+AN1389,AM1389*v01_KHMaxRatio)</x:f>
        <x:v>632.2048071948262</x:v>
      </x:c>
      <x:c r="AP1389" s="32" t="n">
        <x:f>AP1388+AN1389-AO1389</x:f>
        <x:v>0</x:v>
      </x:c>
      <x:c r="AQ1389" s="32" t="n">
        <x:f>AM1389+AO1389</x:f>
        <x:v>33711.95585672161</x:v>
      </x:c>
      <x:c r="AR1389" s="10" t="n">
        <x:f>IF(H1389=1,INDEX(v01_Req,G1389),0)</x:f>
        <x:v>1845340.8943637449</x:v>
      </x:c>
      <x:c r="AS1389" s="32" t="n">
        <x:f>IF(H1389=1,IF(E1389=1,AS1388-AR1388,AS1388)+AQ1389,0)</x:f>
        <x:v>1340738.6832355368</x:v>
      </x:c>
      <x:c r="AT1389" s="11" t="n">
        <x:f>IF(AR1389&gt;0,MIN(1,AS1389/AR1389),1)</x:f>
        <x:v>0.7265533903955508</x:v>
      </x:c>
      <x:c r="AU1389" s="10" t="n">
        <x:f>AB1389/INDEX(v01_RepScale,G1389)</x:f>
        <x:v>83.53056609315871</x:v>
      </x:c>
      <x:c r="AV1389" s="32" t="n">
        <x:f>AM1389*60/v01_SeasonSeconds</x:f>
        <x:v>132319.00419810714</x:v>
      </x:c>
    </x:row>
    <x:row r="1390">
      <x:c r="A1390" s="8" t="n">
        <x:f>A1389+1</x:f>
        <x:v>1387</x:v>
      </x:c>
      <x:c r="B1390" s="9" t="n">
        <x:f>A1390*v01_SeasonSeconds/60</x:f>
        <x:v>346.75</x:v>
      </x:c>
      <x:c r="C1390" s="9" t="n">
        <x:f>A1390/4</x:f>
        <x:v>346.75</x:v>
      </x:c>
      <x:c r="D1390" s="8" t="n">
        <x:f>IF(MOD(A1390,4)=0,1,0)</x:f>
        <x:v>0</x:v>
      </x:c>
      <x:c r="E1390" s="8" t="n">
        <x:f>IF(AND(F1389&lt;=9,AS1389&gt;=AR1389),1,0)</x:f>
        <x:v>0</x:v>
      </x:c>
      <x:c r="F1390" s="8" t="n">
        <x:f>MIN(10,F1389+E1390)</x:f>
        <x:v>9</x:v>
      </x:c>
      <x:c r="G1390" s="8" t="n">
        <x:f>MIN(F1390,9)+1</x:f>
        <x:v>10</x:v>
      </x:c>
      <x:c r="H1390" s="8" t="n">
        <x:f>IF(F1390&lt;=9,1,0)</x:f>
        <x:v>1</x:v>
      </x:c>
      <x:c r="I1390" s="9" t="n">
        <x:f>MIN(10,F1389+IF(AR1389&gt;0,MIN(1,AS1389/AR1389),1))</x:f>
        <x:v>9.726553390395551</x:v>
      </x:c>
      <x:c r="J1390" s="32" t="n">
        <x:f>INDEX(v01_FoodCap,G1390)*Arch_FoodCap*EXP(v01_CapsByProject*SUMPRODUCT((Cap_Point&lt;=I1390)*(Cap_Kind="Food")*Cap_Ln))</x:f>
        <x:v>12000</x:v>
      </x:c>
      <x:c r="K1390" s="32" t="n">
        <x:f>J1390*MIN(1,v01_LeanBase*EXP(v01_CapsByProject*SUMPRODUCT((Cap_Point&lt;=I1390)*(Cap_Kind="Lean")*Cap_Ln)))</x:f>
        <x:v>12000</x:v>
      </x:c>
      <x:c r="L1390" s="10" t="n">
        <x:f>INDEX(v01_HousingCap,G1390)*EXP(v01_CapsByProject*SUMPRODUCT((Cap_Point&lt;=I1390)*(Cap_Kind="Housing")*Cap_Ln))</x:f>
        <x:v>20000</x:v>
      </x:c>
      <x:c r="M1390" s="10" t="n">
        <x:f>INDEX(v01_GroupCap,G1390)*v01_CohesionFactor*EXP(v01_CapsByProject*SUMPRODUCT((Cap_Point&lt;=I1390)*(Cap_Kind="Group")*Cap_Ln))</x:f>
        <x:v>1000000</x:v>
      </x:c>
      <x:c r="N1390" s="32" t="n">
        <x:f>MIN(J1390,L1390,M1390)</x:f>
        <x:v>12000</x:v>
      </x:c>
      <x:c r="O1390" s="10" t="n">
        <x:f>AE1389*N1390</x:f>
        <x:v>180000</x:v>
      </x:c>
      <x:c r="P1390" s="9" t="n">
        <x:f>MIN(1,(AB1389/(AE1389*IF(v01_GroupInCrowding=1,N1390,MIN(J1390,L1390))))^v01_CrowdingExp)</x:f>
        <x:v>0.00015604776159724705</x:v>
      </x:c>
      <x:c r="Q1390" s="9" t="n">
        <x:f>IF(D1390=1,INDEX(v01_WinterMult,G1390),1)</x:f>
        <x:v>1</x:v>
      </x:c>
      <x:c r="R1390" s="9" t="n">
        <x:f>H1390*Z1389*v01_WomenShare*v01_BaseFertility*INDEX(v01_FertMult,G1390)*Arch_Fertility*(1-P1390)</x:f>
        <x:v>297.99290072347367</x:v>
      </x:c>
      <x:c r="S1390" s="9" t="n">
        <x:f>H1390*Y1389*INDEX(v01_MortChild,G1390)/4*Q1390</x:f>
        <x:v>10.176314122512503</x:v>
      </x:c>
      <x:c r="T1390" s="9" t="n">
        <x:f>H1390*Z1389*INDEX(v01_MortAdult,G1390)*Arch_AdultMort/4*Q1390</x:f>
        <x:v>11.28937155705047</x:v>
      </x:c>
      <x:c r="U1390" s="9" t="n">
        <x:f>H1390*AA1389*INDEX(v01_MortElder,G1390)/4*Q1390</x:f>
        <x:v>63.33668578301206</x:v>
      </x:c>
      <x:c r="V1390" s="9" t="n">
        <x:f>H1390*MAX(0,AB1389-O1390)*v01_OvercapLoss</x:f>
        <x:v>0</x:v>
      </x:c>
      <x:c r="W1390" s="9" t="n">
        <x:f>H1390*Y1389/(v01_ChildYears*4)</x:f>
        <x:v>242.2931933931548</x:v>
      </x:c>
      <x:c r="X1390" s="9" t="n">
        <x:f>H1390*Z1389/(v01_AdultYears*4)</x:f>
        <x:v>145.66931041355446</x:v>
      </x:c>
      <x:c r="Y1390" s="32" t="n">
        <x:f>Y1389+R1390-S1390-W1390-Y1389*V1390/AB1389</x:f>
        <x:v>13613.942223224476</x:v>
      </x:c>
      <x:c r="Z1390" s="32" t="n">
        <x:f>Z1389+W1390-X1390-T1390-Z1389*V1390/AB1389</x:f>
        <x:v>18148.3290027033</x:v>
      </x:c>
      <x:c r="AA1390" s="32" t="n">
        <x:f>AA1389+X1390-U1390-AA1389*V1390/AB1389</x:f>
        <x:v>10216.202349912472</x:v>
      </x:c>
      <x:c r="AB1390" s="10" t="n">
        <x:f>Y1390+Z1390+AA1390</x:f>
        <x:v>41978.473575840246</x:v>
      </x:c>
      <x:c r="AC1390" s="8" t="n">
        <x:f>IF(AND(v01_WinterTrigger=1,D1390=1,AB1389/AE1389&gt;=K1390),1,0)</x:f>
        <x:v>0</x:v>
      </x:c>
      <x:c r="AD1390" s="8" t="n">
        <x:f>H1390*IF(AND(OR(AB1389/AE1389&gt;=v01_FissionTrigger*N1390,AC1390=1),AB1389/AE1389*v01_DaughterShare&gt;=v01_MinDaughter),MAX(1,ROUND(AE1389*v01_FissionRate,0)),0)</x:f>
        <x:v>0</x:v>
      </x:c>
      <x:c r="AE1390" s="8" t="n">
        <x:f>IF(H1390=1,MAX(1,MIN(INDEX(v01_Smax,G1390),AE1389+AD1390)),AE1389)</x:f>
        <x:v>15</x:v>
      </x:c>
      <x:c r="AF1390" s="8" t="n">
        <x:f>MAX(0,AE1390-AE1389)</x:f>
        <x:v>0</x:v>
      </x:c>
      <x:c r="AG1390" s="9" t="str">
        <x:f>IF(AF1390&gt;0,B1390,"")</x:f>
      </x:c>
      <x:c r="AH1390" s="9" t="n">
        <x:f>IF(F1390&gt;=1,1,(1+v01_LowTiesShare*(AE1390-1))/AE1390)</x:f>
        <x:v>1</x:v>
      </x:c>
      <x:c r="AI1390" s="32" t="n">
        <x:f>(Z1390+v01_ElderCommons*INDEX(LM_Elder,G1390)*AA1390)*AH1390</x:f>
        <x:v>58328.99182502166</x:v>
      </x:c>
      <x:c r="AJ1390" s="32" t="n">
        <x:f>H1390*v01_CommonsCoef*AI1390^v01_CommonsExp*INDEX(LM_Commons,G1390)</x:f>
        <x:v>30192.692973032565</x:v>
      </x:c>
      <x:c r="AK1390" s="32" t="n">
        <x:f>H1390*v01_RoleScale*Arch_Roles*(AE1390*(INDEX(v01_ElderRolePerSett,G1390)*v01_OutElder*INDEX(LM_Elder,G1390)+INDEX(v01_ShamanPerSett,G1390)*v01_OutShaman)+Z1390*(INDEX(v01_PriestShare,G1390)*v01_OutPriest+INDEX(v01_ScribeShare,G1390)*v01_OutScribe*INDEX(LM_Scribe,G1390)+INDEX(v01_ScholarShare,G1390)*v01_OutScholar*INDEX(LM_Scholar,G1390)+INDEX(v01_ResearcherShare,G1390)*v01_OutResearcher*INDEX(LM_Researcher,G1390)))</x:f>
        <x:v>8222.081427217958</x:v>
      </x:c>
      <x:c r="AL1390" s="32" t="n">
        <x:f>H1390*v01_RoleScale*Arch_Roles*AE1390*INDEX(v01_MonasteryPerSett,G1390)*v01_OutMonastery*INDEX(LM_Monastery,G1390)</x:f>
        <x:v>3.3000000000000003</x:v>
      </x:c>
      <x:c r="AM1390" s="32" t="n">
        <x:f>(AJ1390+AK1390+AL1390)/4*INDEX(LM_All,G1390)*INDEX(v01_Boon,G1390)*Arch_Insight</x:f>
        <x:v>33268.9928962017</x:v>
      </x:c>
      <x:c r="AN1390" s="32" t="n">
        <x:f>H1390*(v01_KHPerAdult*Z1390+v01_KHOfCommons*AJ1390/4*INDEX(LM_All,G1390))*v01_KHUsable*Arch_KH</x:f>
        <x:v>635.1915150946155</x:v>
      </x:c>
      <x:c r="AO1390" s="32" t="n">
        <x:f>MIN(AP1389+AN1390,AM1390*v01_KHMaxRatio)</x:f>
        <x:v>635.1915150946155</x:v>
      </x:c>
      <x:c r="AP1390" s="32" t="n">
        <x:f>AP1389+AN1390-AO1390</x:f>
        <x:v>0</x:v>
      </x:c>
      <x:c r="AQ1390" s="32" t="n">
        <x:f>AM1390+AO1390</x:f>
        <x:v>33904.184411296315</x:v>
      </x:c>
      <x:c r="AR1390" s="10" t="n">
        <x:f>IF(H1390=1,INDEX(v01_Req,G1390),0)</x:f>
        <x:v>1845340.8943637449</x:v>
      </x:c>
      <x:c r="AS1390" s="32" t="n">
        <x:f>IF(H1390=1,IF(E1390=1,AS1389-AR1389,AS1389)+AQ1390,0)</x:f>
        <x:v>1374642.8676468332</x:v>
      </x:c>
      <x:c r="AT1390" s="11" t="n">
        <x:f>IF(AR1390&gt;0,MIN(1,AS1390/AR1390),1)</x:f>
        <x:v>0.7449262474187981</x:v>
      </x:c>
      <x:c r="AU1390" s="10" t="n">
        <x:f>AB1390/INDEX(v01_RepScale,G1390)</x:f>
        <x:v>83.9569471516805</x:v>
      </x:c>
      <x:c r="AV1390" s="32" t="n">
        <x:f>AM1390*60/v01_SeasonSeconds</x:f>
        <x:v>133075.9715848068</x:v>
      </x:c>
    </x:row>
    <x:row r="1391">
      <x:c r="A1391" s="8" t="n">
        <x:f>A1390+1</x:f>
        <x:v>1388</x:v>
      </x:c>
      <x:c r="B1391" s="9" t="n">
        <x:f>A1391*v01_SeasonSeconds/60</x:f>
        <x:v>347</x:v>
      </x:c>
      <x:c r="C1391" s="9" t="n">
        <x:f>A1391/4</x:f>
        <x:v>347</x:v>
      </x:c>
      <x:c r="D1391" s="8" t="n">
        <x:f>IF(MOD(A1391,4)=0,1,0)</x:f>
        <x:v>1</x:v>
      </x:c>
      <x:c r="E1391" s="8" t="n">
        <x:f>IF(AND(F1390&lt;=9,AS1390&gt;=AR1390),1,0)</x:f>
        <x:v>0</x:v>
      </x:c>
      <x:c r="F1391" s="8" t="n">
        <x:f>MIN(10,F1390+E1391)</x:f>
        <x:v>9</x:v>
      </x:c>
      <x:c r="G1391" s="8" t="n">
        <x:f>MIN(F1391,9)+1</x:f>
        <x:v>10</x:v>
      </x:c>
      <x:c r="H1391" s="8" t="n">
        <x:f>IF(F1391&lt;=9,1,0)</x:f>
        <x:v>1</x:v>
      </x:c>
      <x:c r="I1391" s="9" t="n">
        <x:f>MIN(10,F1390+IF(AR1390&gt;0,MIN(1,AS1390/AR1390),1))</x:f>
        <x:v>9.744926247418798</x:v>
      </x:c>
      <x:c r="J1391" s="32" t="n">
        <x:f>INDEX(v01_FoodCap,G1391)*Arch_FoodCap*EXP(v01_CapsByProject*SUMPRODUCT((Cap_Point&lt;=I1391)*(Cap_Kind="Food")*Cap_Ln))</x:f>
        <x:v>12000</x:v>
      </x:c>
      <x:c r="K1391" s="32" t="n">
        <x:f>J1391*MIN(1,v01_LeanBase*EXP(v01_CapsByProject*SUMPRODUCT((Cap_Point&lt;=I1391)*(Cap_Kind="Lean")*Cap_Ln)))</x:f>
        <x:v>12000</x:v>
      </x:c>
      <x:c r="L1391" s="10" t="n">
        <x:f>INDEX(v01_HousingCap,G1391)*EXP(v01_CapsByProject*SUMPRODUCT((Cap_Point&lt;=I1391)*(Cap_Kind="Housing")*Cap_Ln))</x:f>
        <x:v>20000</x:v>
      </x:c>
      <x:c r="M1391" s="10" t="n">
        <x:f>INDEX(v01_GroupCap,G1391)*v01_CohesionFactor*EXP(v01_CapsByProject*SUMPRODUCT((Cap_Point&lt;=I1391)*(Cap_Kind="Group")*Cap_Ln))</x:f>
        <x:v>1000000</x:v>
      </x:c>
      <x:c r="N1391" s="32" t="n">
        <x:f>MIN(J1391,L1391,M1391)</x:f>
        <x:v>12000</x:v>
      </x:c>
      <x:c r="O1391" s="10" t="n">
        <x:f>AE1390*N1391</x:f>
        <x:v>180000</x:v>
      </x:c>
      <x:c r="P1391" s="9" t="n">
        <x:f>MIN(1,(AB1390/(AE1390*IF(v01_GroupInCrowding=1,N1391,MIN(J1391,L1391))))^v01_CrowdingExp)</x:f>
        <x:v>0.0001608884343655461</x:v>
      </x:c>
      <x:c r="Q1391" s="9" t="n">
        <x:f>IF(D1391=1,INDEX(v01_WinterMult,G1391),1)</x:f>
        <x:v>1</x:v>
      </x:c>
      <x:c r="R1391" s="9" t="n">
        <x:f>H1391*Z1390*v01_WomenShare*v01_BaseFertility*INDEX(v01_FertMult,G1391)*Arch_Fertility*(1-P1391)</x:f>
        <x:v>299.3992509166511</x:v>
      </x:c>
      <x:c r="S1391" s="9" t="n">
        <x:f>H1391*Y1390*INDEX(v01_MortChild,G1391)/4*Q1391</x:f>
        <x:v>10.210456667418358</x:v>
      </x:c>
      <x:c r="T1391" s="9" t="n">
        <x:f>H1391*Z1390*INDEX(v01_MortAdult,G1391)*Arch_AdultMort/4*Q1391</x:f>
        <x:v>11.342705626689563</x:v>
      </x:c>
      <x:c r="U1391" s="9" t="n">
        <x:f>H1391*AA1390*INDEX(v01_MortElder,G1391)/4*Q1391</x:f>
        <x:v>63.85126468695295</x:v>
      </x:c>
      <x:c r="V1391" s="9" t="n">
        <x:f>H1391*MAX(0,AB1390-O1391)*v01_OvercapLoss</x:f>
        <x:v>0</x:v>
      </x:c>
      <x:c r="W1391" s="9" t="n">
        <x:f>H1391*Y1390/(v01_ChildYears*4)</x:f>
        <x:v>243.1061111290085</x:v>
      </x:c>
      <x:c r="X1391" s="9" t="n">
        <x:f>H1391*Z1390/(v01_AdultYears*4)</x:f>
        <x:v>146.35749195728468</x:v>
      </x:c>
      <x:c r="Y1391" s="32" t="n">
        <x:f>Y1390+R1391-S1391-W1391-Y1390*V1391/AB1390</x:f>
        <x:v>13660.024906344699</x:v>
      </x:c>
      <x:c r="Z1391" s="32" t="n">
        <x:f>Z1390+W1391-X1391-T1391-Z1390*V1391/AB1390</x:f>
        <x:v>18233.734916248333</x:v>
      </x:c>
      <x:c r="AA1391" s="32" t="n">
        <x:f>AA1390+X1391-U1391-AA1390*V1391/AB1390</x:f>
        <x:v>10298.708577182802</x:v>
      </x:c>
      <x:c r="AB1391" s="10" t="n">
        <x:f>Y1391+Z1391+AA1391</x:f>
        <x:v>42192.46839977584</x:v>
      </x:c>
      <x:c r="AC1391" s="8" t="n">
        <x:f>IF(AND(v01_WinterTrigger=1,D1391=1,AB1390/AE1390&gt;=K1391),1,0)</x:f>
        <x:v>0</x:v>
      </x:c>
      <x:c r="AD1391" s="8" t="n">
        <x:f>H1391*IF(AND(OR(AB1390/AE1390&gt;=v01_FissionTrigger*N1391,AC1391=1),AB1390/AE1390*v01_DaughterShare&gt;=v01_MinDaughter),MAX(1,ROUND(AE1390*v01_FissionRate,0)),0)</x:f>
        <x:v>0</x:v>
      </x:c>
      <x:c r="AE1391" s="8" t="n">
        <x:f>IF(H1391=1,MAX(1,MIN(INDEX(v01_Smax,G1391),AE1390+AD1391)),AE1390)</x:f>
        <x:v>15</x:v>
      </x:c>
      <x:c r="AF1391" s="8" t="n">
        <x:f>MAX(0,AE1391-AE1390)</x:f>
        <x:v>0</x:v>
      </x:c>
      <x:c r="AG1391" s="9" t="str">
        <x:f>IF(AF1391&gt;0,B1391,"")</x:f>
      </x:c>
      <x:c r="AH1391" s="9" t="n">
        <x:f>IF(F1391&gt;=1,1,(1+v01_LowTiesShare*(AE1391-1))/AE1391)</x:f>
        <x:v>1</x:v>
      </x:c>
      <x:c r="AI1391" s="32" t="n">
        <x:f>(Z1391+v01_ElderCommons*INDEX(LM_Elder,G1391)*AA1391)*AH1391</x:f>
        <x:v>58738.89746803016</x:v>
      </x:c>
      <x:c r="AJ1391" s="32" t="n">
        <x:f>H1391*v01_CommonsCoef*AI1391^v01_CommonsExp*INDEX(LM_Commons,G1391)</x:f>
        <x:v>30372.9498565528</x:v>
      </x:c>
      <x:c r="AK1391" s="32" t="n">
        <x:f>H1391*v01_RoleScale*Arch_Roles*(AE1391*(INDEX(v01_ElderRolePerSett,G1391)*v01_OutElder*INDEX(LM_Elder,G1391)+INDEX(v01_ShamanPerSett,G1391)*v01_OutShaman)+Z1391*(INDEX(v01_PriestShare,G1391)*v01_OutPriest+INDEX(v01_ScribeShare,G1391)*v01_OutScribe*INDEX(LM_Scribe,G1391)+INDEX(v01_ScholarShare,G1391)*v01_OutScholar*INDEX(LM_Scholar,G1391)+INDEX(v01_ResearcherShare,G1391)*v01_OutResearcher*INDEX(LM_Researcher,G1391)))</x:f>
        <x:v>8260.529785752015</x:v>
      </x:c>
      <x:c r="AL1391" s="32" t="n">
        <x:f>H1391*v01_RoleScale*Arch_Roles*AE1391*INDEX(v01_MonasteryPerSett,G1391)*v01_OutMonastery*INDEX(LM_Monastery,G1391)</x:f>
        <x:v>3.3000000000000003</x:v>
      </x:c>
      <x:c r="AM1391" s="32" t="n">
        <x:f>(AJ1391+AK1391+AL1391)/4*INDEX(LM_All,G1391)*INDEX(v01_Boon,G1391)*Arch_Insight</x:f>
        <x:v>33458.385604135525</x:v>
      </x:c>
      <x:c r="AN1391" s="32" t="n">
        <x:f>H1391*(v01_KHPerAdult*Z1391+v01_KHOfCommons*AJ1391/4*INDEX(LM_All,G1391))*v01_KHUsable*Arch_KH</x:f>
        <x:v>638.1807220686917</x:v>
      </x:c>
      <x:c r="AO1391" s="32" t="n">
        <x:f>MIN(AP1390+AN1391,AM1391*v01_KHMaxRatio)</x:f>
        <x:v>638.1807220686917</x:v>
      </x:c>
      <x:c r="AP1391" s="32" t="n">
        <x:f>AP1390+AN1391-AO1391</x:f>
        <x:v>0</x:v>
      </x:c>
      <x:c r="AQ1391" s="32" t="n">
        <x:f>AM1391+AO1391</x:f>
        <x:v>34096.566326204214</x:v>
      </x:c>
      <x:c r="AR1391" s="10" t="n">
        <x:f>IF(H1391=1,INDEX(v01_Req,G1391),0)</x:f>
        <x:v>1845340.8943637449</x:v>
      </x:c>
      <x:c r="AS1391" s="32" t="n">
        <x:f>IF(H1391=1,IF(E1391=1,AS1390-AR1390,AS1390)+AQ1391,0)</x:f>
        <x:v>1408739.4339730374</x:v>
      </x:c>
      <x:c r="AT1391" s="11" t="n">
        <x:f>IF(AR1391&gt;0,MIN(1,AS1391/AR1391),1)</x:f>
        <x:v>0.7634033572202152</x:v>
      </x:c>
      <x:c r="AU1391" s="10" t="n">
        <x:f>AB1391/INDEX(v01_RepScale,G1391)</x:f>
        <x:v>84.38493679955168</x:v>
      </x:c>
      <x:c r="AV1391" s="32" t="n">
        <x:f>AM1391*60/v01_SeasonSeconds</x:f>
        <x:v>133833.5424165421</x:v>
      </x:c>
    </x:row>
    <x:row r="1392">
      <x:c r="A1392" s="8" t="n">
        <x:f>A1391+1</x:f>
        <x:v>1389</x:v>
      </x:c>
      <x:c r="B1392" s="9" t="n">
        <x:f>A1392*v01_SeasonSeconds/60</x:f>
        <x:v>347.25</x:v>
      </x:c>
      <x:c r="C1392" s="9" t="n">
        <x:f>A1392/4</x:f>
        <x:v>347.25</x:v>
      </x:c>
      <x:c r="D1392" s="8" t="n">
        <x:f>IF(MOD(A1392,4)=0,1,0)</x:f>
        <x:v>0</x:v>
      </x:c>
      <x:c r="E1392" s="8" t="n">
        <x:f>IF(AND(F1391&lt;=9,AS1391&gt;=AR1391),1,0)</x:f>
        <x:v>0</x:v>
      </x:c>
      <x:c r="F1392" s="8" t="n">
        <x:f>MIN(10,F1391+E1392)</x:f>
        <x:v>9</x:v>
      </x:c>
      <x:c r="G1392" s="8" t="n">
        <x:f>MIN(F1392,9)+1</x:f>
        <x:v>10</x:v>
      </x:c>
      <x:c r="H1392" s="8" t="n">
        <x:f>IF(F1392&lt;=9,1,0)</x:f>
        <x:v>1</x:v>
      </x:c>
      <x:c r="I1392" s="9" t="n">
        <x:f>MIN(10,F1391+IF(AR1391&gt;0,MIN(1,AS1391/AR1391),1))</x:f>
        <x:v>9.763403357220215</x:v>
      </x:c>
      <x:c r="J1392" s="32" t="n">
        <x:f>INDEX(v01_FoodCap,G1392)*Arch_FoodCap*EXP(v01_CapsByProject*SUMPRODUCT((Cap_Point&lt;=I1392)*(Cap_Kind="Food")*Cap_Ln))</x:f>
        <x:v>12000</x:v>
      </x:c>
      <x:c r="K1392" s="32" t="n">
        <x:f>J1392*MIN(1,v01_LeanBase*EXP(v01_CapsByProject*SUMPRODUCT((Cap_Point&lt;=I1392)*(Cap_Kind="Lean")*Cap_Ln)))</x:f>
        <x:v>12000</x:v>
      </x:c>
      <x:c r="L1392" s="10" t="n">
        <x:f>INDEX(v01_HousingCap,G1392)*EXP(v01_CapsByProject*SUMPRODUCT((Cap_Point&lt;=I1392)*(Cap_Kind="Housing")*Cap_Ln))</x:f>
        <x:v>20000</x:v>
      </x:c>
      <x:c r="M1392" s="10" t="n">
        <x:f>INDEX(v01_GroupCap,G1392)*v01_CohesionFactor*EXP(v01_CapsByProject*SUMPRODUCT((Cap_Point&lt;=I1392)*(Cap_Kind="Group")*Cap_Ln))</x:f>
        <x:v>1000000</x:v>
      </x:c>
      <x:c r="N1392" s="32" t="n">
        <x:f>MIN(J1392,L1392,M1392)</x:f>
        <x:v>12000</x:v>
      </x:c>
      <x:c r="O1392" s="10" t="n">
        <x:f>AE1391*N1392</x:f>
        <x:v>180000</x:v>
      </x:c>
      <x:c r="P1392" s="9" t="n">
        <x:f>MIN(1,(AB1391/(AE1391*IF(v01_GroupInCrowding=1,N1392,MIN(J1392,L1392))))^v01_CrowdingExp)</x:f>
        <x:v>0.00016587256945449418</x:v>
      </x:c>
      <x:c r="Q1392" s="9" t="n">
        <x:f>IF(D1392=1,INDEX(v01_WinterMult,G1392),1)</x:f>
        <x:v>1</x:v>
      </x:c>
      <x:c r="R1392" s="9" t="n">
        <x:f>H1392*Z1391*v01_WomenShare*v01_BaseFertility*INDEX(v01_FertMult,G1392)*Arch_Fertility*(1-P1392)</x:f>
        <x:v>300.8067222564859</x:v>
      </x:c>
      <x:c r="S1392" s="9" t="n">
        <x:f>H1392*Y1391*INDEX(v01_MortChild,G1392)/4*Q1392</x:f>
        <x:v>10.245018679758525</x:v>
      </x:c>
      <x:c r="T1392" s="9" t="n">
        <x:f>H1392*Z1391*INDEX(v01_MortAdult,G1392)*Arch_AdultMort/4*Q1392</x:f>
        <x:v>11.39608432265521</x:v>
      </x:c>
      <x:c r="U1392" s="9" t="n">
        <x:f>H1392*AA1391*INDEX(v01_MortElder,G1392)/4*Q1392</x:f>
        <x:v>64.36692860739252</x:v>
      </x:c>
      <x:c r="V1392" s="9" t="n">
        <x:f>H1392*MAX(0,AB1391-O1392)*v01_OvercapLoss</x:f>
        <x:v>0</x:v>
      </x:c>
      <x:c r="W1392" s="9" t="n">
        <x:f>H1392*Y1391/(v01_ChildYears*4)</x:f>
        <x:v>243.92901618472678</x:v>
      </x:c>
      <x:c r="X1392" s="9" t="n">
        <x:f>H1392*Z1391/(v01_AdultYears*4)</x:f>
        <x:v>147.04624932458333</x:v>
      </x:c>
      <x:c r="Y1392" s="32" t="n">
        <x:f>Y1391+R1392-S1392-W1392-Y1391*V1392/AB1391</x:f>
        <x:v>13706.6575937367</x:v>
      </x:c>
      <x:c r="Z1392" s="32" t="n">
        <x:f>Z1391+W1392-X1392-T1392-Z1391*V1392/AB1391</x:f>
        <x:v>18319.22159878582</x:v>
      </x:c>
      <x:c r="AA1392" s="32" t="n">
        <x:f>AA1391+X1392-U1392-AA1391*V1392/AB1391</x:f>
        <x:v>10381.387897899993</x:v>
      </x:c>
      <x:c r="AB1392" s="10" t="n">
        <x:f>Y1392+Z1392+AA1392</x:f>
        <x:v>42407.267090422516</x:v>
      </x:c>
      <x:c r="AC1392" s="8" t="n">
        <x:f>IF(AND(v01_WinterTrigger=1,D1392=1,AB1391/AE1391&gt;=K1392),1,0)</x:f>
        <x:v>0</x:v>
      </x:c>
      <x:c r="AD1392" s="8" t="n">
        <x:f>H1392*IF(AND(OR(AB1391/AE1391&gt;=v01_FissionTrigger*N1392,AC1392=1),AB1391/AE1391*v01_DaughterShare&gt;=v01_MinDaughter),MAX(1,ROUND(AE1391*v01_FissionRate,0)),0)</x:f>
        <x:v>0</x:v>
      </x:c>
      <x:c r="AE1392" s="8" t="n">
        <x:f>IF(H1392=1,MAX(1,MIN(INDEX(v01_Smax,G1392),AE1391+AD1392)),AE1391)</x:f>
        <x:v>15</x:v>
      </x:c>
      <x:c r="AF1392" s="8" t="n">
        <x:f>MAX(0,AE1392-AE1391)</x:f>
        <x:v>0</x:v>
      </x:c>
      <x:c r="AG1392" s="9" t="str">
        <x:f>IF(AF1392&gt;0,B1392,"")</x:f>
      </x:c>
      <x:c r="AH1392" s="9" t="n">
        <x:f>IF(F1392&gt;=1,1,(1+v01_LowTiesShare*(AE1392-1))/AE1392)</x:f>
        <x:v>1</x:v>
      </x:c>
      <x:c r="AI1392" s="32" t="n">
        <x:f>(Z1392+v01_ElderCommons*INDEX(LM_Elder,G1392)*AA1392)*AH1392</x:f>
        <x:v>59149.56466230098</x:v>
      </x:c>
      <x:c r="AJ1392" s="32" t="n">
        <x:f>H1392*v01_CommonsCoef*AI1392^v01_CommonsExp*INDEX(LM_Commons,G1392)</x:f>
        <x:v>30553.35251932315</x:v>
      </x:c>
      <x:c r="AK1392" s="32" t="n">
        <x:f>H1392*v01_RoleScale*Arch_Roles*(AE1392*(INDEX(v01_ElderRolePerSett,G1392)*v01_OutElder*INDEX(LM_Elder,G1392)+INDEX(v01_ShamanPerSett,G1392)*v01_OutShaman)+Z1392*(INDEX(v01_PriestShare,G1392)*v01_OutPriest+INDEX(v01_ScribeShare,G1392)*v01_OutScribe*INDEX(LM_Scribe,G1392)+INDEX(v01_ScholarShare,G1392)*v01_OutScholar*INDEX(LM_Scholar,G1392)+INDEX(v01_ResearcherShare,G1392)*v01_OutResearcher*INDEX(LM_Researcher,G1392)))</x:f>
        <x:v>8299.014505177858</x:v>
      </x:c>
      <x:c r="AL1392" s="32" t="n">
        <x:f>H1392*v01_RoleScale*Arch_Roles*AE1392*INDEX(v01_MonasteryPerSett,G1392)*v01_OutMonastery*INDEX(LM_Monastery,G1392)</x:f>
        <x:v>3.3000000000000003</x:v>
      </x:c>
      <x:c r="AM1392" s="32" t="n">
        <x:f>(AJ1392+AK1392+AL1392)/4*INDEX(LM_All,G1392)*INDEX(v01_Boon,G1392)*Arch_Insight</x:f>
        <x:v>33647.93604040897</x:v>
      </x:c>
      <x:c r="AN1392" s="32" t="n">
        <x:f>H1392*(v01_KHPerAdult*Z1392+v01_KHOfCommons*AJ1392/4*INDEX(LM_All,G1392))*v01_KHUsable*Arch_KH</x:f>
        <x:v>641.1727559575038</x:v>
      </x:c>
      <x:c r="AO1392" s="32" t="n">
        <x:f>MIN(AP1391+AN1392,AM1392*v01_KHMaxRatio)</x:f>
        <x:v>641.1727559575038</x:v>
      </x:c>
      <x:c r="AP1392" s="32" t="n">
        <x:f>AP1391+AN1392-AO1392</x:f>
        <x:v>0</x:v>
      </x:c>
      <x:c r="AQ1392" s="32" t="n">
        <x:f>AM1392+AO1392</x:f>
        <x:v>34289.10879636647</x:v>
      </x:c>
      <x:c r="AR1392" s="10" t="n">
        <x:f>IF(H1392=1,INDEX(v01_Req,G1392),0)</x:f>
        <x:v>1845340.8943637449</x:v>
      </x:c>
      <x:c r="AS1392" s="32" t="n">
        <x:f>IF(H1392=1,IF(E1392=1,AS1391-AR1391,AS1391)+AQ1392,0)</x:f>
        <x:v>1443028.542769404</x:v>
      </x:c>
      <x:c r="AT1392" s="11" t="n">
        <x:f>IF(AR1392&gt;0,MIN(1,AS1392/AR1392),1)</x:f>
        <x:v>0.7819848068055446</x:v>
      </x:c>
      <x:c r="AU1392" s="10" t="n">
        <x:f>AB1392/INDEX(v01_RepScale,G1392)</x:f>
        <x:v>84.81453418084503</x:v>
      </x:c>
      <x:c r="AV1392" s="32" t="n">
        <x:f>AM1392*60/v01_SeasonSeconds</x:f>
        <x:v>134591.74416163587</x:v>
      </x:c>
    </x:row>
    <x:row r="1393">
      <x:c r="A1393" s="8" t="n">
        <x:f>A1392+1</x:f>
        <x:v>1390</x:v>
      </x:c>
      <x:c r="B1393" s="9" t="n">
        <x:f>A1393*v01_SeasonSeconds/60</x:f>
        <x:v>347.5</x:v>
      </x:c>
      <x:c r="C1393" s="9" t="n">
        <x:f>A1393/4</x:f>
        <x:v>347.5</x:v>
      </x:c>
      <x:c r="D1393" s="8" t="n">
        <x:f>IF(MOD(A1393,4)=0,1,0)</x:f>
        <x:v>0</x:v>
      </x:c>
      <x:c r="E1393" s="8" t="n">
        <x:f>IF(AND(F1392&lt;=9,AS1392&gt;=AR1392),1,0)</x:f>
        <x:v>0</x:v>
      </x:c>
      <x:c r="F1393" s="8" t="n">
        <x:f>MIN(10,F1392+E1393)</x:f>
        <x:v>9</x:v>
      </x:c>
      <x:c r="G1393" s="8" t="n">
        <x:f>MIN(F1393,9)+1</x:f>
        <x:v>10</x:v>
      </x:c>
      <x:c r="H1393" s="8" t="n">
        <x:f>IF(F1393&lt;=9,1,0)</x:f>
        <x:v>1</x:v>
      </x:c>
      <x:c r="I1393" s="9" t="n">
        <x:f>MIN(10,F1392+IF(AR1392&gt;0,MIN(1,AS1392/AR1392),1))</x:f>
        <x:v>9.781984806805545</x:v>
      </x:c>
      <x:c r="J1393" s="32" t="n">
        <x:f>INDEX(v01_FoodCap,G1393)*Arch_FoodCap*EXP(v01_CapsByProject*SUMPRODUCT((Cap_Point&lt;=I1393)*(Cap_Kind="Food")*Cap_Ln))</x:f>
        <x:v>12000</x:v>
      </x:c>
      <x:c r="K1393" s="32" t="n">
        <x:f>J1393*MIN(1,v01_LeanBase*EXP(v01_CapsByProject*SUMPRODUCT((Cap_Point&lt;=I1393)*(Cap_Kind="Lean")*Cap_Ln)))</x:f>
        <x:v>12000</x:v>
      </x:c>
      <x:c r="L1393" s="10" t="n">
        <x:f>INDEX(v01_HousingCap,G1393)*EXP(v01_CapsByProject*SUMPRODUCT((Cap_Point&lt;=I1393)*(Cap_Kind="Housing")*Cap_Ln))</x:f>
        <x:v>20000</x:v>
      </x:c>
      <x:c r="M1393" s="10" t="n">
        <x:f>INDEX(v01_GroupCap,G1393)*v01_CohesionFactor*EXP(v01_CapsByProject*SUMPRODUCT((Cap_Point&lt;=I1393)*(Cap_Kind="Group")*Cap_Ln))</x:f>
        <x:v>1000000</x:v>
      </x:c>
      <x:c r="N1393" s="32" t="n">
        <x:f>MIN(J1393,L1393,M1393)</x:f>
        <x:v>12000</x:v>
      </x:c>
      <x:c r="O1393" s="10" t="n">
        <x:f>AE1392*N1393</x:f>
        <x:v>180000</x:v>
      </x:c>
      <x:c r="P1393" s="9" t="n">
        <x:f>MIN(1,(AB1392/(AE1392*IF(v01_GroupInCrowding=1,N1393,MIN(J1393,L1393))))^v01_CrowdingExp)</x:f>
        <x:v>0.00017100416275202515</x:v>
      </x:c>
      <x:c r="Q1393" s="9" t="n">
        <x:f>IF(D1393=1,INDEX(v01_WinterMult,G1393),1)</x:f>
        <x:v>1</x:v>
      </x:c>
      <x:c r="R1393" s="9" t="n">
        <x:f>H1393*Z1392*v01_WomenShare*v01_BaseFertility*INDEX(v01_FertMult,G1393)*Arch_Fertility*(1-P1393)</x:f>
        <x:v>302.2154674379619</x:v>
      </x:c>
      <x:c r="S1393" s="9" t="n">
        <x:f>H1393*Y1392*INDEX(v01_MortChild,G1393)/4*Q1393</x:f>
        <x:v>10.279993195302525</x:v>
      </x:c>
      <x:c r="T1393" s="9" t="n">
        <x:f>H1393*Z1392*INDEX(v01_MortAdult,G1393)*Arch_AdultMort/4*Q1393</x:f>
        <x:v>11.449513499241139</x:v>
      </x:c>
      <x:c r="U1393" s="9" t="n">
        <x:f>H1393*AA1392*INDEX(v01_MortElder,G1393)/4*Q1393</x:f>
        <x:v>64.88367436187495</x:v>
      </x:c>
      <x:c r="V1393" s="9" t="n">
        <x:f>H1393*MAX(0,AB1392-O1393)*v01_OvercapLoss</x:f>
        <x:v>0</x:v>
      </x:c>
      <x:c r="W1393" s="9" t="n">
        <x:f>H1393*Y1392/(v01_ChildYears*4)</x:f>
        <x:v>244.76174274529822</x:v>
      </x:c>
      <x:c r="X1393" s="9" t="n">
        <x:f>H1393*Z1392/(v01_AdultYears*4)</x:f>
        <x:v>147.73565805472438</x:v>
      </x:c>
      <x:c r="Y1393" s="32" t="n">
        <x:f>Y1392+R1393-S1393-W1393-Y1392*V1393/AB1392</x:f>
        <x:v>13753.83132523406</x:v>
      </x:c>
      <x:c r="Z1393" s="32" t="n">
        <x:f>Z1392+W1393-X1393-T1393-Z1392*V1393/AB1392</x:f>
        <x:v>18404.798169977155</x:v>
      </x:c>
      <x:c r="AA1393" s="32" t="n">
        <x:f>AA1392+X1393-U1393-AA1392*V1393/AB1392</x:f>
        <x:v>10464.23988159284</x:v>
      </x:c>
      <x:c r="AB1393" s="10" t="n">
        <x:f>Y1393+Z1393+AA1393</x:f>
        <x:v>42622.869376804054</x:v>
      </x:c>
      <x:c r="AC1393" s="8" t="n">
        <x:f>IF(AND(v01_WinterTrigger=1,D1393=1,AB1392/AE1392&gt;=K1393),1,0)</x:f>
        <x:v>0</x:v>
      </x:c>
      <x:c r="AD1393" s="8" t="n">
        <x:f>H1393*IF(AND(OR(AB1392/AE1392&gt;=v01_FissionTrigger*N1393,AC1393=1),AB1392/AE1392*v01_DaughterShare&gt;=v01_MinDaughter),MAX(1,ROUND(AE1392*v01_FissionRate,0)),0)</x:f>
        <x:v>0</x:v>
      </x:c>
      <x:c r="AE1393" s="8" t="n">
        <x:f>IF(H1393=1,MAX(1,MIN(INDEX(v01_Smax,G1393),AE1392+AD1393)),AE1392)</x:f>
        <x:v>15</x:v>
      </x:c>
      <x:c r="AF1393" s="8" t="n">
        <x:f>MAX(0,AE1393-AE1392)</x:f>
        <x:v>0</x:v>
      </x:c>
      <x:c r="AG1393" s="9" t="str">
        <x:f>IF(AF1393&gt;0,B1393,"")</x:f>
      </x:c>
      <x:c r="AH1393" s="9" t="n">
        <x:f>IF(F1393&gt;=1,1,(1+v01_LowTiesShare*(AE1393-1))/AE1393)</x:f>
        <x:v>1</x:v>
      </x:c>
      <x:c r="AI1393" s="32" t="n">
        <x:f>(Z1393+v01_ElderCommons*INDEX(LM_Elder,G1393)*AA1393)*AH1393</x:f>
        <x:v>59561.000834437975</x:v>
      </x:c>
      <x:c r="AJ1393" s="32" t="n">
        <x:f>H1393*v01_CommonsCoef*AI1393^v01_CommonsExp*INDEX(LM_Commons,G1393)</x:f>
        <x:v>30733.904680400527</x:v>
      </x:c>
      <x:c r="AK1393" s="32" t="n">
        <x:f>H1393*v01_RoleScale*Arch_Roles*(AE1393*(INDEX(v01_ElderRolePerSett,G1393)*v01_OutElder*INDEX(LM_Elder,G1393)+INDEX(v01_ShamanPerSett,G1393)*v01_OutShaman)+Z1393*(INDEX(v01_PriestShare,G1393)*v01_OutPriest+INDEX(v01_ScribeShare,G1393)*v01_OutScribe*INDEX(LM_Scribe,G1393)+INDEX(v01_ScholarShare,G1393)*v01_OutScholar*INDEX(LM_Scholar,G1393)+INDEX(v01_ResearcherShare,G1393)*v01_OutResearcher*INDEX(LM_Researcher,G1393)))</x:f>
        <x:v>8337.53969101929</x:v>
      </x:c>
      <x:c r="AL1393" s="32" t="n">
        <x:f>H1393*v01_RoleScale*Arch_Roles*AE1393*INDEX(v01_MonasteryPerSett,G1393)*v01_OutMonastery*INDEX(LM_Monastery,G1393)</x:f>
        <x:v>3.3000000000000003</x:v>
      </x:c>
      <x:c r="AM1393" s="32" t="n">
        <x:f>(AJ1393+AK1393+AL1393)/4*INDEX(LM_All,G1393)*INDEX(v01_Boon,G1393)*Arch_Insight</x:f>
        <x:v>33837.65098089315</x:v>
      </x:c>
      <x:c r="AN1393" s="32" t="n">
        <x:f>H1393*(v01_KHPerAdult*Z1393+v01_KHOfCommons*AJ1393/4*INDEX(LM_All,G1393))*v01_KHUsable*Arch_KH</x:f>
        <x:v>644.1679359492005</x:v>
      </x:c>
      <x:c r="AO1393" s="32" t="n">
        <x:f>MIN(AP1392+AN1393,AM1393*v01_KHMaxRatio)</x:f>
        <x:v>644.1679359492005</x:v>
      </x:c>
      <x:c r="AP1393" s="32" t="n">
        <x:f>AP1392+AN1393-AO1393</x:f>
        <x:v>0</x:v>
      </x:c>
      <x:c r="AQ1393" s="32" t="n">
        <x:f>AM1393+AO1393</x:f>
        <x:v>34481.81891684235</x:v>
      </x:c>
      <x:c r="AR1393" s="10" t="n">
        <x:f>IF(H1393=1,INDEX(v01_Req,G1393),0)</x:f>
        <x:v>1845340.8943637449</x:v>
      </x:c>
      <x:c r="AS1393" s="32" t="n">
        <x:f>IF(H1393=1,IF(E1393=1,AS1392-AR1392,AS1392)+AQ1393,0)</x:f>
        <x:v>1477510.3616862462</x:v>
      </x:c>
      <x:c r="AT1393" s="11" t="n">
        <x:f>IF(AR1393&gt;0,MIN(1,AS1393/AR1393),1)</x:f>
        <x:v>0.8006706870253786</x:v>
      </x:c>
      <x:c r="AU1393" s="10" t="n">
        <x:f>AB1393/INDEX(v01_RepScale,G1393)</x:f>
        <x:v>85.24573875360811</x:v>
      </x:c>
      <x:c r="AV1393" s="32" t="n">
        <x:f>AM1393*60/v01_SeasonSeconds</x:f>
        <x:v>135350.6039235726</x:v>
      </x:c>
    </x:row>
    <x:row r="1394">
      <x:c r="A1394" s="8" t="n">
        <x:f>A1393+1</x:f>
        <x:v>1391</x:v>
      </x:c>
      <x:c r="B1394" s="9" t="n">
        <x:f>A1394*v01_SeasonSeconds/60</x:f>
        <x:v>347.75</x:v>
      </x:c>
      <x:c r="C1394" s="9" t="n">
        <x:f>A1394/4</x:f>
        <x:v>347.75</x:v>
      </x:c>
      <x:c r="D1394" s="8" t="n">
        <x:f>IF(MOD(A1394,4)=0,1,0)</x:f>
        <x:v>0</x:v>
      </x:c>
      <x:c r="E1394" s="8" t="n">
        <x:f>IF(AND(F1393&lt;=9,AS1393&gt;=AR1393),1,0)</x:f>
        <x:v>0</x:v>
      </x:c>
      <x:c r="F1394" s="8" t="n">
        <x:f>MIN(10,F1393+E1394)</x:f>
        <x:v>9</x:v>
      </x:c>
      <x:c r="G1394" s="8" t="n">
        <x:f>MIN(F1394,9)+1</x:f>
        <x:v>10</x:v>
      </x:c>
      <x:c r="H1394" s="8" t="n">
        <x:f>IF(F1394&lt;=9,1,0)</x:f>
        <x:v>1</x:v>
      </x:c>
      <x:c r="I1394" s="9" t="n">
        <x:f>MIN(10,F1393+IF(AR1393&gt;0,MIN(1,AS1393/AR1393),1))</x:f>
        <x:v>9.800670687025379</x:v>
      </x:c>
      <x:c r="J1394" s="32" t="n">
        <x:f>INDEX(v01_FoodCap,G1394)*Arch_FoodCap*EXP(v01_CapsByProject*SUMPRODUCT((Cap_Point&lt;=I1394)*(Cap_Kind="Food")*Cap_Ln))</x:f>
        <x:v>12000</x:v>
      </x:c>
      <x:c r="K1394" s="32" t="n">
        <x:f>J1394*MIN(1,v01_LeanBase*EXP(v01_CapsByProject*SUMPRODUCT((Cap_Point&lt;=I1394)*(Cap_Kind="Lean")*Cap_Ln)))</x:f>
        <x:v>12000</x:v>
      </x:c>
      <x:c r="L1394" s="10" t="n">
        <x:f>INDEX(v01_HousingCap,G1394)*EXP(v01_CapsByProject*SUMPRODUCT((Cap_Point&lt;=I1394)*(Cap_Kind="Housing")*Cap_Ln))</x:f>
        <x:v>20000</x:v>
      </x:c>
      <x:c r="M1394" s="10" t="n">
        <x:f>INDEX(v01_GroupCap,G1394)*v01_CohesionFactor*EXP(v01_CapsByProject*SUMPRODUCT((Cap_Point&lt;=I1394)*(Cap_Kind="Group")*Cap_Ln))</x:f>
        <x:v>1000000</x:v>
      </x:c>
      <x:c r="N1394" s="32" t="n">
        <x:f>MIN(J1394,L1394,M1394)</x:f>
        <x:v>12000</x:v>
      </x:c>
      <x:c r="O1394" s="10" t="n">
        <x:f>AE1393*N1394</x:f>
        <x:v>180000</x:v>
      </x:c>
      <x:c r="P1394" s="9" t="n">
        <x:f>MIN(1,(AB1393/(AE1393*IF(v01_GroupInCrowding=1,N1394,MIN(J1394,L1394))))^v01_CrowdingExp)</x:f>
        <x:v>0.00017628731700686218</x:v>
      </x:c>
      <x:c r="Q1394" s="9" t="n">
        <x:f>IF(D1394=1,INDEX(v01_WinterMult,G1394),1)</x:f>
        <x:v>1</x:v>
      </x:c>
      <x:c r="R1394" s="9" t="n">
        <x:f>H1394*Z1393*v01_WomenShare*v01_BaseFertility*INDEX(v01_FertMult,G1394)*Arch_Fertility*(1-P1394)</x:f>
        <x:v>303.62563501854737</x:v>
      </x:c>
      <x:c r="S1394" s="9" t="n">
        <x:f>H1394*Y1393*INDEX(v01_MortChild,G1394)/4*Q1394</x:f>
        <x:v>10.315373493925545</x:v>
      </x:c>
      <x:c r="T1394" s="9" t="n">
        <x:f>H1394*Z1393*INDEX(v01_MortAdult,G1394)*Arch_AdultMort/4*Q1394</x:f>
        <x:v>11.502998856235722</x:v>
      </x:c>
      <x:c r="U1394" s="9" t="n">
        <x:f>H1394*AA1393*INDEX(v01_MortElder,G1394)/4*Q1394</x:f>
        <x:v>65.40149925995526</x:v>
      </x:c>
      <x:c r="V1394" s="9" t="n">
        <x:f>H1394*MAX(0,AB1393-O1394)*v01_OvercapLoss</x:f>
        <x:v>0</x:v>
      </x:c>
      <x:c r="W1394" s="9" t="n">
        <x:f>H1394*Y1393/(v01_ChildYears*4)</x:f>
        <x:v>245.60413080775106</x:v>
      </x:c>
      <x:c r="X1394" s="9" t="n">
        <x:f>H1394*Z1393/(v01_AdultYears*4)</x:f>
        <x:v>148.42579169336415</x:v>
      </x:c>
      <x:c r="Y1394" s="32" t="n">
        <x:f>Y1393+R1394-S1394-W1394-Y1393*V1394/AB1393</x:f>
        <x:v>13801.53745595093</x:v>
      </x:c>
      <x:c r="Z1394" s="32" t="n">
        <x:f>Z1393+W1394-X1394-T1394-Z1393*V1394/AB1393</x:f>
        <x:v>18490.473510235308</x:v>
      </x:c>
      <x:c r="AA1394" s="32" t="n">
        <x:f>AA1393+X1394-U1394-AA1393*V1394/AB1393</x:f>
        <x:v>10547.26417402625</x:v>
      </x:c>
      <x:c r="AB1394" s="10" t="n">
        <x:f>Y1394+Z1394+AA1394</x:f>
        <x:v>42839.275140212485</x:v>
      </x:c>
      <x:c r="AC1394" s="8" t="n">
        <x:f>IF(AND(v01_WinterTrigger=1,D1394=1,AB1393/AE1393&gt;=K1394),1,0)</x:f>
        <x:v>0</x:v>
      </x:c>
      <x:c r="AD1394" s="8" t="n">
        <x:f>H1394*IF(AND(OR(AB1393/AE1393&gt;=v01_FissionTrigger*N1394,AC1394=1),AB1393/AE1393*v01_DaughterShare&gt;=v01_MinDaughter),MAX(1,ROUND(AE1393*v01_FissionRate,0)),0)</x:f>
        <x:v>0</x:v>
      </x:c>
      <x:c r="AE1394" s="8" t="n">
        <x:f>IF(H1394=1,MAX(1,MIN(INDEX(v01_Smax,G1394),AE1393+AD1394)),AE1393)</x:f>
        <x:v>15</x:v>
      </x:c>
      <x:c r="AF1394" s="8" t="n">
        <x:f>MAX(0,AE1394-AE1393)</x:f>
        <x:v>0</x:v>
      </x:c>
      <x:c r="AG1394" s="9" t="str">
        <x:f>IF(AF1394&gt;0,B1394,"")</x:f>
      </x:c>
      <x:c r="AH1394" s="9" t="n">
        <x:f>IF(F1394&gt;=1,1,(1+v01_LowTiesShare*(AE1394-1))/AE1394)</x:f>
        <x:v>1</x:v>
      </x:c>
      <x:c r="AI1394" s="32" t="n">
        <x:f>(Z1394+v01_ElderCommons*INDEX(LM_Elder,G1394)*AA1394)*AH1394</x:f>
        <x:v>59973.21347163572</x:v>
      </x:c>
      <x:c r="AJ1394" s="32" t="n">
        <x:f>H1394*v01_CommonsCoef*AI1394^v01_CommonsExp*INDEX(LM_Commons,G1394)</x:f>
        <x:v>30914.610064229346</x:v>
      </x:c>
      <x:c r="AK1394" s="32" t="n">
        <x:f>H1394*v01_RoleScale*Arch_Roles*(AE1394*(INDEX(v01_ElderRolePerSett,G1394)*v01_OutElder*INDEX(LM_Elder,G1394)+INDEX(v01_ShamanPerSett,G1394)*v01_OutShaman)+Z1394*(INDEX(v01_PriestShare,G1394)*v01_OutPriest+INDEX(v01_ScribeShare,G1394)*v01_OutScribe*INDEX(LM_Scribe,G1394)+INDEX(v01_ScholarShare,G1394)*v01_OutScholar*INDEX(LM_Scholar,G1394)+INDEX(v01_ResearcherShare,G1394)*v01_OutResearcher*INDEX(LM_Researcher,G1394)))</x:f>
        <x:v>8376.109341094352</x:v>
      </x:c>
      <x:c r="AL1394" s="32" t="n">
        <x:f>H1394*v01_RoleScale*Arch_Roles*AE1394*INDEX(v01_MonasteryPerSett,G1394)*v01_OutMonastery*INDEX(LM_Monastery,G1394)</x:f>
        <x:v>3.3000000000000003</x:v>
      </x:c>
      <x:c r="AM1394" s="32" t="n">
        <x:f>(AJ1394+AK1394+AL1394)/4*INDEX(LM_All,G1394)*INDEX(v01_Boon,G1394)*Arch_Insight</x:f>
        <x:v>34027.53711285439</x:v>
      </x:c>
      <x:c r="AN1394" s="32" t="n">
        <x:f>H1394*(v01_KHPerAdult*Z1394+v01_KHOfCommons*AJ1394/4*INDEX(LM_All,G1394))*v01_KHUsable*Arch_KH</x:f>
        <x:v>647.1665728582358</x:v>
      </x:c>
      <x:c r="AO1394" s="32" t="n">
        <x:f>MIN(AP1393+AN1394,AM1394*v01_KHMaxRatio)</x:f>
        <x:v>647.1665728582358</x:v>
      </x:c>
      <x:c r="AP1394" s="32" t="n">
        <x:f>AP1393+AN1394-AO1394</x:f>
        <x:v>0</x:v>
      </x:c>
      <x:c r="AQ1394" s="32" t="n">
        <x:f>AM1394+AO1394</x:f>
        <x:v>34674.70368571263</x:v>
      </x:c>
      <x:c r="AR1394" s="10" t="n">
        <x:f>IF(H1394=1,INDEX(v01_Req,G1394),0)</x:f>
        <x:v>1845340.8943637449</x:v>
      </x:c>
      <x:c r="AS1394" s="32" t="n">
        <x:f>IF(H1394=1,IF(E1394=1,AS1393-AR1393,AS1393)+AQ1394,0)</x:f>
        <x:v>1512185.0653719588</x:v>
      </x:c>
      <x:c r="AT1394" s="11" t="n">
        <x:f>IF(AR1394&gt;0,MIN(1,AS1394/AR1394),1)</x:f>
        <x:v>0.8194610925226068</x:v>
      </x:c>
      <x:c r="AU1394" s="10" t="n">
        <x:f>AB1394/INDEX(v01_RepScale,G1394)</x:f>
        <x:v>85.67855028042497</x:v>
      </x:c>
      <x:c r="AV1394" s="32" t="n">
        <x:f>AM1394*60/v01_SeasonSeconds</x:f>
        <x:v>136110.14845141757</x:v>
      </x:c>
    </x:row>
    <x:row r="1395">
      <x:c r="A1395" s="8" t="n">
        <x:f>A1394+1</x:f>
        <x:v>1392</x:v>
      </x:c>
      <x:c r="B1395" s="9" t="n">
        <x:f>A1395*v01_SeasonSeconds/60</x:f>
        <x:v>348</x:v>
      </x:c>
      <x:c r="C1395" s="9" t="n">
        <x:f>A1395/4</x:f>
        <x:v>348</x:v>
      </x:c>
      <x:c r="D1395" s="8" t="n">
        <x:f>IF(MOD(A1395,4)=0,1,0)</x:f>
        <x:v>1</x:v>
      </x:c>
      <x:c r="E1395" s="8" t="n">
        <x:f>IF(AND(F1394&lt;=9,AS1394&gt;=AR1394),1,0)</x:f>
        <x:v>0</x:v>
      </x:c>
      <x:c r="F1395" s="8" t="n">
        <x:f>MIN(10,F1394+E1395)</x:f>
        <x:v>9</x:v>
      </x:c>
      <x:c r="G1395" s="8" t="n">
        <x:f>MIN(F1395,9)+1</x:f>
        <x:v>10</x:v>
      </x:c>
      <x:c r="H1395" s="8" t="n">
        <x:f>IF(F1395&lt;=9,1,0)</x:f>
        <x:v>1</x:v>
      </x:c>
      <x:c r="I1395" s="9" t="n">
        <x:f>MIN(10,F1394+IF(AR1394&gt;0,MIN(1,AS1394/AR1394),1))</x:f>
        <x:v>9.819461092522607</x:v>
      </x:c>
      <x:c r="J1395" s="32" t="n">
        <x:f>INDEX(v01_FoodCap,G1395)*Arch_FoodCap*EXP(v01_CapsByProject*SUMPRODUCT((Cap_Point&lt;=I1395)*(Cap_Kind="Food")*Cap_Ln))</x:f>
        <x:v>12000</x:v>
      </x:c>
      <x:c r="K1395" s="32" t="n">
        <x:f>J1395*MIN(1,v01_LeanBase*EXP(v01_CapsByProject*SUMPRODUCT((Cap_Point&lt;=I1395)*(Cap_Kind="Lean")*Cap_Ln)))</x:f>
        <x:v>12000</x:v>
      </x:c>
      <x:c r="L1395" s="10" t="n">
        <x:f>INDEX(v01_HousingCap,G1395)*EXP(v01_CapsByProject*SUMPRODUCT((Cap_Point&lt;=I1395)*(Cap_Kind="Housing")*Cap_Ln))</x:f>
        <x:v>20000</x:v>
      </x:c>
      <x:c r="M1395" s="10" t="n">
        <x:f>INDEX(v01_GroupCap,G1395)*v01_CohesionFactor*EXP(v01_CapsByProject*SUMPRODUCT((Cap_Point&lt;=I1395)*(Cap_Kind="Group")*Cap_Ln))</x:f>
        <x:v>1000000</x:v>
      </x:c>
      <x:c r="N1395" s="32" t="n">
        <x:f>MIN(J1395,L1395,M1395)</x:f>
        <x:v>12000</x:v>
      </x:c>
      <x:c r="O1395" s="10" t="n">
        <x:f>AE1394*N1395</x:f>
        <x:v>180000</x:v>
      </x:c>
      <x:c r="P1395" s="9" t="n">
        <x:f>MIN(1,(AB1394/(AE1394*IF(v01_GroupInCrowding=1,N1395,MIN(J1395,L1395))))^v01_CrowdingExp)</x:f>
        <x:v>0.00018172624461917388</x:v>
      </x:c>
      <x:c r="Q1395" s="9" t="n">
        <x:f>IF(D1395=1,INDEX(v01_WinterMult,G1395),1)</x:f>
        <x:v>1</x:v>
      </x:c>
      <x:c r="R1395" s="9" t="n">
        <x:f>H1395*Z1394*v01_WomenShare*v01_BaseFertility*INDEX(v01_FertMult,G1395)*Arch_Fertility*(1-P1395)</x:f>
        <x:v>305.03736954773046</x:v>
      </x:c>
      <x:c r="S1395" s="9" t="n">
        <x:f>H1395*Y1394*INDEX(v01_MortChild,G1395)/4*Q1395</x:f>
        <x:v>10.351153091963196</x:v>
      </x:c>
      <x:c r="T1395" s="9" t="n">
        <x:f>H1395*Z1394*INDEX(v01_MortAdult,G1395)*Arch_AdultMort/4*Q1395</x:f>
        <x:v>11.556545943897067</x:v>
      </x:c>
      <x:c r="U1395" s="9" t="n">
        <x:f>H1395*AA1394*INDEX(v01_MortElder,G1395)/4*Q1395</x:f>
        <x:v>65.92040108766406</x:v>
      </x:c>
      <x:c r="V1395" s="9" t="n">
        <x:f>H1395*MAX(0,AB1394-O1395)*v01_OvercapLoss</x:f>
        <x:v>0</x:v>
      </x:c>
      <x:c r="W1395" s="9" t="n">
        <x:f>H1395*Y1394/(v01_ChildYears*4)</x:f>
        <x:v>246.45602599912374</x:v>
      </x:c>
      <x:c r="X1395" s="9" t="n">
        <x:f>H1395*Z1394/(v01_AdultYears*4)</x:f>
        <x:v>149.11672185673635</x:v>
      </x:c>
      <x:c r="Y1395" s="32" t="n">
        <x:f>Y1394+R1395-S1395-W1395-Y1394*V1395/AB1394</x:f>
        <x:v>13849.767646407572</x:v>
      </x:c>
      <x:c r="Z1395" s="32" t="n">
        <x:f>Z1394+W1395-X1395-T1395-Z1394*V1395/AB1394</x:f>
        <x:v>18576.256268433797</x:v>
      </x:c>
      <x:c r="AA1395" s="32" t="n">
        <x:f>AA1394+X1395-U1395-AA1394*V1395/AB1394</x:f>
        <x:v>10630.460494795323</x:v>
      </x:c>
      <x:c r="AB1395" s="10" t="n">
        <x:f>Y1395+Z1395+AA1395</x:f>
        <x:v>43056.48440963669</x:v>
      </x:c>
      <x:c r="AC1395" s="8" t="n">
        <x:f>IF(AND(v01_WinterTrigger=1,D1395=1,AB1394/AE1394&gt;=K1395),1,0)</x:f>
        <x:v>0</x:v>
      </x:c>
      <x:c r="AD1395" s="8" t="n">
        <x:f>H1395*IF(AND(OR(AB1394/AE1394&gt;=v01_FissionTrigger*N1395,AC1395=1),AB1394/AE1394*v01_DaughterShare&gt;=v01_MinDaughter),MAX(1,ROUND(AE1394*v01_FissionRate,0)),0)</x:f>
        <x:v>0</x:v>
      </x:c>
      <x:c r="AE1395" s="8" t="n">
        <x:f>IF(H1395=1,MAX(1,MIN(INDEX(v01_Smax,G1395),AE1394+AD1395)),AE1394)</x:f>
        <x:v>15</x:v>
      </x:c>
      <x:c r="AF1395" s="8" t="n">
        <x:f>MAX(0,AE1395-AE1394)</x:f>
        <x:v>0</x:v>
      </x:c>
      <x:c r="AG1395" s="9" t="str">
        <x:f>IF(AF1395&gt;0,B1395,"")</x:f>
      </x:c>
      <x:c r="AH1395" s="9" t="n">
        <x:f>IF(F1395&gt;=1,1,(1+v01_LowTiesShare*(AE1395-1))/AE1395)</x:f>
        <x:v>1</x:v>
      </x:c>
      <x:c r="AI1395" s="32" t="n">
        <x:f>(Z1395+v01_ElderCommons*INDEX(LM_Elder,G1395)*AA1395)*AH1395</x:f>
        <x:v>60386.210119925985</x:v>
      </x:c>
      <x:c r="AJ1395" s="32" t="n">
        <x:f>H1395*v01_CommonsCoef*AI1395^v01_CommonsExp*INDEX(LM_Commons,G1395)</x:f>
        <x:v>31095.47240009127</x:v>
      </x:c>
      <x:c r="AK1395" s="32" t="n">
        <x:f>H1395*v01_RoleScale*Arch_Roles*(AE1395*(INDEX(v01_ElderRolePerSett,G1395)*v01_OutElder*INDEX(LM_Elder,G1395)+INDEX(v01_ShamanPerSett,G1395)*v01_OutShaman)+Z1395*(INDEX(v01_PriestShare,G1395)*v01_OutPriest+INDEX(v01_ScribeShare,G1395)*v01_OutScribe*INDEX(LM_Scribe,G1395)+INDEX(v01_ScholarShare,G1395)*v01_OutScholar*INDEX(LM_Scholar,G1395)+INDEX(v01_ResearcherShare,G1395)*v01_OutResearcher*INDEX(LM_Researcher,G1395)))</x:f>
        <x:v>8414.72734898577</x:v>
      </x:c>
      <x:c r="AL1395" s="32" t="n">
        <x:f>H1395*v01_RoleScale*Arch_Roles*AE1395*INDEX(v01_MonasteryPerSett,G1395)*v01_OutMonastery*INDEX(LM_Monastery,G1395)</x:f>
        <x:v>3.3000000000000003</x:v>
      </x:c>
      <x:c r="AM1395" s="32" t="n">
        <x:f>(AJ1395+AK1395+AL1395)/4*INDEX(LM_All,G1395)*INDEX(v01_Boon,G1395)*Arch_Insight</x:f>
        <x:v>34217.60103748301</x:v>
      </x:c>
      <x:c r="AN1395" s="32" t="n">
        <x:f>H1395*(v01_KHPerAdult*Z1395+v01_KHOfCommons*AJ1395/4*INDEX(LM_All,G1395))*v01_KHUsable*Arch_KH</x:f>
        <x:v>650.1689693951829</x:v>
      </x:c>
      <x:c r="AO1395" s="32" t="n">
        <x:f>MIN(AP1394+AN1395,AM1395*v01_KHMaxRatio)</x:f>
        <x:v>650.1689693951829</x:v>
      </x:c>
      <x:c r="AP1395" s="32" t="n">
        <x:f>AP1394+AN1395-AO1395</x:f>
        <x:v>0</x:v>
      </x:c>
      <x:c r="AQ1395" s="32" t="n">
        <x:f>AM1395+AO1395</x:f>
        <x:v>34867.77000687819</x:v>
      </x:c>
      <x:c r="AR1395" s="10" t="n">
        <x:f>IF(H1395=1,INDEX(v01_Req,G1395),0)</x:f>
        <x:v>1845340.8943637449</x:v>
      </x:c>
      <x:c r="AS1395" s="32" t="n">
        <x:f>IF(H1395=1,IF(E1395=1,AS1394-AR1394,AS1394)+AQ1395,0)</x:f>
        <x:v>1547052.835378837</x:v>
      </x:c>
      <x:c r="AT1395" s="11" t="n">
        <x:f>IF(AR1395&gt;0,MIN(1,AS1395/AR1395),1)</x:f>
        <x:v>0.8383561216813793</x:v>
      </x:c>
      <x:c r="AU1395" s="10" t="n">
        <x:f>AB1395/INDEX(v01_RepScale,G1395)</x:f>
        <x:v>86.11296881927338</x:v>
      </x:c>
      <x:c r="AV1395" s="32" t="n">
        <x:f>AM1395*60/v01_SeasonSeconds</x:f>
        <x:v>136870.40414993203</x:v>
      </x:c>
    </x:row>
    <x:row r="1396">
      <x:c r="A1396" s="8" t="n">
        <x:f>A1395+1</x:f>
        <x:v>1393</x:v>
      </x:c>
      <x:c r="B1396" s="9" t="n">
        <x:f>A1396*v01_SeasonSeconds/60</x:f>
        <x:v>348.25</x:v>
      </x:c>
      <x:c r="C1396" s="9" t="n">
        <x:f>A1396/4</x:f>
        <x:v>348.25</x:v>
      </x:c>
      <x:c r="D1396" s="8" t="n">
        <x:f>IF(MOD(A1396,4)=0,1,0)</x:f>
        <x:v>0</x:v>
      </x:c>
      <x:c r="E1396" s="8" t="n">
        <x:f>IF(AND(F1395&lt;=9,AS1395&gt;=AR1395),1,0)</x:f>
        <x:v>0</x:v>
      </x:c>
      <x:c r="F1396" s="8" t="n">
        <x:f>MIN(10,F1395+E1396)</x:f>
        <x:v>9</x:v>
      </x:c>
      <x:c r="G1396" s="8" t="n">
        <x:f>MIN(F1396,9)+1</x:f>
        <x:v>10</x:v>
      </x:c>
      <x:c r="H1396" s="8" t="n">
        <x:f>IF(F1396&lt;=9,1,0)</x:f>
        <x:v>1</x:v>
      </x:c>
      <x:c r="I1396" s="9" t="n">
        <x:f>MIN(10,F1395+IF(AR1395&gt;0,MIN(1,AS1395/AR1395),1))</x:f>
        <x:v>9.838356121681379</x:v>
      </x:c>
      <x:c r="J1396" s="32" t="n">
        <x:f>INDEX(v01_FoodCap,G1396)*Arch_FoodCap*EXP(v01_CapsByProject*SUMPRODUCT((Cap_Point&lt;=I1396)*(Cap_Kind="Food")*Cap_Ln))</x:f>
        <x:v>12000</x:v>
      </x:c>
      <x:c r="K1396" s="32" t="n">
        <x:f>J1396*MIN(1,v01_LeanBase*EXP(v01_CapsByProject*SUMPRODUCT((Cap_Point&lt;=I1396)*(Cap_Kind="Lean")*Cap_Ln)))</x:f>
        <x:v>12000</x:v>
      </x:c>
      <x:c r="L1396" s="10" t="n">
        <x:f>INDEX(v01_HousingCap,G1396)*EXP(v01_CapsByProject*SUMPRODUCT((Cap_Point&lt;=I1396)*(Cap_Kind="Housing")*Cap_Ln))</x:f>
        <x:v>20000</x:v>
      </x:c>
      <x:c r="M1396" s="10" t="n">
        <x:f>INDEX(v01_GroupCap,G1396)*v01_CohesionFactor*EXP(v01_CapsByProject*SUMPRODUCT((Cap_Point&lt;=I1396)*(Cap_Kind="Group")*Cap_Ln))</x:f>
        <x:v>1000000</x:v>
      </x:c>
      <x:c r="N1396" s="32" t="n">
        <x:f>MIN(J1396,L1396,M1396)</x:f>
        <x:v>12000</x:v>
      </x:c>
      <x:c r="O1396" s="10" t="n">
        <x:f>AE1395*N1396</x:f>
        <x:v>180000</x:v>
      </x:c>
      <x:c r="P1396" s="9" t="n">
        <x:f>MIN(1,(AB1395/(AE1395*IF(v01_GroupInCrowding=1,N1396,MIN(J1396,L1396))))^v01_CrowdingExp)</x:f>
        <x:v>0.00018732527050314868</x:v>
      </x:c>
      <x:c r="Q1396" s="9" t="n">
        <x:f>IF(D1396=1,INDEX(v01_WinterMult,G1396),1)</x:f>
        <x:v>1</x:v>
      </x:c>
      <x:c r="R1396" s="9" t="n">
        <x:f>H1396*Z1395*v01_WomenShare*v01_BaseFertility*INDEX(v01_FertMult,G1396)*Arch_Fertility*(1-P1396)</x:f>
        <x:v>306.4508116923557</x:v>
      </x:c>
      <x:c r="S1396" s="9" t="n">
        <x:f>H1396*Y1395*INDEX(v01_MortChild,G1396)/4*Q1396</x:f>
        <x:v>10.38732573480568</x:v>
      </x:c>
      <x:c r="T1396" s="9" t="n">
        <x:f>H1396*Z1395*INDEX(v01_MortAdult,G1396)*Arch_AdultMort/4*Q1396</x:f>
        <x:v>11.610160167771124</x:v>
      </x:c>
      <x:c r="U1396" s="9" t="n">
        <x:f>H1396*AA1395*INDEX(v01_MortElder,G1396)/4*Q1396</x:f>
        <x:v>66.44037809247077</x:v>
      </x:c>
      <x:c r="V1396" s="9" t="n">
        <x:f>H1396*MAX(0,AB1395-O1396)*v01_OvercapLoss</x:f>
        <x:v>0</x:v>
      </x:c>
      <x:c r="W1396" s="9" t="n">
        <x:f>H1396*Y1395/(v01_ChildYears*4)</x:f>
        <x:v>247.31727940013522</x:v>
      </x:c>
      <x:c r="X1396" s="9" t="n">
        <x:f>H1396*Z1395/(v01_AdultYears*4)</x:f>
        <x:v>149.80851829382095</x:v>
      </x:c>
      <x:c r="Y1396" s="32" t="n">
        <x:f>Y1395+R1396-S1396-W1396-Y1395*V1396/AB1395</x:f>
        <x:v>13898.513852964987</x:v>
      </x:c>
      <x:c r="Z1396" s="32" t="n">
        <x:f>Z1395+W1396-X1396-T1396-Z1395*V1396/AB1395</x:f>
        <x:v>18662.15486937234</x:v>
      </x:c>
      <x:c r="AA1396" s="32" t="n">
        <x:f>AA1395+X1396-U1396-AA1395*V1396/AB1395</x:f>
        <x:v>10713.828634996673</x:v>
      </x:c>
      <x:c r="AB1396" s="10" t="n">
        <x:f>Y1396+Z1396+AA1396</x:f>
        <x:v>43274.497357334</x:v>
      </x:c>
      <x:c r="AC1396" s="8" t="n">
        <x:f>IF(AND(v01_WinterTrigger=1,D1396=1,AB1395/AE1395&gt;=K1396),1,0)</x:f>
        <x:v>0</x:v>
      </x:c>
      <x:c r="AD1396" s="8" t="n">
        <x:f>H1396*IF(AND(OR(AB1395/AE1395&gt;=v01_FissionTrigger*N1396,AC1396=1),AB1395/AE1395*v01_DaughterShare&gt;=v01_MinDaughter),MAX(1,ROUND(AE1395*v01_FissionRate,0)),0)</x:f>
        <x:v>0</x:v>
      </x:c>
      <x:c r="AE1396" s="8" t="n">
        <x:f>IF(H1396=1,MAX(1,MIN(INDEX(v01_Smax,G1396),AE1395+AD1396)),AE1395)</x:f>
        <x:v>15</x:v>
      </x:c>
      <x:c r="AF1396" s="8" t="n">
        <x:f>MAX(0,AE1396-AE1395)</x:f>
        <x:v>0</x:v>
      </x:c>
      <x:c r="AG1396" s="9" t="str">
        <x:f>IF(AF1396&gt;0,B1396,"")</x:f>
      </x:c>
      <x:c r="AH1396" s="9" t="n">
        <x:f>IF(F1396&gt;=1,1,(1+v01_LowTiesShare*(AE1396-1))/AE1396)</x:f>
        <x:v>1</x:v>
      </x:c>
      <x:c r="AI1396" s="32" t="n">
        <x:f>(Z1396+v01_ElderCommons*INDEX(LM_Elder,G1396)*AA1396)*AH1396</x:f>
        <x:v>60799.998382484526</x:v>
      </x:c>
      <x:c r="AJ1396" s="32" t="n">
        <x:f>H1396*v01_CommonsCoef*AI1396^v01_CommonsExp*INDEX(LM_Commons,G1396)</x:f>
        <x:v>31276.495421579337</x:v>
      </x:c>
      <x:c r="AK1396" s="32" t="n">
        <x:f>H1396*v01_RoleScale*Arch_Roles*(AE1396*(INDEX(v01_ElderRolePerSett,G1396)*v01_OutElder*INDEX(LM_Elder,G1396)+INDEX(v01_ShamanPerSett,G1396)*v01_OutShaman)+Z1396*(INDEX(v01_PriestShare,G1396)*v01_OutPriest+INDEX(v01_ScribeShare,G1396)*v01_OutScribe*INDEX(LM_Scribe,G1396)+INDEX(v01_ScholarShare,G1396)*v01_OutScholar*INDEX(LM_Scholar,G1396)+INDEX(v01_ResearcherShare,G1396)*v01_OutResearcher*INDEX(LM_Researcher,G1396)))</x:f>
        <x:v>8453.397507401882</x:v>
      </x:c>
      <x:c r="AL1396" s="32" t="n">
        <x:f>H1396*v01_RoleScale*Arch_Roles*AE1396*INDEX(v01_MonasteryPerSett,G1396)*v01_OutMonastery*INDEX(LM_Monastery,G1396)</x:f>
        <x:v>3.3000000000000003</x:v>
      </x:c>
      <x:c r="AM1396" s="32" t="n">
        <x:f>(AJ1396+AK1396+AL1396)/4*INDEX(LM_All,G1396)*INDEX(v01_Boon,G1396)*Arch_Insight</x:f>
        <x:v>34407.84927234843</x:v>
      </x:c>
      <x:c r="AN1396" s="32" t="n">
        <x:f>H1396*(v01_KHPerAdult*Z1396+v01_KHOfCommons*AJ1396/4*INDEX(LM_All,G1396))*v01_KHUsable*Arch_KH</x:f>
        <x:v>653.175420428032</x:v>
      </x:c>
      <x:c r="AO1396" s="32" t="n">
        <x:f>MIN(AP1395+AN1396,AM1396*v01_KHMaxRatio)</x:f>
        <x:v>653.175420428032</x:v>
      </x:c>
      <x:c r="AP1396" s="32" t="n">
        <x:f>AP1395+AN1396-AO1396</x:f>
        <x:v>0</x:v>
      </x:c>
      <x:c r="AQ1396" s="32" t="n">
        <x:f>AM1396+AO1396</x:f>
        <x:v>35061.02469277646</x:v>
      </x:c>
      <x:c r="AR1396" s="10" t="n">
        <x:f>IF(H1396=1,INDEX(v01_Req,G1396),0)</x:f>
        <x:v>1845340.8943637449</x:v>
      </x:c>
      <x:c r="AS1396" s="32" t="n">
        <x:f>IF(H1396=1,IF(E1396=1,AS1395-AR1395,AS1395)+AQ1396,0)</x:f>
        <x:v>1582113.8600716135</x:v>
      </x:c>
      <x:c r="AT1396" s="11" t="n">
        <x:f>IF(AR1396&gt;0,MIN(1,AS1396/AR1396),1)</x:f>
        <x:v>0.8573558765775418</x:v>
      </x:c>
      <x:c r="AU1396" s="10" t="n">
        <x:f>AB1396/INDEX(v01_RepScale,G1396)</x:f>
        <x:v>86.54899471466801</x:v>
      </x:c>
      <x:c r="AV1396" s="32" t="n">
        <x:f>AM1396*60/v01_SeasonSeconds</x:f>
        <x:v>137631.39708939372</x:v>
      </x:c>
    </x:row>
    <x:row r="1397">
      <x:c r="A1397" s="8" t="n">
        <x:f>A1396+1</x:f>
        <x:v>1394</x:v>
      </x:c>
      <x:c r="B1397" s="9" t="n">
        <x:f>A1397*v01_SeasonSeconds/60</x:f>
        <x:v>348.5</x:v>
      </x:c>
      <x:c r="C1397" s="9" t="n">
        <x:f>A1397/4</x:f>
        <x:v>348.5</x:v>
      </x:c>
      <x:c r="D1397" s="8" t="n">
        <x:f>IF(MOD(A1397,4)=0,1,0)</x:f>
        <x:v>0</x:v>
      </x:c>
      <x:c r="E1397" s="8" t="n">
        <x:f>IF(AND(F1396&lt;=9,AS1396&gt;=AR1396),1,0)</x:f>
        <x:v>0</x:v>
      </x:c>
      <x:c r="F1397" s="8" t="n">
        <x:f>MIN(10,F1396+E1397)</x:f>
        <x:v>9</x:v>
      </x:c>
      <x:c r="G1397" s="8" t="n">
        <x:f>MIN(F1397,9)+1</x:f>
        <x:v>10</x:v>
      </x:c>
      <x:c r="H1397" s="8" t="n">
        <x:f>IF(F1397&lt;=9,1,0)</x:f>
        <x:v>1</x:v>
      </x:c>
      <x:c r="I1397" s="9" t="n">
        <x:f>MIN(10,F1396+IF(AR1396&gt;0,MIN(1,AS1396/AR1396),1))</x:f>
        <x:v>9.857355876577541</x:v>
      </x:c>
      <x:c r="J1397" s="32" t="n">
        <x:f>INDEX(v01_FoodCap,G1397)*Arch_FoodCap*EXP(v01_CapsByProject*SUMPRODUCT((Cap_Point&lt;=I1397)*(Cap_Kind="Food")*Cap_Ln))</x:f>
        <x:v>12000</x:v>
      </x:c>
      <x:c r="K1397" s="32" t="n">
        <x:f>J1397*MIN(1,v01_LeanBase*EXP(v01_CapsByProject*SUMPRODUCT((Cap_Point&lt;=I1397)*(Cap_Kind="Lean")*Cap_Ln)))</x:f>
        <x:v>12000</x:v>
      </x:c>
      <x:c r="L1397" s="10" t="n">
        <x:f>INDEX(v01_HousingCap,G1397)*EXP(v01_CapsByProject*SUMPRODUCT((Cap_Point&lt;=I1397)*(Cap_Kind="Housing")*Cap_Ln))</x:f>
        <x:v>20000</x:v>
      </x:c>
      <x:c r="M1397" s="10" t="n">
        <x:f>INDEX(v01_GroupCap,G1397)*v01_CohesionFactor*EXP(v01_CapsByProject*SUMPRODUCT((Cap_Point&lt;=I1397)*(Cap_Kind="Group")*Cap_Ln))</x:f>
        <x:v>1000000</x:v>
      </x:c>
      <x:c r="N1397" s="32" t="n">
        <x:f>MIN(J1397,L1397,M1397)</x:f>
        <x:v>12000</x:v>
      </x:c>
      <x:c r="O1397" s="10" t="n">
        <x:f>AE1396*N1397</x:f>
        <x:v>180000</x:v>
      </x:c>
      <x:c r="P1397" s="9" t="n">
        <x:f>MIN(1,(AB1396/(AE1396*IF(v01_GroupInCrowding=1,N1397,MIN(J1397,L1397))))^v01_CrowdingExp)</x:f>
        <x:v>0.00019308883502329005</x:v>
      </x:c>
      <x:c r="Q1397" s="9" t="n">
        <x:f>IF(D1397=1,INDEX(v01_WinterMult,G1397),1)</x:f>
        <x:v>1</x:v>
      </x:c>
      <x:c r="R1397" s="9" t="n">
        <x:f>H1397*Z1396*v01_WomenShare*v01_BaseFertility*INDEX(v01_FertMult,G1397)*Arch_Fertility*(1-P1397)</x:f>
        <x:v>307.86609835788823</x:v>
      </x:c>
      <x:c r="S1397" s="9" t="n">
        <x:f>H1397*Y1396*INDEX(v01_MortChild,G1397)/4*Q1397</x:f>
        <x:v>10.42388538972374</x:v>
      </x:c>
      <x:c r="T1397" s="9" t="n">
        <x:f>H1397*Z1396*INDEX(v01_MortAdult,G1397)*Arch_AdultMort/4*Q1397</x:f>
        <x:v>11.663846793357713</x:v>
      </x:c>
      <x:c r="U1397" s="9" t="n">
        <x:f>H1397*AA1396*INDEX(v01_MortElder,G1397)/4*Q1397</x:f>
        <x:v>66.96142896872921</x:v>
      </x:c>
      <x:c r="V1397" s="9" t="n">
        <x:f>H1397*MAX(0,AB1396-O1397)*v01_OvercapLoss</x:f>
        <x:v>0</x:v>
      </x:c>
      <x:c r="W1397" s="9" t="n">
        <x:f>H1397*Y1396/(v01_ChildYears*4)</x:f>
        <x:v>248.18774737437477</x:v>
      </x:c>
      <x:c r="X1397" s="9" t="n">
        <x:f>H1397*Z1396/(v01_AdultYears*4)</x:f>
        <x:v>150.50124894655113</x:v>
      </x:c>
      <x:c r="Y1397" s="32" t="n">
        <x:f>Y1396+R1397-S1397-W1397-Y1396*V1397/AB1396</x:f>
        <x:v>13947.768318558776</x:v>
      </x:c>
      <x:c r="Z1397" s="32" t="n">
        <x:f>Z1396+W1397-X1397-T1397-Z1396*V1397/AB1396</x:f>
        <x:v>18748.177521006804</x:v>
      </x:c>
      <x:c r="AA1397" s="32" t="n">
        <x:f>AA1396+X1397-U1397-AA1396*V1397/AB1396</x:f>
        <x:v>10797.368454974496</x:v>
      </x:c>
      <x:c r="AB1397" s="10" t="n">
        <x:f>Y1397+Z1397+AA1397</x:f>
        <x:v>43493.314294540076</x:v>
      </x:c>
      <x:c r="AC1397" s="8" t="n">
        <x:f>IF(AND(v01_WinterTrigger=1,D1397=1,AB1396/AE1396&gt;=K1397),1,0)</x:f>
        <x:v>0</x:v>
      </x:c>
      <x:c r="AD1397" s="8" t="n">
        <x:f>H1397*IF(AND(OR(AB1396/AE1396&gt;=v01_FissionTrigger*N1397,AC1397=1),AB1396/AE1396*v01_DaughterShare&gt;=v01_MinDaughter),MAX(1,ROUND(AE1396*v01_FissionRate,0)),0)</x:f>
        <x:v>0</x:v>
      </x:c>
      <x:c r="AE1397" s="8" t="n">
        <x:f>IF(H1397=1,MAX(1,MIN(INDEX(v01_Smax,G1397),AE1396+AD1397)),AE1396)</x:f>
        <x:v>15</x:v>
      </x:c>
      <x:c r="AF1397" s="8" t="n">
        <x:f>MAX(0,AE1397-AE1396)</x:f>
        <x:v>0</x:v>
      </x:c>
      <x:c r="AG1397" s="9" t="str">
        <x:f>IF(AF1397&gt;0,B1397,"")</x:f>
      </x:c>
      <x:c r="AH1397" s="9" t="n">
        <x:f>IF(F1397&gt;=1,1,(1+v01_LowTiesShare*(AE1397-1))/AE1397)</x:f>
        <x:v>1</x:v>
      </x:c>
      <x:c r="AI1397" s="32" t="n">
        <x:f>(Z1397+v01_ElderCommons*INDEX(LM_Elder,G1397)*AA1397)*AH1397</x:f>
        <x:v>61214.585917996286</x:v>
      </x:c>
      <x:c r="AJ1397" s="32" t="n">
        <x:f>H1397*v01_CommonsCoef*AI1397^v01_CommonsExp*INDEX(LM_Commons,G1397)</x:f>
        <x:v>31457.68286609554</x:v>
      </x:c>
      <x:c r="AK1397" s="32" t="n">
        <x:f>H1397*v01_RoleScale*Arch_Roles*(AE1397*(INDEX(v01_ElderRolePerSett,G1397)*v01_OutElder*INDEX(LM_Elder,G1397)+INDEX(v01_ShamanPerSett,G1397)*v01_OutShaman)+Z1397*(INDEX(v01_PriestShare,G1397)*v01_OutPriest+INDEX(v01_ScribeShare,G1397)*v01_OutScribe*INDEX(LM_Scribe,G1397)+INDEX(v01_ScholarShare,G1397)*v01_OutScholar*INDEX(LM_Scholar,G1397)+INDEX(v01_ResearcherShare,G1397)*v01_OutResearcher*INDEX(LM_Researcher,G1397)))</x:f>
        <x:v>8492.12351143143</x:v>
      </x:c>
      <x:c r="AL1397" s="32" t="n">
        <x:f>H1397*v01_RoleScale*Arch_Roles*AE1397*INDEX(v01_MonasteryPerSett,G1397)*v01_OutMonastery*INDEX(LM_Monastery,G1397)</x:f>
        <x:v>3.3000000000000003</x:v>
      </x:c>
      <x:c r="AM1397" s="32" t="n">
        <x:f>(AJ1397+AK1397+AL1397)/4*INDEX(LM_All,G1397)*INDEX(v01_Boon,G1397)*Arch_Insight</x:f>
        <x:v>34598.28825378265</x:v>
      </x:c>
      <x:c r="AN1397" s="32" t="n">
        <x:f>H1397*(v01_KHPerAdult*Z1397+v01_KHOfCommons*AJ1397/4*INDEX(LM_All,G1397))*v01_KHUsable*Arch_KH</x:f>
        <x:v>656.1862132352381</x:v>
      </x:c>
      <x:c r="AO1397" s="32" t="n">
        <x:f>MIN(AP1396+AN1397,AM1397*v01_KHMaxRatio)</x:f>
        <x:v>656.1862132352381</x:v>
      </x:c>
      <x:c r="AP1397" s="32" t="n">
        <x:f>AP1396+AN1397-AO1397</x:f>
        <x:v>0</x:v>
      </x:c>
      <x:c r="AQ1397" s="32" t="n">
        <x:f>AM1397+AO1397</x:f>
        <x:v>35254.47446701789</x:v>
      </x:c>
      <x:c r="AR1397" s="10" t="n">
        <x:f>IF(H1397=1,INDEX(v01_Req,G1397),0)</x:f>
        <x:v>1845340.8943637449</x:v>
      </x:c>
      <x:c r="AS1397" s="32" t="n">
        <x:f>IF(H1397=1,IF(E1397=1,AS1396-AR1396,AS1396)+AQ1397,0)</x:f>
        <x:v>1617368.3345386314</x:v>
      </x:c>
      <x:c r="AT1397" s="11" t="n">
        <x:f>IF(AR1397&gt;0,MIN(1,AS1397/AR1397),1)</x:f>
        <x:v>0.8764604629305004</x:v>
      </x:c>
      <x:c r="AU1397" s="10" t="n">
        <x:f>AB1397/INDEX(v01_RepScale,G1397)</x:f>
        <x:v>86.98662858908015</x:v>
      </x:c>
      <x:c r="AV1397" s="32" t="n">
        <x:f>AM1397*60/v01_SeasonSeconds</x:f>
        <x:v>138393.1530151306</x:v>
      </x:c>
    </x:row>
    <x:row r="1398">
      <x:c r="A1398" s="8" t="n">
        <x:f>A1397+1</x:f>
        <x:v>1395</x:v>
      </x:c>
      <x:c r="B1398" s="9" t="n">
        <x:f>A1398*v01_SeasonSeconds/60</x:f>
        <x:v>348.75</x:v>
      </x:c>
      <x:c r="C1398" s="9" t="n">
        <x:f>A1398/4</x:f>
        <x:v>348.75</x:v>
      </x:c>
      <x:c r="D1398" s="8" t="n">
        <x:f>IF(MOD(A1398,4)=0,1,0)</x:f>
        <x:v>0</x:v>
      </x:c>
      <x:c r="E1398" s="8" t="n">
        <x:f>IF(AND(F1397&lt;=9,AS1397&gt;=AR1397),1,0)</x:f>
        <x:v>0</x:v>
      </x:c>
      <x:c r="F1398" s="8" t="n">
        <x:f>MIN(10,F1397+E1398)</x:f>
        <x:v>9</x:v>
      </x:c>
      <x:c r="G1398" s="8" t="n">
        <x:f>MIN(F1398,9)+1</x:f>
        <x:v>10</x:v>
      </x:c>
      <x:c r="H1398" s="8" t="n">
        <x:f>IF(F1398&lt;=9,1,0)</x:f>
        <x:v>1</x:v>
      </x:c>
      <x:c r="I1398" s="9" t="n">
        <x:f>MIN(10,F1397+IF(AR1397&gt;0,MIN(1,AS1397/AR1397),1))</x:f>
        <x:v>9.8764604629305</x:v>
      </x:c>
      <x:c r="J1398" s="32" t="n">
        <x:f>INDEX(v01_FoodCap,G1398)*Arch_FoodCap*EXP(v01_CapsByProject*SUMPRODUCT((Cap_Point&lt;=I1398)*(Cap_Kind="Food")*Cap_Ln))</x:f>
        <x:v>12000</x:v>
      </x:c>
      <x:c r="K1398" s="32" t="n">
        <x:f>J1398*MIN(1,v01_LeanBase*EXP(v01_CapsByProject*SUMPRODUCT((Cap_Point&lt;=I1398)*(Cap_Kind="Lean")*Cap_Ln)))</x:f>
        <x:v>12000</x:v>
      </x:c>
      <x:c r="L1398" s="10" t="n">
        <x:f>INDEX(v01_HousingCap,G1398)*EXP(v01_CapsByProject*SUMPRODUCT((Cap_Point&lt;=I1398)*(Cap_Kind="Housing")*Cap_Ln))</x:f>
        <x:v>20000</x:v>
      </x:c>
      <x:c r="M1398" s="10" t="n">
        <x:f>INDEX(v01_GroupCap,G1398)*v01_CohesionFactor*EXP(v01_CapsByProject*SUMPRODUCT((Cap_Point&lt;=I1398)*(Cap_Kind="Group")*Cap_Ln))</x:f>
        <x:v>1000000</x:v>
      </x:c>
      <x:c r="N1398" s="32" t="n">
        <x:f>MIN(J1398,L1398,M1398)</x:f>
        <x:v>12000</x:v>
      </x:c>
      <x:c r="O1398" s="10" t="n">
        <x:f>AE1397*N1398</x:f>
        <x:v>180000</x:v>
      </x:c>
      <x:c r="P1398" s="9" t="n">
        <x:f>MIN(1,(AB1397/(AE1397*IF(v01_GroupInCrowding=1,N1398,MIN(J1398,L1398))))^v01_CrowdingExp)</x:f>
        <x:v>0.00019902149700627586</x:v>
      </x:c>
      <x:c r="Q1398" s="9" t="n">
        <x:f>IF(D1398=1,INDEX(v01_WinterMult,G1398),1)</x:f>
        <x:v>1</x:v>
      </x:c>
      <x:c r="R1398" s="9" t="n">
        <x:f>H1398*Z1397*v01_WomenShare*v01_BaseFertility*INDEX(v01_FertMult,G1398)*Arch_Fertility*(1-P1398)</x:f>
        <x:v>309.2833628057322</x:v>
      </x:c>
      <x:c r="S1398" s="9" t="n">
        <x:f>H1398*Y1397*INDEX(v01_MortChild,G1398)/4*Q1398</x:f>
        <x:v>10.460826238919083</x:v>
      </x:c>
      <x:c r="T1398" s="9" t="n">
        <x:f>H1398*Z1397*INDEX(v01_MortAdult,G1398)*Arch_AdultMort/4*Q1398</x:f>
        <x:v>11.717610950629252</x:v>
      </x:c>
      <x:c r="U1398" s="9" t="n">
        <x:f>H1398*AA1397*INDEX(v01_MortElder,G1398)/4*Q1398</x:f>
        <x:v>67.4835528435906</x:v>
      </x:c>
      <x:c r="V1398" s="9" t="n">
        <x:f>H1398*MAX(0,AB1397-O1398)*v01_OvercapLoss</x:f>
        <x:v>0</x:v>
      </x:c>
      <x:c r="W1398" s="9" t="n">
        <x:f>H1398*Y1397/(v01_ChildYears*4)</x:f>
        <x:v>249.06729140283528</x:v>
      </x:c>
      <x:c r="X1398" s="9" t="n">
        <x:f>H1398*Z1397/(v01_AdultYears*4)</x:f>
        <x:v>151.1949800081194</x:v>
      </x:c>
      <x:c r="Y1398" s="32" t="n">
        <x:f>Y1397+R1398-S1398-W1398-Y1397*V1398/AB1397</x:f>
        <x:v>13997.523563722754</x:v>
      </x:c>
      <x:c r="Z1398" s="32" t="n">
        <x:f>Z1397+W1398-X1398-T1398-Z1397*V1398/AB1397</x:f>
        <x:v>18834.33222145089</x:v>
      </x:c>
      <x:c r="AA1398" s="32" t="n">
        <x:f>AA1397+X1398-U1398-AA1397*V1398/AB1397</x:f>
        <x:v>10881.079882139025</x:v>
      </x:c>
      <x:c r="AB1398" s="10" t="n">
        <x:f>Y1398+Z1398+AA1398</x:f>
        <x:v>43712.935667312675</x:v>
      </x:c>
      <x:c r="AC1398" s="8" t="n">
        <x:f>IF(AND(v01_WinterTrigger=1,D1398=1,AB1397/AE1397&gt;=K1398),1,0)</x:f>
        <x:v>0</x:v>
      </x:c>
      <x:c r="AD1398" s="8" t="n">
        <x:f>H1398*IF(AND(OR(AB1397/AE1397&gt;=v01_FissionTrigger*N1398,AC1398=1),AB1397/AE1397*v01_DaughterShare&gt;=v01_MinDaughter),MAX(1,ROUND(AE1397*v01_FissionRate,0)),0)</x:f>
        <x:v>0</x:v>
      </x:c>
      <x:c r="AE1398" s="8" t="n">
        <x:f>IF(H1398=1,MAX(1,MIN(INDEX(v01_Smax,G1398),AE1397+AD1398)),AE1397)</x:f>
        <x:v>15</x:v>
      </x:c>
      <x:c r="AF1398" s="8" t="n">
        <x:f>MAX(0,AE1398-AE1397)</x:f>
        <x:v>0</x:v>
      </x:c>
      <x:c r="AG1398" s="9" t="str">
        <x:f>IF(AF1398&gt;0,B1398,"")</x:f>
      </x:c>
      <x:c r="AH1398" s="9" t="n">
        <x:f>IF(F1398&gt;=1,1,(1+v01_LowTiesShare*(AE1398-1))/AE1398)</x:f>
        <x:v>1</x:v>
      </x:c>
      <x:c r="AI1398" s="32" t="n">
        <x:f>(Z1398+v01_ElderCommons*INDEX(LM_Elder,G1398)*AA1398)*AH1398</x:f>
        <x:v>61629.980439077044</x:v>
      </x:c>
      <x:c r="AJ1398" s="32" t="n">
        <x:f>H1398*v01_CommonsCoef*AI1398^v01_CommonsExp*INDEX(LM_Commons,G1398)</x:f>
        <x:v>31639.038474370966</x:v>
      </x:c>
      <x:c r="AK1398" s="32" t="n">
        <x:f>H1398*v01_RoleScale*Arch_Roles*(AE1398*(INDEX(v01_ElderRolePerSett,G1398)*v01_OutElder*INDEX(LM_Elder,G1398)+INDEX(v01_ShamanPerSett,G1398)*v01_OutShaman)+Z1398*(INDEX(v01_PriestShare,G1398)*v01_OutPriest+INDEX(v01_ScribeShare,G1398)*v01_OutScribe*INDEX(LM_Scribe,G1398)+INDEX(v01_ScholarShare,G1398)*v01_OutScholar*INDEX(LM_Scholar,G1398)+INDEX(v01_ResearcherShare,G1398)*v01_OutResearcher*INDEX(LM_Researcher,G1398)))</x:f>
        <x:v>8530.908961695619</x:v>
      </x:c>
      <x:c r="AL1398" s="32" t="n">
        <x:f>H1398*v01_RoleScale*Arch_Roles*AE1398*INDEX(v01_MonasteryPerSett,G1398)*v01_OutMonastery*INDEX(LM_Monastery,G1398)</x:f>
        <x:v>3.3000000000000003</x:v>
      </x:c>
      <x:c r="AM1398" s="32" t="n">
        <x:f>(AJ1398+AK1398+AL1398)/4*INDEX(LM_All,G1398)*INDEX(v01_Boon,G1398)*Arch_Insight</x:f>
        <x:v>34788.92433919429</x:v>
      </x:c>
      <x:c r="AN1398" s="32" t="n">
        <x:f>H1398*(v01_KHPerAdult*Z1398+v01_KHOfCommons*AJ1398/4*INDEX(LM_All,G1398))*v01_KHUsable*Arch_KH</x:f>
        <x:v>659.2016277507812</x:v>
      </x:c>
      <x:c r="AO1398" s="32" t="n">
        <x:f>MIN(AP1397+AN1398,AM1398*v01_KHMaxRatio)</x:f>
        <x:v>659.2016277507812</x:v>
      </x:c>
      <x:c r="AP1398" s="32" t="n">
        <x:f>AP1397+AN1398-AO1398</x:f>
        <x:v>0</x:v>
      </x:c>
      <x:c r="AQ1398" s="32" t="n">
        <x:f>AM1398+AO1398</x:f>
        <x:v>35448.12596694507</x:v>
      </x:c>
      <x:c r="AR1398" s="10" t="n">
        <x:f>IF(H1398=1,INDEX(v01_Req,G1398),0)</x:f>
        <x:v>1845340.8943637449</x:v>
      </x:c>
      <x:c r="AS1398" s="32" t="n">
        <x:f>IF(H1398=1,IF(E1398=1,AS1397-AR1397,AS1397)+AQ1398,0)</x:f>
        <x:v>1652816.4605055763</x:v>
      </x:c>
      <x:c r="AT1398" s="11" t="n">
        <x:f>IF(AR1398&gt;0,MIN(1,AS1398/AR1398),1)</x:f>
        <x:v>0.8956699900564719</x:v>
      </x:c>
      <x:c r="AU1398" s="10" t="n">
        <x:f>AB1398/INDEX(v01_RepScale,G1398)</x:f>
        <x:v>87.42587133462536</x:v>
      </x:c>
      <x:c r="AV1398" s="32" t="n">
        <x:f>AM1398*60/v01_SeasonSeconds</x:f>
        <x:v>139155.69735677715</x:v>
      </x:c>
    </x:row>
    <x:row r="1399">
      <x:c r="A1399" s="8" t="n">
        <x:f>A1398+1</x:f>
        <x:v>1396</x:v>
      </x:c>
      <x:c r="B1399" s="9" t="n">
        <x:f>A1399*v01_SeasonSeconds/60</x:f>
        <x:v>349</x:v>
      </x:c>
      <x:c r="C1399" s="9" t="n">
        <x:f>A1399/4</x:f>
        <x:v>349</x:v>
      </x:c>
      <x:c r="D1399" s="8" t="n">
        <x:f>IF(MOD(A1399,4)=0,1,0)</x:f>
        <x:v>1</x:v>
      </x:c>
      <x:c r="E1399" s="8" t="n">
        <x:f>IF(AND(F1398&lt;=9,AS1398&gt;=AR1398),1,0)</x:f>
        <x:v>0</x:v>
      </x:c>
      <x:c r="F1399" s="8" t="n">
        <x:f>MIN(10,F1398+E1399)</x:f>
        <x:v>9</x:v>
      </x:c>
      <x:c r="G1399" s="8" t="n">
        <x:f>MIN(F1399,9)+1</x:f>
        <x:v>10</x:v>
      </x:c>
      <x:c r="H1399" s="8" t="n">
        <x:f>IF(F1399&lt;=9,1,0)</x:f>
        <x:v>1</x:v>
      </x:c>
      <x:c r="I1399" s="9" t="n">
        <x:f>MIN(10,F1398+IF(AR1398&gt;0,MIN(1,AS1398/AR1398),1))</x:f>
        <x:v>9.895669990056472</x:v>
      </x:c>
      <x:c r="J1399" s="32" t="n">
        <x:f>INDEX(v01_FoodCap,G1399)*Arch_FoodCap*EXP(v01_CapsByProject*SUMPRODUCT((Cap_Point&lt;=I1399)*(Cap_Kind="Food")*Cap_Ln))</x:f>
        <x:v>12000</x:v>
      </x:c>
      <x:c r="K1399" s="32" t="n">
        <x:f>J1399*MIN(1,v01_LeanBase*EXP(v01_CapsByProject*SUMPRODUCT((Cap_Point&lt;=I1399)*(Cap_Kind="Lean")*Cap_Ln)))</x:f>
        <x:v>12000</x:v>
      </x:c>
      <x:c r="L1399" s="10" t="n">
        <x:f>INDEX(v01_HousingCap,G1399)*EXP(v01_CapsByProject*SUMPRODUCT((Cap_Point&lt;=I1399)*(Cap_Kind="Housing")*Cap_Ln))</x:f>
        <x:v>20000</x:v>
      </x:c>
      <x:c r="M1399" s="10" t="n">
        <x:f>INDEX(v01_GroupCap,G1399)*v01_CohesionFactor*EXP(v01_CapsByProject*SUMPRODUCT((Cap_Point&lt;=I1399)*(Cap_Kind="Group")*Cap_Ln))</x:f>
        <x:v>1000000</x:v>
      </x:c>
      <x:c r="N1399" s="32" t="n">
        <x:f>MIN(J1399,L1399,M1399)</x:f>
        <x:v>12000</x:v>
      </x:c>
      <x:c r="O1399" s="10" t="n">
        <x:f>AE1398*N1399</x:f>
        <x:v>180000</x:v>
      </x:c>
      <x:c r="P1399" s="9" t="n">
        <x:f>MIN(1,(AB1398/(AE1398*IF(v01_GroupInCrowding=1,N1399,MIN(J1399,L1399))))^v01_CrowdingExp)</x:f>
        <x:v>0.0002051279368302772</x:v>
      </x:c>
      <x:c r="Q1399" s="9" t="n">
        <x:f>IF(D1399=1,INDEX(v01_WinterMult,G1399),1)</x:f>
        <x:v>1</x:v>
      </x:c>
      <x:c r="R1399" s="9" t="n">
        <x:f>H1399*Z1398*v01_WomenShare*v01_BaseFertility*INDEX(v01_FertMult,G1399)*Arch_Fertility*(1-P1399)</x:f>
        <x:v>310.702734766722</x:v>
      </x:c>
      <x:c r="S1399" s="9" t="n">
        <x:f>H1399*Y1398*INDEX(v01_MortChild,G1399)/4*Q1399</x:f>
        <x:v>10.498142672792065</x:v>
      </x:c>
      <x:c r="T1399" s="9" t="n">
        <x:f>H1399*Z1398*INDEX(v01_MortAdult,G1399)*Arch_AdultMort/4*Q1399</x:f>
        <x:v>11.771457638406808</x:v>
      </x:c>
      <x:c r="U1399" s="9" t="n">
        <x:f>H1399*AA1398*INDEX(v01_MortElder,G1399)/4*Q1399</x:f>
        <x:v>68.00674926336892</x:v>
      </x:c>
      <x:c r="V1399" s="9" t="n">
        <x:f>H1399*MAX(0,AB1398-O1399)*v01_OvercapLoss</x:f>
        <x:v>0</x:v>
      </x:c>
      <x:c r="W1399" s="9" t="n">
        <x:f>H1399*Y1398/(v01_ChildYears*4)</x:f>
        <x:v>249.95577792362062</x:v>
      </x:c>
      <x:c r="X1399" s="9" t="n">
        <x:f>H1399*Z1398/(v01_AdultYears*4)</x:f>
        <x:v>151.88977597944267</x:v>
      </x:c>
      <x:c r="Y1399" s="32" t="n">
        <x:f>Y1398+R1399-S1399-W1399-Y1398*V1399/AB1398</x:f>
        <x:v>14047.772377893065</x:v>
      </x:c>
      <x:c r="Z1399" s="32" t="n">
        <x:f>Z1398+W1399-X1399-T1399-Z1398*V1399/AB1398</x:f>
        <x:v>18920.626765756664</x:v>
      </x:c>
      <x:c r="AA1399" s="32" t="n">
        <x:f>AA1398+X1399-U1399-AA1398*V1399/AB1398</x:f>
        <x:v>10964.9629088551</x:v>
      </x:c>
      <x:c r="AB1399" s="10" t="n">
        <x:f>Y1399+Z1399+AA1399</x:f>
        <x:v>43933.36205250483</x:v>
      </x:c>
      <x:c r="AC1399" s="8" t="n">
        <x:f>IF(AND(v01_WinterTrigger=1,D1399=1,AB1398/AE1398&gt;=K1399),1,0)</x:f>
        <x:v>0</x:v>
      </x:c>
      <x:c r="AD1399" s="8" t="n">
        <x:f>H1399*IF(AND(OR(AB1398/AE1398&gt;=v01_FissionTrigger*N1399,AC1399=1),AB1398/AE1398*v01_DaughterShare&gt;=v01_MinDaughter),MAX(1,ROUND(AE1398*v01_FissionRate,0)),0)</x:f>
        <x:v>0</x:v>
      </x:c>
      <x:c r="AE1399" s="8" t="n">
        <x:f>IF(H1399=1,MAX(1,MIN(INDEX(v01_Smax,G1399),AE1398+AD1399)),AE1398)</x:f>
        <x:v>15</x:v>
      </x:c>
      <x:c r="AF1399" s="8" t="n">
        <x:f>MAX(0,AE1399-AE1398)</x:f>
        <x:v>0</x:v>
      </x:c>
      <x:c r="AG1399" s="9" t="str">
        <x:f>IF(AF1399&gt;0,B1399,"")</x:f>
      </x:c>
      <x:c r="AH1399" s="9" t="n">
        <x:f>IF(F1399&gt;=1,1,(1+v01_LowTiesShare*(AE1399-1))/AE1399)</x:f>
        <x:v>1</x:v>
      </x:c>
      <x:c r="AI1399" s="32" t="n">
        <x:f>(Z1399+v01_ElderCommons*INDEX(LM_Elder,G1399)*AA1399)*AH1399</x:f>
        <x:v>62046.18971074948</x:v>
      </x:c>
      <x:c r="AJ1399" s="32" t="n">
        <x:f>H1399*v01_CommonsCoef*AI1399^v01_CommonsExp*INDEX(LM_Commons,G1399)</x:f>
        <x:v>31820.565990007504</x:v>
      </x:c>
      <x:c r="AK1399" s="32" t="n">
        <x:f>H1399*v01_RoleScale*Arch_Roles*(AE1399*(INDEX(v01_ElderRolePerSett,G1399)*v01_OutElder*INDEX(LM_Elder,G1399)+INDEX(v01_ShamanPerSett,G1399)*v01_OutShaman)+Z1399*(INDEX(v01_PriestShare,G1399)*v01_OutPriest+INDEX(v01_ScribeShare,G1399)*v01_OutScribe*INDEX(LM_Scribe,G1399)+INDEX(v01_ScholarShare,G1399)*v01_OutScholar*INDEX(LM_Scholar,G1399)+INDEX(v01_ResearcherShare,G1399)*v01_OutResearcher*INDEX(LM_Researcher,G1399)))</x:f>
        <x:v>8569.757367400594</x:v>
      </x:c>
      <x:c r="AL1399" s="32" t="n">
        <x:f>H1399*v01_RoleScale*Arch_Roles*AE1399*INDEX(v01_MonasteryPerSett,G1399)*v01_OutMonastery*INDEX(LM_Monastery,G1399)</x:f>
        <x:v>3.3000000000000003</x:v>
      </x:c>
      <x:c r="AM1399" s="32" t="n">
        <x:f>(AJ1399+AK1399+AL1399)/4*INDEX(LM_All,G1399)*INDEX(v01_Boon,G1399)*Arch_Insight</x:f>
        <x:v>34979.763809315074</x:v>
      </x:c>
      <x:c r="AN1399" s="32" t="n">
        <x:f>H1399*(v01_KHPerAdult*Z1399+v01_KHOfCommons*AJ1399/4*INDEX(LM_All,G1399))*v01_KHUsable*Arch_KH</x:f>
        <x:v>662.2219368014833</x:v>
      </x:c>
      <x:c r="AO1399" s="32" t="n">
        <x:f>MIN(AP1398+AN1399,AM1399*v01_KHMaxRatio)</x:f>
        <x:v>662.2219368014833</x:v>
      </x:c>
      <x:c r="AP1399" s="32" t="n">
        <x:f>AP1398+AN1399-AO1399</x:f>
        <x:v>0</x:v>
      </x:c>
      <x:c r="AQ1399" s="32" t="n">
        <x:f>AM1399+AO1399</x:f>
        <x:v>35641.98574611656</x:v>
      </x:c>
      <x:c r="AR1399" s="10" t="n">
        <x:f>IF(H1399=1,INDEX(v01_Req,G1399),0)</x:f>
        <x:v>1845340.8943637449</x:v>
      </x:c>
      <x:c r="AS1399" s="32" t="n">
        <x:f>IF(H1399=1,IF(E1399=1,AS1398-AR1398,AS1398)+AQ1399,0)</x:f>
        <x:v>1688458.446251693</x:v>
      </x:c>
      <x:c r="AT1399" s="11" t="n">
        <x:f>IF(AR1399&gt;0,MIN(1,AS1399/AR1399),1)</x:f>
        <x:v>0.9149845708230817</x:v>
      </x:c>
      <x:c r="AU1399" s="10" t="n">
        <x:f>AB1399/INDEX(v01_RepScale,G1399)</x:f>
        <x:v>87.86672410500967</x:v>
      </x:c>
      <x:c r="AV1399" s="32" t="n">
        <x:f>AM1399*60/v01_SeasonSeconds</x:f>
        <x:v>139919.0552372603</x:v>
      </x:c>
    </x:row>
    <x:row r="1400">
      <x:c r="A1400" s="8" t="n">
        <x:f>A1399+1</x:f>
        <x:v>1397</x:v>
      </x:c>
      <x:c r="B1400" s="9" t="n">
        <x:f>A1400*v01_SeasonSeconds/60</x:f>
        <x:v>349.25</x:v>
      </x:c>
      <x:c r="C1400" s="9" t="n">
        <x:f>A1400/4</x:f>
        <x:v>349.25</x:v>
      </x:c>
      <x:c r="D1400" s="8" t="n">
        <x:f>IF(MOD(A1400,4)=0,1,0)</x:f>
        <x:v>0</x:v>
      </x:c>
      <x:c r="E1400" s="8" t="n">
        <x:f>IF(AND(F1399&lt;=9,AS1399&gt;=AR1399),1,0)</x:f>
        <x:v>0</x:v>
      </x:c>
      <x:c r="F1400" s="8" t="n">
        <x:f>MIN(10,F1399+E1400)</x:f>
        <x:v>9</x:v>
      </x:c>
      <x:c r="G1400" s="8" t="n">
        <x:f>MIN(F1400,9)+1</x:f>
        <x:v>10</x:v>
      </x:c>
      <x:c r="H1400" s="8" t="n">
        <x:f>IF(F1400&lt;=9,1,0)</x:f>
        <x:v>1</x:v>
      </x:c>
      <x:c r="I1400" s="9" t="n">
        <x:f>MIN(10,F1399+IF(AR1399&gt;0,MIN(1,AS1399/AR1399),1))</x:f>
        <x:v>9.914984570823082</x:v>
      </x:c>
      <x:c r="J1400" s="32" t="n">
        <x:f>INDEX(v01_FoodCap,G1400)*Arch_FoodCap*EXP(v01_CapsByProject*SUMPRODUCT((Cap_Point&lt;=I1400)*(Cap_Kind="Food")*Cap_Ln))</x:f>
        <x:v>12000</x:v>
      </x:c>
      <x:c r="K1400" s="32" t="n">
        <x:f>J1400*MIN(1,v01_LeanBase*EXP(v01_CapsByProject*SUMPRODUCT((Cap_Point&lt;=I1400)*(Cap_Kind="Lean")*Cap_Ln)))</x:f>
        <x:v>12000</x:v>
      </x:c>
      <x:c r="L1400" s="10" t="n">
        <x:f>INDEX(v01_HousingCap,G1400)*EXP(v01_CapsByProject*SUMPRODUCT((Cap_Point&lt;=I1400)*(Cap_Kind="Housing")*Cap_Ln))</x:f>
        <x:v>20000</x:v>
      </x:c>
      <x:c r="M1400" s="10" t="n">
        <x:f>INDEX(v01_GroupCap,G1400)*v01_CohesionFactor*EXP(v01_CapsByProject*SUMPRODUCT((Cap_Point&lt;=I1400)*(Cap_Kind="Group")*Cap_Ln))</x:f>
        <x:v>1000000</x:v>
      </x:c>
      <x:c r="N1400" s="32" t="n">
        <x:f>MIN(J1400,L1400,M1400)</x:f>
        <x:v>12000</x:v>
      </x:c>
      <x:c r="O1400" s="10" t="n">
        <x:f>AE1399*N1400</x:f>
        <x:v>180000</x:v>
      </x:c>
      <x:c r="P1400" s="9" t="n">
        <x:f>MIN(1,(AB1399/(AE1399*IF(v01_GroupInCrowding=1,N1400,MIN(J1400,L1400))))^v01_CrowdingExp)</x:f>
        <x:v>0.0002114129595936699</x:v>
      </x:c>
      <x:c r="Q1400" s="9" t="n">
        <x:f>IF(D1400=1,INDEX(v01_WinterMult,G1400),1)</x:f>
        <x:v>1</x:v>
      </x:c>
      <x:c r="R1400" s="9" t="n">
        <x:f>H1400*Z1399*v01_WomenShare*v01_BaseFertility*INDEX(v01_FertMult,G1400)*Arch_Fertility*(1-P1400)</x:f>
        <x:v>312.12434055090336</x:v>
      </x:c>
      <x:c r="S1400" s="9" t="n">
        <x:f>H1400*Y1399*INDEX(v01_MortChild,G1400)/4*Q1400</x:f>
        <x:v>10.5358292834198</x:v>
      </x:c>
      <x:c r="T1400" s="9" t="n">
        <x:f>H1400*Z1399*INDEX(v01_MortAdult,G1400)*Arch_AdultMort/4*Q1400</x:f>
        <x:v>11.825391728597916</x:v>
      </x:c>
      <x:c r="U1400" s="9" t="n">
        <x:f>H1400*AA1399*INDEX(v01_MortElder,G1400)/4*Q1400</x:f>
        <x:v>68.53101818034438</x:v>
      </x:c>
      <x:c r="V1400" s="9" t="n">
        <x:f>H1400*MAX(0,AB1399-O1400)*v01_OvercapLoss</x:f>
        <x:v>0</x:v>
      </x:c>
      <x:c r="W1400" s="9" t="n">
        <x:f>H1400*Y1399/(v01_ChildYears*4)</x:f>
        <x:v>250.85307817666188</x:v>
      </x:c>
      <x:c r="X1400" s="9" t="n">
        <x:f>H1400*Z1399/(v01_AdultYears*4)</x:f>
        <x:v>152.58569972384407</x:v>
      </x:c>
      <x:c r="Y1400" s="32" t="n">
        <x:f>Y1399+R1400-S1400-W1400-Y1399*V1400/AB1399</x:f>
        <x:v>14098.507810983887</x:v>
      </x:c>
      <x:c r="Z1400" s="32" t="n">
        <x:f>Z1399+W1400-X1400-T1400-Z1399*V1400/AB1399</x:f>
        <x:v>19007.06875248088</x:v>
      </x:c>
      <x:c r="AA1400" s="32" t="n">
        <x:f>AA1399+X1400-U1400-AA1399*V1400/AB1399</x:f>
        <x:v>11049.017590398598</x:v>
      </x:c>
      <x:c r="AB1400" s="10" t="n">
        <x:f>Y1400+Z1400+AA1400</x:f>
        <x:v>44154.59415386336</x:v>
      </x:c>
      <x:c r="AC1400" s="8" t="n">
        <x:f>IF(AND(v01_WinterTrigger=1,D1400=1,AB1399/AE1399&gt;=K1400),1,0)</x:f>
        <x:v>0</x:v>
      </x:c>
      <x:c r="AD1400" s="8" t="n">
        <x:f>H1400*IF(AND(OR(AB1399/AE1399&gt;=v01_FissionTrigger*N1400,AC1400=1),AB1399/AE1399*v01_DaughterShare&gt;=v01_MinDaughter),MAX(1,ROUND(AE1399*v01_FissionRate,0)),0)</x:f>
        <x:v>0</x:v>
      </x:c>
      <x:c r="AE1400" s="8" t="n">
        <x:f>IF(H1400=1,MAX(1,MIN(INDEX(v01_Smax,G1400),AE1399+AD1400)),AE1399)</x:f>
        <x:v>15</x:v>
      </x:c>
      <x:c r="AF1400" s="8" t="n">
        <x:f>MAX(0,AE1400-AE1399)</x:f>
        <x:v>0</x:v>
      </x:c>
      <x:c r="AG1400" s="9" t="str">
        <x:f>IF(AF1400&gt;0,B1400,"")</x:f>
      </x:c>
      <x:c r="AH1400" s="9" t="n">
        <x:f>IF(F1400&gt;=1,1,(1+v01_LowTiesShare*(AE1400-1))/AE1400)</x:f>
        <x:v>1</x:v>
      </x:c>
      <x:c r="AI1400" s="32" t="n">
        <x:f>(Z1400+v01_ElderCommons*INDEX(LM_Elder,G1400)*AA1400)*AH1400</x:f>
        <x:v>62463.22154897225</x:v>
      </x:c>
      <x:c r="AJ1400" s="32" t="n">
        <x:f>H1400*v01_CommonsCoef*AI1400^v01_CommonsExp*INDEX(LM_Commons,G1400)</x:f>
        <x:v>32002.269159040465</x:v>
      </x:c>
      <x:c r="AK1400" s="32" t="n">
        <x:f>H1400*v01_RoleScale*Arch_Roles*(AE1400*(INDEX(v01_ElderRolePerSett,G1400)*v01_OutElder*INDEX(LM_Elder,G1400)+INDEX(v01_ShamanPerSett,G1400)*v01_OutShaman)+Z1400*(INDEX(v01_PriestShare,G1400)*v01_OutPriest+INDEX(v01_ScribeShare,G1400)*v01_OutScribe*INDEX(LM_Scribe,G1400)+INDEX(v01_ScholarShare,G1400)*v01_OutScholar*INDEX(LM_Scholar,G1400)+INDEX(v01_ResearcherShare,G1400)*v01_OutResearcher*INDEX(LM_Researcher,G1400)))</x:f>
        <x:v>8608.672149293496</x:v>
      </x:c>
      <x:c r="AL1400" s="32" t="n">
        <x:f>H1400*v01_RoleScale*Arch_Roles*AE1400*INDEX(v01_MonasteryPerSett,G1400)*v01_OutMonastery*INDEX(LM_Monastery,G1400)</x:f>
        <x:v>3.3000000000000003</x:v>
      </x:c>
      <x:c r="AM1400" s="32" t="n">
        <x:f>(AJ1400+AK1400+AL1400)/4*INDEX(LM_All,G1400)*INDEX(v01_Boon,G1400)*Arch_Insight</x:f>
        <x:v>35170.812870380956</x:v>
      </x:c>
      <x:c r="AN1400" s="32" t="n">
        <x:f>H1400*(v01_KHPerAdult*Z1400+v01_KHOfCommons*AJ1400/4*INDEX(LM_All,G1400))*v01_KHUsable*Arch_KH</x:f>
        <x:v>665.2474063368309</x:v>
      </x:c>
      <x:c r="AO1400" s="32" t="n">
        <x:f>MIN(AP1399+AN1400,AM1400*v01_KHMaxRatio)</x:f>
        <x:v>665.2474063368309</x:v>
      </x:c>
      <x:c r="AP1400" s="32" t="n">
        <x:f>AP1399+AN1400-AO1400</x:f>
        <x:v>0</x:v>
      </x:c>
      <x:c r="AQ1400" s="32" t="n">
        <x:f>AM1400+AO1400</x:f>
        <x:v>35836.060276717784</x:v>
      </x:c>
      <x:c r="AR1400" s="10" t="n">
        <x:f>IF(H1400=1,INDEX(v01_Req,G1400),0)</x:f>
        <x:v>1845340.8943637449</x:v>
      </x:c>
      <x:c r="AS1400" s="32" t="n">
        <x:f>IF(H1400=1,IF(E1400=1,AS1399-AR1399,AS1399)+AQ1400,0)</x:f>
        <x:v>1724294.5065284108</x:v>
      </x:c>
      <x:c r="AT1400" s="11" t="n">
        <x:f>IF(AR1400&gt;0,MIN(1,AS1400/AR1400),1)</x:f>
        <x:v>0.9344043216052665</x:v>
      </x:c>
      <x:c r="AU1400" s="10" t="n">
        <x:f>AB1400/INDEX(v01_RepScale,G1400)</x:f>
        <x:v>88.30918830772673</x:v>
      </x:c>
      <x:c r="AV1400" s="32" t="n">
        <x:f>AM1400*60/v01_SeasonSeconds</x:f>
        <x:v>140683.25148152382</x:v>
      </x:c>
    </x:row>
    <x:row r="1401">
      <x:c r="A1401" s="8" t="n">
        <x:f>A1400+1</x:f>
        <x:v>1398</x:v>
      </x:c>
      <x:c r="B1401" s="9" t="n">
        <x:f>A1401*v01_SeasonSeconds/60</x:f>
        <x:v>349.5</x:v>
      </x:c>
      <x:c r="C1401" s="9" t="n">
        <x:f>A1401/4</x:f>
        <x:v>349.5</x:v>
      </x:c>
      <x:c r="D1401" s="8" t="n">
        <x:f>IF(MOD(A1401,4)=0,1,0)</x:f>
        <x:v>0</x:v>
      </x:c>
      <x:c r="E1401" s="8" t="n">
        <x:f>IF(AND(F1400&lt;=9,AS1400&gt;=AR1400),1,0)</x:f>
        <x:v>0</x:v>
      </x:c>
      <x:c r="F1401" s="8" t="n">
        <x:f>MIN(10,F1400+E1401)</x:f>
        <x:v>9</x:v>
      </x:c>
      <x:c r="G1401" s="8" t="n">
        <x:f>MIN(F1401,9)+1</x:f>
        <x:v>10</x:v>
      </x:c>
      <x:c r="H1401" s="8" t="n">
        <x:f>IF(F1401&lt;=9,1,0)</x:f>
        <x:v>1</x:v>
      </x:c>
      <x:c r="I1401" s="9" t="n">
        <x:f>MIN(10,F1400+IF(AR1400&gt;0,MIN(1,AS1400/AR1400),1))</x:f>
        <x:v>9.934404321605266</x:v>
      </x:c>
      <x:c r="J1401" s="32" t="n">
        <x:f>INDEX(v01_FoodCap,G1401)*Arch_FoodCap*EXP(v01_CapsByProject*SUMPRODUCT((Cap_Point&lt;=I1401)*(Cap_Kind="Food")*Cap_Ln))</x:f>
        <x:v>12000</x:v>
      </x:c>
      <x:c r="K1401" s="32" t="n">
        <x:f>J1401*MIN(1,v01_LeanBase*EXP(v01_CapsByProject*SUMPRODUCT((Cap_Point&lt;=I1401)*(Cap_Kind="Lean")*Cap_Ln)))</x:f>
        <x:v>12000</x:v>
      </x:c>
      <x:c r="L1401" s="10" t="n">
        <x:f>INDEX(v01_HousingCap,G1401)*EXP(v01_CapsByProject*SUMPRODUCT((Cap_Point&lt;=I1401)*(Cap_Kind="Housing")*Cap_Ln))</x:f>
        <x:v>20000</x:v>
      </x:c>
      <x:c r="M1401" s="10" t="n">
        <x:f>INDEX(v01_GroupCap,G1401)*v01_CohesionFactor*EXP(v01_CapsByProject*SUMPRODUCT((Cap_Point&lt;=I1401)*(Cap_Kind="Group")*Cap_Ln))</x:f>
        <x:v>1000000</x:v>
      </x:c>
      <x:c r="N1401" s="32" t="n">
        <x:f>MIN(J1401,L1401,M1401)</x:f>
        <x:v>12000</x:v>
      </x:c>
      <x:c r="O1401" s="10" t="n">
        <x:f>AE1400*N1401</x:f>
        <x:v>180000</x:v>
      </x:c>
      <x:c r="P1401" s="9" t="n">
        <x:f>MIN(1,(AB1400/(AE1400*IF(v01_GroupInCrowding=1,N1401,MIN(J1401,L1401))))^v01_CrowdingExp)</x:f>
        <x:v>0.0002178814983651275</x:v>
      </x:c>
      <x:c r="Q1401" s="9" t="n">
        <x:f>IF(D1401=1,INDEX(v01_WinterMult,G1401),1)</x:f>
        <x:v>1</x:v>
      </x:c>
      <x:c r="R1401" s="9" t="n">
        <x:f>H1401*Z1400*v01_WomenShare*v01_BaseFertility*INDEX(v01_FertMult,G1401)*Arch_Fertility*(1-P1401)</x:f>
        <x:v>313.54830315371584</x:v>
      </x:c>
      <x:c r="S1401" s="9" t="n">
        <x:f>H1401*Y1400*INDEX(v01_MortChild,G1401)/4*Q1401</x:f>
        <x:v>10.573880858237915</x:v>
      </x:c>
      <x:c r="T1401" s="9" t="n">
        <x:f>H1401*Z1400*INDEX(v01_MortAdult,G1401)*Arch_AdultMort/4*Q1401</x:f>
        <x:v>11.879417970300551</x:v>
      </x:c>
      <x:c r="U1401" s="9" t="n">
        <x:f>H1401*AA1400*INDEX(v01_MortElder,G1401)/4*Q1401</x:f>
        <x:v>69.05635993999124</x:v>
      </x:c>
      <x:c r="V1401" s="9" t="n">
        <x:f>H1401*MAX(0,AB1400-O1401)*v01_OvercapLoss</x:f>
        <x:v>0</x:v>
      </x:c>
      <x:c r="W1401" s="9" t="n">
        <x:f>H1401*Y1400/(v01_ChildYears*4)</x:f>
        <x:v>251.7590680532837</x:v>
      </x:c>
      <x:c r="X1401" s="9" t="n">
        <x:f>H1401*Z1400/(v01_AdultYears*4)</x:f>
        <x:v>153.2828125200071</x:v>
      </x:c>
      <x:c r="Y1401" s="32" t="n">
        <x:f>Y1400+R1401-S1401-W1401-Y1400*V1401/AB1400</x:f>
        <x:v>14149.723165226082</x:v>
      </x:c>
      <x:c r="Z1401" s="32" t="n">
        <x:f>Z1400+W1401-X1401-T1401-Z1400*V1401/AB1400</x:f>
        <x:v>19093.66559004386</x:v>
      </x:c>
      <x:c r="AA1401" s="32" t="n">
        <x:f>AA1400+X1401-U1401-AA1400*V1401/AB1400</x:f>
        <x:v>11133.244042978613</x:v>
      </x:c>
      <x:c r="AB1401" s="10" t="n">
        <x:f>Y1401+Z1401+AA1401</x:f>
        <x:v>44376.63279824856</x:v>
      </x:c>
      <x:c r="AC1401" s="8" t="n">
        <x:f>IF(AND(v01_WinterTrigger=1,D1401=1,AB1400/AE1400&gt;=K1401),1,0)</x:f>
        <x:v>0</x:v>
      </x:c>
      <x:c r="AD1401" s="8" t="n">
        <x:f>H1401*IF(AND(OR(AB1400/AE1400&gt;=v01_FissionTrigger*N1401,AC1401=1),AB1400/AE1400*v01_DaughterShare&gt;=v01_MinDaughter),MAX(1,ROUND(AE1400*v01_FissionRate,0)),0)</x:f>
        <x:v>0</x:v>
      </x:c>
      <x:c r="AE1401" s="8" t="n">
        <x:f>IF(H1401=1,MAX(1,MIN(INDEX(v01_Smax,G1401),AE1400+AD1401)),AE1400)</x:f>
        <x:v>15</x:v>
      </x:c>
      <x:c r="AF1401" s="8" t="n">
        <x:f>MAX(0,AE1401-AE1400)</x:f>
        <x:v>0</x:v>
      </x:c>
      <x:c r="AG1401" s="9" t="str">
        <x:f>IF(AF1401&gt;0,B1401,"")</x:f>
      </x:c>
      <x:c r="AH1401" s="9" t="n">
        <x:f>IF(F1401&gt;=1,1,(1+v01_LowTiesShare*(AE1401-1))/AE1401)</x:f>
        <x:v>1</x:v>
      </x:c>
      <x:c r="AI1401" s="32" t="n">
        <x:f>(Z1401+v01_ElderCommons*INDEX(LM_Elder,G1401)*AA1401)*AH1401</x:f>
        <x:v>62881.08381921986</x:v>
      </x:c>
      <x:c r="AJ1401" s="32" t="n">
        <x:f>H1401*v01_CommonsCoef*AI1401^v01_CommonsExp*INDEX(LM_Commons,G1401)</x:f>
        <x:v>32184.151729521138</x:v>
      </x:c>
      <x:c r="AK1401" s="32" t="n">
        <x:f>H1401*v01_RoleScale*Arch_Roles*(AE1401*(INDEX(v01_ElderRolePerSett,G1401)*v01_OutElder*INDEX(LM_Elder,G1401)+INDEX(v01_ShamanPerSett,G1401)*v01_OutShaman)+Z1401*(INDEX(v01_PriestShare,G1401)*v01_OutPriest+INDEX(v01_ScribeShare,G1401)*v01_OutScribe*INDEX(LM_Scribe,G1401)+INDEX(v01_ScholarShare,G1401)*v01_OutScholar*INDEX(LM_Scholar,G1401)+INDEX(v01_ResearcherShare,G1401)*v01_OutResearcher*INDEX(LM_Researcher,G1401)))</x:f>
        <x:v>8647.656642525119</x:v>
      </x:c>
      <x:c r="AL1401" s="32" t="n">
        <x:f>H1401*v01_RoleScale*Arch_Roles*AE1401*INDEX(v01_MonasteryPerSett,G1401)*v01_OutMonastery*INDEX(LM_Monastery,G1401)</x:f>
        <x:v>3.3000000000000003</x:v>
      </x:c>
      <x:c r="AM1401" s="32" t="n">
        <x:f>(AJ1401+AK1401+AL1401)/4*INDEX(LM_All,G1401)*INDEX(v01_Boon,G1401)*Arch_Insight</x:f>
        <x:v>35362.0776562496</x:v>
      </x:c>
      <x:c r="AN1401" s="32" t="n">
        <x:f>H1401*(v01_KHPerAdult*Z1401+v01_KHOfCommons*AJ1401/4*INDEX(LM_All,G1401))*v01_KHUsable*Arch_KH</x:f>
        <x:v>668.2782956515351</x:v>
      </x:c>
      <x:c r="AO1401" s="32" t="n">
        <x:f>MIN(AP1400+AN1401,AM1401*v01_KHMaxRatio)</x:f>
        <x:v>668.2782956515351</x:v>
      </x:c>
      <x:c r="AP1401" s="32" t="n">
        <x:f>AP1400+AN1401-AO1401</x:f>
        <x:v>0</x:v>
      </x:c>
      <x:c r="AQ1401" s="32" t="n">
        <x:f>AM1401+AO1401</x:f>
        <x:v>36030.35595190114</x:v>
      </x:c>
      <x:c r="AR1401" s="10" t="n">
        <x:f>IF(H1401=1,INDEX(v01_Req,G1401),0)</x:f>
        <x:v>1845340.8943637449</x:v>
      </x:c>
      <x:c r="AS1401" s="32" t="n">
        <x:f>IF(H1401=1,IF(E1401=1,AS1400-AR1400,AS1400)+AQ1401,0)</x:f>
        <x:v>1760324.862480312</x:v>
      </x:c>
      <x:c r="AT1401" s="11" t="n">
        <x:f>IF(AR1401&gt;0,MIN(1,AS1401/AR1401),1)</x:f>
        <x:v>0.953929362242446</x:v>
      </x:c>
      <x:c r="AU1401" s="10" t="n">
        <x:f>AB1401/INDEX(v01_RepScale,G1401)</x:f>
        <x:v>88.75326559649712</x:v>
      </x:c>
      <x:c r="AV1401" s="32" t="n">
        <x:f>AM1401*60/v01_SeasonSeconds</x:f>
        <x:v>141448.3106249984</x:v>
      </x:c>
    </x:row>
    <x:row r="1402">
      <x:c r="A1402" s="8" t="n">
        <x:f>A1401+1</x:f>
        <x:v>1399</x:v>
      </x:c>
      <x:c r="B1402" s="9" t="n">
        <x:f>A1402*v01_SeasonSeconds/60</x:f>
        <x:v>349.75</x:v>
      </x:c>
      <x:c r="C1402" s="9" t="n">
        <x:f>A1402/4</x:f>
        <x:v>349.75</x:v>
      </x:c>
      <x:c r="D1402" s="8" t="n">
        <x:f>IF(MOD(A1402,4)=0,1,0)</x:f>
        <x:v>0</x:v>
      </x:c>
      <x:c r="E1402" s="8" t="n">
        <x:f>IF(AND(F1401&lt;=9,AS1401&gt;=AR1401),1,0)</x:f>
        <x:v>0</x:v>
      </x:c>
      <x:c r="F1402" s="8" t="n">
        <x:f>MIN(10,F1401+E1402)</x:f>
        <x:v>9</x:v>
      </x:c>
      <x:c r="G1402" s="8" t="n">
        <x:f>MIN(F1402,9)+1</x:f>
        <x:v>10</x:v>
      </x:c>
      <x:c r="H1402" s="8" t="n">
        <x:f>IF(F1402&lt;=9,1,0)</x:f>
        <x:v>1</x:v>
      </x:c>
      <x:c r="I1402" s="9" t="n">
        <x:f>MIN(10,F1401+IF(AR1401&gt;0,MIN(1,AS1401/AR1401),1))</x:f>
        <x:v>9.953929362242446</x:v>
      </x:c>
      <x:c r="J1402" s="32" t="n">
        <x:f>INDEX(v01_FoodCap,G1402)*Arch_FoodCap*EXP(v01_CapsByProject*SUMPRODUCT((Cap_Point&lt;=I1402)*(Cap_Kind="Food")*Cap_Ln))</x:f>
        <x:v>12000</x:v>
      </x:c>
      <x:c r="K1402" s="32" t="n">
        <x:f>J1402*MIN(1,v01_LeanBase*EXP(v01_CapsByProject*SUMPRODUCT((Cap_Point&lt;=I1402)*(Cap_Kind="Lean")*Cap_Ln)))</x:f>
        <x:v>12000</x:v>
      </x:c>
      <x:c r="L1402" s="10" t="n">
        <x:f>INDEX(v01_HousingCap,G1402)*EXP(v01_CapsByProject*SUMPRODUCT((Cap_Point&lt;=I1402)*(Cap_Kind="Housing")*Cap_Ln))</x:f>
        <x:v>20000</x:v>
      </x:c>
      <x:c r="M1402" s="10" t="n">
        <x:f>INDEX(v01_GroupCap,G1402)*v01_CohesionFactor*EXP(v01_CapsByProject*SUMPRODUCT((Cap_Point&lt;=I1402)*(Cap_Kind="Group")*Cap_Ln))</x:f>
        <x:v>1000000</x:v>
      </x:c>
      <x:c r="N1402" s="32" t="n">
        <x:f>MIN(J1402,L1402,M1402)</x:f>
        <x:v>12000</x:v>
      </x:c>
      <x:c r="O1402" s="10" t="n">
        <x:f>AE1401*N1402</x:f>
        <x:v>180000</x:v>
      </x:c>
      <x:c r="P1402" s="9" t="n">
        <x:f>MIN(1,(AB1401/(AE1401*IF(v01_GroupInCrowding=1,N1402,MIN(J1402,L1402))))^v01_CrowdingExp)</x:f>
        <x:v>0.00022453861751712832</x:v>
      </x:c>
      <x:c r="Q1402" s="9" t="n">
        <x:f>IF(D1402=1,INDEX(v01_WinterMult,G1402),1)</x:f>
        <x:v>1</x:v>
      </x:c>
      <x:c r="R1402" s="9" t="n">
        <x:f>H1402*Z1401*v01_WomenShare*v01_BaseFertility*INDEX(v01_FertMult,G1402)*Arch_Fertility*(1-P1402)</x:f>
        <x:v>314.97474235868754</x:v>
      </x:c>
      <x:c r="S1402" s="9" t="n">
        <x:f>H1402*Y1401*INDEX(v01_MortChild,G1402)/4*Q1402</x:f>
        <x:v>10.612292373919562</x:v>
      </x:c>
      <x:c r="T1402" s="9" t="n">
        <x:f>H1402*Z1401*INDEX(v01_MortAdult,G1402)*Arch_AdultMort/4*Q1402</x:f>
        <x:v>11.933540993777413</x:v>
      </x:c>
      <x:c r="U1402" s="9" t="n">
        <x:f>H1402*AA1401*INDEX(v01_MortElder,G1402)/4*Q1402</x:f>
        <x:v>69.58277526861633</x:v>
      </x:c>
      <x:c r="V1402" s="9" t="n">
        <x:f>H1402*MAX(0,AB1401-O1402)*v01_OvercapLoss</x:f>
        <x:v>0</x:v>
      </x:c>
      <x:c r="W1402" s="9" t="n">
        <x:f>H1402*Y1401/(v01_ChildYears*4)</x:f>
        <x:v>252.67362795046574</x:v>
      </x:c>
      <x:c r="X1402" s="9" t="n">
        <x:f>H1402*Z1401/(v01_AdultYears*4)</x:f>
        <x:v>153.98117411325694</x:v>
      </x:c>
      <x:c r="Y1402" s="32" t="n">
        <x:f>Y1401+R1402-S1402-W1402-Y1401*V1402/AB1401</x:f>
        <x:v>14201.411987260382</x:v>
      </x:c>
      <x:c r="Z1402" s="32" t="n">
        <x:f>Z1401+W1402-X1402-T1402-Z1401*V1402/AB1401</x:f>
        <x:v>19180.42450288729</x:v>
      </x:c>
      <x:c r="AA1402" s="32" t="n">
        <x:f>AA1401+X1402-U1402-AA1401*V1402/AB1401</x:f>
        <x:v>11217.642441823253</x:v>
      </x:c>
      <x:c r="AB1402" s="10" t="n">
        <x:f>Y1402+Z1402+AA1402</x:f>
        <x:v>44599.47893197092</x:v>
      </x:c>
      <x:c r="AC1402" s="8" t="n">
        <x:f>IF(AND(v01_WinterTrigger=1,D1402=1,AB1401/AE1401&gt;=K1402),1,0)</x:f>
        <x:v>0</x:v>
      </x:c>
      <x:c r="AD1402" s="8" t="n">
        <x:f>H1402*IF(AND(OR(AB1401/AE1401&gt;=v01_FissionTrigger*N1402,AC1402=1),AB1401/AE1401*v01_DaughterShare&gt;=v01_MinDaughter),MAX(1,ROUND(AE1401*v01_FissionRate,0)),0)</x:f>
        <x:v>0</x:v>
      </x:c>
      <x:c r="AE1402" s="8" t="n">
        <x:f>IF(H1402=1,MAX(1,MIN(INDEX(v01_Smax,G1402),AE1401+AD1402)),AE1401)</x:f>
        <x:v>15</x:v>
      </x:c>
      <x:c r="AF1402" s="8" t="n">
        <x:f>MAX(0,AE1402-AE1401)</x:f>
        <x:v>0</x:v>
      </x:c>
      <x:c r="AG1402" s="9" t="str">
        <x:f>IF(AF1402&gt;0,B1402,"")</x:f>
      </x:c>
      <x:c r="AH1402" s="9" t="n">
        <x:f>IF(F1402&gt;=1,1,(1+v01_LowTiesShare*(AE1402-1))/AE1402)</x:f>
        <x:v>1</x:v>
      </x:c>
      <x:c r="AI1402" s="32" t="n">
        <x:f>(Z1402+v01_ElderCommons*INDEX(LM_Elder,G1402)*AA1402)*AH1402</x:f>
        <x:v>63299.784435111986</x:v>
      </x:c>
      <x:c r="AJ1402" s="32" t="n">
        <x:f>H1402*v01_CommonsCoef*AI1402^v01_CommonsExp*INDEX(LM_Commons,G1402)</x:f>
        <x:v>32366.217451118588</x:v>
      </x:c>
      <x:c r="AK1402" s="32" t="n">
        <x:f>H1402*v01_RoleScale*Arch_Roles*(AE1402*(INDEX(v01_ElderRolePerSett,G1402)*v01_OutElder*INDEX(LM_Elder,G1402)+INDEX(v01_ShamanPerSett,G1402)*v01_OutShaman)+Z1402*(INDEX(v01_PriestShare,G1402)*v01_OutPriest+INDEX(v01_ScribeShare,G1402)*v01_OutScribe*INDEX(LM_Scribe,G1402)+INDEX(v01_ScholarShare,G1402)*v01_OutScholar*INDEX(LM_Scholar,G1402)+INDEX(v01_ResearcherShare,G1402)*v01_OutResearcher*INDEX(LM_Researcher,G1402)))</x:f>
        <x:v>8686.714099422063</x:v>
      </x:c>
      <x:c r="AL1402" s="32" t="n">
        <x:f>H1402*v01_RoleScale*Arch_Roles*AE1402*INDEX(v01_MonasteryPerSett,G1402)*v01_OutMonastery*INDEX(LM_Monastery,G1402)</x:f>
        <x:v>3.3000000000000003</x:v>
      </x:c>
      <x:c r="AM1402" s="32" t="n">
        <x:f>(AJ1402+AK1402+AL1402)/4*INDEX(LM_All,G1402)*INDEX(v01_Boon,G1402)*Arch_Insight</x:f>
        <x:v>35553.564230456126</x:v>
      </x:c>
      <x:c r="AN1402" s="32" t="n">
        <x:f>H1402*(v01_KHPerAdult*Z1402+v01_KHOfCommons*AJ1402/4*INDEX(LM_All,G1402))*v01_KHUsable*Arch_KH</x:f>
        <x:v>671.3148576010551</x:v>
      </x:c>
      <x:c r="AO1402" s="32" t="n">
        <x:f>MIN(AP1401+AN1402,AM1402*v01_KHMaxRatio)</x:f>
        <x:v>671.3148576010551</x:v>
      </x:c>
      <x:c r="AP1402" s="32" t="n">
        <x:f>AP1401+AN1402-AO1402</x:f>
        <x:v>0</x:v>
      </x:c>
      <x:c r="AQ1402" s="32" t="n">
        <x:f>AM1402+AO1402</x:f>
        <x:v>36224.87908805718</x:v>
      </x:c>
      <x:c r="AR1402" s="10" t="n">
        <x:f>IF(H1402=1,INDEX(v01_Req,G1402),0)</x:f>
        <x:v>1845340.8943637449</x:v>
      </x:c>
      <x:c r="AS1402" s="32" t="n">
        <x:f>IF(H1402=1,IF(E1402=1,AS1401-AR1401,AS1401)+AQ1402,0)</x:f>
        <x:v>1796549.741568369</x:v>
      </x:c>
      <x:c r="AT1402" s="11" t="n">
        <x:f>IF(AR1402&gt;0,MIN(1,AS1402/AR1402),1)</x:f>
        <x:v>0.9735598159969253</x:v>
      </x:c>
      <x:c r="AU1402" s="10" t="n">
        <x:f>AB1402/INDEX(v01_RepScale,G1402)</x:f>
        <x:v>89.19895786394184</x:v>
      </x:c>
      <x:c r="AV1402" s="32" t="n">
        <x:f>AM1402*60/v01_SeasonSeconds</x:f>
        <x:v>142214.2569218245</x:v>
      </x:c>
    </x:row>
    <x:row r="1403">
      <x:c r="A1403" s="8" t="n">
        <x:f>A1402+1</x:f>
        <x:v>1400</x:v>
      </x:c>
      <x:c r="B1403" s="9" t="n">
        <x:f>A1403*v01_SeasonSeconds/60</x:f>
        <x:v>350</x:v>
      </x:c>
      <x:c r="C1403" s="9" t="n">
        <x:f>A1403/4</x:f>
        <x:v>350</x:v>
      </x:c>
      <x:c r="D1403" s="8" t="n">
        <x:f>IF(MOD(A1403,4)=0,1,0)</x:f>
        <x:v>1</x:v>
      </x:c>
      <x:c r="E1403" s="8" t="n">
        <x:f>IF(AND(F1402&lt;=9,AS1402&gt;=AR1402),1,0)</x:f>
        <x:v>0</x:v>
      </x:c>
      <x:c r="F1403" s="8" t="n">
        <x:f>MIN(10,F1402+E1403)</x:f>
        <x:v>9</x:v>
      </x:c>
      <x:c r="G1403" s="8" t="n">
        <x:f>MIN(F1403,9)+1</x:f>
        <x:v>10</x:v>
      </x:c>
      <x:c r="H1403" s="8" t="n">
        <x:f>IF(F1403&lt;=9,1,0)</x:f>
        <x:v>1</x:v>
      </x:c>
      <x:c r="I1403" s="9" t="n">
        <x:f>MIN(10,F1402+IF(AR1402&gt;0,MIN(1,AS1402/AR1402),1))</x:f>
        <x:v>9.973559815996925</x:v>
      </x:c>
      <x:c r="J1403" s="32" t="n">
        <x:f>INDEX(v01_FoodCap,G1403)*Arch_FoodCap*EXP(v01_CapsByProject*SUMPRODUCT((Cap_Point&lt;=I1403)*(Cap_Kind="Food")*Cap_Ln))</x:f>
        <x:v>12000</x:v>
      </x:c>
      <x:c r="K1403" s="32" t="n">
        <x:f>J1403*MIN(1,v01_LeanBase*EXP(v01_CapsByProject*SUMPRODUCT((Cap_Point&lt;=I1403)*(Cap_Kind="Lean")*Cap_Ln)))</x:f>
        <x:v>12000</x:v>
      </x:c>
      <x:c r="L1403" s="10" t="n">
        <x:f>INDEX(v01_HousingCap,G1403)*EXP(v01_CapsByProject*SUMPRODUCT((Cap_Point&lt;=I1403)*(Cap_Kind="Housing")*Cap_Ln))</x:f>
        <x:v>20000</x:v>
      </x:c>
      <x:c r="M1403" s="10" t="n">
        <x:f>INDEX(v01_GroupCap,G1403)*v01_CohesionFactor*EXP(v01_CapsByProject*SUMPRODUCT((Cap_Point&lt;=I1403)*(Cap_Kind="Group")*Cap_Ln))</x:f>
        <x:v>1000000</x:v>
      </x:c>
      <x:c r="N1403" s="32" t="n">
        <x:f>MIN(J1403,L1403,M1403)</x:f>
        <x:v>12000</x:v>
      </x:c>
      <x:c r="O1403" s="10" t="n">
        <x:f>AE1402*N1403</x:f>
        <x:v>180000</x:v>
      </x:c>
      <x:c r="P1403" s="9" t="n">
        <x:f>MIN(1,(AB1402/(AE1402*IF(v01_GroupInCrowding=1,N1403,MIN(J1403,L1403))))^v01_CrowdingExp)</x:f>
        <x:v>0.0002313895161449544</x:v>
      </x:c>
      <x:c r="Q1403" s="9" t="n">
        <x:f>IF(D1403=1,INDEX(v01_WinterMult,G1403),1)</x:f>
        <x:v>1</x:v>
      </x:c>
      <x:c r="R1403" s="9" t="n">
        <x:f>H1403*Z1402*v01_WomenShare*v01_BaseFertility*INDEX(v01_FertMult,G1403)*Arch_Fertility*(1-P1403)</x:f>
        <x:v>316.40377483674484</x:v>
      </x:c>
      <x:c r="S1403" s="9" t="n">
        <x:f>H1403*Y1402*INDEX(v01_MortChild,G1403)/4*Q1403</x:f>
        <x:v>10.651058990445287</x:v>
      </x:c>
      <x:c r="T1403" s="9" t="n">
        <x:f>H1403*Z1402*INDEX(v01_MortAdult,G1403)*Arch_AdultMort/4*Q1403</x:f>
        <x:v>11.987765314304557</x:v>
      </x:c>
      <x:c r="U1403" s="9" t="n">
        <x:f>H1403*AA1402*INDEX(v01_MortElder,G1403)/4*Q1403</x:f>
        <x:v>70.11026526139533</x:v>
      </x:c>
      <x:c r="V1403" s="9" t="n">
        <x:f>H1403*MAX(0,AB1402-O1403)*v01_OvercapLoss</x:f>
        <x:v>0</x:v>
      </x:c>
      <x:c r="W1403" s="9" t="n">
        <x:f>H1403*Y1402/(v01_ChildYears*4)</x:f>
        <x:v>253.5966426296497</x:v>
      </x:c>
      <x:c r="X1403" s="9" t="n">
        <x:f>H1403*Z1402/(v01_AdultYears*4)</x:f>
        <x:v>154.6808427652201</x:v>
      </x:c>
      <x:c r="Y1403" s="32" t="n">
        <x:f>Y1402+R1403-S1403-W1403-Y1402*V1403/AB1402</x:f>
        <x:v>14253.568060477033</x:v>
      </x:c>
      <x:c r="Z1403" s="32" t="n">
        <x:f>Z1402+W1403-X1403-T1403-Z1402*V1403/AB1402</x:f>
        <x:v>19267.352537437415</x:v>
      </x:c>
      <x:c r="AA1403" s="32" t="n">
        <x:f>AA1402+X1403-U1403-AA1402*V1403/AB1402</x:f>
        <x:v>11302.213019327077</x:v>
      </x:c>
      <x:c r="AB1403" s="10" t="n">
        <x:f>Y1403+Z1403+AA1403</x:f>
        <x:v>44823.133617241525</x:v>
      </x:c>
      <x:c r="AC1403" s="8" t="n">
        <x:f>IF(AND(v01_WinterTrigger=1,D1403=1,AB1402/AE1402&gt;=K1403),1,0)</x:f>
        <x:v>0</x:v>
      </x:c>
      <x:c r="AD1403" s="8" t="n">
        <x:f>H1403*IF(AND(OR(AB1402/AE1402&gt;=v01_FissionTrigger*N1403,AC1403=1),AB1402/AE1402*v01_DaughterShare&gt;=v01_MinDaughter),MAX(1,ROUND(AE1402*v01_FissionRate,0)),0)</x:f>
        <x:v>0</x:v>
      </x:c>
      <x:c r="AE1403" s="8" t="n">
        <x:f>IF(H1403=1,MAX(1,MIN(INDEX(v01_Smax,G1403),AE1402+AD1403)),AE1402)</x:f>
        <x:v>15</x:v>
      </x:c>
      <x:c r="AF1403" s="8" t="n">
        <x:f>MAX(0,AE1403-AE1402)</x:f>
        <x:v>0</x:v>
      </x:c>
      <x:c r="AG1403" s="9" t="str">
        <x:f>IF(AF1403&gt;0,B1403,"")</x:f>
      </x:c>
      <x:c r="AH1403" s="9" t="n">
        <x:f>IF(F1403&gt;=1,1,(1+v01_LowTiesShare*(AE1403-1))/AE1403)</x:f>
        <x:v>1</x:v>
      </x:c>
      <x:c r="AI1403" s="32" t="n">
        <x:f>(Z1403+v01_ElderCommons*INDEX(LM_Elder,G1403)*AA1403)*AH1403</x:f>
        <x:v>63719.33135709038</x:v>
      </x:c>
      <x:c r="AJ1403" s="32" t="n">
        <x:f>H1403*v01_CommonsCoef*AI1403^v01_CommonsExp*INDEX(LM_Commons,G1403)</x:f>
        <x:v>32548.470074739867</x:v>
      </x:c>
      <x:c r="AK1403" s="32" t="n">
        <x:f>H1403*v01_RoleScale*Arch_Roles*(AE1403*(INDEX(v01_ElderRolePerSett,G1403)*v01_OutElder*INDEX(LM_Elder,G1403)+INDEX(v01_ShamanPerSett,G1403)*v01_OutShaman)+Z1403*(INDEX(v01_PriestShare,G1403)*v01_OutPriest+INDEX(v01_ScribeShare,G1403)*v01_OutScribe*INDEX(LM_Scribe,G1403)+INDEX(v01_ScholarShare,G1403)*v01_OutScholar*INDEX(LM_Scholar,G1403)+INDEX(v01_ResearcherShare,G1403)*v01_OutResearcher*INDEX(LM_Researcher,G1403)))</x:f>
        <x:v>8725.847692171255</x:v>
      </x:c>
      <x:c r="AL1403" s="32" t="n">
        <x:f>H1403*v01_RoleScale*Arch_Roles*AE1403*INDEX(v01_MonasteryPerSett,G1403)*v01_OutMonastery*INDEX(LM_Monastery,G1403)</x:f>
        <x:v>3.3000000000000003</x:v>
      </x:c>
      <x:c r="AM1403" s="32" t="n">
        <x:f>(AJ1403+AK1403+AL1403)/4*INDEX(LM_All,G1403)*INDEX(v01_Boon,G1403)*Arch_Insight</x:f>
        <x:v>35745.278588209</x:v>
      </x:c>
      <x:c r="AN1403" s="32" t="n">
        <x:f>H1403*(v01_KHPerAdult*Z1403+v01_KHOfCommons*AJ1403/4*INDEX(LM_All,G1403))*v01_KHUsable*Arch_KH</x:f>
        <x:v>674.3573388103096</x:v>
      </x:c>
      <x:c r="AO1403" s="32" t="n">
        <x:f>MIN(AP1402+AN1403,AM1403*v01_KHMaxRatio)</x:f>
        <x:v>674.3573388103096</x:v>
      </x:c>
      <x:c r="AP1403" s="32" t="n">
        <x:f>AP1402+AN1403-AO1403</x:f>
        <x:v>0</x:v>
      </x:c>
      <x:c r="AQ1403" s="32" t="n">
        <x:f>AM1403+AO1403</x:f>
        <x:v>36419.63592701931</x:v>
      </x:c>
      <x:c r="AR1403" s="10" t="n">
        <x:f>IF(H1403=1,INDEX(v01_Req,G1403),0)</x:f>
        <x:v>1845340.8943637449</x:v>
      </x:c>
      <x:c r="AS1403" s="32" t="n">
        <x:f>IF(H1403=1,IF(E1403=1,AS1402-AR1402,AS1402)+AQ1403,0)</x:f>
        <x:v>1832969.3774953885</x:v>
      </x:c>
      <x:c r="AT1403" s="11" t="n">
        <x:f>IF(AR1403&gt;0,MIN(1,AS1403/AR1403),1)</x:f>
        <x:v>0.9932958095134926</x:v>
      </x:c>
      <x:c r="AU1403" s="10" t="n">
        <x:f>AB1403/INDEX(v01_RepScale,G1403)</x:f>
        <x:v>89.64626723448305</x:v>
      </x:c>
      <x:c r="AV1403" s="32" t="n">
        <x:f>AM1403*60/v01_SeasonSeconds</x:f>
        <x:v>142981.114352836</x:v>
      </x:c>
    </x:row>
    <x:row r="1404">
      <x:c r="A1404" s="8" t="n">
        <x:f>A1403+1</x:f>
        <x:v>1401</x:v>
      </x:c>
      <x:c r="B1404" s="9" t="n">
        <x:f>A1404*v01_SeasonSeconds/60</x:f>
        <x:v>350.25</x:v>
      </x:c>
      <x:c r="C1404" s="9" t="n">
        <x:f>A1404/4</x:f>
        <x:v>350.25</x:v>
      </x:c>
      <x:c r="D1404" s="8" t="n">
        <x:f>IF(MOD(A1404,4)=0,1,0)</x:f>
        <x:v>0</x:v>
      </x:c>
      <x:c r="E1404" s="8" t="n">
        <x:f>IF(AND(F1403&lt;=9,AS1403&gt;=AR1403),1,0)</x:f>
        <x:v>0</x:v>
      </x:c>
      <x:c r="F1404" s="8" t="n">
        <x:f>MIN(10,F1403+E1404)</x:f>
        <x:v>9</x:v>
      </x:c>
      <x:c r="G1404" s="8" t="n">
        <x:f>MIN(F1404,9)+1</x:f>
        <x:v>10</x:v>
      </x:c>
      <x:c r="H1404" s="8" t="n">
        <x:f>IF(F1404&lt;=9,1,0)</x:f>
        <x:v>1</x:v>
      </x:c>
      <x:c r="I1404" s="9" t="n">
        <x:f>MIN(10,F1403+IF(AR1403&gt;0,MIN(1,AS1403/AR1403),1))</x:f>
        <x:v>9.993295809513493</x:v>
      </x:c>
      <x:c r="J1404" s="32" t="n">
        <x:f>INDEX(v01_FoodCap,G1404)*Arch_FoodCap*EXP(v01_CapsByProject*SUMPRODUCT((Cap_Point&lt;=I1404)*(Cap_Kind="Food")*Cap_Ln))</x:f>
        <x:v>12000</x:v>
      </x:c>
      <x:c r="K1404" s="32" t="n">
        <x:f>J1404*MIN(1,v01_LeanBase*EXP(v01_CapsByProject*SUMPRODUCT((Cap_Point&lt;=I1404)*(Cap_Kind="Lean")*Cap_Ln)))</x:f>
        <x:v>12000</x:v>
      </x:c>
      <x:c r="L1404" s="10" t="n">
        <x:f>INDEX(v01_HousingCap,G1404)*EXP(v01_CapsByProject*SUMPRODUCT((Cap_Point&lt;=I1404)*(Cap_Kind="Housing")*Cap_Ln))</x:f>
        <x:v>20000</x:v>
      </x:c>
      <x:c r="M1404" s="10" t="n">
        <x:f>INDEX(v01_GroupCap,G1404)*v01_CohesionFactor*EXP(v01_CapsByProject*SUMPRODUCT((Cap_Point&lt;=I1404)*(Cap_Kind="Group")*Cap_Ln))</x:f>
        <x:v>1000000</x:v>
      </x:c>
      <x:c r="N1404" s="32" t="n">
        <x:f>MIN(J1404,L1404,M1404)</x:f>
        <x:v>12000</x:v>
      </x:c>
      <x:c r="O1404" s="10" t="n">
        <x:f>AE1403*N1404</x:f>
        <x:v>180000</x:v>
      </x:c>
      <x:c r="P1404" s="9" t="n">
        <x:f>MIN(1,(AB1403/(AE1403*IF(v01_GroupInCrowding=1,N1404,MIN(J1404,L1404))))^v01_CrowdingExp)</x:f>
        <x:v>0.0002384395315733277</x:v>
      </x:c>
      <x:c r="Q1404" s="9" t="n">
        <x:f>IF(D1404=1,INDEX(v01_WinterMult,G1404),1)</x:f>
        <x:v>1</x:v>
      </x:c>
      <x:c r="R1404" s="9" t="n">
        <x:f>H1404*Z1403*v01_WomenShare*v01_BaseFertility*INDEX(v01_FertMult,G1404)*Arch_Fertility*(1-P1404)</x:f>
        <x:v>317.8355142422416</x:v>
      </x:c>
      <x:c r="S1404" s="9" t="n">
        <x:f>H1404*Y1403*INDEX(v01_MortChild,G1404)/4*Q1404</x:f>
        <x:v>10.690176045357775</x:v>
      </x:c>
      <x:c r="T1404" s="9" t="n">
        <x:f>H1404*Z1403*INDEX(v01_MortAdult,G1404)*Arch_AdultMort/4*Q1404</x:f>
        <x:v>12.042095335898384</x:v>
      </x:c>
      <x:c r="U1404" s="9" t="n">
        <x:f>H1404*AA1403*INDEX(v01_MortElder,G1404)/4*Q1404</x:f>
        <x:v>70.63883137079424</x:v>
      </x:c>
      <x:c r="V1404" s="9" t="n">
        <x:f>H1404*MAX(0,AB1403-O1404)*v01_OvercapLoss</x:f>
        <x:v>0</x:v>
      </x:c>
      <x:c r="W1404" s="9" t="n">
        <x:f>H1404*Y1403/(v01_ChildYears*4)</x:f>
        <x:v>254.52800107994702</x:v>
      </x:c>
      <x:c r="X1404" s="9" t="n">
        <x:f>H1404*Z1403/(v01_AdultYears*4)</x:f>
        <x:v>155.38187530191465</x:v>
      </x:c>
      <x:c r="Y1404" s="32" t="n">
        <x:f>Y1403+R1404-S1404-W1404-Y1403*V1404/AB1403</x:f>
        <x:v>14306.18539759397</x:v>
      </x:c>
      <x:c r="Z1404" s="32" t="n">
        <x:f>Z1403+W1404-X1404-T1404-Z1403*V1404/AB1403</x:f>
        <x:v>19354.456567879548</x:v>
      </x:c>
      <x:c r="AA1404" s="32" t="n">
        <x:f>AA1403+X1404-U1404-AA1403*V1404/AB1403</x:f>
        <x:v>11386.956063258198</x:v>
      </x:c>
      <x:c r="AB1404" s="10" t="n">
        <x:f>Y1404+Z1404+AA1404</x:f>
        <x:v>45047.59802873172</x:v>
      </x:c>
      <x:c r="AC1404" s="8" t="n">
        <x:f>IF(AND(v01_WinterTrigger=1,D1404=1,AB1403/AE1403&gt;=K1404),1,0)</x:f>
        <x:v>0</x:v>
      </x:c>
      <x:c r="AD1404" s="8" t="n">
        <x:f>H1404*IF(AND(OR(AB1403/AE1403&gt;=v01_FissionTrigger*N1404,AC1404=1),AB1403/AE1403*v01_DaughterShare&gt;=v01_MinDaughter),MAX(1,ROUND(AE1403*v01_FissionRate,0)),0)</x:f>
        <x:v>0</x:v>
      </x:c>
      <x:c r="AE1404" s="8" t="n">
        <x:f>IF(H1404=1,MAX(1,MIN(INDEX(v01_Smax,G1404),AE1403+AD1404)),AE1403)</x:f>
        <x:v>15</x:v>
      </x:c>
      <x:c r="AF1404" s="8" t="n">
        <x:f>MAX(0,AE1404-AE1403)</x:f>
        <x:v>0</x:v>
      </x:c>
      <x:c r="AG1404" s="9" t="str">
        <x:f>IF(AF1404&gt;0,B1404,"")</x:f>
      </x:c>
      <x:c r="AH1404" s="9" t="n">
        <x:f>IF(F1404&gt;=1,1,(1+v01_LowTiesShare*(AE1404-1))/AE1404)</x:f>
        <x:v>1</x:v>
      </x:c>
      <x:c r="AI1404" s="32" t="n">
        <x:f>(Z1404+v01_ElderCommons*INDEX(LM_Elder,G1404)*AA1404)*AH1404</x:f>
        <x:v>64139.732591141874</x:v>
      </x:c>
      <x:c r="AJ1404" s="32" t="n">
        <x:f>H1404*v01_CommonsCoef*AI1404^v01_CommonsExp*INDEX(LM_Commons,G1404)</x:f>
        <x:v>32730.913352168034</x:v>
      </x:c>
      <x:c r="AK1404" s="32" t="n">
        <x:f>H1404*v01_RoleScale*Arch_Roles*(AE1404*(INDEX(v01_ElderRolePerSett,G1404)*v01_OutElder*INDEX(LM_Elder,G1404)+INDEX(v01_ShamanPerSett,G1404)*v01_OutShaman)+Z1404*(INDEX(v01_PriestShare,G1404)*v01_OutPriest+INDEX(v01_ScribeShare,G1404)*v01_OutScribe*INDEX(LM_Scribe,G1404)+INDEX(v01_ScholarShare,G1404)*v01_OutScholar*INDEX(LM_Scholar,G1404)+INDEX(v01_ResearcherShare,G1404)*v01_OutResearcher*INDEX(LM_Researcher,G1404)))</x:f>
        <x:v>8765.060515419551</x:v>
      </x:c>
      <x:c r="AL1404" s="32" t="n">
        <x:f>H1404*v01_RoleScale*Arch_Roles*AE1404*INDEX(v01_MonasteryPerSett,G1404)*v01_OutMonastery*INDEX(LM_Monastery,G1404)</x:f>
        <x:v>3.3000000000000003</x:v>
      </x:c>
      <x:c r="AM1404" s="32" t="n">
        <x:f>(AJ1404+AK1404+AL1404)/4*INDEX(LM_All,G1404)*INDEX(v01_Boon,G1404)*Arch_Insight</x:f>
        <x:v>35937.22665832771</x:v>
      </x:c>
      <x:c r="AN1404" s="32" t="n">
        <x:f>H1404*(v01_KHPerAdult*Z1404+v01_KHOfCommons*AJ1404/4*INDEX(LM_All,G1404))*v01_KHUsable*Arch_KH</x:f>
        <x:v>677.4059798757842</x:v>
      </x:c>
      <x:c r="AO1404" s="32" t="n">
        <x:f>MIN(AP1403+AN1404,AM1404*v01_KHMaxRatio)</x:f>
        <x:v>677.4059798757842</x:v>
      </x:c>
      <x:c r="AP1404" s="32" t="n">
        <x:f>AP1403+AN1404-AO1404</x:f>
        <x:v>0</x:v>
      </x:c>
      <x:c r="AQ1404" s="32" t="n">
        <x:f>AM1404+AO1404</x:f>
        <x:v>36614.63263820349</x:v>
      </x:c>
      <x:c r="AR1404" s="10" t="n">
        <x:f>IF(H1404=1,INDEX(v01_Req,G1404),0)</x:f>
        <x:v>1845340.8943637449</x:v>
      </x:c>
      <x:c r="AS1404" s="32" t="n">
        <x:f>IF(H1404=1,IF(E1404=1,AS1403-AR1403,AS1403)+AQ1404,0)</x:f>
        <x:v>1869584.010133592</x:v>
      </x:c>
      <x:c r="AT1404" s="11" t="n">
        <x:f>IF(AR1404&gt;0,MIN(1,AS1404/AR1404),1)</x:f>
        <x:v>1</x:v>
      </x:c>
      <x:c r="AU1404" s="10" t="n">
        <x:f>AB1404/INDEX(v01_RepScale,G1404)</x:f>
        <x:v>90.09519605746344</x:v>
      </x:c>
      <x:c r="AV1404" s="32" t="n">
        <x:f>AM1404*60/v01_SeasonSeconds</x:f>
        <x:v>143748.90663331083</x:v>
      </x:c>
    </x:row>
    <x:row r="1405">
      <x:c r="A1405" s="8" t="n">
        <x:f>A1404+1</x:f>
        <x:v>1402</x:v>
      </x:c>
      <x:c r="B1405" s="9" t="n">
        <x:f>A1405*v01_SeasonSeconds/60</x:f>
        <x:v>350.5</x:v>
      </x:c>
      <x:c r="C1405" s="9" t="n">
        <x:f>A1405/4</x:f>
        <x:v>350.5</x:v>
      </x:c>
      <x:c r="D1405" s="8" t="n">
        <x:f>IF(MOD(A1405,4)=0,1,0)</x:f>
        <x:v>0</x:v>
      </x:c>
      <x:c r="E1405" s="8" t="n">
        <x:f>IF(AND(F1404&lt;=9,AS1404&gt;=AR1404),1,0)</x:f>
        <x:v>1</x:v>
      </x:c>
      <x:c r="F1405" s="8" t="n">
        <x:f>MIN(10,F1404+E1405)</x:f>
        <x:v>10</x:v>
      </x:c>
      <x:c r="G1405" s="8" t="n">
        <x:f>MIN(F1405,9)+1</x:f>
        <x:v>10</x:v>
      </x:c>
      <x:c r="H1405" s="8" t="n">
        <x:f>IF(F1405&lt;=9,1,0)</x:f>
        <x:v>0</x:v>
      </x:c>
      <x:c r="I1405" s="9" t="n">
        <x:f>MIN(10,F1404+IF(AR1404&gt;0,MIN(1,AS1404/AR1404),1))</x:f>
        <x:v>10</x:v>
      </x:c>
      <x:c r="J1405" s="32" t="n">
        <x:f>INDEX(v01_FoodCap,G1405)*Arch_FoodCap*EXP(v01_CapsByProject*SUMPRODUCT((Cap_Point&lt;=I1405)*(Cap_Kind="Food")*Cap_Ln))</x:f>
        <x:v>12000</x:v>
      </x:c>
      <x:c r="K1405" s="32" t="n">
        <x:f>J1405*MIN(1,v01_LeanBase*EXP(v01_CapsByProject*SUMPRODUCT((Cap_Point&lt;=I1405)*(Cap_Kind="Lean")*Cap_Ln)))</x:f>
        <x:v>12000</x:v>
      </x:c>
      <x:c r="L1405" s="10" t="n">
        <x:f>INDEX(v01_HousingCap,G1405)*EXP(v01_CapsByProject*SUMPRODUCT((Cap_Point&lt;=I1405)*(Cap_Kind="Housing")*Cap_Ln))</x:f>
        <x:v>20000</x:v>
      </x:c>
      <x:c r="M1405" s="10" t="n">
        <x:f>INDEX(v01_GroupCap,G1405)*v01_CohesionFactor*EXP(v01_CapsByProject*SUMPRODUCT((Cap_Point&lt;=I1405)*(Cap_Kind="Group")*Cap_Ln))</x:f>
        <x:v>1000000</x:v>
      </x:c>
      <x:c r="N1405" s="32" t="n">
        <x:f>MIN(J1405,L1405,M1405)</x:f>
        <x:v>12000</x:v>
      </x:c>
      <x:c r="O1405" s="10" t="n">
        <x:f>AE1404*N1405</x:f>
        <x:v>180000</x:v>
      </x:c>
      <x:c r="P1405" s="9" t="n">
        <x:f>MIN(1,(AB1404/(AE1404*IF(v01_GroupInCrowding=1,N1405,MIN(J1405,L1405))))^v01_CrowdingExp)</x:f>
        <x:v>0.00024569414295285325</x:v>
      </x:c>
      <x:c r="Q1405" s="9" t="n">
        <x:f>IF(D1405=1,INDEX(v01_WinterMult,G1405),1)</x:f>
        <x:v>1</x:v>
      </x:c>
      <x:c r="R1405" s="9" t="n">
        <x:f>H1405*Z1404*v01_WomenShare*v01_BaseFertility*INDEX(v01_FertMult,G1405)*Arch_Fertility*(1-P1405)</x:f>
        <x:v>0</x:v>
      </x:c>
      <x:c r="S1405" s="9" t="n">
        <x:f>H1405*Y1404*INDEX(v01_MortChild,G1405)/4*Q1405</x:f>
        <x:v>0</x:v>
      </x:c>
      <x:c r="T1405" s="9" t="n">
        <x:f>H1405*Z1404*INDEX(v01_MortAdult,G1405)*Arch_AdultMort/4*Q1405</x:f>
        <x:v>0</x:v>
      </x:c>
      <x:c r="U1405" s="9" t="n">
        <x:f>H1405*AA1404*INDEX(v01_MortElder,G1405)/4*Q1405</x:f>
        <x:v>0</x:v>
      </x:c>
      <x:c r="V1405" s="9" t="n">
        <x:f>H1405*MAX(0,AB1404-O1405)*v01_OvercapLoss</x:f>
        <x:v>0</x:v>
      </x:c>
      <x:c r="W1405" s="9" t="n">
        <x:f>H1405*Y1404/(v01_ChildYears*4)</x:f>
        <x:v>0</x:v>
      </x:c>
      <x:c r="X1405" s="9" t="n">
        <x:f>H1405*Z1404/(v01_AdultYears*4)</x:f>
        <x:v>0</x:v>
      </x:c>
      <x:c r="Y1405" s="32" t="n">
        <x:f>Y1404+R1405-S1405-W1405-Y1404*V1405/AB1404</x:f>
        <x:v>14306.18539759397</x:v>
      </x:c>
      <x:c r="Z1405" s="32" t="n">
        <x:f>Z1404+W1405-X1405-T1405-Z1404*V1405/AB1404</x:f>
        <x:v>19354.456567879548</x:v>
      </x:c>
      <x:c r="AA1405" s="32" t="n">
        <x:f>AA1404+X1405-U1405-AA1404*V1405/AB1404</x:f>
        <x:v>11386.956063258198</x:v>
      </x:c>
      <x:c r="AB1405" s="10" t="n">
        <x:f>Y1405+Z1405+AA1405</x:f>
        <x:v>45047.59802873172</x:v>
      </x:c>
      <x:c r="AC1405" s="8" t="n">
        <x:f>IF(AND(v01_WinterTrigger=1,D1405=1,AB1404/AE1404&gt;=K1405),1,0)</x:f>
        <x:v>0</x:v>
      </x:c>
      <x:c r="AD1405" s="8" t="n">
        <x:f>H1405*IF(AND(OR(AB1404/AE1404&gt;=v01_FissionTrigger*N1405,AC1405=1),AB1404/AE1404*v01_DaughterShare&gt;=v01_MinDaughter),MAX(1,ROUND(AE1404*v01_FissionRate,0)),0)</x:f>
        <x:v>0</x:v>
      </x:c>
      <x:c r="AE1405" s="8" t="n">
        <x:f>IF(H1405=1,MAX(1,MIN(INDEX(v01_Smax,G1405),AE1404+AD1405)),AE1404)</x:f>
        <x:v>15</x:v>
      </x:c>
      <x:c r="AF1405" s="8" t="n">
        <x:f>MAX(0,AE1405-AE1404)</x:f>
        <x:v>0</x:v>
      </x:c>
      <x:c r="AG1405" s="9" t="str">
        <x:f>IF(AF1405&gt;0,B1405,"")</x:f>
      </x:c>
      <x:c r="AH1405" s="9" t="n">
        <x:f>IF(F1405&gt;=1,1,(1+v01_LowTiesShare*(AE1405-1))/AE1405)</x:f>
        <x:v>1</x:v>
      </x:c>
      <x:c r="AI1405" s="32" t="n">
        <x:f>(Z1405+v01_ElderCommons*INDEX(LM_Elder,G1405)*AA1405)*AH1405</x:f>
        <x:v>64139.732591141874</x:v>
      </x:c>
      <x:c r="AJ1405" s="32" t="n">
        <x:f>H1405*v01_CommonsCoef*AI1405^v01_CommonsExp*INDEX(LM_Commons,G1405)</x:f>
        <x:v>0</x:v>
      </x:c>
      <x:c r="AK1405" s="32" t="n">
        <x:f>H1405*v01_RoleScale*Arch_Roles*(AE1405*(INDEX(v01_ElderRolePerSett,G1405)*v01_OutElder*INDEX(LM_Elder,G1405)+INDEX(v01_ShamanPerSett,G1405)*v01_OutShaman)+Z1405*(INDEX(v01_PriestShare,G1405)*v01_OutPriest+INDEX(v01_ScribeShare,G1405)*v01_OutScribe*INDEX(LM_Scribe,G1405)+INDEX(v01_ScholarShare,G1405)*v01_OutScholar*INDEX(LM_Scholar,G1405)+INDEX(v01_ResearcherShare,G1405)*v01_OutResearcher*INDEX(LM_Researcher,G1405)))</x:f>
        <x:v>0</x:v>
      </x:c>
      <x:c r="AL1405" s="32" t="n">
        <x:f>H1405*v01_RoleScale*Arch_Roles*AE1405*INDEX(v01_MonasteryPerSett,G1405)*v01_OutMonastery*INDEX(LM_Monastery,G1405)</x:f>
        <x:v>0</x:v>
      </x:c>
      <x:c r="AM1405" s="32" t="n">
        <x:f>(AJ1405+AK1405+AL1405)/4*INDEX(LM_All,G1405)*INDEX(v01_Boon,G1405)*Arch_Insight</x:f>
        <x:v>0</x:v>
      </x:c>
      <x:c r="AN1405" s="32" t="n">
        <x:f>H1405*(v01_KHPerAdult*Z1405+v01_KHOfCommons*AJ1405/4*INDEX(LM_All,G1405))*v01_KHUsable*Arch_KH</x:f>
        <x:v>0</x:v>
      </x:c>
      <x:c r="AO1405" s="32" t="n">
        <x:f>MIN(AP1404+AN1405,AM1405*v01_KHMaxRatio)</x:f>
        <x:v>0</x:v>
      </x:c>
      <x:c r="AP1405" s="32" t="n">
        <x:f>AP1404+AN1405-AO1405</x:f>
        <x:v>0</x:v>
      </x:c>
      <x:c r="AQ1405" s="32" t="n">
        <x:f>AM1405+AO1405</x:f>
        <x:v>0</x:v>
      </x:c>
      <x:c r="AR1405" s="10" t="n">
        <x:f>IF(H1405=1,INDEX(v01_Req,G1405),0)</x:f>
        <x:v>0</x:v>
      </x:c>
      <x:c r="AS1405" s="32" t="n">
        <x:f>IF(H1405=1,IF(E1405=1,AS1404-AR1404,AS1404)+AQ1405,0)</x:f>
        <x:v>0</x:v>
      </x:c>
      <x:c r="AT1405" s="11" t="n">
        <x:f>IF(AR1405&gt;0,MIN(1,AS1405/AR1405),1)</x:f>
        <x:v>1</x:v>
      </x:c>
      <x:c r="AU1405" s="10" t="n">
        <x:f>AB1405/INDEX(v01_RepScale,G1405)</x:f>
        <x:v>90.09519605746344</x:v>
      </x:c>
      <x:c r="AV1405" s="32" t="n">
        <x:f>AM1405*60/v01_SeasonSeconds</x:f>
        <x:v>0</x:v>
      </x:c>
    </x:row>
    <x:row r="1406">
      <x:c r="A1406" s="8" t="n">
        <x:f>A1405+1</x:f>
        <x:v>1403</x:v>
      </x:c>
      <x:c r="B1406" s="9" t="n">
        <x:f>A1406*v01_SeasonSeconds/60</x:f>
        <x:v>350.75</x:v>
      </x:c>
      <x:c r="C1406" s="9" t="n">
        <x:f>A1406/4</x:f>
        <x:v>350.75</x:v>
      </x:c>
      <x:c r="D1406" s="8" t="n">
        <x:f>IF(MOD(A1406,4)=0,1,0)</x:f>
        <x:v>0</x:v>
      </x:c>
      <x:c r="E1406" s="8" t="n">
        <x:f>IF(AND(F1405&lt;=9,AS1405&gt;=AR1405),1,0)</x:f>
        <x:v>0</x:v>
      </x:c>
      <x:c r="F1406" s="8" t="n">
        <x:f>MIN(10,F1405+E1406)</x:f>
        <x:v>10</x:v>
      </x:c>
      <x:c r="G1406" s="8" t="n">
        <x:f>MIN(F1406,9)+1</x:f>
        <x:v>10</x:v>
      </x:c>
      <x:c r="H1406" s="8" t="n">
        <x:f>IF(F1406&lt;=9,1,0)</x:f>
        <x:v>0</x:v>
      </x:c>
      <x:c r="I1406" s="9" t="n">
        <x:f>MIN(10,F1405+IF(AR1405&gt;0,MIN(1,AS1405/AR1405),1))</x:f>
        <x:v>10</x:v>
      </x:c>
      <x:c r="J1406" s="32" t="n">
        <x:f>INDEX(v01_FoodCap,G1406)*Arch_FoodCap*EXP(v01_CapsByProject*SUMPRODUCT((Cap_Point&lt;=I1406)*(Cap_Kind="Food")*Cap_Ln))</x:f>
        <x:v>12000</x:v>
      </x:c>
      <x:c r="K1406" s="32" t="n">
        <x:f>J1406*MIN(1,v01_LeanBase*EXP(v01_CapsByProject*SUMPRODUCT((Cap_Point&lt;=I1406)*(Cap_Kind="Lean")*Cap_Ln)))</x:f>
        <x:v>12000</x:v>
      </x:c>
      <x:c r="L1406" s="10" t="n">
        <x:f>INDEX(v01_HousingCap,G1406)*EXP(v01_CapsByProject*SUMPRODUCT((Cap_Point&lt;=I1406)*(Cap_Kind="Housing")*Cap_Ln))</x:f>
        <x:v>20000</x:v>
      </x:c>
      <x:c r="M1406" s="10" t="n">
        <x:f>INDEX(v01_GroupCap,G1406)*v01_CohesionFactor*EXP(v01_CapsByProject*SUMPRODUCT((Cap_Point&lt;=I1406)*(Cap_Kind="Group")*Cap_Ln))</x:f>
        <x:v>1000000</x:v>
      </x:c>
      <x:c r="N1406" s="32" t="n">
        <x:f>MIN(J1406,L1406,M1406)</x:f>
        <x:v>12000</x:v>
      </x:c>
      <x:c r="O1406" s="10" t="n">
        <x:f>AE1405*N1406</x:f>
        <x:v>180000</x:v>
      </x:c>
      <x:c r="P1406" s="9" t="n">
        <x:f>MIN(1,(AB1405/(AE1405*IF(v01_GroupInCrowding=1,N1406,MIN(J1406,L1406))))^v01_CrowdingExp)</x:f>
        <x:v>0.00024569414295285325</x:v>
      </x:c>
      <x:c r="Q1406" s="9" t="n">
        <x:f>IF(D1406=1,INDEX(v01_WinterMult,G1406),1)</x:f>
        <x:v>1</x:v>
      </x:c>
      <x:c r="R1406" s="9" t="n">
        <x:f>H1406*Z1405*v01_WomenShare*v01_BaseFertility*INDEX(v01_FertMult,G1406)*Arch_Fertility*(1-P1406)</x:f>
        <x:v>0</x:v>
      </x:c>
      <x:c r="S1406" s="9" t="n">
        <x:f>H1406*Y1405*INDEX(v01_MortChild,G1406)/4*Q1406</x:f>
        <x:v>0</x:v>
      </x:c>
      <x:c r="T1406" s="9" t="n">
        <x:f>H1406*Z1405*INDEX(v01_MortAdult,G1406)*Arch_AdultMort/4*Q1406</x:f>
        <x:v>0</x:v>
      </x:c>
      <x:c r="U1406" s="9" t="n">
        <x:f>H1406*AA1405*INDEX(v01_MortElder,G1406)/4*Q1406</x:f>
        <x:v>0</x:v>
      </x:c>
      <x:c r="V1406" s="9" t="n">
        <x:f>H1406*MAX(0,AB1405-O1406)*v01_OvercapLoss</x:f>
        <x:v>0</x:v>
      </x:c>
      <x:c r="W1406" s="9" t="n">
        <x:f>H1406*Y1405/(v01_ChildYears*4)</x:f>
        <x:v>0</x:v>
      </x:c>
      <x:c r="X1406" s="9" t="n">
        <x:f>H1406*Z1405/(v01_AdultYears*4)</x:f>
        <x:v>0</x:v>
      </x:c>
      <x:c r="Y1406" s="32" t="n">
        <x:f>Y1405+R1406-S1406-W1406-Y1405*V1406/AB1405</x:f>
        <x:v>14306.18539759397</x:v>
      </x:c>
      <x:c r="Z1406" s="32" t="n">
        <x:f>Z1405+W1406-X1406-T1406-Z1405*V1406/AB1405</x:f>
        <x:v>19354.456567879548</x:v>
      </x:c>
      <x:c r="AA1406" s="32" t="n">
        <x:f>AA1405+X1406-U1406-AA1405*V1406/AB1405</x:f>
        <x:v>11386.956063258198</x:v>
      </x:c>
      <x:c r="AB1406" s="10" t="n">
        <x:f>Y1406+Z1406+AA1406</x:f>
        <x:v>45047.59802873172</x:v>
      </x:c>
      <x:c r="AC1406" s="8" t="n">
        <x:f>IF(AND(v01_WinterTrigger=1,D1406=1,AB1405/AE1405&gt;=K1406),1,0)</x:f>
        <x:v>0</x:v>
      </x:c>
      <x:c r="AD1406" s="8" t="n">
        <x:f>H1406*IF(AND(OR(AB1405/AE1405&gt;=v01_FissionTrigger*N1406,AC1406=1),AB1405/AE1405*v01_DaughterShare&gt;=v01_MinDaughter),MAX(1,ROUND(AE1405*v01_FissionRate,0)),0)</x:f>
        <x:v>0</x:v>
      </x:c>
      <x:c r="AE1406" s="8" t="n">
        <x:f>IF(H1406=1,MAX(1,MIN(INDEX(v01_Smax,G1406),AE1405+AD1406)),AE1405)</x:f>
        <x:v>15</x:v>
      </x:c>
      <x:c r="AF1406" s="8" t="n">
        <x:f>MAX(0,AE1406-AE1405)</x:f>
        <x:v>0</x:v>
      </x:c>
      <x:c r="AG1406" s="9" t="str">
        <x:f>IF(AF1406&gt;0,B1406,"")</x:f>
      </x:c>
      <x:c r="AH1406" s="9" t="n">
        <x:f>IF(F1406&gt;=1,1,(1+v01_LowTiesShare*(AE1406-1))/AE1406)</x:f>
        <x:v>1</x:v>
      </x:c>
      <x:c r="AI1406" s="32" t="n">
        <x:f>(Z1406+v01_ElderCommons*INDEX(LM_Elder,G1406)*AA1406)*AH1406</x:f>
        <x:v>64139.732591141874</x:v>
      </x:c>
      <x:c r="AJ1406" s="32" t="n">
        <x:f>H1406*v01_CommonsCoef*AI1406^v01_CommonsExp*INDEX(LM_Commons,G1406)</x:f>
        <x:v>0</x:v>
      </x:c>
      <x:c r="AK1406" s="32" t="n">
        <x:f>H1406*v01_RoleScale*Arch_Roles*(AE1406*(INDEX(v01_ElderRolePerSett,G1406)*v01_OutElder*INDEX(LM_Elder,G1406)+INDEX(v01_ShamanPerSett,G1406)*v01_OutShaman)+Z1406*(INDEX(v01_PriestShare,G1406)*v01_OutPriest+INDEX(v01_ScribeShare,G1406)*v01_OutScribe*INDEX(LM_Scribe,G1406)+INDEX(v01_ScholarShare,G1406)*v01_OutScholar*INDEX(LM_Scholar,G1406)+INDEX(v01_ResearcherShare,G1406)*v01_OutResearcher*INDEX(LM_Researcher,G1406)))</x:f>
        <x:v>0</x:v>
      </x:c>
      <x:c r="AL1406" s="32" t="n">
        <x:f>H1406*v01_RoleScale*Arch_Roles*AE1406*INDEX(v01_MonasteryPerSett,G1406)*v01_OutMonastery*INDEX(LM_Monastery,G1406)</x:f>
        <x:v>0</x:v>
      </x:c>
      <x:c r="AM1406" s="32" t="n">
        <x:f>(AJ1406+AK1406+AL1406)/4*INDEX(LM_All,G1406)*INDEX(v01_Boon,G1406)*Arch_Insight</x:f>
        <x:v>0</x:v>
      </x:c>
      <x:c r="AN1406" s="32" t="n">
        <x:f>H1406*(v01_KHPerAdult*Z1406+v01_KHOfCommons*AJ1406/4*INDEX(LM_All,G1406))*v01_KHUsable*Arch_KH</x:f>
        <x:v>0</x:v>
      </x:c>
      <x:c r="AO1406" s="32" t="n">
        <x:f>MIN(AP1405+AN1406,AM1406*v01_KHMaxRatio)</x:f>
        <x:v>0</x:v>
      </x:c>
      <x:c r="AP1406" s="32" t="n">
        <x:f>AP1405+AN1406-AO1406</x:f>
        <x:v>0</x:v>
      </x:c>
      <x:c r="AQ1406" s="32" t="n">
        <x:f>AM1406+AO1406</x:f>
        <x:v>0</x:v>
      </x:c>
      <x:c r="AR1406" s="10" t="n">
        <x:f>IF(H1406=1,INDEX(v01_Req,G1406),0)</x:f>
        <x:v>0</x:v>
      </x:c>
      <x:c r="AS1406" s="32" t="n">
        <x:f>IF(H1406=1,IF(E1406=1,AS1405-AR1405,AS1405)+AQ1406,0)</x:f>
        <x:v>0</x:v>
      </x:c>
      <x:c r="AT1406" s="11" t="n">
        <x:f>IF(AR1406&gt;0,MIN(1,AS1406/AR1406),1)</x:f>
        <x:v>1</x:v>
      </x:c>
      <x:c r="AU1406" s="10" t="n">
        <x:f>AB1406/INDEX(v01_RepScale,G1406)</x:f>
        <x:v>90.09519605746344</x:v>
      </x:c>
      <x:c r="AV1406" s="32" t="n">
        <x:f>AM1406*60/v01_SeasonSeconds</x:f>
        <x:v>0</x:v>
      </x:c>
    </x:row>
    <x:row r="1407">
      <x:c r="A1407" s="8" t="n">
        <x:f>A1406+1</x:f>
        <x:v>1404</x:v>
      </x:c>
      <x:c r="B1407" s="9" t="n">
        <x:f>A1407*v01_SeasonSeconds/60</x:f>
        <x:v>351</x:v>
      </x:c>
      <x:c r="C1407" s="9" t="n">
        <x:f>A1407/4</x:f>
        <x:v>351</x:v>
      </x:c>
      <x:c r="D1407" s="8" t="n">
        <x:f>IF(MOD(A1407,4)=0,1,0)</x:f>
        <x:v>1</x:v>
      </x:c>
      <x:c r="E1407" s="8" t="n">
        <x:f>IF(AND(F1406&lt;=9,AS1406&gt;=AR1406),1,0)</x:f>
        <x:v>0</x:v>
      </x:c>
      <x:c r="F1407" s="8" t="n">
        <x:f>MIN(10,F1406+E1407)</x:f>
        <x:v>10</x:v>
      </x:c>
      <x:c r="G1407" s="8" t="n">
        <x:f>MIN(F1407,9)+1</x:f>
        <x:v>10</x:v>
      </x:c>
      <x:c r="H1407" s="8" t="n">
        <x:f>IF(F1407&lt;=9,1,0)</x:f>
        <x:v>0</x:v>
      </x:c>
      <x:c r="I1407" s="9" t="n">
        <x:f>MIN(10,F1406+IF(AR1406&gt;0,MIN(1,AS1406/AR1406),1))</x:f>
        <x:v>10</x:v>
      </x:c>
      <x:c r="J1407" s="32" t="n">
        <x:f>INDEX(v01_FoodCap,G1407)*Arch_FoodCap*EXP(v01_CapsByProject*SUMPRODUCT((Cap_Point&lt;=I1407)*(Cap_Kind="Food")*Cap_Ln))</x:f>
        <x:v>12000</x:v>
      </x:c>
      <x:c r="K1407" s="32" t="n">
        <x:f>J1407*MIN(1,v01_LeanBase*EXP(v01_CapsByProject*SUMPRODUCT((Cap_Point&lt;=I1407)*(Cap_Kind="Lean")*Cap_Ln)))</x:f>
        <x:v>12000</x:v>
      </x:c>
      <x:c r="L1407" s="10" t="n">
        <x:f>INDEX(v01_HousingCap,G1407)*EXP(v01_CapsByProject*SUMPRODUCT((Cap_Point&lt;=I1407)*(Cap_Kind="Housing")*Cap_Ln))</x:f>
        <x:v>20000</x:v>
      </x:c>
      <x:c r="M1407" s="10" t="n">
        <x:f>INDEX(v01_GroupCap,G1407)*v01_CohesionFactor*EXP(v01_CapsByProject*SUMPRODUCT((Cap_Point&lt;=I1407)*(Cap_Kind="Group")*Cap_Ln))</x:f>
        <x:v>1000000</x:v>
      </x:c>
      <x:c r="N1407" s="32" t="n">
        <x:f>MIN(J1407,L1407,M1407)</x:f>
        <x:v>12000</x:v>
      </x:c>
      <x:c r="O1407" s="10" t="n">
        <x:f>AE1406*N1407</x:f>
        <x:v>180000</x:v>
      </x:c>
      <x:c r="P1407" s="9" t="n">
        <x:f>MIN(1,(AB1406/(AE1406*IF(v01_GroupInCrowding=1,N1407,MIN(J1407,L1407))))^v01_CrowdingExp)</x:f>
        <x:v>0.00024569414295285325</x:v>
      </x:c>
      <x:c r="Q1407" s="9" t="n">
        <x:f>IF(D1407=1,INDEX(v01_WinterMult,G1407),1)</x:f>
        <x:v>1</x:v>
      </x:c>
      <x:c r="R1407" s="9" t="n">
        <x:f>H1407*Z1406*v01_WomenShare*v01_BaseFertility*INDEX(v01_FertMult,G1407)*Arch_Fertility*(1-P1407)</x:f>
        <x:v>0</x:v>
      </x:c>
      <x:c r="S1407" s="9" t="n">
        <x:f>H1407*Y1406*INDEX(v01_MortChild,G1407)/4*Q1407</x:f>
        <x:v>0</x:v>
      </x:c>
      <x:c r="T1407" s="9" t="n">
        <x:f>H1407*Z1406*INDEX(v01_MortAdult,G1407)*Arch_AdultMort/4*Q1407</x:f>
        <x:v>0</x:v>
      </x:c>
      <x:c r="U1407" s="9" t="n">
        <x:f>H1407*AA1406*INDEX(v01_MortElder,G1407)/4*Q1407</x:f>
        <x:v>0</x:v>
      </x:c>
      <x:c r="V1407" s="9" t="n">
        <x:f>H1407*MAX(0,AB1406-O1407)*v01_OvercapLoss</x:f>
        <x:v>0</x:v>
      </x:c>
      <x:c r="W1407" s="9" t="n">
        <x:f>H1407*Y1406/(v01_ChildYears*4)</x:f>
        <x:v>0</x:v>
      </x:c>
      <x:c r="X1407" s="9" t="n">
        <x:f>H1407*Z1406/(v01_AdultYears*4)</x:f>
        <x:v>0</x:v>
      </x:c>
      <x:c r="Y1407" s="32" t="n">
        <x:f>Y1406+R1407-S1407-W1407-Y1406*V1407/AB1406</x:f>
        <x:v>14306.18539759397</x:v>
      </x:c>
      <x:c r="Z1407" s="32" t="n">
        <x:f>Z1406+W1407-X1407-T1407-Z1406*V1407/AB1406</x:f>
        <x:v>19354.456567879548</x:v>
      </x:c>
      <x:c r="AA1407" s="32" t="n">
        <x:f>AA1406+X1407-U1407-AA1406*V1407/AB1406</x:f>
        <x:v>11386.956063258198</x:v>
      </x:c>
      <x:c r="AB1407" s="10" t="n">
        <x:f>Y1407+Z1407+AA1407</x:f>
        <x:v>45047.59802873172</x:v>
      </x:c>
      <x:c r="AC1407" s="8" t="n">
        <x:f>IF(AND(v01_WinterTrigger=1,D1407=1,AB1406/AE1406&gt;=K1407),1,0)</x:f>
        <x:v>0</x:v>
      </x:c>
      <x:c r="AD1407" s="8" t="n">
        <x:f>H1407*IF(AND(OR(AB1406/AE1406&gt;=v01_FissionTrigger*N1407,AC1407=1),AB1406/AE1406*v01_DaughterShare&gt;=v01_MinDaughter),MAX(1,ROUND(AE1406*v01_FissionRate,0)),0)</x:f>
        <x:v>0</x:v>
      </x:c>
      <x:c r="AE1407" s="8" t="n">
        <x:f>IF(H1407=1,MAX(1,MIN(INDEX(v01_Smax,G1407),AE1406+AD1407)),AE1406)</x:f>
        <x:v>15</x:v>
      </x:c>
      <x:c r="AF1407" s="8" t="n">
        <x:f>MAX(0,AE1407-AE1406)</x:f>
        <x:v>0</x:v>
      </x:c>
      <x:c r="AG1407" s="9" t="str">
        <x:f>IF(AF1407&gt;0,B1407,"")</x:f>
      </x:c>
      <x:c r="AH1407" s="9" t="n">
        <x:f>IF(F1407&gt;=1,1,(1+v01_LowTiesShare*(AE1407-1))/AE1407)</x:f>
        <x:v>1</x:v>
      </x:c>
      <x:c r="AI1407" s="32" t="n">
        <x:f>(Z1407+v01_ElderCommons*INDEX(LM_Elder,G1407)*AA1407)*AH1407</x:f>
        <x:v>64139.732591141874</x:v>
      </x:c>
      <x:c r="AJ1407" s="32" t="n">
        <x:f>H1407*v01_CommonsCoef*AI1407^v01_CommonsExp*INDEX(LM_Commons,G1407)</x:f>
        <x:v>0</x:v>
      </x:c>
      <x:c r="AK1407" s="32" t="n">
        <x:f>H1407*v01_RoleScale*Arch_Roles*(AE1407*(INDEX(v01_ElderRolePerSett,G1407)*v01_OutElder*INDEX(LM_Elder,G1407)+INDEX(v01_ShamanPerSett,G1407)*v01_OutShaman)+Z1407*(INDEX(v01_PriestShare,G1407)*v01_OutPriest+INDEX(v01_ScribeShare,G1407)*v01_OutScribe*INDEX(LM_Scribe,G1407)+INDEX(v01_ScholarShare,G1407)*v01_OutScholar*INDEX(LM_Scholar,G1407)+INDEX(v01_ResearcherShare,G1407)*v01_OutResearcher*INDEX(LM_Researcher,G1407)))</x:f>
        <x:v>0</x:v>
      </x:c>
      <x:c r="AL1407" s="32" t="n">
        <x:f>H1407*v01_RoleScale*Arch_Roles*AE1407*INDEX(v01_MonasteryPerSett,G1407)*v01_OutMonastery*INDEX(LM_Monastery,G1407)</x:f>
        <x:v>0</x:v>
      </x:c>
      <x:c r="AM1407" s="32" t="n">
        <x:f>(AJ1407+AK1407+AL1407)/4*INDEX(LM_All,G1407)*INDEX(v01_Boon,G1407)*Arch_Insight</x:f>
        <x:v>0</x:v>
      </x:c>
      <x:c r="AN1407" s="32" t="n">
        <x:f>H1407*(v01_KHPerAdult*Z1407+v01_KHOfCommons*AJ1407/4*INDEX(LM_All,G1407))*v01_KHUsable*Arch_KH</x:f>
        <x:v>0</x:v>
      </x:c>
      <x:c r="AO1407" s="32" t="n">
        <x:f>MIN(AP1406+AN1407,AM1407*v01_KHMaxRatio)</x:f>
        <x:v>0</x:v>
      </x:c>
      <x:c r="AP1407" s="32" t="n">
        <x:f>AP1406+AN1407-AO1407</x:f>
        <x:v>0</x:v>
      </x:c>
      <x:c r="AQ1407" s="32" t="n">
        <x:f>AM1407+AO1407</x:f>
        <x:v>0</x:v>
      </x:c>
      <x:c r="AR1407" s="10" t="n">
        <x:f>IF(H1407=1,INDEX(v01_Req,G1407),0)</x:f>
        <x:v>0</x:v>
      </x:c>
      <x:c r="AS1407" s="32" t="n">
        <x:f>IF(H1407=1,IF(E1407=1,AS1406-AR1406,AS1406)+AQ1407,0)</x:f>
        <x:v>0</x:v>
      </x:c>
      <x:c r="AT1407" s="11" t="n">
        <x:f>IF(AR1407&gt;0,MIN(1,AS1407/AR1407),1)</x:f>
        <x:v>1</x:v>
      </x:c>
      <x:c r="AU1407" s="10" t="n">
        <x:f>AB1407/INDEX(v01_RepScale,G1407)</x:f>
        <x:v>90.09519605746344</x:v>
      </x:c>
      <x:c r="AV1407" s="32" t="n">
        <x:f>AM1407*60/v01_SeasonSeconds</x:f>
        <x:v>0</x:v>
      </x:c>
    </x:row>
    <x:row r="1408">
      <x:c r="A1408" s="8" t="n">
        <x:f>A1407+1</x:f>
        <x:v>1405</x:v>
      </x:c>
      <x:c r="B1408" s="9" t="n">
        <x:f>A1408*v01_SeasonSeconds/60</x:f>
        <x:v>351.25</x:v>
      </x:c>
      <x:c r="C1408" s="9" t="n">
        <x:f>A1408/4</x:f>
        <x:v>351.25</x:v>
      </x:c>
      <x:c r="D1408" s="8" t="n">
        <x:f>IF(MOD(A1408,4)=0,1,0)</x:f>
        <x:v>0</x:v>
      </x:c>
      <x:c r="E1408" s="8" t="n">
        <x:f>IF(AND(F1407&lt;=9,AS1407&gt;=AR1407),1,0)</x:f>
        <x:v>0</x:v>
      </x:c>
      <x:c r="F1408" s="8" t="n">
        <x:f>MIN(10,F1407+E1408)</x:f>
        <x:v>10</x:v>
      </x:c>
      <x:c r="G1408" s="8" t="n">
        <x:f>MIN(F1408,9)+1</x:f>
        <x:v>10</x:v>
      </x:c>
      <x:c r="H1408" s="8" t="n">
        <x:f>IF(F1408&lt;=9,1,0)</x:f>
        <x:v>0</x:v>
      </x:c>
      <x:c r="I1408" s="9" t="n">
        <x:f>MIN(10,F1407+IF(AR1407&gt;0,MIN(1,AS1407/AR1407),1))</x:f>
        <x:v>10</x:v>
      </x:c>
      <x:c r="J1408" s="32" t="n">
        <x:f>INDEX(v01_FoodCap,G1408)*Arch_FoodCap*EXP(v01_CapsByProject*SUMPRODUCT((Cap_Point&lt;=I1408)*(Cap_Kind="Food")*Cap_Ln))</x:f>
        <x:v>12000</x:v>
      </x:c>
      <x:c r="K1408" s="32" t="n">
        <x:f>J1408*MIN(1,v01_LeanBase*EXP(v01_CapsByProject*SUMPRODUCT((Cap_Point&lt;=I1408)*(Cap_Kind="Lean")*Cap_Ln)))</x:f>
        <x:v>12000</x:v>
      </x:c>
      <x:c r="L1408" s="10" t="n">
        <x:f>INDEX(v01_HousingCap,G1408)*EXP(v01_CapsByProject*SUMPRODUCT((Cap_Point&lt;=I1408)*(Cap_Kind="Housing")*Cap_Ln))</x:f>
        <x:v>20000</x:v>
      </x:c>
      <x:c r="M1408" s="10" t="n">
        <x:f>INDEX(v01_GroupCap,G1408)*v01_CohesionFactor*EXP(v01_CapsByProject*SUMPRODUCT((Cap_Point&lt;=I1408)*(Cap_Kind="Group")*Cap_Ln))</x:f>
        <x:v>1000000</x:v>
      </x:c>
      <x:c r="N1408" s="32" t="n">
        <x:f>MIN(J1408,L1408,M1408)</x:f>
        <x:v>12000</x:v>
      </x:c>
      <x:c r="O1408" s="10" t="n">
        <x:f>AE1407*N1408</x:f>
        <x:v>180000</x:v>
      </x:c>
      <x:c r="P1408" s="9" t="n">
        <x:f>MIN(1,(AB1407/(AE1407*IF(v01_GroupInCrowding=1,N1408,MIN(J1408,L1408))))^v01_CrowdingExp)</x:f>
        <x:v>0.00024569414295285325</x:v>
      </x:c>
      <x:c r="Q1408" s="9" t="n">
        <x:f>IF(D1408=1,INDEX(v01_WinterMult,G1408),1)</x:f>
        <x:v>1</x:v>
      </x:c>
      <x:c r="R1408" s="9" t="n">
        <x:f>H1408*Z1407*v01_WomenShare*v01_BaseFertility*INDEX(v01_FertMult,G1408)*Arch_Fertility*(1-P1408)</x:f>
        <x:v>0</x:v>
      </x:c>
      <x:c r="S1408" s="9" t="n">
        <x:f>H1408*Y1407*INDEX(v01_MortChild,G1408)/4*Q1408</x:f>
        <x:v>0</x:v>
      </x:c>
      <x:c r="T1408" s="9" t="n">
        <x:f>H1408*Z1407*INDEX(v01_MortAdult,G1408)*Arch_AdultMort/4*Q1408</x:f>
        <x:v>0</x:v>
      </x:c>
      <x:c r="U1408" s="9" t="n">
        <x:f>H1408*AA1407*INDEX(v01_MortElder,G1408)/4*Q1408</x:f>
        <x:v>0</x:v>
      </x:c>
      <x:c r="V1408" s="9" t="n">
        <x:f>H1408*MAX(0,AB1407-O1408)*v01_OvercapLoss</x:f>
        <x:v>0</x:v>
      </x:c>
      <x:c r="W1408" s="9" t="n">
        <x:f>H1408*Y1407/(v01_ChildYears*4)</x:f>
        <x:v>0</x:v>
      </x:c>
      <x:c r="X1408" s="9" t="n">
        <x:f>H1408*Z1407/(v01_AdultYears*4)</x:f>
        <x:v>0</x:v>
      </x:c>
      <x:c r="Y1408" s="32" t="n">
        <x:f>Y1407+R1408-S1408-W1408-Y1407*V1408/AB1407</x:f>
        <x:v>14306.18539759397</x:v>
      </x:c>
      <x:c r="Z1408" s="32" t="n">
        <x:f>Z1407+W1408-X1408-T1408-Z1407*V1408/AB1407</x:f>
        <x:v>19354.456567879548</x:v>
      </x:c>
      <x:c r="AA1408" s="32" t="n">
        <x:f>AA1407+X1408-U1408-AA1407*V1408/AB1407</x:f>
        <x:v>11386.956063258198</x:v>
      </x:c>
      <x:c r="AB1408" s="10" t="n">
        <x:f>Y1408+Z1408+AA1408</x:f>
        <x:v>45047.59802873172</x:v>
      </x:c>
      <x:c r="AC1408" s="8" t="n">
        <x:f>IF(AND(v01_WinterTrigger=1,D1408=1,AB1407/AE1407&gt;=K1408),1,0)</x:f>
        <x:v>0</x:v>
      </x:c>
      <x:c r="AD1408" s="8" t="n">
        <x:f>H1408*IF(AND(OR(AB1407/AE1407&gt;=v01_FissionTrigger*N1408,AC1408=1),AB1407/AE1407*v01_DaughterShare&gt;=v01_MinDaughter),MAX(1,ROUND(AE1407*v01_FissionRate,0)),0)</x:f>
        <x:v>0</x:v>
      </x:c>
      <x:c r="AE1408" s="8" t="n">
        <x:f>IF(H1408=1,MAX(1,MIN(INDEX(v01_Smax,G1408),AE1407+AD1408)),AE1407)</x:f>
        <x:v>15</x:v>
      </x:c>
      <x:c r="AF1408" s="8" t="n">
        <x:f>MAX(0,AE1408-AE1407)</x:f>
        <x:v>0</x:v>
      </x:c>
      <x:c r="AG1408" s="9" t="str">
        <x:f>IF(AF1408&gt;0,B1408,"")</x:f>
      </x:c>
      <x:c r="AH1408" s="9" t="n">
        <x:f>IF(F1408&gt;=1,1,(1+v01_LowTiesShare*(AE1408-1))/AE1408)</x:f>
        <x:v>1</x:v>
      </x:c>
      <x:c r="AI1408" s="32" t="n">
        <x:f>(Z1408+v01_ElderCommons*INDEX(LM_Elder,G1408)*AA1408)*AH1408</x:f>
        <x:v>64139.732591141874</x:v>
      </x:c>
      <x:c r="AJ1408" s="32" t="n">
        <x:f>H1408*v01_CommonsCoef*AI1408^v01_CommonsExp*INDEX(LM_Commons,G1408)</x:f>
        <x:v>0</x:v>
      </x:c>
      <x:c r="AK1408" s="32" t="n">
        <x:f>H1408*v01_RoleScale*Arch_Roles*(AE1408*(INDEX(v01_ElderRolePerSett,G1408)*v01_OutElder*INDEX(LM_Elder,G1408)+INDEX(v01_ShamanPerSett,G1408)*v01_OutShaman)+Z1408*(INDEX(v01_PriestShare,G1408)*v01_OutPriest+INDEX(v01_ScribeShare,G1408)*v01_OutScribe*INDEX(LM_Scribe,G1408)+INDEX(v01_ScholarShare,G1408)*v01_OutScholar*INDEX(LM_Scholar,G1408)+INDEX(v01_ResearcherShare,G1408)*v01_OutResearcher*INDEX(LM_Researcher,G1408)))</x:f>
        <x:v>0</x:v>
      </x:c>
      <x:c r="AL1408" s="32" t="n">
        <x:f>H1408*v01_RoleScale*Arch_Roles*AE1408*INDEX(v01_MonasteryPerSett,G1408)*v01_OutMonastery*INDEX(LM_Monastery,G1408)</x:f>
        <x:v>0</x:v>
      </x:c>
      <x:c r="AM1408" s="32" t="n">
        <x:f>(AJ1408+AK1408+AL1408)/4*INDEX(LM_All,G1408)*INDEX(v01_Boon,G1408)*Arch_Insight</x:f>
        <x:v>0</x:v>
      </x:c>
      <x:c r="AN1408" s="32" t="n">
        <x:f>H1408*(v01_KHPerAdult*Z1408+v01_KHOfCommons*AJ1408/4*INDEX(LM_All,G1408))*v01_KHUsable*Arch_KH</x:f>
        <x:v>0</x:v>
      </x:c>
      <x:c r="AO1408" s="32" t="n">
        <x:f>MIN(AP1407+AN1408,AM1408*v01_KHMaxRatio)</x:f>
        <x:v>0</x:v>
      </x:c>
      <x:c r="AP1408" s="32" t="n">
        <x:f>AP1407+AN1408-AO1408</x:f>
        <x:v>0</x:v>
      </x:c>
      <x:c r="AQ1408" s="32" t="n">
        <x:f>AM1408+AO1408</x:f>
        <x:v>0</x:v>
      </x:c>
      <x:c r="AR1408" s="10" t="n">
        <x:f>IF(H1408=1,INDEX(v01_Req,G1408),0)</x:f>
        <x:v>0</x:v>
      </x:c>
      <x:c r="AS1408" s="32" t="n">
        <x:f>IF(H1408=1,IF(E1408=1,AS1407-AR1407,AS1407)+AQ1408,0)</x:f>
        <x:v>0</x:v>
      </x:c>
      <x:c r="AT1408" s="11" t="n">
        <x:f>IF(AR1408&gt;0,MIN(1,AS1408/AR1408),1)</x:f>
        <x:v>1</x:v>
      </x:c>
      <x:c r="AU1408" s="10" t="n">
        <x:f>AB1408/INDEX(v01_RepScale,G1408)</x:f>
        <x:v>90.09519605746344</x:v>
      </x:c>
      <x:c r="AV1408" s="32" t="n">
        <x:f>AM1408*60/v01_SeasonSeconds</x:f>
        <x:v>0</x:v>
      </x:c>
    </x:row>
    <x:row r="1409">
      <x:c r="A1409" s="8" t="n">
        <x:f>A1408+1</x:f>
        <x:v>1406</x:v>
      </x:c>
      <x:c r="B1409" s="9" t="n">
        <x:f>A1409*v01_SeasonSeconds/60</x:f>
        <x:v>351.5</x:v>
      </x:c>
      <x:c r="C1409" s="9" t="n">
        <x:f>A1409/4</x:f>
        <x:v>351.5</x:v>
      </x:c>
      <x:c r="D1409" s="8" t="n">
        <x:f>IF(MOD(A1409,4)=0,1,0)</x:f>
        <x:v>0</x:v>
      </x:c>
      <x:c r="E1409" s="8" t="n">
        <x:f>IF(AND(F1408&lt;=9,AS1408&gt;=AR1408),1,0)</x:f>
        <x:v>0</x:v>
      </x:c>
      <x:c r="F1409" s="8" t="n">
        <x:f>MIN(10,F1408+E1409)</x:f>
        <x:v>10</x:v>
      </x:c>
      <x:c r="G1409" s="8" t="n">
        <x:f>MIN(F1409,9)+1</x:f>
        <x:v>10</x:v>
      </x:c>
      <x:c r="H1409" s="8" t="n">
        <x:f>IF(F1409&lt;=9,1,0)</x:f>
        <x:v>0</x:v>
      </x:c>
      <x:c r="I1409" s="9" t="n">
        <x:f>MIN(10,F1408+IF(AR1408&gt;0,MIN(1,AS1408/AR1408),1))</x:f>
        <x:v>10</x:v>
      </x:c>
      <x:c r="J1409" s="32" t="n">
        <x:f>INDEX(v01_FoodCap,G1409)*Arch_FoodCap*EXP(v01_CapsByProject*SUMPRODUCT((Cap_Point&lt;=I1409)*(Cap_Kind="Food")*Cap_Ln))</x:f>
        <x:v>12000</x:v>
      </x:c>
      <x:c r="K1409" s="32" t="n">
        <x:f>J1409*MIN(1,v01_LeanBase*EXP(v01_CapsByProject*SUMPRODUCT((Cap_Point&lt;=I1409)*(Cap_Kind="Lean")*Cap_Ln)))</x:f>
        <x:v>12000</x:v>
      </x:c>
      <x:c r="L1409" s="10" t="n">
        <x:f>INDEX(v01_HousingCap,G1409)*EXP(v01_CapsByProject*SUMPRODUCT((Cap_Point&lt;=I1409)*(Cap_Kind="Housing")*Cap_Ln))</x:f>
        <x:v>20000</x:v>
      </x:c>
      <x:c r="M1409" s="10" t="n">
        <x:f>INDEX(v01_GroupCap,G1409)*v01_CohesionFactor*EXP(v01_CapsByProject*SUMPRODUCT((Cap_Point&lt;=I1409)*(Cap_Kind="Group")*Cap_Ln))</x:f>
        <x:v>1000000</x:v>
      </x:c>
      <x:c r="N1409" s="32" t="n">
        <x:f>MIN(J1409,L1409,M1409)</x:f>
        <x:v>12000</x:v>
      </x:c>
      <x:c r="O1409" s="10" t="n">
        <x:f>AE1408*N1409</x:f>
        <x:v>180000</x:v>
      </x:c>
      <x:c r="P1409" s="9" t="n">
        <x:f>MIN(1,(AB1408/(AE1408*IF(v01_GroupInCrowding=1,N1409,MIN(J1409,L1409))))^v01_CrowdingExp)</x:f>
        <x:v>0.00024569414295285325</x:v>
      </x:c>
      <x:c r="Q1409" s="9" t="n">
        <x:f>IF(D1409=1,INDEX(v01_WinterMult,G1409),1)</x:f>
        <x:v>1</x:v>
      </x:c>
      <x:c r="R1409" s="9" t="n">
        <x:f>H1409*Z1408*v01_WomenShare*v01_BaseFertility*INDEX(v01_FertMult,G1409)*Arch_Fertility*(1-P1409)</x:f>
        <x:v>0</x:v>
      </x:c>
      <x:c r="S1409" s="9" t="n">
        <x:f>H1409*Y1408*INDEX(v01_MortChild,G1409)/4*Q1409</x:f>
        <x:v>0</x:v>
      </x:c>
      <x:c r="T1409" s="9" t="n">
        <x:f>H1409*Z1408*INDEX(v01_MortAdult,G1409)*Arch_AdultMort/4*Q1409</x:f>
        <x:v>0</x:v>
      </x:c>
      <x:c r="U1409" s="9" t="n">
        <x:f>H1409*AA1408*INDEX(v01_MortElder,G1409)/4*Q1409</x:f>
        <x:v>0</x:v>
      </x:c>
      <x:c r="V1409" s="9" t="n">
        <x:f>H1409*MAX(0,AB1408-O1409)*v01_OvercapLoss</x:f>
        <x:v>0</x:v>
      </x:c>
      <x:c r="W1409" s="9" t="n">
        <x:f>H1409*Y1408/(v01_ChildYears*4)</x:f>
        <x:v>0</x:v>
      </x:c>
      <x:c r="X1409" s="9" t="n">
        <x:f>H1409*Z1408/(v01_AdultYears*4)</x:f>
        <x:v>0</x:v>
      </x:c>
      <x:c r="Y1409" s="32" t="n">
        <x:f>Y1408+R1409-S1409-W1409-Y1408*V1409/AB1408</x:f>
        <x:v>14306.18539759397</x:v>
      </x:c>
      <x:c r="Z1409" s="32" t="n">
        <x:f>Z1408+W1409-X1409-T1409-Z1408*V1409/AB1408</x:f>
        <x:v>19354.456567879548</x:v>
      </x:c>
      <x:c r="AA1409" s="32" t="n">
        <x:f>AA1408+X1409-U1409-AA1408*V1409/AB1408</x:f>
        <x:v>11386.956063258198</x:v>
      </x:c>
      <x:c r="AB1409" s="10" t="n">
        <x:f>Y1409+Z1409+AA1409</x:f>
        <x:v>45047.59802873172</x:v>
      </x:c>
      <x:c r="AC1409" s="8" t="n">
        <x:f>IF(AND(v01_WinterTrigger=1,D1409=1,AB1408/AE1408&gt;=K1409),1,0)</x:f>
        <x:v>0</x:v>
      </x:c>
      <x:c r="AD1409" s="8" t="n">
        <x:f>H1409*IF(AND(OR(AB1408/AE1408&gt;=v01_FissionTrigger*N1409,AC1409=1),AB1408/AE1408*v01_DaughterShare&gt;=v01_MinDaughter),MAX(1,ROUND(AE1408*v01_FissionRate,0)),0)</x:f>
        <x:v>0</x:v>
      </x:c>
      <x:c r="AE1409" s="8" t="n">
        <x:f>IF(H1409=1,MAX(1,MIN(INDEX(v01_Smax,G1409),AE1408+AD1409)),AE1408)</x:f>
        <x:v>15</x:v>
      </x:c>
      <x:c r="AF1409" s="8" t="n">
        <x:f>MAX(0,AE1409-AE1408)</x:f>
        <x:v>0</x:v>
      </x:c>
      <x:c r="AG1409" s="9" t="str">
        <x:f>IF(AF1409&gt;0,B1409,"")</x:f>
      </x:c>
      <x:c r="AH1409" s="9" t="n">
        <x:f>IF(F1409&gt;=1,1,(1+v01_LowTiesShare*(AE1409-1))/AE1409)</x:f>
        <x:v>1</x:v>
      </x:c>
      <x:c r="AI1409" s="32" t="n">
        <x:f>(Z1409+v01_ElderCommons*INDEX(LM_Elder,G1409)*AA1409)*AH1409</x:f>
        <x:v>64139.732591141874</x:v>
      </x:c>
      <x:c r="AJ1409" s="32" t="n">
        <x:f>H1409*v01_CommonsCoef*AI1409^v01_CommonsExp*INDEX(LM_Commons,G1409)</x:f>
        <x:v>0</x:v>
      </x:c>
      <x:c r="AK1409" s="32" t="n">
        <x:f>H1409*v01_RoleScale*Arch_Roles*(AE1409*(INDEX(v01_ElderRolePerSett,G1409)*v01_OutElder*INDEX(LM_Elder,G1409)+INDEX(v01_ShamanPerSett,G1409)*v01_OutShaman)+Z1409*(INDEX(v01_PriestShare,G1409)*v01_OutPriest+INDEX(v01_ScribeShare,G1409)*v01_OutScribe*INDEX(LM_Scribe,G1409)+INDEX(v01_ScholarShare,G1409)*v01_OutScholar*INDEX(LM_Scholar,G1409)+INDEX(v01_ResearcherShare,G1409)*v01_OutResearcher*INDEX(LM_Researcher,G1409)))</x:f>
        <x:v>0</x:v>
      </x:c>
      <x:c r="AL1409" s="32" t="n">
        <x:f>H1409*v01_RoleScale*Arch_Roles*AE1409*INDEX(v01_MonasteryPerSett,G1409)*v01_OutMonastery*INDEX(LM_Monastery,G1409)</x:f>
        <x:v>0</x:v>
      </x:c>
      <x:c r="AM1409" s="32" t="n">
        <x:f>(AJ1409+AK1409+AL1409)/4*INDEX(LM_All,G1409)*INDEX(v01_Boon,G1409)*Arch_Insight</x:f>
        <x:v>0</x:v>
      </x:c>
      <x:c r="AN1409" s="32" t="n">
        <x:f>H1409*(v01_KHPerAdult*Z1409+v01_KHOfCommons*AJ1409/4*INDEX(LM_All,G1409))*v01_KHUsable*Arch_KH</x:f>
        <x:v>0</x:v>
      </x:c>
      <x:c r="AO1409" s="32" t="n">
        <x:f>MIN(AP1408+AN1409,AM1409*v01_KHMaxRatio)</x:f>
        <x:v>0</x:v>
      </x:c>
      <x:c r="AP1409" s="32" t="n">
        <x:f>AP1408+AN1409-AO1409</x:f>
        <x:v>0</x:v>
      </x:c>
      <x:c r="AQ1409" s="32" t="n">
        <x:f>AM1409+AO1409</x:f>
        <x:v>0</x:v>
      </x:c>
      <x:c r="AR1409" s="10" t="n">
        <x:f>IF(H1409=1,INDEX(v01_Req,G1409),0)</x:f>
        <x:v>0</x:v>
      </x:c>
      <x:c r="AS1409" s="32" t="n">
        <x:f>IF(H1409=1,IF(E1409=1,AS1408-AR1408,AS1408)+AQ1409,0)</x:f>
        <x:v>0</x:v>
      </x:c>
      <x:c r="AT1409" s="11" t="n">
        <x:f>IF(AR1409&gt;0,MIN(1,AS1409/AR1409),1)</x:f>
        <x:v>1</x:v>
      </x:c>
      <x:c r="AU1409" s="10" t="n">
        <x:f>AB1409/INDEX(v01_RepScale,G1409)</x:f>
        <x:v>90.09519605746344</x:v>
      </x:c>
      <x:c r="AV1409" s="32" t="n">
        <x:f>AM1409*60/v01_SeasonSeconds</x:f>
        <x:v>0</x:v>
      </x:c>
    </x:row>
    <x:row r="1410">
      <x:c r="A1410" s="8" t="n">
        <x:f>A1409+1</x:f>
        <x:v>1407</x:v>
      </x:c>
      <x:c r="B1410" s="9" t="n">
        <x:f>A1410*v01_SeasonSeconds/60</x:f>
        <x:v>351.75</x:v>
      </x:c>
      <x:c r="C1410" s="9" t="n">
        <x:f>A1410/4</x:f>
        <x:v>351.75</x:v>
      </x:c>
      <x:c r="D1410" s="8" t="n">
        <x:f>IF(MOD(A1410,4)=0,1,0)</x:f>
        <x:v>0</x:v>
      </x:c>
      <x:c r="E1410" s="8" t="n">
        <x:f>IF(AND(F1409&lt;=9,AS1409&gt;=AR1409),1,0)</x:f>
        <x:v>0</x:v>
      </x:c>
      <x:c r="F1410" s="8" t="n">
        <x:f>MIN(10,F1409+E1410)</x:f>
        <x:v>10</x:v>
      </x:c>
      <x:c r="G1410" s="8" t="n">
        <x:f>MIN(F1410,9)+1</x:f>
        <x:v>10</x:v>
      </x:c>
      <x:c r="H1410" s="8" t="n">
        <x:f>IF(F1410&lt;=9,1,0)</x:f>
        <x:v>0</x:v>
      </x:c>
      <x:c r="I1410" s="9" t="n">
        <x:f>MIN(10,F1409+IF(AR1409&gt;0,MIN(1,AS1409/AR1409),1))</x:f>
        <x:v>10</x:v>
      </x:c>
      <x:c r="J1410" s="32" t="n">
        <x:f>INDEX(v01_FoodCap,G1410)*Arch_FoodCap*EXP(v01_CapsByProject*SUMPRODUCT((Cap_Point&lt;=I1410)*(Cap_Kind="Food")*Cap_Ln))</x:f>
        <x:v>12000</x:v>
      </x:c>
      <x:c r="K1410" s="32" t="n">
        <x:f>J1410*MIN(1,v01_LeanBase*EXP(v01_CapsByProject*SUMPRODUCT((Cap_Point&lt;=I1410)*(Cap_Kind="Lean")*Cap_Ln)))</x:f>
        <x:v>12000</x:v>
      </x:c>
      <x:c r="L1410" s="10" t="n">
        <x:f>INDEX(v01_HousingCap,G1410)*EXP(v01_CapsByProject*SUMPRODUCT((Cap_Point&lt;=I1410)*(Cap_Kind="Housing")*Cap_Ln))</x:f>
        <x:v>20000</x:v>
      </x:c>
      <x:c r="M1410" s="10" t="n">
        <x:f>INDEX(v01_GroupCap,G1410)*v01_CohesionFactor*EXP(v01_CapsByProject*SUMPRODUCT((Cap_Point&lt;=I1410)*(Cap_Kind="Group")*Cap_Ln))</x:f>
        <x:v>1000000</x:v>
      </x:c>
      <x:c r="N1410" s="32" t="n">
        <x:f>MIN(J1410,L1410,M1410)</x:f>
        <x:v>12000</x:v>
      </x:c>
      <x:c r="O1410" s="10" t="n">
        <x:f>AE1409*N1410</x:f>
        <x:v>180000</x:v>
      </x:c>
      <x:c r="P1410" s="9" t="n">
        <x:f>MIN(1,(AB1409/(AE1409*IF(v01_GroupInCrowding=1,N1410,MIN(J1410,L1410))))^v01_CrowdingExp)</x:f>
        <x:v>0.00024569414295285325</x:v>
      </x:c>
      <x:c r="Q1410" s="9" t="n">
        <x:f>IF(D1410=1,INDEX(v01_WinterMult,G1410),1)</x:f>
        <x:v>1</x:v>
      </x:c>
      <x:c r="R1410" s="9" t="n">
        <x:f>H1410*Z1409*v01_WomenShare*v01_BaseFertility*INDEX(v01_FertMult,G1410)*Arch_Fertility*(1-P1410)</x:f>
        <x:v>0</x:v>
      </x:c>
      <x:c r="S1410" s="9" t="n">
        <x:f>H1410*Y1409*INDEX(v01_MortChild,G1410)/4*Q1410</x:f>
        <x:v>0</x:v>
      </x:c>
      <x:c r="T1410" s="9" t="n">
        <x:f>H1410*Z1409*INDEX(v01_MortAdult,G1410)*Arch_AdultMort/4*Q1410</x:f>
        <x:v>0</x:v>
      </x:c>
      <x:c r="U1410" s="9" t="n">
        <x:f>H1410*AA1409*INDEX(v01_MortElder,G1410)/4*Q1410</x:f>
        <x:v>0</x:v>
      </x:c>
      <x:c r="V1410" s="9" t="n">
        <x:f>H1410*MAX(0,AB1409-O1410)*v01_OvercapLoss</x:f>
        <x:v>0</x:v>
      </x:c>
      <x:c r="W1410" s="9" t="n">
        <x:f>H1410*Y1409/(v01_ChildYears*4)</x:f>
        <x:v>0</x:v>
      </x:c>
      <x:c r="X1410" s="9" t="n">
        <x:f>H1410*Z1409/(v01_AdultYears*4)</x:f>
        <x:v>0</x:v>
      </x:c>
      <x:c r="Y1410" s="32" t="n">
        <x:f>Y1409+R1410-S1410-W1410-Y1409*V1410/AB1409</x:f>
        <x:v>14306.18539759397</x:v>
      </x:c>
      <x:c r="Z1410" s="32" t="n">
        <x:f>Z1409+W1410-X1410-T1410-Z1409*V1410/AB1409</x:f>
        <x:v>19354.456567879548</x:v>
      </x:c>
      <x:c r="AA1410" s="32" t="n">
        <x:f>AA1409+X1410-U1410-AA1409*V1410/AB1409</x:f>
        <x:v>11386.956063258198</x:v>
      </x:c>
      <x:c r="AB1410" s="10" t="n">
        <x:f>Y1410+Z1410+AA1410</x:f>
        <x:v>45047.59802873172</x:v>
      </x:c>
      <x:c r="AC1410" s="8" t="n">
        <x:f>IF(AND(v01_WinterTrigger=1,D1410=1,AB1409/AE1409&gt;=K1410),1,0)</x:f>
        <x:v>0</x:v>
      </x:c>
      <x:c r="AD1410" s="8" t="n">
        <x:f>H1410*IF(AND(OR(AB1409/AE1409&gt;=v01_FissionTrigger*N1410,AC1410=1),AB1409/AE1409*v01_DaughterShare&gt;=v01_MinDaughter),MAX(1,ROUND(AE1409*v01_FissionRate,0)),0)</x:f>
        <x:v>0</x:v>
      </x:c>
      <x:c r="AE1410" s="8" t="n">
        <x:f>IF(H1410=1,MAX(1,MIN(INDEX(v01_Smax,G1410),AE1409+AD1410)),AE1409)</x:f>
        <x:v>15</x:v>
      </x:c>
      <x:c r="AF1410" s="8" t="n">
        <x:f>MAX(0,AE1410-AE1409)</x:f>
        <x:v>0</x:v>
      </x:c>
      <x:c r="AG1410" s="9" t="str">
        <x:f>IF(AF1410&gt;0,B1410,"")</x:f>
      </x:c>
      <x:c r="AH1410" s="9" t="n">
        <x:f>IF(F1410&gt;=1,1,(1+v01_LowTiesShare*(AE1410-1))/AE1410)</x:f>
        <x:v>1</x:v>
      </x:c>
      <x:c r="AI1410" s="32" t="n">
        <x:f>(Z1410+v01_ElderCommons*INDEX(LM_Elder,G1410)*AA1410)*AH1410</x:f>
        <x:v>64139.732591141874</x:v>
      </x:c>
      <x:c r="AJ1410" s="32" t="n">
        <x:f>H1410*v01_CommonsCoef*AI1410^v01_CommonsExp*INDEX(LM_Commons,G1410)</x:f>
        <x:v>0</x:v>
      </x:c>
      <x:c r="AK1410" s="32" t="n">
        <x:f>H1410*v01_RoleScale*Arch_Roles*(AE1410*(INDEX(v01_ElderRolePerSett,G1410)*v01_OutElder*INDEX(LM_Elder,G1410)+INDEX(v01_ShamanPerSett,G1410)*v01_OutShaman)+Z1410*(INDEX(v01_PriestShare,G1410)*v01_OutPriest+INDEX(v01_ScribeShare,G1410)*v01_OutScribe*INDEX(LM_Scribe,G1410)+INDEX(v01_ScholarShare,G1410)*v01_OutScholar*INDEX(LM_Scholar,G1410)+INDEX(v01_ResearcherShare,G1410)*v01_OutResearcher*INDEX(LM_Researcher,G1410)))</x:f>
        <x:v>0</x:v>
      </x:c>
      <x:c r="AL1410" s="32" t="n">
        <x:f>H1410*v01_RoleScale*Arch_Roles*AE1410*INDEX(v01_MonasteryPerSett,G1410)*v01_OutMonastery*INDEX(LM_Monastery,G1410)</x:f>
        <x:v>0</x:v>
      </x:c>
      <x:c r="AM1410" s="32" t="n">
        <x:f>(AJ1410+AK1410+AL1410)/4*INDEX(LM_All,G1410)*INDEX(v01_Boon,G1410)*Arch_Insight</x:f>
        <x:v>0</x:v>
      </x:c>
      <x:c r="AN1410" s="32" t="n">
        <x:f>H1410*(v01_KHPerAdult*Z1410+v01_KHOfCommons*AJ1410/4*INDEX(LM_All,G1410))*v01_KHUsable*Arch_KH</x:f>
        <x:v>0</x:v>
      </x:c>
      <x:c r="AO1410" s="32" t="n">
        <x:f>MIN(AP1409+AN1410,AM1410*v01_KHMaxRatio)</x:f>
        <x:v>0</x:v>
      </x:c>
      <x:c r="AP1410" s="32" t="n">
        <x:f>AP1409+AN1410-AO1410</x:f>
        <x:v>0</x:v>
      </x:c>
      <x:c r="AQ1410" s="32" t="n">
        <x:f>AM1410+AO1410</x:f>
        <x:v>0</x:v>
      </x:c>
      <x:c r="AR1410" s="10" t="n">
        <x:f>IF(H1410=1,INDEX(v01_Req,G1410),0)</x:f>
        <x:v>0</x:v>
      </x:c>
      <x:c r="AS1410" s="32" t="n">
        <x:f>IF(H1410=1,IF(E1410=1,AS1409-AR1409,AS1409)+AQ1410,0)</x:f>
        <x:v>0</x:v>
      </x:c>
      <x:c r="AT1410" s="11" t="n">
        <x:f>IF(AR1410&gt;0,MIN(1,AS1410/AR1410),1)</x:f>
        <x:v>1</x:v>
      </x:c>
      <x:c r="AU1410" s="10" t="n">
        <x:f>AB1410/INDEX(v01_RepScale,G1410)</x:f>
        <x:v>90.09519605746344</x:v>
      </x:c>
      <x:c r="AV1410" s="32" t="n">
        <x:f>AM1410*60/v01_SeasonSeconds</x:f>
        <x:v>0</x:v>
      </x:c>
    </x:row>
    <x:row r="1411">
      <x:c r="A1411" s="8" t="n">
        <x:f>A1410+1</x:f>
        <x:v>1408</x:v>
      </x:c>
      <x:c r="B1411" s="9" t="n">
        <x:f>A1411*v01_SeasonSeconds/60</x:f>
        <x:v>352</x:v>
      </x:c>
      <x:c r="C1411" s="9" t="n">
        <x:f>A1411/4</x:f>
        <x:v>352</x:v>
      </x:c>
      <x:c r="D1411" s="8" t="n">
        <x:f>IF(MOD(A1411,4)=0,1,0)</x:f>
        <x:v>1</x:v>
      </x:c>
      <x:c r="E1411" s="8" t="n">
        <x:f>IF(AND(F1410&lt;=9,AS1410&gt;=AR1410),1,0)</x:f>
        <x:v>0</x:v>
      </x:c>
      <x:c r="F1411" s="8" t="n">
        <x:f>MIN(10,F1410+E1411)</x:f>
        <x:v>10</x:v>
      </x:c>
      <x:c r="G1411" s="8" t="n">
        <x:f>MIN(F1411,9)+1</x:f>
        <x:v>10</x:v>
      </x:c>
      <x:c r="H1411" s="8" t="n">
        <x:f>IF(F1411&lt;=9,1,0)</x:f>
        <x:v>0</x:v>
      </x:c>
      <x:c r="I1411" s="9" t="n">
        <x:f>MIN(10,F1410+IF(AR1410&gt;0,MIN(1,AS1410/AR1410),1))</x:f>
        <x:v>10</x:v>
      </x:c>
      <x:c r="J1411" s="32" t="n">
        <x:f>INDEX(v01_FoodCap,G1411)*Arch_FoodCap*EXP(v01_CapsByProject*SUMPRODUCT((Cap_Point&lt;=I1411)*(Cap_Kind="Food")*Cap_Ln))</x:f>
        <x:v>12000</x:v>
      </x:c>
      <x:c r="K1411" s="32" t="n">
        <x:f>J1411*MIN(1,v01_LeanBase*EXP(v01_CapsByProject*SUMPRODUCT((Cap_Point&lt;=I1411)*(Cap_Kind="Lean")*Cap_Ln)))</x:f>
        <x:v>12000</x:v>
      </x:c>
      <x:c r="L1411" s="10" t="n">
        <x:f>INDEX(v01_HousingCap,G1411)*EXP(v01_CapsByProject*SUMPRODUCT((Cap_Point&lt;=I1411)*(Cap_Kind="Housing")*Cap_Ln))</x:f>
        <x:v>20000</x:v>
      </x:c>
      <x:c r="M1411" s="10" t="n">
        <x:f>INDEX(v01_GroupCap,G1411)*v01_CohesionFactor*EXP(v01_CapsByProject*SUMPRODUCT((Cap_Point&lt;=I1411)*(Cap_Kind="Group")*Cap_Ln))</x:f>
        <x:v>1000000</x:v>
      </x:c>
      <x:c r="N1411" s="32" t="n">
        <x:f>MIN(J1411,L1411,M1411)</x:f>
        <x:v>12000</x:v>
      </x:c>
      <x:c r="O1411" s="10" t="n">
        <x:f>AE1410*N1411</x:f>
        <x:v>180000</x:v>
      </x:c>
      <x:c r="P1411" s="9" t="n">
        <x:f>MIN(1,(AB1410/(AE1410*IF(v01_GroupInCrowding=1,N1411,MIN(J1411,L1411))))^v01_CrowdingExp)</x:f>
        <x:v>0.00024569414295285325</x:v>
      </x:c>
      <x:c r="Q1411" s="9" t="n">
        <x:f>IF(D1411=1,INDEX(v01_WinterMult,G1411),1)</x:f>
        <x:v>1</x:v>
      </x:c>
      <x:c r="R1411" s="9" t="n">
        <x:f>H1411*Z1410*v01_WomenShare*v01_BaseFertility*INDEX(v01_FertMult,G1411)*Arch_Fertility*(1-P1411)</x:f>
        <x:v>0</x:v>
      </x:c>
      <x:c r="S1411" s="9" t="n">
        <x:f>H1411*Y1410*INDEX(v01_MortChild,G1411)/4*Q1411</x:f>
        <x:v>0</x:v>
      </x:c>
      <x:c r="T1411" s="9" t="n">
        <x:f>H1411*Z1410*INDEX(v01_MortAdult,G1411)*Arch_AdultMort/4*Q1411</x:f>
        <x:v>0</x:v>
      </x:c>
      <x:c r="U1411" s="9" t="n">
        <x:f>H1411*AA1410*INDEX(v01_MortElder,G1411)/4*Q1411</x:f>
        <x:v>0</x:v>
      </x:c>
      <x:c r="V1411" s="9" t="n">
        <x:f>H1411*MAX(0,AB1410-O1411)*v01_OvercapLoss</x:f>
        <x:v>0</x:v>
      </x:c>
      <x:c r="W1411" s="9" t="n">
        <x:f>H1411*Y1410/(v01_ChildYears*4)</x:f>
        <x:v>0</x:v>
      </x:c>
      <x:c r="X1411" s="9" t="n">
        <x:f>H1411*Z1410/(v01_AdultYears*4)</x:f>
        <x:v>0</x:v>
      </x:c>
      <x:c r="Y1411" s="32" t="n">
        <x:f>Y1410+R1411-S1411-W1411-Y1410*V1411/AB1410</x:f>
        <x:v>14306.18539759397</x:v>
      </x:c>
      <x:c r="Z1411" s="32" t="n">
        <x:f>Z1410+W1411-X1411-T1411-Z1410*V1411/AB1410</x:f>
        <x:v>19354.456567879548</x:v>
      </x:c>
      <x:c r="AA1411" s="32" t="n">
        <x:f>AA1410+X1411-U1411-AA1410*V1411/AB1410</x:f>
        <x:v>11386.956063258198</x:v>
      </x:c>
      <x:c r="AB1411" s="10" t="n">
        <x:f>Y1411+Z1411+AA1411</x:f>
        <x:v>45047.59802873172</x:v>
      </x:c>
      <x:c r="AC1411" s="8" t="n">
        <x:f>IF(AND(v01_WinterTrigger=1,D1411=1,AB1410/AE1410&gt;=K1411),1,0)</x:f>
        <x:v>0</x:v>
      </x:c>
      <x:c r="AD1411" s="8" t="n">
        <x:f>H1411*IF(AND(OR(AB1410/AE1410&gt;=v01_FissionTrigger*N1411,AC1411=1),AB1410/AE1410*v01_DaughterShare&gt;=v01_MinDaughter),MAX(1,ROUND(AE1410*v01_FissionRate,0)),0)</x:f>
        <x:v>0</x:v>
      </x:c>
      <x:c r="AE1411" s="8" t="n">
        <x:f>IF(H1411=1,MAX(1,MIN(INDEX(v01_Smax,G1411),AE1410+AD1411)),AE1410)</x:f>
        <x:v>15</x:v>
      </x:c>
      <x:c r="AF1411" s="8" t="n">
        <x:f>MAX(0,AE1411-AE1410)</x:f>
        <x:v>0</x:v>
      </x:c>
      <x:c r="AG1411" s="9" t="str">
        <x:f>IF(AF1411&gt;0,B1411,"")</x:f>
      </x:c>
      <x:c r="AH1411" s="9" t="n">
        <x:f>IF(F1411&gt;=1,1,(1+v01_LowTiesShare*(AE1411-1))/AE1411)</x:f>
        <x:v>1</x:v>
      </x:c>
      <x:c r="AI1411" s="32" t="n">
        <x:f>(Z1411+v01_ElderCommons*INDEX(LM_Elder,G1411)*AA1411)*AH1411</x:f>
        <x:v>64139.732591141874</x:v>
      </x:c>
      <x:c r="AJ1411" s="32" t="n">
        <x:f>H1411*v01_CommonsCoef*AI1411^v01_CommonsExp*INDEX(LM_Commons,G1411)</x:f>
        <x:v>0</x:v>
      </x:c>
      <x:c r="AK1411" s="32" t="n">
        <x:f>H1411*v01_RoleScale*Arch_Roles*(AE1411*(INDEX(v01_ElderRolePerSett,G1411)*v01_OutElder*INDEX(LM_Elder,G1411)+INDEX(v01_ShamanPerSett,G1411)*v01_OutShaman)+Z1411*(INDEX(v01_PriestShare,G1411)*v01_OutPriest+INDEX(v01_ScribeShare,G1411)*v01_OutScribe*INDEX(LM_Scribe,G1411)+INDEX(v01_ScholarShare,G1411)*v01_OutScholar*INDEX(LM_Scholar,G1411)+INDEX(v01_ResearcherShare,G1411)*v01_OutResearcher*INDEX(LM_Researcher,G1411)))</x:f>
        <x:v>0</x:v>
      </x:c>
      <x:c r="AL1411" s="32" t="n">
        <x:f>H1411*v01_RoleScale*Arch_Roles*AE1411*INDEX(v01_MonasteryPerSett,G1411)*v01_OutMonastery*INDEX(LM_Monastery,G1411)</x:f>
        <x:v>0</x:v>
      </x:c>
      <x:c r="AM1411" s="32" t="n">
        <x:f>(AJ1411+AK1411+AL1411)/4*INDEX(LM_All,G1411)*INDEX(v01_Boon,G1411)*Arch_Insight</x:f>
        <x:v>0</x:v>
      </x:c>
      <x:c r="AN1411" s="32" t="n">
        <x:f>H1411*(v01_KHPerAdult*Z1411+v01_KHOfCommons*AJ1411/4*INDEX(LM_All,G1411))*v01_KHUsable*Arch_KH</x:f>
        <x:v>0</x:v>
      </x:c>
      <x:c r="AO1411" s="32" t="n">
        <x:f>MIN(AP1410+AN1411,AM1411*v01_KHMaxRatio)</x:f>
        <x:v>0</x:v>
      </x:c>
      <x:c r="AP1411" s="32" t="n">
        <x:f>AP1410+AN1411-AO1411</x:f>
        <x:v>0</x:v>
      </x:c>
      <x:c r="AQ1411" s="32" t="n">
        <x:f>AM1411+AO1411</x:f>
        <x:v>0</x:v>
      </x:c>
      <x:c r="AR1411" s="10" t="n">
        <x:f>IF(H1411=1,INDEX(v01_Req,G1411),0)</x:f>
        <x:v>0</x:v>
      </x:c>
      <x:c r="AS1411" s="32" t="n">
        <x:f>IF(H1411=1,IF(E1411=1,AS1410-AR1410,AS1410)+AQ1411,0)</x:f>
        <x:v>0</x:v>
      </x:c>
      <x:c r="AT1411" s="11" t="n">
        <x:f>IF(AR1411&gt;0,MIN(1,AS1411/AR1411),1)</x:f>
        <x:v>1</x:v>
      </x:c>
      <x:c r="AU1411" s="10" t="n">
        <x:f>AB1411/INDEX(v01_RepScale,G1411)</x:f>
        <x:v>90.09519605746344</x:v>
      </x:c>
      <x:c r="AV1411" s="32" t="n">
        <x:f>AM1411*60/v01_SeasonSeconds</x:f>
        <x:v>0</x:v>
      </x:c>
    </x:row>
    <x:row r="1412">
      <x:c r="A1412" s="8" t="n">
        <x:f>A1411+1</x:f>
        <x:v>1409</x:v>
      </x:c>
      <x:c r="B1412" s="9" t="n">
        <x:f>A1412*v01_SeasonSeconds/60</x:f>
        <x:v>352.25</x:v>
      </x:c>
      <x:c r="C1412" s="9" t="n">
        <x:f>A1412/4</x:f>
        <x:v>352.25</x:v>
      </x:c>
      <x:c r="D1412" s="8" t="n">
        <x:f>IF(MOD(A1412,4)=0,1,0)</x:f>
        <x:v>0</x:v>
      </x:c>
      <x:c r="E1412" s="8" t="n">
        <x:f>IF(AND(F1411&lt;=9,AS1411&gt;=AR1411),1,0)</x:f>
        <x:v>0</x:v>
      </x:c>
      <x:c r="F1412" s="8" t="n">
        <x:f>MIN(10,F1411+E1412)</x:f>
        <x:v>10</x:v>
      </x:c>
      <x:c r="G1412" s="8" t="n">
        <x:f>MIN(F1412,9)+1</x:f>
        <x:v>10</x:v>
      </x:c>
      <x:c r="H1412" s="8" t="n">
        <x:f>IF(F1412&lt;=9,1,0)</x:f>
        <x:v>0</x:v>
      </x:c>
      <x:c r="I1412" s="9" t="n">
        <x:f>MIN(10,F1411+IF(AR1411&gt;0,MIN(1,AS1411/AR1411),1))</x:f>
        <x:v>10</x:v>
      </x:c>
      <x:c r="J1412" s="32" t="n">
        <x:f>INDEX(v01_FoodCap,G1412)*Arch_FoodCap*EXP(v01_CapsByProject*SUMPRODUCT((Cap_Point&lt;=I1412)*(Cap_Kind="Food")*Cap_Ln))</x:f>
        <x:v>12000</x:v>
      </x:c>
      <x:c r="K1412" s="32" t="n">
        <x:f>J1412*MIN(1,v01_LeanBase*EXP(v01_CapsByProject*SUMPRODUCT((Cap_Point&lt;=I1412)*(Cap_Kind="Lean")*Cap_Ln)))</x:f>
        <x:v>12000</x:v>
      </x:c>
      <x:c r="L1412" s="10" t="n">
        <x:f>INDEX(v01_HousingCap,G1412)*EXP(v01_CapsByProject*SUMPRODUCT((Cap_Point&lt;=I1412)*(Cap_Kind="Housing")*Cap_Ln))</x:f>
        <x:v>20000</x:v>
      </x:c>
      <x:c r="M1412" s="10" t="n">
        <x:f>INDEX(v01_GroupCap,G1412)*v01_CohesionFactor*EXP(v01_CapsByProject*SUMPRODUCT((Cap_Point&lt;=I1412)*(Cap_Kind="Group")*Cap_Ln))</x:f>
        <x:v>1000000</x:v>
      </x:c>
      <x:c r="N1412" s="32" t="n">
        <x:f>MIN(J1412,L1412,M1412)</x:f>
        <x:v>12000</x:v>
      </x:c>
      <x:c r="O1412" s="10" t="n">
        <x:f>AE1411*N1412</x:f>
        <x:v>180000</x:v>
      </x:c>
      <x:c r="P1412" s="9" t="n">
        <x:f>MIN(1,(AB1411/(AE1411*IF(v01_GroupInCrowding=1,N1412,MIN(J1412,L1412))))^v01_CrowdingExp)</x:f>
        <x:v>0.00024569414295285325</x:v>
      </x:c>
      <x:c r="Q1412" s="9" t="n">
        <x:f>IF(D1412=1,INDEX(v01_WinterMult,G1412),1)</x:f>
        <x:v>1</x:v>
      </x:c>
      <x:c r="R1412" s="9" t="n">
        <x:f>H1412*Z1411*v01_WomenShare*v01_BaseFertility*INDEX(v01_FertMult,G1412)*Arch_Fertility*(1-P1412)</x:f>
        <x:v>0</x:v>
      </x:c>
      <x:c r="S1412" s="9" t="n">
        <x:f>H1412*Y1411*INDEX(v01_MortChild,G1412)/4*Q1412</x:f>
        <x:v>0</x:v>
      </x:c>
      <x:c r="T1412" s="9" t="n">
        <x:f>H1412*Z1411*INDEX(v01_MortAdult,G1412)*Arch_AdultMort/4*Q1412</x:f>
        <x:v>0</x:v>
      </x:c>
      <x:c r="U1412" s="9" t="n">
        <x:f>H1412*AA1411*INDEX(v01_MortElder,G1412)/4*Q1412</x:f>
        <x:v>0</x:v>
      </x:c>
      <x:c r="V1412" s="9" t="n">
        <x:f>H1412*MAX(0,AB1411-O1412)*v01_OvercapLoss</x:f>
        <x:v>0</x:v>
      </x:c>
      <x:c r="W1412" s="9" t="n">
        <x:f>H1412*Y1411/(v01_ChildYears*4)</x:f>
        <x:v>0</x:v>
      </x:c>
      <x:c r="X1412" s="9" t="n">
        <x:f>H1412*Z1411/(v01_AdultYears*4)</x:f>
        <x:v>0</x:v>
      </x:c>
      <x:c r="Y1412" s="32" t="n">
        <x:f>Y1411+R1412-S1412-W1412-Y1411*V1412/AB1411</x:f>
        <x:v>14306.18539759397</x:v>
      </x:c>
      <x:c r="Z1412" s="32" t="n">
        <x:f>Z1411+W1412-X1412-T1412-Z1411*V1412/AB1411</x:f>
        <x:v>19354.456567879548</x:v>
      </x:c>
      <x:c r="AA1412" s="32" t="n">
        <x:f>AA1411+X1412-U1412-AA1411*V1412/AB1411</x:f>
        <x:v>11386.956063258198</x:v>
      </x:c>
      <x:c r="AB1412" s="10" t="n">
        <x:f>Y1412+Z1412+AA1412</x:f>
        <x:v>45047.59802873172</x:v>
      </x:c>
      <x:c r="AC1412" s="8" t="n">
        <x:f>IF(AND(v01_WinterTrigger=1,D1412=1,AB1411/AE1411&gt;=K1412),1,0)</x:f>
        <x:v>0</x:v>
      </x:c>
      <x:c r="AD1412" s="8" t="n">
        <x:f>H1412*IF(AND(OR(AB1411/AE1411&gt;=v01_FissionTrigger*N1412,AC1412=1),AB1411/AE1411*v01_DaughterShare&gt;=v01_MinDaughter),MAX(1,ROUND(AE1411*v01_FissionRate,0)),0)</x:f>
        <x:v>0</x:v>
      </x:c>
      <x:c r="AE1412" s="8" t="n">
        <x:f>IF(H1412=1,MAX(1,MIN(INDEX(v01_Smax,G1412),AE1411+AD1412)),AE1411)</x:f>
        <x:v>15</x:v>
      </x:c>
      <x:c r="AF1412" s="8" t="n">
        <x:f>MAX(0,AE1412-AE1411)</x:f>
        <x:v>0</x:v>
      </x:c>
      <x:c r="AG1412" s="9" t="str">
        <x:f>IF(AF1412&gt;0,B1412,"")</x:f>
      </x:c>
      <x:c r="AH1412" s="9" t="n">
        <x:f>IF(F1412&gt;=1,1,(1+v01_LowTiesShare*(AE1412-1))/AE1412)</x:f>
        <x:v>1</x:v>
      </x:c>
      <x:c r="AI1412" s="32" t="n">
        <x:f>(Z1412+v01_ElderCommons*INDEX(LM_Elder,G1412)*AA1412)*AH1412</x:f>
        <x:v>64139.732591141874</x:v>
      </x:c>
      <x:c r="AJ1412" s="32" t="n">
        <x:f>H1412*v01_CommonsCoef*AI1412^v01_CommonsExp*INDEX(LM_Commons,G1412)</x:f>
        <x:v>0</x:v>
      </x:c>
      <x:c r="AK1412" s="32" t="n">
        <x:f>H1412*v01_RoleScale*Arch_Roles*(AE1412*(INDEX(v01_ElderRolePerSett,G1412)*v01_OutElder*INDEX(LM_Elder,G1412)+INDEX(v01_ShamanPerSett,G1412)*v01_OutShaman)+Z1412*(INDEX(v01_PriestShare,G1412)*v01_OutPriest+INDEX(v01_ScribeShare,G1412)*v01_OutScribe*INDEX(LM_Scribe,G1412)+INDEX(v01_ScholarShare,G1412)*v01_OutScholar*INDEX(LM_Scholar,G1412)+INDEX(v01_ResearcherShare,G1412)*v01_OutResearcher*INDEX(LM_Researcher,G1412)))</x:f>
        <x:v>0</x:v>
      </x:c>
      <x:c r="AL1412" s="32" t="n">
        <x:f>H1412*v01_RoleScale*Arch_Roles*AE1412*INDEX(v01_MonasteryPerSett,G1412)*v01_OutMonastery*INDEX(LM_Monastery,G1412)</x:f>
        <x:v>0</x:v>
      </x:c>
      <x:c r="AM1412" s="32" t="n">
        <x:f>(AJ1412+AK1412+AL1412)/4*INDEX(LM_All,G1412)*INDEX(v01_Boon,G1412)*Arch_Insight</x:f>
        <x:v>0</x:v>
      </x:c>
      <x:c r="AN1412" s="32" t="n">
        <x:f>H1412*(v01_KHPerAdult*Z1412+v01_KHOfCommons*AJ1412/4*INDEX(LM_All,G1412))*v01_KHUsable*Arch_KH</x:f>
        <x:v>0</x:v>
      </x:c>
      <x:c r="AO1412" s="32" t="n">
        <x:f>MIN(AP1411+AN1412,AM1412*v01_KHMaxRatio)</x:f>
        <x:v>0</x:v>
      </x:c>
      <x:c r="AP1412" s="32" t="n">
        <x:f>AP1411+AN1412-AO1412</x:f>
        <x:v>0</x:v>
      </x:c>
      <x:c r="AQ1412" s="32" t="n">
        <x:f>AM1412+AO1412</x:f>
        <x:v>0</x:v>
      </x:c>
      <x:c r="AR1412" s="10" t="n">
        <x:f>IF(H1412=1,INDEX(v01_Req,G1412),0)</x:f>
        <x:v>0</x:v>
      </x:c>
      <x:c r="AS1412" s="32" t="n">
        <x:f>IF(H1412=1,IF(E1412=1,AS1411-AR1411,AS1411)+AQ1412,0)</x:f>
        <x:v>0</x:v>
      </x:c>
      <x:c r="AT1412" s="11" t="n">
        <x:f>IF(AR1412&gt;0,MIN(1,AS1412/AR1412),1)</x:f>
        <x:v>1</x:v>
      </x:c>
      <x:c r="AU1412" s="10" t="n">
        <x:f>AB1412/INDEX(v01_RepScale,G1412)</x:f>
        <x:v>90.09519605746344</x:v>
      </x:c>
      <x:c r="AV1412" s="32" t="n">
        <x:f>AM1412*60/v01_SeasonSeconds</x:f>
        <x:v>0</x:v>
      </x:c>
    </x:row>
    <x:row r="1413">
      <x:c r="A1413" s="8" t="n">
        <x:f>A1412+1</x:f>
        <x:v>1410</x:v>
      </x:c>
      <x:c r="B1413" s="9" t="n">
        <x:f>A1413*v01_SeasonSeconds/60</x:f>
        <x:v>352.5</x:v>
      </x:c>
      <x:c r="C1413" s="9" t="n">
        <x:f>A1413/4</x:f>
        <x:v>352.5</x:v>
      </x:c>
      <x:c r="D1413" s="8" t="n">
        <x:f>IF(MOD(A1413,4)=0,1,0)</x:f>
        <x:v>0</x:v>
      </x:c>
      <x:c r="E1413" s="8" t="n">
        <x:f>IF(AND(F1412&lt;=9,AS1412&gt;=AR1412),1,0)</x:f>
        <x:v>0</x:v>
      </x:c>
      <x:c r="F1413" s="8" t="n">
        <x:f>MIN(10,F1412+E1413)</x:f>
        <x:v>10</x:v>
      </x:c>
      <x:c r="G1413" s="8" t="n">
        <x:f>MIN(F1413,9)+1</x:f>
        <x:v>10</x:v>
      </x:c>
      <x:c r="H1413" s="8" t="n">
        <x:f>IF(F1413&lt;=9,1,0)</x:f>
        <x:v>0</x:v>
      </x:c>
      <x:c r="I1413" s="9" t="n">
        <x:f>MIN(10,F1412+IF(AR1412&gt;0,MIN(1,AS1412/AR1412),1))</x:f>
        <x:v>10</x:v>
      </x:c>
      <x:c r="J1413" s="32" t="n">
        <x:f>INDEX(v01_FoodCap,G1413)*Arch_FoodCap*EXP(v01_CapsByProject*SUMPRODUCT((Cap_Point&lt;=I1413)*(Cap_Kind="Food")*Cap_Ln))</x:f>
        <x:v>12000</x:v>
      </x:c>
      <x:c r="K1413" s="32" t="n">
        <x:f>J1413*MIN(1,v01_LeanBase*EXP(v01_CapsByProject*SUMPRODUCT((Cap_Point&lt;=I1413)*(Cap_Kind="Lean")*Cap_Ln)))</x:f>
        <x:v>12000</x:v>
      </x:c>
      <x:c r="L1413" s="10" t="n">
        <x:f>INDEX(v01_HousingCap,G1413)*EXP(v01_CapsByProject*SUMPRODUCT((Cap_Point&lt;=I1413)*(Cap_Kind="Housing")*Cap_Ln))</x:f>
        <x:v>20000</x:v>
      </x:c>
      <x:c r="M1413" s="10" t="n">
        <x:f>INDEX(v01_GroupCap,G1413)*v01_CohesionFactor*EXP(v01_CapsByProject*SUMPRODUCT((Cap_Point&lt;=I1413)*(Cap_Kind="Group")*Cap_Ln))</x:f>
        <x:v>1000000</x:v>
      </x:c>
      <x:c r="N1413" s="32" t="n">
        <x:f>MIN(J1413,L1413,M1413)</x:f>
        <x:v>12000</x:v>
      </x:c>
      <x:c r="O1413" s="10" t="n">
        <x:f>AE1412*N1413</x:f>
        <x:v>180000</x:v>
      </x:c>
      <x:c r="P1413" s="9" t="n">
        <x:f>MIN(1,(AB1412/(AE1412*IF(v01_GroupInCrowding=1,N1413,MIN(J1413,L1413))))^v01_CrowdingExp)</x:f>
        <x:v>0.00024569414295285325</x:v>
      </x:c>
      <x:c r="Q1413" s="9" t="n">
        <x:f>IF(D1413=1,INDEX(v01_WinterMult,G1413),1)</x:f>
        <x:v>1</x:v>
      </x:c>
      <x:c r="R1413" s="9" t="n">
        <x:f>H1413*Z1412*v01_WomenShare*v01_BaseFertility*INDEX(v01_FertMult,G1413)*Arch_Fertility*(1-P1413)</x:f>
        <x:v>0</x:v>
      </x:c>
      <x:c r="S1413" s="9" t="n">
        <x:f>H1413*Y1412*INDEX(v01_MortChild,G1413)/4*Q1413</x:f>
        <x:v>0</x:v>
      </x:c>
      <x:c r="T1413" s="9" t="n">
        <x:f>H1413*Z1412*INDEX(v01_MortAdult,G1413)*Arch_AdultMort/4*Q1413</x:f>
        <x:v>0</x:v>
      </x:c>
      <x:c r="U1413" s="9" t="n">
        <x:f>H1413*AA1412*INDEX(v01_MortElder,G1413)/4*Q1413</x:f>
        <x:v>0</x:v>
      </x:c>
      <x:c r="V1413" s="9" t="n">
        <x:f>H1413*MAX(0,AB1412-O1413)*v01_OvercapLoss</x:f>
        <x:v>0</x:v>
      </x:c>
      <x:c r="W1413" s="9" t="n">
        <x:f>H1413*Y1412/(v01_ChildYears*4)</x:f>
        <x:v>0</x:v>
      </x:c>
      <x:c r="X1413" s="9" t="n">
        <x:f>H1413*Z1412/(v01_AdultYears*4)</x:f>
        <x:v>0</x:v>
      </x:c>
      <x:c r="Y1413" s="32" t="n">
        <x:f>Y1412+R1413-S1413-W1413-Y1412*V1413/AB1412</x:f>
        <x:v>14306.18539759397</x:v>
      </x:c>
      <x:c r="Z1413" s="32" t="n">
        <x:f>Z1412+W1413-X1413-T1413-Z1412*V1413/AB1412</x:f>
        <x:v>19354.456567879548</x:v>
      </x:c>
      <x:c r="AA1413" s="32" t="n">
        <x:f>AA1412+X1413-U1413-AA1412*V1413/AB1412</x:f>
        <x:v>11386.956063258198</x:v>
      </x:c>
      <x:c r="AB1413" s="10" t="n">
        <x:f>Y1413+Z1413+AA1413</x:f>
        <x:v>45047.59802873172</x:v>
      </x:c>
      <x:c r="AC1413" s="8" t="n">
        <x:f>IF(AND(v01_WinterTrigger=1,D1413=1,AB1412/AE1412&gt;=K1413),1,0)</x:f>
        <x:v>0</x:v>
      </x:c>
      <x:c r="AD1413" s="8" t="n">
        <x:f>H1413*IF(AND(OR(AB1412/AE1412&gt;=v01_FissionTrigger*N1413,AC1413=1),AB1412/AE1412*v01_DaughterShare&gt;=v01_MinDaughter),MAX(1,ROUND(AE1412*v01_FissionRate,0)),0)</x:f>
        <x:v>0</x:v>
      </x:c>
      <x:c r="AE1413" s="8" t="n">
        <x:f>IF(H1413=1,MAX(1,MIN(INDEX(v01_Smax,G1413),AE1412+AD1413)),AE1412)</x:f>
        <x:v>15</x:v>
      </x:c>
      <x:c r="AF1413" s="8" t="n">
        <x:f>MAX(0,AE1413-AE1412)</x:f>
        <x:v>0</x:v>
      </x:c>
      <x:c r="AG1413" s="9" t="str">
        <x:f>IF(AF1413&gt;0,B1413,"")</x:f>
      </x:c>
      <x:c r="AH1413" s="9" t="n">
        <x:f>IF(F1413&gt;=1,1,(1+v01_LowTiesShare*(AE1413-1))/AE1413)</x:f>
        <x:v>1</x:v>
      </x:c>
      <x:c r="AI1413" s="32" t="n">
        <x:f>(Z1413+v01_ElderCommons*INDEX(LM_Elder,G1413)*AA1413)*AH1413</x:f>
        <x:v>64139.732591141874</x:v>
      </x:c>
      <x:c r="AJ1413" s="32" t="n">
        <x:f>H1413*v01_CommonsCoef*AI1413^v01_CommonsExp*INDEX(LM_Commons,G1413)</x:f>
        <x:v>0</x:v>
      </x:c>
      <x:c r="AK1413" s="32" t="n">
        <x:f>H1413*v01_RoleScale*Arch_Roles*(AE1413*(INDEX(v01_ElderRolePerSett,G1413)*v01_OutElder*INDEX(LM_Elder,G1413)+INDEX(v01_ShamanPerSett,G1413)*v01_OutShaman)+Z1413*(INDEX(v01_PriestShare,G1413)*v01_OutPriest+INDEX(v01_ScribeShare,G1413)*v01_OutScribe*INDEX(LM_Scribe,G1413)+INDEX(v01_ScholarShare,G1413)*v01_OutScholar*INDEX(LM_Scholar,G1413)+INDEX(v01_ResearcherShare,G1413)*v01_OutResearcher*INDEX(LM_Researcher,G1413)))</x:f>
        <x:v>0</x:v>
      </x:c>
      <x:c r="AL1413" s="32" t="n">
        <x:f>H1413*v01_RoleScale*Arch_Roles*AE1413*INDEX(v01_MonasteryPerSett,G1413)*v01_OutMonastery*INDEX(LM_Monastery,G1413)</x:f>
        <x:v>0</x:v>
      </x:c>
      <x:c r="AM1413" s="32" t="n">
        <x:f>(AJ1413+AK1413+AL1413)/4*INDEX(LM_All,G1413)*INDEX(v01_Boon,G1413)*Arch_Insight</x:f>
        <x:v>0</x:v>
      </x:c>
      <x:c r="AN1413" s="32" t="n">
        <x:f>H1413*(v01_KHPerAdult*Z1413+v01_KHOfCommons*AJ1413/4*INDEX(LM_All,G1413))*v01_KHUsable*Arch_KH</x:f>
        <x:v>0</x:v>
      </x:c>
      <x:c r="AO1413" s="32" t="n">
        <x:f>MIN(AP1412+AN1413,AM1413*v01_KHMaxRatio)</x:f>
        <x:v>0</x:v>
      </x:c>
      <x:c r="AP1413" s="32" t="n">
        <x:f>AP1412+AN1413-AO1413</x:f>
        <x:v>0</x:v>
      </x:c>
      <x:c r="AQ1413" s="32" t="n">
        <x:f>AM1413+AO1413</x:f>
        <x:v>0</x:v>
      </x:c>
      <x:c r="AR1413" s="10" t="n">
        <x:f>IF(H1413=1,INDEX(v01_Req,G1413),0)</x:f>
        <x:v>0</x:v>
      </x:c>
      <x:c r="AS1413" s="32" t="n">
        <x:f>IF(H1413=1,IF(E1413=1,AS1412-AR1412,AS1412)+AQ1413,0)</x:f>
        <x:v>0</x:v>
      </x:c>
      <x:c r="AT1413" s="11" t="n">
        <x:f>IF(AR1413&gt;0,MIN(1,AS1413/AR1413),1)</x:f>
        <x:v>1</x:v>
      </x:c>
      <x:c r="AU1413" s="10" t="n">
        <x:f>AB1413/INDEX(v01_RepScale,G1413)</x:f>
        <x:v>90.09519605746344</x:v>
      </x:c>
      <x:c r="AV1413" s="32" t="n">
        <x:f>AM1413*60/v01_SeasonSeconds</x:f>
        <x:v>0</x:v>
      </x:c>
    </x:row>
    <x:row r="1414">
      <x:c r="A1414" s="8" t="n">
        <x:f>A1413+1</x:f>
        <x:v>1411</x:v>
      </x:c>
      <x:c r="B1414" s="9" t="n">
        <x:f>A1414*v01_SeasonSeconds/60</x:f>
        <x:v>352.75</x:v>
      </x:c>
      <x:c r="C1414" s="9" t="n">
        <x:f>A1414/4</x:f>
        <x:v>352.75</x:v>
      </x:c>
      <x:c r="D1414" s="8" t="n">
        <x:f>IF(MOD(A1414,4)=0,1,0)</x:f>
        <x:v>0</x:v>
      </x:c>
      <x:c r="E1414" s="8" t="n">
        <x:f>IF(AND(F1413&lt;=9,AS1413&gt;=AR1413),1,0)</x:f>
        <x:v>0</x:v>
      </x:c>
      <x:c r="F1414" s="8" t="n">
        <x:f>MIN(10,F1413+E1414)</x:f>
        <x:v>10</x:v>
      </x:c>
      <x:c r="G1414" s="8" t="n">
        <x:f>MIN(F1414,9)+1</x:f>
        <x:v>10</x:v>
      </x:c>
      <x:c r="H1414" s="8" t="n">
        <x:f>IF(F1414&lt;=9,1,0)</x:f>
        <x:v>0</x:v>
      </x:c>
      <x:c r="I1414" s="9" t="n">
        <x:f>MIN(10,F1413+IF(AR1413&gt;0,MIN(1,AS1413/AR1413),1))</x:f>
        <x:v>10</x:v>
      </x:c>
      <x:c r="J1414" s="32" t="n">
        <x:f>INDEX(v01_FoodCap,G1414)*Arch_FoodCap*EXP(v01_CapsByProject*SUMPRODUCT((Cap_Point&lt;=I1414)*(Cap_Kind="Food")*Cap_Ln))</x:f>
        <x:v>12000</x:v>
      </x:c>
      <x:c r="K1414" s="32" t="n">
        <x:f>J1414*MIN(1,v01_LeanBase*EXP(v01_CapsByProject*SUMPRODUCT((Cap_Point&lt;=I1414)*(Cap_Kind="Lean")*Cap_Ln)))</x:f>
        <x:v>12000</x:v>
      </x:c>
      <x:c r="L1414" s="10" t="n">
        <x:f>INDEX(v01_HousingCap,G1414)*EXP(v01_CapsByProject*SUMPRODUCT((Cap_Point&lt;=I1414)*(Cap_Kind="Housing")*Cap_Ln))</x:f>
        <x:v>20000</x:v>
      </x:c>
      <x:c r="M1414" s="10" t="n">
        <x:f>INDEX(v01_GroupCap,G1414)*v01_CohesionFactor*EXP(v01_CapsByProject*SUMPRODUCT((Cap_Point&lt;=I1414)*(Cap_Kind="Group")*Cap_Ln))</x:f>
        <x:v>1000000</x:v>
      </x:c>
      <x:c r="N1414" s="32" t="n">
        <x:f>MIN(J1414,L1414,M1414)</x:f>
        <x:v>12000</x:v>
      </x:c>
      <x:c r="O1414" s="10" t="n">
        <x:f>AE1413*N1414</x:f>
        <x:v>180000</x:v>
      </x:c>
      <x:c r="P1414" s="9" t="n">
        <x:f>MIN(1,(AB1413/(AE1413*IF(v01_GroupInCrowding=1,N1414,MIN(J1414,L1414))))^v01_CrowdingExp)</x:f>
        <x:v>0.00024569414295285325</x:v>
      </x:c>
      <x:c r="Q1414" s="9" t="n">
        <x:f>IF(D1414=1,INDEX(v01_WinterMult,G1414),1)</x:f>
        <x:v>1</x:v>
      </x:c>
      <x:c r="R1414" s="9" t="n">
        <x:f>H1414*Z1413*v01_WomenShare*v01_BaseFertility*INDEX(v01_FertMult,G1414)*Arch_Fertility*(1-P1414)</x:f>
        <x:v>0</x:v>
      </x:c>
      <x:c r="S1414" s="9" t="n">
        <x:f>H1414*Y1413*INDEX(v01_MortChild,G1414)/4*Q1414</x:f>
        <x:v>0</x:v>
      </x:c>
      <x:c r="T1414" s="9" t="n">
        <x:f>H1414*Z1413*INDEX(v01_MortAdult,G1414)*Arch_AdultMort/4*Q1414</x:f>
        <x:v>0</x:v>
      </x:c>
      <x:c r="U1414" s="9" t="n">
        <x:f>H1414*AA1413*INDEX(v01_MortElder,G1414)/4*Q1414</x:f>
        <x:v>0</x:v>
      </x:c>
      <x:c r="V1414" s="9" t="n">
        <x:f>H1414*MAX(0,AB1413-O1414)*v01_OvercapLoss</x:f>
        <x:v>0</x:v>
      </x:c>
      <x:c r="W1414" s="9" t="n">
        <x:f>H1414*Y1413/(v01_ChildYears*4)</x:f>
        <x:v>0</x:v>
      </x:c>
      <x:c r="X1414" s="9" t="n">
        <x:f>H1414*Z1413/(v01_AdultYears*4)</x:f>
        <x:v>0</x:v>
      </x:c>
      <x:c r="Y1414" s="32" t="n">
        <x:f>Y1413+R1414-S1414-W1414-Y1413*V1414/AB1413</x:f>
        <x:v>14306.18539759397</x:v>
      </x:c>
      <x:c r="Z1414" s="32" t="n">
        <x:f>Z1413+W1414-X1414-T1414-Z1413*V1414/AB1413</x:f>
        <x:v>19354.456567879548</x:v>
      </x:c>
      <x:c r="AA1414" s="32" t="n">
        <x:f>AA1413+X1414-U1414-AA1413*V1414/AB1413</x:f>
        <x:v>11386.956063258198</x:v>
      </x:c>
      <x:c r="AB1414" s="10" t="n">
        <x:f>Y1414+Z1414+AA1414</x:f>
        <x:v>45047.59802873172</x:v>
      </x:c>
      <x:c r="AC1414" s="8" t="n">
        <x:f>IF(AND(v01_WinterTrigger=1,D1414=1,AB1413/AE1413&gt;=K1414),1,0)</x:f>
        <x:v>0</x:v>
      </x:c>
      <x:c r="AD1414" s="8" t="n">
        <x:f>H1414*IF(AND(OR(AB1413/AE1413&gt;=v01_FissionTrigger*N1414,AC1414=1),AB1413/AE1413*v01_DaughterShare&gt;=v01_MinDaughter),MAX(1,ROUND(AE1413*v01_FissionRate,0)),0)</x:f>
        <x:v>0</x:v>
      </x:c>
      <x:c r="AE1414" s="8" t="n">
        <x:f>IF(H1414=1,MAX(1,MIN(INDEX(v01_Smax,G1414),AE1413+AD1414)),AE1413)</x:f>
        <x:v>15</x:v>
      </x:c>
      <x:c r="AF1414" s="8" t="n">
        <x:f>MAX(0,AE1414-AE1413)</x:f>
        <x:v>0</x:v>
      </x:c>
      <x:c r="AG1414" s="9" t="str">
        <x:f>IF(AF1414&gt;0,B1414,"")</x:f>
      </x:c>
      <x:c r="AH1414" s="9" t="n">
        <x:f>IF(F1414&gt;=1,1,(1+v01_LowTiesShare*(AE1414-1))/AE1414)</x:f>
        <x:v>1</x:v>
      </x:c>
      <x:c r="AI1414" s="32" t="n">
        <x:f>(Z1414+v01_ElderCommons*INDEX(LM_Elder,G1414)*AA1414)*AH1414</x:f>
        <x:v>64139.732591141874</x:v>
      </x:c>
      <x:c r="AJ1414" s="32" t="n">
        <x:f>H1414*v01_CommonsCoef*AI1414^v01_CommonsExp*INDEX(LM_Commons,G1414)</x:f>
        <x:v>0</x:v>
      </x:c>
      <x:c r="AK1414" s="32" t="n">
        <x:f>H1414*v01_RoleScale*Arch_Roles*(AE1414*(INDEX(v01_ElderRolePerSett,G1414)*v01_OutElder*INDEX(LM_Elder,G1414)+INDEX(v01_ShamanPerSett,G1414)*v01_OutShaman)+Z1414*(INDEX(v01_PriestShare,G1414)*v01_OutPriest+INDEX(v01_ScribeShare,G1414)*v01_OutScribe*INDEX(LM_Scribe,G1414)+INDEX(v01_ScholarShare,G1414)*v01_OutScholar*INDEX(LM_Scholar,G1414)+INDEX(v01_ResearcherShare,G1414)*v01_OutResearcher*INDEX(LM_Researcher,G1414)))</x:f>
        <x:v>0</x:v>
      </x:c>
      <x:c r="AL1414" s="32" t="n">
        <x:f>H1414*v01_RoleScale*Arch_Roles*AE1414*INDEX(v01_MonasteryPerSett,G1414)*v01_OutMonastery*INDEX(LM_Monastery,G1414)</x:f>
        <x:v>0</x:v>
      </x:c>
      <x:c r="AM1414" s="32" t="n">
        <x:f>(AJ1414+AK1414+AL1414)/4*INDEX(LM_All,G1414)*INDEX(v01_Boon,G1414)*Arch_Insight</x:f>
        <x:v>0</x:v>
      </x:c>
      <x:c r="AN1414" s="32" t="n">
        <x:f>H1414*(v01_KHPerAdult*Z1414+v01_KHOfCommons*AJ1414/4*INDEX(LM_All,G1414))*v01_KHUsable*Arch_KH</x:f>
        <x:v>0</x:v>
      </x:c>
      <x:c r="AO1414" s="32" t="n">
        <x:f>MIN(AP1413+AN1414,AM1414*v01_KHMaxRatio)</x:f>
        <x:v>0</x:v>
      </x:c>
      <x:c r="AP1414" s="32" t="n">
        <x:f>AP1413+AN1414-AO1414</x:f>
        <x:v>0</x:v>
      </x:c>
      <x:c r="AQ1414" s="32" t="n">
        <x:f>AM1414+AO1414</x:f>
        <x:v>0</x:v>
      </x:c>
      <x:c r="AR1414" s="10" t="n">
        <x:f>IF(H1414=1,INDEX(v01_Req,G1414),0)</x:f>
        <x:v>0</x:v>
      </x:c>
      <x:c r="AS1414" s="32" t="n">
        <x:f>IF(H1414=1,IF(E1414=1,AS1413-AR1413,AS1413)+AQ1414,0)</x:f>
        <x:v>0</x:v>
      </x:c>
      <x:c r="AT1414" s="11" t="n">
        <x:f>IF(AR1414&gt;0,MIN(1,AS1414/AR1414),1)</x:f>
        <x:v>1</x:v>
      </x:c>
      <x:c r="AU1414" s="10" t="n">
        <x:f>AB1414/INDEX(v01_RepScale,G1414)</x:f>
        <x:v>90.09519605746344</x:v>
      </x:c>
      <x:c r="AV1414" s="32" t="n">
        <x:f>AM1414*60/v01_SeasonSeconds</x:f>
        <x:v>0</x:v>
      </x:c>
    </x:row>
    <x:row r="1415">
      <x:c r="A1415" s="8" t="n">
        <x:f>A1414+1</x:f>
        <x:v>1412</x:v>
      </x:c>
      <x:c r="B1415" s="9" t="n">
        <x:f>A1415*v01_SeasonSeconds/60</x:f>
        <x:v>353</x:v>
      </x:c>
      <x:c r="C1415" s="9" t="n">
        <x:f>A1415/4</x:f>
        <x:v>353</x:v>
      </x:c>
      <x:c r="D1415" s="8" t="n">
        <x:f>IF(MOD(A1415,4)=0,1,0)</x:f>
        <x:v>1</x:v>
      </x:c>
      <x:c r="E1415" s="8" t="n">
        <x:f>IF(AND(F1414&lt;=9,AS1414&gt;=AR1414),1,0)</x:f>
        <x:v>0</x:v>
      </x:c>
      <x:c r="F1415" s="8" t="n">
        <x:f>MIN(10,F1414+E1415)</x:f>
        <x:v>10</x:v>
      </x:c>
      <x:c r="G1415" s="8" t="n">
        <x:f>MIN(F1415,9)+1</x:f>
        <x:v>10</x:v>
      </x:c>
      <x:c r="H1415" s="8" t="n">
        <x:f>IF(F1415&lt;=9,1,0)</x:f>
        <x:v>0</x:v>
      </x:c>
      <x:c r="I1415" s="9" t="n">
        <x:f>MIN(10,F1414+IF(AR1414&gt;0,MIN(1,AS1414/AR1414),1))</x:f>
        <x:v>10</x:v>
      </x:c>
      <x:c r="J1415" s="32" t="n">
        <x:f>INDEX(v01_FoodCap,G1415)*Arch_FoodCap*EXP(v01_CapsByProject*SUMPRODUCT((Cap_Point&lt;=I1415)*(Cap_Kind="Food")*Cap_Ln))</x:f>
        <x:v>12000</x:v>
      </x:c>
      <x:c r="K1415" s="32" t="n">
        <x:f>J1415*MIN(1,v01_LeanBase*EXP(v01_CapsByProject*SUMPRODUCT((Cap_Point&lt;=I1415)*(Cap_Kind="Lean")*Cap_Ln)))</x:f>
        <x:v>12000</x:v>
      </x:c>
      <x:c r="L1415" s="10" t="n">
        <x:f>INDEX(v01_HousingCap,G1415)*EXP(v01_CapsByProject*SUMPRODUCT((Cap_Point&lt;=I1415)*(Cap_Kind="Housing")*Cap_Ln))</x:f>
        <x:v>20000</x:v>
      </x:c>
      <x:c r="M1415" s="10" t="n">
        <x:f>INDEX(v01_GroupCap,G1415)*v01_CohesionFactor*EXP(v01_CapsByProject*SUMPRODUCT((Cap_Point&lt;=I1415)*(Cap_Kind="Group")*Cap_Ln))</x:f>
        <x:v>1000000</x:v>
      </x:c>
      <x:c r="N1415" s="32" t="n">
        <x:f>MIN(J1415,L1415,M1415)</x:f>
        <x:v>12000</x:v>
      </x:c>
      <x:c r="O1415" s="10" t="n">
        <x:f>AE1414*N1415</x:f>
        <x:v>180000</x:v>
      </x:c>
      <x:c r="P1415" s="9" t="n">
        <x:f>MIN(1,(AB1414/(AE1414*IF(v01_GroupInCrowding=1,N1415,MIN(J1415,L1415))))^v01_CrowdingExp)</x:f>
        <x:v>0.00024569414295285325</x:v>
      </x:c>
      <x:c r="Q1415" s="9" t="n">
        <x:f>IF(D1415=1,INDEX(v01_WinterMult,G1415),1)</x:f>
        <x:v>1</x:v>
      </x:c>
      <x:c r="R1415" s="9" t="n">
        <x:f>H1415*Z1414*v01_WomenShare*v01_BaseFertility*INDEX(v01_FertMult,G1415)*Arch_Fertility*(1-P1415)</x:f>
        <x:v>0</x:v>
      </x:c>
      <x:c r="S1415" s="9" t="n">
        <x:f>H1415*Y1414*INDEX(v01_MortChild,G1415)/4*Q1415</x:f>
        <x:v>0</x:v>
      </x:c>
      <x:c r="T1415" s="9" t="n">
        <x:f>H1415*Z1414*INDEX(v01_MortAdult,G1415)*Arch_AdultMort/4*Q1415</x:f>
        <x:v>0</x:v>
      </x:c>
      <x:c r="U1415" s="9" t="n">
        <x:f>H1415*AA1414*INDEX(v01_MortElder,G1415)/4*Q1415</x:f>
        <x:v>0</x:v>
      </x:c>
      <x:c r="V1415" s="9" t="n">
        <x:f>H1415*MAX(0,AB1414-O1415)*v01_OvercapLoss</x:f>
        <x:v>0</x:v>
      </x:c>
      <x:c r="W1415" s="9" t="n">
        <x:f>H1415*Y1414/(v01_ChildYears*4)</x:f>
        <x:v>0</x:v>
      </x:c>
      <x:c r="X1415" s="9" t="n">
        <x:f>H1415*Z1414/(v01_AdultYears*4)</x:f>
        <x:v>0</x:v>
      </x:c>
      <x:c r="Y1415" s="32" t="n">
        <x:f>Y1414+R1415-S1415-W1415-Y1414*V1415/AB1414</x:f>
        <x:v>14306.18539759397</x:v>
      </x:c>
      <x:c r="Z1415" s="32" t="n">
        <x:f>Z1414+W1415-X1415-T1415-Z1414*V1415/AB1414</x:f>
        <x:v>19354.456567879548</x:v>
      </x:c>
      <x:c r="AA1415" s="32" t="n">
        <x:f>AA1414+X1415-U1415-AA1414*V1415/AB1414</x:f>
        <x:v>11386.956063258198</x:v>
      </x:c>
      <x:c r="AB1415" s="10" t="n">
        <x:f>Y1415+Z1415+AA1415</x:f>
        <x:v>45047.59802873172</x:v>
      </x:c>
      <x:c r="AC1415" s="8" t="n">
        <x:f>IF(AND(v01_WinterTrigger=1,D1415=1,AB1414/AE1414&gt;=K1415),1,0)</x:f>
        <x:v>0</x:v>
      </x:c>
      <x:c r="AD1415" s="8" t="n">
        <x:f>H1415*IF(AND(OR(AB1414/AE1414&gt;=v01_FissionTrigger*N1415,AC1415=1),AB1414/AE1414*v01_DaughterShare&gt;=v01_MinDaughter),MAX(1,ROUND(AE1414*v01_FissionRate,0)),0)</x:f>
        <x:v>0</x:v>
      </x:c>
      <x:c r="AE1415" s="8" t="n">
        <x:f>IF(H1415=1,MAX(1,MIN(INDEX(v01_Smax,G1415),AE1414+AD1415)),AE1414)</x:f>
        <x:v>15</x:v>
      </x:c>
      <x:c r="AF1415" s="8" t="n">
        <x:f>MAX(0,AE1415-AE1414)</x:f>
        <x:v>0</x:v>
      </x:c>
      <x:c r="AG1415" s="9" t="str">
        <x:f>IF(AF1415&gt;0,B1415,"")</x:f>
      </x:c>
      <x:c r="AH1415" s="9" t="n">
        <x:f>IF(F1415&gt;=1,1,(1+v01_LowTiesShare*(AE1415-1))/AE1415)</x:f>
        <x:v>1</x:v>
      </x:c>
      <x:c r="AI1415" s="32" t="n">
        <x:f>(Z1415+v01_ElderCommons*INDEX(LM_Elder,G1415)*AA1415)*AH1415</x:f>
        <x:v>64139.732591141874</x:v>
      </x:c>
      <x:c r="AJ1415" s="32" t="n">
        <x:f>H1415*v01_CommonsCoef*AI1415^v01_CommonsExp*INDEX(LM_Commons,G1415)</x:f>
        <x:v>0</x:v>
      </x:c>
      <x:c r="AK1415" s="32" t="n">
        <x:f>H1415*v01_RoleScale*Arch_Roles*(AE1415*(INDEX(v01_ElderRolePerSett,G1415)*v01_OutElder*INDEX(LM_Elder,G1415)+INDEX(v01_ShamanPerSett,G1415)*v01_OutShaman)+Z1415*(INDEX(v01_PriestShare,G1415)*v01_OutPriest+INDEX(v01_ScribeShare,G1415)*v01_OutScribe*INDEX(LM_Scribe,G1415)+INDEX(v01_ScholarShare,G1415)*v01_OutScholar*INDEX(LM_Scholar,G1415)+INDEX(v01_ResearcherShare,G1415)*v01_OutResearcher*INDEX(LM_Researcher,G1415)))</x:f>
        <x:v>0</x:v>
      </x:c>
      <x:c r="AL1415" s="32" t="n">
        <x:f>H1415*v01_RoleScale*Arch_Roles*AE1415*INDEX(v01_MonasteryPerSett,G1415)*v01_OutMonastery*INDEX(LM_Monastery,G1415)</x:f>
        <x:v>0</x:v>
      </x:c>
      <x:c r="AM1415" s="32" t="n">
        <x:f>(AJ1415+AK1415+AL1415)/4*INDEX(LM_All,G1415)*INDEX(v01_Boon,G1415)*Arch_Insight</x:f>
        <x:v>0</x:v>
      </x:c>
      <x:c r="AN1415" s="32" t="n">
        <x:f>H1415*(v01_KHPerAdult*Z1415+v01_KHOfCommons*AJ1415/4*INDEX(LM_All,G1415))*v01_KHUsable*Arch_KH</x:f>
        <x:v>0</x:v>
      </x:c>
      <x:c r="AO1415" s="32" t="n">
        <x:f>MIN(AP1414+AN1415,AM1415*v01_KHMaxRatio)</x:f>
        <x:v>0</x:v>
      </x:c>
      <x:c r="AP1415" s="32" t="n">
        <x:f>AP1414+AN1415-AO1415</x:f>
        <x:v>0</x:v>
      </x:c>
      <x:c r="AQ1415" s="32" t="n">
        <x:f>AM1415+AO1415</x:f>
        <x:v>0</x:v>
      </x:c>
      <x:c r="AR1415" s="10" t="n">
        <x:f>IF(H1415=1,INDEX(v01_Req,G1415),0)</x:f>
        <x:v>0</x:v>
      </x:c>
      <x:c r="AS1415" s="32" t="n">
        <x:f>IF(H1415=1,IF(E1415=1,AS1414-AR1414,AS1414)+AQ1415,0)</x:f>
        <x:v>0</x:v>
      </x:c>
      <x:c r="AT1415" s="11" t="n">
        <x:f>IF(AR1415&gt;0,MIN(1,AS1415/AR1415),1)</x:f>
        <x:v>1</x:v>
      </x:c>
      <x:c r="AU1415" s="10" t="n">
        <x:f>AB1415/INDEX(v01_RepScale,G1415)</x:f>
        <x:v>90.09519605746344</x:v>
      </x:c>
      <x:c r="AV1415" s="32" t="n">
        <x:f>AM1415*60/v01_SeasonSeconds</x:f>
        <x:v>0</x:v>
      </x:c>
    </x:row>
    <x:row r="1416">
      <x:c r="A1416" s="8" t="n">
        <x:f>A1415+1</x:f>
        <x:v>1413</x:v>
      </x:c>
      <x:c r="B1416" s="9" t="n">
        <x:f>A1416*v01_SeasonSeconds/60</x:f>
        <x:v>353.25</x:v>
      </x:c>
      <x:c r="C1416" s="9" t="n">
        <x:f>A1416/4</x:f>
        <x:v>353.25</x:v>
      </x:c>
      <x:c r="D1416" s="8" t="n">
        <x:f>IF(MOD(A1416,4)=0,1,0)</x:f>
        <x:v>0</x:v>
      </x:c>
      <x:c r="E1416" s="8" t="n">
        <x:f>IF(AND(F1415&lt;=9,AS1415&gt;=AR1415),1,0)</x:f>
        <x:v>0</x:v>
      </x:c>
      <x:c r="F1416" s="8" t="n">
        <x:f>MIN(10,F1415+E1416)</x:f>
        <x:v>10</x:v>
      </x:c>
      <x:c r="G1416" s="8" t="n">
        <x:f>MIN(F1416,9)+1</x:f>
        <x:v>10</x:v>
      </x:c>
      <x:c r="H1416" s="8" t="n">
        <x:f>IF(F1416&lt;=9,1,0)</x:f>
        <x:v>0</x:v>
      </x:c>
      <x:c r="I1416" s="9" t="n">
        <x:f>MIN(10,F1415+IF(AR1415&gt;0,MIN(1,AS1415/AR1415),1))</x:f>
        <x:v>10</x:v>
      </x:c>
      <x:c r="J1416" s="32" t="n">
        <x:f>INDEX(v01_FoodCap,G1416)*Arch_FoodCap*EXP(v01_CapsByProject*SUMPRODUCT((Cap_Point&lt;=I1416)*(Cap_Kind="Food")*Cap_Ln))</x:f>
        <x:v>12000</x:v>
      </x:c>
      <x:c r="K1416" s="32" t="n">
        <x:f>J1416*MIN(1,v01_LeanBase*EXP(v01_CapsByProject*SUMPRODUCT((Cap_Point&lt;=I1416)*(Cap_Kind="Lean")*Cap_Ln)))</x:f>
        <x:v>12000</x:v>
      </x:c>
      <x:c r="L1416" s="10" t="n">
        <x:f>INDEX(v01_HousingCap,G1416)*EXP(v01_CapsByProject*SUMPRODUCT((Cap_Point&lt;=I1416)*(Cap_Kind="Housing")*Cap_Ln))</x:f>
        <x:v>20000</x:v>
      </x:c>
      <x:c r="M1416" s="10" t="n">
        <x:f>INDEX(v01_GroupCap,G1416)*v01_CohesionFactor*EXP(v01_CapsByProject*SUMPRODUCT((Cap_Point&lt;=I1416)*(Cap_Kind="Group")*Cap_Ln))</x:f>
        <x:v>1000000</x:v>
      </x:c>
      <x:c r="N1416" s="32" t="n">
        <x:f>MIN(J1416,L1416,M1416)</x:f>
        <x:v>12000</x:v>
      </x:c>
      <x:c r="O1416" s="10" t="n">
        <x:f>AE1415*N1416</x:f>
        <x:v>180000</x:v>
      </x:c>
      <x:c r="P1416" s="9" t="n">
        <x:f>MIN(1,(AB1415/(AE1415*IF(v01_GroupInCrowding=1,N1416,MIN(J1416,L1416))))^v01_CrowdingExp)</x:f>
        <x:v>0.00024569414295285325</x:v>
      </x:c>
      <x:c r="Q1416" s="9" t="n">
        <x:f>IF(D1416=1,INDEX(v01_WinterMult,G1416),1)</x:f>
        <x:v>1</x:v>
      </x:c>
      <x:c r="R1416" s="9" t="n">
        <x:f>H1416*Z1415*v01_WomenShare*v01_BaseFertility*INDEX(v01_FertMult,G1416)*Arch_Fertility*(1-P1416)</x:f>
        <x:v>0</x:v>
      </x:c>
      <x:c r="S1416" s="9" t="n">
        <x:f>H1416*Y1415*INDEX(v01_MortChild,G1416)/4*Q1416</x:f>
        <x:v>0</x:v>
      </x:c>
      <x:c r="T1416" s="9" t="n">
        <x:f>H1416*Z1415*INDEX(v01_MortAdult,G1416)*Arch_AdultMort/4*Q1416</x:f>
        <x:v>0</x:v>
      </x:c>
      <x:c r="U1416" s="9" t="n">
        <x:f>H1416*AA1415*INDEX(v01_MortElder,G1416)/4*Q1416</x:f>
        <x:v>0</x:v>
      </x:c>
      <x:c r="V1416" s="9" t="n">
        <x:f>H1416*MAX(0,AB1415-O1416)*v01_OvercapLoss</x:f>
        <x:v>0</x:v>
      </x:c>
      <x:c r="W1416" s="9" t="n">
        <x:f>H1416*Y1415/(v01_ChildYears*4)</x:f>
        <x:v>0</x:v>
      </x:c>
      <x:c r="X1416" s="9" t="n">
        <x:f>H1416*Z1415/(v01_AdultYears*4)</x:f>
        <x:v>0</x:v>
      </x:c>
      <x:c r="Y1416" s="32" t="n">
        <x:f>Y1415+R1416-S1416-W1416-Y1415*V1416/AB1415</x:f>
        <x:v>14306.18539759397</x:v>
      </x:c>
      <x:c r="Z1416" s="32" t="n">
        <x:f>Z1415+W1416-X1416-T1416-Z1415*V1416/AB1415</x:f>
        <x:v>19354.456567879548</x:v>
      </x:c>
      <x:c r="AA1416" s="32" t="n">
        <x:f>AA1415+X1416-U1416-AA1415*V1416/AB1415</x:f>
        <x:v>11386.956063258198</x:v>
      </x:c>
      <x:c r="AB1416" s="10" t="n">
        <x:f>Y1416+Z1416+AA1416</x:f>
        <x:v>45047.59802873172</x:v>
      </x:c>
      <x:c r="AC1416" s="8" t="n">
        <x:f>IF(AND(v01_WinterTrigger=1,D1416=1,AB1415/AE1415&gt;=K1416),1,0)</x:f>
        <x:v>0</x:v>
      </x:c>
      <x:c r="AD1416" s="8" t="n">
        <x:f>H1416*IF(AND(OR(AB1415/AE1415&gt;=v01_FissionTrigger*N1416,AC1416=1),AB1415/AE1415*v01_DaughterShare&gt;=v01_MinDaughter),MAX(1,ROUND(AE1415*v01_FissionRate,0)),0)</x:f>
        <x:v>0</x:v>
      </x:c>
      <x:c r="AE1416" s="8" t="n">
        <x:f>IF(H1416=1,MAX(1,MIN(INDEX(v01_Smax,G1416),AE1415+AD1416)),AE1415)</x:f>
        <x:v>15</x:v>
      </x:c>
      <x:c r="AF1416" s="8" t="n">
        <x:f>MAX(0,AE1416-AE1415)</x:f>
        <x:v>0</x:v>
      </x:c>
      <x:c r="AG1416" s="9" t="str">
        <x:f>IF(AF1416&gt;0,B1416,"")</x:f>
      </x:c>
      <x:c r="AH1416" s="9" t="n">
        <x:f>IF(F1416&gt;=1,1,(1+v01_LowTiesShare*(AE1416-1))/AE1416)</x:f>
        <x:v>1</x:v>
      </x:c>
      <x:c r="AI1416" s="32" t="n">
        <x:f>(Z1416+v01_ElderCommons*INDEX(LM_Elder,G1416)*AA1416)*AH1416</x:f>
        <x:v>64139.732591141874</x:v>
      </x:c>
      <x:c r="AJ1416" s="32" t="n">
        <x:f>H1416*v01_CommonsCoef*AI1416^v01_CommonsExp*INDEX(LM_Commons,G1416)</x:f>
        <x:v>0</x:v>
      </x:c>
      <x:c r="AK1416" s="32" t="n">
        <x:f>H1416*v01_RoleScale*Arch_Roles*(AE1416*(INDEX(v01_ElderRolePerSett,G1416)*v01_OutElder*INDEX(LM_Elder,G1416)+INDEX(v01_ShamanPerSett,G1416)*v01_OutShaman)+Z1416*(INDEX(v01_PriestShare,G1416)*v01_OutPriest+INDEX(v01_ScribeShare,G1416)*v01_OutScribe*INDEX(LM_Scribe,G1416)+INDEX(v01_ScholarShare,G1416)*v01_OutScholar*INDEX(LM_Scholar,G1416)+INDEX(v01_ResearcherShare,G1416)*v01_OutResearcher*INDEX(LM_Researcher,G1416)))</x:f>
        <x:v>0</x:v>
      </x:c>
      <x:c r="AL1416" s="32" t="n">
        <x:f>H1416*v01_RoleScale*Arch_Roles*AE1416*INDEX(v01_MonasteryPerSett,G1416)*v01_OutMonastery*INDEX(LM_Monastery,G1416)</x:f>
        <x:v>0</x:v>
      </x:c>
      <x:c r="AM1416" s="32" t="n">
        <x:f>(AJ1416+AK1416+AL1416)/4*INDEX(LM_All,G1416)*INDEX(v01_Boon,G1416)*Arch_Insight</x:f>
        <x:v>0</x:v>
      </x:c>
      <x:c r="AN1416" s="32" t="n">
        <x:f>H1416*(v01_KHPerAdult*Z1416+v01_KHOfCommons*AJ1416/4*INDEX(LM_All,G1416))*v01_KHUsable*Arch_KH</x:f>
        <x:v>0</x:v>
      </x:c>
      <x:c r="AO1416" s="32" t="n">
        <x:f>MIN(AP1415+AN1416,AM1416*v01_KHMaxRatio)</x:f>
        <x:v>0</x:v>
      </x:c>
      <x:c r="AP1416" s="32" t="n">
        <x:f>AP1415+AN1416-AO1416</x:f>
        <x:v>0</x:v>
      </x:c>
      <x:c r="AQ1416" s="32" t="n">
        <x:f>AM1416+AO1416</x:f>
        <x:v>0</x:v>
      </x:c>
      <x:c r="AR1416" s="10" t="n">
        <x:f>IF(H1416=1,INDEX(v01_Req,G1416),0)</x:f>
        <x:v>0</x:v>
      </x:c>
      <x:c r="AS1416" s="32" t="n">
        <x:f>IF(H1416=1,IF(E1416=1,AS1415-AR1415,AS1415)+AQ1416,0)</x:f>
        <x:v>0</x:v>
      </x:c>
      <x:c r="AT1416" s="11" t="n">
        <x:f>IF(AR1416&gt;0,MIN(1,AS1416/AR1416),1)</x:f>
        <x:v>1</x:v>
      </x:c>
      <x:c r="AU1416" s="10" t="n">
        <x:f>AB1416/INDEX(v01_RepScale,G1416)</x:f>
        <x:v>90.09519605746344</x:v>
      </x:c>
      <x:c r="AV1416" s="32" t="n">
        <x:f>AM1416*60/v01_SeasonSeconds</x:f>
        <x:v>0</x:v>
      </x:c>
    </x:row>
    <x:row r="1417">
      <x:c r="A1417" s="8" t="n">
        <x:f>A1416+1</x:f>
        <x:v>1414</x:v>
      </x:c>
      <x:c r="B1417" s="9" t="n">
        <x:f>A1417*v01_SeasonSeconds/60</x:f>
        <x:v>353.5</x:v>
      </x:c>
      <x:c r="C1417" s="9" t="n">
        <x:f>A1417/4</x:f>
        <x:v>353.5</x:v>
      </x:c>
      <x:c r="D1417" s="8" t="n">
        <x:f>IF(MOD(A1417,4)=0,1,0)</x:f>
        <x:v>0</x:v>
      </x:c>
      <x:c r="E1417" s="8" t="n">
        <x:f>IF(AND(F1416&lt;=9,AS1416&gt;=AR1416),1,0)</x:f>
        <x:v>0</x:v>
      </x:c>
      <x:c r="F1417" s="8" t="n">
        <x:f>MIN(10,F1416+E1417)</x:f>
        <x:v>10</x:v>
      </x:c>
      <x:c r="G1417" s="8" t="n">
        <x:f>MIN(F1417,9)+1</x:f>
        <x:v>10</x:v>
      </x:c>
      <x:c r="H1417" s="8" t="n">
        <x:f>IF(F1417&lt;=9,1,0)</x:f>
        <x:v>0</x:v>
      </x:c>
      <x:c r="I1417" s="9" t="n">
        <x:f>MIN(10,F1416+IF(AR1416&gt;0,MIN(1,AS1416/AR1416),1))</x:f>
        <x:v>10</x:v>
      </x:c>
      <x:c r="J1417" s="32" t="n">
        <x:f>INDEX(v01_FoodCap,G1417)*Arch_FoodCap*EXP(v01_CapsByProject*SUMPRODUCT((Cap_Point&lt;=I1417)*(Cap_Kind="Food")*Cap_Ln))</x:f>
        <x:v>12000</x:v>
      </x:c>
      <x:c r="K1417" s="32" t="n">
        <x:f>J1417*MIN(1,v01_LeanBase*EXP(v01_CapsByProject*SUMPRODUCT((Cap_Point&lt;=I1417)*(Cap_Kind="Lean")*Cap_Ln)))</x:f>
        <x:v>12000</x:v>
      </x:c>
      <x:c r="L1417" s="10" t="n">
        <x:f>INDEX(v01_HousingCap,G1417)*EXP(v01_CapsByProject*SUMPRODUCT((Cap_Point&lt;=I1417)*(Cap_Kind="Housing")*Cap_Ln))</x:f>
        <x:v>20000</x:v>
      </x:c>
      <x:c r="M1417" s="10" t="n">
        <x:f>INDEX(v01_GroupCap,G1417)*v01_CohesionFactor*EXP(v01_CapsByProject*SUMPRODUCT((Cap_Point&lt;=I1417)*(Cap_Kind="Group")*Cap_Ln))</x:f>
        <x:v>1000000</x:v>
      </x:c>
      <x:c r="N1417" s="32" t="n">
        <x:f>MIN(J1417,L1417,M1417)</x:f>
        <x:v>12000</x:v>
      </x:c>
      <x:c r="O1417" s="10" t="n">
        <x:f>AE1416*N1417</x:f>
        <x:v>180000</x:v>
      </x:c>
      <x:c r="P1417" s="9" t="n">
        <x:f>MIN(1,(AB1416/(AE1416*IF(v01_GroupInCrowding=1,N1417,MIN(J1417,L1417))))^v01_CrowdingExp)</x:f>
        <x:v>0.00024569414295285325</x:v>
      </x:c>
      <x:c r="Q1417" s="9" t="n">
        <x:f>IF(D1417=1,INDEX(v01_WinterMult,G1417),1)</x:f>
        <x:v>1</x:v>
      </x:c>
      <x:c r="R1417" s="9" t="n">
        <x:f>H1417*Z1416*v01_WomenShare*v01_BaseFertility*INDEX(v01_FertMult,G1417)*Arch_Fertility*(1-P1417)</x:f>
        <x:v>0</x:v>
      </x:c>
      <x:c r="S1417" s="9" t="n">
        <x:f>H1417*Y1416*INDEX(v01_MortChild,G1417)/4*Q1417</x:f>
        <x:v>0</x:v>
      </x:c>
      <x:c r="T1417" s="9" t="n">
        <x:f>H1417*Z1416*INDEX(v01_MortAdult,G1417)*Arch_AdultMort/4*Q1417</x:f>
        <x:v>0</x:v>
      </x:c>
      <x:c r="U1417" s="9" t="n">
        <x:f>H1417*AA1416*INDEX(v01_MortElder,G1417)/4*Q1417</x:f>
        <x:v>0</x:v>
      </x:c>
      <x:c r="V1417" s="9" t="n">
        <x:f>H1417*MAX(0,AB1416-O1417)*v01_OvercapLoss</x:f>
        <x:v>0</x:v>
      </x:c>
      <x:c r="W1417" s="9" t="n">
        <x:f>H1417*Y1416/(v01_ChildYears*4)</x:f>
        <x:v>0</x:v>
      </x:c>
      <x:c r="X1417" s="9" t="n">
        <x:f>H1417*Z1416/(v01_AdultYears*4)</x:f>
        <x:v>0</x:v>
      </x:c>
      <x:c r="Y1417" s="32" t="n">
        <x:f>Y1416+R1417-S1417-W1417-Y1416*V1417/AB1416</x:f>
        <x:v>14306.18539759397</x:v>
      </x:c>
      <x:c r="Z1417" s="32" t="n">
        <x:f>Z1416+W1417-X1417-T1417-Z1416*V1417/AB1416</x:f>
        <x:v>19354.456567879548</x:v>
      </x:c>
      <x:c r="AA1417" s="32" t="n">
        <x:f>AA1416+X1417-U1417-AA1416*V1417/AB1416</x:f>
        <x:v>11386.956063258198</x:v>
      </x:c>
      <x:c r="AB1417" s="10" t="n">
        <x:f>Y1417+Z1417+AA1417</x:f>
        <x:v>45047.59802873172</x:v>
      </x:c>
      <x:c r="AC1417" s="8" t="n">
        <x:f>IF(AND(v01_WinterTrigger=1,D1417=1,AB1416/AE1416&gt;=K1417),1,0)</x:f>
        <x:v>0</x:v>
      </x:c>
      <x:c r="AD1417" s="8" t="n">
        <x:f>H1417*IF(AND(OR(AB1416/AE1416&gt;=v01_FissionTrigger*N1417,AC1417=1),AB1416/AE1416*v01_DaughterShare&gt;=v01_MinDaughter),MAX(1,ROUND(AE1416*v01_FissionRate,0)),0)</x:f>
        <x:v>0</x:v>
      </x:c>
      <x:c r="AE1417" s="8" t="n">
        <x:f>IF(H1417=1,MAX(1,MIN(INDEX(v01_Smax,G1417),AE1416+AD1417)),AE1416)</x:f>
        <x:v>15</x:v>
      </x:c>
      <x:c r="AF1417" s="8" t="n">
        <x:f>MAX(0,AE1417-AE1416)</x:f>
        <x:v>0</x:v>
      </x:c>
      <x:c r="AG1417" s="9" t="str">
        <x:f>IF(AF1417&gt;0,B1417,"")</x:f>
      </x:c>
      <x:c r="AH1417" s="9" t="n">
        <x:f>IF(F1417&gt;=1,1,(1+v01_LowTiesShare*(AE1417-1))/AE1417)</x:f>
        <x:v>1</x:v>
      </x:c>
      <x:c r="AI1417" s="32" t="n">
        <x:f>(Z1417+v01_ElderCommons*INDEX(LM_Elder,G1417)*AA1417)*AH1417</x:f>
        <x:v>64139.732591141874</x:v>
      </x:c>
      <x:c r="AJ1417" s="32" t="n">
        <x:f>H1417*v01_CommonsCoef*AI1417^v01_CommonsExp*INDEX(LM_Commons,G1417)</x:f>
        <x:v>0</x:v>
      </x:c>
      <x:c r="AK1417" s="32" t="n">
        <x:f>H1417*v01_RoleScale*Arch_Roles*(AE1417*(INDEX(v01_ElderRolePerSett,G1417)*v01_OutElder*INDEX(LM_Elder,G1417)+INDEX(v01_ShamanPerSett,G1417)*v01_OutShaman)+Z1417*(INDEX(v01_PriestShare,G1417)*v01_OutPriest+INDEX(v01_ScribeShare,G1417)*v01_OutScribe*INDEX(LM_Scribe,G1417)+INDEX(v01_ScholarShare,G1417)*v01_OutScholar*INDEX(LM_Scholar,G1417)+INDEX(v01_ResearcherShare,G1417)*v01_OutResearcher*INDEX(LM_Researcher,G1417)))</x:f>
        <x:v>0</x:v>
      </x:c>
      <x:c r="AL1417" s="32" t="n">
        <x:f>H1417*v01_RoleScale*Arch_Roles*AE1417*INDEX(v01_MonasteryPerSett,G1417)*v01_OutMonastery*INDEX(LM_Monastery,G1417)</x:f>
        <x:v>0</x:v>
      </x:c>
      <x:c r="AM1417" s="32" t="n">
        <x:f>(AJ1417+AK1417+AL1417)/4*INDEX(LM_All,G1417)*INDEX(v01_Boon,G1417)*Arch_Insight</x:f>
        <x:v>0</x:v>
      </x:c>
      <x:c r="AN1417" s="32" t="n">
        <x:f>H1417*(v01_KHPerAdult*Z1417+v01_KHOfCommons*AJ1417/4*INDEX(LM_All,G1417))*v01_KHUsable*Arch_KH</x:f>
        <x:v>0</x:v>
      </x:c>
      <x:c r="AO1417" s="32" t="n">
        <x:f>MIN(AP1416+AN1417,AM1417*v01_KHMaxRatio)</x:f>
        <x:v>0</x:v>
      </x:c>
      <x:c r="AP1417" s="32" t="n">
        <x:f>AP1416+AN1417-AO1417</x:f>
        <x:v>0</x:v>
      </x:c>
      <x:c r="AQ1417" s="32" t="n">
        <x:f>AM1417+AO1417</x:f>
        <x:v>0</x:v>
      </x:c>
      <x:c r="AR1417" s="10" t="n">
        <x:f>IF(H1417=1,INDEX(v01_Req,G1417),0)</x:f>
        <x:v>0</x:v>
      </x:c>
      <x:c r="AS1417" s="32" t="n">
        <x:f>IF(H1417=1,IF(E1417=1,AS1416-AR1416,AS1416)+AQ1417,0)</x:f>
        <x:v>0</x:v>
      </x:c>
      <x:c r="AT1417" s="11" t="n">
        <x:f>IF(AR1417&gt;0,MIN(1,AS1417/AR1417),1)</x:f>
        <x:v>1</x:v>
      </x:c>
      <x:c r="AU1417" s="10" t="n">
        <x:f>AB1417/INDEX(v01_RepScale,G1417)</x:f>
        <x:v>90.09519605746344</x:v>
      </x:c>
      <x:c r="AV1417" s="32" t="n">
        <x:f>AM1417*60/v01_SeasonSeconds</x:f>
        <x:v>0</x:v>
      </x:c>
    </x:row>
    <x:row r="1418">
      <x:c r="A1418" s="8" t="n">
        <x:f>A1417+1</x:f>
        <x:v>1415</x:v>
      </x:c>
      <x:c r="B1418" s="9" t="n">
        <x:f>A1418*v01_SeasonSeconds/60</x:f>
        <x:v>353.75</x:v>
      </x:c>
      <x:c r="C1418" s="9" t="n">
        <x:f>A1418/4</x:f>
        <x:v>353.75</x:v>
      </x:c>
      <x:c r="D1418" s="8" t="n">
        <x:f>IF(MOD(A1418,4)=0,1,0)</x:f>
        <x:v>0</x:v>
      </x:c>
      <x:c r="E1418" s="8" t="n">
        <x:f>IF(AND(F1417&lt;=9,AS1417&gt;=AR1417),1,0)</x:f>
        <x:v>0</x:v>
      </x:c>
      <x:c r="F1418" s="8" t="n">
        <x:f>MIN(10,F1417+E1418)</x:f>
        <x:v>10</x:v>
      </x:c>
      <x:c r="G1418" s="8" t="n">
        <x:f>MIN(F1418,9)+1</x:f>
        <x:v>10</x:v>
      </x:c>
      <x:c r="H1418" s="8" t="n">
        <x:f>IF(F1418&lt;=9,1,0)</x:f>
        <x:v>0</x:v>
      </x:c>
      <x:c r="I1418" s="9" t="n">
        <x:f>MIN(10,F1417+IF(AR1417&gt;0,MIN(1,AS1417/AR1417),1))</x:f>
        <x:v>10</x:v>
      </x:c>
      <x:c r="J1418" s="32" t="n">
        <x:f>INDEX(v01_FoodCap,G1418)*Arch_FoodCap*EXP(v01_CapsByProject*SUMPRODUCT((Cap_Point&lt;=I1418)*(Cap_Kind="Food")*Cap_Ln))</x:f>
        <x:v>12000</x:v>
      </x:c>
      <x:c r="K1418" s="32" t="n">
        <x:f>J1418*MIN(1,v01_LeanBase*EXP(v01_CapsByProject*SUMPRODUCT((Cap_Point&lt;=I1418)*(Cap_Kind="Lean")*Cap_Ln)))</x:f>
        <x:v>12000</x:v>
      </x:c>
      <x:c r="L1418" s="10" t="n">
        <x:f>INDEX(v01_HousingCap,G1418)*EXP(v01_CapsByProject*SUMPRODUCT((Cap_Point&lt;=I1418)*(Cap_Kind="Housing")*Cap_Ln))</x:f>
        <x:v>20000</x:v>
      </x:c>
      <x:c r="M1418" s="10" t="n">
        <x:f>INDEX(v01_GroupCap,G1418)*v01_CohesionFactor*EXP(v01_CapsByProject*SUMPRODUCT((Cap_Point&lt;=I1418)*(Cap_Kind="Group")*Cap_Ln))</x:f>
        <x:v>1000000</x:v>
      </x:c>
      <x:c r="N1418" s="32" t="n">
        <x:f>MIN(J1418,L1418,M1418)</x:f>
        <x:v>12000</x:v>
      </x:c>
      <x:c r="O1418" s="10" t="n">
        <x:f>AE1417*N1418</x:f>
        <x:v>180000</x:v>
      </x:c>
      <x:c r="P1418" s="9" t="n">
        <x:f>MIN(1,(AB1417/(AE1417*IF(v01_GroupInCrowding=1,N1418,MIN(J1418,L1418))))^v01_CrowdingExp)</x:f>
        <x:v>0.00024569414295285325</x:v>
      </x:c>
      <x:c r="Q1418" s="9" t="n">
        <x:f>IF(D1418=1,INDEX(v01_WinterMult,G1418),1)</x:f>
        <x:v>1</x:v>
      </x:c>
      <x:c r="R1418" s="9" t="n">
        <x:f>H1418*Z1417*v01_WomenShare*v01_BaseFertility*INDEX(v01_FertMult,G1418)*Arch_Fertility*(1-P1418)</x:f>
        <x:v>0</x:v>
      </x:c>
      <x:c r="S1418" s="9" t="n">
        <x:f>H1418*Y1417*INDEX(v01_MortChild,G1418)/4*Q1418</x:f>
        <x:v>0</x:v>
      </x:c>
      <x:c r="T1418" s="9" t="n">
        <x:f>H1418*Z1417*INDEX(v01_MortAdult,G1418)*Arch_AdultMort/4*Q1418</x:f>
        <x:v>0</x:v>
      </x:c>
      <x:c r="U1418" s="9" t="n">
        <x:f>H1418*AA1417*INDEX(v01_MortElder,G1418)/4*Q1418</x:f>
        <x:v>0</x:v>
      </x:c>
      <x:c r="V1418" s="9" t="n">
        <x:f>H1418*MAX(0,AB1417-O1418)*v01_OvercapLoss</x:f>
        <x:v>0</x:v>
      </x:c>
      <x:c r="W1418" s="9" t="n">
        <x:f>H1418*Y1417/(v01_ChildYears*4)</x:f>
        <x:v>0</x:v>
      </x:c>
      <x:c r="X1418" s="9" t="n">
        <x:f>H1418*Z1417/(v01_AdultYears*4)</x:f>
        <x:v>0</x:v>
      </x:c>
      <x:c r="Y1418" s="32" t="n">
        <x:f>Y1417+R1418-S1418-W1418-Y1417*V1418/AB1417</x:f>
        <x:v>14306.18539759397</x:v>
      </x:c>
      <x:c r="Z1418" s="32" t="n">
        <x:f>Z1417+W1418-X1418-T1418-Z1417*V1418/AB1417</x:f>
        <x:v>19354.456567879548</x:v>
      </x:c>
      <x:c r="AA1418" s="32" t="n">
        <x:f>AA1417+X1418-U1418-AA1417*V1418/AB1417</x:f>
        <x:v>11386.956063258198</x:v>
      </x:c>
      <x:c r="AB1418" s="10" t="n">
        <x:f>Y1418+Z1418+AA1418</x:f>
        <x:v>45047.59802873172</x:v>
      </x:c>
      <x:c r="AC1418" s="8" t="n">
        <x:f>IF(AND(v01_WinterTrigger=1,D1418=1,AB1417/AE1417&gt;=K1418),1,0)</x:f>
        <x:v>0</x:v>
      </x:c>
      <x:c r="AD1418" s="8" t="n">
        <x:f>H1418*IF(AND(OR(AB1417/AE1417&gt;=v01_FissionTrigger*N1418,AC1418=1),AB1417/AE1417*v01_DaughterShare&gt;=v01_MinDaughter),MAX(1,ROUND(AE1417*v01_FissionRate,0)),0)</x:f>
        <x:v>0</x:v>
      </x:c>
      <x:c r="AE1418" s="8" t="n">
        <x:f>IF(H1418=1,MAX(1,MIN(INDEX(v01_Smax,G1418),AE1417+AD1418)),AE1417)</x:f>
        <x:v>15</x:v>
      </x:c>
      <x:c r="AF1418" s="8" t="n">
        <x:f>MAX(0,AE1418-AE1417)</x:f>
        <x:v>0</x:v>
      </x:c>
      <x:c r="AG1418" s="9" t="str">
        <x:f>IF(AF1418&gt;0,B1418,"")</x:f>
      </x:c>
      <x:c r="AH1418" s="9" t="n">
        <x:f>IF(F1418&gt;=1,1,(1+v01_LowTiesShare*(AE1418-1))/AE1418)</x:f>
        <x:v>1</x:v>
      </x:c>
      <x:c r="AI1418" s="32" t="n">
        <x:f>(Z1418+v01_ElderCommons*INDEX(LM_Elder,G1418)*AA1418)*AH1418</x:f>
        <x:v>64139.732591141874</x:v>
      </x:c>
      <x:c r="AJ1418" s="32" t="n">
        <x:f>H1418*v01_CommonsCoef*AI1418^v01_CommonsExp*INDEX(LM_Commons,G1418)</x:f>
        <x:v>0</x:v>
      </x:c>
      <x:c r="AK1418" s="32" t="n">
        <x:f>H1418*v01_RoleScale*Arch_Roles*(AE1418*(INDEX(v01_ElderRolePerSett,G1418)*v01_OutElder*INDEX(LM_Elder,G1418)+INDEX(v01_ShamanPerSett,G1418)*v01_OutShaman)+Z1418*(INDEX(v01_PriestShare,G1418)*v01_OutPriest+INDEX(v01_ScribeShare,G1418)*v01_OutScribe*INDEX(LM_Scribe,G1418)+INDEX(v01_ScholarShare,G1418)*v01_OutScholar*INDEX(LM_Scholar,G1418)+INDEX(v01_ResearcherShare,G1418)*v01_OutResearcher*INDEX(LM_Researcher,G1418)))</x:f>
        <x:v>0</x:v>
      </x:c>
      <x:c r="AL1418" s="32" t="n">
        <x:f>H1418*v01_RoleScale*Arch_Roles*AE1418*INDEX(v01_MonasteryPerSett,G1418)*v01_OutMonastery*INDEX(LM_Monastery,G1418)</x:f>
        <x:v>0</x:v>
      </x:c>
      <x:c r="AM1418" s="32" t="n">
        <x:f>(AJ1418+AK1418+AL1418)/4*INDEX(LM_All,G1418)*INDEX(v01_Boon,G1418)*Arch_Insight</x:f>
        <x:v>0</x:v>
      </x:c>
      <x:c r="AN1418" s="32" t="n">
        <x:f>H1418*(v01_KHPerAdult*Z1418+v01_KHOfCommons*AJ1418/4*INDEX(LM_All,G1418))*v01_KHUsable*Arch_KH</x:f>
        <x:v>0</x:v>
      </x:c>
      <x:c r="AO1418" s="32" t="n">
        <x:f>MIN(AP1417+AN1418,AM1418*v01_KHMaxRatio)</x:f>
        <x:v>0</x:v>
      </x:c>
      <x:c r="AP1418" s="32" t="n">
        <x:f>AP1417+AN1418-AO1418</x:f>
        <x:v>0</x:v>
      </x:c>
      <x:c r="AQ1418" s="32" t="n">
        <x:f>AM1418+AO1418</x:f>
        <x:v>0</x:v>
      </x:c>
      <x:c r="AR1418" s="10" t="n">
        <x:f>IF(H1418=1,INDEX(v01_Req,G1418),0)</x:f>
        <x:v>0</x:v>
      </x:c>
      <x:c r="AS1418" s="32" t="n">
        <x:f>IF(H1418=1,IF(E1418=1,AS1417-AR1417,AS1417)+AQ1418,0)</x:f>
        <x:v>0</x:v>
      </x:c>
      <x:c r="AT1418" s="11" t="n">
        <x:f>IF(AR1418&gt;0,MIN(1,AS1418/AR1418),1)</x:f>
        <x:v>1</x:v>
      </x:c>
      <x:c r="AU1418" s="10" t="n">
        <x:f>AB1418/INDEX(v01_RepScale,G1418)</x:f>
        <x:v>90.09519605746344</x:v>
      </x:c>
      <x:c r="AV1418" s="32" t="n">
        <x:f>AM1418*60/v01_SeasonSeconds</x:f>
        <x:v>0</x:v>
      </x:c>
    </x:row>
    <x:row r="1419">
      <x:c r="A1419" s="8" t="n">
        <x:f>A1418+1</x:f>
        <x:v>1416</x:v>
      </x:c>
      <x:c r="B1419" s="9" t="n">
        <x:f>A1419*v01_SeasonSeconds/60</x:f>
        <x:v>354</x:v>
      </x:c>
      <x:c r="C1419" s="9" t="n">
        <x:f>A1419/4</x:f>
        <x:v>354</x:v>
      </x:c>
      <x:c r="D1419" s="8" t="n">
        <x:f>IF(MOD(A1419,4)=0,1,0)</x:f>
        <x:v>1</x:v>
      </x:c>
      <x:c r="E1419" s="8" t="n">
        <x:f>IF(AND(F1418&lt;=9,AS1418&gt;=AR1418),1,0)</x:f>
        <x:v>0</x:v>
      </x:c>
      <x:c r="F1419" s="8" t="n">
        <x:f>MIN(10,F1418+E1419)</x:f>
        <x:v>10</x:v>
      </x:c>
      <x:c r="G1419" s="8" t="n">
        <x:f>MIN(F1419,9)+1</x:f>
        <x:v>10</x:v>
      </x:c>
      <x:c r="H1419" s="8" t="n">
        <x:f>IF(F1419&lt;=9,1,0)</x:f>
        <x:v>0</x:v>
      </x:c>
      <x:c r="I1419" s="9" t="n">
        <x:f>MIN(10,F1418+IF(AR1418&gt;0,MIN(1,AS1418/AR1418),1))</x:f>
        <x:v>10</x:v>
      </x:c>
      <x:c r="J1419" s="32" t="n">
        <x:f>INDEX(v01_FoodCap,G1419)*Arch_FoodCap*EXP(v01_CapsByProject*SUMPRODUCT((Cap_Point&lt;=I1419)*(Cap_Kind="Food")*Cap_Ln))</x:f>
        <x:v>12000</x:v>
      </x:c>
      <x:c r="K1419" s="32" t="n">
        <x:f>J1419*MIN(1,v01_LeanBase*EXP(v01_CapsByProject*SUMPRODUCT((Cap_Point&lt;=I1419)*(Cap_Kind="Lean")*Cap_Ln)))</x:f>
        <x:v>12000</x:v>
      </x:c>
      <x:c r="L1419" s="10" t="n">
        <x:f>INDEX(v01_HousingCap,G1419)*EXP(v01_CapsByProject*SUMPRODUCT((Cap_Point&lt;=I1419)*(Cap_Kind="Housing")*Cap_Ln))</x:f>
        <x:v>20000</x:v>
      </x:c>
      <x:c r="M1419" s="10" t="n">
        <x:f>INDEX(v01_GroupCap,G1419)*v01_CohesionFactor*EXP(v01_CapsByProject*SUMPRODUCT((Cap_Point&lt;=I1419)*(Cap_Kind="Group")*Cap_Ln))</x:f>
        <x:v>1000000</x:v>
      </x:c>
      <x:c r="N1419" s="32" t="n">
        <x:f>MIN(J1419,L1419,M1419)</x:f>
        <x:v>12000</x:v>
      </x:c>
      <x:c r="O1419" s="10" t="n">
        <x:f>AE1418*N1419</x:f>
        <x:v>180000</x:v>
      </x:c>
      <x:c r="P1419" s="9" t="n">
        <x:f>MIN(1,(AB1418/(AE1418*IF(v01_GroupInCrowding=1,N1419,MIN(J1419,L1419))))^v01_CrowdingExp)</x:f>
        <x:v>0.00024569414295285325</x:v>
      </x:c>
      <x:c r="Q1419" s="9" t="n">
        <x:f>IF(D1419=1,INDEX(v01_WinterMult,G1419),1)</x:f>
        <x:v>1</x:v>
      </x:c>
      <x:c r="R1419" s="9" t="n">
        <x:f>H1419*Z1418*v01_WomenShare*v01_BaseFertility*INDEX(v01_FertMult,G1419)*Arch_Fertility*(1-P1419)</x:f>
        <x:v>0</x:v>
      </x:c>
      <x:c r="S1419" s="9" t="n">
        <x:f>H1419*Y1418*INDEX(v01_MortChild,G1419)/4*Q1419</x:f>
        <x:v>0</x:v>
      </x:c>
      <x:c r="T1419" s="9" t="n">
        <x:f>H1419*Z1418*INDEX(v01_MortAdult,G1419)*Arch_AdultMort/4*Q1419</x:f>
        <x:v>0</x:v>
      </x:c>
      <x:c r="U1419" s="9" t="n">
        <x:f>H1419*AA1418*INDEX(v01_MortElder,G1419)/4*Q1419</x:f>
        <x:v>0</x:v>
      </x:c>
      <x:c r="V1419" s="9" t="n">
        <x:f>H1419*MAX(0,AB1418-O1419)*v01_OvercapLoss</x:f>
        <x:v>0</x:v>
      </x:c>
      <x:c r="W1419" s="9" t="n">
        <x:f>H1419*Y1418/(v01_ChildYears*4)</x:f>
        <x:v>0</x:v>
      </x:c>
      <x:c r="X1419" s="9" t="n">
        <x:f>H1419*Z1418/(v01_AdultYears*4)</x:f>
        <x:v>0</x:v>
      </x:c>
      <x:c r="Y1419" s="32" t="n">
        <x:f>Y1418+R1419-S1419-W1419-Y1418*V1419/AB1418</x:f>
        <x:v>14306.18539759397</x:v>
      </x:c>
      <x:c r="Z1419" s="32" t="n">
        <x:f>Z1418+W1419-X1419-T1419-Z1418*V1419/AB1418</x:f>
        <x:v>19354.456567879548</x:v>
      </x:c>
      <x:c r="AA1419" s="32" t="n">
        <x:f>AA1418+X1419-U1419-AA1418*V1419/AB1418</x:f>
        <x:v>11386.956063258198</x:v>
      </x:c>
      <x:c r="AB1419" s="10" t="n">
        <x:f>Y1419+Z1419+AA1419</x:f>
        <x:v>45047.59802873172</x:v>
      </x:c>
      <x:c r="AC1419" s="8" t="n">
        <x:f>IF(AND(v01_WinterTrigger=1,D1419=1,AB1418/AE1418&gt;=K1419),1,0)</x:f>
        <x:v>0</x:v>
      </x:c>
      <x:c r="AD1419" s="8" t="n">
        <x:f>H1419*IF(AND(OR(AB1418/AE1418&gt;=v01_FissionTrigger*N1419,AC1419=1),AB1418/AE1418*v01_DaughterShare&gt;=v01_MinDaughter),MAX(1,ROUND(AE1418*v01_FissionRate,0)),0)</x:f>
        <x:v>0</x:v>
      </x:c>
      <x:c r="AE1419" s="8" t="n">
        <x:f>IF(H1419=1,MAX(1,MIN(INDEX(v01_Smax,G1419),AE1418+AD1419)),AE1418)</x:f>
        <x:v>15</x:v>
      </x:c>
      <x:c r="AF1419" s="8" t="n">
        <x:f>MAX(0,AE1419-AE1418)</x:f>
        <x:v>0</x:v>
      </x:c>
      <x:c r="AG1419" s="9" t="str">
        <x:f>IF(AF1419&gt;0,B1419,"")</x:f>
      </x:c>
      <x:c r="AH1419" s="9" t="n">
        <x:f>IF(F1419&gt;=1,1,(1+v01_LowTiesShare*(AE1419-1))/AE1419)</x:f>
        <x:v>1</x:v>
      </x:c>
      <x:c r="AI1419" s="32" t="n">
        <x:f>(Z1419+v01_ElderCommons*INDEX(LM_Elder,G1419)*AA1419)*AH1419</x:f>
        <x:v>64139.732591141874</x:v>
      </x:c>
      <x:c r="AJ1419" s="32" t="n">
        <x:f>H1419*v01_CommonsCoef*AI1419^v01_CommonsExp*INDEX(LM_Commons,G1419)</x:f>
        <x:v>0</x:v>
      </x:c>
      <x:c r="AK1419" s="32" t="n">
        <x:f>H1419*v01_RoleScale*Arch_Roles*(AE1419*(INDEX(v01_ElderRolePerSett,G1419)*v01_OutElder*INDEX(LM_Elder,G1419)+INDEX(v01_ShamanPerSett,G1419)*v01_OutShaman)+Z1419*(INDEX(v01_PriestShare,G1419)*v01_OutPriest+INDEX(v01_ScribeShare,G1419)*v01_OutScribe*INDEX(LM_Scribe,G1419)+INDEX(v01_ScholarShare,G1419)*v01_OutScholar*INDEX(LM_Scholar,G1419)+INDEX(v01_ResearcherShare,G1419)*v01_OutResearcher*INDEX(LM_Researcher,G1419)))</x:f>
        <x:v>0</x:v>
      </x:c>
      <x:c r="AL1419" s="32" t="n">
        <x:f>H1419*v01_RoleScale*Arch_Roles*AE1419*INDEX(v01_MonasteryPerSett,G1419)*v01_OutMonastery*INDEX(LM_Monastery,G1419)</x:f>
        <x:v>0</x:v>
      </x:c>
      <x:c r="AM1419" s="32" t="n">
        <x:f>(AJ1419+AK1419+AL1419)/4*INDEX(LM_All,G1419)*INDEX(v01_Boon,G1419)*Arch_Insight</x:f>
        <x:v>0</x:v>
      </x:c>
      <x:c r="AN1419" s="32" t="n">
        <x:f>H1419*(v01_KHPerAdult*Z1419+v01_KHOfCommons*AJ1419/4*INDEX(LM_All,G1419))*v01_KHUsable*Arch_KH</x:f>
        <x:v>0</x:v>
      </x:c>
      <x:c r="AO1419" s="32" t="n">
        <x:f>MIN(AP1418+AN1419,AM1419*v01_KHMaxRatio)</x:f>
        <x:v>0</x:v>
      </x:c>
      <x:c r="AP1419" s="32" t="n">
        <x:f>AP1418+AN1419-AO1419</x:f>
        <x:v>0</x:v>
      </x:c>
      <x:c r="AQ1419" s="32" t="n">
        <x:f>AM1419+AO1419</x:f>
        <x:v>0</x:v>
      </x:c>
      <x:c r="AR1419" s="10" t="n">
        <x:f>IF(H1419=1,INDEX(v01_Req,G1419),0)</x:f>
        <x:v>0</x:v>
      </x:c>
      <x:c r="AS1419" s="32" t="n">
        <x:f>IF(H1419=1,IF(E1419=1,AS1418-AR1418,AS1418)+AQ1419,0)</x:f>
        <x:v>0</x:v>
      </x:c>
      <x:c r="AT1419" s="11" t="n">
        <x:f>IF(AR1419&gt;0,MIN(1,AS1419/AR1419),1)</x:f>
        <x:v>1</x:v>
      </x:c>
      <x:c r="AU1419" s="10" t="n">
        <x:f>AB1419/INDEX(v01_RepScale,G1419)</x:f>
        <x:v>90.09519605746344</x:v>
      </x:c>
      <x:c r="AV1419" s="32" t="n">
        <x:f>AM1419*60/v01_SeasonSeconds</x:f>
        <x:v>0</x:v>
      </x:c>
    </x:row>
    <x:row r="1420">
      <x:c r="A1420" s="8" t="n">
        <x:f>A1419+1</x:f>
        <x:v>1417</x:v>
      </x:c>
      <x:c r="B1420" s="9" t="n">
        <x:f>A1420*v01_SeasonSeconds/60</x:f>
        <x:v>354.25</x:v>
      </x:c>
      <x:c r="C1420" s="9" t="n">
        <x:f>A1420/4</x:f>
        <x:v>354.25</x:v>
      </x:c>
      <x:c r="D1420" s="8" t="n">
        <x:f>IF(MOD(A1420,4)=0,1,0)</x:f>
        <x:v>0</x:v>
      </x:c>
      <x:c r="E1420" s="8" t="n">
        <x:f>IF(AND(F1419&lt;=9,AS1419&gt;=AR1419),1,0)</x:f>
        <x:v>0</x:v>
      </x:c>
      <x:c r="F1420" s="8" t="n">
        <x:f>MIN(10,F1419+E1420)</x:f>
        <x:v>10</x:v>
      </x:c>
      <x:c r="G1420" s="8" t="n">
        <x:f>MIN(F1420,9)+1</x:f>
        <x:v>10</x:v>
      </x:c>
      <x:c r="H1420" s="8" t="n">
        <x:f>IF(F1420&lt;=9,1,0)</x:f>
        <x:v>0</x:v>
      </x:c>
      <x:c r="I1420" s="9" t="n">
        <x:f>MIN(10,F1419+IF(AR1419&gt;0,MIN(1,AS1419/AR1419),1))</x:f>
        <x:v>10</x:v>
      </x:c>
      <x:c r="J1420" s="32" t="n">
        <x:f>INDEX(v01_FoodCap,G1420)*Arch_FoodCap*EXP(v01_CapsByProject*SUMPRODUCT((Cap_Point&lt;=I1420)*(Cap_Kind="Food")*Cap_Ln))</x:f>
        <x:v>12000</x:v>
      </x:c>
      <x:c r="K1420" s="32" t="n">
        <x:f>J1420*MIN(1,v01_LeanBase*EXP(v01_CapsByProject*SUMPRODUCT((Cap_Point&lt;=I1420)*(Cap_Kind="Lean")*Cap_Ln)))</x:f>
        <x:v>12000</x:v>
      </x:c>
      <x:c r="L1420" s="10" t="n">
        <x:f>INDEX(v01_HousingCap,G1420)*EXP(v01_CapsByProject*SUMPRODUCT((Cap_Point&lt;=I1420)*(Cap_Kind="Housing")*Cap_Ln))</x:f>
        <x:v>20000</x:v>
      </x:c>
      <x:c r="M1420" s="10" t="n">
        <x:f>INDEX(v01_GroupCap,G1420)*v01_CohesionFactor*EXP(v01_CapsByProject*SUMPRODUCT((Cap_Point&lt;=I1420)*(Cap_Kind="Group")*Cap_Ln))</x:f>
        <x:v>1000000</x:v>
      </x:c>
      <x:c r="N1420" s="32" t="n">
        <x:f>MIN(J1420,L1420,M1420)</x:f>
        <x:v>12000</x:v>
      </x:c>
      <x:c r="O1420" s="10" t="n">
        <x:f>AE1419*N1420</x:f>
        <x:v>180000</x:v>
      </x:c>
      <x:c r="P1420" s="9" t="n">
        <x:f>MIN(1,(AB1419/(AE1419*IF(v01_GroupInCrowding=1,N1420,MIN(J1420,L1420))))^v01_CrowdingExp)</x:f>
        <x:v>0.00024569414295285325</x:v>
      </x:c>
      <x:c r="Q1420" s="9" t="n">
        <x:f>IF(D1420=1,INDEX(v01_WinterMult,G1420),1)</x:f>
        <x:v>1</x:v>
      </x:c>
      <x:c r="R1420" s="9" t="n">
        <x:f>H1420*Z1419*v01_WomenShare*v01_BaseFertility*INDEX(v01_FertMult,G1420)*Arch_Fertility*(1-P1420)</x:f>
        <x:v>0</x:v>
      </x:c>
      <x:c r="S1420" s="9" t="n">
        <x:f>H1420*Y1419*INDEX(v01_MortChild,G1420)/4*Q1420</x:f>
        <x:v>0</x:v>
      </x:c>
      <x:c r="T1420" s="9" t="n">
        <x:f>H1420*Z1419*INDEX(v01_MortAdult,G1420)*Arch_AdultMort/4*Q1420</x:f>
        <x:v>0</x:v>
      </x:c>
      <x:c r="U1420" s="9" t="n">
        <x:f>H1420*AA1419*INDEX(v01_MortElder,G1420)/4*Q1420</x:f>
        <x:v>0</x:v>
      </x:c>
      <x:c r="V1420" s="9" t="n">
        <x:f>H1420*MAX(0,AB1419-O1420)*v01_OvercapLoss</x:f>
        <x:v>0</x:v>
      </x:c>
      <x:c r="W1420" s="9" t="n">
        <x:f>H1420*Y1419/(v01_ChildYears*4)</x:f>
        <x:v>0</x:v>
      </x:c>
      <x:c r="X1420" s="9" t="n">
        <x:f>H1420*Z1419/(v01_AdultYears*4)</x:f>
        <x:v>0</x:v>
      </x:c>
      <x:c r="Y1420" s="32" t="n">
        <x:f>Y1419+R1420-S1420-W1420-Y1419*V1420/AB1419</x:f>
        <x:v>14306.18539759397</x:v>
      </x:c>
      <x:c r="Z1420" s="32" t="n">
        <x:f>Z1419+W1420-X1420-T1420-Z1419*V1420/AB1419</x:f>
        <x:v>19354.456567879548</x:v>
      </x:c>
      <x:c r="AA1420" s="32" t="n">
        <x:f>AA1419+X1420-U1420-AA1419*V1420/AB1419</x:f>
        <x:v>11386.956063258198</x:v>
      </x:c>
      <x:c r="AB1420" s="10" t="n">
        <x:f>Y1420+Z1420+AA1420</x:f>
        <x:v>45047.59802873172</x:v>
      </x:c>
      <x:c r="AC1420" s="8" t="n">
        <x:f>IF(AND(v01_WinterTrigger=1,D1420=1,AB1419/AE1419&gt;=K1420),1,0)</x:f>
        <x:v>0</x:v>
      </x:c>
      <x:c r="AD1420" s="8" t="n">
        <x:f>H1420*IF(AND(OR(AB1419/AE1419&gt;=v01_FissionTrigger*N1420,AC1420=1),AB1419/AE1419*v01_DaughterShare&gt;=v01_MinDaughter),MAX(1,ROUND(AE1419*v01_FissionRate,0)),0)</x:f>
        <x:v>0</x:v>
      </x:c>
      <x:c r="AE1420" s="8" t="n">
        <x:f>IF(H1420=1,MAX(1,MIN(INDEX(v01_Smax,G1420),AE1419+AD1420)),AE1419)</x:f>
        <x:v>15</x:v>
      </x:c>
      <x:c r="AF1420" s="8" t="n">
        <x:f>MAX(0,AE1420-AE1419)</x:f>
        <x:v>0</x:v>
      </x:c>
      <x:c r="AG1420" s="9" t="str">
        <x:f>IF(AF1420&gt;0,B1420,"")</x:f>
      </x:c>
      <x:c r="AH1420" s="9" t="n">
        <x:f>IF(F1420&gt;=1,1,(1+v01_LowTiesShare*(AE1420-1))/AE1420)</x:f>
        <x:v>1</x:v>
      </x:c>
      <x:c r="AI1420" s="32" t="n">
        <x:f>(Z1420+v01_ElderCommons*INDEX(LM_Elder,G1420)*AA1420)*AH1420</x:f>
        <x:v>64139.732591141874</x:v>
      </x:c>
      <x:c r="AJ1420" s="32" t="n">
        <x:f>H1420*v01_CommonsCoef*AI1420^v01_CommonsExp*INDEX(LM_Commons,G1420)</x:f>
        <x:v>0</x:v>
      </x:c>
      <x:c r="AK1420" s="32" t="n">
        <x:f>H1420*v01_RoleScale*Arch_Roles*(AE1420*(INDEX(v01_ElderRolePerSett,G1420)*v01_OutElder*INDEX(LM_Elder,G1420)+INDEX(v01_ShamanPerSett,G1420)*v01_OutShaman)+Z1420*(INDEX(v01_PriestShare,G1420)*v01_OutPriest+INDEX(v01_ScribeShare,G1420)*v01_OutScribe*INDEX(LM_Scribe,G1420)+INDEX(v01_ScholarShare,G1420)*v01_OutScholar*INDEX(LM_Scholar,G1420)+INDEX(v01_ResearcherShare,G1420)*v01_OutResearcher*INDEX(LM_Researcher,G1420)))</x:f>
        <x:v>0</x:v>
      </x:c>
      <x:c r="AL1420" s="32" t="n">
        <x:f>H1420*v01_RoleScale*Arch_Roles*AE1420*INDEX(v01_MonasteryPerSett,G1420)*v01_OutMonastery*INDEX(LM_Monastery,G1420)</x:f>
        <x:v>0</x:v>
      </x:c>
      <x:c r="AM1420" s="32" t="n">
        <x:f>(AJ1420+AK1420+AL1420)/4*INDEX(LM_All,G1420)*INDEX(v01_Boon,G1420)*Arch_Insight</x:f>
        <x:v>0</x:v>
      </x:c>
      <x:c r="AN1420" s="32" t="n">
        <x:f>H1420*(v01_KHPerAdult*Z1420+v01_KHOfCommons*AJ1420/4*INDEX(LM_All,G1420))*v01_KHUsable*Arch_KH</x:f>
        <x:v>0</x:v>
      </x:c>
      <x:c r="AO1420" s="32" t="n">
        <x:f>MIN(AP1419+AN1420,AM1420*v01_KHMaxRatio)</x:f>
        <x:v>0</x:v>
      </x:c>
      <x:c r="AP1420" s="32" t="n">
        <x:f>AP1419+AN1420-AO1420</x:f>
        <x:v>0</x:v>
      </x:c>
      <x:c r="AQ1420" s="32" t="n">
        <x:f>AM1420+AO1420</x:f>
        <x:v>0</x:v>
      </x:c>
      <x:c r="AR1420" s="10" t="n">
        <x:f>IF(H1420=1,INDEX(v01_Req,G1420),0)</x:f>
        <x:v>0</x:v>
      </x:c>
      <x:c r="AS1420" s="32" t="n">
        <x:f>IF(H1420=1,IF(E1420=1,AS1419-AR1419,AS1419)+AQ1420,0)</x:f>
        <x:v>0</x:v>
      </x:c>
      <x:c r="AT1420" s="11" t="n">
        <x:f>IF(AR1420&gt;0,MIN(1,AS1420/AR1420),1)</x:f>
        <x:v>1</x:v>
      </x:c>
      <x:c r="AU1420" s="10" t="n">
        <x:f>AB1420/INDEX(v01_RepScale,G1420)</x:f>
        <x:v>90.09519605746344</x:v>
      </x:c>
      <x:c r="AV1420" s="32" t="n">
        <x:f>AM1420*60/v01_SeasonSeconds</x:f>
        <x:v>0</x:v>
      </x:c>
    </x:row>
    <x:row r="1421">
      <x:c r="A1421" s="8" t="n">
        <x:f>A1420+1</x:f>
        <x:v>1418</x:v>
      </x:c>
      <x:c r="B1421" s="9" t="n">
        <x:f>A1421*v01_SeasonSeconds/60</x:f>
        <x:v>354.5</x:v>
      </x:c>
      <x:c r="C1421" s="9" t="n">
        <x:f>A1421/4</x:f>
        <x:v>354.5</x:v>
      </x:c>
      <x:c r="D1421" s="8" t="n">
        <x:f>IF(MOD(A1421,4)=0,1,0)</x:f>
        <x:v>0</x:v>
      </x:c>
      <x:c r="E1421" s="8" t="n">
        <x:f>IF(AND(F1420&lt;=9,AS1420&gt;=AR1420),1,0)</x:f>
        <x:v>0</x:v>
      </x:c>
      <x:c r="F1421" s="8" t="n">
        <x:f>MIN(10,F1420+E1421)</x:f>
        <x:v>10</x:v>
      </x:c>
      <x:c r="G1421" s="8" t="n">
        <x:f>MIN(F1421,9)+1</x:f>
        <x:v>10</x:v>
      </x:c>
      <x:c r="H1421" s="8" t="n">
        <x:f>IF(F1421&lt;=9,1,0)</x:f>
        <x:v>0</x:v>
      </x:c>
      <x:c r="I1421" s="9" t="n">
        <x:f>MIN(10,F1420+IF(AR1420&gt;0,MIN(1,AS1420/AR1420),1))</x:f>
        <x:v>10</x:v>
      </x:c>
      <x:c r="J1421" s="32" t="n">
        <x:f>INDEX(v01_FoodCap,G1421)*Arch_FoodCap*EXP(v01_CapsByProject*SUMPRODUCT((Cap_Point&lt;=I1421)*(Cap_Kind="Food")*Cap_Ln))</x:f>
        <x:v>12000</x:v>
      </x:c>
      <x:c r="K1421" s="32" t="n">
        <x:f>J1421*MIN(1,v01_LeanBase*EXP(v01_CapsByProject*SUMPRODUCT((Cap_Point&lt;=I1421)*(Cap_Kind="Lean")*Cap_Ln)))</x:f>
        <x:v>12000</x:v>
      </x:c>
      <x:c r="L1421" s="10" t="n">
        <x:f>INDEX(v01_HousingCap,G1421)*EXP(v01_CapsByProject*SUMPRODUCT((Cap_Point&lt;=I1421)*(Cap_Kind="Housing")*Cap_Ln))</x:f>
        <x:v>20000</x:v>
      </x:c>
      <x:c r="M1421" s="10" t="n">
        <x:f>INDEX(v01_GroupCap,G1421)*v01_CohesionFactor*EXP(v01_CapsByProject*SUMPRODUCT((Cap_Point&lt;=I1421)*(Cap_Kind="Group")*Cap_Ln))</x:f>
        <x:v>1000000</x:v>
      </x:c>
      <x:c r="N1421" s="32" t="n">
        <x:f>MIN(J1421,L1421,M1421)</x:f>
        <x:v>12000</x:v>
      </x:c>
      <x:c r="O1421" s="10" t="n">
        <x:f>AE1420*N1421</x:f>
        <x:v>180000</x:v>
      </x:c>
      <x:c r="P1421" s="9" t="n">
        <x:f>MIN(1,(AB1420/(AE1420*IF(v01_GroupInCrowding=1,N1421,MIN(J1421,L1421))))^v01_CrowdingExp)</x:f>
        <x:v>0.00024569414295285325</x:v>
      </x:c>
      <x:c r="Q1421" s="9" t="n">
        <x:f>IF(D1421=1,INDEX(v01_WinterMult,G1421),1)</x:f>
        <x:v>1</x:v>
      </x:c>
      <x:c r="R1421" s="9" t="n">
        <x:f>H1421*Z1420*v01_WomenShare*v01_BaseFertility*INDEX(v01_FertMult,G1421)*Arch_Fertility*(1-P1421)</x:f>
        <x:v>0</x:v>
      </x:c>
      <x:c r="S1421" s="9" t="n">
        <x:f>H1421*Y1420*INDEX(v01_MortChild,G1421)/4*Q1421</x:f>
        <x:v>0</x:v>
      </x:c>
      <x:c r="T1421" s="9" t="n">
        <x:f>H1421*Z1420*INDEX(v01_MortAdult,G1421)*Arch_AdultMort/4*Q1421</x:f>
        <x:v>0</x:v>
      </x:c>
      <x:c r="U1421" s="9" t="n">
        <x:f>H1421*AA1420*INDEX(v01_MortElder,G1421)/4*Q1421</x:f>
        <x:v>0</x:v>
      </x:c>
      <x:c r="V1421" s="9" t="n">
        <x:f>H1421*MAX(0,AB1420-O1421)*v01_OvercapLoss</x:f>
        <x:v>0</x:v>
      </x:c>
      <x:c r="W1421" s="9" t="n">
        <x:f>H1421*Y1420/(v01_ChildYears*4)</x:f>
        <x:v>0</x:v>
      </x:c>
      <x:c r="X1421" s="9" t="n">
        <x:f>H1421*Z1420/(v01_AdultYears*4)</x:f>
        <x:v>0</x:v>
      </x:c>
      <x:c r="Y1421" s="32" t="n">
        <x:f>Y1420+R1421-S1421-W1421-Y1420*V1421/AB1420</x:f>
        <x:v>14306.18539759397</x:v>
      </x:c>
      <x:c r="Z1421" s="32" t="n">
        <x:f>Z1420+W1421-X1421-T1421-Z1420*V1421/AB1420</x:f>
        <x:v>19354.456567879548</x:v>
      </x:c>
      <x:c r="AA1421" s="32" t="n">
        <x:f>AA1420+X1421-U1421-AA1420*V1421/AB1420</x:f>
        <x:v>11386.956063258198</x:v>
      </x:c>
      <x:c r="AB1421" s="10" t="n">
        <x:f>Y1421+Z1421+AA1421</x:f>
        <x:v>45047.59802873172</x:v>
      </x:c>
      <x:c r="AC1421" s="8" t="n">
        <x:f>IF(AND(v01_WinterTrigger=1,D1421=1,AB1420/AE1420&gt;=K1421),1,0)</x:f>
        <x:v>0</x:v>
      </x:c>
      <x:c r="AD1421" s="8" t="n">
        <x:f>H1421*IF(AND(OR(AB1420/AE1420&gt;=v01_FissionTrigger*N1421,AC1421=1),AB1420/AE1420*v01_DaughterShare&gt;=v01_MinDaughter),MAX(1,ROUND(AE1420*v01_FissionRate,0)),0)</x:f>
        <x:v>0</x:v>
      </x:c>
      <x:c r="AE1421" s="8" t="n">
        <x:f>IF(H1421=1,MAX(1,MIN(INDEX(v01_Smax,G1421),AE1420+AD1421)),AE1420)</x:f>
        <x:v>15</x:v>
      </x:c>
      <x:c r="AF1421" s="8" t="n">
        <x:f>MAX(0,AE1421-AE1420)</x:f>
        <x:v>0</x:v>
      </x:c>
      <x:c r="AG1421" s="9" t="str">
        <x:f>IF(AF1421&gt;0,B1421,"")</x:f>
      </x:c>
      <x:c r="AH1421" s="9" t="n">
        <x:f>IF(F1421&gt;=1,1,(1+v01_LowTiesShare*(AE1421-1))/AE1421)</x:f>
        <x:v>1</x:v>
      </x:c>
      <x:c r="AI1421" s="32" t="n">
        <x:f>(Z1421+v01_ElderCommons*INDEX(LM_Elder,G1421)*AA1421)*AH1421</x:f>
        <x:v>64139.732591141874</x:v>
      </x:c>
      <x:c r="AJ1421" s="32" t="n">
        <x:f>H1421*v01_CommonsCoef*AI1421^v01_CommonsExp*INDEX(LM_Commons,G1421)</x:f>
        <x:v>0</x:v>
      </x:c>
      <x:c r="AK1421" s="32" t="n">
        <x:f>H1421*v01_RoleScale*Arch_Roles*(AE1421*(INDEX(v01_ElderRolePerSett,G1421)*v01_OutElder*INDEX(LM_Elder,G1421)+INDEX(v01_ShamanPerSett,G1421)*v01_OutShaman)+Z1421*(INDEX(v01_PriestShare,G1421)*v01_OutPriest+INDEX(v01_ScribeShare,G1421)*v01_OutScribe*INDEX(LM_Scribe,G1421)+INDEX(v01_ScholarShare,G1421)*v01_OutScholar*INDEX(LM_Scholar,G1421)+INDEX(v01_ResearcherShare,G1421)*v01_OutResearcher*INDEX(LM_Researcher,G1421)))</x:f>
        <x:v>0</x:v>
      </x:c>
      <x:c r="AL1421" s="32" t="n">
        <x:f>H1421*v01_RoleScale*Arch_Roles*AE1421*INDEX(v01_MonasteryPerSett,G1421)*v01_OutMonastery*INDEX(LM_Monastery,G1421)</x:f>
        <x:v>0</x:v>
      </x:c>
      <x:c r="AM1421" s="32" t="n">
        <x:f>(AJ1421+AK1421+AL1421)/4*INDEX(LM_All,G1421)*INDEX(v01_Boon,G1421)*Arch_Insight</x:f>
        <x:v>0</x:v>
      </x:c>
      <x:c r="AN1421" s="32" t="n">
        <x:f>H1421*(v01_KHPerAdult*Z1421+v01_KHOfCommons*AJ1421/4*INDEX(LM_All,G1421))*v01_KHUsable*Arch_KH</x:f>
        <x:v>0</x:v>
      </x:c>
      <x:c r="AO1421" s="32" t="n">
        <x:f>MIN(AP1420+AN1421,AM1421*v01_KHMaxRatio)</x:f>
        <x:v>0</x:v>
      </x:c>
      <x:c r="AP1421" s="32" t="n">
        <x:f>AP1420+AN1421-AO1421</x:f>
        <x:v>0</x:v>
      </x:c>
      <x:c r="AQ1421" s="32" t="n">
        <x:f>AM1421+AO1421</x:f>
        <x:v>0</x:v>
      </x:c>
      <x:c r="AR1421" s="10" t="n">
        <x:f>IF(H1421=1,INDEX(v01_Req,G1421),0)</x:f>
        <x:v>0</x:v>
      </x:c>
      <x:c r="AS1421" s="32" t="n">
        <x:f>IF(H1421=1,IF(E1421=1,AS1420-AR1420,AS1420)+AQ1421,0)</x:f>
        <x:v>0</x:v>
      </x:c>
      <x:c r="AT1421" s="11" t="n">
        <x:f>IF(AR1421&gt;0,MIN(1,AS1421/AR1421),1)</x:f>
        <x:v>1</x:v>
      </x:c>
      <x:c r="AU1421" s="10" t="n">
        <x:f>AB1421/INDEX(v01_RepScale,G1421)</x:f>
        <x:v>90.09519605746344</x:v>
      </x:c>
      <x:c r="AV1421" s="32" t="n">
        <x:f>AM1421*60/v01_SeasonSeconds</x:f>
        <x:v>0</x:v>
      </x:c>
    </x:row>
    <x:row r="1422">
      <x:c r="A1422" s="8" t="n">
        <x:f>A1421+1</x:f>
        <x:v>1419</x:v>
      </x:c>
      <x:c r="B1422" s="9" t="n">
        <x:f>A1422*v01_SeasonSeconds/60</x:f>
        <x:v>354.75</x:v>
      </x:c>
      <x:c r="C1422" s="9" t="n">
        <x:f>A1422/4</x:f>
        <x:v>354.75</x:v>
      </x:c>
      <x:c r="D1422" s="8" t="n">
        <x:f>IF(MOD(A1422,4)=0,1,0)</x:f>
        <x:v>0</x:v>
      </x:c>
      <x:c r="E1422" s="8" t="n">
        <x:f>IF(AND(F1421&lt;=9,AS1421&gt;=AR1421),1,0)</x:f>
        <x:v>0</x:v>
      </x:c>
      <x:c r="F1422" s="8" t="n">
        <x:f>MIN(10,F1421+E1422)</x:f>
        <x:v>10</x:v>
      </x:c>
      <x:c r="G1422" s="8" t="n">
        <x:f>MIN(F1422,9)+1</x:f>
        <x:v>10</x:v>
      </x:c>
      <x:c r="H1422" s="8" t="n">
        <x:f>IF(F1422&lt;=9,1,0)</x:f>
        <x:v>0</x:v>
      </x:c>
      <x:c r="I1422" s="9" t="n">
        <x:f>MIN(10,F1421+IF(AR1421&gt;0,MIN(1,AS1421/AR1421),1))</x:f>
        <x:v>10</x:v>
      </x:c>
      <x:c r="J1422" s="32" t="n">
        <x:f>INDEX(v01_FoodCap,G1422)*Arch_FoodCap*EXP(v01_CapsByProject*SUMPRODUCT((Cap_Point&lt;=I1422)*(Cap_Kind="Food")*Cap_Ln))</x:f>
        <x:v>12000</x:v>
      </x:c>
      <x:c r="K1422" s="32" t="n">
        <x:f>J1422*MIN(1,v01_LeanBase*EXP(v01_CapsByProject*SUMPRODUCT((Cap_Point&lt;=I1422)*(Cap_Kind="Lean")*Cap_Ln)))</x:f>
        <x:v>12000</x:v>
      </x:c>
      <x:c r="L1422" s="10" t="n">
        <x:f>INDEX(v01_HousingCap,G1422)*EXP(v01_CapsByProject*SUMPRODUCT((Cap_Point&lt;=I1422)*(Cap_Kind="Housing")*Cap_Ln))</x:f>
        <x:v>20000</x:v>
      </x:c>
      <x:c r="M1422" s="10" t="n">
        <x:f>INDEX(v01_GroupCap,G1422)*v01_CohesionFactor*EXP(v01_CapsByProject*SUMPRODUCT((Cap_Point&lt;=I1422)*(Cap_Kind="Group")*Cap_Ln))</x:f>
        <x:v>1000000</x:v>
      </x:c>
      <x:c r="N1422" s="32" t="n">
        <x:f>MIN(J1422,L1422,M1422)</x:f>
        <x:v>12000</x:v>
      </x:c>
      <x:c r="O1422" s="10" t="n">
        <x:f>AE1421*N1422</x:f>
        <x:v>180000</x:v>
      </x:c>
      <x:c r="P1422" s="9" t="n">
        <x:f>MIN(1,(AB1421/(AE1421*IF(v01_GroupInCrowding=1,N1422,MIN(J1422,L1422))))^v01_CrowdingExp)</x:f>
        <x:v>0.00024569414295285325</x:v>
      </x:c>
      <x:c r="Q1422" s="9" t="n">
        <x:f>IF(D1422=1,INDEX(v01_WinterMult,G1422),1)</x:f>
        <x:v>1</x:v>
      </x:c>
      <x:c r="R1422" s="9" t="n">
        <x:f>H1422*Z1421*v01_WomenShare*v01_BaseFertility*INDEX(v01_FertMult,G1422)*Arch_Fertility*(1-P1422)</x:f>
        <x:v>0</x:v>
      </x:c>
      <x:c r="S1422" s="9" t="n">
        <x:f>H1422*Y1421*INDEX(v01_MortChild,G1422)/4*Q1422</x:f>
        <x:v>0</x:v>
      </x:c>
      <x:c r="T1422" s="9" t="n">
        <x:f>H1422*Z1421*INDEX(v01_MortAdult,G1422)*Arch_AdultMort/4*Q1422</x:f>
        <x:v>0</x:v>
      </x:c>
      <x:c r="U1422" s="9" t="n">
        <x:f>H1422*AA1421*INDEX(v01_MortElder,G1422)/4*Q1422</x:f>
        <x:v>0</x:v>
      </x:c>
      <x:c r="V1422" s="9" t="n">
        <x:f>H1422*MAX(0,AB1421-O1422)*v01_OvercapLoss</x:f>
        <x:v>0</x:v>
      </x:c>
      <x:c r="W1422" s="9" t="n">
        <x:f>H1422*Y1421/(v01_ChildYears*4)</x:f>
        <x:v>0</x:v>
      </x:c>
      <x:c r="X1422" s="9" t="n">
        <x:f>H1422*Z1421/(v01_AdultYears*4)</x:f>
        <x:v>0</x:v>
      </x:c>
      <x:c r="Y1422" s="32" t="n">
        <x:f>Y1421+R1422-S1422-W1422-Y1421*V1422/AB1421</x:f>
        <x:v>14306.18539759397</x:v>
      </x:c>
      <x:c r="Z1422" s="32" t="n">
        <x:f>Z1421+W1422-X1422-T1422-Z1421*V1422/AB1421</x:f>
        <x:v>19354.456567879548</x:v>
      </x:c>
      <x:c r="AA1422" s="32" t="n">
        <x:f>AA1421+X1422-U1422-AA1421*V1422/AB1421</x:f>
        <x:v>11386.956063258198</x:v>
      </x:c>
      <x:c r="AB1422" s="10" t="n">
        <x:f>Y1422+Z1422+AA1422</x:f>
        <x:v>45047.59802873172</x:v>
      </x:c>
      <x:c r="AC1422" s="8" t="n">
        <x:f>IF(AND(v01_WinterTrigger=1,D1422=1,AB1421/AE1421&gt;=K1422),1,0)</x:f>
        <x:v>0</x:v>
      </x:c>
      <x:c r="AD1422" s="8" t="n">
        <x:f>H1422*IF(AND(OR(AB1421/AE1421&gt;=v01_FissionTrigger*N1422,AC1422=1),AB1421/AE1421*v01_DaughterShare&gt;=v01_MinDaughter),MAX(1,ROUND(AE1421*v01_FissionRate,0)),0)</x:f>
        <x:v>0</x:v>
      </x:c>
      <x:c r="AE1422" s="8" t="n">
        <x:f>IF(H1422=1,MAX(1,MIN(INDEX(v01_Smax,G1422),AE1421+AD1422)),AE1421)</x:f>
        <x:v>15</x:v>
      </x:c>
      <x:c r="AF1422" s="8" t="n">
        <x:f>MAX(0,AE1422-AE1421)</x:f>
        <x:v>0</x:v>
      </x:c>
      <x:c r="AG1422" s="9" t="str">
        <x:f>IF(AF1422&gt;0,B1422,"")</x:f>
      </x:c>
      <x:c r="AH1422" s="9" t="n">
        <x:f>IF(F1422&gt;=1,1,(1+v01_LowTiesShare*(AE1422-1))/AE1422)</x:f>
        <x:v>1</x:v>
      </x:c>
      <x:c r="AI1422" s="32" t="n">
        <x:f>(Z1422+v01_ElderCommons*INDEX(LM_Elder,G1422)*AA1422)*AH1422</x:f>
        <x:v>64139.732591141874</x:v>
      </x:c>
      <x:c r="AJ1422" s="32" t="n">
        <x:f>H1422*v01_CommonsCoef*AI1422^v01_CommonsExp*INDEX(LM_Commons,G1422)</x:f>
        <x:v>0</x:v>
      </x:c>
      <x:c r="AK1422" s="32" t="n">
        <x:f>H1422*v01_RoleScale*Arch_Roles*(AE1422*(INDEX(v01_ElderRolePerSett,G1422)*v01_OutElder*INDEX(LM_Elder,G1422)+INDEX(v01_ShamanPerSett,G1422)*v01_OutShaman)+Z1422*(INDEX(v01_PriestShare,G1422)*v01_OutPriest+INDEX(v01_ScribeShare,G1422)*v01_OutScribe*INDEX(LM_Scribe,G1422)+INDEX(v01_ScholarShare,G1422)*v01_OutScholar*INDEX(LM_Scholar,G1422)+INDEX(v01_ResearcherShare,G1422)*v01_OutResearcher*INDEX(LM_Researcher,G1422)))</x:f>
        <x:v>0</x:v>
      </x:c>
      <x:c r="AL1422" s="32" t="n">
        <x:f>H1422*v01_RoleScale*Arch_Roles*AE1422*INDEX(v01_MonasteryPerSett,G1422)*v01_OutMonastery*INDEX(LM_Monastery,G1422)</x:f>
        <x:v>0</x:v>
      </x:c>
      <x:c r="AM1422" s="32" t="n">
        <x:f>(AJ1422+AK1422+AL1422)/4*INDEX(LM_All,G1422)*INDEX(v01_Boon,G1422)*Arch_Insight</x:f>
        <x:v>0</x:v>
      </x:c>
      <x:c r="AN1422" s="32" t="n">
        <x:f>H1422*(v01_KHPerAdult*Z1422+v01_KHOfCommons*AJ1422/4*INDEX(LM_All,G1422))*v01_KHUsable*Arch_KH</x:f>
        <x:v>0</x:v>
      </x:c>
      <x:c r="AO1422" s="32" t="n">
        <x:f>MIN(AP1421+AN1422,AM1422*v01_KHMaxRatio)</x:f>
        <x:v>0</x:v>
      </x:c>
      <x:c r="AP1422" s="32" t="n">
        <x:f>AP1421+AN1422-AO1422</x:f>
        <x:v>0</x:v>
      </x:c>
      <x:c r="AQ1422" s="32" t="n">
        <x:f>AM1422+AO1422</x:f>
        <x:v>0</x:v>
      </x:c>
      <x:c r="AR1422" s="10" t="n">
        <x:f>IF(H1422=1,INDEX(v01_Req,G1422),0)</x:f>
        <x:v>0</x:v>
      </x:c>
      <x:c r="AS1422" s="32" t="n">
        <x:f>IF(H1422=1,IF(E1422=1,AS1421-AR1421,AS1421)+AQ1422,0)</x:f>
        <x:v>0</x:v>
      </x:c>
      <x:c r="AT1422" s="11" t="n">
        <x:f>IF(AR1422&gt;0,MIN(1,AS1422/AR1422),1)</x:f>
        <x:v>1</x:v>
      </x:c>
      <x:c r="AU1422" s="10" t="n">
        <x:f>AB1422/INDEX(v01_RepScale,G1422)</x:f>
        <x:v>90.09519605746344</x:v>
      </x:c>
      <x:c r="AV1422" s="32" t="n">
        <x:f>AM1422*60/v01_SeasonSeconds</x:f>
        <x:v>0</x:v>
      </x:c>
    </x:row>
    <x:row r="1423">
      <x:c r="A1423" s="8" t="n">
        <x:f>A1422+1</x:f>
        <x:v>1420</x:v>
      </x:c>
      <x:c r="B1423" s="9" t="n">
        <x:f>A1423*v01_SeasonSeconds/60</x:f>
        <x:v>355</x:v>
      </x:c>
      <x:c r="C1423" s="9" t="n">
        <x:f>A1423/4</x:f>
        <x:v>355</x:v>
      </x:c>
      <x:c r="D1423" s="8" t="n">
        <x:f>IF(MOD(A1423,4)=0,1,0)</x:f>
        <x:v>1</x:v>
      </x:c>
      <x:c r="E1423" s="8" t="n">
        <x:f>IF(AND(F1422&lt;=9,AS1422&gt;=AR1422),1,0)</x:f>
        <x:v>0</x:v>
      </x:c>
      <x:c r="F1423" s="8" t="n">
        <x:f>MIN(10,F1422+E1423)</x:f>
        <x:v>10</x:v>
      </x:c>
      <x:c r="G1423" s="8" t="n">
        <x:f>MIN(F1423,9)+1</x:f>
        <x:v>10</x:v>
      </x:c>
      <x:c r="H1423" s="8" t="n">
        <x:f>IF(F1423&lt;=9,1,0)</x:f>
        <x:v>0</x:v>
      </x:c>
      <x:c r="I1423" s="9" t="n">
        <x:f>MIN(10,F1422+IF(AR1422&gt;0,MIN(1,AS1422/AR1422),1))</x:f>
        <x:v>10</x:v>
      </x:c>
      <x:c r="J1423" s="32" t="n">
        <x:f>INDEX(v01_FoodCap,G1423)*Arch_FoodCap*EXP(v01_CapsByProject*SUMPRODUCT((Cap_Point&lt;=I1423)*(Cap_Kind="Food")*Cap_Ln))</x:f>
        <x:v>12000</x:v>
      </x:c>
      <x:c r="K1423" s="32" t="n">
        <x:f>J1423*MIN(1,v01_LeanBase*EXP(v01_CapsByProject*SUMPRODUCT((Cap_Point&lt;=I1423)*(Cap_Kind="Lean")*Cap_Ln)))</x:f>
        <x:v>12000</x:v>
      </x:c>
      <x:c r="L1423" s="10" t="n">
        <x:f>INDEX(v01_HousingCap,G1423)*EXP(v01_CapsByProject*SUMPRODUCT((Cap_Point&lt;=I1423)*(Cap_Kind="Housing")*Cap_Ln))</x:f>
        <x:v>20000</x:v>
      </x:c>
      <x:c r="M1423" s="10" t="n">
        <x:f>INDEX(v01_GroupCap,G1423)*v01_CohesionFactor*EXP(v01_CapsByProject*SUMPRODUCT((Cap_Point&lt;=I1423)*(Cap_Kind="Group")*Cap_Ln))</x:f>
        <x:v>1000000</x:v>
      </x:c>
      <x:c r="N1423" s="32" t="n">
        <x:f>MIN(J1423,L1423,M1423)</x:f>
        <x:v>12000</x:v>
      </x:c>
      <x:c r="O1423" s="10" t="n">
        <x:f>AE1422*N1423</x:f>
        <x:v>180000</x:v>
      </x:c>
      <x:c r="P1423" s="9" t="n">
        <x:f>MIN(1,(AB1422/(AE1422*IF(v01_GroupInCrowding=1,N1423,MIN(J1423,L1423))))^v01_CrowdingExp)</x:f>
        <x:v>0.00024569414295285325</x:v>
      </x:c>
      <x:c r="Q1423" s="9" t="n">
        <x:f>IF(D1423=1,INDEX(v01_WinterMult,G1423),1)</x:f>
        <x:v>1</x:v>
      </x:c>
      <x:c r="R1423" s="9" t="n">
        <x:f>H1423*Z1422*v01_WomenShare*v01_BaseFertility*INDEX(v01_FertMult,G1423)*Arch_Fertility*(1-P1423)</x:f>
        <x:v>0</x:v>
      </x:c>
      <x:c r="S1423" s="9" t="n">
        <x:f>H1423*Y1422*INDEX(v01_MortChild,G1423)/4*Q1423</x:f>
        <x:v>0</x:v>
      </x:c>
      <x:c r="T1423" s="9" t="n">
        <x:f>H1423*Z1422*INDEX(v01_MortAdult,G1423)*Arch_AdultMort/4*Q1423</x:f>
        <x:v>0</x:v>
      </x:c>
      <x:c r="U1423" s="9" t="n">
        <x:f>H1423*AA1422*INDEX(v01_MortElder,G1423)/4*Q1423</x:f>
        <x:v>0</x:v>
      </x:c>
      <x:c r="V1423" s="9" t="n">
        <x:f>H1423*MAX(0,AB1422-O1423)*v01_OvercapLoss</x:f>
        <x:v>0</x:v>
      </x:c>
      <x:c r="W1423" s="9" t="n">
        <x:f>H1423*Y1422/(v01_ChildYears*4)</x:f>
        <x:v>0</x:v>
      </x:c>
      <x:c r="X1423" s="9" t="n">
        <x:f>H1423*Z1422/(v01_AdultYears*4)</x:f>
        <x:v>0</x:v>
      </x:c>
      <x:c r="Y1423" s="32" t="n">
        <x:f>Y1422+R1423-S1423-W1423-Y1422*V1423/AB1422</x:f>
        <x:v>14306.18539759397</x:v>
      </x:c>
      <x:c r="Z1423" s="32" t="n">
        <x:f>Z1422+W1423-X1423-T1423-Z1422*V1423/AB1422</x:f>
        <x:v>19354.456567879548</x:v>
      </x:c>
      <x:c r="AA1423" s="32" t="n">
        <x:f>AA1422+X1423-U1423-AA1422*V1423/AB1422</x:f>
        <x:v>11386.956063258198</x:v>
      </x:c>
      <x:c r="AB1423" s="10" t="n">
        <x:f>Y1423+Z1423+AA1423</x:f>
        <x:v>45047.59802873172</x:v>
      </x:c>
      <x:c r="AC1423" s="8" t="n">
        <x:f>IF(AND(v01_WinterTrigger=1,D1423=1,AB1422/AE1422&gt;=K1423),1,0)</x:f>
        <x:v>0</x:v>
      </x:c>
      <x:c r="AD1423" s="8" t="n">
        <x:f>H1423*IF(AND(OR(AB1422/AE1422&gt;=v01_FissionTrigger*N1423,AC1423=1),AB1422/AE1422*v01_DaughterShare&gt;=v01_MinDaughter),MAX(1,ROUND(AE1422*v01_FissionRate,0)),0)</x:f>
        <x:v>0</x:v>
      </x:c>
      <x:c r="AE1423" s="8" t="n">
        <x:f>IF(H1423=1,MAX(1,MIN(INDEX(v01_Smax,G1423),AE1422+AD1423)),AE1422)</x:f>
        <x:v>15</x:v>
      </x:c>
      <x:c r="AF1423" s="8" t="n">
        <x:f>MAX(0,AE1423-AE1422)</x:f>
        <x:v>0</x:v>
      </x:c>
      <x:c r="AG1423" s="9" t="str">
        <x:f>IF(AF1423&gt;0,B1423,"")</x:f>
      </x:c>
      <x:c r="AH1423" s="9" t="n">
        <x:f>IF(F1423&gt;=1,1,(1+v01_LowTiesShare*(AE1423-1))/AE1423)</x:f>
        <x:v>1</x:v>
      </x:c>
      <x:c r="AI1423" s="32" t="n">
        <x:f>(Z1423+v01_ElderCommons*INDEX(LM_Elder,G1423)*AA1423)*AH1423</x:f>
        <x:v>64139.732591141874</x:v>
      </x:c>
      <x:c r="AJ1423" s="32" t="n">
        <x:f>H1423*v01_CommonsCoef*AI1423^v01_CommonsExp*INDEX(LM_Commons,G1423)</x:f>
        <x:v>0</x:v>
      </x:c>
      <x:c r="AK1423" s="32" t="n">
        <x:f>H1423*v01_RoleScale*Arch_Roles*(AE1423*(INDEX(v01_ElderRolePerSett,G1423)*v01_OutElder*INDEX(LM_Elder,G1423)+INDEX(v01_ShamanPerSett,G1423)*v01_OutShaman)+Z1423*(INDEX(v01_PriestShare,G1423)*v01_OutPriest+INDEX(v01_ScribeShare,G1423)*v01_OutScribe*INDEX(LM_Scribe,G1423)+INDEX(v01_ScholarShare,G1423)*v01_OutScholar*INDEX(LM_Scholar,G1423)+INDEX(v01_ResearcherShare,G1423)*v01_OutResearcher*INDEX(LM_Researcher,G1423)))</x:f>
        <x:v>0</x:v>
      </x:c>
      <x:c r="AL1423" s="32" t="n">
        <x:f>H1423*v01_RoleScale*Arch_Roles*AE1423*INDEX(v01_MonasteryPerSett,G1423)*v01_OutMonastery*INDEX(LM_Monastery,G1423)</x:f>
        <x:v>0</x:v>
      </x:c>
      <x:c r="AM1423" s="32" t="n">
        <x:f>(AJ1423+AK1423+AL1423)/4*INDEX(LM_All,G1423)*INDEX(v01_Boon,G1423)*Arch_Insight</x:f>
        <x:v>0</x:v>
      </x:c>
      <x:c r="AN1423" s="32" t="n">
        <x:f>H1423*(v01_KHPerAdult*Z1423+v01_KHOfCommons*AJ1423/4*INDEX(LM_All,G1423))*v01_KHUsable*Arch_KH</x:f>
        <x:v>0</x:v>
      </x:c>
      <x:c r="AO1423" s="32" t="n">
        <x:f>MIN(AP1422+AN1423,AM1423*v01_KHMaxRatio)</x:f>
        <x:v>0</x:v>
      </x:c>
      <x:c r="AP1423" s="32" t="n">
        <x:f>AP1422+AN1423-AO1423</x:f>
        <x:v>0</x:v>
      </x:c>
      <x:c r="AQ1423" s="32" t="n">
        <x:f>AM1423+AO1423</x:f>
        <x:v>0</x:v>
      </x:c>
      <x:c r="AR1423" s="10" t="n">
        <x:f>IF(H1423=1,INDEX(v01_Req,G1423),0)</x:f>
        <x:v>0</x:v>
      </x:c>
      <x:c r="AS1423" s="32" t="n">
        <x:f>IF(H1423=1,IF(E1423=1,AS1422-AR1422,AS1422)+AQ1423,0)</x:f>
        <x:v>0</x:v>
      </x:c>
      <x:c r="AT1423" s="11" t="n">
        <x:f>IF(AR1423&gt;0,MIN(1,AS1423/AR1423),1)</x:f>
        <x:v>1</x:v>
      </x:c>
      <x:c r="AU1423" s="10" t="n">
        <x:f>AB1423/INDEX(v01_RepScale,G1423)</x:f>
        <x:v>90.09519605746344</x:v>
      </x:c>
      <x:c r="AV1423" s="32" t="n">
        <x:f>AM1423*60/v01_SeasonSeconds</x:f>
        <x:v>0</x:v>
      </x:c>
    </x:row>
    <x:row r="1424">
      <x:c r="A1424" s="8" t="n">
        <x:f>A1423+1</x:f>
        <x:v>1421</x:v>
      </x:c>
      <x:c r="B1424" s="9" t="n">
        <x:f>A1424*v01_SeasonSeconds/60</x:f>
        <x:v>355.25</x:v>
      </x:c>
      <x:c r="C1424" s="9" t="n">
        <x:f>A1424/4</x:f>
        <x:v>355.25</x:v>
      </x:c>
      <x:c r="D1424" s="8" t="n">
        <x:f>IF(MOD(A1424,4)=0,1,0)</x:f>
        <x:v>0</x:v>
      </x:c>
      <x:c r="E1424" s="8" t="n">
        <x:f>IF(AND(F1423&lt;=9,AS1423&gt;=AR1423),1,0)</x:f>
        <x:v>0</x:v>
      </x:c>
      <x:c r="F1424" s="8" t="n">
        <x:f>MIN(10,F1423+E1424)</x:f>
        <x:v>10</x:v>
      </x:c>
      <x:c r="G1424" s="8" t="n">
        <x:f>MIN(F1424,9)+1</x:f>
        <x:v>10</x:v>
      </x:c>
      <x:c r="H1424" s="8" t="n">
        <x:f>IF(F1424&lt;=9,1,0)</x:f>
        <x:v>0</x:v>
      </x:c>
      <x:c r="I1424" s="9" t="n">
        <x:f>MIN(10,F1423+IF(AR1423&gt;0,MIN(1,AS1423/AR1423),1))</x:f>
        <x:v>10</x:v>
      </x:c>
      <x:c r="J1424" s="32" t="n">
        <x:f>INDEX(v01_FoodCap,G1424)*Arch_FoodCap*EXP(v01_CapsByProject*SUMPRODUCT((Cap_Point&lt;=I1424)*(Cap_Kind="Food")*Cap_Ln))</x:f>
        <x:v>12000</x:v>
      </x:c>
      <x:c r="K1424" s="32" t="n">
        <x:f>J1424*MIN(1,v01_LeanBase*EXP(v01_CapsByProject*SUMPRODUCT((Cap_Point&lt;=I1424)*(Cap_Kind="Lean")*Cap_Ln)))</x:f>
        <x:v>12000</x:v>
      </x:c>
      <x:c r="L1424" s="10" t="n">
        <x:f>INDEX(v01_HousingCap,G1424)*EXP(v01_CapsByProject*SUMPRODUCT((Cap_Point&lt;=I1424)*(Cap_Kind="Housing")*Cap_Ln))</x:f>
        <x:v>20000</x:v>
      </x:c>
      <x:c r="M1424" s="10" t="n">
        <x:f>INDEX(v01_GroupCap,G1424)*v01_CohesionFactor*EXP(v01_CapsByProject*SUMPRODUCT((Cap_Point&lt;=I1424)*(Cap_Kind="Group")*Cap_Ln))</x:f>
        <x:v>1000000</x:v>
      </x:c>
      <x:c r="N1424" s="32" t="n">
        <x:f>MIN(J1424,L1424,M1424)</x:f>
        <x:v>12000</x:v>
      </x:c>
      <x:c r="O1424" s="10" t="n">
        <x:f>AE1423*N1424</x:f>
        <x:v>180000</x:v>
      </x:c>
      <x:c r="P1424" s="9" t="n">
        <x:f>MIN(1,(AB1423/(AE1423*IF(v01_GroupInCrowding=1,N1424,MIN(J1424,L1424))))^v01_CrowdingExp)</x:f>
        <x:v>0.00024569414295285325</x:v>
      </x:c>
      <x:c r="Q1424" s="9" t="n">
        <x:f>IF(D1424=1,INDEX(v01_WinterMult,G1424),1)</x:f>
        <x:v>1</x:v>
      </x:c>
      <x:c r="R1424" s="9" t="n">
        <x:f>H1424*Z1423*v01_WomenShare*v01_BaseFertility*INDEX(v01_FertMult,G1424)*Arch_Fertility*(1-P1424)</x:f>
        <x:v>0</x:v>
      </x:c>
      <x:c r="S1424" s="9" t="n">
        <x:f>H1424*Y1423*INDEX(v01_MortChild,G1424)/4*Q1424</x:f>
        <x:v>0</x:v>
      </x:c>
      <x:c r="T1424" s="9" t="n">
        <x:f>H1424*Z1423*INDEX(v01_MortAdult,G1424)*Arch_AdultMort/4*Q1424</x:f>
        <x:v>0</x:v>
      </x:c>
      <x:c r="U1424" s="9" t="n">
        <x:f>H1424*AA1423*INDEX(v01_MortElder,G1424)/4*Q1424</x:f>
        <x:v>0</x:v>
      </x:c>
      <x:c r="V1424" s="9" t="n">
        <x:f>H1424*MAX(0,AB1423-O1424)*v01_OvercapLoss</x:f>
        <x:v>0</x:v>
      </x:c>
      <x:c r="W1424" s="9" t="n">
        <x:f>H1424*Y1423/(v01_ChildYears*4)</x:f>
        <x:v>0</x:v>
      </x:c>
      <x:c r="X1424" s="9" t="n">
        <x:f>H1424*Z1423/(v01_AdultYears*4)</x:f>
        <x:v>0</x:v>
      </x:c>
      <x:c r="Y1424" s="32" t="n">
        <x:f>Y1423+R1424-S1424-W1424-Y1423*V1424/AB1423</x:f>
        <x:v>14306.18539759397</x:v>
      </x:c>
      <x:c r="Z1424" s="32" t="n">
        <x:f>Z1423+W1424-X1424-T1424-Z1423*V1424/AB1423</x:f>
        <x:v>19354.456567879548</x:v>
      </x:c>
      <x:c r="AA1424" s="32" t="n">
        <x:f>AA1423+X1424-U1424-AA1423*V1424/AB1423</x:f>
        <x:v>11386.956063258198</x:v>
      </x:c>
      <x:c r="AB1424" s="10" t="n">
        <x:f>Y1424+Z1424+AA1424</x:f>
        <x:v>45047.59802873172</x:v>
      </x:c>
      <x:c r="AC1424" s="8" t="n">
        <x:f>IF(AND(v01_WinterTrigger=1,D1424=1,AB1423/AE1423&gt;=K1424),1,0)</x:f>
        <x:v>0</x:v>
      </x:c>
      <x:c r="AD1424" s="8" t="n">
        <x:f>H1424*IF(AND(OR(AB1423/AE1423&gt;=v01_FissionTrigger*N1424,AC1424=1),AB1423/AE1423*v01_DaughterShare&gt;=v01_MinDaughter),MAX(1,ROUND(AE1423*v01_FissionRate,0)),0)</x:f>
        <x:v>0</x:v>
      </x:c>
      <x:c r="AE1424" s="8" t="n">
        <x:f>IF(H1424=1,MAX(1,MIN(INDEX(v01_Smax,G1424),AE1423+AD1424)),AE1423)</x:f>
        <x:v>15</x:v>
      </x:c>
      <x:c r="AF1424" s="8" t="n">
        <x:f>MAX(0,AE1424-AE1423)</x:f>
        <x:v>0</x:v>
      </x:c>
      <x:c r="AG1424" s="9" t="str">
        <x:f>IF(AF1424&gt;0,B1424,"")</x:f>
      </x:c>
      <x:c r="AH1424" s="9" t="n">
        <x:f>IF(F1424&gt;=1,1,(1+v01_LowTiesShare*(AE1424-1))/AE1424)</x:f>
        <x:v>1</x:v>
      </x:c>
      <x:c r="AI1424" s="32" t="n">
        <x:f>(Z1424+v01_ElderCommons*INDEX(LM_Elder,G1424)*AA1424)*AH1424</x:f>
        <x:v>64139.732591141874</x:v>
      </x:c>
      <x:c r="AJ1424" s="32" t="n">
        <x:f>H1424*v01_CommonsCoef*AI1424^v01_CommonsExp*INDEX(LM_Commons,G1424)</x:f>
        <x:v>0</x:v>
      </x:c>
      <x:c r="AK1424" s="32" t="n">
        <x:f>H1424*v01_RoleScale*Arch_Roles*(AE1424*(INDEX(v01_ElderRolePerSett,G1424)*v01_OutElder*INDEX(LM_Elder,G1424)+INDEX(v01_ShamanPerSett,G1424)*v01_OutShaman)+Z1424*(INDEX(v01_PriestShare,G1424)*v01_OutPriest+INDEX(v01_ScribeShare,G1424)*v01_OutScribe*INDEX(LM_Scribe,G1424)+INDEX(v01_ScholarShare,G1424)*v01_OutScholar*INDEX(LM_Scholar,G1424)+INDEX(v01_ResearcherShare,G1424)*v01_OutResearcher*INDEX(LM_Researcher,G1424)))</x:f>
        <x:v>0</x:v>
      </x:c>
      <x:c r="AL1424" s="32" t="n">
        <x:f>H1424*v01_RoleScale*Arch_Roles*AE1424*INDEX(v01_MonasteryPerSett,G1424)*v01_OutMonastery*INDEX(LM_Monastery,G1424)</x:f>
        <x:v>0</x:v>
      </x:c>
      <x:c r="AM1424" s="32" t="n">
        <x:f>(AJ1424+AK1424+AL1424)/4*INDEX(LM_All,G1424)*INDEX(v01_Boon,G1424)*Arch_Insight</x:f>
        <x:v>0</x:v>
      </x:c>
      <x:c r="AN1424" s="32" t="n">
        <x:f>H1424*(v01_KHPerAdult*Z1424+v01_KHOfCommons*AJ1424/4*INDEX(LM_All,G1424))*v01_KHUsable*Arch_KH</x:f>
        <x:v>0</x:v>
      </x:c>
      <x:c r="AO1424" s="32" t="n">
        <x:f>MIN(AP1423+AN1424,AM1424*v01_KHMaxRatio)</x:f>
        <x:v>0</x:v>
      </x:c>
      <x:c r="AP1424" s="32" t="n">
        <x:f>AP1423+AN1424-AO1424</x:f>
        <x:v>0</x:v>
      </x:c>
      <x:c r="AQ1424" s="32" t="n">
        <x:f>AM1424+AO1424</x:f>
        <x:v>0</x:v>
      </x:c>
      <x:c r="AR1424" s="10" t="n">
        <x:f>IF(H1424=1,INDEX(v01_Req,G1424),0)</x:f>
        <x:v>0</x:v>
      </x:c>
      <x:c r="AS1424" s="32" t="n">
        <x:f>IF(H1424=1,IF(E1424=1,AS1423-AR1423,AS1423)+AQ1424,0)</x:f>
        <x:v>0</x:v>
      </x:c>
      <x:c r="AT1424" s="11" t="n">
        <x:f>IF(AR1424&gt;0,MIN(1,AS1424/AR1424),1)</x:f>
        <x:v>1</x:v>
      </x:c>
      <x:c r="AU1424" s="10" t="n">
        <x:f>AB1424/INDEX(v01_RepScale,G1424)</x:f>
        <x:v>90.09519605746344</x:v>
      </x:c>
      <x:c r="AV1424" s="32" t="n">
        <x:f>AM1424*60/v01_SeasonSeconds</x:f>
        <x:v>0</x:v>
      </x:c>
    </x:row>
    <x:row r="1425">
      <x:c r="A1425" s="8" t="n">
        <x:f>A1424+1</x:f>
        <x:v>1422</x:v>
      </x:c>
      <x:c r="B1425" s="9" t="n">
        <x:f>A1425*v01_SeasonSeconds/60</x:f>
        <x:v>355.5</x:v>
      </x:c>
      <x:c r="C1425" s="9" t="n">
        <x:f>A1425/4</x:f>
        <x:v>355.5</x:v>
      </x:c>
      <x:c r="D1425" s="8" t="n">
        <x:f>IF(MOD(A1425,4)=0,1,0)</x:f>
        <x:v>0</x:v>
      </x:c>
      <x:c r="E1425" s="8" t="n">
        <x:f>IF(AND(F1424&lt;=9,AS1424&gt;=AR1424),1,0)</x:f>
        <x:v>0</x:v>
      </x:c>
      <x:c r="F1425" s="8" t="n">
        <x:f>MIN(10,F1424+E1425)</x:f>
        <x:v>10</x:v>
      </x:c>
      <x:c r="G1425" s="8" t="n">
        <x:f>MIN(F1425,9)+1</x:f>
        <x:v>10</x:v>
      </x:c>
      <x:c r="H1425" s="8" t="n">
        <x:f>IF(F1425&lt;=9,1,0)</x:f>
        <x:v>0</x:v>
      </x:c>
      <x:c r="I1425" s="9" t="n">
        <x:f>MIN(10,F1424+IF(AR1424&gt;0,MIN(1,AS1424/AR1424),1))</x:f>
        <x:v>10</x:v>
      </x:c>
      <x:c r="J1425" s="32" t="n">
        <x:f>INDEX(v01_FoodCap,G1425)*Arch_FoodCap*EXP(v01_CapsByProject*SUMPRODUCT((Cap_Point&lt;=I1425)*(Cap_Kind="Food")*Cap_Ln))</x:f>
        <x:v>12000</x:v>
      </x:c>
      <x:c r="K1425" s="32" t="n">
        <x:f>J1425*MIN(1,v01_LeanBase*EXP(v01_CapsByProject*SUMPRODUCT((Cap_Point&lt;=I1425)*(Cap_Kind="Lean")*Cap_Ln)))</x:f>
        <x:v>12000</x:v>
      </x:c>
      <x:c r="L1425" s="10" t="n">
        <x:f>INDEX(v01_HousingCap,G1425)*EXP(v01_CapsByProject*SUMPRODUCT((Cap_Point&lt;=I1425)*(Cap_Kind="Housing")*Cap_Ln))</x:f>
        <x:v>20000</x:v>
      </x:c>
      <x:c r="M1425" s="10" t="n">
        <x:f>INDEX(v01_GroupCap,G1425)*v01_CohesionFactor*EXP(v01_CapsByProject*SUMPRODUCT((Cap_Point&lt;=I1425)*(Cap_Kind="Group")*Cap_Ln))</x:f>
        <x:v>1000000</x:v>
      </x:c>
      <x:c r="N1425" s="32" t="n">
        <x:f>MIN(J1425,L1425,M1425)</x:f>
        <x:v>12000</x:v>
      </x:c>
      <x:c r="O1425" s="10" t="n">
        <x:f>AE1424*N1425</x:f>
        <x:v>180000</x:v>
      </x:c>
      <x:c r="P1425" s="9" t="n">
        <x:f>MIN(1,(AB1424/(AE1424*IF(v01_GroupInCrowding=1,N1425,MIN(J1425,L1425))))^v01_CrowdingExp)</x:f>
        <x:v>0.00024569414295285325</x:v>
      </x:c>
      <x:c r="Q1425" s="9" t="n">
        <x:f>IF(D1425=1,INDEX(v01_WinterMult,G1425),1)</x:f>
        <x:v>1</x:v>
      </x:c>
      <x:c r="R1425" s="9" t="n">
        <x:f>H1425*Z1424*v01_WomenShare*v01_BaseFertility*INDEX(v01_FertMult,G1425)*Arch_Fertility*(1-P1425)</x:f>
        <x:v>0</x:v>
      </x:c>
      <x:c r="S1425" s="9" t="n">
        <x:f>H1425*Y1424*INDEX(v01_MortChild,G1425)/4*Q1425</x:f>
        <x:v>0</x:v>
      </x:c>
      <x:c r="T1425" s="9" t="n">
        <x:f>H1425*Z1424*INDEX(v01_MortAdult,G1425)*Arch_AdultMort/4*Q1425</x:f>
        <x:v>0</x:v>
      </x:c>
      <x:c r="U1425" s="9" t="n">
        <x:f>H1425*AA1424*INDEX(v01_MortElder,G1425)/4*Q1425</x:f>
        <x:v>0</x:v>
      </x:c>
      <x:c r="V1425" s="9" t="n">
        <x:f>H1425*MAX(0,AB1424-O1425)*v01_OvercapLoss</x:f>
        <x:v>0</x:v>
      </x:c>
      <x:c r="W1425" s="9" t="n">
        <x:f>H1425*Y1424/(v01_ChildYears*4)</x:f>
        <x:v>0</x:v>
      </x:c>
      <x:c r="X1425" s="9" t="n">
        <x:f>H1425*Z1424/(v01_AdultYears*4)</x:f>
        <x:v>0</x:v>
      </x:c>
      <x:c r="Y1425" s="32" t="n">
        <x:f>Y1424+R1425-S1425-W1425-Y1424*V1425/AB1424</x:f>
        <x:v>14306.18539759397</x:v>
      </x:c>
      <x:c r="Z1425" s="32" t="n">
        <x:f>Z1424+W1425-X1425-T1425-Z1424*V1425/AB1424</x:f>
        <x:v>19354.456567879548</x:v>
      </x:c>
      <x:c r="AA1425" s="32" t="n">
        <x:f>AA1424+X1425-U1425-AA1424*V1425/AB1424</x:f>
        <x:v>11386.956063258198</x:v>
      </x:c>
      <x:c r="AB1425" s="10" t="n">
        <x:f>Y1425+Z1425+AA1425</x:f>
        <x:v>45047.59802873172</x:v>
      </x:c>
      <x:c r="AC1425" s="8" t="n">
        <x:f>IF(AND(v01_WinterTrigger=1,D1425=1,AB1424/AE1424&gt;=K1425),1,0)</x:f>
        <x:v>0</x:v>
      </x:c>
      <x:c r="AD1425" s="8" t="n">
        <x:f>H1425*IF(AND(OR(AB1424/AE1424&gt;=v01_FissionTrigger*N1425,AC1425=1),AB1424/AE1424*v01_DaughterShare&gt;=v01_MinDaughter),MAX(1,ROUND(AE1424*v01_FissionRate,0)),0)</x:f>
        <x:v>0</x:v>
      </x:c>
      <x:c r="AE1425" s="8" t="n">
        <x:f>IF(H1425=1,MAX(1,MIN(INDEX(v01_Smax,G1425),AE1424+AD1425)),AE1424)</x:f>
        <x:v>15</x:v>
      </x:c>
      <x:c r="AF1425" s="8" t="n">
        <x:f>MAX(0,AE1425-AE1424)</x:f>
        <x:v>0</x:v>
      </x:c>
      <x:c r="AG1425" s="9" t="str">
        <x:f>IF(AF1425&gt;0,B1425,"")</x:f>
      </x:c>
      <x:c r="AH1425" s="9" t="n">
        <x:f>IF(F1425&gt;=1,1,(1+v01_LowTiesShare*(AE1425-1))/AE1425)</x:f>
        <x:v>1</x:v>
      </x:c>
      <x:c r="AI1425" s="32" t="n">
        <x:f>(Z1425+v01_ElderCommons*INDEX(LM_Elder,G1425)*AA1425)*AH1425</x:f>
        <x:v>64139.732591141874</x:v>
      </x:c>
      <x:c r="AJ1425" s="32" t="n">
        <x:f>H1425*v01_CommonsCoef*AI1425^v01_CommonsExp*INDEX(LM_Commons,G1425)</x:f>
        <x:v>0</x:v>
      </x:c>
      <x:c r="AK1425" s="32" t="n">
        <x:f>H1425*v01_RoleScale*Arch_Roles*(AE1425*(INDEX(v01_ElderRolePerSett,G1425)*v01_OutElder*INDEX(LM_Elder,G1425)+INDEX(v01_ShamanPerSett,G1425)*v01_OutShaman)+Z1425*(INDEX(v01_PriestShare,G1425)*v01_OutPriest+INDEX(v01_ScribeShare,G1425)*v01_OutScribe*INDEX(LM_Scribe,G1425)+INDEX(v01_ScholarShare,G1425)*v01_OutScholar*INDEX(LM_Scholar,G1425)+INDEX(v01_ResearcherShare,G1425)*v01_OutResearcher*INDEX(LM_Researcher,G1425)))</x:f>
        <x:v>0</x:v>
      </x:c>
      <x:c r="AL1425" s="32" t="n">
        <x:f>H1425*v01_RoleScale*Arch_Roles*AE1425*INDEX(v01_MonasteryPerSett,G1425)*v01_OutMonastery*INDEX(LM_Monastery,G1425)</x:f>
        <x:v>0</x:v>
      </x:c>
      <x:c r="AM1425" s="32" t="n">
        <x:f>(AJ1425+AK1425+AL1425)/4*INDEX(LM_All,G1425)*INDEX(v01_Boon,G1425)*Arch_Insight</x:f>
        <x:v>0</x:v>
      </x:c>
      <x:c r="AN1425" s="32" t="n">
        <x:f>H1425*(v01_KHPerAdult*Z1425+v01_KHOfCommons*AJ1425/4*INDEX(LM_All,G1425))*v01_KHUsable*Arch_KH</x:f>
        <x:v>0</x:v>
      </x:c>
      <x:c r="AO1425" s="32" t="n">
        <x:f>MIN(AP1424+AN1425,AM1425*v01_KHMaxRatio)</x:f>
        <x:v>0</x:v>
      </x:c>
      <x:c r="AP1425" s="32" t="n">
        <x:f>AP1424+AN1425-AO1425</x:f>
        <x:v>0</x:v>
      </x:c>
      <x:c r="AQ1425" s="32" t="n">
        <x:f>AM1425+AO1425</x:f>
        <x:v>0</x:v>
      </x:c>
      <x:c r="AR1425" s="10" t="n">
        <x:f>IF(H1425=1,INDEX(v01_Req,G1425),0)</x:f>
        <x:v>0</x:v>
      </x:c>
      <x:c r="AS1425" s="32" t="n">
        <x:f>IF(H1425=1,IF(E1425=1,AS1424-AR1424,AS1424)+AQ1425,0)</x:f>
        <x:v>0</x:v>
      </x:c>
      <x:c r="AT1425" s="11" t="n">
        <x:f>IF(AR1425&gt;0,MIN(1,AS1425/AR1425),1)</x:f>
        <x:v>1</x:v>
      </x:c>
      <x:c r="AU1425" s="10" t="n">
        <x:f>AB1425/INDEX(v01_RepScale,G1425)</x:f>
        <x:v>90.09519605746344</x:v>
      </x:c>
      <x:c r="AV1425" s="32" t="n">
        <x:f>AM1425*60/v01_SeasonSeconds</x:f>
        <x:v>0</x:v>
      </x:c>
    </x:row>
    <x:row r="1426">
      <x:c r="A1426" s="8" t="n">
        <x:f>A1425+1</x:f>
        <x:v>1423</x:v>
      </x:c>
      <x:c r="B1426" s="9" t="n">
        <x:f>A1426*v01_SeasonSeconds/60</x:f>
        <x:v>355.75</x:v>
      </x:c>
      <x:c r="C1426" s="9" t="n">
        <x:f>A1426/4</x:f>
        <x:v>355.75</x:v>
      </x:c>
      <x:c r="D1426" s="8" t="n">
        <x:f>IF(MOD(A1426,4)=0,1,0)</x:f>
        <x:v>0</x:v>
      </x:c>
      <x:c r="E1426" s="8" t="n">
        <x:f>IF(AND(F1425&lt;=9,AS1425&gt;=AR1425),1,0)</x:f>
        <x:v>0</x:v>
      </x:c>
      <x:c r="F1426" s="8" t="n">
        <x:f>MIN(10,F1425+E1426)</x:f>
        <x:v>10</x:v>
      </x:c>
      <x:c r="G1426" s="8" t="n">
        <x:f>MIN(F1426,9)+1</x:f>
        <x:v>10</x:v>
      </x:c>
      <x:c r="H1426" s="8" t="n">
        <x:f>IF(F1426&lt;=9,1,0)</x:f>
        <x:v>0</x:v>
      </x:c>
      <x:c r="I1426" s="9" t="n">
        <x:f>MIN(10,F1425+IF(AR1425&gt;0,MIN(1,AS1425/AR1425),1))</x:f>
        <x:v>10</x:v>
      </x:c>
      <x:c r="J1426" s="32" t="n">
        <x:f>INDEX(v01_FoodCap,G1426)*Arch_FoodCap*EXP(v01_CapsByProject*SUMPRODUCT((Cap_Point&lt;=I1426)*(Cap_Kind="Food")*Cap_Ln))</x:f>
        <x:v>12000</x:v>
      </x:c>
      <x:c r="K1426" s="32" t="n">
        <x:f>J1426*MIN(1,v01_LeanBase*EXP(v01_CapsByProject*SUMPRODUCT((Cap_Point&lt;=I1426)*(Cap_Kind="Lean")*Cap_Ln)))</x:f>
        <x:v>12000</x:v>
      </x:c>
      <x:c r="L1426" s="10" t="n">
        <x:f>INDEX(v01_HousingCap,G1426)*EXP(v01_CapsByProject*SUMPRODUCT((Cap_Point&lt;=I1426)*(Cap_Kind="Housing")*Cap_Ln))</x:f>
        <x:v>20000</x:v>
      </x:c>
      <x:c r="M1426" s="10" t="n">
        <x:f>INDEX(v01_GroupCap,G1426)*v01_CohesionFactor*EXP(v01_CapsByProject*SUMPRODUCT((Cap_Point&lt;=I1426)*(Cap_Kind="Group")*Cap_Ln))</x:f>
        <x:v>1000000</x:v>
      </x:c>
      <x:c r="N1426" s="32" t="n">
        <x:f>MIN(J1426,L1426,M1426)</x:f>
        <x:v>12000</x:v>
      </x:c>
      <x:c r="O1426" s="10" t="n">
        <x:f>AE1425*N1426</x:f>
        <x:v>180000</x:v>
      </x:c>
      <x:c r="P1426" s="9" t="n">
        <x:f>MIN(1,(AB1425/(AE1425*IF(v01_GroupInCrowding=1,N1426,MIN(J1426,L1426))))^v01_CrowdingExp)</x:f>
        <x:v>0.00024569414295285325</x:v>
      </x:c>
      <x:c r="Q1426" s="9" t="n">
        <x:f>IF(D1426=1,INDEX(v01_WinterMult,G1426),1)</x:f>
        <x:v>1</x:v>
      </x:c>
      <x:c r="R1426" s="9" t="n">
        <x:f>H1426*Z1425*v01_WomenShare*v01_BaseFertility*INDEX(v01_FertMult,G1426)*Arch_Fertility*(1-P1426)</x:f>
        <x:v>0</x:v>
      </x:c>
      <x:c r="S1426" s="9" t="n">
        <x:f>H1426*Y1425*INDEX(v01_MortChild,G1426)/4*Q1426</x:f>
        <x:v>0</x:v>
      </x:c>
      <x:c r="T1426" s="9" t="n">
        <x:f>H1426*Z1425*INDEX(v01_MortAdult,G1426)*Arch_AdultMort/4*Q1426</x:f>
        <x:v>0</x:v>
      </x:c>
      <x:c r="U1426" s="9" t="n">
        <x:f>H1426*AA1425*INDEX(v01_MortElder,G1426)/4*Q1426</x:f>
        <x:v>0</x:v>
      </x:c>
      <x:c r="V1426" s="9" t="n">
        <x:f>H1426*MAX(0,AB1425-O1426)*v01_OvercapLoss</x:f>
        <x:v>0</x:v>
      </x:c>
      <x:c r="W1426" s="9" t="n">
        <x:f>H1426*Y1425/(v01_ChildYears*4)</x:f>
        <x:v>0</x:v>
      </x:c>
      <x:c r="X1426" s="9" t="n">
        <x:f>H1426*Z1425/(v01_AdultYears*4)</x:f>
        <x:v>0</x:v>
      </x:c>
      <x:c r="Y1426" s="32" t="n">
        <x:f>Y1425+R1426-S1426-W1426-Y1425*V1426/AB1425</x:f>
        <x:v>14306.18539759397</x:v>
      </x:c>
      <x:c r="Z1426" s="32" t="n">
        <x:f>Z1425+W1426-X1426-T1426-Z1425*V1426/AB1425</x:f>
        <x:v>19354.456567879548</x:v>
      </x:c>
      <x:c r="AA1426" s="32" t="n">
        <x:f>AA1425+X1426-U1426-AA1425*V1426/AB1425</x:f>
        <x:v>11386.956063258198</x:v>
      </x:c>
      <x:c r="AB1426" s="10" t="n">
        <x:f>Y1426+Z1426+AA1426</x:f>
        <x:v>45047.59802873172</x:v>
      </x:c>
      <x:c r="AC1426" s="8" t="n">
        <x:f>IF(AND(v01_WinterTrigger=1,D1426=1,AB1425/AE1425&gt;=K1426),1,0)</x:f>
        <x:v>0</x:v>
      </x:c>
      <x:c r="AD1426" s="8" t="n">
        <x:f>H1426*IF(AND(OR(AB1425/AE1425&gt;=v01_FissionTrigger*N1426,AC1426=1),AB1425/AE1425*v01_DaughterShare&gt;=v01_MinDaughter),MAX(1,ROUND(AE1425*v01_FissionRate,0)),0)</x:f>
        <x:v>0</x:v>
      </x:c>
      <x:c r="AE1426" s="8" t="n">
        <x:f>IF(H1426=1,MAX(1,MIN(INDEX(v01_Smax,G1426),AE1425+AD1426)),AE1425)</x:f>
        <x:v>15</x:v>
      </x:c>
      <x:c r="AF1426" s="8" t="n">
        <x:f>MAX(0,AE1426-AE1425)</x:f>
        <x:v>0</x:v>
      </x:c>
      <x:c r="AG1426" s="9" t="str">
        <x:f>IF(AF1426&gt;0,B1426,"")</x:f>
      </x:c>
      <x:c r="AH1426" s="9" t="n">
        <x:f>IF(F1426&gt;=1,1,(1+v01_LowTiesShare*(AE1426-1))/AE1426)</x:f>
        <x:v>1</x:v>
      </x:c>
      <x:c r="AI1426" s="32" t="n">
        <x:f>(Z1426+v01_ElderCommons*INDEX(LM_Elder,G1426)*AA1426)*AH1426</x:f>
        <x:v>64139.732591141874</x:v>
      </x:c>
      <x:c r="AJ1426" s="32" t="n">
        <x:f>H1426*v01_CommonsCoef*AI1426^v01_CommonsExp*INDEX(LM_Commons,G1426)</x:f>
        <x:v>0</x:v>
      </x:c>
      <x:c r="AK1426" s="32" t="n">
        <x:f>H1426*v01_RoleScale*Arch_Roles*(AE1426*(INDEX(v01_ElderRolePerSett,G1426)*v01_OutElder*INDEX(LM_Elder,G1426)+INDEX(v01_ShamanPerSett,G1426)*v01_OutShaman)+Z1426*(INDEX(v01_PriestShare,G1426)*v01_OutPriest+INDEX(v01_ScribeShare,G1426)*v01_OutScribe*INDEX(LM_Scribe,G1426)+INDEX(v01_ScholarShare,G1426)*v01_OutScholar*INDEX(LM_Scholar,G1426)+INDEX(v01_ResearcherShare,G1426)*v01_OutResearcher*INDEX(LM_Researcher,G1426)))</x:f>
        <x:v>0</x:v>
      </x:c>
      <x:c r="AL1426" s="32" t="n">
        <x:f>H1426*v01_RoleScale*Arch_Roles*AE1426*INDEX(v01_MonasteryPerSett,G1426)*v01_OutMonastery*INDEX(LM_Monastery,G1426)</x:f>
        <x:v>0</x:v>
      </x:c>
      <x:c r="AM1426" s="32" t="n">
        <x:f>(AJ1426+AK1426+AL1426)/4*INDEX(LM_All,G1426)*INDEX(v01_Boon,G1426)*Arch_Insight</x:f>
        <x:v>0</x:v>
      </x:c>
      <x:c r="AN1426" s="32" t="n">
        <x:f>H1426*(v01_KHPerAdult*Z1426+v01_KHOfCommons*AJ1426/4*INDEX(LM_All,G1426))*v01_KHUsable*Arch_KH</x:f>
        <x:v>0</x:v>
      </x:c>
      <x:c r="AO1426" s="32" t="n">
        <x:f>MIN(AP1425+AN1426,AM1426*v01_KHMaxRatio)</x:f>
        <x:v>0</x:v>
      </x:c>
      <x:c r="AP1426" s="32" t="n">
        <x:f>AP1425+AN1426-AO1426</x:f>
        <x:v>0</x:v>
      </x:c>
      <x:c r="AQ1426" s="32" t="n">
        <x:f>AM1426+AO1426</x:f>
        <x:v>0</x:v>
      </x:c>
      <x:c r="AR1426" s="10" t="n">
        <x:f>IF(H1426=1,INDEX(v01_Req,G1426),0)</x:f>
        <x:v>0</x:v>
      </x:c>
      <x:c r="AS1426" s="32" t="n">
        <x:f>IF(H1426=1,IF(E1426=1,AS1425-AR1425,AS1425)+AQ1426,0)</x:f>
        <x:v>0</x:v>
      </x:c>
      <x:c r="AT1426" s="11" t="n">
        <x:f>IF(AR1426&gt;0,MIN(1,AS1426/AR1426),1)</x:f>
        <x:v>1</x:v>
      </x:c>
      <x:c r="AU1426" s="10" t="n">
        <x:f>AB1426/INDEX(v01_RepScale,G1426)</x:f>
        <x:v>90.09519605746344</x:v>
      </x:c>
      <x:c r="AV1426" s="32" t="n">
        <x:f>AM1426*60/v01_SeasonSeconds</x:f>
        <x:v>0</x:v>
      </x:c>
    </x:row>
    <x:row r="1427">
      <x:c r="A1427" s="8" t="n">
        <x:f>A1426+1</x:f>
        <x:v>1424</x:v>
      </x:c>
      <x:c r="B1427" s="9" t="n">
        <x:f>A1427*v01_SeasonSeconds/60</x:f>
        <x:v>356</x:v>
      </x:c>
      <x:c r="C1427" s="9" t="n">
        <x:f>A1427/4</x:f>
        <x:v>356</x:v>
      </x:c>
      <x:c r="D1427" s="8" t="n">
        <x:f>IF(MOD(A1427,4)=0,1,0)</x:f>
        <x:v>1</x:v>
      </x:c>
      <x:c r="E1427" s="8" t="n">
        <x:f>IF(AND(F1426&lt;=9,AS1426&gt;=AR1426),1,0)</x:f>
        <x:v>0</x:v>
      </x:c>
      <x:c r="F1427" s="8" t="n">
        <x:f>MIN(10,F1426+E1427)</x:f>
        <x:v>10</x:v>
      </x:c>
      <x:c r="G1427" s="8" t="n">
        <x:f>MIN(F1427,9)+1</x:f>
        <x:v>10</x:v>
      </x:c>
      <x:c r="H1427" s="8" t="n">
        <x:f>IF(F1427&lt;=9,1,0)</x:f>
        <x:v>0</x:v>
      </x:c>
      <x:c r="I1427" s="9" t="n">
        <x:f>MIN(10,F1426+IF(AR1426&gt;0,MIN(1,AS1426/AR1426),1))</x:f>
        <x:v>10</x:v>
      </x:c>
      <x:c r="J1427" s="32" t="n">
        <x:f>INDEX(v01_FoodCap,G1427)*Arch_FoodCap*EXP(v01_CapsByProject*SUMPRODUCT((Cap_Point&lt;=I1427)*(Cap_Kind="Food")*Cap_Ln))</x:f>
        <x:v>12000</x:v>
      </x:c>
      <x:c r="K1427" s="32" t="n">
        <x:f>J1427*MIN(1,v01_LeanBase*EXP(v01_CapsByProject*SUMPRODUCT((Cap_Point&lt;=I1427)*(Cap_Kind="Lean")*Cap_Ln)))</x:f>
        <x:v>12000</x:v>
      </x:c>
      <x:c r="L1427" s="10" t="n">
        <x:f>INDEX(v01_HousingCap,G1427)*EXP(v01_CapsByProject*SUMPRODUCT((Cap_Point&lt;=I1427)*(Cap_Kind="Housing")*Cap_Ln))</x:f>
        <x:v>20000</x:v>
      </x:c>
      <x:c r="M1427" s="10" t="n">
        <x:f>INDEX(v01_GroupCap,G1427)*v01_CohesionFactor*EXP(v01_CapsByProject*SUMPRODUCT((Cap_Point&lt;=I1427)*(Cap_Kind="Group")*Cap_Ln))</x:f>
        <x:v>1000000</x:v>
      </x:c>
      <x:c r="N1427" s="32" t="n">
        <x:f>MIN(J1427,L1427,M1427)</x:f>
        <x:v>12000</x:v>
      </x:c>
      <x:c r="O1427" s="10" t="n">
        <x:f>AE1426*N1427</x:f>
        <x:v>180000</x:v>
      </x:c>
      <x:c r="P1427" s="9" t="n">
        <x:f>MIN(1,(AB1426/(AE1426*IF(v01_GroupInCrowding=1,N1427,MIN(J1427,L1427))))^v01_CrowdingExp)</x:f>
        <x:v>0.00024569414295285325</x:v>
      </x:c>
      <x:c r="Q1427" s="9" t="n">
        <x:f>IF(D1427=1,INDEX(v01_WinterMult,G1427),1)</x:f>
        <x:v>1</x:v>
      </x:c>
      <x:c r="R1427" s="9" t="n">
        <x:f>H1427*Z1426*v01_WomenShare*v01_BaseFertility*INDEX(v01_FertMult,G1427)*Arch_Fertility*(1-P1427)</x:f>
        <x:v>0</x:v>
      </x:c>
      <x:c r="S1427" s="9" t="n">
        <x:f>H1427*Y1426*INDEX(v01_MortChild,G1427)/4*Q1427</x:f>
        <x:v>0</x:v>
      </x:c>
      <x:c r="T1427" s="9" t="n">
        <x:f>H1427*Z1426*INDEX(v01_MortAdult,G1427)*Arch_AdultMort/4*Q1427</x:f>
        <x:v>0</x:v>
      </x:c>
      <x:c r="U1427" s="9" t="n">
        <x:f>H1427*AA1426*INDEX(v01_MortElder,G1427)/4*Q1427</x:f>
        <x:v>0</x:v>
      </x:c>
      <x:c r="V1427" s="9" t="n">
        <x:f>H1427*MAX(0,AB1426-O1427)*v01_OvercapLoss</x:f>
        <x:v>0</x:v>
      </x:c>
      <x:c r="W1427" s="9" t="n">
        <x:f>H1427*Y1426/(v01_ChildYears*4)</x:f>
        <x:v>0</x:v>
      </x:c>
      <x:c r="X1427" s="9" t="n">
        <x:f>H1427*Z1426/(v01_AdultYears*4)</x:f>
        <x:v>0</x:v>
      </x:c>
      <x:c r="Y1427" s="32" t="n">
        <x:f>Y1426+R1427-S1427-W1427-Y1426*V1427/AB1426</x:f>
        <x:v>14306.18539759397</x:v>
      </x:c>
      <x:c r="Z1427" s="32" t="n">
        <x:f>Z1426+W1427-X1427-T1427-Z1426*V1427/AB1426</x:f>
        <x:v>19354.456567879548</x:v>
      </x:c>
      <x:c r="AA1427" s="32" t="n">
        <x:f>AA1426+X1427-U1427-AA1426*V1427/AB1426</x:f>
        <x:v>11386.956063258198</x:v>
      </x:c>
      <x:c r="AB1427" s="10" t="n">
        <x:f>Y1427+Z1427+AA1427</x:f>
        <x:v>45047.59802873172</x:v>
      </x:c>
      <x:c r="AC1427" s="8" t="n">
        <x:f>IF(AND(v01_WinterTrigger=1,D1427=1,AB1426/AE1426&gt;=K1427),1,0)</x:f>
        <x:v>0</x:v>
      </x:c>
      <x:c r="AD1427" s="8" t="n">
        <x:f>H1427*IF(AND(OR(AB1426/AE1426&gt;=v01_FissionTrigger*N1427,AC1427=1),AB1426/AE1426*v01_DaughterShare&gt;=v01_MinDaughter),MAX(1,ROUND(AE1426*v01_FissionRate,0)),0)</x:f>
        <x:v>0</x:v>
      </x:c>
      <x:c r="AE1427" s="8" t="n">
        <x:f>IF(H1427=1,MAX(1,MIN(INDEX(v01_Smax,G1427),AE1426+AD1427)),AE1426)</x:f>
        <x:v>15</x:v>
      </x:c>
      <x:c r="AF1427" s="8" t="n">
        <x:f>MAX(0,AE1427-AE1426)</x:f>
        <x:v>0</x:v>
      </x:c>
      <x:c r="AG1427" s="9" t="str">
        <x:f>IF(AF1427&gt;0,B1427,"")</x:f>
      </x:c>
      <x:c r="AH1427" s="9" t="n">
        <x:f>IF(F1427&gt;=1,1,(1+v01_LowTiesShare*(AE1427-1))/AE1427)</x:f>
        <x:v>1</x:v>
      </x:c>
      <x:c r="AI1427" s="32" t="n">
        <x:f>(Z1427+v01_ElderCommons*INDEX(LM_Elder,G1427)*AA1427)*AH1427</x:f>
        <x:v>64139.732591141874</x:v>
      </x:c>
      <x:c r="AJ1427" s="32" t="n">
        <x:f>H1427*v01_CommonsCoef*AI1427^v01_CommonsExp*INDEX(LM_Commons,G1427)</x:f>
        <x:v>0</x:v>
      </x:c>
      <x:c r="AK1427" s="32" t="n">
        <x:f>H1427*v01_RoleScale*Arch_Roles*(AE1427*(INDEX(v01_ElderRolePerSett,G1427)*v01_OutElder*INDEX(LM_Elder,G1427)+INDEX(v01_ShamanPerSett,G1427)*v01_OutShaman)+Z1427*(INDEX(v01_PriestShare,G1427)*v01_OutPriest+INDEX(v01_ScribeShare,G1427)*v01_OutScribe*INDEX(LM_Scribe,G1427)+INDEX(v01_ScholarShare,G1427)*v01_OutScholar*INDEX(LM_Scholar,G1427)+INDEX(v01_ResearcherShare,G1427)*v01_OutResearcher*INDEX(LM_Researcher,G1427)))</x:f>
        <x:v>0</x:v>
      </x:c>
      <x:c r="AL1427" s="32" t="n">
        <x:f>H1427*v01_RoleScale*Arch_Roles*AE1427*INDEX(v01_MonasteryPerSett,G1427)*v01_OutMonastery*INDEX(LM_Monastery,G1427)</x:f>
        <x:v>0</x:v>
      </x:c>
      <x:c r="AM1427" s="32" t="n">
        <x:f>(AJ1427+AK1427+AL1427)/4*INDEX(LM_All,G1427)*INDEX(v01_Boon,G1427)*Arch_Insight</x:f>
        <x:v>0</x:v>
      </x:c>
      <x:c r="AN1427" s="32" t="n">
        <x:f>H1427*(v01_KHPerAdult*Z1427+v01_KHOfCommons*AJ1427/4*INDEX(LM_All,G1427))*v01_KHUsable*Arch_KH</x:f>
        <x:v>0</x:v>
      </x:c>
      <x:c r="AO1427" s="32" t="n">
        <x:f>MIN(AP1426+AN1427,AM1427*v01_KHMaxRatio)</x:f>
        <x:v>0</x:v>
      </x:c>
      <x:c r="AP1427" s="32" t="n">
        <x:f>AP1426+AN1427-AO1427</x:f>
        <x:v>0</x:v>
      </x:c>
      <x:c r="AQ1427" s="32" t="n">
        <x:f>AM1427+AO1427</x:f>
        <x:v>0</x:v>
      </x:c>
      <x:c r="AR1427" s="10" t="n">
        <x:f>IF(H1427=1,INDEX(v01_Req,G1427),0)</x:f>
        <x:v>0</x:v>
      </x:c>
      <x:c r="AS1427" s="32" t="n">
        <x:f>IF(H1427=1,IF(E1427=1,AS1426-AR1426,AS1426)+AQ1427,0)</x:f>
        <x:v>0</x:v>
      </x:c>
      <x:c r="AT1427" s="11" t="n">
        <x:f>IF(AR1427&gt;0,MIN(1,AS1427/AR1427),1)</x:f>
        <x:v>1</x:v>
      </x:c>
      <x:c r="AU1427" s="10" t="n">
        <x:f>AB1427/INDEX(v01_RepScale,G1427)</x:f>
        <x:v>90.09519605746344</x:v>
      </x:c>
      <x:c r="AV1427" s="32" t="n">
        <x:f>AM1427*60/v01_SeasonSeconds</x:f>
        <x:v>0</x:v>
      </x:c>
    </x:row>
    <x:row r="1428">
      <x:c r="A1428" s="8" t="n">
        <x:f>A1427+1</x:f>
        <x:v>1425</x:v>
      </x:c>
      <x:c r="B1428" s="9" t="n">
        <x:f>A1428*v01_SeasonSeconds/60</x:f>
        <x:v>356.25</x:v>
      </x:c>
      <x:c r="C1428" s="9" t="n">
        <x:f>A1428/4</x:f>
        <x:v>356.25</x:v>
      </x:c>
      <x:c r="D1428" s="8" t="n">
        <x:f>IF(MOD(A1428,4)=0,1,0)</x:f>
        <x:v>0</x:v>
      </x:c>
      <x:c r="E1428" s="8" t="n">
        <x:f>IF(AND(F1427&lt;=9,AS1427&gt;=AR1427),1,0)</x:f>
        <x:v>0</x:v>
      </x:c>
      <x:c r="F1428" s="8" t="n">
        <x:f>MIN(10,F1427+E1428)</x:f>
        <x:v>10</x:v>
      </x:c>
      <x:c r="G1428" s="8" t="n">
        <x:f>MIN(F1428,9)+1</x:f>
        <x:v>10</x:v>
      </x:c>
      <x:c r="H1428" s="8" t="n">
        <x:f>IF(F1428&lt;=9,1,0)</x:f>
        <x:v>0</x:v>
      </x:c>
      <x:c r="I1428" s="9" t="n">
        <x:f>MIN(10,F1427+IF(AR1427&gt;0,MIN(1,AS1427/AR1427),1))</x:f>
        <x:v>10</x:v>
      </x:c>
      <x:c r="J1428" s="32" t="n">
        <x:f>INDEX(v01_FoodCap,G1428)*Arch_FoodCap*EXP(v01_CapsByProject*SUMPRODUCT((Cap_Point&lt;=I1428)*(Cap_Kind="Food")*Cap_Ln))</x:f>
        <x:v>12000</x:v>
      </x:c>
      <x:c r="K1428" s="32" t="n">
        <x:f>J1428*MIN(1,v01_LeanBase*EXP(v01_CapsByProject*SUMPRODUCT((Cap_Point&lt;=I1428)*(Cap_Kind="Lean")*Cap_Ln)))</x:f>
        <x:v>12000</x:v>
      </x:c>
      <x:c r="L1428" s="10" t="n">
        <x:f>INDEX(v01_HousingCap,G1428)*EXP(v01_CapsByProject*SUMPRODUCT((Cap_Point&lt;=I1428)*(Cap_Kind="Housing")*Cap_Ln))</x:f>
        <x:v>20000</x:v>
      </x:c>
      <x:c r="M1428" s="10" t="n">
        <x:f>INDEX(v01_GroupCap,G1428)*v01_CohesionFactor*EXP(v01_CapsByProject*SUMPRODUCT((Cap_Point&lt;=I1428)*(Cap_Kind="Group")*Cap_Ln))</x:f>
        <x:v>1000000</x:v>
      </x:c>
      <x:c r="N1428" s="32" t="n">
        <x:f>MIN(J1428,L1428,M1428)</x:f>
        <x:v>12000</x:v>
      </x:c>
      <x:c r="O1428" s="10" t="n">
        <x:f>AE1427*N1428</x:f>
        <x:v>180000</x:v>
      </x:c>
      <x:c r="P1428" s="9" t="n">
        <x:f>MIN(1,(AB1427/(AE1427*IF(v01_GroupInCrowding=1,N1428,MIN(J1428,L1428))))^v01_CrowdingExp)</x:f>
        <x:v>0.00024569414295285325</x:v>
      </x:c>
      <x:c r="Q1428" s="9" t="n">
        <x:f>IF(D1428=1,INDEX(v01_WinterMult,G1428),1)</x:f>
        <x:v>1</x:v>
      </x:c>
      <x:c r="R1428" s="9" t="n">
        <x:f>H1428*Z1427*v01_WomenShare*v01_BaseFertility*INDEX(v01_FertMult,G1428)*Arch_Fertility*(1-P1428)</x:f>
        <x:v>0</x:v>
      </x:c>
      <x:c r="S1428" s="9" t="n">
        <x:f>H1428*Y1427*INDEX(v01_MortChild,G1428)/4*Q1428</x:f>
        <x:v>0</x:v>
      </x:c>
      <x:c r="T1428" s="9" t="n">
        <x:f>H1428*Z1427*INDEX(v01_MortAdult,G1428)*Arch_AdultMort/4*Q1428</x:f>
        <x:v>0</x:v>
      </x:c>
      <x:c r="U1428" s="9" t="n">
        <x:f>H1428*AA1427*INDEX(v01_MortElder,G1428)/4*Q1428</x:f>
        <x:v>0</x:v>
      </x:c>
      <x:c r="V1428" s="9" t="n">
        <x:f>H1428*MAX(0,AB1427-O1428)*v01_OvercapLoss</x:f>
        <x:v>0</x:v>
      </x:c>
      <x:c r="W1428" s="9" t="n">
        <x:f>H1428*Y1427/(v01_ChildYears*4)</x:f>
        <x:v>0</x:v>
      </x:c>
      <x:c r="X1428" s="9" t="n">
        <x:f>H1428*Z1427/(v01_AdultYears*4)</x:f>
        <x:v>0</x:v>
      </x:c>
      <x:c r="Y1428" s="32" t="n">
        <x:f>Y1427+R1428-S1428-W1428-Y1427*V1428/AB1427</x:f>
        <x:v>14306.18539759397</x:v>
      </x:c>
      <x:c r="Z1428" s="32" t="n">
        <x:f>Z1427+W1428-X1428-T1428-Z1427*V1428/AB1427</x:f>
        <x:v>19354.456567879548</x:v>
      </x:c>
      <x:c r="AA1428" s="32" t="n">
        <x:f>AA1427+X1428-U1428-AA1427*V1428/AB1427</x:f>
        <x:v>11386.956063258198</x:v>
      </x:c>
      <x:c r="AB1428" s="10" t="n">
        <x:f>Y1428+Z1428+AA1428</x:f>
        <x:v>45047.59802873172</x:v>
      </x:c>
      <x:c r="AC1428" s="8" t="n">
        <x:f>IF(AND(v01_WinterTrigger=1,D1428=1,AB1427/AE1427&gt;=K1428),1,0)</x:f>
        <x:v>0</x:v>
      </x:c>
      <x:c r="AD1428" s="8" t="n">
        <x:f>H1428*IF(AND(OR(AB1427/AE1427&gt;=v01_FissionTrigger*N1428,AC1428=1),AB1427/AE1427*v01_DaughterShare&gt;=v01_MinDaughter),MAX(1,ROUND(AE1427*v01_FissionRate,0)),0)</x:f>
        <x:v>0</x:v>
      </x:c>
      <x:c r="AE1428" s="8" t="n">
        <x:f>IF(H1428=1,MAX(1,MIN(INDEX(v01_Smax,G1428),AE1427+AD1428)),AE1427)</x:f>
        <x:v>15</x:v>
      </x:c>
      <x:c r="AF1428" s="8" t="n">
        <x:f>MAX(0,AE1428-AE1427)</x:f>
        <x:v>0</x:v>
      </x:c>
      <x:c r="AG1428" s="9" t="str">
        <x:f>IF(AF1428&gt;0,B1428,"")</x:f>
      </x:c>
      <x:c r="AH1428" s="9" t="n">
        <x:f>IF(F1428&gt;=1,1,(1+v01_LowTiesShare*(AE1428-1))/AE1428)</x:f>
        <x:v>1</x:v>
      </x:c>
      <x:c r="AI1428" s="32" t="n">
        <x:f>(Z1428+v01_ElderCommons*INDEX(LM_Elder,G1428)*AA1428)*AH1428</x:f>
        <x:v>64139.732591141874</x:v>
      </x:c>
      <x:c r="AJ1428" s="32" t="n">
        <x:f>H1428*v01_CommonsCoef*AI1428^v01_CommonsExp*INDEX(LM_Commons,G1428)</x:f>
        <x:v>0</x:v>
      </x:c>
      <x:c r="AK1428" s="32" t="n">
        <x:f>H1428*v01_RoleScale*Arch_Roles*(AE1428*(INDEX(v01_ElderRolePerSett,G1428)*v01_OutElder*INDEX(LM_Elder,G1428)+INDEX(v01_ShamanPerSett,G1428)*v01_OutShaman)+Z1428*(INDEX(v01_PriestShare,G1428)*v01_OutPriest+INDEX(v01_ScribeShare,G1428)*v01_OutScribe*INDEX(LM_Scribe,G1428)+INDEX(v01_ScholarShare,G1428)*v01_OutScholar*INDEX(LM_Scholar,G1428)+INDEX(v01_ResearcherShare,G1428)*v01_OutResearcher*INDEX(LM_Researcher,G1428)))</x:f>
        <x:v>0</x:v>
      </x:c>
      <x:c r="AL1428" s="32" t="n">
        <x:f>H1428*v01_RoleScale*Arch_Roles*AE1428*INDEX(v01_MonasteryPerSett,G1428)*v01_OutMonastery*INDEX(LM_Monastery,G1428)</x:f>
        <x:v>0</x:v>
      </x:c>
      <x:c r="AM1428" s="32" t="n">
        <x:f>(AJ1428+AK1428+AL1428)/4*INDEX(LM_All,G1428)*INDEX(v01_Boon,G1428)*Arch_Insight</x:f>
        <x:v>0</x:v>
      </x:c>
      <x:c r="AN1428" s="32" t="n">
        <x:f>H1428*(v01_KHPerAdult*Z1428+v01_KHOfCommons*AJ1428/4*INDEX(LM_All,G1428))*v01_KHUsable*Arch_KH</x:f>
        <x:v>0</x:v>
      </x:c>
      <x:c r="AO1428" s="32" t="n">
        <x:f>MIN(AP1427+AN1428,AM1428*v01_KHMaxRatio)</x:f>
        <x:v>0</x:v>
      </x:c>
      <x:c r="AP1428" s="32" t="n">
        <x:f>AP1427+AN1428-AO1428</x:f>
        <x:v>0</x:v>
      </x:c>
      <x:c r="AQ1428" s="32" t="n">
        <x:f>AM1428+AO1428</x:f>
        <x:v>0</x:v>
      </x:c>
      <x:c r="AR1428" s="10" t="n">
        <x:f>IF(H1428=1,INDEX(v01_Req,G1428),0)</x:f>
        <x:v>0</x:v>
      </x:c>
      <x:c r="AS1428" s="32" t="n">
        <x:f>IF(H1428=1,IF(E1428=1,AS1427-AR1427,AS1427)+AQ1428,0)</x:f>
        <x:v>0</x:v>
      </x:c>
      <x:c r="AT1428" s="11" t="n">
        <x:f>IF(AR1428&gt;0,MIN(1,AS1428/AR1428),1)</x:f>
        <x:v>1</x:v>
      </x:c>
      <x:c r="AU1428" s="10" t="n">
        <x:f>AB1428/INDEX(v01_RepScale,G1428)</x:f>
        <x:v>90.09519605746344</x:v>
      </x:c>
      <x:c r="AV1428" s="32" t="n">
        <x:f>AM1428*60/v01_SeasonSeconds</x:f>
        <x:v>0</x:v>
      </x:c>
    </x:row>
    <x:row r="1429">
      <x:c r="A1429" s="8" t="n">
        <x:f>A1428+1</x:f>
        <x:v>1426</x:v>
      </x:c>
      <x:c r="B1429" s="9" t="n">
        <x:f>A1429*v01_SeasonSeconds/60</x:f>
        <x:v>356.5</x:v>
      </x:c>
      <x:c r="C1429" s="9" t="n">
        <x:f>A1429/4</x:f>
        <x:v>356.5</x:v>
      </x:c>
      <x:c r="D1429" s="8" t="n">
        <x:f>IF(MOD(A1429,4)=0,1,0)</x:f>
        <x:v>0</x:v>
      </x:c>
      <x:c r="E1429" s="8" t="n">
        <x:f>IF(AND(F1428&lt;=9,AS1428&gt;=AR1428),1,0)</x:f>
        <x:v>0</x:v>
      </x:c>
      <x:c r="F1429" s="8" t="n">
        <x:f>MIN(10,F1428+E1429)</x:f>
        <x:v>10</x:v>
      </x:c>
      <x:c r="G1429" s="8" t="n">
        <x:f>MIN(F1429,9)+1</x:f>
        <x:v>10</x:v>
      </x:c>
      <x:c r="H1429" s="8" t="n">
        <x:f>IF(F1429&lt;=9,1,0)</x:f>
        <x:v>0</x:v>
      </x:c>
      <x:c r="I1429" s="9" t="n">
        <x:f>MIN(10,F1428+IF(AR1428&gt;0,MIN(1,AS1428/AR1428),1))</x:f>
        <x:v>10</x:v>
      </x:c>
      <x:c r="J1429" s="32" t="n">
        <x:f>INDEX(v01_FoodCap,G1429)*Arch_FoodCap*EXP(v01_CapsByProject*SUMPRODUCT((Cap_Point&lt;=I1429)*(Cap_Kind="Food")*Cap_Ln))</x:f>
        <x:v>12000</x:v>
      </x:c>
      <x:c r="K1429" s="32" t="n">
        <x:f>J1429*MIN(1,v01_LeanBase*EXP(v01_CapsByProject*SUMPRODUCT((Cap_Point&lt;=I1429)*(Cap_Kind="Lean")*Cap_Ln)))</x:f>
        <x:v>12000</x:v>
      </x:c>
      <x:c r="L1429" s="10" t="n">
        <x:f>INDEX(v01_HousingCap,G1429)*EXP(v01_CapsByProject*SUMPRODUCT((Cap_Point&lt;=I1429)*(Cap_Kind="Housing")*Cap_Ln))</x:f>
        <x:v>20000</x:v>
      </x:c>
      <x:c r="M1429" s="10" t="n">
        <x:f>INDEX(v01_GroupCap,G1429)*v01_CohesionFactor*EXP(v01_CapsByProject*SUMPRODUCT((Cap_Point&lt;=I1429)*(Cap_Kind="Group")*Cap_Ln))</x:f>
        <x:v>1000000</x:v>
      </x:c>
      <x:c r="N1429" s="32" t="n">
        <x:f>MIN(J1429,L1429,M1429)</x:f>
        <x:v>12000</x:v>
      </x:c>
      <x:c r="O1429" s="10" t="n">
        <x:f>AE1428*N1429</x:f>
        <x:v>180000</x:v>
      </x:c>
      <x:c r="P1429" s="9" t="n">
        <x:f>MIN(1,(AB1428/(AE1428*IF(v01_GroupInCrowding=1,N1429,MIN(J1429,L1429))))^v01_CrowdingExp)</x:f>
        <x:v>0.00024569414295285325</x:v>
      </x:c>
      <x:c r="Q1429" s="9" t="n">
        <x:f>IF(D1429=1,INDEX(v01_WinterMult,G1429),1)</x:f>
        <x:v>1</x:v>
      </x:c>
      <x:c r="R1429" s="9" t="n">
        <x:f>H1429*Z1428*v01_WomenShare*v01_BaseFertility*INDEX(v01_FertMult,G1429)*Arch_Fertility*(1-P1429)</x:f>
        <x:v>0</x:v>
      </x:c>
      <x:c r="S1429" s="9" t="n">
        <x:f>H1429*Y1428*INDEX(v01_MortChild,G1429)/4*Q1429</x:f>
        <x:v>0</x:v>
      </x:c>
      <x:c r="T1429" s="9" t="n">
        <x:f>H1429*Z1428*INDEX(v01_MortAdult,G1429)*Arch_AdultMort/4*Q1429</x:f>
        <x:v>0</x:v>
      </x:c>
      <x:c r="U1429" s="9" t="n">
        <x:f>H1429*AA1428*INDEX(v01_MortElder,G1429)/4*Q1429</x:f>
        <x:v>0</x:v>
      </x:c>
      <x:c r="V1429" s="9" t="n">
        <x:f>H1429*MAX(0,AB1428-O1429)*v01_OvercapLoss</x:f>
        <x:v>0</x:v>
      </x:c>
      <x:c r="W1429" s="9" t="n">
        <x:f>H1429*Y1428/(v01_ChildYears*4)</x:f>
        <x:v>0</x:v>
      </x:c>
      <x:c r="X1429" s="9" t="n">
        <x:f>H1429*Z1428/(v01_AdultYears*4)</x:f>
        <x:v>0</x:v>
      </x:c>
      <x:c r="Y1429" s="32" t="n">
        <x:f>Y1428+R1429-S1429-W1429-Y1428*V1429/AB1428</x:f>
        <x:v>14306.18539759397</x:v>
      </x:c>
      <x:c r="Z1429" s="32" t="n">
        <x:f>Z1428+W1429-X1429-T1429-Z1428*V1429/AB1428</x:f>
        <x:v>19354.456567879548</x:v>
      </x:c>
      <x:c r="AA1429" s="32" t="n">
        <x:f>AA1428+X1429-U1429-AA1428*V1429/AB1428</x:f>
        <x:v>11386.956063258198</x:v>
      </x:c>
      <x:c r="AB1429" s="10" t="n">
        <x:f>Y1429+Z1429+AA1429</x:f>
        <x:v>45047.59802873172</x:v>
      </x:c>
      <x:c r="AC1429" s="8" t="n">
        <x:f>IF(AND(v01_WinterTrigger=1,D1429=1,AB1428/AE1428&gt;=K1429),1,0)</x:f>
        <x:v>0</x:v>
      </x:c>
      <x:c r="AD1429" s="8" t="n">
        <x:f>H1429*IF(AND(OR(AB1428/AE1428&gt;=v01_FissionTrigger*N1429,AC1429=1),AB1428/AE1428*v01_DaughterShare&gt;=v01_MinDaughter),MAX(1,ROUND(AE1428*v01_FissionRate,0)),0)</x:f>
        <x:v>0</x:v>
      </x:c>
      <x:c r="AE1429" s="8" t="n">
        <x:f>IF(H1429=1,MAX(1,MIN(INDEX(v01_Smax,G1429),AE1428+AD1429)),AE1428)</x:f>
        <x:v>15</x:v>
      </x:c>
      <x:c r="AF1429" s="8" t="n">
        <x:f>MAX(0,AE1429-AE1428)</x:f>
        <x:v>0</x:v>
      </x:c>
      <x:c r="AG1429" s="9" t="str">
        <x:f>IF(AF1429&gt;0,B1429,"")</x:f>
      </x:c>
      <x:c r="AH1429" s="9" t="n">
        <x:f>IF(F1429&gt;=1,1,(1+v01_LowTiesShare*(AE1429-1))/AE1429)</x:f>
        <x:v>1</x:v>
      </x:c>
      <x:c r="AI1429" s="32" t="n">
        <x:f>(Z1429+v01_ElderCommons*INDEX(LM_Elder,G1429)*AA1429)*AH1429</x:f>
        <x:v>64139.732591141874</x:v>
      </x:c>
      <x:c r="AJ1429" s="32" t="n">
        <x:f>H1429*v01_CommonsCoef*AI1429^v01_CommonsExp*INDEX(LM_Commons,G1429)</x:f>
        <x:v>0</x:v>
      </x:c>
      <x:c r="AK1429" s="32" t="n">
        <x:f>H1429*v01_RoleScale*Arch_Roles*(AE1429*(INDEX(v01_ElderRolePerSett,G1429)*v01_OutElder*INDEX(LM_Elder,G1429)+INDEX(v01_ShamanPerSett,G1429)*v01_OutShaman)+Z1429*(INDEX(v01_PriestShare,G1429)*v01_OutPriest+INDEX(v01_ScribeShare,G1429)*v01_OutScribe*INDEX(LM_Scribe,G1429)+INDEX(v01_ScholarShare,G1429)*v01_OutScholar*INDEX(LM_Scholar,G1429)+INDEX(v01_ResearcherShare,G1429)*v01_OutResearcher*INDEX(LM_Researcher,G1429)))</x:f>
        <x:v>0</x:v>
      </x:c>
      <x:c r="AL1429" s="32" t="n">
        <x:f>H1429*v01_RoleScale*Arch_Roles*AE1429*INDEX(v01_MonasteryPerSett,G1429)*v01_OutMonastery*INDEX(LM_Monastery,G1429)</x:f>
        <x:v>0</x:v>
      </x:c>
      <x:c r="AM1429" s="32" t="n">
        <x:f>(AJ1429+AK1429+AL1429)/4*INDEX(LM_All,G1429)*INDEX(v01_Boon,G1429)*Arch_Insight</x:f>
        <x:v>0</x:v>
      </x:c>
      <x:c r="AN1429" s="32" t="n">
        <x:f>H1429*(v01_KHPerAdult*Z1429+v01_KHOfCommons*AJ1429/4*INDEX(LM_All,G1429))*v01_KHUsable*Arch_KH</x:f>
        <x:v>0</x:v>
      </x:c>
      <x:c r="AO1429" s="32" t="n">
        <x:f>MIN(AP1428+AN1429,AM1429*v01_KHMaxRatio)</x:f>
        <x:v>0</x:v>
      </x:c>
      <x:c r="AP1429" s="32" t="n">
        <x:f>AP1428+AN1429-AO1429</x:f>
        <x:v>0</x:v>
      </x:c>
      <x:c r="AQ1429" s="32" t="n">
        <x:f>AM1429+AO1429</x:f>
        <x:v>0</x:v>
      </x:c>
      <x:c r="AR1429" s="10" t="n">
        <x:f>IF(H1429=1,INDEX(v01_Req,G1429),0)</x:f>
        <x:v>0</x:v>
      </x:c>
      <x:c r="AS1429" s="32" t="n">
        <x:f>IF(H1429=1,IF(E1429=1,AS1428-AR1428,AS1428)+AQ1429,0)</x:f>
        <x:v>0</x:v>
      </x:c>
      <x:c r="AT1429" s="11" t="n">
        <x:f>IF(AR1429&gt;0,MIN(1,AS1429/AR1429),1)</x:f>
        <x:v>1</x:v>
      </x:c>
      <x:c r="AU1429" s="10" t="n">
        <x:f>AB1429/INDEX(v01_RepScale,G1429)</x:f>
        <x:v>90.09519605746344</x:v>
      </x:c>
      <x:c r="AV1429" s="32" t="n">
        <x:f>AM1429*60/v01_SeasonSeconds</x:f>
        <x:v>0</x:v>
      </x:c>
    </x:row>
    <x:row r="1430">
      <x:c r="A1430" s="8" t="n">
        <x:f>A1429+1</x:f>
        <x:v>1427</x:v>
      </x:c>
      <x:c r="B1430" s="9" t="n">
        <x:f>A1430*v01_SeasonSeconds/60</x:f>
        <x:v>356.75</x:v>
      </x:c>
      <x:c r="C1430" s="9" t="n">
        <x:f>A1430/4</x:f>
        <x:v>356.75</x:v>
      </x:c>
      <x:c r="D1430" s="8" t="n">
        <x:f>IF(MOD(A1430,4)=0,1,0)</x:f>
        <x:v>0</x:v>
      </x:c>
      <x:c r="E1430" s="8" t="n">
        <x:f>IF(AND(F1429&lt;=9,AS1429&gt;=AR1429),1,0)</x:f>
        <x:v>0</x:v>
      </x:c>
      <x:c r="F1430" s="8" t="n">
        <x:f>MIN(10,F1429+E1430)</x:f>
        <x:v>10</x:v>
      </x:c>
      <x:c r="G1430" s="8" t="n">
        <x:f>MIN(F1430,9)+1</x:f>
        <x:v>10</x:v>
      </x:c>
      <x:c r="H1430" s="8" t="n">
        <x:f>IF(F1430&lt;=9,1,0)</x:f>
        <x:v>0</x:v>
      </x:c>
      <x:c r="I1430" s="9" t="n">
        <x:f>MIN(10,F1429+IF(AR1429&gt;0,MIN(1,AS1429/AR1429),1))</x:f>
        <x:v>10</x:v>
      </x:c>
      <x:c r="J1430" s="32" t="n">
        <x:f>INDEX(v01_FoodCap,G1430)*Arch_FoodCap*EXP(v01_CapsByProject*SUMPRODUCT((Cap_Point&lt;=I1430)*(Cap_Kind="Food")*Cap_Ln))</x:f>
        <x:v>12000</x:v>
      </x:c>
      <x:c r="K1430" s="32" t="n">
        <x:f>J1430*MIN(1,v01_LeanBase*EXP(v01_CapsByProject*SUMPRODUCT((Cap_Point&lt;=I1430)*(Cap_Kind="Lean")*Cap_Ln)))</x:f>
        <x:v>12000</x:v>
      </x:c>
      <x:c r="L1430" s="10" t="n">
        <x:f>INDEX(v01_HousingCap,G1430)*EXP(v01_CapsByProject*SUMPRODUCT((Cap_Point&lt;=I1430)*(Cap_Kind="Housing")*Cap_Ln))</x:f>
        <x:v>20000</x:v>
      </x:c>
      <x:c r="M1430" s="10" t="n">
        <x:f>INDEX(v01_GroupCap,G1430)*v01_CohesionFactor*EXP(v01_CapsByProject*SUMPRODUCT((Cap_Point&lt;=I1430)*(Cap_Kind="Group")*Cap_Ln))</x:f>
        <x:v>1000000</x:v>
      </x:c>
      <x:c r="N1430" s="32" t="n">
        <x:f>MIN(J1430,L1430,M1430)</x:f>
        <x:v>12000</x:v>
      </x:c>
      <x:c r="O1430" s="10" t="n">
        <x:f>AE1429*N1430</x:f>
        <x:v>180000</x:v>
      </x:c>
      <x:c r="P1430" s="9" t="n">
        <x:f>MIN(1,(AB1429/(AE1429*IF(v01_GroupInCrowding=1,N1430,MIN(J1430,L1430))))^v01_CrowdingExp)</x:f>
        <x:v>0.00024569414295285325</x:v>
      </x:c>
      <x:c r="Q1430" s="9" t="n">
        <x:f>IF(D1430=1,INDEX(v01_WinterMult,G1430),1)</x:f>
        <x:v>1</x:v>
      </x:c>
      <x:c r="R1430" s="9" t="n">
        <x:f>H1430*Z1429*v01_WomenShare*v01_BaseFertility*INDEX(v01_FertMult,G1430)*Arch_Fertility*(1-P1430)</x:f>
        <x:v>0</x:v>
      </x:c>
      <x:c r="S1430" s="9" t="n">
        <x:f>H1430*Y1429*INDEX(v01_MortChild,G1430)/4*Q1430</x:f>
        <x:v>0</x:v>
      </x:c>
      <x:c r="T1430" s="9" t="n">
        <x:f>H1430*Z1429*INDEX(v01_MortAdult,G1430)*Arch_AdultMort/4*Q1430</x:f>
        <x:v>0</x:v>
      </x:c>
      <x:c r="U1430" s="9" t="n">
        <x:f>H1430*AA1429*INDEX(v01_MortElder,G1430)/4*Q1430</x:f>
        <x:v>0</x:v>
      </x:c>
      <x:c r="V1430" s="9" t="n">
        <x:f>H1430*MAX(0,AB1429-O1430)*v01_OvercapLoss</x:f>
        <x:v>0</x:v>
      </x:c>
      <x:c r="W1430" s="9" t="n">
        <x:f>H1430*Y1429/(v01_ChildYears*4)</x:f>
        <x:v>0</x:v>
      </x:c>
      <x:c r="X1430" s="9" t="n">
        <x:f>H1430*Z1429/(v01_AdultYears*4)</x:f>
        <x:v>0</x:v>
      </x:c>
      <x:c r="Y1430" s="32" t="n">
        <x:f>Y1429+R1430-S1430-W1430-Y1429*V1430/AB1429</x:f>
        <x:v>14306.18539759397</x:v>
      </x:c>
      <x:c r="Z1430" s="32" t="n">
        <x:f>Z1429+W1430-X1430-T1430-Z1429*V1430/AB1429</x:f>
        <x:v>19354.456567879548</x:v>
      </x:c>
      <x:c r="AA1430" s="32" t="n">
        <x:f>AA1429+X1430-U1430-AA1429*V1430/AB1429</x:f>
        <x:v>11386.956063258198</x:v>
      </x:c>
      <x:c r="AB1430" s="10" t="n">
        <x:f>Y1430+Z1430+AA1430</x:f>
        <x:v>45047.59802873172</x:v>
      </x:c>
      <x:c r="AC1430" s="8" t="n">
        <x:f>IF(AND(v01_WinterTrigger=1,D1430=1,AB1429/AE1429&gt;=K1430),1,0)</x:f>
        <x:v>0</x:v>
      </x:c>
      <x:c r="AD1430" s="8" t="n">
        <x:f>H1430*IF(AND(OR(AB1429/AE1429&gt;=v01_FissionTrigger*N1430,AC1430=1),AB1429/AE1429*v01_DaughterShare&gt;=v01_MinDaughter),MAX(1,ROUND(AE1429*v01_FissionRate,0)),0)</x:f>
        <x:v>0</x:v>
      </x:c>
      <x:c r="AE1430" s="8" t="n">
        <x:f>IF(H1430=1,MAX(1,MIN(INDEX(v01_Smax,G1430),AE1429+AD1430)),AE1429)</x:f>
        <x:v>15</x:v>
      </x:c>
      <x:c r="AF1430" s="8" t="n">
        <x:f>MAX(0,AE1430-AE1429)</x:f>
        <x:v>0</x:v>
      </x:c>
      <x:c r="AG1430" s="9" t="str">
        <x:f>IF(AF1430&gt;0,B1430,"")</x:f>
      </x:c>
      <x:c r="AH1430" s="9" t="n">
        <x:f>IF(F1430&gt;=1,1,(1+v01_LowTiesShare*(AE1430-1))/AE1430)</x:f>
        <x:v>1</x:v>
      </x:c>
      <x:c r="AI1430" s="32" t="n">
        <x:f>(Z1430+v01_ElderCommons*INDEX(LM_Elder,G1430)*AA1430)*AH1430</x:f>
        <x:v>64139.732591141874</x:v>
      </x:c>
      <x:c r="AJ1430" s="32" t="n">
        <x:f>H1430*v01_CommonsCoef*AI1430^v01_CommonsExp*INDEX(LM_Commons,G1430)</x:f>
        <x:v>0</x:v>
      </x:c>
      <x:c r="AK1430" s="32" t="n">
        <x:f>H1430*v01_RoleScale*Arch_Roles*(AE1430*(INDEX(v01_ElderRolePerSett,G1430)*v01_OutElder*INDEX(LM_Elder,G1430)+INDEX(v01_ShamanPerSett,G1430)*v01_OutShaman)+Z1430*(INDEX(v01_PriestShare,G1430)*v01_OutPriest+INDEX(v01_ScribeShare,G1430)*v01_OutScribe*INDEX(LM_Scribe,G1430)+INDEX(v01_ScholarShare,G1430)*v01_OutScholar*INDEX(LM_Scholar,G1430)+INDEX(v01_ResearcherShare,G1430)*v01_OutResearcher*INDEX(LM_Researcher,G1430)))</x:f>
        <x:v>0</x:v>
      </x:c>
      <x:c r="AL1430" s="32" t="n">
        <x:f>H1430*v01_RoleScale*Arch_Roles*AE1430*INDEX(v01_MonasteryPerSett,G1430)*v01_OutMonastery*INDEX(LM_Monastery,G1430)</x:f>
        <x:v>0</x:v>
      </x:c>
      <x:c r="AM1430" s="32" t="n">
        <x:f>(AJ1430+AK1430+AL1430)/4*INDEX(LM_All,G1430)*INDEX(v01_Boon,G1430)*Arch_Insight</x:f>
        <x:v>0</x:v>
      </x:c>
      <x:c r="AN1430" s="32" t="n">
        <x:f>H1430*(v01_KHPerAdult*Z1430+v01_KHOfCommons*AJ1430/4*INDEX(LM_All,G1430))*v01_KHUsable*Arch_KH</x:f>
        <x:v>0</x:v>
      </x:c>
      <x:c r="AO1430" s="32" t="n">
        <x:f>MIN(AP1429+AN1430,AM1430*v01_KHMaxRatio)</x:f>
        <x:v>0</x:v>
      </x:c>
      <x:c r="AP1430" s="32" t="n">
        <x:f>AP1429+AN1430-AO1430</x:f>
        <x:v>0</x:v>
      </x:c>
      <x:c r="AQ1430" s="32" t="n">
        <x:f>AM1430+AO1430</x:f>
        <x:v>0</x:v>
      </x:c>
      <x:c r="AR1430" s="10" t="n">
        <x:f>IF(H1430=1,INDEX(v01_Req,G1430),0)</x:f>
        <x:v>0</x:v>
      </x:c>
      <x:c r="AS1430" s="32" t="n">
        <x:f>IF(H1430=1,IF(E1430=1,AS1429-AR1429,AS1429)+AQ1430,0)</x:f>
        <x:v>0</x:v>
      </x:c>
      <x:c r="AT1430" s="11" t="n">
        <x:f>IF(AR1430&gt;0,MIN(1,AS1430/AR1430),1)</x:f>
        <x:v>1</x:v>
      </x:c>
      <x:c r="AU1430" s="10" t="n">
        <x:f>AB1430/INDEX(v01_RepScale,G1430)</x:f>
        <x:v>90.09519605746344</x:v>
      </x:c>
      <x:c r="AV1430" s="32" t="n">
        <x:f>AM1430*60/v01_SeasonSeconds</x:f>
        <x:v>0</x:v>
      </x:c>
    </x:row>
    <x:row r="1431">
      <x:c r="A1431" s="8" t="n">
        <x:f>A1430+1</x:f>
        <x:v>1428</x:v>
      </x:c>
      <x:c r="B1431" s="9" t="n">
        <x:f>A1431*v01_SeasonSeconds/60</x:f>
        <x:v>357</x:v>
      </x:c>
      <x:c r="C1431" s="9" t="n">
        <x:f>A1431/4</x:f>
        <x:v>357</x:v>
      </x:c>
      <x:c r="D1431" s="8" t="n">
        <x:f>IF(MOD(A1431,4)=0,1,0)</x:f>
        <x:v>1</x:v>
      </x:c>
      <x:c r="E1431" s="8" t="n">
        <x:f>IF(AND(F1430&lt;=9,AS1430&gt;=AR1430),1,0)</x:f>
        <x:v>0</x:v>
      </x:c>
      <x:c r="F1431" s="8" t="n">
        <x:f>MIN(10,F1430+E1431)</x:f>
        <x:v>10</x:v>
      </x:c>
      <x:c r="G1431" s="8" t="n">
        <x:f>MIN(F1431,9)+1</x:f>
        <x:v>10</x:v>
      </x:c>
      <x:c r="H1431" s="8" t="n">
        <x:f>IF(F1431&lt;=9,1,0)</x:f>
        <x:v>0</x:v>
      </x:c>
      <x:c r="I1431" s="9" t="n">
        <x:f>MIN(10,F1430+IF(AR1430&gt;0,MIN(1,AS1430/AR1430),1))</x:f>
        <x:v>10</x:v>
      </x:c>
      <x:c r="J1431" s="32" t="n">
        <x:f>INDEX(v01_FoodCap,G1431)*Arch_FoodCap*EXP(v01_CapsByProject*SUMPRODUCT((Cap_Point&lt;=I1431)*(Cap_Kind="Food")*Cap_Ln))</x:f>
        <x:v>12000</x:v>
      </x:c>
      <x:c r="K1431" s="32" t="n">
        <x:f>J1431*MIN(1,v01_LeanBase*EXP(v01_CapsByProject*SUMPRODUCT((Cap_Point&lt;=I1431)*(Cap_Kind="Lean")*Cap_Ln)))</x:f>
        <x:v>12000</x:v>
      </x:c>
      <x:c r="L1431" s="10" t="n">
        <x:f>INDEX(v01_HousingCap,G1431)*EXP(v01_CapsByProject*SUMPRODUCT((Cap_Point&lt;=I1431)*(Cap_Kind="Housing")*Cap_Ln))</x:f>
        <x:v>20000</x:v>
      </x:c>
      <x:c r="M1431" s="10" t="n">
        <x:f>INDEX(v01_GroupCap,G1431)*v01_CohesionFactor*EXP(v01_CapsByProject*SUMPRODUCT((Cap_Point&lt;=I1431)*(Cap_Kind="Group")*Cap_Ln))</x:f>
        <x:v>1000000</x:v>
      </x:c>
      <x:c r="N1431" s="32" t="n">
        <x:f>MIN(J1431,L1431,M1431)</x:f>
        <x:v>12000</x:v>
      </x:c>
      <x:c r="O1431" s="10" t="n">
        <x:f>AE1430*N1431</x:f>
        <x:v>180000</x:v>
      </x:c>
      <x:c r="P1431" s="9" t="n">
        <x:f>MIN(1,(AB1430/(AE1430*IF(v01_GroupInCrowding=1,N1431,MIN(J1431,L1431))))^v01_CrowdingExp)</x:f>
        <x:v>0.00024569414295285325</x:v>
      </x:c>
      <x:c r="Q1431" s="9" t="n">
        <x:f>IF(D1431=1,INDEX(v01_WinterMult,G1431),1)</x:f>
        <x:v>1</x:v>
      </x:c>
      <x:c r="R1431" s="9" t="n">
        <x:f>H1431*Z1430*v01_WomenShare*v01_BaseFertility*INDEX(v01_FertMult,G1431)*Arch_Fertility*(1-P1431)</x:f>
        <x:v>0</x:v>
      </x:c>
      <x:c r="S1431" s="9" t="n">
        <x:f>H1431*Y1430*INDEX(v01_MortChild,G1431)/4*Q1431</x:f>
        <x:v>0</x:v>
      </x:c>
      <x:c r="T1431" s="9" t="n">
        <x:f>H1431*Z1430*INDEX(v01_MortAdult,G1431)*Arch_AdultMort/4*Q1431</x:f>
        <x:v>0</x:v>
      </x:c>
      <x:c r="U1431" s="9" t="n">
        <x:f>H1431*AA1430*INDEX(v01_MortElder,G1431)/4*Q1431</x:f>
        <x:v>0</x:v>
      </x:c>
      <x:c r="V1431" s="9" t="n">
        <x:f>H1431*MAX(0,AB1430-O1431)*v01_OvercapLoss</x:f>
        <x:v>0</x:v>
      </x:c>
      <x:c r="W1431" s="9" t="n">
        <x:f>H1431*Y1430/(v01_ChildYears*4)</x:f>
        <x:v>0</x:v>
      </x:c>
      <x:c r="X1431" s="9" t="n">
        <x:f>H1431*Z1430/(v01_AdultYears*4)</x:f>
        <x:v>0</x:v>
      </x:c>
      <x:c r="Y1431" s="32" t="n">
        <x:f>Y1430+R1431-S1431-W1431-Y1430*V1431/AB1430</x:f>
        <x:v>14306.18539759397</x:v>
      </x:c>
      <x:c r="Z1431" s="32" t="n">
        <x:f>Z1430+W1431-X1431-T1431-Z1430*V1431/AB1430</x:f>
        <x:v>19354.456567879548</x:v>
      </x:c>
      <x:c r="AA1431" s="32" t="n">
        <x:f>AA1430+X1431-U1431-AA1430*V1431/AB1430</x:f>
        <x:v>11386.956063258198</x:v>
      </x:c>
      <x:c r="AB1431" s="10" t="n">
        <x:f>Y1431+Z1431+AA1431</x:f>
        <x:v>45047.59802873172</x:v>
      </x:c>
      <x:c r="AC1431" s="8" t="n">
        <x:f>IF(AND(v01_WinterTrigger=1,D1431=1,AB1430/AE1430&gt;=K1431),1,0)</x:f>
        <x:v>0</x:v>
      </x:c>
      <x:c r="AD1431" s="8" t="n">
        <x:f>H1431*IF(AND(OR(AB1430/AE1430&gt;=v01_FissionTrigger*N1431,AC1431=1),AB1430/AE1430*v01_DaughterShare&gt;=v01_MinDaughter),MAX(1,ROUND(AE1430*v01_FissionRate,0)),0)</x:f>
        <x:v>0</x:v>
      </x:c>
      <x:c r="AE1431" s="8" t="n">
        <x:f>IF(H1431=1,MAX(1,MIN(INDEX(v01_Smax,G1431),AE1430+AD1431)),AE1430)</x:f>
        <x:v>15</x:v>
      </x:c>
      <x:c r="AF1431" s="8" t="n">
        <x:f>MAX(0,AE1431-AE1430)</x:f>
        <x:v>0</x:v>
      </x:c>
      <x:c r="AG1431" s="9" t="str">
        <x:f>IF(AF1431&gt;0,B1431,"")</x:f>
      </x:c>
      <x:c r="AH1431" s="9" t="n">
        <x:f>IF(F1431&gt;=1,1,(1+v01_LowTiesShare*(AE1431-1))/AE1431)</x:f>
        <x:v>1</x:v>
      </x:c>
      <x:c r="AI1431" s="32" t="n">
        <x:f>(Z1431+v01_ElderCommons*INDEX(LM_Elder,G1431)*AA1431)*AH1431</x:f>
        <x:v>64139.732591141874</x:v>
      </x:c>
      <x:c r="AJ1431" s="32" t="n">
        <x:f>H1431*v01_CommonsCoef*AI1431^v01_CommonsExp*INDEX(LM_Commons,G1431)</x:f>
        <x:v>0</x:v>
      </x:c>
      <x:c r="AK1431" s="32" t="n">
        <x:f>H1431*v01_RoleScale*Arch_Roles*(AE1431*(INDEX(v01_ElderRolePerSett,G1431)*v01_OutElder*INDEX(LM_Elder,G1431)+INDEX(v01_ShamanPerSett,G1431)*v01_OutShaman)+Z1431*(INDEX(v01_PriestShare,G1431)*v01_OutPriest+INDEX(v01_ScribeShare,G1431)*v01_OutScribe*INDEX(LM_Scribe,G1431)+INDEX(v01_ScholarShare,G1431)*v01_OutScholar*INDEX(LM_Scholar,G1431)+INDEX(v01_ResearcherShare,G1431)*v01_OutResearcher*INDEX(LM_Researcher,G1431)))</x:f>
        <x:v>0</x:v>
      </x:c>
      <x:c r="AL1431" s="32" t="n">
        <x:f>H1431*v01_RoleScale*Arch_Roles*AE1431*INDEX(v01_MonasteryPerSett,G1431)*v01_OutMonastery*INDEX(LM_Monastery,G1431)</x:f>
        <x:v>0</x:v>
      </x:c>
      <x:c r="AM1431" s="32" t="n">
        <x:f>(AJ1431+AK1431+AL1431)/4*INDEX(LM_All,G1431)*INDEX(v01_Boon,G1431)*Arch_Insight</x:f>
        <x:v>0</x:v>
      </x:c>
      <x:c r="AN1431" s="32" t="n">
        <x:f>H1431*(v01_KHPerAdult*Z1431+v01_KHOfCommons*AJ1431/4*INDEX(LM_All,G1431))*v01_KHUsable*Arch_KH</x:f>
        <x:v>0</x:v>
      </x:c>
      <x:c r="AO1431" s="32" t="n">
        <x:f>MIN(AP1430+AN1431,AM1431*v01_KHMaxRatio)</x:f>
        <x:v>0</x:v>
      </x:c>
      <x:c r="AP1431" s="32" t="n">
        <x:f>AP1430+AN1431-AO1431</x:f>
        <x:v>0</x:v>
      </x:c>
      <x:c r="AQ1431" s="32" t="n">
        <x:f>AM1431+AO1431</x:f>
        <x:v>0</x:v>
      </x:c>
      <x:c r="AR1431" s="10" t="n">
        <x:f>IF(H1431=1,INDEX(v01_Req,G1431),0)</x:f>
        <x:v>0</x:v>
      </x:c>
      <x:c r="AS1431" s="32" t="n">
        <x:f>IF(H1431=1,IF(E1431=1,AS1430-AR1430,AS1430)+AQ1431,0)</x:f>
        <x:v>0</x:v>
      </x:c>
      <x:c r="AT1431" s="11" t="n">
        <x:f>IF(AR1431&gt;0,MIN(1,AS1431/AR1431),1)</x:f>
        <x:v>1</x:v>
      </x:c>
      <x:c r="AU1431" s="10" t="n">
        <x:f>AB1431/INDEX(v01_RepScale,G1431)</x:f>
        <x:v>90.09519605746344</x:v>
      </x:c>
      <x:c r="AV1431" s="32" t="n">
        <x:f>AM1431*60/v01_SeasonSeconds</x:f>
        <x:v>0</x:v>
      </x:c>
    </x:row>
    <x:row r="1432">
      <x:c r="A1432" s="8" t="n">
        <x:f>A1431+1</x:f>
        <x:v>1429</x:v>
      </x:c>
      <x:c r="B1432" s="9" t="n">
        <x:f>A1432*v01_SeasonSeconds/60</x:f>
        <x:v>357.25</x:v>
      </x:c>
      <x:c r="C1432" s="9" t="n">
        <x:f>A1432/4</x:f>
        <x:v>357.25</x:v>
      </x:c>
      <x:c r="D1432" s="8" t="n">
        <x:f>IF(MOD(A1432,4)=0,1,0)</x:f>
        <x:v>0</x:v>
      </x:c>
      <x:c r="E1432" s="8" t="n">
        <x:f>IF(AND(F1431&lt;=9,AS1431&gt;=AR1431),1,0)</x:f>
        <x:v>0</x:v>
      </x:c>
      <x:c r="F1432" s="8" t="n">
        <x:f>MIN(10,F1431+E1432)</x:f>
        <x:v>10</x:v>
      </x:c>
      <x:c r="G1432" s="8" t="n">
        <x:f>MIN(F1432,9)+1</x:f>
        <x:v>10</x:v>
      </x:c>
      <x:c r="H1432" s="8" t="n">
        <x:f>IF(F1432&lt;=9,1,0)</x:f>
        <x:v>0</x:v>
      </x:c>
      <x:c r="I1432" s="9" t="n">
        <x:f>MIN(10,F1431+IF(AR1431&gt;0,MIN(1,AS1431/AR1431),1))</x:f>
        <x:v>10</x:v>
      </x:c>
      <x:c r="J1432" s="32" t="n">
        <x:f>INDEX(v01_FoodCap,G1432)*Arch_FoodCap*EXP(v01_CapsByProject*SUMPRODUCT((Cap_Point&lt;=I1432)*(Cap_Kind="Food")*Cap_Ln))</x:f>
        <x:v>12000</x:v>
      </x:c>
      <x:c r="K1432" s="32" t="n">
        <x:f>J1432*MIN(1,v01_LeanBase*EXP(v01_CapsByProject*SUMPRODUCT((Cap_Point&lt;=I1432)*(Cap_Kind="Lean")*Cap_Ln)))</x:f>
        <x:v>12000</x:v>
      </x:c>
      <x:c r="L1432" s="10" t="n">
        <x:f>INDEX(v01_HousingCap,G1432)*EXP(v01_CapsByProject*SUMPRODUCT((Cap_Point&lt;=I1432)*(Cap_Kind="Housing")*Cap_Ln))</x:f>
        <x:v>20000</x:v>
      </x:c>
      <x:c r="M1432" s="10" t="n">
        <x:f>INDEX(v01_GroupCap,G1432)*v01_CohesionFactor*EXP(v01_CapsByProject*SUMPRODUCT((Cap_Point&lt;=I1432)*(Cap_Kind="Group")*Cap_Ln))</x:f>
        <x:v>1000000</x:v>
      </x:c>
      <x:c r="N1432" s="32" t="n">
        <x:f>MIN(J1432,L1432,M1432)</x:f>
        <x:v>12000</x:v>
      </x:c>
      <x:c r="O1432" s="10" t="n">
        <x:f>AE1431*N1432</x:f>
        <x:v>180000</x:v>
      </x:c>
      <x:c r="P1432" s="9" t="n">
        <x:f>MIN(1,(AB1431/(AE1431*IF(v01_GroupInCrowding=1,N1432,MIN(J1432,L1432))))^v01_CrowdingExp)</x:f>
        <x:v>0.00024569414295285325</x:v>
      </x:c>
      <x:c r="Q1432" s="9" t="n">
        <x:f>IF(D1432=1,INDEX(v01_WinterMult,G1432),1)</x:f>
        <x:v>1</x:v>
      </x:c>
      <x:c r="R1432" s="9" t="n">
        <x:f>H1432*Z1431*v01_WomenShare*v01_BaseFertility*INDEX(v01_FertMult,G1432)*Arch_Fertility*(1-P1432)</x:f>
        <x:v>0</x:v>
      </x:c>
      <x:c r="S1432" s="9" t="n">
        <x:f>H1432*Y1431*INDEX(v01_MortChild,G1432)/4*Q1432</x:f>
        <x:v>0</x:v>
      </x:c>
      <x:c r="T1432" s="9" t="n">
        <x:f>H1432*Z1431*INDEX(v01_MortAdult,G1432)*Arch_AdultMort/4*Q1432</x:f>
        <x:v>0</x:v>
      </x:c>
      <x:c r="U1432" s="9" t="n">
        <x:f>H1432*AA1431*INDEX(v01_MortElder,G1432)/4*Q1432</x:f>
        <x:v>0</x:v>
      </x:c>
      <x:c r="V1432" s="9" t="n">
        <x:f>H1432*MAX(0,AB1431-O1432)*v01_OvercapLoss</x:f>
        <x:v>0</x:v>
      </x:c>
      <x:c r="W1432" s="9" t="n">
        <x:f>H1432*Y1431/(v01_ChildYears*4)</x:f>
        <x:v>0</x:v>
      </x:c>
      <x:c r="X1432" s="9" t="n">
        <x:f>H1432*Z1431/(v01_AdultYears*4)</x:f>
        <x:v>0</x:v>
      </x:c>
      <x:c r="Y1432" s="32" t="n">
        <x:f>Y1431+R1432-S1432-W1432-Y1431*V1432/AB1431</x:f>
        <x:v>14306.18539759397</x:v>
      </x:c>
      <x:c r="Z1432" s="32" t="n">
        <x:f>Z1431+W1432-X1432-T1432-Z1431*V1432/AB1431</x:f>
        <x:v>19354.456567879548</x:v>
      </x:c>
      <x:c r="AA1432" s="32" t="n">
        <x:f>AA1431+X1432-U1432-AA1431*V1432/AB1431</x:f>
        <x:v>11386.956063258198</x:v>
      </x:c>
      <x:c r="AB1432" s="10" t="n">
        <x:f>Y1432+Z1432+AA1432</x:f>
        <x:v>45047.59802873172</x:v>
      </x:c>
      <x:c r="AC1432" s="8" t="n">
        <x:f>IF(AND(v01_WinterTrigger=1,D1432=1,AB1431/AE1431&gt;=K1432),1,0)</x:f>
        <x:v>0</x:v>
      </x:c>
      <x:c r="AD1432" s="8" t="n">
        <x:f>H1432*IF(AND(OR(AB1431/AE1431&gt;=v01_FissionTrigger*N1432,AC1432=1),AB1431/AE1431*v01_DaughterShare&gt;=v01_MinDaughter),MAX(1,ROUND(AE1431*v01_FissionRate,0)),0)</x:f>
        <x:v>0</x:v>
      </x:c>
      <x:c r="AE1432" s="8" t="n">
        <x:f>IF(H1432=1,MAX(1,MIN(INDEX(v01_Smax,G1432),AE1431+AD1432)),AE1431)</x:f>
        <x:v>15</x:v>
      </x:c>
      <x:c r="AF1432" s="8" t="n">
        <x:f>MAX(0,AE1432-AE1431)</x:f>
        <x:v>0</x:v>
      </x:c>
      <x:c r="AG1432" s="9" t="str">
        <x:f>IF(AF1432&gt;0,B1432,"")</x:f>
      </x:c>
      <x:c r="AH1432" s="9" t="n">
        <x:f>IF(F1432&gt;=1,1,(1+v01_LowTiesShare*(AE1432-1))/AE1432)</x:f>
        <x:v>1</x:v>
      </x:c>
      <x:c r="AI1432" s="32" t="n">
        <x:f>(Z1432+v01_ElderCommons*INDEX(LM_Elder,G1432)*AA1432)*AH1432</x:f>
        <x:v>64139.732591141874</x:v>
      </x:c>
      <x:c r="AJ1432" s="32" t="n">
        <x:f>H1432*v01_CommonsCoef*AI1432^v01_CommonsExp*INDEX(LM_Commons,G1432)</x:f>
        <x:v>0</x:v>
      </x:c>
      <x:c r="AK1432" s="32" t="n">
        <x:f>H1432*v01_RoleScale*Arch_Roles*(AE1432*(INDEX(v01_ElderRolePerSett,G1432)*v01_OutElder*INDEX(LM_Elder,G1432)+INDEX(v01_ShamanPerSett,G1432)*v01_OutShaman)+Z1432*(INDEX(v01_PriestShare,G1432)*v01_OutPriest+INDEX(v01_ScribeShare,G1432)*v01_OutScribe*INDEX(LM_Scribe,G1432)+INDEX(v01_ScholarShare,G1432)*v01_OutScholar*INDEX(LM_Scholar,G1432)+INDEX(v01_ResearcherShare,G1432)*v01_OutResearcher*INDEX(LM_Researcher,G1432)))</x:f>
        <x:v>0</x:v>
      </x:c>
      <x:c r="AL1432" s="32" t="n">
        <x:f>H1432*v01_RoleScale*Arch_Roles*AE1432*INDEX(v01_MonasteryPerSett,G1432)*v01_OutMonastery*INDEX(LM_Monastery,G1432)</x:f>
        <x:v>0</x:v>
      </x:c>
      <x:c r="AM1432" s="32" t="n">
        <x:f>(AJ1432+AK1432+AL1432)/4*INDEX(LM_All,G1432)*INDEX(v01_Boon,G1432)*Arch_Insight</x:f>
        <x:v>0</x:v>
      </x:c>
      <x:c r="AN1432" s="32" t="n">
        <x:f>H1432*(v01_KHPerAdult*Z1432+v01_KHOfCommons*AJ1432/4*INDEX(LM_All,G1432))*v01_KHUsable*Arch_KH</x:f>
        <x:v>0</x:v>
      </x:c>
      <x:c r="AO1432" s="32" t="n">
        <x:f>MIN(AP1431+AN1432,AM1432*v01_KHMaxRatio)</x:f>
        <x:v>0</x:v>
      </x:c>
      <x:c r="AP1432" s="32" t="n">
        <x:f>AP1431+AN1432-AO1432</x:f>
        <x:v>0</x:v>
      </x:c>
      <x:c r="AQ1432" s="32" t="n">
        <x:f>AM1432+AO1432</x:f>
        <x:v>0</x:v>
      </x:c>
      <x:c r="AR1432" s="10" t="n">
        <x:f>IF(H1432=1,INDEX(v01_Req,G1432),0)</x:f>
        <x:v>0</x:v>
      </x:c>
      <x:c r="AS1432" s="32" t="n">
        <x:f>IF(H1432=1,IF(E1432=1,AS1431-AR1431,AS1431)+AQ1432,0)</x:f>
        <x:v>0</x:v>
      </x:c>
      <x:c r="AT1432" s="11" t="n">
        <x:f>IF(AR1432&gt;0,MIN(1,AS1432/AR1432),1)</x:f>
        <x:v>1</x:v>
      </x:c>
      <x:c r="AU1432" s="10" t="n">
        <x:f>AB1432/INDEX(v01_RepScale,G1432)</x:f>
        <x:v>90.09519605746344</x:v>
      </x:c>
      <x:c r="AV1432" s="32" t="n">
        <x:f>AM1432*60/v01_SeasonSeconds</x:f>
        <x:v>0</x:v>
      </x:c>
    </x:row>
    <x:row r="1433">
      <x:c r="A1433" s="8" t="n">
        <x:f>A1432+1</x:f>
        <x:v>1430</x:v>
      </x:c>
      <x:c r="B1433" s="9" t="n">
        <x:f>A1433*v01_SeasonSeconds/60</x:f>
        <x:v>357.5</x:v>
      </x:c>
      <x:c r="C1433" s="9" t="n">
        <x:f>A1433/4</x:f>
        <x:v>357.5</x:v>
      </x:c>
      <x:c r="D1433" s="8" t="n">
        <x:f>IF(MOD(A1433,4)=0,1,0)</x:f>
        <x:v>0</x:v>
      </x:c>
      <x:c r="E1433" s="8" t="n">
        <x:f>IF(AND(F1432&lt;=9,AS1432&gt;=AR1432),1,0)</x:f>
        <x:v>0</x:v>
      </x:c>
      <x:c r="F1433" s="8" t="n">
        <x:f>MIN(10,F1432+E1433)</x:f>
        <x:v>10</x:v>
      </x:c>
      <x:c r="G1433" s="8" t="n">
        <x:f>MIN(F1433,9)+1</x:f>
        <x:v>10</x:v>
      </x:c>
      <x:c r="H1433" s="8" t="n">
        <x:f>IF(F1433&lt;=9,1,0)</x:f>
        <x:v>0</x:v>
      </x:c>
      <x:c r="I1433" s="9" t="n">
        <x:f>MIN(10,F1432+IF(AR1432&gt;0,MIN(1,AS1432/AR1432),1))</x:f>
        <x:v>10</x:v>
      </x:c>
      <x:c r="J1433" s="32" t="n">
        <x:f>INDEX(v01_FoodCap,G1433)*Arch_FoodCap*EXP(v01_CapsByProject*SUMPRODUCT((Cap_Point&lt;=I1433)*(Cap_Kind="Food")*Cap_Ln))</x:f>
        <x:v>12000</x:v>
      </x:c>
      <x:c r="K1433" s="32" t="n">
        <x:f>J1433*MIN(1,v01_LeanBase*EXP(v01_CapsByProject*SUMPRODUCT((Cap_Point&lt;=I1433)*(Cap_Kind="Lean")*Cap_Ln)))</x:f>
        <x:v>12000</x:v>
      </x:c>
      <x:c r="L1433" s="10" t="n">
        <x:f>INDEX(v01_HousingCap,G1433)*EXP(v01_CapsByProject*SUMPRODUCT((Cap_Point&lt;=I1433)*(Cap_Kind="Housing")*Cap_Ln))</x:f>
        <x:v>20000</x:v>
      </x:c>
      <x:c r="M1433" s="10" t="n">
        <x:f>INDEX(v01_GroupCap,G1433)*v01_CohesionFactor*EXP(v01_CapsByProject*SUMPRODUCT((Cap_Point&lt;=I1433)*(Cap_Kind="Group")*Cap_Ln))</x:f>
        <x:v>1000000</x:v>
      </x:c>
      <x:c r="N1433" s="32" t="n">
        <x:f>MIN(J1433,L1433,M1433)</x:f>
        <x:v>12000</x:v>
      </x:c>
      <x:c r="O1433" s="10" t="n">
        <x:f>AE1432*N1433</x:f>
        <x:v>180000</x:v>
      </x:c>
      <x:c r="P1433" s="9" t="n">
        <x:f>MIN(1,(AB1432/(AE1432*IF(v01_GroupInCrowding=1,N1433,MIN(J1433,L1433))))^v01_CrowdingExp)</x:f>
        <x:v>0.00024569414295285325</x:v>
      </x:c>
      <x:c r="Q1433" s="9" t="n">
        <x:f>IF(D1433=1,INDEX(v01_WinterMult,G1433),1)</x:f>
        <x:v>1</x:v>
      </x:c>
      <x:c r="R1433" s="9" t="n">
        <x:f>H1433*Z1432*v01_WomenShare*v01_BaseFertility*INDEX(v01_FertMult,G1433)*Arch_Fertility*(1-P1433)</x:f>
        <x:v>0</x:v>
      </x:c>
      <x:c r="S1433" s="9" t="n">
        <x:f>H1433*Y1432*INDEX(v01_MortChild,G1433)/4*Q1433</x:f>
        <x:v>0</x:v>
      </x:c>
      <x:c r="T1433" s="9" t="n">
        <x:f>H1433*Z1432*INDEX(v01_MortAdult,G1433)*Arch_AdultMort/4*Q1433</x:f>
        <x:v>0</x:v>
      </x:c>
      <x:c r="U1433" s="9" t="n">
        <x:f>H1433*AA1432*INDEX(v01_MortElder,G1433)/4*Q1433</x:f>
        <x:v>0</x:v>
      </x:c>
      <x:c r="V1433" s="9" t="n">
        <x:f>H1433*MAX(0,AB1432-O1433)*v01_OvercapLoss</x:f>
        <x:v>0</x:v>
      </x:c>
      <x:c r="W1433" s="9" t="n">
        <x:f>H1433*Y1432/(v01_ChildYears*4)</x:f>
        <x:v>0</x:v>
      </x:c>
      <x:c r="X1433" s="9" t="n">
        <x:f>H1433*Z1432/(v01_AdultYears*4)</x:f>
        <x:v>0</x:v>
      </x:c>
      <x:c r="Y1433" s="32" t="n">
        <x:f>Y1432+R1433-S1433-W1433-Y1432*V1433/AB1432</x:f>
        <x:v>14306.18539759397</x:v>
      </x:c>
      <x:c r="Z1433" s="32" t="n">
        <x:f>Z1432+W1433-X1433-T1433-Z1432*V1433/AB1432</x:f>
        <x:v>19354.456567879548</x:v>
      </x:c>
      <x:c r="AA1433" s="32" t="n">
        <x:f>AA1432+X1433-U1433-AA1432*V1433/AB1432</x:f>
        <x:v>11386.956063258198</x:v>
      </x:c>
      <x:c r="AB1433" s="10" t="n">
        <x:f>Y1433+Z1433+AA1433</x:f>
        <x:v>45047.59802873172</x:v>
      </x:c>
      <x:c r="AC1433" s="8" t="n">
        <x:f>IF(AND(v01_WinterTrigger=1,D1433=1,AB1432/AE1432&gt;=K1433),1,0)</x:f>
        <x:v>0</x:v>
      </x:c>
      <x:c r="AD1433" s="8" t="n">
        <x:f>H1433*IF(AND(OR(AB1432/AE1432&gt;=v01_FissionTrigger*N1433,AC1433=1),AB1432/AE1432*v01_DaughterShare&gt;=v01_MinDaughter),MAX(1,ROUND(AE1432*v01_FissionRate,0)),0)</x:f>
        <x:v>0</x:v>
      </x:c>
      <x:c r="AE1433" s="8" t="n">
        <x:f>IF(H1433=1,MAX(1,MIN(INDEX(v01_Smax,G1433),AE1432+AD1433)),AE1432)</x:f>
        <x:v>15</x:v>
      </x:c>
      <x:c r="AF1433" s="8" t="n">
        <x:f>MAX(0,AE1433-AE1432)</x:f>
        <x:v>0</x:v>
      </x:c>
      <x:c r="AG1433" s="9" t="str">
        <x:f>IF(AF1433&gt;0,B1433,"")</x:f>
      </x:c>
      <x:c r="AH1433" s="9" t="n">
        <x:f>IF(F1433&gt;=1,1,(1+v01_LowTiesShare*(AE1433-1))/AE1433)</x:f>
        <x:v>1</x:v>
      </x:c>
      <x:c r="AI1433" s="32" t="n">
        <x:f>(Z1433+v01_ElderCommons*INDEX(LM_Elder,G1433)*AA1433)*AH1433</x:f>
        <x:v>64139.732591141874</x:v>
      </x:c>
      <x:c r="AJ1433" s="32" t="n">
        <x:f>H1433*v01_CommonsCoef*AI1433^v01_CommonsExp*INDEX(LM_Commons,G1433)</x:f>
        <x:v>0</x:v>
      </x:c>
      <x:c r="AK1433" s="32" t="n">
        <x:f>H1433*v01_RoleScale*Arch_Roles*(AE1433*(INDEX(v01_ElderRolePerSett,G1433)*v01_OutElder*INDEX(LM_Elder,G1433)+INDEX(v01_ShamanPerSett,G1433)*v01_OutShaman)+Z1433*(INDEX(v01_PriestShare,G1433)*v01_OutPriest+INDEX(v01_ScribeShare,G1433)*v01_OutScribe*INDEX(LM_Scribe,G1433)+INDEX(v01_ScholarShare,G1433)*v01_OutScholar*INDEX(LM_Scholar,G1433)+INDEX(v01_ResearcherShare,G1433)*v01_OutResearcher*INDEX(LM_Researcher,G1433)))</x:f>
        <x:v>0</x:v>
      </x:c>
      <x:c r="AL1433" s="32" t="n">
        <x:f>H1433*v01_RoleScale*Arch_Roles*AE1433*INDEX(v01_MonasteryPerSett,G1433)*v01_OutMonastery*INDEX(LM_Monastery,G1433)</x:f>
        <x:v>0</x:v>
      </x:c>
      <x:c r="AM1433" s="32" t="n">
        <x:f>(AJ1433+AK1433+AL1433)/4*INDEX(LM_All,G1433)*INDEX(v01_Boon,G1433)*Arch_Insight</x:f>
        <x:v>0</x:v>
      </x:c>
      <x:c r="AN1433" s="32" t="n">
        <x:f>H1433*(v01_KHPerAdult*Z1433+v01_KHOfCommons*AJ1433/4*INDEX(LM_All,G1433))*v01_KHUsable*Arch_KH</x:f>
        <x:v>0</x:v>
      </x:c>
      <x:c r="AO1433" s="32" t="n">
        <x:f>MIN(AP1432+AN1433,AM1433*v01_KHMaxRatio)</x:f>
        <x:v>0</x:v>
      </x:c>
      <x:c r="AP1433" s="32" t="n">
        <x:f>AP1432+AN1433-AO1433</x:f>
        <x:v>0</x:v>
      </x:c>
      <x:c r="AQ1433" s="32" t="n">
        <x:f>AM1433+AO1433</x:f>
        <x:v>0</x:v>
      </x:c>
      <x:c r="AR1433" s="10" t="n">
        <x:f>IF(H1433=1,INDEX(v01_Req,G1433),0)</x:f>
        <x:v>0</x:v>
      </x:c>
      <x:c r="AS1433" s="32" t="n">
        <x:f>IF(H1433=1,IF(E1433=1,AS1432-AR1432,AS1432)+AQ1433,0)</x:f>
        <x:v>0</x:v>
      </x:c>
      <x:c r="AT1433" s="11" t="n">
        <x:f>IF(AR1433&gt;0,MIN(1,AS1433/AR1433),1)</x:f>
        <x:v>1</x:v>
      </x:c>
      <x:c r="AU1433" s="10" t="n">
        <x:f>AB1433/INDEX(v01_RepScale,G1433)</x:f>
        <x:v>90.09519605746344</x:v>
      </x:c>
      <x:c r="AV1433" s="32" t="n">
        <x:f>AM1433*60/v01_SeasonSeconds</x:f>
        <x:v>0</x:v>
      </x:c>
    </x:row>
    <x:row r="1434">
      <x:c r="A1434" s="8" t="n">
        <x:f>A1433+1</x:f>
        <x:v>1431</x:v>
      </x:c>
      <x:c r="B1434" s="9" t="n">
        <x:f>A1434*v01_SeasonSeconds/60</x:f>
        <x:v>357.75</x:v>
      </x:c>
      <x:c r="C1434" s="9" t="n">
        <x:f>A1434/4</x:f>
        <x:v>357.75</x:v>
      </x:c>
      <x:c r="D1434" s="8" t="n">
        <x:f>IF(MOD(A1434,4)=0,1,0)</x:f>
        <x:v>0</x:v>
      </x:c>
      <x:c r="E1434" s="8" t="n">
        <x:f>IF(AND(F1433&lt;=9,AS1433&gt;=AR1433),1,0)</x:f>
        <x:v>0</x:v>
      </x:c>
      <x:c r="F1434" s="8" t="n">
        <x:f>MIN(10,F1433+E1434)</x:f>
        <x:v>10</x:v>
      </x:c>
      <x:c r="G1434" s="8" t="n">
        <x:f>MIN(F1434,9)+1</x:f>
        <x:v>10</x:v>
      </x:c>
      <x:c r="H1434" s="8" t="n">
        <x:f>IF(F1434&lt;=9,1,0)</x:f>
        <x:v>0</x:v>
      </x:c>
      <x:c r="I1434" s="9" t="n">
        <x:f>MIN(10,F1433+IF(AR1433&gt;0,MIN(1,AS1433/AR1433),1))</x:f>
        <x:v>10</x:v>
      </x:c>
      <x:c r="J1434" s="32" t="n">
        <x:f>INDEX(v01_FoodCap,G1434)*Arch_FoodCap*EXP(v01_CapsByProject*SUMPRODUCT((Cap_Point&lt;=I1434)*(Cap_Kind="Food")*Cap_Ln))</x:f>
        <x:v>12000</x:v>
      </x:c>
      <x:c r="K1434" s="32" t="n">
        <x:f>J1434*MIN(1,v01_LeanBase*EXP(v01_CapsByProject*SUMPRODUCT((Cap_Point&lt;=I1434)*(Cap_Kind="Lean")*Cap_Ln)))</x:f>
        <x:v>12000</x:v>
      </x:c>
      <x:c r="L1434" s="10" t="n">
        <x:f>INDEX(v01_HousingCap,G1434)*EXP(v01_CapsByProject*SUMPRODUCT((Cap_Point&lt;=I1434)*(Cap_Kind="Housing")*Cap_Ln))</x:f>
        <x:v>20000</x:v>
      </x:c>
      <x:c r="M1434" s="10" t="n">
        <x:f>INDEX(v01_GroupCap,G1434)*v01_CohesionFactor*EXP(v01_CapsByProject*SUMPRODUCT((Cap_Point&lt;=I1434)*(Cap_Kind="Group")*Cap_Ln))</x:f>
        <x:v>1000000</x:v>
      </x:c>
      <x:c r="N1434" s="32" t="n">
        <x:f>MIN(J1434,L1434,M1434)</x:f>
        <x:v>12000</x:v>
      </x:c>
      <x:c r="O1434" s="10" t="n">
        <x:f>AE1433*N1434</x:f>
        <x:v>180000</x:v>
      </x:c>
      <x:c r="P1434" s="9" t="n">
        <x:f>MIN(1,(AB1433/(AE1433*IF(v01_GroupInCrowding=1,N1434,MIN(J1434,L1434))))^v01_CrowdingExp)</x:f>
        <x:v>0.00024569414295285325</x:v>
      </x:c>
      <x:c r="Q1434" s="9" t="n">
        <x:f>IF(D1434=1,INDEX(v01_WinterMult,G1434),1)</x:f>
        <x:v>1</x:v>
      </x:c>
      <x:c r="R1434" s="9" t="n">
        <x:f>H1434*Z1433*v01_WomenShare*v01_BaseFertility*INDEX(v01_FertMult,G1434)*Arch_Fertility*(1-P1434)</x:f>
        <x:v>0</x:v>
      </x:c>
      <x:c r="S1434" s="9" t="n">
        <x:f>H1434*Y1433*INDEX(v01_MortChild,G1434)/4*Q1434</x:f>
        <x:v>0</x:v>
      </x:c>
      <x:c r="T1434" s="9" t="n">
        <x:f>H1434*Z1433*INDEX(v01_MortAdult,G1434)*Arch_AdultMort/4*Q1434</x:f>
        <x:v>0</x:v>
      </x:c>
      <x:c r="U1434" s="9" t="n">
        <x:f>H1434*AA1433*INDEX(v01_MortElder,G1434)/4*Q1434</x:f>
        <x:v>0</x:v>
      </x:c>
      <x:c r="V1434" s="9" t="n">
        <x:f>H1434*MAX(0,AB1433-O1434)*v01_OvercapLoss</x:f>
        <x:v>0</x:v>
      </x:c>
      <x:c r="W1434" s="9" t="n">
        <x:f>H1434*Y1433/(v01_ChildYears*4)</x:f>
        <x:v>0</x:v>
      </x:c>
      <x:c r="X1434" s="9" t="n">
        <x:f>H1434*Z1433/(v01_AdultYears*4)</x:f>
        <x:v>0</x:v>
      </x:c>
      <x:c r="Y1434" s="32" t="n">
        <x:f>Y1433+R1434-S1434-W1434-Y1433*V1434/AB1433</x:f>
        <x:v>14306.18539759397</x:v>
      </x:c>
      <x:c r="Z1434" s="32" t="n">
        <x:f>Z1433+W1434-X1434-T1434-Z1433*V1434/AB1433</x:f>
        <x:v>19354.456567879548</x:v>
      </x:c>
      <x:c r="AA1434" s="32" t="n">
        <x:f>AA1433+X1434-U1434-AA1433*V1434/AB1433</x:f>
        <x:v>11386.956063258198</x:v>
      </x:c>
      <x:c r="AB1434" s="10" t="n">
        <x:f>Y1434+Z1434+AA1434</x:f>
        <x:v>45047.59802873172</x:v>
      </x:c>
      <x:c r="AC1434" s="8" t="n">
        <x:f>IF(AND(v01_WinterTrigger=1,D1434=1,AB1433/AE1433&gt;=K1434),1,0)</x:f>
        <x:v>0</x:v>
      </x:c>
      <x:c r="AD1434" s="8" t="n">
        <x:f>H1434*IF(AND(OR(AB1433/AE1433&gt;=v01_FissionTrigger*N1434,AC1434=1),AB1433/AE1433*v01_DaughterShare&gt;=v01_MinDaughter),MAX(1,ROUND(AE1433*v01_FissionRate,0)),0)</x:f>
        <x:v>0</x:v>
      </x:c>
      <x:c r="AE1434" s="8" t="n">
        <x:f>IF(H1434=1,MAX(1,MIN(INDEX(v01_Smax,G1434),AE1433+AD1434)),AE1433)</x:f>
        <x:v>15</x:v>
      </x:c>
      <x:c r="AF1434" s="8" t="n">
        <x:f>MAX(0,AE1434-AE1433)</x:f>
        <x:v>0</x:v>
      </x:c>
      <x:c r="AG1434" s="9" t="str">
        <x:f>IF(AF1434&gt;0,B1434,"")</x:f>
      </x:c>
      <x:c r="AH1434" s="9" t="n">
        <x:f>IF(F1434&gt;=1,1,(1+v01_LowTiesShare*(AE1434-1))/AE1434)</x:f>
        <x:v>1</x:v>
      </x:c>
      <x:c r="AI1434" s="32" t="n">
        <x:f>(Z1434+v01_ElderCommons*INDEX(LM_Elder,G1434)*AA1434)*AH1434</x:f>
        <x:v>64139.732591141874</x:v>
      </x:c>
      <x:c r="AJ1434" s="32" t="n">
        <x:f>H1434*v01_CommonsCoef*AI1434^v01_CommonsExp*INDEX(LM_Commons,G1434)</x:f>
        <x:v>0</x:v>
      </x:c>
      <x:c r="AK1434" s="32" t="n">
        <x:f>H1434*v01_RoleScale*Arch_Roles*(AE1434*(INDEX(v01_ElderRolePerSett,G1434)*v01_OutElder*INDEX(LM_Elder,G1434)+INDEX(v01_ShamanPerSett,G1434)*v01_OutShaman)+Z1434*(INDEX(v01_PriestShare,G1434)*v01_OutPriest+INDEX(v01_ScribeShare,G1434)*v01_OutScribe*INDEX(LM_Scribe,G1434)+INDEX(v01_ScholarShare,G1434)*v01_OutScholar*INDEX(LM_Scholar,G1434)+INDEX(v01_ResearcherShare,G1434)*v01_OutResearcher*INDEX(LM_Researcher,G1434)))</x:f>
        <x:v>0</x:v>
      </x:c>
      <x:c r="AL1434" s="32" t="n">
        <x:f>H1434*v01_RoleScale*Arch_Roles*AE1434*INDEX(v01_MonasteryPerSett,G1434)*v01_OutMonastery*INDEX(LM_Monastery,G1434)</x:f>
        <x:v>0</x:v>
      </x:c>
      <x:c r="AM1434" s="32" t="n">
        <x:f>(AJ1434+AK1434+AL1434)/4*INDEX(LM_All,G1434)*INDEX(v01_Boon,G1434)*Arch_Insight</x:f>
        <x:v>0</x:v>
      </x:c>
      <x:c r="AN1434" s="32" t="n">
        <x:f>H1434*(v01_KHPerAdult*Z1434+v01_KHOfCommons*AJ1434/4*INDEX(LM_All,G1434))*v01_KHUsable*Arch_KH</x:f>
        <x:v>0</x:v>
      </x:c>
      <x:c r="AO1434" s="32" t="n">
        <x:f>MIN(AP1433+AN1434,AM1434*v01_KHMaxRatio)</x:f>
        <x:v>0</x:v>
      </x:c>
      <x:c r="AP1434" s="32" t="n">
        <x:f>AP1433+AN1434-AO1434</x:f>
        <x:v>0</x:v>
      </x:c>
      <x:c r="AQ1434" s="32" t="n">
        <x:f>AM1434+AO1434</x:f>
        <x:v>0</x:v>
      </x:c>
      <x:c r="AR1434" s="10" t="n">
        <x:f>IF(H1434=1,INDEX(v01_Req,G1434),0)</x:f>
        <x:v>0</x:v>
      </x:c>
      <x:c r="AS1434" s="32" t="n">
        <x:f>IF(H1434=1,IF(E1434=1,AS1433-AR1433,AS1433)+AQ1434,0)</x:f>
        <x:v>0</x:v>
      </x:c>
      <x:c r="AT1434" s="11" t="n">
        <x:f>IF(AR1434&gt;0,MIN(1,AS1434/AR1434),1)</x:f>
        <x:v>1</x:v>
      </x:c>
      <x:c r="AU1434" s="10" t="n">
        <x:f>AB1434/INDEX(v01_RepScale,G1434)</x:f>
        <x:v>90.09519605746344</x:v>
      </x:c>
      <x:c r="AV1434" s="32" t="n">
        <x:f>AM1434*60/v01_SeasonSeconds</x:f>
        <x:v>0</x:v>
      </x:c>
    </x:row>
    <x:row r="1435">
      <x:c r="A1435" s="8" t="n">
        <x:f>A1434+1</x:f>
        <x:v>1432</x:v>
      </x:c>
      <x:c r="B1435" s="9" t="n">
        <x:f>A1435*v01_SeasonSeconds/60</x:f>
        <x:v>358</x:v>
      </x:c>
      <x:c r="C1435" s="9" t="n">
        <x:f>A1435/4</x:f>
        <x:v>358</x:v>
      </x:c>
      <x:c r="D1435" s="8" t="n">
        <x:f>IF(MOD(A1435,4)=0,1,0)</x:f>
        <x:v>1</x:v>
      </x:c>
      <x:c r="E1435" s="8" t="n">
        <x:f>IF(AND(F1434&lt;=9,AS1434&gt;=AR1434),1,0)</x:f>
        <x:v>0</x:v>
      </x:c>
      <x:c r="F1435" s="8" t="n">
        <x:f>MIN(10,F1434+E1435)</x:f>
        <x:v>10</x:v>
      </x:c>
      <x:c r="G1435" s="8" t="n">
        <x:f>MIN(F1435,9)+1</x:f>
        <x:v>10</x:v>
      </x:c>
      <x:c r="H1435" s="8" t="n">
        <x:f>IF(F1435&lt;=9,1,0)</x:f>
        <x:v>0</x:v>
      </x:c>
      <x:c r="I1435" s="9" t="n">
        <x:f>MIN(10,F1434+IF(AR1434&gt;0,MIN(1,AS1434/AR1434),1))</x:f>
        <x:v>10</x:v>
      </x:c>
      <x:c r="J1435" s="32" t="n">
        <x:f>INDEX(v01_FoodCap,G1435)*Arch_FoodCap*EXP(v01_CapsByProject*SUMPRODUCT((Cap_Point&lt;=I1435)*(Cap_Kind="Food")*Cap_Ln))</x:f>
        <x:v>12000</x:v>
      </x:c>
      <x:c r="K1435" s="32" t="n">
        <x:f>J1435*MIN(1,v01_LeanBase*EXP(v01_CapsByProject*SUMPRODUCT((Cap_Point&lt;=I1435)*(Cap_Kind="Lean")*Cap_Ln)))</x:f>
        <x:v>12000</x:v>
      </x:c>
      <x:c r="L1435" s="10" t="n">
        <x:f>INDEX(v01_HousingCap,G1435)*EXP(v01_CapsByProject*SUMPRODUCT((Cap_Point&lt;=I1435)*(Cap_Kind="Housing")*Cap_Ln))</x:f>
        <x:v>20000</x:v>
      </x:c>
      <x:c r="M1435" s="10" t="n">
        <x:f>INDEX(v01_GroupCap,G1435)*v01_CohesionFactor*EXP(v01_CapsByProject*SUMPRODUCT((Cap_Point&lt;=I1435)*(Cap_Kind="Group")*Cap_Ln))</x:f>
        <x:v>1000000</x:v>
      </x:c>
      <x:c r="N1435" s="32" t="n">
        <x:f>MIN(J1435,L1435,M1435)</x:f>
        <x:v>12000</x:v>
      </x:c>
      <x:c r="O1435" s="10" t="n">
        <x:f>AE1434*N1435</x:f>
        <x:v>180000</x:v>
      </x:c>
      <x:c r="P1435" s="9" t="n">
        <x:f>MIN(1,(AB1434/(AE1434*IF(v01_GroupInCrowding=1,N1435,MIN(J1435,L1435))))^v01_CrowdingExp)</x:f>
        <x:v>0.00024569414295285325</x:v>
      </x:c>
      <x:c r="Q1435" s="9" t="n">
        <x:f>IF(D1435=1,INDEX(v01_WinterMult,G1435),1)</x:f>
        <x:v>1</x:v>
      </x:c>
      <x:c r="R1435" s="9" t="n">
        <x:f>H1435*Z1434*v01_WomenShare*v01_BaseFertility*INDEX(v01_FertMult,G1435)*Arch_Fertility*(1-P1435)</x:f>
        <x:v>0</x:v>
      </x:c>
      <x:c r="S1435" s="9" t="n">
        <x:f>H1435*Y1434*INDEX(v01_MortChild,G1435)/4*Q1435</x:f>
        <x:v>0</x:v>
      </x:c>
      <x:c r="T1435" s="9" t="n">
        <x:f>H1435*Z1434*INDEX(v01_MortAdult,G1435)*Arch_AdultMort/4*Q1435</x:f>
        <x:v>0</x:v>
      </x:c>
      <x:c r="U1435" s="9" t="n">
        <x:f>H1435*AA1434*INDEX(v01_MortElder,G1435)/4*Q1435</x:f>
        <x:v>0</x:v>
      </x:c>
      <x:c r="V1435" s="9" t="n">
        <x:f>H1435*MAX(0,AB1434-O1435)*v01_OvercapLoss</x:f>
        <x:v>0</x:v>
      </x:c>
      <x:c r="W1435" s="9" t="n">
        <x:f>H1435*Y1434/(v01_ChildYears*4)</x:f>
        <x:v>0</x:v>
      </x:c>
      <x:c r="X1435" s="9" t="n">
        <x:f>H1435*Z1434/(v01_AdultYears*4)</x:f>
        <x:v>0</x:v>
      </x:c>
      <x:c r="Y1435" s="32" t="n">
        <x:f>Y1434+R1435-S1435-W1435-Y1434*V1435/AB1434</x:f>
        <x:v>14306.18539759397</x:v>
      </x:c>
      <x:c r="Z1435" s="32" t="n">
        <x:f>Z1434+W1435-X1435-T1435-Z1434*V1435/AB1434</x:f>
        <x:v>19354.456567879548</x:v>
      </x:c>
      <x:c r="AA1435" s="32" t="n">
        <x:f>AA1434+X1435-U1435-AA1434*V1435/AB1434</x:f>
        <x:v>11386.956063258198</x:v>
      </x:c>
      <x:c r="AB1435" s="10" t="n">
        <x:f>Y1435+Z1435+AA1435</x:f>
        <x:v>45047.59802873172</x:v>
      </x:c>
      <x:c r="AC1435" s="8" t="n">
        <x:f>IF(AND(v01_WinterTrigger=1,D1435=1,AB1434/AE1434&gt;=K1435),1,0)</x:f>
        <x:v>0</x:v>
      </x:c>
      <x:c r="AD1435" s="8" t="n">
        <x:f>H1435*IF(AND(OR(AB1434/AE1434&gt;=v01_FissionTrigger*N1435,AC1435=1),AB1434/AE1434*v01_DaughterShare&gt;=v01_MinDaughter),MAX(1,ROUND(AE1434*v01_FissionRate,0)),0)</x:f>
        <x:v>0</x:v>
      </x:c>
      <x:c r="AE1435" s="8" t="n">
        <x:f>IF(H1435=1,MAX(1,MIN(INDEX(v01_Smax,G1435),AE1434+AD1435)),AE1434)</x:f>
        <x:v>15</x:v>
      </x:c>
      <x:c r="AF1435" s="8" t="n">
        <x:f>MAX(0,AE1435-AE1434)</x:f>
        <x:v>0</x:v>
      </x:c>
      <x:c r="AG1435" s="9" t="str">
        <x:f>IF(AF1435&gt;0,B1435,"")</x:f>
      </x:c>
      <x:c r="AH1435" s="9" t="n">
        <x:f>IF(F1435&gt;=1,1,(1+v01_LowTiesShare*(AE1435-1))/AE1435)</x:f>
        <x:v>1</x:v>
      </x:c>
      <x:c r="AI1435" s="32" t="n">
        <x:f>(Z1435+v01_ElderCommons*INDEX(LM_Elder,G1435)*AA1435)*AH1435</x:f>
        <x:v>64139.732591141874</x:v>
      </x:c>
      <x:c r="AJ1435" s="32" t="n">
        <x:f>H1435*v01_CommonsCoef*AI1435^v01_CommonsExp*INDEX(LM_Commons,G1435)</x:f>
        <x:v>0</x:v>
      </x:c>
      <x:c r="AK1435" s="32" t="n">
        <x:f>H1435*v01_RoleScale*Arch_Roles*(AE1435*(INDEX(v01_ElderRolePerSett,G1435)*v01_OutElder*INDEX(LM_Elder,G1435)+INDEX(v01_ShamanPerSett,G1435)*v01_OutShaman)+Z1435*(INDEX(v01_PriestShare,G1435)*v01_OutPriest+INDEX(v01_ScribeShare,G1435)*v01_OutScribe*INDEX(LM_Scribe,G1435)+INDEX(v01_ScholarShare,G1435)*v01_OutScholar*INDEX(LM_Scholar,G1435)+INDEX(v01_ResearcherShare,G1435)*v01_OutResearcher*INDEX(LM_Researcher,G1435)))</x:f>
        <x:v>0</x:v>
      </x:c>
      <x:c r="AL1435" s="32" t="n">
        <x:f>H1435*v01_RoleScale*Arch_Roles*AE1435*INDEX(v01_MonasteryPerSett,G1435)*v01_OutMonastery*INDEX(LM_Monastery,G1435)</x:f>
        <x:v>0</x:v>
      </x:c>
      <x:c r="AM1435" s="32" t="n">
        <x:f>(AJ1435+AK1435+AL1435)/4*INDEX(LM_All,G1435)*INDEX(v01_Boon,G1435)*Arch_Insight</x:f>
        <x:v>0</x:v>
      </x:c>
      <x:c r="AN1435" s="32" t="n">
        <x:f>H1435*(v01_KHPerAdult*Z1435+v01_KHOfCommons*AJ1435/4*INDEX(LM_All,G1435))*v01_KHUsable*Arch_KH</x:f>
        <x:v>0</x:v>
      </x:c>
      <x:c r="AO1435" s="32" t="n">
        <x:f>MIN(AP1434+AN1435,AM1435*v01_KHMaxRatio)</x:f>
        <x:v>0</x:v>
      </x:c>
      <x:c r="AP1435" s="32" t="n">
        <x:f>AP1434+AN1435-AO1435</x:f>
        <x:v>0</x:v>
      </x:c>
      <x:c r="AQ1435" s="32" t="n">
        <x:f>AM1435+AO1435</x:f>
        <x:v>0</x:v>
      </x:c>
      <x:c r="AR1435" s="10" t="n">
        <x:f>IF(H1435=1,INDEX(v01_Req,G1435),0)</x:f>
        <x:v>0</x:v>
      </x:c>
      <x:c r="AS1435" s="32" t="n">
        <x:f>IF(H1435=1,IF(E1435=1,AS1434-AR1434,AS1434)+AQ1435,0)</x:f>
        <x:v>0</x:v>
      </x:c>
      <x:c r="AT1435" s="11" t="n">
        <x:f>IF(AR1435&gt;0,MIN(1,AS1435/AR1435),1)</x:f>
        <x:v>1</x:v>
      </x:c>
      <x:c r="AU1435" s="10" t="n">
        <x:f>AB1435/INDEX(v01_RepScale,G1435)</x:f>
        <x:v>90.09519605746344</x:v>
      </x:c>
      <x:c r="AV1435" s="32" t="n">
        <x:f>AM1435*60/v01_SeasonSeconds</x:f>
        <x:v>0</x:v>
      </x:c>
    </x:row>
    <x:row r="1436">
      <x:c r="A1436" s="8" t="n">
        <x:f>A1435+1</x:f>
        <x:v>1433</x:v>
      </x:c>
      <x:c r="B1436" s="9" t="n">
        <x:f>A1436*v01_SeasonSeconds/60</x:f>
        <x:v>358.25</x:v>
      </x:c>
      <x:c r="C1436" s="9" t="n">
        <x:f>A1436/4</x:f>
        <x:v>358.25</x:v>
      </x:c>
      <x:c r="D1436" s="8" t="n">
        <x:f>IF(MOD(A1436,4)=0,1,0)</x:f>
        <x:v>0</x:v>
      </x:c>
      <x:c r="E1436" s="8" t="n">
        <x:f>IF(AND(F1435&lt;=9,AS1435&gt;=AR1435),1,0)</x:f>
        <x:v>0</x:v>
      </x:c>
      <x:c r="F1436" s="8" t="n">
        <x:f>MIN(10,F1435+E1436)</x:f>
        <x:v>10</x:v>
      </x:c>
      <x:c r="G1436" s="8" t="n">
        <x:f>MIN(F1436,9)+1</x:f>
        <x:v>10</x:v>
      </x:c>
      <x:c r="H1436" s="8" t="n">
        <x:f>IF(F1436&lt;=9,1,0)</x:f>
        <x:v>0</x:v>
      </x:c>
      <x:c r="I1436" s="9" t="n">
        <x:f>MIN(10,F1435+IF(AR1435&gt;0,MIN(1,AS1435/AR1435),1))</x:f>
        <x:v>10</x:v>
      </x:c>
      <x:c r="J1436" s="32" t="n">
        <x:f>INDEX(v01_FoodCap,G1436)*Arch_FoodCap*EXP(v01_CapsByProject*SUMPRODUCT((Cap_Point&lt;=I1436)*(Cap_Kind="Food")*Cap_Ln))</x:f>
        <x:v>12000</x:v>
      </x:c>
      <x:c r="K1436" s="32" t="n">
        <x:f>J1436*MIN(1,v01_LeanBase*EXP(v01_CapsByProject*SUMPRODUCT((Cap_Point&lt;=I1436)*(Cap_Kind="Lean")*Cap_Ln)))</x:f>
        <x:v>12000</x:v>
      </x:c>
      <x:c r="L1436" s="10" t="n">
        <x:f>INDEX(v01_HousingCap,G1436)*EXP(v01_CapsByProject*SUMPRODUCT((Cap_Point&lt;=I1436)*(Cap_Kind="Housing")*Cap_Ln))</x:f>
        <x:v>20000</x:v>
      </x:c>
      <x:c r="M1436" s="10" t="n">
        <x:f>INDEX(v01_GroupCap,G1436)*v01_CohesionFactor*EXP(v01_CapsByProject*SUMPRODUCT((Cap_Point&lt;=I1436)*(Cap_Kind="Group")*Cap_Ln))</x:f>
        <x:v>1000000</x:v>
      </x:c>
      <x:c r="N1436" s="32" t="n">
        <x:f>MIN(J1436,L1436,M1436)</x:f>
        <x:v>12000</x:v>
      </x:c>
      <x:c r="O1436" s="10" t="n">
        <x:f>AE1435*N1436</x:f>
        <x:v>180000</x:v>
      </x:c>
      <x:c r="P1436" s="9" t="n">
        <x:f>MIN(1,(AB1435/(AE1435*IF(v01_GroupInCrowding=1,N1436,MIN(J1436,L1436))))^v01_CrowdingExp)</x:f>
        <x:v>0.00024569414295285325</x:v>
      </x:c>
      <x:c r="Q1436" s="9" t="n">
        <x:f>IF(D1436=1,INDEX(v01_WinterMult,G1436),1)</x:f>
        <x:v>1</x:v>
      </x:c>
      <x:c r="R1436" s="9" t="n">
        <x:f>H1436*Z1435*v01_WomenShare*v01_BaseFertility*INDEX(v01_FertMult,G1436)*Arch_Fertility*(1-P1436)</x:f>
        <x:v>0</x:v>
      </x:c>
      <x:c r="S1436" s="9" t="n">
        <x:f>H1436*Y1435*INDEX(v01_MortChild,G1436)/4*Q1436</x:f>
        <x:v>0</x:v>
      </x:c>
      <x:c r="T1436" s="9" t="n">
        <x:f>H1436*Z1435*INDEX(v01_MortAdult,G1436)*Arch_AdultMort/4*Q1436</x:f>
        <x:v>0</x:v>
      </x:c>
      <x:c r="U1436" s="9" t="n">
        <x:f>H1436*AA1435*INDEX(v01_MortElder,G1436)/4*Q1436</x:f>
        <x:v>0</x:v>
      </x:c>
      <x:c r="V1436" s="9" t="n">
        <x:f>H1436*MAX(0,AB1435-O1436)*v01_OvercapLoss</x:f>
        <x:v>0</x:v>
      </x:c>
      <x:c r="W1436" s="9" t="n">
        <x:f>H1436*Y1435/(v01_ChildYears*4)</x:f>
        <x:v>0</x:v>
      </x:c>
      <x:c r="X1436" s="9" t="n">
        <x:f>H1436*Z1435/(v01_AdultYears*4)</x:f>
        <x:v>0</x:v>
      </x:c>
      <x:c r="Y1436" s="32" t="n">
        <x:f>Y1435+R1436-S1436-W1436-Y1435*V1436/AB1435</x:f>
        <x:v>14306.18539759397</x:v>
      </x:c>
      <x:c r="Z1436" s="32" t="n">
        <x:f>Z1435+W1436-X1436-T1436-Z1435*V1436/AB1435</x:f>
        <x:v>19354.456567879548</x:v>
      </x:c>
      <x:c r="AA1436" s="32" t="n">
        <x:f>AA1435+X1436-U1436-AA1435*V1436/AB1435</x:f>
        <x:v>11386.956063258198</x:v>
      </x:c>
      <x:c r="AB1436" s="10" t="n">
        <x:f>Y1436+Z1436+AA1436</x:f>
        <x:v>45047.59802873172</x:v>
      </x:c>
      <x:c r="AC1436" s="8" t="n">
        <x:f>IF(AND(v01_WinterTrigger=1,D1436=1,AB1435/AE1435&gt;=K1436),1,0)</x:f>
        <x:v>0</x:v>
      </x:c>
      <x:c r="AD1436" s="8" t="n">
        <x:f>H1436*IF(AND(OR(AB1435/AE1435&gt;=v01_FissionTrigger*N1436,AC1436=1),AB1435/AE1435*v01_DaughterShare&gt;=v01_MinDaughter),MAX(1,ROUND(AE1435*v01_FissionRate,0)),0)</x:f>
        <x:v>0</x:v>
      </x:c>
      <x:c r="AE1436" s="8" t="n">
        <x:f>IF(H1436=1,MAX(1,MIN(INDEX(v01_Smax,G1436),AE1435+AD1436)),AE1435)</x:f>
        <x:v>15</x:v>
      </x:c>
      <x:c r="AF1436" s="8" t="n">
        <x:f>MAX(0,AE1436-AE1435)</x:f>
        <x:v>0</x:v>
      </x:c>
      <x:c r="AG1436" s="9" t="str">
        <x:f>IF(AF1436&gt;0,B1436,"")</x:f>
      </x:c>
      <x:c r="AH1436" s="9" t="n">
        <x:f>IF(F1436&gt;=1,1,(1+v01_LowTiesShare*(AE1436-1))/AE1436)</x:f>
        <x:v>1</x:v>
      </x:c>
      <x:c r="AI1436" s="32" t="n">
        <x:f>(Z1436+v01_ElderCommons*INDEX(LM_Elder,G1436)*AA1436)*AH1436</x:f>
        <x:v>64139.732591141874</x:v>
      </x:c>
      <x:c r="AJ1436" s="32" t="n">
        <x:f>H1436*v01_CommonsCoef*AI1436^v01_CommonsExp*INDEX(LM_Commons,G1436)</x:f>
        <x:v>0</x:v>
      </x:c>
      <x:c r="AK1436" s="32" t="n">
        <x:f>H1436*v01_RoleScale*Arch_Roles*(AE1436*(INDEX(v01_ElderRolePerSett,G1436)*v01_OutElder*INDEX(LM_Elder,G1436)+INDEX(v01_ShamanPerSett,G1436)*v01_OutShaman)+Z1436*(INDEX(v01_PriestShare,G1436)*v01_OutPriest+INDEX(v01_ScribeShare,G1436)*v01_OutScribe*INDEX(LM_Scribe,G1436)+INDEX(v01_ScholarShare,G1436)*v01_OutScholar*INDEX(LM_Scholar,G1436)+INDEX(v01_ResearcherShare,G1436)*v01_OutResearcher*INDEX(LM_Researcher,G1436)))</x:f>
        <x:v>0</x:v>
      </x:c>
      <x:c r="AL1436" s="32" t="n">
        <x:f>H1436*v01_RoleScale*Arch_Roles*AE1436*INDEX(v01_MonasteryPerSett,G1436)*v01_OutMonastery*INDEX(LM_Monastery,G1436)</x:f>
        <x:v>0</x:v>
      </x:c>
      <x:c r="AM1436" s="32" t="n">
        <x:f>(AJ1436+AK1436+AL1436)/4*INDEX(LM_All,G1436)*INDEX(v01_Boon,G1436)*Arch_Insight</x:f>
        <x:v>0</x:v>
      </x:c>
      <x:c r="AN1436" s="32" t="n">
        <x:f>H1436*(v01_KHPerAdult*Z1436+v01_KHOfCommons*AJ1436/4*INDEX(LM_All,G1436))*v01_KHUsable*Arch_KH</x:f>
        <x:v>0</x:v>
      </x:c>
      <x:c r="AO1436" s="32" t="n">
        <x:f>MIN(AP1435+AN1436,AM1436*v01_KHMaxRatio)</x:f>
        <x:v>0</x:v>
      </x:c>
      <x:c r="AP1436" s="32" t="n">
        <x:f>AP1435+AN1436-AO1436</x:f>
        <x:v>0</x:v>
      </x:c>
      <x:c r="AQ1436" s="32" t="n">
        <x:f>AM1436+AO1436</x:f>
        <x:v>0</x:v>
      </x:c>
      <x:c r="AR1436" s="10" t="n">
        <x:f>IF(H1436=1,INDEX(v01_Req,G1436),0)</x:f>
        <x:v>0</x:v>
      </x:c>
      <x:c r="AS1436" s="32" t="n">
        <x:f>IF(H1436=1,IF(E1436=1,AS1435-AR1435,AS1435)+AQ1436,0)</x:f>
        <x:v>0</x:v>
      </x:c>
      <x:c r="AT1436" s="11" t="n">
        <x:f>IF(AR1436&gt;0,MIN(1,AS1436/AR1436),1)</x:f>
        <x:v>1</x:v>
      </x:c>
      <x:c r="AU1436" s="10" t="n">
        <x:f>AB1436/INDEX(v01_RepScale,G1436)</x:f>
        <x:v>90.09519605746344</x:v>
      </x:c>
      <x:c r="AV1436" s="32" t="n">
        <x:f>AM1436*60/v01_SeasonSeconds</x:f>
        <x:v>0</x:v>
      </x:c>
    </x:row>
    <x:row r="1437">
      <x:c r="A1437" s="8" t="n">
        <x:f>A1436+1</x:f>
        <x:v>1434</x:v>
      </x:c>
      <x:c r="B1437" s="9" t="n">
        <x:f>A1437*v01_SeasonSeconds/60</x:f>
        <x:v>358.5</x:v>
      </x:c>
      <x:c r="C1437" s="9" t="n">
        <x:f>A1437/4</x:f>
        <x:v>358.5</x:v>
      </x:c>
      <x:c r="D1437" s="8" t="n">
        <x:f>IF(MOD(A1437,4)=0,1,0)</x:f>
        <x:v>0</x:v>
      </x:c>
      <x:c r="E1437" s="8" t="n">
        <x:f>IF(AND(F1436&lt;=9,AS1436&gt;=AR1436),1,0)</x:f>
        <x:v>0</x:v>
      </x:c>
      <x:c r="F1437" s="8" t="n">
        <x:f>MIN(10,F1436+E1437)</x:f>
        <x:v>10</x:v>
      </x:c>
      <x:c r="G1437" s="8" t="n">
        <x:f>MIN(F1437,9)+1</x:f>
        <x:v>10</x:v>
      </x:c>
      <x:c r="H1437" s="8" t="n">
        <x:f>IF(F1437&lt;=9,1,0)</x:f>
        <x:v>0</x:v>
      </x:c>
      <x:c r="I1437" s="9" t="n">
        <x:f>MIN(10,F1436+IF(AR1436&gt;0,MIN(1,AS1436/AR1436),1))</x:f>
        <x:v>10</x:v>
      </x:c>
      <x:c r="J1437" s="32" t="n">
        <x:f>INDEX(v01_FoodCap,G1437)*Arch_FoodCap*EXP(v01_CapsByProject*SUMPRODUCT((Cap_Point&lt;=I1437)*(Cap_Kind="Food")*Cap_Ln))</x:f>
        <x:v>12000</x:v>
      </x:c>
      <x:c r="K1437" s="32" t="n">
        <x:f>J1437*MIN(1,v01_LeanBase*EXP(v01_CapsByProject*SUMPRODUCT((Cap_Point&lt;=I1437)*(Cap_Kind="Lean")*Cap_Ln)))</x:f>
        <x:v>12000</x:v>
      </x:c>
      <x:c r="L1437" s="10" t="n">
        <x:f>INDEX(v01_HousingCap,G1437)*EXP(v01_CapsByProject*SUMPRODUCT((Cap_Point&lt;=I1437)*(Cap_Kind="Housing")*Cap_Ln))</x:f>
        <x:v>20000</x:v>
      </x:c>
      <x:c r="M1437" s="10" t="n">
        <x:f>INDEX(v01_GroupCap,G1437)*v01_CohesionFactor*EXP(v01_CapsByProject*SUMPRODUCT((Cap_Point&lt;=I1437)*(Cap_Kind="Group")*Cap_Ln))</x:f>
        <x:v>1000000</x:v>
      </x:c>
      <x:c r="N1437" s="32" t="n">
        <x:f>MIN(J1437,L1437,M1437)</x:f>
        <x:v>12000</x:v>
      </x:c>
      <x:c r="O1437" s="10" t="n">
        <x:f>AE1436*N1437</x:f>
        <x:v>180000</x:v>
      </x:c>
      <x:c r="P1437" s="9" t="n">
        <x:f>MIN(1,(AB1436/(AE1436*IF(v01_GroupInCrowding=1,N1437,MIN(J1437,L1437))))^v01_CrowdingExp)</x:f>
        <x:v>0.00024569414295285325</x:v>
      </x:c>
      <x:c r="Q1437" s="9" t="n">
        <x:f>IF(D1437=1,INDEX(v01_WinterMult,G1437),1)</x:f>
        <x:v>1</x:v>
      </x:c>
      <x:c r="R1437" s="9" t="n">
        <x:f>H1437*Z1436*v01_WomenShare*v01_BaseFertility*INDEX(v01_FertMult,G1437)*Arch_Fertility*(1-P1437)</x:f>
        <x:v>0</x:v>
      </x:c>
      <x:c r="S1437" s="9" t="n">
        <x:f>H1437*Y1436*INDEX(v01_MortChild,G1437)/4*Q1437</x:f>
        <x:v>0</x:v>
      </x:c>
      <x:c r="T1437" s="9" t="n">
        <x:f>H1437*Z1436*INDEX(v01_MortAdult,G1437)*Arch_AdultMort/4*Q1437</x:f>
        <x:v>0</x:v>
      </x:c>
      <x:c r="U1437" s="9" t="n">
        <x:f>H1437*AA1436*INDEX(v01_MortElder,G1437)/4*Q1437</x:f>
        <x:v>0</x:v>
      </x:c>
      <x:c r="V1437" s="9" t="n">
        <x:f>H1437*MAX(0,AB1436-O1437)*v01_OvercapLoss</x:f>
        <x:v>0</x:v>
      </x:c>
      <x:c r="W1437" s="9" t="n">
        <x:f>H1437*Y1436/(v01_ChildYears*4)</x:f>
        <x:v>0</x:v>
      </x:c>
      <x:c r="X1437" s="9" t="n">
        <x:f>H1437*Z1436/(v01_AdultYears*4)</x:f>
        <x:v>0</x:v>
      </x:c>
      <x:c r="Y1437" s="32" t="n">
        <x:f>Y1436+R1437-S1437-W1437-Y1436*V1437/AB1436</x:f>
        <x:v>14306.18539759397</x:v>
      </x:c>
      <x:c r="Z1437" s="32" t="n">
        <x:f>Z1436+W1437-X1437-T1437-Z1436*V1437/AB1436</x:f>
        <x:v>19354.456567879548</x:v>
      </x:c>
      <x:c r="AA1437" s="32" t="n">
        <x:f>AA1436+X1437-U1437-AA1436*V1437/AB1436</x:f>
        <x:v>11386.956063258198</x:v>
      </x:c>
      <x:c r="AB1437" s="10" t="n">
        <x:f>Y1437+Z1437+AA1437</x:f>
        <x:v>45047.59802873172</x:v>
      </x:c>
      <x:c r="AC1437" s="8" t="n">
        <x:f>IF(AND(v01_WinterTrigger=1,D1437=1,AB1436/AE1436&gt;=K1437),1,0)</x:f>
        <x:v>0</x:v>
      </x:c>
      <x:c r="AD1437" s="8" t="n">
        <x:f>H1437*IF(AND(OR(AB1436/AE1436&gt;=v01_FissionTrigger*N1437,AC1437=1),AB1436/AE1436*v01_DaughterShare&gt;=v01_MinDaughter),MAX(1,ROUND(AE1436*v01_FissionRate,0)),0)</x:f>
        <x:v>0</x:v>
      </x:c>
      <x:c r="AE1437" s="8" t="n">
        <x:f>IF(H1437=1,MAX(1,MIN(INDEX(v01_Smax,G1437),AE1436+AD1437)),AE1436)</x:f>
        <x:v>15</x:v>
      </x:c>
      <x:c r="AF1437" s="8" t="n">
        <x:f>MAX(0,AE1437-AE1436)</x:f>
        <x:v>0</x:v>
      </x:c>
      <x:c r="AG1437" s="9" t="str">
        <x:f>IF(AF1437&gt;0,B1437,"")</x:f>
      </x:c>
      <x:c r="AH1437" s="9" t="n">
        <x:f>IF(F1437&gt;=1,1,(1+v01_LowTiesShare*(AE1437-1))/AE1437)</x:f>
        <x:v>1</x:v>
      </x:c>
      <x:c r="AI1437" s="32" t="n">
        <x:f>(Z1437+v01_ElderCommons*INDEX(LM_Elder,G1437)*AA1437)*AH1437</x:f>
        <x:v>64139.732591141874</x:v>
      </x:c>
      <x:c r="AJ1437" s="32" t="n">
        <x:f>H1437*v01_CommonsCoef*AI1437^v01_CommonsExp*INDEX(LM_Commons,G1437)</x:f>
        <x:v>0</x:v>
      </x:c>
      <x:c r="AK1437" s="32" t="n">
        <x:f>H1437*v01_RoleScale*Arch_Roles*(AE1437*(INDEX(v01_ElderRolePerSett,G1437)*v01_OutElder*INDEX(LM_Elder,G1437)+INDEX(v01_ShamanPerSett,G1437)*v01_OutShaman)+Z1437*(INDEX(v01_PriestShare,G1437)*v01_OutPriest+INDEX(v01_ScribeShare,G1437)*v01_OutScribe*INDEX(LM_Scribe,G1437)+INDEX(v01_ScholarShare,G1437)*v01_OutScholar*INDEX(LM_Scholar,G1437)+INDEX(v01_ResearcherShare,G1437)*v01_OutResearcher*INDEX(LM_Researcher,G1437)))</x:f>
        <x:v>0</x:v>
      </x:c>
      <x:c r="AL1437" s="32" t="n">
        <x:f>H1437*v01_RoleScale*Arch_Roles*AE1437*INDEX(v01_MonasteryPerSett,G1437)*v01_OutMonastery*INDEX(LM_Monastery,G1437)</x:f>
        <x:v>0</x:v>
      </x:c>
      <x:c r="AM1437" s="32" t="n">
        <x:f>(AJ1437+AK1437+AL1437)/4*INDEX(LM_All,G1437)*INDEX(v01_Boon,G1437)*Arch_Insight</x:f>
        <x:v>0</x:v>
      </x:c>
      <x:c r="AN1437" s="32" t="n">
        <x:f>H1437*(v01_KHPerAdult*Z1437+v01_KHOfCommons*AJ1437/4*INDEX(LM_All,G1437))*v01_KHUsable*Arch_KH</x:f>
        <x:v>0</x:v>
      </x:c>
      <x:c r="AO1437" s="32" t="n">
        <x:f>MIN(AP1436+AN1437,AM1437*v01_KHMaxRatio)</x:f>
        <x:v>0</x:v>
      </x:c>
      <x:c r="AP1437" s="32" t="n">
        <x:f>AP1436+AN1437-AO1437</x:f>
        <x:v>0</x:v>
      </x:c>
      <x:c r="AQ1437" s="32" t="n">
        <x:f>AM1437+AO1437</x:f>
        <x:v>0</x:v>
      </x:c>
      <x:c r="AR1437" s="10" t="n">
        <x:f>IF(H1437=1,INDEX(v01_Req,G1437),0)</x:f>
        <x:v>0</x:v>
      </x:c>
      <x:c r="AS1437" s="32" t="n">
        <x:f>IF(H1437=1,IF(E1437=1,AS1436-AR1436,AS1436)+AQ1437,0)</x:f>
        <x:v>0</x:v>
      </x:c>
      <x:c r="AT1437" s="11" t="n">
        <x:f>IF(AR1437&gt;0,MIN(1,AS1437/AR1437),1)</x:f>
        <x:v>1</x:v>
      </x:c>
      <x:c r="AU1437" s="10" t="n">
        <x:f>AB1437/INDEX(v01_RepScale,G1437)</x:f>
        <x:v>90.09519605746344</x:v>
      </x:c>
      <x:c r="AV1437" s="32" t="n">
        <x:f>AM1437*60/v01_SeasonSeconds</x:f>
        <x:v>0</x:v>
      </x:c>
    </x:row>
    <x:row r="1438">
      <x:c r="A1438" s="8" t="n">
        <x:f>A1437+1</x:f>
        <x:v>1435</x:v>
      </x:c>
      <x:c r="B1438" s="9" t="n">
        <x:f>A1438*v01_SeasonSeconds/60</x:f>
        <x:v>358.75</x:v>
      </x:c>
      <x:c r="C1438" s="9" t="n">
        <x:f>A1438/4</x:f>
        <x:v>358.75</x:v>
      </x:c>
      <x:c r="D1438" s="8" t="n">
        <x:f>IF(MOD(A1438,4)=0,1,0)</x:f>
        <x:v>0</x:v>
      </x:c>
      <x:c r="E1438" s="8" t="n">
        <x:f>IF(AND(F1437&lt;=9,AS1437&gt;=AR1437),1,0)</x:f>
        <x:v>0</x:v>
      </x:c>
      <x:c r="F1438" s="8" t="n">
        <x:f>MIN(10,F1437+E1438)</x:f>
        <x:v>10</x:v>
      </x:c>
      <x:c r="G1438" s="8" t="n">
        <x:f>MIN(F1438,9)+1</x:f>
        <x:v>10</x:v>
      </x:c>
      <x:c r="H1438" s="8" t="n">
        <x:f>IF(F1438&lt;=9,1,0)</x:f>
        <x:v>0</x:v>
      </x:c>
      <x:c r="I1438" s="9" t="n">
        <x:f>MIN(10,F1437+IF(AR1437&gt;0,MIN(1,AS1437/AR1437),1))</x:f>
        <x:v>10</x:v>
      </x:c>
      <x:c r="J1438" s="32" t="n">
        <x:f>INDEX(v01_FoodCap,G1438)*Arch_FoodCap*EXP(v01_CapsByProject*SUMPRODUCT((Cap_Point&lt;=I1438)*(Cap_Kind="Food")*Cap_Ln))</x:f>
        <x:v>12000</x:v>
      </x:c>
      <x:c r="K1438" s="32" t="n">
        <x:f>J1438*MIN(1,v01_LeanBase*EXP(v01_CapsByProject*SUMPRODUCT((Cap_Point&lt;=I1438)*(Cap_Kind="Lean")*Cap_Ln)))</x:f>
        <x:v>12000</x:v>
      </x:c>
      <x:c r="L1438" s="10" t="n">
        <x:f>INDEX(v01_HousingCap,G1438)*EXP(v01_CapsByProject*SUMPRODUCT((Cap_Point&lt;=I1438)*(Cap_Kind="Housing")*Cap_Ln))</x:f>
        <x:v>20000</x:v>
      </x:c>
      <x:c r="M1438" s="10" t="n">
        <x:f>INDEX(v01_GroupCap,G1438)*v01_CohesionFactor*EXP(v01_CapsByProject*SUMPRODUCT((Cap_Point&lt;=I1438)*(Cap_Kind="Group")*Cap_Ln))</x:f>
        <x:v>1000000</x:v>
      </x:c>
      <x:c r="N1438" s="32" t="n">
        <x:f>MIN(J1438,L1438,M1438)</x:f>
        <x:v>12000</x:v>
      </x:c>
      <x:c r="O1438" s="10" t="n">
        <x:f>AE1437*N1438</x:f>
        <x:v>180000</x:v>
      </x:c>
      <x:c r="P1438" s="9" t="n">
        <x:f>MIN(1,(AB1437/(AE1437*IF(v01_GroupInCrowding=1,N1438,MIN(J1438,L1438))))^v01_CrowdingExp)</x:f>
        <x:v>0.00024569414295285325</x:v>
      </x:c>
      <x:c r="Q1438" s="9" t="n">
        <x:f>IF(D1438=1,INDEX(v01_WinterMult,G1438),1)</x:f>
        <x:v>1</x:v>
      </x:c>
      <x:c r="R1438" s="9" t="n">
        <x:f>H1438*Z1437*v01_WomenShare*v01_BaseFertility*INDEX(v01_FertMult,G1438)*Arch_Fertility*(1-P1438)</x:f>
        <x:v>0</x:v>
      </x:c>
      <x:c r="S1438" s="9" t="n">
        <x:f>H1438*Y1437*INDEX(v01_MortChild,G1438)/4*Q1438</x:f>
        <x:v>0</x:v>
      </x:c>
      <x:c r="T1438" s="9" t="n">
        <x:f>H1438*Z1437*INDEX(v01_MortAdult,G1438)*Arch_AdultMort/4*Q1438</x:f>
        <x:v>0</x:v>
      </x:c>
      <x:c r="U1438" s="9" t="n">
        <x:f>H1438*AA1437*INDEX(v01_MortElder,G1438)/4*Q1438</x:f>
        <x:v>0</x:v>
      </x:c>
      <x:c r="V1438" s="9" t="n">
        <x:f>H1438*MAX(0,AB1437-O1438)*v01_OvercapLoss</x:f>
        <x:v>0</x:v>
      </x:c>
      <x:c r="W1438" s="9" t="n">
        <x:f>H1438*Y1437/(v01_ChildYears*4)</x:f>
        <x:v>0</x:v>
      </x:c>
      <x:c r="X1438" s="9" t="n">
        <x:f>H1438*Z1437/(v01_AdultYears*4)</x:f>
        <x:v>0</x:v>
      </x:c>
      <x:c r="Y1438" s="32" t="n">
        <x:f>Y1437+R1438-S1438-W1438-Y1437*V1438/AB1437</x:f>
        <x:v>14306.18539759397</x:v>
      </x:c>
      <x:c r="Z1438" s="32" t="n">
        <x:f>Z1437+W1438-X1438-T1438-Z1437*V1438/AB1437</x:f>
        <x:v>19354.456567879548</x:v>
      </x:c>
      <x:c r="AA1438" s="32" t="n">
        <x:f>AA1437+X1438-U1438-AA1437*V1438/AB1437</x:f>
        <x:v>11386.956063258198</x:v>
      </x:c>
      <x:c r="AB1438" s="10" t="n">
        <x:f>Y1438+Z1438+AA1438</x:f>
        <x:v>45047.59802873172</x:v>
      </x:c>
      <x:c r="AC1438" s="8" t="n">
        <x:f>IF(AND(v01_WinterTrigger=1,D1438=1,AB1437/AE1437&gt;=K1438),1,0)</x:f>
        <x:v>0</x:v>
      </x:c>
      <x:c r="AD1438" s="8" t="n">
        <x:f>H1438*IF(AND(OR(AB1437/AE1437&gt;=v01_FissionTrigger*N1438,AC1438=1),AB1437/AE1437*v01_DaughterShare&gt;=v01_MinDaughter),MAX(1,ROUND(AE1437*v01_FissionRate,0)),0)</x:f>
        <x:v>0</x:v>
      </x:c>
      <x:c r="AE1438" s="8" t="n">
        <x:f>IF(H1438=1,MAX(1,MIN(INDEX(v01_Smax,G1438),AE1437+AD1438)),AE1437)</x:f>
        <x:v>15</x:v>
      </x:c>
      <x:c r="AF1438" s="8" t="n">
        <x:f>MAX(0,AE1438-AE1437)</x:f>
        <x:v>0</x:v>
      </x:c>
      <x:c r="AG1438" s="9" t="str">
        <x:f>IF(AF1438&gt;0,B1438,"")</x:f>
      </x:c>
      <x:c r="AH1438" s="9" t="n">
        <x:f>IF(F1438&gt;=1,1,(1+v01_LowTiesShare*(AE1438-1))/AE1438)</x:f>
        <x:v>1</x:v>
      </x:c>
      <x:c r="AI1438" s="32" t="n">
        <x:f>(Z1438+v01_ElderCommons*INDEX(LM_Elder,G1438)*AA1438)*AH1438</x:f>
        <x:v>64139.732591141874</x:v>
      </x:c>
      <x:c r="AJ1438" s="32" t="n">
        <x:f>H1438*v01_CommonsCoef*AI1438^v01_CommonsExp*INDEX(LM_Commons,G1438)</x:f>
        <x:v>0</x:v>
      </x:c>
      <x:c r="AK1438" s="32" t="n">
        <x:f>H1438*v01_RoleScale*Arch_Roles*(AE1438*(INDEX(v01_ElderRolePerSett,G1438)*v01_OutElder*INDEX(LM_Elder,G1438)+INDEX(v01_ShamanPerSett,G1438)*v01_OutShaman)+Z1438*(INDEX(v01_PriestShare,G1438)*v01_OutPriest+INDEX(v01_ScribeShare,G1438)*v01_OutScribe*INDEX(LM_Scribe,G1438)+INDEX(v01_ScholarShare,G1438)*v01_OutScholar*INDEX(LM_Scholar,G1438)+INDEX(v01_ResearcherShare,G1438)*v01_OutResearcher*INDEX(LM_Researcher,G1438)))</x:f>
        <x:v>0</x:v>
      </x:c>
      <x:c r="AL1438" s="32" t="n">
        <x:f>H1438*v01_RoleScale*Arch_Roles*AE1438*INDEX(v01_MonasteryPerSett,G1438)*v01_OutMonastery*INDEX(LM_Monastery,G1438)</x:f>
        <x:v>0</x:v>
      </x:c>
      <x:c r="AM1438" s="32" t="n">
        <x:f>(AJ1438+AK1438+AL1438)/4*INDEX(LM_All,G1438)*INDEX(v01_Boon,G1438)*Arch_Insight</x:f>
        <x:v>0</x:v>
      </x:c>
      <x:c r="AN1438" s="32" t="n">
        <x:f>H1438*(v01_KHPerAdult*Z1438+v01_KHOfCommons*AJ1438/4*INDEX(LM_All,G1438))*v01_KHUsable*Arch_KH</x:f>
        <x:v>0</x:v>
      </x:c>
      <x:c r="AO1438" s="32" t="n">
        <x:f>MIN(AP1437+AN1438,AM1438*v01_KHMaxRatio)</x:f>
        <x:v>0</x:v>
      </x:c>
      <x:c r="AP1438" s="32" t="n">
        <x:f>AP1437+AN1438-AO1438</x:f>
        <x:v>0</x:v>
      </x:c>
      <x:c r="AQ1438" s="32" t="n">
        <x:f>AM1438+AO1438</x:f>
        <x:v>0</x:v>
      </x:c>
      <x:c r="AR1438" s="10" t="n">
        <x:f>IF(H1438=1,INDEX(v01_Req,G1438),0)</x:f>
        <x:v>0</x:v>
      </x:c>
      <x:c r="AS1438" s="32" t="n">
        <x:f>IF(H1438=1,IF(E1438=1,AS1437-AR1437,AS1437)+AQ1438,0)</x:f>
        <x:v>0</x:v>
      </x:c>
      <x:c r="AT1438" s="11" t="n">
        <x:f>IF(AR1438&gt;0,MIN(1,AS1438/AR1438),1)</x:f>
        <x:v>1</x:v>
      </x:c>
      <x:c r="AU1438" s="10" t="n">
        <x:f>AB1438/INDEX(v01_RepScale,G1438)</x:f>
        <x:v>90.09519605746344</x:v>
      </x:c>
      <x:c r="AV1438" s="32" t="n">
        <x:f>AM1438*60/v01_SeasonSeconds</x:f>
        <x:v>0</x:v>
      </x:c>
    </x:row>
    <x:row r="1439">
      <x:c r="A1439" s="8" t="n">
        <x:f>A1438+1</x:f>
        <x:v>1436</x:v>
      </x:c>
      <x:c r="B1439" s="9" t="n">
        <x:f>A1439*v01_SeasonSeconds/60</x:f>
        <x:v>359</x:v>
      </x:c>
      <x:c r="C1439" s="9" t="n">
        <x:f>A1439/4</x:f>
        <x:v>359</x:v>
      </x:c>
      <x:c r="D1439" s="8" t="n">
        <x:f>IF(MOD(A1439,4)=0,1,0)</x:f>
        <x:v>1</x:v>
      </x:c>
      <x:c r="E1439" s="8" t="n">
        <x:f>IF(AND(F1438&lt;=9,AS1438&gt;=AR1438),1,0)</x:f>
        <x:v>0</x:v>
      </x:c>
      <x:c r="F1439" s="8" t="n">
        <x:f>MIN(10,F1438+E1439)</x:f>
        <x:v>10</x:v>
      </x:c>
      <x:c r="G1439" s="8" t="n">
        <x:f>MIN(F1439,9)+1</x:f>
        <x:v>10</x:v>
      </x:c>
      <x:c r="H1439" s="8" t="n">
        <x:f>IF(F1439&lt;=9,1,0)</x:f>
        <x:v>0</x:v>
      </x:c>
      <x:c r="I1439" s="9" t="n">
        <x:f>MIN(10,F1438+IF(AR1438&gt;0,MIN(1,AS1438/AR1438),1))</x:f>
        <x:v>10</x:v>
      </x:c>
      <x:c r="J1439" s="32" t="n">
        <x:f>INDEX(v01_FoodCap,G1439)*Arch_FoodCap*EXP(v01_CapsByProject*SUMPRODUCT((Cap_Point&lt;=I1439)*(Cap_Kind="Food")*Cap_Ln))</x:f>
        <x:v>12000</x:v>
      </x:c>
      <x:c r="K1439" s="32" t="n">
        <x:f>J1439*MIN(1,v01_LeanBase*EXP(v01_CapsByProject*SUMPRODUCT((Cap_Point&lt;=I1439)*(Cap_Kind="Lean")*Cap_Ln)))</x:f>
        <x:v>12000</x:v>
      </x:c>
      <x:c r="L1439" s="10" t="n">
        <x:f>INDEX(v01_HousingCap,G1439)*EXP(v01_CapsByProject*SUMPRODUCT((Cap_Point&lt;=I1439)*(Cap_Kind="Housing")*Cap_Ln))</x:f>
        <x:v>20000</x:v>
      </x:c>
      <x:c r="M1439" s="10" t="n">
        <x:f>INDEX(v01_GroupCap,G1439)*v01_CohesionFactor*EXP(v01_CapsByProject*SUMPRODUCT((Cap_Point&lt;=I1439)*(Cap_Kind="Group")*Cap_Ln))</x:f>
        <x:v>1000000</x:v>
      </x:c>
      <x:c r="N1439" s="32" t="n">
        <x:f>MIN(J1439,L1439,M1439)</x:f>
        <x:v>12000</x:v>
      </x:c>
      <x:c r="O1439" s="10" t="n">
        <x:f>AE1438*N1439</x:f>
        <x:v>180000</x:v>
      </x:c>
      <x:c r="P1439" s="9" t="n">
        <x:f>MIN(1,(AB1438/(AE1438*IF(v01_GroupInCrowding=1,N1439,MIN(J1439,L1439))))^v01_CrowdingExp)</x:f>
        <x:v>0.00024569414295285325</x:v>
      </x:c>
      <x:c r="Q1439" s="9" t="n">
        <x:f>IF(D1439=1,INDEX(v01_WinterMult,G1439),1)</x:f>
        <x:v>1</x:v>
      </x:c>
      <x:c r="R1439" s="9" t="n">
        <x:f>H1439*Z1438*v01_WomenShare*v01_BaseFertility*INDEX(v01_FertMult,G1439)*Arch_Fertility*(1-P1439)</x:f>
        <x:v>0</x:v>
      </x:c>
      <x:c r="S1439" s="9" t="n">
        <x:f>H1439*Y1438*INDEX(v01_MortChild,G1439)/4*Q1439</x:f>
        <x:v>0</x:v>
      </x:c>
      <x:c r="T1439" s="9" t="n">
        <x:f>H1439*Z1438*INDEX(v01_MortAdult,G1439)*Arch_AdultMort/4*Q1439</x:f>
        <x:v>0</x:v>
      </x:c>
      <x:c r="U1439" s="9" t="n">
        <x:f>H1439*AA1438*INDEX(v01_MortElder,G1439)/4*Q1439</x:f>
        <x:v>0</x:v>
      </x:c>
      <x:c r="V1439" s="9" t="n">
        <x:f>H1439*MAX(0,AB1438-O1439)*v01_OvercapLoss</x:f>
        <x:v>0</x:v>
      </x:c>
      <x:c r="W1439" s="9" t="n">
        <x:f>H1439*Y1438/(v01_ChildYears*4)</x:f>
        <x:v>0</x:v>
      </x:c>
      <x:c r="X1439" s="9" t="n">
        <x:f>H1439*Z1438/(v01_AdultYears*4)</x:f>
        <x:v>0</x:v>
      </x:c>
      <x:c r="Y1439" s="32" t="n">
        <x:f>Y1438+R1439-S1439-W1439-Y1438*V1439/AB1438</x:f>
        <x:v>14306.18539759397</x:v>
      </x:c>
      <x:c r="Z1439" s="32" t="n">
        <x:f>Z1438+W1439-X1439-T1439-Z1438*V1439/AB1438</x:f>
        <x:v>19354.456567879548</x:v>
      </x:c>
      <x:c r="AA1439" s="32" t="n">
        <x:f>AA1438+X1439-U1439-AA1438*V1439/AB1438</x:f>
        <x:v>11386.956063258198</x:v>
      </x:c>
      <x:c r="AB1439" s="10" t="n">
        <x:f>Y1439+Z1439+AA1439</x:f>
        <x:v>45047.59802873172</x:v>
      </x:c>
      <x:c r="AC1439" s="8" t="n">
        <x:f>IF(AND(v01_WinterTrigger=1,D1439=1,AB1438/AE1438&gt;=K1439),1,0)</x:f>
        <x:v>0</x:v>
      </x:c>
      <x:c r="AD1439" s="8" t="n">
        <x:f>H1439*IF(AND(OR(AB1438/AE1438&gt;=v01_FissionTrigger*N1439,AC1439=1),AB1438/AE1438*v01_DaughterShare&gt;=v01_MinDaughter),MAX(1,ROUND(AE1438*v01_FissionRate,0)),0)</x:f>
        <x:v>0</x:v>
      </x:c>
      <x:c r="AE1439" s="8" t="n">
        <x:f>IF(H1439=1,MAX(1,MIN(INDEX(v01_Smax,G1439),AE1438+AD1439)),AE1438)</x:f>
        <x:v>15</x:v>
      </x:c>
      <x:c r="AF1439" s="8" t="n">
        <x:f>MAX(0,AE1439-AE1438)</x:f>
        <x:v>0</x:v>
      </x:c>
      <x:c r="AG1439" s="9" t="str">
        <x:f>IF(AF1439&gt;0,B1439,"")</x:f>
      </x:c>
      <x:c r="AH1439" s="9" t="n">
        <x:f>IF(F1439&gt;=1,1,(1+v01_LowTiesShare*(AE1439-1))/AE1439)</x:f>
        <x:v>1</x:v>
      </x:c>
      <x:c r="AI1439" s="32" t="n">
        <x:f>(Z1439+v01_ElderCommons*INDEX(LM_Elder,G1439)*AA1439)*AH1439</x:f>
        <x:v>64139.732591141874</x:v>
      </x:c>
      <x:c r="AJ1439" s="32" t="n">
        <x:f>H1439*v01_CommonsCoef*AI1439^v01_CommonsExp*INDEX(LM_Commons,G1439)</x:f>
        <x:v>0</x:v>
      </x:c>
      <x:c r="AK1439" s="32" t="n">
        <x:f>H1439*v01_RoleScale*Arch_Roles*(AE1439*(INDEX(v01_ElderRolePerSett,G1439)*v01_OutElder*INDEX(LM_Elder,G1439)+INDEX(v01_ShamanPerSett,G1439)*v01_OutShaman)+Z1439*(INDEX(v01_PriestShare,G1439)*v01_OutPriest+INDEX(v01_ScribeShare,G1439)*v01_OutScribe*INDEX(LM_Scribe,G1439)+INDEX(v01_ScholarShare,G1439)*v01_OutScholar*INDEX(LM_Scholar,G1439)+INDEX(v01_ResearcherShare,G1439)*v01_OutResearcher*INDEX(LM_Researcher,G1439)))</x:f>
        <x:v>0</x:v>
      </x:c>
      <x:c r="AL1439" s="32" t="n">
        <x:f>H1439*v01_RoleScale*Arch_Roles*AE1439*INDEX(v01_MonasteryPerSett,G1439)*v01_OutMonastery*INDEX(LM_Monastery,G1439)</x:f>
        <x:v>0</x:v>
      </x:c>
      <x:c r="AM1439" s="32" t="n">
        <x:f>(AJ1439+AK1439+AL1439)/4*INDEX(LM_All,G1439)*INDEX(v01_Boon,G1439)*Arch_Insight</x:f>
        <x:v>0</x:v>
      </x:c>
      <x:c r="AN1439" s="32" t="n">
        <x:f>H1439*(v01_KHPerAdult*Z1439+v01_KHOfCommons*AJ1439/4*INDEX(LM_All,G1439))*v01_KHUsable*Arch_KH</x:f>
        <x:v>0</x:v>
      </x:c>
      <x:c r="AO1439" s="32" t="n">
        <x:f>MIN(AP1438+AN1439,AM1439*v01_KHMaxRatio)</x:f>
        <x:v>0</x:v>
      </x:c>
      <x:c r="AP1439" s="32" t="n">
        <x:f>AP1438+AN1439-AO1439</x:f>
        <x:v>0</x:v>
      </x:c>
      <x:c r="AQ1439" s="32" t="n">
        <x:f>AM1439+AO1439</x:f>
        <x:v>0</x:v>
      </x:c>
      <x:c r="AR1439" s="10" t="n">
        <x:f>IF(H1439=1,INDEX(v01_Req,G1439),0)</x:f>
        <x:v>0</x:v>
      </x:c>
      <x:c r="AS1439" s="32" t="n">
        <x:f>IF(H1439=1,IF(E1439=1,AS1438-AR1438,AS1438)+AQ1439,0)</x:f>
        <x:v>0</x:v>
      </x:c>
      <x:c r="AT1439" s="11" t="n">
        <x:f>IF(AR1439&gt;0,MIN(1,AS1439/AR1439),1)</x:f>
        <x:v>1</x:v>
      </x:c>
      <x:c r="AU1439" s="10" t="n">
        <x:f>AB1439/INDEX(v01_RepScale,G1439)</x:f>
        <x:v>90.09519605746344</x:v>
      </x:c>
      <x:c r="AV1439" s="32" t="n">
        <x:f>AM1439*60/v01_SeasonSeconds</x:f>
        <x:v>0</x:v>
      </x:c>
    </x:row>
    <x:row r="1440">
      <x:c r="A1440" s="8" t="n">
        <x:f>A1439+1</x:f>
        <x:v>1437</x:v>
      </x:c>
      <x:c r="B1440" s="9" t="n">
        <x:f>A1440*v01_SeasonSeconds/60</x:f>
        <x:v>359.25</x:v>
      </x:c>
      <x:c r="C1440" s="9" t="n">
        <x:f>A1440/4</x:f>
        <x:v>359.25</x:v>
      </x:c>
      <x:c r="D1440" s="8" t="n">
        <x:f>IF(MOD(A1440,4)=0,1,0)</x:f>
        <x:v>0</x:v>
      </x:c>
      <x:c r="E1440" s="8" t="n">
        <x:f>IF(AND(F1439&lt;=9,AS1439&gt;=AR1439),1,0)</x:f>
        <x:v>0</x:v>
      </x:c>
      <x:c r="F1440" s="8" t="n">
        <x:f>MIN(10,F1439+E1440)</x:f>
        <x:v>10</x:v>
      </x:c>
      <x:c r="G1440" s="8" t="n">
        <x:f>MIN(F1440,9)+1</x:f>
        <x:v>10</x:v>
      </x:c>
      <x:c r="H1440" s="8" t="n">
        <x:f>IF(F1440&lt;=9,1,0)</x:f>
        <x:v>0</x:v>
      </x:c>
      <x:c r="I1440" s="9" t="n">
        <x:f>MIN(10,F1439+IF(AR1439&gt;0,MIN(1,AS1439/AR1439),1))</x:f>
        <x:v>10</x:v>
      </x:c>
      <x:c r="J1440" s="32" t="n">
        <x:f>INDEX(v01_FoodCap,G1440)*Arch_FoodCap*EXP(v01_CapsByProject*SUMPRODUCT((Cap_Point&lt;=I1440)*(Cap_Kind="Food")*Cap_Ln))</x:f>
        <x:v>12000</x:v>
      </x:c>
      <x:c r="K1440" s="32" t="n">
        <x:f>J1440*MIN(1,v01_LeanBase*EXP(v01_CapsByProject*SUMPRODUCT((Cap_Point&lt;=I1440)*(Cap_Kind="Lean")*Cap_Ln)))</x:f>
        <x:v>12000</x:v>
      </x:c>
      <x:c r="L1440" s="10" t="n">
        <x:f>INDEX(v01_HousingCap,G1440)*EXP(v01_CapsByProject*SUMPRODUCT((Cap_Point&lt;=I1440)*(Cap_Kind="Housing")*Cap_Ln))</x:f>
        <x:v>20000</x:v>
      </x:c>
      <x:c r="M1440" s="10" t="n">
        <x:f>INDEX(v01_GroupCap,G1440)*v01_CohesionFactor*EXP(v01_CapsByProject*SUMPRODUCT((Cap_Point&lt;=I1440)*(Cap_Kind="Group")*Cap_Ln))</x:f>
        <x:v>1000000</x:v>
      </x:c>
      <x:c r="N1440" s="32" t="n">
        <x:f>MIN(J1440,L1440,M1440)</x:f>
        <x:v>12000</x:v>
      </x:c>
      <x:c r="O1440" s="10" t="n">
        <x:f>AE1439*N1440</x:f>
        <x:v>180000</x:v>
      </x:c>
      <x:c r="P1440" s="9" t="n">
        <x:f>MIN(1,(AB1439/(AE1439*IF(v01_GroupInCrowding=1,N1440,MIN(J1440,L1440))))^v01_CrowdingExp)</x:f>
        <x:v>0.00024569414295285325</x:v>
      </x:c>
      <x:c r="Q1440" s="9" t="n">
        <x:f>IF(D1440=1,INDEX(v01_WinterMult,G1440),1)</x:f>
        <x:v>1</x:v>
      </x:c>
      <x:c r="R1440" s="9" t="n">
        <x:f>H1440*Z1439*v01_WomenShare*v01_BaseFertility*INDEX(v01_FertMult,G1440)*Arch_Fertility*(1-P1440)</x:f>
        <x:v>0</x:v>
      </x:c>
      <x:c r="S1440" s="9" t="n">
        <x:f>H1440*Y1439*INDEX(v01_MortChild,G1440)/4*Q1440</x:f>
        <x:v>0</x:v>
      </x:c>
      <x:c r="T1440" s="9" t="n">
        <x:f>H1440*Z1439*INDEX(v01_MortAdult,G1440)*Arch_AdultMort/4*Q1440</x:f>
        <x:v>0</x:v>
      </x:c>
      <x:c r="U1440" s="9" t="n">
        <x:f>H1440*AA1439*INDEX(v01_MortElder,G1440)/4*Q1440</x:f>
        <x:v>0</x:v>
      </x:c>
      <x:c r="V1440" s="9" t="n">
        <x:f>H1440*MAX(0,AB1439-O1440)*v01_OvercapLoss</x:f>
        <x:v>0</x:v>
      </x:c>
      <x:c r="W1440" s="9" t="n">
        <x:f>H1440*Y1439/(v01_ChildYears*4)</x:f>
        <x:v>0</x:v>
      </x:c>
      <x:c r="X1440" s="9" t="n">
        <x:f>H1440*Z1439/(v01_AdultYears*4)</x:f>
        <x:v>0</x:v>
      </x:c>
      <x:c r="Y1440" s="32" t="n">
        <x:f>Y1439+R1440-S1440-W1440-Y1439*V1440/AB1439</x:f>
        <x:v>14306.18539759397</x:v>
      </x:c>
      <x:c r="Z1440" s="32" t="n">
        <x:f>Z1439+W1440-X1440-T1440-Z1439*V1440/AB1439</x:f>
        <x:v>19354.456567879548</x:v>
      </x:c>
      <x:c r="AA1440" s="32" t="n">
        <x:f>AA1439+X1440-U1440-AA1439*V1440/AB1439</x:f>
        <x:v>11386.956063258198</x:v>
      </x:c>
      <x:c r="AB1440" s="10" t="n">
        <x:f>Y1440+Z1440+AA1440</x:f>
        <x:v>45047.59802873172</x:v>
      </x:c>
      <x:c r="AC1440" s="8" t="n">
        <x:f>IF(AND(v01_WinterTrigger=1,D1440=1,AB1439/AE1439&gt;=K1440),1,0)</x:f>
        <x:v>0</x:v>
      </x:c>
      <x:c r="AD1440" s="8" t="n">
        <x:f>H1440*IF(AND(OR(AB1439/AE1439&gt;=v01_FissionTrigger*N1440,AC1440=1),AB1439/AE1439*v01_DaughterShare&gt;=v01_MinDaughter),MAX(1,ROUND(AE1439*v01_FissionRate,0)),0)</x:f>
        <x:v>0</x:v>
      </x:c>
      <x:c r="AE1440" s="8" t="n">
        <x:f>IF(H1440=1,MAX(1,MIN(INDEX(v01_Smax,G1440),AE1439+AD1440)),AE1439)</x:f>
        <x:v>15</x:v>
      </x:c>
      <x:c r="AF1440" s="8" t="n">
        <x:f>MAX(0,AE1440-AE1439)</x:f>
        <x:v>0</x:v>
      </x:c>
      <x:c r="AG1440" s="9" t="str">
        <x:f>IF(AF1440&gt;0,B1440,"")</x:f>
      </x:c>
      <x:c r="AH1440" s="9" t="n">
        <x:f>IF(F1440&gt;=1,1,(1+v01_LowTiesShare*(AE1440-1))/AE1440)</x:f>
        <x:v>1</x:v>
      </x:c>
      <x:c r="AI1440" s="32" t="n">
        <x:f>(Z1440+v01_ElderCommons*INDEX(LM_Elder,G1440)*AA1440)*AH1440</x:f>
        <x:v>64139.732591141874</x:v>
      </x:c>
      <x:c r="AJ1440" s="32" t="n">
        <x:f>H1440*v01_CommonsCoef*AI1440^v01_CommonsExp*INDEX(LM_Commons,G1440)</x:f>
        <x:v>0</x:v>
      </x:c>
      <x:c r="AK1440" s="32" t="n">
        <x:f>H1440*v01_RoleScale*Arch_Roles*(AE1440*(INDEX(v01_ElderRolePerSett,G1440)*v01_OutElder*INDEX(LM_Elder,G1440)+INDEX(v01_ShamanPerSett,G1440)*v01_OutShaman)+Z1440*(INDEX(v01_PriestShare,G1440)*v01_OutPriest+INDEX(v01_ScribeShare,G1440)*v01_OutScribe*INDEX(LM_Scribe,G1440)+INDEX(v01_ScholarShare,G1440)*v01_OutScholar*INDEX(LM_Scholar,G1440)+INDEX(v01_ResearcherShare,G1440)*v01_OutResearcher*INDEX(LM_Researcher,G1440)))</x:f>
        <x:v>0</x:v>
      </x:c>
      <x:c r="AL1440" s="32" t="n">
        <x:f>H1440*v01_RoleScale*Arch_Roles*AE1440*INDEX(v01_MonasteryPerSett,G1440)*v01_OutMonastery*INDEX(LM_Monastery,G1440)</x:f>
        <x:v>0</x:v>
      </x:c>
      <x:c r="AM1440" s="32" t="n">
        <x:f>(AJ1440+AK1440+AL1440)/4*INDEX(LM_All,G1440)*INDEX(v01_Boon,G1440)*Arch_Insight</x:f>
        <x:v>0</x:v>
      </x:c>
      <x:c r="AN1440" s="32" t="n">
        <x:f>H1440*(v01_KHPerAdult*Z1440+v01_KHOfCommons*AJ1440/4*INDEX(LM_All,G1440))*v01_KHUsable*Arch_KH</x:f>
        <x:v>0</x:v>
      </x:c>
      <x:c r="AO1440" s="32" t="n">
        <x:f>MIN(AP1439+AN1440,AM1440*v01_KHMaxRatio)</x:f>
        <x:v>0</x:v>
      </x:c>
      <x:c r="AP1440" s="32" t="n">
        <x:f>AP1439+AN1440-AO1440</x:f>
        <x:v>0</x:v>
      </x:c>
      <x:c r="AQ1440" s="32" t="n">
        <x:f>AM1440+AO1440</x:f>
        <x:v>0</x:v>
      </x:c>
      <x:c r="AR1440" s="10" t="n">
        <x:f>IF(H1440=1,INDEX(v01_Req,G1440),0)</x:f>
        <x:v>0</x:v>
      </x:c>
      <x:c r="AS1440" s="32" t="n">
        <x:f>IF(H1440=1,IF(E1440=1,AS1439-AR1439,AS1439)+AQ1440,0)</x:f>
        <x:v>0</x:v>
      </x:c>
      <x:c r="AT1440" s="11" t="n">
        <x:f>IF(AR1440&gt;0,MIN(1,AS1440/AR1440),1)</x:f>
        <x:v>1</x:v>
      </x:c>
      <x:c r="AU1440" s="10" t="n">
        <x:f>AB1440/INDEX(v01_RepScale,G1440)</x:f>
        <x:v>90.09519605746344</x:v>
      </x:c>
      <x:c r="AV1440" s="32" t="n">
        <x:f>AM1440*60/v01_SeasonSeconds</x:f>
        <x:v>0</x:v>
      </x:c>
    </x:row>
    <x:row r="1441">
      <x:c r="A1441" s="8" t="n">
        <x:f>A1440+1</x:f>
        <x:v>1438</x:v>
      </x:c>
      <x:c r="B1441" s="9" t="n">
        <x:f>A1441*v01_SeasonSeconds/60</x:f>
        <x:v>359.5</x:v>
      </x:c>
      <x:c r="C1441" s="9" t="n">
        <x:f>A1441/4</x:f>
        <x:v>359.5</x:v>
      </x:c>
      <x:c r="D1441" s="8" t="n">
        <x:f>IF(MOD(A1441,4)=0,1,0)</x:f>
        <x:v>0</x:v>
      </x:c>
      <x:c r="E1441" s="8" t="n">
        <x:f>IF(AND(F1440&lt;=9,AS1440&gt;=AR1440),1,0)</x:f>
        <x:v>0</x:v>
      </x:c>
      <x:c r="F1441" s="8" t="n">
        <x:f>MIN(10,F1440+E1441)</x:f>
        <x:v>10</x:v>
      </x:c>
      <x:c r="G1441" s="8" t="n">
        <x:f>MIN(F1441,9)+1</x:f>
        <x:v>10</x:v>
      </x:c>
      <x:c r="H1441" s="8" t="n">
        <x:f>IF(F1441&lt;=9,1,0)</x:f>
        <x:v>0</x:v>
      </x:c>
      <x:c r="I1441" s="9" t="n">
        <x:f>MIN(10,F1440+IF(AR1440&gt;0,MIN(1,AS1440/AR1440),1))</x:f>
        <x:v>10</x:v>
      </x:c>
      <x:c r="J1441" s="32" t="n">
        <x:f>INDEX(v01_FoodCap,G1441)*Arch_FoodCap*EXP(v01_CapsByProject*SUMPRODUCT((Cap_Point&lt;=I1441)*(Cap_Kind="Food")*Cap_Ln))</x:f>
        <x:v>12000</x:v>
      </x:c>
      <x:c r="K1441" s="32" t="n">
        <x:f>J1441*MIN(1,v01_LeanBase*EXP(v01_CapsByProject*SUMPRODUCT((Cap_Point&lt;=I1441)*(Cap_Kind="Lean")*Cap_Ln)))</x:f>
        <x:v>12000</x:v>
      </x:c>
      <x:c r="L1441" s="10" t="n">
        <x:f>INDEX(v01_HousingCap,G1441)*EXP(v01_CapsByProject*SUMPRODUCT((Cap_Point&lt;=I1441)*(Cap_Kind="Housing")*Cap_Ln))</x:f>
        <x:v>20000</x:v>
      </x:c>
      <x:c r="M1441" s="10" t="n">
        <x:f>INDEX(v01_GroupCap,G1441)*v01_CohesionFactor*EXP(v01_CapsByProject*SUMPRODUCT((Cap_Point&lt;=I1441)*(Cap_Kind="Group")*Cap_Ln))</x:f>
        <x:v>1000000</x:v>
      </x:c>
      <x:c r="N1441" s="32" t="n">
        <x:f>MIN(J1441,L1441,M1441)</x:f>
        <x:v>12000</x:v>
      </x:c>
      <x:c r="O1441" s="10" t="n">
        <x:f>AE1440*N1441</x:f>
        <x:v>180000</x:v>
      </x:c>
      <x:c r="P1441" s="9" t="n">
        <x:f>MIN(1,(AB1440/(AE1440*IF(v01_GroupInCrowding=1,N1441,MIN(J1441,L1441))))^v01_CrowdingExp)</x:f>
        <x:v>0.00024569414295285325</x:v>
      </x:c>
      <x:c r="Q1441" s="9" t="n">
        <x:f>IF(D1441=1,INDEX(v01_WinterMult,G1441),1)</x:f>
        <x:v>1</x:v>
      </x:c>
      <x:c r="R1441" s="9" t="n">
        <x:f>H1441*Z1440*v01_WomenShare*v01_BaseFertility*INDEX(v01_FertMult,G1441)*Arch_Fertility*(1-P1441)</x:f>
        <x:v>0</x:v>
      </x:c>
      <x:c r="S1441" s="9" t="n">
        <x:f>H1441*Y1440*INDEX(v01_MortChild,G1441)/4*Q1441</x:f>
        <x:v>0</x:v>
      </x:c>
      <x:c r="T1441" s="9" t="n">
        <x:f>H1441*Z1440*INDEX(v01_MortAdult,G1441)*Arch_AdultMort/4*Q1441</x:f>
        <x:v>0</x:v>
      </x:c>
      <x:c r="U1441" s="9" t="n">
        <x:f>H1441*AA1440*INDEX(v01_MortElder,G1441)/4*Q1441</x:f>
        <x:v>0</x:v>
      </x:c>
      <x:c r="V1441" s="9" t="n">
        <x:f>H1441*MAX(0,AB1440-O1441)*v01_OvercapLoss</x:f>
        <x:v>0</x:v>
      </x:c>
      <x:c r="W1441" s="9" t="n">
        <x:f>H1441*Y1440/(v01_ChildYears*4)</x:f>
        <x:v>0</x:v>
      </x:c>
      <x:c r="X1441" s="9" t="n">
        <x:f>H1441*Z1440/(v01_AdultYears*4)</x:f>
        <x:v>0</x:v>
      </x:c>
      <x:c r="Y1441" s="32" t="n">
        <x:f>Y1440+R1441-S1441-W1441-Y1440*V1441/AB1440</x:f>
        <x:v>14306.18539759397</x:v>
      </x:c>
      <x:c r="Z1441" s="32" t="n">
        <x:f>Z1440+W1441-X1441-T1441-Z1440*V1441/AB1440</x:f>
        <x:v>19354.456567879548</x:v>
      </x:c>
      <x:c r="AA1441" s="32" t="n">
        <x:f>AA1440+X1441-U1441-AA1440*V1441/AB1440</x:f>
        <x:v>11386.956063258198</x:v>
      </x:c>
      <x:c r="AB1441" s="10" t="n">
        <x:f>Y1441+Z1441+AA1441</x:f>
        <x:v>45047.59802873172</x:v>
      </x:c>
      <x:c r="AC1441" s="8" t="n">
        <x:f>IF(AND(v01_WinterTrigger=1,D1441=1,AB1440/AE1440&gt;=K1441),1,0)</x:f>
        <x:v>0</x:v>
      </x:c>
      <x:c r="AD1441" s="8" t="n">
        <x:f>H1441*IF(AND(OR(AB1440/AE1440&gt;=v01_FissionTrigger*N1441,AC1441=1),AB1440/AE1440*v01_DaughterShare&gt;=v01_MinDaughter),MAX(1,ROUND(AE1440*v01_FissionRate,0)),0)</x:f>
        <x:v>0</x:v>
      </x:c>
      <x:c r="AE1441" s="8" t="n">
        <x:f>IF(H1441=1,MAX(1,MIN(INDEX(v01_Smax,G1441),AE1440+AD1441)),AE1440)</x:f>
        <x:v>15</x:v>
      </x:c>
      <x:c r="AF1441" s="8" t="n">
        <x:f>MAX(0,AE1441-AE1440)</x:f>
        <x:v>0</x:v>
      </x:c>
      <x:c r="AG1441" s="9" t="str">
        <x:f>IF(AF1441&gt;0,B1441,"")</x:f>
      </x:c>
      <x:c r="AH1441" s="9" t="n">
        <x:f>IF(F1441&gt;=1,1,(1+v01_LowTiesShare*(AE1441-1))/AE1441)</x:f>
        <x:v>1</x:v>
      </x:c>
      <x:c r="AI1441" s="32" t="n">
        <x:f>(Z1441+v01_ElderCommons*INDEX(LM_Elder,G1441)*AA1441)*AH1441</x:f>
        <x:v>64139.732591141874</x:v>
      </x:c>
      <x:c r="AJ1441" s="32" t="n">
        <x:f>H1441*v01_CommonsCoef*AI1441^v01_CommonsExp*INDEX(LM_Commons,G1441)</x:f>
        <x:v>0</x:v>
      </x:c>
      <x:c r="AK1441" s="32" t="n">
        <x:f>H1441*v01_RoleScale*Arch_Roles*(AE1441*(INDEX(v01_ElderRolePerSett,G1441)*v01_OutElder*INDEX(LM_Elder,G1441)+INDEX(v01_ShamanPerSett,G1441)*v01_OutShaman)+Z1441*(INDEX(v01_PriestShare,G1441)*v01_OutPriest+INDEX(v01_ScribeShare,G1441)*v01_OutScribe*INDEX(LM_Scribe,G1441)+INDEX(v01_ScholarShare,G1441)*v01_OutScholar*INDEX(LM_Scholar,G1441)+INDEX(v01_ResearcherShare,G1441)*v01_OutResearcher*INDEX(LM_Researcher,G1441)))</x:f>
        <x:v>0</x:v>
      </x:c>
      <x:c r="AL1441" s="32" t="n">
        <x:f>H1441*v01_RoleScale*Arch_Roles*AE1441*INDEX(v01_MonasteryPerSett,G1441)*v01_OutMonastery*INDEX(LM_Monastery,G1441)</x:f>
        <x:v>0</x:v>
      </x:c>
      <x:c r="AM1441" s="32" t="n">
        <x:f>(AJ1441+AK1441+AL1441)/4*INDEX(LM_All,G1441)*INDEX(v01_Boon,G1441)*Arch_Insight</x:f>
        <x:v>0</x:v>
      </x:c>
      <x:c r="AN1441" s="32" t="n">
        <x:f>H1441*(v01_KHPerAdult*Z1441+v01_KHOfCommons*AJ1441/4*INDEX(LM_All,G1441))*v01_KHUsable*Arch_KH</x:f>
        <x:v>0</x:v>
      </x:c>
      <x:c r="AO1441" s="32" t="n">
        <x:f>MIN(AP1440+AN1441,AM1441*v01_KHMaxRatio)</x:f>
        <x:v>0</x:v>
      </x:c>
      <x:c r="AP1441" s="32" t="n">
        <x:f>AP1440+AN1441-AO1441</x:f>
        <x:v>0</x:v>
      </x:c>
      <x:c r="AQ1441" s="32" t="n">
        <x:f>AM1441+AO1441</x:f>
        <x:v>0</x:v>
      </x:c>
      <x:c r="AR1441" s="10" t="n">
        <x:f>IF(H1441=1,INDEX(v01_Req,G1441),0)</x:f>
        <x:v>0</x:v>
      </x:c>
      <x:c r="AS1441" s="32" t="n">
        <x:f>IF(H1441=1,IF(E1441=1,AS1440-AR1440,AS1440)+AQ1441,0)</x:f>
        <x:v>0</x:v>
      </x:c>
      <x:c r="AT1441" s="11" t="n">
        <x:f>IF(AR1441&gt;0,MIN(1,AS1441/AR1441),1)</x:f>
        <x:v>1</x:v>
      </x:c>
      <x:c r="AU1441" s="10" t="n">
        <x:f>AB1441/INDEX(v01_RepScale,G1441)</x:f>
        <x:v>90.09519605746344</x:v>
      </x:c>
      <x:c r="AV1441" s="32" t="n">
        <x:f>AM1441*60/v01_SeasonSeconds</x:f>
        <x:v>0</x:v>
      </x:c>
    </x:row>
    <x:row r="1442">
      <x:c r="A1442" s="8" t="n">
        <x:f>A1441+1</x:f>
        <x:v>1439</x:v>
      </x:c>
      <x:c r="B1442" s="9" t="n">
        <x:f>A1442*v01_SeasonSeconds/60</x:f>
        <x:v>359.75</x:v>
      </x:c>
      <x:c r="C1442" s="9" t="n">
        <x:f>A1442/4</x:f>
        <x:v>359.75</x:v>
      </x:c>
      <x:c r="D1442" s="8" t="n">
        <x:f>IF(MOD(A1442,4)=0,1,0)</x:f>
        <x:v>0</x:v>
      </x:c>
      <x:c r="E1442" s="8" t="n">
        <x:f>IF(AND(F1441&lt;=9,AS1441&gt;=AR1441),1,0)</x:f>
        <x:v>0</x:v>
      </x:c>
      <x:c r="F1442" s="8" t="n">
        <x:f>MIN(10,F1441+E1442)</x:f>
        <x:v>10</x:v>
      </x:c>
      <x:c r="G1442" s="8" t="n">
        <x:f>MIN(F1442,9)+1</x:f>
        <x:v>10</x:v>
      </x:c>
      <x:c r="H1442" s="8" t="n">
        <x:f>IF(F1442&lt;=9,1,0)</x:f>
        <x:v>0</x:v>
      </x:c>
      <x:c r="I1442" s="9" t="n">
        <x:f>MIN(10,F1441+IF(AR1441&gt;0,MIN(1,AS1441/AR1441),1))</x:f>
        <x:v>10</x:v>
      </x:c>
      <x:c r="J1442" s="32" t="n">
        <x:f>INDEX(v01_FoodCap,G1442)*Arch_FoodCap*EXP(v01_CapsByProject*SUMPRODUCT((Cap_Point&lt;=I1442)*(Cap_Kind="Food")*Cap_Ln))</x:f>
        <x:v>12000</x:v>
      </x:c>
      <x:c r="K1442" s="32" t="n">
        <x:f>J1442*MIN(1,v01_LeanBase*EXP(v01_CapsByProject*SUMPRODUCT((Cap_Point&lt;=I1442)*(Cap_Kind="Lean")*Cap_Ln)))</x:f>
        <x:v>12000</x:v>
      </x:c>
      <x:c r="L1442" s="10" t="n">
        <x:f>INDEX(v01_HousingCap,G1442)*EXP(v01_CapsByProject*SUMPRODUCT((Cap_Point&lt;=I1442)*(Cap_Kind="Housing")*Cap_Ln))</x:f>
        <x:v>20000</x:v>
      </x:c>
      <x:c r="M1442" s="10" t="n">
        <x:f>INDEX(v01_GroupCap,G1442)*v01_CohesionFactor*EXP(v01_CapsByProject*SUMPRODUCT((Cap_Point&lt;=I1442)*(Cap_Kind="Group")*Cap_Ln))</x:f>
        <x:v>1000000</x:v>
      </x:c>
      <x:c r="N1442" s="32" t="n">
        <x:f>MIN(J1442,L1442,M1442)</x:f>
        <x:v>12000</x:v>
      </x:c>
      <x:c r="O1442" s="10" t="n">
        <x:f>AE1441*N1442</x:f>
        <x:v>180000</x:v>
      </x:c>
      <x:c r="P1442" s="9" t="n">
        <x:f>MIN(1,(AB1441/(AE1441*IF(v01_GroupInCrowding=1,N1442,MIN(J1442,L1442))))^v01_CrowdingExp)</x:f>
        <x:v>0.00024569414295285325</x:v>
      </x:c>
      <x:c r="Q1442" s="9" t="n">
        <x:f>IF(D1442=1,INDEX(v01_WinterMult,G1442),1)</x:f>
        <x:v>1</x:v>
      </x:c>
      <x:c r="R1442" s="9" t="n">
        <x:f>H1442*Z1441*v01_WomenShare*v01_BaseFertility*INDEX(v01_FertMult,G1442)*Arch_Fertility*(1-P1442)</x:f>
        <x:v>0</x:v>
      </x:c>
      <x:c r="S1442" s="9" t="n">
        <x:f>H1442*Y1441*INDEX(v01_MortChild,G1442)/4*Q1442</x:f>
        <x:v>0</x:v>
      </x:c>
      <x:c r="T1442" s="9" t="n">
        <x:f>H1442*Z1441*INDEX(v01_MortAdult,G1442)*Arch_AdultMort/4*Q1442</x:f>
        <x:v>0</x:v>
      </x:c>
      <x:c r="U1442" s="9" t="n">
        <x:f>H1442*AA1441*INDEX(v01_MortElder,G1442)/4*Q1442</x:f>
        <x:v>0</x:v>
      </x:c>
      <x:c r="V1442" s="9" t="n">
        <x:f>H1442*MAX(0,AB1441-O1442)*v01_OvercapLoss</x:f>
        <x:v>0</x:v>
      </x:c>
      <x:c r="W1442" s="9" t="n">
        <x:f>H1442*Y1441/(v01_ChildYears*4)</x:f>
        <x:v>0</x:v>
      </x:c>
      <x:c r="X1442" s="9" t="n">
        <x:f>H1442*Z1441/(v01_AdultYears*4)</x:f>
        <x:v>0</x:v>
      </x:c>
      <x:c r="Y1442" s="32" t="n">
        <x:f>Y1441+R1442-S1442-W1442-Y1441*V1442/AB1441</x:f>
        <x:v>14306.18539759397</x:v>
      </x:c>
      <x:c r="Z1442" s="32" t="n">
        <x:f>Z1441+W1442-X1442-T1442-Z1441*V1442/AB1441</x:f>
        <x:v>19354.456567879548</x:v>
      </x:c>
      <x:c r="AA1442" s="32" t="n">
        <x:f>AA1441+X1442-U1442-AA1441*V1442/AB1441</x:f>
        <x:v>11386.956063258198</x:v>
      </x:c>
      <x:c r="AB1442" s="10" t="n">
        <x:f>Y1442+Z1442+AA1442</x:f>
        <x:v>45047.59802873172</x:v>
      </x:c>
      <x:c r="AC1442" s="8" t="n">
        <x:f>IF(AND(v01_WinterTrigger=1,D1442=1,AB1441/AE1441&gt;=K1442),1,0)</x:f>
        <x:v>0</x:v>
      </x:c>
      <x:c r="AD1442" s="8" t="n">
        <x:f>H1442*IF(AND(OR(AB1441/AE1441&gt;=v01_FissionTrigger*N1442,AC1442=1),AB1441/AE1441*v01_DaughterShare&gt;=v01_MinDaughter),MAX(1,ROUND(AE1441*v01_FissionRate,0)),0)</x:f>
        <x:v>0</x:v>
      </x:c>
      <x:c r="AE1442" s="8" t="n">
        <x:f>IF(H1442=1,MAX(1,MIN(INDEX(v01_Smax,G1442),AE1441+AD1442)),AE1441)</x:f>
        <x:v>15</x:v>
      </x:c>
      <x:c r="AF1442" s="8" t="n">
        <x:f>MAX(0,AE1442-AE1441)</x:f>
        <x:v>0</x:v>
      </x:c>
      <x:c r="AG1442" s="9" t="str">
        <x:f>IF(AF1442&gt;0,B1442,"")</x:f>
      </x:c>
      <x:c r="AH1442" s="9" t="n">
        <x:f>IF(F1442&gt;=1,1,(1+v01_LowTiesShare*(AE1442-1))/AE1442)</x:f>
        <x:v>1</x:v>
      </x:c>
      <x:c r="AI1442" s="32" t="n">
        <x:f>(Z1442+v01_ElderCommons*INDEX(LM_Elder,G1442)*AA1442)*AH1442</x:f>
        <x:v>64139.732591141874</x:v>
      </x:c>
      <x:c r="AJ1442" s="32" t="n">
        <x:f>H1442*v01_CommonsCoef*AI1442^v01_CommonsExp*INDEX(LM_Commons,G1442)</x:f>
        <x:v>0</x:v>
      </x:c>
      <x:c r="AK1442" s="32" t="n">
        <x:f>H1442*v01_RoleScale*Arch_Roles*(AE1442*(INDEX(v01_ElderRolePerSett,G1442)*v01_OutElder*INDEX(LM_Elder,G1442)+INDEX(v01_ShamanPerSett,G1442)*v01_OutShaman)+Z1442*(INDEX(v01_PriestShare,G1442)*v01_OutPriest+INDEX(v01_ScribeShare,G1442)*v01_OutScribe*INDEX(LM_Scribe,G1442)+INDEX(v01_ScholarShare,G1442)*v01_OutScholar*INDEX(LM_Scholar,G1442)+INDEX(v01_ResearcherShare,G1442)*v01_OutResearcher*INDEX(LM_Researcher,G1442)))</x:f>
        <x:v>0</x:v>
      </x:c>
      <x:c r="AL1442" s="32" t="n">
        <x:f>H1442*v01_RoleScale*Arch_Roles*AE1442*INDEX(v01_MonasteryPerSett,G1442)*v01_OutMonastery*INDEX(LM_Monastery,G1442)</x:f>
        <x:v>0</x:v>
      </x:c>
      <x:c r="AM1442" s="32" t="n">
        <x:f>(AJ1442+AK1442+AL1442)/4*INDEX(LM_All,G1442)*INDEX(v01_Boon,G1442)*Arch_Insight</x:f>
        <x:v>0</x:v>
      </x:c>
      <x:c r="AN1442" s="32" t="n">
        <x:f>H1442*(v01_KHPerAdult*Z1442+v01_KHOfCommons*AJ1442/4*INDEX(LM_All,G1442))*v01_KHUsable*Arch_KH</x:f>
        <x:v>0</x:v>
      </x:c>
      <x:c r="AO1442" s="32" t="n">
        <x:f>MIN(AP1441+AN1442,AM1442*v01_KHMaxRatio)</x:f>
        <x:v>0</x:v>
      </x:c>
      <x:c r="AP1442" s="32" t="n">
        <x:f>AP1441+AN1442-AO1442</x:f>
        <x:v>0</x:v>
      </x:c>
      <x:c r="AQ1442" s="32" t="n">
        <x:f>AM1442+AO1442</x:f>
        <x:v>0</x:v>
      </x:c>
      <x:c r="AR1442" s="10" t="n">
        <x:f>IF(H1442=1,INDEX(v01_Req,G1442),0)</x:f>
        <x:v>0</x:v>
      </x:c>
      <x:c r="AS1442" s="32" t="n">
        <x:f>IF(H1442=1,IF(E1442=1,AS1441-AR1441,AS1441)+AQ1442,0)</x:f>
        <x:v>0</x:v>
      </x:c>
      <x:c r="AT1442" s="11" t="n">
        <x:f>IF(AR1442&gt;0,MIN(1,AS1442/AR1442),1)</x:f>
        <x:v>1</x:v>
      </x:c>
      <x:c r="AU1442" s="10" t="n">
        <x:f>AB1442/INDEX(v01_RepScale,G1442)</x:f>
        <x:v>90.09519605746344</x:v>
      </x:c>
      <x:c r="AV1442" s="32" t="n">
        <x:f>AM1442*60/v01_SeasonSeconds</x:f>
        <x:v>0</x:v>
      </x:c>
    </x:row>
    <x:row r="1443">
      <x:c r="A1443" s="8" t="n">
        <x:f>A1442+1</x:f>
        <x:v>1440</x:v>
      </x:c>
      <x:c r="B1443" s="9" t="n">
        <x:f>A1443*v01_SeasonSeconds/60</x:f>
        <x:v>360</x:v>
      </x:c>
      <x:c r="C1443" s="9" t="n">
        <x:f>A1443/4</x:f>
        <x:v>360</x:v>
      </x:c>
      <x:c r="D1443" s="8" t="n">
        <x:f>IF(MOD(A1443,4)=0,1,0)</x:f>
        <x:v>1</x:v>
      </x:c>
      <x:c r="E1443" s="8" t="n">
        <x:f>IF(AND(F1442&lt;=9,AS1442&gt;=AR1442),1,0)</x:f>
        <x:v>0</x:v>
      </x:c>
      <x:c r="F1443" s="8" t="n">
        <x:f>MIN(10,F1442+E1443)</x:f>
        <x:v>10</x:v>
      </x:c>
      <x:c r="G1443" s="8" t="n">
        <x:f>MIN(F1443,9)+1</x:f>
        <x:v>10</x:v>
      </x:c>
      <x:c r="H1443" s="8" t="n">
        <x:f>IF(F1443&lt;=9,1,0)</x:f>
        <x:v>0</x:v>
      </x:c>
      <x:c r="I1443" s="9" t="n">
        <x:f>MIN(10,F1442+IF(AR1442&gt;0,MIN(1,AS1442/AR1442),1))</x:f>
        <x:v>10</x:v>
      </x:c>
      <x:c r="J1443" s="32" t="n">
        <x:f>INDEX(v01_FoodCap,G1443)*Arch_FoodCap*EXP(v01_CapsByProject*SUMPRODUCT((Cap_Point&lt;=I1443)*(Cap_Kind="Food")*Cap_Ln))</x:f>
        <x:v>12000</x:v>
      </x:c>
      <x:c r="K1443" s="32" t="n">
        <x:f>J1443*MIN(1,v01_LeanBase*EXP(v01_CapsByProject*SUMPRODUCT((Cap_Point&lt;=I1443)*(Cap_Kind="Lean")*Cap_Ln)))</x:f>
        <x:v>12000</x:v>
      </x:c>
      <x:c r="L1443" s="10" t="n">
        <x:f>INDEX(v01_HousingCap,G1443)*EXP(v01_CapsByProject*SUMPRODUCT((Cap_Point&lt;=I1443)*(Cap_Kind="Housing")*Cap_Ln))</x:f>
        <x:v>20000</x:v>
      </x:c>
      <x:c r="M1443" s="10" t="n">
        <x:f>INDEX(v01_GroupCap,G1443)*v01_CohesionFactor*EXP(v01_CapsByProject*SUMPRODUCT((Cap_Point&lt;=I1443)*(Cap_Kind="Group")*Cap_Ln))</x:f>
        <x:v>1000000</x:v>
      </x:c>
      <x:c r="N1443" s="32" t="n">
        <x:f>MIN(J1443,L1443,M1443)</x:f>
        <x:v>12000</x:v>
      </x:c>
      <x:c r="O1443" s="10" t="n">
        <x:f>AE1442*N1443</x:f>
        <x:v>180000</x:v>
      </x:c>
      <x:c r="P1443" s="9" t="n">
        <x:f>MIN(1,(AB1442/(AE1442*IF(v01_GroupInCrowding=1,N1443,MIN(J1443,L1443))))^v01_CrowdingExp)</x:f>
        <x:v>0.00024569414295285325</x:v>
      </x:c>
      <x:c r="Q1443" s="9" t="n">
        <x:f>IF(D1443=1,INDEX(v01_WinterMult,G1443),1)</x:f>
        <x:v>1</x:v>
      </x:c>
      <x:c r="R1443" s="9" t="n">
        <x:f>H1443*Z1442*v01_WomenShare*v01_BaseFertility*INDEX(v01_FertMult,G1443)*Arch_Fertility*(1-P1443)</x:f>
        <x:v>0</x:v>
      </x:c>
      <x:c r="S1443" s="9" t="n">
        <x:f>H1443*Y1442*INDEX(v01_MortChild,G1443)/4*Q1443</x:f>
        <x:v>0</x:v>
      </x:c>
      <x:c r="T1443" s="9" t="n">
        <x:f>H1443*Z1442*INDEX(v01_MortAdult,G1443)*Arch_AdultMort/4*Q1443</x:f>
        <x:v>0</x:v>
      </x:c>
      <x:c r="U1443" s="9" t="n">
        <x:f>H1443*AA1442*INDEX(v01_MortElder,G1443)/4*Q1443</x:f>
        <x:v>0</x:v>
      </x:c>
      <x:c r="V1443" s="9" t="n">
        <x:f>H1443*MAX(0,AB1442-O1443)*v01_OvercapLoss</x:f>
        <x:v>0</x:v>
      </x:c>
      <x:c r="W1443" s="9" t="n">
        <x:f>H1443*Y1442/(v01_ChildYears*4)</x:f>
        <x:v>0</x:v>
      </x:c>
      <x:c r="X1443" s="9" t="n">
        <x:f>H1443*Z1442/(v01_AdultYears*4)</x:f>
        <x:v>0</x:v>
      </x:c>
      <x:c r="Y1443" s="32" t="n">
        <x:f>Y1442+R1443-S1443-W1443-Y1442*V1443/AB1442</x:f>
        <x:v>14306.18539759397</x:v>
      </x:c>
      <x:c r="Z1443" s="32" t="n">
        <x:f>Z1442+W1443-X1443-T1443-Z1442*V1443/AB1442</x:f>
        <x:v>19354.456567879548</x:v>
      </x:c>
      <x:c r="AA1443" s="32" t="n">
        <x:f>AA1442+X1443-U1443-AA1442*V1443/AB1442</x:f>
        <x:v>11386.956063258198</x:v>
      </x:c>
      <x:c r="AB1443" s="10" t="n">
        <x:f>Y1443+Z1443+AA1443</x:f>
        <x:v>45047.59802873172</x:v>
      </x:c>
      <x:c r="AC1443" s="8" t="n">
        <x:f>IF(AND(v01_WinterTrigger=1,D1443=1,AB1442/AE1442&gt;=K1443),1,0)</x:f>
        <x:v>0</x:v>
      </x:c>
      <x:c r="AD1443" s="8" t="n">
        <x:f>H1443*IF(AND(OR(AB1442/AE1442&gt;=v01_FissionTrigger*N1443,AC1443=1),AB1442/AE1442*v01_DaughterShare&gt;=v01_MinDaughter),MAX(1,ROUND(AE1442*v01_FissionRate,0)),0)</x:f>
        <x:v>0</x:v>
      </x:c>
      <x:c r="AE1443" s="8" t="n">
        <x:f>IF(H1443=1,MAX(1,MIN(INDEX(v01_Smax,G1443),AE1442+AD1443)),AE1442)</x:f>
        <x:v>15</x:v>
      </x:c>
      <x:c r="AF1443" s="8" t="n">
        <x:f>MAX(0,AE1443-AE1442)</x:f>
        <x:v>0</x:v>
      </x:c>
      <x:c r="AG1443" s="9" t="str">
        <x:f>IF(AF1443&gt;0,B1443,"")</x:f>
      </x:c>
      <x:c r="AH1443" s="9" t="n">
        <x:f>IF(F1443&gt;=1,1,(1+v01_LowTiesShare*(AE1443-1))/AE1443)</x:f>
        <x:v>1</x:v>
      </x:c>
      <x:c r="AI1443" s="32" t="n">
        <x:f>(Z1443+v01_ElderCommons*INDEX(LM_Elder,G1443)*AA1443)*AH1443</x:f>
        <x:v>64139.732591141874</x:v>
      </x:c>
      <x:c r="AJ1443" s="32" t="n">
        <x:f>H1443*v01_CommonsCoef*AI1443^v01_CommonsExp*INDEX(LM_Commons,G1443)</x:f>
        <x:v>0</x:v>
      </x:c>
      <x:c r="AK1443" s="32" t="n">
        <x:f>H1443*v01_RoleScale*Arch_Roles*(AE1443*(INDEX(v01_ElderRolePerSett,G1443)*v01_OutElder*INDEX(LM_Elder,G1443)+INDEX(v01_ShamanPerSett,G1443)*v01_OutShaman)+Z1443*(INDEX(v01_PriestShare,G1443)*v01_OutPriest+INDEX(v01_ScribeShare,G1443)*v01_OutScribe*INDEX(LM_Scribe,G1443)+INDEX(v01_ScholarShare,G1443)*v01_OutScholar*INDEX(LM_Scholar,G1443)+INDEX(v01_ResearcherShare,G1443)*v01_OutResearcher*INDEX(LM_Researcher,G1443)))</x:f>
        <x:v>0</x:v>
      </x:c>
      <x:c r="AL1443" s="32" t="n">
        <x:f>H1443*v01_RoleScale*Arch_Roles*AE1443*INDEX(v01_MonasteryPerSett,G1443)*v01_OutMonastery*INDEX(LM_Monastery,G1443)</x:f>
        <x:v>0</x:v>
      </x:c>
      <x:c r="AM1443" s="32" t="n">
        <x:f>(AJ1443+AK1443+AL1443)/4*INDEX(LM_All,G1443)*INDEX(v01_Boon,G1443)*Arch_Insight</x:f>
        <x:v>0</x:v>
      </x:c>
      <x:c r="AN1443" s="32" t="n">
        <x:f>H1443*(v01_KHPerAdult*Z1443+v01_KHOfCommons*AJ1443/4*INDEX(LM_All,G1443))*v01_KHUsable*Arch_KH</x:f>
        <x:v>0</x:v>
      </x:c>
      <x:c r="AO1443" s="32" t="n">
        <x:f>MIN(AP1442+AN1443,AM1443*v01_KHMaxRatio)</x:f>
        <x:v>0</x:v>
      </x:c>
      <x:c r="AP1443" s="32" t="n">
        <x:f>AP1442+AN1443-AO1443</x:f>
        <x:v>0</x:v>
      </x:c>
      <x:c r="AQ1443" s="32" t="n">
        <x:f>AM1443+AO1443</x:f>
        <x:v>0</x:v>
      </x:c>
      <x:c r="AR1443" s="10" t="n">
        <x:f>IF(H1443=1,INDEX(v01_Req,G1443),0)</x:f>
        <x:v>0</x:v>
      </x:c>
      <x:c r="AS1443" s="32" t="n">
        <x:f>IF(H1443=1,IF(E1443=1,AS1442-AR1442,AS1442)+AQ1443,0)</x:f>
        <x:v>0</x:v>
      </x:c>
      <x:c r="AT1443" s="11" t="n">
        <x:f>IF(AR1443&gt;0,MIN(1,AS1443/AR1443),1)</x:f>
        <x:v>1</x:v>
      </x:c>
      <x:c r="AU1443" s="10" t="n">
        <x:f>AB1443/INDEX(v01_RepScale,G1443)</x:f>
        <x:v>90.09519605746344</x:v>
      </x:c>
      <x:c r="AV1443" s="32" t="n">
        <x:f>AM1443*60/v01_SeasonSeconds</x:f>
        <x:v>0</x:v>
      </x:c>
    </x:row>
    <x:row r="1444">
      <x:c r="A1444" s="8" t="n">
        <x:f>A1443+1</x:f>
        <x:v>1441</x:v>
      </x:c>
      <x:c r="B1444" s="9" t="n">
        <x:f>A1444*v01_SeasonSeconds/60</x:f>
        <x:v>360.25</x:v>
      </x:c>
      <x:c r="C1444" s="9" t="n">
        <x:f>A1444/4</x:f>
        <x:v>360.25</x:v>
      </x:c>
      <x:c r="D1444" s="8" t="n">
        <x:f>IF(MOD(A1444,4)=0,1,0)</x:f>
        <x:v>0</x:v>
      </x:c>
      <x:c r="E1444" s="8" t="n">
        <x:f>IF(AND(F1443&lt;=9,AS1443&gt;=AR1443),1,0)</x:f>
        <x:v>0</x:v>
      </x:c>
      <x:c r="F1444" s="8" t="n">
        <x:f>MIN(10,F1443+E1444)</x:f>
        <x:v>10</x:v>
      </x:c>
      <x:c r="G1444" s="8" t="n">
        <x:f>MIN(F1444,9)+1</x:f>
        <x:v>10</x:v>
      </x:c>
      <x:c r="H1444" s="8" t="n">
        <x:f>IF(F1444&lt;=9,1,0)</x:f>
        <x:v>0</x:v>
      </x:c>
      <x:c r="I1444" s="9" t="n">
        <x:f>MIN(10,F1443+IF(AR1443&gt;0,MIN(1,AS1443/AR1443),1))</x:f>
        <x:v>10</x:v>
      </x:c>
      <x:c r="J1444" s="32" t="n">
        <x:f>INDEX(v01_FoodCap,G1444)*Arch_FoodCap*EXP(v01_CapsByProject*SUMPRODUCT((Cap_Point&lt;=I1444)*(Cap_Kind="Food")*Cap_Ln))</x:f>
        <x:v>12000</x:v>
      </x:c>
      <x:c r="K1444" s="32" t="n">
        <x:f>J1444*MIN(1,v01_LeanBase*EXP(v01_CapsByProject*SUMPRODUCT((Cap_Point&lt;=I1444)*(Cap_Kind="Lean")*Cap_Ln)))</x:f>
        <x:v>12000</x:v>
      </x:c>
      <x:c r="L1444" s="10" t="n">
        <x:f>INDEX(v01_HousingCap,G1444)*EXP(v01_CapsByProject*SUMPRODUCT((Cap_Point&lt;=I1444)*(Cap_Kind="Housing")*Cap_Ln))</x:f>
        <x:v>20000</x:v>
      </x:c>
      <x:c r="M1444" s="10" t="n">
        <x:f>INDEX(v01_GroupCap,G1444)*v01_CohesionFactor*EXP(v01_CapsByProject*SUMPRODUCT((Cap_Point&lt;=I1444)*(Cap_Kind="Group")*Cap_Ln))</x:f>
        <x:v>1000000</x:v>
      </x:c>
      <x:c r="N1444" s="32" t="n">
        <x:f>MIN(J1444,L1444,M1444)</x:f>
        <x:v>12000</x:v>
      </x:c>
      <x:c r="O1444" s="10" t="n">
        <x:f>AE1443*N1444</x:f>
        <x:v>180000</x:v>
      </x:c>
      <x:c r="P1444" s="9" t="n">
        <x:f>MIN(1,(AB1443/(AE1443*IF(v01_GroupInCrowding=1,N1444,MIN(J1444,L1444))))^v01_CrowdingExp)</x:f>
        <x:v>0.00024569414295285325</x:v>
      </x:c>
      <x:c r="Q1444" s="9" t="n">
        <x:f>IF(D1444=1,INDEX(v01_WinterMult,G1444),1)</x:f>
        <x:v>1</x:v>
      </x:c>
      <x:c r="R1444" s="9" t="n">
        <x:f>H1444*Z1443*v01_WomenShare*v01_BaseFertility*INDEX(v01_FertMult,G1444)*Arch_Fertility*(1-P1444)</x:f>
        <x:v>0</x:v>
      </x:c>
      <x:c r="S1444" s="9" t="n">
        <x:f>H1444*Y1443*INDEX(v01_MortChild,G1444)/4*Q1444</x:f>
        <x:v>0</x:v>
      </x:c>
      <x:c r="T1444" s="9" t="n">
        <x:f>H1444*Z1443*INDEX(v01_MortAdult,G1444)*Arch_AdultMort/4*Q1444</x:f>
        <x:v>0</x:v>
      </x:c>
      <x:c r="U1444" s="9" t="n">
        <x:f>H1444*AA1443*INDEX(v01_MortElder,G1444)/4*Q1444</x:f>
        <x:v>0</x:v>
      </x:c>
      <x:c r="V1444" s="9" t="n">
        <x:f>H1444*MAX(0,AB1443-O1444)*v01_OvercapLoss</x:f>
        <x:v>0</x:v>
      </x:c>
      <x:c r="W1444" s="9" t="n">
        <x:f>H1444*Y1443/(v01_ChildYears*4)</x:f>
        <x:v>0</x:v>
      </x:c>
      <x:c r="X1444" s="9" t="n">
        <x:f>H1444*Z1443/(v01_AdultYears*4)</x:f>
        <x:v>0</x:v>
      </x:c>
      <x:c r="Y1444" s="32" t="n">
        <x:f>Y1443+R1444-S1444-W1444-Y1443*V1444/AB1443</x:f>
        <x:v>14306.18539759397</x:v>
      </x:c>
      <x:c r="Z1444" s="32" t="n">
        <x:f>Z1443+W1444-X1444-T1444-Z1443*V1444/AB1443</x:f>
        <x:v>19354.456567879548</x:v>
      </x:c>
      <x:c r="AA1444" s="32" t="n">
        <x:f>AA1443+X1444-U1444-AA1443*V1444/AB1443</x:f>
        <x:v>11386.956063258198</x:v>
      </x:c>
      <x:c r="AB1444" s="10" t="n">
        <x:f>Y1444+Z1444+AA1444</x:f>
        <x:v>45047.59802873172</x:v>
      </x:c>
      <x:c r="AC1444" s="8" t="n">
        <x:f>IF(AND(v01_WinterTrigger=1,D1444=1,AB1443/AE1443&gt;=K1444),1,0)</x:f>
        <x:v>0</x:v>
      </x:c>
      <x:c r="AD1444" s="8" t="n">
        <x:f>H1444*IF(AND(OR(AB1443/AE1443&gt;=v01_FissionTrigger*N1444,AC1444=1),AB1443/AE1443*v01_DaughterShare&gt;=v01_MinDaughter),MAX(1,ROUND(AE1443*v01_FissionRate,0)),0)</x:f>
        <x:v>0</x:v>
      </x:c>
      <x:c r="AE1444" s="8" t="n">
        <x:f>IF(H1444=1,MAX(1,MIN(INDEX(v01_Smax,G1444),AE1443+AD1444)),AE1443)</x:f>
        <x:v>15</x:v>
      </x:c>
      <x:c r="AF1444" s="8" t="n">
        <x:f>MAX(0,AE1444-AE1443)</x:f>
        <x:v>0</x:v>
      </x:c>
      <x:c r="AG1444" s="9" t="str">
        <x:f>IF(AF1444&gt;0,B1444,"")</x:f>
      </x:c>
      <x:c r="AH1444" s="9" t="n">
        <x:f>IF(F1444&gt;=1,1,(1+v01_LowTiesShare*(AE1444-1))/AE1444)</x:f>
        <x:v>1</x:v>
      </x:c>
      <x:c r="AI1444" s="32" t="n">
        <x:f>(Z1444+v01_ElderCommons*INDEX(LM_Elder,G1444)*AA1444)*AH1444</x:f>
        <x:v>64139.732591141874</x:v>
      </x:c>
      <x:c r="AJ1444" s="32" t="n">
        <x:f>H1444*v01_CommonsCoef*AI1444^v01_CommonsExp*INDEX(LM_Commons,G1444)</x:f>
        <x:v>0</x:v>
      </x:c>
      <x:c r="AK1444" s="32" t="n">
        <x:f>H1444*v01_RoleScale*Arch_Roles*(AE1444*(INDEX(v01_ElderRolePerSett,G1444)*v01_OutElder*INDEX(LM_Elder,G1444)+INDEX(v01_ShamanPerSett,G1444)*v01_OutShaman)+Z1444*(INDEX(v01_PriestShare,G1444)*v01_OutPriest+INDEX(v01_ScribeShare,G1444)*v01_OutScribe*INDEX(LM_Scribe,G1444)+INDEX(v01_ScholarShare,G1444)*v01_OutScholar*INDEX(LM_Scholar,G1444)+INDEX(v01_ResearcherShare,G1444)*v01_OutResearcher*INDEX(LM_Researcher,G1444)))</x:f>
        <x:v>0</x:v>
      </x:c>
      <x:c r="AL1444" s="32" t="n">
        <x:f>H1444*v01_RoleScale*Arch_Roles*AE1444*INDEX(v01_MonasteryPerSett,G1444)*v01_OutMonastery*INDEX(LM_Monastery,G1444)</x:f>
        <x:v>0</x:v>
      </x:c>
      <x:c r="AM1444" s="32" t="n">
        <x:f>(AJ1444+AK1444+AL1444)/4*INDEX(LM_All,G1444)*INDEX(v01_Boon,G1444)*Arch_Insight</x:f>
        <x:v>0</x:v>
      </x:c>
      <x:c r="AN1444" s="32" t="n">
        <x:f>H1444*(v01_KHPerAdult*Z1444+v01_KHOfCommons*AJ1444/4*INDEX(LM_All,G1444))*v01_KHUsable*Arch_KH</x:f>
        <x:v>0</x:v>
      </x:c>
      <x:c r="AO1444" s="32" t="n">
        <x:f>MIN(AP1443+AN1444,AM1444*v01_KHMaxRatio)</x:f>
        <x:v>0</x:v>
      </x:c>
      <x:c r="AP1444" s="32" t="n">
        <x:f>AP1443+AN1444-AO1444</x:f>
        <x:v>0</x:v>
      </x:c>
      <x:c r="AQ1444" s="32" t="n">
        <x:f>AM1444+AO1444</x:f>
        <x:v>0</x:v>
      </x:c>
      <x:c r="AR1444" s="10" t="n">
        <x:f>IF(H1444=1,INDEX(v01_Req,G1444),0)</x:f>
        <x:v>0</x:v>
      </x:c>
      <x:c r="AS1444" s="32" t="n">
        <x:f>IF(H1444=1,IF(E1444=1,AS1443-AR1443,AS1443)+AQ1444,0)</x:f>
        <x:v>0</x:v>
      </x:c>
      <x:c r="AT1444" s="11" t="n">
        <x:f>IF(AR1444&gt;0,MIN(1,AS1444/AR1444),1)</x:f>
        <x:v>1</x:v>
      </x:c>
      <x:c r="AU1444" s="10" t="n">
        <x:f>AB1444/INDEX(v01_RepScale,G1444)</x:f>
        <x:v>90.09519605746344</x:v>
      </x:c>
      <x:c r="AV1444" s="32" t="n">
        <x:f>AM1444*60/v01_SeasonSeconds</x:f>
        <x:v>0</x:v>
      </x:c>
    </x:row>
    <x:row r="1445">
      <x:c r="A1445" s="8" t="n">
        <x:f>A1444+1</x:f>
        <x:v>1442</x:v>
      </x:c>
      <x:c r="B1445" s="9" t="n">
        <x:f>A1445*v01_SeasonSeconds/60</x:f>
        <x:v>360.5</x:v>
      </x:c>
      <x:c r="C1445" s="9" t="n">
        <x:f>A1445/4</x:f>
        <x:v>360.5</x:v>
      </x:c>
      <x:c r="D1445" s="8" t="n">
        <x:f>IF(MOD(A1445,4)=0,1,0)</x:f>
        <x:v>0</x:v>
      </x:c>
      <x:c r="E1445" s="8" t="n">
        <x:f>IF(AND(F1444&lt;=9,AS1444&gt;=AR1444),1,0)</x:f>
        <x:v>0</x:v>
      </x:c>
      <x:c r="F1445" s="8" t="n">
        <x:f>MIN(10,F1444+E1445)</x:f>
        <x:v>10</x:v>
      </x:c>
      <x:c r="G1445" s="8" t="n">
        <x:f>MIN(F1445,9)+1</x:f>
        <x:v>10</x:v>
      </x:c>
      <x:c r="H1445" s="8" t="n">
        <x:f>IF(F1445&lt;=9,1,0)</x:f>
        <x:v>0</x:v>
      </x:c>
      <x:c r="I1445" s="9" t="n">
        <x:f>MIN(10,F1444+IF(AR1444&gt;0,MIN(1,AS1444/AR1444),1))</x:f>
        <x:v>10</x:v>
      </x:c>
      <x:c r="J1445" s="32" t="n">
        <x:f>INDEX(v01_FoodCap,G1445)*Arch_FoodCap*EXP(v01_CapsByProject*SUMPRODUCT((Cap_Point&lt;=I1445)*(Cap_Kind="Food")*Cap_Ln))</x:f>
        <x:v>12000</x:v>
      </x:c>
      <x:c r="K1445" s="32" t="n">
        <x:f>J1445*MIN(1,v01_LeanBase*EXP(v01_CapsByProject*SUMPRODUCT((Cap_Point&lt;=I1445)*(Cap_Kind="Lean")*Cap_Ln)))</x:f>
        <x:v>12000</x:v>
      </x:c>
      <x:c r="L1445" s="10" t="n">
        <x:f>INDEX(v01_HousingCap,G1445)*EXP(v01_CapsByProject*SUMPRODUCT((Cap_Point&lt;=I1445)*(Cap_Kind="Housing")*Cap_Ln))</x:f>
        <x:v>20000</x:v>
      </x:c>
      <x:c r="M1445" s="10" t="n">
        <x:f>INDEX(v01_GroupCap,G1445)*v01_CohesionFactor*EXP(v01_CapsByProject*SUMPRODUCT((Cap_Point&lt;=I1445)*(Cap_Kind="Group")*Cap_Ln))</x:f>
        <x:v>1000000</x:v>
      </x:c>
      <x:c r="N1445" s="32" t="n">
        <x:f>MIN(J1445,L1445,M1445)</x:f>
        <x:v>12000</x:v>
      </x:c>
      <x:c r="O1445" s="10" t="n">
        <x:f>AE1444*N1445</x:f>
        <x:v>180000</x:v>
      </x:c>
      <x:c r="P1445" s="9" t="n">
        <x:f>MIN(1,(AB1444/(AE1444*IF(v01_GroupInCrowding=1,N1445,MIN(J1445,L1445))))^v01_CrowdingExp)</x:f>
        <x:v>0.00024569414295285325</x:v>
      </x:c>
      <x:c r="Q1445" s="9" t="n">
        <x:f>IF(D1445=1,INDEX(v01_WinterMult,G1445),1)</x:f>
        <x:v>1</x:v>
      </x:c>
      <x:c r="R1445" s="9" t="n">
        <x:f>H1445*Z1444*v01_WomenShare*v01_BaseFertility*INDEX(v01_FertMult,G1445)*Arch_Fertility*(1-P1445)</x:f>
        <x:v>0</x:v>
      </x:c>
      <x:c r="S1445" s="9" t="n">
        <x:f>H1445*Y1444*INDEX(v01_MortChild,G1445)/4*Q1445</x:f>
        <x:v>0</x:v>
      </x:c>
      <x:c r="T1445" s="9" t="n">
        <x:f>H1445*Z1444*INDEX(v01_MortAdult,G1445)*Arch_AdultMort/4*Q1445</x:f>
        <x:v>0</x:v>
      </x:c>
      <x:c r="U1445" s="9" t="n">
        <x:f>H1445*AA1444*INDEX(v01_MortElder,G1445)/4*Q1445</x:f>
        <x:v>0</x:v>
      </x:c>
      <x:c r="V1445" s="9" t="n">
        <x:f>H1445*MAX(0,AB1444-O1445)*v01_OvercapLoss</x:f>
        <x:v>0</x:v>
      </x:c>
      <x:c r="W1445" s="9" t="n">
        <x:f>H1445*Y1444/(v01_ChildYears*4)</x:f>
        <x:v>0</x:v>
      </x:c>
      <x:c r="X1445" s="9" t="n">
        <x:f>H1445*Z1444/(v01_AdultYears*4)</x:f>
        <x:v>0</x:v>
      </x:c>
      <x:c r="Y1445" s="32" t="n">
        <x:f>Y1444+R1445-S1445-W1445-Y1444*V1445/AB1444</x:f>
        <x:v>14306.18539759397</x:v>
      </x:c>
      <x:c r="Z1445" s="32" t="n">
        <x:f>Z1444+W1445-X1445-T1445-Z1444*V1445/AB1444</x:f>
        <x:v>19354.456567879548</x:v>
      </x:c>
      <x:c r="AA1445" s="32" t="n">
        <x:f>AA1444+X1445-U1445-AA1444*V1445/AB1444</x:f>
        <x:v>11386.956063258198</x:v>
      </x:c>
      <x:c r="AB1445" s="10" t="n">
        <x:f>Y1445+Z1445+AA1445</x:f>
        <x:v>45047.59802873172</x:v>
      </x:c>
      <x:c r="AC1445" s="8" t="n">
        <x:f>IF(AND(v01_WinterTrigger=1,D1445=1,AB1444/AE1444&gt;=K1445),1,0)</x:f>
        <x:v>0</x:v>
      </x:c>
      <x:c r="AD1445" s="8" t="n">
        <x:f>H1445*IF(AND(OR(AB1444/AE1444&gt;=v01_FissionTrigger*N1445,AC1445=1),AB1444/AE1444*v01_DaughterShare&gt;=v01_MinDaughter),MAX(1,ROUND(AE1444*v01_FissionRate,0)),0)</x:f>
        <x:v>0</x:v>
      </x:c>
      <x:c r="AE1445" s="8" t="n">
        <x:f>IF(H1445=1,MAX(1,MIN(INDEX(v01_Smax,G1445),AE1444+AD1445)),AE1444)</x:f>
        <x:v>15</x:v>
      </x:c>
      <x:c r="AF1445" s="8" t="n">
        <x:f>MAX(0,AE1445-AE1444)</x:f>
        <x:v>0</x:v>
      </x:c>
      <x:c r="AG1445" s="9" t="str">
        <x:f>IF(AF1445&gt;0,B1445,"")</x:f>
      </x:c>
      <x:c r="AH1445" s="9" t="n">
        <x:f>IF(F1445&gt;=1,1,(1+v01_LowTiesShare*(AE1445-1))/AE1445)</x:f>
        <x:v>1</x:v>
      </x:c>
      <x:c r="AI1445" s="32" t="n">
        <x:f>(Z1445+v01_ElderCommons*INDEX(LM_Elder,G1445)*AA1445)*AH1445</x:f>
        <x:v>64139.732591141874</x:v>
      </x:c>
      <x:c r="AJ1445" s="32" t="n">
        <x:f>H1445*v01_CommonsCoef*AI1445^v01_CommonsExp*INDEX(LM_Commons,G1445)</x:f>
        <x:v>0</x:v>
      </x:c>
      <x:c r="AK1445" s="32" t="n">
        <x:f>H1445*v01_RoleScale*Arch_Roles*(AE1445*(INDEX(v01_ElderRolePerSett,G1445)*v01_OutElder*INDEX(LM_Elder,G1445)+INDEX(v01_ShamanPerSett,G1445)*v01_OutShaman)+Z1445*(INDEX(v01_PriestShare,G1445)*v01_OutPriest+INDEX(v01_ScribeShare,G1445)*v01_OutScribe*INDEX(LM_Scribe,G1445)+INDEX(v01_ScholarShare,G1445)*v01_OutScholar*INDEX(LM_Scholar,G1445)+INDEX(v01_ResearcherShare,G1445)*v01_OutResearcher*INDEX(LM_Researcher,G1445)))</x:f>
        <x:v>0</x:v>
      </x:c>
      <x:c r="AL1445" s="32" t="n">
        <x:f>H1445*v01_RoleScale*Arch_Roles*AE1445*INDEX(v01_MonasteryPerSett,G1445)*v01_OutMonastery*INDEX(LM_Monastery,G1445)</x:f>
        <x:v>0</x:v>
      </x:c>
      <x:c r="AM1445" s="32" t="n">
        <x:f>(AJ1445+AK1445+AL1445)/4*INDEX(LM_All,G1445)*INDEX(v01_Boon,G1445)*Arch_Insight</x:f>
        <x:v>0</x:v>
      </x:c>
      <x:c r="AN1445" s="32" t="n">
        <x:f>H1445*(v01_KHPerAdult*Z1445+v01_KHOfCommons*AJ1445/4*INDEX(LM_All,G1445))*v01_KHUsable*Arch_KH</x:f>
        <x:v>0</x:v>
      </x:c>
      <x:c r="AO1445" s="32" t="n">
        <x:f>MIN(AP1444+AN1445,AM1445*v01_KHMaxRatio)</x:f>
        <x:v>0</x:v>
      </x:c>
      <x:c r="AP1445" s="32" t="n">
        <x:f>AP1444+AN1445-AO1445</x:f>
        <x:v>0</x:v>
      </x:c>
      <x:c r="AQ1445" s="32" t="n">
        <x:f>AM1445+AO1445</x:f>
        <x:v>0</x:v>
      </x:c>
      <x:c r="AR1445" s="10" t="n">
        <x:f>IF(H1445=1,INDEX(v01_Req,G1445),0)</x:f>
        <x:v>0</x:v>
      </x:c>
      <x:c r="AS1445" s="32" t="n">
        <x:f>IF(H1445=1,IF(E1445=1,AS1444-AR1444,AS1444)+AQ1445,0)</x:f>
        <x:v>0</x:v>
      </x:c>
      <x:c r="AT1445" s="11" t="n">
        <x:f>IF(AR1445&gt;0,MIN(1,AS1445/AR1445),1)</x:f>
        <x:v>1</x:v>
      </x:c>
      <x:c r="AU1445" s="10" t="n">
        <x:f>AB1445/INDEX(v01_RepScale,G1445)</x:f>
        <x:v>90.09519605746344</x:v>
      </x:c>
      <x:c r="AV1445" s="32" t="n">
        <x:f>AM1445*60/v01_SeasonSeconds</x:f>
        <x:v>0</x:v>
      </x:c>
    </x:row>
    <x:row r="1446">
      <x:c r="A1446" s="8" t="n">
        <x:f>A1445+1</x:f>
        <x:v>1443</x:v>
      </x:c>
      <x:c r="B1446" s="9" t="n">
        <x:f>A1446*v01_SeasonSeconds/60</x:f>
        <x:v>360.75</x:v>
      </x:c>
      <x:c r="C1446" s="9" t="n">
        <x:f>A1446/4</x:f>
        <x:v>360.75</x:v>
      </x:c>
      <x:c r="D1446" s="8" t="n">
        <x:f>IF(MOD(A1446,4)=0,1,0)</x:f>
        <x:v>0</x:v>
      </x:c>
      <x:c r="E1446" s="8" t="n">
        <x:f>IF(AND(F1445&lt;=9,AS1445&gt;=AR1445),1,0)</x:f>
        <x:v>0</x:v>
      </x:c>
      <x:c r="F1446" s="8" t="n">
        <x:f>MIN(10,F1445+E1446)</x:f>
        <x:v>10</x:v>
      </x:c>
      <x:c r="G1446" s="8" t="n">
        <x:f>MIN(F1446,9)+1</x:f>
        <x:v>10</x:v>
      </x:c>
      <x:c r="H1446" s="8" t="n">
        <x:f>IF(F1446&lt;=9,1,0)</x:f>
        <x:v>0</x:v>
      </x:c>
      <x:c r="I1446" s="9" t="n">
        <x:f>MIN(10,F1445+IF(AR1445&gt;0,MIN(1,AS1445/AR1445),1))</x:f>
        <x:v>10</x:v>
      </x:c>
      <x:c r="J1446" s="32" t="n">
        <x:f>INDEX(v01_FoodCap,G1446)*Arch_FoodCap*EXP(v01_CapsByProject*SUMPRODUCT((Cap_Point&lt;=I1446)*(Cap_Kind="Food")*Cap_Ln))</x:f>
        <x:v>12000</x:v>
      </x:c>
      <x:c r="K1446" s="32" t="n">
        <x:f>J1446*MIN(1,v01_LeanBase*EXP(v01_CapsByProject*SUMPRODUCT((Cap_Point&lt;=I1446)*(Cap_Kind="Lean")*Cap_Ln)))</x:f>
        <x:v>12000</x:v>
      </x:c>
      <x:c r="L1446" s="10" t="n">
        <x:f>INDEX(v01_HousingCap,G1446)*EXP(v01_CapsByProject*SUMPRODUCT((Cap_Point&lt;=I1446)*(Cap_Kind="Housing")*Cap_Ln))</x:f>
        <x:v>20000</x:v>
      </x:c>
      <x:c r="M1446" s="10" t="n">
        <x:f>INDEX(v01_GroupCap,G1446)*v01_CohesionFactor*EXP(v01_CapsByProject*SUMPRODUCT((Cap_Point&lt;=I1446)*(Cap_Kind="Group")*Cap_Ln))</x:f>
        <x:v>1000000</x:v>
      </x:c>
      <x:c r="N1446" s="32" t="n">
        <x:f>MIN(J1446,L1446,M1446)</x:f>
        <x:v>12000</x:v>
      </x:c>
      <x:c r="O1446" s="10" t="n">
        <x:f>AE1445*N1446</x:f>
        <x:v>180000</x:v>
      </x:c>
      <x:c r="P1446" s="9" t="n">
        <x:f>MIN(1,(AB1445/(AE1445*IF(v01_GroupInCrowding=1,N1446,MIN(J1446,L1446))))^v01_CrowdingExp)</x:f>
        <x:v>0.00024569414295285325</x:v>
      </x:c>
      <x:c r="Q1446" s="9" t="n">
        <x:f>IF(D1446=1,INDEX(v01_WinterMult,G1446),1)</x:f>
        <x:v>1</x:v>
      </x:c>
      <x:c r="R1446" s="9" t="n">
        <x:f>H1446*Z1445*v01_WomenShare*v01_BaseFertility*INDEX(v01_FertMult,G1446)*Arch_Fertility*(1-P1446)</x:f>
        <x:v>0</x:v>
      </x:c>
      <x:c r="S1446" s="9" t="n">
        <x:f>H1446*Y1445*INDEX(v01_MortChild,G1446)/4*Q1446</x:f>
        <x:v>0</x:v>
      </x:c>
      <x:c r="T1446" s="9" t="n">
        <x:f>H1446*Z1445*INDEX(v01_MortAdult,G1446)*Arch_AdultMort/4*Q1446</x:f>
        <x:v>0</x:v>
      </x:c>
      <x:c r="U1446" s="9" t="n">
        <x:f>H1446*AA1445*INDEX(v01_MortElder,G1446)/4*Q1446</x:f>
        <x:v>0</x:v>
      </x:c>
      <x:c r="V1446" s="9" t="n">
        <x:f>H1446*MAX(0,AB1445-O1446)*v01_OvercapLoss</x:f>
        <x:v>0</x:v>
      </x:c>
      <x:c r="W1446" s="9" t="n">
        <x:f>H1446*Y1445/(v01_ChildYears*4)</x:f>
        <x:v>0</x:v>
      </x:c>
      <x:c r="X1446" s="9" t="n">
        <x:f>H1446*Z1445/(v01_AdultYears*4)</x:f>
        <x:v>0</x:v>
      </x:c>
      <x:c r="Y1446" s="32" t="n">
        <x:f>Y1445+R1446-S1446-W1446-Y1445*V1446/AB1445</x:f>
        <x:v>14306.18539759397</x:v>
      </x:c>
      <x:c r="Z1446" s="32" t="n">
        <x:f>Z1445+W1446-X1446-T1446-Z1445*V1446/AB1445</x:f>
        <x:v>19354.456567879548</x:v>
      </x:c>
      <x:c r="AA1446" s="32" t="n">
        <x:f>AA1445+X1446-U1446-AA1445*V1446/AB1445</x:f>
        <x:v>11386.956063258198</x:v>
      </x:c>
      <x:c r="AB1446" s="10" t="n">
        <x:f>Y1446+Z1446+AA1446</x:f>
        <x:v>45047.59802873172</x:v>
      </x:c>
      <x:c r="AC1446" s="8" t="n">
        <x:f>IF(AND(v01_WinterTrigger=1,D1446=1,AB1445/AE1445&gt;=K1446),1,0)</x:f>
        <x:v>0</x:v>
      </x:c>
      <x:c r="AD1446" s="8" t="n">
        <x:f>H1446*IF(AND(OR(AB1445/AE1445&gt;=v01_FissionTrigger*N1446,AC1446=1),AB1445/AE1445*v01_DaughterShare&gt;=v01_MinDaughter),MAX(1,ROUND(AE1445*v01_FissionRate,0)),0)</x:f>
        <x:v>0</x:v>
      </x:c>
      <x:c r="AE1446" s="8" t="n">
        <x:f>IF(H1446=1,MAX(1,MIN(INDEX(v01_Smax,G1446),AE1445+AD1446)),AE1445)</x:f>
        <x:v>15</x:v>
      </x:c>
      <x:c r="AF1446" s="8" t="n">
        <x:f>MAX(0,AE1446-AE1445)</x:f>
        <x:v>0</x:v>
      </x:c>
      <x:c r="AG1446" s="9" t="str">
        <x:f>IF(AF1446&gt;0,B1446,"")</x:f>
      </x:c>
      <x:c r="AH1446" s="9" t="n">
        <x:f>IF(F1446&gt;=1,1,(1+v01_LowTiesShare*(AE1446-1))/AE1446)</x:f>
        <x:v>1</x:v>
      </x:c>
      <x:c r="AI1446" s="32" t="n">
        <x:f>(Z1446+v01_ElderCommons*INDEX(LM_Elder,G1446)*AA1446)*AH1446</x:f>
        <x:v>64139.732591141874</x:v>
      </x:c>
      <x:c r="AJ1446" s="32" t="n">
        <x:f>H1446*v01_CommonsCoef*AI1446^v01_CommonsExp*INDEX(LM_Commons,G1446)</x:f>
        <x:v>0</x:v>
      </x:c>
      <x:c r="AK1446" s="32" t="n">
        <x:f>H1446*v01_RoleScale*Arch_Roles*(AE1446*(INDEX(v01_ElderRolePerSett,G1446)*v01_OutElder*INDEX(LM_Elder,G1446)+INDEX(v01_ShamanPerSett,G1446)*v01_OutShaman)+Z1446*(INDEX(v01_PriestShare,G1446)*v01_OutPriest+INDEX(v01_ScribeShare,G1446)*v01_OutScribe*INDEX(LM_Scribe,G1446)+INDEX(v01_ScholarShare,G1446)*v01_OutScholar*INDEX(LM_Scholar,G1446)+INDEX(v01_ResearcherShare,G1446)*v01_OutResearcher*INDEX(LM_Researcher,G1446)))</x:f>
        <x:v>0</x:v>
      </x:c>
      <x:c r="AL1446" s="32" t="n">
        <x:f>H1446*v01_RoleScale*Arch_Roles*AE1446*INDEX(v01_MonasteryPerSett,G1446)*v01_OutMonastery*INDEX(LM_Monastery,G1446)</x:f>
        <x:v>0</x:v>
      </x:c>
      <x:c r="AM1446" s="32" t="n">
        <x:f>(AJ1446+AK1446+AL1446)/4*INDEX(LM_All,G1446)*INDEX(v01_Boon,G1446)*Arch_Insight</x:f>
        <x:v>0</x:v>
      </x:c>
      <x:c r="AN1446" s="32" t="n">
        <x:f>H1446*(v01_KHPerAdult*Z1446+v01_KHOfCommons*AJ1446/4*INDEX(LM_All,G1446))*v01_KHUsable*Arch_KH</x:f>
        <x:v>0</x:v>
      </x:c>
      <x:c r="AO1446" s="32" t="n">
        <x:f>MIN(AP1445+AN1446,AM1446*v01_KHMaxRatio)</x:f>
        <x:v>0</x:v>
      </x:c>
      <x:c r="AP1446" s="32" t="n">
        <x:f>AP1445+AN1446-AO1446</x:f>
        <x:v>0</x:v>
      </x:c>
      <x:c r="AQ1446" s="32" t="n">
        <x:f>AM1446+AO1446</x:f>
        <x:v>0</x:v>
      </x:c>
      <x:c r="AR1446" s="10" t="n">
        <x:f>IF(H1446=1,INDEX(v01_Req,G1446),0)</x:f>
        <x:v>0</x:v>
      </x:c>
      <x:c r="AS1446" s="32" t="n">
        <x:f>IF(H1446=1,IF(E1446=1,AS1445-AR1445,AS1445)+AQ1446,0)</x:f>
        <x:v>0</x:v>
      </x:c>
      <x:c r="AT1446" s="11" t="n">
        <x:f>IF(AR1446&gt;0,MIN(1,AS1446/AR1446),1)</x:f>
        <x:v>1</x:v>
      </x:c>
      <x:c r="AU1446" s="10" t="n">
        <x:f>AB1446/INDEX(v01_RepScale,G1446)</x:f>
        <x:v>90.09519605746344</x:v>
      </x:c>
      <x:c r="AV1446" s="32" t="n">
        <x:f>AM1446*60/v01_SeasonSeconds</x:f>
        <x:v>0</x:v>
      </x:c>
    </x:row>
    <x:row r="1447">
      <x:c r="A1447" s="8" t="n">
        <x:f>A1446+1</x:f>
        <x:v>1444</x:v>
      </x:c>
      <x:c r="B1447" s="9" t="n">
        <x:f>A1447*v01_SeasonSeconds/60</x:f>
        <x:v>361</x:v>
      </x:c>
      <x:c r="C1447" s="9" t="n">
        <x:f>A1447/4</x:f>
        <x:v>361</x:v>
      </x:c>
      <x:c r="D1447" s="8" t="n">
        <x:f>IF(MOD(A1447,4)=0,1,0)</x:f>
        <x:v>1</x:v>
      </x:c>
      <x:c r="E1447" s="8" t="n">
        <x:f>IF(AND(F1446&lt;=9,AS1446&gt;=AR1446),1,0)</x:f>
        <x:v>0</x:v>
      </x:c>
      <x:c r="F1447" s="8" t="n">
        <x:f>MIN(10,F1446+E1447)</x:f>
        <x:v>10</x:v>
      </x:c>
      <x:c r="G1447" s="8" t="n">
        <x:f>MIN(F1447,9)+1</x:f>
        <x:v>10</x:v>
      </x:c>
      <x:c r="H1447" s="8" t="n">
        <x:f>IF(F1447&lt;=9,1,0)</x:f>
        <x:v>0</x:v>
      </x:c>
      <x:c r="I1447" s="9" t="n">
        <x:f>MIN(10,F1446+IF(AR1446&gt;0,MIN(1,AS1446/AR1446),1))</x:f>
        <x:v>10</x:v>
      </x:c>
      <x:c r="J1447" s="32" t="n">
        <x:f>INDEX(v01_FoodCap,G1447)*Arch_FoodCap*EXP(v01_CapsByProject*SUMPRODUCT((Cap_Point&lt;=I1447)*(Cap_Kind="Food")*Cap_Ln))</x:f>
        <x:v>12000</x:v>
      </x:c>
      <x:c r="K1447" s="32" t="n">
        <x:f>J1447*MIN(1,v01_LeanBase*EXP(v01_CapsByProject*SUMPRODUCT((Cap_Point&lt;=I1447)*(Cap_Kind="Lean")*Cap_Ln)))</x:f>
        <x:v>12000</x:v>
      </x:c>
      <x:c r="L1447" s="10" t="n">
        <x:f>INDEX(v01_HousingCap,G1447)*EXP(v01_CapsByProject*SUMPRODUCT((Cap_Point&lt;=I1447)*(Cap_Kind="Housing")*Cap_Ln))</x:f>
        <x:v>20000</x:v>
      </x:c>
      <x:c r="M1447" s="10" t="n">
        <x:f>INDEX(v01_GroupCap,G1447)*v01_CohesionFactor*EXP(v01_CapsByProject*SUMPRODUCT((Cap_Point&lt;=I1447)*(Cap_Kind="Group")*Cap_Ln))</x:f>
        <x:v>1000000</x:v>
      </x:c>
      <x:c r="N1447" s="32" t="n">
        <x:f>MIN(J1447,L1447,M1447)</x:f>
        <x:v>12000</x:v>
      </x:c>
      <x:c r="O1447" s="10" t="n">
        <x:f>AE1446*N1447</x:f>
        <x:v>180000</x:v>
      </x:c>
      <x:c r="P1447" s="9" t="n">
        <x:f>MIN(1,(AB1446/(AE1446*IF(v01_GroupInCrowding=1,N1447,MIN(J1447,L1447))))^v01_CrowdingExp)</x:f>
        <x:v>0.00024569414295285325</x:v>
      </x:c>
      <x:c r="Q1447" s="9" t="n">
        <x:f>IF(D1447=1,INDEX(v01_WinterMult,G1447),1)</x:f>
        <x:v>1</x:v>
      </x:c>
      <x:c r="R1447" s="9" t="n">
        <x:f>H1447*Z1446*v01_WomenShare*v01_BaseFertility*INDEX(v01_FertMult,G1447)*Arch_Fertility*(1-P1447)</x:f>
        <x:v>0</x:v>
      </x:c>
      <x:c r="S1447" s="9" t="n">
        <x:f>H1447*Y1446*INDEX(v01_MortChild,G1447)/4*Q1447</x:f>
        <x:v>0</x:v>
      </x:c>
      <x:c r="T1447" s="9" t="n">
        <x:f>H1447*Z1446*INDEX(v01_MortAdult,G1447)*Arch_AdultMort/4*Q1447</x:f>
        <x:v>0</x:v>
      </x:c>
      <x:c r="U1447" s="9" t="n">
        <x:f>H1447*AA1446*INDEX(v01_MortElder,G1447)/4*Q1447</x:f>
        <x:v>0</x:v>
      </x:c>
      <x:c r="V1447" s="9" t="n">
        <x:f>H1447*MAX(0,AB1446-O1447)*v01_OvercapLoss</x:f>
        <x:v>0</x:v>
      </x:c>
      <x:c r="W1447" s="9" t="n">
        <x:f>H1447*Y1446/(v01_ChildYears*4)</x:f>
        <x:v>0</x:v>
      </x:c>
      <x:c r="X1447" s="9" t="n">
        <x:f>H1447*Z1446/(v01_AdultYears*4)</x:f>
        <x:v>0</x:v>
      </x:c>
      <x:c r="Y1447" s="32" t="n">
        <x:f>Y1446+R1447-S1447-W1447-Y1446*V1447/AB1446</x:f>
        <x:v>14306.18539759397</x:v>
      </x:c>
      <x:c r="Z1447" s="32" t="n">
        <x:f>Z1446+W1447-X1447-T1447-Z1446*V1447/AB1446</x:f>
        <x:v>19354.456567879548</x:v>
      </x:c>
      <x:c r="AA1447" s="32" t="n">
        <x:f>AA1446+X1447-U1447-AA1446*V1447/AB1446</x:f>
        <x:v>11386.956063258198</x:v>
      </x:c>
      <x:c r="AB1447" s="10" t="n">
        <x:f>Y1447+Z1447+AA1447</x:f>
        <x:v>45047.59802873172</x:v>
      </x:c>
      <x:c r="AC1447" s="8" t="n">
        <x:f>IF(AND(v01_WinterTrigger=1,D1447=1,AB1446/AE1446&gt;=K1447),1,0)</x:f>
        <x:v>0</x:v>
      </x:c>
      <x:c r="AD1447" s="8" t="n">
        <x:f>H1447*IF(AND(OR(AB1446/AE1446&gt;=v01_FissionTrigger*N1447,AC1447=1),AB1446/AE1446*v01_DaughterShare&gt;=v01_MinDaughter),MAX(1,ROUND(AE1446*v01_FissionRate,0)),0)</x:f>
        <x:v>0</x:v>
      </x:c>
      <x:c r="AE1447" s="8" t="n">
        <x:f>IF(H1447=1,MAX(1,MIN(INDEX(v01_Smax,G1447),AE1446+AD1447)),AE1446)</x:f>
        <x:v>15</x:v>
      </x:c>
      <x:c r="AF1447" s="8" t="n">
        <x:f>MAX(0,AE1447-AE1446)</x:f>
        <x:v>0</x:v>
      </x:c>
      <x:c r="AG1447" s="9" t="str">
        <x:f>IF(AF1447&gt;0,B1447,"")</x:f>
      </x:c>
      <x:c r="AH1447" s="9" t="n">
        <x:f>IF(F1447&gt;=1,1,(1+v01_LowTiesShare*(AE1447-1))/AE1447)</x:f>
        <x:v>1</x:v>
      </x:c>
      <x:c r="AI1447" s="32" t="n">
        <x:f>(Z1447+v01_ElderCommons*INDEX(LM_Elder,G1447)*AA1447)*AH1447</x:f>
        <x:v>64139.732591141874</x:v>
      </x:c>
      <x:c r="AJ1447" s="32" t="n">
        <x:f>H1447*v01_CommonsCoef*AI1447^v01_CommonsExp*INDEX(LM_Commons,G1447)</x:f>
        <x:v>0</x:v>
      </x:c>
      <x:c r="AK1447" s="32" t="n">
        <x:f>H1447*v01_RoleScale*Arch_Roles*(AE1447*(INDEX(v01_ElderRolePerSett,G1447)*v01_OutElder*INDEX(LM_Elder,G1447)+INDEX(v01_ShamanPerSett,G1447)*v01_OutShaman)+Z1447*(INDEX(v01_PriestShare,G1447)*v01_OutPriest+INDEX(v01_ScribeShare,G1447)*v01_OutScribe*INDEX(LM_Scribe,G1447)+INDEX(v01_ScholarShare,G1447)*v01_OutScholar*INDEX(LM_Scholar,G1447)+INDEX(v01_ResearcherShare,G1447)*v01_OutResearcher*INDEX(LM_Researcher,G1447)))</x:f>
        <x:v>0</x:v>
      </x:c>
      <x:c r="AL1447" s="32" t="n">
        <x:f>H1447*v01_RoleScale*Arch_Roles*AE1447*INDEX(v01_MonasteryPerSett,G1447)*v01_OutMonastery*INDEX(LM_Monastery,G1447)</x:f>
        <x:v>0</x:v>
      </x:c>
      <x:c r="AM1447" s="32" t="n">
        <x:f>(AJ1447+AK1447+AL1447)/4*INDEX(LM_All,G1447)*INDEX(v01_Boon,G1447)*Arch_Insight</x:f>
        <x:v>0</x:v>
      </x:c>
      <x:c r="AN1447" s="32" t="n">
        <x:f>H1447*(v01_KHPerAdult*Z1447+v01_KHOfCommons*AJ1447/4*INDEX(LM_All,G1447))*v01_KHUsable*Arch_KH</x:f>
        <x:v>0</x:v>
      </x:c>
      <x:c r="AO1447" s="32" t="n">
        <x:f>MIN(AP1446+AN1447,AM1447*v01_KHMaxRatio)</x:f>
        <x:v>0</x:v>
      </x:c>
      <x:c r="AP1447" s="32" t="n">
        <x:f>AP1446+AN1447-AO1447</x:f>
        <x:v>0</x:v>
      </x:c>
      <x:c r="AQ1447" s="32" t="n">
        <x:f>AM1447+AO1447</x:f>
        <x:v>0</x:v>
      </x:c>
      <x:c r="AR1447" s="10" t="n">
        <x:f>IF(H1447=1,INDEX(v01_Req,G1447),0)</x:f>
        <x:v>0</x:v>
      </x:c>
      <x:c r="AS1447" s="32" t="n">
        <x:f>IF(H1447=1,IF(E1447=1,AS1446-AR1446,AS1446)+AQ1447,0)</x:f>
        <x:v>0</x:v>
      </x:c>
      <x:c r="AT1447" s="11" t="n">
        <x:f>IF(AR1447&gt;0,MIN(1,AS1447/AR1447),1)</x:f>
        <x:v>1</x:v>
      </x:c>
      <x:c r="AU1447" s="10" t="n">
        <x:f>AB1447/INDEX(v01_RepScale,G1447)</x:f>
        <x:v>90.09519605746344</x:v>
      </x:c>
      <x:c r="AV1447" s="32" t="n">
        <x:f>AM1447*60/v01_SeasonSeconds</x:f>
        <x:v>0</x:v>
      </x:c>
    </x:row>
    <x:row r="1448">
      <x:c r="A1448" s="8" t="n">
        <x:f>A1447+1</x:f>
        <x:v>1445</x:v>
      </x:c>
      <x:c r="B1448" s="9" t="n">
        <x:f>A1448*v01_SeasonSeconds/60</x:f>
        <x:v>361.25</x:v>
      </x:c>
      <x:c r="C1448" s="9" t="n">
        <x:f>A1448/4</x:f>
        <x:v>361.25</x:v>
      </x:c>
      <x:c r="D1448" s="8" t="n">
        <x:f>IF(MOD(A1448,4)=0,1,0)</x:f>
        <x:v>0</x:v>
      </x:c>
      <x:c r="E1448" s="8" t="n">
        <x:f>IF(AND(F1447&lt;=9,AS1447&gt;=AR1447),1,0)</x:f>
        <x:v>0</x:v>
      </x:c>
      <x:c r="F1448" s="8" t="n">
        <x:f>MIN(10,F1447+E1448)</x:f>
        <x:v>10</x:v>
      </x:c>
      <x:c r="G1448" s="8" t="n">
        <x:f>MIN(F1448,9)+1</x:f>
        <x:v>10</x:v>
      </x:c>
      <x:c r="H1448" s="8" t="n">
        <x:f>IF(F1448&lt;=9,1,0)</x:f>
        <x:v>0</x:v>
      </x:c>
      <x:c r="I1448" s="9" t="n">
        <x:f>MIN(10,F1447+IF(AR1447&gt;0,MIN(1,AS1447/AR1447),1))</x:f>
        <x:v>10</x:v>
      </x:c>
      <x:c r="J1448" s="32" t="n">
        <x:f>INDEX(v01_FoodCap,G1448)*Arch_FoodCap*EXP(v01_CapsByProject*SUMPRODUCT((Cap_Point&lt;=I1448)*(Cap_Kind="Food")*Cap_Ln))</x:f>
        <x:v>12000</x:v>
      </x:c>
      <x:c r="K1448" s="32" t="n">
        <x:f>J1448*MIN(1,v01_LeanBase*EXP(v01_CapsByProject*SUMPRODUCT((Cap_Point&lt;=I1448)*(Cap_Kind="Lean")*Cap_Ln)))</x:f>
        <x:v>12000</x:v>
      </x:c>
      <x:c r="L1448" s="10" t="n">
        <x:f>INDEX(v01_HousingCap,G1448)*EXP(v01_CapsByProject*SUMPRODUCT((Cap_Point&lt;=I1448)*(Cap_Kind="Housing")*Cap_Ln))</x:f>
        <x:v>20000</x:v>
      </x:c>
      <x:c r="M1448" s="10" t="n">
        <x:f>INDEX(v01_GroupCap,G1448)*v01_CohesionFactor*EXP(v01_CapsByProject*SUMPRODUCT((Cap_Point&lt;=I1448)*(Cap_Kind="Group")*Cap_Ln))</x:f>
        <x:v>1000000</x:v>
      </x:c>
      <x:c r="N1448" s="32" t="n">
        <x:f>MIN(J1448,L1448,M1448)</x:f>
        <x:v>12000</x:v>
      </x:c>
      <x:c r="O1448" s="10" t="n">
        <x:f>AE1447*N1448</x:f>
        <x:v>180000</x:v>
      </x:c>
      <x:c r="P1448" s="9" t="n">
        <x:f>MIN(1,(AB1447/(AE1447*IF(v01_GroupInCrowding=1,N1448,MIN(J1448,L1448))))^v01_CrowdingExp)</x:f>
        <x:v>0.00024569414295285325</x:v>
      </x:c>
      <x:c r="Q1448" s="9" t="n">
        <x:f>IF(D1448=1,INDEX(v01_WinterMult,G1448),1)</x:f>
        <x:v>1</x:v>
      </x:c>
      <x:c r="R1448" s="9" t="n">
        <x:f>H1448*Z1447*v01_WomenShare*v01_BaseFertility*INDEX(v01_FertMult,G1448)*Arch_Fertility*(1-P1448)</x:f>
        <x:v>0</x:v>
      </x:c>
      <x:c r="S1448" s="9" t="n">
        <x:f>H1448*Y1447*INDEX(v01_MortChild,G1448)/4*Q1448</x:f>
        <x:v>0</x:v>
      </x:c>
      <x:c r="T1448" s="9" t="n">
        <x:f>H1448*Z1447*INDEX(v01_MortAdult,G1448)*Arch_AdultMort/4*Q1448</x:f>
        <x:v>0</x:v>
      </x:c>
      <x:c r="U1448" s="9" t="n">
        <x:f>H1448*AA1447*INDEX(v01_MortElder,G1448)/4*Q1448</x:f>
        <x:v>0</x:v>
      </x:c>
      <x:c r="V1448" s="9" t="n">
        <x:f>H1448*MAX(0,AB1447-O1448)*v01_OvercapLoss</x:f>
        <x:v>0</x:v>
      </x:c>
      <x:c r="W1448" s="9" t="n">
        <x:f>H1448*Y1447/(v01_ChildYears*4)</x:f>
        <x:v>0</x:v>
      </x:c>
      <x:c r="X1448" s="9" t="n">
        <x:f>H1448*Z1447/(v01_AdultYears*4)</x:f>
        <x:v>0</x:v>
      </x:c>
      <x:c r="Y1448" s="32" t="n">
        <x:f>Y1447+R1448-S1448-W1448-Y1447*V1448/AB1447</x:f>
        <x:v>14306.18539759397</x:v>
      </x:c>
      <x:c r="Z1448" s="32" t="n">
        <x:f>Z1447+W1448-X1448-T1448-Z1447*V1448/AB1447</x:f>
        <x:v>19354.456567879548</x:v>
      </x:c>
      <x:c r="AA1448" s="32" t="n">
        <x:f>AA1447+X1448-U1448-AA1447*V1448/AB1447</x:f>
        <x:v>11386.956063258198</x:v>
      </x:c>
      <x:c r="AB1448" s="10" t="n">
        <x:f>Y1448+Z1448+AA1448</x:f>
        <x:v>45047.59802873172</x:v>
      </x:c>
      <x:c r="AC1448" s="8" t="n">
        <x:f>IF(AND(v01_WinterTrigger=1,D1448=1,AB1447/AE1447&gt;=K1448),1,0)</x:f>
        <x:v>0</x:v>
      </x:c>
      <x:c r="AD1448" s="8" t="n">
        <x:f>H1448*IF(AND(OR(AB1447/AE1447&gt;=v01_FissionTrigger*N1448,AC1448=1),AB1447/AE1447*v01_DaughterShare&gt;=v01_MinDaughter),MAX(1,ROUND(AE1447*v01_FissionRate,0)),0)</x:f>
        <x:v>0</x:v>
      </x:c>
      <x:c r="AE1448" s="8" t="n">
        <x:f>IF(H1448=1,MAX(1,MIN(INDEX(v01_Smax,G1448),AE1447+AD1448)),AE1447)</x:f>
        <x:v>15</x:v>
      </x:c>
      <x:c r="AF1448" s="8" t="n">
        <x:f>MAX(0,AE1448-AE1447)</x:f>
        <x:v>0</x:v>
      </x:c>
      <x:c r="AG1448" s="9" t="str">
        <x:f>IF(AF1448&gt;0,B1448,"")</x:f>
      </x:c>
      <x:c r="AH1448" s="9" t="n">
        <x:f>IF(F1448&gt;=1,1,(1+v01_LowTiesShare*(AE1448-1))/AE1448)</x:f>
        <x:v>1</x:v>
      </x:c>
      <x:c r="AI1448" s="32" t="n">
        <x:f>(Z1448+v01_ElderCommons*INDEX(LM_Elder,G1448)*AA1448)*AH1448</x:f>
        <x:v>64139.732591141874</x:v>
      </x:c>
      <x:c r="AJ1448" s="32" t="n">
        <x:f>H1448*v01_CommonsCoef*AI1448^v01_CommonsExp*INDEX(LM_Commons,G1448)</x:f>
        <x:v>0</x:v>
      </x:c>
      <x:c r="AK1448" s="32" t="n">
        <x:f>H1448*v01_RoleScale*Arch_Roles*(AE1448*(INDEX(v01_ElderRolePerSett,G1448)*v01_OutElder*INDEX(LM_Elder,G1448)+INDEX(v01_ShamanPerSett,G1448)*v01_OutShaman)+Z1448*(INDEX(v01_PriestShare,G1448)*v01_OutPriest+INDEX(v01_ScribeShare,G1448)*v01_OutScribe*INDEX(LM_Scribe,G1448)+INDEX(v01_ScholarShare,G1448)*v01_OutScholar*INDEX(LM_Scholar,G1448)+INDEX(v01_ResearcherShare,G1448)*v01_OutResearcher*INDEX(LM_Researcher,G1448)))</x:f>
        <x:v>0</x:v>
      </x:c>
      <x:c r="AL1448" s="32" t="n">
        <x:f>H1448*v01_RoleScale*Arch_Roles*AE1448*INDEX(v01_MonasteryPerSett,G1448)*v01_OutMonastery*INDEX(LM_Monastery,G1448)</x:f>
        <x:v>0</x:v>
      </x:c>
      <x:c r="AM1448" s="32" t="n">
        <x:f>(AJ1448+AK1448+AL1448)/4*INDEX(LM_All,G1448)*INDEX(v01_Boon,G1448)*Arch_Insight</x:f>
        <x:v>0</x:v>
      </x:c>
      <x:c r="AN1448" s="32" t="n">
        <x:f>H1448*(v01_KHPerAdult*Z1448+v01_KHOfCommons*AJ1448/4*INDEX(LM_All,G1448))*v01_KHUsable*Arch_KH</x:f>
        <x:v>0</x:v>
      </x:c>
      <x:c r="AO1448" s="32" t="n">
        <x:f>MIN(AP1447+AN1448,AM1448*v01_KHMaxRatio)</x:f>
        <x:v>0</x:v>
      </x:c>
      <x:c r="AP1448" s="32" t="n">
        <x:f>AP1447+AN1448-AO1448</x:f>
        <x:v>0</x:v>
      </x:c>
      <x:c r="AQ1448" s="32" t="n">
        <x:f>AM1448+AO1448</x:f>
        <x:v>0</x:v>
      </x:c>
      <x:c r="AR1448" s="10" t="n">
        <x:f>IF(H1448=1,INDEX(v01_Req,G1448),0)</x:f>
        <x:v>0</x:v>
      </x:c>
      <x:c r="AS1448" s="32" t="n">
        <x:f>IF(H1448=1,IF(E1448=1,AS1447-AR1447,AS1447)+AQ1448,0)</x:f>
        <x:v>0</x:v>
      </x:c>
      <x:c r="AT1448" s="11" t="n">
        <x:f>IF(AR1448&gt;0,MIN(1,AS1448/AR1448),1)</x:f>
        <x:v>1</x:v>
      </x:c>
      <x:c r="AU1448" s="10" t="n">
        <x:f>AB1448/INDEX(v01_RepScale,G1448)</x:f>
        <x:v>90.09519605746344</x:v>
      </x:c>
      <x:c r="AV1448" s="32" t="n">
        <x:f>AM1448*60/v01_SeasonSeconds</x:f>
        <x:v>0</x:v>
      </x:c>
    </x:row>
    <x:row r="1449">
      <x:c r="A1449" s="8" t="n">
        <x:f>A1448+1</x:f>
        <x:v>1446</x:v>
      </x:c>
      <x:c r="B1449" s="9" t="n">
        <x:f>A1449*v01_SeasonSeconds/60</x:f>
        <x:v>361.5</x:v>
      </x:c>
      <x:c r="C1449" s="9" t="n">
        <x:f>A1449/4</x:f>
        <x:v>361.5</x:v>
      </x:c>
      <x:c r="D1449" s="8" t="n">
        <x:f>IF(MOD(A1449,4)=0,1,0)</x:f>
        <x:v>0</x:v>
      </x:c>
      <x:c r="E1449" s="8" t="n">
        <x:f>IF(AND(F1448&lt;=9,AS1448&gt;=AR1448),1,0)</x:f>
        <x:v>0</x:v>
      </x:c>
      <x:c r="F1449" s="8" t="n">
        <x:f>MIN(10,F1448+E1449)</x:f>
        <x:v>10</x:v>
      </x:c>
      <x:c r="G1449" s="8" t="n">
        <x:f>MIN(F1449,9)+1</x:f>
        <x:v>10</x:v>
      </x:c>
      <x:c r="H1449" s="8" t="n">
        <x:f>IF(F1449&lt;=9,1,0)</x:f>
        <x:v>0</x:v>
      </x:c>
      <x:c r="I1449" s="9" t="n">
        <x:f>MIN(10,F1448+IF(AR1448&gt;0,MIN(1,AS1448/AR1448),1))</x:f>
        <x:v>10</x:v>
      </x:c>
      <x:c r="J1449" s="32" t="n">
        <x:f>INDEX(v01_FoodCap,G1449)*Arch_FoodCap*EXP(v01_CapsByProject*SUMPRODUCT((Cap_Point&lt;=I1449)*(Cap_Kind="Food")*Cap_Ln))</x:f>
        <x:v>12000</x:v>
      </x:c>
      <x:c r="K1449" s="32" t="n">
        <x:f>J1449*MIN(1,v01_LeanBase*EXP(v01_CapsByProject*SUMPRODUCT((Cap_Point&lt;=I1449)*(Cap_Kind="Lean")*Cap_Ln)))</x:f>
        <x:v>12000</x:v>
      </x:c>
      <x:c r="L1449" s="10" t="n">
        <x:f>INDEX(v01_HousingCap,G1449)*EXP(v01_CapsByProject*SUMPRODUCT((Cap_Point&lt;=I1449)*(Cap_Kind="Housing")*Cap_Ln))</x:f>
        <x:v>20000</x:v>
      </x:c>
      <x:c r="M1449" s="10" t="n">
        <x:f>INDEX(v01_GroupCap,G1449)*v01_CohesionFactor*EXP(v01_CapsByProject*SUMPRODUCT((Cap_Point&lt;=I1449)*(Cap_Kind="Group")*Cap_Ln))</x:f>
        <x:v>1000000</x:v>
      </x:c>
      <x:c r="N1449" s="32" t="n">
        <x:f>MIN(J1449,L1449,M1449)</x:f>
        <x:v>12000</x:v>
      </x:c>
      <x:c r="O1449" s="10" t="n">
        <x:f>AE1448*N1449</x:f>
        <x:v>180000</x:v>
      </x:c>
      <x:c r="P1449" s="9" t="n">
        <x:f>MIN(1,(AB1448/(AE1448*IF(v01_GroupInCrowding=1,N1449,MIN(J1449,L1449))))^v01_CrowdingExp)</x:f>
        <x:v>0.00024569414295285325</x:v>
      </x:c>
      <x:c r="Q1449" s="9" t="n">
        <x:f>IF(D1449=1,INDEX(v01_WinterMult,G1449),1)</x:f>
        <x:v>1</x:v>
      </x:c>
      <x:c r="R1449" s="9" t="n">
        <x:f>H1449*Z1448*v01_WomenShare*v01_BaseFertility*INDEX(v01_FertMult,G1449)*Arch_Fertility*(1-P1449)</x:f>
        <x:v>0</x:v>
      </x:c>
      <x:c r="S1449" s="9" t="n">
        <x:f>H1449*Y1448*INDEX(v01_MortChild,G1449)/4*Q1449</x:f>
        <x:v>0</x:v>
      </x:c>
      <x:c r="T1449" s="9" t="n">
        <x:f>H1449*Z1448*INDEX(v01_MortAdult,G1449)*Arch_AdultMort/4*Q1449</x:f>
        <x:v>0</x:v>
      </x:c>
      <x:c r="U1449" s="9" t="n">
        <x:f>H1449*AA1448*INDEX(v01_MortElder,G1449)/4*Q1449</x:f>
        <x:v>0</x:v>
      </x:c>
      <x:c r="V1449" s="9" t="n">
        <x:f>H1449*MAX(0,AB1448-O1449)*v01_OvercapLoss</x:f>
        <x:v>0</x:v>
      </x:c>
      <x:c r="W1449" s="9" t="n">
        <x:f>H1449*Y1448/(v01_ChildYears*4)</x:f>
        <x:v>0</x:v>
      </x:c>
      <x:c r="X1449" s="9" t="n">
        <x:f>H1449*Z1448/(v01_AdultYears*4)</x:f>
        <x:v>0</x:v>
      </x:c>
      <x:c r="Y1449" s="32" t="n">
        <x:f>Y1448+R1449-S1449-W1449-Y1448*V1449/AB1448</x:f>
        <x:v>14306.18539759397</x:v>
      </x:c>
      <x:c r="Z1449" s="32" t="n">
        <x:f>Z1448+W1449-X1449-T1449-Z1448*V1449/AB1448</x:f>
        <x:v>19354.456567879548</x:v>
      </x:c>
      <x:c r="AA1449" s="32" t="n">
        <x:f>AA1448+X1449-U1449-AA1448*V1449/AB1448</x:f>
        <x:v>11386.956063258198</x:v>
      </x:c>
      <x:c r="AB1449" s="10" t="n">
        <x:f>Y1449+Z1449+AA1449</x:f>
        <x:v>45047.59802873172</x:v>
      </x:c>
      <x:c r="AC1449" s="8" t="n">
        <x:f>IF(AND(v01_WinterTrigger=1,D1449=1,AB1448/AE1448&gt;=K1449),1,0)</x:f>
        <x:v>0</x:v>
      </x:c>
      <x:c r="AD1449" s="8" t="n">
        <x:f>H1449*IF(AND(OR(AB1448/AE1448&gt;=v01_FissionTrigger*N1449,AC1449=1),AB1448/AE1448*v01_DaughterShare&gt;=v01_MinDaughter),MAX(1,ROUND(AE1448*v01_FissionRate,0)),0)</x:f>
        <x:v>0</x:v>
      </x:c>
      <x:c r="AE1449" s="8" t="n">
        <x:f>IF(H1449=1,MAX(1,MIN(INDEX(v01_Smax,G1449),AE1448+AD1449)),AE1448)</x:f>
        <x:v>15</x:v>
      </x:c>
      <x:c r="AF1449" s="8" t="n">
        <x:f>MAX(0,AE1449-AE1448)</x:f>
        <x:v>0</x:v>
      </x:c>
      <x:c r="AG1449" s="9" t="str">
        <x:f>IF(AF1449&gt;0,B1449,"")</x:f>
      </x:c>
      <x:c r="AH1449" s="9" t="n">
        <x:f>IF(F1449&gt;=1,1,(1+v01_LowTiesShare*(AE1449-1))/AE1449)</x:f>
        <x:v>1</x:v>
      </x:c>
      <x:c r="AI1449" s="32" t="n">
        <x:f>(Z1449+v01_ElderCommons*INDEX(LM_Elder,G1449)*AA1449)*AH1449</x:f>
        <x:v>64139.732591141874</x:v>
      </x:c>
      <x:c r="AJ1449" s="32" t="n">
        <x:f>H1449*v01_CommonsCoef*AI1449^v01_CommonsExp*INDEX(LM_Commons,G1449)</x:f>
        <x:v>0</x:v>
      </x:c>
      <x:c r="AK1449" s="32" t="n">
        <x:f>H1449*v01_RoleScale*Arch_Roles*(AE1449*(INDEX(v01_ElderRolePerSett,G1449)*v01_OutElder*INDEX(LM_Elder,G1449)+INDEX(v01_ShamanPerSett,G1449)*v01_OutShaman)+Z1449*(INDEX(v01_PriestShare,G1449)*v01_OutPriest+INDEX(v01_ScribeShare,G1449)*v01_OutScribe*INDEX(LM_Scribe,G1449)+INDEX(v01_ScholarShare,G1449)*v01_OutScholar*INDEX(LM_Scholar,G1449)+INDEX(v01_ResearcherShare,G1449)*v01_OutResearcher*INDEX(LM_Researcher,G1449)))</x:f>
        <x:v>0</x:v>
      </x:c>
      <x:c r="AL1449" s="32" t="n">
        <x:f>H1449*v01_RoleScale*Arch_Roles*AE1449*INDEX(v01_MonasteryPerSett,G1449)*v01_OutMonastery*INDEX(LM_Monastery,G1449)</x:f>
        <x:v>0</x:v>
      </x:c>
      <x:c r="AM1449" s="32" t="n">
        <x:f>(AJ1449+AK1449+AL1449)/4*INDEX(LM_All,G1449)*INDEX(v01_Boon,G1449)*Arch_Insight</x:f>
        <x:v>0</x:v>
      </x:c>
      <x:c r="AN1449" s="32" t="n">
        <x:f>H1449*(v01_KHPerAdult*Z1449+v01_KHOfCommons*AJ1449/4*INDEX(LM_All,G1449))*v01_KHUsable*Arch_KH</x:f>
        <x:v>0</x:v>
      </x:c>
      <x:c r="AO1449" s="32" t="n">
        <x:f>MIN(AP1448+AN1449,AM1449*v01_KHMaxRatio)</x:f>
        <x:v>0</x:v>
      </x:c>
      <x:c r="AP1449" s="32" t="n">
        <x:f>AP1448+AN1449-AO1449</x:f>
        <x:v>0</x:v>
      </x:c>
      <x:c r="AQ1449" s="32" t="n">
        <x:f>AM1449+AO1449</x:f>
        <x:v>0</x:v>
      </x:c>
      <x:c r="AR1449" s="10" t="n">
        <x:f>IF(H1449=1,INDEX(v01_Req,G1449),0)</x:f>
        <x:v>0</x:v>
      </x:c>
      <x:c r="AS1449" s="32" t="n">
        <x:f>IF(H1449=1,IF(E1449=1,AS1448-AR1448,AS1448)+AQ1449,0)</x:f>
        <x:v>0</x:v>
      </x:c>
      <x:c r="AT1449" s="11" t="n">
        <x:f>IF(AR1449&gt;0,MIN(1,AS1449/AR1449),1)</x:f>
        <x:v>1</x:v>
      </x:c>
      <x:c r="AU1449" s="10" t="n">
        <x:f>AB1449/INDEX(v01_RepScale,G1449)</x:f>
        <x:v>90.09519605746344</x:v>
      </x:c>
      <x:c r="AV1449" s="32" t="n">
        <x:f>AM1449*60/v01_SeasonSeconds</x:f>
        <x:v>0</x:v>
      </x:c>
    </x:row>
    <x:row r="1450">
      <x:c r="A1450" s="8" t="n">
        <x:f>A1449+1</x:f>
        <x:v>1447</x:v>
      </x:c>
      <x:c r="B1450" s="9" t="n">
        <x:f>A1450*v01_SeasonSeconds/60</x:f>
        <x:v>361.75</x:v>
      </x:c>
      <x:c r="C1450" s="9" t="n">
        <x:f>A1450/4</x:f>
        <x:v>361.75</x:v>
      </x:c>
      <x:c r="D1450" s="8" t="n">
        <x:f>IF(MOD(A1450,4)=0,1,0)</x:f>
        <x:v>0</x:v>
      </x:c>
      <x:c r="E1450" s="8" t="n">
        <x:f>IF(AND(F1449&lt;=9,AS1449&gt;=AR1449),1,0)</x:f>
        <x:v>0</x:v>
      </x:c>
      <x:c r="F1450" s="8" t="n">
        <x:f>MIN(10,F1449+E1450)</x:f>
        <x:v>10</x:v>
      </x:c>
      <x:c r="G1450" s="8" t="n">
        <x:f>MIN(F1450,9)+1</x:f>
        <x:v>10</x:v>
      </x:c>
      <x:c r="H1450" s="8" t="n">
        <x:f>IF(F1450&lt;=9,1,0)</x:f>
        <x:v>0</x:v>
      </x:c>
      <x:c r="I1450" s="9" t="n">
        <x:f>MIN(10,F1449+IF(AR1449&gt;0,MIN(1,AS1449/AR1449),1))</x:f>
        <x:v>10</x:v>
      </x:c>
      <x:c r="J1450" s="32" t="n">
        <x:f>INDEX(v01_FoodCap,G1450)*Arch_FoodCap*EXP(v01_CapsByProject*SUMPRODUCT((Cap_Point&lt;=I1450)*(Cap_Kind="Food")*Cap_Ln))</x:f>
        <x:v>12000</x:v>
      </x:c>
      <x:c r="K1450" s="32" t="n">
        <x:f>J1450*MIN(1,v01_LeanBase*EXP(v01_CapsByProject*SUMPRODUCT((Cap_Point&lt;=I1450)*(Cap_Kind="Lean")*Cap_Ln)))</x:f>
        <x:v>12000</x:v>
      </x:c>
      <x:c r="L1450" s="10" t="n">
        <x:f>INDEX(v01_HousingCap,G1450)*EXP(v01_CapsByProject*SUMPRODUCT((Cap_Point&lt;=I1450)*(Cap_Kind="Housing")*Cap_Ln))</x:f>
        <x:v>20000</x:v>
      </x:c>
      <x:c r="M1450" s="10" t="n">
        <x:f>INDEX(v01_GroupCap,G1450)*v01_CohesionFactor*EXP(v01_CapsByProject*SUMPRODUCT((Cap_Point&lt;=I1450)*(Cap_Kind="Group")*Cap_Ln))</x:f>
        <x:v>1000000</x:v>
      </x:c>
      <x:c r="N1450" s="32" t="n">
        <x:f>MIN(J1450,L1450,M1450)</x:f>
        <x:v>12000</x:v>
      </x:c>
      <x:c r="O1450" s="10" t="n">
        <x:f>AE1449*N1450</x:f>
        <x:v>180000</x:v>
      </x:c>
      <x:c r="P1450" s="9" t="n">
        <x:f>MIN(1,(AB1449/(AE1449*IF(v01_GroupInCrowding=1,N1450,MIN(J1450,L1450))))^v01_CrowdingExp)</x:f>
        <x:v>0.00024569414295285325</x:v>
      </x:c>
      <x:c r="Q1450" s="9" t="n">
        <x:f>IF(D1450=1,INDEX(v01_WinterMult,G1450),1)</x:f>
        <x:v>1</x:v>
      </x:c>
      <x:c r="R1450" s="9" t="n">
        <x:f>H1450*Z1449*v01_WomenShare*v01_BaseFertility*INDEX(v01_FertMult,G1450)*Arch_Fertility*(1-P1450)</x:f>
        <x:v>0</x:v>
      </x:c>
      <x:c r="S1450" s="9" t="n">
        <x:f>H1450*Y1449*INDEX(v01_MortChild,G1450)/4*Q1450</x:f>
        <x:v>0</x:v>
      </x:c>
      <x:c r="T1450" s="9" t="n">
        <x:f>H1450*Z1449*INDEX(v01_MortAdult,G1450)*Arch_AdultMort/4*Q1450</x:f>
        <x:v>0</x:v>
      </x:c>
      <x:c r="U1450" s="9" t="n">
        <x:f>H1450*AA1449*INDEX(v01_MortElder,G1450)/4*Q1450</x:f>
        <x:v>0</x:v>
      </x:c>
      <x:c r="V1450" s="9" t="n">
        <x:f>H1450*MAX(0,AB1449-O1450)*v01_OvercapLoss</x:f>
        <x:v>0</x:v>
      </x:c>
      <x:c r="W1450" s="9" t="n">
        <x:f>H1450*Y1449/(v01_ChildYears*4)</x:f>
        <x:v>0</x:v>
      </x:c>
      <x:c r="X1450" s="9" t="n">
        <x:f>H1450*Z1449/(v01_AdultYears*4)</x:f>
        <x:v>0</x:v>
      </x:c>
      <x:c r="Y1450" s="32" t="n">
        <x:f>Y1449+R1450-S1450-W1450-Y1449*V1450/AB1449</x:f>
        <x:v>14306.18539759397</x:v>
      </x:c>
      <x:c r="Z1450" s="32" t="n">
        <x:f>Z1449+W1450-X1450-T1450-Z1449*V1450/AB1449</x:f>
        <x:v>19354.456567879548</x:v>
      </x:c>
      <x:c r="AA1450" s="32" t="n">
        <x:f>AA1449+X1450-U1450-AA1449*V1450/AB1449</x:f>
        <x:v>11386.956063258198</x:v>
      </x:c>
      <x:c r="AB1450" s="10" t="n">
        <x:f>Y1450+Z1450+AA1450</x:f>
        <x:v>45047.59802873172</x:v>
      </x:c>
      <x:c r="AC1450" s="8" t="n">
        <x:f>IF(AND(v01_WinterTrigger=1,D1450=1,AB1449/AE1449&gt;=K1450),1,0)</x:f>
        <x:v>0</x:v>
      </x:c>
      <x:c r="AD1450" s="8" t="n">
        <x:f>H1450*IF(AND(OR(AB1449/AE1449&gt;=v01_FissionTrigger*N1450,AC1450=1),AB1449/AE1449*v01_DaughterShare&gt;=v01_MinDaughter),MAX(1,ROUND(AE1449*v01_FissionRate,0)),0)</x:f>
        <x:v>0</x:v>
      </x:c>
      <x:c r="AE1450" s="8" t="n">
        <x:f>IF(H1450=1,MAX(1,MIN(INDEX(v01_Smax,G1450),AE1449+AD1450)),AE1449)</x:f>
        <x:v>15</x:v>
      </x:c>
      <x:c r="AF1450" s="8" t="n">
        <x:f>MAX(0,AE1450-AE1449)</x:f>
        <x:v>0</x:v>
      </x:c>
      <x:c r="AG1450" s="9" t="str">
        <x:f>IF(AF1450&gt;0,B1450,"")</x:f>
      </x:c>
      <x:c r="AH1450" s="9" t="n">
        <x:f>IF(F1450&gt;=1,1,(1+v01_LowTiesShare*(AE1450-1))/AE1450)</x:f>
        <x:v>1</x:v>
      </x:c>
      <x:c r="AI1450" s="32" t="n">
        <x:f>(Z1450+v01_ElderCommons*INDEX(LM_Elder,G1450)*AA1450)*AH1450</x:f>
        <x:v>64139.732591141874</x:v>
      </x:c>
      <x:c r="AJ1450" s="32" t="n">
        <x:f>H1450*v01_CommonsCoef*AI1450^v01_CommonsExp*INDEX(LM_Commons,G1450)</x:f>
        <x:v>0</x:v>
      </x:c>
      <x:c r="AK1450" s="32" t="n">
        <x:f>H1450*v01_RoleScale*Arch_Roles*(AE1450*(INDEX(v01_ElderRolePerSett,G1450)*v01_OutElder*INDEX(LM_Elder,G1450)+INDEX(v01_ShamanPerSett,G1450)*v01_OutShaman)+Z1450*(INDEX(v01_PriestShare,G1450)*v01_OutPriest+INDEX(v01_ScribeShare,G1450)*v01_OutScribe*INDEX(LM_Scribe,G1450)+INDEX(v01_ScholarShare,G1450)*v01_OutScholar*INDEX(LM_Scholar,G1450)+INDEX(v01_ResearcherShare,G1450)*v01_OutResearcher*INDEX(LM_Researcher,G1450)))</x:f>
        <x:v>0</x:v>
      </x:c>
      <x:c r="AL1450" s="32" t="n">
        <x:f>H1450*v01_RoleScale*Arch_Roles*AE1450*INDEX(v01_MonasteryPerSett,G1450)*v01_OutMonastery*INDEX(LM_Monastery,G1450)</x:f>
        <x:v>0</x:v>
      </x:c>
      <x:c r="AM1450" s="32" t="n">
        <x:f>(AJ1450+AK1450+AL1450)/4*INDEX(LM_All,G1450)*INDEX(v01_Boon,G1450)*Arch_Insight</x:f>
        <x:v>0</x:v>
      </x:c>
      <x:c r="AN1450" s="32" t="n">
        <x:f>H1450*(v01_KHPerAdult*Z1450+v01_KHOfCommons*AJ1450/4*INDEX(LM_All,G1450))*v01_KHUsable*Arch_KH</x:f>
        <x:v>0</x:v>
      </x:c>
      <x:c r="AO1450" s="32" t="n">
        <x:f>MIN(AP1449+AN1450,AM1450*v01_KHMaxRatio)</x:f>
        <x:v>0</x:v>
      </x:c>
      <x:c r="AP1450" s="32" t="n">
        <x:f>AP1449+AN1450-AO1450</x:f>
        <x:v>0</x:v>
      </x:c>
      <x:c r="AQ1450" s="32" t="n">
        <x:f>AM1450+AO1450</x:f>
        <x:v>0</x:v>
      </x:c>
      <x:c r="AR1450" s="10" t="n">
        <x:f>IF(H1450=1,INDEX(v01_Req,G1450),0)</x:f>
        <x:v>0</x:v>
      </x:c>
      <x:c r="AS1450" s="32" t="n">
        <x:f>IF(H1450=1,IF(E1450=1,AS1449-AR1449,AS1449)+AQ1450,0)</x:f>
        <x:v>0</x:v>
      </x:c>
      <x:c r="AT1450" s="11" t="n">
        <x:f>IF(AR1450&gt;0,MIN(1,AS1450/AR1450),1)</x:f>
        <x:v>1</x:v>
      </x:c>
      <x:c r="AU1450" s="10" t="n">
        <x:f>AB1450/INDEX(v01_RepScale,G1450)</x:f>
        <x:v>90.09519605746344</x:v>
      </x:c>
      <x:c r="AV1450" s="32" t="n">
        <x:f>AM1450*60/v01_SeasonSeconds</x:f>
        <x:v>0</x:v>
      </x:c>
    </x:row>
    <x:row r="1451">
      <x:c r="A1451" s="8" t="n">
        <x:f>A1450+1</x:f>
        <x:v>1448</x:v>
      </x:c>
      <x:c r="B1451" s="9" t="n">
        <x:f>A1451*v01_SeasonSeconds/60</x:f>
        <x:v>362</x:v>
      </x:c>
      <x:c r="C1451" s="9" t="n">
        <x:f>A1451/4</x:f>
        <x:v>362</x:v>
      </x:c>
      <x:c r="D1451" s="8" t="n">
        <x:f>IF(MOD(A1451,4)=0,1,0)</x:f>
        <x:v>1</x:v>
      </x:c>
      <x:c r="E1451" s="8" t="n">
        <x:f>IF(AND(F1450&lt;=9,AS1450&gt;=AR1450),1,0)</x:f>
        <x:v>0</x:v>
      </x:c>
      <x:c r="F1451" s="8" t="n">
        <x:f>MIN(10,F1450+E1451)</x:f>
        <x:v>10</x:v>
      </x:c>
      <x:c r="G1451" s="8" t="n">
        <x:f>MIN(F1451,9)+1</x:f>
        <x:v>10</x:v>
      </x:c>
      <x:c r="H1451" s="8" t="n">
        <x:f>IF(F1451&lt;=9,1,0)</x:f>
        <x:v>0</x:v>
      </x:c>
      <x:c r="I1451" s="9" t="n">
        <x:f>MIN(10,F1450+IF(AR1450&gt;0,MIN(1,AS1450/AR1450),1))</x:f>
        <x:v>10</x:v>
      </x:c>
      <x:c r="J1451" s="32" t="n">
        <x:f>INDEX(v01_FoodCap,G1451)*Arch_FoodCap*EXP(v01_CapsByProject*SUMPRODUCT((Cap_Point&lt;=I1451)*(Cap_Kind="Food")*Cap_Ln))</x:f>
        <x:v>12000</x:v>
      </x:c>
      <x:c r="K1451" s="32" t="n">
        <x:f>J1451*MIN(1,v01_LeanBase*EXP(v01_CapsByProject*SUMPRODUCT((Cap_Point&lt;=I1451)*(Cap_Kind="Lean")*Cap_Ln)))</x:f>
        <x:v>12000</x:v>
      </x:c>
      <x:c r="L1451" s="10" t="n">
        <x:f>INDEX(v01_HousingCap,G1451)*EXP(v01_CapsByProject*SUMPRODUCT((Cap_Point&lt;=I1451)*(Cap_Kind="Housing")*Cap_Ln))</x:f>
        <x:v>20000</x:v>
      </x:c>
      <x:c r="M1451" s="10" t="n">
        <x:f>INDEX(v01_GroupCap,G1451)*v01_CohesionFactor*EXP(v01_CapsByProject*SUMPRODUCT((Cap_Point&lt;=I1451)*(Cap_Kind="Group")*Cap_Ln))</x:f>
        <x:v>1000000</x:v>
      </x:c>
      <x:c r="N1451" s="32" t="n">
        <x:f>MIN(J1451,L1451,M1451)</x:f>
        <x:v>12000</x:v>
      </x:c>
      <x:c r="O1451" s="10" t="n">
        <x:f>AE1450*N1451</x:f>
        <x:v>180000</x:v>
      </x:c>
      <x:c r="P1451" s="9" t="n">
        <x:f>MIN(1,(AB1450/(AE1450*IF(v01_GroupInCrowding=1,N1451,MIN(J1451,L1451))))^v01_CrowdingExp)</x:f>
        <x:v>0.00024569414295285325</x:v>
      </x:c>
      <x:c r="Q1451" s="9" t="n">
        <x:f>IF(D1451=1,INDEX(v01_WinterMult,G1451),1)</x:f>
        <x:v>1</x:v>
      </x:c>
      <x:c r="R1451" s="9" t="n">
        <x:f>H1451*Z1450*v01_WomenShare*v01_BaseFertility*INDEX(v01_FertMult,G1451)*Arch_Fertility*(1-P1451)</x:f>
        <x:v>0</x:v>
      </x:c>
      <x:c r="S1451" s="9" t="n">
        <x:f>H1451*Y1450*INDEX(v01_MortChild,G1451)/4*Q1451</x:f>
        <x:v>0</x:v>
      </x:c>
      <x:c r="T1451" s="9" t="n">
        <x:f>H1451*Z1450*INDEX(v01_MortAdult,G1451)*Arch_AdultMort/4*Q1451</x:f>
        <x:v>0</x:v>
      </x:c>
      <x:c r="U1451" s="9" t="n">
        <x:f>H1451*AA1450*INDEX(v01_MortElder,G1451)/4*Q1451</x:f>
        <x:v>0</x:v>
      </x:c>
      <x:c r="V1451" s="9" t="n">
        <x:f>H1451*MAX(0,AB1450-O1451)*v01_OvercapLoss</x:f>
        <x:v>0</x:v>
      </x:c>
      <x:c r="W1451" s="9" t="n">
        <x:f>H1451*Y1450/(v01_ChildYears*4)</x:f>
        <x:v>0</x:v>
      </x:c>
      <x:c r="X1451" s="9" t="n">
        <x:f>H1451*Z1450/(v01_AdultYears*4)</x:f>
        <x:v>0</x:v>
      </x:c>
      <x:c r="Y1451" s="32" t="n">
        <x:f>Y1450+R1451-S1451-W1451-Y1450*V1451/AB1450</x:f>
        <x:v>14306.18539759397</x:v>
      </x:c>
      <x:c r="Z1451" s="32" t="n">
        <x:f>Z1450+W1451-X1451-T1451-Z1450*V1451/AB1450</x:f>
        <x:v>19354.456567879548</x:v>
      </x:c>
      <x:c r="AA1451" s="32" t="n">
        <x:f>AA1450+X1451-U1451-AA1450*V1451/AB1450</x:f>
        <x:v>11386.956063258198</x:v>
      </x:c>
      <x:c r="AB1451" s="10" t="n">
        <x:f>Y1451+Z1451+AA1451</x:f>
        <x:v>45047.59802873172</x:v>
      </x:c>
      <x:c r="AC1451" s="8" t="n">
        <x:f>IF(AND(v01_WinterTrigger=1,D1451=1,AB1450/AE1450&gt;=K1451),1,0)</x:f>
        <x:v>0</x:v>
      </x:c>
      <x:c r="AD1451" s="8" t="n">
        <x:f>H1451*IF(AND(OR(AB1450/AE1450&gt;=v01_FissionTrigger*N1451,AC1451=1),AB1450/AE1450*v01_DaughterShare&gt;=v01_MinDaughter),MAX(1,ROUND(AE1450*v01_FissionRate,0)),0)</x:f>
        <x:v>0</x:v>
      </x:c>
      <x:c r="AE1451" s="8" t="n">
        <x:f>IF(H1451=1,MAX(1,MIN(INDEX(v01_Smax,G1451),AE1450+AD1451)),AE1450)</x:f>
        <x:v>15</x:v>
      </x:c>
      <x:c r="AF1451" s="8" t="n">
        <x:f>MAX(0,AE1451-AE1450)</x:f>
        <x:v>0</x:v>
      </x:c>
      <x:c r="AG1451" s="9" t="str">
        <x:f>IF(AF1451&gt;0,B1451,"")</x:f>
      </x:c>
      <x:c r="AH1451" s="9" t="n">
        <x:f>IF(F1451&gt;=1,1,(1+v01_LowTiesShare*(AE1451-1))/AE1451)</x:f>
        <x:v>1</x:v>
      </x:c>
      <x:c r="AI1451" s="32" t="n">
        <x:f>(Z1451+v01_ElderCommons*INDEX(LM_Elder,G1451)*AA1451)*AH1451</x:f>
        <x:v>64139.732591141874</x:v>
      </x:c>
      <x:c r="AJ1451" s="32" t="n">
        <x:f>H1451*v01_CommonsCoef*AI1451^v01_CommonsExp*INDEX(LM_Commons,G1451)</x:f>
        <x:v>0</x:v>
      </x:c>
      <x:c r="AK1451" s="32" t="n">
        <x:f>H1451*v01_RoleScale*Arch_Roles*(AE1451*(INDEX(v01_ElderRolePerSett,G1451)*v01_OutElder*INDEX(LM_Elder,G1451)+INDEX(v01_ShamanPerSett,G1451)*v01_OutShaman)+Z1451*(INDEX(v01_PriestShare,G1451)*v01_OutPriest+INDEX(v01_ScribeShare,G1451)*v01_OutScribe*INDEX(LM_Scribe,G1451)+INDEX(v01_ScholarShare,G1451)*v01_OutScholar*INDEX(LM_Scholar,G1451)+INDEX(v01_ResearcherShare,G1451)*v01_OutResearcher*INDEX(LM_Researcher,G1451)))</x:f>
        <x:v>0</x:v>
      </x:c>
      <x:c r="AL1451" s="32" t="n">
        <x:f>H1451*v01_RoleScale*Arch_Roles*AE1451*INDEX(v01_MonasteryPerSett,G1451)*v01_OutMonastery*INDEX(LM_Monastery,G1451)</x:f>
        <x:v>0</x:v>
      </x:c>
      <x:c r="AM1451" s="32" t="n">
        <x:f>(AJ1451+AK1451+AL1451)/4*INDEX(LM_All,G1451)*INDEX(v01_Boon,G1451)*Arch_Insight</x:f>
        <x:v>0</x:v>
      </x:c>
      <x:c r="AN1451" s="32" t="n">
        <x:f>H1451*(v01_KHPerAdult*Z1451+v01_KHOfCommons*AJ1451/4*INDEX(LM_All,G1451))*v01_KHUsable*Arch_KH</x:f>
        <x:v>0</x:v>
      </x:c>
      <x:c r="AO1451" s="32" t="n">
        <x:f>MIN(AP1450+AN1451,AM1451*v01_KHMaxRatio)</x:f>
        <x:v>0</x:v>
      </x:c>
      <x:c r="AP1451" s="32" t="n">
        <x:f>AP1450+AN1451-AO1451</x:f>
        <x:v>0</x:v>
      </x:c>
      <x:c r="AQ1451" s="32" t="n">
        <x:f>AM1451+AO1451</x:f>
        <x:v>0</x:v>
      </x:c>
      <x:c r="AR1451" s="10" t="n">
        <x:f>IF(H1451=1,INDEX(v01_Req,G1451),0)</x:f>
        <x:v>0</x:v>
      </x:c>
      <x:c r="AS1451" s="32" t="n">
        <x:f>IF(H1451=1,IF(E1451=1,AS1450-AR1450,AS1450)+AQ1451,0)</x:f>
        <x:v>0</x:v>
      </x:c>
      <x:c r="AT1451" s="11" t="n">
        <x:f>IF(AR1451&gt;0,MIN(1,AS1451/AR1451),1)</x:f>
        <x:v>1</x:v>
      </x:c>
      <x:c r="AU1451" s="10" t="n">
        <x:f>AB1451/INDEX(v01_RepScale,G1451)</x:f>
        <x:v>90.09519605746344</x:v>
      </x:c>
      <x:c r="AV1451" s="32" t="n">
        <x:f>AM1451*60/v01_SeasonSeconds</x:f>
        <x:v>0</x:v>
      </x:c>
    </x:row>
    <x:row r="1452">
      <x:c r="A1452" s="8" t="n">
        <x:f>A1451+1</x:f>
        <x:v>1449</x:v>
      </x:c>
      <x:c r="B1452" s="9" t="n">
        <x:f>A1452*v01_SeasonSeconds/60</x:f>
        <x:v>362.25</x:v>
      </x:c>
      <x:c r="C1452" s="9" t="n">
        <x:f>A1452/4</x:f>
        <x:v>362.25</x:v>
      </x:c>
      <x:c r="D1452" s="8" t="n">
        <x:f>IF(MOD(A1452,4)=0,1,0)</x:f>
        <x:v>0</x:v>
      </x:c>
      <x:c r="E1452" s="8" t="n">
        <x:f>IF(AND(F1451&lt;=9,AS1451&gt;=AR1451),1,0)</x:f>
        <x:v>0</x:v>
      </x:c>
      <x:c r="F1452" s="8" t="n">
        <x:f>MIN(10,F1451+E1452)</x:f>
        <x:v>10</x:v>
      </x:c>
      <x:c r="G1452" s="8" t="n">
        <x:f>MIN(F1452,9)+1</x:f>
        <x:v>10</x:v>
      </x:c>
      <x:c r="H1452" s="8" t="n">
        <x:f>IF(F1452&lt;=9,1,0)</x:f>
        <x:v>0</x:v>
      </x:c>
      <x:c r="I1452" s="9" t="n">
        <x:f>MIN(10,F1451+IF(AR1451&gt;0,MIN(1,AS1451/AR1451),1))</x:f>
        <x:v>10</x:v>
      </x:c>
      <x:c r="J1452" s="32" t="n">
        <x:f>INDEX(v01_FoodCap,G1452)*Arch_FoodCap*EXP(v01_CapsByProject*SUMPRODUCT((Cap_Point&lt;=I1452)*(Cap_Kind="Food")*Cap_Ln))</x:f>
        <x:v>12000</x:v>
      </x:c>
      <x:c r="K1452" s="32" t="n">
        <x:f>J1452*MIN(1,v01_LeanBase*EXP(v01_CapsByProject*SUMPRODUCT((Cap_Point&lt;=I1452)*(Cap_Kind="Lean")*Cap_Ln)))</x:f>
        <x:v>12000</x:v>
      </x:c>
      <x:c r="L1452" s="10" t="n">
        <x:f>INDEX(v01_HousingCap,G1452)*EXP(v01_CapsByProject*SUMPRODUCT((Cap_Point&lt;=I1452)*(Cap_Kind="Housing")*Cap_Ln))</x:f>
        <x:v>20000</x:v>
      </x:c>
      <x:c r="M1452" s="10" t="n">
        <x:f>INDEX(v01_GroupCap,G1452)*v01_CohesionFactor*EXP(v01_CapsByProject*SUMPRODUCT((Cap_Point&lt;=I1452)*(Cap_Kind="Group")*Cap_Ln))</x:f>
        <x:v>1000000</x:v>
      </x:c>
      <x:c r="N1452" s="32" t="n">
        <x:f>MIN(J1452,L1452,M1452)</x:f>
        <x:v>12000</x:v>
      </x:c>
      <x:c r="O1452" s="10" t="n">
        <x:f>AE1451*N1452</x:f>
        <x:v>180000</x:v>
      </x:c>
      <x:c r="P1452" s="9" t="n">
        <x:f>MIN(1,(AB1451/(AE1451*IF(v01_GroupInCrowding=1,N1452,MIN(J1452,L1452))))^v01_CrowdingExp)</x:f>
        <x:v>0.00024569414295285325</x:v>
      </x:c>
      <x:c r="Q1452" s="9" t="n">
        <x:f>IF(D1452=1,INDEX(v01_WinterMult,G1452),1)</x:f>
        <x:v>1</x:v>
      </x:c>
      <x:c r="R1452" s="9" t="n">
        <x:f>H1452*Z1451*v01_WomenShare*v01_BaseFertility*INDEX(v01_FertMult,G1452)*Arch_Fertility*(1-P1452)</x:f>
        <x:v>0</x:v>
      </x:c>
      <x:c r="S1452" s="9" t="n">
        <x:f>H1452*Y1451*INDEX(v01_MortChild,G1452)/4*Q1452</x:f>
        <x:v>0</x:v>
      </x:c>
      <x:c r="T1452" s="9" t="n">
        <x:f>H1452*Z1451*INDEX(v01_MortAdult,G1452)*Arch_AdultMort/4*Q1452</x:f>
        <x:v>0</x:v>
      </x:c>
      <x:c r="U1452" s="9" t="n">
        <x:f>H1452*AA1451*INDEX(v01_MortElder,G1452)/4*Q1452</x:f>
        <x:v>0</x:v>
      </x:c>
      <x:c r="V1452" s="9" t="n">
        <x:f>H1452*MAX(0,AB1451-O1452)*v01_OvercapLoss</x:f>
        <x:v>0</x:v>
      </x:c>
      <x:c r="W1452" s="9" t="n">
        <x:f>H1452*Y1451/(v01_ChildYears*4)</x:f>
        <x:v>0</x:v>
      </x:c>
      <x:c r="X1452" s="9" t="n">
        <x:f>H1452*Z1451/(v01_AdultYears*4)</x:f>
        <x:v>0</x:v>
      </x:c>
      <x:c r="Y1452" s="32" t="n">
        <x:f>Y1451+R1452-S1452-W1452-Y1451*V1452/AB1451</x:f>
        <x:v>14306.18539759397</x:v>
      </x:c>
      <x:c r="Z1452" s="32" t="n">
        <x:f>Z1451+W1452-X1452-T1452-Z1451*V1452/AB1451</x:f>
        <x:v>19354.456567879548</x:v>
      </x:c>
      <x:c r="AA1452" s="32" t="n">
        <x:f>AA1451+X1452-U1452-AA1451*V1452/AB1451</x:f>
        <x:v>11386.956063258198</x:v>
      </x:c>
      <x:c r="AB1452" s="10" t="n">
        <x:f>Y1452+Z1452+AA1452</x:f>
        <x:v>45047.59802873172</x:v>
      </x:c>
      <x:c r="AC1452" s="8" t="n">
        <x:f>IF(AND(v01_WinterTrigger=1,D1452=1,AB1451/AE1451&gt;=K1452),1,0)</x:f>
        <x:v>0</x:v>
      </x:c>
      <x:c r="AD1452" s="8" t="n">
        <x:f>H1452*IF(AND(OR(AB1451/AE1451&gt;=v01_FissionTrigger*N1452,AC1452=1),AB1451/AE1451*v01_DaughterShare&gt;=v01_MinDaughter),MAX(1,ROUND(AE1451*v01_FissionRate,0)),0)</x:f>
        <x:v>0</x:v>
      </x:c>
      <x:c r="AE1452" s="8" t="n">
        <x:f>IF(H1452=1,MAX(1,MIN(INDEX(v01_Smax,G1452),AE1451+AD1452)),AE1451)</x:f>
        <x:v>15</x:v>
      </x:c>
      <x:c r="AF1452" s="8" t="n">
        <x:f>MAX(0,AE1452-AE1451)</x:f>
        <x:v>0</x:v>
      </x:c>
      <x:c r="AG1452" s="9" t="str">
        <x:f>IF(AF1452&gt;0,B1452,"")</x:f>
      </x:c>
      <x:c r="AH1452" s="9" t="n">
        <x:f>IF(F1452&gt;=1,1,(1+v01_LowTiesShare*(AE1452-1))/AE1452)</x:f>
        <x:v>1</x:v>
      </x:c>
      <x:c r="AI1452" s="32" t="n">
        <x:f>(Z1452+v01_ElderCommons*INDEX(LM_Elder,G1452)*AA1452)*AH1452</x:f>
        <x:v>64139.732591141874</x:v>
      </x:c>
      <x:c r="AJ1452" s="32" t="n">
        <x:f>H1452*v01_CommonsCoef*AI1452^v01_CommonsExp*INDEX(LM_Commons,G1452)</x:f>
        <x:v>0</x:v>
      </x:c>
      <x:c r="AK1452" s="32" t="n">
        <x:f>H1452*v01_RoleScale*Arch_Roles*(AE1452*(INDEX(v01_ElderRolePerSett,G1452)*v01_OutElder*INDEX(LM_Elder,G1452)+INDEX(v01_ShamanPerSett,G1452)*v01_OutShaman)+Z1452*(INDEX(v01_PriestShare,G1452)*v01_OutPriest+INDEX(v01_ScribeShare,G1452)*v01_OutScribe*INDEX(LM_Scribe,G1452)+INDEX(v01_ScholarShare,G1452)*v01_OutScholar*INDEX(LM_Scholar,G1452)+INDEX(v01_ResearcherShare,G1452)*v01_OutResearcher*INDEX(LM_Researcher,G1452)))</x:f>
        <x:v>0</x:v>
      </x:c>
      <x:c r="AL1452" s="32" t="n">
        <x:f>H1452*v01_RoleScale*Arch_Roles*AE1452*INDEX(v01_MonasteryPerSett,G1452)*v01_OutMonastery*INDEX(LM_Monastery,G1452)</x:f>
        <x:v>0</x:v>
      </x:c>
      <x:c r="AM1452" s="32" t="n">
        <x:f>(AJ1452+AK1452+AL1452)/4*INDEX(LM_All,G1452)*INDEX(v01_Boon,G1452)*Arch_Insight</x:f>
        <x:v>0</x:v>
      </x:c>
      <x:c r="AN1452" s="32" t="n">
        <x:f>H1452*(v01_KHPerAdult*Z1452+v01_KHOfCommons*AJ1452/4*INDEX(LM_All,G1452))*v01_KHUsable*Arch_KH</x:f>
        <x:v>0</x:v>
      </x:c>
      <x:c r="AO1452" s="32" t="n">
        <x:f>MIN(AP1451+AN1452,AM1452*v01_KHMaxRatio)</x:f>
        <x:v>0</x:v>
      </x:c>
      <x:c r="AP1452" s="32" t="n">
        <x:f>AP1451+AN1452-AO1452</x:f>
        <x:v>0</x:v>
      </x:c>
      <x:c r="AQ1452" s="32" t="n">
        <x:f>AM1452+AO1452</x:f>
        <x:v>0</x:v>
      </x:c>
      <x:c r="AR1452" s="10" t="n">
        <x:f>IF(H1452=1,INDEX(v01_Req,G1452),0)</x:f>
        <x:v>0</x:v>
      </x:c>
      <x:c r="AS1452" s="32" t="n">
        <x:f>IF(H1452=1,IF(E1452=1,AS1451-AR1451,AS1451)+AQ1452,0)</x:f>
        <x:v>0</x:v>
      </x:c>
      <x:c r="AT1452" s="11" t="n">
        <x:f>IF(AR1452&gt;0,MIN(1,AS1452/AR1452),1)</x:f>
        <x:v>1</x:v>
      </x:c>
      <x:c r="AU1452" s="10" t="n">
        <x:f>AB1452/INDEX(v01_RepScale,G1452)</x:f>
        <x:v>90.09519605746344</x:v>
      </x:c>
      <x:c r="AV1452" s="32" t="n">
        <x:f>AM1452*60/v01_SeasonSeconds</x:f>
        <x:v>0</x:v>
      </x:c>
    </x:row>
    <x:row r="1453">
      <x:c r="A1453" s="8" t="n">
        <x:f>A1452+1</x:f>
        <x:v>1450</x:v>
      </x:c>
      <x:c r="B1453" s="9" t="n">
        <x:f>A1453*v01_SeasonSeconds/60</x:f>
        <x:v>362.5</x:v>
      </x:c>
      <x:c r="C1453" s="9" t="n">
        <x:f>A1453/4</x:f>
        <x:v>362.5</x:v>
      </x:c>
      <x:c r="D1453" s="8" t="n">
        <x:f>IF(MOD(A1453,4)=0,1,0)</x:f>
        <x:v>0</x:v>
      </x:c>
      <x:c r="E1453" s="8" t="n">
        <x:f>IF(AND(F1452&lt;=9,AS1452&gt;=AR1452),1,0)</x:f>
        <x:v>0</x:v>
      </x:c>
      <x:c r="F1453" s="8" t="n">
        <x:f>MIN(10,F1452+E1453)</x:f>
        <x:v>10</x:v>
      </x:c>
      <x:c r="G1453" s="8" t="n">
        <x:f>MIN(F1453,9)+1</x:f>
        <x:v>10</x:v>
      </x:c>
      <x:c r="H1453" s="8" t="n">
        <x:f>IF(F1453&lt;=9,1,0)</x:f>
        <x:v>0</x:v>
      </x:c>
      <x:c r="I1453" s="9" t="n">
        <x:f>MIN(10,F1452+IF(AR1452&gt;0,MIN(1,AS1452/AR1452),1))</x:f>
        <x:v>10</x:v>
      </x:c>
      <x:c r="J1453" s="32" t="n">
        <x:f>INDEX(v01_FoodCap,G1453)*Arch_FoodCap*EXP(v01_CapsByProject*SUMPRODUCT((Cap_Point&lt;=I1453)*(Cap_Kind="Food")*Cap_Ln))</x:f>
        <x:v>12000</x:v>
      </x:c>
      <x:c r="K1453" s="32" t="n">
        <x:f>J1453*MIN(1,v01_LeanBase*EXP(v01_CapsByProject*SUMPRODUCT((Cap_Point&lt;=I1453)*(Cap_Kind="Lean")*Cap_Ln)))</x:f>
        <x:v>12000</x:v>
      </x:c>
      <x:c r="L1453" s="10" t="n">
        <x:f>INDEX(v01_HousingCap,G1453)*EXP(v01_CapsByProject*SUMPRODUCT((Cap_Point&lt;=I1453)*(Cap_Kind="Housing")*Cap_Ln))</x:f>
        <x:v>20000</x:v>
      </x:c>
      <x:c r="M1453" s="10" t="n">
        <x:f>INDEX(v01_GroupCap,G1453)*v01_CohesionFactor*EXP(v01_CapsByProject*SUMPRODUCT((Cap_Point&lt;=I1453)*(Cap_Kind="Group")*Cap_Ln))</x:f>
        <x:v>1000000</x:v>
      </x:c>
      <x:c r="N1453" s="32" t="n">
        <x:f>MIN(J1453,L1453,M1453)</x:f>
        <x:v>12000</x:v>
      </x:c>
      <x:c r="O1453" s="10" t="n">
        <x:f>AE1452*N1453</x:f>
        <x:v>180000</x:v>
      </x:c>
      <x:c r="P1453" s="9" t="n">
        <x:f>MIN(1,(AB1452/(AE1452*IF(v01_GroupInCrowding=1,N1453,MIN(J1453,L1453))))^v01_CrowdingExp)</x:f>
        <x:v>0.00024569414295285325</x:v>
      </x:c>
      <x:c r="Q1453" s="9" t="n">
        <x:f>IF(D1453=1,INDEX(v01_WinterMult,G1453),1)</x:f>
        <x:v>1</x:v>
      </x:c>
      <x:c r="R1453" s="9" t="n">
        <x:f>H1453*Z1452*v01_WomenShare*v01_BaseFertility*INDEX(v01_FertMult,G1453)*Arch_Fertility*(1-P1453)</x:f>
        <x:v>0</x:v>
      </x:c>
      <x:c r="S1453" s="9" t="n">
        <x:f>H1453*Y1452*INDEX(v01_MortChild,G1453)/4*Q1453</x:f>
        <x:v>0</x:v>
      </x:c>
      <x:c r="T1453" s="9" t="n">
        <x:f>H1453*Z1452*INDEX(v01_MortAdult,G1453)*Arch_AdultMort/4*Q1453</x:f>
        <x:v>0</x:v>
      </x:c>
      <x:c r="U1453" s="9" t="n">
        <x:f>H1453*AA1452*INDEX(v01_MortElder,G1453)/4*Q1453</x:f>
        <x:v>0</x:v>
      </x:c>
      <x:c r="V1453" s="9" t="n">
        <x:f>H1453*MAX(0,AB1452-O1453)*v01_OvercapLoss</x:f>
        <x:v>0</x:v>
      </x:c>
      <x:c r="W1453" s="9" t="n">
        <x:f>H1453*Y1452/(v01_ChildYears*4)</x:f>
        <x:v>0</x:v>
      </x:c>
      <x:c r="X1453" s="9" t="n">
        <x:f>H1453*Z1452/(v01_AdultYears*4)</x:f>
        <x:v>0</x:v>
      </x:c>
      <x:c r="Y1453" s="32" t="n">
        <x:f>Y1452+R1453-S1453-W1453-Y1452*V1453/AB1452</x:f>
        <x:v>14306.18539759397</x:v>
      </x:c>
      <x:c r="Z1453" s="32" t="n">
        <x:f>Z1452+W1453-X1453-T1453-Z1452*V1453/AB1452</x:f>
        <x:v>19354.456567879548</x:v>
      </x:c>
      <x:c r="AA1453" s="32" t="n">
        <x:f>AA1452+X1453-U1453-AA1452*V1453/AB1452</x:f>
        <x:v>11386.956063258198</x:v>
      </x:c>
      <x:c r="AB1453" s="10" t="n">
        <x:f>Y1453+Z1453+AA1453</x:f>
        <x:v>45047.59802873172</x:v>
      </x:c>
      <x:c r="AC1453" s="8" t="n">
        <x:f>IF(AND(v01_WinterTrigger=1,D1453=1,AB1452/AE1452&gt;=K1453),1,0)</x:f>
        <x:v>0</x:v>
      </x:c>
      <x:c r="AD1453" s="8" t="n">
        <x:f>H1453*IF(AND(OR(AB1452/AE1452&gt;=v01_FissionTrigger*N1453,AC1453=1),AB1452/AE1452*v01_DaughterShare&gt;=v01_MinDaughter),MAX(1,ROUND(AE1452*v01_FissionRate,0)),0)</x:f>
        <x:v>0</x:v>
      </x:c>
      <x:c r="AE1453" s="8" t="n">
        <x:f>IF(H1453=1,MAX(1,MIN(INDEX(v01_Smax,G1453),AE1452+AD1453)),AE1452)</x:f>
        <x:v>15</x:v>
      </x:c>
      <x:c r="AF1453" s="8" t="n">
        <x:f>MAX(0,AE1453-AE1452)</x:f>
        <x:v>0</x:v>
      </x:c>
      <x:c r="AG1453" s="9" t="str">
        <x:f>IF(AF1453&gt;0,B1453,"")</x:f>
      </x:c>
      <x:c r="AH1453" s="9" t="n">
        <x:f>IF(F1453&gt;=1,1,(1+v01_LowTiesShare*(AE1453-1))/AE1453)</x:f>
        <x:v>1</x:v>
      </x:c>
      <x:c r="AI1453" s="32" t="n">
        <x:f>(Z1453+v01_ElderCommons*INDEX(LM_Elder,G1453)*AA1453)*AH1453</x:f>
        <x:v>64139.732591141874</x:v>
      </x:c>
      <x:c r="AJ1453" s="32" t="n">
        <x:f>H1453*v01_CommonsCoef*AI1453^v01_CommonsExp*INDEX(LM_Commons,G1453)</x:f>
        <x:v>0</x:v>
      </x:c>
      <x:c r="AK1453" s="32" t="n">
        <x:f>H1453*v01_RoleScale*Arch_Roles*(AE1453*(INDEX(v01_ElderRolePerSett,G1453)*v01_OutElder*INDEX(LM_Elder,G1453)+INDEX(v01_ShamanPerSett,G1453)*v01_OutShaman)+Z1453*(INDEX(v01_PriestShare,G1453)*v01_OutPriest+INDEX(v01_ScribeShare,G1453)*v01_OutScribe*INDEX(LM_Scribe,G1453)+INDEX(v01_ScholarShare,G1453)*v01_OutScholar*INDEX(LM_Scholar,G1453)+INDEX(v01_ResearcherShare,G1453)*v01_OutResearcher*INDEX(LM_Researcher,G1453)))</x:f>
        <x:v>0</x:v>
      </x:c>
      <x:c r="AL1453" s="32" t="n">
        <x:f>H1453*v01_RoleScale*Arch_Roles*AE1453*INDEX(v01_MonasteryPerSett,G1453)*v01_OutMonastery*INDEX(LM_Monastery,G1453)</x:f>
        <x:v>0</x:v>
      </x:c>
      <x:c r="AM1453" s="32" t="n">
        <x:f>(AJ1453+AK1453+AL1453)/4*INDEX(LM_All,G1453)*INDEX(v01_Boon,G1453)*Arch_Insight</x:f>
        <x:v>0</x:v>
      </x:c>
      <x:c r="AN1453" s="32" t="n">
        <x:f>H1453*(v01_KHPerAdult*Z1453+v01_KHOfCommons*AJ1453/4*INDEX(LM_All,G1453))*v01_KHUsable*Arch_KH</x:f>
        <x:v>0</x:v>
      </x:c>
      <x:c r="AO1453" s="32" t="n">
        <x:f>MIN(AP1452+AN1453,AM1453*v01_KHMaxRatio)</x:f>
        <x:v>0</x:v>
      </x:c>
      <x:c r="AP1453" s="32" t="n">
        <x:f>AP1452+AN1453-AO1453</x:f>
        <x:v>0</x:v>
      </x:c>
      <x:c r="AQ1453" s="32" t="n">
        <x:f>AM1453+AO1453</x:f>
        <x:v>0</x:v>
      </x:c>
      <x:c r="AR1453" s="10" t="n">
        <x:f>IF(H1453=1,INDEX(v01_Req,G1453),0)</x:f>
        <x:v>0</x:v>
      </x:c>
      <x:c r="AS1453" s="32" t="n">
        <x:f>IF(H1453=1,IF(E1453=1,AS1452-AR1452,AS1452)+AQ1453,0)</x:f>
        <x:v>0</x:v>
      </x:c>
      <x:c r="AT1453" s="11" t="n">
        <x:f>IF(AR1453&gt;0,MIN(1,AS1453/AR1453),1)</x:f>
        <x:v>1</x:v>
      </x:c>
      <x:c r="AU1453" s="10" t="n">
        <x:f>AB1453/INDEX(v01_RepScale,G1453)</x:f>
        <x:v>90.09519605746344</x:v>
      </x:c>
      <x:c r="AV1453" s="32" t="n">
        <x:f>AM1453*60/v01_SeasonSeconds</x:f>
        <x:v>0</x:v>
      </x:c>
    </x:row>
    <x:row r="1454">
      <x:c r="A1454" s="8" t="n">
        <x:f>A1453+1</x:f>
        <x:v>1451</x:v>
      </x:c>
      <x:c r="B1454" s="9" t="n">
        <x:f>A1454*v01_SeasonSeconds/60</x:f>
        <x:v>362.75</x:v>
      </x:c>
      <x:c r="C1454" s="9" t="n">
        <x:f>A1454/4</x:f>
        <x:v>362.75</x:v>
      </x:c>
      <x:c r="D1454" s="8" t="n">
        <x:f>IF(MOD(A1454,4)=0,1,0)</x:f>
        <x:v>0</x:v>
      </x:c>
      <x:c r="E1454" s="8" t="n">
        <x:f>IF(AND(F1453&lt;=9,AS1453&gt;=AR1453),1,0)</x:f>
        <x:v>0</x:v>
      </x:c>
      <x:c r="F1454" s="8" t="n">
        <x:f>MIN(10,F1453+E1454)</x:f>
        <x:v>10</x:v>
      </x:c>
      <x:c r="G1454" s="8" t="n">
        <x:f>MIN(F1454,9)+1</x:f>
        <x:v>10</x:v>
      </x:c>
      <x:c r="H1454" s="8" t="n">
        <x:f>IF(F1454&lt;=9,1,0)</x:f>
        <x:v>0</x:v>
      </x:c>
      <x:c r="I1454" s="9" t="n">
        <x:f>MIN(10,F1453+IF(AR1453&gt;0,MIN(1,AS1453/AR1453),1))</x:f>
        <x:v>10</x:v>
      </x:c>
      <x:c r="J1454" s="32" t="n">
        <x:f>INDEX(v01_FoodCap,G1454)*Arch_FoodCap*EXP(v01_CapsByProject*SUMPRODUCT((Cap_Point&lt;=I1454)*(Cap_Kind="Food")*Cap_Ln))</x:f>
        <x:v>12000</x:v>
      </x:c>
      <x:c r="K1454" s="32" t="n">
        <x:f>J1454*MIN(1,v01_LeanBase*EXP(v01_CapsByProject*SUMPRODUCT((Cap_Point&lt;=I1454)*(Cap_Kind="Lean")*Cap_Ln)))</x:f>
        <x:v>12000</x:v>
      </x:c>
      <x:c r="L1454" s="10" t="n">
        <x:f>INDEX(v01_HousingCap,G1454)*EXP(v01_CapsByProject*SUMPRODUCT((Cap_Point&lt;=I1454)*(Cap_Kind="Housing")*Cap_Ln))</x:f>
        <x:v>20000</x:v>
      </x:c>
      <x:c r="M1454" s="10" t="n">
        <x:f>INDEX(v01_GroupCap,G1454)*v01_CohesionFactor*EXP(v01_CapsByProject*SUMPRODUCT((Cap_Point&lt;=I1454)*(Cap_Kind="Group")*Cap_Ln))</x:f>
        <x:v>1000000</x:v>
      </x:c>
      <x:c r="N1454" s="32" t="n">
        <x:f>MIN(J1454,L1454,M1454)</x:f>
        <x:v>12000</x:v>
      </x:c>
      <x:c r="O1454" s="10" t="n">
        <x:f>AE1453*N1454</x:f>
        <x:v>180000</x:v>
      </x:c>
      <x:c r="P1454" s="9" t="n">
        <x:f>MIN(1,(AB1453/(AE1453*IF(v01_GroupInCrowding=1,N1454,MIN(J1454,L1454))))^v01_CrowdingExp)</x:f>
        <x:v>0.00024569414295285325</x:v>
      </x:c>
      <x:c r="Q1454" s="9" t="n">
        <x:f>IF(D1454=1,INDEX(v01_WinterMult,G1454),1)</x:f>
        <x:v>1</x:v>
      </x:c>
      <x:c r="R1454" s="9" t="n">
        <x:f>H1454*Z1453*v01_WomenShare*v01_BaseFertility*INDEX(v01_FertMult,G1454)*Arch_Fertility*(1-P1454)</x:f>
        <x:v>0</x:v>
      </x:c>
      <x:c r="S1454" s="9" t="n">
        <x:f>H1454*Y1453*INDEX(v01_MortChild,G1454)/4*Q1454</x:f>
        <x:v>0</x:v>
      </x:c>
      <x:c r="T1454" s="9" t="n">
        <x:f>H1454*Z1453*INDEX(v01_MortAdult,G1454)*Arch_AdultMort/4*Q1454</x:f>
        <x:v>0</x:v>
      </x:c>
      <x:c r="U1454" s="9" t="n">
        <x:f>H1454*AA1453*INDEX(v01_MortElder,G1454)/4*Q1454</x:f>
        <x:v>0</x:v>
      </x:c>
      <x:c r="V1454" s="9" t="n">
        <x:f>H1454*MAX(0,AB1453-O1454)*v01_OvercapLoss</x:f>
        <x:v>0</x:v>
      </x:c>
      <x:c r="W1454" s="9" t="n">
        <x:f>H1454*Y1453/(v01_ChildYears*4)</x:f>
        <x:v>0</x:v>
      </x:c>
      <x:c r="X1454" s="9" t="n">
        <x:f>H1454*Z1453/(v01_AdultYears*4)</x:f>
        <x:v>0</x:v>
      </x:c>
      <x:c r="Y1454" s="32" t="n">
        <x:f>Y1453+R1454-S1454-W1454-Y1453*V1454/AB1453</x:f>
        <x:v>14306.18539759397</x:v>
      </x:c>
      <x:c r="Z1454" s="32" t="n">
        <x:f>Z1453+W1454-X1454-T1454-Z1453*V1454/AB1453</x:f>
        <x:v>19354.456567879548</x:v>
      </x:c>
      <x:c r="AA1454" s="32" t="n">
        <x:f>AA1453+X1454-U1454-AA1453*V1454/AB1453</x:f>
        <x:v>11386.956063258198</x:v>
      </x:c>
      <x:c r="AB1454" s="10" t="n">
        <x:f>Y1454+Z1454+AA1454</x:f>
        <x:v>45047.59802873172</x:v>
      </x:c>
      <x:c r="AC1454" s="8" t="n">
        <x:f>IF(AND(v01_WinterTrigger=1,D1454=1,AB1453/AE1453&gt;=K1454),1,0)</x:f>
        <x:v>0</x:v>
      </x:c>
      <x:c r="AD1454" s="8" t="n">
        <x:f>H1454*IF(AND(OR(AB1453/AE1453&gt;=v01_FissionTrigger*N1454,AC1454=1),AB1453/AE1453*v01_DaughterShare&gt;=v01_MinDaughter),MAX(1,ROUND(AE1453*v01_FissionRate,0)),0)</x:f>
        <x:v>0</x:v>
      </x:c>
      <x:c r="AE1454" s="8" t="n">
        <x:f>IF(H1454=1,MAX(1,MIN(INDEX(v01_Smax,G1454),AE1453+AD1454)),AE1453)</x:f>
        <x:v>15</x:v>
      </x:c>
      <x:c r="AF1454" s="8" t="n">
        <x:f>MAX(0,AE1454-AE1453)</x:f>
        <x:v>0</x:v>
      </x:c>
      <x:c r="AG1454" s="9" t="str">
        <x:f>IF(AF1454&gt;0,B1454,"")</x:f>
      </x:c>
      <x:c r="AH1454" s="9" t="n">
        <x:f>IF(F1454&gt;=1,1,(1+v01_LowTiesShare*(AE1454-1))/AE1454)</x:f>
        <x:v>1</x:v>
      </x:c>
      <x:c r="AI1454" s="32" t="n">
        <x:f>(Z1454+v01_ElderCommons*INDEX(LM_Elder,G1454)*AA1454)*AH1454</x:f>
        <x:v>64139.732591141874</x:v>
      </x:c>
      <x:c r="AJ1454" s="32" t="n">
        <x:f>H1454*v01_CommonsCoef*AI1454^v01_CommonsExp*INDEX(LM_Commons,G1454)</x:f>
        <x:v>0</x:v>
      </x:c>
      <x:c r="AK1454" s="32" t="n">
        <x:f>H1454*v01_RoleScale*Arch_Roles*(AE1454*(INDEX(v01_ElderRolePerSett,G1454)*v01_OutElder*INDEX(LM_Elder,G1454)+INDEX(v01_ShamanPerSett,G1454)*v01_OutShaman)+Z1454*(INDEX(v01_PriestShare,G1454)*v01_OutPriest+INDEX(v01_ScribeShare,G1454)*v01_OutScribe*INDEX(LM_Scribe,G1454)+INDEX(v01_ScholarShare,G1454)*v01_OutScholar*INDEX(LM_Scholar,G1454)+INDEX(v01_ResearcherShare,G1454)*v01_OutResearcher*INDEX(LM_Researcher,G1454)))</x:f>
        <x:v>0</x:v>
      </x:c>
      <x:c r="AL1454" s="32" t="n">
        <x:f>H1454*v01_RoleScale*Arch_Roles*AE1454*INDEX(v01_MonasteryPerSett,G1454)*v01_OutMonastery*INDEX(LM_Monastery,G1454)</x:f>
        <x:v>0</x:v>
      </x:c>
      <x:c r="AM1454" s="32" t="n">
        <x:f>(AJ1454+AK1454+AL1454)/4*INDEX(LM_All,G1454)*INDEX(v01_Boon,G1454)*Arch_Insight</x:f>
        <x:v>0</x:v>
      </x:c>
      <x:c r="AN1454" s="32" t="n">
        <x:f>H1454*(v01_KHPerAdult*Z1454+v01_KHOfCommons*AJ1454/4*INDEX(LM_All,G1454))*v01_KHUsable*Arch_KH</x:f>
        <x:v>0</x:v>
      </x:c>
      <x:c r="AO1454" s="32" t="n">
        <x:f>MIN(AP1453+AN1454,AM1454*v01_KHMaxRatio)</x:f>
        <x:v>0</x:v>
      </x:c>
      <x:c r="AP1454" s="32" t="n">
        <x:f>AP1453+AN1454-AO1454</x:f>
        <x:v>0</x:v>
      </x:c>
      <x:c r="AQ1454" s="32" t="n">
        <x:f>AM1454+AO1454</x:f>
        <x:v>0</x:v>
      </x:c>
      <x:c r="AR1454" s="10" t="n">
        <x:f>IF(H1454=1,INDEX(v01_Req,G1454),0)</x:f>
        <x:v>0</x:v>
      </x:c>
      <x:c r="AS1454" s="32" t="n">
        <x:f>IF(H1454=1,IF(E1454=1,AS1453-AR1453,AS1453)+AQ1454,0)</x:f>
        <x:v>0</x:v>
      </x:c>
      <x:c r="AT1454" s="11" t="n">
        <x:f>IF(AR1454&gt;0,MIN(1,AS1454/AR1454),1)</x:f>
        <x:v>1</x:v>
      </x:c>
      <x:c r="AU1454" s="10" t="n">
        <x:f>AB1454/INDEX(v01_RepScale,G1454)</x:f>
        <x:v>90.09519605746344</x:v>
      </x:c>
      <x:c r="AV1454" s="32" t="n">
        <x:f>AM1454*60/v01_SeasonSeconds</x:f>
        <x:v>0</x:v>
      </x:c>
    </x:row>
    <x:row r="1455">
      <x:c r="A1455" s="8" t="n">
        <x:f>A1454+1</x:f>
        <x:v>1452</x:v>
      </x:c>
      <x:c r="B1455" s="9" t="n">
        <x:f>A1455*v01_SeasonSeconds/60</x:f>
        <x:v>363</x:v>
      </x:c>
      <x:c r="C1455" s="9" t="n">
        <x:f>A1455/4</x:f>
        <x:v>363</x:v>
      </x:c>
      <x:c r="D1455" s="8" t="n">
        <x:f>IF(MOD(A1455,4)=0,1,0)</x:f>
        <x:v>1</x:v>
      </x:c>
      <x:c r="E1455" s="8" t="n">
        <x:f>IF(AND(F1454&lt;=9,AS1454&gt;=AR1454),1,0)</x:f>
        <x:v>0</x:v>
      </x:c>
      <x:c r="F1455" s="8" t="n">
        <x:f>MIN(10,F1454+E1455)</x:f>
        <x:v>10</x:v>
      </x:c>
      <x:c r="G1455" s="8" t="n">
        <x:f>MIN(F1455,9)+1</x:f>
        <x:v>10</x:v>
      </x:c>
      <x:c r="H1455" s="8" t="n">
        <x:f>IF(F1455&lt;=9,1,0)</x:f>
        <x:v>0</x:v>
      </x:c>
      <x:c r="I1455" s="9" t="n">
        <x:f>MIN(10,F1454+IF(AR1454&gt;0,MIN(1,AS1454/AR1454),1))</x:f>
        <x:v>10</x:v>
      </x:c>
      <x:c r="J1455" s="32" t="n">
        <x:f>INDEX(v01_FoodCap,G1455)*Arch_FoodCap*EXP(v01_CapsByProject*SUMPRODUCT((Cap_Point&lt;=I1455)*(Cap_Kind="Food")*Cap_Ln))</x:f>
        <x:v>12000</x:v>
      </x:c>
      <x:c r="K1455" s="32" t="n">
        <x:f>J1455*MIN(1,v01_LeanBase*EXP(v01_CapsByProject*SUMPRODUCT((Cap_Point&lt;=I1455)*(Cap_Kind="Lean")*Cap_Ln)))</x:f>
        <x:v>12000</x:v>
      </x:c>
      <x:c r="L1455" s="10" t="n">
        <x:f>INDEX(v01_HousingCap,G1455)*EXP(v01_CapsByProject*SUMPRODUCT((Cap_Point&lt;=I1455)*(Cap_Kind="Housing")*Cap_Ln))</x:f>
        <x:v>20000</x:v>
      </x:c>
      <x:c r="M1455" s="10" t="n">
        <x:f>INDEX(v01_GroupCap,G1455)*v01_CohesionFactor*EXP(v01_CapsByProject*SUMPRODUCT((Cap_Point&lt;=I1455)*(Cap_Kind="Group")*Cap_Ln))</x:f>
        <x:v>1000000</x:v>
      </x:c>
      <x:c r="N1455" s="32" t="n">
        <x:f>MIN(J1455,L1455,M1455)</x:f>
        <x:v>12000</x:v>
      </x:c>
      <x:c r="O1455" s="10" t="n">
        <x:f>AE1454*N1455</x:f>
        <x:v>180000</x:v>
      </x:c>
      <x:c r="P1455" s="9" t="n">
        <x:f>MIN(1,(AB1454/(AE1454*IF(v01_GroupInCrowding=1,N1455,MIN(J1455,L1455))))^v01_CrowdingExp)</x:f>
        <x:v>0.00024569414295285325</x:v>
      </x:c>
      <x:c r="Q1455" s="9" t="n">
        <x:f>IF(D1455=1,INDEX(v01_WinterMult,G1455),1)</x:f>
        <x:v>1</x:v>
      </x:c>
      <x:c r="R1455" s="9" t="n">
        <x:f>H1455*Z1454*v01_WomenShare*v01_BaseFertility*INDEX(v01_FertMult,G1455)*Arch_Fertility*(1-P1455)</x:f>
        <x:v>0</x:v>
      </x:c>
      <x:c r="S1455" s="9" t="n">
        <x:f>H1455*Y1454*INDEX(v01_MortChild,G1455)/4*Q1455</x:f>
        <x:v>0</x:v>
      </x:c>
      <x:c r="T1455" s="9" t="n">
        <x:f>H1455*Z1454*INDEX(v01_MortAdult,G1455)*Arch_AdultMort/4*Q1455</x:f>
        <x:v>0</x:v>
      </x:c>
      <x:c r="U1455" s="9" t="n">
        <x:f>H1455*AA1454*INDEX(v01_MortElder,G1455)/4*Q1455</x:f>
        <x:v>0</x:v>
      </x:c>
      <x:c r="V1455" s="9" t="n">
        <x:f>H1455*MAX(0,AB1454-O1455)*v01_OvercapLoss</x:f>
        <x:v>0</x:v>
      </x:c>
      <x:c r="W1455" s="9" t="n">
        <x:f>H1455*Y1454/(v01_ChildYears*4)</x:f>
        <x:v>0</x:v>
      </x:c>
      <x:c r="X1455" s="9" t="n">
        <x:f>H1455*Z1454/(v01_AdultYears*4)</x:f>
        <x:v>0</x:v>
      </x:c>
      <x:c r="Y1455" s="32" t="n">
        <x:f>Y1454+R1455-S1455-W1455-Y1454*V1455/AB1454</x:f>
        <x:v>14306.18539759397</x:v>
      </x:c>
      <x:c r="Z1455" s="32" t="n">
        <x:f>Z1454+W1455-X1455-T1455-Z1454*V1455/AB1454</x:f>
        <x:v>19354.456567879548</x:v>
      </x:c>
      <x:c r="AA1455" s="32" t="n">
        <x:f>AA1454+X1455-U1455-AA1454*V1455/AB1454</x:f>
        <x:v>11386.956063258198</x:v>
      </x:c>
      <x:c r="AB1455" s="10" t="n">
        <x:f>Y1455+Z1455+AA1455</x:f>
        <x:v>45047.59802873172</x:v>
      </x:c>
      <x:c r="AC1455" s="8" t="n">
        <x:f>IF(AND(v01_WinterTrigger=1,D1455=1,AB1454/AE1454&gt;=K1455),1,0)</x:f>
        <x:v>0</x:v>
      </x:c>
      <x:c r="AD1455" s="8" t="n">
        <x:f>H1455*IF(AND(OR(AB1454/AE1454&gt;=v01_FissionTrigger*N1455,AC1455=1),AB1454/AE1454*v01_DaughterShare&gt;=v01_MinDaughter),MAX(1,ROUND(AE1454*v01_FissionRate,0)),0)</x:f>
        <x:v>0</x:v>
      </x:c>
      <x:c r="AE1455" s="8" t="n">
        <x:f>IF(H1455=1,MAX(1,MIN(INDEX(v01_Smax,G1455),AE1454+AD1455)),AE1454)</x:f>
        <x:v>15</x:v>
      </x:c>
      <x:c r="AF1455" s="8" t="n">
        <x:f>MAX(0,AE1455-AE1454)</x:f>
        <x:v>0</x:v>
      </x:c>
      <x:c r="AG1455" s="9" t="str">
        <x:f>IF(AF1455&gt;0,B1455,"")</x:f>
      </x:c>
      <x:c r="AH1455" s="9" t="n">
        <x:f>IF(F1455&gt;=1,1,(1+v01_LowTiesShare*(AE1455-1))/AE1455)</x:f>
        <x:v>1</x:v>
      </x:c>
      <x:c r="AI1455" s="32" t="n">
        <x:f>(Z1455+v01_ElderCommons*INDEX(LM_Elder,G1455)*AA1455)*AH1455</x:f>
        <x:v>64139.732591141874</x:v>
      </x:c>
      <x:c r="AJ1455" s="32" t="n">
        <x:f>H1455*v01_CommonsCoef*AI1455^v01_CommonsExp*INDEX(LM_Commons,G1455)</x:f>
        <x:v>0</x:v>
      </x:c>
      <x:c r="AK1455" s="32" t="n">
        <x:f>H1455*v01_RoleScale*Arch_Roles*(AE1455*(INDEX(v01_ElderRolePerSett,G1455)*v01_OutElder*INDEX(LM_Elder,G1455)+INDEX(v01_ShamanPerSett,G1455)*v01_OutShaman)+Z1455*(INDEX(v01_PriestShare,G1455)*v01_OutPriest+INDEX(v01_ScribeShare,G1455)*v01_OutScribe*INDEX(LM_Scribe,G1455)+INDEX(v01_ScholarShare,G1455)*v01_OutScholar*INDEX(LM_Scholar,G1455)+INDEX(v01_ResearcherShare,G1455)*v01_OutResearcher*INDEX(LM_Researcher,G1455)))</x:f>
        <x:v>0</x:v>
      </x:c>
      <x:c r="AL1455" s="32" t="n">
        <x:f>H1455*v01_RoleScale*Arch_Roles*AE1455*INDEX(v01_MonasteryPerSett,G1455)*v01_OutMonastery*INDEX(LM_Monastery,G1455)</x:f>
        <x:v>0</x:v>
      </x:c>
      <x:c r="AM1455" s="32" t="n">
        <x:f>(AJ1455+AK1455+AL1455)/4*INDEX(LM_All,G1455)*INDEX(v01_Boon,G1455)*Arch_Insight</x:f>
        <x:v>0</x:v>
      </x:c>
      <x:c r="AN1455" s="32" t="n">
        <x:f>H1455*(v01_KHPerAdult*Z1455+v01_KHOfCommons*AJ1455/4*INDEX(LM_All,G1455))*v01_KHUsable*Arch_KH</x:f>
        <x:v>0</x:v>
      </x:c>
      <x:c r="AO1455" s="32" t="n">
        <x:f>MIN(AP1454+AN1455,AM1455*v01_KHMaxRatio)</x:f>
        <x:v>0</x:v>
      </x:c>
      <x:c r="AP1455" s="32" t="n">
        <x:f>AP1454+AN1455-AO1455</x:f>
        <x:v>0</x:v>
      </x:c>
      <x:c r="AQ1455" s="32" t="n">
        <x:f>AM1455+AO1455</x:f>
        <x:v>0</x:v>
      </x:c>
      <x:c r="AR1455" s="10" t="n">
        <x:f>IF(H1455=1,INDEX(v01_Req,G1455),0)</x:f>
        <x:v>0</x:v>
      </x:c>
      <x:c r="AS1455" s="32" t="n">
        <x:f>IF(H1455=1,IF(E1455=1,AS1454-AR1454,AS1454)+AQ1455,0)</x:f>
        <x:v>0</x:v>
      </x:c>
      <x:c r="AT1455" s="11" t="n">
        <x:f>IF(AR1455&gt;0,MIN(1,AS1455/AR1455),1)</x:f>
        <x:v>1</x:v>
      </x:c>
      <x:c r="AU1455" s="10" t="n">
        <x:f>AB1455/INDEX(v01_RepScale,G1455)</x:f>
        <x:v>90.09519605746344</x:v>
      </x:c>
      <x:c r="AV1455" s="32" t="n">
        <x:f>AM1455*60/v01_SeasonSeconds</x:f>
        <x:v>0</x:v>
      </x:c>
    </x:row>
    <x:row r="1456">
      <x:c r="A1456" s="8" t="n">
        <x:f>A1455+1</x:f>
        <x:v>1453</x:v>
      </x:c>
      <x:c r="B1456" s="9" t="n">
        <x:f>A1456*v01_SeasonSeconds/60</x:f>
        <x:v>363.25</x:v>
      </x:c>
      <x:c r="C1456" s="9" t="n">
        <x:f>A1456/4</x:f>
        <x:v>363.25</x:v>
      </x:c>
      <x:c r="D1456" s="8" t="n">
        <x:f>IF(MOD(A1456,4)=0,1,0)</x:f>
        <x:v>0</x:v>
      </x:c>
      <x:c r="E1456" s="8" t="n">
        <x:f>IF(AND(F1455&lt;=9,AS1455&gt;=AR1455),1,0)</x:f>
        <x:v>0</x:v>
      </x:c>
      <x:c r="F1456" s="8" t="n">
        <x:f>MIN(10,F1455+E1456)</x:f>
        <x:v>10</x:v>
      </x:c>
      <x:c r="G1456" s="8" t="n">
        <x:f>MIN(F1456,9)+1</x:f>
        <x:v>10</x:v>
      </x:c>
      <x:c r="H1456" s="8" t="n">
        <x:f>IF(F1456&lt;=9,1,0)</x:f>
        <x:v>0</x:v>
      </x:c>
      <x:c r="I1456" s="9" t="n">
        <x:f>MIN(10,F1455+IF(AR1455&gt;0,MIN(1,AS1455/AR1455),1))</x:f>
        <x:v>10</x:v>
      </x:c>
      <x:c r="J1456" s="32" t="n">
        <x:f>INDEX(v01_FoodCap,G1456)*Arch_FoodCap*EXP(v01_CapsByProject*SUMPRODUCT((Cap_Point&lt;=I1456)*(Cap_Kind="Food")*Cap_Ln))</x:f>
        <x:v>12000</x:v>
      </x:c>
      <x:c r="K1456" s="32" t="n">
        <x:f>J1456*MIN(1,v01_LeanBase*EXP(v01_CapsByProject*SUMPRODUCT((Cap_Point&lt;=I1456)*(Cap_Kind="Lean")*Cap_Ln)))</x:f>
        <x:v>12000</x:v>
      </x:c>
      <x:c r="L1456" s="10" t="n">
        <x:f>INDEX(v01_HousingCap,G1456)*EXP(v01_CapsByProject*SUMPRODUCT((Cap_Point&lt;=I1456)*(Cap_Kind="Housing")*Cap_Ln))</x:f>
        <x:v>20000</x:v>
      </x:c>
      <x:c r="M1456" s="10" t="n">
        <x:f>INDEX(v01_GroupCap,G1456)*v01_CohesionFactor*EXP(v01_CapsByProject*SUMPRODUCT((Cap_Point&lt;=I1456)*(Cap_Kind="Group")*Cap_Ln))</x:f>
        <x:v>1000000</x:v>
      </x:c>
      <x:c r="N1456" s="32" t="n">
        <x:f>MIN(J1456,L1456,M1456)</x:f>
        <x:v>12000</x:v>
      </x:c>
      <x:c r="O1456" s="10" t="n">
        <x:f>AE1455*N1456</x:f>
        <x:v>180000</x:v>
      </x:c>
      <x:c r="P1456" s="9" t="n">
        <x:f>MIN(1,(AB1455/(AE1455*IF(v01_GroupInCrowding=1,N1456,MIN(J1456,L1456))))^v01_CrowdingExp)</x:f>
        <x:v>0.00024569414295285325</x:v>
      </x:c>
      <x:c r="Q1456" s="9" t="n">
        <x:f>IF(D1456=1,INDEX(v01_WinterMult,G1456),1)</x:f>
        <x:v>1</x:v>
      </x:c>
      <x:c r="R1456" s="9" t="n">
        <x:f>H1456*Z1455*v01_WomenShare*v01_BaseFertility*INDEX(v01_FertMult,G1456)*Arch_Fertility*(1-P1456)</x:f>
        <x:v>0</x:v>
      </x:c>
      <x:c r="S1456" s="9" t="n">
        <x:f>H1456*Y1455*INDEX(v01_MortChild,G1456)/4*Q1456</x:f>
        <x:v>0</x:v>
      </x:c>
      <x:c r="T1456" s="9" t="n">
        <x:f>H1456*Z1455*INDEX(v01_MortAdult,G1456)*Arch_AdultMort/4*Q1456</x:f>
        <x:v>0</x:v>
      </x:c>
      <x:c r="U1456" s="9" t="n">
        <x:f>H1456*AA1455*INDEX(v01_MortElder,G1456)/4*Q1456</x:f>
        <x:v>0</x:v>
      </x:c>
      <x:c r="V1456" s="9" t="n">
        <x:f>H1456*MAX(0,AB1455-O1456)*v01_OvercapLoss</x:f>
        <x:v>0</x:v>
      </x:c>
      <x:c r="W1456" s="9" t="n">
        <x:f>H1456*Y1455/(v01_ChildYears*4)</x:f>
        <x:v>0</x:v>
      </x:c>
      <x:c r="X1456" s="9" t="n">
        <x:f>H1456*Z1455/(v01_AdultYears*4)</x:f>
        <x:v>0</x:v>
      </x:c>
      <x:c r="Y1456" s="32" t="n">
        <x:f>Y1455+R1456-S1456-W1456-Y1455*V1456/AB1455</x:f>
        <x:v>14306.18539759397</x:v>
      </x:c>
      <x:c r="Z1456" s="32" t="n">
        <x:f>Z1455+W1456-X1456-T1456-Z1455*V1456/AB1455</x:f>
        <x:v>19354.456567879548</x:v>
      </x:c>
      <x:c r="AA1456" s="32" t="n">
        <x:f>AA1455+X1456-U1456-AA1455*V1456/AB1455</x:f>
        <x:v>11386.956063258198</x:v>
      </x:c>
      <x:c r="AB1456" s="10" t="n">
        <x:f>Y1456+Z1456+AA1456</x:f>
        <x:v>45047.59802873172</x:v>
      </x:c>
      <x:c r="AC1456" s="8" t="n">
        <x:f>IF(AND(v01_WinterTrigger=1,D1456=1,AB1455/AE1455&gt;=K1456),1,0)</x:f>
        <x:v>0</x:v>
      </x:c>
      <x:c r="AD1456" s="8" t="n">
        <x:f>H1456*IF(AND(OR(AB1455/AE1455&gt;=v01_FissionTrigger*N1456,AC1456=1),AB1455/AE1455*v01_DaughterShare&gt;=v01_MinDaughter),MAX(1,ROUND(AE1455*v01_FissionRate,0)),0)</x:f>
        <x:v>0</x:v>
      </x:c>
      <x:c r="AE1456" s="8" t="n">
        <x:f>IF(H1456=1,MAX(1,MIN(INDEX(v01_Smax,G1456),AE1455+AD1456)),AE1455)</x:f>
        <x:v>15</x:v>
      </x:c>
      <x:c r="AF1456" s="8" t="n">
        <x:f>MAX(0,AE1456-AE1455)</x:f>
        <x:v>0</x:v>
      </x:c>
      <x:c r="AG1456" s="9" t="str">
        <x:f>IF(AF1456&gt;0,B1456,"")</x:f>
      </x:c>
      <x:c r="AH1456" s="9" t="n">
        <x:f>IF(F1456&gt;=1,1,(1+v01_LowTiesShare*(AE1456-1))/AE1456)</x:f>
        <x:v>1</x:v>
      </x:c>
      <x:c r="AI1456" s="32" t="n">
        <x:f>(Z1456+v01_ElderCommons*INDEX(LM_Elder,G1456)*AA1456)*AH1456</x:f>
        <x:v>64139.732591141874</x:v>
      </x:c>
      <x:c r="AJ1456" s="32" t="n">
        <x:f>H1456*v01_CommonsCoef*AI1456^v01_CommonsExp*INDEX(LM_Commons,G1456)</x:f>
        <x:v>0</x:v>
      </x:c>
      <x:c r="AK1456" s="32" t="n">
        <x:f>H1456*v01_RoleScale*Arch_Roles*(AE1456*(INDEX(v01_ElderRolePerSett,G1456)*v01_OutElder*INDEX(LM_Elder,G1456)+INDEX(v01_ShamanPerSett,G1456)*v01_OutShaman)+Z1456*(INDEX(v01_PriestShare,G1456)*v01_OutPriest+INDEX(v01_ScribeShare,G1456)*v01_OutScribe*INDEX(LM_Scribe,G1456)+INDEX(v01_ScholarShare,G1456)*v01_OutScholar*INDEX(LM_Scholar,G1456)+INDEX(v01_ResearcherShare,G1456)*v01_OutResearcher*INDEX(LM_Researcher,G1456)))</x:f>
        <x:v>0</x:v>
      </x:c>
      <x:c r="AL1456" s="32" t="n">
        <x:f>H1456*v01_RoleScale*Arch_Roles*AE1456*INDEX(v01_MonasteryPerSett,G1456)*v01_OutMonastery*INDEX(LM_Monastery,G1456)</x:f>
        <x:v>0</x:v>
      </x:c>
      <x:c r="AM1456" s="32" t="n">
        <x:f>(AJ1456+AK1456+AL1456)/4*INDEX(LM_All,G1456)*INDEX(v01_Boon,G1456)*Arch_Insight</x:f>
        <x:v>0</x:v>
      </x:c>
      <x:c r="AN1456" s="32" t="n">
        <x:f>H1456*(v01_KHPerAdult*Z1456+v01_KHOfCommons*AJ1456/4*INDEX(LM_All,G1456))*v01_KHUsable*Arch_KH</x:f>
        <x:v>0</x:v>
      </x:c>
      <x:c r="AO1456" s="32" t="n">
        <x:f>MIN(AP1455+AN1456,AM1456*v01_KHMaxRatio)</x:f>
        <x:v>0</x:v>
      </x:c>
      <x:c r="AP1456" s="32" t="n">
        <x:f>AP1455+AN1456-AO1456</x:f>
        <x:v>0</x:v>
      </x:c>
      <x:c r="AQ1456" s="32" t="n">
        <x:f>AM1456+AO1456</x:f>
        <x:v>0</x:v>
      </x:c>
      <x:c r="AR1456" s="10" t="n">
        <x:f>IF(H1456=1,INDEX(v01_Req,G1456),0)</x:f>
        <x:v>0</x:v>
      </x:c>
      <x:c r="AS1456" s="32" t="n">
        <x:f>IF(H1456=1,IF(E1456=1,AS1455-AR1455,AS1455)+AQ1456,0)</x:f>
        <x:v>0</x:v>
      </x:c>
      <x:c r="AT1456" s="11" t="n">
        <x:f>IF(AR1456&gt;0,MIN(1,AS1456/AR1456),1)</x:f>
        <x:v>1</x:v>
      </x:c>
      <x:c r="AU1456" s="10" t="n">
        <x:f>AB1456/INDEX(v01_RepScale,G1456)</x:f>
        <x:v>90.09519605746344</x:v>
      </x:c>
      <x:c r="AV1456" s="32" t="n">
        <x:f>AM1456*60/v01_SeasonSeconds</x:f>
        <x:v>0</x:v>
      </x:c>
    </x:row>
    <x:row r="1457">
      <x:c r="A1457" s="8" t="n">
        <x:f>A1456+1</x:f>
        <x:v>1454</x:v>
      </x:c>
      <x:c r="B1457" s="9" t="n">
        <x:f>A1457*v01_SeasonSeconds/60</x:f>
        <x:v>363.5</x:v>
      </x:c>
      <x:c r="C1457" s="9" t="n">
        <x:f>A1457/4</x:f>
        <x:v>363.5</x:v>
      </x:c>
      <x:c r="D1457" s="8" t="n">
        <x:f>IF(MOD(A1457,4)=0,1,0)</x:f>
        <x:v>0</x:v>
      </x:c>
      <x:c r="E1457" s="8" t="n">
        <x:f>IF(AND(F1456&lt;=9,AS1456&gt;=AR1456),1,0)</x:f>
        <x:v>0</x:v>
      </x:c>
      <x:c r="F1457" s="8" t="n">
        <x:f>MIN(10,F1456+E1457)</x:f>
        <x:v>10</x:v>
      </x:c>
      <x:c r="G1457" s="8" t="n">
        <x:f>MIN(F1457,9)+1</x:f>
        <x:v>10</x:v>
      </x:c>
      <x:c r="H1457" s="8" t="n">
        <x:f>IF(F1457&lt;=9,1,0)</x:f>
        <x:v>0</x:v>
      </x:c>
      <x:c r="I1457" s="9" t="n">
        <x:f>MIN(10,F1456+IF(AR1456&gt;0,MIN(1,AS1456/AR1456),1))</x:f>
        <x:v>10</x:v>
      </x:c>
      <x:c r="J1457" s="32" t="n">
        <x:f>INDEX(v01_FoodCap,G1457)*Arch_FoodCap*EXP(v01_CapsByProject*SUMPRODUCT((Cap_Point&lt;=I1457)*(Cap_Kind="Food")*Cap_Ln))</x:f>
        <x:v>12000</x:v>
      </x:c>
      <x:c r="K1457" s="32" t="n">
        <x:f>J1457*MIN(1,v01_LeanBase*EXP(v01_CapsByProject*SUMPRODUCT((Cap_Point&lt;=I1457)*(Cap_Kind="Lean")*Cap_Ln)))</x:f>
        <x:v>12000</x:v>
      </x:c>
      <x:c r="L1457" s="10" t="n">
        <x:f>INDEX(v01_HousingCap,G1457)*EXP(v01_CapsByProject*SUMPRODUCT((Cap_Point&lt;=I1457)*(Cap_Kind="Housing")*Cap_Ln))</x:f>
        <x:v>20000</x:v>
      </x:c>
      <x:c r="M1457" s="10" t="n">
        <x:f>INDEX(v01_GroupCap,G1457)*v01_CohesionFactor*EXP(v01_CapsByProject*SUMPRODUCT((Cap_Point&lt;=I1457)*(Cap_Kind="Group")*Cap_Ln))</x:f>
        <x:v>1000000</x:v>
      </x:c>
      <x:c r="N1457" s="32" t="n">
        <x:f>MIN(J1457,L1457,M1457)</x:f>
        <x:v>12000</x:v>
      </x:c>
      <x:c r="O1457" s="10" t="n">
        <x:f>AE1456*N1457</x:f>
        <x:v>180000</x:v>
      </x:c>
      <x:c r="P1457" s="9" t="n">
        <x:f>MIN(1,(AB1456/(AE1456*IF(v01_GroupInCrowding=1,N1457,MIN(J1457,L1457))))^v01_CrowdingExp)</x:f>
        <x:v>0.00024569414295285325</x:v>
      </x:c>
      <x:c r="Q1457" s="9" t="n">
        <x:f>IF(D1457=1,INDEX(v01_WinterMult,G1457),1)</x:f>
        <x:v>1</x:v>
      </x:c>
      <x:c r="R1457" s="9" t="n">
        <x:f>H1457*Z1456*v01_WomenShare*v01_BaseFertility*INDEX(v01_FertMult,G1457)*Arch_Fertility*(1-P1457)</x:f>
        <x:v>0</x:v>
      </x:c>
      <x:c r="S1457" s="9" t="n">
        <x:f>H1457*Y1456*INDEX(v01_MortChild,G1457)/4*Q1457</x:f>
        <x:v>0</x:v>
      </x:c>
      <x:c r="T1457" s="9" t="n">
        <x:f>H1457*Z1456*INDEX(v01_MortAdult,G1457)*Arch_AdultMort/4*Q1457</x:f>
        <x:v>0</x:v>
      </x:c>
      <x:c r="U1457" s="9" t="n">
        <x:f>H1457*AA1456*INDEX(v01_MortElder,G1457)/4*Q1457</x:f>
        <x:v>0</x:v>
      </x:c>
      <x:c r="V1457" s="9" t="n">
        <x:f>H1457*MAX(0,AB1456-O1457)*v01_OvercapLoss</x:f>
        <x:v>0</x:v>
      </x:c>
      <x:c r="W1457" s="9" t="n">
        <x:f>H1457*Y1456/(v01_ChildYears*4)</x:f>
        <x:v>0</x:v>
      </x:c>
      <x:c r="X1457" s="9" t="n">
        <x:f>H1457*Z1456/(v01_AdultYears*4)</x:f>
        <x:v>0</x:v>
      </x:c>
      <x:c r="Y1457" s="32" t="n">
        <x:f>Y1456+R1457-S1457-W1457-Y1456*V1457/AB1456</x:f>
        <x:v>14306.18539759397</x:v>
      </x:c>
      <x:c r="Z1457" s="32" t="n">
        <x:f>Z1456+W1457-X1457-T1457-Z1456*V1457/AB1456</x:f>
        <x:v>19354.456567879548</x:v>
      </x:c>
      <x:c r="AA1457" s="32" t="n">
        <x:f>AA1456+X1457-U1457-AA1456*V1457/AB1456</x:f>
        <x:v>11386.956063258198</x:v>
      </x:c>
      <x:c r="AB1457" s="10" t="n">
        <x:f>Y1457+Z1457+AA1457</x:f>
        <x:v>45047.59802873172</x:v>
      </x:c>
      <x:c r="AC1457" s="8" t="n">
        <x:f>IF(AND(v01_WinterTrigger=1,D1457=1,AB1456/AE1456&gt;=K1457),1,0)</x:f>
        <x:v>0</x:v>
      </x:c>
      <x:c r="AD1457" s="8" t="n">
        <x:f>H1457*IF(AND(OR(AB1456/AE1456&gt;=v01_FissionTrigger*N1457,AC1457=1),AB1456/AE1456*v01_DaughterShare&gt;=v01_MinDaughter),MAX(1,ROUND(AE1456*v01_FissionRate,0)),0)</x:f>
        <x:v>0</x:v>
      </x:c>
      <x:c r="AE1457" s="8" t="n">
        <x:f>IF(H1457=1,MAX(1,MIN(INDEX(v01_Smax,G1457),AE1456+AD1457)),AE1456)</x:f>
        <x:v>15</x:v>
      </x:c>
      <x:c r="AF1457" s="8" t="n">
        <x:f>MAX(0,AE1457-AE1456)</x:f>
        <x:v>0</x:v>
      </x:c>
      <x:c r="AG1457" s="9" t="str">
        <x:f>IF(AF1457&gt;0,B1457,"")</x:f>
      </x:c>
      <x:c r="AH1457" s="9" t="n">
        <x:f>IF(F1457&gt;=1,1,(1+v01_LowTiesShare*(AE1457-1))/AE1457)</x:f>
        <x:v>1</x:v>
      </x:c>
      <x:c r="AI1457" s="32" t="n">
        <x:f>(Z1457+v01_ElderCommons*INDEX(LM_Elder,G1457)*AA1457)*AH1457</x:f>
        <x:v>64139.732591141874</x:v>
      </x:c>
      <x:c r="AJ1457" s="32" t="n">
        <x:f>H1457*v01_CommonsCoef*AI1457^v01_CommonsExp*INDEX(LM_Commons,G1457)</x:f>
        <x:v>0</x:v>
      </x:c>
      <x:c r="AK1457" s="32" t="n">
        <x:f>H1457*v01_RoleScale*Arch_Roles*(AE1457*(INDEX(v01_ElderRolePerSett,G1457)*v01_OutElder*INDEX(LM_Elder,G1457)+INDEX(v01_ShamanPerSett,G1457)*v01_OutShaman)+Z1457*(INDEX(v01_PriestShare,G1457)*v01_OutPriest+INDEX(v01_ScribeShare,G1457)*v01_OutScribe*INDEX(LM_Scribe,G1457)+INDEX(v01_ScholarShare,G1457)*v01_OutScholar*INDEX(LM_Scholar,G1457)+INDEX(v01_ResearcherShare,G1457)*v01_OutResearcher*INDEX(LM_Researcher,G1457)))</x:f>
        <x:v>0</x:v>
      </x:c>
      <x:c r="AL1457" s="32" t="n">
        <x:f>H1457*v01_RoleScale*Arch_Roles*AE1457*INDEX(v01_MonasteryPerSett,G1457)*v01_OutMonastery*INDEX(LM_Monastery,G1457)</x:f>
        <x:v>0</x:v>
      </x:c>
      <x:c r="AM1457" s="32" t="n">
        <x:f>(AJ1457+AK1457+AL1457)/4*INDEX(LM_All,G1457)*INDEX(v01_Boon,G1457)*Arch_Insight</x:f>
        <x:v>0</x:v>
      </x:c>
      <x:c r="AN1457" s="32" t="n">
        <x:f>H1457*(v01_KHPerAdult*Z1457+v01_KHOfCommons*AJ1457/4*INDEX(LM_All,G1457))*v01_KHUsable*Arch_KH</x:f>
        <x:v>0</x:v>
      </x:c>
      <x:c r="AO1457" s="32" t="n">
        <x:f>MIN(AP1456+AN1457,AM1457*v01_KHMaxRatio)</x:f>
        <x:v>0</x:v>
      </x:c>
      <x:c r="AP1457" s="32" t="n">
        <x:f>AP1456+AN1457-AO1457</x:f>
        <x:v>0</x:v>
      </x:c>
      <x:c r="AQ1457" s="32" t="n">
        <x:f>AM1457+AO1457</x:f>
        <x:v>0</x:v>
      </x:c>
      <x:c r="AR1457" s="10" t="n">
        <x:f>IF(H1457=1,INDEX(v01_Req,G1457),0)</x:f>
        <x:v>0</x:v>
      </x:c>
      <x:c r="AS1457" s="32" t="n">
        <x:f>IF(H1457=1,IF(E1457=1,AS1456-AR1456,AS1456)+AQ1457,0)</x:f>
        <x:v>0</x:v>
      </x:c>
      <x:c r="AT1457" s="11" t="n">
        <x:f>IF(AR1457&gt;0,MIN(1,AS1457/AR1457),1)</x:f>
        <x:v>1</x:v>
      </x:c>
      <x:c r="AU1457" s="10" t="n">
        <x:f>AB1457/INDEX(v01_RepScale,G1457)</x:f>
        <x:v>90.09519605746344</x:v>
      </x:c>
      <x:c r="AV1457" s="32" t="n">
        <x:f>AM1457*60/v01_SeasonSeconds</x:f>
        <x:v>0</x:v>
      </x:c>
    </x:row>
    <x:row r="1458">
      <x:c r="A1458" s="8" t="n">
        <x:f>A1457+1</x:f>
        <x:v>1455</x:v>
      </x:c>
      <x:c r="B1458" s="9" t="n">
        <x:f>A1458*v01_SeasonSeconds/60</x:f>
        <x:v>363.75</x:v>
      </x:c>
      <x:c r="C1458" s="9" t="n">
        <x:f>A1458/4</x:f>
        <x:v>363.75</x:v>
      </x:c>
      <x:c r="D1458" s="8" t="n">
        <x:f>IF(MOD(A1458,4)=0,1,0)</x:f>
        <x:v>0</x:v>
      </x:c>
      <x:c r="E1458" s="8" t="n">
        <x:f>IF(AND(F1457&lt;=9,AS1457&gt;=AR1457),1,0)</x:f>
        <x:v>0</x:v>
      </x:c>
      <x:c r="F1458" s="8" t="n">
        <x:f>MIN(10,F1457+E1458)</x:f>
        <x:v>10</x:v>
      </x:c>
      <x:c r="G1458" s="8" t="n">
        <x:f>MIN(F1458,9)+1</x:f>
        <x:v>10</x:v>
      </x:c>
      <x:c r="H1458" s="8" t="n">
        <x:f>IF(F1458&lt;=9,1,0)</x:f>
        <x:v>0</x:v>
      </x:c>
      <x:c r="I1458" s="9" t="n">
        <x:f>MIN(10,F1457+IF(AR1457&gt;0,MIN(1,AS1457/AR1457),1))</x:f>
        <x:v>10</x:v>
      </x:c>
      <x:c r="J1458" s="32" t="n">
        <x:f>INDEX(v01_FoodCap,G1458)*Arch_FoodCap*EXP(v01_CapsByProject*SUMPRODUCT((Cap_Point&lt;=I1458)*(Cap_Kind="Food")*Cap_Ln))</x:f>
        <x:v>12000</x:v>
      </x:c>
      <x:c r="K1458" s="32" t="n">
        <x:f>J1458*MIN(1,v01_LeanBase*EXP(v01_CapsByProject*SUMPRODUCT((Cap_Point&lt;=I1458)*(Cap_Kind="Lean")*Cap_Ln)))</x:f>
        <x:v>12000</x:v>
      </x:c>
      <x:c r="L1458" s="10" t="n">
        <x:f>INDEX(v01_HousingCap,G1458)*EXP(v01_CapsByProject*SUMPRODUCT((Cap_Point&lt;=I1458)*(Cap_Kind="Housing")*Cap_Ln))</x:f>
        <x:v>20000</x:v>
      </x:c>
      <x:c r="M1458" s="10" t="n">
        <x:f>INDEX(v01_GroupCap,G1458)*v01_CohesionFactor*EXP(v01_CapsByProject*SUMPRODUCT((Cap_Point&lt;=I1458)*(Cap_Kind="Group")*Cap_Ln))</x:f>
        <x:v>1000000</x:v>
      </x:c>
      <x:c r="N1458" s="32" t="n">
        <x:f>MIN(J1458,L1458,M1458)</x:f>
        <x:v>12000</x:v>
      </x:c>
      <x:c r="O1458" s="10" t="n">
        <x:f>AE1457*N1458</x:f>
        <x:v>180000</x:v>
      </x:c>
      <x:c r="P1458" s="9" t="n">
        <x:f>MIN(1,(AB1457/(AE1457*IF(v01_GroupInCrowding=1,N1458,MIN(J1458,L1458))))^v01_CrowdingExp)</x:f>
        <x:v>0.00024569414295285325</x:v>
      </x:c>
      <x:c r="Q1458" s="9" t="n">
        <x:f>IF(D1458=1,INDEX(v01_WinterMult,G1458),1)</x:f>
        <x:v>1</x:v>
      </x:c>
      <x:c r="R1458" s="9" t="n">
        <x:f>H1458*Z1457*v01_WomenShare*v01_BaseFertility*INDEX(v01_FertMult,G1458)*Arch_Fertility*(1-P1458)</x:f>
        <x:v>0</x:v>
      </x:c>
      <x:c r="S1458" s="9" t="n">
        <x:f>H1458*Y1457*INDEX(v01_MortChild,G1458)/4*Q1458</x:f>
        <x:v>0</x:v>
      </x:c>
      <x:c r="T1458" s="9" t="n">
        <x:f>H1458*Z1457*INDEX(v01_MortAdult,G1458)*Arch_AdultMort/4*Q1458</x:f>
        <x:v>0</x:v>
      </x:c>
      <x:c r="U1458" s="9" t="n">
        <x:f>H1458*AA1457*INDEX(v01_MortElder,G1458)/4*Q1458</x:f>
        <x:v>0</x:v>
      </x:c>
      <x:c r="V1458" s="9" t="n">
        <x:f>H1458*MAX(0,AB1457-O1458)*v01_OvercapLoss</x:f>
        <x:v>0</x:v>
      </x:c>
      <x:c r="W1458" s="9" t="n">
        <x:f>H1458*Y1457/(v01_ChildYears*4)</x:f>
        <x:v>0</x:v>
      </x:c>
      <x:c r="X1458" s="9" t="n">
        <x:f>H1458*Z1457/(v01_AdultYears*4)</x:f>
        <x:v>0</x:v>
      </x:c>
      <x:c r="Y1458" s="32" t="n">
        <x:f>Y1457+R1458-S1458-W1458-Y1457*V1458/AB1457</x:f>
        <x:v>14306.18539759397</x:v>
      </x:c>
      <x:c r="Z1458" s="32" t="n">
        <x:f>Z1457+W1458-X1458-T1458-Z1457*V1458/AB1457</x:f>
        <x:v>19354.456567879548</x:v>
      </x:c>
      <x:c r="AA1458" s="32" t="n">
        <x:f>AA1457+X1458-U1458-AA1457*V1458/AB1457</x:f>
        <x:v>11386.956063258198</x:v>
      </x:c>
      <x:c r="AB1458" s="10" t="n">
        <x:f>Y1458+Z1458+AA1458</x:f>
        <x:v>45047.59802873172</x:v>
      </x:c>
      <x:c r="AC1458" s="8" t="n">
        <x:f>IF(AND(v01_WinterTrigger=1,D1458=1,AB1457/AE1457&gt;=K1458),1,0)</x:f>
        <x:v>0</x:v>
      </x:c>
      <x:c r="AD1458" s="8" t="n">
        <x:f>H1458*IF(AND(OR(AB1457/AE1457&gt;=v01_FissionTrigger*N1458,AC1458=1),AB1457/AE1457*v01_DaughterShare&gt;=v01_MinDaughter),MAX(1,ROUND(AE1457*v01_FissionRate,0)),0)</x:f>
        <x:v>0</x:v>
      </x:c>
      <x:c r="AE1458" s="8" t="n">
        <x:f>IF(H1458=1,MAX(1,MIN(INDEX(v01_Smax,G1458),AE1457+AD1458)),AE1457)</x:f>
        <x:v>15</x:v>
      </x:c>
      <x:c r="AF1458" s="8" t="n">
        <x:f>MAX(0,AE1458-AE1457)</x:f>
        <x:v>0</x:v>
      </x:c>
      <x:c r="AG1458" s="9" t="str">
        <x:f>IF(AF1458&gt;0,B1458,"")</x:f>
      </x:c>
      <x:c r="AH1458" s="9" t="n">
        <x:f>IF(F1458&gt;=1,1,(1+v01_LowTiesShare*(AE1458-1))/AE1458)</x:f>
        <x:v>1</x:v>
      </x:c>
      <x:c r="AI1458" s="32" t="n">
        <x:f>(Z1458+v01_ElderCommons*INDEX(LM_Elder,G1458)*AA1458)*AH1458</x:f>
        <x:v>64139.732591141874</x:v>
      </x:c>
      <x:c r="AJ1458" s="32" t="n">
        <x:f>H1458*v01_CommonsCoef*AI1458^v01_CommonsExp*INDEX(LM_Commons,G1458)</x:f>
        <x:v>0</x:v>
      </x:c>
      <x:c r="AK1458" s="32" t="n">
        <x:f>H1458*v01_RoleScale*Arch_Roles*(AE1458*(INDEX(v01_ElderRolePerSett,G1458)*v01_OutElder*INDEX(LM_Elder,G1458)+INDEX(v01_ShamanPerSett,G1458)*v01_OutShaman)+Z1458*(INDEX(v01_PriestShare,G1458)*v01_OutPriest+INDEX(v01_ScribeShare,G1458)*v01_OutScribe*INDEX(LM_Scribe,G1458)+INDEX(v01_ScholarShare,G1458)*v01_OutScholar*INDEX(LM_Scholar,G1458)+INDEX(v01_ResearcherShare,G1458)*v01_OutResearcher*INDEX(LM_Researcher,G1458)))</x:f>
        <x:v>0</x:v>
      </x:c>
      <x:c r="AL1458" s="32" t="n">
        <x:f>H1458*v01_RoleScale*Arch_Roles*AE1458*INDEX(v01_MonasteryPerSett,G1458)*v01_OutMonastery*INDEX(LM_Monastery,G1458)</x:f>
        <x:v>0</x:v>
      </x:c>
      <x:c r="AM1458" s="32" t="n">
        <x:f>(AJ1458+AK1458+AL1458)/4*INDEX(LM_All,G1458)*INDEX(v01_Boon,G1458)*Arch_Insight</x:f>
        <x:v>0</x:v>
      </x:c>
      <x:c r="AN1458" s="32" t="n">
        <x:f>H1458*(v01_KHPerAdult*Z1458+v01_KHOfCommons*AJ1458/4*INDEX(LM_All,G1458))*v01_KHUsable*Arch_KH</x:f>
        <x:v>0</x:v>
      </x:c>
      <x:c r="AO1458" s="32" t="n">
        <x:f>MIN(AP1457+AN1458,AM1458*v01_KHMaxRatio)</x:f>
        <x:v>0</x:v>
      </x:c>
      <x:c r="AP1458" s="32" t="n">
        <x:f>AP1457+AN1458-AO1458</x:f>
        <x:v>0</x:v>
      </x:c>
      <x:c r="AQ1458" s="32" t="n">
        <x:f>AM1458+AO1458</x:f>
        <x:v>0</x:v>
      </x:c>
      <x:c r="AR1458" s="10" t="n">
        <x:f>IF(H1458=1,INDEX(v01_Req,G1458),0)</x:f>
        <x:v>0</x:v>
      </x:c>
      <x:c r="AS1458" s="32" t="n">
        <x:f>IF(H1458=1,IF(E1458=1,AS1457-AR1457,AS1457)+AQ1458,0)</x:f>
        <x:v>0</x:v>
      </x:c>
      <x:c r="AT1458" s="11" t="n">
        <x:f>IF(AR1458&gt;0,MIN(1,AS1458/AR1458),1)</x:f>
        <x:v>1</x:v>
      </x:c>
      <x:c r="AU1458" s="10" t="n">
        <x:f>AB1458/INDEX(v01_RepScale,G1458)</x:f>
        <x:v>90.09519605746344</x:v>
      </x:c>
      <x:c r="AV1458" s="32" t="n">
        <x:f>AM1458*60/v01_SeasonSeconds</x:f>
        <x:v>0</x:v>
      </x:c>
    </x:row>
    <x:row r="1459">
      <x:c r="A1459" s="8" t="n">
        <x:f>A1458+1</x:f>
        <x:v>1456</x:v>
      </x:c>
      <x:c r="B1459" s="9" t="n">
        <x:f>A1459*v01_SeasonSeconds/60</x:f>
        <x:v>364</x:v>
      </x:c>
      <x:c r="C1459" s="9" t="n">
        <x:f>A1459/4</x:f>
        <x:v>364</x:v>
      </x:c>
      <x:c r="D1459" s="8" t="n">
        <x:f>IF(MOD(A1459,4)=0,1,0)</x:f>
        <x:v>1</x:v>
      </x:c>
      <x:c r="E1459" s="8" t="n">
        <x:f>IF(AND(F1458&lt;=9,AS1458&gt;=AR1458),1,0)</x:f>
        <x:v>0</x:v>
      </x:c>
      <x:c r="F1459" s="8" t="n">
        <x:f>MIN(10,F1458+E1459)</x:f>
        <x:v>10</x:v>
      </x:c>
      <x:c r="G1459" s="8" t="n">
        <x:f>MIN(F1459,9)+1</x:f>
        <x:v>10</x:v>
      </x:c>
      <x:c r="H1459" s="8" t="n">
        <x:f>IF(F1459&lt;=9,1,0)</x:f>
        <x:v>0</x:v>
      </x:c>
      <x:c r="I1459" s="9" t="n">
        <x:f>MIN(10,F1458+IF(AR1458&gt;0,MIN(1,AS1458/AR1458),1))</x:f>
        <x:v>10</x:v>
      </x:c>
      <x:c r="J1459" s="32" t="n">
        <x:f>INDEX(v01_FoodCap,G1459)*Arch_FoodCap*EXP(v01_CapsByProject*SUMPRODUCT((Cap_Point&lt;=I1459)*(Cap_Kind="Food")*Cap_Ln))</x:f>
        <x:v>12000</x:v>
      </x:c>
      <x:c r="K1459" s="32" t="n">
        <x:f>J1459*MIN(1,v01_LeanBase*EXP(v01_CapsByProject*SUMPRODUCT((Cap_Point&lt;=I1459)*(Cap_Kind="Lean")*Cap_Ln)))</x:f>
        <x:v>12000</x:v>
      </x:c>
      <x:c r="L1459" s="10" t="n">
        <x:f>INDEX(v01_HousingCap,G1459)*EXP(v01_CapsByProject*SUMPRODUCT((Cap_Point&lt;=I1459)*(Cap_Kind="Housing")*Cap_Ln))</x:f>
        <x:v>20000</x:v>
      </x:c>
      <x:c r="M1459" s="10" t="n">
        <x:f>INDEX(v01_GroupCap,G1459)*v01_CohesionFactor*EXP(v01_CapsByProject*SUMPRODUCT((Cap_Point&lt;=I1459)*(Cap_Kind="Group")*Cap_Ln))</x:f>
        <x:v>1000000</x:v>
      </x:c>
      <x:c r="N1459" s="32" t="n">
        <x:f>MIN(J1459,L1459,M1459)</x:f>
        <x:v>12000</x:v>
      </x:c>
      <x:c r="O1459" s="10" t="n">
        <x:f>AE1458*N1459</x:f>
        <x:v>180000</x:v>
      </x:c>
      <x:c r="P1459" s="9" t="n">
        <x:f>MIN(1,(AB1458/(AE1458*IF(v01_GroupInCrowding=1,N1459,MIN(J1459,L1459))))^v01_CrowdingExp)</x:f>
        <x:v>0.00024569414295285325</x:v>
      </x:c>
      <x:c r="Q1459" s="9" t="n">
        <x:f>IF(D1459=1,INDEX(v01_WinterMult,G1459),1)</x:f>
        <x:v>1</x:v>
      </x:c>
      <x:c r="R1459" s="9" t="n">
        <x:f>H1459*Z1458*v01_WomenShare*v01_BaseFertility*INDEX(v01_FertMult,G1459)*Arch_Fertility*(1-P1459)</x:f>
        <x:v>0</x:v>
      </x:c>
      <x:c r="S1459" s="9" t="n">
        <x:f>H1459*Y1458*INDEX(v01_MortChild,G1459)/4*Q1459</x:f>
        <x:v>0</x:v>
      </x:c>
      <x:c r="T1459" s="9" t="n">
        <x:f>H1459*Z1458*INDEX(v01_MortAdult,G1459)*Arch_AdultMort/4*Q1459</x:f>
        <x:v>0</x:v>
      </x:c>
      <x:c r="U1459" s="9" t="n">
        <x:f>H1459*AA1458*INDEX(v01_MortElder,G1459)/4*Q1459</x:f>
        <x:v>0</x:v>
      </x:c>
      <x:c r="V1459" s="9" t="n">
        <x:f>H1459*MAX(0,AB1458-O1459)*v01_OvercapLoss</x:f>
        <x:v>0</x:v>
      </x:c>
      <x:c r="W1459" s="9" t="n">
        <x:f>H1459*Y1458/(v01_ChildYears*4)</x:f>
        <x:v>0</x:v>
      </x:c>
      <x:c r="X1459" s="9" t="n">
        <x:f>H1459*Z1458/(v01_AdultYears*4)</x:f>
        <x:v>0</x:v>
      </x:c>
      <x:c r="Y1459" s="32" t="n">
        <x:f>Y1458+R1459-S1459-W1459-Y1458*V1459/AB1458</x:f>
        <x:v>14306.18539759397</x:v>
      </x:c>
      <x:c r="Z1459" s="32" t="n">
        <x:f>Z1458+W1459-X1459-T1459-Z1458*V1459/AB1458</x:f>
        <x:v>19354.456567879548</x:v>
      </x:c>
      <x:c r="AA1459" s="32" t="n">
        <x:f>AA1458+X1459-U1459-AA1458*V1459/AB1458</x:f>
        <x:v>11386.956063258198</x:v>
      </x:c>
      <x:c r="AB1459" s="10" t="n">
        <x:f>Y1459+Z1459+AA1459</x:f>
        <x:v>45047.59802873172</x:v>
      </x:c>
      <x:c r="AC1459" s="8" t="n">
        <x:f>IF(AND(v01_WinterTrigger=1,D1459=1,AB1458/AE1458&gt;=K1459),1,0)</x:f>
        <x:v>0</x:v>
      </x:c>
      <x:c r="AD1459" s="8" t="n">
        <x:f>H1459*IF(AND(OR(AB1458/AE1458&gt;=v01_FissionTrigger*N1459,AC1459=1),AB1458/AE1458*v01_DaughterShare&gt;=v01_MinDaughter),MAX(1,ROUND(AE1458*v01_FissionRate,0)),0)</x:f>
        <x:v>0</x:v>
      </x:c>
      <x:c r="AE1459" s="8" t="n">
        <x:f>IF(H1459=1,MAX(1,MIN(INDEX(v01_Smax,G1459),AE1458+AD1459)),AE1458)</x:f>
        <x:v>15</x:v>
      </x:c>
      <x:c r="AF1459" s="8" t="n">
        <x:f>MAX(0,AE1459-AE1458)</x:f>
        <x:v>0</x:v>
      </x:c>
      <x:c r="AG1459" s="9" t="str">
        <x:f>IF(AF1459&gt;0,B1459,"")</x:f>
      </x:c>
      <x:c r="AH1459" s="9" t="n">
        <x:f>IF(F1459&gt;=1,1,(1+v01_LowTiesShare*(AE1459-1))/AE1459)</x:f>
        <x:v>1</x:v>
      </x:c>
      <x:c r="AI1459" s="32" t="n">
        <x:f>(Z1459+v01_ElderCommons*INDEX(LM_Elder,G1459)*AA1459)*AH1459</x:f>
        <x:v>64139.732591141874</x:v>
      </x:c>
      <x:c r="AJ1459" s="32" t="n">
        <x:f>H1459*v01_CommonsCoef*AI1459^v01_CommonsExp*INDEX(LM_Commons,G1459)</x:f>
        <x:v>0</x:v>
      </x:c>
      <x:c r="AK1459" s="32" t="n">
        <x:f>H1459*v01_RoleScale*Arch_Roles*(AE1459*(INDEX(v01_ElderRolePerSett,G1459)*v01_OutElder*INDEX(LM_Elder,G1459)+INDEX(v01_ShamanPerSett,G1459)*v01_OutShaman)+Z1459*(INDEX(v01_PriestShare,G1459)*v01_OutPriest+INDEX(v01_ScribeShare,G1459)*v01_OutScribe*INDEX(LM_Scribe,G1459)+INDEX(v01_ScholarShare,G1459)*v01_OutScholar*INDEX(LM_Scholar,G1459)+INDEX(v01_ResearcherShare,G1459)*v01_OutResearcher*INDEX(LM_Researcher,G1459)))</x:f>
        <x:v>0</x:v>
      </x:c>
      <x:c r="AL1459" s="32" t="n">
        <x:f>H1459*v01_RoleScale*Arch_Roles*AE1459*INDEX(v01_MonasteryPerSett,G1459)*v01_OutMonastery*INDEX(LM_Monastery,G1459)</x:f>
        <x:v>0</x:v>
      </x:c>
      <x:c r="AM1459" s="32" t="n">
        <x:f>(AJ1459+AK1459+AL1459)/4*INDEX(LM_All,G1459)*INDEX(v01_Boon,G1459)*Arch_Insight</x:f>
        <x:v>0</x:v>
      </x:c>
      <x:c r="AN1459" s="32" t="n">
        <x:f>H1459*(v01_KHPerAdult*Z1459+v01_KHOfCommons*AJ1459/4*INDEX(LM_All,G1459))*v01_KHUsable*Arch_KH</x:f>
        <x:v>0</x:v>
      </x:c>
      <x:c r="AO1459" s="32" t="n">
        <x:f>MIN(AP1458+AN1459,AM1459*v01_KHMaxRatio)</x:f>
        <x:v>0</x:v>
      </x:c>
      <x:c r="AP1459" s="32" t="n">
        <x:f>AP1458+AN1459-AO1459</x:f>
        <x:v>0</x:v>
      </x:c>
      <x:c r="AQ1459" s="32" t="n">
        <x:f>AM1459+AO1459</x:f>
        <x:v>0</x:v>
      </x:c>
      <x:c r="AR1459" s="10" t="n">
        <x:f>IF(H1459=1,INDEX(v01_Req,G1459),0)</x:f>
        <x:v>0</x:v>
      </x:c>
      <x:c r="AS1459" s="32" t="n">
        <x:f>IF(H1459=1,IF(E1459=1,AS1458-AR1458,AS1458)+AQ1459,0)</x:f>
        <x:v>0</x:v>
      </x:c>
      <x:c r="AT1459" s="11" t="n">
        <x:f>IF(AR1459&gt;0,MIN(1,AS1459/AR1459),1)</x:f>
        <x:v>1</x:v>
      </x:c>
      <x:c r="AU1459" s="10" t="n">
        <x:f>AB1459/INDEX(v01_RepScale,G1459)</x:f>
        <x:v>90.09519605746344</x:v>
      </x:c>
      <x:c r="AV1459" s="32" t="n">
        <x:f>AM1459*60/v01_SeasonSeconds</x:f>
        <x:v>0</x:v>
      </x:c>
    </x:row>
    <x:row r="1460">
      <x:c r="A1460" s="8" t="n">
        <x:f>A1459+1</x:f>
        <x:v>1457</x:v>
      </x:c>
      <x:c r="B1460" s="9" t="n">
        <x:f>A1460*v01_SeasonSeconds/60</x:f>
        <x:v>364.25</x:v>
      </x:c>
      <x:c r="C1460" s="9" t="n">
        <x:f>A1460/4</x:f>
        <x:v>364.25</x:v>
      </x:c>
      <x:c r="D1460" s="8" t="n">
        <x:f>IF(MOD(A1460,4)=0,1,0)</x:f>
        <x:v>0</x:v>
      </x:c>
      <x:c r="E1460" s="8" t="n">
        <x:f>IF(AND(F1459&lt;=9,AS1459&gt;=AR1459),1,0)</x:f>
        <x:v>0</x:v>
      </x:c>
      <x:c r="F1460" s="8" t="n">
        <x:f>MIN(10,F1459+E1460)</x:f>
        <x:v>10</x:v>
      </x:c>
      <x:c r="G1460" s="8" t="n">
        <x:f>MIN(F1460,9)+1</x:f>
        <x:v>10</x:v>
      </x:c>
      <x:c r="H1460" s="8" t="n">
        <x:f>IF(F1460&lt;=9,1,0)</x:f>
        <x:v>0</x:v>
      </x:c>
      <x:c r="I1460" s="9" t="n">
        <x:f>MIN(10,F1459+IF(AR1459&gt;0,MIN(1,AS1459/AR1459),1))</x:f>
        <x:v>10</x:v>
      </x:c>
      <x:c r="J1460" s="32" t="n">
        <x:f>INDEX(v01_FoodCap,G1460)*Arch_FoodCap*EXP(v01_CapsByProject*SUMPRODUCT((Cap_Point&lt;=I1460)*(Cap_Kind="Food")*Cap_Ln))</x:f>
        <x:v>12000</x:v>
      </x:c>
      <x:c r="K1460" s="32" t="n">
        <x:f>J1460*MIN(1,v01_LeanBase*EXP(v01_CapsByProject*SUMPRODUCT((Cap_Point&lt;=I1460)*(Cap_Kind="Lean")*Cap_Ln)))</x:f>
        <x:v>12000</x:v>
      </x:c>
      <x:c r="L1460" s="10" t="n">
        <x:f>INDEX(v01_HousingCap,G1460)*EXP(v01_CapsByProject*SUMPRODUCT((Cap_Point&lt;=I1460)*(Cap_Kind="Housing")*Cap_Ln))</x:f>
        <x:v>20000</x:v>
      </x:c>
      <x:c r="M1460" s="10" t="n">
        <x:f>INDEX(v01_GroupCap,G1460)*v01_CohesionFactor*EXP(v01_CapsByProject*SUMPRODUCT((Cap_Point&lt;=I1460)*(Cap_Kind="Group")*Cap_Ln))</x:f>
        <x:v>1000000</x:v>
      </x:c>
      <x:c r="N1460" s="32" t="n">
        <x:f>MIN(J1460,L1460,M1460)</x:f>
        <x:v>12000</x:v>
      </x:c>
      <x:c r="O1460" s="10" t="n">
        <x:f>AE1459*N1460</x:f>
        <x:v>180000</x:v>
      </x:c>
      <x:c r="P1460" s="9" t="n">
        <x:f>MIN(1,(AB1459/(AE1459*IF(v01_GroupInCrowding=1,N1460,MIN(J1460,L1460))))^v01_CrowdingExp)</x:f>
        <x:v>0.00024569414295285325</x:v>
      </x:c>
      <x:c r="Q1460" s="9" t="n">
        <x:f>IF(D1460=1,INDEX(v01_WinterMult,G1460),1)</x:f>
        <x:v>1</x:v>
      </x:c>
      <x:c r="R1460" s="9" t="n">
        <x:f>H1460*Z1459*v01_WomenShare*v01_BaseFertility*INDEX(v01_FertMult,G1460)*Arch_Fertility*(1-P1460)</x:f>
        <x:v>0</x:v>
      </x:c>
      <x:c r="S1460" s="9" t="n">
        <x:f>H1460*Y1459*INDEX(v01_MortChild,G1460)/4*Q1460</x:f>
        <x:v>0</x:v>
      </x:c>
      <x:c r="T1460" s="9" t="n">
        <x:f>H1460*Z1459*INDEX(v01_MortAdult,G1460)*Arch_AdultMort/4*Q1460</x:f>
        <x:v>0</x:v>
      </x:c>
      <x:c r="U1460" s="9" t="n">
        <x:f>H1460*AA1459*INDEX(v01_MortElder,G1460)/4*Q1460</x:f>
        <x:v>0</x:v>
      </x:c>
      <x:c r="V1460" s="9" t="n">
        <x:f>H1460*MAX(0,AB1459-O1460)*v01_OvercapLoss</x:f>
        <x:v>0</x:v>
      </x:c>
      <x:c r="W1460" s="9" t="n">
        <x:f>H1460*Y1459/(v01_ChildYears*4)</x:f>
        <x:v>0</x:v>
      </x:c>
      <x:c r="X1460" s="9" t="n">
        <x:f>H1460*Z1459/(v01_AdultYears*4)</x:f>
        <x:v>0</x:v>
      </x:c>
      <x:c r="Y1460" s="32" t="n">
        <x:f>Y1459+R1460-S1460-W1460-Y1459*V1460/AB1459</x:f>
        <x:v>14306.18539759397</x:v>
      </x:c>
      <x:c r="Z1460" s="32" t="n">
        <x:f>Z1459+W1460-X1460-T1460-Z1459*V1460/AB1459</x:f>
        <x:v>19354.456567879548</x:v>
      </x:c>
      <x:c r="AA1460" s="32" t="n">
        <x:f>AA1459+X1460-U1460-AA1459*V1460/AB1459</x:f>
        <x:v>11386.956063258198</x:v>
      </x:c>
      <x:c r="AB1460" s="10" t="n">
        <x:f>Y1460+Z1460+AA1460</x:f>
        <x:v>45047.59802873172</x:v>
      </x:c>
      <x:c r="AC1460" s="8" t="n">
        <x:f>IF(AND(v01_WinterTrigger=1,D1460=1,AB1459/AE1459&gt;=K1460),1,0)</x:f>
        <x:v>0</x:v>
      </x:c>
      <x:c r="AD1460" s="8" t="n">
        <x:f>H1460*IF(AND(OR(AB1459/AE1459&gt;=v01_FissionTrigger*N1460,AC1460=1),AB1459/AE1459*v01_DaughterShare&gt;=v01_MinDaughter),MAX(1,ROUND(AE1459*v01_FissionRate,0)),0)</x:f>
        <x:v>0</x:v>
      </x:c>
      <x:c r="AE1460" s="8" t="n">
        <x:f>IF(H1460=1,MAX(1,MIN(INDEX(v01_Smax,G1460),AE1459+AD1460)),AE1459)</x:f>
        <x:v>15</x:v>
      </x:c>
      <x:c r="AF1460" s="8" t="n">
        <x:f>MAX(0,AE1460-AE1459)</x:f>
        <x:v>0</x:v>
      </x:c>
      <x:c r="AG1460" s="9" t="str">
        <x:f>IF(AF1460&gt;0,B1460,"")</x:f>
      </x:c>
      <x:c r="AH1460" s="9" t="n">
        <x:f>IF(F1460&gt;=1,1,(1+v01_LowTiesShare*(AE1460-1))/AE1460)</x:f>
        <x:v>1</x:v>
      </x:c>
      <x:c r="AI1460" s="32" t="n">
        <x:f>(Z1460+v01_ElderCommons*INDEX(LM_Elder,G1460)*AA1460)*AH1460</x:f>
        <x:v>64139.732591141874</x:v>
      </x:c>
      <x:c r="AJ1460" s="32" t="n">
        <x:f>H1460*v01_CommonsCoef*AI1460^v01_CommonsExp*INDEX(LM_Commons,G1460)</x:f>
        <x:v>0</x:v>
      </x:c>
      <x:c r="AK1460" s="32" t="n">
        <x:f>H1460*v01_RoleScale*Arch_Roles*(AE1460*(INDEX(v01_ElderRolePerSett,G1460)*v01_OutElder*INDEX(LM_Elder,G1460)+INDEX(v01_ShamanPerSett,G1460)*v01_OutShaman)+Z1460*(INDEX(v01_PriestShare,G1460)*v01_OutPriest+INDEX(v01_ScribeShare,G1460)*v01_OutScribe*INDEX(LM_Scribe,G1460)+INDEX(v01_ScholarShare,G1460)*v01_OutScholar*INDEX(LM_Scholar,G1460)+INDEX(v01_ResearcherShare,G1460)*v01_OutResearcher*INDEX(LM_Researcher,G1460)))</x:f>
        <x:v>0</x:v>
      </x:c>
      <x:c r="AL1460" s="32" t="n">
        <x:f>H1460*v01_RoleScale*Arch_Roles*AE1460*INDEX(v01_MonasteryPerSett,G1460)*v01_OutMonastery*INDEX(LM_Monastery,G1460)</x:f>
        <x:v>0</x:v>
      </x:c>
      <x:c r="AM1460" s="32" t="n">
        <x:f>(AJ1460+AK1460+AL1460)/4*INDEX(LM_All,G1460)*INDEX(v01_Boon,G1460)*Arch_Insight</x:f>
        <x:v>0</x:v>
      </x:c>
      <x:c r="AN1460" s="32" t="n">
        <x:f>H1460*(v01_KHPerAdult*Z1460+v01_KHOfCommons*AJ1460/4*INDEX(LM_All,G1460))*v01_KHUsable*Arch_KH</x:f>
        <x:v>0</x:v>
      </x:c>
      <x:c r="AO1460" s="32" t="n">
        <x:f>MIN(AP1459+AN1460,AM1460*v01_KHMaxRatio)</x:f>
        <x:v>0</x:v>
      </x:c>
      <x:c r="AP1460" s="32" t="n">
        <x:f>AP1459+AN1460-AO1460</x:f>
        <x:v>0</x:v>
      </x:c>
      <x:c r="AQ1460" s="32" t="n">
        <x:f>AM1460+AO1460</x:f>
        <x:v>0</x:v>
      </x:c>
      <x:c r="AR1460" s="10" t="n">
        <x:f>IF(H1460=1,INDEX(v01_Req,G1460),0)</x:f>
        <x:v>0</x:v>
      </x:c>
      <x:c r="AS1460" s="32" t="n">
        <x:f>IF(H1460=1,IF(E1460=1,AS1459-AR1459,AS1459)+AQ1460,0)</x:f>
        <x:v>0</x:v>
      </x:c>
      <x:c r="AT1460" s="11" t="n">
        <x:f>IF(AR1460&gt;0,MIN(1,AS1460/AR1460),1)</x:f>
        <x:v>1</x:v>
      </x:c>
      <x:c r="AU1460" s="10" t="n">
        <x:f>AB1460/INDEX(v01_RepScale,G1460)</x:f>
        <x:v>90.09519605746344</x:v>
      </x:c>
      <x:c r="AV1460" s="32" t="n">
        <x:f>AM1460*60/v01_SeasonSeconds</x:f>
        <x:v>0</x:v>
      </x:c>
    </x:row>
    <x:row r="1461">
      <x:c r="A1461" s="8" t="n">
        <x:f>A1460+1</x:f>
        <x:v>1458</x:v>
      </x:c>
      <x:c r="B1461" s="9" t="n">
        <x:f>A1461*v01_SeasonSeconds/60</x:f>
        <x:v>364.5</x:v>
      </x:c>
      <x:c r="C1461" s="9" t="n">
        <x:f>A1461/4</x:f>
        <x:v>364.5</x:v>
      </x:c>
      <x:c r="D1461" s="8" t="n">
        <x:f>IF(MOD(A1461,4)=0,1,0)</x:f>
        <x:v>0</x:v>
      </x:c>
      <x:c r="E1461" s="8" t="n">
        <x:f>IF(AND(F1460&lt;=9,AS1460&gt;=AR1460),1,0)</x:f>
        <x:v>0</x:v>
      </x:c>
      <x:c r="F1461" s="8" t="n">
        <x:f>MIN(10,F1460+E1461)</x:f>
        <x:v>10</x:v>
      </x:c>
      <x:c r="G1461" s="8" t="n">
        <x:f>MIN(F1461,9)+1</x:f>
        <x:v>10</x:v>
      </x:c>
      <x:c r="H1461" s="8" t="n">
        <x:f>IF(F1461&lt;=9,1,0)</x:f>
        <x:v>0</x:v>
      </x:c>
      <x:c r="I1461" s="9" t="n">
        <x:f>MIN(10,F1460+IF(AR1460&gt;0,MIN(1,AS1460/AR1460),1))</x:f>
        <x:v>10</x:v>
      </x:c>
      <x:c r="J1461" s="32" t="n">
        <x:f>INDEX(v01_FoodCap,G1461)*Arch_FoodCap*EXP(v01_CapsByProject*SUMPRODUCT((Cap_Point&lt;=I1461)*(Cap_Kind="Food")*Cap_Ln))</x:f>
        <x:v>12000</x:v>
      </x:c>
      <x:c r="K1461" s="32" t="n">
        <x:f>J1461*MIN(1,v01_LeanBase*EXP(v01_CapsByProject*SUMPRODUCT((Cap_Point&lt;=I1461)*(Cap_Kind="Lean")*Cap_Ln)))</x:f>
        <x:v>12000</x:v>
      </x:c>
      <x:c r="L1461" s="10" t="n">
        <x:f>INDEX(v01_HousingCap,G1461)*EXP(v01_CapsByProject*SUMPRODUCT((Cap_Point&lt;=I1461)*(Cap_Kind="Housing")*Cap_Ln))</x:f>
        <x:v>20000</x:v>
      </x:c>
      <x:c r="M1461" s="10" t="n">
        <x:f>INDEX(v01_GroupCap,G1461)*v01_CohesionFactor*EXP(v01_CapsByProject*SUMPRODUCT((Cap_Point&lt;=I1461)*(Cap_Kind="Group")*Cap_Ln))</x:f>
        <x:v>1000000</x:v>
      </x:c>
      <x:c r="N1461" s="32" t="n">
        <x:f>MIN(J1461,L1461,M1461)</x:f>
        <x:v>12000</x:v>
      </x:c>
      <x:c r="O1461" s="10" t="n">
        <x:f>AE1460*N1461</x:f>
        <x:v>180000</x:v>
      </x:c>
      <x:c r="P1461" s="9" t="n">
        <x:f>MIN(1,(AB1460/(AE1460*IF(v01_GroupInCrowding=1,N1461,MIN(J1461,L1461))))^v01_CrowdingExp)</x:f>
        <x:v>0.00024569414295285325</x:v>
      </x:c>
      <x:c r="Q1461" s="9" t="n">
        <x:f>IF(D1461=1,INDEX(v01_WinterMult,G1461),1)</x:f>
        <x:v>1</x:v>
      </x:c>
      <x:c r="R1461" s="9" t="n">
        <x:f>H1461*Z1460*v01_WomenShare*v01_BaseFertility*INDEX(v01_FertMult,G1461)*Arch_Fertility*(1-P1461)</x:f>
        <x:v>0</x:v>
      </x:c>
      <x:c r="S1461" s="9" t="n">
        <x:f>H1461*Y1460*INDEX(v01_MortChild,G1461)/4*Q1461</x:f>
        <x:v>0</x:v>
      </x:c>
      <x:c r="T1461" s="9" t="n">
        <x:f>H1461*Z1460*INDEX(v01_MortAdult,G1461)*Arch_AdultMort/4*Q1461</x:f>
        <x:v>0</x:v>
      </x:c>
      <x:c r="U1461" s="9" t="n">
        <x:f>H1461*AA1460*INDEX(v01_MortElder,G1461)/4*Q1461</x:f>
        <x:v>0</x:v>
      </x:c>
      <x:c r="V1461" s="9" t="n">
        <x:f>H1461*MAX(0,AB1460-O1461)*v01_OvercapLoss</x:f>
        <x:v>0</x:v>
      </x:c>
      <x:c r="W1461" s="9" t="n">
        <x:f>H1461*Y1460/(v01_ChildYears*4)</x:f>
        <x:v>0</x:v>
      </x:c>
      <x:c r="X1461" s="9" t="n">
        <x:f>H1461*Z1460/(v01_AdultYears*4)</x:f>
        <x:v>0</x:v>
      </x:c>
      <x:c r="Y1461" s="32" t="n">
        <x:f>Y1460+R1461-S1461-W1461-Y1460*V1461/AB1460</x:f>
        <x:v>14306.18539759397</x:v>
      </x:c>
      <x:c r="Z1461" s="32" t="n">
        <x:f>Z1460+W1461-X1461-T1461-Z1460*V1461/AB1460</x:f>
        <x:v>19354.456567879548</x:v>
      </x:c>
      <x:c r="AA1461" s="32" t="n">
        <x:f>AA1460+X1461-U1461-AA1460*V1461/AB1460</x:f>
        <x:v>11386.956063258198</x:v>
      </x:c>
      <x:c r="AB1461" s="10" t="n">
        <x:f>Y1461+Z1461+AA1461</x:f>
        <x:v>45047.59802873172</x:v>
      </x:c>
      <x:c r="AC1461" s="8" t="n">
        <x:f>IF(AND(v01_WinterTrigger=1,D1461=1,AB1460/AE1460&gt;=K1461),1,0)</x:f>
        <x:v>0</x:v>
      </x:c>
      <x:c r="AD1461" s="8" t="n">
        <x:f>H1461*IF(AND(OR(AB1460/AE1460&gt;=v01_FissionTrigger*N1461,AC1461=1),AB1460/AE1460*v01_DaughterShare&gt;=v01_MinDaughter),MAX(1,ROUND(AE1460*v01_FissionRate,0)),0)</x:f>
        <x:v>0</x:v>
      </x:c>
      <x:c r="AE1461" s="8" t="n">
        <x:f>IF(H1461=1,MAX(1,MIN(INDEX(v01_Smax,G1461),AE1460+AD1461)),AE1460)</x:f>
        <x:v>15</x:v>
      </x:c>
      <x:c r="AF1461" s="8" t="n">
        <x:f>MAX(0,AE1461-AE1460)</x:f>
        <x:v>0</x:v>
      </x:c>
      <x:c r="AG1461" s="9" t="str">
        <x:f>IF(AF1461&gt;0,B1461,"")</x:f>
      </x:c>
      <x:c r="AH1461" s="9" t="n">
        <x:f>IF(F1461&gt;=1,1,(1+v01_LowTiesShare*(AE1461-1))/AE1461)</x:f>
        <x:v>1</x:v>
      </x:c>
      <x:c r="AI1461" s="32" t="n">
        <x:f>(Z1461+v01_ElderCommons*INDEX(LM_Elder,G1461)*AA1461)*AH1461</x:f>
        <x:v>64139.732591141874</x:v>
      </x:c>
      <x:c r="AJ1461" s="32" t="n">
        <x:f>H1461*v01_CommonsCoef*AI1461^v01_CommonsExp*INDEX(LM_Commons,G1461)</x:f>
        <x:v>0</x:v>
      </x:c>
      <x:c r="AK1461" s="32" t="n">
        <x:f>H1461*v01_RoleScale*Arch_Roles*(AE1461*(INDEX(v01_ElderRolePerSett,G1461)*v01_OutElder*INDEX(LM_Elder,G1461)+INDEX(v01_ShamanPerSett,G1461)*v01_OutShaman)+Z1461*(INDEX(v01_PriestShare,G1461)*v01_OutPriest+INDEX(v01_ScribeShare,G1461)*v01_OutScribe*INDEX(LM_Scribe,G1461)+INDEX(v01_ScholarShare,G1461)*v01_OutScholar*INDEX(LM_Scholar,G1461)+INDEX(v01_ResearcherShare,G1461)*v01_OutResearcher*INDEX(LM_Researcher,G1461)))</x:f>
        <x:v>0</x:v>
      </x:c>
      <x:c r="AL1461" s="32" t="n">
        <x:f>H1461*v01_RoleScale*Arch_Roles*AE1461*INDEX(v01_MonasteryPerSett,G1461)*v01_OutMonastery*INDEX(LM_Monastery,G1461)</x:f>
        <x:v>0</x:v>
      </x:c>
      <x:c r="AM1461" s="32" t="n">
        <x:f>(AJ1461+AK1461+AL1461)/4*INDEX(LM_All,G1461)*INDEX(v01_Boon,G1461)*Arch_Insight</x:f>
        <x:v>0</x:v>
      </x:c>
      <x:c r="AN1461" s="32" t="n">
        <x:f>H1461*(v01_KHPerAdult*Z1461+v01_KHOfCommons*AJ1461/4*INDEX(LM_All,G1461))*v01_KHUsable*Arch_KH</x:f>
        <x:v>0</x:v>
      </x:c>
      <x:c r="AO1461" s="32" t="n">
        <x:f>MIN(AP1460+AN1461,AM1461*v01_KHMaxRatio)</x:f>
        <x:v>0</x:v>
      </x:c>
      <x:c r="AP1461" s="32" t="n">
        <x:f>AP1460+AN1461-AO1461</x:f>
        <x:v>0</x:v>
      </x:c>
      <x:c r="AQ1461" s="32" t="n">
        <x:f>AM1461+AO1461</x:f>
        <x:v>0</x:v>
      </x:c>
      <x:c r="AR1461" s="10" t="n">
        <x:f>IF(H1461=1,INDEX(v01_Req,G1461),0)</x:f>
        <x:v>0</x:v>
      </x:c>
      <x:c r="AS1461" s="32" t="n">
        <x:f>IF(H1461=1,IF(E1461=1,AS1460-AR1460,AS1460)+AQ1461,0)</x:f>
        <x:v>0</x:v>
      </x:c>
      <x:c r="AT1461" s="11" t="n">
        <x:f>IF(AR1461&gt;0,MIN(1,AS1461/AR1461),1)</x:f>
        <x:v>1</x:v>
      </x:c>
      <x:c r="AU1461" s="10" t="n">
        <x:f>AB1461/INDEX(v01_RepScale,G1461)</x:f>
        <x:v>90.09519605746344</x:v>
      </x:c>
      <x:c r="AV1461" s="32" t="n">
        <x:f>AM1461*60/v01_SeasonSeconds</x:f>
        <x:v>0</x:v>
      </x:c>
    </x:row>
    <x:row r="1462">
      <x:c r="A1462" s="8" t="n">
        <x:f>A1461+1</x:f>
        <x:v>1459</x:v>
      </x:c>
      <x:c r="B1462" s="9" t="n">
        <x:f>A1462*v01_SeasonSeconds/60</x:f>
        <x:v>364.75</x:v>
      </x:c>
      <x:c r="C1462" s="9" t="n">
        <x:f>A1462/4</x:f>
        <x:v>364.75</x:v>
      </x:c>
      <x:c r="D1462" s="8" t="n">
        <x:f>IF(MOD(A1462,4)=0,1,0)</x:f>
        <x:v>0</x:v>
      </x:c>
      <x:c r="E1462" s="8" t="n">
        <x:f>IF(AND(F1461&lt;=9,AS1461&gt;=AR1461),1,0)</x:f>
        <x:v>0</x:v>
      </x:c>
      <x:c r="F1462" s="8" t="n">
        <x:f>MIN(10,F1461+E1462)</x:f>
        <x:v>10</x:v>
      </x:c>
      <x:c r="G1462" s="8" t="n">
        <x:f>MIN(F1462,9)+1</x:f>
        <x:v>10</x:v>
      </x:c>
      <x:c r="H1462" s="8" t="n">
        <x:f>IF(F1462&lt;=9,1,0)</x:f>
        <x:v>0</x:v>
      </x:c>
      <x:c r="I1462" s="9" t="n">
        <x:f>MIN(10,F1461+IF(AR1461&gt;0,MIN(1,AS1461/AR1461),1))</x:f>
        <x:v>10</x:v>
      </x:c>
      <x:c r="J1462" s="32" t="n">
        <x:f>INDEX(v01_FoodCap,G1462)*Arch_FoodCap*EXP(v01_CapsByProject*SUMPRODUCT((Cap_Point&lt;=I1462)*(Cap_Kind="Food")*Cap_Ln))</x:f>
        <x:v>12000</x:v>
      </x:c>
      <x:c r="K1462" s="32" t="n">
        <x:f>J1462*MIN(1,v01_LeanBase*EXP(v01_CapsByProject*SUMPRODUCT((Cap_Point&lt;=I1462)*(Cap_Kind="Lean")*Cap_Ln)))</x:f>
        <x:v>12000</x:v>
      </x:c>
      <x:c r="L1462" s="10" t="n">
        <x:f>INDEX(v01_HousingCap,G1462)*EXP(v01_CapsByProject*SUMPRODUCT((Cap_Point&lt;=I1462)*(Cap_Kind="Housing")*Cap_Ln))</x:f>
        <x:v>20000</x:v>
      </x:c>
      <x:c r="M1462" s="10" t="n">
        <x:f>INDEX(v01_GroupCap,G1462)*v01_CohesionFactor*EXP(v01_CapsByProject*SUMPRODUCT((Cap_Point&lt;=I1462)*(Cap_Kind="Group")*Cap_Ln))</x:f>
        <x:v>1000000</x:v>
      </x:c>
      <x:c r="N1462" s="32" t="n">
        <x:f>MIN(J1462,L1462,M1462)</x:f>
        <x:v>12000</x:v>
      </x:c>
      <x:c r="O1462" s="10" t="n">
        <x:f>AE1461*N1462</x:f>
        <x:v>180000</x:v>
      </x:c>
      <x:c r="P1462" s="9" t="n">
        <x:f>MIN(1,(AB1461/(AE1461*IF(v01_GroupInCrowding=1,N1462,MIN(J1462,L1462))))^v01_CrowdingExp)</x:f>
        <x:v>0.00024569414295285325</x:v>
      </x:c>
      <x:c r="Q1462" s="9" t="n">
        <x:f>IF(D1462=1,INDEX(v01_WinterMult,G1462),1)</x:f>
        <x:v>1</x:v>
      </x:c>
      <x:c r="R1462" s="9" t="n">
        <x:f>H1462*Z1461*v01_WomenShare*v01_BaseFertility*INDEX(v01_FertMult,G1462)*Arch_Fertility*(1-P1462)</x:f>
        <x:v>0</x:v>
      </x:c>
      <x:c r="S1462" s="9" t="n">
        <x:f>H1462*Y1461*INDEX(v01_MortChild,G1462)/4*Q1462</x:f>
        <x:v>0</x:v>
      </x:c>
      <x:c r="T1462" s="9" t="n">
        <x:f>H1462*Z1461*INDEX(v01_MortAdult,G1462)*Arch_AdultMort/4*Q1462</x:f>
        <x:v>0</x:v>
      </x:c>
      <x:c r="U1462" s="9" t="n">
        <x:f>H1462*AA1461*INDEX(v01_MortElder,G1462)/4*Q1462</x:f>
        <x:v>0</x:v>
      </x:c>
      <x:c r="V1462" s="9" t="n">
        <x:f>H1462*MAX(0,AB1461-O1462)*v01_OvercapLoss</x:f>
        <x:v>0</x:v>
      </x:c>
      <x:c r="W1462" s="9" t="n">
        <x:f>H1462*Y1461/(v01_ChildYears*4)</x:f>
        <x:v>0</x:v>
      </x:c>
      <x:c r="X1462" s="9" t="n">
        <x:f>H1462*Z1461/(v01_AdultYears*4)</x:f>
        <x:v>0</x:v>
      </x:c>
      <x:c r="Y1462" s="32" t="n">
        <x:f>Y1461+R1462-S1462-W1462-Y1461*V1462/AB1461</x:f>
        <x:v>14306.18539759397</x:v>
      </x:c>
      <x:c r="Z1462" s="32" t="n">
        <x:f>Z1461+W1462-X1462-T1462-Z1461*V1462/AB1461</x:f>
        <x:v>19354.456567879548</x:v>
      </x:c>
      <x:c r="AA1462" s="32" t="n">
        <x:f>AA1461+X1462-U1462-AA1461*V1462/AB1461</x:f>
        <x:v>11386.956063258198</x:v>
      </x:c>
      <x:c r="AB1462" s="10" t="n">
        <x:f>Y1462+Z1462+AA1462</x:f>
        <x:v>45047.59802873172</x:v>
      </x:c>
      <x:c r="AC1462" s="8" t="n">
        <x:f>IF(AND(v01_WinterTrigger=1,D1462=1,AB1461/AE1461&gt;=K1462),1,0)</x:f>
        <x:v>0</x:v>
      </x:c>
      <x:c r="AD1462" s="8" t="n">
        <x:f>H1462*IF(AND(OR(AB1461/AE1461&gt;=v01_FissionTrigger*N1462,AC1462=1),AB1461/AE1461*v01_DaughterShare&gt;=v01_MinDaughter),MAX(1,ROUND(AE1461*v01_FissionRate,0)),0)</x:f>
        <x:v>0</x:v>
      </x:c>
      <x:c r="AE1462" s="8" t="n">
        <x:f>IF(H1462=1,MAX(1,MIN(INDEX(v01_Smax,G1462),AE1461+AD1462)),AE1461)</x:f>
        <x:v>15</x:v>
      </x:c>
      <x:c r="AF1462" s="8" t="n">
        <x:f>MAX(0,AE1462-AE1461)</x:f>
        <x:v>0</x:v>
      </x:c>
      <x:c r="AG1462" s="9" t="str">
        <x:f>IF(AF1462&gt;0,B1462,"")</x:f>
      </x:c>
      <x:c r="AH1462" s="9" t="n">
        <x:f>IF(F1462&gt;=1,1,(1+v01_LowTiesShare*(AE1462-1))/AE1462)</x:f>
        <x:v>1</x:v>
      </x:c>
      <x:c r="AI1462" s="32" t="n">
        <x:f>(Z1462+v01_ElderCommons*INDEX(LM_Elder,G1462)*AA1462)*AH1462</x:f>
        <x:v>64139.732591141874</x:v>
      </x:c>
      <x:c r="AJ1462" s="32" t="n">
        <x:f>H1462*v01_CommonsCoef*AI1462^v01_CommonsExp*INDEX(LM_Commons,G1462)</x:f>
        <x:v>0</x:v>
      </x:c>
      <x:c r="AK1462" s="32" t="n">
        <x:f>H1462*v01_RoleScale*Arch_Roles*(AE1462*(INDEX(v01_ElderRolePerSett,G1462)*v01_OutElder*INDEX(LM_Elder,G1462)+INDEX(v01_ShamanPerSett,G1462)*v01_OutShaman)+Z1462*(INDEX(v01_PriestShare,G1462)*v01_OutPriest+INDEX(v01_ScribeShare,G1462)*v01_OutScribe*INDEX(LM_Scribe,G1462)+INDEX(v01_ScholarShare,G1462)*v01_OutScholar*INDEX(LM_Scholar,G1462)+INDEX(v01_ResearcherShare,G1462)*v01_OutResearcher*INDEX(LM_Researcher,G1462)))</x:f>
        <x:v>0</x:v>
      </x:c>
      <x:c r="AL1462" s="32" t="n">
        <x:f>H1462*v01_RoleScale*Arch_Roles*AE1462*INDEX(v01_MonasteryPerSett,G1462)*v01_OutMonastery*INDEX(LM_Monastery,G1462)</x:f>
        <x:v>0</x:v>
      </x:c>
      <x:c r="AM1462" s="32" t="n">
        <x:f>(AJ1462+AK1462+AL1462)/4*INDEX(LM_All,G1462)*INDEX(v01_Boon,G1462)*Arch_Insight</x:f>
        <x:v>0</x:v>
      </x:c>
      <x:c r="AN1462" s="32" t="n">
        <x:f>H1462*(v01_KHPerAdult*Z1462+v01_KHOfCommons*AJ1462/4*INDEX(LM_All,G1462))*v01_KHUsable*Arch_KH</x:f>
        <x:v>0</x:v>
      </x:c>
      <x:c r="AO1462" s="32" t="n">
        <x:f>MIN(AP1461+AN1462,AM1462*v01_KHMaxRatio)</x:f>
        <x:v>0</x:v>
      </x:c>
      <x:c r="AP1462" s="32" t="n">
        <x:f>AP1461+AN1462-AO1462</x:f>
        <x:v>0</x:v>
      </x:c>
      <x:c r="AQ1462" s="32" t="n">
        <x:f>AM1462+AO1462</x:f>
        <x:v>0</x:v>
      </x:c>
      <x:c r="AR1462" s="10" t="n">
        <x:f>IF(H1462=1,INDEX(v01_Req,G1462),0)</x:f>
        <x:v>0</x:v>
      </x:c>
      <x:c r="AS1462" s="32" t="n">
        <x:f>IF(H1462=1,IF(E1462=1,AS1461-AR1461,AS1461)+AQ1462,0)</x:f>
        <x:v>0</x:v>
      </x:c>
      <x:c r="AT1462" s="11" t="n">
        <x:f>IF(AR1462&gt;0,MIN(1,AS1462/AR1462),1)</x:f>
        <x:v>1</x:v>
      </x:c>
      <x:c r="AU1462" s="10" t="n">
        <x:f>AB1462/INDEX(v01_RepScale,G1462)</x:f>
        <x:v>90.09519605746344</x:v>
      </x:c>
      <x:c r="AV1462" s="32" t="n">
        <x:f>AM1462*60/v01_SeasonSeconds</x:f>
        <x:v>0</x:v>
      </x:c>
    </x:row>
    <x:row r="1463">
      <x:c r="A1463" s="8" t="n">
        <x:f>A1462+1</x:f>
        <x:v>1460</x:v>
      </x:c>
      <x:c r="B1463" s="9" t="n">
        <x:f>A1463*v01_SeasonSeconds/60</x:f>
        <x:v>365</x:v>
      </x:c>
      <x:c r="C1463" s="9" t="n">
        <x:f>A1463/4</x:f>
        <x:v>365</x:v>
      </x:c>
      <x:c r="D1463" s="8" t="n">
        <x:f>IF(MOD(A1463,4)=0,1,0)</x:f>
        <x:v>1</x:v>
      </x:c>
      <x:c r="E1463" s="8" t="n">
        <x:f>IF(AND(F1462&lt;=9,AS1462&gt;=AR1462),1,0)</x:f>
        <x:v>0</x:v>
      </x:c>
      <x:c r="F1463" s="8" t="n">
        <x:f>MIN(10,F1462+E1463)</x:f>
        <x:v>10</x:v>
      </x:c>
      <x:c r="G1463" s="8" t="n">
        <x:f>MIN(F1463,9)+1</x:f>
        <x:v>10</x:v>
      </x:c>
      <x:c r="H1463" s="8" t="n">
        <x:f>IF(F1463&lt;=9,1,0)</x:f>
        <x:v>0</x:v>
      </x:c>
      <x:c r="I1463" s="9" t="n">
        <x:f>MIN(10,F1462+IF(AR1462&gt;0,MIN(1,AS1462/AR1462),1))</x:f>
        <x:v>10</x:v>
      </x:c>
      <x:c r="J1463" s="32" t="n">
        <x:f>INDEX(v01_FoodCap,G1463)*Arch_FoodCap*EXP(v01_CapsByProject*SUMPRODUCT((Cap_Point&lt;=I1463)*(Cap_Kind="Food")*Cap_Ln))</x:f>
        <x:v>12000</x:v>
      </x:c>
      <x:c r="K1463" s="32" t="n">
        <x:f>J1463*MIN(1,v01_LeanBase*EXP(v01_CapsByProject*SUMPRODUCT((Cap_Point&lt;=I1463)*(Cap_Kind="Lean")*Cap_Ln)))</x:f>
        <x:v>12000</x:v>
      </x:c>
      <x:c r="L1463" s="10" t="n">
        <x:f>INDEX(v01_HousingCap,G1463)*EXP(v01_CapsByProject*SUMPRODUCT((Cap_Point&lt;=I1463)*(Cap_Kind="Housing")*Cap_Ln))</x:f>
        <x:v>20000</x:v>
      </x:c>
      <x:c r="M1463" s="10" t="n">
        <x:f>INDEX(v01_GroupCap,G1463)*v01_CohesionFactor*EXP(v01_CapsByProject*SUMPRODUCT((Cap_Point&lt;=I1463)*(Cap_Kind="Group")*Cap_Ln))</x:f>
        <x:v>1000000</x:v>
      </x:c>
      <x:c r="N1463" s="32" t="n">
        <x:f>MIN(J1463,L1463,M1463)</x:f>
        <x:v>12000</x:v>
      </x:c>
      <x:c r="O1463" s="10" t="n">
        <x:f>AE1462*N1463</x:f>
        <x:v>180000</x:v>
      </x:c>
      <x:c r="P1463" s="9" t="n">
        <x:f>MIN(1,(AB1462/(AE1462*IF(v01_GroupInCrowding=1,N1463,MIN(J1463,L1463))))^v01_CrowdingExp)</x:f>
        <x:v>0.00024569414295285325</x:v>
      </x:c>
      <x:c r="Q1463" s="9" t="n">
        <x:f>IF(D1463=1,INDEX(v01_WinterMult,G1463),1)</x:f>
        <x:v>1</x:v>
      </x:c>
      <x:c r="R1463" s="9" t="n">
        <x:f>H1463*Z1462*v01_WomenShare*v01_BaseFertility*INDEX(v01_FertMult,G1463)*Arch_Fertility*(1-P1463)</x:f>
        <x:v>0</x:v>
      </x:c>
      <x:c r="S1463" s="9" t="n">
        <x:f>H1463*Y1462*INDEX(v01_MortChild,G1463)/4*Q1463</x:f>
        <x:v>0</x:v>
      </x:c>
      <x:c r="T1463" s="9" t="n">
        <x:f>H1463*Z1462*INDEX(v01_MortAdult,G1463)*Arch_AdultMort/4*Q1463</x:f>
        <x:v>0</x:v>
      </x:c>
      <x:c r="U1463" s="9" t="n">
        <x:f>H1463*AA1462*INDEX(v01_MortElder,G1463)/4*Q1463</x:f>
        <x:v>0</x:v>
      </x:c>
      <x:c r="V1463" s="9" t="n">
        <x:f>H1463*MAX(0,AB1462-O1463)*v01_OvercapLoss</x:f>
        <x:v>0</x:v>
      </x:c>
      <x:c r="W1463" s="9" t="n">
        <x:f>H1463*Y1462/(v01_ChildYears*4)</x:f>
        <x:v>0</x:v>
      </x:c>
      <x:c r="X1463" s="9" t="n">
        <x:f>H1463*Z1462/(v01_AdultYears*4)</x:f>
        <x:v>0</x:v>
      </x:c>
      <x:c r="Y1463" s="32" t="n">
        <x:f>Y1462+R1463-S1463-W1463-Y1462*V1463/AB1462</x:f>
        <x:v>14306.18539759397</x:v>
      </x:c>
      <x:c r="Z1463" s="32" t="n">
        <x:f>Z1462+W1463-X1463-T1463-Z1462*V1463/AB1462</x:f>
        <x:v>19354.456567879548</x:v>
      </x:c>
      <x:c r="AA1463" s="32" t="n">
        <x:f>AA1462+X1463-U1463-AA1462*V1463/AB1462</x:f>
        <x:v>11386.956063258198</x:v>
      </x:c>
      <x:c r="AB1463" s="10" t="n">
        <x:f>Y1463+Z1463+AA1463</x:f>
        <x:v>45047.59802873172</x:v>
      </x:c>
      <x:c r="AC1463" s="8" t="n">
        <x:f>IF(AND(v01_WinterTrigger=1,D1463=1,AB1462/AE1462&gt;=K1463),1,0)</x:f>
        <x:v>0</x:v>
      </x:c>
      <x:c r="AD1463" s="8" t="n">
        <x:f>H1463*IF(AND(OR(AB1462/AE1462&gt;=v01_FissionTrigger*N1463,AC1463=1),AB1462/AE1462*v01_DaughterShare&gt;=v01_MinDaughter),MAX(1,ROUND(AE1462*v01_FissionRate,0)),0)</x:f>
        <x:v>0</x:v>
      </x:c>
      <x:c r="AE1463" s="8" t="n">
        <x:f>IF(H1463=1,MAX(1,MIN(INDEX(v01_Smax,G1463),AE1462+AD1463)),AE1462)</x:f>
        <x:v>15</x:v>
      </x:c>
      <x:c r="AF1463" s="8" t="n">
        <x:f>MAX(0,AE1463-AE1462)</x:f>
        <x:v>0</x:v>
      </x:c>
      <x:c r="AG1463" s="9" t="str">
        <x:f>IF(AF1463&gt;0,B1463,"")</x:f>
      </x:c>
      <x:c r="AH1463" s="9" t="n">
        <x:f>IF(F1463&gt;=1,1,(1+v01_LowTiesShare*(AE1463-1))/AE1463)</x:f>
        <x:v>1</x:v>
      </x:c>
      <x:c r="AI1463" s="32" t="n">
        <x:f>(Z1463+v01_ElderCommons*INDEX(LM_Elder,G1463)*AA1463)*AH1463</x:f>
        <x:v>64139.732591141874</x:v>
      </x:c>
      <x:c r="AJ1463" s="32" t="n">
        <x:f>H1463*v01_CommonsCoef*AI1463^v01_CommonsExp*INDEX(LM_Commons,G1463)</x:f>
        <x:v>0</x:v>
      </x:c>
      <x:c r="AK1463" s="32" t="n">
        <x:f>H1463*v01_RoleScale*Arch_Roles*(AE1463*(INDEX(v01_ElderRolePerSett,G1463)*v01_OutElder*INDEX(LM_Elder,G1463)+INDEX(v01_ShamanPerSett,G1463)*v01_OutShaman)+Z1463*(INDEX(v01_PriestShare,G1463)*v01_OutPriest+INDEX(v01_ScribeShare,G1463)*v01_OutScribe*INDEX(LM_Scribe,G1463)+INDEX(v01_ScholarShare,G1463)*v01_OutScholar*INDEX(LM_Scholar,G1463)+INDEX(v01_ResearcherShare,G1463)*v01_OutResearcher*INDEX(LM_Researcher,G1463)))</x:f>
        <x:v>0</x:v>
      </x:c>
      <x:c r="AL1463" s="32" t="n">
        <x:f>H1463*v01_RoleScale*Arch_Roles*AE1463*INDEX(v01_MonasteryPerSett,G1463)*v01_OutMonastery*INDEX(LM_Monastery,G1463)</x:f>
        <x:v>0</x:v>
      </x:c>
      <x:c r="AM1463" s="32" t="n">
        <x:f>(AJ1463+AK1463+AL1463)/4*INDEX(LM_All,G1463)*INDEX(v01_Boon,G1463)*Arch_Insight</x:f>
        <x:v>0</x:v>
      </x:c>
      <x:c r="AN1463" s="32" t="n">
        <x:f>H1463*(v01_KHPerAdult*Z1463+v01_KHOfCommons*AJ1463/4*INDEX(LM_All,G1463))*v01_KHUsable*Arch_KH</x:f>
        <x:v>0</x:v>
      </x:c>
      <x:c r="AO1463" s="32" t="n">
        <x:f>MIN(AP1462+AN1463,AM1463*v01_KHMaxRatio)</x:f>
        <x:v>0</x:v>
      </x:c>
      <x:c r="AP1463" s="32" t="n">
        <x:f>AP1462+AN1463-AO1463</x:f>
        <x:v>0</x:v>
      </x:c>
      <x:c r="AQ1463" s="32" t="n">
        <x:f>AM1463+AO1463</x:f>
        <x:v>0</x:v>
      </x:c>
      <x:c r="AR1463" s="10" t="n">
        <x:f>IF(H1463=1,INDEX(v01_Req,G1463),0)</x:f>
        <x:v>0</x:v>
      </x:c>
      <x:c r="AS1463" s="32" t="n">
        <x:f>IF(H1463=1,IF(E1463=1,AS1462-AR1462,AS1462)+AQ1463,0)</x:f>
        <x:v>0</x:v>
      </x:c>
      <x:c r="AT1463" s="11" t="n">
        <x:f>IF(AR1463&gt;0,MIN(1,AS1463/AR1463),1)</x:f>
        <x:v>1</x:v>
      </x:c>
      <x:c r="AU1463" s="10" t="n">
        <x:f>AB1463/INDEX(v01_RepScale,G1463)</x:f>
        <x:v>90.09519605746344</x:v>
      </x:c>
      <x:c r="AV1463" s="32" t="n">
        <x:f>AM1463*60/v01_SeasonSeconds</x:f>
        <x:v>0</x:v>
      </x:c>
    </x:row>
    <x:row r="1464">
      <x:c r="A1464" s="8" t="n">
        <x:f>A1463+1</x:f>
        <x:v>1461</x:v>
      </x:c>
      <x:c r="B1464" s="9" t="n">
        <x:f>A1464*v01_SeasonSeconds/60</x:f>
        <x:v>365.25</x:v>
      </x:c>
      <x:c r="C1464" s="9" t="n">
        <x:f>A1464/4</x:f>
        <x:v>365.25</x:v>
      </x:c>
      <x:c r="D1464" s="8" t="n">
        <x:f>IF(MOD(A1464,4)=0,1,0)</x:f>
        <x:v>0</x:v>
      </x:c>
      <x:c r="E1464" s="8" t="n">
        <x:f>IF(AND(F1463&lt;=9,AS1463&gt;=AR1463),1,0)</x:f>
        <x:v>0</x:v>
      </x:c>
      <x:c r="F1464" s="8" t="n">
        <x:f>MIN(10,F1463+E1464)</x:f>
        <x:v>10</x:v>
      </x:c>
      <x:c r="G1464" s="8" t="n">
        <x:f>MIN(F1464,9)+1</x:f>
        <x:v>10</x:v>
      </x:c>
      <x:c r="H1464" s="8" t="n">
        <x:f>IF(F1464&lt;=9,1,0)</x:f>
        <x:v>0</x:v>
      </x:c>
      <x:c r="I1464" s="9" t="n">
        <x:f>MIN(10,F1463+IF(AR1463&gt;0,MIN(1,AS1463/AR1463),1))</x:f>
        <x:v>10</x:v>
      </x:c>
      <x:c r="J1464" s="32" t="n">
        <x:f>INDEX(v01_FoodCap,G1464)*Arch_FoodCap*EXP(v01_CapsByProject*SUMPRODUCT((Cap_Point&lt;=I1464)*(Cap_Kind="Food")*Cap_Ln))</x:f>
        <x:v>12000</x:v>
      </x:c>
      <x:c r="K1464" s="32" t="n">
        <x:f>J1464*MIN(1,v01_LeanBase*EXP(v01_CapsByProject*SUMPRODUCT((Cap_Point&lt;=I1464)*(Cap_Kind="Lean")*Cap_Ln)))</x:f>
        <x:v>12000</x:v>
      </x:c>
      <x:c r="L1464" s="10" t="n">
        <x:f>INDEX(v01_HousingCap,G1464)*EXP(v01_CapsByProject*SUMPRODUCT((Cap_Point&lt;=I1464)*(Cap_Kind="Housing")*Cap_Ln))</x:f>
        <x:v>20000</x:v>
      </x:c>
      <x:c r="M1464" s="10" t="n">
        <x:f>INDEX(v01_GroupCap,G1464)*v01_CohesionFactor*EXP(v01_CapsByProject*SUMPRODUCT((Cap_Point&lt;=I1464)*(Cap_Kind="Group")*Cap_Ln))</x:f>
        <x:v>1000000</x:v>
      </x:c>
      <x:c r="N1464" s="32" t="n">
        <x:f>MIN(J1464,L1464,M1464)</x:f>
        <x:v>12000</x:v>
      </x:c>
      <x:c r="O1464" s="10" t="n">
        <x:f>AE1463*N1464</x:f>
        <x:v>180000</x:v>
      </x:c>
      <x:c r="P1464" s="9" t="n">
        <x:f>MIN(1,(AB1463/(AE1463*IF(v01_GroupInCrowding=1,N1464,MIN(J1464,L1464))))^v01_CrowdingExp)</x:f>
        <x:v>0.00024569414295285325</x:v>
      </x:c>
      <x:c r="Q1464" s="9" t="n">
        <x:f>IF(D1464=1,INDEX(v01_WinterMult,G1464),1)</x:f>
        <x:v>1</x:v>
      </x:c>
      <x:c r="R1464" s="9" t="n">
        <x:f>H1464*Z1463*v01_WomenShare*v01_BaseFertility*INDEX(v01_FertMult,G1464)*Arch_Fertility*(1-P1464)</x:f>
        <x:v>0</x:v>
      </x:c>
      <x:c r="S1464" s="9" t="n">
        <x:f>H1464*Y1463*INDEX(v01_MortChild,G1464)/4*Q1464</x:f>
        <x:v>0</x:v>
      </x:c>
      <x:c r="T1464" s="9" t="n">
        <x:f>H1464*Z1463*INDEX(v01_MortAdult,G1464)*Arch_AdultMort/4*Q1464</x:f>
        <x:v>0</x:v>
      </x:c>
      <x:c r="U1464" s="9" t="n">
        <x:f>H1464*AA1463*INDEX(v01_MortElder,G1464)/4*Q1464</x:f>
        <x:v>0</x:v>
      </x:c>
      <x:c r="V1464" s="9" t="n">
        <x:f>H1464*MAX(0,AB1463-O1464)*v01_OvercapLoss</x:f>
        <x:v>0</x:v>
      </x:c>
      <x:c r="W1464" s="9" t="n">
        <x:f>H1464*Y1463/(v01_ChildYears*4)</x:f>
        <x:v>0</x:v>
      </x:c>
      <x:c r="X1464" s="9" t="n">
        <x:f>H1464*Z1463/(v01_AdultYears*4)</x:f>
        <x:v>0</x:v>
      </x:c>
      <x:c r="Y1464" s="32" t="n">
        <x:f>Y1463+R1464-S1464-W1464-Y1463*V1464/AB1463</x:f>
        <x:v>14306.18539759397</x:v>
      </x:c>
      <x:c r="Z1464" s="32" t="n">
        <x:f>Z1463+W1464-X1464-T1464-Z1463*V1464/AB1463</x:f>
        <x:v>19354.456567879548</x:v>
      </x:c>
      <x:c r="AA1464" s="32" t="n">
        <x:f>AA1463+X1464-U1464-AA1463*V1464/AB1463</x:f>
        <x:v>11386.956063258198</x:v>
      </x:c>
      <x:c r="AB1464" s="10" t="n">
        <x:f>Y1464+Z1464+AA1464</x:f>
        <x:v>45047.59802873172</x:v>
      </x:c>
      <x:c r="AC1464" s="8" t="n">
        <x:f>IF(AND(v01_WinterTrigger=1,D1464=1,AB1463/AE1463&gt;=K1464),1,0)</x:f>
        <x:v>0</x:v>
      </x:c>
      <x:c r="AD1464" s="8" t="n">
        <x:f>H1464*IF(AND(OR(AB1463/AE1463&gt;=v01_FissionTrigger*N1464,AC1464=1),AB1463/AE1463*v01_DaughterShare&gt;=v01_MinDaughter),MAX(1,ROUND(AE1463*v01_FissionRate,0)),0)</x:f>
        <x:v>0</x:v>
      </x:c>
      <x:c r="AE1464" s="8" t="n">
        <x:f>IF(H1464=1,MAX(1,MIN(INDEX(v01_Smax,G1464),AE1463+AD1464)),AE1463)</x:f>
        <x:v>15</x:v>
      </x:c>
      <x:c r="AF1464" s="8" t="n">
        <x:f>MAX(0,AE1464-AE1463)</x:f>
        <x:v>0</x:v>
      </x:c>
      <x:c r="AG1464" s="9" t="str">
        <x:f>IF(AF1464&gt;0,B1464,"")</x:f>
      </x:c>
      <x:c r="AH1464" s="9" t="n">
        <x:f>IF(F1464&gt;=1,1,(1+v01_LowTiesShare*(AE1464-1))/AE1464)</x:f>
        <x:v>1</x:v>
      </x:c>
      <x:c r="AI1464" s="32" t="n">
        <x:f>(Z1464+v01_ElderCommons*INDEX(LM_Elder,G1464)*AA1464)*AH1464</x:f>
        <x:v>64139.732591141874</x:v>
      </x:c>
      <x:c r="AJ1464" s="32" t="n">
        <x:f>H1464*v01_CommonsCoef*AI1464^v01_CommonsExp*INDEX(LM_Commons,G1464)</x:f>
        <x:v>0</x:v>
      </x:c>
      <x:c r="AK1464" s="32" t="n">
        <x:f>H1464*v01_RoleScale*Arch_Roles*(AE1464*(INDEX(v01_ElderRolePerSett,G1464)*v01_OutElder*INDEX(LM_Elder,G1464)+INDEX(v01_ShamanPerSett,G1464)*v01_OutShaman)+Z1464*(INDEX(v01_PriestShare,G1464)*v01_OutPriest+INDEX(v01_ScribeShare,G1464)*v01_OutScribe*INDEX(LM_Scribe,G1464)+INDEX(v01_ScholarShare,G1464)*v01_OutScholar*INDEX(LM_Scholar,G1464)+INDEX(v01_ResearcherShare,G1464)*v01_OutResearcher*INDEX(LM_Researcher,G1464)))</x:f>
        <x:v>0</x:v>
      </x:c>
      <x:c r="AL1464" s="32" t="n">
        <x:f>H1464*v01_RoleScale*Arch_Roles*AE1464*INDEX(v01_MonasteryPerSett,G1464)*v01_OutMonastery*INDEX(LM_Monastery,G1464)</x:f>
        <x:v>0</x:v>
      </x:c>
      <x:c r="AM1464" s="32" t="n">
        <x:f>(AJ1464+AK1464+AL1464)/4*INDEX(LM_All,G1464)*INDEX(v01_Boon,G1464)*Arch_Insight</x:f>
        <x:v>0</x:v>
      </x:c>
      <x:c r="AN1464" s="32" t="n">
        <x:f>H1464*(v01_KHPerAdult*Z1464+v01_KHOfCommons*AJ1464/4*INDEX(LM_All,G1464))*v01_KHUsable*Arch_KH</x:f>
        <x:v>0</x:v>
      </x:c>
      <x:c r="AO1464" s="32" t="n">
        <x:f>MIN(AP1463+AN1464,AM1464*v01_KHMaxRatio)</x:f>
        <x:v>0</x:v>
      </x:c>
      <x:c r="AP1464" s="32" t="n">
        <x:f>AP1463+AN1464-AO1464</x:f>
        <x:v>0</x:v>
      </x:c>
      <x:c r="AQ1464" s="32" t="n">
        <x:f>AM1464+AO1464</x:f>
        <x:v>0</x:v>
      </x:c>
      <x:c r="AR1464" s="10" t="n">
        <x:f>IF(H1464=1,INDEX(v01_Req,G1464),0)</x:f>
        <x:v>0</x:v>
      </x:c>
      <x:c r="AS1464" s="32" t="n">
        <x:f>IF(H1464=1,IF(E1464=1,AS1463-AR1463,AS1463)+AQ1464,0)</x:f>
        <x:v>0</x:v>
      </x:c>
      <x:c r="AT1464" s="11" t="n">
        <x:f>IF(AR1464&gt;0,MIN(1,AS1464/AR1464),1)</x:f>
        <x:v>1</x:v>
      </x:c>
      <x:c r="AU1464" s="10" t="n">
        <x:f>AB1464/INDEX(v01_RepScale,G1464)</x:f>
        <x:v>90.09519605746344</x:v>
      </x:c>
      <x:c r="AV1464" s="32" t="n">
        <x:f>AM1464*60/v01_SeasonSeconds</x:f>
        <x:v>0</x:v>
      </x:c>
    </x:row>
    <x:row r="1465">
      <x:c r="A1465" s="8" t="n">
        <x:f>A1464+1</x:f>
        <x:v>1462</x:v>
      </x:c>
      <x:c r="B1465" s="9" t="n">
        <x:f>A1465*v01_SeasonSeconds/60</x:f>
        <x:v>365.5</x:v>
      </x:c>
      <x:c r="C1465" s="9" t="n">
        <x:f>A1465/4</x:f>
        <x:v>365.5</x:v>
      </x:c>
      <x:c r="D1465" s="8" t="n">
        <x:f>IF(MOD(A1465,4)=0,1,0)</x:f>
        <x:v>0</x:v>
      </x:c>
      <x:c r="E1465" s="8" t="n">
        <x:f>IF(AND(F1464&lt;=9,AS1464&gt;=AR1464),1,0)</x:f>
        <x:v>0</x:v>
      </x:c>
      <x:c r="F1465" s="8" t="n">
        <x:f>MIN(10,F1464+E1465)</x:f>
        <x:v>10</x:v>
      </x:c>
      <x:c r="G1465" s="8" t="n">
        <x:f>MIN(F1465,9)+1</x:f>
        <x:v>10</x:v>
      </x:c>
      <x:c r="H1465" s="8" t="n">
        <x:f>IF(F1465&lt;=9,1,0)</x:f>
        <x:v>0</x:v>
      </x:c>
      <x:c r="I1465" s="9" t="n">
        <x:f>MIN(10,F1464+IF(AR1464&gt;0,MIN(1,AS1464/AR1464),1))</x:f>
        <x:v>10</x:v>
      </x:c>
      <x:c r="J1465" s="32" t="n">
        <x:f>INDEX(v01_FoodCap,G1465)*Arch_FoodCap*EXP(v01_CapsByProject*SUMPRODUCT((Cap_Point&lt;=I1465)*(Cap_Kind="Food")*Cap_Ln))</x:f>
        <x:v>12000</x:v>
      </x:c>
      <x:c r="K1465" s="32" t="n">
        <x:f>J1465*MIN(1,v01_LeanBase*EXP(v01_CapsByProject*SUMPRODUCT((Cap_Point&lt;=I1465)*(Cap_Kind="Lean")*Cap_Ln)))</x:f>
        <x:v>12000</x:v>
      </x:c>
      <x:c r="L1465" s="10" t="n">
        <x:f>INDEX(v01_HousingCap,G1465)*EXP(v01_CapsByProject*SUMPRODUCT((Cap_Point&lt;=I1465)*(Cap_Kind="Housing")*Cap_Ln))</x:f>
        <x:v>20000</x:v>
      </x:c>
      <x:c r="M1465" s="10" t="n">
        <x:f>INDEX(v01_GroupCap,G1465)*v01_CohesionFactor*EXP(v01_CapsByProject*SUMPRODUCT((Cap_Point&lt;=I1465)*(Cap_Kind="Group")*Cap_Ln))</x:f>
        <x:v>1000000</x:v>
      </x:c>
      <x:c r="N1465" s="32" t="n">
        <x:f>MIN(J1465,L1465,M1465)</x:f>
        <x:v>12000</x:v>
      </x:c>
      <x:c r="O1465" s="10" t="n">
        <x:f>AE1464*N1465</x:f>
        <x:v>180000</x:v>
      </x:c>
      <x:c r="P1465" s="9" t="n">
        <x:f>MIN(1,(AB1464/(AE1464*IF(v01_GroupInCrowding=1,N1465,MIN(J1465,L1465))))^v01_CrowdingExp)</x:f>
        <x:v>0.00024569414295285325</x:v>
      </x:c>
      <x:c r="Q1465" s="9" t="n">
        <x:f>IF(D1465=1,INDEX(v01_WinterMult,G1465),1)</x:f>
        <x:v>1</x:v>
      </x:c>
      <x:c r="R1465" s="9" t="n">
        <x:f>H1465*Z1464*v01_WomenShare*v01_BaseFertility*INDEX(v01_FertMult,G1465)*Arch_Fertility*(1-P1465)</x:f>
        <x:v>0</x:v>
      </x:c>
      <x:c r="S1465" s="9" t="n">
        <x:f>H1465*Y1464*INDEX(v01_MortChild,G1465)/4*Q1465</x:f>
        <x:v>0</x:v>
      </x:c>
      <x:c r="T1465" s="9" t="n">
        <x:f>H1465*Z1464*INDEX(v01_MortAdult,G1465)*Arch_AdultMort/4*Q1465</x:f>
        <x:v>0</x:v>
      </x:c>
      <x:c r="U1465" s="9" t="n">
        <x:f>H1465*AA1464*INDEX(v01_MortElder,G1465)/4*Q1465</x:f>
        <x:v>0</x:v>
      </x:c>
      <x:c r="V1465" s="9" t="n">
        <x:f>H1465*MAX(0,AB1464-O1465)*v01_OvercapLoss</x:f>
        <x:v>0</x:v>
      </x:c>
      <x:c r="W1465" s="9" t="n">
        <x:f>H1465*Y1464/(v01_ChildYears*4)</x:f>
        <x:v>0</x:v>
      </x:c>
      <x:c r="X1465" s="9" t="n">
        <x:f>H1465*Z1464/(v01_AdultYears*4)</x:f>
        <x:v>0</x:v>
      </x:c>
      <x:c r="Y1465" s="32" t="n">
        <x:f>Y1464+R1465-S1465-W1465-Y1464*V1465/AB1464</x:f>
        <x:v>14306.18539759397</x:v>
      </x:c>
      <x:c r="Z1465" s="32" t="n">
        <x:f>Z1464+W1465-X1465-T1465-Z1464*V1465/AB1464</x:f>
        <x:v>19354.456567879548</x:v>
      </x:c>
      <x:c r="AA1465" s="32" t="n">
        <x:f>AA1464+X1465-U1465-AA1464*V1465/AB1464</x:f>
        <x:v>11386.956063258198</x:v>
      </x:c>
      <x:c r="AB1465" s="10" t="n">
        <x:f>Y1465+Z1465+AA1465</x:f>
        <x:v>45047.59802873172</x:v>
      </x:c>
      <x:c r="AC1465" s="8" t="n">
        <x:f>IF(AND(v01_WinterTrigger=1,D1465=1,AB1464/AE1464&gt;=K1465),1,0)</x:f>
        <x:v>0</x:v>
      </x:c>
      <x:c r="AD1465" s="8" t="n">
        <x:f>H1465*IF(AND(OR(AB1464/AE1464&gt;=v01_FissionTrigger*N1465,AC1465=1),AB1464/AE1464*v01_DaughterShare&gt;=v01_MinDaughter),MAX(1,ROUND(AE1464*v01_FissionRate,0)),0)</x:f>
        <x:v>0</x:v>
      </x:c>
      <x:c r="AE1465" s="8" t="n">
        <x:f>IF(H1465=1,MAX(1,MIN(INDEX(v01_Smax,G1465),AE1464+AD1465)),AE1464)</x:f>
        <x:v>15</x:v>
      </x:c>
      <x:c r="AF1465" s="8" t="n">
        <x:f>MAX(0,AE1465-AE1464)</x:f>
        <x:v>0</x:v>
      </x:c>
      <x:c r="AG1465" s="9" t="str">
        <x:f>IF(AF1465&gt;0,B1465,"")</x:f>
      </x:c>
      <x:c r="AH1465" s="9" t="n">
        <x:f>IF(F1465&gt;=1,1,(1+v01_LowTiesShare*(AE1465-1))/AE1465)</x:f>
        <x:v>1</x:v>
      </x:c>
      <x:c r="AI1465" s="32" t="n">
        <x:f>(Z1465+v01_ElderCommons*INDEX(LM_Elder,G1465)*AA1465)*AH1465</x:f>
        <x:v>64139.732591141874</x:v>
      </x:c>
      <x:c r="AJ1465" s="32" t="n">
        <x:f>H1465*v01_CommonsCoef*AI1465^v01_CommonsExp*INDEX(LM_Commons,G1465)</x:f>
        <x:v>0</x:v>
      </x:c>
      <x:c r="AK1465" s="32" t="n">
        <x:f>H1465*v01_RoleScale*Arch_Roles*(AE1465*(INDEX(v01_ElderRolePerSett,G1465)*v01_OutElder*INDEX(LM_Elder,G1465)+INDEX(v01_ShamanPerSett,G1465)*v01_OutShaman)+Z1465*(INDEX(v01_PriestShare,G1465)*v01_OutPriest+INDEX(v01_ScribeShare,G1465)*v01_OutScribe*INDEX(LM_Scribe,G1465)+INDEX(v01_ScholarShare,G1465)*v01_OutScholar*INDEX(LM_Scholar,G1465)+INDEX(v01_ResearcherShare,G1465)*v01_OutResearcher*INDEX(LM_Researcher,G1465)))</x:f>
        <x:v>0</x:v>
      </x:c>
      <x:c r="AL1465" s="32" t="n">
        <x:f>H1465*v01_RoleScale*Arch_Roles*AE1465*INDEX(v01_MonasteryPerSett,G1465)*v01_OutMonastery*INDEX(LM_Monastery,G1465)</x:f>
        <x:v>0</x:v>
      </x:c>
      <x:c r="AM1465" s="32" t="n">
        <x:f>(AJ1465+AK1465+AL1465)/4*INDEX(LM_All,G1465)*INDEX(v01_Boon,G1465)*Arch_Insight</x:f>
        <x:v>0</x:v>
      </x:c>
      <x:c r="AN1465" s="32" t="n">
        <x:f>H1465*(v01_KHPerAdult*Z1465+v01_KHOfCommons*AJ1465/4*INDEX(LM_All,G1465))*v01_KHUsable*Arch_KH</x:f>
        <x:v>0</x:v>
      </x:c>
      <x:c r="AO1465" s="32" t="n">
        <x:f>MIN(AP1464+AN1465,AM1465*v01_KHMaxRatio)</x:f>
        <x:v>0</x:v>
      </x:c>
      <x:c r="AP1465" s="32" t="n">
        <x:f>AP1464+AN1465-AO1465</x:f>
        <x:v>0</x:v>
      </x:c>
      <x:c r="AQ1465" s="32" t="n">
        <x:f>AM1465+AO1465</x:f>
        <x:v>0</x:v>
      </x:c>
      <x:c r="AR1465" s="10" t="n">
        <x:f>IF(H1465=1,INDEX(v01_Req,G1465),0)</x:f>
        <x:v>0</x:v>
      </x:c>
      <x:c r="AS1465" s="32" t="n">
        <x:f>IF(H1465=1,IF(E1465=1,AS1464-AR1464,AS1464)+AQ1465,0)</x:f>
        <x:v>0</x:v>
      </x:c>
      <x:c r="AT1465" s="11" t="n">
        <x:f>IF(AR1465&gt;0,MIN(1,AS1465/AR1465),1)</x:f>
        <x:v>1</x:v>
      </x:c>
      <x:c r="AU1465" s="10" t="n">
        <x:f>AB1465/INDEX(v01_RepScale,G1465)</x:f>
        <x:v>90.09519605746344</x:v>
      </x:c>
      <x:c r="AV1465" s="32" t="n">
        <x:f>AM1465*60/v01_SeasonSeconds</x:f>
        <x:v>0</x:v>
      </x:c>
    </x:row>
    <x:row r="1466">
      <x:c r="A1466" s="8" t="n">
        <x:f>A1465+1</x:f>
        <x:v>1463</x:v>
      </x:c>
      <x:c r="B1466" s="9" t="n">
        <x:f>A1466*v01_SeasonSeconds/60</x:f>
        <x:v>365.75</x:v>
      </x:c>
      <x:c r="C1466" s="9" t="n">
        <x:f>A1466/4</x:f>
        <x:v>365.75</x:v>
      </x:c>
      <x:c r="D1466" s="8" t="n">
        <x:f>IF(MOD(A1466,4)=0,1,0)</x:f>
        <x:v>0</x:v>
      </x:c>
      <x:c r="E1466" s="8" t="n">
        <x:f>IF(AND(F1465&lt;=9,AS1465&gt;=AR1465),1,0)</x:f>
        <x:v>0</x:v>
      </x:c>
      <x:c r="F1466" s="8" t="n">
        <x:f>MIN(10,F1465+E1466)</x:f>
        <x:v>10</x:v>
      </x:c>
      <x:c r="G1466" s="8" t="n">
        <x:f>MIN(F1466,9)+1</x:f>
        <x:v>10</x:v>
      </x:c>
      <x:c r="H1466" s="8" t="n">
        <x:f>IF(F1466&lt;=9,1,0)</x:f>
        <x:v>0</x:v>
      </x:c>
      <x:c r="I1466" s="9" t="n">
        <x:f>MIN(10,F1465+IF(AR1465&gt;0,MIN(1,AS1465/AR1465),1))</x:f>
        <x:v>10</x:v>
      </x:c>
      <x:c r="J1466" s="32" t="n">
        <x:f>INDEX(v01_FoodCap,G1466)*Arch_FoodCap*EXP(v01_CapsByProject*SUMPRODUCT((Cap_Point&lt;=I1466)*(Cap_Kind="Food")*Cap_Ln))</x:f>
        <x:v>12000</x:v>
      </x:c>
      <x:c r="K1466" s="32" t="n">
        <x:f>J1466*MIN(1,v01_LeanBase*EXP(v01_CapsByProject*SUMPRODUCT((Cap_Point&lt;=I1466)*(Cap_Kind="Lean")*Cap_Ln)))</x:f>
        <x:v>12000</x:v>
      </x:c>
      <x:c r="L1466" s="10" t="n">
        <x:f>INDEX(v01_HousingCap,G1466)*EXP(v01_CapsByProject*SUMPRODUCT((Cap_Point&lt;=I1466)*(Cap_Kind="Housing")*Cap_Ln))</x:f>
        <x:v>20000</x:v>
      </x:c>
      <x:c r="M1466" s="10" t="n">
        <x:f>INDEX(v01_GroupCap,G1466)*v01_CohesionFactor*EXP(v01_CapsByProject*SUMPRODUCT((Cap_Point&lt;=I1466)*(Cap_Kind="Group")*Cap_Ln))</x:f>
        <x:v>1000000</x:v>
      </x:c>
      <x:c r="N1466" s="32" t="n">
        <x:f>MIN(J1466,L1466,M1466)</x:f>
        <x:v>12000</x:v>
      </x:c>
      <x:c r="O1466" s="10" t="n">
        <x:f>AE1465*N1466</x:f>
        <x:v>180000</x:v>
      </x:c>
      <x:c r="P1466" s="9" t="n">
        <x:f>MIN(1,(AB1465/(AE1465*IF(v01_GroupInCrowding=1,N1466,MIN(J1466,L1466))))^v01_CrowdingExp)</x:f>
        <x:v>0.00024569414295285325</x:v>
      </x:c>
      <x:c r="Q1466" s="9" t="n">
        <x:f>IF(D1466=1,INDEX(v01_WinterMult,G1466),1)</x:f>
        <x:v>1</x:v>
      </x:c>
      <x:c r="R1466" s="9" t="n">
        <x:f>H1466*Z1465*v01_WomenShare*v01_BaseFertility*INDEX(v01_FertMult,G1466)*Arch_Fertility*(1-P1466)</x:f>
        <x:v>0</x:v>
      </x:c>
      <x:c r="S1466" s="9" t="n">
        <x:f>H1466*Y1465*INDEX(v01_MortChild,G1466)/4*Q1466</x:f>
        <x:v>0</x:v>
      </x:c>
      <x:c r="T1466" s="9" t="n">
        <x:f>H1466*Z1465*INDEX(v01_MortAdult,G1466)*Arch_AdultMort/4*Q1466</x:f>
        <x:v>0</x:v>
      </x:c>
      <x:c r="U1466" s="9" t="n">
        <x:f>H1466*AA1465*INDEX(v01_MortElder,G1466)/4*Q1466</x:f>
        <x:v>0</x:v>
      </x:c>
      <x:c r="V1466" s="9" t="n">
        <x:f>H1466*MAX(0,AB1465-O1466)*v01_OvercapLoss</x:f>
        <x:v>0</x:v>
      </x:c>
      <x:c r="W1466" s="9" t="n">
        <x:f>H1466*Y1465/(v01_ChildYears*4)</x:f>
        <x:v>0</x:v>
      </x:c>
      <x:c r="X1466" s="9" t="n">
        <x:f>H1466*Z1465/(v01_AdultYears*4)</x:f>
        <x:v>0</x:v>
      </x:c>
      <x:c r="Y1466" s="32" t="n">
        <x:f>Y1465+R1466-S1466-W1466-Y1465*V1466/AB1465</x:f>
        <x:v>14306.18539759397</x:v>
      </x:c>
      <x:c r="Z1466" s="32" t="n">
        <x:f>Z1465+W1466-X1466-T1466-Z1465*V1466/AB1465</x:f>
        <x:v>19354.456567879548</x:v>
      </x:c>
      <x:c r="AA1466" s="32" t="n">
        <x:f>AA1465+X1466-U1466-AA1465*V1466/AB1465</x:f>
        <x:v>11386.956063258198</x:v>
      </x:c>
      <x:c r="AB1466" s="10" t="n">
        <x:f>Y1466+Z1466+AA1466</x:f>
        <x:v>45047.59802873172</x:v>
      </x:c>
      <x:c r="AC1466" s="8" t="n">
        <x:f>IF(AND(v01_WinterTrigger=1,D1466=1,AB1465/AE1465&gt;=K1466),1,0)</x:f>
        <x:v>0</x:v>
      </x:c>
      <x:c r="AD1466" s="8" t="n">
        <x:f>H1466*IF(AND(OR(AB1465/AE1465&gt;=v01_FissionTrigger*N1466,AC1466=1),AB1465/AE1465*v01_DaughterShare&gt;=v01_MinDaughter),MAX(1,ROUND(AE1465*v01_FissionRate,0)),0)</x:f>
        <x:v>0</x:v>
      </x:c>
      <x:c r="AE1466" s="8" t="n">
        <x:f>IF(H1466=1,MAX(1,MIN(INDEX(v01_Smax,G1466),AE1465+AD1466)),AE1465)</x:f>
        <x:v>15</x:v>
      </x:c>
      <x:c r="AF1466" s="8" t="n">
        <x:f>MAX(0,AE1466-AE1465)</x:f>
        <x:v>0</x:v>
      </x:c>
      <x:c r="AG1466" s="9" t="str">
        <x:f>IF(AF1466&gt;0,B1466,"")</x:f>
      </x:c>
      <x:c r="AH1466" s="9" t="n">
        <x:f>IF(F1466&gt;=1,1,(1+v01_LowTiesShare*(AE1466-1))/AE1466)</x:f>
        <x:v>1</x:v>
      </x:c>
      <x:c r="AI1466" s="32" t="n">
        <x:f>(Z1466+v01_ElderCommons*INDEX(LM_Elder,G1466)*AA1466)*AH1466</x:f>
        <x:v>64139.732591141874</x:v>
      </x:c>
      <x:c r="AJ1466" s="32" t="n">
        <x:f>H1466*v01_CommonsCoef*AI1466^v01_CommonsExp*INDEX(LM_Commons,G1466)</x:f>
        <x:v>0</x:v>
      </x:c>
      <x:c r="AK1466" s="32" t="n">
        <x:f>H1466*v01_RoleScale*Arch_Roles*(AE1466*(INDEX(v01_ElderRolePerSett,G1466)*v01_OutElder*INDEX(LM_Elder,G1466)+INDEX(v01_ShamanPerSett,G1466)*v01_OutShaman)+Z1466*(INDEX(v01_PriestShare,G1466)*v01_OutPriest+INDEX(v01_ScribeShare,G1466)*v01_OutScribe*INDEX(LM_Scribe,G1466)+INDEX(v01_ScholarShare,G1466)*v01_OutScholar*INDEX(LM_Scholar,G1466)+INDEX(v01_ResearcherShare,G1466)*v01_OutResearcher*INDEX(LM_Researcher,G1466)))</x:f>
        <x:v>0</x:v>
      </x:c>
      <x:c r="AL1466" s="32" t="n">
        <x:f>H1466*v01_RoleScale*Arch_Roles*AE1466*INDEX(v01_MonasteryPerSett,G1466)*v01_OutMonastery*INDEX(LM_Monastery,G1466)</x:f>
        <x:v>0</x:v>
      </x:c>
      <x:c r="AM1466" s="32" t="n">
        <x:f>(AJ1466+AK1466+AL1466)/4*INDEX(LM_All,G1466)*INDEX(v01_Boon,G1466)*Arch_Insight</x:f>
        <x:v>0</x:v>
      </x:c>
      <x:c r="AN1466" s="32" t="n">
        <x:f>H1466*(v01_KHPerAdult*Z1466+v01_KHOfCommons*AJ1466/4*INDEX(LM_All,G1466))*v01_KHUsable*Arch_KH</x:f>
        <x:v>0</x:v>
      </x:c>
      <x:c r="AO1466" s="32" t="n">
        <x:f>MIN(AP1465+AN1466,AM1466*v01_KHMaxRatio)</x:f>
        <x:v>0</x:v>
      </x:c>
      <x:c r="AP1466" s="32" t="n">
        <x:f>AP1465+AN1466-AO1466</x:f>
        <x:v>0</x:v>
      </x:c>
      <x:c r="AQ1466" s="32" t="n">
        <x:f>AM1466+AO1466</x:f>
        <x:v>0</x:v>
      </x:c>
      <x:c r="AR1466" s="10" t="n">
        <x:f>IF(H1466=1,INDEX(v01_Req,G1466),0)</x:f>
        <x:v>0</x:v>
      </x:c>
      <x:c r="AS1466" s="32" t="n">
        <x:f>IF(H1466=1,IF(E1466=1,AS1465-AR1465,AS1465)+AQ1466,0)</x:f>
        <x:v>0</x:v>
      </x:c>
      <x:c r="AT1466" s="11" t="n">
        <x:f>IF(AR1466&gt;0,MIN(1,AS1466/AR1466),1)</x:f>
        <x:v>1</x:v>
      </x:c>
      <x:c r="AU1466" s="10" t="n">
        <x:f>AB1466/INDEX(v01_RepScale,G1466)</x:f>
        <x:v>90.09519605746344</x:v>
      </x:c>
      <x:c r="AV1466" s="32" t="n">
        <x:f>AM1466*60/v01_SeasonSeconds</x:f>
        <x:v>0</x:v>
      </x:c>
    </x:row>
    <x:row r="1467">
      <x:c r="A1467" s="8" t="n">
        <x:f>A1466+1</x:f>
        <x:v>1464</x:v>
      </x:c>
      <x:c r="B1467" s="9" t="n">
        <x:f>A1467*v01_SeasonSeconds/60</x:f>
        <x:v>366</x:v>
      </x:c>
      <x:c r="C1467" s="9" t="n">
        <x:f>A1467/4</x:f>
        <x:v>366</x:v>
      </x:c>
      <x:c r="D1467" s="8" t="n">
        <x:f>IF(MOD(A1467,4)=0,1,0)</x:f>
        <x:v>1</x:v>
      </x:c>
      <x:c r="E1467" s="8" t="n">
        <x:f>IF(AND(F1466&lt;=9,AS1466&gt;=AR1466),1,0)</x:f>
        <x:v>0</x:v>
      </x:c>
      <x:c r="F1467" s="8" t="n">
        <x:f>MIN(10,F1466+E1467)</x:f>
        <x:v>10</x:v>
      </x:c>
      <x:c r="G1467" s="8" t="n">
        <x:f>MIN(F1467,9)+1</x:f>
        <x:v>10</x:v>
      </x:c>
      <x:c r="H1467" s="8" t="n">
        <x:f>IF(F1467&lt;=9,1,0)</x:f>
        <x:v>0</x:v>
      </x:c>
      <x:c r="I1467" s="9" t="n">
        <x:f>MIN(10,F1466+IF(AR1466&gt;0,MIN(1,AS1466/AR1466),1))</x:f>
        <x:v>10</x:v>
      </x:c>
      <x:c r="J1467" s="32" t="n">
        <x:f>INDEX(v01_FoodCap,G1467)*Arch_FoodCap*EXP(v01_CapsByProject*SUMPRODUCT((Cap_Point&lt;=I1467)*(Cap_Kind="Food")*Cap_Ln))</x:f>
        <x:v>12000</x:v>
      </x:c>
      <x:c r="K1467" s="32" t="n">
        <x:f>J1467*MIN(1,v01_LeanBase*EXP(v01_CapsByProject*SUMPRODUCT((Cap_Point&lt;=I1467)*(Cap_Kind="Lean")*Cap_Ln)))</x:f>
        <x:v>12000</x:v>
      </x:c>
      <x:c r="L1467" s="10" t="n">
        <x:f>INDEX(v01_HousingCap,G1467)*EXP(v01_CapsByProject*SUMPRODUCT((Cap_Point&lt;=I1467)*(Cap_Kind="Housing")*Cap_Ln))</x:f>
        <x:v>20000</x:v>
      </x:c>
      <x:c r="M1467" s="10" t="n">
        <x:f>INDEX(v01_GroupCap,G1467)*v01_CohesionFactor*EXP(v01_CapsByProject*SUMPRODUCT((Cap_Point&lt;=I1467)*(Cap_Kind="Group")*Cap_Ln))</x:f>
        <x:v>1000000</x:v>
      </x:c>
      <x:c r="N1467" s="32" t="n">
        <x:f>MIN(J1467,L1467,M1467)</x:f>
        <x:v>12000</x:v>
      </x:c>
      <x:c r="O1467" s="10" t="n">
        <x:f>AE1466*N1467</x:f>
        <x:v>180000</x:v>
      </x:c>
      <x:c r="P1467" s="9" t="n">
        <x:f>MIN(1,(AB1466/(AE1466*IF(v01_GroupInCrowding=1,N1467,MIN(J1467,L1467))))^v01_CrowdingExp)</x:f>
        <x:v>0.00024569414295285325</x:v>
      </x:c>
      <x:c r="Q1467" s="9" t="n">
        <x:f>IF(D1467=1,INDEX(v01_WinterMult,G1467),1)</x:f>
        <x:v>1</x:v>
      </x:c>
      <x:c r="R1467" s="9" t="n">
        <x:f>H1467*Z1466*v01_WomenShare*v01_BaseFertility*INDEX(v01_FertMult,G1467)*Arch_Fertility*(1-P1467)</x:f>
        <x:v>0</x:v>
      </x:c>
      <x:c r="S1467" s="9" t="n">
        <x:f>H1467*Y1466*INDEX(v01_MortChild,G1467)/4*Q1467</x:f>
        <x:v>0</x:v>
      </x:c>
      <x:c r="T1467" s="9" t="n">
        <x:f>H1467*Z1466*INDEX(v01_MortAdult,G1467)*Arch_AdultMort/4*Q1467</x:f>
        <x:v>0</x:v>
      </x:c>
      <x:c r="U1467" s="9" t="n">
        <x:f>H1467*AA1466*INDEX(v01_MortElder,G1467)/4*Q1467</x:f>
        <x:v>0</x:v>
      </x:c>
      <x:c r="V1467" s="9" t="n">
        <x:f>H1467*MAX(0,AB1466-O1467)*v01_OvercapLoss</x:f>
        <x:v>0</x:v>
      </x:c>
      <x:c r="W1467" s="9" t="n">
        <x:f>H1467*Y1466/(v01_ChildYears*4)</x:f>
        <x:v>0</x:v>
      </x:c>
      <x:c r="X1467" s="9" t="n">
        <x:f>H1467*Z1466/(v01_AdultYears*4)</x:f>
        <x:v>0</x:v>
      </x:c>
      <x:c r="Y1467" s="32" t="n">
        <x:f>Y1466+R1467-S1467-W1467-Y1466*V1467/AB1466</x:f>
        <x:v>14306.18539759397</x:v>
      </x:c>
      <x:c r="Z1467" s="32" t="n">
        <x:f>Z1466+W1467-X1467-T1467-Z1466*V1467/AB1466</x:f>
        <x:v>19354.456567879548</x:v>
      </x:c>
      <x:c r="AA1467" s="32" t="n">
        <x:f>AA1466+X1467-U1467-AA1466*V1467/AB1466</x:f>
        <x:v>11386.956063258198</x:v>
      </x:c>
      <x:c r="AB1467" s="10" t="n">
        <x:f>Y1467+Z1467+AA1467</x:f>
        <x:v>45047.59802873172</x:v>
      </x:c>
      <x:c r="AC1467" s="8" t="n">
        <x:f>IF(AND(v01_WinterTrigger=1,D1467=1,AB1466/AE1466&gt;=K1467),1,0)</x:f>
        <x:v>0</x:v>
      </x:c>
      <x:c r="AD1467" s="8" t="n">
        <x:f>H1467*IF(AND(OR(AB1466/AE1466&gt;=v01_FissionTrigger*N1467,AC1467=1),AB1466/AE1466*v01_DaughterShare&gt;=v01_MinDaughter),MAX(1,ROUND(AE1466*v01_FissionRate,0)),0)</x:f>
        <x:v>0</x:v>
      </x:c>
      <x:c r="AE1467" s="8" t="n">
        <x:f>IF(H1467=1,MAX(1,MIN(INDEX(v01_Smax,G1467),AE1466+AD1467)),AE1466)</x:f>
        <x:v>15</x:v>
      </x:c>
      <x:c r="AF1467" s="8" t="n">
        <x:f>MAX(0,AE1467-AE1466)</x:f>
        <x:v>0</x:v>
      </x:c>
      <x:c r="AG1467" s="9" t="str">
        <x:f>IF(AF1467&gt;0,B1467,"")</x:f>
      </x:c>
      <x:c r="AH1467" s="9" t="n">
        <x:f>IF(F1467&gt;=1,1,(1+v01_LowTiesShare*(AE1467-1))/AE1467)</x:f>
        <x:v>1</x:v>
      </x:c>
      <x:c r="AI1467" s="32" t="n">
        <x:f>(Z1467+v01_ElderCommons*INDEX(LM_Elder,G1467)*AA1467)*AH1467</x:f>
        <x:v>64139.732591141874</x:v>
      </x:c>
      <x:c r="AJ1467" s="32" t="n">
        <x:f>H1467*v01_CommonsCoef*AI1467^v01_CommonsExp*INDEX(LM_Commons,G1467)</x:f>
        <x:v>0</x:v>
      </x:c>
      <x:c r="AK1467" s="32" t="n">
        <x:f>H1467*v01_RoleScale*Arch_Roles*(AE1467*(INDEX(v01_ElderRolePerSett,G1467)*v01_OutElder*INDEX(LM_Elder,G1467)+INDEX(v01_ShamanPerSett,G1467)*v01_OutShaman)+Z1467*(INDEX(v01_PriestShare,G1467)*v01_OutPriest+INDEX(v01_ScribeShare,G1467)*v01_OutScribe*INDEX(LM_Scribe,G1467)+INDEX(v01_ScholarShare,G1467)*v01_OutScholar*INDEX(LM_Scholar,G1467)+INDEX(v01_ResearcherShare,G1467)*v01_OutResearcher*INDEX(LM_Researcher,G1467)))</x:f>
        <x:v>0</x:v>
      </x:c>
      <x:c r="AL1467" s="32" t="n">
        <x:f>H1467*v01_RoleScale*Arch_Roles*AE1467*INDEX(v01_MonasteryPerSett,G1467)*v01_OutMonastery*INDEX(LM_Monastery,G1467)</x:f>
        <x:v>0</x:v>
      </x:c>
      <x:c r="AM1467" s="32" t="n">
        <x:f>(AJ1467+AK1467+AL1467)/4*INDEX(LM_All,G1467)*INDEX(v01_Boon,G1467)*Arch_Insight</x:f>
        <x:v>0</x:v>
      </x:c>
      <x:c r="AN1467" s="32" t="n">
        <x:f>H1467*(v01_KHPerAdult*Z1467+v01_KHOfCommons*AJ1467/4*INDEX(LM_All,G1467))*v01_KHUsable*Arch_KH</x:f>
        <x:v>0</x:v>
      </x:c>
      <x:c r="AO1467" s="32" t="n">
        <x:f>MIN(AP1466+AN1467,AM1467*v01_KHMaxRatio)</x:f>
        <x:v>0</x:v>
      </x:c>
      <x:c r="AP1467" s="32" t="n">
        <x:f>AP1466+AN1467-AO1467</x:f>
        <x:v>0</x:v>
      </x:c>
      <x:c r="AQ1467" s="32" t="n">
        <x:f>AM1467+AO1467</x:f>
        <x:v>0</x:v>
      </x:c>
      <x:c r="AR1467" s="10" t="n">
        <x:f>IF(H1467=1,INDEX(v01_Req,G1467),0)</x:f>
        <x:v>0</x:v>
      </x:c>
      <x:c r="AS1467" s="32" t="n">
        <x:f>IF(H1467=1,IF(E1467=1,AS1466-AR1466,AS1466)+AQ1467,0)</x:f>
        <x:v>0</x:v>
      </x:c>
      <x:c r="AT1467" s="11" t="n">
        <x:f>IF(AR1467&gt;0,MIN(1,AS1467/AR1467),1)</x:f>
        <x:v>1</x:v>
      </x:c>
      <x:c r="AU1467" s="10" t="n">
        <x:f>AB1467/INDEX(v01_RepScale,G1467)</x:f>
        <x:v>90.09519605746344</x:v>
      </x:c>
      <x:c r="AV1467" s="32" t="n">
        <x:f>AM1467*60/v01_SeasonSeconds</x:f>
        <x:v>0</x:v>
      </x:c>
    </x:row>
    <x:row r="1468">
      <x:c r="A1468" s="8" t="n">
        <x:f>A1467+1</x:f>
        <x:v>1465</x:v>
      </x:c>
      <x:c r="B1468" s="9" t="n">
        <x:f>A1468*v01_SeasonSeconds/60</x:f>
        <x:v>366.25</x:v>
      </x:c>
      <x:c r="C1468" s="9" t="n">
        <x:f>A1468/4</x:f>
        <x:v>366.25</x:v>
      </x:c>
      <x:c r="D1468" s="8" t="n">
        <x:f>IF(MOD(A1468,4)=0,1,0)</x:f>
        <x:v>0</x:v>
      </x:c>
      <x:c r="E1468" s="8" t="n">
        <x:f>IF(AND(F1467&lt;=9,AS1467&gt;=AR1467),1,0)</x:f>
        <x:v>0</x:v>
      </x:c>
      <x:c r="F1468" s="8" t="n">
        <x:f>MIN(10,F1467+E1468)</x:f>
        <x:v>10</x:v>
      </x:c>
      <x:c r="G1468" s="8" t="n">
        <x:f>MIN(F1468,9)+1</x:f>
        <x:v>10</x:v>
      </x:c>
      <x:c r="H1468" s="8" t="n">
        <x:f>IF(F1468&lt;=9,1,0)</x:f>
        <x:v>0</x:v>
      </x:c>
      <x:c r="I1468" s="9" t="n">
        <x:f>MIN(10,F1467+IF(AR1467&gt;0,MIN(1,AS1467/AR1467),1))</x:f>
        <x:v>10</x:v>
      </x:c>
      <x:c r="J1468" s="32" t="n">
        <x:f>INDEX(v01_FoodCap,G1468)*Arch_FoodCap*EXP(v01_CapsByProject*SUMPRODUCT((Cap_Point&lt;=I1468)*(Cap_Kind="Food")*Cap_Ln))</x:f>
        <x:v>12000</x:v>
      </x:c>
      <x:c r="K1468" s="32" t="n">
        <x:f>J1468*MIN(1,v01_LeanBase*EXP(v01_CapsByProject*SUMPRODUCT((Cap_Point&lt;=I1468)*(Cap_Kind="Lean")*Cap_Ln)))</x:f>
        <x:v>12000</x:v>
      </x:c>
      <x:c r="L1468" s="10" t="n">
        <x:f>INDEX(v01_HousingCap,G1468)*EXP(v01_CapsByProject*SUMPRODUCT((Cap_Point&lt;=I1468)*(Cap_Kind="Housing")*Cap_Ln))</x:f>
        <x:v>20000</x:v>
      </x:c>
      <x:c r="M1468" s="10" t="n">
        <x:f>INDEX(v01_GroupCap,G1468)*v01_CohesionFactor*EXP(v01_CapsByProject*SUMPRODUCT((Cap_Point&lt;=I1468)*(Cap_Kind="Group")*Cap_Ln))</x:f>
        <x:v>1000000</x:v>
      </x:c>
      <x:c r="N1468" s="32" t="n">
        <x:f>MIN(J1468,L1468,M1468)</x:f>
        <x:v>12000</x:v>
      </x:c>
      <x:c r="O1468" s="10" t="n">
        <x:f>AE1467*N1468</x:f>
        <x:v>180000</x:v>
      </x:c>
      <x:c r="P1468" s="9" t="n">
        <x:f>MIN(1,(AB1467/(AE1467*IF(v01_GroupInCrowding=1,N1468,MIN(J1468,L1468))))^v01_CrowdingExp)</x:f>
        <x:v>0.00024569414295285325</x:v>
      </x:c>
      <x:c r="Q1468" s="9" t="n">
        <x:f>IF(D1468=1,INDEX(v01_WinterMult,G1468),1)</x:f>
        <x:v>1</x:v>
      </x:c>
      <x:c r="R1468" s="9" t="n">
        <x:f>H1468*Z1467*v01_WomenShare*v01_BaseFertility*INDEX(v01_FertMult,G1468)*Arch_Fertility*(1-P1468)</x:f>
        <x:v>0</x:v>
      </x:c>
      <x:c r="S1468" s="9" t="n">
        <x:f>H1468*Y1467*INDEX(v01_MortChild,G1468)/4*Q1468</x:f>
        <x:v>0</x:v>
      </x:c>
      <x:c r="T1468" s="9" t="n">
        <x:f>H1468*Z1467*INDEX(v01_MortAdult,G1468)*Arch_AdultMort/4*Q1468</x:f>
        <x:v>0</x:v>
      </x:c>
      <x:c r="U1468" s="9" t="n">
        <x:f>H1468*AA1467*INDEX(v01_MortElder,G1468)/4*Q1468</x:f>
        <x:v>0</x:v>
      </x:c>
      <x:c r="V1468" s="9" t="n">
        <x:f>H1468*MAX(0,AB1467-O1468)*v01_OvercapLoss</x:f>
        <x:v>0</x:v>
      </x:c>
      <x:c r="W1468" s="9" t="n">
        <x:f>H1468*Y1467/(v01_ChildYears*4)</x:f>
        <x:v>0</x:v>
      </x:c>
      <x:c r="X1468" s="9" t="n">
        <x:f>H1468*Z1467/(v01_AdultYears*4)</x:f>
        <x:v>0</x:v>
      </x:c>
      <x:c r="Y1468" s="32" t="n">
        <x:f>Y1467+R1468-S1468-W1468-Y1467*V1468/AB1467</x:f>
        <x:v>14306.18539759397</x:v>
      </x:c>
      <x:c r="Z1468" s="32" t="n">
        <x:f>Z1467+W1468-X1468-T1468-Z1467*V1468/AB1467</x:f>
        <x:v>19354.456567879548</x:v>
      </x:c>
      <x:c r="AA1468" s="32" t="n">
        <x:f>AA1467+X1468-U1468-AA1467*V1468/AB1467</x:f>
        <x:v>11386.956063258198</x:v>
      </x:c>
      <x:c r="AB1468" s="10" t="n">
        <x:f>Y1468+Z1468+AA1468</x:f>
        <x:v>45047.59802873172</x:v>
      </x:c>
      <x:c r="AC1468" s="8" t="n">
        <x:f>IF(AND(v01_WinterTrigger=1,D1468=1,AB1467/AE1467&gt;=K1468),1,0)</x:f>
        <x:v>0</x:v>
      </x:c>
      <x:c r="AD1468" s="8" t="n">
        <x:f>H1468*IF(AND(OR(AB1467/AE1467&gt;=v01_FissionTrigger*N1468,AC1468=1),AB1467/AE1467*v01_DaughterShare&gt;=v01_MinDaughter),MAX(1,ROUND(AE1467*v01_FissionRate,0)),0)</x:f>
        <x:v>0</x:v>
      </x:c>
      <x:c r="AE1468" s="8" t="n">
        <x:f>IF(H1468=1,MAX(1,MIN(INDEX(v01_Smax,G1468),AE1467+AD1468)),AE1467)</x:f>
        <x:v>15</x:v>
      </x:c>
      <x:c r="AF1468" s="8" t="n">
        <x:f>MAX(0,AE1468-AE1467)</x:f>
        <x:v>0</x:v>
      </x:c>
      <x:c r="AG1468" s="9" t="str">
        <x:f>IF(AF1468&gt;0,B1468,"")</x:f>
      </x:c>
      <x:c r="AH1468" s="9" t="n">
        <x:f>IF(F1468&gt;=1,1,(1+v01_LowTiesShare*(AE1468-1))/AE1468)</x:f>
        <x:v>1</x:v>
      </x:c>
      <x:c r="AI1468" s="32" t="n">
        <x:f>(Z1468+v01_ElderCommons*INDEX(LM_Elder,G1468)*AA1468)*AH1468</x:f>
        <x:v>64139.732591141874</x:v>
      </x:c>
      <x:c r="AJ1468" s="32" t="n">
        <x:f>H1468*v01_CommonsCoef*AI1468^v01_CommonsExp*INDEX(LM_Commons,G1468)</x:f>
        <x:v>0</x:v>
      </x:c>
      <x:c r="AK1468" s="32" t="n">
        <x:f>H1468*v01_RoleScale*Arch_Roles*(AE1468*(INDEX(v01_ElderRolePerSett,G1468)*v01_OutElder*INDEX(LM_Elder,G1468)+INDEX(v01_ShamanPerSett,G1468)*v01_OutShaman)+Z1468*(INDEX(v01_PriestShare,G1468)*v01_OutPriest+INDEX(v01_ScribeShare,G1468)*v01_OutScribe*INDEX(LM_Scribe,G1468)+INDEX(v01_ScholarShare,G1468)*v01_OutScholar*INDEX(LM_Scholar,G1468)+INDEX(v01_ResearcherShare,G1468)*v01_OutResearcher*INDEX(LM_Researcher,G1468)))</x:f>
        <x:v>0</x:v>
      </x:c>
      <x:c r="AL1468" s="32" t="n">
        <x:f>H1468*v01_RoleScale*Arch_Roles*AE1468*INDEX(v01_MonasteryPerSett,G1468)*v01_OutMonastery*INDEX(LM_Monastery,G1468)</x:f>
        <x:v>0</x:v>
      </x:c>
      <x:c r="AM1468" s="32" t="n">
        <x:f>(AJ1468+AK1468+AL1468)/4*INDEX(LM_All,G1468)*INDEX(v01_Boon,G1468)*Arch_Insight</x:f>
        <x:v>0</x:v>
      </x:c>
      <x:c r="AN1468" s="32" t="n">
        <x:f>H1468*(v01_KHPerAdult*Z1468+v01_KHOfCommons*AJ1468/4*INDEX(LM_All,G1468))*v01_KHUsable*Arch_KH</x:f>
        <x:v>0</x:v>
      </x:c>
      <x:c r="AO1468" s="32" t="n">
        <x:f>MIN(AP1467+AN1468,AM1468*v01_KHMaxRatio)</x:f>
        <x:v>0</x:v>
      </x:c>
      <x:c r="AP1468" s="32" t="n">
        <x:f>AP1467+AN1468-AO1468</x:f>
        <x:v>0</x:v>
      </x:c>
      <x:c r="AQ1468" s="32" t="n">
        <x:f>AM1468+AO1468</x:f>
        <x:v>0</x:v>
      </x:c>
      <x:c r="AR1468" s="10" t="n">
        <x:f>IF(H1468=1,INDEX(v01_Req,G1468),0)</x:f>
        <x:v>0</x:v>
      </x:c>
      <x:c r="AS1468" s="32" t="n">
        <x:f>IF(H1468=1,IF(E1468=1,AS1467-AR1467,AS1467)+AQ1468,0)</x:f>
        <x:v>0</x:v>
      </x:c>
      <x:c r="AT1468" s="11" t="n">
        <x:f>IF(AR1468&gt;0,MIN(1,AS1468/AR1468),1)</x:f>
        <x:v>1</x:v>
      </x:c>
      <x:c r="AU1468" s="10" t="n">
        <x:f>AB1468/INDEX(v01_RepScale,G1468)</x:f>
        <x:v>90.09519605746344</x:v>
      </x:c>
      <x:c r="AV1468" s="32" t="n">
        <x:f>AM1468*60/v01_SeasonSeconds</x:f>
        <x:v>0</x:v>
      </x:c>
    </x:row>
    <x:row r="1469">
      <x:c r="A1469" s="8" t="n">
        <x:f>A1468+1</x:f>
        <x:v>1466</x:v>
      </x:c>
      <x:c r="B1469" s="9" t="n">
        <x:f>A1469*v01_SeasonSeconds/60</x:f>
        <x:v>366.5</x:v>
      </x:c>
      <x:c r="C1469" s="9" t="n">
        <x:f>A1469/4</x:f>
        <x:v>366.5</x:v>
      </x:c>
      <x:c r="D1469" s="8" t="n">
        <x:f>IF(MOD(A1469,4)=0,1,0)</x:f>
        <x:v>0</x:v>
      </x:c>
      <x:c r="E1469" s="8" t="n">
        <x:f>IF(AND(F1468&lt;=9,AS1468&gt;=AR1468),1,0)</x:f>
        <x:v>0</x:v>
      </x:c>
      <x:c r="F1469" s="8" t="n">
        <x:f>MIN(10,F1468+E1469)</x:f>
        <x:v>10</x:v>
      </x:c>
      <x:c r="G1469" s="8" t="n">
        <x:f>MIN(F1469,9)+1</x:f>
        <x:v>10</x:v>
      </x:c>
      <x:c r="H1469" s="8" t="n">
        <x:f>IF(F1469&lt;=9,1,0)</x:f>
        <x:v>0</x:v>
      </x:c>
      <x:c r="I1469" s="9" t="n">
        <x:f>MIN(10,F1468+IF(AR1468&gt;0,MIN(1,AS1468/AR1468),1))</x:f>
        <x:v>10</x:v>
      </x:c>
      <x:c r="J1469" s="32" t="n">
        <x:f>INDEX(v01_FoodCap,G1469)*Arch_FoodCap*EXP(v01_CapsByProject*SUMPRODUCT((Cap_Point&lt;=I1469)*(Cap_Kind="Food")*Cap_Ln))</x:f>
        <x:v>12000</x:v>
      </x:c>
      <x:c r="K1469" s="32" t="n">
        <x:f>J1469*MIN(1,v01_LeanBase*EXP(v01_CapsByProject*SUMPRODUCT((Cap_Point&lt;=I1469)*(Cap_Kind="Lean")*Cap_Ln)))</x:f>
        <x:v>12000</x:v>
      </x:c>
      <x:c r="L1469" s="10" t="n">
        <x:f>INDEX(v01_HousingCap,G1469)*EXP(v01_CapsByProject*SUMPRODUCT((Cap_Point&lt;=I1469)*(Cap_Kind="Housing")*Cap_Ln))</x:f>
        <x:v>20000</x:v>
      </x:c>
      <x:c r="M1469" s="10" t="n">
        <x:f>INDEX(v01_GroupCap,G1469)*v01_CohesionFactor*EXP(v01_CapsByProject*SUMPRODUCT((Cap_Point&lt;=I1469)*(Cap_Kind="Group")*Cap_Ln))</x:f>
        <x:v>1000000</x:v>
      </x:c>
      <x:c r="N1469" s="32" t="n">
        <x:f>MIN(J1469,L1469,M1469)</x:f>
        <x:v>12000</x:v>
      </x:c>
      <x:c r="O1469" s="10" t="n">
        <x:f>AE1468*N1469</x:f>
        <x:v>180000</x:v>
      </x:c>
      <x:c r="P1469" s="9" t="n">
        <x:f>MIN(1,(AB1468/(AE1468*IF(v01_GroupInCrowding=1,N1469,MIN(J1469,L1469))))^v01_CrowdingExp)</x:f>
        <x:v>0.00024569414295285325</x:v>
      </x:c>
      <x:c r="Q1469" s="9" t="n">
        <x:f>IF(D1469=1,INDEX(v01_WinterMult,G1469),1)</x:f>
        <x:v>1</x:v>
      </x:c>
      <x:c r="R1469" s="9" t="n">
        <x:f>H1469*Z1468*v01_WomenShare*v01_BaseFertility*INDEX(v01_FertMult,G1469)*Arch_Fertility*(1-P1469)</x:f>
        <x:v>0</x:v>
      </x:c>
      <x:c r="S1469" s="9" t="n">
        <x:f>H1469*Y1468*INDEX(v01_MortChild,G1469)/4*Q1469</x:f>
        <x:v>0</x:v>
      </x:c>
      <x:c r="T1469" s="9" t="n">
        <x:f>H1469*Z1468*INDEX(v01_MortAdult,G1469)*Arch_AdultMort/4*Q1469</x:f>
        <x:v>0</x:v>
      </x:c>
      <x:c r="U1469" s="9" t="n">
        <x:f>H1469*AA1468*INDEX(v01_MortElder,G1469)/4*Q1469</x:f>
        <x:v>0</x:v>
      </x:c>
      <x:c r="V1469" s="9" t="n">
        <x:f>H1469*MAX(0,AB1468-O1469)*v01_OvercapLoss</x:f>
        <x:v>0</x:v>
      </x:c>
      <x:c r="W1469" s="9" t="n">
        <x:f>H1469*Y1468/(v01_ChildYears*4)</x:f>
        <x:v>0</x:v>
      </x:c>
      <x:c r="X1469" s="9" t="n">
        <x:f>H1469*Z1468/(v01_AdultYears*4)</x:f>
        <x:v>0</x:v>
      </x:c>
      <x:c r="Y1469" s="32" t="n">
        <x:f>Y1468+R1469-S1469-W1469-Y1468*V1469/AB1468</x:f>
        <x:v>14306.18539759397</x:v>
      </x:c>
      <x:c r="Z1469" s="32" t="n">
        <x:f>Z1468+W1469-X1469-T1469-Z1468*V1469/AB1468</x:f>
        <x:v>19354.456567879548</x:v>
      </x:c>
      <x:c r="AA1469" s="32" t="n">
        <x:f>AA1468+X1469-U1469-AA1468*V1469/AB1468</x:f>
        <x:v>11386.956063258198</x:v>
      </x:c>
      <x:c r="AB1469" s="10" t="n">
        <x:f>Y1469+Z1469+AA1469</x:f>
        <x:v>45047.59802873172</x:v>
      </x:c>
      <x:c r="AC1469" s="8" t="n">
        <x:f>IF(AND(v01_WinterTrigger=1,D1469=1,AB1468/AE1468&gt;=K1469),1,0)</x:f>
        <x:v>0</x:v>
      </x:c>
      <x:c r="AD1469" s="8" t="n">
        <x:f>H1469*IF(AND(OR(AB1468/AE1468&gt;=v01_FissionTrigger*N1469,AC1469=1),AB1468/AE1468*v01_DaughterShare&gt;=v01_MinDaughter),MAX(1,ROUND(AE1468*v01_FissionRate,0)),0)</x:f>
        <x:v>0</x:v>
      </x:c>
      <x:c r="AE1469" s="8" t="n">
        <x:f>IF(H1469=1,MAX(1,MIN(INDEX(v01_Smax,G1469),AE1468+AD1469)),AE1468)</x:f>
        <x:v>15</x:v>
      </x:c>
      <x:c r="AF1469" s="8" t="n">
        <x:f>MAX(0,AE1469-AE1468)</x:f>
        <x:v>0</x:v>
      </x:c>
      <x:c r="AG1469" s="9" t="str">
        <x:f>IF(AF1469&gt;0,B1469,"")</x:f>
      </x:c>
      <x:c r="AH1469" s="9" t="n">
        <x:f>IF(F1469&gt;=1,1,(1+v01_LowTiesShare*(AE1469-1))/AE1469)</x:f>
        <x:v>1</x:v>
      </x:c>
      <x:c r="AI1469" s="32" t="n">
        <x:f>(Z1469+v01_ElderCommons*INDEX(LM_Elder,G1469)*AA1469)*AH1469</x:f>
        <x:v>64139.732591141874</x:v>
      </x:c>
      <x:c r="AJ1469" s="32" t="n">
        <x:f>H1469*v01_CommonsCoef*AI1469^v01_CommonsExp*INDEX(LM_Commons,G1469)</x:f>
        <x:v>0</x:v>
      </x:c>
      <x:c r="AK1469" s="32" t="n">
        <x:f>H1469*v01_RoleScale*Arch_Roles*(AE1469*(INDEX(v01_ElderRolePerSett,G1469)*v01_OutElder*INDEX(LM_Elder,G1469)+INDEX(v01_ShamanPerSett,G1469)*v01_OutShaman)+Z1469*(INDEX(v01_PriestShare,G1469)*v01_OutPriest+INDEX(v01_ScribeShare,G1469)*v01_OutScribe*INDEX(LM_Scribe,G1469)+INDEX(v01_ScholarShare,G1469)*v01_OutScholar*INDEX(LM_Scholar,G1469)+INDEX(v01_ResearcherShare,G1469)*v01_OutResearcher*INDEX(LM_Researcher,G1469)))</x:f>
        <x:v>0</x:v>
      </x:c>
      <x:c r="AL1469" s="32" t="n">
        <x:f>H1469*v01_RoleScale*Arch_Roles*AE1469*INDEX(v01_MonasteryPerSett,G1469)*v01_OutMonastery*INDEX(LM_Monastery,G1469)</x:f>
        <x:v>0</x:v>
      </x:c>
      <x:c r="AM1469" s="32" t="n">
        <x:f>(AJ1469+AK1469+AL1469)/4*INDEX(LM_All,G1469)*INDEX(v01_Boon,G1469)*Arch_Insight</x:f>
        <x:v>0</x:v>
      </x:c>
      <x:c r="AN1469" s="32" t="n">
        <x:f>H1469*(v01_KHPerAdult*Z1469+v01_KHOfCommons*AJ1469/4*INDEX(LM_All,G1469))*v01_KHUsable*Arch_KH</x:f>
        <x:v>0</x:v>
      </x:c>
      <x:c r="AO1469" s="32" t="n">
        <x:f>MIN(AP1468+AN1469,AM1469*v01_KHMaxRatio)</x:f>
        <x:v>0</x:v>
      </x:c>
      <x:c r="AP1469" s="32" t="n">
        <x:f>AP1468+AN1469-AO1469</x:f>
        <x:v>0</x:v>
      </x:c>
      <x:c r="AQ1469" s="32" t="n">
        <x:f>AM1469+AO1469</x:f>
        <x:v>0</x:v>
      </x:c>
      <x:c r="AR1469" s="10" t="n">
        <x:f>IF(H1469=1,INDEX(v01_Req,G1469),0)</x:f>
        <x:v>0</x:v>
      </x:c>
      <x:c r="AS1469" s="32" t="n">
        <x:f>IF(H1469=1,IF(E1469=1,AS1468-AR1468,AS1468)+AQ1469,0)</x:f>
        <x:v>0</x:v>
      </x:c>
      <x:c r="AT1469" s="11" t="n">
        <x:f>IF(AR1469&gt;0,MIN(1,AS1469/AR1469),1)</x:f>
        <x:v>1</x:v>
      </x:c>
      <x:c r="AU1469" s="10" t="n">
        <x:f>AB1469/INDEX(v01_RepScale,G1469)</x:f>
        <x:v>90.09519605746344</x:v>
      </x:c>
      <x:c r="AV1469" s="32" t="n">
        <x:f>AM1469*60/v01_SeasonSeconds</x:f>
        <x:v>0</x:v>
      </x:c>
    </x:row>
    <x:row r="1470">
      <x:c r="A1470" s="8" t="n">
        <x:f>A1469+1</x:f>
        <x:v>1467</x:v>
      </x:c>
      <x:c r="B1470" s="9" t="n">
        <x:f>A1470*v01_SeasonSeconds/60</x:f>
        <x:v>366.75</x:v>
      </x:c>
      <x:c r="C1470" s="9" t="n">
        <x:f>A1470/4</x:f>
        <x:v>366.75</x:v>
      </x:c>
      <x:c r="D1470" s="8" t="n">
        <x:f>IF(MOD(A1470,4)=0,1,0)</x:f>
        <x:v>0</x:v>
      </x:c>
      <x:c r="E1470" s="8" t="n">
        <x:f>IF(AND(F1469&lt;=9,AS1469&gt;=AR1469),1,0)</x:f>
        <x:v>0</x:v>
      </x:c>
      <x:c r="F1470" s="8" t="n">
        <x:f>MIN(10,F1469+E1470)</x:f>
        <x:v>10</x:v>
      </x:c>
      <x:c r="G1470" s="8" t="n">
        <x:f>MIN(F1470,9)+1</x:f>
        <x:v>10</x:v>
      </x:c>
      <x:c r="H1470" s="8" t="n">
        <x:f>IF(F1470&lt;=9,1,0)</x:f>
        <x:v>0</x:v>
      </x:c>
      <x:c r="I1470" s="9" t="n">
        <x:f>MIN(10,F1469+IF(AR1469&gt;0,MIN(1,AS1469/AR1469),1))</x:f>
        <x:v>10</x:v>
      </x:c>
      <x:c r="J1470" s="32" t="n">
        <x:f>INDEX(v01_FoodCap,G1470)*Arch_FoodCap*EXP(v01_CapsByProject*SUMPRODUCT((Cap_Point&lt;=I1470)*(Cap_Kind="Food")*Cap_Ln))</x:f>
        <x:v>12000</x:v>
      </x:c>
      <x:c r="K1470" s="32" t="n">
        <x:f>J1470*MIN(1,v01_LeanBase*EXP(v01_CapsByProject*SUMPRODUCT((Cap_Point&lt;=I1470)*(Cap_Kind="Lean")*Cap_Ln)))</x:f>
        <x:v>12000</x:v>
      </x:c>
      <x:c r="L1470" s="10" t="n">
        <x:f>INDEX(v01_HousingCap,G1470)*EXP(v01_CapsByProject*SUMPRODUCT((Cap_Point&lt;=I1470)*(Cap_Kind="Housing")*Cap_Ln))</x:f>
        <x:v>20000</x:v>
      </x:c>
      <x:c r="M1470" s="10" t="n">
        <x:f>INDEX(v01_GroupCap,G1470)*v01_CohesionFactor*EXP(v01_CapsByProject*SUMPRODUCT((Cap_Point&lt;=I1470)*(Cap_Kind="Group")*Cap_Ln))</x:f>
        <x:v>1000000</x:v>
      </x:c>
      <x:c r="N1470" s="32" t="n">
        <x:f>MIN(J1470,L1470,M1470)</x:f>
        <x:v>12000</x:v>
      </x:c>
      <x:c r="O1470" s="10" t="n">
        <x:f>AE1469*N1470</x:f>
        <x:v>180000</x:v>
      </x:c>
      <x:c r="P1470" s="9" t="n">
        <x:f>MIN(1,(AB1469/(AE1469*IF(v01_GroupInCrowding=1,N1470,MIN(J1470,L1470))))^v01_CrowdingExp)</x:f>
        <x:v>0.00024569414295285325</x:v>
      </x:c>
      <x:c r="Q1470" s="9" t="n">
        <x:f>IF(D1470=1,INDEX(v01_WinterMult,G1470),1)</x:f>
        <x:v>1</x:v>
      </x:c>
      <x:c r="R1470" s="9" t="n">
        <x:f>H1470*Z1469*v01_WomenShare*v01_BaseFertility*INDEX(v01_FertMult,G1470)*Arch_Fertility*(1-P1470)</x:f>
        <x:v>0</x:v>
      </x:c>
      <x:c r="S1470" s="9" t="n">
        <x:f>H1470*Y1469*INDEX(v01_MortChild,G1470)/4*Q1470</x:f>
        <x:v>0</x:v>
      </x:c>
      <x:c r="T1470" s="9" t="n">
        <x:f>H1470*Z1469*INDEX(v01_MortAdult,G1470)*Arch_AdultMort/4*Q1470</x:f>
        <x:v>0</x:v>
      </x:c>
      <x:c r="U1470" s="9" t="n">
        <x:f>H1470*AA1469*INDEX(v01_MortElder,G1470)/4*Q1470</x:f>
        <x:v>0</x:v>
      </x:c>
      <x:c r="V1470" s="9" t="n">
        <x:f>H1470*MAX(0,AB1469-O1470)*v01_OvercapLoss</x:f>
        <x:v>0</x:v>
      </x:c>
      <x:c r="W1470" s="9" t="n">
        <x:f>H1470*Y1469/(v01_ChildYears*4)</x:f>
        <x:v>0</x:v>
      </x:c>
      <x:c r="X1470" s="9" t="n">
        <x:f>H1470*Z1469/(v01_AdultYears*4)</x:f>
        <x:v>0</x:v>
      </x:c>
      <x:c r="Y1470" s="32" t="n">
        <x:f>Y1469+R1470-S1470-W1470-Y1469*V1470/AB1469</x:f>
        <x:v>14306.18539759397</x:v>
      </x:c>
      <x:c r="Z1470" s="32" t="n">
        <x:f>Z1469+W1470-X1470-T1470-Z1469*V1470/AB1469</x:f>
        <x:v>19354.456567879548</x:v>
      </x:c>
      <x:c r="AA1470" s="32" t="n">
        <x:f>AA1469+X1470-U1470-AA1469*V1470/AB1469</x:f>
        <x:v>11386.956063258198</x:v>
      </x:c>
      <x:c r="AB1470" s="10" t="n">
        <x:f>Y1470+Z1470+AA1470</x:f>
        <x:v>45047.59802873172</x:v>
      </x:c>
      <x:c r="AC1470" s="8" t="n">
        <x:f>IF(AND(v01_WinterTrigger=1,D1470=1,AB1469/AE1469&gt;=K1470),1,0)</x:f>
        <x:v>0</x:v>
      </x:c>
      <x:c r="AD1470" s="8" t="n">
        <x:f>H1470*IF(AND(OR(AB1469/AE1469&gt;=v01_FissionTrigger*N1470,AC1470=1),AB1469/AE1469*v01_DaughterShare&gt;=v01_MinDaughter),MAX(1,ROUND(AE1469*v01_FissionRate,0)),0)</x:f>
        <x:v>0</x:v>
      </x:c>
      <x:c r="AE1470" s="8" t="n">
        <x:f>IF(H1470=1,MAX(1,MIN(INDEX(v01_Smax,G1470),AE1469+AD1470)),AE1469)</x:f>
        <x:v>15</x:v>
      </x:c>
      <x:c r="AF1470" s="8" t="n">
        <x:f>MAX(0,AE1470-AE1469)</x:f>
        <x:v>0</x:v>
      </x:c>
      <x:c r="AG1470" s="9" t="str">
        <x:f>IF(AF1470&gt;0,B1470,"")</x:f>
      </x:c>
      <x:c r="AH1470" s="9" t="n">
        <x:f>IF(F1470&gt;=1,1,(1+v01_LowTiesShare*(AE1470-1))/AE1470)</x:f>
        <x:v>1</x:v>
      </x:c>
      <x:c r="AI1470" s="32" t="n">
        <x:f>(Z1470+v01_ElderCommons*INDEX(LM_Elder,G1470)*AA1470)*AH1470</x:f>
        <x:v>64139.732591141874</x:v>
      </x:c>
      <x:c r="AJ1470" s="32" t="n">
        <x:f>H1470*v01_CommonsCoef*AI1470^v01_CommonsExp*INDEX(LM_Commons,G1470)</x:f>
        <x:v>0</x:v>
      </x:c>
      <x:c r="AK1470" s="32" t="n">
        <x:f>H1470*v01_RoleScale*Arch_Roles*(AE1470*(INDEX(v01_ElderRolePerSett,G1470)*v01_OutElder*INDEX(LM_Elder,G1470)+INDEX(v01_ShamanPerSett,G1470)*v01_OutShaman)+Z1470*(INDEX(v01_PriestShare,G1470)*v01_OutPriest+INDEX(v01_ScribeShare,G1470)*v01_OutScribe*INDEX(LM_Scribe,G1470)+INDEX(v01_ScholarShare,G1470)*v01_OutScholar*INDEX(LM_Scholar,G1470)+INDEX(v01_ResearcherShare,G1470)*v01_OutResearcher*INDEX(LM_Researcher,G1470)))</x:f>
        <x:v>0</x:v>
      </x:c>
      <x:c r="AL1470" s="32" t="n">
        <x:f>H1470*v01_RoleScale*Arch_Roles*AE1470*INDEX(v01_MonasteryPerSett,G1470)*v01_OutMonastery*INDEX(LM_Monastery,G1470)</x:f>
        <x:v>0</x:v>
      </x:c>
      <x:c r="AM1470" s="32" t="n">
        <x:f>(AJ1470+AK1470+AL1470)/4*INDEX(LM_All,G1470)*INDEX(v01_Boon,G1470)*Arch_Insight</x:f>
        <x:v>0</x:v>
      </x:c>
      <x:c r="AN1470" s="32" t="n">
        <x:f>H1470*(v01_KHPerAdult*Z1470+v01_KHOfCommons*AJ1470/4*INDEX(LM_All,G1470))*v01_KHUsable*Arch_KH</x:f>
        <x:v>0</x:v>
      </x:c>
      <x:c r="AO1470" s="32" t="n">
        <x:f>MIN(AP1469+AN1470,AM1470*v01_KHMaxRatio)</x:f>
        <x:v>0</x:v>
      </x:c>
      <x:c r="AP1470" s="32" t="n">
        <x:f>AP1469+AN1470-AO1470</x:f>
        <x:v>0</x:v>
      </x:c>
      <x:c r="AQ1470" s="32" t="n">
        <x:f>AM1470+AO1470</x:f>
        <x:v>0</x:v>
      </x:c>
      <x:c r="AR1470" s="10" t="n">
        <x:f>IF(H1470=1,INDEX(v01_Req,G1470),0)</x:f>
        <x:v>0</x:v>
      </x:c>
      <x:c r="AS1470" s="32" t="n">
        <x:f>IF(H1470=1,IF(E1470=1,AS1469-AR1469,AS1469)+AQ1470,0)</x:f>
        <x:v>0</x:v>
      </x:c>
      <x:c r="AT1470" s="11" t="n">
        <x:f>IF(AR1470&gt;0,MIN(1,AS1470/AR1470),1)</x:f>
        <x:v>1</x:v>
      </x:c>
      <x:c r="AU1470" s="10" t="n">
        <x:f>AB1470/INDEX(v01_RepScale,G1470)</x:f>
        <x:v>90.09519605746344</x:v>
      </x:c>
      <x:c r="AV1470" s="32" t="n">
        <x:f>AM1470*60/v01_SeasonSeconds</x:f>
        <x:v>0</x:v>
      </x:c>
    </x:row>
    <x:row r="1471">
      <x:c r="A1471" s="8" t="n">
        <x:f>A1470+1</x:f>
        <x:v>1468</x:v>
      </x:c>
      <x:c r="B1471" s="9" t="n">
        <x:f>A1471*v01_SeasonSeconds/60</x:f>
        <x:v>367</x:v>
      </x:c>
      <x:c r="C1471" s="9" t="n">
        <x:f>A1471/4</x:f>
        <x:v>367</x:v>
      </x:c>
      <x:c r="D1471" s="8" t="n">
        <x:f>IF(MOD(A1471,4)=0,1,0)</x:f>
        <x:v>1</x:v>
      </x:c>
      <x:c r="E1471" s="8" t="n">
        <x:f>IF(AND(F1470&lt;=9,AS1470&gt;=AR1470),1,0)</x:f>
        <x:v>0</x:v>
      </x:c>
      <x:c r="F1471" s="8" t="n">
        <x:f>MIN(10,F1470+E1471)</x:f>
        <x:v>10</x:v>
      </x:c>
      <x:c r="G1471" s="8" t="n">
        <x:f>MIN(F1471,9)+1</x:f>
        <x:v>10</x:v>
      </x:c>
      <x:c r="H1471" s="8" t="n">
        <x:f>IF(F1471&lt;=9,1,0)</x:f>
        <x:v>0</x:v>
      </x:c>
      <x:c r="I1471" s="9" t="n">
        <x:f>MIN(10,F1470+IF(AR1470&gt;0,MIN(1,AS1470/AR1470),1))</x:f>
        <x:v>10</x:v>
      </x:c>
      <x:c r="J1471" s="32" t="n">
        <x:f>INDEX(v01_FoodCap,G1471)*Arch_FoodCap*EXP(v01_CapsByProject*SUMPRODUCT((Cap_Point&lt;=I1471)*(Cap_Kind="Food")*Cap_Ln))</x:f>
        <x:v>12000</x:v>
      </x:c>
      <x:c r="K1471" s="32" t="n">
        <x:f>J1471*MIN(1,v01_LeanBase*EXP(v01_CapsByProject*SUMPRODUCT((Cap_Point&lt;=I1471)*(Cap_Kind="Lean")*Cap_Ln)))</x:f>
        <x:v>12000</x:v>
      </x:c>
      <x:c r="L1471" s="10" t="n">
        <x:f>INDEX(v01_HousingCap,G1471)*EXP(v01_CapsByProject*SUMPRODUCT((Cap_Point&lt;=I1471)*(Cap_Kind="Housing")*Cap_Ln))</x:f>
        <x:v>20000</x:v>
      </x:c>
      <x:c r="M1471" s="10" t="n">
        <x:f>INDEX(v01_GroupCap,G1471)*v01_CohesionFactor*EXP(v01_CapsByProject*SUMPRODUCT((Cap_Point&lt;=I1471)*(Cap_Kind="Group")*Cap_Ln))</x:f>
        <x:v>1000000</x:v>
      </x:c>
      <x:c r="N1471" s="32" t="n">
        <x:f>MIN(J1471,L1471,M1471)</x:f>
        <x:v>12000</x:v>
      </x:c>
      <x:c r="O1471" s="10" t="n">
        <x:f>AE1470*N1471</x:f>
        <x:v>180000</x:v>
      </x:c>
      <x:c r="P1471" s="9" t="n">
        <x:f>MIN(1,(AB1470/(AE1470*IF(v01_GroupInCrowding=1,N1471,MIN(J1471,L1471))))^v01_CrowdingExp)</x:f>
        <x:v>0.00024569414295285325</x:v>
      </x:c>
      <x:c r="Q1471" s="9" t="n">
        <x:f>IF(D1471=1,INDEX(v01_WinterMult,G1471),1)</x:f>
        <x:v>1</x:v>
      </x:c>
      <x:c r="R1471" s="9" t="n">
        <x:f>H1471*Z1470*v01_WomenShare*v01_BaseFertility*INDEX(v01_FertMult,G1471)*Arch_Fertility*(1-P1471)</x:f>
        <x:v>0</x:v>
      </x:c>
      <x:c r="S1471" s="9" t="n">
        <x:f>H1471*Y1470*INDEX(v01_MortChild,G1471)/4*Q1471</x:f>
        <x:v>0</x:v>
      </x:c>
      <x:c r="T1471" s="9" t="n">
        <x:f>H1471*Z1470*INDEX(v01_MortAdult,G1471)*Arch_AdultMort/4*Q1471</x:f>
        <x:v>0</x:v>
      </x:c>
      <x:c r="U1471" s="9" t="n">
        <x:f>H1471*AA1470*INDEX(v01_MortElder,G1471)/4*Q1471</x:f>
        <x:v>0</x:v>
      </x:c>
      <x:c r="V1471" s="9" t="n">
        <x:f>H1471*MAX(0,AB1470-O1471)*v01_OvercapLoss</x:f>
        <x:v>0</x:v>
      </x:c>
      <x:c r="W1471" s="9" t="n">
        <x:f>H1471*Y1470/(v01_ChildYears*4)</x:f>
        <x:v>0</x:v>
      </x:c>
      <x:c r="X1471" s="9" t="n">
        <x:f>H1471*Z1470/(v01_AdultYears*4)</x:f>
        <x:v>0</x:v>
      </x:c>
      <x:c r="Y1471" s="32" t="n">
        <x:f>Y1470+R1471-S1471-W1471-Y1470*V1471/AB1470</x:f>
        <x:v>14306.18539759397</x:v>
      </x:c>
      <x:c r="Z1471" s="32" t="n">
        <x:f>Z1470+W1471-X1471-T1471-Z1470*V1471/AB1470</x:f>
        <x:v>19354.456567879548</x:v>
      </x:c>
      <x:c r="AA1471" s="32" t="n">
        <x:f>AA1470+X1471-U1471-AA1470*V1471/AB1470</x:f>
        <x:v>11386.956063258198</x:v>
      </x:c>
      <x:c r="AB1471" s="10" t="n">
        <x:f>Y1471+Z1471+AA1471</x:f>
        <x:v>45047.59802873172</x:v>
      </x:c>
      <x:c r="AC1471" s="8" t="n">
        <x:f>IF(AND(v01_WinterTrigger=1,D1471=1,AB1470/AE1470&gt;=K1471),1,0)</x:f>
        <x:v>0</x:v>
      </x:c>
      <x:c r="AD1471" s="8" t="n">
        <x:f>H1471*IF(AND(OR(AB1470/AE1470&gt;=v01_FissionTrigger*N1471,AC1471=1),AB1470/AE1470*v01_DaughterShare&gt;=v01_MinDaughter),MAX(1,ROUND(AE1470*v01_FissionRate,0)),0)</x:f>
        <x:v>0</x:v>
      </x:c>
      <x:c r="AE1471" s="8" t="n">
        <x:f>IF(H1471=1,MAX(1,MIN(INDEX(v01_Smax,G1471),AE1470+AD1471)),AE1470)</x:f>
        <x:v>15</x:v>
      </x:c>
      <x:c r="AF1471" s="8" t="n">
        <x:f>MAX(0,AE1471-AE1470)</x:f>
        <x:v>0</x:v>
      </x:c>
      <x:c r="AG1471" s="9" t="str">
        <x:f>IF(AF1471&gt;0,B1471,"")</x:f>
      </x:c>
      <x:c r="AH1471" s="9" t="n">
        <x:f>IF(F1471&gt;=1,1,(1+v01_LowTiesShare*(AE1471-1))/AE1471)</x:f>
        <x:v>1</x:v>
      </x:c>
      <x:c r="AI1471" s="32" t="n">
        <x:f>(Z1471+v01_ElderCommons*INDEX(LM_Elder,G1471)*AA1471)*AH1471</x:f>
        <x:v>64139.732591141874</x:v>
      </x:c>
      <x:c r="AJ1471" s="32" t="n">
        <x:f>H1471*v01_CommonsCoef*AI1471^v01_CommonsExp*INDEX(LM_Commons,G1471)</x:f>
        <x:v>0</x:v>
      </x:c>
      <x:c r="AK1471" s="32" t="n">
        <x:f>H1471*v01_RoleScale*Arch_Roles*(AE1471*(INDEX(v01_ElderRolePerSett,G1471)*v01_OutElder*INDEX(LM_Elder,G1471)+INDEX(v01_ShamanPerSett,G1471)*v01_OutShaman)+Z1471*(INDEX(v01_PriestShare,G1471)*v01_OutPriest+INDEX(v01_ScribeShare,G1471)*v01_OutScribe*INDEX(LM_Scribe,G1471)+INDEX(v01_ScholarShare,G1471)*v01_OutScholar*INDEX(LM_Scholar,G1471)+INDEX(v01_ResearcherShare,G1471)*v01_OutResearcher*INDEX(LM_Researcher,G1471)))</x:f>
        <x:v>0</x:v>
      </x:c>
      <x:c r="AL1471" s="32" t="n">
        <x:f>H1471*v01_RoleScale*Arch_Roles*AE1471*INDEX(v01_MonasteryPerSett,G1471)*v01_OutMonastery*INDEX(LM_Monastery,G1471)</x:f>
        <x:v>0</x:v>
      </x:c>
      <x:c r="AM1471" s="32" t="n">
        <x:f>(AJ1471+AK1471+AL1471)/4*INDEX(LM_All,G1471)*INDEX(v01_Boon,G1471)*Arch_Insight</x:f>
        <x:v>0</x:v>
      </x:c>
      <x:c r="AN1471" s="32" t="n">
        <x:f>H1471*(v01_KHPerAdult*Z1471+v01_KHOfCommons*AJ1471/4*INDEX(LM_All,G1471))*v01_KHUsable*Arch_KH</x:f>
        <x:v>0</x:v>
      </x:c>
      <x:c r="AO1471" s="32" t="n">
        <x:f>MIN(AP1470+AN1471,AM1471*v01_KHMaxRatio)</x:f>
        <x:v>0</x:v>
      </x:c>
      <x:c r="AP1471" s="32" t="n">
        <x:f>AP1470+AN1471-AO1471</x:f>
        <x:v>0</x:v>
      </x:c>
      <x:c r="AQ1471" s="32" t="n">
        <x:f>AM1471+AO1471</x:f>
        <x:v>0</x:v>
      </x:c>
      <x:c r="AR1471" s="10" t="n">
        <x:f>IF(H1471=1,INDEX(v01_Req,G1471),0)</x:f>
        <x:v>0</x:v>
      </x:c>
      <x:c r="AS1471" s="32" t="n">
        <x:f>IF(H1471=1,IF(E1471=1,AS1470-AR1470,AS1470)+AQ1471,0)</x:f>
        <x:v>0</x:v>
      </x:c>
      <x:c r="AT1471" s="11" t="n">
        <x:f>IF(AR1471&gt;0,MIN(1,AS1471/AR1471),1)</x:f>
        <x:v>1</x:v>
      </x:c>
      <x:c r="AU1471" s="10" t="n">
        <x:f>AB1471/INDEX(v01_RepScale,G1471)</x:f>
        <x:v>90.09519605746344</x:v>
      </x:c>
      <x:c r="AV1471" s="32" t="n">
        <x:f>AM1471*60/v01_SeasonSeconds</x:f>
        <x:v>0</x:v>
      </x:c>
    </x:row>
    <x:row r="1472">
      <x:c r="A1472" s="8" t="n">
        <x:f>A1471+1</x:f>
        <x:v>1469</x:v>
      </x:c>
      <x:c r="B1472" s="9" t="n">
        <x:f>A1472*v01_SeasonSeconds/60</x:f>
        <x:v>367.25</x:v>
      </x:c>
      <x:c r="C1472" s="9" t="n">
        <x:f>A1472/4</x:f>
        <x:v>367.25</x:v>
      </x:c>
      <x:c r="D1472" s="8" t="n">
        <x:f>IF(MOD(A1472,4)=0,1,0)</x:f>
        <x:v>0</x:v>
      </x:c>
      <x:c r="E1472" s="8" t="n">
        <x:f>IF(AND(F1471&lt;=9,AS1471&gt;=AR1471),1,0)</x:f>
        <x:v>0</x:v>
      </x:c>
      <x:c r="F1472" s="8" t="n">
        <x:f>MIN(10,F1471+E1472)</x:f>
        <x:v>10</x:v>
      </x:c>
      <x:c r="G1472" s="8" t="n">
        <x:f>MIN(F1472,9)+1</x:f>
        <x:v>10</x:v>
      </x:c>
      <x:c r="H1472" s="8" t="n">
        <x:f>IF(F1472&lt;=9,1,0)</x:f>
        <x:v>0</x:v>
      </x:c>
      <x:c r="I1472" s="9" t="n">
        <x:f>MIN(10,F1471+IF(AR1471&gt;0,MIN(1,AS1471/AR1471),1))</x:f>
        <x:v>10</x:v>
      </x:c>
      <x:c r="J1472" s="32" t="n">
        <x:f>INDEX(v01_FoodCap,G1472)*Arch_FoodCap*EXP(v01_CapsByProject*SUMPRODUCT((Cap_Point&lt;=I1472)*(Cap_Kind="Food")*Cap_Ln))</x:f>
        <x:v>12000</x:v>
      </x:c>
      <x:c r="K1472" s="32" t="n">
        <x:f>J1472*MIN(1,v01_LeanBase*EXP(v01_CapsByProject*SUMPRODUCT((Cap_Point&lt;=I1472)*(Cap_Kind="Lean")*Cap_Ln)))</x:f>
        <x:v>12000</x:v>
      </x:c>
      <x:c r="L1472" s="10" t="n">
        <x:f>INDEX(v01_HousingCap,G1472)*EXP(v01_CapsByProject*SUMPRODUCT((Cap_Point&lt;=I1472)*(Cap_Kind="Housing")*Cap_Ln))</x:f>
        <x:v>20000</x:v>
      </x:c>
      <x:c r="M1472" s="10" t="n">
        <x:f>INDEX(v01_GroupCap,G1472)*v01_CohesionFactor*EXP(v01_CapsByProject*SUMPRODUCT((Cap_Point&lt;=I1472)*(Cap_Kind="Group")*Cap_Ln))</x:f>
        <x:v>1000000</x:v>
      </x:c>
      <x:c r="N1472" s="32" t="n">
        <x:f>MIN(J1472,L1472,M1472)</x:f>
        <x:v>12000</x:v>
      </x:c>
      <x:c r="O1472" s="10" t="n">
        <x:f>AE1471*N1472</x:f>
        <x:v>180000</x:v>
      </x:c>
      <x:c r="P1472" s="9" t="n">
        <x:f>MIN(1,(AB1471/(AE1471*IF(v01_GroupInCrowding=1,N1472,MIN(J1472,L1472))))^v01_CrowdingExp)</x:f>
        <x:v>0.00024569414295285325</x:v>
      </x:c>
      <x:c r="Q1472" s="9" t="n">
        <x:f>IF(D1472=1,INDEX(v01_WinterMult,G1472),1)</x:f>
        <x:v>1</x:v>
      </x:c>
      <x:c r="R1472" s="9" t="n">
        <x:f>H1472*Z1471*v01_WomenShare*v01_BaseFertility*INDEX(v01_FertMult,G1472)*Arch_Fertility*(1-P1472)</x:f>
        <x:v>0</x:v>
      </x:c>
      <x:c r="S1472" s="9" t="n">
        <x:f>H1472*Y1471*INDEX(v01_MortChild,G1472)/4*Q1472</x:f>
        <x:v>0</x:v>
      </x:c>
      <x:c r="T1472" s="9" t="n">
        <x:f>H1472*Z1471*INDEX(v01_MortAdult,G1472)*Arch_AdultMort/4*Q1472</x:f>
        <x:v>0</x:v>
      </x:c>
      <x:c r="U1472" s="9" t="n">
        <x:f>H1472*AA1471*INDEX(v01_MortElder,G1472)/4*Q1472</x:f>
        <x:v>0</x:v>
      </x:c>
      <x:c r="V1472" s="9" t="n">
        <x:f>H1472*MAX(0,AB1471-O1472)*v01_OvercapLoss</x:f>
        <x:v>0</x:v>
      </x:c>
      <x:c r="W1472" s="9" t="n">
        <x:f>H1472*Y1471/(v01_ChildYears*4)</x:f>
        <x:v>0</x:v>
      </x:c>
      <x:c r="X1472" s="9" t="n">
        <x:f>H1472*Z1471/(v01_AdultYears*4)</x:f>
        <x:v>0</x:v>
      </x:c>
      <x:c r="Y1472" s="32" t="n">
        <x:f>Y1471+R1472-S1472-W1472-Y1471*V1472/AB1471</x:f>
        <x:v>14306.18539759397</x:v>
      </x:c>
      <x:c r="Z1472" s="32" t="n">
        <x:f>Z1471+W1472-X1472-T1472-Z1471*V1472/AB1471</x:f>
        <x:v>19354.456567879548</x:v>
      </x:c>
      <x:c r="AA1472" s="32" t="n">
        <x:f>AA1471+X1472-U1472-AA1471*V1472/AB1471</x:f>
        <x:v>11386.956063258198</x:v>
      </x:c>
      <x:c r="AB1472" s="10" t="n">
        <x:f>Y1472+Z1472+AA1472</x:f>
        <x:v>45047.59802873172</x:v>
      </x:c>
      <x:c r="AC1472" s="8" t="n">
        <x:f>IF(AND(v01_WinterTrigger=1,D1472=1,AB1471/AE1471&gt;=K1472),1,0)</x:f>
        <x:v>0</x:v>
      </x:c>
      <x:c r="AD1472" s="8" t="n">
        <x:f>H1472*IF(AND(OR(AB1471/AE1471&gt;=v01_FissionTrigger*N1472,AC1472=1),AB1471/AE1471*v01_DaughterShare&gt;=v01_MinDaughter),MAX(1,ROUND(AE1471*v01_FissionRate,0)),0)</x:f>
        <x:v>0</x:v>
      </x:c>
      <x:c r="AE1472" s="8" t="n">
        <x:f>IF(H1472=1,MAX(1,MIN(INDEX(v01_Smax,G1472),AE1471+AD1472)),AE1471)</x:f>
        <x:v>15</x:v>
      </x:c>
      <x:c r="AF1472" s="8" t="n">
        <x:f>MAX(0,AE1472-AE1471)</x:f>
        <x:v>0</x:v>
      </x:c>
      <x:c r="AG1472" s="9" t="str">
        <x:f>IF(AF1472&gt;0,B1472,"")</x:f>
      </x:c>
      <x:c r="AH1472" s="9" t="n">
        <x:f>IF(F1472&gt;=1,1,(1+v01_LowTiesShare*(AE1472-1))/AE1472)</x:f>
        <x:v>1</x:v>
      </x:c>
      <x:c r="AI1472" s="32" t="n">
        <x:f>(Z1472+v01_ElderCommons*INDEX(LM_Elder,G1472)*AA1472)*AH1472</x:f>
        <x:v>64139.732591141874</x:v>
      </x:c>
      <x:c r="AJ1472" s="32" t="n">
        <x:f>H1472*v01_CommonsCoef*AI1472^v01_CommonsExp*INDEX(LM_Commons,G1472)</x:f>
        <x:v>0</x:v>
      </x:c>
      <x:c r="AK1472" s="32" t="n">
        <x:f>H1472*v01_RoleScale*Arch_Roles*(AE1472*(INDEX(v01_ElderRolePerSett,G1472)*v01_OutElder*INDEX(LM_Elder,G1472)+INDEX(v01_ShamanPerSett,G1472)*v01_OutShaman)+Z1472*(INDEX(v01_PriestShare,G1472)*v01_OutPriest+INDEX(v01_ScribeShare,G1472)*v01_OutScribe*INDEX(LM_Scribe,G1472)+INDEX(v01_ScholarShare,G1472)*v01_OutScholar*INDEX(LM_Scholar,G1472)+INDEX(v01_ResearcherShare,G1472)*v01_OutResearcher*INDEX(LM_Researcher,G1472)))</x:f>
        <x:v>0</x:v>
      </x:c>
      <x:c r="AL1472" s="32" t="n">
        <x:f>H1472*v01_RoleScale*Arch_Roles*AE1472*INDEX(v01_MonasteryPerSett,G1472)*v01_OutMonastery*INDEX(LM_Monastery,G1472)</x:f>
        <x:v>0</x:v>
      </x:c>
      <x:c r="AM1472" s="32" t="n">
        <x:f>(AJ1472+AK1472+AL1472)/4*INDEX(LM_All,G1472)*INDEX(v01_Boon,G1472)*Arch_Insight</x:f>
        <x:v>0</x:v>
      </x:c>
      <x:c r="AN1472" s="32" t="n">
        <x:f>H1472*(v01_KHPerAdult*Z1472+v01_KHOfCommons*AJ1472/4*INDEX(LM_All,G1472))*v01_KHUsable*Arch_KH</x:f>
        <x:v>0</x:v>
      </x:c>
      <x:c r="AO1472" s="32" t="n">
        <x:f>MIN(AP1471+AN1472,AM1472*v01_KHMaxRatio)</x:f>
        <x:v>0</x:v>
      </x:c>
      <x:c r="AP1472" s="32" t="n">
        <x:f>AP1471+AN1472-AO1472</x:f>
        <x:v>0</x:v>
      </x:c>
      <x:c r="AQ1472" s="32" t="n">
        <x:f>AM1472+AO1472</x:f>
        <x:v>0</x:v>
      </x:c>
      <x:c r="AR1472" s="10" t="n">
        <x:f>IF(H1472=1,INDEX(v01_Req,G1472),0)</x:f>
        <x:v>0</x:v>
      </x:c>
      <x:c r="AS1472" s="32" t="n">
        <x:f>IF(H1472=1,IF(E1472=1,AS1471-AR1471,AS1471)+AQ1472,0)</x:f>
        <x:v>0</x:v>
      </x:c>
      <x:c r="AT1472" s="11" t="n">
        <x:f>IF(AR1472&gt;0,MIN(1,AS1472/AR1472),1)</x:f>
        <x:v>1</x:v>
      </x:c>
      <x:c r="AU1472" s="10" t="n">
        <x:f>AB1472/INDEX(v01_RepScale,G1472)</x:f>
        <x:v>90.09519605746344</x:v>
      </x:c>
      <x:c r="AV1472" s="32" t="n">
        <x:f>AM1472*60/v01_SeasonSeconds</x:f>
        <x:v>0</x:v>
      </x:c>
    </x:row>
    <x:row r="1473">
      <x:c r="A1473" s="8" t="n">
        <x:f>A1472+1</x:f>
        <x:v>1470</x:v>
      </x:c>
      <x:c r="B1473" s="9" t="n">
        <x:f>A1473*v01_SeasonSeconds/60</x:f>
        <x:v>367.5</x:v>
      </x:c>
      <x:c r="C1473" s="9" t="n">
        <x:f>A1473/4</x:f>
        <x:v>367.5</x:v>
      </x:c>
      <x:c r="D1473" s="8" t="n">
        <x:f>IF(MOD(A1473,4)=0,1,0)</x:f>
        <x:v>0</x:v>
      </x:c>
      <x:c r="E1473" s="8" t="n">
        <x:f>IF(AND(F1472&lt;=9,AS1472&gt;=AR1472),1,0)</x:f>
        <x:v>0</x:v>
      </x:c>
      <x:c r="F1473" s="8" t="n">
        <x:f>MIN(10,F1472+E1473)</x:f>
        <x:v>10</x:v>
      </x:c>
      <x:c r="G1473" s="8" t="n">
        <x:f>MIN(F1473,9)+1</x:f>
        <x:v>10</x:v>
      </x:c>
      <x:c r="H1473" s="8" t="n">
        <x:f>IF(F1473&lt;=9,1,0)</x:f>
        <x:v>0</x:v>
      </x:c>
      <x:c r="I1473" s="9" t="n">
        <x:f>MIN(10,F1472+IF(AR1472&gt;0,MIN(1,AS1472/AR1472),1))</x:f>
        <x:v>10</x:v>
      </x:c>
      <x:c r="J1473" s="32" t="n">
        <x:f>INDEX(v01_FoodCap,G1473)*Arch_FoodCap*EXP(v01_CapsByProject*SUMPRODUCT((Cap_Point&lt;=I1473)*(Cap_Kind="Food")*Cap_Ln))</x:f>
        <x:v>12000</x:v>
      </x:c>
      <x:c r="K1473" s="32" t="n">
        <x:f>J1473*MIN(1,v01_LeanBase*EXP(v01_CapsByProject*SUMPRODUCT((Cap_Point&lt;=I1473)*(Cap_Kind="Lean")*Cap_Ln)))</x:f>
        <x:v>12000</x:v>
      </x:c>
      <x:c r="L1473" s="10" t="n">
        <x:f>INDEX(v01_HousingCap,G1473)*EXP(v01_CapsByProject*SUMPRODUCT((Cap_Point&lt;=I1473)*(Cap_Kind="Housing")*Cap_Ln))</x:f>
        <x:v>20000</x:v>
      </x:c>
      <x:c r="M1473" s="10" t="n">
        <x:f>INDEX(v01_GroupCap,G1473)*v01_CohesionFactor*EXP(v01_CapsByProject*SUMPRODUCT((Cap_Point&lt;=I1473)*(Cap_Kind="Group")*Cap_Ln))</x:f>
        <x:v>1000000</x:v>
      </x:c>
      <x:c r="N1473" s="32" t="n">
        <x:f>MIN(J1473,L1473,M1473)</x:f>
        <x:v>12000</x:v>
      </x:c>
      <x:c r="O1473" s="10" t="n">
        <x:f>AE1472*N1473</x:f>
        <x:v>180000</x:v>
      </x:c>
      <x:c r="P1473" s="9" t="n">
        <x:f>MIN(1,(AB1472/(AE1472*IF(v01_GroupInCrowding=1,N1473,MIN(J1473,L1473))))^v01_CrowdingExp)</x:f>
        <x:v>0.00024569414295285325</x:v>
      </x:c>
      <x:c r="Q1473" s="9" t="n">
        <x:f>IF(D1473=1,INDEX(v01_WinterMult,G1473),1)</x:f>
        <x:v>1</x:v>
      </x:c>
      <x:c r="R1473" s="9" t="n">
        <x:f>H1473*Z1472*v01_WomenShare*v01_BaseFertility*INDEX(v01_FertMult,G1473)*Arch_Fertility*(1-P1473)</x:f>
        <x:v>0</x:v>
      </x:c>
      <x:c r="S1473" s="9" t="n">
        <x:f>H1473*Y1472*INDEX(v01_MortChild,G1473)/4*Q1473</x:f>
        <x:v>0</x:v>
      </x:c>
      <x:c r="T1473" s="9" t="n">
        <x:f>H1473*Z1472*INDEX(v01_MortAdult,G1473)*Arch_AdultMort/4*Q1473</x:f>
        <x:v>0</x:v>
      </x:c>
      <x:c r="U1473" s="9" t="n">
        <x:f>H1473*AA1472*INDEX(v01_MortElder,G1473)/4*Q1473</x:f>
        <x:v>0</x:v>
      </x:c>
      <x:c r="V1473" s="9" t="n">
        <x:f>H1473*MAX(0,AB1472-O1473)*v01_OvercapLoss</x:f>
        <x:v>0</x:v>
      </x:c>
      <x:c r="W1473" s="9" t="n">
        <x:f>H1473*Y1472/(v01_ChildYears*4)</x:f>
        <x:v>0</x:v>
      </x:c>
      <x:c r="X1473" s="9" t="n">
        <x:f>H1473*Z1472/(v01_AdultYears*4)</x:f>
        <x:v>0</x:v>
      </x:c>
      <x:c r="Y1473" s="32" t="n">
        <x:f>Y1472+R1473-S1473-W1473-Y1472*V1473/AB1472</x:f>
        <x:v>14306.18539759397</x:v>
      </x:c>
      <x:c r="Z1473" s="32" t="n">
        <x:f>Z1472+W1473-X1473-T1473-Z1472*V1473/AB1472</x:f>
        <x:v>19354.456567879548</x:v>
      </x:c>
      <x:c r="AA1473" s="32" t="n">
        <x:f>AA1472+X1473-U1473-AA1472*V1473/AB1472</x:f>
        <x:v>11386.956063258198</x:v>
      </x:c>
      <x:c r="AB1473" s="10" t="n">
        <x:f>Y1473+Z1473+AA1473</x:f>
        <x:v>45047.59802873172</x:v>
      </x:c>
      <x:c r="AC1473" s="8" t="n">
        <x:f>IF(AND(v01_WinterTrigger=1,D1473=1,AB1472/AE1472&gt;=K1473),1,0)</x:f>
        <x:v>0</x:v>
      </x:c>
      <x:c r="AD1473" s="8" t="n">
        <x:f>H1473*IF(AND(OR(AB1472/AE1472&gt;=v01_FissionTrigger*N1473,AC1473=1),AB1472/AE1472*v01_DaughterShare&gt;=v01_MinDaughter),MAX(1,ROUND(AE1472*v01_FissionRate,0)),0)</x:f>
        <x:v>0</x:v>
      </x:c>
      <x:c r="AE1473" s="8" t="n">
        <x:f>IF(H1473=1,MAX(1,MIN(INDEX(v01_Smax,G1473),AE1472+AD1473)),AE1472)</x:f>
        <x:v>15</x:v>
      </x:c>
      <x:c r="AF1473" s="8" t="n">
        <x:f>MAX(0,AE1473-AE1472)</x:f>
        <x:v>0</x:v>
      </x:c>
      <x:c r="AG1473" s="9" t="str">
        <x:f>IF(AF1473&gt;0,B1473,"")</x:f>
      </x:c>
      <x:c r="AH1473" s="9" t="n">
        <x:f>IF(F1473&gt;=1,1,(1+v01_LowTiesShare*(AE1473-1))/AE1473)</x:f>
        <x:v>1</x:v>
      </x:c>
      <x:c r="AI1473" s="32" t="n">
        <x:f>(Z1473+v01_ElderCommons*INDEX(LM_Elder,G1473)*AA1473)*AH1473</x:f>
        <x:v>64139.732591141874</x:v>
      </x:c>
      <x:c r="AJ1473" s="32" t="n">
        <x:f>H1473*v01_CommonsCoef*AI1473^v01_CommonsExp*INDEX(LM_Commons,G1473)</x:f>
        <x:v>0</x:v>
      </x:c>
      <x:c r="AK1473" s="32" t="n">
        <x:f>H1473*v01_RoleScale*Arch_Roles*(AE1473*(INDEX(v01_ElderRolePerSett,G1473)*v01_OutElder*INDEX(LM_Elder,G1473)+INDEX(v01_ShamanPerSett,G1473)*v01_OutShaman)+Z1473*(INDEX(v01_PriestShare,G1473)*v01_OutPriest+INDEX(v01_ScribeShare,G1473)*v01_OutScribe*INDEX(LM_Scribe,G1473)+INDEX(v01_ScholarShare,G1473)*v01_OutScholar*INDEX(LM_Scholar,G1473)+INDEX(v01_ResearcherShare,G1473)*v01_OutResearcher*INDEX(LM_Researcher,G1473)))</x:f>
        <x:v>0</x:v>
      </x:c>
      <x:c r="AL1473" s="32" t="n">
        <x:f>H1473*v01_RoleScale*Arch_Roles*AE1473*INDEX(v01_MonasteryPerSett,G1473)*v01_OutMonastery*INDEX(LM_Monastery,G1473)</x:f>
        <x:v>0</x:v>
      </x:c>
      <x:c r="AM1473" s="32" t="n">
        <x:f>(AJ1473+AK1473+AL1473)/4*INDEX(LM_All,G1473)*INDEX(v01_Boon,G1473)*Arch_Insight</x:f>
        <x:v>0</x:v>
      </x:c>
      <x:c r="AN1473" s="32" t="n">
        <x:f>H1473*(v01_KHPerAdult*Z1473+v01_KHOfCommons*AJ1473/4*INDEX(LM_All,G1473))*v01_KHUsable*Arch_KH</x:f>
        <x:v>0</x:v>
      </x:c>
      <x:c r="AO1473" s="32" t="n">
        <x:f>MIN(AP1472+AN1473,AM1473*v01_KHMaxRatio)</x:f>
        <x:v>0</x:v>
      </x:c>
      <x:c r="AP1473" s="32" t="n">
        <x:f>AP1472+AN1473-AO1473</x:f>
        <x:v>0</x:v>
      </x:c>
      <x:c r="AQ1473" s="32" t="n">
        <x:f>AM1473+AO1473</x:f>
        <x:v>0</x:v>
      </x:c>
      <x:c r="AR1473" s="10" t="n">
        <x:f>IF(H1473=1,INDEX(v01_Req,G1473),0)</x:f>
        <x:v>0</x:v>
      </x:c>
      <x:c r="AS1473" s="32" t="n">
        <x:f>IF(H1473=1,IF(E1473=1,AS1472-AR1472,AS1472)+AQ1473,0)</x:f>
        <x:v>0</x:v>
      </x:c>
      <x:c r="AT1473" s="11" t="n">
        <x:f>IF(AR1473&gt;0,MIN(1,AS1473/AR1473),1)</x:f>
        <x:v>1</x:v>
      </x:c>
      <x:c r="AU1473" s="10" t="n">
        <x:f>AB1473/INDEX(v01_RepScale,G1473)</x:f>
        <x:v>90.09519605746344</x:v>
      </x:c>
      <x:c r="AV1473" s="32" t="n">
        <x:f>AM1473*60/v01_SeasonSeconds</x:f>
        <x:v>0</x:v>
      </x:c>
    </x:row>
    <x:row r="1474">
      <x:c r="A1474" s="8" t="n">
        <x:f>A1473+1</x:f>
        <x:v>1471</x:v>
      </x:c>
      <x:c r="B1474" s="9" t="n">
        <x:f>A1474*v01_SeasonSeconds/60</x:f>
        <x:v>367.75</x:v>
      </x:c>
      <x:c r="C1474" s="9" t="n">
        <x:f>A1474/4</x:f>
        <x:v>367.75</x:v>
      </x:c>
      <x:c r="D1474" s="8" t="n">
        <x:f>IF(MOD(A1474,4)=0,1,0)</x:f>
        <x:v>0</x:v>
      </x:c>
      <x:c r="E1474" s="8" t="n">
        <x:f>IF(AND(F1473&lt;=9,AS1473&gt;=AR1473),1,0)</x:f>
        <x:v>0</x:v>
      </x:c>
      <x:c r="F1474" s="8" t="n">
        <x:f>MIN(10,F1473+E1474)</x:f>
        <x:v>10</x:v>
      </x:c>
      <x:c r="G1474" s="8" t="n">
        <x:f>MIN(F1474,9)+1</x:f>
        <x:v>10</x:v>
      </x:c>
      <x:c r="H1474" s="8" t="n">
        <x:f>IF(F1474&lt;=9,1,0)</x:f>
        <x:v>0</x:v>
      </x:c>
      <x:c r="I1474" s="9" t="n">
        <x:f>MIN(10,F1473+IF(AR1473&gt;0,MIN(1,AS1473/AR1473),1))</x:f>
        <x:v>10</x:v>
      </x:c>
      <x:c r="J1474" s="32" t="n">
        <x:f>INDEX(v01_FoodCap,G1474)*Arch_FoodCap*EXP(v01_CapsByProject*SUMPRODUCT((Cap_Point&lt;=I1474)*(Cap_Kind="Food")*Cap_Ln))</x:f>
        <x:v>12000</x:v>
      </x:c>
      <x:c r="K1474" s="32" t="n">
        <x:f>J1474*MIN(1,v01_LeanBase*EXP(v01_CapsByProject*SUMPRODUCT((Cap_Point&lt;=I1474)*(Cap_Kind="Lean")*Cap_Ln)))</x:f>
        <x:v>12000</x:v>
      </x:c>
      <x:c r="L1474" s="10" t="n">
        <x:f>INDEX(v01_HousingCap,G1474)*EXP(v01_CapsByProject*SUMPRODUCT((Cap_Point&lt;=I1474)*(Cap_Kind="Housing")*Cap_Ln))</x:f>
        <x:v>20000</x:v>
      </x:c>
      <x:c r="M1474" s="10" t="n">
        <x:f>INDEX(v01_GroupCap,G1474)*v01_CohesionFactor*EXP(v01_CapsByProject*SUMPRODUCT((Cap_Point&lt;=I1474)*(Cap_Kind="Group")*Cap_Ln))</x:f>
        <x:v>1000000</x:v>
      </x:c>
      <x:c r="N1474" s="32" t="n">
        <x:f>MIN(J1474,L1474,M1474)</x:f>
        <x:v>12000</x:v>
      </x:c>
      <x:c r="O1474" s="10" t="n">
        <x:f>AE1473*N1474</x:f>
        <x:v>180000</x:v>
      </x:c>
      <x:c r="P1474" s="9" t="n">
        <x:f>MIN(1,(AB1473/(AE1473*IF(v01_GroupInCrowding=1,N1474,MIN(J1474,L1474))))^v01_CrowdingExp)</x:f>
        <x:v>0.00024569414295285325</x:v>
      </x:c>
      <x:c r="Q1474" s="9" t="n">
        <x:f>IF(D1474=1,INDEX(v01_WinterMult,G1474),1)</x:f>
        <x:v>1</x:v>
      </x:c>
      <x:c r="R1474" s="9" t="n">
        <x:f>H1474*Z1473*v01_WomenShare*v01_BaseFertility*INDEX(v01_FertMult,G1474)*Arch_Fertility*(1-P1474)</x:f>
        <x:v>0</x:v>
      </x:c>
      <x:c r="S1474" s="9" t="n">
        <x:f>H1474*Y1473*INDEX(v01_MortChild,G1474)/4*Q1474</x:f>
        <x:v>0</x:v>
      </x:c>
      <x:c r="T1474" s="9" t="n">
        <x:f>H1474*Z1473*INDEX(v01_MortAdult,G1474)*Arch_AdultMort/4*Q1474</x:f>
        <x:v>0</x:v>
      </x:c>
      <x:c r="U1474" s="9" t="n">
        <x:f>H1474*AA1473*INDEX(v01_MortElder,G1474)/4*Q1474</x:f>
        <x:v>0</x:v>
      </x:c>
      <x:c r="V1474" s="9" t="n">
        <x:f>H1474*MAX(0,AB1473-O1474)*v01_OvercapLoss</x:f>
        <x:v>0</x:v>
      </x:c>
      <x:c r="W1474" s="9" t="n">
        <x:f>H1474*Y1473/(v01_ChildYears*4)</x:f>
        <x:v>0</x:v>
      </x:c>
      <x:c r="X1474" s="9" t="n">
        <x:f>H1474*Z1473/(v01_AdultYears*4)</x:f>
        <x:v>0</x:v>
      </x:c>
      <x:c r="Y1474" s="32" t="n">
        <x:f>Y1473+R1474-S1474-W1474-Y1473*V1474/AB1473</x:f>
        <x:v>14306.18539759397</x:v>
      </x:c>
      <x:c r="Z1474" s="32" t="n">
        <x:f>Z1473+W1474-X1474-T1474-Z1473*V1474/AB1473</x:f>
        <x:v>19354.456567879548</x:v>
      </x:c>
      <x:c r="AA1474" s="32" t="n">
        <x:f>AA1473+X1474-U1474-AA1473*V1474/AB1473</x:f>
        <x:v>11386.956063258198</x:v>
      </x:c>
      <x:c r="AB1474" s="10" t="n">
        <x:f>Y1474+Z1474+AA1474</x:f>
        <x:v>45047.59802873172</x:v>
      </x:c>
      <x:c r="AC1474" s="8" t="n">
        <x:f>IF(AND(v01_WinterTrigger=1,D1474=1,AB1473/AE1473&gt;=K1474),1,0)</x:f>
        <x:v>0</x:v>
      </x:c>
      <x:c r="AD1474" s="8" t="n">
        <x:f>H1474*IF(AND(OR(AB1473/AE1473&gt;=v01_FissionTrigger*N1474,AC1474=1),AB1473/AE1473*v01_DaughterShare&gt;=v01_MinDaughter),MAX(1,ROUND(AE1473*v01_FissionRate,0)),0)</x:f>
        <x:v>0</x:v>
      </x:c>
      <x:c r="AE1474" s="8" t="n">
        <x:f>IF(H1474=1,MAX(1,MIN(INDEX(v01_Smax,G1474),AE1473+AD1474)),AE1473)</x:f>
        <x:v>15</x:v>
      </x:c>
      <x:c r="AF1474" s="8" t="n">
        <x:f>MAX(0,AE1474-AE1473)</x:f>
        <x:v>0</x:v>
      </x:c>
      <x:c r="AG1474" s="9" t="str">
        <x:f>IF(AF1474&gt;0,B1474,"")</x:f>
      </x:c>
      <x:c r="AH1474" s="9" t="n">
        <x:f>IF(F1474&gt;=1,1,(1+v01_LowTiesShare*(AE1474-1))/AE1474)</x:f>
        <x:v>1</x:v>
      </x:c>
      <x:c r="AI1474" s="32" t="n">
        <x:f>(Z1474+v01_ElderCommons*INDEX(LM_Elder,G1474)*AA1474)*AH1474</x:f>
        <x:v>64139.732591141874</x:v>
      </x:c>
      <x:c r="AJ1474" s="32" t="n">
        <x:f>H1474*v01_CommonsCoef*AI1474^v01_CommonsExp*INDEX(LM_Commons,G1474)</x:f>
        <x:v>0</x:v>
      </x:c>
      <x:c r="AK1474" s="32" t="n">
        <x:f>H1474*v01_RoleScale*Arch_Roles*(AE1474*(INDEX(v01_ElderRolePerSett,G1474)*v01_OutElder*INDEX(LM_Elder,G1474)+INDEX(v01_ShamanPerSett,G1474)*v01_OutShaman)+Z1474*(INDEX(v01_PriestShare,G1474)*v01_OutPriest+INDEX(v01_ScribeShare,G1474)*v01_OutScribe*INDEX(LM_Scribe,G1474)+INDEX(v01_ScholarShare,G1474)*v01_OutScholar*INDEX(LM_Scholar,G1474)+INDEX(v01_ResearcherShare,G1474)*v01_OutResearcher*INDEX(LM_Researcher,G1474)))</x:f>
        <x:v>0</x:v>
      </x:c>
      <x:c r="AL1474" s="32" t="n">
        <x:f>H1474*v01_RoleScale*Arch_Roles*AE1474*INDEX(v01_MonasteryPerSett,G1474)*v01_OutMonastery*INDEX(LM_Monastery,G1474)</x:f>
        <x:v>0</x:v>
      </x:c>
      <x:c r="AM1474" s="32" t="n">
        <x:f>(AJ1474+AK1474+AL1474)/4*INDEX(LM_All,G1474)*INDEX(v01_Boon,G1474)*Arch_Insight</x:f>
        <x:v>0</x:v>
      </x:c>
      <x:c r="AN1474" s="32" t="n">
        <x:f>H1474*(v01_KHPerAdult*Z1474+v01_KHOfCommons*AJ1474/4*INDEX(LM_All,G1474))*v01_KHUsable*Arch_KH</x:f>
        <x:v>0</x:v>
      </x:c>
      <x:c r="AO1474" s="32" t="n">
        <x:f>MIN(AP1473+AN1474,AM1474*v01_KHMaxRatio)</x:f>
        <x:v>0</x:v>
      </x:c>
      <x:c r="AP1474" s="32" t="n">
        <x:f>AP1473+AN1474-AO1474</x:f>
        <x:v>0</x:v>
      </x:c>
      <x:c r="AQ1474" s="32" t="n">
        <x:f>AM1474+AO1474</x:f>
        <x:v>0</x:v>
      </x:c>
      <x:c r="AR1474" s="10" t="n">
        <x:f>IF(H1474=1,INDEX(v01_Req,G1474),0)</x:f>
        <x:v>0</x:v>
      </x:c>
      <x:c r="AS1474" s="32" t="n">
        <x:f>IF(H1474=1,IF(E1474=1,AS1473-AR1473,AS1473)+AQ1474,0)</x:f>
        <x:v>0</x:v>
      </x:c>
      <x:c r="AT1474" s="11" t="n">
        <x:f>IF(AR1474&gt;0,MIN(1,AS1474/AR1474),1)</x:f>
        <x:v>1</x:v>
      </x:c>
      <x:c r="AU1474" s="10" t="n">
        <x:f>AB1474/INDEX(v01_RepScale,G1474)</x:f>
        <x:v>90.09519605746344</x:v>
      </x:c>
      <x:c r="AV1474" s="32" t="n">
        <x:f>AM1474*60/v01_SeasonSeconds</x:f>
        <x:v>0</x:v>
      </x:c>
    </x:row>
    <x:row r="1475">
      <x:c r="A1475" s="8" t="n">
        <x:f>A1474+1</x:f>
        <x:v>1472</x:v>
      </x:c>
      <x:c r="B1475" s="9" t="n">
        <x:f>A1475*v01_SeasonSeconds/60</x:f>
        <x:v>368</x:v>
      </x:c>
      <x:c r="C1475" s="9" t="n">
        <x:f>A1475/4</x:f>
        <x:v>368</x:v>
      </x:c>
      <x:c r="D1475" s="8" t="n">
        <x:f>IF(MOD(A1475,4)=0,1,0)</x:f>
        <x:v>1</x:v>
      </x:c>
      <x:c r="E1475" s="8" t="n">
        <x:f>IF(AND(F1474&lt;=9,AS1474&gt;=AR1474),1,0)</x:f>
        <x:v>0</x:v>
      </x:c>
      <x:c r="F1475" s="8" t="n">
        <x:f>MIN(10,F1474+E1475)</x:f>
        <x:v>10</x:v>
      </x:c>
      <x:c r="G1475" s="8" t="n">
        <x:f>MIN(F1475,9)+1</x:f>
        <x:v>10</x:v>
      </x:c>
      <x:c r="H1475" s="8" t="n">
        <x:f>IF(F1475&lt;=9,1,0)</x:f>
        <x:v>0</x:v>
      </x:c>
      <x:c r="I1475" s="9" t="n">
        <x:f>MIN(10,F1474+IF(AR1474&gt;0,MIN(1,AS1474/AR1474),1))</x:f>
        <x:v>10</x:v>
      </x:c>
      <x:c r="J1475" s="32" t="n">
        <x:f>INDEX(v01_FoodCap,G1475)*Arch_FoodCap*EXP(v01_CapsByProject*SUMPRODUCT((Cap_Point&lt;=I1475)*(Cap_Kind="Food")*Cap_Ln))</x:f>
        <x:v>12000</x:v>
      </x:c>
      <x:c r="K1475" s="32" t="n">
        <x:f>J1475*MIN(1,v01_LeanBase*EXP(v01_CapsByProject*SUMPRODUCT((Cap_Point&lt;=I1475)*(Cap_Kind="Lean")*Cap_Ln)))</x:f>
        <x:v>12000</x:v>
      </x:c>
      <x:c r="L1475" s="10" t="n">
        <x:f>INDEX(v01_HousingCap,G1475)*EXP(v01_CapsByProject*SUMPRODUCT((Cap_Point&lt;=I1475)*(Cap_Kind="Housing")*Cap_Ln))</x:f>
        <x:v>20000</x:v>
      </x:c>
      <x:c r="M1475" s="10" t="n">
        <x:f>INDEX(v01_GroupCap,G1475)*v01_CohesionFactor*EXP(v01_CapsByProject*SUMPRODUCT((Cap_Point&lt;=I1475)*(Cap_Kind="Group")*Cap_Ln))</x:f>
        <x:v>1000000</x:v>
      </x:c>
      <x:c r="N1475" s="32" t="n">
        <x:f>MIN(J1475,L1475,M1475)</x:f>
        <x:v>12000</x:v>
      </x:c>
      <x:c r="O1475" s="10" t="n">
        <x:f>AE1474*N1475</x:f>
        <x:v>180000</x:v>
      </x:c>
      <x:c r="P1475" s="9" t="n">
        <x:f>MIN(1,(AB1474/(AE1474*IF(v01_GroupInCrowding=1,N1475,MIN(J1475,L1475))))^v01_CrowdingExp)</x:f>
        <x:v>0.00024569414295285325</x:v>
      </x:c>
      <x:c r="Q1475" s="9" t="n">
        <x:f>IF(D1475=1,INDEX(v01_WinterMult,G1475),1)</x:f>
        <x:v>1</x:v>
      </x:c>
      <x:c r="R1475" s="9" t="n">
        <x:f>H1475*Z1474*v01_WomenShare*v01_BaseFertility*INDEX(v01_FertMult,G1475)*Arch_Fertility*(1-P1475)</x:f>
        <x:v>0</x:v>
      </x:c>
      <x:c r="S1475" s="9" t="n">
        <x:f>H1475*Y1474*INDEX(v01_MortChild,G1475)/4*Q1475</x:f>
        <x:v>0</x:v>
      </x:c>
      <x:c r="T1475" s="9" t="n">
        <x:f>H1475*Z1474*INDEX(v01_MortAdult,G1475)*Arch_AdultMort/4*Q1475</x:f>
        <x:v>0</x:v>
      </x:c>
      <x:c r="U1475" s="9" t="n">
        <x:f>H1475*AA1474*INDEX(v01_MortElder,G1475)/4*Q1475</x:f>
        <x:v>0</x:v>
      </x:c>
      <x:c r="V1475" s="9" t="n">
        <x:f>H1475*MAX(0,AB1474-O1475)*v01_OvercapLoss</x:f>
        <x:v>0</x:v>
      </x:c>
      <x:c r="W1475" s="9" t="n">
        <x:f>H1475*Y1474/(v01_ChildYears*4)</x:f>
        <x:v>0</x:v>
      </x:c>
      <x:c r="X1475" s="9" t="n">
        <x:f>H1475*Z1474/(v01_AdultYears*4)</x:f>
        <x:v>0</x:v>
      </x:c>
      <x:c r="Y1475" s="32" t="n">
        <x:f>Y1474+R1475-S1475-W1475-Y1474*V1475/AB1474</x:f>
        <x:v>14306.18539759397</x:v>
      </x:c>
      <x:c r="Z1475" s="32" t="n">
        <x:f>Z1474+W1475-X1475-T1475-Z1474*V1475/AB1474</x:f>
        <x:v>19354.456567879548</x:v>
      </x:c>
      <x:c r="AA1475" s="32" t="n">
        <x:f>AA1474+X1475-U1475-AA1474*V1475/AB1474</x:f>
        <x:v>11386.956063258198</x:v>
      </x:c>
      <x:c r="AB1475" s="10" t="n">
        <x:f>Y1475+Z1475+AA1475</x:f>
        <x:v>45047.59802873172</x:v>
      </x:c>
      <x:c r="AC1475" s="8" t="n">
        <x:f>IF(AND(v01_WinterTrigger=1,D1475=1,AB1474/AE1474&gt;=K1475),1,0)</x:f>
        <x:v>0</x:v>
      </x:c>
      <x:c r="AD1475" s="8" t="n">
        <x:f>H1475*IF(AND(OR(AB1474/AE1474&gt;=v01_FissionTrigger*N1475,AC1475=1),AB1474/AE1474*v01_DaughterShare&gt;=v01_MinDaughter),MAX(1,ROUND(AE1474*v01_FissionRate,0)),0)</x:f>
        <x:v>0</x:v>
      </x:c>
      <x:c r="AE1475" s="8" t="n">
        <x:f>IF(H1475=1,MAX(1,MIN(INDEX(v01_Smax,G1475),AE1474+AD1475)),AE1474)</x:f>
        <x:v>15</x:v>
      </x:c>
      <x:c r="AF1475" s="8" t="n">
        <x:f>MAX(0,AE1475-AE1474)</x:f>
        <x:v>0</x:v>
      </x:c>
      <x:c r="AG1475" s="9" t="str">
        <x:f>IF(AF1475&gt;0,B1475,"")</x:f>
      </x:c>
      <x:c r="AH1475" s="9" t="n">
        <x:f>IF(F1475&gt;=1,1,(1+v01_LowTiesShare*(AE1475-1))/AE1475)</x:f>
        <x:v>1</x:v>
      </x:c>
      <x:c r="AI1475" s="32" t="n">
        <x:f>(Z1475+v01_ElderCommons*INDEX(LM_Elder,G1475)*AA1475)*AH1475</x:f>
        <x:v>64139.732591141874</x:v>
      </x:c>
      <x:c r="AJ1475" s="32" t="n">
        <x:f>H1475*v01_CommonsCoef*AI1475^v01_CommonsExp*INDEX(LM_Commons,G1475)</x:f>
        <x:v>0</x:v>
      </x:c>
      <x:c r="AK1475" s="32" t="n">
        <x:f>H1475*v01_RoleScale*Arch_Roles*(AE1475*(INDEX(v01_ElderRolePerSett,G1475)*v01_OutElder*INDEX(LM_Elder,G1475)+INDEX(v01_ShamanPerSett,G1475)*v01_OutShaman)+Z1475*(INDEX(v01_PriestShare,G1475)*v01_OutPriest+INDEX(v01_ScribeShare,G1475)*v01_OutScribe*INDEX(LM_Scribe,G1475)+INDEX(v01_ScholarShare,G1475)*v01_OutScholar*INDEX(LM_Scholar,G1475)+INDEX(v01_ResearcherShare,G1475)*v01_OutResearcher*INDEX(LM_Researcher,G1475)))</x:f>
        <x:v>0</x:v>
      </x:c>
      <x:c r="AL1475" s="32" t="n">
        <x:f>H1475*v01_RoleScale*Arch_Roles*AE1475*INDEX(v01_MonasteryPerSett,G1475)*v01_OutMonastery*INDEX(LM_Monastery,G1475)</x:f>
        <x:v>0</x:v>
      </x:c>
      <x:c r="AM1475" s="32" t="n">
        <x:f>(AJ1475+AK1475+AL1475)/4*INDEX(LM_All,G1475)*INDEX(v01_Boon,G1475)*Arch_Insight</x:f>
        <x:v>0</x:v>
      </x:c>
      <x:c r="AN1475" s="32" t="n">
        <x:f>H1475*(v01_KHPerAdult*Z1475+v01_KHOfCommons*AJ1475/4*INDEX(LM_All,G1475))*v01_KHUsable*Arch_KH</x:f>
        <x:v>0</x:v>
      </x:c>
      <x:c r="AO1475" s="32" t="n">
        <x:f>MIN(AP1474+AN1475,AM1475*v01_KHMaxRatio)</x:f>
        <x:v>0</x:v>
      </x:c>
      <x:c r="AP1475" s="32" t="n">
        <x:f>AP1474+AN1475-AO1475</x:f>
        <x:v>0</x:v>
      </x:c>
      <x:c r="AQ1475" s="32" t="n">
        <x:f>AM1475+AO1475</x:f>
        <x:v>0</x:v>
      </x:c>
      <x:c r="AR1475" s="10" t="n">
        <x:f>IF(H1475=1,INDEX(v01_Req,G1475),0)</x:f>
        <x:v>0</x:v>
      </x:c>
      <x:c r="AS1475" s="32" t="n">
        <x:f>IF(H1475=1,IF(E1475=1,AS1474-AR1474,AS1474)+AQ1475,0)</x:f>
        <x:v>0</x:v>
      </x:c>
      <x:c r="AT1475" s="11" t="n">
        <x:f>IF(AR1475&gt;0,MIN(1,AS1475/AR1475),1)</x:f>
        <x:v>1</x:v>
      </x:c>
      <x:c r="AU1475" s="10" t="n">
        <x:f>AB1475/INDEX(v01_RepScale,G1475)</x:f>
        <x:v>90.09519605746344</x:v>
      </x:c>
      <x:c r="AV1475" s="32" t="n">
        <x:f>AM1475*60/v01_SeasonSeconds</x:f>
        <x:v>0</x:v>
      </x:c>
    </x:row>
    <x:row r="1476">
      <x:c r="A1476" s="8" t="n">
        <x:f>A1475+1</x:f>
        <x:v>1473</x:v>
      </x:c>
      <x:c r="B1476" s="9" t="n">
        <x:f>A1476*v01_SeasonSeconds/60</x:f>
        <x:v>368.25</x:v>
      </x:c>
      <x:c r="C1476" s="9" t="n">
        <x:f>A1476/4</x:f>
        <x:v>368.25</x:v>
      </x:c>
      <x:c r="D1476" s="8" t="n">
        <x:f>IF(MOD(A1476,4)=0,1,0)</x:f>
        <x:v>0</x:v>
      </x:c>
      <x:c r="E1476" s="8" t="n">
        <x:f>IF(AND(F1475&lt;=9,AS1475&gt;=AR1475),1,0)</x:f>
        <x:v>0</x:v>
      </x:c>
      <x:c r="F1476" s="8" t="n">
        <x:f>MIN(10,F1475+E1476)</x:f>
        <x:v>10</x:v>
      </x:c>
      <x:c r="G1476" s="8" t="n">
        <x:f>MIN(F1476,9)+1</x:f>
        <x:v>10</x:v>
      </x:c>
      <x:c r="H1476" s="8" t="n">
        <x:f>IF(F1476&lt;=9,1,0)</x:f>
        <x:v>0</x:v>
      </x:c>
      <x:c r="I1476" s="9" t="n">
        <x:f>MIN(10,F1475+IF(AR1475&gt;0,MIN(1,AS1475/AR1475),1))</x:f>
        <x:v>10</x:v>
      </x:c>
      <x:c r="J1476" s="32" t="n">
        <x:f>INDEX(v01_FoodCap,G1476)*Arch_FoodCap*EXP(v01_CapsByProject*SUMPRODUCT((Cap_Point&lt;=I1476)*(Cap_Kind="Food")*Cap_Ln))</x:f>
        <x:v>12000</x:v>
      </x:c>
      <x:c r="K1476" s="32" t="n">
        <x:f>J1476*MIN(1,v01_LeanBase*EXP(v01_CapsByProject*SUMPRODUCT((Cap_Point&lt;=I1476)*(Cap_Kind="Lean")*Cap_Ln)))</x:f>
        <x:v>12000</x:v>
      </x:c>
      <x:c r="L1476" s="10" t="n">
        <x:f>INDEX(v01_HousingCap,G1476)*EXP(v01_CapsByProject*SUMPRODUCT((Cap_Point&lt;=I1476)*(Cap_Kind="Housing")*Cap_Ln))</x:f>
        <x:v>20000</x:v>
      </x:c>
      <x:c r="M1476" s="10" t="n">
        <x:f>INDEX(v01_GroupCap,G1476)*v01_CohesionFactor*EXP(v01_CapsByProject*SUMPRODUCT((Cap_Point&lt;=I1476)*(Cap_Kind="Group")*Cap_Ln))</x:f>
        <x:v>1000000</x:v>
      </x:c>
      <x:c r="N1476" s="32" t="n">
        <x:f>MIN(J1476,L1476,M1476)</x:f>
        <x:v>12000</x:v>
      </x:c>
      <x:c r="O1476" s="10" t="n">
        <x:f>AE1475*N1476</x:f>
        <x:v>180000</x:v>
      </x:c>
      <x:c r="P1476" s="9" t="n">
        <x:f>MIN(1,(AB1475/(AE1475*IF(v01_GroupInCrowding=1,N1476,MIN(J1476,L1476))))^v01_CrowdingExp)</x:f>
        <x:v>0.00024569414295285325</x:v>
      </x:c>
      <x:c r="Q1476" s="9" t="n">
        <x:f>IF(D1476=1,INDEX(v01_WinterMult,G1476),1)</x:f>
        <x:v>1</x:v>
      </x:c>
      <x:c r="R1476" s="9" t="n">
        <x:f>H1476*Z1475*v01_WomenShare*v01_BaseFertility*INDEX(v01_FertMult,G1476)*Arch_Fertility*(1-P1476)</x:f>
        <x:v>0</x:v>
      </x:c>
      <x:c r="S1476" s="9" t="n">
        <x:f>H1476*Y1475*INDEX(v01_MortChild,G1476)/4*Q1476</x:f>
        <x:v>0</x:v>
      </x:c>
      <x:c r="T1476" s="9" t="n">
        <x:f>H1476*Z1475*INDEX(v01_MortAdult,G1476)*Arch_AdultMort/4*Q1476</x:f>
        <x:v>0</x:v>
      </x:c>
      <x:c r="U1476" s="9" t="n">
        <x:f>H1476*AA1475*INDEX(v01_MortElder,G1476)/4*Q1476</x:f>
        <x:v>0</x:v>
      </x:c>
      <x:c r="V1476" s="9" t="n">
        <x:f>H1476*MAX(0,AB1475-O1476)*v01_OvercapLoss</x:f>
        <x:v>0</x:v>
      </x:c>
      <x:c r="W1476" s="9" t="n">
        <x:f>H1476*Y1475/(v01_ChildYears*4)</x:f>
        <x:v>0</x:v>
      </x:c>
      <x:c r="X1476" s="9" t="n">
        <x:f>H1476*Z1475/(v01_AdultYears*4)</x:f>
        <x:v>0</x:v>
      </x:c>
      <x:c r="Y1476" s="32" t="n">
        <x:f>Y1475+R1476-S1476-W1476-Y1475*V1476/AB1475</x:f>
        <x:v>14306.18539759397</x:v>
      </x:c>
      <x:c r="Z1476" s="32" t="n">
        <x:f>Z1475+W1476-X1476-T1476-Z1475*V1476/AB1475</x:f>
        <x:v>19354.456567879548</x:v>
      </x:c>
      <x:c r="AA1476" s="32" t="n">
        <x:f>AA1475+X1476-U1476-AA1475*V1476/AB1475</x:f>
        <x:v>11386.956063258198</x:v>
      </x:c>
      <x:c r="AB1476" s="10" t="n">
        <x:f>Y1476+Z1476+AA1476</x:f>
        <x:v>45047.59802873172</x:v>
      </x:c>
      <x:c r="AC1476" s="8" t="n">
        <x:f>IF(AND(v01_WinterTrigger=1,D1476=1,AB1475/AE1475&gt;=K1476),1,0)</x:f>
        <x:v>0</x:v>
      </x:c>
      <x:c r="AD1476" s="8" t="n">
        <x:f>H1476*IF(AND(OR(AB1475/AE1475&gt;=v01_FissionTrigger*N1476,AC1476=1),AB1475/AE1475*v01_DaughterShare&gt;=v01_MinDaughter),MAX(1,ROUND(AE1475*v01_FissionRate,0)),0)</x:f>
        <x:v>0</x:v>
      </x:c>
      <x:c r="AE1476" s="8" t="n">
        <x:f>IF(H1476=1,MAX(1,MIN(INDEX(v01_Smax,G1476),AE1475+AD1476)),AE1475)</x:f>
        <x:v>15</x:v>
      </x:c>
      <x:c r="AF1476" s="8" t="n">
        <x:f>MAX(0,AE1476-AE1475)</x:f>
        <x:v>0</x:v>
      </x:c>
      <x:c r="AG1476" s="9" t="str">
        <x:f>IF(AF1476&gt;0,B1476,"")</x:f>
      </x:c>
      <x:c r="AH1476" s="9" t="n">
        <x:f>IF(F1476&gt;=1,1,(1+v01_LowTiesShare*(AE1476-1))/AE1476)</x:f>
        <x:v>1</x:v>
      </x:c>
      <x:c r="AI1476" s="32" t="n">
        <x:f>(Z1476+v01_ElderCommons*INDEX(LM_Elder,G1476)*AA1476)*AH1476</x:f>
        <x:v>64139.732591141874</x:v>
      </x:c>
      <x:c r="AJ1476" s="32" t="n">
        <x:f>H1476*v01_CommonsCoef*AI1476^v01_CommonsExp*INDEX(LM_Commons,G1476)</x:f>
        <x:v>0</x:v>
      </x:c>
      <x:c r="AK1476" s="32" t="n">
        <x:f>H1476*v01_RoleScale*Arch_Roles*(AE1476*(INDEX(v01_ElderRolePerSett,G1476)*v01_OutElder*INDEX(LM_Elder,G1476)+INDEX(v01_ShamanPerSett,G1476)*v01_OutShaman)+Z1476*(INDEX(v01_PriestShare,G1476)*v01_OutPriest+INDEX(v01_ScribeShare,G1476)*v01_OutScribe*INDEX(LM_Scribe,G1476)+INDEX(v01_ScholarShare,G1476)*v01_OutScholar*INDEX(LM_Scholar,G1476)+INDEX(v01_ResearcherShare,G1476)*v01_OutResearcher*INDEX(LM_Researcher,G1476)))</x:f>
        <x:v>0</x:v>
      </x:c>
      <x:c r="AL1476" s="32" t="n">
        <x:f>H1476*v01_RoleScale*Arch_Roles*AE1476*INDEX(v01_MonasteryPerSett,G1476)*v01_OutMonastery*INDEX(LM_Monastery,G1476)</x:f>
        <x:v>0</x:v>
      </x:c>
      <x:c r="AM1476" s="32" t="n">
        <x:f>(AJ1476+AK1476+AL1476)/4*INDEX(LM_All,G1476)*INDEX(v01_Boon,G1476)*Arch_Insight</x:f>
        <x:v>0</x:v>
      </x:c>
      <x:c r="AN1476" s="32" t="n">
        <x:f>H1476*(v01_KHPerAdult*Z1476+v01_KHOfCommons*AJ1476/4*INDEX(LM_All,G1476))*v01_KHUsable*Arch_KH</x:f>
        <x:v>0</x:v>
      </x:c>
      <x:c r="AO1476" s="32" t="n">
        <x:f>MIN(AP1475+AN1476,AM1476*v01_KHMaxRatio)</x:f>
        <x:v>0</x:v>
      </x:c>
      <x:c r="AP1476" s="32" t="n">
        <x:f>AP1475+AN1476-AO1476</x:f>
        <x:v>0</x:v>
      </x:c>
      <x:c r="AQ1476" s="32" t="n">
        <x:f>AM1476+AO1476</x:f>
        <x:v>0</x:v>
      </x:c>
      <x:c r="AR1476" s="10" t="n">
        <x:f>IF(H1476=1,INDEX(v01_Req,G1476),0)</x:f>
        <x:v>0</x:v>
      </x:c>
      <x:c r="AS1476" s="32" t="n">
        <x:f>IF(H1476=1,IF(E1476=1,AS1475-AR1475,AS1475)+AQ1476,0)</x:f>
        <x:v>0</x:v>
      </x:c>
      <x:c r="AT1476" s="11" t="n">
        <x:f>IF(AR1476&gt;0,MIN(1,AS1476/AR1476),1)</x:f>
        <x:v>1</x:v>
      </x:c>
      <x:c r="AU1476" s="10" t="n">
        <x:f>AB1476/INDEX(v01_RepScale,G1476)</x:f>
        <x:v>90.09519605746344</x:v>
      </x:c>
      <x:c r="AV1476" s="32" t="n">
        <x:f>AM1476*60/v01_SeasonSeconds</x:f>
        <x:v>0</x:v>
      </x:c>
    </x:row>
    <x:row r="1477">
      <x:c r="A1477" s="8" t="n">
        <x:f>A1476+1</x:f>
        <x:v>1474</x:v>
      </x:c>
      <x:c r="B1477" s="9" t="n">
        <x:f>A1477*v01_SeasonSeconds/60</x:f>
        <x:v>368.5</x:v>
      </x:c>
      <x:c r="C1477" s="9" t="n">
        <x:f>A1477/4</x:f>
        <x:v>368.5</x:v>
      </x:c>
      <x:c r="D1477" s="8" t="n">
        <x:f>IF(MOD(A1477,4)=0,1,0)</x:f>
        <x:v>0</x:v>
      </x:c>
      <x:c r="E1477" s="8" t="n">
        <x:f>IF(AND(F1476&lt;=9,AS1476&gt;=AR1476),1,0)</x:f>
        <x:v>0</x:v>
      </x:c>
      <x:c r="F1477" s="8" t="n">
        <x:f>MIN(10,F1476+E1477)</x:f>
        <x:v>10</x:v>
      </x:c>
      <x:c r="G1477" s="8" t="n">
        <x:f>MIN(F1477,9)+1</x:f>
        <x:v>10</x:v>
      </x:c>
      <x:c r="H1477" s="8" t="n">
        <x:f>IF(F1477&lt;=9,1,0)</x:f>
        <x:v>0</x:v>
      </x:c>
      <x:c r="I1477" s="9" t="n">
        <x:f>MIN(10,F1476+IF(AR1476&gt;0,MIN(1,AS1476/AR1476),1))</x:f>
        <x:v>10</x:v>
      </x:c>
      <x:c r="J1477" s="32" t="n">
        <x:f>INDEX(v01_FoodCap,G1477)*Arch_FoodCap*EXP(v01_CapsByProject*SUMPRODUCT((Cap_Point&lt;=I1477)*(Cap_Kind="Food")*Cap_Ln))</x:f>
        <x:v>12000</x:v>
      </x:c>
      <x:c r="K1477" s="32" t="n">
        <x:f>J1477*MIN(1,v01_LeanBase*EXP(v01_CapsByProject*SUMPRODUCT((Cap_Point&lt;=I1477)*(Cap_Kind="Lean")*Cap_Ln)))</x:f>
        <x:v>12000</x:v>
      </x:c>
      <x:c r="L1477" s="10" t="n">
        <x:f>INDEX(v01_HousingCap,G1477)*EXP(v01_CapsByProject*SUMPRODUCT((Cap_Point&lt;=I1477)*(Cap_Kind="Housing")*Cap_Ln))</x:f>
        <x:v>20000</x:v>
      </x:c>
      <x:c r="M1477" s="10" t="n">
        <x:f>INDEX(v01_GroupCap,G1477)*v01_CohesionFactor*EXP(v01_CapsByProject*SUMPRODUCT((Cap_Point&lt;=I1477)*(Cap_Kind="Group")*Cap_Ln))</x:f>
        <x:v>1000000</x:v>
      </x:c>
      <x:c r="N1477" s="32" t="n">
        <x:f>MIN(J1477,L1477,M1477)</x:f>
        <x:v>12000</x:v>
      </x:c>
      <x:c r="O1477" s="10" t="n">
        <x:f>AE1476*N1477</x:f>
        <x:v>180000</x:v>
      </x:c>
      <x:c r="P1477" s="9" t="n">
        <x:f>MIN(1,(AB1476/(AE1476*IF(v01_GroupInCrowding=1,N1477,MIN(J1477,L1477))))^v01_CrowdingExp)</x:f>
        <x:v>0.00024569414295285325</x:v>
      </x:c>
      <x:c r="Q1477" s="9" t="n">
        <x:f>IF(D1477=1,INDEX(v01_WinterMult,G1477),1)</x:f>
        <x:v>1</x:v>
      </x:c>
      <x:c r="R1477" s="9" t="n">
        <x:f>H1477*Z1476*v01_WomenShare*v01_BaseFertility*INDEX(v01_FertMult,G1477)*Arch_Fertility*(1-P1477)</x:f>
        <x:v>0</x:v>
      </x:c>
      <x:c r="S1477" s="9" t="n">
        <x:f>H1477*Y1476*INDEX(v01_MortChild,G1477)/4*Q1477</x:f>
        <x:v>0</x:v>
      </x:c>
      <x:c r="T1477" s="9" t="n">
        <x:f>H1477*Z1476*INDEX(v01_MortAdult,G1477)*Arch_AdultMort/4*Q1477</x:f>
        <x:v>0</x:v>
      </x:c>
      <x:c r="U1477" s="9" t="n">
        <x:f>H1477*AA1476*INDEX(v01_MortElder,G1477)/4*Q1477</x:f>
        <x:v>0</x:v>
      </x:c>
      <x:c r="V1477" s="9" t="n">
        <x:f>H1477*MAX(0,AB1476-O1477)*v01_OvercapLoss</x:f>
        <x:v>0</x:v>
      </x:c>
      <x:c r="W1477" s="9" t="n">
        <x:f>H1477*Y1476/(v01_ChildYears*4)</x:f>
        <x:v>0</x:v>
      </x:c>
      <x:c r="X1477" s="9" t="n">
        <x:f>H1477*Z1476/(v01_AdultYears*4)</x:f>
        <x:v>0</x:v>
      </x:c>
      <x:c r="Y1477" s="32" t="n">
        <x:f>Y1476+R1477-S1477-W1477-Y1476*V1477/AB1476</x:f>
        <x:v>14306.18539759397</x:v>
      </x:c>
      <x:c r="Z1477" s="32" t="n">
        <x:f>Z1476+W1477-X1477-T1477-Z1476*V1477/AB1476</x:f>
        <x:v>19354.456567879548</x:v>
      </x:c>
      <x:c r="AA1477" s="32" t="n">
        <x:f>AA1476+X1477-U1477-AA1476*V1477/AB1476</x:f>
        <x:v>11386.956063258198</x:v>
      </x:c>
      <x:c r="AB1477" s="10" t="n">
        <x:f>Y1477+Z1477+AA1477</x:f>
        <x:v>45047.59802873172</x:v>
      </x:c>
      <x:c r="AC1477" s="8" t="n">
        <x:f>IF(AND(v01_WinterTrigger=1,D1477=1,AB1476/AE1476&gt;=K1477),1,0)</x:f>
        <x:v>0</x:v>
      </x:c>
      <x:c r="AD1477" s="8" t="n">
        <x:f>H1477*IF(AND(OR(AB1476/AE1476&gt;=v01_FissionTrigger*N1477,AC1477=1),AB1476/AE1476*v01_DaughterShare&gt;=v01_MinDaughter),MAX(1,ROUND(AE1476*v01_FissionRate,0)),0)</x:f>
        <x:v>0</x:v>
      </x:c>
      <x:c r="AE1477" s="8" t="n">
        <x:f>IF(H1477=1,MAX(1,MIN(INDEX(v01_Smax,G1477),AE1476+AD1477)),AE1476)</x:f>
        <x:v>15</x:v>
      </x:c>
      <x:c r="AF1477" s="8" t="n">
        <x:f>MAX(0,AE1477-AE1476)</x:f>
        <x:v>0</x:v>
      </x:c>
      <x:c r="AG1477" s="9" t="str">
        <x:f>IF(AF1477&gt;0,B1477,"")</x:f>
      </x:c>
      <x:c r="AH1477" s="9" t="n">
        <x:f>IF(F1477&gt;=1,1,(1+v01_LowTiesShare*(AE1477-1))/AE1477)</x:f>
        <x:v>1</x:v>
      </x:c>
      <x:c r="AI1477" s="32" t="n">
        <x:f>(Z1477+v01_ElderCommons*INDEX(LM_Elder,G1477)*AA1477)*AH1477</x:f>
        <x:v>64139.732591141874</x:v>
      </x:c>
      <x:c r="AJ1477" s="32" t="n">
        <x:f>H1477*v01_CommonsCoef*AI1477^v01_CommonsExp*INDEX(LM_Commons,G1477)</x:f>
        <x:v>0</x:v>
      </x:c>
      <x:c r="AK1477" s="32" t="n">
        <x:f>H1477*v01_RoleScale*Arch_Roles*(AE1477*(INDEX(v01_ElderRolePerSett,G1477)*v01_OutElder*INDEX(LM_Elder,G1477)+INDEX(v01_ShamanPerSett,G1477)*v01_OutShaman)+Z1477*(INDEX(v01_PriestShare,G1477)*v01_OutPriest+INDEX(v01_ScribeShare,G1477)*v01_OutScribe*INDEX(LM_Scribe,G1477)+INDEX(v01_ScholarShare,G1477)*v01_OutScholar*INDEX(LM_Scholar,G1477)+INDEX(v01_ResearcherShare,G1477)*v01_OutResearcher*INDEX(LM_Researcher,G1477)))</x:f>
        <x:v>0</x:v>
      </x:c>
      <x:c r="AL1477" s="32" t="n">
        <x:f>H1477*v01_RoleScale*Arch_Roles*AE1477*INDEX(v01_MonasteryPerSett,G1477)*v01_OutMonastery*INDEX(LM_Monastery,G1477)</x:f>
        <x:v>0</x:v>
      </x:c>
      <x:c r="AM1477" s="32" t="n">
        <x:f>(AJ1477+AK1477+AL1477)/4*INDEX(LM_All,G1477)*INDEX(v01_Boon,G1477)*Arch_Insight</x:f>
        <x:v>0</x:v>
      </x:c>
      <x:c r="AN1477" s="32" t="n">
        <x:f>H1477*(v01_KHPerAdult*Z1477+v01_KHOfCommons*AJ1477/4*INDEX(LM_All,G1477))*v01_KHUsable*Arch_KH</x:f>
        <x:v>0</x:v>
      </x:c>
      <x:c r="AO1477" s="32" t="n">
        <x:f>MIN(AP1476+AN1477,AM1477*v01_KHMaxRatio)</x:f>
        <x:v>0</x:v>
      </x:c>
      <x:c r="AP1477" s="32" t="n">
        <x:f>AP1476+AN1477-AO1477</x:f>
        <x:v>0</x:v>
      </x:c>
      <x:c r="AQ1477" s="32" t="n">
        <x:f>AM1477+AO1477</x:f>
        <x:v>0</x:v>
      </x:c>
      <x:c r="AR1477" s="10" t="n">
        <x:f>IF(H1477=1,INDEX(v01_Req,G1477),0)</x:f>
        <x:v>0</x:v>
      </x:c>
      <x:c r="AS1477" s="32" t="n">
        <x:f>IF(H1477=1,IF(E1477=1,AS1476-AR1476,AS1476)+AQ1477,0)</x:f>
        <x:v>0</x:v>
      </x:c>
      <x:c r="AT1477" s="11" t="n">
        <x:f>IF(AR1477&gt;0,MIN(1,AS1477/AR1477),1)</x:f>
        <x:v>1</x:v>
      </x:c>
      <x:c r="AU1477" s="10" t="n">
        <x:f>AB1477/INDEX(v01_RepScale,G1477)</x:f>
        <x:v>90.09519605746344</x:v>
      </x:c>
      <x:c r="AV1477" s="32" t="n">
        <x:f>AM1477*60/v01_SeasonSeconds</x:f>
        <x:v>0</x:v>
      </x:c>
    </x:row>
    <x:row r="1478">
      <x:c r="A1478" s="8" t="n">
        <x:f>A1477+1</x:f>
        <x:v>1475</x:v>
      </x:c>
      <x:c r="B1478" s="9" t="n">
        <x:f>A1478*v01_SeasonSeconds/60</x:f>
        <x:v>368.75</x:v>
      </x:c>
      <x:c r="C1478" s="9" t="n">
        <x:f>A1478/4</x:f>
        <x:v>368.75</x:v>
      </x:c>
      <x:c r="D1478" s="8" t="n">
        <x:f>IF(MOD(A1478,4)=0,1,0)</x:f>
        <x:v>0</x:v>
      </x:c>
      <x:c r="E1478" s="8" t="n">
        <x:f>IF(AND(F1477&lt;=9,AS1477&gt;=AR1477),1,0)</x:f>
        <x:v>0</x:v>
      </x:c>
      <x:c r="F1478" s="8" t="n">
        <x:f>MIN(10,F1477+E1478)</x:f>
        <x:v>10</x:v>
      </x:c>
      <x:c r="G1478" s="8" t="n">
        <x:f>MIN(F1478,9)+1</x:f>
        <x:v>10</x:v>
      </x:c>
      <x:c r="H1478" s="8" t="n">
        <x:f>IF(F1478&lt;=9,1,0)</x:f>
        <x:v>0</x:v>
      </x:c>
      <x:c r="I1478" s="9" t="n">
        <x:f>MIN(10,F1477+IF(AR1477&gt;0,MIN(1,AS1477/AR1477),1))</x:f>
        <x:v>10</x:v>
      </x:c>
      <x:c r="J1478" s="32" t="n">
        <x:f>INDEX(v01_FoodCap,G1478)*Arch_FoodCap*EXP(v01_CapsByProject*SUMPRODUCT((Cap_Point&lt;=I1478)*(Cap_Kind="Food")*Cap_Ln))</x:f>
        <x:v>12000</x:v>
      </x:c>
      <x:c r="K1478" s="32" t="n">
        <x:f>J1478*MIN(1,v01_LeanBase*EXP(v01_CapsByProject*SUMPRODUCT((Cap_Point&lt;=I1478)*(Cap_Kind="Lean")*Cap_Ln)))</x:f>
        <x:v>12000</x:v>
      </x:c>
      <x:c r="L1478" s="10" t="n">
        <x:f>INDEX(v01_HousingCap,G1478)*EXP(v01_CapsByProject*SUMPRODUCT((Cap_Point&lt;=I1478)*(Cap_Kind="Housing")*Cap_Ln))</x:f>
        <x:v>20000</x:v>
      </x:c>
      <x:c r="M1478" s="10" t="n">
        <x:f>INDEX(v01_GroupCap,G1478)*v01_CohesionFactor*EXP(v01_CapsByProject*SUMPRODUCT((Cap_Point&lt;=I1478)*(Cap_Kind="Group")*Cap_Ln))</x:f>
        <x:v>1000000</x:v>
      </x:c>
      <x:c r="N1478" s="32" t="n">
        <x:f>MIN(J1478,L1478,M1478)</x:f>
        <x:v>12000</x:v>
      </x:c>
      <x:c r="O1478" s="10" t="n">
        <x:f>AE1477*N1478</x:f>
        <x:v>180000</x:v>
      </x:c>
      <x:c r="P1478" s="9" t="n">
        <x:f>MIN(1,(AB1477/(AE1477*IF(v01_GroupInCrowding=1,N1478,MIN(J1478,L1478))))^v01_CrowdingExp)</x:f>
        <x:v>0.00024569414295285325</x:v>
      </x:c>
      <x:c r="Q1478" s="9" t="n">
        <x:f>IF(D1478=1,INDEX(v01_WinterMult,G1478),1)</x:f>
        <x:v>1</x:v>
      </x:c>
      <x:c r="R1478" s="9" t="n">
        <x:f>H1478*Z1477*v01_WomenShare*v01_BaseFertility*INDEX(v01_FertMult,G1478)*Arch_Fertility*(1-P1478)</x:f>
        <x:v>0</x:v>
      </x:c>
      <x:c r="S1478" s="9" t="n">
        <x:f>H1478*Y1477*INDEX(v01_MortChild,G1478)/4*Q1478</x:f>
        <x:v>0</x:v>
      </x:c>
      <x:c r="T1478" s="9" t="n">
        <x:f>H1478*Z1477*INDEX(v01_MortAdult,G1478)*Arch_AdultMort/4*Q1478</x:f>
        <x:v>0</x:v>
      </x:c>
      <x:c r="U1478" s="9" t="n">
        <x:f>H1478*AA1477*INDEX(v01_MortElder,G1478)/4*Q1478</x:f>
        <x:v>0</x:v>
      </x:c>
      <x:c r="V1478" s="9" t="n">
        <x:f>H1478*MAX(0,AB1477-O1478)*v01_OvercapLoss</x:f>
        <x:v>0</x:v>
      </x:c>
      <x:c r="W1478" s="9" t="n">
        <x:f>H1478*Y1477/(v01_ChildYears*4)</x:f>
        <x:v>0</x:v>
      </x:c>
      <x:c r="X1478" s="9" t="n">
        <x:f>H1478*Z1477/(v01_AdultYears*4)</x:f>
        <x:v>0</x:v>
      </x:c>
      <x:c r="Y1478" s="32" t="n">
        <x:f>Y1477+R1478-S1478-W1478-Y1477*V1478/AB1477</x:f>
        <x:v>14306.18539759397</x:v>
      </x:c>
      <x:c r="Z1478" s="32" t="n">
        <x:f>Z1477+W1478-X1478-T1478-Z1477*V1478/AB1477</x:f>
        <x:v>19354.456567879548</x:v>
      </x:c>
      <x:c r="AA1478" s="32" t="n">
        <x:f>AA1477+X1478-U1478-AA1477*V1478/AB1477</x:f>
        <x:v>11386.956063258198</x:v>
      </x:c>
      <x:c r="AB1478" s="10" t="n">
        <x:f>Y1478+Z1478+AA1478</x:f>
        <x:v>45047.59802873172</x:v>
      </x:c>
      <x:c r="AC1478" s="8" t="n">
        <x:f>IF(AND(v01_WinterTrigger=1,D1478=1,AB1477/AE1477&gt;=K1478),1,0)</x:f>
        <x:v>0</x:v>
      </x:c>
      <x:c r="AD1478" s="8" t="n">
        <x:f>H1478*IF(AND(OR(AB1477/AE1477&gt;=v01_FissionTrigger*N1478,AC1478=1),AB1477/AE1477*v01_DaughterShare&gt;=v01_MinDaughter),MAX(1,ROUND(AE1477*v01_FissionRate,0)),0)</x:f>
        <x:v>0</x:v>
      </x:c>
      <x:c r="AE1478" s="8" t="n">
        <x:f>IF(H1478=1,MAX(1,MIN(INDEX(v01_Smax,G1478),AE1477+AD1478)),AE1477)</x:f>
        <x:v>15</x:v>
      </x:c>
      <x:c r="AF1478" s="8" t="n">
        <x:f>MAX(0,AE1478-AE1477)</x:f>
        <x:v>0</x:v>
      </x:c>
      <x:c r="AG1478" s="9" t="str">
        <x:f>IF(AF1478&gt;0,B1478,"")</x:f>
      </x:c>
      <x:c r="AH1478" s="9" t="n">
        <x:f>IF(F1478&gt;=1,1,(1+v01_LowTiesShare*(AE1478-1))/AE1478)</x:f>
        <x:v>1</x:v>
      </x:c>
      <x:c r="AI1478" s="32" t="n">
        <x:f>(Z1478+v01_ElderCommons*INDEX(LM_Elder,G1478)*AA1478)*AH1478</x:f>
        <x:v>64139.732591141874</x:v>
      </x:c>
      <x:c r="AJ1478" s="32" t="n">
        <x:f>H1478*v01_CommonsCoef*AI1478^v01_CommonsExp*INDEX(LM_Commons,G1478)</x:f>
        <x:v>0</x:v>
      </x:c>
      <x:c r="AK1478" s="32" t="n">
        <x:f>H1478*v01_RoleScale*Arch_Roles*(AE1478*(INDEX(v01_ElderRolePerSett,G1478)*v01_OutElder*INDEX(LM_Elder,G1478)+INDEX(v01_ShamanPerSett,G1478)*v01_OutShaman)+Z1478*(INDEX(v01_PriestShare,G1478)*v01_OutPriest+INDEX(v01_ScribeShare,G1478)*v01_OutScribe*INDEX(LM_Scribe,G1478)+INDEX(v01_ScholarShare,G1478)*v01_OutScholar*INDEX(LM_Scholar,G1478)+INDEX(v01_ResearcherShare,G1478)*v01_OutResearcher*INDEX(LM_Researcher,G1478)))</x:f>
        <x:v>0</x:v>
      </x:c>
      <x:c r="AL1478" s="32" t="n">
        <x:f>H1478*v01_RoleScale*Arch_Roles*AE1478*INDEX(v01_MonasteryPerSett,G1478)*v01_OutMonastery*INDEX(LM_Monastery,G1478)</x:f>
        <x:v>0</x:v>
      </x:c>
      <x:c r="AM1478" s="32" t="n">
        <x:f>(AJ1478+AK1478+AL1478)/4*INDEX(LM_All,G1478)*INDEX(v01_Boon,G1478)*Arch_Insight</x:f>
        <x:v>0</x:v>
      </x:c>
      <x:c r="AN1478" s="32" t="n">
        <x:f>H1478*(v01_KHPerAdult*Z1478+v01_KHOfCommons*AJ1478/4*INDEX(LM_All,G1478))*v01_KHUsable*Arch_KH</x:f>
        <x:v>0</x:v>
      </x:c>
      <x:c r="AO1478" s="32" t="n">
        <x:f>MIN(AP1477+AN1478,AM1478*v01_KHMaxRatio)</x:f>
        <x:v>0</x:v>
      </x:c>
      <x:c r="AP1478" s="32" t="n">
        <x:f>AP1477+AN1478-AO1478</x:f>
        <x:v>0</x:v>
      </x:c>
      <x:c r="AQ1478" s="32" t="n">
        <x:f>AM1478+AO1478</x:f>
        <x:v>0</x:v>
      </x:c>
      <x:c r="AR1478" s="10" t="n">
        <x:f>IF(H1478=1,INDEX(v01_Req,G1478),0)</x:f>
        <x:v>0</x:v>
      </x:c>
      <x:c r="AS1478" s="32" t="n">
        <x:f>IF(H1478=1,IF(E1478=1,AS1477-AR1477,AS1477)+AQ1478,0)</x:f>
        <x:v>0</x:v>
      </x:c>
      <x:c r="AT1478" s="11" t="n">
        <x:f>IF(AR1478&gt;0,MIN(1,AS1478/AR1478),1)</x:f>
        <x:v>1</x:v>
      </x:c>
      <x:c r="AU1478" s="10" t="n">
        <x:f>AB1478/INDEX(v01_RepScale,G1478)</x:f>
        <x:v>90.09519605746344</x:v>
      </x:c>
      <x:c r="AV1478" s="32" t="n">
        <x:f>AM1478*60/v01_SeasonSeconds</x:f>
        <x:v>0</x:v>
      </x:c>
    </x:row>
    <x:row r="1479">
      <x:c r="A1479" s="8" t="n">
        <x:f>A1478+1</x:f>
        <x:v>1476</x:v>
      </x:c>
      <x:c r="B1479" s="9" t="n">
        <x:f>A1479*v01_SeasonSeconds/60</x:f>
        <x:v>369</x:v>
      </x:c>
      <x:c r="C1479" s="9" t="n">
        <x:f>A1479/4</x:f>
        <x:v>369</x:v>
      </x:c>
      <x:c r="D1479" s="8" t="n">
        <x:f>IF(MOD(A1479,4)=0,1,0)</x:f>
        <x:v>1</x:v>
      </x:c>
      <x:c r="E1479" s="8" t="n">
        <x:f>IF(AND(F1478&lt;=9,AS1478&gt;=AR1478),1,0)</x:f>
        <x:v>0</x:v>
      </x:c>
      <x:c r="F1479" s="8" t="n">
        <x:f>MIN(10,F1478+E1479)</x:f>
        <x:v>10</x:v>
      </x:c>
      <x:c r="G1479" s="8" t="n">
        <x:f>MIN(F1479,9)+1</x:f>
        <x:v>10</x:v>
      </x:c>
      <x:c r="H1479" s="8" t="n">
        <x:f>IF(F1479&lt;=9,1,0)</x:f>
        <x:v>0</x:v>
      </x:c>
      <x:c r="I1479" s="9" t="n">
        <x:f>MIN(10,F1478+IF(AR1478&gt;0,MIN(1,AS1478/AR1478),1))</x:f>
        <x:v>10</x:v>
      </x:c>
      <x:c r="J1479" s="32" t="n">
        <x:f>INDEX(v01_FoodCap,G1479)*Arch_FoodCap*EXP(v01_CapsByProject*SUMPRODUCT((Cap_Point&lt;=I1479)*(Cap_Kind="Food")*Cap_Ln))</x:f>
        <x:v>12000</x:v>
      </x:c>
      <x:c r="K1479" s="32" t="n">
        <x:f>J1479*MIN(1,v01_LeanBase*EXP(v01_CapsByProject*SUMPRODUCT((Cap_Point&lt;=I1479)*(Cap_Kind="Lean")*Cap_Ln)))</x:f>
        <x:v>12000</x:v>
      </x:c>
      <x:c r="L1479" s="10" t="n">
        <x:f>INDEX(v01_HousingCap,G1479)*EXP(v01_CapsByProject*SUMPRODUCT((Cap_Point&lt;=I1479)*(Cap_Kind="Housing")*Cap_Ln))</x:f>
        <x:v>20000</x:v>
      </x:c>
      <x:c r="M1479" s="10" t="n">
        <x:f>INDEX(v01_GroupCap,G1479)*v01_CohesionFactor*EXP(v01_CapsByProject*SUMPRODUCT((Cap_Point&lt;=I1479)*(Cap_Kind="Group")*Cap_Ln))</x:f>
        <x:v>1000000</x:v>
      </x:c>
      <x:c r="N1479" s="32" t="n">
        <x:f>MIN(J1479,L1479,M1479)</x:f>
        <x:v>12000</x:v>
      </x:c>
      <x:c r="O1479" s="10" t="n">
        <x:f>AE1478*N1479</x:f>
        <x:v>180000</x:v>
      </x:c>
      <x:c r="P1479" s="9" t="n">
        <x:f>MIN(1,(AB1478/(AE1478*IF(v01_GroupInCrowding=1,N1479,MIN(J1479,L1479))))^v01_CrowdingExp)</x:f>
        <x:v>0.00024569414295285325</x:v>
      </x:c>
      <x:c r="Q1479" s="9" t="n">
        <x:f>IF(D1479=1,INDEX(v01_WinterMult,G1479),1)</x:f>
        <x:v>1</x:v>
      </x:c>
      <x:c r="R1479" s="9" t="n">
        <x:f>H1479*Z1478*v01_WomenShare*v01_BaseFertility*INDEX(v01_FertMult,G1479)*Arch_Fertility*(1-P1479)</x:f>
        <x:v>0</x:v>
      </x:c>
      <x:c r="S1479" s="9" t="n">
        <x:f>H1479*Y1478*INDEX(v01_MortChild,G1479)/4*Q1479</x:f>
        <x:v>0</x:v>
      </x:c>
      <x:c r="T1479" s="9" t="n">
        <x:f>H1479*Z1478*INDEX(v01_MortAdult,G1479)*Arch_AdultMort/4*Q1479</x:f>
        <x:v>0</x:v>
      </x:c>
      <x:c r="U1479" s="9" t="n">
        <x:f>H1479*AA1478*INDEX(v01_MortElder,G1479)/4*Q1479</x:f>
        <x:v>0</x:v>
      </x:c>
      <x:c r="V1479" s="9" t="n">
        <x:f>H1479*MAX(0,AB1478-O1479)*v01_OvercapLoss</x:f>
        <x:v>0</x:v>
      </x:c>
      <x:c r="W1479" s="9" t="n">
        <x:f>H1479*Y1478/(v01_ChildYears*4)</x:f>
        <x:v>0</x:v>
      </x:c>
      <x:c r="X1479" s="9" t="n">
        <x:f>H1479*Z1478/(v01_AdultYears*4)</x:f>
        <x:v>0</x:v>
      </x:c>
      <x:c r="Y1479" s="32" t="n">
        <x:f>Y1478+R1479-S1479-W1479-Y1478*V1479/AB1478</x:f>
        <x:v>14306.18539759397</x:v>
      </x:c>
      <x:c r="Z1479" s="32" t="n">
        <x:f>Z1478+W1479-X1479-T1479-Z1478*V1479/AB1478</x:f>
        <x:v>19354.456567879548</x:v>
      </x:c>
      <x:c r="AA1479" s="32" t="n">
        <x:f>AA1478+X1479-U1479-AA1478*V1479/AB1478</x:f>
        <x:v>11386.956063258198</x:v>
      </x:c>
      <x:c r="AB1479" s="10" t="n">
        <x:f>Y1479+Z1479+AA1479</x:f>
        <x:v>45047.59802873172</x:v>
      </x:c>
      <x:c r="AC1479" s="8" t="n">
        <x:f>IF(AND(v01_WinterTrigger=1,D1479=1,AB1478/AE1478&gt;=K1479),1,0)</x:f>
        <x:v>0</x:v>
      </x:c>
      <x:c r="AD1479" s="8" t="n">
        <x:f>H1479*IF(AND(OR(AB1478/AE1478&gt;=v01_FissionTrigger*N1479,AC1479=1),AB1478/AE1478*v01_DaughterShare&gt;=v01_MinDaughter),MAX(1,ROUND(AE1478*v01_FissionRate,0)),0)</x:f>
        <x:v>0</x:v>
      </x:c>
      <x:c r="AE1479" s="8" t="n">
        <x:f>IF(H1479=1,MAX(1,MIN(INDEX(v01_Smax,G1479),AE1478+AD1479)),AE1478)</x:f>
        <x:v>15</x:v>
      </x:c>
      <x:c r="AF1479" s="8" t="n">
        <x:f>MAX(0,AE1479-AE1478)</x:f>
        <x:v>0</x:v>
      </x:c>
      <x:c r="AG1479" s="9" t="str">
        <x:f>IF(AF1479&gt;0,B1479,"")</x:f>
      </x:c>
      <x:c r="AH1479" s="9" t="n">
        <x:f>IF(F1479&gt;=1,1,(1+v01_LowTiesShare*(AE1479-1))/AE1479)</x:f>
        <x:v>1</x:v>
      </x:c>
      <x:c r="AI1479" s="32" t="n">
        <x:f>(Z1479+v01_ElderCommons*INDEX(LM_Elder,G1479)*AA1479)*AH1479</x:f>
        <x:v>64139.732591141874</x:v>
      </x:c>
      <x:c r="AJ1479" s="32" t="n">
        <x:f>H1479*v01_CommonsCoef*AI1479^v01_CommonsExp*INDEX(LM_Commons,G1479)</x:f>
        <x:v>0</x:v>
      </x:c>
      <x:c r="AK1479" s="32" t="n">
        <x:f>H1479*v01_RoleScale*Arch_Roles*(AE1479*(INDEX(v01_ElderRolePerSett,G1479)*v01_OutElder*INDEX(LM_Elder,G1479)+INDEX(v01_ShamanPerSett,G1479)*v01_OutShaman)+Z1479*(INDEX(v01_PriestShare,G1479)*v01_OutPriest+INDEX(v01_ScribeShare,G1479)*v01_OutScribe*INDEX(LM_Scribe,G1479)+INDEX(v01_ScholarShare,G1479)*v01_OutScholar*INDEX(LM_Scholar,G1479)+INDEX(v01_ResearcherShare,G1479)*v01_OutResearcher*INDEX(LM_Researcher,G1479)))</x:f>
        <x:v>0</x:v>
      </x:c>
      <x:c r="AL1479" s="32" t="n">
        <x:f>H1479*v01_RoleScale*Arch_Roles*AE1479*INDEX(v01_MonasteryPerSett,G1479)*v01_OutMonastery*INDEX(LM_Monastery,G1479)</x:f>
        <x:v>0</x:v>
      </x:c>
      <x:c r="AM1479" s="32" t="n">
        <x:f>(AJ1479+AK1479+AL1479)/4*INDEX(LM_All,G1479)*INDEX(v01_Boon,G1479)*Arch_Insight</x:f>
        <x:v>0</x:v>
      </x:c>
      <x:c r="AN1479" s="32" t="n">
        <x:f>H1479*(v01_KHPerAdult*Z1479+v01_KHOfCommons*AJ1479/4*INDEX(LM_All,G1479))*v01_KHUsable*Arch_KH</x:f>
        <x:v>0</x:v>
      </x:c>
      <x:c r="AO1479" s="32" t="n">
        <x:f>MIN(AP1478+AN1479,AM1479*v01_KHMaxRatio)</x:f>
        <x:v>0</x:v>
      </x:c>
      <x:c r="AP1479" s="32" t="n">
        <x:f>AP1478+AN1479-AO1479</x:f>
        <x:v>0</x:v>
      </x:c>
      <x:c r="AQ1479" s="32" t="n">
        <x:f>AM1479+AO1479</x:f>
        <x:v>0</x:v>
      </x:c>
      <x:c r="AR1479" s="10" t="n">
        <x:f>IF(H1479=1,INDEX(v01_Req,G1479),0)</x:f>
        <x:v>0</x:v>
      </x:c>
      <x:c r="AS1479" s="32" t="n">
        <x:f>IF(H1479=1,IF(E1479=1,AS1478-AR1478,AS1478)+AQ1479,0)</x:f>
        <x:v>0</x:v>
      </x:c>
      <x:c r="AT1479" s="11" t="n">
        <x:f>IF(AR1479&gt;0,MIN(1,AS1479/AR1479),1)</x:f>
        <x:v>1</x:v>
      </x:c>
      <x:c r="AU1479" s="10" t="n">
        <x:f>AB1479/INDEX(v01_RepScale,G1479)</x:f>
        <x:v>90.09519605746344</x:v>
      </x:c>
      <x:c r="AV1479" s="32" t="n">
        <x:f>AM1479*60/v01_SeasonSeconds</x:f>
        <x:v>0</x:v>
      </x:c>
    </x:row>
    <x:row r="1480">
      <x:c r="A1480" s="8" t="n">
        <x:f>A1479+1</x:f>
        <x:v>1477</x:v>
      </x:c>
      <x:c r="B1480" s="9" t="n">
        <x:f>A1480*v01_SeasonSeconds/60</x:f>
        <x:v>369.25</x:v>
      </x:c>
      <x:c r="C1480" s="9" t="n">
        <x:f>A1480/4</x:f>
        <x:v>369.25</x:v>
      </x:c>
      <x:c r="D1480" s="8" t="n">
        <x:f>IF(MOD(A1480,4)=0,1,0)</x:f>
        <x:v>0</x:v>
      </x:c>
      <x:c r="E1480" s="8" t="n">
        <x:f>IF(AND(F1479&lt;=9,AS1479&gt;=AR1479),1,0)</x:f>
        <x:v>0</x:v>
      </x:c>
      <x:c r="F1480" s="8" t="n">
        <x:f>MIN(10,F1479+E1480)</x:f>
        <x:v>10</x:v>
      </x:c>
      <x:c r="G1480" s="8" t="n">
        <x:f>MIN(F1480,9)+1</x:f>
        <x:v>10</x:v>
      </x:c>
      <x:c r="H1480" s="8" t="n">
        <x:f>IF(F1480&lt;=9,1,0)</x:f>
        <x:v>0</x:v>
      </x:c>
      <x:c r="I1480" s="9" t="n">
        <x:f>MIN(10,F1479+IF(AR1479&gt;0,MIN(1,AS1479/AR1479),1))</x:f>
        <x:v>10</x:v>
      </x:c>
      <x:c r="J1480" s="32" t="n">
        <x:f>INDEX(v01_FoodCap,G1480)*Arch_FoodCap*EXP(v01_CapsByProject*SUMPRODUCT((Cap_Point&lt;=I1480)*(Cap_Kind="Food")*Cap_Ln))</x:f>
        <x:v>12000</x:v>
      </x:c>
      <x:c r="K1480" s="32" t="n">
        <x:f>J1480*MIN(1,v01_LeanBase*EXP(v01_CapsByProject*SUMPRODUCT((Cap_Point&lt;=I1480)*(Cap_Kind="Lean")*Cap_Ln)))</x:f>
        <x:v>12000</x:v>
      </x:c>
      <x:c r="L1480" s="10" t="n">
        <x:f>INDEX(v01_HousingCap,G1480)*EXP(v01_CapsByProject*SUMPRODUCT((Cap_Point&lt;=I1480)*(Cap_Kind="Housing")*Cap_Ln))</x:f>
        <x:v>20000</x:v>
      </x:c>
      <x:c r="M1480" s="10" t="n">
        <x:f>INDEX(v01_GroupCap,G1480)*v01_CohesionFactor*EXP(v01_CapsByProject*SUMPRODUCT((Cap_Point&lt;=I1480)*(Cap_Kind="Group")*Cap_Ln))</x:f>
        <x:v>1000000</x:v>
      </x:c>
      <x:c r="N1480" s="32" t="n">
        <x:f>MIN(J1480,L1480,M1480)</x:f>
        <x:v>12000</x:v>
      </x:c>
      <x:c r="O1480" s="10" t="n">
        <x:f>AE1479*N1480</x:f>
        <x:v>180000</x:v>
      </x:c>
      <x:c r="P1480" s="9" t="n">
        <x:f>MIN(1,(AB1479/(AE1479*IF(v01_GroupInCrowding=1,N1480,MIN(J1480,L1480))))^v01_CrowdingExp)</x:f>
        <x:v>0.00024569414295285325</x:v>
      </x:c>
      <x:c r="Q1480" s="9" t="n">
        <x:f>IF(D1480=1,INDEX(v01_WinterMult,G1480),1)</x:f>
        <x:v>1</x:v>
      </x:c>
      <x:c r="R1480" s="9" t="n">
        <x:f>H1480*Z1479*v01_WomenShare*v01_BaseFertility*INDEX(v01_FertMult,G1480)*Arch_Fertility*(1-P1480)</x:f>
        <x:v>0</x:v>
      </x:c>
      <x:c r="S1480" s="9" t="n">
        <x:f>H1480*Y1479*INDEX(v01_MortChild,G1480)/4*Q1480</x:f>
        <x:v>0</x:v>
      </x:c>
      <x:c r="T1480" s="9" t="n">
        <x:f>H1480*Z1479*INDEX(v01_MortAdult,G1480)*Arch_AdultMort/4*Q1480</x:f>
        <x:v>0</x:v>
      </x:c>
      <x:c r="U1480" s="9" t="n">
        <x:f>H1480*AA1479*INDEX(v01_MortElder,G1480)/4*Q1480</x:f>
        <x:v>0</x:v>
      </x:c>
      <x:c r="V1480" s="9" t="n">
        <x:f>H1480*MAX(0,AB1479-O1480)*v01_OvercapLoss</x:f>
        <x:v>0</x:v>
      </x:c>
      <x:c r="W1480" s="9" t="n">
        <x:f>H1480*Y1479/(v01_ChildYears*4)</x:f>
        <x:v>0</x:v>
      </x:c>
      <x:c r="X1480" s="9" t="n">
        <x:f>H1480*Z1479/(v01_AdultYears*4)</x:f>
        <x:v>0</x:v>
      </x:c>
      <x:c r="Y1480" s="32" t="n">
        <x:f>Y1479+R1480-S1480-W1480-Y1479*V1480/AB1479</x:f>
        <x:v>14306.18539759397</x:v>
      </x:c>
      <x:c r="Z1480" s="32" t="n">
        <x:f>Z1479+W1480-X1480-T1480-Z1479*V1480/AB1479</x:f>
        <x:v>19354.456567879548</x:v>
      </x:c>
      <x:c r="AA1480" s="32" t="n">
        <x:f>AA1479+X1480-U1480-AA1479*V1480/AB1479</x:f>
        <x:v>11386.956063258198</x:v>
      </x:c>
      <x:c r="AB1480" s="10" t="n">
        <x:f>Y1480+Z1480+AA1480</x:f>
        <x:v>45047.59802873172</x:v>
      </x:c>
      <x:c r="AC1480" s="8" t="n">
        <x:f>IF(AND(v01_WinterTrigger=1,D1480=1,AB1479/AE1479&gt;=K1480),1,0)</x:f>
        <x:v>0</x:v>
      </x:c>
      <x:c r="AD1480" s="8" t="n">
        <x:f>H1480*IF(AND(OR(AB1479/AE1479&gt;=v01_FissionTrigger*N1480,AC1480=1),AB1479/AE1479*v01_DaughterShare&gt;=v01_MinDaughter),MAX(1,ROUND(AE1479*v01_FissionRate,0)),0)</x:f>
        <x:v>0</x:v>
      </x:c>
      <x:c r="AE1480" s="8" t="n">
        <x:f>IF(H1480=1,MAX(1,MIN(INDEX(v01_Smax,G1480),AE1479+AD1480)),AE1479)</x:f>
        <x:v>15</x:v>
      </x:c>
      <x:c r="AF1480" s="8" t="n">
        <x:f>MAX(0,AE1480-AE1479)</x:f>
        <x:v>0</x:v>
      </x:c>
      <x:c r="AG1480" s="9" t="str">
        <x:f>IF(AF1480&gt;0,B1480,"")</x:f>
      </x:c>
      <x:c r="AH1480" s="9" t="n">
        <x:f>IF(F1480&gt;=1,1,(1+v01_LowTiesShare*(AE1480-1))/AE1480)</x:f>
        <x:v>1</x:v>
      </x:c>
      <x:c r="AI1480" s="32" t="n">
        <x:f>(Z1480+v01_ElderCommons*INDEX(LM_Elder,G1480)*AA1480)*AH1480</x:f>
        <x:v>64139.732591141874</x:v>
      </x:c>
      <x:c r="AJ1480" s="32" t="n">
        <x:f>H1480*v01_CommonsCoef*AI1480^v01_CommonsExp*INDEX(LM_Commons,G1480)</x:f>
        <x:v>0</x:v>
      </x:c>
      <x:c r="AK1480" s="32" t="n">
        <x:f>H1480*v01_RoleScale*Arch_Roles*(AE1480*(INDEX(v01_ElderRolePerSett,G1480)*v01_OutElder*INDEX(LM_Elder,G1480)+INDEX(v01_ShamanPerSett,G1480)*v01_OutShaman)+Z1480*(INDEX(v01_PriestShare,G1480)*v01_OutPriest+INDEX(v01_ScribeShare,G1480)*v01_OutScribe*INDEX(LM_Scribe,G1480)+INDEX(v01_ScholarShare,G1480)*v01_OutScholar*INDEX(LM_Scholar,G1480)+INDEX(v01_ResearcherShare,G1480)*v01_OutResearcher*INDEX(LM_Researcher,G1480)))</x:f>
        <x:v>0</x:v>
      </x:c>
      <x:c r="AL1480" s="32" t="n">
        <x:f>H1480*v01_RoleScale*Arch_Roles*AE1480*INDEX(v01_MonasteryPerSett,G1480)*v01_OutMonastery*INDEX(LM_Monastery,G1480)</x:f>
        <x:v>0</x:v>
      </x:c>
      <x:c r="AM1480" s="32" t="n">
        <x:f>(AJ1480+AK1480+AL1480)/4*INDEX(LM_All,G1480)*INDEX(v01_Boon,G1480)*Arch_Insight</x:f>
        <x:v>0</x:v>
      </x:c>
      <x:c r="AN1480" s="32" t="n">
        <x:f>H1480*(v01_KHPerAdult*Z1480+v01_KHOfCommons*AJ1480/4*INDEX(LM_All,G1480))*v01_KHUsable*Arch_KH</x:f>
        <x:v>0</x:v>
      </x:c>
      <x:c r="AO1480" s="32" t="n">
        <x:f>MIN(AP1479+AN1480,AM1480*v01_KHMaxRatio)</x:f>
        <x:v>0</x:v>
      </x:c>
      <x:c r="AP1480" s="32" t="n">
        <x:f>AP1479+AN1480-AO1480</x:f>
        <x:v>0</x:v>
      </x:c>
      <x:c r="AQ1480" s="32" t="n">
        <x:f>AM1480+AO1480</x:f>
        <x:v>0</x:v>
      </x:c>
      <x:c r="AR1480" s="10" t="n">
        <x:f>IF(H1480=1,INDEX(v01_Req,G1480),0)</x:f>
        <x:v>0</x:v>
      </x:c>
      <x:c r="AS1480" s="32" t="n">
        <x:f>IF(H1480=1,IF(E1480=1,AS1479-AR1479,AS1479)+AQ1480,0)</x:f>
        <x:v>0</x:v>
      </x:c>
      <x:c r="AT1480" s="11" t="n">
        <x:f>IF(AR1480&gt;0,MIN(1,AS1480/AR1480),1)</x:f>
        <x:v>1</x:v>
      </x:c>
      <x:c r="AU1480" s="10" t="n">
        <x:f>AB1480/INDEX(v01_RepScale,G1480)</x:f>
        <x:v>90.09519605746344</x:v>
      </x:c>
      <x:c r="AV1480" s="32" t="n">
        <x:f>AM1480*60/v01_SeasonSeconds</x:f>
        <x:v>0</x:v>
      </x:c>
    </x:row>
    <x:row r="1481">
      <x:c r="A1481" s="8" t="n">
        <x:f>A1480+1</x:f>
        <x:v>1478</x:v>
      </x:c>
      <x:c r="B1481" s="9" t="n">
        <x:f>A1481*v01_SeasonSeconds/60</x:f>
        <x:v>369.5</x:v>
      </x:c>
      <x:c r="C1481" s="9" t="n">
        <x:f>A1481/4</x:f>
        <x:v>369.5</x:v>
      </x:c>
      <x:c r="D1481" s="8" t="n">
        <x:f>IF(MOD(A1481,4)=0,1,0)</x:f>
        <x:v>0</x:v>
      </x:c>
      <x:c r="E1481" s="8" t="n">
        <x:f>IF(AND(F1480&lt;=9,AS1480&gt;=AR1480),1,0)</x:f>
        <x:v>0</x:v>
      </x:c>
      <x:c r="F1481" s="8" t="n">
        <x:f>MIN(10,F1480+E1481)</x:f>
        <x:v>10</x:v>
      </x:c>
      <x:c r="G1481" s="8" t="n">
        <x:f>MIN(F1481,9)+1</x:f>
        <x:v>10</x:v>
      </x:c>
      <x:c r="H1481" s="8" t="n">
        <x:f>IF(F1481&lt;=9,1,0)</x:f>
        <x:v>0</x:v>
      </x:c>
      <x:c r="I1481" s="9" t="n">
        <x:f>MIN(10,F1480+IF(AR1480&gt;0,MIN(1,AS1480/AR1480),1))</x:f>
        <x:v>10</x:v>
      </x:c>
      <x:c r="J1481" s="32" t="n">
        <x:f>INDEX(v01_FoodCap,G1481)*Arch_FoodCap*EXP(v01_CapsByProject*SUMPRODUCT((Cap_Point&lt;=I1481)*(Cap_Kind="Food")*Cap_Ln))</x:f>
        <x:v>12000</x:v>
      </x:c>
      <x:c r="K1481" s="32" t="n">
        <x:f>J1481*MIN(1,v01_LeanBase*EXP(v01_CapsByProject*SUMPRODUCT((Cap_Point&lt;=I1481)*(Cap_Kind="Lean")*Cap_Ln)))</x:f>
        <x:v>12000</x:v>
      </x:c>
      <x:c r="L1481" s="10" t="n">
        <x:f>INDEX(v01_HousingCap,G1481)*EXP(v01_CapsByProject*SUMPRODUCT((Cap_Point&lt;=I1481)*(Cap_Kind="Housing")*Cap_Ln))</x:f>
        <x:v>20000</x:v>
      </x:c>
      <x:c r="M1481" s="10" t="n">
        <x:f>INDEX(v01_GroupCap,G1481)*v01_CohesionFactor*EXP(v01_CapsByProject*SUMPRODUCT((Cap_Point&lt;=I1481)*(Cap_Kind="Group")*Cap_Ln))</x:f>
        <x:v>1000000</x:v>
      </x:c>
      <x:c r="N1481" s="32" t="n">
        <x:f>MIN(J1481,L1481,M1481)</x:f>
        <x:v>12000</x:v>
      </x:c>
      <x:c r="O1481" s="10" t="n">
        <x:f>AE1480*N1481</x:f>
        <x:v>180000</x:v>
      </x:c>
      <x:c r="P1481" s="9" t="n">
        <x:f>MIN(1,(AB1480/(AE1480*IF(v01_GroupInCrowding=1,N1481,MIN(J1481,L1481))))^v01_CrowdingExp)</x:f>
        <x:v>0.00024569414295285325</x:v>
      </x:c>
      <x:c r="Q1481" s="9" t="n">
        <x:f>IF(D1481=1,INDEX(v01_WinterMult,G1481),1)</x:f>
        <x:v>1</x:v>
      </x:c>
      <x:c r="R1481" s="9" t="n">
        <x:f>H1481*Z1480*v01_WomenShare*v01_BaseFertility*INDEX(v01_FertMult,G1481)*Arch_Fertility*(1-P1481)</x:f>
        <x:v>0</x:v>
      </x:c>
      <x:c r="S1481" s="9" t="n">
        <x:f>H1481*Y1480*INDEX(v01_MortChild,G1481)/4*Q1481</x:f>
        <x:v>0</x:v>
      </x:c>
      <x:c r="T1481" s="9" t="n">
        <x:f>H1481*Z1480*INDEX(v01_MortAdult,G1481)*Arch_AdultMort/4*Q1481</x:f>
        <x:v>0</x:v>
      </x:c>
      <x:c r="U1481" s="9" t="n">
        <x:f>H1481*AA1480*INDEX(v01_MortElder,G1481)/4*Q1481</x:f>
        <x:v>0</x:v>
      </x:c>
      <x:c r="V1481" s="9" t="n">
        <x:f>H1481*MAX(0,AB1480-O1481)*v01_OvercapLoss</x:f>
        <x:v>0</x:v>
      </x:c>
      <x:c r="W1481" s="9" t="n">
        <x:f>H1481*Y1480/(v01_ChildYears*4)</x:f>
        <x:v>0</x:v>
      </x:c>
      <x:c r="X1481" s="9" t="n">
        <x:f>H1481*Z1480/(v01_AdultYears*4)</x:f>
        <x:v>0</x:v>
      </x:c>
      <x:c r="Y1481" s="32" t="n">
        <x:f>Y1480+R1481-S1481-W1481-Y1480*V1481/AB1480</x:f>
        <x:v>14306.18539759397</x:v>
      </x:c>
      <x:c r="Z1481" s="32" t="n">
        <x:f>Z1480+W1481-X1481-T1481-Z1480*V1481/AB1480</x:f>
        <x:v>19354.456567879548</x:v>
      </x:c>
      <x:c r="AA1481" s="32" t="n">
        <x:f>AA1480+X1481-U1481-AA1480*V1481/AB1480</x:f>
        <x:v>11386.956063258198</x:v>
      </x:c>
      <x:c r="AB1481" s="10" t="n">
        <x:f>Y1481+Z1481+AA1481</x:f>
        <x:v>45047.59802873172</x:v>
      </x:c>
      <x:c r="AC1481" s="8" t="n">
        <x:f>IF(AND(v01_WinterTrigger=1,D1481=1,AB1480/AE1480&gt;=K1481),1,0)</x:f>
        <x:v>0</x:v>
      </x:c>
      <x:c r="AD1481" s="8" t="n">
        <x:f>H1481*IF(AND(OR(AB1480/AE1480&gt;=v01_FissionTrigger*N1481,AC1481=1),AB1480/AE1480*v01_DaughterShare&gt;=v01_MinDaughter),MAX(1,ROUND(AE1480*v01_FissionRate,0)),0)</x:f>
        <x:v>0</x:v>
      </x:c>
      <x:c r="AE1481" s="8" t="n">
        <x:f>IF(H1481=1,MAX(1,MIN(INDEX(v01_Smax,G1481),AE1480+AD1481)),AE1480)</x:f>
        <x:v>15</x:v>
      </x:c>
      <x:c r="AF1481" s="8" t="n">
        <x:f>MAX(0,AE1481-AE1480)</x:f>
        <x:v>0</x:v>
      </x:c>
      <x:c r="AG1481" s="9" t="str">
        <x:f>IF(AF1481&gt;0,B1481,"")</x:f>
      </x:c>
      <x:c r="AH1481" s="9" t="n">
        <x:f>IF(F1481&gt;=1,1,(1+v01_LowTiesShare*(AE1481-1))/AE1481)</x:f>
        <x:v>1</x:v>
      </x:c>
      <x:c r="AI1481" s="32" t="n">
        <x:f>(Z1481+v01_ElderCommons*INDEX(LM_Elder,G1481)*AA1481)*AH1481</x:f>
        <x:v>64139.732591141874</x:v>
      </x:c>
      <x:c r="AJ1481" s="32" t="n">
        <x:f>H1481*v01_CommonsCoef*AI1481^v01_CommonsExp*INDEX(LM_Commons,G1481)</x:f>
        <x:v>0</x:v>
      </x:c>
      <x:c r="AK1481" s="32" t="n">
        <x:f>H1481*v01_RoleScale*Arch_Roles*(AE1481*(INDEX(v01_ElderRolePerSett,G1481)*v01_OutElder*INDEX(LM_Elder,G1481)+INDEX(v01_ShamanPerSett,G1481)*v01_OutShaman)+Z1481*(INDEX(v01_PriestShare,G1481)*v01_OutPriest+INDEX(v01_ScribeShare,G1481)*v01_OutScribe*INDEX(LM_Scribe,G1481)+INDEX(v01_ScholarShare,G1481)*v01_OutScholar*INDEX(LM_Scholar,G1481)+INDEX(v01_ResearcherShare,G1481)*v01_OutResearcher*INDEX(LM_Researcher,G1481)))</x:f>
        <x:v>0</x:v>
      </x:c>
      <x:c r="AL1481" s="32" t="n">
        <x:f>H1481*v01_RoleScale*Arch_Roles*AE1481*INDEX(v01_MonasteryPerSett,G1481)*v01_OutMonastery*INDEX(LM_Monastery,G1481)</x:f>
        <x:v>0</x:v>
      </x:c>
      <x:c r="AM1481" s="32" t="n">
        <x:f>(AJ1481+AK1481+AL1481)/4*INDEX(LM_All,G1481)*INDEX(v01_Boon,G1481)*Arch_Insight</x:f>
        <x:v>0</x:v>
      </x:c>
      <x:c r="AN1481" s="32" t="n">
        <x:f>H1481*(v01_KHPerAdult*Z1481+v01_KHOfCommons*AJ1481/4*INDEX(LM_All,G1481))*v01_KHUsable*Arch_KH</x:f>
        <x:v>0</x:v>
      </x:c>
      <x:c r="AO1481" s="32" t="n">
        <x:f>MIN(AP1480+AN1481,AM1481*v01_KHMaxRatio)</x:f>
        <x:v>0</x:v>
      </x:c>
      <x:c r="AP1481" s="32" t="n">
        <x:f>AP1480+AN1481-AO1481</x:f>
        <x:v>0</x:v>
      </x:c>
      <x:c r="AQ1481" s="32" t="n">
        <x:f>AM1481+AO1481</x:f>
        <x:v>0</x:v>
      </x:c>
      <x:c r="AR1481" s="10" t="n">
        <x:f>IF(H1481=1,INDEX(v01_Req,G1481),0)</x:f>
        <x:v>0</x:v>
      </x:c>
      <x:c r="AS1481" s="32" t="n">
        <x:f>IF(H1481=1,IF(E1481=1,AS1480-AR1480,AS1480)+AQ1481,0)</x:f>
        <x:v>0</x:v>
      </x:c>
      <x:c r="AT1481" s="11" t="n">
        <x:f>IF(AR1481&gt;0,MIN(1,AS1481/AR1481),1)</x:f>
        <x:v>1</x:v>
      </x:c>
      <x:c r="AU1481" s="10" t="n">
        <x:f>AB1481/INDEX(v01_RepScale,G1481)</x:f>
        <x:v>90.09519605746344</x:v>
      </x:c>
      <x:c r="AV1481" s="32" t="n">
        <x:f>AM1481*60/v01_SeasonSeconds</x:f>
        <x:v>0</x:v>
      </x:c>
    </x:row>
    <x:row r="1482">
      <x:c r="A1482" s="8" t="n">
        <x:f>A1481+1</x:f>
        <x:v>1479</x:v>
      </x:c>
      <x:c r="B1482" s="9" t="n">
        <x:f>A1482*v01_SeasonSeconds/60</x:f>
        <x:v>369.75</x:v>
      </x:c>
      <x:c r="C1482" s="9" t="n">
        <x:f>A1482/4</x:f>
        <x:v>369.75</x:v>
      </x:c>
      <x:c r="D1482" s="8" t="n">
        <x:f>IF(MOD(A1482,4)=0,1,0)</x:f>
        <x:v>0</x:v>
      </x:c>
      <x:c r="E1482" s="8" t="n">
        <x:f>IF(AND(F1481&lt;=9,AS1481&gt;=AR1481),1,0)</x:f>
        <x:v>0</x:v>
      </x:c>
      <x:c r="F1482" s="8" t="n">
        <x:f>MIN(10,F1481+E1482)</x:f>
        <x:v>10</x:v>
      </x:c>
      <x:c r="G1482" s="8" t="n">
        <x:f>MIN(F1482,9)+1</x:f>
        <x:v>10</x:v>
      </x:c>
      <x:c r="H1482" s="8" t="n">
        <x:f>IF(F1482&lt;=9,1,0)</x:f>
        <x:v>0</x:v>
      </x:c>
      <x:c r="I1482" s="9" t="n">
        <x:f>MIN(10,F1481+IF(AR1481&gt;0,MIN(1,AS1481/AR1481),1))</x:f>
        <x:v>10</x:v>
      </x:c>
      <x:c r="J1482" s="32" t="n">
        <x:f>INDEX(v01_FoodCap,G1482)*Arch_FoodCap*EXP(v01_CapsByProject*SUMPRODUCT((Cap_Point&lt;=I1482)*(Cap_Kind="Food")*Cap_Ln))</x:f>
        <x:v>12000</x:v>
      </x:c>
      <x:c r="K1482" s="32" t="n">
        <x:f>J1482*MIN(1,v01_LeanBase*EXP(v01_CapsByProject*SUMPRODUCT((Cap_Point&lt;=I1482)*(Cap_Kind="Lean")*Cap_Ln)))</x:f>
        <x:v>12000</x:v>
      </x:c>
      <x:c r="L1482" s="10" t="n">
        <x:f>INDEX(v01_HousingCap,G1482)*EXP(v01_CapsByProject*SUMPRODUCT((Cap_Point&lt;=I1482)*(Cap_Kind="Housing")*Cap_Ln))</x:f>
        <x:v>20000</x:v>
      </x:c>
      <x:c r="M1482" s="10" t="n">
        <x:f>INDEX(v01_GroupCap,G1482)*v01_CohesionFactor*EXP(v01_CapsByProject*SUMPRODUCT((Cap_Point&lt;=I1482)*(Cap_Kind="Group")*Cap_Ln))</x:f>
        <x:v>1000000</x:v>
      </x:c>
      <x:c r="N1482" s="32" t="n">
        <x:f>MIN(J1482,L1482,M1482)</x:f>
        <x:v>12000</x:v>
      </x:c>
      <x:c r="O1482" s="10" t="n">
        <x:f>AE1481*N1482</x:f>
        <x:v>180000</x:v>
      </x:c>
      <x:c r="P1482" s="9" t="n">
        <x:f>MIN(1,(AB1481/(AE1481*IF(v01_GroupInCrowding=1,N1482,MIN(J1482,L1482))))^v01_CrowdingExp)</x:f>
        <x:v>0.00024569414295285325</x:v>
      </x:c>
      <x:c r="Q1482" s="9" t="n">
        <x:f>IF(D1482=1,INDEX(v01_WinterMult,G1482),1)</x:f>
        <x:v>1</x:v>
      </x:c>
      <x:c r="R1482" s="9" t="n">
        <x:f>H1482*Z1481*v01_WomenShare*v01_BaseFertility*INDEX(v01_FertMult,G1482)*Arch_Fertility*(1-P1482)</x:f>
        <x:v>0</x:v>
      </x:c>
      <x:c r="S1482" s="9" t="n">
        <x:f>H1482*Y1481*INDEX(v01_MortChild,G1482)/4*Q1482</x:f>
        <x:v>0</x:v>
      </x:c>
      <x:c r="T1482" s="9" t="n">
        <x:f>H1482*Z1481*INDEX(v01_MortAdult,G1482)*Arch_AdultMort/4*Q1482</x:f>
        <x:v>0</x:v>
      </x:c>
      <x:c r="U1482" s="9" t="n">
        <x:f>H1482*AA1481*INDEX(v01_MortElder,G1482)/4*Q1482</x:f>
        <x:v>0</x:v>
      </x:c>
      <x:c r="V1482" s="9" t="n">
        <x:f>H1482*MAX(0,AB1481-O1482)*v01_OvercapLoss</x:f>
        <x:v>0</x:v>
      </x:c>
      <x:c r="W1482" s="9" t="n">
        <x:f>H1482*Y1481/(v01_ChildYears*4)</x:f>
        <x:v>0</x:v>
      </x:c>
      <x:c r="X1482" s="9" t="n">
        <x:f>H1482*Z1481/(v01_AdultYears*4)</x:f>
        <x:v>0</x:v>
      </x:c>
      <x:c r="Y1482" s="32" t="n">
        <x:f>Y1481+R1482-S1482-W1482-Y1481*V1482/AB1481</x:f>
        <x:v>14306.18539759397</x:v>
      </x:c>
      <x:c r="Z1482" s="32" t="n">
        <x:f>Z1481+W1482-X1482-T1482-Z1481*V1482/AB1481</x:f>
        <x:v>19354.456567879548</x:v>
      </x:c>
      <x:c r="AA1482" s="32" t="n">
        <x:f>AA1481+X1482-U1482-AA1481*V1482/AB1481</x:f>
        <x:v>11386.956063258198</x:v>
      </x:c>
      <x:c r="AB1482" s="10" t="n">
        <x:f>Y1482+Z1482+AA1482</x:f>
        <x:v>45047.59802873172</x:v>
      </x:c>
      <x:c r="AC1482" s="8" t="n">
        <x:f>IF(AND(v01_WinterTrigger=1,D1482=1,AB1481/AE1481&gt;=K1482),1,0)</x:f>
        <x:v>0</x:v>
      </x:c>
      <x:c r="AD1482" s="8" t="n">
        <x:f>H1482*IF(AND(OR(AB1481/AE1481&gt;=v01_FissionTrigger*N1482,AC1482=1),AB1481/AE1481*v01_DaughterShare&gt;=v01_MinDaughter),MAX(1,ROUND(AE1481*v01_FissionRate,0)),0)</x:f>
        <x:v>0</x:v>
      </x:c>
      <x:c r="AE1482" s="8" t="n">
        <x:f>IF(H1482=1,MAX(1,MIN(INDEX(v01_Smax,G1482),AE1481+AD1482)),AE1481)</x:f>
        <x:v>15</x:v>
      </x:c>
      <x:c r="AF1482" s="8" t="n">
        <x:f>MAX(0,AE1482-AE1481)</x:f>
        <x:v>0</x:v>
      </x:c>
      <x:c r="AG1482" s="9" t="str">
        <x:f>IF(AF1482&gt;0,B1482,"")</x:f>
      </x:c>
      <x:c r="AH1482" s="9" t="n">
        <x:f>IF(F1482&gt;=1,1,(1+v01_LowTiesShare*(AE1482-1))/AE1482)</x:f>
        <x:v>1</x:v>
      </x:c>
      <x:c r="AI1482" s="32" t="n">
        <x:f>(Z1482+v01_ElderCommons*INDEX(LM_Elder,G1482)*AA1482)*AH1482</x:f>
        <x:v>64139.732591141874</x:v>
      </x:c>
      <x:c r="AJ1482" s="32" t="n">
        <x:f>H1482*v01_CommonsCoef*AI1482^v01_CommonsExp*INDEX(LM_Commons,G1482)</x:f>
        <x:v>0</x:v>
      </x:c>
      <x:c r="AK1482" s="32" t="n">
        <x:f>H1482*v01_RoleScale*Arch_Roles*(AE1482*(INDEX(v01_ElderRolePerSett,G1482)*v01_OutElder*INDEX(LM_Elder,G1482)+INDEX(v01_ShamanPerSett,G1482)*v01_OutShaman)+Z1482*(INDEX(v01_PriestShare,G1482)*v01_OutPriest+INDEX(v01_ScribeShare,G1482)*v01_OutScribe*INDEX(LM_Scribe,G1482)+INDEX(v01_ScholarShare,G1482)*v01_OutScholar*INDEX(LM_Scholar,G1482)+INDEX(v01_ResearcherShare,G1482)*v01_OutResearcher*INDEX(LM_Researcher,G1482)))</x:f>
        <x:v>0</x:v>
      </x:c>
      <x:c r="AL1482" s="32" t="n">
        <x:f>H1482*v01_RoleScale*Arch_Roles*AE1482*INDEX(v01_MonasteryPerSett,G1482)*v01_OutMonastery*INDEX(LM_Monastery,G1482)</x:f>
        <x:v>0</x:v>
      </x:c>
      <x:c r="AM1482" s="32" t="n">
        <x:f>(AJ1482+AK1482+AL1482)/4*INDEX(LM_All,G1482)*INDEX(v01_Boon,G1482)*Arch_Insight</x:f>
        <x:v>0</x:v>
      </x:c>
      <x:c r="AN1482" s="32" t="n">
        <x:f>H1482*(v01_KHPerAdult*Z1482+v01_KHOfCommons*AJ1482/4*INDEX(LM_All,G1482))*v01_KHUsable*Arch_KH</x:f>
        <x:v>0</x:v>
      </x:c>
      <x:c r="AO1482" s="32" t="n">
        <x:f>MIN(AP1481+AN1482,AM1482*v01_KHMaxRatio)</x:f>
        <x:v>0</x:v>
      </x:c>
      <x:c r="AP1482" s="32" t="n">
        <x:f>AP1481+AN1482-AO1482</x:f>
        <x:v>0</x:v>
      </x:c>
      <x:c r="AQ1482" s="32" t="n">
        <x:f>AM1482+AO1482</x:f>
        <x:v>0</x:v>
      </x:c>
      <x:c r="AR1482" s="10" t="n">
        <x:f>IF(H1482=1,INDEX(v01_Req,G1482),0)</x:f>
        <x:v>0</x:v>
      </x:c>
      <x:c r="AS1482" s="32" t="n">
        <x:f>IF(H1482=1,IF(E1482=1,AS1481-AR1481,AS1481)+AQ1482,0)</x:f>
        <x:v>0</x:v>
      </x:c>
      <x:c r="AT1482" s="11" t="n">
        <x:f>IF(AR1482&gt;0,MIN(1,AS1482/AR1482),1)</x:f>
        <x:v>1</x:v>
      </x:c>
      <x:c r="AU1482" s="10" t="n">
        <x:f>AB1482/INDEX(v01_RepScale,G1482)</x:f>
        <x:v>90.09519605746344</x:v>
      </x:c>
      <x:c r="AV1482" s="32" t="n">
        <x:f>AM1482*60/v01_SeasonSeconds</x:f>
        <x:v>0</x:v>
      </x:c>
    </x:row>
    <x:row r="1483">
      <x:c r="A1483" s="8" t="n">
        <x:f>A1482+1</x:f>
        <x:v>1480</x:v>
      </x:c>
      <x:c r="B1483" s="9" t="n">
        <x:f>A1483*v01_SeasonSeconds/60</x:f>
        <x:v>370</x:v>
      </x:c>
      <x:c r="C1483" s="9" t="n">
        <x:f>A1483/4</x:f>
        <x:v>370</x:v>
      </x:c>
      <x:c r="D1483" s="8" t="n">
        <x:f>IF(MOD(A1483,4)=0,1,0)</x:f>
        <x:v>1</x:v>
      </x:c>
      <x:c r="E1483" s="8" t="n">
        <x:f>IF(AND(F1482&lt;=9,AS1482&gt;=AR1482),1,0)</x:f>
        <x:v>0</x:v>
      </x:c>
      <x:c r="F1483" s="8" t="n">
        <x:f>MIN(10,F1482+E1483)</x:f>
        <x:v>10</x:v>
      </x:c>
      <x:c r="G1483" s="8" t="n">
        <x:f>MIN(F1483,9)+1</x:f>
        <x:v>10</x:v>
      </x:c>
      <x:c r="H1483" s="8" t="n">
        <x:f>IF(F1483&lt;=9,1,0)</x:f>
        <x:v>0</x:v>
      </x:c>
      <x:c r="I1483" s="9" t="n">
        <x:f>MIN(10,F1482+IF(AR1482&gt;0,MIN(1,AS1482/AR1482),1))</x:f>
        <x:v>10</x:v>
      </x:c>
      <x:c r="J1483" s="32" t="n">
        <x:f>INDEX(v01_FoodCap,G1483)*Arch_FoodCap*EXP(v01_CapsByProject*SUMPRODUCT((Cap_Point&lt;=I1483)*(Cap_Kind="Food")*Cap_Ln))</x:f>
        <x:v>12000</x:v>
      </x:c>
      <x:c r="K1483" s="32" t="n">
        <x:f>J1483*MIN(1,v01_LeanBase*EXP(v01_CapsByProject*SUMPRODUCT((Cap_Point&lt;=I1483)*(Cap_Kind="Lean")*Cap_Ln)))</x:f>
        <x:v>12000</x:v>
      </x:c>
      <x:c r="L1483" s="10" t="n">
        <x:f>INDEX(v01_HousingCap,G1483)*EXP(v01_CapsByProject*SUMPRODUCT((Cap_Point&lt;=I1483)*(Cap_Kind="Housing")*Cap_Ln))</x:f>
        <x:v>20000</x:v>
      </x:c>
      <x:c r="M1483" s="10" t="n">
        <x:f>INDEX(v01_GroupCap,G1483)*v01_CohesionFactor*EXP(v01_CapsByProject*SUMPRODUCT((Cap_Point&lt;=I1483)*(Cap_Kind="Group")*Cap_Ln))</x:f>
        <x:v>1000000</x:v>
      </x:c>
      <x:c r="N1483" s="32" t="n">
        <x:f>MIN(J1483,L1483,M1483)</x:f>
        <x:v>12000</x:v>
      </x:c>
      <x:c r="O1483" s="10" t="n">
        <x:f>AE1482*N1483</x:f>
        <x:v>180000</x:v>
      </x:c>
      <x:c r="P1483" s="9" t="n">
        <x:f>MIN(1,(AB1482/(AE1482*IF(v01_GroupInCrowding=1,N1483,MIN(J1483,L1483))))^v01_CrowdingExp)</x:f>
        <x:v>0.00024569414295285325</x:v>
      </x:c>
      <x:c r="Q1483" s="9" t="n">
        <x:f>IF(D1483=1,INDEX(v01_WinterMult,G1483),1)</x:f>
        <x:v>1</x:v>
      </x:c>
      <x:c r="R1483" s="9" t="n">
        <x:f>H1483*Z1482*v01_WomenShare*v01_BaseFertility*INDEX(v01_FertMult,G1483)*Arch_Fertility*(1-P1483)</x:f>
        <x:v>0</x:v>
      </x:c>
      <x:c r="S1483" s="9" t="n">
        <x:f>H1483*Y1482*INDEX(v01_MortChild,G1483)/4*Q1483</x:f>
        <x:v>0</x:v>
      </x:c>
      <x:c r="T1483" s="9" t="n">
        <x:f>H1483*Z1482*INDEX(v01_MortAdult,G1483)*Arch_AdultMort/4*Q1483</x:f>
        <x:v>0</x:v>
      </x:c>
      <x:c r="U1483" s="9" t="n">
        <x:f>H1483*AA1482*INDEX(v01_MortElder,G1483)/4*Q1483</x:f>
        <x:v>0</x:v>
      </x:c>
      <x:c r="V1483" s="9" t="n">
        <x:f>H1483*MAX(0,AB1482-O1483)*v01_OvercapLoss</x:f>
        <x:v>0</x:v>
      </x:c>
      <x:c r="W1483" s="9" t="n">
        <x:f>H1483*Y1482/(v01_ChildYears*4)</x:f>
        <x:v>0</x:v>
      </x:c>
      <x:c r="X1483" s="9" t="n">
        <x:f>H1483*Z1482/(v01_AdultYears*4)</x:f>
        <x:v>0</x:v>
      </x:c>
      <x:c r="Y1483" s="32" t="n">
        <x:f>Y1482+R1483-S1483-W1483-Y1482*V1483/AB1482</x:f>
        <x:v>14306.18539759397</x:v>
      </x:c>
      <x:c r="Z1483" s="32" t="n">
        <x:f>Z1482+W1483-X1483-T1483-Z1482*V1483/AB1482</x:f>
        <x:v>19354.456567879548</x:v>
      </x:c>
      <x:c r="AA1483" s="32" t="n">
        <x:f>AA1482+X1483-U1483-AA1482*V1483/AB1482</x:f>
        <x:v>11386.956063258198</x:v>
      </x:c>
      <x:c r="AB1483" s="10" t="n">
        <x:f>Y1483+Z1483+AA1483</x:f>
        <x:v>45047.59802873172</x:v>
      </x:c>
      <x:c r="AC1483" s="8" t="n">
        <x:f>IF(AND(v01_WinterTrigger=1,D1483=1,AB1482/AE1482&gt;=K1483),1,0)</x:f>
        <x:v>0</x:v>
      </x:c>
      <x:c r="AD1483" s="8" t="n">
        <x:f>H1483*IF(AND(OR(AB1482/AE1482&gt;=v01_FissionTrigger*N1483,AC1483=1),AB1482/AE1482*v01_DaughterShare&gt;=v01_MinDaughter),MAX(1,ROUND(AE1482*v01_FissionRate,0)),0)</x:f>
        <x:v>0</x:v>
      </x:c>
      <x:c r="AE1483" s="8" t="n">
        <x:f>IF(H1483=1,MAX(1,MIN(INDEX(v01_Smax,G1483),AE1482+AD1483)),AE1482)</x:f>
        <x:v>15</x:v>
      </x:c>
      <x:c r="AF1483" s="8" t="n">
        <x:f>MAX(0,AE1483-AE1482)</x:f>
        <x:v>0</x:v>
      </x:c>
      <x:c r="AG1483" s="9" t="str">
        <x:f>IF(AF1483&gt;0,B1483,"")</x:f>
      </x:c>
      <x:c r="AH1483" s="9" t="n">
        <x:f>IF(F1483&gt;=1,1,(1+v01_LowTiesShare*(AE1483-1))/AE1483)</x:f>
        <x:v>1</x:v>
      </x:c>
      <x:c r="AI1483" s="32" t="n">
        <x:f>(Z1483+v01_ElderCommons*INDEX(LM_Elder,G1483)*AA1483)*AH1483</x:f>
        <x:v>64139.732591141874</x:v>
      </x:c>
      <x:c r="AJ1483" s="32" t="n">
        <x:f>H1483*v01_CommonsCoef*AI1483^v01_CommonsExp*INDEX(LM_Commons,G1483)</x:f>
        <x:v>0</x:v>
      </x:c>
      <x:c r="AK1483" s="32" t="n">
        <x:f>H1483*v01_RoleScale*Arch_Roles*(AE1483*(INDEX(v01_ElderRolePerSett,G1483)*v01_OutElder*INDEX(LM_Elder,G1483)+INDEX(v01_ShamanPerSett,G1483)*v01_OutShaman)+Z1483*(INDEX(v01_PriestShare,G1483)*v01_OutPriest+INDEX(v01_ScribeShare,G1483)*v01_OutScribe*INDEX(LM_Scribe,G1483)+INDEX(v01_ScholarShare,G1483)*v01_OutScholar*INDEX(LM_Scholar,G1483)+INDEX(v01_ResearcherShare,G1483)*v01_OutResearcher*INDEX(LM_Researcher,G1483)))</x:f>
        <x:v>0</x:v>
      </x:c>
      <x:c r="AL1483" s="32" t="n">
        <x:f>H1483*v01_RoleScale*Arch_Roles*AE1483*INDEX(v01_MonasteryPerSett,G1483)*v01_OutMonastery*INDEX(LM_Monastery,G1483)</x:f>
        <x:v>0</x:v>
      </x:c>
      <x:c r="AM1483" s="32" t="n">
        <x:f>(AJ1483+AK1483+AL1483)/4*INDEX(LM_All,G1483)*INDEX(v01_Boon,G1483)*Arch_Insight</x:f>
        <x:v>0</x:v>
      </x:c>
      <x:c r="AN1483" s="32" t="n">
        <x:f>H1483*(v01_KHPerAdult*Z1483+v01_KHOfCommons*AJ1483/4*INDEX(LM_All,G1483))*v01_KHUsable*Arch_KH</x:f>
        <x:v>0</x:v>
      </x:c>
      <x:c r="AO1483" s="32" t="n">
        <x:f>MIN(AP1482+AN1483,AM1483*v01_KHMaxRatio)</x:f>
        <x:v>0</x:v>
      </x:c>
      <x:c r="AP1483" s="32" t="n">
        <x:f>AP1482+AN1483-AO1483</x:f>
        <x:v>0</x:v>
      </x:c>
      <x:c r="AQ1483" s="32" t="n">
        <x:f>AM1483+AO1483</x:f>
        <x:v>0</x:v>
      </x:c>
      <x:c r="AR1483" s="10" t="n">
        <x:f>IF(H1483=1,INDEX(v01_Req,G1483),0)</x:f>
        <x:v>0</x:v>
      </x:c>
      <x:c r="AS1483" s="32" t="n">
        <x:f>IF(H1483=1,IF(E1483=1,AS1482-AR1482,AS1482)+AQ1483,0)</x:f>
        <x:v>0</x:v>
      </x:c>
      <x:c r="AT1483" s="11" t="n">
        <x:f>IF(AR1483&gt;0,MIN(1,AS1483/AR1483),1)</x:f>
        <x:v>1</x:v>
      </x:c>
      <x:c r="AU1483" s="10" t="n">
        <x:f>AB1483/INDEX(v01_RepScale,G1483)</x:f>
        <x:v>90.09519605746344</x:v>
      </x:c>
      <x:c r="AV1483" s="32" t="n">
        <x:f>AM1483*60/v01_SeasonSeconds</x:f>
        <x:v>0</x:v>
      </x:c>
    </x:row>
    <x:row r="1484">
      <x:c r="A1484" s="8" t="n">
        <x:f>A1483+1</x:f>
        <x:v>1481</x:v>
      </x:c>
      <x:c r="B1484" s="9" t="n">
        <x:f>A1484*v01_SeasonSeconds/60</x:f>
        <x:v>370.25</x:v>
      </x:c>
      <x:c r="C1484" s="9" t="n">
        <x:f>A1484/4</x:f>
        <x:v>370.25</x:v>
      </x:c>
      <x:c r="D1484" s="8" t="n">
        <x:f>IF(MOD(A1484,4)=0,1,0)</x:f>
        <x:v>0</x:v>
      </x:c>
      <x:c r="E1484" s="8" t="n">
        <x:f>IF(AND(F1483&lt;=9,AS1483&gt;=AR1483),1,0)</x:f>
        <x:v>0</x:v>
      </x:c>
      <x:c r="F1484" s="8" t="n">
        <x:f>MIN(10,F1483+E1484)</x:f>
        <x:v>10</x:v>
      </x:c>
      <x:c r="G1484" s="8" t="n">
        <x:f>MIN(F1484,9)+1</x:f>
        <x:v>10</x:v>
      </x:c>
      <x:c r="H1484" s="8" t="n">
        <x:f>IF(F1484&lt;=9,1,0)</x:f>
        <x:v>0</x:v>
      </x:c>
      <x:c r="I1484" s="9" t="n">
        <x:f>MIN(10,F1483+IF(AR1483&gt;0,MIN(1,AS1483/AR1483),1))</x:f>
        <x:v>10</x:v>
      </x:c>
      <x:c r="J1484" s="32" t="n">
        <x:f>INDEX(v01_FoodCap,G1484)*Arch_FoodCap*EXP(v01_CapsByProject*SUMPRODUCT((Cap_Point&lt;=I1484)*(Cap_Kind="Food")*Cap_Ln))</x:f>
        <x:v>12000</x:v>
      </x:c>
      <x:c r="K1484" s="32" t="n">
        <x:f>J1484*MIN(1,v01_LeanBase*EXP(v01_CapsByProject*SUMPRODUCT((Cap_Point&lt;=I1484)*(Cap_Kind="Lean")*Cap_Ln)))</x:f>
        <x:v>12000</x:v>
      </x:c>
      <x:c r="L1484" s="10" t="n">
        <x:f>INDEX(v01_HousingCap,G1484)*EXP(v01_CapsByProject*SUMPRODUCT((Cap_Point&lt;=I1484)*(Cap_Kind="Housing")*Cap_Ln))</x:f>
        <x:v>20000</x:v>
      </x:c>
      <x:c r="M1484" s="10" t="n">
        <x:f>INDEX(v01_GroupCap,G1484)*v01_CohesionFactor*EXP(v01_CapsByProject*SUMPRODUCT((Cap_Point&lt;=I1484)*(Cap_Kind="Group")*Cap_Ln))</x:f>
        <x:v>1000000</x:v>
      </x:c>
      <x:c r="N1484" s="32" t="n">
        <x:f>MIN(J1484,L1484,M1484)</x:f>
        <x:v>12000</x:v>
      </x:c>
      <x:c r="O1484" s="10" t="n">
        <x:f>AE1483*N1484</x:f>
        <x:v>180000</x:v>
      </x:c>
      <x:c r="P1484" s="9" t="n">
        <x:f>MIN(1,(AB1483/(AE1483*IF(v01_GroupInCrowding=1,N1484,MIN(J1484,L1484))))^v01_CrowdingExp)</x:f>
        <x:v>0.00024569414295285325</x:v>
      </x:c>
      <x:c r="Q1484" s="9" t="n">
        <x:f>IF(D1484=1,INDEX(v01_WinterMult,G1484),1)</x:f>
        <x:v>1</x:v>
      </x:c>
      <x:c r="R1484" s="9" t="n">
        <x:f>H1484*Z1483*v01_WomenShare*v01_BaseFertility*INDEX(v01_FertMult,G1484)*Arch_Fertility*(1-P1484)</x:f>
        <x:v>0</x:v>
      </x:c>
      <x:c r="S1484" s="9" t="n">
        <x:f>H1484*Y1483*INDEX(v01_MortChild,G1484)/4*Q1484</x:f>
        <x:v>0</x:v>
      </x:c>
      <x:c r="T1484" s="9" t="n">
        <x:f>H1484*Z1483*INDEX(v01_MortAdult,G1484)*Arch_AdultMort/4*Q1484</x:f>
        <x:v>0</x:v>
      </x:c>
      <x:c r="U1484" s="9" t="n">
        <x:f>H1484*AA1483*INDEX(v01_MortElder,G1484)/4*Q1484</x:f>
        <x:v>0</x:v>
      </x:c>
      <x:c r="V1484" s="9" t="n">
        <x:f>H1484*MAX(0,AB1483-O1484)*v01_OvercapLoss</x:f>
        <x:v>0</x:v>
      </x:c>
      <x:c r="W1484" s="9" t="n">
        <x:f>H1484*Y1483/(v01_ChildYears*4)</x:f>
        <x:v>0</x:v>
      </x:c>
      <x:c r="X1484" s="9" t="n">
        <x:f>H1484*Z1483/(v01_AdultYears*4)</x:f>
        <x:v>0</x:v>
      </x:c>
      <x:c r="Y1484" s="32" t="n">
        <x:f>Y1483+R1484-S1484-W1484-Y1483*V1484/AB1483</x:f>
        <x:v>14306.18539759397</x:v>
      </x:c>
      <x:c r="Z1484" s="32" t="n">
        <x:f>Z1483+W1484-X1484-T1484-Z1483*V1484/AB1483</x:f>
        <x:v>19354.456567879548</x:v>
      </x:c>
      <x:c r="AA1484" s="32" t="n">
        <x:f>AA1483+X1484-U1484-AA1483*V1484/AB1483</x:f>
        <x:v>11386.956063258198</x:v>
      </x:c>
      <x:c r="AB1484" s="10" t="n">
        <x:f>Y1484+Z1484+AA1484</x:f>
        <x:v>45047.59802873172</x:v>
      </x:c>
      <x:c r="AC1484" s="8" t="n">
        <x:f>IF(AND(v01_WinterTrigger=1,D1484=1,AB1483/AE1483&gt;=K1484),1,0)</x:f>
        <x:v>0</x:v>
      </x:c>
      <x:c r="AD1484" s="8" t="n">
        <x:f>H1484*IF(AND(OR(AB1483/AE1483&gt;=v01_FissionTrigger*N1484,AC1484=1),AB1483/AE1483*v01_DaughterShare&gt;=v01_MinDaughter),MAX(1,ROUND(AE1483*v01_FissionRate,0)),0)</x:f>
        <x:v>0</x:v>
      </x:c>
      <x:c r="AE1484" s="8" t="n">
        <x:f>IF(H1484=1,MAX(1,MIN(INDEX(v01_Smax,G1484),AE1483+AD1484)),AE1483)</x:f>
        <x:v>15</x:v>
      </x:c>
      <x:c r="AF1484" s="8" t="n">
        <x:f>MAX(0,AE1484-AE1483)</x:f>
        <x:v>0</x:v>
      </x:c>
      <x:c r="AG1484" s="9" t="str">
        <x:f>IF(AF1484&gt;0,B1484,"")</x:f>
      </x:c>
      <x:c r="AH1484" s="9" t="n">
        <x:f>IF(F1484&gt;=1,1,(1+v01_LowTiesShare*(AE1484-1))/AE1484)</x:f>
        <x:v>1</x:v>
      </x:c>
      <x:c r="AI1484" s="32" t="n">
        <x:f>(Z1484+v01_ElderCommons*INDEX(LM_Elder,G1484)*AA1484)*AH1484</x:f>
        <x:v>64139.732591141874</x:v>
      </x:c>
      <x:c r="AJ1484" s="32" t="n">
        <x:f>H1484*v01_CommonsCoef*AI1484^v01_CommonsExp*INDEX(LM_Commons,G1484)</x:f>
        <x:v>0</x:v>
      </x:c>
      <x:c r="AK1484" s="32" t="n">
        <x:f>H1484*v01_RoleScale*Arch_Roles*(AE1484*(INDEX(v01_ElderRolePerSett,G1484)*v01_OutElder*INDEX(LM_Elder,G1484)+INDEX(v01_ShamanPerSett,G1484)*v01_OutShaman)+Z1484*(INDEX(v01_PriestShare,G1484)*v01_OutPriest+INDEX(v01_ScribeShare,G1484)*v01_OutScribe*INDEX(LM_Scribe,G1484)+INDEX(v01_ScholarShare,G1484)*v01_OutScholar*INDEX(LM_Scholar,G1484)+INDEX(v01_ResearcherShare,G1484)*v01_OutResearcher*INDEX(LM_Researcher,G1484)))</x:f>
        <x:v>0</x:v>
      </x:c>
      <x:c r="AL1484" s="32" t="n">
        <x:f>H1484*v01_RoleScale*Arch_Roles*AE1484*INDEX(v01_MonasteryPerSett,G1484)*v01_OutMonastery*INDEX(LM_Monastery,G1484)</x:f>
        <x:v>0</x:v>
      </x:c>
      <x:c r="AM1484" s="32" t="n">
        <x:f>(AJ1484+AK1484+AL1484)/4*INDEX(LM_All,G1484)*INDEX(v01_Boon,G1484)*Arch_Insight</x:f>
        <x:v>0</x:v>
      </x:c>
      <x:c r="AN1484" s="32" t="n">
        <x:f>H1484*(v01_KHPerAdult*Z1484+v01_KHOfCommons*AJ1484/4*INDEX(LM_All,G1484))*v01_KHUsable*Arch_KH</x:f>
        <x:v>0</x:v>
      </x:c>
      <x:c r="AO1484" s="32" t="n">
        <x:f>MIN(AP1483+AN1484,AM1484*v01_KHMaxRatio)</x:f>
        <x:v>0</x:v>
      </x:c>
      <x:c r="AP1484" s="32" t="n">
        <x:f>AP1483+AN1484-AO1484</x:f>
        <x:v>0</x:v>
      </x:c>
      <x:c r="AQ1484" s="32" t="n">
        <x:f>AM1484+AO1484</x:f>
        <x:v>0</x:v>
      </x:c>
      <x:c r="AR1484" s="10" t="n">
        <x:f>IF(H1484=1,INDEX(v01_Req,G1484),0)</x:f>
        <x:v>0</x:v>
      </x:c>
      <x:c r="AS1484" s="32" t="n">
        <x:f>IF(H1484=1,IF(E1484=1,AS1483-AR1483,AS1483)+AQ1484,0)</x:f>
        <x:v>0</x:v>
      </x:c>
      <x:c r="AT1484" s="11" t="n">
        <x:f>IF(AR1484&gt;0,MIN(1,AS1484/AR1484),1)</x:f>
        <x:v>1</x:v>
      </x:c>
      <x:c r="AU1484" s="10" t="n">
        <x:f>AB1484/INDEX(v01_RepScale,G1484)</x:f>
        <x:v>90.09519605746344</x:v>
      </x:c>
      <x:c r="AV1484" s="32" t="n">
        <x:f>AM1484*60/v01_SeasonSeconds</x:f>
        <x:v>0</x:v>
      </x:c>
    </x:row>
    <x:row r="1485">
      <x:c r="A1485" s="8" t="n">
        <x:f>A1484+1</x:f>
        <x:v>1482</x:v>
      </x:c>
      <x:c r="B1485" s="9" t="n">
        <x:f>A1485*v01_SeasonSeconds/60</x:f>
        <x:v>370.5</x:v>
      </x:c>
      <x:c r="C1485" s="9" t="n">
        <x:f>A1485/4</x:f>
        <x:v>370.5</x:v>
      </x:c>
      <x:c r="D1485" s="8" t="n">
        <x:f>IF(MOD(A1485,4)=0,1,0)</x:f>
        <x:v>0</x:v>
      </x:c>
      <x:c r="E1485" s="8" t="n">
        <x:f>IF(AND(F1484&lt;=9,AS1484&gt;=AR1484),1,0)</x:f>
        <x:v>0</x:v>
      </x:c>
      <x:c r="F1485" s="8" t="n">
        <x:f>MIN(10,F1484+E1485)</x:f>
        <x:v>10</x:v>
      </x:c>
      <x:c r="G1485" s="8" t="n">
        <x:f>MIN(F1485,9)+1</x:f>
        <x:v>10</x:v>
      </x:c>
      <x:c r="H1485" s="8" t="n">
        <x:f>IF(F1485&lt;=9,1,0)</x:f>
        <x:v>0</x:v>
      </x:c>
      <x:c r="I1485" s="9" t="n">
        <x:f>MIN(10,F1484+IF(AR1484&gt;0,MIN(1,AS1484/AR1484),1))</x:f>
        <x:v>10</x:v>
      </x:c>
      <x:c r="J1485" s="32" t="n">
        <x:f>INDEX(v01_FoodCap,G1485)*Arch_FoodCap*EXP(v01_CapsByProject*SUMPRODUCT((Cap_Point&lt;=I1485)*(Cap_Kind="Food")*Cap_Ln))</x:f>
        <x:v>12000</x:v>
      </x:c>
      <x:c r="K1485" s="32" t="n">
        <x:f>J1485*MIN(1,v01_LeanBase*EXP(v01_CapsByProject*SUMPRODUCT((Cap_Point&lt;=I1485)*(Cap_Kind="Lean")*Cap_Ln)))</x:f>
        <x:v>12000</x:v>
      </x:c>
      <x:c r="L1485" s="10" t="n">
        <x:f>INDEX(v01_HousingCap,G1485)*EXP(v01_CapsByProject*SUMPRODUCT((Cap_Point&lt;=I1485)*(Cap_Kind="Housing")*Cap_Ln))</x:f>
        <x:v>20000</x:v>
      </x:c>
      <x:c r="M1485" s="10" t="n">
        <x:f>INDEX(v01_GroupCap,G1485)*v01_CohesionFactor*EXP(v01_CapsByProject*SUMPRODUCT((Cap_Point&lt;=I1485)*(Cap_Kind="Group")*Cap_Ln))</x:f>
        <x:v>1000000</x:v>
      </x:c>
      <x:c r="N1485" s="32" t="n">
        <x:f>MIN(J1485,L1485,M1485)</x:f>
        <x:v>12000</x:v>
      </x:c>
      <x:c r="O1485" s="10" t="n">
        <x:f>AE1484*N1485</x:f>
        <x:v>180000</x:v>
      </x:c>
      <x:c r="P1485" s="9" t="n">
        <x:f>MIN(1,(AB1484/(AE1484*IF(v01_GroupInCrowding=1,N1485,MIN(J1485,L1485))))^v01_CrowdingExp)</x:f>
        <x:v>0.00024569414295285325</x:v>
      </x:c>
      <x:c r="Q1485" s="9" t="n">
        <x:f>IF(D1485=1,INDEX(v01_WinterMult,G1485),1)</x:f>
        <x:v>1</x:v>
      </x:c>
      <x:c r="R1485" s="9" t="n">
        <x:f>H1485*Z1484*v01_WomenShare*v01_BaseFertility*INDEX(v01_FertMult,G1485)*Arch_Fertility*(1-P1485)</x:f>
        <x:v>0</x:v>
      </x:c>
      <x:c r="S1485" s="9" t="n">
        <x:f>H1485*Y1484*INDEX(v01_MortChild,G1485)/4*Q1485</x:f>
        <x:v>0</x:v>
      </x:c>
      <x:c r="T1485" s="9" t="n">
        <x:f>H1485*Z1484*INDEX(v01_MortAdult,G1485)*Arch_AdultMort/4*Q1485</x:f>
        <x:v>0</x:v>
      </x:c>
      <x:c r="U1485" s="9" t="n">
        <x:f>H1485*AA1484*INDEX(v01_MortElder,G1485)/4*Q1485</x:f>
        <x:v>0</x:v>
      </x:c>
      <x:c r="V1485" s="9" t="n">
        <x:f>H1485*MAX(0,AB1484-O1485)*v01_OvercapLoss</x:f>
        <x:v>0</x:v>
      </x:c>
      <x:c r="W1485" s="9" t="n">
        <x:f>H1485*Y1484/(v01_ChildYears*4)</x:f>
        <x:v>0</x:v>
      </x:c>
      <x:c r="X1485" s="9" t="n">
        <x:f>H1485*Z1484/(v01_AdultYears*4)</x:f>
        <x:v>0</x:v>
      </x:c>
      <x:c r="Y1485" s="32" t="n">
        <x:f>Y1484+R1485-S1485-W1485-Y1484*V1485/AB1484</x:f>
        <x:v>14306.18539759397</x:v>
      </x:c>
      <x:c r="Z1485" s="32" t="n">
        <x:f>Z1484+W1485-X1485-T1485-Z1484*V1485/AB1484</x:f>
        <x:v>19354.456567879548</x:v>
      </x:c>
      <x:c r="AA1485" s="32" t="n">
        <x:f>AA1484+X1485-U1485-AA1484*V1485/AB1484</x:f>
        <x:v>11386.956063258198</x:v>
      </x:c>
      <x:c r="AB1485" s="10" t="n">
        <x:f>Y1485+Z1485+AA1485</x:f>
        <x:v>45047.59802873172</x:v>
      </x:c>
      <x:c r="AC1485" s="8" t="n">
        <x:f>IF(AND(v01_WinterTrigger=1,D1485=1,AB1484/AE1484&gt;=K1485),1,0)</x:f>
        <x:v>0</x:v>
      </x:c>
      <x:c r="AD1485" s="8" t="n">
        <x:f>H1485*IF(AND(OR(AB1484/AE1484&gt;=v01_FissionTrigger*N1485,AC1485=1),AB1484/AE1484*v01_DaughterShare&gt;=v01_MinDaughter),MAX(1,ROUND(AE1484*v01_FissionRate,0)),0)</x:f>
        <x:v>0</x:v>
      </x:c>
      <x:c r="AE1485" s="8" t="n">
        <x:f>IF(H1485=1,MAX(1,MIN(INDEX(v01_Smax,G1485),AE1484+AD1485)),AE1484)</x:f>
        <x:v>15</x:v>
      </x:c>
      <x:c r="AF1485" s="8" t="n">
        <x:f>MAX(0,AE1485-AE1484)</x:f>
        <x:v>0</x:v>
      </x:c>
      <x:c r="AG1485" s="9" t="str">
        <x:f>IF(AF1485&gt;0,B1485,"")</x:f>
      </x:c>
      <x:c r="AH1485" s="9" t="n">
        <x:f>IF(F1485&gt;=1,1,(1+v01_LowTiesShare*(AE1485-1))/AE1485)</x:f>
        <x:v>1</x:v>
      </x:c>
      <x:c r="AI1485" s="32" t="n">
        <x:f>(Z1485+v01_ElderCommons*INDEX(LM_Elder,G1485)*AA1485)*AH1485</x:f>
        <x:v>64139.732591141874</x:v>
      </x:c>
      <x:c r="AJ1485" s="32" t="n">
        <x:f>H1485*v01_CommonsCoef*AI1485^v01_CommonsExp*INDEX(LM_Commons,G1485)</x:f>
        <x:v>0</x:v>
      </x:c>
      <x:c r="AK1485" s="32" t="n">
        <x:f>H1485*v01_RoleScale*Arch_Roles*(AE1485*(INDEX(v01_ElderRolePerSett,G1485)*v01_OutElder*INDEX(LM_Elder,G1485)+INDEX(v01_ShamanPerSett,G1485)*v01_OutShaman)+Z1485*(INDEX(v01_PriestShare,G1485)*v01_OutPriest+INDEX(v01_ScribeShare,G1485)*v01_OutScribe*INDEX(LM_Scribe,G1485)+INDEX(v01_ScholarShare,G1485)*v01_OutScholar*INDEX(LM_Scholar,G1485)+INDEX(v01_ResearcherShare,G1485)*v01_OutResearcher*INDEX(LM_Researcher,G1485)))</x:f>
        <x:v>0</x:v>
      </x:c>
      <x:c r="AL1485" s="32" t="n">
        <x:f>H1485*v01_RoleScale*Arch_Roles*AE1485*INDEX(v01_MonasteryPerSett,G1485)*v01_OutMonastery*INDEX(LM_Monastery,G1485)</x:f>
        <x:v>0</x:v>
      </x:c>
      <x:c r="AM1485" s="32" t="n">
        <x:f>(AJ1485+AK1485+AL1485)/4*INDEX(LM_All,G1485)*INDEX(v01_Boon,G1485)*Arch_Insight</x:f>
        <x:v>0</x:v>
      </x:c>
      <x:c r="AN1485" s="32" t="n">
        <x:f>H1485*(v01_KHPerAdult*Z1485+v01_KHOfCommons*AJ1485/4*INDEX(LM_All,G1485))*v01_KHUsable*Arch_KH</x:f>
        <x:v>0</x:v>
      </x:c>
      <x:c r="AO1485" s="32" t="n">
        <x:f>MIN(AP1484+AN1485,AM1485*v01_KHMaxRatio)</x:f>
        <x:v>0</x:v>
      </x:c>
      <x:c r="AP1485" s="32" t="n">
        <x:f>AP1484+AN1485-AO1485</x:f>
        <x:v>0</x:v>
      </x:c>
      <x:c r="AQ1485" s="32" t="n">
        <x:f>AM1485+AO1485</x:f>
        <x:v>0</x:v>
      </x:c>
      <x:c r="AR1485" s="10" t="n">
        <x:f>IF(H1485=1,INDEX(v01_Req,G1485),0)</x:f>
        <x:v>0</x:v>
      </x:c>
      <x:c r="AS1485" s="32" t="n">
        <x:f>IF(H1485=1,IF(E1485=1,AS1484-AR1484,AS1484)+AQ1485,0)</x:f>
        <x:v>0</x:v>
      </x:c>
      <x:c r="AT1485" s="11" t="n">
        <x:f>IF(AR1485&gt;0,MIN(1,AS1485/AR1485),1)</x:f>
        <x:v>1</x:v>
      </x:c>
      <x:c r="AU1485" s="10" t="n">
        <x:f>AB1485/INDEX(v01_RepScale,G1485)</x:f>
        <x:v>90.09519605746344</x:v>
      </x:c>
      <x:c r="AV1485" s="32" t="n">
        <x:f>AM1485*60/v01_SeasonSeconds</x:f>
        <x:v>0</x:v>
      </x:c>
    </x:row>
    <x:row r="1486">
      <x:c r="A1486" s="8" t="n">
        <x:f>A1485+1</x:f>
        <x:v>1483</x:v>
      </x:c>
      <x:c r="B1486" s="9" t="n">
        <x:f>A1486*v01_SeasonSeconds/60</x:f>
        <x:v>370.75</x:v>
      </x:c>
      <x:c r="C1486" s="9" t="n">
        <x:f>A1486/4</x:f>
        <x:v>370.75</x:v>
      </x:c>
      <x:c r="D1486" s="8" t="n">
        <x:f>IF(MOD(A1486,4)=0,1,0)</x:f>
        <x:v>0</x:v>
      </x:c>
      <x:c r="E1486" s="8" t="n">
        <x:f>IF(AND(F1485&lt;=9,AS1485&gt;=AR1485),1,0)</x:f>
        <x:v>0</x:v>
      </x:c>
      <x:c r="F1486" s="8" t="n">
        <x:f>MIN(10,F1485+E1486)</x:f>
        <x:v>10</x:v>
      </x:c>
      <x:c r="G1486" s="8" t="n">
        <x:f>MIN(F1486,9)+1</x:f>
        <x:v>10</x:v>
      </x:c>
      <x:c r="H1486" s="8" t="n">
        <x:f>IF(F1486&lt;=9,1,0)</x:f>
        <x:v>0</x:v>
      </x:c>
      <x:c r="I1486" s="9" t="n">
        <x:f>MIN(10,F1485+IF(AR1485&gt;0,MIN(1,AS1485/AR1485),1))</x:f>
        <x:v>10</x:v>
      </x:c>
      <x:c r="J1486" s="32" t="n">
        <x:f>INDEX(v01_FoodCap,G1486)*Arch_FoodCap*EXP(v01_CapsByProject*SUMPRODUCT((Cap_Point&lt;=I1486)*(Cap_Kind="Food")*Cap_Ln))</x:f>
        <x:v>12000</x:v>
      </x:c>
      <x:c r="K1486" s="32" t="n">
        <x:f>J1486*MIN(1,v01_LeanBase*EXP(v01_CapsByProject*SUMPRODUCT((Cap_Point&lt;=I1486)*(Cap_Kind="Lean")*Cap_Ln)))</x:f>
        <x:v>12000</x:v>
      </x:c>
      <x:c r="L1486" s="10" t="n">
        <x:f>INDEX(v01_HousingCap,G1486)*EXP(v01_CapsByProject*SUMPRODUCT((Cap_Point&lt;=I1486)*(Cap_Kind="Housing")*Cap_Ln))</x:f>
        <x:v>20000</x:v>
      </x:c>
      <x:c r="M1486" s="10" t="n">
        <x:f>INDEX(v01_GroupCap,G1486)*v01_CohesionFactor*EXP(v01_CapsByProject*SUMPRODUCT((Cap_Point&lt;=I1486)*(Cap_Kind="Group")*Cap_Ln))</x:f>
        <x:v>1000000</x:v>
      </x:c>
      <x:c r="N1486" s="32" t="n">
        <x:f>MIN(J1486,L1486,M1486)</x:f>
        <x:v>12000</x:v>
      </x:c>
      <x:c r="O1486" s="10" t="n">
        <x:f>AE1485*N1486</x:f>
        <x:v>180000</x:v>
      </x:c>
      <x:c r="P1486" s="9" t="n">
        <x:f>MIN(1,(AB1485/(AE1485*IF(v01_GroupInCrowding=1,N1486,MIN(J1486,L1486))))^v01_CrowdingExp)</x:f>
        <x:v>0.00024569414295285325</x:v>
      </x:c>
      <x:c r="Q1486" s="9" t="n">
        <x:f>IF(D1486=1,INDEX(v01_WinterMult,G1486),1)</x:f>
        <x:v>1</x:v>
      </x:c>
      <x:c r="R1486" s="9" t="n">
        <x:f>H1486*Z1485*v01_WomenShare*v01_BaseFertility*INDEX(v01_FertMult,G1486)*Arch_Fertility*(1-P1486)</x:f>
        <x:v>0</x:v>
      </x:c>
      <x:c r="S1486" s="9" t="n">
        <x:f>H1486*Y1485*INDEX(v01_MortChild,G1486)/4*Q1486</x:f>
        <x:v>0</x:v>
      </x:c>
      <x:c r="T1486" s="9" t="n">
        <x:f>H1486*Z1485*INDEX(v01_MortAdult,G1486)*Arch_AdultMort/4*Q1486</x:f>
        <x:v>0</x:v>
      </x:c>
      <x:c r="U1486" s="9" t="n">
        <x:f>H1486*AA1485*INDEX(v01_MortElder,G1486)/4*Q1486</x:f>
        <x:v>0</x:v>
      </x:c>
      <x:c r="V1486" s="9" t="n">
        <x:f>H1486*MAX(0,AB1485-O1486)*v01_OvercapLoss</x:f>
        <x:v>0</x:v>
      </x:c>
      <x:c r="W1486" s="9" t="n">
        <x:f>H1486*Y1485/(v01_ChildYears*4)</x:f>
        <x:v>0</x:v>
      </x:c>
      <x:c r="X1486" s="9" t="n">
        <x:f>H1486*Z1485/(v01_AdultYears*4)</x:f>
        <x:v>0</x:v>
      </x:c>
      <x:c r="Y1486" s="32" t="n">
        <x:f>Y1485+R1486-S1486-W1486-Y1485*V1486/AB1485</x:f>
        <x:v>14306.18539759397</x:v>
      </x:c>
      <x:c r="Z1486" s="32" t="n">
        <x:f>Z1485+W1486-X1486-T1486-Z1485*V1486/AB1485</x:f>
        <x:v>19354.456567879548</x:v>
      </x:c>
      <x:c r="AA1486" s="32" t="n">
        <x:f>AA1485+X1486-U1486-AA1485*V1486/AB1485</x:f>
        <x:v>11386.956063258198</x:v>
      </x:c>
      <x:c r="AB1486" s="10" t="n">
        <x:f>Y1486+Z1486+AA1486</x:f>
        <x:v>45047.59802873172</x:v>
      </x:c>
      <x:c r="AC1486" s="8" t="n">
        <x:f>IF(AND(v01_WinterTrigger=1,D1486=1,AB1485/AE1485&gt;=K1486),1,0)</x:f>
        <x:v>0</x:v>
      </x:c>
      <x:c r="AD1486" s="8" t="n">
        <x:f>H1486*IF(AND(OR(AB1485/AE1485&gt;=v01_FissionTrigger*N1486,AC1486=1),AB1485/AE1485*v01_DaughterShare&gt;=v01_MinDaughter),MAX(1,ROUND(AE1485*v01_FissionRate,0)),0)</x:f>
        <x:v>0</x:v>
      </x:c>
      <x:c r="AE1486" s="8" t="n">
        <x:f>IF(H1486=1,MAX(1,MIN(INDEX(v01_Smax,G1486),AE1485+AD1486)),AE1485)</x:f>
        <x:v>15</x:v>
      </x:c>
      <x:c r="AF1486" s="8" t="n">
        <x:f>MAX(0,AE1486-AE1485)</x:f>
        <x:v>0</x:v>
      </x:c>
      <x:c r="AG1486" s="9" t="str">
        <x:f>IF(AF1486&gt;0,B1486,"")</x:f>
      </x:c>
      <x:c r="AH1486" s="9" t="n">
        <x:f>IF(F1486&gt;=1,1,(1+v01_LowTiesShare*(AE1486-1))/AE1486)</x:f>
        <x:v>1</x:v>
      </x:c>
      <x:c r="AI1486" s="32" t="n">
        <x:f>(Z1486+v01_ElderCommons*INDEX(LM_Elder,G1486)*AA1486)*AH1486</x:f>
        <x:v>64139.732591141874</x:v>
      </x:c>
      <x:c r="AJ1486" s="32" t="n">
        <x:f>H1486*v01_CommonsCoef*AI1486^v01_CommonsExp*INDEX(LM_Commons,G1486)</x:f>
        <x:v>0</x:v>
      </x:c>
      <x:c r="AK1486" s="32" t="n">
        <x:f>H1486*v01_RoleScale*Arch_Roles*(AE1486*(INDEX(v01_ElderRolePerSett,G1486)*v01_OutElder*INDEX(LM_Elder,G1486)+INDEX(v01_ShamanPerSett,G1486)*v01_OutShaman)+Z1486*(INDEX(v01_PriestShare,G1486)*v01_OutPriest+INDEX(v01_ScribeShare,G1486)*v01_OutScribe*INDEX(LM_Scribe,G1486)+INDEX(v01_ScholarShare,G1486)*v01_OutScholar*INDEX(LM_Scholar,G1486)+INDEX(v01_ResearcherShare,G1486)*v01_OutResearcher*INDEX(LM_Researcher,G1486)))</x:f>
        <x:v>0</x:v>
      </x:c>
      <x:c r="AL1486" s="32" t="n">
        <x:f>H1486*v01_RoleScale*Arch_Roles*AE1486*INDEX(v01_MonasteryPerSett,G1486)*v01_OutMonastery*INDEX(LM_Monastery,G1486)</x:f>
        <x:v>0</x:v>
      </x:c>
      <x:c r="AM1486" s="32" t="n">
        <x:f>(AJ1486+AK1486+AL1486)/4*INDEX(LM_All,G1486)*INDEX(v01_Boon,G1486)*Arch_Insight</x:f>
        <x:v>0</x:v>
      </x:c>
      <x:c r="AN1486" s="32" t="n">
        <x:f>H1486*(v01_KHPerAdult*Z1486+v01_KHOfCommons*AJ1486/4*INDEX(LM_All,G1486))*v01_KHUsable*Arch_KH</x:f>
        <x:v>0</x:v>
      </x:c>
      <x:c r="AO1486" s="32" t="n">
        <x:f>MIN(AP1485+AN1486,AM1486*v01_KHMaxRatio)</x:f>
        <x:v>0</x:v>
      </x:c>
      <x:c r="AP1486" s="32" t="n">
        <x:f>AP1485+AN1486-AO1486</x:f>
        <x:v>0</x:v>
      </x:c>
      <x:c r="AQ1486" s="32" t="n">
        <x:f>AM1486+AO1486</x:f>
        <x:v>0</x:v>
      </x:c>
      <x:c r="AR1486" s="10" t="n">
        <x:f>IF(H1486=1,INDEX(v01_Req,G1486),0)</x:f>
        <x:v>0</x:v>
      </x:c>
      <x:c r="AS1486" s="32" t="n">
        <x:f>IF(H1486=1,IF(E1486=1,AS1485-AR1485,AS1485)+AQ1486,0)</x:f>
        <x:v>0</x:v>
      </x:c>
      <x:c r="AT1486" s="11" t="n">
        <x:f>IF(AR1486&gt;0,MIN(1,AS1486/AR1486),1)</x:f>
        <x:v>1</x:v>
      </x:c>
      <x:c r="AU1486" s="10" t="n">
        <x:f>AB1486/INDEX(v01_RepScale,G1486)</x:f>
        <x:v>90.09519605746344</x:v>
      </x:c>
      <x:c r="AV1486" s="32" t="n">
        <x:f>AM1486*60/v01_SeasonSeconds</x:f>
        <x:v>0</x:v>
      </x:c>
    </x:row>
    <x:row r="1487">
      <x:c r="A1487" s="8" t="n">
        <x:f>A1486+1</x:f>
        <x:v>1484</x:v>
      </x:c>
      <x:c r="B1487" s="9" t="n">
        <x:f>A1487*v01_SeasonSeconds/60</x:f>
        <x:v>371</x:v>
      </x:c>
      <x:c r="C1487" s="9" t="n">
        <x:f>A1487/4</x:f>
        <x:v>371</x:v>
      </x:c>
      <x:c r="D1487" s="8" t="n">
        <x:f>IF(MOD(A1487,4)=0,1,0)</x:f>
        <x:v>1</x:v>
      </x:c>
      <x:c r="E1487" s="8" t="n">
        <x:f>IF(AND(F1486&lt;=9,AS1486&gt;=AR1486),1,0)</x:f>
        <x:v>0</x:v>
      </x:c>
      <x:c r="F1487" s="8" t="n">
        <x:f>MIN(10,F1486+E1487)</x:f>
        <x:v>10</x:v>
      </x:c>
      <x:c r="G1487" s="8" t="n">
        <x:f>MIN(F1487,9)+1</x:f>
        <x:v>10</x:v>
      </x:c>
      <x:c r="H1487" s="8" t="n">
        <x:f>IF(F1487&lt;=9,1,0)</x:f>
        <x:v>0</x:v>
      </x:c>
      <x:c r="I1487" s="9" t="n">
        <x:f>MIN(10,F1486+IF(AR1486&gt;0,MIN(1,AS1486/AR1486),1))</x:f>
        <x:v>10</x:v>
      </x:c>
      <x:c r="J1487" s="32" t="n">
        <x:f>INDEX(v01_FoodCap,G1487)*Arch_FoodCap*EXP(v01_CapsByProject*SUMPRODUCT((Cap_Point&lt;=I1487)*(Cap_Kind="Food")*Cap_Ln))</x:f>
        <x:v>12000</x:v>
      </x:c>
      <x:c r="K1487" s="32" t="n">
        <x:f>J1487*MIN(1,v01_LeanBase*EXP(v01_CapsByProject*SUMPRODUCT((Cap_Point&lt;=I1487)*(Cap_Kind="Lean")*Cap_Ln)))</x:f>
        <x:v>12000</x:v>
      </x:c>
      <x:c r="L1487" s="10" t="n">
        <x:f>INDEX(v01_HousingCap,G1487)*EXP(v01_CapsByProject*SUMPRODUCT((Cap_Point&lt;=I1487)*(Cap_Kind="Housing")*Cap_Ln))</x:f>
        <x:v>20000</x:v>
      </x:c>
      <x:c r="M1487" s="10" t="n">
        <x:f>INDEX(v01_GroupCap,G1487)*v01_CohesionFactor*EXP(v01_CapsByProject*SUMPRODUCT((Cap_Point&lt;=I1487)*(Cap_Kind="Group")*Cap_Ln))</x:f>
        <x:v>1000000</x:v>
      </x:c>
      <x:c r="N1487" s="32" t="n">
        <x:f>MIN(J1487,L1487,M1487)</x:f>
        <x:v>12000</x:v>
      </x:c>
      <x:c r="O1487" s="10" t="n">
        <x:f>AE1486*N1487</x:f>
        <x:v>180000</x:v>
      </x:c>
      <x:c r="P1487" s="9" t="n">
        <x:f>MIN(1,(AB1486/(AE1486*IF(v01_GroupInCrowding=1,N1487,MIN(J1487,L1487))))^v01_CrowdingExp)</x:f>
        <x:v>0.00024569414295285325</x:v>
      </x:c>
      <x:c r="Q1487" s="9" t="n">
        <x:f>IF(D1487=1,INDEX(v01_WinterMult,G1487),1)</x:f>
        <x:v>1</x:v>
      </x:c>
      <x:c r="R1487" s="9" t="n">
        <x:f>H1487*Z1486*v01_WomenShare*v01_BaseFertility*INDEX(v01_FertMult,G1487)*Arch_Fertility*(1-P1487)</x:f>
        <x:v>0</x:v>
      </x:c>
      <x:c r="S1487" s="9" t="n">
        <x:f>H1487*Y1486*INDEX(v01_MortChild,G1487)/4*Q1487</x:f>
        <x:v>0</x:v>
      </x:c>
      <x:c r="T1487" s="9" t="n">
        <x:f>H1487*Z1486*INDEX(v01_MortAdult,G1487)*Arch_AdultMort/4*Q1487</x:f>
        <x:v>0</x:v>
      </x:c>
      <x:c r="U1487" s="9" t="n">
        <x:f>H1487*AA1486*INDEX(v01_MortElder,G1487)/4*Q1487</x:f>
        <x:v>0</x:v>
      </x:c>
      <x:c r="V1487" s="9" t="n">
        <x:f>H1487*MAX(0,AB1486-O1487)*v01_OvercapLoss</x:f>
        <x:v>0</x:v>
      </x:c>
      <x:c r="W1487" s="9" t="n">
        <x:f>H1487*Y1486/(v01_ChildYears*4)</x:f>
        <x:v>0</x:v>
      </x:c>
      <x:c r="X1487" s="9" t="n">
        <x:f>H1487*Z1486/(v01_AdultYears*4)</x:f>
        <x:v>0</x:v>
      </x:c>
      <x:c r="Y1487" s="32" t="n">
        <x:f>Y1486+R1487-S1487-W1487-Y1486*V1487/AB1486</x:f>
        <x:v>14306.18539759397</x:v>
      </x:c>
      <x:c r="Z1487" s="32" t="n">
        <x:f>Z1486+W1487-X1487-T1487-Z1486*V1487/AB1486</x:f>
        <x:v>19354.456567879548</x:v>
      </x:c>
      <x:c r="AA1487" s="32" t="n">
        <x:f>AA1486+X1487-U1487-AA1486*V1487/AB1486</x:f>
        <x:v>11386.956063258198</x:v>
      </x:c>
      <x:c r="AB1487" s="10" t="n">
        <x:f>Y1487+Z1487+AA1487</x:f>
        <x:v>45047.59802873172</x:v>
      </x:c>
      <x:c r="AC1487" s="8" t="n">
        <x:f>IF(AND(v01_WinterTrigger=1,D1487=1,AB1486/AE1486&gt;=K1487),1,0)</x:f>
        <x:v>0</x:v>
      </x:c>
      <x:c r="AD1487" s="8" t="n">
        <x:f>H1487*IF(AND(OR(AB1486/AE1486&gt;=v01_FissionTrigger*N1487,AC1487=1),AB1486/AE1486*v01_DaughterShare&gt;=v01_MinDaughter),MAX(1,ROUND(AE1486*v01_FissionRate,0)),0)</x:f>
        <x:v>0</x:v>
      </x:c>
      <x:c r="AE1487" s="8" t="n">
        <x:f>IF(H1487=1,MAX(1,MIN(INDEX(v01_Smax,G1487),AE1486+AD1487)),AE1486)</x:f>
        <x:v>15</x:v>
      </x:c>
      <x:c r="AF1487" s="8" t="n">
        <x:f>MAX(0,AE1487-AE1486)</x:f>
        <x:v>0</x:v>
      </x:c>
      <x:c r="AG1487" s="9" t="str">
        <x:f>IF(AF1487&gt;0,B1487,"")</x:f>
      </x:c>
      <x:c r="AH1487" s="9" t="n">
        <x:f>IF(F1487&gt;=1,1,(1+v01_LowTiesShare*(AE1487-1))/AE1487)</x:f>
        <x:v>1</x:v>
      </x:c>
      <x:c r="AI1487" s="32" t="n">
        <x:f>(Z1487+v01_ElderCommons*INDEX(LM_Elder,G1487)*AA1487)*AH1487</x:f>
        <x:v>64139.732591141874</x:v>
      </x:c>
      <x:c r="AJ1487" s="32" t="n">
        <x:f>H1487*v01_CommonsCoef*AI1487^v01_CommonsExp*INDEX(LM_Commons,G1487)</x:f>
        <x:v>0</x:v>
      </x:c>
      <x:c r="AK1487" s="32" t="n">
        <x:f>H1487*v01_RoleScale*Arch_Roles*(AE1487*(INDEX(v01_ElderRolePerSett,G1487)*v01_OutElder*INDEX(LM_Elder,G1487)+INDEX(v01_ShamanPerSett,G1487)*v01_OutShaman)+Z1487*(INDEX(v01_PriestShare,G1487)*v01_OutPriest+INDEX(v01_ScribeShare,G1487)*v01_OutScribe*INDEX(LM_Scribe,G1487)+INDEX(v01_ScholarShare,G1487)*v01_OutScholar*INDEX(LM_Scholar,G1487)+INDEX(v01_ResearcherShare,G1487)*v01_OutResearcher*INDEX(LM_Researcher,G1487)))</x:f>
        <x:v>0</x:v>
      </x:c>
      <x:c r="AL1487" s="32" t="n">
        <x:f>H1487*v01_RoleScale*Arch_Roles*AE1487*INDEX(v01_MonasteryPerSett,G1487)*v01_OutMonastery*INDEX(LM_Monastery,G1487)</x:f>
        <x:v>0</x:v>
      </x:c>
      <x:c r="AM1487" s="32" t="n">
        <x:f>(AJ1487+AK1487+AL1487)/4*INDEX(LM_All,G1487)*INDEX(v01_Boon,G1487)*Arch_Insight</x:f>
        <x:v>0</x:v>
      </x:c>
      <x:c r="AN1487" s="32" t="n">
        <x:f>H1487*(v01_KHPerAdult*Z1487+v01_KHOfCommons*AJ1487/4*INDEX(LM_All,G1487))*v01_KHUsable*Arch_KH</x:f>
        <x:v>0</x:v>
      </x:c>
      <x:c r="AO1487" s="32" t="n">
        <x:f>MIN(AP1486+AN1487,AM1487*v01_KHMaxRatio)</x:f>
        <x:v>0</x:v>
      </x:c>
      <x:c r="AP1487" s="32" t="n">
        <x:f>AP1486+AN1487-AO1487</x:f>
        <x:v>0</x:v>
      </x:c>
      <x:c r="AQ1487" s="32" t="n">
        <x:f>AM1487+AO1487</x:f>
        <x:v>0</x:v>
      </x:c>
      <x:c r="AR1487" s="10" t="n">
        <x:f>IF(H1487=1,INDEX(v01_Req,G1487),0)</x:f>
        <x:v>0</x:v>
      </x:c>
      <x:c r="AS1487" s="32" t="n">
        <x:f>IF(H1487=1,IF(E1487=1,AS1486-AR1486,AS1486)+AQ1487,0)</x:f>
        <x:v>0</x:v>
      </x:c>
      <x:c r="AT1487" s="11" t="n">
        <x:f>IF(AR1487&gt;0,MIN(1,AS1487/AR1487),1)</x:f>
        <x:v>1</x:v>
      </x:c>
      <x:c r="AU1487" s="10" t="n">
        <x:f>AB1487/INDEX(v01_RepScale,G1487)</x:f>
        <x:v>90.09519605746344</x:v>
      </x:c>
      <x:c r="AV1487" s="32" t="n">
        <x:f>AM1487*60/v01_SeasonSeconds</x:f>
        <x:v>0</x:v>
      </x:c>
    </x:row>
    <x:row r="1488">
      <x:c r="A1488" s="8" t="n">
        <x:f>A1487+1</x:f>
        <x:v>1485</x:v>
      </x:c>
      <x:c r="B1488" s="9" t="n">
        <x:f>A1488*v01_SeasonSeconds/60</x:f>
        <x:v>371.25</x:v>
      </x:c>
      <x:c r="C1488" s="9" t="n">
        <x:f>A1488/4</x:f>
        <x:v>371.25</x:v>
      </x:c>
      <x:c r="D1488" s="8" t="n">
        <x:f>IF(MOD(A1488,4)=0,1,0)</x:f>
        <x:v>0</x:v>
      </x:c>
      <x:c r="E1488" s="8" t="n">
        <x:f>IF(AND(F1487&lt;=9,AS1487&gt;=AR1487),1,0)</x:f>
        <x:v>0</x:v>
      </x:c>
      <x:c r="F1488" s="8" t="n">
        <x:f>MIN(10,F1487+E1488)</x:f>
        <x:v>10</x:v>
      </x:c>
      <x:c r="G1488" s="8" t="n">
        <x:f>MIN(F1488,9)+1</x:f>
        <x:v>10</x:v>
      </x:c>
      <x:c r="H1488" s="8" t="n">
        <x:f>IF(F1488&lt;=9,1,0)</x:f>
        <x:v>0</x:v>
      </x:c>
      <x:c r="I1488" s="9" t="n">
        <x:f>MIN(10,F1487+IF(AR1487&gt;0,MIN(1,AS1487/AR1487),1))</x:f>
        <x:v>10</x:v>
      </x:c>
      <x:c r="J1488" s="32" t="n">
        <x:f>INDEX(v01_FoodCap,G1488)*Arch_FoodCap*EXP(v01_CapsByProject*SUMPRODUCT((Cap_Point&lt;=I1488)*(Cap_Kind="Food")*Cap_Ln))</x:f>
        <x:v>12000</x:v>
      </x:c>
      <x:c r="K1488" s="32" t="n">
        <x:f>J1488*MIN(1,v01_LeanBase*EXP(v01_CapsByProject*SUMPRODUCT((Cap_Point&lt;=I1488)*(Cap_Kind="Lean")*Cap_Ln)))</x:f>
        <x:v>12000</x:v>
      </x:c>
      <x:c r="L1488" s="10" t="n">
        <x:f>INDEX(v01_HousingCap,G1488)*EXP(v01_CapsByProject*SUMPRODUCT((Cap_Point&lt;=I1488)*(Cap_Kind="Housing")*Cap_Ln))</x:f>
        <x:v>20000</x:v>
      </x:c>
      <x:c r="M1488" s="10" t="n">
        <x:f>INDEX(v01_GroupCap,G1488)*v01_CohesionFactor*EXP(v01_CapsByProject*SUMPRODUCT((Cap_Point&lt;=I1488)*(Cap_Kind="Group")*Cap_Ln))</x:f>
        <x:v>1000000</x:v>
      </x:c>
      <x:c r="N1488" s="32" t="n">
        <x:f>MIN(J1488,L1488,M1488)</x:f>
        <x:v>12000</x:v>
      </x:c>
      <x:c r="O1488" s="10" t="n">
        <x:f>AE1487*N1488</x:f>
        <x:v>180000</x:v>
      </x:c>
      <x:c r="P1488" s="9" t="n">
        <x:f>MIN(1,(AB1487/(AE1487*IF(v01_GroupInCrowding=1,N1488,MIN(J1488,L1488))))^v01_CrowdingExp)</x:f>
        <x:v>0.00024569414295285325</x:v>
      </x:c>
      <x:c r="Q1488" s="9" t="n">
        <x:f>IF(D1488=1,INDEX(v01_WinterMult,G1488),1)</x:f>
        <x:v>1</x:v>
      </x:c>
      <x:c r="R1488" s="9" t="n">
        <x:f>H1488*Z1487*v01_WomenShare*v01_BaseFertility*INDEX(v01_FertMult,G1488)*Arch_Fertility*(1-P1488)</x:f>
        <x:v>0</x:v>
      </x:c>
      <x:c r="S1488" s="9" t="n">
        <x:f>H1488*Y1487*INDEX(v01_MortChild,G1488)/4*Q1488</x:f>
        <x:v>0</x:v>
      </x:c>
      <x:c r="T1488" s="9" t="n">
        <x:f>H1488*Z1487*INDEX(v01_MortAdult,G1488)*Arch_AdultMort/4*Q1488</x:f>
        <x:v>0</x:v>
      </x:c>
      <x:c r="U1488" s="9" t="n">
        <x:f>H1488*AA1487*INDEX(v01_MortElder,G1488)/4*Q1488</x:f>
        <x:v>0</x:v>
      </x:c>
      <x:c r="V1488" s="9" t="n">
        <x:f>H1488*MAX(0,AB1487-O1488)*v01_OvercapLoss</x:f>
        <x:v>0</x:v>
      </x:c>
      <x:c r="W1488" s="9" t="n">
        <x:f>H1488*Y1487/(v01_ChildYears*4)</x:f>
        <x:v>0</x:v>
      </x:c>
      <x:c r="X1488" s="9" t="n">
        <x:f>H1488*Z1487/(v01_AdultYears*4)</x:f>
        <x:v>0</x:v>
      </x:c>
      <x:c r="Y1488" s="32" t="n">
        <x:f>Y1487+R1488-S1488-W1488-Y1487*V1488/AB1487</x:f>
        <x:v>14306.18539759397</x:v>
      </x:c>
      <x:c r="Z1488" s="32" t="n">
        <x:f>Z1487+W1488-X1488-T1488-Z1487*V1488/AB1487</x:f>
        <x:v>19354.456567879548</x:v>
      </x:c>
      <x:c r="AA1488" s="32" t="n">
        <x:f>AA1487+X1488-U1488-AA1487*V1488/AB1487</x:f>
        <x:v>11386.956063258198</x:v>
      </x:c>
      <x:c r="AB1488" s="10" t="n">
        <x:f>Y1488+Z1488+AA1488</x:f>
        <x:v>45047.59802873172</x:v>
      </x:c>
      <x:c r="AC1488" s="8" t="n">
        <x:f>IF(AND(v01_WinterTrigger=1,D1488=1,AB1487/AE1487&gt;=K1488),1,0)</x:f>
        <x:v>0</x:v>
      </x:c>
      <x:c r="AD1488" s="8" t="n">
        <x:f>H1488*IF(AND(OR(AB1487/AE1487&gt;=v01_FissionTrigger*N1488,AC1488=1),AB1487/AE1487*v01_DaughterShare&gt;=v01_MinDaughter),MAX(1,ROUND(AE1487*v01_FissionRate,0)),0)</x:f>
        <x:v>0</x:v>
      </x:c>
      <x:c r="AE1488" s="8" t="n">
        <x:f>IF(H1488=1,MAX(1,MIN(INDEX(v01_Smax,G1488),AE1487+AD1488)),AE1487)</x:f>
        <x:v>15</x:v>
      </x:c>
      <x:c r="AF1488" s="8" t="n">
        <x:f>MAX(0,AE1488-AE1487)</x:f>
        <x:v>0</x:v>
      </x:c>
      <x:c r="AG1488" s="9" t="str">
        <x:f>IF(AF1488&gt;0,B1488,"")</x:f>
      </x:c>
      <x:c r="AH1488" s="9" t="n">
        <x:f>IF(F1488&gt;=1,1,(1+v01_LowTiesShare*(AE1488-1))/AE1488)</x:f>
        <x:v>1</x:v>
      </x:c>
      <x:c r="AI1488" s="32" t="n">
        <x:f>(Z1488+v01_ElderCommons*INDEX(LM_Elder,G1488)*AA1488)*AH1488</x:f>
        <x:v>64139.732591141874</x:v>
      </x:c>
      <x:c r="AJ1488" s="32" t="n">
        <x:f>H1488*v01_CommonsCoef*AI1488^v01_CommonsExp*INDEX(LM_Commons,G1488)</x:f>
        <x:v>0</x:v>
      </x:c>
      <x:c r="AK1488" s="32" t="n">
        <x:f>H1488*v01_RoleScale*Arch_Roles*(AE1488*(INDEX(v01_ElderRolePerSett,G1488)*v01_OutElder*INDEX(LM_Elder,G1488)+INDEX(v01_ShamanPerSett,G1488)*v01_OutShaman)+Z1488*(INDEX(v01_PriestShare,G1488)*v01_OutPriest+INDEX(v01_ScribeShare,G1488)*v01_OutScribe*INDEX(LM_Scribe,G1488)+INDEX(v01_ScholarShare,G1488)*v01_OutScholar*INDEX(LM_Scholar,G1488)+INDEX(v01_ResearcherShare,G1488)*v01_OutResearcher*INDEX(LM_Researcher,G1488)))</x:f>
        <x:v>0</x:v>
      </x:c>
      <x:c r="AL1488" s="32" t="n">
        <x:f>H1488*v01_RoleScale*Arch_Roles*AE1488*INDEX(v01_MonasteryPerSett,G1488)*v01_OutMonastery*INDEX(LM_Monastery,G1488)</x:f>
        <x:v>0</x:v>
      </x:c>
      <x:c r="AM1488" s="32" t="n">
        <x:f>(AJ1488+AK1488+AL1488)/4*INDEX(LM_All,G1488)*INDEX(v01_Boon,G1488)*Arch_Insight</x:f>
        <x:v>0</x:v>
      </x:c>
      <x:c r="AN1488" s="32" t="n">
        <x:f>H1488*(v01_KHPerAdult*Z1488+v01_KHOfCommons*AJ1488/4*INDEX(LM_All,G1488))*v01_KHUsable*Arch_KH</x:f>
        <x:v>0</x:v>
      </x:c>
      <x:c r="AO1488" s="32" t="n">
        <x:f>MIN(AP1487+AN1488,AM1488*v01_KHMaxRatio)</x:f>
        <x:v>0</x:v>
      </x:c>
      <x:c r="AP1488" s="32" t="n">
        <x:f>AP1487+AN1488-AO1488</x:f>
        <x:v>0</x:v>
      </x:c>
      <x:c r="AQ1488" s="32" t="n">
        <x:f>AM1488+AO1488</x:f>
        <x:v>0</x:v>
      </x:c>
      <x:c r="AR1488" s="10" t="n">
        <x:f>IF(H1488=1,INDEX(v01_Req,G1488),0)</x:f>
        <x:v>0</x:v>
      </x:c>
      <x:c r="AS1488" s="32" t="n">
        <x:f>IF(H1488=1,IF(E1488=1,AS1487-AR1487,AS1487)+AQ1488,0)</x:f>
        <x:v>0</x:v>
      </x:c>
      <x:c r="AT1488" s="11" t="n">
        <x:f>IF(AR1488&gt;0,MIN(1,AS1488/AR1488),1)</x:f>
        <x:v>1</x:v>
      </x:c>
      <x:c r="AU1488" s="10" t="n">
        <x:f>AB1488/INDEX(v01_RepScale,G1488)</x:f>
        <x:v>90.09519605746344</x:v>
      </x:c>
      <x:c r="AV1488" s="32" t="n">
        <x:f>AM1488*60/v01_SeasonSeconds</x:f>
        <x:v>0</x:v>
      </x:c>
    </x:row>
    <x:row r="1489">
      <x:c r="A1489" s="8" t="n">
        <x:f>A1488+1</x:f>
        <x:v>1486</x:v>
      </x:c>
      <x:c r="B1489" s="9" t="n">
        <x:f>A1489*v01_SeasonSeconds/60</x:f>
        <x:v>371.5</x:v>
      </x:c>
      <x:c r="C1489" s="9" t="n">
        <x:f>A1489/4</x:f>
        <x:v>371.5</x:v>
      </x:c>
      <x:c r="D1489" s="8" t="n">
        <x:f>IF(MOD(A1489,4)=0,1,0)</x:f>
        <x:v>0</x:v>
      </x:c>
      <x:c r="E1489" s="8" t="n">
        <x:f>IF(AND(F1488&lt;=9,AS1488&gt;=AR1488),1,0)</x:f>
        <x:v>0</x:v>
      </x:c>
      <x:c r="F1489" s="8" t="n">
        <x:f>MIN(10,F1488+E1489)</x:f>
        <x:v>10</x:v>
      </x:c>
      <x:c r="G1489" s="8" t="n">
        <x:f>MIN(F1489,9)+1</x:f>
        <x:v>10</x:v>
      </x:c>
      <x:c r="H1489" s="8" t="n">
        <x:f>IF(F1489&lt;=9,1,0)</x:f>
        <x:v>0</x:v>
      </x:c>
      <x:c r="I1489" s="9" t="n">
        <x:f>MIN(10,F1488+IF(AR1488&gt;0,MIN(1,AS1488/AR1488),1))</x:f>
        <x:v>10</x:v>
      </x:c>
      <x:c r="J1489" s="32" t="n">
        <x:f>INDEX(v01_FoodCap,G1489)*Arch_FoodCap*EXP(v01_CapsByProject*SUMPRODUCT((Cap_Point&lt;=I1489)*(Cap_Kind="Food")*Cap_Ln))</x:f>
        <x:v>12000</x:v>
      </x:c>
      <x:c r="K1489" s="32" t="n">
        <x:f>J1489*MIN(1,v01_LeanBase*EXP(v01_CapsByProject*SUMPRODUCT((Cap_Point&lt;=I1489)*(Cap_Kind="Lean")*Cap_Ln)))</x:f>
        <x:v>12000</x:v>
      </x:c>
      <x:c r="L1489" s="10" t="n">
        <x:f>INDEX(v01_HousingCap,G1489)*EXP(v01_CapsByProject*SUMPRODUCT((Cap_Point&lt;=I1489)*(Cap_Kind="Housing")*Cap_Ln))</x:f>
        <x:v>20000</x:v>
      </x:c>
      <x:c r="M1489" s="10" t="n">
        <x:f>INDEX(v01_GroupCap,G1489)*v01_CohesionFactor*EXP(v01_CapsByProject*SUMPRODUCT((Cap_Point&lt;=I1489)*(Cap_Kind="Group")*Cap_Ln))</x:f>
        <x:v>1000000</x:v>
      </x:c>
      <x:c r="N1489" s="32" t="n">
        <x:f>MIN(J1489,L1489,M1489)</x:f>
        <x:v>12000</x:v>
      </x:c>
      <x:c r="O1489" s="10" t="n">
        <x:f>AE1488*N1489</x:f>
        <x:v>180000</x:v>
      </x:c>
      <x:c r="P1489" s="9" t="n">
        <x:f>MIN(1,(AB1488/(AE1488*IF(v01_GroupInCrowding=1,N1489,MIN(J1489,L1489))))^v01_CrowdingExp)</x:f>
        <x:v>0.00024569414295285325</x:v>
      </x:c>
      <x:c r="Q1489" s="9" t="n">
        <x:f>IF(D1489=1,INDEX(v01_WinterMult,G1489),1)</x:f>
        <x:v>1</x:v>
      </x:c>
      <x:c r="R1489" s="9" t="n">
        <x:f>H1489*Z1488*v01_WomenShare*v01_BaseFertility*INDEX(v01_FertMult,G1489)*Arch_Fertility*(1-P1489)</x:f>
        <x:v>0</x:v>
      </x:c>
      <x:c r="S1489" s="9" t="n">
        <x:f>H1489*Y1488*INDEX(v01_MortChild,G1489)/4*Q1489</x:f>
        <x:v>0</x:v>
      </x:c>
      <x:c r="T1489" s="9" t="n">
        <x:f>H1489*Z1488*INDEX(v01_MortAdult,G1489)*Arch_AdultMort/4*Q1489</x:f>
        <x:v>0</x:v>
      </x:c>
      <x:c r="U1489" s="9" t="n">
        <x:f>H1489*AA1488*INDEX(v01_MortElder,G1489)/4*Q1489</x:f>
        <x:v>0</x:v>
      </x:c>
      <x:c r="V1489" s="9" t="n">
        <x:f>H1489*MAX(0,AB1488-O1489)*v01_OvercapLoss</x:f>
        <x:v>0</x:v>
      </x:c>
      <x:c r="W1489" s="9" t="n">
        <x:f>H1489*Y1488/(v01_ChildYears*4)</x:f>
        <x:v>0</x:v>
      </x:c>
      <x:c r="X1489" s="9" t="n">
        <x:f>H1489*Z1488/(v01_AdultYears*4)</x:f>
        <x:v>0</x:v>
      </x:c>
      <x:c r="Y1489" s="32" t="n">
        <x:f>Y1488+R1489-S1489-W1489-Y1488*V1489/AB1488</x:f>
        <x:v>14306.18539759397</x:v>
      </x:c>
      <x:c r="Z1489" s="32" t="n">
        <x:f>Z1488+W1489-X1489-T1489-Z1488*V1489/AB1488</x:f>
        <x:v>19354.456567879548</x:v>
      </x:c>
      <x:c r="AA1489" s="32" t="n">
        <x:f>AA1488+X1489-U1489-AA1488*V1489/AB1488</x:f>
        <x:v>11386.956063258198</x:v>
      </x:c>
      <x:c r="AB1489" s="10" t="n">
        <x:f>Y1489+Z1489+AA1489</x:f>
        <x:v>45047.59802873172</x:v>
      </x:c>
      <x:c r="AC1489" s="8" t="n">
        <x:f>IF(AND(v01_WinterTrigger=1,D1489=1,AB1488/AE1488&gt;=K1489),1,0)</x:f>
        <x:v>0</x:v>
      </x:c>
      <x:c r="AD1489" s="8" t="n">
        <x:f>H1489*IF(AND(OR(AB1488/AE1488&gt;=v01_FissionTrigger*N1489,AC1489=1),AB1488/AE1488*v01_DaughterShare&gt;=v01_MinDaughter),MAX(1,ROUND(AE1488*v01_FissionRate,0)),0)</x:f>
        <x:v>0</x:v>
      </x:c>
      <x:c r="AE1489" s="8" t="n">
        <x:f>IF(H1489=1,MAX(1,MIN(INDEX(v01_Smax,G1489),AE1488+AD1489)),AE1488)</x:f>
        <x:v>15</x:v>
      </x:c>
      <x:c r="AF1489" s="8" t="n">
        <x:f>MAX(0,AE1489-AE1488)</x:f>
        <x:v>0</x:v>
      </x:c>
      <x:c r="AG1489" s="9" t="str">
        <x:f>IF(AF1489&gt;0,B1489,"")</x:f>
      </x:c>
      <x:c r="AH1489" s="9" t="n">
        <x:f>IF(F1489&gt;=1,1,(1+v01_LowTiesShare*(AE1489-1))/AE1489)</x:f>
        <x:v>1</x:v>
      </x:c>
      <x:c r="AI1489" s="32" t="n">
        <x:f>(Z1489+v01_ElderCommons*INDEX(LM_Elder,G1489)*AA1489)*AH1489</x:f>
        <x:v>64139.732591141874</x:v>
      </x:c>
      <x:c r="AJ1489" s="32" t="n">
        <x:f>H1489*v01_CommonsCoef*AI1489^v01_CommonsExp*INDEX(LM_Commons,G1489)</x:f>
        <x:v>0</x:v>
      </x:c>
      <x:c r="AK1489" s="32" t="n">
        <x:f>H1489*v01_RoleScale*Arch_Roles*(AE1489*(INDEX(v01_ElderRolePerSett,G1489)*v01_OutElder*INDEX(LM_Elder,G1489)+INDEX(v01_ShamanPerSett,G1489)*v01_OutShaman)+Z1489*(INDEX(v01_PriestShare,G1489)*v01_OutPriest+INDEX(v01_ScribeShare,G1489)*v01_OutScribe*INDEX(LM_Scribe,G1489)+INDEX(v01_ScholarShare,G1489)*v01_OutScholar*INDEX(LM_Scholar,G1489)+INDEX(v01_ResearcherShare,G1489)*v01_OutResearcher*INDEX(LM_Researcher,G1489)))</x:f>
        <x:v>0</x:v>
      </x:c>
      <x:c r="AL1489" s="32" t="n">
        <x:f>H1489*v01_RoleScale*Arch_Roles*AE1489*INDEX(v01_MonasteryPerSett,G1489)*v01_OutMonastery*INDEX(LM_Monastery,G1489)</x:f>
        <x:v>0</x:v>
      </x:c>
      <x:c r="AM1489" s="32" t="n">
        <x:f>(AJ1489+AK1489+AL1489)/4*INDEX(LM_All,G1489)*INDEX(v01_Boon,G1489)*Arch_Insight</x:f>
        <x:v>0</x:v>
      </x:c>
      <x:c r="AN1489" s="32" t="n">
        <x:f>H1489*(v01_KHPerAdult*Z1489+v01_KHOfCommons*AJ1489/4*INDEX(LM_All,G1489))*v01_KHUsable*Arch_KH</x:f>
        <x:v>0</x:v>
      </x:c>
      <x:c r="AO1489" s="32" t="n">
        <x:f>MIN(AP1488+AN1489,AM1489*v01_KHMaxRatio)</x:f>
        <x:v>0</x:v>
      </x:c>
      <x:c r="AP1489" s="32" t="n">
        <x:f>AP1488+AN1489-AO1489</x:f>
        <x:v>0</x:v>
      </x:c>
      <x:c r="AQ1489" s="32" t="n">
        <x:f>AM1489+AO1489</x:f>
        <x:v>0</x:v>
      </x:c>
      <x:c r="AR1489" s="10" t="n">
        <x:f>IF(H1489=1,INDEX(v01_Req,G1489),0)</x:f>
        <x:v>0</x:v>
      </x:c>
      <x:c r="AS1489" s="32" t="n">
        <x:f>IF(H1489=1,IF(E1489=1,AS1488-AR1488,AS1488)+AQ1489,0)</x:f>
        <x:v>0</x:v>
      </x:c>
      <x:c r="AT1489" s="11" t="n">
        <x:f>IF(AR1489&gt;0,MIN(1,AS1489/AR1489),1)</x:f>
        <x:v>1</x:v>
      </x:c>
      <x:c r="AU1489" s="10" t="n">
        <x:f>AB1489/INDEX(v01_RepScale,G1489)</x:f>
        <x:v>90.09519605746344</x:v>
      </x:c>
      <x:c r="AV1489" s="32" t="n">
        <x:f>AM1489*60/v01_SeasonSeconds</x:f>
        <x:v>0</x:v>
      </x:c>
    </x:row>
    <x:row r="1490">
      <x:c r="A1490" s="8" t="n">
        <x:f>A1489+1</x:f>
        <x:v>1487</x:v>
      </x:c>
      <x:c r="B1490" s="9" t="n">
        <x:f>A1490*v01_SeasonSeconds/60</x:f>
        <x:v>371.75</x:v>
      </x:c>
      <x:c r="C1490" s="9" t="n">
        <x:f>A1490/4</x:f>
        <x:v>371.75</x:v>
      </x:c>
      <x:c r="D1490" s="8" t="n">
        <x:f>IF(MOD(A1490,4)=0,1,0)</x:f>
        <x:v>0</x:v>
      </x:c>
      <x:c r="E1490" s="8" t="n">
        <x:f>IF(AND(F1489&lt;=9,AS1489&gt;=AR1489),1,0)</x:f>
        <x:v>0</x:v>
      </x:c>
      <x:c r="F1490" s="8" t="n">
        <x:f>MIN(10,F1489+E1490)</x:f>
        <x:v>10</x:v>
      </x:c>
      <x:c r="G1490" s="8" t="n">
        <x:f>MIN(F1490,9)+1</x:f>
        <x:v>10</x:v>
      </x:c>
      <x:c r="H1490" s="8" t="n">
        <x:f>IF(F1490&lt;=9,1,0)</x:f>
        <x:v>0</x:v>
      </x:c>
      <x:c r="I1490" s="9" t="n">
        <x:f>MIN(10,F1489+IF(AR1489&gt;0,MIN(1,AS1489/AR1489),1))</x:f>
        <x:v>10</x:v>
      </x:c>
      <x:c r="J1490" s="32" t="n">
        <x:f>INDEX(v01_FoodCap,G1490)*Arch_FoodCap*EXP(v01_CapsByProject*SUMPRODUCT((Cap_Point&lt;=I1490)*(Cap_Kind="Food")*Cap_Ln))</x:f>
        <x:v>12000</x:v>
      </x:c>
      <x:c r="K1490" s="32" t="n">
        <x:f>J1490*MIN(1,v01_LeanBase*EXP(v01_CapsByProject*SUMPRODUCT((Cap_Point&lt;=I1490)*(Cap_Kind="Lean")*Cap_Ln)))</x:f>
        <x:v>12000</x:v>
      </x:c>
      <x:c r="L1490" s="10" t="n">
        <x:f>INDEX(v01_HousingCap,G1490)*EXP(v01_CapsByProject*SUMPRODUCT((Cap_Point&lt;=I1490)*(Cap_Kind="Housing")*Cap_Ln))</x:f>
        <x:v>20000</x:v>
      </x:c>
      <x:c r="M1490" s="10" t="n">
        <x:f>INDEX(v01_GroupCap,G1490)*v01_CohesionFactor*EXP(v01_CapsByProject*SUMPRODUCT((Cap_Point&lt;=I1490)*(Cap_Kind="Group")*Cap_Ln))</x:f>
        <x:v>1000000</x:v>
      </x:c>
      <x:c r="N1490" s="32" t="n">
        <x:f>MIN(J1490,L1490,M1490)</x:f>
        <x:v>12000</x:v>
      </x:c>
      <x:c r="O1490" s="10" t="n">
        <x:f>AE1489*N1490</x:f>
        <x:v>180000</x:v>
      </x:c>
      <x:c r="P1490" s="9" t="n">
        <x:f>MIN(1,(AB1489/(AE1489*IF(v01_GroupInCrowding=1,N1490,MIN(J1490,L1490))))^v01_CrowdingExp)</x:f>
        <x:v>0.00024569414295285325</x:v>
      </x:c>
      <x:c r="Q1490" s="9" t="n">
        <x:f>IF(D1490=1,INDEX(v01_WinterMult,G1490),1)</x:f>
        <x:v>1</x:v>
      </x:c>
      <x:c r="R1490" s="9" t="n">
        <x:f>H1490*Z1489*v01_WomenShare*v01_BaseFertility*INDEX(v01_FertMult,G1490)*Arch_Fertility*(1-P1490)</x:f>
        <x:v>0</x:v>
      </x:c>
      <x:c r="S1490" s="9" t="n">
        <x:f>H1490*Y1489*INDEX(v01_MortChild,G1490)/4*Q1490</x:f>
        <x:v>0</x:v>
      </x:c>
      <x:c r="T1490" s="9" t="n">
        <x:f>H1490*Z1489*INDEX(v01_MortAdult,G1490)*Arch_AdultMort/4*Q1490</x:f>
        <x:v>0</x:v>
      </x:c>
      <x:c r="U1490" s="9" t="n">
        <x:f>H1490*AA1489*INDEX(v01_MortElder,G1490)/4*Q1490</x:f>
        <x:v>0</x:v>
      </x:c>
      <x:c r="V1490" s="9" t="n">
        <x:f>H1490*MAX(0,AB1489-O1490)*v01_OvercapLoss</x:f>
        <x:v>0</x:v>
      </x:c>
      <x:c r="W1490" s="9" t="n">
        <x:f>H1490*Y1489/(v01_ChildYears*4)</x:f>
        <x:v>0</x:v>
      </x:c>
      <x:c r="X1490" s="9" t="n">
        <x:f>H1490*Z1489/(v01_AdultYears*4)</x:f>
        <x:v>0</x:v>
      </x:c>
      <x:c r="Y1490" s="32" t="n">
        <x:f>Y1489+R1490-S1490-W1490-Y1489*V1490/AB1489</x:f>
        <x:v>14306.18539759397</x:v>
      </x:c>
      <x:c r="Z1490" s="32" t="n">
        <x:f>Z1489+W1490-X1490-T1490-Z1489*V1490/AB1489</x:f>
        <x:v>19354.456567879548</x:v>
      </x:c>
      <x:c r="AA1490" s="32" t="n">
        <x:f>AA1489+X1490-U1490-AA1489*V1490/AB1489</x:f>
        <x:v>11386.956063258198</x:v>
      </x:c>
      <x:c r="AB1490" s="10" t="n">
        <x:f>Y1490+Z1490+AA1490</x:f>
        <x:v>45047.59802873172</x:v>
      </x:c>
      <x:c r="AC1490" s="8" t="n">
        <x:f>IF(AND(v01_WinterTrigger=1,D1490=1,AB1489/AE1489&gt;=K1490),1,0)</x:f>
        <x:v>0</x:v>
      </x:c>
      <x:c r="AD1490" s="8" t="n">
        <x:f>H1490*IF(AND(OR(AB1489/AE1489&gt;=v01_FissionTrigger*N1490,AC1490=1),AB1489/AE1489*v01_DaughterShare&gt;=v01_MinDaughter),MAX(1,ROUND(AE1489*v01_FissionRate,0)),0)</x:f>
        <x:v>0</x:v>
      </x:c>
      <x:c r="AE1490" s="8" t="n">
        <x:f>IF(H1490=1,MAX(1,MIN(INDEX(v01_Smax,G1490),AE1489+AD1490)),AE1489)</x:f>
        <x:v>15</x:v>
      </x:c>
      <x:c r="AF1490" s="8" t="n">
        <x:f>MAX(0,AE1490-AE1489)</x:f>
        <x:v>0</x:v>
      </x:c>
      <x:c r="AG1490" s="9" t="str">
        <x:f>IF(AF1490&gt;0,B1490,"")</x:f>
      </x:c>
      <x:c r="AH1490" s="9" t="n">
        <x:f>IF(F1490&gt;=1,1,(1+v01_LowTiesShare*(AE1490-1))/AE1490)</x:f>
        <x:v>1</x:v>
      </x:c>
      <x:c r="AI1490" s="32" t="n">
        <x:f>(Z1490+v01_ElderCommons*INDEX(LM_Elder,G1490)*AA1490)*AH1490</x:f>
        <x:v>64139.732591141874</x:v>
      </x:c>
      <x:c r="AJ1490" s="32" t="n">
        <x:f>H1490*v01_CommonsCoef*AI1490^v01_CommonsExp*INDEX(LM_Commons,G1490)</x:f>
        <x:v>0</x:v>
      </x:c>
      <x:c r="AK1490" s="32" t="n">
        <x:f>H1490*v01_RoleScale*Arch_Roles*(AE1490*(INDEX(v01_ElderRolePerSett,G1490)*v01_OutElder*INDEX(LM_Elder,G1490)+INDEX(v01_ShamanPerSett,G1490)*v01_OutShaman)+Z1490*(INDEX(v01_PriestShare,G1490)*v01_OutPriest+INDEX(v01_ScribeShare,G1490)*v01_OutScribe*INDEX(LM_Scribe,G1490)+INDEX(v01_ScholarShare,G1490)*v01_OutScholar*INDEX(LM_Scholar,G1490)+INDEX(v01_ResearcherShare,G1490)*v01_OutResearcher*INDEX(LM_Researcher,G1490)))</x:f>
        <x:v>0</x:v>
      </x:c>
      <x:c r="AL1490" s="32" t="n">
        <x:f>H1490*v01_RoleScale*Arch_Roles*AE1490*INDEX(v01_MonasteryPerSett,G1490)*v01_OutMonastery*INDEX(LM_Monastery,G1490)</x:f>
        <x:v>0</x:v>
      </x:c>
      <x:c r="AM1490" s="32" t="n">
        <x:f>(AJ1490+AK1490+AL1490)/4*INDEX(LM_All,G1490)*INDEX(v01_Boon,G1490)*Arch_Insight</x:f>
        <x:v>0</x:v>
      </x:c>
      <x:c r="AN1490" s="32" t="n">
        <x:f>H1490*(v01_KHPerAdult*Z1490+v01_KHOfCommons*AJ1490/4*INDEX(LM_All,G1490))*v01_KHUsable*Arch_KH</x:f>
        <x:v>0</x:v>
      </x:c>
      <x:c r="AO1490" s="32" t="n">
        <x:f>MIN(AP1489+AN1490,AM1490*v01_KHMaxRatio)</x:f>
        <x:v>0</x:v>
      </x:c>
      <x:c r="AP1490" s="32" t="n">
        <x:f>AP1489+AN1490-AO1490</x:f>
        <x:v>0</x:v>
      </x:c>
      <x:c r="AQ1490" s="32" t="n">
        <x:f>AM1490+AO1490</x:f>
        <x:v>0</x:v>
      </x:c>
      <x:c r="AR1490" s="10" t="n">
        <x:f>IF(H1490=1,INDEX(v01_Req,G1490),0)</x:f>
        <x:v>0</x:v>
      </x:c>
      <x:c r="AS1490" s="32" t="n">
        <x:f>IF(H1490=1,IF(E1490=1,AS1489-AR1489,AS1489)+AQ1490,0)</x:f>
        <x:v>0</x:v>
      </x:c>
      <x:c r="AT1490" s="11" t="n">
        <x:f>IF(AR1490&gt;0,MIN(1,AS1490/AR1490),1)</x:f>
        <x:v>1</x:v>
      </x:c>
      <x:c r="AU1490" s="10" t="n">
        <x:f>AB1490/INDEX(v01_RepScale,G1490)</x:f>
        <x:v>90.09519605746344</x:v>
      </x:c>
      <x:c r="AV1490" s="32" t="n">
        <x:f>AM1490*60/v01_SeasonSeconds</x:f>
        <x:v>0</x:v>
      </x:c>
    </x:row>
    <x:row r="1491">
      <x:c r="A1491" s="8" t="n">
        <x:f>A1490+1</x:f>
        <x:v>1488</x:v>
      </x:c>
      <x:c r="B1491" s="9" t="n">
        <x:f>A1491*v01_SeasonSeconds/60</x:f>
        <x:v>372</x:v>
      </x:c>
      <x:c r="C1491" s="9" t="n">
        <x:f>A1491/4</x:f>
        <x:v>372</x:v>
      </x:c>
      <x:c r="D1491" s="8" t="n">
        <x:f>IF(MOD(A1491,4)=0,1,0)</x:f>
        <x:v>1</x:v>
      </x:c>
      <x:c r="E1491" s="8" t="n">
        <x:f>IF(AND(F1490&lt;=9,AS1490&gt;=AR1490),1,0)</x:f>
        <x:v>0</x:v>
      </x:c>
      <x:c r="F1491" s="8" t="n">
        <x:f>MIN(10,F1490+E1491)</x:f>
        <x:v>10</x:v>
      </x:c>
      <x:c r="G1491" s="8" t="n">
        <x:f>MIN(F1491,9)+1</x:f>
        <x:v>10</x:v>
      </x:c>
      <x:c r="H1491" s="8" t="n">
        <x:f>IF(F1491&lt;=9,1,0)</x:f>
        <x:v>0</x:v>
      </x:c>
      <x:c r="I1491" s="9" t="n">
        <x:f>MIN(10,F1490+IF(AR1490&gt;0,MIN(1,AS1490/AR1490),1))</x:f>
        <x:v>10</x:v>
      </x:c>
      <x:c r="J1491" s="32" t="n">
        <x:f>INDEX(v01_FoodCap,G1491)*Arch_FoodCap*EXP(v01_CapsByProject*SUMPRODUCT((Cap_Point&lt;=I1491)*(Cap_Kind="Food")*Cap_Ln))</x:f>
        <x:v>12000</x:v>
      </x:c>
      <x:c r="K1491" s="32" t="n">
        <x:f>J1491*MIN(1,v01_LeanBase*EXP(v01_CapsByProject*SUMPRODUCT((Cap_Point&lt;=I1491)*(Cap_Kind="Lean")*Cap_Ln)))</x:f>
        <x:v>12000</x:v>
      </x:c>
      <x:c r="L1491" s="10" t="n">
        <x:f>INDEX(v01_HousingCap,G1491)*EXP(v01_CapsByProject*SUMPRODUCT((Cap_Point&lt;=I1491)*(Cap_Kind="Housing")*Cap_Ln))</x:f>
        <x:v>20000</x:v>
      </x:c>
      <x:c r="M1491" s="10" t="n">
        <x:f>INDEX(v01_GroupCap,G1491)*v01_CohesionFactor*EXP(v01_CapsByProject*SUMPRODUCT((Cap_Point&lt;=I1491)*(Cap_Kind="Group")*Cap_Ln))</x:f>
        <x:v>1000000</x:v>
      </x:c>
      <x:c r="N1491" s="32" t="n">
        <x:f>MIN(J1491,L1491,M1491)</x:f>
        <x:v>12000</x:v>
      </x:c>
      <x:c r="O1491" s="10" t="n">
        <x:f>AE1490*N1491</x:f>
        <x:v>180000</x:v>
      </x:c>
      <x:c r="P1491" s="9" t="n">
        <x:f>MIN(1,(AB1490/(AE1490*IF(v01_GroupInCrowding=1,N1491,MIN(J1491,L1491))))^v01_CrowdingExp)</x:f>
        <x:v>0.00024569414295285325</x:v>
      </x:c>
      <x:c r="Q1491" s="9" t="n">
        <x:f>IF(D1491=1,INDEX(v01_WinterMult,G1491),1)</x:f>
        <x:v>1</x:v>
      </x:c>
      <x:c r="R1491" s="9" t="n">
        <x:f>H1491*Z1490*v01_WomenShare*v01_BaseFertility*INDEX(v01_FertMult,G1491)*Arch_Fertility*(1-P1491)</x:f>
        <x:v>0</x:v>
      </x:c>
      <x:c r="S1491" s="9" t="n">
        <x:f>H1491*Y1490*INDEX(v01_MortChild,G1491)/4*Q1491</x:f>
        <x:v>0</x:v>
      </x:c>
      <x:c r="T1491" s="9" t="n">
        <x:f>H1491*Z1490*INDEX(v01_MortAdult,G1491)*Arch_AdultMort/4*Q1491</x:f>
        <x:v>0</x:v>
      </x:c>
      <x:c r="U1491" s="9" t="n">
        <x:f>H1491*AA1490*INDEX(v01_MortElder,G1491)/4*Q1491</x:f>
        <x:v>0</x:v>
      </x:c>
      <x:c r="V1491" s="9" t="n">
        <x:f>H1491*MAX(0,AB1490-O1491)*v01_OvercapLoss</x:f>
        <x:v>0</x:v>
      </x:c>
      <x:c r="W1491" s="9" t="n">
        <x:f>H1491*Y1490/(v01_ChildYears*4)</x:f>
        <x:v>0</x:v>
      </x:c>
      <x:c r="X1491" s="9" t="n">
        <x:f>H1491*Z1490/(v01_AdultYears*4)</x:f>
        <x:v>0</x:v>
      </x:c>
      <x:c r="Y1491" s="32" t="n">
        <x:f>Y1490+R1491-S1491-W1491-Y1490*V1491/AB1490</x:f>
        <x:v>14306.18539759397</x:v>
      </x:c>
      <x:c r="Z1491" s="32" t="n">
        <x:f>Z1490+W1491-X1491-T1491-Z1490*V1491/AB1490</x:f>
        <x:v>19354.456567879548</x:v>
      </x:c>
      <x:c r="AA1491" s="32" t="n">
        <x:f>AA1490+X1491-U1491-AA1490*V1491/AB1490</x:f>
        <x:v>11386.956063258198</x:v>
      </x:c>
      <x:c r="AB1491" s="10" t="n">
        <x:f>Y1491+Z1491+AA1491</x:f>
        <x:v>45047.59802873172</x:v>
      </x:c>
      <x:c r="AC1491" s="8" t="n">
        <x:f>IF(AND(v01_WinterTrigger=1,D1491=1,AB1490/AE1490&gt;=K1491),1,0)</x:f>
        <x:v>0</x:v>
      </x:c>
      <x:c r="AD1491" s="8" t="n">
        <x:f>H1491*IF(AND(OR(AB1490/AE1490&gt;=v01_FissionTrigger*N1491,AC1491=1),AB1490/AE1490*v01_DaughterShare&gt;=v01_MinDaughter),MAX(1,ROUND(AE1490*v01_FissionRate,0)),0)</x:f>
        <x:v>0</x:v>
      </x:c>
      <x:c r="AE1491" s="8" t="n">
        <x:f>IF(H1491=1,MAX(1,MIN(INDEX(v01_Smax,G1491),AE1490+AD1491)),AE1490)</x:f>
        <x:v>15</x:v>
      </x:c>
      <x:c r="AF1491" s="8" t="n">
        <x:f>MAX(0,AE1491-AE1490)</x:f>
        <x:v>0</x:v>
      </x:c>
      <x:c r="AG1491" s="9" t="str">
        <x:f>IF(AF1491&gt;0,B1491,"")</x:f>
      </x:c>
      <x:c r="AH1491" s="9" t="n">
        <x:f>IF(F1491&gt;=1,1,(1+v01_LowTiesShare*(AE1491-1))/AE1491)</x:f>
        <x:v>1</x:v>
      </x:c>
      <x:c r="AI1491" s="32" t="n">
        <x:f>(Z1491+v01_ElderCommons*INDEX(LM_Elder,G1491)*AA1491)*AH1491</x:f>
        <x:v>64139.732591141874</x:v>
      </x:c>
      <x:c r="AJ1491" s="32" t="n">
        <x:f>H1491*v01_CommonsCoef*AI1491^v01_CommonsExp*INDEX(LM_Commons,G1491)</x:f>
        <x:v>0</x:v>
      </x:c>
      <x:c r="AK1491" s="32" t="n">
        <x:f>H1491*v01_RoleScale*Arch_Roles*(AE1491*(INDEX(v01_ElderRolePerSett,G1491)*v01_OutElder*INDEX(LM_Elder,G1491)+INDEX(v01_ShamanPerSett,G1491)*v01_OutShaman)+Z1491*(INDEX(v01_PriestShare,G1491)*v01_OutPriest+INDEX(v01_ScribeShare,G1491)*v01_OutScribe*INDEX(LM_Scribe,G1491)+INDEX(v01_ScholarShare,G1491)*v01_OutScholar*INDEX(LM_Scholar,G1491)+INDEX(v01_ResearcherShare,G1491)*v01_OutResearcher*INDEX(LM_Researcher,G1491)))</x:f>
        <x:v>0</x:v>
      </x:c>
      <x:c r="AL1491" s="32" t="n">
        <x:f>H1491*v01_RoleScale*Arch_Roles*AE1491*INDEX(v01_MonasteryPerSett,G1491)*v01_OutMonastery*INDEX(LM_Monastery,G1491)</x:f>
        <x:v>0</x:v>
      </x:c>
      <x:c r="AM1491" s="32" t="n">
        <x:f>(AJ1491+AK1491+AL1491)/4*INDEX(LM_All,G1491)*INDEX(v01_Boon,G1491)*Arch_Insight</x:f>
        <x:v>0</x:v>
      </x:c>
      <x:c r="AN1491" s="32" t="n">
        <x:f>H1491*(v01_KHPerAdult*Z1491+v01_KHOfCommons*AJ1491/4*INDEX(LM_All,G1491))*v01_KHUsable*Arch_KH</x:f>
        <x:v>0</x:v>
      </x:c>
      <x:c r="AO1491" s="32" t="n">
        <x:f>MIN(AP1490+AN1491,AM1491*v01_KHMaxRatio)</x:f>
        <x:v>0</x:v>
      </x:c>
      <x:c r="AP1491" s="32" t="n">
        <x:f>AP1490+AN1491-AO1491</x:f>
        <x:v>0</x:v>
      </x:c>
      <x:c r="AQ1491" s="32" t="n">
        <x:f>AM1491+AO1491</x:f>
        <x:v>0</x:v>
      </x:c>
      <x:c r="AR1491" s="10" t="n">
        <x:f>IF(H1491=1,INDEX(v01_Req,G1491),0)</x:f>
        <x:v>0</x:v>
      </x:c>
      <x:c r="AS1491" s="32" t="n">
        <x:f>IF(H1491=1,IF(E1491=1,AS1490-AR1490,AS1490)+AQ1491,0)</x:f>
        <x:v>0</x:v>
      </x:c>
      <x:c r="AT1491" s="11" t="n">
        <x:f>IF(AR1491&gt;0,MIN(1,AS1491/AR1491),1)</x:f>
        <x:v>1</x:v>
      </x:c>
      <x:c r="AU1491" s="10" t="n">
        <x:f>AB1491/INDEX(v01_RepScale,G1491)</x:f>
        <x:v>90.09519605746344</x:v>
      </x:c>
      <x:c r="AV1491" s="32" t="n">
        <x:f>AM1491*60/v01_SeasonSeconds</x:f>
        <x:v>0</x:v>
      </x:c>
    </x:row>
    <x:row r="1492">
      <x:c r="A1492" s="8" t="n">
        <x:f>A1491+1</x:f>
        <x:v>1489</x:v>
      </x:c>
      <x:c r="B1492" s="9" t="n">
        <x:f>A1492*v01_SeasonSeconds/60</x:f>
        <x:v>372.25</x:v>
      </x:c>
      <x:c r="C1492" s="9" t="n">
        <x:f>A1492/4</x:f>
        <x:v>372.25</x:v>
      </x:c>
      <x:c r="D1492" s="8" t="n">
        <x:f>IF(MOD(A1492,4)=0,1,0)</x:f>
        <x:v>0</x:v>
      </x:c>
      <x:c r="E1492" s="8" t="n">
        <x:f>IF(AND(F1491&lt;=9,AS1491&gt;=AR1491),1,0)</x:f>
        <x:v>0</x:v>
      </x:c>
      <x:c r="F1492" s="8" t="n">
        <x:f>MIN(10,F1491+E1492)</x:f>
        <x:v>10</x:v>
      </x:c>
      <x:c r="G1492" s="8" t="n">
        <x:f>MIN(F1492,9)+1</x:f>
        <x:v>10</x:v>
      </x:c>
      <x:c r="H1492" s="8" t="n">
        <x:f>IF(F1492&lt;=9,1,0)</x:f>
        <x:v>0</x:v>
      </x:c>
      <x:c r="I1492" s="9" t="n">
        <x:f>MIN(10,F1491+IF(AR1491&gt;0,MIN(1,AS1491/AR1491),1))</x:f>
        <x:v>10</x:v>
      </x:c>
      <x:c r="J1492" s="32" t="n">
        <x:f>INDEX(v01_FoodCap,G1492)*Arch_FoodCap*EXP(v01_CapsByProject*SUMPRODUCT((Cap_Point&lt;=I1492)*(Cap_Kind="Food")*Cap_Ln))</x:f>
        <x:v>12000</x:v>
      </x:c>
      <x:c r="K1492" s="32" t="n">
        <x:f>J1492*MIN(1,v01_LeanBase*EXP(v01_CapsByProject*SUMPRODUCT((Cap_Point&lt;=I1492)*(Cap_Kind="Lean")*Cap_Ln)))</x:f>
        <x:v>12000</x:v>
      </x:c>
      <x:c r="L1492" s="10" t="n">
        <x:f>INDEX(v01_HousingCap,G1492)*EXP(v01_CapsByProject*SUMPRODUCT((Cap_Point&lt;=I1492)*(Cap_Kind="Housing")*Cap_Ln))</x:f>
        <x:v>20000</x:v>
      </x:c>
      <x:c r="M1492" s="10" t="n">
        <x:f>INDEX(v01_GroupCap,G1492)*v01_CohesionFactor*EXP(v01_CapsByProject*SUMPRODUCT((Cap_Point&lt;=I1492)*(Cap_Kind="Group")*Cap_Ln))</x:f>
        <x:v>1000000</x:v>
      </x:c>
      <x:c r="N1492" s="32" t="n">
        <x:f>MIN(J1492,L1492,M1492)</x:f>
        <x:v>12000</x:v>
      </x:c>
      <x:c r="O1492" s="10" t="n">
        <x:f>AE1491*N1492</x:f>
        <x:v>180000</x:v>
      </x:c>
      <x:c r="P1492" s="9" t="n">
        <x:f>MIN(1,(AB1491/(AE1491*IF(v01_GroupInCrowding=1,N1492,MIN(J1492,L1492))))^v01_CrowdingExp)</x:f>
        <x:v>0.00024569414295285325</x:v>
      </x:c>
      <x:c r="Q1492" s="9" t="n">
        <x:f>IF(D1492=1,INDEX(v01_WinterMult,G1492),1)</x:f>
        <x:v>1</x:v>
      </x:c>
      <x:c r="R1492" s="9" t="n">
        <x:f>H1492*Z1491*v01_WomenShare*v01_BaseFertility*INDEX(v01_FertMult,G1492)*Arch_Fertility*(1-P1492)</x:f>
        <x:v>0</x:v>
      </x:c>
      <x:c r="S1492" s="9" t="n">
        <x:f>H1492*Y1491*INDEX(v01_MortChild,G1492)/4*Q1492</x:f>
        <x:v>0</x:v>
      </x:c>
      <x:c r="T1492" s="9" t="n">
        <x:f>H1492*Z1491*INDEX(v01_MortAdult,G1492)*Arch_AdultMort/4*Q1492</x:f>
        <x:v>0</x:v>
      </x:c>
      <x:c r="U1492" s="9" t="n">
        <x:f>H1492*AA1491*INDEX(v01_MortElder,G1492)/4*Q1492</x:f>
        <x:v>0</x:v>
      </x:c>
      <x:c r="V1492" s="9" t="n">
        <x:f>H1492*MAX(0,AB1491-O1492)*v01_OvercapLoss</x:f>
        <x:v>0</x:v>
      </x:c>
      <x:c r="W1492" s="9" t="n">
        <x:f>H1492*Y1491/(v01_ChildYears*4)</x:f>
        <x:v>0</x:v>
      </x:c>
      <x:c r="X1492" s="9" t="n">
        <x:f>H1492*Z1491/(v01_AdultYears*4)</x:f>
        <x:v>0</x:v>
      </x:c>
      <x:c r="Y1492" s="32" t="n">
        <x:f>Y1491+R1492-S1492-W1492-Y1491*V1492/AB1491</x:f>
        <x:v>14306.18539759397</x:v>
      </x:c>
      <x:c r="Z1492" s="32" t="n">
        <x:f>Z1491+W1492-X1492-T1492-Z1491*V1492/AB1491</x:f>
        <x:v>19354.456567879548</x:v>
      </x:c>
      <x:c r="AA1492" s="32" t="n">
        <x:f>AA1491+X1492-U1492-AA1491*V1492/AB1491</x:f>
        <x:v>11386.956063258198</x:v>
      </x:c>
      <x:c r="AB1492" s="10" t="n">
        <x:f>Y1492+Z1492+AA1492</x:f>
        <x:v>45047.59802873172</x:v>
      </x:c>
      <x:c r="AC1492" s="8" t="n">
        <x:f>IF(AND(v01_WinterTrigger=1,D1492=1,AB1491/AE1491&gt;=K1492),1,0)</x:f>
        <x:v>0</x:v>
      </x:c>
      <x:c r="AD1492" s="8" t="n">
        <x:f>H1492*IF(AND(OR(AB1491/AE1491&gt;=v01_FissionTrigger*N1492,AC1492=1),AB1491/AE1491*v01_DaughterShare&gt;=v01_MinDaughter),MAX(1,ROUND(AE1491*v01_FissionRate,0)),0)</x:f>
        <x:v>0</x:v>
      </x:c>
      <x:c r="AE1492" s="8" t="n">
        <x:f>IF(H1492=1,MAX(1,MIN(INDEX(v01_Smax,G1492),AE1491+AD1492)),AE1491)</x:f>
        <x:v>15</x:v>
      </x:c>
      <x:c r="AF1492" s="8" t="n">
        <x:f>MAX(0,AE1492-AE1491)</x:f>
        <x:v>0</x:v>
      </x:c>
      <x:c r="AG1492" s="9" t="str">
        <x:f>IF(AF1492&gt;0,B1492,"")</x:f>
      </x:c>
      <x:c r="AH1492" s="9" t="n">
        <x:f>IF(F1492&gt;=1,1,(1+v01_LowTiesShare*(AE1492-1))/AE1492)</x:f>
        <x:v>1</x:v>
      </x:c>
      <x:c r="AI1492" s="32" t="n">
        <x:f>(Z1492+v01_ElderCommons*INDEX(LM_Elder,G1492)*AA1492)*AH1492</x:f>
        <x:v>64139.732591141874</x:v>
      </x:c>
      <x:c r="AJ1492" s="32" t="n">
        <x:f>H1492*v01_CommonsCoef*AI1492^v01_CommonsExp*INDEX(LM_Commons,G1492)</x:f>
        <x:v>0</x:v>
      </x:c>
      <x:c r="AK1492" s="32" t="n">
        <x:f>H1492*v01_RoleScale*Arch_Roles*(AE1492*(INDEX(v01_ElderRolePerSett,G1492)*v01_OutElder*INDEX(LM_Elder,G1492)+INDEX(v01_ShamanPerSett,G1492)*v01_OutShaman)+Z1492*(INDEX(v01_PriestShare,G1492)*v01_OutPriest+INDEX(v01_ScribeShare,G1492)*v01_OutScribe*INDEX(LM_Scribe,G1492)+INDEX(v01_ScholarShare,G1492)*v01_OutScholar*INDEX(LM_Scholar,G1492)+INDEX(v01_ResearcherShare,G1492)*v01_OutResearcher*INDEX(LM_Researcher,G1492)))</x:f>
        <x:v>0</x:v>
      </x:c>
      <x:c r="AL1492" s="32" t="n">
        <x:f>H1492*v01_RoleScale*Arch_Roles*AE1492*INDEX(v01_MonasteryPerSett,G1492)*v01_OutMonastery*INDEX(LM_Monastery,G1492)</x:f>
        <x:v>0</x:v>
      </x:c>
      <x:c r="AM1492" s="32" t="n">
        <x:f>(AJ1492+AK1492+AL1492)/4*INDEX(LM_All,G1492)*INDEX(v01_Boon,G1492)*Arch_Insight</x:f>
        <x:v>0</x:v>
      </x:c>
      <x:c r="AN1492" s="32" t="n">
        <x:f>H1492*(v01_KHPerAdult*Z1492+v01_KHOfCommons*AJ1492/4*INDEX(LM_All,G1492))*v01_KHUsable*Arch_KH</x:f>
        <x:v>0</x:v>
      </x:c>
      <x:c r="AO1492" s="32" t="n">
        <x:f>MIN(AP1491+AN1492,AM1492*v01_KHMaxRatio)</x:f>
        <x:v>0</x:v>
      </x:c>
      <x:c r="AP1492" s="32" t="n">
        <x:f>AP1491+AN1492-AO1492</x:f>
        <x:v>0</x:v>
      </x:c>
      <x:c r="AQ1492" s="32" t="n">
        <x:f>AM1492+AO1492</x:f>
        <x:v>0</x:v>
      </x:c>
      <x:c r="AR1492" s="10" t="n">
        <x:f>IF(H1492=1,INDEX(v01_Req,G1492),0)</x:f>
        <x:v>0</x:v>
      </x:c>
      <x:c r="AS1492" s="32" t="n">
        <x:f>IF(H1492=1,IF(E1492=1,AS1491-AR1491,AS1491)+AQ1492,0)</x:f>
        <x:v>0</x:v>
      </x:c>
      <x:c r="AT1492" s="11" t="n">
        <x:f>IF(AR1492&gt;0,MIN(1,AS1492/AR1492),1)</x:f>
        <x:v>1</x:v>
      </x:c>
      <x:c r="AU1492" s="10" t="n">
        <x:f>AB1492/INDEX(v01_RepScale,G1492)</x:f>
        <x:v>90.09519605746344</x:v>
      </x:c>
      <x:c r="AV1492" s="32" t="n">
        <x:f>AM1492*60/v01_SeasonSeconds</x:f>
        <x:v>0</x:v>
      </x:c>
    </x:row>
    <x:row r="1493">
      <x:c r="A1493" s="8" t="n">
        <x:f>A1492+1</x:f>
        <x:v>1490</x:v>
      </x:c>
      <x:c r="B1493" s="9" t="n">
        <x:f>A1493*v01_SeasonSeconds/60</x:f>
        <x:v>372.5</x:v>
      </x:c>
      <x:c r="C1493" s="9" t="n">
        <x:f>A1493/4</x:f>
        <x:v>372.5</x:v>
      </x:c>
      <x:c r="D1493" s="8" t="n">
        <x:f>IF(MOD(A1493,4)=0,1,0)</x:f>
        <x:v>0</x:v>
      </x:c>
      <x:c r="E1493" s="8" t="n">
        <x:f>IF(AND(F1492&lt;=9,AS1492&gt;=AR1492),1,0)</x:f>
        <x:v>0</x:v>
      </x:c>
      <x:c r="F1493" s="8" t="n">
        <x:f>MIN(10,F1492+E1493)</x:f>
        <x:v>10</x:v>
      </x:c>
      <x:c r="G1493" s="8" t="n">
        <x:f>MIN(F1493,9)+1</x:f>
        <x:v>10</x:v>
      </x:c>
      <x:c r="H1493" s="8" t="n">
        <x:f>IF(F1493&lt;=9,1,0)</x:f>
        <x:v>0</x:v>
      </x:c>
      <x:c r="I1493" s="9" t="n">
        <x:f>MIN(10,F1492+IF(AR1492&gt;0,MIN(1,AS1492/AR1492),1))</x:f>
        <x:v>10</x:v>
      </x:c>
      <x:c r="J1493" s="32" t="n">
        <x:f>INDEX(v01_FoodCap,G1493)*Arch_FoodCap*EXP(v01_CapsByProject*SUMPRODUCT((Cap_Point&lt;=I1493)*(Cap_Kind="Food")*Cap_Ln))</x:f>
        <x:v>12000</x:v>
      </x:c>
      <x:c r="K1493" s="32" t="n">
        <x:f>J1493*MIN(1,v01_LeanBase*EXP(v01_CapsByProject*SUMPRODUCT((Cap_Point&lt;=I1493)*(Cap_Kind="Lean")*Cap_Ln)))</x:f>
        <x:v>12000</x:v>
      </x:c>
      <x:c r="L1493" s="10" t="n">
        <x:f>INDEX(v01_HousingCap,G1493)*EXP(v01_CapsByProject*SUMPRODUCT((Cap_Point&lt;=I1493)*(Cap_Kind="Housing")*Cap_Ln))</x:f>
        <x:v>20000</x:v>
      </x:c>
      <x:c r="M1493" s="10" t="n">
        <x:f>INDEX(v01_GroupCap,G1493)*v01_CohesionFactor*EXP(v01_CapsByProject*SUMPRODUCT((Cap_Point&lt;=I1493)*(Cap_Kind="Group")*Cap_Ln))</x:f>
        <x:v>1000000</x:v>
      </x:c>
      <x:c r="N1493" s="32" t="n">
        <x:f>MIN(J1493,L1493,M1493)</x:f>
        <x:v>12000</x:v>
      </x:c>
      <x:c r="O1493" s="10" t="n">
        <x:f>AE1492*N1493</x:f>
        <x:v>180000</x:v>
      </x:c>
      <x:c r="P1493" s="9" t="n">
        <x:f>MIN(1,(AB1492/(AE1492*IF(v01_GroupInCrowding=1,N1493,MIN(J1493,L1493))))^v01_CrowdingExp)</x:f>
        <x:v>0.00024569414295285325</x:v>
      </x:c>
      <x:c r="Q1493" s="9" t="n">
        <x:f>IF(D1493=1,INDEX(v01_WinterMult,G1493),1)</x:f>
        <x:v>1</x:v>
      </x:c>
      <x:c r="R1493" s="9" t="n">
        <x:f>H1493*Z1492*v01_WomenShare*v01_BaseFertility*INDEX(v01_FertMult,G1493)*Arch_Fertility*(1-P1493)</x:f>
        <x:v>0</x:v>
      </x:c>
      <x:c r="S1493" s="9" t="n">
        <x:f>H1493*Y1492*INDEX(v01_MortChild,G1493)/4*Q1493</x:f>
        <x:v>0</x:v>
      </x:c>
      <x:c r="T1493" s="9" t="n">
        <x:f>H1493*Z1492*INDEX(v01_MortAdult,G1493)*Arch_AdultMort/4*Q1493</x:f>
        <x:v>0</x:v>
      </x:c>
      <x:c r="U1493" s="9" t="n">
        <x:f>H1493*AA1492*INDEX(v01_MortElder,G1493)/4*Q1493</x:f>
        <x:v>0</x:v>
      </x:c>
      <x:c r="V1493" s="9" t="n">
        <x:f>H1493*MAX(0,AB1492-O1493)*v01_OvercapLoss</x:f>
        <x:v>0</x:v>
      </x:c>
      <x:c r="W1493" s="9" t="n">
        <x:f>H1493*Y1492/(v01_ChildYears*4)</x:f>
        <x:v>0</x:v>
      </x:c>
      <x:c r="X1493" s="9" t="n">
        <x:f>H1493*Z1492/(v01_AdultYears*4)</x:f>
        <x:v>0</x:v>
      </x:c>
      <x:c r="Y1493" s="32" t="n">
        <x:f>Y1492+R1493-S1493-W1493-Y1492*V1493/AB1492</x:f>
        <x:v>14306.18539759397</x:v>
      </x:c>
      <x:c r="Z1493" s="32" t="n">
        <x:f>Z1492+W1493-X1493-T1493-Z1492*V1493/AB1492</x:f>
        <x:v>19354.456567879548</x:v>
      </x:c>
      <x:c r="AA1493" s="32" t="n">
        <x:f>AA1492+X1493-U1493-AA1492*V1493/AB1492</x:f>
        <x:v>11386.956063258198</x:v>
      </x:c>
      <x:c r="AB1493" s="10" t="n">
        <x:f>Y1493+Z1493+AA1493</x:f>
        <x:v>45047.59802873172</x:v>
      </x:c>
      <x:c r="AC1493" s="8" t="n">
        <x:f>IF(AND(v01_WinterTrigger=1,D1493=1,AB1492/AE1492&gt;=K1493),1,0)</x:f>
        <x:v>0</x:v>
      </x:c>
      <x:c r="AD1493" s="8" t="n">
        <x:f>H1493*IF(AND(OR(AB1492/AE1492&gt;=v01_FissionTrigger*N1493,AC1493=1),AB1492/AE1492*v01_DaughterShare&gt;=v01_MinDaughter),MAX(1,ROUND(AE1492*v01_FissionRate,0)),0)</x:f>
        <x:v>0</x:v>
      </x:c>
      <x:c r="AE1493" s="8" t="n">
        <x:f>IF(H1493=1,MAX(1,MIN(INDEX(v01_Smax,G1493),AE1492+AD1493)),AE1492)</x:f>
        <x:v>15</x:v>
      </x:c>
      <x:c r="AF1493" s="8" t="n">
        <x:f>MAX(0,AE1493-AE1492)</x:f>
        <x:v>0</x:v>
      </x:c>
      <x:c r="AG1493" s="9" t="str">
        <x:f>IF(AF1493&gt;0,B1493,"")</x:f>
      </x:c>
      <x:c r="AH1493" s="9" t="n">
        <x:f>IF(F1493&gt;=1,1,(1+v01_LowTiesShare*(AE1493-1))/AE1493)</x:f>
        <x:v>1</x:v>
      </x:c>
      <x:c r="AI1493" s="32" t="n">
        <x:f>(Z1493+v01_ElderCommons*INDEX(LM_Elder,G1493)*AA1493)*AH1493</x:f>
        <x:v>64139.732591141874</x:v>
      </x:c>
      <x:c r="AJ1493" s="32" t="n">
        <x:f>H1493*v01_CommonsCoef*AI1493^v01_CommonsExp*INDEX(LM_Commons,G1493)</x:f>
        <x:v>0</x:v>
      </x:c>
      <x:c r="AK1493" s="32" t="n">
        <x:f>H1493*v01_RoleScale*Arch_Roles*(AE1493*(INDEX(v01_ElderRolePerSett,G1493)*v01_OutElder*INDEX(LM_Elder,G1493)+INDEX(v01_ShamanPerSett,G1493)*v01_OutShaman)+Z1493*(INDEX(v01_PriestShare,G1493)*v01_OutPriest+INDEX(v01_ScribeShare,G1493)*v01_OutScribe*INDEX(LM_Scribe,G1493)+INDEX(v01_ScholarShare,G1493)*v01_OutScholar*INDEX(LM_Scholar,G1493)+INDEX(v01_ResearcherShare,G1493)*v01_OutResearcher*INDEX(LM_Researcher,G1493)))</x:f>
        <x:v>0</x:v>
      </x:c>
      <x:c r="AL1493" s="32" t="n">
        <x:f>H1493*v01_RoleScale*Arch_Roles*AE1493*INDEX(v01_MonasteryPerSett,G1493)*v01_OutMonastery*INDEX(LM_Monastery,G1493)</x:f>
        <x:v>0</x:v>
      </x:c>
      <x:c r="AM1493" s="32" t="n">
        <x:f>(AJ1493+AK1493+AL1493)/4*INDEX(LM_All,G1493)*INDEX(v01_Boon,G1493)*Arch_Insight</x:f>
        <x:v>0</x:v>
      </x:c>
      <x:c r="AN1493" s="32" t="n">
        <x:f>H1493*(v01_KHPerAdult*Z1493+v01_KHOfCommons*AJ1493/4*INDEX(LM_All,G1493))*v01_KHUsable*Arch_KH</x:f>
        <x:v>0</x:v>
      </x:c>
      <x:c r="AO1493" s="32" t="n">
        <x:f>MIN(AP1492+AN1493,AM1493*v01_KHMaxRatio)</x:f>
        <x:v>0</x:v>
      </x:c>
      <x:c r="AP1493" s="32" t="n">
        <x:f>AP1492+AN1493-AO1493</x:f>
        <x:v>0</x:v>
      </x:c>
      <x:c r="AQ1493" s="32" t="n">
        <x:f>AM1493+AO1493</x:f>
        <x:v>0</x:v>
      </x:c>
      <x:c r="AR1493" s="10" t="n">
        <x:f>IF(H1493=1,INDEX(v01_Req,G1493),0)</x:f>
        <x:v>0</x:v>
      </x:c>
      <x:c r="AS1493" s="32" t="n">
        <x:f>IF(H1493=1,IF(E1493=1,AS1492-AR1492,AS1492)+AQ1493,0)</x:f>
        <x:v>0</x:v>
      </x:c>
      <x:c r="AT1493" s="11" t="n">
        <x:f>IF(AR1493&gt;0,MIN(1,AS1493/AR1493),1)</x:f>
        <x:v>1</x:v>
      </x:c>
      <x:c r="AU1493" s="10" t="n">
        <x:f>AB1493/INDEX(v01_RepScale,G1493)</x:f>
        <x:v>90.09519605746344</x:v>
      </x:c>
      <x:c r="AV1493" s="32" t="n">
        <x:f>AM1493*60/v01_SeasonSeconds</x:f>
        <x:v>0</x:v>
      </x:c>
    </x:row>
    <x:row r="1494">
      <x:c r="A1494" s="8" t="n">
        <x:f>A1493+1</x:f>
        <x:v>1491</x:v>
      </x:c>
      <x:c r="B1494" s="9" t="n">
        <x:f>A1494*v01_SeasonSeconds/60</x:f>
        <x:v>372.75</x:v>
      </x:c>
      <x:c r="C1494" s="9" t="n">
        <x:f>A1494/4</x:f>
        <x:v>372.75</x:v>
      </x:c>
      <x:c r="D1494" s="8" t="n">
        <x:f>IF(MOD(A1494,4)=0,1,0)</x:f>
        <x:v>0</x:v>
      </x:c>
      <x:c r="E1494" s="8" t="n">
        <x:f>IF(AND(F1493&lt;=9,AS1493&gt;=AR1493),1,0)</x:f>
        <x:v>0</x:v>
      </x:c>
      <x:c r="F1494" s="8" t="n">
        <x:f>MIN(10,F1493+E1494)</x:f>
        <x:v>10</x:v>
      </x:c>
      <x:c r="G1494" s="8" t="n">
        <x:f>MIN(F1494,9)+1</x:f>
        <x:v>10</x:v>
      </x:c>
      <x:c r="H1494" s="8" t="n">
        <x:f>IF(F1494&lt;=9,1,0)</x:f>
        <x:v>0</x:v>
      </x:c>
      <x:c r="I1494" s="9" t="n">
        <x:f>MIN(10,F1493+IF(AR1493&gt;0,MIN(1,AS1493/AR1493),1))</x:f>
        <x:v>10</x:v>
      </x:c>
      <x:c r="J1494" s="32" t="n">
        <x:f>INDEX(v01_FoodCap,G1494)*Arch_FoodCap*EXP(v01_CapsByProject*SUMPRODUCT((Cap_Point&lt;=I1494)*(Cap_Kind="Food")*Cap_Ln))</x:f>
        <x:v>12000</x:v>
      </x:c>
      <x:c r="K1494" s="32" t="n">
        <x:f>J1494*MIN(1,v01_LeanBase*EXP(v01_CapsByProject*SUMPRODUCT((Cap_Point&lt;=I1494)*(Cap_Kind="Lean")*Cap_Ln)))</x:f>
        <x:v>12000</x:v>
      </x:c>
      <x:c r="L1494" s="10" t="n">
        <x:f>INDEX(v01_HousingCap,G1494)*EXP(v01_CapsByProject*SUMPRODUCT((Cap_Point&lt;=I1494)*(Cap_Kind="Housing")*Cap_Ln))</x:f>
        <x:v>20000</x:v>
      </x:c>
      <x:c r="M1494" s="10" t="n">
        <x:f>INDEX(v01_GroupCap,G1494)*v01_CohesionFactor*EXP(v01_CapsByProject*SUMPRODUCT((Cap_Point&lt;=I1494)*(Cap_Kind="Group")*Cap_Ln))</x:f>
        <x:v>1000000</x:v>
      </x:c>
      <x:c r="N1494" s="32" t="n">
        <x:f>MIN(J1494,L1494,M1494)</x:f>
        <x:v>12000</x:v>
      </x:c>
      <x:c r="O1494" s="10" t="n">
        <x:f>AE1493*N1494</x:f>
        <x:v>180000</x:v>
      </x:c>
      <x:c r="P1494" s="9" t="n">
        <x:f>MIN(1,(AB1493/(AE1493*IF(v01_GroupInCrowding=1,N1494,MIN(J1494,L1494))))^v01_CrowdingExp)</x:f>
        <x:v>0.00024569414295285325</x:v>
      </x:c>
      <x:c r="Q1494" s="9" t="n">
        <x:f>IF(D1494=1,INDEX(v01_WinterMult,G1494),1)</x:f>
        <x:v>1</x:v>
      </x:c>
      <x:c r="R1494" s="9" t="n">
        <x:f>H1494*Z1493*v01_WomenShare*v01_BaseFertility*INDEX(v01_FertMult,G1494)*Arch_Fertility*(1-P1494)</x:f>
        <x:v>0</x:v>
      </x:c>
      <x:c r="S1494" s="9" t="n">
        <x:f>H1494*Y1493*INDEX(v01_MortChild,G1494)/4*Q1494</x:f>
        <x:v>0</x:v>
      </x:c>
      <x:c r="T1494" s="9" t="n">
        <x:f>H1494*Z1493*INDEX(v01_MortAdult,G1494)*Arch_AdultMort/4*Q1494</x:f>
        <x:v>0</x:v>
      </x:c>
      <x:c r="U1494" s="9" t="n">
        <x:f>H1494*AA1493*INDEX(v01_MortElder,G1494)/4*Q1494</x:f>
        <x:v>0</x:v>
      </x:c>
      <x:c r="V1494" s="9" t="n">
        <x:f>H1494*MAX(0,AB1493-O1494)*v01_OvercapLoss</x:f>
        <x:v>0</x:v>
      </x:c>
      <x:c r="W1494" s="9" t="n">
        <x:f>H1494*Y1493/(v01_ChildYears*4)</x:f>
        <x:v>0</x:v>
      </x:c>
      <x:c r="X1494" s="9" t="n">
        <x:f>H1494*Z1493/(v01_AdultYears*4)</x:f>
        <x:v>0</x:v>
      </x:c>
      <x:c r="Y1494" s="32" t="n">
        <x:f>Y1493+R1494-S1494-W1494-Y1493*V1494/AB1493</x:f>
        <x:v>14306.18539759397</x:v>
      </x:c>
      <x:c r="Z1494" s="32" t="n">
        <x:f>Z1493+W1494-X1494-T1494-Z1493*V1494/AB1493</x:f>
        <x:v>19354.456567879548</x:v>
      </x:c>
      <x:c r="AA1494" s="32" t="n">
        <x:f>AA1493+X1494-U1494-AA1493*V1494/AB1493</x:f>
        <x:v>11386.956063258198</x:v>
      </x:c>
      <x:c r="AB1494" s="10" t="n">
        <x:f>Y1494+Z1494+AA1494</x:f>
        <x:v>45047.59802873172</x:v>
      </x:c>
      <x:c r="AC1494" s="8" t="n">
        <x:f>IF(AND(v01_WinterTrigger=1,D1494=1,AB1493/AE1493&gt;=K1494),1,0)</x:f>
        <x:v>0</x:v>
      </x:c>
      <x:c r="AD1494" s="8" t="n">
        <x:f>H1494*IF(AND(OR(AB1493/AE1493&gt;=v01_FissionTrigger*N1494,AC1494=1),AB1493/AE1493*v01_DaughterShare&gt;=v01_MinDaughter),MAX(1,ROUND(AE1493*v01_FissionRate,0)),0)</x:f>
        <x:v>0</x:v>
      </x:c>
      <x:c r="AE1494" s="8" t="n">
        <x:f>IF(H1494=1,MAX(1,MIN(INDEX(v01_Smax,G1494),AE1493+AD1494)),AE1493)</x:f>
        <x:v>15</x:v>
      </x:c>
      <x:c r="AF1494" s="8" t="n">
        <x:f>MAX(0,AE1494-AE1493)</x:f>
        <x:v>0</x:v>
      </x:c>
      <x:c r="AG1494" s="9" t="str">
        <x:f>IF(AF1494&gt;0,B1494,"")</x:f>
      </x:c>
      <x:c r="AH1494" s="9" t="n">
        <x:f>IF(F1494&gt;=1,1,(1+v01_LowTiesShare*(AE1494-1))/AE1494)</x:f>
        <x:v>1</x:v>
      </x:c>
      <x:c r="AI1494" s="32" t="n">
        <x:f>(Z1494+v01_ElderCommons*INDEX(LM_Elder,G1494)*AA1494)*AH1494</x:f>
        <x:v>64139.732591141874</x:v>
      </x:c>
      <x:c r="AJ1494" s="32" t="n">
        <x:f>H1494*v01_CommonsCoef*AI1494^v01_CommonsExp*INDEX(LM_Commons,G1494)</x:f>
        <x:v>0</x:v>
      </x:c>
      <x:c r="AK1494" s="32" t="n">
        <x:f>H1494*v01_RoleScale*Arch_Roles*(AE1494*(INDEX(v01_ElderRolePerSett,G1494)*v01_OutElder*INDEX(LM_Elder,G1494)+INDEX(v01_ShamanPerSett,G1494)*v01_OutShaman)+Z1494*(INDEX(v01_PriestShare,G1494)*v01_OutPriest+INDEX(v01_ScribeShare,G1494)*v01_OutScribe*INDEX(LM_Scribe,G1494)+INDEX(v01_ScholarShare,G1494)*v01_OutScholar*INDEX(LM_Scholar,G1494)+INDEX(v01_ResearcherShare,G1494)*v01_OutResearcher*INDEX(LM_Researcher,G1494)))</x:f>
        <x:v>0</x:v>
      </x:c>
      <x:c r="AL1494" s="32" t="n">
        <x:f>H1494*v01_RoleScale*Arch_Roles*AE1494*INDEX(v01_MonasteryPerSett,G1494)*v01_OutMonastery*INDEX(LM_Monastery,G1494)</x:f>
        <x:v>0</x:v>
      </x:c>
      <x:c r="AM1494" s="32" t="n">
        <x:f>(AJ1494+AK1494+AL1494)/4*INDEX(LM_All,G1494)*INDEX(v01_Boon,G1494)*Arch_Insight</x:f>
        <x:v>0</x:v>
      </x:c>
      <x:c r="AN1494" s="32" t="n">
        <x:f>H1494*(v01_KHPerAdult*Z1494+v01_KHOfCommons*AJ1494/4*INDEX(LM_All,G1494))*v01_KHUsable*Arch_KH</x:f>
        <x:v>0</x:v>
      </x:c>
      <x:c r="AO1494" s="32" t="n">
        <x:f>MIN(AP1493+AN1494,AM1494*v01_KHMaxRatio)</x:f>
        <x:v>0</x:v>
      </x:c>
      <x:c r="AP1494" s="32" t="n">
        <x:f>AP1493+AN1494-AO1494</x:f>
        <x:v>0</x:v>
      </x:c>
      <x:c r="AQ1494" s="32" t="n">
        <x:f>AM1494+AO1494</x:f>
        <x:v>0</x:v>
      </x:c>
      <x:c r="AR1494" s="10" t="n">
        <x:f>IF(H1494=1,INDEX(v01_Req,G1494),0)</x:f>
        <x:v>0</x:v>
      </x:c>
      <x:c r="AS1494" s="32" t="n">
        <x:f>IF(H1494=1,IF(E1494=1,AS1493-AR1493,AS1493)+AQ1494,0)</x:f>
        <x:v>0</x:v>
      </x:c>
      <x:c r="AT1494" s="11" t="n">
        <x:f>IF(AR1494&gt;0,MIN(1,AS1494/AR1494),1)</x:f>
        <x:v>1</x:v>
      </x:c>
      <x:c r="AU1494" s="10" t="n">
        <x:f>AB1494/INDEX(v01_RepScale,G1494)</x:f>
        <x:v>90.09519605746344</x:v>
      </x:c>
      <x:c r="AV1494" s="32" t="n">
        <x:f>AM1494*60/v01_SeasonSeconds</x:f>
        <x:v>0</x:v>
      </x:c>
    </x:row>
    <x:row r="1495">
      <x:c r="A1495" s="8" t="n">
        <x:f>A1494+1</x:f>
        <x:v>1492</x:v>
      </x:c>
      <x:c r="B1495" s="9" t="n">
        <x:f>A1495*v01_SeasonSeconds/60</x:f>
        <x:v>373</x:v>
      </x:c>
      <x:c r="C1495" s="9" t="n">
        <x:f>A1495/4</x:f>
        <x:v>373</x:v>
      </x:c>
      <x:c r="D1495" s="8" t="n">
        <x:f>IF(MOD(A1495,4)=0,1,0)</x:f>
        <x:v>1</x:v>
      </x:c>
      <x:c r="E1495" s="8" t="n">
        <x:f>IF(AND(F1494&lt;=9,AS1494&gt;=AR1494),1,0)</x:f>
        <x:v>0</x:v>
      </x:c>
      <x:c r="F1495" s="8" t="n">
        <x:f>MIN(10,F1494+E1495)</x:f>
        <x:v>10</x:v>
      </x:c>
      <x:c r="G1495" s="8" t="n">
        <x:f>MIN(F1495,9)+1</x:f>
        <x:v>10</x:v>
      </x:c>
      <x:c r="H1495" s="8" t="n">
        <x:f>IF(F1495&lt;=9,1,0)</x:f>
        <x:v>0</x:v>
      </x:c>
      <x:c r="I1495" s="9" t="n">
        <x:f>MIN(10,F1494+IF(AR1494&gt;0,MIN(1,AS1494/AR1494),1))</x:f>
        <x:v>10</x:v>
      </x:c>
      <x:c r="J1495" s="32" t="n">
        <x:f>INDEX(v01_FoodCap,G1495)*Arch_FoodCap*EXP(v01_CapsByProject*SUMPRODUCT((Cap_Point&lt;=I1495)*(Cap_Kind="Food")*Cap_Ln))</x:f>
        <x:v>12000</x:v>
      </x:c>
      <x:c r="K1495" s="32" t="n">
        <x:f>J1495*MIN(1,v01_LeanBase*EXP(v01_CapsByProject*SUMPRODUCT((Cap_Point&lt;=I1495)*(Cap_Kind="Lean")*Cap_Ln)))</x:f>
        <x:v>12000</x:v>
      </x:c>
      <x:c r="L1495" s="10" t="n">
        <x:f>INDEX(v01_HousingCap,G1495)*EXP(v01_CapsByProject*SUMPRODUCT((Cap_Point&lt;=I1495)*(Cap_Kind="Housing")*Cap_Ln))</x:f>
        <x:v>20000</x:v>
      </x:c>
      <x:c r="M1495" s="10" t="n">
        <x:f>INDEX(v01_GroupCap,G1495)*v01_CohesionFactor*EXP(v01_CapsByProject*SUMPRODUCT((Cap_Point&lt;=I1495)*(Cap_Kind="Group")*Cap_Ln))</x:f>
        <x:v>1000000</x:v>
      </x:c>
      <x:c r="N1495" s="32" t="n">
        <x:f>MIN(J1495,L1495,M1495)</x:f>
        <x:v>12000</x:v>
      </x:c>
      <x:c r="O1495" s="10" t="n">
        <x:f>AE1494*N1495</x:f>
        <x:v>180000</x:v>
      </x:c>
      <x:c r="P1495" s="9" t="n">
        <x:f>MIN(1,(AB1494/(AE1494*IF(v01_GroupInCrowding=1,N1495,MIN(J1495,L1495))))^v01_CrowdingExp)</x:f>
        <x:v>0.00024569414295285325</x:v>
      </x:c>
      <x:c r="Q1495" s="9" t="n">
        <x:f>IF(D1495=1,INDEX(v01_WinterMult,G1495),1)</x:f>
        <x:v>1</x:v>
      </x:c>
      <x:c r="R1495" s="9" t="n">
        <x:f>H1495*Z1494*v01_WomenShare*v01_BaseFertility*INDEX(v01_FertMult,G1495)*Arch_Fertility*(1-P1495)</x:f>
        <x:v>0</x:v>
      </x:c>
      <x:c r="S1495" s="9" t="n">
        <x:f>H1495*Y1494*INDEX(v01_MortChild,G1495)/4*Q1495</x:f>
        <x:v>0</x:v>
      </x:c>
      <x:c r="T1495" s="9" t="n">
        <x:f>H1495*Z1494*INDEX(v01_MortAdult,G1495)*Arch_AdultMort/4*Q1495</x:f>
        <x:v>0</x:v>
      </x:c>
      <x:c r="U1495" s="9" t="n">
        <x:f>H1495*AA1494*INDEX(v01_MortElder,G1495)/4*Q1495</x:f>
        <x:v>0</x:v>
      </x:c>
      <x:c r="V1495" s="9" t="n">
        <x:f>H1495*MAX(0,AB1494-O1495)*v01_OvercapLoss</x:f>
        <x:v>0</x:v>
      </x:c>
      <x:c r="W1495" s="9" t="n">
        <x:f>H1495*Y1494/(v01_ChildYears*4)</x:f>
        <x:v>0</x:v>
      </x:c>
      <x:c r="X1495" s="9" t="n">
        <x:f>H1495*Z1494/(v01_AdultYears*4)</x:f>
        <x:v>0</x:v>
      </x:c>
      <x:c r="Y1495" s="32" t="n">
        <x:f>Y1494+R1495-S1495-W1495-Y1494*V1495/AB1494</x:f>
        <x:v>14306.18539759397</x:v>
      </x:c>
      <x:c r="Z1495" s="32" t="n">
        <x:f>Z1494+W1495-X1495-T1495-Z1494*V1495/AB1494</x:f>
        <x:v>19354.456567879548</x:v>
      </x:c>
      <x:c r="AA1495" s="32" t="n">
        <x:f>AA1494+X1495-U1495-AA1494*V1495/AB1494</x:f>
        <x:v>11386.956063258198</x:v>
      </x:c>
      <x:c r="AB1495" s="10" t="n">
        <x:f>Y1495+Z1495+AA1495</x:f>
        <x:v>45047.59802873172</x:v>
      </x:c>
      <x:c r="AC1495" s="8" t="n">
        <x:f>IF(AND(v01_WinterTrigger=1,D1495=1,AB1494/AE1494&gt;=K1495),1,0)</x:f>
        <x:v>0</x:v>
      </x:c>
      <x:c r="AD1495" s="8" t="n">
        <x:f>H1495*IF(AND(OR(AB1494/AE1494&gt;=v01_FissionTrigger*N1495,AC1495=1),AB1494/AE1494*v01_DaughterShare&gt;=v01_MinDaughter),MAX(1,ROUND(AE1494*v01_FissionRate,0)),0)</x:f>
        <x:v>0</x:v>
      </x:c>
      <x:c r="AE1495" s="8" t="n">
        <x:f>IF(H1495=1,MAX(1,MIN(INDEX(v01_Smax,G1495),AE1494+AD1495)),AE1494)</x:f>
        <x:v>15</x:v>
      </x:c>
      <x:c r="AF1495" s="8" t="n">
        <x:f>MAX(0,AE1495-AE1494)</x:f>
        <x:v>0</x:v>
      </x:c>
      <x:c r="AG1495" s="9" t="str">
        <x:f>IF(AF1495&gt;0,B1495,"")</x:f>
      </x:c>
      <x:c r="AH1495" s="9" t="n">
        <x:f>IF(F1495&gt;=1,1,(1+v01_LowTiesShare*(AE1495-1))/AE1495)</x:f>
        <x:v>1</x:v>
      </x:c>
      <x:c r="AI1495" s="32" t="n">
        <x:f>(Z1495+v01_ElderCommons*INDEX(LM_Elder,G1495)*AA1495)*AH1495</x:f>
        <x:v>64139.732591141874</x:v>
      </x:c>
      <x:c r="AJ1495" s="32" t="n">
        <x:f>H1495*v01_CommonsCoef*AI1495^v01_CommonsExp*INDEX(LM_Commons,G1495)</x:f>
        <x:v>0</x:v>
      </x:c>
      <x:c r="AK1495" s="32" t="n">
        <x:f>H1495*v01_RoleScale*Arch_Roles*(AE1495*(INDEX(v01_ElderRolePerSett,G1495)*v01_OutElder*INDEX(LM_Elder,G1495)+INDEX(v01_ShamanPerSett,G1495)*v01_OutShaman)+Z1495*(INDEX(v01_PriestShare,G1495)*v01_OutPriest+INDEX(v01_ScribeShare,G1495)*v01_OutScribe*INDEX(LM_Scribe,G1495)+INDEX(v01_ScholarShare,G1495)*v01_OutScholar*INDEX(LM_Scholar,G1495)+INDEX(v01_ResearcherShare,G1495)*v01_OutResearcher*INDEX(LM_Researcher,G1495)))</x:f>
        <x:v>0</x:v>
      </x:c>
      <x:c r="AL1495" s="32" t="n">
        <x:f>H1495*v01_RoleScale*Arch_Roles*AE1495*INDEX(v01_MonasteryPerSett,G1495)*v01_OutMonastery*INDEX(LM_Monastery,G1495)</x:f>
        <x:v>0</x:v>
      </x:c>
      <x:c r="AM1495" s="32" t="n">
        <x:f>(AJ1495+AK1495+AL1495)/4*INDEX(LM_All,G1495)*INDEX(v01_Boon,G1495)*Arch_Insight</x:f>
        <x:v>0</x:v>
      </x:c>
      <x:c r="AN1495" s="32" t="n">
        <x:f>H1495*(v01_KHPerAdult*Z1495+v01_KHOfCommons*AJ1495/4*INDEX(LM_All,G1495))*v01_KHUsable*Arch_KH</x:f>
        <x:v>0</x:v>
      </x:c>
      <x:c r="AO1495" s="32" t="n">
        <x:f>MIN(AP1494+AN1495,AM1495*v01_KHMaxRatio)</x:f>
        <x:v>0</x:v>
      </x:c>
      <x:c r="AP1495" s="32" t="n">
        <x:f>AP1494+AN1495-AO1495</x:f>
        <x:v>0</x:v>
      </x:c>
      <x:c r="AQ1495" s="32" t="n">
        <x:f>AM1495+AO1495</x:f>
        <x:v>0</x:v>
      </x:c>
      <x:c r="AR1495" s="10" t="n">
        <x:f>IF(H1495=1,INDEX(v01_Req,G1495),0)</x:f>
        <x:v>0</x:v>
      </x:c>
      <x:c r="AS1495" s="32" t="n">
        <x:f>IF(H1495=1,IF(E1495=1,AS1494-AR1494,AS1494)+AQ1495,0)</x:f>
        <x:v>0</x:v>
      </x:c>
      <x:c r="AT1495" s="11" t="n">
        <x:f>IF(AR1495&gt;0,MIN(1,AS1495/AR1495),1)</x:f>
        <x:v>1</x:v>
      </x:c>
      <x:c r="AU1495" s="10" t="n">
        <x:f>AB1495/INDEX(v01_RepScale,G1495)</x:f>
        <x:v>90.09519605746344</x:v>
      </x:c>
      <x:c r="AV1495" s="32" t="n">
        <x:f>AM1495*60/v01_SeasonSeconds</x:f>
        <x:v>0</x:v>
      </x:c>
    </x:row>
    <x:row r="1496">
      <x:c r="A1496" s="8" t="n">
        <x:f>A1495+1</x:f>
        <x:v>1493</x:v>
      </x:c>
      <x:c r="B1496" s="9" t="n">
        <x:f>A1496*v01_SeasonSeconds/60</x:f>
        <x:v>373.25</x:v>
      </x:c>
      <x:c r="C1496" s="9" t="n">
        <x:f>A1496/4</x:f>
        <x:v>373.25</x:v>
      </x:c>
      <x:c r="D1496" s="8" t="n">
        <x:f>IF(MOD(A1496,4)=0,1,0)</x:f>
        <x:v>0</x:v>
      </x:c>
      <x:c r="E1496" s="8" t="n">
        <x:f>IF(AND(F1495&lt;=9,AS1495&gt;=AR1495),1,0)</x:f>
        <x:v>0</x:v>
      </x:c>
      <x:c r="F1496" s="8" t="n">
        <x:f>MIN(10,F1495+E1496)</x:f>
        <x:v>10</x:v>
      </x:c>
      <x:c r="G1496" s="8" t="n">
        <x:f>MIN(F1496,9)+1</x:f>
        <x:v>10</x:v>
      </x:c>
      <x:c r="H1496" s="8" t="n">
        <x:f>IF(F1496&lt;=9,1,0)</x:f>
        <x:v>0</x:v>
      </x:c>
      <x:c r="I1496" s="9" t="n">
        <x:f>MIN(10,F1495+IF(AR1495&gt;0,MIN(1,AS1495/AR1495),1))</x:f>
        <x:v>10</x:v>
      </x:c>
      <x:c r="J1496" s="32" t="n">
        <x:f>INDEX(v01_FoodCap,G1496)*Arch_FoodCap*EXP(v01_CapsByProject*SUMPRODUCT((Cap_Point&lt;=I1496)*(Cap_Kind="Food")*Cap_Ln))</x:f>
        <x:v>12000</x:v>
      </x:c>
      <x:c r="K1496" s="32" t="n">
        <x:f>J1496*MIN(1,v01_LeanBase*EXP(v01_CapsByProject*SUMPRODUCT((Cap_Point&lt;=I1496)*(Cap_Kind="Lean")*Cap_Ln)))</x:f>
        <x:v>12000</x:v>
      </x:c>
      <x:c r="L1496" s="10" t="n">
        <x:f>INDEX(v01_HousingCap,G1496)*EXP(v01_CapsByProject*SUMPRODUCT((Cap_Point&lt;=I1496)*(Cap_Kind="Housing")*Cap_Ln))</x:f>
        <x:v>20000</x:v>
      </x:c>
      <x:c r="M1496" s="10" t="n">
        <x:f>INDEX(v01_GroupCap,G1496)*v01_CohesionFactor*EXP(v01_CapsByProject*SUMPRODUCT((Cap_Point&lt;=I1496)*(Cap_Kind="Group")*Cap_Ln))</x:f>
        <x:v>1000000</x:v>
      </x:c>
      <x:c r="N1496" s="32" t="n">
        <x:f>MIN(J1496,L1496,M1496)</x:f>
        <x:v>12000</x:v>
      </x:c>
      <x:c r="O1496" s="10" t="n">
        <x:f>AE1495*N1496</x:f>
        <x:v>180000</x:v>
      </x:c>
      <x:c r="P1496" s="9" t="n">
        <x:f>MIN(1,(AB1495/(AE1495*IF(v01_GroupInCrowding=1,N1496,MIN(J1496,L1496))))^v01_CrowdingExp)</x:f>
        <x:v>0.00024569414295285325</x:v>
      </x:c>
      <x:c r="Q1496" s="9" t="n">
        <x:f>IF(D1496=1,INDEX(v01_WinterMult,G1496),1)</x:f>
        <x:v>1</x:v>
      </x:c>
      <x:c r="R1496" s="9" t="n">
        <x:f>H1496*Z1495*v01_WomenShare*v01_BaseFertility*INDEX(v01_FertMult,G1496)*Arch_Fertility*(1-P1496)</x:f>
        <x:v>0</x:v>
      </x:c>
      <x:c r="S1496" s="9" t="n">
        <x:f>H1496*Y1495*INDEX(v01_MortChild,G1496)/4*Q1496</x:f>
        <x:v>0</x:v>
      </x:c>
      <x:c r="T1496" s="9" t="n">
        <x:f>H1496*Z1495*INDEX(v01_MortAdult,G1496)*Arch_AdultMort/4*Q1496</x:f>
        <x:v>0</x:v>
      </x:c>
      <x:c r="U1496" s="9" t="n">
        <x:f>H1496*AA1495*INDEX(v01_MortElder,G1496)/4*Q1496</x:f>
        <x:v>0</x:v>
      </x:c>
      <x:c r="V1496" s="9" t="n">
        <x:f>H1496*MAX(0,AB1495-O1496)*v01_OvercapLoss</x:f>
        <x:v>0</x:v>
      </x:c>
      <x:c r="W1496" s="9" t="n">
        <x:f>H1496*Y1495/(v01_ChildYears*4)</x:f>
        <x:v>0</x:v>
      </x:c>
      <x:c r="X1496" s="9" t="n">
        <x:f>H1496*Z1495/(v01_AdultYears*4)</x:f>
        <x:v>0</x:v>
      </x:c>
      <x:c r="Y1496" s="32" t="n">
        <x:f>Y1495+R1496-S1496-W1496-Y1495*V1496/AB1495</x:f>
        <x:v>14306.18539759397</x:v>
      </x:c>
      <x:c r="Z1496" s="32" t="n">
        <x:f>Z1495+W1496-X1496-T1496-Z1495*V1496/AB1495</x:f>
        <x:v>19354.456567879548</x:v>
      </x:c>
      <x:c r="AA1496" s="32" t="n">
        <x:f>AA1495+X1496-U1496-AA1495*V1496/AB1495</x:f>
        <x:v>11386.956063258198</x:v>
      </x:c>
      <x:c r="AB1496" s="10" t="n">
        <x:f>Y1496+Z1496+AA1496</x:f>
        <x:v>45047.59802873172</x:v>
      </x:c>
      <x:c r="AC1496" s="8" t="n">
        <x:f>IF(AND(v01_WinterTrigger=1,D1496=1,AB1495/AE1495&gt;=K1496),1,0)</x:f>
        <x:v>0</x:v>
      </x:c>
      <x:c r="AD1496" s="8" t="n">
        <x:f>H1496*IF(AND(OR(AB1495/AE1495&gt;=v01_FissionTrigger*N1496,AC1496=1),AB1495/AE1495*v01_DaughterShare&gt;=v01_MinDaughter),MAX(1,ROUND(AE1495*v01_FissionRate,0)),0)</x:f>
        <x:v>0</x:v>
      </x:c>
      <x:c r="AE1496" s="8" t="n">
        <x:f>IF(H1496=1,MAX(1,MIN(INDEX(v01_Smax,G1496),AE1495+AD1496)),AE1495)</x:f>
        <x:v>15</x:v>
      </x:c>
      <x:c r="AF1496" s="8" t="n">
        <x:f>MAX(0,AE1496-AE1495)</x:f>
        <x:v>0</x:v>
      </x:c>
      <x:c r="AG1496" s="9" t="str">
        <x:f>IF(AF1496&gt;0,B1496,"")</x:f>
      </x:c>
      <x:c r="AH1496" s="9" t="n">
        <x:f>IF(F1496&gt;=1,1,(1+v01_LowTiesShare*(AE1496-1))/AE1496)</x:f>
        <x:v>1</x:v>
      </x:c>
      <x:c r="AI1496" s="32" t="n">
        <x:f>(Z1496+v01_ElderCommons*INDEX(LM_Elder,G1496)*AA1496)*AH1496</x:f>
        <x:v>64139.732591141874</x:v>
      </x:c>
      <x:c r="AJ1496" s="32" t="n">
        <x:f>H1496*v01_CommonsCoef*AI1496^v01_CommonsExp*INDEX(LM_Commons,G1496)</x:f>
        <x:v>0</x:v>
      </x:c>
      <x:c r="AK1496" s="32" t="n">
        <x:f>H1496*v01_RoleScale*Arch_Roles*(AE1496*(INDEX(v01_ElderRolePerSett,G1496)*v01_OutElder*INDEX(LM_Elder,G1496)+INDEX(v01_ShamanPerSett,G1496)*v01_OutShaman)+Z1496*(INDEX(v01_PriestShare,G1496)*v01_OutPriest+INDEX(v01_ScribeShare,G1496)*v01_OutScribe*INDEX(LM_Scribe,G1496)+INDEX(v01_ScholarShare,G1496)*v01_OutScholar*INDEX(LM_Scholar,G1496)+INDEX(v01_ResearcherShare,G1496)*v01_OutResearcher*INDEX(LM_Researcher,G1496)))</x:f>
        <x:v>0</x:v>
      </x:c>
      <x:c r="AL1496" s="32" t="n">
        <x:f>H1496*v01_RoleScale*Arch_Roles*AE1496*INDEX(v01_MonasteryPerSett,G1496)*v01_OutMonastery*INDEX(LM_Monastery,G1496)</x:f>
        <x:v>0</x:v>
      </x:c>
      <x:c r="AM1496" s="32" t="n">
        <x:f>(AJ1496+AK1496+AL1496)/4*INDEX(LM_All,G1496)*INDEX(v01_Boon,G1496)*Arch_Insight</x:f>
        <x:v>0</x:v>
      </x:c>
      <x:c r="AN1496" s="32" t="n">
        <x:f>H1496*(v01_KHPerAdult*Z1496+v01_KHOfCommons*AJ1496/4*INDEX(LM_All,G1496))*v01_KHUsable*Arch_KH</x:f>
        <x:v>0</x:v>
      </x:c>
      <x:c r="AO1496" s="32" t="n">
        <x:f>MIN(AP1495+AN1496,AM1496*v01_KHMaxRatio)</x:f>
        <x:v>0</x:v>
      </x:c>
      <x:c r="AP1496" s="32" t="n">
        <x:f>AP1495+AN1496-AO1496</x:f>
        <x:v>0</x:v>
      </x:c>
      <x:c r="AQ1496" s="32" t="n">
        <x:f>AM1496+AO1496</x:f>
        <x:v>0</x:v>
      </x:c>
      <x:c r="AR1496" s="10" t="n">
        <x:f>IF(H1496=1,INDEX(v01_Req,G1496),0)</x:f>
        <x:v>0</x:v>
      </x:c>
      <x:c r="AS1496" s="32" t="n">
        <x:f>IF(H1496=1,IF(E1496=1,AS1495-AR1495,AS1495)+AQ1496,0)</x:f>
        <x:v>0</x:v>
      </x:c>
      <x:c r="AT1496" s="11" t="n">
        <x:f>IF(AR1496&gt;0,MIN(1,AS1496/AR1496),1)</x:f>
        <x:v>1</x:v>
      </x:c>
      <x:c r="AU1496" s="10" t="n">
        <x:f>AB1496/INDEX(v01_RepScale,G1496)</x:f>
        <x:v>90.09519605746344</x:v>
      </x:c>
      <x:c r="AV1496" s="32" t="n">
        <x:f>AM1496*60/v01_SeasonSeconds</x:f>
        <x:v>0</x:v>
      </x:c>
    </x:row>
    <x:row r="1497">
      <x:c r="A1497" s="8" t="n">
        <x:f>A1496+1</x:f>
        <x:v>1494</x:v>
      </x:c>
      <x:c r="B1497" s="9" t="n">
        <x:f>A1497*v01_SeasonSeconds/60</x:f>
        <x:v>373.5</x:v>
      </x:c>
      <x:c r="C1497" s="9" t="n">
        <x:f>A1497/4</x:f>
        <x:v>373.5</x:v>
      </x:c>
      <x:c r="D1497" s="8" t="n">
        <x:f>IF(MOD(A1497,4)=0,1,0)</x:f>
        <x:v>0</x:v>
      </x:c>
      <x:c r="E1497" s="8" t="n">
        <x:f>IF(AND(F1496&lt;=9,AS1496&gt;=AR1496),1,0)</x:f>
        <x:v>0</x:v>
      </x:c>
      <x:c r="F1497" s="8" t="n">
        <x:f>MIN(10,F1496+E1497)</x:f>
        <x:v>10</x:v>
      </x:c>
      <x:c r="G1497" s="8" t="n">
        <x:f>MIN(F1497,9)+1</x:f>
        <x:v>10</x:v>
      </x:c>
      <x:c r="H1497" s="8" t="n">
        <x:f>IF(F1497&lt;=9,1,0)</x:f>
        <x:v>0</x:v>
      </x:c>
      <x:c r="I1497" s="9" t="n">
        <x:f>MIN(10,F1496+IF(AR1496&gt;0,MIN(1,AS1496/AR1496),1))</x:f>
        <x:v>10</x:v>
      </x:c>
      <x:c r="J1497" s="32" t="n">
        <x:f>INDEX(v01_FoodCap,G1497)*Arch_FoodCap*EXP(v01_CapsByProject*SUMPRODUCT((Cap_Point&lt;=I1497)*(Cap_Kind="Food")*Cap_Ln))</x:f>
        <x:v>12000</x:v>
      </x:c>
      <x:c r="K1497" s="32" t="n">
        <x:f>J1497*MIN(1,v01_LeanBase*EXP(v01_CapsByProject*SUMPRODUCT((Cap_Point&lt;=I1497)*(Cap_Kind="Lean")*Cap_Ln)))</x:f>
        <x:v>12000</x:v>
      </x:c>
      <x:c r="L1497" s="10" t="n">
        <x:f>INDEX(v01_HousingCap,G1497)*EXP(v01_CapsByProject*SUMPRODUCT((Cap_Point&lt;=I1497)*(Cap_Kind="Housing")*Cap_Ln))</x:f>
        <x:v>20000</x:v>
      </x:c>
      <x:c r="M1497" s="10" t="n">
        <x:f>INDEX(v01_GroupCap,G1497)*v01_CohesionFactor*EXP(v01_CapsByProject*SUMPRODUCT((Cap_Point&lt;=I1497)*(Cap_Kind="Group")*Cap_Ln))</x:f>
        <x:v>1000000</x:v>
      </x:c>
      <x:c r="N1497" s="32" t="n">
        <x:f>MIN(J1497,L1497,M1497)</x:f>
        <x:v>12000</x:v>
      </x:c>
      <x:c r="O1497" s="10" t="n">
        <x:f>AE1496*N1497</x:f>
        <x:v>180000</x:v>
      </x:c>
      <x:c r="P1497" s="9" t="n">
        <x:f>MIN(1,(AB1496/(AE1496*IF(v01_GroupInCrowding=1,N1497,MIN(J1497,L1497))))^v01_CrowdingExp)</x:f>
        <x:v>0.00024569414295285325</x:v>
      </x:c>
      <x:c r="Q1497" s="9" t="n">
        <x:f>IF(D1497=1,INDEX(v01_WinterMult,G1497),1)</x:f>
        <x:v>1</x:v>
      </x:c>
      <x:c r="R1497" s="9" t="n">
        <x:f>H1497*Z1496*v01_WomenShare*v01_BaseFertility*INDEX(v01_FertMult,G1497)*Arch_Fertility*(1-P1497)</x:f>
        <x:v>0</x:v>
      </x:c>
      <x:c r="S1497" s="9" t="n">
        <x:f>H1497*Y1496*INDEX(v01_MortChild,G1497)/4*Q1497</x:f>
        <x:v>0</x:v>
      </x:c>
      <x:c r="T1497" s="9" t="n">
        <x:f>H1497*Z1496*INDEX(v01_MortAdult,G1497)*Arch_AdultMort/4*Q1497</x:f>
        <x:v>0</x:v>
      </x:c>
      <x:c r="U1497" s="9" t="n">
        <x:f>H1497*AA1496*INDEX(v01_MortElder,G1497)/4*Q1497</x:f>
        <x:v>0</x:v>
      </x:c>
      <x:c r="V1497" s="9" t="n">
        <x:f>H1497*MAX(0,AB1496-O1497)*v01_OvercapLoss</x:f>
        <x:v>0</x:v>
      </x:c>
      <x:c r="W1497" s="9" t="n">
        <x:f>H1497*Y1496/(v01_ChildYears*4)</x:f>
        <x:v>0</x:v>
      </x:c>
      <x:c r="X1497" s="9" t="n">
        <x:f>H1497*Z1496/(v01_AdultYears*4)</x:f>
        <x:v>0</x:v>
      </x:c>
      <x:c r="Y1497" s="32" t="n">
        <x:f>Y1496+R1497-S1497-W1497-Y1496*V1497/AB1496</x:f>
        <x:v>14306.18539759397</x:v>
      </x:c>
      <x:c r="Z1497" s="32" t="n">
        <x:f>Z1496+W1497-X1497-T1497-Z1496*V1497/AB1496</x:f>
        <x:v>19354.456567879548</x:v>
      </x:c>
      <x:c r="AA1497" s="32" t="n">
        <x:f>AA1496+X1497-U1497-AA1496*V1497/AB1496</x:f>
        <x:v>11386.956063258198</x:v>
      </x:c>
      <x:c r="AB1497" s="10" t="n">
        <x:f>Y1497+Z1497+AA1497</x:f>
        <x:v>45047.59802873172</x:v>
      </x:c>
      <x:c r="AC1497" s="8" t="n">
        <x:f>IF(AND(v01_WinterTrigger=1,D1497=1,AB1496/AE1496&gt;=K1497),1,0)</x:f>
        <x:v>0</x:v>
      </x:c>
      <x:c r="AD1497" s="8" t="n">
        <x:f>H1497*IF(AND(OR(AB1496/AE1496&gt;=v01_FissionTrigger*N1497,AC1497=1),AB1496/AE1496*v01_DaughterShare&gt;=v01_MinDaughter),MAX(1,ROUND(AE1496*v01_FissionRate,0)),0)</x:f>
        <x:v>0</x:v>
      </x:c>
      <x:c r="AE1497" s="8" t="n">
        <x:f>IF(H1497=1,MAX(1,MIN(INDEX(v01_Smax,G1497),AE1496+AD1497)),AE1496)</x:f>
        <x:v>15</x:v>
      </x:c>
      <x:c r="AF1497" s="8" t="n">
        <x:f>MAX(0,AE1497-AE1496)</x:f>
        <x:v>0</x:v>
      </x:c>
      <x:c r="AG1497" s="9" t="str">
        <x:f>IF(AF1497&gt;0,B1497,"")</x:f>
      </x:c>
      <x:c r="AH1497" s="9" t="n">
        <x:f>IF(F1497&gt;=1,1,(1+v01_LowTiesShare*(AE1497-1))/AE1497)</x:f>
        <x:v>1</x:v>
      </x:c>
      <x:c r="AI1497" s="32" t="n">
        <x:f>(Z1497+v01_ElderCommons*INDEX(LM_Elder,G1497)*AA1497)*AH1497</x:f>
        <x:v>64139.732591141874</x:v>
      </x:c>
      <x:c r="AJ1497" s="32" t="n">
        <x:f>H1497*v01_CommonsCoef*AI1497^v01_CommonsExp*INDEX(LM_Commons,G1497)</x:f>
        <x:v>0</x:v>
      </x:c>
      <x:c r="AK1497" s="32" t="n">
        <x:f>H1497*v01_RoleScale*Arch_Roles*(AE1497*(INDEX(v01_ElderRolePerSett,G1497)*v01_OutElder*INDEX(LM_Elder,G1497)+INDEX(v01_ShamanPerSett,G1497)*v01_OutShaman)+Z1497*(INDEX(v01_PriestShare,G1497)*v01_OutPriest+INDEX(v01_ScribeShare,G1497)*v01_OutScribe*INDEX(LM_Scribe,G1497)+INDEX(v01_ScholarShare,G1497)*v01_OutScholar*INDEX(LM_Scholar,G1497)+INDEX(v01_ResearcherShare,G1497)*v01_OutResearcher*INDEX(LM_Researcher,G1497)))</x:f>
        <x:v>0</x:v>
      </x:c>
      <x:c r="AL1497" s="32" t="n">
        <x:f>H1497*v01_RoleScale*Arch_Roles*AE1497*INDEX(v01_MonasteryPerSett,G1497)*v01_OutMonastery*INDEX(LM_Monastery,G1497)</x:f>
        <x:v>0</x:v>
      </x:c>
      <x:c r="AM1497" s="32" t="n">
        <x:f>(AJ1497+AK1497+AL1497)/4*INDEX(LM_All,G1497)*INDEX(v01_Boon,G1497)*Arch_Insight</x:f>
        <x:v>0</x:v>
      </x:c>
      <x:c r="AN1497" s="32" t="n">
        <x:f>H1497*(v01_KHPerAdult*Z1497+v01_KHOfCommons*AJ1497/4*INDEX(LM_All,G1497))*v01_KHUsable*Arch_KH</x:f>
        <x:v>0</x:v>
      </x:c>
      <x:c r="AO1497" s="32" t="n">
        <x:f>MIN(AP1496+AN1497,AM1497*v01_KHMaxRatio)</x:f>
        <x:v>0</x:v>
      </x:c>
      <x:c r="AP1497" s="32" t="n">
        <x:f>AP1496+AN1497-AO1497</x:f>
        <x:v>0</x:v>
      </x:c>
      <x:c r="AQ1497" s="32" t="n">
        <x:f>AM1497+AO1497</x:f>
        <x:v>0</x:v>
      </x:c>
      <x:c r="AR1497" s="10" t="n">
        <x:f>IF(H1497=1,INDEX(v01_Req,G1497),0)</x:f>
        <x:v>0</x:v>
      </x:c>
      <x:c r="AS1497" s="32" t="n">
        <x:f>IF(H1497=1,IF(E1497=1,AS1496-AR1496,AS1496)+AQ1497,0)</x:f>
        <x:v>0</x:v>
      </x:c>
      <x:c r="AT1497" s="11" t="n">
        <x:f>IF(AR1497&gt;0,MIN(1,AS1497/AR1497),1)</x:f>
        <x:v>1</x:v>
      </x:c>
      <x:c r="AU1497" s="10" t="n">
        <x:f>AB1497/INDEX(v01_RepScale,G1497)</x:f>
        <x:v>90.09519605746344</x:v>
      </x:c>
      <x:c r="AV1497" s="32" t="n">
        <x:f>AM1497*60/v01_SeasonSeconds</x:f>
        <x:v>0</x:v>
      </x:c>
    </x:row>
    <x:row r="1498">
      <x:c r="A1498" s="8" t="n">
        <x:f>A1497+1</x:f>
        <x:v>1495</x:v>
      </x:c>
      <x:c r="B1498" s="9" t="n">
        <x:f>A1498*v01_SeasonSeconds/60</x:f>
        <x:v>373.75</x:v>
      </x:c>
      <x:c r="C1498" s="9" t="n">
        <x:f>A1498/4</x:f>
        <x:v>373.75</x:v>
      </x:c>
      <x:c r="D1498" s="8" t="n">
        <x:f>IF(MOD(A1498,4)=0,1,0)</x:f>
        <x:v>0</x:v>
      </x:c>
      <x:c r="E1498" s="8" t="n">
        <x:f>IF(AND(F1497&lt;=9,AS1497&gt;=AR1497),1,0)</x:f>
        <x:v>0</x:v>
      </x:c>
      <x:c r="F1498" s="8" t="n">
        <x:f>MIN(10,F1497+E1498)</x:f>
        <x:v>10</x:v>
      </x:c>
      <x:c r="G1498" s="8" t="n">
        <x:f>MIN(F1498,9)+1</x:f>
        <x:v>10</x:v>
      </x:c>
      <x:c r="H1498" s="8" t="n">
        <x:f>IF(F1498&lt;=9,1,0)</x:f>
        <x:v>0</x:v>
      </x:c>
      <x:c r="I1498" s="9" t="n">
        <x:f>MIN(10,F1497+IF(AR1497&gt;0,MIN(1,AS1497/AR1497),1))</x:f>
        <x:v>10</x:v>
      </x:c>
      <x:c r="J1498" s="32" t="n">
        <x:f>INDEX(v01_FoodCap,G1498)*Arch_FoodCap*EXP(v01_CapsByProject*SUMPRODUCT((Cap_Point&lt;=I1498)*(Cap_Kind="Food")*Cap_Ln))</x:f>
        <x:v>12000</x:v>
      </x:c>
      <x:c r="K1498" s="32" t="n">
        <x:f>J1498*MIN(1,v01_LeanBase*EXP(v01_CapsByProject*SUMPRODUCT((Cap_Point&lt;=I1498)*(Cap_Kind="Lean")*Cap_Ln)))</x:f>
        <x:v>12000</x:v>
      </x:c>
      <x:c r="L1498" s="10" t="n">
        <x:f>INDEX(v01_HousingCap,G1498)*EXP(v01_CapsByProject*SUMPRODUCT((Cap_Point&lt;=I1498)*(Cap_Kind="Housing")*Cap_Ln))</x:f>
        <x:v>20000</x:v>
      </x:c>
      <x:c r="M1498" s="10" t="n">
        <x:f>INDEX(v01_GroupCap,G1498)*v01_CohesionFactor*EXP(v01_CapsByProject*SUMPRODUCT((Cap_Point&lt;=I1498)*(Cap_Kind="Group")*Cap_Ln))</x:f>
        <x:v>1000000</x:v>
      </x:c>
      <x:c r="N1498" s="32" t="n">
        <x:f>MIN(J1498,L1498,M1498)</x:f>
        <x:v>12000</x:v>
      </x:c>
      <x:c r="O1498" s="10" t="n">
        <x:f>AE1497*N1498</x:f>
        <x:v>180000</x:v>
      </x:c>
      <x:c r="P1498" s="9" t="n">
        <x:f>MIN(1,(AB1497/(AE1497*IF(v01_GroupInCrowding=1,N1498,MIN(J1498,L1498))))^v01_CrowdingExp)</x:f>
        <x:v>0.00024569414295285325</x:v>
      </x:c>
      <x:c r="Q1498" s="9" t="n">
        <x:f>IF(D1498=1,INDEX(v01_WinterMult,G1498),1)</x:f>
        <x:v>1</x:v>
      </x:c>
      <x:c r="R1498" s="9" t="n">
        <x:f>H1498*Z1497*v01_WomenShare*v01_BaseFertility*INDEX(v01_FertMult,G1498)*Arch_Fertility*(1-P1498)</x:f>
        <x:v>0</x:v>
      </x:c>
      <x:c r="S1498" s="9" t="n">
        <x:f>H1498*Y1497*INDEX(v01_MortChild,G1498)/4*Q1498</x:f>
        <x:v>0</x:v>
      </x:c>
      <x:c r="T1498" s="9" t="n">
        <x:f>H1498*Z1497*INDEX(v01_MortAdult,G1498)*Arch_AdultMort/4*Q1498</x:f>
        <x:v>0</x:v>
      </x:c>
      <x:c r="U1498" s="9" t="n">
        <x:f>H1498*AA1497*INDEX(v01_MortElder,G1498)/4*Q1498</x:f>
        <x:v>0</x:v>
      </x:c>
      <x:c r="V1498" s="9" t="n">
        <x:f>H1498*MAX(0,AB1497-O1498)*v01_OvercapLoss</x:f>
        <x:v>0</x:v>
      </x:c>
      <x:c r="W1498" s="9" t="n">
        <x:f>H1498*Y1497/(v01_ChildYears*4)</x:f>
        <x:v>0</x:v>
      </x:c>
      <x:c r="X1498" s="9" t="n">
        <x:f>H1498*Z1497/(v01_AdultYears*4)</x:f>
        <x:v>0</x:v>
      </x:c>
      <x:c r="Y1498" s="32" t="n">
        <x:f>Y1497+R1498-S1498-W1498-Y1497*V1498/AB1497</x:f>
        <x:v>14306.18539759397</x:v>
      </x:c>
      <x:c r="Z1498" s="32" t="n">
        <x:f>Z1497+W1498-X1498-T1498-Z1497*V1498/AB1497</x:f>
        <x:v>19354.456567879548</x:v>
      </x:c>
      <x:c r="AA1498" s="32" t="n">
        <x:f>AA1497+X1498-U1498-AA1497*V1498/AB1497</x:f>
        <x:v>11386.956063258198</x:v>
      </x:c>
      <x:c r="AB1498" s="10" t="n">
        <x:f>Y1498+Z1498+AA1498</x:f>
        <x:v>45047.59802873172</x:v>
      </x:c>
      <x:c r="AC1498" s="8" t="n">
        <x:f>IF(AND(v01_WinterTrigger=1,D1498=1,AB1497/AE1497&gt;=K1498),1,0)</x:f>
        <x:v>0</x:v>
      </x:c>
      <x:c r="AD1498" s="8" t="n">
        <x:f>H1498*IF(AND(OR(AB1497/AE1497&gt;=v01_FissionTrigger*N1498,AC1498=1),AB1497/AE1497*v01_DaughterShare&gt;=v01_MinDaughter),MAX(1,ROUND(AE1497*v01_FissionRate,0)),0)</x:f>
        <x:v>0</x:v>
      </x:c>
      <x:c r="AE1498" s="8" t="n">
        <x:f>IF(H1498=1,MAX(1,MIN(INDEX(v01_Smax,G1498),AE1497+AD1498)),AE1497)</x:f>
        <x:v>15</x:v>
      </x:c>
      <x:c r="AF1498" s="8" t="n">
        <x:f>MAX(0,AE1498-AE1497)</x:f>
        <x:v>0</x:v>
      </x:c>
      <x:c r="AG1498" s="9" t="str">
        <x:f>IF(AF1498&gt;0,B1498,"")</x:f>
      </x:c>
      <x:c r="AH1498" s="9" t="n">
        <x:f>IF(F1498&gt;=1,1,(1+v01_LowTiesShare*(AE1498-1))/AE1498)</x:f>
        <x:v>1</x:v>
      </x:c>
      <x:c r="AI1498" s="32" t="n">
        <x:f>(Z1498+v01_ElderCommons*INDEX(LM_Elder,G1498)*AA1498)*AH1498</x:f>
        <x:v>64139.732591141874</x:v>
      </x:c>
      <x:c r="AJ1498" s="32" t="n">
        <x:f>H1498*v01_CommonsCoef*AI1498^v01_CommonsExp*INDEX(LM_Commons,G1498)</x:f>
        <x:v>0</x:v>
      </x:c>
      <x:c r="AK1498" s="32" t="n">
        <x:f>H1498*v01_RoleScale*Arch_Roles*(AE1498*(INDEX(v01_ElderRolePerSett,G1498)*v01_OutElder*INDEX(LM_Elder,G1498)+INDEX(v01_ShamanPerSett,G1498)*v01_OutShaman)+Z1498*(INDEX(v01_PriestShare,G1498)*v01_OutPriest+INDEX(v01_ScribeShare,G1498)*v01_OutScribe*INDEX(LM_Scribe,G1498)+INDEX(v01_ScholarShare,G1498)*v01_OutScholar*INDEX(LM_Scholar,G1498)+INDEX(v01_ResearcherShare,G1498)*v01_OutResearcher*INDEX(LM_Researcher,G1498)))</x:f>
        <x:v>0</x:v>
      </x:c>
      <x:c r="AL1498" s="32" t="n">
        <x:f>H1498*v01_RoleScale*Arch_Roles*AE1498*INDEX(v01_MonasteryPerSett,G1498)*v01_OutMonastery*INDEX(LM_Monastery,G1498)</x:f>
        <x:v>0</x:v>
      </x:c>
      <x:c r="AM1498" s="32" t="n">
        <x:f>(AJ1498+AK1498+AL1498)/4*INDEX(LM_All,G1498)*INDEX(v01_Boon,G1498)*Arch_Insight</x:f>
        <x:v>0</x:v>
      </x:c>
      <x:c r="AN1498" s="32" t="n">
        <x:f>H1498*(v01_KHPerAdult*Z1498+v01_KHOfCommons*AJ1498/4*INDEX(LM_All,G1498))*v01_KHUsable*Arch_KH</x:f>
        <x:v>0</x:v>
      </x:c>
      <x:c r="AO1498" s="32" t="n">
        <x:f>MIN(AP1497+AN1498,AM1498*v01_KHMaxRatio)</x:f>
        <x:v>0</x:v>
      </x:c>
      <x:c r="AP1498" s="32" t="n">
        <x:f>AP1497+AN1498-AO1498</x:f>
        <x:v>0</x:v>
      </x:c>
      <x:c r="AQ1498" s="32" t="n">
        <x:f>AM1498+AO1498</x:f>
        <x:v>0</x:v>
      </x:c>
      <x:c r="AR1498" s="10" t="n">
        <x:f>IF(H1498=1,INDEX(v01_Req,G1498),0)</x:f>
        <x:v>0</x:v>
      </x:c>
      <x:c r="AS1498" s="32" t="n">
        <x:f>IF(H1498=1,IF(E1498=1,AS1497-AR1497,AS1497)+AQ1498,0)</x:f>
        <x:v>0</x:v>
      </x:c>
      <x:c r="AT1498" s="11" t="n">
        <x:f>IF(AR1498&gt;0,MIN(1,AS1498/AR1498),1)</x:f>
        <x:v>1</x:v>
      </x:c>
      <x:c r="AU1498" s="10" t="n">
        <x:f>AB1498/INDEX(v01_RepScale,G1498)</x:f>
        <x:v>90.09519605746344</x:v>
      </x:c>
      <x:c r="AV1498" s="32" t="n">
        <x:f>AM1498*60/v01_SeasonSeconds</x:f>
        <x:v>0</x:v>
      </x:c>
    </x:row>
    <x:row r="1499">
      <x:c r="A1499" s="8" t="n">
        <x:f>A1498+1</x:f>
        <x:v>1496</x:v>
      </x:c>
      <x:c r="B1499" s="9" t="n">
        <x:f>A1499*v01_SeasonSeconds/60</x:f>
        <x:v>374</x:v>
      </x:c>
      <x:c r="C1499" s="9" t="n">
        <x:f>A1499/4</x:f>
        <x:v>374</x:v>
      </x:c>
      <x:c r="D1499" s="8" t="n">
        <x:f>IF(MOD(A1499,4)=0,1,0)</x:f>
        <x:v>1</x:v>
      </x:c>
      <x:c r="E1499" s="8" t="n">
        <x:f>IF(AND(F1498&lt;=9,AS1498&gt;=AR1498),1,0)</x:f>
        <x:v>0</x:v>
      </x:c>
      <x:c r="F1499" s="8" t="n">
        <x:f>MIN(10,F1498+E1499)</x:f>
        <x:v>10</x:v>
      </x:c>
      <x:c r="G1499" s="8" t="n">
        <x:f>MIN(F1499,9)+1</x:f>
        <x:v>10</x:v>
      </x:c>
      <x:c r="H1499" s="8" t="n">
        <x:f>IF(F1499&lt;=9,1,0)</x:f>
        <x:v>0</x:v>
      </x:c>
      <x:c r="I1499" s="9" t="n">
        <x:f>MIN(10,F1498+IF(AR1498&gt;0,MIN(1,AS1498/AR1498),1))</x:f>
        <x:v>10</x:v>
      </x:c>
      <x:c r="J1499" s="32" t="n">
        <x:f>INDEX(v01_FoodCap,G1499)*Arch_FoodCap*EXP(v01_CapsByProject*SUMPRODUCT((Cap_Point&lt;=I1499)*(Cap_Kind="Food")*Cap_Ln))</x:f>
        <x:v>12000</x:v>
      </x:c>
      <x:c r="K1499" s="32" t="n">
        <x:f>J1499*MIN(1,v01_LeanBase*EXP(v01_CapsByProject*SUMPRODUCT((Cap_Point&lt;=I1499)*(Cap_Kind="Lean")*Cap_Ln)))</x:f>
        <x:v>12000</x:v>
      </x:c>
      <x:c r="L1499" s="10" t="n">
        <x:f>INDEX(v01_HousingCap,G1499)*EXP(v01_CapsByProject*SUMPRODUCT((Cap_Point&lt;=I1499)*(Cap_Kind="Housing")*Cap_Ln))</x:f>
        <x:v>20000</x:v>
      </x:c>
      <x:c r="M1499" s="10" t="n">
        <x:f>INDEX(v01_GroupCap,G1499)*v01_CohesionFactor*EXP(v01_CapsByProject*SUMPRODUCT((Cap_Point&lt;=I1499)*(Cap_Kind="Group")*Cap_Ln))</x:f>
        <x:v>1000000</x:v>
      </x:c>
      <x:c r="N1499" s="32" t="n">
        <x:f>MIN(J1499,L1499,M1499)</x:f>
        <x:v>12000</x:v>
      </x:c>
      <x:c r="O1499" s="10" t="n">
        <x:f>AE1498*N1499</x:f>
        <x:v>180000</x:v>
      </x:c>
      <x:c r="P1499" s="9" t="n">
        <x:f>MIN(1,(AB1498/(AE1498*IF(v01_GroupInCrowding=1,N1499,MIN(J1499,L1499))))^v01_CrowdingExp)</x:f>
        <x:v>0.00024569414295285325</x:v>
      </x:c>
      <x:c r="Q1499" s="9" t="n">
        <x:f>IF(D1499=1,INDEX(v01_WinterMult,G1499),1)</x:f>
        <x:v>1</x:v>
      </x:c>
      <x:c r="R1499" s="9" t="n">
        <x:f>H1499*Z1498*v01_WomenShare*v01_BaseFertility*INDEX(v01_FertMult,G1499)*Arch_Fertility*(1-P1499)</x:f>
        <x:v>0</x:v>
      </x:c>
      <x:c r="S1499" s="9" t="n">
        <x:f>H1499*Y1498*INDEX(v01_MortChild,G1499)/4*Q1499</x:f>
        <x:v>0</x:v>
      </x:c>
      <x:c r="T1499" s="9" t="n">
        <x:f>H1499*Z1498*INDEX(v01_MortAdult,G1499)*Arch_AdultMort/4*Q1499</x:f>
        <x:v>0</x:v>
      </x:c>
      <x:c r="U1499" s="9" t="n">
        <x:f>H1499*AA1498*INDEX(v01_MortElder,G1499)/4*Q1499</x:f>
        <x:v>0</x:v>
      </x:c>
      <x:c r="V1499" s="9" t="n">
        <x:f>H1499*MAX(0,AB1498-O1499)*v01_OvercapLoss</x:f>
        <x:v>0</x:v>
      </x:c>
      <x:c r="W1499" s="9" t="n">
        <x:f>H1499*Y1498/(v01_ChildYears*4)</x:f>
        <x:v>0</x:v>
      </x:c>
      <x:c r="X1499" s="9" t="n">
        <x:f>H1499*Z1498/(v01_AdultYears*4)</x:f>
        <x:v>0</x:v>
      </x:c>
      <x:c r="Y1499" s="32" t="n">
        <x:f>Y1498+R1499-S1499-W1499-Y1498*V1499/AB1498</x:f>
        <x:v>14306.18539759397</x:v>
      </x:c>
      <x:c r="Z1499" s="32" t="n">
        <x:f>Z1498+W1499-X1499-T1499-Z1498*V1499/AB1498</x:f>
        <x:v>19354.456567879548</x:v>
      </x:c>
      <x:c r="AA1499" s="32" t="n">
        <x:f>AA1498+X1499-U1499-AA1498*V1499/AB1498</x:f>
        <x:v>11386.956063258198</x:v>
      </x:c>
      <x:c r="AB1499" s="10" t="n">
        <x:f>Y1499+Z1499+AA1499</x:f>
        <x:v>45047.59802873172</x:v>
      </x:c>
      <x:c r="AC1499" s="8" t="n">
        <x:f>IF(AND(v01_WinterTrigger=1,D1499=1,AB1498/AE1498&gt;=K1499),1,0)</x:f>
        <x:v>0</x:v>
      </x:c>
      <x:c r="AD1499" s="8" t="n">
        <x:f>H1499*IF(AND(OR(AB1498/AE1498&gt;=v01_FissionTrigger*N1499,AC1499=1),AB1498/AE1498*v01_DaughterShare&gt;=v01_MinDaughter),MAX(1,ROUND(AE1498*v01_FissionRate,0)),0)</x:f>
        <x:v>0</x:v>
      </x:c>
      <x:c r="AE1499" s="8" t="n">
        <x:f>IF(H1499=1,MAX(1,MIN(INDEX(v01_Smax,G1499),AE1498+AD1499)),AE1498)</x:f>
        <x:v>15</x:v>
      </x:c>
      <x:c r="AF1499" s="8" t="n">
        <x:f>MAX(0,AE1499-AE1498)</x:f>
        <x:v>0</x:v>
      </x:c>
      <x:c r="AG1499" s="9" t="str">
        <x:f>IF(AF1499&gt;0,B1499,"")</x:f>
      </x:c>
      <x:c r="AH1499" s="9" t="n">
        <x:f>IF(F1499&gt;=1,1,(1+v01_LowTiesShare*(AE1499-1))/AE1499)</x:f>
        <x:v>1</x:v>
      </x:c>
      <x:c r="AI1499" s="32" t="n">
        <x:f>(Z1499+v01_ElderCommons*INDEX(LM_Elder,G1499)*AA1499)*AH1499</x:f>
        <x:v>64139.732591141874</x:v>
      </x:c>
      <x:c r="AJ1499" s="32" t="n">
        <x:f>H1499*v01_CommonsCoef*AI1499^v01_CommonsExp*INDEX(LM_Commons,G1499)</x:f>
        <x:v>0</x:v>
      </x:c>
      <x:c r="AK1499" s="32" t="n">
        <x:f>H1499*v01_RoleScale*Arch_Roles*(AE1499*(INDEX(v01_ElderRolePerSett,G1499)*v01_OutElder*INDEX(LM_Elder,G1499)+INDEX(v01_ShamanPerSett,G1499)*v01_OutShaman)+Z1499*(INDEX(v01_PriestShare,G1499)*v01_OutPriest+INDEX(v01_ScribeShare,G1499)*v01_OutScribe*INDEX(LM_Scribe,G1499)+INDEX(v01_ScholarShare,G1499)*v01_OutScholar*INDEX(LM_Scholar,G1499)+INDEX(v01_ResearcherShare,G1499)*v01_OutResearcher*INDEX(LM_Researcher,G1499)))</x:f>
        <x:v>0</x:v>
      </x:c>
      <x:c r="AL1499" s="32" t="n">
        <x:f>H1499*v01_RoleScale*Arch_Roles*AE1499*INDEX(v01_MonasteryPerSett,G1499)*v01_OutMonastery*INDEX(LM_Monastery,G1499)</x:f>
        <x:v>0</x:v>
      </x:c>
      <x:c r="AM1499" s="32" t="n">
        <x:f>(AJ1499+AK1499+AL1499)/4*INDEX(LM_All,G1499)*INDEX(v01_Boon,G1499)*Arch_Insight</x:f>
        <x:v>0</x:v>
      </x:c>
      <x:c r="AN1499" s="32" t="n">
        <x:f>H1499*(v01_KHPerAdult*Z1499+v01_KHOfCommons*AJ1499/4*INDEX(LM_All,G1499))*v01_KHUsable*Arch_KH</x:f>
        <x:v>0</x:v>
      </x:c>
      <x:c r="AO1499" s="32" t="n">
        <x:f>MIN(AP1498+AN1499,AM1499*v01_KHMaxRatio)</x:f>
        <x:v>0</x:v>
      </x:c>
      <x:c r="AP1499" s="32" t="n">
        <x:f>AP1498+AN1499-AO1499</x:f>
        <x:v>0</x:v>
      </x:c>
      <x:c r="AQ1499" s="32" t="n">
        <x:f>AM1499+AO1499</x:f>
        <x:v>0</x:v>
      </x:c>
      <x:c r="AR1499" s="10" t="n">
        <x:f>IF(H1499=1,INDEX(v01_Req,G1499),0)</x:f>
        <x:v>0</x:v>
      </x:c>
      <x:c r="AS1499" s="32" t="n">
        <x:f>IF(H1499=1,IF(E1499=1,AS1498-AR1498,AS1498)+AQ1499,0)</x:f>
        <x:v>0</x:v>
      </x:c>
      <x:c r="AT1499" s="11" t="n">
        <x:f>IF(AR1499&gt;0,MIN(1,AS1499/AR1499),1)</x:f>
        <x:v>1</x:v>
      </x:c>
      <x:c r="AU1499" s="10" t="n">
        <x:f>AB1499/INDEX(v01_RepScale,G1499)</x:f>
        <x:v>90.09519605746344</x:v>
      </x:c>
      <x:c r="AV1499" s="32" t="n">
        <x:f>AM1499*60/v01_SeasonSeconds</x:f>
        <x:v>0</x:v>
      </x:c>
    </x:row>
    <x:row r="1500">
      <x:c r="A1500" s="8" t="n">
        <x:f>A1499+1</x:f>
        <x:v>1497</x:v>
      </x:c>
      <x:c r="B1500" s="9" t="n">
        <x:f>A1500*v01_SeasonSeconds/60</x:f>
        <x:v>374.25</x:v>
      </x:c>
      <x:c r="C1500" s="9" t="n">
        <x:f>A1500/4</x:f>
        <x:v>374.25</x:v>
      </x:c>
      <x:c r="D1500" s="8" t="n">
        <x:f>IF(MOD(A1500,4)=0,1,0)</x:f>
        <x:v>0</x:v>
      </x:c>
      <x:c r="E1500" s="8" t="n">
        <x:f>IF(AND(F1499&lt;=9,AS1499&gt;=AR1499),1,0)</x:f>
        <x:v>0</x:v>
      </x:c>
      <x:c r="F1500" s="8" t="n">
        <x:f>MIN(10,F1499+E1500)</x:f>
        <x:v>10</x:v>
      </x:c>
      <x:c r="G1500" s="8" t="n">
        <x:f>MIN(F1500,9)+1</x:f>
        <x:v>10</x:v>
      </x:c>
      <x:c r="H1500" s="8" t="n">
        <x:f>IF(F1500&lt;=9,1,0)</x:f>
        <x:v>0</x:v>
      </x:c>
      <x:c r="I1500" s="9" t="n">
        <x:f>MIN(10,F1499+IF(AR1499&gt;0,MIN(1,AS1499/AR1499),1))</x:f>
        <x:v>10</x:v>
      </x:c>
      <x:c r="J1500" s="32" t="n">
        <x:f>INDEX(v01_FoodCap,G1500)*Arch_FoodCap*EXP(v01_CapsByProject*SUMPRODUCT((Cap_Point&lt;=I1500)*(Cap_Kind="Food")*Cap_Ln))</x:f>
        <x:v>12000</x:v>
      </x:c>
      <x:c r="K1500" s="32" t="n">
        <x:f>J1500*MIN(1,v01_LeanBase*EXP(v01_CapsByProject*SUMPRODUCT((Cap_Point&lt;=I1500)*(Cap_Kind="Lean")*Cap_Ln)))</x:f>
        <x:v>12000</x:v>
      </x:c>
      <x:c r="L1500" s="10" t="n">
        <x:f>INDEX(v01_HousingCap,G1500)*EXP(v01_CapsByProject*SUMPRODUCT((Cap_Point&lt;=I1500)*(Cap_Kind="Housing")*Cap_Ln))</x:f>
        <x:v>20000</x:v>
      </x:c>
      <x:c r="M1500" s="10" t="n">
        <x:f>INDEX(v01_GroupCap,G1500)*v01_CohesionFactor*EXP(v01_CapsByProject*SUMPRODUCT((Cap_Point&lt;=I1500)*(Cap_Kind="Group")*Cap_Ln))</x:f>
        <x:v>1000000</x:v>
      </x:c>
      <x:c r="N1500" s="32" t="n">
        <x:f>MIN(J1500,L1500,M1500)</x:f>
        <x:v>12000</x:v>
      </x:c>
      <x:c r="O1500" s="10" t="n">
        <x:f>AE1499*N1500</x:f>
        <x:v>180000</x:v>
      </x:c>
      <x:c r="P1500" s="9" t="n">
        <x:f>MIN(1,(AB1499/(AE1499*IF(v01_GroupInCrowding=1,N1500,MIN(J1500,L1500))))^v01_CrowdingExp)</x:f>
        <x:v>0.00024569414295285325</x:v>
      </x:c>
      <x:c r="Q1500" s="9" t="n">
        <x:f>IF(D1500=1,INDEX(v01_WinterMult,G1500),1)</x:f>
        <x:v>1</x:v>
      </x:c>
      <x:c r="R1500" s="9" t="n">
        <x:f>H1500*Z1499*v01_WomenShare*v01_BaseFertility*INDEX(v01_FertMult,G1500)*Arch_Fertility*(1-P1500)</x:f>
        <x:v>0</x:v>
      </x:c>
      <x:c r="S1500" s="9" t="n">
        <x:f>H1500*Y1499*INDEX(v01_MortChild,G1500)/4*Q1500</x:f>
        <x:v>0</x:v>
      </x:c>
      <x:c r="T1500" s="9" t="n">
        <x:f>H1500*Z1499*INDEX(v01_MortAdult,G1500)*Arch_AdultMort/4*Q1500</x:f>
        <x:v>0</x:v>
      </x:c>
      <x:c r="U1500" s="9" t="n">
        <x:f>H1500*AA1499*INDEX(v01_MortElder,G1500)/4*Q1500</x:f>
        <x:v>0</x:v>
      </x:c>
      <x:c r="V1500" s="9" t="n">
        <x:f>H1500*MAX(0,AB1499-O1500)*v01_OvercapLoss</x:f>
        <x:v>0</x:v>
      </x:c>
      <x:c r="W1500" s="9" t="n">
        <x:f>H1500*Y1499/(v01_ChildYears*4)</x:f>
        <x:v>0</x:v>
      </x:c>
      <x:c r="X1500" s="9" t="n">
        <x:f>H1500*Z1499/(v01_AdultYears*4)</x:f>
        <x:v>0</x:v>
      </x:c>
      <x:c r="Y1500" s="32" t="n">
        <x:f>Y1499+R1500-S1500-W1500-Y1499*V1500/AB1499</x:f>
        <x:v>14306.18539759397</x:v>
      </x:c>
      <x:c r="Z1500" s="32" t="n">
        <x:f>Z1499+W1500-X1500-T1500-Z1499*V1500/AB1499</x:f>
        <x:v>19354.456567879548</x:v>
      </x:c>
      <x:c r="AA1500" s="32" t="n">
        <x:f>AA1499+X1500-U1500-AA1499*V1500/AB1499</x:f>
        <x:v>11386.956063258198</x:v>
      </x:c>
      <x:c r="AB1500" s="10" t="n">
        <x:f>Y1500+Z1500+AA1500</x:f>
        <x:v>45047.59802873172</x:v>
      </x:c>
      <x:c r="AC1500" s="8" t="n">
        <x:f>IF(AND(v01_WinterTrigger=1,D1500=1,AB1499/AE1499&gt;=K1500),1,0)</x:f>
        <x:v>0</x:v>
      </x:c>
      <x:c r="AD1500" s="8" t="n">
        <x:f>H1500*IF(AND(OR(AB1499/AE1499&gt;=v01_FissionTrigger*N1500,AC1500=1),AB1499/AE1499*v01_DaughterShare&gt;=v01_MinDaughter),MAX(1,ROUND(AE1499*v01_FissionRate,0)),0)</x:f>
        <x:v>0</x:v>
      </x:c>
      <x:c r="AE1500" s="8" t="n">
        <x:f>IF(H1500=1,MAX(1,MIN(INDEX(v01_Smax,G1500),AE1499+AD1500)),AE1499)</x:f>
        <x:v>15</x:v>
      </x:c>
      <x:c r="AF1500" s="8" t="n">
        <x:f>MAX(0,AE1500-AE1499)</x:f>
        <x:v>0</x:v>
      </x:c>
      <x:c r="AG1500" s="9" t="str">
        <x:f>IF(AF1500&gt;0,B1500,"")</x:f>
      </x:c>
      <x:c r="AH1500" s="9" t="n">
        <x:f>IF(F1500&gt;=1,1,(1+v01_LowTiesShare*(AE1500-1))/AE1500)</x:f>
        <x:v>1</x:v>
      </x:c>
      <x:c r="AI1500" s="32" t="n">
        <x:f>(Z1500+v01_ElderCommons*INDEX(LM_Elder,G1500)*AA1500)*AH1500</x:f>
        <x:v>64139.732591141874</x:v>
      </x:c>
      <x:c r="AJ1500" s="32" t="n">
        <x:f>H1500*v01_CommonsCoef*AI1500^v01_CommonsExp*INDEX(LM_Commons,G1500)</x:f>
        <x:v>0</x:v>
      </x:c>
      <x:c r="AK1500" s="32" t="n">
        <x:f>H1500*v01_RoleScale*Arch_Roles*(AE1500*(INDEX(v01_ElderRolePerSett,G1500)*v01_OutElder*INDEX(LM_Elder,G1500)+INDEX(v01_ShamanPerSett,G1500)*v01_OutShaman)+Z1500*(INDEX(v01_PriestShare,G1500)*v01_OutPriest+INDEX(v01_ScribeShare,G1500)*v01_OutScribe*INDEX(LM_Scribe,G1500)+INDEX(v01_ScholarShare,G1500)*v01_OutScholar*INDEX(LM_Scholar,G1500)+INDEX(v01_ResearcherShare,G1500)*v01_OutResearcher*INDEX(LM_Researcher,G1500)))</x:f>
        <x:v>0</x:v>
      </x:c>
      <x:c r="AL1500" s="32" t="n">
        <x:f>H1500*v01_RoleScale*Arch_Roles*AE1500*INDEX(v01_MonasteryPerSett,G1500)*v01_OutMonastery*INDEX(LM_Monastery,G1500)</x:f>
        <x:v>0</x:v>
      </x:c>
      <x:c r="AM1500" s="32" t="n">
        <x:f>(AJ1500+AK1500+AL1500)/4*INDEX(LM_All,G1500)*INDEX(v01_Boon,G1500)*Arch_Insight</x:f>
        <x:v>0</x:v>
      </x:c>
      <x:c r="AN1500" s="32" t="n">
        <x:f>H1500*(v01_KHPerAdult*Z1500+v01_KHOfCommons*AJ1500/4*INDEX(LM_All,G1500))*v01_KHUsable*Arch_KH</x:f>
        <x:v>0</x:v>
      </x:c>
      <x:c r="AO1500" s="32" t="n">
        <x:f>MIN(AP1499+AN1500,AM1500*v01_KHMaxRatio)</x:f>
        <x:v>0</x:v>
      </x:c>
      <x:c r="AP1500" s="32" t="n">
        <x:f>AP1499+AN1500-AO1500</x:f>
        <x:v>0</x:v>
      </x:c>
      <x:c r="AQ1500" s="32" t="n">
        <x:f>AM1500+AO1500</x:f>
        <x:v>0</x:v>
      </x:c>
      <x:c r="AR1500" s="10" t="n">
        <x:f>IF(H1500=1,INDEX(v01_Req,G1500),0)</x:f>
        <x:v>0</x:v>
      </x:c>
      <x:c r="AS1500" s="32" t="n">
        <x:f>IF(H1500=1,IF(E1500=1,AS1499-AR1499,AS1499)+AQ1500,0)</x:f>
        <x:v>0</x:v>
      </x:c>
      <x:c r="AT1500" s="11" t="n">
        <x:f>IF(AR1500&gt;0,MIN(1,AS1500/AR1500),1)</x:f>
        <x:v>1</x:v>
      </x:c>
      <x:c r="AU1500" s="10" t="n">
        <x:f>AB1500/INDEX(v01_RepScale,G1500)</x:f>
        <x:v>90.09519605746344</x:v>
      </x:c>
      <x:c r="AV1500" s="32" t="n">
        <x:f>AM1500*60/v01_SeasonSeconds</x:f>
        <x:v>0</x:v>
      </x:c>
    </x:row>
    <x:row r="1501">
      <x:c r="A1501" s="8" t="n">
        <x:f>A1500+1</x:f>
        <x:v>1498</x:v>
      </x:c>
      <x:c r="B1501" s="9" t="n">
        <x:f>A1501*v01_SeasonSeconds/60</x:f>
        <x:v>374.5</x:v>
      </x:c>
      <x:c r="C1501" s="9" t="n">
        <x:f>A1501/4</x:f>
        <x:v>374.5</x:v>
      </x:c>
      <x:c r="D1501" s="8" t="n">
        <x:f>IF(MOD(A1501,4)=0,1,0)</x:f>
        <x:v>0</x:v>
      </x:c>
      <x:c r="E1501" s="8" t="n">
        <x:f>IF(AND(F1500&lt;=9,AS1500&gt;=AR1500),1,0)</x:f>
        <x:v>0</x:v>
      </x:c>
      <x:c r="F1501" s="8" t="n">
        <x:f>MIN(10,F1500+E1501)</x:f>
        <x:v>10</x:v>
      </x:c>
      <x:c r="G1501" s="8" t="n">
        <x:f>MIN(F1501,9)+1</x:f>
        <x:v>10</x:v>
      </x:c>
      <x:c r="H1501" s="8" t="n">
        <x:f>IF(F1501&lt;=9,1,0)</x:f>
        <x:v>0</x:v>
      </x:c>
      <x:c r="I1501" s="9" t="n">
        <x:f>MIN(10,F1500+IF(AR1500&gt;0,MIN(1,AS1500/AR1500),1))</x:f>
        <x:v>10</x:v>
      </x:c>
      <x:c r="J1501" s="32" t="n">
        <x:f>INDEX(v01_FoodCap,G1501)*Arch_FoodCap*EXP(v01_CapsByProject*SUMPRODUCT((Cap_Point&lt;=I1501)*(Cap_Kind="Food")*Cap_Ln))</x:f>
        <x:v>12000</x:v>
      </x:c>
      <x:c r="K1501" s="32" t="n">
        <x:f>J1501*MIN(1,v01_LeanBase*EXP(v01_CapsByProject*SUMPRODUCT((Cap_Point&lt;=I1501)*(Cap_Kind="Lean")*Cap_Ln)))</x:f>
        <x:v>12000</x:v>
      </x:c>
      <x:c r="L1501" s="10" t="n">
        <x:f>INDEX(v01_HousingCap,G1501)*EXP(v01_CapsByProject*SUMPRODUCT((Cap_Point&lt;=I1501)*(Cap_Kind="Housing")*Cap_Ln))</x:f>
        <x:v>20000</x:v>
      </x:c>
      <x:c r="M1501" s="10" t="n">
        <x:f>INDEX(v01_GroupCap,G1501)*v01_CohesionFactor*EXP(v01_CapsByProject*SUMPRODUCT((Cap_Point&lt;=I1501)*(Cap_Kind="Group")*Cap_Ln))</x:f>
        <x:v>1000000</x:v>
      </x:c>
      <x:c r="N1501" s="32" t="n">
        <x:f>MIN(J1501,L1501,M1501)</x:f>
        <x:v>12000</x:v>
      </x:c>
      <x:c r="O1501" s="10" t="n">
        <x:f>AE1500*N1501</x:f>
        <x:v>180000</x:v>
      </x:c>
      <x:c r="P1501" s="9" t="n">
        <x:f>MIN(1,(AB1500/(AE1500*IF(v01_GroupInCrowding=1,N1501,MIN(J1501,L1501))))^v01_CrowdingExp)</x:f>
        <x:v>0.00024569414295285325</x:v>
      </x:c>
      <x:c r="Q1501" s="9" t="n">
        <x:f>IF(D1501=1,INDEX(v01_WinterMult,G1501),1)</x:f>
        <x:v>1</x:v>
      </x:c>
      <x:c r="R1501" s="9" t="n">
        <x:f>H1501*Z1500*v01_WomenShare*v01_BaseFertility*INDEX(v01_FertMult,G1501)*Arch_Fertility*(1-P1501)</x:f>
        <x:v>0</x:v>
      </x:c>
      <x:c r="S1501" s="9" t="n">
        <x:f>H1501*Y1500*INDEX(v01_MortChild,G1501)/4*Q1501</x:f>
        <x:v>0</x:v>
      </x:c>
      <x:c r="T1501" s="9" t="n">
        <x:f>H1501*Z1500*INDEX(v01_MortAdult,G1501)*Arch_AdultMort/4*Q1501</x:f>
        <x:v>0</x:v>
      </x:c>
      <x:c r="U1501" s="9" t="n">
        <x:f>H1501*AA1500*INDEX(v01_MortElder,G1501)/4*Q1501</x:f>
        <x:v>0</x:v>
      </x:c>
      <x:c r="V1501" s="9" t="n">
        <x:f>H1501*MAX(0,AB1500-O1501)*v01_OvercapLoss</x:f>
        <x:v>0</x:v>
      </x:c>
      <x:c r="W1501" s="9" t="n">
        <x:f>H1501*Y1500/(v01_ChildYears*4)</x:f>
        <x:v>0</x:v>
      </x:c>
      <x:c r="X1501" s="9" t="n">
        <x:f>H1501*Z1500/(v01_AdultYears*4)</x:f>
        <x:v>0</x:v>
      </x:c>
      <x:c r="Y1501" s="32" t="n">
        <x:f>Y1500+R1501-S1501-W1501-Y1500*V1501/AB1500</x:f>
        <x:v>14306.18539759397</x:v>
      </x:c>
      <x:c r="Z1501" s="32" t="n">
        <x:f>Z1500+W1501-X1501-T1501-Z1500*V1501/AB1500</x:f>
        <x:v>19354.456567879548</x:v>
      </x:c>
      <x:c r="AA1501" s="32" t="n">
        <x:f>AA1500+X1501-U1501-AA1500*V1501/AB1500</x:f>
        <x:v>11386.956063258198</x:v>
      </x:c>
      <x:c r="AB1501" s="10" t="n">
        <x:f>Y1501+Z1501+AA1501</x:f>
        <x:v>45047.59802873172</x:v>
      </x:c>
      <x:c r="AC1501" s="8" t="n">
        <x:f>IF(AND(v01_WinterTrigger=1,D1501=1,AB1500/AE1500&gt;=K1501),1,0)</x:f>
        <x:v>0</x:v>
      </x:c>
      <x:c r="AD1501" s="8" t="n">
        <x:f>H1501*IF(AND(OR(AB1500/AE1500&gt;=v01_FissionTrigger*N1501,AC1501=1),AB1500/AE1500*v01_DaughterShare&gt;=v01_MinDaughter),MAX(1,ROUND(AE1500*v01_FissionRate,0)),0)</x:f>
        <x:v>0</x:v>
      </x:c>
      <x:c r="AE1501" s="8" t="n">
        <x:f>IF(H1501=1,MAX(1,MIN(INDEX(v01_Smax,G1501),AE1500+AD1501)),AE1500)</x:f>
        <x:v>15</x:v>
      </x:c>
      <x:c r="AF1501" s="8" t="n">
        <x:f>MAX(0,AE1501-AE1500)</x:f>
        <x:v>0</x:v>
      </x:c>
      <x:c r="AG1501" s="9" t="str">
        <x:f>IF(AF1501&gt;0,B1501,"")</x:f>
      </x:c>
      <x:c r="AH1501" s="9" t="n">
        <x:f>IF(F1501&gt;=1,1,(1+v01_LowTiesShare*(AE1501-1))/AE1501)</x:f>
        <x:v>1</x:v>
      </x:c>
      <x:c r="AI1501" s="32" t="n">
        <x:f>(Z1501+v01_ElderCommons*INDEX(LM_Elder,G1501)*AA1501)*AH1501</x:f>
        <x:v>64139.732591141874</x:v>
      </x:c>
      <x:c r="AJ1501" s="32" t="n">
        <x:f>H1501*v01_CommonsCoef*AI1501^v01_CommonsExp*INDEX(LM_Commons,G1501)</x:f>
        <x:v>0</x:v>
      </x:c>
      <x:c r="AK1501" s="32" t="n">
        <x:f>H1501*v01_RoleScale*Arch_Roles*(AE1501*(INDEX(v01_ElderRolePerSett,G1501)*v01_OutElder*INDEX(LM_Elder,G1501)+INDEX(v01_ShamanPerSett,G1501)*v01_OutShaman)+Z1501*(INDEX(v01_PriestShare,G1501)*v01_OutPriest+INDEX(v01_ScribeShare,G1501)*v01_OutScribe*INDEX(LM_Scribe,G1501)+INDEX(v01_ScholarShare,G1501)*v01_OutScholar*INDEX(LM_Scholar,G1501)+INDEX(v01_ResearcherShare,G1501)*v01_OutResearcher*INDEX(LM_Researcher,G1501)))</x:f>
        <x:v>0</x:v>
      </x:c>
      <x:c r="AL1501" s="32" t="n">
        <x:f>H1501*v01_RoleScale*Arch_Roles*AE1501*INDEX(v01_MonasteryPerSett,G1501)*v01_OutMonastery*INDEX(LM_Monastery,G1501)</x:f>
        <x:v>0</x:v>
      </x:c>
      <x:c r="AM1501" s="32" t="n">
        <x:f>(AJ1501+AK1501+AL1501)/4*INDEX(LM_All,G1501)*INDEX(v01_Boon,G1501)*Arch_Insight</x:f>
        <x:v>0</x:v>
      </x:c>
      <x:c r="AN1501" s="32" t="n">
        <x:f>H1501*(v01_KHPerAdult*Z1501+v01_KHOfCommons*AJ1501/4*INDEX(LM_All,G1501))*v01_KHUsable*Arch_KH</x:f>
        <x:v>0</x:v>
      </x:c>
      <x:c r="AO1501" s="32" t="n">
        <x:f>MIN(AP1500+AN1501,AM1501*v01_KHMaxRatio)</x:f>
        <x:v>0</x:v>
      </x:c>
      <x:c r="AP1501" s="32" t="n">
        <x:f>AP1500+AN1501-AO1501</x:f>
        <x:v>0</x:v>
      </x:c>
      <x:c r="AQ1501" s="32" t="n">
        <x:f>AM1501+AO1501</x:f>
        <x:v>0</x:v>
      </x:c>
      <x:c r="AR1501" s="10" t="n">
        <x:f>IF(H1501=1,INDEX(v01_Req,G1501),0)</x:f>
        <x:v>0</x:v>
      </x:c>
      <x:c r="AS1501" s="32" t="n">
        <x:f>IF(H1501=1,IF(E1501=1,AS1500-AR1500,AS1500)+AQ1501,0)</x:f>
        <x:v>0</x:v>
      </x:c>
      <x:c r="AT1501" s="11" t="n">
        <x:f>IF(AR1501&gt;0,MIN(1,AS1501/AR1501),1)</x:f>
        <x:v>1</x:v>
      </x:c>
      <x:c r="AU1501" s="10" t="n">
        <x:f>AB1501/INDEX(v01_RepScale,G1501)</x:f>
        <x:v>90.09519605746344</x:v>
      </x:c>
      <x:c r="AV1501" s="32" t="n">
        <x:f>AM1501*60/v01_SeasonSeconds</x:f>
        <x:v>0</x:v>
      </x:c>
    </x:row>
    <x:row r="1502">
      <x:c r="A1502" s="8" t="n">
        <x:f>A1501+1</x:f>
        <x:v>1499</x:v>
      </x:c>
      <x:c r="B1502" s="9" t="n">
        <x:f>A1502*v01_SeasonSeconds/60</x:f>
        <x:v>374.75</x:v>
      </x:c>
      <x:c r="C1502" s="9" t="n">
        <x:f>A1502/4</x:f>
        <x:v>374.75</x:v>
      </x:c>
      <x:c r="D1502" s="8" t="n">
        <x:f>IF(MOD(A1502,4)=0,1,0)</x:f>
        <x:v>0</x:v>
      </x:c>
      <x:c r="E1502" s="8" t="n">
        <x:f>IF(AND(F1501&lt;=9,AS1501&gt;=AR1501),1,0)</x:f>
        <x:v>0</x:v>
      </x:c>
      <x:c r="F1502" s="8" t="n">
        <x:f>MIN(10,F1501+E1502)</x:f>
        <x:v>10</x:v>
      </x:c>
      <x:c r="G1502" s="8" t="n">
        <x:f>MIN(F1502,9)+1</x:f>
        <x:v>10</x:v>
      </x:c>
      <x:c r="H1502" s="8" t="n">
        <x:f>IF(F1502&lt;=9,1,0)</x:f>
        <x:v>0</x:v>
      </x:c>
      <x:c r="I1502" s="9" t="n">
        <x:f>MIN(10,F1501+IF(AR1501&gt;0,MIN(1,AS1501/AR1501),1))</x:f>
        <x:v>10</x:v>
      </x:c>
      <x:c r="J1502" s="32" t="n">
        <x:f>INDEX(v01_FoodCap,G1502)*Arch_FoodCap*EXP(v01_CapsByProject*SUMPRODUCT((Cap_Point&lt;=I1502)*(Cap_Kind="Food")*Cap_Ln))</x:f>
        <x:v>12000</x:v>
      </x:c>
      <x:c r="K1502" s="32" t="n">
        <x:f>J1502*MIN(1,v01_LeanBase*EXP(v01_CapsByProject*SUMPRODUCT((Cap_Point&lt;=I1502)*(Cap_Kind="Lean")*Cap_Ln)))</x:f>
        <x:v>12000</x:v>
      </x:c>
      <x:c r="L1502" s="10" t="n">
        <x:f>INDEX(v01_HousingCap,G1502)*EXP(v01_CapsByProject*SUMPRODUCT((Cap_Point&lt;=I1502)*(Cap_Kind="Housing")*Cap_Ln))</x:f>
        <x:v>20000</x:v>
      </x:c>
      <x:c r="M1502" s="10" t="n">
        <x:f>INDEX(v01_GroupCap,G1502)*v01_CohesionFactor*EXP(v01_CapsByProject*SUMPRODUCT((Cap_Point&lt;=I1502)*(Cap_Kind="Group")*Cap_Ln))</x:f>
        <x:v>1000000</x:v>
      </x:c>
      <x:c r="N1502" s="32" t="n">
        <x:f>MIN(J1502,L1502,M1502)</x:f>
        <x:v>12000</x:v>
      </x:c>
      <x:c r="O1502" s="10" t="n">
        <x:f>AE1501*N1502</x:f>
        <x:v>180000</x:v>
      </x:c>
      <x:c r="P1502" s="9" t="n">
        <x:f>MIN(1,(AB1501/(AE1501*IF(v01_GroupInCrowding=1,N1502,MIN(J1502,L1502))))^v01_CrowdingExp)</x:f>
        <x:v>0.00024569414295285325</x:v>
      </x:c>
      <x:c r="Q1502" s="9" t="n">
        <x:f>IF(D1502=1,INDEX(v01_WinterMult,G1502),1)</x:f>
        <x:v>1</x:v>
      </x:c>
      <x:c r="R1502" s="9" t="n">
        <x:f>H1502*Z1501*v01_WomenShare*v01_BaseFertility*INDEX(v01_FertMult,G1502)*Arch_Fertility*(1-P1502)</x:f>
        <x:v>0</x:v>
      </x:c>
      <x:c r="S1502" s="9" t="n">
        <x:f>H1502*Y1501*INDEX(v01_MortChild,G1502)/4*Q1502</x:f>
        <x:v>0</x:v>
      </x:c>
      <x:c r="T1502" s="9" t="n">
        <x:f>H1502*Z1501*INDEX(v01_MortAdult,G1502)*Arch_AdultMort/4*Q1502</x:f>
        <x:v>0</x:v>
      </x:c>
      <x:c r="U1502" s="9" t="n">
        <x:f>H1502*AA1501*INDEX(v01_MortElder,G1502)/4*Q1502</x:f>
        <x:v>0</x:v>
      </x:c>
      <x:c r="V1502" s="9" t="n">
        <x:f>H1502*MAX(0,AB1501-O1502)*v01_OvercapLoss</x:f>
        <x:v>0</x:v>
      </x:c>
      <x:c r="W1502" s="9" t="n">
        <x:f>H1502*Y1501/(v01_ChildYears*4)</x:f>
        <x:v>0</x:v>
      </x:c>
      <x:c r="X1502" s="9" t="n">
        <x:f>H1502*Z1501/(v01_AdultYears*4)</x:f>
        <x:v>0</x:v>
      </x:c>
      <x:c r="Y1502" s="32" t="n">
        <x:f>Y1501+R1502-S1502-W1502-Y1501*V1502/AB1501</x:f>
        <x:v>14306.18539759397</x:v>
      </x:c>
      <x:c r="Z1502" s="32" t="n">
        <x:f>Z1501+W1502-X1502-T1502-Z1501*V1502/AB1501</x:f>
        <x:v>19354.456567879548</x:v>
      </x:c>
      <x:c r="AA1502" s="32" t="n">
        <x:f>AA1501+X1502-U1502-AA1501*V1502/AB1501</x:f>
        <x:v>11386.956063258198</x:v>
      </x:c>
      <x:c r="AB1502" s="10" t="n">
        <x:f>Y1502+Z1502+AA1502</x:f>
        <x:v>45047.59802873172</x:v>
      </x:c>
      <x:c r="AC1502" s="8" t="n">
        <x:f>IF(AND(v01_WinterTrigger=1,D1502=1,AB1501/AE1501&gt;=K1502),1,0)</x:f>
        <x:v>0</x:v>
      </x:c>
      <x:c r="AD1502" s="8" t="n">
        <x:f>H1502*IF(AND(OR(AB1501/AE1501&gt;=v01_FissionTrigger*N1502,AC1502=1),AB1501/AE1501*v01_DaughterShare&gt;=v01_MinDaughter),MAX(1,ROUND(AE1501*v01_FissionRate,0)),0)</x:f>
        <x:v>0</x:v>
      </x:c>
      <x:c r="AE1502" s="8" t="n">
        <x:f>IF(H1502=1,MAX(1,MIN(INDEX(v01_Smax,G1502),AE1501+AD1502)),AE1501)</x:f>
        <x:v>15</x:v>
      </x:c>
      <x:c r="AF1502" s="8" t="n">
        <x:f>MAX(0,AE1502-AE1501)</x:f>
        <x:v>0</x:v>
      </x:c>
      <x:c r="AG1502" s="9" t="str">
        <x:f>IF(AF1502&gt;0,B1502,"")</x:f>
      </x:c>
      <x:c r="AH1502" s="9" t="n">
        <x:f>IF(F1502&gt;=1,1,(1+v01_LowTiesShare*(AE1502-1))/AE1502)</x:f>
        <x:v>1</x:v>
      </x:c>
      <x:c r="AI1502" s="32" t="n">
        <x:f>(Z1502+v01_ElderCommons*INDEX(LM_Elder,G1502)*AA1502)*AH1502</x:f>
        <x:v>64139.732591141874</x:v>
      </x:c>
      <x:c r="AJ1502" s="32" t="n">
        <x:f>H1502*v01_CommonsCoef*AI1502^v01_CommonsExp*INDEX(LM_Commons,G1502)</x:f>
        <x:v>0</x:v>
      </x:c>
      <x:c r="AK1502" s="32" t="n">
        <x:f>H1502*v01_RoleScale*Arch_Roles*(AE1502*(INDEX(v01_ElderRolePerSett,G1502)*v01_OutElder*INDEX(LM_Elder,G1502)+INDEX(v01_ShamanPerSett,G1502)*v01_OutShaman)+Z1502*(INDEX(v01_PriestShare,G1502)*v01_OutPriest+INDEX(v01_ScribeShare,G1502)*v01_OutScribe*INDEX(LM_Scribe,G1502)+INDEX(v01_ScholarShare,G1502)*v01_OutScholar*INDEX(LM_Scholar,G1502)+INDEX(v01_ResearcherShare,G1502)*v01_OutResearcher*INDEX(LM_Researcher,G1502)))</x:f>
        <x:v>0</x:v>
      </x:c>
      <x:c r="AL1502" s="32" t="n">
        <x:f>H1502*v01_RoleScale*Arch_Roles*AE1502*INDEX(v01_MonasteryPerSett,G1502)*v01_OutMonastery*INDEX(LM_Monastery,G1502)</x:f>
        <x:v>0</x:v>
      </x:c>
      <x:c r="AM1502" s="32" t="n">
        <x:f>(AJ1502+AK1502+AL1502)/4*INDEX(LM_All,G1502)*INDEX(v01_Boon,G1502)*Arch_Insight</x:f>
        <x:v>0</x:v>
      </x:c>
      <x:c r="AN1502" s="32" t="n">
        <x:f>H1502*(v01_KHPerAdult*Z1502+v01_KHOfCommons*AJ1502/4*INDEX(LM_All,G1502))*v01_KHUsable*Arch_KH</x:f>
        <x:v>0</x:v>
      </x:c>
      <x:c r="AO1502" s="32" t="n">
        <x:f>MIN(AP1501+AN1502,AM1502*v01_KHMaxRatio)</x:f>
        <x:v>0</x:v>
      </x:c>
      <x:c r="AP1502" s="32" t="n">
        <x:f>AP1501+AN1502-AO1502</x:f>
        <x:v>0</x:v>
      </x:c>
      <x:c r="AQ1502" s="32" t="n">
        <x:f>AM1502+AO1502</x:f>
        <x:v>0</x:v>
      </x:c>
      <x:c r="AR1502" s="10" t="n">
        <x:f>IF(H1502=1,INDEX(v01_Req,G1502),0)</x:f>
        <x:v>0</x:v>
      </x:c>
      <x:c r="AS1502" s="32" t="n">
        <x:f>IF(H1502=1,IF(E1502=1,AS1501-AR1501,AS1501)+AQ1502,0)</x:f>
        <x:v>0</x:v>
      </x:c>
      <x:c r="AT1502" s="11" t="n">
        <x:f>IF(AR1502&gt;0,MIN(1,AS1502/AR1502),1)</x:f>
        <x:v>1</x:v>
      </x:c>
      <x:c r="AU1502" s="10" t="n">
        <x:f>AB1502/INDEX(v01_RepScale,G1502)</x:f>
        <x:v>90.09519605746344</x:v>
      </x:c>
      <x:c r="AV1502" s="32" t="n">
        <x:f>AM1502*60/v01_SeasonSeconds</x:f>
        <x:v>0</x:v>
      </x:c>
    </x:row>
    <x:row r="1503">
      <x:c r="A1503" s="8" t="n">
        <x:f>A1502+1</x:f>
        <x:v>1500</x:v>
      </x:c>
      <x:c r="B1503" s="9" t="n">
        <x:f>A1503*v01_SeasonSeconds/60</x:f>
        <x:v>375</x:v>
      </x:c>
      <x:c r="C1503" s="9" t="n">
        <x:f>A1503/4</x:f>
        <x:v>375</x:v>
      </x:c>
      <x:c r="D1503" s="8" t="n">
        <x:f>IF(MOD(A1503,4)=0,1,0)</x:f>
        <x:v>1</x:v>
      </x:c>
      <x:c r="E1503" s="8" t="n">
        <x:f>IF(AND(F1502&lt;=9,AS1502&gt;=AR1502),1,0)</x:f>
        <x:v>0</x:v>
      </x:c>
      <x:c r="F1503" s="8" t="n">
        <x:f>MIN(10,F1502+E1503)</x:f>
        <x:v>10</x:v>
      </x:c>
      <x:c r="G1503" s="8" t="n">
        <x:f>MIN(F1503,9)+1</x:f>
        <x:v>10</x:v>
      </x:c>
      <x:c r="H1503" s="8" t="n">
        <x:f>IF(F1503&lt;=9,1,0)</x:f>
        <x:v>0</x:v>
      </x:c>
      <x:c r="I1503" s="9" t="n">
        <x:f>MIN(10,F1502+IF(AR1502&gt;0,MIN(1,AS1502/AR1502),1))</x:f>
        <x:v>10</x:v>
      </x:c>
      <x:c r="J1503" s="32" t="n">
        <x:f>INDEX(v01_FoodCap,G1503)*Arch_FoodCap*EXP(v01_CapsByProject*SUMPRODUCT((Cap_Point&lt;=I1503)*(Cap_Kind="Food")*Cap_Ln))</x:f>
        <x:v>12000</x:v>
      </x:c>
      <x:c r="K1503" s="32" t="n">
        <x:f>J1503*MIN(1,v01_LeanBase*EXP(v01_CapsByProject*SUMPRODUCT((Cap_Point&lt;=I1503)*(Cap_Kind="Lean")*Cap_Ln)))</x:f>
        <x:v>12000</x:v>
      </x:c>
      <x:c r="L1503" s="10" t="n">
        <x:f>INDEX(v01_HousingCap,G1503)*EXP(v01_CapsByProject*SUMPRODUCT((Cap_Point&lt;=I1503)*(Cap_Kind="Housing")*Cap_Ln))</x:f>
        <x:v>20000</x:v>
      </x:c>
      <x:c r="M1503" s="10" t="n">
        <x:f>INDEX(v01_GroupCap,G1503)*v01_CohesionFactor*EXP(v01_CapsByProject*SUMPRODUCT((Cap_Point&lt;=I1503)*(Cap_Kind="Group")*Cap_Ln))</x:f>
        <x:v>1000000</x:v>
      </x:c>
      <x:c r="N1503" s="32" t="n">
        <x:f>MIN(J1503,L1503,M1503)</x:f>
        <x:v>12000</x:v>
      </x:c>
      <x:c r="O1503" s="10" t="n">
        <x:f>AE1502*N1503</x:f>
        <x:v>180000</x:v>
      </x:c>
      <x:c r="P1503" s="9" t="n">
        <x:f>MIN(1,(AB1502/(AE1502*IF(v01_GroupInCrowding=1,N1503,MIN(J1503,L1503))))^v01_CrowdingExp)</x:f>
        <x:v>0.00024569414295285325</x:v>
      </x:c>
      <x:c r="Q1503" s="9" t="n">
        <x:f>IF(D1503=1,INDEX(v01_WinterMult,G1503),1)</x:f>
        <x:v>1</x:v>
      </x:c>
      <x:c r="R1503" s="9" t="n">
        <x:f>H1503*Z1502*v01_WomenShare*v01_BaseFertility*INDEX(v01_FertMult,G1503)*Arch_Fertility*(1-P1503)</x:f>
        <x:v>0</x:v>
      </x:c>
      <x:c r="S1503" s="9" t="n">
        <x:f>H1503*Y1502*INDEX(v01_MortChild,G1503)/4*Q1503</x:f>
        <x:v>0</x:v>
      </x:c>
      <x:c r="T1503" s="9" t="n">
        <x:f>H1503*Z1502*INDEX(v01_MortAdult,G1503)*Arch_AdultMort/4*Q1503</x:f>
        <x:v>0</x:v>
      </x:c>
      <x:c r="U1503" s="9" t="n">
        <x:f>H1503*AA1502*INDEX(v01_MortElder,G1503)/4*Q1503</x:f>
        <x:v>0</x:v>
      </x:c>
      <x:c r="V1503" s="9" t="n">
        <x:f>H1503*MAX(0,AB1502-O1503)*v01_OvercapLoss</x:f>
        <x:v>0</x:v>
      </x:c>
      <x:c r="W1503" s="9" t="n">
        <x:f>H1503*Y1502/(v01_ChildYears*4)</x:f>
        <x:v>0</x:v>
      </x:c>
      <x:c r="X1503" s="9" t="n">
        <x:f>H1503*Z1502/(v01_AdultYears*4)</x:f>
        <x:v>0</x:v>
      </x:c>
      <x:c r="Y1503" s="32" t="n">
        <x:f>Y1502+R1503-S1503-W1503-Y1502*V1503/AB1502</x:f>
        <x:v>14306.18539759397</x:v>
      </x:c>
      <x:c r="Z1503" s="32" t="n">
        <x:f>Z1502+W1503-X1503-T1503-Z1502*V1503/AB1502</x:f>
        <x:v>19354.456567879548</x:v>
      </x:c>
      <x:c r="AA1503" s="32" t="n">
        <x:f>AA1502+X1503-U1503-AA1502*V1503/AB1502</x:f>
        <x:v>11386.956063258198</x:v>
      </x:c>
      <x:c r="AB1503" s="10" t="n">
        <x:f>Y1503+Z1503+AA1503</x:f>
        <x:v>45047.59802873172</x:v>
      </x:c>
      <x:c r="AC1503" s="8" t="n">
        <x:f>IF(AND(v01_WinterTrigger=1,D1503=1,AB1502/AE1502&gt;=K1503),1,0)</x:f>
        <x:v>0</x:v>
      </x:c>
      <x:c r="AD1503" s="8" t="n">
        <x:f>H1503*IF(AND(OR(AB1502/AE1502&gt;=v01_FissionTrigger*N1503,AC1503=1),AB1502/AE1502*v01_DaughterShare&gt;=v01_MinDaughter),MAX(1,ROUND(AE1502*v01_FissionRate,0)),0)</x:f>
        <x:v>0</x:v>
      </x:c>
      <x:c r="AE1503" s="8" t="n">
        <x:f>IF(H1503=1,MAX(1,MIN(INDEX(v01_Smax,G1503),AE1502+AD1503)),AE1502)</x:f>
        <x:v>15</x:v>
      </x:c>
      <x:c r="AF1503" s="8" t="n">
        <x:f>MAX(0,AE1503-AE1502)</x:f>
        <x:v>0</x:v>
      </x:c>
      <x:c r="AG1503" s="9" t="str">
        <x:f>IF(AF1503&gt;0,B1503,"")</x:f>
      </x:c>
      <x:c r="AH1503" s="9" t="n">
        <x:f>IF(F1503&gt;=1,1,(1+v01_LowTiesShare*(AE1503-1))/AE1503)</x:f>
        <x:v>1</x:v>
      </x:c>
      <x:c r="AI1503" s="32" t="n">
        <x:f>(Z1503+v01_ElderCommons*INDEX(LM_Elder,G1503)*AA1503)*AH1503</x:f>
        <x:v>64139.732591141874</x:v>
      </x:c>
      <x:c r="AJ1503" s="32" t="n">
        <x:f>H1503*v01_CommonsCoef*AI1503^v01_CommonsExp*INDEX(LM_Commons,G1503)</x:f>
        <x:v>0</x:v>
      </x:c>
      <x:c r="AK1503" s="32" t="n">
        <x:f>H1503*v01_RoleScale*Arch_Roles*(AE1503*(INDEX(v01_ElderRolePerSett,G1503)*v01_OutElder*INDEX(LM_Elder,G1503)+INDEX(v01_ShamanPerSett,G1503)*v01_OutShaman)+Z1503*(INDEX(v01_PriestShare,G1503)*v01_OutPriest+INDEX(v01_ScribeShare,G1503)*v01_OutScribe*INDEX(LM_Scribe,G1503)+INDEX(v01_ScholarShare,G1503)*v01_OutScholar*INDEX(LM_Scholar,G1503)+INDEX(v01_ResearcherShare,G1503)*v01_OutResearcher*INDEX(LM_Researcher,G1503)))</x:f>
        <x:v>0</x:v>
      </x:c>
      <x:c r="AL1503" s="32" t="n">
        <x:f>H1503*v01_RoleScale*Arch_Roles*AE1503*INDEX(v01_MonasteryPerSett,G1503)*v01_OutMonastery*INDEX(LM_Monastery,G1503)</x:f>
        <x:v>0</x:v>
      </x:c>
      <x:c r="AM1503" s="32" t="n">
        <x:f>(AJ1503+AK1503+AL1503)/4*INDEX(LM_All,G1503)*INDEX(v01_Boon,G1503)*Arch_Insight</x:f>
        <x:v>0</x:v>
      </x:c>
      <x:c r="AN1503" s="32" t="n">
        <x:f>H1503*(v01_KHPerAdult*Z1503+v01_KHOfCommons*AJ1503/4*INDEX(LM_All,G1503))*v01_KHUsable*Arch_KH</x:f>
        <x:v>0</x:v>
      </x:c>
      <x:c r="AO1503" s="32" t="n">
        <x:f>MIN(AP1502+AN1503,AM1503*v01_KHMaxRatio)</x:f>
        <x:v>0</x:v>
      </x:c>
      <x:c r="AP1503" s="32" t="n">
        <x:f>AP1502+AN1503-AO1503</x:f>
        <x:v>0</x:v>
      </x:c>
      <x:c r="AQ1503" s="32" t="n">
        <x:f>AM1503+AO1503</x:f>
        <x:v>0</x:v>
      </x:c>
      <x:c r="AR1503" s="10" t="n">
        <x:f>IF(H1503=1,INDEX(v01_Req,G1503),0)</x:f>
        <x:v>0</x:v>
      </x:c>
      <x:c r="AS1503" s="32" t="n">
        <x:f>IF(H1503=1,IF(E1503=1,AS1502-AR1502,AS1502)+AQ1503,0)</x:f>
        <x:v>0</x:v>
      </x:c>
      <x:c r="AT1503" s="11" t="n">
        <x:f>IF(AR1503&gt;0,MIN(1,AS1503/AR1503),1)</x:f>
        <x:v>1</x:v>
      </x:c>
      <x:c r="AU1503" s="10" t="n">
        <x:f>AB1503/INDEX(v01_RepScale,G1503)</x:f>
        <x:v>90.09519605746344</x:v>
      </x:c>
      <x:c r="AV1503" s="32" t="n">
        <x:f>AM1503*60/v01_SeasonSeconds</x:f>
        <x:v>0</x:v>
      </x:c>
    </x:row>
    <x:row r="1504">
      <x:c r="A1504" s="8" t="n">
        <x:f>A1503+1</x:f>
        <x:v>1501</x:v>
      </x:c>
      <x:c r="B1504" s="9" t="n">
        <x:f>A1504*v01_SeasonSeconds/60</x:f>
        <x:v>375.25</x:v>
      </x:c>
      <x:c r="C1504" s="9" t="n">
        <x:f>A1504/4</x:f>
        <x:v>375.25</x:v>
      </x:c>
      <x:c r="D1504" s="8" t="n">
        <x:f>IF(MOD(A1504,4)=0,1,0)</x:f>
        <x:v>0</x:v>
      </x:c>
      <x:c r="E1504" s="8" t="n">
        <x:f>IF(AND(F1503&lt;=9,AS1503&gt;=AR1503),1,0)</x:f>
        <x:v>0</x:v>
      </x:c>
      <x:c r="F1504" s="8" t="n">
        <x:f>MIN(10,F1503+E1504)</x:f>
        <x:v>10</x:v>
      </x:c>
      <x:c r="G1504" s="8" t="n">
        <x:f>MIN(F1504,9)+1</x:f>
        <x:v>10</x:v>
      </x:c>
      <x:c r="H1504" s="8" t="n">
        <x:f>IF(F1504&lt;=9,1,0)</x:f>
        <x:v>0</x:v>
      </x:c>
      <x:c r="I1504" s="9" t="n">
        <x:f>MIN(10,F1503+IF(AR1503&gt;0,MIN(1,AS1503/AR1503),1))</x:f>
        <x:v>10</x:v>
      </x:c>
      <x:c r="J1504" s="32" t="n">
        <x:f>INDEX(v01_FoodCap,G1504)*Arch_FoodCap*EXP(v01_CapsByProject*SUMPRODUCT((Cap_Point&lt;=I1504)*(Cap_Kind="Food")*Cap_Ln))</x:f>
        <x:v>12000</x:v>
      </x:c>
      <x:c r="K1504" s="32" t="n">
        <x:f>J1504*MIN(1,v01_LeanBase*EXP(v01_CapsByProject*SUMPRODUCT((Cap_Point&lt;=I1504)*(Cap_Kind="Lean")*Cap_Ln)))</x:f>
        <x:v>12000</x:v>
      </x:c>
      <x:c r="L1504" s="10" t="n">
        <x:f>INDEX(v01_HousingCap,G1504)*EXP(v01_CapsByProject*SUMPRODUCT((Cap_Point&lt;=I1504)*(Cap_Kind="Housing")*Cap_Ln))</x:f>
        <x:v>20000</x:v>
      </x:c>
      <x:c r="M1504" s="10" t="n">
        <x:f>INDEX(v01_GroupCap,G1504)*v01_CohesionFactor*EXP(v01_CapsByProject*SUMPRODUCT((Cap_Point&lt;=I1504)*(Cap_Kind="Group")*Cap_Ln))</x:f>
        <x:v>1000000</x:v>
      </x:c>
      <x:c r="N1504" s="32" t="n">
        <x:f>MIN(J1504,L1504,M1504)</x:f>
        <x:v>12000</x:v>
      </x:c>
      <x:c r="O1504" s="10" t="n">
        <x:f>AE1503*N1504</x:f>
        <x:v>180000</x:v>
      </x:c>
      <x:c r="P1504" s="9" t="n">
        <x:f>MIN(1,(AB1503/(AE1503*IF(v01_GroupInCrowding=1,N1504,MIN(J1504,L1504))))^v01_CrowdingExp)</x:f>
        <x:v>0.00024569414295285325</x:v>
      </x:c>
      <x:c r="Q1504" s="9" t="n">
        <x:f>IF(D1504=1,INDEX(v01_WinterMult,G1504),1)</x:f>
        <x:v>1</x:v>
      </x:c>
      <x:c r="R1504" s="9" t="n">
        <x:f>H1504*Z1503*v01_WomenShare*v01_BaseFertility*INDEX(v01_FertMult,G1504)*Arch_Fertility*(1-P1504)</x:f>
        <x:v>0</x:v>
      </x:c>
      <x:c r="S1504" s="9" t="n">
        <x:f>H1504*Y1503*INDEX(v01_MortChild,G1504)/4*Q1504</x:f>
        <x:v>0</x:v>
      </x:c>
      <x:c r="T1504" s="9" t="n">
        <x:f>H1504*Z1503*INDEX(v01_MortAdult,G1504)*Arch_AdultMort/4*Q1504</x:f>
        <x:v>0</x:v>
      </x:c>
      <x:c r="U1504" s="9" t="n">
        <x:f>H1504*AA1503*INDEX(v01_MortElder,G1504)/4*Q1504</x:f>
        <x:v>0</x:v>
      </x:c>
      <x:c r="V1504" s="9" t="n">
        <x:f>H1504*MAX(0,AB1503-O1504)*v01_OvercapLoss</x:f>
        <x:v>0</x:v>
      </x:c>
      <x:c r="W1504" s="9" t="n">
        <x:f>H1504*Y1503/(v01_ChildYears*4)</x:f>
        <x:v>0</x:v>
      </x:c>
      <x:c r="X1504" s="9" t="n">
        <x:f>H1504*Z1503/(v01_AdultYears*4)</x:f>
        <x:v>0</x:v>
      </x:c>
      <x:c r="Y1504" s="32" t="n">
        <x:f>Y1503+R1504-S1504-W1504-Y1503*V1504/AB1503</x:f>
        <x:v>14306.18539759397</x:v>
      </x:c>
      <x:c r="Z1504" s="32" t="n">
        <x:f>Z1503+W1504-X1504-T1504-Z1503*V1504/AB1503</x:f>
        <x:v>19354.456567879548</x:v>
      </x:c>
      <x:c r="AA1504" s="32" t="n">
        <x:f>AA1503+X1504-U1504-AA1503*V1504/AB1503</x:f>
        <x:v>11386.956063258198</x:v>
      </x:c>
      <x:c r="AB1504" s="10" t="n">
        <x:f>Y1504+Z1504+AA1504</x:f>
        <x:v>45047.59802873172</x:v>
      </x:c>
      <x:c r="AC1504" s="8" t="n">
        <x:f>IF(AND(v01_WinterTrigger=1,D1504=1,AB1503/AE1503&gt;=K1504),1,0)</x:f>
        <x:v>0</x:v>
      </x:c>
      <x:c r="AD1504" s="8" t="n">
        <x:f>H1504*IF(AND(OR(AB1503/AE1503&gt;=v01_FissionTrigger*N1504,AC1504=1),AB1503/AE1503*v01_DaughterShare&gt;=v01_MinDaughter),MAX(1,ROUND(AE1503*v01_FissionRate,0)),0)</x:f>
        <x:v>0</x:v>
      </x:c>
      <x:c r="AE1504" s="8" t="n">
        <x:f>IF(H1504=1,MAX(1,MIN(INDEX(v01_Smax,G1504),AE1503+AD1504)),AE1503)</x:f>
        <x:v>15</x:v>
      </x:c>
      <x:c r="AF1504" s="8" t="n">
        <x:f>MAX(0,AE1504-AE1503)</x:f>
        <x:v>0</x:v>
      </x:c>
      <x:c r="AG1504" s="9" t="str">
        <x:f>IF(AF1504&gt;0,B1504,"")</x:f>
      </x:c>
      <x:c r="AH1504" s="9" t="n">
        <x:f>IF(F1504&gt;=1,1,(1+v01_LowTiesShare*(AE1504-1))/AE1504)</x:f>
        <x:v>1</x:v>
      </x:c>
      <x:c r="AI1504" s="32" t="n">
        <x:f>(Z1504+v01_ElderCommons*INDEX(LM_Elder,G1504)*AA1504)*AH1504</x:f>
        <x:v>64139.732591141874</x:v>
      </x:c>
      <x:c r="AJ1504" s="32" t="n">
        <x:f>H1504*v01_CommonsCoef*AI1504^v01_CommonsExp*INDEX(LM_Commons,G1504)</x:f>
        <x:v>0</x:v>
      </x:c>
      <x:c r="AK1504" s="32" t="n">
        <x:f>H1504*v01_RoleScale*Arch_Roles*(AE1504*(INDEX(v01_ElderRolePerSett,G1504)*v01_OutElder*INDEX(LM_Elder,G1504)+INDEX(v01_ShamanPerSett,G1504)*v01_OutShaman)+Z1504*(INDEX(v01_PriestShare,G1504)*v01_OutPriest+INDEX(v01_ScribeShare,G1504)*v01_OutScribe*INDEX(LM_Scribe,G1504)+INDEX(v01_ScholarShare,G1504)*v01_OutScholar*INDEX(LM_Scholar,G1504)+INDEX(v01_ResearcherShare,G1504)*v01_OutResearcher*INDEX(LM_Researcher,G1504)))</x:f>
        <x:v>0</x:v>
      </x:c>
      <x:c r="AL1504" s="32" t="n">
        <x:f>H1504*v01_RoleScale*Arch_Roles*AE1504*INDEX(v01_MonasteryPerSett,G1504)*v01_OutMonastery*INDEX(LM_Monastery,G1504)</x:f>
        <x:v>0</x:v>
      </x:c>
      <x:c r="AM1504" s="32" t="n">
        <x:f>(AJ1504+AK1504+AL1504)/4*INDEX(LM_All,G1504)*INDEX(v01_Boon,G1504)*Arch_Insight</x:f>
        <x:v>0</x:v>
      </x:c>
      <x:c r="AN1504" s="32" t="n">
        <x:f>H1504*(v01_KHPerAdult*Z1504+v01_KHOfCommons*AJ1504/4*INDEX(LM_All,G1504))*v01_KHUsable*Arch_KH</x:f>
        <x:v>0</x:v>
      </x:c>
      <x:c r="AO1504" s="32" t="n">
        <x:f>MIN(AP1503+AN1504,AM1504*v01_KHMaxRatio)</x:f>
        <x:v>0</x:v>
      </x:c>
      <x:c r="AP1504" s="32" t="n">
        <x:f>AP1503+AN1504-AO1504</x:f>
        <x:v>0</x:v>
      </x:c>
      <x:c r="AQ1504" s="32" t="n">
        <x:f>AM1504+AO1504</x:f>
        <x:v>0</x:v>
      </x:c>
      <x:c r="AR1504" s="10" t="n">
        <x:f>IF(H1504=1,INDEX(v01_Req,G1504),0)</x:f>
        <x:v>0</x:v>
      </x:c>
      <x:c r="AS1504" s="32" t="n">
        <x:f>IF(H1504=1,IF(E1504=1,AS1503-AR1503,AS1503)+AQ1504,0)</x:f>
        <x:v>0</x:v>
      </x:c>
      <x:c r="AT1504" s="11" t="n">
        <x:f>IF(AR1504&gt;0,MIN(1,AS1504/AR1504),1)</x:f>
        <x:v>1</x:v>
      </x:c>
      <x:c r="AU1504" s="10" t="n">
        <x:f>AB1504/INDEX(v01_RepScale,G1504)</x:f>
        <x:v>90.09519605746344</x:v>
      </x:c>
      <x:c r="AV1504" s="32" t="n">
        <x:f>AM1504*60/v01_SeasonSeconds</x:f>
        <x:v>0</x:v>
      </x:c>
    </x:row>
    <x:row r="1505">
      <x:c r="A1505" s="8" t="n">
        <x:f>A1504+1</x:f>
        <x:v>1502</x:v>
      </x:c>
      <x:c r="B1505" s="9" t="n">
        <x:f>A1505*v01_SeasonSeconds/60</x:f>
        <x:v>375.5</x:v>
      </x:c>
      <x:c r="C1505" s="9" t="n">
        <x:f>A1505/4</x:f>
        <x:v>375.5</x:v>
      </x:c>
      <x:c r="D1505" s="8" t="n">
        <x:f>IF(MOD(A1505,4)=0,1,0)</x:f>
        <x:v>0</x:v>
      </x:c>
      <x:c r="E1505" s="8" t="n">
        <x:f>IF(AND(F1504&lt;=9,AS1504&gt;=AR1504),1,0)</x:f>
        <x:v>0</x:v>
      </x:c>
      <x:c r="F1505" s="8" t="n">
        <x:f>MIN(10,F1504+E1505)</x:f>
        <x:v>10</x:v>
      </x:c>
      <x:c r="G1505" s="8" t="n">
        <x:f>MIN(F1505,9)+1</x:f>
        <x:v>10</x:v>
      </x:c>
      <x:c r="H1505" s="8" t="n">
        <x:f>IF(F1505&lt;=9,1,0)</x:f>
        <x:v>0</x:v>
      </x:c>
      <x:c r="I1505" s="9" t="n">
        <x:f>MIN(10,F1504+IF(AR1504&gt;0,MIN(1,AS1504/AR1504),1))</x:f>
        <x:v>10</x:v>
      </x:c>
      <x:c r="J1505" s="32" t="n">
        <x:f>INDEX(v01_FoodCap,G1505)*Arch_FoodCap*EXP(v01_CapsByProject*SUMPRODUCT((Cap_Point&lt;=I1505)*(Cap_Kind="Food")*Cap_Ln))</x:f>
        <x:v>12000</x:v>
      </x:c>
      <x:c r="K1505" s="32" t="n">
        <x:f>J1505*MIN(1,v01_LeanBase*EXP(v01_CapsByProject*SUMPRODUCT((Cap_Point&lt;=I1505)*(Cap_Kind="Lean")*Cap_Ln)))</x:f>
        <x:v>12000</x:v>
      </x:c>
      <x:c r="L1505" s="10" t="n">
        <x:f>INDEX(v01_HousingCap,G1505)*EXP(v01_CapsByProject*SUMPRODUCT((Cap_Point&lt;=I1505)*(Cap_Kind="Housing")*Cap_Ln))</x:f>
        <x:v>20000</x:v>
      </x:c>
      <x:c r="M1505" s="10" t="n">
        <x:f>INDEX(v01_GroupCap,G1505)*v01_CohesionFactor*EXP(v01_CapsByProject*SUMPRODUCT((Cap_Point&lt;=I1505)*(Cap_Kind="Group")*Cap_Ln))</x:f>
        <x:v>1000000</x:v>
      </x:c>
      <x:c r="N1505" s="32" t="n">
        <x:f>MIN(J1505,L1505,M1505)</x:f>
        <x:v>12000</x:v>
      </x:c>
      <x:c r="O1505" s="10" t="n">
        <x:f>AE1504*N1505</x:f>
        <x:v>180000</x:v>
      </x:c>
      <x:c r="P1505" s="9" t="n">
        <x:f>MIN(1,(AB1504/(AE1504*IF(v01_GroupInCrowding=1,N1505,MIN(J1505,L1505))))^v01_CrowdingExp)</x:f>
        <x:v>0.00024569414295285325</x:v>
      </x:c>
      <x:c r="Q1505" s="9" t="n">
        <x:f>IF(D1505=1,INDEX(v01_WinterMult,G1505),1)</x:f>
        <x:v>1</x:v>
      </x:c>
      <x:c r="R1505" s="9" t="n">
        <x:f>H1505*Z1504*v01_WomenShare*v01_BaseFertility*INDEX(v01_FertMult,G1505)*Arch_Fertility*(1-P1505)</x:f>
        <x:v>0</x:v>
      </x:c>
      <x:c r="S1505" s="9" t="n">
        <x:f>H1505*Y1504*INDEX(v01_MortChild,G1505)/4*Q1505</x:f>
        <x:v>0</x:v>
      </x:c>
      <x:c r="T1505" s="9" t="n">
        <x:f>H1505*Z1504*INDEX(v01_MortAdult,G1505)*Arch_AdultMort/4*Q1505</x:f>
        <x:v>0</x:v>
      </x:c>
      <x:c r="U1505" s="9" t="n">
        <x:f>H1505*AA1504*INDEX(v01_MortElder,G1505)/4*Q1505</x:f>
        <x:v>0</x:v>
      </x:c>
      <x:c r="V1505" s="9" t="n">
        <x:f>H1505*MAX(0,AB1504-O1505)*v01_OvercapLoss</x:f>
        <x:v>0</x:v>
      </x:c>
      <x:c r="W1505" s="9" t="n">
        <x:f>H1505*Y1504/(v01_ChildYears*4)</x:f>
        <x:v>0</x:v>
      </x:c>
      <x:c r="X1505" s="9" t="n">
        <x:f>H1505*Z1504/(v01_AdultYears*4)</x:f>
        <x:v>0</x:v>
      </x:c>
      <x:c r="Y1505" s="32" t="n">
        <x:f>Y1504+R1505-S1505-W1505-Y1504*V1505/AB1504</x:f>
        <x:v>14306.18539759397</x:v>
      </x:c>
      <x:c r="Z1505" s="32" t="n">
        <x:f>Z1504+W1505-X1505-T1505-Z1504*V1505/AB1504</x:f>
        <x:v>19354.456567879548</x:v>
      </x:c>
      <x:c r="AA1505" s="32" t="n">
        <x:f>AA1504+X1505-U1505-AA1504*V1505/AB1504</x:f>
        <x:v>11386.956063258198</x:v>
      </x:c>
      <x:c r="AB1505" s="10" t="n">
        <x:f>Y1505+Z1505+AA1505</x:f>
        <x:v>45047.59802873172</x:v>
      </x:c>
      <x:c r="AC1505" s="8" t="n">
        <x:f>IF(AND(v01_WinterTrigger=1,D1505=1,AB1504/AE1504&gt;=K1505),1,0)</x:f>
        <x:v>0</x:v>
      </x:c>
      <x:c r="AD1505" s="8" t="n">
        <x:f>H1505*IF(AND(OR(AB1504/AE1504&gt;=v01_FissionTrigger*N1505,AC1505=1),AB1504/AE1504*v01_DaughterShare&gt;=v01_MinDaughter),MAX(1,ROUND(AE1504*v01_FissionRate,0)),0)</x:f>
        <x:v>0</x:v>
      </x:c>
      <x:c r="AE1505" s="8" t="n">
        <x:f>IF(H1505=1,MAX(1,MIN(INDEX(v01_Smax,G1505),AE1504+AD1505)),AE1504)</x:f>
        <x:v>15</x:v>
      </x:c>
      <x:c r="AF1505" s="8" t="n">
        <x:f>MAX(0,AE1505-AE1504)</x:f>
        <x:v>0</x:v>
      </x:c>
      <x:c r="AG1505" s="9" t="str">
        <x:f>IF(AF1505&gt;0,B1505,"")</x:f>
      </x:c>
      <x:c r="AH1505" s="9" t="n">
        <x:f>IF(F1505&gt;=1,1,(1+v01_LowTiesShare*(AE1505-1))/AE1505)</x:f>
        <x:v>1</x:v>
      </x:c>
      <x:c r="AI1505" s="32" t="n">
        <x:f>(Z1505+v01_ElderCommons*INDEX(LM_Elder,G1505)*AA1505)*AH1505</x:f>
        <x:v>64139.732591141874</x:v>
      </x:c>
      <x:c r="AJ1505" s="32" t="n">
        <x:f>H1505*v01_CommonsCoef*AI1505^v01_CommonsExp*INDEX(LM_Commons,G1505)</x:f>
        <x:v>0</x:v>
      </x:c>
      <x:c r="AK1505" s="32" t="n">
        <x:f>H1505*v01_RoleScale*Arch_Roles*(AE1505*(INDEX(v01_ElderRolePerSett,G1505)*v01_OutElder*INDEX(LM_Elder,G1505)+INDEX(v01_ShamanPerSett,G1505)*v01_OutShaman)+Z1505*(INDEX(v01_PriestShare,G1505)*v01_OutPriest+INDEX(v01_ScribeShare,G1505)*v01_OutScribe*INDEX(LM_Scribe,G1505)+INDEX(v01_ScholarShare,G1505)*v01_OutScholar*INDEX(LM_Scholar,G1505)+INDEX(v01_ResearcherShare,G1505)*v01_OutResearcher*INDEX(LM_Researcher,G1505)))</x:f>
        <x:v>0</x:v>
      </x:c>
      <x:c r="AL1505" s="32" t="n">
        <x:f>H1505*v01_RoleScale*Arch_Roles*AE1505*INDEX(v01_MonasteryPerSett,G1505)*v01_OutMonastery*INDEX(LM_Monastery,G1505)</x:f>
        <x:v>0</x:v>
      </x:c>
      <x:c r="AM1505" s="32" t="n">
        <x:f>(AJ1505+AK1505+AL1505)/4*INDEX(LM_All,G1505)*INDEX(v01_Boon,G1505)*Arch_Insight</x:f>
        <x:v>0</x:v>
      </x:c>
      <x:c r="AN1505" s="32" t="n">
        <x:f>H1505*(v01_KHPerAdult*Z1505+v01_KHOfCommons*AJ1505/4*INDEX(LM_All,G1505))*v01_KHUsable*Arch_KH</x:f>
        <x:v>0</x:v>
      </x:c>
      <x:c r="AO1505" s="32" t="n">
        <x:f>MIN(AP1504+AN1505,AM1505*v01_KHMaxRatio)</x:f>
        <x:v>0</x:v>
      </x:c>
      <x:c r="AP1505" s="32" t="n">
        <x:f>AP1504+AN1505-AO1505</x:f>
        <x:v>0</x:v>
      </x:c>
      <x:c r="AQ1505" s="32" t="n">
        <x:f>AM1505+AO1505</x:f>
        <x:v>0</x:v>
      </x:c>
      <x:c r="AR1505" s="10" t="n">
        <x:f>IF(H1505=1,INDEX(v01_Req,G1505),0)</x:f>
        <x:v>0</x:v>
      </x:c>
      <x:c r="AS1505" s="32" t="n">
        <x:f>IF(H1505=1,IF(E1505=1,AS1504-AR1504,AS1504)+AQ1505,0)</x:f>
        <x:v>0</x:v>
      </x:c>
      <x:c r="AT1505" s="11" t="n">
        <x:f>IF(AR1505&gt;0,MIN(1,AS1505/AR1505),1)</x:f>
        <x:v>1</x:v>
      </x:c>
      <x:c r="AU1505" s="10" t="n">
        <x:f>AB1505/INDEX(v01_RepScale,G1505)</x:f>
        <x:v>90.09519605746344</x:v>
      </x:c>
      <x:c r="AV1505" s="32" t="n">
        <x:f>AM1505*60/v01_SeasonSeconds</x:f>
        <x:v>0</x:v>
      </x:c>
    </x:row>
    <x:row r="1506">
      <x:c r="A1506" s="8" t="n">
        <x:f>A1505+1</x:f>
        <x:v>1503</x:v>
      </x:c>
      <x:c r="B1506" s="9" t="n">
        <x:f>A1506*v01_SeasonSeconds/60</x:f>
        <x:v>375.75</x:v>
      </x:c>
      <x:c r="C1506" s="9" t="n">
        <x:f>A1506/4</x:f>
        <x:v>375.75</x:v>
      </x:c>
      <x:c r="D1506" s="8" t="n">
        <x:f>IF(MOD(A1506,4)=0,1,0)</x:f>
        <x:v>0</x:v>
      </x:c>
      <x:c r="E1506" s="8" t="n">
        <x:f>IF(AND(F1505&lt;=9,AS1505&gt;=AR1505),1,0)</x:f>
        <x:v>0</x:v>
      </x:c>
      <x:c r="F1506" s="8" t="n">
        <x:f>MIN(10,F1505+E1506)</x:f>
        <x:v>10</x:v>
      </x:c>
      <x:c r="G1506" s="8" t="n">
        <x:f>MIN(F1506,9)+1</x:f>
        <x:v>10</x:v>
      </x:c>
      <x:c r="H1506" s="8" t="n">
        <x:f>IF(F1506&lt;=9,1,0)</x:f>
        <x:v>0</x:v>
      </x:c>
      <x:c r="I1506" s="9" t="n">
        <x:f>MIN(10,F1505+IF(AR1505&gt;0,MIN(1,AS1505/AR1505),1))</x:f>
        <x:v>10</x:v>
      </x:c>
      <x:c r="J1506" s="32" t="n">
        <x:f>INDEX(v01_FoodCap,G1506)*Arch_FoodCap*EXP(v01_CapsByProject*SUMPRODUCT((Cap_Point&lt;=I1506)*(Cap_Kind="Food")*Cap_Ln))</x:f>
        <x:v>12000</x:v>
      </x:c>
      <x:c r="K1506" s="32" t="n">
        <x:f>J1506*MIN(1,v01_LeanBase*EXP(v01_CapsByProject*SUMPRODUCT((Cap_Point&lt;=I1506)*(Cap_Kind="Lean")*Cap_Ln)))</x:f>
        <x:v>12000</x:v>
      </x:c>
      <x:c r="L1506" s="10" t="n">
        <x:f>INDEX(v01_HousingCap,G1506)*EXP(v01_CapsByProject*SUMPRODUCT((Cap_Point&lt;=I1506)*(Cap_Kind="Housing")*Cap_Ln))</x:f>
        <x:v>20000</x:v>
      </x:c>
      <x:c r="M1506" s="10" t="n">
        <x:f>INDEX(v01_GroupCap,G1506)*v01_CohesionFactor*EXP(v01_CapsByProject*SUMPRODUCT((Cap_Point&lt;=I1506)*(Cap_Kind="Group")*Cap_Ln))</x:f>
        <x:v>1000000</x:v>
      </x:c>
      <x:c r="N1506" s="32" t="n">
        <x:f>MIN(J1506,L1506,M1506)</x:f>
        <x:v>12000</x:v>
      </x:c>
      <x:c r="O1506" s="10" t="n">
        <x:f>AE1505*N1506</x:f>
        <x:v>180000</x:v>
      </x:c>
      <x:c r="P1506" s="9" t="n">
        <x:f>MIN(1,(AB1505/(AE1505*IF(v01_GroupInCrowding=1,N1506,MIN(J1506,L1506))))^v01_CrowdingExp)</x:f>
        <x:v>0.00024569414295285325</x:v>
      </x:c>
      <x:c r="Q1506" s="9" t="n">
        <x:f>IF(D1506=1,INDEX(v01_WinterMult,G1506),1)</x:f>
        <x:v>1</x:v>
      </x:c>
      <x:c r="R1506" s="9" t="n">
        <x:f>H1506*Z1505*v01_WomenShare*v01_BaseFertility*INDEX(v01_FertMult,G1506)*Arch_Fertility*(1-P1506)</x:f>
        <x:v>0</x:v>
      </x:c>
      <x:c r="S1506" s="9" t="n">
        <x:f>H1506*Y1505*INDEX(v01_MortChild,G1506)/4*Q1506</x:f>
        <x:v>0</x:v>
      </x:c>
      <x:c r="T1506" s="9" t="n">
        <x:f>H1506*Z1505*INDEX(v01_MortAdult,G1506)*Arch_AdultMort/4*Q1506</x:f>
        <x:v>0</x:v>
      </x:c>
      <x:c r="U1506" s="9" t="n">
        <x:f>H1506*AA1505*INDEX(v01_MortElder,G1506)/4*Q1506</x:f>
        <x:v>0</x:v>
      </x:c>
      <x:c r="V1506" s="9" t="n">
        <x:f>H1506*MAX(0,AB1505-O1506)*v01_OvercapLoss</x:f>
        <x:v>0</x:v>
      </x:c>
      <x:c r="W1506" s="9" t="n">
        <x:f>H1506*Y1505/(v01_ChildYears*4)</x:f>
        <x:v>0</x:v>
      </x:c>
      <x:c r="X1506" s="9" t="n">
        <x:f>H1506*Z1505/(v01_AdultYears*4)</x:f>
        <x:v>0</x:v>
      </x:c>
      <x:c r="Y1506" s="32" t="n">
        <x:f>Y1505+R1506-S1506-W1506-Y1505*V1506/AB1505</x:f>
        <x:v>14306.18539759397</x:v>
      </x:c>
      <x:c r="Z1506" s="32" t="n">
        <x:f>Z1505+W1506-X1506-T1506-Z1505*V1506/AB1505</x:f>
        <x:v>19354.456567879548</x:v>
      </x:c>
      <x:c r="AA1506" s="32" t="n">
        <x:f>AA1505+X1506-U1506-AA1505*V1506/AB1505</x:f>
        <x:v>11386.956063258198</x:v>
      </x:c>
      <x:c r="AB1506" s="10" t="n">
        <x:f>Y1506+Z1506+AA1506</x:f>
        <x:v>45047.59802873172</x:v>
      </x:c>
      <x:c r="AC1506" s="8" t="n">
        <x:f>IF(AND(v01_WinterTrigger=1,D1506=1,AB1505/AE1505&gt;=K1506),1,0)</x:f>
        <x:v>0</x:v>
      </x:c>
      <x:c r="AD1506" s="8" t="n">
        <x:f>H1506*IF(AND(OR(AB1505/AE1505&gt;=v01_FissionTrigger*N1506,AC1506=1),AB1505/AE1505*v01_DaughterShare&gt;=v01_MinDaughter),MAX(1,ROUND(AE1505*v01_FissionRate,0)),0)</x:f>
        <x:v>0</x:v>
      </x:c>
      <x:c r="AE1506" s="8" t="n">
        <x:f>IF(H1506=1,MAX(1,MIN(INDEX(v01_Smax,G1506),AE1505+AD1506)),AE1505)</x:f>
        <x:v>15</x:v>
      </x:c>
      <x:c r="AF1506" s="8" t="n">
        <x:f>MAX(0,AE1506-AE1505)</x:f>
        <x:v>0</x:v>
      </x:c>
      <x:c r="AG1506" s="9" t="str">
        <x:f>IF(AF1506&gt;0,B1506,"")</x:f>
      </x:c>
      <x:c r="AH1506" s="9" t="n">
        <x:f>IF(F1506&gt;=1,1,(1+v01_LowTiesShare*(AE1506-1))/AE1506)</x:f>
        <x:v>1</x:v>
      </x:c>
      <x:c r="AI1506" s="32" t="n">
        <x:f>(Z1506+v01_ElderCommons*INDEX(LM_Elder,G1506)*AA1506)*AH1506</x:f>
        <x:v>64139.732591141874</x:v>
      </x:c>
      <x:c r="AJ1506" s="32" t="n">
        <x:f>H1506*v01_CommonsCoef*AI1506^v01_CommonsExp*INDEX(LM_Commons,G1506)</x:f>
        <x:v>0</x:v>
      </x:c>
      <x:c r="AK1506" s="32" t="n">
        <x:f>H1506*v01_RoleScale*Arch_Roles*(AE1506*(INDEX(v01_ElderRolePerSett,G1506)*v01_OutElder*INDEX(LM_Elder,G1506)+INDEX(v01_ShamanPerSett,G1506)*v01_OutShaman)+Z1506*(INDEX(v01_PriestShare,G1506)*v01_OutPriest+INDEX(v01_ScribeShare,G1506)*v01_OutScribe*INDEX(LM_Scribe,G1506)+INDEX(v01_ScholarShare,G1506)*v01_OutScholar*INDEX(LM_Scholar,G1506)+INDEX(v01_ResearcherShare,G1506)*v01_OutResearcher*INDEX(LM_Researcher,G1506)))</x:f>
        <x:v>0</x:v>
      </x:c>
      <x:c r="AL1506" s="32" t="n">
        <x:f>H1506*v01_RoleScale*Arch_Roles*AE1506*INDEX(v01_MonasteryPerSett,G1506)*v01_OutMonastery*INDEX(LM_Monastery,G1506)</x:f>
        <x:v>0</x:v>
      </x:c>
      <x:c r="AM1506" s="32" t="n">
        <x:f>(AJ1506+AK1506+AL1506)/4*INDEX(LM_All,G1506)*INDEX(v01_Boon,G1506)*Arch_Insight</x:f>
        <x:v>0</x:v>
      </x:c>
      <x:c r="AN1506" s="32" t="n">
        <x:f>H1506*(v01_KHPerAdult*Z1506+v01_KHOfCommons*AJ1506/4*INDEX(LM_All,G1506))*v01_KHUsable*Arch_KH</x:f>
        <x:v>0</x:v>
      </x:c>
      <x:c r="AO1506" s="32" t="n">
        <x:f>MIN(AP1505+AN1506,AM1506*v01_KHMaxRatio)</x:f>
        <x:v>0</x:v>
      </x:c>
      <x:c r="AP1506" s="32" t="n">
        <x:f>AP1505+AN1506-AO1506</x:f>
        <x:v>0</x:v>
      </x:c>
      <x:c r="AQ1506" s="32" t="n">
        <x:f>AM1506+AO1506</x:f>
        <x:v>0</x:v>
      </x:c>
      <x:c r="AR1506" s="10" t="n">
        <x:f>IF(H1506=1,INDEX(v01_Req,G1506),0)</x:f>
        <x:v>0</x:v>
      </x:c>
      <x:c r="AS1506" s="32" t="n">
        <x:f>IF(H1506=1,IF(E1506=1,AS1505-AR1505,AS1505)+AQ1506,0)</x:f>
        <x:v>0</x:v>
      </x:c>
      <x:c r="AT1506" s="11" t="n">
        <x:f>IF(AR1506&gt;0,MIN(1,AS1506/AR1506),1)</x:f>
        <x:v>1</x:v>
      </x:c>
      <x:c r="AU1506" s="10" t="n">
        <x:f>AB1506/INDEX(v01_RepScale,G1506)</x:f>
        <x:v>90.09519605746344</x:v>
      </x:c>
      <x:c r="AV1506" s="32" t="n">
        <x:f>AM1506*60/v01_SeasonSeconds</x:f>
        <x:v>0</x:v>
      </x:c>
    </x:row>
    <x:row r="1507">
      <x:c r="A1507" s="8" t="n">
        <x:f>A1506+1</x:f>
        <x:v>1504</x:v>
      </x:c>
      <x:c r="B1507" s="9" t="n">
        <x:f>A1507*v01_SeasonSeconds/60</x:f>
        <x:v>376</x:v>
      </x:c>
      <x:c r="C1507" s="9" t="n">
        <x:f>A1507/4</x:f>
        <x:v>376</x:v>
      </x:c>
      <x:c r="D1507" s="8" t="n">
        <x:f>IF(MOD(A1507,4)=0,1,0)</x:f>
        <x:v>1</x:v>
      </x:c>
      <x:c r="E1507" s="8" t="n">
        <x:f>IF(AND(F1506&lt;=9,AS1506&gt;=AR1506),1,0)</x:f>
        <x:v>0</x:v>
      </x:c>
      <x:c r="F1507" s="8" t="n">
        <x:f>MIN(10,F1506+E1507)</x:f>
        <x:v>10</x:v>
      </x:c>
      <x:c r="G1507" s="8" t="n">
        <x:f>MIN(F1507,9)+1</x:f>
        <x:v>10</x:v>
      </x:c>
      <x:c r="H1507" s="8" t="n">
        <x:f>IF(F1507&lt;=9,1,0)</x:f>
        <x:v>0</x:v>
      </x:c>
      <x:c r="I1507" s="9" t="n">
        <x:f>MIN(10,F1506+IF(AR1506&gt;0,MIN(1,AS1506/AR1506),1))</x:f>
        <x:v>10</x:v>
      </x:c>
      <x:c r="J1507" s="32" t="n">
        <x:f>INDEX(v01_FoodCap,G1507)*Arch_FoodCap*EXP(v01_CapsByProject*SUMPRODUCT((Cap_Point&lt;=I1507)*(Cap_Kind="Food")*Cap_Ln))</x:f>
        <x:v>12000</x:v>
      </x:c>
      <x:c r="K1507" s="32" t="n">
        <x:f>J1507*MIN(1,v01_LeanBase*EXP(v01_CapsByProject*SUMPRODUCT((Cap_Point&lt;=I1507)*(Cap_Kind="Lean")*Cap_Ln)))</x:f>
        <x:v>12000</x:v>
      </x:c>
      <x:c r="L1507" s="10" t="n">
        <x:f>INDEX(v01_HousingCap,G1507)*EXP(v01_CapsByProject*SUMPRODUCT((Cap_Point&lt;=I1507)*(Cap_Kind="Housing")*Cap_Ln))</x:f>
        <x:v>20000</x:v>
      </x:c>
      <x:c r="M1507" s="10" t="n">
        <x:f>INDEX(v01_GroupCap,G1507)*v01_CohesionFactor*EXP(v01_CapsByProject*SUMPRODUCT((Cap_Point&lt;=I1507)*(Cap_Kind="Group")*Cap_Ln))</x:f>
        <x:v>1000000</x:v>
      </x:c>
      <x:c r="N1507" s="32" t="n">
        <x:f>MIN(J1507,L1507,M1507)</x:f>
        <x:v>12000</x:v>
      </x:c>
      <x:c r="O1507" s="10" t="n">
        <x:f>AE1506*N1507</x:f>
        <x:v>180000</x:v>
      </x:c>
      <x:c r="P1507" s="9" t="n">
        <x:f>MIN(1,(AB1506/(AE1506*IF(v01_GroupInCrowding=1,N1507,MIN(J1507,L1507))))^v01_CrowdingExp)</x:f>
        <x:v>0.00024569414295285325</x:v>
      </x:c>
      <x:c r="Q1507" s="9" t="n">
        <x:f>IF(D1507=1,INDEX(v01_WinterMult,G1507),1)</x:f>
        <x:v>1</x:v>
      </x:c>
      <x:c r="R1507" s="9" t="n">
        <x:f>H1507*Z1506*v01_WomenShare*v01_BaseFertility*INDEX(v01_FertMult,G1507)*Arch_Fertility*(1-P1507)</x:f>
        <x:v>0</x:v>
      </x:c>
      <x:c r="S1507" s="9" t="n">
        <x:f>H1507*Y1506*INDEX(v01_MortChild,G1507)/4*Q1507</x:f>
        <x:v>0</x:v>
      </x:c>
      <x:c r="T1507" s="9" t="n">
        <x:f>H1507*Z1506*INDEX(v01_MortAdult,G1507)*Arch_AdultMort/4*Q1507</x:f>
        <x:v>0</x:v>
      </x:c>
      <x:c r="U1507" s="9" t="n">
        <x:f>H1507*AA1506*INDEX(v01_MortElder,G1507)/4*Q1507</x:f>
        <x:v>0</x:v>
      </x:c>
      <x:c r="V1507" s="9" t="n">
        <x:f>H1507*MAX(0,AB1506-O1507)*v01_OvercapLoss</x:f>
        <x:v>0</x:v>
      </x:c>
      <x:c r="W1507" s="9" t="n">
        <x:f>H1507*Y1506/(v01_ChildYears*4)</x:f>
        <x:v>0</x:v>
      </x:c>
      <x:c r="X1507" s="9" t="n">
        <x:f>H1507*Z1506/(v01_AdultYears*4)</x:f>
        <x:v>0</x:v>
      </x:c>
      <x:c r="Y1507" s="32" t="n">
        <x:f>Y1506+R1507-S1507-W1507-Y1506*V1507/AB1506</x:f>
        <x:v>14306.18539759397</x:v>
      </x:c>
      <x:c r="Z1507" s="32" t="n">
        <x:f>Z1506+W1507-X1507-T1507-Z1506*V1507/AB1506</x:f>
        <x:v>19354.456567879548</x:v>
      </x:c>
      <x:c r="AA1507" s="32" t="n">
        <x:f>AA1506+X1507-U1507-AA1506*V1507/AB1506</x:f>
        <x:v>11386.956063258198</x:v>
      </x:c>
      <x:c r="AB1507" s="10" t="n">
        <x:f>Y1507+Z1507+AA1507</x:f>
        <x:v>45047.59802873172</x:v>
      </x:c>
      <x:c r="AC1507" s="8" t="n">
        <x:f>IF(AND(v01_WinterTrigger=1,D1507=1,AB1506/AE1506&gt;=K1507),1,0)</x:f>
        <x:v>0</x:v>
      </x:c>
      <x:c r="AD1507" s="8" t="n">
        <x:f>H1507*IF(AND(OR(AB1506/AE1506&gt;=v01_FissionTrigger*N1507,AC1507=1),AB1506/AE1506*v01_DaughterShare&gt;=v01_MinDaughter),MAX(1,ROUND(AE1506*v01_FissionRate,0)),0)</x:f>
        <x:v>0</x:v>
      </x:c>
      <x:c r="AE1507" s="8" t="n">
        <x:f>IF(H1507=1,MAX(1,MIN(INDEX(v01_Smax,G1507),AE1506+AD1507)),AE1506)</x:f>
        <x:v>15</x:v>
      </x:c>
      <x:c r="AF1507" s="8" t="n">
        <x:f>MAX(0,AE1507-AE1506)</x:f>
        <x:v>0</x:v>
      </x:c>
      <x:c r="AG1507" s="9" t="str">
        <x:f>IF(AF1507&gt;0,B1507,"")</x:f>
      </x:c>
      <x:c r="AH1507" s="9" t="n">
        <x:f>IF(F1507&gt;=1,1,(1+v01_LowTiesShare*(AE1507-1))/AE1507)</x:f>
        <x:v>1</x:v>
      </x:c>
      <x:c r="AI1507" s="32" t="n">
        <x:f>(Z1507+v01_ElderCommons*INDEX(LM_Elder,G1507)*AA1507)*AH1507</x:f>
        <x:v>64139.732591141874</x:v>
      </x:c>
      <x:c r="AJ1507" s="32" t="n">
        <x:f>H1507*v01_CommonsCoef*AI1507^v01_CommonsExp*INDEX(LM_Commons,G1507)</x:f>
        <x:v>0</x:v>
      </x:c>
      <x:c r="AK1507" s="32" t="n">
        <x:f>H1507*v01_RoleScale*Arch_Roles*(AE1507*(INDEX(v01_ElderRolePerSett,G1507)*v01_OutElder*INDEX(LM_Elder,G1507)+INDEX(v01_ShamanPerSett,G1507)*v01_OutShaman)+Z1507*(INDEX(v01_PriestShare,G1507)*v01_OutPriest+INDEX(v01_ScribeShare,G1507)*v01_OutScribe*INDEX(LM_Scribe,G1507)+INDEX(v01_ScholarShare,G1507)*v01_OutScholar*INDEX(LM_Scholar,G1507)+INDEX(v01_ResearcherShare,G1507)*v01_OutResearcher*INDEX(LM_Researcher,G1507)))</x:f>
        <x:v>0</x:v>
      </x:c>
      <x:c r="AL1507" s="32" t="n">
        <x:f>H1507*v01_RoleScale*Arch_Roles*AE1507*INDEX(v01_MonasteryPerSett,G1507)*v01_OutMonastery*INDEX(LM_Monastery,G1507)</x:f>
        <x:v>0</x:v>
      </x:c>
      <x:c r="AM1507" s="32" t="n">
        <x:f>(AJ1507+AK1507+AL1507)/4*INDEX(LM_All,G1507)*INDEX(v01_Boon,G1507)*Arch_Insight</x:f>
        <x:v>0</x:v>
      </x:c>
      <x:c r="AN1507" s="32" t="n">
        <x:f>H1507*(v01_KHPerAdult*Z1507+v01_KHOfCommons*AJ1507/4*INDEX(LM_All,G1507))*v01_KHUsable*Arch_KH</x:f>
        <x:v>0</x:v>
      </x:c>
      <x:c r="AO1507" s="32" t="n">
        <x:f>MIN(AP1506+AN1507,AM1507*v01_KHMaxRatio)</x:f>
        <x:v>0</x:v>
      </x:c>
      <x:c r="AP1507" s="32" t="n">
        <x:f>AP1506+AN1507-AO1507</x:f>
        <x:v>0</x:v>
      </x:c>
      <x:c r="AQ1507" s="32" t="n">
        <x:f>AM1507+AO1507</x:f>
        <x:v>0</x:v>
      </x:c>
      <x:c r="AR1507" s="10" t="n">
        <x:f>IF(H1507=1,INDEX(v01_Req,G1507),0)</x:f>
        <x:v>0</x:v>
      </x:c>
      <x:c r="AS1507" s="32" t="n">
        <x:f>IF(H1507=1,IF(E1507=1,AS1506-AR1506,AS1506)+AQ1507,0)</x:f>
        <x:v>0</x:v>
      </x:c>
      <x:c r="AT1507" s="11" t="n">
        <x:f>IF(AR1507&gt;0,MIN(1,AS1507/AR1507),1)</x:f>
        <x:v>1</x:v>
      </x:c>
      <x:c r="AU1507" s="10" t="n">
        <x:f>AB1507/INDEX(v01_RepScale,G1507)</x:f>
        <x:v>90.09519605746344</x:v>
      </x:c>
      <x:c r="AV1507" s="32" t="n">
        <x:f>AM1507*60/v01_SeasonSeconds</x:f>
        <x:v>0</x:v>
      </x:c>
    </x:row>
    <x:row r="1508">
      <x:c r="A1508" s="8" t="n">
        <x:f>A1507+1</x:f>
        <x:v>1505</x:v>
      </x:c>
      <x:c r="B1508" s="9" t="n">
        <x:f>A1508*v01_SeasonSeconds/60</x:f>
        <x:v>376.25</x:v>
      </x:c>
      <x:c r="C1508" s="9" t="n">
        <x:f>A1508/4</x:f>
        <x:v>376.25</x:v>
      </x:c>
      <x:c r="D1508" s="8" t="n">
        <x:f>IF(MOD(A1508,4)=0,1,0)</x:f>
        <x:v>0</x:v>
      </x:c>
      <x:c r="E1508" s="8" t="n">
        <x:f>IF(AND(F1507&lt;=9,AS1507&gt;=AR1507),1,0)</x:f>
        <x:v>0</x:v>
      </x:c>
      <x:c r="F1508" s="8" t="n">
        <x:f>MIN(10,F1507+E1508)</x:f>
        <x:v>10</x:v>
      </x:c>
      <x:c r="G1508" s="8" t="n">
        <x:f>MIN(F1508,9)+1</x:f>
        <x:v>10</x:v>
      </x:c>
      <x:c r="H1508" s="8" t="n">
        <x:f>IF(F1508&lt;=9,1,0)</x:f>
        <x:v>0</x:v>
      </x:c>
      <x:c r="I1508" s="9" t="n">
        <x:f>MIN(10,F1507+IF(AR1507&gt;0,MIN(1,AS1507/AR1507),1))</x:f>
        <x:v>10</x:v>
      </x:c>
      <x:c r="J1508" s="32" t="n">
        <x:f>INDEX(v01_FoodCap,G1508)*Arch_FoodCap*EXP(v01_CapsByProject*SUMPRODUCT((Cap_Point&lt;=I1508)*(Cap_Kind="Food")*Cap_Ln))</x:f>
        <x:v>12000</x:v>
      </x:c>
      <x:c r="K1508" s="32" t="n">
        <x:f>J1508*MIN(1,v01_LeanBase*EXP(v01_CapsByProject*SUMPRODUCT((Cap_Point&lt;=I1508)*(Cap_Kind="Lean")*Cap_Ln)))</x:f>
        <x:v>12000</x:v>
      </x:c>
      <x:c r="L1508" s="10" t="n">
        <x:f>INDEX(v01_HousingCap,G1508)*EXP(v01_CapsByProject*SUMPRODUCT((Cap_Point&lt;=I1508)*(Cap_Kind="Housing")*Cap_Ln))</x:f>
        <x:v>20000</x:v>
      </x:c>
      <x:c r="M1508" s="10" t="n">
        <x:f>INDEX(v01_GroupCap,G1508)*v01_CohesionFactor*EXP(v01_CapsByProject*SUMPRODUCT((Cap_Point&lt;=I1508)*(Cap_Kind="Group")*Cap_Ln))</x:f>
        <x:v>1000000</x:v>
      </x:c>
      <x:c r="N1508" s="32" t="n">
        <x:f>MIN(J1508,L1508,M1508)</x:f>
        <x:v>12000</x:v>
      </x:c>
      <x:c r="O1508" s="10" t="n">
        <x:f>AE1507*N1508</x:f>
        <x:v>180000</x:v>
      </x:c>
      <x:c r="P1508" s="9" t="n">
        <x:f>MIN(1,(AB1507/(AE1507*IF(v01_GroupInCrowding=1,N1508,MIN(J1508,L1508))))^v01_CrowdingExp)</x:f>
        <x:v>0.00024569414295285325</x:v>
      </x:c>
      <x:c r="Q1508" s="9" t="n">
        <x:f>IF(D1508=1,INDEX(v01_WinterMult,G1508),1)</x:f>
        <x:v>1</x:v>
      </x:c>
      <x:c r="R1508" s="9" t="n">
        <x:f>H1508*Z1507*v01_WomenShare*v01_BaseFertility*INDEX(v01_FertMult,G1508)*Arch_Fertility*(1-P1508)</x:f>
        <x:v>0</x:v>
      </x:c>
      <x:c r="S1508" s="9" t="n">
        <x:f>H1508*Y1507*INDEX(v01_MortChild,G1508)/4*Q1508</x:f>
        <x:v>0</x:v>
      </x:c>
      <x:c r="T1508" s="9" t="n">
        <x:f>H1508*Z1507*INDEX(v01_MortAdult,G1508)*Arch_AdultMort/4*Q1508</x:f>
        <x:v>0</x:v>
      </x:c>
      <x:c r="U1508" s="9" t="n">
        <x:f>H1508*AA1507*INDEX(v01_MortElder,G1508)/4*Q1508</x:f>
        <x:v>0</x:v>
      </x:c>
      <x:c r="V1508" s="9" t="n">
        <x:f>H1508*MAX(0,AB1507-O1508)*v01_OvercapLoss</x:f>
        <x:v>0</x:v>
      </x:c>
      <x:c r="W1508" s="9" t="n">
        <x:f>H1508*Y1507/(v01_ChildYears*4)</x:f>
        <x:v>0</x:v>
      </x:c>
      <x:c r="X1508" s="9" t="n">
        <x:f>H1508*Z1507/(v01_AdultYears*4)</x:f>
        <x:v>0</x:v>
      </x:c>
      <x:c r="Y1508" s="32" t="n">
        <x:f>Y1507+R1508-S1508-W1508-Y1507*V1508/AB1507</x:f>
        <x:v>14306.18539759397</x:v>
      </x:c>
      <x:c r="Z1508" s="32" t="n">
        <x:f>Z1507+W1508-X1508-T1508-Z1507*V1508/AB1507</x:f>
        <x:v>19354.456567879548</x:v>
      </x:c>
      <x:c r="AA1508" s="32" t="n">
        <x:f>AA1507+X1508-U1508-AA1507*V1508/AB1507</x:f>
        <x:v>11386.956063258198</x:v>
      </x:c>
      <x:c r="AB1508" s="10" t="n">
        <x:f>Y1508+Z1508+AA1508</x:f>
        <x:v>45047.59802873172</x:v>
      </x:c>
      <x:c r="AC1508" s="8" t="n">
        <x:f>IF(AND(v01_WinterTrigger=1,D1508=1,AB1507/AE1507&gt;=K1508),1,0)</x:f>
        <x:v>0</x:v>
      </x:c>
      <x:c r="AD1508" s="8" t="n">
        <x:f>H1508*IF(AND(OR(AB1507/AE1507&gt;=v01_FissionTrigger*N1508,AC1508=1),AB1507/AE1507*v01_DaughterShare&gt;=v01_MinDaughter),MAX(1,ROUND(AE1507*v01_FissionRate,0)),0)</x:f>
        <x:v>0</x:v>
      </x:c>
      <x:c r="AE1508" s="8" t="n">
        <x:f>IF(H1508=1,MAX(1,MIN(INDEX(v01_Smax,G1508),AE1507+AD1508)),AE1507)</x:f>
        <x:v>15</x:v>
      </x:c>
      <x:c r="AF1508" s="8" t="n">
        <x:f>MAX(0,AE1508-AE1507)</x:f>
        <x:v>0</x:v>
      </x:c>
      <x:c r="AG1508" s="9" t="str">
        <x:f>IF(AF1508&gt;0,B1508,"")</x:f>
      </x:c>
      <x:c r="AH1508" s="9" t="n">
        <x:f>IF(F1508&gt;=1,1,(1+v01_LowTiesShare*(AE1508-1))/AE1508)</x:f>
        <x:v>1</x:v>
      </x:c>
      <x:c r="AI1508" s="32" t="n">
        <x:f>(Z1508+v01_ElderCommons*INDEX(LM_Elder,G1508)*AA1508)*AH1508</x:f>
        <x:v>64139.732591141874</x:v>
      </x:c>
      <x:c r="AJ1508" s="32" t="n">
        <x:f>H1508*v01_CommonsCoef*AI1508^v01_CommonsExp*INDEX(LM_Commons,G1508)</x:f>
        <x:v>0</x:v>
      </x:c>
      <x:c r="AK1508" s="32" t="n">
        <x:f>H1508*v01_RoleScale*Arch_Roles*(AE1508*(INDEX(v01_ElderRolePerSett,G1508)*v01_OutElder*INDEX(LM_Elder,G1508)+INDEX(v01_ShamanPerSett,G1508)*v01_OutShaman)+Z1508*(INDEX(v01_PriestShare,G1508)*v01_OutPriest+INDEX(v01_ScribeShare,G1508)*v01_OutScribe*INDEX(LM_Scribe,G1508)+INDEX(v01_ScholarShare,G1508)*v01_OutScholar*INDEX(LM_Scholar,G1508)+INDEX(v01_ResearcherShare,G1508)*v01_OutResearcher*INDEX(LM_Researcher,G1508)))</x:f>
        <x:v>0</x:v>
      </x:c>
      <x:c r="AL1508" s="32" t="n">
        <x:f>H1508*v01_RoleScale*Arch_Roles*AE1508*INDEX(v01_MonasteryPerSett,G1508)*v01_OutMonastery*INDEX(LM_Monastery,G1508)</x:f>
        <x:v>0</x:v>
      </x:c>
      <x:c r="AM1508" s="32" t="n">
        <x:f>(AJ1508+AK1508+AL1508)/4*INDEX(LM_All,G1508)*INDEX(v01_Boon,G1508)*Arch_Insight</x:f>
        <x:v>0</x:v>
      </x:c>
      <x:c r="AN1508" s="32" t="n">
        <x:f>H1508*(v01_KHPerAdult*Z1508+v01_KHOfCommons*AJ1508/4*INDEX(LM_All,G1508))*v01_KHUsable*Arch_KH</x:f>
        <x:v>0</x:v>
      </x:c>
      <x:c r="AO1508" s="32" t="n">
        <x:f>MIN(AP1507+AN1508,AM1508*v01_KHMaxRatio)</x:f>
        <x:v>0</x:v>
      </x:c>
      <x:c r="AP1508" s="32" t="n">
        <x:f>AP1507+AN1508-AO1508</x:f>
        <x:v>0</x:v>
      </x:c>
      <x:c r="AQ1508" s="32" t="n">
        <x:f>AM1508+AO1508</x:f>
        <x:v>0</x:v>
      </x:c>
      <x:c r="AR1508" s="10" t="n">
        <x:f>IF(H1508=1,INDEX(v01_Req,G1508),0)</x:f>
        <x:v>0</x:v>
      </x:c>
      <x:c r="AS1508" s="32" t="n">
        <x:f>IF(H1508=1,IF(E1508=1,AS1507-AR1507,AS1507)+AQ1508,0)</x:f>
        <x:v>0</x:v>
      </x:c>
      <x:c r="AT1508" s="11" t="n">
        <x:f>IF(AR1508&gt;0,MIN(1,AS1508/AR1508),1)</x:f>
        <x:v>1</x:v>
      </x:c>
      <x:c r="AU1508" s="10" t="n">
        <x:f>AB1508/INDEX(v01_RepScale,G1508)</x:f>
        <x:v>90.09519605746344</x:v>
      </x:c>
      <x:c r="AV1508" s="32" t="n">
        <x:f>AM1508*60/v01_SeasonSeconds</x:f>
        <x:v>0</x:v>
      </x:c>
    </x:row>
    <x:row r="1509">
      <x:c r="A1509" s="8" t="n">
        <x:f>A1508+1</x:f>
        <x:v>1506</x:v>
      </x:c>
      <x:c r="B1509" s="9" t="n">
        <x:f>A1509*v01_SeasonSeconds/60</x:f>
        <x:v>376.5</x:v>
      </x:c>
      <x:c r="C1509" s="9" t="n">
        <x:f>A1509/4</x:f>
        <x:v>376.5</x:v>
      </x:c>
      <x:c r="D1509" s="8" t="n">
        <x:f>IF(MOD(A1509,4)=0,1,0)</x:f>
        <x:v>0</x:v>
      </x:c>
      <x:c r="E1509" s="8" t="n">
        <x:f>IF(AND(F1508&lt;=9,AS1508&gt;=AR1508),1,0)</x:f>
        <x:v>0</x:v>
      </x:c>
      <x:c r="F1509" s="8" t="n">
        <x:f>MIN(10,F1508+E1509)</x:f>
        <x:v>10</x:v>
      </x:c>
      <x:c r="G1509" s="8" t="n">
        <x:f>MIN(F1509,9)+1</x:f>
        <x:v>10</x:v>
      </x:c>
      <x:c r="H1509" s="8" t="n">
        <x:f>IF(F1509&lt;=9,1,0)</x:f>
        <x:v>0</x:v>
      </x:c>
      <x:c r="I1509" s="9" t="n">
        <x:f>MIN(10,F1508+IF(AR1508&gt;0,MIN(1,AS1508/AR1508),1))</x:f>
        <x:v>10</x:v>
      </x:c>
      <x:c r="J1509" s="32" t="n">
        <x:f>INDEX(v01_FoodCap,G1509)*Arch_FoodCap*EXP(v01_CapsByProject*SUMPRODUCT((Cap_Point&lt;=I1509)*(Cap_Kind="Food")*Cap_Ln))</x:f>
        <x:v>12000</x:v>
      </x:c>
      <x:c r="K1509" s="32" t="n">
        <x:f>J1509*MIN(1,v01_LeanBase*EXP(v01_CapsByProject*SUMPRODUCT((Cap_Point&lt;=I1509)*(Cap_Kind="Lean")*Cap_Ln)))</x:f>
        <x:v>12000</x:v>
      </x:c>
      <x:c r="L1509" s="10" t="n">
        <x:f>INDEX(v01_HousingCap,G1509)*EXP(v01_CapsByProject*SUMPRODUCT((Cap_Point&lt;=I1509)*(Cap_Kind="Housing")*Cap_Ln))</x:f>
        <x:v>20000</x:v>
      </x:c>
      <x:c r="M1509" s="10" t="n">
        <x:f>INDEX(v01_GroupCap,G1509)*v01_CohesionFactor*EXP(v01_CapsByProject*SUMPRODUCT((Cap_Point&lt;=I1509)*(Cap_Kind="Group")*Cap_Ln))</x:f>
        <x:v>1000000</x:v>
      </x:c>
      <x:c r="N1509" s="32" t="n">
        <x:f>MIN(J1509,L1509,M1509)</x:f>
        <x:v>12000</x:v>
      </x:c>
      <x:c r="O1509" s="10" t="n">
        <x:f>AE1508*N1509</x:f>
        <x:v>180000</x:v>
      </x:c>
      <x:c r="P1509" s="9" t="n">
        <x:f>MIN(1,(AB1508/(AE1508*IF(v01_GroupInCrowding=1,N1509,MIN(J1509,L1509))))^v01_CrowdingExp)</x:f>
        <x:v>0.00024569414295285325</x:v>
      </x:c>
      <x:c r="Q1509" s="9" t="n">
        <x:f>IF(D1509=1,INDEX(v01_WinterMult,G1509),1)</x:f>
        <x:v>1</x:v>
      </x:c>
      <x:c r="R1509" s="9" t="n">
        <x:f>H1509*Z1508*v01_WomenShare*v01_BaseFertility*INDEX(v01_FertMult,G1509)*Arch_Fertility*(1-P1509)</x:f>
        <x:v>0</x:v>
      </x:c>
      <x:c r="S1509" s="9" t="n">
        <x:f>H1509*Y1508*INDEX(v01_MortChild,G1509)/4*Q1509</x:f>
        <x:v>0</x:v>
      </x:c>
      <x:c r="T1509" s="9" t="n">
        <x:f>H1509*Z1508*INDEX(v01_MortAdult,G1509)*Arch_AdultMort/4*Q1509</x:f>
        <x:v>0</x:v>
      </x:c>
      <x:c r="U1509" s="9" t="n">
        <x:f>H1509*AA1508*INDEX(v01_MortElder,G1509)/4*Q1509</x:f>
        <x:v>0</x:v>
      </x:c>
      <x:c r="V1509" s="9" t="n">
        <x:f>H1509*MAX(0,AB1508-O1509)*v01_OvercapLoss</x:f>
        <x:v>0</x:v>
      </x:c>
      <x:c r="W1509" s="9" t="n">
        <x:f>H1509*Y1508/(v01_ChildYears*4)</x:f>
        <x:v>0</x:v>
      </x:c>
      <x:c r="X1509" s="9" t="n">
        <x:f>H1509*Z1508/(v01_AdultYears*4)</x:f>
        <x:v>0</x:v>
      </x:c>
      <x:c r="Y1509" s="32" t="n">
        <x:f>Y1508+R1509-S1509-W1509-Y1508*V1509/AB1508</x:f>
        <x:v>14306.18539759397</x:v>
      </x:c>
      <x:c r="Z1509" s="32" t="n">
        <x:f>Z1508+W1509-X1509-T1509-Z1508*V1509/AB1508</x:f>
        <x:v>19354.456567879548</x:v>
      </x:c>
      <x:c r="AA1509" s="32" t="n">
        <x:f>AA1508+X1509-U1509-AA1508*V1509/AB1508</x:f>
        <x:v>11386.956063258198</x:v>
      </x:c>
      <x:c r="AB1509" s="10" t="n">
        <x:f>Y1509+Z1509+AA1509</x:f>
        <x:v>45047.59802873172</x:v>
      </x:c>
      <x:c r="AC1509" s="8" t="n">
        <x:f>IF(AND(v01_WinterTrigger=1,D1509=1,AB1508/AE1508&gt;=K1509),1,0)</x:f>
        <x:v>0</x:v>
      </x:c>
      <x:c r="AD1509" s="8" t="n">
        <x:f>H1509*IF(AND(OR(AB1508/AE1508&gt;=v01_FissionTrigger*N1509,AC1509=1),AB1508/AE1508*v01_DaughterShare&gt;=v01_MinDaughter),MAX(1,ROUND(AE1508*v01_FissionRate,0)),0)</x:f>
        <x:v>0</x:v>
      </x:c>
      <x:c r="AE1509" s="8" t="n">
        <x:f>IF(H1509=1,MAX(1,MIN(INDEX(v01_Smax,G1509),AE1508+AD1509)),AE1508)</x:f>
        <x:v>15</x:v>
      </x:c>
      <x:c r="AF1509" s="8" t="n">
        <x:f>MAX(0,AE1509-AE1508)</x:f>
        <x:v>0</x:v>
      </x:c>
      <x:c r="AG1509" s="9" t="str">
        <x:f>IF(AF1509&gt;0,B1509,"")</x:f>
      </x:c>
      <x:c r="AH1509" s="9" t="n">
        <x:f>IF(F1509&gt;=1,1,(1+v01_LowTiesShare*(AE1509-1))/AE1509)</x:f>
        <x:v>1</x:v>
      </x:c>
      <x:c r="AI1509" s="32" t="n">
        <x:f>(Z1509+v01_ElderCommons*INDEX(LM_Elder,G1509)*AA1509)*AH1509</x:f>
        <x:v>64139.732591141874</x:v>
      </x:c>
      <x:c r="AJ1509" s="32" t="n">
        <x:f>H1509*v01_CommonsCoef*AI1509^v01_CommonsExp*INDEX(LM_Commons,G1509)</x:f>
        <x:v>0</x:v>
      </x:c>
      <x:c r="AK1509" s="32" t="n">
        <x:f>H1509*v01_RoleScale*Arch_Roles*(AE1509*(INDEX(v01_ElderRolePerSett,G1509)*v01_OutElder*INDEX(LM_Elder,G1509)+INDEX(v01_ShamanPerSett,G1509)*v01_OutShaman)+Z1509*(INDEX(v01_PriestShare,G1509)*v01_OutPriest+INDEX(v01_ScribeShare,G1509)*v01_OutScribe*INDEX(LM_Scribe,G1509)+INDEX(v01_ScholarShare,G1509)*v01_OutScholar*INDEX(LM_Scholar,G1509)+INDEX(v01_ResearcherShare,G1509)*v01_OutResearcher*INDEX(LM_Researcher,G1509)))</x:f>
        <x:v>0</x:v>
      </x:c>
      <x:c r="AL1509" s="32" t="n">
        <x:f>H1509*v01_RoleScale*Arch_Roles*AE1509*INDEX(v01_MonasteryPerSett,G1509)*v01_OutMonastery*INDEX(LM_Monastery,G1509)</x:f>
        <x:v>0</x:v>
      </x:c>
      <x:c r="AM1509" s="32" t="n">
        <x:f>(AJ1509+AK1509+AL1509)/4*INDEX(LM_All,G1509)*INDEX(v01_Boon,G1509)*Arch_Insight</x:f>
        <x:v>0</x:v>
      </x:c>
      <x:c r="AN1509" s="32" t="n">
        <x:f>H1509*(v01_KHPerAdult*Z1509+v01_KHOfCommons*AJ1509/4*INDEX(LM_All,G1509))*v01_KHUsable*Arch_KH</x:f>
        <x:v>0</x:v>
      </x:c>
      <x:c r="AO1509" s="32" t="n">
        <x:f>MIN(AP1508+AN1509,AM1509*v01_KHMaxRatio)</x:f>
        <x:v>0</x:v>
      </x:c>
      <x:c r="AP1509" s="32" t="n">
        <x:f>AP1508+AN1509-AO1509</x:f>
        <x:v>0</x:v>
      </x:c>
      <x:c r="AQ1509" s="32" t="n">
        <x:f>AM1509+AO1509</x:f>
        <x:v>0</x:v>
      </x:c>
      <x:c r="AR1509" s="10" t="n">
        <x:f>IF(H1509=1,INDEX(v01_Req,G1509),0)</x:f>
        <x:v>0</x:v>
      </x:c>
      <x:c r="AS1509" s="32" t="n">
        <x:f>IF(H1509=1,IF(E1509=1,AS1508-AR1508,AS1508)+AQ1509,0)</x:f>
        <x:v>0</x:v>
      </x:c>
      <x:c r="AT1509" s="11" t="n">
        <x:f>IF(AR1509&gt;0,MIN(1,AS1509/AR1509),1)</x:f>
        <x:v>1</x:v>
      </x:c>
      <x:c r="AU1509" s="10" t="n">
        <x:f>AB1509/INDEX(v01_RepScale,G1509)</x:f>
        <x:v>90.09519605746344</x:v>
      </x:c>
      <x:c r="AV1509" s="32" t="n">
        <x:f>AM1509*60/v01_SeasonSeconds</x:f>
        <x:v>0</x:v>
      </x:c>
    </x:row>
    <x:row r="1510">
      <x:c r="A1510" s="8" t="n">
        <x:f>A1509+1</x:f>
        <x:v>1507</x:v>
      </x:c>
      <x:c r="B1510" s="9" t="n">
        <x:f>A1510*v01_SeasonSeconds/60</x:f>
        <x:v>376.75</x:v>
      </x:c>
      <x:c r="C1510" s="9" t="n">
        <x:f>A1510/4</x:f>
        <x:v>376.75</x:v>
      </x:c>
      <x:c r="D1510" s="8" t="n">
        <x:f>IF(MOD(A1510,4)=0,1,0)</x:f>
        <x:v>0</x:v>
      </x:c>
      <x:c r="E1510" s="8" t="n">
        <x:f>IF(AND(F1509&lt;=9,AS1509&gt;=AR1509),1,0)</x:f>
        <x:v>0</x:v>
      </x:c>
      <x:c r="F1510" s="8" t="n">
        <x:f>MIN(10,F1509+E1510)</x:f>
        <x:v>10</x:v>
      </x:c>
      <x:c r="G1510" s="8" t="n">
        <x:f>MIN(F1510,9)+1</x:f>
        <x:v>10</x:v>
      </x:c>
      <x:c r="H1510" s="8" t="n">
        <x:f>IF(F1510&lt;=9,1,0)</x:f>
        <x:v>0</x:v>
      </x:c>
      <x:c r="I1510" s="9" t="n">
        <x:f>MIN(10,F1509+IF(AR1509&gt;0,MIN(1,AS1509/AR1509),1))</x:f>
        <x:v>10</x:v>
      </x:c>
      <x:c r="J1510" s="32" t="n">
        <x:f>INDEX(v01_FoodCap,G1510)*Arch_FoodCap*EXP(v01_CapsByProject*SUMPRODUCT((Cap_Point&lt;=I1510)*(Cap_Kind="Food")*Cap_Ln))</x:f>
        <x:v>12000</x:v>
      </x:c>
      <x:c r="K1510" s="32" t="n">
        <x:f>J1510*MIN(1,v01_LeanBase*EXP(v01_CapsByProject*SUMPRODUCT((Cap_Point&lt;=I1510)*(Cap_Kind="Lean")*Cap_Ln)))</x:f>
        <x:v>12000</x:v>
      </x:c>
      <x:c r="L1510" s="10" t="n">
        <x:f>INDEX(v01_HousingCap,G1510)*EXP(v01_CapsByProject*SUMPRODUCT((Cap_Point&lt;=I1510)*(Cap_Kind="Housing")*Cap_Ln))</x:f>
        <x:v>20000</x:v>
      </x:c>
      <x:c r="M1510" s="10" t="n">
        <x:f>INDEX(v01_GroupCap,G1510)*v01_CohesionFactor*EXP(v01_CapsByProject*SUMPRODUCT((Cap_Point&lt;=I1510)*(Cap_Kind="Group")*Cap_Ln))</x:f>
        <x:v>1000000</x:v>
      </x:c>
      <x:c r="N1510" s="32" t="n">
        <x:f>MIN(J1510,L1510,M1510)</x:f>
        <x:v>12000</x:v>
      </x:c>
      <x:c r="O1510" s="10" t="n">
        <x:f>AE1509*N1510</x:f>
        <x:v>180000</x:v>
      </x:c>
      <x:c r="P1510" s="9" t="n">
        <x:f>MIN(1,(AB1509/(AE1509*IF(v01_GroupInCrowding=1,N1510,MIN(J1510,L1510))))^v01_CrowdingExp)</x:f>
        <x:v>0.00024569414295285325</x:v>
      </x:c>
      <x:c r="Q1510" s="9" t="n">
        <x:f>IF(D1510=1,INDEX(v01_WinterMult,G1510),1)</x:f>
        <x:v>1</x:v>
      </x:c>
      <x:c r="R1510" s="9" t="n">
        <x:f>H1510*Z1509*v01_WomenShare*v01_BaseFertility*INDEX(v01_FertMult,G1510)*Arch_Fertility*(1-P1510)</x:f>
        <x:v>0</x:v>
      </x:c>
      <x:c r="S1510" s="9" t="n">
        <x:f>H1510*Y1509*INDEX(v01_MortChild,G1510)/4*Q1510</x:f>
        <x:v>0</x:v>
      </x:c>
      <x:c r="T1510" s="9" t="n">
        <x:f>H1510*Z1509*INDEX(v01_MortAdult,G1510)*Arch_AdultMort/4*Q1510</x:f>
        <x:v>0</x:v>
      </x:c>
      <x:c r="U1510" s="9" t="n">
        <x:f>H1510*AA1509*INDEX(v01_MortElder,G1510)/4*Q1510</x:f>
        <x:v>0</x:v>
      </x:c>
      <x:c r="V1510" s="9" t="n">
        <x:f>H1510*MAX(0,AB1509-O1510)*v01_OvercapLoss</x:f>
        <x:v>0</x:v>
      </x:c>
      <x:c r="W1510" s="9" t="n">
        <x:f>H1510*Y1509/(v01_ChildYears*4)</x:f>
        <x:v>0</x:v>
      </x:c>
      <x:c r="X1510" s="9" t="n">
        <x:f>H1510*Z1509/(v01_AdultYears*4)</x:f>
        <x:v>0</x:v>
      </x:c>
      <x:c r="Y1510" s="32" t="n">
        <x:f>Y1509+R1510-S1510-W1510-Y1509*V1510/AB1509</x:f>
        <x:v>14306.18539759397</x:v>
      </x:c>
      <x:c r="Z1510" s="32" t="n">
        <x:f>Z1509+W1510-X1510-T1510-Z1509*V1510/AB1509</x:f>
        <x:v>19354.456567879548</x:v>
      </x:c>
      <x:c r="AA1510" s="32" t="n">
        <x:f>AA1509+X1510-U1510-AA1509*V1510/AB1509</x:f>
        <x:v>11386.956063258198</x:v>
      </x:c>
      <x:c r="AB1510" s="10" t="n">
        <x:f>Y1510+Z1510+AA1510</x:f>
        <x:v>45047.59802873172</x:v>
      </x:c>
      <x:c r="AC1510" s="8" t="n">
        <x:f>IF(AND(v01_WinterTrigger=1,D1510=1,AB1509/AE1509&gt;=K1510),1,0)</x:f>
        <x:v>0</x:v>
      </x:c>
      <x:c r="AD1510" s="8" t="n">
        <x:f>H1510*IF(AND(OR(AB1509/AE1509&gt;=v01_FissionTrigger*N1510,AC1510=1),AB1509/AE1509*v01_DaughterShare&gt;=v01_MinDaughter),MAX(1,ROUND(AE1509*v01_FissionRate,0)),0)</x:f>
        <x:v>0</x:v>
      </x:c>
      <x:c r="AE1510" s="8" t="n">
        <x:f>IF(H1510=1,MAX(1,MIN(INDEX(v01_Smax,G1510),AE1509+AD1510)),AE1509)</x:f>
        <x:v>15</x:v>
      </x:c>
      <x:c r="AF1510" s="8" t="n">
        <x:f>MAX(0,AE1510-AE1509)</x:f>
        <x:v>0</x:v>
      </x:c>
      <x:c r="AG1510" s="9" t="str">
        <x:f>IF(AF1510&gt;0,B1510,"")</x:f>
      </x:c>
      <x:c r="AH1510" s="9" t="n">
        <x:f>IF(F1510&gt;=1,1,(1+v01_LowTiesShare*(AE1510-1))/AE1510)</x:f>
        <x:v>1</x:v>
      </x:c>
      <x:c r="AI1510" s="32" t="n">
        <x:f>(Z1510+v01_ElderCommons*INDEX(LM_Elder,G1510)*AA1510)*AH1510</x:f>
        <x:v>64139.732591141874</x:v>
      </x:c>
      <x:c r="AJ1510" s="32" t="n">
        <x:f>H1510*v01_CommonsCoef*AI1510^v01_CommonsExp*INDEX(LM_Commons,G1510)</x:f>
        <x:v>0</x:v>
      </x:c>
      <x:c r="AK1510" s="32" t="n">
        <x:f>H1510*v01_RoleScale*Arch_Roles*(AE1510*(INDEX(v01_ElderRolePerSett,G1510)*v01_OutElder*INDEX(LM_Elder,G1510)+INDEX(v01_ShamanPerSett,G1510)*v01_OutShaman)+Z1510*(INDEX(v01_PriestShare,G1510)*v01_OutPriest+INDEX(v01_ScribeShare,G1510)*v01_OutScribe*INDEX(LM_Scribe,G1510)+INDEX(v01_ScholarShare,G1510)*v01_OutScholar*INDEX(LM_Scholar,G1510)+INDEX(v01_ResearcherShare,G1510)*v01_OutResearcher*INDEX(LM_Researcher,G1510)))</x:f>
        <x:v>0</x:v>
      </x:c>
      <x:c r="AL1510" s="32" t="n">
        <x:f>H1510*v01_RoleScale*Arch_Roles*AE1510*INDEX(v01_MonasteryPerSett,G1510)*v01_OutMonastery*INDEX(LM_Monastery,G1510)</x:f>
        <x:v>0</x:v>
      </x:c>
      <x:c r="AM1510" s="32" t="n">
        <x:f>(AJ1510+AK1510+AL1510)/4*INDEX(LM_All,G1510)*INDEX(v01_Boon,G1510)*Arch_Insight</x:f>
        <x:v>0</x:v>
      </x:c>
      <x:c r="AN1510" s="32" t="n">
        <x:f>H1510*(v01_KHPerAdult*Z1510+v01_KHOfCommons*AJ1510/4*INDEX(LM_All,G1510))*v01_KHUsable*Arch_KH</x:f>
        <x:v>0</x:v>
      </x:c>
      <x:c r="AO1510" s="32" t="n">
        <x:f>MIN(AP1509+AN1510,AM1510*v01_KHMaxRatio)</x:f>
        <x:v>0</x:v>
      </x:c>
      <x:c r="AP1510" s="32" t="n">
        <x:f>AP1509+AN1510-AO1510</x:f>
        <x:v>0</x:v>
      </x:c>
      <x:c r="AQ1510" s="32" t="n">
        <x:f>AM1510+AO1510</x:f>
        <x:v>0</x:v>
      </x:c>
      <x:c r="AR1510" s="10" t="n">
        <x:f>IF(H1510=1,INDEX(v01_Req,G1510),0)</x:f>
        <x:v>0</x:v>
      </x:c>
      <x:c r="AS1510" s="32" t="n">
        <x:f>IF(H1510=1,IF(E1510=1,AS1509-AR1509,AS1509)+AQ1510,0)</x:f>
        <x:v>0</x:v>
      </x:c>
      <x:c r="AT1510" s="11" t="n">
        <x:f>IF(AR1510&gt;0,MIN(1,AS1510/AR1510),1)</x:f>
        <x:v>1</x:v>
      </x:c>
      <x:c r="AU1510" s="10" t="n">
        <x:f>AB1510/INDEX(v01_RepScale,G1510)</x:f>
        <x:v>90.09519605746344</x:v>
      </x:c>
      <x:c r="AV1510" s="32" t="n">
        <x:f>AM1510*60/v01_SeasonSeconds</x:f>
        <x:v>0</x:v>
      </x:c>
    </x:row>
    <x:row r="1511">
      <x:c r="A1511" s="8" t="n">
        <x:f>A1510+1</x:f>
        <x:v>1508</x:v>
      </x:c>
      <x:c r="B1511" s="9" t="n">
        <x:f>A1511*v01_SeasonSeconds/60</x:f>
        <x:v>377</x:v>
      </x:c>
      <x:c r="C1511" s="9" t="n">
        <x:f>A1511/4</x:f>
        <x:v>377</x:v>
      </x:c>
      <x:c r="D1511" s="8" t="n">
        <x:f>IF(MOD(A1511,4)=0,1,0)</x:f>
        <x:v>1</x:v>
      </x:c>
      <x:c r="E1511" s="8" t="n">
        <x:f>IF(AND(F1510&lt;=9,AS1510&gt;=AR1510),1,0)</x:f>
        <x:v>0</x:v>
      </x:c>
      <x:c r="F1511" s="8" t="n">
        <x:f>MIN(10,F1510+E1511)</x:f>
        <x:v>10</x:v>
      </x:c>
      <x:c r="G1511" s="8" t="n">
        <x:f>MIN(F1511,9)+1</x:f>
        <x:v>10</x:v>
      </x:c>
      <x:c r="H1511" s="8" t="n">
        <x:f>IF(F1511&lt;=9,1,0)</x:f>
        <x:v>0</x:v>
      </x:c>
      <x:c r="I1511" s="9" t="n">
        <x:f>MIN(10,F1510+IF(AR1510&gt;0,MIN(1,AS1510/AR1510),1))</x:f>
        <x:v>10</x:v>
      </x:c>
      <x:c r="J1511" s="32" t="n">
        <x:f>INDEX(v01_FoodCap,G1511)*Arch_FoodCap*EXP(v01_CapsByProject*SUMPRODUCT((Cap_Point&lt;=I1511)*(Cap_Kind="Food")*Cap_Ln))</x:f>
        <x:v>12000</x:v>
      </x:c>
      <x:c r="K1511" s="32" t="n">
        <x:f>J1511*MIN(1,v01_LeanBase*EXP(v01_CapsByProject*SUMPRODUCT((Cap_Point&lt;=I1511)*(Cap_Kind="Lean")*Cap_Ln)))</x:f>
        <x:v>12000</x:v>
      </x:c>
      <x:c r="L1511" s="10" t="n">
        <x:f>INDEX(v01_HousingCap,G1511)*EXP(v01_CapsByProject*SUMPRODUCT((Cap_Point&lt;=I1511)*(Cap_Kind="Housing")*Cap_Ln))</x:f>
        <x:v>20000</x:v>
      </x:c>
      <x:c r="M1511" s="10" t="n">
        <x:f>INDEX(v01_GroupCap,G1511)*v01_CohesionFactor*EXP(v01_CapsByProject*SUMPRODUCT((Cap_Point&lt;=I1511)*(Cap_Kind="Group")*Cap_Ln))</x:f>
        <x:v>1000000</x:v>
      </x:c>
      <x:c r="N1511" s="32" t="n">
        <x:f>MIN(J1511,L1511,M1511)</x:f>
        <x:v>12000</x:v>
      </x:c>
      <x:c r="O1511" s="10" t="n">
        <x:f>AE1510*N1511</x:f>
        <x:v>180000</x:v>
      </x:c>
      <x:c r="P1511" s="9" t="n">
        <x:f>MIN(1,(AB1510/(AE1510*IF(v01_GroupInCrowding=1,N1511,MIN(J1511,L1511))))^v01_CrowdingExp)</x:f>
        <x:v>0.00024569414295285325</x:v>
      </x:c>
      <x:c r="Q1511" s="9" t="n">
        <x:f>IF(D1511=1,INDEX(v01_WinterMult,G1511),1)</x:f>
        <x:v>1</x:v>
      </x:c>
      <x:c r="R1511" s="9" t="n">
        <x:f>H1511*Z1510*v01_WomenShare*v01_BaseFertility*INDEX(v01_FertMult,G1511)*Arch_Fertility*(1-P1511)</x:f>
        <x:v>0</x:v>
      </x:c>
      <x:c r="S1511" s="9" t="n">
        <x:f>H1511*Y1510*INDEX(v01_MortChild,G1511)/4*Q1511</x:f>
        <x:v>0</x:v>
      </x:c>
      <x:c r="T1511" s="9" t="n">
        <x:f>H1511*Z1510*INDEX(v01_MortAdult,G1511)*Arch_AdultMort/4*Q1511</x:f>
        <x:v>0</x:v>
      </x:c>
      <x:c r="U1511" s="9" t="n">
        <x:f>H1511*AA1510*INDEX(v01_MortElder,G1511)/4*Q1511</x:f>
        <x:v>0</x:v>
      </x:c>
      <x:c r="V1511" s="9" t="n">
        <x:f>H1511*MAX(0,AB1510-O1511)*v01_OvercapLoss</x:f>
        <x:v>0</x:v>
      </x:c>
      <x:c r="W1511" s="9" t="n">
        <x:f>H1511*Y1510/(v01_ChildYears*4)</x:f>
        <x:v>0</x:v>
      </x:c>
      <x:c r="X1511" s="9" t="n">
        <x:f>H1511*Z1510/(v01_AdultYears*4)</x:f>
        <x:v>0</x:v>
      </x:c>
      <x:c r="Y1511" s="32" t="n">
        <x:f>Y1510+R1511-S1511-W1511-Y1510*V1511/AB1510</x:f>
        <x:v>14306.18539759397</x:v>
      </x:c>
      <x:c r="Z1511" s="32" t="n">
        <x:f>Z1510+W1511-X1511-T1511-Z1510*V1511/AB1510</x:f>
        <x:v>19354.456567879548</x:v>
      </x:c>
      <x:c r="AA1511" s="32" t="n">
        <x:f>AA1510+X1511-U1511-AA1510*V1511/AB1510</x:f>
        <x:v>11386.956063258198</x:v>
      </x:c>
      <x:c r="AB1511" s="10" t="n">
        <x:f>Y1511+Z1511+AA1511</x:f>
        <x:v>45047.59802873172</x:v>
      </x:c>
      <x:c r="AC1511" s="8" t="n">
        <x:f>IF(AND(v01_WinterTrigger=1,D1511=1,AB1510/AE1510&gt;=K1511),1,0)</x:f>
        <x:v>0</x:v>
      </x:c>
      <x:c r="AD1511" s="8" t="n">
        <x:f>H1511*IF(AND(OR(AB1510/AE1510&gt;=v01_FissionTrigger*N1511,AC1511=1),AB1510/AE1510*v01_DaughterShare&gt;=v01_MinDaughter),MAX(1,ROUND(AE1510*v01_FissionRate,0)),0)</x:f>
        <x:v>0</x:v>
      </x:c>
      <x:c r="AE1511" s="8" t="n">
        <x:f>IF(H1511=1,MAX(1,MIN(INDEX(v01_Smax,G1511),AE1510+AD1511)),AE1510)</x:f>
        <x:v>15</x:v>
      </x:c>
      <x:c r="AF1511" s="8" t="n">
        <x:f>MAX(0,AE1511-AE1510)</x:f>
        <x:v>0</x:v>
      </x:c>
      <x:c r="AG1511" s="9" t="str">
        <x:f>IF(AF1511&gt;0,B1511,"")</x:f>
      </x:c>
      <x:c r="AH1511" s="9" t="n">
        <x:f>IF(F1511&gt;=1,1,(1+v01_LowTiesShare*(AE1511-1))/AE1511)</x:f>
        <x:v>1</x:v>
      </x:c>
      <x:c r="AI1511" s="32" t="n">
        <x:f>(Z1511+v01_ElderCommons*INDEX(LM_Elder,G1511)*AA1511)*AH1511</x:f>
        <x:v>64139.732591141874</x:v>
      </x:c>
      <x:c r="AJ1511" s="32" t="n">
        <x:f>H1511*v01_CommonsCoef*AI1511^v01_CommonsExp*INDEX(LM_Commons,G1511)</x:f>
        <x:v>0</x:v>
      </x:c>
      <x:c r="AK1511" s="32" t="n">
        <x:f>H1511*v01_RoleScale*Arch_Roles*(AE1511*(INDEX(v01_ElderRolePerSett,G1511)*v01_OutElder*INDEX(LM_Elder,G1511)+INDEX(v01_ShamanPerSett,G1511)*v01_OutShaman)+Z1511*(INDEX(v01_PriestShare,G1511)*v01_OutPriest+INDEX(v01_ScribeShare,G1511)*v01_OutScribe*INDEX(LM_Scribe,G1511)+INDEX(v01_ScholarShare,G1511)*v01_OutScholar*INDEX(LM_Scholar,G1511)+INDEX(v01_ResearcherShare,G1511)*v01_OutResearcher*INDEX(LM_Researcher,G1511)))</x:f>
        <x:v>0</x:v>
      </x:c>
      <x:c r="AL1511" s="32" t="n">
        <x:f>H1511*v01_RoleScale*Arch_Roles*AE1511*INDEX(v01_MonasteryPerSett,G1511)*v01_OutMonastery*INDEX(LM_Monastery,G1511)</x:f>
        <x:v>0</x:v>
      </x:c>
      <x:c r="AM1511" s="32" t="n">
        <x:f>(AJ1511+AK1511+AL1511)/4*INDEX(LM_All,G1511)*INDEX(v01_Boon,G1511)*Arch_Insight</x:f>
        <x:v>0</x:v>
      </x:c>
      <x:c r="AN1511" s="32" t="n">
        <x:f>H1511*(v01_KHPerAdult*Z1511+v01_KHOfCommons*AJ1511/4*INDEX(LM_All,G1511))*v01_KHUsable*Arch_KH</x:f>
        <x:v>0</x:v>
      </x:c>
      <x:c r="AO1511" s="32" t="n">
        <x:f>MIN(AP1510+AN1511,AM1511*v01_KHMaxRatio)</x:f>
        <x:v>0</x:v>
      </x:c>
      <x:c r="AP1511" s="32" t="n">
        <x:f>AP1510+AN1511-AO1511</x:f>
        <x:v>0</x:v>
      </x:c>
      <x:c r="AQ1511" s="32" t="n">
        <x:f>AM1511+AO1511</x:f>
        <x:v>0</x:v>
      </x:c>
      <x:c r="AR1511" s="10" t="n">
        <x:f>IF(H1511=1,INDEX(v01_Req,G1511),0)</x:f>
        <x:v>0</x:v>
      </x:c>
      <x:c r="AS1511" s="32" t="n">
        <x:f>IF(H1511=1,IF(E1511=1,AS1510-AR1510,AS1510)+AQ1511,0)</x:f>
        <x:v>0</x:v>
      </x:c>
      <x:c r="AT1511" s="11" t="n">
        <x:f>IF(AR1511&gt;0,MIN(1,AS1511/AR1511),1)</x:f>
        <x:v>1</x:v>
      </x:c>
      <x:c r="AU1511" s="10" t="n">
        <x:f>AB1511/INDEX(v01_RepScale,G1511)</x:f>
        <x:v>90.09519605746344</x:v>
      </x:c>
      <x:c r="AV1511" s="32" t="n">
        <x:f>AM1511*60/v01_SeasonSeconds</x:f>
        <x:v>0</x:v>
      </x:c>
    </x:row>
    <x:row r="1512">
      <x:c r="A1512" s="8" t="n">
        <x:f>A1511+1</x:f>
        <x:v>1509</x:v>
      </x:c>
      <x:c r="B1512" s="9" t="n">
        <x:f>A1512*v01_SeasonSeconds/60</x:f>
        <x:v>377.25</x:v>
      </x:c>
      <x:c r="C1512" s="9" t="n">
        <x:f>A1512/4</x:f>
        <x:v>377.25</x:v>
      </x:c>
      <x:c r="D1512" s="8" t="n">
        <x:f>IF(MOD(A1512,4)=0,1,0)</x:f>
        <x:v>0</x:v>
      </x:c>
      <x:c r="E1512" s="8" t="n">
        <x:f>IF(AND(F1511&lt;=9,AS1511&gt;=AR1511),1,0)</x:f>
        <x:v>0</x:v>
      </x:c>
      <x:c r="F1512" s="8" t="n">
        <x:f>MIN(10,F1511+E1512)</x:f>
        <x:v>10</x:v>
      </x:c>
      <x:c r="G1512" s="8" t="n">
        <x:f>MIN(F1512,9)+1</x:f>
        <x:v>10</x:v>
      </x:c>
      <x:c r="H1512" s="8" t="n">
        <x:f>IF(F1512&lt;=9,1,0)</x:f>
        <x:v>0</x:v>
      </x:c>
      <x:c r="I1512" s="9" t="n">
        <x:f>MIN(10,F1511+IF(AR1511&gt;0,MIN(1,AS1511/AR1511),1))</x:f>
        <x:v>10</x:v>
      </x:c>
      <x:c r="J1512" s="32" t="n">
        <x:f>INDEX(v01_FoodCap,G1512)*Arch_FoodCap*EXP(v01_CapsByProject*SUMPRODUCT((Cap_Point&lt;=I1512)*(Cap_Kind="Food")*Cap_Ln))</x:f>
        <x:v>12000</x:v>
      </x:c>
      <x:c r="K1512" s="32" t="n">
        <x:f>J1512*MIN(1,v01_LeanBase*EXP(v01_CapsByProject*SUMPRODUCT((Cap_Point&lt;=I1512)*(Cap_Kind="Lean")*Cap_Ln)))</x:f>
        <x:v>12000</x:v>
      </x:c>
      <x:c r="L1512" s="10" t="n">
        <x:f>INDEX(v01_HousingCap,G1512)*EXP(v01_CapsByProject*SUMPRODUCT((Cap_Point&lt;=I1512)*(Cap_Kind="Housing")*Cap_Ln))</x:f>
        <x:v>20000</x:v>
      </x:c>
      <x:c r="M1512" s="10" t="n">
        <x:f>INDEX(v01_GroupCap,G1512)*v01_CohesionFactor*EXP(v01_CapsByProject*SUMPRODUCT((Cap_Point&lt;=I1512)*(Cap_Kind="Group")*Cap_Ln))</x:f>
        <x:v>1000000</x:v>
      </x:c>
      <x:c r="N1512" s="32" t="n">
        <x:f>MIN(J1512,L1512,M1512)</x:f>
        <x:v>12000</x:v>
      </x:c>
      <x:c r="O1512" s="10" t="n">
        <x:f>AE1511*N1512</x:f>
        <x:v>180000</x:v>
      </x:c>
      <x:c r="P1512" s="9" t="n">
        <x:f>MIN(1,(AB1511/(AE1511*IF(v01_GroupInCrowding=1,N1512,MIN(J1512,L1512))))^v01_CrowdingExp)</x:f>
        <x:v>0.00024569414295285325</x:v>
      </x:c>
      <x:c r="Q1512" s="9" t="n">
        <x:f>IF(D1512=1,INDEX(v01_WinterMult,G1512),1)</x:f>
        <x:v>1</x:v>
      </x:c>
      <x:c r="R1512" s="9" t="n">
        <x:f>H1512*Z1511*v01_WomenShare*v01_BaseFertility*INDEX(v01_FertMult,G1512)*Arch_Fertility*(1-P1512)</x:f>
        <x:v>0</x:v>
      </x:c>
      <x:c r="S1512" s="9" t="n">
        <x:f>H1512*Y1511*INDEX(v01_MortChild,G1512)/4*Q1512</x:f>
        <x:v>0</x:v>
      </x:c>
      <x:c r="T1512" s="9" t="n">
        <x:f>H1512*Z1511*INDEX(v01_MortAdult,G1512)*Arch_AdultMort/4*Q1512</x:f>
        <x:v>0</x:v>
      </x:c>
      <x:c r="U1512" s="9" t="n">
        <x:f>H1512*AA1511*INDEX(v01_MortElder,G1512)/4*Q1512</x:f>
        <x:v>0</x:v>
      </x:c>
      <x:c r="V1512" s="9" t="n">
        <x:f>H1512*MAX(0,AB1511-O1512)*v01_OvercapLoss</x:f>
        <x:v>0</x:v>
      </x:c>
      <x:c r="W1512" s="9" t="n">
        <x:f>H1512*Y1511/(v01_ChildYears*4)</x:f>
        <x:v>0</x:v>
      </x:c>
      <x:c r="X1512" s="9" t="n">
        <x:f>H1512*Z1511/(v01_AdultYears*4)</x:f>
        <x:v>0</x:v>
      </x:c>
      <x:c r="Y1512" s="32" t="n">
        <x:f>Y1511+R1512-S1512-W1512-Y1511*V1512/AB1511</x:f>
        <x:v>14306.18539759397</x:v>
      </x:c>
      <x:c r="Z1512" s="32" t="n">
        <x:f>Z1511+W1512-X1512-T1512-Z1511*V1512/AB1511</x:f>
        <x:v>19354.456567879548</x:v>
      </x:c>
      <x:c r="AA1512" s="32" t="n">
        <x:f>AA1511+X1512-U1512-AA1511*V1512/AB1511</x:f>
        <x:v>11386.956063258198</x:v>
      </x:c>
      <x:c r="AB1512" s="10" t="n">
        <x:f>Y1512+Z1512+AA1512</x:f>
        <x:v>45047.59802873172</x:v>
      </x:c>
      <x:c r="AC1512" s="8" t="n">
        <x:f>IF(AND(v01_WinterTrigger=1,D1512=1,AB1511/AE1511&gt;=K1512),1,0)</x:f>
        <x:v>0</x:v>
      </x:c>
      <x:c r="AD1512" s="8" t="n">
        <x:f>H1512*IF(AND(OR(AB1511/AE1511&gt;=v01_FissionTrigger*N1512,AC1512=1),AB1511/AE1511*v01_DaughterShare&gt;=v01_MinDaughter),MAX(1,ROUND(AE1511*v01_FissionRate,0)),0)</x:f>
        <x:v>0</x:v>
      </x:c>
      <x:c r="AE1512" s="8" t="n">
        <x:f>IF(H1512=1,MAX(1,MIN(INDEX(v01_Smax,G1512),AE1511+AD1512)),AE1511)</x:f>
        <x:v>15</x:v>
      </x:c>
      <x:c r="AF1512" s="8" t="n">
        <x:f>MAX(0,AE1512-AE1511)</x:f>
        <x:v>0</x:v>
      </x:c>
      <x:c r="AG1512" s="9" t="str">
        <x:f>IF(AF1512&gt;0,B1512,"")</x:f>
      </x:c>
      <x:c r="AH1512" s="9" t="n">
        <x:f>IF(F1512&gt;=1,1,(1+v01_LowTiesShare*(AE1512-1))/AE1512)</x:f>
        <x:v>1</x:v>
      </x:c>
      <x:c r="AI1512" s="32" t="n">
        <x:f>(Z1512+v01_ElderCommons*INDEX(LM_Elder,G1512)*AA1512)*AH1512</x:f>
        <x:v>64139.732591141874</x:v>
      </x:c>
      <x:c r="AJ1512" s="32" t="n">
        <x:f>H1512*v01_CommonsCoef*AI1512^v01_CommonsExp*INDEX(LM_Commons,G1512)</x:f>
        <x:v>0</x:v>
      </x:c>
      <x:c r="AK1512" s="32" t="n">
        <x:f>H1512*v01_RoleScale*Arch_Roles*(AE1512*(INDEX(v01_ElderRolePerSett,G1512)*v01_OutElder*INDEX(LM_Elder,G1512)+INDEX(v01_ShamanPerSett,G1512)*v01_OutShaman)+Z1512*(INDEX(v01_PriestShare,G1512)*v01_OutPriest+INDEX(v01_ScribeShare,G1512)*v01_OutScribe*INDEX(LM_Scribe,G1512)+INDEX(v01_ScholarShare,G1512)*v01_OutScholar*INDEX(LM_Scholar,G1512)+INDEX(v01_ResearcherShare,G1512)*v01_OutResearcher*INDEX(LM_Researcher,G1512)))</x:f>
        <x:v>0</x:v>
      </x:c>
      <x:c r="AL1512" s="32" t="n">
        <x:f>H1512*v01_RoleScale*Arch_Roles*AE1512*INDEX(v01_MonasteryPerSett,G1512)*v01_OutMonastery*INDEX(LM_Monastery,G1512)</x:f>
        <x:v>0</x:v>
      </x:c>
      <x:c r="AM1512" s="32" t="n">
        <x:f>(AJ1512+AK1512+AL1512)/4*INDEX(LM_All,G1512)*INDEX(v01_Boon,G1512)*Arch_Insight</x:f>
        <x:v>0</x:v>
      </x:c>
      <x:c r="AN1512" s="32" t="n">
        <x:f>H1512*(v01_KHPerAdult*Z1512+v01_KHOfCommons*AJ1512/4*INDEX(LM_All,G1512))*v01_KHUsable*Arch_KH</x:f>
        <x:v>0</x:v>
      </x:c>
      <x:c r="AO1512" s="32" t="n">
        <x:f>MIN(AP1511+AN1512,AM1512*v01_KHMaxRatio)</x:f>
        <x:v>0</x:v>
      </x:c>
      <x:c r="AP1512" s="32" t="n">
        <x:f>AP1511+AN1512-AO1512</x:f>
        <x:v>0</x:v>
      </x:c>
      <x:c r="AQ1512" s="32" t="n">
        <x:f>AM1512+AO1512</x:f>
        <x:v>0</x:v>
      </x:c>
      <x:c r="AR1512" s="10" t="n">
        <x:f>IF(H1512=1,INDEX(v01_Req,G1512),0)</x:f>
        <x:v>0</x:v>
      </x:c>
      <x:c r="AS1512" s="32" t="n">
        <x:f>IF(H1512=1,IF(E1512=1,AS1511-AR1511,AS1511)+AQ1512,0)</x:f>
        <x:v>0</x:v>
      </x:c>
      <x:c r="AT1512" s="11" t="n">
        <x:f>IF(AR1512&gt;0,MIN(1,AS1512/AR1512),1)</x:f>
        <x:v>1</x:v>
      </x:c>
      <x:c r="AU1512" s="10" t="n">
        <x:f>AB1512/INDEX(v01_RepScale,G1512)</x:f>
        <x:v>90.09519605746344</x:v>
      </x:c>
      <x:c r="AV1512" s="32" t="n">
        <x:f>AM1512*60/v01_SeasonSeconds</x:f>
        <x:v>0</x:v>
      </x:c>
    </x:row>
    <x:row r="1513">
      <x:c r="A1513" s="8" t="n">
        <x:f>A1512+1</x:f>
        <x:v>1510</x:v>
      </x:c>
      <x:c r="B1513" s="9" t="n">
        <x:f>A1513*v01_SeasonSeconds/60</x:f>
        <x:v>377.5</x:v>
      </x:c>
      <x:c r="C1513" s="9" t="n">
        <x:f>A1513/4</x:f>
        <x:v>377.5</x:v>
      </x:c>
      <x:c r="D1513" s="8" t="n">
        <x:f>IF(MOD(A1513,4)=0,1,0)</x:f>
        <x:v>0</x:v>
      </x:c>
      <x:c r="E1513" s="8" t="n">
        <x:f>IF(AND(F1512&lt;=9,AS1512&gt;=AR1512),1,0)</x:f>
        <x:v>0</x:v>
      </x:c>
      <x:c r="F1513" s="8" t="n">
        <x:f>MIN(10,F1512+E1513)</x:f>
        <x:v>10</x:v>
      </x:c>
      <x:c r="G1513" s="8" t="n">
        <x:f>MIN(F1513,9)+1</x:f>
        <x:v>10</x:v>
      </x:c>
      <x:c r="H1513" s="8" t="n">
        <x:f>IF(F1513&lt;=9,1,0)</x:f>
        <x:v>0</x:v>
      </x:c>
      <x:c r="I1513" s="9" t="n">
        <x:f>MIN(10,F1512+IF(AR1512&gt;0,MIN(1,AS1512/AR1512),1))</x:f>
        <x:v>10</x:v>
      </x:c>
      <x:c r="J1513" s="32" t="n">
        <x:f>INDEX(v01_FoodCap,G1513)*Arch_FoodCap*EXP(v01_CapsByProject*SUMPRODUCT((Cap_Point&lt;=I1513)*(Cap_Kind="Food")*Cap_Ln))</x:f>
        <x:v>12000</x:v>
      </x:c>
      <x:c r="K1513" s="32" t="n">
        <x:f>J1513*MIN(1,v01_LeanBase*EXP(v01_CapsByProject*SUMPRODUCT((Cap_Point&lt;=I1513)*(Cap_Kind="Lean")*Cap_Ln)))</x:f>
        <x:v>12000</x:v>
      </x:c>
      <x:c r="L1513" s="10" t="n">
        <x:f>INDEX(v01_HousingCap,G1513)*EXP(v01_CapsByProject*SUMPRODUCT((Cap_Point&lt;=I1513)*(Cap_Kind="Housing")*Cap_Ln))</x:f>
        <x:v>20000</x:v>
      </x:c>
      <x:c r="M1513" s="10" t="n">
        <x:f>INDEX(v01_GroupCap,G1513)*v01_CohesionFactor*EXP(v01_CapsByProject*SUMPRODUCT((Cap_Point&lt;=I1513)*(Cap_Kind="Group")*Cap_Ln))</x:f>
        <x:v>1000000</x:v>
      </x:c>
      <x:c r="N1513" s="32" t="n">
        <x:f>MIN(J1513,L1513,M1513)</x:f>
        <x:v>12000</x:v>
      </x:c>
      <x:c r="O1513" s="10" t="n">
        <x:f>AE1512*N1513</x:f>
        <x:v>180000</x:v>
      </x:c>
      <x:c r="P1513" s="9" t="n">
        <x:f>MIN(1,(AB1512/(AE1512*IF(v01_GroupInCrowding=1,N1513,MIN(J1513,L1513))))^v01_CrowdingExp)</x:f>
        <x:v>0.00024569414295285325</x:v>
      </x:c>
      <x:c r="Q1513" s="9" t="n">
        <x:f>IF(D1513=1,INDEX(v01_WinterMult,G1513),1)</x:f>
        <x:v>1</x:v>
      </x:c>
      <x:c r="R1513" s="9" t="n">
        <x:f>H1513*Z1512*v01_WomenShare*v01_BaseFertility*INDEX(v01_FertMult,G1513)*Arch_Fertility*(1-P1513)</x:f>
        <x:v>0</x:v>
      </x:c>
      <x:c r="S1513" s="9" t="n">
        <x:f>H1513*Y1512*INDEX(v01_MortChild,G1513)/4*Q1513</x:f>
        <x:v>0</x:v>
      </x:c>
      <x:c r="T1513" s="9" t="n">
        <x:f>H1513*Z1512*INDEX(v01_MortAdult,G1513)*Arch_AdultMort/4*Q1513</x:f>
        <x:v>0</x:v>
      </x:c>
      <x:c r="U1513" s="9" t="n">
        <x:f>H1513*AA1512*INDEX(v01_MortElder,G1513)/4*Q1513</x:f>
        <x:v>0</x:v>
      </x:c>
      <x:c r="V1513" s="9" t="n">
        <x:f>H1513*MAX(0,AB1512-O1513)*v01_OvercapLoss</x:f>
        <x:v>0</x:v>
      </x:c>
      <x:c r="W1513" s="9" t="n">
        <x:f>H1513*Y1512/(v01_ChildYears*4)</x:f>
        <x:v>0</x:v>
      </x:c>
      <x:c r="X1513" s="9" t="n">
        <x:f>H1513*Z1512/(v01_AdultYears*4)</x:f>
        <x:v>0</x:v>
      </x:c>
      <x:c r="Y1513" s="32" t="n">
        <x:f>Y1512+R1513-S1513-W1513-Y1512*V1513/AB1512</x:f>
        <x:v>14306.18539759397</x:v>
      </x:c>
      <x:c r="Z1513" s="32" t="n">
        <x:f>Z1512+W1513-X1513-T1513-Z1512*V1513/AB1512</x:f>
        <x:v>19354.456567879548</x:v>
      </x:c>
      <x:c r="AA1513" s="32" t="n">
        <x:f>AA1512+X1513-U1513-AA1512*V1513/AB1512</x:f>
        <x:v>11386.956063258198</x:v>
      </x:c>
      <x:c r="AB1513" s="10" t="n">
        <x:f>Y1513+Z1513+AA1513</x:f>
        <x:v>45047.59802873172</x:v>
      </x:c>
      <x:c r="AC1513" s="8" t="n">
        <x:f>IF(AND(v01_WinterTrigger=1,D1513=1,AB1512/AE1512&gt;=K1513),1,0)</x:f>
        <x:v>0</x:v>
      </x:c>
      <x:c r="AD1513" s="8" t="n">
        <x:f>H1513*IF(AND(OR(AB1512/AE1512&gt;=v01_FissionTrigger*N1513,AC1513=1),AB1512/AE1512*v01_DaughterShare&gt;=v01_MinDaughter),MAX(1,ROUND(AE1512*v01_FissionRate,0)),0)</x:f>
        <x:v>0</x:v>
      </x:c>
      <x:c r="AE1513" s="8" t="n">
        <x:f>IF(H1513=1,MAX(1,MIN(INDEX(v01_Smax,G1513),AE1512+AD1513)),AE1512)</x:f>
        <x:v>15</x:v>
      </x:c>
      <x:c r="AF1513" s="8" t="n">
        <x:f>MAX(0,AE1513-AE1512)</x:f>
        <x:v>0</x:v>
      </x:c>
      <x:c r="AG1513" s="9" t="str">
        <x:f>IF(AF1513&gt;0,B1513,"")</x:f>
      </x:c>
      <x:c r="AH1513" s="9" t="n">
        <x:f>IF(F1513&gt;=1,1,(1+v01_LowTiesShare*(AE1513-1))/AE1513)</x:f>
        <x:v>1</x:v>
      </x:c>
      <x:c r="AI1513" s="32" t="n">
        <x:f>(Z1513+v01_ElderCommons*INDEX(LM_Elder,G1513)*AA1513)*AH1513</x:f>
        <x:v>64139.732591141874</x:v>
      </x:c>
      <x:c r="AJ1513" s="32" t="n">
        <x:f>H1513*v01_CommonsCoef*AI1513^v01_CommonsExp*INDEX(LM_Commons,G1513)</x:f>
        <x:v>0</x:v>
      </x:c>
      <x:c r="AK1513" s="32" t="n">
        <x:f>H1513*v01_RoleScale*Arch_Roles*(AE1513*(INDEX(v01_ElderRolePerSett,G1513)*v01_OutElder*INDEX(LM_Elder,G1513)+INDEX(v01_ShamanPerSett,G1513)*v01_OutShaman)+Z1513*(INDEX(v01_PriestShare,G1513)*v01_OutPriest+INDEX(v01_ScribeShare,G1513)*v01_OutScribe*INDEX(LM_Scribe,G1513)+INDEX(v01_ScholarShare,G1513)*v01_OutScholar*INDEX(LM_Scholar,G1513)+INDEX(v01_ResearcherShare,G1513)*v01_OutResearcher*INDEX(LM_Researcher,G1513)))</x:f>
        <x:v>0</x:v>
      </x:c>
      <x:c r="AL1513" s="32" t="n">
        <x:f>H1513*v01_RoleScale*Arch_Roles*AE1513*INDEX(v01_MonasteryPerSett,G1513)*v01_OutMonastery*INDEX(LM_Monastery,G1513)</x:f>
        <x:v>0</x:v>
      </x:c>
      <x:c r="AM1513" s="32" t="n">
        <x:f>(AJ1513+AK1513+AL1513)/4*INDEX(LM_All,G1513)*INDEX(v01_Boon,G1513)*Arch_Insight</x:f>
        <x:v>0</x:v>
      </x:c>
      <x:c r="AN1513" s="32" t="n">
        <x:f>H1513*(v01_KHPerAdult*Z1513+v01_KHOfCommons*AJ1513/4*INDEX(LM_All,G1513))*v01_KHUsable*Arch_KH</x:f>
        <x:v>0</x:v>
      </x:c>
      <x:c r="AO1513" s="32" t="n">
        <x:f>MIN(AP1512+AN1513,AM1513*v01_KHMaxRatio)</x:f>
        <x:v>0</x:v>
      </x:c>
      <x:c r="AP1513" s="32" t="n">
        <x:f>AP1512+AN1513-AO1513</x:f>
        <x:v>0</x:v>
      </x:c>
      <x:c r="AQ1513" s="32" t="n">
        <x:f>AM1513+AO1513</x:f>
        <x:v>0</x:v>
      </x:c>
      <x:c r="AR1513" s="10" t="n">
        <x:f>IF(H1513=1,INDEX(v01_Req,G1513),0)</x:f>
        <x:v>0</x:v>
      </x:c>
      <x:c r="AS1513" s="32" t="n">
        <x:f>IF(H1513=1,IF(E1513=1,AS1512-AR1512,AS1512)+AQ1513,0)</x:f>
        <x:v>0</x:v>
      </x:c>
      <x:c r="AT1513" s="11" t="n">
        <x:f>IF(AR1513&gt;0,MIN(1,AS1513/AR1513),1)</x:f>
        <x:v>1</x:v>
      </x:c>
      <x:c r="AU1513" s="10" t="n">
        <x:f>AB1513/INDEX(v01_RepScale,G1513)</x:f>
        <x:v>90.09519605746344</x:v>
      </x:c>
      <x:c r="AV1513" s="32" t="n">
        <x:f>AM1513*60/v01_SeasonSeconds</x:f>
        <x:v>0</x:v>
      </x:c>
    </x:row>
    <x:row r="1514">
      <x:c r="A1514" s="8" t="n">
        <x:f>A1513+1</x:f>
        <x:v>1511</x:v>
      </x:c>
      <x:c r="B1514" s="9" t="n">
        <x:f>A1514*v01_SeasonSeconds/60</x:f>
        <x:v>377.75</x:v>
      </x:c>
      <x:c r="C1514" s="9" t="n">
        <x:f>A1514/4</x:f>
        <x:v>377.75</x:v>
      </x:c>
      <x:c r="D1514" s="8" t="n">
        <x:f>IF(MOD(A1514,4)=0,1,0)</x:f>
        <x:v>0</x:v>
      </x:c>
      <x:c r="E1514" s="8" t="n">
        <x:f>IF(AND(F1513&lt;=9,AS1513&gt;=AR1513),1,0)</x:f>
        <x:v>0</x:v>
      </x:c>
      <x:c r="F1514" s="8" t="n">
        <x:f>MIN(10,F1513+E1514)</x:f>
        <x:v>10</x:v>
      </x:c>
      <x:c r="G1514" s="8" t="n">
        <x:f>MIN(F1514,9)+1</x:f>
        <x:v>10</x:v>
      </x:c>
      <x:c r="H1514" s="8" t="n">
        <x:f>IF(F1514&lt;=9,1,0)</x:f>
        <x:v>0</x:v>
      </x:c>
      <x:c r="I1514" s="9" t="n">
        <x:f>MIN(10,F1513+IF(AR1513&gt;0,MIN(1,AS1513/AR1513),1))</x:f>
        <x:v>10</x:v>
      </x:c>
      <x:c r="J1514" s="32" t="n">
        <x:f>INDEX(v01_FoodCap,G1514)*Arch_FoodCap*EXP(v01_CapsByProject*SUMPRODUCT((Cap_Point&lt;=I1514)*(Cap_Kind="Food")*Cap_Ln))</x:f>
        <x:v>12000</x:v>
      </x:c>
      <x:c r="K1514" s="32" t="n">
        <x:f>J1514*MIN(1,v01_LeanBase*EXP(v01_CapsByProject*SUMPRODUCT((Cap_Point&lt;=I1514)*(Cap_Kind="Lean")*Cap_Ln)))</x:f>
        <x:v>12000</x:v>
      </x:c>
      <x:c r="L1514" s="10" t="n">
        <x:f>INDEX(v01_HousingCap,G1514)*EXP(v01_CapsByProject*SUMPRODUCT((Cap_Point&lt;=I1514)*(Cap_Kind="Housing")*Cap_Ln))</x:f>
        <x:v>20000</x:v>
      </x:c>
      <x:c r="M1514" s="10" t="n">
        <x:f>INDEX(v01_GroupCap,G1514)*v01_CohesionFactor*EXP(v01_CapsByProject*SUMPRODUCT((Cap_Point&lt;=I1514)*(Cap_Kind="Group")*Cap_Ln))</x:f>
        <x:v>1000000</x:v>
      </x:c>
      <x:c r="N1514" s="32" t="n">
        <x:f>MIN(J1514,L1514,M1514)</x:f>
        <x:v>12000</x:v>
      </x:c>
      <x:c r="O1514" s="10" t="n">
        <x:f>AE1513*N1514</x:f>
        <x:v>180000</x:v>
      </x:c>
      <x:c r="P1514" s="9" t="n">
        <x:f>MIN(1,(AB1513/(AE1513*IF(v01_GroupInCrowding=1,N1514,MIN(J1514,L1514))))^v01_CrowdingExp)</x:f>
        <x:v>0.00024569414295285325</x:v>
      </x:c>
      <x:c r="Q1514" s="9" t="n">
        <x:f>IF(D1514=1,INDEX(v01_WinterMult,G1514),1)</x:f>
        <x:v>1</x:v>
      </x:c>
      <x:c r="R1514" s="9" t="n">
        <x:f>H1514*Z1513*v01_WomenShare*v01_BaseFertility*INDEX(v01_FertMult,G1514)*Arch_Fertility*(1-P1514)</x:f>
        <x:v>0</x:v>
      </x:c>
      <x:c r="S1514" s="9" t="n">
        <x:f>H1514*Y1513*INDEX(v01_MortChild,G1514)/4*Q1514</x:f>
        <x:v>0</x:v>
      </x:c>
      <x:c r="T1514" s="9" t="n">
        <x:f>H1514*Z1513*INDEX(v01_MortAdult,G1514)*Arch_AdultMort/4*Q1514</x:f>
        <x:v>0</x:v>
      </x:c>
      <x:c r="U1514" s="9" t="n">
        <x:f>H1514*AA1513*INDEX(v01_MortElder,G1514)/4*Q1514</x:f>
        <x:v>0</x:v>
      </x:c>
      <x:c r="V1514" s="9" t="n">
        <x:f>H1514*MAX(0,AB1513-O1514)*v01_OvercapLoss</x:f>
        <x:v>0</x:v>
      </x:c>
      <x:c r="W1514" s="9" t="n">
        <x:f>H1514*Y1513/(v01_ChildYears*4)</x:f>
        <x:v>0</x:v>
      </x:c>
      <x:c r="X1514" s="9" t="n">
        <x:f>H1514*Z1513/(v01_AdultYears*4)</x:f>
        <x:v>0</x:v>
      </x:c>
      <x:c r="Y1514" s="32" t="n">
        <x:f>Y1513+R1514-S1514-W1514-Y1513*V1514/AB1513</x:f>
        <x:v>14306.18539759397</x:v>
      </x:c>
      <x:c r="Z1514" s="32" t="n">
        <x:f>Z1513+W1514-X1514-T1514-Z1513*V1514/AB1513</x:f>
        <x:v>19354.456567879548</x:v>
      </x:c>
      <x:c r="AA1514" s="32" t="n">
        <x:f>AA1513+X1514-U1514-AA1513*V1514/AB1513</x:f>
        <x:v>11386.956063258198</x:v>
      </x:c>
      <x:c r="AB1514" s="10" t="n">
        <x:f>Y1514+Z1514+AA1514</x:f>
        <x:v>45047.59802873172</x:v>
      </x:c>
      <x:c r="AC1514" s="8" t="n">
        <x:f>IF(AND(v01_WinterTrigger=1,D1514=1,AB1513/AE1513&gt;=K1514),1,0)</x:f>
        <x:v>0</x:v>
      </x:c>
      <x:c r="AD1514" s="8" t="n">
        <x:f>H1514*IF(AND(OR(AB1513/AE1513&gt;=v01_FissionTrigger*N1514,AC1514=1),AB1513/AE1513*v01_DaughterShare&gt;=v01_MinDaughter),MAX(1,ROUND(AE1513*v01_FissionRate,0)),0)</x:f>
        <x:v>0</x:v>
      </x:c>
      <x:c r="AE1514" s="8" t="n">
        <x:f>IF(H1514=1,MAX(1,MIN(INDEX(v01_Smax,G1514),AE1513+AD1514)),AE1513)</x:f>
        <x:v>15</x:v>
      </x:c>
      <x:c r="AF1514" s="8" t="n">
        <x:f>MAX(0,AE1514-AE1513)</x:f>
        <x:v>0</x:v>
      </x:c>
      <x:c r="AG1514" s="9" t="str">
        <x:f>IF(AF1514&gt;0,B1514,"")</x:f>
      </x:c>
      <x:c r="AH1514" s="9" t="n">
        <x:f>IF(F1514&gt;=1,1,(1+v01_LowTiesShare*(AE1514-1))/AE1514)</x:f>
        <x:v>1</x:v>
      </x:c>
      <x:c r="AI1514" s="32" t="n">
        <x:f>(Z1514+v01_ElderCommons*INDEX(LM_Elder,G1514)*AA1514)*AH1514</x:f>
        <x:v>64139.732591141874</x:v>
      </x:c>
      <x:c r="AJ1514" s="32" t="n">
        <x:f>H1514*v01_CommonsCoef*AI1514^v01_CommonsExp*INDEX(LM_Commons,G1514)</x:f>
        <x:v>0</x:v>
      </x:c>
      <x:c r="AK1514" s="32" t="n">
        <x:f>H1514*v01_RoleScale*Arch_Roles*(AE1514*(INDEX(v01_ElderRolePerSett,G1514)*v01_OutElder*INDEX(LM_Elder,G1514)+INDEX(v01_ShamanPerSett,G1514)*v01_OutShaman)+Z1514*(INDEX(v01_PriestShare,G1514)*v01_OutPriest+INDEX(v01_ScribeShare,G1514)*v01_OutScribe*INDEX(LM_Scribe,G1514)+INDEX(v01_ScholarShare,G1514)*v01_OutScholar*INDEX(LM_Scholar,G1514)+INDEX(v01_ResearcherShare,G1514)*v01_OutResearcher*INDEX(LM_Researcher,G1514)))</x:f>
        <x:v>0</x:v>
      </x:c>
      <x:c r="AL1514" s="32" t="n">
        <x:f>H1514*v01_RoleScale*Arch_Roles*AE1514*INDEX(v01_MonasteryPerSett,G1514)*v01_OutMonastery*INDEX(LM_Monastery,G1514)</x:f>
        <x:v>0</x:v>
      </x:c>
      <x:c r="AM1514" s="32" t="n">
        <x:f>(AJ1514+AK1514+AL1514)/4*INDEX(LM_All,G1514)*INDEX(v01_Boon,G1514)*Arch_Insight</x:f>
        <x:v>0</x:v>
      </x:c>
      <x:c r="AN1514" s="32" t="n">
        <x:f>H1514*(v01_KHPerAdult*Z1514+v01_KHOfCommons*AJ1514/4*INDEX(LM_All,G1514))*v01_KHUsable*Arch_KH</x:f>
        <x:v>0</x:v>
      </x:c>
      <x:c r="AO1514" s="32" t="n">
        <x:f>MIN(AP1513+AN1514,AM1514*v01_KHMaxRatio)</x:f>
        <x:v>0</x:v>
      </x:c>
      <x:c r="AP1514" s="32" t="n">
        <x:f>AP1513+AN1514-AO1514</x:f>
        <x:v>0</x:v>
      </x:c>
      <x:c r="AQ1514" s="32" t="n">
        <x:f>AM1514+AO1514</x:f>
        <x:v>0</x:v>
      </x:c>
      <x:c r="AR1514" s="10" t="n">
        <x:f>IF(H1514=1,INDEX(v01_Req,G1514),0)</x:f>
        <x:v>0</x:v>
      </x:c>
      <x:c r="AS1514" s="32" t="n">
        <x:f>IF(H1514=1,IF(E1514=1,AS1513-AR1513,AS1513)+AQ1514,0)</x:f>
        <x:v>0</x:v>
      </x:c>
      <x:c r="AT1514" s="11" t="n">
        <x:f>IF(AR1514&gt;0,MIN(1,AS1514/AR1514),1)</x:f>
        <x:v>1</x:v>
      </x:c>
      <x:c r="AU1514" s="10" t="n">
        <x:f>AB1514/INDEX(v01_RepScale,G1514)</x:f>
        <x:v>90.09519605746344</x:v>
      </x:c>
      <x:c r="AV1514" s="32" t="n">
        <x:f>AM1514*60/v01_SeasonSeconds</x:f>
        <x:v>0</x:v>
      </x:c>
    </x:row>
    <x:row r="1515">
      <x:c r="A1515" s="8" t="n">
        <x:f>A1514+1</x:f>
        <x:v>1512</x:v>
      </x:c>
      <x:c r="B1515" s="9" t="n">
        <x:f>A1515*v01_SeasonSeconds/60</x:f>
        <x:v>378</x:v>
      </x:c>
      <x:c r="C1515" s="9" t="n">
        <x:f>A1515/4</x:f>
        <x:v>378</x:v>
      </x:c>
      <x:c r="D1515" s="8" t="n">
        <x:f>IF(MOD(A1515,4)=0,1,0)</x:f>
        <x:v>1</x:v>
      </x:c>
      <x:c r="E1515" s="8" t="n">
        <x:f>IF(AND(F1514&lt;=9,AS1514&gt;=AR1514),1,0)</x:f>
        <x:v>0</x:v>
      </x:c>
      <x:c r="F1515" s="8" t="n">
        <x:f>MIN(10,F1514+E1515)</x:f>
        <x:v>10</x:v>
      </x:c>
      <x:c r="G1515" s="8" t="n">
        <x:f>MIN(F1515,9)+1</x:f>
        <x:v>10</x:v>
      </x:c>
      <x:c r="H1515" s="8" t="n">
        <x:f>IF(F1515&lt;=9,1,0)</x:f>
        <x:v>0</x:v>
      </x:c>
      <x:c r="I1515" s="9" t="n">
        <x:f>MIN(10,F1514+IF(AR1514&gt;0,MIN(1,AS1514/AR1514),1))</x:f>
        <x:v>10</x:v>
      </x:c>
      <x:c r="J1515" s="32" t="n">
        <x:f>INDEX(v01_FoodCap,G1515)*Arch_FoodCap*EXP(v01_CapsByProject*SUMPRODUCT((Cap_Point&lt;=I1515)*(Cap_Kind="Food")*Cap_Ln))</x:f>
        <x:v>12000</x:v>
      </x:c>
      <x:c r="K1515" s="32" t="n">
        <x:f>J1515*MIN(1,v01_LeanBase*EXP(v01_CapsByProject*SUMPRODUCT((Cap_Point&lt;=I1515)*(Cap_Kind="Lean")*Cap_Ln)))</x:f>
        <x:v>12000</x:v>
      </x:c>
      <x:c r="L1515" s="10" t="n">
        <x:f>INDEX(v01_HousingCap,G1515)*EXP(v01_CapsByProject*SUMPRODUCT((Cap_Point&lt;=I1515)*(Cap_Kind="Housing")*Cap_Ln))</x:f>
        <x:v>20000</x:v>
      </x:c>
      <x:c r="M1515" s="10" t="n">
        <x:f>INDEX(v01_GroupCap,G1515)*v01_CohesionFactor*EXP(v01_CapsByProject*SUMPRODUCT((Cap_Point&lt;=I1515)*(Cap_Kind="Group")*Cap_Ln))</x:f>
        <x:v>1000000</x:v>
      </x:c>
      <x:c r="N1515" s="32" t="n">
        <x:f>MIN(J1515,L1515,M1515)</x:f>
        <x:v>12000</x:v>
      </x:c>
      <x:c r="O1515" s="10" t="n">
        <x:f>AE1514*N1515</x:f>
        <x:v>180000</x:v>
      </x:c>
      <x:c r="P1515" s="9" t="n">
        <x:f>MIN(1,(AB1514/(AE1514*IF(v01_GroupInCrowding=1,N1515,MIN(J1515,L1515))))^v01_CrowdingExp)</x:f>
        <x:v>0.00024569414295285325</x:v>
      </x:c>
      <x:c r="Q1515" s="9" t="n">
        <x:f>IF(D1515=1,INDEX(v01_WinterMult,G1515),1)</x:f>
        <x:v>1</x:v>
      </x:c>
      <x:c r="R1515" s="9" t="n">
        <x:f>H1515*Z1514*v01_WomenShare*v01_BaseFertility*INDEX(v01_FertMult,G1515)*Arch_Fertility*(1-P1515)</x:f>
        <x:v>0</x:v>
      </x:c>
      <x:c r="S1515" s="9" t="n">
        <x:f>H1515*Y1514*INDEX(v01_MortChild,G1515)/4*Q1515</x:f>
        <x:v>0</x:v>
      </x:c>
      <x:c r="T1515" s="9" t="n">
        <x:f>H1515*Z1514*INDEX(v01_MortAdult,G1515)*Arch_AdultMort/4*Q1515</x:f>
        <x:v>0</x:v>
      </x:c>
      <x:c r="U1515" s="9" t="n">
        <x:f>H1515*AA1514*INDEX(v01_MortElder,G1515)/4*Q1515</x:f>
        <x:v>0</x:v>
      </x:c>
      <x:c r="V1515" s="9" t="n">
        <x:f>H1515*MAX(0,AB1514-O1515)*v01_OvercapLoss</x:f>
        <x:v>0</x:v>
      </x:c>
      <x:c r="W1515" s="9" t="n">
        <x:f>H1515*Y1514/(v01_ChildYears*4)</x:f>
        <x:v>0</x:v>
      </x:c>
      <x:c r="X1515" s="9" t="n">
        <x:f>H1515*Z1514/(v01_AdultYears*4)</x:f>
        <x:v>0</x:v>
      </x:c>
      <x:c r="Y1515" s="32" t="n">
        <x:f>Y1514+R1515-S1515-W1515-Y1514*V1515/AB1514</x:f>
        <x:v>14306.18539759397</x:v>
      </x:c>
      <x:c r="Z1515" s="32" t="n">
        <x:f>Z1514+W1515-X1515-T1515-Z1514*V1515/AB1514</x:f>
        <x:v>19354.456567879548</x:v>
      </x:c>
      <x:c r="AA1515" s="32" t="n">
        <x:f>AA1514+X1515-U1515-AA1514*V1515/AB1514</x:f>
        <x:v>11386.956063258198</x:v>
      </x:c>
      <x:c r="AB1515" s="10" t="n">
        <x:f>Y1515+Z1515+AA1515</x:f>
        <x:v>45047.59802873172</x:v>
      </x:c>
      <x:c r="AC1515" s="8" t="n">
        <x:f>IF(AND(v01_WinterTrigger=1,D1515=1,AB1514/AE1514&gt;=K1515),1,0)</x:f>
        <x:v>0</x:v>
      </x:c>
      <x:c r="AD1515" s="8" t="n">
        <x:f>H1515*IF(AND(OR(AB1514/AE1514&gt;=v01_FissionTrigger*N1515,AC1515=1),AB1514/AE1514*v01_DaughterShare&gt;=v01_MinDaughter),MAX(1,ROUND(AE1514*v01_FissionRate,0)),0)</x:f>
        <x:v>0</x:v>
      </x:c>
      <x:c r="AE1515" s="8" t="n">
        <x:f>IF(H1515=1,MAX(1,MIN(INDEX(v01_Smax,G1515),AE1514+AD1515)),AE1514)</x:f>
        <x:v>15</x:v>
      </x:c>
      <x:c r="AF1515" s="8" t="n">
        <x:f>MAX(0,AE1515-AE1514)</x:f>
        <x:v>0</x:v>
      </x:c>
      <x:c r="AG1515" s="9" t="str">
        <x:f>IF(AF1515&gt;0,B1515,"")</x:f>
      </x:c>
      <x:c r="AH1515" s="9" t="n">
        <x:f>IF(F1515&gt;=1,1,(1+v01_LowTiesShare*(AE1515-1))/AE1515)</x:f>
        <x:v>1</x:v>
      </x:c>
      <x:c r="AI1515" s="32" t="n">
        <x:f>(Z1515+v01_ElderCommons*INDEX(LM_Elder,G1515)*AA1515)*AH1515</x:f>
        <x:v>64139.732591141874</x:v>
      </x:c>
      <x:c r="AJ1515" s="32" t="n">
        <x:f>H1515*v01_CommonsCoef*AI1515^v01_CommonsExp*INDEX(LM_Commons,G1515)</x:f>
        <x:v>0</x:v>
      </x:c>
      <x:c r="AK1515" s="32" t="n">
        <x:f>H1515*v01_RoleScale*Arch_Roles*(AE1515*(INDEX(v01_ElderRolePerSett,G1515)*v01_OutElder*INDEX(LM_Elder,G1515)+INDEX(v01_ShamanPerSett,G1515)*v01_OutShaman)+Z1515*(INDEX(v01_PriestShare,G1515)*v01_OutPriest+INDEX(v01_ScribeShare,G1515)*v01_OutScribe*INDEX(LM_Scribe,G1515)+INDEX(v01_ScholarShare,G1515)*v01_OutScholar*INDEX(LM_Scholar,G1515)+INDEX(v01_ResearcherShare,G1515)*v01_OutResearcher*INDEX(LM_Researcher,G1515)))</x:f>
        <x:v>0</x:v>
      </x:c>
      <x:c r="AL1515" s="32" t="n">
        <x:f>H1515*v01_RoleScale*Arch_Roles*AE1515*INDEX(v01_MonasteryPerSett,G1515)*v01_OutMonastery*INDEX(LM_Monastery,G1515)</x:f>
        <x:v>0</x:v>
      </x:c>
      <x:c r="AM1515" s="32" t="n">
        <x:f>(AJ1515+AK1515+AL1515)/4*INDEX(LM_All,G1515)*INDEX(v01_Boon,G1515)*Arch_Insight</x:f>
        <x:v>0</x:v>
      </x:c>
      <x:c r="AN1515" s="32" t="n">
        <x:f>H1515*(v01_KHPerAdult*Z1515+v01_KHOfCommons*AJ1515/4*INDEX(LM_All,G1515))*v01_KHUsable*Arch_KH</x:f>
        <x:v>0</x:v>
      </x:c>
      <x:c r="AO1515" s="32" t="n">
        <x:f>MIN(AP1514+AN1515,AM1515*v01_KHMaxRatio)</x:f>
        <x:v>0</x:v>
      </x:c>
      <x:c r="AP1515" s="32" t="n">
        <x:f>AP1514+AN1515-AO1515</x:f>
        <x:v>0</x:v>
      </x:c>
      <x:c r="AQ1515" s="32" t="n">
        <x:f>AM1515+AO1515</x:f>
        <x:v>0</x:v>
      </x:c>
      <x:c r="AR1515" s="10" t="n">
        <x:f>IF(H1515=1,INDEX(v01_Req,G1515),0)</x:f>
        <x:v>0</x:v>
      </x:c>
      <x:c r="AS1515" s="32" t="n">
        <x:f>IF(H1515=1,IF(E1515=1,AS1514-AR1514,AS1514)+AQ1515,0)</x:f>
        <x:v>0</x:v>
      </x:c>
      <x:c r="AT1515" s="11" t="n">
        <x:f>IF(AR1515&gt;0,MIN(1,AS1515/AR1515),1)</x:f>
        <x:v>1</x:v>
      </x:c>
      <x:c r="AU1515" s="10" t="n">
        <x:f>AB1515/INDEX(v01_RepScale,G1515)</x:f>
        <x:v>90.09519605746344</x:v>
      </x:c>
      <x:c r="AV1515" s="32" t="n">
        <x:f>AM1515*60/v01_SeasonSeconds</x:f>
        <x:v>0</x:v>
      </x:c>
    </x:row>
    <x:row r="1516">
      <x:c r="A1516" s="8" t="n">
        <x:f>A1515+1</x:f>
        <x:v>1513</x:v>
      </x:c>
      <x:c r="B1516" s="9" t="n">
        <x:f>A1516*v01_SeasonSeconds/60</x:f>
        <x:v>378.25</x:v>
      </x:c>
      <x:c r="C1516" s="9" t="n">
        <x:f>A1516/4</x:f>
        <x:v>378.25</x:v>
      </x:c>
      <x:c r="D1516" s="8" t="n">
        <x:f>IF(MOD(A1516,4)=0,1,0)</x:f>
        <x:v>0</x:v>
      </x:c>
      <x:c r="E1516" s="8" t="n">
        <x:f>IF(AND(F1515&lt;=9,AS1515&gt;=AR1515),1,0)</x:f>
        <x:v>0</x:v>
      </x:c>
      <x:c r="F1516" s="8" t="n">
        <x:f>MIN(10,F1515+E1516)</x:f>
        <x:v>10</x:v>
      </x:c>
      <x:c r="G1516" s="8" t="n">
        <x:f>MIN(F1516,9)+1</x:f>
        <x:v>10</x:v>
      </x:c>
      <x:c r="H1516" s="8" t="n">
        <x:f>IF(F1516&lt;=9,1,0)</x:f>
        <x:v>0</x:v>
      </x:c>
      <x:c r="I1516" s="9" t="n">
        <x:f>MIN(10,F1515+IF(AR1515&gt;0,MIN(1,AS1515/AR1515),1))</x:f>
        <x:v>10</x:v>
      </x:c>
      <x:c r="J1516" s="32" t="n">
        <x:f>INDEX(v01_FoodCap,G1516)*Arch_FoodCap*EXP(v01_CapsByProject*SUMPRODUCT((Cap_Point&lt;=I1516)*(Cap_Kind="Food")*Cap_Ln))</x:f>
        <x:v>12000</x:v>
      </x:c>
      <x:c r="K1516" s="32" t="n">
        <x:f>J1516*MIN(1,v01_LeanBase*EXP(v01_CapsByProject*SUMPRODUCT((Cap_Point&lt;=I1516)*(Cap_Kind="Lean")*Cap_Ln)))</x:f>
        <x:v>12000</x:v>
      </x:c>
      <x:c r="L1516" s="10" t="n">
        <x:f>INDEX(v01_HousingCap,G1516)*EXP(v01_CapsByProject*SUMPRODUCT((Cap_Point&lt;=I1516)*(Cap_Kind="Housing")*Cap_Ln))</x:f>
        <x:v>20000</x:v>
      </x:c>
      <x:c r="M1516" s="10" t="n">
        <x:f>INDEX(v01_GroupCap,G1516)*v01_CohesionFactor*EXP(v01_CapsByProject*SUMPRODUCT((Cap_Point&lt;=I1516)*(Cap_Kind="Group")*Cap_Ln))</x:f>
        <x:v>1000000</x:v>
      </x:c>
      <x:c r="N1516" s="32" t="n">
        <x:f>MIN(J1516,L1516,M1516)</x:f>
        <x:v>12000</x:v>
      </x:c>
      <x:c r="O1516" s="10" t="n">
        <x:f>AE1515*N1516</x:f>
        <x:v>180000</x:v>
      </x:c>
      <x:c r="P1516" s="9" t="n">
        <x:f>MIN(1,(AB1515/(AE1515*IF(v01_GroupInCrowding=1,N1516,MIN(J1516,L1516))))^v01_CrowdingExp)</x:f>
        <x:v>0.00024569414295285325</x:v>
      </x:c>
      <x:c r="Q1516" s="9" t="n">
        <x:f>IF(D1516=1,INDEX(v01_WinterMult,G1516),1)</x:f>
        <x:v>1</x:v>
      </x:c>
      <x:c r="R1516" s="9" t="n">
        <x:f>H1516*Z1515*v01_WomenShare*v01_BaseFertility*INDEX(v01_FertMult,G1516)*Arch_Fertility*(1-P1516)</x:f>
        <x:v>0</x:v>
      </x:c>
      <x:c r="S1516" s="9" t="n">
        <x:f>H1516*Y1515*INDEX(v01_MortChild,G1516)/4*Q1516</x:f>
        <x:v>0</x:v>
      </x:c>
      <x:c r="T1516" s="9" t="n">
        <x:f>H1516*Z1515*INDEX(v01_MortAdult,G1516)*Arch_AdultMort/4*Q1516</x:f>
        <x:v>0</x:v>
      </x:c>
      <x:c r="U1516" s="9" t="n">
        <x:f>H1516*AA1515*INDEX(v01_MortElder,G1516)/4*Q1516</x:f>
        <x:v>0</x:v>
      </x:c>
      <x:c r="V1516" s="9" t="n">
        <x:f>H1516*MAX(0,AB1515-O1516)*v01_OvercapLoss</x:f>
        <x:v>0</x:v>
      </x:c>
      <x:c r="W1516" s="9" t="n">
        <x:f>H1516*Y1515/(v01_ChildYears*4)</x:f>
        <x:v>0</x:v>
      </x:c>
      <x:c r="X1516" s="9" t="n">
        <x:f>H1516*Z1515/(v01_AdultYears*4)</x:f>
        <x:v>0</x:v>
      </x:c>
      <x:c r="Y1516" s="32" t="n">
        <x:f>Y1515+R1516-S1516-W1516-Y1515*V1516/AB1515</x:f>
        <x:v>14306.18539759397</x:v>
      </x:c>
      <x:c r="Z1516" s="32" t="n">
        <x:f>Z1515+W1516-X1516-T1516-Z1515*V1516/AB1515</x:f>
        <x:v>19354.456567879548</x:v>
      </x:c>
      <x:c r="AA1516" s="32" t="n">
        <x:f>AA1515+X1516-U1516-AA1515*V1516/AB1515</x:f>
        <x:v>11386.956063258198</x:v>
      </x:c>
      <x:c r="AB1516" s="10" t="n">
        <x:f>Y1516+Z1516+AA1516</x:f>
        <x:v>45047.59802873172</x:v>
      </x:c>
      <x:c r="AC1516" s="8" t="n">
        <x:f>IF(AND(v01_WinterTrigger=1,D1516=1,AB1515/AE1515&gt;=K1516),1,0)</x:f>
        <x:v>0</x:v>
      </x:c>
      <x:c r="AD1516" s="8" t="n">
        <x:f>H1516*IF(AND(OR(AB1515/AE1515&gt;=v01_FissionTrigger*N1516,AC1516=1),AB1515/AE1515*v01_DaughterShare&gt;=v01_MinDaughter),MAX(1,ROUND(AE1515*v01_FissionRate,0)),0)</x:f>
        <x:v>0</x:v>
      </x:c>
      <x:c r="AE1516" s="8" t="n">
        <x:f>IF(H1516=1,MAX(1,MIN(INDEX(v01_Smax,G1516),AE1515+AD1516)),AE1515)</x:f>
        <x:v>15</x:v>
      </x:c>
      <x:c r="AF1516" s="8" t="n">
        <x:f>MAX(0,AE1516-AE1515)</x:f>
        <x:v>0</x:v>
      </x:c>
      <x:c r="AG1516" s="9" t="str">
        <x:f>IF(AF1516&gt;0,B1516,"")</x:f>
      </x:c>
      <x:c r="AH1516" s="9" t="n">
        <x:f>IF(F1516&gt;=1,1,(1+v01_LowTiesShare*(AE1516-1))/AE1516)</x:f>
        <x:v>1</x:v>
      </x:c>
      <x:c r="AI1516" s="32" t="n">
        <x:f>(Z1516+v01_ElderCommons*INDEX(LM_Elder,G1516)*AA1516)*AH1516</x:f>
        <x:v>64139.732591141874</x:v>
      </x:c>
      <x:c r="AJ1516" s="32" t="n">
        <x:f>H1516*v01_CommonsCoef*AI1516^v01_CommonsExp*INDEX(LM_Commons,G1516)</x:f>
        <x:v>0</x:v>
      </x:c>
      <x:c r="AK1516" s="32" t="n">
        <x:f>H1516*v01_RoleScale*Arch_Roles*(AE1516*(INDEX(v01_ElderRolePerSett,G1516)*v01_OutElder*INDEX(LM_Elder,G1516)+INDEX(v01_ShamanPerSett,G1516)*v01_OutShaman)+Z1516*(INDEX(v01_PriestShare,G1516)*v01_OutPriest+INDEX(v01_ScribeShare,G1516)*v01_OutScribe*INDEX(LM_Scribe,G1516)+INDEX(v01_ScholarShare,G1516)*v01_OutScholar*INDEX(LM_Scholar,G1516)+INDEX(v01_ResearcherShare,G1516)*v01_OutResearcher*INDEX(LM_Researcher,G1516)))</x:f>
        <x:v>0</x:v>
      </x:c>
      <x:c r="AL1516" s="32" t="n">
        <x:f>H1516*v01_RoleScale*Arch_Roles*AE1516*INDEX(v01_MonasteryPerSett,G1516)*v01_OutMonastery*INDEX(LM_Monastery,G1516)</x:f>
        <x:v>0</x:v>
      </x:c>
      <x:c r="AM1516" s="32" t="n">
        <x:f>(AJ1516+AK1516+AL1516)/4*INDEX(LM_All,G1516)*INDEX(v01_Boon,G1516)*Arch_Insight</x:f>
        <x:v>0</x:v>
      </x:c>
      <x:c r="AN1516" s="32" t="n">
        <x:f>H1516*(v01_KHPerAdult*Z1516+v01_KHOfCommons*AJ1516/4*INDEX(LM_All,G1516))*v01_KHUsable*Arch_KH</x:f>
        <x:v>0</x:v>
      </x:c>
      <x:c r="AO1516" s="32" t="n">
        <x:f>MIN(AP1515+AN1516,AM1516*v01_KHMaxRatio)</x:f>
        <x:v>0</x:v>
      </x:c>
      <x:c r="AP1516" s="32" t="n">
        <x:f>AP1515+AN1516-AO1516</x:f>
        <x:v>0</x:v>
      </x:c>
      <x:c r="AQ1516" s="32" t="n">
        <x:f>AM1516+AO1516</x:f>
        <x:v>0</x:v>
      </x:c>
      <x:c r="AR1516" s="10" t="n">
        <x:f>IF(H1516=1,INDEX(v01_Req,G1516),0)</x:f>
        <x:v>0</x:v>
      </x:c>
      <x:c r="AS1516" s="32" t="n">
        <x:f>IF(H1516=1,IF(E1516=1,AS1515-AR1515,AS1515)+AQ1516,0)</x:f>
        <x:v>0</x:v>
      </x:c>
      <x:c r="AT1516" s="11" t="n">
        <x:f>IF(AR1516&gt;0,MIN(1,AS1516/AR1516),1)</x:f>
        <x:v>1</x:v>
      </x:c>
      <x:c r="AU1516" s="10" t="n">
        <x:f>AB1516/INDEX(v01_RepScale,G1516)</x:f>
        <x:v>90.09519605746344</x:v>
      </x:c>
      <x:c r="AV1516" s="32" t="n">
        <x:f>AM1516*60/v01_SeasonSeconds</x:f>
        <x:v>0</x:v>
      </x:c>
    </x:row>
    <x:row r="1517">
      <x:c r="A1517" s="8" t="n">
        <x:f>A1516+1</x:f>
        <x:v>1514</x:v>
      </x:c>
      <x:c r="B1517" s="9" t="n">
        <x:f>A1517*v01_SeasonSeconds/60</x:f>
        <x:v>378.5</x:v>
      </x:c>
      <x:c r="C1517" s="9" t="n">
        <x:f>A1517/4</x:f>
        <x:v>378.5</x:v>
      </x:c>
      <x:c r="D1517" s="8" t="n">
        <x:f>IF(MOD(A1517,4)=0,1,0)</x:f>
        <x:v>0</x:v>
      </x:c>
      <x:c r="E1517" s="8" t="n">
        <x:f>IF(AND(F1516&lt;=9,AS1516&gt;=AR1516),1,0)</x:f>
        <x:v>0</x:v>
      </x:c>
      <x:c r="F1517" s="8" t="n">
        <x:f>MIN(10,F1516+E1517)</x:f>
        <x:v>10</x:v>
      </x:c>
      <x:c r="G1517" s="8" t="n">
        <x:f>MIN(F1517,9)+1</x:f>
        <x:v>10</x:v>
      </x:c>
      <x:c r="H1517" s="8" t="n">
        <x:f>IF(F1517&lt;=9,1,0)</x:f>
        <x:v>0</x:v>
      </x:c>
      <x:c r="I1517" s="9" t="n">
        <x:f>MIN(10,F1516+IF(AR1516&gt;0,MIN(1,AS1516/AR1516),1))</x:f>
        <x:v>10</x:v>
      </x:c>
      <x:c r="J1517" s="32" t="n">
        <x:f>INDEX(v01_FoodCap,G1517)*Arch_FoodCap*EXP(v01_CapsByProject*SUMPRODUCT((Cap_Point&lt;=I1517)*(Cap_Kind="Food")*Cap_Ln))</x:f>
        <x:v>12000</x:v>
      </x:c>
      <x:c r="K1517" s="32" t="n">
        <x:f>J1517*MIN(1,v01_LeanBase*EXP(v01_CapsByProject*SUMPRODUCT((Cap_Point&lt;=I1517)*(Cap_Kind="Lean")*Cap_Ln)))</x:f>
        <x:v>12000</x:v>
      </x:c>
      <x:c r="L1517" s="10" t="n">
        <x:f>INDEX(v01_HousingCap,G1517)*EXP(v01_CapsByProject*SUMPRODUCT((Cap_Point&lt;=I1517)*(Cap_Kind="Housing")*Cap_Ln))</x:f>
        <x:v>20000</x:v>
      </x:c>
      <x:c r="M1517" s="10" t="n">
        <x:f>INDEX(v01_GroupCap,G1517)*v01_CohesionFactor*EXP(v01_CapsByProject*SUMPRODUCT((Cap_Point&lt;=I1517)*(Cap_Kind="Group")*Cap_Ln))</x:f>
        <x:v>1000000</x:v>
      </x:c>
      <x:c r="N1517" s="32" t="n">
        <x:f>MIN(J1517,L1517,M1517)</x:f>
        <x:v>12000</x:v>
      </x:c>
      <x:c r="O1517" s="10" t="n">
        <x:f>AE1516*N1517</x:f>
        <x:v>180000</x:v>
      </x:c>
      <x:c r="P1517" s="9" t="n">
        <x:f>MIN(1,(AB1516/(AE1516*IF(v01_GroupInCrowding=1,N1517,MIN(J1517,L1517))))^v01_CrowdingExp)</x:f>
        <x:v>0.00024569414295285325</x:v>
      </x:c>
      <x:c r="Q1517" s="9" t="n">
        <x:f>IF(D1517=1,INDEX(v01_WinterMult,G1517),1)</x:f>
        <x:v>1</x:v>
      </x:c>
      <x:c r="R1517" s="9" t="n">
        <x:f>H1517*Z1516*v01_WomenShare*v01_BaseFertility*INDEX(v01_FertMult,G1517)*Arch_Fertility*(1-P1517)</x:f>
        <x:v>0</x:v>
      </x:c>
      <x:c r="S1517" s="9" t="n">
        <x:f>H1517*Y1516*INDEX(v01_MortChild,G1517)/4*Q1517</x:f>
        <x:v>0</x:v>
      </x:c>
      <x:c r="T1517" s="9" t="n">
        <x:f>H1517*Z1516*INDEX(v01_MortAdult,G1517)*Arch_AdultMort/4*Q1517</x:f>
        <x:v>0</x:v>
      </x:c>
      <x:c r="U1517" s="9" t="n">
        <x:f>H1517*AA1516*INDEX(v01_MortElder,G1517)/4*Q1517</x:f>
        <x:v>0</x:v>
      </x:c>
      <x:c r="V1517" s="9" t="n">
        <x:f>H1517*MAX(0,AB1516-O1517)*v01_OvercapLoss</x:f>
        <x:v>0</x:v>
      </x:c>
      <x:c r="W1517" s="9" t="n">
        <x:f>H1517*Y1516/(v01_ChildYears*4)</x:f>
        <x:v>0</x:v>
      </x:c>
      <x:c r="X1517" s="9" t="n">
        <x:f>H1517*Z1516/(v01_AdultYears*4)</x:f>
        <x:v>0</x:v>
      </x:c>
      <x:c r="Y1517" s="32" t="n">
        <x:f>Y1516+R1517-S1517-W1517-Y1516*V1517/AB1516</x:f>
        <x:v>14306.18539759397</x:v>
      </x:c>
      <x:c r="Z1517" s="32" t="n">
        <x:f>Z1516+W1517-X1517-T1517-Z1516*V1517/AB1516</x:f>
        <x:v>19354.456567879548</x:v>
      </x:c>
      <x:c r="AA1517" s="32" t="n">
        <x:f>AA1516+X1517-U1517-AA1516*V1517/AB1516</x:f>
        <x:v>11386.956063258198</x:v>
      </x:c>
      <x:c r="AB1517" s="10" t="n">
        <x:f>Y1517+Z1517+AA1517</x:f>
        <x:v>45047.59802873172</x:v>
      </x:c>
      <x:c r="AC1517" s="8" t="n">
        <x:f>IF(AND(v01_WinterTrigger=1,D1517=1,AB1516/AE1516&gt;=K1517),1,0)</x:f>
        <x:v>0</x:v>
      </x:c>
      <x:c r="AD1517" s="8" t="n">
        <x:f>H1517*IF(AND(OR(AB1516/AE1516&gt;=v01_FissionTrigger*N1517,AC1517=1),AB1516/AE1516*v01_DaughterShare&gt;=v01_MinDaughter),MAX(1,ROUND(AE1516*v01_FissionRate,0)),0)</x:f>
        <x:v>0</x:v>
      </x:c>
      <x:c r="AE1517" s="8" t="n">
        <x:f>IF(H1517=1,MAX(1,MIN(INDEX(v01_Smax,G1517),AE1516+AD1517)),AE1516)</x:f>
        <x:v>15</x:v>
      </x:c>
      <x:c r="AF1517" s="8" t="n">
        <x:f>MAX(0,AE1517-AE1516)</x:f>
        <x:v>0</x:v>
      </x:c>
      <x:c r="AG1517" s="9" t="str">
        <x:f>IF(AF1517&gt;0,B1517,"")</x:f>
      </x:c>
      <x:c r="AH1517" s="9" t="n">
        <x:f>IF(F1517&gt;=1,1,(1+v01_LowTiesShare*(AE1517-1))/AE1517)</x:f>
        <x:v>1</x:v>
      </x:c>
      <x:c r="AI1517" s="32" t="n">
        <x:f>(Z1517+v01_ElderCommons*INDEX(LM_Elder,G1517)*AA1517)*AH1517</x:f>
        <x:v>64139.732591141874</x:v>
      </x:c>
      <x:c r="AJ1517" s="32" t="n">
        <x:f>H1517*v01_CommonsCoef*AI1517^v01_CommonsExp*INDEX(LM_Commons,G1517)</x:f>
        <x:v>0</x:v>
      </x:c>
      <x:c r="AK1517" s="32" t="n">
        <x:f>H1517*v01_RoleScale*Arch_Roles*(AE1517*(INDEX(v01_ElderRolePerSett,G1517)*v01_OutElder*INDEX(LM_Elder,G1517)+INDEX(v01_ShamanPerSett,G1517)*v01_OutShaman)+Z1517*(INDEX(v01_PriestShare,G1517)*v01_OutPriest+INDEX(v01_ScribeShare,G1517)*v01_OutScribe*INDEX(LM_Scribe,G1517)+INDEX(v01_ScholarShare,G1517)*v01_OutScholar*INDEX(LM_Scholar,G1517)+INDEX(v01_ResearcherShare,G1517)*v01_OutResearcher*INDEX(LM_Researcher,G1517)))</x:f>
        <x:v>0</x:v>
      </x:c>
      <x:c r="AL1517" s="32" t="n">
        <x:f>H1517*v01_RoleScale*Arch_Roles*AE1517*INDEX(v01_MonasteryPerSett,G1517)*v01_OutMonastery*INDEX(LM_Monastery,G1517)</x:f>
        <x:v>0</x:v>
      </x:c>
      <x:c r="AM1517" s="32" t="n">
        <x:f>(AJ1517+AK1517+AL1517)/4*INDEX(LM_All,G1517)*INDEX(v01_Boon,G1517)*Arch_Insight</x:f>
        <x:v>0</x:v>
      </x:c>
      <x:c r="AN1517" s="32" t="n">
        <x:f>H1517*(v01_KHPerAdult*Z1517+v01_KHOfCommons*AJ1517/4*INDEX(LM_All,G1517))*v01_KHUsable*Arch_KH</x:f>
        <x:v>0</x:v>
      </x:c>
      <x:c r="AO1517" s="32" t="n">
        <x:f>MIN(AP1516+AN1517,AM1517*v01_KHMaxRatio)</x:f>
        <x:v>0</x:v>
      </x:c>
      <x:c r="AP1517" s="32" t="n">
        <x:f>AP1516+AN1517-AO1517</x:f>
        <x:v>0</x:v>
      </x:c>
      <x:c r="AQ1517" s="32" t="n">
        <x:f>AM1517+AO1517</x:f>
        <x:v>0</x:v>
      </x:c>
      <x:c r="AR1517" s="10" t="n">
        <x:f>IF(H1517=1,INDEX(v01_Req,G1517),0)</x:f>
        <x:v>0</x:v>
      </x:c>
      <x:c r="AS1517" s="32" t="n">
        <x:f>IF(H1517=1,IF(E1517=1,AS1516-AR1516,AS1516)+AQ1517,0)</x:f>
        <x:v>0</x:v>
      </x:c>
      <x:c r="AT1517" s="11" t="n">
        <x:f>IF(AR1517&gt;0,MIN(1,AS1517/AR1517),1)</x:f>
        <x:v>1</x:v>
      </x:c>
      <x:c r="AU1517" s="10" t="n">
        <x:f>AB1517/INDEX(v01_RepScale,G1517)</x:f>
        <x:v>90.09519605746344</x:v>
      </x:c>
      <x:c r="AV1517" s="32" t="n">
        <x:f>AM1517*60/v01_SeasonSeconds</x:f>
        <x:v>0</x:v>
      </x:c>
    </x:row>
    <x:row r="1518">
      <x:c r="A1518" s="8" t="n">
        <x:f>A1517+1</x:f>
        <x:v>1515</x:v>
      </x:c>
      <x:c r="B1518" s="9" t="n">
        <x:f>A1518*v01_SeasonSeconds/60</x:f>
        <x:v>378.75</x:v>
      </x:c>
      <x:c r="C1518" s="9" t="n">
        <x:f>A1518/4</x:f>
        <x:v>378.75</x:v>
      </x:c>
      <x:c r="D1518" s="8" t="n">
        <x:f>IF(MOD(A1518,4)=0,1,0)</x:f>
        <x:v>0</x:v>
      </x:c>
      <x:c r="E1518" s="8" t="n">
        <x:f>IF(AND(F1517&lt;=9,AS1517&gt;=AR1517),1,0)</x:f>
        <x:v>0</x:v>
      </x:c>
      <x:c r="F1518" s="8" t="n">
        <x:f>MIN(10,F1517+E1518)</x:f>
        <x:v>10</x:v>
      </x:c>
      <x:c r="G1518" s="8" t="n">
        <x:f>MIN(F1518,9)+1</x:f>
        <x:v>10</x:v>
      </x:c>
      <x:c r="H1518" s="8" t="n">
        <x:f>IF(F1518&lt;=9,1,0)</x:f>
        <x:v>0</x:v>
      </x:c>
      <x:c r="I1518" s="9" t="n">
        <x:f>MIN(10,F1517+IF(AR1517&gt;0,MIN(1,AS1517/AR1517),1))</x:f>
        <x:v>10</x:v>
      </x:c>
      <x:c r="J1518" s="32" t="n">
        <x:f>INDEX(v01_FoodCap,G1518)*Arch_FoodCap*EXP(v01_CapsByProject*SUMPRODUCT((Cap_Point&lt;=I1518)*(Cap_Kind="Food")*Cap_Ln))</x:f>
        <x:v>12000</x:v>
      </x:c>
      <x:c r="K1518" s="32" t="n">
        <x:f>J1518*MIN(1,v01_LeanBase*EXP(v01_CapsByProject*SUMPRODUCT((Cap_Point&lt;=I1518)*(Cap_Kind="Lean")*Cap_Ln)))</x:f>
        <x:v>12000</x:v>
      </x:c>
      <x:c r="L1518" s="10" t="n">
        <x:f>INDEX(v01_HousingCap,G1518)*EXP(v01_CapsByProject*SUMPRODUCT((Cap_Point&lt;=I1518)*(Cap_Kind="Housing")*Cap_Ln))</x:f>
        <x:v>20000</x:v>
      </x:c>
      <x:c r="M1518" s="10" t="n">
        <x:f>INDEX(v01_GroupCap,G1518)*v01_CohesionFactor*EXP(v01_CapsByProject*SUMPRODUCT((Cap_Point&lt;=I1518)*(Cap_Kind="Group")*Cap_Ln))</x:f>
        <x:v>1000000</x:v>
      </x:c>
      <x:c r="N1518" s="32" t="n">
        <x:f>MIN(J1518,L1518,M1518)</x:f>
        <x:v>12000</x:v>
      </x:c>
      <x:c r="O1518" s="10" t="n">
        <x:f>AE1517*N1518</x:f>
        <x:v>180000</x:v>
      </x:c>
      <x:c r="P1518" s="9" t="n">
        <x:f>MIN(1,(AB1517/(AE1517*IF(v01_GroupInCrowding=1,N1518,MIN(J1518,L1518))))^v01_CrowdingExp)</x:f>
        <x:v>0.00024569414295285325</x:v>
      </x:c>
      <x:c r="Q1518" s="9" t="n">
        <x:f>IF(D1518=1,INDEX(v01_WinterMult,G1518),1)</x:f>
        <x:v>1</x:v>
      </x:c>
      <x:c r="R1518" s="9" t="n">
        <x:f>H1518*Z1517*v01_WomenShare*v01_BaseFertility*INDEX(v01_FertMult,G1518)*Arch_Fertility*(1-P1518)</x:f>
        <x:v>0</x:v>
      </x:c>
      <x:c r="S1518" s="9" t="n">
        <x:f>H1518*Y1517*INDEX(v01_MortChild,G1518)/4*Q1518</x:f>
        <x:v>0</x:v>
      </x:c>
      <x:c r="T1518" s="9" t="n">
        <x:f>H1518*Z1517*INDEX(v01_MortAdult,G1518)*Arch_AdultMort/4*Q1518</x:f>
        <x:v>0</x:v>
      </x:c>
      <x:c r="U1518" s="9" t="n">
        <x:f>H1518*AA1517*INDEX(v01_MortElder,G1518)/4*Q1518</x:f>
        <x:v>0</x:v>
      </x:c>
      <x:c r="V1518" s="9" t="n">
        <x:f>H1518*MAX(0,AB1517-O1518)*v01_OvercapLoss</x:f>
        <x:v>0</x:v>
      </x:c>
      <x:c r="W1518" s="9" t="n">
        <x:f>H1518*Y1517/(v01_ChildYears*4)</x:f>
        <x:v>0</x:v>
      </x:c>
      <x:c r="X1518" s="9" t="n">
        <x:f>H1518*Z1517/(v01_AdultYears*4)</x:f>
        <x:v>0</x:v>
      </x:c>
      <x:c r="Y1518" s="32" t="n">
        <x:f>Y1517+R1518-S1518-W1518-Y1517*V1518/AB1517</x:f>
        <x:v>14306.18539759397</x:v>
      </x:c>
      <x:c r="Z1518" s="32" t="n">
        <x:f>Z1517+W1518-X1518-T1518-Z1517*V1518/AB1517</x:f>
        <x:v>19354.456567879548</x:v>
      </x:c>
      <x:c r="AA1518" s="32" t="n">
        <x:f>AA1517+X1518-U1518-AA1517*V1518/AB1517</x:f>
        <x:v>11386.956063258198</x:v>
      </x:c>
      <x:c r="AB1518" s="10" t="n">
        <x:f>Y1518+Z1518+AA1518</x:f>
        <x:v>45047.59802873172</x:v>
      </x:c>
      <x:c r="AC1518" s="8" t="n">
        <x:f>IF(AND(v01_WinterTrigger=1,D1518=1,AB1517/AE1517&gt;=K1518),1,0)</x:f>
        <x:v>0</x:v>
      </x:c>
      <x:c r="AD1518" s="8" t="n">
        <x:f>H1518*IF(AND(OR(AB1517/AE1517&gt;=v01_FissionTrigger*N1518,AC1518=1),AB1517/AE1517*v01_DaughterShare&gt;=v01_MinDaughter),MAX(1,ROUND(AE1517*v01_FissionRate,0)),0)</x:f>
        <x:v>0</x:v>
      </x:c>
      <x:c r="AE1518" s="8" t="n">
        <x:f>IF(H1518=1,MAX(1,MIN(INDEX(v01_Smax,G1518),AE1517+AD1518)),AE1517)</x:f>
        <x:v>15</x:v>
      </x:c>
      <x:c r="AF1518" s="8" t="n">
        <x:f>MAX(0,AE1518-AE1517)</x:f>
        <x:v>0</x:v>
      </x:c>
      <x:c r="AG1518" s="9" t="str">
        <x:f>IF(AF1518&gt;0,B1518,"")</x:f>
      </x:c>
      <x:c r="AH1518" s="9" t="n">
        <x:f>IF(F1518&gt;=1,1,(1+v01_LowTiesShare*(AE1518-1))/AE1518)</x:f>
        <x:v>1</x:v>
      </x:c>
      <x:c r="AI1518" s="32" t="n">
        <x:f>(Z1518+v01_ElderCommons*INDEX(LM_Elder,G1518)*AA1518)*AH1518</x:f>
        <x:v>64139.732591141874</x:v>
      </x:c>
      <x:c r="AJ1518" s="32" t="n">
        <x:f>H1518*v01_CommonsCoef*AI1518^v01_CommonsExp*INDEX(LM_Commons,G1518)</x:f>
        <x:v>0</x:v>
      </x:c>
      <x:c r="AK1518" s="32" t="n">
        <x:f>H1518*v01_RoleScale*Arch_Roles*(AE1518*(INDEX(v01_ElderRolePerSett,G1518)*v01_OutElder*INDEX(LM_Elder,G1518)+INDEX(v01_ShamanPerSett,G1518)*v01_OutShaman)+Z1518*(INDEX(v01_PriestShare,G1518)*v01_OutPriest+INDEX(v01_ScribeShare,G1518)*v01_OutScribe*INDEX(LM_Scribe,G1518)+INDEX(v01_ScholarShare,G1518)*v01_OutScholar*INDEX(LM_Scholar,G1518)+INDEX(v01_ResearcherShare,G1518)*v01_OutResearcher*INDEX(LM_Researcher,G1518)))</x:f>
        <x:v>0</x:v>
      </x:c>
      <x:c r="AL1518" s="32" t="n">
        <x:f>H1518*v01_RoleScale*Arch_Roles*AE1518*INDEX(v01_MonasteryPerSett,G1518)*v01_OutMonastery*INDEX(LM_Monastery,G1518)</x:f>
        <x:v>0</x:v>
      </x:c>
      <x:c r="AM1518" s="32" t="n">
        <x:f>(AJ1518+AK1518+AL1518)/4*INDEX(LM_All,G1518)*INDEX(v01_Boon,G1518)*Arch_Insight</x:f>
        <x:v>0</x:v>
      </x:c>
      <x:c r="AN1518" s="32" t="n">
        <x:f>H1518*(v01_KHPerAdult*Z1518+v01_KHOfCommons*AJ1518/4*INDEX(LM_All,G1518))*v01_KHUsable*Arch_KH</x:f>
        <x:v>0</x:v>
      </x:c>
      <x:c r="AO1518" s="32" t="n">
        <x:f>MIN(AP1517+AN1518,AM1518*v01_KHMaxRatio)</x:f>
        <x:v>0</x:v>
      </x:c>
      <x:c r="AP1518" s="32" t="n">
        <x:f>AP1517+AN1518-AO1518</x:f>
        <x:v>0</x:v>
      </x:c>
      <x:c r="AQ1518" s="32" t="n">
        <x:f>AM1518+AO1518</x:f>
        <x:v>0</x:v>
      </x:c>
      <x:c r="AR1518" s="10" t="n">
        <x:f>IF(H1518=1,INDEX(v01_Req,G1518),0)</x:f>
        <x:v>0</x:v>
      </x:c>
      <x:c r="AS1518" s="32" t="n">
        <x:f>IF(H1518=1,IF(E1518=1,AS1517-AR1517,AS1517)+AQ1518,0)</x:f>
        <x:v>0</x:v>
      </x:c>
      <x:c r="AT1518" s="11" t="n">
        <x:f>IF(AR1518&gt;0,MIN(1,AS1518/AR1518),1)</x:f>
        <x:v>1</x:v>
      </x:c>
      <x:c r="AU1518" s="10" t="n">
        <x:f>AB1518/INDEX(v01_RepScale,G1518)</x:f>
        <x:v>90.09519605746344</x:v>
      </x:c>
      <x:c r="AV1518" s="32" t="n">
        <x:f>AM1518*60/v01_SeasonSeconds</x:f>
        <x:v>0</x:v>
      </x:c>
    </x:row>
    <x:row r="1519">
      <x:c r="A1519" s="8" t="n">
        <x:f>A1518+1</x:f>
        <x:v>1516</x:v>
      </x:c>
      <x:c r="B1519" s="9" t="n">
        <x:f>A1519*v01_SeasonSeconds/60</x:f>
        <x:v>379</x:v>
      </x:c>
      <x:c r="C1519" s="9" t="n">
        <x:f>A1519/4</x:f>
        <x:v>379</x:v>
      </x:c>
      <x:c r="D1519" s="8" t="n">
        <x:f>IF(MOD(A1519,4)=0,1,0)</x:f>
        <x:v>1</x:v>
      </x:c>
      <x:c r="E1519" s="8" t="n">
        <x:f>IF(AND(F1518&lt;=9,AS1518&gt;=AR1518),1,0)</x:f>
        <x:v>0</x:v>
      </x:c>
      <x:c r="F1519" s="8" t="n">
        <x:f>MIN(10,F1518+E1519)</x:f>
        <x:v>10</x:v>
      </x:c>
      <x:c r="G1519" s="8" t="n">
        <x:f>MIN(F1519,9)+1</x:f>
        <x:v>10</x:v>
      </x:c>
      <x:c r="H1519" s="8" t="n">
        <x:f>IF(F1519&lt;=9,1,0)</x:f>
        <x:v>0</x:v>
      </x:c>
      <x:c r="I1519" s="9" t="n">
        <x:f>MIN(10,F1518+IF(AR1518&gt;0,MIN(1,AS1518/AR1518),1))</x:f>
        <x:v>10</x:v>
      </x:c>
      <x:c r="J1519" s="32" t="n">
        <x:f>INDEX(v01_FoodCap,G1519)*Arch_FoodCap*EXP(v01_CapsByProject*SUMPRODUCT((Cap_Point&lt;=I1519)*(Cap_Kind="Food")*Cap_Ln))</x:f>
        <x:v>12000</x:v>
      </x:c>
      <x:c r="K1519" s="32" t="n">
        <x:f>J1519*MIN(1,v01_LeanBase*EXP(v01_CapsByProject*SUMPRODUCT((Cap_Point&lt;=I1519)*(Cap_Kind="Lean")*Cap_Ln)))</x:f>
        <x:v>12000</x:v>
      </x:c>
      <x:c r="L1519" s="10" t="n">
        <x:f>INDEX(v01_HousingCap,G1519)*EXP(v01_CapsByProject*SUMPRODUCT((Cap_Point&lt;=I1519)*(Cap_Kind="Housing")*Cap_Ln))</x:f>
        <x:v>20000</x:v>
      </x:c>
      <x:c r="M1519" s="10" t="n">
        <x:f>INDEX(v01_GroupCap,G1519)*v01_CohesionFactor*EXP(v01_CapsByProject*SUMPRODUCT((Cap_Point&lt;=I1519)*(Cap_Kind="Group")*Cap_Ln))</x:f>
        <x:v>1000000</x:v>
      </x:c>
      <x:c r="N1519" s="32" t="n">
        <x:f>MIN(J1519,L1519,M1519)</x:f>
        <x:v>12000</x:v>
      </x:c>
      <x:c r="O1519" s="10" t="n">
        <x:f>AE1518*N1519</x:f>
        <x:v>180000</x:v>
      </x:c>
      <x:c r="P1519" s="9" t="n">
        <x:f>MIN(1,(AB1518/(AE1518*IF(v01_GroupInCrowding=1,N1519,MIN(J1519,L1519))))^v01_CrowdingExp)</x:f>
        <x:v>0.00024569414295285325</x:v>
      </x:c>
      <x:c r="Q1519" s="9" t="n">
        <x:f>IF(D1519=1,INDEX(v01_WinterMult,G1519),1)</x:f>
        <x:v>1</x:v>
      </x:c>
      <x:c r="R1519" s="9" t="n">
        <x:f>H1519*Z1518*v01_WomenShare*v01_BaseFertility*INDEX(v01_FertMult,G1519)*Arch_Fertility*(1-P1519)</x:f>
        <x:v>0</x:v>
      </x:c>
      <x:c r="S1519" s="9" t="n">
        <x:f>H1519*Y1518*INDEX(v01_MortChild,G1519)/4*Q1519</x:f>
        <x:v>0</x:v>
      </x:c>
      <x:c r="T1519" s="9" t="n">
        <x:f>H1519*Z1518*INDEX(v01_MortAdult,G1519)*Arch_AdultMort/4*Q1519</x:f>
        <x:v>0</x:v>
      </x:c>
      <x:c r="U1519" s="9" t="n">
        <x:f>H1519*AA1518*INDEX(v01_MortElder,G1519)/4*Q1519</x:f>
        <x:v>0</x:v>
      </x:c>
      <x:c r="V1519" s="9" t="n">
        <x:f>H1519*MAX(0,AB1518-O1519)*v01_OvercapLoss</x:f>
        <x:v>0</x:v>
      </x:c>
      <x:c r="W1519" s="9" t="n">
        <x:f>H1519*Y1518/(v01_ChildYears*4)</x:f>
        <x:v>0</x:v>
      </x:c>
      <x:c r="X1519" s="9" t="n">
        <x:f>H1519*Z1518/(v01_AdultYears*4)</x:f>
        <x:v>0</x:v>
      </x:c>
      <x:c r="Y1519" s="32" t="n">
        <x:f>Y1518+R1519-S1519-W1519-Y1518*V1519/AB1518</x:f>
        <x:v>14306.18539759397</x:v>
      </x:c>
      <x:c r="Z1519" s="32" t="n">
        <x:f>Z1518+W1519-X1519-T1519-Z1518*V1519/AB1518</x:f>
        <x:v>19354.456567879548</x:v>
      </x:c>
      <x:c r="AA1519" s="32" t="n">
        <x:f>AA1518+X1519-U1519-AA1518*V1519/AB1518</x:f>
        <x:v>11386.956063258198</x:v>
      </x:c>
      <x:c r="AB1519" s="10" t="n">
        <x:f>Y1519+Z1519+AA1519</x:f>
        <x:v>45047.59802873172</x:v>
      </x:c>
      <x:c r="AC1519" s="8" t="n">
        <x:f>IF(AND(v01_WinterTrigger=1,D1519=1,AB1518/AE1518&gt;=K1519),1,0)</x:f>
        <x:v>0</x:v>
      </x:c>
      <x:c r="AD1519" s="8" t="n">
        <x:f>H1519*IF(AND(OR(AB1518/AE1518&gt;=v01_FissionTrigger*N1519,AC1519=1),AB1518/AE1518*v01_DaughterShare&gt;=v01_MinDaughter),MAX(1,ROUND(AE1518*v01_FissionRate,0)),0)</x:f>
        <x:v>0</x:v>
      </x:c>
      <x:c r="AE1519" s="8" t="n">
        <x:f>IF(H1519=1,MAX(1,MIN(INDEX(v01_Smax,G1519),AE1518+AD1519)),AE1518)</x:f>
        <x:v>15</x:v>
      </x:c>
      <x:c r="AF1519" s="8" t="n">
        <x:f>MAX(0,AE1519-AE1518)</x:f>
        <x:v>0</x:v>
      </x:c>
      <x:c r="AG1519" s="9" t="str">
        <x:f>IF(AF1519&gt;0,B1519,"")</x:f>
      </x:c>
      <x:c r="AH1519" s="9" t="n">
        <x:f>IF(F1519&gt;=1,1,(1+v01_LowTiesShare*(AE1519-1))/AE1519)</x:f>
        <x:v>1</x:v>
      </x:c>
      <x:c r="AI1519" s="32" t="n">
        <x:f>(Z1519+v01_ElderCommons*INDEX(LM_Elder,G1519)*AA1519)*AH1519</x:f>
        <x:v>64139.732591141874</x:v>
      </x:c>
      <x:c r="AJ1519" s="32" t="n">
        <x:f>H1519*v01_CommonsCoef*AI1519^v01_CommonsExp*INDEX(LM_Commons,G1519)</x:f>
        <x:v>0</x:v>
      </x:c>
      <x:c r="AK1519" s="32" t="n">
        <x:f>H1519*v01_RoleScale*Arch_Roles*(AE1519*(INDEX(v01_ElderRolePerSett,G1519)*v01_OutElder*INDEX(LM_Elder,G1519)+INDEX(v01_ShamanPerSett,G1519)*v01_OutShaman)+Z1519*(INDEX(v01_PriestShare,G1519)*v01_OutPriest+INDEX(v01_ScribeShare,G1519)*v01_OutScribe*INDEX(LM_Scribe,G1519)+INDEX(v01_ScholarShare,G1519)*v01_OutScholar*INDEX(LM_Scholar,G1519)+INDEX(v01_ResearcherShare,G1519)*v01_OutResearcher*INDEX(LM_Researcher,G1519)))</x:f>
        <x:v>0</x:v>
      </x:c>
      <x:c r="AL1519" s="32" t="n">
        <x:f>H1519*v01_RoleScale*Arch_Roles*AE1519*INDEX(v01_MonasteryPerSett,G1519)*v01_OutMonastery*INDEX(LM_Monastery,G1519)</x:f>
        <x:v>0</x:v>
      </x:c>
      <x:c r="AM1519" s="32" t="n">
        <x:f>(AJ1519+AK1519+AL1519)/4*INDEX(LM_All,G1519)*INDEX(v01_Boon,G1519)*Arch_Insight</x:f>
        <x:v>0</x:v>
      </x:c>
      <x:c r="AN1519" s="32" t="n">
        <x:f>H1519*(v01_KHPerAdult*Z1519+v01_KHOfCommons*AJ1519/4*INDEX(LM_All,G1519))*v01_KHUsable*Arch_KH</x:f>
        <x:v>0</x:v>
      </x:c>
      <x:c r="AO1519" s="32" t="n">
        <x:f>MIN(AP1518+AN1519,AM1519*v01_KHMaxRatio)</x:f>
        <x:v>0</x:v>
      </x:c>
      <x:c r="AP1519" s="32" t="n">
        <x:f>AP1518+AN1519-AO1519</x:f>
        <x:v>0</x:v>
      </x:c>
      <x:c r="AQ1519" s="32" t="n">
        <x:f>AM1519+AO1519</x:f>
        <x:v>0</x:v>
      </x:c>
      <x:c r="AR1519" s="10" t="n">
        <x:f>IF(H1519=1,INDEX(v01_Req,G1519),0)</x:f>
        <x:v>0</x:v>
      </x:c>
      <x:c r="AS1519" s="32" t="n">
        <x:f>IF(H1519=1,IF(E1519=1,AS1518-AR1518,AS1518)+AQ1519,0)</x:f>
        <x:v>0</x:v>
      </x:c>
      <x:c r="AT1519" s="11" t="n">
        <x:f>IF(AR1519&gt;0,MIN(1,AS1519/AR1519),1)</x:f>
        <x:v>1</x:v>
      </x:c>
      <x:c r="AU1519" s="10" t="n">
        <x:f>AB1519/INDEX(v01_RepScale,G1519)</x:f>
        <x:v>90.09519605746344</x:v>
      </x:c>
      <x:c r="AV1519" s="32" t="n">
        <x:f>AM1519*60/v01_SeasonSeconds</x:f>
        <x:v>0</x:v>
      </x:c>
    </x:row>
    <x:row r="1520">
      <x:c r="A1520" s="8" t="n">
        <x:f>A1519+1</x:f>
        <x:v>1517</x:v>
      </x:c>
      <x:c r="B1520" s="9" t="n">
        <x:f>A1520*v01_SeasonSeconds/60</x:f>
        <x:v>379.25</x:v>
      </x:c>
      <x:c r="C1520" s="9" t="n">
        <x:f>A1520/4</x:f>
        <x:v>379.25</x:v>
      </x:c>
      <x:c r="D1520" s="8" t="n">
        <x:f>IF(MOD(A1520,4)=0,1,0)</x:f>
        <x:v>0</x:v>
      </x:c>
      <x:c r="E1520" s="8" t="n">
        <x:f>IF(AND(F1519&lt;=9,AS1519&gt;=AR1519),1,0)</x:f>
        <x:v>0</x:v>
      </x:c>
      <x:c r="F1520" s="8" t="n">
        <x:f>MIN(10,F1519+E1520)</x:f>
        <x:v>10</x:v>
      </x:c>
      <x:c r="G1520" s="8" t="n">
        <x:f>MIN(F1520,9)+1</x:f>
        <x:v>10</x:v>
      </x:c>
      <x:c r="H1520" s="8" t="n">
        <x:f>IF(F1520&lt;=9,1,0)</x:f>
        <x:v>0</x:v>
      </x:c>
      <x:c r="I1520" s="9" t="n">
        <x:f>MIN(10,F1519+IF(AR1519&gt;0,MIN(1,AS1519/AR1519),1))</x:f>
        <x:v>10</x:v>
      </x:c>
      <x:c r="J1520" s="32" t="n">
        <x:f>INDEX(v01_FoodCap,G1520)*Arch_FoodCap*EXP(v01_CapsByProject*SUMPRODUCT((Cap_Point&lt;=I1520)*(Cap_Kind="Food")*Cap_Ln))</x:f>
        <x:v>12000</x:v>
      </x:c>
      <x:c r="K1520" s="32" t="n">
        <x:f>J1520*MIN(1,v01_LeanBase*EXP(v01_CapsByProject*SUMPRODUCT((Cap_Point&lt;=I1520)*(Cap_Kind="Lean")*Cap_Ln)))</x:f>
        <x:v>12000</x:v>
      </x:c>
      <x:c r="L1520" s="10" t="n">
        <x:f>INDEX(v01_HousingCap,G1520)*EXP(v01_CapsByProject*SUMPRODUCT((Cap_Point&lt;=I1520)*(Cap_Kind="Housing")*Cap_Ln))</x:f>
        <x:v>20000</x:v>
      </x:c>
      <x:c r="M1520" s="10" t="n">
        <x:f>INDEX(v01_GroupCap,G1520)*v01_CohesionFactor*EXP(v01_CapsByProject*SUMPRODUCT((Cap_Point&lt;=I1520)*(Cap_Kind="Group")*Cap_Ln))</x:f>
        <x:v>1000000</x:v>
      </x:c>
      <x:c r="N1520" s="32" t="n">
        <x:f>MIN(J1520,L1520,M1520)</x:f>
        <x:v>12000</x:v>
      </x:c>
      <x:c r="O1520" s="10" t="n">
        <x:f>AE1519*N1520</x:f>
        <x:v>180000</x:v>
      </x:c>
      <x:c r="P1520" s="9" t="n">
        <x:f>MIN(1,(AB1519/(AE1519*IF(v01_GroupInCrowding=1,N1520,MIN(J1520,L1520))))^v01_CrowdingExp)</x:f>
        <x:v>0.00024569414295285325</x:v>
      </x:c>
      <x:c r="Q1520" s="9" t="n">
        <x:f>IF(D1520=1,INDEX(v01_WinterMult,G1520),1)</x:f>
        <x:v>1</x:v>
      </x:c>
      <x:c r="R1520" s="9" t="n">
        <x:f>H1520*Z1519*v01_WomenShare*v01_BaseFertility*INDEX(v01_FertMult,G1520)*Arch_Fertility*(1-P1520)</x:f>
        <x:v>0</x:v>
      </x:c>
      <x:c r="S1520" s="9" t="n">
        <x:f>H1520*Y1519*INDEX(v01_MortChild,G1520)/4*Q1520</x:f>
        <x:v>0</x:v>
      </x:c>
      <x:c r="T1520" s="9" t="n">
        <x:f>H1520*Z1519*INDEX(v01_MortAdult,G1520)*Arch_AdultMort/4*Q1520</x:f>
        <x:v>0</x:v>
      </x:c>
      <x:c r="U1520" s="9" t="n">
        <x:f>H1520*AA1519*INDEX(v01_MortElder,G1520)/4*Q1520</x:f>
        <x:v>0</x:v>
      </x:c>
      <x:c r="V1520" s="9" t="n">
        <x:f>H1520*MAX(0,AB1519-O1520)*v01_OvercapLoss</x:f>
        <x:v>0</x:v>
      </x:c>
      <x:c r="W1520" s="9" t="n">
        <x:f>H1520*Y1519/(v01_ChildYears*4)</x:f>
        <x:v>0</x:v>
      </x:c>
      <x:c r="X1520" s="9" t="n">
        <x:f>H1520*Z1519/(v01_AdultYears*4)</x:f>
        <x:v>0</x:v>
      </x:c>
      <x:c r="Y1520" s="32" t="n">
        <x:f>Y1519+R1520-S1520-W1520-Y1519*V1520/AB1519</x:f>
        <x:v>14306.18539759397</x:v>
      </x:c>
      <x:c r="Z1520" s="32" t="n">
        <x:f>Z1519+W1520-X1520-T1520-Z1519*V1520/AB1519</x:f>
        <x:v>19354.456567879548</x:v>
      </x:c>
      <x:c r="AA1520" s="32" t="n">
        <x:f>AA1519+X1520-U1520-AA1519*V1520/AB1519</x:f>
        <x:v>11386.956063258198</x:v>
      </x:c>
      <x:c r="AB1520" s="10" t="n">
        <x:f>Y1520+Z1520+AA1520</x:f>
        <x:v>45047.59802873172</x:v>
      </x:c>
      <x:c r="AC1520" s="8" t="n">
        <x:f>IF(AND(v01_WinterTrigger=1,D1520=1,AB1519/AE1519&gt;=K1520),1,0)</x:f>
        <x:v>0</x:v>
      </x:c>
      <x:c r="AD1520" s="8" t="n">
        <x:f>H1520*IF(AND(OR(AB1519/AE1519&gt;=v01_FissionTrigger*N1520,AC1520=1),AB1519/AE1519*v01_DaughterShare&gt;=v01_MinDaughter),MAX(1,ROUND(AE1519*v01_FissionRate,0)),0)</x:f>
        <x:v>0</x:v>
      </x:c>
      <x:c r="AE1520" s="8" t="n">
        <x:f>IF(H1520=1,MAX(1,MIN(INDEX(v01_Smax,G1520),AE1519+AD1520)),AE1519)</x:f>
        <x:v>15</x:v>
      </x:c>
      <x:c r="AF1520" s="8" t="n">
        <x:f>MAX(0,AE1520-AE1519)</x:f>
        <x:v>0</x:v>
      </x:c>
      <x:c r="AG1520" s="9" t="str">
        <x:f>IF(AF1520&gt;0,B1520,"")</x:f>
      </x:c>
      <x:c r="AH1520" s="9" t="n">
        <x:f>IF(F1520&gt;=1,1,(1+v01_LowTiesShare*(AE1520-1))/AE1520)</x:f>
        <x:v>1</x:v>
      </x:c>
      <x:c r="AI1520" s="32" t="n">
        <x:f>(Z1520+v01_ElderCommons*INDEX(LM_Elder,G1520)*AA1520)*AH1520</x:f>
        <x:v>64139.732591141874</x:v>
      </x:c>
      <x:c r="AJ1520" s="32" t="n">
        <x:f>H1520*v01_CommonsCoef*AI1520^v01_CommonsExp*INDEX(LM_Commons,G1520)</x:f>
        <x:v>0</x:v>
      </x:c>
      <x:c r="AK1520" s="32" t="n">
        <x:f>H1520*v01_RoleScale*Arch_Roles*(AE1520*(INDEX(v01_ElderRolePerSett,G1520)*v01_OutElder*INDEX(LM_Elder,G1520)+INDEX(v01_ShamanPerSett,G1520)*v01_OutShaman)+Z1520*(INDEX(v01_PriestShare,G1520)*v01_OutPriest+INDEX(v01_ScribeShare,G1520)*v01_OutScribe*INDEX(LM_Scribe,G1520)+INDEX(v01_ScholarShare,G1520)*v01_OutScholar*INDEX(LM_Scholar,G1520)+INDEX(v01_ResearcherShare,G1520)*v01_OutResearcher*INDEX(LM_Researcher,G1520)))</x:f>
        <x:v>0</x:v>
      </x:c>
      <x:c r="AL1520" s="32" t="n">
        <x:f>H1520*v01_RoleScale*Arch_Roles*AE1520*INDEX(v01_MonasteryPerSett,G1520)*v01_OutMonastery*INDEX(LM_Monastery,G1520)</x:f>
        <x:v>0</x:v>
      </x:c>
      <x:c r="AM1520" s="32" t="n">
        <x:f>(AJ1520+AK1520+AL1520)/4*INDEX(LM_All,G1520)*INDEX(v01_Boon,G1520)*Arch_Insight</x:f>
        <x:v>0</x:v>
      </x:c>
      <x:c r="AN1520" s="32" t="n">
        <x:f>H1520*(v01_KHPerAdult*Z1520+v01_KHOfCommons*AJ1520/4*INDEX(LM_All,G1520))*v01_KHUsable*Arch_KH</x:f>
        <x:v>0</x:v>
      </x:c>
      <x:c r="AO1520" s="32" t="n">
        <x:f>MIN(AP1519+AN1520,AM1520*v01_KHMaxRatio)</x:f>
        <x:v>0</x:v>
      </x:c>
      <x:c r="AP1520" s="32" t="n">
        <x:f>AP1519+AN1520-AO1520</x:f>
        <x:v>0</x:v>
      </x:c>
      <x:c r="AQ1520" s="32" t="n">
        <x:f>AM1520+AO1520</x:f>
        <x:v>0</x:v>
      </x:c>
      <x:c r="AR1520" s="10" t="n">
        <x:f>IF(H1520=1,INDEX(v01_Req,G1520),0)</x:f>
        <x:v>0</x:v>
      </x:c>
      <x:c r="AS1520" s="32" t="n">
        <x:f>IF(H1520=1,IF(E1520=1,AS1519-AR1519,AS1519)+AQ1520,0)</x:f>
        <x:v>0</x:v>
      </x:c>
      <x:c r="AT1520" s="11" t="n">
        <x:f>IF(AR1520&gt;0,MIN(1,AS1520/AR1520),1)</x:f>
        <x:v>1</x:v>
      </x:c>
      <x:c r="AU1520" s="10" t="n">
        <x:f>AB1520/INDEX(v01_RepScale,G1520)</x:f>
        <x:v>90.09519605746344</x:v>
      </x:c>
      <x:c r="AV1520" s="32" t="n">
        <x:f>AM1520*60/v01_SeasonSeconds</x:f>
        <x:v>0</x:v>
      </x:c>
    </x:row>
    <x:row r="1521">
      <x:c r="A1521" s="8" t="n">
        <x:f>A1520+1</x:f>
        <x:v>1518</x:v>
      </x:c>
      <x:c r="B1521" s="9" t="n">
        <x:f>A1521*v01_SeasonSeconds/60</x:f>
        <x:v>379.5</x:v>
      </x:c>
      <x:c r="C1521" s="9" t="n">
        <x:f>A1521/4</x:f>
        <x:v>379.5</x:v>
      </x:c>
      <x:c r="D1521" s="8" t="n">
        <x:f>IF(MOD(A1521,4)=0,1,0)</x:f>
        <x:v>0</x:v>
      </x:c>
      <x:c r="E1521" s="8" t="n">
        <x:f>IF(AND(F1520&lt;=9,AS1520&gt;=AR1520),1,0)</x:f>
        <x:v>0</x:v>
      </x:c>
      <x:c r="F1521" s="8" t="n">
        <x:f>MIN(10,F1520+E1521)</x:f>
        <x:v>10</x:v>
      </x:c>
      <x:c r="G1521" s="8" t="n">
        <x:f>MIN(F1521,9)+1</x:f>
        <x:v>10</x:v>
      </x:c>
      <x:c r="H1521" s="8" t="n">
        <x:f>IF(F1521&lt;=9,1,0)</x:f>
        <x:v>0</x:v>
      </x:c>
      <x:c r="I1521" s="9" t="n">
        <x:f>MIN(10,F1520+IF(AR1520&gt;0,MIN(1,AS1520/AR1520),1))</x:f>
        <x:v>10</x:v>
      </x:c>
      <x:c r="J1521" s="32" t="n">
        <x:f>INDEX(v01_FoodCap,G1521)*Arch_FoodCap*EXP(v01_CapsByProject*SUMPRODUCT((Cap_Point&lt;=I1521)*(Cap_Kind="Food")*Cap_Ln))</x:f>
        <x:v>12000</x:v>
      </x:c>
      <x:c r="K1521" s="32" t="n">
        <x:f>J1521*MIN(1,v01_LeanBase*EXP(v01_CapsByProject*SUMPRODUCT((Cap_Point&lt;=I1521)*(Cap_Kind="Lean")*Cap_Ln)))</x:f>
        <x:v>12000</x:v>
      </x:c>
      <x:c r="L1521" s="10" t="n">
        <x:f>INDEX(v01_HousingCap,G1521)*EXP(v01_CapsByProject*SUMPRODUCT((Cap_Point&lt;=I1521)*(Cap_Kind="Housing")*Cap_Ln))</x:f>
        <x:v>20000</x:v>
      </x:c>
      <x:c r="M1521" s="10" t="n">
        <x:f>INDEX(v01_GroupCap,G1521)*v01_CohesionFactor*EXP(v01_CapsByProject*SUMPRODUCT((Cap_Point&lt;=I1521)*(Cap_Kind="Group")*Cap_Ln))</x:f>
        <x:v>1000000</x:v>
      </x:c>
      <x:c r="N1521" s="32" t="n">
        <x:f>MIN(J1521,L1521,M1521)</x:f>
        <x:v>12000</x:v>
      </x:c>
      <x:c r="O1521" s="10" t="n">
        <x:f>AE1520*N1521</x:f>
        <x:v>180000</x:v>
      </x:c>
      <x:c r="P1521" s="9" t="n">
        <x:f>MIN(1,(AB1520/(AE1520*IF(v01_GroupInCrowding=1,N1521,MIN(J1521,L1521))))^v01_CrowdingExp)</x:f>
        <x:v>0.00024569414295285325</x:v>
      </x:c>
      <x:c r="Q1521" s="9" t="n">
        <x:f>IF(D1521=1,INDEX(v01_WinterMult,G1521),1)</x:f>
        <x:v>1</x:v>
      </x:c>
      <x:c r="R1521" s="9" t="n">
        <x:f>H1521*Z1520*v01_WomenShare*v01_BaseFertility*INDEX(v01_FertMult,G1521)*Arch_Fertility*(1-P1521)</x:f>
        <x:v>0</x:v>
      </x:c>
      <x:c r="S1521" s="9" t="n">
        <x:f>H1521*Y1520*INDEX(v01_MortChild,G1521)/4*Q1521</x:f>
        <x:v>0</x:v>
      </x:c>
      <x:c r="T1521" s="9" t="n">
        <x:f>H1521*Z1520*INDEX(v01_MortAdult,G1521)*Arch_AdultMort/4*Q1521</x:f>
        <x:v>0</x:v>
      </x:c>
      <x:c r="U1521" s="9" t="n">
        <x:f>H1521*AA1520*INDEX(v01_MortElder,G1521)/4*Q1521</x:f>
        <x:v>0</x:v>
      </x:c>
      <x:c r="V1521" s="9" t="n">
        <x:f>H1521*MAX(0,AB1520-O1521)*v01_OvercapLoss</x:f>
        <x:v>0</x:v>
      </x:c>
      <x:c r="W1521" s="9" t="n">
        <x:f>H1521*Y1520/(v01_ChildYears*4)</x:f>
        <x:v>0</x:v>
      </x:c>
      <x:c r="X1521" s="9" t="n">
        <x:f>H1521*Z1520/(v01_AdultYears*4)</x:f>
        <x:v>0</x:v>
      </x:c>
      <x:c r="Y1521" s="32" t="n">
        <x:f>Y1520+R1521-S1521-W1521-Y1520*V1521/AB1520</x:f>
        <x:v>14306.18539759397</x:v>
      </x:c>
      <x:c r="Z1521" s="32" t="n">
        <x:f>Z1520+W1521-X1521-T1521-Z1520*V1521/AB1520</x:f>
        <x:v>19354.456567879548</x:v>
      </x:c>
      <x:c r="AA1521" s="32" t="n">
        <x:f>AA1520+X1521-U1521-AA1520*V1521/AB1520</x:f>
        <x:v>11386.956063258198</x:v>
      </x:c>
      <x:c r="AB1521" s="10" t="n">
        <x:f>Y1521+Z1521+AA1521</x:f>
        <x:v>45047.59802873172</x:v>
      </x:c>
      <x:c r="AC1521" s="8" t="n">
        <x:f>IF(AND(v01_WinterTrigger=1,D1521=1,AB1520/AE1520&gt;=K1521),1,0)</x:f>
        <x:v>0</x:v>
      </x:c>
      <x:c r="AD1521" s="8" t="n">
        <x:f>H1521*IF(AND(OR(AB1520/AE1520&gt;=v01_FissionTrigger*N1521,AC1521=1),AB1520/AE1520*v01_DaughterShare&gt;=v01_MinDaughter),MAX(1,ROUND(AE1520*v01_FissionRate,0)),0)</x:f>
        <x:v>0</x:v>
      </x:c>
      <x:c r="AE1521" s="8" t="n">
        <x:f>IF(H1521=1,MAX(1,MIN(INDEX(v01_Smax,G1521),AE1520+AD1521)),AE1520)</x:f>
        <x:v>15</x:v>
      </x:c>
      <x:c r="AF1521" s="8" t="n">
        <x:f>MAX(0,AE1521-AE1520)</x:f>
        <x:v>0</x:v>
      </x:c>
      <x:c r="AG1521" s="9" t="str">
        <x:f>IF(AF1521&gt;0,B1521,"")</x:f>
      </x:c>
      <x:c r="AH1521" s="9" t="n">
        <x:f>IF(F1521&gt;=1,1,(1+v01_LowTiesShare*(AE1521-1))/AE1521)</x:f>
        <x:v>1</x:v>
      </x:c>
      <x:c r="AI1521" s="32" t="n">
        <x:f>(Z1521+v01_ElderCommons*INDEX(LM_Elder,G1521)*AA1521)*AH1521</x:f>
        <x:v>64139.732591141874</x:v>
      </x:c>
      <x:c r="AJ1521" s="32" t="n">
        <x:f>H1521*v01_CommonsCoef*AI1521^v01_CommonsExp*INDEX(LM_Commons,G1521)</x:f>
        <x:v>0</x:v>
      </x:c>
      <x:c r="AK1521" s="32" t="n">
        <x:f>H1521*v01_RoleScale*Arch_Roles*(AE1521*(INDEX(v01_ElderRolePerSett,G1521)*v01_OutElder*INDEX(LM_Elder,G1521)+INDEX(v01_ShamanPerSett,G1521)*v01_OutShaman)+Z1521*(INDEX(v01_PriestShare,G1521)*v01_OutPriest+INDEX(v01_ScribeShare,G1521)*v01_OutScribe*INDEX(LM_Scribe,G1521)+INDEX(v01_ScholarShare,G1521)*v01_OutScholar*INDEX(LM_Scholar,G1521)+INDEX(v01_ResearcherShare,G1521)*v01_OutResearcher*INDEX(LM_Researcher,G1521)))</x:f>
        <x:v>0</x:v>
      </x:c>
      <x:c r="AL1521" s="32" t="n">
        <x:f>H1521*v01_RoleScale*Arch_Roles*AE1521*INDEX(v01_MonasteryPerSett,G1521)*v01_OutMonastery*INDEX(LM_Monastery,G1521)</x:f>
        <x:v>0</x:v>
      </x:c>
      <x:c r="AM1521" s="32" t="n">
        <x:f>(AJ1521+AK1521+AL1521)/4*INDEX(LM_All,G1521)*INDEX(v01_Boon,G1521)*Arch_Insight</x:f>
        <x:v>0</x:v>
      </x:c>
      <x:c r="AN1521" s="32" t="n">
        <x:f>H1521*(v01_KHPerAdult*Z1521+v01_KHOfCommons*AJ1521/4*INDEX(LM_All,G1521))*v01_KHUsable*Arch_KH</x:f>
        <x:v>0</x:v>
      </x:c>
      <x:c r="AO1521" s="32" t="n">
        <x:f>MIN(AP1520+AN1521,AM1521*v01_KHMaxRatio)</x:f>
        <x:v>0</x:v>
      </x:c>
      <x:c r="AP1521" s="32" t="n">
        <x:f>AP1520+AN1521-AO1521</x:f>
        <x:v>0</x:v>
      </x:c>
      <x:c r="AQ1521" s="32" t="n">
        <x:f>AM1521+AO1521</x:f>
        <x:v>0</x:v>
      </x:c>
      <x:c r="AR1521" s="10" t="n">
        <x:f>IF(H1521=1,INDEX(v01_Req,G1521),0)</x:f>
        <x:v>0</x:v>
      </x:c>
      <x:c r="AS1521" s="32" t="n">
        <x:f>IF(H1521=1,IF(E1521=1,AS1520-AR1520,AS1520)+AQ1521,0)</x:f>
        <x:v>0</x:v>
      </x:c>
      <x:c r="AT1521" s="11" t="n">
        <x:f>IF(AR1521&gt;0,MIN(1,AS1521/AR1521),1)</x:f>
        <x:v>1</x:v>
      </x:c>
      <x:c r="AU1521" s="10" t="n">
        <x:f>AB1521/INDEX(v01_RepScale,G1521)</x:f>
        <x:v>90.09519605746344</x:v>
      </x:c>
      <x:c r="AV1521" s="32" t="n">
        <x:f>AM1521*60/v01_SeasonSeconds</x:f>
        <x:v>0</x:v>
      </x:c>
    </x:row>
    <x:row r="1522">
      <x:c r="A1522" s="8" t="n">
        <x:f>A1521+1</x:f>
        <x:v>1519</x:v>
      </x:c>
      <x:c r="B1522" s="9" t="n">
        <x:f>A1522*v01_SeasonSeconds/60</x:f>
        <x:v>379.75</x:v>
      </x:c>
      <x:c r="C1522" s="9" t="n">
        <x:f>A1522/4</x:f>
        <x:v>379.75</x:v>
      </x:c>
      <x:c r="D1522" s="8" t="n">
        <x:f>IF(MOD(A1522,4)=0,1,0)</x:f>
        <x:v>0</x:v>
      </x:c>
      <x:c r="E1522" s="8" t="n">
        <x:f>IF(AND(F1521&lt;=9,AS1521&gt;=AR1521),1,0)</x:f>
        <x:v>0</x:v>
      </x:c>
      <x:c r="F1522" s="8" t="n">
        <x:f>MIN(10,F1521+E1522)</x:f>
        <x:v>10</x:v>
      </x:c>
      <x:c r="G1522" s="8" t="n">
        <x:f>MIN(F1522,9)+1</x:f>
        <x:v>10</x:v>
      </x:c>
      <x:c r="H1522" s="8" t="n">
        <x:f>IF(F1522&lt;=9,1,0)</x:f>
        <x:v>0</x:v>
      </x:c>
      <x:c r="I1522" s="9" t="n">
        <x:f>MIN(10,F1521+IF(AR1521&gt;0,MIN(1,AS1521/AR1521),1))</x:f>
        <x:v>10</x:v>
      </x:c>
      <x:c r="J1522" s="32" t="n">
        <x:f>INDEX(v01_FoodCap,G1522)*Arch_FoodCap*EXP(v01_CapsByProject*SUMPRODUCT((Cap_Point&lt;=I1522)*(Cap_Kind="Food")*Cap_Ln))</x:f>
        <x:v>12000</x:v>
      </x:c>
      <x:c r="K1522" s="32" t="n">
        <x:f>J1522*MIN(1,v01_LeanBase*EXP(v01_CapsByProject*SUMPRODUCT((Cap_Point&lt;=I1522)*(Cap_Kind="Lean")*Cap_Ln)))</x:f>
        <x:v>12000</x:v>
      </x:c>
      <x:c r="L1522" s="10" t="n">
        <x:f>INDEX(v01_HousingCap,G1522)*EXP(v01_CapsByProject*SUMPRODUCT((Cap_Point&lt;=I1522)*(Cap_Kind="Housing")*Cap_Ln))</x:f>
        <x:v>20000</x:v>
      </x:c>
      <x:c r="M1522" s="10" t="n">
        <x:f>INDEX(v01_GroupCap,G1522)*v01_CohesionFactor*EXP(v01_CapsByProject*SUMPRODUCT((Cap_Point&lt;=I1522)*(Cap_Kind="Group")*Cap_Ln))</x:f>
        <x:v>1000000</x:v>
      </x:c>
      <x:c r="N1522" s="32" t="n">
        <x:f>MIN(J1522,L1522,M1522)</x:f>
        <x:v>12000</x:v>
      </x:c>
      <x:c r="O1522" s="10" t="n">
        <x:f>AE1521*N1522</x:f>
        <x:v>180000</x:v>
      </x:c>
      <x:c r="P1522" s="9" t="n">
        <x:f>MIN(1,(AB1521/(AE1521*IF(v01_GroupInCrowding=1,N1522,MIN(J1522,L1522))))^v01_CrowdingExp)</x:f>
        <x:v>0.00024569414295285325</x:v>
      </x:c>
      <x:c r="Q1522" s="9" t="n">
        <x:f>IF(D1522=1,INDEX(v01_WinterMult,G1522),1)</x:f>
        <x:v>1</x:v>
      </x:c>
      <x:c r="R1522" s="9" t="n">
        <x:f>H1522*Z1521*v01_WomenShare*v01_BaseFertility*INDEX(v01_FertMult,G1522)*Arch_Fertility*(1-P1522)</x:f>
        <x:v>0</x:v>
      </x:c>
      <x:c r="S1522" s="9" t="n">
        <x:f>H1522*Y1521*INDEX(v01_MortChild,G1522)/4*Q1522</x:f>
        <x:v>0</x:v>
      </x:c>
      <x:c r="T1522" s="9" t="n">
        <x:f>H1522*Z1521*INDEX(v01_MortAdult,G1522)*Arch_AdultMort/4*Q1522</x:f>
        <x:v>0</x:v>
      </x:c>
      <x:c r="U1522" s="9" t="n">
        <x:f>H1522*AA1521*INDEX(v01_MortElder,G1522)/4*Q1522</x:f>
        <x:v>0</x:v>
      </x:c>
      <x:c r="V1522" s="9" t="n">
        <x:f>H1522*MAX(0,AB1521-O1522)*v01_OvercapLoss</x:f>
        <x:v>0</x:v>
      </x:c>
      <x:c r="W1522" s="9" t="n">
        <x:f>H1522*Y1521/(v01_ChildYears*4)</x:f>
        <x:v>0</x:v>
      </x:c>
      <x:c r="X1522" s="9" t="n">
        <x:f>H1522*Z1521/(v01_AdultYears*4)</x:f>
        <x:v>0</x:v>
      </x:c>
      <x:c r="Y1522" s="32" t="n">
        <x:f>Y1521+R1522-S1522-W1522-Y1521*V1522/AB1521</x:f>
        <x:v>14306.18539759397</x:v>
      </x:c>
      <x:c r="Z1522" s="32" t="n">
        <x:f>Z1521+W1522-X1522-T1522-Z1521*V1522/AB1521</x:f>
        <x:v>19354.456567879548</x:v>
      </x:c>
      <x:c r="AA1522" s="32" t="n">
        <x:f>AA1521+X1522-U1522-AA1521*V1522/AB1521</x:f>
        <x:v>11386.956063258198</x:v>
      </x:c>
      <x:c r="AB1522" s="10" t="n">
        <x:f>Y1522+Z1522+AA1522</x:f>
        <x:v>45047.59802873172</x:v>
      </x:c>
      <x:c r="AC1522" s="8" t="n">
        <x:f>IF(AND(v01_WinterTrigger=1,D1522=1,AB1521/AE1521&gt;=K1522),1,0)</x:f>
        <x:v>0</x:v>
      </x:c>
      <x:c r="AD1522" s="8" t="n">
        <x:f>H1522*IF(AND(OR(AB1521/AE1521&gt;=v01_FissionTrigger*N1522,AC1522=1),AB1521/AE1521*v01_DaughterShare&gt;=v01_MinDaughter),MAX(1,ROUND(AE1521*v01_FissionRate,0)),0)</x:f>
        <x:v>0</x:v>
      </x:c>
      <x:c r="AE1522" s="8" t="n">
        <x:f>IF(H1522=1,MAX(1,MIN(INDEX(v01_Smax,G1522),AE1521+AD1522)),AE1521)</x:f>
        <x:v>15</x:v>
      </x:c>
      <x:c r="AF1522" s="8" t="n">
        <x:f>MAX(0,AE1522-AE1521)</x:f>
        <x:v>0</x:v>
      </x:c>
      <x:c r="AG1522" s="9" t="str">
        <x:f>IF(AF1522&gt;0,B1522,"")</x:f>
      </x:c>
      <x:c r="AH1522" s="9" t="n">
        <x:f>IF(F1522&gt;=1,1,(1+v01_LowTiesShare*(AE1522-1))/AE1522)</x:f>
        <x:v>1</x:v>
      </x:c>
      <x:c r="AI1522" s="32" t="n">
        <x:f>(Z1522+v01_ElderCommons*INDEX(LM_Elder,G1522)*AA1522)*AH1522</x:f>
        <x:v>64139.732591141874</x:v>
      </x:c>
      <x:c r="AJ1522" s="32" t="n">
        <x:f>H1522*v01_CommonsCoef*AI1522^v01_CommonsExp*INDEX(LM_Commons,G1522)</x:f>
        <x:v>0</x:v>
      </x:c>
      <x:c r="AK1522" s="32" t="n">
        <x:f>H1522*v01_RoleScale*Arch_Roles*(AE1522*(INDEX(v01_ElderRolePerSett,G1522)*v01_OutElder*INDEX(LM_Elder,G1522)+INDEX(v01_ShamanPerSett,G1522)*v01_OutShaman)+Z1522*(INDEX(v01_PriestShare,G1522)*v01_OutPriest+INDEX(v01_ScribeShare,G1522)*v01_OutScribe*INDEX(LM_Scribe,G1522)+INDEX(v01_ScholarShare,G1522)*v01_OutScholar*INDEX(LM_Scholar,G1522)+INDEX(v01_ResearcherShare,G1522)*v01_OutResearcher*INDEX(LM_Researcher,G1522)))</x:f>
        <x:v>0</x:v>
      </x:c>
      <x:c r="AL1522" s="32" t="n">
        <x:f>H1522*v01_RoleScale*Arch_Roles*AE1522*INDEX(v01_MonasteryPerSett,G1522)*v01_OutMonastery*INDEX(LM_Monastery,G1522)</x:f>
        <x:v>0</x:v>
      </x:c>
      <x:c r="AM1522" s="32" t="n">
        <x:f>(AJ1522+AK1522+AL1522)/4*INDEX(LM_All,G1522)*INDEX(v01_Boon,G1522)*Arch_Insight</x:f>
        <x:v>0</x:v>
      </x:c>
      <x:c r="AN1522" s="32" t="n">
        <x:f>H1522*(v01_KHPerAdult*Z1522+v01_KHOfCommons*AJ1522/4*INDEX(LM_All,G1522))*v01_KHUsable*Arch_KH</x:f>
        <x:v>0</x:v>
      </x:c>
      <x:c r="AO1522" s="32" t="n">
        <x:f>MIN(AP1521+AN1522,AM1522*v01_KHMaxRatio)</x:f>
        <x:v>0</x:v>
      </x:c>
      <x:c r="AP1522" s="32" t="n">
        <x:f>AP1521+AN1522-AO1522</x:f>
        <x:v>0</x:v>
      </x:c>
      <x:c r="AQ1522" s="32" t="n">
        <x:f>AM1522+AO1522</x:f>
        <x:v>0</x:v>
      </x:c>
      <x:c r="AR1522" s="10" t="n">
        <x:f>IF(H1522=1,INDEX(v01_Req,G1522),0)</x:f>
        <x:v>0</x:v>
      </x:c>
      <x:c r="AS1522" s="32" t="n">
        <x:f>IF(H1522=1,IF(E1522=1,AS1521-AR1521,AS1521)+AQ1522,0)</x:f>
        <x:v>0</x:v>
      </x:c>
      <x:c r="AT1522" s="11" t="n">
        <x:f>IF(AR1522&gt;0,MIN(1,AS1522/AR1522),1)</x:f>
        <x:v>1</x:v>
      </x:c>
      <x:c r="AU1522" s="10" t="n">
        <x:f>AB1522/INDEX(v01_RepScale,G1522)</x:f>
        <x:v>90.09519605746344</x:v>
      </x:c>
      <x:c r="AV1522" s="32" t="n">
        <x:f>AM1522*60/v01_SeasonSeconds</x:f>
        <x:v>0</x:v>
      </x:c>
    </x:row>
    <x:row r="1523">
      <x:c r="A1523" s="8" t="n">
        <x:f>A1522+1</x:f>
        <x:v>1520</x:v>
      </x:c>
      <x:c r="B1523" s="9" t="n">
        <x:f>A1523*v01_SeasonSeconds/60</x:f>
        <x:v>380</x:v>
      </x:c>
      <x:c r="C1523" s="9" t="n">
        <x:f>A1523/4</x:f>
        <x:v>380</x:v>
      </x:c>
      <x:c r="D1523" s="8" t="n">
        <x:f>IF(MOD(A1523,4)=0,1,0)</x:f>
        <x:v>1</x:v>
      </x:c>
      <x:c r="E1523" s="8" t="n">
        <x:f>IF(AND(F1522&lt;=9,AS1522&gt;=AR1522),1,0)</x:f>
        <x:v>0</x:v>
      </x:c>
      <x:c r="F1523" s="8" t="n">
        <x:f>MIN(10,F1522+E1523)</x:f>
        <x:v>10</x:v>
      </x:c>
      <x:c r="G1523" s="8" t="n">
        <x:f>MIN(F1523,9)+1</x:f>
        <x:v>10</x:v>
      </x:c>
      <x:c r="H1523" s="8" t="n">
        <x:f>IF(F1523&lt;=9,1,0)</x:f>
        <x:v>0</x:v>
      </x:c>
      <x:c r="I1523" s="9" t="n">
        <x:f>MIN(10,F1522+IF(AR1522&gt;0,MIN(1,AS1522/AR1522),1))</x:f>
        <x:v>10</x:v>
      </x:c>
      <x:c r="J1523" s="32" t="n">
        <x:f>INDEX(v01_FoodCap,G1523)*Arch_FoodCap*EXP(v01_CapsByProject*SUMPRODUCT((Cap_Point&lt;=I1523)*(Cap_Kind="Food")*Cap_Ln))</x:f>
        <x:v>12000</x:v>
      </x:c>
      <x:c r="K1523" s="32" t="n">
        <x:f>J1523*MIN(1,v01_LeanBase*EXP(v01_CapsByProject*SUMPRODUCT((Cap_Point&lt;=I1523)*(Cap_Kind="Lean")*Cap_Ln)))</x:f>
        <x:v>12000</x:v>
      </x:c>
      <x:c r="L1523" s="10" t="n">
        <x:f>INDEX(v01_HousingCap,G1523)*EXP(v01_CapsByProject*SUMPRODUCT((Cap_Point&lt;=I1523)*(Cap_Kind="Housing")*Cap_Ln))</x:f>
        <x:v>20000</x:v>
      </x:c>
      <x:c r="M1523" s="10" t="n">
        <x:f>INDEX(v01_GroupCap,G1523)*v01_CohesionFactor*EXP(v01_CapsByProject*SUMPRODUCT((Cap_Point&lt;=I1523)*(Cap_Kind="Group")*Cap_Ln))</x:f>
        <x:v>1000000</x:v>
      </x:c>
      <x:c r="N1523" s="32" t="n">
        <x:f>MIN(J1523,L1523,M1523)</x:f>
        <x:v>12000</x:v>
      </x:c>
      <x:c r="O1523" s="10" t="n">
        <x:f>AE1522*N1523</x:f>
        <x:v>180000</x:v>
      </x:c>
      <x:c r="P1523" s="9" t="n">
        <x:f>MIN(1,(AB1522/(AE1522*IF(v01_GroupInCrowding=1,N1523,MIN(J1523,L1523))))^v01_CrowdingExp)</x:f>
        <x:v>0.00024569414295285325</x:v>
      </x:c>
      <x:c r="Q1523" s="9" t="n">
        <x:f>IF(D1523=1,INDEX(v01_WinterMult,G1523),1)</x:f>
        <x:v>1</x:v>
      </x:c>
      <x:c r="R1523" s="9" t="n">
        <x:f>H1523*Z1522*v01_WomenShare*v01_BaseFertility*INDEX(v01_FertMult,G1523)*Arch_Fertility*(1-P1523)</x:f>
        <x:v>0</x:v>
      </x:c>
      <x:c r="S1523" s="9" t="n">
        <x:f>H1523*Y1522*INDEX(v01_MortChild,G1523)/4*Q1523</x:f>
        <x:v>0</x:v>
      </x:c>
      <x:c r="T1523" s="9" t="n">
        <x:f>H1523*Z1522*INDEX(v01_MortAdult,G1523)*Arch_AdultMort/4*Q1523</x:f>
        <x:v>0</x:v>
      </x:c>
      <x:c r="U1523" s="9" t="n">
        <x:f>H1523*AA1522*INDEX(v01_MortElder,G1523)/4*Q1523</x:f>
        <x:v>0</x:v>
      </x:c>
      <x:c r="V1523" s="9" t="n">
        <x:f>H1523*MAX(0,AB1522-O1523)*v01_OvercapLoss</x:f>
        <x:v>0</x:v>
      </x:c>
      <x:c r="W1523" s="9" t="n">
        <x:f>H1523*Y1522/(v01_ChildYears*4)</x:f>
        <x:v>0</x:v>
      </x:c>
      <x:c r="X1523" s="9" t="n">
        <x:f>H1523*Z1522/(v01_AdultYears*4)</x:f>
        <x:v>0</x:v>
      </x:c>
      <x:c r="Y1523" s="32" t="n">
        <x:f>Y1522+R1523-S1523-W1523-Y1522*V1523/AB1522</x:f>
        <x:v>14306.18539759397</x:v>
      </x:c>
      <x:c r="Z1523" s="32" t="n">
        <x:f>Z1522+W1523-X1523-T1523-Z1522*V1523/AB1522</x:f>
        <x:v>19354.456567879548</x:v>
      </x:c>
      <x:c r="AA1523" s="32" t="n">
        <x:f>AA1522+X1523-U1523-AA1522*V1523/AB1522</x:f>
        <x:v>11386.956063258198</x:v>
      </x:c>
      <x:c r="AB1523" s="10" t="n">
        <x:f>Y1523+Z1523+AA1523</x:f>
        <x:v>45047.59802873172</x:v>
      </x:c>
      <x:c r="AC1523" s="8" t="n">
        <x:f>IF(AND(v01_WinterTrigger=1,D1523=1,AB1522/AE1522&gt;=K1523),1,0)</x:f>
        <x:v>0</x:v>
      </x:c>
      <x:c r="AD1523" s="8" t="n">
        <x:f>H1523*IF(AND(OR(AB1522/AE1522&gt;=v01_FissionTrigger*N1523,AC1523=1),AB1522/AE1522*v01_DaughterShare&gt;=v01_MinDaughter),MAX(1,ROUND(AE1522*v01_FissionRate,0)),0)</x:f>
        <x:v>0</x:v>
      </x:c>
      <x:c r="AE1523" s="8" t="n">
        <x:f>IF(H1523=1,MAX(1,MIN(INDEX(v01_Smax,G1523),AE1522+AD1523)),AE1522)</x:f>
        <x:v>15</x:v>
      </x:c>
      <x:c r="AF1523" s="8" t="n">
        <x:f>MAX(0,AE1523-AE1522)</x:f>
        <x:v>0</x:v>
      </x:c>
      <x:c r="AG1523" s="9" t="str">
        <x:f>IF(AF1523&gt;0,B1523,"")</x:f>
      </x:c>
      <x:c r="AH1523" s="9" t="n">
        <x:f>IF(F1523&gt;=1,1,(1+v01_LowTiesShare*(AE1523-1))/AE1523)</x:f>
        <x:v>1</x:v>
      </x:c>
      <x:c r="AI1523" s="32" t="n">
        <x:f>(Z1523+v01_ElderCommons*INDEX(LM_Elder,G1523)*AA1523)*AH1523</x:f>
        <x:v>64139.732591141874</x:v>
      </x:c>
      <x:c r="AJ1523" s="32" t="n">
        <x:f>H1523*v01_CommonsCoef*AI1523^v01_CommonsExp*INDEX(LM_Commons,G1523)</x:f>
        <x:v>0</x:v>
      </x:c>
      <x:c r="AK1523" s="32" t="n">
        <x:f>H1523*v01_RoleScale*Arch_Roles*(AE1523*(INDEX(v01_ElderRolePerSett,G1523)*v01_OutElder*INDEX(LM_Elder,G1523)+INDEX(v01_ShamanPerSett,G1523)*v01_OutShaman)+Z1523*(INDEX(v01_PriestShare,G1523)*v01_OutPriest+INDEX(v01_ScribeShare,G1523)*v01_OutScribe*INDEX(LM_Scribe,G1523)+INDEX(v01_ScholarShare,G1523)*v01_OutScholar*INDEX(LM_Scholar,G1523)+INDEX(v01_ResearcherShare,G1523)*v01_OutResearcher*INDEX(LM_Researcher,G1523)))</x:f>
        <x:v>0</x:v>
      </x:c>
      <x:c r="AL1523" s="32" t="n">
        <x:f>H1523*v01_RoleScale*Arch_Roles*AE1523*INDEX(v01_MonasteryPerSett,G1523)*v01_OutMonastery*INDEX(LM_Monastery,G1523)</x:f>
        <x:v>0</x:v>
      </x:c>
      <x:c r="AM1523" s="32" t="n">
        <x:f>(AJ1523+AK1523+AL1523)/4*INDEX(LM_All,G1523)*INDEX(v01_Boon,G1523)*Arch_Insight</x:f>
        <x:v>0</x:v>
      </x:c>
      <x:c r="AN1523" s="32" t="n">
        <x:f>H1523*(v01_KHPerAdult*Z1523+v01_KHOfCommons*AJ1523/4*INDEX(LM_All,G1523))*v01_KHUsable*Arch_KH</x:f>
        <x:v>0</x:v>
      </x:c>
      <x:c r="AO1523" s="32" t="n">
        <x:f>MIN(AP1522+AN1523,AM1523*v01_KHMaxRatio)</x:f>
        <x:v>0</x:v>
      </x:c>
      <x:c r="AP1523" s="32" t="n">
        <x:f>AP1522+AN1523-AO1523</x:f>
        <x:v>0</x:v>
      </x:c>
      <x:c r="AQ1523" s="32" t="n">
        <x:f>AM1523+AO1523</x:f>
        <x:v>0</x:v>
      </x:c>
      <x:c r="AR1523" s="10" t="n">
        <x:f>IF(H1523=1,INDEX(v01_Req,G1523),0)</x:f>
        <x:v>0</x:v>
      </x:c>
      <x:c r="AS1523" s="32" t="n">
        <x:f>IF(H1523=1,IF(E1523=1,AS1522-AR1522,AS1522)+AQ1523,0)</x:f>
        <x:v>0</x:v>
      </x:c>
      <x:c r="AT1523" s="11" t="n">
        <x:f>IF(AR1523&gt;0,MIN(1,AS1523/AR1523),1)</x:f>
        <x:v>1</x:v>
      </x:c>
      <x:c r="AU1523" s="10" t="n">
        <x:f>AB1523/INDEX(v01_RepScale,G1523)</x:f>
        <x:v>90.09519605746344</x:v>
      </x:c>
      <x:c r="AV1523" s="32" t="n">
        <x:f>AM1523*60/v01_SeasonSeconds</x:f>
        <x:v>0</x:v>
      </x:c>
    </x:row>
    <x:row r="1524">
      <x:c r="A1524" s="8" t="n">
        <x:f>A1523+1</x:f>
        <x:v>1521</x:v>
      </x:c>
      <x:c r="B1524" s="9" t="n">
        <x:f>A1524*v01_SeasonSeconds/60</x:f>
        <x:v>380.25</x:v>
      </x:c>
      <x:c r="C1524" s="9" t="n">
        <x:f>A1524/4</x:f>
        <x:v>380.25</x:v>
      </x:c>
      <x:c r="D1524" s="8" t="n">
        <x:f>IF(MOD(A1524,4)=0,1,0)</x:f>
        <x:v>0</x:v>
      </x:c>
      <x:c r="E1524" s="8" t="n">
        <x:f>IF(AND(F1523&lt;=9,AS1523&gt;=AR1523),1,0)</x:f>
        <x:v>0</x:v>
      </x:c>
      <x:c r="F1524" s="8" t="n">
        <x:f>MIN(10,F1523+E1524)</x:f>
        <x:v>10</x:v>
      </x:c>
      <x:c r="G1524" s="8" t="n">
        <x:f>MIN(F1524,9)+1</x:f>
        <x:v>10</x:v>
      </x:c>
      <x:c r="H1524" s="8" t="n">
        <x:f>IF(F1524&lt;=9,1,0)</x:f>
        <x:v>0</x:v>
      </x:c>
      <x:c r="I1524" s="9" t="n">
        <x:f>MIN(10,F1523+IF(AR1523&gt;0,MIN(1,AS1523/AR1523),1))</x:f>
        <x:v>10</x:v>
      </x:c>
      <x:c r="J1524" s="32" t="n">
        <x:f>INDEX(v01_FoodCap,G1524)*Arch_FoodCap*EXP(v01_CapsByProject*SUMPRODUCT((Cap_Point&lt;=I1524)*(Cap_Kind="Food")*Cap_Ln))</x:f>
        <x:v>12000</x:v>
      </x:c>
      <x:c r="K1524" s="32" t="n">
        <x:f>J1524*MIN(1,v01_LeanBase*EXP(v01_CapsByProject*SUMPRODUCT((Cap_Point&lt;=I1524)*(Cap_Kind="Lean")*Cap_Ln)))</x:f>
        <x:v>12000</x:v>
      </x:c>
      <x:c r="L1524" s="10" t="n">
        <x:f>INDEX(v01_HousingCap,G1524)*EXP(v01_CapsByProject*SUMPRODUCT((Cap_Point&lt;=I1524)*(Cap_Kind="Housing")*Cap_Ln))</x:f>
        <x:v>20000</x:v>
      </x:c>
      <x:c r="M1524" s="10" t="n">
        <x:f>INDEX(v01_GroupCap,G1524)*v01_CohesionFactor*EXP(v01_CapsByProject*SUMPRODUCT((Cap_Point&lt;=I1524)*(Cap_Kind="Group")*Cap_Ln))</x:f>
        <x:v>1000000</x:v>
      </x:c>
      <x:c r="N1524" s="32" t="n">
        <x:f>MIN(J1524,L1524,M1524)</x:f>
        <x:v>12000</x:v>
      </x:c>
      <x:c r="O1524" s="10" t="n">
        <x:f>AE1523*N1524</x:f>
        <x:v>180000</x:v>
      </x:c>
      <x:c r="P1524" s="9" t="n">
        <x:f>MIN(1,(AB1523/(AE1523*IF(v01_GroupInCrowding=1,N1524,MIN(J1524,L1524))))^v01_CrowdingExp)</x:f>
        <x:v>0.00024569414295285325</x:v>
      </x:c>
      <x:c r="Q1524" s="9" t="n">
        <x:f>IF(D1524=1,INDEX(v01_WinterMult,G1524),1)</x:f>
        <x:v>1</x:v>
      </x:c>
      <x:c r="R1524" s="9" t="n">
        <x:f>H1524*Z1523*v01_WomenShare*v01_BaseFertility*INDEX(v01_FertMult,G1524)*Arch_Fertility*(1-P1524)</x:f>
        <x:v>0</x:v>
      </x:c>
      <x:c r="S1524" s="9" t="n">
        <x:f>H1524*Y1523*INDEX(v01_MortChild,G1524)/4*Q1524</x:f>
        <x:v>0</x:v>
      </x:c>
      <x:c r="T1524" s="9" t="n">
        <x:f>H1524*Z1523*INDEX(v01_MortAdult,G1524)*Arch_AdultMort/4*Q1524</x:f>
        <x:v>0</x:v>
      </x:c>
      <x:c r="U1524" s="9" t="n">
        <x:f>H1524*AA1523*INDEX(v01_MortElder,G1524)/4*Q1524</x:f>
        <x:v>0</x:v>
      </x:c>
      <x:c r="V1524" s="9" t="n">
        <x:f>H1524*MAX(0,AB1523-O1524)*v01_OvercapLoss</x:f>
        <x:v>0</x:v>
      </x:c>
      <x:c r="W1524" s="9" t="n">
        <x:f>H1524*Y1523/(v01_ChildYears*4)</x:f>
        <x:v>0</x:v>
      </x:c>
      <x:c r="X1524" s="9" t="n">
        <x:f>H1524*Z1523/(v01_AdultYears*4)</x:f>
        <x:v>0</x:v>
      </x:c>
      <x:c r="Y1524" s="32" t="n">
        <x:f>Y1523+R1524-S1524-W1524-Y1523*V1524/AB1523</x:f>
        <x:v>14306.18539759397</x:v>
      </x:c>
      <x:c r="Z1524" s="32" t="n">
        <x:f>Z1523+W1524-X1524-T1524-Z1523*V1524/AB1523</x:f>
        <x:v>19354.456567879548</x:v>
      </x:c>
      <x:c r="AA1524" s="32" t="n">
        <x:f>AA1523+X1524-U1524-AA1523*V1524/AB1523</x:f>
        <x:v>11386.956063258198</x:v>
      </x:c>
      <x:c r="AB1524" s="10" t="n">
        <x:f>Y1524+Z1524+AA1524</x:f>
        <x:v>45047.59802873172</x:v>
      </x:c>
      <x:c r="AC1524" s="8" t="n">
        <x:f>IF(AND(v01_WinterTrigger=1,D1524=1,AB1523/AE1523&gt;=K1524),1,0)</x:f>
        <x:v>0</x:v>
      </x:c>
      <x:c r="AD1524" s="8" t="n">
        <x:f>H1524*IF(AND(OR(AB1523/AE1523&gt;=v01_FissionTrigger*N1524,AC1524=1),AB1523/AE1523*v01_DaughterShare&gt;=v01_MinDaughter),MAX(1,ROUND(AE1523*v01_FissionRate,0)),0)</x:f>
        <x:v>0</x:v>
      </x:c>
      <x:c r="AE1524" s="8" t="n">
        <x:f>IF(H1524=1,MAX(1,MIN(INDEX(v01_Smax,G1524),AE1523+AD1524)),AE1523)</x:f>
        <x:v>15</x:v>
      </x:c>
      <x:c r="AF1524" s="8" t="n">
        <x:f>MAX(0,AE1524-AE1523)</x:f>
        <x:v>0</x:v>
      </x:c>
      <x:c r="AG1524" s="9" t="str">
        <x:f>IF(AF1524&gt;0,B1524,"")</x:f>
      </x:c>
      <x:c r="AH1524" s="9" t="n">
        <x:f>IF(F1524&gt;=1,1,(1+v01_LowTiesShare*(AE1524-1))/AE1524)</x:f>
        <x:v>1</x:v>
      </x:c>
      <x:c r="AI1524" s="32" t="n">
        <x:f>(Z1524+v01_ElderCommons*INDEX(LM_Elder,G1524)*AA1524)*AH1524</x:f>
        <x:v>64139.732591141874</x:v>
      </x:c>
      <x:c r="AJ1524" s="32" t="n">
        <x:f>H1524*v01_CommonsCoef*AI1524^v01_CommonsExp*INDEX(LM_Commons,G1524)</x:f>
        <x:v>0</x:v>
      </x:c>
      <x:c r="AK1524" s="32" t="n">
        <x:f>H1524*v01_RoleScale*Arch_Roles*(AE1524*(INDEX(v01_ElderRolePerSett,G1524)*v01_OutElder*INDEX(LM_Elder,G1524)+INDEX(v01_ShamanPerSett,G1524)*v01_OutShaman)+Z1524*(INDEX(v01_PriestShare,G1524)*v01_OutPriest+INDEX(v01_ScribeShare,G1524)*v01_OutScribe*INDEX(LM_Scribe,G1524)+INDEX(v01_ScholarShare,G1524)*v01_OutScholar*INDEX(LM_Scholar,G1524)+INDEX(v01_ResearcherShare,G1524)*v01_OutResearcher*INDEX(LM_Researcher,G1524)))</x:f>
        <x:v>0</x:v>
      </x:c>
      <x:c r="AL1524" s="32" t="n">
        <x:f>H1524*v01_RoleScale*Arch_Roles*AE1524*INDEX(v01_MonasteryPerSett,G1524)*v01_OutMonastery*INDEX(LM_Monastery,G1524)</x:f>
        <x:v>0</x:v>
      </x:c>
      <x:c r="AM1524" s="32" t="n">
        <x:f>(AJ1524+AK1524+AL1524)/4*INDEX(LM_All,G1524)*INDEX(v01_Boon,G1524)*Arch_Insight</x:f>
        <x:v>0</x:v>
      </x:c>
      <x:c r="AN1524" s="32" t="n">
        <x:f>H1524*(v01_KHPerAdult*Z1524+v01_KHOfCommons*AJ1524/4*INDEX(LM_All,G1524))*v01_KHUsable*Arch_KH</x:f>
        <x:v>0</x:v>
      </x:c>
      <x:c r="AO1524" s="32" t="n">
        <x:f>MIN(AP1523+AN1524,AM1524*v01_KHMaxRatio)</x:f>
        <x:v>0</x:v>
      </x:c>
      <x:c r="AP1524" s="32" t="n">
        <x:f>AP1523+AN1524-AO1524</x:f>
        <x:v>0</x:v>
      </x:c>
      <x:c r="AQ1524" s="32" t="n">
        <x:f>AM1524+AO1524</x:f>
        <x:v>0</x:v>
      </x:c>
      <x:c r="AR1524" s="10" t="n">
        <x:f>IF(H1524=1,INDEX(v01_Req,G1524),0)</x:f>
        <x:v>0</x:v>
      </x:c>
      <x:c r="AS1524" s="32" t="n">
        <x:f>IF(H1524=1,IF(E1524=1,AS1523-AR1523,AS1523)+AQ1524,0)</x:f>
        <x:v>0</x:v>
      </x:c>
      <x:c r="AT1524" s="11" t="n">
        <x:f>IF(AR1524&gt;0,MIN(1,AS1524/AR1524),1)</x:f>
        <x:v>1</x:v>
      </x:c>
      <x:c r="AU1524" s="10" t="n">
        <x:f>AB1524/INDEX(v01_RepScale,G1524)</x:f>
        <x:v>90.09519605746344</x:v>
      </x:c>
      <x:c r="AV1524" s="32" t="n">
        <x:f>AM1524*60/v01_SeasonSeconds</x:f>
        <x:v>0</x:v>
      </x:c>
    </x:row>
    <x:row r="1525">
      <x:c r="A1525" s="8" t="n">
        <x:f>A1524+1</x:f>
        <x:v>1522</x:v>
      </x:c>
      <x:c r="B1525" s="9" t="n">
        <x:f>A1525*v01_SeasonSeconds/60</x:f>
        <x:v>380.5</x:v>
      </x:c>
      <x:c r="C1525" s="9" t="n">
        <x:f>A1525/4</x:f>
        <x:v>380.5</x:v>
      </x:c>
      <x:c r="D1525" s="8" t="n">
        <x:f>IF(MOD(A1525,4)=0,1,0)</x:f>
        <x:v>0</x:v>
      </x:c>
      <x:c r="E1525" s="8" t="n">
        <x:f>IF(AND(F1524&lt;=9,AS1524&gt;=AR1524),1,0)</x:f>
        <x:v>0</x:v>
      </x:c>
      <x:c r="F1525" s="8" t="n">
        <x:f>MIN(10,F1524+E1525)</x:f>
        <x:v>10</x:v>
      </x:c>
      <x:c r="G1525" s="8" t="n">
        <x:f>MIN(F1525,9)+1</x:f>
        <x:v>10</x:v>
      </x:c>
      <x:c r="H1525" s="8" t="n">
        <x:f>IF(F1525&lt;=9,1,0)</x:f>
        <x:v>0</x:v>
      </x:c>
      <x:c r="I1525" s="9" t="n">
        <x:f>MIN(10,F1524+IF(AR1524&gt;0,MIN(1,AS1524/AR1524),1))</x:f>
        <x:v>10</x:v>
      </x:c>
      <x:c r="J1525" s="32" t="n">
        <x:f>INDEX(v01_FoodCap,G1525)*Arch_FoodCap*EXP(v01_CapsByProject*SUMPRODUCT((Cap_Point&lt;=I1525)*(Cap_Kind="Food")*Cap_Ln))</x:f>
        <x:v>12000</x:v>
      </x:c>
      <x:c r="K1525" s="32" t="n">
        <x:f>J1525*MIN(1,v01_LeanBase*EXP(v01_CapsByProject*SUMPRODUCT((Cap_Point&lt;=I1525)*(Cap_Kind="Lean")*Cap_Ln)))</x:f>
        <x:v>12000</x:v>
      </x:c>
      <x:c r="L1525" s="10" t="n">
        <x:f>INDEX(v01_HousingCap,G1525)*EXP(v01_CapsByProject*SUMPRODUCT((Cap_Point&lt;=I1525)*(Cap_Kind="Housing")*Cap_Ln))</x:f>
        <x:v>20000</x:v>
      </x:c>
      <x:c r="M1525" s="10" t="n">
        <x:f>INDEX(v01_GroupCap,G1525)*v01_CohesionFactor*EXP(v01_CapsByProject*SUMPRODUCT((Cap_Point&lt;=I1525)*(Cap_Kind="Group")*Cap_Ln))</x:f>
        <x:v>1000000</x:v>
      </x:c>
      <x:c r="N1525" s="32" t="n">
        <x:f>MIN(J1525,L1525,M1525)</x:f>
        <x:v>12000</x:v>
      </x:c>
      <x:c r="O1525" s="10" t="n">
        <x:f>AE1524*N1525</x:f>
        <x:v>180000</x:v>
      </x:c>
      <x:c r="P1525" s="9" t="n">
        <x:f>MIN(1,(AB1524/(AE1524*IF(v01_GroupInCrowding=1,N1525,MIN(J1525,L1525))))^v01_CrowdingExp)</x:f>
        <x:v>0.00024569414295285325</x:v>
      </x:c>
      <x:c r="Q1525" s="9" t="n">
        <x:f>IF(D1525=1,INDEX(v01_WinterMult,G1525),1)</x:f>
        <x:v>1</x:v>
      </x:c>
      <x:c r="R1525" s="9" t="n">
        <x:f>H1525*Z1524*v01_WomenShare*v01_BaseFertility*INDEX(v01_FertMult,G1525)*Arch_Fertility*(1-P1525)</x:f>
        <x:v>0</x:v>
      </x:c>
      <x:c r="S1525" s="9" t="n">
        <x:f>H1525*Y1524*INDEX(v01_MortChild,G1525)/4*Q1525</x:f>
        <x:v>0</x:v>
      </x:c>
      <x:c r="T1525" s="9" t="n">
        <x:f>H1525*Z1524*INDEX(v01_MortAdult,G1525)*Arch_AdultMort/4*Q1525</x:f>
        <x:v>0</x:v>
      </x:c>
      <x:c r="U1525" s="9" t="n">
        <x:f>H1525*AA1524*INDEX(v01_MortElder,G1525)/4*Q1525</x:f>
        <x:v>0</x:v>
      </x:c>
      <x:c r="V1525" s="9" t="n">
        <x:f>H1525*MAX(0,AB1524-O1525)*v01_OvercapLoss</x:f>
        <x:v>0</x:v>
      </x:c>
      <x:c r="W1525" s="9" t="n">
        <x:f>H1525*Y1524/(v01_ChildYears*4)</x:f>
        <x:v>0</x:v>
      </x:c>
      <x:c r="X1525" s="9" t="n">
        <x:f>H1525*Z1524/(v01_AdultYears*4)</x:f>
        <x:v>0</x:v>
      </x:c>
      <x:c r="Y1525" s="32" t="n">
        <x:f>Y1524+R1525-S1525-W1525-Y1524*V1525/AB1524</x:f>
        <x:v>14306.18539759397</x:v>
      </x:c>
      <x:c r="Z1525" s="32" t="n">
        <x:f>Z1524+W1525-X1525-T1525-Z1524*V1525/AB1524</x:f>
        <x:v>19354.456567879548</x:v>
      </x:c>
      <x:c r="AA1525" s="32" t="n">
        <x:f>AA1524+X1525-U1525-AA1524*V1525/AB1524</x:f>
        <x:v>11386.956063258198</x:v>
      </x:c>
      <x:c r="AB1525" s="10" t="n">
        <x:f>Y1525+Z1525+AA1525</x:f>
        <x:v>45047.59802873172</x:v>
      </x:c>
      <x:c r="AC1525" s="8" t="n">
        <x:f>IF(AND(v01_WinterTrigger=1,D1525=1,AB1524/AE1524&gt;=K1525),1,0)</x:f>
        <x:v>0</x:v>
      </x:c>
      <x:c r="AD1525" s="8" t="n">
        <x:f>H1525*IF(AND(OR(AB1524/AE1524&gt;=v01_FissionTrigger*N1525,AC1525=1),AB1524/AE1524*v01_DaughterShare&gt;=v01_MinDaughter),MAX(1,ROUND(AE1524*v01_FissionRate,0)),0)</x:f>
        <x:v>0</x:v>
      </x:c>
      <x:c r="AE1525" s="8" t="n">
        <x:f>IF(H1525=1,MAX(1,MIN(INDEX(v01_Smax,G1525),AE1524+AD1525)),AE1524)</x:f>
        <x:v>15</x:v>
      </x:c>
      <x:c r="AF1525" s="8" t="n">
        <x:f>MAX(0,AE1525-AE1524)</x:f>
        <x:v>0</x:v>
      </x:c>
      <x:c r="AG1525" s="9" t="str">
        <x:f>IF(AF1525&gt;0,B1525,"")</x:f>
      </x:c>
      <x:c r="AH1525" s="9" t="n">
        <x:f>IF(F1525&gt;=1,1,(1+v01_LowTiesShare*(AE1525-1))/AE1525)</x:f>
        <x:v>1</x:v>
      </x:c>
      <x:c r="AI1525" s="32" t="n">
        <x:f>(Z1525+v01_ElderCommons*INDEX(LM_Elder,G1525)*AA1525)*AH1525</x:f>
        <x:v>64139.732591141874</x:v>
      </x:c>
      <x:c r="AJ1525" s="32" t="n">
        <x:f>H1525*v01_CommonsCoef*AI1525^v01_CommonsExp*INDEX(LM_Commons,G1525)</x:f>
        <x:v>0</x:v>
      </x:c>
      <x:c r="AK1525" s="32" t="n">
        <x:f>H1525*v01_RoleScale*Arch_Roles*(AE1525*(INDEX(v01_ElderRolePerSett,G1525)*v01_OutElder*INDEX(LM_Elder,G1525)+INDEX(v01_ShamanPerSett,G1525)*v01_OutShaman)+Z1525*(INDEX(v01_PriestShare,G1525)*v01_OutPriest+INDEX(v01_ScribeShare,G1525)*v01_OutScribe*INDEX(LM_Scribe,G1525)+INDEX(v01_ScholarShare,G1525)*v01_OutScholar*INDEX(LM_Scholar,G1525)+INDEX(v01_ResearcherShare,G1525)*v01_OutResearcher*INDEX(LM_Researcher,G1525)))</x:f>
        <x:v>0</x:v>
      </x:c>
      <x:c r="AL1525" s="32" t="n">
        <x:f>H1525*v01_RoleScale*Arch_Roles*AE1525*INDEX(v01_MonasteryPerSett,G1525)*v01_OutMonastery*INDEX(LM_Monastery,G1525)</x:f>
        <x:v>0</x:v>
      </x:c>
      <x:c r="AM1525" s="32" t="n">
        <x:f>(AJ1525+AK1525+AL1525)/4*INDEX(LM_All,G1525)*INDEX(v01_Boon,G1525)*Arch_Insight</x:f>
        <x:v>0</x:v>
      </x:c>
      <x:c r="AN1525" s="32" t="n">
        <x:f>H1525*(v01_KHPerAdult*Z1525+v01_KHOfCommons*AJ1525/4*INDEX(LM_All,G1525))*v01_KHUsable*Arch_KH</x:f>
        <x:v>0</x:v>
      </x:c>
      <x:c r="AO1525" s="32" t="n">
        <x:f>MIN(AP1524+AN1525,AM1525*v01_KHMaxRatio)</x:f>
        <x:v>0</x:v>
      </x:c>
      <x:c r="AP1525" s="32" t="n">
        <x:f>AP1524+AN1525-AO1525</x:f>
        <x:v>0</x:v>
      </x:c>
      <x:c r="AQ1525" s="32" t="n">
        <x:f>AM1525+AO1525</x:f>
        <x:v>0</x:v>
      </x:c>
      <x:c r="AR1525" s="10" t="n">
        <x:f>IF(H1525=1,INDEX(v01_Req,G1525),0)</x:f>
        <x:v>0</x:v>
      </x:c>
      <x:c r="AS1525" s="32" t="n">
        <x:f>IF(H1525=1,IF(E1525=1,AS1524-AR1524,AS1524)+AQ1525,0)</x:f>
        <x:v>0</x:v>
      </x:c>
      <x:c r="AT1525" s="11" t="n">
        <x:f>IF(AR1525&gt;0,MIN(1,AS1525/AR1525),1)</x:f>
        <x:v>1</x:v>
      </x:c>
      <x:c r="AU1525" s="10" t="n">
        <x:f>AB1525/INDEX(v01_RepScale,G1525)</x:f>
        <x:v>90.09519605746344</x:v>
      </x:c>
      <x:c r="AV1525" s="32" t="n">
        <x:f>AM1525*60/v01_SeasonSeconds</x:f>
        <x:v>0</x:v>
      </x:c>
    </x:row>
    <x:row r="1526">
      <x:c r="A1526" s="8" t="n">
        <x:f>A1525+1</x:f>
        <x:v>1523</x:v>
      </x:c>
      <x:c r="B1526" s="9" t="n">
        <x:f>A1526*v01_SeasonSeconds/60</x:f>
        <x:v>380.75</x:v>
      </x:c>
      <x:c r="C1526" s="9" t="n">
        <x:f>A1526/4</x:f>
        <x:v>380.75</x:v>
      </x:c>
      <x:c r="D1526" s="8" t="n">
        <x:f>IF(MOD(A1526,4)=0,1,0)</x:f>
        <x:v>0</x:v>
      </x:c>
      <x:c r="E1526" s="8" t="n">
        <x:f>IF(AND(F1525&lt;=9,AS1525&gt;=AR1525),1,0)</x:f>
        <x:v>0</x:v>
      </x:c>
      <x:c r="F1526" s="8" t="n">
        <x:f>MIN(10,F1525+E1526)</x:f>
        <x:v>10</x:v>
      </x:c>
      <x:c r="G1526" s="8" t="n">
        <x:f>MIN(F1526,9)+1</x:f>
        <x:v>10</x:v>
      </x:c>
      <x:c r="H1526" s="8" t="n">
        <x:f>IF(F1526&lt;=9,1,0)</x:f>
        <x:v>0</x:v>
      </x:c>
      <x:c r="I1526" s="9" t="n">
        <x:f>MIN(10,F1525+IF(AR1525&gt;0,MIN(1,AS1525/AR1525),1))</x:f>
        <x:v>10</x:v>
      </x:c>
      <x:c r="J1526" s="32" t="n">
        <x:f>INDEX(v01_FoodCap,G1526)*Arch_FoodCap*EXP(v01_CapsByProject*SUMPRODUCT((Cap_Point&lt;=I1526)*(Cap_Kind="Food")*Cap_Ln))</x:f>
        <x:v>12000</x:v>
      </x:c>
      <x:c r="K1526" s="32" t="n">
        <x:f>J1526*MIN(1,v01_LeanBase*EXP(v01_CapsByProject*SUMPRODUCT((Cap_Point&lt;=I1526)*(Cap_Kind="Lean")*Cap_Ln)))</x:f>
        <x:v>12000</x:v>
      </x:c>
      <x:c r="L1526" s="10" t="n">
        <x:f>INDEX(v01_HousingCap,G1526)*EXP(v01_CapsByProject*SUMPRODUCT((Cap_Point&lt;=I1526)*(Cap_Kind="Housing")*Cap_Ln))</x:f>
        <x:v>20000</x:v>
      </x:c>
      <x:c r="M1526" s="10" t="n">
        <x:f>INDEX(v01_GroupCap,G1526)*v01_CohesionFactor*EXP(v01_CapsByProject*SUMPRODUCT((Cap_Point&lt;=I1526)*(Cap_Kind="Group")*Cap_Ln))</x:f>
        <x:v>1000000</x:v>
      </x:c>
      <x:c r="N1526" s="32" t="n">
        <x:f>MIN(J1526,L1526,M1526)</x:f>
        <x:v>12000</x:v>
      </x:c>
      <x:c r="O1526" s="10" t="n">
        <x:f>AE1525*N1526</x:f>
        <x:v>180000</x:v>
      </x:c>
      <x:c r="P1526" s="9" t="n">
        <x:f>MIN(1,(AB1525/(AE1525*IF(v01_GroupInCrowding=1,N1526,MIN(J1526,L1526))))^v01_CrowdingExp)</x:f>
        <x:v>0.00024569414295285325</x:v>
      </x:c>
      <x:c r="Q1526" s="9" t="n">
        <x:f>IF(D1526=1,INDEX(v01_WinterMult,G1526),1)</x:f>
        <x:v>1</x:v>
      </x:c>
      <x:c r="R1526" s="9" t="n">
        <x:f>H1526*Z1525*v01_WomenShare*v01_BaseFertility*INDEX(v01_FertMult,G1526)*Arch_Fertility*(1-P1526)</x:f>
        <x:v>0</x:v>
      </x:c>
      <x:c r="S1526" s="9" t="n">
        <x:f>H1526*Y1525*INDEX(v01_MortChild,G1526)/4*Q1526</x:f>
        <x:v>0</x:v>
      </x:c>
      <x:c r="T1526" s="9" t="n">
        <x:f>H1526*Z1525*INDEX(v01_MortAdult,G1526)*Arch_AdultMort/4*Q1526</x:f>
        <x:v>0</x:v>
      </x:c>
      <x:c r="U1526" s="9" t="n">
        <x:f>H1526*AA1525*INDEX(v01_MortElder,G1526)/4*Q1526</x:f>
        <x:v>0</x:v>
      </x:c>
      <x:c r="V1526" s="9" t="n">
        <x:f>H1526*MAX(0,AB1525-O1526)*v01_OvercapLoss</x:f>
        <x:v>0</x:v>
      </x:c>
      <x:c r="W1526" s="9" t="n">
        <x:f>H1526*Y1525/(v01_ChildYears*4)</x:f>
        <x:v>0</x:v>
      </x:c>
      <x:c r="X1526" s="9" t="n">
        <x:f>H1526*Z1525/(v01_AdultYears*4)</x:f>
        <x:v>0</x:v>
      </x:c>
      <x:c r="Y1526" s="32" t="n">
        <x:f>Y1525+R1526-S1526-W1526-Y1525*V1526/AB1525</x:f>
        <x:v>14306.18539759397</x:v>
      </x:c>
      <x:c r="Z1526" s="32" t="n">
        <x:f>Z1525+W1526-X1526-T1526-Z1525*V1526/AB1525</x:f>
        <x:v>19354.456567879548</x:v>
      </x:c>
      <x:c r="AA1526" s="32" t="n">
        <x:f>AA1525+X1526-U1526-AA1525*V1526/AB1525</x:f>
        <x:v>11386.956063258198</x:v>
      </x:c>
      <x:c r="AB1526" s="10" t="n">
        <x:f>Y1526+Z1526+AA1526</x:f>
        <x:v>45047.59802873172</x:v>
      </x:c>
      <x:c r="AC1526" s="8" t="n">
        <x:f>IF(AND(v01_WinterTrigger=1,D1526=1,AB1525/AE1525&gt;=K1526),1,0)</x:f>
        <x:v>0</x:v>
      </x:c>
      <x:c r="AD1526" s="8" t="n">
        <x:f>H1526*IF(AND(OR(AB1525/AE1525&gt;=v01_FissionTrigger*N1526,AC1526=1),AB1525/AE1525*v01_DaughterShare&gt;=v01_MinDaughter),MAX(1,ROUND(AE1525*v01_FissionRate,0)),0)</x:f>
        <x:v>0</x:v>
      </x:c>
      <x:c r="AE1526" s="8" t="n">
        <x:f>IF(H1526=1,MAX(1,MIN(INDEX(v01_Smax,G1526),AE1525+AD1526)),AE1525)</x:f>
        <x:v>15</x:v>
      </x:c>
      <x:c r="AF1526" s="8" t="n">
        <x:f>MAX(0,AE1526-AE1525)</x:f>
        <x:v>0</x:v>
      </x:c>
      <x:c r="AG1526" s="9" t="str">
        <x:f>IF(AF1526&gt;0,B1526,"")</x:f>
      </x:c>
      <x:c r="AH1526" s="9" t="n">
        <x:f>IF(F1526&gt;=1,1,(1+v01_LowTiesShare*(AE1526-1))/AE1526)</x:f>
        <x:v>1</x:v>
      </x:c>
      <x:c r="AI1526" s="32" t="n">
        <x:f>(Z1526+v01_ElderCommons*INDEX(LM_Elder,G1526)*AA1526)*AH1526</x:f>
        <x:v>64139.732591141874</x:v>
      </x:c>
      <x:c r="AJ1526" s="32" t="n">
        <x:f>H1526*v01_CommonsCoef*AI1526^v01_CommonsExp*INDEX(LM_Commons,G1526)</x:f>
        <x:v>0</x:v>
      </x:c>
      <x:c r="AK1526" s="32" t="n">
        <x:f>H1526*v01_RoleScale*Arch_Roles*(AE1526*(INDEX(v01_ElderRolePerSett,G1526)*v01_OutElder*INDEX(LM_Elder,G1526)+INDEX(v01_ShamanPerSett,G1526)*v01_OutShaman)+Z1526*(INDEX(v01_PriestShare,G1526)*v01_OutPriest+INDEX(v01_ScribeShare,G1526)*v01_OutScribe*INDEX(LM_Scribe,G1526)+INDEX(v01_ScholarShare,G1526)*v01_OutScholar*INDEX(LM_Scholar,G1526)+INDEX(v01_ResearcherShare,G1526)*v01_OutResearcher*INDEX(LM_Researcher,G1526)))</x:f>
        <x:v>0</x:v>
      </x:c>
      <x:c r="AL1526" s="32" t="n">
        <x:f>H1526*v01_RoleScale*Arch_Roles*AE1526*INDEX(v01_MonasteryPerSett,G1526)*v01_OutMonastery*INDEX(LM_Monastery,G1526)</x:f>
        <x:v>0</x:v>
      </x:c>
      <x:c r="AM1526" s="32" t="n">
        <x:f>(AJ1526+AK1526+AL1526)/4*INDEX(LM_All,G1526)*INDEX(v01_Boon,G1526)*Arch_Insight</x:f>
        <x:v>0</x:v>
      </x:c>
      <x:c r="AN1526" s="32" t="n">
        <x:f>H1526*(v01_KHPerAdult*Z1526+v01_KHOfCommons*AJ1526/4*INDEX(LM_All,G1526))*v01_KHUsable*Arch_KH</x:f>
        <x:v>0</x:v>
      </x:c>
      <x:c r="AO1526" s="32" t="n">
        <x:f>MIN(AP1525+AN1526,AM1526*v01_KHMaxRatio)</x:f>
        <x:v>0</x:v>
      </x:c>
      <x:c r="AP1526" s="32" t="n">
        <x:f>AP1525+AN1526-AO1526</x:f>
        <x:v>0</x:v>
      </x:c>
      <x:c r="AQ1526" s="32" t="n">
        <x:f>AM1526+AO1526</x:f>
        <x:v>0</x:v>
      </x:c>
      <x:c r="AR1526" s="10" t="n">
        <x:f>IF(H1526=1,INDEX(v01_Req,G1526),0)</x:f>
        <x:v>0</x:v>
      </x:c>
      <x:c r="AS1526" s="32" t="n">
        <x:f>IF(H1526=1,IF(E1526=1,AS1525-AR1525,AS1525)+AQ1526,0)</x:f>
        <x:v>0</x:v>
      </x:c>
      <x:c r="AT1526" s="11" t="n">
        <x:f>IF(AR1526&gt;0,MIN(1,AS1526/AR1526),1)</x:f>
        <x:v>1</x:v>
      </x:c>
      <x:c r="AU1526" s="10" t="n">
        <x:f>AB1526/INDEX(v01_RepScale,G1526)</x:f>
        <x:v>90.09519605746344</x:v>
      </x:c>
      <x:c r="AV1526" s="32" t="n">
        <x:f>AM1526*60/v01_SeasonSeconds</x:f>
        <x:v>0</x:v>
      </x:c>
    </x:row>
    <x:row r="1527">
      <x:c r="A1527" s="8" t="n">
        <x:f>A1526+1</x:f>
        <x:v>1524</x:v>
      </x:c>
      <x:c r="B1527" s="9" t="n">
        <x:f>A1527*v01_SeasonSeconds/60</x:f>
        <x:v>381</x:v>
      </x:c>
      <x:c r="C1527" s="9" t="n">
        <x:f>A1527/4</x:f>
        <x:v>381</x:v>
      </x:c>
      <x:c r="D1527" s="8" t="n">
        <x:f>IF(MOD(A1527,4)=0,1,0)</x:f>
        <x:v>1</x:v>
      </x:c>
      <x:c r="E1527" s="8" t="n">
        <x:f>IF(AND(F1526&lt;=9,AS1526&gt;=AR1526),1,0)</x:f>
        <x:v>0</x:v>
      </x:c>
      <x:c r="F1527" s="8" t="n">
        <x:f>MIN(10,F1526+E1527)</x:f>
        <x:v>10</x:v>
      </x:c>
      <x:c r="G1527" s="8" t="n">
        <x:f>MIN(F1527,9)+1</x:f>
        <x:v>10</x:v>
      </x:c>
      <x:c r="H1527" s="8" t="n">
        <x:f>IF(F1527&lt;=9,1,0)</x:f>
        <x:v>0</x:v>
      </x:c>
      <x:c r="I1527" s="9" t="n">
        <x:f>MIN(10,F1526+IF(AR1526&gt;0,MIN(1,AS1526/AR1526),1))</x:f>
        <x:v>10</x:v>
      </x:c>
      <x:c r="J1527" s="32" t="n">
        <x:f>INDEX(v01_FoodCap,G1527)*Arch_FoodCap*EXP(v01_CapsByProject*SUMPRODUCT((Cap_Point&lt;=I1527)*(Cap_Kind="Food")*Cap_Ln))</x:f>
        <x:v>12000</x:v>
      </x:c>
      <x:c r="K1527" s="32" t="n">
        <x:f>J1527*MIN(1,v01_LeanBase*EXP(v01_CapsByProject*SUMPRODUCT((Cap_Point&lt;=I1527)*(Cap_Kind="Lean")*Cap_Ln)))</x:f>
        <x:v>12000</x:v>
      </x:c>
      <x:c r="L1527" s="10" t="n">
        <x:f>INDEX(v01_HousingCap,G1527)*EXP(v01_CapsByProject*SUMPRODUCT((Cap_Point&lt;=I1527)*(Cap_Kind="Housing")*Cap_Ln))</x:f>
        <x:v>20000</x:v>
      </x:c>
      <x:c r="M1527" s="10" t="n">
        <x:f>INDEX(v01_GroupCap,G1527)*v01_CohesionFactor*EXP(v01_CapsByProject*SUMPRODUCT((Cap_Point&lt;=I1527)*(Cap_Kind="Group")*Cap_Ln))</x:f>
        <x:v>1000000</x:v>
      </x:c>
      <x:c r="N1527" s="32" t="n">
        <x:f>MIN(J1527,L1527,M1527)</x:f>
        <x:v>12000</x:v>
      </x:c>
      <x:c r="O1527" s="10" t="n">
        <x:f>AE1526*N1527</x:f>
        <x:v>180000</x:v>
      </x:c>
      <x:c r="P1527" s="9" t="n">
        <x:f>MIN(1,(AB1526/(AE1526*IF(v01_GroupInCrowding=1,N1527,MIN(J1527,L1527))))^v01_CrowdingExp)</x:f>
        <x:v>0.00024569414295285325</x:v>
      </x:c>
      <x:c r="Q1527" s="9" t="n">
        <x:f>IF(D1527=1,INDEX(v01_WinterMult,G1527),1)</x:f>
        <x:v>1</x:v>
      </x:c>
      <x:c r="R1527" s="9" t="n">
        <x:f>H1527*Z1526*v01_WomenShare*v01_BaseFertility*INDEX(v01_FertMult,G1527)*Arch_Fertility*(1-P1527)</x:f>
        <x:v>0</x:v>
      </x:c>
      <x:c r="S1527" s="9" t="n">
        <x:f>H1527*Y1526*INDEX(v01_MortChild,G1527)/4*Q1527</x:f>
        <x:v>0</x:v>
      </x:c>
      <x:c r="T1527" s="9" t="n">
        <x:f>H1527*Z1526*INDEX(v01_MortAdult,G1527)*Arch_AdultMort/4*Q1527</x:f>
        <x:v>0</x:v>
      </x:c>
      <x:c r="U1527" s="9" t="n">
        <x:f>H1527*AA1526*INDEX(v01_MortElder,G1527)/4*Q1527</x:f>
        <x:v>0</x:v>
      </x:c>
      <x:c r="V1527" s="9" t="n">
        <x:f>H1527*MAX(0,AB1526-O1527)*v01_OvercapLoss</x:f>
        <x:v>0</x:v>
      </x:c>
      <x:c r="W1527" s="9" t="n">
        <x:f>H1527*Y1526/(v01_ChildYears*4)</x:f>
        <x:v>0</x:v>
      </x:c>
      <x:c r="X1527" s="9" t="n">
        <x:f>H1527*Z1526/(v01_AdultYears*4)</x:f>
        <x:v>0</x:v>
      </x:c>
      <x:c r="Y1527" s="32" t="n">
        <x:f>Y1526+R1527-S1527-W1527-Y1526*V1527/AB1526</x:f>
        <x:v>14306.18539759397</x:v>
      </x:c>
      <x:c r="Z1527" s="32" t="n">
        <x:f>Z1526+W1527-X1527-T1527-Z1526*V1527/AB1526</x:f>
        <x:v>19354.456567879548</x:v>
      </x:c>
      <x:c r="AA1527" s="32" t="n">
        <x:f>AA1526+X1527-U1527-AA1526*V1527/AB1526</x:f>
        <x:v>11386.956063258198</x:v>
      </x:c>
      <x:c r="AB1527" s="10" t="n">
        <x:f>Y1527+Z1527+AA1527</x:f>
        <x:v>45047.59802873172</x:v>
      </x:c>
      <x:c r="AC1527" s="8" t="n">
        <x:f>IF(AND(v01_WinterTrigger=1,D1527=1,AB1526/AE1526&gt;=K1527),1,0)</x:f>
        <x:v>0</x:v>
      </x:c>
      <x:c r="AD1527" s="8" t="n">
        <x:f>H1527*IF(AND(OR(AB1526/AE1526&gt;=v01_FissionTrigger*N1527,AC1527=1),AB1526/AE1526*v01_DaughterShare&gt;=v01_MinDaughter),MAX(1,ROUND(AE1526*v01_FissionRate,0)),0)</x:f>
        <x:v>0</x:v>
      </x:c>
      <x:c r="AE1527" s="8" t="n">
        <x:f>IF(H1527=1,MAX(1,MIN(INDEX(v01_Smax,G1527),AE1526+AD1527)),AE1526)</x:f>
        <x:v>15</x:v>
      </x:c>
      <x:c r="AF1527" s="8" t="n">
        <x:f>MAX(0,AE1527-AE1526)</x:f>
        <x:v>0</x:v>
      </x:c>
      <x:c r="AG1527" s="9" t="str">
        <x:f>IF(AF1527&gt;0,B1527,"")</x:f>
      </x:c>
      <x:c r="AH1527" s="9" t="n">
        <x:f>IF(F1527&gt;=1,1,(1+v01_LowTiesShare*(AE1527-1))/AE1527)</x:f>
        <x:v>1</x:v>
      </x:c>
      <x:c r="AI1527" s="32" t="n">
        <x:f>(Z1527+v01_ElderCommons*INDEX(LM_Elder,G1527)*AA1527)*AH1527</x:f>
        <x:v>64139.732591141874</x:v>
      </x:c>
      <x:c r="AJ1527" s="32" t="n">
        <x:f>H1527*v01_CommonsCoef*AI1527^v01_CommonsExp*INDEX(LM_Commons,G1527)</x:f>
        <x:v>0</x:v>
      </x:c>
      <x:c r="AK1527" s="32" t="n">
        <x:f>H1527*v01_RoleScale*Arch_Roles*(AE1527*(INDEX(v01_ElderRolePerSett,G1527)*v01_OutElder*INDEX(LM_Elder,G1527)+INDEX(v01_ShamanPerSett,G1527)*v01_OutShaman)+Z1527*(INDEX(v01_PriestShare,G1527)*v01_OutPriest+INDEX(v01_ScribeShare,G1527)*v01_OutScribe*INDEX(LM_Scribe,G1527)+INDEX(v01_ScholarShare,G1527)*v01_OutScholar*INDEX(LM_Scholar,G1527)+INDEX(v01_ResearcherShare,G1527)*v01_OutResearcher*INDEX(LM_Researcher,G1527)))</x:f>
        <x:v>0</x:v>
      </x:c>
      <x:c r="AL1527" s="32" t="n">
        <x:f>H1527*v01_RoleScale*Arch_Roles*AE1527*INDEX(v01_MonasteryPerSett,G1527)*v01_OutMonastery*INDEX(LM_Monastery,G1527)</x:f>
        <x:v>0</x:v>
      </x:c>
      <x:c r="AM1527" s="32" t="n">
        <x:f>(AJ1527+AK1527+AL1527)/4*INDEX(LM_All,G1527)*INDEX(v01_Boon,G1527)*Arch_Insight</x:f>
        <x:v>0</x:v>
      </x:c>
      <x:c r="AN1527" s="32" t="n">
        <x:f>H1527*(v01_KHPerAdult*Z1527+v01_KHOfCommons*AJ1527/4*INDEX(LM_All,G1527))*v01_KHUsable*Arch_KH</x:f>
        <x:v>0</x:v>
      </x:c>
      <x:c r="AO1527" s="32" t="n">
        <x:f>MIN(AP1526+AN1527,AM1527*v01_KHMaxRatio)</x:f>
        <x:v>0</x:v>
      </x:c>
      <x:c r="AP1527" s="32" t="n">
        <x:f>AP1526+AN1527-AO1527</x:f>
        <x:v>0</x:v>
      </x:c>
      <x:c r="AQ1527" s="32" t="n">
        <x:f>AM1527+AO1527</x:f>
        <x:v>0</x:v>
      </x:c>
      <x:c r="AR1527" s="10" t="n">
        <x:f>IF(H1527=1,INDEX(v01_Req,G1527),0)</x:f>
        <x:v>0</x:v>
      </x:c>
      <x:c r="AS1527" s="32" t="n">
        <x:f>IF(H1527=1,IF(E1527=1,AS1526-AR1526,AS1526)+AQ1527,0)</x:f>
        <x:v>0</x:v>
      </x:c>
      <x:c r="AT1527" s="11" t="n">
        <x:f>IF(AR1527&gt;0,MIN(1,AS1527/AR1527),1)</x:f>
        <x:v>1</x:v>
      </x:c>
      <x:c r="AU1527" s="10" t="n">
        <x:f>AB1527/INDEX(v01_RepScale,G1527)</x:f>
        <x:v>90.09519605746344</x:v>
      </x:c>
      <x:c r="AV1527" s="32" t="n">
        <x:f>AM1527*60/v01_SeasonSeconds</x:f>
        <x:v>0</x:v>
      </x:c>
    </x:row>
    <x:row r="1528">
      <x:c r="A1528" s="8" t="n">
        <x:f>A1527+1</x:f>
        <x:v>1525</x:v>
      </x:c>
      <x:c r="B1528" s="9" t="n">
        <x:f>A1528*v01_SeasonSeconds/60</x:f>
        <x:v>381.25</x:v>
      </x:c>
      <x:c r="C1528" s="9" t="n">
        <x:f>A1528/4</x:f>
        <x:v>381.25</x:v>
      </x:c>
      <x:c r="D1528" s="8" t="n">
        <x:f>IF(MOD(A1528,4)=0,1,0)</x:f>
        <x:v>0</x:v>
      </x:c>
      <x:c r="E1528" s="8" t="n">
        <x:f>IF(AND(F1527&lt;=9,AS1527&gt;=AR1527),1,0)</x:f>
        <x:v>0</x:v>
      </x:c>
      <x:c r="F1528" s="8" t="n">
        <x:f>MIN(10,F1527+E1528)</x:f>
        <x:v>10</x:v>
      </x:c>
      <x:c r="G1528" s="8" t="n">
        <x:f>MIN(F1528,9)+1</x:f>
        <x:v>10</x:v>
      </x:c>
      <x:c r="H1528" s="8" t="n">
        <x:f>IF(F1528&lt;=9,1,0)</x:f>
        <x:v>0</x:v>
      </x:c>
      <x:c r="I1528" s="9" t="n">
        <x:f>MIN(10,F1527+IF(AR1527&gt;0,MIN(1,AS1527/AR1527),1))</x:f>
        <x:v>10</x:v>
      </x:c>
      <x:c r="J1528" s="32" t="n">
        <x:f>INDEX(v01_FoodCap,G1528)*Arch_FoodCap*EXP(v01_CapsByProject*SUMPRODUCT((Cap_Point&lt;=I1528)*(Cap_Kind="Food")*Cap_Ln))</x:f>
        <x:v>12000</x:v>
      </x:c>
      <x:c r="K1528" s="32" t="n">
        <x:f>J1528*MIN(1,v01_LeanBase*EXP(v01_CapsByProject*SUMPRODUCT((Cap_Point&lt;=I1528)*(Cap_Kind="Lean")*Cap_Ln)))</x:f>
        <x:v>12000</x:v>
      </x:c>
      <x:c r="L1528" s="10" t="n">
        <x:f>INDEX(v01_HousingCap,G1528)*EXP(v01_CapsByProject*SUMPRODUCT((Cap_Point&lt;=I1528)*(Cap_Kind="Housing")*Cap_Ln))</x:f>
        <x:v>20000</x:v>
      </x:c>
      <x:c r="M1528" s="10" t="n">
        <x:f>INDEX(v01_GroupCap,G1528)*v01_CohesionFactor*EXP(v01_CapsByProject*SUMPRODUCT((Cap_Point&lt;=I1528)*(Cap_Kind="Group")*Cap_Ln))</x:f>
        <x:v>1000000</x:v>
      </x:c>
      <x:c r="N1528" s="32" t="n">
        <x:f>MIN(J1528,L1528,M1528)</x:f>
        <x:v>12000</x:v>
      </x:c>
      <x:c r="O1528" s="10" t="n">
        <x:f>AE1527*N1528</x:f>
        <x:v>180000</x:v>
      </x:c>
      <x:c r="P1528" s="9" t="n">
        <x:f>MIN(1,(AB1527/(AE1527*IF(v01_GroupInCrowding=1,N1528,MIN(J1528,L1528))))^v01_CrowdingExp)</x:f>
        <x:v>0.00024569414295285325</x:v>
      </x:c>
      <x:c r="Q1528" s="9" t="n">
        <x:f>IF(D1528=1,INDEX(v01_WinterMult,G1528),1)</x:f>
        <x:v>1</x:v>
      </x:c>
      <x:c r="R1528" s="9" t="n">
        <x:f>H1528*Z1527*v01_WomenShare*v01_BaseFertility*INDEX(v01_FertMult,G1528)*Arch_Fertility*(1-P1528)</x:f>
        <x:v>0</x:v>
      </x:c>
      <x:c r="S1528" s="9" t="n">
        <x:f>H1528*Y1527*INDEX(v01_MortChild,G1528)/4*Q1528</x:f>
        <x:v>0</x:v>
      </x:c>
      <x:c r="T1528" s="9" t="n">
        <x:f>H1528*Z1527*INDEX(v01_MortAdult,G1528)*Arch_AdultMort/4*Q1528</x:f>
        <x:v>0</x:v>
      </x:c>
      <x:c r="U1528" s="9" t="n">
        <x:f>H1528*AA1527*INDEX(v01_MortElder,G1528)/4*Q1528</x:f>
        <x:v>0</x:v>
      </x:c>
      <x:c r="V1528" s="9" t="n">
        <x:f>H1528*MAX(0,AB1527-O1528)*v01_OvercapLoss</x:f>
        <x:v>0</x:v>
      </x:c>
      <x:c r="W1528" s="9" t="n">
        <x:f>H1528*Y1527/(v01_ChildYears*4)</x:f>
        <x:v>0</x:v>
      </x:c>
      <x:c r="X1528" s="9" t="n">
        <x:f>H1528*Z1527/(v01_AdultYears*4)</x:f>
        <x:v>0</x:v>
      </x:c>
      <x:c r="Y1528" s="32" t="n">
        <x:f>Y1527+R1528-S1528-W1528-Y1527*V1528/AB1527</x:f>
        <x:v>14306.18539759397</x:v>
      </x:c>
      <x:c r="Z1528" s="32" t="n">
        <x:f>Z1527+W1528-X1528-T1528-Z1527*V1528/AB1527</x:f>
        <x:v>19354.456567879548</x:v>
      </x:c>
      <x:c r="AA1528" s="32" t="n">
        <x:f>AA1527+X1528-U1528-AA1527*V1528/AB1527</x:f>
        <x:v>11386.956063258198</x:v>
      </x:c>
      <x:c r="AB1528" s="10" t="n">
        <x:f>Y1528+Z1528+AA1528</x:f>
        <x:v>45047.59802873172</x:v>
      </x:c>
      <x:c r="AC1528" s="8" t="n">
        <x:f>IF(AND(v01_WinterTrigger=1,D1528=1,AB1527/AE1527&gt;=K1528),1,0)</x:f>
        <x:v>0</x:v>
      </x:c>
      <x:c r="AD1528" s="8" t="n">
        <x:f>H1528*IF(AND(OR(AB1527/AE1527&gt;=v01_FissionTrigger*N1528,AC1528=1),AB1527/AE1527*v01_DaughterShare&gt;=v01_MinDaughter),MAX(1,ROUND(AE1527*v01_FissionRate,0)),0)</x:f>
        <x:v>0</x:v>
      </x:c>
      <x:c r="AE1528" s="8" t="n">
        <x:f>IF(H1528=1,MAX(1,MIN(INDEX(v01_Smax,G1528),AE1527+AD1528)),AE1527)</x:f>
        <x:v>15</x:v>
      </x:c>
      <x:c r="AF1528" s="8" t="n">
        <x:f>MAX(0,AE1528-AE1527)</x:f>
        <x:v>0</x:v>
      </x:c>
      <x:c r="AG1528" s="9" t="str">
        <x:f>IF(AF1528&gt;0,B1528,"")</x:f>
      </x:c>
      <x:c r="AH1528" s="9" t="n">
        <x:f>IF(F1528&gt;=1,1,(1+v01_LowTiesShare*(AE1528-1))/AE1528)</x:f>
        <x:v>1</x:v>
      </x:c>
      <x:c r="AI1528" s="32" t="n">
        <x:f>(Z1528+v01_ElderCommons*INDEX(LM_Elder,G1528)*AA1528)*AH1528</x:f>
        <x:v>64139.732591141874</x:v>
      </x:c>
      <x:c r="AJ1528" s="32" t="n">
        <x:f>H1528*v01_CommonsCoef*AI1528^v01_CommonsExp*INDEX(LM_Commons,G1528)</x:f>
        <x:v>0</x:v>
      </x:c>
      <x:c r="AK1528" s="32" t="n">
        <x:f>H1528*v01_RoleScale*Arch_Roles*(AE1528*(INDEX(v01_ElderRolePerSett,G1528)*v01_OutElder*INDEX(LM_Elder,G1528)+INDEX(v01_ShamanPerSett,G1528)*v01_OutShaman)+Z1528*(INDEX(v01_PriestShare,G1528)*v01_OutPriest+INDEX(v01_ScribeShare,G1528)*v01_OutScribe*INDEX(LM_Scribe,G1528)+INDEX(v01_ScholarShare,G1528)*v01_OutScholar*INDEX(LM_Scholar,G1528)+INDEX(v01_ResearcherShare,G1528)*v01_OutResearcher*INDEX(LM_Researcher,G1528)))</x:f>
        <x:v>0</x:v>
      </x:c>
      <x:c r="AL1528" s="32" t="n">
        <x:f>H1528*v01_RoleScale*Arch_Roles*AE1528*INDEX(v01_MonasteryPerSett,G1528)*v01_OutMonastery*INDEX(LM_Monastery,G1528)</x:f>
        <x:v>0</x:v>
      </x:c>
      <x:c r="AM1528" s="32" t="n">
        <x:f>(AJ1528+AK1528+AL1528)/4*INDEX(LM_All,G1528)*INDEX(v01_Boon,G1528)*Arch_Insight</x:f>
        <x:v>0</x:v>
      </x:c>
      <x:c r="AN1528" s="32" t="n">
        <x:f>H1528*(v01_KHPerAdult*Z1528+v01_KHOfCommons*AJ1528/4*INDEX(LM_All,G1528))*v01_KHUsable*Arch_KH</x:f>
        <x:v>0</x:v>
      </x:c>
      <x:c r="AO1528" s="32" t="n">
        <x:f>MIN(AP1527+AN1528,AM1528*v01_KHMaxRatio)</x:f>
        <x:v>0</x:v>
      </x:c>
      <x:c r="AP1528" s="32" t="n">
        <x:f>AP1527+AN1528-AO1528</x:f>
        <x:v>0</x:v>
      </x:c>
      <x:c r="AQ1528" s="32" t="n">
        <x:f>AM1528+AO1528</x:f>
        <x:v>0</x:v>
      </x:c>
      <x:c r="AR1528" s="10" t="n">
        <x:f>IF(H1528=1,INDEX(v01_Req,G1528),0)</x:f>
        <x:v>0</x:v>
      </x:c>
      <x:c r="AS1528" s="32" t="n">
        <x:f>IF(H1528=1,IF(E1528=1,AS1527-AR1527,AS1527)+AQ1528,0)</x:f>
        <x:v>0</x:v>
      </x:c>
      <x:c r="AT1528" s="11" t="n">
        <x:f>IF(AR1528&gt;0,MIN(1,AS1528/AR1528),1)</x:f>
        <x:v>1</x:v>
      </x:c>
      <x:c r="AU1528" s="10" t="n">
        <x:f>AB1528/INDEX(v01_RepScale,G1528)</x:f>
        <x:v>90.09519605746344</x:v>
      </x:c>
      <x:c r="AV1528" s="32" t="n">
        <x:f>AM1528*60/v01_SeasonSeconds</x:f>
        <x:v>0</x:v>
      </x:c>
    </x:row>
    <x:row r="1529">
      <x:c r="A1529" s="8" t="n">
        <x:f>A1528+1</x:f>
        <x:v>1526</x:v>
      </x:c>
      <x:c r="B1529" s="9" t="n">
        <x:f>A1529*v01_SeasonSeconds/60</x:f>
        <x:v>381.5</x:v>
      </x:c>
      <x:c r="C1529" s="9" t="n">
        <x:f>A1529/4</x:f>
        <x:v>381.5</x:v>
      </x:c>
      <x:c r="D1529" s="8" t="n">
        <x:f>IF(MOD(A1529,4)=0,1,0)</x:f>
        <x:v>0</x:v>
      </x:c>
      <x:c r="E1529" s="8" t="n">
        <x:f>IF(AND(F1528&lt;=9,AS1528&gt;=AR1528),1,0)</x:f>
        <x:v>0</x:v>
      </x:c>
      <x:c r="F1529" s="8" t="n">
        <x:f>MIN(10,F1528+E1529)</x:f>
        <x:v>10</x:v>
      </x:c>
      <x:c r="G1529" s="8" t="n">
        <x:f>MIN(F1529,9)+1</x:f>
        <x:v>10</x:v>
      </x:c>
      <x:c r="H1529" s="8" t="n">
        <x:f>IF(F1529&lt;=9,1,0)</x:f>
        <x:v>0</x:v>
      </x:c>
      <x:c r="I1529" s="9" t="n">
        <x:f>MIN(10,F1528+IF(AR1528&gt;0,MIN(1,AS1528/AR1528),1))</x:f>
        <x:v>10</x:v>
      </x:c>
      <x:c r="J1529" s="32" t="n">
        <x:f>INDEX(v01_FoodCap,G1529)*Arch_FoodCap*EXP(v01_CapsByProject*SUMPRODUCT((Cap_Point&lt;=I1529)*(Cap_Kind="Food")*Cap_Ln))</x:f>
        <x:v>12000</x:v>
      </x:c>
      <x:c r="K1529" s="32" t="n">
        <x:f>J1529*MIN(1,v01_LeanBase*EXP(v01_CapsByProject*SUMPRODUCT((Cap_Point&lt;=I1529)*(Cap_Kind="Lean")*Cap_Ln)))</x:f>
        <x:v>12000</x:v>
      </x:c>
      <x:c r="L1529" s="10" t="n">
        <x:f>INDEX(v01_HousingCap,G1529)*EXP(v01_CapsByProject*SUMPRODUCT((Cap_Point&lt;=I1529)*(Cap_Kind="Housing")*Cap_Ln))</x:f>
        <x:v>20000</x:v>
      </x:c>
      <x:c r="M1529" s="10" t="n">
        <x:f>INDEX(v01_GroupCap,G1529)*v01_CohesionFactor*EXP(v01_CapsByProject*SUMPRODUCT((Cap_Point&lt;=I1529)*(Cap_Kind="Group")*Cap_Ln))</x:f>
        <x:v>1000000</x:v>
      </x:c>
      <x:c r="N1529" s="32" t="n">
        <x:f>MIN(J1529,L1529,M1529)</x:f>
        <x:v>12000</x:v>
      </x:c>
      <x:c r="O1529" s="10" t="n">
        <x:f>AE1528*N1529</x:f>
        <x:v>180000</x:v>
      </x:c>
      <x:c r="P1529" s="9" t="n">
        <x:f>MIN(1,(AB1528/(AE1528*IF(v01_GroupInCrowding=1,N1529,MIN(J1529,L1529))))^v01_CrowdingExp)</x:f>
        <x:v>0.00024569414295285325</x:v>
      </x:c>
      <x:c r="Q1529" s="9" t="n">
        <x:f>IF(D1529=1,INDEX(v01_WinterMult,G1529),1)</x:f>
        <x:v>1</x:v>
      </x:c>
      <x:c r="R1529" s="9" t="n">
        <x:f>H1529*Z1528*v01_WomenShare*v01_BaseFertility*INDEX(v01_FertMult,G1529)*Arch_Fertility*(1-P1529)</x:f>
        <x:v>0</x:v>
      </x:c>
      <x:c r="S1529" s="9" t="n">
        <x:f>H1529*Y1528*INDEX(v01_MortChild,G1529)/4*Q1529</x:f>
        <x:v>0</x:v>
      </x:c>
      <x:c r="T1529" s="9" t="n">
        <x:f>H1529*Z1528*INDEX(v01_MortAdult,G1529)*Arch_AdultMort/4*Q1529</x:f>
        <x:v>0</x:v>
      </x:c>
      <x:c r="U1529" s="9" t="n">
        <x:f>H1529*AA1528*INDEX(v01_MortElder,G1529)/4*Q1529</x:f>
        <x:v>0</x:v>
      </x:c>
      <x:c r="V1529" s="9" t="n">
        <x:f>H1529*MAX(0,AB1528-O1529)*v01_OvercapLoss</x:f>
        <x:v>0</x:v>
      </x:c>
      <x:c r="W1529" s="9" t="n">
        <x:f>H1529*Y1528/(v01_ChildYears*4)</x:f>
        <x:v>0</x:v>
      </x:c>
      <x:c r="X1529" s="9" t="n">
        <x:f>H1529*Z1528/(v01_AdultYears*4)</x:f>
        <x:v>0</x:v>
      </x:c>
      <x:c r="Y1529" s="32" t="n">
        <x:f>Y1528+R1529-S1529-W1529-Y1528*V1529/AB1528</x:f>
        <x:v>14306.18539759397</x:v>
      </x:c>
      <x:c r="Z1529" s="32" t="n">
        <x:f>Z1528+W1529-X1529-T1529-Z1528*V1529/AB1528</x:f>
        <x:v>19354.456567879548</x:v>
      </x:c>
      <x:c r="AA1529" s="32" t="n">
        <x:f>AA1528+X1529-U1529-AA1528*V1529/AB1528</x:f>
        <x:v>11386.956063258198</x:v>
      </x:c>
      <x:c r="AB1529" s="10" t="n">
        <x:f>Y1529+Z1529+AA1529</x:f>
        <x:v>45047.59802873172</x:v>
      </x:c>
      <x:c r="AC1529" s="8" t="n">
        <x:f>IF(AND(v01_WinterTrigger=1,D1529=1,AB1528/AE1528&gt;=K1529),1,0)</x:f>
        <x:v>0</x:v>
      </x:c>
      <x:c r="AD1529" s="8" t="n">
        <x:f>H1529*IF(AND(OR(AB1528/AE1528&gt;=v01_FissionTrigger*N1529,AC1529=1),AB1528/AE1528*v01_DaughterShare&gt;=v01_MinDaughter),MAX(1,ROUND(AE1528*v01_FissionRate,0)),0)</x:f>
        <x:v>0</x:v>
      </x:c>
      <x:c r="AE1529" s="8" t="n">
        <x:f>IF(H1529=1,MAX(1,MIN(INDEX(v01_Smax,G1529),AE1528+AD1529)),AE1528)</x:f>
        <x:v>15</x:v>
      </x:c>
      <x:c r="AF1529" s="8" t="n">
        <x:f>MAX(0,AE1529-AE1528)</x:f>
        <x:v>0</x:v>
      </x:c>
      <x:c r="AG1529" s="9" t="str">
        <x:f>IF(AF1529&gt;0,B1529,"")</x:f>
      </x:c>
      <x:c r="AH1529" s="9" t="n">
        <x:f>IF(F1529&gt;=1,1,(1+v01_LowTiesShare*(AE1529-1))/AE1529)</x:f>
        <x:v>1</x:v>
      </x:c>
      <x:c r="AI1529" s="32" t="n">
        <x:f>(Z1529+v01_ElderCommons*INDEX(LM_Elder,G1529)*AA1529)*AH1529</x:f>
        <x:v>64139.732591141874</x:v>
      </x:c>
      <x:c r="AJ1529" s="32" t="n">
        <x:f>H1529*v01_CommonsCoef*AI1529^v01_CommonsExp*INDEX(LM_Commons,G1529)</x:f>
        <x:v>0</x:v>
      </x:c>
      <x:c r="AK1529" s="32" t="n">
        <x:f>H1529*v01_RoleScale*Arch_Roles*(AE1529*(INDEX(v01_ElderRolePerSett,G1529)*v01_OutElder*INDEX(LM_Elder,G1529)+INDEX(v01_ShamanPerSett,G1529)*v01_OutShaman)+Z1529*(INDEX(v01_PriestShare,G1529)*v01_OutPriest+INDEX(v01_ScribeShare,G1529)*v01_OutScribe*INDEX(LM_Scribe,G1529)+INDEX(v01_ScholarShare,G1529)*v01_OutScholar*INDEX(LM_Scholar,G1529)+INDEX(v01_ResearcherShare,G1529)*v01_OutResearcher*INDEX(LM_Researcher,G1529)))</x:f>
        <x:v>0</x:v>
      </x:c>
      <x:c r="AL1529" s="32" t="n">
        <x:f>H1529*v01_RoleScale*Arch_Roles*AE1529*INDEX(v01_MonasteryPerSett,G1529)*v01_OutMonastery*INDEX(LM_Monastery,G1529)</x:f>
        <x:v>0</x:v>
      </x:c>
      <x:c r="AM1529" s="32" t="n">
        <x:f>(AJ1529+AK1529+AL1529)/4*INDEX(LM_All,G1529)*INDEX(v01_Boon,G1529)*Arch_Insight</x:f>
        <x:v>0</x:v>
      </x:c>
      <x:c r="AN1529" s="32" t="n">
        <x:f>H1529*(v01_KHPerAdult*Z1529+v01_KHOfCommons*AJ1529/4*INDEX(LM_All,G1529))*v01_KHUsable*Arch_KH</x:f>
        <x:v>0</x:v>
      </x:c>
      <x:c r="AO1529" s="32" t="n">
        <x:f>MIN(AP1528+AN1529,AM1529*v01_KHMaxRatio)</x:f>
        <x:v>0</x:v>
      </x:c>
      <x:c r="AP1529" s="32" t="n">
        <x:f>AP1528+AN1529-AO1529</x:f>
        <x:v>0</x:v>
      </x:c>
      <x:c r="AQ1529" s="32" t="n">
        <x:f>AM1529+AO1529</x:f>
        <x:v>0</x:v>
      </x:c>
      <x:c r="AR1529" s="10" t="n">
        <x:f>IF(H1529=1,INDEX(v01_Req,G1529),0)</x:f>
        <x:v>0</x:v>
      </x:c>
      <x:c r="AS1529" s="32" t="n">
        <x:f>IF(H1529=1,IF(E1529=1,AS1528-AR1528,AS1528)+AQ1529,0)</x:f>
        <x:v>0</x:v>
      </x:c>
      <x:c r="AT1529" s="11" t="n">
        <x:f>IF(AR1529&gt;0,MIN(1,AS1529/AR1529),1)</x:f>
        <x:v>1</x:v>
      </x:c>
      <x:c r="AU1529" s="10" t="n">
        <x:f>AB1529/INDEX(v01_RepScale,G1529)</x:f>
        <x:v>90.09519605746344</x:v>
      </x:c>
      <x:c r="AV1529" s="32" t="n">
        <x:f>AM1529*60/v01_SeasonSeconds</x:f>
        <x:v>0</x:v>
      </x:c>
    </x:row>
    <x:row r="1530">
      <x:c r="A1530" s="8" t="n">
        <x:f>A1529+1</x:f>
        <x:v>1527</x:v>
      </x:c>
      <x:c r="B1530" s="9" t="n">
        <x:f>A1530*v01_SeasonSeconds/60</x:f>
        <x:v>381.75</x:v>
      </x:c>
      <x:c r="C1530" s="9" t="n">
        <x:f>A1530/4</x:f>
        <x:v>381.75</x:v>
      </x:c>
      <x:c r="D1530" s="8" t="n">
        <x:f>IF(MOD(A1530,4)=0,1,0)</x:f>
        <x:v>0</x:v>
      </x:c>
      <x:c r="E1530" s="8" t="n">
        <x:f>IF(AND(F1529&lt;=9,AS1529&gt;=AR1529),1,0)</x:f>
        <x:v>0</x:v>
      </x:c>
      <x:c r="F1530" s="8" t="n">
        <x:f>MIN(10,F1529+E1530)</x:f>
        <x:v>10</x:v>
      </x:c>
      <x:c r="G1530" s="8" t="n">
        <x:f>MIN(F1530,9)+1</x:f>
        <x:v>10</x:v>
      </x:c>
      <x:c r="H1530" s="8" t="n">
        <x:f>IF(F1530&lt;=9,1,0)</x:f>
        <x:v>0</x:v>
      </x:c>
      <x:c r="I1530" s="9" t="n">
        <x:f>MIN(10,F1529+IF(AR1529&gt;0,MIN(1,AS1529/AR1529),1))</x:f>
        <x:v>10</x:v>
      </x:c>
      <x:c r="J1530" s="32" t="n">
        <x:f>INDEX(v01_FoodCap,G1530)*Arch_FoodCap*EXP(v01_CapsByProject*SUMPRODUCT((Cap_Point&lt;=I1530)*(Cap_Kind="Food")*Cap_Ln))</x:f>
        <x:v>12000</x:v>
      </x:c>
      <x:c r="K1530" s="32" t="n">
        <x:f>J1530*MIN(1,v01_LeanBase*EXP(v01_CapsByProject*SUMPRODUCT((Cap_Point&lt;=I1530)*(Cap_Kind="Lean")*Cap_Ln)))</x:f>
        <x:v>12000</x:v>
      </x:c>
      <x:c r="L1530" s="10" t="n">
        <x:f>INDEX(v01_HousingCap,G1530)*EXP(v01_CapsByProject*SUMPRODUCT((Cap_Point&lt;=I1530)*(Cap_Kind="Housing")*Cap_Ln))</x:f>
        <x:v>20000</x:v>
      </x:c>
      <x:c r="M1530" s="10" t="n">
        <x:f>INDEX(v01_GroupCap,G1530)*v01_CohesionFactor*EXP(v01_CapsByProject*SUMPRODUCT((Cap_Point&lt;=I1530)*(Cap_Kind="Group")*Cap_Ln))</x:f>
        <x:v>1000000</x:v>
      </x:c>
      <x:c r="N1530" s="32" t="n">
        <x:f>MIN(J1530,L1530,M1530)</x:f>
        <x:v>12000</x:v>
      </x:c>
      <x:c r="O1530" s="10" t="n">
        <x:f>AE1529*N1530</x:f>
        <x:v>180000</x:v>
      </x:c>
      <x:c r="P1530" s="9" t="n">
        <x:f>MIN(1,(AB1529/(AE1529*IF(v01_GroupInCrowding=1,N1530,MIN(J1530,L1530))))^v01_CrowdingExp)</x:f>
        <x:v>0.00024569414295285325</x:v>
      </x:c>
      <x:c r="Q1530" s="9" t="n">
        <x:f>IF(D1530=1,INDEX(v01_WinterMult,G1530),1)</x:f>
        <x:v>1</x:v>
      </x:c>
      <x:c r="R1530" s="9" t="n">
        <x:f>H1530*Z1529*v01_WomenShare*v01_BaseFertility*INDEX(v01_FertMult,G1530)*Arch_Fertility*(1-P1530)</x:f>
        <x:v>0</x:v>
      </x:c>
      <x:c r="S1530" s="9" t="n">
        <x:f>H1530*Y1529*INDEX(v01_MortChild,G1530)/4*Q1530</x:f>
        <x:v>0</x:v>
      </x:c>
      <x:c r="T1530" s="9" t="n">
        <x:f>H1530*Z1529*INDEX(v01_MortAdult,G1530)*Arch_AdultMort/4*Q1530</x:f>
        <x:v>0</x:v>
      </x:c>
      <x:c r="U1530" s="9" t="n">
        <x:f>H1530*AA1529*INDEX(v01_MortElder,G1530)/4*Q1530</x:f>
        <x:v>0</x:v>
      </x:c>
      <x:c r="V1530" s="9" t="n">
        <x:f>H1530*MAX(0,AB1529-O1530)*v01_OvercapLoss</x:f>
        <x:v>0</x:v>
      </x:c>
      <x:c r="W1530" s="9" t="n">
        <x:f>H1530*Y1529/(v01_ChildYears*4)</x:f>
        <x:v>0</x:v>
      </x:c>
      <x:c r="X1530" s="9" t="n">
        <x:f>H1530*Z1529/(v01_AdultYears*4)</x:f>
        <x:v>0</x:v>
      </x:c>
      <x:c r="Y1530" s="32" t="n">
        <x:f>Y1529+R1530-S1530-W1530-Y1529*V1530/AB1529</x:f>
        <x:v>14306.18539759397</x:v>
      </x:c>
      <x:c r="Z1530" s="32" t="n">
        <x:f>Z1529+W1530-X1530-T1530-Z1529*V1530/AB1529</x:f>
        <x:v>19354.456567879548</x:v>
      </x:c>
      <x:c r="AA1530" s="32" t="n">
        <x:f>AA1529+X1530-U1530-AA1529*V1530/AB1529</x:f>
        <x:v>11386.956063258198</x:v>
      </x:c>
      <x:c r="AB1530" s="10" t="n">
        <x:f>Y1530+Z1530+AA1530</x:f>
        <x:v>45047.59802873172</x:v>
      </x:c>
      <x:c r="AC1530" s="8" t="n">
        <x:f>IF(AND(v01_WinterTrigger=1,D1530=1,AB1529/AE1529&gt;=K1530),1,0)</x:f>
        <x:v>0</x:v>
      </x:c>
      <x:c r="AD1530" s="8" t="n">
        <x:f>H1530*IF(AND(OR(AB1529/AE1529&gt;=v01_FissionTrigger*N1530,AC1530=1),AB1529/AE1529*v01_DaughterShare&gt;=v01_MinDaughter),MAX(1,ROUND(AE1529*v01_FissionRate,0)),0)</x:f>
        <x:v>0</x:v>
      </x:c>
      <x:c r="AE1530" s="8" t="n">
        <x:f>IF(H1530=1,MAX(1,MIN(INDEX(v01_Smax,G1530),AE1529+AD1530)),AE1529)</x:f>
        <x:v>15</x:v>
      </x:c>
      <x:c r="AF1530" s="8" t="n">
        <x:f>MAX(0,AE1530-AE1529)</x:f>
        <x:v>0</x:v>
      </x:c>
      <x:c r="AG1530" s="9" t="str">
        <x:f>IF(AF1530&gt;0,B1530,"")</x:f>
      </x:c>
      <x:c r="AH1530" s="9" t="n">
        <x:f>IF(F1530&gt;=1,1,(1+v01_LowTiesShare*(AE1530-1))/AE1530)</x:f>
        <x:v>1</x:v>
      </x:c>
      <x:c r="AI1530" s="32" t="n">
        <x:f>(Z1530+v01_ElderCommons*INDEX(LM_Elder,G1530)*AA1530)*AH1530</x:f>
        <x:v>64139.732591141874</x:v>
      </x:c>
      <x:c r="AJ1530" s="32" t="n">
        <x:f>H1530*v01_CommonsCoef*AI1530^v01_CommonsExp*INDEX(LM_Commons,G1530)</x:f>
        <x:v>0</x:v>
      </x:c>
      <x:c r="AK1530" s="32" t="n">
        <x:f>H1530*v01_RoleScale*Arch_Roles*(AE1530*(INDEX(v01_ElderRolePerSett,G1530)*v01_OutElder*INDEX(LM_Elder,G1530)+INDEX(v01_ShamanPerSett,G1530)*v01_OutShaman)+Z1530*(INDEX(v01_PriestShare,G1530)*v01_OutPriest+INDEX(v01_ScribeShare,G1530)*v01_OutScribe*INDEX(LM_Scribe,G1530)+INDEX(v01_ScholarShare,G1530)*v01_OutScholar*INDEX(LM_Scholar,G1530)+INDEX(v01_ResearcherShare,G1530)*v01_OutResearcher*INDEX(LM_Researcher,G1530)))</x:f>
        <x:v>0</x:v>
      </x:c>
      <x:c r="AL1530" s="32" t="n">
        <x:f>H1530*v01_RoleScale*Arch_Roles*AE1530*INDEX(v01_MonasteryPerSett,G1530)*v01_OutMonastery*INDEX(LM_Monastery,G1530)</x:f>
        <x:v>0</x:v>
      </x:c>
      <x:c r="AM1530" s="32" t="n">
        <x:f>(AJ1530+AK1530+AL1530)/4*INDEX(LM_All,G1530)*INDEX(v01_Boon,G1530)*Arch_Insight</x:f>
        <x:v>0</x:v>
      </x:c>
      <x:c r="AN1530" s="32" t="n">
        <x:f>H1530*(v01_KHPerAdult*Z1530+v01_KHOfCommons*AJ1530/4*INDEX(LM_All,G1530))*v01_KHUsable*Arch_KH</x:f>
        <x:v>0</x:v>
      </x:c>
      <x:c r="AO1530" s="32" t="n">
        <x:f>MIN(AP1529+AN1530,AM1530*v01_KHMaxRatio)</x:f>
        <x:v>0</x:v>
      </x:c>
      <x:c r="AP1530" s="32" t="n">
        <x:f>AP1529+AN1530-AO1530</x:f>
        <x:v>0</x:v>
      </x:c>
      <x:c r="AQ1530" s="32" t="n">
        <x:f>AM1530+AO1530</x:f>
        <x:v>0</x:v>
      </x:c>
      <x:c r="AR1530" s="10" t="n">
        <x:f>IF(H1530=1,INDEX(v01_Req,G1530),0)</x:f>
        <x:v>0</x:v>
      </x:c>
      <x:c r="AS1530" s="32" t="n">
        <x:f>IF(H1530=1,IF(E1530=1,AS1529-AR1529,AS1529)+AQ1530,0)</x:f>
        <x:v>0</x:v>
      </x:c>
      <x:c r="AT1530" s="11" t="n">
        <x:f>IF(AR1530&gt;0,MIN(1,AS1530/AR1530),1)</x:f>
        <x:v>1</x:v>
      </x:c>
      <x:c r="AU1530" s="10" t="n">
        <x:f>AB1530/INDEX(v01_RepScale,G1530)</x:f>
        <x:v>90.09519605746344</x:v>
      </x:c>
      <x:c r="AV1530" s="32" t="n">
        <x:f>AM1530*60/v01_SeasonSeconds</x:f>
        <x:v>0</x:v>
      </x:c>
    </x:row>
    <x:row r="1531">
      <x:c r="A1531" s="8" t="n">
        <x:f>A1530+1</x:f>
        <x:v>1528</x:v>
      </x:c>
      <x:c r="B1531" s="9" t="n">
        <x:f>A1531*v01_SeasonSeconds/60</x:f>
        <x:v>382</x:v>
      </x:c>
      <x:c r="C1531" s="9" t="n">
        <x:f>A1531/4</x:f>
        <x:v>382</x:v>
      </x:c>
      <x:c r="D1531" s="8" t="n">
        <x:f>IF(MOD(A1531,4)=0,1,0)</x:f>
        <x:v>1</x:v>
      </x:c>
      <x:c r="E1531" s="8" t="n">
        <x:f>IF(AND(F1530&lt;=9,AS1530&gt;=AR1530),1,0)</x:f>
        <x:v>0</x:v>
      </x:c>
      <x:c r="F1531" s="8" t="n">
        <x:f>MIN(10,F1530+E1531)</x:f>
        <x:v>10</x:v>
      </x:c>
      <x:c r="G1531" s="8" t="n">
        <x:f>MIN(F1531,9)+1</x:f>
        <x:v>10</x:v>
      </x:c>
      <x:c r="H1531" s="8" t="n">
        <x:f>IF(F1531&lt;=9,1,0)</x:f>
        <x:v>0</x:v>
      </x:c>
      <x:c r="I1531" s="9" t="n">
        <x:f>MIN(10,F1530+IF(AR1530&gt;0,MIN(1,AS1530/AR1530),1))</x:f>
        <x:v>10</x:v>
      </x:c>
      <x:c r="J1531" s="32" t="n">
        <x:f>INDEX(v01_FoodCap,G1531)*Arch_FoodCap*EXP(v01_CapsByProject*SUMPRODUCT((Cap_Point&lt;=I1531)*(Cap_Kind="Food")*Cap_Ln))</x:f>
        <x:v>12000</x:v>
      </x:c>
      <x:c r="K1531" s="32" t="n">
        <x:f>J1531*MIN(1,v01_LeanBase*EXP(v01_CapsByProject*SUMPRODUCT((Cap_Point&lt;=I1531)*(Cap_Kind="Lean")*Cap_Ln)))</x:f>
        <x:v>12000</x:v>
      </x:c>
      <x:c r="L1531" s="10" t="n">
        <x:f>INDEX(v01_HousingCap,G1531)*EXP(v01_CapsByProject*SUMPRODUCT((Cap_Point&lt;=I1531)*(Cap_Kind="Housing")*Cap_Ln))</x:f>
        <x:v>20000</x:v>
      </x:c>
      <x:c r="M1531" s="10" t="n">
        <x:f>INDEX(v01_GroupCap,G1531)*v01_CohesionFactor*EXP(v01_CapsByProject*SUMPRODUCT((Cap_Point&lt;=I1531)*(Cap_Kind="Group")*Cap_Ln))</x:f>
        <x:v>1000000</x:v>
      </x:c>
      <x:c r="N1531" s="32" t="n">
        <x:f>MIN(J1531,L1531,M1531)</x:f>
        <x:v>12000</x:v>
      </x:c>
      <x:c r="O1531" s="10" t="n">
        <x:f>AE1530*N1531</x:f>
        <x:v>180000</x:v>
      </x:c>
      <x:c r="P1531" s="9" t="n">
        <x:f>MIN(1,(AB1530/(AE1530*IF(v01_GroupInCrowding=1,N1531,MIN(J1531,L1531))))^v01_CrowdingExp)</x:f>
        <x:v>0.00024569414295285325</x:v>
      </x:c>
      <x:c r="Q1531" s="9" t="n">
        <x:f>IF(D1531=1,INDEX(v01_WinterMult,G1531),1)</x:f>
        <x:v>1</x:v>
      </x:c>
      <x:c r="R1531" s="9" t="n">
        <x:f>H1531*Z1530*v01_WomenShare*v01_BaseFertility*INDEX(v01_FertMult,G1531)*Arch_Fertility*(1-P1531)</x:f>
        <x:v>0</x:v>
      </x:c>
      <x:c r="S1531" s="9" t="n">
        <x:f>H1531*Y1530*INDEX(v01_MortChild,G1531)/4*Q1531</x:f>
        <x:v>0</x:v>
      </x:c>
      <x:c r="T1531" s="9" t="n">
        <x:f>H1531*Z1530*INDEX(v01_MortAdult,G1531)*Arch_AdultMort/4*Q1531</x:f>
        <x:v>0</x:v>
      </x:c>
      <x:c r="U1531" s="9" t="n">
        <x:f>H1531*AA1530*INDEX(v01_MortElder,G1531)/4*Q1531</x:f>
        <x:v>0</x:v>
      </x:c>
      <x:c r="V1531" s="9" t="n">
        <x:f>H1531*MAX(0,AB1530-O1531)*v01_OvercapLoss</x:f>
        <x:v>0</x:v>
      </x:c>
      <x:c r="W1531" s="9" t="n">
        <x:f>H1531*Y1530/(v01_ChildYears*4)</x:f>
        <x:v>0</x:v>
      </x:c>
      <x:c r="X1531" s="9" t="n">
        <x:f>H1531*Z1530/(v01_AdultYears*4)</x:f>
        <x:v>0</x:v>
      </x:c>
      <x:c r="Y1531" s="32" t="n">
        <x:f>Y1530+R1531-S1531-W1531-Y1530*V1531/AB1530</x:f>
        <x:v>14306.18539759397</x:v>
      </x:c>
      <x:c r="Z1531" s="32" t="n">
        <x:f>Z1530+W1531-X1531-T1531-Z1530*V1531/AB1530</x:f>
        <x:v>19354.456567879548</x:v>
      </x:c>
      <x:c r="AA1531" s="32" t="n">
        <x:f>AA1530+X1531-U1531-AA1530*V1531/AB1530</x:f>
        <x:v>11386.956063258198</x:v>
      </x:c>
      <x:c r="AB1531" s="10" t="n">
        <x:f>Y1531+Z1531+AA1531</x:f>
        <x:v>45047.59802873172</x:v>
      </x:c>
      <x:c r="AC1531" s="8" t="n">
        <x:f>IF(AND(v01_WinterTrigger=1,D1531=1,AB1530/AE1530&gt;=K1531),1,0)</x:f>
        <x:v>0</x:v>
      </x:c>
      <x:c r="AD1531" s="8" t="n">
        <x:f>H1531*IF(AND(OR(AB1530/AE1530&gt;=v01_FissionTrigger*N1531,AC1531=1),AB1530/AE1530*v01_DaughterShare&gt;=v01_MinDaughter),MAX(1,ROUND(AE1530*v01_FissionRate,0)),0)</x:f>
        <x:v>0</x:v>
      </x:c>
      <x:c r="AE1531" s="8" t="n">
        <x:f>IF(H1531=1,MAX(1,MIN(INDEX(v01_Smax,G1531),AE1530+AD1531)),AE1530)</x:f>
        <x:v>15</x:v>
      </x:c>
      <x:c r="AF1531" s="8" t="n">
        <x:f>MAX(0,AE1531-AE1530)</x:f>
        <x:v>0</x:v>
      </x:c>
      <x:c r="AG1531" s="9" t="str">
        <x:f>IF(AF1531&gt;0,B1531,"")</x:f>
      </x:c>
      <x:c r="AH1531" s="9" t="n">
        <x:f>IF(F1531&gt;=1,1,(1+v01_LowTiesShare*(AE1531-1))/AE1531)</x:f>
        <x:v>1</x:v>
      </x:c>
      <x:c r="AI1531" s="32" t="n">
        <x:f>(Z1531+v01_ElderCommons*INDEX(LM_Elder,G1531)*AA1531)*AH1531</x:f>
        <x:v>64139.732591141874</x:v>
      </x:c>
      <x:c r="AJ1531" s="32" t="n">
        <x:f>H1531*v01_CommonsCoef*AI1531^v01_CommonsExp*INDEX(LM_Commons,G1531)</x:f>
        <x:v>0</x:v>
      </x:c>
      <x:c r="AK1531" s="32" t="n">
        <x:f>H1531*v01_RoleScale*Arch_Roles*(AE1531*(INDEX(v01_ElderRolePerSett,G1531)*v01_OutElder*INDEX(LM_Elder,G1531)+INDEX(v01_ShamanPerSett,G1531)*v01_OutShaman)+Z1531*(INDEX(v01_PriestShare,G1531)*v01_OutPriest+INDEX(v01_ScribeShare,G1531)*v01_OutScribe*INDEX(LM_Scribe,G1531)+INDEX(v01_ScholarShare,G1531)*v01_OutScholar*INDEX(LM_Scholar,G1531)+INDEX(v01_ResearcherShare,G1531)*v01_OutResearcher*INDEX(LM_Researcher,G1531)))</x:f>
        <x:v>0</x:v>
      </x:c>
      <x:c r="AL1531" s="32" t="n">
        <x:f>H1531*v01_RoleScale*Arch_Roles*AE1531*INDEX(v01_MonasteryPerSett,G1531)*v01_OutMonastery*INDEX(LM_Monastery,G1531)</x:f>
        <x:v>0</x:v>
      </x:c>
      <x:c r="AM1531" s="32" t="n">
        <x:f>(AJ1531+AK1531+AL1531)/4*INDEX(LM_All,G1531)*INDEX(v01_Boon,G1531)*Arch_Insight</x:f>
        <x:v>0</x:v>
      </x:c>
      <x:c r="AN1531" s="32" t="n">
        <x:f>H1531*(v01_KHPerAdult*Z1531+v01_KHOfCommons*AJ1531/4*INDEX(LM_All,G1531))*v01_KHUsable*Arch_KH</x:f>
        <x:v>0</x:v>
      </x:c>
      <x:c r="AO1531" s="32" t="n">
        <x:f>MIN(AP1530+AN1531,AM1531*v01_KHMaxRatio)</x:f>
        <x:v>0</x:v>
      </x:c>
      <x:c r="AP1531" s="32" t="n">
        <x:f>AP1530+AN1531-AO1531</x:f>
        <x:v>0</x:v>
      </x:c>
      <x:c r="AQ1531" s="32" t="n">
        <x:f>AM1531+AO1531</x:f>
        <x:v>0</x:v>
      </x:c>
      <x:c r="AR1531" s="10" t="n">
        <x:f>IF(H1531=1,INDEX(v01_Req,G1531),0)</x:f>
        <x:v>0</x:v>
      </x:c>
      <x:c r="AS1531" s="32" t="n">
        <x:f>IF(H1531=1,IF(E1531=1,AS1530-AR1530,AS1530)+AQ1531,0)</x:f>
        <x:v>0</x:v>
      </x:c>
      <x:c r="AT1531" s="11" t="n">
        <x:f>IF(AR1531&gt;0,MIN(1,AS1531/AR1531),1)</x:f>
        <x:v>1</x:v>
      </x:c>
      <x:c r="AU1531" s="10" t="n">
        <x:f>AB1531/INDEX(v01_RepScale,G1531)</x:f>
        <x:v>90.09519605746344</x:v>
      </x:c>
      <x:c r="AV1531" s="32" t="n">
        <x:f>AM1531*60/v01_SeasonSeconds</x:f>
        <x:v>0</x:v>
      </x:c>
    </x:row>
    <x:row r="1532">
      <x:c r="A1532" s="8" t="n">
        <x:f>A1531+1</x:f>
        <x:v>1529</x:v>
      </x:c>
      <x:c r="B1532" s="9" t="n">
        <x:f>A1532*v01_SeasonSeconds/60</x:f>
        <x:v>382.25</x:v>
      </x:c>
      <x:c r="C1532" s="9" t="n">
        <x:f>A1532/4</x:f>
        <x:v>382.25</x:v>
      </x:c>
      <x:c r="D1532" s="8" t="n">
        <x:f>IF(MOD(A1532,4)=0,1,0)</x:f>
        <x:v>0</x:v>
      </x:c>
      <x:c r="E1532" s="8" t="n">
        <x:f>IF(AND(F1531&lt;=9,AS1531&gt;=AR1531),1,0)</x:f>
        <x:v>0</x:v>
      </x:c>
      <x:c r="F1532" s="8" t="n">
        <x:f>MIN(10,F1531+E1532)</x:f>
        <x:v>10</x:v>
      </x:c>
      <x:c r="G1532" s="8" t="n">
        <x:f>MIN(F1532,9)+1</x:f>
        <x:v>10</x:v>
      </x:c>
      <x:c r="H1532" s="8" t="n">
        <x:f>IF(F1532&lt;=9,1,0)</x:f>
        <x:v>0</x:v>
      </x:c>
      <x:c r="I1532" s="9" t="n">
        <x:f>MIN(10,F1531+IF(AR1531&gt;0,MIN(1,AS1531/AR1531),1))</x:f>
        <x:v>10</x:v>
      </x:c>
      <x:c r="J1532" s="32" t="n">
        <x:f>INDEX(v01_FoodCap,G1532)*Arch_FoodCap*EXP(v01_CapsByProject*SUMPRODUCT((Cap_Point&lt;=I1532)*(Cap_Kind="Food")*Cap_Ln))</x:f>
        <x:v>12000</x:v>
      </x:c>
      <x:c r="K1532" s="32" t="n">
        <x:f>J1532*MIN(1,v01_LeanBase*EXP(v01_CapsByProject*SUMPRODUCT((Cap_Point&lt;=I1532)*(Cap_Kind="Lean")*Cap_Ln)))</x:f>
        <x:v>12000</x:v>
      </x:c>
      <x:c r="L1532" s="10" t="n">
        <x:f>INDEX(v01_HousingCap,G1532)*EXP(v01_CapsByProject*SUMPRODUCT((Cap_Point&lt;=I1532)*(Cap_Kind="Housing")*Cap_Ln))</x:f>
        <x:v>20000</x:v>
      </x:c>
      <x:c r="M1532" s="10" t="n">
        <x:f>INDEX(v01_GroupCap,G1532)*v01_CohesionFactor*EXP(v01_CapsByProject*SUMPRODUCT((Cap_Point&lt;=I1532)*(Cap_Kind="Group")*Cap_Ln))</x:f>
        <x:v>1000000</x:v>
      </x:c>
      <x:c r="N1532" s="32" t="n">
        <x:f>MIN(J1532,L1532,M1532)</x:f>
        <x:v>12000</x:v>
      </x:c>
      <x:c r="O1532" s="10" t="n">
        <x:f>AE1531*N1532</x:f>
        <x:v>180000</x:v>
      </x:c>
      <x:c r="P1532" s="9" t="n">
        <x:f>MIN(1,(AB1531/(AE1531*IF(v01_GroupInCrowding=1,N1532,MIN(J1532,L1532))))^v01_CrowdingExp)</x:f>
        <x:v>0.00024569414295285325</x:v>
      </x:c>
      <x:c r="Q1532" s="9" t="n">
        <x:f>IF(D1532=1,INDEX(v01_WinterMult,G1532),1)</x:f>
        <x:v>1</x:v>
      </x:c>
      <x:c r="R1532" s="9" t="n">
        <x:f>H1532*Z1531*v01_WomenShare*v01_BaseFertility*INDEX(v01_FertMult,G1532)*Arch_Fertility*(1-P1532)</x:f>
        <x:v>0</x:v>
      </x:c>
      <x:c r="S1532" s="9" t="n">
        <x:f>H1532*Y1531*INDEX(v01_MortChild,G1532)/4*Q1532</x:f>
        <x:v>0</x:v>
      </x:c>
      <x:c r="T1532" s="9" t="n">
        <x:f>H1532*Z1531*INDEX(v01_MortAdult,G1532)*Arch_AdultMort/4*Q1532</x:f>
        <x:v>0</x:v>
      </x:c>
      <x:c r="U1532" s="9" t="n">
        <x:f>H1532*AA1531*INDEX(v01_MortElder,G1532)/4*Q1532</x:f>
        <x:v>0</x:v>
      </x:c>
      <x:c r="V1532" s="9" t="n">
        <x:f>H1532*MAX(0,AB1531-O1532)*v01_OvercapLoss</x:f>
        <x:v>0</x:v>
      </x:c>
      <x:c r="W1532" s="9" t="n">
        <x:f>H1532*Y1531/(v01_ChildYears*4)</x:f>
        <x:v>0</x:v>
      </x:c>
      <x:c r="X1532" s="9" t="n">
        <x:f>H1532*Z1531/(v01_AdultYears*4)</x:f>
        <x:v>0</x:v>
      </x:c>
      <x:c r="Y1532" s="32" t="n">
        <x:f>Y1531+R1532-S1532-W1532-Y1531*V1532/AB1531</x:f>
        <x:v>14306.18539759397</x:v>
      </x:c>
      <x:c r="Z1532" s="32" t="n">
        <x:f>Z1531+W1532-X1532-T1532-Z1531*V1532/AB1531</x:f>
        <x:v>19354.456567879548</x:v>
      </x:c>
      <x:c r="AA1532" s="32" t="n">
        <x:f>AA1531+X1532-U1532-AA1531*V1532/AB1531</x:f>
        <x:v>11386.956063258198</x:v>
      </x:c>
      <x:c r="AB1532" s="10" t="n">
        <x:f>Y1532+Z1532+AA1532</x:f>
        <x:v>45047.59802873172</x:v>
      </x:c>
      <x:c r="AC1532" s="8" t="n">
        <x:f>IF(AND(v01_WinterTrigger=1,D1532=1,AB1531/AE1531&gt;=K1532),1,0)</x:f>
        <x:v>0</x:v>
      </x:c>
      <x:c r="AD1532" s="8" t="n">
        <x:f>H1532*IF(AND(OR(AB1531/AE1531&gt;=v01_FissionTrigger*N1532,AC1532=1),AB1531/AE1531*v01_DaughterShare&gt;=v01_MinDaughter),MAX(1,ROUND(AE1531*v01_FissionRate,0)),0)</x:f>
        <x:v>0</x:v>
      </x:c>
      <x:c r="AE1532" s="8" t="n">
        <x:f>IF(H1532=1,MAX(1,MIN(INDEX(v01_Smax,G1532),AE1531+AD1532)),AE1531)</x:f>
        <x:v>15</x:v>
      </x:c>
      <x:c r="AF1532" s="8" t="n">
        <x:f>MAX(0,AE1532-AE1531)</x:f>
        <x:v>0</x:v>
      </x:c>
      <x:c r="AG1532" s="9" t="str">
        <x:f>IF(AF1532&gt;0,B1532,"")</x:f>
      </x:c>
      <x:c r="AH1532" s="9" t="n">
        <x:f>IF(F1532&gt;=1,1,(1+v01_LowTiesShare*(AE1532-1))/AE1532)</x:f>
        <x:v>1</x:v>
      </x:c>
      <x:c r="AI1532" s="32" t="n">
        <x:f>(Z1532+v01_ElderCommons*INDEX(LM_Elder,G1532)*AA1532)*AH1532</x:f>
        <x:v>64139.732591141874</x:v>
      </x:c>
      <x:c r="AJ1532" s="32" t="n">
        <x:f>H1532*v01_CommonsCoef*AI1532^v01_CommonsExp*INDEX(LM_Commons,G1532)</x:f>
        <x:v>0</x:v>
      </x:c>
      <x:c r="AK1532" s="32" t="n">
        <x:f>H1532*v01_RoleScale*Arch_Roles*(AE1532*(INDEX(v01_ElderRolePerSett,G1532)*v01_OutElder*INDEX(LM_Elder,G1532)+INDEX(v01_ShamanPerSett,G1532)*v01_OutShaman)+Z1532*(INDEX(v01_PriestShare,G1532)*v01_OutPriest+INDEX(v01_ScribeShare,G1532)*v01_OutScribe*INDEX(LM_Scribe,G1532)+INDEX(v01_ScholarShare,G1532)*v01_OutScholar*INDEX(LM_Scholar,G1532)+INDEX(v01_ResearcherShare,G1532)*v01_OutResearcher*INDEX(LM_Researcher,G1532)))</x:f>
        <x:v>0</x:v>
      </x:c>
      <x:c r="AL1532" s="32" t="n">
        <x:f>H1532*v01_RoleScale*Arch_Roles*AE1532*INDEX(v01_MonasteryPerSett,G1532)*v01_OutMonastery*INDEX(LM_Monastery,G1532)</x:f>
        <x:v>0</x:v>
      </x:c>
      <x:c r="AM1532" s="32" t="n">
        <x:f>(AJ1532+AK1532+AL1532)/4*INDEX(LM_All,G1532)*INDEX(v01_Boon,G1532)*Arch_Insight</x:f>
        <x:v>0</x:v>
      </x:c>
      <x:c r="AN1532" s="32" t="n">
        <x:f>H1532*(v01_KHPerAdult*Z1532+v01_KHOfCommons*AJ1532/4*INDEX(LM_All,G1532))*v01_KHUsable*Arch_KH</x:f>
        <x:v>0</x:v>
      </x:c>
      <x:c r="AO1532" s="32" t="n">
        <x:f>MIN(AP1531+AN1532,AM1532*v01_KHMaxRatio)</x:f>
        <x:v>0</x:v>
      </x:c>
      <x:c r="AP1532" s="32" t="n">
        <x:f>AP1531+AN1532-AO1532</x:f>
        <x:v>0</x:v>
      </x:c>
      <x:c r="AQ1532" s="32" t="n">
        <x:f>AM1532+AO1532</x:f>
        <x:v>0</x:v>
      </x:c>
      <x:c r="AR1532" s="10" t="n">
        <x:f>IF(H1532=1,INDEX(v01_Req,G1532),0)</x:f>
        <x:v>0</x:v>
      </x:c>
      <x:c r="AS1532" s="32" t="n">
        <x:f>IF(H1532=1,IF(E1532=1,AS1531-AR1531,AS1531)+AQ1532,0)</x:f>
        <x:v>0</x:v>
      </x:c>
      <x:c r="AT1532" s="11" t="n">
        <x:f>IF(AR1532&gt;0,MIN(1,AS1532/AR1532),1)</x:f>
        <x:v>1</x:v>
      </x:c>
      <x:c r="AU1532" s="10" t="n">
        <x:f>AB1532/INDEX(v01_RepScale,G1532)</x:f>
        <x:v>90.09519605746344</x:v>
      </x:c>
      <x:c r="AV1532" s="32" t="n">
        <x:f>AM1532*60/v01_SeasonSeconds</x:f>
        <x:v>0</x:v>
      </x:c>
    </x:row>
    <x:row r="1533">
      <x:c r="A1533" s="8" t="n">
        <x:f>A1532+1</x:f>
        <x:v>1530</x:v>
      </x:c>
      <x:c r="B1533" s="9" t="n">
        <x:f>A1533*v01_SeasonSeconds/60</x:f>
        <x:v>382.5</x:v>
      </x:c>
      <x:c r="C1533" s="9" t="n">
        <x:f>A1533/4</x:f>
        <x:v>382.5</x:v>
      </x:c>
      <x:c r="D1533" s="8" t="n">
        <x:f>IF(MOD(A1533,4)=0,1,0)</x:f>
        <x:v>0</x:v>
      </x:c>
      <x:c r="E1533" s="8" t="n">
        <x:f>IF(AND(F1532&lt;=9,AS1532&gt;=AR1532),1,0)</x:f>
        <x:v>0</x:v>
      </x:c>
      <x:c r="F1533" s="8" t="n">
        <x:f>MIN(10,F1532+E1533)</x:f>
        <x:v>10</x:v>
      </x:c>
      <x:c r="G1533" s="8" t="n">
        <x:f>MIN(F1533,9)+1</x:f>
        <x:v>10</x:v>
      </x:c>
      <x:c r="H1533" s="8" t="n">
        <x:f>IF(F1533&lt;=9,1,0)</x:f>
        <x:v>0</x:v>
      </x:c>
      <x:c r="I1533" s="9" t="n">
        <x:f>MIN(10,F1532+IF(AR1532&gt;0,MIN(1,AS1532/AR1532),1))</x:f>
        <x:v>10</x:v>
      </x:c>
      <x:c r="J1533" s="32" t="n">
        <x:f>INDEX(v01_FoodCap,G1533)*Arch_FoodCap*EXP(v01_CapsByProject*SUMPRODUCT((Cap_Point&lt;=I1533)*(Cap_Kind="Food")*Cap_Ln))</x:f>
        <x:v>12000</x:v>
      </x:c>
      <x:c r="K1533" s="32" t="n">
        <x:f>J1533*MIN(1,v01_LeanBase*EXP(v01_CapsByProject*SUMPRODUCT((Cap_Point&lt;=I1533)*(Cap_Kind="Lean")*Cap_Ln)))</x:f>
        <x:v>12000</x:v>
      </x:c>
      <x:c r="L1533" s="10" t="n">
        <x:f>INDEX(v01_HousingCap,G1533)*EXP(v01_CapsByProject*SUMPRODUCT((Cap_Point&lt;=I1533)*(Cap_Kind="Housing")*Cap_Ln))</x:f>
        <x:v>20000</x:v>
      </x:c>
      <x:c r="M1533" s="10" t="n">
        <x:f>INDEX(v01_GroupCap,G1533)*v01_CohesionFactor*EXP(v01_CapsByProject*SUMPRODUCT((Cap_Point&lt;=I1533)*(Cap_Kind="Group")*Cap_Ln))</x:f>
        <x:v>1000000</x:v>
      </x:c>
      <x:c r="N1533" s="32" t="n">
        <x:f>MIN(J1533,L1533,M1533)</x:f>
        <x:v>12000</x:v>
      </x:c>
      <x:c r="O1533" s="10" t="n">
        <x:f>AE1532*N1533</x:f>
        <x:v>180000</x:v>
      </x:c>
      <x:c r="P1533" s="9" t="n">
        <x:f>MIN(1,(AB1532/(AE1532*IF(v01_GroupInCrowding=1,N1533,MIN(J1533,L1533))))^v01_CrowdingExp)</x:f>
        <x:v>0.00024569414295285325</x:v>
      </x:c>
      <x:c r="Q1533" s="9" t="n">
        <x:f>IF(D1533=1,INDEX(v01_WinterMult,G1533),1)</x:f>
        <x:v>1</x:v>
      </x:c>
      <x:c r="R1533" s="9" t="n">
        <x:f>H1533*Z1532*v01_WomenShare*v01_BaseFertility*INDEX(v01_FertMult,G1533)*Arch_Fertility*(1-P1533)</x:f>
        <x:v>0</x:v>
      </x:c>
      <x:c r="S1533" s="9" t="n">
        <x:f>H1533*Y1532*INDEX(v01_MortChild,G1533)/4*Q1533</x:f>
        <x:v>0</x:v>
      </x:c>
      <x:c r="T1533" s="9" t="n">
        <x:f>H1533*Z1532*INDEX(v01_MortAdult,G1533)*Arch_AdultMort/4*Q1533</x:f>
        <x:v>0</x:v>
      </x:c>
      <x:c r="U1533" s="9" t="n">
        <x:f>H1533*AA1532*INDEX(v01_MortElder,G1533)/4*Q1533</x:f>
        <x:v>0</x:v>
      </x:c>
      <x:c r="V1533" s="9" t="n">
        <x:f>H1533*MAX(0,AB1532-O1533)*v01_OvercapLoss</x:f>
        <x:v>0</x:v>
      </x:c>
      <x:c r="W1533" s="9" t="n">
        <x:f>H1533*Y1532/(v01_ChildYears*4)</x:f>
        <x:v>0</x:v>
      </x:c>
      <x:c r="X1533" s="9" t="n">
        <x:f>H1533*Z1532/(v01_AdultYears*4)</x:f>
        <x:v>0</x:v>
      </x:c>
      <x:c r="Y1533" s="32" t="n">
        <x:f>Y1532+R1533-S1533-W1533-Y1532*V1533/AB1532</x:f>
        <x:v>14306.18539759397</x:v>
      </x:c>
      <x:c r="Z1533" s="32" t="n">
        <x:f>Z1532+W1533-X1533-T1533-Z1532*V1533/AB1532</x:f>
        <x:v>19354.456567879548</x:v>
      </x:c>
      <x:c r="AA1533" s="32" t="n">
        <x:f>AA1532+X1533-U1533-AA1532*V1533/AB1532</x:f>
        <x:v>11386.956063258198</x:v>
      </x:c>
      <x:c r="AB1533" s="10" t="n">
        <x:f>Y1533+Z1533+AA1533</x:f>
        <x:v>45047.59802873172</x:v>
      </x:c>
      <x:c r="AC1533" s="8" t="n">
        <x:f>IF(AND(v01_WinterTrigger=1,D1533=1,AB1532/AE1532&gt;=K1533),1,0)</x:f>
        <x:v>0</x:v>
      </x:c>
      <x:c r="AD1533" s="8" t="n">
        <x:f>H1533*IF(AND(OR(AB1532/AE1532&gt;=v01_FissionTrigger*N1533,AC1533=1),AB1532/AE1532*v01_DaughterShare&gt;=v01_MinDaughter),MAX(1,ROUND(AE1532*v01_FissionRate,0)),0)</x:f>
        <x:v>0</x:v>
      </x:c>
      <x:c r="AE1533" s="8" t="n">
        <x:f>IF(H1533=1,MAX(1,MIN(INDEX(v01_Smax,G1533),AE1532+AD1533)),AE1532)</x:f>
        <x:v>15</x:v>
      </x:c>
      <x:c r="AF1533" s="8" t="n">
        <x:f>MAX(0,AE1533-AE1532)</x:f>
        <x:v>0</x:v>
      </x:c>
      <x:c r="AG1533" s="9" t="str">
        <x:f>IF(AF1533&gt;0,B1533,"")</x:f>
      </x:c>
      <x:c r="AH1533" s="9" t="n">
        <x:f>IF(F1533&gt;=1,1,(1+v01_LowTiesShare*(AE1533-1))/AE1533)</x:f>
        <x:v>1</x:v>
      </x:c>
      <x:c r="AI1533" s="32" t="n">
        <x:f>(Z1533+v01_ElderCommons*INDEX(LM_Elder,G1533)*AA1533)*AH1533</x:f>
        <x:v>64139.732591141874</x:v>
      </x:c>
      <x:c r="AJ1533" s="32" t="n">
        <x:f>H1533*v01_CommonsCoef*AI1533^v01_CommonsExp*INDEX(LM_Commons,G1533)</x:f>
        <x:v>0</x:v>
      </x:c>
      <x:c r="AK1533" s="32" t="n">
        <x:f>H1533*v01_RoleScale*Arch_Roles*(AE1533*(INDEX(v01_ElderRolePerSett,G1533)*v01_OutElder*INDEX(LM_Elder,G1533)+INDEX(v01_ShamanPerSett,G1533)*v01_OutShaman)+Z1533*(INDEX(v01_PriestShare,G1533)*v01_OutPriest+INDEX(v01_ScribeShare,G1533)*v01_OutScribe*INDEX(LM_Scribe,G1533)+INDEX(v01_ScholarShare,G1533)*v01_OutScholar*INDEX(LM_Scholar,G1533)+INDEX(v01_ResearcherShare,G1533)*v01_OutResearcher*INDEX(LM_Researcher,G1533)))</x:f>
        <x:v>0</x:v>
      </x:c>
      <x:c r="AL1533" s="32" t="n">
        <x:f>H1533*v01_RoleScale*Arch_Roles*AE1533*INDEX(v01_MonasteryPerSett,G1533)*v01_OutMonastery*INDEX(LM_Monastery,G1533)</x:f>
        <x:v>0</x:v>
      </x:c>
      <x:c r="AM1533" s="32" t="n">
        <x:f>(AJ1533+AK1533+AL1533)/4*INDEX(LM_All,G1533)*INDEX(v01_Boon,G1533)*Arch_Insight</x:f>
        <x:v>0</x:v>
      </x:c>
      <x:c r="AN1533" s="32" t="n">
        <x:f>H1533*(v01_KHPerAdult*Z1533+v01_KHOfCommons*AJ1533/4*INDEX(LM_All,G1533))*v01_KHUsable*Arch_KH</x:f>
        <x:v>0</x:v>
      </x:c>
      <x:c r="AO1533" s="32" t="n">
        <x:f>MIN(AP1532+AN1533,AM1533*v01_KHMaxRatio)</x:f>
        <x:v>0</x:v>
      </x:c>
      <x:c r="AP1533" s="32" t="n">
        <x:f>AP1532+AN1533-AO1533</x:f>
        <x:v>0</x:v>
      </x:c>
      <x:c r="AQ1533" s="32" t="n">
        <x:f>AM1533+AO1533</x:f>
        <x:v>0</x:v>
      </x:c>
      <x:c r="AR1533" s="10" t="n">
        <x:f>IF(H1533=1,INDEX(v01_Req,G1533),0)</x:f>
        <x:v>0</x:v>
      </x:c>
      <x:c r="AS1533" s="32" t="n">
        <x:f>IF(H1533=1,IF(E1533=1,AS1532-AR1532,AS1532)+AQ1533,0)</x:f>
        <x:v>0</x:v>
      </x:c>
      <x:c r="AT1533" s="11" t="n">
        <x:f>IF(AR1533&gt;0,MIN(1,AS1533/AR1533),1)</x:f>
        <x:v>1</x:v>
      </x:c>
      <x:c r="AU1533" s="10" t="n">
        <x:f>AB1533/INDEX(v01_RepScale,G1533)</x:f>
        <x:v>90.09519605746344</x:v>
      </x:c>
      <x:c r="AV1533" s="32" t="n">
        <x:f>AM1533*60/v01_SeasonSeconds</x:f>
        <x:v>0</x:v>
      </x:c>
    </x:row>
    <x:row r="1534">
      <x:c r="A1534" s="8" t="n">
        <x:f>A1533+1</x:f>
        <x:v>1531</x:v>
      </x:c>
      <x:c r="B1534" s="9" t="n">
        <x:f>A1534*v01_SeasonSeconds/60</x:f>
        <x:v>382.75</x:v>
      </x:c>
      <x:c r="C1534" s="9" t="n">
        <x:f>A1534/4</x:f>
        <x:v>382.75</x:v>
      </x:c>
      <x:c r="D1534" s="8" t="n">
        <x:f>IF(MOD(A1534,4)=0,1,0)</x:f>
        <x:v>0</x:v>
      </x:c>
      <x:c r="E1534" s="8" t="n">
        <x:f>IF(AND(F1533&lt;=9,AS1533&gt;=AR1533),1,0)</x:f>
        <x:v>0</x:v>
      </x:c>
      <x:c r="F1534" s="8" t="n">
        <x:f>MIN(10,F1533+E1534)</x:f>
        <x:v>10</x:v>
      </x:c>
      <x:c r="G1534" s="8" t="n">
        <x:f>MIN(F1534,9)+1</x:f>
        <x:v>10</x:v>
      </x:c>
      <x:c r="H1534" s="8" t="n">
        <x:f>IF(F1534&lt;=9,1,0)</x:f>
        <x:v>0</x:v>
      </x:c>
      <x:c r="I1534" s="9" t="n">
        <x:f>MIN(10,F1533+IF(AR1533&gt;0,MIN(1,AS1533/AR1533),1))</x:f>
        <x:v>10</x:v>
      </x:c>
      <x:c r="J1534" s="32" t="n">
        <x:f>INDEX(v01_FoodCap,G1534)*Arch_FoodCap*EXP(v01_CapsByProject*SUMPRODUCT((Cap_Point&lt;=I1534)*(Cap_Kind="Food")*Cap_Ln))</x:f>
        <x:v>12000</x:v>
      </x:c>
      <x:c r="K1534" s="32" t="n">
        <x:f>J1534*MIN(1,v01_LeanBase*EXP(v01_CapsByProject*SUMPRODUCT((Cap_Point&lt;=I1534)*(Cap_Kind="Lean")*Cap_Ln)))</x:f>
        <x:v>12000</x:v>
      </x:c>
      <x:c r="L1534" s="10" t="n">
        <x:f>INDEX(v01_HousingCap,G1534)*EXP(v01_CapsByProject*SUMPRODUCT((Cap_Point&lt;=I1534)*(Cap_Kind="Housing")*Cap_Ln))</x:f>
        <x:v>20000</x:v>
      </x:c>
      <x:c r="M1534" s="10" t="n">
        <x:f>INDEX(v01_GroupCap,G1534)*v01_CohesionFactor*EXP(v01_CapsByProject*SUMPRODUCT((Cap_Point&lt;=I1534)*(Cap_Kind="Group")*Cap_Ln))</x:f>
        <x:v>1000000</x:v>
      </x:c>
      <x:c r="N1534" s="32" t="n">
        <x:f>MIN(J1534,L1534,M1534)</x:f>
        <x:v>12000</x:v>
      </x:c>
      <x:c r="O1534" s="10" t="n">
        <x:f>AE1533*N1534</x:f>
        <x:v>180000</x:v>
      </x:c>
      <x:c r="P1534" s="9" t="n">
        <x:f>MIN(1,(AB1533/(AE1533*IF(v01_GroupInCrowding=1,N1534,MIN(J1534,L1534))))^v01_CrowdingExp)</x:f>
        <x:v>0.00024569414295285325</x:v>
      </x:c>
      <x:c r="Q1534" s="9" t="n">
        <x:f>IF(D1534=1,INDEX(v01_WinterMult,G1534),1)</x:f>
        <x:v>1</x:v>
      </x:c>
      <x:c r="R1534" s="9" t="n">
        <x:f>H1534*Z1533*v01_WomenShare*v01_BaseFertility*INDEX(v01_FertMult,G1534)*Arch_Fertility*(1-P1534)</x:f>
        <x:v>0</x:v>
      </x:c>
      <x:c r="S1534" s="9" t="n">
        <x:f>H1534*Y1533*INDEX(v01_MortChild,G1534)/4*Q1534</x:f>
        <x:v>0</x:v>
      </x:c>
      <x:c r="T1534" s="9" t="n">
        <x:f>H1534*Z1533*INDEX(v01_MortAdult,G1534)*Arch_AdultMort/4*Q1534</x:f>
        <x:v>0</x:v>
      </x:c>
      <x:c r="U1534" s="9" t="n">
        <x:f>H1534*AA1533*INDEX(v01_MortElder,G1534)/4*Q1534</x:f>
        <x:v>0</x:v>
      </x:c>
      <x:c r="V1534" s="9" t="n">
        <x:f>H1534*MAX(0,AB1533-O1534)*v01_OvercapLoss</x:f>
        <x:v>0</x:v>
      </x:c>
      <x:c r="W1534" s="9" t="n">
        <x:f>H1534*Y1533/(v01_ChildYears*4)</x:f>
        <x:v>0</x:v>
      </x:c>
      <x:c r="X1534" s="9" t="n">
        <x:f>H1534*Z1533/(v01_AdultYears*4)</x:f>
        <x:v>0</x:v>
      </x:c>
      <x:c r="Y1534" s="32" t="n">
        <x:f>Y1533+R1534-S1534-W1534-Y1533*V1534/AB1533</x:f>
        <x:v>14306.18539759397</x:v>
      </x:c>
      <x:c r="Z1534" s="32" t="n">
        <x:f>Z1533+W1534-X1534-T1534-Z1533*V1534/AB1533</x:f>
        <x:v>19354.456567879548</x:v>
      </x:c>
      <x:c r="AA1534" s="32" t="n">
        <x:f>AA1533+X1534-U1534-AA1533*V1534/AB1533</x:f>
        <x:v>11386.956063258198</x:v>
      </x:c>
      <x:c r="AB1534" s="10" t="n">
        <x:f>Y1534+Z1534+AA1534</x:f>
        <x:v>45047.59802873172</x:v>
      </x:c>
      <x:c r="AC1534" s="8" t="n">
        <x:f>IF(AND(v01_WinterTrigger=1,D1534=1,AB1533/AE1533&gt;=K1534),1,0)</x:f>
        <x:v>0</x:v>
      </x:c>
      <x:c r="AD1534" s="8" t="n">
        <x:f>H1534*IF(AND(OR(AB1533/AE1533&gt;=v01_FissionTrigger*N1534,AC1534=1),AB1533/AE1533*v01_DaughterShare&gt;=v01_MinDaughter),MAX(1,ROUND(AE1533*v01_FissionRate,0)),0)</x:f>
        <x:v>0</x:v>
      </x:c>
      <x:c r="AE1534" s="8" t="n">
        <x:f>IF(H1534=1,MAX(1,MIN(INDEX(v01_Smax,G1534),AE1533+AD1534)),AE1533)</x:f>
        <x:v>15</x:v>
      </x:c>
      <x:c r="AF1534" s="8" t="n">
        <x:f>MAX(0,AE1534-AE1533)</x:f>
        <x:v>0</x:v>
      </x:c>
      <x:c r="AG1534" s="9" t="str">
        <x:f>IF(AF1534&gt;0,B1534,"")</x:f>
      </x:c>
      <x:c r="AH1534" s="9" t="n">
        <x:f>IF(F1534&gt;=1,1,(1+v01_LowTiesShare*(AE1534-1))/AE1534)</x:f>
        <x:v>1</x:v>
      </x:c>
      <x:c r="AI1534" s="32" t="n">
        <x:f>(Z1534+v01_ElderCommons*INDEX(LM_Elder,G1534)*AA1534)*AH1534</x:f>
        <x:v>64139.732591141874</x:v>
      </x:c>
      <x:c r="AJ1534" s="32" t="n">
        <x:f>H1534*v01_CommonsCoef*AI1534^v01_CommonsExp*INDEX(LM_Commons,G1534)</x:f>
        <x:v>0</x:v>
      </x:c>
      <x:c r="AK1534" s="32" t="n">
        <x:f>H1534*v01_RoleScale*Arch_Roles*(AE1534*(INDEX(v01_ElderRolePerSett,G1534)*v01_OutElder*INDEX(LM_Elder,G1534)+INDEX(v01_ShamanPerSett,G1534)*v01_OutShaman)+Z1534*(INDEX(v01_PriestShare,G1534)*v01_OutPriest+INDEX(v01_ScribeShare,G1534)*v01_OutScribe*INDEX(LM_Scribe,G1534)+INDEX(v01_ScholarShare,G1534)*v01_OutScholar*INDEX(LM_Scholar,G1534)+INDEX(v01_ResearcherShare,G1534)*v01_OutResearcher*INDEX(LM_Researcher,G1534)))</x:f>
        <x:v>0</x:v>
      </x:c>
      <x:c r="AL1534" s="32" t="n">
        <x:f>H1534*v01_RoleScale*Arch_Roles*AE1534*INDEX(v01_MonasteryPerSett,G1534)*v01_OutMonastery*INDEX(LM_Monastery,G1534)</x:f>
        <x:v>0</x:v>
      </x:c>
      <x:c r="AM1534" s="32" t="n">
        <x:f>(AJ1534+AK1534+AL1534)/4*INDEX(LM_All,G1534)*INDEX(v01_Boon,G1534)*Arch_Insight</x:f>
        <x:v>0</x:v>
      </x:c>
      <x:c r="AN1534" s="32" t="n">
        <x:f>H1534*(v01_KHPerAdult*Z1534+v01_KHOfCommons*AJ1534/4*INDEX(LM_All,G1534))*v01_KHUsable*Arch_KH</x:f>
        <x:v>0</x:v>
      </x:c>
      <x:c r="AO1534" s="32" t="n">
        <x:f>MIN(AP1533+AN1534,AM1534*v01_KHMaxRatio)</x:f>
        <x:v>0</x:v>
      </x:c>
      <x:c r="AP1534" s="32" t="n">
        <x:f>AP1533+AN1534-AO1534</x:f>
        <x:v>0</x:v>
      </x:c>
      <x:c r="AQ1534" s="32" t="n">
        <x:f>AM1534+AO1534</x:f>
        <x:v>0</x:v>
      </x:c>
      <x:c r="AR1534" s="10" t="n">
        <x:f>IF(H1534=1,INDEX(v01_Req,G1534),0)</x:f>
        <x:v>0</x:v>
      </x:c>
      <x:c r="AS1534" s="32" t="n">
        <x:f>IF(H1534=1,IF(E1534=1,AS1533-AR1533,AS1533)+AQ1534,0)</x:f>
        <x:v>0</x:v>
      </x:c>
      <x:c r="AT1534" s="11" t="n">
        <x:f>IF(AR1534&gt;0,MIN(1,AS1534/AR1534),1)</x:f>
        <x:v>1</x:v>
      </x:c>
      <x:c r="AU1534" s="10" t="n">
        <x:f>AB1534/INDEX(v01_RepScale,G1534)</x:f>
        <x:v>90.09519605746344</x:v>
      </x:c>
      <x:c r="AV1534" s="32" t="n">
        <x:f>AM1534*60/v01_SeasonSeconds</x:f>
        <x:v>0</x:v>
      </x:c>
    </x:row>
    <x:row r="1535">
      <x:c r="A1535" s="8" t="n">
        <x:f>A1534+1</x:f>
        <x:v>1532</x:v>
      </x:c>
      <x:c r="B1535" s="9" t="n">
        <x:f>A1535*v01_SeasonSeconds/60</x:f>
        <x:v>383</x:v>
      </x:c>
      <x:c r="C1535" s="9" t="n">
        <x:f>A1535/4</x:f>
        <x:v>383</x:v>
      </x:c>
      <x:c r="D1535" s="8" t="n">
        <x:f>IF(MOD(A1535,4)=0,1,0)</x:f>
        <x:v>1</x:v>
      </x:c>
      <x:c r="E1535" s="8" t="n">
        <x:f>IF(AND(F1534&lt;=9,AS1534&gt;=AR1534),1,0)</x:f>
        <x:v>0</x:v>
      </x:c>
      <x:c r="F1535" s="8" t="n">
        <x:f>MIN(10,F1534+E1535)</x:f>
        <x:v>10</x:v>
      </x:c>
      <x:c r="G1535" s="8" t="n">
        <x:f>MIN(F1535,9)+1</x:f>
        <x:v>10</x:v>
      </x:c>
      <x:c r="H1535" s="8" t="n">
        <x:f>IF(F1535&lt;=9,1,0)</x:f>
        <x:v>0</x:v>
      </x:c>
      <x:c r="I1535" s="9" t="n">
        <x:f>MIN(10,F1534+IF(AR1534&gt;0,MIN(1,AS1534/AR1534),1))</x:f>
        <x:v>10</x:v>
      </x:c>
      <x:c r="J1535" s="32" t="n">
        <x:f>INDEX(v01_FoodCap,G1535)*Arch_FoodCap*EXP(v01_CapsByProject*SUMPRODUCT((Cap_Point&lt;=I1535)*(Cap_Kind="Food")*Cap_Ln))</x:f>
        <x:v>12000</x:v>
      </x:c>
      <x:c r="K1535" s="32" t="n">
        <x:f>J1535*MIN(1,v01_LeanBase*EXP(v01_CapsByProject*SUMPRODUCT((Cap_Point&lt;=I1535)*(Cap_Kind="Lean")*Cap_Ln)))</x:f>
        <x:v>12000</x:v>
      </x:c>
      <x:c r="L1535" s="10" t="n">
        <x:f>INDEX(v01_HousingCap,G1535)*EXP(v01_CapsByProject*SUMPRODUCT((Cap_Point&lt;=I1535)*(Cap_Kind="Housing")*Cap_Ln))</x:f>
        <x:v>20000</x:v>
      </x:c>
      <x:c r="M1535" s="10" t="n">
        <x:f>INDEX(v01_GroupCap,G1535)*v01_CohesionFactor*EXP(v01_CapsByProject*SUMPRODUCT((Cap_Point&lt;=I1535)*(Cap_Kind="Group")*Cap_Ln))</x:f>
        <x:v>1000000</x:v>
      </x:c>
      <x:c r="N1535" s="32" t="n">
        <x:f>MIN(J1535,L1535,M1535)</x:f>
        <x:v>12000</x:v>
      </x:c>
      <x:c r="O1535" s="10" t="n">
        <x:f>AE1534*N1535</x:f>
        <x:v>180000</x:v>
      </x:c>
      <x:c r="P1535" s="9" t="n">
        <x:f>MIN(1,(AB1534/(AE1534*IF(v01_GroupInCrowding=1,N1535,MIN(J1535,L1535))))^v01_CrowdingExp)</x:f>
        <x:v>0.00024569414295285325</x:v>
      </x:c>
      <x:c r="Q1535" s="9" t="n">
        <x:f>IF(D1535=1,INDEX(v01_WinterMult,G1535),1)</x:f>
        <x:v>1</x:v>
      </x:c>
      <x:c r="R1535" s="9" t="n">
        <x:f>H1535*Z1534*v01_WomenShare*v01_BaseFertility*INDEX(v01_FertMult,G1535)*Arch_Fertility*(1-P1535)</x:f>
        <x:v>0</x:v>
      </x:c>
      <x:c r="S1535" s="9" t="n">
        <x:f>H1535*Y1534*INDEX(v01_MortChild,G1535)/4*Q1535</x:f>
        <x:v>0</x:v>
      </x:c>
      <x:c r="T1535" s="9" t="n">
        <x:f>H1535*Z1534*INDEX(v01_MortAdult,G1535)*Arch_AdultMort/4*Q1535</x:f>
        <x:v>0</x:v>
      </x:c>
      <x:c r="U1535" s="9" t="n">
        <x:f>H1535*AA1534*INDEX(v01_MortElder,G1535)/4*Q1535</x:f>
        <x:v>0</x:v>
      </x:c>
      <x:c r="V1535" s="9" t="n">
        <x:f>H1535*MAX(0,AB1534-O1535)*v01_OvercapLoss</x:f>
        <x:v>0</x:v>
      </x:c>
      <x:c r="W1535" s="9" t="n">
        <x:f>H1535*Y1534/(v01_ChildYears*4)</x:f>
        <x:v>0</x:v>
      </x:c>
      <x:c r="X1535" s="9" t="n">
        <x:f>H1535*Z1534/(v01_AdultYears*4)</x:f>
        <x:v>0</x:v>
      </x:c>
      <x:c r="Y1535" s="32" t="n">
        <x:f>Y1534+R1535-S1535-W1535-Y1534*V1535/AB1534</x:f>
        <x:v>14306.18539759397</x:v>
      </x:c>
      <x:c r="Z1535" s="32" t="n">
        <x:f>Z1534+W1535-X1535-T1535-Z1534*V1535/AB1534</x:f>
        <x:v>19354.456567879548</x:v>
      </x:c>
      <x:c r="AA1535" s="32" t="n">
        <x:f>AA1534+X1535-U1535-AA1534*V1535/AB1534</x:f>
        <x:v>11386.956063258198</x:v>
      </x:c>
      <x:c r="AB1535" s="10" t="n">
        <x:f>Y1535+Z1535+AA1535</x:f>
        <x:v>45047.59802873172</x:v>
      </x:c>
      <x:c r="AC1535" s="8" t="n">
        <x:f>IF(AND(v01_WinterTrigger=1,D1535=1,AB1534/AE1534&gt;=K1535),1,0)</x:f>
        <x:v>0</x:v>
      </x:c>
      <x:c r="AD1535" s="8" t="n">
        <x:f>H1535*IF(AND(OR(AB1534/AE1534&gt;=v01_FissionTrigger*N1535,AC1535=1),AB1534/AE1534*v01_DaughterShare&gt;=v01_MinDaughter),MAX(1,ROUND(AE1534*v01_FissionRate,0)),0)</x:f>
        <x:v>0</x:v>
      </x:c>
      <x:c r="AE1535" s="8" t="n">
        <x:f>IF(H1535=1,MAX(1,MIN(INDEX(v01_Smax,G1535),AE1534+AD1535)),AE1534)</x:f>
        <x:v>15</x:v>
      </x:c>
      <x:c r="AF1535" s="8" t="n">
        <x:f>MAX(0,AE1535-AE1534)</x:f>
        <x:v>0</x:v>
      </x:c>
      <x:c r="AG1535" s="9" t="str">
        <x:f>IF(AF1535&gt;0,B1535,"")</x:f>
      </x:c>
      <x:c r="AH1535" s="9" t="n">
        <x:f>IF(F1535&gt;=1,1,(1+v01_LowTiesShare*(AE1535-1))/AE1535)</x:f>
        <x:v>1</x:v>
      </x:c>
      <x:c r="AI1535" s="32" t="n">
        <x:f>(Z1535+v01_ElderCommons*INDEX(LM_Elder,G1535)*AA1535)*AH1535</x:f>
        <x:v>64139.732591141874</x:v>
      </x:c>
      <x:c r="AJ1535" s="32" t="n">
        <x:f>H1535*v01_CommonsCoef*AI1535^v01_CommonsExp*INDEX(LM_Commons,G1535)</x:f>
        <x:v>0</x:v>
      </x:c>
      <x:c r="AK1535" s="32" t="n">
        <x:f>H1535*v01_RoleScale*Arch_Roles*(AE1535*(INDEX(v01_ElderRolePerSett,G1535)*v01_OutElder*INDEX(LM_Elder,G1535)+INDEX(v01_ShamanPerSett,G1535)*v01_OutShaman)+Z1535*(INDEX(v01_PriestShare,G1535)*v01_OutPriest+INDEX(v01_ScribeShare,G1535)*v01_OutScribe*INDEX(LM_Scribe,G1535)+INDEX(v01_ScholarShare,G1535)*v01_OutScholar*INDEX(LM_Scholar,G1535)+INDEX(v01_ResearcherShare,G1535)*v01_OutResearcher*INDEX(LM_Researcher,G1535)))</x:f>
        <x:v>0</x:v>
      </x:c>
      <x:c r="AL1535" s="32" t="n">
        <x:f>H1535*v01_RoleScale*Arch_Roles*AE1535*INDEX(v01_MonasteryPerSett,G1535)*v01_OutMonastery*INDEX(LM_Monastery,G1535)</x:f>
        <x:v>0</x:v>
      </x:c>
      <x:c r="AM1535" s="32" t="n">
        <x:f>(AJ1535+AK1535+AL1535)/4*INDEX(LM_All,G1535)*INDEX(v01_Boon,G1535)*Arch_Insight</x:f>
        <x:v>0</x:v>
      </x:c>
      <x:c r="AN1535" s="32" t="n">
        <x:f>H1535*(v01_KHPerAdult*Z1535+v01_KHOfCommons*AJ1535/4*INDEX(LM_All,G1535))*v01_KHUsable*Arch_KH</x:f>
        <x:v>0</x:v>
      </x:c>
      <x:c r="AO1535" s="32" t="n">
        <x:f>MIN(AP1534+AN1535,AM1535*v01_KHMaxRatio)</x:f>
        <x:v>0</x:v>
      </x:c>
      <x:c r="AP1535" s="32" t="n">
        <x:f>AP1534+AN1535-AO1535</x:f>
        <x:v>0</x:v>
      </x:c>
      <x:c r="AQ1535" s="32" t="n">
        <x:f>AM1535+AO1535</x:f>
        <x:v>0</x:v>
      </x:c>
      <x:c r="AR1535" s="10" t="n">
        <x:f>IF(H1535=1,INDEX(v01_Req,G1535),0)</x:f>
        <x:v>0</x:v>
      </x:c>
      <x:c r="AS1535" s="32" t="n">
        <x:f>IF(H1535=1,IF(E1535=1,AS1534-AR1534,AS1534)+AQ1535,0)</x:f>
        <x:v>0</x:v>
      </x:c>
      <x:c r="AT1535" s="11" t="n">
        <x:f>IF(AR1535&gt;0,MIN(1,AS1535/AR1535),1)</x:f>
        <x:v>1</x:v>
      </x:c>
      <x:c r="AU1535" s="10" t="n">
        <x:f>AB1535/INDEX(v01_RepScale,G1535)</x:f>
        <x:v>90.09519605746344</x:v>
      </x:c>
      <x:c r="AV1535" s="32" t="n">
        <x:f>AM1535*60/v01_SeasonSeconds</x:f>
        <x:v>0</x:v>
      </x:c>
    </x:row>
    <x:row r="1536">
      <x:c r="A1536" s="8" t="n">
        <x:f>A1535+1</x:f>
        <x:v>1533</x:v>
      </x:c>
      <x:c r="B1536" s="9" t="n">
        <x:f>A1536*v01_SeasonSeconds/60</x:f>
        <x:v>383.25</x:v>
      </x:c>
      <x:c r="C1536" s="9" t="n">
        <x:f>A1536/4</x:f>
        <x:v>383.25</x:v>
      </x:c>
      <x:c r="D1536" s="8" t="n">
        <x:f>IF(MOD(A1536,4)=0,1,0)</x:f>
        <x:v>0</x:v>
      </x:c>
      <x:c r="E1536" s="8" t="n">
        <x:f>IF(AND(F1535&lt;=9,AS1535&gt;=AR1535),1,0)</x:f>
        <x:v>0</x:v>
      </x:c>
      <x:c r="F1536" s="8" t="n">
        <x:f>MIN(10,F1535+E1536)</x:f>
        <x:v>10</x:v>
      </x:c>
      <x:c r="G1536" s="8" t="n">
        <x:f>MIN(F1536,9)+1</x:f>
        <x:v>10</x:v>
      </x:c>
      <x:c r="H1536" s="8" t="n">
        <x:f>IF(F1536&lt;=9,1,0)</x:f>
        <x:v>0</x:v>
      </x:c>
      <x:c r="I1536" s="9" t="n">
        <x:f>MIN(10,F1535+IF(AR1535&gt;0,MIN(1,AS1535/AR1535),1))</x:f>
        <x:v>10</x:v>
      </x:c>
      <x:c r="J1536" s="32" t="n">
        <x:f>INDEX(v01_FoodCap,G1536)*Arch_FoodCap*EXP(v01_CapsByProject*SUMPRODUCT((Cap_Point&lt;=I1536)*(Cap_Kind="Food")*Cap_Ln))</x:f>
        <x:v>12000</x:v>
      </x:c>
      <x:c r="K1536" s="32" t="n">
        <x:f>J1536*MIN(1,v01_LeanBase*EXP(v01_CapsByProject*SUMPRODUCT((Cap_Point&lt;=I1536)*(Cap_Kind="Lean")*Cap_Ln)))</x:f>
        <x:v>12000</x:v>
      </x:c>
      <x:c r="L1536" s="10" t="n">
        <x:f>INDEX(v01_HousingCap,G1536)*EXP(v01_CapsByProject*SUMPRODUCT((Cap_Point&lt;=I1536)*(Cap_Kind="Housing")*Cap_Ln))</x:f>
        <x:v>20000</x:v>
      </x:c>
      <x:c r="M1536" s="10" t="n">
        <x:f>INDEX(v01_GroupCap,G1536)*v01_CohesionFactor*EXP(v01_CapsByProject*SUMPRODUCT((Cap_Point&lt;=I1536)*(Cap_Kind="Group")*Cap_Ln))</x:f>
        <x:v>1000000</x:v>
      </x:c>
      <x:c r="N1536" s="32" t="n">
        <x:f>MIN(J1536,L1536,M1536)</x:f>
        <x:v>12000</x:v>
      </x:c>
      <x:c r="O1536" s="10" t="n">
        <x:f>AE1535*N1536</x:f>
        <x:v>180000</x:v>
      </x:c>
      <x:c r="P1536" s="9" t="n">
        <x:f>MIN(1,(AB1535/(AE1535*IF(v01_GroupInCrowding=1,N1536,MIN(J1536,L1536))))^v01_CrowdingExp)</x:f>
        <x:v>0.00024569414295285325</x:v>
      </x:c>
      <x:c r="Q1536" s="9" t="n">
        <x:f>IF(D1536=1,INDEX(v01_WinterMult,G1536),1)</x:f>
        <x:v>1</x:v>
      </x:c>
      <x:c r="R1536" s="9" t="n">
        <x:f>H1536*Z1535*v01_WomenShare*v01_BaseFertility*INDEX(v01_FertMult,G1536)*Arch_Fertility*(1-P1536)</x:f>
        <x:v>0</x:v>
      </x:c>
      <x:c r="S1536" s="9" t="n">
        <x:f>H1536*Y1535*INDEX(v01_MortChild,G1536)/4*Q1536</x:f>
        <x:v>0</x:v>
      </x:c>
      <x:c r="T1536" s="9" t="n">
        <x:f>H1536*Z1535*INDEX(v01_MortAdult,G1536)*Arch_AdultMort/4*Q1536</x:f>
        <x:v>0</x:v>
      </x:c>
      <x:c r="U1536" s="9" t="n">
        <x:f>H1536*AA1535*INDEX(v01_MortElder,G1536)/4*Q1536</x:f>
        <x:v>0</x:v>
      </x:c>
      <x:c r="V1536" s="9" t="n">
        <x:f>H1536*MAX(0,AB1535-O1536)*v01_OvercapLoss</x:f>
        <x:v>0</x:v>
      </x:c>
      <x:c r="W1536" s="9" t="n">
        <x:f>H1536*Y1535/(v01_ChildYears*4)</x:f>
        <x:v>0</x:v>
      </x:c>
      <x:c r="X1536" s="9" t="n">
        <x:f>H1536*Z1535/(v01_AdultYears*4)</x:f>
        <x:v>0</x:v>
      </x:c>
      <x:c r="Y1536" s="32" t="n">
        <x:f>Y1535+R1536-S1536-W1536-Y1535*V1536/AB1535</x:f>
        <x:v>14306.18539759397</x:v>
      </x:c>
      <x:c r="Z1536" s="32" t="n">
        <x:f>Z1535+W1536-X1536-T1536-Z1535*V1536/AB1535</x:f>
        <x:v>19354.456567879548</x:v>
      </x:c>
      <x:c r="AA1536" s="32" t="n">
        <x:f>AA1535+X1536-U1536-AA1535*V1536/AB1535</x:f>
        <x:v>11386.956063258198</x:v>
      </x:c>
      <x:c r="AB1536" s="10" t="n">
        <x:f>Y1536+Z1536+AA1536</x:f>
        <x:v>45047.59802873172</x:v>
      </x:c>
      <x:c r="AC1536" s="8" t="n">
        <x:f>IF(AND(v01_WinterTrigger=1,D1536=1,AB1535/AE1535&gt;=K1536),1,0)</x:f>
        <x:v>0</x:v>
      </x:c>
      <x:c r="AD1536" s="8" t="n">
        <x:f>H1536*IF(AND(OR(AB1535/AE1535&gt;=v01_FissionTrigger*N1536,AC1536=1),AB1535/AE1535*v01_DaughterShare&gt;=v01_MinDaughter),MAX(1,ROUND(AE1535*v01_FissionRate,0)),0)</x:f>
        <x:v>0</x:v>
      </x:c>
      <x:c r="AE1536" s="8" t="n">
        <x:f>IF(H1536=1,MAX(1,MIN(INDEX(v01_Smax,G1536),AE1535+AD1536)),AE1535)</x:f>
        <x:v>15</x:v>
      </x:c>
      <x:c r="AF1536" s="8" t="n">
        <x:f>MAX(0,AE1536-AE1535)</x:f>
        <x:v>0</x:v>
      </x:c>
      <x:c r="AG1536" s="9" t="str">
        <x:f>IF(AF1536&gt;0,B1536,"")</x:f>
      </x:c>
      <x:c r="AH1536" s="9" t="n">
        <x:f>IF(F1536&gt;=1,1,(1+v01_LowTiesShare*(AE1536-1))/AE1536)</x:f>
        <x:v>1</x:v>
      </x:c>
      <x:c r="AI1536" s="32" t="n">
        <x:f>(Z1536+v01_ElderCommons*INDEX(LM_Elder,G1536)*AA1536)*AH1536</x:f>
        <x:v>64139.732591141874</x:v>
      </x:c>
      <x:c r="AJ1536" s="32" t="n">
        <x:f>H1536*v01_CommonsCoef*AI1536^v01_CommonsExp*INDEX(LM_Commons,G1536)</x:f>
        <x:v>0</x:v>
      </x:c>
      <x:c r="AK1536" s="32" t="n">
        <x:f>H1536*v01_RoleScale*Arch_Roles*(AE1536*(INDEX(v01_ElderRolePerSett,G1536)*v01_OutElder*INDEX(LM_Elder,G1536)+INDEX(v01_ShamanPerSett,G1536)*v01_OutShaman)+Z1536*(INDEX(v01_PriestShare,G1536)*v01_OutPriest+INDEX(v01_ScribeShare,G1536)*v01_OutScribe*INDEX(LM_Scribe,G1536)+INDEX(v01_ScholarShare,G1536)*v01_OutScholar*INDEX(LM_Scholar,G1536)+INDEX(v01_ResearcherShare,G1536)*v01_OutResearcher*INDEX(LM_Researcher,G1536)))</x:f>
        <x:v>0</x:v>
      </x:c>
      <x:c r="AL1536" s="32" t="n">
        <x:f>H1536*v01_RoleScale*Arch_Roles*AE1536*INDEX(v01_MonasteryPerSett,G1536)*v01_OutMonastery*INDEX(LM_Monastery,G1536)</x:f>
        <x:v>0</x:v>
      </x:c>
      <x:c r="AM1536" s="32" t="n">
        <x:f>(AJ1536+AK1536+AL1536)/4*INDEX(LM_All,G1536)*INDEX(v01_Boon,G1536)*Arch_Insight</x:f>
        <x:v>0</x:v>
      </x:c>
      <x:c r="AN1536" s="32" t="n">
        <x:f>H1536*(v01_KHPerAdult*Z1536+v01_KHOfCommons*AJ1536/4*INDEX(LM_All,G1536))*v01_KHUsable*Arch_KH</x:f>
        <x:v>0</x:v>
      </x:c>
      <x:c r="AO1536" s="32" t="n">
        <x:f>MIN(AP1535+AN1536,AM1536*v01_KHMaxRatio)</x:f>
        <x:v>0</x:v>
      </x:c>
      <x:c r="AP1536" s="32" t="n">
        <x:f>AP1535+AN1536-AO1536</x:f>
        <x:v>0</x:v>
      </x:c>
      <x:c r="AQ1536" s="32" t="n">
        <x:f>AM1536+AO1536</x:f>
        <x:v>0</x:v>
      </x:c>
      <x:c r="AR1536" s="10" t="n">
        <x:f>IF(H1536=1,INDEX(v01_Req,G1536),0)</x:f>
        <x:v>0</x:v>
      </x:c>
      <x:c r="AS1536" s="32" t="n">
        <x:f>IF(H1536=1,IF(E1536=1,AS1535-AR1535,AS1535)+AQ1536,0)</x:f>
        <x:v>0</x:v>
      </x:c>
      <x:c r="AT1536" s="11" t="n">
        <x:f>IF(AR1536&gt;0,MIN(1,AS1536/AR1536),1)</x:f>
        <x:v>1</x:v>
      </x:c>
      <x:c r="AU1536" s="10" t="n">
        <x:f>AB1536/INDEX(v01_RepScale,G1536)</x:f>
        <x:v>90.09519605746344</x:v>
      </x:c>
      <x:c r="AV1536" s="32" t="n">
        <x:f>AM1536*60/v01_SeasonSeconds</x:f>
        <x:v>0</x:v>
      </x:c>
    </x:row>
    <x:row r="1537">
      <x:c r="A1537" s="8" t="n">
        <x:f>A1536+1</x:f>
        <x:v>1534</x:v>
      </x:c>
      <x:c r="B1537" s="9" t="n">
        <x:f>A1537*v01_SeasonSeconds/60</x:f>
        <x:v>383.5</x:v>
      </x:c>
      <x:c r="C1537" s="9" t="n">
        <x:f>A1537/4</x:f>
        <x:v>383.5</x:v>
      </x:c>
      <x:c r="D1537" s="8" t="n">
        <x:f>IF(MOD(A1537,4)=0,1,0)</x:f>
        <x:v>0</x:v>
      </x:c>
      <x:c r="E1537" s="8" t="n">
        <x:f>IF(AND(F1536&lt;=9,AS1536&gt;=AR1536),1,0)</x:f>
        <x:v>0</x:v>
      </x:c>
      <x:c r="F1537" s="8" t="n">
        <x:f>MIN(10,F1536+E1537)</x:f>
        <x:v>10</x:v>
      </x:c>
      <x:c r="G1537" s="8" t="n">
        <x:f>MIN(F1537,9)+1</x:f>
        <x:v>10</x:v>
      </x:c>
      <x:c r="H1537" s="8" t="n">
        <x:f>IF(F1537&lt;=9,1,0)</x:f>
        <x:v>0</x:v>
      </x:c>
      <x:c r="I1537" s="9" t="n">
        <x:f>MIN(10,F1536+IF(AR1536&gt;0,MIN(1,AS1536/AR1536),1))</x:f>
        <x:v>10</x:v>
      </x:c>
      <x:c r="J1537" s="32" t="n">
        <x:f>INDEX(v01_FoodCap,G1537)*Arch_FoodCap*EXP(v01_CapsByProject*SUMPRODUCT((Cap_Point&lt;=I1537)*(Cap_Kind="Food")*Cap_Ln))</x:f>
        <x:v>12000</x:v>
      </x:c>
      <x:c r="K1537" s="32" t="n">
        <x:f>J1537*MIN(1,v01_LeanBase*EXP(v01_CapsByProject*SUMPRODUCT((Cap_Point&lt;=I1537)*(Cap_Kind="Lean")*Cap_Ln)))</x:f>
        <x:v>12000</x:v>
      </x:c>
      <x:c r="L1537" s="10" t="n">
        <x:f>INDEX(v01_HousingCap,G1537)*EXP(v01_CapsByProject*SUMPRODUCT((Cap_Point&lt;=I1537)*(Cap_Kind="Housing")*Cap_Ln))</x:f>
        <x:v>20000</x:v>
      </x:c>
      <x:c r="M1537" s="10" t="n">
        <x:f>INDEX(v01_GroupCap,G1537)*v01_CohesionFactor*EXP(v01_CapsByProject*SUMPRODUCT((Cap_Point&lt;=I1537)*(Cap_Kind="Group")*Cap_Ln))</x:f>
        <x:v>1000000</x:v>
      </x:c>
      <x:c r="N1537" s="32" t="n">
        <x:f>MIN(J1537,L1537,M1537)</x:f>
        <x:v>12000</x:v>
      </x:c>
      <x:c r="O1537" s="10" t="n">
        <x:f>AE1536*N1537</x:f>
        <x:v>180000</x:v>
      </x:c>
      <x:c r="P1537" s="9" t="n">
        <x:f>MIN(1,(AB1536/(AE1536*IF(v01_GroupInCrowding=1,N1537,MIN(J1537,L1537))))^v01_CrowdingExp)</x:f>
        <x:v>0.00024569414295285325</x:v>
      </x:c>
      <x:c r="Q1537" s="9" t="n">
        <x:f>IF(D1537=1,INDEX(v01_WinterMult,G1537),1)</x:f>
        <x:v>1</x:v>
      </x:c>
      <x:c r="R1537" s="9" t="n">
        <x:f>H1537*Z1536*v01_WomenShare*v01_BaseFertility*INDEX(v01_FertMult,G1537)*Arch_Fertility*(1-P1537)</x:f>
        <x:v>0</x:v>
      </x:c>
      <x:c r="S1537" s="9" t="n">
        <x:f>H1537*Y1536*INDEX(v01_MortChild,G1537)/4*Q1537</x:f>
        <x:v>0</x:v>
      </x:c>
      <x:c r="T1537" s="9" t="n">
        <x:f>H1537*Z1536*INDEX(v01_MortAdult,G1537)*Arch_AdultMort/4*Q1537</x:f>
        <x:v>0</x:v>
      </x:c>
      <x:c r="U1537" s="9" t="n">
        <x:f>H1537*AA1536*INDEX(v01_MortElder,G1537)/4*Q1537</x:f>
        <x:v>0</x:v>
      </x:c>
      <x:c r="V1537" s="9" t="n">
        <x:f>H1537*MAX(0,AB1536-O1537)*v01_OvercapLoss</x:f>
        <x:v>0</x:v>
      </x:c>
      <x:c r="W1537" s="9" t="n">
        <x:f>H1537*Y1536/(v01_ChildYears*4)</x:f>
        <x:v>0</x:v>
      </x:c>
      <x:c r="X1537" s="9" t="n">
        <x:f>H1537*Z1536/(v01_AdultYears*4)</x:f>
        <x:v>0</x:v>
      </x:c>
      <x:c r="Y1537" s="32" t="n">
        <x:f>Y1536+R1537-S1537-W1537-Y1536*V1537/AB1536</x:f>
        <x:v>14306.18539759397</x:v>
      </x:c>
      <x:c r="Z1537" s="32" t="n">
        <x:f>Z1536+W1537-X1537-T1537-Z1536*V1537/AB1536</x:f>
        <x:v>19354.456567879548</x:v>
      </x:c>
      <x:c r="AA1537" s="32" t="n">
        <x:f>AA1536+X1537-U1537-AA1536*V1537/AB1536</x:f>
        <x:v>11386.956063258198</x:v>
      </x:c>
      <x:c r="AB1537" s="10" t="n">
        <x:f>Y1537+Z1537+AA1537</x:f>
        <x:v>45047.59802873172</x:v>
      </x:c>
      <x:c r="AC1537" s="8" t="n">
        <x:f>IF(AND(v01_WinterTrigger=1,D1537=1,AB1536/AE1536&gt;=K1537),1,0)</x:f>
        <x:v>0</x:v>
      </x:c>
      <x:c r="AD1537" s="8" t="n">
        <x:f>H1537*IF(AND(OR(AB1536/AE1536&gt;=v01_FissionTrigger*N1537,AC1537=1),AB1536/AE1536*v01_DaughterShare&gt;=v01_MinDaughter),MAX(1,ROUND(AE1536*v01_FissionRate,0)),0)</x:f>
        <x:v>0</x:v>
      </x:c>
      <x:c r="AE1537" s="8" t="n">
        <x:f>IF(H1537=1,MAX(1,MIN(INDEX(v01_Smax,G1537),AE1536+AD1537)),AE1536)</x:f>
        <x:v>15</x:v>
      </x:c>
      <x:c r="AF1537" s="8" t="n">
        <x:f>MAX(0,AE1537-AE1536)</x:f>
        <x:v>0</x:v>
      </x:c>
      <x:c r="AG1537" s="9" t="str">
        <x:f>IF(AF1537&gt;0,B1537,"")</x:f>
      </x:c>
      <x:c r="AH1537" s="9" t="n">
        <x:f>IF(F1537&gt;=1,1,(1+v01_LowTiesShare*(AE1537-1))/AE1537)</x:f>
        <x:v>1</x:v>
      </x:c>
      <x:c r="AI1537" s="32" t="n">
        <x:f>(Z1537+v01_ElderCommons*INDEX(LM_Elder,G1537)*AA1537)*AH1537</x:f>
        <x:v>64139.732591141874</x:v>
      </x:c>
      <x:c r="AJ1537" s="32" t="n">
        <x:f>H1537*v01_CommonsCoef*AI1537^v01_CommonsExp*INDEX(LM_Commons,G1537)</x:f>
        <x:v>0</x:v>
      </x:c>
      <x:c r="AK1537" s="32" t="n">
        <x:f>H1537*v01_RoleScale*Arch_Roles*(AE1537*(INDEX(v01_ElderRolePerSett,G1537)*v01_OutElder*INDEX(LM_Elder,G1537)+INDEX(v01_ShamanPerSett,G1537)*v01_OutShaman)+Z1537*(INDEX(v01_PriestShare,G1537)*v01_OutPriest+INDEX(v01_ScribeShare,G1537)*v01_OutScribe*INDEX(LM_Scribe,G1537)+INDEX(v01_ScholarShare,G1537)*v01_OutScholar*INDEX(LM_Scholar,G1537)+INDEX(v01_ResearcherShare,G1537)*v01_OutResearcher*INDEX(LM_Researcher,G1537)))</x:f>
        <x:v>0</x:v>
      </x:c>
      <x:c r="AL1537" s="32" t="n">
        <x:f>H1537*v01_RoleScale*Arch_Roles*AE1537*INDEX(v01_MonasteryPerSett,G1537)*v01_OutMonastery*INDEX(LM_Monastery,G1537)</x:f>
        <x:v>0</x:v>
      </x:c>
      <x:c r="AM1537" s="32" t="n">
        <x:f>(AJ1537+AK1537+AL1537)/4*INDEX(LM_All,G1537)*INDEX(v01_Boon,G1537)*Arch_Insight</x:f>
        <x:v>0</x:v>
      </x:c>
      <x:c r="AN1537" s="32" t="n">
        <x:f>H1537*(v01_KHPerAdult*Z1537+v01_KHOfCommons*AJ1537/4*INDEX(LM_All,G1537))*v01_KHUsable*Arch_KH</x:f>
        <x:v>0</x:v>
      </x:c>
      <x:c r="AO1537" s="32" t="n">
        <x:f>MIN(AP1536+AN1537,AM1537*v01_KHMaxRatio)</x:f>
        <x:v>0</x:v>
      </x:c>
      <x:c r="AP1537" s="32" t="n">
        <x:f>AP1536+AN1537-AO1537</x:f>
        <x:v>0</x:v>
      </x:c>
      <x:c r="AQ1537" s="32" t="n">
        <x:f>AM1537+AO1537</x:f>
        <x:v>0</x:v>
      </x:c>
      <x:c r="AR1537" s="10" t="n">
        <x:f>IF(H1537=1,INDEX(v01_Req,G1537),0)</x:f>
        <x:v>0</x:v>
      </x:c>
      <x:c r="AS1537" s="32" t="n">
        <x:f>IF(H1537=1,IF(E1537=1,AS1536-AR1536,AS1536)+AQ1537,0)</x:f>
        <x:v>0</x:v>
      </x:c>
      <x:c r="AT1537" s="11" t="n">
        <x:f>IF(AR1537&gt;0,MIN(1,AS1537/AR1537),1)</x:f>
        <x:v>1</x:v>
      </x:c>
      <x:c r="AU1537" s="10" t="n">
        <x:f>AB1537/INDEX(v01_RepScale,G1537)</x:f>
        <x:v>90.09519605746344</x:v>
      </x:c>
      <x:c r="AV1537" s="32" t="n">
        <x:f>AM1537*60/v01_SeasonSeconds</x:f>
        <x:v>0</x:v>
      </x:c>
    </x:row>
    <x:row r="1538">
      <x:c r="A1538" s="8" t="n">
        <x:f>A1537+1</x:f>
        <x:v>1535</x:v>
      </x:c>
      <x:c r="B1538" s="9" t="n">
        <x:f>A1538*v01_SeasonSeconds/60</x:f>
        <x:v>383.75</x:v>
      </x:c>
      <x:c r="C1538" s="9" t="n">
        <x:f>A1538/4</x:f>
        <x:v>383.75</x:v>
      </x:c>
      <x:c r="D1538" s="8" t="n">
        <x:f>IF(MOD(A1538,4)=0,1,0)</x:f>
        <x:v>0</x:v>
      </x:c>
      <x:c r="E1538" s="8" t="n">
        <x:f>IF(AND(F1537&lt;=9,AS1537&gt;=AR1537),1,0)</x:f>
        <x:v>0</x:v>
      </x:c>
      <x:c r="F1538" s="8" t="n">
        <x:f>MIN(10,F1537+E1538)</x:f>
        <x:v>10</x:v>
      </x:c>
      <x:c r="G1538" s="8" t="n">
        <x:f>MIN(F1538,9)+1</x:f>
        <x:v>10</x:v>
      </x:c>
      <x:c r="H1538" s="8" t="n">
        <x:f>IF(F1538&lt;=9,1,0)</x:f>
        <x:v>0</x:v>
      </x:c>
      <x:c r="I1538" s="9" t="n">
        <x:f>MIN(10,F1537+IF(AR1537&gt;0,MIN(1,AS1537/AR1537),1))</x:f>
        <x:v>10</x:v>
      </x:c>
      <x:c r="J1538" s="32" t="n">
        <x:f>INDEX(v01_FoodCap,G1538)*Arch_FoodCap*EXP(v01_CapsByProject*SUMPRODUCT((Cap_Point&lt;=I1538)*(Cap_Kind="Food")*Cap_Ln))</x:f>
        <x:v>12000</x:v>
      </x:c>
      <x:c r="K1538" s="32" t="n">
        <x:f>J1538*MIN(1,v01_LeanBase*EXP(v01_CapsByProject*SUMPRODUCT((Cap_Point&lt;=I1538)*(Cap_Kind="Lean")*Cap_Ln)))</x:f>
        <x:v>12000</x:v>
      </x:c>
      <x:c r="L1538" s="10" t="n">
        <x:f>INDEX(v01_HousingCap,G1538)*EXP(v01_CapsByProject*SUMPRODUCT((Cap_Point&lt;=I1538)*(Cap_Kind="Housing")*Cap_Ln))</x:f>
        <x:v>20000</x:v>
      </x:c>
      <x:c r="M1538" s="10" t="n">
        <x:f>INDEX(v01_GroupCap,G1538)*v01_CohesionFactor*EXP(v01_CapsByProject*SUMPRODUCT((Cap_Point&lt;=I1538)*(Cap_Kind="Group")*Cap_Ln))</x:f>
        <x:v>1000000</x:v>
      </x:c>
      <x:c r="N1538" s="32" t="n">
        <x:f>MIN(J1538,L1538,M1538)</x:f>
        <x:v>12000</x:v>
      </x:c>
      <x:c r="O1538" s="10" t="n">
        <x:f>AE1537*N1538</x:f>
        <x:v>180000</x:v>
      </x:c>
      <x:c r="P1538" s="9" t="n">
        <x:f>MIN(1,(AB1537/(AE1537*IF(v01_GroupInCrowding=1,N1538,MIN(J1538,L1538))))^v01_CrowdingExp)</x:f>
        <x:v>0.00024569414295285325</x:v>
      </x:c>
      <x:c r="Q1538" s="9" t="n">
        <x:f>IF(D1538=1,INDEX(v01_WinterMult,G1538),1)</x:f>
        <x:v>1</x:v>
      </x:c>
      <x:c r="R1538" s="9" t="n">
        <x:f>H1538*Z1537*v01_WomenShare*v01_BaseFertility*INDEX(v01_FertMult,G1538)*Arch_Fertility*(1-P1538)</x:f>
        <x:v>0</x:v>
      </x:c>
      <x:c r="S1538" s="9" t="n">
        <x:f>H1538*Y1537*INDEX(v01_MortChild,G1538)/4*Q1538</x:f>
        <x:v>0</x:v>
      </x:c>
      <x:c r="T1538" s="9" t="n">
        <x:f>H1538*Z1537*INDEX(v01_MortAdult,G1538)*Arch_AdultMort/4*Q1538</x:f>
        <x:v>0</x:v>
      </x:c>
      <x:c r="U1538" s="9" t="n">
        <x:f>H1538*AA1537*INDEX(v01_MortElder,G1538)/4*Q1538</x:f>
        <x:v>0</x:v>
      </x:c>
      <x:c r="V1538" s="9" t="n">
        <x:f>H1538*MAX(0,AB1537-O1538)*v01_OvercapLoss</x:f>
        <x:v>0</x:v>
      </x:c>
      <x:c r="W1538" s="9" t="n">
        <x:f>H1538*Y1537/(v01_ChildYears*4)</x:f>
        <x:v>0</x:v>
      </x:c>
      <x:c r="X1538" s="9" t="n">
        <x:f>H1538*Z1537/(v01_AdultYears*4)</x:f>
        <x:v>0</x:v>
      </x:c>
      <x:c r="Y1538" s="32" t="n">
        <x:f>Y1537+R1538-S1538-W1538-Y1537*V1538/AB1537</x:f>
        <x:v>14306.18539759397</x:v>
      </x:c>
      <x:c r="Z1538" s="32" t="n">
        <x:f>Z1537+W1538-X1538-T1538-Z1537*V1538/AB1537</x:f>
        <x:v>19354.456567879548</x:v>
      </x:c>
      <x:c r="AA1538" s="32" t="n">
        <x:f>AA1537+X1538-U1538-AA1537*V1538/AB1537</x:f>
        <x:v>11386.956063258198</x:v>
      </x:c>
      <x:c r="AB1538" s="10" t="n">
        <x:f>Y1538+Z1538+AA1538</x:f>
        <x:v>45047.59802873172</x:v>
      </x:c>
      <x:c r="AC1538" s="8" t="n">
        <x:f>IF(AND(v01_WinterTrigger=1,D1538=1,AB1537/AE1537&gt;=K1538),1,0)</x:f>
        <x:v>0</x:v>
      </x:c>
      <x:c r="AD1538" s="8" t="n">
        <x:f>H1538*IF(AND(OR(AB1537/AE1537&gt;=v01_FissionTrigger*N1538,AC1538=1),AB1537/AE1537*v01_DaughterShare&gt;=v01_MinDaughter),MAX(1,ROUND(AE1537*v01_FissionRate,0)),0)</x:f>
        <x:v>0</x:v>
      </x:c>
      <x:c r="AE1538" s="8" t="n">
        <x:f>IF(H1538=1,MAX(1,MIN(INDEX(v01_Smax,G1538),AE1537+AD1538)),AE1537)</x:f>
        <x:v>15</x:v>
      </x:c>
      <x:c r="AF1538" s="8" t="n">
        <x:f>MAX(0,AE1538-AE1537)</x:f>
        <x:v>0</x:v>
      </x:c>
      <x:c r="AG1538" s="9" t="str">
        <x:f>IF(AF1538&gt;0,B1538,"")</x:f>
      </x:c>
      <x:c r="AH1538" s="9" t="n">
        <x:f>IF(F1538&gt;=1,1,(1+v01_LowTiesShare*(AE1538-1))/AE1538)</x:f>
        <x:v>1</x:v>
      </x:c>
      <x:c r="AI1538" s="32" t="n">
        <x:f>(Z1538+v01_ElderCommons*INDEX(LM_Elder,G1538)*AA1538)*AH1538</x:f>
        <x:v>64139.732591141874</x:v>
      </x:c>
      <x:c r="AJ1538" s="32" t="n">
        <x:f>H1538*v01_CommonsCoef*AI1538^v01_CommonsExp*INDEX(LM_Commons,G1538)</x:f>
        <x:v>0</x:v>
      </x:c>
      <x:c r="AK1538" s="32" t="n">
        <x:f>H1538*v01_RoleScale*Arch_Roles*(AE1538*(INDEX(v01_ElderRolePerSett,G1538)*v01_OutElder*INDEX(LM_Elder,G1538)+INDEX(v01_ShamanPerSett,G1538)*v01_OutShaman)+Z1538*(INDEX(v01_PriestShare,G1538)*v01_OutPriest+INDEX(v01_ScribeShare,G1538)*v01_OutScribe*INDEX(LM_Scribe,G1538)+INDEX(v01_ScholarShare,G1538)*v01_OutScholar*INDEX(LM_Scholar,G1538)+INDEX(v01_ResearcherShare,G1538)*v01_OutResearcher*INDEX(LM_Researcher,G1538)))</x:f>
        <x:v>0</x:v>
      </x:c>
      <x:c r="AL1538" s="32" t="n">
        <x:f>H1538*v01_RoleScale*Arch_Roles*AE1538*INDEX(v01_MonasteryPerSett,G1538)*v01_OutMonastery*INDEX(LM_Monastery,G1538)</x:f>
        <x:v>0</x:v>
      </x:c>
      <x:c r="AM1538" s="32" t="n">
        <x:f>(AJ1538+AK1538+AL1538)/4*INDEX(LM_All,G1538)*INDEX(v01_Boon,G1538)*Arch_Insight</x:f>
        <x:v>0</x:v>
      </x:c>
      <x:c r="AN1538" s="32" t="n">
        <x:f>H1538*(v01_KHPerAdult*Z1538+v01_KHOfCommons*AJ1538/4*INDEX(LM_All,G1538))*v01_KHUsable*Arch_KH</x:f>
        <x:v>0</x:v>
      </x:c>
      <x:c r="AO1538" s="32" t="n">
        <x:f>MIN(AP1537+AN1538,AM1538*v01_KHMaxRatio)</x:f>
        <x:v>0</x:v>
      </x:c>
      <x:c r="AP1538" s="32" t="n">
        <x:f>AP1537+AN1538-AO1538</x:f>
        <x:v>0</x:v>
      </x:c>
      <x:c r="AQ1538" s="32" t="n">
        <x:f>AM1538+AO1538</x:f>
        <x:v>0</x:v>
      </x:c>
      <x:c r="AR1538" s="10" t="n">
        <x:f>IF(H1538=1,INDEX(v01_Req,G1538),0)</x:f>
        <x:v>0</x:v>
      </x:c>
      <x:c r="AS1538" s="32" t="n">
        <x:f>IF(H1538=1,IF(E1538=1,AS1537-AR1537,AS1537)+AQ1538,0)</x:f>
        <x:v>0</x:v>
      </x:c>
      <x:c r="AT1538" s="11" t="n">
        <x:f>IF(AR1538&gt;0,MIN(1,AS1538/AR1538),1)</x:f>
        <x:v>1</x:v>
      </x:c>
      <x:c r="AU1538" s="10" t="n">
        <x:f>AB1538/INDEX(v01_RepScale,G1538)</x:f>
        <x:v>90.09519605746344</x:v>
      </x:c>
      <x:c r="AV1538" s="32" t="n">
        <x:f>AM1538*60/v01_SeasonSeconds</x:f>
        <x:v>0</x:v>
      </x:c>
    </x:row>
    <x:row r="1539">
      <x:c r="A1539" s="8" t="n">
        <x:f>A1538+1</x:f>
        <x:v>1536</x:v>
      </x:c>
      <x:c r="B1539" s="9" t="n">
        <x:f>A1539*v01_SeasonSeconds/60</x:f>
        <x:v>384</x:v>
      </x:c>
      <x:c r="C1539" s="9" t="n">
        <x:f>A1539/4</x:f>
        <x:v>384</x:v>
      </x:c>
      <x:c r="D1539" s="8" t="n">
        <x:f>IF(MOD(A1539,4)=0,1,0)</x:f>
        <x:v>1</x:v>
      </x:c>
      <x:c r="E1539" s="8" t="n">
        <x:f>IF(AND(F1538&lt;=9,AS1538&gt;=AR1538),1,0)</x:f>
        <x:v>0</x:v>
      </x:c>
      <x:c r="F1539" s="8" t="n">
        <x:f>MIN(10,F1538+E1539)</x:f>
        <x:v>10</x:v>
      </x:c>
      <x:c r="G1539" s="8" t="n">
        <x:f>MIN(F1539,9)+1</x:f>
        <x:v>10</x:v>
      </x:c>
      <x:c r="H1539" s="8" t="n">
        <x:f>IF(F1539&lt;=9,1,0)</x:f>
        <x:v>0</x:v>
      </x:c>
      <x:c r="I1539" s="9" t="n">
        <x:f>MIN(10,F1538+IF(AR1538&gt;0,MIN(1,AS1538/AR1538),1))</x:f>
        <x:v>10</x:v>
      </x:c>
      <x:c r="J1539" s="32" t="n">
        <x:f>INDEX(v01_FoodCap,G1539)*Arch_FoodCap*EXP(v01_CapsByProject*SUMPRODUCT((Cap_Point&lt;=I1539)*(Cap_Kind="Food")*Cap_Ln))</x:f>
        <x:v>12000</x:v>
      </x:c>
      <x:c r="K1539" s="32" t="n">
        <x:f>J1539*MIN(1,v01_LeanBase*EXP(v01_CapsByProject*SUMPRODUCT((Cap_Point&lt;=I1539)*(Cap_Kind="Lean")*Cap_Ln)))</x:f>
        <x:v>12000</x:v>
      </x:c>
      <x:c r="L1539" s="10" t="n">
        <x:f>INDEX(v01_HousingCap,G1539)*EXP(v01_CapsByProject*SUMPRODUCT((Cap_Point&lt;=I1539)*(Cap_Kind="Housing")*Cap_Ln))</x:f>
        <x:v>20000</x:v>
      </x:c>
      <x:c r="M1539" s="10" t="n">
        <x:f>INDEX(v01_GroupCap,G1539)*v01_CohesionFactor*EXP(v01_CapsByProject*SUMPRODUCT((Cap_Point&lt;=I1539)*(Cap_Kind="Group")*Cap_Ln))</x:f>
        <x:v>1000000</x:v>
      </x:c>
      <x:c r="N1539" s="32" t="n">
        <x:f>MIN(J1539,L1539,M1539)</x:f>
        <x:v>12000</x:v>
      </x:c>
      <x:c r="O1539" s="10" t="n">
        <x:f>AE1538*N1539</x:f>
        <x:v>180000</x:v>
      </x:c>
      <x:c r="P1539" s="9" t="n">
        <x:f>MIN(1,(AB1538/(AE1538*IF(v01_GroupInCrowding=1,N1539,MIN(J1539,L1539))))^v01_CrowdingExp)</x:f>
        <x:v>0.00024569414295285325</x:v>
      </x:c>
      <x:c r="Q1539" s="9" t="n">
        <x:f>IF(D1539=1,INDEX(v01_WinterMult,G1539),1)</x:f>
        <x:v>1</x:v>
      </x:c>
      <x:c r="R1539" s="9" t="n">
        <x:f>H1539*Z1538*v01_WomenShare*v01_BaseFertility*INDEX(v01_FertMult,G1539)*Arch_Fertility*(1-P1539)</x:f>
        <x:v>0</x:v>
      </x:c>
      <x:c r="S1539" s="9" t="n">
        <x:f>H1539*Y1538*INDEX(v01_MortChild,G1539)/4*Q1539</x:f>
        <x:v>0</x:v>
      </x:c>
      <x:c r="T1539" s="9" t="n">
        <x:f>H1539*Z1538*INDEX(v01_MortAdult,G1539)*Arch_AdultMort/4*Q1539</x:f>
        <x:v>0</x:v>
      </x:c>
      <x:c r="U1539" s="9" t="n">
        <x:f>H1539*AA1538*INDEX(v01_MortElder,G1539)/4*Q1539</x:f>
        <x:v>0</x:v>
      </x:c>
      <x:c r="V1539" s="9" t="n">
        <x:f>H1539*MAX(0,AB1538-O1539)*v01_OvercapLoss</x:f>
        <x:v>0</x:v>
      </x:c>
      <x:c r="W1539" s="9" t="n">
        <x:f>H1539*Y1538/(v01_ChildYears*4)</x:f>
        <x:v>0</x:v>
      </x:c>
      <x:c r="X1539" s="9" t="n">
        <x:f>H1539*Z1538/(v01_AdultYears*4)</x:f>
        <x:v>0</x:v>
      </x:c>
      <x:c r="Y1539" s="32" t="n">
        <x:f>Y1538+R1539-S1539-W1539-Y1538*V1539/AB1538</x:f>
        <x:v>14306.18539759397</x:v>
      </x:c>
      <x:c r="Z1539" s="32" t="n">
        <x:f>Z1538+W1539-X1539-T1539-Z1538*V1539/AB1538</x:f>
        <x:v>19354.456567879548</x:v>
      </x:c>
      <x:c r="AA1539" s="32" t="n">
        <x:f>AA1538+X1539-U1539-AA1538*V1539/AB1538</x:f>
        <x:v>11386.956063258198</x:v>
      </x:c>
      <x:c r="AB1539" s="10" t="n">
        <x:f>Y1539+Z1539+AA1539</x:f>
        <x:v>45047.59802873172</x:v>
      </x:c>
      <x:c r="AC1539" s="8" t="n">
        <x:f>IF(AND(v01_WinterTrigger=1,D1539=1,AB1538/AE1538&gt;=K1539),1,0)</x:f>
        <x:v>0</x:v>
      </x:c>
      <x:c r="AD1539" s="8" t="n">
        <x:f>H1539*IF(AND(OR(AB1538/AE1538&gt;=v01_FissionTrigger*N1539,AC1539=1),AB1538/AE1538*v01_DaughterShare&gt;=v01_MinDaughter),MAX(1,ROUND(AE1538*v01_FissionRate,0)),0)</x:f>
        <x:v>0</x:v>
      </x:c>
      <x:c r="AE1539" s="8" t="n">
        <x:f>IF(H1539=1,MAX(1,MIN(INDEX(v01_Smax,G1539),AE1538+AD1539)),AE1538)</x:f>
        <x:v>15</x:v>
      </x:c>
      <x:c r="AF1539" s="8" t="n">
        <x:f>MAX(0,AE1539-AE1538)</x:f>
        <x:v>0</x:v>
      </x:c>
      <x:c r="AG1539" s="9" t="str">
        <x:f>IF(AF1539&gt;0,B1539,"")</x:f>
      </x:c>
      <x:c r="AH1539" s="9" t="n">
        <x:f>IF(F1539&gt;=1,1,(1+v01_LowTiesShare*(AE1539-1))/AE1539)</x:f>
        <x:v>1</x:v>
      </x:c>
      <x:c r="AI1539" s="32" t="n">
        <x:f>(Z1539+v01_ElderCommons*INDEX(LM_Elder,G1539)*AA1539)*AH1539</x:f>
        <x:v>64139.732591141874</x:v>
      </x:c>
      <x:c r="AJ1539" s="32" t="n">
        <x:f>H1539*v01_CommonsCoef*AI1539^v01_CommonsExp*INDEX(LM_Commons,G1539)</x:f>
        <x:v>0</x:v>
      </x:c>
      <x:c r="AK1539" s="32" t="n">
        <x:f>H1539*v01_RoleScale*Arch_Roles*(AE1539*(INDEX(v01_ElderRolePerSett,G1539)*v01_OutElder*INDEX(LM_Elder,G1539)+INDEX(v01_ShamanPerSett,G1539)*v01_OutShaman)+Z1539*(INDEX(v01_PriestShare,G1539)*v01_OutPriest+INDEX(v01_ScribeShare,G1539)*v01_OutScribe*INDEX(LM_Scribe,G1539)+INDEX(v01_ScholarShare,G1539)*v01_OutScholar*INDEX(LM_Scholar,G1539)+INDEX(v01_ResearcherShare,G1539)*v01_OutResearcher*INDEX(LM_Researcher,G1539)))</x:f>
        <x:v>0</x:v>
      </x:c>
      <x:c r="AL1539" s="32" t="n">
        <x:f>H1539*v01_RoleScale*Arch_Roles*AE1539*INDEX(v01_MonasteryPerSett,G1539)*v01_OutMonastery*INDEX(LM_Monastery,G1539)</x:f>
        <x:v>0</x:v>
      </x:c>
      <x:c r="AM1539" s="32" t="n">
        <x:f>(AJ1539+AK1539+AL1539)/4*INDEX(LM_All,G1539)*INDEX(v01_Boon,G1539)*Arch_Insight</x:f>
        <x:v>0</x:v>
      </x:c>
      <x:c r="AN1539" s="32" t="n">
        <x:f>H1539*(v01_KHPerAdult*Z1539+v01_KHOfCommons*AJ1539/4*INDEX(LM_All,G1539))*v01_KHUsable*Arch_KH</x:f>
        <x:v>0</x:v>
      </x:c>
      <x:c r="AO1539" s="32" t="n">
        <x:f>MIN(AP1538+AN1539,AM1539*v01_KHMaxRatio)</x:f>
        <x:v>0</x:v>
      </x:c>
      <x:c r="AP1539" s="32" t="n">
        <x:f>AP1538+AN1539-AO1539</x:f>
        <x:v>0</x:v>
      </x:c>
      <x:c r="AQ1539" s="32" t="n">
        <x:f>AM1539+AO1539</x:f>
        <x:v>0</x:v>
      </x:c>
      <x:c r="AR1539" s="10" t="n">
        <x:f>IF(H1539=1,INDEX(v01_Req,G1539),0)</x:f>
        <x:v>0</x:v>
      </x:c>
      <x:c r="AS1539" s="32" t="n">
        <x:f>IF(H1539=1,IF(E1539=1,AS1538-AR1538,AS1538)+AQ1539,0)</x:f>
        <x:v>0</x:v>
      </x:c>
      <x:c r="AT1539" s="11" t="n">
        <x:f>IF(AR1539&gt;0,MIN(1,AS1539/AR1539),1)</x:f>
        <x:v>1</x:v>
      </x:c>
      <x:c r="AU1539" s="10" t="n">
        <x:f>AB1539/INDEX(v01_RepScale,G1539)</x:f>
        <x:v>90.09519605746344</x:v>
      </x:c>
      <x:c r="AV1539" s="32" t="n">
        <x:f>AM1539*60/v01_SeasonSeconds</x:f>
        <x:v>0</x:v>
      </x:c>
    </x:row>
    <x:row r="1540">
      <x:c r="A1540" s="8" t="n">
        <x:f>A1539+1</x:f>
        <x:v>1537</x:v>
      </x:c>
      <x:c r="B1540" s="9" t="n">
        <x:f>A1540*v01_SeasonSeconds/60</x:f>
        <x:v>384.25</x:v>
      </x:c>
      <x:c r="C1540" s="9" t="n">
        <x:f>A1540/4</x:f>
        <x:v>384.25</x:v>
      </x:c>
      <x:c r="D1540" s="8" t="n">
        <x:f>IF(MOD(A1540,4)=0,1,0)</x:f>
        <x:v>0</x:v>
      </x:c>
      <x:c r="E1540" s="8" t="n">
        <x:f>IF(AND(F1539&lt;=9,AS1539&gt;=AR1539),1,0)</x:f>
        <x:v>0</x:v>
      </x:c>
      <x:c r="F1540" s="8" t="n">
        <x:f>MIN(10,F1539+E1540)</x:f>
        <x:v>10</x:v>
      </x:c>
      <x:c r="G1540" s="8" t="n">
        <x:f>MIN(F1540,9)+1</x:f>
        <x:v>10</x:v>
      </x:c>
      <x:c r="H1540" s="8" t="n">
        <x:f>IF(F1540&lt;=9,1,0)</x:f>
        <x:v>0</x:v>
      </x:c>
      <x:c r="I1540" s="9" t="n">
        <x:f>MIN(10,F1539+IF(AR1539&gt;0,MIN(1,AS1539/AR1539),1))</x:f>
        <x:v>10</x:v>
      </x:c>
      <x:c r="J1540" s="32" t="n">
        <x:f>INDEX(v01_FoodCap,G1540)*Arch_FoodCap*EXP(v01_CapsByProject*SUMPRODUCT((Cap_Point&lt;=I1540)*(Cap_Kind="Food")*Cap_Ln))</x:f>
        <x:v>12000</x:v>
      </x:c>
      <x:c r="K1540" s="32" t="n">
        <x:f>J1540*MIN(1,v01_LeanBase*EXP(v01_CapsByProject*SUMPRODUCT((Cap_Point&lt;=I1540)*(Cap_Kind="Lean")*Cap_Ln)))</x:f>
        <x:v>12000</x:v>
      </x:c>
      <x:c r="L1540" s="10" t="n">
        <x:f>INDEX(v01_HousingCap,G1540)*EXP(v01_CapsByProject*SUMPRODUCT((Cap_Point&lt;=I1540)*(Cap_Kind="Housing")*Cap_Ln))</x:f>
        <x:v>20000</x:v>
      </x:c>
      <x:c r="M1540" s="10" t="n">
        <x:f>INDEX(v01_GroupCap,G1540)*v01_CohesionFactor*EXP(v01_CapsByProject*SUMPRODUCT((Cap_Point&lt;=I1540)*(Cap_Kind="Group")*Cap_Ln))</x:f>
        <x:v>1000000</x:v>
      </x:c>
      <x:c r="N1540" s="32" t="n">
        <x:f>MIN(J1540,L1540,M1540)</x:f>
        <x:v>12000</x:v>
      </x:c>
      <x:c r="O1540" s="10" t="n">
        <x:f>AE1539*N1540</x:f>
        <x:v>180000</x:v>
      </x:c>
      <x:c r="P1540" s="9" t="n">
        <x:f>MIN(1,(AB1539/(AE1539*IF(v01_GroupInCrowding=1,N1540,MIN(J1540,L1540))))^v01_CrowdingExp)</x:f>
        <x:v>0.00024569414295285325</x:v>
      </x:c>
      <x:c r="Q1540" s="9" t="n">
        <x:f>IF(D1540=1,INDEX(v01_WinterMult,G1540),1)</x:f>
        <x:v>1</x:v>
      </x:c>
      <x:c r="R1540" s="9" t="n">
        <x:f>H1540*Z1539*v01_WomenShare*v01_BaseFertility*INDEX(v01_FertMult,G1540)*Arch_Fertility*(1-P1540)</x:f>
        <x:v>0</x:v>
      </x:c>
      <x:c r="S1540" s="9" t="n">
        <x:f>H1540*Y1539*INDEX(v01_MortChild,G1540)/4*Q1540</x:f>
        <x:v>0</x:v>
      </x:c>
      <x:c r="T1540" s="9" t="n">
        <x:f>H1540*Z1539*INDEX(v01_MortAdult,G1540)*Arch_AdultMort/4*Q1540</x:f>
        <x:v>0</x:v>
      </x:c>
      <x:c r="U1540" s="9" t="n">
        <x:f>H1540*AA1539*INDEX(v01_MortElder,G1540)/4*Q1540</x:f>
        <x:v>0</x:v>
      </x:c>
      <x:c r="V1540" s="9" t="n">
        <x:f>H1540*MAX(0,AB1539-O1540)*v01_OvercapLoss</x:f>
        <x:v>0</x:v>
      </x:c>
      <x:c r="W1540" s="9" t="n">
        <x:f>H1540*Y1539/(v01_ChildYears*4)</x:f>
        <x:v>0</x:v>
      </x:c>
      <x:c r="X1540" s="9" t="n">
        <x:f>H1540*Z1539/(v01_AdultYears*4)</x:f>
        <x:v>0</x:v>
      </x:c>
      <x:c r="Y1540" s="32" t="n">
        <x:f>Y1539+R1540-S1540-W1540-Y1539*V1540/AB1539</x:f>
        <x:v>14306.18539759397</x:v>
      </x:c>
      <x:c r="Z1540" s="32" t="n">
        <x:f>Z1539+W1540-X1540-T1540-Z1539*V1540/AB1539</x:f>
        <x:v>19354.456567879548</x:v>
      </x:c>
      <x:c r="AA1540" s="32" t="n">
        <x:f>AA1539+X1540-U1540-AA1539*V1540/AB1539</x:f>
        <x:v>11386.956063258198</x:v>
      </x:c>
      <x:c r="AB1540" s="10" t="n">
        <x:f>Y1540+Z1540+AA1540</x:f>
        <x:v>45047.59802873172</x:v>
      </x:c>
      <x:c r="AC1540" s="8" t="n">
        <x:f>IF(AND(v01_WinterTrigger=1,D1540=1,AB1539/AE1539&gt;=K1540),1,0)</x:f>
        <x:v>0</x:v>
      </x:c>
      <x:c r="AD1540" s="8" t="n">
        <x:f>H1540*IF(AND(OR(AB1539/AE1539&gt;=v01_FissionTrigger*N1540,AC1540=1),AB1539/AE1539*v01_DaughterShare&gt;=v01_MinDaughter),MAX(1,ROUND(AE1539*v01_FissionRate,0)),0)</x:f>
        <x:v>0</x:v>
      </x:c>
      <x:c r="AE1540" s="8" t="n">
        <x:f>IF(H1540=1,MAX(1,MIN(INDEX(v01_Smax,G1540),AE1539+AD1540)),AE1539)</x:f>
        <x:v>15</x:v>
      </x:c>
      <x:c r="AF1540" s="8" t="n">
        <x:f>MAX(0,AE1540-AE1539)</x:f>
        <x:v>0</x:v>
      </x:c>
      <x:c r="AG1540" s="9" t="str">
        <x:f>IF(AF1540&gt;0,B1540,"")</x:f>
      </x:c>
      <x:c r="AH1540" s="9" t="n">
        <x:f>IF(F1540&gt;=1,1,(1+v01_LowTiesShare*(AE1540-1))/AE1540)</x:f>
        <x:v>1</x:v>
      </x:c>
      <x:c r="AI1540" s="32" t="n">
        <x:f>(Z1540+v01_ElderCommons*INDEX(LM_Elder,G1540)*AA1540)*AH1540</x:f>
        <x:v>64139.732591141874</x:v>
      </x:c>
      <x:c r="AJ1540" s="32" t="n">
        <x:f>H1540*v01_CommonsCoef*AI1540^v01_CommonsExp*INDEX(LM_Commons,G1540)</x:f>
        <x:v>0</x:v>
      </x:c>
      <x:c r="AK1540" s="32" t="n">
        <x:f>H1540*v01_RoleScale*Arch_Roles*(AE1540*(INDEX(v01_ElderRolePerSett,G1540)*v01_OutElder*INDEX(LM_Elder,G1540)+INDEX(v01_ShamanPerSett,G1540)*v01_OutShaman)+Z1540*(INDEX(v01_PriestShare,G1540)*v01_OutPriest+INDEX(v01_ScribeShare,G1540)*v01_OutScribe*INDEX(LM_Scribe,G1540)+INDEX(v01_ScholarShare,G1540)*v01_OutScholar*INDEX(LM_Scholar,G1540)+INDEX(v01_ResearcherShare,G1540)*v01_OutResearcher*INDEX(LM_Researcher,G1540)))</x:f>
        <x:v>0</x:v>
      </x:c>
      <x:c r="AL1540" s="32" t="n">
        <x:f>H1540*v01_RoleScale*Arch_Roles*AE1540*INDEX(v01_MonasteryPerSett,G1540)*v01_OutMonastery*INDEX(LM_Monastery,G1540)</x:f>
        <x:v>0</x:v>
      </x:c>
      <x:c r="AM1540" s="32" t="n">
        <x:f>(AJ1540+AK1540+AL1540)/4*INDEX(LM_All,G1540)*INDEX(v01_Boon,G1540)*Arch_Insight</x:f>
        <x:v>0</x:v>
      </x:c>
      <x:c r="AN1540" s="32" t="n">
        <x:f>H1540*(v01_KHPerAdult*Z1540+v01_KHOfCommons*AJ1540/4*INDEX(LM_All,G1540))*v01_KHUsable*Arch_KH</x:f>
        <x:v>0</x:v>
      </x:c>
      <x:c r="AO1540" s="32" t="n">
        <x:f>MIN(AP1539+AN1540,AM1540*v01_KHMaxRatio)</x:f>
        <x:v>0</x:v>
      </x:c>
      <x:c r="AP1540" s="32" t="n">
        <x:f>AP1539+AN1540-AO1540</x:f>
        <x:v>0</x:v>
      </x:c>
      <x:c r="AQ1540" s="32" t="n">
        <x:f>AM1540+AO1540</x:f>
        <x:v>0</x:v>
      </x:c>
      <x:c r="AR1540" s="10" t="n">
        <x:f>IF(H1540=1,INDEX(v01_Req,G1540),0)</x:f>
        <x:v>0</x:v>
      </x:c>
      <x:c r="AS1540" s="32" t="n">
        <x:f>IF(H1540=1,IF(E1540=1,AS1539-AR1539,AS1539)+AQ1540,0)</x:f>
        <x:v>0</x:v>
      </x:c>
      <x:c r="AT1540" s="11" t="n">
        <x:f>IF(AR1540&gt;0,MIN(1,AS1540/AR1540),1)</x:f>
        <x:v>1</x:v>
      </x:c>
      <x:c r="AU1540" s="10" t="n">
        <x:f>AB1540/INDEX(v01_RepScale,G1540)</x:f>
        <x:v>90.09519605746344</x:v>
      </x:c>
      <x:c r="AV1540" s="32" t="n">
        <x:f>AM1540*60/v01_SeasonSeconds</x:f>
        <x:v>0</x:v>
      </x:c>
    </x:row>
    <x:row r="1541">
      <x:c r="A1541" s="8" t="n">
        <x:f>A1540+1</x:f>
        <x:v>1538</x:v>
      </x:c>
      <x:c r="B1541" s="9" t="n">
        <x:f>A1541*v01_SeasonSeconds/60</x:f>
        <x:v>384.5</x:v>
      </x:c>
      <x:c r="C1541" s="9" t="n">
        <x:f>A1541/4</x:f>
        <x:v>384.5</x:v>
      </x:c>
      <x:c r="D1541" s="8" t="n">
        <x:f>IF(MOD(A1541,4)=0,1,0)</x:f>
        <x:v>0</x:v>
      </x:c>
      <x:c r="E1541" s="8" t="n">
        <x:f>IF(AND(F1540&lt;=9,AS1540&gt;=AR1540),1,0)</x:f>
        <x:v>0</x:v>
      </x:c>
      <x:c r="F1541" s="8" t="n">
        <x:f>MIN(10,F1540+E1541)</x:f>
        <x:v>10</x:v>
      </x:c>
      <x:c r="G1541" s="8" t="n">
        <x:f>MIN(F1541,9)+1</x:f>
        <x:v>10</x:v>
      </x:c>
      <x:c r="H1541" s="8" t="n">
        <x:f>IF(F1541&lt;=9,1,0)</x:f>
        <x:v>0</x:v>
      </x:c>
      <x:c r="I1541" s="9" t="n">
        <x:f>MIN(10,F1540+IF(AR1540&gt;0,MIN(1,AS1540/AR1540),1))</x:f>
        <x:v>10</x:v>
      </x:c>
      <x:c r="J1541" s="32" t="n">
        <x:f>INDEX(v01_FoodCap,G1541)*Arch_FoodCap*EXP(v01_CapsByProject*SUMPRODUCT((Cap_Point&lt;=I1541)*(Cap_Kind="Food")*Cap_Ln))</x:f>
        <x:v>12000</x:v>
      </x:c>
      <x:c r="K1541" s="32" t="n">
        <x:f>J1541*MIN(1,v01_LeanBase*EXP(v01_CapsByProject*SUMPRODUCT((Cap_Point&lt;=I1541)*(Cap_Kind="Lean")*Cap_Ln)))</x:f>
        <x:v>12000</x:v>
      </x:c>
      <x:c r="L1541" s="10" t="n">
        <x:f>INDEX(v01_HousingCap,G1541)*EXP(v01_CapsByProject*SUMPRODUCT((Cap_Point&lt;=I1541)*(Cap_Kind="Housing")*Cap_Ln))</x:f>
        <x:v>20000</x:v>
      </x:c>
      <x:c r="M1541" s="10" t="n">
        <x:f>INDEX(v01_GroupCap,G1541)*v01_CohesionFactor*EXP(v01_CapsByProject*SUMPRODUCT((Cap_Point&lt;=I1541)*(Cap_Kind="Group")*Cap_Ln))</x:f>
        <x:v>1000000</x:v>
      </x:c>
      <x:c r="N1541" s="32" t="n">
        <x:f>MIN(J1541,L1541,M1541)</x:f>
        <x:v>12000</x:v>
      </x:c>
      <x:c r="O1541" s="10" t="n">
        <x:f>AE1540*N1541</x:f>
        <x:v>180000</x:v>
      </x:c>
      <x:c r="P1541" s="9" t="n">
        <x:f>MIN(1,(AB1540/(AE1540*IF(v01_GroupInCrowding=1,N1541,MIN(J1541,L1541))))^v01_CrowdingExp)</x:f>
        <x:v>0.00024569414295285325</x:v>
      </x:c>
      <x:c r="Q1541" s="9" t="n">
        <x:f>IF(D1541=1,INDEX(v01_WinterMult,G1541),1)</x:f>
        <x:v>1</x:v>
      </x:c>
      <x:c r="R1541" s="9" t="n">
        <x:f>H1541*Z1540*v01_WomenShare*v01_BaseFertility*INDEX(v01_FertMult,G1541)*Arch_Fertility*(1-P1541)</x:f>
        <x:v>0</x:v>
      </x:c>
      <x:c r="S1541" s="9" t="n">
        <x:f>H1541*Y1540*INDEX(v01_MortChild,G1541)/4*Q1541</x:f>
        <x:v>0</x:v>
      </x:c>
      <x:c r="T1541" s="9" t="n">
        <x:f>H1541*Z1540*INDEX(v01_MortAdult,G1541)*Arch_AdultMort/4*Q1541</x:f>
        <x:v>0</x:v>
      </x:c>
      <x:c r="U1541" s="9" t="n">
        <x:f>H1541*AA1540*INDEX(v01_MortElder,G1541)/4*Q1541</x:f>
        <x:v>0</x:v>
      </x:c>
      <x:c r="V1541" s="9" t="n">
        <x:f>H1541*MAX(0,AB1540-O1541)*v01_OvercapLoss</x:f>
        <x:v>0</x:v>
      </x:c>
      <x:c r="W1541" s="9" t="n">
        <x:f>H1541*Y1540/(v01_ChildYears*4)</x:f>
        <x:v>0</x:v>
      </x:c>
      <x:c r="X1541" s="9" t="n">
        <x:f>H1541*Z1540/(v01_AdultYears*4)</x:f>
        <x:v>0</x:v>
      </x:c>
      <x:c r="Y1541" s="32" t="n">
        <x:f>Y1540+R1541-S1541-W1541-Y1540*V1541/AB1540</x:f>
        <x:v>14306.18539759397</x:v>
      </x:c>
      <x:c r="Z1541" s="32" t="n">
        <x:f>Z1540+W1541-X1541-T1541-Z1540*V1541/AB1540</x:f>
        <x:v>19354.456567879548</x:v>
      </x:c>
      <x:c r="AA1541" s="32" t="n">
        <x:f>AA1540+X1541-U1541-AA1540*V1541/AB1540</x:f>
        <x:v>11386.956063258198</x:v>
      </x:c>
      <x:c r="AB1541" s="10" t="n">
        <x:f>Y1541+Z1541+AA1541</x:f>
        <x:v>45047.59802873172</x:v>
      </x:c>
      <x:c r="AC1541" s="8" t="n">
        <x:f>IF(AND(v01_WinterTrigger=1,D1541=1,AB1540/AE1540&gt;=K1541),1,0)</x:f>
        <x:v>0</x:v>
      </x:c>
      <x:c r="AD1541" s="8" t="n">
        <x:f>H1541*IF(AND(OR(AB1540/AE1540&gt;=v01_FissionTrigger*N1541,AC1541=1),AB1540/AE1540*v01_DaughterShare&gt;=v01_MinDaughter),MAX(1,ROUND(AE1540*v01_FissionRate,0)),0)</x:f>
        <x:v>0</x:v>
      </x:c>
      <x:c r="AE1541" s="8" t="n">
        <x:f>IF(H1541=1,MAX(1,MIN(INDEX(v01_Smax,G1541),AE1540+AD1541)),AE1540)</x:f>
        <x:v>15</x:v>
      </x:c>
      <x:c r="AF1541" s="8" t="n">
        <x:f>MAX(0,AE1541-AE1540)</x:f>
        <x:v>0</x:v>
      </x:c>
      <x:c r="AG1541" s="9" t="str">
        <x:f>IF(AF1541&gt;0,B1541,"")</x:f>
      </x:c>
      <x:c r="AH1541" s="9" t="n">
        <x:f>IF(F1541&gt;=1,1,(1+v01_LowTiesShare*(AE1541-1))/AE1541)</x:f>
        <x:v>1</x:v>
      </x:c>
      <x:c r="AI1541" s="32" t="n">
        <x:f>(Z1541+v01_ElderCommons*INDEX(LM_Elder,G1541)*AA1541)*AH1541</x:f>
        <x:v>64139.732591141874</x:v>
      </x:c>
      <x:c r="AJ1541" s="32" t="n">
        <x:f>H1541*v01_CommonsCoef*AI1541^v01_CommonsExp*INDEX(LM_Commons,G1541)</x:f>
        <x:v>0</x:v>
      </x:c>
      <x:c r="AK1541" s="32" t="n">
        <x:f>H1541*v01_RoleScale*Arch_Roles*(AE1541*(INDEX(v01_ElderRolePerSett,G1541)*v01_OutElder*INDEX(LM_Elder,G1541)+INDEX(v01_ShamanPerSett,G1541)*v01_OutShaman)+Z1541*(INDEX(v01_PriestShare,G1541)*v01_OutPriest+INDEX(v01_ScribeShare,G1541)*v01_OutScribe*INDEX(LM_Scribe,G1541)+INDEX(v01_ScholarShare,G1541)*v01_OutScholar*INDEX(LM_Scholar,G1541)+INDEX(v01_ResearcherShare,G1541)*v01_OutResearcher*INDEX(LM_Researcher,G1541)))</x:f>
        <x:v>0</x:v>
      </x:c>
      <x:c r="AL1541" s="32" t="n">
        <x:f>H1541*v01_RoleScale*Arch_Roles*AE1541*INDEX(v01_MonasteryPerSett,G1541)*v01_OutMonastery*INDEX(LM_Monastery,G1541)</x:f>
        <x:v>0</x:v>
      </x:c>
      <x:c r="AM1541" s="32" t="n">
        <x:f>(AJ1541+AK1541+AL1541)/4*INDEX(LM_All,G1541)*INDEX(v01_Boon,G1541)*Arch_Insight</x:f>
        <x:v>0</x:v>
      </x:c>
      <x:c r="AN1541" s="32" t="n">
        <x:f>H1541*(v01_KHPerAdult*Z1541+v01_KHOfCommons*AJ1541/4*INDEX(LM_All,G1541))*v01_KHUsable*Arch_KH</x:f>
        <x:v>0</x:v>
      </x:c>
      <x:c r="AO1541" s="32" t="n">
        <x:f>MIN(AP1540+AN1541,AM1541*v01_KHMaxRatio)</x:f>
        <x:v>0</x:v>
      </x:c>
      <x:c r="AP1541" s="32" t="n">
        <x:f>AP1540+AN1541-AO1541</x:f>
        <x:v>0</x:v>
      </x:c>
      <x:c r="AQ1541" s="32" t="n">
        <x:f>AM1541+AO1541</x:f>
        <x:v>0</x:v>
      </x:c>
      <x:c r="AR1541" s="10" t="n">
        <x:f>IF(H1541=1,INDEX(v01_Req,G1541),0)</x:f>
        <x:v>0</x:v>
      </x:c>
      <x:c r="AS1541" s="32" t="n">
        <x:f>IF(H1541=1,IF(E1541=1,AS1540-AR1540,AS1540)+AQ1541,0)</x:f>
        <x:v>0</x:v>
      </x:c>
      <x:c r="AT1541" s="11" t="n">
        <x:f>IF(AR1541&gt;0,MIN(1,AS1541/AR1541),1)</x:f>
        <x:v>1</x:v>
      </x:c>
      <x:c r="AU1541" s="10" t="n">
        <x:f>AB1541/INDEX(v01_RepScale,G1541)</x:f>
        <x:v>90.09519605746344</x:v>
      </x:c>
      <x:c r="AV1541" s="32" t="n">
        <x:f>AM1541*60/v01_SeasonSeconds</x:f>
        <x:v>0</x:v>
      </x:c>
    </x:row>
    <x:row r="1542">
      <x:c r="A1542" s="8" t="n">
        <x:f>A1541+1</x:f>
        <x:v>1539</x:v>
      </x:c>
      <x:c r="B1542" s="9" t="n">
        <x:f>A1542*v01_SeasonSeconds/60</x:f>
        <x:v>384.75</x:v>
      </x:c>
      <x:c r="C1542" s="9" t="n">
        <x:f>A1542/4</x:f>
        <x:v>384.75</x:v>
      </x:c>
      <x:c r="D1542" s="8" t="n">
        <x:f>IF(MOD(A1542,4)=0,1,0)</x:f>
        <x:v>0</x:v>
      </x:c>
      <x:c r="E1542" s="8" t="n">
        <x:f>IF(AND(F1541&lt;=9,AS1541&gt;=AR1541),1,0)</x:f>
        <x:v>0</x:v>
      </x:c>
      <x:c r="F1542" s="8" t="n">
        <x:f>MIN(10,F1541+E1542)</x:f>
        <x:v>10</x:v>
      </x:c>
      <x:c r="G1542" s="8" t="n">
        <x:f>MIN(F1542,9)+1</x:f>
        <x:v>10</x:v>
      </x:c>
      <x:c r="H1542" s="8" t="n">
        <x:f>IF(F1542&lt;=9,1,0)</x:f>
        <x:v>0</x:v>
      </x:c>
      <x:c r="I1542" s="9" t="n">
        <x:f>MIN(10,F1541+IF(AR1541&gt;0,MIN(1,AS1541/AR1541),1))</x:f>
        <x:v>10</x:v>
      </x:c>
      <x:c r="J1542" s="32" t="n">
        <x:f>INDEX(v01_FoodCap,G1542)*Arch_FoodCap*EXP(v01_CapsByProject*SUMPRODUCT((Cap_Point&lt;=I1542)*(Cap_Kind="Food")*Cap_Ln))</x:f>
        <x:v>12000</x:v>
      </x:c>
      <x:c r="K1542" s="32" t="n">
        <x:f>J1542*MIN(1,v01_LeanBase*EXP(v01_CapsByProject*SUMPRODUCT((Cap_Point&lt;=I1542)*(Cap_Kind="Lean")*Cap_Ln)))</x:f>
        <x:v>12000</x:v>
      </x:c>
      <x:c r="L1542" s="10" t="n">
        <x:f>INDEX(v01_HousingCap,G1542)*EXP(v01_CapsByProject*SUMPRODUCT((Cap_Point&lt;=I1542)*(Cap_Kind="Housing")*Cap_Ln))</x:f>
        <x:v>20000</x:v>
      </x:c>
      <x:c r="M1542" s="10" t="n">
        <x:f>INDEX(v01_GroupCap,G1542)*v01_CohesionFactor*EXP(v01_CapsByProject*SUMPRODUCT((Cap_Point&lt;=I1542)*(Cap_Kind="Group")*Cap_Ln))</x:f>
        <x:v>1000000</x:v>
      </x:c>
      <x:c r="N1542" s="32" t="n">
        <x:f>MIN(J1542,L1542,M1542)</x:f>
        <x:v>12000</x:v>
      </x:c>
      <x:c r="O1542" s="10" t="n">
        <x:f>AE1541*N1542</x:f>
        <x:v>180000</x:v>
      </x:c>
      <x:c r="P1542" s="9" t="n">
        <x:f>MIN(1,(AB1541/(AE1541*IF(v01_GroupInCrowding=1,N1542,MIN(J1542,L1542))))^v01_CrowdingExp)</x:f>
        <x:v>0.00024569414295285325</x:v>
      </x:c>
      <x:c r="Q1542" s="9" t="n">
        <x:f>IF(D1542=1,INDEX(v01_WinterMult,G1542),1)</x:f>
        <x:v>1</x:v>
      </x:c>
      <x:c r="R1542" s="9" t="n">
        <x:f>H1542*Z1541*v01_WomenShare*v01_BaseFertility*INDEX(v01_FertMult,G1542)*Arch_Fertility*(1-P1542)</x:f>
        <x:v>0</x:v>
      </x:c>
      <x:c r="S1542" s="9" t="n">
        <x:f>H1542*Y1541*INDEX(v01_MortChild,G1542)/4*Q1542</x:f>
        <x:v>0</x:v>
      </x:c>
      <x:c r="T1542" s="9" t="n">
        <x:f>H1542*Z1541*INDEX(v01_MortAdult,G1542)*Arch_AdultMort/4*Q1542</x:f>
        <x:v>0</x:v>
      </x:c>
      <x:c r="U1542" s="9" t="n">
        <x:f>H1542*AA1541*INDEX(v01_MortElder,G1542)/4*Q1542</x:f>
        <x:v>0</x:v>
      </x:c>
      <x:c r="V1542" s="9" t="n">
        <x:f>H1542*MAX(0,AB1541-O1542)*v01_OvercapLoss</x:f>
        <x:v>0</x:v>
      </x:c>
      <x:c r="W1542" s="9" t="n">
        <x:f>H1542*Y1541/(v01_ChildYears*4)</x:f>
        <x:v>0</x:v>
      </x:c>
      <x:c r="X1542" s="9" t="n">
        <x:f>H1542*Z1541/(v01_AdultYears*4)</x:f>
        <x:v>0</x:v>
      </x:c>
      <x:c r="Y1542" s="32" t="n">
        <x:f>Y1541+R1542-S1542-W1542-Y1541*V1542/AB1541</x:f>
        <x:v>14306.18539759397</x:v>
      </x:c>
      <x:c r="Z1542" s="32" t="n">
        <x:f>Z1541+W1542-X1542-T1542-Z1541*V1542/AB1541</x:f>
        <x:v>19354.456567879548</x:v>
      </x:c>
      <x:c r="AA1542" s="32" t="n">
        <x:f>AA1541+X1542-U1542-AA1541*V1542/AB1541</x:f>
        <x:v>11386.956063258198</x:v>
      </x:c>
      <x:c r="AB1542" s="10" t="n">
        <x:f>Y1542+Z1542+AA1542</x:f>
        <x:v>45047.59802873172</x:v>
      </x:c>
      <x:c r="AC1542" s="8" t="n">
        <x:f>IF(AND(v01_WinterTrigger=1,D1542=1,AB1541/AE1541&gt;=K1542),1,0)</x:f>
        <x:v>0</x:v>
      </x:c>
      <x:c r="AD1542" s="8" t="n">
        <x:f>H1542*IF(AND(OR(AB1541/AE1541&gt;=v01_FissionTrigger*N1542,AC1542=1),AB1541/AE1541*v01_DaughterShare&gt;=v01_MinDaughter),MAX(1,ROUND(AE1541*v01_FissionRate,0)),0)</x:f>
        <x:v>0</x:v>
      </x:c>
      <x:c r="AE1542" s="8" t="n">
        <x:f>IF(H1542=1,MAX(1,MIN(INDEX(v01_Smax,G1542),AE1541+AD1542)),AE1541)</x:f>
        <x:v>15</x:v>
      </x:c>
      <x:c r="AF1542" s="8" t="n">
        <x:f>MAX(0,AE1542-AE1541)</x:f>
        <x:v>0</x:v>
      </x:c>
      <x:c r="AG1542" s="9" t="str">
        <x:f>IF(AF1542&gt;0,B1542,"")</x:f>
      </x:c>
      <x:c r="AH1542" s="9" t="n">
        <x:f>IF(F1542&gt;=1,1,(1+v01_LowTiesShare*(AE1542-1))/AE1542)</x:f>
        <x:v>1</x:v>
      </x:c>
      <x:c r="AI1542" s="32" t="n">
        <x:f>(Z1542+v01_ElderCommons*INDEX(LM_Elder,G1542)*AA1542)*AH1542</x:f>
        <x:v>64139.732591141874</x:v>
      </x:c>
      <x:c r="AJ1542" s="32" t="n">
        <x:f>H1542*v01_CommonsCoef*AI1542^v01_CommonsExp*INDEX(LM_Commons,G1542)</x:f>
        <x:v>0</x:v>
      </x:c>
      <x:c r="AK1542" s="32" t="n">
        <x:f>H1542*v01_RoleScale*Arch_Roles*(AE1542*(INDEX(v01_ElderRolePerSett,G1542)*v01_OutElder*INDEX(LM_Elder,G1542)+INDEX(v01_ShamanPerSett,G1542)*v01_OutShaman)+Z1542*(INDEX(v01_PriestShare,G1542)*v01_OutPriest+INDEX(v01_ScribeShare,G1542)*v01_OutScribe*INDEX(LM_Scribe,G1542)+INDEX(v01_ScholarShare,G1542)*v01_OutScholar*INDEX(LM_Scholar,G1542)+INDEX(v01_ResearcherShare,G1542)*v01_OutResearcher*INDEX(LM_Researcher,G1542)))</x:f>
        <x:v>0</x:v>
      </x:c>
      <x:c r="AL1542" s="32" t="n">
        <x:f>H1542*v01_RoleScale*Arch_Roles*AE1542*INDEX(v01_MonasteryPerSett,G1542)*v01_OutMonastery*INDEX(LM_Monastery,G1542)</x:f>
        <x:v>0</x:v>
      </x:c>
      <x:c r="AM1542" s="32" t="n">
        <x:f>(AJ1542+AK1542+AL1542)/4*INDEX(LM_All,G1542)*INDEX(v01_Boon,G1542)*Arch_Insight</x:f>
        <x:v>0</x:v>
      </x:c>
      <x:c r="AN1542" s="32" t="n">
        <x:f>H1542*(v01_KHPerAdult*Z1542+v01_KHOfCommons*AJ1542/4*INDEX(LM_All,G1542))*v01_KHUsable*Arch_KH</x:f>
        <x:v>0</x:v>
      </x:c>
      <x:c r="AO1542" s="32" t="n">
        <x:f>MIN(AP1541+AN1542,AM1542*v01_KHMaxRatio)</x:f>
        <x:v>0</x:v>
      </x:c>
      <x:c r="AP1542" s="32" t="n">
        <x:f>AP1541+AN1542-AO1542</x:f>
        <x:v>0</x:v>
      </x:c>
      <x:c r="AQ1542" s="32" t="n">
        <x:f>AM1542+AO1542</x:f>
        <x:v>0</x:v>
      </x:c>
      <x:c r="AR1542" s="10" t="n">
        <x:f>IF(H1542=1,INDEX(v01_Req,G1542),0)</x:f>
        <x:v>0</x:v>
      </x:c>
      <x:c r="AS1542" s="32" t="n">
        <x:f>IF(H1542=1,IF(E1542=1,AS1541-AR1541,AS1541)+AQ1542,0)</x:f>
        <x:v>0</x:v>
      </x:c>
      <x:c r="AT1542" s="11" t="n">
        <x:f>IF(AR1542&gt;0,MIN(1,AS1542/AR1542),1)</x:f>
        <x:v>1</x:v>
      </x:c>
      <x:c r="AU1542" s="10" t="n">
        <x:f>AB1542/INDEX(v01_RepScale,G1542)</x:f>
        <x:v>90.09519605746344</x:v>
      </x:c>
      <x:c r="AV1542" s="32" t="n">
        <x:f>AM1542*60/v01_SeasonSeconds</x:f>
        <x:v>0</x:v>
      </x:c>
    </x:row>
    <x:row r="1543">
      <x:c r="A1543" s="8" t="n">
        <x:f>A1542+1</x:f>
        <x:v>1540</x:v>
      </x:c>
      <x:c r="B1543" s="9" t="n">
        <x:f>A1543*v01_SeasonSeconds/60</x:f>
        <x:v>385</x:v>
      </x:c>
      <x:c r="C1543" s="9" t="n">
        <x:f>A1543/4</x:f>
        <x:v>385</x:v>
      </x:c>
      <x:c r="D1543" s="8" t="n">
        <x:f>IF(MOD(A1543,4)=0,1,0)</x:f>
        <x:v>1</x:v>
      </x:c>
      <x:c r="E1543" s="8" t="n">
        <x:f>IF(AND(F1542&lt;=9,AS1542&gt;=AR1542),1,0)</x:f>
        <x:v>0</x:v>
      </x:c>
      <x:c r="F1543" s="8" t="n">
        <x:f>MIN(10,F1542+E1543)</x:f>
        <x:v>10</x:v>
      </x:c>
      <x:c r="G1543" s="8" t="n">
        <x:f>MIN(F1543,9)+1</x:f>
        <x:v>10</x:v>
      </x:c>
      <x:c r="H1543" s="8" t="n">
        <x:f>IF(F1543&lt;=9,1,0)</x:f>
        <x:v>0</x:v>
      </x:c>
      <x:c r="I1543" s="9" t="n">
        <x:f>MIN(10,F1542+IF(AR1542&gt;0,MIN(1,AS1542/AR1542),1))</x:f>
        <x:v>10</x:v>
      </x:c>
      <x:c r="J1543" s="32" t="n">
        <x:f>INDEX(v01_FoodCap,G1543)*Arch_FoodCap*EXP(v01_CapsByProject*SUMPRODUCT((Cap_Point&lt;=I1543)*(Cap_Kind="Food")*Cap_Ln))</x:f>
        <x:v>12000</x:v>
      </x:c>
      <x:c r="K1543" s="32" t="n">
        <x:f>J1543*MIN(1,v01_LeanBase*EXP(v01_CapsByProject*SUMPRODUCT((Cap_Point&lt;=I1543)*(Cap_Kind="Lean")*Cap_Ln)))</x:f>
        <x:v>12000</x:v>
      </x:c>
      <x:c r="L1543" s="10" t="n">
        <x:f>INDEX(v01_HousingCap,G1543)*EXP(v01_CapsByProject*SUMPRODUCT((Cap_Point&lt;=I1543)*(Cap_Kind="Housing")*Cap_Ln))</x:f>
        <x:v>20000</x:v>
      </x:c>
      <x:c r="M1543" s="10" t="n">
        <x:f>INDEX(v01_GroupCap,G1543)*v01_CohesionFactor*EXP(v01_CapsByProject*SUMPRODUCT((Cap_Point&lt;=I1543)*(Cap_Kind="Group")*Cap_Ln))</x:f>
        <x:v>1000000</x:v>
      </x:c>
      <x:c r="N1543" s="32" t="n">
        <x:f>MIN(J1543,L1543,M1543)</x:f>
        <x:v>12000</x:v>
      </x:c>
      <x:c r="O1543" s="10" t="n">
        <x:f>AE1542*N1543</x:f>
        <x:v>180000</x:v>
      </x:c>
      <x:c r="P1543" s="9" t="n">
        <x:f>MIN(1,(AB1542/(AE1542*IF(v01_GroupInCrowding=1,N1543,MIN(J1543,L1543))))^v01_CrowdingExp)</x:f>
        <x:v>0.00024569414295285325</x:v>
      </x:c>
      <x:c r="Q1543" s="9" t="n">
        <x:f>IF(D1543=1,INDEX(v01_WinterMult,G1543),1)</x:f>
        <x:v>1</x:v>
      </x:c>
      <x:c r="R1543" s="9" t="n">
        <x:f>H1543*Z1542*v01_WomenShare*v01_BaseFertility*INDEX(v01_FertMult,G1543)*Arch_Fertility*(1-P1543)</x:f>
        <x:v>0</x:v>
      </x:c>
      <x:c r="S1543" s="9" t="n">
        <x:f>H1543*Y1542*INDEX(v01_MortChild,G1543)/4*Q1543</x:f>
        <x:v>0</x:v>
      </x:c>
      <x:c r="T1543" s="9" t="n">
        <x:f>H1543*Z1542*INDEX(v01_MortAdult,G1543)*Arch_AdultMort/4*Q1543</x:f>
        <x:v>0</x:v>
      </x:c>
      <x:c r="U1543" s="9" t="n">
        <x:f>H1543*AA1542*INDEX(v01_MortElder,G1543)/4*Q1543</x:f>
        <x:v>0</x:v>
      </x:c>
      <x:c r="V1543" s="9" t="n">
        <x:f>H1543*MAX(0,AB1542-O1543)*v01_OvercapLoss</x:f>
        <x:v>0</x:v>
      </x:c>
      <x:c r="W1543" s="9" t="n">
        <x:f>H1543*Y1542/(v01_ChildYears*4)</x:f>
        <x:v>0</x:v>
      </x:c>
      <x:c r="X1543" s="9" t="n">
        <x:f>H1543*Z1542/(v01_AdultYears*4)</x:f>
        <x:v>0</x:v>
      </x:c>
      <x:c r="Y1543" s="32" t="n">
        <x:f>Y1542+R1543-S1543-W1543-Y1542*V1543/AB1542</x:f>
        <x:v>14306.18539759397</x:v>
      </x:c>
      <x:c r="Z1543" s="32" t="n">
        <x:f>Z1542+W1543-X1543-T1543-Z1542*V1543/AB1542</x:f>
        <x:v>19354.456567879548</x:v>
      </x:c>
      <x:c r="AA1543" s="32" t="n">
        <x:f>AA1542+X1543-U1543-AA1542*V1543/AB1542</x:f>
        <x:v>11386.956063258198</x:v>
      </x:c>
      <x:c r="AB1543" s="10" t="n">
        <x:f>Y1543+Z1543+AA1543</x:f>
        <x:v>45047.59802873172</x:v>
      </x:c>
      <x:c r="AC1543" s="8" t="n">
        <x:f>IF(AND(v01_WinterTrigger=1,D1543=1,AB1542/AE1542&gt;=K1543),1,0)</x:f>
        <x:v>0</x:v>
      </x:c>
      <x:c r="AD1543" s="8" t="n">
        <x:f>H1543*IF(AND(OR(AB1542/AE1542&gt;=v01_FissionTrigger*N1543,AC1543=1),AB1542/AE1542*v01_DaughterShare&gt;=v01_MinDaughter),MAX(1,ROUND(AE1542*v01_FissionRate,0)),0)</x:f>
        <x:v>0</x:v>
      </x:c>
      <x:c r="AE1543" s="8" t="n">
        <x:f>IF(H1543=1,MAX(1,MIN(INDEX(v01_Smax,G1543),AE1542+AD1543)),AE1542)</x:f>
        <x:v>15</x:v>
      </x:c>
      <x:c r="AF1543" s="8" t="n">
        <x:f>MAX(0,AE1543-AE1542)</x:f>
        <x:v>0</x:v>
      </x:c>
      <x:c r="AG1543" s="9" t="str">
        <x:f>IF(AF1543&gt;0,B1543,"")</x:f>
      </x:c>
      <x:c r="AH1543" s="9" t="n">
        <x:f>IF(F1543&gt;=1,1,(1+v01_LowTiesShare*(AE1543-1))/AE1543)</x:f>
        <x:v>1</x:v>
      </x:c>
      <x:c r="AI1543" s="32" t="n">
        <x:f>(Z1543+v01_ElderCommons*INDEX(LM_Elder,G1543)*AA1543)*AH1543</x:f>
        <x:v>64139.732591141874</x:v>
      </x:c>
      <x:c r="AJ1543" s="32" t="n">
        <x:f>H1543*v01_CommonsCoef*AI1543^v01_CommonsExp*INDEX(LM_Commons,G1543)</x:f>
        <x:v>0</x:v>
      </x:c>
      <x:c r="AK1543" s="32" t="n">
        <x:f>H1543*v01_RoleScale*Arch_Roles*(AE1543*(INDEX(v01_ElderRolePerSett,G1543)*v01_OutElder*INDEX(LM_Elder,G1543)+INDEX(v01_ShamanPerSett,G1543)*v01_OutShaman)+Z1543*(INDEX(v01_PriestShare,G1543)*v01_OutPriest+INDEX(v01_ScribeShare,G1543)*v01_OutScribe*INDEX(LM_Scribe,G1543)+INDEX(v01_ScholarShare,G1543)*v01_OutScholar*INDEX(LM_Scholar,G1543)+INDEX(v01_ResearcherShare,G1543)*v01_OutResearcher*INDEX(LM_Researcher,G1543)))</x:f>
        <x:v>0</x:v>
      </x:c>
      <x:c r="AL1543" s="32" t="n">
        <x:f>H1543*v01_RoleScale*Arch_Roles*AE1543*INDEX(v01_MonasteryPerSett,G1543)*v01_OutMonastery*INDEX(LM_Monastery,G1543)</x:f>
        <x:v>0</x:v>
      </x:c>
      <x:c r="AM1543" s="32" t="n">
        <x:f>(AJ1543+AK1543+AL1543)/4*INDEX(LM_All,G1543)*INDEX(v01_Boon,G1543)*Arch_Insight</x:f>
        <x:v>0</x:v>
      </x:c>
      <x:c r="AN1543" s="32" t="n">
        <x:f>H1543*(v01_KHPerAdult*Z1543+v01_KHOfCommons*AJ1543/4*INDEX(LM_All,G1543))*v01_KHUsable*Arch_KH</x:f>
        <x:v>0</x:v>
      </x:c>
      <x:c r="AO1543" s="32" t="n">
        <x:f>MIN(AP1542+AN1543,AM1543*v01_KHMaxRatio)</x:f>
        <x:v>0</x:v>
      </x:c>
      <x:c r="AP1543" s="32" t="n">
        <x:f>AP1542+AN1543-AO1543</x:f>
        <x:v>0</x:v>
      </x:c>
      <x:c r="AQ1543" s="32" t="n">
        <x:f>AM1543+AO1543</x:f>
        <x:v>0</x:v>
      </x:c>
      <x:c r="AR1543" s="10" t="n">
        <x:f>IF(H1543=1,INDEX(v01_Req,G1543),0)</x:f>
        <x:v>0</x:v>
      </x:c>
      <x:c r="AS1543" s="32" t="n">
        <x:f>IF(H1543=1,IF(E1543=1,AS1542-AR1542,AS1542)+AQ1543,0)</x:f>
        <x:v>0</x:v>
      </x:c>
      <x:c r="AT1543" s="11" t="n">
        <x:f>IF(AR1543&gt;0,MIN(1,AS1543/AR1543),1)</x:f>
        <x:v>1</x:v>
      </x:c>
      <x:c r="AU1543" s="10" t="n">
        <x:f>AB1543/INDEX(v01_RepScale,G1543)</x:f>
        <x:v>90.09519605746344</x:v>
      </x:c>
      <x:c r="AV1543" s="32" t="n">
        <x:f>AM1543*60/v01_SeasonSeconds</x:f>
        <x:v>0</x:v>
      </x:c>
    </x:row>
    <x:row r="1544">
      <x:c r="A1544" s="8" t="n">
        <x:f>A1543+1</x:f>
        <x:v>1541</x:v>
      </x:c>
      <x:c r="B1544" s="9" t="n">
        <x:f>A1544*v01_SeasonSeconds/60</x:f>
        <x:v>385.25</x:v>
      </x:c>
      <x:c r="C1544" s="9" t="n">
        <x:f>A1544/4</x:f>
        <x:v>385.25</x:v>
      </x:c>
      <x:c r="D1544" s="8" t="n">
        <x:f>IF(MOD(A1544,4)=0,1,0)</x:f>
        <x:v>0</x:v>
      </x:c>
      <x:c r="E1544" s="8" t="n">
        <x:f>IF(AND(F1543&lt;=9,AS1543&gt;=AR1543),1,0)</x:f>
        <x:v>0</x:v>
      </x:c>
      <x:c r="F1544" s="8" t="n">
        <x:f>MIN(10,F1543+E1544)</x:f>
        <x:v>10</x:v>
      </x:c>
      <x:c r="G1544" s="8" t="n">
        <x:f>MIN(F1544,9)+1</x:f>
        <x:v>10</x:v>
      </x:c>
      <x:c r="H1544" s="8" t="n">
        <x:f>IF(F1544&lt;=9,1,0)</x:f>
        <x:v>0</x:v>
      </x:c>
      <x:c r="I1544" s="9" t="n">
        <x:f>MIN(10,F1543+IF(AR1543&gt;0,MIN(1,AS1543/AR1543),1))</x:f>
        <x:v>10</x:v>
      </x:c>
      <x:c r="J1544" s="32" t="n">
        <x:f>INDEX(v01_FoodCap,G1544)*Arch_FoodCap*EXP(v01_CapsByProject*SUMPRODUCT((Cap_Point&lt;=I1544)*(Cap_Kind="Food")*Cap_Ln))</x:f>
        <x:v>12000</x:v>
      </x:c>
      <x:c r="K1544" s="32" t="n">
        <x:f>J1544*MIN(1,v01_LeanBase*EXP(v01_CapsByProject*SUMPRODUCT((Cap_Point&lt;=I1544)*(Cap_Kind="Lean")*Cap_Ln)))</x:f>
        <x:v>12000</x:v>
      </x:c>
      <x:c r="L1544" s="10" t="n">
        <x:f>INDEX(v01_HousingCap,G1544)*EXP(v01_CapsByProject*SUMPRODUCT((Cap_Point&lt;=I1544)*(Cap_Kind="Housing")*Cap_Ln))</x:f>
        <x:v>20000</x:v>
      </x:c>
      <x:c r="M1544" s="10" t="n">
        <x:f>INDEX(v01_GroupCap,G1544)*v01_CohesionFactor*EXP(v01_CapsByProject*SUMPRODUCT((Cap_Point&lt;=I1544)*(Cap_Kind="Group")*Cap_Ln))</x:f>
        <x:v>1000000</x:v>
      </x:c>
      <x:c r="N1544" s="32" t="n">
        <x:f>MIN(J1544,L1544,M1544)</x:f>
        <x:v>12000</x:v>
      </x:c>
      <x:c r="O1544" s="10" t="n">
        <x:f>AE1543*N1544</x:f>
        <x:v>180000</x:v>
      </x:c>
      <x:c r="P1544" s="9" t="n">
        <x:f>MIN(1,(AB1543/(AE1543*IF(v01_GroupInCrowding=1,N1544,MIN(J1544,L1544))))^v01_CrowdingExp)</x:f>
        <x:v>0.00024569414295285325</x:v>
      </x:c>
      <x:c r="Q1544" s="9" t="n">
        <x:f>IF(D1544=1,INDEX(v01_WinterMult,G1544),1)</x:f>
        <x:v>1</x:v>
      </x:c>
      <x:c r="R1544" s="9" t="n">
        <x:f>H1544*Z1543*v01_WomenShare*v01_BaseFertility*INDEX(v01_FertMult,G1544)*Arch_Fertility*(1-P1544)</x:f>
        <x:v>0</x:v>
      </x:c>
      <x:c r="S1544" s="9" t="n">
        <x:f>H1544*Y1543*INDEX(v01_MortChild,G1544)/4*Q1544</x:f>
        <x:v>0</x:v>
      </x:c>
      <x:c r="T1544" s="9" t="n">
        <x:f>H1544*Z1543*INDEX(v01_MortAdult,G1544)*Arch_AdultMort/4*Q1544</x:f>
        <x:v>0</x:v>
      </x:c>
      <x:c r="U1544" s="9" t="n">
        <x:f>H1544*AA1543*INDEX(v01_MortElder,G1544)/4*Q1544</x:f>
        <x:v>0</x:v>
      </x:c>
      <x:c r="V1544" s="9" t="n">
        <x:f>H1544*MAX(0,AB1543-O1544)*v01_OvercapLoss</x:f>
        <x:v>0</x:v>
      </x:c>
      <x:c r="W1544" s="9" t="n">
        <x:f>H1544*Y1543/(v01_ChildYears*4)</x:f>
        <x:v>0</x:v>
      </x:c>
      <x:c r="X1544" s="9" t="n">
        <x:f>H1544*Z1543/(v01_AdultYears*4)</x:f>
        <x:v>0</x:v>
      </x:c>
      <x:c r="Y1544" s="32" t="n">
        <x:f>Y1543+R1544-S1544-W1544-Y1543*V1544/AB1543</x:f>
        <x:v>14306.18539759397</x:v>
      </x:c>
      <x:c r="Z1544" s="32" t="n">
        <x:f>Z1543+W1544-X1544-T1544-Z1543*V1544/AB1543</x:f>
        <x:v>19354.456567879548</x:v>
      </x:c>
      <x:c r="AA1544" s="32" t="n">
        <x:f>AA1543+X1544-U1544-AA1543*V1544/AB1543</x:f>
        <x:v>11386.956063258198</x:v>
      </x:c>
      <x:c r="AB1544" s="10" t="n">
        <x:f>Y1544+Z1544+AA1544</x:f>
        <x:v>45047.59802873172</x:v>
      </x:c>
      <x:c r="AC1544" s="8" t="n">
        <x:f>IF(AND(v01_WinterTrigger=1,D1544=1,AB1543/AE1543&gt;=K1544),1,0)</x:f>
        <x:v>0</x:v>
      </x:c>
      <x:c r="AD1544" s="8" t="n">
        <x:f>H1544*IF(AND(OR(AB1543/AE1543&gt;=v01_FissionTrigger*N1544,AC1544=1),AB1543/AE1543*v01_DaughterShare&gt;=v01_MinDaughter),MAX(1,ROUND(AE1543*v01_FissionRate,0)),0)</x:f>
        <x:v>0</x:v>
      </x:c>
      <x:c r="AE1544" s="8" t="n">
        <x:f>IF(H1544=1,MAX(1,MIN(INDEX(v01_Smax,G1544),AE1543+AD1544)),AE1543)</x:f>
        <x:v>15</x:v>
      </x:c>
      <x:c r="AF1544" s="8" t="n">
        <x:f>MAX(0,AE1544-AE1543)</x:f>
        <x:v>0</x:v>
      </x:c>
      <x:c r="AG1544" s="9" t="str">
        <x:f>IF(AF1544&gt;0,B1544,"")</x:f>
      </x:c>
      <x:c r="AH1544" s="9" t="n">
        <x:f>IF(F1544&gt;=1,1,(1+v01_LowTiesShare*(AE1544-1))/AE1544)</x:f>
        <x:v>1</x:v>
      </x:c>
      <x:c r="AI1544" s="32" t="n">
        <x:f>(Z1544+v01_ElderCommons*INDEX(LM_Elder,G1544)*AA1544)*AH1544</x:f>
        <x:v>64139.732591141874</x:v>
      </x:c>
      <x:c r="AJ1544" s="32" t="n">
        <x:f>H1544*v01_CommonsCoef*AI1544^v01_CommonsExp*INDEX(LM_Commons,G1544)</x:f>
        <x:v>0</x:v>
      </x:c>
      <x:c r="AK1544" s="32" t="n">
        <x:f>H1544*v01_RoleScale*Arch_Roles*(AE1544*(INDEX(v01_ElderRolePerSett,G1544)*v01_OutElder*INDEX(LM_Elder,G1544)+INDEX(v01_ShamanPerSett,G1544)*v01_OutShaman)+Z1544*(INDEX(v01_PriestShare,G1544)*v01_OutPriest+INDEX(v01_ScribeShare,G1544)*v01_OutScribe*INDEX(LM_Scribe,G1544)+INDEX(v01_ScholarShare,G1544)*v01_OutScholar*INDEX(LM_Scholar,G1544)+INDEX(v01_ResearcherShare,G1544)*v01_OutResearcher*INDEX(LM_Researcher,G1544)))</x:f>
        <x:v>0</x:v>
      </x:c>
      <x:c r="AL1544" s="32" t="n">
        <x:f>H1544*v01_RoleScale*Arch_Roles*AE1544*INDEX(v01_MonasteryPerSett,G1544)*v01_OutMonastery*INDEX(LM_Monastery,G1544)</x:f>
        <x:v>0</x:v>
      </x:c>
      <x:c r="AM1544" s="32" t="n">
        <x:f>(AJ1544+AK1544+AL1544)/4*INDEX(LM_All,G1544)*INDEX(v01_Boon,G1544)*Arch_Insight</x:f>
        <x:v>0</x:v>
      </x:c>
      <x:c r="AN1544" s="32" t="n">
        <x:f>H1544*(v01_KHPerAdult*Z1544+v01_KHOfCommons*AJ1544/4*INDEX(LM_All,G1544))*v01_KHUsable*Arch_KH</x:f>
        <x:v>0</x:v>
      </x:c>
      <x:c r="AO1544" s="32" t="n">
        <x:f>MIN(AP1543+AN1544,AM1544*v01_KHMaxRatio)</x:f>
        <x:v>0</x:v>
      </x:c>
      <x:c r="AP1544" s="32" t="n">
        <x:f>AP1543+AN1544-AO1544</x:f>
        <x:v>0</x:v>
      </x:c>
      <x:c r="AQ1544" s="32" t="n">
        <x:f>AM1544+AO1544</x:f>
        <x:v>0</x:v>
      </x:c>
      <x:c r="AR1544" s="10" t="n">
        <x:f>IF(H1544=1,INDEX(v01_Req,G1544),0)</x:f>
        <x:v>0</x:v>
      </x:c>
      <x:c r="AS1544" s="32" t="n">
        <x:f>IF(H1544=1,IF(E1544=1,AS1543-AR1543,AS1543)+AQ1544,0)</x:f>
        <x:v>0</x:v>
      </x:c>
      <x:c r="AT1544" s="11" t="n">
        <x:f>IF(AR1544&gt;0,MIN(1,AS1544/AR1544),1)</x:f>
        <x:v>1</x:v>
      </x:c>
      <x:c r="AU1544" s="10" t="n">
        <x:f>AB1544/INDEX(v01_RepScale,G1544)</x:f>
        <x:v>90.09519605746344</x:v>
      </x:c>
      <x:c r="AV1544" s="32" t="n">
        <x:f>AM1544*60/v01_SeasonSeconds</x:f>
        <x:v>0</x:v>
      </x:c>
    </x:row>
    <x:row r="1545">
      <x:c r="A1545" s="8" t="n">
        <x:f>A1544+1</x:f>
        <x:v>1542</x:v>
      </x:c>
      <x:c r="B1545" s="9" t="n">
        <x:f>A1545*v01_SeasonSeconds/60</x:f>
        <x:v>385.5</x:v>
      </x:c>
      <x:c r="C1545" s="9" t="n">
        <x:f>A1545/4</x:f>
        <x:v>385.5</x:v>
      </x:c>
      <x:c r="D1545" s="8" t="n">
        <x:f>IF(MOD(A1545,4)=0,1,0)</x:f>
        <x:v>0</x:v>
      </x:c>
      <x:c r="E1545" s="8" t="n">
        <x:f>IF(AND(F1544&lt;=9,AS1544&gt;=AR1544),1,0)</x:f>
        <x:v>0</x:v>
      </x:c>
      <x:c r="F1545" s="8" t="n">
        <x:f>MIN(10,F1544+E1545)</x:f>
        <x:v>10</x:v>
      </x:c>
      <x:c r="G1545" s="8" t="n">
        <x:f>MIN(F1545,9)+1</x:f>
        <x:v>10</x:v>
      </x:c>
      <x:c r="H1545" s="8" t="n">
        <x:f>IF(F1545&lt;=9,1,0)</x:f>
        <x:v>0</x:v>
      </x:c>
      <x:c r="I1545" s="9" t="n">
        <x:f>MIN(10,F1544+IF(AR1544&gt;0,MIN(1,AS1544/AR1544),1))</x:f>
        <x:v>10</x:v>
      </x:c>
      <x:c r="J1545" s="32" t="n">
        <x:f>INDEX(v01_FoodCap,G1545)*Arch_FoodCap*EXP(v01_CapsByProject*SUMPRODUCT((Cap_Point&lt;=I1545)*(Cap_Kind="Food")*Cap_Ln))</x:f>
        <x:v>12000</x:v>
      </x:c>
      <x:c r="K1545" s="32" t="n">
        <x:f>J1545*MIN(1,v01_LeanBase*EXP(v01_CapsByProject*SUMPRODUCT((Cap_Point&lt;=I1545)*(Cap_Kind="Lean")*Cap_Ln)))</x:f>
        <x:v>12000</x:v>
      </x:c>
      <x:c r="L1545" s="10" t="n">
        <x:f>INDEX(v01_HousingCap,G1545)*EXP(v01_CapsByProject*SUMPRODUCT((Cap_Point&lt;=I1545)*(Cap_Kind="Housing")*Cap_Ln))</x:f>
        <x:v>20000</x:v>
      </x:c>
      <x:c r="M1545" s="10" t="n">
        <x:f>INDEX(v01_GroupCap,G1545)*v01_CohesionFactor*EXP(v01_CapsByProject*SUMPRODUCT((Cap_Point&lt;=I1545)*(Cap_Kind="Group")*Cap_Ln))</x:f>
        <x:v>1000000</x:v>
      </x:c>
      <x:c r="N1545" s="32" t="n">
        <x:f>MIN(J1545,L1545,M1545)</x:f>
        <x:v>12000</x:v>
      </x:c>
      <x:c r="O1545" s="10" t="n">
        <x:f>AE1544*N1545</x:f>
        <x:v>180000</x:v>
      </x:c>
      <x:c r="P1545" s="9" t="n">
        <x:f>MIN(1,(AB1544/(AE1544*IF(v01_GroupInCrowding=1,N1545,MIN(J1545,L1545))))^v01_CrowdingExp)</x:f>
        <x:v>0.00024569414295285325</x:v>
      </x:c>
      <x:c r="Q1545" s="9" t="n">
        <x:f>IF(D1545=1,INDEX(v01_WinterMult,G1545),1)</x:f>
        <x:v>1</x:v>
      </x:c>
      <x:c r="R1545" s="9" t="n">
        <x:f>H1545*Z1544*v01_WomenShare*v01_BaseFertility*INDEX(v01_FertMult,G1545)*Arch_Fertility*(1-P1545)</x:f>
        <x:v>0</x:v>
      </x:c>
      <x:c r="S1545" s="9" t="n">
        <x:f>H1545*Y1544*INDEX(v01_MortChild,G1545)/4*Q1545</x:f>
        <x:v>0</x:v>
      </x:c>
      <x:c r="T1545" s="9" t="n">
        <x:f>H1545*Z1544*INDEX(v01_MortAdult,G1545)*Arch_AdultMort/4*Q1545</x:f>
        <x:v>0</x:v>
      </x:c>
      <x:c r="U1545" s="9" t="n">
        <x:f>H1545*AA1544*INDEX(v01_MortElder,G1545)/4*Q1545</x:f>
        <x:v>0</x:v>
      </x:c>
      <x:c r="V1545" s="9" t="n">
        <x:f>H1545*MAX(0,AB1544-O1545)*v01_OvercapLoss</x:f>
        <x:v>0</x:v>
      </x:c>
      <x:c r="W1545" s="9" t="n">
        <x:f>H1545*Y1544/(v01_ChildYears*4)</x:f>
        <x:v>0</x:v>
      </x:c>
      <x:c r="X1545" s="9" t="n">
        <x:f>H1545*Z1544/(v01_AdultYears*4)</x:f>
        <x:v>0</x:v>
      </x:c>
      <x:c r="Y1545" s="32" t="n">
        <x:f>Y1544+R1545-S1545-W1545-Y1544*V1545/AB1544</x:f>
        <x:v>14306.18539759397</x:v>
      </x:c>
      <x:c r="Z1545" s="32" t="n">
        <x:f>Z1544+W1545-X1545-T1545-Z1544*V1545/AB1544</x:f>
        <x:v>19354.456567879548</x:v>
      </x:c>
      <x:c r="AA1545" s="32" t="n">
        <x:f>AA1544+X1545-U1545-AA1544*V1545/AB1544</x:f>
        <x:v>11386.956063258198</x:v>
      </x:c>
      <x:c r="AB1545" s="10" t="n">
        <x:f>Y1545+Z1545+AA1545</x:f>
        <x:v>45047.59802873172</x:v>
      </x:c>
      <x:c r="AC1545" s="8" t="n">
        <x:f>IF(AND(v01_WinterTrigger=1,D1545=1,AB1544/AE1544&gt;=K1545),1,0)</x:f>
        <x:v>0</x:v>
      </x:c>
      <x:c r="AD1545" s="8" t="n">
        <x:f>H1545*IF(AND(OR(AB1544/AE1544&gt;=v01_FissionTrigger*N1545,AC1545=1),AB1544/AE1544*v01_DaughterShare&gt;=v01_MinDaughter),MAX(1,ROUND(AE1544*v01_FissionRate,0)),0)</x:f>
        <x:v>0</x:v>
      </x:c>
      <x:c r="AE1545" s="8" t="n">
        <x:f>IF(H1545=1,MAX(1,MIN(INDEX(v01_Smax,G1545),AE1544+AD1545)),AE1544)</x:f>
        <x:v>15</x:v>
      </x:c>
      <x:c r="AF1545" s="8" t="n">
        <x:f>MAX(0,AE1545-AE1544)</x:f>
        <x:v>0</x:v>
      </x:c>
      <x:c r="AG1545" s="9" t="str">
        <x:f>IF(AF1545&gt;0,B1545,"")</x:f>
      </x:c>
      <x:c r="AH1545" s="9" t="n">
        <x:f>IF(F1545&gt;=1,1,(1+v01_LowTiesShare*(AE1545-1))/AE1545)</x:f>
        <x:v>1</x:v>
      </x:c>
      <x:c r="AI1545" s="32" t="n">
        <x:f>(Z1545+v01_ElderCommons*INDEX(LM_Elder,G1545)*AA1545)*AH1545</x:f>
        <x:v>64139.732591141874</x:v>
      </x:c>
      <x:c r="AJ1545" s="32" t="n">
        <x:f>H1545*v01_CommonsCoef*AI1545^v01_CommonsExp*INDEX(LM_Commons,G1545)</x:f>
        <x:v>0</x:v>
      </x:c>
      <x:c r="AK1545" s="32" t="n">
        <x:f>H1545*v01_RoleScale*Arch_Roles*(AE1545*(INDEX(v01_ElderRolePerSett,G1545)*v01_OutElder*INDEX(LM_Elder,G1545)+INDEX(v01_ShamanPerSett,G1545)*v01_OutShaman)+Z1545*(INDEX(v01_PriestShare,G1545)*v01_OutPriest+INDEX(v01_ScribeShare,G1545)*v01_OutScribe*INDEX(LM_Scribe,G1545)+INDEX(v01_ScholarShare,G1545)*v01_OutScholar*INDEX(LM_Scholar,G1545)+INDEX(v01_ResearcherShare,G1545)*v01_OutResearcher*INDEX(LM_Researcher,G1545)))</x:f>
        <x:v>0</x:v>
      </x:c>
      <x:c r="AL1545" s="32" t="n">
        <x:f>H1545*v01_RoleScale*Arch_Roles*AE1545*INDEX(v01_MonasteryPerSett,G1545)*v01_OutMonastery*INDEX(LM_Monastery,G1545)</x:f>
        <x:v>0</x:v>
      </x:c>
      <x:c r="AM1545" s="32" t="n">
        <x:f>(AJ1545+AK1545+AL1545)/4*INDEX(LM_All,G1545)*INDEX(v01_Boon,G1545)*Arch_Insight</x:f>
        <x:v>0</x:v>
      </x:c>
      <x:c r="AN1545" s="32" t="n">
        <x:f>H1545*(v01_KHPerAdult*Z1545+v01_KHOfCommons*AJ1545/4*INDEX(LM_All,G1545))*v01_KHUsable*Arch_KH</x:f>
        <x:v>0</x:v>
      </x:c>
      <x:c r="AO1545" s="32" t="n">
        <x:f>MIN(AP1544+AN1545,AM1545*v01_KHMaxRatio)</x:f>
        <x:v>0</x:v>
      </x:c>
      <x:c r="AP1545" s="32" t="n">
        <x:f>AP1544+AN1545-AO1545</x:f>
        <x:v>0</x:v>
      </x:c>
      <x:c r="AQ1545" s="32" t="n">
        <x:f>AM1545+AO1545</x:f>
        <x:v>0</x:v>
      </x:c>
      <x:c r="AR1545" s="10" t="n">
        <x:f>IF(H1545=1,INDEX(v01_Req,G1545),0)</x:f>
        <x:v>0</x:v>
      </x:c>
      <x:c r="AS1545" s="32" t="n">
        <x:f>IF(H1545=1,IF(E1545=1,AS1544-AR1544,AS1544)+AQ1545,0)</x:f>
        <x:v>0</x:v>
      </x:c>
      <x:c r="AT1545" s="11" t="n">
        <x:f>IF(AR1545&gt;0,MIN(1,AS1545/AR1545),1)</x:f>
        <x:v>1</x:v>
      </x:c>
      <x:c r="AU1545" s="10" t="n">
        <x:f>AB1545/INDEX(v01_RepScale,G1545)</x:f>
        <x:v>90.09519605746344</x:v>
      </x:c>
      <x:c r="AV1545" s="32" t="n">
        <x:f>AM1545*60/v01_SeasonSeconds</x:f>
        <x:v>0</x:v>
      </x:c>
    </x:row>
    <x:row r="1546">
      <x:c r="A1546" s="8" t="n">
        <x:f>A1545+1</x:f>
        <x:v>1543</x:v>
      </x:c>
      <x:c r="B1546" s="9" t="n">
        <x:f>A1546*v01_SeasonSeconds/60</x:f>
        <x:v>385.75</x:v>
      </x:c>
      <x:c r="C1546" s="9" t="n">
        <x:f>A1546/4</x:f>
        <x:v>385.75</x:v>
      </x:c>
      <x:c r="D1546" s="8" t="n">
        <x:f>IF(MOD(A1546,4)=0,1,0)</x:f>
        <x:v>0</x:v>
      </x:c>
      <x:c r="E1546" s="8" t="n">
        <x:f>IF(AND(F1545&lt;=9,AS1545&gt;=AR1545),1,0)</x:f>
        <x:v>0</x:v>
      </x:c>
      <x:c r="F1546" s="8" t="n">
        <x:f>MIN(10,F1545+E1546)</x:f>
        <x:v>10</x:v>
      </x:c>
      <x:c r="G1546" s="8" t="n">
        <x:f>MIN(F1546,9)+1</x:f>
        <x:v>10</x:v>
      </x:c>
      <x:c r="H1546" s="8" t="n">
        <x:f>IF(F1546&lt;=9,1,0)</x:f>
        <x:v>0</x:v>
      </x:c>
      <x:c r="I1546" s="9" t="n">
        <x:f>MIN(10,F1545+IF(AR1545&gt;0,MIN(1,AS1545/AR1545),1))</x:f>
        <x:v>10</x:v>
      </x:c>
      <x:c r="J1546" s="32" t="n">
        <x:f>INDEX(v01_FoodCap,G1546)*Arch_FoodCap*EXP(v01_CapsByProject*SUMPRODUCT((Cap_Point&lt;=I1546)*(Cap_Kind="Food")*Cap_Ln))</x:f>
        <x:v>12000</x:v>
      </x:c>
      <x:c r="K1546" s="32" t="n">
        <x:f>J1546*MIN(1,v01_LeanBase*EXP(v01_CapsByProject*SUMPRODUCT((Cap_Point&lt;=I1546)*(Cap_Kind="Lean")*Cap_Ln)))</x:f>
        <x:v>12000</x:v>
      </x:c>
      <x:c r="L1546" s="10" t="n">
        <x:f>INDEX(v01_HousingCap,G1546)*EXP(v01_CapsByProject*SUMPRODUCT((Cap_Point&lt;=I1546)*(Cap_Kind="Housing")*Cap_Ln))</x:f>
        <x:v>20000</x:v>
      </x:c>
      <x:c r="M1546" s="10" t="n">
        <x:f>INDEX(v01_GroupCap,G1546)*v01_CohesionFactor*EXP(v01_CapsByProject*SUMPRODUCT((Cap_Point&lt;=I1546)*(Cap_Kind="Group")*Cap_Ln))</x:f>
        <x:v>1000000</x:v>
      </x:c>
      <x:c r="N1546" s="32" t="n">
        <x:f>MIN(J1546,L1546,M1546)</x:f>
        <x:v>12000</x:v>
      </x:c>
      <x:c r="O1546" s="10" t="n">
        <x:f>AE1545*N1546</x:f>
        <x:v>180000</x:v>
      </x:c>
      <x:c r="P1546" s="9" t="n">
        <x:f>MIN(1,(AB1545/(AE1545*IF(v01_GroupInCrowding=1,N1546,MIN(J1546,L1546))))^v01_CrowdingExp)</x:f>
        <x:v>0.00024569414295285325</x:v>
      </x:c>
      <x:c r="Q1546" s="9" t="n">
        <x:f>IF(D1546=1,INDEX(v01_WinterMult,G1546),1)</x:f>
        <x:v>1</x:v>
      </x:c>
      <x:c r="R1546" s="9" t="n">
        <x:f>H1546*Z1545*v01_WomenShare*v01_BaseFertility*INDEX(v01_FertMult,G1546)*Arch_Fertility*(1-P1546)</x:f>
        <x:v>0</x:v>
      </x:c>
      <x:c r="S1546" s="9" t="n">
        <x:f>H1546*Y1545*INDEX(v01_MortChild,G1546)/4*Q1546</x:f>
        <x:v>0</x:v>
      </x:c>
      <x:c r="T1546" s="9" t="n">
        <x:f>H1546*Z1545*INDEX(v01_MortAdult,G1546)*Arch_AdultMort/4*Q1546</x:f>
        <x:v>0</x:v>
      </x:c>
      <x:c r="U1546" s="9" t="n">
        <x:f>H1546*AA1545*INDEX(v01_MortElder,G1546)/4*Q1546</x:f>
        <x:v>0</x:v>
      </x:c>
      <x:c r="V1546" s="9" t="n">
        <x:f>H1546*MAX(0,AB1545-O1546)*v01_OvercapLoss</x:f>
        <x:v>0</x:v>
      </x:c>
      <x:c r="W1546" s="9" t="n">
        <x:f>H1546*Y1545/(v01_ChildYears*4)</x:f>
        <x:v>0</x:v>
      </x:c>
      <x:c r="X1546" s="9" t="n">
        <x:f>H1546*Z1545/(v01_AdultYears*4)</x:f>
        <x:v>0</x:v>
      </x:c>
      <x:c r="Y1546" s="32" t="n">
        <x:f>Y1545+R1546-S1546-W1546-Y1545*V1546/AB1545</x:f>
        <x:v>14306.18539759397</x:v>
      </x:c>
      <x:c r="Z1546" s="32" t="n">
        <x:f>Z1545+W1546-X1546-T1546-Z1545*V1546/AB1545</x:f>
        <x:v>19354.456567879548</x:v>
      </x:c>
      <x:c r="AA1546" s="32" t="n">
        <x:f>AA1545+X1546-U1546-AA1545*V1546/AB1545</x:f>
        <x:v>11386.956063258198</x:v>
      </x:c>
      <x:c r="AB1546" s="10" t="n">
        <x:f>Y1546+Z1546+AA1546</x:f>
        <x:v>45047.59802873172</x:v>
      </x:c>
      <x:c r="AC1546" s="8" t="n">
        <x:f>IF(AND(v01_WinterTrigger=1,D1546=1,AB1545/AE1545&gt;=K1546),1,0)</x:f>
        <x:v>0</x:v>
      </x:c>
      <x:c r="AD1546" s="8" t="n">
        <x:f>H1546*IF(AND(OR(AB1545/AE1545&gt;=v01_FissionTrigger*N1546,AC1546=1),AB1545/AE1545*v01_DaughterShare&gt;=v01_MinDaughter),MAX(1,ROUND(AE1545*v01_FissionRate,0)),0)</x:f>
        <x:v>0</x:v>
      </x:c>
      <x:c r="AE1546" s="8" t="n">
        <x:f>IF(H1546=1,MAX(1,MIN(INDEX(v01_Smax,G1546),AE1545+AD1546)),AE1545)</x:f>
        <x:v>15</x:v>
      </x:c>
      <x:c r="AF1546" s="8" t="n">
        <x:f>MAX(0,AE1546-AE1545)</x:f>
        <x:v>0</x:v>
      </x:c>
      <x:c r="AG1546" s="9" t="str">
        <x:f>IF(AF1546&gt;0,B1546,"")</x:f>
      </x:c>
      <x:c r="AH1546" s="9" t="n">
        <x:f>IF(F1546&gt;=1,1,(1+v01_LowTiesShare*(AE1546-1))/AE1546)</x:f>
        <x:v>1</x:v>
      </x:c>
      <x:c r="AI1546" s="32" t="n">
        <x:f>(Z1546+v01_ElderCommons*INDEX(LM_Elder,G1546)*AA1546)*AH1546</x:f>
        <x:v>64139.732591141874</x:v>
      </x:c>
      <x:c r="AJ1546" s="32" t="n">
        <x:f>H1546*v01_CommonsCoef*AI1546^v01_CommonsExp*INDEX(LM_Commons,G1546)</x:f>
        <x:v>0</x:v>
      </x:c>
      <x:c r="AK1546" s="32" t="n">
        <x:f>H1546*v01_RoleScale*Arch_Roles*(AE1546*(INDEX(v01_ElderRolePerSett,G1546)*v01_OutElder*INDEX(LM_Elder,G1546)+INDEX(v01_ShamanPerSett,G1546)*v01_OutShaman)+Z1546*(INDEX(v01_PriestShare,G1546)*v01_OutPriest+INDEX(v01_ScribeShare,G1546)*v01_OutScribe*INDEX(LM_Scribe,G1546)+INDEX(v01_ScholarShare,G1546)*v01_OutScholar*INDEX(LM_Scholar,G1546)+INDEX(v01_ResearcherShare,G1546)*v01_OutResearcher*INDEX(LM_Researcher,G1546)))</x:f>
        <x:v>0</x:v>
      </x:c>
      <x:c r="AL1546" s="32" t="n">
        <x:f>H1546*v01_RoleScale*Arch_Roles*AE1546*INDEX(v01_MonasteryPerSett,G1546)*v01_OutMonastery*INDEX(LM_Monastery,G1546)</x:f>
        <x:v>0</x:v>
      </x:c>
      <x:c r="AM1546" s="32" t="n">
        <x:f>(AJ1546+AK1546+AL1546)/4*INDEX(LM_All,G1546)*INDEX(v01_Boon,G1546)*Arch_Insight</x:f>
        <x:v>0</x:v>
      </x:c>
      <x:c r="AN1546" s="32" t="n">
        <x:f>H1546*(v01_KHPerAdult*Z1546+v01_KHOfCommons*AJ1546/4*INDEX(LM_All,G1546))*v01_KHUsable*Arch_KH</x:f>
        <x:v>0</x:v>
      </x:c>
      <x:c r="AO1546" s="32" t="n">
        <x:f>MIN(AP1545+AN1546,AM1546*v01_KHMaxRatio)</x:f>
        <x:v>0</x:v>
      </x:c>
      <x:c r="AP1546" s="32" t="n">
        <x:f>AP1545+AN1546-AO1546</x:f>
        <x:v>0</x:v>
      </x:c>
      <x:c r="AQ1546" s="32" t="n">
        <x:f>AM1546+AO1546</x:f>
        <x:v>0</x:v>
      </x:c>
      <x:c r="AR1546" s="10" t="n">
        <x:f>IF(H1546=1,INDEX(v01_Req,G1546),0)</x:f>
        <x:v>0</x:v>
      </x:c>
      <x:c r="AS1546" s="32" t="n">
        <x:f>IF(H1546=1,IF(E1546=1,AS1545-AR1545,AS1545)+AQ1546,0)</x:f>
        <x:v>0</x:v>
      </x:c>
      <x:c r="AT1546" s="11" t="n">
        <x:f>IF(AR1546&gt;0,MIN(1,AS1546/AR1546),1)</x:f>
        <x:v>1</x:v>
      </x:c>
      <x:c r="AU1546" s="10" t="n">
        <x:f>AB1546/INDEX(v01_RepScale,G1546)</x:f>
        <x:v>90.09519605746344</x:v>
      </x:c>
      <x:c r="AV1546" s="32" t="n">
        <x:f>AM1546*60/v01_SeasonSeconds</x:f>
        <x:v>0</x:v>
      </x:c>
    </x:row>
    <x:row r="1547">
      <x:c r="A1547" s="8" t="n">
        <x:f>A1546+1</x:f>
        <x:v>1544</x:v>
      </x:c>
      <x:c r="B1547" s="9" t="n">
        <x:f>A1547*v01_SeasonSeconds/60</x:f>
        <x:v>386</x:v>
      </x:c>
      <x:c r="C1547" s="9" t="n">
        <x:f>A1547/4</x:f>
        <x:v>386</x:v>
      </x:c>
      <x:c r="D1547" s="8" t="n">
        <x:f>IF(MOD(A1547,4)=0,1,0)</x:f>
        <x:v>1</x:v>
      </x:c>
      <x:c r="E1547" s="8" t="n">
        <x:f>IF(AND(F1546&lt;=9,AS1546&gt;=AR1546),1,0)</x:f>
        <x:v>0</x:v>
      </x:c>
      <x:c r="F1547" s="8" t="n">
        <x:f>MIN(10,F1546+E1547)</x:f>
        <x:v>10</x:v>
      </x:c>
      <x:c r="G1547" s="8" t="n">
        <x:f>MIN(F1547,9)+1</x:f>
        <x:v>10</x:v>
      </x:c>
      <x:c r="H1547" s="8" t="n">
        <x:f>IF(F1547&lt;=9,1,0)</x:f>
        <x:v>0</x:v>
      </x:c>
      <x:c r="I1547" s="9" t="n">
        <x:f>MIN(10,F1546+IF(AR1546&gt;0,MIN(1,AS1546/AR1546),1))</x:f>
        <x:v>10</x:v>
      </x:c>
      <x:c r="J1547" s="32" t="n">
        <x:f>INDEX(v01_FoodCap,G1547)*Arch_FoodCap*EXP(v01_CapsByProject*SUMPRODUCT((Cap_Point&lt;=I1547)*(Cap_Kind="Food")*Cap_Ln))</x:f>
        <x:v>12000</x:v>
      </x:c>
      <x:c r="K1547" s="32" t="n">
        <x:f>J1547*MIN(1,v01_LeanBase*EXP(v01_CapsByProject*SUMPRODUCT((Cap_Point&lt;=I1547)*(Cap_Kind="Lean")*Cap_Ln)))</x:f>
        <x:v>12000</x:v>
      </x:c>
      <x:c r="L1547" s="10" t="n">
        <x:f>INDEX(v01_HousingCap,G1547)*EXP(v01_CapsByProject*SUMPRODUCT((Cap_Point&lt;=I1547)*(Cap_Kind="Housing")*Cap_Ln))</x:f>
        <x:v>20000</x:v>
      </x:c>
      <x:c r="M1547" s="10" t="n">
        <x:f>INDEX(v01_GroupCap,G1547)*v01_CohesionFactor*EXP(v01_CapsByProject*SUMPRODUCT((Cap_Point&lt;=I1547)*(Cap_Kind="Group")*Cap_Ln))</x:f>
        <x:v>1000000</x:v>
      </x:c>
      <x:c r="N1547" s="32" t="n">
        <x:f>MIN(J1547,L1547,M1547)</x:f>
        <x:v>12000</x:v>
      </x:c>
      <x:c r="O1547" s="10" t="n">
        <x:f>AE1546*N1547</x:f>
        <x:v>180000</x:v>
      </x:c>
      <x:c r="P1547" s="9" t="n">
        <x:f>MIN(1,(AB1546/(AE1546*IF(v01_GroupInCrowding=1,N1547,MIN(J1547,L1547))))^v01_CrowdingExp)</x:f>
        <x:v>0.00024569414295285325</x:v>
      </x:c>
      <x:c r="Q1547" s="9" t="n">
        <x:f>IF(D1547=1,INDEX(v01_WinterMult,G1547),1)</x:f>
        <x:v>1</x:v>
      </x:c>
      <x:c r="R1547" s="9" t="n">
        <x:f>H1547*Z1546*v01_WomenShare*v01_BaseFertility*INDEX(v01_FertMult,G1547)*Arch_Fertility*(1-P1547)</x:f>
        <x:v>0</x:v>
      </x:c>
      <x:c r="S1547" s="9" t="n">
        <x:f>H1547*Y1546*INDEX(v01_MortChild,G1547)/4*Q1547</x:f>
        <x:v>0</x:v>
      </x:c>
      <x:c r="T1547" s="9" t="n">
        <x:f>H1547*Z1546*INDEX(v01_MortAdult,G1547)*Arch_AdultMort/4*Q1547</x:f>
        <x:v>0</x:v>
      </x:c>
      <x:c r="U1547" s="9" t="n">
        <x:f>H1547*AA1546*INDEX(v01_MortElder,G1547)/4*Q1547</x:f>
        <x:v>0</x:v>
      </x:c>
      <x:c r="V1547" s="9" t="n">
        <x:f>H1547*MAX(0,AB1546-O1547)*v01_OvercapLoss</x:f>
        <x:v>0</x:v>
      </x:c>
      <x:c r="W1547" s="9" t="n">
        <x:f>H1547*Y1546/(v01_ChildYears*4)</x:f>
        <x:v>0</x:v>
      </x:c>
      <x:c r="X1547" s="9" t="n">
        <x:f>H1547*Z1546/(v01_AdultYears*4)</x:f>
        <x:v>0</x:v>
      </x:c>
      <x:c r="Y1547" s="32" t="n">
        <x:f>Y1546+R1547-S1547-W1547-Y1546*V1547/AB1546</x:f>
        <x:v>14306.18539759397</x:v>
      </x:c>
      <x:c r="Z1547" s="32" t="n">
        <x:f>Z1546+W1547-X1547-T1547-Z1546*V1547/AB1546</x:f>
        <x:v>19354.456567879548</x:v>
      </x:c>
      <x:c r="AA1547" s="32" t="n">
        <x:f>AA1546+X1547-U1547-AA1546*V1547/AB1546</x:f>
        <x:v>11386.956063258198</x:v>
      </x:c>
      <x:c r="AB1547" s="10" t="n">
        <x:f>Y1547+Z1547+AA1547</x:f>
        <x:v>45047.59802873172</x:v>
      </x:c>
      <x:c r="AC1547" s="8" t="n">
        <x:f>IF(AND(v01_WinterTrigger=1,D1547=1,AB1546/AE1546&gt;=K1547),1,0)</x:f>
        <x:v>0</x:v>
      </x:c>
      <x:c r="AD1547" s="8" t="n">
        <x:f>H1547*IF(AND(OR(AB1546/AE1546&gt;=v01_FissionTrigger*N1547,AC1547=1),AB1546/AE1546*v01_DaughterShare&gt;=v01_MinDaughter),MAX(1,ROUND(AE1546*v01_FissionRate,0)),0)</x:f>
        <x:v>0</x:v>
      </x:c>
      <x:c r="AE1547" s="8" t="n">
        <x:f>IF(H1547=1,MAX(1,MIN(INDEX(v01_Smax,G1547),AE1546+AD1547)),AE1546)</x:f>
        <x:v>15</x:v>
      </x:c>
      <x:c r="AF1547" s="8" t="n">
        <x:f>MAX(0,AE1547-AE1546)</x:f>
        <x:v>0</x:v>
      </x:c>
      <x:c r="AG1547" s="9" t="str">
        <x:f>IF(AF1547&gt;0,B1547,"")</x:f>
      </x:c>
      <x:c r="AH1547" s="9" t="n">
        <x:f>IF(F1547&gt;=1,1,(1+v01_LowTiesShare*(AE1547-1))/AE1547)</x:f>
        <x:v>1</x:v>
      </x:c>
      <x:c r="AI1547" s="32" t="n">
        <x:f>(Z1547+v01_ElderCommons*INDEX(LM_Elder,G1547)*AA1547)*AH1547</x:f>
        <x:v>64139.732591141874</x:v>
      </x:c>
      <x:c r="AJ1547" s="32" t="n">
        <x:f>H1547*v01_CommonsCoef*AI1547^v01_CommonsExp*INDEX(LM_Commons,G1547)</x:f>
        <x:v>0</x:v>
      </x:c>
      <x:c r="AK1547" s="32" t="n">
        <x:f>H1547*v01_RoleScale*Arch_Roles*(AE1547*(INDEX(v01_ElderRolePerSett,G1547)*v01_OutElder*INDEX(LM_Elder,G1547)+INDEX(v01_ShamanPerSett,G1547)*v01_OutShaman)+Z1547*(INDEX(v01_PriestShare,G1547)*v01_OutPriest+INDEX(v01_ScribeShare,G1547)*v01_OutScribe*INDEX(LM_Scribe,G1547)+INDEX(v01_ScholarShare,G1547)*v01_OutScholar*INDEX(LM_Scholar,G1547)+INDEX(v01_ResearcherShare,G1547)*v01_OutResearcher*INDEX(LM_Researcher,G1547)))</x:f>
        <x:v>0</x:v>
      </x:c>
      <x:c r="AL1547" s="32" t="n">
        <x:f>H1547*v01_RoleScale*Arch_Roles*AE1547*INDEX(v01_MonasteryPerSett,G1547)*v01_OutMonastery*INDEX(LM_Monastery,G1547)</x:f>
        <x:v>0</x:v>
      </x:c>
      <x:c r="AM1547" s="32" t="n">
        <x:f>(AJ1547+AK1547+AL1547)/4*INDEX(LM_All,G1547)*INDEX(v01_Boon,G1547)*Arch_Insight</x:f>
        <x:v>0</x:v>
      </x:c>
      <x:c r="AN1547" s="32" t="n">
        <x:f>H1547*(v01_KHPerAdult*Z1547+v01_KHOfCommons*AJ1547/4*INDEX(LM_All,G1547))*v01_KHUsable*Arch_KH</x:f>
        <x:v>0</x:v>
      </x:c>
      <x:c r="AO1547" s="32" t="n">
        <x:f>MIN(AP1546+AN1547,AM1547*v01_KHMaxRatio)</x:f>
        <x:v>0</x:v>
      </x:c>
      <x:c r="AP1547" s="32" t="n">
        <x:f>AP1546+AN1547-AO1547</x:f>
        <x:v>0</x:v>
      </x:c>
      <x:c r="AQ1547" s="32" t="n">
        <x:f>AM1547+AO1547</x:f>
        <x:v>0</x:v>
      </x:c>
      <x:c r="AR1547" s="10" t="n">
        <x:f>IF(H1547=1,INDEX(v01_Req,G1547),0)</x:f>
        <x:v>0</x:v>
      </x:c>
      <x:c r="AS1547" s="32" t="n">
        <x:f>IF(H1547=1,IF(E1547=1,AS1546-AR1546,AS1546)+AQ1547,0)</x:f>
        <x:v>0</x:v>
      </x:c>
      <x:c r="AT1547" s="11" t="n">
        <x:f>IF(AR1547&gt;0,MIN(1,AS1547/AR1547),1)</x:f>
        <x:v>1</x:v>
      </x:c>
      <x:c r="AU1547" s="10" t="n">
        <x:f>AB1547/INDEX(v01_RepScale,G1547)</x:f>
        <x:v>90.09519605746344</x:v>
      </x:c>
      <x:c r="AV1547" s="32" t="n">
        <x:f>AM1547*60/v01_SeasonSeconds</x:f>
        <x:v>0</x:v>
      </x:c>
    </x:row>
    <x:row r="1548">
      <x:c r="A1548" s="8" t="n">
        <x:f>A1547+1</x:f>
        <x:v>1545</x:v>
      </x:c>
      <x:c r="B1548" s="9" t="n">
        <x:f>A1548*v01_SeasonSeconds/60</x:f>
        <x:v>386.25</x:v>
      </x:c>
      <x:c r="C1548" s="9" t="n">
        <x:f>A1548/4</x:f>
        <x:v>386.25</x:v>
      </x:c>
      <x:c r="D1548" s="8" t="n">
        <x:f>IF(MOD(A1548,4)=0,1,0)</x:f>
        <x:v>0</x:v>
      </x:c>
      <x:c r="E1548" s="8" t="n">
        <x:f>IF(AND(F1547&lt;=9,AS1547&gt;=AR1547),1,0)</x:f>
        <x:v>0</x:v>
      </x:c>
      <x:c r="F1548" s="8" t="n">
        <x:f>MIN(10,F1547+E1548)</x:f>
        <x:v>10</x:v>
      </x:c>
      <x:c r="G1548" s="8" t="n">
        <x:f>MIN(F1548,9)+1</x:f>
        <x:v>10</x:v>
      </x:c>
      <x:c r="H1548" s="8" t="n">
        <x:f>IF(F1548&lt;=9,1,0)</x:f>
        <x:v>0</x:v>
      </x:c>
      <x:c r="I1548" s="9" t="n">
        <x:f>MIN(10,F1547+IF(AR1547&gt;0,MIN(1,AS1547/AR1547),1))</x:f>
        <x:v>10</x:v>
      </x:c>
      <x:c r="J1548" s="32" t="n">
        <x:f>INDEX(v01_FoodCap,G1548)*Arch_FoodCap*EXP(v01_CapsByProject*SUMPRODUCT((Cap_Point&lt;=I1548)*(Cap_Kind="Food")*Cap_Ln))</x:f>
        <x:v>12000</x:v>
      </x:c>
      <x:c r="K1548" s="32" t="n">
        <x:f>J1548*MIN(1,v01_LeanBase*EXP(v01_CapsByProject*SUMPRODUCT((Cap_Point&lt;=I1548)*(Cap_Kind="Lean")*Cap_Ln)))</x:f>
        <x:v>12000</x:v>
      </x:c>
      <x:c r="L1548" s="10" t="n">
        <x:f>INDEX(v01_HousingCap,G1548)*EXP(v01_CapsByProject*SUMPRODUCT((Cap_Point&lt;=I1548)*(Cap_Kind="Housing")*Cap_Ln))</x:f>
        <x:v>20000</x:v>
      </x:c>
      <x:c r="M1548" s="10" t="n">
        <x:f>INDEX(v01_GroupCap,G1548)*v01_CohesionFactor*EXP(v01_CapsByProject*SUMPRODUCT((Cap_Point&lt;=I1548)*(Cap_Kind="Group")*Cap_Ln))</x:f>
        <x:v>1000000</x:v>
      </x:c>
      <x:c r="N1548" s="32" t="n">
        <x:f>MIN(J1548,L1548,M1548)</x:f>
        <x:v>12000</x:v>
      </x:c>
      <x:c r="O1548" s="10" t="n">
        <x:f>AE1547*N1548</x:f>
        <x:v>180000</x:v>
      </x:c>
      <x:c r="P1548" s="9" t="n">
        <x:f>MIN(1,(AB1547/(AE1547*IF(v01_GroupInCrowding=1,N1548,MIN(J1548,L1548))))^v01_CrowdingExp)</x:f>
        <x:v>0.00024569414295285325</x:v>
      </x:c>
      <x:c r="Q1548" s="9" t="n">
        <x:f>IF(D1548=1,INDEX(v01_WinterMult,G1548),1)</x:f>
        <x:v>1</x:v>
      </x:c>
      <x:c r="R1548" s="9" t="n">
        <x:f>H1548*Z1547*v01_WomenShare*v01_BaseFertility*INDEX(v01_FertMult,G1548)*Arch_Fertility*(1-P1548)</x:f>
        <x:v>0</x:v>
      </x:c>
      <x:c r="S1548" s="9" t="n">
        <x:f>H1548*Y1547*INDEX(v01_MortChild,G1548)/4*Q1548</x:f>
        <x:v>0</x:v>
      </x:c>
      <x:c r="T1548" s="9" t="n">
        <x:f>H1548*Z1547*INDEX(v01_MortAdult,G1548)*Arch_AdultMort/4*Q1548</x:f>
        <x:v>0</x:v>
      </x:c>
      <x:c r="U1548" s="9" t="n">
        <x:f>H1548*AA1547*INDEX(v01_MortElder,G1548)/4*Q1548</x:f>
        <x:v>0</x:v>
      </x:c>
      <x:c r="V1548" s="9" t="n">
        <x:f>H1548*MAX(0,AB1547-O1548)*v01_OvercapLoss</x:f>
        <x:v>0</x:v>
      </x:c>
      <x:c r="W1548" s="9" t="n">
        <x:f>H1548*Y1547/(v01_ChildYears*4)</x:f>
        <x:v>0</x:v>
      </x:c>
      <x:c r="X1548" s="9" t="n">
        <x:f>H1548*Z1547/(v01_AdultYears*4)</x:f>
        <x:v>0</x:v>
      </x:c>
      <x:c r="Y1548" s="32" t="n">
        <x:f>Y1547+R1548-S1548-W1548-Y1547*V1548/AB1547</x:f>
        <x:v>14306.18539759397</x:v>
      </x:c>
      <x:c r="Z1548" s="32" t="n">
        <x:f>Z1547+W1548-X1548-T1548-Z1547*V1548/AB1547</x:f>
        <x:v>19354.456567879548</x:v>
      </x:c>
      <x:c r="AA1548" s="32" t="n">
        <x:f>AA1547+X1548-U1548-AA1547*V1548/AB1547</x:f>
        <x:v>11386.956063258198</x:v>
      </x:c>
      <x:c r="AB1548" s="10" t="n">
        <x:f>Y1548+Z1548+AA1548</x:f>
        <x:v>45047.59802873172</x:v>
      </x:c>
      <x:c r="AC1548" s="8" t="n">
        <x:f>IF(AND(v01_WinterTrigger=1,D1548=1,AB1547/AE1547&gt;=K1548),1,0)</x:f>
        <x:v>0</x:v>
      </x:c>
      <x:c r="AD1548" s="8" t="n">
        <x:f>H1548*IF(AND(OR(AB1547/AE1547&gt;=v01_FissionTrigger*N1548,AC1548=1),AB1547/AE1547*v01_DaughterShare&gt;=v01_MinDaughter),MAX(1,ROUND(AE1547*v01_FissionRate,0)),0)</x:f>
        <x:v>0</x:v>
      </x:c>
      <x:c r="AE1548" s="8" t="n">
        <x:f>IF(H1548=1,MAX(1,MIN(INDEX(v01_Smax,G1548),AE1547+AD1548)),AE1547)</x:f>
        <x:v>15</x:v>
      </x:c>
      <x:c r="AF1548" s="8" t="n">
        <x:f>MAX(0,AE1548-AE1547)</x:f>
        <x:v>0</x:v>
      </x:c>
      <x:c r="AG1548" s="9" t="str">
        <x:f>IF(AF1548&gt;0,B1548,"")</x:f>
      </x:c>
      <x:c r="AH1548" s="9" t="n">
        <x:f>IF(F1548&gt;=1,1,(1+v01_LowTiesShare*(AE1548-1))/AE1548)</x:f>
        <x:v>1</x:v>
      </x:c>
      <x:c r="AI1548" s="32" t="n">
        <x:f>(Z1548+v01_ElderCommons*INDEX(LM_Elder,G1548)*AA1548)*AH1548</x:f>
        <x:v>64139.732591141874</x:v>
      </x:c>
      <x:c r="AJ1548" s="32" t="n">
        <x:f>H1548*v01_CommonsCoef*AI1548^v01_CommonsExp*INDEX(LM_Commons,G1548)</x:f>
        <x:v>0</x:v>
      </x:c>
      <x:c r="AK1548" s="32" t="n">
        <x:f>H1548*v01_RoleScale*Arch_Roles*(AE1548*(INDEX(v01_ElderRolePerSett,G1548)*v01_OutElder*INDEX(LM_Elder,G1548)+INDEX(v01_ShamanPerSett,G1548)*v01_OutShaman)+Z1548*(INDEX(v01_PriestShare,G1548)*v01_OutPriest+INDEX(v01_ScribeShare,G1548)*v01_OutScribe*INDEX(LM_Scribe,G1548)+INDEX(v01_ScholarShare,G1548)*v01_OutScholar*INDEX(LM_Scholar,G1548)+INDEX(v01_ResearcherShare,G1548)*v01_OutResearcher*INDEX(LM_Researcher,G1548)))</x:f>
        <x:v>0</x:v>
      </x:c>
      <x:c r="AL1548" s="32" t="n">
        <x:f>H1548*v01_RoleScale*Arch_Roles*AE1548*INDEX(v01_MonasteryPerSett,G1548)*v01_OutMonastery*INDEX(LM_Monastery,G1548)</x:f>
        <x:v>0</x:v>
      </x:c>
      <x:c r="AM1548" s="32" t="n">
        <x:f>(AJ1548+AK1548+AL1548)/4*INDEX(LM_All,G1548)*INDEX(v01_Boon,G1548)*Arch_Insight</x:f>
        <x:v>0</x:v>
      </x:c>
      <x:c r="AN1548" s="32" t="n">
        <x:f>H1548*(v01_KHPerAdult*Z1548+v01_KHOfCommons*AJ1548/4*INDEX(LM_All,G1548))*v01_KHUsable*Arch_KH</x:f>
        <x:v>0</x:v>
      </x:c>
      <x:c r="AO1548" s="32" t="n">
        <x:f>MIN(AP1547+AN1548,AM1548*v01_KHMaxRatio)</x:f>
        <x:v>0</x:v>
      </x:c>
      <x:c r="AP1548" s="32" t="n">
        <x:f>AP1547+AN1548-AO1548</x:f>
        <x:v>0</x:v>
      </x:c>
      <x:c r="AQ1548" s="32" t="n">
        <x:f>AM1548+AO1548</x:f>
        <x:v>0</x:v>
      </x:c>
      <x:c r="AR1548" s="10" t="n">
        <x:f>IF(H1548=1,INDEX(v01_Req,G1548),0)</x:f>
        <x:v>0</x:v>
      </x:c>
      <x:c r="AS1548" s="32" t="n">
        <x:f>IF(H1548=1,IF(E1548=1,AS1547-AR1547,AS1547)+AQ1548,0)</x:f>
        <x:v>0</x:v>
      </x:c>
      <x:c r="AT1548" s="11" t="n">
        <x:f>IF(AR1548&gt;0,MIN(1,AS1548/AR1548),1)</x:f>
        <x:v>1</x:v>
      </x:c>
      <x:c r="AU1548" s="10" t="n">
        <x:f>AB1548/INDEX(v01_RepScale,G1548)</x:f>
        <x:v>90.09519605746344</x:v>
      </x:c>
      <x:c r="AV1548" s="32" t="n">
        <x:f>AM1548*60/v01_SeasonSeconds</x:f>
        <x:v>0</x:v>
      </x:c>
    </x:row>
    <x:row r="1549">
      <x:c r="A1549" s="8" t="n">
        <x:f>A1548+1</x:f>
        <x:v>1546</x:v>
      </x:c>
      <x:c r="B1549" s="9" t="n">
        <x:f>A1549*v01_SeasonSeconds/60</x:f>
        <x:v>386.5</x:v>
      </x:c>
      <x:c r="C1549" s="9" t="n">
        <x:f>A1549/4</x:f>
        <x:v>386.5</x:v>
      </x:c>
      <x:c r="D1549" s="8" t="n">
        <x:f>IF(MOD(A1549,4)=0,1,0)</x:f>
        <x:v>0</x:v>
      </x:c>
      <x:c r="E1549" s="8" t="n">
        <x:f>IF(AND(F1548&lt;=9,AS1548&gt;=AR1548),1,0)</x:f>
        <x:v>0</x:v>
      </x:c>
      <x:c r="F1549" s="8" t="n">
        <x:f>MIN(10,F1548+E1549)</x:f>
        <x:v>10</x:v>
      </x:c>
      <x:c r="G1549" s="8" t="n">
        <x:f>MIN(F1549,9)+1</x:f>
        <x:v>10</x:v>
      </x:c>
      <x:c r="H1549" s="8" t="n">
        <x:f>IF(F1549&lt;=9,1,0)</x:f>
        <x:v>0</x:v>
      </x:c>
      <x:c r="I1549" s="9" t="n">
        <x:f>MIN(10,F1548+IF(AR1548&gt;0,MIN(1,AS1548/AR1548),1))</x:f>
        <x:v>10</x:v>
      </x:c>
      <x:c r="J1549" s="32" t="n">
        <x:f>INDEX(v01_FoodCap,G1549)*Arch_FoodCap*EXP(v01_CapsByProject*SUMPRODUCT((Cap_Point&lt;=I1549)*(Cap_Kind="Food")*Cap_Ln))</x:f>
        <x:v>12000</x:v>
      </x:c>
      <x:c r="K1549" s="32" t="n">
        <x:f>J1549*MIN(1,v01_LeanBase*EXP(v01_CapsByProject*SUMPRODUCT((Cap_Point&lt;=I1549)*(Cap_Kind="Lean")*Cap_Ln)))</x:f>
        <x:v>12000</x:v>
      </x:c>
      <x:c r="L1549" s="10" t="n">
        <x:f>INDEX(v01_HousingCap,G1549)*EXP(v01_CapsByProject*SUMPRODUCT((Cap_Point&lt;=I1549)*(Cap_Kind="Housing")*Cap_Ln))</x:f>
        <x:v>20000</x:v>
      </x:c>
      <x:c r="M1549" s="10" t="n">
        <x:f>INDEX(v01_GroupCap,G1549)*v01_CohesionFactor*EXP(v01_CapsByProject*SUMPRODUCT((Cap_Point&lt;=I1549)*(Cap_Kind="Group")*Cap_Ln))</x:f>
        <x:v>1000000</x:v>
      </x:c>
      <x:c r="N1549" s="32" t="n">
        <x:f>MIN(J1549,L1549,M1549)</x:f>
        <x:v>12000</x:v>
      </x:c>
      <x:c r="O1549" s="10" t="n">
        <x:f>AE1548*N1549</x:f>
        <x:v>180000</x:v>
      </x:c>
      <x:c r="P1549" s="9" t="n">
        <x:f>MIN(1,(AB1548/(AE1548*IF(v01_GroupInCrowding=1,N1549,MIN(J1549,L1549))))^v01_CrowdingExp)</x:f>
        <x:v>0.00024569414295285325</x:v>
      </x:c>
      <x:c r="Q1549" s="9" t="n">
        <x:f>IF(D1549=1,INDEX(v01_WinterMult,G1549),1)</x:f>
        <x:v>1</x:v>
      </x:c>
      <x:c r="R1549" s="9" t="n">
        <x:f>H1549*Z1548*v01_WomenShare*v01_BaseFertility*INDEX(v01_FertMult,G1549)*Arch_Fertility*(1-P1549)</x:f>
        <x:v>0</x:v>
      </x:c>
      <x:c r="S1549" s="9" t="n">
        <x:f>H1549*Y1548*INDEX(v01_MortChild,G1549)/4*Q1549</x:f>
        <x:v>0</x:v>
      </x:c>
      <x:c r="T1549" s="9" t="n">
        <x:f>H1549*Z1548*INDEX(v01_MortAdult,G1549)*Arch_AdultMort/4*Q1549</x:f>
        <x:v>0</x:v>
      </x:c>
      <x:c r="U1549" s="9" t="n">
        <x:f>H1549*AA1548*INDEX(v01_MortElder,G1549)/4*Q1549</x:f>
        <x:v>0</x:v>
      </x:c>
      <x:c r="V1549" s="9" t="n">
        <x:f>H1549*MAX(0,AB1548-O1549)*v01_OvercapLoss</x:f>
        <x:v>0</x:v>
      </x:c>
      <x:c r="W1549" s="9" t="n">
        <x:f>H1549*Y1548/(v01_ChildYears*4)</x:f>
        <x:v>0</x:v>
      </x:c>
      <x:c r="X1549" s="9" t="n">
        <x:f>H1549*Z1548/(v01_AdultYears*4)</x:f>
        <x:v>0</x:v>
      </x:c>
      <x:c r="Y1549" s="32" t="n">
        <x:f>Y1548+R1549-S1549-W1549-Y1548*V1549/AB1548</x:f>
        <x:v>14306.18539759397</x:v>
      </x:c>
      <x:c r="Z1549" s="32" t="n">
        <x:f>Z1548+W1549-X1549-T1549-Z1548*V1549/AB1548</x:f>
        <x:v>19354.456567879548</x:v>
      </x:c>
      <x:c r="AA1549" s="32" t="n">
        <x:f>AA1548+X1549-U1549-AA1548*V1549/AB1548</x:f>
        <x:v>11386.956063258198</x:v>
      </x:c>
      <x:c r="AB1549" s="10" t="n">
        <x:f>Y1549+Z1549+AA1549</x:f>
        <x:v>45047.59802873172</x:v>
      </x:c>
      <x:c r="AC1549" s="8" t="n">
        <x:f>IF(AND(v01_WinterTrigger=1,D1549=1,AB1548/AE1548&gt;=K1549),1,0)</x:f>
        <x:v>0</x:v>
      </x:c>
      <x:c r="AD1549" s="8" t="n">
        <x:f>H1549*IF(AND(OR(AB1548/AE1548&gt;=v01_FissionTrigger*N1549,AC1549=1),AB1548/AE1548*v01_DaughterShare&gt;=v01_MinDaughter),MAX(1,ROUND(AE1548*v01_FissionRate,0)),0)</x:f>
        <x:v>0</x:v>
      </x:c>
      <x:c r="AE1549" s="8" t="n">
        <x:f>IF(H1549=1,MAX(1,MIN(INDEX(v01_Smax,G1549),AE1548+AD1549)),AE1548)</x:f>
        <x:v>15</x:v>
      </x:c>
      <x:c r="AF1549" s="8" t="n">
        <x:f>MAX(0,AE1549-AE1548)</x:f>
        <x:v>0</x:v>
      </x:c>
      <x:c r="AG1549" s="9" t="str">
        <x:f>IF(AF1549&gt;0,B1549,"")</x:f>
      </x:c>
      <x:c r="AH1549" s="9" t="n">
        <x:f>IF(F1549&gt;=1,1,(1+v01_LowTiesShare*(AE1549-1))/AE1549)</x:f>
        <x:v>1</x:v>
      </x:c>
      <x:c r="AI1549" s="32" t="n">
        <x:f>(Z1549+v01_ElderCommons*INDEX(LM_Elder,G1549)*AA1549)*AH1549</x:f>
        <x:v>64139.732591141874</x:v>
      </x:c>
      <x:c r="AJ1549" s="32" t="n">
        <x:f>H1549*v01_CommonsCoef*AI1549^v01_CommonsExp*INDEX(LM_Commons,G1549)</x:f>
        <x:v>0</x:v>
      </x:c>
      <x:c r="AK1549" s="32" t="n">
        <x:f>H1549*v01_RoleScale*Arch_Roles*(AE1549*(INDEX(v01_ElderRolePerSett,G1549)*v01_OutElder*INDEX(LM_Elder,G1549)+INDEX(v01_ShamanPerSett,G1549)*v01_OutShaman)+Z1549*(INDEX(v01_PriestShare,G1549)*v01_OutPriest+INDEX(v01_ScribeShare,G1549)*v01_OutScribe*INDEX(LM_Scribe,G1549)+INDEX(v01_ScholarShare,G1549)*v01_OutScholar*INDEX(LM_Scholar,G1549)+INDEX(v01_ResearcherShare,G1549)*v01_OutResearcher*INDEX(LM_Researcher,G1549)))</x:f>
        <x:v>0</x:v>
      </x:c>
      <x:c r="AL1549" s="32" t="n">
        <x:f>H1549*v01_RoleScale*Arch_Roles*AE1549*INDEX(v01_MonasteryPerSett,G1549)*v01_OutMonastery*INDEX(LM_Monastery,G1549)</x:f>
        <x:v>0</x:v>
      </x:c>
      <x:c r="AM1549" s="32" t="n">
        <x:f>(AJ1549+AK1549+AL1549)/4*INDEX(LM_All,G1549)*INDEX(v01_Boon,G1549)*Arch_Insight</x:f>
        <x:v>0</x:v>
      </x:c>
      <x:c r="AN1549" s="32" t="n">
        <x:f>H1549*(v01_KHPerAdult*Z1549+v01_KHOfCommons*AJ1549/4*INDEX(LM_All,G1549))*v01_KHUsable*Arch_KH</x:f>
        <x:v>0</x:v>
      </x:c>
      <x:c r="AO1549" s="32" t="n">
        <x:f>MIN(AP1548+AN1549,AM1549*v01_KHMaxRatio)</x:f>
        <x:v>0</x:v>
      </x:c>
      <x:c r="AP1549" s="32" t="n">
        <x:f>AP1548+AN1549-AO1549</x:f>
        <x:v>0</x:v>
      </x:c>
      <x:c r="AQ1549" s="32" t="n">
        <x:f>AM1549+AO1549</x:f>
        <x:v>0</x:v>
      </x:c>
      <x:c r="AR1549" s="10" t="n">
        <x:f>IF(H1549=1,INDEX(v01_Req,G1549),0)</x:f>
        <x:v>0</x:v>
      </x:c>
      <x:c r="AS1549" s="32" t="n">
        <x:f>IF(H1549=1,IF(E1549=1,AS1548-AR1548,AS1548)+AQ1549,0)</x:f>
        <x:v>0</x:v>
      </x:c>
      <x:c r="AT1549" s="11" t="n">
        <x:f>IF(AR1549&gt;0,MIN(1,AS1549/AR1549),1)</x:f>
        <x:v>1</x:v>
      </x:c>
      <x:c r="AU1549" s="10" t="n">
        <x:f>AB1549/INDEX(v01_RepScale,G1549)</x:f>
        <x:v>90.09519605746344</x:v>
      </x:c>
      <x:c r="AV1549" s="32" t="n">
        <x:f>AM1549*60/v01_SeasonSeconds</x:f>
        <x:v>0</x:v>
      </x:c>
    </x:row>
    <x:row r="1550">
      <x:c r="A1550" s="8" t="n">
        <x:f>A1549+1</x:f>
        <x:v>1547</x:v>
      </x:c>
      <x:c r="B1550" s="9" t="n">
        <x:f>A1550*v01_SeasonSeconds/60</x:f>
        <x:v>386.75</x:v>
      </x:c>
      <x:c r="C1550" s="9" t="n">
        <x:f>A1550/4</x:f>
        <x:v>386.75</x:v>
      </x:c>
      <x:c r="D1550" s="8" t="n">
        <x:f>IF(MOD(A1550,4)=0,1,0)</x:f>
        <x:v>0</x:v>
      </x:c>
      <x:c r="E1550" s="8" t="n">
        <x:f>IF(AND(F1549&lt;=9,AS1549&gt;=AR1549),1,0)</x:f>
        <x:v>0</x:v>
      </x:c>
      <x:c r="F1550" s="8" t="n">
        <x:f>MIN(10,F1549+E1550)</x:f>
        <x:v>10</x:v>
      </x:c>
      <x:c r="G1550" s="8" t="n">
        <x:f>MIN(F1550,9)+1</x:f>
        <x:v>10</x:v>
      </x:c>
      <x:c r="H1550" s="8" t="n">
        <x:f>IF(F1550&lt;=9,1,0)</x:f>
        <x:v>0</x:v>
      </x:c>
      <x:c r="I1550" s="9" t="n">
        <x:f>MIN(10,F1549+IF(AR1549&gt;0,MIN(1,AS1549/AR1549),1))</x:f>
        <x:v>10</x:v>
      </x:c>
      <x:c r="J1550" s="32" t="n">
        <x:f>INDEX(v01_FoodCap,G1550)*Arch_FoodCap*EXP(v01_CapsByProject*SUMPRODUCT((Cap_Point&lt;=I1550)*(Cap_Kind="Food")*Cap_Ln))</x:f>
        <x:v>12000</x:v>
      </x:c>
      <x:c r="K1550" s="32" t="n">
        <x:f>J1550*MIN(1,v01_LeanBase*EXP(v01_CapsByProject*SUMPRODUCT((Cap_Point&lt;=I1550)*(Cap_Kind="Lean")*Cap_Ln)))</x:f>
        <x:v>12000</x:v>
      </x:c>
      <x:c r="L1550" s="10" t="n">
        <x:f>INDEX(v01_HousingCap,G1550)*EXP(v01_CapsByProject*SUMPRODUCT((Cap_Point&lt;=I1550)*(Cap_Kind="Housing")*Cap_Ln))</x:f>
        <x:v>20000</x:v>
      </x:c>
      <x:c r="M1550" s="10" t="n">
        <x:f>INDEX(v01_GroupCap,G1550)*v01_CohesionFactor*EXP(v01_CapsByProject*SUMPRODUCT((Cap_Point&lt;=I1550)*(Cap_Kind="Group")*Cap_Ln))</x:f>
        <x:v>1000000</x:v>
      </x:c>
      <x:c r="N1550" s="32" t="n">
        <x:f>MIN(J1550,L1550,M1550)</x:f>
        <x:v>12000</x:v>
      </x:c>
      <x:c r="O1550" s="10" t="n">
        <x:f>AE1549*N1550</x:f>
        <x:v>180000</x:v>
      </x:c>
      <x:c r="P1550" s="9" t="n">
        <x:f>MIN(1,(AB1549/(AE1549*IF(v01_GroupInCrowding=1,N1550,MIN(J1550,L1550))))^v01_CrowdingExp)</x:f>
        <x:v>0.00024569414295285325</x:v>
      </x:c>
      <x:c r="Q1550" s="9" t="n">
        <x:f>IF(D1550=1,INDEX(v01_WinterMult,G1550),1)</x:f>
        <x:v>1</x:v>
      </x:c>
      <x:c r="R1550" s="9" t="n">
        <x:f>H1550*Z1549*v01_WomenShare*v01_BaseFertility*INDEX(v01_FertMult,G1550)*Arch_Fertility*(1-P1550)</x:f>
        <x:v>0</x:v>
      </x:c>
      <x:c r="S1550" s="9" t="n">
        <x:f>H1550*Y1549*INDEX(v01_MortChild,G1550)/4*Q1550</x:f>
        <x:v>0</x:v>
      </x:c>
      <x:c r="T1550" s="9" t="n">
        <x:f>H1550*Z1549*INDEX(v01_MortAdult,G1550)*Arch_AdultMort/4*Q1550</x:f>
        <x:v>0</x:v>
      </x:c>
      <x:c r="U1550" s="9" t="n">
        <x:f>H1550*AA1549*INDEX(v01_MortElder,G1550)/4*Q1550</x:f>
        <x:v>0</x:v>
      </x:c>
      <x:c r="V1550" s="9" t="n">
        <x:f>H1550*MAX(0,AB1549-O1550)*v01_OvercapLoss</x:f>
        <x:v>0</x:v>
      </x:c>
      <x:c r="W1550" s="9" t="n">
        <x:f>H1550*Y1549/(v01_ChildYears*4)</x:f>
        <x:v>0</x:v>
      </x:c>
      <x:c r="X1550" s="9" t="n">
        <x:f>H1550*Z1549/(v01_AdultYears*4)</x:f>
        <x:v>0</x:v>
      </x:c>
      <x:c r="Y1550" s="32" t="n">
        <x:f>Y1549+R1550-S1550-W1550-Y1549*V1550/AB1549</x:f>
        <x:v>14306.18539759397</x:v>
      </x:c>
      <x:c r="Z1550" s="32" t="n">
        <x:f>Z1549+W1550-X1550-T1550-Z1549*V1550/AB1549</x:f>
        <x:v>19354.456567879548</x:v>
      </x:c>
      <x:c r="AA1550" s="32" t="n">
        <x:f>AA1549+X1550-U1550-AA1549*V1550/AB1549</x:f>
        <x:v>11386.956063258198</x:v>
      </x:c>
      <x:c r="AB1550" s="10" t="n">
        <x:f>Y1550+Z1550+AA1550</x:f>
        <x:v>45047.59802873172</x:v>
      </x:c>
      <x:c r="AC1550" s="8" t="n">
        <x:f>IF(AND(v01_WinterTrigger=1,D1550=1,AB1549/AE1549&gt;=K1550),1,0)</x:f>
        <x:v>0</x:v>
      </x:c>
      <x:c r="AD1550" s="8" t="n">
        <x:f>H1550*IF(AND(OR(AB1549/AE1549&gt;=v01_FissionTrigger*N1550,AC1550=1),AB1549/AE1549*v01_DaughterShare&gt;=v01_MinDaughter),MAX(1,ROUND(AE1549*v01_FissionRate,0)),0)</x:f>
        <x:v>0</x:v>
      </x:c>
      <x:c r="AE1550" s="8" t="n">
        <x:f>IF(H1550=1,MAX(1,MIN(INDEX(v01_Smax,G1550),AE1549+AD1550)),AE1549)</x:f>
        <x:v>15</x:v>
      </x:c>
      <x:c r="AF1550" s="8" t="n">
        <x:f>MAX(0,AE1550-AE1549)</x:f>
        <x:v>0</x:v>
      </x:c>
      <x:c r="AG1550" s="9" t="str">
        <x:f>IF(AF1550&gt;0,B1550,"")</x:f>
      </x:c>
      <x:c r="AH1550" s="9" t="n">
        <x:f>IF(F1550&gt;=1,1,(1+v01_LowTiesShare*(AE1550-1))/AE1550)</x:f>
        <x:v>1</x:v>
      </x:c>
      <x:c r="AI1550" s="32" t="n">
        <x:f>(Z1550+v01_ElderCommons*INDEX(LM_Elder,G1550)*AA1550)*AH1550</x:f>
        <x:v>64139.732591141874</x:v>
      </x:c>
      <x:c r="AJ1550" s="32" t="n">
        <x:f>H1550*v01_CommonsCoef*AI1550^v01_CommonsExp*INDEX(LM_Commons,G1550)</x:f>
        <x:v>0</x:v>
      </x:c>
      <x:c r="AK1550" s="32" t="n">
        <x:f>H1550*v01_RoleScale*Arch_Roles*(AE1550*(INDEX(v01_ElderRolePerSett,G1550)*v01_OutElder*INDEX(LM_Elder,G1550)+INDEX(v01_ShamanPerSett,G1550)*v01_OutShaman)+Z1550*(INDEX(v01_PriestShare,G1550)*v01_OutPriest+INDEX(v01_ScribeShare,G1550)*v01_OutScribe*INDEX(LM_Scribe,G1550)+INDEX(v01_ScholarShare,G1550)*v01_OutScholar*INDEX(LM_Scholar,G1550)+INDEX(v01_ResearcherShare,G1550)*v01_OutResearcher*INDEX(LM_Researcher,G1550)))</x:f>
        <x:v>0</x:v>
      </x:c>
      <x:c r="AL1550" s="32" t="n">
        <x:f>H1550*v01_RoleScale*Arch_Roles*AE1550*INDEX(v01_MonasteryPerSett,G1550)*v01_OutMonastery*INDEX(LM_Monastery,G1550)</x:f>
        <x:v>0</x:v>
      </x:c>
      <x:c r="AM1550" s="32" t="n">
        <x:f>(AJ1550+AK1550+AL1550)/4*INDEX(LM_All,G1550)*INDEX(v01_Boon,G1550)*Arch_Insight</x:f>
        <x:v>0</x:v>
      </x:c>
      <x:c r="AN1550" s="32" t="n">
        <x:f>H1550*(v01_KHPerAdult*Z1550+v01_KHOfCommons*AJ1550/4*INDEX(LM_All,G1550))*v01_KHUsable*Arch_KH</x:f>
        <x:v>0</x:v>
      </x:c>
      <x:c r="AO1550" s="32" t="n">
        <x:f>MIN(AP1549+AN1550,AM1550*v01_KHMaxRatio)</x:f>
        <x:v>0</x:v>
      </x:c>
      <x:c r="AP1550" s="32" t="n">
        <x:f>AP1549+AN1550-AO1550</x:f>
        <x:v>0</x:v>
      </x:c>
      <x:c r="AQ1550" s="32" t="n">
        <x:f>AM1550+AO1550</x:f>
        <x:v>0</x:v>
      </x:c>
      <x:c r="AR1550" s="10" t="n">
        <x:f>IF(H1550=1,INDEX(v01_Req,G1550),0)</x:f>
        <x:v>0</x:v>
      </x:c>
      <x:c r="AS1550" s="32" t="n">
        <x:f>IF(H1550=1,IF(E1550=1,AS1549-AR1549,AS1549)+AQ1550,0)</x:f>
        <x:v>0</x:v>
      </x:c>
      <x:c r="AT1550" s="11" t="n">
        <x:f>IF(AR1550&gt;0,MIN(1,AS1550/AR1550),1)</x:f>
        <x:v>1</x:v>
      </x:c>
      <x:c r="AU1550" s="10" t="n">
        <x:f>AB1550/INDEX(v01_RepScale,G1550)</x:f>
        <x:v>90.09519605746344</x:v>
      </x:c>
      <x:c r="AV1550" s="32" t="n">
        <x:f>AM1550*60/v01_SeasonSeconds</x:f>
        <x:v>0</x:v>
      </x:c>
    </x:row>
    <x:row r="1551">
      <x:c r="A1551" s="8" t="n">
        <x:f>A1550+1</x:f>
        <x:v>1548</x:v>
      </x:c>
      <x:c r="B1551" s="9" t="n">
        <x:f>A1551*v01_SeasonSeconds/60</x:f>
        <x:v>387</x:v>
      </x:c>
      <x:c r="C1551" s="9" t="n">
        <x:f>A1551/4</x:f>
        <x:v>387</x:v>
      </x:c>
      <x:c r="D1551" s="8" t="n">
        <x:f>IF(MOD(A1551,4)=0,1,0)</x:f>
        <x:v>1</x:v>
      </x:c>
      <x:c r="E1551" s="8" t="n">
        <x:f>IF(AND(F1550&lt;=9,AS1550&gt;=AR1550),1,0)</x:f>
        <x:v>0</x:v>
      </x:c>
      <x:c r="F1551" s="8" t="n">
        <x:f>MIN(10,F1550+E1551)</x:f>
        <x:v>10</x:v>
      </x:c>
      <x:c r="G1551" s="8" t="n">
        <x:f>MIN(F1551,9)+1</x:f>
        <x:v>10</x:v>
      </x:c>
      <x:c r="H1551" s="8" t="n">
        <x:f>IF(F1551&lt;=9,1,0)</x:f>
        <x:v>0</x:v>
      </x:c>
      <x:c r="I1551" s="9" t="n">
        <x:f>MIN(10,F1550+IF(AR1550&gt;0,MIN(1,AS1550/AR1550),1))</x:f>
        <x:v>10</x:v>
      </x:c>
      <x:c r="J1551" s="32" t="n">
        <x:f>INDEX(v01_FoodCap,G1551)*Arch_FoodCap*EXP(v01_CapsByProject*SUMPRODUCT((Cap_Point&lt;=I1551)*(Cap_Kind="Food")*Cap_Ln))</x:f>
        <x:v>12000</x:v>
      </x:c>
      <x:c r="K1551" s="32" t="n">
        <x:f>J1551*MIN(1,v01_LeanBase*EXP(v01_CapsByProject*SUMPRODUCT((Cap_Point&lt;=I1551)*(Cap_Kind="Lean")*Cap_Ln)))</x:f>
        <x:v>12000</x:v>
      </x:c>
      <x:c r="L1551" s="10" t="n">
        <x:f>INDEX(v01_HousingCap,G1551)*EXP(v01_CapsByProject*SUMPRODUCT((Cap_Point&lt;=I1551)*(Cap_Kind="Housing")*Cap_Ln))</x:f>
        <x:v>20000</x:v>
      </x:c>
      <x:c r="M1551" s="10" t="n">
        <x:f>INDEX(v01_GroupCap,G1551)*v01_CohesionFactor*EXP(v01_CapsByProject*SUMPRODUCT((Cap_Point&lt;=I1551)*(Cap_Kind="Group")*Cap_Ln))</x:f>
        <x:v>1000000</x:v>
      </x:c>
      <x:c r="N1551" s="32" t="n">
        <x:f>MIN(J1551,L1551,M1551)</x:f>
        <x:v>12000</x:v>
      </x:c>
      <x:c r="O1551" s="10" t="n">
        <x:f>AE1550*N1551</x:f>
        <x:v>180000</x:v>
      </x:c>
      <x:c r="P1551" s="9" t="n">
        <x:f>MIN(1,(AB1550/(AE1550*IF(v01_GroupInCrowding=1,N1551,MIN(J1551,L1551))))^v01_CrowdingExp)</x:f>
        <x:v>0.00024569414295285325</x:v>
      </x:c>
      <x:c r="Q1551" s="9" t="n">
        <x:f>IF(D1551=1,INDEX(v01_WinterMult,G1551),1)</x:f>
        <x:v>1</x:v>
      </x:c>
      <x:c r="R1551" s="9" t="n">
        <x:f>H1551*Z1550*v01_WomenShare*v01_BaseFertility*INDEX(v01_FertMult,G1551)*Arch_Fertility*(1-P1551)</x:f>
        <x:v>0</x:v>
      </x:c>
      <x:c r="S1551" s="9" t="n">
        <x:f>H1551*Y1550*INDEX(v01_MortChild,G1551)/4*Q1551</x:f>
        <x:v>0</x:v>
      </x:c>
      <x:c r="T1551" s="9" t="n">
        <x:f>H1551*Z1550*INDEX(v01_MortAdult,G1551)*Arch_AdultMort/4*Q1551</x:f>
        <x:v>0</x:v>
      </x:c>
      <x:c r="U1551" s="9" t="n">
        <x:f>H1551*AA1550*INDEX(v01_MortElder,G1551)/4*Q1551</x:f>
        <x:v>0</x:v>
      </x:c>
      <x:c r="V1551" s="9" t="n">
        <x:f>H1551*MAX(0,AB1550-O1551)*v01_OvercapLoss</x:f>
        <x:v>0</x:v>
      </x:c>
      <x:c r="W1551" s="9" t="n">
        <x:f>H1551*Y1550/(v01_ChildYears*4)</x:f>
        <x:v>0</x:v>
      </x:c>
      <x:c r="X1551" s="9" t="n">
        <x:f>H1551*Z1550/(v01_AdultYears*4)</x:f>
        <x:v>0</x:v>
      </x:c>
      <x:c r="Y1551" s="32" t="n">
        <x:f>Y1550+R1551-S1551-W1551-Y1550*V1551/AB1550</x:f>
        <x:v>14306.18539759397</x:v>
      </x:c>
      <x:c r="Z1551" s="32" t="n">
        <x:f>Z1550+W1551-X1551-T1551-Z1550*V1551/AB1550</x:f>
        <x:v>19354.456567879548</x:v>
      </x:c>
      <x:c r="AA1551" s="32" t="n">
        <x:f>AA1550+X1551-U1551-AA1550*V1551/AB1550</x:f>
        <x:v>11386.956063258198</x:v>
      </x:c>
      <x:c r="AB1551" s="10" t="n">
        <x:f>Y1551+Z1551+AA1551</x:f>
        <x:v>45047.59802873172</x:v>
      </x:c>
      <x:c r="AC1551" s="8" t="n">
        <x:f>IF(AND(v01_WinterTrigger=1,D1551=1,AB1550/AE1550&gt;=K1551),1,0)</x:f>
        <x:v>0</x:v>
      </x:c>
      <x:c r="AD1551" s="8" t="n">
        <x:f>H1551*IF(AND(OR(AB1550/AE1550&gt;=v01_FissionTrigger*N1551,AC1551=1),AB1550/AE1550*v01_DaughterShare&gt;=v01_MinDaughter),MAX(1,ROUND(AE1550*v01_FissionRate,0)),0)</x:f>
        <x:v>0</x:v>
      </x:c>
      <x:c r="AE1551" s="8" t="n">
        <x:f>IF(H1551=1,MAX(1,MIN(INDEX(v01_Smax,G1551),AE1550+AD1551)),AE1550)</x:f>
        <x:v>15</x:v>
      </x:c>
      <x:c r="AF1551" s="8" t="n">
        <x:f>MAX(0,AE1551-AE1550)</x:f>
        <x:v>0</x:v>
      </x:c>
      <x:c r="AG1551" s="9" t="str">
        <x:f>IF(AF1551&gt;0,B1551,"")</x:f>
      </x:c>
      <x:c r="AH1551" s="9" t="n">
        <x:f>IF(F1551&gt;=1,1,(1+v01_LowTiesShare*(AE1551-1))/AE1551)</x:f>
        <x:v>1</x:v>
      </x:c>
      <x:c r="AI1551" s="32" t="n">
        <x:f>(Z1551+v01_ElderCommons*INDEX(LM_Elder,G1551)*AA1551)*AH1551</x:f>
        <x:v>64139.732591141874</x:v>
      </x:c>
      <x:c r="AJ1551" s="32" t="n">
        <x:f>H1551*v01_CommonsCoef*AI1551^v01_CommonsExp*INDEX(LM_Commons,G1551)</x:f>
        <x:v>0</x:v>
      </x:c>
      <x:c r="AK1551" s="32" t="n">
        <x:f>H1551*v01_RoleScale*Arch_Roles*(AE1551*(INDEX(v01_ElderRolePerSett,G1551)*v01_OutElder*INDEX(LM_Elder,G1551)+INDEX(v01_ShamanPerSett,G1551)*v01_OutShaman)+Z1551*(INDEX(v01_PriestShare,G1551)*v01_OutPriest+INDEX(v01_ScribeShare,G1551)*v01_OutScribe*INDEX(LM_Scribe,G1551)+INDEX(v01_ScholarShare,G1551)*v01_OutScholar*INDEX(LM_Scholar,G1551)+INDEX(v01_ResearcherShare,G1551)*v01_OutResearcher*INDEX(LM_Researcher,G1551)))</x:f>
        <x:v>0</x:v>
      </x:c>
      <x:c r="AL1551" s="32" t="n">
        <x:f>H1551*v01_RoleScale*Arch_Roles*AE1551*INDEX(v01_MonasteryPerSett,G1551)*v01_OutMonastery*INDEX(LM_Monastery,G1551)</x:f>
        <x:v>0</x:v>
      </x:c>
      <x:c r="AM1551" s="32" t="n">
        <x:f>(AJ1551+AK1551+AL1551)/4*INDEX(LM_All,G1551)*INDEX(v01_Boon,G1551)*Arch_Insight</x:f>
        <x:v>0</x:v>
      </x:c>
      <x:c r="AN1551" s="32" t="n">
        <x:f>H1551*(v01_KHPerAdult*Z1551+v01_KHOfCommons*AJ1551/4*INDEX(LM_All,G1551))*v01_KHUsable*Arch_KH</x:f>
        <x:v>0</x:v>
      </x:c>
      <x:c r="AO1551" s="32" t="n">
        <x:f>MIN(AP1550+AN1551,AM1551*v01_KHMaxRatio)</x:f>
        <x:v>0</x:v>
      </x:c>
      <x:c r="AP1551" s="32" t="n">
        <x:f>AP1550+AN1551-AO1551</x:f>
        <x:v>0</x:v>
      </x:c>
      <x:c r="AQ1551" s="32" t="n">
        <x:f>AM1551+AO1551</x:f>
        <x:v>0</x:v>
      </x:c>
      <x:c r="AR1551" s="10" t="n">
        <x:f>IF(H1551=1,INDEX(v01_Req,G1551),0)</x:f>
        <x:v>0</x:v>
      </x:c>
      <x:c r="AS1551" s="32" t="n">
        <x:f>IF(H1551=1,IF(E1551=1,AS1550-AR1550,AS1550)+AQ1551,0)</x:f>
        <x:v>0</x:v>
      </x:c>
      <x:c r="AT1551" s="11" t="n">
        <x:f>IF(AR1551&gt;0,MIN(1,AS1551/AR1551),1)</x:f>
        <x:v>1</x:v>
      </x:c>
      <x:c r="AU1551" s="10" t="n">
        <x:f>AB1551/INDEX(v01_RepScale,G1551)</x:f>
        <x:v>90.09519605746344</x:v>
      </x:c>
      <x:c r="AV1551" s="32" t="n">
        <x:f>AM1551*60/v01_SeasonSeconds</x:f>
        <x:v>0</x:v>
      </x:c>
    </x:row>
    <x:row r="1552">
      <x:c r="A1552" s="8" t="n">
        <x:f>A1551+1</x:f>
        <x:v>1549</x:v>
      </x:c>
      <x:c r="B1552" s="9" t="n">
        <x:f>A1552*v01_SeasonSeconds/60</x:f>
        <x:v>387.25</x:v>
      </x:c>
      <x:c r="C1552" s="9" t="n">
        <x:f>A1552/4</x:f>
        <x:v>387.25</x:v>
      </x:c>
      <x:c r="D1552" s="8" t="n">
        <x:f>IF(MOD(A1552,4)=0,1,0)</x:f>
        <x:v>0</x:v>
      </x:c>
      <x:c r="E1552" s="8" t="n">
        <x:f>IF(AND(F1551&lt;=9,AS1551&gt;=AR1551),1,0)</x:f>
        <x:v>0</x:v>
      </x:c>
      <x:c r="F1552" s="8" t="n">
        <x:f>MIN(10,F1551+E1552)</x:f>
        <x:v>10</x:v>
      </x:c>
      <x:c r="G1552" s="8" t="n">
        <x:f>MIN(F1552,9)+1</x:f>
        <x:v>10</x:v>
      </x:c>
      <x:c r="H1552" s="8" t="n">
        <x:f>IF(F1552&lt;=9,1,0)</x:f>
        <x:v>0</x:v>
      </x:c>
      <x:c r="I1552" s="9" t="n">
        <x:f>MIN(10,F1551+IF(AR1551&gt;0,MIN(1,AS1551/AR1551),1))</x:f>
        <x:v>10</x:v>
      </x:c>
      <x:c r="J1552" s="32" t="n">
        <x:f>INDEX(v01_FoodCap,G1552)*Arch_FoodCap*EXP(v01_CapsByProject*SUMPRODUCT((Cap_Point&lt;=I1552)*(Cap_Kind="Food")*Cap_Ln))</x:f>
        <x:v>12000</x:v>
      </x:c>
      <x:c r="K1552" s="32" t="n">
        <x:f>J1552*MIN(1,v01_LeanBase*EXP(v01_CapsByProject*SUMPRODUCT((Cap_Point&lt;=I1552)*(Cap_Kind="Lean")*Cap_Ln)))</x:f>
        <x:v>12000</x:v>
      </x:c>
      <x:c r="L1552" s="10" t="n">
        <x:f>INDEX(v01_HousingCap,G1552)*EXP(v01_CapsByProject*SUMPRODUCT((Cap_Point&lt;=I1552)*(Cap_Kind="Housing")*Cap_Ln))</x:f>
        <x:v>20000</x:v>
      </x:c>
      <x:c r="M1552" s="10" t="n">
        <x:f>INDEX(v01_GroupCap,G1552)*v01_CohesionFactor*EXP(v01_CapsByProject*SUMPRODUCT((Cap_Point&lt;=I1552)*(Cap_Kind="Group")*Cap_Ln))</x:f>
        <x:v>1000000</x:v>
      </x:c>
      <x:c r="N1552" s="32" t="n">
        <x:f>MIN(J1552,L1552,M1552)</x:f>
        <x:v>12000</x:v>
      </x:c>
      <x:c r="O1552" s="10" t="n">
        <x:f>AE1551*N1552</x:f>
        <x:v>180000</x:v>
      </x:c>
      <x:c r="P1552" s="9" t="n">
        <x:f>MIN(1,(AB1551/(AE1551*IF(v01_GroupInCrowding=1,N1552,MIN(J1552,L1552))))^v01_CrowdingExp)</x:f>
        <x:v>0.00024569414295285325</x:v>
      </x:c>
      <x:c r="Q1552" s="9" t="n">
        <x:f>IF(D1552=1,INDEX(v01_WinterMult,G1552),1)</x:f>
        <x:v>1</x:v>
      </x:c>
      <x:c r="R1552" s="9" t="n">
        <x:f>H1552*Z1551*v01_WomenShare*v01_BaseFertility*INDEX(v01_FertMult,G1552)*Arch_Fertility*(1-P1552)</x:f>
        <x:v>0</x:v>
      </x:c>
      <x:c r="S1552" s="9" t="n">
        <x:f>H1552*Y1551*INDEX(v01_MortChild,G1552)/4*Q1552</x:f>
        <x:v>0</x:v>
      </x:c>
      <x:c r="T1552" s="9" t="n">
        <x:f>H1552*Z1551*INDEX(v01_MortAdult,G1552)*Arch_AdultMort/4*Q1552</x:f>
        <x:v>0</x:v>
      </x:c>
      <x:c r="U1552" s="9" t="n">
        <x:f>H1552*AA1551*INDEX(v01_MortElder,G1552)/4*Q1552</x:f>
        <x:v>0</x:v>
      </x:c>
      <x:c r="V1552" s="9" t="n">
        <x:f>H1552*MAX(0,AB1551-O1552)*v01_OvercapLoss</x:f>
        <x:v>0</x:v>
      </x:c>
      <x:c r="W1552" s="9" t="n">
        <x:f>H1552*Y1551/(v01_ChildYears*4)</x:f>
        <x:v>0</x:v>
      </x:c>
      <x:c r="X1552" s="9" t="n">
        <x:f>H1552*Z1551/(v01_AdultYears*4)</x:f>
        <x:v>0</x:v>
      </x:c>
      <x:c r="Y1552" s="32" t="n">
        <x:f>Y1551+R1552-S1552-W1552-Y1551*V1552/AB1551</x:f>
        <x:v>14306.18539759397</x:v>
      </x:c>
      <x:c r="Z1552" s="32" t="n">
        <x:f>Z1551+W1552-X1552-T1552-Z1551*V1552/AB1551</x:f>
        <x:v>19354.456567879548</x:v>
      </x:c>
      <x:c r="AA1552" s="32" t="n">
        <x:f>AA1551+X1552-U1552-AA1551*V1552/AB1551</x:f>
        <x:v>11386.956063258198</x:v>
      </x:c>
      <x:c r="AB1552" s="10" t="n">
        <x:f>Y1552+Z1552+AA1552</x:f>
        <x:v>45047.59802873172</x:v>
      </x:c>
      <x:c r="AC1552" s="8" t="n">
        <x:f>IF(AND(v01_WinterTrigger=1,D1552=1,AB1551/AE1551&gt;=K1552),1,0)</x:f>
        <x:v>0</x:v>
      </x:c>
      <x:c r="AD1552" s="8" t="n">
        <x:f>H1552*IF(AND(OR(AB1551/AE1551&gt;=v01_FissionTrigger*N1552,AC1552=1),AB1551/AE1551*v01_DaughterShare&gt;=v01_MinDaughter),MAX(1,ROUND(AE1551*v01_FissionRate,0)),0)</x:f>
        <x:v>0</x:v>
      </x:c>
      <x:c r="AE1552" s="8" t="n">
        <x:f>IF(H1552=1,MAX(1,MIN(INDEX(v01_Smax,G1552),AE1551+AD1552)),AE1551)</x:f>
        <x:v>15</x:v>
      </x:c>
      <x:c r="AF1552" s="8" t="n">
        <x:f>MAX(0,AE1552-AE1551)</x:f>
        <x:v>0</x:v>
      </x:c>
      <x:c r="AG1552" s="9" t="str">
        <x:f>IF(AF1552&gt;0,B1552,"")</x:f>
      </x:c>
      <x:c r="AH1552" s="9" t="n">
        <x:f>IF(F1552&gt;=1,1,(1+v01_LowTiesShare*(AE1552-1))/AE1552)</x:f>
        <x:v>1</x:v>
      </x:c>
      <x:c r="AI1552" s="32" t="n">
        <x:f>(Z1552+v01_ElderCommons*INDEX(LM_Elder,G1552)*AA1552)*AH1552</x:f>
        <x:v>64139.732591141874</x:v>
      </x:c>
      <x:c r="AJ1552" s="32" t="n">
        <x:f>H1552*v01_CommonsCoef*AI1552^v01_CommonsExp*INDEX(LM_Commons,G1552)</x:f>
        <x:v>0</x:v>
      </x:c>
      <x:c r="AK1552" s="32" t="n">
        <x:f>H1552*v01_RoleScale*Arch_Roles*(AE1552*(INDEX(v01_ElderRolePerSett,G1552)*v01_OutElder*INDEX(LM_Elder,G1552)+INDEX(v01_ShamanPerSett,G1552)*v01_OutShaman)+Z1552*(INDEX(v01_PriestShare,G1552)*v01_OutPriest+INDEX(v01_ScribeShare,G1552)*v01_OutScribe*INDEX(LM_Scribe,G1552)+INDEX(v01_ScholarShare,G1552)*v01_OutScholar*INDEX(LM_Scholar,G1552)+INDEX(v01_ResearcherShare,G1552)*v01_OutResearcher*INDEX(LM_Researcher,G1552)))</x:f>
        <x:v>0</x:v>
      </x:c>
      <x:c r="AL1552" s="32" t="n">
        <x:f>H1552*v01_RoleScale*Arch_Roles*AE1552*INDEX(v01_MonasteryPerSett,G1552)*v01_OutMonastery*INDEX(LM_Monastery,G1552)</x:f>
        <x:v>0</x:v>
      </x:c>
      <x:c r="AM1552" s="32" t="n">
        <x:f>(AJ1552+AK1552+AL1552)/4*INDEX(LM_All,G1552)*INDEX(v01_Boon,G1552)*Arch_Insight</x:f>
        <x:v>0</x:v>
      </x:c>
      <x:c r="AN1552" s="32" t="n">
        <x:f>H1552*(v01_KHPerAdult*Z1552+v01_KHOfCommons*AJ1552/4*INDEX(LM_All,G1552))*v01_KHUsable*Arch_KH</x:f>
        <x:v>0</x:v>
      </x:c>
      <x:c r="AO1552" s="32" t="n">
        <x:f>MIN(AP1551+AN1552,AM1552*v01_KHMaxRatio)</x:f>
        <x:v>0</x:v>
      </x:c>
      <x:c r="AP1552" s="32" t="n">
        <x:f>AP1551+AN1552-AO1552</x:f>
        <x:v>0</x:v>
      </x:c>
      <x:c r="AQ1552" s="32" t="n">
        <x:f>AM1552+AO1552</x:f>
        <x:v>0</x:v>
      </x:c>
      <x:c r="AR1552" s="10" t="n">
        <x:f>IF(H1552=1,INDEX(v01_Req,G1552),0)</x:f>
        <x:v>0</x:v>
      </x:c>
      <x:c r="AS1552" s="32" t="n">
        <x:f>IF(H1552=1,IF(E1552=1,AS1551-AR1551,AS1551)+AQ1552,0)</x:f>
        <x:v>0</x:v>
      </x:c>
      <x:c r="AT1552" s="11" t="n">
        <x:f>IF(AR1552&gt;0,MIN(1,AS1552/AR1552),1)</x:f>
        <x:v>1</x:v>
      </x:c>
      <x:c r="AU1552" s="10" t="n">
        <x:f>AB1552/INDEX(v01_RepScale,G1552)</x:f>
        <x:v>90.09519605746344</x:v>
      </x:c>
      <x:c r="AV1552" s="32" t="n">
        <x:f>AM1552*60/v01_SeasonSeconds</x:f>
        <x:v>0</x:v>
      </x:c>
    </x:row>
    <x:row r="1553">
      <x:c r="A1553" s="8" t="n">
        <x:f>A1552+1</x:f>
        <x:v>1550</x:v>
      </x:c>
      <x:c r="B1553" s="9" t="n">
        <x:f>A1553*v01_SeasonSeconds/60</x:f>
        <x:v>387.5</x:v>
      </x:c>
      <x:c r="C1553" s="9" t="n">
        <x:f>A1553/4</x:f>
        <x:v>387.5</x:v>
      </x:c>
      <x:c r="D1553" s="8" t="n">
        <x:f>IF(MOD(A1553,4)=0,1,0)</x:f>
        <x:v>0</x:v>
      </x:c>
      <x:c r="E1553" s="8" t="n">
        <x:f>IF(AND(F1552&lt;=9,AS1552&gt;=AR1552),1,0)</x:f>
        <x:v>0</x:v>
      </x:c>
      <x:c r="F1553" s="8" t="n">
        <x:f>MIN(10,F1552+E1553)</x:f>
        <x:v>10</x:v>
      </x:c>
      <x:c r="G1553" s="8" t="n">
        <x:f>MIN(F1553,9)+1</x:f>
        <x:v>10</x:v>
      </x:c>
      <x:c r="H1553" s="8" t="n">
        <x:f>IF(F1553&lt;=9,1,0)</x:f>
        <x:v>0</x:v>
      </x:c>
      <x:c r="I1553" s="9" t="n">
        <x:f>MIN(10,F1552+IF(AR1552&gt;0,MIN(1,AS1552/AR1552),1))</x:f>
        <x:v>10</x:v>
      </x:c>
      <x:c r="J1553" s="32" t="n">
        <x:f>INDEX(v01_FoodCap,G1553)*Arch_FoodCap*EXP(v01_CapsByProject*SUMPRODUCT((Cap_Point&lt;=I1553)*(Cap_Kind="Food")*Cap_Ln))</x:f>
        <x:v>12000</x:v>
      </x:c>
      <x:c r="K1553" s="32" t="n">
        <x:f>J1553*MIN(1,v01_LeanBase*EXP(v01_CapsByProject*SUMPRODUCT((Cap_Point&lt;=I1553)*(Cap_Kind="Lean")*Cap_Ln)))</x:f>
        <x:v>12000</x:v>
      </x:c>
      <x:c r="L1553" s="10" t="n">
        <x:f>INDEX(v01_HousingCap,G1553)*EXP(v01_CapsByProject*SUMPRODUCT((Cap_Point&lt;=I1553)*(Cap_Kind="Housing")*Cap_Ln))</x:f>
        <x:v>20000</x:v>
      </x:c>
      <x:c r="M1553" s="10" t="n">
        <x:f>INDEX(v01_GroupCap,G1553)*v01_CohesionFactor*EXP(v01_CapsByProject*SUMPRODUCT((Cap_Point&lt;=I1553)*(Cap_Kind="Group")*Cap_Ln))</x:f>
        <x:v>1000000</x:v>
      </x:c>
      <x:c r="N1553" s="32" t="n">
        <x:f>MIN(J1553,L1553,M1553)</x:f>
        <x:v>12000</x:v>
      </x:c>
      <x:c r="O1553" s="10" t="n">
        <x:f>AE1552*N1553</x:f>
        <x:v>180000</x:v>
      </x:c>
      <x:c r="P1553" s="9" t="n">
        <x:f>MIN(1,(AB1552/(AE1552*IF(v01_GroupInCrowding=1,N1553,MIN(J1553,L1553))))^v01_CrowdingExp)</x:f>
        <x:v>0.00024569414295285325</x:v>
      </x:c>
      <x:c r="Q1553" s="9" t="n">
        <x:f>IF(D1553=1,INDEX(v01_WinterMult,G1553),1)</x:f>
        <x:v>1</x:v>
      </x:c>
      <x:c r="R1553" s="9" t="n">
        <x:f>H1553*Z1552*v01_WomenShare*v01_BaseFertility*INDEX(v01_FertMult,G1553)*Arch_Fertility*(1-P1553)</x:f>
        <x:v>0</x:v>
      </x:c>
      <x:c r="S1553" s="9" t="n">
        <x:f>H1553*Y1552*INDEX(v01_MortChild,G1553)/4*Q1553</x:f>
        <x:v>0</x:v>
      </x:c>
      <x:c r="T1553" s="9" t="n">
        <x:f>H1553*Z1552*INDEX(v01_MortAdult,G1553)*Arch_AdultMort/4*Q1553</x:f>
        <x:v>0</x:v>
      </x:c>
      <x:c r="U1553" s="9" t="n">
        <x:f>H1553*AA1552*INDEX(v01_MortElder,G1553)/4*Q1553</x:f>
        <x:v>0</x:v>
      </x:c>
      <x:c r="V1553" s="9" t="n">
        <x:f>H1553*MAX(0,AB1552-O1553)*v01_OvercapLoss</x:f>
        <x:v>0</x:v>
      </x:c>
      <x:c r="W1553" s="9" t="n">
        <x:f>H1553*Y1552/(v01_ChildYears*4)</x:f>
        <x:v>0</x:v>
      </x:c>
      <x:c r="X1553" s="9" t="n">
        <x:f>H1553*Z1552/(v01_AdultYears*4)</x:f>
        <x:v>0</x:v>
      </x:c>
      <x:c r="Y1553" s="32" t="n">
        <x:f>Y1552+R1553-S1553-W1553-Y1552*V1553/AB1552</x:f>
        <x:v>14306.18539759397</x:v>
      </x:c>
      <x:c r="Z1553" s="32" t="n">
        <x:f>Z1552+W1553-X1553-T1553-Z1552*V1553/AB1552</x:f>
        <x:v>19354.456567879548</x:v>
      </x:c>
      <x:c r="AA1553" s="32" t="n">
        <x:f>AA1552+X1553-U1553-AA1552*V1553/AB1552</x:f>
        <x:v>11386.956063258198</x:v>
      </x:c>
      <x:c r="AB1553" s="10" t="n">
        <x:f>Y1553+Z1553+AA1553</x:f>
        <x:v>45047.59802873172</x:v>
      </x:c>
      <x:c r="AC1553" s="8" t="n">
        <x:f>IF(AND(v01_WinterTrigger=1,D1553=1,AB1552/AE1552&gt;=K1553),1,0)</x:f>
        <x:v>0</x:v>
      </x:c>
      <x:c r="AD1553" s="8" t="n">
        <x:f>H1553*IF(AND(OR(AB1552/AE1552&gt;=v01_FissionTrigger*N1553,AC1553=1),AB1552/AE1552*v01_DaughterShare&gt;=v01_MinDaughter),MAX(1,ROUND(AE1552*v01_FissionRate,0)),0)</x:f>
        <x:v>0</x:v>
      </x:c>
      <x:c r="AE1553" s="8" t="n">
        <x:f>IF(H1553=1,MAX(1,MIN(INDEX(v01_Smax,G1553),AE1552+AD1553)),AE1552)</x:f>
        <x:v>15</x:v>
      </x:c>
      <x:c r="AF1553" s="8" t="n">
        <x:f>MAX(0,AE1553-AE1552)</x:f>
        <x:v>0</x:v>
      </x:c>
      <x:c r="AG1553" s="9" t="str">
        <x:f>IF(AF1553&gt;0,B1553,"")</x:f>
      </x:c>
      <x:c r="AH1553" s="9" t="n">
        <x:f>IF(F1553&gt;=1,1,(1+v01_LowTiesShare*(AE1553-1))/AE1553)</x:f>
        <x:v>1</x:v>
      </x:c>
      <x:c r="AI1553" s="32" t="n">
        <x:f>(Z1553+v01_ElderCommons*INDEX(LM_Elder,G1553)*AA1553)*AH1553</x:f>
        <x:v>64139.732591141874</x:v>
      </x:c>
      <x:c r="AJ1553" s="32" t="n">
        <x:f>H1553*v01_CommonsCoef*AI1553^v01_CommonsExp*INDEX(LM_Commons,G1553)</x:f>
        <x:v>0</x:v>
      </x:c>
      <x:c r="AK1553" s="32" t="n">
        <x:f>H1553*v01_RoleScale*Arch_Roles*(AE1553*(INDEX(v01_ElderRolePerSett,G1553)*v01_OutElder*INDEX(LM_Elder,G1553)+INDEX(v01_ShamanPerSett,G1553)*v01_OutShaman)+Z1553*(INDEX(v01_PriestShare,G1553)*v01_OutPriest+INDEX(v01_ScribeShare,G1553)*v01_OutScribe*INDEX(LM_Scribe,G1553)+INDEX(v01_ScholarShare,G1553)*v01_OutScholar*INDEX(LM_Scholar,G1553)+INDEX(v01_ResearcherShare,G1553)*v01_OutResearcher*INDEX(LM_Researcher,G1553)))</x:f>
        <x:v>0</x:v>
      </x:c>
      <x:c r="AL1553" s="32" t="n">
        <x:f>H1553*v01_RoleScale*Arch_Roles*AE1553*INDEX(v01_MonasteryPerSett,G1553)*v01_OutMonastery*INDEX(LM_Monastery,G1553)</x:f>
        <x:v>0</x:v>
      </x:c>
      <x:c r="AM1553" s="32" t="n">
        <x:f>(AJ1553+AK1553+AL1553)/4*INDEX(LM_All,G1553)*INDEX(v01_Boon,G1553)*Arch_Insight</x:f>
        <x:v>0</x:v>
      </x:c>
      <x:c r="AN1553" s="32" t="n">
        <x:f>H1553*(v01_KHPerAdult*Z1553+v01_KHOfCommons*AJ1553/4*INDEX(LM_All,G1553))*v01_KHUsable*Arch_KH</x:f>
        <x:v>0</x:v>
      </x:c>
      <x:c r="AO1553" s="32" t="n">
        <x:f>MIN(AP1552+AN1553,AM1553*v01_KHMaxRatio)</x:f>
        <x:v>0</x:v>
      </x:c>
      <x:c r="AP1553" s="32" t="n">
        <x:f>AP1552+AN1553-AO1553</x:f>
        <x:v>0</x:v>
      </x:c>
      <x:c r="AQ1553" s="32" t="n">
        <x:f>AM1553+AO1553</x:f>
        <x:v>0</x:v>
      </x:c>
      <x:c r="AR1553" s="10" t="n">
        <x:f>IF(H1553=1,INDEX(v01_Req,G1553),0)</x:f>
        <x:v>0</x:v>
      </x:c>
      <x:c r="AS1553" s="32" t="n">
        <x:f>IF(H1553=1,IF(E1553=1,AS1552-AR1552,AS1552)+AQ1553,0)</x:f>
        <x:v>0</x:v>
      </x:c>
      <x:c r="AT1553" s="11" t="n">
        <x:f>IF(AR1553&gt;0,MIN(1,AS1553/AR1553),1)</x:f>
        <x:v>1</x:v>
      </x:c>
      <x:c r="AU1553" s="10" t="n">
        <x:f>AB1553/INDEX(v01_RepScale,G1553)</x:f>
        <x:v>90.09519605746344</x:v>
      </x:c>
      <x:c r="AV1553" s="32" t="n">
        <x:f>AM1553*60/v01_SeasonSeconds</x:f>
        <x:v>0</x:v>
      </x:c>
    </x:row>
    <x:row r="1554">
      <x:c r="A1554" s="8" t="n">
        <x:f>A1553+1</x:f>
        <x:v>1551</x:v>
      </x:c>
      <x:c r="B1554" s="9" t="n">
        <x:f>A1554*v01_SeasonSeconds/60</x:f>
        <x:v>387.75</x:v>
      </x:c>
      <x:c r="C1554" s="9" t="n">
        <x:f>A1554/4</x:f>
        <x:v>387.75</x:v>
      </x:c>
      <x:c r="D1554" s="8" t="n">
        <x:f>IF(MOD(A1554,4)=0,1,0)</x:f>
        <x:v>0</x:v>
      </x:c>
      <x:c r="E1554" s="8" t="n">
        <x:f>IF(AND(F1553&lt;=9,AS1553&gt;=AR1553),1,0)</x:f>
        <x:v>0</x:v>
      </x:c>
      <x:c r="F1554" s="8" t="n">
        <x:f>MIN(10,F1553+E1554)</x:f>
        <x:v>10</x:v>
      </x:c>
      <x:c r="G1554" s="8" t="n">
        <x:f>MIN(F1554,9)+1</x:f>
        <x:v>10</x:v>
      </x:c>
      <x:c r="H1554" s="8" t="n">
        <x:f>IF(F1554&lt;=9,1,0)</x:f>
        <x:v>0</x:v>
      </x:c>
      <x:c r="I1554" s="9" t="n">
        <x:f>MIN(10,F1553+IF(AR1553&gt;0,MIN(1,AS1553/AR1553),1))</x:f>
        <x:v>10</x:v>
      </x:c>
      <x:c r="J1554" s="32" t="n">
        <x:f>INDEX(v01_FoodCap,G1554)*Arch_FoodCap*EXP(v01_CapsByProject*SUMPRODUCT((Cap_Point&lt;=I1554)*(Cap_Kind="Food")*Cap_Ln))</x:f>
        <x:v>12000</x:v>
      </x:c>
      <x:c r="K1554" s="32" t="n">
        <x:f>J1554*MIN(1,v01_LeanBase*EXP(v01_CapsByProject*SUMPRODUCT((Cap_Point&lt;=I1554)*(Cap_Kind="Lean")*Cap_Ln)))</x:f>
        <x:v>12000</x:v>
      </x:c>
      <x:c r="L1554" s="10" t="n">
        <x:f>INDEX(v01_HousingCap,G1554)*EXP(v01_CapsByProject*SUMPRODUCT((Cap_Point&lt;=I1554)*(Cap_Kind="Housing")*Cap_Ln))</x:f>
        <x:v>20000</x:v>
      </x:c>
      <x:c r="M1554" s="10" t="n">
        <x:f>INDEX(v01_GroupCap,G1554)*v01_CohesionFactor*EXP(v01_CapsByProject*SUMPRODUCT((Cap_Point&lt;=I1554)*(Cap_Kind="Group")*Cap_Ln))</x:f>
        <x:v>1000000</x:v>
      </x:c>
      <x:c r="N1554" s="32" t="n">
        <x:f>MIN(J1554,L1554,M1554)</x:f>
        <x:v>12000</x:v>
      </x:c>
      <x:c r="O1554" s="10" t="n">
        <x:f>AE1553*N1554</x:f>
        <x:v>180000</x:v>
      </x:c>
      <x:c r="P1554" s="9" t="n">
        <x:f>MIN(1,(AB1553/(AE1553*IF(v01_GroupInCrowding=1,N1554,MIN(J1554,L1554))))^v01_CrowdingExp)</x:f>
        <x:v>0.00024569414295285325</x:v>
      </x:c>
      <x:c r="Q1554" s="9" t="n">
        <x:f>IF(D1554=1,INDEX(v01_WinterMult,G1554),1)</x:f>
        <x:v>1</x:v>
      </x:c>
      <x:c r="R1554" s="9" t="n">
        <x:f>H1554*Z1553*v01_WomenShare*v01_BaseFertility*INDEX(v01_FertMult,G1554)*Arch_Fertility*(1-P1554)</x:f>
        <x:v>0</x:v>
      </x:c>
      <x:c r="S1554" s="9" t="n">
        <x:f>H1554*Y1553*INDEX(v01_MortChild,G1554)/4*Q1554</x:f>
        <x:v>0</x:v>
      </x:c>
      <x:c r="T1554" s="9" t="n">
        <x:f>H1554*Z1553*INDEX(v01_MortAdult,G1554)*Arch_AdultMort/4*Q1554</x:f>
        <x:v>0</x:v>
      </x:c>
      <x:c r="U1554" s="9" t="n">
        <x:f>H1554*AA1553*INDEX(v01_MortElder,G1554)/4*Q1554</x:f>
        <x:v>0</x:v>
      </x:c>
      <x:c r="V1554" s="9" t="n">
        <x:f>H1554*MAX(0,AB1553-O1554)*v01_OvercapLoss</x:f>
        <x:v>0</x:v>
      </x:c>
      <x:c r="W1554" s="9" t="n">
        <x:f>H1554*Y1553/(v01_ChildYears*4)</x:f>
        <x:v>0</x:v>
      </x:c>
      <x:c r="X1554" s="9" t="n">
        <x:f>H1554*Z1553/(v01_AdultYears*4)</x:f>
        <x:v>0</x:v>
      </x:c>
      <x:c r="Y1554" s="32" t="n">
        <x:f>Y1553+R1554-S1554-W1554-Y1553*V1554/AB1553</x:f>
        <x:v>14306.18539759397</x:v>
      </x:c>
      <x:c r="Z1554" s="32" t="n">
        <x:f>Z1553+W1554-X1554-T1554-Z1553*V1554/AB1553</x:f>
        <x:v>19354.456567879548</x:v>
      </x:c>
      <x:c r="AA1554" s="32" t="n">
        <x:f>AA1553+X1554-U1554-AA1553*V1554/AB1553</x:f>
        <x:v>11386.956063258198</x:v>
      </x:c>
      <x:c r="AB1554" s="10" t="n">
        <x:f>Y1554+Z1554+AA1554</x:f>
        <x:v>45047.59802873172</x:v>
      </x:c>
      <x:c r="AC1554" s="8" t="n">
        <x:f>IF(AND(v01_WinterTrigger=1,D1554=1,AB1553/AE1553&gt;=K1554),1,0)</x:f>
        <x:v>0</x:v>
      </x:c>
      <x:c r="AD1554" s="8" t="n">
        <x:f>H1554*IF(AND(OR(AB1553/AE1553&gt;=v01_FissionTrigger*N1554,AC1554=1),AB1553/AE1553*v01_DaughterShare&gt;=v01_MinDaughter),MAX(1,ROUND(AE1553*v01_FissionRate,0)),0)</x:f>
        <x:v>0</x:v>
      </x:c>
      <x:c r="AE1554" s="8" t="n">
        <x:f>IF(H1554=1,MAX(1,MIN(INDEX(v01_Smax,G1554),AE1553+AD1554)),AE1553)</x:f>
        <x:v>15</x:v>
      </x:c>
      <x:c r="AF1554" s="8" t="n">
        <x:f>MAX(0,AE1554-AE1553)</x:f>
        <x:v>0</x:v>
      </x:c>
      <x:c r="AG1554" s="9" t="str">
        <x:f>IF(AF1554&gt;0,B1554,"")</x:f>
      </x:c>
      <x:c r="AH1554" s="9" t="n">
        <x:f>IF(F1554&gt;=1,1,(1+v01_LowTiesShare*(AE1554-1))/AE1554)</x:f>
        <x:v>1</x:v>
      </x:c>
      <x:c r="AI1554" s="32" t="n">
        <x:f>(Z1554+v01_ElderCommons*INDEX(LM_Elder,G1554)*AA1554)*AH1554</x:f>
        <x:v>64139.732591141874</x:v>
      </x:c>
      <x:c r="AJ1554" s="32" t="n">
        <x:f>H1554*v01_CommonsCoef*AI1554^v01_CommonsExp*INDEX(LM_Commons,G1554)</x:f>
        <x:v>0</x:v>
      </x:c>
      <x:c r="AK1554" s="32" t="n">
        <x:f>H1554*v01_RoleScale*Arch_Roles*(AE1554*(INDEX(v01_ElderRolePerSett,G1554)*v01_OutElder*INDEX(LM_Elder,G1554)+INDEX(v01_ShamanPerSett,G1554)*v01_OutShaman)+Z1554*(INDEX(v01_PriestShare,G1554)*v01_OutPriest+INDEX(v01_ScribeShare,G1554)*v01_OutScribe*INDEX(LM_Scribe,G1554)+INDEX(v01_ScholarShare,G1554)*v01_OutScholar*INDEX(LM_Scholar,G1554)+INDEX(v01_ResearcherShare,G1554)*v01_OutResearcher*INDEX(LM_Researcher,G1554)))</x:f>
        <x:v>0</x:v>
      </x:c>
      <x:c r="AL1554" s="32" t="n">
        <x:f>H1554*v01_RoleScale*Arch_Roles*AE1554*INDEX(v01_MonasteryPerSett,G1554)*v01_OutMonastery*INDEX(LM_Monastery,G1554)</x:f>
        <x:v>0</x:v>
      </x:c>
      <x:c r="AM1554" s="32" t="n">
        <x:f>(AJ1554+AK1554+AL1554)/4*INDEX(LM_All,G1554)*INDEX(v01_Boon,G1554)*Arch_Insight</x:f>
        <x:v>0</x:v>
      </x:c>
      <x:c r="AN1554" s="32" t="n">
        <x:f>H1554*(v01_KHPerAdult*Z1554+v01_KHOfCommons*AJ1554/4*INDEX(LM_All,G1554))*v01_KHUsable*Arch_KH</x:f>
        <x:v>0</x:v>
      </x:c>
      <x:c r="AO1554" s="32" t="n">
        <x:f>MIN(AP1553+AN1554,AM1554*v01_KHMaxRatio)</x:f>
        <x:v>0</x:v>
      </x:c>
      <x:c r="AP1554" s="32" t="n">
        <x:f>AP1553+AN1554-AO1554</x:f>
        <x:v>0</x:v>
      </x:c>
      <x:c r="AQ1554" s="32" t="n">
        <x:f>AM1554+AO1554</x:f>
        <x:v>0</x:v>
      </x:c>
      <x:c r="AR1554" s="10" t="n">
        <x:f>IF(H1554=1,INDEX(v01_Req,G1554),0)</x:f>
        <x:v>0</x:v>
      </x:c>
      <x:c r="AS1554" s="32" t="n">
        <x:f>IF(H1554=1,IF(E1554=1,AS1553-AR1553,AS1553)+AQ1554,0)</x:f>
        <x:v>0</x:v>
      </x:c>
      <x:c r="AT1554" s="11" t="n">
        <x:f>IF(AR1554&gt;0,MIN(1,AS1554/AR1554),1)</x:f>
        <x:v>1</x:v>
      </x:c>
      <x:c r="AU1554" s="10" t="n">
        <x:f>AB1554/INDEX(v01_RepScale,G1554)</x:f>
        <x:v>90.09519605746344</x:v>
      </x:c>
      <x:c r="AV1554" s="32" t="n">
        <x:f>AM1554*60/v01_SeasonSeconds</x:f>
        <x:v>0</x:v>
      </x:c>
    </x:row>
    <x:row r="1555">
      <x:c r="A1555" s="8" t="n">
        <x:f>A1554+1</x:f>
        <x:v>1552</x:v>
      </x:c>
      <x:c r="B1555" s="9" t="n">
        <x:f>A1555*v01_SeasonSeconds/60</x:f>
        <x:v>388</x:v>
      </x:c>
      <x:c r="C1555" s="9" t="n">
        <x:f>A1555/4</x:f>
        <x:v>388</x:v>
      </x:c>
      <x:c r="D1555" s="8" t="n">
        <x:f>IF(MOD(A1555,4)=0,1,0)</x:f>
        <x:v>1</x:v>
      </x:c>
      <x:c r="E1555" s="8" t="n">
        <x:f>IF(AND(F1554&lt;=9,AS1554&gt;=AR1554),1,0)</x:f>
        <x:v>0</x:v>
      </x:c>
      <x:c r="F1555" s="8" t="n">
        <x:f>MIN(10,F1554+E1555)</x:f>
        <x:v>10</x:v>
      </x:c>
      <x:c r="G1555" s="8" t="n">
        <x:f>MIN(F1555,9)+1</x:f>
        <x:v>10</x:v>
      </x:c>
      <x:c r="H1555" s="8" t="n">
        <x:f>IF(F1555&lt;=9,1,0)</x:f>
        <x:v>0</x:v>
      </x:c>
      <x:c r="I1555" s="9" t="n">
        <x:f>MIN(10,F1554+IF(AR1554&gt;0,MIN(1,AS1554/AR1554),1))</x:f>
        <x:v>10</x:v>
      </x:c>
      <x:c r="J1555" s="32" t="n">
        <x:f>INDEX(v01_FoodCap,G1555)*Arch_FoodCap*EXP(v01_CapsByProject*SUMPRODUCT((Cap_Point&lt;=I1555)*(Cap_Kind="Food")*Cap_Ln))</x:f>
        <x:v>12000</x:v>
      </x:c>
      <x:c r="K1555" s="32" t="n">
        <x:f>J1555*MIN(1,v01_LeanBase*EXP(v01_CapsByProject*SUMPRODUCT((Cap_Point&lt;=I1555)*(Cap_Kind="Lean")*Cap_Ln)))</x:f>
        <x:v>12000</x:v>
      </x:c>
      <x:c r="L1555" s="10" t="n">
        <x:f>INDEX(v01_HousingCap,G1555)*EXP(v01_CapsByProject*SUMPRODUCT((Cap_Point&lt;=I1555)*(Cap_Kind="Housing")*Cap_Ln))</x:f>
        <x:v>20000</x:v>
      </x:c>
      <x:c r="M1555" s="10" t="n">
        <x:f>INDEX(v01_GroupCap,G1555)*v01_CohesionFactor*EXP(v01_CapsByProject*SUMPRODUCT((Cap_Point&lt;=I1555)*(Cap_Kind="Group")*Cap_Ln))</x:f>
        <x:v>1000000</x:v>
      </x:c>
      <x:c r="N1555" s="32" t="n">
        <x:f>MIN(J1555,L1555,M1555)</x:f>
        <x:v>12000</x:v>
      </x:c>
      <x:c r="O1555" s="10" t="n">
        <x:f>AE1554*N1555</x:f>
        <x:v>180000</x:v>
      </x:c>
      <x:c r="P1555" s="9" t="n">
        <x:f>MIN(1,(AB1554/(AE1554*IF(v01_GroupInCrowding=1,N1555,MIN(J1555,L1555))))^v01_CrowdingExp)</x:f>
        <x:v>0.00024569414295285325</x:v>
      </x:c>
      <x:c r="Q1555" s="9" t="n">
        <x:f>IF(D1555=1,INDEX(v01_WinterMult,G1555),1)</x:f>
        <x:v>1</x:v>
      </x:c>
      <x:c r="R1555" s="9" t="n">
        <x:f>H1555*Z1554*v01_WomenShare*v01_BaseFertility*INDEX(v01_FertMult,G1555)*Arch_Fertility*(1-P1555)</x:f>
        <x:v>0</x:v>
      </x:c>
      <x:c r="S1555" s="9" t="n">
        <x:f>H1555*Y1554*INDEX(v01_MortChild,G1555)/4*Q1555</x:f>
        <x:v>0</x:v>
      </x:c>
      <x:c r="T1555" s="9" t="n">
        <x:f>H1555*Z1554*INDEX(v01_MortAdult,G1555)*Arch_AdultMort/4*Q1555</x:f>
        <x:v>0</x:v>
      </x:c>
      <x:c r="U1555" s="9" t="n">
        <x:f>H1555*AA1554*INDEX(v01_MortElder,G1555)/4*Q1555</x:f>
        <x:v>0</x:v>
      </x:c>
      <x:c r="V1555" s="9" t="n">
        <x:f>H1555*MAX(0,AB1554-O1555)*v01_OvercapLoss</x:f>
        <x:v>0</x:v>
      </x:c>
      <x:c r="W1555" s="9" t="n">
        <x:f>H1555*Y1554/(v01_ChildYears*4)</x:f>
        <x:v>0</x:v>
      </x:c>
      <x:c r="X1555" s="9" t="n">
        <x:f>H1555*Z1554/(v01_AdultYears*4)</x:f>
        <x:v>0</x:v>
      </x:c>
      <x:c r="Y1555" s="32" t="n">
        <x:f>Y1554+R1555-S1555-W1555-Y1554*V1555/AB1554</x:f>
        <x:v>14306.18539759397</x:v>
      </x:c>
      <x:c r="Z1555" s="32" t="n">
        <x:f>Z1554+W1555-X1555-T1555-Z1554*V1555/AB1554</x:f>
        <x:v>19354.456567879548</x:v>
      </x:c>
      <x:c r="AA1555" s="32" t="n">
        <x:f>AA1554+X1555-U1555-AA1554*V1555/AB1554</x:f>
        <x:v>11386.956063258198</x:v>
      </x:c>
      <x:c r="AB1555" s="10" t="n">
        <x:f>Y1555+Z1555+AA1555</x:f>
        <x:v>45047.59802873172</x:v>
      </x:c>
      <x:c r="AC1555" s="8" t="n">
        <x:f>IF(AND(v01_WinterTrigger=1,D1555=1,AB1554/AE1554&gt;=K1555),1,0)</x:f>
        <x:v>0</x:v>
      </x:c>
      <x:c r="AD1555" s="8" t="n">
        <x:f>H1555*IF(AND(OR(AB1554/AE1554&gt;=v01_FissionTrigger*N1555,AC1555=1),AB1554/AE1554*v01_DaughterShare&gt;=v01_MinDaughter),MAX(1,ROUND(AE1554*v01_FissionRate,0)),0)</x:f>
        <x:v>0</x:v>
      </x:c>
      <x:c r="AE1555" s="8" t="n">
        <x:f>IF(H1555=1,MAX(1,MIN(INDEX(v01_Smax,G1555),AE1554+AD1555)),AE1554)</x:f>
        <x:v>15</x:v>
      </x:c>
      <x:c r="AF1555" s="8" t="n">
        <x:f>MAX(0,AE1555-AE1554)</x:f>
        <x:v>0</x:v>
      </x:c>
      <x:c r="AG1555" s="9" t="str">
        <x:f>IF(AF1555&gt;0,B1555,"")</x:f>
      </x:c>
      <x:c r="AH1555" s="9" t="n">
        <x:f>IF(F1555&gt;=1,1,(1+v01_LowTiesShare*(AE1555-1))/AE1555)</x:f>
        <x:v>1</x:v>
      </x:c>
      <x:c r="AI1555" s="32" t="n">
        <x:f>(Z1555+v01_ElderCommons*INDEX(LM_Elder,G1555)*AA1555)*AH1555</x:f>
        <x:v>64139.732591141874</x:v>
      </x:c>
      <x:c r="AJ1555" s="32" t="n">
        <x:f>H1555*v01_CommonsCoef*AI1555^v01_CommonsExp*INDEX(LM_Commons,G1555)</x:f>
        <x:v>0</x:v>
      </x:c>
      <x:c r="AK1555" s="32" t="n">
        <x:f>H1555*v01_RoleScale*Arch_Roles*(AE1555*(INDEX(v01_ElderRolePerSett,G1555)*v01_OutElder*INDEX(LM_Elder,G1555)+INDEX(v01_ShamanPerSett,G1555)*v01_OutShaman)+Z1555*(INDEX(v01_PriestShare,G1555)*v01_OutPriest+INDEX(v01_ScribeShare,G1555)*v01_OutScribe*INDEX(LM_Scribe,G1555)+INDEX(v01_ScholarShare,G1555)*v01_OutScholar*INDEX(LM_Scholar,G1555)+INDEX(v01_ResearcherShare,G1555)*v01_OutResearcher*INDEX(LM_Researcher,G1555)))</x:f>
        <x:v>0</x:v>
      </x:c>
      <x:c r="AL1555" s="32" t="n">
        <x:f>H1555*v01_RoleScale*Arch_Roles*AE1555*INDEX(v01_MonasteryPerSett,G1555)*v01_OutMonastery*INDEX(LM_Monastery,G1555)</x:f>
        <x:v>0</x:v>
      </x:c>
      <x:c r="AM1555" s="32" t="n">
        <x:f>(AJ1555+AK1555+AL1555)/4*INDEX(LM_All,G1555)*INDEX(v01_Boon,G1555)*Arch_Insight</x:f>
        <x:v>0</x:v>
      </x:c>
      <x:c r="AN1555" s="32" t="n">
        <x:f>H1555*(v01_KHPerAdult*Z1555+v01_KHOfCommons*AJ1555/4*INDEX(LM_All,G1555))*v01_KHUsable*Arch_KH</x:f>
        <x:v>0</x:v>
      </x:c>
      <x:c r="AO1555" s="32" t="n">
        <x:f>MIN(AP1554+AN1555,AM1555*v01_KHMaxRatio)</x:f>
        <x:v>0</x:v>
      </x:c>
      <x:c r="AP1555" s="32" t="n">
        <x:f>AP1554+AN1555-AO1555</x:f>
        <x:v>0</x:v>
      </x:c>
      <x:c r="AQ1555" s="32" t="n">
        <x:f>AM1555+AO1555</x:f>
        <x:v>0</x:v>
      </x:c>
      <x:c r="AR1555" s="10" t="n">
        <x:f>IF(H1555=1,INDEX(v01_Req,G1555),0)</x:f>
        <x:v>0</x:v>
      </x:c>
      <x:c r="AS1555" s="32" t="n">
        <x:f>IF(H1555=1,IF(E1555=1,AS1554-AR1554,AS1554)+AQ1555,0)</x:f>
        <x:v>0</x:v>
      </x:c>
      <x:c r="AT1555" s="11" t="n">
        <x:f>IF(AR1555&gt;0,MIN(1,AS1555/AR1555),1)</x:f>
        <x:v>1</x:v>
      </x:c>
      <x:c r="AU1555" s="10" t="n">
        <x:f>AB1555/INDEX(v01_RepScale,G1555)</x:f>
        <x:v>90.09519605746344</x:v>
      </x:c>
      <x:c r="AV1555" s="32" t="n">
        <x:f>AM1555*60/v01_SeasonSeconds</x:f>
        <x:v>0</x:v>
      </x:c>
    </x:row>
    <x:row r="1556">
      <x:c r="A1556" s="8" t="n">
        <x:f>A1555+1</x:f>
        <x:v>1553</x:v>
      </x:c>
      <x:c r="B1556" s="9" t="n">
        <x:f>A1556*v01_SeasonSeconds/60</x:f>
        <x:v>388.25</x:v>
      </x:c>
      <x:c r="C1556" s="9" t="n">
        <x:f>A1556/4</x:f>
        <x:v>388.25</x:v>
      </x:c>
      <x:c r="D1556" s="8" t="n">
        <x:f>IF(MOD(A1556,4)=0,1,0)</x:f>
        <x:v>0</x:v>
      </x:c>
      <x:c r="E1556" s="8" t="n">
        <x:f>IF(AND(F1555&lt;=9,AS1555&gt;=AR1555),1,0)</x:f>
        <x:v>0</x:v>
      </x:c>
      <x:c r="F1556" s="8" t="n">
        <x:f>MIN(10,F1555+E1556)</x:f>
        <x:v>10</x:v>
      </x:c>
      <x:c r="G1556" s="8" t="n">
        <x:f>MIN(F1556,9)+1</x:f>
        <x:v>10</x:v>
      </x:c>
      <x:c r="H1556" s="8" t="n">
        <x:f>IF(F1556&lt;=9,1,0)</x:f>
        <x:v>0</x:v>
      </x:c>
      <x:c r="I1556" s="9" t="n">
        <x:f>MIN(10,F1555+IF(AR1555&gt;0,MIN(1,AS1555/AR1555),1))</x:f>
        <x:v>10</x:v>
      </x:c>
      <x:c r="J1556" s="32" t="n">
        <x:f>INDEX(v01_FoodCap,G1556)*Arch_FoodCap*EXP(v01_CapsByProject*SUMPRODUCT((Cap_Point&lt;=I1556)*(Cap_Kind="Food")*Cap_Ln))</x:f>
        <x:v>12000</x:v>
      </x:c>
      <x:c r="K1556" s="32" t="n">
        <x:f>J1556*MIN(1,v01_LeanBase*EXP(v01_CapsByProject*SUMPRODUCT((Cap_Point&lt;=I1556)*(Cap_Kind="Lean")*Cap_Ln)))</x:f>
        <x:v>12000</x:v>
      </x:c>
      <x:c r="L1556" s="10" t="n">
        <x:f>INDEX(v01_HousingCap,G1556)*EXP(v01_CapsByProject*SUMPRODUCT((Cap_Point&lt;=I1556)*(Cap_Kind="Housing")*Cap_Ln))</x:f>
        <x:v>20000</x:v>
      </x:c>
      <x:c r="M1556" s="10" t="n">
        <x:f>INDEX(v01_GroupCap,G1556)*v01_CohesionFactor*EXP(v01_CapsByProject*SUMPRODUCT((Cap_Point&lt;=I1556)*(Cap_Kind="Group")*Cap_Ln))</x:f>
        <x:v>1000000</x:v>
      </x:c>
      <x:c r="N1556" s="32" t="n">
        <x:f>MIN(J1556,L1556,M1556)</x:f>
        <x:v>12000</x:v>
      </x:c>
      <x:c r="O1556" s="10" t="n">
        <x:f>AE1555*N1556</x:f>
        <x:v>180000</x:v>
      </x:c>
      <x:c r="P1556" s="9" t="n">
        <x:f>MIN(1,(AB1555/(AE1555*IF(v01_GroupInCrowding=1,N1556,MIN(J1556,L1556))))^v01_CrowdingExp)</x:f>
        <x:v>0.00024569414295285325</x:v>
      </x:c>
      <x:c r="Q1556" s="9" t="n">
        <x:f>IF(D1556=1,INDEX(v01_WinterMult,G1556),1)</x:f>
        <x:v>1</x:v>
      </x:c>
      <x:c r="R1556" s="9" t="n">
        <x:f>H1556*Z1555*v01_WomenShare*v01_BaseFertility*INDEX(v01_FertMult,G1556)*Arch_Fertility*(1-P1556)</x:f>
        <x:v>0</x:v>
      </x:c>
      <x:c r="S1556" s="9" t="n">
        <x:f>H1556*Y1555*INDEX(v01_MortChild,G1556)/4*Q1556</x:f>
        <x:v>0</x:v>
      </x:c>
      <x:c r="T1556" s="9" t="n">
        <x:f>H1556*Z1555*INDEX(v01_MortAdult,G1556)*Arch_AdultMort/4*Q1556</x:f>
        <x:v>0</x:v>
      </x:c>
      <x:c r="U1556" s="9" t="n">
        <x:f>H1556*AA1555*INDEX(v01_MortElder,G1556)/4*Q1556</x:f>
        <x:v>0</x:v>
      </x:c>
      <x:c r="V1556" s="9" t="n">
        <x:f>H1556*MAX(0,AB1555-O1556)*v01_OvercapLoss</x:f>
        <x:v>0</x:v>
      </x:c>
      <x:c r="W1556" s="9" t="n">
        <x:f>H1556*Y1555/(v01_ChildYears*4)</x:f>
        <x:v>0</x:v>
      </x:c>
      <x:c r="X1556" s="9" t="n">
        <x:f>H1556*Z1555/(v01_AdultYears*4)</x:f>
        <x:v>0</x:v>
      </x:c>
      <x:c r="Y1556" s="32" t="n">
        <x:f>Y1555+R1556-S1556-W1556-Y1555*V1556/AB1555</x:f>
        <x:v>14306.18539759397</x:v>
      </x:c>
      <x:c r="Z1556" s="32" t="n">
        <x:f>Z1555+W1556-X1556-T1556-Z1555*V1556/AB1555</x:f>
        <x:v>19354.456567879548</x:v>
      </x:c>
      <x:c r="AA1556" s="32" t="n">
        <x:f>AA1555+X1556-U1556-AA1555*V1556/AB1555</x:f>
        <x:v>11386.956063258198</x:v>
      </x:c>
      <x:c r="AB1556" s="10" t="n">
        <x:f>Y1556+Z1556+AA1556</x:f>
        <x:v>45047.59802873172</x:v>
      </x:c>
      <x:c r="AC1556" s="8" t="n">
        <x:f>IF(AND(v01_WinterTrigger=1,D1556=1,AB1555/AE1555&gt;=K1556),1,0)</x:f>
        <x:v>0</x:v>
      </x:c>
      <x:c r="AD1556" s="8" t="n">
        <x:f>H1556*IF(AND(OR(AB1555/AE1555&gt;=v01_FissionTrigger*N1556,AC1556=1),AB1555/AE1555*v01_DaughterShare&gt;=v01_MinDaughter),MAX(1,ROUND(AE1555*v01_FissionRate,0)),0)</x:f>
        <x:v>0</x:v>
      </x:c>
      <x:c r="AE1556" s="8" t="n">
        <x:f>IF(H1556=1,MAX(1,MIN(INDEX(v01_Smax,G1556),AE1555+AD1556)),AE1555)</x:f>
        <x:v>15</x:v>
      </x:c>
      <x:c r="AF1556" s="8" t="n">
        <x:f>MAX(0,AE1556-AE1555)</x:f>
        <x:v>0</x:v>
      </x:c>
      <x:c r="AG1556" s="9" t="str">
        <x:f>IF(AF1556&gt;0,B1556,"")</x:f>
      </x:c>
      <x:c r="AH1556" s="9" t="n">
        <x:f>IF(F1556&gt;=1,1,(1+v01_LowTiesShare*(AE1556-1))/AE1556)</x:f>
        <x:v>1</x:v>
      </x:c>
      <x:c r="AI1556" s="32" t="n">
        <x:f>(Z1556+v01_ElderCommons*INDEX(LM_Elder,G1556)*AA1556)*AH1556</x:f>
        <x:v>64139.732591141874</x:v>
      </x:c>
      <x:c r="AJ1556" s="32" t="n">
        <x:f>H1556*v01_CommonsCoef*AI1556^v01_CommonsExp*INDEX(LM_Commons,G1556)</x:f>
        <x:v>0</x:v>
      </x:c>
      <x:c r="AK1556" s="32" t="n">
        <x:f>H1556*v01_RoleScale*Arch_Roles*(AE1556*(INDEX(v01_ElderRolePerSett,G1556)*v01_OutElder*INDEX(LM_Elder,G1556)+INDEX(v01_ShamanPerSett,G1556)*v01_OutShaman)+Z1556*(INDEX(v01_PriestShare,G1556)*v01_OutPriest+INDEX(v01_ScribeShare,G1556)*v01_OutScribe*INDEX(LM_Scribe,G1556)+INDEX(v01_ScholarShare,G1556)*v01_OutScholar*INDEX(LM_Scholar,G1556)+INDEX(v01_ResearcherShare,G1556)*v01_OutResearcher*INDEX(LM_Researcher,G1556)))</x:f>
        <x:v>0</x:v>
      </x:c>
      <x:c r="AL1556" s="32" t="n">
        <x:f>H1556*v01_RoleScale*Arch_Roles*AE1556*INDEX(v01_MonasteryPerSett,G1556)*v01_OutMonastery*INDEX(LM_Monastery,G1556)</x:f>
        <x:v>0</x:v>
      </x:c>
      <x:c r="AM1556" s="32" t="n">
        <x:f>(AJ1556+AK1556+AL1556)/4*INDEX(LM_All,G1556)*INDEX(v01_Boon,G1556)*Arch_Insight</x:f>
        <x:v>0</x:v>
      </x:c>
      <x:c r="AN1556" s="32" t="n">
        <x:f>H1556*(v01_KHPerAdult*Z1556+v01_KHOfCommons*AJ1556/4*INDEX(LM_All,G1556))*v01_KHUsable*Arch_KH</x:f>
        <x:v>0</x:v>
      </x:c>
      <x:c r="AO1556" s="32" t="n">
        <x:f>MIN(AP1555+AN1556,AM1556*v01_KHMaxRatio)</x:f>
        <x:v>0</x:v>
      </x:c>
      <x:c r="AP1556" s="32" t="n">
        <x:f>AP1555+AN1556-AO1556</x:f>
        <x:v>0</x:v>
      </x:c>
      <x:c r="AQ1556" s="32" t="n">
        <x:f>AM1556+AO1556</x:f>
        <x:v>0</x:v>
      </x:c>
      <x:c r="AR1556" s="10" t="n">
        <x:f>IF(H1556=1,INDEX(v01_Req,G1556),0)</x:f>
        <x:v>0</x:v>
      </x:c>
      <x:c r="AS1556" s="32" t="n">
        <x:f>IF(H1556=1,IF(E1556=1,AS1555-AR1555,AS1555)+AQ1556,0)</x:f>
        <x:v>0</x:v>
      </x:c>
      <x:c r="AT1556" s="11" t="n">
        <x:f>IF(AR1556&gt;0,MIN(1,AS1556/AR1556),1)</x:f>
        <x:v>1</x:v>
      </x:c>
      <x:c r="AU1556" s="10" t="n">
        <x:f>AB1556/INDEX(v01_RepScale,G1556)</x:f>
        <x:v>90.09519605746344</x:v>
      </x:c>
      <x:c r="AV1556" s="32" t="n">
        <x:f>AM1556*60/v01_SeasonSeconds</x:f>
        <x:v>0</x:v>
      </x:c>
    </x:row>
    <x:row r="1557">
      <x:c r="A1557" s="8" t="n">
        <x:f>A1556+1</x:f>
        <x:v>1554</x:v>
      </x:c>
      <x:c r="B1557" s="9" t="n">
        <x:f>A1557*v01_SeasonSeconds/60</x:f>
        <x:v>388.5</x:v>
      </x:c>
      <x:c r="C1557" s="9" t="n">
        <x:f>A1557/4</x:f>
        <x:v>388.5</x:v>
      </x:c>
      <x:c r="D1557" s="8" t="n">
        <x:f>IF(MOD(A1557,4)=0,1,0)</x:f>
        <x:v>0</x:v>
      </x:c>
      <x:c r="E1557" s="8" t="n">
        <x:f>IF(AND(F1556&lt;=9,AS1556&gt;=AR1556),1,0)</x:f>
        <x:v>0</x:v>
      </x:c>
      <x:c r="F1557" s="8" t="n">
        <x:f>MIN(10,F1556+E1557)</x:f>
        <x:v>10</x:v>
      </x:c>
      <x:c r="G1557" s="8" t="n">
        <x:f>MIN(F1557,9)+1</x:f>
        <x:v>10</x:v>
      </x:c>
      <x:c r="H1557" s="8" t="n">
        <x:f>IF(F1557&lt;=9,1,0)</x:f>
        <x:v>0</x:v>
      </x:c>
      <x:c r="I1557" s="9" t="n">
        <x:f>MIN(10,F1556+IF(AR1556&gt;0,MIN(1,AS1556/AR1556),1))</x:f>
        <x:v>10</x:v>
      </x:c>
      <x:c r="J1557" s="32" t="n">
        <x:f>INDEX(v01_FoodCap,G1557)*Arch_FoodCap*EXP(v01_CapsByProject*SUMPRODUCT((Cap_Point&lt;=I1557)*(Cap_Kind="Food")*Cap_Ln))</x:f>
        <x:v>12000</x:v>
      </x:c>
      <x:c r="K1557" s="32" t="n">
        <x:f>J1557*MIN(1,v01_LeanBase*EXP(v01_CapsByProject*SUMPRODUCT((Cap_Point&lt;=I1557)*(Cap_Kind="Lean")*Cap_Ln)))</x:f>
        <x:v>12000</x:v>
      </x:c>
      <x:c r="L1557" s="10" t="n">
        <x:f>INDEX(v01_HousingCap,G1557)*EXP(v01_CapsByProject*SUMPRODUCT((Cap_Point&lt;=I1557)*(Cap_Kind="Housing")*Cap_Ln))</x:f>
        <x:v>20000</x:v>
      </x:c>
      <x:c r="M1557" s="10" t="n">
        <x:f>INDEX(v01_GroupCap,G1557)*v01_CohesionFactor*EXP(v01_CapsByProject*SUMPRODUCT((Cap_Point&lt;=I1557)*(Cap_Kind="Group")*Cap_Ln))</x:f>
        <x:v>1000000</x:v>
      </x:c>
      <x:c r="N1557" s="32" t="n">
        <x:f>MIN(J1557,L1557,M1557)</x:f>
        <x:v>12000</x:v>
      </x:c>
      <x:c r="O1557" s="10" t="n">
        <x:f>AE1556*N1557</x:f>
        <x:v>180000</x:v>
      </x:c>
      <x:c r="P1557" s="9" t="n">
        <x:f>MIN(1,(AB1556/(AE1556*IF(v01_GroupInCrowding=1,N1557,MIN(J1557,L1557))))^v01_CrowdingExp)</x:f>
        <x:v>0.00024569414295285325</x:v>
      </x:c>
      <x:c r="Q1557" s="9" t="n">
        <x:f>IF(D1557=1,INDEX(v01_WinterMult,G1557),1)</x:f>
        <x:v>1</x:v>
      </x:c>
      <x:c r="R1557" s="9" t="n">
        <x:f>H1557*Z1556*v01_WomenShare*v01_BaseFertility*INDEX(v01_FertMult,G1557)*Arch_Fertility*(1-P1557)</x:f>
        <x:v>0</x:v>
      </x:c>
      <x:c r="S1557" s="9" t="n">
        <x:f>H1557*Y1556*INDEX(v01_MortChild,G1557)/4*Q1557</x:f>
        <x:v>0</x:v>
      </x:c>
      <x:c r="T1557" s="9" t="n">
        <x:f>H1557*Z1556*INDEX(v01_MortAdult,G1557)*Arch_AdultMort/4*Q1557</x:f>
        <x:v>0</x:v>
      </x:c>
      <x:c r="U1557" s="9" t="n">
        <x:f>H1557*AA1556*INDEX(v01_MortElder,G1557)/4*Q1557</x:f>
        <x:v>0</x:v>
      </x:c>
      <x:c r="V1557" s="9" t="n">
        <x:f>H1557*MAX(0,AB1556-O1557)*v01_OvercapLoss</x:f>
        <x:v>0</x:v>
      </x:c>
      <x:c r="W1557" s="9" t="n">
        <x:f>H1557*Y1556/(v01_ChildYears*4)</x:f>
        <x:v>0</x:v>
      </x:c>
      <x:c r="X1557" s="9" t="n">
        <x:f>H1557*Z1556/(v01_AdultYears*4)</x:f>
        <x:v>0</x:v>
      </x:c>
      <x:c r="Y1557" s="32" t="n">
        <x:f>Y1556+R1557-S1557-W1557-Y1556*V1557/AB1556</x:f>
        <x:v>14306.18539759397</x:v>
      </x:c>
      <x:c r="Z1557" s="32" t="n">
        <x:f>Z1556+W1557-X1557-T1557-Z1556*V1557/AB1556</x:f>
        <x:v>19354.456567879548</x:v>
      </x:c>
      <x:c r="AA1557" s="32" t="n">
        <x:f>AA1556+X1557-U1557-AA1556*V1557/AB1556</x:f>
        <x:v>11386.956063258198</x:v>
      </x:c>
      <x:c r="AB1557" s="10" t="n">
        <x:f>Y1557+Z1557+AA1557</x:f>
        <x:v>45047.59802873172</x:v>
      </x:c>
      <x:c r="AC1557" s="8" t="n">
        <x:f>IF(AND(v01_WinterTrigger=1,D1557=1,AB1556/AE1556&gt;=K1557),1,0)</x:f>
        <x:v>0</x:v>
      </x:c>
      <x:c r="AD1557" s="8" t="n">
        <x:f>H1557*IF(AND(OR(AB1556/AE1556&gt;=v01_FissionTrigger*N1557,AC1557=1),AB1556/AE1556*v01_DaughterShare&gt;=v01_MinDaughter),MAX(1,ROUND(AE1556*v01_FissionRate,0)),0)</x:f>
        <x:v>0</x:v>
      </x:c>
      <x:c r="AE1557" s="8" t="n">
        <x:f>IF(H1557=1,MAX(1,MIN(INDEX(v01_Smax,G1557),AE1556+AD1557)),AE1556)</x:f>
        <x:v>15</x:v>
      </x:c>
      <x:c r="AF1557" s="8" t="n">
        <x:f>MAX(0,AE1557-AE1556)</x:f>
        <x:v>0</x:v>
      </x:c>
      <x:c r="AG1557" s="9" t="str">
        <x:f>IF(AF1557&gt;0,B1557,"")</x:f>
      </x:c>
      <x:c r="AH1557" s="9" t="n">
        <x:f>IF(F1557&gt;=1,1,(1+v01_LowTiesShare*(AE1557-1))/AE1557)</x:f>
        <x:v>1</x:v>
      </x:c>
      <x:c r="AI1557" s="32" t="n">
        <x:f>(Z1557+v01_ElderCommons*INDEX(LM_Elder,G1557)*AA1557)*AH1557</x:f>
        <x:v>64139.732591141874</x:v>
      </x:c>
      <x:c r="AJ1557" s="32" t="n">
        <x:f>H1557*v01_CommonsCoef*AI1557^v01_CommonsExp*INDEX(LM_Commons,G1557)</x:f>
        <x:v>0</x:v>
      </x:c>
      <x:c r="AK1557" s="32" t="n">
        <x:f>H1557*v01_RoleScale*Arch_Roles*(AE1557*(INDEX(v01_ElderRolePerSett,G1557)*v01_OutElder*INDEX(LM_Elder,G1557)+INDEX(v01_ShamanPerSett,G1557)*v01_OutShaman)+Z1557*(INDEX(v01_PriestShare,G1557)*v01_OutPriest+INDEX(v01_ScribeShare,G1557)*v01_OutScribe*INDEX(LM_Scribe,G1557)+INDEX(v01_ScholarShare,G1557)*v01_OutScholar*INDEX(LM_Scholar,G1557)+INDEX(v01_ResearcherShare,G1557)*v01_OutResearcher*INDEX(LM_Researcher,G1557)))</x:f>
        <x:v>0</x:v>
      </x:c>
      <x:c r="AL1557" s="32" t="n">
        <x:f>H1557*v01_RoleScale*Arch_Roles*AE1557*INDEX(v01_MonasteryPerSett,G1557)*v01_OutMonastery*INDEX(LM_Monastery,G1557)</x:f>
        <x:v>0</x:v>
      </x:c>
      <x:c r="AM1557" s="32" t="n">
        <x:f>(AJ1557+AK1557+AL1557)/4*INDEX(LM_All,G1557)*INDEX(v01_Boon,G1557)*Arch_Insight</x:f>
        <x:v>0</x:v>
      </x:c>
      <x:c r="AN1557" s="32" t="n">
        <x:f>H1557*(v01_KHPerAdult*Z1557+v01_KHOfCommons*AJ1557/4*INDEX(LM_All,G1557))*v01_KHUsable*Arch_KH</x:f>
        <x:v>0</x:v>
      </x:c>
      <x:c r="AO1557" s="32" t="n">
        <x:f>MIN(AP1556+AN1557,AM1557*v01_KHMaxRatio)</x:f>
        <x:v>0</x:v>
      </x:c>
      <x:c r="AP1557" s="32" t="n">
        <x:f>AP1556+AN1557-AO1557</x:f>
        <x:v>0</x:v>
      </x:c>
      <x:c r="AQ1557" s="32" t="n">
        <x:f>AM1557+AO1557</x:f>
        <x:v>0</x:v>
      </x:c>
      <x:c r="AR1557" s="10" t="n">
        <x:f>IF(H1557=1,INDEX(v01_Req,G1557),0)</x:f>
        <x:v>0</x:v>
      </x:c>
      <x:c r="AS1557" s="32" t="n">
        <x:f>IF(H1557=1,IF(E1557=1,AS1556-AR1556,AS1556)+AQ1557,0)</x:f>
        <x:v>0</x:v>
      </x:c>
      <x:c r="AT1557" s="11" t="n">
        <x:f>IF(AR1557&gt;0,MIN(1,AS1557/AR1557),1)</x:f>
        <x:v>1</x:v>
      </x:c>
      <x:c r="AU1557" s="10" t="n">
        <x:f>AB1557/INDEX(v01_RepScale,G1557)</x:f>
        <x:v>90.09519605746344</x:v>
      </x:c>
      <x:c r="AV1557" s="32" t="n">
        <x:f>AM1557*60/v01_SeasonSeconds</x:f>
        <x:v>0</x:v>
      </x:c>
    </x:row>
    <x:row r="1558">
      <x:c r="A1558" s="8" t="n">
        <x:f>A1557+1</x:f>
        <x:v>1555</x:v>
      </x:c>
      <x:c r="B1558" s="9" t="n">
        <x:f>A1558*v01_SeasonSeconds/60</x:f>
        <x:v>388.75</x:v>
      </x:c>
      <x:c r="C1558" s="9" t="n">
        <x:f>A1558/4</x:f>
        <x:v>388.75</x:v>
      </x:c>
      <x:c r="D1558" s="8" t="n">
        <x:f>IF(MOD(A1558,4)=0,1,0)</x:f>
        <x:v>0</x:v>
      </x:c>
      <x:c r="E1558" s="8" t="n">
        <x:f>IF(AND(F1557&lt;=9,AS1557&gt;=AR1557),1,0)</x:f>
        <x:v>0</x:v>
      </x:c>
      <x:c r="F1558" s="8" t="n">
        <x:f>MIN(10,F1557+E1558)</x:f>
        <x:v>10</x:v>
      </x:c>
      <x:c r="G1558" s="8" t="n">
        <x:f>MIN(F1558,9)+1</x:f>
        <x:v>10</x:v>
      </x:c>
      <x:c r="H1558" s="8" t="n">
        <x:f>IF(F1558&lt;=9,1,0)</x:f>
        <x:v>0</x:v>
      </x:c>
      <x:c r="I1558" s="9" t="n">
        <x:f>MIN(10,F1557+IF(AR1557&gt;0,MIN(1,AS1557/AR1557),1))</x:f>
        <x:v>10</x:v>
      </x:c>
      <x:c r="J1558" s="32" t="n">
        <x:f>INDEX(v01_FoodCap,G1558)*Arch_FoodCap*EXP(v01_CapsByProject*SUMPRODUCT((Cap_Point&lt;=I1558)*(Cap_Kind="Food")*Cap_Ln))</x:f>
        <x:v>12000</x:v>
      </x:c>
      <x:c r="K1558" s="32" t="n">
        <x:f>J1558*MIN(1,v01_LeanBase*EXP(v01_CapsByProject*SUMPRODUCT((Cap_Point&lt;=I1558)*(Cap_Kind="Lean")*Cap_Ln)))</x:f>
        <x:v>12000</x:v>
      </x:c>
      <x:c r="L1558" s="10" t="n">
        <x:f>INDEX(v01_HousingCap,G1558)*EXP(v01_CapsByProject*SUMPRODUCT((Cap_Point&lt;=I1558)*(Cap_Kind="Housing")*Cap_Ln))</x:f>
        <x:v>20000</x:v>
      </x:c>
      <x:c r="M1558" s="10" t="n">
        <x:f>INDEX(v01_GroupCap,G1558)*v01_CohesionFactor*EXP(v01_CapsByProject*SUMPRODUCT((Cap_Point&lt;=I1558)*(Cap_Kind="Group")*Cap_Ln))</x:f>
        <x:v>1000000</x:v>
      </x:c>
      <x:c r="N1558" s="32" t="n">
        <x:f>MIN(J1558,L1558,M1558)</x:f>
        <x:v>12000</x:v>
      </x:c>
      <x:c r="O1558" s="10" t="n">
        <x:f>AE1557*N1558</x:f>
        <x:v>180000</x:v>
      </x:c>
      <x:c r="P1558" s="9" t="n">
        <x:f>MIN(1,(AB1557/(AE1557*IF(v01_GroupInCrowding=1,N1558,MIN(J1558,L1558))))^v01_CrowdingExp)</x:f>
        <x:v>0.00024569414295285325</x:v>
      </x:c>
      <x:c r="Q1558" s="9" t="n">
        <x:f>IF(D1558=1,INDEX(v01_WinterMult,G1558),1)</x:f>
        <x:v>1</x:v>
      </x:c>
      <x:c r="R1558" s="9" t="n">
        <x:f>H1558*Z1557*v01_WomenShare*v01_BaseFertility*INDEX(v01_FertMult,G1558)*Arch_Fertility*(1-P1558)</x:f>
        <x:v>0</x:v>
      </x:c>
      <x:c r="S1558" s="9" t="n">
        <x:f>H1558*Y1557*INDEX(v01_MortChild,G1558)/4*Q1558</x:f>
        <x:v>0</x:v>
      </x:c>
      <x:c r="T1558" s="9" t="n">
        <x:f>H1558*Z1557*INDEX(v01_MortAdult,G1558)*Arch_AdultMort/4*Q1558</x:f>
        <x:v>0</x:v>
      </x:c>
      <x:c r="U1558" s="9" t="n">
        <x:f>H1558*AA1557*INDEX(v01_MortElder,G1558)/4*Q1558</x:f>
        <x:v>0</x:v>
      </x:c>
      <x:c r="V1558" s="9" t="n">
        <x:f>H1558*MAX(0,AB1557-O1558)*v01_OvercapLoss</x:f>
        <x:v>0</x:v>
      </x:c>
      <x:c r="W1558" s="9" t="n">
        <x:f>H1558*Y1557/(v01_ChildYears*4)</x:f>
        <x:v>0</x:v>
      </x:c>
      <x:c r="X1558" s="9" t="n">
        <x:f>H1558*Z1557/(v01_AdultYears*4)</x:f>
        <x:v>0</x:v>
      </x:c>
      <x:c r="Y1558" s="32" t="n">
        <x:f>Y1557+R1558-S1558-W1558-Y1557*V1558/AB1557</x:f>
        <x:v>14306.18539759397</x:v>
      </x:c>
      <x:c r="Z1558" s="32" t="n">
        <x:f>Z1557+W1558-X1558-T1558-Z1557*V1558/AB1557</x:f>
        <x:v>19354.456567879548</x:v>
      </x:c>
      <x:c r="AA1558" s="32" t="n">
        <x:f>AA1557+X1558-U1558-AA1557*V1558/AB1557</x:f>
        <x:v>11386.956063258198</x:v>
      </x:c>
      <x:c r="AB1558" s="10" t="n">
        <x:f>Y1558+Z1558+AA1558</x:f>
        <x:v>45047.59802873172</x:v>
      </x:c>
      <x:c r="AC1558" s="8" t="n">
        <x:f>IF(AND(v01_WinterTrigger=1,D1558=1,AB1557/AE1557&gt;=K1558),1,0)</x:f>
        <x:v>0</x:v>
      </x:c>
      <x:c r="AD1558" s="8" t="n">
        <x:f>H1558*IF(AND(OR(AB1557/AE1557&gt;=v01_FissionTrigger*N1558,AC1558=1),AB1557/AE1557*v01_DaughterShare&gt;=v01_MinDaughter),MAX(1,ROUND(AE1557*v01_FissionRate,0)),0)</x:f>
        <x:v>0</x:v>
      </x:c>
      <x:c r="AE1558" s="8" t="n">
        <x:f>IF(H1558=1,MAX(1,MIN(INDEX(v01_Smax,G1558),AE1557+AD1558)),AE1557)</x:f>
        <x:v>15</x:v>
      </x:c>
      <x:c r="AF1558" s="8" t="n">
        <x:f>MAX(0,AE1558-AE1557)</x:f>
        <x:v>0</x:v>
      </x:c>
      <x:c r="AG1558" s="9" t="str">
        <x:f>IF(AF1558&gt;0,B1558,"")</x:f>
      </x:c>
      <x:c r="AH1558" s="9" t="n">
        <x:f>IF(F1558&gt;=1,1,(1+v01_LowTiesShare*(AE1558-1))/AE1558)</x:f>
        <x:v>1</x:v>
      </x:c>
      <x:c r="AI1558" s="32" t="n">
        <x:f>(Z1558+v01_ElderCommons*INDEX(LM_Elder,G1558)*AA1558)*AH1558</x:f>
        <x:v>64139.732591141874</x:v>
      </x:c>
      <x:c r="AJ1558" s="32" t="n">
        <x:f>H1558*v01_CommonsCoef*AI1558^v01_CommonsExp*INDEX(LM_Commons,G1558)</x:f>
        <x:v>0</x:v>
      </x:c>
      <x:c r="AK1558" s="32" t="n">
        <x:f>H1558*v01_RoleScale*Arch_Roles*(AE1558*(INDEX(v01_ElderRolePerSett,G1558)*v01_OutElder*INDEX(LM_Elder,G1558)+INDEX(v01_ShamanPerSett,G1558)*v01_OutShaman)+Z1558*(INDEX(v01_PriestShare,G1558)*v01_OutPriest+INDEX(v01_ScribeShare,G1558)*v01_OutScribe*INDEX(LM_Scribe,G1558)+INDEX(v01_ScholarShare,G1558)*v01_OutScholar*INDEX(LM_Scholar,G1558)+INDEX(v01_ResearcherShare,G1558)*v01_OutResearcher*INDEX(LM_Researcher,G1558)))</x:f>
        <x:v>0</x:v>
      </x:c>
      <x:c r="AL1558" s="32" t="n">
        <x:f>H1558*v01_RoleScale*Arch_Roles*AE1558*INDEX(v01_MonasteryPerSett,G1558)*v01_OutMonastery*INDEX(LM_Monastery,G1558)</x:f>
        <x:v>0</x:v>
      </x:c>
      <x:c r="AM1558" s="32" t="n">
        <x:f>(AJ1558+AK1558+AL1558)/4*INDEX(LM_All,G1558)*INDEX(v01_Boon,G1558)*Arch_Insight</x:f>
        <x:v>0</x:v>
      </x:c>
      <x:c r="AN1558" s="32" t="n">
        <x:f>H1558*(v01_KHPerAdult*Z1558+v01_KHOfCommons*AJ1558/4*INDEX(LM_All,G1558))*v01_KHUsable*Arch_KH</x:f>
        <x:v>0</x:v>
      </x:c>
      <x:c r="AO1558" s="32" t="n">
        <x:f>MIN(AP1557+AN1558,AM1558*v01_KHMaxRatio)</x:f>
        <x:v>0</x:v>
      </x:c>
      <x:c r="AP1558" s="32" t="n">
        <x:f>AP1557+AN1558-AO1558</x:f>
        <x:v>0</x:v>
      </x:c>
      <x:c r="AQ1558" s="32" t="n">
        <x:f>AM1558+AO1558</x:f>
        <x:v>0</x:v>
      </x:c>
      <x:c r="AR1558" s="10" t="n">
        <x:f>IF(H1558=1,INDEX(v01_Req,G1558),0)</x:f>
        <x:v>0</x:v>
      </x:c>
      <x:c r="AS1558" s="32" t="n">
        <x:f>IF(H1558=1,IF(E1558=1,AS1557-AR1557,AS1557)+AQ1558,0)</x:f>
        <x:v>0</x:v>
      </x:c>
      <x:c r="AT1558" s="11" t="n">
        <x:f>IF(AR1558&gt;0,MIN(1,AS1558/AR1558),1)</x:f>
        <x:v>1</x:v>
      </x:c>
      <x:c r="AU1558" s="10" t="n">
        <x:f>AB1558/INDEX(v01_RepScale,G1558)</x:f>
        <x:v>90.09519605746344</x:v>
      </x:c>
      <x:c r="AV1558" s="32" t="n">
        <x:f>AM1558*60/v01_SeasonSeconds</x:f>
        <x:v>0</x:v>
      </x:c>
    </x:row>
    <x:row r="1559">
      <x:c r="A1559" s="8" t="n">
        <x:f>A1558+1</x:f>
        <x:v>1556</x:v>
      </x:c>
      <x:c r="B1559" s="9" t="n">
        <x:f>A1559*v01_SeasonSeconds/60</x:f>
        <x:v>389</x:v>
      </x:c>
      <x:c r="C1559" s="9" t="n">
        <x:f>A1559/4</x:f>
        <x:v>389</x:v>
      </x:c>
      <x:c r="D1559" s="8" t="n">
        <x:f>IF(MOD(A1559,4)=0,1,0)</x:f>
        <x:v>1</x:v>
      </x:c>
      <x:c r="E1559" s="8" t="n">
        <x:f>IF(AND(F1558&lt;=9,AS1558&gt;=AR1558),1,0)</x:f>
        <x:v>0</x:v>
      </x:c>
      <x:c r="F1559" s="8" t="n">
        <x:f>MIN(10,F1558+E1559)</x:f>
        <x:v>10</x:v>
      </x:c>
      <x:c r="G1559" s="8" t="n">
        <x:f>MIN(F1559,9)+1</x:f>
        <x:v>10</x:v>
      </x:c>
      <x:c r="H1559" s="8" t="n">
        <x:f>IF(F1559&lt;=9,1,0)</x:f>
        <x:v>0</x:v>
      </x:c>
      <x:c r="I1559" s="9" t="n">
        <x:f>MIN(10,F1558+IF(AR1558&gt;0,MIN(1,AS1558/AR1558),1))</x:f>
        <x:v>10</x:v>
      </x:c>
      <x:c r="J1559" s="32" t="n">
        <x:f>INDEX(v01_FoodCap,G1559)*Arch_FoodCap*EXP(v01_CapsByProject*SUMPRODUCT((Cap_Point&lt;=I1559)*(Cap_Kind="Food")*Cap_Ln))</x:f>
        <x:v>12000</x:v>
      </x:c>
      <x:c r="K1559" s="32" t="n">
        <x:f>J1559*MIN(1,v01_LeanBase*EXP(v01_CapsByProject*SUMPRODUCT((Cap_Point&lt;=I1559)*(Cap_Kind="Lean")*Cap_Ln)))</x:f>
        <x:v>12000</x:v>
      </x:c>
      <x:c r="L1559" s="10" t="n">
        <x:f>INDEX(v01_HousingCap,G1559)*EXP(v01_CapsByProject*SUMPRODUCT((Cap_Point&lt;=I1559)*(Cap_Kind="Housing")*Cap_Ln))</x:f>
        <x:v>20000</x:v>
      </x:c>
      <x:c r="M1559" s="10" t="n">
        <x:f>INDEX(v01_GroupCap,G1559)*v01_CohesionFactor*EXP(v01_CapsByProject*SUMPRODUCT((Cap_Point&lt;=I1559)*(Cap_Kind="Group")*Cap_Ln))</x:f>
        <x:v>1000000</x:v>
      </x:c>
      <x:c r="N1559" s="32" t="n">
        <x:f>MIN(J1559,L1559,M1559)</x:f>
        <x:v>12000</x:v>
      </x:c>
      <x:c r="O1559" s="10" t="n">
        <x:f>AE1558*N1559</x:f>
        <x:v>180000</x:v>
      </x:c>
      <x:c r="P1559" s="9" t="n">
        <x:f>MIN(1,(AB1558/(AE1558*IF(v01_GroupInCrowding=1,N1559,MIN(J1559,L1559))))^v01_CrowdingExp)</x:f>
        <x:v>0.00024569414295285325</x:v>
      </x:c>
      <x:c r="Q1559" s="9" t="n">
        <x:f>IF(D1559=1,INDEX(v01_WinterMult,G1559),1)</x:f>
        <x:v>1</x:v>
      </x:c>
      <x:c r="R1559" s="9" t="n">
        <x:f>H1559*Z1558*v01_WomenShare*v01_BaseFertility*INDEX(v01_FertMult,G1559)*Arch_Fertility*(1-P1559)</x:f>
        <x:v>0</x:v>
      </x:c>
      <x:c r="S1559" s="9" t="n">
        <x:f>H1559*Y1558*INDEX(v01_MortChild,G1559)/4*Q1559</x:f>
        <x:v>0</x:v>
      </x:c>
      <x:c r="T1559" s="9" t="n">
        <x:f>H1559*Z1558*INDEX(v01_MortAdult,G1559)*Arch_AdultMort/4*Q1559</x:f>
        <x:v>0</x:v>
      </x:c>
      <x:c r="U1559" s="9" t="n">
        <x:f>H1559*AA1558*INDEX(v01_MortElder,G1559)/4*Q1559</x:f>
        <x:v>0</x:v>
      </x:c>
      <x:c r="V1559" s="9" t="n">
        <x:f>H1559*MAX(0,AB1558-O1559)*v01_OvercapLoss</x:f>
        <x:v>0</x:v>
      </x:c>
      <x:c r="W1559" s="9" t="n">
        <x:f>H1559*Y1558/(v01_ChildYears*4)</x:f>
        <x:v>0</x:v>
      </x:c>
      <x:c r="X1559" s="9" t="n">
        <x:f>H1559*Z1558/(v01_AdultYears*4)</x:f>
        <x:v>0</x:v>
      </x:c>
      <x:c r="Y1559" s="32" t="n">
        <x:f>Y1558+R1559-S1559-W1559-Y1558*V1559/AB1558</x:f>
        <x:v>14306.18539759397</x:v>
      </x:c>
      <x:c r="Z1559" s="32" t="n">
        <x:f>Z1558+W1559-X1559-T1559-Z1558*V1559/AB1558</x:f>
        <x:v>19354.456567879548</x:v>
      </x:c>
      <x:c r="AA1559" s="32" t="n">
        <x:f>AA1558+X1559-U1559-AA1558*V1559/AB1558</x:f>
        <x:v>11386.956063258198</x:v>
      </x:c>
      <x:c r="AB1559" s="10" t="n">
        <x:f>Y1559+Z1559+AA1559</x:f>
        <x:v>45047.59802873172</x:v>
      </x:c>
      <x:c r="AC1559" s="8" t="n">
        <x:f>IF(AND(v01_WinterTrigger=1,D1559=1,AB1558/AE1558&gt;=K1559),1,0)</x:f>
        <x:v>0</x:v>
      </x:c>
      <x:c r="AD1559" s="8" t="n">
        <x:f>H1559*IF(AND(OR(AB1558/AE1558&gt;=v01_FissionTrigger*N1559,AC1559=1),AB1558/AE1558*v01_DaughterShare&gt;=v01_MinDaughter),MAX(1,ROUND(AE1558*v01_FissionRate,0)),0)</x:f>
        <x:v>0</x:v>
      </x:c>
      <x:c r="AE1559" s="8" t="n">
        <x:f>IF(H1559=1,MAX(1,MIN(INDEX(v01_Smax,G1559),AE1558+AD1559)),AE1558)</x:f>
        <x:v>15</x:v>
      </x:c>
      <x:c r="AF1559" s="8" t="n">
        <x:f>MAX(0,AE1559-AE1558)</x:f>
        <x:v>0</x:v>
      </x:c>
      <x:c r="AG1559" s="9" t="str">
        <x:f>IF(AF1559&gt;0,B1559,"")</x:f>
      </x:c>
      <x:c r="AH1559" s="9" t="n">
        <x:f>IF(F1559&gt;=1,1,(1+v01_LowTiesShare*(AE1559-1))/AE1559)</x:f>
        <x:v>1</x:v>
      </x:c>
      <x:c r="AI1559" s="32" t="n">
        <x:f>(Z1559+v01_ElderCommons*INDEX(LM_Elder,G1559)*AA1559)*AH1559</x:f>
        <x:v>64139.732591141874</x:v>
      </x:c>
      <x:c r="AJ1559" s="32" t="n">
        <x:f>H1559*v01_CommonsCoef*AI1559^v01_CommonsExp*INDEX(LM_Commons,G1559)</x:f>
        <x:v>0</x:v>
      </x:c>
      <x:c r="AK1559" s="32" t="n">
        <x:f>H1559*v01_RoleScale*Arch_Roles*(AE1559*(INDEX(v01_ElderRolePerSett,G1559)*v01_OutElder*INDEX(LM_Elder,G1559)+INDEX(v01_ShamanPerSett,G1559)*v01_OutShaman)+Z1559*(INDEX(v01_PriestShare,G1559)*v01_OutPriest+INDEX(v01_ScribeShare,G1559)*v01_OutScribe*INDEX(LM_Scribe,G1559)+INDEX(v01_ScholarShare,G1559)*v01_OutScholar*INDEX(LM_Scholar,G1559)+INDEX(v01_ResearcherShare,G1559)*v01_OutResearcher*INDEX(LM_Researcher,G1559)))</x:f>
        <x:v>0</x:v>
      </x:c>
      <x:c r="AL1559" s="32" t="n">
        <x:f>H1559*v01_RoleScale*Arch_Roles*AE1559*INDEX(v01_MonasteryPerSett,G1559)*v01_OutMonastery*INDEX(LM_Monastery,G1559)</x:f>
        <x:v>0</x:v>
      </x:c>
      <x:c r="AM1559" s="32" t="n">
        <x:f>(AJ1559+AK1559+AL1559)/4*INDEX(LM_All,G1559)*INDEX(v01_Boon,G1559)*Arch_Insight</x:f>
        <x:v>0</x:v>
      </x:c>
      <x:c r="AN1559" s="32" t="n">
        <x:f>H1559*(v01_KHPerAdult*Z1559+v01_KHOfCommons*AJ1559/4*INDEX(LM_All,G1559))*v01_KHUsable*Arch_KH</x:f>
        <x:v>0</x:v>
      </x:c>
      <x:c r="AO1559" s="32" t="n">
        <x:f>MIN(AP1558+AN1559,AM1559*v01_KHMaxRatio)</x:f>
        <x:v>0</x:v>
      </x:c>
      <x:c r="AP1559" s="32" t="n">
        <x:f>AP1558+AN1559-AO1559</x:f>
        <x:v>0</x:v>
      </x:c>
      <x:c r="AQ1559" s="32" t="n">
        <x:f>AM1559+AO1559</x:f>
        <x:v>0</x:v>
      </x:c>
      <x:c r="AR1559" s="10" t="n">
        <x:f>IF(H1559=1,INDEX(v01_Req,G1559),0)</x:f>
        <x:v>0</x:v>
      </x:c>
      <x:c r="AS1559" s="32" t="n">
        <x:f>IF(H1559=1,IF(E1559=1,AS1558-AR1558,AS1558)+AQ1559,0)</x:f>
        <x:v>0</x:v>
      </x:c>
      <x:c r="AT1559" s="11" t="n">
        <x:f>IF(AR1559&gt;0,MIN(1,AS1559/AR1559),1)</x:f>
        <x:v>1</x:v>
      </x:c>
      <x:c r="AU1559" s="10" t="n">
        <x:f>AB1559/INDEX(v01_RepScale,G1559)</x:f>
        <x:v>90.09519605746344</x:v>
      </x:c>
      <x:c r="AV1559" s="32" t="n">
        <x:f>AM1559*60/v01_SeasonSeconds</x:f>
        <x:v>0</x:v>
      </x:c>
    </x:row>
    <x:row r="1560">
      <x:c r="A1560" s="8" t="n">
        <x:f>A1559+1</x:f>
        <x:v>1557</x:v>
      </x:c>
      <x:c r="B1560" s="9" t="n">
        <x:f>A1560*v01_SeasonSeconds/60</x:f>
        <x:v>389.25</x:v>
      </x:c>
      <x:c r="C1560" s="9" t="n">
        <x:f>A1560/4</x:f>
        <x:v>389.25</x:v>
      </x:c>
      <x:c r="D1560" s="8" t="n">
        <x:f>IF(MOD(A1560,4)=0,1,0)</x:f>
        <x:v>0</x:v>
      </x:c>
      <x:c r="E1560" s="8" t="n">
        <x:f>IF(AND(F1559&lt;=9,AS1559&gt;=AR1559),1,0)</x:f>
        <x:v>0</x:v>
      </x:c>
      <x:c r="F1560" s="8" t="n">
        <x:f>MIN(10,F1559+E1560)</x:f>
        <x:v>10</x:v>
      </x:c>
      <x:c r="G1560" s="8" t="n">
        <x:f>MIN(F1560,9)+1</x:f>
        <x:v>10</x:v>
      </x:c>
      <x:c r="H1560" s="8" t="n">
        <x:f>IF(F1560&lt;=9,1,0)</x:f>
        <x:v>0</x:v>
      </x:c>
      <x:c r="I1560" s="9" t="n">
        <x:f>MIN(10,F1559+IF(AR1559&gt;0,MIN(1,AS1559/AR1559),1))</x:f>
        <x:v>10</x:v>
      </x:c>
      <x:c r="J1560" s="32" t="n">
        <x:f>INDEX(v01_FoodCap,G1560)*Arch_FoodCap*EXP(v01_CapsByProject*SUMPRODUCT((Cap_Point&lt;=I1560)*(Cap_Kind="Food")*Cap_Ln))</x:f>
        <x:v>12000</x:v>
      </x:c>
      <x:c r="K1560" s="32" t="n">
        <x:f>J1560*MIN(1,v01_LeanBase*EXP(v01_CapsByProject*SUMPRODUCT((Cap_Point&lt;=I1560)*(Cap_Kind="Lean")*Cap_Ln)))</x:f>
        <x:v>12000</x:v>
      </x:c>
      <x:c r="L1560" s="10" t="n">
        <x:f>INDEX(v01_HousingCap,G1560)*EXP(v01_CapsByProject*SUMPRODUCT((Cap_Point&lt;=I1560)*(Cap_Kind="Housing")*Cap_Ln))</x:f>
        <x:v>20000</x:v>
      </x:c>
      <x:c r="M1560" s="10" t="n">
        <x:f>INDEX(v01_GroupCap,G1560)*v01_CohesionFactor*EXP(v01_CapsByProject*SUMPRODUCT((Cap_Point&lt;=I1560)*(Cap_Kind="Group")*Cap_Ln))</x:f>
        <x:v>1000000</x:v>
      </x:c>
      <x:c r="N1560" s="32" t="n">
        <x:f>MIN(J1560,L1560,M1560)</x:f>
        <x:v>12000</x:v>
      </x:c>
      <x:c r="O1560" s="10" t="n">
        <x:f>AE1559*N1560</x:f>
        <x:v>180000</x:v>
      </x:c>
      <x:c r="P1560" s="9" t="n">
        <x:f>MIN(1,(AB1559/(AE1559*IF(v01_GroupInCrowding=1,N1560,MIN(J1560,L1560))))^v01_CrowdingExp)</x:f>
        <x:v>0.00024569414295285325</x:v>
      </x:c>
      <x:c r="Q1560" s="9" t="n">
        <x:f>IF(D1560=1,INDEX(v01_WinterMult,G1560),1)</x:f>
        <x:v>1</x:v>
      </x:c>
      <x:c r="R1560" s="9" t="n">
        <x:f>H1560*Z1559*v01_WomenShare*v01_BaseFertility*INDEX(v01_FertMult,G1560)*Arch_Fertility*(1-P1560)</x:f>
        <x:v>0</x:v>
      </x:c>
      <x:c r="S1560" s="9" t="n">
        <x:f>H1560*Y1559*INDEX(v01_MortChild,G1560)/4*Q1560</x:f>
        <x:v>0</x:v>
      </x:c>
      <x:c r="T1560" s="9" t="n">
        <x:f>H1560*Z1559*INDEX(v01_MortAdult,G1560)*Arch_AdultMort/4*Q1560</x:f>
        <x:v>0</x:v>
      </x:c>
      <x:c r="U1560" s="9" t="n">
        <x:f>H1560*AA1559*INDEX(v01_MortElder,G1560)/4*Q1560</x:f>
        <x:v>0</x:v>
      </x:c>
      <x:c r="V1560" s="9" t="n">
        <x:f>H1560*MAX(0,AB1559-O1560)*v01_OvercapLoss</x:f>
        <x:v>0</x:v>
      </x:c>
      <x:c r="W1560" s="9" t="n">
        <x:f>H1560*Y1559/(v01_ChildYears*4)</x:f>
        <x:v>0</x:v>
      </x:c>
      <x:c r="X1560" s="9" t="n">
        <x:f>H1560*Z1559/(v01_AdultYears*4)</x:f>
        <x:v>0</x:v>
      </x:c>
      <x:c r="Y1560" s="32" t="n">
        <x:f>Y1559+R1560-S1560-W1560-Y1559*V1560/AB1559</x:f>
        <x:v>14306.18539759397</x:v>
      </x:c>
      <x:c r="Z1560" s="32" t="n">
        <x:f>Z1559+W1560-X1560-T1560-Z1559*V1560/AB1559</x:f>
        <x:v>19354.456567879548</x:v>
      </x:c>
      <x:c r="AA1560" s="32" t="n">
        <x:f>AA1559+X1560-U1560-AA1559*V1560/AB1559</x:f>
        <x:v>11386.956063258198</x:v>
      </x:c>
      <x:c r="AB1560" s="10" t="n">
        <x:f>Y1560+Z1560+AA1560</x:f>
        <x:v>45047.59802873172</x:v>
      </x:c>
      <x:c r="AC1560" s="8" t="n">
        <x:f>IF(AND(v01_WinterTrigger=1,D1560=1,AB1559/AE1559&gt;=K1560),1,0)</x:f>
        <x:v>0</x:v>
      </x:c>
      <x:c r="AD1560" s="8" t="n">
        <x:f>H1560*IF(AND(OR(AB1559/AE1559&gt;=v01_FissionTrigger*N1560,AC1560=1),AB1559/AE1559*v01_DaughterShare&gt;=v01_MinDaughter),MAX(1,ROUND(AE1559*v01_FissionRate,0)),0)</x:f>
        <x:v>0</x:v>
      </x:c>
      <x:c r="AE1560" s="8" t="n">
        <x:f>IF(H1560=1,MAX(1,MIN(INDEX(v01_Smax,G1560),AE1559+AD1560)),AE1559)</x:f>
        <x:v>15</x:v>
      </x:c>
      <x:c r="AF1560" s="8" t="n">
        <x:f>MAX(0,AE1560-AE1559)</x:f>
        <x:v>0</x:v>
      </x:c>
      <x:c r="AG1560" s="9" t="str">
        <x:f>IF(AF1560&gt;0,B1560,"")</x:f>
      </x:c>
      <x:c r="AH1560" s="9" t="n">
        <x:f>IF(F1560&gt;=1,1,(1+v01_LowTiesShare*(AE1560-1))/AE1560)</x:f>
        <x:v>1</x:v>
      </x:c>
      <x:c r="AI1560" s="32" t="n">
        <x:f>(Z1560+v01_ElderCommons*INDEX(LM_Elder,G1560)*AA1560)*AH1560</x:f>
        <x:v>64139.732591141874</x:v>
      </x:c>
      <x:c r="AJ1560" s="32" t="n">
        <x:f>H1560*v01_CommonsCoef*AI1560^v01_CommonsExp*INDEX(LM_Commons,G1560)</x:f>
        <x:v>0</x:v>
      </x:c>
      <x:c r="AK1560" s="32" t="n">
        <x:f>H1560*v01_RoleScale*Arch_Roles*(AE1560*(INDEX(v01_ElderRolePerSett,G1560)*v01_OutElder*INDEX(LM_Elder,G1560)+INDEX(v01_ShamanPerSett,G1560)*v01_OutShaman)+Z1560*(INDEX(v01_PriestShare,G1560)*v01_OutPriest+INDEX(v01_ScribeShare,G1560)*v01_OutScribe*INDEX(LM_Scribe,G1560)+INDEX(v01_ScholarShare,G1560)*v01_OutScholar*INDEX(LM_Scholar,G1560)+INDEX(v01_ResearcherShare,G1560)*v01_OutResearcher*INDEX(LM_Researcher,G1560)))</x:f>
        <x:v>0</x:v>
      </x:c>
      <x:c r="AL1560" s="32" t="n">
        <x:f>H1560*v01_RoleScale*Arch_Roles*AE1560*INDEX(v01_MonasteryPerSett,G1560)*v01_OutMonastery*INDEX(LM_Monastery,G1560)</x:f>
        <x:v>0</x:v>
      </x:c>
      <x:c r="AM1560" s="32" t="n">
        <x:f>(AJ1560+AK1560+AL1560)/4*INDEX(LM_All,G1560)*INDEX(v01_Boon,G1560)*Arch_Insight</x:f>
        <x:v>0</x:v>
      </x:c>
      <x:c r="AN1560" s="32" t="n">
        <x:f>H1560*(v01_KHPerAdult*Z1560+v01_KHOfCommons*AJ1560/4*INDEX(LM_All,G1560))*v01_KHUsable*Arch_KH</x:f>
        <x:v>0</x:v>
      </x:c>
      <x:c r="AO1560" s="32" t="n">
        <x:f>MIN(AP1559+AN1560,AM1560*v01_KHMaxRatio)</x:f>
        <x:v>0</x:v>
      </x:c>
      <x:c r="AP1560" s="32" t="n">
        <x:f>AP1559+AN1560-AO1560</x:f>
        <x:v>0</x:v>
      </x:c>
      <x:c r="AQ1560" s="32" t="n">
        <x:f>AM1560+AO1560</x:f>
        <x:v>0</x:v>
      </x:c>
      <x:c r="AR1560" s="10" t="n">
        <x:f>IF(H1560=1,INDEX(v01_Req,G1560),0)</x:f>
        <x:v>0</x:v>
      </x:c>
      <x:c r="AS1560" s="32" t="n">
        <x:f>IF(H1560=1,IF(E1560=1,AS1559-AR1559,AS1559)+AQ1560,0)</x:f>
        <x:v>0</x:v>
      </x:c>
      <x:c r="AT1560" s="11" t="n">
        <x:f>IF(AR1560&gt;0,MIN(1,AS1560/AR1560),1)</x:f>
        <x:v>1</x:v>
      </x:c>
      <x:c r="AU1560" s="10" t="n">
        <x:f>AB1560/INDEX(v01_RepScale,G1560)</x:f>
        <x:v>90.09519605746344</x:v>
      </x:c>
      <x:c r="AV1560" s="32" t="n">
        <x:f>AM1560*60/v01_SeasonSeconds</x:f>
        <x:v>0</x:v>
      </x:c>
    </x:row>
    <x:row r="1561">
      <x:c r="A1561" s="8" t="n">
        <x:f>A1560+1</x:f>
        <x:v>1558</x:v>
      </x:c>
      <x:c r="B1561" s="9" t="n">
        <x:f>A1561*v01_SeasonSeconds/60</x:f>
        <x:v>389.5</x:v>
      </x:c>
      <x:c r="C1561" s="9" t="n">
        <x:f>A1561/4</x:f>
        <x:v>389.5</x:v>
      </x:c>
      <x:c r="D1561" s="8" t="n">
        <x:f>IF(MOD(A1561,4)=0,1,0)</x:f>
        <x:v>0</x:v>
      </x:c>
      <x:c r="E1561" s="8" t="n">
        <x:f>IF(AND(F1560&lt;=9,AS1560&gt;=AR1560),1,0)</x:f>
        <x:v>0</x:v>
      </x:c>
      <x:c r="F1561" s="8" t="n">
        <x:f>MIN(10,F1560+E1561)</x:f>
        <x:v>10</x:v>
      </x:c>
      <x:c r="G1561" s="8" t="n">
        <x:f>MIN(F1561,9)+1</x:f>
        <x:v>10</x:v>
      </x:c>
      <x:c r="H1561" s="8" t="n">
        <x:f>IF(F1561&lt;=9,1,0)</x:f>
        <x:v>0</x:v>
      </x:c>
      <x:c r="I1561" s="9" t="n">
        <x:f>MIN(10,F1560+IF(AR1560&gt;0,MIN(1,AS1560/AR1560),1))</x:f>
        <x:v>10</x:v>
      </x:c>
      <x:c r="J1561" s="32" t="n">
        <x:f>INDEX(v01_FoodCap,G1561)*Arch_FoodCap*EXP(v01_CapsByProject*SUMPRODUCT((Cap_Point&lt;=I1561)*(Cap_Kind="Food")*Cap_Ln))</x:f>
        <x:v>12000</x:v>
      </x:c>
      <x:c r="K1561" s="32" t="n">
        <x:f>J1561*MIN(1,v01_LeanBase*EXP(v01_CapsByProject*SUMPRODUCT((Cap_Point&lt;=I1561)*(Cap_Kind="Lean")*Cap_Ln)))</x:f>
        <x:v>12000</x:v>
      </x:c>
      <x:c r="L1561" s="10" t="n">
        <x:f>INDEX(v01_HousingCap,G1561)*EXP(v01_CapsByProject*SUMPRODUCT((Cap_Point&lt;=I1561)*(Cap_Kind="Housing")*Cap_Ln))</x:f>
        <x:v>20000</x:v>
      </x:c>
      <x:c r="M1561" s="10" t="n">
        <x:f>INDEX(v01_GroupCap,G1561)*v01_CohesionFactor*EXP(v01_CapsByProject*SUMPRODUCT((Cap_Point&lt;=I1561)*(Cap_Kind="Group")*Cap_Ln))</x:f>
        <x:v>1000000</x:v>
      </x:c>
      <x:c r="N1561" s="32" t="n">
        <x:f>MIN(J1561,L1561,M1561)</x:f>
        <x:v>12000</x:v>
      </x:c>
      <x:c r="O1561" s="10" t="n">
        <x:f>AE1560*N1561</x:f>
        <x:v>180000</x:v>
      </x:c>
      <x:c r="P1561" s="9" t="n">
        <x:f>MIN(1,(AB1560/(AE1560*IF(v01_GroupInCrowding=1,N1561,MIN(J1561,L1561))))^v01_CrowdingExp)</x:f>
        <x:v>0.00024569414295285325</x:v>
      </x:c>
      <x:c r="Q1561" s="9" t="n">
        <x:f>IF(D1561=1,INDEX(v01_WinterMult,G1561),1)</x:f>
        <x:v>1</x:v>
      </x:c>
      <x:c r="R1561" s="9" t="n">
        <x:f>H1561*Z1560*v01_WomenShare*v01_BaseFertility*INDEX(v01_FertMult,G1561)*Arch_Fertility*(1-P1561)</x:f>
        <x:v>0</x:v>
      </x:c>
      <x:c r="S1561" s="9" t="n">
        <x:f>H1561*Y1560*INDEX(v01_MortChild,G1561)/4*Q1561</x:f>
        <x:v>0</x:v>
      </x:c>
      <x:c r="T1561" s="9" t="n">
        <x:f>H1561*Z1560*INDEX(v01_MortAdult,G1561)*Arch_AdultMort/4*Q1561</x:f>
        <x:v>0</x:v>
      </x:c>
      <x:c r="U1561" s="9" t="n">
        <x:f>H1561*AA1560*INDEX(v01_MortElder,G1561)/4*Q1561</x:f>
        <x:v>0</x:v>
      </x:c>
      <x:c r="V1561" s="9" t="n">
        <x:f>H1561*MAX(0,AB1560-O1561)*v01_OvercapLoss</x:f>
        <x:v>0</x:v>
      </x:c>
      <x:c r="W1561" s="9" t="n">
        <x:f>H1561*Y1560/(v01_ChildYears*4)</x:f>
        <x:v>0</x:v>
      </x:c>
      <x:c r="X1561" s="9" t="n">
        <x:f>H1561*Z1560/(v01_AdultYears*4)</x:f>
        <x:v>0</x:v>
      </x:c>
      <x:c r="Y1561" s="32" t="n">
        <x:f>Y1560+R1561-S1561-W1561-Y1560*V1561/AB1560</x:f>
        <x:v>14306.18539759397</x:v>
      </x:c>
      <x:c r="Z1561" s="32" t="n">
        <x:f>Z1560+W1561-X1561-T1561-Z1560*V1561/AB1560</x:f>
        <x:v>19354.456567879548</x:v>
      </x:c>
      <x:c r="AA1561" s="32" t="n">
        <x:f>AA1560+X1561-U1561-AA1560*V1561/AB1560</x:f>
        <x:v>11386.956063258198</x:v>
      </x:c>
      <x:c r="AB1561" s="10" t="n">
        <x:f>Y1561+Z1561+AA1561</x:f>
        <x:v>45047.59802873172</x:v>
      </x:c>
      <x:c r="AC1561" s="8" t="n">
        <x:f>IF(AND(v01_WinterTrigger=1,D1561=1,AB1560/AE1560&gt;=K1561),1,0)</x:f>
        <x:v>0</x:v>
      </x:c>
      <x:c r="AD1561" s="8" t="n">
        <x:f>H1561*IF(AND(OR(AB1560/AE1560&gt;=v01_FissionTrigger*N1561,AC1561=1),AB1560/AE1560*v01_DaughterShare&gt;=v01_MinDaughter),MAX(1,ROUND(AE1560*v01_FissionRate,0)),0)</x:f>
        <x:v>0</x:v>
      </x:c>
      <x:c r="AE1561" s="8" t="n">
        <x:f>IF(H1561=1,MAX(1,MIN(INDEX(v01_Smax,G1561),AE1560+AD1561)),AE1560)</x:f>
        <x:v>15</x:v>
      </x:c>
      <x:c r="AF1561" s="8" t="n">
        <x:f>MAX(0,AE1561-AE1560)</x:f>
        <x:v>0</x:v>
      </x:c>
      <x:c r="AG1561" s="9" t="str">
        <x:f>IF(AF1561&gt;0,B1561,"")</x:f>
      </x:c>
      <x:c r="AH1561" s="9" t="n">
        <x:f>IF(F1561&gt;=1,1,(1+v01_LowTiesShare*(AE1561-1))/AE1561)</x:f>
        <x:v>1</x:v>
      </x:c>
      <x:c r="AI1561" s="32" t="n">
        <x:f>(Z1561+v01_ElderCommons*INDEX(LM_Elder,G1561)*AA1561)*AH1561</x:f>
        <x:v>64139.732591141874</x:v>
      </x:c>
      <x:c r="AJ1561" s="32" t="n">
        <x:f>H1561*v01_CommonsCoef*AI1561^v01_CommonsExp*INDEX(LM_Commons,G1561)</x:f>
        <x:v>0</x:v>
      </x:c>
      <x:c r="AK1561" s="32" t="n">
        <x:f>H1561*v01_RoleScale*Arch_Roles*(AE1561*(INDEX(v01_ElderRolePerSett,G1561)*v01_OutElder*INDEX(LM_Elder,G1561)+INDEX(v01_ShamanPerSett,G1561)*v01_OutShaman)+Z1561*(INDEX(v01_PriestShare,G1561)*v01_OutPriest+INDEX(v01_ScribeShare,G1561)*v01_OutScribe*INDEX(LM_Scribe,G1561)+INDEX(v01_ScholarShare,G1561)*v01_OutScholar*INDEX(LM_Scholar,G1561)+INDEX(v01_ResearcherShare,G1561)*v01_OutResearcher*INDEX(LM_Researcher,G1561)))</x:f>
        <x:v>0</x:v>
      </x:c>
      <x:c r="AL1561" s="32" t="n">
        <x:f>H1561*v01_RoleScale*Arch_Roles*AE1561*INDEX(v01_MonasteryPerSett,G1561)*v01_OutMonastery*INDEX(LM_Monastery,G1561)</x:f>
        <x:v>0</x:v>
      </x:c>
      <x:c r="AM1561" s="32" t="n">
        <x:f>(AJ1561+AK1561+AL1561)/4*INDEX(LM_All,G1561)*INDEX(v01_Boon,G1561)*Arch_Insight</x:f>
        <x:v>0</x:v>
      </x:c>
      <x:c r="AN1561" s="32" t="n">
        <x:f>H1561*(v01_KHPerAdult*Z1561+v01_KHOfCommons*AJ1561/4*INDEX(LM_All,G1561))*v01_KHUsable*Arch_KH</x:f>
        <x:v>0</x:v>
      </x:c>
      <x:c r="AO1561" s="32" t="n">
        <x:f>MIN(AP1560+AN1561,AM1561*v01_KHMaxRatio)</x:f>
        <x:v>0</x:v>
      </x:c>
      <x:c r="AP1561" s="32" t="n">
        <x:f>AP1560+AN1561-AO1561</x:f>
        <x:v>0</x:v>
      </x:c>
      <x:c r="AQ1561" s="32" t="n">
        <x:f>AM1561+AO1561</x:f>
        <x:v>0</x:v>
      </x:c>
      <x:c r="AR1561" s="10" t="n">
        <x:f>IF(H1561=1,INDEX(v01_Req,G1561),0)</x:f>
        <x:v>0</x:v>
      </x:c>
      <x:c r="AS1561" s="32" t="n">
        <x:f>IF(H1561=1,IF(E1561=1,AS1560-AR1560,AS1560)+AQ1561,0)</x:f>
        <x:v>0</x:v>
      </x:c>
      <x:c r="AT1561" s="11" t="n">
        <x:f>IF(AR1561&gt;0,MIN(1,AS1561/AR1561),1)</x:f>
        <x:v>1</x:v>
      </x:c>
      <x:c r="AU1561" s="10" t="n">
        <x:f>AB1561/INDEX(v01_RepScale,G1561)</x:f>
        <x:v>90.09519605746344</x:v>
      </x:c>
      <x:c r="AV1561" s="32" t="n">
        <x:f>AM1561*60/v01_SeasonSeconds</x:f>
        <x:v>0</x:v>
      </x:c>
    </x:row>
    <x:row r="1562">
      <x:c r="A1562" s="8" t="n">
        <x:f>A1561+1</x:f>
        <x:v>1559</x:v>
      </x:c>
      <x:c r="B1562" s="9" t="n">
        <x:f>A1562*v01_SeasonSeconds/60</x:f>
        <x:v>389.75</x:v>
      </x:c>
      <x:c r="C1562" s="9" t="n">
        <x:f>A1562/4</x:f>
        <x:v>389.75</x:v>
      </x:c>
      <x:c r="D1562" s="8" t="n">
        <x:f>IF(MOD(A1562,4)=0,1,0)</x:f>
        <x:v>0</x:v>
      </x:c>
      <x:c r="E1562" s="8" t="n">
        <x:f>IF(AND(F1561&lt;=9,AS1561&gt;=AR1561),1,0)</x:f>
        <x:v>0</x:v>
      </x:c>
      <x:c r="F1562" s="8" t="n">
        <x:f>MIN(10,F1561+E1562)</x:f>
        <x:v>10</x:v>
      </x:c>
      <x:c r="G1562" s="8" t="n">
        <x:f>MIN(F1562,9)+1</x:f>
        <x:v>10</x:v>
      </x:c>
      <x:c r="H1562" s="8" t="n">
        <x:f>IF(F1562&lt;=9,1,0)</x:f>
        <x:v>0</x:v>
      </x:c>
      <x:c r="I1562" s="9" t="n">
        <x:f>MIN(10,F1561+IF(AR1561&gt;0,MIN(1,AS1561/AR1561),1))</x:f>
        <x:v>10</x:v>
      </x:c>
      <x:c r="J1562" s="32" t="n">
        <x:f>INDEX(v01_FoodCap,G1562)*Arch_FoodCap*EXP(v01_CapsByProject*SUMPRODUCT((Cap_Point&lt;=I1562)*(Cap_Kind="Food")*Cap_Ln))</x:f>
        <x:v>12000</x:v>
      </x:c>
      <x:c r="K1562" s="32" t="n">
        <x:f>J1562*MIN(1,v01_LeanBase*EXP(v01_CapsByProject*SUMPRODUCT((Cap_Point&lt;=I1562)*(Cap_Kind="Lean")*Cap_Ln)))</x:f>
        <x:v>12000</x:v>
      </x:c>
      <x:c r="L1562" s="10" t="n">
        <x:f>INDEX(v01_HousingCap,G1562)*EXP(v01_CapsByProject*SUMPRODUCT((Cap_Point&lt;=I1562)*(Cap_Kind="Housing")*Cap_Ln))</x:f>
        <x:v>20000</x:v>
      </x:c>
      <x:c r="M1562" s="10" t="n">
        <x:f>INDEX(v01_GroupCap,G1562)*v01_CohesionFactor*EXP(v01_CapsByProject*SUMPRODUCT((Cap_Point&lt;=I1562)*(Cap_Kind="Group")*Cap_Ln))</x:f>
        <x:v>1000000</x:v>
      </x:c>
      <x:c r="N1562" s="32" t="n">
        <x:f>MIN(J1562,L1562,M1562)</x:f>
        <x:v>12000</x:v>
      </x:c>
      <x:c r="O1562" s="10" t="n">
        <x:f>AE1561*N1562</x:f>
        <x:v>180000</x:v>
      </x:c>
      <x:c r="P1562" s="9" t="n">
        <x:f>MIN(1,(AB1561/(AE1561*IF(v01_GroupInCrowding=1,N1562,MIN(J1562,L1562))))^v01_CrowdingExp)</x:f>
        <x:v>0.00024569414295285325</x:v>
      </x:c>
      <x:c r="Q1562" s="9" t="n">
        <x:f>IF(D1562=1,INDEX(v01_WinterMult,G1562),1)</x:f>
        <x:v>1</x:v>
      </x:c>
      <x:c r="R1562" s="9" t="n">
        <x:f>H1562*Z1561*v01_WomenShare*v01_BaseFertility*INDEX(v01_FertMult,G1562)*Arch_Fertility*(1-P1562)</x:f>
        <x:v>0</x:v>
      </x:c>
      <x:c r="S1562" s="9" t="n">
        <x:f>H1562*Y1561*INDEX(v01_MortChild,G1562)/4*Q1562</x:f>
        <x:v>0</x:v>
      </x:c>
      <x:c r="T1562" s="9" t="n">
        <x:f>H1562*Z1561*INDEX(v01_MortAdult,G1562)*Arch_AdultMort/4*Q1562</x:f>
        <x:v>0</x:v>
      </x:c>
      <x:c r="U1562" s="9" t="n">
        <x:f>H1562*AA1561*INDEX(v01_MortElder,G1562)/4*Q1562</x:f>
        <x:v>0</x:v>
      </x:c>
      <x:c r="V1562" s="9" t="n">
        <x:f>H1562*MAX(0,AB1561-O1562)*v01_OvercapLoss</x:f>
        <x:v>0</x:v>
      </x:c>
      <x:c r="W1562" s="9" t="n">
        <x:f>H1562*Y1561/(v01_ChildYears*4)</x:f>
        <x:v>0</x:v>
      </x:c>
      <x:c r="X1562" s="9" t="n">
        <x:f>H1562*Z1561/(v01_AdultYears*4)</x:f>
        <x:v>0</x:v>
      </x:c>
      <x:c r="Y1562" s="32" t="n">
        <x:f>Y1561+R1562-S1562-W1562-Y1561*V1562/AB1561</x:f>
        <x:v>14306.18539759397</x:v>
      </x:c>
      <x:c r="Z1562" s="32" t="n">
        <x:f>Z1561+W1562-X1562-T1562-Z1561*V1562/AB1561</x:f>
        <x:v>19354.456567879548</x:v>
      </x:c>
      <x:c r="AA1562" s="32" t="n">
        <x:f>AA1561+X1562-U1562-AA1561*V1562/AB1561</x:f>
        <x:v>11386.956063258198</x:v>
      </x:c>
      <x:c r="AB1562" s="10" t="n">
        <x:f>Y1562+Z1562+AA1562</x:f>
        <x:v>45047.59802873172</x:v>
      </x:c>
      <x:c r="AC1562" s="8" t="n">
        <x:f>IF(AND(v01_WinterTrigger=1,D1562=1,AB1561/AE1561&gt;=K1562),1,0)</x:f>
        <x:v>0</x:v>
      </x:c>
      <x:c r="AD1562" s="8" t="n">
        <x:f>H1562*IF(AND(OR(AB1561/AE1561&gt;=v01_FissionTrigger*N1562,AC1562=1),AB1561/AE1561*v01_DaughterShare&gt;=v01_MinDaughter),MAX(1,ROUND(AE1561*v01_FissionRate,0)),0)</x:f>
        <x:v>0</x:v>
      </x:c>
      <x:c r="AE1562" s="8" t="n">
        <x:f>IF(H1562=1,MAX(1,MIN(INDEX(v01_Smax,G1562),AE1561+AD1562)),AE1561)</x:f>
        <x:v>15</x:v>
      </x:c>
      <x:c r="AF1562" s="8" t="n">
        <x:f>MAX(0,AE1562-AE1561)</x:f>
        <x:v>0</x:v>
      </x:c>
      <x:c r="AG1562" s="9" t="str">
        <x:f>IF(AF1562&gt;0,B1562,"")</x:f>
      </x:c>
      <x:c r="AH1562" s="9" t="n">
        <x:f>IF(F1562&gt;=1,1,(1+v01_LowTiesShare*(AE1562-1))/AE1562)</x:f>
        <x:v>1</x:v>
      </x:c>
      <x:c r="AI1562" s="32" t="n">
        <x:f>(Z1562+v01_ElderCommons*INDEX(LM_Elder,G1562)*AA1562)*AH1562</x:f>
        <x:v>64139.732591141874</x:v>
      </x:c>
      <x:c r="AJ1562" s="32" t="n">
        <x:f>H1562*v01_CommonsCoef*AI1562^v01_CommonsExp*INDEX(LM_Commons,G1562)</x:f>
        <x:v>0</x:v>
      </x:c>
      <x:c r="AK1562" s="32" t="n">
        <x:f>H1562*v01_RoleScale*Arch_Roles*(AE1562*(INDEX(v01_ElderRolePerSett,G1562)*v01_OutElder*INDEX(LM_Elder,G1562)+INDEX(v01_ShamanPerSett,G1562)*v01_OutShaman)+Z1562*(INDEX(v01_PriestShare,G1562)*v01_OutPriest+INDEX(v01_ScribeShare,G1562)*v01_OutScribe*INDEX(LM_Scribe,G1562)+INDEX(v01_ScholarShare,G1562)*v01_OutScholar*INDEX(LM_Scholar,G1562)+INDEX(v01_ResearcherShare,G1562)*v01_OutResearcher*INDEX(LM_Researcher,G1562)))</x:f>
        <x:v>0</x:v>
      </x:c>
      <x:c r="AL1562" s="32" t="n">
        <x:f>H1562*v01_RoleScale*Arch_Roles*AE1562*INDEX(v01_MonasteryPerSett,G1562)*v01_OutMonastery*INDEX(LM_Monastery,G1562)</x:f>
        <x:v>0</x:v>
      </x:c>
      <x:c r="AM1562" s="32" t="n">
        <x:f>(AJ1562+AK1562+AL1562)/4*INDEX(LM_All,G1562)*INDEX(v01_Boon,G1562)*Arch_Insight</x:f>
        <x:v>0</x:v>
      </x:c>
      <x:c r="AN1562" s="32" t="n">
        <x:f>H1562*(v01_KHPerAdult*Z1562+v01_KHOfCommons*AJ1562/4*INDEX(LM_All,G1562))*v01_KHUsable*Arch_KH</x:f>
        <x:v>0</x:v>
      </x:c>
      <x:c r="AO1562" s="32" t="n">
        <x:f>MIN(AP1561+AN1562,AM1562*v01_KHMaxRatio)</x:f>
        <x:v>0</x:v>
      </x:c>
      <x:c r="AP1562" s="32" t="n">
        <x:f>AP1561+AN1562-AO1562</x:f>
        <x:v>0</x:v>
      </x:c>
      <x:c r="AQ1562" s="32" t="n">
        <x:f>AM1562+AO1562</x:f>
        <x:v>0</x:v>
      </x:c>
      <x:c r="AR1562" s="10" t="n">
        <x:f>IF(H1562=1,INDEX(v01_Req,G1562),0)</x:f>
        <x:v>0</x:v>
      </x:c>
      <x:c r="AS1562" s="32" t="n">
        <x:f>IF(H1562=1,IF(E1562=1,AS1561-AR1561,AS1561)+AQ1562,0)</x:f>
        <x:v>0</x:v>
      </x:c>
      <x:c r="AT1562" s="11" t="n">
        <x:f>IF(AR1562&gt;0,MIN(1,AS1562/AR1562),1)</x:f>
        <x:v>1</x:v>
      </x:c>
      <x:c r="AU1562" s="10" t="n">
        <x:f>AB1562/INDEX(v01_RepScale,G1562)</x:f>
        <x:v>90.09519605746344</x:v>
      </x:c>
      <x:c r="AV1562" s="32" t="n">
        <x:f>AM1562*60/v01_SeasonSeconds</x:f>
        <x:v>0</x:v>
      </x:c>
    </x:row>
    <x:row r="1563">
      <x:c r="A1563" s="8" t="n">
        <x:f>A1562+1</x:f>
        <x:v>1560</x:v>
      </x:c>
      <x:c r="B1563" s="9" t="n">
        <x:f>A1563*v01_SeasonSeconds/60</x:f>
        <x:v>390</x:v>
      </x:c>
      <x:c r="C1563" s="9" t="n">
        <x:f>A1563/4</x:f>
        <x:v>390</x:v>
      </x:c>
      <x:c r="D1563" s="8" t="n">
        <x:f>IF(MOD(A1563,4)=0,1,0)</x:f>
        <x:v>1</x:v>
      </x:c>
      <x:c r="E1563" s="8" t="n">
        <x:f>IF(AND(F1562&lt;=9,AS1562&gt;=AR1562),1,0)</x:f>
        <x:v>0</x:v>
      </x:c>
      <x:c r="F1563" s="8" t="n">
        <x:f>MIN(10,F1562+E1563)</x:f>
        <x:v>10</x:v>
      </x:c>
      <x:c r="G1563" s="8" t="n">
        <x:f>MIN(F1563,9)+1</x:f>
        <x:v>10</x:v>
      </x:c>
      <x:c r="H1563" s="8" t="n">
        <x:f>IF(F1563&lt;=9,1,0)</x:f>
        <x:v>0</x:v>
      </x:c>
      <x:c r="I1563" s="9" t="n">
        <x:f>MIN(10,F1562+IF(AR1562&gt;0,MIN(1,AS1562/AR1562),1))</x:f>
        <x:v>10</x:v>
      </x:c>
      <x:c r="J1563" s="32" t="n">
        <x:f>INDEX(v01_FoodCap,G1563)*Arch_FoodCap*EXP(v01_CapsByProject*SUMPRODUCT((Cap_Point&lt;=I1563)*(Cap_Kind="Food")*Cap_Ln))</x:f>
        <x:v>12000</x:v>
      </x:c>
      <x:c r="K1563" s="32" t="n">
        <x:f>J1563*MIN(1,v01_LeanBase*EXP(v01_CapsByProject*SUMPRODUCT((Cap_Point&lt;=I1563)*(Cap_Kind="Lean")*Cap_Ln)))</x:f>
        <x:v>12000</x:v>
      </x:c>
      <x:c r="L1563" s="10" t="n">
        <x:f>INDEX(v01_HousingCap,G1563)*EXP(v01_CapsByProject*SUMPRODUCT((Cap_Point&lt;=I1563)*(Cap_Kind="Housing")*Cap_Ln))</x:f>
        <x:v>20000</x:v>
      </x:c>
      <x:c r="M1563" s="10" t="n">
        <x:f>INDEX(v01_GroupCap,G1563)*v01_CohesionFactor*EXP(v01_CapsByProject*SUMPRODUCT((Cap_Point&lt;=I1563)*(Cap_Kind="Group")*Cap_Ln))</x:f>
        <x:v>1000000</x:v>
      </x:c>
      <x:c r="N1563" s="32" t="n">
        <x:f>MIN(J1563,L1563,M1563)</x:f>
        <x:v>12000</x:v>
      </x:c>
      <x:c r="O1563" s="10" t="n">
        <x:f>AE1562*N1563</x:f>
        <x:v>180000</x:v>
      </x:c>
      <x:c r="P1563" s="9" t="n">
        <x:f>MIN(1,(AB1562/(AE1562*IF(v01_GroupInCrowding=1,N1563,MIN(J1563,L1563))))^v01_CrowdingExp)</x:f>
        <x:v>0.00024569414295285325</x:v>
      </x:c>
      <x:c r="Q1563" s="9" t="n">
        <x:f>IF(D1563=1,INDEX(v01_WinterMult,G1563),1)</x:f>
        <x:v>1</x:v>
      </x:c>
      <x:c r="R1563" s="9" t="n">
        <x:f>H1563*Z1562*v01_WomenShare*v01_BaseFertility*INDEX(v01_FertMult,G1563)*Arch_Fertility*(1-P1563)</x:f>
        <x:v>0</x:v>
      </x:c>
      <x:c r="S1563" s="9" t="n">
        <x:f>H1563*Y1562*INDEX(v01_MortChild,G1563)/4*Q1563</x:f>
        <x:v>0</x:v>
      </x:c>
      <x:c r="T1563" s="9" t="n">
        <x:f>H1563*Z1562*INDEX(v01_MortAdult,G1563)*Arch_AdultMort/4*Q1563</x:f>
        <x:v>0</x:v>
      </x:c>
      <x:c r="U1563" s="9" t="n">
        <x:f>H1563*AA1562*INDEX(v01_MortElder,G1563)/4*Q1563</x:f>
        <x:v>0</x:v>
      </x:c>
      <x:c r="V1563" s="9" t="n">
        <x:f>H1563*MAX(0,AB1562-O1563)*v01_OvercapLoss</x:f>
        <x:v>0</x:v>
      </x:c>
      <x:c r="W1563" s="9" t="n">
        <x:f>H1563*Y1562/(v01_ChildYears*4)</x:f>
        <x:v>0</x:v>
      </x:c>
      <x:c r="X1563" s="9" t="n">
        <x:f>H1563*Z1562/(v01_AdultYears*4)</x:f>
        <x:v>0</x:v>
      </x:c>
      <x:c r="Y1563" s="32" t="n">
        <x:f>Y1562+R1563-S1563-W1563-Y1562*V1563/AB1562</x:f>
        <x:v>14306.18539759397</x:v>
      </x:c>
      <x:c r="Z1563" s="32" t="n">
        <x:f>Z1562+W1563-X1563-T1563-Z1562*V1563/AB1562</x:f>
        <x:v>19354.456567879548</x:v>
      </x:c>
      <x:c r="AA1563" s="32" t="n">
        <x:f>AA1562+X1563-U1563-AA1562*V1563/AB1562</x:f>
        <x:v>11386.956063258198</x:v>
      </x:c>
      <x:c r="AB1563" s="10" t="n">
        <x:f>Y1563+Z1563+AA1563</x:f>
        <x:v>45047.59802873172</x:v>
      </x:c>
      <x:c r="AC1563" s="8" t="n">
        <x:f>IF(AND(v01_WinterTrigger=1,D1563=1,AB1562/AE1562&gt;=K1563),1,0)</x:f>
        <x:v>0</x:v>
      </x:c>
      <x:c r="AD1563" s="8" t="n">
        <x:f>H1563*IF(AND(OR(AB1562/AE1562&gt;=v01_FissionTrigger*N1563,AC1563=1),AB1562/AE1562*v01_DaughterShare&gt;=v01_MinDaughter),MAX(1,ROUND(AE1562*v01_FissionRate,0)),0)</x:f>
        <x:v>0</x:v>
      </x:c>
      <x:c r="AE1563" s="8" t="n">
        <x:f>IF(H1563=1,MAX(1,MIN(INDEX(v01_Smax,G1563),AE1562+AD1563)),AE1562)</x:f>
        <x:v>15</x:v>
      </x:c>
      <x:c r="AF1563" s="8" t="n">
        <x:f>MAX(0,AE1563-AE1562)</x:f>
        <x:v>0</x:v>
      </x:c>
      <x:c r="AG1563" s="9" t="str">
        <x:f>IF(AF1563&gt;0,B1563,"")</x:f>
      </x:c>
      <x:c r="AH1563" s="9" t="n">
        <x:f>IF(F1563&gt;=1,1,(1+v01_LowTiesShare*(AE1563-1))/AE1563)</x:f>
        <x:v>1</x:v>
      </x:c>
      <x:c r="AI1563" s="32" t="n">
        <x:f>(Z1563+v01_ElderCommons*INDEX(LM_Elder,G1563)*AA1563)*AH1563</x:f>
        <x:v>64139.732591141874</x:v>
      </x:c>
      <x:c r="AJ1563" s="32" t="n">
        <x:f>H1563*v01_CommonsCoef*AI1563^v01_CommonsExp*INDEX(LM_Commons,G1563)</x:f>
        <x:v>0</x:v>
      </x:c>
      <x:c r="AK1563" s="32" t="n">
        <x:f>H1563*v01_RoleScale*Arch_Roles*(AE1563*(INDEX(v01_ElderRolePerSett,G1563)*v01_OutElder*INDEX(LM_Elder,G1563)+INDEX(v01_ShamanPerSett,G1563)*v01_OutShaman)+Z1563*(INDEX(v01_PriestShare,G1563)*v01_OutPriest+INDEX(v01_ScribeShare,G1563)*v01_OutScribe*INDEX(LM_Scribe,G1563)+INDEX(v01_ScholarShare,G1563)*v01_OutScholar*INDEX(LM_Scholar,G1563)+INDEX(v01_ResearcherShare,G1563)*v01_OutResearcher*INDEX(LM_Researcher,G1563)))</x:f>
        <x:v>0</x:v>
      </x:c>
      <x:c r="AL1563" s="32" t="n">
        <x:f>H1563*v01_RoleScale*Arch_Roles*AE1563*INDEX(v01_MonasteryPerSett,G1563)*v01_OutMonastery*INDEX(LM_Monastery,G1563)</x:f>
        <x:v>0</x:v>
      </x:c>
      <x:c r="AM1563" s="32" t="n">
        <x:f>(AJ1563+AK1563+AL1563)/4*INDEX(LM_All,G1563)*INDEX(v01_Boon,G1563)*Arch_Insight</x:f>
        <x:v>0</x:v>
      </x:c>
      <x:c r="AN1563" s="32" t="n">
        <x:f>H1563*(v01_KHPerAdult*Z1563+v01_KHOfCommons*AJ1563/4*INDEX(LM_All,G1563))*v01_KHUsable*Arch_KH</x:f>
        <x:v>0</x:v>
      </x:c>
      <x:c r="AO1563" s="32" t="n">
        <x:f>MIN(AP1562+AN1563,AM1563*v01_KHMaxRatio)</x:f>
        <x:v>0</x:v>
      </x:c>
      <x:c r="AP1563" s="32" t="n">
        <x:f>AP1562+AN1563-AO1563</x:f>
        <x:v>0</x:v>
      </x:c>
      <x:c r="AQ1563" s="32" t="n">
        <x:f>AM1563+AO1563</x:f>
        <x:v>0</x:v>
      </x:c>
      <x:c r="AR1563" s="10" t="n">
        <x:f>IF(H1563=1,INDEX(v01_Req,G1563),0)</x:f>
        <x:v>0</x:v>
      </x:c>
      <x:c r="AS1563" s="32" t="n">
        <x:f>IF(H1563=1,IF(E1563=1,AS1562-AR1562,AS1562)+AQ1563,0)</x:f>
        <x:v>0</x:v>
      </x:c>
      <x:c r="AT1563" s="11" t="n">
        <x:f>IF(AR1563&gt;0,MIN(1,AS1563/AR1563),1)</x:f>
        <x:v>1</x:v>
      </x:c>
      <x:c r="AU1563" s="10" t="n">
        <x:f>AB1563/INDEX(v01_RepScale,G1563)</x:f>
        <x:v>90.09519605746344</x:v>
      </x:c>
      <x:c r="AV1563" s="32" t="n">
        <x:f>AM1563*60/v01_SeasonSeconds</x:f>
        <x:v>0</x:v>
      </x:c>
    </x:row>
    <x:row r="1564">
      <x:c r="A1564" s="8" t="n">
        <x:f>A1563+1</x:f>
        <x:v>1561</x:v>
      </x:c>
      <x:c r="B1564" s="9" t="n">
        <x:f>A1564*v01_SeasonSeconds/60</x:f>
        <x:v>390.25</x:v>
      </x:c>
      <x:c r="C1564" s="9" t="n">
        <x:f>A1564/4</x:f>
        <x:v>390.25</x:v>
      </x:c>
      <x:c r="D1564" s="8" t="n">
        <x:f>IF(MOD(A1564,4)=0,1,0)</x:f>
        <x:v>0</x:v>
      </x:c>
      <x:c r="E1564" s="8" t="n">
        <x:f>IF(AND(F1563&lt;=9,AS1563&gt;=AR1563),1,0)</x:f>
        <x:v>0</x:v>
      </x:c>
      <x:c r="F1564" s="8" t="n">
        <x:f>MIN(10,F1563+E1564)</x:f>
        <x:v>10</x:v>
      </x:c>
      <x:c r="G1564" s="8" t="n">
        <x:f>MIN(F1564,9)+1</x:f>
        <x:v>10</x:v>
      </x:c>
      <x:c r="H1564" s="8" t="n">
        <x:f>IF(F1564&lt;=9,1,0)</x:f>
        <x:v>0</x:v>
      </x:c>
      <x:c r="I1564" s="9" t="n">
        <x:f>MIN(10,F1563+IF(AR1563&gt;0,MIN(1,AS1563/AR1563),1))</x:f>
        <x:v>10</x:v>
      </x:c>
      <x:c r="J1564" s="32" t="n">
        <x:f>INDEX(v01_FoodCap,G1564)*Arch_FoodCap*EXP(v01_CapsByProject*SUMPRODUCT((Cap_Point&lt;=I1564)*(Cap_Kind="Food")*Cap_Ln))</x:f>
        <x:v>12000</x:v>
      </x:c>
      <x:c r="K1564" s="32" t="n">
        <x:f>J1564*MIN(1,v01_LeanBase*EXP(v01_CapsByProject*SUMPRODUCT((Cap_Point&lt;=I1564)*(Cap_Kind="Lean")*Cap_Ln)))</x:f>
        <x:v>12000</x:v>
      </x:c>
      <x:c r="L1564" s="10" t="n">
        <x:f>INDEX(v01_HousingCap,G1564)*EXP(v01_CapsByProject*SUMPRODUCT((Cap_Point&lt;=I1564)*(Cap_Kind="Housing")*Cap_Ln))</x:f>
        <x:v>20000</x:v>
      </x:c>
      <x:c r="M1564" s="10" t="n">
        <x:f>INDEX(v01_GroupCap,G1564)*v01_CohesionFactor*EXP(v01_CapsByProject*SUMPRODUCT((Cap_Point&lt;=I1564)*(Cap_Kind="Group")*Cap_Ln))</x:f>
        <x:v>1000000</x:v>
      </x:c>
      <x:c r="N1564" s="32" t="n">
        <x:f>MIN(J1564,L1564,M1564)</x:f>
        <x:v>12000</x:v>
      </x:c>
      <x:c r="O1564" s="10" t="n">
        <x:f>AE1563*N1564</x:f>
        <x:v>180000</x:v>
      </x:c>
      <x:c r="P1564" s="9" t="n">
        <x:f>MIN(1,(AB1563/(AE1563*IF(v01_GroupInCrowding=1,N1564,MIN(J1564,L1564))))^v01_CrowdingExp)</x:f>
        <x:v>0.00024569414295285325</x:v>
      </x:c>
      <x:c r="Q1564" s="9" t="n">
        <x:f>IF(D1564=1,INDEX(v01_WinterMult,G1564),1)</x:f>
        <x:v>1</x:v>
      </x:c>
      <x:c r="R1564" s="9" t="n">
        <x:f>H1564*Z1563*v01_WomenShare*v01_BaseFertility*INDEX(v01_FertMult,G1564)*Arch_Fertility*(1-P1564)</x:f>
        <x:v>0</x:v>
      </x:c>
      <x:c r="S1564" s="9" t="n">
        <x:f>H1564*Y1563*INDEX(v01_MortChild,G1564)/4*Q1564</x:f>
        <x:v>0</x:v>
      </x:c>
      <x:c r="T1564" s="9" t="n">
        <x:f>H1564*Z1563*INDEX(v01_MortAdult,G1564)*Arch_AdultMort/4*Q1564</x:f>
        <x:v>0</x:v>
      </x:c>
      <x:c r="U1564" s="9" t="n">
        <x:f>H1564*AA1563*INDEX(v01_MortElder,G1564)/4*Q1564</x:f>
        <x:v>0</x:v>
      </x:c>
      <x:c r="V1564" s="9" t="n">
        <x:f>H1564*MAX(0,AB1563-O1564)*v01_OvercapLoss</x:f>
        <x:v>0</x:v>
      </x:c>
      <x:c r="W1564" s="9" t="n">
        <x:f>H1564*Y1563/(v01_ChildYears*4)</x:f>
        <x:v>0</x:v>
      </x:c>
      <x:c r="X1564" s="9" t="n">
        <x:f>H1564*Z1563/(v01_AdultYears*4)</x:f>
        <x:v>0</x:v>
      </x:c>
      <x:c r="Y1564" s="32" t="n">
        <x:f>Y1563+R1564-S1564-W1564-Y1563*V1564/AB1563</x:f>
        <x:v>14306.18539759397</x:v>
      </x:c>
      <x:c r="Z1564" s="32" t="n">
        <x:f>Z1563+W1564-X1564-T1564-Z1563*V1564/AB1563</x:f>
        <x:v>19354.456567879548</x:v>
      </x:c>
      <x:c r="AA1564" s="32" t="n">
        <x:f>AA1563+X1564-U1564-AA1563*V1564/AB1563</x:f>
        <x:v>11386.956063258198</x:v>
      </x:c>
      <x:c r="AB1564" s="10" t="n">
        <x:f>Y1564+Z1564+AA1564</x:f>
        <x:v>45047.59802873172</x:v>
      </x:c>
      <x:c r="AC1564" s="8" t="n">
        <x:f>IF(AND(v01_WinterTrigger=1,D1564=1,AB1563/AE1563&gt;=K1564),1,0)</x:f>
        <x:v>0</x:v>
      </x:c>
      <x:c r="AD1564" s="8" t="n">
        <x:f>H1564*IF(AND(OR(AB1563/AE1563&gt;=v01_FissionTrigger*N1564,AC1564=1),AB1563/AE1563*v01_DaughterShare&gt;=v01_MinDaughter),MAX(1,ROUND(AE1563*v01_FissionRate,0)),0)</x:f>
        <x:v>0</x:v>
      </x:c>
      <x:c r="AE1564" s="8" t="n">
        <x:f>IF(H1564=1,MAX(1,MIN(INDEX(v01_Smax,G1564),AE1563+AD1564)),AE1563)</x:f>
        <x:v>15</x:v>
      </x:c>
      <x:c r="AF1564" s="8" t="n">
        <x:f>MAX(0,AE1564-AE1563)</x:f>
        <x:v>0</x:v>
      </x:c>
      <x:c r="AG1564" s="9" t="str">
        <x:f>IF(AF1564&gt;0,B1564,"")</x:f>
      </x:c>
      <x:c r="AH1564" s="9" t="n">
        <x:f>IF(F1564&gt;=1,1,(1+v01_LowTiesShare*(AE1564-1))/AE1564)</x:f>
        <x:v>1</x:v>
      </x:c>
      <x:c r="AI1564" s="32" t="n">
        <x:f>(Z1564+v01_ElderCommons*INDEX(LM_Elder,G1564)*AA1564)*AH1564</x:f>
        <x:v>64139.732591141874</x:v>
      </x:c>
      <x:c r="AJ1564" s="32" t="n">
        <x:f>H1564*v01_CommonsCoef*AI1564^v01_CommonsExp*INDEX(LM_Commons,G1564)</x:f>
        <x:v>0</x:v>
      </x:c>
      <x:c r="AK1564" s="32" t="n">
        <x:f>H1564*v01_RoleScale*Arch_Roles*(AE1564*(INDEX(v01_ElderRolePerSett,G1564)*v01_OutElder*INDEX(LM_Elder,G1564)+INDEX(v01_ShamanPerSett,G1564)*v01_OutShaman)+Z1564*(INDEX(v01_PriestShare,G1564)*v01_OutPriest+INDEX(v01_ScribeShare,G1564)*v01_OutScribe*INDEX(LM_Scribe,G1564)+INDEX(v01_ScholarShare,G1564)*v01_OutScholar*INDEX(LM_Scholar,G1564)+INDEX(v01_ResearcherShare,G1564)*v01_OutResearcher*INDEX(LM_Researcher,G1564)))</x:f>
        <x:v>0</x:v>
      </x:c>
      <x:c r="AL1564" s="32" t="n">
        <x:f>H1564*v01_RoleScale*Arch_Roles*AE1564*INDEX(v01_MonasteryPerSett,G1564)*v01_OutMonastery*INDEX(LM_Monastery,G1564)</x:f>
        <x:v>0</x:v>
      </x:c>
      <x:c r="AM1564" s="32" t="n">
        <x:f>(AJ1564+AK1564+AL1564)/4*INDEX(LM_All,G1564)*INDEX(v01_Boon,G1564)*Arch_Insight</x:f>
        <x:v>0</x:v>
      </x:c>
      <x:c r="AN1564" s="32" t="n">
        <x:f>H1564*(v01_KHPerAdult*Z1564+v01_KHOfCommons*AJ1564/4*INDEX(LM_All,G1564))*v01_KHUsable*Arch_KH</x:f>
        <x:v>0</x:v>
      </x:c>
      <x:c r="AO1564" s="32" t="n">
        <x:f>MIN(AP1563+AN1564,AM1564*v01_KHMaxRatio)</x:f>
        <x:v>0</x:v>
      </x:c>
      <x:c r="AP1564" s="32" t="n">
        <x:f>AP1563+AN1564-AO1564</x:f>
        <x:v>0</x:v>
      </x:c>
      <x:c r="AQ1564" s="32" t="n">
        <x:f>AM1564+AO1564</x:f>
        <x:v>0</x:v>
      </x:c>
      <x:c r="AR1564" s="10" t="n">
        <x:f>IF(H1564=1,INDEX(v01_Req,G1564),0)</x:f>
        <x:v>0</x:v>
      </x:c>
      <x:c r="AS1564" s="32" t="n">
        <x:f>IF(H1564=1,IF(E1564=1,AS1563-AR1563,AS1563)+AQ1564,0)</x:f>
        <x:v>0</x:v>
      </x:c>
      <x:c r="AT1564" s="11" t="n">
        <x:f>IF(AR1564&gt;0,MIN(1,AS1564/AR1564),1)</x:f>
        <x:v>1</x:v>
      </x:c>
      <x:c r="AU1564" s="10" t="n">
        <x:f>AB1564/INDEX(v01_RepScale,G1564)</x:f>
        <x:v>90.09519605746344</x:v>
      </x:c>
      <x:c r="AV1564" s="32" t="n">
        <x:f>AM1564*60/v01_SeasonSeconds</x:f>
        <x:v>0</x:v>
      </x:c>
    </x:row>
    <x:row r="1565">
      <x:c r="A1565" s="8" t="n">
        <x:f>A1564+1</x:f>
        <x:v>1562</x:v>
      </x:c>
      <x:c r="B1565" s="9" t="n">
        <x:f>A1565*v01_SeasonSeconds/60</x:f>
        <x:v>390.5</x:v>
      </x:c>
      <x:c r="C1565" s="9" t="n">
        <x:f>A1565/4</x:f>
        <x:v>390.5</x:v>
      </x:c>
      <x:c r="D1565" s="8" t="n">
        <x:f>IF(MOD(A1565,4)=0,1,0)</x:f>
        <x:v>0</x:v>
      </x:c>
      <x:c r="E1565" s="8" t="n">
        <x:f>IF(AND(F1564&lt;=9,AS1564&gt;=AR1564),1,0)</x:f>
        <x:v>0</x:v>
      </x:c>
      <x:c r="F1565" s="8" t="n">
        <x:f>MIN(10,F1564+E1565)</x:f>
        <x:v>10</x:v>
      </x:c>
      <x:c r="G1565" s="8" t="n">
        <x:f>MIN(F1565,9)+1</x:f>
        <x:v>10</x:v>
      </x:c>
      <x:c r="H1565" s="8" t="n">
        <x:f>IF(F1565&lt;=9,1,0)</x:f>
        <x:v>0</x:v>
      </x:c>
      <x:c r="I1565" s="9" t="n">
        <x:f>MIN(10,F1564+IF(AR1564&gt;0,MIN(1,AS1564/AR1564),1))</x:f>
        <x:v>10</x:v>
      </x:c>
      <x:c r="J1565" s="32" t="n">
        <x:f>INDEX(v01_FoodCap,G1565)*Arch_FoodCap*EXP(v01_CapsByProject*SUMPRODUCT((Cap_Point&lt;=I1565)*(Cap_Kind="Food")*Cap_Ln))</x:f>
        <x:v>12000</x:v>
      </x:c>
      <x:c r="K1565" s="32" t="n">
        <x:f>J1565*MIN(1,v01_LeanBase*EXP(v01_CapsByProject*SUMPRODUCT((Cap_Point&lt;=I1565)*(Cap_Kind="Lean")*Cap_Ln)))</x:f>
        <x:v>12000</x:v>
      </x:c>
      <x:c r="L1565" s="10" t="n">
        <x:f>INDEX(v01_HousingCap,G1565)*EXP(v01_CapsByProject*SUMPRODUCT((Cap_Point&lt;=I1565)*(Cap_Kind="Housing")*Cap_Ln))</x:f>
        <x:v>20000</x:v>
      </x:c>
      <x:c r="M1565" s="10" t="n">
        <x:f>INDEX(v01_GroupCap,G1565)*v01_CohesionFactor*EXP(v01_CapsByProject*SUMPRODUCT((Cap_Point&lt;=I1565)*(Cap_Kind="Group")*Cap_Ln))</x:f>
        <x:v>1000000</x:v>
      </x:c>
      <x:c r="N1565" s="32" t="n">
        <x:f>MIN(J1565,L1565,M1565)</x:f>
        <x:v>12000</x:v>
      </x:c>
      <x:c r="O1565" s="10" t="n">
        <x:f>AE1564*N1565</x:f>
        <x:v>180000</x:v>
      </x:c>
      <x:c r="P1565" s="9" t="n">
        <x:f>MIN(1,(AB1564/(AE1564*IF(v01_GroupInCrowding=1,N1565,MIN(J1565,L1565))))^v01_CrowdingExp)</x:f>
        <x:v>0.00024569414295285325</x:v>
      </x:c>
      <x:c r="Q1565" s="9" t="n">
        <x:f>IF(D1565=1,INDEX(v01_WinterMult,G1565),1)</x:f>
        <x:v>1</x:v>
      </x:c>
      <x:c r="R1565" s="9" t="n">
        <x:f>H1565*Z1564*v01_WomenShare*v01_BaseFertility*INDEX(v01_FertMult,G1565)*Arch_Fertility*(1-P1565)</x:f>
        <x:v>0</x:v>
      </x:c>
      <x:c r="S1565" s="9" t="n">
        <x:f>H1565*Y1564*INDEX(v01_MortChild,G1565)/4*Q1565</x:f>
        <x:v>0</x:v>
      </x:c>
      <x:c r="T1565" s="9" t="n">
        <x:f>H1565*Z1564*INDEX(v01_MortAdult,G1565)*Arch_AdultMort/4*Q1565</x:f>
        <x:v>0</x:v>
      </x:c>
      <x:c r="U1565" s="9" t="n">
        <x:f>H1565*AA1564*INDEX(v01_MortElder,G1565)/4*Q1565</x:f>
        <x:v>0</x:v>
      </x:c>
      <x:c r="V1565" s="9" t="n">
        <x:f>H1565*MAX(0,AB1564-O1565)*v01_OvercapLoss</x:f>
        <x:v>0</x:v>
      </x:c>
      <x:c r="W1565" s="9" t="n">
        <x:f>H1565*Y1564/(v01_ChildYears*4)</x:f>
        <x:v>0</x:v>
      </x:c>
      <x:c r="X1565" s="9" t="n">
        <x:f>H1565*Z1564/(v01_AdultYears*4)</x:f>
        <x:v>0</x:v>
      </x:c>
      <x:c r="Y1565" s="32" t="n">
        <x:f>Y1564+R1565-S1565-W1565-Y1564*V1565/AB1564</x:f>
        <x:v>14306.18539759397</x:v>
      </x:c>
      <x:c r="Z1565" s="32" t="n">
        <x:f>Z1564+W1565-X1565-T1565-Z1564*V1565/AB1564</x:f>
        <x:v>19354.456567879548</x:v>
      </x:c>
      <x:c r="AA1565" s="32" t="n">
        <x:f>AA1564+X1565-U1565-AA1564*V1565/AB1564</x:f>
        <x:v>11386.956063258198</x:v>
      </x:c>
      <x:c r="AB1565" s="10" t="n">
        <x:f>Y1565+Z1565+AA1565</x:f>
        <x:v>45047.59802873172</x:v>
      </x:c>
      <x:c r="AC1565" s="8" t="n">
        <x:f>IF(AND(v01_WinterTrigger=1,D1565=1,AB1564/AE1564&gt;=K1565),1,0)</x:f>
        <x:v>0</x:v>
      </x:c>
      <x:c r="AD1565" s="8" t="n">
        <x:f>H1565*IF(AND(OR(AB1564/AE1564&gt;=v01_FissionTrigger*N1565,AC1565=1),AB1564/AE1564*v01_DaughterShare&gt;=v01_MinDaughter),MAX(1,ROUND(AE1564*v01_FissionRate,0)),0)</x:f>
        <x:v>0</x:v>
      </x:c>
      <x:c r="AE1565" s="8" t="n">
        <x:f>IF(H1565=1,MAX(1,MIN(INDEX(v01_Smax,G1565),AE1564+AD1565)),AE1564)</x:f>
        <x:v>15</x:v>
      </x:c>
      <x:c r="AF1565" s="8" t="n">
        <x:f>MAX(0,AE1565-AE1564)</x:f>
        <x:v>0</x:v>
      </x:c>
      <x:c r="AG1565" s="9" t="str">
        <x:f>IF(AF1565&gt;0,B1565,"")</x:f>
      </x:c>
      <x:c r="AH1565" s="9" t="n">
        <x:f>IF(F1565&gt;=1,1,(1+v01_LowTiesShare*(AE1565-1))/AE1565)</x:f>
        <x:v>1</x:v>
      </x:c>
      <x:c r="AI1565" s="32" t="n">
        <x:f>(Z1565+v01_ElderCommons*INDEX(LM_Elder,G1565)*AA1565)*AH1565</x:f>
        <x:v>64139.732591141874</x:v>
      </x:c>
      <x:c r="AJ1565" s="32" t="n">
        <x:f>H1565*v01_CommonsCoef*AI1565^v01_CommonsExp*INDEX(LM_Commons,G1565)</x:f>
        <x:v>0</x:v>
      </x:c>
      <x:c r="AK1565" s="32" t="n">
        <x:f>H1565*v01_RoleScale*Arch_Roles*(AE1565*(INDEX(v01_ElderRolePerSett,G1565)*v01_OutElder*INDEX(LM_Elder,G1565)+INDEX(v01_ShamanPerSett,G1565)*v01_OutShaman)+Z1565*(INDEX(v01_PriestShare,G1565)*v01_OutPriest+INDEX(v01_ScribeShare,G1565)*v01_OutScribe*INDEX(LM_Scribe,G1565)+INDEX(v01_ScholarShare,G1565)*v01_OutScholar*INDEX(LM_Scholar,G1565)+INDEX(v01_ResearcherShare,G1565)*v01_OutResearcher*INDEX(LM_Researcher,G1565)))</x:f>
        <x:v>0</x:v>
      </x:c>
      <x:c r="AL1565" s="32" t="n">
        <x:f>H1565*v01_RoleScale*Arch_Roles*AE1565*INDEX(v01_MonasteryPerSett,G1565)*v01_OutMonastery*INDEX(LM_Monastery,G1565)</x:f>
        <x:v>0</x:v>
      </x:c>
      <x:c r="AM1565" s="32" t="n">
        <x:f>(AJ1565+AK1565+AL1565)/4*INDEX(LM_All,G1565)*INDEX(v01_Boon,G1565)*Arch_Insight</x:f>
        <x:v>0</x:v>
      </x:c>
      <x:c r="AN1565" s="32" t="n">
        <x:f>H1565*(v01_KHPerAdult*Z1565+v01_KHOfCommons*AJ1565/4*INDEX(LM_All,G1565))*v01_KHUsable*Arch_KH</x:f>
        <x:v>0</x:v>
      </x:c>
      <x:c r="AO1565" s="32" t="n">
        <x:f>MIN(AP1564+AN1565,AM1565*v01_KHMaxRatio)</x:f>
        <x:v>0</x:v>
      </x:c>
      <x:c r="AP1565" s="32" t="n">
        <x:f>AP1564+AN1565-AO1565</x:f>
        <x:v>0</x:v>
      </x:c>
      <x:c r="AQ1565" s="32" t="n">
        <x:f>AM1565+AO1565</x:f>
        <x:v>0</x:v>
      </x:c>
      <x:c r="AR1565" s="10" t="n">
        <x:f>IF(H1565=1,INDEX(v01_Req,G1565),0)</x:f>
        <x:v>0</x:v>
      </x:c>
      <x:c r="AS1565" s="32" t="n">
        <x:f>IF(H1565=1,IF(E1565=1,AS1564-AR1564,AS1564)+AQ1565,0)</x:f>
        <x:v>0</x:v>
      </x:c>
      <x:c r="AT1565" s="11" t="n">
        <x:f>IF(AR1565&gt;0,MIN(1,AS1565/AR1565),1)</x:f>
        <x:v>1</x:v>
      </x:c>
      <x:c r="AU1565" s="10" t="n">
        <x:f>AB1565/INDEX(v01_RepScale,G1565)</x:f>
        <x:v>90.09519605746344</x:v>
      </x:c>
      <x:c r="AV1565" s="32" t="n">
        <x:f>AM1565*60/v01_SeasonSeconds</x:f>
        <x:v>0</x:v>
      </x:c>
    </x:row>
    <x:row r="1566">
      <x:c r="A1566" s="8" t="n">
        <x:f>A1565+1</x:f>
        <x:v>1563</x:v>
      </x:c>
      <x:c r="B1566" s="9" t="n">
        <x:f>A1566*v01_SeasonSeconds/60</x:f>
        <x:v>390.75</x:v>
      </x:c>
      <x:c r="C1566" s="9" t="n">
        <x:f>A1566/4</x:f>
        <x:v>390.75</x:v>
      </x:c>
      <x:c r="D1566" s="8" t="n">
        <x:f>IF(MOD(A1566,4)=0,1,0)</x:f>
        <x:v>0</x:v>
      </x:c>
      <x:c r="E1566" s="8" t="n">
        <x:f>IF(AND(F1565&lt;=9,AS1565&gt;=AR1565),1,0)</x:f>
        <x:v>0</x:v>
      </x:c>
      <x:c r="F1566" s="8" t="n">
        <x:f>MIN(10,F1565+E1566)</x:f>
        <x:v>10</x:v>
      </x:c>
      <x:c r="G1566" s="8" t="n">
        <x:f>MIN(F1566,9)+1</x:f>
        <x:v>10</x:v>
      </x:c>
      <x:c r="H1566" s="8" t="n">
        <x:f>IF(F1566&lt;=9,1,0)</x:f>
        <x:v>0</x:v>
      </x:c>
      <x:c r="I1566" s="9" t="n">
        <x:f>MIN(10,F1565+IF(AR1565&gt;0,MIN(1,AS1565/AR1565),1))</x:f>
        <x:v>10</x:v>
      </x:c>
      <x:c r="J1566" s="32" t="n">
        <x:f>INDEX(v01_FoodCap,G1566)*Arch_FoodCap*EXP(v01_CapsByProject*SUMPRODUCT((Cap_Point&lt;=I1566)*(Cap_Kind="Food")*Cap_Ln))</x:f>
        <x:v>12000</x:v>
      </x:c>
      <x:c r="K1566" s="32" t="n">
        <x:f>J1566*MIN(1,v01_LeanBase*EXP(v01_CapsByProject*SUMPRODUCT((Cap_Point&lt;=I1566)*(Cap_Kind="Lean")*Cap_Ln)))</x:f>
        <x:v>12000</x:v>
      </x:c>
      <x:c r="L1566" s="10" t="n">
        <x:f>INDEX(v01_HousingCap,G1566)*EXP(v01_CapsByProject*SUMPRODUCT((Cap_Point&lt;=I1566)*(Cap_Kind="Housing")*Cap_Ln))</x:f>
        <x:v>20000</x:v>
      </x:c>
      <x:c r="M1566" s="10" t="n">
        <x:f>INDEX(v01_GroupCap,G1566)*v01_CohesionFactor*EXP(v01_CapsByProject*SUMPRODUCT((Cap_Point&lt;=I1566)*(Cap_Kind="Group")*Cap_Ln))</x:f>
        <x:v>1000000</x:v>
      </x:c>
      <x:c r="N1566" s="32" t="n">
        <x:f>MIN(J1566,L1566,M1566)</x:f>
        <x:v>12000</x:v>
      </x:c>
      <x:c r="O1566" s="10" t="n">
        <x:f>AE1565*N1566</x:f>
        <x:v>180000</x:v>
      </x:c>
      <x:c r="P1566" s="9" t="n">
        <x:f>MIN(1,(AB1565/(AE1565*IF(v01_GroupInCrowding=1,N1566,MIN(J1566,L1566))))^v01_CrowdingExp)</x:f>
        <x:v>0.00024569414295285325</x:v>
      </x:c>
      <x:c r="Q1566" s="9" t="n">
        <x:f>IF(D1566=1,INDEX(v01_WinterMult,G1566),1)</x:f>
        <x:v>1</x:v>
      </x:c>
      <x:c r="R1566" s="9" t="n">
        <x:f>H1566*Z1565*v01_WomenShare*v01_BaseFertility*INDEX(v01_FertMult,G1566)*Arch_Fertility*(1-P1566)</x:f>
        <x:v>0</x:v>
      </x:c>
      <x:c r="S1566" s="9" t="n">
        <x:f>H1566*Y1565*INDEX(v01_MortChild,G1566)/4*Q1566</x:f>
        <x:v>0</x:v>
      </x:c>
      <x:c r="T1566" s="9" t="n">
        <x:f>H1566*Z1565*INDEX(v01_MortAdult,G1566)*Arch_AdultMort/4*Q1566</x:f>
        <x:v>0</x:v>
      </x:c>
      <x:c r="U1566" s="9" t="n">
        <x:f>H1566*AA1565*INDEX(v01_MortElder,G1566)/4*Q1566</x:f>
        <x:v>0</x:v>
      </x:c>
      <x:c r="V1566" s="9" t="n">
        <x:f>H1566*MAX(0,AB1565-O1566)*v01_OvercapLoss</x:f>
        <x:v>0</x:v>
      </x:c>
      <x:c r="W1566" s="9" t="n">
        <x:f>H1566*Y1565/(v01_ChildYears*4)</x:f>
        <x:v>0</x:v>
      </x:c>
      <x:c r="X1566" s="9" t="n">
        <x:f>H1566*Z1565/(v01_AdultYears*4)</x:f>
        <x:v>0</x:v>
      </x:c>
      <x:c r="Y1566" s="32" t="n">
        <x:f>Y1565+R1566-S1566-W1566-Y1565*V1566/AB1565</x:f>
        <x:v>14306.18539759397</x:v>
      </x:c>
      <x:c r="Z1566" s="32" t="n">
        <x:f>Z1565+W1566-X1566-T1566-Z1565*V1566/AB1565</x:f>
        <x:v>19354.456567879548</x:v>
      </x:c>
      <x:c r="AA1566" s="32" t="n">
        <x:f>AA1565+X1566-U1566-AA1565*V1566/AB1565</x:f>
        <x:v>11386.956063258198</x:v>
      </x:c>
      <x:c r="AB1566" s="10" t="n">
        <x:f>Y1566+Z1566+AA1566</x:f>
        <x:v>45047.59802873172</x:v>
      </x:c>
      <x:c r="AC1566" s="8" t="n">
        <x:f>IF(AND(v01_WinterTrigger=1,D1566=1,AB1565/AE1565&gt;=K1566),1,0)</x:f>
        <x:v>0</x:v>
      </x:c>
      <x:c r="AD1566" s="8" t="n">
        <x:f>H1566*IF(AND(OR(AB1565/AE1565&gt;=v01_FissionTrigger*N1566,AC1566=1),AB1565/AE1565*v01_DaughterShare&gt;=v01_MinDaughter),MAX(1,ROUND(AE1565*v01_FissionRate,0)),0)</x:f>
        <x:v>0</x:v>
      </x:c>
      <x:c r="AE1566" s="8" t="n">
        <x:f>IF(H1566=1,MAX(1,MIN(INDEX(v01_Smax,G1566),AE1565+AD1566)),AE1565)</x:f>
        <x:v>15</x:v>
      </x:c>
      <x:c r="AF1566" s="8" t="n">
        <x:f>MAX(0,AE1566-AE1565)</x:f>
        <x:v>0</x:v>
      </x:c>
      <x:c r="AG1566" s="9" t="str">
        <x:f>IF(AF1566&gt;0,B1566,"")</x:f>
      </x:c>
      <x:c r="AH1566" s="9" t="n">
        <x:f>IF(F1566&gt;=1,1,(1+v01_LowTiesShare*(AE1566-1))/AE1566)</x:f>
        <x:v>1</x:v>
      </x:c>
      <x:c r="AI1566" s="32" t="n">
        <x:f>(Z1566+v01_ElderCommons*INDEX(LM_Elder,G1566)*AA1566)*AH1566</x:f>
        <x:v>64139.732591141874</x:v>
      </x:c>
      <x:c r="AJ1566" s="32" t="n">
        <x:f>H1566*v01_CommonsCoef*AI1566^v01_CommonsExp*INDEX(LM_Commons,G1566)</x:f>
        <x:v>0</x:v>
      </x:c>
      <x:c r="AK1566" s="32" t="n">
        <x:f>H1566*v01_RoleScale*Arch_Roles*(AE1566*(INDEX(v01_ElderRolePerSett,G1566)*v01_OutElder*INDEX(LM_Elder,G1566)+INDEX(v01_ShamanPerSett,G1566)*v01_OutShaman)+Z1566*(INDEX(v01_PriestShare,G1566)*v01_OutPriest+INDEX(v01_ScribeShare,G1566)*v01_OutScribe*INDEX(LM_Scribe,G1566)+INDEX(v01_ScholarShare,G1566)*v01_OutScholar*INDEX(LM_Scholar,G1566)+INDEX(v01_ResearcherShare,G1566)*v01_OutResearcher*INDEX(LM_Researcher,G1566)))</x:f>
        <x:v>0</x:v>
      </x:c>
      <x:c r="AL1566" s="32" t="n">
        <x:f>H1566*v01_RoleScale*Arch_Roles*AE1566*INDEX(v01_MonasteryPerSett,G1566)*v01_OutMonastery*INDEX(LM_Monastery,G1566)</x:f>
        <x:v>0</x:v>
      </x:c>
      <x:c r="AM1566" s="32" t="n">
        <x:f>(AJ1566+AK1566+AL1566)/4*INDEX(LM_All,G1566)*INDEX(v01_Boon,G1566)*Arch_Insight</x:f>
        <x:v>0</x:v>
      </x:c>
      <x:c r="AN1566" s="32" t="n">
        <x:f>H1566*(v01_KHPerAdult*Z1566+v01_KHOfCommons*AJ1566/4*INDEX(LM_All,G1566))*v01_KHUsable*Arch_KH</x:f>
        <x:v>0</x:v>
      </x:c>
      <x:c r="AO1566" s="32" t="n">
        <x:f>MIN(AP1565+AN1566,AM1566*v01_KHMaxRatio)</x:f>
        <x:v>0</x:v>
      </x:c>
      <x:c r="AP1566" s="32" t="n">
        <x:f>AP1565+AN1566-AO1566</x:f>
        <x:v>0</x:v>
      </x:c>
      <x:c r="AQ1566" s="32" t="n">
        <x:f>AM1566+AO1566</x:f>
        <x:v>0</x:v>
      </x:c>
      <x:c r="AR1566" s="10" t="n">
        <x:f>IF(H1566=1,INDEX(v01_Req,G1566),0)</x:f>
        <x:v>0</x:v>
      </x:c>
      <x:c r="AS1566" s="32" t="n">
        <x:f>IF(H1566=1,IF(E1566=1,AS1565-AR1565,AS1565)+AQ1566,0)</x:f>
        <x:v>0</x:v>
      </x:c>
      <x:c r="AT1566" s="11" t="n">
        <x:f>IF(AR1566&gt;0,MIN(1,AS1566/AR1566),1)</x:f>
        <x:v>1</x:v>
      </x:c>
      <x:c r="AU1566" s="10" t="n">
        <x:f>AB1566/INDEX(v01_RepScale,G1566)</x:f>
        <x:v>90.09519605746344</x:v>
      </x:c>
      <x:c r="AV1566" s="32" t="n">
        <x:f>AM1566*60/v01_SeasonSeconds</x:f>
        <x:v>0</x:v>
      </x:c>
    </x:row>
    <x:row r="1567">
      <x:c r="A1567" s="8" t="n">
        <x:f>A1566+1</x:f>
        <x:v>1564</x:v>
      </x:c>
      <x:c r="B1567" s="9" t="n">
        <x:f>A1567*v01_SeasonSeconds/60</x:f>
        <x:v>391</x:v>
      </x:c>
      <x:c r="C1567" s="9" t="n">
        <x:f>A1567/4</x:f>
        <x:v>391</x:v>
      </x:c>
      <x:c r="D1567" s="8" t="n">
        <x:f>IF(MOD(A1567,4)=0,1,0)</x:f>
        <x:v>1</x:v>
      </x:c>
      <x:c r="E1567" s="8" t="n">
        <x:f>IF(AND(F1566&lt;=9,AS1566&gt;=AR1566),1,0)</x:f>
        <x:v>0</x:v>
      </x:c>
      <x:c r="F1567" s="8" t="n">
        <x:f>MIN(10,F1566+E1567)</x:f>
        <x:v>10</x:v>
      </x:c>
      <x:c r="G1567" s="8" t="n">
        <x:f>MIN(F1567,9)+1</x:f>
        <x:v>10</x:v>
      </x:c>
      <x:c r="H1567" s="8" t="n">
        <x:f>IF(F1567&lt;=9,1,0)</x:f>
        <x:v>0</x:v>
      </x:c>
      <x:c r="I1567" s="9" t="n">
        <x:f>MIN(10,F1566+IF(AR1566&gt;0,MIN(1,AS1566/AR1566),1))</x:f>
        <x:v>10</x:v>
      </x:c>
      <x:c r="J1567" s="32" t="n">
        <x:f>INDEX(v01_FoodCap,G1567)*Arch_FoodCap*EXP(v01_CapsByProject*SUMPRODUCT((Cap_Point&lt;=I1567)*(Cap_Kind="Food")*Cap_Ln))</x:f>
        <x:v>12000</x:v>
      </x:c>
      <x:c r="K1567" s="32" t="n">
        <x:f>J1567*MIN(1,v01_LeanBase*EXP(v01_CapsByProject*SUMPRODUCT((Cap_Point&lt;=I1567)*(Cap_Kind="Lean")*Cap_Ln)))</x:f>
        <x:v>12000</x:v>
      </x:c>
      <x:c r="L1567" s="10" t="n">
        <x:f>INDEX(v01_HousingCap,G1567)*EXP(v01_CapsByProject*SUMPRODUCT((Cap_Point&lt;=I1567)*(Cap_Kind="Housing")*Cap_Ln))</x:f>
        <x:v>20000</x:v>
      </x:c>
      <x:c r="M1567" s="10" t="n">
        <x:f>INDEX(v01_GroupCap,G1567)*v01_CohesionFactor*EXP(v01_CapsByProject*SUMPRODUCT((Cap_Point&lt;=I1567)*(Cap_Kind="Group")*Cap_Ln))</x:f>
        <x:v>1000000</x:v>
      </x:c>
      <x:c r="N1567" s="32" t="n">
        <x:f>MIN(J1567,L1567,M1567)</x:f>
        <x:v>12000</x:v>
      </x:c>
      <x:c r="O1567" s="10" t="n">
        <x:f>AE1566*N1567</x:f>
        <x:v>180000</x:v>
      </x:c>
      <x:c r="P1567" s="9" t="n">
        <x:f>MIN(1,(AB1566/(AE1566*IF(v01_GroupInCrowding=1,N1567,MIN(J1567,L1567))))^v01_CrowdingExp)</x:f>
        <x:v>0.00024569414295285325</x:v>
      </x:c>
      <x:c r="Q1567" s="9" t="n">
        <x:f>IF(D1567=1,INDEX(v01_WinterMult,G1567),1)</x:f>
        <x:v>1</x:v>
      </x:c>
      <x:c r="R1567" s="9" t="n">
        <x:f>H1567*Z1566*v01_WomenShare*v01_BaseFertility*INDEX(v01_FertMult,G1567)*Arch_Fertility*(1-P1567)</x:f>
        <x:v>0</x:v>
      </x:c>
      <x:c r="S1567" s="9" t="n">
        <x:f>H1567*Y1566*INDEX(v01_MortChild,G1567)/4*Q1567</x:f>
        <x:v>0</x:v>
      </x:c>
      <x:c r="T1567" s="9" t="n">
        <x:f>H1567*Z1566*INDEX(v01_MortAdult,G1567)*Arch_AdultMort/4*Q1567</x:f>
        <x:v>0</x:v>
      </x:c>
      <x:c r="U1567" s="9" t="n">
        <x:f>H1567*AA1566*INDEX(v01_MortElder,G1567)/4*Q1567</x:f>
        <x:v>0</x:v>
      </x:c>
      <x:c r="V1567" s="9" t="n">
        <x:f>H1567*MAX(0,AB1566-O1567)*v01_OvercapLoss</x:f>
        <x:v>0</x:v>
      </x:c>
      <x:c r="W1567" s="9" t="n">
        <x:f>H1567*Y1566/(v01_ChildYears*4)</x:f>
        <x:v>0</x:v>
      </x:c>
      <x:c r="X1567" s="9" t="n">
        <x:f>H1567*Z1566/(v01_AdultYears*4)</x:f>
        <x:v>0</x:v>
      </x:c>
      <x:c r="Y1567" s="32" t="n">
        <x:f>Y1566+R1567-S1567-W1567-Y1566*V1567/AB1566</x:f>
        <x:v>14306.18539759397</x:v>
      </x:c>
      <x:c r="Z1567" s="32" t="n">
        <x:f>Z1566+W1567-X1567-T1567-Z1566*V1567/AB1566</x:f>
        <x:v>19354.456567879548</x:v>
      </x:c>
      <x:c r="AA1567" s="32" t="n">
        <x:f>AA1566+X1567-U1567-AA1566*V1567/AB1566</x:f>
        <x:v>11386.956063258198</x:v>
      </x:c>
      <x:c r="AB1567" s="10" t="n">
        <x:f>Y1567+Z1567+AA1567</x:f>
        <x:v>45047.59802873172</x:v>
      </x:c>
      <x:c r="AC1567" s="8" t="n">
        <x:f>IF(AND(v01_WinterTrigger=1,D1567=1,AB1566/AE1566&gt;=K1567),1,0)</x:f>
        <x:v>0</x:v>
      </x:c>
      <x:c r="AD1567" s="8" t="n">
        <x:f>H1567*IF(AND(OR(AB1566/AE1566&gt;=v01_FissionTrigger*N1567,AC1567=1),AB1566/AE1566*v01_DaughterShare&gt;=v01_MinDaughter),MAX(1,ROUND(AE1566*v01_FissionRate,0)),0)</x:f>
        <x:v>0</x:v>
      </x:c>
      <x:c r="AE1567" s="8" t="n">
        <x:f>IF(H1567=1,MAX(1,MIN(INDEX(v01_Smax,G1567),AE1566+AD1567)),AE1566)</x:f>
        <x:v>15</x:v>
      </x:c>
      <x:c r="AF1567" s="8" t="n">
        <x:f>MAX(0,AE1567-AE1566)</x:f>
        <x:v>0</x:v>
      </x:c>
      <x:c r="AG1567" s="9" t="str">
        <x:f>IF(AF1567&gt;0,B1567,"")</x:f>
      </x:c>
      <x:c r="AH1567" s="9" t="n">
        <x:f>IF(F1567&gt;=1,1,(1+v01_LowTiesShare*(AE1567-1))/AE1567)</x:f>
        <x:v>1</x:v>
      </x:c>
      <x:c r="AI1567" s="32" t="n">
        <x:f>(Z1567+v01_ElderCommons*INDEX(LM_Elder,G1567)*AA1567)*AH1567</x:f>
        <x:v>64139.732591141874</x:v>
      </x:c>
      <x:c r="AJ1567" s="32" t="n">
        <x:f>H1567*v01_CommonsCoef*AI1567^v01_CommonsExp*INDEX(LM_Commons,G1567)</x:f>
        <x:v>0</x:v>
      </x:c>
      <x:c r="AK1567" s="32" t="n">
        <x:f>H1567*v01_RoleScale*Arch_Roles*(AE1567*(INDEX(v01_ElderRolePerSett,G1567)*v01_OutElder*INDEX(LM_Elder,G1567)+INDEX(v01_ShamanPerSett,G1567)*v01_OutShaman)+Z1567*(INDEX(v01_PriestShare,G1567)*v01_OutPriest+INDEX(v01_ScribeShare,G1567)*v01_OutScribe*INDEX(LM_Scribe,G1567)+INDEX(v01_ScholarShare,G1567)*v01_OutScholar*INDEX(LM_Scholar,G1567)+INDEX(v01_ResearcherShare,G1567)*v01_OutResearcher*INDEX(LM_Researcher,G1567)))</x:f>
        <x:v>0</x:v>
      </x:c>
      <x:c r="AL1567" s="32" t="n">
        <x:f>H1567*v01_RoleScale*Arch_Roles*AE1567*INDEX(v01_MonasteryPerSett,G1567)*v01_OutMonastery*INDEX(LM_Monastery,G1567)</x:f>
        <x:v>0</x:v>
      </x:c>
      <x:c r="AM1567" s="32" t="n">
        <x:f>(AJ1567+AK1567+AL1567)/4*INDEX(LM_All,G1567)*INDEX(v01_Boon,G1567)*Arch_Insight</x:f>
        <x:v>0</x:v>
      </x:c>
      <x:c r="AN1567" s="32" t="n">
        <x:f>H1567*(v01_KHPerAdult*Z1567+v01_KHOfCommons*AJ1567/4*INDEX(LM_All,G1567))*v01_KHUsable*Arch_KH</x:f>
        <x:v>0</x:v>
      </x:c>
      <x:c r="AO1567" s="32" t="n">
        <x:f>MIN(AP1566+AN1567,AM1567*v01_KHMaxRatio)</x:f>
        <x:v>0</x:v>
      </x:c>
      <x:c r="AP1567" s="32" t="n">
        <x:f>AP1566+AN1567-AO1567</x:f>
        <x:v>0</x:v>
      </x:c>
      <x:c r="AQ1567" s="32" t="n">
        <x:f>AM1567+AO1567</x:f>
        <x:v>0</x:v>
      </x:c>
      <x:c r="AR1567" s="10" t="n">
        <x:f>IF(H1567=1,INDEX(v01_Req,G1567),0)</x:f>
        <x:v>0</x:v>
      </x:c>
      <x:c r="AS1567" s="32" t="n">
        <x:f>IF(H1567=1,IF(E1567=1,AS1566-AR1566,AS1566)+AQ1567,0)</x:f>
        <x:v>0</x:v>
      </x:c>
      <x:c r="AT1567" s="11" t="n">
        <x:f>IF(AR1567&gt;0,MIN(1,AS1567/AR1567),1)</x:f>
        <x:v>1</x:v>
      </x:c>
      <x:c r="AU1567" s="10" t="n">
        <x:f>AB1567/INDEX(v01_RepScale,G1567)</x:f>
        <x:v>90.09519605746344</x:v>
      </x:c>
      <x:c r="AV1567" s="32" t="n">
        <x:f>AM1567*60/v01_SeasonSeconds</x:f>
        <x:v>0</x:v>
      </x:c>
    </x:row>
    <x:row r="1568">
      <x:c r="A1568" s="8" t="n">
        <x:f>A1567+1</x:f>
        <x:v>1565</x:v>
      </x:c>
      <x:c r="B1568" s="9" t="n">
        <x:f>A1568*v01_SeasonSeconds/60</x:f>
        <x:v>391.25</x:v>
      </x:c>
      <x:c r="C1568" s="9" t="n">
        <x:f>A1568/4</x:f>
        <x:v>391.25</x:v>
      </x:c>
      <x:c r="D1568" s="8" t="n">
        <x:f>IF(MOD(A1568,4)=0,1,0)</x:f>
        <x:v>0</x:v>
      </x:c>
      <x:c r="E1568" s="8" t="n">
        <x:f>IF(AND(F1567&lt;=9,AS1567&gt;=AR1567),1,0)</x:f>
        <x:v>0</x:v>
      </x:c>
      <x:c r="F1568" s="8" t="n">
        <x:f>MIN(10,F1567+E1568)</x:f>
        <x:v>10</x:v>
      </x:c>
      <x:c r="G1568" s="8" t="n">
        <x:f>MIN(F1568,9)+1</x:f>
        <x:v>10</x:v>
      </x:c>
      <x:c r="H1568" s="8" t="n">
        <x:f>IF(F1568&lt;=9,1,0)</x:f>
        <x:v>0</x:v>
      </x:c>
      <x:c r="I1568" s="9" t="n">
        <x:f>MIN(10,F1567+IF(AR1567&gt;0,MIN(1,AS1567/AR1567),1))</x:f>
        <x:v>10</x:v>
      </x:c>
      <x:c r="J1568" s="32" t="n">
        <x:f>INDEX(v01_FoodCap,G1568)*Arch_FoodCap*EXP(v01_CapsByProject*SUMPRODUCT((Cap_Point&lt;=I1568)*(Cap_Kind="Food")*Cap_Ln))</x:f>
        <x:v>12000</x:v>
      </x:c>
      <x:c r="K1568" s="32" t="n">
        <x:f>J1568*MIN(1,v01_LeanBase*EXP(v01_CapsByProject*SUMPRODUCT((Cap_Point&lt;=I1568)*(Cap_Kind="Lean")*Cap_Ln)))</x:f>
        <x:v>12000</x:v>
      </x:c>
      <x:c r="L1568" s="10" t="n">
        <x:f>INDEX(v01_HousingCap,G1568)*EXP(v01_CapsByProject*SUMPRODUCT((Cap_Point&lt;=I1568)*(Cap_Kind="Housing")*Cap_Ln))</x:f>
        <x:v>20000</x:v>
      </x:c>
      <x:c r="M1568" s="10" t="n">
        <x:f>INDEX(v01_GroupCap,G1568)*v01_CohesionFactor*EXP(v01_CapsByProject*SUMPRODUCT((Cap_Point&lt;=I1568)*(Cap_Kind="Group")*Cap_Ln))</x:f>
        <x:v>1000000</x:v>
      </x:c>
      <x:c r="N1568" s="32" t="n">
        <x:f>MIN(J1568,L1568,M1568)</x:f>
        <x:v>12000</x:v>
      </x:c>
      <x:c r="O1568" s="10" t="n">
        <x:f>AE1567*N1568</x:f>
        <x:v>180000</x:v>
      </x:c>
      <x:c r="P1568" s="9" t="n">
        <x:f>MIN(1,(AB1567/(AE1567*IF(v01_GroupInCrowding=1,N1568,MIN(J1568,L1568))))^v01_CrowdingExp)</x:f>
        <x:v>0.00024569414295285325</x:v>
      </x:c>
      <x:c r="Q1568" s="9" t="n">
        <x:f>IF(D1568=1,INDEX(v01_WinterMult,G1568),1)</x:f>
        <x:v>1</x:v>
      </x:c>
      <x:c r="R1568" s="9" t="n">
        <x:f>H1568*Z1567*v01_WomenShare*v01_BaseFertility*INDEX(v01_FertMult,G1568)*Arch_Fertility*(1-P1568)</x:f>
        <x:v>0</x:v>
      </x:c>
      <x:c r="S1568" s="9" t="n">
        <x:f>H1568*Y1567*INDEX(v01_MortChild,G1568)/4*Q1568</x:f>
        <x:v>0</x:v>
      </x:c>
      <x:c r="T1568" s="9" t="n">
        <x:f>H1568*Z1567*INDEX(v01_MortAdult,G1568)*Arch_AdultMort/4*Q1568</x:f>
        <x:v>0</x:v>
      </x:c>
      <x:c r="U1568" s="9" t="n">
        <x:f>H1568*AA1567*INDEX(v01_MortElder,G1568)/4*Q1568</x:f>
        <x:v>0</x:v>
      </x:c>
      <x:c r="V1568" s="9" t="n">
        <x:f>H1568*MAX(0,AB1567-O1568)*v01_OvercapLoss</x:f>
        <x:v>0</x:v>
      </x:c>
      <x:c r="W1568" s="9" t="n">
        <x:f>H1568*Y1567/(v01_ChildYears*4)</x:f>
        <x:v>0</x:v>
      </x:c>
      <x:c r="X1568" s="9" t="n">
        <x:f>H1568*Z1567/(v01_AdultYears*4)</x:f>
        <x:v>0</x:v>
      </x:c>
      <x:c r="Y1568" s="32" t="n">
        <x:f>Y1567+R1568-S1568-W1568-Y1567*V1568/AB1567</x:f>
        <x:v>14306.18539759397</x:v>
      </x:c>
      <x:c r="Z1568" s="32" t="n">
        <x:f>Z1567+W1568-X1568-T1568-Z1567*V1568/AB1567</x:f>
        <x:v>19354.456567879548</x:v>
      </x:c>
      <x:c r="AA1568" s="32" t="n">
        <x:f>AA1567+X1568-U1568-AA1567*V1568/AB1567</x:f>
        <x:v>11386.956063258198</x:v>
      </x:c>
      <x:c r="AB1568" s="10" t="n">
        <x:f>Y1568+Z1568+AA1568</x:f>
        <x:v>45047.59802873172</x:v>
      </x:c>
      <x:c r="AC1568" s="8" t="n">
        <x:f>IF(AND(v01_WinterTrigger=1,D1568=1,AB1567/AE1567&gt;=K1568),1,0)</x:f>
        <x:v>0</x:v>
      </x:c>
      <x:c r="AD1568" s="8" t="n">
        <x:f>H1568*IF(AND(OR(AB1567/AE1567&gt;=v01_FissionTrigger*N1568,AC1568=1),AB1567/AE1567*v01_DaughterShare&gt;=v01_MinDaughter),MAX(1,ROUND(AE1567*v01_FissionRate,0)),0)</x:f>
        <x:v>0</x:v>
      </x:c>
      <x:c r="AE1568" s="8" t="n">
        <x:f>IF(H1568=1,MAX(1,MIN(INDEX(v01_Smax,G1568),AE1567+AD1568)),AE1567)</x:f>
        <x:v>15</x:v>
      </x:c>
      <x:c r="AF1568" s="8" t="n">
        <x:f>MAX(0,AE1568-AE1567)</x:f>
        <x:v>0</x:v>
      </x:c>
      <x:c r="AG1568" s="9" t="str">
        <x:f>IF(AF1568&gt;0,B1568,"")</x:f>
      </x:c>
      <x:c r="AH1568" s="9" t="n">
        <x:f>IF(F1568&gt;=1,1,(1+v01_LowTiesShare*(AE1568-1))/AE1568)</x:f>
        <x:v>1</x:v>
      </x:c>
      <x:c r="AI1568" s="32" t="n">
        <x:f>(Z1568+v01_ElderCommons*INDEX(LM_Elder,G1568)*AA1568)*AH1568</x:f>
        <x:v>64139.732591141874</x:v>
      </x:c>
      <x:c r="AJ1568" s="32" t="n">
        <x:f>H1568*v01_CommonsCoef*AI1568^v01_CommonsExp*INDEX(LM_Commons,G1568)</x:f>
        <x:v>0</x:v>
      </x:c>
      <x:c r="AK1568" s="32" t="n">
        <x:f>H1568*v01_RoleScale*Arch_Roles*(AE1568*(INDEX(v01_ElderRolePerSett,G1568)*v01_OutElder*INDEX(LM_Elder,G1568)+INDEX(v01_ShamanPerSett,G1568)*v01_OutShaman)+Z1568*(INDEX(v01_PriestShare,G1568)*v01_OutPriest+INDEX(v01_ScribeShare,G1568)*v01_OutScribe*INDEX(LM_Scribe,G1568)+INDEX(v01_ScholarShare,G1568)*v01_OutScholar*INDEX(LM_Scholar,G1568)+INDEX(v01_ResearcherShare,G1568)*v01_OutResearcher*INDEX(LM_Researcher,G1568)))</x:f>
        <x:v>0</x:v>
      </x:c>
      <x:c r="AL1568" s="32" t="n">
        <x:f>H1568*v01_RoleScale*Arch_Roles*AE1568*INDEX(v01_MonasteryPerSett,G1568)*v01_OutMonastery*INDEX(LM_Monastery,G1568)</x:f>
        <x:v>0</x:v>
      </x:c>
      <x:c r="AM1568" s="32" t="n">
        <x:f>(AJ1568+AK1568+AL1568)/4*INDEX(LM_All,G1568)*INDEX(v01_Boon,G1568)*Arch_Insight</x:f>
        <x:v>0</x:v>
      </x:c>
      <x:c r="AN1568" s="32" t="n">
        <x:f>H1568*(v01_KHPerAdult*Z1568+v01_KHOfCommons*AJ1568/4*INDEX(LM_All,G1568))*v01_KHUsable*Arch_KH</x:f>
        <x:v>0</x:v>
      </x:c>
      <x:c r="AO1568" s="32" t="n">
        <x:f>MIN(AP1567+AN1568,AM1568*v01_KHMaxRatio)</x:f>
        <x:v>0</x:v>
      </x:c>
      <x:c r="AP1568" s="32" t="n">
        <x:f>AP1567+AN1568-AO1568</x:f>
        <x:v>0</x:v>
      </x:c>
      <x:c r="AQ1568" s="32" t="n">
        <x:f>AM1568+AO1568</x:f>
        <x:v>0</x:v>
      </x:c>
      <x:c r="AR1568" s="10" t="n">
        <x:f>IF(H1568=1,INDEX(v01_Req,G1568),0)</x:f>
        <x:v>0</x:v>
      </x:c>
      <x:c r="AS1568" s="32" t="n">
        <x:f>IF(H1568=1,IF(E1568=1,AS1567-AR1567,AS1567)+AQ1568,0)</x:f>
        <x:v>0</x:v>
      </x:c>
      <x:c r="AT1568" s="11" t="n">
        <x:f>IF(AR1568&gt;0,MIN(1,AS1568/AR1568),1)</x:f>
        <x:v>1</x:v>
      </x:c>
      <x:c r="AU1568" s="10" t="n">
        <x:f>AB1568/INDEX(v01_RepScale,G1568)</x:f>
        <x:v>90.09519605746344</x:v>
      </x:c>
      <x:c r="AV1568" s="32" t="n">
        <x:f>AM1568*60/v01_SeasonSeconds</x:f>
        <x:v>0</x:v>
      </x:c>
    </x:row>
    <x:row r="1569">
      <x:c r="A1569" s="8" t="n">
        <x:f>A1568+1</x:f>
        <x:v>1566</x:v>
      </x:c>
      <x:c r="B1569" s="9" t="n">
        <x:f>A1569*v01_SeasonSeconds/60</x:f>
        <x:v>391.5</x:v>
      </x:c>
      <x:c r="C1569" s="9" t="n">
        <x:f>A1569/4</x:f>
        <x:v>391.5</x:v>
      </x:c>
      <x:c r="D1569" s="8" t="n">
        <x:f>IF(MOD(A1569,4)=0,1,0)</x:f>
        <x:v>0</x:v>
      </x:c>
      <x:c r="E1569" s="8" t="n">
        <x:f>IF(AND(F1568&lt;=9,AS1568&gt;=AR1568),1,0)</x:f>
        <x:v>0</x:v>
      </x:c>
      <x:c r="F1569" s="8" t="n">
        <x:f>MIN(10,F1568+E1569)</x:f>
        <x:v>10</x:v>
      </x:c>
      <x:c r="G1569" s="8" t="n">
        <x:f>MIN(F1569,9)+1</x:f>
        <x:v>10</x:v>
      </x:c>
      <x:c r="H1569" s="8" t="n">
        <x:f>IF(F1569&lt;=9,1,0)</x:f>
        <x:v>0</x:v>
      </x:c>
      <x:c r="I1569" s="9" t="n">
        <x:f>MIN(10,F1568+IF(AR1568&gt;0,MIN(1,AS1568/AR1568),1))</x:f>
        <x:v>10</x:v>
      </x:c>
      <x:c r="J1569" s="32" t="n">
        <x:f>INDEX(v01_FoodCap,G1569)*Arch_FoodCap*EXP(v01_CapsByProject*SUMPRODUCT((Cap_Point&lt;=I1569)*(Cap_Kind="Food")*Cap_Ln))</x:f>
        <x:v>12000</x:v>
      </x:c>
      <x:c r="K1569" s="32" t="n">
        <x:f>J1569*MIN(1,v01_LeanBase*EXP(v01_CapsByProject*SUMPRODUCT((Cap_Point&lt;=I1569)*(Cap_Kind="Lean")*Cap_Ln)))</x:f>
        <x:v>12000</x:v>
      </x:c>
      <x:c r="L1569" s="10" t="n">
        <x:f>INDEX(v01_HousingCap,G1569)*EXP(v01_CapsByProject*SUMPRODUCT((Cap_Point&lt;=I1569)*(Cap_Kind="Housing")*Cap_Ln))</x:f>
        <x:v>20000</x:v>
      </x:c>
      <x:c r="M1569" s="10" t="n">
        <x:f>INDEX(v01_GroupCap,G1569)*v01_CohesionFactor*EXP(v01_CapsByProject*SUMPRODUCT((Cap_Point&lt;=I1569)*(Cap_Kind="Group")*Cap_Ln))</x:f>
        <x:v>1000000</x:v>
      </x:c>
      <x:c r="N1569" s="32" t="n">
        <x:f>MIN(J1569,L1569,M1569)</x:f>
        <x:v>12000</x:v>
      </x:c>
      <x:c r="O1569" s="10" t="n">
        <x:f>AE1568*N1569</x:f>
        <x:v>180000</x:v>
      </x:c>
      <x:c r="P1569" s="9" t="n">
        <x:f>MIN(1,(AB1568/(AE1568*IF(v01_GroupInCrowding=1,N1569,MIN(J1569,L1569))))^v01_CrowdingExp)</x:f>
        <x:v>0.00024569414295285325</x:v>
      </x:c>
      <x:c r="Q1569" s="9" t="n">
        <x:f>IF(D1569=1,INDEX(v01_WinterMult,G1569),1)</x:f>
        <x:v>1</x:v>
      </x:c>
      <x:c r="R1569" s="9" t="n">
        <x:f>H1569*Z1568*v01_WomenShare*v01_BaseFertility*INDEX(v01_FertMult,G1569)*Arch_Fertility*(1-P1569)</x:f>
        <x:v>0</x:v>
      </x:c>
      <x:c r="S1569" s="9" t="n">
        <x:f>H1569*Y1568*INDEX(v01_MortChild,G1569)/4*Q1569</x:f>
        <x:v>0</x:v>
      </x:c>
      <x:c r="T1569" s="9" t="n">
        <x:f>H1569*Z1568*INDEX(v01_MortAdult,G1569)*Arch_AdultMort/4*Q1569</x:f>
        <x:v>0</x:v>
      </x:c>
      <x:c r="U1569" s="9" t="n">
        <x:f>H1569*AA1568*INDEX(v01_MortElder,G1569)/4*Q1569</x:f>
        <x:v>0</x:v>
      </x:c>
      <x:c r="V1569" s="9" t="n">
        <x:f>H1569*MAX(0,AB1568-O1569)*v01_OvercapLoss</x:f>
        <x:v>0</x:v>
      </x:c>
      <x:c r="W1569" s="9" t="n">
        <x:f>H1569*Y1568/(v01_ChildYears*4)</x:f>
        <x:v>0</x:v>
      </x:c>
      <x:c r="X1569" s="9" t="n">
        <x:f>H1569*Z1568/(v01_AdultYears*4)</x:f>
        <x:v>0</x:v>
      </x:c>
      <x:c r="Y1569" s="32" t="n">
        <x:f>Y1568+R1569-S1569-W1569-Y1568*V1569/AB1568</x:f>
        <x:v>14306.18539759397</x:v>
      </x:c>
      <x:c r="Z1569" s="32" t="n">
        <x:f>Z1568+W1569-X1569-T1569-Z1568*V1569/AB1568</x:f>
        <x:v>19354.456567879548</x:v>
      </x:c>
      <x:c r="AA1569" s="32" t="n">
        <x:f>AA1568+X1569-U1569-AA1568*V1569/AB1568</x:f>
        <x:v>11386.956063258198</x:v>
      </x:c>
      <x:c r="AB1569" s="10" t="n">
        <x:f>Y1569+Z1569+AA1569</x:f>
        <x:v>45047.59802873172</x:v>
      </x:c>
      <x:c r="AC1569" s="8" t="n">
        <x:f>IF(AND(v01_WinterTrigger=1,D1569=1,AB1568/AE1568&gt;=K1569),1,0)</x:f>
        <x:v>0</x:v>
      </x:c>
      <x:c r="AD1569" s="8" t="n">
        <x:f>H1569*IF(AND(OR(AB1568/AE1568&gt;=v01_FissionTrigger*N1569,AC1569=1),AB1568/AE1568*v01_DaughterShare&gt;=v01_MinDaughter),MAX(1,ROUND(AE1568*v01_FissionRate,0)),0)</x:f>
        <x:v>0</x:v>
      </x:c>
      <x:c r="AE1569" s="8" t="n">
        <x:f>IF(H1569=1,MAX(1,MIN(INDEX(v01_Smax,G1569),AE1568+AD1569)),AE1568)</x:f>
        <x:v>15</x:v>
      </x:c>
      <x:c r="AF1569" s="8" t="n">
        <x:f>MAX(0,AE1569-AE1568)</x:f>
        <x:v>0</x:v>
      </x:c>
      <x:c r="AG1569" s="9" t="str">
        <x:f>IF(AF1569&gt;0,B1569,"")</x:f>
      </x:c>
      <x:c r="AH1569" s="9" t="n">
        <x:f>IF(F1569&gt;=1,1,(1+v01_LowTiesShare*(AE1569-1))/AE1569)</x:f>
        <x:v>1</x:v>
      </x:c>
      <x:c r="AI1569" s="32" t="n">
        <x:f>(Z1569+v01_ElderCommons*INDEX(LM_Elder,G1569)*AA1569)*AH1569</x:f>
        <x:v>64139.732591141874</x:v>
      </x:c>
      <x:c r="AJ1569" s="32" t="n">
        <x:f>H1569*v01_CommonsCoef*AI1569^v01_CommonsExp*INDEX(LM_Commons,G1569)</x:f>
        <x:v>0</x:v>
      </x:c>
      <x:c r="AK1569" s="32" t="n">
        <x:f>H1569*v01_RoleScale*Arch_Roles*(AE1569*(INDEX(v01_ElderRolePerSett,G1569)*v01_OutElder*INDEX(LM_Elder,G1569)+INDEX(v01_ShamanPerSett,G1569)*v01_OutShaman)+Z1569*(INDEX(v01_PriestShare,G1569)*v01_OutPriest+INDEX(v01_ScribeShare,G1569)*v01_OutScribe*INDEX(LM_Scribe,G1569)+INDEX(v01_ScholarShare,G1569)*v01_OutScholar*INDEX(LM_Scholar,G1569)+INDEX(v01_ResearcherShare,G1569)*v01_OutResearcher*INDEX(LM_Researcher,G1569)))</x:f>
        <x:v>0</x:v>
      </x:c>
      <x:c r="AL1569" s="32" t="n">
        <x:f>H1569*v01_RoleScale*Arch_Roles*AE1569*INDEX(v01_MonasteryPerSett,G1569)*v01_OutMonastery*INDEX(LM_Monastery,G1569)</x:f>
        <x:v>0</x:v>
      </x:c>
      <x:c r="AM1569" s="32" t="n">
        <x:f>(AJ1569+AK1569+AL1569)/4*INDEX(LM_All,G1569)*INDEX(v01_Boon,G1569)*Arch_Insight</x:f>
        <x:v>0</x:v>
      </x:c>
      <x:c r="AN1569" s="32" t="n">
        <x:f>H1569*(v01_KHPerAdult*Z1569+v01_KHOfCommons*AJ1569/4*INDEX(LM_All,G1569))*v01_KHUsable*Arch_KH</x:f>
        <x:v>0</x:v>
      </x:c>
      <x:c r="AO1569" s="32" t="n">
        <x:f>MIN(AP1568+AN1569,AM1569*v01_KHMaxRatio)</x:f>
        <x:v>0</x:v>
      </x:c>
      <x:c r="AP1569" s="32" t="n">
        <x:f>AP1568+AN1569-AO1569</x:f>
        <x:v>0</x:v>
      </x:c>
      <x:c r="AQ1569" s="32" t="n">
        <x:f>AM1569+AO1569</x:f>
        <x:v>0</x:v>
      </x:c>
      <x:c r="AR1569" s="10" t="n">
        <x:f>IF(H1569=1,INDEX(v01_Req,G1569),0)</x:f>
        <x:v>0</x:v>
      </x:c>
      <x:c r="AS1569" s="32" t="n">
        <x:f>IF(H1569=1,IF(E1569=1,AS1568-AR1568,AS1568)+AQ1569,0)</x:f>
        <x:v>0</x:v>
      </x:c>
      <x:c r="AT1569" s="11" t="n">
        <x:f>IF(AR1569&gt;0,MIN(1,AS1569/AR1569),1)</x:f>
        <x:v>1</x:v>
      </x:c>
      <x:c r="AU1569" s="10" t="n">
        <x:f>AB1569/INDEX(v01_RepScale,G1569)</x:f>
        <x:v>90.09519605746344</x:v>
      </x:c>
      <x:c r="AV1569" s="32" t="n">
        <x:f>AM1569*60/v01_SeasonSeconds</x:f>
        <x:v>0</x:v>
      </x:c>
    </x:row>
    <x:row r="1570">
      <x:c r="A1570" s="8" t="n">
        <x:f>A1569+1</x:f>
        <x:v>1567</x:v>
      </x:c>
      <x:c r="B1570" s="9" t="n">
        <x:f>A1570*v01_SeasonSeconds/60</x:f>
        <x:v>391.75</x:v>
      </x:c>
      <x:c r="C1570" s="9" t="n">
        <x:f>A1570/4</x:f>
        <x:v>391.75</x:v>
      </x:c>
      <x:c r="D1570" s="8" t="n">
        <x:f>IF(MOD(A1570,4)=0,1,0)</x:f>
        <x:v>0</x:v>
      </x:c>
      <x:c r="E1570" s="8" t="n">
        <x:f>IF(AND(F1569&lt;=9,AS1569&gt;=AR1569),1,0)</x:f>
        <x:v>0</x:v>
      </x:c>
      <x:c r="F1570" s="8" t="n">
        <x:f>MIN(10,F1569+E1570)</x:f>
        <x:v>10</x:v>
      </x:c>
      <x:c r="G1570" s="8" t="n">
        <x:f>MIN(F1570,9)+1</x:f>
        <x:v>10</x:v>
      </x:c>
      <x:c r="H1570" s="8" t="n">
        <x:f>IF(F1570&lt;=9,1,0)</x:f>
        <x:v>0</x:v>
      </x:c>
      <x:c r="I1570" s="9" t="n">
        <x:f>MIN(10,F1569+IF(AR1569&gt;0,MIN(1,AS1569/AR1569),1))</x:f>
        <x:v>10</x:v>
      </x:c>
      <x:c r="J1570" s="32" t="n">
        <x:f>INDEX(v01_FoodCap,G1570)*Arch_FoodCap*EXP(v01_CapsByProject*SUMPRODUCT((Cap_Point&lt;=I1570)*(Cap_Kind="Food")*Cap_Ln))</x:f>
        <x:v>12000</x:v>
      </x:c>
      <x:c r="K1570" s="32" t="n">
        <x:f>J1570*MIN(1,v01_LeanBase*EXP(v01_CapsByProject*SUMPRODUCT((Cap_Point&lt;=I1570)*(Cap_Kind="Lean")*Cap_Ln)))</x:f>
        <x:v>12000</x:v>
      </x:c>
      <x:c r="L1570" s="10" t="n">
        <x:f>INDEX(v01_HousingCap,G1570)*EXP(v01_CapsByProject*SUMPRODUCT((Cap_Point&lt;=I1570)*(Cap_Kind="Housing")*Cap_Ln))</x:f>
        <x:v>20000</x:v>
      </x:c>
      <x:c r="M1570" s="10" t="n">
        <x:f>INDEX(v01_GroupCap,G1570)*v01_CohesionFactor*EXP(v01_CapsByProject*SUMPRODUCT((Cap_Point&lt;=I1570)*(Cap_Kind="Group")*Cap_Ln))</x:f>
        <x:v>1000000</x:v>
      </x:c>
      <x:c r="N1570" s="32" t="n">
        <x:f>MIN(J1570,L1570,M1570)</x:f>
        <x:v>12000</x:v>
      </x:c>
      <x:c r="O1570" s="10" t="n">
        <x:f>AE1569*N1570</x:f>
        <x:v>180000</x:v>
      </x:c>
      <x:c r="P1570" s="9" t="n">
        <x:f>MIN(1,(AB1569/(AE1569*IF(v01_GroupInCrowding=1,N1570,MIN(J1570,L1570))))^v01_CrowdingExp)</x:f>
        <x:v>0.00024569414295285325</x:v>
      </x:c>
      <x:c r="Q1570" s="9" t="n">
        <x:f>IF(D1570=1,INDEX(v01_WinterMult,G1570),1)</x:f>
        <x:v>1</x:v>
      </x:c>
      <x:c r="R1570" s="9" t="n">
        <x:f>H1570*Z1569*v01_WomenShare*v01_BaseFertility*INDEX(v01_FertMult,G1570)*Arch_Fertility*(1-P1570)</x:f>
        <x:v>0</x:v>
      </x:c>
      <x:c r="S1570" s="9" t="n">
        <x:f>H1570*Y1569*INDEX(v01_MortChild,G1570)/4*Q1570</x:f>
        <x:v>0</x:v>
      </x:c>
      <x:c r="T1570" s="9" t="n">
        <x:f>H1570*Z1569*INDEX(v01_MortAdult,G1570)*Arch_AdultMort/4*Q1570</x:f>
        <x:v>0</x:v>
      </x:c>
      <x:c r="U1570" s="9" t="n">
        <x:f>H1570*AA1569*INDEX(v01_MortElder,G1570)/4*Q1570</x:f>
        <x:v>0</x:v>
      </x:c>
      <x:c r="V1570" s="9" t="n">
        <x:f>H1570*MAX(0,AB1569-O1570)*v01_OvercapLoss</x:f>
        <x:v>0</x:v>
      </x:c>
      <x:c r="W1570" s="9" t="n">
        <x:f>H1570*Y1569/(v01_ChildYears*4)</x:f>
        <x:v>0</x:v>
      </x:c>
      <x:c r="X1570" s="9" t="n">
        <x:f>H1570*Z1569/(v01_AdultYears*4)</x:f>
        <x:v>0</x:v>
      </x:c>
      <x:c r="Y1570" s="32" t="n">
        <x:f>Y1569+R1570-S1570-W1570-Y1569*V1570/AB1569</x:f>
        <x:v>14306.18539759397</x:v>
      </x:c>
      <x:c r="Z1570" s="32" t="n">
        <x:f>Z1569+W1570-X1570-T1570-Z1569*V1570/AB1569</x:f>
        <x:v>19354.456567879548</x:v>
      </x:c>
      <x:c r="AA1570" s="32" t="n">
        <x:f>AA1569+X1570-U1570-AA1569*V1570/AB1569</x:f>
        <x:v>11386.956063258198</x:v>
      </x:c>
      <x:c r="AB1570" s="10" t="n">
        <x:f>Y1570+Z1570+AA1570</x:f>
        <x:v>45047.59802873172</x:v>
      </x:c>
      <x:c r="AC1570" s="8" t="n">
        <x:f>IF(AND(v01_WinterTrigger=1,D1570=1,AB1569/AE1569&gt;=K1570),1,0)</x:f>
        <x:v>0</x:v>
      </x:c>
      <x:c r="AD1570" s="8" t="n">
        <x:f>H1570*IF(AND(OR(AB1569/AE1569&gt;=v01_FissionTrigger*N1570,AC1570=1),AB1569/AE1569*v01_DaughterShare&gt;=v01_MinDaughter),MAX(1,ROUND(AE1569*v01_FissionRate,0)),0)</x:f>
        <x:v>0</x:v>
      </x:c>
      <x:c r="AE1570" s="8" t="n">
        <x:f>IF(H1570=1,MAX(1,MIN(INDEX(v01_Smax,G1570),AE1569+AD1570)),AE1569)</x:f>
        <x:v>15</x:v>
      </x:c>
      <x:c r="AF1570" s="8" t="n">
        <x:f>MAX(0,AE1570-AE1569)</x:f>
        <x:v>0</x:v>
      </x:c>
      <x:c r="AG1570" s="9" t="str">
        <x:f>IF(AF1570&gt;0,B1570,"")</x:f>
      </x:c>
      <x:c r="AH1570" s="9" t="n">
        <x:f>IF(F1570&gt;=1,1,(1+v01_LowTiesShare*(AE1570-1))/AE1570)</x:f>
        <x:v>1</x:v>
      </x:c>
      <x:c r="AI1570" s="32" t="n">
        <x:f>(Z1570+v01_ElderCommons*INDEX(LM_Elder,G1570)*AA1570)*AH1570</x:f>
        <x:v>64139.732591141874</x:v>
      </x:c>
      <x:c r="AJ1570" s="32" t="n">
        <x:f>H1570*v01_CommonsCoef*AI1570^v01_CommonsExp*INDEX(LM_Commons,G1570)</x:f>
        <x:v>0</x:v>
      </x:c>
      <x:c r="AK1570" s="32" t="n">
        <x:f>H1570*v01_RoleScale*Arch_Roles*(AE1570*(INDEX(v01_ElderRolePerSett,G1570)*v01_OutElder*INDEX(LM_Elder,G1570)+INDEX(v01_ShamanPerSett,G1570)*v01_OutShaman)+Z1570*(INDEX(v01_PriestShare,G1570)*v01_OutPriest+INDEX(v01_ScribeShare,G1570)*v01_OutScribe*INDEX(LM_Scribe,G1570)+INDEX(v01_ScholarShare,G1570)*v01_OutScholar*INDEX(LM_Scholar,G1570)+INDEX(v01_ResearcherShare,G1570)*v01_OutResearcher*INDEX(LM_Researcher,G1570)))</x:f>
        <x:v>0</x:v>
      </x:c>
      <x:c r="AL1570" s="32" t="n">
        <x:f>H1570*v01_RoleScale*Arch_Roles*AE1570*INDEX(v01_MonasteryPerSett,G1570)*v01_OutMonastery*INDEX(LM_Monastery,G1570)</x:f>
        <x:v>0</x:v>
      </x:c>
      <x:c r="AM1570" s="32" t="n">
        <x:f>(AJ1570+AK1570+AL1570)/4*INDEX(LM_All,G1570)*INDEX(v01_Boon,G1570)*Arch_Insight</x:f>
        <x:v>0</x:v>
      </x:c>
      <x:c r="AN1570" s="32" t="n">
        <x:f>H1570*(v01_KHPerAdult*Z1570+v01_KHOfCommons*AJ1570/4*INDEX(LM_All,G1570))*v01_KHUsable*Arch_KH</x:f>
        <x:v>0</x:v>
      </x:c>
      <x:c r="AO1570" s="32" t="n">
        <x:f>MIN(AP1569+AN1570,AM1570*v01_KHMaxRatio)</x:f>
        <x:v>0</x:v>
      </x:c>
      <x:c r="AP1570" s="32" t="n">
        <x:f>AP1569+AN1570-AO1570</x:f>
        <x:v>0</x:v>
      </x:c>
      <x:c r="AQ1570" s="32" t="n">
        <x:f>AM1570+AO1570</x:f>
        <x:v>0</x:v>
      </x:c>
      <x:c r="AR1570" s="10" t="n">
        <x:f>IF(H1570=1,INDEX(v01_Req,G1570),0)</x:f>
        <x:v>0</x:v>
      </x:c>
      <x:c r="AS1570" s="32" t="n">
        <x:f>IF(H1570=1,IF(E1570=1,AS1569-AR1569,AS1569)+AQ1570,0)</x:f>
        <x:v>0</x:v>
      </x:c>
      <x:c r="AT1570" s="11" t="n">
        <x:f>IF(AR1570&gt;0,MIN(1,AS1570/AR1570),1)</x:f>
        <x:v>1</x:v>
      </x:c>
      <x:c r="AU1570" s="10" t="n">
        <x:f>AB1570/INDEX(v01_RepScale,G1570)</x:f>
        <x:v>90.09519605746344</x:v>
      </x:c>
      <x:c r="AV1570" s="32" t="n">
        <x:f>AM1570*60/v01_SeasonSeconds</x:f>
        <x:v>0</x:v>
      </x:c>
    </x:row>
    <x:row r="1571">
      <x:c r="A1571" s="8" t="n">
        <x:f>A1570+1</x:f>
        <x:v>1568</x:v>
      </x:c>
      <x:c r="B1571" s="9" t="n">
        <x:f>A1571*v01_SeasonSeconds/60</x:f>
        <x:v>392</x:v>
      </x:c>
      <x:c r="C1571" s="9" t="n">
        <x:f>A1571/4</x:f>
        <x:v>392</x:v>
      </x:c>
      <x:c r="D1571" s="8" t="n">
        <x:f>IF(MOD(A1571,4)=0,1,0)</x:f>
        <x:v>1</x:v>
      </x:c>
      <x:c r="E1571" s="8" t="n">
        <x:f>IF(AND(F1570&lt;=9,AS1570&gt;=AR1570),1,0)</x:f>
        <x:v>0</x:v>
      </x:c>
      <x:c r="F1571" s="8" t="n">
        <x:f>MIN(10,F1570+E1571)</x:f>
        <x:v>10</x:v>
      </x:c>
      <x:c r="G1571" s="8" t="n">
        <x:f>MIN(F1571,9)+1</x:f>
        <x:v>10</x:v>
      </x:c>
      <x:c r="H1571" s="8" t="n">
        <x:f>IF(F1571&lt;=9,1,0)</x:f>
        <x:v>0</x:v>
      </x:c>
      <x:c r="I1571" s="9" t="n">
        <x:f>MIN(10,F1570+IF(AR1570&gt;0,MIN(1,AS1570/AR1570),1))</x:f>
        <x:v>10</x:v>
      </x:c>
      <x:c r="J1571" s="32" t="n">
        <x:f>INDEX(v01_FoodCap,G1571)*Arch_FoodCap*EXP(v01_CapsByProject*SUMPRODUCT((Cap_Point&lt;=I1571)*(Cap_Kind="Food")*Cap_Ln))</x:f>
        <x:v>12000</x:v>
      </x:c>
      <x:c r="K1571" s="32" t="n">
        <x:f>J1571*MIN(1,v01_LeanBase*EXP(v01_CapsByProject*SUMPRODUCT((Cap_Point&lt;=I1571)*(Cap_Kind="Lean")*Cap_Ln)))</x:f>
        <x:v>12000</x:v>
      </x:c>
      <x:c r="L1571" s="10" t="n">
        <x:f>INDEX(v01_HousingCap,G1571)*EXP(v01_CapsByProject*SUMPRODUCT((Cap_Point&lt;=I1571)*(Cap_Kind="Housing")*Cap_Ln))</x:f>
        <x:v>20000</x:v>
      </x:c>
      <x:c r="M1571" s="10" t="n">
        <x:f>INDEX(v01_GroupCap,G1571)*v01_CohesionFactor*EXP(v01_CapsByProject*SUMPRODUCT((Cap_Point&lt;=I1571)*(Cap_Kind="Group")*Cap_Ln))</x:f>
        <x:v>1000000</x:v>
      </x:c>
      <x:c r="N1571" s="32" t="n">
        <x:f>MIN(J1571,L1571,M1571)</x:f>
        <x:v>12000</x:v>
      </x:c>
      <x:c r="O1571" s="10" t="n">
        <x:f>AE1570*N1571</x:f>
        <x:v>180000</x:v>
      </x:c>
      <x:c r="P1571" s="9" t="n">
        <x:f>MIN(1,(AB1570/(AE1570*IF(v01_GroupInCrowding=1,N1571,MIN(J1571,L1571))))^v01_CrowdingExp)</x:f>
        <x:v>0.00024569414295285325</x:v>
      </x:c>
      <x:c r="Q1571" s="9" t="n">
        <x:f>IF(D1571=1,INDEX(v01_WinterMult,G1571),1)</x:f>
        <x:v>1</x:v>
      </x:c>
      <x:c r="R1571" s="9" t="n">
        <x:f>H1571*Z1570*v01_WomenShare*v01_BaseFertility*INDEX(v01_FertMult,G1571)*Arch_Fertility*(1-P1571)</x:f>
        <x:v>0</x:v>
      </x:c>
      <x:c r="S1571" s="9" t="n">
        <x:f>H1571*Y1570*INDEX(v01_MortChild,G1571)/4*Q1571</x:f>
        <x:v>0</x:v>
      </x:c>
      <x:c r="T1571" s="9" t="n">
        <x:f>H1571*Z1570*INDEX(v01_MortAdult,G1571)*Arch_AdultMort/4*Q1571</x:f>
        <x:v>0</x:v>
      </x:c>
      <x:c r="U1571" s="9" t="n">
        <x:f>H1571*AA1570*INDEX(v01_MortElder,G1571)/4*Q1571</x:f>
        <x:v>0</x:v>
      </x:c>
      <x:c r="V1571" s="9" t="n">
        <x:f>H1571*MAX(0,AB1570-O1571)*v01_OvercapLoss</x:f>
        <x:v>0</x:v>
      </x:c>
      <x:c r="W1571" s="9" t="n">
        <x:f>H1571*Y1570/(v01_ChildYears*4)</x:f>
        <x:v>0</x:v>
      </x:c>
      <x:c r="X1571" s="9" t="n">
        <x:f>H1571*Z1570/(v01_AdultYears*4)</x:f>
        <x:v>0</x:v>
      </x:c>
      <x:c r="Y1571" s="32" t="n">
        <x:f>Y1570+R1571-S1571-W1571-Y1570*V1571/AB1570</x:f>
        <x:v>14306.18539759397</x:v>
      </x:c>
      <x:c r="Z1571" s="32" t="n">
        <x:f>Z1570+W1571-X1571-T1571-Z1570*V1571/AB1570</x:f>
        <x:v>19354.456567879548</x:v>
      </x:c>
      <x:c r="AA1571" s="32" t="n">
        <x:f>AA1570+X1571-U1571-AA1570*V1571/AB1570</x:f>
        <x:v>11386.956063258198</x:v>
      </x:c>
      <x:c r="AB1571" s="10" t="n">
        <x:f>Y1571+Z1571+AA1571</x:f>
        <x:v>45047.59802873172</x:v>
      </x:c>
      <x:c r="AC1571" s="8" t="n">
        <x:f>IF(AND(v01_WinterTrigger=1,D1571=1,AB1570/AE1570&gt;=K1571),1,0)</x:f>
        <x:v>0</x:v>
      </x:c>
      <x:c r="AD1571" s="8" t="n">
        <x:f>H1571*IF(AND(OR(AB1570/AE1570&gt;=v01_FissionTrigger*N1571,AC1571=1),AB1570/AE1570*v01_DaughterShare&gt;=v01_MinDaughter),MAX(1,ROUND(AE1570*v01_FissionRate,0)),0)</x:f>
        <x:v>0</x:v>
      </x:c>
      <x:c r="AE1571" s="8" t="n">
        <x:f>IF(H1571=1,MAX(1,MIN(INDEX(v01_Smax,G1571),AE1570+AD1571)),AE1570)</x:f>
        <x:v>15</x:v>
      </x:c>
      <x:c r="AF1571" s="8" t="n">
        <x:f>MAX(0,AE1571-AE1570)</x:f>
        <x:v>0</x:v>
      </x:c>
      <x:c r="AG1571" s="9" t="str">
        <x:f>IF(AF1571&gt;0,B1571,"")</x:f>
      </x:c>
      <x:c r="AH1571" s="9" t="n">
        <x:f>IF(F1571&gt;=1,1,(1+v01_LowTiesShare*(AE1571-1))/AE1571)</x:f>
        <x:v>1</x:v>
      </x:c>
      <x:c r="AI1571" s="32" t="n">
        <x:f>(Z1571+v01_ElderCommons*INDEX(LM_Elder,G1571)*AA1571)*AH1571</x:f>
        <x:v>64139.732591141874</x:v>
      </x:c>
      <x:c r="AJ1571" s="32" t="n">
        <x:f>H1571*v01_CommonsCoef*AI1571^v01_CommonsExp*INDEX(LM_Commons,G1571)</x:f>
        <x:v>0</x:v>
      </x:c>
      <x:c r="AK1571" s="32" t="n">
        <x:f>H1571*v01_RoleScale*Arch_Roles*(AE1571*(INDEX(v01_ElderRolePerSett,G1571)*v01_OutElder*INDEX(LM_Elder,G1571)+INDEX(v01_ShamanPerSett,G1571)*v01_OutShaman)+Z1571*(INDEX(v01_PriestShare,G1571)*v01_OutPriest+INDEX(v01_ScribeShare,G1571)*v01_OutScribe*INDEX(LM_Scribe,G1571)+INDEX(v01_ScholarShare,G1571)*v01_OutScholar*INDEX(LM_Scholar,G1571)+INDEX(v01_ResearcherShare,G1571)*v01_OutResearcher*INDEX(LM_Researcher,G1571)))</x:f>
        <x:v>0</x:v>
      </x:c>
      <x:c r="AL1571" s="32" t="n">
        <x:f>H1571*v01_RoleScale*Arch_Roles*AE1571*INDEX(v01_MonasteryPerSett,G1571)*v01_OutMonastery*INDEX(LM_Monastery,G1571)</x:f>
        <x:v>0</x:v>
      </x:c>
      <x:c r="AM1571" s="32" t="n">
        <x:f>(AJ1571+AK1571+AL1571)/4*INDEX(LM_All,G1571)*INDEX(v01_Boon,G1571)*Arch_Insight</x:f>
        <x:v>0</x:v>
      </x:c>
      <x:c r="AN1571" s="32" t="n">
        <x:f>H1571*(v01_KHPerAdult*Z1571+v01_KHOfCommons*AJ1571/4*INDEX(LM_All,G1571))*v01_KHUsable*Arch_KH</x:f>
        <x:v>0</x:v>
      </x:c>
      <x:c r="AO1571" s="32" t="n">
        <x:f>MIN(AP1570+AN1571,AM1571*v01_KHMaxRatio)</x:f>
        <x:v>0</x:v>
      </x:c>
      <x:c r="AP1571" s="32" t="n">
        <x:f>AP1570+AN1571-AO1571</x:f>
        <x:v>0</x:v>
      </x:c>
      <x:c r="AQ1571" s="32" t="n">
        <x:f>AM1571+AO1571</x:f>
        <x:v>0</x:v>
      </x:c>
      <x:c r="AR1571" s="10" t="n">
        <x:f>IF(H1571=1,INDEX(v01_Req,G1571),0)</x:f>
        <x:v>0</x:v>
      </x:c>
      <x:c r="AS1571" s="32" t="n">
        <x:f>IF(H1571=1,IF(E1571=1,AS1570-AR1570,AS1570)+AQ1571,0)</x:f>
        <x:v>0</x:v>
      </x:c>
      <x:c r="AT1571" s="11" t="n">
        <x:f>IF(AR1571&gt;0,MIN(1,AS1571/AR1571),1)</x:f>
        <x:v>1</x:v>
      </x:c>
      <x:c r="AU1571" s="10" t="n">
        <x:f>AB1571/INDEX(v01_RepScale,G1571)</x:f>
        <x:v>90.09519605746344</x:v>
      </x:c>
      <x:c r="AV1571" s="32" t="n">
        <x:f>AM1571*60/v01_SeasonSeconds</x:f>
        <x:v>0</x:v>
      </x:c>
    </x:row>
    <x:row r="1572">
      <x:c r="A1572" s="8" t="n">
        <x:f>A1571+1</x:f>
        <x:v>1569</x:v>
      </x:c>
      <x:c r="B1572" s="9" t="n">
        <x:f>A1572*v01_SeasonSeconds/60</x:f>
        <x:v>392.25</x:v>
      </x:c>
      <x:c r="C1572" s="9" t="n">
        <x:f>A1572/4</x:f>
        <x:v>392.25</x:v>
      </x:c>
      <x:c r="D1572" s="8" t="n">
        <x:f>IF(MOD(A1572,4)=0,1,0)</x:f>
        <x:v>0</x:v>
      </x:c>
      <x:c r="E1572" s="8" t="n">
        <x:f>IF(AND(F1571&lt;=9,AS1571&gt;=AR1571),1,0)</x:f>
        <x:v>0</x:v>
      </x:c>
      <x:c r="F1572" s="8" t="n">
        <x:f>MIN(10,F1571+E1572)</x:f>
        <x:v>10</x:v>
      </x:c>
      <x:c r="G1572" s="8" t="n">
        <x:f>MIN(F1572,9)+1</x:f>
        <x:v>10</x:v>
      </x:c>
      <x:c r="H1572" s="8" t="n">
        <x:f>IF(F1572&lt;=9,1,0)</x:f>
        <x:v>0</x:v>
      </x:c>
      <x:c r="I1572" s="9" t="n">
        <x:f>MIN(10,F1571+IF(AR1571&gt;0,MIN(1,AS1571/AR1571),1))</x:f>
        <x:v>10</x:v>
      </x:c>
      <x:c r="J1572" s="32" t="n">
        <x:f>INDEX(v01_FoodCap,G1572)*Arch_FoodCap*EXP(v01_CapsByProject*SUMPRODUCT((Cap_Point&lt;=I1572)*(Cap_Kind="Food")*Cap_Ln))</x:f>
        <x:v>12000</x:v>
      </x:c>
      <x:c r="K1572" s="32" t="n">
        <x:f>J1572*MIN(1,v01_LeanBase*EXP(v01_CapsByProject*SUMPRODUCT((Cap_Point&lt;=I1572)*(Cap_Kind="Lean")*Cap_Ln)))</x:f>
        <x:v>12000</x:v>
      </x:c>
      <x:c r="L1572" s="10" t="n">
        <x:f>INDEX(v01_HousingCap,G1572)*EXP(v01_CapsByProject*SUMPRODUCT((Cap_Point&lt;=I1572)*(Cap_Kind="Housing")*Cap_Ln))</x:f>
        <x:v>20000</x:v>
      </x:c>
      <x:c r="M1572" s="10" t="n">
        <x:f>INDEX(v01_GroupCap,G1572)*v01_CohesionFactor*EXP(v01_CapsByProject*SUMPRODUCT((Cap_Point&lt;=I1572)*(Cap_Kind="Group")*Cap_Ln))</x:f>
        <x:v>1000000</x:v>
      </x:c>
      <x:c r="N1572" s="32" t="n">
        <x:f>MIN(J1572,L1572,M1572)</x:f>
        <x:v>12000</x:v>
      </x:c>
      <x:c r="O1572" s="10" t="n">
        <x:f>AE1571*N1572</x:f>
        <x:v>180000</x:v>
      </x:c>
      <x:c r="P1572" s="9" t="n">
        <x:f>MIN(1,(AB1571/(AE1571*IF(v01_GroupInCrowding=1,N1572,MIN(J1572,L1572))))^v01_CrowdingExp)</x:f>
        <x:v>0.00024569414295285325</x:v>
      </x:c>
      <x:c r="Q1572" s="9" t="n">
        <x:f>IF(D1572=1,INDEX(v01_WinterMult,G1572),1)</x:f>
        <x:v>1</x:v>
      </x:c>
      <x:c r="R1572" s="9" t="n">
        <x:f>H1572*Z1571*v01_WomenShare*v01_BaseFertility*INDEX(v01_FertMult,G1572)*Arch_Fertility*(1-P1572)</x:f>
        <x:v>0</x:v>
      </x:c>
      <x:c r="S1572" s="9" t="n">
        <x:f>H1572*Y1571*INDEX(v01_MortChild,G1572)/4*Q1572</x:f>
        <x:v>0</x:v>
      </x:c>
      <x:c r="T1572" s="9" t="n">
        <x:f>H1572*Z1571*INDEX(v01_MortAdult,G1572)*Arch_AdultMort/4*Q1572</x:f>
        <x:v>0</x:v>
      </x:c>
      <x:c r="U1572" s="9" t="n">
        <x:f>H1572*AA1571*INDEX(v01_MortElder,G1572)/4*Q1572</x:f>
        <x:v>0</x:v>
      </x:c>
      <x:c r="V1572" s="9" t="n">
        <x:f>H1572*MAX(0,AB1571-O1572)*v01_OvercapLoss</x:f>
        <x:v>0</x:v>
      </x:c>
      <x:c r="W1572" s="9" t="n">
        <x:f>H1572*Y1571/(v01_ChildYears*4)</x:f>
        <x:v>0</x:v>
      </x:c>
      <x:c r="X1572" s="9" t="n">
        <x:f>H1572*Z1571/(v01_AdultYears*4)</x:f>
        <x:v>0</x:v>
      </x:c>
      <x:c r="Y1572" s="32" t="n">
        <x:f>Y1571+R1572-S1572-W1572-Y1571*V1572/AB1571</x:f>
        <x:v>14306.18539759397</x:v>
      </x:c>
      <x:c r="Z1572" s="32" t="n">
        <x:f>Z1571+W1572-X1572-T1572-Z1571*V1572/AB1571</x:f>
        <x:v>19354.456567879548</x:v>
      </x:c>
      <x:c r="AA1572" s="32" t="n">
        <x:f>AA1571+X1572-U1572-AA1571*V1572/AB1571</x:f>
        <x:v>11386.956063258198</x:v>
      </x:c>
      <x:c r="AB1572" s="10" t="n">
        <x:f>Y1572+Z1572+AA1572</x:f>
        <x:v>45047.59802873172</x:v>
      </x:c>
      <x:c r="AC1572" s="8" t="n">
        <x:f>IF(AND(v01_WinterTrigger=1,D1572=1,AB1571/AE1571&gt;=K1572),1,0)</x:f>
        <x:v>0</x:v>
      </x:c>
      <x:c r="AD1572" s="8" t="n">
        <x:f>H1572*IF(AND(OR(AB1571/AE1571&gt;=v01_FissionTrigger*N1572,AC1572=1),AB1571/AE1571*v01_DaughterShare&gt;=v01_MinDaughter),MAX(1,ROUND(AE1571*v01_FissionRate,0)),0)</x:f>
        <x:v>0</x:v>
      </x:c>
      <x:c r="AE1572" s="8" t="n">
        <x:f>IF(H1572=1,MAX(1,MIN(INDEX(v01_Smax,G1572),AE1571+AD1572)),AE1571)</x:f>
        <x:v>15</x:v>
      </x:c>
      <x:c r="AF1572" s="8" t="n">
        <x:f>MAX(0,AE1572-AE1571)</x:f>
        <x:v>0</x:v>
      </x:c>
      <x:c r="AG1572" s="9" t="str">
        <x:f>IF(AF1572&gt;0,B1572,"")</x:f>
      </x:c>
      <x:c r="AH1572" s="9" t="n">
        <x:f>IF(F1572&gt;=1,1,(1+v01_LowTiesShare*(AE1572-1))/AE1572)</x:f>
        <x:v>1</x:v>
      </x:c>
      <x:c r="AI1572" s="32" t="n">
        <x:f>(Z1572+v01_ElderCommons*INDEX(LM_Elder,G1572)*AA1572)*AH1572</x:f>
        <x:v>64139.732591141874</x:v>
      </x:c>
      <x:c r="AJ1572" s="32" t="n">
        <x:f>H1572*v01_CommonsCoef*AI1572^v01_CommonsExp*INDEX(LM_Commons,G1572)</x:f>
        <x:v>0</x:v>
      </x:c>
      <x:c r="AK1572" s="32" t="n">
        <x:f>H1572*v01_RoleScale*Arch_Roles*(AE1572*(INDEX(v01_ElderRolePerSett,G1572)*v01_OutElder*INDEX(LM_Elder,G1572)+INDEX(v01_ShamanPerSett,G1572)*v01_OutShaman)+Z1572*(INDEX(v01_PriestShare,G1572)*v01_OutPriest+INDEX(v01_ScribeShare,G1572)*v01_OutScribe*INDEX(LM_Scribe,G1572)+INDEX(v01_ScholarShare,G1572)*v01_OutScholar*INDEX(LM_Scholar,G1572)+INDEX(v01_ResearcherShare,G1572)*v01_OutResearcher*INDEX(LM_Researcher,G1572)))</x:f>
        <x:v>0</x:v>
      </x:c>
      <x:c r="AL1572" s="32" t="n">
        <x:f>H1572*v01_RoleScale*Arch_Roles*AE1572*INDEX(v01_MonasteryPerSett,G1572)*v01_OutMonastery*INDEX(LM_Monastery,G1572)</x:f>
        <x:v>0</x:v>
      </x:c>
      <x:c r="AM1572" s="32" t="n">
        <x:f>(AJ1572+AK1572+AL1572)/4*INDEX(LM_All,G1572)*INDEX(v01_Boon,G1572)*Arch_Insight</x:f>
        <x:v>0</x:v>
      </x:c>
      <x:c r="AN1572" s="32" t="n">
        <x:f>H1572*(v01_KHPerAdult*Z1572+v01_KHOfCommons*AJ1572/4*INDEX(LM_All,G1572))*v01_KHUsable*Arch_KH</x:f>
        <x:v>0</x:v>
      </x:c>
      <x:c r="AO1572" s="32" t="n">
        <x:f>MIN(AP1571+AN1572,AM1572*v01_KHMaxRatio)</x:f>
        <x:v>0</x:v>
      </x:c>
      <x:c r="AP1572" s="32" t="n">
        <x:f>AP1571+AN1572-AO1572</x:f>
        <x:v>0</x:v>
      </x:c>
      <x:c r="AQ1572" s="32" t="n">
        <x:f>AM1572+AO1572</x:f>
        <x:v>0</x:v>
      </x:c>
      <x:c r="AR1572" s="10" t="n">
        <x:f>IF(H1572=1,INDEX(v01_Req,G1572),0)</x:f>
        <x:v>0</x:v>
      </x:c>
      <x:c r="AS1572" s="32" t="n">
        <x:f>IF(H1572=1,IF(E1572=1,AS1571-AR1571,AS1571)+AQ1572,0)</x:f>
        <x:v>0</x:v>
      </x:c>
      <x:c r="AT1572" s="11" t="n">
        <x:f>IF(AR1572&gt;0,MIN(1,AS1572/AR1572),1)</x:f>
        <x:v>1</x:v>
      </x:c>
      <x:c r="AU1572" s="10" t="n">
        <x:f>AB1572/INDEX(v01_RepScale,G1572)</x:f>
        <x:v>90.09519605746344</x:v>
      </x:c>
      <x:c r="AV1572" s="32" t="n">
        <x:f>AM1572*60/v01_SeasonSeconds</x:f>
        <x:v>0</x:v>
      </x:c>
    </x:row>
    <x:row r="1573">
      <x:c r="A1573" s="8" t="n">
        <x:f>A1572+1</x:f>
        <x:v>1570</x:v>
      </x:c>
      <x:c r="B1573" s="9" t="n">
        <x:f>A1573*v01_SeasonSeconds/60</x:f>
        <x:v>392.5</x:v>
      </x:c>
      <x:c r="C1573" s="9" t="n">
        <x:f>A1573/4</x:f>
        <x:v>392.5</x:v>
      </x:c>
      <x:c r="D1573" s="8" t="n">
        <x:f>IF(MOD(A1573,4)=0,1,0)</x:f>
        <x:v>0</x:v>
      </x:c>
      <x:c r="E1573" s="8" t="n">
        <x:f>IF(AND(F1572&lt;=9,AS1572&gt;=AR1572),1,0)</x:f>
        <x:v>0</x:v>
      </x:c>
      <x:c r="F1573" s="8" t="n">
        <x:f>MIN(10,F1572+E1573)</x:f>
        <x:v>10</x:v>
      </x:c>
      <x:c r="G1573" s="8" t="n">
        <x:f>MIN(F1573,9)+1</x:f>
        <x:v>10</x:v>
      </x:c>
      <x:c r="H1573" s="8" t="n">
        <x:f>IF(F1573&lt;=9,1,0)</x:f>
        <x:v>0</x:v>
      </x:c>
      <x:c r="I1573" s="9" t="n">
        <x:f>MIN(10,F1572+IF(AR1572&gt;0,MIN(1,AS1572/AR1572),1))</x:f>
        <x:v>10</x:v>
      </x:c>
      <x:c r="J1573" s="32" t="n">
        <x:f>INDEX(v01_FoodCap,G1573)*Arch_FoodCap*EXP(v01_CapsByProject*SUMPRODUCT((Cap_Point&lt;=I1573)*(Cap_Kind="Food")*Cap_Ln))</x:f>
        <x:v>12000</x:v>
      </x:c>
      <x:c r="K1573" s="32" t="n">
        <x:f>J1573*MIN(1,v01_LeanBase*EXP(v01_CapsByProject*SUMPRODUCT((Cap_Point&lt;=I1573)*(Cap_Kind="Lean")*Cap_Ln)))</x:f>
        <x:v>12000</x:v>
      </x:c>
      <x:c r="L1573" s="10" t="n">
        <x:f>INDEX(v01_HousingCap,G1573)*EXP(v01_CapsByProject*SUMPRODUCT((Cap_Point&lt;=I1573)*(Cap_Kind="Housing")*Cap_Ln))</x:f>
        <x:v>20000</x:v>
      </x:c>
      <x:c r="M1573" s="10" t="n">
        <x:f>INDEX(v01_GroupCap,G1573)*v01_CohesionFactor*EXP(v01_CapsByProject*SUMPRODUCT((Cap_Point&lt;=I1573)*(Cap_Kind="Group")*Cap_Ln))</x:f>
        <x:v>1000000</x:v>
      </x:c>
      <x:c r="N1573" s="32" t="n">
        <x:f>MIN(J1573,L1573,M1573)</x:f>
        <x:v>12000</x:v>
      </x:c>
      <x:c r="O1573" s="10" t="n">
        <x:f>AE1572*N1573</x:f>
        <x:v>180000</x:v>
      </x:c>
      <x:c r="P1573" s="9" t="n">
        <x:f>MIN(1,(AB1572/(AE1572*IF(v01_GroupInCrowding=1,N1573,MIN(J1573,L1573))))^v01_CrowdingExp)</x:f>
        <x:v>0.00024569414295285325</x:v>
      </x:c>
      <x:c r="Q1573" s="9" t="n">
        <x:f>IF(D1573=1,INDEX(v01_WinterMult,G1573),1)</x:f>
        <x:v>1</x:v>
      </x:c>
      <x:c r="R1573" s="9" t="n">
        <x:f>H1573*Z1572*v01_WomenShare*v01_BaseFertility*INDEX(v01_FertMult,G1573)*Arch_Fertility*(1-P1573)</x:f>
        <x:v>0</x:v>
      </x:c>
      <x:c r="S1573" s="9" t="n">
        <x:f>H1573*Y1572*INDEX(v01_MortChild,G1573)/4*Q1573</x:f>
        <x:v>0</x:v>
      </x:c>
      <x:c r="T1573" s="9" t="n">
        <x:f>H1573*Z1572*INDEX(v01_MortAdult,G1573)*Arch_AdultMort/4*Q1573</x:f>
        <x:v>0</x:v>
      </x:c>
      <x:c r="U1573" s="9" t="n">
        <x:f>H1573*AA1572*INDEX(v01_MortElder,G1573)/4*Q1573</x:f>
        <x:v>0</x:v>
      </x:c>
      <x:c r="V1573" s="9" t="n">
        <x:f>H1573*MAX(0,AB1572-O1573)*v01_OvercapLoss</x:f>
        <x:v>0</x:v>
      </x:c>
      <x:c r="W1573" s="9" t="n">
        <x:f>H1573*Y1572/(v01_ChildYears*4)</x:f>
        <x:v>0</x:v>
      </x:c>
      <x:c r="X1573" s="9" t="n">
        <x:f>H1573*Z1572/(v01_AdultYears*4)</x:f>
        <x:v>0</x:v>
      </x:c>
      <x:c r="Y1573" s="32" t="n">
        <x:f>Y1572+R1573-S1573-W1573-Y1572*V1573/AB1572</x:f>
        <x:v>14306.18539759397</x:v>
      </x:c>
      <x:c r="Z1573" s="32" t="n">
        <x:f>Z1572+W1573-X1573-T1573-Z1572*V1573/AB1572</x:f>
        <x:v>19354.456567879548</x:v>
      </x:c>
      <x:c r="AA1573" s="32" t="n">
        <x:f>AA1572+X1573-U1573-AA1572*V1573/AB1572</x:f>
        <x:v>11386.956063258198</x:v>
      </x:c>
      <x:c r="AB1573" s="10" t="n">
        <x:f>Y1573+Z1573+AA1573</x:f>
        <x:v>45047.59802873172</x:v>
      </x:c>
      <x:c r="AC1573" s="8" t="n">
        <x:f>IF(AND(v01_WinterTrigger=1,D1573=1,AB1572/AE1572&gt;=K1573),1,0)</x:f>
        <x:v>0</x:v>
      </x:c>
      <x:c r="AD1573" s="8" t="n">
        <x:f>H1573*IF(AND(OR(AB1572/AE1572&gt;=v01_FissionTrigger*N1573,AC1573=1),AB1572/AE1572*v01_DaughterShare&gt;=v01_MinDaughter),MAX(1,ROUND(AE1572*v01_FissionRate,0)),0)</x:f>
        <x:v>0</x:v>
      </x:c>
      <x:c r="AE1573" s="8" t="n">
        <x:f>IF(H1573=1,MAX(1,MIN(INDEX(v01_Smax,G1573),AE1572+AD1573)),AE1572)</x:f>
        <x:v>15</x:v>
      </x:c>
      <x:c r="AF1573" s="8" t="n">
        <x:f>MAX(0,AE1573-AE1572)</x:f>
        <x:v>0</x:v>
      </x:c>
      <x:c r="AG1573" s="9" t="str">
        <x:f>IF(AF1573&gt;0,B1573,"")</x:f>
      </x:c>
      <x:c r="AH1573" s="9" t="n">
        <x:f>IF(F1573&gt;=1,1,(1+v01_LowTiesShare*(AE1573-1))/AE1573)</x:f>
        <x:v>1</x:v>
      </x:c>
      <x:c r="AI1573" s="32" t="n">
        <x:f>(Z1573+v01_ElderCommons*INDEX(LM_Elder,G1573)*AA1573)*AH1573</x:f>
        <x:v>64139.732591141874</x:v>
      </x:c>
      <x:c r="AJ1573" s="32" t="n">
        <x:f>H1573*v01_CommonsCoef*AI1573^v01_CommonsExp*INDEX(LM_Commons,G1573)</x:f>
        <x:v>0</x:v>
      </x:c>
      <x:c r="AK1573" s="32" t="n">
        <x:f>H1573*v01_RoleScale*Arch_Roles*(AE1573*(INDEX(v01_ElderRolePerSett,G1573)*v01_OutElder*INDEX(LM_Elder,G1573)+INDEX(v01_ShamanPerSett,G1573)*v01_OutShaman)+Z1573*(INDEX(v01_PriestShare,G1573)*v01_OutPriest+INDEX(v01_ScribeShare,G1573)*v01_OutScribe*INDEX(LM_Scribe,G1573)+INDEX(v01_ScholarShare,G1573)*v01_OutScholar*INDEX(LM_Scholar,G1573)+INDEX(v01_ResearcherShare,G1573)*v01_OutResearcher*INDEX(LM_Researcher,G1573)))</x:f>
        <x:v>0</x:v>
      </x:c>
      <x:c r="AL1573" s="32" t="n">
        <x:f>H1573*v01_RoleScale*Arch_Roles*AE1573*INDEX(v01_MonasteryPerSett,G1573)*v01_OutMonastery*INDEX(LM_Monastery,G1573)</x:f>
        <x:v>0</x:v>
      </x:c>
      <x:c r="AM1573" s="32" t="n">
        <x:f>(AJ1573+AK1573+AL1573)/4*INDEX(LM_All,G1573)*INDEX(v01_Boon,G1573)*Arch_Insight</x:f>
        <x:v>0</x:v>
      </x:c>
      <x:c r="AN1573" s="32" t="n">
        <x:f>H1573*(v01_KHPerAdult*Z1573+v01_KHOfCommons*AJ1573/4*INDEX(LM_All,G1573))*v01_KHUsable*Arch_KH</x:f>
        <x:v>0</x:v>
      </x:c>
      <x:c r="AO1573" s="32" t="n">
        <x:f>MIN(AP1572+AN1573,AM1573*v01_KHMaxRatio)</x:f>
        <x:v>0</x:v>
      </x:c>
      <x:c r="AP1573" s="32" t="n">
        <x:f>AP1572+AN1573-AO1573</x:f>
        <x:v>0</x:v>
      </x:c>
      <x:c r="AQ1573" s="32" t="n">
        <x:f>AM1573+AO1573</x:f>
        <x:v>0</x:v>
      </x:c>
      <x:c r="AR1573" s="10" t="n">
        <x:f>IF(H1573=1,INDEX(v01_Req,G1573),0)</x:f>
        <x:v>0</x:v>
      </x:c>
      <x:c r="AS1573" s="32" t="n">
        <x:f>IF(H1573=1,IF(E1573=1,AS1572-AR1572,AS1572)+AQ1573,0)</x:f>
        <x:v>0</x:v>
      </x:c>
      <x:c r="AT1573" s="11" t="n">
        <x:f>IF(AR1573&gt;0,MIN(1,AS1573/AR1573),1)</x:f>
        <x:v>1</x:v>
      </x:c>
      <x:c r="AU1573" s="10" t="n">
        <x:f>AB1573/INDEX(v01_RepScale,G1573)</x:f>
        <x:v>90.09519605746344</x:v>
      </x:c>
      <x:c r="AV1573" s="32" t="n">
        <x:f>AM1573*60/v01_SeasonSeconds</x:f>
        <x:v>0</x:v>
      </x:c>
    </x:row>
    <x:row r="1574">
      <x:c r="A1574" s="8" t="n">
        <x:f>A1573+1</x:f>
        <x:v>1571</x:v>
      </x:c>
      <x:c r="B1574" s="9" t="n">
        <x:f>A1574*v01_SeasonSeconds/60</x:f>
        <x:v>392.75</x:v>
      </x:c>
      <x:c r="C1574" s="9" t="n">
        <x:f>A1574/4</x:f>
        <x:v>392.75</x:v>
      </x:c>
      <x:c r="D1574" s="8" t="n">
        <x:f>IF(MOD(A1574,4)=0,1,0)</x:f>
        <x:v>0</x:v>
      </x:c>
      <x:c r="E1574" s="8" t="n">
        <x:f>IF(AND(F1573&lt;=9,AS1573&gt;=AR1573),1,0)</x:f>
        <x:v>0</x:v>
      </x:c>
      <x:c r="F1574" s="8" t="n">
        <x:f>MIN(10,F1573+E1574)</x:f>
        <x:v>10</x:v>
      </x:c>
      <x:c r="G1574" s="8" t="n">
        <x:f>MIN(F1574,9)+1</x:f>
        <x:v>10</x:v>
      </x:c>
      <x:c r="H1574" s="8" t="n">
        <x:f>IF(F1574&lt;=9,1,0)</x:f>
        <x:v>0</x:v>
      </x:c>
      <x:c r="I1574" s="9" t="n">
        <x:f>MIN(10,F1573+IF(AR1573&gt;0,MIN(1,AS1573/AR1573),1))</x:f>
        <x:v>10</x:v>
      </x:c>
      <x:c r="J1574" s="32" t="n">
        <x:f>INDEX(v01_FoodCap,G1574)*Arch_FoodCap*EXP(v01_CapsByProject*SUMPRODUCT((Cap_Point&lt;=I1574)*(Cap_Kind="Food")*Cap_Ln))</x:f>
        <x:v>12000</x:v>
      </x:c>
      <x:c r="K1574" s="32" t="n">
        <x:f>J1574*MIN(1,v01_LeanBase*EXP(v01_CapsByProject*SUMPRODUCT((Cap_Point&lt;=I1574)*(Cap_Kind="Lean")*Cap_Ln)))</x:f>
        <x:v>12000</x:v>
      </x:c>
      <x:c r="L1574" s="10" t="n">
        <x:f>INDEX(v01_HousingCap,G1574)*EXP(v01_CapsByProject*SUMPRODUCT((Cap_Point&lt;=I1574)*(Cap_Kind="Housing")*Cap_Ln))</x:f>
        <x:v>20000</x:v>
      </x:c>
      <x:c r="M1574" s="10" t="n">
        <x:f>INDEX(v01_GroupCap,G1574)*v01_CohesionFactor*EXP(v01_CapsByProject*SUMPRODUCT((Cap_Point&lt;=I1574)*(Cap_Kind="Group")*Cap_Ln))</x:f>
        <x:v>1000000</x:v>
      </x:c>
      <x:c r="N1574" s="32" t="n">
        <x:f>MIN(J1574,L1574,M1574)</x:f>
        <x:v>12000</x:v>
      </x:c>
      <x:c r="O1574" s="10" t="n">
        <x:f>AE1573*N1574</x:f>
        <x:v>180000</x:v>
      </x:c>
      <x:c r="P1574" s="9" t="n">
        <x:f>MIN(1,(AB1573/(AE1573*IF(v01_GroupInCrowding=1,N1574,MIN(J1574,L1574))))^v01_CrowdingExp)</x:f>
        <x:v>0.00024569414295285325</x:v>
      </x:c>
      <x:c r="Q1574" s="9" t="n">
        <x:f>IF(D1574=1,INDEX(v01_WinterMult,G1574),1)</x:f>
        <x:v>1</x:v>
      </x:c>
      <x:c r="R1574" s="9" t="n">
        <x:f>H1574*Z1573*v01_WomenShare*v01_BaseFertility*INDEX(v01_FertMult,G1574)*Arch_Fertility*(1-P1574)</x:f>
        <x:v>0</x:v>
      </x:c>
      <x:c r="S1574" s="9" t="n">
        <x:f>H1574*Y1573*INDEX(v01_MortChild,G1574)/4*Q1574</x:f>
        <x:v>0</x:v>
      </x:c>
      <x:c r="T1574" s="9" t="n">
        <x:f>H1574*Z1573*INDEX(v01_MortAdult,G1574)*Arch_AdultMort/4*Q1574</x:f>
        <x:v>0</x:v>
      </x:c>
      <x:c r="U1574" s="9" t="n">
        <x:f>H1574*AA1573*INDEX(v01_MortElder,G1574)/4*Q1574</x:f>
        <x:v>0</x:v>
      </x:c>
      <x:c r="V1574" s="9" t="n">
        <x:f>H1574*MAX(0,AB1573-O1574)*v01_OvercapLoss</x:f>
        <x:v>0</x:v>
      </x:c>
      <x:c r="W1574" s="9" t="n">
        <x:f>H1574*Y1573/(v01_ChildYears*4)</x:f>
        <x:v>0</x:v>
      </x:c>
      <x:c r="X1574" s="9" t="n">
        <x:f>H1574*Z1573/(v01_AdultYears*4)</x:f>
        <x:v>0</x:v>
      </x:c>
      <x:c r="Y1574" s="32" t="n">
        <x:f>Y1573+R1574-S1574-W1574-Y1573*V1574/AB1573</x:f>
        <x:v>14306.18539759397</x:v>
      </x:c>
      <x:c r="Z1574" s="32" t="n">
        <x:f>Z1573+W1574-X1574-T1574-Z1573*V1574/AB1573</x:f>
        <x:v>19354.456567879548</x:v>
      </x:c>
      <x:c r="AA1574" s="32" t="n">
        <x:f>AA1573+X1574-U1574-AA1573*V1574/AB1573</x:f>
        <x:v>11386.956063258198</x:v>
      </x:c>
      <x:c r="AB1574" s="10" t="n">
        <x:f>Y1574+Z1574+AA1574</x:f>
        <x:v>45047.59802873172</x:v>
      </x:c>
      <x:c r="AC1574" s="8" t="n">
        <x:f>IF(AND(v01_WinterTrigger=1,D1574=1,AB1573/AE1573&gt;=K1574),1,0)</x:f>
        <x:v>0</x:v>
      </x:c>
      <x:c r="AD1574" s="8" t="n">
        <x:f>H1574*IF(AND(OR(AB1573/AE1573&gt;=v01_FissionTrigger*N1574,AC1574=1),AB1573/AE1573*v01_DaughterShare&gt;=v01_MinDaughter),MAX(1,ROUND(AE1573*v01_FissionRate,0)),0)</x:f>
        <x:v>0</x:v>
      </x:c>
      <x:c r="AE1574" s="8" t="n">
        <x:f>IF(H1574=1,MAX(1,MIN(INDEX(v01_Smax,G1574),AE1573+AD1574)),AE1573)</x:f>
        <x:v>15</x:v>
      </x:c>
      <x:c r="AF1574" s="8" t="n">
        <x:f>MAX(0,AE1574-AE1573)</x:f>
        <x:v>0</x:v>
      </x:c>
      <x:c r="AG1574" s="9" t="str">
        <x:f>IF(AF1574&gt;0,B1574,"")</x:f>
      </x:c>
      <x:c r="AH1574" s="9" t="n">
        <x:f>IF(F1574&gt;=1,1,(1+v01_LowTiesShare*(AE1574-1))/AE1574)</x:f>
        <x:v>1</x:v>
      </x:c>
      <x:c r="AI1574" s="32" t="n">
        <x:f>(Z1574+v01_ElderCommons*INDEX(LM_Elder,G1574)*AA1574)*AH1574</x:f>
        <x:v>64139.732591141874</x:v>
      </x:c>
      <x:c r="AJ1574" s="32" t="n">
        <x:f>H1574*v01_CommonsCoef*AI1574^v01_CommonsExp*INDEX(LM_Commons,G1574)</x:f>
        <x:v>0</x:v>
      </x:c>
      <x:c r="AK1574" s="32" t="n">
        <x:f>H1574*v01_RoleScale*Arch_Roles*(AE1574*(INDEX(v01_ElderRolePerSett,G1574)*v01_OutElder*INDEX(LM_Elder,G1574)+INDEX(v01_ShamanPerSett,G1574)*v01_OutShaman)+Z1574*(INDEX(v01_PriestShare,G1574)*v01_OutPriest+INDEX(v01_ScribeShare,G1574)*v01_OutScribe*INDEX(LM_Scribe,G1574)+INDEX(v01_ScholarShare,G1574)*v01_OutScholar*INDEX(LM_Scholar,G1574)+INDEX(v01_ResearcherShare,G1574)*v01_OutResearcher*INDEX(LM_Researcher,G1574)))</x:f>
        <x:v>0</x:v>
      </x:c>
      <x:c r="AL1574" s="32" t="n">
        <x:f>H1574*v01_RoleScale*Arch_Roles*AE1574*INDEX(v01_MonasteryPerSett,G1574)*v01_OutMonastery*INDEX(LM_Monastery,G1574)</x:f>
        <x:v>0</x:v>
      </x:c>
      <x:c r="AM1574" s="32" t="n">
        <x:f>(AJ1574+AK1574+AL1574)/4*INDEX(LM_All,G1574)*INDEX(v01_Boon,G1574)*Arch_Insight</x:f>
        <x:v>0</x:v>
      </x:c>
      <x:c r="AN1574" s="32" t="n">
        <x:f>H1574*(v01_KHPerAdult*Z1574+v01_KHOfCommons*AJ1574/4*INDEX(LM_All,G1574))*v01_KHUsable*Arch_KH</x:f>
        <x:v>0</x:v>
      </x:c>
      <x:c r="AO1574" s="32" t="n">
        <x:f>MIN(AP1573+AN1574,AM1574*v01_KHMaxRatio)</x:f>
        <x:v>0</x:v>
      </x:c>
      <x:c r="AP1574" s="32" t="n">
        <x:f>AP1573+AN1574-AO1574</x:f>
        <x:v>0</x:v>
      </x:c>
      <x:c r="AQ1574" s="32" t="n">
        <x:f>AM1574+AO1574</x:f>
        <x:v>0</x:v>
      </x:c>
      <x:c r="AR1574" s="10" t="n">
        <x:f>IF(H1574=1,INDEX(v01_Req,G1574),0)</x:f>
        <x:v>0</x:v>
      </x:c>
      <x:c r="AS1574" s="32" t="n">
        <x:f>IF(H1574=1,IF(E1574=1,AS1573-AR1573,AS1573)+AQ1574,0)</x:f>
        <x:v>0</x:v>
      </x:c>
      <x:c r="AT1574" s="11" t="n">
        <x:f>IF(AR1574&gt;0,MIN(1,AS1574/AR1574),1)</x:f>
        <x:v>1</x:v>
      </x:c>
      <x:c r="AU1574" s="10" t="n">
        <x:f>AB1574/INDEX(v01_RepScale,G1574)</x:f>
        <x:v>90.09519605746344</x:v>
      </x:c>
      <x:c r="AV1574" s="32" t="n">
        <x:f>AM1574*60/v01_SeasonSeconds</x:f>
        <x:v>0</x:v>
      </x:c>
    </x:row>
    <x:row r="1575">
      <x:c r="A1575" s="8" t="n">
        <x:f>A1574+1</x:f>
        <x:v>1572</x:v>
      </x:c>
      <x:c r="B1575" s="9" t="n">
        <x:f>A1575*v01_SeasonSeconds/60</x:f>
        <x:v>393</x:v>
      </x:c>
      <x:c r="C1575" s="9" t="n">
        <x:f>A1575/4</x:f>
        <x:v>393</x:v>
      </x:c>
      <x:c r="D1575" s="8" t="n">
        <x:f>IF(MOD(A1575,4)=0,1,0)</x:f>
        <x:v>1</x:v>
      </x:c>
      <x:c r="E1575" s="8" t="n">
        <x:f>IF(AND(F1574&lt;=9,AS1574&gt;=AR1574),1,0)</x:f>
        <x:v>0</x:v>
      </x:c>
      <x:c r="F1575" s="8" t="n">
        <x:f>MIN(10,F1574+E1575)</x:f>
        <x:v>10</x:v>
      </x:c>
      <x:c r="G1575" s="8" t="n">
        <x:f>MIN(F1575,9)+1</x:f>
        <x:v>10</x:v>
      </x:c>
      <x:c r="H1575" s="8" t="n">
        <x:f>IF(F1575&lt;=9,1,0)</x:f>
        <x:v>0</x:v>
      </x:c>
      <x:c r="I1575" s="9" t="n">
        <x:f>MIN(10,F1574+IF(AR1574&gt;0,MIN(1,AS1574/AR1574),1))</x:f>
        <x:v>10</x:v>
      </x:c>
      <x:c r="J1575" s="32" t="n">
        <x:f>INDEX(v01_FoodCap,G1575)*Arch_FoodCap*EXP(v01_CapsByProject*SUMPRODUCT((Cap_Point&lt;=I1575)*(Cap_Kind="Food")*Cap_Ln))</x:f>
        <x:v>12000</x:v>
      </x:c>
      <x:c r="K1575" s="32" t="n">
        <x:f>J1575*MIN(1,v01_LeanBase*EXP(v01_CapsByProject*SUMPRODUCT((Cap_Point&lt;=I1575)*(Cap_Kind="Lean")*Cap_Ln)))</x:f>
        <x:v>12000</x:v>
      </x:c>
      <x:c r="L1575" s="10" t="n">
        <x:f>INDEX(v01_HousingCap,G1575)*EXP(v01_CapsByProject*SUMPRODUCT((Cap_Point&lt;=I1575)*(Cap_Kind="Housing")*Cap_Ln))</x:f>
        <x:v>20000</x:v>
      </x:c>
      <x:c r="M1575" s="10" t="n">
        <x:f>INDEX(v01_GroupCap,G1575)*v01_CohesionFactor*EXP(v01_CapsByProject*SUMPRODUCT((Cap_Point&lt;=I1575)*(Cap_Kind="Group")*Cap_Ln))</x:f>
        <x:v>1000000</x:v>
      </x:c>
      <x:c r="N1575" s="32" t="n">
        <x:f>MIN(J1575,L1575,M1575)</x:f>
        <x:v>12000</x:v>
      </x:c>
      <x:c r="O1575" s="10" t="n">
        <x:f>AE1574*N1575</x:f>
        <x:v>180000</x:v>
      </x:c>
      <x:c r="P1575" s="9" t="n">
        <x:f>MIN(1,(AB1574/(AE1574*IF(v01_GroupInCrowding=1,N1575,MIN(J1575,L1575))))^v01_CrowdingExp)</x:f>
        <x:v>0.00024569414295285325</x:v>
      </x:c>
      <x:c r="Q1575" s="9" t="n">
        <x:f>IF(D1575=1,INDEX(v01_WinterMult,G1575),1)</x:f>
        <x:v>1</x:v>
      </x:c>
      <x:c r="R1575" s="9" t="n">
        <x:f>H1575*Z1574*v01_WomenShare*v01_BaseFertility*INDEX(v01_FertMult,G1575)*Arch_Fertility*(1-P1575)</x:f>
        <x:v>0</x:v>
      </x:c>
      <x:c r="S1575" s="9" t="n">
        <x:f>H1575*Y1574*INDEX(v01_MortChild,G1575)/4*Q1575</x:f>
        <x:v>0</x:v>
      </x:c>
      <x:c r="T1575" s="9" t="n">
        <x:f>H1575*Z1574*INDEX(v01_MortAdult,G1575)*Arch_AdultMort/4*Q1575</x:f>
        <x:v>0</x:v>
      </x:c>
      <x:c r="U1575" s="9" t="n">
        <x:f>H1575*AA1574*INDEX(v01_MortElder,G1575)/4*Q1575</x:f>
        <x:v>0</x:v>
      </x:c>
      <x:c r="V1575" s="9" t="n">
        <x:f>H1575*MAX(0,AB1574-O1575)*v01_OvercapLoss</x:f>
        <x:v>0</x:v>
      </x:c>
      <x:c r="W1575" s="9" t="n">
        <x:f>H1575*Y1574/(v01_ChildYears*4)</x:f>
        <x:v>0</x:v>
      </x:c>
      <x:c r="X1575" s="9" t="n">
        <x:f>H1575*Z1574/(v01_AdultYears*4)</x:f>
        <x:v>0</x:v>
      </x:c>
      <x:c r="Y1575" s="32" t="n">
        <x:f>Y1574+R1575-S1575-W1575-Y1574*V1575/AB1574</x:f>
        <x:v>14306.18539759397</x:v>
      </x:c>
      <x:c r="Z1575" s="32" t="n">
        <x:f>Z1574+W1575-X1575-T1575-Z1574*V1575/AB1574</x:f>
        <x:v>19354.456567879548</x:v>
      </x:c>
      <x:c r="AA1575" s="32" t="n">
        <x:f>AA1574+X1575-U1575-AA1574*V1575/AB1574</x:f>
        <x:v>11386.956063258198</x:v>
      </x:c>
      <x:c r="AB1575" s="10" t="n">
        <x:f>Y1575+Z1575+AA1575</x:f>
        <x:v>45047.59802873172</x:v>
      </x:c>
      <x:c r="AC1575" s="8" t="n">
        <x:f>IF(AND(v01_WinterTrigger=1,D1575=1,AB1574/AE1574&gt;=K1575),1,0)</x:f>
        <x:v>0</x:v>
      </x:c>
      <x:c r="AD1575" s="8" t="n">
        <x:f>H1575*IF(AND(OR(AB1574/AE1574&gt;=v01_FissionTrigger*N1575,AC1575=1),AB1574/AE1574*v01_DaughterShare&gt;=v01_MinDaughter),MAX(1,ROUND(AE1574*v01_FissionRate,0)),0)</x:f>
        <x:v>0</x:v>
      </x:c>
      <x:c r="AE1575" s="8" t="n">
        <x:f>IF(H1575=1,MAX(1,MIN(INDEX(v01_Smax,G1575),AE1574+AD1575)),AE1574)</x:f>
        <x:v>15</x:v>
      </x:c>
      <x:c r="AF1575" s="8" t="n">
        <x:f>MAX(0,AE1575-AE1574)</x:f>
        <x:v>0</x:v>
      </x:c>
      <x:c r="AG1575" s="9" t="str">
        <x:f>IF(AF1575&gt;0,B1575,"")</x:f>
      </x:c>
      <x:c r="AH1575" s="9" t="n">
        <x:f>IF(F1575&gt;=1,1,(1+v01_LowTiesShare*(AE1575-1))/AE1575)</x:f>
        <x:v>1</x:v>
      </x:c>
      <x:c r="AI1575" s="32" t="n">
        <x:f>(Z1575+v01_ElderCommons*INDEX(LM_Elder,G1575)*AA1575)*AH1575</x:f>
        <x:v>64139.732591141874</x:v>
      </x:c>
      <x:c r="AJ1575" s="32" t="n">
        <x:f>H1575*v01_CommonsCoef*AI1575^v01_CommonsExp*INDEX(LM_Commons,G1575)</x:f>
        <x:v>0</x:v>
      </x:c>
      <x:c r="AK1575" s="32" t="n">
        <x:f>H1575*v01_RoleScale*Arch_Roles*(AE1575*(INDEX(v01_ElderRolePerSett,G1575)*v01_OutElder*INDEX(LM_Elder,G1575)+INDEX(v01_ShamanPerSett,G1575)*v01_OutShaman)+Z1575*(INDEX(v01_PriestShare,G1575)*v01_OutPriest+INDEX(v01_ScribeShare,G1575)*v01_OutScribe*INDEX(LM_Scribe,G1575)+INDEX(v01_ScholarShare,G1575)*v01_OutScholar*INDEX(LM_Scholar,G1575)+INDEX(v01_ResearcherShare,G1575)*v01_OutResearcher*INDEX(LM_Researcher,G1575)))</x:f>
        <x:v>0</x:v>
      </x:c>
      <x:c r="AL1575" s="32" t="n">
        <x:f>H1575*v01_RoleScale*Arch_Roles*AE1575*INDEX(v01_MonasteryPerSett,G1575)*v01_OutMonastery*INDEX(LM_Monastery,G1575)</x:f>
        <x:v>0</x:v>
      </x:c>
      <x:c r="AM1575" s="32" t="n">
        <x:f>(AJ1575+AK1575+AL1575)/4*INDEX(LM_All,G1575)*INDEX(v01_Boon,G1575)*Arch_Insight</x:f>
        <x:v>0</x:v>
      </x:c>
      <x:c r="AN1575" s="32" t="n">
        <x:f>H1575*(v01_KHPerAdult*Z1575+v01_KHOfCommons*AJ1575/4*INDEX(LM_All,G1575))*v01_KHUsable*Arch_KH</x:f>
        <x:v>0</x:v>
      </x:c>
      <x:c r="AO1575" s="32" t="n">
        <x:f>MIN(AP1574+AN1575,AM1575*v01_KHMaxRatio)</x:f>
        <x:v>0</x:v>
      </x:c>
      <x:c r="AP1575" s="32" t="n">
        <x:f>AP1574+AN1575-AO1575</x:f>
        <x:v>0</x:v>
      </x:c>
      <x:c r="AQ1575" s="32" t="n">
        <x:f>AM1575+AO1575</x:f>
        <x:v>0</x:v>
      </x:c>
      <x:c r="AR1575" s="10" t="n">
        <x:f>IF(H1575=1,INDEX(v01_Req,G1575),0)</x:f>
        <x:v>0</x:v>
      </x:c>
      <x:c r="AS1575" s="32" t="n">
        <x:f>IF(H1575=1,IF(E1575=1,AS1574-AR1574,AS1574)+AQ1575,0)</x:f>
        <x:v>0</x:v>
      </x:c>
      <x:c r="AT1575" s="11" t="n">
        <x:f>IF(AR1575&gt;0,MIN(1,AS1575/AR1575),1)</x:f>
        <x:v>1</x:v>
      </x:c>
      <x:c r="AU1575" s="10" t="n">
        <x:f>AB1575/INDEX(v01_RepScale,G1575)</x:f>
        <x:v>90.09519605746344</x:v>
      </x:c>
      <x:c r="AV1575" s="32" t="n">
        <x:f>AM1575*60/v01_SeasonSeconds</x:f>
        <x:v>0</x:v>
      </x:c>
    </x:row>
    <x:row r="1576">
      <x:c r="A1576" s="8" t="n">
        <x:f>A1575+1</x:f>
        <x:v>1573</x:v>
      </x:c>
      <x:c r="B1576" s="9" t="n">
        <x:f>A1576*v01_SeasonSeconds/60</x:f>
        <x:v>393.25</x:v>
      </x:c>
      <x:c r="C1576" s="9" t="n">
        <x:f>A1576/4</x:f>
        <x:v>393.25</x:v>
      </x:c>
      <x:c r="D1576" s="8" t="n">
        <x:f>IF(MOD(A1576,4)=0,1,0)</x:f>
        <x:v>0</x:v>
      </x:c>
      <x:c r="E1576" s="8" t="n">
        <x:f>IF(AND(F1575&lt;=9,AS1575&gt;=AR1575),1,0)</x:f>
        <x:v>0</x:v>
      </x:c>
      <x:c r="F1576" s="8" t="n">
        <x:f>MIN(10,F1575+E1576)</x:f>
        <x:v>10</x:v>
      </x:c>
      <x:c r="G1576" s="8" t="n">
        <x:f>MIN(F1576,9)+1</x:f>
        <x:v>10</x:v>
      </x:c>
      <x:c r="H1576" s="8" t="n">
        <x:f>IF(F1576&lt;=9,1,0)</x:f>
        <x:v>0</x:v>
      </x:c>
      <x:c r="I1576" s="9" t="n">
        <x:f>MIN(10,F1575+IF(AR1575&gt;0,MIN(1,AS1575/AR1575),1))</x:f>
        <x:v>10</x:v>
      </x:c>
      <x:c r="J1576" s="32" t="n">
        <x:f>INDEX(v01_FoodCap,G1576)*Arch_FoodCap*EXP(v01_CapsByProject*SUMPRODUCT((Cap_Point&lt;=I1576)*(Cap_Kind="Food")*Cap_Ln))</x:f>
        <x:v>12000</x:v>
      </x:c>
      <x:c r="K1576" s="32" t="n">
        <x:f>J1576*MIN(1,v01_LeanBase*EXP(v01_CapsByProject*SUMPRODUCT((Cap_Point&lt;=I1576)*(Cap_Kind="Lean")*Cap_Ln)))</x:f>
        <x:v>12000</x:v>
      </x:c>
      <x:c r="L1576" s="10" t="n">
        <x:f>INDEX(v01_HousingCap,G1576)*EXP(v01_CapsByProject*SUMPRODUCT((Cap_Point&lt;=I1576)*(Cap_Kind="Housing")*Cap_Ln))</x:f>
        <x:v>20000</x:v>
      </x:c>
      <x:c r="M1576" s="10" t="n">
        <x:f>INDEX(v01_GroupCap,G1576)*v01_CohesionFactor*EXP(v01_CapsByProject*SUMPRODUCT((Cap_Point&lt;=I1576)*(Cap_Kind="Group")*Cap_Ln))</x:f>
        <x:v>1000000</x:v>
      </x:c>
      <x:c r="N1576" s="32" t="n">
        <x:f>MIN(J1576,L1576,M1576)</x:f>
        <x:v>12000</x:v>
      </x:c>
      <x:c r="O1576" s="10" t="n">
        <x:f>AE1575*N1576</x:f>
        <x:v>180000</x:v>
      </x:c>
      <x:c r="P1576" s="9" t="n">
        <x:f>MIN(1,(AB1575/(AE1575*IF(v01_GroupInCrowding=1,N1576,MIN(J1576,L1576))))^v01_CrowdingExp)</x:f>
        <x:v>0.00024569414295285325</x:v>
      </x:c>
      <x:c r="Q1576" s="9" t="n">
        <x:f>IF(D1576=1,INDEX(v01_WinterMult,G1576),1)</x:f>
        <x:v>1</x:v>
      </x:c>
      <x:c r="R1576" s="9" t="n">
        <x:f>H1576*Z1575*v01_WomenShare*v01_BaseFertility*INDEX(v01_FertMult,G1576)*Arch_Fertility*(1-P1576)</x:f>
        <x:v>0</x:v>
      </x:c>
      <x:c r="S1576" s="9" t="n">
        <x:f>H1576*Y1575*INDEX(v01_MortChild,G1576)/4*Q1576</x:f>
        <x:v>0</x:v>
      </x:c>
      <x:c r="T1576" s="9" t="n">
        <x:f>H1576*Z1575*INDEX(v01_MortAdult,G1576)*Arch_AdultMort/4*Q1576</x:f>
        <x:v>0</x:v>
      </x:c>
      <x:c r="U1576" s="9" t="n">
        <x:f>H1576*AA1575*INDEX(v01_MortElder,G1576)/4*Q1576</x:f>
        <x:v>0</x:v>
      </x:c>
      <x:c r="V1576" s="9" t="n">
        <x:f>H1576*MAX(0,AB1575-O1576)*v01_OvercapLoss</x:f>
        <x:v>0</x:v>
      </x:c>
      <x:c r="W1576" s="9" t="n">
        <x:f>H1576*Y1575/(v01_ChildYears*4)</x:f>
        <x:v>0</x:v>
      </x:c>
      <x:c r="X1576" s="9" t="n">
        <x:f>H1576*Z1575/(v01_AdultYears*4)</x:f>
        <x:v>0</x:v>
      </x:c>
      <x:c r="Y1576" s="32" t="n">
        <x:f>Y1575+R1576-S1576-W1576-Y1575*V1576/AB1575</x:f>
        <x:v>14306.18539759397</x:v>
      </x:c>
      <x:c r="Z1576" s="32" t="n">
        <x:f>Z1575+W1576-X1576-T1576-Z1575*V1576/AB1575</x:f>
        <x:v>19354.456567879548</x:v>
      </x:c>
      <x:c r="AA1576" s="32" t="n">
        <x:f>AA1575+X1576-U1576-AA1575*V1576/AB1575</x:f>
        <x:v>11386.956063258198</x:v>
      </x:c>
      <x:c r="AB1576" s="10" t="n">
        <x:f>Y1576+Z1576+AA1576</x:f>
        <x:v>45047.59802873172</x:v>
      </x:c>
      <x:c r="AC1576" s="8" t="n">
        <x:f>IF(AND(v01_WinterTrigger=1,D1576=1,AB1575/AE1575&gt;=K1576),1,0)</x:f>
        <x:v>0</x:v>
      </x:c>
      <x:c r="AD1576" s="8" t="n">
        <x:f>H1576*IF(AND(OR(AB1575/AE1575&gt;=v01_FissionTrigger*N1576,AC1576=1),AB1575/AE1575*v01_DaughterShare&gt;=v01_MinDaughter),MAX(1,ROUND(AE1575*v01_FissionRate,0)),0)</x:f>
        <x:v>0</x:v>
      </x:c>
      <x:c r="AE1576" s="8" t="n">
        <x:f>IF(H1576=1,MAX(1,MIN(INDEX(v01_Smax,G1576),AE1575+AD1576)),AE1575)</x:f>
        <x:v>15</x:v>
      </x:c>
      <x:c r="AF1576" s="8" t="n">
        <x:f>MAX(0,AE1576-AE1575)</x:f>
        <x:v>0</x:v>
      </x:c>
      <x:c r="AG1576" s="9" t="str">
        <x:f>IF(AF1576&gt;0,B1576,"")</x:f>
      </x:c>
      <x:c r="AH1576" s="9" t="n">
        <x:f>IF(F1576&gt;=1,1,(1+v01_LowTiesShare*(AE1576-1))/AE1576)</x:f>
        <x:v>1</x:v>
      </x:c>
      <x:c r="AI1576" s="32" t="n">
        <x:f>(Z1576+v01_ElderCommons*INDEX(LM_Elder,G1576)*AA1576)*AH1576</x:f>
        <x:v>64139.732591141874</x:v>
      </x:c>
      <x:c r="AJ1576" s="32" t="n">
        <x:f>H1576*v01_CommonsCoef*AI1576^v01_CommonsExp*INDEX(LM_Commons,G1576)</x:f>
        <x:v>0</x:v>
      </x:c>
      <x:c r="AK1576" s="32" t="n">
        <x:f>H1576*v01_RoleScale*Arch_Roles*(AE1576*(INDEX(v01_ElderRolePerSett,G1576)*v01_OutElder*INDEX(LM_Elder,G1576)+INDEX(v01_ShamanPerSett,G1576)*v01_OutShaman)+Z1576*(INDEX(v01_PriestShare,G1576)*v01_OutPriest+INDEX(v01_ScribeShare,G1576)*v01_OutScribe*INDEX(LM_Scribe,G1576)+INDEX(v01_ScholarShare,G1576)*v01_OutScholar*INDEX(LM_Scholar,G1576)+INDEX(v01_ResearcherShare,G1576)*v01_OutResearcher*INDEX(LM_Researcher,G1576)))</x:f>
        <x:v>0</x:v>
      </x:c>
      <x:c r="AL1576" s="32" t="n">
        <x:f>H1576*v01_RoleScale*Arch_Roles*AE1576*INDEX(v01_MonasteryPerSett,G1576)*v01_OutMonastery*INDEX(LM_Monastery,G1576)</x:f>
        <x:v>0</x:v>
      </x:c>
      <x:c r="AM1576" s="32" t="n">
        <x:f>(AJ1576+AK1576+AL1576)/4*INDEX(LM_All,G1576)*INDEX(v01_Boon,G1576)*Arch_Insight</x:f>
        <x:v>0</x:v>
      </x:c>
      <x:c r="AN1576" s="32" t="n">
        <x:f>H1576*(v01_KHPerAdult*Z1576+v01_KHOfCommons*AJ1576/4*INDEX(LM_All,G1576))*v01_KHUsable*Arch_KH</x:f>
        <x:v>0</x:v>
      </x:c>
      <x:c r="AO1576" s="32" t="n">
        <x:f>MIN(AP1575+AN1576,AM1576*v01_KHMaxRatio)</x:f>
        <x:v>0</x:v>
      </x:c>
      <x:c r="AP1576" s="32" t="n">
        <x:f>AP1575+AN1576-AO1576</x:f>
        <x:v>0</x:v>
      </x:c>
      <x:c r="AQ1576" s="32" t="n">
        <x:f>AM1576+AO1576</x:f>
        <x:v>0</x:v>
      </x:c>
      <x:c r="AR1576" s="10" t="n">
        <x:f>IF(H1576=1,INDEX(v01_Req,G1576),0)</x:f>
        <x:v>0</x:v>
      </x:c>
      <x:c r="AS1576" s="32" t="n">
        <x:f>IF(H1576=1,IF(E1576=1,AS1575-AR1575,AS1575)+AQ1576,0)</x:f>
        <x:v>0</x:v>
      </x:c>
      <x:c r="AT1576" s="11" t="n">
        <x:f>IF(AR1576&gt;0,MIN(1,AS1576/AR1576),1)</x:f>
        <x:v>1</x:v>
      </x:c>
      <x:c r="AU1576" s="10" t="n">
        <x:f>AB1576/INDEX(v01_RepScale,G1576)</x:f>
        <x:v>90.09519605746344</x:v>
      </x:c>
      <x:c r="AV1576" s="32" t="n">
        <x:f>AM1576*60/v01_SeasonSeconds</x:f>
        <x:v>0</x:v>
      </x:c>
    </x:row>
    <x:row r="1577">
      <x:c r="A1577" s="8" t="n">
        <x:f>A1576+1</x:f>
        <x:v>1574</x:v>
      </x:c>
      <x:c r="B1577" s="9" t="n">
        <x:f>A1577*v01_SeasonSeconds/60</x:f>
        <x:v>393.5</x:v>
      </x:c>
      <x:c r="C1577" s="9" t="n">
        <x:f>A1577/4</x:f>
        <x:v>393.5</x:v>
      </x:c>
      <x:c r="D1577" s="8" t="n">
        <x:f>IF(MOD(A1577,4)=0,1,0)</x:f>
        <x:v>0</x:v>
      </x:c>
      <x:c r="E1577" s="8" t="n">
        <x:f>IF(AND(F1576&lt;=9,AS1576&gt;=AR1576),1,0)</x:f>
        <x:v>0</x:v>
      </x:c>
      <x:c r="F1577" s="8" t="n">
        <x:f>MIN(10,F1576+E1577)</x:f>
        <x:v>10</x:v>
      </x:c>
      <x:c r="G1577" s="8" t="n">
        <x:f>MIN(F1577,9)+1</x:f>
        <x:v>10</x:v>
      </x:c>
      <x:c r="H1577" s="8" t="n">
        <x:f>IF(F1577&lt;=9,1,0)</x:f>
        <x:v>0</x:v>
      </x:c>
      <x:c r="I1577" s="9" t="n">
        <x:f>MIN(10,F1576+IF(AR1576&gt;0,MIN(1,AS1576/AR1576),1))</x:f>
        <x:v>10</x:v>
      </x:c>
      <x:c r="J1577" s="32" t="n">
        <x:f>INDEX(v01_FoodCap,G1577)*Arch_FoodCap*EXP(v01_CapsByProject*SUMPRODUCT((Cap_Point&lt;=I1577)*(Cap_Kind="Food")*Cap_Ln))</x:f>
        <x:v>12000</x:v>
      </x:c>
      <x:c r="K1577" s="32" t="n">
        <x:f>J1577*MIN(1,v01_LeanBase*EXP(v01_CapsByProject*SUMPRODUCT((Cap_Point&lt;=I1577)*(Cap_Kind="Lean")*Cap_Ln)))</x:f>
        <x:v>12000</x:v>
      </x:c>
      <x:c r="L1577" s="10" t="n">
        <x:f>INDEX(v01_HousingCap,G1577)*EXP(v01_CapsByProject*SUMPRODUCT((Cap_Point&lt;=I1577)*(Cap_Kind="Housing")*Cap_Ln))</x:f>
        <x:v>20000</x:v>
      </x:c>
      <x:c r="M1577" s="10" t="n">
        <x:f>INDEX(v01_GroupCap,G1577)*v01_CohesionFactor*EXP(v01_CapsByProject*SUMPRODUCT((Cap_Point&lt;=I1577)*(Cap_Kind="Group")*Cap_Ln))</x:f>
        <x:v>1000000</x:v>
      </x:c>
      <x:c r="N1577" s="32" t="n">
        <x:f>MIN(J1577,L1577,M1577)</x:f>
        <x:v>12000</x:v>
      </x:c>
      <x:c r="O1577" s="10" t="n">
        <x:f>AE1576*N1577</x:f>
        <x:v>180000</x:v>
      </x:c>
      <x:c r="P1577" s="9" t="n">
        <x:f>MIN(1,(AB1576/(AE1576*IF(v01_GroupInCrowding=1,N1577,MIN(J1577,L1577))))^v01_CrowdingExp)</x:f>
        <x:v>0.00024569414295285325</x:v>
      </x:c>
      <x:c r="Q1577" s="9" t="n">
        <x:f>IF(D1577=1,INDEX(v01_WinterMult,G1577),1)</x:f>
        <x:v>1</x:v>
      </x:c>
      <x:c r="R1577" s="9" t="n">
        <x:f>H1577*Z1576*v01_WomenShare*v01_BaseFertility*INDEX(v01_FertMult,G1577)*Arch_Fertility*(1-P1577)</x:f>
        <x:v>0</x:v>
      </x:c>
      <x:c r="S1577" s="9" t="n">
        <x:f>H1577*Y1576*INDEX(v01_MortChild,G1577)/4*Q1577</x:f>
        <x:v>0</x:v>
      </x:c>
      <x:c r="T1577" s="9" t="n">
        <x:f>H1577*Z1576*INDEX(v01_MortAdult,G1577)*Arch_AdultMort/4*Q1577</x:f>
        <x:v>0</x:v>
      </x:c>
      <x:c r="U1577" s="9" t="n">
        <x:f>H1577*AA1576*INDEX(v01_MortElder,G1577)/4*Q1577</x:f>
        <x:v>0</x:v>
      </x:c>
      <x:c r="V1577" s="9" t="n">
        <x:f>H1577*MAX(0,AB1576-O1577)*v01_OvercapLoss</x:f>
        <x:v>0</x:v>
      </x:c>
      <x:c r="W1577" s="9" t="n">
        <x:f>H1577*Y1576/(v01_ChildYears*4)</x:f>
        <x:v>0</x:v>
      </x:c>
      <x:c r="X1577" s="9" t="n">
        <x:f>H1577*Z1576/(v01_AdultYears*4)</x:f>
        <x:v>0</x:v>
      </x:c>
      <x:c r="Y1577" s="32" t="n">
        <x:f>Y1576+R1577-S1577-W1577-Y1576*V1577/AB1576</x:f>
        <x:v>14306.18539759397</x:v>
      </x:c>
      <x:c r="Z1577" s="32" t="n">
        <x:f>Z1576+W1577-X1577-T1577-Z1576*V1577/AB1576</x:f>
        <x:v>19354.456567879548</x:v>
      </x:c>
      <x:c r="AA1577" s="32" t="n">
        <x:f>AA1576+X1577-U1577-AA1576*V1577/AB1576</x:f>
        <x:v>11386.956063258198</x:v>
      </x:c>
      <x:c r="AB1577" s="10" t="n">
        <x:f>Y1577+Z1577+AA1577</x:f>
        <x:v>45047.59802873172</x:v>
      </x:c>
      <x:c r="AC1577" s="8" t="n">
        <x:f>IF(AND(v01_WinterTrigger=1,D1577=1,AB1576/AE1576&gt;=K1577),1,0)</x:f>
        <x:v>0</x:v>
      </x:c>
      <x:c r="AD1577" s="8" t="n">
        <x:f>H1577*IF(AND(OR(AB1576/AE1576&gt;=v01_FissionTrigger*N1577,AC1577=1),AB1576/AE1576*v01_DaughterShare&gt;=v01_MinDaughter),MAX(1,ROUND(AE1576*v01_FissionRate,0)),0)</x:f>
        <x:v>0</x:v>
      </x:c>
      <x:c r="AE1577" s="8" t="n">
        <x:f>IF(H1577=1,MAX(1,MIN(INDEX(v01_Smax,G1577),AE1576+AD1577)),AE1576)</x:f>
        <x:v>15</x:v>
      </x:c>
      <x:c r="AF1577" s="8" t="n">
        <x:f>MAX(0,AE1577-AE1576)</x:f>
        <x:v>0</x:v>
      </x:c>
      <x:c r="AG1577" s="9" t="str">
        <x:f>IF(AF1577&gt;0,B1577,"")</x:f>
      </x:c>
      <x:c r="AH1577" s="9" t="n">
        <x:f>IF(F1577&gt;=1,1,(1+v01_LowTiesShare*(AE1577-1))/AE1577)</x:f>
        <x:v>1</x:v>
      </x:c>
      <x:c r="AI1577" s="32" t="n">
        <x:f>(Z1577+v01_ElderCommons*INDEX(LM_Elder,G1577)*AA1577)*AH1577</x:f>
        <x:v>64139.732591141874</x:v>
      </x:c>
      <x:c r="AJ1577" s="32" t="n">
        <x:f>H1577*v01_CommonsCoef*AI1577^v01_CommonsExp*INDEX(LM_Commons,G1577)</x:f>
        <x:v>0</x:v>
      </x:c>
      <x:c r="AK1577" s="32" t="n">
        <x:f>H1577*v01_RoleScale*Arch_Roles*(AE1577*(INDEX(v01_ElderRolePerSett,G1577)*v01_OutElder*INDEX(LM_Elder,G1577)+INDEX(v01_ShamanPerSett,G1577)*v01_OutShaman)+Z1577*(INDEX(v01_PriestShare,G1577)*v01_OutPriest+INDEX(v01_ScribeShare,G1577)*v01_OutScribe*INDEX(LM_Scribe,G1577)+INDEX(v01_ScholarShare,G1577)*v01_OutScholar*INDEX(LM_Scholar,G1577)+INDEX(v01_ResearcherShare,G1577)*v01_OutResearcher*INDEX(LM_Researcher,G1577)))</x:f>
        <x:v>0</x:v>
      </x:c>
      <x:c r="AL1577" s="32" t="n">
        <x:f>H1577*v01_RoleScale*Arch_Roles*AE1577*INDEX(v01_MonasteryPerSett,G1577)*v01_OutMonastery*INDEX(LM_Monastery,G1577)</x:f>
        <x:v>0</x:v>
      </x:c>
      <x:c r="AM1577" s="32" t="n">
        <x:f>(AJ1577+AK1577+AL1577)/4*INDEX(LM_All,G1577)*INDEX(v01_Boon,G1577)*Arch_Insight</x:f>
        <x:v>0</x:v>
      </x:c>
      <x:c r="AN1577" s="32" t="n">
        <x:f>H1577*(v01_KHPerAdult*Z1577+v01_KHOfCommons*AJ1577/4*INDEX(LM_All,G1577))*v01_KHUsable*Arch_KH</x:f>
        <x:v>0</x:v>
      </x:c>
      <x:c r="AO1577" s="32" t="n">
        <x:f>MIN(AP1576+AN1577,AM1577*v01_KHMaxRatio)</x:f>
        <x:v>0</x:v>
      </x:c>
      <x:c r="AP1577" s="32" t="n">
        <x:f>AP1576+AN1577-AO1577</x:f>
        <x:v>0</x:v>
      </x:c>
      <x:c r="AQ1577" s="32" t="n">
        <x:f>AM1577+AO1577</x:f>
        <x:v>0</x:v>
      </x:c>
      <x:c r="AR1577" s="10" t="n">
        <x:f>IF(H1577=1,INDEX(v01_Req,G1577),0)</x:f>
        <x:v>0</x:v>
      </x:c>
      <x:c r="AS1577" s="32" t="n">
        <x:f>IF(H1577=1,IF(E1577=1,AS1576-AR1576,AS1576)+AQ1577,0)</x:f>
        <x:v>0</x:v>
      </x:c>
      <x:c r="AT1577" s="11" t="n">
        <x:f>IF(AR1577&gt;0,MIN(1,AS1577/AR1577),1)</x:f>
        <x:v>1</x:v>
      </x:c>
      <x:c r="AU1577" s="10" t="n">
        <x:f>AB1577/INDEX(v01_RepScale,G1577)</x:f>
        <x:v>90.09519605746344</x:v>
      </x:c>
      <x:c r="AV1577" s="32" t="n">
        <x:f>AM1577*60/v01_SeasonSeconds</x:f>
        <x:v>0</x:v>
      </x:c>
    </x:row>
    <x:row r="1578">
      <x:c r="A1578" s="8" t="n">
        <x:f>A1577+1</x:f>
        <x:v>1575</x:v>
      </x:c>
      <x:c r="B1578" s="9" t="n">
        <x:f>A1578*v01_SeasonSeconds/60</x:f>
        <x:v>393.75</x:v>
      </x:c>
      <x:c r="C1578" s="9" t="n">
        <x:f>A1578/4</x:f>
        <x:v>393.75</x:v>
      </x:c>
      <x:c r="D1578" s="8" t="n">
        <x:f>IF(MOD(A1578,4)=0,1,0)</x:f>
        <x:v>0</x:v>
      </x:c>
      <x:c r="E1578" s="8" t="n">
        <x:f>IF(AND(F1577&lt;=9,AS1577&gt;=AR1577),1,0)</x:f>
        <x:v>0</x:v>
      </x:c>
      <x:c r="F1578" s="8" t="n">
        <x:f>MIN(10,F1577+E1578)</x:f>
        <x:v>10</x:v>
      </x:c>
      <x:c r="G1578" s="8" t="n">
        <x:f>MIN(F1578,9)+1</x:f>
        <x:v>10</x:v>
      </x:c>
      <x:c r="H1578" s="8" t="n">
        <x:f>IF(F1578&lt;=9,1,0)</x:f>
        <x:v>0</x:v>
      </x:c>
      <x:c r="I1578" s="9" t="n">
        <x:f>MIN(10,F1577+IF(AR1577&gt;0,MIN(1,AS1577/AR1577),1))</x:f>
        <x:v>10</x:v>
      </x:c>
      <x:c r="J1578" s="32" t="n">
        <x:f>INDEX(v01_FoodCap,G1578)*Arch_FoodCap*EXP(v01_CapsByProject*SUMPRODUCT((Cap_Point&lt;=I1578)*(Cap_Kind="Food")*Cap_Ln))</x:f>
        <x:v>12000</x:v>
      </x:c>
      <x:c r="K1578" s="32" t="n">
        <x:f>J1578*MIN(1,v01_LeanBase*EXP(v01_CapsByProject*SUMPRODUCT((Cap_Point&lt;=I1578)*(Cap_Kind="Lean")*Cap_Ln)))</x:f>
        <x:v>12000</x:v>
      </x:c>
      <x:c r="L1578" s="10" t="n">
        <x:f>INDEX(v01_HousingCap,G1578)*EXP(v01_CapsByProject*SUMPRODUCT((Cap_Point&lt;=I1578)*(Cap_Kind="Housing")*Cap_Ln))</x:f>
        <x:v>20000</x:v>
      </x:c>
      <x:c r="M1578" s="10" t="n">
        <x:f>INDEX(v01_GroupCap,G1578)*v01_CohesionFactor*EXP(v01_CapsByProject*SUMPRODUCT((Cap_Point&lt;=I1578)*(Cap_Kind="Group")*Cap_Ln))</x:f>
        <x:v>1000000</x:v>
      </x:c>
      <x:c r="N1578" s="32" t="n">
        <x:f>MIN(J1578,L1578,M1578)</x:f>
        <x:v>12000</x:v>
      </x:c>
      <x:c r="O1578" s="10" t="n">
        <x:f>AE1577*N1578</x:f>
        <x:v>180000</x:v>
      </x:c>
      <x:c r="P1578" s="9" t="n">
        <x:f>MIN(1,(AB1577/(AE1577*IF(v01_GroupInCrowding=1,N1578,MIN(J1578,L1578))))^v01_CrowdingExp)</x:f>
        <x:v>0.00024569414295285325</x:v>
      </x:c>
      <x:c r="Q1578" s="9" t="n">
        <x:f>IF(D1578=1,INDEX(v01_WinterMult,G1578),1)</x:f>
        <x:v>1</x:v>
      </x:c>
      <x:c r="R1578" s="9" t="n">
        <x:f>H1578*Z1577*v01_WomenShare*v01_BaseFertility*INDEX(v01_FertMult,G1578)*Arch_Fertility*(1-P1578)</x:f>
        <x:v>0</x:v>
      </x:c>
      <x:c r="S1578" s="9" t="n">
        <x:f>H1578*Y1577*INDEX(v01_MortChild,G1578)/4*Q1578</x:f>
        <x:v>0</x:v>
      </x:c>
      <x:c r="T1578" s="9" t="n">
        <x:f>H1578*Z1577*INDEX(v01_MortAdult,G1578)*Arch_AdultMort/4*Q1578</x:f>
        <x:v>0</x:v>
      </x:c>
      <x:c r="U1578" s="9" t="n">
        <x:f>H1578*AA1577*INDEX(v01_MortElder,G1578)/4*Q1578</x:f>
        <x:v>0</x:v>
      </x:c>
      <x:c r="V1578" s="9" t="n">
        <x:f>H1578*MAX(0,AB1577-O1578)*v01_OvercapLoss</x:f>
        <x:v>0</x:v>
      </x:c>
      <x:c r="W1578" s="9" t="n">
        <x:f>H1578*Y1577/(v01_ChildYears*4)</x:f>
        <x:v>0</x:v>
      </x:c>
      <x:c r="X1578" s="9" t="n">
        <x:f>H1578*Z1577/(v01_AdultYears*4)</x:f>
        <x:v>0</x:v>
      </x:c>
      <x:c r="Y1578" s="32" t="n">
        <x:f>Y1577+R1578-S1578-W1578-Y1577*V1578/AB1577</x:f>
        <x:v>14306.18539759397</x:v>
      </x:c>
      <x:c r="Z1578" s="32" t="n">
        <x:f>Z1577+W1578-X1578-T1578-Z1577*V1578/AB1577</x:f>
        <x:v>19354.456567879548</x:v>
      </x:c>
      <x:c r="AA1578" s="32" t="n">
        <x:f>AA1577+X1578-U1578-AA1577*V1578/AB1577</x:f>
        <x:v>11386.956063258198</x:v>
      </x:c>
      <x:c r="AB1578" s="10" t="n">
        <x:f>Y1578+Z1578+AA1578</x:f>
        <x:v>45047.59802873172</x:v>
      </x:c>
      <x:c r="AC1578" s="8" t="n">
        <x:f>IF(AND(v01_WinterTrigger=1,D1578=1,AB1577/AE1577&gt;=K1578),1,0)</x:f>
        <x:v>0</x:v>
      </x:c>
      <x:c r="AD1578" s="8" t="n">
        <x:f>H1578*IF(AND(OR(AB1577/AE1577&gt;=v01_FissionTrigger*N1578,AC1578=1),AB1577/AE1577*v01_DaughterShare&gt;=v01_MinDaughter),MAX(1,ROUND(AE1577*v01_FissionRate,0)),0)</x:f>
        <x:v>0</x:v>
      </x:c>
      <x:c r="AE1578" s="8" t="n">
        <x:f>IF(H1578=1,MAX(1,MIN(INDEX(v01_Smax,G1578),AE1577+AD1578)),AE1577)</x:f>
        <x:v>15</x:v>
      </x:c>
      <x:c r="AF1578" s="8" t="n">
        <x:f>MAX(0,AE1578-AE1577)</x:f>
        <x:v>0</x:v>
      </x:c>
      <x:c r="AG1578" s="9" t="str">
        <x:f>IF(AF1578&gt;0,B1578,"")</x:f>
      </x:c>
      <x:c r="AH1578" s="9" t="n">
        <x:f>IF(F1578&gt;=1,1,(1+v01_LowTiesShare*(AE1578-1))/AE1578)</x:f>
        <x:v>1</x:v>
      </x:c>
      <x:c r="AI1578" s="32" t="n">
        <x:f>(Z1578+v01_ElderCommons*INDEX(LM_Elder,G1578)*AA1578)*AH1578</x:f>
        <x:v>64139.732591141874</x:v>
      </x:c>
      <x:c r="AJ1578" s="32" t="n">
        <x:f>H1578*v01_CommonsCoef*AI1578^v01_CommonsExp*INDEX(LM_Commons,G1578)</x:f>
        <x:v>0</x:v>
      </x:c>
      <x:c r="AK1578" s="32" t="n">
        <x:f>H1578*v01_RoleScale*Arch_Roles*(AE1578*(INDEX(v01_ElderRolePerSett,G1578)*v01_OutElder*INDEX(LM_Elder,G1578)+INDEX(v01_ShamanPerSett,G1578)*v01_OutShaman)+Z1578*(INDEX(v01_PriestShare,G1578)*v01_OutPriest+INDEX(v01_ScribeShare,G1578)*v01_OutScribe*INDEX(LM_Scribe,G1578)+INDEX(v01_ScholarShare,G1578)*v01_OutScholar*INDEX(LM_Scholar,G1578)+INDEX(v01_ResearcherShare,G1578)*v01_OutResearcher*INDEX(LM_Researcher,G1578)))</x:f>
        <x:v>0</x:v>
      </x:c>
      <x:c r="AL1578" s="32" t="n">
        <x:f>H1578*v01_RoleScale*Arch_Roles*AE1578*INDEX(v01_MonasteryPerSett,G1578)*v01_OutMonastery*INDEX(LM_Monastery,G1578)</x:f>
        <x:v>0</x:v>
      </x:c>
      <x:c r="AM1578" s="32" t="n">
        <x:f>(AJ1578+AK1578+AL1578)/4*INDEX(LM_All,G1578)*INDEX(v01_Boon,G1578)*Arch_Insight</x:f>
        <x:v>0</x:v>
      </x:c>
      <x:c r="AN1578" s="32" t="n">
        <x:f>H1578*(v01_KHPerAdult*Z1578+v01_KHOfCommons*AJ1578/4*INDEX(LM_All,G1578))*v01_KHUsable*Arch_KH</x:f>
        <x:v>0</x:v>
      </x:c>
      <x:c r="AO1578" s="32" t="n">
        <x:f>MIN(AP1577+AN1578,AM1578*v01_KHMaxRatio)</x:f>
        <x:v>0</x:v>
      </x:c>
      <x:c r="AP1578" s="32" t="n">
        <x:f>AP1577+AN1578-AO1578</x:f>
        <x:v>0</x:v>
      </x:c>
      <x:c r="AQ1578" s="32" t="n">
        <x:f>AM1578+AO1578</x:f>
        <x:v>0</x:v>
      </x:c>
      <x:c r="AR1578" s="10" t="n">
        <x:f>IF(H1578=1,INDEX(v01_Req,G1578),0)</x:f>
        <x:v>0</x:v>
      </x:c>
      <x:c r="AS1578" s="32" t="n">
        <x:f>IF(H1578=1,IF(E1578=1,AS1577-AR1577,AS1577)+AQ1578,0)</x:f>
        <x:v>0</x:v>
      </x:c>
      <x:c r="AT1578" s="11" t="n">
        <x:f>IF(AR1578&gt;0,MIN(1,AS1578/AR1578),1)</x:f>
        <x:v>1</x:v>
      </x:c>
      <x:c r="AU1578" s="10" t="n">
        <x:f>AB1578/INDEX(v01_RepScale,G1578)</x:f>
        <x:v>90.09519605746344</x:v>
      </x:c>
      <x:c r="AV1578" s="32" t="n">
        <x:f>AM1578*60/v01_SeasonSeconds</x:f>
        <x:v>0</x:v>
      </x:c>
    </x:row>
    <x:row r="1579">
      <x:c r="A1579" s="8" t="n">
        <x:f>A1578+1</x:f>
        <x:v>1576</x:v>
      </x:c>
      <x:c r="B1579" s="9" t="n">
        <x:f>A1579*v01_SeasonSeconds/60</x:f>
        <x:v>394</x:v>
      </x:c>
      <x:c r="C1579" s="9" t="n">
        <x:f>A1579/4</x:f>
        <x:v>394</x:v>
      </x:c>
      <x:c r="D1579" s="8" t="n">
        <x:f>IF(MOD(A1579,4)=0,1,0)</x:f>
        <x:v>1</x:v>
      </x:c>
      <x:c r="E1579" s="8" t="n">
        <x:f>IF(AND(F1578&lt;=9,AS1578&gt;=AR1578),1,0)</x:f>
        <x:v>0</x:v>
      </x:c>
      <x:c r="F1579" s="8" t="n">
        <x:f>MIN(10,F1578+E1579)</x:f>
        <x:v>10</x:v>
      </x:c>
      <x:c r="G1579" s="8" t="n">
        <x:f>MIN(F1579,9)+1</x:f>
        <x:v>10</x:v>
      </x:c>
      <x:c r="H1579" s="8" t="n">
        <x:f>IF(F1579&lt;=9,1,0)</x:f>
        <x:v>0</x:v>
      </x:c>
      <x:c r="I1579" s="9" t="n">
        <x:f>MIN(10,F1578+IF(AR1578&gt;0,MIN(1,AS1578/AR1578),1))</x:f>
        <x:v>10</x:v>
      </x:c>
      <x:c r="J1579" s="32" t="n">
        <x:f>INDEX(v01_FoodCap,G1579)*Arch_FoodCap*EXP(v01_CapsByProject*SUMPRODUCT((Cap_Point&lt;=I1579)*(Cap_Kind="Food")*Cap_Ln))</x:f>
        <x:v>12000</x:v>
      </x:c>
      <x:c r="K1579" s="32" t="n">
        <x:f>J1579*MIN(1,v01_LeanBase*EXP(v01_CapsByProject*SUMPRODUCT((Cap_Point&lt;=I1579)*(Cap_Kind="Lean")*Cap_Ln)))</x:f>
        <x:v>12000</x:v>
      </x:c>
      <x:c r="L1579" s="10" t="n">
        <x:f>INDEX(v01_HousingCap,G1579)*EXP(v01_CapsByProject*SUMPRODUCT((Cap_Point&lt;=I1579)*(Cap_Kind="Housing")*Cap_Ln))</x:f>
        <x:v>20000</x:v>
      </x:c>
      <x:c r="M1579" s="10" t="n">
        <x:f>INDEX(v01_GroupCap,G1579)*v01_CohesionFactor*EXP(v01_CapsByProject*SUMPRODUCT((Cap_Point&lt;=I1579)*(Cap_Kind="Group")*Cap_Ln))</x:f>
        <x:v>1000000</x:v>
      </x:c>
      <x:c r="N1579" s="32" t="n">
        <x:f>MIN(J1579,L1579,M1579)</x:f>
        <x:v>12000</x:v>
      </x:c>
      <x:c r="O1579" s="10" t="n">
        <x:f>AE1578*N1579</x:f>
        <x:v>180000</x:v>
      </x:c>
      <x:c r="P1579" s="9" t="n">
        <x:f>MIN(1,(AB1578/(AE1578*IF(v01_GroupInCrowding=1,N1579,MIN(J1579,L1579))))^v01_CrowdingExp)</x:f>
        <x:v>0.00024569414295285325</x:v>
      </x:c>
      <x:c r="Q1579" s="9" t="n">
        <x:f>IF(D1579=1,INDEX(v01_WinterMult,G1579),1)</x:f>
        <x:v>1</x:v>
      </x:c>
      <x:c r="R1579" s="9" t="n">
        <x:f>H1579*Z1578*v01_WomenShare*v01_BaseFertility*INDEX(v01_FertMult,G1579)*Arch_Fertility*(1-P1579)</x:f>
        <x:v>0</x:v>
      </x:c>
      <x:c r="S1579" s="9" t="n">
        <x:f>H1579*Y1578*INDEX(v01_MortChild,G1579)/4*Q1579</x:f>
        <x:v>0</x:v>
      </x:c>
      <x:c r="T1579" s="9" t="n">
        <x:f>H1579*Z1578*INDEX(v01_MortAdult,G1579)*Arch_AdultMort/4*Q1579</x:f>
        <x:v>0</x:v>
      </x:c>
      <x:c r="U1579" s="9" t="n">
        <x:f>H1579*AA1578*INDEX(v01_MortElder,G1579)/4*Q1579</x:f>
        <x:v>0</x:v>
      </x:c>
      <x:c r="V1579" s="9" t="n">
        <x:f>H1579*MAX(0,AB1578-O1579)*v01_OvercapLoss</x:f>
        <x:v>0</x:v>
      </x:c>
      <x:c r="W1579" s="9" t="n">
        <x:f>H1579*Y1578/(v01_ChildYears*4)</x:f>
        <x:v>0</x:v>
      </x:c>
      <x:c r="X1579" s="9" t="n">
        <x:f>H1579*Z1578/(v01_AdultYears*4)</x:f>
        <x:v>0</x:v>
      </x:c>
      <x:c r="Y1579" s="32" t="n">
        <x:f>Y1578+R1579-S1579-W1579-Y1578*V1579/AB1578</x:f>
        <x:v>14306.18539759397</x:v>
      </x:c>
      <x:c r="Z1579" s="32" t="n">
        <x:f>Z1578+W1579-X1579-T1579-Z1578*V1579/AB1578</x:f>
        <x:v>19354.456567879548</x:v>
      </x:c>
      <x:c r="AA1579" s="32" t="n">
        <x:f>AA1578+X1579-U1579-AA1578*V1579/AB1578</x:f>
        <x:v>11386.956063258198</x:v>
      </x:c>
      <x:c r="AB1579" s="10" t="n">
        <x:f>Y1579+Z1579+AA1579</x:f>
        <x:v>45047.59802873172</x:v>
      </x:c>
      <x:c r="AC1579" s="8" t="n">
        <x:f>IF(AND(v01_WinterTrigger=1,D1579=1,AB1578/AE1578&gt;=K1579),1,0)</x:f>
        <x:v>0</x:v>
      </x:c>
      <x:c r="AD1579" s="8" t="n">
        <x:f>H1579*IF(AND(OR(AB1578/AE1578&gt;=v01_FissionTrigger*N1579,AC1579=1),AB1578/AE1578*v01_DaughterShare&gt;=v01_MinDaughter),MAX(1,ROUND(AE1578*v01_FissionRate,0)),0)</x:f>
        <x:v>0</x:v>
      </x:c>
      <x:c r="AE1579" s="8" t="n">
        <x:f>IF(H1579=1,MAX(1,MIN(INDEX(v01_Smax,G1579),AE1578+AD1579)),AE1578)</x:f>
        <x:v>15</x:v>
      </x:c>
      <x:c r="AF1579" s="8" t="n">
        <x:f>MAX(0,AE1579-AE1578)</x:f>
        <x:v>0</x:v>
      </x:c>
      <x:c r="AG1579" s="9" t="str">
        <x:f>IF(AF1579&gt;0,B1579,"")</x:f>
      </x:c>
      <x:c r="AH1579" s="9" t="n">
        <x:f>IF(F1579&gt;=1,1,(1+v01_LowTiesShare*(AE1579-1))/AE1579)</x:f>
        <x:v>1</x:v>
      </x:c>
      <x:c r="AI1579" s="32" t="n">
        <x:f>(Z1579+v01_ElderCommons*INDEX(LM_Elder,G1579)*AA1579)*AH1579</x:f>
        <x:v>64139.732591141874</x:v>
      </x:c>
      <x:c r="AJ1579" s="32" t="n">
        <x:f>H1579*v01_CommonsCoef*AI1579^v01_CommonsExp*INDEX(LM_Commons,G1579)</x:f>
        <x:v>0</x:v>
      </x:c>
      <x:c r="AK1579" s="32" t="n">
        <x:f>H1579*v01_RoleScale*Arch_Roles*(AE1579*(INDEX(v01_ElderRolePerSett,G1579)*v01_OutElder*INDEX(LM_Elder,G1579)+INDEX(v01_ShamanPerSett,G1579)*v01_OutShaman)+Z1579*(INDEX(v01_PriestShare,G1579)*v01_OutPriest+INDEX(v01_ScribeShare,G1579)*v01_OutScribe*INDEX(LM_Scribe,G1579)+INDEX(v01_ScholarShare,G1579)*v01_OutScholar*INDEX(LM_Scholar,G1579)+INDEX(v01_ResearcherShare,G1579)*v01_OutResearcher*INDEX(LM_Researcher,G1579)))</x:f>
        <x:v>0</x:v>
      </x:c>
      <x:c r="AL1579" s="32" t="n">
        <x:f>H1579*v01_RoleScale*Arch_Roles*AE1579*INDEX(v01_MonasteryPerSett,G1579)*v01_OutMonastery*INDEX(LM_Monastery,G1579)</x:f>
        <x:v>0</x:v>
      </x:c>
      <x:c r="AM1579" s="32" t="n">
        <x:f>(AJ1579+AK1579+AL1579)/4*INDEX(LM_All,G1579)*INDEX(v01_Boon,G1579)*Arch_Insight</x:f>
        <x:v>0</x:v>
      </x:c>
      <x:c r="AN1579" s="32" t="n">
        <x:f>H1579*(v01_KHPerAdult*Z1579+v01_KHOfCommons*AJ1579/4*INDEX(LM_All,G1579))*v01_KHUsable*Arch_KH</x:f>
        <x:v>0</x:v>
      </x:c>
      <x:c r="AO1579" s="32" t="n">
        <x:f>MIN(AP1578+AN1579,AM1579*v01_KHMaxRatio)</x:f>
        <x:v>0</x:v>
      </x:c>
      <x:c r="AP1579" s="32" t="n">
        <x:f>AP1578+AN1579-AO1579</x:f>
        <x:v>0</x:v>
      </x:c>
      <x:c r="AQ1579" s="32" t="n">
        <x:f>AM1579+AO1579</x:f>
        <x:v>0</x:v>
      </x:c>
      <x:c r="AR1579" s="10" t="n">
        <x:f>IF(H1579=1,INDEX(v01_Req,G1579),0)</x:f>
        <x:v>0</x:v>
      </x:c>
      <x:c r="AS1579" s="32" t="n">
        <x:f>IF(H1579=1,IF(E1579=1,AS1578-AR1578,AS1578)+AQ1579,0)</x:f>
        <x:v>0</x:v>
      </x:c>
      <x:c r="AT1579" s="11" t="n">
        <x:f>IF(AR1579&gt;0,MIN(1,AS1579/AR1579),1)</x:f>
        <x:v>1</x:v>
      </x:c>
      <x:c r="AU1579" s="10" t="n">
        <x:f>AB1579/INDEX(v01_RepScale,G1579)</x:f>
        <x:v>90.09519605746344</x:v>
      </x:c>
      <x:c r="AV1579" s="32" t="n">
        <x:f>AM1579*60/v01_SeasonSeconds</x:f>
        <x:v>0</x:v>
      </x:c>
    </x:row>
    <x:row r="1580">
      <x:c r="A1580" s="8" t="n">
        <x:f>A1579+1</x:f>
        <x:v>1577</x:v>
      </x:c>
      <x:c r="B1580" s="9" t="n">
        <x:f>A1580*v01_SeasonSeconds/60</x:f>
        <x:v>394.25</x:v>
      </x:c>
      <x:c r="C1580" s="9" t="n">
        <x:f>A1580/4</x:f>
        <x:v>394.25</x:v>
      </x:c>
      <x:c r="D1580" s="8" t="n">
        <x:f>IF(MOD(A1580,4)=0,1,0)</x:f>
        <x:v>0</x:v>
      </x:c>
      <x:c r="E1580" s="8" t="n">
        <x:f>IF(AND(F1579&lt;=9,AS1579&gt;=AR1579),1,0)</x:f>
        <x:v>0</x:v>
      </x:c>
      <x:c r="F1580" s="8" t="n">
        <x:f>MIN(10,F1579+E1580)</x:f>
        <x:v>10</x:v>
      </x:c>
      <x:c r="G1580" s="8" t="n">
        <x:f>MIN(F1580,9)+1</x:f>
        <x:v>10</x:v>
      </x:c>
      <x:c r="H1580" s="8" t="n">
        <x:f>IF(F1580&lt;=9,1,0)</x:f>
        <x:v>0</x:v>
      </x:c>
      <x:c r="I1580" s="9" t="n">
        <x:f>MIN(10,F1579+IF(AR1579&gt;0,MIN(1,AS1579/AR1579),1))</x:f>
        <x:v>10</x:v>
      </x:c>
      <x:c r="J1580" s="32" t="n">
        <x:f>INDEX(v01_FoodCap,G1580)*Arch_FoodCap*EXP(v01_CapsByProject*SUMPRODUCT((Cap_Point&lt;=I1580)*(Cap_Kind="Food")*Cap_Ln))</x:f>
        <x:v>12000</x:v>
      </x:c>
      <x:c r="K1580" s="32" t="n">
        <x:f>J1580*MIN(1,v01_LeanBase*EXP(v01_CapsByProject*SUMPRODUCT((Cap_Point&lt;=I1580)*(Cap_Kind="Lean")*Cap_Ln)))</x:f>
        <x:v>12000</x:v>
      </x:c>
      <x:c r="L1580" s="10" t="n">
        <x:f>INDEX(v01_HousingCap,G1580)*EXP(v01_CapsByProject*SUMPRODUCT((Cap_Point&lt;=I1580)*(Cap_Kind="Housing")*Cap_Ln))</x:f>
        <x:v>20000</x:v>
      </x:c>
      <x:c r="M1580" s="10" t="n">
        <x:f>INDEX(v01_GroupCap,G1580)*v01_CohesionFactor*EXP(v01_CapsByProject*SUMPRODUCT((Cap_Point&lt;=I1580)*(Cap_Kind="Group")*Cap_Ln))</x:f>
        <x:v>1000000</x:v>
      </x:c>
      <x:c r="N1580" s="32" t="n">
        <x:f>MIN(J1580,L1580,M1580)</x:f>
        <x:v>12000</x:v>
      </x:c>
      <x:c r="O1580" s="10" t="n">
        <x:f>AE1579*N1580</x:f>
        <x:v>180000</x:v>
      </x:c>
      <x:c r="P1580" s="9" t="n">
        <x:f>MIN(1,(AB1579/(AE1579*IF(v01_GroupInCrowding=1,N1580,MIN(J1580,L1580))))^v01_CrowdingExp)</x:f>
        <x:v>0.00024569414295285325</x:v>
      </x:c>
      <x:c r="Q1580" s="9" t="n">
        <x:f>IF(D1580=1,INDEX(v01_WinterMult,G1580),1)</x:f>
        <x:v>1</x:v>
      </x:c>
      <x:c r="R1580" s="9" t="n">
        <x:f>H1580*Z1579*v01_WomenShare*v01_BaseFertility*INDEX(v01_FertMult,G1580)*Arch_Fertility*(1-P1580)</x:f>
        <x:v>0</x:v>
      </x:c>
      <x:c r="S1580" s="9" t="n">
        <x:f>H1580*Y1579*INDEX(v01_MortChild,G1580)/4*Q1580</x:f>
        <x:v>0</x:v>
      </x:c>
      <x:c r="T1580" s="9" t="n">
        <x:f>H1580*Z1579*INDEX(v01_MortAdult,G1580)*Arch_AdultMort/4*Q1580</x:f>
        <x:v>0</x:v>
      </x:c>
      <x:c r="U1580" s="9" t="n">
        <x:f>H1580*AA1579*INDEX(v01_MortElder,G1580)/4*Q1580</x:f>
        <x:v>0</x:v>
      </x:c>
      <x:c r="V1580" s="9" t="n">
        <x:f>H1580*MAX(0,AB1579-O1580)*v01_OvercapLoss</x:f>
        <x:v>0</x:v>
      </x:c>
      <x:c r="W1580" s="9" t="n">
        <x:f>H1580*Y1579/(v01_ChildYears*4)</x:f>
        <x:v>0</x:v>
      </x:c>
      <x:c r="X1580" s="9" t="n">
        <x:f>H1580*Z1579/(v01_AdultYears*4)</x:f>
        <x:v>0</x:v>
      </x:c>
      <x:c r="Y1580" s="32" t="n">
        <x:f>Y1579+R1580-S1580-W1580-Y1579*V1580/AB1579</x:f>
        <x:v>14306.18539759397</x:v>
      </x:c>
      <x:c r="Z1580" s="32" t="n">
        <x:f>Z1579+W1580-X1580-T1580-Z1579*V1580/AB1579</x:f>
        <x:v>19354.456567879548</x:v>
      </x:c>
      <x:c r="AA1580" s="32" t="n">
        <x:f>AA1579+X1580-U1580-AA1579*V1580/AB1579</x:f>
        <x:v>11386.956063258198</x:v>
      </x:c>
      <x:c r="AB1580" s="10" t="n">
        <x:f>Y1580+Z1580+AA1580</x:f>
        <x:v>45047.59802873172</x:v>
      </x:c>
      <x:c r="AC1580" s="8" t="n">
        <x:f>IF(AND(v01_WinterTrigger=1,D1580=1,AB1579/AE1579&gt;=K1580),1,0)</x:f>
        <x:v>0</x:v>
      </x:c>
      <x:c r="AD1580" s="8" t="n">
        <x:f>H1580*IF(AND(OR(AB1579/AE1579&gt;=v01_FissionTrigger*N1580,AC1580=1),AB1579/AE1579*v01_DaughterShare&gt;=v01_MinDaughter),MAX(1,ROUND(AE1579*v01_FissionRate,0)),0)</x:f>
        <x:v>0</x:v>
      </x:c>
      <x:c r="AE1580" s="8" t="n">
        <x:f>IF(H1580=1,MAX(1,MIN(INDEX(v01_Smax,G1580),AE1579+AD1580)),AE1579)</x:f>
        <x:v>15</x:v>
      </x:c>
      <x:c r="AF1580" s="8" t="n">
        <x:f>MAX(0,AE1580-AE1579)</x:f>
        <x:v>0</x:v>
      </x:c>
      <x:c r="AG1580" s="9" t="str">
        <x:f>IF(AF1580&gt;0,B1580,"")</x:f>
      </x:c>
      <x:c r="AH1580" s="9" t="n">
        <x:f>IF(F1580&gt;=1,1,(1+v01_LowTiesShare*(AE1580-1))/AE1580)</x:f>
        <x:v>1</x:v>
      </x:c>
      <x:c r="AI1580" s="32" t="n">
        <x:f>(Z1580+v01_ElderCommons*INDEX(LM_Elder,G1580)*AA1580)*AH1580</x:f>
        <x:v>64139.732591141874</x:v>
      </x:c>
      <x:c r="AJ1580" s="32" t="n">
        <x:f>H1580*v01_CommonsCoef*AI1580^v01_CommonsExp*INDEX(LM_Commons,G1580)</x:f>
        <x:v>0</x:v>
      </x:c>
      <x:c r="AK1580" s="32" t="n">
        <x:f>H1580*v01_RoleScale*Arch_Roles*(AE1580*(INDEX(v01_ElderRolePerSett,G1580)*v01_OutElder*INDEX(LM_Elder,G1580)+INDEX(v01_ShamanPerSett,G1580)*v01_OutShaman)+Z1580*(INDEX(v01_PriestShare,G1580)*v01_OutPriest+INDEX(v01_ScribeShare,G1580)*v01_OutScribe*INDEX(LM_Scribe,G1580)+INDEX(v01_ScholarShare,G1580)*v01_OutScholar*INDEX(LM_Scholar,G1580)+INDEX(v01_ResearcherShare,G1580)*v01_OutResearcher*INDEX(LM_Researcher,G1580)))</x:f>
        <x:v>0</x:v>
      </x:c>
      <x:c r="AL1580" s="32" t="n">
        <x:f>H1580*v01_RoleScale*Arch_Roles*AE1580*INDEX(v01_MonasteryPerSett,G1580)*v01_OutMonastery*INDEX(LM_Monastery,G1580)</x:f>
        <x:v>0</x:v>
      </x:c>
      <x:c r="AM1580" s="32" t="n">
        <x:f>(AJ1580+AK1580+AL1580)/4*INDEX(LM_All,G1580)*INDEX(v01_Boon,G1580)*Arch_Insight</x:f>
        <x:v>0</x:v>
      </x:c>
      <x:c r="AN1580" s="32" t="n">
        <x:f>H1580*(v01_KHPerAdult*Z1580+v01_KHOfCommons*AJ1580/4*INDEX(LM_All,G1580))*v01_KHUsable*Arch_KH</x:f>
        <x:v>0</x:v>
      </x:c>
      <x:c r="AO1580" s="32" t="n">
        <x:f>MIN(AP1579+AN1580,AM1580*v01_KHMaxRatio)</x:f>
        <x:v>0</x:v>
      </x:c>
      <x:c r="AP1580" s="32" t="n">
        <x:f>AP1579+AN1580-AO1580</x:f>
        <x:v>0</x:v>
      </x:c>
      <x:c r="AQ1580" s="32" t="n">
        <x:f>AM1580+AO1580</x:f>
        <x:v>0</x:v>
      </x:c>
      <x:c r="AR1580" s="10" t="n">
        <x:f>IF(H1580=1,INDEX(v01_Req,G1580),0)</x:f>
        <x:v>0</x:v>
      </x:c>
      <x:c r="AS1580" s="32" t="n">
        <x:f>IF(H1580=1,IF(E1580=1,AS1579-AR1579,AS1579)+AQ1580,0)</x:f>
        <x:v>0</x:v>
      </x:c>
      <x:c r="AT1580" s="11" t="n">
        <x:f>IF(AR1580&gt;0,MIN(1,AS1580/AR1580),1)</x:f>
        <x:v>1</x:v>
      </x:c>
      <x:c r="AU1580" s="10" t="n">
        <x:f>AB1580/INDEX(v01_RepScale,G1580)</x:f>
        <x:v>90.09519605746344</x:v>
      </x:c>
      <x:c r="AV1580" s="32" t="n">
        <x:f>AM1580*60/v01_SeasonSeconds</x:f>
        <x:v>0</x:v>
      </x:c>
    </x:row>
    <x:row r="1581">
      <x:c r="A1581" s="8" t="n">
        <x:f>A1580+1</x:f>
        <x:v>1578</x:v>
      </x:c>
      <x:c r="B1581" s="9" t="n">
        <x:f>A1581*v01_SeasonSeconds/60</x:f>
        <x:v>394.5</x:v>
      </x:c>
      <x:c r="C1581" s="9" t="n">
        <x:f>A1581/4</x:f>
        <x:v>394.5</x:v>
      </x:c>
      <x:c r="D1581" s="8" t="n">
        <x:f>IF(MOD(A1581,4)=0,1,0)</x:f>
        <x:v>0</x:v>
      </x:c>
      <x:c r="E1581" s="8" t="n">
        <x:f>IF(AND(F1580&lt;=9,AS1580&gt;=AR1580),1,0)</x:f>
        <x:v>0</x:v>
      </x:c>
      <x:c r="F1581" s="8" t="n">
        <x:f>MIN(10,F1580+E1581)</x:f>
        <x:v>10</x:v>
      </x:c>
      <x:c r="G1581" s="8" t="n">
        <x:f>MIN(F1581,9)+1</x:f>
        <x:v>10</x:v>
      </x:c>
      <x:c r="H1581" s="8" t="n">
        <x:f>IF(F1581&lt;=9,1,0)</x:f>
        <x:v>0</x:v>
      </x:c>
      <x:c r="I1581" s="9" t="n">
        <x:f>MIN(10,F1580+IF(AR1580&gt;0,MIN(1,AS1580/AR1580),1))</x:f>
        <x:v>10</x:v>
      </x:c>
      <x:c r="J1581" s="32" t="n">
        <x:f>INDEX(v01_FoodCap,G1581)*Arch_FoodCap*EXP(v01_CapsByProject*SUMPRODUCT((Cap_Point&lt;=I1581)*(Cap_Kind="Food")*Cap_Ln))</x:f>
        <x:v>12000</x:v>
      </x:c>
      <x:c r="K1581" s="32" t="n">
        <x:f>J1581*MIN(1,v01_LeanBase*EXP(v01_CapsByProject*SUMPRODUCT((Cap_Point&lt;=I1581)*(Cap_Kind="Lean")*Cap_Ln)))</x:f>
        <x:v>12000</x:v>
      </x:c>
      <x:c r="L1581" s="10" t="n">
        <x:f>INDEX(v01_HousingCap,G1581)*EXP(v01_CapsByProject*SUMPRODUCT((Cap_Point&lt;=I1581)*(Cap_Kind="Housing")*Cap_Ln))</x:f>
        <x:v>20000</x:v>
      </x:c>
      <x:c r="M1581" s="10" t="n">
        <x:f>INDEX(v01_GroupCap,G1581)*v01_CohesionFactor*EXP(v01_CapsByProject*SUMPRODUCT((Cap_Point&lt;=I1581)*(Cap_Kind="Group")*Cap_Ln))</x:f>
        <x:v>1000000</x:v>
      </x:c>
      <x:c r="N1581" s="32" t="n">
        <x:f>MIN(J1581,L1581,M1581)</x:f>
        <x:v>12000</x:v>
      </x:c>
      <x:c r="O1581" s="10" t="n">
        <x:f>AE1580*N1581</x:f>
        <x:v>180000</x:v>
      </x:c>
      <x:c r="P1581" s="9" t="n">
        <x:f>MIN(1,(AB1580/(AE1580*IF(v01_GroupInCrowding=1,N1581,MIN(J1581,L1581))))^v01_CrowdingExp)</x:f>
        <x:v>0.00024569414295285325</x:v>
      </x:c>
      <x:c r="Q1581" s="9" t="n">
        <x:f>IF(D1581=1,INDEX(v01_WinterMult,G1581),1)</x:f>
        <x:v>1</x:v>
      </x:c>
      <x:c r="R1581" s="9" t="n">
        <x:f>H1581*Z1580*v01_WomenShare*v01_BaseFertility*INDEX(v01_FertMult,G1581)*Arch_Fertility*(1-P1581)</x:f>
        <x:v>0</x:v>
      </x:c>
      <x:c r="S1581" s="9" t="n">
        <x:f>H1581*Y1580*INDEX(v01_MortChild,G1581)/4*Q1581</x:f>
        <x:v>0</x:v>
      </x:c>
      <x:c r="T1581" s="9" t="n">
        <x:f>H1581*Z1580*INDEX(v01_MortAdult,G1581)*Arch_AdultMort/4*Q1581</x:f>
        <x:v>0</x:v>
      </x:c>
      <x:c r="U1581" s="9" t="n">
        <x:f>H1581*AA1580*INDEX(v01_MortElder,G1581)/4*Q1581</x:f>
        <x:v>0</x:v>
      </x:c>
      <x:c r="V1581" s="9" t="n">
        <x:f>H1581*MAX(0,AB1580-O1581)*v01_OvercapLoss</x:f>
        <x:v>0</x:v>
      </x:c>
      <x:c r="W1581" s="9" t="n">
        <x:f>H1581*Y1580/(v01_ChildYears*4)</x:f>
        <x:v>0</x:v>
      </x:c>
      <x:c r="X1581" s="9" t="n">
        <x:f>H1581*Z1580/(v01_AdultYears*4)</x:f>
        <x:v>0</x:v>
      </x:c>
      <x:c r="Y1581" s="32" t="n">
        <x:f>Y1580+R1581-S1581-W1581-Y1580*V1581/AB1580</x:f>
        <x:v>14306.18539759397</x:v>
      </x:c>
      <x:c r="Z1581" s="32" t="n">
        <x:f>Z1580+W1581-X1581-T1581-Z1580*V1581/AB1580</x:f>
        <x:v>19354.456567879548</x:v>
      </x:c>
      <x:c r="AA1581" s="32" t="n">
        <x:f>AA1580+X1581-U1581-AA1580*V1581/AB1580</x:f>
        <x:v>11386.956063258198</x:v>
      </x:c>
      <x:c r="AB1581" s="10" t="n">
        <x:f>Y1581+Z1581+AA1581</x:f>
        <x:v>45047.59802873172</x:v>
      </x:c>
      <x:c r="AC1581" s="8" t="n">
        <x:f>IF(AND(v01_WinterTrigger=1,D1581=1,AB1580/AE1580&gt;=K1581),1,0)</x:f>
        <x:v>0</x:v>
      </x:c>
      <x:c r="AD1581" s="8" t="n">
        <x:f>H1581*IF(AND(OR(AB1580/AE1580&gt;=v01_FissionTrigger*N1581,AC1581=1),AB1580/AE1580*v01_DaughterShare&gt;=v01_MinDaughter),MAX(1,ROUND(AE1580*v01_FissionRate,0)),0)</x:f>
        <x:v>0</x:v>
      </x:c>
      <x:c r="AE1581" s="8" t="n">
        <x:f>IF(H1581=1,MAX(1,MIN(INDEX(v01_Smax,G1581),AE1580+AD1581)),AE1580)</x:f>
        <x:v>15</x:v>
      </x:c>
      <x:c r="AF1581" s="8" t="n">
        <x:f>MAX(0,AE1581-AE1580)</x:f>
        <x:v>0</x:v>
      </x:c>
      <x:c r="AG1581" s="9" t="str">
        <x:f>IF(AF1581&gt;0,B1581,"")</x:f>
      </x:c>
      <x:c r="AH1581" s="9" t="n">
        <x:f>IF(F1581&gt;=1,1,(1+v01_LowTiesShare*(AE1581-1))/AE1581)</x:f>
        <x:v>1</x:v>
      </x:c>
      <x:c r="AI1581" s="32" t="n">
        <x:f>(Z1581+v01_ElderCommons*INDEX(LM_Elder,G1581)*AA1581)*AH1581</x:f>
        <x:v>64139.732591141874</x:v>
      </x:c>
      <x:c r="AJ1581" s="32" t="n">
        <x:f>H1581*v01_CommonsCoef*AI1581^v01_CommonsExp*INDEX(LM_Commons,G1581)</x:f>
        <x:v>0</x:v>
      </x:c>
      <x:c r="AK1581" s="32" t="n">
        <x:f>H1581*v01_RoleScale*Arch_Roles*(AE1581*(INDEX(v01_ElderRolePerSett,G1581)*v01_OutElder*INDEX(LM_Elder,G1581)+INDEX(v01_ShamanPerSett,G1581)*v01_OutShaman)+Z1581*(INDEX(v01_PriestShare,G1581)*v01_OutPriest+INDEX(v01_ScribeShare,G1581)*v01_OutScribe*INDEX(LM_Scribe,G1581)+INDEX(v01_ScholarShare,G1581)*v01_OutScholar*INDEX(LM_Scholar,G1581)+INDEX(v01_ResearcherShare,G1581)*v01_OutResearcher*INDEX(LM_Researcher,G1581)))</x:f>
        <x:v>0</x:v>
      </x:c>
      <x:c r="AL1581" s="32" t="n">
        <x:f>H1581*v01_RoleScale*Arch_Roles*AE1581*INDEX(v01_MonasteryPerSett,G1581)*v01_OutMonastery*INDEX(LM_Monastery,G1581)</x:f>
        <x:v>0</x:v>
      </x:c>
      <x:c r="AM1581" s="32" t="n">
        <x:f>(AJ1581+AK1581+AL1581)/4*INDEX(LM_All,G1581)*INDEX(v01_Boon,G1581)*Arch_Insight</x:f>
        <x:v>0</x:v>
      </x:c>
      <x:c r="AN1581" s="32" t="n">
        <x:f>H1581*(v01_KHPerAdult*Z1581+v01_KHOfCommons*AJ1581/4*INDEX(LM_All,G1581))*v01_KHUsable*Arch_KH</x:f>
        <x:v>0</x:v>
      </x:c>
      <x:c r="AO1581" s="32" t="n">
        <x:f>MIN(AP1580+AN1581,AM1581*v01_KHMaxRatio)</x:f>
        <x:v>0</x:v>
      </x:c>
      <x:c r="AP1581" s="32" t="n">
        <x:f>AP1580+AN1581-AO1581</x:f>
        <x:v>0</x:v>
      </x:c>
      <x:c r="AQ1581" s="32" t="n">
        <x:f>AM1581+AO1581</x:f>
        <x:v>0</x:v>
      </x:c>
      <x:c r="AR1581" s="10" t="n">
        <x:f>IF(H1581=1,INDEX(v01_Req,G1581),0)</x:f>
        <x:v>0</x:v>
      </x:c>
      <x:c r="AS1581" s="32" t="n">
        <x:f>IF(H1581=1,IF(E1581=1,AS1580-AR1580,AS1580)+AQ1581,0)</x:f>
        <x:v>0</x:v>
      </x:c>
      <x:c r="AT1581" s="11" t="n">
        <x:f>IF(AR1581&gt;0,MIN(1,AS1581/AR1581),1)</x:f>
        <x:v>1</x:v>
      </x:c>
      <x:c r="AU1581" s="10" t="n">
        <x:f>AB1581/INDEX(v01_RepScale,G1581)</x:f>
        <x:v>90.09519605746344</x:v>
      </x:c>
      <x:c r="AV1581" s="32" t="n">
        <x:f>AM1581*60/v01_SeasonSeconds</x:f>
        <x:v>0</x:v>
      </x:c>
    </x:row>
    <x:row r="1582">
      <x:c r="A1582" s="8" t="n">
        <x:f>A1581+1</x:f>
        <x:v>1579</x:v>
      </x:c>
      <x:c r="B1582" s="9" t="n">
        <x:f>A1582*v01_SeasonSeconds/60</x:f>
        <x:v>394.75</x:v>
      </x:c>
      <x:c r="C1582" s="9" t="n">
        <x:f>A1582/4</x:f>
        <x:v>394.75</x:v>
      </x:c>
      <x:c r="D1582" s="8" t="n">
        <x:f>IF(MOD(A1582,4)=0,1,0)</x:f>
        <x:v>0</x:v>
      </x:c>
      <x:c r="E1582" s="8" t="n">
        <x:f>IF(AND(F1581&lt;=9,AS1581&gt;=AR1581),1,0)</x:f>
        <x:v>0</x:v>
      </x:c>
      <x:c r="F1582" s="8" t="n">
        <x:f>MIN(10,F1581+E1582)</x:f>
        <x:v>10</x:v>
      </x:c>
      <x:c r="G1582" s="8" t="n">
        <x:f>MIN(F1582,9)+1</x:f>
        <x:v>10</x:v>
      </x:c>
      <x:c r="H1582" s="8" t="n">
        <x:f>IF(F1582&lt;=9,1,0)</x:f>
        <x:v>0</x:v>
      </x:c>
      <x:c r="I1582" s="9" t="n">
        <x:f>MIN(10,F1581+IF(AR1581&gt;0,MIN(1,AS1581/AR1581),1))</x:f>
        <x:v>10</x:v>
      </x:c>
      <x:c r="J1582" s="32" t="n">
        <x:f>INDEX(v01_FoodCap,G1582)*Arch_FoodCap*EXP(v01_CapsByProject*SUMPRODUCT((Cap_Point&lt;=I1582)*(Cap_Kind="Food")*Cap_Ln))</x:f>
        <x:v>12000</x:v>
      </x:c>
      <x:c r="K1582" s="32" t="n">
        <x:f>J1582*MIN(1,v01_LeanBase*EXP(v01_CapsByProject*SUMPRODUCT((Cap_Point&lt;=I1582)*(Cap_Kind="Lean")*Cap_Ln)))</x:f>
        <x:v>12000</x:v>
      </x:c>
      <x:c r="L1582" s="10" t="n">
        <x:f>INDEX(v01_HousingCap,G1582)*EXP(v01_CapsByProject*SUMPRODUCT((Cap_Point&lt;=I1582)*(Cap_Kind="Housing")*Cap_Ln))</x:f>
        <x:v>20000</x:v>
      </x:c>
      <x:c r="M1582" s="10" t="n">
        <x:f>INDEX(v01_GroupCap,G1582)*v01_CohesionFactor*EXP(v01_CapsByProject*SUMPRODUCT((Cap_Point&lt;=I1582)*(Cap_Kind="Group")*Cap_Ln))</x:f>
        <x:v>1000000</x:v>
      </x:c>
      <x:c r="N1582" s="32" t="n">
        <x:f>MIN(J1582,L1582,M1582)</x:f>
        <x:v>12000</x:v>
      </x:c>
      <x:c r="O1582" s="10" t="n">
        <x:f>AE1581*N1582</x:f>
        <x:v>180000</x:v>
      </x:c>
      <x:c r="P1582" s="9" t="n">
        <x:f>MIN(1,(AB1581/(AE1581*IF(v01_GroupInCrowding=1,N1582,MIN(J1582,L1582))))^v01_CrowdingExp)</x:f>
        <x:v>0.00024569414295285325</x:v>
      </x:c>
      <x:c r="Q1582" s="9" t="n">
        <x:f>IF(D1582=1,INDEX(v01_WinterMult,G1582),1)</x:f>
        <x:v>1</x:v>
      </x:c>
      <x:c r="R1582" s="9" t="n">
        <x:f>H1582*Z1581*v01_WomenShare*v01_BaseFertility*INDEX(v01_FertMult,G1582)*Arch_Fertility*(1-P1582)</x:f>
        <x:v>0</x:v>
      </x:c>
      <x:c r="S1582" s="9" t="n">
        <x:f>H1582*Y1581*INDEX(v01_MortChild,G1582)/4*Q1582</x:f>
        <x:v>0</x:v>
      </x:c>
      <x:c r="T1582" s="9" t="n">
        <x:f>H1582*Z1581*INDEX(v01_MortAdult,G1582)*Arch_AdultMort/4*Q1582</x:f>
        <x:v>0</x:v>
      </x:c>
      <x:c r="U1582" s="9" t="n">
        <x:f>H1582*AA1581*INDEX(v01_MortElder,G1582)/4*Q1582</x:f>
        <x:v>0</x:v>
      </x:c>
      <x:c r="V1582" s="9" t="n">
        <x:f>H1582*MAX(0,AB1581-O1582)*v01_OvercapLoss</x:f>
        <x:v>0</x:v>
      </x:c>
      <x:c r="W1582" s="9" t="n">
        <x:f>H1582*Y1581/(v01_ChildYears*4)</x:f>
        <x:v>0</x:v>
      </x:c>
      <x:c r="X1582" s="9" t="n">
        <x:f>H1582*Z1581/(v01_AdultYears*4)</x:f>
        <x:v>0</x:v>
      </x:c>
      <x:c r="Y1582" s="32" t="n">
        <x:f>Y1581+R1582-S1582-W1582-Y1581*V1582/AB1581</x:f>
        <x:v>14306.18539759397</x:v>
      </x:c>
      <x:c r="Z1582" s="32" t="n">
        <x:f>Z1581+W1582-X1582-T1582-Z1581*V1582/AB1581</x:f>
        <x:v>19354.456567879548</x:v>
      </x:c>
      <x:c r="AA1582" s="32" t="n">
        <x:f>AA1581+X1582-U1582-AA1581*V1582/AB1581</x:f>
        <x:v>11386.956063258198</x:v>
      </x:c>
      <x:c r="AB1582" s="10" t="n">
        <x:f>Y1582+Z1582+AA1582</x:f>
        <x:v>45047.59802873172</x:v>
      </x:c>
      <x:c r="AC1582" s="8" t="n">
        <x:f>IF(AND(v01_WinterTrigger=1,D1582=1,AB1581/AE1581&gt;=K1582),1,0)</x:f>
        <x:v>0</x:v>
      </x:c>
      <x:c r="AD1582" s="8" t="n">
        <x:f>H1582*IF(AND(OR(AB1581/AE1581&gt;=v01_FissionTrigger*N1582,AC1582=1),AB1581/AE1581*v01_DaughterShare&gt;=v01_MinDaughter),MAX(1,ROUND(AE1581*v01_FissionRate,0)),0)</x:f>
        <x:v>0</x:v>
      </x:c>
      <x:c r="AE1582" s="8" t="n">
        <x:f>IF(H1582=1,MAX(1,MIN(INDEX(v01_Smax,G1582),AE1581+AD1582)),AE1581)</x:f>
        <x:v>15</x:v>
      </x:c>
      <x:c r="AF1582" s="8" t="n">
        <x:f>MAX(0,AE1582-AE1581)</x:f>
        <x:v>0</x:v>
      </x:c>
      <x:c r="AG1582" s="9" t="str">
        <x:f>IF(AF1582&gt;0,B1582,"")</x:f>
      </x:c>
      <x:c r="AH1582" s="9" t="n">
        <x:f>IF(F1582&gt;=1,1,(1+v01_LowTiesShare*(AE1582-1))/AE1582)</x:f>
        <x:v>1</x:v>
      </x:c>
      <x:c r="AI1582" s="32" t="n">
        <x:f>(Z1582+v01_ElderCommons*INDEX(LM_Elder,G1582)*AA1582)*AH1582</x:f>
        <x:v>64139.732591141874</x:v>
      </x:c>
      <x:c r="AJ1582" s="32" t="n">
        <x:f>H1582*v01_CommonsCoef*AI1582^v01_CommonsExp*INDEX(LM_Commons,G1582)</x:f>
        <x:v>0</x:v>
      </x:c>
      <x:c r="AK1582" s="32" t="n">
        <x:f>H1582*v01_RoleScale*Arch_Roles*(AE1582*(INDEX(v01_ElderRolePerSett,G1582)*v01_OutElder*INDEX(LM_Elder,G1582)+INDEX(v01_ShamanPerSett,G1582)*v01_OutShaman)+Z1582*(INDEX(v01_PriestShare,G1582)*v01_OutPriest+INDEX(v01_ScribeShare,G1582)*v01_OutScribe*INDEX(LM_Scribe,G1582)+INDEX(v01_ScholarShare,G1582)*v01_OutScholar*INDEX(LM_Scholar,G1582)+INDEX(v01_ResearcherShare,G1582)*v01_OutResearcher*INDEX(LM_Researcher,G1582)))</x:f>
        <x:v>0</x:v>
      </x:c>
      <x:c r="AL1582" s="32" t="n">
        <x:f>H1582*v01_RoleScale*Arch_Roles*AE1582*INDEX(v01_MonasteryPerSett,G1582)*v01_OutMonastery*INDEX(LM_Monastery,G1582)</x:f>
        <x:v>0</x:v>
      </x:c>
      <x:c r="AM1582" s="32" t="n">
        <x:f>(AJ1582+AK1582+AL1582)/4*INDEX(LM_All,G1582)*INDEX(v01_Boon,G1582)*Arch_Insight</x:f>
        <x:v>0</x:v>
      </x:c>
      <x:c r="AN1582" s="32" t="n">
        <x:f>H1582*(v01_KHPerAdult*Z1582+v01_KHOfCommons*AJ1582/4*INDEX(LM_All,G1582))*v01_KHUsable*Arch_KH</x:f>
        <x:v>0</x:v>
      </x:c>
      <x:c r="AO1582" s="32" t="n">
        <x:f>MIN(AP1581+AN1582,AM1582*v01_KHMaxRatio)</x:f>
        <x:v>0</x:v>
      </x:c>
      <x:c r="AP1582" s="32" t="n">
        <x:f>AP1581+AN1582-AO1582</x:f>
        <x:v>0</x:v>
      </x:c>
      <x:c r="AQ1582" s="32" t="n">
        <x:f>AM1582+AO1582</x:f>
        <x:v>0</x:v>
      </x:c>
      <x:c r="AR1582" s="10" t="n">
        <x:f>IF(H1582=1,INDEX(v01_Req,G1582),0)</x:f>
        <x:v>0</x:v>
      </x:c>
      <x:c r="AS1582" s="32" t="n">
        <x:f>IF(H1582=1,IF(E1582=1,AS1581-AR1581,AS1581)+AQ1582,0)</x:f>
        <x:v>0</x:v>
      </x:c>
      <x:c r="AT1582" s="11" t="n">
        <x:f>IF(AR1582&gt;0,MIN(1,AS1582/AR1582),1)</x:f>
        <x:v>1</x:v>
      </x:c>
      <x:c r="AU1582" s="10" t="n">
        <x:f>AB1582/INDEX(v01_RepScale,G1582)</x:f>
        <x:v>90.09519605746344</x:v>
      </x:c>
      <x:c r="AV1582" s="32" t="n">
        <x:f>AM1582*60/v01_SeasonSeconds</x:f>
        <x:v>0</x:v>
      </x:c>
    </x:row>
    <x:row r="1583">
      <x:c r="A1583" s="8" t="n">
        <x:f>A1582+1</x:f>
        <x:v>1580</x:v>
      </x:c>
      <x:c r="B1583" s="9" t="n">
        <x:f>A1583*v01_SeasonSeconds/60</x:f>
        <x:v>395</x:v>
      </x:c>
      <x:c r="C1583" s="9" t="n">
        <x:f>A1583/4</x:f>
        <x:v>395</x:v>
      </x:c>
      <x:c r="D1583" s="8" t="n">
        <x:f>IF(MOD(A1583,4)=0,1,0)</x:f>
        <x:v>1</x:v>
      </x:c>
      <x:c r="E1583" s="8" t="n">
        <x:f>IF(AND(F1582&lt;=9,AS1582&gt;=AR1582),1,0)</x:f>
        <x:v>0</x:v>
      </x:c>
      <x:c r="F1583" s="8" t="n">
        <x:f>MIN(10,F1582+E1583)</x:f>
        <x:v>10</x:v>
      </x:c>
      <x:c r="G1583" s="8" t="n">
        <x:f>MIN(F1583,9)+1</x:f>
        <x:v>10</x:v>
      </x:c>
      <x:c r="H1583" s="8" t="n">
        <x:f>IF(F1583&lt;=9,1,0)</x:f>
        <x:v>0</x:v>
      </x:c>
      <x:c r="I1583" s="9" t="n">
        <x:f>MIN(10,F1582+IF(AR1582&gt;0,MIN(1,AS1582/AR1582),1))</x:f>
        <x:v>10</x:v>
      </x:c>
      <x:c r="J1583" s="32" t="n">
        <x:f>INDEX(v01_FoodCap,G1583)*Arch_FoodCap*EXP(v01_CapsByProject*SUMPRODUCT((Cap_Point&lt;=I1583)*(Cap_Kind="Food")*Cap_Ln))</x:f>
        <x:v>12000</x:v>
      </x:c>
      <x:c r="K1583" s="32" t="n">
        <x:f>J1583*MIN(1,v01_LeanBase*EXP(v01_CapsByProject*SUMPRODUCT((Cap_Point&lt;=I1583)*(Cap_Kind="Lean")*Cap_Ln)))</x:f>
        <x:v>12000</x:v>
      </x:c>
      <x:c r="L1583" s="10" t="n">
        <x:f>INDEX(v01_HousingCap,G1583)*EXP(v01_CapsByProject*SUMPRODUCT((Cap_Point&lt;=I1583)*(Cap_Kind="Housing")*Cap_Ln))</x:f>
        <x:v>20000</x:v>
      </x:c>
      <x:c r="M1583" s="10" t="n">
        <x:f>INDEX(v01_GroupCap,G1583)*v01_CohesionFactor*EXP(v01_CapsByProject*SUMPRODUCT((Cap_Point&lt;=I1583)*(Cap_Kind="Group")*Cap_Ln))</x:f>
        <x:v>1000000</x:v>
      </x:c>
      <x:c r="N1583" s="32" t="n">
        <x:f>MIN(J1583,L1583,M1583)</x:f>
        <x:v>12000</x:v>
      </x:c>
      <x:c r="O1583" s="10" t="n">
        <x:f>AE1582*N1583</x:f>
        <x:v>180000</x:v>
      </x:c>
      <x:c r="P1583" s="9" t="n">
        <x:f>MIN(1,(AB1582/(AE1582*IF(v01_GroupInCrowding=1,N1583,MIN(J1583,L1583))))^v01_CrowdingExp)</x:f>
        <x:v>0.00024569414295285325</x:v>
      </x:c>
      <x:c r="Q1583" s="9" t="n">
        <x:f>IF(D1583=1,INDEX(v01_WinterMult,G1583),1)</x:f>
        <x:v>1</x:v>
      </x:c>
      <x:c r="R1583" s="9" t="n">
        <x:f>H1583*Z1582*v01_WomenShare*v01_BaseFertility*INDEX(v01_FertMult,G1583)*Arch_Fertility*(1-P1583)</x:f>
        <x:v>0</x:v>
      </x:c>
      <x:c r="S1583" s="9" t="n">
        <x:f>H1583*Y1582*INDEX(v01_MortChild,G1583)/4*Q1583</x:f>
        <x:v>0</x:v>
      </x:c>
      <x:c r="T1583" s="9" t="n">
        <x:f>H1583*Z1582*INDEX(v01_MortAdult,G1583)*Arch_AdultMort/4*Q1583</x:f>
        <x:v>0</x:v>
      </x:c>
      <x:c r="U1583" s="9" t="n">
        <x:f>H1583*AA1582*INDEX(v01_MortElder,G1583)/4*Q1583</x:f>
        <x:v>0</x:v>
      </x:c>
      <x:c r="V1583" s="9" t="n">
        <x:f>H1583*MAX(0,AB1582-O1583)*v01_OvercapLoss</x:f>
        <x:v>0</x:v>
      </x:c>
      <x:c r="W1583" s="9" t="n">
        <x:f>H1583*Y1582/(v01_ChildYears*4)</x:f>
        <x:v>0</x:v>
      </x:c>
      <x:c r="X1583" s="9" t="n">
        <x:f>H1583*Z1582/(v01_AdultYears*4)</x:f>
        <x:v>0</x:v>
      </x:c>
      <x:c r="Y1583" s="32" t="n">
        <x:f>Y1582+R1583-S1583-W1583-Y1582*V1583/AB1582</x:f>
        <x:v>14306.18539759397</x:v>
      </x:c>
      <x:c r="Z1583" s="32" t="n">
        <x:f>Z1582+W1583-X1583-T1583-Z1582*V1583/AB1582</x:f>
        <x:v>19354.456567879548</x:v>
      </x:c>
      <x:c r="AA1583" s="32" t="n">
        <x:f>AA1582+X1583-U1583-AA1582*V1583/AB1582</x:f>
        <x:v>11386.956063258198</x:v>
      </x:c>
      <x:c r="AB1583" s="10" t="n">
        <x:f>Y1583+Z1583+AA1583</x:f>
        <x:v>45047.59802873172</x:v>
      </x:c>
      <x:c r="AC1583" s="8" t="n">
        <x:f>IF(AND(v01_WinterTrigger=1,D1583=1,AB1582/AE1582&gt;=K1583),1,0)</x:f>
        <x:v>0</x:v>
      </x:c>
      <x:c r="AD1583" s="8" t="n">
        <x:f>H1583*IF(AND(OR(AB1582/AE1582&gt;=v01_FissionTrigger*N1583,AC1583=1),AB1582/AE1582*v01_DaughterShare&gt;=v01_MinDaughter),MAX(1,ROUND(AE1582*v01_FissionRate,0)),0)</x:f>
        <x:v>0</x:v>
      </x:c>
      <x:c r="AE1583" s="8" t="n">
        <x:f>IF(H1583=1,MAX(1,MIN(INDEX(v01_Smax,G1583),AE1582+AD1583)),AE1582)</x:f>
        <x:v>15</x:v>
      </x:c>
      <x:c r="AF1583" s="8" t="n">
        <x:f>MAX(0,AE1583-AE1582)</x:f>
        <x:v>0</x:v>
      </x:c>
      <x:c r="AG1583" s="9" t="str">
        <x:f>IF(AF1583&gt;0,B1583,"")</x:f>
      </x:c>
      <x:c r="AH1583" s="9" t="n">
        <x:f>IF(F1583&gt;=1,1,(1+v01_LowTiesShare*(AE1583-1))/AE1583)</x:f>
        <x:v>1</x:v>
      </x:c>
      <x:c r="AI1583" s="32" t="n">
        <x:f>(Z1583+v01_ElderCommons*INDEX(LM_Elder,G1583)*AA1583)*AH1583</x:f>
        <x:v>64139.732591141874</x:v>
      </x:c>
      <x:c r="AJ1583" s="32" t="n">
        <x:f>H1583*v01_CommonsCoef*AI1583^v01_CommonsExp*INDEX(LM_Commons,G1583)</x:f>
        <x:v>0</x:v>
      </x:c>
      <x:c r="AK1583" s="32" t="n">
        <x:f>H1583*v01_RoleScale*Arch_Roles*(AE1583*(INDEX(v01_ElderRolePerSett,G1583)*v01_OutElder*INDEX(LM_Elder,G1583)+INDEX(v01_ShamanPerSett,G1583)*v01_OutShaman)+Z1583*(INDEX(v01_PriestShare,G1583)*v01_OutPriest+INDEX(v01_ScribeShare,G1583)*v01_OutScribe*INDEX(LM_Scribe,G1583)+INDEX(v01_ScholarShare,G1583)*v01_OutScholar*INDEX(LM_Scholar,G1583)+INDEX(v01_ResearcherShare,G1583)*v01_OutResearcher*INDEX(LM_Researcher,G1583)))</x:f>
        <x:v>0</x:v>
      </x:c>
      <x:c r="AL1583" s="32" t="n">
        <x:f>H1583*v01_RoleScale*Arch_Roles*AE1583*INDEX(v01_MonasteryPerSett,G1583)*v01_OutMonastery*INDEX(LM_Monastery,G1583)</x:f>
        <x:v>0</x:v>
      </x:c>
      <x:c r="AM1583" s="32" t="n">
        <x:f>(AJ1583+AK1583+AL1583)/4*INDEX(LM_All,G1583)*INDEX(v01_Boon,G1583)*Arch_Insight</x:f>
        <x:v>0</x:v>
      </x:c>
      <x:c r="AN1583" s="32" t="n">
        <x:f>H1583*(v01_KHPerAdult*Z1583+v01_KHOfCommons*AJ1583/4*INDEX(LM_All,G1583))*v01_KHUsable*Arch_KH</x:f>
        <x:v>0</x:v>
      </x:c>
      <x:c r="AO1583" s="32" t="n">
        <x:f>MIN(AP1582+AN1583,AM1583*v01_KHMaxRatio)</x:f>
        <x:v>0</x:v>
      </x:c>
      <x:c r="AP1583" s="32" t="n">
        <x:f>AP1582+AN1583-AO1583</x:f>
        <x:v>0</x:v>
      </x:c>
      <x:c r="AQ1583" s="32" t="n">
        <x:f>AM1583+AO1583</x:f>
        <x:v>0</x:v>
      </x:c>
      <x:c r="AR1583" s="10" t="n">
        <x:f>IF(H1583=1,INDEX(v01_Req,G1583),0)</x:f>
        <x:v>0</x:v>
      </x:c>
      <x:c r="AS1583" s="32" t="n">
        <x:f>IF(H1583=1,IF(E1583=1,AS1582-AR1582,AS1582)+AQ1583,0)</x:f>
        <x:v>0</x:v>
      </x:c>
      <x:c r="AT1583" s="11" t="n">
        <x:f>IF(AR1583&gt;0,MIN(1,AS1583/AR1583),1)</x:f>
        <x:v>1</x:v>
      </x:c>
      <x:c r="AU1583" s="10" t="n">
        <x:f>AB1583/INDEX(v01_RepScale,G1583)</x:f>
        <x:v>90.09519605746344</x:v>
      </x:c>
      <x:c r="AV1583" s="32" t="n">
        <x:f>AM1583*60/v01_SeasonSeconds</x:f>
        <x:v>0</x:v>
      </x:c>
    </x:row>
    <x:row r="1584">
      <x:c r="A1584" s="8" t="n">
        <x:f>A1583+1</x:f>
        <x:v>1581</x:v>
      </x:c>
      <x:c r="B1584" s="9" t="n">
        <x:f>A1584*v01_SeasonSeconds/60</x:f>
        <x:v>395.25</x:v>
      </x:c>
      <x:c r="C1584" s="9" t="n">
        <x:f>A1584/4</x:f>
        <x:v>395.25</x:v>
      </x:c>
      <x:c r="D1584" s="8" t="n">
        <x:f>IF(MOD(A1584,4)=0,1,0)</x:f>
        <x:v>0</x:v>
      </x:c>
      <x:c r="E1584" s="8" t="n">
        <x:f>IF(AND(F1583&lt;=9,AS1583&gt;=AR1583),1,0)</x:f>
        <x:v>0</x:v>
      </x:c>
      <x:c r="F1584" s="8" t="n">
        <x:f>MIN(10,F1583+E1584)</x:f>
        <x:v>10</x:v>
      </x:c>
      <x:c r="G1584" s="8" t="n">
        <x:f>MIN(F1584,9)+1</x:f>
        <x:v>10</x:v>
      </x:c>
      <x:c r="H1584" s="8" t="n">
        <x:f>IF(F1584&lt;=9,1,0)</x:f>
        <x:v>0</x:v>
      </x:c>
      <x:c r="I1584" s="9" t="n">
        <x:f>MIN(10,F1583+IF(AR1583&gt;0,MIN(1,AS1583/AR1583),1))</x:f>
        <x:v>10</x:v>
      </x:c>
      <x:c r="J1584" s="32" t="n">
        <x:f>INDEX(v01_FoodCap,G1584)*Arch_FoodCap*EXP(v01_CapsByProject*SUMPRODUCT((Cap_Point&lt;=I1584)*(Cap_Kind="Food")*Cap_Ln))</x:f>
        <x:v>12000</x:v>
      </x:c>
      <x:c r="K1584" s="32" t="n">
        <x:f>J1584*MIN(1,v01_LeanBase*EXP(v01_CapsByProject*SUMPRODUCT((Cap_Point&lt;=I1584)*(Cap_Kind="Lean")*Cap_Ln)))</x:f>
        <x:v>12000</x:v>
      </x:c>
      <x:c r="L1584" s="10" t="n">
        <x:f>INDEX(v01_HousingCap,G1584)*EXP(v01_CapsByProject*SUMPRODUCT((Cap_Point&lt;=I1584)*(Cap_Kind="Housing")*Cap_Ln))</x:f>
        <x:v>20000</x:v>
      </x:c>
      <x:c r="M1584" s="10" t="n">
        <x:f>INDEX(v01_GroupCap,G1584)*v01_CohesionFactor*EXP(v01_CapsByProject*SUMPRODUCT((Cap_Point&lt;=I1584)*(Cap_Kind="Group")*Cap_Ln))</x:f>
        <x:v>1000000</x:v>
      </x:c>
      <x:c r="N1584" s="32" t="n">
        <x:f>MIN(J1584,L1584,M1584)</x:f>
        <x:v>12000</x:v>
      </x:c>
      <x:c r="O1584" s="10" t="n">
        <x:f>AE1583*N1584</x:f>
        <x:v>180000</x:v>
      </x:c>
      <x:c r="P1584" s="9" t="n">
        <x:f>MIN(1,(AB1583/(AE1583*IF(v01_GroupInCrowding=1,N1584,MIN(J1584,L1584))))^v01_CrowdingExp)</x:f>
        <x:v>0.00024569414295285325</x:v>
      </x:c>
      <x:c r="Q1584" s="9" t="n">
        <x:f>IF(D1584=1,INDEX(v01_WinterMult,G1584),1)</x:f>
        <x:v>1</x:v>
      </x:c>
      <x:c r="R1584" s="9" t="n">
        <x:f>H1584*Z1583*v01_WomenShare*v01_BaseFertility*INDEX(v01_FertMult,G1584)*Arch_Fertility*(1-P1584)</x:f>
        <x:v>0</x:v>
      </x:c>
      <x:c r="S1584" s="9" t="n">
        <x:f>H1584*Y1583*INDEX(v01_MortChild,G1584)/4*Q1584</x:f>
        <x:v>0</x:v>
      </x:c>
      <x:c r="T1584" s="9" t="n">
        <x:f>H1584*Z1583*INDEX(v01_MortAdult,G1584)*Arch_AdultMort/4*Q1584</x:f>
        <x:v>0</x:v>
      </x:c>
      <x:c r="U1584" s="9" t="n">
        <x:f>H1584*AA1583*INDEX(v01_MortElder,G1584)/4*Q1584</x:f>
        <x:v>0</x:v>
      </x:c>
      <x:c r="V1584" s="9" t="n">
        <x:f>H1584*MAX(0,AB1583-O1584)*v01_OvercapLoss</x:f>
        <x:v>0</x:v>
      </x:c>
      <x:c r="W1584" s="9" t="n">
        <x:f>H1584*Y1583/(v01_ChildYears*4)</x:f>
        <x:v>0</x:v>
      </x:c>
      <x:c r="X1584" s="9" t="n">
        <x:f>H1584*Z1583/(v01_AdultYears*4)</x:f>
        <x:v>0</x:v>
      </x:c>
      <x:c r="Y1584" s="32" t="n">
        <x:f>Y1583+R1584-S1584-W1584-Y1583*V1584/AB1583</x:f>
        <x:v>14306.18539759397</x:v>
      </x:c>
      <x:c r="Z1584" s="32" t="n">
        <x:f>Z1583+W1584-X1584-T1584-Z1583*V1584/AB1583</x:f>
        <x:v>19354.456567879548</x:v>
      </x:c>
      <x:c r="AA1584" s="32" t="n">
        <x:f>AA1583+X1584-U1584-AA1583*V1584/AB1583</x:f>
        <x:v>11386.956063258198</x:v>
      </x:c>
      <x:c r="AB1584" s="10" t="n">
        <x:f>Y1584+Z1584+AA1584</x:f>
        <x:v>45047.59802873172</x:v>
      </x:c>
      <x:c r="AC1584" s="8" t="n">
        <x:f>IF(AND(v01_WinterTrigger=1,D1584=1,AB1583/AE1583&gt;=K1584),1,0)</x:f>
        <x:v>0</x:v>
      </x:c>
      <x:c r="AD1584" s="8" t="n">
        <x:f>H1584*IF(AND(OR(AB1583/AE1583&gt;=v01_FissionTrigger*N1584,AC1584=1),AB1583/AE1583*v01_DaughterShare&gt;=v01_MinDaughter),MAX(1,ROUND(AE1583*v01_FissionRate,0)),0)</x:f>
        <x:v>0</x:v>
      </x:c>
      <x:c r="AE1584" s="8" t="n">
        <x:f>IF(H1584=1,MAX(1,MIN(INDEX(v01_Smax,G1584),AE1583+AD1584)),AE1583)</x:f>
        <x:v>15</x:v>
      </x:c>
      <x:c r="AF1584" s="8" t="n">
        <x:f>MAX(0,AE1584-AE1583)</x:f>
        <x:v>0</x:v>
      </x:c>
      <x:c r="AG1584" s="9" t="str">
        <x:f>IF(AF1584&gt;0,B1584,"")</x:f>
      </x:c>
      <x:c r="AH1584" s="9" t="n">
        <x:f>IF(F1584&gt;=1,1,(1+v01_LowTiesShare*(AE1584-1))/AE1584)</x:f>
        <x:v>1</x:v>
      </x:c>
      <x:c r="AI1584" s="32" t="n">
        <x:f>(Z1584+v01_ElderCommons*INDEX(LM_Elder,G1584)*AA1584)*AH1584</x:f>
        <x:v>64139.732591141874</x:v>
      </x:c>
      <x:c r="AJ1584" s="32" t="n">
        <x:f>H1584*v01_CommonsCoef*AI1584^v01_CommonsExp*INDEX(LM_Commons,G1584)</x:f>
        <x:v>0</x:v>
      </x:c>
      <x:c r="AK1584" s="32" t="n">
        <x:f>H1584*v01_RoleScale*Arch_Roles*(AE1584*(INDEX(v01_ElderRolePerSett,G1584)*v01_OutElder*INDEX(LM_Elder,G1584)+INDEX(v01_ShamanPerSett,G1584)*v01_OutShaman)+Z1584*(INDEX(v01_PriestShare,G1584)*v01_OutPriest+INDEX(v01_ScribeShare,G1584)*v01_OutScribe*INDEX(LM_Scribe,G1584)+INDEX(v01_ScholarShare,G1584)*v01_OutScholar*INDEX(LM_Scholar,G1584)+INDEX(v01_ResearcherShare,G1584)*v01_OutResearcher*INDEX(LM_Researcher,G1584)))</x:f>
        <x:v>0</x:v>
      </x:c>
      <x:c r="AL1584" s="32" t="n">
        <x:f>H1584*v01_RoleScale*Arch_Roles*AE1584*INDEX(v01_MonasteryPerSett,G1584)*v01_OutMonastery*INDEX(LM_Monastery,G1584)</x:f>
        <x:v>0</x:v>
      </x:c>
      <x:c r="AM1584" s="32" t="n">
        <x:f>(AJ1584+AK1584+AL1584)/4*INDEX(LM_All,G1584)*INDEX(v01_Boon,G1584)*Arch_Insight</x:f>
        <x:v>0</x:v>
      </x:c>
      <x:c r="AN1584" s="32" t="n">
        <x:f>H1584*(v01_KHPerAdult*Z1584+v01_KHOfCommons*AJ1584/4*INDEX(LM_All,G1584))*v01_KHUsable*Arch_KH</x:f>
        <x:v>0</x:v>
      </x:c>
      <x:c r="AO1584" s="32" t="n">
        <x:f>MIN(AP1583+AN1584,AM1584*v01_KHMaxRatio)</x:f>
        <x:v>0</x:v>
      </x:c>
      <x:c r="AP1584" s="32" t="n">
        <x:f>AP1583+AN1584-AO1584</x:f>
        <x:v>0</x:v>
      </x:c>
      <x:c r="AQ1584" s="32" t="n">
        <x:f>AM1584+AO1584</x:f>
        <x:v>0</x:v>
      </x:c>
      <x:c r="AR1584" s="10" t="n">
        <x:f>IF(H1584=1,INDEX(v01_Req,G1584),0)</x:f>
        <x:v>0</x:v>
      </x:c>
      <x:c r="AS1584" s="32" t="n">
        <x:f>IF(H1584=1,IF(E1584=1,AS1583-AR1583,AS1583)+AQ1584,0)</x:f>
        <x:v>0</x:v>
      </x:c>
      <x:c r="AT1584" s="11" t="n">
        <x:f>IF(AR1584&gt;0,MIN(1,AS1584/AR1584),1)</x:f>
        <x:v>1</x:v>
      </x:c>
      <x:c r="AU1584" s="10" t="n">
        <x:f>AB1584/INDEX(v01_RepScale,G1584)</x:f>
        <x:v>90.09519605746344</x:v>
      </x:c>
      <x:c r="AV1584" s="32" t="n">
        <x:f>AM1584*60/v01_SeasonSeconds</x:f>
        <x:v>0</x:v>
      </x:c>
    </x:row>
    <x:row r="1585">
      <x:c r="A1585" s="8" t="n">
        <x:f>A1584+1</x:f>
        <x:v>1582</x:v>
      </x:c>
      <x:c r="B1585" s="9" t="n">
        <x:f>A1585*v01_SeasonSeconds/60</x:f>
        <x:v>395.5</x:v>
      </x:c>
      <x:c r="C1585" s="9" t="n">
        <x:f>A1585/4</x:f>
        <x:v>395.5</x:v>
      </x:c>
      <x:c r="D1585" s="8" t="n">
        <x:f>IF(MOD(A1585,4)=0,1,0)</x:f>
        <x:v>0</x:v>
      </x:c>
      <x:c r="E1585" s="8" t="n">
        <x:f>IF(AND(F1584&lt;=9,AS1584&gt;=AR1584),1,0)</x:f>
        <x:v>0</x:v>
      </x:c>
      <x:c r="F1585" s="8" t="n">
        <x:f>MIN(10,F1584+E1585)</x:f>
        <x:v>10</x:v>
      </x:c>
      <x:c r="G1585" s="8" t="n">
        <x:f>MIN(F1585,9)+1</x:f>
        <x:v>10</x:v>
      </x:c>
      <x:c r="H1585" s="8" t="n">
        <x:f>IF(F1585&lt;=9,1,0)</x:f>
        <x:v>0</x:v>
      </x:c>
      <x:c r="I1585" s="9" t="n">
        <x:f>MIN(10,F1584+IF(AR1584&gt;0,MIN(1,AS1584/AR1584),1))</x:f>
        <x:v>10</x:v>
      </x:c>
      <x:c r="J1585" s="32" t="n">
        <x:f>INDEX(v01_FoodCap,G1585)*Arch_FoodCap*EXP(v01_CapsByProject*SUMPRODUCT((Cap_Point&lt;=I1585)*(Cap_Kind="Food")*Cap_Ln))</x:f>
        <x:v>12000</x:v>
      </x:c>
      <x:c r="K1585" s="32" t="n">
        <x:f>J1585*MIN(1,v01_LeanBase*EXP(v01_CapsByProject*SUMPRODUCT((Cap_Point&lt;=I1585)*(Cap_Kind="Lean")*Cap_Ln)))</x:f>
        <x:v>12000</x:v>
      </x:c>
      <x:c r="L1585" s="10" t="n">
        <x:f>INDEX(v01_HousingCap,G1585)*EXP(v01_CapsByProject*SUMPRODUCT((Cap_Point&lt;=I1585)*(Cap_Kind="Housing")*Cap_Ln))</x:f>
        <x:v>20000</x:v>
      </x:c>
      <x:c r="M1585" s="10" t="n">
        <x:f>INDEX(v01_GroupCap,G1585)*v01_CohesionFactor*EXP(v01_CapsByProject*SUMPRODUCT((Cap_Point&lt;=I1585)*(Cap_Kind="Group")*Cap_Ln))</x:f>
        <x:v>1000000</x:v>
      </x:c>
      <x:c r="N1585" s="32" t="n">
        <x:f>MIN(J1585,L1585,M1585)</x:f>
        <x:v>12000</x:v>
      </x:c>
      <x:c r="O1585" s="10" t="n">
        <x:f>AE1584*N1585</x:f>
        <x:v>180000</x:v>
      </x:c>
      <x:c r="P1585" s="9" t="n">
        <x:f>MIN(1,(AB1584/(AE1584*IF(v01_GroupInCrowding=1,N1585,MIN(J1585,L1585))))^v01_CrowdingExp)</x:f>
        <x:v>0.00024569414295285325</x:v>
      </x:c>
      <x:c r="Q1585" s="9" t="n">
        <x:f>IF(D1585=1,INDEX(v01_WinterMult,G1585),1)</x:f>
        <x:v>1</x:v>
      </x:c>
      <x:c r="R1585" s="9" t="n">
        <x:f>H1585*Z1584*v01_WomenShare*v01_BaseFertility*INDEX(v01_FertMult,G1585)*Arch_Fertility*(1-P1585)</x:f>
        <x:v>0</x:v>
      </x:c>
      <x:c r="S1585" s="9" t="n">
        <x:f>H1585*Y1584*INDEX(v01_MortChild,G1585)/4*Q1585</x:f>
        <x:v>0</x:v>
      </x:c>
      <x:c r="T1585" s="9" t="n">
        <x:f>H1585*Z1584*INDEX(v01_MortAdult,G1585)*Arch_AdultMort/4*Q1585</x:f>
        <x:v>0</x:v>
      </x:c>
      <x:c r="U1585" s="9" t="n">
        <x:f>H1585*AA1584*INDEX(v01_MortElder,G1585)/4*Q1585</x:f>
        <x:v>0</x:v>
      </x:c>
      <x:c r="V1585" s="9" t="n">
        <x:f>H1585*MAX(0,AB1584-O1585)*v01_OvercapLoss</x:f>
        <x:v>0</x:v>
      </x:c>
      <x:c r="W1585" s="9" t="n">
        <x:f>H1585*Y1584/(v01_ChildYears*4)</x:f>
        <x:v>0</x:v>
      </x:c>
      <x:c r="X1585" s="9" t="n">
        <x:f>H1585*Z1584/(v01_AdultYears*4)</x:f>
        <x:v>0</x:v>
      </x:c>
      <x:c r="Y1585" s="32" t="n">
        <x:f>Y1584+R1585-S1585-W1585-Y1584*V1585/AB1584</x:f>
        <x:v>14306.18539759397</x:v>
      </x:c>
      <x:c r="Z1585" s="32" t="n">
        <x:f>Z1584+W1585-X1585-T1585-Z1584*V1585/AB1584</x:f>
        <x:v>19354.456567879548</x:v>
      </x:c>
      <x:c r="AA1585" s="32" t="n">
        <x:f>AA1584+X1585-U1585-AA1584*V1585/AB1584</x:f>
        <x:v>11386.956063258198</x:v>
      </x:c>
      <x:c r="AB1585" s="10" t="n">
        <x:f>Y1585+Z1585+AA1585</x:f>
        <x:v>45047.59802873172</x:v>
      </x:c>
      <x:c r="AC1585" s="8" t="n">
        <x:f>IF(AND(v01_WinterTrigger=1,D1585=1,AB1584/AE1584&gt;=K1585),1,0)</x:f>
        <x:v>0</x:v>
      </x:c>
      <x:c r="AD1585" s="8" t="n">
        <x:f>H1585*IF(AND(OR(AB1584/AE1584&gt;=v01_FissionTrigger*N1585,AC1585=1),AB1584/AE1584*v01_DaughterShare&gt;=v01_MinDaughter),MAX(1,ROUND(AE1584*v01_FissionRate,0)),0)</x:f>
        <x:v>0</x:v>
      </x:c>
      <x:c r="AE1585" s="8" t="n">
        <x:f>IF(H1585=1,MAX(1,MIN(INDEX(v01_Smax,G1585),AE1584+AD1585)),AE1584)</x:f>
        <x:v>15</x:v>
      </x:c>
      <x:c r="AF1585" s="8" t="n">
        <x:f>MAX(0,AE1585-AE1584)</x:f>
        <x:v>0</x:v>
      </x:c>
      <x:c r="AG1585" s="9" t="str">
        <x:f>IF(AF1585&gt;0,B1585,"")</x:f>
      </x:c>
      <x:c r="AH1585" s="9" t="n">
        <x:f>IF(F1585&gt;=1,1,(1+v01_LowTiesShare*(AE1585-1))/AE1585)</x:f>
        <x:v>1</x:v>
      </x:c>
      <x:c r="AI1585" s="32" t="n">
        <x:f>(Z1585+v01_ElderCommons*INDEX(LM_Elder,G1585)*AA1585)*AH1585</x:f>
        <x:v>64139.732591141874</x:v>
      </x:c>
      <x:c r="AJ1585" s="32" t="n">
        <x:f>H1585*v01_CommonsCoef*AI1585^v01_CommonsExp*INDEX(LM_Commons,G1585)</x:f>
        <x:v>0</x:v>
      </x:c>
      <x:c r="AK1585" s="32" t="n">
        <x:f>H1585*v01_RoleScale*Arch_Roles*(AE1585*(INDEX(v01_ElderRolePerSett,G1585)*v01_OutElder*INDEX(LM_Elder,G1585)+INDEX(v01_ShamanPerSett,G1585)*v01_OutShaman)+Z1585*(INDEX(v01_PriestShare,G1585)*v01_OutPriest+INDEX(v01_ScribeShare,G1585)*v01_OutScribe*INDEX(LM_Scribe,G1585)+INDEX(v01_ScholarShare,G1585)*v01_OutScholar*INDEX(LM_Scholar,G1585)+INDEX(v01_ResearcherShare,G1585)*v01_OutResearcher*INDEX(LM_Researcher,G1585)))</x:f>
        <x:v>0</x:v>
      </x:c>
      <x:c r="AL1585" s="32" t="n">
        <x:f>H1585*v01_RoleScale*Arch_Roles*AE1585*INDEX(v01_MonasteryPerSett,G1585)*v01_OutMonastery*INDEX(LM_Monastery,G1585)</x:f>
        <x:v>0</x:v>
      </x:c>
      <x:c r="AM1585" s="32" t="n">
        <x:f>(AJ1585+AK1585+AL1585)/4*INDEX(LM_All,G1585)*INDEX(v01_Boon,G1585)*Arch_Insight</x:f>
        <x:v>0</x:v>
      </x:c>
      <x:c r="AN1585" s="32" t="n">
        <x:f>H1585*(v01_KHPerAdult*Z1585+v01_KHOfCommons*AJ1585/4*INDEX(LM_All,G1585))*v01_KHUsable*Arch_KH</x:f>
        <x:v>0</x:v>
      </x:c>
      <x:c r="AO1585" s="32" t="n">
        <x:f>MIN(AP1584+AN1585,AM1585*v01_KHMaxRatio)</x:f>
        <x:v>0</x:v>
      </x:c>
      <x:c r="AP1585" s="32" t="n">
        <x:f>AP1584+AN1585-AO1585</x:f>
        <x:v>0</x:v>
      </x:c>
      <x:c r="AQ1585" s="32" t="n">
        <x:f>AM1585+AO1585</x:f>
        <x:v>0</x:v>
      </x:c>
      <x:c r="AR1585" s="10" t="n">
        <x:f>IF(H1585=1,INDEX(v01_Req,G1585),0)</x:f>
        <x:v>0</x:v>
      </x:c>
      <x:c r="AS1585" s="32" t="n">
        <x:f>IF(H1585=1,IF(E1585=1,AS1584-AR1584,AS1584)+AQ1585,0)</x:f>
        <x:v>0</x:v>
      </x:c>
      <x:c r="AT1585" s="11" t="n">
        <x:f>IF(AR1585&gt;0,MIN(1,AS1585/AR1585),1)</x:f>
        <x:v>1</x:v>
      </x:c>
      <x:c r="AU1585" s="10" t="n">
        <x:f>AB1585/INDEX(v01_RepScale,G1585)</x:f>
        <x:v>90.09519605746344</x:v>
      </x:c>
      <x:c r="AV1585" s="32" t="n">
        <x:f>AM1585*60/v01_SeasonSeconds</x:f>
        <x:v>0</x:v>
      </x:c>
    </x:row>
    <x:row r="1586">
      <x:c r="A1586" s="8" t="n">
        <x:f>A1585+1</x:f>
        <x:v>1583</x:v>
      </x:c>
      <x:c r="B1586" s="9" t="n">
        <x:f>A1586*v01_SeasonSeconds/60</x:f>
        <x:v>395.75</x:v>
      </x:c>
      <x:c r="C1586" s="9" t="n">
        <x:f>A1586/4</x:f>
        <x:v>395.75</x:v>
      </x:c>
      <x:c r="D1586" s="8" t="n">
        <x:f>IF(MOD(A1586,4)=0,1,0)</x:f>
        <x:v>0</x:v>
      </x:c>
      <x:c r="E1586" s="8" t="n">
        <x:f>IF(AND(F1585&lt;=9,AS1585&gt;=AR1585),1,0)</x:f>
        <x:v>0</x:v>
      </x:c>
      <x:c r="F1586" s="8" t="n">
        <x:f>MIN(10,F1585+E1586)</x:f>
        <x:v>10</x:v>
      </x:c>
      <x:c r="G1586" s="8" t="n">
        <x:f>MIN(F1586,9)+1</x:f>
        <x:v>10</x:v>
      </x:c>
      <x:c r="H1586" s="8" t="n">
        <x:f>IF(F1586&lt;=9,1,0)</x:f>
        <x:v>0</x:v>
      </x:c>
      <x:c r="I1586" s="9" t="n">
        <x:f>MIN(10,F1585+IF(AR1585&gt;0,MIN(1,AS1585/AR1585),1))</x:f>
        <x:v>10</x:v>
      </x:c>
      <x:c r="J1586" s="32" t="n">
        <x:f>INDEX(v01_FoodCap,G1586)*Arch_FoodCap*EXP(v01_CapsByProject*SUMPRODUCT((Cap_Point&lt;=I1586)*(Cap_Kind="Food")*Cap_Ln))</x:f>
        <x:v>12000</x:v>
      </x:c>
      <x:c r="K1586" s="32" t="n">
        <x:f>J1586*MIN(1,v01_LeanBase*EXP(v01_CapsByProject*SUMPRODUCT((Cap_Point&lt;=I1586)*(Cap_Kind="Lean")*Cap_Ln)))</x:f>
        <x:v>12000</x:v>
      </x:c>
      <x:c r="L1586" s="10" t="n">
        <x:f>INDEX(v01_HousingCap,G1586)*EXP(v01_CapsByProject*SUMPRODUCT((Cap_Point&lt;=I1586)*(Cap_Kind="Housing")*Cap_Ln))</x:f>
        <x:v>20000</x:v>
      </x:c>
      <x:c r="M1586" s="10" t="n">
        <x:f>INDEX(v01_GroupCap,G1586)*v01_CohesionFactor*EXP(v01_CapsByProject*SUMPRODUCT((Cap_Point&lt;=I1586)*(Cap_Kind="Group")*Cap_Ln))</x:f>
        <x:v>1000000</x:v>
      </x:c>
      <x:c r="N1586" s="32" t="n">
        <x:f>MIN(J1586,L1586,M1586)</x:f>
        <x:v>12000</x:v>
      </x:c>
      <x:c r="O1586" s="10" t="n">
        <x:f>AE1585*N1586</x:f>
        <x:v>180000</x:v>
      </x:c>
      <x:c r="P1586" s="9" t="n">
        <x:f>MIN(1,(AB1585/(AE1585*IF(v01_GroupInCrowding=1,N1586,MIN(J1586,L1586))))^v01_CrowdingExp)</x:f>
        <x:v>0.00024569414295285325</x:v>
      </x:c>
      <x:c r="Q1586" s="9" t="n">
        <x:f>IF(D1586=1,INDEX(v01_WinterMult,G1586),1)</x:f>
        <x:v>1</x:v>
      </x:c>
      <x:c r="R1586" s="9" t="n">
        <x:f>H1586*Z1585*v01_WomenShare*v01_BaseFertility*INDEX(v01_FertMult,G1586)*Arch_Fertility*(1-P1586)</x:f>
        <x:v>0</x:v>
      </x:c>
      <x:c r="S1586" s="9" t="n">
        <x:f>H1586*Y1585*INDEX(v01_MortChild,G1586)/4*Q1586</x:f>
        <x:v>0</x:v>
      </x:c>
      <x:c r="T1586" s="9" t="n">
        <x:f>H1586*Z1585*INDEX(v01_MortAdult,G1586)*Arch_AdultMort/4*Q1586</x:f>
        <x:v>0</x:v>
      </x:c>
      <x:c r="U1586" s="9" t="n">
        <x:f>H1586*AA1585*INDEX(v01_MortElder,G1586)/4*Q1586</x:f>
        <x:v>0</x:v>
      </x:c>
      <x:c r="V1586" s="9" t="n">
        <x:f>H1586*MAX(0,AB1585-O1586)*v01_OvercapLoss</x:f>
        <x:v>0</x:v>
      </x:c>
      <x:c r="W1586" s="9" t="n">
        <x:f>H1586*Y1585/(v01_ChildYears*4)</x:f>
        <x:v>0</x:v>
      </x:c>
      <x:c r="X1586" s="9" t="n">
        <x:f>H1586*Z1585/(v01_AdultYears*4)</x:f>
        <x:v>0</x:v>
      </x:c>
      <x:c r="Y1586" s="32" t="n">
        <x:f>Y1585+R1586-S1586-W1586-Y1585*V1586/AB1585</x:f>
        <x:v>14306.18539759397</x:v>
      </x:c>
      <x:c r="Z1586" s="32" t="n">
        <x:f>Z1585+W1586-X1586-T1586-Z1585*V1586/AB1585</x:f>
        <x:v>19354.456567879548</x:v>
      </x:c>
      <x:c r="AA1586" s="32" t="n">
        <x:f>AA1585+X1586-U1586-AA1585*V1586/AB1585</x:f>
        <x:v>11386.956063258198</x:v>
      </x:c>
      <x:c r="AB1586" s="10" t="n">
        <x:f>Y1586+Z1586+AA1586</x:f>
        <x:v>45047.59802873172</x:v>
      </x:c>
      <x:c r="AC1586" s="8" t="n">
        <x:f>IF(AND(v01_WinterTrigger=1,D1586=1,AB1585/AE1585&gt;=K1586),1,0)</x:f>
        <x:v>0</x:v>
      </x:c>
      <x:c r="AD1586" s="8" t="n">
        <x:f>H1586*IF(AND(OR(AB1585/AE1585&gt;=v01_FissionTrigger*N1586,AC1586=1),AB1585/AE1585*v01_DaughterShare&gt;=v01_MinDaughter),MAX(1,ROUND(AE1585*v01_FissionRate,0)),0)</x:f>
        <x:v>0</x:v>
      </x:c>
      <x:c r="AE1586" s="8" t="n">
        <x:f>IF(H1586=1,MAX(1,MIN(INDEX(v01_Smax,G1586),AE1585+AD1586)),AE1585)</x:f>
        <x:v>15</x:v>
      </x:c>
      <x:c r="AF1586" s="8" t="n">
        <x:f>MAX(0,AE1586-AE1585)</x:f>
        <x:v>0</x:v>
      </x:c>
      <x:c r="AG1586" s="9" t="str">
        <x:f>IF(AF1586&gt;0,B1586,"")</x:f>
      </x:c>
      <x:c r="AH1586" s="9" t="n">
        <x:f>IF(F1586&gt;=1,1,(1+v01_LowTiesShare*(AE1586-1))/AE1586)</x:f>
        <x:v>1</x:v>
      </x:c>
      <x:c r="AI1586" s="32" t="n">
        <x:f>(Z1586+v01_ElderCommons*INDEX(LM_Elder,G1586)*AA1586)*AH1586</x:f>
        <x:v>64139.732591141874</x:v>
      </x:c>
      <x:c r="AJ1586" s="32" t="n">
        <x:f>H1586*v01_CommonsCoef*AI1586^v01_CommonsExp*INDEX(LM_Commons,G1586)</x:f>
        <x:v>0</x:v>
      </x:c>
      <x:c r="AK1586" s="32" t="n">
        <x:f>H1586*v01_RoleScale*Arch_Roles*(AE1586*(INDEX(v01_ElderRolePerSett,G1586)*v01_OutElder*INDEX(LM_Elder,G1586)+INDEX(v01_ShamanPerSett,G1586)*v01_OutShaman)+Z1586*(INDEX(v01_PriestShare,G1586)*v01_OutPriest+INDEX(v01_ScribeShare,G1586)*v01_OutScribe*INDEX(LM_Scribe,G1586)+INDEX(v01_ScholarShare,G1586)*v01_OutScholar*INDEX(LM_Scholar,G1586)+INDEX(v01_ResearcherShare,G1586)*v01_OutResearcher*INDEX(LM_Researcher,G1586)))</x:f>
        <x:v>0</x:v>
      </x:c>
      <x:c r="AL1586" s="32" t="n">
        <x:f>H1586*v01_RoleScale*Arch_Roles*AE1586*INDEX(v01_MonasteryPerSett,G1586)*v01_OutMonastery*INDEX(LM_Monastery,G1586)</x:f>
        <x:v>0</x:v>
      </x:c>
      <x:c r="AM1586" s="32" t="n">
        <x:f>(AJ1586+AK1586+AL1586)/4*INDEX(LM_All,G1586)*INDEX(v01_Boon,G1586)*Arch_Insight</x:f>
        <x:v>0</x:v>
      </x:c>
      <x:c r="AN1586" s="32" t="n">
        <x:f>H1586*(v01_KHPerAdult*Z1586+v01_KHOfCommons*AJ1586/4*INDEX(LM_All,G1586))*v01_KHUsable*Arch_KH</x:f>
        <x:v>0</x:v>
      </x:c>
      <x:c r="AO1586" s="32" t="n">
        <x:f>MIN(AP1585+AN1586,AM1586*v01_KHMaxRatio)</x:f>
        <x:v>0</x:v>
      </x:c>
      <x:c r="AP1586" s="32" t="n">
        <x:f>AP1585+AN1586-AO1586</x:f>
        <x:v>0</x:v>
      </x:c>
      <x:c r="AQ1586" s="32" t="n">
        <x:f>AM1586+AO1586</x:f>
        <x:v>0</x:v>
      </x:c>
      <x:c r="AR1586" s="10" t="n">
        <x:f>IF(H1586=1,INDEX(v01_Req,G1586),0)</x:f>
        <x:v>0</x:v>
      </x:c>
      <x:c r="AS1586" s="32" t="n">
        <x:f>IF(H1586=1,IF(E1586=1,AS1585-AR1585,AS1585)+AQ1586,0)</x:f>
        <x:v>0</x:v>
      </x:c>
      <x:c r="AT1586" s="11" t="n">
        <x:f>IF(AR1586&gt;0,MIN(1,AS1586/AR1586),1)</x:f>
        <x:v>1</x:v>
      </x:c>
      <x:c r="AU1586" s="10" t="n">
        <x:f>AB1586/INDEX(v01_RepScale,G1586)</x:f>
        <x:v>90.09519605746344</x:v>
      </x:c>
      <x:c r="AV1586" s="32" t="n">
        <x:f>AM1586*60/v01_SeasonSeconds</x:f>
        <x:v>0</x:v>
      </x:c>
    </x:row>
    <x:row r="1587">
      <x:c r="A1587" s="8" t="n">
        <x:f>A1586+1</x:f>
        <x:v>1584</x:v>
      </x:c>
      <x:c r="B1587" s="9" t="n">
        <x:f>A1587*v01_SeasonSeconds/60</x:f>
        <x:v>396</x:v>
      </x:c>
      <x:c r="C1587" s="9" t="n">
        <x:f>A1587/4</x:f>
        <x:v>396</x:v>
      </x:c>
      <x:c r="D1587" s="8" t="n">
        <x:f>IF(MOD(A1587,4)=0,1,0)</x:f>
        <x:v>1</x:v>
      </x:c>
      <x:c r="E1587" s="8" t="n">
        <x:f>IF(AND(F1586&lt;=9,AS1586&gt;=AR1586),1,0)</x:f>
        <x:v>0</x:v>
      </x:c>
      <x:c r="F1587" s="8" t="n">
        <x:f>MIN(10,F1586+E1587)</x:f>
        <x:v>10</x:v>
      </x:c>
      <x:c r="G1587" s="8" t="n">
        <x:f>MIN(F1587,9)+1</x:f>
        <x:v>10</x:v>
      </x:c>
      <x:c r="H1587" s="8" t="n">
        <x:f>IF(F1587&lt;=9,1,0)</x:f>
        <x:v>0</x:v>
      </x:c>
      <x:c r="I1587" s="9" t="n">
        <x:f>MIN(10,F1586+IF(AR1586&gt;0,MIN(1,AS1586/AR1586),1))</x:f>
        <x:v>10</x:v>
      </x:c>
      <x:c r="J1587" s="32" t="n">
        <x:f>INDEX(v01_FoodCap,G1587)*Arch_FoodCap*EXP(v01_CapsByProject*SUMPRODUCT((Cap_Point&lt;=I1587)*(Cap_Kind="Food")*Cap_Ln))</x:f>
        <x:v>12000</x:v>
      </x:c>
      <x:c r="K1587" s="32" t="n">
        <x:f>J1587*MIN(1,v01_LeanBase*EXP(v01_CapsByProject*SUMPRODUCT((Cap_Point&lt;=I1587)*(Cap_Kind="Lean")*Cap_Ln)))</x:f>
        <x:v>12000</x:v>
      </x:c>
      <x:c r="L1587" s="10" t="n">
        <x:f>INDEX(v01_HousingCap,G1587)*EXP(v01_CapsByProject*SUMPRODUCT((Cap_Point&lt;=I1587)*(Cap_Kind="Housing")*Cap_Ln))</x:f>
        <x:v>20000</x:v>
      </x:c>
      <x:c r="M1587" s="10" t="n">
        <x:f>INDEX(v01_GroupCap,G1587)*v01_CohesionFactor*EXP(v01_CapsByProject*SUMPRODUCT((Cap_Point&lt;=I1587)*(Cap_Kind="Group")*Cap_Ln))</x:f>
        <x:v>1000000</x:v>
      </x:c>
      <x:c r="N1587" s="32" t="n">
        <x:f>MIN(J1587,L1587,M1587)</x:f>
        <x:v>12000</x:v>
      </x:c>
      <x:c r="O1587" s="10" t="n">
        <x:f>AE1586*N1587</x:f>
        <x:v>180000</x:v>
      </x:c>
      <x:c r="P1587" s="9" t="n">
        <x:f>MIN(1,(AB1586/(AE1586*IF(v01_GroupInCrowding=1,N1587,MIN(J1587,L1587))))^v01_CrowdingExp)</x:f>
        <x:v>0.00024569414295285325</x:v>
      </x:c>
      <x:c r="Q1587" s="9" t="n">
        <x:f>IF(D1587=1,INDEX(v01_WinterMult,G1587),1)</x:f>
        <x:v>1</x:v>
      </x:c>
      <x:c r="R1587" s="9" t="n">
        <x:f>H1587*Z1586*v01_WomenShare*v01_BaseFertility*INDEX(v01_FertMult,G1587)*Arch_Fertility*(1-P1587)</x:f>
        <x:v>0</x:v>
      </x:c>
      <x:c r="S1587" s="9" t="n">
        <x:f>H1587*Y1586*INDEX(v01_MortChild,G1587)/4*Q1587</x:f>
        <x:v>0</x:v>
      </x:c>
      <x:c r="T1587" s="9" t="n">
        <x:f>H1587*Z1586*INDEX(v01_MortAdult,G1587)*Arch_AdultMort/4*Q1587</x:f>
        <x:v>0</x:v>
      </x:c>
      <x:c r="U1587" s="9" t="n">
        <x:f>H1587*AA1586*INDEX(v01_MortElder,G1587)/4*Q1587</x:f>
        <x:v>0</x:v>
      </x:c>
      <x:c r="V1587" s="9" t="n">
        <x:f>H1587*MAX(0,AB1586-O1587)*v01_OvercapLoss</x:f>
        <x:v>0</x:v>
      </x:c>
      <x:c r="W1587" s="9" t="n">
        <x:f>H1587*Y1586/(v01_ChildYears*4)</x:f>
        <x:v>0</x:v>
      </x:c>
      <x:c r="X1587" s="9" t="n">
        <x:f>H1587*Z1586/(v01_AdultYears*4)</x:f>
        <x:v>0</x:v>
      </x:c>
      <x:c r="Y1587" s="32" t="n">
        <x:f>Y1586+R1587-S1587-W1587-Y1586*V1587/AB1586</x:f>
        <x:v>14306.18539759397</x:v>
      </x:c>
      <x:c r="Z1587" s="32" t="n">
        <x:f>Z1586+W1587-X1587-T1587-Z1586*V1587/AB1586</x:f>
        <x:v>19354.456567879548</x:v>
      </x:c>
      <x:c r="AA1587" s="32" t="n">
        <x:f>AA1586+X1587-U1587-AA1586*V1587/AB1586</x:f>
        <x:v>11386.956063258198</x:v>
      </x:c>
      <x:c r="AB1587" s="10" t="n">
        <x:f>Y1587+Z1587+AA1587</x:f>
        <x:v>45047.59802873172</x:v>
      </x:c>
      <x:c r="AC1587" s="8" t="n">
        <x:f>IF(AND(v01_WinterTrigger=1,D1587=1,AB1586/AE1586&gt;=K1587),1,0)</x:f>
        <x:v>0</x:v>
      </x:c>
      <x:c r="AD1587" s="8" t="n">
        <x:f>H1587*IF(AND(OR(AB1586/AE1586&gt;=v01_FissionTrigger*N1587,AC1587=1),AB1586/AE1586*v01_DaughterShare&gt;=v01_MinDaughter),MAX(1,ROUND(AE1586*v01_FissionRate,0)),0)</x:f>
        <x:v>0</x:v>
      </x:c>
      <x:c r="AE1587" s="8" t="n">
        <x:f>IF(H1587=1,MAX(1,MIN(INDEX(v01_Smax,G1587),AE1586+AD1587)),AE1586)</x:f>
        <x:v>15</x:v>
      </x:c>
      <x:c r="AF1587" s="8" t="n">
        <x:f>MAX(0,AE1587-AE1586)</x:f>
        <x:v>0</x:v>
      </x:c>
      <x:c r="AG1587" s="9" t="str">
        <x:f>IF(AF1587&gt;0,B1587,"")</x:f>
      </x:c>
      <x:c r="AH1587" s="9" t="n">
        <x:f>IF(F1587&gt;=1,1,(1+v01_LowTiesShare*(AE1587-1))/AE1587)</x:f>
        <x:v>1</x:v>
      </x:c>
      <x:c r="AI1587" s="32" t="n">
        <x:f>(Z1587+v01_ElderCommons*INDEX(LM_Elder,G1587)*AA1587)*AH1587</x:f>
        <x:v>64139.732591141874</x:v>
      </x:c>
      <x:c r="AJ1587" s="32" t="n">
        <x:f>H1587*v01_CommonsCoef*AI1587^v01_CommonsExp*INDEX(LM_Commons,G1587)</x:f>
        <x:v>0</x:v>
      </x:c>
      <x:c r="AK1587" s="32" t="n">
        <x:f>H1587*v01_RoleScale*Arch_Roles*(AE1587*(INDEX(v01_ElderRolePerSett,G1587)*v01_OutElder*INDEX(LM_Elder,G1587)+INDEX(v01_ShamanPerSett,G1587)*v01_OutShaman)+Z1587*(INDEX(v01_PriestShare,G1587)*v01_OutPriest+INDEX(v01_ScribeShare,G1587)*v01_OutScribe*INDEX(LM_Scribe,G1587)+INDEX(v01_ScholarShare,G1587)*v01_OutScholar*INDEX(LM_Scholar,G1587)+INDEX(v01_ResearcherShare,G1587)*v01_OutResearcher*INDEX(LM_Researcher,G1587)))</x:f>
        <x:v>0</x:v>
      </x:c>
      <x:c r="AL1587" s="32" t="n">
        <x:f>H1587*v01_RoleScale*Arch_Roles*AE1587*INDEX(v01_MonasteryPerSett,G1587)*v01_OutMonastery*INDEX(LM_Monastery,G1587)</x:f>
        <x:v>0</x:v>
      </x:c>
      <x:c r="AM1587" s="32" t="n">
        <x:f>(AJ1587+AK1587+AL1587)/4*INDEX(LM_All,G1587)*INDEX(v01_Boon,G1587)*Arch_Insight</x:f>
        <x:v>0</x:v>
      </x:c>
      <x:c r="AN1587" s="32" t="n">
        <x:f>H1587*(v01_KHPerAdult*Z1587+v01_KHOfCommons*AJ1587/4*INDEX(LM_All,G1587))*v01_KHUsable*Arch_KH</x:f>
        <x:v>0</x:v>
      </x:c>
      <x:c r="AO1587" s="32" t="n">
        <x:f>MIN(AP1586+AN1587,AM1587*v01_KHMaxRatio)</x:f>
        <x:v>0</x:v>
      </x:c>
      <x:c r="AP1587" s="32" t="n">
        <x:f>AP1586+AN1587-AO1587</x:f>
        <x:v>0</x:v>
      </x:c>
      <x:c r="AQ1587" s="32" t="n">
        <x:f>AM1587+AO1587</x:f>
        <x:v>0</x:v>
      </x:c>
      <x:c r="AR1587" s="10" t="n">
        <x:f>IF(H1587=1,INDEX(v01_Req,G1587),0)</x:f>
        <x:v>0</x:v>
      </x:c>
      <x:c r="AS1587" s="32" t="n">
        <x:f>IF(H1587=1,IF(E1587=1,AS1586-AR1586,AS1586)+AQ1587,0)</x:f>
        <x:v>0</x:v>
      </x:c>
      <x:c r="AT1587" s="11" t="n">
        <x:f>IF(AR1587&gt;0,MIN(1,AS1587/AR1587),1)</x:f>
        <x:v>1</x:v>
      </x:c>
      <x:c r="AU1587" s="10" t="n">
        <x:f>AB1587/INDEX(v01_RepScale,G1587)</x:f>
        <x:v>90.09519605746344</x:v>
      </x:c>
      <x:c r="AV1587" s="32" t="n">
        <x:f>AM1587*60/v01_SeasonSeconds</x:f>
        <x:v>0</x:v>
      </x:c>
    </x:row>
    <x:row r="1588">
      <x:c r="A1588" s="8" t="n">
        <x:f>A1587+1</x:f>
        <x:v>1585</x:v>
      </x:c>
      <x:c r="B1588" s="9" t="n">
        <x:f>A1588*v01_SeasonSeconds/60</x:f>
        <x:v>396.25</x:v>
      </x:c>
      <x:c r="C1588" s="9" t="n">
        <x:f>A1588/4</x:f>
        <x:v>396.25</x:v>
      </x:c>
      <x:c r="D1588" s="8" t="n">
        <x:f>IF(MOD(A1588,4)=0,1,0)</x:f>
        <x:v>0</x:v>
      </x:c>
      <x:c r="E1588" s="8" t="n">
        <x:f>IF(AND(F1587&lt;=9,AS1587&gt;=AR1587),1,0)</x:f>
        <x:v>0</x:v>
      </x:c>
      <x:c r="F1588" s="8" t="n">
        <x:f>MIN(10,F1587+E1588)</x:f>
        <x:v>10</x:v>
      </x:c>
      <x:c r="G1588" s="8" t="n">
        <x:f>MIN(F1588,9)+1</x:f>
        <x:v>10</x:v>
      </x:c>
      <x:c r="H1588" s="8" t="n">
        <x:f>IF(F1588&lt;=9,1,0)</x:f>
        <x:v>0</x:v>
      </x:c>
      <x:c r="I1588" s="9" t="n">
        <x:f>MIN(10,F1587+IF(AR1587&gt;0,MIN(1,AS1587/AR1587),1))</x:f>
        <x:v>10</x:v>
      </x:c>
      <x:c r="J1588" s="32" t="n">
        <x:f>INDEX(v01_FoodCap,G1588)*Arch_FoodCap*EXP(v01_CapsByProject*SUMPRODUCT((Cap_Point&lt;=I1588)*(Cap_Kind="Food")*Cap_Ln))</x:f>
        <x:v>12000</x:v>
      </x:c>
      <x:c r="K1588" s="32" t="n">
        <x:f>J1588*MIN(1,v01_LeanBase*EXP(v01_CapsByProject*SUMPRODUCT((Cap_Point&lt;=I1588)*(Cap_Kind="Lean")*Cap_Ln)))</x:f>
        <x:v>12000</x:v>
      </x:c>
      <x:c r="L1588" s="10" t="n">
        <x:f>INDEX(v01_HousingCap,G1588)*EXP(v01_CapsByProject*SUMPRODUCT((Cap_Point&lt;=I1588)*(Cap_Kind="Housing")*Cap_Ln))</x:f>
        <x:v>20000</x:v>
      </x:c>
      <x:c r="M1588" s="10" t="n">
        <x:f>INDEX(v01_GroupCap,G1588)*v01_CohesionFactor*EXP(v01_CapsByProject*SUMPRODUCT((Cap_Point&lt;=I1588)*(Cap_Kind="Group")*Cap_Ln))</x:f>
        <x:v>1000000</x:v>
      </x:c>
      <x:c r="N1588" s="32" t="n">
        <x:f>MIN(J1588,L1588,M1588)</x:f>
        <x:v>12000</x:v>
      </x:c>
      <x:c r="O1588" s="10" t="n">
        <x:f>AE1587*N1588</x:f>
        <x:v>180000</x:v>
      </x:c>
      <x:c r="P1588" s="9" t="n">
        <x:f>MIN(1,(AB1587/(AE1587*IF(v01_GroupInCrowding=1,N1588,MIN(J1588,L1588))))^v01_CrowdingExp)</x:f>
        <x:v>0.00024569414295285325</x:v>
      </x:c>
      <x:c r="Q1588" s="9" t="n">
        <x:f>IF(D1588=1,INDEX(v01_WinterMult,G1588),1)</x:f>
        <x:v>1</x:v>
      </x:c>
      <x:c r="R1588" s="9" t="n">
        <x:f>H1588*Z1587*v01_WomenShare*v01_BaseFertility*INDEX(v01_FertMult,G1588)*Arch_Fertility*(1-P1588)</x:f>
        <x:v>0</x:v>
      </x:c>
      <x:c r="S1588" s="9" t="n">
        <x:f>H1588*Y1587*INDEX(v01_MortChild,G1588)/4*Q1588</x:f>
        <x:v>0</x:v>
      </x:c>
      <x:c r="T1588" s="9" t="n">
        <x:f>H1588*Z1587*INDEX(v01_MortAdult,G1588)*Arch_AdultMort/4*Q1588</x:f>
        <x:v>0</x:v>
      </x:c>
      <x:c r="U1588" s="9" t="n">
        <x:f>H1588*AA1587*INDEX(v01_MortElder,G1588)/4*Q1588</x:f>
        <x:v>0</x:v>
      </x:c>
      <x:c r="V1588" s="9" t="n">
        <x:f>H1588*MAX(0,AB1587-O1588)*v01_OvercapLoss</x:f>
        <x:v>0</x:v>
      </x:c>
      <x:c r="W1588" s="9" t="n">
        <x:f>H1588*Y1587/(v01_ChildYears*4)</x:f>
        <x:v>0</x:v>
      </x:c>
      <x:c r="X1588" s="9" t="n">
        <x:f>H1588*Z1587/(v01_AdultYears*4)</x:f>
        <x:v>0</x:v>
      </x:c>
      <x:c r="Y1588" s="32" t="n">
        <x:f>Y1587+R1588-S1588-W1588-Y1587*V1588/AB1587</x:f>
        <x:v>14306.18539759397</x:v>
      </x:c>
      <x:c r="Z1588" s="32" t="n">
        <x:f>Z1587+W1588-X1588-T1588-Z1587*V1588/AB1587</x:f>
        <x:v>19354.456567879548</x:v>
      </x:c>
      <x:c r="AA1588" s="32" t="n">
        <x:f>AA1587+X1588-U1588-AA1587*V1588/AB1587</x:f>
        <x:v>11386.956063258198</x:v>
      </x:c>
      <x:c r="AB1588" s="10" t="n">
        <x:f>Y1588+Z1588+AA1588</x:f>
        <x:v>45047.59802873172</x:v>
      </x:c>
      <x:c r="AC1588" s="8" t="n">
        <x:f>IF(AND(v01_WinterTrigger=1,D1588=1,AB1587/AE1587&gt;=K1588),1,0)</x:f>
        <x:v>0</x:v>
      </x:c>
      <x:c r="AD1588" s="8" t="n">
        <x:f>H1588*IF(AND(OR(AB1587/AE1587&gt;=v01_FissionTrigger*N1588,AC1588=1),AB1587/AE1587*v01_DaughterShare&gt;=v01_MinDaughter),MAX(1,ROUND(AE1587*v01_FissionRate,0)),0)</x:f>
        <x:v>0</x:v>
      </x:c>
      <x:c r="AE1588" s="8" t="n">
        <x:f>IF(H1588=1,MAX(1,MIN(INDEX(v01_Smax,G1588),AE1587+AD1588)),AE1587)</x:f>
        <x:v>15</x:v>
      </x:c>
      <x:c r="AF1588" s="8" t="n">
        <x:f>MAX(0,AE1588-AE1587)</x:f>
        <x:v>0</x:v>
      </x:c>
      <x:c r="AG1588" s="9" t="str">
        <x:f>IF(AF1588&gt;0,B1588,"")</x:f>
      </x:c>
      <x:c r="AH1588" s="9" t="n">
        <x:f>IF(F1588&gt;=1,1,(1+v01_LowTiesShare*(AE1588-1))/AE1588)</x:f>
        <x:v>1</x:v>
      </x:c>
      <x:c r="AI1588" s="32" t="n">
        <x:f>(Z1588+v01_ElderCommons*INDEX(LM_Elder,G1588)*AA1588)*AH1588</x:f>
        <x:v>64139.732591141874</x:v>
      </x:c>
      <x:c r="AJ1588" s="32" t="n">
        <x:f>H1588*v01_CommonsCoef*AI1588^v01_CommonsExp*INDEX(LM_Commons,G1588)</x:f>
        <x:v>0</x:v>
      </x:c>
      <x:c r="AK1588" s="32" t="n">
        <x:f>H1588*v01_RoleScale*Arch_Roles*(AE1588*(INDEX(v01_ElderRolePerSett,G1588)*v01_OutElder*INDEX(LM_Elder,G1588)+INDEX(v01_ShamanPerSett,G1588)*v01_OutShaman)+Z1588*(INDEX(v01_PriestShare,G1588)*v01_OutPriest+INDEX(v01_ScribeShare,G1588)*v01_OutScribe*INDEX(LM_Scribe,G1588)+INDEX(v01_ScholarShare,G1588)*v01_OutScholar*INDEX(LM_Scholar,G1588)+INDEX(v01_ResearcherShare,G1588)*v01_OutResearcher*INDEX(LM_Researcher,G1588)))</x:f>
        <x:v>0</x:v>
      </x:c>
      <x:c r="AL1588" s="32" t="n">
        <x:f>H1588*v01_RoleScale*Arch_Roles*AE1588*INDEX(v01_MonasteryPerSett,G1588)*v01_OutMonastery*INDEX(LM_Monastery,G1588)</x:f>
        <x:v>0</x:v>
      </x:c>
      <x:c r="AM1588" s="32" t="n">
        <x:f>(AJ1588+AK1588+AL1588)/4*INDEX(LM_All,G1588)*INDEX(v01_Boon,G1588)*Arch_Insight</x:f>
        <x:v>0</x:v>
      </x:c>
      <x:c r="AN1588" s="32" t="n">
        <x:f>H1588*(v01_KHPerAdult*Z1588+v01_KHOfCommons*AJ1588/4*INDEX(LM_All,G1588))*v01_KHUsable*Arch_KH</x:f>
        <x:v>0</x:v>
      </x:c>
      <x:c r="AO1588" s="32" t="n">
        <x:f>MIN(AP1587+AN1588,AM1588*v01_KHMaxRatio)</x:f>
        <x:v>0</x:v>
      </x:c>
      <x:c r="AP1588" s="32" t="n">
        <x:f>AP1587+AN1588-AO1588</x:f>
        <x:v>0</x:v>
      </x:c>
      <x:c r="AQ1588" s="32" t="n">
        <x:f>AM1588+AO1588</x:f>
        <x:v>0</x:v>
      </x:c>
      <x:c r="AR1588" s="10" t="n">
        <x:f>IF(H1588=1,INDEX(v01_Req,G1588),0)</x:f>
        <x:v>0</x:v>
      </x:c>
      <x:c r="AS1588" s="32" t="n">
        <x:f>IF(H1588=1,IF(E1588=1,AS1587-AR1587,AS1587)+AQ1588,0)</x:f>
        <x:v>0</x:v>
      </x:c>
      <x:c r="AT1588" s="11" t="n">
        <x:f>IF(AR1588&gt;0,MIN(1,AS1588/AR1588),1)</x:f>
        <x:v>1</x:v>
      </x:c>
      <x:c r="AU1588" s="10" t="n">
        <x:f>AB1588/INDEX(v01_RepScale,G1588)</x:f>
        <x:v>90.09519605746344</x:v>
      </x:c>
      <x:c r="AV1588" s="32" t="n">
        <x:f>AM1588*60/v01_SeasonSeconds</x:f>
        <x:v>0</x:v>
      </x:c>
    </x:row>
    <x:row r="1589">
      <x:c r="A1589" s="8" t="n">
        <x:f>A1588+1</x:f>
        <x:v>1586</x:v>
      </x:c>
      <x:c r="B1589" s="9" t="n">
        <x:f>A1589*v01_SeasonSeconds/60</x:f>
        <x:v>396.5</x:v>
      </x:c>
      <x:c r="C1589" s="9" t="n">
        <x:f>A1589/4</x:f>
        <x:v>396.5</x:v>
      </x:c>
      <x:c r="D1589" s="8" t="n">
        <x:f>IF(MOD(A1589,4)=0,1,0)</x:f>
        <x:v>0</x:v>
      </x:c>
      <x:c r="E1589" s="8" t="n">
        <x:f>IF(AND(F1588&lt;=9,AS1588&gt;=AR1588),1,0)</x:f>
        <x:v>0</x:v>
      </x:c>
      <x:c r="F1589" s="8" t="n">
        <x:f>MIN(10,F1588+E1589)</x:f>
        <x:v>10</x:v>
      </x:c>
      <x:c r="G1589" s="8" t="n">
        <x:f>MIN(F1589,9)+1</x:f>
        <x:v>10</x:v>
      </x:c>
      <x:c r="H1589" s="8" t="n">
        <x:f>IF(F1589&lt;=9,1,0)</x:f>
        <x:v>0</x:v>
      </x:c>
      <x:c r="I1589" s="9" t="n">
        <x:f>MIN(10,F1588+IF(AR1588&gt;0,MIN(1,AS1588/AR1588),1))</x:f>
        <x:v>10</x:v>
      </x:c>
      <x:c r="J1589" s="32" t="n">
        <x:f>INDEX(v01_FoodCap,G1589)*Arch_FoodCap*EXP(v01_CapsByProject*SUMPRODUCT((Cap_Point&lt;=I1589)*(Cap_Kind="Food")*Cap_Ln))</x:f>
        <x:v>12000</x:v>
      </x:c>
      <x:c r="K1589" s="32" t="n">
        <x:f>J1589*MIN(1,v01_LeanBase*EXP(v01_CapsByProject*SUMPRODUCT((Cap_Point&lt;=I1589)*(Cap_Kind="Lean")*Cap_Ln)))</x:f>
        <x:v>12000</x:v>
      </x:c>
      <x:c r="L1589" s="10" t="n">
        <x:f>INDEX(v01_HousingCap,G1589)*EXP(v01_CapsByProject*SUMPRODUCT((Cap_Point&lt;=I1589)*(Cap_Kind="Housing")*Cap_Ln))</x:f>
        <x:v>20000</x:v>
      </x:c>
      <x:c r="M1589" s="10" t="n">
        <x:f>INDEX(v01_GroupCap,G1589)*v01_CohesionFactor*EXP(v01_CapsByProject*SUMPRODUCT((Cap_Point&lt;=I1589)*(Cap_Kind="Group")*Cap_Ln))</x:f>
        <x:v>1000000</x:v>
      </x:c>
      <x:c r="N1589" s="32" t="n">
        <x:f>MIN(J1589,L1589,M1589)</x:f>
        <x:v>12000</x:v>
      </x:c>
      <x:c r="O1589" s="10" t="n">
        <x:f>AE1588*N1589</x:f>
        <x:v>180000</x:v>
      </x:c>
      <x:c r="P1589" s="9" t="n">
        <x:f>MIN(1,(AB1588/(AE1588*IF(v01_GroupInCrowding=1,N1589,MIN(J1589,L1589))))^v01_CrowdingExp)</x:f>
        <x:v>0.00024569414295285325</x:v>
      </x:c>
      <x:c r="Q1589" s="9" t="n">
        <x:f>IF(D1589=1,INDEX(v01_WinterMult,G1589),1)</x:f>
        <x:v>1</x:v>
      </x:c>
      <x:c r="R1589" s="9" t="n">
        <x:f>H1589*Z1588*v01_WomenShare*v01_BaseFertility*INDEX(v01_FertMult,G1589)*Arch_Fertility*(1-P1589)</x:f>
        <x:v>0</x:v>
      </x:c>
      <x:c r="S1589" s="9" t="n">
        <x:f>H1589*Y1588*INDEX(v01_MortChild,G1589)/4*Q1589</x:f>
        <x:v>0</x:v>
      </x:c>
      <x:c r="T1589" s="9" t="n">
        <x:f>H1589*Z1588*INDEX(v01_MortAdult,G1589)*Arch_AdultMort/4*Q1589</x:f>
        <x:v>0</x:v>
      </x:c>
      <x:c r="U1589" s="9" t="n">
        <x:f>H1589*AA1588*INDEX(v01_MortElder,G1589)/4*Q1589</x:f>
        <x:v>0</x:v>
      </x:c>
      <x:c r="V1589" s="9" t="n">
        <x:f>H1589*MAX(0,AB1588-O1589)*v01_OvercapLoss</x:f>
        <x:v>0</x:v>
      </x:c>
      <x:c r="W1589" s="9" t="n">
        <x:f>H1589*Y1588/(v01_ChildYears*4)</x:f>
        <x:v>0</x:v>
      </x:c>
      <x:c r="X1589" s="9" t="n">
        <x:f>H1589*Z1588/(v01_AdultYears*4)</x:f>
        <x:v>0</x:v>
      </x:c>
      <x:c r="Y1589" s="32" t="n">
        <x:f>Y1588+R1589-S1589-W1589-Y1588*V1589/AB1588</x:f>
        <x:v>14306.18539759397</x:v>
      </x:c>
      <x:c r="Z1589" s="32" t="n">
        <x:f>Z1588+W1589-X1589-T1589-Z1588*V1589/AB1588</x:f>
        <x:v>19354.456567879548</x:v>
      </x:c>
      <x:c r="AA1589" s="32" t="n">
        <x:f>AA1588+X1589-U1589-AA1588*V1589/AB1588</x:f>
        <x:v>11386.956063258198</x:v>
      </x:c>
      <x:c r="AB1589" s="10" t="n">
        <x:f>Y1589+Z1589+AA1589</x:f>
        <x:v>45047.59802873172</x:v>
      </x:c>
      <x:c r="AC1589" s="8" t="n">
        <x:f>IF(AND(v01_WinterTrigger=1,D1589=1,AB1588/AE1588&gt;=K1589),1,0)</x:f>
        <x:v>0</x:v>
      </x:c>
      <x:c r="AD1589" s="8" t="n">
        <x:f>H1589*IF(AND(OR(AB1588/AE1588&gt;=v01_FissionTrigger*N1589,AC1589=1),AB1588/AE1588*v01_DaughterShare&gt;=v01_MinDaughter),MAX(1,ROUND(AE1588*v01_FissionRate,0)),0)</x:f>
        <x:v>0</x:v>
      </x:c>
      <x:c r="AE1589" s="8" t="n">
        <x:f>IF(H1589=1,MAX(1,MIN(INDEX(v01_Smax,G1589),AE1588+AD1589)),AE1588)</x:f>
        <x:v>15</x:v>
      </x:c>
      <x:c r="AF1589" s="8" t="n">
        <x:f>MAX(0,AE1589-AE1588)</x:f>
        <x:v>0</x:v>
      </x:c>
      <x:c r="AG1589" s="9" t="str">
        <x:f>IF(AF1589&gt;0,B1589,"")</x:f>
      </x:c>
      <x:c r="AH1589" s="9" t="n">
        <x:f>IF(F1589&gt;=1,1,(1+v01_LowTiesShare*(AE1589-1))/AE1589)</x:f>
        <x:v>1</x:v>
      </x:c>
      <x:c r="AI1589" s="32" t="n">
        <x:f>(Z1589+v01_ElderCommons*INDEX(LM_Elder,G1589)*AA1589)*AH1589</x:f>
        <x:v>64139.732591141874</x:v>
      </x:c>
      <x:c r="AJ1589" s="32" t="n">
        <x:f>H1589*v01_CommonsCoef*AI1589^v01_CommonsExp*INDEX(LM_Commons,G1589)</x:f>
        <x:v>0</x:v>
      </x:c>
      <x:c r="AK1589" s="32" t="n">
        <x:f>H1589*v01_RoleScale*Arch_Roles*(AE1589*(INDEX(v01_ElderRolePerSett,G1589)*v01_OutElder*INDEX(LM_Elder,G1589)+INDEX(v01_ShamanPerSett,G1589)*v01_OutShaman)+Z1589*(INDEX(v01_PriestShare,G1589)*v01_OutPriest+INDEX(v01_ScribeShare,G1589)*v01_OutScribe*INDEX(LM_Scribe,G1589)+INDEX(v01_ScholarShare,G1589)*v01_OutScholar*INDEX(LM_Scholar,G1589)+INDEX(v01_ResearcherShare,G1589)*v01_OutResearcher*INDEX(LM_Researcher,G1589)))</x:f>
        <x:v>0</x:v>
      </x:c>
      <x:c r="AL1589" s="32" t="n">
        <x:f>H1589*v01_RoleScale*Arch_Roles*AE1589*INDEX(v01_MonasteryPerSett,G1589)*v01_OutMonastery*INDEX(LM_Monastery,G1589)</x:f>
        <x:v>0</x:v>
      </x:c>
      <x:c r="AM1589" s="32" t="n">
        <x:f>(AJ1589+AK1589+AL1589)/4*INDEX(LM_All,G1589)*INDEX(v01_Boon,G1589)*Arch_Insight</x:f>
        <x:v>0</x:v>
      </x:c>
      <x:c r="AN1589" s="32" t="n">
        <x:f>H1589*(v01_KHPerAdult*Z1589+v01_KHOfCommons*AJ1589/4*INDEX(LM_All,G1589))*v01_KHUsable*Arch_KH</x:f>
        <x:v>0</x:v>
      </x:c>
      <x:c r="AO1589" s="32" t="n">
        <x:f>MIN(AP1588+AN1589,AM1589*v01_KHMaxRatio)</x:f>
        <x:v>0</x:v>
      </x:c>
      <x:c r="AP1589" s="32" t="n">
        <x:f>AP1588+AN1589-AO1589</x:f>
        <x:v>0</x:v>
      </x:c>
      <x:c r="AQ1589" s="32" t="n">
        <x:f>AM1589+AO1589</x:f>
        <x:v>0</x:v>
      </x:c>
      <x:c r="AR1589" s="10" t="n">
        <x:f>IF(H1589=1,INDEX(v01_Req,G1589),0)</x:f>
        <x:v>0</x:v>
      </x:c>
      <x:c r="AS1589" s="32" t="n">
        <x:f>IF(H1589=1,IF(E1589=1,AS1588-AR1588,AS1588)+AQ1589,0)</x:f>
        <x:v>0</x:v>
      </x:c>
      <x:c r="AT1589" s="11" t="n">
        <x:f>IF(AR1589&gt;0,MIN(1,AS1589/AR1589),1)</x:f>
        <x:v>1</x:v>
      </x:c>
      <x:c r="AU1589" s="10" t="n">
        <x:f>AB1589/INDEX(v01_RepScale,G1589)</x:f>
        <x:v>90.09519605746344</x:v>
      </x:c>
      <x:c r="AV1589" s="32" t="n">
        <x:f>AM1589*60/v01_SeasonSeconds</x:f>
        <x:v>0</x:v>
      </x:c>
    </x:row>
    <x:row r="1590">
      <x:c r="A1590" s="8" t="n">
        <x:f>A1589+1</x:f>
        <x:v>1587</x:v>
      </x:c>
      <x:c r="B1590" s="9" t="n">
        <x:f>A1590*v01_SeasonSeconds/60</x:f>
        <x:v>396.75</x:v>
      </x:c>
      <x:c r="C1590" s="9" t="n">
        <x:f>A1590/4</x:f>
        <x:v>396.75</x:v>
      </x:c>
      <x:c r="D1590" s="8" t="n">
        <x:f>IF(MOD(A1590,4)=0,1,0)</x:f>
        <x:v>0</x:v>
      </x:c>
      <x:c r="E1590" s="8" t="n">
        <x:f>IF(AND(F1589&lt;=9,AS1589&gt;=AR1589),1,0)</x:f>
        <x:v>0</x:v>
      </x:c>
      <x:c r="F1590" s="8" t="n">
        <x:f>MIN(10,F1589+E1590)</x:f>
        <x:v>10</x:v>
      </x:c>
      <x:c r="G1590" s="8" t="n">
        <x:f>MIN(F1590,9)+1</x:f>
        <x:v>10</x:v>
      </x:c>
      <x:c r="H1590" s="8" t="n">
        <x:f>IF(F1590&lt;=9,1,0)</x:f>
        <x:v>0</x:v>
      </x:c>
      <x:c r="I1590" s="9" t="n">
        <x:f>MIN(10,F1589+IF(AR1589&gt;0,MIN(1,AS1589/AR1589),1))</x:f>
        <x:v>10</x:v>
      </x:c>
      <x:c r="J1590" s="32" t="n">
        <x:f>INDEX(v01_FoodCap,G1590)*Arch_FoodCap*EXP(v01_CapsByProject*SUMPRODUCT((Cap_Point&lt;=I1590)*(Cap_Kind="Food")*Cap_Ln))</x:f>
        <x:v>12000</x:v>
      </x:c>
      <x:c r="K1590" s="32" t="n">
        <x:f>J1590*MIN(1,v01_LeanBase*EXP(v01_CapsByProject*SUMPRODUCT((Cap_Point&lt;=I1590)*(Cap_Kind="Lean")*Cap_Ln)))</x:f>
        <x:v>12000</x:v>
      </x:c>
      <x:c r="L1590" s="10" t="n">
        <x:f>INDEX(v01_HousingCap,G1590)*EXP(v01_CapsByProject*SUMPRODUCT((Cap_Point&lt;=I1590)*(Cap_Kind="Housing")*Cap_Ln))</x:f>
        <x:v>20000</x:v>
      </x:c>
      <x:c r="M1590" s="10" t="n">
        <x:f>INDEX(v01_GroupCap,G1590)*v01_CohesionFactor*EXP(v01_CapsByProject*SUMPRODUCT((Cap_Point&lt;=I1590)*(Cap_Kind="Group")*Cap_Ln))</x:f>
        <x:v>1000000</x:v>
      </x:c>
      <x:c r="N1590" s="32" t="n">
        <x:f>MIN(J1590,L1590,M1590)</x:f>
        <x:v>12000</x:v>
      </x:c>
      <x:c r="O1590" s="10" t="n">
        <x:f>AE1589*N1590</x:f>
        <x:v>180000</x:v>
      </x:c>
      <x:c r="P1590" s="9" t="n">
        <x:f>MIN(1,(AB1589/(AE1589*IF(v01_GroupInCrowding=1,N1590,MIN(J1590,L1590))))^v01_CrowdingExp)</x:f>
        <x:v>0.00024569414295285325</x:v>
      </x:c>
      <x:c r="Q1590" s="9" t="n">
        <x:f>IF(D1590=1,INDEX(v01_WinterMult,G1590),1)</x:f>
        <x:v>1</x:v>
      </x:c>
      <x:c r="R1590" s="9" t="n">
        <x:f>H1590*Z1589*v01_WomenShare*v01_BaseFertility*INDEX(v01_FertMult,G1590)*Arch_Fertility*(1-P1590)</x:f>
        <x:v>0</x:v>
      </x:c>
      <x:c r="S1590" s="9" t="n">
        <x:f>H1590*Y1589*INDEX(v01_MortChild,G1590)/4*Q1590</x:f>
        <x:v>0</x:v>
      </x:c>
      <x:c r="T1590" s="9" t="n">
        <x:f>H1590*Z1589*INDEX(v01_MortAdult,G1590)*Arch_AdultMort/4*Q1590</x:f>
        <x:v>0</x:v>
      </x:c>
      <x:c r="U1590" s="9" t="n">
        <x:f>H1590*AA1589*INDEX(v01_MortElder,G1590)/4*Q1590</x:f>
        <x:v>0</x:v>
      </x:c>
      <x:c r="V1590" s="9" t="n">
        <x:f>H1590*MAX(0,AB1589-O1590)*v01_OvercapLoss</x:f>
        <x:v>0</x:v>
      </x:c>
      <x:c r="W1590" s="9" t="n">
        <x:f>H1590*Y1589/(v01_ChildYears*4)</x:f>
        <x:v>0</x:v>
      </x:c>
      <x:c r="X1590" s="9" t="n">
        <x:f>H1590*Z1589/(v01_AdultYears*4)</x:f>
        <x:v>0</x:v>
      </x:c>
      <x:c r="Y1590" s="32" t="n">
        <x:f>Y1589+R1590-S1590-W1590-Y1589*V1590/AB1589</x:f>
        <x:v>14306.18539759397</x:v>
      </x:c>
      <x:c r="Z1590" s="32" t="n">
        <x:f>Z1589+W1590-X1590-T1590-Z1589*V1590/AB1589</x:f>
        <x:v>19354.456567879548</x:v>
      </x:c>
      <x:c r="AA1590" s="32" t="n">
        <x:f>AA1589+X1590-U1590-AA1589*V1590/AB1589</x:f>
        <x:v>11386.956063258198</x:v>
      </x:c>
      <x:c r="AB1590" s="10" t="n">
        <x:f>Y1590+Z1590+AA1590</x:f>
        <x:v>45047.59802873172</x:v>
      </x:c>
      <x:c r="AC1590" s="8" t="n">
        <x:f>IF(AND(v01_WinterTrigger=1,D1590=1,AB1589/AE1589&gt;=K1590),1,0)</x:f>
        <x:v>0</x:v>
      </x:c>
      <x:c r="AD1590" s="8" t="n">
        <x:f>H1590*IF(AND(OR(AB1589/AE1589&gt;=v01_FissionTrigger*N1590,AC1590=1),AB1589/AE1589*v01_DaughterShare&gt;=v01_MinDaughter),MAX(1,ROUND(AE1589*v01_FissionRate,0)),0)</x:f>
        <x:v>0</x:v>
      </x:c>
      <x:c r="AE1590" s="8" t="n">
        <x:f>IF(H1590=1,MAX(1,MIN(INDEX(v01_Smax,G1590),AE1589+AD1590)),AE1589)</x:f>
        <x:v>15</x:v>
      </x:c>
      <x:c r="AF1590" s="8" t="n">
        <x:f>MAX(0,AE1590-AE1589)</x:f>
        <x:v>0</x:v>
      </x:c>
      <x:c r="AG1590" s="9" t="str">
        <x:f>IF(AF1590&gt;0,B1590,"")</x:f>
      </x:c>
      <x:c r="AH1590" s="9" t="n">
        <x:f>IF(F1590&gt;=1,1,(1+v01_LowTiesShare*(AE1590-1))/AE1590)</x:f>
        <x:v>1</x:v>
      </x:c>
      <x:c r="AI1590" s="32" t="n">
        <x:f>(Z1590+v01_ElderCommons*INDEX(LM_Elder,G1590)*AA1590)*AH1590</x:f>
        <x:v>64139.732591141874</x:v>
      </x:c>
      <x:c r="AJ1590" s="32" t="n">
        <x:f>H1590*v01_CommonsCoef*AI1590^v01_CommonsExp*INDEX(LM_Commons,G1590)</x:f>
        <x:v>0</x:v>
      </x:c>
      <x:c r="AK1590" s="32" t="n">
        <x:f>H1590*v01_RoleScale*Arch_Roles*(AE1590*(INDEX(v01_ElderRolePerSett,G1590)*v01_OutElder*INDEX(LM_Elder,G1590)+INDEX(v01_ShamanPerSett,G1590)*v01_OutShaman)+Z1590*(INDEX(v01_PriestShare,G1590)*v01_OutPriest+INDEX(v01_ScribeShare,G1590)*v01_OutScribe*INDEX(LM_Scribe,G1590)+INDEX(v01_ScholarShare,G1590)*v01_OutScholar*INDEX(LM_Scholar,G1590)+INDEX(v01_ResearcherShare,G1590)*v01_OutResearcher*INDEX(LM_Researcher,G1590)))</x:f>
        <x:v>0</x:v>
      </x:c>
      <x:c r="AL1590" s="32" t="n">
        <x:f>H1590*v01_RoleScale*Arch_Roles*AE1590*INDEX(v01_MonasteryPerSett,G1590)*v01_OutMonastery*INDEX(LM_Monastery,G1590)</x:f>
        <x:v>0</x:v>
      </x:c>
      <x:c r="AM1590" s="32" t="n">
        <x:f>(AJ1590+AK1590+AL1590)/4*INDEX(LM_All,G1590)*INDEX(v01_Boon,G1590)*Arch_Insight</x:f>
        <x:v>0</x:v>
      </x:c>
      <x:c r="AN1590" s="32" t="n">
        <x:f>H1590*(v01_KHPerAdult*Z1590+v01_KHOfCommons*AJ1590/4*INDEX(LM_All,G1590))*v01_KHUsable*Arch_KH</x:f>
        <x:v>0</x:v>
      </x:c>
      <x:c r="AO1590" s="32" t="n">
        <x:f>MIN(AP1589+AN1590,AM1590*v01_KHMaxRatio)</x:f>
        <x:v>0</x:v>
      </x:c>
      <x:c r="AP1590" s="32" t="n">
        <x:f>AP1589+AN1590-AO1590</x:f>
        <x:v>0</x:v>
      </x:c>
      <x:c r="AQ1590" s="32" t="n">
        <x:f>AM1590+AO1590</x:f>
        <x:v>0</x:v>
      </x:c>
      <x:c r="AR1590" s="10" t="n">
        <x:f>IF(H1590=1,INDEX(v01_Req,G1590),0)</x:f>
        <x:v>0</x:v>
      </x:c>
      <x:c r="AS1590" s="32" t="n">
        <x:f>IF(H1590=1,IF(E1590=1,AS1589-AR1589,AS1589)+AQ1590,0)</x:f>
        <x:v>0</x:v>
      </x:c>
      <x:c r="AT1590" s="11" t="n">
        <x:f>IF(AR1590&gt;0,MIN(1,AS1590/AR1590),1)</x:f>
        <x:v>1</x:v>
      </x:c>
      <x:c r="AU1590" s="10" t="n">
        <x:f>AB1590/INDEX(v01_RepScale,G1590)</x:f>
        <x:v>90.09519605746344</x:v>
      </x:c>
      <x:c r="AV1590" s="32" t="n">
        <x:f>AM1590*60/v01_SeasonSeconds</x:f>
        <x:v>0</x:v>
      </x:c>
    </x:row>
    <x:row r="1591">
      <x:c r="A1591" s="8" t="n">
        <x:f>A1590+1</x:f>
        <x:v>1588</x:v>
      </x:c>
      <x:c r="B1591" s="9" t="n">
        <x:f>A1591*v01_SeasonSeconds/60</x:f>
        <x:v>397</x:v>
      </x:c>
      <x:c r="C1591" s="9" t="n">
        <x:f>A1591/4</x:f>
        <x:v>397</x:v>
      </x:c>
      <x:c r="D1591" s="8" t="n">
        <x:f>IF(MOD(A1591,4)=0,1,0)</x:f>
        <x:v>1</x:v>
      </x:c>
      <x:c r="E1591" s="8" t="n">
        <x:f>IF(AND(F1590&lt;=9,AS1590&gt;=AR1590),1,0)</x:f>
        <x:v>0</x:v>
      </x:c>
      <x:c r="F1591" s="8" t="n">
        <x:f>MIN(10,F1590+E1591)</x:f>
        <x:v>10</x:v>
      </x:c>
      <x:c r="G1591" s="8" t="n">
        <x:f>MIN(F1591,9)+1</x:f>
        <x:v>10</x:v>
      </x:c>
      <x:c r="H1591" s="8" t="n">
        <x:f>IF(F1591&lt;=9,1,0)</x:f>
        <x:v>0</x:v>
      </x:c>
      <x:c r="I1591" s="9" t="n">
        <x:f>MIN(10,F1590+IF(AR1590&gt;0,MIN(1,AS1590/AR1590),1))</x:f>
        <x:v>10</x:v>
      </x:c>
      <x:c r="J1591" s="32" t="n">
        <x:f>INDEX(v01_FoodCap,G1591)*Arch_FoodCap*EXP(v01_CapsByProject*SUMPRODUCT((Cap_Point&lt;=I1591)*(Cap_Kind="Food")*Cap_Ln))</x:f>
        <x:v>12000</x:v>
      </x:c>
      <x:c r="K1591" s="32" t="n">
        <x:f>J1591*MIN(1,v01_LeanBase*EXP(v01_CapsByProject*SUMPRODUCT((Cap_Point&lt;=I1591)*(Cap_Kind="Lean")*Cap_Ln)))</x:f>
        <x:v>12000</x:v>
      </x:c>
      <x:c r="L1591" s="10" t="n">
        <x:f>INDEX(v01_HousingCap,G1591)*EXP(v01_CapsByProject*SUMPRODUCT((Cap_Point&lt;=I1591)*(Cap_Kind="Housing")*Cap_Ln))</x:f>
        <x:v>20000</x:v>
      </x:c>
      <x:c r="M1591" s="10" t="n">
        <x:f>INDEX(v01_GroupCap,G1591)*v01_CohesionFactor*EXP(v01_CapsByProject*SUMPRODUCT((Cap_Point&lt;=I1591)*(Cap_Kind="Group")*Cap_Ln))</x:f>
        <x:v>1000000</x:v>
      </x:c>
      <x:c r="N1591" s="32" t="n">
        <x:f>MIN(J1591,L1591,M1591)</x:f>
        <x:v>12000</x:v>
      </x:c>
      <x:c r="O1591" s="10" t="n">
        <x:f>AE1590*N1591</x:f>
        <x:v>180000</x:v>
      </x:c>
      <x:c r="P1591" s="9" t="n">
        <x:f>MIN(1,(AB1590/(AE1590*IF(v01_GroupInCrowding=1,N1591,MIN(J1591,L1591))))^v01_CrowdingExp)</x:f>
        <x:v>0.00024569414295285325</x:v>
      </x:c>
      <x:c r="Q1591" s="9" t="n">
        <x:f>IF(D1591=1,INDEX(v01_WinterMult,G1591),1)</x:f>
        <x:v>1</x:v>
      </x:c>
      <x:c r="R1591" s="9" t="n">
        <x:f>H1591*Z1590*v01_WomenShare*v01_BaseFertility*INDEX(v01_FertMult,G1591)*Arch_Fertility*(1-P1591)</x:f>
        <x:v>0</x:v>
      </x:c>
      <x:c r="S1591" s="9" t="n">
        <x:f>H1591*Y1590*INDEX(v01_MortChild,G1591)/4*Q1591</x:f>
        <x:v>0</x:v>
      </x:c>
      <x:c r="T1591" s="9" t="n">
        <x:f>H1591*Z1590*INDEX(v01_MortAdult,G1591)*Arch_AdultMort/4*Q1591</x:f>
        <x:v>0</x:v>
      </x:c>
      <x:c r="U1591" s="9" t="n">
        <x:f>H1591*AA1590*INDEX(v01_MortElder,G1591)/4*Q1591</x:f>
        <x:v>0</x:v>
      </x:c>
      <x:c r="V1591" s="9" t="n">
        <x:f>H1591*MAX(0,AB1590-O1591)*v01_OvercapLoss</x:f>
        <x:v>0</x:v>
      </x:c>
      <x:c r="W1591" s="9" t="n">
        <x:f>H1591*Y1590/(v01_ChildYears*4)</x:f>
        <x:v>0</x:v>
      </x:c>
      <x:c r="X1591" s="9" t="n">
        <x:f>H1591*Z1590/(v01_AdultYears*4)</x:f>
        <x:v>0</x:v>
      </x:c>
      <x:c r="Y1591" s="32" t="n">
        <x:f>Y1590+R1591-S1591-W1591-Y1590*V1591/AB1590</x:f>
        <x:v>14306.18539759397</x:v>
      </x:c>
      <x:c r="Z1591" s="32" t="n">
        <x:f>Z1590+W1591-X1591-T1591-Z1590*V1591/AB1590</x:f>
        <x:v>19354.456567879548</x:v>
      </x:c>
      <x:c r="AA1591" s="32" t="n">
        <x:f>AA1590+X1591-U1591-AA1590*V1591/AB1590</x:f>
        <x:v>11386.956063258198</x:v>
      </x:c>
      <x:c r="AB1591" s="10" t="n">
        <x:f>Y1591+Z1591+AA1591</x:f>
        <x:v>45047.59802873172</x:v>
      </x:c>
      <x:c r="AC1591" s="8" t="n">
        <x:f>IF(AND(v01_WinterTrigger=1,D1591=1,AB1590/AE1590&gt;=K1591),1,0)</x:f>
        <x:v>0</x:v>
      </x:c>
      <x:c r="AD1591" s="8" t="n">
        <x:f>H1591*IF(AND(OR(AB1590/AE1590&gt;=v01_FissionTrigger*N1591,AC1591=1),AB1590/AE1590*v01_DaughterShare&gt;=v01_MinDaughter),MAX(1,ROUND(AE1590*v01_FissionRate,0)),0)</x:f>
        <x:v>0</x:v>
      </x:c>
      <x:c r="AE1591" s="8" t="n">
        <x:f>IF(H1591=1,MAX(1,MIN(INDEX(v01_Smax,G1591),AE1590+AD1591)),AE1590)</x:f>
        <x:v>15</x:v>
      </x:c>
      <x:c r="AF1591" s="8" t="n">
        <x:f>MAX(0,AE1591-AE1590)</x:f>
        <x:v>0</x:v>
      </x:c>
      <x:c r="AG1591" s="9" t="str">
        <x:f>IF(AF1591&gt;0,B1591,"")</x:f>
      </x:c>
      <x:c r="AH1591" s="9" t="n">
        <x:f>IF(F1591&gt;=1,1,(1+v01_LowTiesShare*(AE1591-1))/AE1591)</x:f>
        <x:v>1</x:v>
      </x:c>
      <x:c r="AI1591" s="32" t="n">
        <x:f>(Z1591+v01_ElderCommons*INDEX(LM_Elder,G1591)*AA1591)*AH1591</x:f>
        <x:v>64139.732591141874</x:v>
      </x:c>
      <x:c r="AJ1591" s="32" t="n">
        <x:f>H1591*v01_CommonsCoef*AI1591^v01_CommonsExp*INDEX(LM_Commons,G1591)</x:f>
        <x:v>0</x:v>
      </x:c>
      <x:c r="AK1591" s="32" t="n">
        <x:f>H1591*v01_RoleScale*Arch_Roles*(AE1591*(INDEX(v01_ElderRolePerSett,G1591)*v01_OutElder*INDEX(LM_Elder,G1591)+INDEX(v01_ShamanPerSett,G1591)*v01_OutShaman)+Z1591*(INDEX(v01_PriestShare,G1591)*v01_OutPriest+INDEX(v01_ScribeShare,G1591)*v01_OutScribe*INDEX(LM_Scribe,G1591)+INDEX(v01_ScholarShare,G1591)*v01_OutScholar*INDEX(LM_Scholar,G1591)+INDEX(v01_ResearcherShare,G1591)*v01_OutResearcher*INDEX(LM_Researcher,G1591)))</x:f>
        <x:v>0</x:v>
      </x:c>
      <x:c r="AL1591" s="32" t="n">
        <x:f>H1591*v01_RoleScale*Arch_Roles*AE1591*INDEX(v01_MonasteryPerSett,G1591)*v01_OutMonastery*INDEX(LM_Monastery,G1591)</x:f>
        <x:v>0</x:v>
      </x:c>
      <x:c r="AM1591" s="32" t="n">
        <x:f>(AJ1591+AK1591+AL1591)/4*INDEX(LM_All,G1591)*INDEX(v01_Boon,G1591)*Arch_Insight</x:f>
        <x:v>0</x:v>
      </x:c>
      <x:c r="AN1591" s="32" t="n">
        <x:f>H1591*(v01_KHPerAdult*Z1591+v01_KHOfCommons*AJ1591/4*INDEX(LM_All,G1591))*v01_KHUsable*Arch_KH</x:f>
        <x:v>0</x:v>
      </x:c>
      <x:c r="AO1591" s="32" t="n">
        <x:f>MIN(AP1590+AN1591,AM1591*v01_KHMaxRatio)</x:f>
        <x:v>0</x:v>
      </x:c>
      <x:c r="AP1591" s="32" t="n">
        <x:f>AP1590+AN1591-AO1591</x:f>
        <x:v>0</x:v>
      </x:c>
      <x:c r="AQ1591" s="32" t="n">
        <x:f>AM1591+AO1591</x:f>
        <x:v>0</x:v>
      </x:c>
      <x:c r="AR1591" s="10" t="n">
        <x:f>IF(H1591=1,INDEX(v01_Req,G1591),0)</x:f>
        <x:v>0</x:v>
      </x:c>
      <x:c r="AS1591" s="32" t="n">
        <x:f>IF(H1591=1,IF(E1591=1,AS1590-AR1590,AS1590)+AQ1591,0)</x:f>
        <x:v>0</x:v>
      </x:c>
      <x:c r="AT1591" s="11" t="n">
        <x:f>IF(AR1591&gt;0,MIN(1,AS1591/AR1591),1)</x:f>
        <x:v>1</x:v>
      </x:c>
      <x:c r="AU1591" s="10" t="n">
        <x:f>AB1591/INDEX(v01_RepScale,G1591)</x:f>
        <x:v>90.09519605746344</x:v>
      </x:c>
      <x:c r="AV1591" s="32" t="n">
        <x:f>AM1591*60/v01_SeasonSeconds</x:f>
        <x:v>0</x:v>
      </x:c>
    </x:row>
    <x:row r="1592">
      <x:c r="A1592" s="8" t="n">
        <x:f>A1591+1</x:f>
        <x:v>1589</x:v>
      </x:c>
      <x:c r="B1592" s="9" t="n">
        <x:f>A1592*v01_SeasonSeconds/60</x:f>
        <x:v>397.25</x:v>
      </x:c>
      <x:c r="C1592" s="9" t="n">
        <x:f>A1592/4</x:f>
        <x:v>397.25</x:v>
      </x:c>
      <x:c r="D1592" s="8" t="n">
        <x:f>IF(MOD(A1592,4)=0,1,0)</x:f>
        <x:v>0</x:v>
      </x:c>
      <x:c r="E1592" s="8" t="n">
        <x:f>IF(AND(F1591&lt;=9,AS1591&gt;=AR1591),1,0)</x:f>
        <x:v>0</x:v>
      </x:c>
      <x:c r="F1592" s="8" t="n">
        <x:f>MIN(10,F1591+E1592)</x:f>
        <x:v>10</x:v>
      </x:c>
      <x:c r="G1592" s="8" t="n">
        <x:f>MIN(F1592,9)+1</x:f>
        <x:v>10</x:v>
      </x:c>
      <x:c r="H1592" s="8" t="n">
        <x:f>IF(F1592&lt;=9,1,0)</x:f>
        <x:v>0</x:v>
      </x:c>
      <x:c r="I1592" s="9" t="n">
        <x:f>MIN(10,F1591+IF(AR1591&gt;0,MIN(1,AS1591/AR1591),1))</x:f>
        <x:v>10</x:v>
      </x:c>
      <x:c r="J1592" s="32" t="n">
        <x:f>INDEX(v01_FoodCap,G1592)*Arch_FoodCap*EXP(v01_CapsByProject*SUMPRODUCT((Cap_Point&lt;=I1592)*(Cap_Kind="Food")*Cap_Ln))</x:f>
        <x:v>12000</x:v>
      </x:c>
      <x:c r="K1592" s="32" t="n">
        <x:f>J1592*MIN(1,v01_LeanBase*EXP(v01_CapsByProject*SUMPRODUCT((Cap_Point&lt;=I1592)*(Cap_Kind="Lean")*Cap_Ln)))</x:f>
        <x:v>12000</x:v>
      </x:c>
      <x:c r="L1592" s="10" t="n">
        <x:f>INDEX(v01_HousingCap,G1592)*EXP(v01_CapsByProject*SUMPRODUCT((Cap_Point&lt;=I1592)*(Cap_Kind="Housing")*Cap_Ln))</x:f>
        <x:v>20000</x:v>
      </x:c>
      <x:c r="M1592" s="10" t="n">
        <x:f>INDEX(v01_GroupCap,G1592)*v01_CohesionFactor*EXP(v01_CapsByProject*SUMPRODUCT((Cap_Point&lt;=I1592)*(Cap_Kind="Group")*Cap_Ln))</x:f>
        <x:v>1000000</x:v>
      </x:c>
      <x:c r="N1592" s="32" t="n">
        <x:f>MIN(J1592,L1592,M1592)</x:f>
        <x:v>12000</x:v>
      </x:c>
      <x:c r="O1592" s="10" t="n">
        <x:f>AE1591*N1592</x:f>
        <x:v>180000</x:v>
      </x:c>
      <x:c r="P1592" s="9" t="n">
        <x:f>MIN(1,(AB1591/(AE1591*IF(v01_GroupInCrowding=1,N1592,MIN(J1592,L1592))))^v01_CrowdingExp)</x:f>
        <x:v>0.00024569414295285325</x:v>
      </x:c>
      <x:c r="Q1592" s="9" t="n">
        <x:f>IF(D1592=1,INDEX(v01_WinterMult,G1592),1)</x:f>
        <x:v>1</x:v>
      </x:c>
      <x:c r="R1592" s="9" t="n">
        <x:f>H1592*Z1591*v01_WomenShare*v01_BaseFertility*INDEX(v01_FertMult,G1592)*Arch_Fertility*(1-P1592)</x:f>
        <x:v>0</x:v>
      </x:c>
      <x:c r="S1592" s="9" t="n">
        <x:f>H1592*Y1591*INDEX(v01_MortChild,G1592)/4*Q1592</x:f>
        <x:v>0</x:v>
      </x:c>
      <x:c r="T1592" s="9" t="n">
        <x:f>H1592*Z1591*INDEX(v01_MortAdult,G1592)*Arch_AdultMort/4*Q1592</x:f>
        <x:v>0</x:v>
      </x:c>
      <x:c r="U1592" s="9" t="n">
        <x:f>H1592*AA1591*INDEX(v01_MortElder,G1592)/4*Q1592</x:f>
        <x:v>0</x:v>
      </x:c>
      <x:c r="V1592" s="9" t="n">
        <x:f>H1592*MAX(0,AB1591-O1592)*v01_OvercapLoss</x:f>
        <x:v>0</x:v>
      </x:c>
      <x:c r="W1592" s="9" t="n">
        <x:f>H1592*Y1591/(v01_ChildYears*4)</x:f>
        <x:v>0</x:v>
      </x:c>
      <x:c r="X1592" s="9" t="n">
        <x:f>H1592*Z1591/(v01_AdultYears*4)</x:f>
        <x:v>0</x:v>
      </x:c>
      <x:c r="Y1592" s="32" t="n">
        <x:f>Y1591+R1592-S1592-W1592-Y1591*V1592/AB1591</x:f>
        <x:v>14306.18539759397</x:v>
      </x:c>
      <x:c r="Z1592" s="32" t="n">
        <x:f>Z1591+W1592-X1592-T1592-Z1591*V1592/AB1591</x:f>
        <x:v>19354.456567879548</x:v>
      </x:c>
      <x:c r="AA1592" s="32" t="n">
        <x:f>AA1591+X1592-U1592-AA1591*V1592/AB1591</x:f>
        <x:v>11386.956063258198</x:v>
      </x:c>
      <x:c r="AB1592" s="10" t="n">
        <x:f>Y1592+Z1592+AA1592</x:f>
        <x:v>45047.59802873172</x:v>
      </x:c>
      <x:c r="AC1592" s="8" t="n">
        <x:f>IF(AND(v01_WinterTrigger=1,D1592=1,AB1591/AE1591&gt;=K1592),1,0)</x:f>
        <x:v>0</x:v>
      </x:c>
      <x:c r="AD1592" s="8" t="n">
        <x:f>H1592*IF(AND(OR(AB1591/AE1591&gt;=v01_FissionTrigger*N1592,AC1592=1),AB1591/AE1591*v01_DaughterShare&gt;=v01_MinDaughter),MAX(1,ROUND(AE1591*v01_FissionRate,0)),0)</x:f>
        <x:v>0</x:v>
      </x:c>
      <x:c r="AE1592" s="8" t="n">
        <x:f>IF(H1592=1,MAX(1,MIN(INDEX(v01_Smax,G1592),AE1591+AD1592)),AE1591)</x:f>
        <x:v>15</x:v>
      </x:c>
      <x:c r="AF1592" s="8" t="n">
        <x:f>MAX(0,AE1592-AE1591)</x:f>
        <x:v>0</x:v>
      </x:c>
      <x:c r="AG1592" s="9" t="str">
        <x:f>IF(AF1592&gt;0,B1592,"")</x:f>
      </x:c>
      <x:c r="AH1592" s="9" t="n">
        <x:f>IF(F1592&gt;=1,1,(1+v01_LowTiesShare*(AE1592-1))/AE1592)</x:f>
        <x:v>1</x:v>
      </x:c>
      <x:c r="AI1592" s="32" t="n">
        <x:f>(Z1592+v01_ElderCommons*INDEX(LM_Elder,G1592)*AA1592)*AH1592</x:f>
        <x:v>64139.732591141874</x:v>
      </x:c>
      <x:c r="AJ1592" s="32" t="n">
        <x:f>H1592*v01_CommonsCoef*AI1592^v01_CommonsExp*INDEX(LM_Commons,G1592)</x:f>
        <x:v>0</x:v>
      </x:c>
      <x:c r="AK1592" s="32" t="n">
        <x:f>H1592*v01_RoleScale*Arch_Roles*(AE1592*(INDEX(v01_ElderRolePerSett,G1592)*v01_OutElder*INDEX(LM_Elder,G1592)+INDEX(v01_ShamanPerSett,G1592)*v01_OutShaman)+Z1592*(INDEX(v01_PriestShare,G1592)*v01_OutPriest+INDEX(v01_ScribeShare,G1592)*v01_OutScribe*INDEX(LM_Scribe,G1592)+INDEX(v01_ScholarShare,G1592)*v01_OutScholar*INDEX(LM_Scholar,G1592)+INDEX(v01_ResearcherShare,G1592)*v01_OutResearcher*INDEX(LM_Researcher,G1592)))</x:f>
        <x:v>0</x:v>
      </x:c>
      <x:c r="AL1592" s="32" t="n">
        <x:f>H1592*v01_RoleScale*Arch_Roles*AE1592*INDEX(v01_MonasteryPerSett,G1592)*v01_OutMonastery*INDEX(LM_Monastery,G1592)</x:f>
        <x:v>0</x:v>
      </x:c>
      <x:c r="AM1592" s="32" t="n">
        <x:f>(AJ1592+AK1592+AL1592)/4*INDEX(LM_All,G1592)*INDEX(v01_Boon,G1592)*Arch_Insight</x:f>
        <x:v>0</x:v>
      </x:c>
      <x:c r="AN1592" s="32" t="n">
        <x:f>H1592*(v01_KHPerAdult*Z1592+v01_KHOfCommons*AJ1592/4*INDEX(LM_All,G1592))*v01_KHUsable*Arch_KH</x:f>
        <x:v>0</x:v>
      </x:c>
      <x:c r="AO1592" s="32" t="n">
        <x:f>MIN(AP1591+AN1592,AM1592*v01_KHMaxRatio)</x:f>
        <x:v>0</x:v>
      </x:c>
      <x:c r="AP1592" s="32" t="n">
        <x:f>AP1591+AN1592-AO1592</x:f>
        <x:v>0</x:v>
      </x:c>
      <x:c r="AQ1592" s="32" t="n">
        <x:f>AM1592+AO1592</x:f>
        <x:v>0</x:v>
      </x:c>
      <x:c r="AR1592" s="10" t="n">
        <x:f>IF(H1592=1,INDEX(v01_Req,G1592),0)</x:f>
        <x:v>0</x:v>
      </x:c>
      <x:c r="AS1592" s="32" t="n">
        <x:f>IF(H1592=1,IF(E1592=1,AS1591-AR1591,AS1591)+AQ1592,0)</x:f>
        <x:v>0</x:v>
      </x:c>
      <x:c r="AT1592" s="11" t="n">
        <x:f>IF(AR1592&gt;0,MIN(1,AS1592/AR1592),1)</x:f>
        <x:v>1</x:v>
      </x:c>
      <x:c r="AU1592" s="10" t="n">
        <x:f>AB1592/INDEX(v01_RepScale,G1592)</x:f>
        <x:v>90.09519605746344</x:v>
      </x:c>
      <x:c r="AV1592" s="32" t="n">
        <x:f>AM1592*60/v01_SeasonSeconds</x:f>
        <x:v>0</x:v>
      </x:c>
    </x:row>
    <x:row r="1593">
      <x:c r="A1593" s="8" t="n">
        <x:f>A1592+1</x:f>
        <x:v>1590</x:v>
      </x:c>
      <x:c r="B1593" s="9" t="n">
        <x:f>A1593*v01_SeasonSeconds/60</x:f>
        <x:v>397.5</x:v>
      </x:c>
      <x:c r="C1593" s="9" t="n">
        <x:f>A1593/4</x:f>
        <x:v>397.5</x:v>
      </x:c>
      <x:c r="D1593" s="8" t="n">
        <x:f>IF(MOD(A1593,4)=0,1,0)</x:f>
        <x:v>0</x:v>
      </x:c>
      <x:c r="E1593" s="8" t="n">
        <x:f>IF(AND(F1592&lt;=9,AS1592&gt;=AR1592),1,0)</x:f>
        <x:v>0</x:v>
      </x:c>
      <x:c r="F1593" s="8" t="n">
        <x:f>MIN(10,F1592+E1593)</x:f>
        <x:v>10</x:v>
      </x:c>
      <x:c r="G1593" s="8" t="n">
        <x:f>MIN(F1593,9)+1</x:f>
        <x:v>10</x:v>
      </x:c>
      <x:c r="H1593" s="8" t="n">
        <x:f>IF(F1593&lt;=9,1,0)</x:f>
        <x:v>0</x:v>
      </x:c>
      <x:c r="I1593" s="9" t="n">
        <x:f>MIN(10,F1592+IF(AR1592&gt;0,MIN(1,AS1592/AR1592),1))</x:f>
        <x:v>10</x:v>
      </x:c>
      <x:c r="J1593" s="32" t="n">
        <x:f>INDEX(v01_FoodCap,G1593)*Arch_FoodCap*EXP(v01_CapsByProject*SUMPRODUCT((Cap_Point&lt;=I1593)*(Cap_Kind="Food")*Cap_Ln))</x:f>
        <x:v>12000</x:v>
      </x:c>
      <x:c r="K1593" s="32" t="n">
        <x:f>J1593*MIN(1,v01_LeanBase*EXP(v01_CapsByProject*SUMPRODUCT((Cap_Point&lt;=I1593)*(Cap_Kind="Lean")*Cap_Ln)))</x:f>
        <x:v>12000</x:v>
      </x:c>
      <x:c r="L1593" s="10" t="n">
        <x:f>INDEX(v01_HousingCap,G1593)*EXP(v01_CapsByProject*SUMPRODUCT((Cap_Point&lt;=I1593)*(Cap_Kind="Housing")*Cap_Ln))</x:f>
        <x:v>20000</x:v>
      </x:c>
      <x:c r="M1593" s="10" t="n">
        <x:f>INDEX(v01_GroupCap,G1593)*v01_CohesionFactor*EXP(v01_CapsByProject*SUMPRODUCT((Cap_Point&lt;=I1593)*(Cap_Kind="Group")*Cap_Ln))</x:f>
        <x:v>1000000</x:v>
      </x:c>
      <x:c r="N1593" s="32" t="n">
        <x:f>MIN(J1593,L1593,M1593)</x:f>
        <x:v>12000</x:v>
      </x:c>
      <x:c r="O1593" s="10" t="n">
        <x:f>AE1592*N1593</x:f>
        <x:v>180000</x:v>
      </x:c>
      <x:c r="P1593" s="9" t="n">
        <x:f>MIN(1,(AB1592/(AE1592*IF(v01_GroupInCrowding=1,N1593,MIN(J1593,L1593))))^v01_CrowdingExp)</x:f>
        <x:v>0.00024569414295285325</x:v>
      </x:c>
      <x:c r="Q1593" s="9" t="n">
        <x:f>IF(D1593=1,INDEX(v01_WinterMult,G1593),1)</x:f>
        <x:v>1</x:v>
      </x:c>
      <x:c r="R1593" s="9" t="n">
        <x:f>H1593*Z1592*v01_WomenShare*v01_BaseFertility*INDEX(v01_FertMult,G1593)*Arch_Fertility*(1-P1593)</x:f>
        <x:v>0</x:v>
      </x:c>
      <x:c r="S1593" s="9" t="n">
        <x:f>H1593*Y1592*INDEX(v01_MortChild,G1593)/4*Q1593</x:f>
        <x:v>0</x:v>
      </x:c>
      <x:c r="T1593" s="9" t="n">
        <x:f>H1593*Z1592*INDEX(v01_MortAdult,G1593)*Arch_AdultMort/4*Q1593</x:f>
        <x:v>0</x:v>
      </x:c>
      <x:c r="U1593" s="9" t="n">
        <x:f>H1593*AA1592*INDEX(v01_MortElder,G1593)/4*Q1593</x:f>
        <x:v>0</x:v>
      </x:c>
      <x:c r="V1593" s="9" t="n">
        <x:f>H1593*MAX(0,AB1592-O1593)*v01_OvercapLoss</x:f>
        <x:v>0</x:v>
      </x:c>
      <x:c r="W1593" s="9" t="n">
        <x:f>H1593*Y1592/(v01_ChildYears*4)</x:f>
        <x:v>0</x:v>
      </x:c>
      <x:c r="X1593" s="9" t="n">
        <x:f>H1593*Z1592/(v01_AdultYears*4)</x:f>
        <x:v>0</x:v>
      </x:c>
      <x:c r="Y1593" s="32" t="n">
        <x:f>Y1592+R1593-S1593-W1593-Y1592*V1593/AB1592</x:f>
        <x:v>14306.18539759397</x:v>
      </x:c>
      <x:c r="Z1593" s="32" t="n">
        <x:f>Z1592+W1593-X1593-T1593-Z1592*V1593/AB1592</x:f>
        <x:v>19354.456567879548</x:v>
      </x:c>
      <x:c r="AA1593" s="32" t="n">
        <x:f>AA1592+X1593-U1593-AA1592*V1593/AB1592</x:f>
        <x:v>11386.956063258198</x:v>
      </x:c>
      <x:c r="AB1593" s="10" t="n">
        <x:f>Y1593+Z1593+AA1593</x:f>
        <x:v>45047.59802873172</x:v>
      </x:c>
      <x:c r="AC1593" s="8" t="n">
        <x:f>IF(AND(v01_WinterTrigger=1,D1593=1,AB1592/AE1592&gt;=K1593),1,0)</x:f>
        <x:v>0</x:v>
      </x:c>
      <x:c r="AD1593" s="8" t="n">
        <x:f>H1593*IF(AND(OR(AB1592/AE1592&gt;=v01_FissionTrigger*N1593,AC1593=1),AB1592/AE1592*v01_DaughterShare&gt;=v01_MinDaughter),MAX(1,ROUND(AE1592*v01_FissionRate,0)),0)</x:f>
        <x:v>0</x:v>
      </x:c>
      <x:c r="AE1593" s="8" t="n">
        <x:f>IF(H1593=1,MAX(1,MIN(INDEX(v01_Smax,G1593),AE1592+AD1593)),AE1592)</x:f>
        <x:v>15</x:v>
      </x:c>
      <x:c r="AF1593" s="8" t="n">
        <x:f>MAX(0,AE1593-AE1592)</x:f>
        <x:v>0</x:v>
      </x:c>
      <x:c r="AG1593" s="9" t="str">
        <x:f>IF(AF1593&gt;0,B1593,"")</x:f>
      </x:c>
      <x:c r="AH1593" s="9" t="n">
        <x:f>IF(F1593&gt;=1,1,(1+v01_LowTiesShare*(AE1593-1))/AE1593)</x:f>
        <x:v>1</x:v>
      </x:c>
      <x:c r="AI1593" s="32" t="n">
        <x:f>(Z1593+v01_ElderCommons*INDEX(LM_Elder,G1593)*AA1593)*AH1593</x:f>
        <x:v>64139.732591141874</x:v>
      </x:c>
      <x:c r="AJ1593" s="32" t="n">
        <x:f>H1593*v01_CommonsCoef*AI1593^v01_CommonsExp*INDEX(LM_Commons,G1593)</x:f>
        <x:v>0</x:v>
      </x:c>
      <x:c r="AK1593" s="32" t="n">
        <x:f>H1593*v01_RoleScale*Arch_Roles*(AE1593*(INDEX(v01_ElderRolePerSett,G1593)*v01_OutElder*INDEX(LM_Elder,G1593)+INDEX(v01_ShamanPerSett,G1593)*v01_OutShaman)+Z1593*(INDEX(v01_PriestShare,G1593)*v01_OutPriest+INDEX(v01_ScribeShare,G1593)*v01_OutScribe*INDEX(LM_Scribe,G1593)+INDEX(v01_ScholarShare,G1593)*v01_OutScholar*INDEX(LM_Scholar,G1593)+INDEX(v01_ResearcherShare,G1593)*v01_OutResearcher*INDEX(LM_Researcher,G1593)))</x:f>
        <x:v>0</x:v>
      </x:c>
      <x:c r="AL1593" s="32" t="n">
        <x:f>H1593*v01_RoleScale*Arch_Roles*AE1593*INDEX(v01_MonasteryPerSett,G1593)*v01_OutMonastery*INDEX(LM_Monastery,G1593)</x:f>
        <x:v>0</x:v>
      </x:c>
      <x:c r="AM1593" s="32" t="n">
        <x:f>(AJ1593+AK1593+AL1593)/4*INDEX(LM_All,G1593)*INDEX(v01_Boon,G1593)*Arch_Insight</x:f>
        <x:v>0</x:v>
      </x:c>
      <x:c r="AN1593" s="32" t="n">
        <x:f>H1593*(v01_KHPerAdult*Z1593+v01_KHOfCommons*AJ1593/4*INDEX(LM_All,G1593))*v01_KHUsable*Arch_KH</x:f>
        <x:v>0</x:v>
      </x:c>
      <x:c r="AO1593" s="32" t="n">
        <x:f>MIN(AP1592+AN1593,AM1593*v01_KHMaxRatio)</x:f>
        <x:v>0</x:v>
      </x:c>
      <x:c r="AP1593" s="32" t="n">
        <x:f>AP1592+AN1593-AO1593</x:f>
        <x:v>0</x:v>
      </x:c>
      <x:c r="AQ1593" s="32" t="n">
        <x:f>AM1593+AO1593</x:f>
        <x:v>0</x:v>
      </x:c>
      <x:c r="AR1593" s="10" t="n">
        <x:f>IF(H1593=1,INDEX(v01_Req,G1593),0)</x:f>
        <x:v>0</x:v>
      </x:c>
      <x:c r="AS1593" s="32" t="n">
        <x:f>IF(H1593=1,IF(E1593=1,AS1592-AR1592,AS1592)+AQ1593,0)</x:f>
        <x:v>0</x:v>
      </x:c>
      <x:c r="AT1593" s="11" t="n">
        <x:f>IF(AR1593&gt;0,MIN(1,AS1593/AR1593),1)</x:f>
        <x:v>1</x:v>
      </x:c>
      <x:c r="AU1593" s="10" t="n">
        <x:f>AB1593/INDEX(v01_RepScale,G1593)</x:f>
        <x:v>90.09519605746344</x:v>
      </x:c>
      <x:c r="AV1593" s="32" t="n">
        <x:f>AM1593*60/v01_SeasonSeconds</x:f>
        <x:v>0</x:v>
      </x:c>
    </x:row>
    <x:row r="1594">
      <x:c r="A1594" s="8" t="n">
        <x:f>A1593+1</x:f>
        <x:v>1591</x:v>
      </x:c>
      <x:c r="B1594" s="9" t="n">
        <x:f>A1594*v01_SeasonSeconds/60</x:f>
        <x:v>397.75</x:v>
      </x:c>
      <x:c r="C1594" s="9" t="n">
        <x:f>A1594/4</x:f>
        <x:v>397.75</x:v>
      </x:c>
      <x:c r="D1594" s="8" t="n">
        <x:f>IF(MOD(A1594,4)=0,1,0)</x:f>
        <x:v>0</x:v>
      </x:c>
      <x:c r="E1594" s="8" t="n">
        <x:f>IF(AND(F1593&lt;=9,AS1593&gt;=AR1593),1,0)</x:f>
        <x:v>0</x:v>
      </x:c>
      <x:c r="F1594" s="8" t="n">
        <x:f>MIN(10,F1593+E1594)</x:f>
        <x:v>10</x:v>
      </x:c>
      <x:c r="G1594" s="8" t="n">
        <x:f>MIN(F1594,9)+1</x:f>
        <x:v>10</x:v>
      </x:c>
      <x:c r="H1594" s="8" t="n">
        <x:f>IF(F1594&lt;=9,1,0)</x:f>
        <x:v>0</x:v>
      </x:c>
      <x:c r="I1594" s="9" t="n">
        <x:f>MIN(10,F1593+IF(AR1593&gt;0,MIN(1,AS1593/AR1593),1))</x:f>
        <x:v>10</x:v>
      </x:c>
      <x:c r="J1594" s="32" t="n">
        <x:f>INDEX(v01_FoodCap,G1594)*Arch_FoodCap*EXP(v01_CapsByProject*SUMPRODUCT((Cap_Point&lt;=I1594)*(Cap_Kind="Food")*Cap_Ln))</x:f>
        <x:v>12000</x:v>
      </x:c>
      <x:c r="K1594" s="32" t="n">
        <x:f>J1594*MIN(1,v01_LeanBase*EXP(v01_CapsByProject*SUMPRODUCT((Cap_Point&lt;=I1594)*(Cap_Kind="Lean")*Cap_Ln)))</x:f>
        <x:v>12000</x:v>
      </x:c>
      <x:c r="L1594" s="10" t="n">
        <x:f>INDEX(v01_HousingCap,G1594)*EXP(v01_CapsByProject*SUMPRODUCT((Cap_Point&lt;=I1594)*(Cap_Kind="Housing")*Cap_Ln))</x:f>
        <x:v>20000</x:v>
      </x:c>
      <x:c r="M1594" s="10" t="n">
        <x:f>INDEX(v01_GroupCap,G1594)*v01_CohesionFactor*EXP(v01_CapsByProject*SUMPRODUCT((Cap_Point&lt;=I1594)*(Cap_Kind="Group")*Cap_Ln))</x:f>
        <x:v>1000000</x:v>
      </x:c>
      <x:c r="N1594" s="32" t="n">
        <x:f>MIN(J1594,L1594,M1594)</x:f>
        <x:v>12000</x:v>
      </x:c>
      <x:c r="O1594" s="10" t="n">
        <x:f>AE1593*N1594</x:f>
        <x:v>180000</x:v>
      </x:c>
      <x:c r="P1594" s="9" t="n">
        <x:f>MIN(1,(AB1593/(AE1593*IF(v01_GroupInCrowding=1,N1594,MIN(J1594,L1594))))^v01_CrowdingExp)</x:f>
        <x:v>0.00024569414295285325</x:v>
      </x:c>
      <x:c r="Q1594" s="9" t="n">
        <x:f>IF(D1594=1,INDEX(v01_WinterMult,G1594),1)</x:f>
        <x:v>1</x:v>
      </x:c>
      <x:c r="R1594" s="9" t="n">
        <x:f>H1594*Z1593*v01_WomenShare*v01_BaseFertility*INDEX(v01_FertMult,G1594)*Arch_Fertility*(1-P1594)</x:f>
        <x:v>0</x:v>
      </x:c>
      <x:c r="S1594" s="9" t="n">
        <x:f>H1594*Y1593*INDEX(v01_MortChild,G1594)/4*Q1594</x:f>
        <x:v>0</x:v>
      </x:c>
      <x:c r="T1594" s="9" t="n">
        <x:f>H1594*Z1593*INDEX(v01_MortAdult,G1594)*Arch_AdultMort/4*Q1594</x:f>
        <x:v>0</x:v>
      </x:c>
      <x:c r="U1594" s="9" t="n">
        <x:f>H1594*AA1593*INDEX(v01_MortElder,G1594)/4*Q1594</x:f>
        <x:v>0</x:v>
      </x:c>
      <x:c r="V1594" s="9" t="n">
        <x:f>H1594*MAX(0,AB1593-O1594)*v01_OvercapLoss</x:f>
        <x:v>0</x:v>
      </x:c>
      <x:c r="W1594" s="9" t="n">
        <x:f>H1594*Y1593/(v01_ChildYears*4)</x:f>
        <x:v>0</x:v>
      </x:c>
      <x:c r="X1594" s="9" t="n">
        <x:f>H1594*Z1593/(v01_AdultYears*4)</x:f>
        <x:v>0</x:v>
      </x:c>
      <x:c r="Y1594" s="32" t="n">
        <x:f>Y1593+R1594-S1594-W1594-Y1593*V1594/AB1593</x:f>
        <x:v>14306.18539759397</x:v>
      </x:c>
      <x:c r="Z1594" s="32" t="n">
        <x:f>Z1593+W1594-X1594-T1594-Z1593*V1594/AB1593</x:f>
        <x:v>19354.456567879548</x:v>
      </x:c>
      <x:c r="AA1594" s="32" t="n">
        <x:f>AA1593+X1594-U1594-AA1593*V1594/AB1593</x:f>
        <x:v>11386.956063258198</x:v>
      </x:c>
      <x:c r="AB1594" s="10" t="n">
        <x:f>Y1594+Z1594+AA1594</x:f>
        <x:v>45047.59802873172</x:v>
      </x:c>
      <x:c r="AC1594" s="8" t="n">
        <x:f>IF(AND(v01_WinterTrigger=1,D1594=1,AB1593/AE1593&gt;=K1594),1,0)</x:f>
        <x:v>0</x:v>
      </x:c>
      <x:c r="AD1594" s="8" t="n">
        <x:f>H1594*IF(AND(OR(AB1593/AE1593&gt;=v01_FissionTrigger*N1594,AC1594=1),AB1593/AE1593*v01_DaughterShare&gt;=v01_MinDaughter),MAX(1,ROUND(AE1593*v01_FissionRate,0)),0)</x:f>
        <x:v>0</x:v>
      </x:c>
      <x:c r="AE1594" s="8" t="n">
        <x:f>IF(H1594=1,MAX(1,MIN(INDEX(v01_Smax,G1594),AE1593+AD1594)),AE1593)</x:f>
        <x:v>15</x:v>
      </x:c>
      <x:c r="AF1594" s="8" t="n">
        <x:f>MAX(0,AE1594-AE1593)</x:f>
        <x:v>0</x:v>
      </x:c>
      <x:c r="AG1594" s="9" t="str">
        <x:f>IF(AF1594&gt;0,B1594,"")</x:f>
      </x:c>
      <x:c r="AH1594" s="9" t="n">
        <x:f>IF(F1594&gt;=1,1,(1+v01_LowTiesShare*(AE1594-1))/AE1594)</x:f>
        <x:v>1</x:v>
      </x:c>
      <x:c r="AI1594" s="32" t="n">
        <x:f>(Z1594+v01_ElderCommons*INDEX(LM_Elder,G1594)*AA1594)*AH1594</x:f>
        <x:v>64139.732591141874</x:v>
      </x:c>
      <x:c r="AJ1594" s="32" t="n">
        <x:f>H1594*v01_CommonsCoef*AI1594^v01_CommonsExp*INDEX(LM_Commons,G1594)</x:f>
        <x:v>0</x:v>
      </x:c>
      <x:c r="AK1594" s="32" t="n">
        <x:f>H1594*v01_RoleScale*Arch_Roles*(AE1594*(INDEX(v01_ElderRolePerSett,G1594)*v01_OutElder*INDEX(LM_Elder,G1594)+INDEX(v01_ShamanPerSett,G1594)*v01_OutShaman)+Z1594*(INDEX(v01_PriestShare,G1594)*v01_OutPriest+INDEX(v01_ScribeShare,G1594)*v01_OutScribe*INDEX(LM_Scribe,G1594)+INDEX(v01_ScholarShare,G1594)*v01_OutScholar*INDEX(LM_Scholar,G1594)+INDEX(v01_ResearcherShare,G1594)*v01_OutResearcher*INDEX(LM_Researcher,G1594)))</x:f>
        <x:v>0</x:v>
      </x:c>
      <x:c r="AL1594" s="32" t="n">
        <x:f>H1594*v01_RoleScale*Arch_Roles*AE1594*INDEX(v01_MonasteryPerSett,G1594)*v01_OutMonastery*INDEX(LM_Monastery,G1594)</x:f>
        <x:v>0</x:v>
      </x:c>
      <x:c r="AM1594" s="32" t="n">
        <x:f>(AJ1594+AK1594+AL1594)/4*INDEX(LM_All,G1594)*INDEX(v01_Boon,G1594)*Arch_Insight</x:f>
        <x:v>0</x:v>
      </x:c>
      <x:c r="AN1594" s="32" t="n">
        <x:f>H1594*(v01_KHPerAdult*Z1594+v01_KHOfCommons*AJ1594/4*INDEX(LM_All,G1594))*v01_KHUsable*Arch_KH</x:f>
        <x:v>0</x:v>
      </x:c>
      <x:c r="AO1594" s="32" t="n">
        <x:f>MIN(AP1593+AN1594,AM1594*v01_KHMaxRatio)</x:f>
        <x:v>0</x:v>
      </x:c>
      <x:c r="AP1594" s="32" t="n">
        <x:f>AP1593+AN1594-AO1594</x:f>
        <x:v>0</x:v>
      </x:c>
      <x:c r="AQ1594" s="32" t="n">
        <x:f>AM1594+AO1594</x:f>
        <x:v>0</x:v>
      </x:c>
      <x:c r="AR1594" s="10" t="n">
        <x:f>IF(H1594=1,INDEX(v01_Req,G1594),0)</x:f>
        <x:v>0</x:v>
      </x:c>
      <x:c r="AS1594" s="32" t="n">
        <x:f>IF(H1594=1,IF(E1594=1,AS1593-AR1593,AS1593)+AQ1594,0)</x:f>
        <x:v>0</x:v>
      </x:c>
      <x:c r="AT1594" s="11" t="n">
        <x:f>IF(AR1594&gt;0,MIN(1,AS1594/AR1594),1)</x:f>
        <x:v>1</x:v>
      </x:c>
      <x:c r="AU1594" s="10" t="n">
        <x:f>AB1594/INDEX(v01_RepScale,G1594)</x:f>
        <x:v>90.09519605746344</x:v>
      </x:c>
      <x:c r="AV1594" s="32" t="n">
        <x:f>AM1594*60/v01_SeasonSeconds</x:f>
        <x:v>0</x:v>
      </x:c>
    </x:row>
    <x:row r="1595">
      <x:c r="A1595" s="8" t="n">
        <x:f>A1594+1</x:f>
        <x:v>1592</x:v>
      </x:c>
      <x:c r="B1595" s="9" t="n">
        <x:f>A1595*v01_SeasonSeconds/60</x:f>
        <x:v>398</x:v>
      </x:c>
      <x:c r="C1595" s="9" t="n">
        <x:f>A1595/4</x:f>
        <x:v>398</x:v>
      </x:c>
      <x:c r="D1595" s="8" t="n">
        <x:f>IF(MOD(A1595,4)=0,1,0)</x:f>
        <x:v>1</x:v>
      </x:c>
      <x:c r="E1595" s="8" t="n">
        <x:f>IF(AND(F1594&lt;=9,AS1594&gt;=AR1594),1,0)</x:f>
        <x:v>0</x:v>
      </x:c>
      <x:c r="F1595" s="8" t="n">
        <x:f>MIN(10,F1594+E1595)</x:f>
        <x:v>10</x:v>
      </x:c>
      <x:c r="G1595" s="8" t="n">
        <x:f>MIN(F1595,9)+1</x:f>
        <x:v>10</x:v>
      </x:c>
      <x:c r="H1595" s="8" t="n">
        <x:f>IF(F1595&lt;=9,1,0)</x:f>
        <x:v>0</x:v>
      </x:c>
      <x:c r="I1595" s="9" t="n">
        <x:f>MIN(10,F1594+IF(AR1594&gt;0,MIN(1,AS1594/AR1594),1))</x:f>
        <x:v>10</x:v>
      </x:c>
      <x:c r="J1595" s="32" t="n">
        <x:f>INDEX(v01_FoodCap,G1595)*Arch_FoodCap*EXP(v01_CapsByProject*SUMPRODUCT((Cap_Point&lt;=I1595)*(Cap_Kind="Food")*Cap_Ln))</x:f>
        <x:v>12000</x:v>
      </x:c>
      <x:c r="K1595" s="32" t="n">
        <x:f>J1595*MIN(1,v01_LeanBase*EXP(v01_CapsByProject*SUMPRODUCT((Cap_Point&lt;=I1595)*(Cap_Kind="Lean")*Cap_Ln)))</x:f>
        <x:v>12000</x:v>
      </x:c>
      <x:c r="L1595" s="10" t="n">
        <x:f>INDEX(v01_HousingCap,G1595)*EXP(v01_CapsByProject*SUMPRODUCT((Cap_Point&lt;=I1595)*(Cap_Kind="Housing")*Cap_Ln))</x:f>
        <x:v>20000</x:v>
      </x:c>
      <x:c r="M1595" s="10" t="n">
        <x:f>INDEX(v01_GroupCap,G1595)*v01_CohesionFactor*EXP(v01_CapsByProject*SUMPRODUCT((Cap_Point&lt;=I1595)*(Cap_Kind="Group")*Cap_Ln))</x:f>
        <x:v>1000000</x:v>
      </x:c>
      <x:c r="N1595" s="32" t="n">
        <x:f>MIN(J1595,L1595,M1595)</x:f>
        <x:v>12000</x:v>
      </x:c>
      <x:c r="O1595" s="10" t="n">
        <x:f>AE1594*N1595</x:f>
        <x:v>180000</x:v>
      </x:c>
      <x:c r="P1595" s="9" t="n">
        <x:f>MIN(1,(AB1594/(AE1594*IF(v01_GroupInCrowding=1,N1595,MIN(J1595,L1595))))^v01_CrowdingExp)</x:f>
        <x:v>0.00024569414295285325</x:v>
      </x:c>
      <x:c r="Q1595" s="9" t="n">
        <x:f>IF(D1595=1,INDEX(v01_WinterMult,G1595),1)</x:f>
        <x:v>1</x:v>
      </x:c>
      <x:c r="R1595" s="9" t="n">
        <x:f>H1595*Z1594*v01_WomenShare*v01_BaseFertility*INDEX(v01_FertMult,G1595)*Arch_Fertility*(1-P1595)</x:f>
        <x:v>0</x:v>
      </x:c>
      <x:c r="S1595" s="9" t="n">
        <x:f>H1595*Y1594*INDEX(v01_MortChild,G1595)/4*Q1595</x:f>
        <x:v>0</x:v>
      </x:c>
      <x:c r="T1595" s="9" t="n">
        <x:f>H1595*Z1594*INDEX(v01_MortAdult,G1595)*Arch_AdultMort/4*Q1595</x:f>
        <x:v>0</x:v>
      </x:c>
      <x:c r="U1595" s="9" t="n">
        <x:f>H1595*AA1594*INDEX(v01_MortElder,G1595)/4*Q1595</x:f>
        <x:v>0</x:v>
      </x:c>
      <x:c r="V1595" s="9" t="n">
        <x:f>H1595*MAX(0,AB1594-O1595)*v01_OvercapLoss</x:f>
        <x:v>0</x:v>
      </x:c>
      <x:c r="W1595" s="9" t="n">
        <x:f>H1595*Y1594/(v01_ChildYears*4)</x:f>
        <x:v>0</x:v>
      </x:c>
      <x:c r="X1595" s="9" t="n">
        <x:f>H1595*Z1594/(v01_AdultYears*4)</x:f>
        <x:v>0</x:v>
      </x:c>
      <x:c r="Y1595" s="32" t="n">
        <x:f>Y1594+R1595-S1595-W1595-Y1594*V1595/AB1594</x:f>
        <x:v>14306.18539759397</x:v>
      </x:c>
      <x:c r="Z1595" s="32" t="n">
        <x:f>Z1594+W1595-X1595-T1595-Z1594*V1595/AB1594</x:f>
        <x:v>19354.456567879548</x:v>
      </x:c>
      <x:c r="AA1595" s="32" t="n">
        <x:f>AA1594+X1595-U1595-AA1594*V1595/AB1594</x:f>
        <x:v>11386.956063258198</x:v>
      </x:c>
      <x:c r="AB1595" s="10" t="n">
        <x:f>Y1595+Z1595+AA1595</x:f>
        <x:v>45047.59802873172</x:v>
      </x:c>
      <x:c r="AC1595" s="8" t="n">
        <x:f>IF(AND(v01_WinterTrigger=1,D1595=1,AB1594/AE1594&gt;=K1595),1,0)</x:f>
        <x:v>0</x:v>
      </x:c>
      <x:c r="AD1595" s="8" t="n">
        <x:f>H1595*IF(AND(OR(AB1594/AE1594&gt;=v01_FissionTrigger*N1595,AC1595=1),AB1594/AE1594*v01_DaughterShare&gt;=v01_MinDaughter),MAX(1,ROUND(AE1594*v01_FissionRate,0)),0)</x:f>
        <x:v>0</x:v>
      </x:c>
      <x:c r="AE1595" s="8" t="n">
        <x:f>IF(H1595=1,MAX(1,MIN(INDEX(v01_Smax,G1595),AE1594+AD1595)),AE1594)</x:f>
        <x:v>15</x:v>
      </x:c>
      <x:c r="AF1595" s="8" t="n">
        <x:f>MAX(0,AE1595-AE1594)</x:f>
        <x:v>0</x:v>
      </x:c>
      <x:c r="AG1595" s="9" t="str">
        <x:f>IF(AF1595&gt;0,B1595,"")</x:f>
      </x:c>
      <x:c r="AH1595" s="9" t="n">
        <x:f>IF(F1595&gt;=1,1,(1+v01_LowTiesShare*(AE1595-1))/AE1595)</x:f>
        <x:v>1</x:v>
      </x:c>
      <x:c r="AI1595" s="32" t="n">
        <x:f>(Z1595+v01_ElderCommons*INDEX(LM_Elder,G1595)*AA1595)*AH1595</x:f>
        <x:v>64139.732591141874</x:v>
      </x:c>
      <x:c r="AJ1595" s="32" t="n">
        <x:f>H1595*v01_CommonsCoef*AI1595^v01_CommonsExp*INDEX(LM_Commons,G1595)</x:f>
        <x:v>0</x:v>
      </x:c>
      <x:c r="AK1595" s="32" t="n">
        <x:f>H1595*v01_RoleScale*Arch_Roles*(AE1595*(INDEX(v01_ElderRolePerSett,G1595)*v01_OutElder*INDEX(LM_Elder,G1595)+INDEX(v01_ShamanPerSett,G1595)*v01_OutShaman)+Z1595*(INDEX(v01_PriestShare,G1595)*v01_OutPriest+INDEX(v01_ScribeShare,G1595)*v01_OutScribe*INDEX(LM_Scribe,G1595)+INDEX(v01_ScholarShare,G1595)*v01_OutScholar*INDEX(LM_Scholar,G1595)+INDEX(v01_ResearcherShare,G1595)*v01_OutResearcher*INDEX(LM_Researcher,G1595)))</x:f>
        <x:v>0</x:v>
      </x:c>
      <x:c r="AL1595" s="32" t="n">
        <x:f>H1595*v01_RoleScale*Arch_Roles*AE1595*INDEX(v01_MonasteryPerSett,G1595)*v01_OutMonastery*INDEX(LM_Monastery,G1595)</x:f>
        <x:v>0</x:v>
      </x:c>
      <x:c r="AM1595" s="32" t="n">
        <x:f>(AJ1595+AK1595+AL1595)/4*INDEX(LM_All,G1595)*INDEX(v01_Boon,G1595)*Arch_Insight</x:f>
        <x:v>0</x:v>
      </x:c>
      <x:c r="AN1595" s="32" t="n">
        <x:f>H1595*(v01_KHPerAdult*Z1595+v01_KHOfCommons*AJ1595/4*INDEX(LM_All,G1595))*v01_KHUsable*Arch_KH</x:f>
        <x:v>0</x:v>
      </x:c>
      <x:c r="AO1595" s="32" t="n">
        <x:f>MIN(AP1594+AN1595,AM1595*v01_KHMaxRatio)</x:f>
        <x:v>0</x:v>
      </x:c>
      <x:c r="AP1595" s="32" t="n">
        <x:f>AP1594+AN1595-AO1595</x:f>
        <x:v>0</x:v>
      </x:c>
      <x:c r="AQ1595" s="32" t="n">
        <x:f>AM1595+AO1595</x:f>
        <x:v>0</x:v>
      </x:c>
      <x:c r="AR1595" s="10" t="n">
        <x:f>IF(H1595=1,INDEX(v01_Req,G1595),0)</x:f>
        <x:v>0</x:v>
      </x:c>
      <x:c r="AS1595" s="32" t="n">
        <x:f>IF(H1595=1,IF(E1595=1,AS1594-AR1594,AS1594)+AQ1595,0)</x:f>
        <x:v>0</x:v>
      </x:c>
      <x:c r="AT1595" s="11" t="n">
        <x:f>IF(AR1595&gt;0,MIN(1,AS1595/AR1595),1)</x:f>
        <x:v>1</x:v>
      </x:c>
      <x:c r="AU1595" s="10" t="n">
        <x:f>AB1595/INDEX(v01_RepScale,G1595)</x:f>
        <x:v>90.09519605746344</x:v>
      </x:c>
      <x:c r="AV1595" s="32" t="n">
        <x:f>AM1595*60/v01_SeasonSeconds</x:f>
        <x:v>0</x:v>
      </x:c>
    </x:row>
    <x:row r="1596">
      <x:c r="A1596" s="8" t="n">
        <x:f>A1595+1</x:f>
        <x:v>1593</x:v>
      </x:c>
      <x:c r="B1596" s="9" t="n">
        <x:f>A1596*v01_SeasonSeconds/60</x:f>
        <x:v>398.25</x:v>
      </x:c>
      <x:c r="C1596" s="9" t="n">
        <x:f>A1596/4</x:f>
        <x:v>398.25</x:v>
      </x:c>
      <x:c r="D1596" s="8" t="n">
        <x:f>IF(MOD(A1596,4)=0,1,0)</x:f>
        <x:v>0</x:v>
      </x:c>
      <x:c r="E1596" s="8" t="n">
        <x:f>IF(AND(F1595&lt;=9,AS1595&gt;=AR1595),1,0)</x:f>
        <x:v>0</x:v>
      </x:c>
      <x:c r="F1596" s="8" t="n">
        <x:f>MIN(10,F1595+E1596)</x:f>
        <x:v>10</x:v>
      </x:c>
      <x:c r="G1596" s="8" t="n">
        <x:f>MIN(F1596,9)+1</x:f>
        <x:v>10</x:v>
      </x:c>
      <x:c r="H1596" s="8" t="n">
        <x:f>IF(F1596&lt;=9,1,0)</x:f>
        <x:v>0</x:v>
      </x:c>
      <x:c r="I1596" s="9" t="n">
        <x:f>MIN(10,F1595+IF(AR1595&gt;0,MIN(1,AS1595/AR1595),1))</x:f>
        <x:v>10</x:v>
      </x:c>
      <x:c r="J1596" s="32" t="n">
        <x:f>INDEX(v01_FoodCap,G1596)*Arch_FoodCap*EXP(v01_CapsByProject*SUMPRODUCT((Cap_Point&lt;=I1596)*(Cap_Kind="Food")*Cap_Ln))</x:f>
        <x:v>12000</x:v>
      </x:c>
      <x:c r="K1596" s="32" t="n">
        <x:f>J1596*MIN(1,v01_LeanBase*EXP(v01_CapsByProject*SUMPRODUCT((Cap_Point&lt;=I1596)*(Cap_Kind="Lean")*Cap_Ln)))</x:f>
        <x:v>12000</x:v>
      </x:c>
      <x:c r="L1596" s="10" t="n">
        <x:f>INDEX(v01_HousingCap,G1596)*EXP(v01_CapsByProject*SUMPRODUCT((Cap_Point&lt;=I1596)*(Cap_Kind="Housing")*Cap_Ln))</x:f>
        <x:v>20000</x:v>
      </x:c>
      <x:c r="M1596" s="10" t="n">
        <x:f>INDEX(v01_GroupCap,G1596)*v01_CohesionFactor*EXP(v01_CapsByProject*SUMPRODUCT((Cap_Point&lt;=I1596)*(Cap_Kind="Group")*Cap_Ln))</x:f>
        <x:v>1000000</x:v>
      </x:c>
      <x:c r="N1596" s="32" t="n">
        <x:f>MIN(J1596,L1596,M1596)</x:f>
        <x:v>12000</x:v>
      </x:c>
      <x:c r="O1596" s="10" t="n">
        <x:f>AE1595*N1596</x:f>
        <x:v>180000</x:v>
      </x:c>
      <x:c r="P1596" s="9" t="n">
        <x:f>MIN(1,(AB1595/(AE1595*IF(v01_GroupInCrowding=1,N1596,MIN(J1596,L1596))))^v01_CrowdingExp)</x:f>
        <x:v>0.00024569414295285325</x:v>
      </x:c>
      <x:c r="Q1596" s="9" t="n">
        <x:f>IF(D1596=1,INDEX(v01_WinterMult,G1596),1)</x:f>
        <x:v>1</x:v>
      </x:c>
      <x:c r="R1596" s="9" t="n">
        <x:f>H1596*Z1595*v01_WomenShare*v01_BaseFertility*INDEX(v01_FertMult,G1596)*Arch_Fertility*(1-P1596)</x:f>
        <x:v>0</x:v>
      </x:c>
      <x:c r="S1596" s="9" t="n">
        <x:f>H1596*Y1595*INDEX(v01_MortChild,G1596)/4*Q1596</x:f>
        <x:v>0</x:v>
      </x:c>
      <x:c r="T1596" s="9" t="n">
        <x:f>H1596*Z1595*INDEX(v01_MortAdult,G1596)*Arch_AdultMort/4*Q1596</x:f>
        <x:v>0</x:v>
      </x:c>
      <x:c r="U1596" s="9" t="n">
        <x:f>H1596*AA1595*INDEX(v01_MortElder,G1596)/4*Q1596</x:f>
        <x:v>0</x:v>
      </x:c>
      <x:c r="V1596" s="9" t="n">
        <x:f>H1596*MAX(0,AB1595-O1596)*v01_OvercapLoss</x:f>
        <x:v>0</x:v>
      </x:c>
      <x:c r="W1596" s="9" t="n">
        <x:f>H1596*Y1595/(v01_ChildYears*4)</x:f>
        <x:v>0</x:v>
      </x:c>
      <x:c r="X1596" s="9" t="n">
        <x:f>H1596*Z1595/(v01_AdultYears*4)</x:f>
        <x:v>0</x:v>
      </x:c>
      <x:c r="Y1596" s="32" t="n">
        <x:f>Y1595+R1596-S1596-W1596-Y1595*V1596/AB1595</x:f>
        <x:v>14306.18539759397</x:v>
      </x:c>
      <x:c r="Z1596" s="32" t="n">
        <x:f>Z1595+W1596-X1596-T1596-Z1595*V1596/AB1595</x:f>
        <x:v>19354.456567879548</x:v>
      </x:c>
      <x:c r="AA1596" s="32" t="n">
        <x:f>AA1595+X1596-U1596-AA1595*V1596/AB1595</x:f>
        <x:v>11386.956063258198</x:v>
      </x:c>
      <x:c r="AB1596" s="10" t="n">
        <x:f>Y1596+Z1596+AA1596</x:f>
        <x:v>45047.59802873172</x:v>
      </x:c>
      <x:c r="AC1596" s="8" t="n">
        <x:f>IF(AND(v01_WinterTrigger=1,D1596=1,AB1595/AE1595&gt;=K1596),1,0)</x:f>
        <x:v>0</x:v>
      </x:c>
      <x:c r="AD1596" s="8" t="n">
        <x:f>H1596*IF(AND(OR(AB1595/AE1595&gt;=v01_FissionTrigger*N1596,AC1596=1),AB1595/AE1595*v01_DaughterShare&gt;=v01_MinDaughter),MAX(1,ROUND(AE1595*v01_FissionRate,0)),0)</x:f>
        <x:v>0</x:v>
      </x:c>
      <x:c r="AE1596" s="8" t="n">
        <x:f>IF(H1596=1,MAX(1,MIN(INDEX(v01_Smax,G1596),AE1595+AD1596)),AE1595)</x:f>
        <x:v>15</x:v>
      </x:c>
      <x:c r="AF1596" s="8" t="n">
        <x:f>MAX(0,AE1596-AE1595)</x:f>
        <x:v>0</x:v>
      </x:c>
      <x:c r="AG1596" s="9" t="str">
        <x:f>IF(AF1596&gt;0,B1596,"")</x:f>
      </x:c>
      <x:c r="AH1596" s="9" t="n">
        <x:f>IF(F1596&gt;=1,1,(1+v01_LowTiesShare*(AE1596-1))/AE1596)</x:f>
        <x:v>1</x:v>
      </x:c>
      <x:c r="AI1596" s="32" t="n">
        <x:f>(Z1596+v01_ElderCommons*INDEX(LM_Elder,G1596)*AA1596)*AH1596</x:f>
        <x:v>64139.732591141874</x:v>
      </x:c>
      <x:c r="AJ1596" s="32" t="n">
        <x:f>H1596*v01_CommonsCoef*AI1596^v01_CommonsExp*INDEX(LM_Commons,G1596)</x:f>
        <x:v>0</x:v>
      </x:c>
      <x:c r="AK1596" s="32" t="n">
        <x:f>H1596*v01_RoleScale*Arch_Roles*(AE1596*(INDEX(v01_ElderRolePerSett,G1596)*v01_OutElder*INDEX(LM_Elder,G1596)+INDEX(v01_ShamanPerSett,G1596)*v01_OutShaman)+Z1596*(INDEX(v01_PriestShare,G1596)*v01_OutPriest+INDEX(v01_ScribeShare,G1596)*v01_OutScribe*INDEX(LM_Scribe,G1596)+INDEX(v01_ScholarShare,G1596)*v01_OutScholar*INDEX(LM_Scholar,G1596)+INDEX(v01_ResearcherShare,G1596)*v01_OutResearcher*INDEX(LM_Researcher,G1596)))</x:f>
        <x:v>0</x:v>
      </x:c>
      <x:c r="AL1596" s="32" t="n">
        <x:f>H1596*v01_RoleScale*Arch_Roles*AE1596*INDEX(v01_MonasteryPerSett,G1596)*v01_OutMonastery*INDEX(LM_Monastery,G1596)</x:f>
        <x:v>0</x:v>
      </x:c>
      <x:c r="AM1596" s="32" t="n">
        <x:f>(AJ1596+AK1596+AL1596)/4*INDEX(LM_All,G1596)*INDEX(v01_Boon,G1596)*Arch_Insight</x:f>
        <x:v>0</x:v>
      </x:c>
      <x:c r="AN1596" s="32" t="n">
        <x:f>H1596*(v01_KHPerAdult*Z1596+v01_KHOfCommons*AJ1596/4*INDEX(LM_All,G1596))*v01_KHUsable*Arch_KH</x:f>
        <x:v>0</x:v>
      </x:c>
      <x:c r="AO1596" s="32" t="n">
        <x:f>MIN(AP1595+AN1596,AM1596*v01_KHMaxRatio)</x:f>
        <x:v>0</x:v>
      </x:c>
      <x:c r="AP1596" s="32" t="n">
        <x:f>AP1595+AN1596-AO1596</x:f>
        <x:v>0</x:v>
      </x:c>
      <x:c r="AQ1596" s="32" t="n">
        <x:f>AM1596+AO1596</x:f>
        <x:v>0</x:v>
      </x:c>
      <x:c r="AR1596" s="10" t="n">
        <x:f>IF(H1596=1,INDEX(v01_Req,G1596),0)</x:f>
        <x:v>0</x:v>
      </x:c>
      <x:c r="AS1596" s="32" t="n">
        <x:f>IF(H1596=1,IF(E1596=1,AS1595-AR1595,AS1595)+AQ1596,0)</x:f>
        <x:v>0</x:v>
      </x:c>
      <x:c r="AT1596" s="11" t="n">
        <x:f>IF(AR1596&gt;0,MIN(1,AS1596/AR1596),1)</x:f>
        <x:v>1</x:v>
      </x:c>
      <x:c r="AU1596" s="10" t="n">
        <x:f>AB1596/INDEX(v01_RepScale,G1596)</x:f>
        <x:v>90.09519605746344</x:v>
      </x:c>
      <x:c r="AV1596" s="32" t="n">
        <x:f>AM1596*60/v01_SeasonSeconds</x:f>
        <x:v>0</x:v>
      </x:c>
    </x:row>
    <x:row r="1597">
      <x:c r="A1597" s="8" t="n">
        <x:f>A1596+1</x:f>
        <x:v>1594</x:v>
      </x:c>
      <x:c r="B1597" s="9" t="n">
        <x:f>A1597*v01_SeasonSeconds/60</x:f>
        <x:v>398.5</x:v>
      </x:c>
      <x:c r="C1597" s="9" t="n">
        <x:f>A1597/4</x:f>
        <x:v>398.5</x:v>
      </x:c>
      <x:c r="D1597" s="8" t="n">
        <x:f>IF(MOD(A1597,4)=0,1,0)</x:f>
        <x:v>0</x:v>
      </x:c>
      <x:c r="E1597" s="8" t="n">
        <x:f>IF(AND(F1596&lt;=9,AS1596&gt;=AR1596),1,0)</x:f>
        <x:v>0</x:v>
      </x:c>
      <x:c r="F1597" s="8" t="n">
        <x:f>MIN(10,F1596+E1597)</x:f>
        <x:v>10</x:v>
      </x:c>
      <x:c r="G1597" s="8" t="n">
        <x:f>MIN(F1597,9)+1</x:f>
        <x:v>10</x:v>
      </x:c>
      <x:c r="H1597" s="8" t="n">
        <x:f>IF(F1597&lt;=9,1,0)</x:f>
        <x:v>0</x:v>
      </x:c>
      <x:c r="I1597" s="9" t="n">
        <x:f>MIN(10,F1596+IF(AR1596&gt;0,MIN(1,AS1596/AR1596),1))</x:f>
        <x:v>10</x:v>
      </x:c>
      <x:c r="J1597" s="32" t="n">
        <x:f>INDEX(v01_FoodCap,G1597)*Arch_FoodCap*EXP(v01_CapsByProject*SUMPRODUCT((Cap_Point&lt;=I1597)*(Cap_Kind="Food")*Cap_Ln))</x:f>
        <x:v>12000</x:v>
      </x:c>
      <x:c r="K1597" s="32" t="n">
        <x:f>J1597*MIN(1,v01_LeanBase*EXP(v01_CapsByProject*SUMPRODUCT((Cap_Point&lt;=I1597)*(Cap_Kind="Lean")*Cap_Ln)))</x:f>
        <x:v>12000</x:v>
      </x:c>
      <x:c r="L1597" s="10" t="n">
        <x:f>INDEX(v01_HousingCap,G1597)*EXP(v01_CapsByProject*SUMPRODUCT((Cap_Point&lt;=I1597)*(Cap_Kind="Housing")*Cap_Ln))</x:f>
        <x:v>20000</x:v>
      </x:c>
      <x:c r="M1597" s="10" t="n">
        <x:f>INDEX(v01_GroupCap,G1597)*v01_CohesionFactor*EXP(v01_CapsByProject*SUMPRODUCT((Cap_Point&lt;=I1597)*(Cap_Kind="Group")*Cap_Ln))</x:f>
        <x:v>1000000</x:v>
      </x:c>
      <x:c r="N1597" s="32" t="n">
        <x:f>MIN(J1597,L1597,M1597)</x:f>
        <x:v>12000</x:v>
      </x:c>
      <x:c r="O1597" s="10" t="n">
        <x:f>AE1596*N1597</x:f>
        <x:v>180000</x:v>
      </x:c>
      <x:c r="P1597" s="9" t="n">
        <x:f>MIN(1,(AB1596/(AE1596*IF(v01_GroupInCrowding=1,N1597,MIN(J1597,L1597))))^v01_CrowdingExp)</x:f>
        <x:v>0.00024569414295285325</x:v>
      </x:c>
      <x:c r="Q1597" s="9" t="n">
        <x:f>IF(D1597=1,INDEX(v01_WinterMult,G1597),1)</x:f>
        <x:v>1</x:v>
      </x:c>
      <x:c r="R1597" s="9" t="n">
        <x:f>H1597*Z1596*v01_WomenShare*v01_BaseFertility*INDEX(v01_FertMult,G1597)*Arch_Fertility*(1-P1597)</x:f>
        <x:v>0</x:v>
      </x:c>
      <x:c r="S1597" s="9" t="n">
        <x:f>H1597*Y1596*INDEX(v01_MortChild,G1597)/4*Q1597</x:f>
        <x:v>0</x:v>
      </x:c>
      <x:c r="T1597" s="9" t="n">
        <x:f>H1597*Z1596*INDEX(v01_MortAdult,G1597)*Arch_AdultMort/4*Q1597</x:f>
        <x:v>0</x:v>
      </x:c>
      <x:c r="U1597" s="9" t="n">
        <x:f>H1597*AA1596*INDEX(v01_MortElder,G1597)/4*Q1597</x:f>
        <x:v>0</x:v>
      </x:c>
      <x:c r="V1597" s="9" t="n">
        <x:f>H1597*MAX(0,AB1596-O1597)*v01_OvercapLoss</x:f>
        <x:v>0</x:v>
      </x:c>
      <x:c r="W1597" s="9" t="n">
        <x:f>H1597*Y1596/(v01_ChildYears*4)</x:f>
        <x:v>0</x:v>
      </x:c>
      <x:c r="X1597" s="9" t="n">
        <x:f>H1597*Z1596/(v01_AdultYears*4)</x:f>
        <x:v>0</x:v>
      </x:c>
      <x:c r="Y1597" s="32" t="n">
        <x:f>Y1596+R1597-S1597-W1597-Y1596*V1597/AB1596</x:f>
        <x:v>14306.18539759397</x:v>
      </x:c>
      <x:c r="Z1597" s="32" t="n">
        <x:f>Z1596+W1597-X1597-T1597-Z1596*V1597/AB1596</x:f>
        <x:v>19354.456567879548</x:v>
      </x:c>
      <x:c r="AA1597" s="32" t="n">
        <x:f>AA1596+X1597-U1597-AA1596*V1597/AB1596</x:f>
        <x:v>11386.956063258198</x:v>
      </x:c>
      <x:c r="AB1597" s="10" t="n">
        <x:f>Y1597+Z1597+AA1597</x:f>
        <x:v>45047.59802873172</x:v>
      </x:c>
      <x:c r="AC1597" s="8" t="n">
        <x:f>IF(AND(v01_WinterTrigger=1,D1597=1,AB1596/AE1596&gt;=K1597),1,0)</x:f>
        <x:v>0</x:v>
      </x:c>
      <x:c r="AD1597" s="8" t="n">
        <x:f>H1597*IF(AND(OR(AB1596/AE1596&gt;=v01_FissionTrigger*N1597,AC1597=1),AB1596/AE1596*v01_DaughterShare&gt;=v01_MinDaughter),MAX(1,ROUND(AE1596*v01_FissionRate,0)),0)</x:f>
        <x:v>0</x:v>
      </x:c>
      <x:c r="AE1597" s="8" t="n">
        <x:f>IF(H1597=1,MAX(1,MIN(INDEX(v01_Smax,G1597),AE1596+AD1597)),AE1596)</x:f>
        <x:v>15</x:v>
      </x:c>
      <x:c r="AF1597" s="8" t="n">
        <x:f>MAX(0,AE1597-AE1596)</x:f>
        <x:v>0</x:v>
      </x:c>
      <x:c r="AG1597" s="9" t="str">
        <x:f>IF(AF1597&gt;0,B1597,"")</x:f>
      </x:c>
      <x:c r="AH1597" s="9" t="n">
        <x:f>IF(F1597&gt;=1,1,(1+v01_LowTiesShare*(AE1597-1))/AE1597)</x:f>
        <x:v>1</x:v>
      </x:c>
      <x:c r="AI1597" s="32" t="n">
        <x:f>(Z1597+v01_ElderCommons*INDEX(LM_Elder,G1597)*AA1597)*AH1597</x:f>
        <x:v>64139.732591141874</x:v>
      </x:c>
      <x:c r="AJ1597" s="32" t="n">
        <x:f>H1597*v01_CommonsCoef*AI1597^v01_CommonsExp*INDEX(LM_Commons,G1597)</x:f>
        <x:v>0</x:v>
      </x:c>
      <x:c r="AK1597" s="32" t="n">
        <x:f>H1597*v01_RoleScale*Arch_Roles*(AE1597*(INDEX(v01_ElderRolePerSett,G1597)*v01_OutElder*INDEX(LM_Elder,G1597)+INDEX(v01_ShamanPerSett,G1597)*v01_OutShaman)+Z1597*(INDEX(v01_PriestShare,G1597)*v01_OutPriest+INDEX(v01_ScribeShare,G1597)*v01_OutScribe*INDEX(LM_Scribe,G1597)+INDEX(v01_ScholarShare,G1597)*v01_OutScholar*INDEX(LM_Scholar,G1597)+INDEX(v01_ResearcherShare,G1597)*v01_OutResearcher*INDEX(LM_Researcher,G1597)))</x:f>
        <x:v>0</x:v>
      </x:c>
      <x:c r="AL1597" s="32" t="n">
        <x:f>H1597*v01_RoleScale*Arch_Roles*AE1597*INDEX(v01_MonasteryPerSett,G1597)*v01_OutMonastery*INDEX(LM_Monastery,G1597)</x:f>
        <x:v>0</x:v>
      </x:c>
      <x:c r="AM1597" s="32" t="n">
        <x:f>(AJ1597+AK1597+AL1597)/4*INDEX(LM_All,G1597)*INDEX(v01_Boon,G1597)*Arch_Insight</x:f>
        <x:v>0</x:v>
      </x:c>
      <x:c r="AN1597" s="32" t="n">
        <x:f>H1597*(v01_KHPerAdult*Z1597+v01_KHOfCommons*AJ1597/4*INDEX(LM_All,G1597))*v01_KHUsable*Arch_KH</x:f>
        <x:v>0</x:v>
      </x:c>
      <x:c r="AO1597" s="32" t="n">
        <x:f>MIN(AP1596+AN1597,AM1597*v01_KHMaxRatio)</x:f>
        <x:v>0</x:v>
      </x:c>
      <x:c r="AP1597" s="32" t="n">
        <x:f>AP1596+AN1597-AO1597</x:f>
        <x:v>0</x:v>
      </x:c>
      <x:c r="AQ1597" s="32" t="n">
        <x:f>AM1597+AO1597</x:f>
        <x:v>0</x:v>
      </x:c>
      <x:c r="AR1597" s="10" t="n">
        <x:f>IF(H1597=1,INDEX(v01_Req,G1597),0)</x:f>
        <x:v>0</x:v>
      </x:c>
      <x:c r="AS1597" s="32" t="n">
        <x:f>IF(H1597=1,IF(E1597=1,AS1596-AR1596,AS1596)+AQ1597,0)</x:f>
        <x:v>0</x:v>
      </x:c>
      <x:c r="AT1597" s="11" t="n">
        <x:f>IF(AR1597&gt;0,MIN(1,AS1597/AR1597),1)</x:f>
        <x:v>1</x:v>
      </x:c>
      <x:c r="AU1597" s="10" t="n">
        <x:f>AB1597/INDEX(v01_RepScale,G1597)</x:f>
        <x:v>90.09519605746344</x:v>
      </x:c>
      <x:c r="AV1597" s="32" t="n">
        <x:f>AM1597*60/v01_SeasonSeconds</x:f>
        <x:v>0</x:v>
      </x:c>
    </x:row>
    <x:row r="1598">
      <x:c r="A1598" s="8" t="n">
        <x:f>A1597+1</x:f>
        <x:v>1595</x:v>
      </x:c>
      <x:c r="B1598" s="9" t="n">
        <x:f>A1598*v01_SeasonSeconds/60</x:f>
        <x:v>398.75</x:v>
      </x:c>
      <x:c r="C1598" s="9" t="n">
        <x:f>A1598/4</x:f>
        <x:v>398.75</x:v>
      </x:c>
      <x:c r="D1598" s="8" t="n">
        <x:f>IF(MOD(A1598,4)=0,1,0)</x:f>
        <x:v>0</x:v>
      </x:c>
      <x:c r="E1598" s="8" t="n">
        <x:f>IF(AND(F1597&lt;=9,AS1597&gt;=AR1597),1,0)</x:f>
        <x:v>0</x:v>
      </x:c>
      <x:c r="F1598" s="8" t="n">
        <x:f>MIN(10,F1597+E1598)</x:f>
        <x:v>10</x:v>
      </x:c>
      <x:c r="G1598" s="8" t="n">
        <x:f>MIN(F1598,9)+1</x:f>
        <x:v>10</x:v>
      </x:c>
      <x:c r="H1598" s="8" t="n">
        <x:f>IF(F1598&lt;=9,1,0)</x:f>
        <x:v>0</x:v>
      </x:c>
      <x:c r="I1598" s="9" t="n">
        <x:f>MIN(10,F1597+IF(AR1597&gt;0,MIN(1,AS1597/AR1597),1))</x:f>
        <x:v>10</x:v>
      </x:c>
      <x:c r="J1598" s="32" t="n">
        <x:f>INDEX(v01_FoodCap,G1598)*Arch_FoodCap*EXP(v01_CapsByProject*SUMPRODUCT((Cap_Point&lt;=I1598)*(Cap_Kind="Food")*Cap_Ln))</x:f>
        <x:v>12000</x:v>
      </x:c>
      <x:c r="K1598" s="32" t="n">
        <x:f>J1598*MIN(1,v01_LeanBase*EXP(v01_CapsByProject*SUMPRODUCT((Cap_Point&lt;=I1598)*(Cap_Kind="Lean")*Cap_Ln)))</x:f>
        <x:v>12000</x:v>
      </x:c>
      <x:c r="L1598" s="10" t="n">
        <x:f>INDEX(v01_HousingCap,G1598)*EXP(v01_CapsByProject*SUMPRODUCT((Cap_Point&lt;=I1598)*(Cap_Kind="Housing")*Cap_Ln))</x:f>
        <x:v>20000</x:v>
      </x:c>
      <x:c r="M1598" s="10" t="n">
        <x:f>INDEX(v01_GroupCap,G1598)*v01_CohesionFactor*EXP(v01_CapsByProject*SUMPRODUCT((Cap_Point&lt;=I1598)*(Cap_Kind="Group")*Cap_Ln))</x:f>
        <x:v>1000000</x:v>
      </x:c>
      <x:c r="N1598" s="32" t="n">
        <x:f>MIN(J1598,L1598,M1598)</x:f>
        <x:v>12000</x:v>
      </x:c>
      <x:c r="O1598" s="10" t="n">
        <x:f>AE1597*N1598</x:f>
        <x:v>180000</x:v>
      </x:c>
      <x:c r="P1598" s="9" t="n">
        <x:f>MIN(1,(AB1597/(AE1597*IF(v01_GroupInCrowding=1,N1598,MIN(J1598,L1598))))^v01_CrowdingExp)</x:f>
        <x:v>0.00024569414295285325</x:v>
      </x:c>
      <x:c r="Q1598" s="9" t="n">
        <x:f>IF(D1598=1,INDEX(v01_WinterMult,G1598),1)</x:f>
        <x:v>1</x:v>
      </x:c>
      <x:c r="R1598" s="9" t="n">
        <x:f>H1598*Z1597*v01_WomenShare*v01_BaseFertility*INDEX(v01_FertMult,G1598)*Arch_Fertility*(1-P1598)</x:f>
        <x:v>0</x:v>
      </x:c>
      <x:c r="S1598" s="9" t="n">
        <x:f>H1598*Y1597*INDEX(v01_MortChild,G1598)/4*Q1598</x:f>
        <x:v>0</x:v>
      </x:c>
      <x:c r="T1598" s="9" t="n">
        <x:f>H1598*Z1597*INDEX(v01_MortAdult,G1598)*Arch_AdultMort/4*Q1598</x:f>
        <x:v>0</x:v>
      </x:c>
      <x:c r="U1598" s="9" t="n">
        <x:f>H1598*AA1597*INDEX(v01_MortElder,G1598)/4*Q1598</x:f>
        <x:v>0</x:v>
      </x:c>
      <x:c r="V1598" s="9" t="n">
        <x:f>H1598*MAX(0,AB1597-O1598)*v01_OvercapLoss</x:f>
        <x:v>0</x:v>
      </x:c>
      <x:c r="W1598" s="9" t="n">
        <x:f>H1598*Y1597/(v01_ChildYears*4)</x:f>
        <x:v>0</x:v>
      </x:c>
      <x:c r="X1598" s="9" t="n">
        <x:f>H1598*Z1597/(v01_AdultYears*4)</x:f>
        <x:v>0</x:v>
      </x:c>
      <x:c r="Y1598" s="32" t="n">
        <x:f>Y1597+R1598-S1598-W1598-Y1597*V1598/AB1597</x:f>
        <x:v>14306.18539759397</x:v>
      </x:c>
      <x:c r="Z1598" s="32" t="n">
        <x:f>Z1597+W1598-X1598-T1598-Z1597*V1598/AB1597</x:f>
        <x:v>19354.456567879548</x:v>
      </x:c>
      <x:c r="AA1598" s="32" t="n">
        <x:f>AA1597+X1598-U1598-AA1597*V1598/AB1597</x:f>
        <x:v>11386.956063258198</x:v>
      </x:c>
      <x:c r="AB1598" s="10" t="n">
        <x:f>Y1598+Z1598+AA1598</x:f>
        <x:v>45047.59802873172</x:v>
      </x:c>
      <x:c r="AC1598" s="8" t="n">
        <x:f>IF(AND(v01_WinterTrigger=1,D1598=1,AB1597/AE1597&gt;=K1598),1,0)</x:f>
        <x:v>0</x:v>
      </x:c>
      <x:c r="AD1598" s="8" t="n">
        <x:f>H1598*IF(AND(OR(AB1597/AE1597&gt;=v01_FissionTrigger*N1598,AC1598=1),AB1597/AE1597*v01_DaughterShare&gt;=v01_MinDaughter),MAX(1,ROUND(AE1597*v01_FissionRate,0)),0)</x:f>
        <x:v>0</x:v>
      </x:c>
      <x:c r="AE1598" s="8" t="n">
        <x:f>IF(H1598=1,MAX(1,MIN(INDEX(v01_Smax,G1598),AE1597+AD1598)),AE1597)</x:f>
        <x:v>15</x:v>
      </x:c>
      <x:c r="AF1598" s="8" t="n">
        <x:f>MAX(0,AE1598-AE1597)</x:f>
        <x:v>0</x:v>
      </x:c>
      <x:c r="AG1598" s="9" t="str">
        <x:f>IF(AF1598&gt;0,B1598,"")</x:f>
      </x:c>
      <x:c r="AH1598" s="9" t="n">
        <x:f>IF(F1598&gt;=1,1,(1+v01_LowTiesShare*(AE1598-1))/AE1598)</x:f>
        <x:v>1</x:v>
      </x:c>
      <x:c r="AI1598" s="32" t="n">
        <x:f>(Z1598+v01_ElderCommons*INDEX(LM_Elder,G1598)*AA1598)*AH1598</x:f>
        <x:v>64139.732591141874</x:v>
      </x:c>
      <x:c r="AJ1598" s="32" t="n">
        <x:f>H1598*v01_CommonsCoef*AI1598^v01_CommonsExp*INDEX(LM_Commons,G1598)</x:f>
        <x:v>0</x:v>
      </x:c>
      <x:c r="AK1598" s="32" t="n">
        <x:f>H1598*v01_RoleScale*Arch_Roles*(AE1598*(INDEX(v01_ElderRolePerSett,G1598)*v01_OutElder*INDEX(LM_Elder,G1598)+INDEX(v01_ShamanPerSett,G1598)*v01_OutShaman)+Z1598*(INDEX(v01_PriestShare,G1598)*v01_OutPriest+INDEX(v01_ScribeShare,G1598)*v01_OutScribe*INDEX(LM_Scribe,G1598)+INDEX(v01_ScholarShare,G1598)*v01_OutScholar*INDEX(LM_Scholar,G1598)+INDEX(v01_ResearcherShare,G1598)*v01_OutResearcher*INDEX(LM_Researcher,G1598)))</x:f>
        <x:v>0</x:v>
      </x:c>
      <x:c r="AL1598" s="32" t="n">
        <x:f>H1598*v01_RoleScale*Arch_Roles*AE1598*INDEX(v01_MonasteryPerSett,G1598)*v01_OutMonastery*INDEX(LM_Monastery,G1598)</x:f>
        <x:v>0</x:v>
      </x:c>
      <x:c r="AM1598" s="32" t="n">
        <x:f>(AJ1598+AK1598+AL1598)/4*INDEX(LM_All,G1598)*INDEX(v01_Boon,G1598)*Arch_Insight</x:f>
        <x:v>0</x:v>
      </x:c>
      <x:c r="AN1598" s="32" t="n">
        <x:f>H1598*(v01_KHPerAdult*Z1598+v01_KHOfCommons*AJ1598/4*INDEX(LM_All,G1598))*v01_KHUsable*Arch_KH</x:f>
        <x:v>0</x:v>
      </x:c>
      <x:c r="AO1598" s="32" t="n">
        <x:f>MIN(AP1597+AN1598,AM1598*v01_KHMaxRatio)</x:f>
        <x:v>0</x:v>
      </x:c>
      <x:c r="AP1598" s="32" t="n">
        <x:f>AP1597+AN1598-AO1598</x:f>
        <x:v>0</x:v>
      </x:c>
      <x:c r="AQ1598" s="32" t="n">
        <x:f>AM1598+AO1598</x:f>
        <x:v>0</x:v>
      </x:c>
      <x:c r="AR1598" s="10" t="n">
        <x:f>IF(H1598=1,INDEX(v01_Req,G1598),0)</x:f>
        <x:v>0</x:v>
      </x:c>
      <x:c r="AS1598" s="32" t="n">
        <x:f>IF(H1598=1,IF(E1598=1,AS1597-AR1597,AS1597)+AQ1598,0)</x:f>
        <x:v>0</x:v>
      </x:c>
      <x:c r="AT1598" s="11" t="n">
        <x:f>IF(AR1598&gt;0,MIN(1,AS1598/AR1598),1)</x:f>
        <x:v>1</x:v>
      </x:c>
      <x:c r="AU1598" s="10" t="n">
        <x:f>AB1598/INDEX(v01_RepScale,G1598)</x:f>
        <x:v>90.09519605746344</x:v>
      </x:c>
      <x:c r="AV1598" s="32" t="n">
        <x:f>AM1598*60/v01_SeasonSeconds</x:f>
        <x:v>0</x:v>
      </x:c>
    </x:row>
    <x:row r="1599">
      <x:c r="A1599" s="8" t="n">
        <x:f>A1598+1</x:f>
        <x:v>1596</x:v>
      </x:c>
      <x:c r="B1599" s="9" t="n">
        <x:f>A1599*v01_SeasonSeconds/60</x:f>
        <x:v>399</x:v>
      </x:c>
      <x:c r="C1599" s="9" t="n">
        <x:f>A1599/4</x:f>
        <x:v>399</x:v>
      </x:c>
      <x:c r="D1599" s="8" t="n">
        <x:f>IF(MOD(A1599,4)=0,1,0)</x:f>
        <x:v>1</x:v>
      </x:c>
      <x:c r="E1599" s="8" t="n">
        <x:f>IF(AND(F1598&lt;=9,AS1598&gt;=AR1598),1,0)</x:f>
        <x:v>0</x:v>
      </x:c>
      <x:c r="F1599" s="8" t="n">
        <x:f>MIN(10,F1598+E1599)</x:f>
        <x:v>10</x:v>
      </x:c>
      <x:c r="G1599" s="8" t="n">
        <x:f>MIN(F1599,9)+1</x:f>
        <x:v>10</x:v>
      </x:c>
      <x:c r="H1599" s="8" t="n">
        <x:f>IF(F1599&lt;=9,1,0)</x:f>
        <x:v>0</x:v>
      </x:c>
      <x:c r="I1599" s="9" t="n">
        <x:f>MIN(10,F1598+IF(AR1598&gt;0,MIN(1,AS1598/AR1598),1))</x:f>
        <x:v>10</x:v>
      </x:c>
      <x:c r="J1599" s="32" t="n">
        <x:f>INDEX(v01_FoodCap,G1599)*Arch_FoodCap*EXP(v01_CapsByProject*SUMPRODUCT((Cap_Point&lt;=I1599)*(Cap_Kind="Food")*Cap_Ln))</x:f>
        <x:v>12000</x:v>
      </x:c>
      <x:c r="K1599" s="32" t="n">
        <x:f>J1599*MIN(1,v01_LeanBase*EXP(v01_CapsByProject*SUMPRODUCT((Cap_Point&lt;=I1599)*(Cap_Kind="Lean")*Cap_Ln)))</x:f>
        <x:v>12000</x:v>
      </x:c>
      <x:c r="L1599" s="10" t="n">
        <x:f>INDEX(v01_HousingCap,G1599)*EXP(v01_CapsByProject*SUMPRODUCT((Cap_Point&lt;=I1599)*(Cap_Kind="Housing")*Cap_Ln))</x:f>
        <x:v>20000</x:v>
      </x:c>
      <x:c r="M1599" s="10" t="n">
        <x:f>INDEX(v01_GroupCap,G1599)*v01_CohesionFactor*EXP(v01_CapsByProject*SUMPRODUCT((Cap_Point&lt;=I1599)*(Cap_Kind="Group")*Cap_Ln))</x:f>
        <x:v>1000000</x:v>
      </x:c>
      <x:c r="N1599" s="32" t="n">
        <x:f>MIN(J1599,L1599,M1599)</x:f>
        <x:v>12000</x:v>
      </x:c>
      <x:c r="O1599" s="10" t="n">
        <x:f>AE1598*N1599</x:f>
        <x:v>180000</x:v>
      </x:c>
      <x:c r="P1599" s="9" t="n">
        <x:f>MIN(1,(AB1598/(AE1598*IF(v01_GroupInCrowding=1,N1599,MIN(J1599,L1599))))^v01_CrowdingExp)</x:f>
        <x:v>0.00024569414295285325</x:v>
      </x:c>
      <x:c r="Q1599" s="9" t="n">
        <x:f>IF(D1599=1,INDEX(v01_WinterMult,G1599),1)</x:f>
        <x:v>1</x:v>
      </x:c>
      <x:c r="R1599" s="9" t="n">
        <x:f>H1599*Z1598*v01_WomenShare*v01_BaseFertility*INDEX(v01_FertMult,G1599)*Arch_Fertility*(1-P1599)</x:f>
        <x:v>0</x:v>
      </x:c>
      <x:c r="S1599" s="9" t="n">
        <x:f>H1599*Y1598*INDEX(v01_MortChild,G1599)/4*Q1599</x:f>
        <x:v>0</x:v>
      </x:c>
      <x:c r="T1599" s="9" t="n">
        <x:f>H1599*Z1598*INDEX(v01_MortAdult,G1599)*Arch_AdultMort/4*Q1599</x:f>
        <x:v>0</x:v>
      </x:c>
      <x:c r="U1599" s="9" t="n">
        <x:f>H1599*AA1598*INDEX(v01_MortElder,G1599)/4*Q1599</x:f>
        <x:v>0</x:v>
      </x:c>
      <x:c r="V1599" s="9" t="n">
        <x:f>H1599*MAX(0,AB1598-O1599)*v01_OvercapLoss</x:f>
        <x:v>0</x:v>
      </x:c>
      <x:c r="W1599" s="9" t="n">
        <x:f>H1599*Y1598/(v01_ChildYears*4)</x:f>
        <x:v>0</x:v>
      </x:c>
      <x:c r="X1599" s="9" t="n">
        <x:f>H1599*Z1598/(v01_AdultYears*4)</x:f>
        <x:v>0</x:v>
      </x:c>
      <x:c r="Y1599" s="32" t="n">
        <x:f>Y1598+R1599-S1599-W1599-Y1598*V1599/AB1598</x:f>
        <x:v>14306.18539759397</x:v>
      </x:c>
      <x:c r="Z1599" s="32" t="n">
        <x:f>Z1598+W1599-X1599-T1599-Z1598*V1599/AB1598</x:f>
        <x:v>19354.456567879548</x:v>
      </x:c>
      <x:c r="AA1599" s="32" t="n">
        <x:f>AA1598+X1599-U1599-AA1598*V1599/AB1598</x:f>
        <x:v>11386.956063258198</x:v>
      </x:c>
      <x:c r="AB1599" s="10" t="n">
        <x:f>Y1599+Z1599+AA1599</x:f>
        <x:v>45047.59802873172</x:v>
      </x:c>
      <x:c r="AC1599" s="8" t="n">
        <x:f>IF(AND(v01_WinterTrigger=1,D1599=1,AB1598/AE1598&gt;=K1599),1,0)</x:f>
        <x:v>0</x:v>
      </x:c>
      <x:c r="AD1599" s="8" t="n">
        <x:f>H1599*IF(AND(OR(AB1598/AE1598&gt;=v01_FissionTrigger*N1599,AC1599=1),AB1598/AE1598*v01_DaughterShare&gt;=v01_MinDaughter),MAX(1,ROUND(AE1598*v01_FissionRate,0)),0)</x:f>
        <x:v>0</x:v>
      </x:c>
      <x:c r="AE1599" s="8" t="n">
        <x:f>IF(H1599=1,MAX(1,MIN(INDEX(v01_Smax,G1599),AE1598+AD1599)),AE1598)</x:f>
        <x:v>15</x:v>
      </x:c>
      <x:c r="AF1599" s="8" t="n">
        <x:f>MAX(0,AE1599-AE1598)</x:f>
        <x:v>0</x:v>
      </x:c>
      <x:c r="AG1599" s="9" t="str">
        <x:f>IF(AF1599&gt;0,B1599,"")</x:f>
      </x:c>
      <x:c r="AH1599" s="9" t="n">
        <x:f>IF(F1599&gt;=1,1,(1+v01_LowTiesShare*(AE1599-1))/AE1599)</x:f>
        <x:v>1</x:v>
      </x:c>
      <x:c r="AI1599" s="32" t="n">
        <x:f>(Z1599+v01_ElderCommons*INDEX(LM_Elder,G1599)*AA1599)*AH1599</x:f>
        <x:v>64139.732591141874</x:v>
      </x:c>
      <x:c r="AJ1599" s="32" t="n">
        <x:f>H1599*v01_CommonsCoef*AI1599^v01_CommonsExp*INDEX(LM_Commons,G1599)</x:f>
        <x:v>0</x:v>
      </x:c>
      <x:c r="AK1599" s="32" t="n">
        <x:f>H1599*v01_RoleScale*Arch_Roles*(AE1599*(INDEX(v01_ElderRolePerSett,G1599)*v01_OutElder*INDEX(LM_Elder,G1599)+INDEX(v01_ShamanPerSett,G1599)*v01_OutShaman)+Z1599*(INDEX(v01_PriestShare,G1599)*v01_OutPriest+INDEX(v01_ScribeShare,G1599)*v01_OutScribe*INDEX(LM_Scribe,G1599)+INDEX(v01_ScholarShare,G1599)*v01_OutScholar*INDEX(LM_Scholar,G1599)+INDEX(v01_ResearcherShare,G1599)*v01_OutResearcher*INDEX(LM_Researcher,G1599)))</x:f>
        <x:v>0</x:v>
      </x:c>
      <x:c r="AL1599" s="32" t="n">
        <x:f>H1599*v01_RoleScale*Arch_Roles*AE1599*INDEX(v01_MonasteryPerSett,G1599)*v01_OutMonastery*INDEX(LM_Monastery,G1599)</x:f>
        <x:v>0</x:v>
      </x:c>
      <x:c r="AM1599" s="32" t="n">
        <x:f>(AJ1599+AK1599+AL1599)/4*INDEX(LM_All,G1599)*INDEX(v01_Boon,G1599)*Arch_Insight</x:f>
        <x:v>0</x:v>
      </x:c>
      <x:c r="AN1599" s="32" t="n">
        <x:f>H1599*(v01_KHPerAdult*Z1599+v01_KHOfCommons*AJ1599/4*INDEX(LM_All,G1599))*v01_KHUsable*Arch_KH</x:f>
        <x:v>0</x:v>
      </x:c>
      <x:c r="AO1599" s="32" t="n">
        <x:f>MIN(AP1598+AN1599,AM1599*v01_KHMaxRatio)</x:f>
        <x:v>0</x:v>
      </x:c>
      <x:c r="AP1599" s="32" t="n">
        <x:f>AP1598+AN1599-AO1599</x:f>
        <x:v>0</x:v>
      </x:c>
      <x:c r="AQ1599" s="32" t="n">
        <x:f>AM1599+AO1599</x:f>
        <x:v>0</x:v>
      </x:c>
      <x:c r="AR1599" s="10" t="n">
        <x:f>IF(H1599=1,INDEX(v01_Req,G1599),0)</x:f>
        <x:v>0</x:v>
      </x:c>
      <x:c r="AS1599" s="32" t="n">
        <x:f>IF(H1599=1,IF(E1599=1,AS1598-AR1598,AS1598)+AQ1599,0)</x:f>
        <x:v>0</x:v>
      </x:c>
      <x:c r="AT1599" s="11" t="n">
        <x:f>IF(AR1599&gt;0,MIN(1,AS1599/AR1599),1)</x:f>
        <x:v>1</x:v>
      </x:c>
      <x:c r="AU1599" s="10" t="n">
        <x:f>AB1599/INDEX(v01_RepScale,G1599)</x:f>
        <x:v>90.09519605746344</x:v>
      </x:c>
      <x:c r="AV1599" s="32" t="n">
        <x:f>AM1599*60/v01_SeasonSeconds</x:f>
        <x:v>0</x:v>
      </x:c>
    </x:row>
    <x:row r="1600">
      <x:c r="A1600" s="8" t="n">
        <x:f>A1599+1</x:f>
        <x:v>1597</x:v>
      </x:c>
      <x:c r="B1600" s="9" t="n">
        <x:f>A1600*v01_SeasonSeconds/60</x:f>
        <x:v>399.25</x:v>
      </x:c>
      <x:c r="C1600" s="9" t="n">
        <x:f>A1600/4</x:f>
        <x:v>399.25</x:v>
      </x:c>
      <x:c r="D1600" s="8" t="n">
        <x:f>IF(MOD(A1600,4)=0,1,0)</x:f>
        <x:v>0</x:v>
      </x:c>
      <x:c r="E1600" s="8" t="n">
        <x:f>IF(AND(F1599&lt;=9,AS1599&gt;=AR1599),1,0)</x:f>
        <x:v>0</x:v>
      </x:c>
      <x:c r="F1600" s="8" t="n">
        <x:f>MIN(10,F1599+E1600)</x:f>
        <x:v>10</x:v>
      </x:c>
      <x:c r="G1600" s="8" t="n">
        <x:f>MIN(F1600,9)+1</x:f>
        <x:v>10</x:v>
      </x:c>
      <x:c r="H1600" s="8" t="n">
        <x:f>IF(F1600&lt;=9,1,0)</x:f>
        <x:v>0</x:v>
      </x:c>
      <x:c r="I1600" s="9" t="n">
        <x:f>MIN(10,F1599+IF(AR1599&gt;0,MIN(1,AS1599/AR1599),1))</x:f>
        <x:v>10</x:v>
      </x:c>
      <x:c r="J1600" s="32" t="n">
        <x:f>INDEX(v01_FoodCap,G1600)*Arch_FoodCap*EXP(v01_CapsByProject*SUMPRODUCT((Cap_Point&lt;=I1600)*(Cap_Kind="Food")*Cap_Ln))</x:f>
        <x:v>12000</x:v>
      </x:c>
      <x:c r="K1600" s="32" t="n">
        <x:f>J1600*MIN(1,v01_LeanBase*EXP(v01_CapsByProject*SUMPRODUCT((Cap_Point&lt;=I1600)*(Cap_Kind="Lean")*Cap_Ln)))</x:f>
        <x:v>12000</x:v>
      </x:c>
      <x:c r="L1600" s="10" t="n">
        <x:f>INDEX(v01_HousingCap,G1600)*EXP(v01_CapsByProject*SUMPRODUCT((Cap_Point&lt;=I1600)*(Cap_Kind="Housing")*Cap_Ln))</x:f>
        <x:v>20000</x:v>
      </x:c>
      <x:c r="M1600" s="10" t="n">
        <x:f>INDEX(v01_GroupCap,G1600)*v01_CohesionFactor*EXP(v01_CapsByProject*SUMPRODUCT((Cap_Point&lt;=I1600)*(Cap_Kind="Group")*Cap_Ln))</x:f>
        <x:v>1000000</x:v>
      </x:c>
      <x:c r="N1600" s="32" t="n">
        <x:f>MIN(J1600,L1600,M1600)</x:f>
        <x:v>12000</x:v>
      </x:c>
      <x:c r="O1600" s="10" t="n">
        <x:f>AE1599*N1600</x:f>
        <x:v>180000</x:v>
      </x:c>
      <x:c r="P1600" s="9" t="n">
        <x:f>MIN(1,(AB1599/(AE1599*IF(v01_GroupInCrowding=1,N1600,MIN(J1600,L1600))))^v01_CrowdingExp)</x:f>
        <x:v>0.00024569414295285325</x:v>
      </x:c>
      <x:c r="Q1600" s="9" t="n">
        <x:f>IF(D1600=1,INDEX(v01_WinterMult,G1600),1)</x:f>
        <x:v>1</x:v>
      </x:c>
      <x:c r="R1600" s="9" t="n">
        <x:f>H1600*Z1599*v01_WomenShare*v01_BaseFertility*INDEX(v01_FertMult,G1600)*Arch_Fertility*(1-P1600)</x:f>
        <x:v>0</x:v>
      </x:c>
      <x:c r="S1600" s="9" t="n">
        <x:f>H1600*Y1599*INDEX(v01_MortChild,G1600)/4*Q1600</x:f>
        <x:v>0</x:v>
      </x:c>
      <x:c r="T1600" s="9" t="n">
        <x:f>H1600*Z1599*INDEX(v01_MortAdult,G1600)*Arch_AdultMort/4*Q1600</x:f>
        <x:v>0</x:v>
      </x:c>
      <x:c r="U1600" s="9" t="n">
        <x:f>H1600*AA1599*INDEX(v01_MortElder,G1600)/4*Q1600</x:f>
        <x:v>0</x:v>
      </x:c>
      <x:c r="V1600" s="9" t="n">
        <x:f>H1600*MAX(0,AB1599-O1600)*v01_OvercapLoss</x:f>
        <x:v>0</x:v>
      </x:c>
      <x:c r="W1600" s="9" t="n">
        <x:f>H1600*Y1599/(v01_ChildYears*4)</x:f>
        <x:v>0</x:v>
      </x:c>
      <x:c r="X1600" s="9" t="n">
        <x:f>H1600*Z1599/(v01_AdultYears*4)</x:f>
        <x:v>0</x:v>
      </x:c>
      <x:c r="Y1600" s="32" t="n">
        <x:f>Y1599+R1600-S1600-W1600-Y1599*V1600/AB1599</x:f>
        <x:v>14306.18539759397</x:v>
      </x:c>
      <x:c r="Z1600" s="32" t="n">
        <x:f>Z1599+W1600-X1600-T1600-Z1599*V1600/AB1599</x:f>
        <x:v>19354.456567879548</x:v>
      </x:c>
      <x:c r="AA1600" s="32" t="n">
        <x:f>AA1599+X1600-U1600-AA1599*V1600/AB1599</x:f>
        <x:v>11386.956063258198</x:v>
      </x:c>
      <x:c r="AB1600" s="10" t="n">
        <x:f>Y1600+Z1600+AA1600</x:f>
        <x:v>45047.59802873172</x:v>
      </x:c>
      <x:c r="AC1600" s="8" t="n">
        <x:f>IF(AND(v01_WinterTrigger=1,D1600=1,AB1599/AE1599&gt;=K1600),1,0)</x:f>
        <x:v>0</x:v>
      </x:c>
      <x:c r="AD1600" s="8" t="n">
        <x:f>H1600*IF(AND(OR(AB1599/AE1599&gt;=v01_FissionTrigger*N1600,AC1600=1),AB1599/AE1599*v01_DaughterShare&gt;=v01_MinDaughter),MAX(1,ROUND(AE1599*v01_FissionRate,0)),0)</x:f>
        <x:v>0</x:v>
      </x:c>
      <x:c r="AE1600" s="8" t="n">
        <x:f>IF(H1600=1,MAX(1,MIN(INDEX(v01_Smax,G1600),AE1599+AD1600)),AE1599)</x:f>
        <x:v>15</x:v>
      </x:c>
      <x:c r="AF1600" s="8" t="n">
        <x:f>MAX(0,AE1600-AE1599)</x:f>
        <x:v>0</x:v>
      </x:c>
      <x:c r="AG1600" s="9" t="str">
        <x:f>IF(AF1600&gt;0,B1600,"")</x:f>
      </x:c>
      <x:c r="AH1600" s="9" t="n">
        <x:f>IF(F1600&gt;=1,1,(1+v01_LowTiesShare*(AE1600-1))/AE1600)</x:f>
        <x:v>1</x:v>
      </x:c>
      <x:c r="AI1600" s="32" t="n">
        <x:f>(Z1600+v01_ElderCommons*INDEX(LM_Elder,G1600)*AA1600)*AH1600</x:f>
        <x:v>64139.732591141874</x:v>
      </x:c>
      <x:c r="AJ1600" s="32" t="n">
        <x:f>H1600*v01_CommonsCoef*AI1600^v01_CommonsExp*INDEX(LM_Commons,G1600)</x:f>
        <x:v>0</x:v>
      </x:c>
      <x:c r="AK1600" s="32" t="n">
        <x:f>H1600*v01_RoleScale*Arch_Roles*(AE1600*(INDEX(v01_ElderRolePerSett,G1600)*v01_OutElder*INDEX(LM_Elder,G1600)+INDEX(v01_ShamanPerSett,G1600)*v01_OutShaman)+Z1600*(INDEX(v01_PriestShare,G1600)*v01_OutPriest+INDEX(v01_ScribeShare,G1600)*v01_OutScribe*INDEX(LM_Scribe,G1600)+INDEX(v01_ScholarShare,G1600)*v01_OutScholar*INDEX(LM_Scholar,G1600)+INDEX(v01_ResearcherShare,G1600)*v01_OutResearcher*INDEX(LM_Researcher,G1600)))</x:f>
        <x:v>0</x:v>
      </x:c>
      <x:c r="AL1600" s="32" t="n">
        <x:f>H1600*v01_RoleScale*Arch_Roles*AE1600*INDEX(v01_MonasteryPerSett,G1600)*v01_OutMonastery*INDEX(LM_Monastery,G1600)</x:f>
        <x:v>0</x:v>
      </x:c>
      <x:c r="AM1600" s="32" t="n">
        <x:f>(AJ1600+AK1600+AL1600)/4*INDEX(LM_All,G1600)*INDEX(v01_Boon,G1600)*Arch_Insight</x:f>
        <x:v>0</x:v>
      </x:c>
      <x:c r="AN1600" s="32" t="n">
        <x:f>H1600*(v01_KHPerAdult*Z1600+v01_KHOfCommons*AJ1600/4*INDEX(LM_All,G1600))*v01_KHUsable*Arch_KH</x:f>
        <x:v>0</x:v>
      </x:c>
      <x:c r="AO1600" s="32" t="n">
        <x:f>MIN(AP1599+AN1600,AM1600*v01_KHMaxRatio)</x:f>
        <x:v>0</x:v>
      </x:c>
      <x:c r="AP1600" s="32" t="n">
        <x:f>AP1599+AN1600-AO1600</x:f>
        <x:v>0</x:v>
      </x:c>
      <x:c r="AQ1600" s="32" t="n">
        <x:f>AM1600+AO1600</x:f>
        <x:v>0</x:v>
      </x:c>
      <x:c r="AR1600" s="10" t="n">
        <x:f>IF(H1600=1,INDEX(v01_Req,G1600),0)</x:f>
        <x:v>0</x:v>
      </x:c>
      <x:c r="AS1600" s="32" t="n">
        <x:f>IF(H1600=1,IF(E1600=1,AS1599-AR1599,AS1599)+AQ1600,0)</x:f>
        <x:v>0</x:v>
      </x:c>
      <x:c r="AT1600" s="11" t="n">
        <x:f>IF(AR1600&gt;0,MIN(1,AS1600/AR1600),1)</x:f>
        <x:v>1</x:v>
      </x:c>
      <x:c r="AU1600" s="10" t="n">
        <x:f>AB1600/INDEX(v01_RepScale,G1600)</x:f>
        <x:v>90.09519605746344</x:v>
      </x:c>
      <x:c r="AV1600" s="32" t="n">
        <x:f>AM1600*60/v01_SeasonSeconds</x:f>
        <x:v>0</x:v>
      </x:c>
    </x:row>
    <x:row r="1601">
      <x:c r="A1601" s="8" t="n">
        <x:f>A1600+1</x:f>
        <x:v>1598</x:v>
      </x:c>
      <x:c r="B1601" s="9" t="n">
        <x:f>A1601*v01_SeasonSeconds/60</x:f>
        <x:v>399.5</x:v>
      </x:c>
      <x:c r="C1601" s="9" t="n">
        <x:f>A1601/4</x:f>
        <x:v>399.5</x:v>
      </x:c>
      <x:c r="D1601" s="8" t="n">
        <x:f>IF(MOD(A1601,4)=0,1,0)</x:f>
        <x:v>0</x:v>
      </x:c>
      <x:c r="E1601" s="8" t="n">
        <x:f>IF(AND(F1600&lt;=9,AS1600&gt;=AR1600),1,0)</x:f>
        <x:v>0</x:v>
      </x:c>
      <x:c r="F1601" s="8" t="n">
        <x:f>MIN(10,F1600+E1601)</x:f>
        <x:v>10</x:v>
      </x:c>
      <x:c r="G1601" s="8" t="n">
        <x:f>MIN(F1601,9)+1</x:f>
        <x:v>10</x:v>
      </x:c>
      <x:c r="H1601" s="8" t="n">
        <x:f>IF(F1601&lt;=9,1,0)</x:f>
        <x:v>0</x:v>
      </x:c>
      <x:c r="I1601" s="9" t="n">
        <x:f>MIN(10,F1600+IF(AR1600&gt;0,MIN(1,AS1600/AR1600),1))</x:f>
        <x:v>10</x:v>
      </x:c>
      <x:c r="J1601" s="32" t="n">
        <x:f>INDEX(v01_FoodCap,G1601)*Arch_FoodCap*EXP(v01_CapsByProject*SUMPRODUCT((Cap_Point&lt;=I1601)*(Cap_Kind="Food")*Cap_Ln))</x:f>
        <x:v>12000</x:v>
      </x:c>
      <x:c r="K1601" s="32" t="n">
        <x:f>J1601*MIN(1,v01_LeanBase*EXP(v01_CapsByProject*SUMPRODUCT((Cap_Point&lt;=I1601)*(Cap_Kind="Lean")*Cap_Ln)))</x:f>
        <x:v>12000</x:v>
      </x:c>
      <x:c r="L1601" s="10" t="n">
        <x:f>INDEX(v01_HousingCap,G1601)*EXP(v01_CapsByProject*SUMPRODUCT((Cap_Point&lt;=I1601)*(Cap_Kind="Housing")*Cap_Ln))</x:f>
        <x:v>20000</x:v>
      </x:c>
      <x:c r="M1601" s="10" t="n">
        <x:f>INDEX(v01_GroupCap,G1601)*v01_CohesionFactor*EXP(v01_CapsByProject*SUMPRODUCT((Cap_Point&lt;=I1601)*(Cap_Kind="Group")*Cap_Ln))</x:f>
        <x:v>1000000</x:v>
      </x:c>
      <x:c r="N1601" s="32" t="n">
        <x:f>MIN(J1601,L1601,M1601)</x:f>
        <x:v>12000</x:v>
      </x:c>
      <x:c r="O1601" s="10" t="n">
        <x:f>AE1600*N1601</x:f>
        <x:v>180000</x:v>
      </x:c>
      <x:c r="P1601" s="9" t="n">
        <x:f>MIN(1,(AB1600/(AE1600*IF(v01_GroupInCrowding=1,N1601,MIN(J1601,L1601))))^v01_CrowdingExp)</x:f>
        <x:v>0.00024569414295285325</x:v>
      </x:c>
      <x:c r="Q1601" s="9" t="n">
        <x:f>IF(D1601=1,INDEX(v01_WinterMult,G1601),1)</x:f>
        <x:v>1</x:v>
      </x:c>
      <x:c r="R1601" s="9" t="n">
        <x:f>H1601*Z1600*v01_WomenShare*v01_BaseFertility*INDEX(v01_FertMult,G1601)*Arch_Fertility*(1-P1601)</x:f>
        <x:v>0</x:v>
      </x:c>
      <x:c r="S1601" s="9" t="n">
        <x:f>H1601*Y1600*INDEX(v01_MortChild,G1601)/4*Q1601</x:f>
        <x:v>0</x:v>
      </x:c>
      <x:c r="T1601" s="9" t="n">
        <x:f>H1601*Z1600*INDEX(v01_MortAdult,G1601)*Arch_AdultMort/4*Q1601</x:f>
        <x:v>0</x:v>
      </x:c>
      <x:c r="U1601" s="9" t="n">
        <x:f>H1601*AA1600*INDEX(v01_MortElder,G1601)/4*Q1601</x:f>
        <x:v>0</x:v>
      </x:c>
      <x:c r="V1601" s="9" t="n">
        <x:f>H1601*MAX(0,AB1600-O1601)*v01_OvercapLoss</x:f>
        <x:v>0</x:v>
      </x:c>
      <x:c r="W1601" s="9" t="n">
        <x:f>H1601*Y1600/(v01_ChildYears*4)</x:f>
        <x:v>0</x:v>
      </x:c>
      <x:c r="X1601" s="9" t="n">
        <x:f>H1601*Z1600/(v01_AdultYears*4)</x:f>
        <x:v>0</x:v>
      </x:c>
      <x:c r="Y1601" s="32" t="n">
        <x:f>Y1600+R1601-S1601-W1601-Y1600*V1601/AB1600</x:f>
        <x:v>14306.18539759397</x:v>
      </x:c>
      <x:c r="Z1601" s="32" t="n">
        <x:f>Z1600+W1601-X1601-T1601-Z1600*V1601/AB1600</x:f>
        <x:v>19354.456567879548</x:v>
      </x:c>
      <x:c r="AA1601" s="32" t="n">
        <x:f>AA1600+X1601-U1601-AA1600*V1601/AB1600</x:f>
        <x:v>11386.956063258198</x:v>
      </x:c>
      <x:c r="AB1601" s="10" t="n">
        <x:f>Y1601+Z1601+AA1601</x:f>
        <x:v>45047.59802873172</x:v>
      </x:c>
      <x:c r="AC1601" s="8" t="n">
        <x:f>IF(AND(v01_WinterTrigger=1,D1601=1,AB1600/AE1600&gt;=K1601),1,0)</x:f>
        <x:v>0</x:v>
      </x:c>
      <x:c r="AD1601" s="8" t="n">
        <x:f>H1601*IF(AND(OR(AB1600/AE1600&gt;=v01_FissionTrigger*N1601,AC1601=1),AB1600/AE1600*v01_DaughterShare&gt;=v01_MinDaughter),MAX(1,ROUND(AE1600*v01_FissionRate,0)),0)</x:f>
        <x:v>0</x:v>
      </x:c>
      <x:c r="AE1601" s="8" t="n">
        <x:f>IF(H1601=1,MAX(1,MIN(INDEX(v01_Smax,G1601),AE1600+AD1601)),AE1600)</x:f>
        <x:v>15</x:v>
      </x:c>
      <x:c r="AF1601" s="8" t="n">
        <x:f>MAX(0,AE1601-AE1600)</x:f>
        <x:v>0</x:v>
      </x:c>
      <x:c r="AG1601" s="9" t="str">
        <x:f>IF(AF1601&gt;0,B1601,"")</x:f>
      </x:c>
      <x:c r="AH1601" s="9" t="n">
        <x:f>IF(F1601&gt;=1,1,(1+v01_LowTiesShare*(AE1601-1))/AE1601)</x:f>
        <x:v>1</x:v>
      </x:c>
      <x:c r="AI1601" s="32" t="n">
        <x:f>(Z1601+v01_ElderCommons*INDEX(LM_Elder,G1601)*AA1601)*AH1601</x:f>
        <x:v>64139.732591141874</x:v>
      </x:c>
      <x:c r="AJ1601" s="32" t="n">
        <x:f>H1601*v01_CommonsCoef*AI1601^v01_CommonsExp*INDEX(LM_Commons,G1601)</x:f>
        <x:v>0</x:v>
      </x:c>
      <x:c r="AK1601" s="32" t="n">
        <x:f>H1601*v01_RoleScale*Arch_Roles*(AE1601*(INDEX(v01_ElderRolePerSett,G1601)*v01_OutElder*INDEX(LM_Elder,G1601)+INDEX(v01_ShamanPerSett,G1601)*v01_OutShaman)+Z1601*(INDEX(v01_PriestShare,G1601)*v01_OutPriest+INDEX(v01_ScribeShare,G1601)*v01_OutScribe*INDEX(LM_Scribe,G1601)+INDEX(v01_ScholarShare,G1601)*v01_OutScholar*INDEX(LM_Scholar,G1601)+INDEX(v01_ResearcherShare,G1601)*v01_OutResearcher*INDEX(LM_Researcher,G1601)))</x:f>
        <x:v>0</x:v>
      </x:c>
      <x:c r="AL1601" s="32" t="n">
        <x:f>H1601*v01_RoleScale*Arch_Roles*AE1601*INDEX(v01_MonasteryPerSett,G1601)*v01_OutMonastery*INDEX(LM_Monastery,G1601)</x:f>
        <x:v>0</x:v>
      </x:c>
      <x:c r="AM1601" s="32" t="n">
        <x:f>(AJ1601+AK1601+AL1601)/4*INDEX(LM_All,G1601)*INDEX(v01_Boon,G1601)*Arch_Insight</x:f>
        <x:v>0</x:v>
      </x:c>
      <x:c r="AN1601" s="32" t="n">
        <x:f>H1601*(v01_KHPerAdult*Z1601+v01_KHOfCommons*AJ1601/4*INDEX(LM_All,G1601))*v01_KHUsable*Arch_KH</x:f>
        <x:v>0</x:v>
      </x:c>
      <x:c r="AO1601" s="32" t="n">
        <x:f>MIN(AP1600+AN1601,AM1601*v01_KHMaxRatio)</x:f>
        <x:v>0</x:v>
      </x:c>
      <x:c r="AP1601" s="32" t="n">
        <x:f>AP1600+AN1601-AO1601</x:f>
        <x:v>0</x:v>
      </x:c>
      <x:c r="AQ1601" s="32" t="n">
        <x:f>AM1601+AO1601</x:f>
        <x:v>0</x:v>
      </x:c>
      <x:c r="AR1601" s="10" t="n">
        <x:f>IF(H1601=1,INDEX(v01_Req,G1601),0)</x:f>
        <x:v>0</x:v>
      </x:c>
      <x:c r="AS1601" s="32" t="n">
        <x:f>IF(H1601=1,IF(E1601=1,AS1600-AR1600,AS1600)+AQ1601,0)</x:f>
        <x:v>0</x:v>
      </x:c>
      <x:c r="AT1601" s="11" t="n">
        <x:f>IF(AR1601&gt;0,MIN(1,AS1601/AR1601),1)</x:f>
        <x:v>1</x:v>
      </x:c>
      <x:c r="AU1601" s="10" t="n">
        <x:f>AB1601/INDEX(v01_RepScale,G1601)</x:f>
        <x:v>90.09519605746344</x:v>
      </x:c>
      <x:c r="AV1601" s="32" t="n">
        <x:f>AM1601*60/v01_SeasonSeconds</x:f>
        <x:v>0</x:v>
      </x:c>
    </x:row>
    <x:row r="1602">
      <x:c r="A1602" s="8" t="n">
        <x:f>A1601+1</x:f>
        <x:v>1599</x:v>
      </x:c>
      <x:c r="B1602" s="9" t="n">
        <x:f>A1602*v01_SeasonSeconds/60</x:f>
        <x:v>399.75</x:v>
      </x:c>
      <x:c r="C1602" s="9" t="n">
        <x:f>A1602/4</x:f>
        <x:v>399.75</x:v>
      </x:c>
      <x:c r="D1602" s="8" t="n">
        <x:f>IF(MOD(A1602,4)=0,1,0)</x:f>
        <x:v>0</x:v>
      </x:c>
      <x:c r="E1602" s="8" t="n">
        <x:f>IF(AND(F1601&lt;=9,AS1601&gt;=AR1601),1,0)</x:f>
        <x:v>0</x:v>
      </x:c>
      <x:c r="F1602" s="8" t="n">
        <x:f>MIN(10,F1601+E1602)</x:f>
        <x:v>10</x:v>
      </x:c>
      <x:c r="G1602" s="8" t="n">
        <x:f>MIN(F1602,9)+1</x:f>
        <x:v>10</x:v>
      </x:c>
      <x:c r="H1602" s="8" t="n">
        <x:f>IF(F1602&lt;=9,1,0)</x:f>
        <x:v>0</x:v>
      </x:c>
      <x:c r="I1602" s="9" t="n">
        <x:f>MIN(10,F1601+IF(AR1601&gt;0,MIN(1,AS1601/AR1601),1))</x:f>
        <x:v>10</x:v>
      </x:c>
      <x:c r="J1602" s="32" t="n">
        <x:f>INDEX(v01_FoodCap,G1602)*Arch_FoodCap*EXP(v01_CapsByProject*SUMPRODUCT((Cap_Point&lt;=I1602)*(Cap_Kind="Food")*Cap_Ln))</x:f>
        <x:v>12000</x:v>
      </x:c>
      <x:c r="K1602" s="32" t="n">
        <x:f>J1602*MIN(1,v01_LeanBase*EXP(v01_CapsByProject*SUMPRODUCT((Cap_Point&lt;=I1602)*(Cap_Kind="Lean")*Cap_Ln)))</x:f>
        <x:v>12000</x:v>
      </x:c>
      <x:c r="L1602" s="10" t="n">
        <x:f>INDEX(v01_HousingCap,G1602)*EXP(v01_CapsByProject*SUMPRODUCT((Cap_Point&lt;=I1602)*(Cap_Kind="Housing")*Cap_Ln))</x:f>
        <x:v>20000</x:v>
      </x:c>
      <x:c r="M1602" s="10" t="n">
        <x:f>INDEX(v01_GroupCap,G1602)*v01_CohesionFactor*EXP(v01_CapsByProject*SUMPRODUCT((Cap_Point&lt;=I1602)*(Cap_Kind="Group")*Cap_Ln))</x:f>
        <x:v>1000000</x:v>
      </x:c>
      <x:c r="N1602" s="32" t="n">
        <x:f>MIN(J1602,L1602,M1602)</x:f>
        <x:v>12000</x:v>
      </x:c>
      <x:c r="O1602" s="10" t="n">
        <x:f>AE1601*N1602</x:f>
        <x:v>180000</x:v>
      </x:c>
      <x:c r="P1602" s="9" t="n">
        <x:f>MIN(1,(AB1601/(AE1601*IF(v01_GroupInCrowding=1,N1602,MIN(J1602,L1602))))^v01_CrowdingExp)</x:f>
        <x:v>0.00024569414295285325</x:v>
      </x:c>
      <x:c r="Q1602" s="9" t="n">
        <x:f>IF(D1602=1,INDEX(v01_WinterMult,G1602),1)</x:f>
        <x:v>1</x:v>
      </x:c>
      <x:c r="R1602" s="9" t="n">
        <x:f>H1602*Z1601*v01_WomenShare*v01_BaseFertility*INDEX(v01_FertMult,G1602)*Arch_Fertility*(1-P1602)</x:f>
        <x:v>0</x:v>
      </x:c>
      <x:c r="S1602" s="9" t="n">
        <x:f>H1602*Y1601*INDEX(v01_MortChild,G1602)/4*Q1602</x:f>
        <x:v>0</x:v>
      </x:c>
      <x:c r="T1602" s="9" t="n">
        <x:f>H1602*Z1601*INDEX(v01_MortAdult,G1602)*Arch_AdultMort/4*Q1602</x:f>
        <x:v>0</x:v>
      </x:c>
      <x:c r="U1602" s="9" t="n">
        <x:f>H1602*AA1601*INDEX(v01_MortElder,G1602)/4*Q1602</x:f>
        <x:v>0</x:v>
      </x:c>
      <x:c r="V1602" s="9" t="n">
        <x:f>H1602*MAX(0,AB1601-O1602)*v01_OvercapLoss</x:f>
        <x:v>0</x:v>
      </x:c>
      <x:c r="W1602" s="9" t="n">
        <x:f>H1602*Y1601/(v01_ChildYears*4)</x:f>
        <x:v>0</x:v>
      </x:c>
      <x:c r="X1602" s="9" t="n">
        <x:f>H1602*Z1601/(v01_AdultYears*4)</x:f>
        <x:v>0</x:v>
      </x:c>
      <x:c r="Y1602" s="32" t="n">
        <x:f>Y1601+R1602-S1602-W1602-Y1601*V1602/AB1601</x:f>
        <x:v>14306.18539759397</x:v>
      </x:c>
      <x:c r="Z1602" s="32" t="n">
        <x:f>Z1601+W1602-X1602-T1602-Z1601*V1602/AB1601</x:f>
        <x:v>19354.456567879548</x:v>
      </x:c>
      <x:c r="AA1602" s="32" t="n">
        <x:f>AA1601+X1602-U1602-AA1601*V1602/AB1601</x:f>
        <x:v>11386.956063258198</x:v>
      </x:c>
      <x:c r="AB1602" s="10" t="n">
        <x:f>Y1602+Z1602+AA1602</x:f>
        <x:v>45047.59802873172</x:v>
      </x:c>
      <x:c r="AC1602" s="8" t="n">
        <x:f>IF(AND(v01_WinterTrigger=1,D1602=1,AB1601/AE1601&gt;=K1602),1,0)</x:f>
        <x:v>0</x:v>
      </x:c>
      <x:c r="AD1602" s="8" t="n">
        <x:f>H1602*IF(AND(OR(AB1601/AE1601&gt;=v01_FissionTrigger*N1602,AC1602=1),AB1601/AE1601*v01_DaughterShare&gt;=v01_MinDaughter),MAX(1,ROUND(AE1601*v01_FissionRate,0)),0)</x:f>
        <x:v>0</x:v>
      </x:c>
      <x:c r="AE1602" s="8" t="n">
        <x:f>IF(H1602=1,MAX(1,MIN(INDEX(v01_Smax,G1602),AE1601+AD1602)),AE1601)</x:f>
        <x:v>15</x:v>
      </x:c>
      <x:c r="AF1602" s="8" t="n">
        <x:f>MAX(0,AE1602-AE1601)</x:f>
        <x:v>0</x:v>
      </x:c>
      <x:c r="AG1602" s="9" t="str">
        <x:f>IF(AF1602&gt;0,B1602,"")</x:f>
      </x:c>
      <x:c r="AH1602" s="9" t="n">
        <x:f>IF(F1602&gt;=1,1,(1+v01_LowTiesShare*(AE1602-1))/AE1602)</x:f>
        <x:v>1</x:v>
      </x:c>
      <x:c r="AI1602" s="32" t="n">
        <x:f>(Z1602+v01_ElderCommons*INDEX(LM_Elder,G1602)*AA1602)*AH1602</x:f>
        <x:v>64139.732591141874</x:v>
      </x:c>
      <x:c r="AJ1602" s="32" t="n">
        <x:f>H1602*v01_CommonsCoef*AI1602^v01_CommonsExp*INDEX(LM_Commons,G1602)</x:f>
        <x:v>0</x:v>
      </x:c>
      <x:c r="AK1602" s="32" t="n">
        <x:f>H1602*v01_RoleScale*Arch_Roles*(AE1602*(INDEX(v01_ElderRolePerSett,G1602)*v01_OutElder*INDEX(LM_Elder,G1602)+INDEX(v01_ShamanPerSett,G1602)*v01_OutShaman)+Z1602*(INDEX(v01_PriestShare,G1602)*v01_OutPriest+INDEX(v01_ScribeShare,G1602)*v01_OutScribe*INDEX(LM_Scribe,G1602)+INDEX(v01_ScholarShare,G1602)*v01_OutScholar*INDEX(LM_Scholar,G1602)+INDEX(v01_ResearcherShare,G1602)*v01_OutResearcher*INDEX(LM_Researcher,G1602)))</x:f>
        <x:v>0</x:v>
      </x:c>
      <x:c r="AL1602" s="32" t="n">
        <x:f>H1602*v01_RoleScale*Arch_Roles*AE1602*INDEX(v01_MonasteryPerSett,G1602)*v01_OutMonastery*INDEX(LM_Monastery,G1602)</x:f>
        <x:v>0</x:v>
      </x:c>
      <x:c r="AM1602" s="32" t="n">
        <x:f>(AJ1602+AK1602+AL1602)/4*INDEX(LM_All,G1602)*INDEX(v01_Boon,G1602)*Arch_Insight</x:f>
        <x:v>0</x:v>
      </x:c>
      <x:c r="AN1602" s="32" t="n">
        <x:f>H1602*(v01_KHPerAdult*Z1602+v01_KHOfCommons*AJ1602/4*INDEX(LM_All,G1602))*v01_KHUsable*Arch_KH</x:f>
        <x:v>0</x:v>
      </x:c>
      <x:c r="AO1602" s="32" t="n">
        <x:f>MIN(AP1601+AN1602,AM1602*v01_KHMaxRatio)</x:f>
        <x:v>0</x:v>
      </x:c>
      <x:c r="AP1602" s="32" t="n">
        <x:f>AP1601+AN1602-AO1602</x:f>
        <x:v>0</x:v>
      </x:c>
      <x:c r="AQ1602" s="32" t="n">
        <x:f>AM1602+AO1602</x:f>
        <x:v>0</x:v>
      </x:c>
      <x:c r="AR1602" s="10" t="n">
        <x:f>IF(H1602=1,INDEX(v01_Req,G1602),0)</x:f>
        <x:v>0</x:v>
      </x:c>
      <x:c r="AS1602" s="32" t="n">
        <x:f>IF(H1602=1,IF(E1602=1,AS1601-AR1601,AS1601)+AQ1602,0)</x:f>
        <x:v>0</x:v>
      </x:c>
      <x:c r="AT1602" s="11" t="n">
        <x:f>IF(AR1602&gt;0,MIN(1,AS1602/AR1602),1)</x:f>
        <x:v>1</x:v>
      </x:c>
      <x:c r="AU1602" s="10" t="n">
        <x:f>AB1602/INDEX(v01_RepScale,G1602)</x:f>
        <x:v>90.09519605746344</x:v>
      </x:c>
      <x:c r="AV1602" s="32" t="n">
        <x:f>AM1602*60/v01_SeasonSeconds</x:f>
        <x:v>0</x:v>
      </x:c>
    </x:row>
    <x:row r="1603">
      <x:c r="A1603" s="8" t="n">
        <x:f>A1602+1</x:f>
        <x:v>1600</x:v>
      </x:c>
      <x:c r="B1603" s="9" t="n">
        <x:f>A1603*v01_SeasonSeconds/60</x:f>
        <x:v>400</x:v>
      </x:c>
      <x:c r="C1603" s="9" t="n">
        <x:f>A1603/4</x:f>
        <x:v>400</x:v>
      </x:c>
      <x:c r="D1603" s="8" t="n">
        <x:f>IF(MOD(A1603,4)=0,1,0)</x:f>
        <x:v>1</x:v>
      </x:c>
      <x:c r="E1603" s="8" t="n">
        <x:f>IF(AND(F1602&lt;=9,AS1602&gt;=AR1602),1,0)</x:f>
        <x:v>0</x:v>
      </x:c>
      <x:c r="F1603" s="8" t="n">
        <x:f>MIN(10,F1602+E1603)</x:f>
        <x:v>10</x:v>
      </x:c>
      <x:c r="G1603" s="8" t="n">
        <x:f>MIN(F1603,9)+1</x:f>
        <x:v>10</x:v>
      </x:c>
      <x:c r="H1603" s="8" t="n">
        <x:f>IF(F1603&lt;=9,1,0)</x:f>
        <x:v>0</x:v>
      </x:c>
      <x:c r="I1603" s="9" t="n">
        <x:f>MIN(10,F1602+IF(AR1602&gt;0,MIN(1,AS1602/AR1602),1))</x:f>
        <x:v>10</x:v>
      </x:c>
      <x:c r="J1603" s="32" t="n">
        <x:f>INDEX(v01_FoodCap,G1603)*Arch_FoodCap*EXP(v01_CapsByProject*SUMPRODUCT((Cap_Point&lt;=I1603)*(Cap_Kind="Food")*Cap_Ln))</x:f>
        <x:v>12000</x:v>
      </x:c>
      <x:c r="K1603" s="32" t="n">
        <x:f>J1603*MIN(1,v01_LeanBase*EXP(v01_CapsByProject*SUMPRODUCT((Cap_Point&lt;=I1603)*(Cap_Kind="Lean")*Cap_Ln)))</x:f>
        <x:v>12000</x:v>
      </x:c>
      <x:c r="L1603" s="10" t="n">
        <x:f>INDEX(v01_HousingCap,G1603)*EXP(v01_CapsByProject*SUMPRODUCT((Cap_Point&lt;=I1603)*(Cap_Kind="Housing")*Cap_Ln))</x:f>
        <x:v>20000</x:v>
      </x:c>
      <x:c r="M1603" s="10" t="n">
        <x:f>INDEX(v01_GroupCap,G1603)*v01_CohesionFactor*EXP(v01_CapsByProject*SUMPRODUCT((Cap_Point&lt;=I1603)*(Cap_Kind="Group")*Cap_Ln))</x:f>
        <x:v>1000000</x:v>
      </x:c>
      <x:c r="N1603" s="32" t="n">
        <x:f>MIN(J1603,L1603,M1603)</x:f>
        <x:v>12000</x:v>
      </x:c>
      <x:c r="O1603" s="10" t="n">
        <x:f>AE1602*N1603</x:f>
        <x:v>180000</x:v>
      </x:c>
      <x:c r="P1603" s="9" t="n">
        <x:f>MIN(1,(AB1602/(AE1602*IF(v01_GroupInCrowding=1,N1603,MIN(J1603,L1603))))^v01_CrowdingExp)</x:f>
        <x:v>0.00024569414295285325</x:v>
      </x:c>
      <x:c r="Q1603" s="9" t="n">
        <x:f>IF(D1603=1,INDEX(v01_WinterMult,G1603),1)</x:f>
        <x:v>1</x:v>
      </x:c>
      <x:c r="R1603" s="9" t="n">
        <x:f>H1603*Z1602*v01_WomenShare*v01_BaseFertility*INDEX(v01_FertMult,G1603)*Arch_Fertility*(1-P1603)</x:f>
        <x:v>0</x:v>
      </x:c>
      <x:c r="S1603" s="9" t="n">
        <x:f>H1603*Y1602*INDEX(v01_MortChild,G1603)/4*Q1603</x:f>
        <x:v>0</x:v>
      </x:c>
      <x:c r="T1603" s="9" t="n">
        <x:f>H1603*Z1602*INDEX(v01_MortAdult,G1603)*Arch_AdultMort/4*Q1603</x:f>
        <x:v>0</x:v>
      </x:c>
      <x:c r="U1603" s="9" t="n">
        <x:f>H1603*AA1602*INDEX(v01_MortElder,G1603)/4*Q1603</x:f>
        <x:v>0</x:v>
      </x:c>
      <x:c r="V1603" s="9" t="n">
        <x:f>H1603*MAX(0,AB1602-O1603)*v01_OvercapLoss</x:f>
        <x:v>0</x:v>
      </x:c>
      <x:c r="W1603" s="9" t="n">
        <x:f>H1603*Y1602/(v01_ChildYears*4)</x:f>
        <x:v>0</x:v>
      </x:c>
      <x:c r="X1603" s="9" t="n">
        <x:f>H1603*Z1602/(v01_AdultYears*4)</x:f>
        <x:v>0</x:v>
      </x:c>
      <x:c r="Y1603" s="32" t="n">
        <x:f>Y1602+R1603-S1603-W1603-Y1602*V1603/AB1602</x:f>
        <x:v>14306.18539759397</x:v>
      </x:c>
      <x:c r="Z1603" s="32" t="n">
        <x:f>Z1602+W1603-X1603-T1603-Z1602*V1603/AB1602</x:f>
        <x:v>19354.456567879548</x:v>
      </x:c>
      <x:c r="AA1603" s="32" t="n">
        <x:f>AA1602+X1603-U1603-AA1602*V1603/AB1602</x:f>
        <x:v>11386.956063258198</x:v>
      </x:c>
      <x:c r="AB1603" s="10" t="n">
        <x:f>Y1603+Z1603+AA1603</x:f>
        <x:v>45047.59802873172</x:v>
      </x:c>
      <x:c r="AC1603" s="8" t="n">
        <x:f>IF(AND(v01_WinterTrigger=1,D1603=1,AB1602/AE1602&gt;=K1603),1,0)</x:f>
        <x:v>0</x:v>
      </x:c>
      <x:c r="AD1603" s="8" t="n">
        <x:f>H1603*IF(AND(OR(AB1602/AE1602&gt;=v01_FissionTrigger*N1603,AC1603=1),AB1602/AE1602*v01_DaughterShare&gt;=v01_MinDaughter),MAX(1,ROUND(AE1602*v01_FissionRate,0)),0)</x:f>
        <x:v>0</x:v>
      </x:c>
      <x:c r="AE1603" s="8" t="n">
        <x:f>IF(H1603=1,MAX(1,MIN(INDEX(v01_Smax,G1603),AE1602+AD1603)),AE1602)</x:f>
        <x:v>15</x:v>
      </x:c>
      <x:c r="AF1603" s="8" t="n">
        <x:f>MAX(0,AE1603-AE1602)</x:f>
        <x:v>0</x:v>
      </x:c>
      <x:c r="AG1603" s="9" t="str">
        <x:f>IF(AF1603&gt;0,B1603,"")</x:f>
      </x:c>
      <x:c r="AH1603" s="9" t="n">
        <x:f>IF(F1603&gt;=1,1,(1+v01_LowTiesShare*(AE1603-1))/AE1603)</x:f>
        <x:v>1</x:v>
      </x:c>
      <x:c r="AI1603" s="32" t="n">
        <x:f>(Z1603+v01_ElderCommons*INDEX(LM_Elder,G1603)*AA1603)*AH1603</x:f>
        <x:v>64139.732591141874</x:v>
      </x:c>
      <x:c r="AJ1603" s="32" t="n">
        <x:f>H1603*v01_CommonsCoef*AI1603^v01_CommonsExp*INDEX(LM_Commons,G1603)</x:f>
        <x:v>0</x:v>
      </x:c>
      <x:c r="AK1603" s="32" t="n">
        <x:f>H1603*v01_RoleScale*Arch_Roles*(AE1603*(INDEX(v01_ElderRolePerSett,G1603)*v01_OutElder*INDEX(LM_Elder,G1603)+INDEX(v01_ShamanPerSett,G1603)*v01_OutShaman)+Z1603*(INDEX(v01_PriestShare,G1603)*v01_OutPriest+INDEX(v01_ScribeShare,G1603)*v01_OutScribe*INDEX(LM_Scribe,G1603)+INDEX(v01_ScholarShare,G1603)*v01_OutScholar*INDEX(LM_Scholar,G1603)+INDEX(v01_ResearcherShare,G1603)*v01_OutResearcher*INDEX(LM_Researcher,G1603)))</x:f>
        <x:v>0</x:v>
      </x:c>
      <x:c r="AL1603" s="32" t="n">
        <x:f>H1603*v01_RoleScale*Arch_Roles*AE1603*INDEX(v01_MonasteryPerSett,G1603)*v01_OutMonastery*INDEX(LM_Monastery,G1603)</x:f>
        <x:v>0</x:v>
      </x:c>
      <x:c r="AM1603" s="32" t="n">
        <x:f>(AJ1603+AK1603+AL1603)/4*INDEX(LM_All,G1603)*INDEX(v01_Boon,G1603)*Arch_Insight</x:f>
        <x:v>0</x:v>
      </x:c>
      <x:c r="AN1603" s="32" t="n">
        <x:f>H1603*(v01_KHPerAdult*Z1603+v01_KHOfCommons*AJ1603/4*INDEX(LM_All,G1603))*v01_KHUsable*Arch_KH</x:f>
        <x:v>0</x:v>
      </x:c>
      <x:c r="AO1603" s="32" t="n">
        <x:f>MIN(AP1602+AN1603,AM1603*v01_KHMaxRatio)</x:f>
        <x:v>0</x:v>
      </x:c>
      <x:c r="AP1603" s="32" t="n">
        <x:f>AP1602+AN1603-AO1603</x:f>
        <x:v>0</x:v>
      </x:c>
      <x:c r="AQ1603" s="32" t="n">
        <x:f>AM1603+AO1603</x:f>
        <x:v>0</x:v>
      </x:c>
      <x:c r="AR1603" s="10" t="n">
        <x:f>IF(H1603=1,INDEX(v01_Req,G1603),0)</x:f>
        <x:v>0</x:v>
      </x:c>
      <x:c r="AS1603" s="32" t="n">
        <x:f>IF(H1603=1,IF(E1603=1,AS1602-AR1602,AS1602)+AQ1603,0)</x:f>
        <x:v>0</x:v>
      </x:c>
      <x:c r="AT1603" s="11" t="n">
        <x:f>IF(AR1603&gt;0,MIN(1,AS1603/AR1603),1)</x:f>
        <x:v>1</x:v>
      </x:c>
      <x:c r="AU1603" s="10" t="n">
        <x:f>AB1603/INDEX(v01_RepScale,G1603)</x:f>
        <x:v>90.09519605746344</x:v>
      </x:c>
      <x:c r="AV1603" s="32" t="n">
        <x:f>AM1603*60/v01_SeasonSeconds</x:f>
        <x:v>0</x:v>
      </x:c>
    </x:row>
    <x:row r="1604">
      <x:c r="A1604" s="8" t="n">
        <x:f>A1603+1</x:f>
        <x:v>1601</x:v>
      </x:c>
      <x:c r="B1604" s="9" t="n">
        <x:f>A1604*v01_SeasonSeconds/60</x:f>
        <x:v>400.25</x:v>
      </x:c>
      <x:c r="C1604" s="9" t="n">
        <x:f>A1604/4</x:f>
        <x:v>400.25</x:v>
      </x:c>
      <x:c r="D1604" s="8" t="n">
        <x:f>IF(MOD(A1604,4)=0,1,0)</x:f>
        <x:v>0</x:v>
      </x:c>
      <x:c r="E1604" s="8" t="n">
        <x:f>IF(AND(F1603&lt;=9,AS1603&gt;=AR1603),1,0)</x:f>
        <x:v>0</x:v>
      </x:c>
      <x:c r="F1604" s="8" t="n">
        <x:f>MIN(10,F1603+E1604)</x:f>
        <x:v>10</x:v>
      </x:c>
      <x:c r="G1604" s="8" t="n">
        <x:f>MIN(F1604,9)+1</x:f>
        <x:v>10</x:v>
      </x:c>
      <x:c r="H1604" s="8" t="n">
        <x:f>IF(F1604&lt;=9,1,0)</x:f>
        <x:v>0</x:v>
      </x:c>
      <x:c r="I1604" s="9" t="n">
        <x:f>MIN(10,F1603+IF(AR1603&gt;0,MIN(1,AS1603/AR1603),1))</x:f>
        <x:v>10</x:v>
      </x:c>
      <x:c r="J1604" s="32" t="n">
        <x:f>INDEX(v01_FoodCap,G1604)*Arch_FoodCap*EXP(v01_CapsByProject*SUMPRODUCT((Cap_Point&lt;=I1604)*(Cap_Kind="Food")*Cap_Ln))</x:f>
        <x:v>12000</x:v>
      </x:c>
      <x:c r="K1604" s="32" t="n">
        <x:f>J1604*MIN(1,v01_LeanBase*EXP(v01_CapsByProject*SUMPRODUCT((Cap_Point&lt;=I1604)*(Cap_Kind="Lean")*Cap_Ln)))</x:f>
        <x:v>12000</x:v>
      </x:c>
      <x:c r="L1604" s="10" t="n">
        <x:f>INDEX(v01_HousingCap,G1604)*EXP(v01_CapsByProject*SUMPRODUCT((Cap_Point&lt;=I1604)*(Cap_Kind="Housing")*Cap_Ln))</x:f>
        <x:v>20000</x:v>
      </x:c>
      <x:c r="M1604" s="10" t="n">
        <x:f>INDEX(v01_GroupCap,G1604)*v01_CohesionFactor*EXP(v01_CapsByProject*SUMPRODUCT((Cap_Point&lt;=I1604)*(Cap_Kind="Group")*Cap_Ln))</x:f>
        <x:v>1000000</x:v>
      </x:c>
      <x:c r="N1604" s="32" t="n">
        <x:f>MIN(J1604,L1604,M1604)</x:f>
        <x:v>12000</x:v>
      </x:c>
      <x:c r="O1604" s="10" t="n">
        <x:f>AE1603*N1604</x:f>
        <x:v>180000</x:v>
      </x:c>
      <x:c r="P1604" s="9" t="n">
        <x:f>MIN(1,(AB1603/(AE1603*IF(v01_GroupInCrowding=1,N1604,MIN(J1604,L1604))))^v01_CrowdingExp)</x:f>
        <x:v>0.00024569414295285325</x:v>
      </x:c>
      <x:c r="Q1604" s="9" t="n">
        <x:f>IF(D1604=1,INDEX(v01_WinterMult,G1604),1)</x:f>
        <x:v>1</x:v>
      </x:c>
      <x:c r="R1604" s="9" t="n">
        <x:f>H1604*Z1603*v01_WomenShare*v01_BaseFertility*INDEX(v01_FertMult,G1604)*Arch_Fertility*(1-P1604)</x:f>
        <x:v>0</x:v>
      </x:c>
      <x:c r="S1604" s="9" t="n">
        <x:f>H1604*Y1603*INDEX(v01_MortChild,G1604)/4*Q1604</x:f>
        <x:v>0</x:v>
      </x:c>
      <x:c r="T1604" s="9" t="n">
        <x:f>H1604*Z1603*INDEX(v01_MortAdult,G1604)*Arch_AdultMort/4*Q1604</x:f>
        <x:v>0</x:v>
      </x:c>
      <x:c r="U1604" s="9" t="n">
        <x:f>H1604*AA1603*INDEX(v01_MortElder,G1604)/4*Q1604</x:f>
        <x:v>0</x:v>
      </x:c>
      <x:c r="V1604" s="9" t="n">
        <x:f>H1604*MAX(0,AB1603-O1604)*v01_OvercapLoss</x:f>
        <x:v>0</x:v>
      </x:c>
      <x:c r="W1604" s="9" t="n">
        <x:f>H1604*Y1603/(v01_ChildYears*4)</x:f>
        <x:v>0</x:v>
      </x:c>
      <x:c r="X1604" s="9" t="n">
        <x:f>H1604*Z1603/(v01_AdultYears*4)</x:f>
        <x:v>0</x:v>
      </x:c>
      <x:c r="Y1604" s="32" t="n">
        <x:f>Y1603+R1604-S1604-W1604-Y1603*V1604/AB1603</x:f>
        <x:v>14306.18539759397</x:v>
      </x:c>
      <x:c r="Z1604" s="32" t="n">
        <x:f>Z1603+W1604-X1604-T1604-Z1603*V1604/AB1603</x:f>
        <x:v>19354.456567879548</x:v>
      </x:c>
      <x:c r="AA1604" s="32" t="n">
        <x:f>AA1603+X1604-U1604-AA1603*V1604/AB1603</x:f>
        <x:v>11386.956063258198</x:v>
      </x:c>
      <x:c r="AB1604" s="10" t="n">
        <x:f>Y1604+Z1604+AA1604</x:f>
        <x:v>45047.59802873172</x:v>
      </x:c>
      <x:c r="AC1604" s="8" t="n">
        <x:f>IF(AND(v01_WinterTrigger=1,D1604=1,AB1603/AE1603&gt;=K1604),1,0)</x:f>
        <x:v>0</x:v>
      </x:c>
      <x:c r="AD1604" s="8" t="n">
        <x:f>H1604*IF(AND(OR(AB1603/AE1603&gt;=v01_FissionTrigger*N1604,AC1604=1),AB1603/AE1603*v01_DaughterShare&gt;=v01_MinDaughter),MAX(1,ROUND(AE1603*v01_FissionRate,0)),0)</x:f>
        <x:v>0</x:v>
      </x:c>
      <x:c r="AE1604" s="8" t="n">
        <x:f>IF(H1604=1,MAX(1,MIN(INDEX(v01_Smax,G1604),AE1603+AD1604)),AE1603)</x:f>
        <x:v>15</x:v>
      </x:c>
      <x:c r="AF1604" s="8" t="n">
        <x:f>MAX(0,AE1604-AE1603)</x:f>
        <x:v>0</x:v>
      </x:c>
      <x:c r="AG1604" s="9" t="str">
        <x:f>IF(AF1604&gt;0,B1604,"")</x:f>
      </x:c>
      <x:c r="AH1604" s="9" t="n">
        <x:f>IF(F1604&gt;=1,1,(1+v01_LowTiesShare*(AE1604-1))/AE1604)</x:f>
        <x:v>1</x:v>
      </x:c>
      <x:c r="AI1604" s="32" t="n">
        <x:f>(Z1604+v01_ElderCommons*INDEX(LM_Elder,G1604)*AA1604)*AH1604</x:f>
        <x:v>64139.732591141874</x:v>
      </x:c>
      <x:c r="AJ1604" s="32" t="n">
        <x:f>H1604*v01_CommonsCoef*AI1604^v01_CommonsExp*INDEX(LM_Commons,G1604)</x:f>
        <x:v>0</x:v>
      </x:c>
      <x:c r="AK1604" s="32" t="n">
        <x:f>H1604*v01_RoleScale*Arch_Roles*(AE1604*(INDEX(v01_ElderRolePerSett,G1604)*v01_OutElder*INDEX(LM_Elder,G1604)+INDEX(v01_ShamanPerSett,G1604)*v01_OutShaman)+Z1604*(INDEX(v01_PriestShare,G1604)*v01_OutPriest+INDEX(v01_ScribeShare,G1604)*v01_OutScribe*INDEX(LM_Scribe,G1604)+INDEX(v01_ScholarShare,G1604)*v01_OutScholar*INDEX(LM_Scholar,G1604)+INDEX(v01_ResearcherShare,G1604)*v01_OutResearcher*INDEX(LM_Researcher,G1604)))</x:f>
        <x:v>0</x:v>
      </x:c>
      <x:c r="AL1604" s="32" t="n">
        <x:f>H1604*v01_RoleScale*Arch_Roles*AE1604*INDEX(v01_MonasteryPerSett,G1604)*v01_OutMonastery*INDEX(LM_Monastery,G1604)</x:f>
        <x:v>0</x:v>
      </x:c>
      <x:c r="AM1604" s="32" t="n">
        <x:f>(AJ1604+AK1604+AL1604)/4*INDEX(LM_All,G1604)*INDEX(v01_Boon,G1604)*Arch_Insight</x:f>
        <x:v>0</x:v>
      </x:c>
      <x:c r="AN1604" s="32" t="n">
        <x:f>H1604*(v01_KHPerAdult*Z1604+v01_KHOfCommons*AJ1604/4*INDEX(LM_All,G1604))*v01_KHUsable*Arch_KH</x:f>
        <x:v>0</x:v>
      </x:c>
      <x:c r="AO1604" s="32" t="n">
        <x:f>MIN(AP1603+AN1604,AM1604*v01_KHMaxRatio)</x:f>
        <x:v>0</x:v>
      </x:c>
      <x:c r="AP1604" s="32" t="n">
        <x:f>AP1603+AN1604-AO1604</x:f>
        <x:v>0</x:v>
      </x:c>
      <x:c r="AQ1604" s="32" t="n">
        <x:f>AM1604+AO1604</x:f>
        <x:v>0</x:v>
      </x:c>
      <x:c r="AR1604" s="10" t="n">
        <x:f>IF(H1604=1,INDEX(v01_Req,G1604),0)</x:f>
        <x:v>0</x:v>
      </x:c>
      <x:c r="AS1604" s="32" t="n">
        <x:f>IF(H1604=1,IF(E1604=1,AS1603-AR1603,AS1603)+AQ1604,0)</x:f>
        <x:v>0</x:v>
      </x:c>
      <x:c r="AT1604" s="11" t="n">
        <x:f>IF(AR1604&gt;0,MIN(1,AS1604/AR1604),1)</x:f>
        <x:v>1</x:v>
      </x:c>
      <x:c r="AU1604" s="10" t="n">
        <x:f>AB1604/INDEX(v01_RepScale,G1604)</x:f>
        <x:v>90.09519605746344</x:v>
      </x:c>
      <x:c r="AV1604" s="32" t="n">
        <x:f>AM1604*60/v01_SeasonSeconds</x:f>
        <x:v>0</x:v>
      </x:c>
    </x:row>
    <x:row r="1605">
      <x:c r="A1605" s="8" t="n">
        <x:f>A1604+1</x:f>
        <x:v>1602</x:v>
      </x:c>
      <x:c r="B1605" s="9" t="n">
        <x:f>A1605*v01_SeasonSeconds/60</x:f>
        <x:v>400.5</x:v>
      </x:c>
      <x:c r="C1605" s="9" t="n">
        <x:f>A1605/4</x:f>
        <x:v>400.5</x:v>
      </x:c>
      <x:c r="D1605" s="8" t="n">
        <x:f>IF(MOD(A1605,4)=0,1,0)</x:f>
        <x:v>0</x:v>
      </x:c>
      <x:c r="E1605" s="8" t="n">
        <x:f>IF(AND(F1604&lt;=9,AS1604&gt;=AR1604),1,0)</x:f>
        <x:v>0</x:v>
      </x:c>
      <x:c r="F1605" s="8" t="n">
        <x:f>MIN(10,F1604+E1605)</x:f>
        <x:v>10</x:v>
      </x:c>
      <x:c r="G1605" s="8" t="n">
        <x:f>MIN(F1605,9)+1</x:f>
        <x:v>10</x:v>
      </x:c>
      <x:c r="H1605" s="8" t="n">
        <x:f>IF(F1605&lt;=9,1,0)</x:f>
        <x:v>0</x:v>
      </x:c>
      <x:c r="I1605" s="9" t="n">
        <x:f>MIN(10,F1604+IF(AR1604&gt;0,MIN(1,AS1604/AR1604),1))</x:f>
        <x:v>10</x:v>
      </x:c>
      <x:c r="J1605" s="32" t="n">
        <x:f>INDEX(v01_FoodCap,G1605)*Arch_FoodCap*EXP(v01_CapsByProject*SUMPRODUCT((Cap_Point&lt;=I1605)*(Cap_Kind="Food")*Cap_Ln))</x:f>
        <x:v>12000</x:v>
      </x:c>
      <x:c r="K1605" s="32" t="n">
        <x:f>J1605*MIN(1,v01_LeanBase*EXP(v01_CapsByProject*SUMPRODUCT((Cap_Point&lt;=I1605)*(Cap_Kind="Lean")*Cap_Ln)))</x:f>
        <x:v>12000</x:v>
      </x:c>
      <x:c r="L1605" s="10" t="n">
        <x:f>INDEX(v01_HousingCap,G1605)*EXP(v01_CapsByProject*SUMPRODUCT((Cap_Point&lt;=I1605)*(Cap_Kind="Housing")*Cap_Ln))</x:f>
        <x:v>20000</x:v>
      </x:c>
      <x:c r="M1605" s="10" t="n">
        <x:f>INDEX(v01_GroupCap,G1605)*v01_CohesionFactor*EXP(v01_CapsByProject*SUMPRODUCT((Cap_Point&lt;=I1605)*(Cap_Kind="Group")*Cap_Ln))</x:f>
        <x:v>1000000</x:v>
      </x:c>
      <x:c r="N1605" s="32" t="n">
        <x:f>MIN(J1605,L1605,M1605)</x:f>
        <x:v>12000</x:v>
      </x:c>
      <x:c r="O1605" s="10" t="n">
        <x:f>AE1604*N1605</x:f>
        <x:v>180000</x:v>
      </x:c>
      <x:c r="P1605" s="9" t="n">
        <x:f>MIN(1,(AB1604/(AE1604*IF(v01_GroupInCrowding=1,N1605,MIN(J1605,L1605))))^v01_CrowdingExp)</x:f>
        <x:v>0.00024569414295285325</x:v>
      </x:c>
      <x:c r="Q1605" s="9" t="n">
        <x:f>IF(D1605=1,INDEX(v01_WinterMult,G1605),1)</x:f>
        <x:v>1</x:v>
      </x:c>
      <x:c r="R1605" s="9" t="n">
        <x:f>H1605*Z1604*v01_WomenShare*v01_BaseFertility*INDEX(v01_FertMult,G1605)*Arch_Fertility*(1-P1605)</x:f>
        <x:v>0</x:v>
      </x:c>
      <x:c r="S1605" s="9" t="n">
        <x:f>H1605*Y1604*INDEX(v01_MortChild,G1605)/4*Q1605</x:f>
        <x:v>0</x:v>
      </x:c>
      <x:c r="T1605" s="9" t="n">
        <x:f>H1605*Z1604*INDEX(v01_MortAdult,G1605)*Arch_AdultMort/4*Q1605</x:f>
        <x:v>0</x:v>
      </x:c>
      <x:c r="U1605" s="9" t="n">
        <x:f>H1605*AA1604*INDEX(v01_MortElder,G1605)/4*Q1605</x:f>
        <x:v>0</x:v>
      </x:c>
      <x:c r="V1605" s="9" t="n">
        <x:f>H1605*MAX(0,AB1604-O1605)*v01_OvercapLoss</x:f>
        <x:v>0</x:v>
      </x:c>
      <x:c r="W1605" s="9" t="n">
        <x:f>H1605*Y1604/(v01_ChildYears*4)</x:f>
        <x:v>0</x:v>
      </x:c>
      <x:c r="X1605" s="9" t="n">
        <x:f>H1605*Z1604/(v01_AdultYears*4)</x:f>
        <x:v>0</x:v>
      </x:c>
      <x:c r="Y1605" s="32" t="n">
        <x:f>Y1604+R1605-S1605-W1605-Y1604*V1605/AB1604</x:f>
        <x:v>14306.18539759397</x:v>
      </x:c>
      <x:c r="Z1605" s="32" t="n">
        <x:f>Z1604+W1605-X1605-T1605-Z1604*V1605/AB1604</x:f>
        <x:v>19354.456567879548</x:v>
      </x:c>
      <x:c r="AA1605" s="32" t="n">
        <x:f>AA1604+X1605-U1605-AA1604*V1605/AB1604</x:f>
        <x:v>11386.956063258198</x:v>
      </x:c>
      <x:c r="AB1605" s="10" t="n">
        <x:f>Y1605+Z1605+AA1605</x:f>
        <x:v>45047.59802873172</x:v>
      </x:c>
      <x:c r="AC1605" s="8" t="n">
        <x:f>IF(AND(v01_WinterTrigger=1,D1605=1,AB1604/AE1604&gt;=K1605),1,0)</x:f>
        <x:v>0</x:v>
      </x:c>
      <x:c r="AD1605" s="8" t="n">
        <x:f>H1605*IF(AND(OR(AB1604/AE1604&gt;=v01_FissionTrigger*N1605,AC1605=1),AB1604/AE1604*v01_DaughterShare&gt;=v01_MinDaughter),MAX(1,ROUND(AE1604*v01_FissionRate,0)),0)</x:f>
        <x:v>0</x:v>
      </x:c>
      <x:c r="AE1605" s="8" t="n">
        <x:f>IF(H1605=1,MAX(1,MIN(INDEX(v01_Smax,G1605),AE1604+AD1605)),AE1604)</x:f>
        <x:v>15</x:v>
      </x:c>
      <x:c r="AF1605" s="8" t="n">
        <x:f>MAX(0,AE1605-AE1604)</x:f>
        <x:v>0</x:v>
      </x:c>
      <x:c r="AG1605" s="9" t="str">
        <x:f>IF(AF1605&gt;0,B1605,"")</x:f>
      </x:c>
      <x:c r="AH1605" s="9" t="n">
        <x:f>IF(F1605&gt;=1,1,(1+v01_LowTiesShare*(AE1605-1))/AE1605)</x:f>
        <x:v>1</x:v>
      </x:c>
      <x:c r="AI1605" s="32" t="n">
        <x:f>(Z1605+v01_ElderCommons*INDEX(LM_Elder,G1605)*AA1605)*AH1605</x:f>
        <x:v>64139.732591141874</x:v>
      </x:c>
      <x:c r="AJ1605" s="32" t="n">
        <x:f>H1605*v01_CommonsCoef*AI1605^v01_CommonsExp*INDEX(LM_Commons,G1605)</x:f>
        <x:v>0</x:v>
      </x:c>
      <x:c r="AK1605" s="32" t="n">
        <x:f>H1605*v01_RoleScale*Arch_Roles*(AE1605*(INDEX(v01_ElderRolePerSett,G1605)*v01_OutElder*INDEX(LM_Elder,G1605)+INDEX(v01_ShamanPerSett,G1605)*v01_OutShaman)+Z1605*(INDEX(v01_PriestShare,G1605)*v01_OutPriest+INDEX(v01_ScribeShare,G1605)*v01_OutScribe*INDEX(LM_Scribe,G1605)+INDEX(v01_ScholarShare,G1605)*v01_OutScholar*INDEX(LM_Scholar,G1605)+INDEX(v01_ResearcherShare,G1605)*v01_OutResearcher*INDEX(LM_Researcher,G1605)))</x:f>
        <x:v>0</x:v>
      </x:c>
      <x:c r="AL1605" s="32" t="n">
        <x:f>H1605*v01_RoleScale*Arch_Roles*AE1605*INDEX(v01_MonasteryPerSett,G1605)*v01_OutMonastery*INDEX(LM_Monastery,G1605)</x:f>
        <x:v>0</x:v>
      </x:c>
      <x:c r="AM1605" s="32" t="n">
        <x:f>(AJ1605+AK1605+AL1605)/4*INDEX(LM_All,G1605)*INDEX(v01_Boon,G1605)*Arch_Insight</x:f>
        <x:v>0</x:v>
      </x:c>
      <x:c r="AN1605" s="32" t="n">
        <x:f>H1605*(v01_KHPerAdult*Z1605+v01_KHOfCommons*AJ1605/4*INDEX(LM_All,G1605))*v01_KHUsable*Arch_KH</x:f>
        <x:v>0</x:v>
      </x:c>
      <x:c r="AO1605" s="32" t="n">
        <x:f>MIN(AP1604+AN1605,AM1605*v01_KHMaxRatio)</x:f>
        <x:v>0</x:v>
      </x:c>
      <x:c r="AP1605" s="32" t="n">
        <x:f>AP1604+AN1605-AO1605</x:f>
        <x:v>0</x:v>
      </x:c>
      <x:c r="AQ1605" s="32" t="n">
        <x:f>AM1605+AO1605</x:f>
        <x:v>0</x:v>
      </x:c>
      <x:c r="AR1605" s="10" t="n">
        <x:f>IF(H1605=1,INDEX(v01_Req,G1605),0)</x:f>
        <x:v>0</x:v>
      </x:c>
      <x:c r="AS1605" s="32" t="n">
        <x:f>IF(H1605=1,IF(E1605=1,AS1604-AR1604,AS1604)+AQ1605,0)</x:f>
        <x:v>0</x:v>
      </x:c>
      <x:c r="AT1605" s="11" t="n">
        <x:f>IF(AR1605&gt;0,MIN(1,AS1605/AR1605),1)</x:f>
        <x:v>1</x:v>
      </x:c>
      <x:c r="AU1605" s="10" t="n">
        <x:f>AB1605/INDEX(v01_RepScale,G1605)</x:f>
        <x:v>90.09519605746344</x:v>
      </x:c>
      <x:c r="AV1605" s="32" t="n">
        <x:f>AM1605*60/v01_SeasonSeconds</x:f>
        <x:v>0</x:v>
      </x:c>
    </x:row>
    <x:row r="1606">
      <x:c r="A1606" s="8" t="n">
        <x:f>A1605+1</x:f>
        <x:v>1603</x:v>
      </x:c>
      <x:c r="B1606" s="9" t="n">
        <x:f>A1606*v01_SeasonSeconds/60</x:f>
        <x:v>400.75</x:v>
      </x:c>
      <x:c r="C1606" s="9" t="n">
        <x:f>A1606/4</x:f>
        <x:v>400.75</x:v>
      </x:c>
      <x:c r="D1606" s="8" t="n">
        <x:f>IF(MOD(A1606,4)=0,1,0)</x:f>
        <x:v>0</x:v>
      </x:c>
      <x:c r="E1606" s="8" t="n">
        <x:f>IF(AND(F1605&lt;=9,AS1605&gt;=AR1605),1,0)</x:f>
        <x:v>0</x:v>
      </x:c>
      <x:c r="F1606" s="8" t="n">
        <x:f>MIN(10,F1605+E1606)</x:f>
        <x:v>10</x:v>
      </x:c>
      <x:c r="G1606" s="8" t="n">
        <x:f>MIN(F1606,9)+1</x:f>
        <x:v>10</x:v>
      </x:c>
      <x:c r="H1606" s="8" t="n">
        <x:f>IF(F1606&lt;=9,1,0)</x:f>
        <x:v>0</x:v>
      </x:c>
      <x:c r="I1606" s="9" t="n">
        <x:f>MIN(10,F1605+IF(AR1605&gt;0,MIN(1,AS1605/AR1605),1))</x:f>
        <x:v>10</x:v>
      </x:c>
      <x:c r="J1606" s="32" t="n">
        <x:f>INDEX(v01_FoodCap,G1606)*Arch_FoodCap*EXP(v01_CapsByProject*SUMPRODUCT((Cap_Point&lt;=I1606)*(Cap_Kind="Food")*Cap_Ln))</x:f>
        <x:v>12000</x:v>
      </x:c>
      <x:c r="K1606" s="32" t="n">
        <x:f>J1606*MIN(1,v01_LeanBase*EXP(v01_CapsByProject*SUMPRODUCT((Cap_Point&lt;=I1606)*(Cap_Kind="Lean")*Cap_Ln)))</x:f>
        <x:v>12000</x:v>
      </x:c>
      <x:c r="L1606" s="10" t="n">
        <x:f>INDEX(v01_HousingCap,G1606)*EXP(v01_CapsByProject*SUMPRODUCT((Cap_Point&lt;=I1606)*(Cap_Kind="Housing")*Cap_Ln))</x:f>
        <x:v>20000</x:v>
      </x:c>
      <x:c r="M1606" s="10" t="n">
        <x:f>INDEX(v01_GroupCap,G1606)*v01_CohesionFactor*EXP(v01_CapsByProject*SUMPRODUCT((Cap_Point&lt;=I1606)*(Cap_Kind="Group")*Cap_Ln))</x:f>
        <x:v>1000000</x:v>
      </x:c>
      <x:c r="N1606" s="32" t="n">
        <x:f>MIN(J1606,L1606,M1606)</x:f>
        <x:v>12000</x:v>
      </x:c>
      <x:c r="O1606" s="10" t="n">
        <x:f>AE1605*N1606</x:f>
        <x:v>180000</x:v>
      </x:c>
      <x:c r="P1606" s="9" t="n">
        <x:f>MIN(1,(AB1605/(AE1605*IF(v01_GroupInCrowding=1,N1606,MIN(J1606,L1606))))^v01_CrowdingExp)</x:f>
        <x:v>0.00024569414295285325</x:v>
      </x:c>
      <x:c r="Q1606" s="9" t="n">
        <x:f>IF(D1606=1,INDEX(v01_WinterMult,G1606),1)</x:f>
        <x:v>1</x:v>
      </x:c>
      <x:c r="R1606" s="9" t="n">
        <x:f>H1606*Z1605*v01_WomenShare*v01_BaseFertility*INDEX(v01_FertMult,G1606)*Arch_Fertility*(1-P1606)</x:f>
        <x:v>0</x:v>
      </x:c>
      <x:c r="S1606" s="9" t="n">
        <x:f>H1606*Y1605*INDEX(v01_MortChild,G1606)/4*Q1606</x:f>
        <x:v>0</x:v>
      </x:c>
      <x:c r="T1606" s="9" t="n">
        <x:f>H1606*Z1605*INDEX(v01_MortAdult,G1606)*Arch_AdultMort/4*Q1606</x:f>
        <x:v>0</x:v>
      </x:c>
      <x:c r="U1606" s="9" t="n">
        <x:f>H1606*AA1605*INDEX(v01_MortElder,G1606)/4*Q1606</x:f>
        <x:v>0</x:v>
      </x:c>
      <x:c r="V1606" s="9" t="n">
        <x:f>H1606*MAX(0,AB1605-O1606)*v01_OvercapLoss</x:f>
        <x:v>0</x:v>
      </x:c>
      <x:c r="W1606" s="9" t="n">
        <x:f>H1606*Y1605/(v01_ChildYears*4)</x:f>
        <x:v>0</x:v>
      </x:c>
      <x:c r="X1606" s="9" t="n">
        <x:f>H1606*Z1605/(v01_AdultYears*4)</x:f>
        <x:v>0</x:v>
      </x:c>
      <x:c r="Y1606" s="32" t="n">
        <x:f>Y1605+R1606-S1606-W1606-Y1605*V1606/AB1605</x:f>
        <x:v>14306.18539759397</x:v>
      </x:c>
      <x:c r="Z1606" s="32" t="n">
        <x:f>Z1605+W1606-X1606-T1606-Z1605*V1606/AB1605</x:f>
        <x:v>19354.456567879548</x:v>
      </x:c>
      <x:c r="AA1606" s="32" t="n">
        <x:f>AA1605+X1606-U1606-AA1605*V1606/AB1605</x:f>
        <x:v>11386.956063258198</x:v>
      </x:c>
      <x:c r="AB1606" s="10" t="n">
        <x:f>Y1606+Z1606+AA1606</x:f>
        <x:v>45047.59802873172</x:v>
      </x:c>
      <x:c r="AC1606" s="8" t="n">
        <x:f>IF(AND(v01_WinterTrigger=1,D1606=1,AB1605/AE1605&gt;=K1606),1,0)</x:f>
        <x:v>0</x:v>
      </x:c>
      <x:c r="AD1606" s="8" t="n">
        <x:f>H1606*IF(AND(OR(AB1605/AE1605&gt;=v01_FissionTrigger*N1606,AC1606=1),AB1605/AE1605*v01_DaughterShare&gt;=v01_MinDaughter),MAX(1,ROUND(AE1605*v01_FissionRate,0)),0)</x:f>
        <x:v>0</x:v>
      </x:c>
      <x:c r="AE1606" s="8" t="n">
        <x:f>IF(H1606=1,MAX(1,MIN(INDEX(v01_Smax,G1606),AE1605+AD1606)),AE1605)</x:f>
        <x:v>15</x:v>
      </x:c>
      <x:c r="AF1606" s="8" t="n">
        <x:f>MAX(0,AE1606-AE1605)</x:f>
        <x:v>0</x:v>
      </x:c>
      <x:c r="AG1606" s="9" t="str">
        <x:f>IF(AF1606&gt;0,B1606,"")</x:f>
      </x:c>
      <x:c r="AH1606" s="9" t="n">
        <x:f>IF(F1606&gt;=1,1,(1+v01_LowTiesShare*(AE1606-1))/AE1606)</x:f>
        <x:v>1</x:v>
      </x:c>
      <x:c r="AI1606" s="32" t="n">
        <x:f>(Z1606+v01_ElderCommons*INDEX(LM_Elder,G1606)*AA1606)*AH1606</x:f>
        <x:v>64139.732591141874</x:v>
      </x:c>
      <x:c r="AJ1606" s="32" t="n">
        <x:f>H1606*v01_CommonsCoef*AI1606^v01_CommonsExp*INDEX(LM_Commons,G1606)</x:f>
        <x:v>0</x:v>
      </x:c>
      <x:c r="AK1606" s="32" t="n">
        <x:f>H1606*v01_RoleScale*Arch_Roles*(AE1606*(INDEX(v01_ElderRolePerSett,G1606)*v01_OutElder*INDEX(LM_Elder,G1606)+INDEX(v01_ShamanPerSett,G1606)*v01_OutShaman)+Z1606*(INDEX(v01_PriestShare,G1606)*v01_OutPriest+INDEX(v01_ScribeShare,G1606)*v01_OutScribe*INDEX(LM_Scribe,G1606)+INDEX(v01_ScholarShare,G1606)*v01_OutScholar*INDEX(LM_Scholar,G1606)+INDEX(v01_ResearcherShare,G1606)*v01_OutResearcher*INDEX(LM_Researcher,G1606)))</x:f>
        <x:v>0</x:v>
      </x:c>
      <x:c r="AL1606" s="32" t="n">
        <x:f>H1606*v01_RoleScale*Arch_Roles*AE1606*INDEX(v01_MonasteryPerSett,G1606)*v01_OutMonastery*INDEX(LM_Monastery,G1606)</x:f>
        <x:v>0</x:v>
      </x:c>
      <x:c r="AM1606" s="32" t="n">
        <x:f>(AJ1606+AK1606+AL1606)/4*INDEX(LM_All,G1606)*INDEX(v01_Boon,G1606)*Arch_Insight</x:f>
        <x:v>0</x:v>
      </x:c>
      <x:c r="AN1606" s="32" t="n">
        <x:f>H1606*(v01_KHPerAdult*Z1606+v01_KHOfCommons*AJ1606/4*INDEX(LM_All,G1606))*v01_KHUsable*Arch_KH</x:f>
        <x:v>0</x:v>
      </x:c>
      <x:c r="AO1606" s="32" t="n">
        <x:f>MIN(AP1605+AN1606,AM1606*v01_KHMaxRatio)</x:f>
        <x:v>0</x:v>
      </x:c>
      <x:c r="AP1606" s="32" t="n">
        <x:f>AP1605+AN1606-AO1606</x:f>
        <x:v>0</x:v>
      </x:c>
      <x:c r="AQ1606" s="32" t="n">
        <x:f>AM1606+AO1606</x:f>
        <x:v>0</x:v>
      </x:c>
      <x:c r="AR1606" s="10" t="n">
        <x:f>IF(H1606=1,INDEX(v01_Req,G1606),0)</x:f>
        <x:v>0</x:v>
      </x:c>
      <x:c r="AS1606" s="32" t="n">
        <x:f>IF(H1606=1,IF(E1606=1,AS1605-AR1605,AS1605)+AQ1606,0)</x:f>
        <x:v>0</x:v>
      </x:c>
      <x:c r="AT1606" s="11" t="n">
        <x:f>IF(AR1606&gt;0,MIN(1,AS1606/AR1606),1)</x:f>
        <x:v>1</x:v>
      </x:c>
      <x:c r="AU1606" s="10" t="n">
        <x:f>AB1606/INDEX(v01_RepScale,G1606)</x:f>
        <x:v>90.09519605746344</x:v>
      </x:c>
      <x:c r="AV1606" s="32" t="n">
        <x:f>AM1606*60/v01_SeasonSeconds</x:f>
        <x:v>0</x:v>
      </x:c>
    </x:row>
    <x:row r="1607">
      <x:c r="A1607" s="8" t="n">
        <x:f>A1606+1</x:f>
        <x:v>1604</x:v>
      </x:c>
      <x:c r="B1607" s="9" t="n">
        <x:f>A1607*v01_SeasonSeconds/60</x:f>
        <x:v>401</x:v>
      </x:c>
      <x:c r="C1607" s="9" t="n">
        <x:f>A1607/4</x:f>
        <x:v>401</x:v>
      </x:c>
      <x:c r="D1607" s="8" t="n">
        <x:f>IF(MOD(A1607,4)=0,1,0)</x:f>
        <x:v>1</x:v>
      </x:c>
      <x:c r="E1607" s="8" t="n">
        <x:f>IF(AND(F1606&lt;=9,AS1606&gt;=AR1606),1,0)</x:f>
        <x:v>0</x:v>
      </x:c>
      <x:c r="F1607" s="8" t="n">
        <x:f>MIN(10,F1606+E1607)</x:f>
        <x:v>10</x:v>
      </x:c>
      <x:c r="G1607" s="8" t="n">
        <x:f>MIN(F1607,9)+1</x:f>
        <x:v>10</x:v>
      </x:c>
      <x:c r="H1607" s="8" t="n">
        <x:f>IF(F1607&lt;=9,1,0)</x:f>
        <x:v>0</x:v>
      </x:c>
      <x:c r="I1607" s="9" t="n">
        <x:f>MIN(10,F1606+IF(AR1606&gt;0,MIN(1,AS1606/AR1606),1))</x:f>
        <x:v>10</x:v>
      </x:c>
      <x:c r="J1607" s="32" t="n">
        <x:f>INDEX(v01_FoodCap,G1607)*Arch_FoodCap*EXP(v01_CapsByProject*SUMPRODUCT((Cap_Point&lt;=I1607)*(Cap_Kind="Food")*Cap_Ln))</x:f>
        <x:v>12000</x:v>
      </x:c>
      <x:c r="K1607" s="32" t="n">
        <x:f>J1607*MIN(1,v01_LeanBase*EXP(v01_CapsByProject*SUMPRODUCT((Cap_Point&lt;=I1607)*(Cap_Kind="Lean")*Cap_Ln)))</x:f>
        <x:v>12000</x:v>
      </x:c>
      <x:c r="L1607" s="10" t="n">
        <x:f>INDEX(v01_HousingCap,G1607)*EXP(v01_CapsByProject*SUMPRODUCT((Cap_Point&lt;=I1607)*(Cap_Kind="Housing")*Cap_Ln))</x:f>
        <x:v>20000</x:v>
      </x:c>
      <x:c r="M1607" s="10" t="n">
        <x:f>INDEX(v01_GroupCap,G1607)*v01_CohesionFactor*EXP(v01_CapsByProject*SUMPRODUCT((Cap_Point&lt;=I1607)*(Cap_Kind="Group")*Cap_Ln))</x:f>
        <x:v>1000000</x:v>
      </x:c>
      <x:c r="N1607" s="32" t="n">
        <x:f>MIN(J1607,L1607,M1607)</x:f>
        <x:v>12000</x:v>
      </x:c>
      <x:c r="O1607" s="10" t="n">
        <x:f>AE1606*N1607</x:f>
        <x:v>180000</x:v>
      </x:c>
      <x:c r="P1607" s="9" t="n">
        <x:f>MIN(1,(AB1606/(AE1606*IF(v01_GroupInCrowding=1,N1607,MIN(J1607,L1607))))^v01_CrowdingExp)</x:f>
        <x:v>0.00024569414295285325</x:v>
      </x:c>
      <x:c r="Q1607" s="9" t="n">
        <x:f>IF(D1607=1,INDEX(v01_WinterMult,G1607),1)</x:f>
        <x:v>1</x:v>
      </x:c>
      <x:c r="R1607" s="9" t="n">
        <x:f>H1607*Z1606*v01_WomenShare*v01_BaseFertility*INDEX(v01_FertMult,G1607)*Arch_Fertility*(1-P1607)</x:f>
        <x:v>0</x:v>
      </x:c>
      <x:c r="S1607" s="9" t="n">
        <x:f>H1607*Y1606*INDEX(v01_MortChild,G1607)/4*Q1607</x:f>
        <x:v>0</x:v>
      </x:c>
      <x:c r="T1607" s="9" t="n">
        <x:f>H1607*Z1606*INDEX(v01_MortAdult,G1607)*Arch_AdultMort/4*Q1607</x:f>
        <x:v>0</x:v>
      </x:c>
      <x:c r="U1607" s="9" t="n">
        <x:f>H1607*AA1606*INDEX(v01_MortElder,G1607)/4*Q1607</x:f>
        <x:v>0</x:v>
      </x:c>
      <x:c r="V1607" s="9" t="n">
        <x:f>H1607*MAX(0,AB1606-O1607)*v01_OvercapLoss</x:f>
        <x:v>0</x:v>
      </x:c>
      <x:c r="W1607" s="9" t="n">
        <x:f>H1607*Y1606/(v01_ChildYears*4)</x:f>
        <x:v>0</x:v>
      </x:c>
      <x:c r="X1607" s="9" t="n">
        <x:f>H1607*Z1606/(v01_AdultYears*4)</x:f>
        <x:v>0</x:v>
      </x:c>
      <x:c r="Y1607" s="32" t="n">
        <x:f>Y1606+R1607-S1607-W1607-Y1606*V1607/AB1606</x:f>
        <x:v>14306.18539759397</x:v>
      </x:c>
      <x:c r="Z1607" s="32" t="n">
        <x:f>Z1606+W1607-X1607-T1607-Z1606*V1607/AB1606</x:f>
        <x:v>19354.456567879548</x:v>
      </x:c>
      <x:c r="AA1607" s="32" t="n">
        <x:f>AA1606+X1607-U1607-AA1606*V1607/AB1606</x:f>
        <x:v>11386.956063258198</x:v>
      </x:c>
      <x:c r="AB1607" s="10" t="n">
        <x:f>Y1607+Z1607+AA1607</x:f>
        <x:v>45047.59802873172</x:v>
      </x:c>
      <x:c r="AC1607" s="8" t="n">
        <x:f>IF(AND(v01_WinterTrigger=1,D1607=1,AB1606/AE1606&gt;=K1607),1,0)</x:f>
        <x:v>0</x:v>
      </x:c>
      <x:c r="AD1607" s="8" t="n">
        <x:f>H1607*IF(AND(OR(AB1606/AE1606&gt;=v01_FissionTrigger*N1607,AC1607=1),AB1606/AE1606*v01_DaughterShare&gt;=v01_MinDaughter),MAX(1,ROUND(AE1606*v01_FissionRate,0)),0)</x:f>
        <x:v>0</x:v>
      </x:c>
      <x:c r="AE1607" s="8" t="n">
        <x:f>IF(H1607=1,MAX(1,MIN(INDEX(v01_Smax,G1607),AE1606+AD1607)),AE1606)</x:f>
        <x:v>15</x:v>
      </x:c>
      <x:c r="AF1607" s="8" t="n">
        <x:f>MAX(0,AE1607-AE1606)</x:f>
        <x:v>0</x:v>
      </x:c>
      <x:c r="AG1607" s="9" t="str">
        <x:f>IF(AF1607&gt;0,B1607,"")</x:f>
      </x:c>
      <x:c r="AH1607" s="9" t="n">
        <x:f>IF(F1607&gt;=1,1,(1+v01_LowTiesShare*(AE1607-1))/AE1607)</x:f>
        <x:v>1</x:v>
      </x:c>
      <x:c r="AI1607" s="32" t="n">
        <x:f>(Z1607+v01_ElderCommons*INDEX(LM_Elder,G1607)*AA1607)*AH1607</x:f>
        <x:v>64139.732591141874</x:v>
      </x:c>
      <x:c r="AJ1607" s="32" t="n">
        <x:f>H1607*v01_CommonsCoef*AI1607^v01_CommonsExp*INDEX(LM_Commons,G1607)</x:f>
        <x:v>0</x:v>
      </x:c>
      <x:c r="AK1607" s="32" t="n">
        <x:f>H1607*v01_RoleScale*Arch_Roles*(AE1607*(INDEX(v01_ElderRolePerSett,G1607)*v01_OutElder*INDEX(LM_Elder,G1607)+INDEX(v01_ShamanPerSett,G1607)*v01_OutShaman)+Z1607*(INDEX(v01_PriestShare,G1607)*v01_OutPriest+INDEX(v01_ScribeShare,G1607)*v01_OutScribe*INDEX(LM_Scribe,G1607)+INDEX(v01_ScholarShare,G1607)*v01_OutScholar*INDEX(LM_Scholar,G1607)+INDEX(v01_ResearcherShare,G1607)*v01_OutResearcher*INDEX(LM_Researcher,G1607)))</x:f>
        <x:v>0</x:v>
      </x:c>
      <x:c r="AL1607" s="32" t="n">
        <x:f>H1607*v01_RoleScale*Arch_Roles*AE1607*INDEX(v01_MonasteryPerSett,G1607)*v01_OutMonastery*INDEX(LM_Monastery,G1607)</x:f>
        <x:v>0</x:v>
      </x:c>
      <x:c r="AM1607" s="32" t="n">
        <x:f>(AJ1607+AK1607+AL1607)/4*INDEX(LM_All,G1607)*INDEX(v01_Boon,G1607)*Arch_Insight</x:f>
        <x:v>0</x:v>
      </x:c>
      <x:c r="AN1607" s="32" t="n">
        <x:f>H1607*(v01_KHPerAdult*Z1607+v01_KHOfCommons*AJ1607/4*INDEX(LM_All,G1607))*v01_KHUsable*Arch_KH</x:f>
        <x:v>0</x:v>
      </x:c>
      <x:c r="AO1607" s="32" t="n">
        <x:f>MIN(AP1606+AN1607,AM1607*v01_KHMaxRatio)</x:f>
        <x:v>0</x:v>
      </x:c>
      <x:c r="AP1607" s="32" t="n">
        <x:f>AP1606+AN1607-AO1607</x:f>
        <x:v>0</x:v>
      </x:c>
      <x:c r="AQ1607" s="32" t="n">
        <x:f>AM1607+AO1607</x:f>
        <x:v>0</x:v>
      </x:c>
      <x:c r="AR1607" s="10" t="n">
        <x:f>IF(H1607=1,INDEX(v01_Req,G1607),0)</x:f>
        <x:v>0</x:v>
      </x:c>
      <x:c r="AS1607" s="32" t="n">
        <x:f>IF(H1607=1,IF(E1607=1,AS1606-AR1606,AS1606)+AQ1607,0)</x:f>
        <x:v>0</x:v>
      </x:c>
      <x:c r="AT1607" s="11" t="n">
        <x:f>IF(AR1607&gt;0,MIN(1,AS1607/AR1607),1)</x:f>
        <x:v>1</x:v>
      </x:c>
      <x:c r="AU1607" s="10" t="n">
        <x:f>AB1607/INDEX(v01_RepScale,G1607)</x:f>
        <x:v>90.09519605746344</x:v>
      </x:c>
      <x:c r="AV1607" s="32" t="n">
        <x:f>AM1607*60/v01_SeasonSeconds</x:f>
        <x:v>0</x:v>
      </x:c>
    </x:row>
    <x:row r="1608">
      <x:c r="A1608" s="8" t="n">
        <x:f>A1607+1</x:f>
        <x:v>1605</x:v>
      </x:c>
      <x:c r="B1608" s="9" t="n">
        <x:f>A1608*v01_SeasonSeconds/60</x:f>
        <x:v>401.25</x:v>
      </x:c>
      <x:c r="C1608" s="9" t="n">
        <x:f>A1608/4</x:f>
        <x:v>401.25</x:v>
      </x:c>
      <x:c r="D1608" s="8" t="n">
        <x:f>IF(MOD(A1608,4)=0,1,0)</x:f>
        <x:v>0</x:v>
      </x:c>
      <x:c r="E1608" s="8" t="n">
        <x:f>IF(AND(F1607&lt;=9,AS1607&gt;=AR1607),1,0)</x:f>
        <x:v>0</x:v>
      </x:c>
      <x:c r="F1608" s="8" t="n">
        <x:f>MIN(10,F1607+E1608)</x:f>
        <x:v>10</x:v>
      </x:c>
      <x:c r="G1608" s="8" t="n">
        <x:f>MIN(F1608,9)+1</x:f>
        <x:v>10</x:v>
      </x:c>
      <x:c r="H1608" s="8" t="n">
        <x:f>IF(F1608&lt;=9,1,0)</x:f>
        <x:v>0</x:v>
      </x:c>
      <x:c r="I1608" s="9" t="n">
        <x:f>MIN(10,F1607+IF(AR1607&gt;0,MIN(1,AS1607/AR1607),1))</x:f>
        <x:v>10</x:v>
      </x:c>
      <x:c r="J1608" s="32" t="n">
        <x:f>INDEX(v01_FoodCap,G1608)*Arch_FoodCap*EXP(v01_CapsByProject*SUMPRODUCT((Cap_Point&lt;=I1608)*(Cap_Kind="Food")*Cap_Ln))</x:f>
        <x:v>12000</x:v>
      </x:c>
      <x:c r="K1608" s="32" t="n">
        <x:f>J1608*MIN(1,v01_LeanBase*EXP(v01_CapsByProject*SUMPRODUCT((Cap_Point&lt;=I1608)*(Cap_Kind="Lean")*Cap_Ln)))</x:f>
        <x:v>12000</x:v>
      </x:c>
      <x:c r="L1608" s="10" t="n">
        <x:f>INDEX(v01_HousingCap,G1608)*EXP(v01_CapsByProject*SUMPRODUCT((Cap_Point&lt;=I1608)*(Cap_Kind="Housing")*Cap_Ln))</x:f>
        <x:v>20000</x:v>
      </x:c>
      <x:c r="M1608" s="10" t="n">
        <x:f>INDEX(v01_GroupCap,G1608)*v01_CohesionFactor*EXP(v01_CapsByProject*SUMPRODUCT((Cap_Point&lt;=I1608)*(Cap_Kind="Group")*Cap_Ln))</x:f>
        <x:v>1000000</x:v>
      </x:c>
      <x:c r="N1608" s="32" t="n">
        <x:f>MIN(J1608,L1608,M1608)</x:f>
        <x:v>12000</x:v>
      </x:c>
      <x:c r="O1608" s="10" t="n">
        <x:f>AE1607*N1608</x:f>
        <x:v>180000</x:v>
      </x:c>
      <x:c r="P1608" s="9" t="n">
        <x:f>MIN(1,(AB1607/(AE1607*IF(v01_GroupInCrowding=1,N1608,MIN(J1608,L1608))))^v01_CrowdingExp)</x:f>
        <x:v>0.00024569414295285325</x:v>
      </x:c>
      <x:c r="Q1608" s="9" t="n">
        <x:f>IF(D1608=1,INDEX(v01_WinterMult,G1608),1)</x:f>
        <x:v>1</x:v>
      </x:c>
      <x:c r="R1608" s="9" t="n">
        <x:f>H1608*Z1607*v01_WomenShare*v01_BaseFertility*INDEX(v01_FertMult,G1608)*Arch_Fertility*(1-P1608)</x:f>
        <x:v>0</x:v>
      </x:c>
      <x:c r="S1608" s="9" t="n">
        <x:f>H1608*Y1607*INDEX(v01_MortChild,G1608)/4*Q1608</x:f>
        <x:v>0</x:v>
      </x:c>
      <x:c r="T1608" s="9" t="n">
        <x:f>H1608*Z1607*INDEX(v01_MortAdult,G1608)*Arch_AdultMort/4*Q1608</x:f>
        <x:v>0</x:v>
      </x:c>
      <x:c r="U1608" s="9" t="n">
        <x:f>H1608*AA1607*INDEX(v01_MortElder,G1608)/4*Q1608</x:f>
        <x:v>0</x:v>
      </x:c>
      <x:c r="V1608" s="9" t="n">
        <x:f>H1608*MAX(0,AB1607-O1608)*v01_OvercapLoss</x:f>
        <x:v>0</x:v>
      </x:c>
      <x:c r="W1608" s="9" t="n">
        <x:f>H1608*Y1607/(v01_ChildYears*4)</x:f>
        <x:v>0</x:v>
      </x:c>
      <x:c r="X1608" s="9" t="n">
        <x:f>H1608*Z1607/(v01_AdultYears*4)</x:f>
        <x:v>0</x:v>
      </x:c>
      <x:c r="Y1608" s="32" t="n">
        <x:f>Y1607+R1608-S1608-W1608-Y1607*V1608/AB1607</x:f>
        <x:v>14306.18539759397</x:v>
      </x:c>
      <x:c r="Z1608" s="32" t="n">
        <x:f>Z1607+W1608-X1608-T1608-Z1607*V1608/AB1607</x:f>
        <x:v>19354.456567879548</x:v>
      </x:c>
      <x:c r="AA1608" s="32" t="n">
        <x:f>AA1607+X1608-U1608-AA1607*V1608/AB1607</x:f>
        <x:v>11386.956063258198</x:v>
      </x:c>
      <x:c r="AB1608" s="10" t="n">
        <x:f>Y1608+Z1608+AA1608</x:f>
        <x:v>45047.59802873172</x:v>
      </x:c>
      <x:c r="AC1608" s="8" t="n">
        <x:f>IF(AND(v01_WinterTrigger=1,D1608=1,AB1607/AE1607&gt;=K1608),1,0)</x:f>
        <x:v>0</x:v>
      </x:c>
      <x:c r="AD1608" s="8" t="n">
        <x:f>H1608*IF(AND(OR(AB1607/AE1607&gt;=v01_FissionTrigger*N1608,AC1608=1),AB1607/AE1607*v01_DaughterShare&gt;=v01_MinDaughter),MAX(1,ROUND(AE1607*v01_FissionRate,0)),0)</x:f>
        <x:v>0</x:v>
      </x:c>
      <x:c r="AE1608" s="8" t="n">
        <x:f>IF(H1608=1,MAX(1,MIN(INDEX(v01_Smax,G1608),AE1607+AD1608)),AE1607)</x:f>
        <x:v>15</x:v>
      </x:c>
      <x:c r="AF1608" s="8" t="n">
        <x:f>MAX(0,AE1608-AE1607)</x:f>
        <x:v>0</x:v>
      </x:c>
      <x:c r="AG1608" s="9" t="str">
        <x:f>IF(AF1608&gt;0,B1608,"")</x:f>
      </x:c>
      <x:c r="AH1608" s="9" t="n">
        <x:f>IF(F1608&gt;=1,1,(1+v01_LowTiesShare*(AE1608-1))/AE1608)</x:f>
        <x:v>1</x:v>
      </x:c>
      <x:c r="AI1608" s="32" t="n">
        <x:f>(Z1608+v01_ElderCommons*INDEX(LM_Elder,G1608)*AA1608)*AH1608</x:f>
        <x:v>64139.732591141874</x:v>
      </x:c>
      <x:c r="AJ1608" s="32" t="n">
        <x:f>H1608*v01_CommonsCoef*AI1608^v01_CommonsExp*INDEX(LM_Commons,G1608)</x:f>
        <x:v>0</x:v>
      </x:c>
      <x:c r="AK1608" s="32" t="n">
        <x:f>H1608*v01_RoleScale*Arch_Roles*(AE1608*(INDEX(v01_ElderRolePerSett,G1608)*v01_OutElder*INDEX(LM_Elder,G1608)+INDEX(v01_ShamanPerSett,G1608)*v01_OutShaman)+Z1608*(INDEX(v01_PriestShare,G1608)*v01_OutPriest+INDEX(v01_ScribeShare,G1608)*v01_OutScribe*INDEX(LM_Scribe,G1608)+INDEX(v01_ScholarShare,G1608)*v01_OutScholar*INDEX(LM_Scholar,G1608)+INDEX(v01_ResearcherShare,G1608)*v01_OutResearcher*INDEX(LM_Researcher,G1608)))</x:f>
        <x:v>0</x:v>
      </x:c>
      <x:c r="AL1608" s="32" t="n">
        <x:f>H1608*v01_RoleScale*Arch_Roles*AE1608*INDEX(v01_MonasteryPerSett,G1608)*v01_OutMonastery*INDEX(LM_Monastery,G1608)</x:f>
        <x:v>0</x:v>
      </x:c>
      <x:c r="AM1608" s="32" t="n">
        <x:f>(AJ1608+AK1608+AL1608)/4*INDEX(LM_All,G1608)*INDEX(v01_Boon,G1608)*Arch_Insight</x:f>
        <x:v>0</x:v>
      </x:c>
      <x:c r="AN1608" s="32" t="n">
        <x:f>H1608*(v01_KHPerAdult*Z1608+v01_KHOfCommons*AJ1608/4*INDEX(LM_All,G1608))*v01_KHUsable*Arch_KH</x:f>
        <x:v>0</x:v>
      </x:c>
      <x:c r="AO1608" s="32" t="n">
        <x:f>MIN(AP1607+AN1608,AM1608*v01_KHMaxRatio)</x:f>
        <x:v>0</x:v>
      </x:c>
      <x:c r="AP1608" s="32" t="n">
        <x:f>AP1607+AN1608-AO1608</x:f>
        <x:v>0</x:v>
      </x:c>
      <x:c r="AQ1608" s="32" t="n">
        <x:f>AM1608+AO1608</x:f>
        <x:v>0</x:v>
      </x:c>
      <x:c r="AR1608" s="10" t="n">
        <x:f>IF(H1608=1,INDEX(v01_Req,G1608),0)</x:f>
        <x:v>0</x:v>
      </x:c>
      <x:c r="AS1608" s="32" t="n">
        <x:f>IF(H1608=1,IF(E1608=1,AS1607-AR1607,AS1607)+AQ1608,0)</x:f>
        <x:v>0</x:v>
      </x:c>
      <x:c r="AT1608" s="11" t="n">
        <x:f>IF(AR1608&gt;0,MIN(1,AS1608/AR1608),1)</x:f>
        <x:v>1</x:v>
      </x:c>
      <x:c r="AU1608" s="10" t="n">
        <x:f>AB1608/INDEX(v01_RepScale,G1608)</x:f>
        <x:v>90.09519605746344</x:v>
      </x:c>
      <x:c r="AV1608" s="32" t="n">
        <x:f>AM1608*60/v01_SeasonSeconds</x:f>
        <x:v>0</x:v>
      </x:c>
    </x:row>
    <x:row r="1609">
      <x:c r="A1609" s="8" t="n">
        <x:f>A1608+1</x:f>
        <x:v>1606</x:v>
      </x:c>
      <x:c r="B1609" s="9" t="n">
        <x:f>A1609*v01_SeasonSeconds/60</x:f>
        <x:v>401.5</x:v>
      </x:c>
      <x:c r="C1609" s="9" t="n">
        <x:f>A1609/4</x:f>
        <x:v>401.5</x:v>
      </x:c>
      <x:c r="D1609" s="8" t="n">
        <x:f>IF(MOD(A1609,4)=0,1,0)</x:f>
        <x:v>0</x:v>
      </x:c>
      <x:c r="E1609" s="8" t="n">
        <x:f>IF(AND(F1608&lt;=9,AS1608&gt;=AR1608),1,0)</x:f>
        <x:v>0</x:v>
      </x:c>
      <x:c r="F1609" s="8" t="n">
        <x:f>MIN(10,F1608+E1609)</x:f>
        <x:v>10</x:v>
      </x:c>
      <x:c r="G1609" s="8" t="n">
        <x:f>MIN(F1609,9)+1</x:f>
        <x:v>10</x:v>
      </x:c>
      <x:c r="H1609" s="8" t="n">
        <x:f>IF(F1609&lt;=9,1,0)</x:f>
        <x:v>0</x:v>
      </x:c>
      <x:c r="I1609" s="9" t="n">
        <x:f>MIN(10,F1608+IF(AR1608&gt;0,MIN(1,AS1608/AR1608),1))</x:f>
        <x:v>10</x:v>
      </x:c>
      <x:c r="J1609" s="32" t="n">
        <x:f>INDEX(v01_FoodCap,G1609)*Arch_FoodCap*EXP(v01_CapsByProject*SUMPRODUCT((Cap_Point&lt;=I1609)*(Cap_Kind="Food")*Cap_Ln))</x:f>
        <x:v>12000</x:v>
      </x:c>
      <x:c r="K1609" s="32" t="n">
        <x:f>J1609*MIN(1,v01_LeanBase*EXP(v01_CapsByProject*SUMPRODUCT((Cap_Point&lt;=I1609)*(Cap_Kind="Lean")*Cap_Ln)))</x:f>
        <x:v>12000</x:v>
      </x:c>
      <x:c r="L1609" s="10" t="n">
        <x:f>INDEX(v01_HousingCap,G1609)*EXP(v01_CapsByProject*SUMPRODUCT((Cap_Point&lt;=I1609)*(Cap_Kind="Housing")*Cap_Ln))</x:f>
        <x:v>20000</x:v>
      </x:c>
      <x:c r="M1609" s="10" t="n">
        <x:f>INDEX(v01_GroupCap,G1609)*v01_CohesionFactor*EXP(v01_CapsByProject*SUMPRODUCT((Cap_Point&lt;=I1609)*(Cap_Kind="Group")*Cap_Ln))</x:f>
        <x:v>1000000</x:v>
      </x:c>
      <x:c r="N1609" s="32" t="n">
        <x:f>MIN(J1609,L1609,M1609)</x:f>
        <x:v>12000</x:v>
      </x:c>
      <x:c r="O1609" s="10" t="n">
        <x:f>AE1608*N1609</x:f>
        <x:v>180000</x:v>
      </x:c>
      <x:c r="P1609" s="9" t="n">
        <x:f>MIN(1,(AB1608/(AE1608*IF(v01_GroupInCrowding=1,N1609,MIN(J1609,L1609))))^v01_CrowdingExp)</x:f>
        <x:v>0.00024569414295285325</x:v>
      </x:c>
      <x:c r="Q1609" s="9" t="n">
        <x:f>IF(D1609=1,INDEX(v01_WinterMult,G1609),1)</x:f>
        <x:v>1</x:v>
      </x:c>
      <x:c r="R1609" s="9" t="n">
        <x:f>H1609*Z1608*v01_WomenShare*v01_BaseFertility*INDEX(v01_FertMult,G1609)*Arch_Fertility*(1-P1609)</x:f>
        <x:v>0</x:v>
      </x:c>
      <x:c r="S1609" s="9" t="n">
        <x:f>H1609*Y1608*INDEX(v01_MortChild,G1609)/4*Q1609</x:f>
        <x:v>0</x:v>
      </x:c>
      <x:c r="T1609" s="9" t="n">
        <x:f>H1609*Z1608*INDEX(v01_MortAdult,G1609)*Arch_AdultMort/4*Q1609</x:f>
        <x:v>0</x:v>
      </x:c>
      <x:c r="U1609" s="9" t="n">
        <x:f>H1609*AA1608*INDEX(v01_MortElder,G1609)/4*Q1609</x:f>
        <x:v>0</x:v>
      </x:c>
      <x:c r="V1609" s="9" t="n">
        <x:f>H1609*MAX(0,AB1608-O1609)*v01_OvercapLoss</x:f>
        <x:v>0</x:v>
      </x:c>
      <x:c r="W1609" s="9" t="n">
        <x:f>H1609*Y1608/(v01_ChildYears*4)</x:f>
        <x:v>0</x:v>
      </x:c>
      <x:c r="X1609" s="9" t="n">
        <x:f>H1609*Z1608/(v01_AdultYears*4)</x:f>
        <x:v>0</x:v>
      </x:c>
      <x:c r="Y1609" s="32" t="n">
        <x:f>Y1608+R1609-S1609-W1609-Y1608*V1609/AB1608</x:f>
        <x:v>14306.18539759397</x:v>
      </x:c>
      <x:c r="Z1609" s="32" t="n">
        <x:f>Z1608+W1609-X1609-T1609-Z1608*V1609/AB1608</x:f>
        <x:v>19354.456567879548</x:v>
      </x:c>
      <x:c r="AA1609" s="32" t="n">
        <x:f>AA1608+X1609-U1609-AA1608*V1609/AB1608</x:f>
        <x:v>11386.956063258198</x:v>
      </x:c>
      <x:c r="AB1609" s="10" t="n">
        <x:f>Y1609+Z1609+AA1609</x:f>
        <x:v>45047.59802873172</x:v>
      </x:c>
      <x:c r="AC1609" s="8" t="n">
        <x:f>IF(AND(v01_WinterTrigger=1,D1609=1,AB1608/AE1608&gt;=K1609),1,0)</x:f>
        <x:v>0</x:v>
      </x:c>
      <x:c r="AD1609" s="8" t="n">
        <x:f>H1609*IF(AND(OR(AB1608/AE1608&gt;=v01_FissionTrigger*N1609,AC1609=1),AB1608/AE1608*v01_DaughterShare&gt;=v01_MinDaughter),MAX(1,ROUND(AE1608*v01_FissionRate,0)),0)</x:f>
        <x:v>0</x:v>
      </x:c>
      <x:c r="AE1609" s="8" t="n">
        <x:f>IF(H1609=1,MAX(1,MIN(INDEX(v01_Smax,G1609),AE1608+AD1609)),AE1608)</x:f>
        <x:v>15</x:v>
      </x:c>
      <x:c r="AF1609" s="8" t="n">
        <x:f>MAX(0,AE1609-AE1608)</x:f>
        <x:v>0</x:v>
      </x:c>
      <x:c r="AG1609" s="9" t="str">
        <x:f>IF(AF1609&gt;0,B1609,"")</x:f>
      </x:c>
      <x:c r="AH1609" s="9" t="n">
        <x:f>IF(F1609&gt;=1,1,(1+v01_LowTiesShare*(AE1609-1))/AE1609)</x:f>
        <x:v>1</x:v>
      </x:c>
      <x:c r="AI1609" s="32" t="n">
        <x:f>(Z1609+v01_ElderCommons*INDEX(LM_Elder,G1609)*AA1609)*AH1609</x:f>
        <x:v>64139.732591141874</x:v>
      </x:c>
      <x:c r="AJ1609" s="32" t="n">
        <x:f>H1609*v01_CommonsCoef*AI1609^v01_CommonsExp*INDEX(LM_Commons,G1609)</x:f>
        <x:v>0</x:v>
      </x:c>
      <x:c r="AK1609" s="32" t="n">
        <x:f>H1609*v01_RoleScale*Arch_Roles*(AE1609*(INDEX(v01_ElderRolePerSett,G1609)*v01_OutElder*INDEX(LM_Elder,G1609)+INDEX(v01_ShamanPerSett,G1609)*v01_OutShaman)+Z1609*(INDEX(v01_PriestShare,G1609)*v01_OutPriest+INDEX(v01_ScribeShare,G1609)*v01_OutScribe*INDEX(LM_Scribe,G1609)+INDEX(v01_ScholarShare,G1609)*v01_OutScholar*INDEX(LM_Scholar,G1609)+INDEX(v01_ResearcherShare,G1609)*v01_OutResearcher*INDEX(LM_Researcher,G1609)))</x:f>
        <x:v>0</x:v>
      </x:c>
      <x:c r="AL1609" s="32" t="n">
        <x:f>H1609*v01_RoleScale*Arch_Roles*AE1609*INDEX(v01_MonasteryPerSett,G1609)*v01_OutMonastery*INDEX(LM_Monastery,G1609)</x:f>
        <x:v>0</x:v>
      </x:c>
      <x:c r="AM1609" s="32" t="n">
        <x:f>(AJ1609+AK1609+AL1609)/4*INDEX(LM_All,G1609)*INDEX(v01_Boon,G1609)*Arch_Insight</x:f>
        <x:v>0</x:v>
      </x:c>
      <x:c r="AN1609" s="32" t="n">
        <x:f>H1609*(v01_KHPerAdult*Z1609+v01_KHOfCommons*AJ1609/4*INDEX(LM_All,G1609))*v01_KHUsable*Arch_KH</x:f>
        <x:v>0</x:v>
      </x:c>
      <x:c r="AO1609" s="32" t="n">
        <x:f>MIN(AP1608+AN1609,AM1609*v01_KHMaxRatio)</x:f>
        <x:v>0</x:v>
      </x:c>
      <x:c r="AP1609" s="32" t="n">
        <x:f>AP1608+AN1609-AO1609</x:f>
        <x:v>0</x:v>
      </x:c>
      <x:c r="AQ1609" s="32" t="n">
        <x:f>AM1609+AO1609</x:f>
        <x:v>0</x:v>
      </x:c>
      <x:c r="AR1609" s="10" t="n">
        <x:f>IF(H1609=1,INDEX(v01_Req,G1609),0)</x:f>
        <x:v>0</x:v>
      </x:c>
      <x:c r="AS1609" s="32" t="n">
        <x:f>IF(H1609=1,IF(E1609=1,AS1608-AR1608,AS1608)+AQ1609,0)</x:f>
        <x:v>0</x:v>
      </x:c>
      <x:c r="AT1609" s="11" t="n">
        <x:f>IF(AR1609&gt;0,MIN(1,AS1609/AR1609),1)</x:f>
        <x:v>1</x:v>
      </x:c>
      <x:c r="AU1609" s="10" t="n">
        <x:f>AB1609/INDEX(v01_RepScale,G1609)</x:f>
        <x:v>90.09519605746344</x:v>
      </x:c>
      <x:c r="AV1609" s="32" t="n">
        <x:f>AM1609*60/v01_SeasonSeconds</x:f>
        <x:v>0</x:v>
      </x:c>
    </x:row>
    <x:row r="1610">
      <x:c r="A1610" s="8" t="n">
        <x:f>A1609+1</x:f>
        <x:v>1607</x:v>
      </x:c>
      <x:c r="B1610" s="9" t="n">
        <x:f>A1610*v01_SeasonSeconds/60</x:f>
        <x:v>401.75</x:v>
      </x:c>
      <x:c r="C1610" s="9" t="n">
        <x:f>A1610/4</x:f>
        <x:v>401.75</x:v>
      </x:c>
      <x:c r="D1610" s="8" t="n">
        <x:f>IF(MOD(A1610,4)=0,1,0)</x:f>
        <x:v>0</x:v>
      </x:c>
      <x:c r="E1610" s="8" t="n">
        <x:f>IF(AND(F1609&lt;=9,AS1609&gt;=AR1609),1,0)</x:f>
        <x:v>0</x:v>
      </x:c>
      <x:c r="F1610" s="8" t="n">
        <x:f>MIN(10,F1609+E1610)</x:f>
        <x:v>10</x:v>
      </x:c>
      <x:c r="G1610" s="8" t="n">
        <x:f>MIN(F1610,9)+1</x:f>
        <x:v>10</x:v>
      </x:c>
      <x:c r="H1610" s="8" t="n">
        <x:f>IF(F1610&lt;=9,1,0)</x:f>
        <x:v>0</x:v>
      </x:c>
      <x:c r="I1610" s="9" t="n">
        <x:f>MIN(10,F1609+IF(AR1609&gt;0,MIN(1,AS1609/AR1609),1))</x:f>
        <x:v>10</x:v>
      </x:c>
      <x:c r="J1610" s="32" t="n">
        <x:f>INDEX(v01_FoodCap,G1610)*Arch_FoodCap*EXP(v01_CapsByProject*SUMPRODUCT((Cap_Point&lt;=I1610)*(Cap_Kind="Food")*Cap_Ln))</x:f>
        <x:v>12000</x:v>
      </x:c>
      <x:c r="K1610" s="32" t="n">
        <x:f>J1610*MIN(1,v01_LeanBase*EXP(v01_CapsByProject*SUMPRODUCT((Cap_Point&lt;=I1610)*(Cap_Kind="Lean")*Cap_Ln)))</x:f>
        <x:v>12000</x:v>
      </x:c>
      <x:c r="L1610" s="10" t="n">
        <x:f>INDEX(v01_HousingCap,G1610)*EXP(v01_CapsByProject*SUMPRODUCT((Cap_Point&lt;=I1610)*(Cap_Kind="Housing")*Cap_Ln))</x:f>
        <x:v>20000</x:v>
      </x:c>
      <x:c r="M1610" s="10" t="n">
        <x:f>INDEX(v01_GroupCap,G1610)*v01_CohesionFactor*EXP(v01_CapsByProject*SUMPRODUCT((Cap_Point&lt;=I1610)*(Cap_Kind="Group")*Cap_Ln))</x:f>
        <x:v>1000000</x:v>
      </x:c>
      <x:c r="N1610" s="32" t="n">
        <x:f>MIN(J1610,L1610,M1610)</x:f>
        <x:v>12000</x:v>
      </x:c>
      <x:c r="O1610" s="10" t="n">
        <x:f>AE1609*N1610</x:f>
        <x:v>180000</x:v>
      </x:c>
      <x:c r="P1610" s="9" t="n">
        <x:f>MIN(1,(AB1609/(AE1609*IF(v01_GroupInCrowding=1,N1610,MIN(J1610,L1610))))^v01_CrowdingExp)</x:f>
        <x:v>0.00024569414295285325</x:v>
      </x:c>
      <x:c r="Q1610" s="9" t="n">
        <x:f>IF(D1610=1,INDEX(v01_WinterMult,G1610),1)</x:f>
        <x:v>1</x:v>
      </x:c>
      <x:c r="R1610" s="9" t="n">
        <x:f>H1610*Z1609*v01_WomenShare*v01_BaseFertility*INDEX(v01_FertMult,G1610)*Arch_Fertility*(1-P1610)</x:f>
        <x:v>0</x:v>
      </x:c>
      <x:c r="S1610" s="9" t="n">
        <x:f>H1610*Y1609*INDEX(v01_MortChild,G1610)/4*Q1610</x:f>
        <x:v>0</x:v>
      </x:c>
      <x:c r="T1610" s="9" t="n">
        <x:f>H1610*Z1609*INDEX(v01_MortAdult,G1610)*Arch_AdultMort/4*Q1610</x:f>
        <x:v>0</x:v>
      </x:c>
      <x:c r="U1610" s="9" t="n">
        <x:f>H1610*AA1609*INDEX(v01_MortElder,G1610)/4*Q1610</x:f>
        <x:v>0</x:v>
      </x:c>
      <x:c r="V1610" s="9" t="n">
        <x:f>H1610*MAX(0,AB1609-O1610)*v01_OvercapLoss</x:f>
        <x:v>0</x:v>
      </x:c>
      <x:c r="W1610" s="9" t="n">
        <x:f>H1610*Y1609/(v01_ChildYears*4)</x:f>
        <x:v>0</x:v>
      </x:c>
      <x:c r="X1610" s="9" t="n">
        <x:f>H1610*Z1609/(v01_AdultYears*4)</x:f>
        <x:v>0</x:v>
      </x:c>
      <x:c r="Y1610" s="32" t="n">
        <x:f>Y1609+R1610-S1610-W1610-Y1609*V1610/AB1609</x:f>
        <x:v>14306.18539759397</x:v>
      </x:c>
      <x:c r="Z1610" s="32" t="n">
        <x:f>Z1609+W1610-X1610-T1610-Z1609*V1610/AB1609</x:f>
        <x:v>19354.456567879548</x:v>
      </x:c>
      <x:c r="AA1610" s="32" t="n">
        <x:f>AA1609+X1610-U1610-AA1609*V1610/AB1609</x:f>
        <x:v>11386.956063258198</x:v>
      </x:c>
      <x:c r="AB1610" s="10" t="n">
        <x:f>Y1610+Z1610+AA1610</x:f>
        <x:v>45047.59802873172</x:v>
      </x:c>
      <x:c r="AC1610" s="8" t="n">
        <x:f>IF(AND(v01_WinterTrigger=1,D1610=1,AB1609/AE1609&gt;=K1610),1,0)</x:f>
        <x:v>0</x:v>
      </x:c>
      <x:c r="AD1610" s="8" t="n">
        <x:f>H1610*IF(AND(OR(AB1609/AE1609&gt;=v01_FissionTrigger*N1610,AC1610=1),AB1609/AE1609*v01_DaughterShare&gt;=v01_MinDaughter),MAX(1,ROUND(AE1609*v01_FissionRate,0)),0)</x:f>
        <x:v>0</x:v>
      </x:c>
      <x:c r="AE1610" s="8" t="n">
        <x:f>IF(H1610=1,MAX(1,MIN(INDEX(v01_Smax,G1610),AE1609+AD1610)),AE1609)</x:f>
        <x:v>15</x:v>
      </x:c>
      <x:c r="AF1610" s="8" t="n">
        <x:f>MAX(0,AE1610-AE1609)</x:f>
        <x:v>0</x:v>
      </x:c>
      <x:c r="AG1610" s="9" t="str">
        <x:f>IF(AF1610&gt;0,B1610,"")</x:f>
      </x:c>
      <x:c r="AH1610" s="9" t="n">
        <x:f>IF(F1610&gt;=1,1,(1+v01_LowTiesShare*(AE1610-1))/AE1610)</x:f>
        <x:v>1</x:v>
      </x:c>
      <x:c r="AI1610" s="32" t="n">
        <x:f>(Z1610+v01_ElderCommons*INDEX(LM_Elder,G1610)*AA1610)*AH1610</x:f>
        <x:v>64139.732591141874</x:v>
      </x:c>
      <x:c r="AJ1610" s="32" t="n">
        <x:f>H1610*v01_CommonsCoef*AI1610^v01_CommonsExp*INDEX(LM_Commons,G1610)</x:f>
        <x:v>0</x:v>
      </x:c>
      <x:c r="AK1610" s="32" t="n">
        <x:f>H1610*v01_RoleScale*Arch_Roles*(AE1610*(INDEX(v01_ElderRolePerSett,G1610)*v01_OutElder*INDEX(LM_Elder,G1610)+INDEX(v01_ShamanPerSett,G1610)*v01_OutShaman)+Z1610*(INDEX(v01_PriestShare,G1610)*v01_OutPriest+INDEX(v01_ScribeShare,G1610)*v01_OutScribe*INDEX(LM_Scribe,G1610)+INDEX(v01_ScholarShare,G1610)*v01_OutScholar*INDEX(LM_Scholar,G1610)+INDEX(v01_ResearcherShare,G1610)*v01_OutResearcher*INDEX(LM_Researcher,G1610)))</x:f>
        <x:v>0</x:v>
      </x:c>
      <x:c r="AL1610" s="32" t="n">
        <x:f>H1610*v01_RoleScale*Arch_Roles*AE1610*INDEX(v01_MonasteryPerSett,G1610)*v01_OutMonastery*INDEX(LM_Monastery,G1610)</x:f>
        <x:v>0</x:v>
      </x:c>
      <x:c r="AM1610" s="32" t="n">
        <x:f>(AJ1610+AK1610+AL1610)/4*INDEX(LM_All,G1610)*INDEX(v01_Boon,G1610)*Arch_Insight</x:f>
        <x:v>0</x:v>
      </x:c>
      <x:c r="AN1610" s="32" t="n">
        <x:f>H1610*(v01_KHPerAdult*Z1610+v01_KHOfCommons*AJ1610/4*INDEX(LM_All,G1610))*v01_KHUsable*Arch_KH</x:f>
        <x:v>0</x:v>
      </x:c>
      <x:c r="AO1610" s="32" t="n">
        <x:f>MIN(AP1609+AN1610,AM1610*v01_KHMaxRatio)</x:f>
        <x:v>0</x:v>
      </x:c>
      <x:c r="AP1610" s="32" t="n">
        <x:f>AP1609+AN1610-AO1610</x:f>
        <x:v>0</x:v>
      </x:c>
      <x:c r="AQ1610" s="32" t="n">
        <x:f>AM1610+AO1610</x:f>
        <x:v>0</x:v>
      </x:c>
      <x:c r="AR1610" s="10" t="n">
        <x:f>IF(H1610=1,INDEX(v01_Req,G1610),0)</x:f>
        <x:v>0</x:v>
      </x:c>
      <x:c r="AS1610" s="32" t="n">
        <x:f>IF(H1610=1,IF(E1610=1,AS1609-AR1609,AS1609)+AQ1610,0)</x:f>
        <x:v>0</x:v>
      </x:c>
      <x:c r="AT1610" s="11" t="n">
        <x:f>IF(AR1610&gt;0,MIN(1,AS1610/AR1610),1)</x:f>
        <x:v>1</x:v>
      </x:c>
      <x:c r="AU1610" s="10" t="n">
        <x:f>AB1610/INDEX(v01_RepScale,G1610)</x:f>
        <x:v>90.09519605746344</x:v>
      </x:c>
      <x:c r="AV1610" s="32" t="n">
        <x:f>AM1610*60/v01_SeasonSeconds</x:f>
        <x:v>0</x:v>
      </x:c>
    </x:row>
    <x:row r="1611">
      <x:c r="A1611" s="8" t="n">
        <x:f>A1610+1</x:f>
        <x:v>1608</x:v>
      </x:c>
      <x:c r="B1611" s="9" t="n">
        <x:f>A1611*v01_SeasonSeconds/60</x:f>
        <x:v>402</x:v>
      </x:c>
      <x:c r="C1611" s="9" t="n">
        <x:f>A1611/4</x:f>
        <x:v>402</x:v>
      </x:c>
      <x:c r="D1611" s="8" t="n">
        <x:f>IF(MOD(A1611,4)=0,1,0)</x:f>
        <x:v>1</x:v>
      </x:c>
      <x:c r="E1611" s="8" t="n">
        <x:f>IF(AND(F1610&lt;=9,AS1610&gt;=AR1610),1,0)</x:f>
        <x:v>0</x:v>
      </x:c>
      <x:c r="F1611" s="8" t="n">
        <x:f>MIN(10,F1610+E1611)</x:f>
        <x:v>10</x:v>
      </x:c>
      <x:c r="G1611" s="8" t="n">
        <x:f>MIN(F1611,9)+1</x:f>
        <x:v>10</x:v>
      </x:c>
      <x:c r="H1611" s="8" t="n">
        <x:f>IF(F1611&lt;=9,1,0)</x:f>
        <x:v>0</x:v>
      </x:c>
      <x:c r="I1611" s="9" t="n">
        <x:f>MIN(10,F1610+IF(AR1610&gt;0,MIN(1,AS1610/AR1610),1))</x:f>
        <x:v>10</x:v>
      </x:c>
      <x:c r="J1611" s="32" t="n">
        <x:f>INDEX(v01_FoodCap,G1611)*Arch_FoodCap*EXP(v01_CapsByProject*SUMPRODUCT((Cap_Point&lt;=I1611)*(Cap_Kind="Food")*Cap_Ln))</x:f>
        <x:v>12000</x:v>
      </x:c>
      <x:c r="K1611" s="32" t="n">
        <x:f>J1611*MIN(1,v01_LeanBase*EXP(v01_CapsByProject*SUMPRODUCT((Cap_Point&lt;=I1611)*(Cap_Kind="Lean")*Cap_Ln)))</x:f>
        <x:v>12000</x:v>
      </x:c>
      <x:c r="L1611" s="10" t="n">
        <x:f>INDEX(v01_HousingCap,G1611)*EXP(v01_CapsByProject*SUMPRODUCT((Cap_Point&lt;=I1611)*(Cap_Kind="Housing")*Cap_Ln))</x:f>
        <x:v>20000</x:v>
      </x:c>
      <x:c r="M1611" s="10" t="n">
        <x:f>INDEX(v01_GroupCap,G1611)*v01_CohesionFactor*EXP(v01_CapsByProject*SUMPRODUCT((Cap_Point&lt;=I1611)*(Cap_Kind="Group")*Cap_Ln))</x:f>
        <x:v>1000000</x:v>
      </x:c>
      <x:c r="N1611" s="32" t="n">
        <x:f>MIN(J1611,L1611,M1611)</x:f>
        <x:v>12000</x:v>
      </x:c>
      <x:c r="O1611" s="10" t="n">
        <x:f>AE1610*N1611</x:f>
        <x:v>180000</x:v>
      </x:c>
      <x:c r="P1611" s="9" t="n">
        <x:f>MIN(1,(AB1610/(AE1610*IF(v01_GroupInCrowding=1,N1611,MIN(J1611,L1611))))^v01_CrowdingExp)</x:f>
        <x:v>0.00024569414295285325</x:v>
      </x:c>
      <x:c r="Q1611" s="9" t="n">
        <x:f>IF(D1611=1,INDEX(v01_WinterMult,G1611),1)</x:f>
        <x:v>1</x:v>
      </x:c>
      <x:c r="R1611" s="9" t="n">
        <x:f>H1611*Z1610*v01_WomenShare*v01_BaseFertility*INDEX(v01_FertMult,G1611)*Arch_Fertility*(1-P1611)</x:f>
        <x:v>0</x:v>
      </x:c>
      <x:c r="S1611" s="9" t="n">
        <x:f>H1611*Y1610*INDEX(v01_MortChild,G1611)/4*Q1611</x:f>
        <x:v>0</x:v>
      </x:c>
      <x:c r="T1611" s="9" t="n">
        <x:f>H1611*Z1610*INDEX(v01_MortAdult,G1611)*Arch_AdultMort/4*Q1611</x:f>
        <x:v>0</x:v>
      </x:c>
      <x:c r="U1611" s="9" t="n">
        <x:f>H1611*AA1610*INDEX(v01_MortElder,G1611)/4*Q1611</x:f>
        <x:v>0</x:v>
      </x:c>
      <x:c r="V1611" s="9" t="n">
        <x:f>H1611*MAX(0,AB1610-O1611)*v01_OvercapLoss</x:f>
        <x:v>0</x:v>
      </x:c>
      <x:c r="W1611" s="9" t="n">
        <x:f>H1611*Y1610/(v01_ChildYears*4)</x:f>
        <x:v>0</x:v>
      </x:c>
      <x:c r="X1611" s="9" t="n">
        <x:f>H1611*Z1610/(v01_AdultYears*4)</x:f>
        <x:v>0</x:v>
      </x:c>
      <x:c r="Y1611" s="32" t="n">
        <x:f>Y1610+R1611-S1611-W1611-Y1610*V1611/AB1610</x:f>
        <x:v>14306.18539759397</x:v>
      </x:c>
      <x:c r="Z1611" s="32" t="n">
        <x:f>Z1610+W1611-X1611-T1611-Z1610*V1611/AB1610</x:f>
        <x:v>19354.456567879548</x:v>
      </x:c>
      <x:c r="AA1611" s="32" t="n">
        <x:f>AA1610+X1611-U1611-AA1610*V1611/AB1610</x:f>
        <x:v>11386.956063258198</x:v>
      </x:c>
      <x:c r="AB1611" s="10" t="n">
        <x:f>Y1611+Z1611+AA1611</x:f>
        <x:v>45047.59802873172</x:v>
      </x:c>
      <x:c r="AC1611" s="8" t="n">
        <x:f>IF(AND(v01_WinterTrigger=1,D1611=1,AB1610/AE1610&gt;=K1611),1,0)</x:f>
        <x:v>0</x:v>
      </x:c>
      <x:c r="AD1611" s="8" t="n">
        <x:f>H1611*IF(AND(OR(AB1610/AE1610&gt;=v01_FissionTrigger*N1611,AC1611=1),AB1610/AE1610*v01_DaughterShare&gt;=v01_MinDaughter),MAX(1,ROUND(AE1610*v01_FissionRate,0)),0)</x:f>
        <x:v>0</x:v>
      </x:c>
      <x:c r="AE1611" s="8" t="n">
        <x:f>IF(H1611=1,MAX(1,MIN(INDEX(v01_Smax,G1611),AE1610+AD1611)),AE1610)</x:f>
        <x:v>15</x:v>
      </x:c>
      <x:c r="AF1611" s="8" t="n">
        <x:f>MAX(0,AE1611-AE1610)</x:f>
        <x:v>0</x:v>
      </x:c>
      <x:c r="AG1611" s="9" t="str">
        <x:f>IF(AF1611&gt;0,B1611,"")</x:f>
      </x:c>
      <x:c r="AH1611" s="9" t="n">
        <x:f>IF(F1611&gt;=1,1,(1+v01_LowTiesShare*(AE1611-1))/AE1611)</x:f>
        <x:v>1</x:v>
      </x:c>
      <x:c r="AI1611" s="32" t="n">
        <x:f>(Z1611+v01_ElderCommons*INDEX(LM_Elder,G1611)*AA1611)*AH1611</x:f>
        <x:v>64139.732591141874</x:v>
      </x:c>
      <x:c r="AJ1611" s="32" t="n">
        <x:f>H1611*v01_CommonsCoef*AI1611^v01_CommonsExp*INDEX(LM_Commons,G1611)</x:f>
        <x:v>0</x:v>
      </x:c>
      <x:c r="AK1611" s="32" t="n">
        <x:f>H1611*v01_RoleScale*Arch_Roles*(AE1611*(INDEX(v01_ElderRolePerSett,G1611)*v01_OutElder*INDEX(LM_Elder,G1611)+INDEX(v01_ShamanPerSett,G1611)*v01_OutShaman)+Z1611*(INDEX(v01_PriestShare,G1611)*v01_OutPriest+INDEX(v01_ScribeShare,G1611)*v01_OutScribe*INDEX(LM_Scribe,G1611)+INDEX(v01_ScholarShare,G1611)*v01_OutScholar*INDEX(LM_Scholar,G1611)+INDEX(v01_ResearcherShare,G1611)*v01_OutResearcher*INDEX(LM_Researcher,G1611)))</x:f>
        <x:v>0</x:v>
      </x:c>
      <x:c r="AL1611" s="32" t="n">
        <x:f>H1611*v01_RoleScale*Arch_Roles*AE1611*INDEX(v01_MonasteryPerSett,G1611)*v01_OutMonastery*INDEX(LM_Monastery,G1611)</x:f>
        <x:v>0</x:v>
      </x:c>
      <x:c r="AM1611" s="32" t="n">
        <x:f>(AJ1611+AK1611+AL1611)/4*INDEX(LM_All,G1611)*INDEX(v01_Boon,G1611)*Arch_Insight</x:f>
        <x:v>0</x:v>
      </x:c>
      <x:c r="AN1611" s="32" t="n">
        <x:f>H1611*(v01_KHPerAdult*Z1611+v01_KHOfCommons*AJ1611/4*INDEX(LM_All,G1611))*v01_KHUsable*Arch_KH</x:f>
        <x:v>0</x:v>
      </x:c>
      <x:c r="AO1611" s="32" t="n">
        <x:f>MIN(AP1610+AN1611,AM1611*v01_KHMaxRatio)</x:f>
        <x:v>0</x:v>
      </x:c>
      <x:c r="AP1611" s="32" t="n">
        <x:f>AP1610+AN1611-AO1611</x:f>
        <x:v>0</x:v>
      </x:c>
      <x:c r="AQ1611" s="32" t="n">
        <x:f>AM1611+AO1611</x:f>
        <x:v>0</x:v>
      </x:c>
      <x:c r="AR1611" s="10" t="n">
        <x:f>IF(H1611=1,INDEX(v01_Req,G1611),0)</x:f>
        <x:v>0</x:v>
      </x:c>
      <x:c r="AS1611" s="32" t="n">
        <x:f>IF(H1611=1,IF(E1611=1,AS1610-AR1610,AS1610)+AQ1611,0)</x:f>
        <x:v>0</x:v>
      </x:c>
      <x:c r="AT1611" s="11" t="n">
        <x:f>IF(AR1611&gt;0,MIN(1,AS1611/AR1611),1)</x:f>
        <x:v>1</x:v>
      </x:c>
      <x:c r="AU1611" s="10" t="n">
        <x:f>AB1611/INDEX(v01_RepScale,G1611)</x:f>
        <x:v>90.09519605746344</x:v>
      </x:c>
      <x:c r="AV1611" s="32" t="n">
        <x:f>AM1611*60/v01_SeasonSeconds</x:f>
        <x:v>0</x:v>
      </x:c>
    </x:row>
    <x:row r="1612">
      <x:c r="A1612" s="8" t="n">
        <x:f>A1611+1</x:f>
        <x:v>1609</x:v>
      </x:c>
      <x:c r="B1612" s="9" t="n">
        <x:f>A1612*v01_SeasonSeconds/60</x:f>
        <x:v>402.25</x:v>
      </x:c>
      <x:c r="C1612" s="9" t="n">
        <x:f>A1612/4</x:f>
        <x:v>402.25</x:v>
      </x:c>
      <x:c r="D1612" s="8" t="n">
        <x:f>IF(MOD(A1612,4)=0,1,0)</x:f>
        <x:v>0</x:v>
      </x:c>
      <x:c r="E1612" s="8" t="n">
        <x:f>IF(AND(F1611&lt;=9,AS1611&gt;=AR1611),1,0)</x:f>
        <x:v>0</x:v>
      </x:c>
      <x:c r="F1612" s="8" t="n">
        <x:f>MIN(10,F1611+E1612)</x:f>
        <x:v>10</x:v>
      </x:c>
      <x:c r="G1612" s="8" t="n">
        <x:f>MIN(F1612,9)+1</x:f>
        <x:v>10</x:v>
      </x:c>
      <x:c r="H1612" s="8" t="n">
        <x:f>IF(F1612&lt;=9,1,0)</x:f>
        <x:v>0</x:v>
      </x:c>
      <x:c r="I1612" s="9" t="n">
        <x:f>MIN(10,F1611+IF(AR1611&gt;0,MIN(1,AS1611/AR1611),1))</x:f>
        <x:v>10</x:v>
      </x:c>
      <x:c r="J1612" s="32" t="n">
        <x:f>INDEX(v01_FoodCap,G1612)*Arch_FoodCap*EXP(v01_CapsByProject*SUMPRODUCT((Cap_Point&lt;=I1612)*(Cap_Kind="Food")*Cap_Ln))</x:f>
        <x:v>12000</x:v>
      </x:c>
      <x:c r="K1612" s="32" t="n">
        <x:f>J1612*MIN(1,v01_LeanBase*EXP(v01_CapsByProject*SUMPRODUCT((Cap_Point&lt;=I1612)*(Cap_Kind="Lean")*Cap_Ln)))</x:f>
        <x:v>12000</x:v>
      </x:c>
      <x:c r="L1612" s="10" t="n">
        <x:f>INDEX(v01_HousingCap,G1612)*EXP(v01_CapsByProject*SUMPRODUCT((Cap_Point&lt;=I1612)*(Cap_Kind="Housing")*Cap_Ln))</x:f>
        <x:v>20000</x:v>
      </x:c>
      <x:c r="M1612" s="10" t="n">
        <x:f>INDEX(v01_GroupCap,G1612)*v01_CohesionFactor*EXP(v01_CapsByProject*SUMPRODUCT((Cap_Point&lt;=I1612)*(Cap_Kind="Group")*Cap_Ln))</x:f>
        <x:v>1000000</x:v>
      </x:c>
      <x:c r="N1612" s="32" t="n">
        <x:f>MIN(J1612,L1612,M1612)</x:f>
        <x:v>12000</x:v>
      </x:c>
      <x:c r="O1612" s="10" t="n">
        <x:f>AE1611*N1612</x:f>
        <x:v>180000</x:v>
      </x:c>
      <x:c r="P1612" s="9" t="n">
        <x:f>MIN(1,(AB1611/(AE1611*IF(v01_GroupInCrowding=1,N1612,MIN(J1612,L1612))))^v01_CrowdingExp)</x:f>
        <x:v>0.00024569414295285325</x:v>
      </x:c>
      <x:c r="Q1612" s="9" t="n">
        <x:f>IF(D1612=1,INDEX(v01_WinterMult,G1612),1)</x:f>
        <x:v>1</x:v>
      </x:c>
      <x:c r="R1612" s="9" t="n">
        <x:f>H1612*Z1611*v01_WomenShare*v01_BaseFertility*INDEX(v01_FertMult,G1612)*Arch_Fertility*(1-P1612)</x:f>
        <x:v>0</x:v>
      </x:c>
      <x:c r="S1612" s="9" t="n">
        <x:f>H1612*Y1611*INDEX(v01_MortChild,G1612)/4*Q1612</x:f>
        <x:v>0</x:v>
      </x:c>
      <x:c r="T1612" s="9" t="n">
        <x:f>H1612*Z1611*INDEX(v01_MortAdult,G1612)*Arch_AdultMort/4*Q1612</x:f>
        <x:v>0</x:v>
      </x:c>
      <x:c r="U1612" s="9" t="n">
        <x:f>H1612*AA1611*INDEX(v01_MortElder,G1612)/4*Q1612</x:f>
        <x:v>0</x:v>
      </x:c>
      <x:c r="V1612" s="9" t="n">
        <x:f>H1612*MAX(0,AB1611-O1612)*v01_OvercapLoss</x:f>
        <x:v>0</x:v>
      </x:c>
      <x:c r="W1612" s="9" t="n">
        <x:f>H1612*Y1611/(v01_ChildYears*4)</x:f>
        <x:v>0</x:v>
      </x:c>
      <x:c r="X1612" s="9" t="n">
        <x:f>H1612*Z1611/(v01_AdultYears*4)</x:f>
        <x:v>0</x:v>
      </x:c>
      <x:c r="Y1612" s="32" t="n">
        <x:f>Y1611+R1612-S1612-W1612-Y1611*V1612/AB1611</x:f>
        <x:v>14306.18539759397</x:v>
      </x:c>
      <x:c r="Z1612" s="32" t="n">
        <x:f>Z1611+W1612-X1612-T1612-Z1611*V1612/AB1611</x:f>
        <x:v>19354.456567879548</x:v>
      </x:c>
      <x:c r="AA1612" s="32" t="n">
        <x:f>AA1611+X1612-U1612-AA1611*V1612/AB1611</x:f>
        <x:v>11386.956063258198</x:v>
      </x:c>
      <x:c r="AB1612" s="10" t="n">
        <x:f>Y1612+Z1612+AA1612</x:f>
        <x:v>45047.59802873172</x:v>
      </x:c>
      <x:c r="AC1612" s="8" t="n">
        <x:f>IF(AND(v01_WinterTrigger=1,D1612=1,AB1611/AE1611&gt;=K1612),1,0)</x:f>
        <x:v>0</x:v>
      </x:c>
      <x:c r="AD1612" s="8" t="n">
        <x:f>H1612*IF(AND(OR(AB1611/AE1611&gt;=v01_FissionTrigger*N1612,AC1612=1),AB1611/AE1611*v01_DaughterShare&gt;=v01_MinDaughter),MAX(1,ROUND(AE1611*v01_FissionRate,0)),0)</x:f>
        <x:v>0</x:v>
      </x:c>
      <x:c r="AE1612" s="8" t="n">
        <x:f>IF(H1612=1,MAX(1,MIN(INDEX(v01_Smax,G1612),AE1611+AD1612)),AE1611)</x:f>
        <x:v>15</x:v>
      </x:c>
      <x:c r="AF1612" s="8" t="n">
        <x:f>MAX(0,AE1612-AE1611)</x:f>
        <x:v>0</x:v>
      </x:c>
      <x:c r="AG1612" s="9" t="str">
        <x:f>IF(AF1612&gt;0,B1612,"")</x:f>
      </x:c>
      <x:c r="AH1612" s="9" t="n">
        <x:f>IF(F1612&gt;=1,1,(1+v01_LowTiesShare*(AE1612-1))/AE1612)</x:f>
        <x:v>1</x:v>
      </x:c>
      <x:c r="AI1612" s="32" t="n">
        <x:f>(Z1612+v01_ElderCommons*INDEX(LM_Elder,G1612)*AA1612)*AH1612</x:f>
        <x:v>64139.732591141874</x:v>
      </x:c>
      <x:c r="AJ1612" s="32" t="n">
        <x:f>H1612*v01_CommonsCoef*AI1612^v01_CommonsExp*INDEX(LM_Commons,G1612)</x:f>
        <x:v>0</x:v>
      </x:c>
      <x:c r="AK1612" s="32" t="n">
        <x:f>H1612*v01_RoleScale*Arch_Roles*(AE1612*(INDEX(v01_ElderRolePerSett,G1612)*v01_OutElder*INDEX(LM_Elder,G1612)+INDEX(v01_ShamanPerSett,G1612)*v01_OutShaman)+Z1612*(INDEX(v01_PriestShare,G1612)*v01_OutPriest+INDEX(v01_ScribeShare,G1612)*v01_OutScribe*INDEX(LM_Scribe,G1612)+INDEX(v01_ScholarShare,G1612)*v01_OutScholar*INDEX(LM_Scholar,G1612)+INDEX(v01_ResearcherShare,G1612)*v01_OutResearcher*INDEX(LM_Researcher,G1612)))</x:f>
        <x:v>0</x:v>
      </x:c>
      <x:c r="AL1612" s="32" t="n">
        <x:f>H1612*v01_RoleScale*Arch_Roles*AE1612*INDEX(v01_MonasteryPerSett,G1612)*v01_OutMonastery*INDEX(LM_Monastery,G1612)</x:f>
        <x:v>0</x:v>
      </x:c>
      <x:c r="AM1612" s="32" t="n">
        <x:f>(AJ1612+AK1612+AL1612)/4*INDEX(LM_All,G1612)*INDEX(v01_Boon,G1612)*Arch_Insight</x:f>
        <x:v>0</x:v>
      </x:c>
      <x:c r="AN1612" s="32" t="n">
        <x:f>H1612*(v01_KHPerAdult*Z1612+v01_KHOfCommons*AJ1612/4*INDEX(LM_All,G1612))*v01_KHUsable*Arch_KH</x:f>
        <x:v>0</x:v>
      </x:c>
      <x:c r="AO1612" s="32" t="n">
        <x:f>MIN(AP1611+AN1612,AM1612*v01_KHMaxRatio)</x:f>
        <x:v>0</x:v>
      </x:c>
      <x:c r="AP1612" s="32" t="n">
        <x:f>AP1611+AN1612-AO1612</x:f>
        <x:v>0</x:v>
      </x:c>
      <x:c r="AQ1612" s="32" t="n">
        <x:f>AM1612+AO1612</x:f>
        <x:v>0</x:v>
      </x:c>
      <x:c r="AR1612" s="10" t="n">
        <x:f>IF(H1612=1,INDEX(v01_Req,G1612),0)</x:f>
        <x:v>0</x:v>
      </x:c>
      <x:c r="AS1612" s="32" t="n">
        <x:f>IF(H1612=1,IF(E1612=1,AS1611-AR1611,AS1611)+AQ1612,0)</x:f>
        <x:v>0</x:v>
      </x:c>
      <x:c r="AT1612" s="11" t="n">
        <x:f>IF(AR1612&gt;0,MIN(1,AS1612/AR1612),1)</x:f>
        <x:v>1</x:v>
      </x:c>
      <x:c r="AU1612" s="10" t="n">
        <x:f>AB1612/INDEX(v01_RepScale,G1612)</x:f>
        <x:v>90.09519605746344</x:v>
      </x:c>
      <x:c r="AV1612" s="32" t="n">
        <x:f>AM1612*60/v01_SeasonSeconds</x:f>
        <x:v>0</x:v>
      </x:c>
    </x:row>
    <x:row r="1613">
      <x:c r="A1613" s="8" t="n">
        <x:f>A1612+1</x:f>
        <x:v>1610</x:v>
      </x:c>
      <x:c r="B1613" s="9" t="n">
        <x:f>A1613*v01_SeasonSeconds/60</x:f>
        <x:v>402.5</x:v>
      </x:c>
      <x:c r="C1613" s="9" t="n">
        <x:f>A1613/4</x:f>
        <x:v>402.5</x:v>
      </x:c>
      <x:c r="D1613" s="8" t="n">
        <x:f>IF(MOD(A1613,4)=0,1,0)</x:f>
        <x:v>0</x:v>
      </x:c>
      <x:c r="E1613" s="8" t="n">
        <x:f>IF(AND(F1612&lt;=9,AS1612&gt;=AR1612),1,0)</x:f>
        <x:v>0</x:v>
      </x:c>
      <x:c r="F1613" s="8" t="n">
        <x:f>MIN(10,F1612+E1613)</x:f>
        <x:v>10</x:v>
      </x:c>
      <x:c r="G1613" s="8" t="n">
        <x:f>MIN(F1613,9)+1</x:f>
        <x:v>10</x:v>
      </x:c>
      <x:c r="H1613" s="8" t="n">
        <x:f>IF(F1613&lt;=9,1,0)</x:f>
        <x:v>0</x:v>
      </x:c>
      <x:c r="I1613" s="9" t="n">
        <x:f>MIN(10,F1612+IF(AR1612&gt;0,MIN(1,AS1612/AR1612),1))</x:f>
        <x:v>10</x:v>
      </x:c>
      <x:c r="J1613" s="32" t="n">
        <x:f>INDEX(v01_FoodCap,G1613)*Arch_FoodCap*EXP(v01_CapsByProject*SUMPRODUCT((Cap_Point&lt;=I1613)*(Cap_Kind="Food")*Cap_Ln))</x:f>
        <x:v>12000</x:v>
      </x:c>
      <x:c r="K1613" s="32" t="n">
        <x:f>J1613*MIN(1,v01_LeanBase*EXP(v01_CapsByProject*SUMPRODUCT((Cap_Point&lt;=I1613)*(Cap_Kind="Lean")*Cap_Ln)))</x:f>
        <x:v>12000</x:v>
      </x:c>
      <x:c r="L1613" s="10" t="n">
        <x:f>INDEX(v01_HousingCap,G1613)*EXP(v01_CapsByProject*SUMPRODUCT((Cap_Point&lt;=I1613)*(Cap_Kind="Housing")*Cap_Ln))</x:f>
        <x:v>20000</x:v>
      </x:c>
      <x:c r="M1613" s="10" t="n">
        <x:f>INDEX(v01_GroupCap,G1613)*v01_CohesionFactor*EXP(v01_CapsByProject*SUMPRODUCT((Cap_Point&lt;=I1613)*(Cap_Kind="Group")*Cap_Ln))</x:f>
        <x:v>1000000</x:v>
      </x:c>
      <x:c r="N1613" s="32" t="n">
        <x:f>MIN(J1613,L1613,M1613)</x:f>
        <x:v>12000</x:v>
      </x:c>
      <x:c r="O1613" s="10" t="n">
        <x:f>AE1612*N1613</x:f>
        <x:v>180000</x:v>
      </x:c>
      <x:c r="P1613" s="9" t="n">
        <x:f>MIN(1,(AB1612/(AE1612*IF(v01_GroupInCrowding=1,N1613,MIN(J1613,L1613))))^v01_CrowdingExp)</x:f>
        <x:v>0.00024569414295285325</x:v>
      </x:c>
      <x:c r="Q1613" s="9" t="n">
        <x:f>IF(D1613=1,INDEX(v01_WinterMult,G1613),1)</x:f>
        <x:v>1</x:v>
      </x:c>
      <x:c r="R1613" s="9" t="n">
        <x:f>H1613*Z1612*v01_WomenShare*v01_BaseFertility*INDEX(v01_FertMult,G1613)*Arch_Fertility*(1-P1613)</x:f>
        <x:v>0</x:v>
      </x:c>
      <x:c r="S1613" s="9" t="n">
        <x:f>H1613*Y1612*INDEX(v01_MortChild,G1613)/4*Q1613</x:f>
        <x:v>0</x:v>
      </x:c>
      <x:c r="T1613" s="9" t="n">
        <x:f>H1613*Z1612*INDEX(v01_MortAdult,G1613)*Arch_AdultMort/4*Q1613</x:f>
        <x:v>0</x:v>
      </x:c>
      <x:c r="U1613" s="9" t="n">
        <x:f>H1613*AA1612*INDEX(v01_MortElder,G1613)/4*Q1613</x:f>
        <x:v>0</x:v>
      </x:c>
      <x:c r="V1613" s="9" t="n">
        <x:f>H1613*MAX(0,AB1612-O1613)*v01_OvercapLoss</x:f>
        <x:v>0</x:v>
      </x:c>
      <x:c r="W1613" s="9" t="n">
        <x:f>H1613*Y1612/(v01_ChildYears*4)</x:f>
        <x:v>0</x:v>
      </x:c>
      <x:c r="X1613" s="9" t="n">
        <x:f>H1613*Z1612/(v01_AdultYears*4)</x:f>
        <x:v>0</x:v>
      </x:c>
      <x:c r="Y1613" s="32" t="n">
        <x:f>Y1612+R1613-S1613-W1613-Y1612*V1613/AB1612</x:f>
        <x:v>14306.18539759397</x:v>
      </x:c>
      <x:c r="Z1613" s="32" t="n">
        <x:f>Z1612+W1613-X1613-T1613-Z1612*V1613/AB1612</x:f>
        <x:v>19354.456567879548</x:v>
      </x:c>
      <x:c r="AA1613" s="32" t="n">
        <x:f>AA1612+X1613-U1613-AA1612*V1613/AB1612</x:f>
        <x:v>11386.956063258198</x:v>
      </x:c>
      <x:c r="AB1613" s="10" t="n">
        <x:f>Y1613+Z1613+AA1613</x:f>
        <x:v>45047.59802873172</x:v>
      </x:c>
      <x:c r="AC1613" s="8" t="n">
        <x:f>IF(AND(v01_WinterTrigger=1,D1613=1,AB1612/AE1612&gt;=K1613),1,0)</x:f>
        <x:v>0</x:v>
      </x:c>
      <x:c r="AD1613" s="8" t="n">
        <x:f>H1613*IF(AND(OR(AB1612/AE1612&gt;=v01_FissionTrigger*N1613,AC1613=1),AB1612/AE1612*v01_DaughterShare&gt;=v01_MinDaughter),MAX(1,ROUND(AE1612*v01_FissionRate,0)),0)</x:f>
        <x:v>0</x:v>
      </x:c>
      <x:c r="AE1613" s="8" t="n">
        <x:f>IF(H1613=1,MAX(1,MIN(INDEX(v01_Smax,G1613),AE1612+AD1613)),AE1612)</x:f>
        <x:v>15</x:v>
      </x:c>
      <x:c r="AF1613" s="8" t="n">
        <x:f>MAX(0,AE1613-AE1612)</x:f>
        <x:v>0</x:v>
      </x:c>
      <x:c r="AG1613" s="9" t="str">
        <x:f>IF(AF1613&gt;0,B1613,"")</x:f>
      </x:c>
      <x:c r="AH1613" s="9" t="n">
        <x:f>IF(F1613&gt;=1,1,(1+v01_LowTiesShare*(AE1613-1))/AE1613)</x:f>
        <x:v>1</x:v>
      </x:c>
      <x:c r="AI1613" s="32" t="n">
        <x:f>(Z1613+v01_ElderCommons*INDEX(LM_Elder,G1613)*AA1613)*AH1613</x:f>
        <x:v>64139.732591141874</x:v>
      </x:c>
      <x:c r="AJ1613" s="32" t="n">
        <x:f>H1613*v01_CommonsCoef*AI1613^v01_CommonsExp*INDEX(LM_Commons,G1613)</x:f>
        <x:v>0</x:v>
      </x:c>
      <x:c r="AK1613" s="32" t="n">
        <x:f>H1613*v01_RoleScale*Arch_Roles*(AE1613*(INDEX(v01_ElderRolePerSett,G1613)*v01_OutElder*INDEX(LM_Elder,G1613)+INDEX(v01_ShamanPerSett,G1613)*v01_OutShaman)+Z1613*(INDEX(v01_PriestShare,G1613)*v01_OutPriest+INDEX(v01_ScribeShare,G1613)*v01_OutScribe*INDEX(LM_Scribe,G1613)+INDEX(v01_ScholarShare,G1613)*v01_OutScholar*INDEX(LM_Scholar,G1613)+INDEX(v01_ResearcherShare,G1613)*v01_OutResearcher*INDEX(LM_Researcher,G1613)))</x:f>
        <x:v>0</x:v>
      </x:c>
      <x:c r="AL1613" s="32" t="n">
        <x:f>H1613*v01_RoleScale*Arch_Roles*AE1613*INDEX(v01_MonasteryPerSett,G1613)*v01_OutMonastery*INDEX(LM_Monastery,G1613)</x:f>
        <x:v>0</x:v>
      </x:c>
      <x:c r="AM1613" s="32" t="n">
        <x:f>(AJ1613+AK1613+AL1613)/4*INDEX(LM_All,G1613)*INDEX(v01_Boon,G1613)*Arch_Insight</x:f>
        <x:v>0</x:v>
      </x:c>
      <x:c r="AN1613" s="32" t="n">
        <x:f>H1613*(v01_KHPerAdult*Z1613+v01_KHOfCommons*AJ1613/4*INDEX(LM_All,G1613))*v01_KHUsable*Arch_KH</x:f>
        <x:v>0</x:v>
      </x:c>
      <x:c r="AO1613" s="32" t="n">
        <x:f>MIN(AP1612+AN1613,AM1613*v01_KHMaxRatio)</x:f>
        <x:v>0</x:v>
      </x:c>
      <x:c r="AP1613" s="32" t="n">
        <x:f>AP1612+AN1613-AO1613</x:f>
        <x:v>0</x:v>
      </x:c>
      <x:c r="AQ1613" s="32" t="n">
        <x:f>AM1613+AO1613</x:f>
        <x:v>0</x:v>
      </x:c>
      <x:c r="AR1613" s="10" t="n">
        <x:f>IF(H1613=1,INDEX(v01_Req,G1613),0)</x:f>
        <x:v>0</x:v>
      </x:c>
      <x:c r="AS1613" s="32" t="n">
        <x:f>IF(H1613=1,IF(E1613=1,AS1612-AR1612,AS1612)+AQ1613,0)</x:f>
        <x:v>0</x:v>
      </x:c>
      <x:c r="AT1613" s="11" t="n">
        <x:f>IF(AR1613&gt;0,MIN(1,AS1613/AR1613),1)</x:f>
        <x:v>1</x:v>
      </x:c>
      <x:c r="AU1613" s="10" t="n">
        <x:f>AB1613/INDEX(v01_RepScale,G1613)</x:f>
        <x:v>90.09519605746344</x:v>
      </x:c>
      <x:c r="AV1613" s="32" t="n">
        <x:f>AM1613*60/v01_SeasonSeconds</x:f>
        <x:v>0</x:v>
      </x:c>
    </x:row>
    <x:row r="1614">
      <x:c r="A1614" s="8" t="n">
        <x:f>A1613+1</x:f>
        <x:v>1611</x:v>
      </x:c>
      <x:c r="B1614" s="9" t="n">
        <x:f>A1614*v01_SeasonSeconds/60</x:f>
        <x:v>402.75</x:v>
      </x:c>
      <x:c r="C1614" s="9" t="n">
        <x:f>A1614/4</x:f>
        <x:v>402.75</x:v>
      </x:c>
      <x:c r="D1614" s="8" t="n">
        <x:f>IF(MOD(A1614,4)=0,1,0)</x:f>
        <x:v>0</x:v>
      </x:c>
      <x:c r="E1614" s="8" t="n">
        <x:f>IF(AND(F1613&lt;=9,AS1613&gt;=AR1613),1,0)</x:f>
        <x:v>0</x:v>
      </x:c>
      <x:c r="F1614" s="8" t="n">
        <x:f>MIN(10,F1613+E1614)</x:f>
        <x:v>10</x:v>
      </x:c>
      <x:c r="G1614" s="8" t="n">
        <x:f>MIN(F1614,9)+1</x:f>
        <x:v>10</x:v>
      </x:c>
      <x:c r="H1614" s="8" t="n">
        <x:f>IF(F1614&lt;=9,1,0)</x:f>
        <x:v>0</x:v>
      </x:c>
      <x:c r="I1614" s="9" t="n">
        <x:f>MIN(10,F1613+IF(AR1613&gt;0,MIN(1,AS1613/AR1613),1))</x:f>
        <x:v>10</x:v>
      </x:c>
      <x:c r="J1614" s="32" t="n">
        <x:f>INDEX(v01_FoodCap,G1614)*Arch_FoodCap*EXP(v01_CapsByProject*SUMPRODUCT((Cap_Point&lt;=I1614)*(Cap_Kind="Food")*Cap_Ln))</x:f>
        <x:v>12000</x:v>
      </x:c>
      <x:c r="K1614" s="32" t="n">
        <x:f>J1614*MIN(1,v01_LeanBase*EXP(v01_CapsByProject*SUMPRODUCT((Cap_Point&lt;=I1614)*(Cap_Kind="Lean")*Cap_Ln)))</x:f>
        <x:v>12000</x:v>
      </x:c>
      <x:c r="L1614" s="10" t="n">
        <x:f>INDEX(v01_HousingCap,G1614)*EXP(v01_CapsByProject*SUMPRODUCT((Cap_Point&lt;=I1614)*(Cap_Kind="Housing")*Cap_Ln))</x:f>
        <x:v>20000</x:v>
      </x:c>
      <x:c r="M1614" s="10" t="n">
        <x:f>INDEX(v01_GroupCap,G1614)*v01_CohesionFactor*EXP(v01_CapsByProject*SUMPRODUCT((Cap_Point&lt;=I1614)*(Cap_Kind="Group")*Cap_Ln))</x:f>
        <x:v>1000000</x:v>
      </x:c>
      <x:c r="N1614" s="32" t="n">
        <x:f>MIN(J1614,L1614,M1614)</x:f>
        <x:v>12000</x:v>
      </x:c>
      <x:c r="O1614" s="10" t="n">
        <x:f>AE1613*N1614</x:f>
        <x:v>180000</x:v>
      </x:c>
      <x:c r="P1614" s="9" t="n">
        <x:f>MIN(1,(AB1613/(AE1613*IF(v01_GroupInCrowding=1,N1614,MIN(J1614,L1614))))^v01_CrowdingExp)</x:f>
        <x:v>0.00024569414295285325</x:v>
      </x:c>
      <x:c r="Q1614" s="9" t="n">
        <x:f>IF(D1614=1,INDEX(v01_WinterMult,G1614),1)</x:f>
        <x:v>1</x:v>
      </x:c>
      <x:c r="R1614" s="9" t="n">
        <x:f>H1614*Z1613*v01_WomenShare*v01_BaseFertility*INDEX(v01_FertMult,G1614)*Arch_Fertility*(1-P1614)</x:f>
        <x:v>0</x:v>
      </x:c>
      <x:c r="S1614" s="9" t="n">
        <x:f>H1614*Y1613*INDEX(v01_MortChild,G1614)/4*Q1614</x:f>
        <x:v>0</x:v>
      </x:c>
      <x:c r="T1614" s="9" t="n">
        <x:f>H1614*Z1613*INDEX(v01_MortAdult,G1614)*Arch_AdultMort/4*Q1614</x:f>
        <x:v>0</x:v>
      </x:c>
      <x:c r="U1614" s="9" t="n">
        <x:f>H1614*AA1613*INDEX(v01_MortElder,G1614)/4*Q1614</x:f>
        <x:v>0</x:v>
      </x:c>
      <x:c r="V1614" s="9" t="n">
        <x:f>H1614*MAX(0,AB1613-O1614)*v01_OvercapLoss</x:f>
        <x:v>0</x:v>
      </x:c>
      <x:c r="W1614" s="9" t="n">
        <x:f>H1614*Y1613/(v01_ChildYears*4)</x:f>
        <x:v>0</x:v>
      </x:c>
      <x:c r="X1614" s="9" t="n">
        <x:f>H1614*Z1613/(v01_AdultYears*4)</x:f>
        <x:v>0</x:v>
      </x:c>
      <x:c r="Y1614" s="32" t="n">
        <x:f>Y1613+R1614-S1614-W1614-Y1613*V1614/AB1613</x:f>
        <x:v>14306.18539759397</x:v>
      </x:c>
      <x:c r="Z1614" s="32" t="n">
        <x:f>Z1613+W1614-X1614-T1614-Z1613*V1614/AB1613</x:f>
        <x:v>19354.456567879548</x:v>
      </x:c>
      <x:c r="AA1614" s="32" t="n">
        <x:f>AA1613+X1614-U1614-AA1613*V1614/AB1613</x:f>
        <x:v>11386.956063258198</x:v>
      </x:c>
      <x:c r="AB1614" s="10" t="n">
        <x:f>Y1614+Z1614+AA1614</x:f>
        <x:v>45047.59802873172</x:v>
      </x:c>
      <x:c r="AC1614" s="8" t="n">
        <x:f>IF(AND(v01_WinterTrigger=1,D1614=1,AB1613/AE1613&gt;=K1614),1,0)</x:f>
        <x:v>0</x:v>
      </x:c>
      <x:c r="AD1614" s="8" t="n">
        <x:f>H1614*IF(AND(OR(AB1613/AE1613&gt;=v01_FissionTrigger*N1614,AC1614=1),AB1613/AE1613*v01_DaughterShare&gt;=v01_MinDaughter),MAX(1,ROUND(AE1613*v01_FissionRate,0)),0)</x:f>
        <x:v>0</x:v>
      </x:c>
      <x:c r="AE1614" s="8" t="n">
        <x:f>IF(H1614=1,MAX(1,MIN(INDEX(v01_Smax,G1614),AE1613+AD1614)),AE1613)</x:f>
        <x:v>15</x:v>
      </x:c>
      <x:c r="AF1614" s="8" t="n">
        <x:f>MAX(0,AE1614-AE1613)</x:f>
        <x:v>0</x:v>
      </x:c>
      <x:c r="AG1614" s="9" t="str">
        <x:f>IF(AF1614&gt;0,B1614,"")</x:f>
      </x:c>
      <x:c r="AH1614" s="9" t="n">
        <x:f>IF(F1614&gt;=1,1,(1+v01_LowTiesShare*(AE1614-1))/AE1614)</x:f>
        <x:v>1</x:v>
      </x:c>
      <x:c r="AI1614" s="32" t="n">
        <x:f>(Z1614+v01_ElderCommons*INDEX(LM_Elder,G1614)*AA1614)*AH1614</x:f>
        <x:v>64139.732591141874</x:v>
      </x:c>
      <x:c r="AJ1614" s="32" t="n">
        <x:f>H1614*v01_CommonsCoef*AI1614^v01_CommonsExp*INDEX(LM_Commons,G1614)</x:f>
        <x:v>0</x:v>
      </x:c>
      <x:c r="AK1614" s="32" t="n">
        <x:f>H1614*v01_RoleScale*Arch_Roles*(AE1614*(INDEX(v01_ElderRolePerSett,G1614)*v01_OutElder*INDEX(LM_Elder,G1614)+INDEX(v01_ShamanPerSett,G1614)*v01_OutShaman)+Z1614*(INDEX(v01_PriestShare,G1614)*v01_OutPriest+INDEX(v01_ScribeShare,G1614)*v01_OutScribe*INDEX(LM_Scribe,G1614)+INDEX(v01_ScholarShare,G1614)*v01_OutScholar*INDEX(LM_Scholar,G1614)+INDEX(v01_ResearcherShare,G1614)*v01_OutResearcher*INDEX(LM_Researcher,G1614)))</x:f>
        <x:v>0</x:v>
      </x:c>
      <x:c r="AL1614" s="32" t="n">
        <x:f>H1614*v01_RoleScale*Arch_Roles*AE1614*INDEX(v01_MonasteryPerSett,G1614)*v01_OutMonastery*INDEX(LM_Monastery,G1614)</x:f>
        <x:v>0</x:v>
      </x:c>
      <x:c r="AM1614" s="32" t="n">
        <x:f>(AJ1614+AK1614+AL1614)/4*INDEX(LM_All,G1614)*INDEX(v01_Boon,G1614)*Arch_Insight</x:f>
        <x:v>0</x:v>
      </x:c>
      <x:c r="AN1614" s="32" t="n">
        <x:f>H1614*(v01_KHPerAdult*Z1614+v01_KHOfCommons*AJ1614/4*INDEX(LM_All,G1614))*v01_KHUsable*Arch_KH</x:f>
        <x:v>0</x:v>
      </x:c>
      <x:c r="AO1614" s="32" t="n">
        <x:f>MIN(AP1613+AN1614,AM1614*v01_KHMaxRatio)</x:f>
        <x:v>0</x:v>
      </x:c>
      <x:c r="AP1614" s="32" t="n">
        <x:f>AP1613+AN1614-AO1614</x:f>
        <x:v>0</x:v>
      </x:c>
      <x:c r="AQ1614" s="32" t="n">
        <x:f>AM1614+AO1614</x:f>
        <x:v>0</x:v>
      </x:c>
      <x:c r="AR1614" s="10" t="n">
        <x:f>IF(H1614=1,INDEX(v01_Req,G1614),0)</x:f>
        <x:v>0</x:v>
      </x:c>
      <x:c r="AS1614" s="32" t="n">
        <x:f>IF(H1614=1,IF(E1614=1,AS1613-AR1613,AS1613)+AQ1614,0)</x:f>
        <x:v>0</x:v>
      </x:c>
      <x:c r="AT1614" s="11" t="n">
        <x:f>IF(AR1614&gt;0,MIN(1,AS1614/AR1614),1)</x:f>
        <x:v>1</x:v>
      </x:c>
      <x:c r="AU1614" s="10" t="n">
        <x:f>AB1614/INDEX(v01_RepScale,G1614)</x:f>
        <x:v>90.09519605746344</x:v>
      </x:c>
      <x:c r="AV1614" s="32" t="n">
        <x:f>AM1614*60/v01_SeasonSeconds</x:f>
        <x:v>0</x:v>
      </x:c>
    </x:row>
    <x:row r="1615">
      <x:c r="A1615" s="8" t="n">
        <x:f>A1614+1</x:f>
        <x:v>1612</x:v>
      </x:c>
      <x:c r="B1615" s="9" t="n">
        <x:f>A1615*v01_SeasonSeconds/60</x:f>
        <x:v>403</x:v>
      </x:c>
      <x:c r="C1615" s="9" t="n">
        <x:f>A1615/4</x:f>
        <x:v>403</x:v>
      </x:c>
      <x:c r="D1615" s="8" t="n">
        <x:f>IF(MOD(A1615,4)=0,1,0)</x:f>
        <x:v>1</x:v>
      </x:c>
      <x:c r="E1615" s="8" t="n">
        <x:f>IF(AND(F1614&lt;=9,AS1614&gt;=AR1614),1,0)</x:f>
        <x:v>0</x:v>
      </x:c>
      <x:c r="F1615" s="8" t="n">
        <x:f>MIN(10,F1614+E1615)</x:f>
        <x:v>10</x:v>
      </x:c>
      <x:c r="G1615" s="8" t="n">
        <x:f>MIN(F1615,9)+1</x:f>
        <x:v>10</x:v>
      </x:c>
      <x:c r="H1615" s="8" t="n">
        <x:f>IF(F1615&lt;=9,1,0)</x:f>
        <x:v>0</x:v>
      </x:c>
      <x:c r="I1615" s="9" t="n">
        <x:f>MIN(10,F1614+IF(AR1614&gt;0,MIN(1,AS1614/AR1614),1))</x:f>
        <x:v>10</x:v>
      </x:c>
      <x:c r="J1615" s="32" t="n">
        <x:f>INDEX(v01_FoodCap,G1615)*Arch_FoodCap*EXP(v01_CapsByProject*SUMPRODUCT((Cap_Point&lt;=I1615)*(Cap_Kind="Food")*Cap_Ln))</x:f>
        <x:v>12000</x:v>
      </x:c>
      <x:c r="K1615" s="32" t="n">
        <x:f>J1615*MIN(1,v01_LeanBase*EXP(v01_CapsByProject*SUMPRODUCT((Cap_Point&lt;=I1615)*(Cap_Kind="Lean")*Cap_Ln)))</x:f>
        <x:v>12000</x:v>
      </x:c>
      <x:c r="L1615" s="10" t="n">
        <x:f>INDEX(v01_HousingCap,G1615)*EXP(v01_CapsByProject*SUMPRODUCT((Cap_Point&lt;=I1615)*(Cap_Kind="Housing")*Cap_Ln))</x:f>
        <x:v>20000</x:v>
      </x:c>
      <x:c r="M1615" s="10" t="n">
        <x:f>INDEX(v01_GroupCap,G1615)*v01_CohesionFactor*EXP(v01_CapsByProject*SUMPRODUCT((Cap_Point&lt;=I1615)*(Cap_Kind="Group")*Cap_Ln))</x:f>
        <x:v>1000000</x:v>
      </x:c>
      <x:c r="N1615" s="32" t="n">
        <x:f>MIN(J1615,L1615,M1615)</x:f>
        <x:v>12000</x:v>
      </x:c>
      <x:c r="O1615" s="10" t="n">
        <x:f>AE1614*N1615</x:f>
        <x:v>180000</x:v>
      </x:c>
      <x:c r="P1615" s="9" t="n">
        <x:f>MIN(1,(AB1614/(AE1614*IF(v01_GroupInCrowding=1,N1615,MIN(J1615,L1615))))^v01_CrowdingExp)</x:f>
        <x:v>0.00024569414295285325</x:v>
      </x:c>
      <x:c r="Q1615" s="9" t="n">
        <x:f>IF(D1615=1,INDEX(v01_WinterMult,G1615),1)</x:f>
        <x:v>1</x:v>
      </x:c>
      <x:c r="R1615" s="9" t="n">
        <x:f>H1615*Z1614*v01_WomenShare*v01_BaseFertility*INDEX(v01_FertMult,G1615)*Arch_Fertility*(1-P1615)</x:f>
        <x:v>0</x:v>
      </x:c>
      <x:c r="S1615" s="9" t="n">
        <x:f>H1615*Y1614*INDEX(v01_MortChild,G1615)/4*Q1615</x:f>
        <x:v>0</x:v>
      </x:c>
      <x:c r="T1615" s="9" t="n">
        <x:f>H1615*Z1614*INDEX(v01_MortAdult,G1615)*Arch_AdultMort/4*Q1615</x:f>
        <x:v>0</x:v>
      </x:c>
      <x:c r="U1615" s="9" t="n">
        <x:f>H1615*AA1614*INDEX(v01_MortElder,G1615)/4*Q1615</x:f>
        <x:v>0</x:v>
      </x:c>
      <x:c r="V1615" s="9" t="n">
        <x:f>H1615*MAX(0,AB1614-O1615)*v01_OvercapLoss</x:f>
        <x:v>0</x:v>
      </x:c>
      <x:c r="W1615" s="9" t="n">
        <x:f>H1615*Y1614/(v01_ChildYears*4)</x:f>
        <x:v>0</x:v>
      </x:c>
      <x:c r="X1615" s="9" t="n">
        <x:f>H1615*Z1614/(v01_AdultYears*4)</x:f>
        <x:v>0</x:v>
      </x:c>
      <x:c r="Y1615" s="32" t="n">
        <x:f>Y1614+R1615-S1615-W1615-Y1614*V1615/AB1614</x:f>
        <x:v>14306.18539759397</x:v>
      </x:c>
      <x:c r="Z1615" s="32" t="n">
        <x:f>Z1614+W1615-X1615-T1615-Z1614*V1615/AB1614</x:f>
        <x:v>19354.456567879548</x:v>
      </x:c>
      <x:c r="AA1615" s="32" t="n">
        <x:f>AA1614+X1615-U1615-AA1614*V1615/AB1614</x:f>
        <x:v>11386.956063258198</x:v>
      </x:c>
      <x:c r="AB1615" s="10" t="n">
        <x:f>Y1615+Z1615+AA1615</x:f>
        <x:v>45047.59802873172</x:v>
      </x:c>
      <x:c r="AC1615" s="8" t="n">
        <x:f>IF(AND(v01_WinterTrigger=1,D1615=1,AB1614/AE1614&gt;=K1615),1,0)</x:f>
        <x:v>0</x:v>
      </x:c>
      <x:c r="AD1615" s="8" t="n">
        <x:f>H1615*IF(AND(OR(AB1614/AE1614&gt;=v01_FissionTrigger*N1615,AC1615=1),AB1614/AE1614*v01_DaughterShare&gt;=v01_MinDaughter),MAX(1,ROUND(AE1614*v01_FissionRate,0)),0)</x:f>
        <x:v>0</x:v>
      </x:c>
      <x:c r="AE1615" s="8" t="n">
        <x:f>IF(H1615=1,MAX(1,MIN(INDEX(v01_Smax,G1615),AE1614+AD1615)),AE1614)</x:f>
        <x:v>15</x:v>
      </x:c>
      <x:c r="AF1615" s="8" t="n">
        <x:f>MAX(0,AE1615-AE1614)</x:f>
        <x:v>0</x:v>
      </x:c>
      <x:c r="AG1615" s="9" t="str">
        <x:f>IF(AF1615&gt;0,B1615,"")</x:f>
      </x:c>
      <x:c r="AH1615" s="9" t="n">
        <x:f>IF(F1615&gt;=1,1,(1+v01_LowTiesShare*(AE1615-1))/AE1615)</x:f>
        <x:v>1</x:v>
      </x:c>
      <x:c r="AI1615" s="32" t="n">
        <x:f>(Z1615+v01_ElderCommons*INDEX(LM_Elder,G1615)*AA1615)*AH1615</x:f>
        <x:v>64139.732591141874</x:v>
      </x:c>
      <x:c r="AJ1615" s="32" t="n">
        <x:f>H1615*v01_CommonsCoef*AI1615^v01_CommonsExp*INDEX(LM_Commons,G1615)</x:f>
        <x:v>0</x:v>
      </x:c>
      <x:c r="AK1615" s="32" t="n">
        <x:f>H1615*v01_RoleScale*Arch_Roles*(AE1615*(INDEX(v01_ElderRolePerSett,G1615)*v01_OutElder*INDEX(LM_Elder,G1615)+INDEX(v01_ShamanPerSett,G1615)*v01_OutShaman)+Z1615*(INDEX(v01_PriestShare,G1615)*v01_OutPriest+INDEX(v01_ScribeShare,G1615)*v01_OutScribe*INDEX(LM_Scribe,G1615)+INDEX(v01_ScholarShare,G1615)*v01_OutScholar*INDEX(LM_Scholar,G1615)+INDEX(v01_ResearcherShare,G1615)*v01_OutResearcher*INDEX(LM_Researcher,G1615)))</x:f>
        <x:v>0</x:v>
      </x:c>
      <x:c r="AL1615" s="32" t="n">
        <x:f>H1615*v01_RoleScale*Arch_Roles*AE1615*INDEX(v01_MonasteryPerSett,G1615)*v01_OutMonastery*INDEX(LM_Monastery,G1615)</x:f>
        <x:v>0</x:v>
      </x:c>
      <x:c r="AM1615" s="32" t="n">
        <x:f>(AJ1615+AK1615+AL1615)/4*INDEX(LM_All,G1615)*INDEX(v01_Boon,G1615)*Arch_Insight</x:f>
        <x:v>0</x:v>
      </x:c>
      <x:c r="AN1615" s="32" t="n">
        <x:f>H1615*(v01_KHPerAdult*Z1615+v01_KHOfCommons*AJ1615/4*INDEX(LM_All,G1615))*v01_KHUsable*Arch_KH</x:f>
        <x:v>0</x:v>
      </x:c>
      <x:c r="AO1615" s="32" t="n">
        <x:f>MIN(AP1614+AN1615,AM1615*v01_KHMaxRatio)</x:f>
        <x:v>0</x:v>
      </x:c>
      <x:c r="AP1615" s="32" t="n">
        <x:f>AP1614+AN1615-AO1615</x:f>
        <x:v>0</x:v>
      </x:c>
      <x:c r="AQ1615" s="32" t="n">
        <x:f>AM1615+AO1615</x:f>
        <x:v>0</x:v>
      </x:c>
      <x:c r="AR1615" s="10" t="n">
        <x:f>IF(H1615=1,INDEX(v01_Req,G1615),0)</x:f>
        <x:v>0</x:v>
      </x:c>
      <x:c r="AS1615" s="32" t="n">
        <x:f>IF(H1615=1,IF(E1615=1,AS1614-AR1614,AS1614)+AQ1615,0)</x:f>
        <x:v>0</x:v>
      </x:c>
      <x:c r="AT1615" s="11" t="n">
        <x:f>IF(AR1615&gt;0,MIN(1,AS1615/AR1615),1)</x:f>
        <x:v>1</x:v>
      </x:c>
      <x:c r="AU1615" s="10" t="n">
        <x:f>AB1615/INDEX(v01_RepScale,G1615)</x:f>
        <x:v>90.09519605746344</x:v>
      </x:c>
      <x:c r="AV1615" s="32" t="n">
        <x:f>AM1615*60/v01_SeasonSeconds</x:f>
        <x:v>0</x:v>
      </x:c>
    </x:row>
    <x:row r="1616">
      <x:c r="A1616" s="8" t="n">
        <x:f>A1615+1</x:f>
        <x:v>1613</x:v>
      </x:c>
      <x:c r="B1616" s="9" t="n">
        <x:f>A1616*v01_SeasonSeconds/60</x:f>
        <x:v>403.25</x:v>
      </x:c>
      <x:c r="C1616" s="9" t="n">
        <x:f>A1616/4</x:f>
        <x:v>403.25</x:v>
      </x:c>
      <x:c r="D1616" s="8" t="n">
        <x:f>IF(MOD(A1616,4)=0,1,0)</x:f>
        <x:v>0</x:v>
      </x:c>
      <x:c r="E1616" s="8" t="n">
        <x:f>IF(AND(F1615&lt;=9,AS1615&gt;=AR1615),1,0)</x:f>
        <x:v>0</x:v>
      </x:c>
      <x:c r="F1616" s="8" t="n">
        <x:f>MIN(10,F1615+E1616)</x:f>
        <x:v>10</x:v>
      </x:c>
      <x:c r="G1616" s="8" t="n">
        <x:f>MIN(F1616,9)+1</x:f>
        <x:v>10</x:v>
      </x:c>
      <x:c r="H1616" s="8" t="n">
        <x:f>IF(F1616&lt;=9,1,0)</x:f>
        <x:v>0</x:v>
      </x:c>
      <x:c r="I1616" s="9" t="n">
        <x:f>MIN(10,F1615+IF(AR1615&gt;0,MIN(1,AS1615/AR1615),1))</x:f>
        <x:v>10</x:v>
      </x:c>
      <x:c r="J1616" s="32" t="n">
        <x:f>INDEX(v01_FoodCap,G1616)*Arch_FoodCap*EXP(v01_CapsByProject*SUMPRODUCT((Cap_Point&lt;=I1616)*(Cap_Kind="Food")*Cap_Ln))</x:f>
        <x:v>12000</x:v>
      </x:c>
      <x:c r="K1616" s="32" t="n">
        <x:f>J1616*MIN(1,v01_LeanBase*EXP(v01_CapsByProject*SUMPRODUCT((Cap_Point&lt;=I1616)*(Cap_Kind="Lean")*Cap_Ln)))</x:f>
        <x:v>12000</x:v>
      </x:c>
      <x:c r="L1616" s="10" t="n">
        <x:f>INDEX(v01_HousingCap,G1616)*EXP(v01_CapsByProject*SUMPRODUCT((Cap_Point&lt;=I1616)*(Cap_Kind="Housing")*Cap_Ln))</x:f>
        <x:v>20000</x:v>
      </x:c>
      <x:c r="M1616" s="10" t="n">
        <x:f>INDEX(v01_GroupCap,G1616)*v01_CohesionFactor*EXP(v01_CapsByProject*SUMPRODUCT((Cap_Point&lt;=I1616)*(Cap_Kind="Group")*Cap_Ln))</x:f>
        <x:v>1000000</x:v>
      </x:c>
      <x:c r="N1616" s="32" t="n">
        <x:f>MIN(J1616,L1616,M1616)</x:f>
        <x:v>12000</x:v>
      </x:c>
      <x:c r="O1616" s="10" t="n">
        <x:f>AE1615*N1616</x:f>
        <x:v>180000</x:v>
      </x:c>
      <x:c r="P1616" s="9" t="n">
        <x:f>MIN(1,(AB1615/(AE1615*IF(v01_GroupInCrowding=1,N1616,MIN(J1616,L1616))))^v01_CrowdingExp)</x:f>
        <x:v>0.00024569414295285325</x:v>
      </x:c>
      <x:c r="Q1616" s="9" t="n">
        <x:f>IF(D1616=1,INDEX(v01_WinterMult,G1616),1)</x:f>
        <x:v>1</x:v>
      </x:c>
      <x:c r="R1616" s="9" t="n">
        <x:f>H1616*Z1615*v01_WomenShare*v01_BaseFertility*INDEX(v01_FertMult,G1616)*Arch_Fertility*(1-P1616)</x:f>
        <x:v>0</x:v>
      </x:c>
      <x:c r="S1616" s="9" t="n">
        <x:f>H1616*Y1615*INDEX(v01_MortChild,G1616)/4*Q1616</x:f>
        <x:v>0</x:v>
      </x:c>
      <x:c r="T1616" s="9" t="n">
        <x:f>H1616*Z1615*INDEX(v01_MortAdult,G1616)*Arch_AdultMort/4*Q1616</x:f>
        <x:v>0</x:v>
      </x:c>
      <x:c r="U1616" s="9" t="n">
        <x:f>H1616*AA1615*INDEX(v01_MortElder,G1616)/4*Q1616</x:f>
        <x:v>0</x:v>
      </x:c>
      <x:c r="V1616" s="9" t="n">
        <x:f>H1616*MAX(0,AB1615-O1616)*v01_OvercapLoss</x:f>
        <x:v>0</x:v>
      </x:c>
      <x:c r="W1616" s="9" t="n">
        <x:f>H1616*Y1615/(v01_ChildYears*4)</x:f>
        <x:v>0</x:v>
      </x:c>
      <x:c r="X1616" s="9" t="n">
        <x:f>H1616*Z1615/(v01_AdultYears*4)</x:f>
        <x:v>0</x:v>
      </x:c>
      <x:c r="Y1616" s="32" t="n">
        <x:f>Y1615+R1616-S1616-W1616-Y1615*V1616/AB1615</x:f>
        <x:v>14306.18539759397</x:v>
      </x:c>
      <x:c r="Z1616" s="32" t="n">
        <x:f>Z1615+W1616-X1616-T1616-Z1615*V1616/AB1615</x:f>
        <x:v>19354.456567879548</x:v>
      </x:c>
      <x:c r="AA1616" s="32" t="n">
        <x:f>AA1615+X1616-U1616-AA1615*V1616/AB1615</x:f>
        <x:v>11386.956063258198</x:v>
      </x:c>
      <x:c r="AB1616" s="10" t="n">
        <x:f>Y1616+Z1616+AA1616</x:f>
        <x:v>45047.59802873172</x:v>
      </x:c>
      <x:c r="AC1616" s="8" t="n">
        <x:f>IF(AND(v01_WinterTrigger=1,D1616=1,AB1615/AE1615&gt;=K1616),1,0)</x:f>
        <x:v>0</x:v>
      </x:c>
      <x:c r="AD1616" s="8" t="n">
        <x:f>H1616*IF(AND(OR(AB1615/AE1615&gt;=v01_FissionTrigger*N1616,AC1616=1),AB1615/AE1615*v01_DaughterShare&gt;=v01_MinDaughter),MAX(1,ROUND(AE1615*v01_FissionRate,0)),0)</x:f>
        <x:v>0</x:v>
      </x:c>
      <x:c r="AE1616" s="8" t="n">
        <x:f>IF(H1616=1,MAX(1,MIN(INDEX(v01_Smax,G1616),AE1615+AD1616)),AE1615)</x:f>
        <x:v>15</x:v>
      </x:c>
      <x:c r="AF1616" s="8" t="n">
        <x:f>MAX(0,AE1616-AE1615)</x:f>
        <x:v>0</x:v>
      </x:c>
      <x:c r="AG1616" s="9" t="str">
        <x:f>IF(AF1616&gt;0,B1616,"")</x:f>
      </x:c>
      <x:c r="AH1616" s="9" t="n">
        <x:f>IF(F1616&gt;=1,1,(1+v01_LowTiesShare*(AE1616-1))/AE1616)</x:f>
        <x:v>1</x:v>
      </x:c>
      <x:c r="AI1616" s="32" t="n">
        <x:f>(Z1616+v01_ElderCommons*INDEX(LM_Elder,G1616)*AA1616)*AH1616</x:f>
        <x:v>64139.732591141874</x:v>
      </x:c>
      <x:c r="AJ1616" s="32" t="n">
        <x:f>H1616*v01_CommonsCoef*AI1616^v01_CommonsExp*INDEX(LM_Commons,G1616)</x:f>
        <x:v>0</x:v>
      </x:c>
      <x:c r="AK1616" s="32" t="n">
        <x:f>H1616*v01_RoleScale*Arch_Roles*(AE1616*(INDEX(v01_ElderRolePerSett,G1616)*v01_OutElder*INDEX(LM_Elder,G1616)+INDEX(v01_ShamanPerSett,G1616)*v01_OutShaman)+Z1616*(INDEX(v01_PriestShare,G1616)*v01_OutPriest+INDEX(v01_ScribeShare,G1616)*v01_OutScribe*INDEX(LM_Scribe,G1616)+INDEX(v01_ScholarShare,G1616)*v01_OutScholar*INDEX(LM_Scholar,G1616)+INDEX(v01_ResearcherShare,G1616)*v01_OutResearcher*INDEX(LM_Researcher,G1616)))</x:f>
        <x:v>0</x:v>
      </x:c>
      <x:c r="AL1616" s="32" t="n">
        <x:f>H1616*v01_RoleScale*Arch_Roles*AE1616*INDEX(v01_MonasteryPerSett,G1616)*v01_OutMonastery*INDEX(LM_Monastery,G1616)</x:f>
        <x:v>0</x:v>
      </x:c>
      <x:c r="AM1616" s="32" t="n">
        <x:f>(AJ1616+AK1616+AL1616)/4*INDEX(LM_All,G1616)*INDEX(v01_Boon,G1616)*Arch_Insight</x:f>
        <x:v>0</x:v>
      </x:c>
      <x:c r="AN1616" s="32" t="n">
        <x:f>H1616*(v01_KHPerAdult*Z1616+v01_KHOfCommons*AJ1616/4*INDEX(LM_All,G1616))*v01_KHUsable*Arch_KH</x:f>
        <x:v>0</x:v>
      </x:c>
      <x:c r="AO1616" s="32" t="n">
        <x:f>MIN(AP1615+AN1616,AM1616*v01_KHMaxRatio)</x:f>
        <x:v>0</x:v>
      </x:c>
      <x:c r="AP1616" s="32" t="n">
        <x:f>AP1615+AN1616-AO1616</x:f>
        <x:v>0</x:v>
      </x:c>
      <x:c r="AQ1616" s="32" t="n">
        <x:f>AM1616+AO1616</x:f>
        <x:v>0</x:v>
      </x:c>
      <x:c r="AR1616" s="10" t="n">
        <x:f>IF(H1616=1,INDEX(v01_Req,G1616),0)</x:f>
        <x:v>0</x:v>
      </x:c>
      <x:c r="AS1616" s="32" t="n">
        <x:f>IF(H1616=1,IF(E1616=1,AS1615-AR1615,AS1615)+AQ1616,0)</x:f>
        <x:v>0</x:v>
      </x:c>
      <x:c r="AT1616" s="11" t="n">
        <x:f>IF(AR1616&gt;0,MIN(1,AS1616/AR1616),1)</x:f>
        <x:v>1</x:v>
      </x:c>
      <x:c r="AU1616" s="10" t="n">
        <x:f>AB1616/INDEX(v01_RepScale,G1616)</x:f>
        <x:v>90.09519605746344</x:v>
      </x:c>
      <x:c r="AV1616" s="32" t="n">
        <x:f>AM1616*60/v01_SeasonSeconds</x:f>
        <x:v>0</x:v>
      </x:c>
    </x:row>
    <x:row r="1617">
      <x:c r="A1617" s="8" t="n">
        <x:f>A1616+1</x:f>
        <x:v>1614</x:v>
      </x:c>
      <x:c r="B1617" s="9" t="n">
        <x:f>A1617*v01_SeasonSeconds/60</x:f>
        <x:v>403.5</x:v>
      </x:c>
      <x:c r="C1617" s="9" t="n">
        <x:f>A1617/4</x:f>
        <x:v>403.5</x:v>
      </x:c>
      <x:c r="D1617" s="8" t="n">
        <x:f>IF(MOD(A1617,4)=0,1,0)</x:f>
        <x:v>0</x:v>
      </x:c>
      <x:c r="E1617" s="8" t="n">
        <x:f>IF(AND(F1616&lt;=9,AS1616&gt;=AR1616),1,0)</x:f>
        <x:v>0</x:v>
      </x:c>
      <x:c r="F1617" s="8" t="n">
        <x:f>MIN(10,F1616+E1617)</x:f>
        <x:v>10</x:v>
      </x:c>
      <x:c r="G1617" s="8" t="n">
        <x:f>MIN(F1617,9)+1</x:f>
        <x:v>10</x:v>
      </x:c>
      <x:c r="H1617" s="8" t="n">
        <x:f>IF(F1617&lt;=9,1,0)</x:f>
        <x:v>0</x:v>
      </x:c>
      <x:c r="I1617" s="9" t="n">
        <x:f>MIN(10,F1616+IF(AR1616&gt;0,MIN(1,AS1616/AR1616),1))</x:f>
        <x:v>10</x:v>
      </x:c>
      <x:c r="J1617" s="32" t="n">
        <x:f>INDEX(v01_FoodCap,G1617)*Arch_FoodCap*EXP(v01_CapsByProject*SUMPRODUCT((Cap_Point&lt;=I1617)*(Cap_Kind="Food")*Cap_Ln))</x:f>
        <x:v>12000</x:v>
      </x:c>
      <x:c r="K1617" s="32" t="n">
        <x:f>J1617*MIN(1,v01_LeanBase*EXP(v01_CapsByProject*SUMPRODUCT((Cap_Point&lt;=I1617)*(Cap_Kind="Lean")*Cap_Ln)))</x:f>
        <x:v>12000</x:v>
      </x:c>
      <x:c r="L1617" s="10" t="n">
        <x:f>INDEX(v01_HousingCap,G1617)*EXP(v01_CapsByProject*SUMPRODUCT((Cap_Point&lt;=I1617)*(Cap_Kind="Housing")*Cap_Ln))</x:f>
        <x:v>20000</x:v>
      </x:c>
      <x:c r="M1617" s="10" t="n">
        <x:f>INDEX(v01_GroupCap,G1617)*v01_CohesionFactor*EXP(v01_CapsByProject*SUMPRODUCT((Cap_Point&lt;=I1617)*(Cap_Kind="Group")*Cap_Ln))</x:f>
        <x:v>1000000</x:v>
      </x:c>
      <x:c r="N1617" s="32" t="n">
        <x:f>MIN(J1617,L1617,M1617)</x:f>
        <x:v>12000</x:v>
      </x:c>
      <x:c r="O1617" s="10" t="n">
        <x:f>AE1616*N1617</x:f>
        <x:v>180000</x:v>
      </x:c>
      <x:c r="P1617" s="9" t="n">
        <x:f>MIN(1,(AB1616/(AE1616*IF(v01_GroupInCrowding=1,N1617,MIN(J1617,L1617))))^v01_CrowdingExp)</x:f>
        <x:v>0.00024569414295285325</x:v>
      </x:c>
      <x:c r="Q1617" s="9" t="n">
        <x:f>IF(D1617=1,INDEX(v01_WinterMult,G1617),1)</x:f>
        <x:v>1</x:v>
      </x:c>
      <x:c r="R1617" s="9" t="n">
        <x:f>H1617*Z1616*v01_WomenShare*v01_BaseFertility*INDEX(v01_FertMult,G1617)*Arch_Fertility*(1-P1617)</x:f>
        <x:v>0</x:v>
      </x:c>
      <x:c r="S1617" s="9" t="n">
        <x:f>H1617*Y1616*INDEX(v01_MortChild,G1617)/4*Q1617</x:f>
        <x:v>0</x:v>
      </x:c>
      <x:c r="T1617" s="9" t="n">
        <x:f>H1617*Z1616*INDEX(v01_MortAdult,G1617)*Arch_AdultMort/4*Q1617</x:f>
        <x:v>0</x:v>
      </x:c>
      <x:c r="U1617" s="9" t="n">
        <x:f>H1617*AA1616*INDEX(v01_MortElder,G1617)/4*Q1617</x:f>
        <x:v>0</x:v>
      </x:c>
      <x:c r="V1617" s="9" t="n">
        <x:f>H1617*MAX(0,AB1616-O1617)*v01_OvercapLoss</x:f>
        <x:v>0</x:v>
      </x:c>
      <x:c r="W1617" s="9" t="n">
        <x:f>H1617*Y1616/(v01_ChildYears*4)</x:f>
        <x:v>0</x:v>
      </x:c>
      <x:c r="X1617" s="9" t="n">
        <x:f>H1617*Z1616/(v01_AdultYears*4)</x:f>
        <x:v>0</x:v>
      </x:c>
      <x:c r="Y1617" s="32" t="n">
        <x:f>Y1616+R1617-S1617-W1617-Y1616*V1617/AB1616</x:f>
        <x:v>14306.18539759397</x:v>
      </x:c>
      <x:c r="Z1617" s="32" t="n">
        <x:f>Z1616+W1617-X1617-T1617-Z1616*V1617/AB1616</x:f>
        <x:v>19354.456567879548</x:v>
      </x:c>
      <x:c r="AA1617" s="32" t="n">
        <x:f>AA1616+X1617-U1617-AA1616*V1617/AB1616</x:f>
        <x:v>11386.956063258198</x:v>
      </x:c>
      <x:c r="AB1617" s="10" t="n">
        <x:f>Y1617+Z1617+AA1617</x:f>
        <x:v>45047.59802873172</x:v>
      </x:c>
      <x:c r="AC1617" s="8" t="n">
        <x:f>IF(AND(v01_WinterTrigger=1,D1617=1,AB1616/AE1616&gt;=K1617),1,0)</x:f>
        <x:v>0</x:v>
      </x:c>
      <x:c r="AD1617" s="8" t="n">
        <x:f>H1617*IF(AND(OR(AB1616/AE1616&gt;=v01_FissionTrigger*N1617,AC1617=1),AB1616/AE1616*v01_DaughterShare&gt;=v01_MinDaughter),MAX(1,ROUND(AE1616*v01_FissionRate,0)),0)</x:f>
        <x:v>0</x:v>
      </x:c>
      <x:c r="AE1617" s="8" t="n">
        <x:f>IF(H1617=1,MAX(1,MIN(INDEX(v01_Smax,G1617),AE1616+AD1617)),AE1616)</x:f>
        <x:v>15</x:v>
      </x:c>
      <x:c r="AF1617" s="8" t="n">
        <x:f>MAX(0,AE1617-AE1616)</x:f>
        <x:v>0</x:v>
      </x:c>
      <x:c r="AG1617" s="9" t="str">
        <x:f>IF(AF1617&gt;0,B1617,"")</x:f>
      </x:c>
      <x:c r="AH1617" s="9" t="n">
        <x:f>IF(F1617&gt;=1,1,(1+v01_LowTiesShare*(AE1617-1))/AE1617)</x:f>
        <x:v>1</x:v>
      </x:c>
      <x:c r="AI1617" s="32" t="n">
        <x:f>(Z1617+v01_ElderCommons*INDEX(LM_Elder,G1617)*AA1617)*AH1617</x:f>
        <x:v>64139.732591141874</x:v>
      </x:c>
      <x:c r="AJ1617" s="32" t="n">
        <x:f>H1617*v01_CommonsCoef*AI1617^v01_CommonsExp*INDEX(LM_Commons,G1617)</x:f>
        <x:v>0</x:v>
      </x:c>
      <x:c r="AK1617" s="32" t="n">
        <x:f>H1617*v01_RoleScale*Arch_Roles*(AE1617*(INDEX(v01_ElderRolePerSett,G1617)*v01_OutElder*INDEX(LM_Elder,G1617)+INDEX(v01_ShamanPerSett,G1617)*v01_OutShaman)+Z1617*(INDEX(v01_PriestShare,G1617)*v01_OutPriest+INDEX(v01_ScribeShare,G1617)*v01_OutScribe*INDEX(LM_Scribe,G1617)+INDEX(v01_ScholarShare,G1617)*v01_OutScholar*INDEX(LM_Scholar,G1617)+INDEX(v01_ResearcherShare,G1617)*v01_OutResearcher*INDEX(LM_Researcher,G1617)))</x:f>
        <x:v>0</x:v>
      </x:c>
      <x:c r="AL1617" s="32" t="n">
        <x:f>H1617*v01_RoleScale*Arch_Roles*AE1617*INDEX(v01_MonasteryPerSett,G1617)*v01_OutMonastery*INDEX(LM_Monastery,G1617)</x:f>
        <x:v>0</x:v>
      </x:c>
      <x:c r="AM1617" s="32" t="n">
        <x:f>(AJ1617+AK1617+AL1617)/4*INDEX(LM_All,G1617)*INDEX(v01_Boon,G1617)*Arch_Insight</x:f>
        <x:v>0</x:v>
      </x:c>
      <x:c r="AN1617" s="32" t="n">
        <x:f>H1617*(v01_KHPerAdult*Z1617+v01_KHOfCommons*AJ1617/4*INDEX(LM_All,G1617))*v01_KHUsable*Arch_KH</x:f>
        <x:v>0</x:v>
      </x:c>
      <x:c r="AO1617" s="32" t="n">
        <x:f>MIN(AP1616+AN1617,AM1617*v01_KHMaxRatio)</x:f>
        <x:v>0</x:v>
      </x:c>
      <x:c r="AP1617" s="32" t="n">
        <x:f>AP1616+AN1617-AO1617</x:f>
        <x:v>0</x:v>
      </x:c>
      <x:c r="AQ1617" s="32" t="n">
        <x:f>AM1617+AO1617</x:f>
        <x:v>0</x:v>
      </x:c>
      <x:c r="AR1617" s="10" t="n">
        <x:f>IF(H1617=1,INDEX(v01_Req,G1617),0)</x:f>
        <x:v>0</x:v>
      </x:c>
      <x:c r="AS1617" s="32" t="n">
        <x:f>IF(H1617=1,IF(E1617=1,AS1616-AR1616,AS1616)+AQ1617,0)</x:f>
        <x:v>0</x:v>
      </x:c>
      <x:c r="AT1617" s="11" t="n">
        <x:f>IF(AR1617&gt;0,MIN(1,AS1617/AR1617),1)</x:f>
        <x:v>1</x:v>
      </x:c>
      <x:c r="AU1617" s="10" t="n">
        <x:f>AB1617/INDEX(v01_RepScale,G1617)</x:f>
        <x:v>90.09519605746344</x:v>
      </x:c>
      <x:c r="AV1617" s="32" t="n">
        <x:f>AM1617*60/v01_SeasonSeconds</x:f>
        <x:v>0</x:v>
      </x:c>
    </x:row>
    <x:row r="1618">
      <x:c r="A1618" s="8" t="n">
        <x:f>A1617+1</x:f>
        <x:v>1615</x:v>
      </x:c>
      <x:c r="B1618" s="9" t="n">
        <x:f>A1618*v01_SeasonSeconds/60</x:f>
        <x:v>403.75</x:v>
      </x:c>
      <x:c r="C1618" s="9" t="n">
        <x:f>A1618/4</x:f>
        <x:v>403.75</x:v>
      </x:c>
      <x:c r="D1618" s="8" t="n">
        <x:f>IF(MOD(A1618,4)=0,1,0)</x:f>
        <x:v>0</x:v>
      </x:c>
      <x:c r="E1618" s="8" t="n">
        <x:f>IF(AND(F1617&lt;=9,AS1617&gt;=AR1617),1,0)</x:f>
        <x:v>0</x:v>
      </x:c>
      <x:c r="F1618" s="8" t="n">
        <x:f>MIN(10,F1617+E1618)</x:f>
        <x:v>10</x:v>
      </x:c>
      <x:c r="G1618" s="8" t="n">
        <x:f>MIN(F1618,9)+1</x:f>
        <x:v>10</x:v>
      </x:c>
      <x:c r="H1618" s="8" t="n">
        <x:f>IF(F1618&lt;=9,1,0)</x:f>
        <x:v>0</x:v>
      </x:c>
      <x:c r="I1618" s="9" t="n">
        <x:f>MIN(10,F1617+IF(AR1617&gt;0,MIN(1,AS1617/AR1617),1))</x:f>
        <x:v>10</x:v>
      </x:c>
      <x:c r="J1618" s="32" t="n">
        <x:f>INDEX(v01_FoodCap,G1618)*Arch_FoodCap*EXP(v01_CapsByProject*SUMPRODUCT((Cap_Point&lt;=I1618)*(Cap_Kind="Food")*Cap_Ln))</x:f>
        <x:v>12000</x:v>
      </x:c>
      <x:c r="K1618" s="32" t="n">
        <x:f>J1618*MIN(1,v01_LeanBase*EXP(v01_CapsByProject*SUMPRODUCT((Cap_Point&lt;=I1618)*(Cap_Kind="Lean")*Cap_Ln)))</x:f>
        <x:v>12000</x:v>
      </x:c>
      <x:c r="L1618" s="10" t="n">
        <x:f>INDEX(v01_HousingCap,G1618)*EXP(v01_CapsByProject*SUMPRODUCT((Cap_Point&lt;=I1618)*(Cap_Kind="Housing")*Cap_Ln))</x:f>
        <x:v>20000</x:v>
      </x:c>
      <x:c r="M1618" s="10" t="n">
        <x:f>INDEX(v01_GroupCap,G1618)*v01_CohesionFactor*EXP(v01_CapsByProject*SUMPRODUCT((Cap_Point&lt;=I1618)*(Cap_Kind="Group")*Cap_Ln))</x:f>
        <x:v>1000000</x:v>
      </x:c>
      <x:c r="N1618" s="32" t="n">
        <x:f>MIN(J1618,L1618,M1618)</x:f>
        <x:v>12000</x:v>
      </x:c>
      <x:c r="O1618" s="10" t="n">
        <x:f>AE1617*N1618</x:f>
        <x:v>180000</x:v>
      </x:c>
      <x:c r="P1618" s="9" t="n">
        <x:f>MIN(1,(AB1617/(AE1617*IF(v01_GroupInCrowding=1,N1618,MIN(J1618,L1618))))^v01_CrowdingExp)</x:f>
        <x:v>0.00024569414295285325</x:v>
      </x:c>
      <x:c r="Q1618" s="9" t="n">
        <x:f>IF(D1618=1,INDEX(v01_WinterMult,G1618),1)</x:f>
        <x:v>1</x:v>
      </x:c>
      <x:c r="R1618" s="9" t="n">
        <x:f>H1618*Z1617*v01_WomenShare*v01_BaseFertility*INDEX(v01_FertMult,G1618)*Arch_Fertility*(1-P1618)</x:f>
        <x:v>0</x:v>
      </x:c>
      <x:c r="S1618" s="9" t="n">
        <x:f>H1618*Y1617*INDEX(v01_MortChild,G1618)/4*Q1618</x:f>
        <x:v>0</x:v>
      </x:c>
      <x:c r="T1618" s="9" t="n">
        <x:f>H1618*Z1617*INDEX(v01_MortAdult,G1618)*Arch_AdultMort/4*Q1618</x:f>
        <x:v>0</x:v>
      </x:c>
      <x:c r="U1618" s="9" t="n">
        <x:f>H1618*AA1617*INDEX(v01_MortElder,G1618)/4*Q1618</x:f>
        <x:v>0</x:v>
      </x:c>
      <x:c r="V1618" s="9" t="n">
        <x:f>H1618*MAX(0,AB1617-O1618)*v01_OvercapLoss</x:f>
        <x:v>0</x:v>
      </x:c>
      <x:c r="W1618" s="9" t="n">
        <x:f>H1618*Y1617/(v01_ChildYears*4)</x:f>
        <x:v>0</x:v>
      </x:c>
      <x:c r="X1618" s="9" t="n">
        <x:f>H1618*Z1617/(v01_AdultYears*4)</x:f>
        <x:v>0</x:v>
      </x:c>
      <x:c r="Y1618" s="32" t="n">
        <x:f>Y1617+R1618-S1618-W1618-Y1617*V1618/AB1617</x:f>
        <x:v>14306.18539759397</x:v>
      </x:c>
      <x:c r="Z1618" s="32" t="n">
        <x:f>Z1617+W1618-X1618-T1618-Z1617*V1618/AB1617</x:f>
        <x:v>19354.456567879548</x:v>
      </x:c>
      <x:c r="AA1618" s="32" t="n">
        <x:f>AA1617+X1618-U1618-AA1617*V1618/AB1617</x:f>
        <x:v>11386.956063258198</x:v>
      </x:c>
      <x:c r="AB1618" s="10" t="n">
        <x:f>Y1618+Z1618+AA1618</x:f>
        <x:v>45047.59802873172</x:v>
      </x:c>
      <x:c r="AC1618" s="8" t="n">
        <x:f>IF(AND(v01_WinterTrigger=1,D1618=1,AB1617/AE1617&gt;=K1618),1,0)</x:f>
        <x:v>0</x:v>
      </x:c>
      <x:c r="AD1618" s="8" t="n">
        <x:f>H1618*IF(AND(OR(AB1617/AE1617&gt;=v01_FissionTrigger*N1618,AC1618=1),AB1617/AE1617*v01_DaughterShare&gt;=v01_MinDaughter),MAX(1,ROUND(AE1617*v01_FissionRate,0)),0)</x:f>
        <x:v>0</x:v>
      </x:c>
      <x:c r="AE1618" s="8" t="n">
        <x:f>IF(H1618=1,MAX(1,MIN(INDEX(v01_Smax,G1618),AE1617+AD1618)),AE1617)</x:f>
        <x:v>15</x:v>
      </x:c>
      <x:c r="AF1618" s="8" t="n">
        <x:f>MAX(0,AE1618-AE1617)</x:f>
        <x:v>0</x:v>
      </x:c>
      <x:c r="AG1618" s="9" t="str">
        <x:f>IF(AF1618&gt;0,B1618,"")</x:f>
      </x:c>
      <x:c r="AH1618" s="9" t="n">
        <x:f>IF(F1618&gt;=1,1,(1+v01_LowTiesShare*(AE1618-1))/AE1618)</x:f>
        <x:v>1</x:v>
      </x:c>
      <x:c r="AI1618" s="32" t="n">
        <x:f>(Z1618+v01_ElderCommons*INDEX(LM_Elder,G1618)*AA1618)*AH1618</x:f>
        <x:v>64139.732591141874</x:v>
      </x:c>
      <x:c r="AJ1618" s="32" t="n">
        <x:f>H1618*v01_CommonsCoef*AI1618^v01_CommonsExp*INDEX(LM_Commons,G1618)</x:f>
        <x:v>0</x:v>
      </x:c>
      <x:c r="AK1618" s="32" t="n">
        <x:f>H1618*v01_RoleScale*Arch_Roles*(AE1618*(INDEX(v01_ElderRolePerSett,G1618)*v01_OutElder*INDEX(LM_Elder,G1618)+INDEX(v01_ShamanPerSett,G1618)*v01_OutShaman)+Z1618*(INDEX(v01_PriestShare,G1618)*v01_OutPriest+INDEX(v01_ScribeShare,G1618)*v01_OutScribe*INDEX(LM_Scribe,G1618)+INDEX(v01_ScholarShare,G1618)*v01_OutScholar*INDEX(LM_Scholar,G1618)+INDEX(v01_ResearcherShare,G1618)*v01_OutResearcher*INDEX(LM_Researcher,G1618)))</x:f>
        <x:v>0</x:v>
      </x:c>
      <x:c r="AL1618" s="32" t="n">
        <x:f>H1618*v01_RoleScale*Arch_Roles*AE1618*INDEX(v01_MonasteryPerSett,G1618)*v01_OutMonastery*INDEX(LM_Monastery,G1618)</x:f>
        <x:v>0</x:v>
      </x:c>
      <x:c r="AM1618" s="32" t="n">
        <x:f>(AJ1618+AK1618+AL1618)/4*INDEX(LM_All,G1618)*INDEX(v01_Boon,G1618)*Arch_Insight</x:f>
        <x:v>0</x:v>
      </x:c>
      <x:c r="AN1618" s="32" t="n">
        <x:f>H1618*(v01_KHPerAdult*Z1618+v01_KHOfCommons*AJ1618/4*INDEX(LM_All,G1618))*v01_KHUsable*Arch_KH</x:f>
        <x:v>0</x:v>
      </x:c>
      <x:c r="AO1618" s="32" t="n">
        <x:f>MIN(AP1617+AN1618,AM1618*v01_KHMaxRatio)</x:f>
        <x:v>0</x:v>
      </x:c>
      <x:c r="AP1618" s="32" t="n">
        <x:f>AP1617+AN1618-AO1618</x:f>
        <x:v>0</x:v>
      </x:c>
      <x:c r="AQ1618" s="32" t="n">
        <x:f>AM1618+AO1618</x:f>
        <x:v>0</x:v>
      </x:c>
      <x:c r="AR1618" s="10" t="n">
        <x:f>IF(H1618=1,INDEX(v01_Req,G1618),0)</x:f>
        <x:v>0</x:v>
      </x:c>
      <x:c r="AS1618" s="32" t="n">
        <x:f>IF(H1618=1,IF(E1618=1,AS1617-AR1617,AS1617)+AQ1618,0)</x:f>
        <x:v>0</x:v>
      </x:c>
      <x:c r="AT1618" s="11" t="n">
        <x:f>IF(AR1618&gt;0,MIN(1,AS1618/AR1618),1)</x:f>
        <x:v>1</x:v>
      </x:c>
      <x:c r="AU1618" s="10" t="n">
        <x:f>AB1618/INDEX(v01_RepScale,G1618)</x:f>
        <x:v>90.09519605746344</x:v>
      </x:c>
      <x:c r="AV1618" s="32" t="n">
        <x:f>AM1618*60/v01_SeasonSeconds</x:f>
        <x:v>0</x:v>
      </x:c>
    </x:row>
    <x:row r="1619">
      <x:c r="A1619" s="8" t="n">
        <x:f>A1618+1</x:f>
        <x:v>1616</x:v>
      </x:c>
      <x:c r="B1619" s="9" t="n">
        <x:f>A1619*v01_SeasonSeconds/60</x:f>
        <x:v>404</x:v>
      </x:c>
      <x:c r="C1619" s="9" t="n">
        <x:f>A1619/4</x:f>
        <x:v>404</x:v>
      </x:c>
      <x:c r="D1619" s="8" t="n">
        <x:f>IF(MOD(A1619,4)=0,1,0)</x:f>
        <x:v>1</x:v>
      </x:c>
      <x:c r="E1619" s="8" t="n">
        <x:f>IF(AND(F1618&lt;=9,AS1618&gt;=AR1618),1,0)</x:f>
        <x:v>0</x:v>
      </x:c>
      <x:c r="F1619" s="8" t="n">
        <x:f>MIN(10,F1618+E1619)</x:f>
        <x:v>10</x:v>
      </x:c>
      <x:c r="G1619" s="8" t="n">
        <x:f>MIN(F1619,9)+1</x:f>
        <x:v>10</x:v>
      </x:c>
      <x:c r="H1619" s="8" t="n">
        <x:f>IF(F1619&lt;=9,1,0)</x:f>
        <x:v>0</x:v>
      </x:c>
      <x:c r="I1619" s="9" t="n">
        <x:f>MIN(10,F1618+IF(AR1618&gt;0,MIN(1,AS1618/AR1618),1))</x:f>
        <x:v>10</x:v>
      </x:c>
      <x:c r="J1619" s="32" t="n">
        <x:f>INDEX(v01_FoodCap,G1619)*Arch_FoodCap*EXP(v01_CapsByProject*SUMPRODUCT((Cap_Point&lt;=I1619)*(Cap_Kind="Food")*Cap_Ln))</x:f>
        <x:v>12000</x:v>
      </x:c>
      <x:c r="K1619" s="32" t="n">
        <x:f>J1619*MIN(1,v01_LeanBase*EXP(v01_CapsByProject*SUMPRODUCT((Cap_Point&lt;=I1619)*(Cap_Kind="Lean")*Cap_Ln)))</x:f>
        <x:v>12000</x:v>
      </x:c>
      <x:c r="L1619" s="10" t="n">
        <x:f>INDEX(v01_HousingCap,G1619)*EXP(v01_CapsByProject*SUMPRODUCT((Cap_Point&lt;=I1619)*(Cap_Kind="Housing")*Cap_Ln))</x:f>
        <x:v>20000</x:v>
      </x:c>
      <x:c r="M1619" s="10" t="n">
        <x:f>INDEX(v01_GroupCap,G1619)*v01_CohesionFactor*EXP(v01_CapsByProject*SUMPRODUCT((Cap_Point&lt;=I1619)*(Cap_Kind="Group")*Cap_Ln))</x:f>
        <x:v>1000000</x:v>
      </x:c>
      <x:c r="N1619" s="32" t="n">
        <x:f>MIN(J1619,L1619,M1619)</x:f>
        <x:v>12000</x:v>
      </x:c>
      <x:c r="O1619" s="10" t="n">
        <x:f>AE1618*N1619</x:f>
        <x:v>180000</x:v>
      </x:c>
      <x:c r="P1619" s="9" t="n">
        <x:f>MIN(1,(AB1618/(AE1618*IF(v01_GroupInCrowding=1,N1619,MIN(J1619,L1619))))^v01_CrowdingExp)</x:f>
        <x:v>0.00024569414295285325</x:v>
      </x:c>
      <x:c r="Q1619" s="9" t="n">
        <x:f>IF(D1619=1,INDEX(v01_WinterMult,G1619),1)</x:f>
        <x:v>1</x:v>
      </x:c>
      <x:c r="R1619" s="9" t="n">
        <x:f>H1619*Z1618*v01_WomenShare*v01_BaseFertility*INDEX(v01_FertMult,G1619)*Arch_Fertility*(1-P1619)</x:f>
        <x:v>0</x:v>
      </x:c>
      <x:c r="S1619" s="9" t="n">
        <x:f>H1619*Y1618*INDEX(v01_MortChild,G1619)/4*Q1619</x:f>
        <x:v>0</x:v>
      </x:c>
      <x:c r="T1619" s="9" t="n">
        <x:f>H1619*Z1618*INDEX(v01_MortAdult,G1619)*Arch_AdultMort/4*Q1619</x:f>
        <x:v>0</x:v>
      </x:c>
      <x:c r="U1619" s="9" t="n">
        <x:f>H1619*AA1618*INDEX(v01_MortElder,G1619)/4*Q1619</x:f>
        <x:v>0</x:v>
      </x:c>
      <x:c r="V1619" s="9" t="n">
        <x:f>H1619*MAX(0,AB1618-O1619)*v01_OvercapLoss</x:f>
        <x:v>0</x:v>
      </x:c>
      <x:c r="W1619" s="9" t="n">
        <x:f>H1619*Y1618/(v01_ChildYears*4)</x:f>
        <x:v>0</x:v>
      </x:c>
      <x:c r="X1619" s="9" t="n">
        <x:f>H1619*Z1618/(v01_AdultYears*4)</x:f>
        <x:v>0</x:v>
      </x:c>
      <x:c r="Y1619" s="32" t="n">
        <x:f>Y1618+R1619-S1619-W1619-Y1618*V1619/AB1618</x:f>
        <x:v>14306.18539759397</x:v>
      </x:c>
      <x:c r="Z1619" s="32" t="n">
        <x:f>Z1618+W1619-X1619-T1619-Z1618*V1619/AB1618</x:f>
        <x:v>19354.456567879548</x:v>
      </x:c>
      <x:c r="AA1619" s="32" t="n">
        <x:f>AA1618+X1619-U1619-AA1618*V1619/AB1618</x:f>
        <x:v>11386.956063258198</x:v>
      </x:c>
      <x:c r="AB1619" s="10" t="n">
        <x:f>Y1619+Z1619+AA1619</x:f>
        <x:v>45047.59802873172</x:v>
      </x:c>
      <x:c r="AC1619" s="8" t="n">
        <x:f>IF(AND(v01_WinterTrigger=1,D1619=1,AB1618/AE1618&gt;=K1619),1,0)</x:f>
        <x:v>0</x:v>
      </x:c>
      <x:c r="AD1619" s="8" t="n">
        <x:f>H1619*IF(AND(OR(AB1618/AE1618&gt;=v01_FissionTrigger*N1619,AC1619=1),AB1618/AE1618*v01_DaughterShare&gt;=v01_MinDaughter),MAX(1,ROUND(AE1618*v01_FissionRate,0)),0)</x:f>
        <x:v>0</x:v>
      </x:c>
      <x:c r="AE1619" s="8" t="n">
        <x:f>IF(H1619=1,MAX(1,MIN(INDEX(v01_Smax,G1619),AE1618+AD1619)),AE1618)</x:f>
        <x:v>15</x:v>
      </x:c>
      <x:c r="AF1619" s="8" t="n">
        <x:f>MAX(0,AE1619-AE1618)</x:f>
        <x:v>0</x:v>
      </x:c>
      <x:c r="AG1619" s="9" t="str">
        <x:f>IF(AF1619&gt;0,B1619,"")</x:f>
      </x:c>
      <x:c r="AH1619" s="9" t="n">
        <x:f>IF(F1619&gt;=1,1,(1+v01_LowTiesShare*(AE1619-1))/AE1619)</x:f>
        <x:v>1</x:v>
      </x:c>
      <x:c r="AI1619" s="32" t="n">
        <x:f>(Z1619+v01_ElderCommons*INDEX(LM_Elder,G1619)*AA1619)*AH1619</x:f>
        <x:v>64139.732591141874</x:v>
      </x:c>
      <x:c r="AJ1619" s="32" t="n">
        <x:f>H1619*v01_CommonsCoef*AI1619^v01_CommonsExp*INDEX(LM_Commons,G1619)</x:f>
        <x:v>0</x:v>
      </x:c>
      <x:c r="AK1619" s="32" t="n">
        <x:f>H1619*v01_RoleScale*Arch_Roles*(AE1619*(INDEX(v01_ElderRolePerSett,G1619)*v01_OutElder*INDEX(LM_Elder,G1619)+INDEX(v01_ShamanPerSett,G1619)*v01_OutShaman)+Z1619*(INDEX(v01_PriestShare,G1619)*v01_OutPriest+INDEX(v01_ScribeShare,G1619)*v01_OutScribe*INDEX(LM_Scribe,G1619)+INDEX(v01_ScholarShare,G1619)*v01_OutScholar*INDEX(LM_Scholar,G1619)+INDEX(v01_ResearcherShare,G1619)*v01_OutResearcher*INDEX(LM_Researcher,G1619)))</x:f>
        <x:v>0</x:v>
      </x:c>
      <x:c r="AL1619" s="32" t="n">
        <x:f>H1619*v01_RoleScale*Arch_Roles*AE1619*INDEX(v01_MonasteryPerSett,G1619)*v01_OutMonastery*INDEX(LM_Monastery,G1619)</x:f>
        <x:v>0</x:v>
      </x:c>
      <x:c r="AM1619" s="32" t="n">
        <x:f>(AJ1619+AK1619+AL1619)/4*INDEX(LM_All,G1619)*INDEX(v01_Boon,G1619)*Arch_Insight</x:f>
        <x:v>0</x:v>
      </x:c>
      <x:c r="AN1619" s="32" t="n">
        <x:f>H1619*(v01_KHPerAdult*Z1619+v01_KHOfCommons*AJ1619/4*INDEX(LM_All,G1619))*v01_KHUsable*Arch_KH</x:f>
        <x:v>0</x:v>
      </x:c>
      <x:c r="AO1619" s="32" t="n">
        <x:f>MIN(AP1618+AN1619,AM1619*v01_KHMaxRatio)</x:f>
        <x:v>0</x:v>
      </x:c>
      <x:c r="AP1619" s="32" t="n">
        <x:f>AP1618+AN1619-AO1619</x:f>
        <x:v>0</x:v>
      </x:c>
      <x:c r="AQ1619" s="32" t="n">
        <x:f>AM1619+AO1619</x:f>
        <x:v>0</x:v>
      </x:c>
      <x:c r="AR1619" s="10" t="n">
        <x:f>IF(H1619=1,INDEX(v01_Req,G1619),0)</x:f>
        <x:v>0</x:v>
      </x:c>
      <x:c r="AS1619" s="32" t="n">
        <x:f>IF(H1619=1,IF(E1619=1,AS1618-AR1618,AS1618)+AQ1619,0)</x:f>
        <x:v>0</x:v>
      </x:c>
      <x:c r="AT1619" s="11" t="n">
        <x:f>IF(AR1619&gt;0,MIN(1,AS1619/AR1619),1)</x:f>
        <x:v>1</x:v>
      </x:c>
      <x:c r="AU1619" s="10" t="n">
        <x:f>AB1619/INDEX(v01_RepScale,G1619)</x:f>
        <x:v>90.09519605746344</x:v>
      </x:c>
      <x:c r="AV1619" s="32" t="n">
        <x:f>AM1619*60/v01_SeasonSeconds</x:f>
        <x:v>0</x:v>
      </x:c>
    </x:row>
    <x:row r="1620">
      <x:c r="A1620" s="8" t="n">
        <x:f>A1619+1</x:f>
        <x:v>1617</x:v>
      </x:c>
      <x:c r="B1620" s="9" t="n">
        <x:f>A1620*v01_SeasonSeconds/60</x:f>
        <x:v>404.25</x:v>
      </x:c>
      <x:c r="C1620" s="9" t="n">
        <x:f>A1620/4</x:f>
        <x:v>404.25</x:v>
      </x:c>
      <x:c r="D1620" s="8" t="n">
        <x:f>IF(MOD(A1620,4)=0,1,0)</x:f>
        <x:v>0</x:v>
      </x:c>
      <x:c r="E1620" s="8" t="n">
        <x:f>IF(AND(F1619&lt;=9,AS1619&gt;=AR1619),1,0)</x:f>
        <x:v>0</x:v>
      </x:c>
      <x:c r="F1620" s="8" t="n">
        <x:f>MIN(10,F1619+E1620)</x:f>
        <x:v>10</x:v>
      </x:c>
      <x:c r="G1620" s="8" t="n">
        <x:f>MIN(F1620,9)+1</x:f>
        <x:v>10</x:v>
      </x:c>
      <x:c r="H1620" s="8" t="n">
        <x:f>IF(F1620&lt;=9,1,0)</x:f>
        <x:v>0</x:v>
      </x:c>
      <x:c r="I1620" s="9" t="n">
        <x:f>MIN(10,F1619+IF(AR1619&gt;0,MIN(1,AS1619/AR1619),1))</x:f>
        <x:v>10</x:v>
      </x:c>
      <x:c r="J1620" s="32" t="n">
        <x:f>INDEX(v01_FoodCap,G1620)*Arch_FoodCap*EXP(v01_CapsByProject*SUMPRODUCT((Cap_Point&lt;=I1620)*(Cap_Kind="Food")*Cap_Ln))</x:f>
        <x:v>12000</x:v>
      </x:c>
      <x:c r="K1620" s="32" t="n">
        <x:f>J1620*MIN(1,v01_LeanBase*EXP(v01_CapsByProject*SUMPRODUCT((Cap_Point&lt;=I1620)*(Cap_Kind="Lean")*Cap_Ln)))</x:f>
        <x:v>12000</x:v>
      </x:c>
      <x:c r="L1620" s="10" t="n">
        <x:f>INDEX(v01_HousingCap,G1620)*EXP(v01_CapsByProject*SUMPRODUCT((Cap_Point&lt;=I1620)*(Cap_Kind="Housing")*Cap_Ln))</x:f>
        <x:v>20000</x:v>
      </x:c>
      <x:c r="M1620" s="10" t="n">
        <x:f>INDEX(v01_GroupCap,G1620)*v01_CohesionFactor*EXP(v01_CapsByProject*SUMPRODUCT((Cap_Point&lt;=I1620)*(Cap_Kind="Group")*Cap_Ln))</x:f>
        <x:v>1000000</x:v>
      </x:c>
      <x:c r="N1620" s="32" t="n">
        <x:f>MIN(J1620,L1620,M1620)</x:f>
        <x:v>12000</x:v>
      </x:c>
      <x:c r="O1620" s="10" t="n">
        <x:f>AE1619*N1620</x:f>
        <x:v>180000</x:v>
      </x:c>
      <x:c r="P1620" s="9" t="n">
        <x:f>MIN(1,(AB1619/(AE1619*IF(v01_GroupInCrowding=1,N1620,MIN(J1620,L1620))))^v01_CrowdingExp)</x:f>
        <x:v>0.00024569414295285325</x:v>
      </x:c>
      <x:c r="Q1620" s="9" t="n">
        <x:f>IF(D1620=1,INDEX(v01_WinterMult,G1620),1)</x:f>
        <x:v>1</x:v>
      </x:c>
      <x:c r="R1620" s="9" t="n">
        <x:f>H1620*Z1619*v01_WomenShare*v01_BaseFertility*INDEX(v01_FertMult,G1620)*Arch_Fertility*(1-P1620)</x:f>
        <x:v>0</x:v>
      </x:c>
      <x:c r="S1620" s="9" t="n">
        <x:f>H1620*Y1619*INDEX(v01_MortChild,G1620)/4*Q1620</x:f>
        <x:v>0</x:v>
      </x:c>
      <x:c r="T1620" s="9" t="n">
        <x:f>H1620*Z1619*INDEX(v01_MortAdult,G1620)*Arch_AdultMort/4*Q1620</x:f>
        <x:v>0</x:v>
      </x:c>
      <x:c r="U1620" s="9" t="n">
        <x:f>H1620*AA1619*INDEX(v01_MortElder,G1620)/4*Q1620</x:f>
        <x:v>0</x:v>
      </x:c>
      <x:c r="V1620" s="9" t="n">
        <x:f>H1620*MAX(0,AB1619-O1620)*v01_OvercapLoss</x:f>
        <x:v>0</x:v>
      </x:c>
      <x:c r="W1620" s="9" t="n">
        <x:f>H1620*Y1619/(v01_ChildYears*4)</x:f>
        <x:v>0</x:v>
      </x:c>
      <x:c r="X1620" s="9" t="n">
        <x:f>H1620*Z1619/(v01_AdultYears*4)</x:f>
        <x:v>0</x:v>
      </x:c>
      <x:c r="Y1620" s="32" t="n">
        <x:f>Y1619+R1620-S1620-W1620-Y1619*V1620/AB1619</x:f>
        <x:v>14306.18539759397</x:v>
      </x:c>
      <x:c r="Z1620" s="32" t="n">
        <x:f>Z1619+W1620-X1620-T1620-Z1619*V1620/AB1619</x:f>
        <x:v>19354.456567879548</x:v>
      </x:c>
      <x:c r="AA1620" s="32" t="n">
        <x:f>AA1619+X1620-U1620-AA1619*V1620/AB1619</x:f>
        <x:v>11386.956063258198</x:v>
      </x:c>
      <x:c r="AB1620" s="10" t="n">
        <x:f>Y1620+Z1620+AA1620</x:f>
        <x:v>45047.59802873172</x:v>
      </x:c>
      <x:c r="AC1620" s="8" t="n">
        <x:f>IF(AND(v01_WinterTrigger=1,D1620=1,AB1619/AE1619&gt;=K1620),1,0)</x:f>
        <x:v>0</x:v>
      </x:c>
      <x:c r="AD1620" s="8" t="n">
        <x:f>H1620*IF(AND(OR(AB1619/AE1619&gt;=v01_FissionTrigger*N1620,AC1620=1),AB1619/AE1619*v01_DaughterShare&gt;=v01_MinDaughter),MAX(1,ROUND(AE1619*v01_FissionRate,0)),0)</x:f>
        <x:v>0</x:v>
      </x:c>
      <x:c r="AE1620" s="8" t="n">
        <x:f>IF(H1620=1,MAX(1,MIN(INDEX(v01_Smax,G1620),AE1619+AD1620)),AE1619)</x:f>
        <x:v>15</x:v>
      </x:c>
      <x:c r="AF1620" s="8" t="n">
        <x:f>MAX(0,AE1620-AE1619)</x:f>
        <x:v>0</x:v>
      </x:c>
      <x:c r="AG1620" s="9" t="str">
        <x:f>IF(AF1620&gt;0,B1620,"")</x:f>
      </x:c>
      <x:c r="AH1620" s="9" t="n">
        <x:f>IF(F1620&gt;=1,1,(1+v01_LowTiesShare*(AE1620-1))/AE1620)</x:f>
        <x:v>1</x:v>
      </x:c>
      <x:c r="AI1620" s="32" t="n">
        <x:f>(Z1620+v01_ElderCommons*INDEX(LM_Elder,G1620)*AA1620)*AH1620</x:f>
        <x:v>64139.732591141874</x:v>
      </x:c>
      <x:c r="AJ1620" s="32" t="n">
        <x:f>H1620*v01_CommonsCoef*AI1620^v01_CommonsExp*INDEX(LM_Commons,G1620)</x:f>
        <x:v>0</x:v>
      </x:c>
      <x:c r="AK1620" s="32" t="n">
        <x:f>H1620*v01_RoleScale*Arch_Roles*(AE1620*(INDEX(v01_ElderRolePerSett,G1620)*v01_OutElder*INDEX(LM_Elder,G1620)+INDEX(v01_ShamanPerSett,G1620)*v01_OutShaman)+Z1620*(INDEX(v01_PriestShare,G1620)*v01_OutPriest+INDEX(v01_ScribeShare,G1620)*v01_OutScribe*INDEX(LM_Scribe,G1620)+INDEX(v01_ScholarShare,G1620)*v01_OutScholar*INDEX(LM_Scholar,G1620)+INDEX(v01_ResearcherShare,G1620)*v01_OutResearcher*INDEX(LM_Researcher,G1620)))</x:f>
        <x:v>0</x:v>
      </x:c>
      <x:c r="AL1620" s="32" t="n">
        <x:f>H1620*v01_RoleScale*Arch_Roles*AE1620*INDEX(v01_MonasteryPerSett,G1620)*v01_OutMonastery*INDEX(LM_Monastery,G1620)</x:f>
        <x:v>0</x:v>
      </x:c>
      <x:c r="AM1620" s="32" t="n">
        <x:f>(AJ1620+AK1620+AL1620)/4*INDEX(LM_All,G1620)*INDEX(v01_Boon,G1620)*Arch_Insight</x:f>
        <x:v>0</x:v>
      </x:c>
      <x:c r="AN1620" s="32" t="n">
        <x:f>H1620*(v01_KHPerAdult*Z1620+v01_KHOfCommons*AJ1620/4*INDEX(LM_All,G1620))*v01_KHUsable*Arch_KH</x:f>
        <x:v>0</x:v>
      </x:c>
      <x:c r="AO1620" s="32" t="n">
        <x:f>MIN(AP1619+AN1620,AM1620*v01_KHMaxRatio)</x:f>
        <x:v>0</x:v>
      </x:c>
      <x:c r="AP1620" s="32" t="n">
        <x:f>AP1619+AN1620-AO1620</x:f>
        <x:v>0</x:v>
      </x:c>
      <x:c r="AQ1620" s="32" t="n">
        <x:f>AM1620+AO1620</x:f>
        <x:v>0</x:v>
      </x:c>
      <x:c r="AR1620" s="10" t="n">
        <x:f>IF(H1620=1,INDEX(v01_Req,G1620),0)</x:f>
        <x:v>0</x:v>
      </x:c>
      <x:c r="AS1620" s="32" t="n">
        <x:f>IF(H1620=1,IF(E1620=1,AS1619-AR1619,AS1619)+AQ1620,0)</x:f>
        <x:v>0</x:v>
      </x:c>
      <x:c r="AT1620" s="11" t="n">
        <x:f>IF(AR1620&gt;0,MIN(1,AS1620/AR1620),1)</x:f>
        <x:v>1</x:v>
      </x:c>
      <x:c r="AU1620" s="10" t="n">
        <x:f>AB1620/INDEX(v01_RepScale,G1620)</x:f>
        <x:v>90.09519605746344</x:v>
      </x:c>
      <x:c r="AV1620" s="32" t="n">
        <x:f>AM1620*60/v01_SeasonSeconds</x:f>
        <x:v>0</x:v>
      </x:c>
    </x:row>
    <x:row r="1621">
      <x:c r="A1621" s="8" t="n">
        <x:f>A1620+1</x:f>
        <x:v>1618</x:v>
      </x:c>
      <x:c r="B1621" s="9" t="n">
        <x:f>A1621*v01_SeasonSeconds/60</x:f>
        <x:v>404.5</x:v>
      </x:c>
      <x:c r="C1621" s="9" t="n">
        <x:f>A1621/4</x:f>
        <x:v>404.5</x:v>
      </x:c>
      <x:c r="D1621" s="8" t="n">
        <x:f>IF(MOD(A1621,4)=0,1,0)</x:f>
        <x:v>0</x:v>
      </x:c>
      <x:c r="E1621" s="8" t="n">
        <x:f>IF(AND(F1620&lt;=9,AS1620&gt;=AR1620),1,0)</x:f>
        <x:v>0</x:v>
      </x:c>
      <x:c r="F1621" s="8" t="n">
        <x:f>MIN(10,F1620+E1621)</x:f>
        <x:v>10</x:v>
      </x:c>
      <x:c r="G1621" s="8" t="n">
        <x:f>MIN(F1621,9)+1</x:f>
        <x:v>10</x:v>
      </x:c>
      <x:c r="H1621" s="8" t="n">
        <x:f>IF(F1621&lt;=9,1,0)</x:f>
        <x:v>0</x:v>
      </x:c>
      <x:c r="I1621" s="9" t="n">
        <x:f>MIN(10,F1620+IF(AR1620&gt;0,MIN(1,AS1620/AR1620),1))</x:f>
        <x:v>10</x:v>
      </x:c>
      <x:c r="J1621" s="32" t="n">
        <x:f>INDEX(v01_FoodCap,G1621)*Arch_FoodCap*EXP(v01_CapsByProject*SUMPRODUCT((Cap_Point&lt;=I1621)*(Cap_Kind="Food")*Cap_Ln))</x:f>
        <x:v>12000</x:v>
      </x:c>
      <x:c r="K1621" s="32" t="n">
        <x:f>J1621*MIN(1,v01_LeanBase*EXP(v01_CapsByProject*SUMPRODUCT((Cap_Point&lt;=I1621)*(Cap_Kind="Lean")*Cap_Ln)))</x:f>
        <x:v>12000</x:v>
      </x:c>
      <x:c r="L1621" s="10" t="n">
        <x:f>INDEX(v01_HousingCap,G1621)*EXP(v01_CapsByProject*SUMPRODUCT((Cap_Point&lt;=I1621)*(Cap_Kind="Housing")*Cap_Ln))</x:f>
        <x:v>20000</x:v>
      </x:c>
      <x:c r="M1621" s="10" t="n">
        <x:f>INDEX(v01_GroupCap,G1621)*v01_CohesionFactor*EXP(v01_CapsByProject*SUMPRODUCT((Cap_Point&lt;=I1621)*(Cap_Kind="Group")*Cap_Ln))</x:f>
        <x:v>1000000</x:v>
      </x:c>
      <x:c r="N1621" s="32" t="n">
        <x:f>MIN(J1621,L1621,M1621)</x:f>
        <x:v>12000</x:v>
      </x:c>
      <x:c r="O1621" s="10" t="n">
        <x:f>AE1620*N1621</x:f>
        <x:v>180000</x:v>
      </x:c>
      <x:c r="P1621" s="9" t="n">
        <x:f>MIN(1,(AB1620/(AE1620*IF(v01_GroupInCrowding=1,N1621,MIN(J1621,L1621))))^v01_CrowdingExp)</x:f>
        <x:v>0.00024569414295285325</x:v>
      </x:c>
      <x:c r="Q1621" s="9" t="n">
        <x:f>IF(D1621=1,INDEX(v01_WinterMult,G1621),1)</x:f>
        <x:v>1</x:v>
      </x:c>
      <x:c r="R1621" s="9" t="n">
        <x:f>H1621*Z1620*v01_WomenShare*v01_BaseFertility*INDEX(v01_FertMult,G1621)*Arch_Fertility*(1-P1621)</x:f>
        <x:v>0</x:v>
      </x:c>
      <x:c r="S1621" s="9" t="n">
        <x:f>H1621*Y1620*INDEX(v01_MortChild,G1621)/4*Q1621</x:f>
        <x:v>0</x:v>
      </x:c>
      <x:c r="T1621" s="9" t="n">
        <x:f>H1621*Z1620*INDEX(v01_MortAdult,G1621)*Arch_AdultMort/4*Q1621</x:f>
        <x:v>0</x:v>
      </x:c>
      <x:c r="U1621" s="9" t="n">
        <x:f>H1621*AA1620*INDEX(v01_MortElder,G1621)/4*Q1621</x:f>
        <x:v>0</x:v>
      </x:c>
      <x:c r="V1621" s="9" t="n">
        <x:f>H1621*MAX(0,AB1620-O1621)*v01_OvercapLoss</x:f>
        <x:v>0</x:v>
      </x:c>
      <x:c r="W1621" s="9" t="n">
        <x:f>H1621*Y1620/(v01_ChildYears*4)</x:f>
        <x:v>0</x:v>
      </x:c>
      <x:c r="X1621" s="9" t="n">
        <x:f>H1621*Z1620/(v01_AdultYears*4)</x:f>
        <x:v>0</x:v>
      </x:c>
      <x:c r="Y1621" s="32" t="n">
        <x:f>Y1620+R1621-S1621-W1621-Y1620*V1621/AB1620</x:f>
        <x:v>14306.18539759397</x:v>
      </x:c>
      <x:c r="Z1621" s="32" t="n">
        <x:f>Z1620+W1621-X1621-T1621-Z1620*V1621/AB1620</x:f>
        <x:v>19354.456567879548</x:v>
      </x:c>
      <x:c r="AA1621" s="32" t="n">
        <x:f>AA1620+X1621-U1621-AA1620*V1621/AB1620</x:f>
        <x:v>11386.956063258198</x:v>
      </x:c>
      <x:c r="AB1621" s="10" t="n">
        <x:f>Y1621+Z1621+AA1621</x:f>
        <x:v>45047.59802873172</x:v>
      </x:c>
      <x:c r="AC1621" s="8" t="n">
        <x:f>IF(AND(v01_WinterTrigger=1,D1621=1,AB1620/AE1620&gt;=K1621),1,0)</x:f>
        <x:v>0</x:v>
      </x:c>
      <x:c r="AD1621" s="8" t="n">
        <x:f>H1621*IF(AND(OR(AB1620/AE1620&gt;=v01_FissionTrigger*N1621,AC1621=1),AB1620/AE1620*v01_DaughterShare&gt;=v01_MinDaughter),MAX(1,ROUND(AE1620*v01_FissionRate,0)),0)</x:f>
        <x:v>0</x:v>
      </x:c>
      <x:c r="AE1621" s="8" t="n">
        <x:f>IF(H1621=1,MAX(1,MIN(INDEX(v01_Smax,G1621),AE1620+AD1621)),AE1620)</x:f>
        <x:v>15</x:v>
      </x:c>
      <x:c r="AF1621" s="8" t="n">
        <x:f>MAX(0,AE1621-AE1620)</x:f>
        <x:v>0</x:v>
      </x:c>
      <x:c r="AG1621" s="9" t="str">
        <x:f>IF(AF1621&gt;0,B1621,"")</x:f>
      </x:c>
      <x:c r="AH1621" s="9" t="n">
        <x:f>IF(F1621&gt;=1,1,(1+v01_LowTiesShare*(AE1621-1))/AE1621)</x:f>
        <x:v>1</x:v>
      </x:c>
      <x:c r="AI1621" s="32" t="n">
        <x:f>(Z1621+v01_ElderCommons*INDEX(LM_Elder,G1621)*AA1621)*AH1621</x:f>
        <x:v>64139.732591141874</x:v>
      </x:c>
      <x:c r="AJ1621" s="32" t="n">
        <x:f>H1621*v01_CommonsCoef*AI1621^v01_CommonsExp*INDEX(LM_Commons,G1621)</x:f>
        <x:v>0</x:v>
      </x:c>
      <x:c r="AK1621" s="32" t="n">
        <x:f>H1621*v01_RoleScale*Arch_Roles*(AE1621*(INDEX(v01_ElderRolePerSett,G1621)*v01_OutElder*INDEX(LM_Elder,G1621)+INDEX(v01_ShamanPerSett,G1621)*v01_OutShaman)+Z1621*(INDEX(v01_PriestShare,G1621)*v01_OutPriest+INDEX(v01_ScribeShare,G1621)*v01_OutScribe*INDEX(LM_Scribe,G1621)+INDEX(v01_ScholarShare,G1621)*v01_OutScholar*INDEX(LM_Scholar,G1621)+INDEX(v01_ResearcherShare,G1621)*v01_OutResearcher*INDEX(LM_Researcher,G1621)))</x:f>
        <x:v>0</x:v>
      </x:c>
      <x:c r="AL1621" s="32" t="n">
        <x:f>H1621*v01_RoleScale*Arch_Roles*AE1621*INDEX(v01_MonasteryPerSett,G1621)*v01_OutMonastery*INDEX(LM_Monastery,G1621)</x:f>
        <x:v>0</x:v>
      </x:c>
      <x:c r="AM1621" s="32" t="n">
        <x:f>(AJ1621+AK1621+AL1621)/4*INDEX(LM_All,G1621)*INDEX(v01_Boon,G1621)*Arch_Insight</x:f>
        <x:v>0</x:v>
      </x:c>
      <x:c r="AN1621" s="32" t="n">
        <x:f>H1621*(v01_KHPerAdult*Z1621+v01_KHOfCommons*AJ1621/4*INDEX(LM_All,G1621))*v01_KHUsable*Arch_KH</x:f>
        <x:v>0</x:v>
      </x:c>
      <x:c r="AO1621" s="32" t="n">
        <x:f>MIN(AP1620+AN1621,AM1621*v01_KHMaxRatio)</x:f>
        <x:v>0</x:v>
      </x:c>
      <x:c r="AP1621" s="32" t="n">
        <x:f>AP1620+AN1621-AO1621</x:f>
        <x:v>0</x:v>
      </x:c>
      <x:c r="AQ1621" s="32" t="n">
        <x:f>AM1621+AO1621</x:f>
        <x:v>0</x:v>
      </x:c>
      <x:c r="AR1621" s="10" t="n">
        <x:f>IF(H1621=1,INDEX(v01_Req,G1621),0)</x:f>
        <x:v>0</x:v>
      </x:c>
      <x:c r="AS1621" s="32" t="n">
        <x:f>IF(H1621=1,IF(E1621=1,AS1620-AR1620,AS1620)+AQ1621,0)</x:f>
        <x:v>0</x:v>
      </x:c>
      <x:c r="AT1621" s="11" t="n">
        <x:f>IF(AR1621&gt;0,MIN(1,AS1621/AR1621),1)</x:f>
        <x:v>1</x:v>
      </x:c>
      <x:c r="AU1621" s="10" t="n">
        <x:f>AB1621/INDEX(v01_RepScale,G1621)</x:f>
        <x:v>90.09519605746344</x:v>
      </x:c>
      <x:c r="AV1621" s="32" t="n">
        <x:f>AM1621*60/v01_SeasonSeconds</x:f>
        <x:v>0</x:v>
      </x:c>
    </x:row>
    <x:row r="1622">
      <x:c r="A1622" s="8" t="n">
        <x:f>A1621+1</x:f>
        <x:v>1619</x:v>
      </x:c>
      <x:c r="B1622" s="9" t="n">
        <x:f>A1622*v01_SeasonSeconds/60</x:f>
        <x:v>404.75</x:v>
      </x:c>
      <x:c r="C1622" s="9" t="n">
        <x:f>A1622/4</x:f>
        <x:v>404.75</x:v>
      </x:c>
      <x:c r="D1622" s="8" t="n">
        <x:f>IF(MOD(A1622,4)=0,1,0)</x:f>
        <x:v>0</x:v>
      </x:c>
      <x:c r="E1622" s="8" t="n">
        <x:f>IF(AND(F1621&lt;=9,AS1621&gt;=AR1621),1,0)</x:f>
        <x:v>0</x:v>
      </x:c>
      <x:c r="F1622" s="8" t="n">
        <x:f>MIN(10,F1621+E1622)</x:f>
        <x:v>10</x:v>
      </x:c>
      <x:c r="G1622" s="8" t="n">
        <x:f>MIN(F1622,9)+1</x:f>
        <x:v>10</x:v>
      </x:c>
      <x:c r="H1622" s="8" t="n">
        <x:f>IF(F1622&lt;=9,1,0)</x:f>
        <x:v>0</x:v>
      </x:c>
      <x:c r="I1622" s="9" t="n">
        <x:f>MIN(10,F1621+IF(AR1621&gt;0,MIN(1,AS1621/AR1621),1))</x:f>
        <x:v>10</x:v>
      </x:c>
      <x:c r="J1622" s="32" t="n">
        <x:f>INDEX(v01_FoodCap,G1622)*Arch_FoodCap*EXP(v01_CapsByProject*SUMPRODUCT((Cap_Point&lt;=I1622)*(Cap_Kind="Food")*Cap_Ln))</x:f>
        <x:v>12000</x:v>
      </x:c>
      <x:c r="K1622" s="32" t="n">
        <x:f>J1622*MIN(1,v01_LeanBase*EXP(v01_CapsByProject*SUMPRODUCT((Cap_Point&lt;=I1622)*(Cap_Kind="Lean")*Cap_Ln)))</x:f>
        <x:v>12000</x:v>
      </x:c>
      <x:c r="L1622" s="10" t="n">
        <x:f>INDEX(v01_HousingCap,G1622)*EXP(v01_CapsByProject*SUMPRODUCT((Cap_Point&lt;=I1622)*(Cap_Kind="Housing")*Cap_Ln))</x:f>
        <x:v>20000</x:v>
      </x:c>
      <x:c r="M1622" s="10" t="n">
        <x:f>INDEX(v01_GroupCap,G1622)*v01_CohesionFactor*EXP(v01_CapsByProject*SUMPRODUCT((Cap_Point&lt;=I1622)*(Cap_Kind="Group")*Cap_Ln))</x:f>
        <x:v>1000000</x:v>
      </x:c>
      <x:c r="N1622" s="32" t="n">
        <x:f>MIN(J1622,L1622,M1622)</x:f>
        <x:v>12000</x:v>
      </x:c>
      <x:c r="O1622" s="10" t="n">
        <x:f>AE1621*N1622</x:f>
        <x:v>180000</x:v>
      </x:c>
      <x:c r="P1622" s="9" t="n">
        <x:f>MIN(1,(AB1621/(AE1621*IF(v01_GroupInCrowding=1,N1622,MIN(J1622,L1622))))^v01_CrowdingExp)</x:f>
        <x:v>0.00024569414295285325</x:v>
      </x:c>
      <x:c r="Q1622" s="9" t="n">
        <x:f>IF(D1622=1,INDEX(v01_WinterMult,G1622),1)</x:f>
        <x:v>1</x:v>
      </x:c>
      <x:c r="R1622" s="9" t="n">
        <x:f>H1622*Z1621*v01_WomenShare*v01_BaseFertility*INDEX(v01_FertMult,G1622)*Arch_Fertility*(1-P1622)</x:f>
        <x:v>0</x:v>
      </x:c>
      <x:c r="S1622" s="9" t="n">
        <x:f>H1622*Y1621*INDEX(v01_MortChild,G1622)/4*Q1622</x:f>
        <x:v>0</x:v>
      </x:c>
      <x:c r="T1622" s="9" t="n">
        <x:f>H1622*Z1621*INDEX(v01_MortAdult,G1622)*Arch_AdultMort/4*Q1622</x:f>
        <x:v>0</x:v>
      </x:c>
      <x:c r="U1622" s="9" t="n">
        <x:f>H1622*AA1621*INDEX(v01_MortElder,G1622)/4*Q1622</x:f>
        <x:v>0</x:v>
      </x:c>
      <x:c r="V1622" s="9" t="n">
        <x:f>H1622*MAX(0,AB1621-O1622)*v01_OvercapLoss</x:f>
        <x:v>0</x:v>
      </x:c>
      <x:c r="W1622" s="9" t="n">
        <x:f>H1622*Y1621/(v01_ChildYears*4)</x:f>
        <x:v>0</x:v>
      </x:c>
      <x:c r="X1622" s="9" t="n">
        <x:f>H1622*Z1621/(v01_AdultYears*4)</x:f>
        <x:v>0</x:v>
      </x:c>
      <x:c r="Y1622" s="32" t="n">
        <x:f>Y1621+R1622-S1622-W1622-Y1621*V1622/AB1621</x:f>
        <x:v>14306.18539759397</x:v>
      </x:c>
      <x:c r="Z1622" s="32" t="n">
        <x:f>Z1621+W1622-X1622-T1622-Z1621*V1622/AB1621</x:f>
        <x:v>19354.456567879548</x:v>
      </x:c>
      <x:c r="AA1622" s="32" t="n">
        <x:f>AA1621+X1622-U1622-AA1621*V1622/AB1621</x:f>
        <x:v>11386.956063258198</x:v>
      </x:c>
      <x:c r="AB1622" s="10" t="n">
        <x:f>Y1622+Z1622+AA1622</x:f>
        <x:v>45047.59802873172</x:v>
      </x:c>
      <x:c r="AC1622" s="8" t="n">
        <x:f>IF(AND(v01_WinterTrigger=1,D1622=1,AB1621/AE1621&gt;=K1622),1,0)</x:f>
        <x:v>0</x:v>
      </x:c>
      <x:c r="AD1622" s="8" t="n">
        <x:f>H1622*IF(AND(OR(AB1621/AE1621&gt;=v01_FissionTrigger*N1622,AC1622=1),AB1621/AE1621*v01_DaughterShare&gt;=v01_MinDaughter),MAX(1,ROUND(AE1621*v01_FissionRate,0)),0)</x:f>
        <x:v>0</x:v>
      </x:c>
      <x:c r="AE1622" s="8" t="n">
        <x:f>IF(H1622=1,MAX(1,MIN(INDEX(v01_Smax,G1622),AE1621+AD1622)),AE1621)</x:f>
        <x:v>15</x:v>
      </x:c>
      <x:c r="AF1622" s="8" t="n">
        <x:f>MAX(0,AE1622-AE1621)</x:f>
        <x:v>0</x:v>
      </x:c>
      <x:c r="AG1622" s="9" t="str">
        <x:f>IF(AF1622&gt;0,B1622,"")</x:f>
      </x:c>
      <x:c r="AH1622" s="9" t="n">
        <x:f>IF(F1622&gt;=1,1,(1+v01_LowTiesShare*(AE1622-1))/AE1622)</x:f>
        <x:v>1</x:v>
      </x:c>
      <x:c r="AI1622" s="32" t="n">
        <x:f>(Z1622+v01_ElderCommons*INDEX(LM_Elder,G1622)*AA1622)*AH1622</x:f>
        <x:v>64139.732591141874</x:v>
      </x:c>
      <x:c r="AJ1622" s="32" t="n">
        <x:f>H1622*v01_CommonsCoef*AI1622^v01_CommonsExp*INDEX(LM_Commons,G1622)</x:f>
        <x:v>0</x:v>
      </x:c>
      <x:c r="AK1622" s="32" t="n">
        <x:f>H1622*v01_RoleScale*Arch_Roles*(AE1622*(INDEX(v01_ElderRolePerSett,G1622)*v01_OutElder*INDEX(LM_Elder,G1622)+INDEX(v01_ShamanPerSett,G1622)*v01_OutShaman)+Z1622*(INDEX(v01_PriestShare,G1622)*v01_OutPriest+INDEX(v01_ScribeShare,G1622)*v01_OutScribe*INDEX(LM_Scribe,G1622)+INDEX(v01_ScholarShare,G1622)*v01_OutScholar*INDEX(LM_Scholar,G1622)+INDEX(v01_ResearcherShare,G1622)*v01_OutResearcher*INDEX(LM_Researcher,G1622)))</x:f>
        <x:v>0</x:v>
      </x:c>
      <x:c r="AL1622" s="32" t="n">
        <x:f>H1622*v01_RoleScale*Arch_Roles*AE1622*INDEX(v01_MonasteryPerSett,G1622)*v01_OutMonastery*INDEX(LM_Monastery,G1622)</x:f>
        <x:v>0</x:v>
      </x:c>
      <x:c r="AM1622" s="32" t="n">
        <x:f>(AJ1622+AK1622+AL1622)/4*INDEX(LM_All,G1622)*INDEX(v01_Boon,G1622)*Arch_Insight</x:f>
        <x:v>0</x:v>
      </x:c>
      <x:c r="AN1622" s="32" t="n">
        <x:f>H1622*(v01_KHPerAdult*Z1622+v01_KHOfCommons*AJ1622/4*INDEX(LM_All,G1622))*v01_KHUsable*Arch_KH</x:f>
        <x:v>0</x:v>
      </x:c>
      <x:c r="AO1622" s="32" t="n">
        <x:f>MIN(AP1621+AN1622,AM1622*v01_KHMaxRatio)</x:f>
        <x:v>0</x:v>
      </x:c>
      <x:c r="AP1622" s="32" t="n">
        <x:f>AP1621+AN1622-AO1622</x:f>
        <x:v>0</x:v>
      </x:c>
      <x:c r="AQ1622" s="32" t="n">
        <x:f>AM1622+AO1622</x:f>
        <x:v>0</x:v>
      </x:c>
      <x:c r="AR1622" s="10" t="n">
        <x:f>IF(H1622=1,INDEX(v01_Req,G1622),0)</x:f>
        <x:v>0</x:v>
      </x:c>
      <x:c r="AS1622" s="32" t="n">
        <x:f>IF(H1622=1,IF(E1622=1,AS1621-AR1621,AS1621)+AQ1622,0)</x:f>
        <x:v>0</x:v>
      </x:c>
      <x:c r="AT1622" s="11" t="n">
        <x:f>IF(AR1622&gt;0,MIN(1,AS1622/AR1622),1)</x:f>
        <x:v>1</x:v>
      </x:c>
      <x:c r="AU1622" s="10" t="n">
        <x:f>AB1622/INDEX(v01_RepScale,G1622)</x:f>
        <x:v>90.09519605746344</x:v>
      </x:c>
      <x:c r="AV1622" s="32" t="n">
        <x:f>AM1622*60/v01_SeasonSeconds</x:f>
        <x:v>0</x:v>
      </x:c>
    </x:row>
    <x:row r="1623">
      <x:c r="A1623" s="8" t="n">
        <x:f>A1622+1</x:f>
        <x:v>1620</x:v>
      </x:c>
      <x:c r="B1623" s="9" t="n">
        <x:f>A1623*v01_SeasonSeconds/60</x:f>
        <x:v>405</x:v>
      </x:c>
      <x:c r="C1623" s="9" t="n">
        <x:f>A1623/4</x:f>
        <x:v>405</x:v>
      </x:c>
      <x:c r="D1623" s="8" t="n">
        <x:f>IF(MOD(A1623,4)=0,1,0)</x:f>
        <x:v>1</x:v>
      </x:c>
      <x:c r="E1623" s="8" t="n">
        <x:f>IF(AND(F1622&lt;=9,AS1622&gt;=AR1622),1,0)</x:f>
        <x:v>0</x:v>
      </x:c>
      <x:c r="F1623" s="8" t="n">
        <x:f>MIN(10,F1622+E1623)</x:f>
        <x:v>10</x:v>
      </x:c>
      <x:c r="G1623" s="8" t="n">
        <x:f>MIN(F1623,9)+1</x:f>
        <x:v>10</x:v>
      </x:c>
      <x:c r="H1623" s="8" t="n">
        <x:f>IF(F1623&lt;=9,1,0)</x:f>
        <x:v>0</x:v>
      </x:c>
      <x:c r="I1623" s="9" t="n">
        <x:f>MIN(10,F1622+IF(AR1622&gt;0,MIN(1,AS1622/AR1622),1))</x:f>
        <x:v>10</x:v>
      </x:c>
      <x:c r="J1623" s="32" t="n">
        <x:f>INDEX(v01_FoodCap,G1623)*Arch_FoodCap*EXP(v01_CapsByProject*SUMPRODUCT((Cap_Point&lt;=I1623)*(Cap_Kind="Food")*Cap_Ln))</x:f>
        <x:v>12000</x:v>
      </x:c>
      <x:c r="K1623" s="32" t="n">
        <x:f>J1623*MIN(1,v01_LeanBase*EXP(v01_CapsByProject*SUMPRODUCT((Cap_Point&lt;=I1623)*(Cap_Kind="Lean")*Cap_Ln)))</x:f>
        <x:v>12000</x:v>
      </x:c>
      <x:c r="L1623" s="10" t="n">
        <x:f>INDEX(v01_HousingCap,G1623)*EXP(v01_CapsByProject*SUMPRODUCT((Cap_Point&lt;=I1623)*(Cap_Kind="Housing")*Cap_Ln))</x:f>
        <x:v>20000</x:v>
      </x:c>
      <x:c r="M1623" s="10" t="n">
        <x:f>INDEX(v01_GroupCap,G1623)*v01_CohesionFactor*EXP(v01_CapsByProject*SUMPRODUCT((Cap_Point&lt;=I1623)*(Cap_Kind="Group")*Cap_Ln))</x:f>
        <x:v>1000000</x:v>
      </x:c>
      <x:c r="N1623" s="32" t="n">
        <x:f>MIN(J1623,L1623,M1623)</x:f>
        <x:v>12000</x:v>
      </x:c>
      <x:c r="O1623" s="10" t="n">
        <x:f>AE1622*N1623</x:f>
        <x:v>180000</x:v>
      </x:c>
      <x:c r="P1623" s="9" t="n">
        <x:f>MIN(1,(AB1622/(AE1622*IF(v01_GroupInCrowding=1,N1623,MIN(J1623,L1623))))^v01_CrowdingExp)</x:f>
        <x:v>0.00024569414295285325</x:v>
      </x:c>
      <x:c r="Q1623" s="9" t="n">
        <x:f>IF(D1623=1,INDEX(v01_WinterMult,G1623),1)</x:f>
        <x:v>1</x:v>
      </x:c>
      <x:c r="R1623" s="9" t="n">
        <x:f>H1623*Z1622*v01_WomenShare*v01_BaseFertility*INDEX(v01_FertMult,G1623)*Arch_Fertility*(1-P1623)</x:f>
        <x:v>0</x:v>
      </x:c>
      <x:c r="S1623" s="9" t="n">
        <x:f>H1623*Y1622*INDEX(v01_MortChild,G1623)/4*Q1623</x:f>
        <x:v>0</x:v>
      </x:c>
      <x:c r="T1623" s="9" t="n">
        <x:f>H1623*Z1622*INDEX(v01_MortAdult,G1623)*Arch_AdultMort/4*Q1623</x:f>
        <x:v>0</x:v>
      </x:c>
      <x:c r="U1623" s="9" t="n">
        <x:f>H1623*AA1622*INDEX(v01_MortElder,G1623)/4*Q1623</x:f>
        <x:v>0</x:v>
      </x:c>
      <x:c r="V1623" s="9" t="n">
        <x:f>H1623*MAX(0,AB1622-O1623)*v01_OvercapLoss</x:f>
        <x:v>0</x:v>
      </x:c>
      <x:c r="W1623" s="9" t="n">
        <x:f>H1623*Y1622/(v01_ChildYears*4)</x:f>
        <x:v>0</x:v>
      </x:c>
      <x:c r="X1623" s="9" t="n">
        <x:f>H1623*Z1622/(v01_AdultYears*4)</x:f>
        <x:v>0</x:v>
      </x:c>
      <x:c r="Y1623" s="32" t="n">
        <x:f>Y1622+R1623-S1623-W1623-Y1622*V1623/AB1622</x:f>
        <x:v>14306.18539759397</x:v>
      </x:c>
      <x:c r="Z1623" s="32" t="n">
        <x:f>Z1622+W1623-X1623-T1623-Z1622*V1623/AB1622</x:f>
        <x:v>19354.456567879548</x:v>
      </x:c>
      <x:c r="AA1623" s="32" t="n">
        <x:f>AA1622+X1623-U1623-AA1622*V1623/AB1622</x:f>
        <x:v>11386.956063258198</x:v>
      </x:c>
      <x:c r="AB1623" s="10" t="n">
        <x:f>Y1623+Z1623+AA1623</x:f>
        <x:v>45047.59802873172</x:v>
      </x:c>
      <x:c r="AC1623" s="8" t="n">
        <x:f>IF(AND(v01_WinterTrigger=1,D1623=1,AB1622/AE1622&gt;=K1623),1,0)</x:f>
        <x:v>0</x:v>
      </x:c>
      <x:c r="AD1623" s="8" t="n">
        <x:f>H1623*IF(AND(OR(AB1622/AE1622&gt;=v01_FissionTrigger*N1623,AC1623=1),AB1622/AE1622*v01_DaughterShare&gt;=v01_MinDaughter),MAX(1,ROUND(AE1622*v01_FissionRate,0)),0)</x:f>
        <x:v>0</x:v>
      </x:c>
      <x:c r="AE1623" s="8" t="n">
        <x:f>IF(H1623=1,MAX(1,MIN(INDEX(v01_Smax,G1623),AE1622+AD1623)),AE1622)</x:f>
        <x:v>15</x:v>
      </x:c>
      <x:c r="AF1623" s="8" t="n">
        <x:f>MAX(0,AE1623-AE1622)</x:f>
        <x:v>0</x:v>
      </x:c>
      <x:c r="AG1623" s="9" t="str">
        <x:f>IF(AF1623&gt;0,B1623,"")</x:f>
      </x:c>
      <x:c r="AH1623" s="9" t="n">
        <x:f>IF(F1623&gt;=1,1,(1+v01_LowTiesShare*(AE1623-1))/AE1623)</x:f>
        <x:v>1</x:v>
      </x:c>
      <x:c r="AI1623" s="32" t="n">
        <x:f>(Z1623+v01_ElderCommons*INDEX(LM_Elder,G1623)*AA1623)*AH1623</x:f>
        <x:v>64139.732591141874</x:v>
      </x:c>
      <x:c r="AJ1623" s="32" t="n">
        <x:f>H1623*v01_CommonsCoef*AI1623^v01_CommonsExp*INDEX(LM_Commons,G1623)</x:f>
        <x:v>0</x:v>
      </x:c>
      <x:c r="AK1623" s="32" t="n">
        <x:f>H1623*v01_RoleScale*Arch_Roles*(AE1623*(INDEX(v01_ElderRolePerSett,G1623)*v01_OutElder*INDEX(LM_Elder,G1623)+INDEX(v01_ShamanPerSett,G1623)*v01_OutShaman)+Z1623*(INDEX(v01_PriestShare,G1623)*v01_OutPriest+INDEX(v01_ScribeShare,G1623)*v01_OutScribe*INDEX(LM_Scribe,G1623)+INDEX(v01_ScholarShare,G1623)*v01_OutScholar*INDEX(LM_Scholar,G1623)+INDEX(v01_ResearcherShare,G1623)*v01_OutResearcher*INDEX(LM_Researcher,G1623)))</x:f>
        <x:v>0</x:v>
      </x:c>
      <x:c r="AL1623" s="32" t="n">
        <x:f>H1623*v01_RoleScale*Arch_Roles*AE1623*INDEX(v01_MonasteryPerSett,G1623)*v01_OutMonastery*INDEX(LM_Monastery,G1623)</x:f>
        <x:v>0</x:v>
      </x:c>
      <x:c r="AM1623" s="32" t="n">
        <x:f>(AJ1623+AK1623+AL1623)/4*INDEX(LM_All,G1623)*INDEX(v01_Boon,G1623)*Arch_Insight</x:f>
        <x:v>0</x:v>
      </x:c>
      <x:c r="AN1623" s="32" t="n">
        <x:f>H1623*(v01_KHPerAdult*Z1623+v01_KHOfCommons*AJ1623/4*INDEX(LM_All,G1623))*v01_KHUsable*Arch_KH</x:f>
        <x:v>0</x:v>
      </x:c>
      <x:c r="AO1623" s="32" t="n">
        <x:f>MIN(AP1622+AN1623,AM1623*v01_KHMaxRatio)</x:f>
        <x:v>0</x:v>
      </x:c>
      <x:c r="AP1623" s="32" t="n">
        <x:f>AP1622+AN1623-AO1623</x:f>
        <x:v>0</x:v>
      </x:c>
      <x:c r="AQ1623" s="32" t="n">
        <x:f>AM1623+AO1623</x:f>
        <x:v>0</x:v>
      </x:c>
      <x:c r="AR1623" s="10" t="n">
        <x:f>IF(H1623=1,INDEX(v01_Req,G1623),0)</x:f>
        <x:v>0</x:v>
      </x:c>
      <x:c r="AS1623" s="32" t="n">
        <x:f>IF(H1623=1,IF(E1623=1,AS1622-AR1622,AS1622)+AQ1623,0)</x:f>
        <x:v>0</x:v>
      </x:c>
      <x:c r="AT1623" s="11" t="n">
        <x:f>IF(AR1623&gt;0,MIN(1,AS1623/AR1623),1)</x:f>
        <x:v>1</x:v>
      </x:c>
      <x:c r="AU1623" s="10" t="n">
        <x:f>AB1623/INDEX(v01_RepScale,G1623)</x:f>
        <x:v>90.09519605746344</x:v>
      </x:c>
      <x:c r="AV1623" s="32" t="n">
        <x:f>AM1623*60/v01_SeasonSeconds</x:f>
        <x:v>0</x:v>
      </x:c>
    </x:row>
    <x:row r="1624">
      <x:c r="A1624" s="8" t="n">
        <x:f>A1623+1</x:f>
        <x:v>1621</x:v>
      </x:c>
      <x:c r="B1624" s="9" t="n">
        <x:f>A1624*v01_SeasonSeconds/60</x:f>
        <x:v>405.25</x:v>
      </x:c>
      <x:c r="C1624" s="9" t="n">
        <x:f>A1624/4</x:f>
        <x:v>405.25</x:v>
      </x:c>
      <x:c r="D1624" s="8" t="n">
        <x:f>IF(MOD(A1624,4)=0,1,0)</x:f>
        <x:v>0</x:v>
      </x:c>
      <x:c r="E1624" s="8" t="n">
        <x:f>IF(AND(F1623&lt;=9,AS1623&gt;=AR1623),1,0)</x:f>
        <x:v>0</x:v>
      </x:c>
      <x:c r="F1624" s="8" t="n">
        <x:f>MIN(10,F1623+E1624)</x:f>
        <x:v>10</x:v>
      </x:c>
      <x:c r="G1624" s="8" t="n">
        <x:f>MIN(F1624,9)+1</x:f>
        <x:v>10</x:v>
      </x:c>
      <x:c r="H1624" s="8" t="n">
        <x:f>IF(F1624&lt;=9,1,0)</x:f>
        <x:v>0</x:v>
      </x:c>
      <x:c r="I1624" s="9" t="n">
        <x:f>MIN(10,F1623+IF(AR1623&gt;0,MIN(1,AS1623/AR1623),1))</x:f>
        <x:v>10</x:v>
      </x:c>
      <x:c r="J1624" s="32" t="n">
        <x:f>INDEX(v01_FoodCap,G1624)*Arch_FoodCap*EXP(v01_CapsByProject*SUMPRODUCT((Cap_Point&lt;=I1624)*(Cap_Kind="Food")*Cap_Ln))</x:f>
        <x:v>12000</x:v>
      </x:c>
      <x:c r="K1624" s="32" t="n">
        <x:f>J1624*MIN(1,v01_LeanBase*EXP(v01_CapsByProject*SUMPRODUCT((Cap_Point&lt;=I1624)*(Cap_Kind="Lean")*Cap_Ln)))</x:f>
        <x:v>12000</x:v>
      </x:c>
      <x:c r="L1624" s="10" t="n">
        <x:f>INDEX(v01_HousingCap,G1624)*EXP(v01_CapsByProject*SUMPRODUCT((Cap_Point&lt;=I1624)*(Cap_Kind="Housing")*Cap_Ln))</x:f>
        <x:v>20000</x:v>
      </x:c>
      <x:c r="M1624" s="10" t="n">
        <x:f>INDEX(v01_GroupCap,G1624)*v01_CohesionFactor*EXP(v01_CapsByProject*SUMPRODUCT((Cap_Point&lt;=I1624)*(Cap_Kind="Group")*Cap_Ln))</x:f>
        <x:v>1000000</x:v>
      </x:c>
      <x:c r="N1624" s="32" t="n">
        <x:f>MIN(J1624,L1624,M1624)</x:f>
        <x:v>12000</x:v>
      </x:c>
      <x:c r="O1624" s="10" t="n">
        <x:f>AE1623*N1624</x:f>
        <x:v>180000</x:v>
      </x:c>
      <x:c r="P1624" s="9" t="n">
        <x:f>MIN(1,(AB1623/(AE1623*IF(v01_GroupInCrowding=1,N1624,MIN(J1624,L1624))))^v01_CrowdingExp)</x:f>
        <x:v>0.00024569414295285325</x:v>
      </x:c>
      <x:c r="Q1624" s="9" t="n">
        <x:f>IF(D1624=1,INDEX(v01_WinterMult,G1624),1)</x:f>
        <x:v>1</x:v>
      </x:c>
      <x:c r="R1624" s="9" t="n">
        <x:f>H1624*Z1623*v01_WomenShare*v01_BaseFertility*INDEX(v01_FertMult,G1624)*Arch_Fertility*(1-P1624)</x:f>
        <x:v>0</x:v>
      </x:c>
      <x:c r="S1624" s="9" t="n">
        <x:f>H1624*Y1623*INDEX(v01_MortChild,G1624)/4*Q1624</x:f>
        <x:v>0</x:v>
      </x:c>
      <x:c r="T1624" s="9" t="n">
        <x:f>H1624*Z1623*INDEX(v01_MortAdult,G1624)*Arch_AdultMort/4*Q1624</x:f>
        <x:v>0</x:v>
      </x:c>
      <x:c r="U1624" s="9" t="n">
        <x:f>H1624*AA1623*INDEX(v01_MortElder,G1624)/4*Q1624</x:f>
        <x:v>0</x:v>
      </x:c>
      <x:c r="V1624" s="9" t="n">
        <x:f>H1624*MAX(0,AB1623-O1624)*v01_OvercapLoss</x:f>
        <x:v>0</x:v>
      </x:c>
      <x:c r="W1624" s="9" t="n">
        <x:f>H1624*Y1623/(v01_ChildYears*4)</x:f>
        <x:v>0</x:v>
      </x:c>
      <x:c r="X1624" s="9" t="n">
        <x:f>H1624*Z1623/(v01_AdultYears*4)</x:f>
        <x:v>0</x:v>
      </x:c>
      <x:c r="Y1624" s="32" t="n">
        <x:f>Y1623+R1624-S1624-W1624-Y1623*V1624/AB1623</x:f>
        <x:v>14306.18539759397</x:v>
      </x:c>
      <x:c r="Z1624" s="32" t="n">
        <x:f>Z1623+W1624-X1624-T1624-Z1623*V1624/AB1623</x:f>
        <x:v>19354.456567879548</x:v>
      </x:c>
      <x:c r="AA1624" s="32" t="n">
        <x:f>AA1623+X1624-U1624-AA1623*V1624/AB1623</x:f>
        <x:v>11386.956063258198</x:v>
      </x:c>
      <x:c r="AB1624" s="10" t="n">
        <x:f>Y1624+Z1624+AA1624</x:f>
        <x:v>45047.59802873172</x:v>
      </x:c>
      <x:c r="AC1624" s="8" t="n">
        <x:f>IF(AND(v01_WinterTrigger=1,D1624=1,AB1623/AE1623&gt;=K1624),1,0)</x:f>
        <x:v>0</x:v>
      </x:c>
      <x:c r="AD1624" s="8" t="n">
        <x:f>H1624*IF(AND(OR(AB1623/AE1623&gt;=v01_FissionTrigger*N1624,AC1624=1),AB1623/AE1623*v01_DaughterShare&gt;=v01_MinDaughter),MAX(1,ROUND(AE1623*v01_FissionRate,0)),0)</x:f>
        <x:v>0</x:v>
      </x:c>
      <x:c r="AE1624" s="8" t="n">
        <x:f>IF(H1624=1,MAX(1,MIN(INDEX(v01_Smax,G1624),AE1623+AD1624)),AE1623)</x:f>
        <x:v>15</x:v>
      </x:c>
      <x:c r="AF1624" s="8" t="n">
        <x:f>MAX(0,AE1624-AE1623)</x:f>
        <x:v>0</x:v>
      </x:c>
      <x:c r="AG1624" s="9" t="str">
        <x:f>IF(AF1624&gt;0,B1624,"")</x:f>
      </x:c>
      <x:c r="AH1624" s="9" t="n">
        <x:f>IF(F1624&gt;=1,1,(1+v01_LowTiesShare*(AE1624-1))/AE1624)</x:f>
        <x:v>1</x:v>
      </x:c>
      <x:c r="AI1624" s="32" t="n">
        <x:f>(Z1624+v01_ElderCommons*INDEX(LM_Elder,G1624)*AA1624)*AH1624</x:f>
        <x:v>64139.732591141874</x:v>
      </x:c>
      <x:c r="AJ1624" s="32" t="n">
        <x:f>H1624*v01_CommonsCoef*AI1624^v01_CommonsExp*INDEX(LM_Commons,G1624)</x:f>
        <x:v>0</x:v>
      </x:c>
      <x:c r="AK1624" s="32" t="n">
        <x:f>H1624*v01_RoleScale*Arch_Roles*(AE1624*(INDEX(v01_ElderRolePerSett,G1624)*v01_OutElder*INDEX(LM_Elder,G1624)+INDEX(v01_ShamanPerSett,G1624)*v01_OutShaman)+Z1624*(INDEX(v01_PriestShare,G1624)*v01_OutPriest+INDEX(v01_ScribeShare,G1624)*v01_OutScribe*INDEX(LM_Scribe,G1624)+INDEX(v01_ScholarShare,G1624)*v01_OutScholar*INDEX(LM_Scholar,G1624)+INDEX(v01_ResearcherShare,G1624)*v01_OutResearcher*INDEX(LM_Researcher,G1624)))</x:f>
        <x:v>0</x:v>
      </x:c>
      <x:c r="AL1624" s="32" t="n">
        <x:f>H1624*v01_RoleScale*Arch_Roles*AE1624*INDEX(v01_MonasteryPerSett,G1624)*v01_OutMonastery*INDEX(LM_Monastery,G1624)</x:f>
        <x:v>0</x:v>
      </x:c>
      <x:c r="AM1624" s="32" t="n">
        <x:f>(AJ1624+AK1624+AL1624)/4*INDEX(LM_All,G1624)*INDEX(v01_Boon,G1624)*Arch_Insight</x:f>
        <x:v>0</x:v>
      </x:c>
      <x:c r="AN1624" s="32" t="n">
        <x:f>H1624*(v01_KHPerAdult*Z1624+v01_KHOfCommons*AJ1624/4*INDEX(LM_All,G1624))*v01_KHUsable*Arch_KH</x:f>
        <x:v>0</x:v>
      </x:c>
      <x:c r="AO1624" s="32" t="n">
        <x:f>MIN(AP1623+AN1624,AM1624*v01_KHMaxRatio)</x:f>
        <x:v>0</x:v>
      </x:c>
      <x:c r="AP1624" s="32" t="n">
        <x:f>AP1623+AN1624-AO1624</x:f>
        <x:v>0</x:v>
      </x:c>
      <x:c r="AQ1624" s="32" t="n">
        <x:f>AM1624+AO1624</x:f>
        <x:v>0</x:v>
      </x:c>
      <x:c r="AR1624" s="10" t="n">
        <x:f>IF(H1624=1,INDEX(v01_Req,G1624),0)</x:f>
        <x:v>0</x:v>
      </x:c>
      <x:c r="AS1624" s="32" t="n">
        <x:f>IF(H1624=1,IF(E1624=1,AS1623-AR1623,AS1623)+AQ1624,0)</x:f>
        <x:v>0</x:v>
      </x:c>
      <x:c r="AT1624" s="11" t="n">
        <x:f>IF(AR1624&gt;0,MIN(1,AS1624/AR1624),1)</x:f>
        <x:v>1</x:v>
      </x:c>
      <x:c r="AU1624" s="10" t="n">
        <x:f>AB1624/INDEX(v01_RepScale,G1624)</x:f>
        <x:v>90.09519605746344</x:v>
      </x:c>
      <x:c r="AV1624" s="32" t="n">
        <x:f>AM1624*60/v01_SeasonSeconds</x:f>
        <x:v>0</x:v>
      </x:c>
    </x:row>
    <x:row r="1625">
      <x:c r="A1625" s="8" t="n">
        <x:f>A1624+1</x:f>
        <x:v>1622</x:v>
      </x:c>
      <x:c r="B1625" s="9" t="n">
        <x:f>A1625*v01_SeasonSeconds/60</x:f>
        <x:v>405.5</x:v>
      </x:c>
      <x:c r="C1625" s="9" t="n">
        <x:f>A1625/4</x:f>
        <x:v>405.5</x:v>
      </x:c>
      <x:c r="D1625" s="8" t="n">
        <x:f>IF(MOD(A1625,4)=0,1,0)</x:f>
        <x:v>0</x:v>
      </x:c>
      <x:c r="E1625" s="8" t="n">
        <x:f>IF(AND(F1624&lt;=9,AS1624&gt;=AR1624),1,0)</x:f>
        <x:v>0</x:v>
      </x:c>
      <x:c r="F1625" s="8" t="n">
        <x:f>MIN(10,F1624+E1625)</x:f>
        <x:v>10</x:v>
      </x:c>
      <x:c r="G1625" s="8" t="n">
        <x:f>MIN(F1625,9)+1</x:f>
        <x:v>10</x:v>
      </x:c>
      <x:c r="H1625" s="8" t="n">
        <x:f>IF(F1625&lt;=9,1,0)</x:f>
        <x:v>0</x:v>
      </x:c>
      <x:c r="I1625" s="9" t="n">
        <x:f>MIN(10,F1624+IF(AR1624&gt;0,MIN(1,AS1624/AR1624),1))</x:f>
        <x:v>10</x:v>
      </x:c>
      <x:c r="J1625" s="32" t="n">
        <x:f>INDEX(v01_FoodCap,G1625)*Arch_FoodCap*EXP(v01_CapsByProject*SUMPRODUCT((Cap_Point&lt;=I1625)*(Cap_Kind="Food")*Cap_Ln))</x:f>
        <x:v>12000</x:v>
      </x:c>
      <x:c r="K1625" s="32" t="n">
        <x:f>J1625*MIN(1,v01_LeanBase*EXP(v01_CapsByProject*SUMPRODUCT((Cap_Point&lt;=I1625)*(Cap_Kind="Lean")*Cap_Ln)))</x:f>
        <x:v>12000</x:v>
      </x:c>
      <x:c r="L1625" s="10" t="n">
        <x:f>INDEX(v01_HousingCap,G1625)*EXP(v01_CapsByProject*SUMPRODUCT((Cap_Point&lt;=I1625)*(Cap_Kind="Housing")*Cap_Ln))</x:f>
        <x:v>20000</x:v>
      </x:c>
      <x:c r="M1625" s="10" t="n">
        <x:f>INDEX(v01_GroupCap,G1625)*v01_CohesionFactor*EXP(v01_CapsByProject*SUMPRODUCT((Cap_Point&lt;=I1625)*(Cap_Kind="Group")*Cap_Ln))</x:f>
        <x:v>1000000</x:v>
      </x:c>
      <x:c r="N1625" s="32" t="n">
        <x:f>MIN(J1625,L1625,M1625)</x:f>
        <x:v>12000</x:v>
      </x:c>
      <x:c r="O1625" s="10" t="n">
        <x:f>AE1624*N1625</x:f>
        <x:v>180000</x:v>
      </x:c>
      <x:c r="P1625" s="9" t="n">
        <x:f>MIN(1,(AB1624/(AE1624*IF(v01_GroupInCrowding=1,N1625,MIN(J1625,L1625))))^v01_CrowdingExp)</x:f>
        <x:v>0.00024569414295285325</x:v>
      </x:c>
      <x:c r="Q1625" s="9" t="n">
        <x:f>IF(D1625=1,INDEX(v01_WinterMult,G1625),1)</x:f>
        <x:v>1</x:v>
      </x:c>
      <x:c r="R1625" s="9" t="n">
        <x:f>H1625*Z1624*v01_WomenShare*v01_BaseFertility*INDEX(v01_FertMult,G1625)*Arch_Fertility*(1-P1625)</x:f>
        <x:v>0</x:v>
      </x:c>
      <x:c r="S1625" s="9" t="n">
        <x:f>H1625*Y1624*INDEX(v01_MortChild,G1625)/4*Q1625</x:f>
        <x:v>0</x:v>
      </x:c>
      <x:c r="T1625" s="9" t="n">
        <x:f>H1625*Z1624*INDEX(v01_MortAdult,G1625)*Arch_AdultMort/4*Q1625</x:f>
        <x:v>0</x:v>
      </x:c>
      <x:c r="U1625" s="9" t="n">
        <x:f>H1625*AA1624*INDEX(v01_MortElder,G1625)/4*Q1625</x:f>
        <x:v>0</x:v>
      </x:c>
      <x:c r="V1625" s="9" t="n">
        <x:f>H1625*MAX(0,AB1624-O1625)*v01_OvercapLoss</x:f>
        <x:v>0</x:v>
      </x:c>
      <x:c r="W1625" s="9" t="n">
        <x:f>H1625*Y1624/(v01_ChildYears*4)</x:f>
        <x:v>0</x:v>
      </x:c>
      <x:c r="X1625" s="9" t="n">
        <x:f>H1625*Z1624/(v01_AdultYears*4)</x:f>
        <x:v>0</x:v>
      </x:c>
      <x:c r="Y1625" s="32" t="n">
        <x:f>Y1624+R1625-S1625-W1625-Y1624*V1625/AB1624</x:f>
        <x:v>14306.18539759397</x:v>
      </x:c>
      <x:c r="Z1625" s="32" t="n">
        <x:f>Z1624+W1625-X1625-T1625-Z1624*V1625/AB1624</x:f>
        <x:v>19354.456567879548</x:v>
      </x:c>
      <x:c r="AA1625" s="32" t="n">
        <x:f>AA1624+X1625-U1625-AA1624*V1625/AB1624</x:f>
        <x:v>11386.956063258198</x:v>
      </x:c>
      <x:c r="AB1625" s="10" t="n">
        <x:f>Y1625+Z1625+AA1625</x:f>
        <x:v>45047.59802873172</x:v>
      </x:c>
      <x:c r="AC1625" s="8" t="n">
        <x:f>IF(AND(v01_WinterTrigger=1,D1625=1,AB1624/AE1624&gt;=K1625),1,0)</x:f>
        <x:v>0</x:v>
      </x:c>
      <x:c r="AD1625" s="8" t="n">
        <x:f>H1625*IF(AND(OR(AB1624/AE1624&gt;=v01_FissionTrigger*N1625,AC1625=1),AB1624/AE1624*v01_DaughterShare&gt;=v01_MinDaughter),MAX(1,ROUND(AE1624*v01_FissionRate,0)),0)</x:f>
        <x:v>0</x:v>
      </x:c>
      <x:c r="AE1625" s="8" t="n">
        <x:f>IF(H1625=1,MAX(1,MIN(INDEX(v01_Smax,G1625),AE1624+AD1625)),AE1624)</x:f>
        <x:v>15</x:v>
      </x:c>
      <x:c r="AF1625" s="8" t="n">
        <x:f>MAX(0,AE1625-AE1624)</x:f>
        <x:v>0</x:v>
      </x:c>
      <x:c r="AG1625" s="9" t="str">
        <x:f>IF(AF1625&gt;0,B1625,"")</x:f>
      </x:c>
      <x:c r="AH1625" s="9" t="n">
        <x:f>IF(F1625&gt;=1,1,(1+v01_LowTiesShare*(AE1625-1))/AE1625)</x:f>
        <x:v>1</x:v>
      </x:c>
      <x:c r="AI1625" s="32" t="n">
        <x:f>(Z1625+v01_ElderCommons*INDEX(LM_Elder,G1625)*AA1625)*AH1625</x:f>
        <x:v>64139.732591141874</x:v>
      </x:c>
      <x:c r="AJ1625" s="32" t="n">
        <x:f>H1625*v01_CommonsCoef*AI1625^v01_CommonsExp*INDEX(LM_Commons,G1625)</x:f>
        <x:v>0</x:v>
      </x:c>
      <x:c r="AK1625" s="32" t="n">
        <x:f>H1625*v01_RoleScale*Arch_Roles*(AE1625*(INDEX(v01_ElderRolePerSett,G1625)*v01_OutElder*INDEX(LM_Elder,G1625)+INDEX(v01_ShamanPerSett,G1625)*v01_OutShaman)+Z1625*(INDEX(v01_PriestShare,G1625)*v01_OutPriest+INDEX(v01_ScribeShare,G1625)*v01_OutScribe*INDEX(LM_Scribe,G1625)+INDEX(v01_ScholarShare,G1625)*v01_OutScholar*INDEX(LM_Scholar,G1625)+INDEX(v01_ResearcherShare,G1625)*v01_OutResearcher*INDEX(LM_Researcher,G1625)))</x:f>
        <x:v>0</x:v>
      </x:c>
      <x:c r="AL1625" s="32" t="n">
        <x:f>H1625*v01_RoleScale*Arch_Roles*AE1625*INDEX(v01_MonasteryPerSett,G1625)*v01_OutMonastery*INDEX(LM_Monastery,G1625)</x:f>
        <x:v>0</x:v>
      </x:c>
      <x:c r="AM1625" s="32" t="n">
        <x:f>(AJ1625+AK1625+AL1625)/4*INDEX(LM_All,G1625)*INDEX(v01_Boon,G1625)*Arch_Insight</x:f>
        <x:v>0</x:v>
      </x:c>
      <x:c r="AN1625" s="32" t="n">
        <x:f>H1625*(v01_KHPerAdult*Z1625+v01_KHOfCommons*AJ1625/4*INDEX(LM_All,G1625))*v01_KHUsable*Arch_KH</x:f>
        <x:v>0</x:v>
      </x:c>
      <x:c r="AO1625" s="32" t="n">
        <x:f>MIN(AP1624+AN1625,AM1625*v01_KHMaxRatio)</x:f>
        <x:v>0</x:v>
      </x:c>
      <x:c r="AP1625" s="32" t="n">
        <x:f>AP1624+AN1625-AO1625</x:f>
        <x:v>0</x:v>
      </x:c>
      <x:c r="AQ1625" s="32" t="n">
        <x:f>AM1625+AO1625</x:f>
        <x:v>0</x:v>
      </x:c>
      <x:c r="AR1625" s="10" t="n">
        <x:f>IF(H1625=1,INDEX(v01_Req,G1625),0)</x:f>
        <x:v>0</x:v>
      </x:c>
      <x:c r="AS1625" s="32" t="n">
        <x:f>IF(H1625=1,IF(E1625=1,AS1624-AR1624,AS1624)+AQ1625,0)</x:f>
        <x:v>0</x:v>
      </x:c>
      <x:c r="AT1625" s="11" t="n">
        <x:f>IF(AR1625&gt;0,MIN(1,AS1625/AR1625),1)</x:f>
        <x:v>1</x:v>
      </x:c>
      <x:c r="AU1625" s="10" t="n">
        <x:f>AB1625/INDEX(v01_RepScale,G1625)</x:f>
        <x:v>90.09519605746344</x:v>
      </x:c>
      <x:c r="AV1625" s="32" t="n">
        <x:f>AM1625*60/v01_SeasonSeconds</x:f>
        <x:v>0</x:v>
      </x:c>
    </x:row>
    <x:row r="1626">
      <x:c r="A1626" s="8" t="n">
        <x:f>A1625+1</x:f>
        <x:v>1623</x:v>
      </x:c>
      <x:c r="B1626" s="9" t="n">
        <x:f>A1626*v01_SeasonSeconds/60</x:f>
        <x:v>405.75</x:v>
      </x:c>
      <x:c r="C1626" s="9" t="n">
        <x:f>A1626/4</x:f>
        <x:v>405.75</x:v>
      </x:c>
      <x:c r="D1626" s="8" t="n">
        <x:f>IF(MOD(A1626,4)=0,1,0)</x:f>
        <x:v>0</x:v>
      </x:c>
      <x:c r="E1626" s="8" t="n">
        <x:f>IF(AND(F1625&lt;=9,AS1625&gt;=AR1625),1,0)</x:f>
        <x:v>0</x:v>
      </x:c>
      <x:c r="F1626" s="8" t="n">
        <x:f>MIN(10,F1625+E1626)</x:f>
        <x:v>10</x:v>
      </x:c>
      <x:c r="G1626" s="8" t="n">
        <x:f>MIN(F1626,9)+1</x:f>
        <x:v>10</x:v>
      </x:c>
      <x:c r="H1626" s="8" t="n">
        <x:f>IF(F1626&lt;=9,1,0)</x:f>
        <x:v>0</x:v>
      </x:c>
      <x:c r="I1626" s="9" t="n">
        <x:f>MIN(10,F1625+IF(AR1625&gt;0,MIN(1,AS1625/AR1625),1))</x:f>
        <x:v>10</x:v>
      </x:c>
      <x:c r="J1626" s="32" t="n">
        <x:f>INDEX(v01_FoodCap,G1626)*Arch_FoodCap*EXP(v01_CapsByProject*SUMPRODUCT((Cap_Point&lt;=I1626)*(Cap_Kind="Food")*Cap_Ln))</x:f>
        <x:v>12000</x:v>
      </x:c>
      <x:c r="K1626" s="32" t="n">
        <x:f>J1626*MIN(1,v01_LeanBase*EXP(v01_CapsByProject*SUMPRODUCT((Cap_Point&lt;=I1626)*(Cap_Kind="Lean")*Cap_Ln)))</x:f>
        <x:v>12000</x:v>
      </x:c>
      <x:c r="L1626" s="10" t="n">
        <x:f>INDEX(v01_HousingCap,G1626)*EXP(v01_CapsByProject*SUMPRODUCT((Cap_Point&lt;=I1626)*(Cap_Kind="Housing")*Cap_Ln))</x:f>
        <x:v>20000</x:v>
      </x:c>
      <x:c r="M1626" s="10" t="n">
        <x:f>INDEX(v01_GroupCap,G1626)*v01_CohesionFactor*EXP(v01_CapsByProject*SUMPRODUCT((Cap_Point&lt;=I1626)*(Cap_Kind="Group")*Cap_Ln))</x:f>
        <x:v>1000000</x:v>
      </x:c>
      <x:c r="N1626" s="32" t="n">
        <x:f>MIN(J1626,L1626,M1626)</x:f>
        <x:v>12000</x:v>
      </x:c>
      <x:c r="O1626" s="10" t="n">
        <x:f>AE1625*N1626</x:f>
        <x:v>180000</x:v>
      </x:c>
      <x:c r="P1626" s="9" t="n">
        <x:f>MIN(1,(AB1625/(AE1625*IF(v01_GroupInCrowding=1,N1626,MIN(J1626,L1626))))^v01_CrowdingExp)</x:f>
        <x:v>0.00024569414295285325</x:v>
      </x:c>
      <x:c r="Q1626" s="9" t="n">
        <x:f>IF(D1626=1,INDEX(v01_WinterMult,G1626),1)</x:f>
        <x:v>1</x:v>
      </x:c>
      <x:c r="R1626" s="9" t="n">
        <x:f>H1626*Z1625*v01_WomenShare*v01_BaseFertility*INDEX(v01_FertMult,G1626)*Arch_Fertility*(1-P1626)</x:f>
        <x:v>0</x:v>
      </x:c>
      <x:c r="S1626" s="9" t="n">
        <x:f>H1626*Y1625*INDEX(v01_MortChild,G1626)/4*Q1626</x:f>
        <x:v>0</x:v>
      </x:c>
      <x:c r="T1626" s="9" t="n">
        <x:f>H1626*Z1625*INDEX(v01_MortAdult,G1626)*Arch_AdultMort/4*Q1626</x:f>
        <x:v>0</x:v>
      </x:c>
      <x:c r="U1626" s="9" t="n">
        <x:f>H1626*AA1625*INDEX(v01_MortElder,G1626)/4*Q1626</x:f>
        <x:v>0</x:v>
      </x:c>
      <x:c r="V1626" s="9" t="n">
        <x:f>H1626*MAX(0,AB1625-O1626)*v01_OvercapLoss</x:f>
        <x:v>0</x:v>
      </x:c>
      <x:c r="W1626" s="9" t="n">
        <x:f>H1626*Y1625/(v01_ChildYears*4)</x:f>
        <x:v>0</x:v>
      </x:c>
      <x:c r="X1626" s="9" t="n">
        <x:f>H1626*Z1625/(v01_AdultYears*4)</x:f>
        <x:v>0</x:v>
      </x:c>
      <x:c r="Y1626" s="32" t="n">
        <x:f>Y1625+R1626-S1626-W1626-Y1625*V1626/AB1625</x:f>
        <x:v>14306.18539759397</x:v>
      </x:c>
      <x:c r="Z1626" s="32" t="n">
        <x:f>Z1625+W1626-X1626-T1626-Z1625*V1626/AB1625</x:f>
        <x:v>19354.456567879548</x:v>
      </x:c>
      <x:c r="AA1626" s="32" t="n">
        <x:f>AA1625+X1626-U1626-AA1625*V1626/AB1625</x:f>
        <x:v>11386.956063258198</x:v>
      </x:c>
      <x:c r="AB1626" s="10" t="n">
        <x:f>Y1626+Z1626+AA1626</x:f>
        <x:v>45047.59802873172</x:v>
      </x:c>
      <x:c r="AC1626" s="8" t="n">
        <x:f>IF(AND(v01_WinterTrigger=1,D1626=1,AB1625/AE1625&gt;=K1626),1,0)</x:f>
        <x:v>0</x:v>
      </x:c>
      <x:c r="AD1626" s="8" t="n">
        <x:f>H1626*IF(AND(OR(AB1625/AE1625&gt;=v01_FissionTrigger*N1626,AC1626=1),AB1625/AE1625*v01_DaughterShare&gt;=v01_MinDaughter),MAX(1,ROUND(AE1625*v01_FissionRate,0)),0)</x:f>
        <x:v>0</x:v>
      </x:c>
      <x:c r="AE1626" s="8" t="n">
        <x:f>IF(H1626=1,MAX(1,MIN(INDEX(v01_Smax,G1626),AE1625+AD1626)),AE1625)</x:f>
        <x:v>15</x:v>
      </x:c>
      <x:c r="AF1626" s="8" t="n">
        <x:f>MAX(0,AE1626-AE1625)</x:f>
        <x:v>0</x:v>
      </x:c>
      <x:c r="AG1626" s="9" t="str">
        <x:f>IF(AF1626&gt;0,B1626,"")</x:f>
      </x:c>
      <x:c r="AH1626" s="9" t="n">
        <x:f>IF(F1626&gt;=1,1,(1+v01_LowTiesShare*(AE1626-1))/AE1626)</x:f>
        <x:v>1</x:v>
      </x:c>
      <x:c r="AI1626" s="32" t="n">
        <x:f>(Z1626+v01_ElderCommons*INDEX(LM_Elder,G1626)*AA1626)*AH1626</x:f>
        <x:v>64139.732591141874</x:v>
      </x:c>
      <x:c r="AJ1626" s="32" t="n">
        <x:f>H1626*v01_CommonsCoef*AI1626^v01_CommonsExp*INDEX(LM_Commons,G1626)</x:f>
        <x:v>0</x:v>
      </x:c>
      <x:c r="AK1626" s="32" t="n">
        <x:f>H1626*v01_RoleScale*Arch_Roles*(AE1626*(INDEX(v01_ElderRolePerSett,G1626)*v01_OutElder*INDEX(LM_Elder,G1626)+INDEX(v01_ShamanPerSett,G1626)*v01_OutShaman)+Z1626*(INDEX(v01_PriestShare,G1626)*v01_OutPriest+INDEX(v01_ScribeShare,G1626)*v01_OutScribe*INDEX(LM_Scribe,G1626)+INDEX(v01_ScholarShare,G1626)*v01_OutScholar*INDEX(LM_Scholar,G1626)+INDEX(v01_ResearcherShare,G1626)*v01_OutResearcher*INDEX(LM_Researcher,G1626)))</x:f>
        <x:v>0</x:v>
      </x:c>
      <x:c r="AL1626" s="32" t="n">
        <x:f>H1626*v01_RoleScale*Arch_Roles*AE1626*INDEX(v01_MonasteryPerSett,G1626)*v01_OutMonastery*INDEX(LM_Monastery,G1626)</x:f>
        <x:v>0</x:v>
      </x:c>
      <x:c r="AM1626" s="32" t="n">
        <x:f>(AJ1626+AK1626+AL1626)/4*INDEX(LM_All,G1626)*INDEX(v01_Boon,G1626)*Arch_Insight</x:f>
        <x:v>0</x:v>
      </x:c>
      <x:c r="AN1626" s="32" t="n">
        <x:f>H1626*(v01_KHPerAdult*Z1626+v01_KHOfCommons*AJ1626/4*INDEX(LM_All,G1626))*v01_KHUsable*Arch_KH</x:f>
        <x:v>0</x:v>
      </x:c>
      <x:c r="AO1626" s="32" t="n">
        <x:f>MIN(AP1625+AN1626,AM1626*v01_KHMaxRatio)</x:f>
        <x:v>0</x:v>
      </x:c>
      <x:c r="AP1626" s="32" t="n">
        <x:f>AP1625+AN1626-AO1626</x:f>
        <x:v>0</x:v>
      </x:c>
      <x:c r="AQ1626" s="32" t="n">
        <x:f>AM1626+AO1626</x:f>
        <x:v>0</x:v>
      </x:c>
      <x:c r="AR1626" s="10" t="n">
        <x:f>IF(H1626=1,INDEX(v01_Req,G1626),0)</x:f>
        <x:v>0</x:v>
      </x:c>
      <x:c r="AS1626" s="32" t="n">
        <x:f>IF(H1626=1,IF(E1626=1,AS1625-AR1625,AS1625)+AQ1626,0)</x:f>
        <x:v>0</x:v>
      </x:c>
      <x:c r="AT1626" s="11" t="n">
        <x:f>IF(AR1626&gt;0,MIN(1,AS1626/AR1626),1)</x:f>
        <x:v>1</x:v>
      </x:c>
      <x:c r="AU1626" s="10" t="n">
        <x:f>AB1626/INDEX(v01_RepScale,G1626)</x:f>
        <x:v>90.09519605746344</x:v>
      </x:c>
      <x:c r="AV1626" s="32" t="n">
        <x:f>AM1626*60/v01_SeasonSeconds</x:f>
        <x:v>0</x:v>
      </x:c>
    </x:row>
    <x:row r="1627">
      <x:c r="A1627" s="8" t="n">
        <x:f>A1626+1</x:f>
        <x:v>1624</x:v>
      </x:c>
      <x:c r="B1627" s="9" t="n">
        <x:f>A1627*v01_SeasonSeconds/60</x:f>
        <x:v>406</x:v>
      </x:c>
      <x:c r="C1627" s="9" t="n">
        <x:f>A1627/4</x:f>
        <x:v>406</x:v>
      </x:c>
      <x:c r="D1627" s="8" t="n">
        <x:f>IF(MOD(A1627,4)=0,1,0)</x:f>
        <x:v>1</x:v>
      </x:c>
      <x:c r="E1627" s="8" t="n">
        <x:f>IF(AND(F1626&lt;=9,AS1626&gt;=AR1626),1,0)</x:f>
        <x:v>0</x:v>
      </x:c>
      <x:c r="F1627" s="8" t="n">
        <x:f>MIN(10,F1626+E1627)</x:f>
        <x:v>10</x:v>
      </x:c>
      <x:c r="G1627" s="8" t="n">
        <x:f>MIN(F1627,9)+1</x:f>
        <x:v>10</x:v>
      </x:c>
      <x:c r="H1627" s="8" t="n">
        <x:f>IF(F1627&lt;=9,1,0)</x:f>
        <x:v>0</x:v>
      </x:c>
      <x:c r="I1627" s="9" t="n">
        <x:f>MIN(10,F1626+IF(AR1626&gt;0,MIN(1,AS1626/AR1626),1))</x:f>
        <x:v>10</x:v>
      </x:c>
      <x:c r="J1627" s="32" t="n">
        <x:f>INDEX(v01_FoodCap,G1627)*Arch_FoodCap*EXP(v01_CapsByProject*SUMPRODUCT((Cap_Point&lt;=I1627)*(Cap_Kind="Food")*Cap_Ln))</x:f>
        <x:v>12000</x:v>
      </x:c>
      <x:c r="K1627" s="32" t="n">
        <x:f>J1627*MIN(1,v01_LeanBase*EXP(v01_CapsByProject*SUMPRODUCT((Cap_Point&lt;=I1627)*(Cap_Kind="Lean")*Cap_Ln)))</x:f>
        <x:v>12000</x:v>
      </x:c>
      <x:c r="L1627" s="10" t="n">
        <x:f>INDEX(v01_HousingCap,G1627)*EXP(v01_CapsByProject*SUMPRODUCT((Cap_Point&lt;=I1627)*(Cap_Kind="Housing")*Cap_Ln))</x:f>
        <x:v>20000</x:v>
      </x:c>
      <x:c r="M1627" s="10" t="n">
        <x:f>INDEX(v01_GroupCap,G1627)*v01_CohesionFactor*EXP(v01_CapsByProject*SUMPRODUCT((Cap_Point&lt;=I1627)*(Cap_Kind="Group")*Cap_Ln))</x:f>
        <x:v>1000000</x:v>
      </x:c>
      <x:c r="N1627" s="32" t="n">
        <x:f>MIN(J1627,L1627,M1627)</x:f>
        <x:v>12000</x:v>
      </x:c>
      <x:c r="O1627" s="10" t="n">
        <x:f>AE1626*N1627</x:f>
        <x:v>180000</x:v>
      </x:c>
      <x:c r="P1627" s="9" t="n">
        <x:f>MIN(1,(AB1626/(AE1626*IF(v01_GroupInCrowding=1,N1627,MIN(J1627,L1627))))^v01_CrowdingExp)</x:f>
        <x:v>0.00024569414295285325</x:v>
      </x:c>
      <x:c r="Q1627" s="9" t="n">
        <x:f>IF(D1627=1,INDEX(v01_WinterMult,G1627),1)</x:f>
        <x:v>1</x:v>
      </x:c>
      <x:c r="R1627" s="9" t="n">
        <x:f>H1627*Z1626*v01_WomenShare*v01_BaseFertility*INDEX(v01_FertMult,G1627)*Arch_Fertility*(1-P1627)</x:f>
        <x:v>0</x:v>
      </x:c>
      <x:c r="S1627" s="9" t="n">
        <x:f>H1627*Y1626*INDEX(v01_MortChild,G1627)/4*Q1627</x:f>
        <x:v>0</x:v>
      </x:c>
      <x:c r="T1627" s="9" t="n">
        <x:f>H1627*Z1626*INDEX(v01_MortAdult,G1627)*Arch_AdultMort/4*Q1627</x:f>
        <x:v>0</x:v>
      </x:c>
      <x:c r="U1627" s="9" t="n">
        <x:f>H1627*AA1626*INDEX(v01_MortElder,G1627)/4*Q1627</x:f>
        <x:v>0</x:v>
      </x:c>
      <x:c r="V1627" s="9" t="n">
        <x:f>H1627*MAX(0,AB1626-O1627)*v01_OvercapLoss</x:f>
        <x:v>0</x:v>
      </x:c>
      <x:c r="W1627" s="9" t="n">
        <x:f>H1627*Y1626/(v01_ChildYears*4)</x:f>
        <x:v>0</x:v>
      </x:c>
      <x:c r="X1627" s="9" t="n">
        <x:f>H1627*Z1626/(v01_AdultYears*4)</x:f>
        <x:v>0</x:v>
      </x:c>
      <x:c r="Y1627" s="32" t="n">
        <x:f>Y1626+R1627-S1627-W1627-Y1626*V1627/AB1626</x:f>
        <x:v>14306.18539759397</x:v>
      </x:c>
      <x:c r="Z1627" s="32" t="n">
        <x:f>Z1626+W1627-X1627-T1627-Z1626*V1627/AB1626</x:f>
        <x:v>19354.456567879548</x:v>
      </x:c>
      <x:c r="AA1627" s="32" t="n">
        <x:f>AA1626+X1627-U1627-AA1626*V1627/AB1626</x:f>
        <x:v>11386.956063258198</x:v>
      </x:c>
      <x:c r="AB1627" s="10" t="n">
        <x:f>Y1627+Z1627+AA1627</x:f>
        <x:v>45047.59802873172</x:v>
      </x:c>
      <x:c r="AC1627" s="8" t="n">
        <x:f>IF(AND(v01_WinterTrigger=1,D1627=1,AB1626/AE1626&gt;=K1627),1,0)</x:f>
        <x:v>0</x:v>
      </x:c>
      <x:c r="AD1627" s="8" t="n">
        <x:f>H1627*IF(AND(OR(AB1626/AE1626&gt;=v01_FissionTrigger*N1627,AC1627=1),AB1626/AE1626*v01_DaughterShare&gt;=v01_MinDaughter),MAX(1,ROUND(AE1626*v01_FissionRate,0)),0)</x:f>
        <x:v>0</x:v>
      </x:c>
      <x:c r="AE1627" s="8" t="n">
        <x:f>IF(H1627=1,MAX(1,MIN(INDEX(v01_Smax,G1627),AE1626+AD1627)),AE1626)</x:f>
        <x:v>15</x:v>
      </x:c>
      <x:c r="AF1627" s="8" t="n">
        <x:f>MAX(0,AE1627-AE1626)</x:f>
        <x:v>0</x:v>
      </x:c>
      <x:c r="AG1627" s="9" t="str">
        <x:f>IF(AF1627&gt;0,B1627,"")</x:f>
      </x:c>
      <x:c r="AH1627" s="9" t="n">
        <x:f>IF(F1627&gt;=1,1,(1+v01_LowTiesShare*(AE1627-1))/AE1627)</x:f>
        <x:v>1</x:v>
      </x:c>
      <x:c r="AI1627" s="32" t="n">
        <x:f>(Z1627+v01_ElderCommons*INDEX(LM_Elder,G1627)*AA1627)*AH1627</x:f>
        <x:v>64139.732591141874</x:v>
      </x:c>
      <x:c r="AJ1627" s="32" t="n">
        <x:f>H1627*v01_CommonsCoef*AI1627^v01_CommonsExp*INDEX(LM_Commons,G1627)</x:f>
        <x:v>0</x:v>
      </x:c>
      <x:c r="AK1627" s="32" t="n">
        <x:f>H1627*v01_RoleScale*Arch_Roles*(AE1627*(INDEX(v01_ElderRolePerSett,G1627)*v01_OutElder*INDEX(LM_Elder,G1627)+INDEX(v01_ShamanPerSett,G1627)*v01_OutShaman)+Z1627*(INDEX(v01_PriestShare,G1627)*v01_OutPriest+INDEX(v01_ScribeShare,G1627)*v01_OutScribe*INDEX(LM_Scribe,G1627)+INDEX(v01_ScholarShare,G1627)*v01_OutScholar*INDEX(LM_Scholar,G1627)+INDEX(v01_ResearcherShare,G1627)*v01_OutResearcher*INDEX(LM_Researcher,G1627)))</x:f>
        <x:v>0</x:v>
      </x:c>
      <x:c r="AL1627" s="32" t="n">
        <x:f>H1627*v01_RoleScale*Arch_Roles*AE1627*INDEX(v01_MonasteryPerSett,G1627)*v01_OutMonastery*INDEX(LM_Monastery,G1627)</x:f>
        <x:v>0</x:v>
      </x:c>
      <x:c r="AM1627" s="32" t="n">
        <x:f>(AJ1627+AK1627+AL1627)/4*INDEX(LM_All,G1627)*INDEX(v01_Boon,G1627)*Arch_Insight</x:f>
        <x:v>0</x:v>
      </x:c>
      <x:c r="AN1627" s="32" t="n">
        <x:f>H1627*(v01_KHPerAdult*Z1627+v01_KHOfCommons*AJ1627/4*INDEX(LM_All,G1627))*v01_KHUsable*Arch_KH</x:f>
        <x:v>0</x:v>
      </x:c>
      <x:c r="AO1627" s="32" t="n">
        <x:f>MIN(AP1626+AN1627,AM1627*v01_KHMaxRatio)</x:f>
        <x:v>0</x:v>
      </x:c>
      <x:c r="AP1627" s="32" t="n">
        <x:f>AP1626+AN1627-AO1627</x:f>
        <x:v>0</x:v>
      </x:c>
      <x:c r="AQ1627" s="32" t="n">
        <x:f>AM1627+AO1627</x:f>
        <x:v>0</x:v>
      </x:c>
      <x:c r="AR1627" s="10" t="n">
        <x:f>IF(H1627=1,INDEX(v01_Req,G1627),0)</x:f>
        <x:v>0</x:v>
      </x:c>
      <x:c r="AS1627" s="32" t="n">
        <x:f>IF(H1627=1,IF(E1627=1,AS1626-AR1626,AS1626)+AQ1627,0)</x:f>
        <x:v>0</x:v>
      </x:c>
      <x:c r="AT1627" s="11" t="n">
        <x:f>IF(AR1627&gt;0,MIN(1,AS1627/AR1627),1)</x:f>
        <x:v>1</x:v>
      </x:c>
      <x:c r="AU1627" s="10" t="n">
        <x:f>AB1627/INDEX(v01_RepScale,G1627)</x:f>
        <x:v>90.09519605746344</x:v>
      </x:c>
      <x:c r="AV1627" s="32" t="n">
        <x:f>AM1627*60/v01_SeasonSeconds</x:f>
        <x:v>0</x:v>
      </x:c>
    </x:row>
    <x:row r="1628">
      <x:c r="A1628" s="8" t="n">
        <x:f>A1627+1</x:f>
        <x:v>1625</x:v>
      </x:c>
      <x:c r="B1628" s="9" t="n">
        <x:f>A1628*v01_SeasonSeconds/60</x:f>
        <x:v>406.25</x:v>
      </x:c>
      <x:c r="C1628" s="9" t="n">
        <x:f>A1628/4</x:f>
        <x:v>406.25</x:v>
      </x:c>
      <x:c r="D1628" s="8" t="n">
        <x:f>IF(MOD(A1628,4)=0,1,0)</x:f>
        <x:v>0</x:v>
      </x:c>
      <x:c r="E1628" s="8" t="n">
        <x:f>IF(AND(F1627&lt;=9,AS1627&gt;=AR1627),1,0)</x:f>
        <x:v>0</x:v>
      </x:c>
      <x:c r="F1628" s="8" t="n">
        <x:f>MIN(10,F1627+E1628)</x:f>
        <x:v>10</x:v>
      </x:c>
      <x:c r="G1628" s="8" t="n">
        <x:f>MIN(F1628,9)+1</x:f>
        <x:v>10</x:v>
      </x:c>
      <x:c r="H1628" s="8" t="n">
        <x:f>IF(F1628&lt;=9,1,0)</x:f>
        <x:v>0</x:v>
      </x:c>
      <x:c r="I1628" s="9" t="n">
        <x:f>MIN(10,F1627+IF(AR1627&gt;0,MIN(1,AS1627/AR1627),1))</x:f>
        <x:v>10</x:v>
      </x:c>
      <x:c r="J1628" s="32" t="n">
        <x:f>INDEX(v01_FoodCap,G1628)*Arch_FoodCap*EXP(v01_CapsByProject*SUMPRODUCT((Cap_Point&lt;=I1628)*(Cap_Kind="Food")*Cap_Ln))</x:f>
        <x:v>12000</x:v>
      </x:c>
      <x:c r="K1628" s="32" t="n">
        <x:f>J1628*MIN(1,v01_LeanBase*EXP(v01_CapsByProject*SUMPRODUCT((Cap_Point&lt;=I1628)*(Cap_Kind="Lean")*Cap_Ln)))</x:f>
        <x:v>12000</x:v>
      </x:c>
      <x:c r="L1628" s="10" t="n">
        <x:f>INDEX(v01_HousingCap,G1628)*EXP(v01_CapsByProject*SUMPRODUCT((Cap_Point&lt;=I1628)*(Cap_Kind="Housing")*Cap_Ln))</x:f>
        <x:v>20000</x:v>
      </x:c>
      <x:c r="M1628" s="10" t="n">
        <x:f>INDEX(v01_GroupCap,G1628)*v01_CohesionFactor*EXP(v01_CapsByProject*SUMPRODUCT((Cap_Point&lt;=I1628)*(Cap_Kind="Group")*Cap_Ln))</x:f>
        <x:v>1000000</x:v>
      </x:c>
      <x:c r="N1628" s="32" t="n">
        <x:f>MIN(J1628,L1628,M1628)</x:f>
        <x:v>12000</x:v>
      </x:c>
      <x:c r="O1628" s="10" t="n">
        <x:f>AE1627*N1628</x:f>
        <x:v>180000</x:v>
      </x:c>
      <x:c r="P1628" s="9" t="n">
        <x:f>MIN(1,(AB1627/(AE1627*IF(v01_GroupInCrowding=1,N1628,MIN(J1628,L1628))))^v01_CrowdingExp)</x:f>
        <x:v>0.00024569414295285325</x:v>
      </x:c>
      <x:c r="Q1628" s="9" t="n">
        <x:f>IF(D1628=1,INDEX(v01_WinterMult,G1628),1)</x:f>
        <x:v>1</x:v>
      </x:c>
      <x:c r="R1628" s="9" t="n">
        <x:f>H1628*Z1627*v01_WomenShare*v01_BaseFertility*INDEX(v01_FertMult,G1628)*Arch_Fertility*(1-P1628)</x:f>
        <x:v>0</x:v>
      </x:c>
      <x:c r="S1628" s="9" t="n">
        <x:f>H1628*Y1627*INDEX(v01_MortChild,G1628)/4*Q1628</x:f>
        <x:v>0</x:v>
      </x:c>
      <x:c r="T1628" s="9" t="n">
        <x:f>H1628*Z1627*INDEX(v01_MortAdult,G1628)*Arch_AdultMort/4*Q1628</x:f>
        <x:v>0</x:v>
      </x:c>
      <x:c r="U1628" s="9" t="n">
        <x:f>H1628*AA1627*INDEX(v01_MortElder,G1628)/4*Q1628</x:f>
        <x:v>0</x:v>
      </x:c>
      <x:c r="V1628" s="9" t="n">
        <x:f>H1628*MAX(0,AB1627-O1628)*v01_OvercapLoss</x:f>
        <x:v>0</x:v>
      </x:c>
      <x:c r="W1628" s="9" t="n">
        <x:f>H1628*Y1627/(v01_ChildYears*4)</x:f>
        <x:v>0</x:v>
      </x:c>
      <x:c r="X1628" s="9" t="n">
        <x:f>H1628*Z1627/(v01_AdultYears*4)</x:f>
        <x:v>0</x:v>
      </x:c>
      <x:c r="Y1628" s="32" t="n">
        <x:f>Y1627+R1628-S1628-W1628-Y1627*V1628/AB1627</x:f>
        <x:v>14306.18539759397</x:v>
      </x:c>
      <x:c r="Z1628" s="32" t="n">
        <x:f>Z1627+W1628-X1628-T1628-Z1627*V1628/AB1627</x:f>
        <x:v>19354.456567879548</x:v>
      </x:c>
      <x:c r="AA1628" s="32" t="n">
        <x:f>AA1627+X1628-U1628-AA1627*V1628/AB1627</x:f>
        <x:v>11386.956063258198</x:v>
      </x:c>
      <x:c r="AB1628" s="10" t="n">
        <x:f>Y1628+Z1628+AA1628</x:f>
        <x:v>45047.59802873172</x:v>
      </x:c>
      <x:c r="AC1628" s="8" t="n">
        <x:f>IF(AND(v01_WinterTrigger=1,D1628=1,AB1627/AE1627&gt;=K1628),1,0)</x:f>
        <x:v>0</x:v>
      </x:c>
      <x:c r="AD1628" s="8" t="n">
        <x:f>H1628*IF(AND(OR(AB1627/AE1627&gt;=v01_FissionTrigger*N1628,AC1628=1),AB1627/AE1627*v01_DaughterShare&gt;=v01_MinDaughter),MAX(1,ROUND(AE1627*v01_FissionRate,0)),0)</x:f>
        <x:v>0</x:v>
      </x:c>
      <x:c r="AE1628" s="8" t="n">
        <x:f>IF(H1628=1,MAX(1,MIN(INDEX(v01_Smax,G1628),AE1627+AD1628)),AE1627)</x:f>
        <x:v>15</x:v>
      </x:c>
      <x:c r="AF1628" s="8" t="n">
        <x:f>MAX(0,AE1628-AE1627)</x:f>
        <x:v>0</x:v>
      </x:c>
      <x:c r="AG1628" s="9" t="str">
        <x:f>IF(AF1628&gt;0,B1628,"")</x:f>
      </x:c>
      <x:c r="AH1628" s="9" t="n">
        <x:f>IF(F1628&gt;=1,1,(1+v01_LowTiesShare*(AE1628-1))/AE1628)</x:f>
        <x:v>1</x:v>
      </x:c>
      <x:c r="AI1628" s="32" t="n">
        <x:f>(Z1628+v01_ElderCommons*INDEX(LM_Elder,G1628)*AA1628)*AH1628</x:f>
        <x:v>64139.732591141874</x:v>
      </x:c>
      <x:c r="AJ1628" s="32" t="n">
        <x:f>H1628*v01_CommonsCoef*AI1628^v01_CommonsExp*INDEX(LM_Commons,G1628)</x:f>
        <x:v>0</x:v>
      </x:c>
      <x:c r="AK1628" s="32" t="n">
        <x:f>H1628*v01_RoleScale*Arch_Roles*(AE1628*(INDEX(v01_ElderRolePerSett,G1628)*v01_OutElder*INDEX(LM_Elder,G1628)+INDEX(v01_ShamanPerSett,G1628)*v01_OutShaman)+Z1628*(INDEX(v01_PriestShare,G1628)*v01_OutPriest+INDEX(v01_ScribeShare,G1628)*v01_OutScribe*INDEX(LM_Scribe,G1628)+INDEX(v01_ScholarShare,G1628)*v01_OutScholar*INDEX(LM_Scholar,G1628)+INDEX(v01_ResearcherShare,G1628)*v01_OutResearcher*INDEX(LM_Researcher,G1628)))</x:f>
        <x:v>0</x:v>
      </x:c>
      <x:c r="AL1628" s="32" t="n">
        <x:f>H1628*v01_RoleScale*Arch_Roles*AE1628*INDEX(v01_MonasteryPerSett,G1628)*v01_OutMonastery*INDEX(LM_Monastery,G1628)</x:f>
        <x:v>0</x:v>
      </x:c>
      <x:c r="AM1628" s="32" t="n">
        <x:f>(AJ1628+AK1628+AL1628)/4*INDEX(LM_All,G1628)*INDEX(v01_Boon,G1628)*Arch_Insight</x:f>
        <x:v>0</x:v>
      </x:c>
      <x:c r="AN1628" s="32" t="n">
        <x:f>H1628*(v01_KHPerAdult*Z1628+v01_KHOfCommons*AJ1628/4*INDEX(LM_All,G1628))*v01_KHUsable*Arch_KH</x:f>
        <x:v>0</x:v>
      </x:c>
      <x:c r="AO1628" s="32" t="n">
        <x:f>MIN(AP1627+AN1628,AM1628*v01_KHMaxRatio)</x:f>
        <x:v>0</x:v>
      </x:c>
      <x:c r="AP1628" s="32" t="n">
        <x:f>AP1627+AN1628-AO1628</x:f>
        <x:v>0</x:v>
      </x:c>
      <x:c r="AQ1628" s="32" t="n">
        <x:f>AM1628+AO1628</x:f>
        <x:v>0</x:v>
      </x:c>
      <x:c r="AR1628" s="10" t="n">
        <x:f>IF(H1628=1,INDEX(v01_Req,G1628),0)</x:f>
        <x:v>0</x:v>
      </x:c>
      <x:c r="AS1628" s="32" t="n">
        <x:f>IF(H1628=1,IF(E1628=1,AS1627-AR1627,AS1627)+AQ1628,0)</x:f>
        <x:v>0</x:v>
      </x:c>
      <x:c r="AT1628" s="11" t="n">
        <x:f>IF(AR1628&gt;0,MIN(1,AS1628/AR1628),1)</x:f>
        <x:v>1</x:v>
      </x:c>
      <x:c r="AU1628" s="10" t="n">
        <x:f>AB1628/INDEX(v01_RepScale,G1628)</x:f>
        <x:v>90.09519605746344</x:v>
      </x:c>
      <x:c r="AV1628" s="32" t="n">
        <x:f>AM1628*60/v01_SeasonSeconds</x:f>
        <x:v>0</x:v>
      </x:c>
    </x:row>
    <x:row r="1629">
      <x:c r="A1629" s="8" t="n">
        <x:f>A1628+1</x:f>
        <x:v>1626</x:v>
      </x:c>
      <x:c r="B1629" s="9" t="n">
        <x:f>A1629*v01_SeasonSeconds/60</x:f>
        <x:v>406.5</x:v>
      </x:c>
      <x:c r="C1629" s="9" t="n">
        <x:f>A1629/4</x:f>
        <x:v>406.5</x:v>
      </x:c>
      <x:c r="D1629" s="8" t="n">
        <x:f>IF(MOD(A1629,4)=0,1,0)</x:f>
        <x:v>0</x:v>
      </x:c>
      <x:c r="E1629" s="8" t="n">
        <x:f>IF(AND(F1628&lt;=9,AS1628&gt;=AR1628),1,0)</x:f>
        <x:v>0</x:v>
      </x:c>
      <x:c r="F1629" s="8" t="n">
        <x:f>MIN(10,F1628+E1629)</x:f>
        <x:v>10</x:v>
      </x:c>
      <x:c r="G1629" s="8" t="n">
        <x:f>MIN(F1629,9)+1</x:f>
        <x:v>10</x:v>
      </x:c>
      <x:c r="H1629" s="8" t="n">
        <x:f>IF(F1629&lt;=9,1,0)</x:f>
        <x:v>0</x:v>
      </x:c>
      <x:c r="I1629" s="9" t="n">
        <x:f>MIN(10,F1628+IF(AR1628&gt;0,MIN(1,AS1628/AR1628),1))</x:f>
        <x:v>10</x:v>
      </x:c>
      <x:c r="J1629" s="32" t="n">
        <x:f>INDEX(v01_FoodCap,G1629)*Arch_FoodCap*EXP(v01_CapsByProject*SUMPRODUCT((Cap_Point&lt;=I1629)*(Cap_Kind="Food")*Cap_Ln))</x:f>
        <x:v>12000</x:v>
      </x:c>
      <x:c r="K1629" s="32" t="n">
        <x:f>J1629*MIN(1,v01_LeanBase*EXP(v01_CapsByProject*SUMPRODUCT((Cap_Point&lt;=I1629)*(Cap_Kind="Lean")*Cap_Ln)))</x:f>
        <x:v>12000</x:v>
      </x:c>
      <x:c r="L1629" s="10" t="n">
        <x:f>INDEX(v01_HousingCap,G1629)*EXP(v01_CapsByProject*SUMPRODUCT((Cap_Point&lt;=I1629)*(Cap_Kind="Housing")*Cap_Ln))</x:f>
        <x:v>20000</x:v>
      </x:c>
      <x:c r="M1629" s="10" t="n">
        <x:f>INDEX(v01_GroupCap,G1629)*v01_CohesionFactor*EXP(v01_CapsByProject*SUMPRODUCT((Cap_Point&lt;=I1629)*(Cap_Kind="Group")*Cap_Ln))</x:f>
        <x:v>1000000</x:v>
      </x:c>
      <x:c r="N1629" s="32" t="n">
        <x:f>MIN(J1629,L1629,M1629)</x:f>
        <x:v>12000</x:v>
      </x:c>
      <x:c r="O1629" s="10" t="n">
        <x:f>AE1628*N1629</x:f>
        <x:v>180000</x:v>
      </x:c>
      <x:c r="P1629" s="9" t="n">
        <x:f>MIN(1,(AB1628/(AE1628*IF(v01_GroupInCrowding=1,N1629,MIN(J1629,L1629))))^v01_CrowdingExp)</x:f>
        <x:v>0.00024569414295285325</x:v>
      </x:c>
      <x:c r="Q1629" s="9" t="n">
        <x:f>IF(D1629=1,INDEX(v01_WinterMult,G1629),1)</x:f>
        <x:v>1</x:v>
      </x:c>
      <x:c r="R1629" s="9" t="n">
        <x:f>H1629*Z1628*v01_WomenShare*v01_BaseFertility*INDEX(v01_FertMult,G1629)*Arch_Fertility*(1-P1629)</x:f>
        <x:v>0</x:v>
      </x:c>
      <x:c r="S1629" s="9" t="n">
        <x:f>H1629*Y1628*INDEX(v01_MortChild,G1629)/4*Q1629</x:f>
        <x:v>0</x:v>
      </x:c>
      <x:c r="T1629" s="9" t="n">
        <x:f>H1629*Z1628*INDEX(v01_MortAdult,G1629)*Arch_AdultMort/4*Q1629</x:f>
        <x:v>0</x:v>
      </x:c>
      <x:c r="U1629" s="9" t="n">
        <x:f>H1629*AA1628*INDEX(v01_MortElder,G1629)/4*Q1629</x:f>
        <x:v>0</x:v>
      </x:c>
      <x:c r="V1629" s="9" t="n">
        <x:f>H1629*MAX(0,AB1628-O1629)*v01_OvercapLoss</x:f>
        <x:v>0</x:v>
      </x:c>
      <x:c r="W1629" s="9" t="n">
        <x:f>H1629*Y1628/(v01_ChildYears*4)</x:f>
        <x:v>0</x:v>
      </x:c>
      <x:c r="X1629" s="9" t="n">
        <x:f>H1629*Z1628/(v01_AdultYears*4)</x:f>
        <x:v>0</x:v>
      </x:c>
      <x:c r="Y1629" s="32" t="n">
        <x:f>Y1628+R1629-S1629-W1629-Y1628*V1629/AB1628</x:f>
        <x:v>14306.18539759397</x:v>
      </x:c>
      <x:c r="Z1629" s="32" t="n">
        <x:f>Z1628+W1629-X1629-T1629-Z1628*V1629/AB1628</x:f>
        <x:v>19354.456567879548</x:v>
      </x:c>
      <x:c r="AA1629" s="32" t="n">
        <x:f>AA1628+X1629-U1629-AA1628*V1629/AB1628</x:f>
        <x:v>11386.956063258198</x:v>
      </x:c>
      <x:c r="AB1629" s="10" t="n">
        <x:f>Y1629+Z1629+AA1629</x:f>
        <x:v>45047.59802873172</x:v>
      </x:c>
      <x:c r="AC1629" s="8" t="n">
        <x:f>IF(AND(v01_WinterTrigger=1,D1629=1,AB1628/AE1628&gt;=K1629),1,0)</x:f>
        <x:v>0</x:v>
      </x:c>
      <x:c r="AD1629" s="8" t="n">
        <x:f>H1629*IF(AND(OR(AB1628/AE1628&gt;=v01_FissionTrigger*N1629,AC1629=1),AB1628/AE1628*v01_DaughterShare&gt;=v01_MinDaughter),MAX(1,ROUND(AE1628*v01_FissionRate,0)),0)</x:f>
        <x:v>0</x:v>
      </x:c>
      <x:c r="AE1629" s="8" t="n">
        <x:f>IF(H1629=1,MAX(1,MIN(INDEX(v01_Smax,G1629),AE1628+AD1629)),AE1628)</x:f>
        <x:v>15</x:v>
      </x:c>
      <x:c r="AF1629" s="8" t="n">
        <x:f>MAX(0,AE1629-AE1628)</x:f>
        <x:v>0</x:v>
      </x:c>
      <x:c r="AG1629" s="9" t="str">
        <x:f>IF(AF1629&gt;0,B1629,"")</x:f>
      </x:c>
      <x:c r="AH1629" s="9" t="n">
        <x:f>IF(F1629&gt;=1,1,(1+v01_LowTiesShare*(AE1629-1))/AE1629)</x:f>
        <x:v>1</x:v>
      </x:c>
      <x:c r="AI1629" s="32" t="n">
        <x:f>(Z1629+v01_ElderCommons*INDEX(LM_Elder,G1629)*AA1629)*AH1629</x:f>
        <x:v>64139.732591141874</x:v>
      </x:c>
      <x:c r="AJ1629" s="32" t="n">
        <x:f>H1629*v01_CommonsCoef*AI1629^v01_CommonsExp*INDEX(LM_Commons,G1629)</x:f>
        <x:v>0</x:v>
      </x:c>
      <x:c r="AK1629" s="32" t="n">
        <x:f>H1629*v01_RoleScale*Arch_Roles*(AE1629*(INDEX(v01_ElderRolePerSett,G1629)*v01_OutElder*INDEX(LM_Elder,G1629)+INDEX(v01_ShamanPerSett,G1629)*v01_OutShaman)+Z1629*(INDEX(v01_PriestShare,G1629)*v01_OutPriest+INDEX(v01_ScribeShare,G1629)*v01_OutScribe*INDEX(LM_Scribe,G1629)+INDEX(v01_ScholarShare,G1629)*v01_OutScholar*INDEX(LM_Scholar,G1629)+INDEX(v01_ResearcherShare,G1629)*v01_OutResearcher*INDEX(LM_Researcher,G1629)))</x:f>
        <x:v>0</x:v>
      </x:c>
      <x:c r="AL1629" s="32" t="n">
        <x:f>H1629*v01_RoleScale*Arch_Roles*AE1629*INDEX(v01_MonasteryPerSett,G1629)*v01_OutMonastery*INDEX(LM_Monastery,G1629)</x:f>
        <x:v>0</x:v>
      </x:c>
      <x:c r="AM1629" s="32" t="n">
        <x:f>(AJ1629+AK1629+AL1629)/4*INDEX(LM_All,G1629)*INDEX(v01_Boon,G1629)*Arch_Insight</x:f>
        <x:v>0</x:v>
      </x:c>
      <x:c r="AN1629" s="32" t="n">
        <x:f>H1629*(v01_KHPerAdult*Z1629+v01_KHOfCommons*AJ1629/4*INDEX(LM_All,G1629))*v01_KHUsable*Arch_KH</x:f>
        <x:v>0</x:v>
      </x:c>
      <x:c r="AO1629" s="32" t="n">
        <x:f>MIN(AP1628+AN1629,AM1629*v01_KHMaxRatio)</x:f>
        <x:v>0</x:v>
      </x:c>
      <x:c r="AP1629" s="32" t="n">
        <x:f>AP1628+AN1629-AO1629</x:f>
        <x:v>0</x:v>
      </x:c>
      <x:c r="AQ1629" s="32" t="n">
        <x:f>AM1629+AO1629</x:f>
        <x:v>0</x:v>
      </x:c>
      <x:c r="AR1629" s="10" t="n">
        <x:f>IF(H1629=1,INDEX(v01_Req,G1629),0)</x:f>
        <x:v>0</x:v>
      </x:c>
      <x:c r="AS1629" s="32" t="n">
        <x:f>IF(H1629=1,IF(E1629=1,AS1628-AR1628,AS1628)+AQ1629,0)</x:f>
        <x:v>0</x:v>
      </x:c>
      <x:c r="AT1629" s="11" t="n">
        <x:f>IF(AR1629&gt;0,MIN(1,AS1629/AR1629),1)</x:f>
        <x:v>1</x:v>
      </x:c>
      <x:c r="AU1629" s="10" t="n">
        <x:f>AB1629/INDEX(v01_RepScale,G1629)</x:f>
        <x:v>90.09519605746344</x:v>
      </x:c>
      <x:c r="AV1629" s="32" t="n">
        <x:f>AM1629*60/v01_SeasonSeconds</x:f>
        <x:v>0</x:v>
      </x:c>
    </x:row>
    <x:row r="1630">
      <x:c r="A1630" s="8" t="n">
        <x:f>A1629+1</x:f>
        <x:v>1627</x:v>
      </x:c>
      <x:c r="B1630" s="9" t="n">
        <x:f>A1630*v01_SeasonSeconds/60</x:f>
        <x:v>406.75</x:v>
      </x:c>
      <x:c r="C1630" s="9" t="n">
        <x:f>A1630/4</x:f>
        <x:v>406.75</x:v>
      </x:c>
      <x:c r="D1630" s="8" t="n">
        <x:f>IF(MOD(A1630,4)=0,1,0)</x:f>
        <x:v>0</x:v>
      </x:c>
      <x:c r="E1630" s="8" t="n">
        <x:f>IF(AND(F1629&lt;=9,AS1629&gt;=AR1629),1,0)</x:f>
        <x:v>0</x:v>
      </x:c>
      <x:c r="F1630" s="8" t="n">
        <x:f>MIN(10,F1629+E1630)</x:f>
        <x:v>10</x:v>
      </x:c>
      <x:c r="G1630" s="8" t="n">
        <x:f>MIN(F1630,9)+1</x:f>
        <x:v>10</x:v>
      </x:c>
      <x:c r="H1630" s="8" t="n">
        <x:f>IF(F1630&lt;=9,1,0)</x:f>
        <x:v>0</x:v>
      </x:c>
      <x:c r="I1630" s="9" t="n">
        <x:f>MIN(10,F1629+IF(AR1629&gt;0,MIN(1,AS1629/AR1629),1))</x:f>
        <x:v>10</x:v>
      </x:c>
      <x:c r="J1630" s="32" t="n">
        <x:f>INDEX(v01_FoodCap,G1630)*Arch_FoodCap*EXP(v01_CapsByProject*SUMPRODUCT((Cap_Point&lt;=I1630)*(Cap_Kind="Food")*Cap_Ln))</x:f>
        <x:v>12000</x:v>
      </x:c>
      <x:c r="K1630" s="32" t="n">
        <x:f>J1630*MIN(1,v01_LeanBase*EXP(v01_CapsByProject*SUMPRODUCT((Cap_Point&lt;=I1630)*(Cap_Kind="Lean")*Cap_Ln)))</x:f>
        <x:v>12000</x:v>
      </x:c>
      <x:c r="L1630" s="10" t="n">
        <x:f>INDEX(v01_HousingCap,G1630)*EXP(v01_CapsByProject*SUMPRODUCT((Cap_Point&lt;=I1630)*(Cap_Kind="Housing")*Cap_Ln))</x:f>
        <x:v>20000</x:v>
      </x:c>
      <x:c r="M1630" s="10" t="n">
        <x:f>INDEX(v01_GroupCap,G1630)*v01_CohesionFactor*EXP(v01_CapsByProject*SUMPRODUCT((Cap_Point&lt;=I1630)*(Cap_Kind="Group")*Cap_Ln))</x:f>
        <x:v>1000000</x:v>
      </x:c>
      <x:c r="N1630" s="32" t="n">
        <x:f>MIN(J1630,L1630,M1630)</x:f>
        <x:v>12000</x:v>
      </x:c>
      <x:c r="O1630" s="10" t="n">
        <x:f>AE1629*N1630</x:f>
        <x:v>180000</x:v>
      </x:c>
      <x:c r="P1630" s="9" t="n">
        <x:f>MIN(1,(AB1629/(AE1629*IF(v01_GroupInCrowding=1,N1630,MIN(J1630,L1630))))^v01_CrowdingExp)</x:f>
        <x:v>0.00024569414295285325</x:v>
      </x:c>
      <x:c r="Q1630" s="9" t="n">
        <x:f>IF(D1630=1,INDEX(v01_WinterMult,G1630),1)</x:f>
        <x:v>1</x:v>
      </x:c>
      <x:c r="R1630" s="9" t="n">
        <x:f>H1630*Z1629*v01_WomenShare*v01_BaseFertility*INDEX(v01_FertMult,G1630)*Arch_Fertility*(1-P1630)</x:f>
        <x:v>0</x:v>
      </x:c>
      <x:c r="S1630" s="9" t="n">
        <x:f>H1630*Y1629*INDEX(v01_MortChild,G1630)/4*Q1630</x:f>
        <x:v>0</x:v>
      </x:c>
      <x:c r="T1630" s="9" t="n">
        <x:f>H1630*Z1629*INDEX(v01_MortAdult,G1630)*Arch_AdultMort/4*Q1630</x:f>
        <x:v>0</x:v>
      </x:c>
      <x:c r="U1630" s="9" t="n">
        <x:f>H1630*AA1629*INDEX(v01_MortElder,G1630)/4*Q1630</x:f>
        <x:v>0</x:v>
      </x:c>
      <x:c r="V1630" s="9" t="n">
        <x:f>H1630*MAX(0,AB1629-O1630)*v01_OvercapLoss</x:f>
        <x:v>0</x:v>
      </x:c>
      <x:c r="W1630" s="9" t="n">
        <x:f>H1630*Y1629/(v01_ChildYears*4)</x:f>
        <x:v>0</x:v>
      </x:c>
      <x:c r="X1630" s="9" t="n">
        <x:f>H1630*Z1629/(v01_AdultYears*4)</x:f>
        <x:v>0</x:v>
      </x:c>
      <x:c r="Y1630" s="32" t="n">
        <x:f>Y1629+R1630-S1630-W1630-Y1629*V1630/AB1629</x:f>
        <x:v>14306.18539759397</x:v>
      </x:c>
      <x:c r="Z1630" s="32" t="n">
        <x:f>Z1629+W1630-X1630-T1630-Z1629*V1630/AB1629</x:f>
        <x:v>19354.456567879548</x:v>
      </x:c>
      <x:c r="AA1630" s="32" t="n">
        <x:f>AA1629+X1630-U1630-AA1629*V1630/AB1629</x:f>
        <x:v>11386.956063258198</x:v>
      </x:c>
      <x:c r="AB1630" s="10" t="n">
        <x:f>Y1630+Z1630+AA1630</x:f>
        <x:v>45047.59802873172</x:v>
      </x:c>
      <x:c r="AC1630" s="8" t="n">
        <x:f>IF(AND(v01_WinterTrigger=1,D1630=1,AB1629/AE1629&gt;=K1630),1,0)</x:f>
        <x:v>0</x:v>
      </x:c>
      <x:c r="AD1630" s="8" t="n">
        <x:f>H1630*IF(AND(OR(AB1629/AE1629&gt;=v01_FissionTrigger*N1630,AC1630=1),AB1629/AE1629*v01_DaughterShare&gt;=v01_MinDaughter),MAX(1,ROUND(AE1629*v01_FissionRate,0)),0)</x:f>
        <x:v>0</x:v>
      </x:c>
      <x:c r="AE1630" s="8" t="n">
        <x:f>IF(H1630=1,MAX(1,MIN(INDEX(v01_Smax,G1630),AE1629+AD1630)),AE1629)</x:f>
        <x:v>15</x:v>
      </x:c>
      <x:c r="AF1630" s="8" t="n">
        <x:f>MAX(0,AE1630-AE1629)</x:f>
        <x:v>0</x:v>
      </x:c>
      <x:c r="AG1630" s="9" t="str">
        <x:f>IF(AF1630&gt;0,B1630,"")</x:f>
      </x:c>
      <x:c r="AH1630" s="9" t="n">
        <x:f>IF(F1630&gt;=1,1,(1+v01_LowTiesShare*(AE1630-1))/AE1630)</x:f>
        <x:v>1</x:v>
      </x:c>
      <x:c r="AI1630" s="32" t="n">
        <x:f>(Z1630+v01_ElderCommons*INDEX(LM_Elder,G1630)*AA1630)*AH1630</x:f>
        <x:v>64139.732591141874</x:v>
      </x:c>
      <x:c r="AJ1630" s="32" t="n">
        <x:f>H1630*v01_CommonsCoef*AI1630^v01_CommonsExp*INDEX(LM_Commons,G1630)</x:f>
        <x:v>0</x:v>
      </x:c>
      <x:c r="AK1630" s="32" t="n">
        <x:f>H1630*v01_RoleScale*Arch_Roles*(AE1630*(INDEX(v01_ElderRolePerSett,G1630)*v01_OutElder*INDEX(LM_Elder,G1630)+INDEX(v01_ShamanPerSett,G1630)*v01_OutShaman)+Z1630*(INDEX(v01_PriestShare,G1630)*v01_OutPriest+INDEX(v01_ScribeShare,G1630)*v01_OutScribe*INDEX(LM_Scribe,G1630)+INDEX(v01_ScholarShare,G1630)*v01_OutScholar*INDEX(LM_Scholar,G1630)+INDEX(v01_ResearcherShare,G1630)*v01_OutResearcher*INDEX(LM_Researcher,G1630)))</x:f>
        <x:v>0</x:v>
      </x:c>
      <x:c r="AL1630" s="32" t="n">
        <x:f>H1630*v01_RoleScale*Arch_Roles*AE1630*INDEX(v01_MonasteryPerSett,G1630)*v01_OutMonastery*INDEX(LM_Monastery,G1630)</x:f>
        <x:v>0</x:v>
      </x:c>
      <x:c r="AM1630" s="32" t="n">
        <x:f>(AJ1630+AK1630+AL1630)/4*INDEX(LM_All,G1630)*INDEX(v01_Boon,G1630)*Arch_Insight</x:f>
        <x:v>0</x:v>
      </x:c>
      <x:c r="AN1630" s="32" t="n">
        <x:f>H1630*(v01_KHPerAdult*Z1630+v01_KHOfCommons*AJ1630/4*INDEX(LM_All,G1630))*v01_KHUsable*Arch_KH</x:f>
        <x:v>0</x:v>
      </x:c>
      <x:c r="AO1630" s="32" t="n">
        <x:f>MIN(AP1629+AN1630,AM1630*v01_KHMaxRatio)</x:f>
        <x:v>0</x:v>
      </x:c>
      <x:c r="AP1630" s="32" t="n">
        <x:f>AP1629+AN1630-AO1630</x:f>
        <x:v>0</x:v>
      </x:c>
      <x:c r="AQ1630" s="32" t="n">
        <x:f>AM1630+AO1630</x:f>
        <x:v>0</x:v>
      </x:c>
      <x:c r="AR1630" s="10" t="n">
        <x:f>IF(H1630=1,INDEX(v01_Req,G1630),0)</x:f>
        <x:v>0</x:v>
      </x:c>
      <x:c r="AS1630" s="32" t="n">
        <x:f>IF(H1630=1,IF(E1630=1,AS1629-AR1629,AS1629)+AQ1630,0)</x:f>
        <x:v>0</x:v>
      </x:c>
      <x:c r="AT1630" s="11" t="n">
        <x:f>IF(AR1630&gt;0,MIN(1,AS1630/AR1630),1)</x:f>
        <x:v>1</x:v>
      </x:c>
      <x:c r="AU1630" s="10" t="n">
        <x:f>AB1630/INDEX(v01_RepScale,G1630)</x:f>
        <x:v>90.09519605746344</x:v>
      </x:c>
      <x:c r="AV1630" s="32" t="n">
        <x:f>AM1630*60/v01_SeasonSeconds</x:f>
        <x:v>0</x:v>
      </x:c>
    </x:row>
    <x:row r="1631">
      <x:c r="A1631" s="8" t="n">
        <x:f>A1630+1</x:f>
        <x:v>1628</x:v>
      </x:c>
      <x:c r="B1631" s="9" t="n">
        <x:f>A1631*v01_SeasonSeconds/60</x:f>
        <x:v>407</x:v>
      </x:c>
      <x:c r="C1631" s="9" t="n">
        <x:f>A1631/4</x:f>
        <x:v>407</x:v>
      </x:c>
      <x:c r="D1631" s="8" t="n">
        <x:f>IF(MOD(A1631,4)=0,1,0)</x:f>
        <x:v>1</x:v>
      </x:c>
      <x:c r="E1631" s="8" t="n">
        <x:f>IF(AND(F1630&lt;=9,AS1630&gt;=AR1630),1,0)</x:f>
        <x:v>0</x:v>
      </x:c>
      <x:c r="F1631" s="8" t="n">
        <x:f>MIN(10,F1630+E1631)</x:f>
        <x:v>10</x:v>
      </x:c>
      <x:c r="G1631" s="8" t="n">
        <x:f>MIN(F1631,9)+1</x:f>
        <x:v>10</x:v>
      </x:c>
      <x:c r="H1631" s="8" t="n">
        <x:f>IF(F1631&lt;=9,1,0)</x:f>
        <x:v>0</x:v>
      </x:c>
      <x:c r="I1631" s="9" t="n">
        <x:f>MIN(10,F1630+IF(AR1630&gt;0,MIN(1,AS1630/AR1630),1))</x:f>
        <x:v>10</x:v>
      </x:c>
      <x:c r="J1631" s="32" t="n">
        <x:f>INDEX(v01_FoodCap,G1631)*Arch_FoodCap*EXP(v01_CapsByProject*SUMPRODUCT((Cap_Point&lt;=I1631)*(Cap_Kind="Food")*Cap_Ln))</x:f>
        <x:v>12000</x:v>
      </x:c>
      <x:c r="K1631" s="32" t="n">
        <x:f>J1631*MIN(1,v01_LeanBase*EXP(v01_CapsByProject*SUMPRODUCT((Cap_Point&lt;=I1631)*(Cap_Kind="Lean")*Cap_Ln)))</x:f>
        <x:v>12000</x:v>
      </x:c>
      <x:c r="L1631" s="10" t="n">
        <x:f>INDEX(v01_HousingCap,G1631)*EXP(v01_CapsByProject*SUMPRODUCT((Cap_Point&lt;=I1631)*(Cap_Kind="Housing")*Cap_Ln))</x:f>
        <x:v>20000</x:v>
      </x:c>
      <x:c r="M1631" s="10" t="n">
        <x:f>INDEX(v01_GroupCap,G1631)*v01_CohesionFactor*EXP(v01_CapsByProject*SUMPRODUCT((Cap_Point&lt;=I1631)*(Cap_Kind="Group")*Cap_Ln))</x:f>
        <x:v>1000000</x:v>
      </x:c>
      <x:c r="N1631" s="32" t="n">
        <x:f>MIN(J1631,L1631,M1631)</x:f>
        <x:v>12000</x:v>
      </x:c>
      <x:c r="O1631" s="10" t="n">
        <x:f>AE1630*N1631</x:f>
        <x:v>180000</x:v>
      </x:c>
      <x:c r="P1631" s="9" t="n">
        <x:f>MIN(1,(AB1630/(AE1630*IF(v01_GroupInCrowding=1,N1631,MIN(J1631,L1631))))^v01_CrowdingExp)</x:f>
        <x:v>0.00024569414295285325</x:v>
      </x:c>
      <x:c r="Q1631" s="9" t="n">
        <x:f>IF(D1631=1,INDEX(v01_WinterMult,G1631),1)</x:f>
        <x:v>1</x:v>
      </x:c>
      <x:c r="R1631" s="9" t="n">
        <x:f>H1631*Z1630*v01_WomenShare*v01_BaseFertility*INDEX(v01_FertMult,G1631)*Arch_Fertility*(1-P1631)</x:f>
        <x:v>0</x:v>
      </x:c>
      <x:c r="S1631" s="9" t="n">
        <x:f>H1631*Y1630*INDEX(v01_MortChild,G1631)/4*Q1631</x:f>
        <x:v>0</x:v>
      </x:c>
      <x:c r="T1631" s="9" t="n">
        <x:f>H1631*Z1630*INDEX(v01_MortAdult,G1631)*Arch_AdultMort/4*Q1631</x:f>
        <x:v>0</x:v>
      </x:c>
      <x:c r="U1631" s="9" t="n">
        <x:f>H1631*AA1630*INDEX(v01_MortElder,G1631)/4*Q1631</x:f>
        <x:v>0</x:v>
      </x:c>
      <x:c r="V1631" s="9" t="n">
        <x:f>H1631*MAX(0,AB1630-O1631)*v01_OvercapLoss</x:f>
        <x:v>0</x:v>
      </x:c>
      <x:c r="W1631" s="9" t="n">
        <x:f>H1631*Y1630/(v01_ChildYears*4)</x:f>
        <x:v>0</x:v>
      </x:c>
      <x:c r="X1631" s="9" t="n">
        <x:f>H1631*Z1630/(v01_AdultYears*4)</x:f>
        <x:v>0</x:v>
      </x:c>
      <x:c r="Y1631" s="32" t="n">
        <x:f>Y1630+R1631-S1631-W1631-Y1630*V1631/AB1630</x:f>
        <x:v>14306.18539759397</x:v>
      </x:c>
      <x:c r="Z1631" s="32" t="n">
        <x:f>Z1630+W1631-X1631-T1631-Z1630*V1631/AB1630</x:f>
        <x:v>19354.456567879548</x:v>
      </x:c>
      <x:c r="AA1631" s="32" t="n">
        <x:f>AA1630+X1631-U1631-AA1630*V1631/AB1630</x:f>
        <x:v>11386.956063258198</x:v>
      </x:c>
      <x:c r="AB1631" s="10" t="n">
        <x:f>Y1631+Z1631+AA1631</x:f>
        <x:v>45047.59802873172</x:v>
      </x:c>
      <x:c r="AC1631" s="8" t="n">
        <x:f>IF(AND(v01_WinterTrigger=1,D1631=1,AB1630/AE1630&gt;=K1631),1,0)</x:f>
        <x:v>0</x:v>
      </x:c>
      <x:c r="AD1631" s="8" t="n">
        <x:f>H1631*IF(AND(OR(AB1630/AE1630&gt;=v01_FissionTrigger*N1631,AC1631=1),AB1630/AE1630*v01_DaughterShare&gt;=v01_MinDaughter),MAX(1,ROUND(AE1630*v01_FissionRate,0)),0)</x:f>
        <x:v>0</x:v>
      </x:c>
      <x:c r="AE1631" s="8" t="n">
        <x:f>IF(H1631=1,MAX(1,MIN(INDEX(v01_Smax,G1631),AE1630+AD1631)),AE1630)</x:f>
        <x:v>15</x:v>
      </x:c>
      <x:c r="AF1631" s="8" t="n">
        <x:f>MAX(0,AE1631-AE1630)</x:f>
        <x:v>0</x:v>
      </x:c>
      <x:c r="AG1631" s="9" t="str">
        <x:f>IF(AF1631&gt;0,B1631,"")</x:f>
      </x:c>
      <x:c r="AH1631" s="9" t="n">
        <x:f>IF(F1631&gt;=1,1,(1+v01_LowTiesShare*(AE1631-1))/AE1631)</x:f>
        <x:v>1</x:v>
      </x:c>
      <x:c r="AI1631" s="32" t="n">
        <x:f>(Z1631+v01_ElderCommons*INDEX(LM_Elder,G1631)*AA1631)*AH1631</x:f>
        <x:v>64139.732591141874</x:v>
      </x:c>
      <x:c r="AJ1631" s="32" t="n">
        <x:f>H1631*v01_CommonsCoef*AI1631^v01_CommonsExp*INDEX(LM_Commons,G1631)</x:f>
        <x:v>0</x:v>
      </x:c>
      <x:c r="AK1631" s="32" t="n">
        <x:f>H1631*v01_RoleScale*Arch_Roles*(AE1631*(INDEX(v01_ElderRolePerSett,G1631)*v01_OutElder*INDEX(LM_Elder,G1631)+INDEX(v01_ShamanPerSett,G1631)*v01_OutShaman)+Z1631*(INDEX(v01_PriestShare,G1631)*v01_OutPriest+INDEX(v01_ScribeShare,G1631)*v01_OutScribe*INDEX(LM_Scribe,G1631)+INDEX(v01_ScholarShare,G1631)*v01_OutScholar*INDEX(LM_Scholar,G1631)+INDEX(v01_ResearcherShare,G1631)*v01_OutResearcher*INDEX(LM_Researcher,G1631)))</x:f>
        <x:v>0</x:v>
      </x:c>
      <x:c r="AL1631" s="32" t="n">
        <x:f>H1631*v01_RoleScale*Arch_Roles*AE1631*INDEX(v01_MonasteryPerSett,G1631)*v01_OutMonastery*INDEX(LM_Monastery,G1631)</x:f>
        <x:v>0</x:v>
      </x:c>
      <x:c r="AM1631" s="32" t="n">
        <x:f>(AJ1631+AK1631+AL1631)/4*INDEX(LM_All,G1631)*INDEX(v01_Boon,G1631)*Arch_Insight</x:f>
        <x:v>0</x:v>
      </x:c>
      <x:c r="AN1631" s="32" t="n">
        <x:f>H1631*(v01_KHPerAdult*Z1631+v01_KHOfCommons*AJ1631/4*INDEX(LM_All,G1631))*v01_KHUsable*Arch_KH</x:f>
        <x:v>0</x:v>
      </x:c>
      <x:c r="AO1631" s="32" t="n">
        <x:f>MIN(AP1630+AN1631,AM1631*v01_KHMaxRatio)</x:f>
        <x:v>0</x:v>
      </x:c>
      <x:c r="AP1631" s="32" t="n">
        <x:f>AP1630+AN1631-AO1631</x:f>
        <x:v>0</x:v>
      </x:c>
      <x:c r="AQ1631" s="32" t="n">
        <x:f>AM1631+AO1631</x:f>
        <x:v>0</x:v>
      </x:c>
      <x:c r="AR1631" s="10" t="n">
        <x:f>IF(H1631=1,INDEX(v01_Req,G1631),0)</x:f>
        <x:v>0</x:v>
      </x:c>
      <x:c r="AS1631" s="32" t="n">
        <x:f>IF(H1631=1,IF(E1631=1,AS1630-AR1630,AS1630)+AQ1631,0)</x:f>
        <x:v>0</x:v>
      </x:c>
      <x:c r="AT1631" s="11" t="n">
        <x:f>IF(AR1631&gt;0,MIN(1,AS1631/AR1631),1)</x:f>
        <x:v>1</x:v>
      </x:c>
      <x:c r="AU1631" s="10" t="n">
        <x:f>AB1631/INDEX(v01_RepScale,G1631)</x:f>
        <x:v>90.09519605746344</x:v>
      </x:c>
      <x:c r="AV1631" s="32" t="n">
        <x:f>AM1631*60/v01_SeasonSeconds</x:f>
        <x:v>0</x:v>
      </x:c>
    </x:row>
    <x:row r="1632">
      <x:c r="A1632" s="8" t="n">
        <x:f>A1631+1</x:f>
        <x:v>1629</x:v>
      </x:c>
      <x:c r="B1632" s="9" t="n">
        <x:f>A1632*v01_SeasonSeconds/60</x:f>
        <x:v>407.25</x:v>
      </x:c>
      <x:c r="C1632" s="9" t="n">
        <x:f>A1632/4</x:f>
        <x:v>407.25</x:v>
      </x:c>
      <x:c r="D1632" s="8" t="n">
        <x:f>IF(MOD(A1632,4)=0,1,0)</x:f>
        <x:v>0</x:v>
      </x:c>
      <x:c r="E1632" s="8" t="n">
        <x:f>IF(AND(F1631&lt;=9,AS1631&gt;=AR1631),1,0)</x:f>
        <x:v>0</x:v>
      </x:c>
      <x:c r="F1632" s="8" t="n">
        <x:f>MIN(10,F1631+E1632)</x:f>
        <x:v>10</x:v>
      </x:c>
      <x:c r="G1632" s="8" t="n">
        <x:f>MIN(F1632,9)+1</x:f>
        <x:v>10</x:v>
      </x:c>
      <x:c r="H1632" s="8" t="n">
        <x:f>IF(F1632&lt;=9,1,0)</x:f>
        <x:v>0</x:v>
      </x:c>
      <x:c r="I1632" s="9" t="n">
        <x:f>MIN(10,F1631+IF(AR1631&gt;0,MIN(1,AS1631/AR1631),1))</x:f>
        <x:v>10</x:v>
      </x:c>
      <x:c r="J1632" s="32" t="n">
        <x:f>INDEX(v01_FoodCap,G1632)*Arch_FoodCap*EXP(v01_CapsByProject*SUMPRODUCT((Cap_Point&lt;=I1632)*(Cap_Kind="Food")*Cap_Ln))</x:f>
        <x:v>12000</x:v>
      </x:c>
      <x:c r="K1632" s="32" t="n">
        <x:f>J1632*MIN(1,v01_LeanBase*EXP(v01_CapsByProject*SUMPRODUCT((Cap_Point&lt;=I1632)*(Cap_Kind="Lean")*Cap_Ln)))</x:f>
        <x:v>12000</x:v>
      </x:c>
      <x:c r="L1632" s="10" t="n">
        <x:f>INDEX(v01_HousingCap,G1632)*EXP(v01_CapsByProject*SUMPRODUCT((Cap_Point&lt;=I1632)*(Cap_Kind="Housing")*Cap_Ln))</x:f>
        <x:v>20000</x:v>
      </x:c>
      <x:c r="M1632" s="10" t="n">
        <x:f>INDEX(v01_GroupCap,G1632)*v01_CohesionFactor*EXP(v01_CapsByProject*SUMPRODUCT((Cap_Point&lt;=I1632)*(Cap_Kind="Group")*Cap_Ln))</x:f>
        <x:v>1000000</x:v>
      </x:c>
      <x:c r="N1632" s="32" t="n">
        <x:f>MIN(J1632,L1632,M1632)</x:f>
        <x:v>12000</x:v>
      </x:c>
      <x:c r="O1632" s="10" t="n">
        <x:f>AE1631*N1632</x:f>
        <x:v>180000</x:v>
      </x:c>
      <x:c r="P1632" s="9" t="n">
        <x:f>MIN(1,(AB1631/(AE1631*IF(v01_GroupInCrowding=1,N1632,MIN(J1632,L1632))))^v01_CrowdingExp)</x:f>
        <x:v>0.00024569414295285325</x:v>
      </x:c>
      <x:c r="Q1632" s="9" t="n">
        <x:f>IF(D1632=1,INDEX(v01_WinterMult,G1632),1)</x:f>
        <x:v>1</x:v>
      </x:c>
      <x:c r="R1632" s="9" t="n">
        <x:f>H1632*Z1631*v01_WomenShare*v01_BaseFertility*INDEX(v01_FertMult,G1632)*Arch_Fertility*(1-P1632)</x:f>
        <x:v>0</x:v>
      </x:c>
      <x:c r="S1632" s="9" t="n">
        <x:f>H1632*Y1631*INDEX(v01_MortChild,G1632)/4*Q1632</x:f>
        <x:v>0</x:v>
      </x:c>
      <x:c r="T1632" s="9" t="n">
        <x:f>H1632*Z1631*INDEX(v01_MortAdult,G1632)*Arch_AdultMort/4*Q1632</x:f>
        <x:v>0</x:v>
      </x:c>
      <x:c r="U1632" s="9" t="n">
        <x:f>H1632*AA1631*INDEX(v01_MortElder,G1632)/4*Q1632</x:f>
        <x:v>0</x:v>
      </x:c>
      <x:c r="V1632" s="9" t="n">
        <x:f>H1632*MAX(0,AB1631-O1632)*v01_OvercapLoss</x:f>
        <x:v>0</x:v>
      </x:c>
      <x:c r="W1632" s="9" t="n">
        <x:f>H1632*Y1631/(v01_ChildYears*4)</x:f>
        <x:v>0</x:v>
      </x:c>
      <x:c r="X1632" s="9" t="n">
        <x:f>H1632*Z1631/(v01_AdultYears*4)</x:f>
        <x:v>0</x:v>
      </x:c>
      <x:c r="Y1632" s="32" t="n">
        <x:f>Y1631+R1632-S1632-W1632-Y1631*V1632/AB1631</x:f>
        <x:v>14306.18539759397</x:v>
      </x:c>
      <x:c r="Z1632" s="32" t="n">
        <x:f>Z1631+W1632-X1632-T1632-Z1631*V1632/AB1631</x:f>
        <x:v>19354.456567879548</x:v>
      </x:c>
      <x:c r="AA1632" s="32" t="n">
        <x:f>AA1631+X1632-U1632-AA1631*V1632/AB1631</x:f>
        <x:v>11386.956063258198</x:v>
      </x:c>
      <x:c r="AB1632" s="10" t="n">
        <x:f>Y1632+Z1632+AA1632</x:f>
        <x:v>45047.59802873172</x:v>
      </x:c>
      <x:c r="AC1632" s="8" t="n">
        <x:f>IF(AND(v01_WinterTrigger=1,D1632=1,AB1631/AE1631&gt;=K1632),1,0)</x:f>
        <x:v>0</x:v>
      </x:c>
      <x:c r="AD1632" s="8" t="n">
        <x:f>H1632*IF(AND(OR(AB1631/AE1631&gt;=v01_FissionTrigger*N1632,AC1632=1),AB1631/AE1631*v01_DaughterShare&gt;=v01_MinDaughter),MAX(1,ROUND(AE1631*v01_FissionRate,0)),0)</x:f>
        <x:v>0</x:v>
      </x:c>
      <x:c r="AE1632" s="8" t="n">
        <x:f>IF(H1632=1,MAX(1,MIN(INDEX(v01_Smax,G1632),AE1631+AD1632)),AE1631)</x:f>
        <x:v>15</x:v>
      </x:c>
      <x:c r="AF1632" s="8" t="n">
        <x:f>MAX(0,AE1632-AE1631)</x:f>
        <x:v>0</x:v>
      </x:c>
      <x:c r="AG1632" s="9" t="str">
        <x:f>IF(AF1632&gt;0,B1632,"")</x:f>
      </x:c>
      <x:c r="AH1632" s="9" t="n">
        <x:f>IF(F1632&gt;=1,1,(1+v01_LowTiesShare*(AE1632-1))/AE1632)</x:f>
        <x:v>1</x:v>
      </x:c>
      <x:c r="AI1632" s="32" t="n">
        <x:f>(Z1632+v01_ElderCommons*INDEX(LM_Elder,G1632)*AA1632)*AH1632</x:f>
        <x:v>64139.732591141874</x:v>
      </x:c>
      <x:c r="AJ1632" s="32" t="n">
        <x:f>H1632*v01_CommonsCoef*AI1632^v01_CommonsExp*INDEX(LM_Commons,G1632)</x:f>
        <x:v>0</x:v>
      </x:c>
      <x:c r="AK1632" s="32" t="n">
        <x:f>H1632*v01_RoleScale*Arch_Roles*(AE1632*(INDEX(v01_ElderRolePerSett,G1632)*v01_OutElder*INDEX(LM_Elder,G1632)+INDEX(v01_ShamanPerSett,G1632)*v01_OutShaman)+Z1632*(INDEX(v01_PriestShare,G1632)*v01_OutPriest+INDEX(v01_ScribeShare,G1632)*v01_OutScribe*INDEX(LM_Scribe,G1632)+INDEX(v01_ScholarShare,G1632)*v01_OutScholar*INDEX(LM_Scholar,G1632)+INDEX(v01_ResearcherShare,G1632)*v01_OutResearcher*INDEX(LM_Researcher,G1632)))</x:f>
        <x:v>0</x:v>
      </x:c>
      <x:c r="AL1632" s="32" t="n">
        <x:f>H1632*v01_RoleScale*Arch_Roles*AE1632*INDEX(v01_MonasteryPerSett,G1632)*v01_OutMonastery*INDEX(LM_Monastery,G1632)</x:f>
        <x:v>0</x:v>
      </x:c>
      <x:c r="AM1632" s="32" t="n">
        <x:f>(AJ1632+AK1632+AL1632)/4*INDEX(LM_All,G1632)*INDEX(v01_Boon,G1632)*Arch_Insight</x:f>
        <x:v>0</x:v>
      </x:c>
      <x:c r="AN1632" s="32" t="n">
        <x:f>H1632*(v01_KHPerAdult*Z1632+v01_KHOfCommons*AJ1632/4*INDEX(LM_All,G1632))*v01_KHUsable*Arch_KH</x:f>
        <x:v>0</x:v>
      </x:c>
      <x:c r="AO1632" s="32" t="n">
        <x:f>MIN(AP1631+AN1632,AM1632*v01_KHMaxRatio)</x:f>
        <x:v>0</x:v>
      </x:c>
      <x:c r="AP1632" s="32" t="n">
        <x:f>AP1631+AN1632-AO1632</x:f>
        <x:v>0</x:v>
      </x:c>
      <x:c r="AQ1632" s="32" t="n">
        <x:f>AM1632+AO1632</x:f>
        <x:v>0</x:v>
      </x:c>
      <x:c r="AR1632" s="10" t="n">
        <x:f>IF(H1632=1,INDEX(v01_Req,G1632),0)</x:f>
        <x:v>0</x:v>
      </x:c>
      <x:c r="AS1632" s="32" t="n">
        <x:f>IF(H1632=1,IF(E1632=1,AS1631-AR1631,AS1631)+AQ1632,0)</x:f>
        <x:v>0</x:v>
      </x:c>
      <x:c r="AT1632" s="11" t="n">
        <x:f>IF(AR1632&gt;0,MIN(1,AS1632/AR1632),1)</x:f>
        <x:v>1</x:v>
      </x:c>
      <x:c r="AU1632" s="10" t="n">
        <x:f>AB1632/INDEX(v01_RepScale,G1632)</x:f>
        <x:v>90.09519605746344</x:v>
      </x:c>
      <x:c r="AV1632" s="32" t="n">
        <x:f>AM1632*60/v01_SeasonSeconds</x:f>
        <x:v>0</x:v>
      </x:c>
    </x:row>
    <x:row r="1633">
      <x:c r="A1633" s="8" t="n">
        <x:f>A1632+1</x:f>
        <x:v>1630</x:v>
      </x:c>
      <x:c r="B1633" s="9" t="n">
        <x:f>A1633*v01_SeasonSeconds/60</x:f>
        <x:v>407.5</x:v>
      </x:c>
      <x:c r="C1633" s="9" t="n">
        <x:f>A1633/4</x:f>
        <x:v>407.5</x:v>
      </x:c>
      <x:c r="D1633" s="8" t="n">
        <x:f>IF(MOD(A1633,4)=0,1,0)</x:f>
        <x:v>0</x:v>
      </x:c>
      <x:c r="E1633" s="8" t="n">
        <x:f>IF(AND(F1632&lt;=9,AS1632&gt;=AR1632),1,0)</x:f>
        <x:v>0</x:v>
      </x:c>
      <x:c r="F1633" s="8" t="n">
        <x:f>MIN(10,F1632+E1633)</x:f>
        <x:v>10</x:v>
      </x:c>
      <x:c r="G1633" s="8" t="n">
        <x:f>MIN(F1633,9)+1</x:f>
        <x:v>10</x:v>
      </x:c>
      <x:c r="H1633" s="8" t="n">
        <x:f>IF(F1633&lt;=9,1,0)</x:f>
        <x:v>0</x:v>
      </x:c>
      <x:c r="I1633" s="9" t="n">
        <x:f>MIN(10,F1632+IF(AR1632&gt;0,MIN(1,AS1632/AR1632),1))</x:f>
        <x:v>10</x:v>
      </x:c>
      <x:c r="J1633" s="32" t="n">
        <x:f>INDEX(v01_FoodCap,G1633)*Arch_FoodCap*EXP(v01_CapsByProject*SUMPRODUCT((Cap_Point&lt;=I1633)*(Cap_Kind="Food")*Cap_Ln))</x:f>
        <x:v>12000</x:v>
      </x:c>
      <x:c r="K1633" s="32" t="n">
        <x:f>J1633*MIN(1,v01_LeanBase*EXP(v01_CapsByProject*SUMPRODUCT((Cap_Point&lt;=I1633)*(Cap_Kind="Lean")*Cap_Ln)))</x:f>
        <x:v>12000</x:v>
      </x:c>
      <x:c r="L1633" s="10" t="n">
        <x:f>INDEX(v01_HousingCap,G1633)*EXP(v01_CapsByProject*SUMPRODUCT((Cap_Point&lt;=I1633)*(Cap_Kind="Housing")*Cap_Ln))</x:f>
        <x:v>20000</x:v>
      </x:c>
      <x:c r="M1633" s="10" t="n">
        <x:f>INDEX(v01_GroupCap,G1633)*v01_CohesionFactor*EXP(v01_CapsByProject*SUMPRODUCT((Cap_Point&lt;=I1633)*(Cap_Kind="Group")*Cap_Ln))</x:f>
        <x:v>1000000</x:v>
      </x:c>
      <x:c r="N1633" s="32" t="n">
        <x:f>MIN(J1633,L1633,M1633)</x:f>
        <x:v>12000</x:v>
      </x:c>
      <x:c r="O1633" s="10" t="n">
        <x:f>AE1632*N1633</x:f>
        <x:v>180000</x:v>
      </x:c>
      <x:c r="P1633" s="9" t="n">
        <x:f>MIN(1,(AB1632/(AE1632*IF(v01_GroupInCrowding=1,N1633,MIN(J1633,L1633))))^v01_CrowdingExp)</x:f>
        <x:v>0.00024569414295285325</x:v>
      </x:c>
      <x:c r="Q1633" s="9" t="n">
        <x:f>IF(D1633=1,INDEX(v01_WinterMult,G1633),1)</x:f>
        <x:v>1</x:v>
      </x:c>
      <x:c r="R1633" s="9" t="n">
        <x:f>H1633*Z1632*v01_WomenShare*v01_BaseFertility*INDEX(v01_FertMult,G1633)*Arch_Fertility*(1-P1633)</x:f>
        <x:v>0</x:v>
      </x:c>
      <x:c r="S1633" s="9" t="n">
        <x:f>H1633*Y1632*INDEX(v01_MortChild,G1633)/4*Q1633</x:f>
        <x:v>0</x:v>
      </x:c>
      <x:c r="T1633" s="9" t="n">
        <x:f>H1633*Z1632*INDEX(v01_MortAdult,G1633)*Arch_AdultMort/4*Q1633</x:f>
        <x:v>0</x:v>
      </x:c>
      <x:c r="U1633" s="9" t="n">
        <x:f>H1633*AA1632*INDEX(v01_MortElder,G1633)/4*Q1633</x:f>
        <x:v>0</x:v>
      </x:c>
      <x:c r="V1633" s="9" t="n">
        <x:f>H1633*MAX(0,AB1632-O1633)*v01_OvercapLoss</x:f>
        <x:v>0</x:v>
      </x:c>
      <x:c r="W1633" s="9" t="n">
        <x:f>H1633*Y1632/(v01_ChildYears*4)</x:f>
        <x:v>0</x:v>
      </x:c>
      <x:c r="X1633" s="9" t="n">
        <x:f>H1633*Z1632/(v01_AdultYears*4)</x:f>
        <x:v>0</x:v>
      </x:c>
      <x:c r="Y1633" s="32" t="n">
        <x:f>Y1632+R1633-S1633-W1633-Y1632*V1633/AB1632</x:f>
        <x:v>14306.18539759397</x:v>
      </x:c>
      <x:c r="Z1633" s="32" t="n">
        <x:f>Z1632+W1633-X1633-T1633-Z1632*V1633/AB1632</x:f>
        <x:v>19354.456567879548</x:v>
      </x:c>
      <x:c r="AA1633" s="32" t="n">
        <x:f>AA1632+X1633-U1633-AA1632*V1633/AB1632</x:f>
        <x:v>11386.956063258198</x:v>
      </x:c>
      <x:c r="AB1633" s="10" t="n">
        <x:f>Y1633+Z1633+AA1633</x:f>
        <x:v>45047.59802873172</x:v>
      </x:c>
      <x:c r="AC1633" s="8" t="n">
        <x:f>IF(AND(v01_WinterTrigger=1,D1633=1,AB1632/AE1632&gt;=K1633),1,0)</x:f>
        <x:v>0</x:v>
      </x:c>
      <x:c r="AD1633" s="8" t="n">
        <x:f>H1633*IF(AND(OR(AB1632/AE1632&gt;=v01_FissionTrigger*N1633,AC1633=1),AB1632/AE1632*v01_DaughterShare&gt;=v01_MinDaughter),MAX(1,ROUND(AE1632*v01_FissionRate,0)),0)</x:f>
        <x:v>0</x:v>
      </x:c>
      <x:c r="AE1633" s="8" t="n">
        <x:f>IF(H1633=1,MAX(1,MIN(INDEX(v01_Smax,G1633),AE1632+AD1633)),AE1632)</x:f>
        <x:v>15</x:v>
      </x:c>
      <x:c r="AF1633" s="8" t="n">
        <x:f>MAX(0,AE1633-AE1632)</x:f>
        <x:v>0</x:v>
      </x:c>
      <x:c r="AG1633" s="9" t="str">
        <x:f>IF(AF1633&gt;0,B1633,"")</x:f>
      </x:c>
      <x:c r="AH1633" s="9" t="n">
        <x:f>IF(F1633&gt;=1,1,(1+v01_LowTiesShare*(AE1633-1))/AE1633)</x:f>
        <x:v>1</x:v>
      </x:c>
      <x:c r="AI1633" s="32" t="n">
        <x:f>(Z1633+v01_ElderCommons*INDEX(LM_Elder,G1633)*AA1633)*AH1633</x:f>
        <x:v>64139.732591141874</x:v>
      </x:c>
      <x:c r="AJ1633" s="32" t="n">
        <x:f>H1633*v01_CommonsCoef*AI1633^v01_CommonsExp*INDEX(LM_Commons,G1633)</x:f>
        <x:v>0</x:v>
      </x:c>
      <x:c r="AK1633" s="32" t="n">
        <x:f>H1633*v01_RoleScale*Arch_Roles*(AE1633*(INDEX(v01_ElderRolePerSett,G1633)*v01_OutElder*INDEX(LM_Elder,G1633)+INDEX(v01_ShamanPerSett,G1633)*v01_OutShaman)+Z1633*(INDEX(v01_PriestShare,G1633)*v01_OutPriest+INDEX(v01_ScribeShare,G1633)*v01_OutScribe*INDEX(LM_Scribe,G1633)+INDEX(v01_ScholarShare,G1633)*v01_OutScholar*INDEX(LM_Scholar,G1633)+INDEX(v01_ResearcherShare,G1633)*v01_OutResearcher*INDEX(LM_Researcher,G1633)))</x:f>
        <x:v>0</x:v>
      </x:c>
      <x:c r="AL1633" s="32" t="n">
        <x:f>H1633*v01_RoleScale*Arch_Roles*AE1633*INDEX(v01_MonasteryPerSett,G1633)*v01_OutMonastery*INDEX(LM_Monastery,G1633)</x:f>
        <x:v>0</x:v>
      </x:c>
      <x:c r="AM1633" s="32" t="n">
        <x:f>(AJ1633+AK1633+AL1633)/4*INDEX(LM_All,G1633)*INDEX(v01_Boon,G1633)*Arch_Insight</x:f>
        <x:v>0</x:v>
      </x:c>
      <x:c r="AN1633" s="32" t="n">
        <x:f>H1633*(v01_KHPerAdult*Z1633+v01_KHOfCommons*AJ1633/4*INDEX(LM_All,G1633))*v01_KHUsable*Arch_KH</x:f>
        <x:v>0</x:v>
      </x:c>
      <x:c r="AO1633" s="32" t="n">
        <x:f>MIN(AP1632+AN1633,AM1633*v01_KHMaxRatio)</x:f>
        <x:v>0</x:v>
      </x:c>
      <x:c r="AP1633" s="32" t="n">
        <x:f>AP1632+AN1633-AO1633</x:f>
        <x:v>0</x:v>
      </x:c>
      <x:c r="AQ1633" s="32" t="n">
        <x:f>AM1633+AO1633</x:f>
        <x:v>0</x:v>
      </x:c>
      <x:c r="AR1633" s="10" t="n">
        <x:f>IF(H1633=1,INDEX(v01_Req,G1633),0)</x:f>
        <x:v>0</x:v>
      </x:c>
      <x:c r="AS1633" s="32" t="n">
        <x:f>IF(H1633=1,IF(E1633=1,AS1632-AR1632,AS1632)+AQ1633,0)</x:f>
        <x:v>0</x:v>
      </x:c>
      <x:c r="AT1633" s="11" t="n">
        <x:f>IF(AR1633&gt;0,MIN(1,AS1633/AR1633),1)</x:f>
        <x:v>1</x:v>
      </x:c>
      <x:c r="AU1633" s="10" t="n">
        <x:f>AB1633/INDEX(v01_RepScale,G1633)</x:f>
        <x:v>90.09519605746344</x:v>
      </x:c>
      <x:c r="AV1633" s="32" t="n">
        <x:f>AM1633*60/v01_SeasonSeconds</x:f>
        <x:v>0</x:v>
      </x:c>
    </x:row>
    <x:row r="1634">
      <x:c r="A1634" s="8" t="n">
        <x:f>A1633+1</x:f>
        <x:v>1631</x:v>
      </x:c>
      <x:c r="B1634" s="9" t="n">
        <x:f>A1634*v01_SeasonSeconds/60</x:f>
        <x:v>407.75</x:v>
      </x:c>
      <x:c r="C1634" s="9" t="n">
        <x:f>A1634/4</x:f>
        <x:v>407.75</x:v>
      </x:c>
      <x:c r="D1634" s="8" t="n">
        <x:f>IF(MOD(A1634,4)=0,1,0)</x:f>
        <x:v>0</x:v>
      </x:c>
      <x:c r="E1634" s="8" t="n">
        <x:f>IF(AND(F1633&lt;=9,AS1633&gt;=AR1633),1,0)</x:f>
        <x:v>0</x:v>
      </x:c>
      <x:c r="F1634" s="8" t="n">
        <x:f>MIN(10,F1633+E1634)</x:f>
        <x:v>10</x:v>
      </x:c>
      <x:c r="G1634" s="8" t="n">
        <x:f>MIN(F1634,9)+1</x:f>
        <x:v>10</x:v>
      </x:c>
      <x:c r="H1634" s="8" t="n">
        <x:f>IF(F1634&lt;=9,1,0)</x:f>
        <x:v>0</x:v>
      </x:c>
      <x:c r="I1634" s="9" t="n">
        <x:f>MIN(10,F1633+IF(AR1633&gt;0,MIN(1,AS1633/AR1633),1))</x:f>
        <x:v>10</x:v>
      </x:c>
      <x:c r="J1634" s="32" t="n">
        <x:f>INDEX(v01_FoodCap,G1634)*Arch_FoodCap*EXP(v01_CapsByProject*SUMPRODUCT((Cap_Point&lt;=I1634)*(Cap_Kind="Food")*Cap_Ln))</x:f>
        <x:v>12000</x:v>
      </x:c>
      <x:c r="K1634" s="32" t="n">
        <x:f>J1634*MIN(1,v01_LeanBase*EXP(v01_CapsByProject*SUMPRODUCT((Cap_Point&lt;=I1634)*(Cap_Kind="Lean")*Cap_Ln)))</x:f>
        <x:v>12000</x:v>
      </x:c>
      <x:c r="L1634" s="10" t="n">
        <x:f>INDEX(v01_HousingCap,G1634)*EXP(v01_CapsByProject*SUMPRODUCT((Cap_Point&lt;=I1634)*(Cap_Kind="Housing")*Cap_Ln))</x:f>
        <x:v>20000</x:v>
      </x:c>
      <x:c r="M1634" s="10" t="n">
        <x:f>INDEX(v01_GroupCap,G1634)*v01_CohesionFactor*EXP(v01_CapsByProject*SUMPRODUCT((Cap_Point&lt;=I1634)*(Cap_Kind="Group")*Cap_Ln))</x:f>
        <x:v>1000000</x:v>
      </x:c>
      <x:c r="N1634" s="32" t="n">
        <x:f>MIN(J1634,L1634,M1634)</x:f>
        <x:v>12000</x:v>
      </x:c>
      <x:c r="O1634" s="10" t="n">
        <x:f>AE1633*N1634</x:f>
        <x:v>180000</x:v>
      </x:c>
      <x:c r="P1634" s="9" t="n">
        <x:f>MIN(1,(AB1633/(AE1633*IF(v01_GroupInCrowding=1,N1634,MIN(J1634,L1634))))^v01_CrowdingExp)</x:f>
        <x:v>0.00024569414295285325</x:v>
      </x:c>
      <x:c r="Q1634" s="9" t="n">
        <x:f>IF(D1634=1,INDEX(v01_WinterMult,G1634),1)</x:f>
        <x:v>1</x:v>
      </x:c>
      <x:c r="R1634" s="9" t="n">
        <x:f>H1634*Z1633*v01_WomenShare*v01_BaseFertility*INDEX(v01_FertMult,G1634)*Arch_Fertility*(1-P1634)</x:f>
        <x:v>0</x:v>
      </x:c>
      <x:c r="S1634" s="9" t="n">
        <x:f>H1634*Y1633*INDEX(v01_MortChild,G1634)/4*Q1634</x:f>
        <x:v>0</x:v>
      </x:c>
      <x:c r="T1634" s="9" t="n">
        <x:f>H1634*Z1633*INDEX(v01_MortAdult,G1634)*Arch_AdultMort/4*Q1634</x:f>
        <x:v>0</x:v>
      </x:c>
      <x:c r="U1634" s="9" t="n">
        <x:f>H1634*AA1633*INDEX(v01_MortElder,G1634)/4*Q1634</x:f>
        <x:v>0</x:v>
      </x:c>
      <x:c r="V1634" s="9" t="n">
        <x:f>H1634*MAX(0,AB1633-O1634)*v01_OvercapLoss</x:f>
        <x:v>0</x:v>
      </x:c>
      <x:c r="W1634" s="9" t="n">
        <x:f>H1634*Y1633/(v01_ChildYears*4)</x:f>
        <x:v>0</x:v>
      </x:c>
      <x:c r="X1634" s="9" t="n">
        <x:f>H1634*Z1633/(v01_AdultYears*4)</x:f>
        <x:v>0</x:v>
      </x:c>
      <x:c r="Y1634" s="32" t="n">
        <x:f>Y1633+R1634-S1634-W1634-Y1633*V1634/AB1633</x:f>
        <x:v>14306.18539759397</x:v>
      </x:c>
      <x:c r="Z1634" s="32" t="n">
        <x:f>Z1633+W1634-X1634-T1634-Z1633*V1634/AB1633</x:f>
        <x:v>19354.456567879548</x:v>
      </x:c>
      <x:c r="AA1634" s="32" t="n">
        <x:f>AA1633+X1634-U1634-AA1633*V1634/AB1633</x:f>
        <x:v>11386.956063258198</x:v>
      </x:c>
      <x:c r="AB1634" s="10" t="n">
        <x:f>Y1634+Z1634+AA1634</x:f>
        <x:v>45047.59802873172</x:v>
      </x:c>
      <x:c r="AC1634" s="8" t="n">
        <x:f>IF(AND(v01_WinterTrigger=1,D1634=1,AB1633/AE1633&gt;=K1634),1,0)</x:f>
        <x:v>0</x:v>
      </x:c>
      <x:c r="AD1634" s="8" t="n">
        <x:f>H1634*IF(AND(OR(AB1633/AE1633&gt;=v01_FissionTrigger*N1634,AC1634=1),AB1633/AE1633*v01_DaughterShare&gt;=v01_MinDaughter),MAX(1,ROUND(AE1633*v01_FissionRate,0)),0)</x:f>
        <x:v>0</x:v>
      </x:c>
      <x:c r="AE1634" s="8" t="n">
        <x:f>IF(H1634=1,MAX(1,MIN(INDEX(v01_Smax,G1634),AE1633+AD1634)),AE1633)</x:f>
        <x:v>15</x:v>
      </x:c>
      <x:c r="AF1634" s="8" t="n">
        <x:f>MAX(0,AE1634-AE1633)</x:f>
        <x:v>0</x:v>
      </x:c>
      <x:c r="AG1634" s="9" t="str">
        <x:f>IF(AF1634&gt;0,B1634,"")</x:f>
      </x:c>
      <x:c r="AH1634" s="9" t="n">
        <x:f>IF(F1634&gt;=1,1,(1+v01_LowTiesShare*(AE1634-1))/AE1634)</x:f>
        <x:v>1</x:v>
      </x:c>
      <x:c r="AI1634" s="32" t="n">
        <x:f>(Z1634+v01_ElderCommons*INDEX(LM_Elder,G1634)*AA1634)*AH1634</x:f>
        <x:v>64139.732591141874</x:v>
      </x:c>
      <x:c r="AJ1634" s="32" t="n">
        <x:f>H1634*v01_CommonsCoef*AI1634^v01_CommonsExp*INDEX(LM_Commons,G1634)</x:f>
        <x:v>0</x:v>
      </x:c>
      <x:c r="AK1634" s="32" t="n">
        <x:f>H1634*v01_RoleScale*Arch_Roles*(AE1634*(INDEX(v01_ElderRolePerSett,G1634)*v01_OutElder*INDEX(LM_Elder,G1634)+INDEX(v01_ShamanPerSett,G1634)*v01_OutShaman)+Z1634*(INDEX(v01_PriestShare,G1634)*v01_OutPriest+INDEX(v01_ScribeShare,G1634)*v01_OutScribe*INDEX(LM_Scribe,G1634)+INDEX(v01_ScholarShare,G1634)*v01_OutScholar*INDEX(LM_Scholar,G1634)+INDEX(v01_ResearcherShare,G1634)*v01_OutResearcher*INDEX(LM_Researcher,G1634)))</x:f>
        <x:v>0</x:v>
      </x:c>
      <x:c r="AL1634" s="32" t="n">
        <x:f>H1634*v01_RoleScale*Arch_Roles*AE1634*INDEX(v01_MonasteryPerSett,G1634)*v01_OutMonastery*INDEX(LM_Monastery,G1634)</x:f>
        <x:v>0</x:v>
      </x:c>
      <x:c r="AM1634" s="32" t="n">
        <x:f>(AJ1634+AK1634+AL1634)/4*INDEX(LM_All,G1634)*INDEX(v01_Boon,G1634)*Arch_Insight</x:f>
        <x:v>0</x:v>
      </x:c>
      <x:c r="AN1634" s="32" t="n">
        <x:f>H1634*(v01_KHPerAdult*Z1634+v01_KHOfCommons*AJ1634/4*INDEX(LM_All,G1634))*v01_KHUsable*Arch_KH</x:f>
        <x:v>0</x:v>
      </x:c>
      <x:c r="AO1634" s="32" t="n">
        <x:f>MIN(AP1633+AN1634,AM1634*v01_KHMaxRatio)</x:f>
        <x:v>0</x:v>
      </x:c>
      <x:c r="AP1634" s="32" t="n">
        <x:f>AP1633+AN1634-AO1634</x:f>
        <x:v>0</x:v>
      </x:c>
      <x:c r="AQ1634" s="32" t="n">
        <x:f>AM1634+AO1634</x:f>
        <x:v>0</x:v>
      </x:c>
      <x:c r="AR1634" s="10" t="n">
        <x:f>IF(H1634=1,INDEX(v01_Req,G1634),0)</x:f>
        <x:v>0</x:v>
      </x:c>
      <x:c r="AS1634" s="32" t="n">
        <x:f>IF(H1634=1,IF(E1634=1,AS1633-AR1633,AS1633)+AQ1634,0)</x:f>
        <x:v>0</x:v>
      </x:c>
      <x:c r="AT1634" s="11" t="n">
        <x:f>IF(AR1634&gt;0,MIN(1,AS1634/AR1634),1)</x:f>
        <x:v>1</x:v>
      </x:c>
      <x:c r="AU1634" s="10" t="n">
        <x:f>AB1634/INDEX(v01_RepScale,G1634)</x:f>
        <x:v>90.09519605746344</x:v>
      </x:c>
      <x:c r="AV1634" s="32" t="n">
        <x:f>AM1634*60/v01_SeasonSeconds</x:f>
        <x:v>0</x:v>
      </x:c>
    </x:row>
    <x:row r="1635">
      <x:c r="A1635" s="8" t="n">
        <x:f>A1634+1</x:f>
        <x:v>1632</x:v>
      </x:c>
      <x:c r="B1635" s="9" t="n">
        <x:f>A1635*v01_SeasonSeconds/60</x:f>
        <x:v>408</x:v>
      </x:c>
      <x:c r="C1635" s="9" t="n">
        <x:f>A1635/4</x:f>
        <x:v>408</x:v>
      </x:c>
      <x:c r="D1635" s="8" t="n">
        <x:f>IF(MOD(A1635,4)=0,1,0)</x:f>
        <x:v>1</x:v>
      </x:c>
      <x:c r="E1635" s="8" t="n">
        <x:f>IF(AND(F1634&lt;=9,AS1634&gt;=AR1634),1,0)</x:f>
        <x:v>0</x:v>
      </x:c>
      <x:c r="F1635" s="8" t="n">
        <x:f>MIN(10,F1634+E1635)</x:f>
        <x:v>10</x:v>
      </x:c>
      <x:c r="G1635" s="8" t="n">
        <x:f>MIN(F1635,9)+1</x:f>
        <x:v>10</x:v>
      </x:c>
      <x:c r="H1635" s="8" t="n">
        <x:f>IF(F1635&lt;=9,1,0)</x:f>
        <x:v>0</x:v>
      </x:c>
      <x:c r="I1635" s="9" t="n">
        <x:f>MIN(10,F1634+IF(AR1634&gt;0,MIN(1,AS1634/AR1634),1))</x:f>
        <x:v>10</x:v>
      </x:c>
      <x:c r="J1635" s="32" t="n">
        <x:f>INDEX(v01_FoodCap,G1635)*Arch_FoodCap*EXP(v01_CapsByProject*SUMPRODUCT((Cap_Point&lt;=I1635)*(Cap_Kind="Food")*Cap_Ln))</x:f>
        <x:v>12000</x:v>
      </x:c>
      <x:c r="K1635" s="32" t="n">
        <x:f>J1635*MIN(1,v01_LeanBase*EXP(v01_CapsByProject*SUMPRODUCT((Cap_Point&lt;=I1635)*(Cap_Kind="Lean")*Cap_Ln)))</x:f>
        <x:v>12000</x:v>
      </x:c>
      <x:c r="L1635" s="10" t="n">
        <x:f>INDEX(v01_HousingCap,G1635)*EXP(v01_CapsByProject*SUMPRODUCT((Cap_Point&lt;=I1635)*(Cap_Kind="Housing")*Cap_Ln))</x:f>
        <x:v>20000</x:v>
      </x:c>
      <x:c r="M1635" s="10" t="n">
        <x:f>INDEX(v01_GroupCap,G1635)*v01_CohesionFactor*EXP(v01_CapsByProject*SUMPRODUCT((Cap_Point&lt;=I1635)*(Cap_Kind="Group")*Cap_Ln))</x:f>
        <x:v>1000000</x:v>
      </x:c>
      <x:c r="N1635" s="32" t="n">
        <x:f>MIN(J1635,L1635,M1635)</x:f>
        <x:v>12000</x:v>
      </x:c>
      <x:c r="O1635" s="10" t="n">
        <x:f>AE1634*N1635</x:f>
        <x:v>180000</x:v>
      </x:c>
      <x:c r="P1635" s="9" t="n">
        <x:f>MIN(1,(AB1634/(AE1634*IF(v01_GroupInCrowding=1,N1635,MIN(J1635,L1635))))^v01_CrowdingExp)</x:f>
        <x:v>0.00024569414295285325</x:v>
      </x:c>
      <x:c r="Q1635" s="9" t="n">
        <x:f>IF(D1635=1,INDEX(v01_WinterMult,G1635),1)</x:f>
        <x:v>1</x:v>
      </x:c>
      <x:c r="R1635" s="9" t="n">
        <x:f>H1635*Z1634*v01_WomenShare*v01_BaseFertility*INDEX(v01_FertMult,G1635)*Arch_Fertility*(1-P1635)</x:f>
        <x:v>0</x:v>
      </x:c>
      <x:c r="S1635" s="9" t="n">
        <x:f>H1635*Y1634*INDEX(v01_MortChild,G1635)/4*Q1635</x:f>
        <x:v>0</x:v>
      </x:c>
      <x:c r="T1635" s="9" t="n">
        <x:f>H1635*Z1634*INDEX(v01_MortAdult,G1635)*Arch_AdultMort/4*Q1635</x:f>
        <x:v>0</x:v>
      </x:c>
      <x:c r="U1635" s="9" t="n">
        <x:f>H1635*AA1634*INDEX(v01_MortElder,G1635)/4*Q1635</x:f>
        <x:v>0</x:v>
      </x:c>
      <x:c r="V1635" s="9" t="n">
        <x:f>H1635*MAX(0,AB1634-O1635)*v01_OvercapLoss</x:f>
        <x:v>0</x:v>
      </x:c>
      <x:c r="W1635" s="9" t="n">
        <x:f>H1635*Y1634/(v01_ChildYears*4)</x:f>
        <x:v>0</x:v>
      </x:c>
      <x:c r="X1635" s="9" t="n">
        <x:f>H1635*Z1634/(v01_AdultYears*4)</x:f>
        <x:v>0</x:v>
      </x:c>
      <x:c r="Y1635" s="32" t="n">
        <x:f>Y1634+R1635-S1635-W1635-Y1634*V1635/AB1634</x:f>
        <x:v>14306.18539759397</x:v>
      </x:c>
      <x:c r="Z1635" s="32" t="n">
        <x:f>Z1634+W1635-X1635-T1635-Z1634*V1635/AB1634</x:f>
        <x:v>19354.456567879548</x:v>
      </x:c>
      <x:c r="AA1635" s="32" t="n">
        <x:f>AA1634+X1635-U1635-AA1634*V1635/AB1634</x:f>
        <x:v>11386.956063258198</x:v>
      </x:c>
      <x:c r="AB1635" s="10" t="n">
        <x:f>Y1635+Z1635+AA1635</x:f>
        <x:v>45047.59802873172</x:v>
      </x:c>
      <x:c r="AC1635" s="8" t="n">
        <x:f>IF(AND(v01_WinterTrigger=1,D1635=1,AB1634/AE1634&gt;=K1635),1,0)</x:f>
        <x:v>0</x:v>
      </x:c>
      <x:c r="AD1635" s="8" t="n">
        <x:f>H1635*IF(AND(OR(AB1634/AE1634&gt;=v01_FissionTrigger*N1635,AC1635=1),AB1634/AE1634*v01_DaughterShare&gt;=v01_MinDaughter),MAX(1,ROUND(AE1634*v01_FissionRate,0)),0)</x:f>
        <x:v>0</x:v>
      </x:c>
      <x:c r="AE1635" s="8" t="n">
        <x:f>IF(H1635=1,MAX(1,MIN(INDEX(v01_Smax,G1635),AE1634+AD1635)),AE1634)</x:f>
        <x:v>15</x:v>
      </x:c>
      <x:c r="AF1635" s="8" t="n">
        <x:f>MAX(0,AE1635-AE1634)</x:f>
        <x:v>0</x:v>
      </x:c>
      <x:c r="AG1635" s="9" t="str">
        <x:f>IF(AF1635&gt;0,B1635,"")</x:f>
      </x:c>
      <x:c r="AH1635" s="9" t="n">
        <x:f>IF(F1635&gt;=1,1,(1+v01_LowTiesShare*(AE1635-1))/AE1635)</x:f>
        <x:v>1</x:v>
      </x:c>
      <x:c r="AI1635" s="32" t="n">
        <x:f>(Z1635+v01_ElderCommons*INDEX(LM_Elder,G1635)*AA1635)*AH1635</x:f>
        <x:v>64139.732591141874</x:v>
      </x:c>
      <x:c r="AJ1635" s="32" t="n">
        <x:f>H1635*v01_CommonsCoef*AI1635^v01_CommonsExp*INDEX(LM_Commons,G1635)</x:f>
        <x:v>0</x:v>
      </x:c>
      <x:c r="AK1635" s="32" t="n">
        <x:f>H1635*v01_RoleScale*Arch_Roles*(AE1635*(INDEX(v01_ElderRolePerSett,G1635)*v01_OutElder*INDEX(LM_Elder,G1635)+INDEX(v01_ShamanPerSett,G1635)*v01_OutShaman)+Z1635*(INDEX(v01_PriestShare,G1635)*v01_OutPriest+INDEX(v01_ScribeShare,G1635)*v01_OutScribe*INDEX(LM_Scribe,G1635)+INDEX(v01_ScholarShare,G1635)*v01_OutScholar*INDEX(LM_Scholar,G1635)+INDEX(v01_ResearcherShare,G1635)*v01_OutResearcher*INDEX(LM_Researcher,G1635)))</x:f>
        <x:v>0</x:v>
      </x:c>
      <x:c r="AL1635" s="32" t="n">
        <x:f>H1635*v01_RoleScale*Arch_Roles*AE1635*INDEX(v01_MonasteryPerSett,G1635)*v01_OutMonastery*INDEX(LM_Monastery,G1635)</x:f>
        <x:v>0</x:v>
      </x:c>
      <x:c r="AM1635" s="32" t="n">
        <x:f>(AJ1635+AK1635+AL1635)/4*INDEX(LM_All,G1635)*INDEX(v01_Boon,G1635)*Arch_Insight</x:f>
        <x:v>0</x:v>
      </x:c>
      <x:c r="AN1635" s="32" t="n">
        <x:f>H1635*(v01_KHPerAdult*Z1635+v01_KHOfCommons*AJ1635/4*INDEX(LM_All,G1635))*v01_KHUsable*Arch_KH</x:f>
        <x:v>0</x:v>
      </x:c>
      <x:c r="AO1635" s="32" t="n">
        <x:f>MIN(AP1634+AN1635,AM1635*v01_KHMaxRatio)</x:f>
        <x:v>0</x:v>
      </x:c>
      <x:c r="AP1635" s="32" t="n">
        <x:f>AP1634+AN1635-AO1635</x:f>
        <x:v>0</x:v>
      </x:c>
      <x:c r="AQ1635" s="32" t="n">
        <x:f>AM1635+AO1635</x:f>
        <x:v>0</x:v>
      </x:c>
      <x:c r="AR1635" s="10" t="n">
        <x:f>IF(H1635=1,INDEX(v01_Req,G1635),0)</x:f>
        <x:v>0</x:v>
      </x:c>
      <x:c r="AS1635" s="32" t="n">
        <x:f>IF(H1635=1,IF(E1635=1,AS1634-AR1634,AS1634)+AQ1635,0)</x:f>
        <x:v>0</x:v>
      </x:c>
      <x:c r="AT1635" s="11" t="n">
        <x:f>IF(AR1635&gt;0,MIN(1,AS1635/AR1635),1)</x:f>
        <x:v>1</x:v>
      </x:c>
      <x:c r="AU1635" s="10" t="n">
        <x:f>AB1635/INDEX(v01_RepScale,G1635)</x:f>
        <x:v>90.09519605746344</x:v>
      </x:c>
      <x:c r="AV1635" s="32" t="n">
        <x:f>AM1635*60/v01_SeasonSeconds</x:f>
        <x:v>0</x:v>
      </x:c>
    </x:row>
    <x:row r="1636">
      <x:c r="A1636" s="8" t="n">
        <x:f>A1635+1</x:f>
        <x:v>1633</x:v>
      </x:c>
      <x:c r="B1636" s="9" t="n">
        <x:f>A1636*v01_SeasonSeconds/60</x:f>
        <x:v>408.25</x:v>
      </x:c>
      <x:c r="C1636" s="9" t="n">
        <x:f>A1636/4</x:f>
        <x:v>408.25</x:v>
      </x:c>
      <x:c r="D1636" s="8" t="n">
        <x:f>IF(MOD(A1636,4)=0,1,0)</x:f>
        <x:v>0</x:v>
      </x:c>
      <x:c r="E1636" s="8" t="n">
        <x:f>IF(AND(F1635&lt;=9,AS1635&gt;=AR1635),1,0)</x:f>
        <x:v>0</x:v>
      </x:c>
      <x:c r="F1636" s="8" t="n">
        <x:f>MIN(10,F1635+E1636)</x:f>
        <x:v>10</x:v>
      </x:c>
      <x:c r="G1636" s="8" t="n">
        <x:f>MIN(F1636,9)+1</x:f>
        <x:v>10</x:v>
      </x:c>
      <x:c r="H1636" s="8" t="n">
        <x:f>IF(F1636&lt;=9,1,0)</x:f>
        <x:v>0</x:v>
      </x:c>
      <x:c r="I1636" s="9" t="n">
        <x:f>MIN(10,F1635+IF(AR1635&gt;0,MIN(1,AS1635/AR1635),1))</x:f>
        <x:v>10</x:v>
      </x:c>
      <x:c r="J1636" s="32" t="n">
        <x:f>INDEX(v01_FoodCap,G1636)*Arch_FoodCap*EXP(v01_CapsByProject*SUMPRODUCT((Cap_Point&lt;=I1636)*(Cap_Kind="Food")*Cap_Ln))</x:f>
        <x:v>12000</x:v>
      </x:c>
      <x:c r="K1636" s="32" t="n">
        <x:f>J1636*MIN(1,v01_LeanBase*EXP(v01_CapsByProject*SUMPRODUCT((Cap_Point&lt;=I1636)*(Cap_Kind="Lean")*Cap_Ln)))</x:f>
        <x:v>12000</x:v>
      </x:c>
      <x:c r="L1636" s="10" t="n">
        <x:f>INDEX(v01_HousingCap,G1636)*EXP(v01_CapsByProject*SUMPRODUCT((Cap_Point&lt;=I1636)*(Cap_Kind="Housing")*Cap_Ln))</x:f>
        <x:v>20000</x:v>
      </x:c>
      <x:c r="M1636" s="10" t="n">
        <x:f>INDEX(v01_GroupCap,G1636)*v01_CohesionFactor*EXP(v01_CapsByProject*SUMPRODUCT((Cap_Point&lt;=I1636)*(Cap_Kind="Group")*Cap_Ln))</x:f>
        <x:v>1000000</x:v>
      </x:c>
      <x:c r="N1636" s="32" t="n">
        <x:f>MIN(J1636,L1636,M1636)</x:f>
        <x:v>12000</x:v>
      </x:c>
      <x:c r="O1636" s="10" t="n">
        <x:f>AE1635*N1636</x:f>
        <x:v>180000</x:v>
      </x:c>
      <x:c r="P1636" s="9" t="n">
        <x:f>MIN(1,(AB1635/(AE1635*IF(v01_GroupInCrowding=1,N1636,MIN(J1636,L1636))))^v01_CrowdingExp)</x:f>
        <x:v>0.00024569414295285325</x:v>
      </x:c>
      <x:c r="Q1636" s="9" t="n">
        <x:f>IF(D1636=1,INDEX(v01_WinterMult,G1636),1)</x:f>
        <x:v>1</x:v>
      </x:c>
      <x:c r="R1636" s="9" t="n">
        <x:f>H1636*Z1635*v01_WomenShare*v01_BaseFertility*INDEX(v01_FertMult,G1636)*Arch_Fertility*(1-P1636)</x:f>
        <x:v>0</x:v>
      </x:c>
      <x:c r="S1636" s="9" t="n">
        <x:f>H1636*Y1635*INDEX(v01_MortChild,G1636)/4*Q1636</x:f>
        <x:v>0</x:v>
      </x:c>
      <x:c r="T1636" s="9" t="n">
        <x:f>H1636*Z1635*INDEX(v01_MortAdult,G1636)*Arch_AdultMort/4*Q1636</x:f>
        <x:v>0</x:v>
      </x:c>
      <x:c r="U1636" s="9" t="n">
        <x:f>H1636*AA1635*INDEX(v01_MortElder,G1636)/4*Q1636</x:f>
        <x:v>0</x:v>
      </x:c>
      <x:c r="V1636" s="9" t="n">
        <x:f>H1636*MAX(0,AB1635-O1636)*v01_OvercapLoss</x:f>
        <x:v>0</x:v>
      </x:c>
      <x:c r="W1636" s="9" t="n">
        <x:f>H1636*Y1635/(v01_ChildYears*4)</x:f>
        <x:v>0</x:v>
      </x:c>
      <x:c r="X1636" s="9" t="n">
        <x:f>H1636*Z1635/(v01_AdultYears*4)</x:f>
        <x:v>0</x:v>
      </x:c>
      <x:c r="Y1636" s="32" t="n">
        <x:f>Y1635+R1636-S1636-W1636-Y1635*V1636/AB1635</x:f>
        <x:v>14306.18539759397</x:v>
      </x:c>
      <x:c r="Z1636" s="32" t="n">
        <x:f>Z1635+W1636-X1636-T1636-Z1635*V1636/AB1635</x:f>
        <x:v>19354.456567879548</x:v>
      </x:c>
      <x:c r="AA1636" s="32" t="n">
        <x:f>AA1635+X1636-U1636-AA1635*V1636/AB1635</x:f>
        <x:v>11386.956063258198</x:v>
      </x:c>
      <x:c r="AB1636" s="10" t="n">
        <x:f>Y1636+Z1636+AA1636</x:f>
        <x:v>45047.59802873172</x:v>
      </x:c>
      <x:c r="AC1636" s="8" t="n">
        <x:f>IF(AND(v01_WinterTrigger=1,D1636=1,AB1635/AE1635&gt;=K1636),1,0)</x:f>
        <x:v>0</x:v>
      </x:c>
      <x:c r="AD1636" s="8" t="n">
        <x:f>H1636*IF(AND(OR(AB1635/AE1635&gt;=v01_FissionTrigger*N1636,AC1636=1),AB1635/AE1635*v01_DaughterShare&gt;=v01_MinDaughter),MAX(1,ROUND(AE1635*v01_FissionRate,0)),0)</x:f>
        <x:v>0</x:v>
      </x:c>
      <x:c r="AE1636" s="8" t="n">
        <x:f>IF(H1636=1,MAX(1,MIN(INDEX(v01_Smax,G1636),AE1635+AD1636)),AE1635)</x:f>
        <x:v>15</x:v>
      </x:c>
      <x:c r="AF1636" s="8" t="n">
        <x:f>MAX(0,AE1636-AE1635)</x:f>
        <x:v>0</x:v>
      </x:c>
      <x:c r="AG1636" s="9" t="str">
        <x:f>IF(AF1636&gt;0,B1636,"")</x:f>
      </x:c>
      <x:c r="AH1636" s="9" t="n">
        <x:f>IF(F1636&gt;=1,1,(1+v01_LowTiesShare*(AE1636-1))/AE1636)</x:f>
        <x:v>1</x:v>
      </x:c>
      <x:c r="AI1636" s="32" t="n">
        <x:f>(Z1636+v01_ElderCommons*INDEX(LM_Elder,G1636)*AA1636)*AH1636</x:f>
        <x:v>64139.732591141874</x:v>
      </x:c>
      <x:c r="AJ1636" s="32" t="n">
        <x:f>H1636*v01_CommonsCoef*AI1636^v01_CommonsExp*INDEX(LM_Commons,G1636)</x:f>
        <x:v>0</x:v>
      </x:c>
      <x:c r="AK1636" s="32" t="n">
        <x:f>H1636*v01_RoleScale*Arch_Roles*(AE1636*(INDEX(v01_ElderRolePerSett,G1636)*v01_OutElder*INDEX(LM_Elder,G1636)+INDEX(v01_ShamanPerSett,G1636)*v01_OutShaman)+Z1636*(INDEX(v01_PriestShare,G1636)*v01_OutPriest+INDEX(v01_ScribeShare,G1636)*v01_OutScribe*INDEX(LM_Scribe,G1636)+INDEX(v01_ScholarShare,G1636)*v01_OutScholar*INDEX(LM_Scholar,G1636)+INDEX(v01_ResearcherShare,G1636)*v01_OutResearcher*INDEX(LM_Researcher,G1636)))</x:f>
        <x:v>0</x:v>
      </x:c>
      <x:c r="AL1636" s="32" t="n">
        <x:f>H1636*v01_RoleScale*Arch_Roles*AE1636*INDEX(v01_MonasteryPerSett,G1636)*v01_OutMonastery*INDEX(LM_Monastery,G1636)</x:f>
        <x:v>0</x:v>
      </x:c>
      <x:c r="AM1636" s="32" t="n">
        <x:f>(AJ1636+AK1636+AL1636)/4*INDEX(LM_All,G1636)*INDEX(v01_Boon,G1636)*Arch_Insight</x:f>
        <x:v>0</x:v>
      </x:c>
      <x:c r="AN1636" s="32" t="n">
        <x:f>H1636*(v01_KHPerAdult*Z1636+v01_KHOfCommons*AJ1636/4*INDEX(LM_All,G1636))*v01_KHUsable*Arch_KH</x:f>
        <x:v>0</x:v>
      </x:c>
      <x:c r="AO1636" s="32" t="n">
        <x:f>MIN(AP1635+AN1636,AM1636*v01_KHMaxRatio)</x:f>
        <x:v>0</x:v>
      </x:c>
      <x:c r="AP1636" s="32" t="n">
        <x:f>AP1635+AN1636-AO1636</x:f>
        <x:v>0</x:v>
      </x:c>
      <x:c r="AQ1636" s="32" t="n">
        <x:f>AM1636+AO1636</x:f>
        <x:v>0</x:v>
      </x:c>
      <x:c r="AR1636" s="10" t="n">
        <x:f>IF(H1636=1,INDEX(v01_Req,G1636),0)</x:f>
        <x:v>0</x:v>
      </x:c>
      <x:c r="AS1636" s="32" t="n">
        <x:f>IF(H1636=1,IF(E1636=1,AS1635-AR1635,AS1635)+AQ1636,0)</x:f>
        <x:v>0</x:v>
      </x:c>
      <x:c r="AT1636" s="11" t="n">
        <x:f>IF(AR1636&gt;0,MIN(1,AS1636/AR1636),1)</x:f>
        <x:v>1</x:v>
      </x:c>
      <x:c r="AU1636" s="10" t="n">
        <x:f>AB1636/INDEX(v01_RepScale,G1636)</x:f>
        <x:v>90.09519605746344</x:v>
      </x:c>
      <x:c r="AV1636" s="32" t="n">
        <x:f>AM1636*60/v01_SeasonSeconds</x:f>
        <x:v>0</x:v>
      </x:c>
    </x:row>
    <x:row r="1637">
      <x:c r="A1637" s="8" t="n">
        <x:f>A1636+1</x:f>
        <x:v>1634</x:v>
      </x:c>
      <x:c r="B1637" s="9" t="n">
        <x:f>A1637*v01_SeasonSeconds/60</x:f>
        <x:v>408.5</x:v>
      </x:c>
      <x:c r="C1637" s="9" t="n">
        <x:f>A1637/4</x:f>
        <x:v>408.5</x:v>
      </x:c>
      <x:c r="D1637" s="8" t="n">
        <x:f>IF(MOD(A1637,4)=0,1,0)</x:f>
        <x:v>0</x:v>
      </x:c>
      <x:c r="E1637" s="8" t="n">
        <x:f>IF(AND(F1636&lt;=9,AS1636&gt;=AR1636),1,0)</x:f>
        <x:v>0</x:v>
      </x:c>
      <x:c r="F1637" s="8" t="n">
        <x:f>MIN(10,F1636+E1637)</x:f>
        <x:v>10</x:v>
      </x:c>
      <x:c r="G1637" s="8" t="n">
        <x:f>MIN(F1637,9)+1</x:f>
        <x:v>10</x:v>
      </x:c>
      <x:c r="H1637" s="8" t="n">
        <x:f>IF(F1637&lt;=9,1,0)</x:f>
        <x:v>0</x:v>
      </x:c>
      <x:c r="I1637" s="9" t="n">
        <x:f>MIN(10,F1636+IF(AR1636&gt;0,MIN(1,AS1636/AR1636),1))</x:f>
        <x:v>10</x:v>
      </x:c>
      <x:c r="J1637" s="32" t="n">
        <x:f>INDEX(v01_FoodCap,G1637)*Arch_FoodCap*EXP(v01_CapsByProject*SUMPRODUCT((Cap_Point&lt;=I1637)*(Cap_Kind="Food")*Cap_Ln))</x:f>
        <x:v>12000</x:v>
      </x:c>
      <x:c r="K1637" s="32" t="n">
        <x:f>J1637*MIN(1,v01_LeanBase*EXP(v01_CapsByProject*SUMPRODUCT((Cap_Point&lt;=I1637)*(Cap_Kind="Lean")*Cap_Ln)))</x:f>
        <x:v>12000</x:v>
      </x:c>
      <x:c r="L1637" s="10" t="n">
        <x:f>INDEX(v01_HousingCap,G1637)*EXP(v01_CapsByProject*SUMPRODUCT((Cap_Point&lt;=I1637)*(Cap_Kind="Housing")*Cap_Ln))</x:f>
        <x:v>20000</x:v>
      </x:c>
      <x:c r="M1637" s="10" t="n">
        <x:f>INDEX(v01_GroupCap,G1637)*v01_CohesionFactor*EXP(v01_CapsByProject*SUMPRODUCT((Cap_Point&lt;=I1637)*(Cap_Kind="Group")*Cap_Ln))</x:f>
        <x:v>1000000</x:v>
      </x:c>
      <x:c r="N1637" s="32" t="n">
        <x:f>MIN(J1637,L1637,M1637)</x:f>
        <x:v>12000</x:v>
      </x:c>
      <x:c r="O1637" s="10" t="n">
        <x:f>AE1636*N1637</x:f>
        <x:v>180000</x:v>
      </x:c>
      <x:c r="P1637" s="9" t="n">
        <x:f>MIN(1,(AB1636/(AE1636*IF(v01_GroupInCrowding=1,N1637,MIN(J1637,L1637))))^v01_CrowdingExp)</x:f>
        <x:v>0.00024569414295285325</x:v>
      </x:c>
      <x:c r="Q1637" s="9" t="n">
        <x:f>IF(D1637=1,INDEX(v01_WinterMult,G1637),1)</x:f>
        <x:v>1</x:v>
      </x:c>
      <x:c r="R1637" s="9" t="n">
        <x:f>H1637*Z1636*v01_WomenShare*v01_BaseFertility*INDEX(v01_FertMult,G1637)*Arch_Fertility*(1-P1637)</x:f>
        <x:v>0</x:v>
      </x:c>
      <x:c r="S1637" s="9" t="n">
        <x:f>H1637*Y1636*INDEX(v01_MortChild,G1637)/4*Q1637</x:f>
        <x:v>0</x:v>
      </x:c>
      <x:c r="T1637" s="9" t="n">
        <x:f>H1637*Z1636*INDEX(v01_MortAdult,G1637)*Arch_AdultMort/4*Q1637</x:f>
        <x:v>0</x:v>
      </x:c>
      <x:c r="U1637" s="9" t="n">
        <x:f>H1637*AA1636*INDEX(v01_MortElder,G1637)/4*Q1637</x:f>
        <x:v>0</x:v>
      </x:c>
      <x:c r="V1637" s="9" t="n">
        <x:f>H1637*MAX(0,AB1636-O1637)*v01_OvercapLoss</x:f>
        <x:v>0</x:v>
      </x:c>
      <x:c r="W1637" s="9" t="n">
        <x:f>H1637*Y1636/(v01_ChildYears*4)</x:f>
        <x:v>0</x:v>
      </x:c>
      <x:c r="X1637" s="9" t="n">
        <x:f>H1637*Z1636/(v01_AdultYears*4)</x:f>
        <x:v>0</x:v>
      </x:c>
      <x:c r="Y1637" s="32" t="n">
        <x:f>Y1636+R1637-S1637-W1637-Y1636*V1637/AB1636</x:f>
        <x:v>14306.18539759397</x:v>
      </x:c>
      <x:c r="Z1637" s="32" t="n">
        <x:f>Z1636+W1637-X1637-T1637-Z1636*V1637/AB1636</x:f>
        <x:v>19354.456567879548</x:v>
      </x:c>
      <x:c r="AA1637" s="32" t="n">
        <x:f>AA1636+X1637-U1637-AA1636*V1637/AB1636</x:f>
        <x:v>11386.956063258198</x:v>
      </x:c>
      <x:c r="AB1637" s="10" t="n">
        <x:f>Y1637+Z1637+AA1637</x:f>
        <x:v>45047.59802873172</x:v>
      </x:c>
      <x:c r="AC1637" s="8" t="n">
        <x:f>IF(AND(v01_WinterTrigger=1,D1637=1,AB1636/AE1636&gt;=K1637),1,0)</x:f>
        <x:v>0</x:v>
      </x:c>
      <x:c r="AD1637" s="8" t="n">
        <x:f>H1637*IF(AND(OR(AB1636/AE1636&gt;=v01_FissionTrigger*N1637,AC1637=1),AB1636/AE1636*v01_DaughterShare&gt;=v01_MinDaughter),MAX(1,ROUND(AE1636*v01_FissionRate,0)),0)</x:f>
        <x:v>0</x:v>
      </x:c>
      <x:c r="AE1637" s="8" t="n">
        <x:f>IF(H1637=1,MAX(1,MIN(INDEX(v01_Smax,G1637),AE1636+AD1637)),AE1636)</x:f>
        <x:v>15</x:v>
      </x:c>
      <x:c r="AF1637" s="8" t="n">
        <x:f>MAX(0,AE1637-AE1636)</x:f>
        <x:v>0</x:v>
      </x:c>
      <x:c r="AG1637" s="9" t="str">
        <x:f>IF(AF1637&gt;0,B1637,"")</x:f>
      </x:c>
      <x:c r="AH1637" s="9" t="n">
        <x:f>IF(F1637&gt;=1,1,(1+v01_LowTiesShare*(AE1637-1))/AE1637)</x:f>
        <x:v>1</x:v>
      </x:c>
      <x:c r="AI1637" s="32" t="n">
        <x:f>(Z1637+v01_ElderCommons*INDEX(LM_Elder,G1637)*AA1637)*AH1637</x:f>
        <x:v>64139.732591141874</x:v>
      </x:c>
      <x:c r="AJ1637" s="32" t="n">
        <x:f>H1637*v01_CommonsCoef*AI1637^v01_CommonsExp*INDEX(LM_Commons,G1637)</x:f>
        <x:v>0</x:v>
      </x:c>
      <x:c r="AK1637" s="32" t="n">
        <x:f>H1637*v01_RoleScale*Arch_Roles*(AE1637*(INDEX(v01_ElderRolePerSett,G1637)*v01_OutElder*INDEX(LM_Elder,G1637)+INDEX(v01_ShamanPerSett,G1637)*v01_OutShaman)+Z1637*(INDEX(v01_PriestShare,G1637)*v01_OutPriest+INDEX(v01_ScribeShare,G1637)*v01_OutScribe*INDEX(LM_Scribe,G1637)+INDEX(v01_ScholarShare,G1637)*v01_OutScholar*INDEX(LM_Scholar,G1637)+INDEX(v01_ResearcherShare,G1637)*v01_OutResearcher*INDEX(LM_Researcher,G1637)))</x:f>
        <x:v>0</x:v>
      </x:c>
      <x:c r="AL1637" s="32" t="n">
        <x:f>H1637*v01_RoleScale*Arch_Roles*AE1637*INDEX(v01_MonasteryPerSett,G1637)*v01_OutMonastery*INDEX(LM_Monastery,G1637)</x:f>
        <x:v>0</x:v>
      </x:c>
      <x:c r="AM1637" s="32" t="n">
        <x:f>(AJ1637+AK1637+AL1637)/4*INDEX(LM_All,G1637)*INDEX(v01_Boon,G1637)*Arch_Insight</x:f>
        <x:v>0</x:v>
      </x:c>
      <x:c r="AN1637" s="32" t="n">
        <x:f>H1637*(v01_KHPerAdult*Z1637+v01_KHOfCommons*AJ1637/4*INDEX(LM_All,G1637))*v01_KHUsable*Arch_KH</x:f>
        <x:v>0</x:v>
      </x:c>
      <x:c r="AO1637" s="32" t="n">
        <x:f>MIN(AP1636+AN1637,AM1637*v01_KHMaxRatio)</x:f>
        <x:v>0</x:v>
      </x:c>
      <x:c r="AP1637" s="32" t="n">
        <x:f>AP1636+AN1637-AO1637</x:f>
        <x:v>0</x:v>
      </x:c>
      <x:c r="AQ1637" s="32" t="n">
        <x:f>AM1637+AO1637</x:f>
        <x:v>0</x:v>
      </x:c>
      <x:c r="AR1637" s="10" t="n">
        <x:f>IF(H1637=1,INDEX(v01_Req,G1637),0)</x:f>
        <x:v>0</x:v>
      </x:c>
      <x:c r="AS1637" s="32" t="n">
        <x:f>IF(H1637=1,IF(E1637=1,AS1636-AR1636,AS1636)+AQ1637,0)</x:f>
        <x:v>0</x:v>
      </x:c>
      <x:c r="AT1637" s="11" t="n">
        <x:f>IF(AR1637&gt;0,MIN(1,AS1637/AR1637),1)</x:f>
        <x:v>1</x:v>
      </x:c>
      <x:c r="AU1637" s="10" t="n">
        <x:f>AB1637/INDEX(v01_RepScale,G1637)</x:f>
        <x:v>90.09519605746344</x:v>
      </x:c>
      <x:c r="AV1637" s="32" t="n">
        <x:f>AM1637*60/v01_SeasonSeconds</x:f>
        <x:v>0</x:v>
      </x:c>
    </x:row>
    <x:row r="1638">
      <x:c r="A1638" s="8" t="n">
        <x:f>A1637+1</x:f>
        <x:v>1635</x:v>
      </x:c>
      <x:c r="B1638" s="9" t="n">
        <x:f>A1638*v01_SeasonSeconds/60</x:f>
        <x:v>408.75</x:v>
      </x:c>
      <x:c r="C1638" s="9" t="n">
        <x:f>A1638/4</x:f>
        <x:v>408.75</x:v>
      </x:c>
      <x:c r="D1638" s="8" t="n">
        <x:f>IF(MOD(A1638,4)=0,1,0)</x:f>
        <x:v>0</x:v>
      </x:c>
      <x:c r="E1638" s="8" t="n">
        <x:f>IF(AND(F1637&lt;=9,AS1637&gt;=AR1637),1,0)</x:f>
        <x:v>0</x:v>
      </x:c>
      <x:c r="F1638" s="8" t="n">
        <x:f>MIN(10,F1637+E1638)</x:f>
        <x:v>10</x:v>
      </x:c>
      <x:c r="G1638" s="8" t="n">
        <x:f>MIN(F1638,9)+1</x:f>
        <x:v>10</x:v>
      </x:c>
      <x:c r="H1638" s="8" t="n">
        <x:f>IF(F1638&lt;=9,1,0)</x:f>
        <x:v>0</x:v>
      </x:c>
      <x:c r="I1638" s="9" t="n">
        <x:f>MIN(10,F1637+IF(AR1637&gt;0,MIN(1,AS1637/AR1637),1))</x:f>
        <x:v>10</x:v>
      </x:c>
      <x:c r="J1638" s="32" t="n">
        <x:f>INDEX(v01_FoodCap,G1638)*Arch_FoodCap*EXP(v01_CapsByProject*SUMPRODUCT((Cap_Point&lt;=I1638)*(Cap_Kind="Food")*Cap_Ln))</x:f>
        <x:v>12000</x:v>
      </x:c>
      <x:c r="K1638" s="32" t="n">
        <x:f>J1638*MIN(1,v01_LeanBase*EXP(v01_CapsByProject*SUMPRODUCT((Cap_Point&lt;=I1638)*(Cap_Kind="Lean")*Cap_Ln)))</x:f>
        <x:v>12000</x:v>
      </x:c>
      <x:c r="L1638" s="10" t="n">
        <x:f>INDEX(v01_HousingCap,G1638)*EXP(v01_CapsByProject*SUMPRODUCT((Cap_Point&lt;=I1638)*(Cap_Kind="Housing")*Cap_Ln))</x:f>
        <x:v>20000</x:v>
      </x:c>
      <x:c r="M1638" s="10" t="n">
        <x:f>INDEX(v01_GroupCap,G1638)*v01_CohesionFactor*EXP(v01_CapsByProject*SUMPRODUCT((Cap_Point&lt;=I1638)*(Cap_Kind="Group")*Cap_Ln))</x:f>
        <x:v>1000000</x:v>
      </x:c>
      <x:c r="N1638" s="32" t="n">
        <x:f>MIN(J1638,L1638,M1638)</x:f>
        <x:v>12000</x:v>
      </x:c>
      <x:c r="O1638" s="10" t="n">
        <x:f>AE1637*N1638</x:f>
        <x:v>180000</x:v>
      </x:c>
      <x:c r="P1638" s="9" t="n">
        <x:f>MIN(1,(AB1637/(AE1637*IF(v01_GroupInCrowding=1,N1638,MIN(J1638,L1638))))^v01_CrowdingExp)</x:f>
        <x:v>0.00024569414295285325</x:v>
      </x:c>
      <x:c r="Q1638" s="9" t="n">
        <x:f>IF(D1638=1,INDEX(v01_WinterMult,G1638),1)</x:f>
        <x:v>1</x:v>
      </x:c>
      <x:c r="R1638" s="9" t="n">
        <x:f>H1638*Z1637*v01_WomenShare*v01_BaseFertility*INDEX(v01_FertMult,G1638)*Arch_Fertility*(1-P1638)</x:f>
        <x:v>0</x:v>
      </x:c>
      <x:c r="S1638" s="9" t="n">
        <x:f>H1638*Y1637*INDEX(v01_MortChild,G1638)/4*Q1638</x:f>
        <x:v>0</x:v>
      </x:c>
      <x:c r="T1638" s="9" t="n">
        <x:f>H1638*Z1637*INDEX(v01_MortAdult,G1638)*Arch_AdultMort/4*Q1638</x:f>
        <x:v>0</x:v>
      </x:c>
      <x:c r="U1638" s="9" t="n">
        <x:f>H1638*AA1637*INDEX(v01_MortElder,G1638)/4*Q1638</x:f>
        <x:v>0</x:v>
      </x:c>
      <x:c r="V1638" s="9" t="n">
        <x:f>H1638*MAX(0,AB1637-O1638)*v01_OvercapLoss</x:f>
        <x:v>0</x:v>
      </x:c>
      <x:c r="W1638" s="9" t="n">
        <x:f>H1638*Y1637/(v01_ChildYears*4)</x:f>
        <x:v>0</x:v>
      </x:c>
      <x:c r="X1638" s="9" t="n">
        <x:f>H1638*Z1637/(v01_AdultYears*4)</x:f>
        <x:v>0</x:v>
      </x:c>
      <x:c r="Y1638" s="32" t="n">
        <x:f>Y1637+R1638-S1638-W1638-Y1637*V1638/AB1637</x:f>
        <x:v>14306.18539759397</x:v>
      </x:c>
      <x:c r="Z1638" s="32" t="n">
        <x:f>Z1637+W1638-X1638-T1638-Z1637*V1638/AB1637</x:f>
        <x:v>19354.456567879548</x:v>
      </x:c>
      <x:c r="AA1638" s="32" t="n">
        <x:f>AA1637+X1638-U1638-AA1637*V1638/AB1637</x:f>
        <x:v>11386.956063258198</x:v>
      </x:c>
      <x:c r="AB1638" s="10" t="n">
        <x:f>Y1638+Z1638+AA1638</x:f>
        <x:v>45047.59802873172</x:v>
      </x:c>
      <x:c r="AC1638" s="8" t="n">
        <x:f>IF(AND(v01_WinterTrigger=1,D1638=1,AB1637/AE1637&gt;=K1638),1,0)</x:f>
        <x:v>0</x:v>
      </x:c>
      <x:c r="AD1638" s="8" t="n">
        <x:f>H1638*IF(AND(OR(AB1637/AE1637&gt;=v01_FissionTrigger*N1638,AC1638=1),AB1637/AE1637*v01_DaughterShare&gt;=v01_MinDaughter),MAX(1,ROUND(AE1637*v01_FissionRate,0)),0)</x:f>
        <x:v>0</x:v>
      </x:c>
      <x:c r="AE1638" s="8" t="n">
        <x:f>IF(H1638=1,MAX(1,MIN(INDEX(v01_Smax,G1638),AE1637+AD1638)),AE1637)</x:f>
        <x:v>15</x:v>
      </x:c>
      <x:c r="AF1638" s="8" t="n">
        <x:f>MAX(0,AE1638-AE1637)</x:f>
        <x:v>0</x:v>
      </x:c>
      <x:c r="AG1638" s="9" t="str">
        <x:f>IF(AF1638&gt;0,B1638,"")</x:f>
      </x:c>
      <x:c r="AH1638" s="9" t="n">
        <x:f>IF(F1638&gt;=1,1,(1+v01_LowTiesShare*(AE1638-1))/AE1638)</x:f>
        <x:v>1</x:v>
      </x:c>
      <x:c r="AI1638" s="32" t="n">
        <x:f>(Z1638+v01_ElderCommons*INDEX(LM_Elder,G1638)*AA1638)*AH1638</x:f>
        <x:v>64139.732591141874</x:v>
      </x:c>
      <x:c r="AJ1638" s="32" t="n">
        <x:f>H1638*v01_CommonsCoef*AI1638^v01_CommonsExp*INDEX(LM_Commons,G1638)</x:f>
        <x:v>0</x:v>
      </x:c>
      <x:c r="AK1638" s="32" t="n">
        <x:f>H1638*v01_RoleScale*Arch_Roles*(AE1638*(INDEX(v01_ElderRolePerSett,G1638)*v01_OutElder*INDEX(LM_Elder,G1638)+INDEX(v01_ShamanPerSett,G1638)*v01_OutShaman)+Z1638*(INDEX(v01_PriestShare,G1638)*v01_OutPriest+INDEX(v01_ScribeShare,G1638)*v01_OutScribe*INDEX(LM_Scribe,G1638)+INDEX(v01_ScholarShare,G1638)*v01_OutScholar*INDEX(LM_Scholar,G1638)+INDEX(v01_ResearcherShare,G1638)*v01_OutResearcher*INDEX(LM_Researcher,G1638)))</x:f>
        <x:v>0</x:v>
      </x:c>
      <x:c r="AL1638" s="32" t="n">
        <x:f>H1638*v01_RoleScale*Arch_Roles*AE1638*INDEX(v01_MonasteryPerSett,G1638)*v01_OutMonastery*INDEX(LM_Monastery,G1638)</x:f>
        <x:v>0</x:v>
      </x:c>
      <x:c r="AM1638" s="32" t="n">
        <x:f>(AJ1638+AK1638+AL1638)/4*INDEX(LM_All,G1638)*INDEX(v01_Boon,G1638)*Arch_Insight</x:f>
        <x:v>0</x:v>
      </x:c>
      <x:c r="AN1638" s="32" t="n">
        <x:f>H1638*(v01_KHPerAdult*Z1638+v01_KHOfCommons*AJ1638/4*INDEX(LM_All,G1638))*v01_KHUsable*Arch_KH</x:f>
        <x:v>0</x:v>
      </x:c>
      <x:c r="AO1638" s="32" t="n">
        <x:f>MIN(AP1637+AN1638,AM1638*v01_KHMaxRatio)</x:f>
        <x:v>0</x:v>
      </x:c>
      <x:c r="AP1638" s="32" t="n">
        <x:f>AP1637+AN1638-AO1638</x:f>
        <x:v>0</x:v>
      </x:c>
      <x:c r="AQ1638" s="32" t="n">
        <x:f>AM1638+AO1638</x:f>
        <x:v>0</x:v>
      </x:c>
      <x:c r="AR1638" s="10" t="n">
        <x:f>IF(H1638=1,INDEX(v01_Req,G1638),0)</x:f>
        <x:v>0</x:v>
      </x:c>
      <x:c r="AS1638" s="32" t="n">
        <x:f>IF(H1638=1,IF(E1638=1,AS1637-AR1637,AS1637)+AQ1638,0)</x:f>
        <x:v>0</x:v>
      </x:c>
      <x:c r="AT1638" s="11" t="n">
        <x:f>IF(AR1638&gt;0,MIN(1,AS1638/AR1638),1)</x:f>
        <x:v>1</x:v>
      </x:c>
      <x:c r="AU1638" s="10" t="n">
        <x:f>AB1638/INDEX(v01_RepScale,G1638)</x:f>
        <x:v>90.09519605746344</x:v>
      </x:c>
      <x:c r="AV1638" s="32" t="n">
        <x:f>AM1638*60/v01_SeasonSeconds</x:f>
        <x:v>0</x:v>
      </x:c>
    </x:row>
    <x:row r="1639">
      <x:c r="A1639" s="8" t="n">
        <x:f>A1638+1</x:f>
        <x:v>1636</x:v>
      </x:c>
      <x:c r="B1639" s="9" t="n">
        <x:f>A1639*v01_SeasonSeconds/60</x:f>
        <x:v>409</x:v>
      </x:c>
      <x:c r="C1639" s="9" t="n">
        <x:f>A1639/4</x:f>
        <x:v>409</x:v>
      </x:c>
      <x:c r="D1639" s="8" t="n">
        <x:f>IF(MOD(A1639,4)=0,1,0)</x:f>
        <x:v>1</x:v>
      </x:c>
      <x:c r="E1639" s="8" t="n">
        <x:f>IF(AND(F1638&lt;=9,AS1638&gt;=AR1638),1,0)</x:f>
        <x:v>0</x:v>
      </x:c>
      <x:c r="F1639" s="8" t="n">
        <x:f>MIN(10,F1638+E1639)</x:f>
        <x:v>10</x:v>
      </x:c>
      <x:c r="G1639" s="8" t="n">
        <x:f>MIN(F1639,9)+1</x:f>
        <x:v>10</x:v>
      </x:c>
      <x:c r="H1639" s="8" t="n">
        <x:f>IF(F1639&lt;=9,1,0)</x:f>
        <x:v>0</x:v>
      </x:c>
      <x:c r="I1639" s="9" t="n">
        <x:f>MIN(10,F1638+IF(AR1638&gt;0,MIN(1,AS1638/AR1638),1))</x:f>
        <x:v>10</x:v>
      </x:c>
      <x:c r="J1639" s="32" t="n">
        <x:f>INDEX(v01_FoodCap,G1639)*Arch_FoodCap*EXP(v01_CapsByProject*SUMPRODUCT((Cap_Point&lt;=I1639)*(Cap_Kind="Food")*Cap_Ln))</x:f>
        <x:v>12000</x:v>
      </x:c>
      <x:c r="K1639" s="32" t="n">
        <x:f>J1639*MIN(1,v01_LeanBase*EXP(v01_CapsByProject*SUMPRODUCT((Cap_Point&lt;=I1639)*(Cap_Kind="Lean")*Cap_Ln)))</x:f>
        <x:v>12000</x:v>
      </x:c>
      <x:c r="L1639" s="10" t="n">
        <x:f>INDEX(v01_HousingCap,G1639)*EXP(v01_CapsByProject*SUMPRODUCT((Cap_Point&lt;=I1639)*(Cap_Kind="Housing")*Cap_Ln))</x:f>
        <x:v>20000</x:v>
      </x:c>
      <x:c r="M1639" s="10" t="n">
        <x:f>INDEX(v01_GroupCap,G1639)*v01_CohesionFactor*EXP(v01_CapsByProject*SUMPRODUCT((Cap_Point&lt;=I1639)*(Cap_Kind="Group")*Cap_Ln))</x:f>
        <x:v>1000000</x:v>
      </x:c>
      <x:c r="N1639" s="32" t="n">
        <x:f>MIN(J1639,L1639,M1639)</x:f>
        <x:v>12000</x:v>
      </x:c>
      <x:c r="O1639" s="10" t="n">
        <x:f>AE1638*N1639</x:f>
        <x:v>180000</x:v>
      </x:c>
      <x:c r="P1639" s="9" t="n">
        <x:f>MIN(1,(AB1638/(AE1638*IF(v01_GroupInCrowding=1,N1639,MIN(J1639,L1639))))^v01_CrowdingExp)</x:f>
        <x:v>0.00024569414295285325</x:v>
      </x:c>
      <x:c r="Q1639" s="9" t="n">
        <x:f>IF(D1639=1,INDEX(v01_WinterMult,G1639),1)</x:f>
        <x:v>1</x:v>
      </x:c>
      <x:c r="R1639" s="9" t="n">
        <x:f>H1639*Z1638*v01_WomenShare*v01_BaseFertility*INDEX(v01_FertMult,G1639)*Arch_Fertility*(1-P1639)</x:f>
        <x:v>0</x:v>
      </x:c>
      <x:c r="S1639" s="9" t="n">
        <x:f>H1639*Y1638*INDEX(v01_MortChild,G1639)/4*Q1639</x:f>
        <x:v>0</x:v>
      </x:c>
      <x:c r="T1639" s="9" t="n">
        <x:f>H1639*Z1638*INDEX(v01_MortAdult,G1639)*Arch_AdultMort/4*Q1639</x:f>
        <x:v>0</x:v>
      </x:c>
      <x:c r="U1639" s="9" t="n">
        <x:f>H1639*AA1638*INDEX(v01_MortElder,G1639)/4*Q1639</x:f>
        <x:v>0</x:v>
      </x:c>
      <x:c r="V1639" s="9" t="n">
        <x:f>H1639*MAX(0,AB1638-O1639)*v01_OvercapLoss</x:f>
        <x:v>0</x:v>
      </x:c>
      <x:c r="W1639" s="9" t="n">
        <x:f>H1639*Y1638/(v01_ChildYears*4)</x:f>
        <x:v>0</x:v>
      </x:c>
      <x:c r="X1639" s="9" t="n">
        <x:f>H1639*Z1638/(v01_AdultYears*4)</x:f>
        <x:v>0</x:v>
      </x:c>
      <x:c r="Y1639" s="32" t="n">
        <x:f>Y1638+R1639-S1639-W1639-Y1638*V1639/AB1638</x:f>
        <x:v>14306.18539759397</x:v>
      </x:c>
      <x:c r="Z1639" s="32" t="n">
        <x:f>Z1638+W1639-X1639-T1639-Z1638*V1639/AB1638</x:f>
        <x:v>19354.456567879548</x:v>
      </x:c>
      <x:c r="AA1639" s="32" t="n">
        <x:f>AA1638+X1639-U1639-AA1638*V1639/AB1638</x:f>
        <x:v>11386.956063258198</x:v>
      </x:c>
      <x:c r="AB1639" s="10" t="n">
        <x:f>Y1639+Z1639+AA1639</x:f>
        <x:v>45047.59802873172</x:v>
      </x:c>
      <x:c r="AC1639" s="8" t="n">
        <x:f>IF(AND(v01_WinterTrigger=1,D1639=1,AB1638/AE1638&gt;=K1639),1,0)</x:f>
        <x:v>0</x:v>
      </x:c>
      <x:c r="AD1639" s="8" t="n">
        <x:f>H1639*IF(AND(OR(AB1638/AE1638&gt;=v01_FissionTrigger*N1639,AC1639=1),AB1638/AE1638*v01_DaughterShare&gt;=v01_MinDaughter),MAX(1,ROUND(AE1638*v01_FissionRate,0)),0)</x:f>
        <x:v>0</x:v>
      </x:c>
      <x:c r="AE1639" s="8" t="n">
        <x:f>IF(H1639=1,MAX(1,MIN(INDEX(v01_Smax,G1639),AE1638+AD1639)),AE1638)</x:f>
        <x:v>15</x:v>
      </x:c>
      <x:c r="AF1639" s="8" t="n">
        <x:f>MAX(0,AE1639-AE1638)</x:f>
        <x:v>0</x:v>
      </x:c>
      <x:c r="AG1639" s="9" t="str">
        <x:f>IF(AF1639&gt;0,B1639,"")</x:f>
      </x:c>
      <x:c r="AH1639" s="9" t="n">
        <x:f>IF(F1639&gt;=1,1,(1+v01_LowTiesShare*(AE1639-1))/AE1639)</x:f>
        <x:v>1</x:v>
      </x:c>
      <x:c r="AI1639" s="32" t="n">
        <x:f>(Z1639+v01_ElderCommons*INDEX(LM_Elder,G1639)*AA1639)*AH1639</x:f>
        <x:v>64139.732591141874</x:v>
      </x:c>
      <x:c r="AJ1639" s="32" t="n">
        <x:f>H1639*v01_CommonsCoef*AI1639^v01_CommonsExp*INDEX(LM_Commons,G1639)</x:f>
        <x:v>0</x:v>
      </x:c>
      <x:c r="AK1639" s="32" t="n">
        <x:f>H1639*v01_RoleScale*Arch_Roles*(AE1639*(INDEX(v01_ElderRolePerSett,G1639)*v01_OutElder*INDEX(LM_Elder,G1639)+INDEX(v01_ShamanPerSett,G1639)*v01_OutShaman)+Z1639*(INDEX(v01_PriestShare,G1639)*v01_OutPriest+INDEX(v01_ScribeShare,G1639)*v01_OutScribe*INDEX(LM_Scribe,G1639)+INDEX(v01_ScholarShare,G1639)*v01_OutScholar*INDEX(LM_Scholar,G1639)+INDEX(v01_ResearcherShare,G1639)*v01_OutResearcher*INDEX(LM_Researcher,G1639)))</x:f>
        <x:v>0</x:v>
      </x:c>
      <x:c r="AL1639" s="32" t="n">
        <x:f>H1639*v01_RoleScale*Arch_Roles*AE1639*INDEX(v01_MonasteryPerSett,G1639)*v01_OutMonastery*INDEX(LM_Monastery,G1639)</x:f>
        <x:v>0</x:v>
      </x:c>
      <x:c r="AM1639" s="32" t="n">
        <x:f>(AJ1639+AK1639+AL1639)/4*INDEX(LM_All,G1639)*INDEX(v01_Boon,G1639)*Arch_Insight</x:f>
        <x:v>0</x:v>
      </x:c>
      <x:c r="AN1639" s="32" t="n">
        <x:f>H1639*(v01_KHPerAdult*Z1639+v01_KHOfCommons*AJ1639/4*INDEX(LM_All,G1639))*v01_KHUsable*Arch_KH</x:f>
        <x:v>0</x:v>
      </x:c>
      <x:c r="AO1639" s="32" t="n">
        <x:f>MIN(AP1638+AN1639,AM1639*v01_KHMaxRatio)</x:f>
        <x:v>0</x:v>
      </x:c>
      <x:c r="AP1639" s="32" t="n">
        <x:f>AP1638+AN1639-AO1639</x:f>
        <x:v>0</x:v>
      </x:c>
      <x:c r="AQ1639" s="32" t="n">
        <x:f>AM1639+AO1639</x:f>
        <x:v>0</x:v>
      </x:c>
      <x:c r="AR1639" s="10" t="n">
        <x:f>IF(H1639=1,INDEX(v01_Req,G1639),0)</x:f>
        <x:v>0</x:v>
      </x:c>
      <x:c r="AS1639" s="32" t="n">
        <x:f>IF(H1639=1,IF(E1639=1,AS1638-AR1638,AS1638)+AQ1639,0)</x:f>
        <x:v>0</x:v>
      </x:c>
      <x:c r="AT1639" s="11" t="n">
        <x:f>IF(AR1639&gt;0,MIN(1,AS1639/AR1639),1)</x:f>
        <x:v>1</x:v>
      </x:c>
      <x:c r="AU1639" s="10" t="n">
        <x:f>AB1639/INDEX(v01_RepScale,G1639)</x:f>
        <x:v>90.09519605746344</x:v>
      </x:c>
      <x:c r="AV1639" s="32" t="n">
        <x:f>AM1639*60/v01_SeasonSeconds</x:f>
        <x:v>0</x:v>
      </x:c>
    </x:row>
    <x:row r="1640">
      <x:c r="A1640" s="8" t="n">
        <x:f>A1639+1</x:f>
        <x:v>1637</x:v>
      </x:c>
      <x:c r="B1640" s="9" t="n">
        <x:f>A1640*v01_SeasonSeconds/60</x:f>
        <x:v>409.25</x:v>
      </x:c>
      <x:c r="C1640" s="9" t="n">
        <x:f>A1640/4</x:f>
        <x:v>409.25</x:v>
      </x:c>
      <x:c r="D1640" s="8" t="n">
        <x:f>IF(MOD(A1640,4)=0,1,0)</x:f>
        <x:v>0</x:v>
      </x:c>
      <x:c r="E1640" s="8" t="n">
        <x:f>IF(AND(F1639&lt;=9,AS1639&gt;=AR1639),1,0)</x:f>
        <x:v>0</x:v>
      </x:c>
      <x:c r="F1640" s="8" t="n">
        <x:f>MIN(10,F1639+E1640)</x:f>
        <x:v>10</x:v>
      </x:c>
      <x:c r="G1640" s="8" t="n">
        <x:f>MIN(F1640,9)+1</x:f>
        <x:v>10</x:v>
      </x:c>
      <x:c r="H1640" s="8" t="n">
        <x:f>IF(F1640&lt;=9,1,0)</x:f>
        <x:v>0</x:v>
      </x:c>
      <x:c r="I1640" s="9" t="n">
        <x:f>MIN(10,F1639+IF(AR1639&gt;0,MIN(1,AS1639/AR1639),1))</x:f>
        <x:v>10</x:v>
      </x:c>
      <x:c r="J1640" s="32" t="n">
        <x:f>INDEX(v01_FoodCap,G1640)*Arch_FoodCap*EXP(v01_CapsByProject*SUMPRODUCT((Cap_Point&lt;=I1640)*(Cap_Kind="Food")*Cap_Ln))</x:f>
        <x:v>12000</x:v>
      </x:c>
      <x:c r="K1640" s="32" t="n">
        <x:f>J1640*MIN(1,v01_LeanBase*EXP(v01_CapsByProject*SUMPRODUCT((Cap_Point&lt;=I1640)*(Cap_Kind="Lean")*Cap_Ln)))</x:f>
        <x:v>12000</x:v>
      </x:c>
      <x:c r="L1640" s="10" t="n">
        <x:f>INDEX(v01_HousingCap,G1640)*EXP(v01_CapsByProject*SUMPRODUCT((Cap_Point&lt;=I1640)*(Cap_Kind="Housing")*Cap_Ln))</x:f>
        <x:v>20000</x:v>
      </x:c>
      <x:c r="M1640" s="10" t="n">
        <x:f>INDEX(v01_GroupCap,G1640)*v01_CohesionFactor*EXP(v01_CapsByProject*SUMPRODUCT((Cap_Point&lt;=I1640)*(Cap_Kind="Group")*Cap_Ln))</x:f>
        <x:v>1000000</x:v>
      </x:c>
      <x:c r="N1640" s="32" t="n">
        <x:f>MIN(J1640,L1640,M1640)</x:f>
        <x:v>12000</x:v>
      </x:c>
      <x:c r="O1640" s="10" t="n">
        <x:f>AE1639*N1640</x:f>
        <x:v>180000</x:v>
      </x:c>
      <x:c r="P1640" s="9" t="n">
        <x:f>MIN(1,(AB1639/(AE1639*IF(v01_GroupInCrowding=1,N1640,MIN(J1640,L1640))))^v01_CrowdingExp)</x:f>
        <x:v>0.00024569414295285325</x:v>
      </x:c>
      <x:c r="Q1640" s="9" t="n">
        <x:f>IF(D1640=1,INDEX(v01_WinterMult,G1640),1)</x:f>
        <x:v>1</x:v>
      </x:c>
      <x:c r="R1640" s="9" t="n">
        <x:f>H1640*Z1639*v01_WomenShare*v01_BaseFertility*INDEX(v01_FertMult,G1640)*Arch_Fertility*(1-P1640)</x:f>
        <x:v>0</x:v>
      </x:c>
      <x:c r="S1640" s="9" t="n">
        <x:f>H1640*Y1639*INDEX(v01_MortChild,G1640)/4*Q1640</x:f>
        <x:v>0</x:v>
      </x:c>
      <x:c r="T1640" s="9" t="n">
        <x:f>H1640*Z1639*INDEX(v01_MortAdult,G1640)*Arch_AdultMort/4*Q1640</x:f>
        <x:v>0</x:v>
      </x:c>
      <x:c r="U1640" s="9" t="n">
        <x:f>H1640*AA1639*INDEX(v01_MortElder,G1640)/4*Q1640</x:f>
        <x:v>0</x:v>
      </x:c>
      <x:c r="V1640" s="9" t="n">
        <x:f>H1640*MAX(0,AB1639-O1640)*v01_OvercapLoss</x:f>
        <x:v>0</x:v>
      </x:c>
      <x:c r="W1640" s="9" t="n">
        <x:f>H1640*Y1639/(v01_ChildYears*4)</x:f>
        <x:v>0</x:v>
      </x:c>
      <x:c r="X1640" s="9" t="n">
        <x:f>H1640*Z1639/(v01_AdultYears*4)</x:f>
        <x:v>0</x:v>
      </x:c>
      <x:c r="Y1640" s="32" t="n">
        <x:f>Y1639+R1640-S1640-W1640-Y1639*V1640/AB1639</x:f>
        <x:v>14306.18539759397</x:v>
      </x:c>
      <x:c r="Z1640" s="32" t="n">
        <x:f>Z1639+W1640-X1640-T1640-Z1639*V1640/AB1639</x:f>
        <x:v>19354.456567879548</x:v>
      </x:c>
      <x:c r="AA1640" s="32" t="n">
        <x:f>AA1639+X1640-U1640-AA1639*V1640/AB1639</x:f>
        <x:v>11386.956063258198</x:v>
      </x:c>
      <x:c r="AB1640" s="10" t="n">
        <x:f>Y1640+Z1640+AA1640</x:f>
        <x:v>45047.59802873172</x:v>
      </x:c>
      <x:c r="AC1640" s="8" t="n">
        <x:f>IF(AND(v01_WinterTrigger=1,D1640=1,AB1639/AE1639&gt;=K1640),1,0)</x:f>
        <x:v>0</x:v>
      </x:c>
      <x:c r="AD1640" s="8" t="n">
        <x:f>H1640*IF(AND(OR(AB1639/AE1639&gt;=v01_FissionTrigger*N1640,AC1640=1),AB1639/AE1639*v01_DaughterShare&gt;=v01_MinDaughter),MAX(1,ROUND(AE1639*v01_FissionRate,0)),0)</x:f>
        <x:v>0</x:v>
      </x:c>
      <x:c r="AE1640" s="8" t="n">
        <x:f>IF(H1640=1,MAX(1,MIN(INDEX(v01_Smax,G1640),AE1639+AD1640)),AE1639)</x:f>
        <x:v>15</x:v>
      </x:c>
      <x:c r="AF1640" s="8" t="n">
        <x:f>MAX(0,AE1640-AE1639)</x:f>
        <x:v>0</x:v>
      </x:c>
      <x:c r="AG1640" s="9" t="str">
        <x:f>IF(AF1640&gt;0,B1640,"")</x:f>
      </x:c>
      <x:c r="AH1640" s="9" t="n">
        <x:f>IF(F1640&gt;=1,1,(1+v01_LowTiesShare*(AE1640-1))/AE1640)</x:f>
        <x:v>1</x:v>
      </x:c>
      <x:c r="AI1640" s="32" t="n">
        <x:f>(Z1640+v01_ElderCommons*INDEX(LM_Elder,G1640)*AA1640)*AH1640</x:f>
        <x:v>64139.732591141874</x:v>
      </x:c>
      <x:c r="AJ1640" s="32" t="n">
        <x:f>H1640*v01_CommonsCoef*AI1640^v01_CommonsExp*INDEX(LM_Commons,G1640)</x:f>
        <x:v>0</x:v>
      </x:c>
      <x:c r="AK1640" s="32" t="n">
        <x:f>H1640*v01_RoleScale*Arch_Roles*(AE1640*(INDEX(v01_ElderRolePerSett,G1640)*v01_OutElder*INDEX(LM_Elder,G1640)+INDEX(v01_ShamanPerSett,G1640)*v01_OutShaman)+Z1640*(INDEX(v01_PriestShare,G1640)*v01_OutPriest+INDEX(v01_ScribeShare,G1640)*v01_OutScribe*INDEX(LM_Scribe,G1640)+INDEX(v01_ScholarShare,G1640)*v01_OutScholar*INDEX(LM_Scholar,G1640)+INDEX(v01_ResearcherShare,G1640)*v01_OutResearcher*INDEX(LM_Researcher,G1640)))</x:f>
        <x:v>0</x:v>
      </x:c>
      <x:c r="AL1640" s="32" t="n">
        <x:f>H1640*v01_RoleScale*Arch_Roles*AE1640*INDEX(v01_MonasteryPerSett,G1640)*v01_OutMonastery*INDEX(LM_Monastery,G1640)</x:f>
        <x:v>0</x:v>
      </x:c>
      <x:c r="AM1640" s="32" t="n">
        <x:f>(AJ1640+AK1640+AL1640)/4*INDEX(LM_All,G1640)*INDEX(v01_Boon,G1640)*Arch_Insight</x:f>
        <x:v>0</x:v>
      </x:c>
      <x:c r="AN1640" s="32" t="n">
        <x:f>H1640*(v01_KHPerAdult*Z1640+v01_KHOfCommons*AJ1640/4*INDEX(LM_All,G1640))*v01_KHUsable*Arch_KH</x:f>
        <x:v>0</x:v>
      </x:c>
      <x:c r="AO1640" s="32" t="n">
        <x:f>MIN(AP1639+AN1640,AM1640*v01_KHMaxRatio)</x:f>
        <x:v>0</x:v>
      </x:c>
      <x:c r="AP1640" s="32" t="n">
        <x:f>AP1639+AN1640-AO1640</x:f>
        <x:v>0</x:v>
      </x:c>
      <x:c r="AQ1640" s="32" t="n">
        <x:f>AM1640+AO1640</x:f>
        <x:v>0</x:v>
      </x:c>
      <x:c r="AR1640" s="10" t="n">
        <x:f>IF(H1640=1,INDEX(v01_Req,G1640),0)</x:f>
        <x:v>0</x:v>
      </x:c>
      <x:c r="AS1640" s="32" t="n">
        <x:f>IF(H1640=1,IF(E1640=1,AS1639-AR1639,AS1639)+AQ1640,0)</x:f>
        <x:v>0</x:v>
      </x:c>
      <x:c r="AT1640" s="11" t="n">
        <x:f>IF(AR1640&gt;0,MIN(1,AS1640/AR1640),1)</x:f>
        <x:v>1</x:v>
      </x:c>
      <x:c r="AU1640" s="10" t="n">
        <x:f>AB1640/INDEX(v01_RepScale,G1640)</x:f>
        <x:v>90.09519605746344</x:v>
      </x:c>
      <x:c r="AV1640" s="32" t="n">
        <x:f>AM1640*60/v01_SeasonSeconds</x:f>
        <x:v>0</x:v>
      </x:c>
    </x:row>
    <x:row r="1641">
      <x:c r="A1641" s="8" t="n">
        <x:f>A1640+1</x:f>
        <x:v>1638</x:v>
      </x:c>
      <x:c r="B1641" s="9" t="n">
        <x:f>A1641*v01_SeasonSeconds/60</x:f>
        <x:v>409.5</x:v>
      </x:c>
      <x:c r="C1641" s="9" t="n">
        <x:f>A1641/4</x:f>
        <x:v>409.5</x:v>
      </x:c>
      <x:c r="D1641" s="8" t="n">
        <x:f>IF(MOD(A1641,4)=0,1,0)</x:f>
        <x:v>0</x:v>
      </x:c>
      <x:c r="E1641" s="8" t="n">
        <x:f>IF(AND(F1640&lt;=9,AS1640&gt;=AR1640),1,0)</x:f>
        <x:v>0</x:v>
      </x:c>
      <x:c r="F1641" s="8" t="n">
        <x:f>MIN(10,F1640+E1641)</x:f>
        <x:v>10</x:v>
      </x:c>
      <x:c r="G1641" s="8" t="n">
        <x:f>MIN(F1641,9)+1</x:f>
        <x:v>10</x:v>
      </x:c>
      <x:c r="H1641" s="8" t="n">
        <x:f>IF(F1641&lt;=9,1,0)</x:f>
        <x:v>0</x:v>
      </x:c>
      <x:c r="I1641" s="9" t="n">
        <x:f>MIN(10,F1640+IF(AR1640&gt;0,MIN(1,AS1640/AR1640),1))</x:f>
        <x:v>10</x:v>
      </x:c>
      <x:c r="J1641" s="32" t="n">
        <x:f>INDEX(v01_FoodCap,G1641)*Arch_FoodCap*EXP(v01_CapsByProject*SUMPRODUCT((Cap_Point&lt;=I1641)*(Cap_Kind="Food")*Cap_Ln))</x:f>
        <x:v>12000</x:v>
      </x:c>
      <x:c r="K1641" s="32" t="n">
        <x:f>J1641*MIN(1,v01_LeanBase*EXP(v01_CapsByProject*SUMPRODUCT((Cap_Point&lt;=I1641)*(Cap_Kind="Lean")*Cap_Ln)))</x:f>
        <x:v>12000</x:v>
      </x:c>
      <x:c r="L1641" s="10" t="n">
        <x:f>INDEX(v01_HousingCap,G1641)*EXP(v01_CapsByProject*SUMPRODUCT((Cap_Point&lt;=I1641)*(Cap_Kind="Housing")*Cap_Ln))</x:f>
        <x:v>20000</x:v>
      </x:c>
      <x:c r="M1641" s="10" t="n">
        <x:f>INDEX(v01_GroupCap,G1641)*v01_CohesionFactor*EXP(v01_CapsByProject*SUMPRODUCT((Cap_Point&lt;=I1641)*(Cap_Kind="Group")*Cap_Ln))</x:f>
        <x:v>1000000</x:v>
      </x:c>
      <x:c r="N1641" s="32" t="n">
        <x:f>MIN(J1641,L1641,M1641)</x:f>
        <x:v>12000</x:v>
      </x:c>
      <x:c r="O1641" s="10" t="n">
        <x:f>AE1640*N1641</x:f>
        <x:v>180000</x:v>
      </x:c>
      <x:c r="P1641" s="9" t="n">
        <x:f>MIN(1,(AB1640/(AE1640*IF(v01_GroupInCrowding=1,N1641,MIN(J1641,L1641))))^v01_CrowdingExp)</x:f>
        <x:v>0.00024569414295285325</x:v>
      </x:c>
      <x:c r="Q1641" s="9" t="n">
        <x:f>IF(D1641=1,INDEX(v01_WinterMult,G1641),1)</x:f>
        <x:v>1</x:v>
      </x:c>
      <x:c r="R1641" s="9" t="n">
        <x:f>H1641*Z1640*v01_WomenShare*v01_BaseFertility*INDEX(v01_FertMult,G1641)*Arch_Fertility*(1-P1641)</x:f>
        <x:v>0</x:v>
      </x:c>
      <x:c r="S1641" s="9" t="n">
        <x:f>H1641*Y1640*INDEX(v01_MortChild,G1641)/4*Q1641</x:f>
        <x:v>0</x:v>
      </x:c>
      <x:c r="T1641" s="9" t="n">
        <x:f>H1641*Z1640*INDEX(v01_MortAdult,G1641)*Arch_AdultMort/4*Q1641</x:f>
        <x:v>0</x:v>
      </x:c>
      <x:c r="U1641" s="9" t="n">
        <x:f>H1641*AA1640*INDEX(v01_MortElder,G1641)/4*Q1641</x:f>
        <x:v>0</x:v>
      </x:c>
      <x:c r="V1641" s="9" t="n">
        <x:f>H1641*MAX(0,AB1640-O1641)*v01_OvercapLoss</x:f>
        <x:v>0</x:v>
      </x:c>
      <x:c r="W1641" s="9" t="n">
        <x:f>H1641*Y1640/(v01_ChildYears*4)</x:f>
        <x:v>0</x:v>
      </x:c>
      <x:c r="X1641" s="9" t="n">
        <x:f>H1641*Z1640/(v01_AdultYears*4)</x:f>
        <x:v>0</x:v>
      </x:c>
      <x:c r="Y1641" s="32" t="n">
        <x:f>Y1640+R1641-S1641-W1641-Y1640*V1641/AB1640</x:f>
        <x:v>14306.18539759397</x:v>
      </x:c>
      <x:c r="Z1641" s="32" t="n">
        <x:f>Z1640+W1641-X1641-T1641-Z1640*V1641/AB1640</x:f>
        <x:v>19354.456567879548</x:v>
      </x:c>
      <x:c r="AA1641" s="32" t="n">
        <x:f>AA1640+X1641-U1641-AA1640*V1641/AB1640</x:f>
        <x:v>11386.956063258198</x:v>
      </x:c>
      <x:c r="AB1641" s="10" t="n">
        <x:f>Y1641+Z1641+AA1641</x:f>
        <x:v>45047.59802873172</x:v>
      </x:c>
      <x:c r="AC1641" s="8" t="n">
        <x:f>IF(AND(v01_WinterTrigger=1,D1641=1,AB1640/AE1640&gt;=K1641),1,0)</x:f>
        <x:v>0</x:v>
      </x:c>
      <x:c r="AD1641" s="8" t="n">
        <x:f>H1641*IF(AND(OR(AB1640/AE1640&gt;=v01_FissionTrigger*N1641,AC1641=1),AB1640/AE1640*v01_DaughterShare&gt;=v01_MinDaughter),MAX(1,ROUND(AE1640*v01_FissionRate,0)),0)</x:f>
        <x:v>0</x:v>
      </x:c>
      <x:c r="AE1641" s="8" t="n">
        <x:f>IF(H1641=1,MAX(1,MIN(INDEX(v01_Smax,G1641),AE1640+AD1641)),AE1640)</x:f>
        <x:v>15</x:v>
      </x:c>
      <x:c r="AF1641" s="8" t="n">
        <x:f>MAX(0,AE1641-AE1640)</x:f>
        <x:v>0</x:v>
      </x:c>
      <x:c r="AG1641" s="9" t="str">
        <x:f>IF(AF1641&gt;0,B1641,"")</x:f>
      </x:c>
      <x:c r="AH1641" s="9" t="n">
        <x:f>IF(F1641&gt;=1,1,(1+v01_LowTiesShare*(AE1641-1))/AE1641)</x:f>
        <x:v>1</x:v>
      </x:c>
      <x:c r="AI1641" s="32" t="n">
        <x:f>(Z1641+v01_ElderCommons*INDEX(LM_Elder,G1641)*AA1641)*AH1641</x:f>
        <x:v>64139.732591141874</x:v>
      </x:c>
      <x:c r="AJ1641" s="32" t="n">
        <x:f>H1641*v01_CommonsCoef*AI1641^v01_CommonsExp*INDEX(LM_Commons,G1641)</x:f>
        <x:v>0</x:v>
      </x:c>
      <x:c r="AK1641" s="32" t="n">
        <x:f>H1641*v01_RoleScale*Arch_Roles*(AE1641*(INDEX(v01_ElderRolePerSett,G1641)*v01_OutElder*INDEX(LM_Elder,G1641)+INDEX(v01_ShamanPerSett,G1641)*v01_OutShaman)+Z1641*(INDEX(v01_PriestShare,G1641)*v01_OutPriest+INDEX(v01_ScribeShare,G1641)*v01_OutScribe*INDEX(LM_Scribe,G1641)+INDEX(v01_ScholarShare,G1641)*v01_OutScholar*INDEX(LM_Scholar,G1641)+INDEX(v01_ResearcherShare,G1641)*v01_OutResearcher*INDEX(LM_Researcher,G1641)))</x:f>
        <x:v>0</x:v>
      </x:c>
      <x:c r="AL1641" s="32" t="n">
        <x:f>H1641*v01_RoleScale*Arch_Roles*AE1641*INDEX(v01_MonasteryPerSett,G1641)*v01_OutMonastery*INDEX(LM_Monastery,G1641)</x:f>
        <x:v>0</x:v>
      </x:c>
      <x:c r="AM1641" s="32" t="n">
        <x:f>(AJ1641+AK1641+AL1641)/4*INDEX(LM_All,G1641)*INDEX(v01_Boon,G1641)*Arch_Insight</x:f>
        <x:v>0</x:v>
      </x:c>
      <x:c r="AN1641" s="32" t="n">
        <x:f>H1641*(v01_KHPerAdult*Z1641+v01_KHOfCommons*AJ1641/4*INDEX(LM_All,G1641))*v01_KHUsable*Arch_KH</x:f>
        <x:v>0</x:v>
      </x:c>
      <x:c r="AO1641" s="32" t="n">
        <x:f>MIN(AP1640+AN1641,AM1641*v01_KHMaxRatio)</x:f>
        <x:v>0</x:v>
      </x:c>
      <x:c r="AP1641" s="32" t="n">
        <x:f>AP1640+AN1641-AO1641</x:f>
        <x:v>0</x:v>
      </x:c>
      <x:c r="AQ1641" s="32" t="n">
        <x:f>AM1641+AO1641</x:f>
        <x:v>0</x:v>
      </x:c>
      <x:c r="AR1641" s="10" t="n">
        <x:f>IF(H1641=1,INDEX(v01_Req,G1641),0)</x:f>
        <x:v>0</x:v>
      </x:c>
      <x:c r="AS1641" s="32" t="n">
        <x:f>IF(H1641=1,IF(E1641=1,AS1640-AR1640,AS1640)+AQ1641,0)</x:f>
        <x:v>0</x:v>
      </x:c>
      <x:c r="AT1641" s="11" t="n">
        <x:f>IF(AR1641&gt;0,MIN(1,AS1641/AR1641),1)</x:f>
        <x:v>1</x:v>
      </x:c>
      <x:c r="AU1641" s="10" t="n">
        <x:f>AB1641/INDEX(v01_RepScale,G1641)</x:f>
        <x:v>90.09519605746344</x:v>
      </x:c>
      <x:c r="AV1641" s="32" t="n">
        <x:f>AM1641*60/v01_SeasonSeconds</x:f>
        <x:v>0</x:v>
      </x:c>
    </x:row>
    <x:row r="1642">
      <x:c r="A1642" s="8" t="n">
        <x:f>A1641+1</x:f>
        <x:v>1639</x:v>
      </x:c>
      <x:c r="B1642" s="9" t="n">
        <x:f>A1642*v01_SeasonSeconds/60</x:f>
        <x:v>409.75</x:v>
      </x:c>
      <x:c r="C1642" s="9" t="n">
        <x:f>A1642/4</x:f>
        <x:v>409.75</x:v>
      </x:c>
      <x:c r="D1642" s="8" t="n">
        <x:f>IF(MOD(A1642,4)=0,1,0)</x:f>
        <x:v>0</x:v>
      </x:c>
      <x:c r="E1642" s="8" t="n">
        <x:f>IF(AND(F1641&lt;=9,AS1641&gt;=AR1641),1,0)</x:f>
        <x:v>0</x:v>
      </x:c>
      <x:c r="F1642" s="8" t="n">
        <x:f>MIN(10,F1641+E1642)</x:f>
        <x:v>10</x:v>
      </x:c>
      <x:c r="G1642" s="8" t="n">
        <x:f>MIN(F1642,9)+1</x:f>
        <x:v>10</x:v>
      </x:c>
      <x:c r="H1642" s="8" t="n">
        <x:f>IF(F1642&lt;=9,1,0)</x:f>
        <x:v>0</x:v>
      </x:c>
      <x:c r="I1642" s="9" t="n">
        <x:f>MIN(10,F1641+IF(AR1641&gt;0,MIN(1,AS1641/AR1641),1))</x:f>
        <x:v>10</x:v>
      </x:c>
      <x:c r="J1642" s="32" t="n">
        <x:f>INDEX(v01_FoodCap,G1642)*Arch_FoodCap*EXP(v01_CapsByProject*SUMPRODUCT((Cap_Point&lt;=I1642)*(Cap_Kind="Food")*Cap_Ln))</x:f>
        <x:v>12000</x:v>
      </x:c>
      <x:c r="K1642" s="32" t="n">
        <x:f>J1642*MIN(1,v01_LeanBase*EXP(v01_CapsByProject*SUMPRODUCT((Cap_Point&lt;=I1642)*(Cap_Kind="Lean")*Cap_Ln)))</x:f>
        <x:v>12000</x:v>
      </x:c>
      <x:c r="L1642" s="10" t="n">
        <x:f>INDEX(v01_HousingCap,G1642)*EXP(v01_CapsByProject*SUMPRODUCT((Cap_Point&lt;=I1642)*(Cap_Kind="Housing")*Cap_Ln))</x:f>
        <x:v>20000</x:v>
      </x:c>
      <x:c r="M1642" s="10" t="n">
        <x:f>INDEX(v01_GroupCap,G1642)*v01_CohesionFactor*EXP(v01_CapsByProject*SUMPRODUCT((Cap_Point&lt;=I1642)*(Cap_Kind="Group")*Cap_Ln))</x:f>
        <x:v>1000000</x:v>
      </x:c>
      <x:c r="N1642" s="32" t="n">
        <x:f>MIN(J1642,L1642,M1642)</x:f>
        <x:v>12000</x:v>
      </x:c>
      <x:c r="O1642" s="10" t="n">
        <x:f>AE1641*N1642</x:f>
        <x:v>180000</x:v>
      </x:c>
      <x:c r="P1642" s="9" t="n">
        <x:f>MIN(1,(AB1641/(AE1641*IF(v01_GroupInCrowding=1,N1642,MIN(J1642,L1642))))^v01_CrowdingExp)</x:f>
        <x:v>0.00024569414295285325</x:v>
      </x:c>
      <x:c r="Q1642" s="9" t="n">
        <x:f>IF(D1642=1,INDEX(v01_WinterMult,G1642),1)</x:f>
        <x:v>1</x:v>
      </x:c>
      <x:c r="R1642" s="9" t="n">
        <x:f>H1642*Z1641*v01_WomenShare*v01_BaseFertility*INDEX(v01_FertMult,G1642)*Arch_Fertility*(1-P1642)</x:f>
        <x:v>0</x:v>
      </x:c>
      <x:c r="S1642" s="9" t="n">
        <x:f>H1642*Y1641*INDEX(v01_MortChild,G1642)/4*Q1642</x:f>
        <x:v>0</x:v>
      </x:c>
      <x:c r="T1642" s="9" t="n">
        <x:f>H1642*Z1641*INDEX(v01_MortAdult,G1642)*Arch_AdultMort/4*Q1642</x:f>
        <x:v>0</x:v>
      </x:c>
      <x:c r="U1642" s="9" t="n">
        <x:f>H1642*AA1641*INDEX(v01_MortElder,G1642)/4*Q1642</x:f>
        <x:v>0</x:v>
      </x:c>
      <x:c r="V1642" s="9" t="n">
        <x:f>H1642*MAX(0,AB1641-O1642)*v01_OvercapLoss</x:f>
        <x:v>0</x:v>
      </x:c>
      <x:c r="W1642" s="9" t="n">
        <x:f>H1642*Y1641/(v01_ChildYears*4)</x:f>
        <x:v>0</x:v>
      </x:c>
      <x:c r="X1642" s="9" t="n">
        <x:f>H1642*Z1641/(v01_AdultYears*4)</x:f>
        <x:v>0</x:v>
      </x:c>
      <x:c r="Y1642" s="32" t="n">
        <x:f>Y1641+R1642-S1642-W1642-Y1641*V1642/AB1641</x:f>
        <x:v>14306.18539759397</x:v>
      </x:c>
      <x:c r="Z1642" s="32" t="n">
        <x:f>Z1641+W1642-X1642-T1642-Z1641*V1642/AB1641</x:f>
        <x:v>19354.456567879548</x:v>
      </x:c>
      <x:c r="AA1642" s="32" t="n">
        <x:f>AA1641+X1642-U1642-AA1641*V1642/AB1641</x:f>
        <x:v>11386.956063258198</x:v>
      </x:c>
      <x:c r="AB1642" s="10" t="n">
        <x:f>Y1642+Z1642+AA1642</x:f>
        <x:v>45047.59802873172</x:v>
      </x:c>
      <x:c r="AC1642" s="8" t="n">
        <x:f>IF(AND(v01_WinterTrigger=1,D1642=1,AB1641/AE1641&gt;=K1642),1,0)</x:f>
        <x:v>0</x:v>
      </x:c>
      <x:c r="AD1642" s="8" t="n">
        <x:f>H1642*IF(AND(OR(AB1641/AE1641&gt;=v01_FissionTrigger*N1642,AC1642=1),AB1641/AE1641*v01_DaughterShare&gt;=v01_MinDaughter),MAX(1,ROUND(AE1641*v01_FissionRate,0)),0)</x:f>
        <x:v>0</x:v>
      </x:c>
      <x:c r="AE1642" s="8" t="n">
        <x:f>IF(H1642=1,MAX(1,MIN(INDEX(v01_Smax,G1642),AE1641+AD1642)),AE1641)</x:f>
        <x:v>15</x:v>
      </x:c>
      <x:c r="AF1642" s="8" t="n">
        <x:f>MAX(0,AE1642-AE1641)</x:f>
        <x:v>0</x:v>
      </x:c>
      <x:c r="AG1642" s="9" t="str">
        <x:f>IF(AF1642&gt;0,B1642,"")</x:f>
      </x:c>
      <x:c r="AH1642" s="9" t="n">
        <x:f>IF(F1642&gt;=1,1,(1+v01_LowTiesShare*(AE1642-1))/AE1642)</x:f>
        <x:v>1</x:v>
      </x:c>
      <x:c r="AI1642" s="32" t="n">
        <x:f>(Z1642+v01_ElderCommons*INDEX(LM_Elder,G1642)*AA1642)*AH1642</x:f>
        <x:v>64139.732591141874</x:v>
      </x:c>
      <x:c r="AJ1642" s="32" t="n">
        <x:f>H1642*v01_CommonsCoef*AI1642^v01_CommonsExp*INDEX(LM_Commons,G1642)</x:f>
        <x:v>0</x:v>
      </x:c>
      <x:c r="AK1642" s="32" t="n">
        <x:f>H1642*v01_RoleScale*Arch_Roles*(AE1642*(INDEX(v01_ElderRolePerSett,G1642)*v01_OutElder*INDEX(LM_Elder,G1642)+INDEX(v01_ShamanPerSett,G1642)*v01_OutShaman)+Z1642*(INDEX(v01_PriestShare,G1642)*v01_OutPriest+INDEX(v01_ScribeShare,G1642)*v01_OutScribe*INDEX(LM_Scribe,G1642)+INDEX(v01_ScholarShare,G1642)*v01_OutScholar*INDEX(LM_Scholar,G1642)+INDEX(v01_ResearcherShare,G1642)*v01_OutResearcher*INDEX(LM_Researcher,G1642)))</x:f>
        <x:v>0</x:v>
      </x:c>
      <x:c r="AL1642" s="32" t="n">
        <x:f>H1642*v01_RoleScale*Arch_Roles*AE1642*INDEX(v01_MonasteryPerSett,G1642)*v01_OutMonastery*INDEX(LM_Monastery,G1642)</x:f>
        <x:v>0</x:v>
      </x:c>
      <x:c r="AM1642" s="32" t="n">
        <x:f>(AJ1642+AK1642+AL1642)/4*INDEX(LM_All,G1642)*INDEX(v01_Boon,G1642)*Arch_Insight</x:f>
        <x:v>0</x:v>
      </x:c>
      <x:c r="AN1642" s="32" t="n">
        <x:f>H1642*(v01_KHPerAdult*Z1642+v01_KHOfCommons*AJ1642/4*INDEX(LM_All,G1642))*v01_KHUsable*Arch_KH</x:f>
        <x:v>0</x:v>
      </x:c>
      <x:c r="AO1642" s="32" t="n">
        <x:f>MIN(AP1641+AN1642,AM1642*v01_KHMaxRatio)</x:f>
        <x:v>0</x:v>
      </x:c>
      <x:c r="AP1642" s="32" t="n">
        <x:f>AP1641+AN1642-AO1642</x:f>
        <x:v>0</x:v>
      </x:c>
      <x:c r="AQ1642" s="32" t="n">
        <x:f>AM1642+AO1642</x:f>
        <x:v>0</x:v>
      </x:c>
      <x:c r="AR1642" s="10" t="n">
        <x:f>IF(H1642=1,INDEX(v01_Req,G1642),0)</x:f>
        <x:v>0</x:v>
      </x:c>
      <x:c r="AS1642" s="32" t="n">
        <x:f>IF(H1642=1,IF(E1642=1,AS1641-AR1641,AS1641)+AQ1642,0)</x:f>
        <x:v>0</x:v>
      </x:c>
      <x:c r="AT1642" s="11" t="n">
        <x:f>IF(AR1642&gt;0,MIN(1,AS1642/AR1642),1)</x:f>
        <x:v>1</x:v>
      </x:c>
      <x:c r="AU1642" s="10" t="n">
        <x:f>AB1642/INDEX(v01_RepScale,G1642)</x:f>
        <x:v>90.09519605746344</x:v>
      </x:c>
      <x:c r="AV1642" s="32" t="n">
        <x:f>AM1642*60/v01_SeasonSeconds</x:f>
        <x:v>0</x:v>
      </x:c>
    </x:row>
    <x:row r="1643">
      <x:c r="A1643" s="8" t="n">
        <x:f>A1642+1</x:f>
        <x:v>1640</x:v>
      </x:c>
      <x:c r="B1643" s="9" t="n">
        <x:f>A1643*v01_SeasonSeconds/60</x:f>
        <x:v>410</x:v>
      </x:c>
      <x:c r="C1643" s="9" t="n">
        <x:f>A1643/4</x:f>
        <x:v>410</x:v>
      </x:c>
      <x:c r="D1643" s="8" t="n">
        <x:f>IF(MOD(A1643,4)=0,1,0)</x:f>
        <x:v>1</x:v>
      </x:c>
      <x:c r="E1643" s="8" t="n">
        <x:f>IF(AND(F1642&lt;=9,AS1642&gt;=AR1642),1,0)</x:f>
        <x:v>0</x:v>
      </x:c>
      <x:c r="F1643" s="8" t="n">
        <x:f>MIN(10,F1642+E1643)</x:f>
        <x:v>10</x:v>
      </x:c>
      <x:c r="G1643" s="8" t="n">
        <x:f>MIN(F1643,9)+1</x:f>
        <x:v>10</x:v>
      </x:c>
      <x:c r="H1643" s="8" t="n">
        <x:f>IF(F1643&lt;=9,1,0)</x:f>
        <x:v>0</x:v>
      </x:c>
      <x:c r="I1643" s="9" t="n">
        <x:f>MIN(10,F1642+IF(AR1642&gt;0,MIN(1,AS1642/AR1642),1))</x:f>
        <x:v>10</x:v>
      </x:c>
      <x:c r="J1643" s="32" t="n">
        <x:f>INDEX(v01_FoodCap,G1643)*Arch_FoodCap*EXP(v01_CapsByProject*SUMPRODUCT((Cap_Point&lt;=I1643)*(Cap_Kind="Food")*Cap_Ln))</x:f>
        <x:v>12000</x:v>
      </x:c>
      <x:c r="K1643" s="32" t="n">
        <x:f>J1643*MIN(1,v01_LeanBase*EXP(v01_CapsByProject*SUMPRODUCT((Cap_Point&lt;=I1643)*(Cap_Kind="Lean")*Cap_Ln)))</x:f>
        <x:v>12000</x:v>
      </x:c>
      <x:c r="L1643" s="10" t="n">
        <x:f>INDEX(v01_HousingCap,G1643)*EXP(v01_CapsByProject*SUMPRODUCT((Cap_Point&lt;=I1643)*(Cap_Kind="Housing")*Cap_Ln))</x:f>
        <x:v>20000</x:v>
      </x:c>
      <x:c r="M1643" s="10" t="n">
        <x:f>INDEX(v01_GroupCap,G1643)*v01_CohesionFactor*EXP(v01_CapsByProject*SUMPRODUCT((Cap_Point&lt;=I1643)*(Cap_Kind="Group")*Cap_Ln))</x:f>
        <x:v>1000000</x:v>
      </x:c>
      <x:c r="N1643" s="32" t="n">
        <x:f>MIN(J1643,L1643,M1643)</x:f>
        <x:v>12000</x:v>
      </x:c>
      <x:c r="O1643" s="10" t="n">
        <x:f>AE1642*N1643</x:f>
        <x:v>180000</x:v>
      </x:c>
      <x:c r="P1643" s="9" t="n">
        <x:f>MIN(1,(AB1642/(AE1642*IF(v01_GroupInCrowding=1,N1643,MIN(J1643,L1643))))^v01_CrowdingExp)</x:f>
        <x:v>0.00024569414295285325</x:v>
      </x:c>
      <x:c r="Q1643" s="9" t="n">
        <x:f>IF(D1643=1,INDEX(v01_WinterMult,G1643),1)</x:f>
        <x:v>1</x:v>
      </x:c>
      <x:c r="R1643" s="9" t="n">
        <x:f>H1643*Z1642*v01_WomenShare*v01_BaseFertility*INDEX(v01_FertMult,G1643)*Arch_Fertility*(1-P1643)</x:f>
        <x:v>0</x:v>
      </x:c>
      <x:c r="S1643" s="9" t="n">
        <x:f>H1643*Y1642*INDEX(v01_MortChild,G1643)/4*Q1643</x:f>
        <x:v>0</x:v>
      </x:c>
      <x:c r="T1643" s="9" t="n">
        <x:f>H1643*Z1642*INDEX(v01_MortAdult,G1643)*Arch_AdultMort/4*Q1643</x:f>
        <x:v>0</x:v>
      </x:c>
      <x:c r="U1643" s="9" t="n">
        <x:f>H1643*AA1642*INDEX(v01_MortElder,G1643)/4*Q1643</x:f>
        <x:v>0</x:v>
      </x:c>
      <x:c r="V1643" s="9" t="n">
        <x:f>H1643*MAX(0,AB1642-O1643)*v01_OvercapLoss</x:f>
        <x:v>0</x:v>
      </x:c>
      <x:c r="W1643" s="9" t="n">
        <x:f>H1643*Y1642/(v01_ChildYears*4)</x:f>
        <x:v>0</x:v>
      </x:c>
      <x:c r="X1643" s="9" t="n">
        <x:f>H1643*Z1642/(v01_AdultYears*4)</x:f>
        <x:v>0</x:v>
      </x:c>
      <x:c r="Y1643" s="32" t="n">
        <x:f>Y1642+R1643-S1643-W1643-Y1642*V1643/AB1642</x:f>
        <x:v>14306.18539759397</x:v>
      </x:c>
      <x:c r="Z1643" s="32" t="n">
        <x:f>Z1642+W1643-X1643-T1643-Z1642*V1643/AB1642</x:f>
        <x:v>19354.456567879548</x:v>
      </x:c>
      <x:c r="AA1643" s="32" t="n">
        <x:f>AA1642+X1643-U1643-AA1642*V1643/AB1642</x:f>
        <x:v>11386.956063258198</x:v>
      </x:c>
      <x:c r="AB1643" s="10" t="n">
        <x:f>Y1643+Z1643+AA1643</x:f>
        <x:v>45047.59802873172</x:v>
      </x:c>
      <x:c r="AC1643" s="8" t="n">
        <x:f>IF(AND(v01_WinterTrigger=1,D1643=1,AB1642/AE1642&gt;=K1643),1,0)</x:f>
        <x:v>0</x:v>
      </x:c>
      <x:c r="AD1643" s="8" t="n">
        <x:f>H1643*IF(AND(OR(AB1642/AE1642&gt;=v01_FissionTrigger*N1643,AC1643=1),AB1642/AE1642*v01_DaughterShare&gt;=v01_MinDaughter),MAX(1,ROUND(AE1642*v01_FissionRate,0)),0)</x:f>
        <x:v>0</x:v>
      </x:c>
      <x:c r="AE1643" s="8" t="n">
        <x:f>IF(H1643=1,MAX(1,MIN(INDEX(v01_Smax,G1643),AE1642+AD1643)),AE1642)</x:f>
        <x:v>15</x:v>
      </x:c>
      <x:c r="AF1643" s="8" t="n">
        <x:f>MAX(0,AE1643-AE1642)</x:f>
        <x:v>0</x:v>
      </x:c>
      <x:c r="AG1643" s="9" t="str">
        <x:f>IF(AF1643&gt;0,B1643,"")</x:f>
      </x:c>
      <x:c r="AH1643" s="9" t="n">
        <x:f>IF(F1643&gt;=1,1,(1+v01_LowTiesShare*(AE1643-1))/AE1643)</x:f>
        <x:v>1</x:v>
      </x:c>
      <x:c r="AI1643" s="32" t="n">
        <x:f>(Z1643+v01_ElderCommons*INDEX(LM_Elder,G1643)*AA1643)*AH1643</x:f>
        <x:v>64139.732591141874</x:v>
      </x:c>
      <x:c r="AJ1643" s="32" t="n">
        <x:f>H1643*v01_CommonsCoef*AI1643^v01_CommonsExp*INDEX(LM_Commons,G1643)</x:f>
        <x:v>0</x:v>
      </x:c>
      <x:c r="AK1643" s="32" t="n">
        <x:f>H1643*v01_RoleScale*Arch_Roles*(AE1643*(INDEX(v01_ElderRolePerSett,G1643)*v01_OutElder*INDEX(LM_Elder,G1643)+INDEX(v01_ShamanPerSett,G1643)*v01_OutShaman)+Z1643*(INDEX(v01_PriestShare,G1643)*v01_OutPriest+INDEX(v01_ScribeShare,G1643)*v01_OutScribe*INDEX(LM_Scribe,G1643)+INDEX(v01_ScholarShare,G1643)*v01_OutScholar*INDEX(LM_Scholar,G1643)+INDEX(v01_ResearcherShare,G1643)*v01_OutResearcher*INDEX(LM_Researcher,G1643)))</x:f>
        <x:v>0</x:v>
      </x:c>
      <x:c r="AL1643" s="32" t="n">
        <x:f>H1643*v01_RoleScale*Arch_Roles*AE1643*INDEX(v01_MonasteryPerSett,G1643)*v01_OutMonastery*INDEX(LM_Monastery,G1643)</x:f>
        <x:v>0</x:v>
      </x:c>
      <x:c r="AM1643" s="32" t="n">
        <x:f>(AJ1643+AK1643+AL1643)/4*INDEX(LM_All,G1643)*INDEX(v01_Boon,G1643)*Arch_Insight</x:f>
        <x:v>0</x:v>
      </x:c>
      <x:c r="AN1643" s="32" t="n">
        <x:f>H1643*(v01_KHPerAdult*Z1643+v01_KHOfCommons*AJ1643/4*INDEX(LM_All,G1643))*v01_KHUsable*Arch_KH</x:f>
        <x:v>0</x:v>
      </x:c>
      <x:c r="AO1643" s="32" t="n">
        <x:f>MIN(AP1642+AN1643,AM1643*v01_KHMaxRatio)</x:f>
        <x:v>0</x:v>
      </x:c>
      <x:c r="AP1643" s="32" t="n">
        <x:f>AP1642+AN1643-AO1643</x:f>
        <x:v>0</x:v>
      </x:c>
      <x:c r="AQ1643" s="32" t="n">
        <x:f>AM1643+AO1643</x:f>
        <x:v>0</x:v>
      </x:c>
      <x:c r="AR1643" s="10" t="n">
        <x:f>IF(H1643=1,INDEX(v01_Req,G1643),0)</x:f>
        <x:v>0</x:v>
      </x:c>
      <x:c r="AS1643" s="32" t="n">
        <x:f>IF(H1643=1,IF(E1643=1,AS1642-AR1642,AS1642)+AQ1643,0)</x:f>
        <x:v>0</x:v>
      </x:c>
      <x:c r="AT1643" s="11" t="n">
        <x:f>IF(AR1643&gt;0,MIN(1,AS1643/AR1643),1)</x:f>
        <x:v>1</x:v>
      </x:c>
      <x:c r="AU1643" s="10" t="n">
        <x:f>AB1643/INDEX(v01_RepScale,G1643)</x:f>
        <x:v>90.09519605746344</x:v>
      </x:c>
      <x:c r="AV1643" s="32" t="n">
        <x:f>AM1643*60/v01_SeasonSeconds</x:f>
        <x:v>0</x:v>
      </x:c>
    </x:row>
    <x:row r="1644">
      <x:c r="A1644" s="8" t="n">
        <x:f>A1643+1</x:f>
        <x:v>1641</x:v>
      </x:c>
      <x:c r="B1644" s="9" t="n">
        <x:f>A1644*v01_SeasonSeconds/60</x:f>
        <x:v>410.25</x:v>
      </x:c>
      <x:c r="C1644" s="9" t="n">
        <x:f>A1644/4</x:f>
        <x:v>410.25</x:v>
      </x:c>
      <x:c r="D1644" s="8" t="n">
        <x:f>IF(MOD(A1644,4)=0,1,0)</x:f>
        <x:v>0</x:v>
      </x:c>
      <x:c r="E1644" s="8" t="n">
        <x:f>IF(AND(F1643&lt;=9,AS1643&gt;=AR1643),1,0)</x:f>
        <x:v>0</x:v>
      </x:c>
      <x:c r="F1644" s="8" t="n">
        <x:f>MIN(10,F1643+E1644)</x:f>
        <x:v>10</x:v>
      </x:c>
      <x:c r="G1644" s="8" t="n">
        <x:f>MIN(F1644,9)+1</x:f>
        <x:v>10</x:v>
      </x:c>
      <x:c r="H1644" s="8" t="n">
        <x:f>IF(F1644&lt;=9,1,0)</x:f>
        <x:v>0</x:v>
      </x:c>
      <x:c r="I1644" s="9" t="n">
        <x:f>MIN(10,F1643+IF(AR1643&gt;0,MIN(1,AS1643/AR1643),1))</x:f>
        <x:v>10</x:v>
      </x:c>
      <x:c r="J1644" s="32" t="n">
        <x:f>INDEX(v01_FoodCap,G1644)*Arch_FoodCap*EXP(v01_CapsByProject*SUMPRODUCT((Cap_Point&lt;=I1644)*(Cap_Kind="Food")*Cap_Ln))</x:f>
        <x:v>12000</x:v>
      </x:c>
      <x:c r="K1644" s="32" t="n">
        <x:f>J1644*MIN(1,v01_LeanBase*EXP(v01_CapsByProject*SUMPRODUCT((Cap_Point&lt;=I1644)*(Cap_Kind="Lean")*Cap_Ln)))</x:f>
        <x:v>12000</x:v>
      </x:c>
      <x:c r="L1644" s="10" t="n">
        <x:f>INDEX(v01_HousingCap,G1644)*EXP(v01_CapsByProject*SUMPRODUCT((Cap_Point&lt;=I1644)*(Cap_Kind="Housing")*Cap_Ln))</x:f>
        <x:v>20000</x:v>
      </x:c>
      <x:c r="M1644" s="10" t="n">
        <x:f>INDEX(v01_GroupCap,G1644)*v01_CohesionFactor*EXP(v01_CapsByProject*SUMPRODUCT((Cap_Point&lt;=I1644)*(Cap_Kind="Group")*Cap_Ln))</x:f>
        <x:v>1000000</x:v>
      </x:c>
      <x:c r="N1644" s="32" t="n">
        <x:f>MIN(J1644,L1644,M1644)</x:f>
        <x:v>12000</x:v>
      </x:c>
      <x:c r="O1644" s="10" t="n">
        <x:f>AE1643*N1644</x:f>
        <x:v>180000</x:v>
      </x:c>
      <x:c r="P1644" s="9" t="n">
        <x:f>MIN(1,(AB1643/(AE1643*IF(v01_GroupInCrowding=1,N1644,MIN(J1644,L1644))))^v01_CrowdingExp)</x:f>
        <x:v>0.00024569414295285325</x:v>
      </x:c>
      <x:c r="Q1644" s="9" t="n">
        <x:f>IF(D1644=1,INDEX(v01_WinterMult,G1644),1)</x:f>
        <x:v>1</x:v>
      </x:c>
      <x:c r="R1644" s="9" t="n">
        <x:f>H1644*Z1643*v01_WomenShare*v01_BaseFertility*INDEX(v01_FertMult,G1644)*Arch_Fertility*(1-P1644)</x:f>
        <x:v>0</x:v>
      </x:c>
      <x:c r="S1644" s="9" t="n">
        <x:f>H1644*Y1643*INDEX(v01_MortChild,G1644)/4*Q1644</x:f>
        <x:v>0</x:v>
      </x:c>
      <x:c r="T1644" s="9" t="n">
        <x:f>H1644*Z1643*INDEX(v01_MortAdult,G1644)*Arch_AdultMort/4*Q1644</x:f>
        <x:v>0</x:v>
      </x:c>
      <x:c r="U1644" s="9" t="n">
        <x:f>H1644*AA1643*INDEX(v01_MortElder,G1644)/4*Q1644</x:f>
        <x:v>0</x:v>
      </x:c>
      <x:c r="V1644" s="9" t="n">
        <x:f>H1644*MAX(0,AB1643-O1644)*v01_OvercapLoss</x:f>
        <x:v>0</x:v>
      </x:c>
      <x:c r="W1644" s="9" t="n">
        <x:f>H1644*Y1643/(v01_ChildYears*4)</x:f>
        <x:v>0</x:v>
      </x:c>
      <x:c r="X1644" s="9" t="n">
        <x:f>H1644*Z1643/(v01_AdultYears*4)</x:f>
        <x:v>0</x:v>
      </x:c>
      <x:c r="Y1644" s="32" t="n">
        <x:f>Y1643+R1644-S1644-W1644-Y1643*V1644/AB1643</x:f>
        <x:v>14306.18539759397</x:v>
      </x:c>
      <x:c r="Z1644" s="32" t="n">
        <x:f>Z1643+W1644-X1644-T1644-Z1643*V1644/AB1643</x:f>
        <x:v>19354.456567879548</x:v>
      </x:c>
      <x:c r="AA1644" s="32" t="n">
        <x:f>AA1643+X1644-U1644-AA1643*V1644/AB1643</x:f>
        <x:v>11386.956063258198</x:v>
      </x:c>
      <x:c r="AB1644" s="10" t="n">
        <x:f>Y1644+Z1644+AA1644</x:f>
        <x:v>45047.59802873172</x:v>
      </x:c>
      <x:c r="AC1644" s="8" t="n">
        <x:f>IF(AND(v01_WinterTrigger=1,D1644=1,AB1643/AE1643&gt;=K1644),1,0)</x:f>
        <x:v>0</x:v>
      </x:c>
      <x:c r="AD1644" s="8" t="n">
        <x:f>H1644*IF(AND(OR(AB1643/AE1643&gt;=v01_FissionTrigger*N1644,AC1644=1),AB1643/AE1643*v01_DaughterShare&gt;=v01_MinDaughter),MAX(1,ROUND(AE1643*v01_FissionRate,0)),0)</x:f>
        <x:v>0</x:v>
      </x:c>
      <x:c r="AE1644" s="8" t="n">
        <x:f>IF(H1644=1,MAX(1,MIN(INDEX(v01_Smax,G1644),AE1643+AD1644)),AE1643)</x:f>
        <x:v>15</x:v>
      </x:c>
      <x:c r="AF1644" s="8" t="n">
        <x:f>MAX(0,AE1644-AE1643)</x:f>
        <x:v>0</x:v>
      </x:c>
      <x:c r="AG1644" s="9" t="str">
        <x:f>IF(AF1644&gt;0,B1644,"")</x:f>
      </x:c>
      <x:c r="AH1644" s="9" t="n">
        <x:f>IF(F1644&gt;=1,1,(1+v01_LowTiesShare*(AE1644-1))/AE1644)</x:f>
        <x:v>1</x:v>
      </x:c>
      <x:c r="AI1644" s="32" t="n">
        <x:f>(Z1644+v01_ElderCommons*INDEX(LM_Elder,G1644)*AA1644)*AH1644</x:f>
        <x:v>64139.732591141874</x:v>
      </x:c>
      <x:c r="AJ1644" s="32" t="n">
        <x:f>H1644*v01_CommonsCoef*AI1644^v01_CommonsExp*INDEX(LM_Commons,G1644)</x:f>
        <x:v>0</x:v>
      </x:c>
      <x:c r="AK1644" s="32" t="n">
        <x:f>H1644*v01_RoleScale*Arch_Roles*(AE1644*(INDEX(v01_ElderRolePerSett,G1644)*v01_OutElder*INDEX(LM_Elder,G1644)+INDEX(v01_ShamanPerSett,G1644)*v01_OutShaman)+Z1644*(INDEX(v01_PriestShare,G1644)*v01_OutPriest+INDEX(v01_ScribeShare,G1644)*v01_OutScribe*INDEX(LM_Scribe,G1644)+INDEX(v01_ScholarShare,G1644)*v01_OutScholar*INDEX(LM_Scholar,G1644)+INDEX(v01_ResearcherShare,G1644)*v01_OutResearcher*INDEX(LM_Researcher,G1644)))</x:f>
        <x:v>0</x:v>
      </x:c>
      <x:c r="AL1644" s="32" t="n">
        <x:f>H1644*v01_RoleScale*Arch_Roles*AE1644*INDEX(v01_MonasteryPerSett,G1644)*v01_OutMonastery*INDEX(LM_Monastery,G1644)</x:f>
        <x:v>0</x:v>
      </x:c>
      <x:c r="AM1644" s="32" t="n">
        <x:f>(AJ1644+AK1644+AL1644)/4*INDEX(LM_All,G1644)*INDEX(v01_Boon,G1644)*Arch_Insight</x:f>
        <x:v>0</x:v>
      </x:c>
      <x:c r="AN1644" s="32" t="n">
        <x:f>H1644*(v01_KHPerAdult*Z1644+v01_KHOfCommons*AJ1644/4*INDEX(LM_All,G1644))*v01_KHUsable*Arch_KH</x:f>
        <x:v>0</x:v>
      </x:c>
      <x:c r="AO1644" s="32" t="n">
        <x:f>MIN(AP1643+AN1644,AM1644*v01_KHMaxRatio)</x:f>
        <x:v>0</x:v>
      </x:c>
      <x:c r="AP1644" s="32" t="n">
        <x:f>AP1643+AN1644-AO1644</x:f>
        <x:v>0</x:v>
      </x:c>
      <x:c r="AQ1644" s="32" t="n">
        <x:f>AM1644+AO1644</x:f>
        <x:v>0</x:v>
      </x:c>
      <x:c r="AR1644" s="10" t="n">
        <x:f>IF(H1644=1,INDEX(v01_Req,G1644),0)</x:f>
        <x:v>0</x:v>
      </x:c>
      <x:c r="AS1644" s="32" t="n">
        <x:f>IF(H1644=1,IF(E1644=1,AS1643-AR1643,AS1643)+AQ1644,0)</x:f>
        <x:v>0</x:v>
      </x:c>
      <x:c r="AT1644" s="11" t="n">
        <x:f>IF(AR1644&gt;0,MIN(1,AS1644/AR1644),1)</x:f>
        <x:v>1</x:v>
      </x:c>
      <x:c r="AU1644" s="10" t="n">
        <x:f>AB1644/INDEX(v01_RepScale,G1644)</x:f>
        <x:v>90.09519605746344</x:v>
      </x:c>
      <x:c r="AV1644" s="32" t="n">
        <x:f>AM1644*60/v01_SeasonSeconds</x:f>
        <x:v>0</x:v>
      </x:c>
    </x:row>
    <x:row r="1645">
      <x:c r="A1645" s="8" t="n">
        <x:f>A1644+1</x:f>
        <x:v>1642</x:v>
      </x:c>
      <x:c r="B1645" s="9" t="n">
        <x:f>A1645*v01_SeasonSeconds/60</x:f>
        <x:v>410.5</x:v>
      </x:c>
      <x:c r="C1645" s="9" t="n">
        <x:f>A1645/4</x:f>
        <x:v>410.5</x:v>
      </x:c>
      <x:c r="D1645" s="8" t="n">
        <x:f>IF(MOD(A1645,4)=0,1,0)</x:f>
        <x:v>0</x:v>
      </x:c>
      <x:c r="E1645" s="8" t="n">
        <x:f>IF(AND(F1644&lt;=9,AS1644&gt;=AR1644),1,0)</x:f>
        <x:v>0</x:v>
      </x:c>
      <x:c r="F1645" s="8" t="n">
        <x:f>MIN(10,F1644+E1645)</x:f>
        <x:v>10</x:v>
      </x:c>
      <x:c r="G1645" s="8" t="n">
        <x:f>MIN(F1645,9)+1</x:f>
        <x:v>10</x:v>
      </x:c>
      <x:c r="H1645" s="8" t="n">
        <x:f>IF(F1645&lt;=9,1,0)</x:f>
        <x:v>0</x:v>
      </x:c>
      <x:c r="I1645" s="9" t="n">
        <x:f>MIN(10,F1644+IF(AR1644&gt;0,MIN(1,AS1644/AR1644),1))</x:f>
        <x:v>10</x:v>
      </x:c>
      <x:c r="J1645" s="32" t="n">
        <x:f>INDEX(v01_FoodCap,G1645)*Arch_FoodCap*EXP(v01_CapsByProject*SUMPRODUCT((Cap_Point&lt;=I1645)*(Cap_Kind="Food")*Cap_Ln))</x:f>
        <x:v>12000</x:v>
      </x:c>
      <x:c r="K1645" s="32" t="n">
        <x:f>J1645*MIN(1,v01_LeanBase*EXP(v01_CapsByProject*SUMPRODUCT((Cap_Point&lt;=I1645)*(Cap_Kind="Lean")*Cap_Ln)))</x:f>
        <x:v>12000</x:v>
      </x:c>
      <x:c r="L1645" s="10" t="n">
        <x:f>INDEX(v01_HousingCap,G1645)*EXP(v01_CapsByProject*SUMPRODUCT((Cap_Point&lt;=I1645)*(Cap_Kind="Housing")*Cap_Ln))</x:f>
        <x:v>20000</x:v>
      </x:c>
      <x:c r="M1645" s="10" t="n">
        <x:f>INDEX(v01_GroupCap,G1645)*v01_CohesionFactor*EXP(v01_CapsByProject*SUMPRODUCT((Cap_Point&lt;=I1645)*(Cap_Kind="Group")*Cap_Ln))</x:f>
        <x:v>1000000</x:v>
      </x:c>
      <x:c r="N1645" s="32" t="n">
        <x:f>MIN(J1645,L1645,M1645)</x:f>
        <x:v>12000</x:v>
      </x:c>
      <x:c r="O1645" s="10" t="n">
        <x:f>AE1644*N1645</x:f>
        <x:v>180000</x:v>
      </x:c>
      <x:c r="P1645" s="9" t="n">
        <x:f>MIN(1,(AB1644/(AE1644*IF(v01_GroupInCrowding=1,N1645,MIN(J1645,L1645))))^v01_CrowdingExp)</x:f>
        <x:v>0.00024569414295285325</x:v>
      </x:c>
      <x:c r="Q1645" s="9" t="n">
        <x:f>IF(D1645=1,INDEX(v01_WinterMult,G1645),1)</x:f>
        <x:v>1</x:v>
      </x:c>
      <x:c r="R1645" s="9" t="n">
        <x:f>H1645*Z1644*v01_WomenShare*v01_BaseFertility*INDEX(v01_FertMult,G1645)*Arch_Fertility*(1-P1645)</x:f>
        <x:v>0</x:v>
      </x:c>
      <x:c r="S1645" s="9" t="n">
        <x:f>H1645*Y1644*INDEX(v01_MortChild,G1645)/4*Q1645</x:f>
        <x:v>0</x:v>
      </x:c>
      <x:c r="T1645" s="9" t="n">
        <x:f>H1645*Z1644*INDEX(v01_MortAdult,G1645)*Arch_AdultMort/4*Q1645</x:f>
        <x:v>0</x:v>
      </x:c>
      <x:c r="U1645" s="9" t="n">
        <x:f>H1645*AA1644*INDEX(v01_MortElder,G1645)/4*Q1645</x:f>
        <x:v>0</x:v>
      </x:c>
      <x:c r="V1645" s="9" t="n">
        <x:f>H1645*MAX(0,AB1644-O1645)*v01_OvercapLoss</x:f>
        <x:v>0</x:v>
      </x:c>
      <x:c r="W1645" s="9" t="n">
        <x:f>H1645*Y1644/(v01_ChildYears*4)</x:f>
        <x:v>0</x:v>
      </x:c>
      <x:c r="X1645" s="9" t="n">
        <x:f>H1645*Z1644/(v01_AdultYears*4)</x:f>
        <x:v>0</x:v>
      </x:c>
      <x:c r="Y1645" s="32" t="n">
        <x:f>Y1644+R1645-S1645-W1645-Y1644*V1645/AB1644</x:f>
        <x:v>14306.18539759397</x:v>
      </x:c>
      <x:c r="Z1645" s="32" t="n">
        <x:f>Z1644+W1645-X1645-T1645-Z1644*V1645/AB1644</x:f>
        <x:v>19354.456567879548</x:v>
      </x:c>
      <x:c r="AA1645" s="32" t="n">
        <x:f>AA1644+X1645-U1645-AA1644*V1645/AB1644</x:f>
        <x:v>11386.956063258198</x:v>
      </x:c>
      <x:c r="AB1645" s="10" t="n">
        <x:f>Y1645+Z1645+AA1645</x:f>
        <x:v>45047.59802873172</x:v>
      </x:c>
      <x:c r="AC1645" s="8" t="n">
        <x:f>IF(AND(v01_WinterTrigger=1,D1645=1,AB1644/AE1644&gt;=K1645),1,0)</x:f>
        <x:v>0</x:v>
      </x:c>
      <x:c r="AD1645" s="8" t="n">
        <x:f>H1645*IF(AND(OR(AB1644/AE1644&gt;=v01_FissionTrigger*N1645,AC1645=1),AB1644/AE1644*v01_DaughterShare&gt;=v01_MinDaughter),MAX(1,ROUND(AE1644*v01_FissionRate,0)),0)</x:f>
        <x:v>0</x:v>
      </x:c>
      <x:c r="AE1645" s="8" t="n">
        <x:f>IF(H1645=1,MAX(1,MIN(INDEX(v01_Smax,G1645),AE1644+AD1645)),AE1644)</x:f>
        <x:v>15</x:v>
      </x:c>
      <x:c r="AF1645" s="8" t="n">
        <x:f>MAX(0,AE1645-AE1644)</x:f>
        <x:v>0</x:v>
      </x:c>
      <x:c r="AG1645" s="9" t="str">
        <x:f>IF(AF1645&gt;0,B1645,"")</x:f>
      </x:c>
      <x:c r="AH1645" s="9" t="n">
        <x:f>IF(F1645&gt;=1,1,(1+v01_LowTiesShare*(AE1645-1))/AE1645)</x:f>
        <x:v>1</x:v>
      </x:c>
      <x:c r="AI1645" s="32" t="n">
        <x:f>(Z1645+v01_ElderCommons*INDEX(LM_Elder,G1645)*AA1645)*AH1645</x:f>
        <x:v>64139.732591141874</x:v>
      </x:c>
      <x:c r="AJ1645" s="32" t="n">
        <x:f>H1645*v01_CommonsCoef*AI1645^v01_CommonsExp*INDEX(LM_Commons,G1645)</x:f>
        <x:v>0</x:v>
      </x:c>
      <x:c r="AK1645" s="32" t="n">
        <x:f>H1645*v01_RoleScale*Arch_Roles*(AE1645*(INDEX(v01_ElderRolePerSett,G1645)*v01_OutElder*INDEX(LM_Elder,G1645)+INDEX(v01_ShamanPerSett,G1645)*v01_OutShaman)+Z1645*(INDEX(v01_PriestShare,G1645)*v01_OutPriest+INDEX(v01_ScribeShare,G1645)*v01_OutScribe*INDEX(LM_Scribe,G1645)+INDEX(v01_ScholarShare,G1645)*v01_OutScholar*INDEX(LM_Scholar,G1645)+INDEX(v01_ResearcherShare,G1645)*v01_OutResearcher*INDEX(LM_Researcher,G1645)))</x:f>
        <x:v>0</x:v>
      </x:c>
      <x:c r="AL1645" s="32" t="n">
        <x:f>H1645*v01_RoleScale*Arch_Roles*AE1645*INDEX(v01_MonasteryPerSett,G1645)*v01_OutMonastery*INDEX(LM_Monastery,G1645)</x:f>
        <x:v>0</x:v>
      </x:c>
      <x:c r="AM1645" s="32" t="n">
        <x:f>(AJ1645+AK1645+AL1645)/4*INDEX(LM_All,G1645)*INDEX(v01_Boon,G1645)*Arch_Insight</x:f>
        <x:v>0</x:v>
      </x:c>
      <x:c r="AN1645" s="32" t="n">
        <x:f>H1645*(v01_KHPerAdult*Z1645+v01_KHOfCommons*AJ1645/4*INDEX(LM_All,G1645))*v01_KHUsable*Arch_KH</x:f>
        <x:v>0</x:v>
      </x:c>
      <x:c r="AO1645" s="32" t="n">
        <x:f>MIN(AP1644+AN1645,AM1645*v01_KHMaxRatio)</x:f>
        <x:v>0</x:v>
      </x:c>
      <x:c r="AP1645" s="32" t="n">
        <x:f>AP1644+AN1645-AO1645</x:f>
        <x:v>0</x:v>
      </x:c>
      <x:c r="AQ1645" s="32" t="n">
        <x:f>AM1645+AO1645</x:f>
        <x:v>0</x:v>
      </x:c>
      <x:c r="AR1645" s="10" t="n">
        <x:f>IF(H1645=1,INDEX(v01_Req,G1645),0)</x:f>
        <x:v>0</x:v>
      </x:c>
      <x:c r="AS1645" s="32" t="n">
        <x:f>IF(H1645=1,IF(E1645=1,AS1644-AR1644,AS1644)+AQ1645,0)</x:f>
        <x:v>0</x:v>
      </x:c>
      <x:c r="AT1645" s="11" t="n">
        <x:f>IF(AR1645&gt;0,MIN(1,AS1645/AR1645),1)</x:f>
        <x:v>1</x:v>
      </x:c>
      <x:c r="AU1645" s="10" t="n">
        <x:f>AB1645/INDEX(v01_RepScale,G1645)</x:f>
        <x:v>90.09519605746344</x:v>
      </x:c>
      <x:c r="AV1645" s="32" t="n">
        <x:f>AM1645*60/v01_SeasonSeconds</x:f>
        <x:v>0</x:v>
      </x:c>
    </x:row>
    <x:row r="1646">
      <x:c r="A1646" s="8" t="n">
        <x:f>A1645+1</x:f>
        <x:v>1643</x:v>
      </x:c>
      <x:c r="B1646" s="9" t="n">
        <x:f>A1646*v01_SeasonSeconds/60</x:f>
        <x:v>410.75</x:v>
      </x:c>
      <x:c r="C1646" s="9" t="n">
        <x:f>A1646/4</x:f>
        <x:v>410.75</x:v>
      </x:c>
      <x:c r="D1646" s="8" t="n">
        <x:f>IF(MOD(A1646,4)=0,1,0)</x:f>
        <x:v>0</x:v>
      </x:c>
      <x:c r="E1646" s="8" t="n">
        <x:f>IF(AND(F1645&lt;=9,AS1645&gt;=AR1645),1,0)</x:f>
        <x:v>0</x:v>
      </x:c>
      <x:c r="F1646" s="8" t="n">
        <x:f>MIN(10,F1645+E1646)</x:f>
        <x:v>10</x:v>
      </x:c>
      <x:c r="G1646" s="8" t="n">
        <x:f>MIN(F1646,9)+1</x:f>
        <x:v>10</x:v>
      </x:c>
      <x:c r="H1646" s="8" t="n">
        <x:f>IF(F1646&lt;=9,1,0)</x:f>
        <x:v>0</x:v>
      </x:c>
      <x:c r="I1646" s="9" t="n">
        <x:f>MIN(10,F1645+IF(AR1645&gt;0,MIN(1,AS1645/AR1645),1))</x:f>
        <x:v>10</x:v>
      </x:c>
      <x:c r="J1646" s="32" t="n">
        <x:f>INDEX(v01_FoodCap,G1646)*Arch_FoodCap*EXP(v01_CapsByProject*SUMPRODUCT((Cap_Point&lt;=I1646)*(Cap_Kind="Food")*Cap_Ln))</x:f>
        <x:v>12000</x:v>
      </x:c>
      <x:c r="K1646" s="32" t="n">
        <x:f>J1646*MIN(1,v01_LeanBase*EXP(v01_CapsByProject*SUMPRODUCT((Cap_Point&lt;=I1646)*(Cap_Kind="Lean")*Cap_Ln)))</x:f>
        <x:v>12000</x:v>
      </x:c>
      <x:c r="L1646" s="10" t="n">
        <x:f>INDEX(v01_HousingCap,G1646)*EXP(v01_CapsByProject*SUMPRODUCT((Cap_Point&lt;=I1646)*(Cap_Kind="Housing")*Cap_Ln))</x:f>
        <x:v>20000</x:v>
      </x:c>
      <x:c r="M1646" s="10" t="n">
        <x:f>INDEX(v01_GroupCap,G1646)*v01_CohesionFactor*EXP(v01_CapsByProject*SUMPRODUCT((Cap_Point&lt;=I1646)*(Cap_Kind="Group")*Cap_Ln))</x:f>
        <x:v>1000000</x:v>
      </x:c>
      <x:c r="N1646" s="32" t="n">
        <x:f>MIN(J1646,L1646,M1646)</x:f>
        <x:v>12000</x:v>
      </x:c>
      <x:c r="O1646" s="10" t="n">
        <x:f>AE1645*N1646</x:f>
        <x:v>180000</x:v>
      </x:c>
      <x:c r="P1646" s="9" t="n">
        <x:f>MIN(1,(AB1645/(AE1645*IF(v01_GroupInCrowding=1,N1646,MIN(J1646,L1646))))^v01_CrowdingExp)</x:f>
        <x:v>0.00024569414295285325</x:v>
      </x:c>
      <x:c r="Q1646" s="9" t="n">
        <x:f>IF(D1646=1,INDEX(v01_WinterMult,G1646),1)</x:f>
        <x:v>1</x:v>
      </x:c>
      <x:c r="R1646" s="9" t="n">
        <x:f>H1646*Z1645*v01_WomenShare*v01_BaseFertility*INDEX(v01_FertMult,G1646)*Arch_Fertility*(1-P1646)</x:f>
        <x:v>0</x:v>
      </x:c>
      <x:c r="S1646" s="9" t="n">
        <x:f>H1646*Y1645*INDEX(v01_MortChild,G1646)/4*Q1646</x:f>
        <x:v>0</x:v>
      </x:c>
      <x:c r="T1646" s="9" t="n">
        <x:f>H1646*Z1645*INDEX(v01_MortAdult,G1646)*Arch_AdultMort/4*Q1646</x:f>
        <x:v>0</x:v>
      </x:c>
      <x:c r="U1646" s="9" t="n">
        <x:f>H1646*AA1645*INDEX(v01_MortElder,G1646)/4*Q1646</x:f>
        <x:v>0</x:v>
      </x:c>
      <x:c r="V1646" s="9" t="n">
        <x:f>H1646*MAX(0,AB1645-O1646)*v01_OvercapLoss</x:f>
        <x:v>0</x:v>
      </x:c>
      <x:c r="W1646" s="9" t="n">
        <x:f>H1646*Y1645/(v01_ChildYears*4)</x:f>
        <x:v>0</x:v>
      </x:c>
      <x:c r="X1646" s="9" t="n">
        <x:f>H1646*Z1645/(v01_AdultYears*4)</x:f>
        <x:v>0</x:v>
      </x:c>
      <x:c r="Y1646" s="32" t="n">
        <x:f>Y1645+R1646-S1646-W1646-Y1645*V1646/AB1645</x:f>
        <x:v>14306.18539759397</x:v>
      </x:c>
      <x:c r="Z1646" s="32" t="n">
        <x:f>Z1645+W1646-X1646-T1646-Z1645*V1646/AB1645</x:f>
        <x:v>19354.456567879548</x:v>
      </x:c>
      <x:c r="AA1646" s="32" t="n">
        <x:f>AA1645+X1646-U1646-AA1645*V1646/AB1645</x:f>
        <x:v>11386.956063258198</x:v>
      </x:c>
      <x:c r="AB1646" s="10" t="n">
        <x:f>Y1646+Z1646+AA1646</x:f>
        <x:v>45047.59802873172</x:v>
      </x:c>
      <x:c r="AC1646" s="8" t="n">
        <x:f>IF(AND(v01_WinterTrigger=1,D1646=1,AB1645/AE1645&gt;=K1646),1,0)</x:f>
        <x:v>0</x:v>
      </x:c>
      <x:c r="AD1646" s="8" t="n">
        <x:f>H1646*IF(AND(OR(AB1645/AE1645&gt;=v01_FissionTrigger*N1646,AC1646=1),AB1645/AE1645*v01_DaughterShare&gt;=v01_MinDaughter),MAX(1,ROUND(AE1645*v01_FissionRate,0)),0)</x:f>
        <x:v>0</x:v>
      </x:c>
      <x:c r="AE1646" s="8" t="n">
        <x:f>IF(H1646=1,MAX(1,MIN(INDEX(v01_Smax,G1646),AE1645+AD1646)),AE1645)</x:f>
        <x:v>15</x:v>
      </x:c>
      <x:c r="AF1646" s="8" t="n">
        <x:f>MAX(0,AE1646-AE1645)</x:f>
        <x:v>0</x:v>
      </x:c>
      <x:c r="AG1646" s="9" t="str">
        <x:f>IF(AF1646&gt;0,B1646,"")</x:f>
      </x:c>
      <x:c r="AH1646" s="9" t="n">
        <x:f>IF(F1646&gt;=1,1,(1+v01_LowTiesShare*(AE1646-1))/AE1646)</x:f>
        <x:v>1</x:v>
      </x:c>
      <x:c r="AI1646" s="32" t="n">
        <x:f>(Z1646+v01_ElderCommons*INDEX(LM_Elder,G1646)*AA1646)*AH1646</x:f>
        <x:v>64139.732591141874</x:v>
      </x:c>
      <x:c r="AJ1646" s="32" t="n">
        <x:f>H1646*v01_CommonsCoef*AI1646^v01_CommonsExp*INDEX(LM_Commons,G1646)</x:f>
        <x:v>0</x:v>
      </x:c>
      <x:c r="AK1646" s="32" t="n">
        <x:f>H1646*v01_RoleScale*Arch_Roles*(AE1646*(INDEX(v01_ElderRolePerSett,G1646)*v01_OutElder*INDEX(LM_Elder,G1646)+INDEX(v01_ShamanPerSett,G1646)*v01_OutShaman)+Z1646*(INDEX(v01_PriestShare,G1646)*v01_OutPriest+INDEX(v01_ScribeShare,G1646)*v01_OutScribe*INDEX(LM_Scribe,G1646)+INDEX(v01_ScholarShare,G1646)*v01_OutScholar*INDEX(LM_Scholar,G1646)+INDEX(v01_ResearcherShare,G1646)*v01_OutResearcher*INDEX(LM_Researcher,G1646)))</x:f>
        <x:v>0</x:v>
      </x:c>
      <x:c r="AL1646" s="32" t="n">
        <x:f>H1646*v01_RoleScale*Arch_Roles*AE1646*INDEX(v01_MonasteryPerSett,G1646)*v01_OutMonastery*INDEX(LM_Monastery,G1646)</x:f>
        <x:v>0</x:v>
      </x:c>
      <x:c r="AM1646" s="32" t="n">
        <x:f>(AJ1646+AK1646+AL1646)/4*INDEX(LM_All,G1646)*INDEX(v01_Boon,G1646)*Arch_Insight</x:f>
        <x:v>0</x:v>
      </x:c>
      <x:c r="AN1646" s="32" t="n">
        <x:f>H1646*(v01_KHPerAdult*Z1646+v01_KHOfCommons*AJ1646/4*INDEX(LM_All,G1646))*v01_KHUsable*Arch_KH</x:f>
        <x:v>0</x:v>
      </x:c>
      <x:c r="AO1646" s="32" t="n">
        <x:f>MIN(AP1645+AN1646,AM1646*v01_KHMaxRatio)</x:f>
        <x:v>0</x:v>
      </x:c>
      <x:c r="AP1646" s="32" t="n">
        <x:f>AP1645+AN1646-AO1646</x:f>
        <x:v>0</x:v>
      </x:c>
      <x:c r="AQ1646" s="32" t="n">
        <x:f>AM1646+AO1646</x:f>
        <x:v>0</x:v>
      </x:c>
      <x:c r="AR1646" s="10" t="n">
        <x:f>IF(H1646=1,INDEX(v01_Req,G1646),0)</x:f>
        <x:v>0</x:v>
      </x:c>
      <x:c r="AS1646" s="32" t="n">
        <x:f>IF(H1646=1,IF(E1646=1,AS1645-AR1645,AS1645)+AQ1646,0)</x:f>
        <x:v>0</x:v>
      </x:c>
      <x:c r="AT1646" s="11" t="n">
        <x:f>IF(AR1646&gt;0,MIN(1,AS1646/AR1646),1)</x:f>
        <x:v>1</x:v>
      </x:c>
      <x:c r="AU1646" s="10" t="n">
        <x:f>AB1646/INDEX(v01_RepScale,G1646)</x:f>
        <x:v>90.09519605746344</x:v>
      </x:c>
      <x:c r="AV1646" s="32" t="n">
        <x:f>AM1646*60/v01_SeasonSeconds</x:f>
        <x:v>0</x:v>
      </x:c>
    </x:row>
    <x:row r="1647">
      <x:c r="A1647" s="8" t="n">
        <x:f>A1646+1</x:f>
        <x:v>1644</x:v>
      </x:c>
      <x:c r="B1647" s="9" t="n">
        <x:f>A1647*v01_SeasonSeconds/60</x:f>
        <x:v>411</x:v>
      </x:c>
      <x:c r="C1647" s="9" t="n">
        <x:f>A1647/4</x:f>
        <x:v>411</x:v>
      </x:c>
      <x:c r="D1647" s="8" t="n">
        <x:f>IF(MOD(A1647,4)=0,1,0)</x:f>
        <x:v>1</x:v>
      </x:c>
      <x:c r="E1647" s="8" t="n">
        <x:f>IF(AND(F1646&lt;=9,AS1646&gt;=AR1646),1,0)</x:f>
        <x:v>0</x:v>
      </x:c>
      <x:c r="F1647" s="8" t="n">
        <x:f>MIN(10,F1646+E1647)</x:f>
        <x:v>10</x:v>
      </x:c>
      <x:c r="G1647" s="8" t="n">
        <x:f>MIN(F1647,9)+1</x:f>
        <x:v>10</x:v>
      </x:c>
      <x:c r="H1647" s="8" t="n">
        <x:f>IF(F1647&lt;=9,1,0)</x:f>
        <x:v>0</x:v>
      </x:c>
      <x:c r="I1647" s="9" t="n">
        <x:f>MIN(10,F1646+IF(AR1646&gt;0,MIN(1,AS1646/AR1646),1))</x:f>
        <x:v>10</x:v>
      </x:c>
      <x:c r="J1647" s="32" t="n">
        <x:f>INDEX(v01_FoodCap,G1647)*Arch_FoodCap*EXP(v01_CapsByProject*SUMPRODUCT((Cap_Point&lt;=I1647)*(Cap_Kind="Food")*Cap_Ln))</x:f>
        <x:v>12000</x:v>
      </x:c>
      <x:c r="K1647" s="32" t="n">
        <x:f>J1647*MIN(1,v01_LeanBase*EXP(v01_CapsByProject*SUMPRODUCT((Cap_Point&lt;=I1647)*(Cap_Kind="Lean")*Cap_Ln)))</x:f>
        <x:v>12000</x:v>
      </x:c>
      <x:c r="L1647" s="10" t="n">
        <x:f>INDEX(v01_HousingCap,G1647)*EXP(v01_CapsByProject*SUMPRODUCT((Cap_Point&lt;=I1647)*(Cap_Kind="Housing")*Cap_Ln))</x:f>
        <x:v>20000</x:v>
      </x:c>
      <x:c r="M1647" s="10" t="n">
        <x:f>INDEX(v01_GroupCap,G1647)*v01_CohesionFactor*EXP(v01_CapsByProject*SUMPRODUCT((Cap_Point&lt;=I1647)*(Cap_Kind="Group")*Cap_Ln))</x:f>
        <x:v>1000000</x:v>
      </x:c>
      <x:c r="N1647" s="32" t="n">
        <x:f>MIN(J1647,L1647,M1647)</x:f>
        <x:v>12000</x:v>
      </x:c>
      <x:c r="O1647" s="10" t="n">
        <x:f>AE1646*N1647</x:f>
        <x:v>180000</x:v>
      </x:c>
      <x:c r="P1647" s="9" t="n">
        <x:f>MIN(1,(AB1646/(AE1646*IF(v01_GroupInCrowding=1,N1647,MIN(J1647,L1647))))^v01_CrowdingExp)</x:f>
        <x:v>0.00024569414295285325</x:v>
      </x:c>
      <x:c r="Q1647" s="9" t="n">
        <x:f>IF(D1647=1,INDEX(v01_WinterMult,G1647),1)</x:f>
        <x:v>1</x:v>
      </x:c>
      <x:c r="R1647" s="9" t="n">
        <x:f>H1647*Z1646*v01_WomenShare*v01_BaseFertility*INDEX(v01_FertMult,G1647)*Arch_Fertility*(1-P1647)</x:f>
        <x:v>0</x:v>
      </x:c>
      <x:c r="S1647" s="9" t="n">
        <x:f>H1647*Y1646*INDEX(v01_MortChild,G1647)/4*Q1647</x:f>
        <x:v>0</x:v>
      </x:c>
      <x:c r="T1647" s="9" t="n">
        <x:f>H1647*Z1646*INDEX(v01_MortAdult,G1647)*Arch_AdultMort/4*Q1647</x:f>
        <x:v>0</x:v>
      </x:c>
      <x:c r="U1647" s="9" t="n">
        <x:f>H1647*AA1646*INDEX(v01_MortElder,G1647)/4*Q1647</x:f>
        <x:v>0</x:v>
      </x:c>
      <x:c r="V1647" s="9" t="n">
        <x:f>H1647*MAX(0,AB1646-O1647)*v01_OvercapLoss</x:f>
        <x:v>0</x:v>
      </x:c>
      <x:c r="W1647" s="9" t="n">
        <x:f>H1647*Y1646/(v01_ChildYears*4)</x:f>
        <x:v>0</x:v>
      </x:c>
      <x:c r="X1647" s="9" t="n">
        <x:f>H1647*Z1646/(v01_AdultYears*4)</x:f>
        <x:v>0</x:v>
      </x:c>
      <x:c r="Y1647" s="32" t="n">
        <x:f>Y1646+R1647-S1647-W1647-Y1646*V1647/AB1646</x:f>
        <x:v>14306.18539759397</x:v>
      </x:c>
      <x:c r="Z1647" s="32" t="n">
        <x:f>Z1646+W1647-X1647-T1647-Z1646*V1647/AB1646</x:f>
        <x:v>19354.456567879548</x:v>
      </x:c>
      <x:c r="AA1647" s="32" t="n">
        <x:f>AA1646+X1647-U1647-AA1646*V1647/AB1646</x:f>
        <x:v>11386.956063258198</x:v>
      </x:c>
      <x:c r="AB1647" s="10" t="n">
        <x:f>Y1647+Z1647+AA1647</x:f>
        <x:v>45047.59802873172</x:v>
      </x:c>
      <x:c r="AC1647" s="8" t="n">
        <x:f>IF(AND(v01_WinterTrigger=1,D1647=1,AB1646/AE1646&gt;=K1647),1,0)</x:f>
        <x:v>0</x:v>
      </x:c>
      <x:c r="AD1647" s="8" t="n">
        <x:f>H1647*IF(AND(OR(AB1646/AE1646&gt;=v01_FissionTrigger*N1647,AC1647=1),AB1646/AE1646*v01_DaughterShare&gt;=v01_MinDaughter),MAX(1,ROUND(AE1646*v01_FissionRate,0)),0)</x:f>
        <x:v>0</x:v>
      </x:c>
      <x:c r="AE1647" s="8" t="n">
        <x:f>IF(H1647=1,MAX(1,MIN(INDEX(v01_Smax,G1647),AE1646+AD1647)),AE1646)</x:f>
        <x:v>15</x:v>
      </x:c>
      <x:c r="AF1647" s="8" t="n">
        <x:f>MAX(0,AE1647-AE1646)</x:f>
        <x:v>0</x:v>
      </x:c>
      <x:c r="AG1647" s="9" t="str">
        <x:f>IF(AF1647&gt;0,B1647,"")</x:f>
      </x:c>
      <x:c r="AH1647" s="9" t="n">
        <x:f>IF(F1647&gt;=1,1,(1+v01_LowTiesShare*(AE1647-1))/AE1647)</x:f>
        <x:v>1</x:v>
      </x:c>
      <x:c r="AI1647" s="32" t="n">
        <x:f>(Z1647+v01_ElderCommons*INDEX(LM_Elder,G1647)*AA1647)*AH1647</x:f>
        <x:v>64139.732591141874</x:v>
      </x:c>
      <x:c r="AJ1647" s="32" t="n">
        <x:f>H1647*v01_CommonsCoef*AI1647^v01_CommonsExp*INDEX(LM_Commons,G1647)</x:f>
        <x:v>0</x:v>
      </x:c>
      <x:c r="AK1647" s="32" t="n">
        <x:f>H1647*v01_RoleScale*Arch_Roles*(AE1647*(INDEX(v01_ElderRolePerSett,G1647)*v01_OutElder*INDEX(LM_Elder,G1647)+INDEX(v01_ShamanPerSett,G1647)*v01_OutShaman)+Z1647*(INDEX(v01_PriestShare,G1647)*v01_OutPriest+INDEX(v01_ScribeShare,G1647)*v01_OutScribe*INDEX(LM_Scribe,G1647)+INDEX(v01_ScholarShare,G1647)*v01_OutScholar*INDEX(LM_Scholar,G1647)+INDEX(v01_ResearcherShare,G1647)*v01_OutResearcher*INDEX(LM_Researcher,G1647)))</x:f>
        <x:v>0</x:v>
      </x:c>
      <x:c r="AL1647" s="32" t="n">
        <x:f>H1647*v01_RoleScale*Arch_Roles*AE1647*INDEX(v01_MonasteryPerSett,G1647)*v01_OutMonastery*INDEX(LM_Monastery,G1647)</x:f>
        <x:v>0</x:v>
      </x:c>
      <x:c r="AM1647" s="32" t="n">
        <x:f>(AJ1647+AK1647+AL1647)/4*INDEX(LM_All,G1647)*INDEX(v01_Boon,G1647)*Arch_Insight</x:f>
        <x:v>0</x:v>
      </x:c>
      <x:c r="AN1647" s="32" t="n">
        <x:f>H1647*(v01_KHPerAdult*Z1647+v01_KHOfCommons*AJ1647/4*INDEX(LM_All,G1647))*v01_KHUsable*Arch_KH</x:f>
        <x:v>0</x:v>
      </x:c>
      <x:c r="AO1647" s="32" t="n">
        <x:f>MIN(AP1646+AN1647,AM1647*v01_KHMaxRatio)</x:f>
        <x:v>0</x:v>
      </x:c>
      <x:c r="AP1647" s="32" t="n">
        <x:f>AP1646+AN1647-AO1647</x:f>
        <x:v>0</x:v>
      </x:c>
      <x:c r="AQ1647" s="32" t="n">
        <x:f>AM1647+AO1647</x:f>
        <x:v>0</x:v>
      </x:c>
      <x:c r="AR1647" s="10" t="n">
        <x:f>IF(H1647=1,INDEX(v01_Req,G1647),0)</x:f>
        <x:v>0</x:v>
      </x:c>
      <x:c r="AS1647" s="32" t="n">
        <x:f>IF(H1647=1,IF(E1647=1,AS1646-AR1646,AS1646)+AQ1647,0)</x:f>
        <x:v>0</x:v>
      </x:c>
      <x:c r="AT1647" s="11" t="n">
        <x:f>IF(AR1647&gt;0,MIN(1,AS1647/AR1647),1)</x:f>
        <x:v>1</x:v>
      </x:c>
      <x:c r="AU1647" s="10" t="n">
        <x:f>AB1647/INDEX(v01_RepScale,G1647)</x:f>
        <x:v>90.09519605746344</x:v>
      </x:c>
      <x:c r="AV1647" s="32" t="n">
        <x:f>AM1647*60/v01_SeasonSeconds</x:f>
        <x:v>0</x:v>
      </x:c>
    </x:row>
    <x:row r="1648">
      <x:c r="A1648" s="8" t="n">
        <x:f>A1647+1</x:f>
        <x:v>1645</x:v>
      </x:c>
      <x:c r="B1648" s="9" t="n">
        <x:f>A1648*v01_SeasonSeconds/60</x:f>
        <x:v>411.25</x:v>
      </x:c>
      <x:c r="C1648" s="9" t="n">
        <x:f>A1648/4</x:f>
        <x:v>411.25</x:v>
      </x:c>
      <x:c r="D1648" s="8" t="n">
        <x:f>IF(MOD(A1648,4)=0,1,0)</x:f>
        <x:v>0</x:v>
      </x:c>
      <x:c r="E1648" s="8" t="n">
        <x:f>IF(AND(F1647&lt;=9,AS1647&gt;=AR1647),1,0)</x:f>
        <x:v>0</x:v>
      </x:c>
      <x:c r="F1648" s="8" t="n">
        <x:f>MIN(10,F1647+E1648)</x:f>
        <x:v>10</x:v>
      </x:c>
      <x:c r="G1648" s="8" t="n">
        <x:f>MIN(F1648,9)+1</x:f>
        <x:v>10</x:v>
      </x:c>
      <x:c r="H1648" s="8" t="n">
        <x:f>IF(F1648&lt;=9,1,0)</x:f>
        <x:v>0</x:v>
      </x:c>
      <x:c r="I1648" s="9" t="n">
        <x:f>MIN(10,F1647+IF(AR1647&gt;0,MIN(1,AS1647/AR1647),1))</x:f>
        <x:v>10</x:v>
      </x:c>
      <x:c r="J1648" s="32" t="n">
        <x:f>INDEX(v01_FoodCap,G1648)*Arch_FoodCap*EXP(v01_CapsByProject*SUMPRODUCT((Cap_Point&lt;=I1648)*(Cap_Kind="Food")*Cap_Ln))</x:f>
        <x:v>12000</x:v>
      </x:c>
      <x:c r="K1648" s="32" t="n">
        <x:f>J1648*MIN(1,v01_LeanBase*EXP(v01_CapsByProject*SUMPRODUCT((Cap_Point&lt;=I1648)*(Cap_Kind="Lean")*Cap_Ln)))</x:f>
        <x:v>12000</x:v>
      </x:c>
      <x:c r="L1648" s="10" t="n">
        <x:f>INDEX(v01_HousingCap,G1648)*EXP(v01_CapsByProject*SUMPRODUCT((Cap_Point&lt;=I1648)*(Cap_Kind="Housing")*Cap_Ln))</x:f>
        <x:v>20000</x:v>
      </x:c>
      <x:c r="M1648" s="10" t="n">
        <x:f>INDEX(v01_GroupCap,G1648)*v01_CohesionFactor*EXP(v01_CapsByProject*SUMPRODUCT((Cap_Point&lt;=I1648)*(Cap_Kind="Group")*Cap_Ln))</x:f>
        <x:v>1000000</x:v>
      </x:c>
      <x:c r="N1648" s="32" t="n">
        <x:f>MIN(J1648,L1648,M1648)</x:f>
        <x:v>12000</x:v>
      </x:c>
      <x:c r="O1648" s="10" t="n">
        <x:f>AE1647*N1648</x:f>
        <x:v>180000</x:v>
      </x:c>
      <x:c r="P1648" s="9" t="n">
        <x:f>MIN(1,(AB1647/(AE1647*IF(v01_GroupInCrowding=1,N1648,MIN(J1648,L1648))))^v01_CrowdingExp)</x:f>
        <x:v>0.00024569414295285325</x:v>
      </x:c>
      <x:c r="Q1648" s="9" t="n">
        <x:f>IF(D1648=1,INDEX(v01_WinterMult,G1648),1)</x:f>
        <x:v>1</x:v>
      </x:c>
      <x:c r="R1648" s="9" t="n">
        <x:f>H1648*Z1647*v01_WomenShare*v01_BaseFertility*INDEX(v01_FertMult,G1648)*Arch_Fertility*(1-P1648)</x:f>
        <x:v>0</x:v>
      </x:c>
      <x:c r="S1648" s="9" t="n">
        <x:f>H1648*Y1647*INDEX(v01_MortChild,G1648)/4*Q1648</x:f>
        <x:v>0</x:v>
      </x:c>
      <x:c r="T1648" s="9" t="n">
        <x:f>H1648*Z1647*INDEX(v01_MortAdult,G1648)*Arch_AdultMort/4*Q1648</x:f>
        <x:v>0</x:v>
      </x:c>
      <x:c r="U1648" s="9" t="n">
        <x:f>H1648*AA1647*INDEX(v01_MortElder,G1648)/4*Q1648</x:f>
        <x:v>0</x:v>
      </x:c>
      <x:c r="V1648" s="9" t="n">
        <x:f>H1648*MAX(0,AB1647-O1648)*v01_OvercapLoss</x:f>
        <x:v>0</x:v>
      </x:c>
      <x:c r="W1648" s="9" t="n">
        <x:f>H1648*Y1647/(v01_ChildYears*4)</x:f>
        <x:v>0</x:v>
      </x:c>
      <x:c r="X1648" s="9" t="n">
        <x:f>H1648*Z1647/(v01_AdultYears*4)</x:f>
        <x:v>0</x:v>
      </x:c>
      <x:c r="Y1648" s="32" t="n">
        <x:f>Y1647+R1648-S1648-W1648-Y1647*V1648/AB1647</x:f>
        <x:v>14306.18539759397</x:v>
      </x:c>
      <x:c r="Z1648" s="32" t="n">
        <x:f>Z1647+W1648-X1648-T1648-Z1647*V1648/AB1647</x:f>
        <x:v>19354.456567879548</x:v>
      </x:c>
      <x:c r="AA1648" s="32" t="n">
        <x:f>AA1647+X1648-U1648-AA1647*V1648/AB1647</x:f>
        <x:v>11386.956063258198</x:v>
      </x:c>
      <x:c r="AB1648" s="10" t="n">
        <x:f>Y1648+Z1648+AA1648</x:f>
        <x:v>45047.59802873172</x:v>
      </x:c>
      <x:c r="AC1648" s="8" t="n">
        <x:f>IF(AND(v01_WinterTrigger=1,D1648=1,AB1647/AE1647&gt;=K1648),1,0)</x:f>
        <x:v>0</x:v>
      </x:c>
      <x:c r="AD1648" s="8" t="n">
        <x:f>H1648*IF(AND(OR(AB1647/AE1647&gt;=v01_FissionTrigger*N1648,AC1648=1),AB1647/AE1647*v01_DaughterShare&gt;=v01_MinDaughter),MAX(1,ROUND(AE1647*v01_FissionRate,0)),0)</x:f>
        <x:v>0</x:v>
      </x:c>
      <x:c r="AE1648" s="8" t="n">
        <x:f>IF(H1648=1,MAX(1,MIN(INDEX(v01_Smax,G1648),AE1647+AD1648)),AE1647)</x:f>
        <x:v>15</x:v>
      </x:c>
      <x:c r="AF1648" s="8" t="n">
        <x:f>MAX(0,AE1648-AE1647)</x:f>
        <x:v>0</x:v>
      </x:c>
      <x:c r="AG1648" s="9" t="str">
        <x:f>IF(AF1648&gt;0,B1648,"")</x:f>
      </x:c>
      <x:c r="AH1648" s="9" t="n">
        <x:f>IF(F1648&gt;=1,1,(1+v01_LowTiesShare*(AE1648-1))/AE1648)</x:f>
        <x:v>1</x:v>
      </x:c>
      <x:c r="AI1648" s="32" t="n">
        <x:f>(Z1648+v01_ElderCommons*INDEX(LM_Elder,G1648)*AA1648)*AH1648</x:f>
        <x:v>64139.732591141874</x:v>
      </x:c>
      <x:c r="AJ1648" s="32" t="n">
        <x:f>H1648*v01_CommonsCoef*AI1648^v01_CommonsExp*INDEX(LM_Commons,G1648)</x:f>
        <x:v>0</x:v>
      </x:c>
      <x:c r="AK1648" s="32" t="n">
        <x:f>H1648*v01_RoleScale*Arch_Roles*(AE1648*(INDEX(v01_ElderRolePerSett,G1648)*v01_OutElder*INDEX(LM_Elder,G1648)+INDEX(v01_ShamanPerSett,G1648)*v01_OutShaman)+Z1648*(INDEX(v01_PriestShare,G1648)*v01_OutPriest+INDEX(v01_ScribeShare,G1648)*v01_OutScribe*INDEX(LM_Scribe,G1648)+INDEX(v01_ScholarShare,G1648)*v01_OutScholar*INDEX(LM_Scholar,G1648)+INDEX(v01_ResearcherShare,G1648)*v01_OutResearcher*INDEX(LM_Researcher,G1648)))</x:f>
        <x:v>0</x:v>
      </x:c>
      <x:c r="AL1648" s="32" t="n">
        <x:f>H1648*v01_RoleScale*Arch_Roles*AE1648*INDEX(v01_MonasteryPerSett,G1648)*v01_OutMonastery*INDEX(LM_Monastery,G1648)</x:f>
        <x:v>0</x:v>
      </x:c>
      <x:c r="AM1648" s="32" t="n">
        <x:f>(AJ1648+AK1648+AL1648)/4*INDEX(LM_All,G1648)*INDEX(v01_Boon,G1648)*Arch_Insight</x:f>
        <x:v>0</x:v>
      </x:c>
      <x:c r="AN1648" s="32" t="n">
        <x:f>H1648*(v01_KHPerAdult*Z1648+v01_KHOfCommons*AJ1648/4*INDEX(LM_All,G1648))*v01_KHUsable*Arch_KH</x:f>
        <x:v>0</x:v>
      </x:c>
      <x:c r="AO1648" s="32" t="n">
        <x:f>MIN(AP1647+AN1648,AM1648*v01_KHMaxRatio)</x:f>
        <x:v>0</x:v>
      </x:c>
      <x:c r="AP1648" s="32" t="n">
        <x:f>AP1647+AN1648-AO1648</x:f>
        <x:v>0</x:v>
      </x:c>
      <x:c r="AQ1648" s="32" t="n">
        <x:f>AM1648+AO1648</x:f>
        <x:v>0</x:v>
      </x:c>
      <x:c r="AR1648" s="10" t="n">
        <x:f>IF(H1648=1,INDEX(v01_Req,G1648),0)</x:f>
        <x:v>0</x:v>
      </x:c>
      <x:c r="AS1648" s="32" t="n">
        <x:f>IF(H1648=1,IF(E1648=1,AS1647-AR1647,AS1647)+AQ1648,0)</x:f>
        <x:v>0</x:v>
      </x:c>
      <x:c r="AT1648" s="11" t="n">
        <x:f>IF(AR1648&gt;0,MIN(1,AS1648/AR1648),1)</x:f>
        <x:v>1</x:v>
      </x:c>
      <x:c r="AU1648" s="10" t="n">
        <x:f>AB1648/INDEX(v01_RepScale,G1648)</x:f>
        <x:v>90.09519605746344</x:v>
      </x:c>
      <x:c r="AV1648" s="32" t="n">
        <x:f>AM1648*60/v01_SeasonSeconds</x:f>
        <x:v>0</x:v>
      </x:c>
    </x:row>
    <x:row r="1649">
      <x:c r="A1649" s="8" t="n">
        <x:f>A1648+1</x:f>
        <x:v>1646</x:v>
      </x:c>
      <x:c r="B1649" s="9" t="n">
        <x:f>A1649*v01_SeasonSeconds/60</x:f>
        <x:v>411.5</x:v>
      </x:c>
      <x:c r="C1649" s="9" t="n">
        <x:f>A1649/4</x:f>
        <x:v>411.5</x:v>
      </x:c>
      <x:c r="D1649" s="8" t="n">
        <x:f>IF(MOD(A1649,4)=0,1,0)</x:f>
        <x:v>0</x:v>
      </x:c>
      <x:c r="E1649" s="8" t="n">
        <x:f>IF(AND(F1648&lt;=9,AS1648&gt;=AR1648),1,0)</x:f>
        <x:v>0</x:v>
      </x:c>
      <x:c r="F1649" s="8" t="n">
        <x:f>MIN(10,F1648+E1649)</x:f>
        <x:v>10</x:v>
      </x:c>
      <x:c r="G1649" s="8" t="n">
        <x:f>MIN(F1649,9)+1</x:f>
        <x:v>10</x:v>
      </x:c>
      <x:c r="H1649" s="8" t="n">
        <x:f>IF(F1649&lt;=9,1,0)</x:f>
        <x:v>0</x:v>
      </x:c>
      <x:c r="I1649" s="9" t="n">
        <x:f>MIN(10,F1648+IF(AR1648&gt;0,MIN(1,AS1648/AR1648),1))</x:f>
        <x:v>10</x:v>
      </x:c>
      <x:c r="J1649" s="32" t="n">
        <x:f>INDEX(v01_FoodCap,G1649)*Arch_FoodCap*EXP(v01_CapsByProject*SUMPRODUCT((Cap_Point&lt;=I1649)*(Cap_Kind="Food")*Cap_Ln))</x:f>
        <x:v>12000</x:v>
      </x:c>
      <x:c r="K1649" s="32" t="n">
        <x:f>J1649*MIN(1,v01_LeanBase*EXP(v01_CapsByProject*SUMPRODUCT((Cap_Point&lt;=I1649)*(Cap_Kind="Lean")*Cap_Ln)))</x:f>
        <x:v>12000</x:v>
      </x:c>
      <x:c r="L1649" s="10" t="n">
        <x:f>INDEX(v01_HousingCap,G1649)*EXP(v01_CapsByProject*SUMPRODUCT((Cap_Point&lt;=I1649)*(Cap_Kind="Housing")*Cap_Ln))</x:f>
        <x:v>20000</x:v>
      </x:c>
      <x:c r="M1649" s="10" t="n">
        <x:f>INDEX(v01_GroupCap,G1649)*v01_CohesionFactor*EXP(v01_CapsByProject*SUMPRODUCT((Cap_Point&lt;=I1649)*(Cap_Kind="Group")*Cap_Ln))</x:f>
        <x:v>1000000</x:v>
      </x:c>
      <x:c r="N1649" s="32" t="n">
        <x:f>MIN(J1649,L1649,M1649)</x:f>
        <x:v>12000</x:v>
      </x:c>
      <x:c r="O1649" s="10" t="n">
        <x:f>AE1648*N1649</x:f>
        <x:v>180000</x:v>
      </x:c>
      <x:c r="P1649" s="9" t="n">
        <x:f>MIN(1,(AB1648/(AE1648*IF(v01_GroupInCrowding=1,N1649,MIN(J1649,L1649))))^v01_CrowdingExp)</x:f>
        <x:v>0.00024569414295285325</x:v>
      </x:c>
      <x:c r="Q1649" s="9" t="n">
        <x:f>IF(D1649=1,INDEX(v01_WinterMult,G1649),1)</x:f>
        <x:v>1</x:v>
      </x:c>
      <x:c r="R1649" s="9" t="n">
        <x:f>H1649*Z1648*v01_WomenShare*v01_BaseFertility*INDEX(v01_FertMult,G1649)*Arch_Fertility*(1-P1649)</x:f>
        <x:v>0</x:v>
      </x:c>
      <x:c r="S1649" s="9" t="n">
        <x:f>H1649*Y1648*INDEX(v01_MortChild,G1649)/4*Q1649</x:f>
        <x:v>0</x:v>
      </x:c>
      <x:c r="T1649" s="9" t="n">
        <x:f>H1649*Z1648*INDEX(v01_MortAdult,G1649)*Arch_AdultMort/4*Q1649</x:f>
        <x:v>0</x:v>
      </x:c>
      <x:c r="U1649" s="9" t="n">
        <x:f>H1649*AA1648*INDEX(v01_MortElder,G1649)/4*Q1649</x:f>
        <x:v>0</x:v>
      </x:c>
      <x:c r="V1649" s="9" t="n">
        <x:f>H1649*MAX(0,AB1648-O1649)*v01_OvercapLoss</x:f>
        <x:v>0</x:v>
      </x:c>
      <x:c r="W1649" s="9" t="n">
        <x:f>H1649*Y1648/(v01_ChildYears*4)</x:f>
        <x:v>0</x:v>
      </x:c>
      <x:c r="X1649" s="9" t="n">
        <x:f>H1649*Z1648/(v01_AdultYears*4)</x:f>
        <x:v>0</x:v>
      </x:c>
      <x:c r="Y1649" s="32" t="n">
        <x:f>Y1648+R1649-S1649-W1649-Y1648*V1649/AB1648</x:f>
        <x:v>14306.18539759397</x:v>
      </x:c>
      <x:c r="Z1649" s="32" t="n">
        <x:f>Z1648+W1649-X1649-T1649-Z1648*V1649/AB1648</x:f>
        <x:v>19354.456567879548</x:v>
      </x:c>
      <x:c r="AA1649" s="32" t="n">
        <x:f>AA1648+X1649-U1649-AA1648*V1649/AB1648</x:f>
        <x:v>11386.956063258198</x:v>
      </x:c>
      <x:c r="AB1649" s="10" t="n">
        <x:f>Y1649+Z1649+AA1649</x:f>
        <x:v>45047.59802873172</x:v>
      </x:c>
      <x:c r="AC1649" s="8" t="n">
        <x:f>IF(AND(v01_WinterTrigger=1,D1649=1,AB1648/AE1648&gt;=K1649),1,0)</x:f>
        <x:v>0</x:v>
      </x:c>
      <x:c r="AD1649" s="8" t="n">
        <x:f>H1649*IF(AND(OR(AB1648/AE1648&gt;=v01_FissionTrigger*N1649,AC1649=1),AB1648/AE1648*v01_DaughterShare&gt;=v01_MinDaughter),MAX(1,ROUND(AE1648*v01_FissionRate,0)),0)</x:f>
        <x:v>0</x:v>
      </x:c>
      <x:c r="AE1649" s="8" t="n">
        <x:f>IF(H1649=1,MAX(1,MIN(INDEX(v01_Smax,G1649),AE1648+AD1649)),AE1648)</x:f>
        <x:v>15</x:v>
      </x:c>
      <x:c r="AF1649" s="8" t="n">
        <x:f>MAX(0,AE1649-AE1648)</x:f>
        <x:v>0</x:v>
      </x:c>
      <x:c r="AG1649" s="9" t="str">
        <x:f>IF(AF1649&gt;0,B1649,"")</x:f>
      </x:c>
      <x:c r="AH1649" s="9" t="n">
        <x:f>IF(F1649&gt;=1,1,(1+v01_LowTiesShare*(AE1649-1))/AE1649)</x:f>
        <x:v>1</x:v>
      </x:c>
      <x:c r="AI1649" s="32" t="n">
        <x:f>(Z1649+v01_ElderCommons*INDEX(LM_Elder,G1649)*AA1649)*AH1649</x:f>
        <x:v>64139.732591141874</x:v>
      </x:c>
      <x:c r="AJ1649" s="32" t="n">
        <x:f>H1649*v01_CommonsCoef*AI1649^v01_CommonsExp*INDEX(LM_Commons,G1649)</x:f>
        <x:v>0</x:v>
      </x:c>
      <x:c r="AK1649" s="32" t="n">
        <x:f>H1649*v01_RoleScale*Arch_Roles*(AE1649*(INDEX(v01_ElderRolePerSett,G1649)*v01_OutElder*INDEX(LM_Elder,G1649)+INDEX(v01_ShamanPerSett,G1649)*v01_OutShaman)+Z1649*(INDEX(v01_PriestShare,G1649)*v01_OutPriest+INDEX(v01_ScribeShare,G1649)*v01_OutScribe*INDEX(LM_Scribe,G1649)+INDEX(v01_ScholarShare,G1649)*v01_OutScholar*INDEX(LM_Scholar,G1649)+INDEX(v01_ResearcherShare,G1649)*v01_OutResearcher*INDEX(LM_Researcher,G1649)))</x:f>
        <x:v>0</x:v>
      </x:c>
      <x:c r="AL1649" s="32" t="n">
        <x:f>H1649*v01_RoleScale*Arch_Roles*AE1649*INDEX(v01_MonasteryPerSett,G1649)*v01_OutMonastery*INDEX(LM_Monastery,G1649)</x:f>
        <x:v>0</x:v>
      </x:c>
      <x:c r="AM1649" s="32" t="n">
        <x:f>(AJ1649+AK1649+AL1649)/4*INDEX(LM_All,G1649)*INDEX(v01_Boon,G1649)*Arch_Insight</x:f>
        <x:v>0</x:v>
      </x:c>
      <x:c r="AN1649" s="32" t="n">
        <x:f>H1649*(v01_KHPerAdult*Z1649+v01_KHOfCommons*AJ1649/4*INDEX(LM_All,G1649))*v01_KHUsable*Arch_KH</x:f>
        <x:v>0</x:v>
      </x:c>
      <x:c r="AO1649" s="32" t="n">
        <x:f>MIN(AP1648+AN1649,AM1649*v01_KHMaxRatio)</x:f>
        <x:v>0</x:v>
      </x:c>
      <x:c r="AP1649" s="32" t="n">
        <x:f>AP1648+AN1649-AO1649</x:f>
        <x:v>0</x:v>
      </x:c>
      <x:c r="AQ1649" s="32" t="n">
        <x:f>AM1649+AO1649</x:f>
        <x:v>0</x:v>
      </x:c>
      <x:c r="AR1649" s="10" t="n">
        <x:f>IF(H1649=1,INDEX(v01_Req,G1649),0)</x:f>
        <x:v>0</x:v>
      </x:c>
      <x:c r="AS1649" s="32" t="n">
        <x:f>IF(H1649=1,IF(E1649=1,AS1648-AR1648,AS1648)+AQ1649,0)</x:f>
        <x:v>0</x:v>
      </x:c>
      <x:c r="AT1649" s="11" t="n">
        <x:f>IF(AR1649&gt;0,MIN(1,AS1649/AR1649),1)</x:f>
        <x:v>1</x:v>
      </x:c>
      <x:c r="AU1649" s="10" t="n">
        <x:f>AB1649/INDEX(v01_RepScale,G1649)</x:f>
        <x:v>90.09519605746344</x:v>
      </x:c>
      <x:c r="AV1649" s="32" t="n">
        <x:f>AM1649*60/v01_SeasonSeconds</x:f>
        <x:v>0</x:v>
      </x:c>
    </x:row>
    <x:row r="1650">
      <x:c r="A1650" s="8" t="n">
        <x:f>A1649+1</x:f>
        <x:v>1647</x:v>
      </x:c>
      <x:c r="B1650" s="9" t="n">
        <x:f>A1650*v01_SeasonSeconds/60</x:f>
        <x:v>411.75</x:v>
      </x:c>
      <x:c r="C1650" s="9" t="n">
        <x:f>A1650/4</x:f>
        <x:v>411.75</x:v>
      </x:c>
      <x:c r="D1650" s="8" t="n">
        <x:f>IF(MOD(A1650,4)=0,1,0)</x:f>
        <x:v>0</x:v>
      </x:c>
      <x:c r="E1650" s="8" t="n">
        <x:f>IF(AND(F1649&lt;=9,AS1649&gt;=AR1649),1,0)</x:f>
        <x:v>0</x:v>
      </x:c>
      <x:c r="F1650" s="8" t="n">
        <x:f>MIN(10,F1649+E1650)</x:f>
        <x:v>10</x:v>
      </x:c>
      <x:c r="G1650" s="8" t="n">
        <x:f>MIN(F1650,9)+1</x:f>
        <x:v>10</x:v>
      </x:c>
      <x:c r="H1650" s="8" t="n">
        <x:f>IF(F1650&lt;=9,1,0)</x:f>
        <x:v>0</x:v>
      </x:c>
      <x:c r="I1650" s="9" t="n">
        <x:f>MIN(10,F1649+IF(AR1649&gt;0,MIN(1,AS1649/AR1649),1))</x:f>
        <x:v>10</x:v>
      </x:c>
      <x:c r="J1650" s="32" t="n">
        <x:f>INDEX(v01_FoodCap,G1650)*Arch_FoodCap*EXP(v01_CapsByProject*SUMPRODUCT((Cap_Point&lt;=I1650)*(Cap_Kind="Food")*Cap_Ln))</x:f>
        <x:v>12000</x:v>
      </x:c>
      <x:c r="K1650" s="32" t="n">
        <x:f>J1650*MIN(1,v01_LeanBase*EXP(v01_CapsByProject*SUMPRODUCT((Cap_Point&lt;=I1650)*(Cap_Kind="Lean")*Cap_Ln)))</x:f>
        <x:v>12000</x:v>
      </x:c>
      <x:c r="L1650" s="10" t="n">
        <x:f>INDEX(v01_HousingCap,G1650)*EXP(v01_CapsByProject*SUMPRODUCT((Cap_Point&lt;=I1650)*(Cap_Kind="Housing")*Cap_Ln))</x:f>
        <x:v>20000</x:v>
      </x:c>
      <x:c r="M1650" s="10" t="n">
        <x:f>INDEX(v01_GroupCap,G1650)*v01_CohesionFactor*EXP(v01_CapsByProject*SUMPRODUCT((Cap_Point&lt;=I1650)*(Cap_Kind="Group")*Cap_Ln))</x:f>
        <x:v>1000000</x:v>
      </x:c>
      <x:c r="N1650" s="32" t="n">
        <x:f>MIN(J1650,L1650,M1650)</x:f>
        <x:v>12000</x:v>
      </x:c>
      <x:c r="O1650" s="10" t="n">
        <x:f>AE1649*N1650</x:f>
        <x:v>180000</x:v>
      </x:c>
      <x:c r="P1650" s="9" t="n">
        <x:f>MIN(1,(AB1649/(AE1649*IF(v01_GroupInCrowding=1,N1650,MIN(J1650,L1650))))^v01_CrowdingExp)</x:f>
        <x:v>0.00024569414295285325</x:v>
      </x:c>
      <x:c r="Q1650" s="9" t="n">
        <x:f>IF(D1650=1,INDEX(v01_WinterMult,G1650),1)</x:f>
        <x:v>1</x:v>
      </x:c>
      <x:c r="R1650" s="9" t="n">
        <x:f>H1650*Z1649*v01_WomenShare*v01_BaseFertility*INDEX(v01_FertMult,G1650)*Arch_Fertility*(1-P1650)</x:f>
        <x:v>0</x:v>
      </x:c>
      <x:c r="S1650" s="9" t="n">
        <x:f>H1650*Y1649*INDEX(v01_MortChild,G1650)/4*Q1650</x:f>
        <x:v>0</x:v>
      </x:c>
      <x:c r="T1650" s="9" t="n">
        <x:f>H1650*Z1649*INDEX(v01_MortAdult,G1650)*Arch_AdultMort/4*Q1650</x:f>
        <x:v>0</x:v>
      </x:c>
      <x:c r="U1650" s="9" t="n">
        <x:f>H1650*AA1649*INDEX(v01_MortElder,G1650)/4*Q1650</x:f>
        <x:v>0</x:v>
      </x:c>
      <x:c r="V1650" s="9" t="n">
        <x:f>H1650*MAX(0,AB1649-O1650)*v01_OvercapLoss</x:f>
        <x:v>0</x:v>
      </x:c>
      <x:c r="W1650" s="9" t="n">
        <x:f>H1650*Y1649/(v01_ChildYears*4)</x:f>
        <x:v>0</x:v>
      </x:c>
      <x:c r="X1650" s="9" t="n">
        <x:f>H1650*Z1649/(v01_AdultYears*4)</x:f>
        <x:v>0</x:v>
      </x:c>
      <x:c r="Y1650" s="32" t="n">
        <x:f>Y1649+R1650-S1650-W1650-Y1649*V1650/AB1649</x:f>
        <x:v>14306.18539759397</x:v>
      </x:c>
      <x:c r="Z1650" s="32" t="n">
        <x:f>Z1649+W1650-X1650-T1650-Z1649*V1650/AB1649</x:f>
        <x:v>19354.456567879548</x:v>
      </x:c>
      <x:c r="AA1650" s="32" t="n">
        <x:f>AA1649+X1650-U1650-AA1649*V1650/AB1649</x:f>
        <x:v>11386.956063258198</x:v>
      </x:c>
      <x:c r="AB1650" s="10" t="n">
        <x:f>Y1650+Z1650+AA1650</x:f>
        <x:v>45047.59802873172</x:v>
      </x:c>
      <x:c r="AC1650" s="8" t="n">
        <x:f>IF(AND(v01_WinterTrigger=1,D1650=1,AB1649/AE1649&gt;=K1650),1,0)</x:f>
        <x:v>0</x:v>
      </x:c>
      <x:c r="AD1650" s="8" t="n">
        <x:f>H1650*IF(AND(OR(AB1649/AE1649&gt;=v01_FissionTrigger*N1650,AC1650=1),AB1649/AE1649*v01_DaughterShare&gt;=v01_MinDaughter),MAX(1,ROUND(AE1649*v01_FissionRate,0)),0)</x:f>
        <x:v>0</x:v>
      </x:c>
      <x:c r="AE1650" s="8" t="n">
        <x:f>IF(H1650=1,MAX(1,MIN(INDEX(v01_Smax,G1650),AE1649+AD1650)),AE1649)</x:f>
        <x:v>15</x:v>
      </x:c>
      <x:c r="AF1650" s="8" t="n">
        <x:f>MAX(0,AE1650-AE1649)</x:f>
        <x:v>0</x:v>
      </x:c>
      <x:c r="AG1650" s="9" t="str">
        <x:f>IF(AF1650&gt;0,B1650,"")</x:f>
      </x:c>
      <x:c r="AH1650" s="9" t="n">
        <x:f>IF(F1650&gt;=1,1,(1+v01_LowTiesShare*(AE1650-1))/AE1650)</x:f>
        <x:v>1</x:v>
      </x:c>
      <x:c r="AI1650" s="32" t="n">
        <x:f>(Z1650+v01_ElderCommons*INDEX(LM_Elder,G1650)*AA1650)*AH1650</x:f>
        <x:v>64139.732591141874</x:v>
      </x:c>
      <x:c r="AJ1650" s="32" t="n">
        <x:f>H1650*v01_CommonsCoef*AI1650^v01_CommonsExp*INDEX(LM_Commons,G1650)</x:f>
        <x:v>0</x:v>
      </x:c>
      <x:c r="AK1650" s="32" t="n">
        <x:f>H1650*v01_RoleScale*Arch_Roles*(AE1650*(INDEX(v01_ElderRolePerSett,G1650)*v01_OutElder*INDEX(LM_Elder,G1650)+INDEX(v01_ShamanPerSett,G1650)*v01_OutShaman)+Z1650*(INDEX(v01_PriestShare,G1650)*v01_OutPriest+INDEX(v01_ScribeShare,G1650)*v01_OutScribe*INDEX(LM_Scribe,G1650)+INDEX(v01_ScholarShare,G1650)*v01_OutScholar*INDEX(LM_Scholar,G1650)+INDEX(v01_ResearcherShare,G1650)*v01_OutResearcher*INDEX(LM_Researcher,G1650)))</x:f>
        <x:v>0</x:v>
      </x:c>
      <x:c r="AL1650" s="32" t="n">
        <x:f>H1650*v01_RoleScale*Arch_Roles*AE1650*INDEX(v01_MonasteryPerSett,G1650)*v01_OutMonastery*INDEX(LM_Monastery,G1650)</x:f>
        <x:v>0</x:v>
      </x:c>
      <x:c r="AM1650" s="32" t="n">
        <x:f>(AJ1650+AK1650+AL1650)/4*INDEX(LM_All,G1650)*INDEX(v01_Boon,G1650)*Arch_Insight</x:f>
        <x:v>0</x:v>
      </x:c>
      <x:c r="AN1650" s="32" t="n">
        <x:f>H1650*(v01_KHPerAdult*Z1650+v01_KHOfCommons*AJ1650/4*INDEX(LM_All,G1650))*v01_KHUsable*Arch_KH</x:f>
        <x:v>0</x:v>
      </x:c>
      <x:c r="AO1650" s="32" t="n">
        <x:f>MIN(AP1649+AN1650,AM1650*v01_KHMaxRatio)</x:f>
        <x:v>0</x:v>
      </x:c>
      <x:c r="AP1650" s="32" t="n">
        <x:f>AP1649+AN1650-AO1650</x:f>
        <x:v>0</x:v>
      </x:c>
      <x:c r="AQ1650" s="32" t="n">
        <x:f>AM1650+AO1650</x:f>
        <x:v>0</x:v>
      </x:c>
      <x:c r="AR1650" s="10" t="n">
        <x:f>IF(H1650=1,INDEX(v01_Req,G1650),0)</x:f>
        <x:v>0</x:v>
      </x:c>
      <x:c r="AS1650" s="32" t="n">
        <x:f>IF(H1650=1,IF(E1650=1,AS1649-AR1649,AS1649)+AQ1650,0)</x:f>
        <x:v>0</x:v>
      </x:c>
      <x:c r="AT1650" s="11" t="n">
        <x:f>IF(AR1650&gt;0,MIN(1,AS1650/AR1650),1)</x:f>
        <x:v>1</x:v>
      </x:c>
      <x:c r="AU1650" s="10" t="n">
        <x:f>AB1650/INDEX(v01_RepScale,G1650)</x:f>
        <x:v>90.09519605746344</x:v>
      </x:c>
      <x:c r="AV1650" s="32" t="n">
        <x:f>AM1650*60/v01_SeasonSeconds</x:f>
        <x:v>0</x:v>
      </x:c>
    </x:row>
    <x:row r="1651">
      <x:c r="A1651" s="8" t="n">
        <x:f>A1650+1</x:f>
        <x:v>1648</x:v>
      </x:c>
      <x:c r="B1651" s="9" t="n">
        <x:f>A1651*v01_SeasonSeconds/60</x:f>
        <x:v>412</x:v>
      </x:c>
      <x:c r="C1651" s="9" t="n">
        <x:f>A1651/4</x:f>
        <x:v>412</x:v>
      </x:c>
      <x:c r="D1651" s="8" t="n">
        <x:f>IF(MOD(A1651,4)=0,1,0)</x:f>
        <x:v>1</x:v>
      </x:c>
      <x:c r="E1651" s="8" t="n">
        <x:f>IF(AND(F1650&lt;=9,AS1650&gt;=AR1650),1,0)</x:f>
        <x:v>0</x:v>
      </x:c>
      <x:c r="F1651" s="8" t="n">
        <x:f>MIN(10,F1650+E1651)</x:f>
        <x:v>10</x:v>
      </x:c>
      <x:c r="G1651" s="8" t="n">
        <x:f>MIN(F1651,9)+1</x:f>
        <x:v>10</x:v>
      </x:c>
      <x:c r="H1651" s="8" t="n">
        <x:f>IF(F1651&lt;=9,1,0)</x:f>
        <x:v>0</x:v>
      </x:c>
      <x:c r="I1651" s="9" t="n">
        <x:f>MIN(10,F1650+IF(AR1650&gt;0,MIN(1,AS1650/AR1650),1))</x:f>
        <x:v>10</x:v>
      </x:c>
      <x:c r="J1651" s="32" t="n">
        <x:f>INDEX(v01_FoodCap,G1651)*Arch_FoodCap*EXP(v01_CapsByProject*SUMPRODUCT((Cap_Point&lt;=I1651)*(Cap_Kind="Food")*Cap_Ln))</x:f>
        <x:v>12000</x:v>
      </x:c>
      <x:c r="K1651" s="32" t="n">
        <x:f>J1651*MIN(1,v01_LeanBase*EXP(v01_CapsByProject*SUMPRODUCT((Cap_Point&lt;=I1651)*(Cap_Kind="Lean")*Cap_Ln)))</x:f>
        <x:v>12000</x:v>
      </x:c>
      <x:c r="L1651" s="10" t="n">
        <x:f>INDEX(v01_HousingCap,G1651)*EXP(v01_CapsByProject*SUMPRODUCT((Cap_Point&lt;=I1651)*(Cap_Kind="Housing")*Cap_Ln))</x:f>
        <x:v>20000</x:v>
      </x:c>
      <x:c r="M1651" s="10" t="n">
        <x:f>INDEX(v01_GroupCap,G1651)*v01_CohesionFactor*EXP(v01_CapsByProject*SUMPRODUCT((Cap_Point&lt;=I1651)*(Cap_Kind="Group")*Cap_Ln))</x:f>
        <x:v>1000000</x:v>
      </x:c>
      <x:c r="N1651" s="32" t="n">
        <x:f>MIN(J1651,L1651,M1651)</x:f>
        <x:v>12000</x:v>
      </x:c>
      <x:c r="O1651" s="10" t="n">
        <x:f>AE1650*N1651</x:f>
        <x:v>180000</x:v>
      </x:c>
      <x:c r="P1651" s="9" t="n">
        <x:f>MIN(1,(AB1650/(AE1650*IF(v01_GroupInCrowding=1,N1651,MIN(J1651,L1651))))^v01_CrowdingExp)</x:f>
        <x:v>0.00024569414295285325</x:v>
      </x:c>
      <x:c r="Q1651" s="9" t="n">
        <x:f>IF(D1651=1,INDEX(v01_WinterMult,G1651),1)</x:f>
        <x:v>1</x:v>
      </x:c>
      <x:c r="R1651" s="9" t="n">
        <x:f>H1651*Z1650*v01_WomenShare*v01_BaseFertility*INDEX(v01_FertMult,G1651)*Arch_Fertility*(1-P1651)</x:f>
        <x:v>0</x:v>
      </x:c>
      <x:c r="S1651" s="9" t="n">
        <x:f>H1651*Y1650*INDEX(v01_MortChild,G1651)/4*Q1651</x:f>
        <x:v>0</x:v>
      </x:c>
      <x:c r="T1651" s="9" t="n">
        <x:f>H1651*Z1650*INDEX(v01_MortAdult,G1651)*Arch_AdultMort/4*Q1651</x:f>
        <x:v>0</x:v>
      </x:c>
      <x:c r="U1651" s="9" t="n">
        <x:f>H1651*AA1650*INDEX(v01_MortElder,G1651)/4*Q1651</x:f>
        <x:v>0</x:v>
      </x:c>
      <x:c r="V1651" s="9" t="n">
        <x:f>H1651*MAX(0,AB1650-O1651)*v01_OvercapLoss</x:f>
        <x:v>0</x:v>
      </x:c>
      <x:c r="W1651" s="9" t="n">
        <x:f>H1651*Y1650/(v01_ChildYears*4)</x:f>
        <x:v>0</x:v>
      </x:c>
      <x:c r="X1651" s="9" t="n">
        <x:f>H1651*Z1650/(v01_AdultYears*4)</x:f>
        <x:v>0</x:v>
      </x:c>
      <x:c r="Y1651" s="32" t="n">
        <x:f>Y1650+R1651-S1651-W1651-Y1650*V1651/AB1650</x:f>
        <x:v>14306.18539759397</x:v>
      </x:c>
      <x:c r="Z1651" s="32" t="n">
        <x:f>Z1650+W1651-X1651-T1651-Z1650*V1651/AB1650</x:f>
        <x:v>19354.456567879548</x:v>
      </x:c>
      <x:c r="AA1651" s="32" t="n">
        <x:f>AA1650+X1651-U1651-AA1650*V1651/AB1650</x:f>
        <x:v>11386.956063258198</x:v>
      </x:c>
      <x:c r="AB1651" s="10" t="n">
        <x:f>Y1651+Z1651+AA1651</x:f>
        <x:v>45047.59802873172</x:v>
      </x:c>
      <x:c r="AC1651" s="8" t="n">
        <x:f>IF(AND(v01_WinterTrigger=1,D1651=1,AB1650/AE1650&gt;=K1651),1,0)</x:f>
        <x:v>0</x:v>
      </x:c>
      <x:c r="AD1651" s="8" t="n">
        <x:f>H1651*IF(AND(OR(AB1650/AE1650&gt;=v01_FissionTrigger*N1651,AC1651=1),AB1650/AE1650*v01_DaughterShare&gt;=v01_MinDaughter),MAX(1,ROUND(AE1650*v01_FissionRate,0)),0)</x:f>
        <x:v>0</x:v>
      </x:c>
      <x:c r="AE1651" s="8" t="n">
        <x:f>IF(H1651=1,MAX(1,MIN(INDEX(v01_Smax,G1651),AE1650+AD1651)),AE1650)</x:f>
        <x:v>15</x:v>
      </x:c>
      <x:c r="AF1651" s="8" t="n">
        <x:f>MAX(0,AE1651-AE1650)</x:f>
        <x:v>0</x:v>
      </x:c>
      <x:c r="AG1651" s="9" t="str">
        <x:f>IF(AF1651&gt;0,B1651,"")</x:f>
      </x:c>
      <x:c r="AH1651" s="9" t="n">
        <x:f>IF(F1651&gt;=1,1,(1+v01_LowTiesShare*(AE1651-1))/AE1651)</x:f>
        <x:v>1</x:v>
      </x:c>
      <x:c r="AI1651" s="32" t="n">
        <x:f>(Z1651+v01_ElderCommons*INDEX(LM_Elder,G1651)*AA1651)*AH1651</x:f>
        <x:v>64139.732591141874</x:v>
      </x:c>
      <x:c r="AJ1651" s="32" t="n">
        <x:f>H1651*v01_CommonsCoef*AI1651^v01_CommonsExp*INDEX(LM_Commons,G1651)</x:f>
        <x:v>0</x:v>
      </x:c>
      <x:c r="AK1651" s="32" t="n">
        <x:f>H1651*v01_RoleScale*Arch_Roles*(AE1651*(INDEX(v01_ElderRolePerSett,G1651)*v01_OutElder*INDEX(LM_Elder,G1651)+INDEX(v01_ShamanPerSett,G1651)*v01_OutShaman)+Z1651*(INDEX(v01_PriestShare,G1651)*v01_OutPriest+INDEX(v01_ScribeShare,G1651)*v01_OutScribe*INDEX(LM_Scribe,G1651)+INDEX(v01_ScholarShare,G1651)*v01_OutScholar*INDEX(LM_Scholar,G1651)+INDEX(v01_ResearcherShare,G1651)*v01_OutResearcher*INDEX(LM_Researcher,G1651)))</x:f>
        <x:v>0</x:v>
      </x:c>
      <x:c r="AL1651" s="32" t="n">
        <x:f>H1651*v01_RoleScale*Arch_Roles*AE1651*INDEX(v01_MonasteryPerSett,G1651)*v01_OutMonastery*INDEX(LM_Monastery,G1651)</x:f>
        <x:v>0</x:v>
      </x:c>
      <x:c r="AM1651" s="32" t="n">
        <x:f>(AJ1651+AK1651+AL1651)/4*INDEX(LM_All,G1651)*INDEX(v01_Boon,G1651)*Arch_Insight</x:f>
        <x:v>0</x:v>
      </x:c>
      <x:c r="AN1651" s="32" t="n">
        <x:f>H1651*(v01_KHPerAdult*Z1651+v01_KHOfCommons*AJ1651/4*INDEX(LM_All,G1651))*v01_KHUsable*Arch_KH</x:f>
        <x:v>0</x:v>
      </x:c>
      <x:c r="AO1651" s="32" t="n">
        <x:f>MIN(AP1650+AN1651,AM1651*v01_KHMaxRatio)</x:f>
        <x:v>0</x:v>
      </x:c>
      <x:c r="AP1651" s="32" t="n">
        <x:f>AP1650+AN1651-AO1651</x:f>
        <x:v>0</x:v>
      </x:c>
      <x:c r="AQ1651" s="32" t="n">
        <x:f>AM1651+AO1651</x:f>
        <x:v>0</x:v>
      </x:c>
      <x:c r="AR1651" s="10" t="n">
        <x:f>IF(H1651=1,INDEX(v01_Req,G1651),0)</x:f>
        <x:v>0</x:v>
      </x:c>
      <x:c r="AS1651" s="32" t="n">
        <x:f>IF(H1651=1,IF(E1651=1,AS1650-AR1650,AS1650)+AQ1651,0)</x:f>
        <x:v>0</x:v>
      </x:c>
      <x:c r="AT1651" s="11" t="n">
        <x:f>IF(AR1651&gt;0,MIN(1,AS1651/AR1651),1)</x:f>
        <x:v>1</x:v>
      </x:c>
      <x:c r="AU1651" s="10" t="n">
        <x:f>AB1651/INDEX(v01_RepScale,G1651)</x:f>
        <x:v>90.09519605746344</x:v>
      </x:c>
      <x:c r="AV1651" s="32" t="n">
        <x:f>AM1651*60/v01_SeasonSeconds</x:f>
        <x:v>0</x:v>
      </x:c>
    </x:row>
    <x:row r="1652">
      <x:c r="A1652" s="8" t="n">
        <x:f>A1651+1</x:f>
        <x:v>1649</x:v>
      </x:c>
      <x:c r="B1652" s="9" t="n">
        <x:f>A1652*v01_SeasonSeconds/60</x:f>
        <x:v>412.25</x:v>
      </x:c>
      <x:c r="C1652" s="9" t="n">
        <x:f>A1652/4</x:f>
        <x:v>412.25</x:v>
      </x:c>
      <x:c r="D1652" s="8" t="n">
        <x:f>IF(MOD(A1652,4)=0,1,0)</x:f>
        <x:v>0</x:v>
      </x:c>
      <x:c r="E1652" s="8" t="n">
        <x:f>IF(AND(F1651&lt;=9,AS1651&gt;=AR1651),1,0)</x:f>
        <x:v>0</x:v>
      </x:c>
      <x:c r="F1652" s="8" t="n">
        <x:f>MIN(10,F1651+E1652)</x:f>
        <x:v>10</x:v>
      </x:c>
      <x:c r="G1652" s="8" t="n">
        <x:f>MIN(F1652,9)+1</x:f>
        <x:v>10</x:v>
      </x:c>
      <x:c r="H1652" s="8" t="n">
        <x:f>IF(F1652&lt;=9,1,0)</x:f>
        <x:v>0</x:v>
      </x:c>
      <x:c r="I1652" s="9" t="n">
        <x:f>MIN(10,F1651+IF(AR1651&gt;0,MIN(1,AS1651/AR1651),1))</x:f>
        <x:v>10</x:v>
      </x:c>
      <x:c r="J1652" s="32" t="n">
        <x:f>INDEX(v01_FoodCap,G1652)*Arch_FoodCap*EXP(v01_CapsByProject*SUMPRODUCT((Cap_Point&lt;=I1652)*(Cap_Kind="Food")*Cap_Ln))</x:f>
        <x:v>12000</x:v>
      </x:c>
      <x:c r="K1652" s="32" t="n">
        <x:f>J1652*MIN(1,v01_LeanBase*EXP(v01_CapsByProject*SUMPRODUCT((Cap_Point&lt;=I1652)*(Cap_Kind="Lean")*Cap_Ln)))</x:f>
        <x:v>12000</x:v>
      </x:c>
      <x:c r="L1652" s="10" t="n">
        <x:f>INDEX(v01_HousingCap,G1652)*EXP(v01_CapsByProject*SUMPRODUCT((Cap_Point&lt;=I1652)*(Cap_Kind="Housing")*Cap_Ln))</x:f>
        <x:v>20000</x:v>
      </x:c>
      <x:c r="M1652" s="10" t="n">
        <x:f>INDEX(v01_GroupCap,G1652)*v01_CohesionFactor*EXP(v01_CapsByProject*SUMPRODUCT((Cap_Point&lt;=I1652)*(Cap_Kind="Group")*Cap_Ln))</x:f>
        <x:v>1000000</x:v>
      </x:c>
      <x:c r="N1652" s="32" t="n">
        <x:f>MIN(J1652,L1652,M1652)</x:f>
        <x:v>12000</x:v>
      </x:c>
      <x:c r="O1652" s="10" t="n">
        <x:f>AE1651*N1652</x:f>
        <x:v>180000</x:v>
      </x:c>
      <x:c r="P1652" s="9" t="n">
        <x:f>MIN(1,(AB1651/(AE1651*IF(v01_GroupInCrowding=1,N1652,MIN(J1652,L1652))))^v01_CrowdingExp)</x:f>
        <x:v>0.00024569414295285325</x:v>
      </x:c>
      <x:c r="Q1652" s="9" t="n">
        <x:f>IF(D1652=1,INDEX(v01_WinterMult,G1652),1)</x:f>
        <x:v>1</x:v>
      </x:c>
      <x:c r="R1652" s="9" t="n">
        <x:f>H1652*Z1651*v01_WomenShare*v01_BaseFertility*INDEX(v01_FertMult,G1652)*Arch_Fertility*(1-P1652)</x:f>
        <x:v>0</x:v>
      </x:c>
      <x:c r="S1652" s="9" t="n">
        <x:f>H1652*Y1651*INDEX(v01_MortChild,G1652)/4*Q1652</x:f>
        <x:v>0</x:v>
      </x:c>
      <x:c r="T1652" s="9" t="n">
        <x:f>H1652*Z1651*INDEX(v01_MortAdult,G1652)*Arch_AdultMort/4*Q1652</x:f>
        <x:v>0</x:v>
      </x:c>
      <x:c r="U1652" s="9" t="n">
        <x:f>H1652*AA1651*INDEX(v01_MortElder,G1652)/4*Q1652</x:f>
        <x:v>0</x:v>
      </x:c>
      <x:c r="V1652" s="9" t="n">
        <x:f>H1652*MAX(0,AB1651-O1652)*v01_OvercapLoss</x:f>
        <x:v>0</x:v>
      </x:c>
      <x:c r="W1652" s="9" t="n">
        <x:f>H1652*Y1651/(v01_ChildYears*4)</x:f>
        <x:v>0</x:v>
      </x:c>
      <x:c r="X1652" s="9" t="n">
        <x:f>H1652*Z1651/(v01_AdultYears*4)</x:f>
        <x:v>0</x:v>
      </x:c>
      <x:c r="Y1652" s="32" t="n">
        <x:f>Y1651+R1652-S1652-W1652-Y1651*V1652/AB1651</x:f>
        <x:v>14306.18539759397</x:v>
      </x:c>
      <x:c r="Z1652" s="32" t="n">
        <x:f>Z1651+W1652-X1652-T1652-Z1651*V1652/AB1651</x:f>
        <x:v>19354.456567879548</x:v>
      </x:c>
      <x:c r="AA1652" s="32" t="n">
        <x:f>AA1651+X1652-U1652-AA1651*V1652/AB1651</x:f>
        <x:v>11386.956063258198</x:v>
      </x:c>
      <x:c r="AB1652" s="10" t="n">
        <x:f>Y1652+Z1652+AA1652</x:f>
        <x:v>45047.59802873172</x:v>
      </x:c>
      <x:c r="AC1652" s="8" t="n">
        <x:f>IF(AND(v01_WinterTrigger=1,D1652=1,AB1651/AE1651&gt;=K1652),1,0)</x:f>
        <x:v>0</x:v>
      </x:c>
      <x:c r="AD1652" s="8" t="n">
        <x:f>H1652*IF(AND(OR(AB1651/AE1651&gt;=v01_FissionTrigger*N1652,AC1652=1),AB1651/AE1651*v01_DaughterShare&gt;=v01_MinDaughter),MAX(1,ROUND(AE1651*v01_FissionRate,0)),0)</x:f>
        <x:v>0</x:v>
      </x:c>
      <x:c r="AE1652" s="8" t="n">
        <x:f>IF(H1652=1,MAX(1,MIN(INDEX(v01_Smax,G1652),AE1651+AD1652)),AE1651)</x:f>
        <x:v>15</x:v>
      </x:c>
      <x:c r="AF1652" s="8" t="n">
        <x:f>MAX(0,AE1652-AE1651)</x:f>
        <x:v>0</x:v>
      </x:c>
      <x:c r="AG1652" s="9" t="str">
        <x:f>IF(AF1652&gt;0,B1652,"")</x:f>
      </x:c>
      <x:c r="AH1652" s="9" t="n">
        <x:f>IF(F1652&gt;=1,1,(1+v01_LowTiesShare*(AE1652-1))/AE1652)</x:f>
        <x:v>1</x:v>
      </x:c>
      <x:c r="AI1652" s="32" t="n">
        <x:f>(Z1652+v01_ElderCommons*INDEX(LM_Elder,G1652)*AA1652)*AH1652</x:f>
        <x:v>64139.732591141874</x:v>
      </x:c>
      <x:c r="AJ1652" s="32" t="n">
        <x:f>H1652*v01_CommonsCoef*AI1652^v01_CommonsExp*INDEX(LM_Commons,G1652)</x:f>
        <x:v>0</x:v>
      </x:c>
      <x:c r="AK1652" s="32" t="n">
        <x:f>H1652*v01_RoleScale*Arch_Roles*(AE1652*(INDEX(v01_ElderRolePerSett,G1652)*v01_OutElder*INDEX(LM_Elder,G1652)+INDEX(v01_ShamanPerSett,G1652)*v01_OutShaman)+Z1652*(INDEX(v01_PriestShare,G1652)*v01_OutPriest+INDEX(v01_ScribeShare,G1652)*v01_OutScribe*INDEX(LM_Scribe,G1652)+INDEX(v01_ScholarShare,G1652)*v01_OutScholar*INDEX(LM_Scholar,G1652)+INDEX(v01_ResearcherShare,G1652)*v01_OutResearcher*INDEX(LM_Researcher,G1652)))</x:f>
        <x:v>0</x:v>
      </x:c>
      <x:c r="AL1652" s="32" t="n">
        <x:f>H1652*v01_RoleScale*Arch_Roles*AE1652*INDEX(v01_MonasteryPerSett,G1652)*v01_OutMonastery*INDEX(LM_Monastery,G1652)</x:f>
        <x:v>0</x:v>
      </x:c>
      <x:c r="AM1652" s="32" t="n">
        <x:f>(AJ1652+AK1652+AL1652)/4*INDEX(LM_All,G1652)*INDEX(v01_Boon,G1652)*Arch_Insight</x:f>
        <x:v>0</x:v>
      </x:c>
      <x:c r="AN1652" s="32" t="n">
        <x:f>H1652*(v01_KHPerAdult*Z1652+v01_KHOfCommons*AJ1652/4*INDEX(LM_All,G1652))*v01_KHUsable*Arch_KH</x:f>
        <x:v>0</x:v>
      </x:c>
      <x:c r="AO1652" s="32" t="n">
        <x:f>MIN(AP1651+AN1652,AM1652*v01_KHMaxRatio)</x:f>
        <x:v>0</x:v>
      </x:c>
      <x:c r="AP1652" s="32" t="n">
        <x:f>AP1651+AN1652-AO1652</x:f>
        <x:v>0</x:v>
      </x:c>
      <x:c r="AQ1652" s="32" t="n">
        <x:f>AM1652+AO1652</x:f>
        <x:v>0</x:v>
      </x:c>
      <x:c r="AR1652" s="10" t="n">
        <x:f>IF(H1652=1,INDEX(v01_Req,G1652),0)</x:f>
        <x:v>0</x:v>
      </x:c>
      <x:c r="AS1652" s="32" t="n">
        <x:f>IF(H1652=1,IF(E1652=1,AS1651-AR1651,AS1651)+AQ1652,0)</x:f>
        <x:v>0</x:v>
      </x:c>
      <x:c r="AT1652" s="11" t="n">
        <x:f>IF(AR1652&gt;0,MIN(1,AS1652/AR1652),1)</x:f>
        <x:v>1</x:v>
      </x:c>
      <x:c r="AU1652" s="10" t="n">
        <x:f>AB1652/INDEX(v01_RepScale,G1652)</x:f>
        <x:v>90.09519605746344</x:v>
      </x:c>
      <x:c r="AV1652" s="32" t="n">
        <x:f>AM1652*60/v01_SeasonSeconds</x:f>
        <x:v>0</x:v>
      </x:c>
    </x:row>
    <x:row r="1653">
      <x:c r="A1653" s="8" t="n">
        <x:f>A1652+1</x:f>
        <x:v>1650</x:v>
      </x:c>
      <x:c r="B1653" s="9" t="n">
        <x:f>A1653*v01_SeasonSeconds/60</x:f>
        <x:v>412.5</x:v>
      </x:c>
      <x:c r="C1653" s="9" t="n">
        <x:f>A1653/4</x:f>
        <x:v>412.5</x:v>
      </x:c>
      <x:c r="D1653" s="8" t="n">
        <x:f>IF(MOD(A1653,4)=0,1,0)</x:f>
        <x:v>0</x:v>
      </x:c>
      <x:c r="E1653" s="8" t="n">
        <x:f>IF(AND(F1652&lt;=9,AS1652&gt;=AR1652),1,0)</x:f>
        <x:v>0</x:v>
      </x:c>
      <x:c r="F1653" s="8" t="n">
        <x:f>MIN(10,F1652+E1653)</x:f>
        <x:v>10</x:v>
      </x:c>
      <x:c r="G1653" s="8" t="n">
        <x:f>MIN(F1653,9)+1</x:f>
        <x:v>10</x:v>
      </x:c>
      <x:c r="H1653" s="8" t="n">
        <x:f>IF(F1653&lt;=9,1,0)</x:f>
        <x:v>0</x:v>
      </x:c>
      <x:c r="I1653" s="9" t="n">
        <x:f>MIN(10,F1652+IF(AR1652&gt;0,MIN(1,AS1652/AR1652),1))</x:f>
        <x:v>10</x:v>
      </x:c>
      <x:c r="J1653" s="32" t="n">
        <x:f>INDEX(v01_FoodCap,G1653)*Arch_FoodCap*EXP(v01_CapsByProject*SUMPRODUCT((Cap_Point&lt;=I1653)*(Cap_Kind="Food")*Cap_Ln))</x:f>
        <x:v>12000</x:v>
      </x:c>
      <x:c r="K1653" s="32" t="n">
        <x:f>J1653*MIN(1,v01_LeanBase*EXP(v01_CapsByProject*SUMPRODUCT((Cap_Point&lt;=I1653)*(Cap_Kind="Lean")*Cap_Ln)))</x:f>
        <x:v>12000</x:v>
      </x:c>
      <x:c r="L1653" s="10" t="n">
        <x:f>INDEX(v01_HousingCap,G1653)*EXP(v01_CapsByProject*SUMPRODUCT((Cap_Point&lt;=I1653)*(Cap_Kind="Housing")*Cap_Ln))</x:f>
        <x:v>20000</x:v>
      </x:c>
      <x:c r="M1653" s="10" t="n">
        <x:f>INDEX(v01_GroupCap,G1653)*v01_CohesionFactor*EXP(v01_CapsByProject*SUMPRODUCT((Cap_Point&lt;=I1653)*(Cap_Kind="Group")*Cap_Ln))</x:f>
        <x:v>1000000</x:v>
      </x:c>
      <x:c r="N1653" s="32" t="n">
        <x:f>MIN(J1653,L1653,M1653)</x:f>
        <x:v>12000</x:v>
      </x:c>
      <x:c r="O1653" s="10" t="n">
        <x:f>AE1652*N1653</x:f>
        <x:v>180000</x:v>
      </x:c>
      <x:c r="P1653" s="9" t="n">
        <x:f>MIN(1,(AB1652/(AE1652*IF(v01_GroupInCrowding=1,N1653,MIN(J1653,L1653))))^v01_CrowdingExp)</x:f>
        <x:v>0.00024569414295285325</x:v>
      </x:c>
      <x:c r="Q1653" s="9" t="n">
        <x:f>IF(D1653=1,INDEX(v01_WinterMult,G1653),1)</x:f>
        <x:v>1</x:v>
      </x:c>
      <x:c r="R1653" s="9" t="n">
        <x:f>H1653*Z1652*v01_WomenShare*v01_BaseFertility*INDEX(v01_FertMult,G1653)*Arch_Fertility*(1-P1653)</x:f>
        <x:v>0</x:v>
      </x:c>
      <x:c r="S1653" s="9" t="n">
        <x:f>H1653*Y1652*INDEX(v01_MortChild,G1653)/4*Q1653</x:f>
        <x:v>0</x:v>
      </x:c>
      <x:c r="T1653" s="9" t="n">
        <x:f>H1653*Z1652*INDEX(v01_MortAdult,G1653)*Arch_AdultMort/4*Q1653</x:f>
        <x:v>0</x:v>
      </x:c>
      <x:c r="U1653" s="9" t="n">
        <x:f>H1653*AA1652*INDEX(v01_MortElder,G1653)/4*Q1653</x:f>
        <x:v>0</x:v>
      </x:c>
      <x:c r="V1653" s="9" t="n">
        <x:f>H1653*MAX(0,AB1652-O1653)*v01_OvercapLoss</x:f>
        <x:v>0</x:v>
      </x:c>
      <x:c r="W1653" s="9" t="n">
        <x:f>H1653*Y1652/(v01_ChildYears*4)</x:f>
        <x:v>0</x:v>
      </x:c>
      <x:c r="X1653" s="9" t="n">
        <x:f>H1653*Z1652/(v01_AdultYears*4)</x:f>
        <x:v>0</x:v>
      </x:c>
      <x:c r="Y1653" s="32" t="n">
        <x:f>Y1652+R1653-S1653-W1653-Y1652*V1653/AB1652</x:f>
        <x:v>14306.18539759397</x:v>
      </x:c>
      <x:c r="Z1653" s="32" t="n">
        <x:f>Z1652+W1653-X1653-T1653-Z1652*V1653/AB1652</x:f>
        <x:v>19354.456567879548</x:v>
      </x:c>
      <x:c r="AA1653" s="32" t="n">
        <x:f>AA1652+X1653-U1653-AA1652*V1653/AB1652</x:f>
        <x:v>11386.956063258198</x:v>
      </x:c>
      <x:c r="AB1653" s="10" t="n">
        <x:f>Y1653+Z1653+AA1653</x:f>
        <x:v>45047.59802873172</x:v>
      </x:c>
      <x:c r="AC1653" s="8" t="n">
        <x:f>IF(AND(v01_WinterTrigger=1,D1653=1,AB1652/AE1652&gt;=K1653),1,0)</x:f>
        <x:v>0</x:v>
      </x:c>
      <x:c r="AD1653" s="8" t="n">
        <x:f>H1653*IF(AND(OR(AB1652/AE1652&gt;=v01_FissionTrigger*N1653,AC1653=1),AB1652/AE1652*v01_DaughterShare&gt;=v01_MinDaughter),MAX(1,ROUND(AE1652*v01_FissionRate,0)),0)</x:f>
        <x:v>0</x:v>
      </x:c>
      <x:c r="AE1653" s="8" t="n">
        <x:f>IF(H1653=1,MAX(1,MIN(INDEX(v01_Smax,G1653),AE1652+AD1653)),AE1652)</x:f>
        <x:v>15</x:v>
      </x:c>
      <x:c r="AF1653" s="8" t="n">
        <x:f>MAX(0,AE1653-AE1652)</x:f>
        <x:v>0</x:v>
      </x:c>
      <x:c r="AG1653" s="9" t="str">
        <x:f>IF(AF1653&gt;0,B1653,"")</x:f>
      </x:c>
      <x:c r="AH1653" s="9" t="n">
        <x:f>IF(F1653&gt;=1,1,(1+v01_LowTiesShare*(AE1653-1))/AE1653)</x:f>
        <x:v>1</x:v>
      </x:c>
      <x:c r="AI1653" s="32" t="n">
        <x:f>(Z1653+v01_ElderCommons*INDEX(LM_Elder,G1653)*AA1653)*AH1653</x:f>
        <x:v>64139.732591141874</x:v>
      </x:c>
      <x:c r="AJ1653" s="32" t="n">
        <x:f>H1653*v01_CommonsCoef*AI1653^v01_CommonsExp*INDEX(LM_Commons,G1653)</x:f>
        <x:v>0</x:v>
      </x:c>
      <x:c r="AK1653" s="32" t="n">
        <x:f>H1653*v01_RoleScale*Arch_Roles*(AE1653*(INDEX(v01_ElderRolePerSett,G1653)*v01_OutElder*INDEX(LM_Elder,G1653)+INDEX(v01_ShamanPerSett,G1653)*v01_OutShaman)+Z1653*(INDEX(v01_PriestShare,G1653)*v01_OutPriest+INDEX(v01_ScribeShare,G1653)*v01_OutScribe*INDEX(LM_Scribe,G1653)+INDEX(v01_ScholarShare,G1653)*v01_OutScholar*INDEX(LM_Scholar,G1653)+INDEX(v01_ResearcherShare,G1653)*v01_OutResearcher*INDEX(LM_Researcher,G1653)))</x:f>
        <x:v>0</x:v>
      </x:c>
      <x:c r="AL1653" s="32" t="n">
        <x:f>H1653*v01_RoleScale*Arch_Roles*AE1653*INDEX(v01_MonasteryPerSett,G1653)*v01_OutMonastery*INDEX(LM_Monastery,G1653)</x:f>
        <x:v>0</x:v>
      </x:c>
      <x:c r="AM1653" s="32" t="n">
        <x:f>(AJ1653+AK1653+AL1653)/4*INDEX(LM_All,G1653)*INDEX(v01_Boon,G1653)*Arch_Insight</x:f>
        <x:v>0</x:v>
      </x:c>
      <x:c r="AN1653" s="32" t="n">
        <x:f>H1653*(v01_KHPerAdult*Z1653+v01_KHOfCommons*AJ1653/4*INDEX(LM_All,G1653))*v01_KHUsable*Arch_KH</x:f>
        <x:v>0</x:v>
      </x:c>
      <x:c r="AO1653" s="32" t="n">
        <x:f>MIN(AP1652+AN1653,AM1653*v01_KHMaxRatio)</x:f>
        <x:v>0</x:v>
      </x:c>
      <x:c r="AP1653" s="32" t="n">
        <x:f>AP1652+AN1653-AO1653</x:f>
        <x:v>0</x:v>
      </x:c>
      <x:c r="AQ1653" s="32" t="n">
        <x:f>AM1653+AO1653</x:f>
        <x:v>0</x:v>
      </x:c>
      <x:c r="AR1653" s="10" t="n">
        <x:f>IF(H1653=1,INDEX(v01_Req,G1653),0)</x:f>
        <x:v>0</x:v>
      </x:c>
      <x:c r="AS1653" s="32" t="n">
        <x:f>IF(H1653=1,IF(E1653=1,AS1652-AR1652,AS1652)+AQ1653,0)</x:f>
        <x:v>0</x:v>
      </x:c>
      <x:c r="AT1653" s="11" t="n">
        <x:f>IF(AR1653&gt;0,MIN(1,AS1653/AR1653),1)</x:f>
        <x:v>1</x:v>
      </x:c>
      <x:c r="AU1653" s="10" t="n">
        <x:f>AB1653/INDEX(v01_RepScale,G1653)</x:f>
        <x:v>90.09519605746344</x:v>
      </x:c>
      <x:c r="AV1653" s="32" t="n">
        <x:f>AM1653*60/v01_SeasonSeconds</x:f>
        <x:v>0</x:v>
      </x:c>
    </x:row>
    <x:row r="1654">
      <x:c r="A1654" s="8" t="n">
        <x:f>A1653+1</x:f>
        <x:v>1651</x:v>
      </x:c>
      <x:c r="B1654" s="9" t="n">
        <x:f>A1654*v01_SeasonSeconds/60</x:f>
        <x:v>412.75</x:v>
      </x:c>
      <x:c r="C1654" s="9" t="n">
        <x:f>A1654/4</x:f>
        <x:v>412.75</x:v>
      </x:c>
      <x:c r="D1654" s="8" t="n">
        <x:f>IF(MOD(A1654,4)=0,1,0)</x:f>
        <x:v>0</x:v>
      </x:c>
      <x:c r="E1654" s="8" t="n">
        <x:f>IF(AND(F1653&lt;=9,AS1653&gt;=AR1653),1,0)</x:f>
        <x:v>0</x:v>
      </x:c>
      <x:c r="F1654" s="8" t="n">
        <x:f>MIN(10,F1653+E1654)</x:f>
        <x:v>10</x:v>
      </x:c>
      <x:c r="G1654" s="8" t="n">
        <x:f>MIN(F1654,9)+1</x:f>
        <x:v>10</x:v>
      </x:c>
      <x:c r="H1654" s="8" t="n">
        <x:f>IF(F1654&lt;=9,1,0)</x:f>
        <x:v>0</x:v>
      </x:c>
      <x:c r="I1654" s="9" t="n">
        <x:f>MIN(10,F1653+IF(AR1653&gt;0,MIN(1,AS1653/AR1653),1))</x:f>
        <x:v>10</x:v>
      </x:c>
      <x:c r="J1654" s="32" t="n">
        <x:f>INDEX(v01_FoodCap,G1654)*Arch_FoodCap*EXP(v01_CapsByProject*SUMPRODUCT((Cap_Point&lt;=I1654)*(Cap_Kind="Food")*Cap_Ln))</x:f>
        <x:v>12000</x:v>
      </x:c>
      <x:c r="K1654" s="32" t="n">
        <x:f>J1654*MIN(1,v01_LeanBase*EXP(v01_CapsByProject*SUMPRODUCT((Cap_Point&lt;=I1654)*(Cap_Kind="Lean")*Cap_Ln)))</x:f>
        <x:v>12000</x:v>
      </x:c>
      <x:c r="L1654" s="10" t="n">
        <x:f>INDEX(v01_HousingCap,G1654)*EXP(v01_CapsByProject*SUMPRODUCT((Cap_Point&lt;=I1654)*(Cap_Kind="Housing")*Cap_Ln))</x:f>
        <x:v>20000</x:v>
      </x:c>
      <x:c r="M1654" s="10" t="n">
        <x:f>INDEX(v01_GroupCap,G1654)*v01_CohesionFactor*EXP(v01_CapsByProject*SUMPRODUCT((Cap_Point&lt;=I1654)*(Cap_Kind="Group")*Cap_Ln))</x:f>
        <x:v>1000000</x:v>
      </x:c>
      <x:c r="N1654" s="32" t="n">
        <x:f>MIN(J1654,L1654,M1654)</x:f>
        <x:v>12000</x:v>
      </x:c>
      <x:c r="O1654" s="10" t="n">
        <x:f>AE1653*N1654</x:f>
        <x:v>180000</x:v>
      </x:c>
      <x:c r="P1654" s="9" t="n">
        <x:f>MIN(1,(AB1653/(AE1653*IF(v01_GroupInCrowding=1,N1654,MIN(J1654,L1654))))^v01_CrowdingExp)</x:f>
        <x:v>0.00024569414295285325</x:v>
      </x:c>
      <x:c r="Q1654" s="9" t="n">
        <x:f>IF(D1654=1,INDEX(v01_WinterMult,G1654),1)</x:f>
        <x:v>1</x:v>
      </x:c>
      <x:c r="R1654" s="9" t="n">
        <x:f>H1654*Z1653*v01_WomenShare*v01_BaseFertility*INDEX(v01_FertMult,G1654)*Arch_Fertility*(1-P1654)</x:f>
        <x:v>0</x:v>
      </x:c>
      <x:c r="S1654" s="9" t="n">
        <x:f>H1654*Y1653*INDEX(v01_MortChild,G1654)/4*Q1654</x:f>
        <x:v>0</x:v>
      </x:c>
      <x:c r="T1654" s="9" t="n">
        <x:f>H1654*Z1653*INDEX(v01_MortAdult,G1654)*Arch_AdultMort/4*Q1654</x:f>
        <x:v>0</x:v>
      </x:c>
      <x:c r="U1654" s="9" t="n">
        <x:f>H1654*AA1653*INDEX(v01_MortElder,G1654)/4*Q1654</x:f>
        <x:v>0</x:v>
      </x:c>
      <x:c r="V1654" s="9" t="n">
        <x:f>H1654*MAX(0,AB1653-O1654)*v01_OvercapLoss</x:f>
        <x:v>0</x:v>
      </x:c>
      <x:c r="W1654" s="9" t="n">
        <x:f>H1654*Y1653/(v01_ChildYears*4)</x:f>
        <x:v>0</x:v>
      </x:c>
      <x:c r="X1654" s="9" t="n">
        <x:f>H1654*Z1653/(v01_AdultYears*4)</x:f>
        <x:v>0</x:v>
      </x:c>
      <x:c r="Y1654" s="32" t="n">
        <x:f>Y1653+R1654-S1654-W1654-Y1653*V1654/AB1653</x:f>
        <x:v>14306.18539759397</x:v>
      </x:c>
      <x:c r="Z1654" s="32" t="n">
        <x:f>Z1653+W1654-X1654-T1654-Z1653*V1654/AB1653</x:f>
        <x:v>19354.456567879548</x:v>
      </x:c>
      <x:c r="AA1654" s="32" t="n">
        <x:f>AA1653+X1654-U1654-AA1653*V1654/AB1653</x:f>
        <x:v>11386.956063258198</x:v>
      </x:c>
      <x:c r="AB1654" s="10" t="n">
        <x:f>Y1654+Z1654+AA1654</x:f>
        <x:v>45047.59802873172</x:v>
      </x:c>
      <x:c r="AC1654" s="8" t="n">
        <x:f>IF(AND(v01_WinterTrigger=1,D1654=1,AB1653/AE1653&gt;=K1654),1,0)</x:f>
        <x:v>0</x:v>
      </x:c>
      <x:c r="AD1654" s="8" t="n">
        <x:f>H1654*IF(AND(OR(AB1653/AE1653&gt;=v01_FissionTrigger*N1654,AC1654=1),AB1653/AE1653*v01_DaughterShare&gt;=v01_MinDaughter),MAX(1,ROUND(AE1653*v01_FissionRate,0)),0)</x:f>
        <x:v>0</x:v>
      </x:c>
      <x:c r="AE1654" s="8" t="n">
        <x:f>IF(H1654=1,MAX(1,MIN(INDEX(v01_Smax,G1654),AE1653+AD1654)),AE1653)</x:f>
        <x:v>15</x:v>
      </x:c>
      <x:c r="AF1654" s="8" t="n">
        <x:f>MAX(0,AE1654-AE1653)</x:f>
        <x:v>0</x:v>
      </x:c>
      <x:c r="AG1654" s="9" t="str">
        <x:f>IF(AF1654&gt;0,B1654,"")</x:f>
      </x:c>
      <x:c r="AH1654" s="9" t="n">
        <x:f>IF(F1654&gt;=1,1,(1+v01_LowTiesShare*(AE1654-1))/AE1654)</x:f>
        <x:v>1</x:v>
      </x:c>
      <x:c r="AI1654" s="32" t="n">
        <x:f>(Z1654+v01_ElderCommons*INDEX(LM_Elder,G1654)*AA1654)*AH1654</x:f>
        <x:v>64139.732591141874</x:v>
      </x:c>
      <x:c r="AJ1654" s="32" t="n">
        <x:f>H1654*v01_CommonsCoef*AI1654^v01_CommonsExp*INDEX(LM_Commons,G1654)</x:f>
        <x:v>0</x:v>
      </x:c>
      <x:c r="AK1654" s="32" t="n">
        <x:f>H1654*v01_RoleScale*Arch_Roles*(AE1654*(INDEX(v01_ElderRolePerSett,G1654)*v01_OutElder*INDEX(LM_Elder,G1654)+INDEX(v01_ShamanPerSett,G1654)*v01_OutShaman)+Z1654*(INDEX(v01_PriestShare,G1654)*v01_OutPriest+INDEX(v01_ScribeShare,G1654)*v01_OutScribe*INDEX(LM_Scribe,G1654)+INDEX(v01_ScholarShare,G1654)*v01_OutScholar*INDEX(LM_Scholar,G1654)+INDEX(v01_ResearcherShare,G1654)*v01_OutResearcher*INDEX(LM_Researcher,G1654)))</x:f>
        <x:v>0</x:v>
      </x:c>
      <x:c r="AL1654" s="32" t="n">
        <x:f>H1654*v01_RoleScale*Arch_Roles*AE1654*INDEX(v01_MonasteryPerSett,G1654)*v01_OutMonastery*INDEX(LM_Monastery,G1654)</x:f>
        <x:v>0</x:v>
      </x:c>
      <x:c r="AM1654" s="32" t="n">
        <x:f>(AJ1654+AK1654+AL1654)/4*INDEX(LM_All,G1654)*INDEX(v01_Boon,G1654)*Arch_Insight</x:f>
        <x:v>0</x:v>
      </x:c>
      <x:c r="AN1654" s="32" t="n">
        <x:f>H1654*(v01_KHPerAdult*Z1654+v01_KHOfCommons*AJ1654/4*INDEX(LM_All,G1654))*v01_KHUsable*Arch_KH</x:f>
        <x:v>0</x:v>
      </x:c>
      <x:c r="AO1654" s="32" t="n">
        <x:f>MIN(AP1653+AN1654,AM1654*v01_KHMaxRatio)</x:f>
        <x:v>0</x:v>
      </x:c>
      <x:c r="AP1654" s="32" t="n">
        <x:f>AP1653+AN1654-AO1654</x:f>
        <x:v>0</x:v>
      </x:c>
      <x:c r="AQ1654" s="32" t="n">
        <x:f>AM1654+AO1654</x:f>
        <x:v>0</x:v>
      </x:c>
      <x:c r="AR1654" s="10" t="n">
        <x:f>IF(H1654=1,INDEX(v01_Req,G1654),0)</x:f>
        <x:v>0</x:v>
      </x:c>
      <x:c r="AS1654" s="32" t="n">
        <x:f>IF(H1654=1,IF(E1654=1,AS1653-AR1653,AS1653)+AQ1654,0)</x:f>
        <x:v>0</x:v>
      </x:c>
      <x:c r="AT1654" s="11" t="n">
        <x:f>IF(AR1654&gt;0,MIN(1,AS1654/AR1654),1)</x:f>
        <x:v>1</x:v>
      </x:c>
      <x:c r="AU1654" s="10" t="n">
        <x:f>AB1654/INDEX(v01_RepScale,G1654)</x:f>
        <x:v>90.09519605746344</x:v>
      </x:c>
      <x:c r="AV1654" s="32" t="n">
        <x:f>AM1654*60/v01_SeasonSeconds</x:f>
        <x:v>0</x:v>
      </x:c>
    </x:row>
    <x:row r="1655">
      <x:c r="A1655" s="8" t="n">
        <x:f>A1654+1</x:f>
        <x:v>1652</x:v>
      </x:c>
      <x:c r="B1655" s="9" t="n">
        <x:f>A1655*v01_SeasonSeconds/60</x:f>
        <x:v>413</x:v>
      </x:c>
      <x:c r="C1655" s="9" t="n">
        <x:f>A1655/4</x:f>
        <x:v>413</x:v>
      </x:c>
      <x:c r="D1655" s="8" t="n">
        <x:f>IF(MOD(A1655,4)=0,1,0)</x:f>
        <x:v>1</x:v>
      </x:c>
      <x:c r="E1655" s="8" t="n">
        <x:f>IF(AND(F1654&lt;=9,AS1654&gt;=AR1654),1,0)</x:f>
        <x:v>0</x:v>
      </x:c>
      <x:c r="F1655" s="8" t="n">
        <x:f>MIN(10,F1654+E1655)</x:f>
        <x:v>10</x:v>
      </x:c>
      <x:c r="G1655" s="8" t="n">
        <x:f>MIN(F1655,9)+1</x:f>
        <x:v>10</x:v>
      </x:c>
      <x:c r="H1655" s="8" t="n">
        <x:f>IF(F1655&lt;=9,1,0)</x:f>
        <x:v>0</x:v>
      </x:c>
      <x:c r="I1655" s="9" t="n">
        <x:f>MIN(10,F1654+IF(AR1654&gt;0,MIN(1,AS1654/AR1654),1))</x:f>
        <x:v>10</x:v>
      </x:c>
      <x:c r="J1655" s="32" t="n">
        <x:f>INDEX(v01_FoodCap,G1655)*Arch_FoodCap*EXP(v01_CapsByProject*SUMPRODUCT((Cap_Point&lt;=I1655)*(Cap_Kind="Food")*Cap_Ln))</x:f>
        <x:v>12000</x:v>
      </x:c>
      <x:c r="K1655" s="32" t="n">
        <x:f>J1655*MIN(1,v01_LeanBase*EXP(v01_CapsByProject*SUMPRODUCT((Cap_Point&lt;=I1655)*(Cap_Kind="Lean")*Cap_Ln)))</x:f>
        <x:v>12000</x:v>
      </x:c>
      <x:c r="L1655" s="10" t="n">
        <x:f>INDEX(v01_HousingCap,G1655)*EXP(v01_CapsByProject*SUMPRODUCT((Cap_Point&lt;=I1655)*(Cap_Kind="Housing")*Cap_Ln))</x:f>
        <x:v>20000</x:v>
      </x:c>
      <x:c r="M1655" s="10" t="n">
        <x:f>INDEX(v01_GroupCap,G1655)*v01_CohesionFactor*EXP(v01_CapsByProject*SUMPRODUCT((Cap_Point&lt;=I1655)*(Cap_Kind="Group")*Cap_Ln))</x:f>
        <x:v>1000000</x:v>
      </x:c>
      <x:c r="N1655" s="32" t="n">
        <x:f>MIN(J1655,L1655,M1655)</x:f>
        <x:v>12000</x:v>
      </x:c>
      <x:c r="O1655" s="10" t="n">
        <x:f>AE1654*N1655</x:f>
        <x:v>180000</x:v>
      </x:c>
      <x:c r="P1655" s="9" t="n">
        <x:f>MIN(1,(AB1654/(AE1654*IF(v01_GroupInCrowding=1,N1655,MIN(J1655,L1655))))^v01_CrowdingExp)</x:f>
        <x:v>0.00024569414295285325</x:v>
      </x:c>
      <x:c r="Q1655" s="9" t="n">
        <x:f>IF(D1655=1,INDEX(v01_WinterMult,G1655),1)</x:f>
        <x:v>1</x:v>
      </x:c>
      <x:c r="R1655" s="9" t="n">
        <x:f>H1655*Z1654*v01_WomenShare*v01_BaseFertility*INDEX(v01_FertMult,G1655)*Arch_Fertility*(1-P1655)</x:f>
        <x:v>0</x:v>
      </x:c>
      <x:c r="S1655" s="9" t="n">
        <x:f>H1655*Y1654*INDEX(v01_MortChild,G1655)/4*Q1655</x:f>
        <x:v>0</x:v>
      </x:c>
      <x:c r="T1655" s="9" t="n">
        <x:f>H1655*Z1654*INDEX(v01_MortAdult,G1655)*Arch_AdultMort/4*Q1655</x:f>
        <x:v>0</x:v>
      </x:c>
      <x:c r="U1655" s="9" t="n">
        <x:f>H1655*AA1654*INDEX(v01_MortElder,G1655)/4*Q1655</x:f>
        <x:v>0</x:v>
      </x:c>
      <x:c r="V1655" s="9" t="n">
        <x:f>H1655*MAX(0,AB1654-O1655)*v01_OvercapLoss</x:f>
        <x:v>0</x:v>
      </x:c>
      <x:c r="W1655" s="9" t="n">
        <x:f>H1655*Y1654/(v01_ChildYears*4)</x:f>
        <x:v>0</x:v>
      </x:c>
      <x:c r="X1655" s="9" t="n">
        <x:f>H1655*Z1654/(v01_AdultYears*4)</x:f>
        <x:v>0</x:v>
      </x:c>
      <x:c r="Y1655" s="32" t="n">
        <x:f>Y1654+R1655-S1655-W1655-Y1654*V1655/AB1654</x:f>
        <x:v>14306.18539759397</x:v>
      </x:c>
      <x:c r="Z1655" s="32" t="n">
        <x:f>Z1654+W1655-X1655-T1655-Z1654*V1655/AB1654</x:f>
        <x:v>19354.456567879548</x:v>
      </x:c>
      <x:c r="AA1655" s="32" t="n">
        <x:f>AA1654+X1655-U1655-AA1654*V1655/AB1654</x:f>
        <x:v>11386.956063258198</x:v>
      </x:c>
      <x:c r="AB1655" s="10" t="n">
        <x:f>Y1655+Z1655+AA1655</x:f>
        <x:v>45047.59802873172</x:v>
      </x:c>
      <x:c r="AC1655" s="8" t="n">
        <x:f>IF(AND(v01_WinterTrigger=1,D1655=1,AB1654/AE1654&gt;=K1655),1,0)</x:f>
        <x:v>0</x:v>
      </x:c>
      <x:c r="AD1655" s="8" t="n">
        <x:f>H1655*IF(AND(OR(AB1654/AE1654&gt;=v01_FissionTrigger*N1655,AC1655=1),AB1654/AE1654*v01_DaughterShare&gt;=v01_MinDaughter),MAX(1,ROUND(AE1654*v01_FissionRate,0)),0)</x:f>
        <x:v>0</x:v>
      </x:c>
      <x:c r="AE1655" s="8" t="n">
        <x:f>IF(H1655=1,MAX(1,MIN(INDEX(v01_Smax,G1655),AE1654+AD1655)),AE1654)</x:f>
        <x:v>15</x:v>
      </x:c>
      <x:c r="AF1655" s="8" t="n">
        <x:f>MAX(0,AE1655-AE1654)</x:f>
        <x:v>0</x:v>
      </x:c>
      <x:c r="AG1655" s="9" t="str">
        <x:f>IF(AF1655&gt;0,B1655,"")</x:f>
      </x:c>
      <x:c r="AH1655" s="9" t="n">
        <x:f>IF(F1655&gt;=1,1,(1+v01_LowTiesShare*(AE1655-1))/AE1655)</x:f>
        <x:v>1</x:v>
      </x:c>
      <x:c r="AI1655" s="32" t="n">
        <x:f>(Z1655+v01_ElderCommons*INDEX(LM_Elder,G1655)*AA1655)*AH1655</x:f>
        <x:v>64139.732591141874</x:v>
      </x:c>
      <x:c r="AJ1655" s="32" t="n">
        <x:f>H1655*v01_CommonsCoef*AI1655^v01_CommonsExp*INDEX(LM_Commons,G1655)</x:f>
        <x:v>0</x:v>
      </x:c>
      <x:c r="AK1655" s="32" t="n">
        <x:f>H1655*v01_RoleScale*Arch_Roles*(AE1655*(INDEX(v01_ElderRolePerSett,G1655)*v01_OutElder*INDEX(LM_Elder,G1655)+INDEX(v01_ShamanPerSett,G1655)*v01_OutShaman)+Z1655*(INDEX(v01_PriestShare,G1655)*v01_OutPriest+INDEX(v01_ScribeShare,G1655)*v01_OutScribe*INDEX(LM_Scribe,G1655)+INDEX(v01_ScholarShare,G1655)*v01_OutScholar*INDEX(LM_Scholar,G1655)+INDEX(v01_ResearcherShare,G1655)*v01_OutResearcher*INDEX(LM_Researcher,G1655)))</x:f>
        <x:v>0</x:v>
      </x:c>
      <x:c r="AL1655" s="32" t="n">
        <x:f>H1655*v01_RoleScale*Arch_Roles*AE1655*INDEX(v01_MonasteryPerSett,G1655)*v01_OutMonastery*INDEX(LM_Monastery,G1655)</x:f>
        <x:v>0</x:v>
      </x:c>
      <x:c r="AM1655" s="32" t="n">
        <x:f>(AJ1655+AK1655+AL1655)/4*INDEX(LM_All,G1655)*INDEX(v01_Boon,G1655)*Arch_Insight</x:f>
        <x:v>0</x:v>
      </x:c>
      <x:c r="AN1655" s="32" t="n">
        <x:f>H1655*(v01_KHPerAdult*Z1655+v01_KHOfCommons*AJ1655/4*INDEX(LM_All,G1655))*v01_KHUsable*Arch_KH</x:f>
        <x:v>0</x:v>
      </x:c>
      <x:c r="AO1655" s="32" t="n">
        <x:f>MIN(AP1654+AN1655,AM1655*v01_KHMaxRatio)</x:f>
        <x:v>0</x:v>
      </x:c>
      <x:c r="AP1655" s="32" t="n">
        <x:f>AP1654+AN1655-AO1655</x:f>
        <x:v>0</x:v>
      </x:c>
      <x:c r="AQ1655" s="32" t="n">
        <x:f>AM1655+AO1655</x:f>
        <x:v>0</x:v>
      </x:c>
      <x:c r="AR1655" s="10" t="n">
        <x:f>IF(H1655=1,INDEX(v01_Req,G1655),0)</x:f>
        <x:v>0</x:v>
      </x:c>
      <x:c r="AS1655" s="32" t="n">
        <x:f>IF(H1655=1,IF(E1655=1,AS1654-AR1654,AS1654)+AQ1655,0)</x:f>
        <x:v>0</x:v>
      </x:c>
      <x:c r="AT1655" s="11" t="n">
        <x:f>IF(AR1655&gt;0,MIN(1,AS1655/AR1655),1)</x:f>
        <x:v>1</x:v>
      </x:c>
      <x:c r="AU1655" s="10" t="n">
        <x:f>AB1655/INDEX(v01_RepScale,G1655)</x:f>
        <x:v>90.09519605746344</x:v>
      </x:c>
      <x:c r="AV1655" s="32" t="n">
        <x:f>AM1655*60/v01_SeasonSeconds</x:f>
        <x:v>0</x:v>
      </x:c>
    </x:row>
    <x:row r="1656">
      <x:c r="A1656" s="8" t="n">
        <x:f>A1655+1</x:f>
        <x:v>1653</x:v>
      </x:c>
      <x:c r="B1656" s="9" t="n">
        <x:f>A1656*v01_SeasonSeconds/60</x:f>
        <x:v>413.25</x:v>
      </x:c>
      <x:c r="C1656" s="9" t="n">
        <x:f>A1656/4</x:f>
        <x:v>413.25</x:v>
      </x:c>
      <x:c r="D1656" s="8" t="n">
        <x:f>IF(MOD(A1656,4)=0,1,0)</x:f>
        <x:v>0</x:v>
      </x:c>
      <x:c r="E1656" s="8" t="n">
        <x:f>IF(AND(F1655&lt;=9,AS1655&gt;=AR1655),1,0)</x:f>
        <x:v>0</x:v>
      </x:c>
      <x:c r="F1656" s="8" t="n">
        <x:f>MIN(10,F1655+E1656)</x:f>
        <x:v>10</x:v>
      </x:c>
      <x:c r="G1656" s="8" t="n">
        <x:f>MIN(F1656,9)+1</x:f>
        <x:v>10</x:v>
      </x:c>
      <x:c r="H1656" s="8" t="n">
        <x:f>IF(F1656&lt;=9,1,0)</x:f>
        <x:v>0</x:v>
      </x:c>
      <x:c r="I1656" s="9" t="n">
        <x:f>MIN(10,F1655+IF(AR1655&gt;0,MIN(1,AS1655/AR1655),1))</x:f>
        <x:v>10</x:v>
      </x:c>
      <x:c r="J1656" s="32" t="n">
        <x:f>INDEX(v01_FoodCap,G1656)*Arch_FoodCap*EXP(v01_CapsByProject*SUMPRODUCT((Cap_Point&lt;=I1656)*(Cap_Kind="Food")*Cap_Ln))</x:f>
        <x:v>12000</x:v>
      </x:c>
      <x:c r="K1656" s="32" t="n">
        <x:f>J1656*MIN(1,v01_LeanBase*EXP(v01_CapsByProject*SUMPRODUCT((Cap_Point&lt;=I1656)*(Cap_Kind="Lean")*Cap_Ln)))</x:f>
        <x:v>12000</x:v>
      </x:c>
      <x:c r="L1656" s="10" t="n">
        <x:f>INDEX(v01_HousingCap,G1656)*EXP(v01_CapsByProject*SUMPRODUCT((Cap_Point&lt;=I1656)*(Cap_Kind="Housing")*Cap_Ln))</x:f>
        <x:v>20000</x:v>
      </x:c>
      <x:c r="M1656" s="10" t="n">
        <x:f>INDEX(v01_GroupCap,G1656)*v01_CohesionFactor*EXP(v01_CapsByProject*SUMPRODUCT((Cap_Point&lt;=I1656)*(Cap_Kind="Group")*Cap_Ln))</x:f>
        <x:v>1000000</x:v>
      </x:c>
      <x:c r="N1656" s="32" t="n">
        <x:f>MIN(J1656,L1656,M1656)</x:f>
        <x:v>12000</x:v>
      </x:c>
      <x:c r="O1656" s="10" t="n">
        <x:f>AE1655*N1656</x:f>
        <x:v>180000</x:v>
      </x:c>
      <x:c r="P1656" s="9" t="n">
        <x:f>MIN(1,(AB1655/(AE1655*IF(v01_GroupInCrowding=1,N1656,MIN(J1656,L1656))))^v01_CrowdingExp)</x:f>
        <x:v>0.00024569414295285325</x:v>
      </x:c>
      <x:c r="Q1656" s="9" t="n">
        <x:f>IF(D1656=1,INDEX(v01_WinterMult,G1656),1)</x:f>
        <x:v>1</x:v>
      </x:c>
      <x:c r="R1656" s="9" t="n">
        <x:f>H1656*Z1655*v01_WomenShare*v01_BaseFertility*INDEX(v01_FertMult,G1656)*Arch_Fertility*(1-P1656)</x:f>
        <x:v>0</x:v>
      </x:c>
      <x:c r="S1656" s="9" t="n">
        <x:f>H1656*Y1655*INDEX(v01_MortChild,G1656)/4*Q1656</x:f>
        <x:v>0</x:v>
      </x:c>
      <x:c r="T1656" s="9" t="n">
        <x:f>H1656*Z1655*INDEX(v01_MortAdult,G1656)*Arch_AdultMort/4*Q1656</x:f>
        <x:v>0</x:v>
      </x:c>
      <x:c r="U1656" s="9" t="n">
        <x:f>H1656*AA1655*INDEX(v01_MortElder,G1656)/4*Q1656</x:f>
        <x:v>0</x:v>
      </x:c>
      <x:c r="V1656" s="9" t="n">
        <x:f>H1656*MAX(0,AB1655-O1656)*v01_OvercapLoss</x:f>
        <x:v>0</x:v>
      </x:c>
      <x:c r="W1656" s="9" t="n">
        <x:f>H1656*Y1655/(v01_ChildYears*4)</x:f>
        <x:v>0</x:v>
      </x:c>
      <x:c r="X1656" s="9" t="n">
        <x:f>H1656*Z1655/(v01_AdultYears*4)</x:f>
        <x:v>0</x:v>
      </x:c>
      <x:c r="Y1656" s="32" t="n">
        <x:f>Y1655+R1656-S1656-W1656-Y1655*V1656/AB1655</x:f>
        <x:v>14306.18539759397</x:v>
      </x:c>
      <x:c r="Z1656" s="32" t="n">
        <x:f>Z1655+W1656-X1656-T1656-Z1655*V1656/AB1655</x:f>
        <x:v>19354.456567879548</x:v>
      </x:c>
      <x:c r="AA1656" s="32" t="n">
        <x:f>AA1655+X1656-U1656-AA1655*V1656/AB1655</x:f>
        <x:v>11386.956063258198</x:v>
      </x:c>
      <x:c r="AB1656" s="10" t="n">
        <x:f>Y1656+Z1656+AA1656</x:f>
        <x:v>45047.59802873172</x:v>
      </x:c>
      <x:c r="AC1656" s="8" t="n">
        <x:f>IF(AND(v01_WinterTrigger=1,D1656=1,AB1655/AE1655&gt;=K1656),1,0)</x:f>
        <x:v>0</x:v>
      </x:c>
      <x:c r="AD1656" s="8" t="n">
        <x:f>H1656*IF(AND(OR(AB1655/AE1655&gt;=v01_FissionTrigger*N1656,AC1656=1),AB1655/AE1655*v01_DaughterShare&gt;=v01_MinDaughter),MAX(1,ROUND(AE1655*v01_FissionRate,0)),0)</x:f>
        <x:v>0</x:v>
      </x:c>
      <x:c r="AE1656" s="8" t="n">
        <x:f>IF(H1656=1,MAX(1,MIN(INDEX(v01_Smax,G1656),AE1655+AD1656)),AE1655)</x:f>
        <x:v>15</x:v>
      </x:c>
      <x:c r="AF1656" s="8" t="n">
        <x:f>MAX(0,AE1656-AE1655)</x:f>
        <x:v>0</x:v>
      </x:c>
      <x:c r="AG1656" s="9" t="str">
        <x:f>IF(AF1656&gt;0,B1656,"")</x:f>
      </x:c>
      <x:c r="AH1656" s="9" t="n">
        <x:f>IF(F1656&gt;=1,1,(1+v01_LowTiesShare*(AE1656-1))/AE1656)</x:f>
        <x:v>1</x:v>
      </x:c>
      <x:c r="AI1656" s="32" t="n">
        <x:f>(Z1656+v01_ElderCommons*INDEX(LM_Elder,G1656)*AA1656)*AH1656</x:f>
        <x:v>64139.732591141874</x:v>
      </x:c>
      <x:c r="AJ1656" s="32" t="n">
        <x:f>H1656*v01_CommonsCoef*AI1656^v01_CommonsExp*INDEX(LM_Commons,G1656)</x:f>
        <x:v>0</x:v>
      </x:c>
      <x:c r="AK1656" s="32" t="n">
        <x:f>H1656*v01_RoleScale*Arch_Roles*(AE1656*(INDEX(v01_ElderRolePerSett,G1656)*v01_OutElder*INDEX(LM_Elder,G1656)+INDEX(v01_ShamanPerSett,G1656)*v01_OutShaman)+Z1656*(INDEX(v01_PriestShare,G1656)*v01_OutPriest+INDEX(v01_ScribeShare,G1656)*v01_OutScribe*INDEX(LM_Scribe,G1656)+INDEX(v01_ScholarShare,G1656)*v01_OutScholar*INDEX(LM_Scholar,G1656)+INDEX(v01_ResearcherShare,G1656)*v01_OutResearcher*INDEX(LM_Researcher,G1656)))</x:f>
        <x:v>0</x:v>
      </x:c>
      <x:c r="AL1656" s="32" t="n">
        <x:f>H1656*v01_RoleScale*Arch_Roles*AE1656*INDEX(v01_MonasteryPerSett,G1656)*v01_OutMonastery*INDEX(LM_Monastery,G1656)</x:f>
        <x:v>0</x:v>
      </x:c>
      <x:c r="AM1656" s="32" t="n">
        <x:f>(AJ1656+AK1656+AL1656)/4*INDEX(LM_All,G1656)*INDEX(v01_Boon,G1656)*Arch_Insight</x:f>
        <x:v>0</x:v>
      </x:c>
      <x:c r="AN1656" s="32" t="n">
        <x:f>H1656*(v01_KHPerAdult*Z1656+v01_KHOfCommons*AJ1656/4*INDEX(LM_All,G1656))*v01_KHUsable*Arch_KH</x:f>
        <x:v>0</x:v>
      </x:c>
      <x:c r="AO1656" s="32" t="n">
        <x:f>MIN(AP1655+AN1656,AM1656*v01_KHMaxRatio)</x:f>
        <x:v>0</x:v>
      </x:c>
      <x:c r="AP1656" s="32" t="n">
        <x:f>AP1655+AN1656-AO1656</x:f>
        <x:v>0</x:v>
      </x:c>
      <x:c r="AQ1656" s="32" t="n">
        <x:f>AM1656+AO1656</x:f>
        <x:v>0</x:v>
      </x:c>
      <x:c r="AR1656" s="10" t="n">
        <x:f>IF(H1656=1,INDEX(v01_Req,G1656),0)</x:f>
        <x:v>0</x:v>
      </x:c>
      <x:c r="AS1656" s="32" t="n">
        <x:f>IF(H1656=1,IF(E1656=1,AS1655-AR1655,AS1655)+AQ1656,0)</x:f>
        <x:v>0</x:v>
      </x:c>
      <x:c r="AT1656" s="11" t="n">
        <x:f>IF(AR1656&gt;0,MIN(1,AS1656/AR1656),1)</x:f>
        <x:v>1</x:v>
      </x:c>
      <x:c r="AU1656" s="10" t="n">
        <x:f>AB1656/INDEX(v01_RepScale,G1656)</x:f>
        <x:v>90.09519605746344</x:v>
      </x:c>
      <x:c r="AV1656" s="32" t="n">
        <x:f>AM1656*60/v01_SeasonSeconds</x:f>
        <x:v>0</x:v>
      </x:c>
    </x:row>
    <x:row r="1657">
      <x:c r="A1657" s="8" t="n">
        <x:f>A1656+1</x:f>
        <x:v>1654</x:v>
      </x:c>
      <x:c r="B1657" s="9" t="n">
        <x:f>A1657*v01_SeasonSeconds/60</x:f>
        <x:v>413.5</x:v>
      </x:c>
      <x:c r="C1657" s="9" t="n">
        <x:f>A1657/4</x:f>
        <x:v>413.5</x:v>
      </x:c>
      <x:c r="D1657" s="8" t="n">
        <x:f>IF(MOD(A1657,4)=0,1,0)</x:f>
        <x:v>0</x:v>
      </x:c>
      <x:c r="E1657" s="8" t="n">
        <x:f>IF(AND(F1656&lt;=9,AS1656&gt;=AR1656),1,0)</x:f>
        <x:v>0</x:v>
      </x:c>
      <x:c r="F1657" s="8" t="n">
        <x:f>MIN(10,F1656+E1657)</x:f>
        <x:v>10</x:v>
      </x:c>
      <x:c r="G1657" s="8" t="n">
        <x:f>MIN(F1657,9)+1</x:f>
        <x:v>10</x:v>
      </x:c>
      <x:c r="H1657" s="8" t="n">
        <x:f>IF(F1657&lt;=9,1,0)</x:f>
        <x:v>0</x:v>
      </x:c>
      <x:c r="I1657" s="9" t="n">
        <x:f>MIN(10,F1656+IF(AR1656&gt;0,MIN(1,AS1656/AR1656),1))</x:f>
        <x:v>10</x:v>
      </x:c>
      <x:c r="J1657" s="32" t="n">
        <x:f>INDEX(v01_FoodCap,G1657)*Arch_FoodCap*EXP(v01_CapsByProject*SUMPRODUCT((Cap_Point&lt;=I1657)*(Cap_Kind="Food")*Cap_Ln))</x:f>
        <x:v>12000</x:v>
      </x:c>
      <x:c r="K1657" s="32" t="n">
        <x:f>J1657*MIN(1,v01_LeanBase*EXP(v01_CapsByProject*SUMPRODUCT((Cap_Point&lt;=I1657)*(Cap_Kind="Lean")*Cap_Ln)))</x:f>
        <x:v>12000</x:v>
      </x:c>
      <x:c r="L1657" s="10" t="n">
        <x:f>INDEX(v01_HousingCap,G1657)*EXP(v01_CapsByProject*SUMPRODUCT((Cap_Point&lt;=I1657)*(Cap_Kind="Housing")*Cap_Ln))</x:f>
        <x:v>20000</x:v>
      </x:c>
      <x:c r="M1657" s="10" t="n">
        <x:f>INDEX(v01_GroupCap,G1657)*v01_CohesionFactor*EXP(v01_CapsByProject*SUMPRODUCT((Cap_Point&lt;=I1657)*(Cap_Kind="Group")*Cap_Ln))</x:f>
        <x:v>1000000</x:v>
      </x:c>
      <x:c r="N1657" s="32" t="n">
        <x:f>MIN(J1657,L1657,M1657)</x:f>
        <x:v>12000</x:v>
      </x:c>
      <x:c r="O1657" s="10" t="n">
        <x:f>AE1656*N1657</x:f>
        <x:v>180000</x:v>
      </x:c>
      <x:c r="P1657" s="9" t="n">
        <x:f>MIN(1,(AB1656/(AE1656*IF(v01_GroupInCrowding=1,N1657,MIN(J1657,L1657))))^v01_CrowdingExp)</x:f>
        <x:v>0.00024569414295285325</x:v>
      </x:c>
      <x:c r="Q1657" s="9" t="n">
        <x:f>IF(D1657=1,INDEX(v01_WinterMult,G1657),1)</x:f>
        <x:v>1</x:v>
      </x:c>
      <x:c r="R1657" s="9" t="n">
        <x:f>H1657*Z1656*v01_WomenShare*v01_BaseFertility*INDEX(v01_FertMult,G1657)*Arch_Fertility*(1-P1657)</x:f>
        <x:v>0</x:v>
      </x:c>
      <x:c r="S1657" s="9" t="n">
        <x:f>H1657*Y1656*INDEX(v01_MortChild,G1657)/4*Q1657</x:f>
        <x:v>0</x:v>
      </x:c>
      <x:c r="T1657" s="9" t="n">
        <x:f>H1657*Z1656*INDEX(v01_MortAdult,G1657)*Arch_AdultMort/4*Q1657</x:f>
        <x:v>0</x:v>
      </x:c>
      <x:c r="U1657" s="9" t="n">
        <x:f>H1657*AA1656*INDEX(v01_MortElder,G1657)/4*Q1657</x:f>
        <x:v>0</x:v>
      </x:c>
      <x:c r="V1657" s="9" t="n">
        <x:f>H1657*MAX(0,AB1656-O1657)*v01_OvercapLoss</x:f>
        <x:v>0</x:v>
      </x:c>
      <x:c r="W1657" s="9" t="n">
        <x:f>H1657*Y1656/(v01_ChildYears*4)</x:f>
        <x:v>0</x:v>
      </x:c>
      <x:c r="X1657" s="9" t="n">
        <x:f>H1657*Z1656/(v01_AdultYears*4)</x:f>
        <x:v>0</x:v>
      </x:c>
      <x:c r="Y1657" s="32" t="n">
        <x:f>Y1656+R1657-S1657-W1657-Y1656*V1657/AB1656</x:f>
        <x:v>14306.18539759397</x:v>
      </x:c>
      <x:c r="Z1657" s="32" t="n">
        <x:f>Z1656+W1657-X1657-T1657-Z1656*V1657/AB1656</x:f>
        <x:v>19354.456567879548</x:v>
      </x:c>
      <x:c r="AA1657" s="32" t="n">
        <x:f>AA1656+X1657-U1657-AA1656*V1657/AB1656</x:f>
        <x:v>11386.956063258198</x:v>
      </x:c>
      <x:c r="AB1657" s="10" t="n">
        <x:f>Y1657+Z1657+AA1657</x:f>
        <x:v>45047.59802873172</x:v>
      </x:c>
      <x:c r="AC1657" s="8" t="n">
        <x:f>IF(AND(v01_WinterTrigger=1,D1657=1,AB1656/AE1656&gt;=K1657),1,0)</x:f>
        <x:v>0</x:v>
      </x:c>
      <x:c r="AD1657" s="8" t="n">
        <x:f>H1657*IF(AND(OR(AB1656/AE1656&gt;=v01_FissionTrigger*N1657,AC1657=1),AB1656/AE1656*v01_DaughterShare&gt;=v01_MinDaughter),MAX(1,ROUND(AE1656*v01_FissionRate,0)),0)</x:f>
        <x:v>0</x:v>
      </x:c>
      <x:c r="AE1657" s="8" t="n">
        <x:f>IF(H1657=1,MAX(1,MIN(INDEX(v01_Smax,G1657),AE1656+AD1657)),AE1656)</x:f>
        <x:v>15</x:v>
      </x:c>
      <x:c r="AF1657" s="8" t="n">
        <x:f>MAX(0,AE1657-AE1656)</x:f>
        <x:v>0</x:v>
      </x:c>
      <x:c r="AG1657" s="9" t="str">
        <x:f>IF(AF1657&gt;0,B1657,"")</x:f>
      </x:c>
      <x:c r="AH1657" s="9" t="n">
        <x:f>IF(F1657&gt;=1,1,(1+v01_LowTiesShare*(AE1657-1))/AE1657)</x:f>
        <x:v>1</x:v>
      </x:c>
      <x:c r="AI1657" s="32" t="n">
        <x:f>(Z1657+v01_ElderCommons*INDEX(LM_Elder,G1657)*AA1657)*AH1657</x:f>
        <x:v>64139.732591141874</x:v>
      </x:c>
      <x:c r="AJ1657" s="32" t="n">
        <x:f>H1657*v01_CommonsCoef*AI1657^v01_CommonsExp*INDEX(LM_Commons,G1657)</x:f>
        <x:v>0</x:v>
      </x:c>
      <x:c r="AK1657" s="32" t="n">
        <x:f>H1657*v01_RoleScale*Arch_Roles*(AE1657*(INDEX(v01_ElderRolePerSett,G1657)*v01_OutElder*INDEX(LM_Elder,G1657)+INDEX(v01_ShamanPerSett,G1657)*v01_OutShaman)+Z1657*(INDEX(v01_PriestShare,G1657)*v01_OutPriest+INDEX(v01_ScribeShare,G1657)*v01_OutScribe*INDEX(LM_Scribe,G1657)+INDEX(v01_ScholarShare,G1657)*v01_OutScholar*INDEX(LM_Scholar,G1657)+INDEX(v01_ResearcherShare,G1657)*v01_OutResearcher*INDEX(LM_Researcher,G1657)))</x:f>
        <x:v>0</x:v>
      </x:c>
      <x:c r="AL1657" s="32" t="n">
        <x:f>H1657*v01_RoleScale*Arch_Roles*AE1657*INDEX(v01_MonasteryPerSett,G1657)*v01_OutMonastery*INDEX(LM_Monastery,G1657)</x:f>
        <x:v>0</x:v>
      </x:c>
      <x:c r="AM1657" s="32" t="n">
        <x:f>(AJ1657+AK1657+AL1657)/4*INDEX(LM_All,G1657)*INDEX(v01_Boon,G1657)*Arch_Insight</x:f>
        <x:v>0</x:v>
      </x:c>
      <x:c r="AN1657" s="32" t="n">
        <x:f>H1657*(v01_KHPerAdult*Z1657+v01_KHOfCommons*AJ1657/4*INDEX(LM_All,G1657))*v01_KHUsable*Arch_KH</x:f>
        <x:v>0</x:v>
      </x:c>
      <x:c r="AO1657" s="32" t="n">
        <x:f>MIN(AP1656+AN1657,AM1657*v01_KHMaxRatio)</x:f>
        <x:v>0</x:v>
      </x:c>
      <x:c r="AP1657" s="32" t="n">
        <x:f>AP1656+AN1657-AO1657</x:f>
        <x:v>0</x:v>
      </x:c>
      <x:c r="AQ1657" s="32" t="n">
        <x:f>AM1657+AO1657</x:f>
        <x:v>0</x:v>
      </x:c>
      <x:c r="AR1657" s="10" t="n">
        <x:f>IF(H1657=1,INDEX(v01_Req,G1657),0)</x:f>
        <x:v>0</x:v>
      </x:c>
      <x:c r="AS1657" s="32" t="n">
        <x:f>IF(H1657=1,IF(E1657=1,AS1656-AR1656,AS1656)+AQ1657,0)</x:f>
        <x:v>0</x:v>
      </x:c>
      <x:c r="AT1657" s="11" t="n">
        <x:f>IF(AR1657&gt;0,MIN(1,AS1657/AR1657),1)</x:f>
        <x:v>1</x:v>
      </x:c>
      <x:c r="AU1657" s="10" t="n">
        <x:f>AB1657/INDEX(v01_RepScale,G1657)</x:f>
        <x:v>90.09519605746344</x:v>
      </x:c>
      <x:c r="AV1657" s="32" t="n">
        <x:f>AM1657*60/v01_SeasonSeconds</x:f>
        <x:v>0</x:v>
      </x:c>
    </x:row>
    <x:row r="1658">
      <x:c r="A1658" s="8" t="n">
        <x:f>A1657+1</x:f>
        <x:v>1655</x:v>
      </x:c>
      <x:c r="B1658" s="9" t="n">
        <x:f>A1658*v01_SeasonSeconds/60</x:f>
        <x:v>413.75</x:v>
      </x:c>
      <x:c r="C1658" s="9" t="n">
        <x:f>A1658/4</x:f>
        <x:v>413.75</x:v>
      </x:c>
      <x:c r="D1658" s="8" t="n">
        <x:f>IF(MOD(A1658,4)=0,1,0)</x:f>
        <x:v>0</x:v>
      </x:c>
      <x:c r="E1658" s="8" t="n">
        <x:f>IF(AND(F1657&lt;=9,AS1657&gt;=AR1657),1,0)</x:f>
        <x:v>0</x:v>
      </x:c>
      <x:c r="F1658" s="8" t="n">
        <x:f>MIN(10,F1657+E1658)</x:f>
        <x:v>10</x:v>
      </x:c>
      <x:c r="G1658" s="8" t="n">
        <x:f>MIN(F1658,9)+1</x:f>
        <x:v>10</x:v>
      </x:c>
      <x:c r="H1658" s="8" t="n">
        <x:f>IF(F1658&lt;=9,1,0)</x:f>
        <x:v>0</x:v>
      </x:c>
      <x:c r="I1658" s="9" t="n">
        <x:f>MIN(10,F1657+IF(AR1657&gt;0,MIN(1,AS1657/AR1657),1))</x:f>
        <x:v>10</x:v>
      </x:c>
      <x:c r="J1658" s="32" t="n">
        <x:f>INDEX(v01_FoodCap,G1658)*Arch_FoodCap*EXP(v01_CapsByProject*SUMPRODUCT((Cap_Point&lt;=I1658)*(Cap_Kind="Food")*Cap_Ln))</x:f>
        <x:v>12000</x:v>
      </x:c>
      <x:c r="K1658" s="32" t="n">
        <x:f>J1658*MIN(1,v01_LeanBase*EXP(v01_CapsByProject*SUMPRODUCT((Cap_Point&lt;=I1658)*(Cap_Kind="Lean")*Cap_Ln)))</x:f>
        <x:v>12000</x:v>
      </x:c>
      <x:c r="L1658" s="10" t="n">
        <x:f>INDEX(v01_HousingCap,G1658)*EXP(v01_CapsByProject*SUMPRODUCT((Cap_Point&lt;=I1658)*(Cap_Kind="Housing")*Cap_Ln))</x:f>
        <x:v>20000</x:v>
      </x:c>
      <x:c r="M1658" s="10" t="n">
        <x:f>INDEX(v01_GroupCap,G1658)*v01_CohesionFactor*EXP(v01_CapsByProject*SUMPRODUCT((Cap_Point&lt;=I1658)*(Cap_Kind="Group")*Cap_Ln))</x:f>
        <x:v>1000000</x:v>
      </x:c>
      <x:c r="N1658" s="32" t="n">
        <x:f>MIN(J1658,L1658,M1658)</x:f>
        <x:v>12000</x:v>
      </x:c>
      <x:c r="O1658" s="10" t="n">
        <x:f>AE1657*N1658</x:f>
        <x:v>180000</x:v>
      </x:c>
      <x:c r="P1658" s="9" t="n">
        <x:f>MIN(1,(AB1657/(AE1657*IF(v01_GroupInCrowding=1,N1658,MIN(J1658,L1658))))^v01_CrowdingExp)</x:f>
        <x:v>0.00024569414295285325</x:v>
      </x:c>
      <x:c r="Q1658" s="9" t="n">
        <x:f>IF(D1658=1,INDEX(v01_WinterMult,G1658),1)</x:f>
        <x:v>1</x:v>
      </x:c>
      <x:c r="R1658" s="9" t="n">
        <x:f>H1658*Z1657*v01_WomenShare*v01_BaseFertility*INDEX(v01_FertMult,G1658)*Arch_Fertility*(1-P1658)</x:f>
        <x:v>0</x:v>
      </x:c>
      <x:c r="S1658" s="9" t="n">
        <x:f>H1658*Y1657*INDEX(v01_MortChild,G1658)/4*Q1658</x:f>
        <x:v>0</x:v>
      </x:c>
      <x:c r="T1658" s="9" t="n">
        <x:f>H1658*Z1657*INDEX(v01_MortAdult,G1658)*Arch_AdultMort/4*Q1658</x:f>
        <x:v>0</x:v>
      </x:c>
      <x:c r="U1658" s="9" t="n">
        <x:f>H1658*AA1657*INDEX(v01_MortElder,G1658)/4*Q1658</x:f>
        <x:v>0</x:v>
      </x:c>
      <x:c r="V1658" s="9" t="n">
        <x:f>H1658*MAX(0,AB1657-O1658)*v01_OvercapLoss</x:f>
        <x:v>0</x:v>
      </x:c>
      <x:c r="W1658" s="9" t="n">
        <x:f>H1658*Y1657/(v01_ChildYears*4)</x:f>
        <x:v>0</x:v>
      </x:c>
      <x:c r="X1658" s="9" t="n">
        <x:f>H1658*Z1657/(v01_AdultYears*4)</x:f>
        <x:v>0</x:v>
      </x:c>
      <x:c r="Y1658" s="32" t="n">
        <x:f>Y1657+R1658-S1658-W1658-Y1657*V1658/AB1657</x:f>
        <x:v>14306.18539759397</x:v>
      </x:c>
      <x:c r="Z1658" s="32" t="n">
        <x:f>Z1657+W1658-X1658-T1658-Z1657*V1658/AB1657</x:f>
        <x:v>19354.456567879548</x:v>
      </x:c>
      <x:c r="AA1658" s="32" t="n">
        <x:f>AA1657+X1658-U1658-AA1657*V1658/AB1657</x:f>
        <x:v>11386.956063258198</x:v>
      </x:c>
      <x:c r="AB1658" s="10" t="n">
        <x:f>Y1658+Z1658+AA1658</x:f>
        <x:v>45047.59802873172</x:v>
      </x:c>
      <x:c r="AC1658" s="8" t="n">
        <x:f>IF(AND(v01_WinterTrigger=1,D1658=1,AB1657/AE1657&gt;=K1658),1,0)</x:f>
        <x:v>0</x:v>
      </x:c>
      <x:c r="AD1658" s="8" t="n">
        <x:f>H1658*IF(AND(OR(AB1657/AE1657&gt;=v01_FissionTrigger*N1658,AC1658=1),AB1657/AE1657*v01_DaughterShare&gt;=v01_MinDaughter),MAX(1,ROUND(AE1657*v01_FissionRate,0)),0)</x:f>
        <x:v>0</x:v>
      </x:c>
      <x:c r="AE1658" s="8" t="n">
        <x:f>IF(H1658=1,MAX(1,MIN(INDEX(v01_Smax,G1658),AE1657+AD1658)),AE1657)</x:f>
        <x:v>15</x:v>
      </x:c>
      <x:c r="AF1658" s="8" t="n">
        <x:f>MAX(0,AE1658-AE1657)</x:f>
        <x:v>0</x:v>
      </x:c>
      <x:c r="AG1658" s="9" t="str">
        <x:f>IF(AF1658&gt;0,B1658,"")</x:f>
      </x:c>
      <x:c r="AH1658" s="9" t="n">
        <x:f>IF(F1658&gt;=1,1,(1+v01_LowTiesShare*(AE1658-1))/AE1658)</x:f>
        <x:v>1</x:v>
      </x:c>
      <x:c r="AI1658" s="32" t="n">
        <x:f>(Z1658+v01_ElderCommons*INDEX(LM_Elder,G1658)*AA1658)*AH1658</x:f>
        <x:v>64139.732591141874</x:v>
      </x:c>
      <x:c r="AJ1658" s="32" t="n">
        <x:f>H1658*v01_CommonsCoef*AI1658^v01_CommonsExp*INDEX(LM_Commons,G1658)</x:f>
        <x:v>0</x:v>
      </x:c>
      <x:c r="AK1658" s="32" t="n">
        <x:f>H1658*v01_RoleScale*Arch_Roles*(AE1658*(INDEX(v01_ElderRolePerSett,G1658)*v01_OutElder*INDEX(LM_Elder,G1658)+INDEX(v01_ShamanPerSett,G1658)*v01_OutShaman)+Z1658*(INDEX(v01_PriestShare,G1658)*v01_OutPriest+INDEX(v01_ScribeShare,G1658)*v01_OutScribe*INDEX(LM_Scribe,G1658)+INDEX(v01_ScholarShare,G1658)*v01_OutScholar*INDEX(LM_Scholar,G1658)+INDEX(v01_ResearcherShare,G1658)*v01_OutResearcher*INDEX(LM_Researcher,G1658)))</x:f>
        <x:v>0</x:v>
      </x:c>
      <x:c r="AL1658" s="32" t="n">
        <x:f>H1658*v01_RoleScale*Arch_Roles*AE1658*INDEX(v01_MonasteryPerSett,G1658)*v01_OutMonastery*INDEX(LM_Monastery,G1658)</x:f>
        <x:v>0</x:v>
      </x:c>
      <x:c r="AM1658" s="32" t="n">
        <x:f>(AJ1658+AK1658+AL1658)/4*INDEX(LM_All,G1658)*INDEX(v01_Boon,G1658)*Arch_Insight</x:f>
        <x:v>0</x:v>
      </x:c>
      <x:c r="AN1658" s="32" t="n">
        <x:f>H1658*(v01_KHPerAdult*Z1658+v01_KHOfCommons*AJ1658/4*INDEX(LM_All,G1658))*v01_KHUsable*Arch_KH</x:f>
        <x:v>0</x:v>
      </x:c>
      <x:c r="AO1658" s="32" t="n">
        <x:f>MIN(AP1657+AN1658,AM1658*v01_KHMaxRatio)</x:f>
        <x:v>0</x:v>
      </x:c>
      <x:c r="AP1658" s="32" t="n">
        <x:f>AP1657+AN1658-AO1658</x:f>
        <x:v>0</x:v>
      </x:c>
      <x:c r="AQ1658" s="32" t="n">
        <x:f>AM1658+AO1658</x:f>
        <x:v>0</x:v>
      </x:c>
      <x:c r="AR1658" s="10" t="n">
        <x:f>IF(H1658=1,INDEX(v01_Req,G1658),0)</x:f>
        <x:v>0</x:v>
      </x:c>
      <x:c r="AS1658" s="32" t="n">
        <x:f>IF(H1658=1,IF(E1658=1,AS1657-AR1657,AS1657)+AQ1658,0)</x:f>
        <x:v>0</x:v>
      </x:c>
      <x:c r="AT1658" s="11" t="n">
        <x:f>IF(AR1658&gt;0,MIN(1,AS1658/AR1658),1)</x:f>
        <x:v>1</x:v>
      </x:c>
      <x:c r="AU1658" s="10" t="n">
        <x:f>AB1658/INDEX(v01_RepScale,G1658)</x:f>
        <x:v>90.09519605746344</x:v>
      </x:c>
      <x:c r="AV1658" s="32" t="n">
        <x:f>AM1658*60/v01_SeasonSeconds</x:f>
        <x:v>0</x:v>
      </x:c>
    </x:row>
    <x:row r="1659">
      <x:c r="A1659" s="8" t="n">
        <x:f>A1658+1</x:f>
        <x:v>1656</x:v>
      </x:c>
      <x:c r="B1659" s="9" t="n">
        <x:f>A1659*v01_SeasonSeconds/60</x:f>
        <x:v>414</x:v>
      </x:c>
      <x:c r="C1659" s="9" t="n">
        <x:f>A1659/4</x:f>
        <x:v>414</x:v>
      </x:c>
      <x:c r="D1659" s="8" t="n">
        <x:f>IF(MOD(A1659,4)=0,1,0)</x:f>
        <x:v>1</x:v>
      </x:c>
      <x:c r="E1659" s="8" t="n">
        <x:f>IF(AND(F1658&lt;=9,AS1658&gt;=AR1658),1,0)</x:f>
        <x:v>0</x:v>
      </x:c>
      <x:c r="F1659" s="8" t="n">
        <x:f>MIN(10,F1658+E1659)</x:f>
        <x:v>10</x:v>
      </x:c>
      <x:c r="G1659" s="8" t="n">
        <x:f>MIN(F1659,9)+1</x:f>
        <x:v>10</x:v>
      </x:c>
      <x:c r="H1659" s="8" t="n">
        <x:f>IF(F1659&lt;=9,1,0)</x:f>
        <x:v>0</x:v>
      </x:c>
      <x:c r="I1659" s="9" t="n">
        <x:f>MIN(10,F1658+IF(AR1658&gt;0,MIN(1,AS1658/AR1658),1))</x:f>
        <x:v>10</x:v>
      </x:c>
      <x:c r="J1659" s="32" t="n">
        <x:f>INDEX(v01_FoodCap,G1659)*Arch_FoodCap*EXP(v01_CapsByProject*SUMPRODUCT((Cap_Point&lt;=I1659)*(Cap_Kind="Food")*Cap_Ln))</x:f>
        <x:v>12000</x:v>
      </x:c>
      <x:c r="K1659" s="32" t="n">
        <x:f>J1659*MIN(1,v01_LeanBase*EXP(v01_CapsByProject*SUMPRODUCT((Cap_Point&lt;=I1659)*(Cap_Kind="Lean")*Cap_Ln)))</x:f>
        <x:v>12000</x:v>
      </x:c>
      <x:c r="L1659" s="10" t="n">
        <x:f>INDEX(v01_HousingCap,G1659)*EXP(v01_CapsByProject*SUMPRODUCT((Cap_Point&lt;=I1659)*(Cap_Kind="Housing")*Cap_Ln))</x:f>
        <x:v>20000</x:v>
      </x:c>
      <x:c r="M1659" s="10" t="n">
        <x:f>INDEX(v01_GroupCap,G1659)*v01_CohesionFactor*EXP(v01_CapsByProject*SUMPRODUCT((Cap_Point&lt;=I1659)*(Cap_Kind="Group")*Cap_Ln))</x:f>
        <x:v>1000000</x:v>
      </x:c>
      <x:c r="N1659" s="32" t="n">
        <x:f>MIN(J1659,L1659,M1659)</x:f>
        <x:v>12000</x:v>
      </x:c>
      <x:c r="O1659" s="10" t="n">
        <x:f>AE1658*N1659</x:f>
        <x:v>180000</x:v>
      </x:c>
      <x:c r="P1659" s="9" t="n">
        <x:f>MIN(1,(AB1658/(AE1658*IF(v01_GroupInCrowding=1,N1659,MIN(J1659,L1659))))^v01_CrowdingExp)</x:f>
        <x:v>0.00024569414295285325</x:v>
      </x:c>
      <x:c r="Q1659" s="9" t="n">
        <x:f>IF(D1659=1,INDEX(v01_WinterMult,G1659),1)</x:f>
        <x:v>1</x:v>
      </x:c>
      <x:c r="R1659" s="9" t="n">
        <x:f>H1659*Z1658*v01_WomenShare*v01_BaseFertility*INDEX(v01_FertMult,G1659)*Arch_Fertility*(1-P1659)</x:f>
        <x:v>0</x:v>
      </x:c>
      <x:c r="S1659" s="9" t="n">
        <x:f>H1659*Y1658*INDEX(v01_MortChild,G1659)/4*Q1659</x:f>
        <x:v>0</x:v>
      </x:c>
      <x:c r="T1659" s="9" t="n">
        <x:f>H1659*Z1658*INDEX(v01_MortAdult,G1659)*Arch_AdultMort/4*Q1659</x:f>
        <x:v>0</x:v>
      </x:c>
      <x:c r="U1659" s="9" t="n">
        <x:f>H1659*AA1658*INDEX(v01_MortElder,G1659)/4*Q1659</x:f>
        <x:v>0</x:v>
      </x:c>
      <x:c r="V1659" s="9" t="n">
        <x:f>H1659*MAX(0,AB1658-O1659)*v01_OvercapLoss</x:f>
        <x:v>0</x:v>
      </x:c>
      <x:c r="W1659" s="9" t="n">
        <x:f>H1659*Y1658/(v01_ChildYears*4)</x:f>
        <x:v>0</x:v>
      </x:c>
      <x:c r="X1659" s="9" t="n">
        <x:f>H1659*Z1658/(v01_AdultYears*4)</x:f>
        <x:v>0</x:v>
      </x:c>
      <x:c r="Y1659" s="32" t="n">
        <x:f>Y1658+R1659-S1659-W1659-Y1658*V1659/AB1658</x:f>
        <x:v>14306.18539759397</x:v>
      </x:c>
      <x:c r="Z1659" s="32" t="n">
        <x:f>Z1658+W1659-X1659-T1659-Z1658*V1659/AB1658</x:f>
        <x:v>19354.456567879548</x:v>
      </x:c>
      <x:c r="AA1659" s="32" t="n">
        <x:f>AA1658+X1659-U1659-AA1658*V1659/AB1658</x:f>
        <x:v>11386.956063258198</x:v>
      </x:c>
      <x:c r="AB1659" s="10" t="n">
        <x:f>Y1659+Z1659+AA1659</x:f>
        <x:v>45047.59802873172</x:v>
      </x:c>
      <x:c r="AC1659" s="8" t="n">
        <x:f>IF(AND(v01_WinterTrigger=1,D1659=1,AB1658/AE1658&gt;=K1659),1,0)</x:f>
        <x:v>0</x:v>
      </x:c>
      <x:c r="AD1659" s="8" t="n">
        <x:f>H1659*IF(AND(OR(AB1658/AE1658&gt;=v01_FissionTrigger*N1659,AC1659=1),AB1658/AE1658*v01_DaughterShare&gt;=v01_MinDaughter),MAX(1,ROUND(AE1658*v01_FissionRate,0)),0)</x:f>
        <x:v>0</x:v>
      </x:c>
      <x:c r="AE1659" s="8" t="n">
        <x:f>IF(H1659=1,MAX(1,MIN(INDEX(v01_Smax,G1659),AE1658+AD1659)),AE1658)</x:f>
        <x:v>15</x:v>
      </x:c>
      <x:c r="AF1659" s="8" t="n">
        <x:f>MAX(0,AE1659-AE1658)</x:f>
        <x:v>0</x:v>
      </x:c>
      <x:c r="AG1659" s="9" t="str">
        <x:f>IF(AF1659&gt;0,B1659,"")</x:f>
      </x:c>
      <x:c r="AH1659" s="9" t="n">
        <x:f>IF(F1659&gt;=1,1,(1+v01_LowTiesShare*(AE1659-1))/AE1659)</x:f>
        <x:v>1</x:v>
      </x:c>
      <x:c r="AI1659" s="32" t="n">
        <x:f>(Z1659+v01_ElderCommons*INDEX(LM_Elder,G1659)*AA1659)*AH1659</x:f>
        <x:v>64139.732591141874</x:v>
      </x:c>
      <x:c r="AJ1659" s="32" t="n">
        <x:f>H1659*v01_CommonsCoef*AI1659^v01_CommonsExp*INDEX(LM_Commons,G1659)</x:f>
        <x:v>0</x:v>
      </x:c>
      <x:c r="AK1659" s="32" t="n">
        <x:f>H1659*v01_RoleScale*Arch_Roles*(AE1659*(INDEX(v01_ElderRolePerSett,G1659)*v01_OutElder*INDEX(LM_Elder,G1659)+INDEX(v01_ShamanPerSett,G1659)*v01_OutShaman)+Z1659*(INDEX(v01_PriestShare,G1659)*v01_OutPriest+INDEX(v01_ScribeShare,G1659)*v01_OutScribe*INDEX(LM_Scribe,G1659)+INDEX(v01_ScholarShare,G1659)*v01_OutScholar*INDEX(LM_Scholar,G1659)+INDEX(v01_ResearcherShare,G1659)*v01_OutResearcher*INDEX(LM_Researcher,G1659)))</x:f>
        <x:v>0</x:v>
      </x:c>
      <x:c r="AL1659" s="32" t="n">
        <x:f>H1659*v01_RoleScale*Arch_Roles*AE1659*INDEX(v01_MonasteryPerSett,G1659)*v01_OutMonastery*INDEX(LM_Monastery,G1659)</x:f>
        <x:v>0</x:v>
      </x:c>
      <x:c r="AM1659" s="32" t="n">
        <x:f>(AJ1659+AK1659+AL1659)/4*INDEX(LM_All,G1659)*INDEX(v01_Boon,G1659)*Arch_Insight</x:f>
        <x:v>0</x:v>
      </x:c>
      <x:c r="AN1659" s="32" t="n">
        <x:f>H1659*(v01_KHPerAdult*Z1659+v01_KHOfCommons*AJ1659/4*INDEX(LM_All,G1659))*v01_KHUsable*Arch_KH</x:f>
        <x:v>0</x:v>
      </x:c>
      <x:c r="AO1659" s="32" t="n">
        <x:f>MIN(AP1658+AN1659,AM1659*v01_KHMaxRatio)</x:f>
        <x:v>0</x:v>
      </x:c>
      <x:c r="AP1659" s="32" t="n">
        <x:f>AP1658+AN1659-AO1659</x:f>
        <x:v>0</x:v>
      </x:c>
      <x:c r="AQ1659" s="32" t="n">
        <x:f>AM1659+AO1659</x:f>
        <x:v>0</x:v>
      </x:c>
      <x:c r="AR1659" s="10" t="n">
        <x:f>IF(H1659=1,INDEX(v01_Req,G1659),0)</x:f>
        <x:v>0</x:v>
      </x:c>
      <x:c r="AS1659" s="32" t="n">
        <x:f>IF(H1659=1,IF(E1659=1,AS1658-AR1658,AS1658)+AQ1659,0)</x:f>
        <x:v>0</x:v>
      </x:c>
      <x:c r="AT1659" s="11" t="n">
        <x:f>IF(AR1659&gt;0,MIN(1,AS1659/AR1659),1)</x:f>
        <x:v>1</x:v>
      </x:c>
      <x:c r="AU1659" s="10" t="n">
        <x:f>AB1659/INDEX(v01_RepScale,G1659)</x:f>
        <x:v>90.09519605746344</x:v>
      </x:c>
      <x:c r="AV1659" s="32" t="n">
        <x:f>AM1659*60/v01_SeasonSeconds</x:f>
        <x:v>0</x:v>
      </x:c>
    </x:row>
    <x:row r="1660">
      <x:c r="A1660" s="8" t="n">
        <x:f>A1659+1</x:f>
        <x:v>1657</x:v>
      </x:c>
      <x:c r="B1660" s="9" t="n">
        <x:f>A1660*v01_SeasonSeconds/60</x:f>
        <x:v>414.25</x:v>
      </x:c>
      <x:c r="C1660" s="9" t="n">
        <x:f>A1660/4</x:f>
        <x:v>414.25</x:v>
      </x:c>
      <x:c r="D1660" s="8" t="n">
        <x:f>IF(MOD(A1660,4)=0,1,0)</x:f>
        <x:v>0</x:v>
      </x:c>
      <x:c r="E1660" s="8" t="n">
        <x:f>IF(AND(F1659&lt;=9,AS1659&gt;=AR1659),1,0)</x:f>
        <x:v>0</x:v>
      </x:c>
      <x:c r="F1660" s="8" t="n">
        <x:f>MIN(10,F1659+E1660)</x:f>
        <x:v>10</x:v>
      </x:c>
      <x:c r="G1660" s="8" t="n">
        <x:f>MIN(F1660,9)+1</x:f>
        <x:v>10</x:v>
      </x:c>
      <x:c r="H1660" s="8" t="n">
        <x:f>IF(F1660&lt;=9,1,0)</x:f>
        <x:v>0</x:v>
      </x:c>
      <x:c r="I1660" s="9" t="n">
        <x:f>MIN(10,F1659+IF(AR1659&gt;0,MIN(1,AS1659/AR1659),1))</x:f>
        <x:v>10</x:v>
      </x:c>
      <x:c r="J1660" s="32" t="n">
        <x:f>INDEX(v01_FoodCap,G1660)*Arch_FoodCap*EXP(v01_CapsByProject*SUMPRODUCT((Cap_Point&lt;=I1660)*(Cap_Kind="Food")*Cap_Ln))</x:f>
        <x:v>12000</x:v>
      </x:c>
      <x:c r="K1660" s="32" t="n">
        <x:f>J1660*MIN(1,v01_LeanBase*EXP(v01_CapsByProject*SUMPRODUCT((Cap_Point&lt;=I1660)*(Cap_Kind="Lean")*Cap_Ln)))</x:f>
        <x:v>12000</x:v>
      </x:c>
      <x:c r="L1660" s="10" t="n">
        <x:f>INDEX(v01_HousingCap,G1660)*EXP(v01_CapsByProject*SUMPRODUCT((Cap_Point&lt;=I1660)*(Cap_Kind="Housing")*Cap_Ln))</x:f>
        <x:v>20000</x:v>
      </x:c>
      <x:c r="M1660" s="10" t="n">
        <x:f>INDEX(v01_GroupCap,G1660)*v01_CohesionFactor*EXP(v01_CapsByProject*SUMPRODUCT((Cap_Point&lt;=I1660)*(Cap_Kind="Group")*Cap_Ln))</x:f>
        <x:v>1000000</x:v>
      </x:c>
      <x:c r="N1660" s="32" t="n">
        <x:f>MIN(J1660,L1660,M1660)</x:f>
        <x:v>12000</x:v>
      </x:c>
      <x:c r="O1660" s="10" t="n">
        <x:f>AE1659*N1660</x:f>
        <x:v>180000</x:v>
      </x:c>
      <x:c r="P1660" s="9" t="n">
        <x:f>MIN(1,(AB1659/(AE1659*IF(v01_GroupInCrowding=1,N1660,MIN(J1660,L1660))))^v01_CrowdingExp)</x:f>
        <x:v>0.00024569414295285325</x:v>
      </x:c>
      <x:c r="Q1660" s="9" t="n">
        <x:f>IF(D1660=1,INDEX(v01_WinterMult,G1660),1)</x:f>
        <x:v>1</x:v>
      </x:c>
      <x:c r="R1660" s="9" t="n">
        <x:f>H1660*Z1659*v01_WomenShare*v01_BaseFertility*INDEX(v01_FertMult,G1660)*Arch_Fertility*(1-P1660)</x:f>
        <x:v>0</x:v>
      </x:c>
      <x:c r="S1660" s="9" t="n">
        <x:f>H1660*Y1659*INDEX(v01_MortChild,G1660)/4*Q1660</x:f>
        <x:v>0</x:v>
      </x:c>
      <x:c r="T1660" s="9" t="n">
        <x:f>H1660*Z1659*INDEX(v01_MortAdult,G1660)*Arch_AdultMort/4*Q1660</x:f>
        <x:v>0</x:v>
      </x:c>
      <x:c r="U1660" s="9" t="n">
        <x:f>H1660*AA1659*INDEX(v01_MortElder,G1660)/4*Q1660</x:f>
        <x:v>0</x:v>
      </x:c>
      <x:c r="V1660" s="9" t="n">
        <x:f>H1660*MAX(0,AB1659-O1660)*v01_OvercapLoss</x:f>
        <x:v>0</x:v>
      </x:c>
      <x:c r="W1660" s="9" t="n">
        <x:f>H1660*Y1659/(v01_ChildYears*4)</x:f>
        <x:v>0</x:v>
      </x:c>
      <x:c r="X1660" s="9" t="n">
        <x:f>H1660*Z1659/(v01_AdultYears*4)</x:f>
        <x:v>0</x:v>
      </x:c>
      <x:c r="Y1660" s="32" t="n">
        <x:f>Y1659+R1660-S1660-W1660-Y1659*V1660/AB1659</x:f>
        <x:v>14306.18539759397</x:v>
      </x:c>
      <x:c r="Z1660" s="32" t="n">
        <x:f>Z1659+W1660-X1660-T1660-Z1659*V1660/AB1659</x:f>
        <x:v>19354.456567879548</x:v>
      </x:c>
      <x:c r="AA1660" s="32" t="n">
        <x:f>AA1659+X1660-U1660-AA1659*V1660/AB1659</x:f>
        <x:v>11386.956063258198</x:v>
      </x:c>
      <x:c r="AB1660" s="10" t="n">
        <x:f>Y1660+Z1660+AA1660</x:f>
        <x:v>45047.59802873172</x:v>
      </x:c>
      <x:c r="AC1660" s="8" t="n">
        <x:f>IF(AND(v01_WinterTrigger=1,D1660=1,AB1659/AE1659&gt;=K1660),1,0)</x:f>
        <x:v>0</x:v>
      </x:c>
      <x:c r="AD1660" s="8" t="n">
        <x:f>H1660*IF(AND(OR(AB1659/AE1659&gt;=v01_FissionTrigger*N1660,AC1660=1),AB1659/AE1659*v01_DaughterShare&gt;=v01_MinDaughter),MAX(1,ROUND(AE1659*v01_FissionRate,0)),0)</x:f>
        <x:v>0</x:v>
      </x:c>
      <x:c r="AE1660" s="8" t="n">
        <x:f>IF(H1660=1,MAX(1,MIN(INDEX(v01_Smax,G1660),AE1659+AD1660)),AE1659)</x:f>
        <x:v>15</x:v>
      </x:c>
      <x:c r="AF1660" s="8" t="n">
        <x:f>MAX(0,AE1660-AE1659)</x:f>
        <x:v>0</x:v>
      </x:c>
      <x:c r="AG1660" s="9" t="str">
        <x:f>IF(AF1660&gt;0,B1660,"")</x:f>
      </x:c>
      <x:c r="AH1660" s="9" t="n">
        <x:f>IF(F1660&gt;=1,1,(1+v01_LowTiesShare*(AE1660-1))/AE1660)</x:f>
        <x:v>1</x:v>
      </x:c>
      <x:c r="AI1660" s="32" t="n">
        <x:f>(Z1660+v01_ElderCommons*INDEX(LM_Elder,G1660)*AA1660)*AH1660</x:f>
        <x:v>64139.732591141874</x:v>
      </x:c>
      <x:c r="AJ1660" s="32" t="n">
        <x:f>H1660*v01_CommonsCoef*AI1660^v01_CommonsExp*INDEX(LM_Commons,G1660)</x:f>
        <x:v>0</x:v>
      </x:c>
      <x:c r="AK1660" s="32" t="n">
        <x:f>H1660*v01_RoleScale*Arch_Roles*(AE1660*(INDEX(v01_ElderRolePerSett,G1660)*v01_OutElder*INDEX(LM_Elder,G1660)+INDEX(v01_ShamanPerSett,G1660)*v01_OutShaman)+Z1660*(INDEX(v01_PriestShare,G1660)*v01_OutPriest+INDEX(v01_ScribeShare,G1660)*v01_OutScribe*INDEX(LM_Scribe,G1660)+INDEX(v01_ScholarShare,G1660)*v01_OutScholar*INDEX(LM_Scholar,G1660)+INDEX(v01_ResearcherShare,G1660)*v01_OutResearcher*INDEX(LM_Researcher,G1660)))</x:f>
        <x:v>0</x:v>
      </x:c>
      <x:c r="AL1660" s="32" t="n">
        <x:f>H1660*v01_RoleScale*Arch_Roles*AE1660*INDEX(v01_MonasteryPerSett,G1660)*v01_OutMonastery*INDEX(LM_Monastery,G1660)</x:f>
        <x:v>0</x:v>
      </x:c>
      <x:c r="AM1660" s="32" t="n">
        <x:f>(AJ1660+AK1660+AL1660)/4*INDEX(LM_All,G1660)*INDEX(v01_Boon,G1660)*Arch_Insight</x:f>
        <x:v>0</x:v>
      </x:c>
      <x:c r="AN1660" s="32" t="n">
        <x:f>H1660*(v01_KHPerAdult*Z1660+v01_KHOfCommons*AJ1660/4*INDEX(LM_All,G1660))*v01_KHUsable*Arch_KH</x:f>
        <x:v>0</x:v>
      </x:c>
      <x:c r="AO1660" s="32" t="n">
        <x:f>MIN(AP1659+AN1660,AM1660*v01_KHMaxRatio)</x:f>
        <x:v>0</x:v>
      </x:c>
      <x:c r="AP1660" s="32" t="n">
        <x:f>AP1659+AN1660-AO1660</x:f>
        <x:v>0</x:v>
      </x:c>
      <x:c r="AQ1660" s="32" t="n">
        <x:f>AM1660+AO1660</x:f>
        <x:v>0</x:v>
      </x:c>
      <x:c r="AR1660" s="10" t="n">
        <x:f>IF(H1660=1,INDEX(v01_Req,G1660),0)</x:f>
        <x:v>0</x:v>
      </x:c>
      <x:c r="AS1660" s="32" t="n">
        <x:f>IF(H1660=1,IF(E1660=1,AS1659-AR1659,AS1659)+AQ1660,0)</x:f>
        <x:v>0</x:v>
      </x:c>
      <x:c r="AT1660" s="11" t="n">
        <x:f>IF(AR1660&gt;0,MIN(1,AS1660/AR1660),1)</x:f>
        <x:v>1</x:v>
      </x:c>
      <x:c r="AU1660" s="10" t="n">
        <x:f>AB1660/INDEX(v01_RepScale,G1660)</x:f>
        <x:v>90.09519605746344</x:v>
      </x:c>
      <x:c r="AV1660" s="32" t="n">
        <x:f>AM1660*60/v01_SeasonSeconds</x:f>
        <x:v>0</x:v>
      </x:c>
    </x:row>
    <x:row r="1661">
      <x:c r="A1661" s="8" t="n">
        <x:f>A1660+1</x:f>
        <x:v>1658</x:v>
      </x:c>
      <x:c r="B1661" s="9" t="n">
        <x:f>A1661*v01_SeasonSeconds/60</x:f>
        <x:v>414.5</x:v>
      </x:c>
      <x:c r="C1661" s="9" t="n">
        <x:f>A1661/4</x:f>
        <x:v>414.5</x:v>
      </x:c>
      <x:c r="D1661" s="8" t="n">
        <x:f>IF(MOD(A1661,4)=0,1,0)</x:f>
        <x:v>0</x:v>
      </x:c>
      <x:c r="E1661" s="8" t="n">
        <x:f>IF(AND(F1660&lt;=9,AS1660&gt;=AR1660),1,0)</x:f>
        <x:v>0</x:v>
      </x:c>
      <x:c r="F1661" s="8" t="n">
        <x:f>MIN(10,F1660+E1661)</x:f>
        <x:v>10</x:v>
      </x:c>
      <x:c r="G1661" s="8" t="n">
        <x:f>MIN(F1661,9)+1</x:f>
        <x:v>10</x:v>
      </x:c>
      <x:c r="H1661" s="8" t="n">
        <x:f>IF(F1661&lt;=9,1,0)</x:f>
        <x:v>0</x:v>
      </x:c>
      <x:c r="I1661" s="9" t="n">
        <x:f>MIN(10,F1660+IF(AR1660&gt;0,MIN(1,AS1660/AR1660),1))</x:f>
        <x:v>10</x:v>
      </x:c>
      <x:c r="J1661" s="32" t="n">
        <x:f>INDEX(v01_FoodCap,G1661)*Arch_FoodCap*EXP(v01_CapsByProject*SUMPRODUCT((Cap_Point&lt;=I1661)*(Cap_Kind="Food")*Cap_Ln))</x:f>
        <x:v>12000</x:v>
      </x:c>
      <x:c r="K1661" s="32" t="n">
        <x:f>J1661*MIN(1,v01_LeanBase*EXP(v01_CapsByProject*SUMPRODUCT((Cap_Point&lt;=I1661)*(Cap_Kind="Lean")*Cap_Ln)))</x:f>
        <x:v>12000</x:v>
      </x:c>
      <x:c r="L1661" s="10" t="n">
        <x:f>INDEX(v01_HousingCap,G1661)*EXP(v01_CapsByProject*SUMPRODUCT((Cap_Point&lt;=I1661)*(Cap_Kind="Housing")*Cap_Ln))</x:f>
        <x:v>20000</x:v>
      </x:c>
      <x:c r="M1661" s="10" t="n">
        <x:f>INDEX(v01_GroupCap,G1661)*v01_CohesionFactor*EXP(v01_CapsByProject*SUMPRODUCT((Cap_Point&lt;=I1661)*(Cap_Kind="Group")*Cap_Ln))</x:f>
        <x:v>1000000</x:v>
      </x:c>
      <x:c r="N1661" s="32" t="n">
        <x:f>MIN(J1661,L1661,M1661)</x:f>
        <x:v>12000</x:v>
      </x:c>
      <x:c r="O1661" s="10" t="n">
        <x:f>AE1660*N1661</x:f>
        <x:v>180000</x:v>
      </x:c>
      <x:c r="P1661" s="9" t="n">
        <x:f>MIN(1,(AB1660/(AE1660*IF(v01_GroupInCrowding=1,N1661,MIN(J1661,L1661))))^v01_CrowdingExp)</x:f>
        <x:v>0.00024569414295285325</x:v>
      </x:c>
      <x:c r="Q1661" s="9" t="n">
        <x:f>IF(D1661=1,INDEX(v01_WinterMult,G1661),1)</x:f>
        <x:v>1</x:v>
      </x:c>
      <x:c r="R1661" s="9" t="n">
        <x:f>H1661*Z1660*v01_WomenShare*v01_BaseFertility*INDEX(v01_FertMult,G1661)*Arch_Fertility*(1-P1661)</x:f>
        <x:v>0</x:v>
      </x:c>
      <x:c r="S1661" s="9" t="n">
        <x:f>H1661*Y1660*INDEX(v01_MortChild,G1661)/4*Q1661</x:f>
        <x:v>0</x:v>
      </x:c>
      <x:c r="T1661" s="9" t="n">
        <x:f>H1661*Z1660*INDEX(v01_MortAdult,G1661)*Arch_AdultMort/4*Q1661</x:f>
        <x:v>0</x:v>
      </x:c>
      <x:c r="U1661" s="9" t="n">
        <x:f>H1661*AA1660*INDEX(v01_MortElder,G1661)/4*Q1661</x:f>
        <x:v>0</x:v>
      </x:c>
      <x:c r="V1661" s="9" t="n">
        <x:f>H1661*MAX(0,AB1660-O1661)*v01_OvercapLoss</x:f>
        <x:v>0</x:v>
      </x:c>
      <x:c r="W1661" s="9" t="n">
        <x:f>H1661*Y1660/(v01_ChildYears*4)</x:f>
        <x:v>0</x:v>
      </x:c>
      <x:c r="X1661" s="9" t="n">
        <x:f>H1661*Z1660/(v01_AdultYears*4)</x:f>
        <x:v>0</x:v>
      </x:c>
      <x:c r="Y1661" s="32" t="n">
        <x:f>Y1660+R1661-S1661-W1661-Y1660*V1661/AB1660</x:f>
        <x:v>14306.18539759397</x:v>
      </x:c>
      <x:c r="Z1661" s="32" t="n">
        <x:f>Z1660+W1661-X1661-T1661-Z1660*V1661/AB1660</x:f>
        <x:v>19354.456567879548</x:v>
      </x:c>
      <x:c r="AA1661" s="32" t="n">
        <x:f>AA1660+X1661-U1661-AA1660*V1661/AB1660</x:f>
        <x:v>11386.956063258198</x:v>
      </x:c>
      <x:c r="AB1661" s="10" t="n">
        <x:f>Y1661+Z1661+AA1661</x:f>
        <x:v>45047.59802873172</x:v>
      </x:c>
      <x:c r="AC1661" s="8" t="n">
        <x:f>IF(AND(v01_WinterTrigger=1,D1661=1,AB1660/AE1660&gt;=K1661),1,0)</x:f>
        <x:v>0</x:v>
      </x:c>
      <x:c r="AD1661" s="8" t="n">
        <x:f>H1661*IF(AND(OR(AB1660/AE1660&gt;=v01_FissionTrigger*N1661,AC1661=1),AB1660/AE1660*v01_DaughterShare&gt;=v01_MinDaughter),MAX(1,ROUND(AE1660*v01_FissionRate,0)),0)</x:f>
        <x:v>0</x:v>
      </x:c>
      <x:c r="AE1661" s="8" t="n">
        <x:f>IF(H1661=1,MAX(1,MIN(INDEX(v01_Smax,G1661),AE1660+AD1661)),AE1660)</x:f>
        <x:v>15</x:v>
      </x:c>
      <x:c r="AF1661" s="8" t="n">
        <x:f>MAX(0,AE1661-AE1660)</x:f>
        <x:v>0</x:v>
      </x:c>
      <x:c r="AG1661" s="9" t="str">
        <x:f>IF(AF1661&gt;0,B1661,"")</x:f>
      </x:c>
      <x:c r="AH1661" s="9" t="n">
        <x:f>IF(F1661&gt;=1,1,(1+v01_LowTiesShare*(AE1661-1))/AE1661)</x:f>
        <x:v>1</x:v>
      </x:c>
      <x:c r="AI1661" s="32" t="n">
        <x:f>(Z1661+v01_ElderCommons*INDEX(LM_Elder,G1661)*AA1661)*AH1661</x:f>
        <x:v>64139.732591141874</x:v>
      </x:c>
      <x:c r="AJ1661" s="32" t="n">
        <x:f>H1661*v01_CommonsCoef*AI1661^v01_CommonsExp*INDEX(LM_Commons,G1661)</x:f>
        <x:v>0</x:v>
      </x:c>
      <x:c r="AK1661" s="32" t="n">
        <x:f>H1661*v01_RoleScale*Arch_Roles*(AE1661*(INDEX(v01_ElderRolePerSett,G1661)*v01_OutElder*INDEX(LM_Elder,G1661)+INDEX(v01_ShamanPerSett,G1661)*v01_OutShaman)+Z1661*(INDEX(v01_PriestShare,G1661)*v01_OutPriest+INDEX(v01_ScribeShare,G1661)*v01_OutScribe*INDEX(LM_Scribe,G1661)+INDEX(v01_ScholarShare,G1661)*v01_OutScholar*INDEX(LM_Scholar,G1661)+INDEX(v01_ResearcherShare,G1661)*v01_OutResearcher*INDEX(LM_Researcher,G1661)))</x:f>
        <x:v>0</x:v>
      </x:c>
      <x:c r="AL1661" s="32" t="n">
        <x:f>H1661*v01_RoleScale*Arch_Roles*AE1661*INDEX(v01_MonasteryPerSett,G1661)*v01_OutMonastery*INDEX(LM_Monastery,G1661)</x:f>
        <x:v>0</x:v>
      </x:c>
      <x:c r="AM1661" s="32" t="n">
        <x:f>(AJ1661+AK1661+AL1661)/4*INDEX(LM_All,G1661)*INDEX(v01_Boon,G1661)*Arch_Insight</x:f>
        <x:v>0</x:v>
      </x:c>
      <x:c r="AN1661" s="32" t="n">
        <x:f>H1661*(v01_KHPerAdult*Z1661+v01_KHOfCommons*AJ1661/4*INDEX(LM_All,G1661))*v01_KHUsable*Arch_KH</x:f>
        <x:v>0</x:v>
      </x:c>
      <x:c r="AO1661" s="32" t="n">
        <x:f>MIN(AP1660+AN1661,AM1661*v01_KHMaxRatio)</x:f>
        <x:v>0</x:v>
      </x:c>
      <x:c r="AP1661" s="32" t="n">
        <x:f>AP1660+AN1661-AO1661</x:f>
        <x:v>0</x:v>
      </x:c>
      <x:c r="AQ1661" s="32" t="n">
        <x:f>AM1661+AO1661</x:f>
        <x:v>0</x:v>
      </x:c>
      <x:c r="AR1661" s="10" t="n">
        <x:f>IF(H1661=1,INDEX(v01_Req,G1661),0)</x:f>
        <x:v>0</x:v>
      </x:c>
      <x:c r="AS1661" s="32" t="n">
        <x:f>IF(H1661=1,IF(E1661=1,AS1660-AR1660,AS1660)+AQ1661,0)</x:f>
        <x:v>0</x:v>
      </x:c>
      <x:c r="AT1661" s="11" t="n">
        <x:f>IF(AR1661&gt;0,MIN(1,AS1661/AR1661),1)</x:f>
        <x:v>1</x:v>
      </x:c>
      <x:c r="AU1661" s="10" t="n">
        <x:f>AB1661/INDEX(v01_RepScale,G1661)</x:f>
        <x:v>90.09519605746344</x:v>
      </x:c>
      <x:c r="AV1661" s="32" t="n">
        <x:f>AM1661*60/v01_SeasonSeconds</x:f>
        <x:v>0</x:v>
      </x:c>
    </x:row>
    <x:row r="1662">
      <x:c r="A1662" s="8" t="n">
        <x:f>A1661+1</x:f>
        <x:v>1659</x:v>
      </x:c>
      <x:c r="B1662" s="9" t="n">
        <x:f>A1662*v01_SeasonSeconds/60</x:f>
        <x:v>414.75</x:v>
      </x:c>
      <x:c r="C1662" s="9" t="n">
        <x:f>A1662/4</x:f>
        <x:v>414.75</x:v>
      </x:c>
      <x:c r="D1662" s="8" t="n">
        <x:f>IF(MOD(A1662,4)=0,1,0)</x:f>
        <x:v>0</x:v>
      </x:c>
      <x:c r="E1662" s="8" t="n">
        <x:f>IF(AND(F1661&lt;=9,AS1661&gt;=AR1661),1,0)</x:f>
        <x:v>0</x:v>
      </x:c>
      <x:c r="F1662" s="8" t="n">
        <x:f>MIN(10,F1661+E1662)</x:f>
        <x:v>10</x:v>
      </x:c>
      <x:c r="G1662" s="8" t="n">
        <x:f>MIN(F1662,9)+1</x:f>
        <x:v>10</x:v>
      </x:c>
      <x:c r="H1662" s="8" t="n">
        <x:f>IF(F1662&lt;=9,1,0)</x:f>
        <x:v>0</x:v>
      </x:c>
      <x:c r="I1662" s="9" t="n">
        <x:f>MIN(10,F1661+IF(AR1661&gt;0,MIN(1,AS1661/AR1661),1))</x:f>
        <x:v>10</x:v>
      </x:c>
      <x:c r="J1662" s="32" t="n">
        <x:f>INDEX(v01_FoodCap,G1662)*Arch_FoodCap*EXP(v01_CapsByProject*SUMPRODUCT((Cap_Point&lt;=I1662)*(Cap_Kind="Food")*Cap_Ln))</x:f>
        <x:v>12000</x:v>
      </x:c>
      <x:c r="K1662" s="32" t="n">
        <x:f>J1662*MIN(1,v01_LeanBase*EXP(v01_CapsByProject*SUMPRODUCT((Cap_Point&lt;=I1662)*(Cap_Kind="Lean")*Cap_Ln)))</x:f>
        <x:v>12000</x:v>
      </x:c>
      <x:c r="L1662" s="10" t="n">
        <x:f>INDEX(v01_HousingCap,G1662)*EXP(v01_CapsByProject*SUMPRODUCT((Cap_Point&lt;=I1662)*(Cap_Kind="Housing")*Cap_Ln))</x:f>
        <x:v>20000</x:v>
      </x:c>
      <x:c r="M1662" s="10" t="n">
        <x:f>INDEX(v01_GroupCap,G1662)*v01_CohesionFactor*EXP(v01_CapsByProject*SUMPRODUCT((Cap_Point&lt;=I1662)*(Cap_Kind="Group")*Cap_Ln))</x:f>
        <x:v>1000000</x:v>
      </x:c>
      <x:c r="N1662" s="32" t="n">
        <x:f>MIN(J1662,L1662,M1662)</x:f>
        <x:v>12000</x:v>
      </x:c>
      <x:c r="O1662" s="10" t="n">
        <x:f>AE1661*N1662</x:f>
        <x:v>180000</x:v>
      </x:c>
      <x:c r="P1662" s="9" t="n">
        <x:f>MIN(1,(AB1661/(AE1661*IF(v01_GroupInCrowding=1,N1662,MIN(J1662,L1662))))^v01_CrowdingExp)</x:f>
        <x:v>0.00024569414295285325</x:v>
      </x:c>
      <x:c r="Q1662" s="9" t="n">
        <x:f>IF(D1662=1,INDEX(v01_WinterMult,G1662),1)</x:f>
        <x:v>1</x:v>
      </x:c>
      <x:c r="R1662" s="9" t="n">
        <x:f>H1662*Z1661*v01_WomenShare*v01_BaseFertility*INDEX(v01_FertMult,G1662)*Arch_Fertility*(1-P1662)</x:f>
        <x:v>0</x:v>
      </x:c>
      <x:c r="S1662" s="9" t="n">
        <x:f>H1662*Y1661*INDEX(v01_MortChild,G1662)/4*Q1662</x:f>
        <x:v>0</x:v>
      </x:c>
      <x:c r="T1662" s="9" t="n">
        <x:f>H1662*Z1661*INDEX(v01_MortAdult,G1662)*Arch_AdultMort/4*Q1662</x:f>
        <x:v>0</x:v>
      </x:c>
      <x:c r="U1662" s="9" t="n">
        <x:f>H1662*AA1661*INDEX(v01_MortElder,G1662)/4*Q1662</x:f>
        <x:v>0</x:v>
      </x:c>
      <x:c r="V1662" s="9" t="n">
        <x:f>H1662*MAX(0,AB1661-O1662)*v01_OvercapLoss</x:f>
        <x:v>0</x:v>
      </x:c>
      <x:c r="W1662" s="9" t="n">
        <x:f>H1662*Y1661/(v01_ChildYears*4)</x:f>
        <x:v>0</x:v>
      </x:c>
      <x:c r="X1662" s="9" t="n">
        <x:f>H1662*Z1661/(v01_AdultYears*4)</x:f>
        <x:v>0</x:v>
      </x:c>
      <x:c r="Y1662" s="32" t="n">
        <x:f>Y1661+R1662-S1662-W1662-Y1661*V1662/AB1661</x:f>
        <x:v>14306.18539759397</x:v>
      </x:c>
      <x:c r="Z1662" s="32" t="n">
        <x:f>Z1661+W1662-X1662-T1662-Z1661*V1662/AB1661</x:f>
        <x:v>19354.456567879548</x:v>
      </x:c>
      <x:c r="AA1662" s="32" t="n">
        <x:f>AA1661+X1662-U1662-AA1661*V1662/AB1661</x:f>
        <x:v>11386.956063258198</x:v>
      </x:c>
      <x:c r="AB1662" s="10" t="n">
        <x:f>Y1662+Z1662+AA1662</x:f>
        <x:v>45047.59802873172</x:v>
      </x:c>
      <x:c r="AC1662" s="8" t="n">
        <x:f>IF(AND(v01_WinterTrigger=1,D1662=1,AB1661/AE1661&gt;=K1662),1,0)</x:f>
        <x:v>0</x:v>
      </x:c>
      <x:c r="AD1662" s="8" t="n">
        <x:f>H1662*IF(AND(OR(AB1661/AE1661&gt;=v01_FissionTrigger*N1662,AC1662=1),AB1661/AE1661*v01_DaughterShare&gt;=v01_MinDaughter),MAX(1,ROUND(AE1661*v01_FissionRate,0)),0)</x:f>
        <x:v>0</x:v>
      </x:c>
      <x:c r="AE1662" s="8" t="n">
        <x:f>IF(H1662=1,MAX(1,MIN(INDEX(v01_Smax,G1662),AE1661+AD1662)),AE1661)</x:f>
        <x:v>15</x:v>
      </x:c>
      <x:c r="AF1662" s="8" t="n">
        <x:f>MAX(0,AE1662-AE1661)</x:f>
        <x:v>0</x:v>
      </x:c>
      <x:c r="AG1662" s="9" t="str">
        <x:f>IF(AF1662&gt;0,B1662,"")</x:f>
      </x:c>
      <x:c r="AH1662" s="9" t="n">
        <x:f>IF(F1662&gt;=1,1,(1+v01_LowTiesShare*(AE1662-1))/AE1662)</x:f>
        <x:v>1</x:v>
      </x:c>
      <x:c r="AI1662" s="32" t="n">
        <x:f>(Z1662+v01_ElderCommons*INDEX(LM_Elder,G1662)*AA1662)*AH1662</x:f>
        <x:v>64139.732591141874</x:v>
      </x:c>
      <x:c r="AJ1662" s="32" t="n">
        <x:f>H1662*v01_CommonsCoef*AI1662^v01_CommonsExp*INDEX(LM_Commons,G1662)</x:f>
        <x:v>0</x:v>
      </x:c>
      <x:c r="AK1662" s="32" t="n">
        <x:f>H1662*v01_RoleScale*Arch_Roles*(AE1662*(INDEX(v01_ElderRolePerSett,G1662)*v01_OutElder*INDEX(LM_Elder,G1662)+INDEX(v01_ShamanPerSett,G1662)*v01_OutShaman)+Z1662*(INDEX(v01_PriestShare,G1662)*v01_OutPriest+INDEX(v01_ScribeShare,G1662)*v01_OutScribe*INDEX(LM_Scribe,G1662)+INDEX(v01_ScholarShare,G1662)*v01_OutScholar*INDEX(LM_Scholar,G1662)+INDEX(v01_ResearcherShare,G1662)*v01_OutResearcher*INDEX(LM_Researcher,G1662)))</x:f>
        <x:v>0</x:v>
      </x:c>
      <x:c r="AL1662" s="32" t="n">
        <x:f>H1662*v01_RoleScale*Arch_Roles*AE1662*INDEX(v01_MonasteryPerSett,G1662)*v01_OutMonastery*INDEX(LM_Monastery,G1662)</x:f>
        <x:v>0</x:v>
      </x:c>
      <x:c r="AM1662" s="32" t="n">
        <x:f>(AJ1662+AK1662+AL1662)/4*INDEX(LM_All,G1662)*INDEX(v01_Boon,G1662)*Arch_Insight</x:f>
        <x:v>0</x:v>
      </x:c>
      <x:c r="AN1662" s="32" t="n">
        <x:f>H1662*(v01_KHPerAdult*Z1662+v01_KHOfCommons*AJ1662/4*INDEX(LM_All,G1662))*v01_KHUsable*Arch_KH</x:f>
        <x:v>0</x:v>
      </x:c>
      <x:c r="AO1662" s="32" t="n">
        <x:f>MIN(AP1661+AN1662,AM1662*v01_KHMaxRatio)</x:f>
        <x:v>0</x:v>
      </x:c>
      <x:c r="AP1662" s="32" t="n">
        <x:f>AP1661+AN1662-AO1662</x:f>
        <x:v>0</x:v>
      </x:c>
      <x:c r="AQ1662" s="32" t="n">
        <x:f>AM1662+AO1662</x:f>
        <x:v>0</x:v>
      </x:c>
      <x:c r="AR1662" s="10" t="n">
        <x:f>IF(H1662=1,INDEX(v01_Req,G1662),0)</x:f>
        <x:v>0</x:v>
      </x:c>
      <x:c r="AS1662" s="32" t="n">
        <x:f>IF(H1662=1,IF(E1662=1,AS1661-AR1661,AS1661)+AQ1662,0)</x:f>
        <x:v>0</x:v>
      </x:c>
      <x:c r="AT1662" s="11" t="n">
        <x:f>IF(AR1662&gt;0,MIN(1,AS1662/AR1662),1)</x:f>
        <x:v>1</x:v>
      </x:c>
      <x:c r="AU1662" s="10" t="n">
        <x:f>AB1662/INDEX(v01_RepScale,G1662)</x:f>
        <x:v>90.09519605746344</x:v>
      </x:c>
      <x:c r="AV1662" s="32" t="n">
        <x:f>AM1662*60/v01_SeasonSeconds</x:f>
        <x:v>0</x:v>
      </x:c>
    </x:row>
    <x:row r="1663">
      <x:c r="A1663" s="8" t="n">
        <x:f>A1662+1</x:f>
        <x:v>1660</x:v>
      </x:c>
      <x:c r="B1663" s="9" t="n">
        <x:f>A1663*v01_SeasonSeconds/60</x:f>
        <x:v>415</x:v>
      </x:c>
      <x:c r="C1663" s="9" t="n">
        <x:f>A1663/4</x:f>
        <x:v>415</x:v>
      </x:c>
      <x:c r="D1663" s="8" t="n">
        <x:f>IF(MOD(A1663,4)=0,1,0)</x:f>
        <x:v>1</x:v>
      </x:c>
      <x:c r="E1663" s="8" t="n">
        <x:f>IF(AND(F1662&lt;=9,AS1662&gt;=AR1662),1,0)</x:f>
        <x:v>0</x:v>
      </x:c>
      <x:c r="F1663" s="8" t="n">
        <x:f>MIN(10,F1662+E1663)</x:f>
        <x:v>10</x:v>
      </x:c>
      <x:c r="G1663" s="8" t="n">
        <x:f>MIN(F1663,9)+1</x:f>
        <x:v>10</x:v>
      </x:c>
      <x:c r="H1663" s="8" t="n">
        <x:f>IF(F1663&lt;=9,1,0)</x:f>
        <x:v>0</x:v>
      </x:c>
      <x:c r="I1663" s="9" t="n">
        <x:f>MIN(10,F1662+IF(AR1662&gt;0,MIN(1,AS1662/AR1662),1))</x:f>
        <x:v>10</x:v>
      </x:c>
      <x:c r="J1663" s="32" t="n">
        <x:f>INDEX(v01_FoodCap,G1663)*Arch_FoodCap*EXP(v01_CapsByProject*SUMPRODUCT((Cap_Point&lt;=I1663)*(Cap_Kind="Food")*Cap_Ln))</x:f>
        <x:v>12000</x:v>
      </x:c>
      <x:c r="K1663" s="32" t="n">
        <x:f>J1663*MIN(1,v01_LeanBase*EXP(v01_CapsByProject*SUMPRODUCT((Cap_Point&lt;=I1663)*(Cap_Kind="Lean")*Cap_Ln)))</x:f>
        <x:v>12000</x:v>
      </x:c>
      <x:c r="L1663" s="10" t="n">
        <x:f>INDEX(v01_HousingCap,G1663)*EXP(v01_CapsByProject*SUMPRODUCT((Cap_Point&lt;=I1663)*(Cap_Kind="Housing")*Cap_Ln))</x:f>
        <x:v>20000</x:v>
      </x:c>
      <x:c r="M1663" s="10" t="n">
        <x:f>INDEX(v01_GroupCap,G1663)*v01_CohesionFactor*EXP(v01_CapsByProject*SUMPRODUCT((Cap_Point&lt;=I1663)*(Cap_Kind="Group")*Cap_Ln))</x:f>
        <x:v>1000000</x:v>
      </x:c>
      <x:c r="N1663" s="32" t="n">
        <x:f>MIN(J1663,L1663,M1663)</x:f>
        <x:v>12000</x:v>
      </x:c>
      <x:c r="O1663" s="10" t="n">
        <x:f>AE1662*N1663</x:f>
        <x:v>180000</x:v>
      </x:c>
      <x:c r="P1663" s="9" t="n">
        <x:f>MIN(1,(AB1662/(AE1662*IF(v01_GroupInCrowding=1,N1663,MIN(J1663,L1663))))^v01_CrowdingExp)</x:f>
        <x:v>0.00024569414295285325</x:v>
      </x:c>
      <x:c r="Q1663" s="9" t="n">
        <x:f>IF(D1663=1,INDEX(v01_WinterMult,G1663),1)</x:f>
        <x:v>1</x:v>
      </x:c>
      <x:c r="R1663" s="9" t="n">
        <x:f>H1663*Z1662*v01_WomenShare*v01_BaseFertility*INDEX(v01_FertMult,G1663)*Arch_Fertility*(1-P1663)</x:f>
        <x:v>0</x:v>
      </x:c>
      <x:c r="S1663" s="9" t="n">
        <x:f>H1663*Y1662*INDEX(v01_MortChild,G1663)/4*Q1663</x:f>
        <x:v>0</x:v>
      </x:c>
      <x:c r="T1663" s="9" t="n">
        <x:f>H1663*Z1662*INDEX(v01_MortAdult,G1663)*Arch_AdultMort/4*Q1663</x:f>
        <x:v>0</x:v>
      </x:c>
      <x:c r="U1663" s="9" t="n">
        <x:f>H1663*AA1662*INDEX(v01_MortElder,G1663)/4*Q1663</x:f>
        <x:v>0</x:v>
      </x:c>
      <x:c r="V1663" s="9" t="n">
        <x:f>H1663*MAX(0,AB1662-O1663)*v01_OvercapLoss</x:f>
        <x:v>0</x:v>
      </x:c>
      <x:c r="W1663" s="9" t="n">
        <x:f>H1663*Y1662/(v01_ChildYears*4)</x:f>
        <x:v>0</x:v>
      </x:c>
      <x:c r="X1663" s="9" t="n">
        <x:f>H1663*Z1662/(v01_AdultYears*4)</x:f>
        <x:v>0</x:v>
      </x:c>
      <x:c r="Y1663" s="32" t="n">
        <x:f>Y1662+R1663-S1663-W1663-Y1662*V1663/AB1662</x:f>
        <x:v>14306.18539759397</x:v>
      </x:c>
      <x:c r="Z1663" s="32" t="n">
        <x:f>Z1662+W1663-X1663-T1663-Z1662*V1663/AB1662</x:f>
        <x:v>19354.456567879548</x:v>
      </x:c>
      <x:c r="AA1663" s="32" t="n">
        <x:f>AA1662+X1663-U1663-AA1662*V1663/AB1662</x:f>
        <x:v>11386.956063258198</x:v>
      </x:c>
      <x:c r="AB1663" s="10" t="n">
        <x:f>Y1663+Z1663+AA1663</x:f>
        <x:v>45047.59802873172</x:v>
      </x:c>
      <x:c r="AC1663" s="8" t="n">
        <x:f>IF(AND(v01_WinterTrigger=1,D1663=1,AB1662/AE1662&gt;=K1663),1,0)</x:f>
        <x:v>0</x:v>
      </x:c>
      <x:c r="AD1663" s="8" t="n">
        <x:f>H1663*IF(AND(OR(AB1662/AE1662&gt;=v01_FissionTrigger*N1663,AC1663=1),AB1662/AE1662*v01_DaughterShare&gt;=v01_MinDaughter),MAX(1,ROUND(AE1662*v01_FissionRate,0)),0)</x:f>
        <x:v>0</x:v>
      </x:c>
      <x:c r="AE1663" s="8" t="n">
        <x:f>IF(H1663=1,MAX(1,MIN(INDEX(v01_Smax,G1663),AE1662+AD1663)),AE1662)</x:f>
        <x:v>15</x:v>
      </x:c>
      <x:c r="AF1663" s="8" t="n">
        <x:f>MAX(0,AE1663-AE1662)</x:f>
        <x:v>0</x:v>
      </x:c>
      <x:c r="AG1663" s="9" t="str">
        <x:f>IF(AF1663&gt;0,B1663,"")</x:f>
      </x:c>
      <x:c r="AH1663" s="9" t="n">
        <x:f>IF(F1663&gt;=1,1,(1+v01_LowTiesShare*(AE1663-1))/AE1663)</x:f>
        <x:v>1</x:v>
      </x:c>
      <x:c r="AI1663" s="32" t="n">
        <x:f>(Z1663+v01_ElderCommons*INDEX(LM_Elder,G1663)*AA1663)*AH1663</x:f>
        <x:v>64139.732591141874</x:v>
      </x:c>
      <x:c r="AJ1663" s="32" t="n">
        <x:f>H1663*v01_CommonsCoef*AI1663^v01_CommonsExp*INDEX(LM_Commons,G1663)</x:f>
        <x:v>0</x:v>
      </x:c>
      <x:c r="AK1663" s="32" t="n">
        <x:f>H1663*v01_RoleScale*Arch_Roles*(AE1663*(INDEX(v01_ElderRolePerSett,G1663)*v01_OutElder*INDEX(LM_Elder,G1663)+INDEX(v01_ShamanPerSett,G1663)*v01_OutShaman)+Z1663*(INDEX(v01_PriestShare,G1663)*v01_OutPriest+INDEX(v01_ScribeShare,G1663)*v01_OutScribe*INDEX(LM_Scribe,G1663)+INDEX(v01_ScholarShare,G1663)*v01_OutScholar*INDEX(LM_Scholar,G1663)+INDEX(v01_ResearcherShare,G1663)*v01_OutResearcher*INDEX(LM_Researcher,G1663)))</x:f>
        <x:v>0</x:v>
      </x:c>
      <x:c r="AL1663" s="32" t="n">
        <x:f>H1663*v01_RoleScale*Arch_Roles*AE1663*INDEX(v01_MonasteryPerSett,G1663)*v01_OutMonastery*INDEX(LM_Monastery,G1663)</x:f>
        <x:v>0</x:v>
      </x:c>
      <x:c r="AM1663" s="32" t="n">
        <x:f>(AJ1663+AK1663+AL1663)/4*INDEX(LM_All,G1663)*INDEX(v01_Boon,G1663)*Arch_Insight</x:f>
        <x:v>0</x:v>
      </x:c>
      <x:c r="AN1663" s="32" t="n">
        <x:f>H1663*(v01_KHPerAdult*Z1663+v01_KHOfCommons*AJ1663/4*INDEX(LM_All,G1663))*v01_KHUsable*Arch_KH</x:f>
        <x:v>0</x:v>
      </x:c>
      <x:c r="AO1663" s="32" t="n">
        <x:f>MIN(AP1662+AN1663,AM1663*v01_KHMaxRatio)</x:f>
        <x:v>0</x:v>
      </x:c>
      <x:c r="AP1663" s="32" t="n">
        <x:f>AP1662+AN1663-AO1663</x:f>
        <x:v>0</x:v>
      </x:c>
      <x:c r="AQ1663" s="32" t="n">
        <x:f>AM1663+AO1663</x:f>
        <x:v>0</x:v>
      </x:c>
      <x:c r="AR1663" s="10" t="n">
        <x:f>IF(H1663=1,INDEX(v01_Req,G1663),0)</x:f>
        <x:v>0</x:v>
      </x:c>
      <x:c r="AS1663" s="32" t="n">
        <x:f>IF(H1663=1,IF(E1663=1,AS1662-AR1662,AS1662)+AQ1663,0)</x:f>
        <x:v>0</x:v>
      </x:c>
      <x:c r="AT1663" s="11" t="n">
        <x:f>IF(AR1663&gt;0,MIN(1,AS1663/AR1663),1)</x:f>
        <x:v>1</x:v>
      </x:c>
      <x:c r="AU1663" s="10" t="n">
        <x:f>AB1663/INDEX(v01_RepScale,G1663)</x:f>
        <x:v>90.09519605746344</x:v>
      </x:c>
      <x:c r="AV1663" s="32" t="n">
        <x:f>AM1663*60/v01_SeasonSeconds</x:f>
        <x:v>0</x:v>
      </x:c>
    </x:row>
    <x:row r="1664">
      <x:c r="A1664" s="8" t="n">
        <x:f>A1663+1</x:f>
        <x:v>1661</x:v>
      </x:c>
      <x:c r="B1664" s="9" t="n">
        <x:f>A1664*v01_SeasonSeconds/60</x:f>
        <x:v>415.25</x:v>
      </x:c>
      <x:c r="C1664" s="9" t="n">
        <x:f>A1664/4</x:f>
        <x:v>415.25</x:v>
      </x:c>
      <x:c r="D1664" s="8" t="n">
        <x:f>IF(MOD(A1664,4)=0,1,0)</x:f>
        <x:v>0</x:v>
      </x:c>
      <x:c r="E1664" s="8" t="n">
        <x:f>IF(AND(F1663&lt;=9,AS1663&gt;=AR1663),1,0)</x:f>
        <x:v>0</x:v>
      </x:c>
      <x:c r="F1664" s="8" t="n">
        <x:f>MIN(10,F1663+E1664)</x:f>
        <x:v>10</x:v>
      </x:c>
      <x:c r="G1664" s="8" t="n">
        <x:f>MIN(F1664,9)+1</x:f>
        <x:v>10</x:v>
      </x:c>
      <x:c r="H1664" s="8" t="n">
        <x:f>IF(F1664&lt;=9,1,0)</x:f>
        <x:v>0</x:v>
      </x:c>
      <x:c r="I1664" s="9" t="n">
        <x:f>MIN(10,F1663+IF(AR1663&gt;0,MIN(1,AS1663/AR1663),1))</x:f>
        <x:v>10</x:v>
      </x:c>
      <x:c r="J1664" s="32" t="n">
        <x:f>INDEX(v01_FoodCap,G1664)*Arch_FoodCap*EXP(v01_CapsByProject*SUMPRODUCT((Cap_Point&lt;=I1664)*(Cap_Kind="Food")*Cap_Ln))</x:f>
        <x:v>12000</x:v>
      </x:c>
      <x:c r="K1664" s="32" t="n">
        <x:f>J1664*MIN(1,v01_LeanBase*EXP(v01_CapsByProject*SUMPRODUCT((Cap_Point&lt;=I1664)*(Cap_Kind="Lean")*Cap_Ln)))</x:f>
        <x:v>12000</x:v>
      </x:c>
      <x:c r="L1664" s="10" t="n">
        <x:f>INDEX(v01_HousingCap,G1664)*EXP(v01_CapsByProject*SUMPRODUCT((Cap_Point&lt;=I1664)*(Cap_Kind="Housing")*Cap_Ln))</x:f>
        <x:v>20000</x:v>
      </x:c>
      <x:c r="M1664" s="10" t="n">
        <x:f>INDEX(v01_GroupCap,G1664)*v01_CohesionFactor*EXP(v01_CapsByProject*SUMPRODUCT((Cap_Point&lt;=I1664)*(Cap_Kind="Group")*Cap_Ln))</x:f>
        <x:v>1000000</x:v>
      </x:c>
      <x:c r="N1664" s="32" t="n">
        <x:f>MIN(J1664,L1664,M1664)</x:f>
        <x:v>12000</x:v>
      </x:c>
      <x:c r="O1664" s="10" t="n">
        <x:f>AE1663*N1664</x:f>
        <x:v>180000</x:v>
      </x:c>
      <x:c r="P1664" s="9" t="n">
        <x:f>MIN(1,(AB1663/(AE1663*IF(v01_GroupInCrowding=1,N1664,MIN(J1664,L1664))))^v01_CrowdingExp)</x:f>
        <x:v>0.00024569414295285325</x:v>
      </x:c>
      <x:c r="Q1664" s="9" t="n">
        <x:f>IF(D1664=1,INDEX(v01_WinterMult,G1664),1)</x:f>
        <x:v>1</x:v>
      </x:c>
      <x:c r="R1664" s="9" t="n">
        <x:f>H1664*Z1663*v01_WomenShare*v01_BaseFertility*INDEX(v01_FertMult,G1664)*Arch_Fertility*(1-P1664)</x:f>
        <x:v>0</x:v>
      </x:c>
      <x:c r="S1664" s="9" t="n">
        <x:f>H1664*Y1663*INDEX(v01_MortChild,G1664)/4*Q1664</x:f>
        <x:v>0</x:v>
      </x:c>
      <x:c r="T1664" s="9" t="n">
        <x:f>H1664*Z1663*INDEX(v01_MortAdult,G1664)*Arch_AdultMort/4*Q1664</x:f>
        <x:v>0</x:v>
      </x:c>
      <x:c r="U1664" s="9" t="n">
        <x:f>H1664*AA1663*INDEX(v01_MortElder,G1664)/4*Q1664</x:f>
        <x:v>0</x:v>
      </x:c>
      <x:c r="V1664" s="9" t="n">
        <x:f>H1664*MAX(0,AB1663-O1664)*v01_OvercapLoss</x:f>
        <x:v>0</x:v>
      </x:c>
      <x:c r="W1664" s="9" t="n">
        <x:f>H1664*Y1663/(v01_ChildYears*4)</x:f>
        <x:v>0</x:v>
      </x:c>
      <x:c r="X1664" s="9" t="n">
        <x:f>H1664*Z1663/(v01_AdultYears*4)</x:f>
        <x:v>0</x:v>
      </x:c>
      <x:c r="Y1664" s="32" t="n">
        <x:f>Y1663+R1664-S1664-W1664-Y1663*V1664/AB1663</x:f>
        <x:v>14306.18539759397</x:v>
      </x:c>
      <x:c r="Z1664" s="32" t="n">
        <x:f>Z1663+W1664-X1664-T1664-Z1663*V1664/AB1663</x:f>
        <x:v>19354.456567879548</x:v>
      </x:c>
      <x:c r="AA1664" s="32" t="n">
        <x:f>AA1663+X1664-U1664-AA1663*V1664/AB1663</x:f>
        <x:v>11386.956063258198</x:v>
      </x:c>
      <x:c r="AB1664" s="10" t="n">
        <x:f>Y1664+Z1664+AA1664</x:f>
        <x:v>45047.59802873172</x:v>
      </x:c>
      <x:c r="AC1664" s="8" t="n">
        <x:f>IF(AND(v01_WinterTrigger=1,D1664=1,AB1663/AE1663&gt;=K1664),1,0)</x:f>
        <x:v>0</x:v>
      </x:c>
      <x:c r="AD1664" s="8" t="n">
        <x:f>H1664*IF(AND(OR(AB1663/AE1663&gt;=v01_FissionTrigger*N1664,AC1664=1),AB1663/AE1663*v01_DaughterShare&gt;=v01_MinDaughter),MAX(1,ROUND(AE1663*v01_FissionRate,0)),0)</x:f>
        <x:v>0</x:v>
      </x:c>
      <x:c r="AE1664" s="8" t="n">
        <x:f>IF(H1664=1,MAX(1,MIN(INDEX(v01_Smax,G1664),AE1663+AD1664)),AE1663)</x:f>
        <x:v>15</x:v>
      </x:c>
      <x:c r="AF1664" s="8" t="n">
        <x:f>MAX(0,AE1664-AE1663)</x:f>
        <x:v>0</x:v>
      </x:c>
      <x:c r="AG1664" s="9" t="str">
        <x:f>IF(AF1664&gt;0,B1664,"")</x:f>
      </x:c>
      <x:c r="AH1664" s="9" t="n">
        <x:f>IF(F1664&gt;=1,1,(1+v01_LowTiesShare*(AE1664-1))/AE1664)</x:f>
        <x:v>1</x:v>
      </x:c>
      <x:c r="AI1664" s="32" t="n">
        <x:f>(Z1664+v01_ElderCommons*INDEX(LM_Elder,G1664)*AA1664)*AH1664</x:f>
        <x:v>64139.732591141874</x:v>
      </x:c>
      <x:c r="AJ1664" s="32" t="n">
        <x:f>H1664*v01_CommonsCoef*AI1664^v01_CommonsExp*INDEX(LM_Commons,G1664)</x:f>
        <x:v>0</x:v>
      </x:c>
      <x:c r="AK1664" s="32" t="n">
        <x:f>H1664*v01_RoleScale*Arch_Roles*(AE1664*(INDEX(v01_ElderRolePerSett,G1664)*v01_OutElder*INDEX(LM_Elder,G1664)+INDEX(v01_ShamanPerSett,G1664)*v01_OutShaman)+Z1664*(INDEX(v01_PriestShare,G1664)*v01_OutPriest+INDEX(v01_ScribeShare,G1664)*v01_OutScribe*INDEX(LM_Scribe,G1664)+INDEX(v01_ScholarShare,G1664)*v01_OutScholar*INDEX(LM_Scholar,G1664)+INDEX(v01_ResearcherShare,G1664)*v01_OutResearcher*INDEX(LM_Researcher,G1664)))</x:f>
        <x:v>0</x:v>
      </x:c>
      <x:c r="AL1664" s="32" t="n">
        <x:f>H1664*v01_RoleScale*Arch_Roles*AE1664*INDEX(v01_MonasteryPerSett,G1664)*v01_OutMonastery*INDEX(LM_Monastery,G1664)</x:f>
        <x:v>0</x:v>
      </x:c>
      <x:c r="AM1664" s="32" t="n">
        <x:f>(AJ1664+AK1664+AL1664)/4*INDEX(LM_All,G1664)*INDEX(v01_Boon,G1664)*Arch_Insight</x:f>
        <x:v>0</x:v>
      </x:c>
      <x:c r="AN1664" s="32" t="n">
        <x:f>H1664*(v01_KHPerAdult*Z1664+v01_KHOfCommons*AJ1664/4*INDEX(LM_All,G1664))*v01_KHUsable*Arch_KH</x:f>
        <x:v>0</x:v>
      </x:c>
      <x:c r="AO1664" s="32" t="n">
        <x:f>MIN(AP1663+AN1664,AM1664*v01_KHMaxRatio)</x:f>
        <x:v>0</x:v>
      </x:c>
      <x:c r="AP1664" s="32" t="n">
        <x:f>AP1663+AN1664-AO1664</x:f>
        <x:v>0</x:v>
      </x:c>
      <x:c r="AQ1664" s="32" t="n">
        <x:f>AM1664+AO1664</x:f>
        <x:v>0</x:v>
      </x:c>
      <x:c r="AR1664" s="10" t="n">
        <x:f>IF(H1664=1,INDEX(v01_Req,G1664),0)</x:f>
        <x:v>0</x:v>
      </x:c>
      <x:c r="AS1664" s="32" t="n">
        <x:f>IF(H1664=1,IF(E1664=1,AS1663-AR1663,AS1663)+AQ1664,0)</x:f>
        <x:v>0</x:v>
      </x:c>
      <x:c r="AT1664" s="11" t="n">
        <x:f>IF(AR1664&gt;0,MIN(1,AS1664/AR1664),1)</x:f>
        <x:v>1</x:v>
      </x:c>
      <x:c r="AU1664" s="10" t="n">
        <x:f>AB1664/INDEX(v01_RepScale,G1664)</x:f>
        <x:v>90.09519605746344</x:v>
      </x:c>
      <x:c r="AV1664" s="32" t="n">
        <x:f>AM1664*60/v01_SeasonSeconds</x:f>
        <x:v>0</x:v>
      </x:c>
    </x:row>
    <x:row r="1665">
      <x:c r="A1665" s="8" t="n">
        <x:f>A1664+1</x:f>
        <x:v>1662</x:v>
      </x:c>
      <x:c r="B1665" s="9" t="n">
        <x:f>A1665*v01_SeasonSeconds/60</x:f>
        <x:v>415.5</x:v>
      </x:c>
      <x:c r="C1665" s="9" t="n">
        <x:f>A1665/4</x:f>
        <x:v>415.5</x:v>
      </x:c>
      <x:c r="D1665" s="8" t="n">
        <x:f>IF(MOD(A1665,4)=0,1,0)</x:f>
        <x:v>0</x:v>
      </x:c>
      <x:c r="E1665" s="8" t="n">
        <x:f>IF(AND(F1664&lt;=9,AS1664&gt;=AR1664),1,0)</x:f>
        <x:v>0</x:v>
      </x:c>
      <x:c r="F1665" s="8" t="n">
        <x:f>MIN(10,F1664+E1665)</x:f>
        <x:v>10</x:v>
      </x:c>
      <x:c r="G1665" s="8" t="n">
        <x:f>MIN(F1665,9)+1</x:f>
        <x:v>10</x:v>
      </x:c>
      <x:c r="H1665" s="8" t="n">
        <x:f>IF(F1665&lt;=9,1,0)</x:f>
        <x:v>0</x:v>
      </x:c>
      <x:c r="I1665" s="9" t="n">
        <x:f>MIN(10,F1664+IF(AR1664&gt;0,MIN(1,AS1664/AR1664),1))</x:f>
        <x:v>10</x:v>
      </x:c>
      <x:c r="J1665" s="32" t="n">
        <x:f>INDEX(v01_FoodCap,G1665)*Arch_FoodCap*EXP(v01_CapsByProject*SUMPRODUCT((Cap_Point&lt;=I1665)*(Cap_Kind="Food")*Cap_Ln))</x:f>
        <x:v>12000</x:v>
      </x:c>
      <x:c r="K1665" s="32" t="n">
        <x:f>J1665*MIN(1,v01_LeanBase*EXP(v01_CapsByProject*SUMPRODUCT((Cap_Point&lt;=I1665)*(Cap_Kind="Lean")*Cap_Ln)))</x:f>
        <x:v>12000</x:v>
      </x:c>
      <x:c r="L1665" s="10" t="n">
        <x:f>INDEX(v01_HousingCap,G1665)*EXP(v01_CapsByProject*SUMPRODUCT((Cap_Point&lt;=I1665)*(Cap_Kind="Housing")*Cap_Ln))</x:f>
        <x:v>20000</x:v>
      </x:c>
      <x:c r="M1665" s="10" t="n">
        <x:f>INDEX(v01_GroupCap,G1665)*v01_CohesionFactor*EXP(v01_CapsByProject*SUMPRODUCT((Cap_Point&lt;=I1665)*(Cap_Kind="Group")*Cap_Ln))</x:f>
        <x:v>1000000</x:v>
      </x:c>
      <x:c r="N1665" s="32" t="n">
        <x:f>MIN(J1665,L1665,M1665)</x:f>
        <x:v>12000</x:v>
      </x:c>
      <x:c r="O1665" s="10" t="n">
        <x:f>AE1664*N1665</x:f>
        <x:v>180000</x:v>
      </x:c>
      <x:c r="P1665" s="9" t="n">
        <x:f>MIN(1,(AB1664/(AE1664*IF(v01_GroupInCrowding=1,N1665,MIN(J1665,L1665))))^v01_CrowdingExp)</x:f>
        <x:v>0.00024569414295285325</x:v>
      </x:c>
      <x:c r="Q1665" s="9" t="n">
        <x:f>IF(D1665=1,INDEX(v01_WinterMult,G1665),1)</x:f>
        <x:v>1</x:v>
      </x:c>
      <x:c r="R1665" s="9" t="n">
        <x:f>H1665*Z1664*v01_WomenShare*v01_BaseFertility*INDEX(v01_FertMult,G1665)*Arch_Fertility*(1-P1665)</x:f>
        <x:v>0</x:v>
      </x:c>
      <x:c r="S1665" s="9" t="n">
        <x:f>H1665*Y1664*INDEX(v01_MortChild,G1665)/4*Q1665</x:f>
        <x:v>0</x:v>
      </x:c>
      <x:c r="T1665" s="9" t="n">
        <x:f>H1665*Z1664*INDEX(v01_MortAdult,G1665)*Arch_AdultMort/4*Q1665</x:f>
        <x:v>0</x:v>
      </x:c>
      <x:c r="U1665" s="9" t="n">
        <x:f>H1665*AA1664*INDEX(v01_MortElder,G1665)/4*Q1665</x:f>
        <x:v>0</x:v>
      </x:c>
      <x:c r="V1665" s="9" t="n">
        <x:f>H1665*MAX(0,AB1664-O1665)*v01_OvercapLoss</x:f>
        <x:v>0</x:v>
      </x:c>
      <x:c r="W1665" s="9" t="n">
        <x:f>H1665*Y1664/(v01_ChildYears*4)</x:f>
        <x:v>0</x:v>
      </x:c>
      <x:c r="X1665" s="9" t="n">
        <x:f>H1665*Z1664/(v01_AdultYears*4)</x:f>
        <x:v>0</x:v>
      </x:c>
      <x:c r="Y1665" s="32" t="n">
        <x:f>Y1664+R1665-S1665-W1665-Y1664*V1665/AB1664</x:f>
        <x:v>14306.18539759397</x:v>
      </x:c>
      <x:c r="Z1665" s="32" t="n">
        <x:f>Z1664+W1665-X1665-T1665-Z1664*V1665/AB1664</x:f>
        <x:v>19354.456567879548</x:v>
      </x:c>
      <x:c r="AA1665" s="32" t="n">
        <x:f>AA1664+X1665-U1665-AA1664*V1665/AB1664</x:f>
        <x:v>11386.956063258198</x:v>
      </x:c>
      <x:c r="AB1665" s="10" t="n">
        <x:f>Y1665+Z1665+AA1665</x:f>
        <x:v>45047.59802873172</x:v>
      </x:c>
      <x:c r="AC1665" s="8" t="n">
        <x:f>IF(AND(v01_WinterTrigger=1,D1665=1,AB1664/AE1664&gt;=K1665),1,0)</x:f>
        <x:v>0</x:v>
      </x:c>
      <x:c r="AD1665" s="8" t="n">
        <x:f>H1665*IF(AND(OR(AB1664/AE1664&gt;=v01_FissionTrigger*N1665,AC1665=1),AB1664/AE1664*v01_DaughterShare&gt;=v01_MinDaughter),MAX(1,ROUND(AE1664*v01_FissionRate,0)),0)</x:f>
        <x:v>0</x:v>
      </x:c>
      <x:c r="AE1665" s="8" t="n">
        <x:f>IF(H1665=1,MAX(1,MIN(INDEX(v01_Smax,G1665),AE1664+AD1665)),AE1664)</x:f>
        <x:v>15</x:v>
      </x:c>
      <x:c r="AF1665" s="8" t="n">
        <x:f>MAX(0,AE1665-AE1664)</x:f>
        <x:v>0</x:v>
      </x:c>
      <x:c r="AG1665" s="9" t="str">
        <x:f>IF(AF1665&gt;0,B1665,"")</x:f>
      </x:c>
      <x:c r="AH1665" s="9" t="n">
        <x:f>IF(F1665&gt;=1,1,(1+v01_LowTiesShare*(AE1665-1))/AE1665)</x:f>
        <x:v>1</x:v>
      </x:c>
      <x:c r="AI1665" s="32" t="n">
        <x:f>(Z1665+v01_ElderCommons*INDEX(LM_Elder,G1665)*AA1665)*AH1665</x:f>
        <x:v>64139.732591141874</x:v>
      </x:c>
      <x:c r="AJ1665" s="32" t="n">
        <x:f>H1665*v01_CommonsCoef*AI1665^v01_CommonsExp*INDEX(LM_Commons,G1665)</x:f>
        <x:v>0</x:v>
      </x:c>
      <x:c r="AK1665" s="32" t="n">
        <x:f>H1665*v01_RoleScale*Arch_Roles*(AE1665*(INDEX(v01_ElderRolePerSett,G1665)*v01_OutElder*INDEX(LM_Elder,G1665)+INDEX(v01_ShamanPerSett,G1665)*v01_OutShaman)+Z1665*(INDEX(v01_PriestShare,G1665)*v01_OutPriest+INDEX(v01_ScribeShare,G1665)*v01_OutScribe*INDEX(LM_Scribe,G1665)+INDEX(v01_ScholarShare,G1665)*v01_OutScholar*INDEX(LM_Scholar,G1665)+INDEX(v01_ResearcherShare,G1665)*v01_OutResearcher*INDEX(LM_Researcher,G1665)))</x:f>
        <x:v>0</x:v>
      </x:c>
      <x:c r="AL1665" s="32" t="n">
        <x:f>H1665*v01_RoleScale*Arch_Roles*AE1665*INDEX(v01_MonasteryPerSett,G1665)*v01_OutMonastery*INDEX(LM_Monastery,G1665)</x:f>
        <x:v>0</x:v>
      </x:c>
      <x:c r="AM1665" s="32" t="n">
        <x:f>(AJ1665+AK1665+AL1665)/4*INDEX(LM_All,G1665)*INDEX(v01_Boon,G1665)*Arch_Insight</x:f>
        <x:v>0</x:v>
      </x:c>
      <x:c r="AN1665" s="32" t="n">
        <x:f>H1665*(v01_KHPerAdult*Z1665+v01_KHOfCommons*AJ1665/4*INDEX(LM_All,G1665))*v01_KHUsable*Arch_KH</x:f>
        <x:v>0</x:v>
      </x:c>
      <x:c r="AO1665" s="32" t="n">
        <x:f>MIN(AP1664+AN1665,AM1665*v01_KHMaxRatio)</x:f>
        <x:v>0</x:v>
      </x:c>
      <x:c r="AP1665" s="32" t="n">
        <x:f>AP1664+AN1665-AO1665</x:f>
        <x:v>0</x:v>
      </x:c>
      <x:c r="AQ1665" s="32" t="n">
        <x:f>AM1665+AO1665</x:f>
        <x:v>0</x:v>
      </x:c>
      <x:c r="AR1665" s="10" t="n">
        <x:f>IF(H1665=1,INDEX(v01_Req,G1665),0)</x:f>
        <x:v>0</x:v>
      </x:c>
      <x:c r="AS1665" s="32" t="n">
        <x:f>IF(H1665=1,IF(E1665=1,AS1664-AR1664,AS1664)+AQ1665,0)</x:f>
        <x:v>0</x:v>
      </x:c>
      <x:c r="AT1665" s="11" t="n">
        <x:f>IF(AR1665&gt;0,MIN(1,AS1665/AR1665),1)</x:f>
        <x:v>1</x:v>
      </x:c>
      <x:c r="AU1665" s="10" t="n">
        <x:f>AB1665/INDEX(v01_RepScale,G1665)</x:f>
        <x:v>90.09519605746344</x:v>
      </x:c>
      <x:c r="AV1665" s="32" t="n">
        <x:f>AM1665*60/v01_SeasonSeconds</x:f>
        <x:v>0</x:v>
      </x:c>
    </x:row>
    <x:row r="1666">
      <x:c r="A1666" s="8" t="n">
        <x:f>A1665+1</x:f>
        <x:v>1663</x:v>
      </x:c>
      <x:c r="B1666" s="9" t="n">
        <x:f>A1666*v01_SeasonSeconds/60</x:f>
        <x:v>415.75</x:v>
      </x:c>
      <x:c r="C1666" s="9" t="n">
        <x:f>A1666/4</x:f>
        <x:v>415.75</x:v>
      </x:c>
      <x:c r="D1666" s="8" t="n">
        <x:f>IF(MOD(A1666,4)=0,1,0)</x:f>
        <x:v>0</x:v>
      </x:c>
      <x:c r="E1666" s="8" t="n">
        <x:f>IF(AND(F1665&lt;=9,AS1665&gt;=AR1665),1,0)</x:f>
        <x:v>0</x:v>
      </x:c>
      <x:c r="F1666" s="8" t="n">
        <x:f>MIN(10,F1665+E1666)</x:f>
        <x:v>10</x:v>
      </x:c>
      <x:c r="G1666" s="8" t="n">
        <x:f>MIN(F1666,9)+1</x:f>
        <x:v>10</x:v>
      </x:c>
      <x:c r="H1666" s="8" t="n">
        <x:f>IF(F1666&lt;=9,1,0)</x:f>
        <x:v>0</x:v>
      </x:c>
      <x:c r="I1666" s="9" t="n">
        <x:f>MIN(10,F1665+IF(AR1665&gt;0,MIN(1,AS1665/AR1665),1))</x:f>
        <x:v>10</x:v>
      </x:c>
      <x:c r="J1666" s="32" t="n">
        <x:f>INDEX(v01_FoodCap,G1666)*Arch_FoodCap*EXP(v01_CapsByProject*SUMPRODUCT((Cap_Point&lt;=I1666)*(Cap_Kind="Food")*Cap_Ln))</x:f>
        <x:v>12000</x:v>
      </x:c>
      <x:c r="K1666" s="32" t="n">
        <x:f>J1666*MIN(1,v01_LeanBase*EXP(v01_CapsByProject*SUMPRODUCT((Cap_Point&lt;=I1666)*(Cap_Kind="Lean")*Cap_Ln)))</x:f>
        <x:v>12000</x:v>
      </x:c>
      <x:c r="L1666" s="10" t="n">
        <x:f>INDEX(v01_HousingCap,G1666)*EXP(v01_CapsByProject*SUMPRODUCT((Cap_Point&lt;=I1666)*(Cap_Kind="Housing")*Cap_Ln))</x:f>
        <x:v>20000</x:v>
      </x:c>
      <x:c r="M1666" s="10" t="n">
        <x:f>INDEX(v01_GroupCap,G1666)*v01_CohesionFactor*EXP(v01_CapsByProject*SUMPRODUCT((Cap_Point&lt;=I1666)*(Cap_Kind="Group")*Cap_Ln))</x:f>
        <x:v>1000000</x:v>
      </x:c>
      <x:c r="N1666" s="32" t="n">
        <x:f>MIN(J1666,L1666,M1666)</x:f>
        <x:v>12000</x:v>
      </x:c>
      <x:c r="O1666" s="10" t="n">
        <x:f>AE1665*N1666</x:f>
        <x:v>180000</x:v>
      </x:c>
      <x:c r="P1666" s="9" t="n">
        <x:f>MIN(1,(AB1665/(AE1665*IF(v01_GroupInCrowding=1,N1666,MIN(J1666,L1666))))^v01_CrowdingExp)</x:f>
        <x:v>0.00024569414295285325</x:v>
      </x:c>
      <x:c r="Q1666" s="9" t="n">
        <x:f>IF(D1666=1,INDEX(v01_WinterMult,G1666),1)</x:f>
        <x:v>1</x:v>
      </x:c>
      <x:c r="R1666" s="9" t="n">
        <x:f>H1666*Z1665*v01_WomenShare*v01_BaseFertility*INDEX(v01_FertMult,G1666)*Arch_Fertility*(1-P1666)</x:f>
        <x:v>0</x:v>
      </x:c>
      <x:c r="S1666" s="9" t="n">
        <x:f>H1666*Y1665*INDEX(v01_MortChild,G1666)/4*Q1666</x:f>
        <x:v>0</x:v>
      </x:c>
      <x:c r="T1666" s="9" t="n">
        <x:f>H1666*Z1665*INDEX(v01_MortAdult,G1666)*Arch_AdultMort/4*Q1666</x:f>
        <x:v>0</x:v>
      </x:c>
      <x:c r="U1666" s="9" t="n">
        <x:f>H1666*AA1665*INDEX(v01_MortElder,G1666)/4*Q1666</x:f>
        <x:v>0</x:v>
      </x:c>
      <x:c r="V1666" s="9" t="n">
        <x:f>H1666*MAX(0,AB1665-O1666)*v01_OvercapLoss</x:f>
        <x:v>0</x:v>
      </x:c>
      <x:c r="W1666" s="9" t="n">
        <x:f>H1666*Y1665/(v01_ChildYears*4)</x:f>
        <x:v>0</x:v>
      </x:c>
      <x:c r="X1666" s="9" t="n">
        <x:f>H1666*Z1665/(v01_AdultYears*4)</x:f>
        <x:v>0</x:v>
      </x:c>
      <x:c r="Y1666" s="32" t="n">
        <x:f>Y1665+R1666-S1666-W1666-Y1665*V1666/AB1665</x:f>
        <x:v>14306.18539759397</x:v>
      </x:c>
      <x:c r="Z1666" s="32" t="n">
        <x:f>Z1665+W1666-X1666-T1666-Z1665*V1666/AB1665</x:f>
        <x:v>19354.456567879548</x:v>
      </x:c>
      <x:c r="AA1666" s="32" t="n">
        <x:f>AA1665+X1666-U1666-AA1665*V1666/AB1665</x:f>
        <x:v>11386.956063258198</x:v>
      </x:c>
      <x:c r="AB1666" s="10" t="n">
        <x:f>Y1666+Z1666+AA1666</x:f>
        <x:v>45047.59802873172</x:v>
      </x:c>
      <x:c r="AC1666" s="8" t="n">
        <x:f>IF(AND(v01_WinterTrigger=1,D1666=1,AB1665/AE1665&gt;=K1666),1,0)</x:f>
        <x:v>0</x:v>
      </x:c>
      <x:c r="AD1666" s="8" t="n">
        <x:f>H1666*IF(AND(OR(AB1665/AE1665&gt;=v01_FissionTrigger*N1666,AC1666=1),AB1665/AE1665*v01_DaughterShare&gt;=v01_MinDaughter),MAX(1,ROUND(AE1665*v01_FissionRate,0)),0)</x:f>
        <x:v>0</x:v>
      </x:c>
      <x:c r="AE1666" s="8" t="n">
        <x:f>IF(H1666=1,MAX(1,MIN(INDEX(v01_Smax,G1666),AE1665+AD1666)),AE1665)</x:f>
        <x:v>15</x:v>
      </x:c>
      <x:c r="AF1666" s="8" t="n">
        <x:f>MAX(0,AE1666-AE1665)</x:f>
        <x:v>0</x:v>
      </x:c>
      <x:c r="AG1666" s="9" t="str">
        <x:f>IF(AF1666&gt;0,B1666,"")</x:f>
      </x:c>
      <x:c r="AH1666" s="9" t="n">
        <x:f>IF(F1666&gt;=1,1,(1+v01_LowTiesShare*(AE1666-1))/AE1666)</x:f>
        <x:v>1</x:v>
      </x:c>
      <x:c r="AI1666" s="32" t="n">
        <x:f>(Z1666+v01_ElderCommons*INDEX(LM_Elder,G1666)*AA1666)*AH1666</x:f>
        <x:v>64139.732591141874</x:v>
      </x:c>
      <x:c r="AJ1666" s="32" t="n">
        <x:f>H1666*v01_CommonsCoef*AI1666^v01_CommonsExp*INDEX(LM_Commons,G1666)</x:f>
        <x:v>0</x:v>
      </x:c>
      <x:c r="AK1666" s="32" t="n">
        <x:f>H1666*v01_RoleScale*Arch_Roles*(AE1666*(INDEX(v01_ElderRolePerSett,G1666)*v01_OutElder*INDEX(LM_Elder,G1666)+INDEX(v01_ShamanPerSett,G1666)*v01_OutShaman)+Z1666*(INDEX(v01_PriestShare,G1666)*v01_OutPriest+INDEX(v01_ScribeShare,G1666)*v01_OutScribe*INDEX(LM_Scribe,G1666)+INDEX(v01_ScholarShare,G1666)*v01_OutScholar*INDEX(LM_Scholar,G1666)+INDEX(v01_ResearcherShare,G1666)*v01_OutResearcher*INDEX(LM_Researcher,G1666)))</x:f>
        <x:v>0</x:v>
      </x:c>
      <x:c r="AL1666" s="32" t="n">
        <x:f>H1666*v01_RoleScale*Arch_Roles*AE1666*INDEX(v01_MonasteryPerSett,G1666)*v01_OutMonastery*INDEX(LM_Monastery,G1666)</x:f>
        <x:v>0</x:v>
      </x:c>
      <x:c r="AM1666" s="32" t="n">
        <x:f>(AJ1666+AK1666+AL1666)/4*INDEX(LM_All,G1666)*INDEX(v01_Boon,G1666)*Arch_Insight</x:f>
        <x:v>0</x:v>
      </x:c>
      <x:c r="AN1666" s="32" t="n">
        <x:f>H1666*(v01_KHPerAdult*Z1666+v01_KHOfCommons*AJ1666/4*INDEX(LM_All,G1666))*v01_KHUsable*Arch_KH</x:f>
        <x:v>0</x:v>
      </x:c>
      <x:c r="AO1666" s="32" t="n">
        <x:f>MIN(AP1665+AN1666,AM1666*v01_KHMaxRatio)</x:f>
        <x:v>0</x:v>
      </x:c>
      <x:c r="AP1666" s="32" t="n">
        <x:f>AP1665+AN1666-AO1666</x:f>
        <x:v>0</x:v>
      </x:c>
      <x:c r="AQ1666" s="32" t="n">
        <x:f>AM1666+AO1666</x:f>
        <x:v>0</x:v>
      </x:c>
      <x:c r="AR1666" s="10" t="n">
        <x:f>IF(H1666=1,INDEX(v01_Req,G1666),0)</x:f>
        <x:v>0</x:v>
      </x:c>
      <x:c r="AS1666" s="32" t="n">
        <x:f>IF(H1666=1,IF(E1666=1,AS1665-AR1665,AS1665)+AQ1666,0)</x:f>
        <x:v>0</x:v>
      </x:c>
      <x:c r="AT1666" s="11" t="n">
        <x:f>IF(AR1666&gt;0,MIN(1,AS1666/AR1666),1)</x:f>
        <x:v>1</x:v>
      </x:c>
      <x:c r="AU1666" s="10" t="n">
        <x:f>AB1666/INDEX(v01_RepScale,G1666)</x:f>
        <x:v>90.09519605746344</x:v>
      </x:c>
      <x:c r="AV1666" s="32" t="n">
        <x:f>AM1666*60/v01_SeasonSeconds</x:f>
        <x:v>0</x:v>
      </x:c>
    </x:row>
    <x:row r="1667">
      <x:c r="A1667" s="8" t="n">
        <x:f>A1666+1</x:f>
        <x:v>1664</x:v>
      </x:c>
      <x:c r="B1667" s="9" t="n">
        <x:f>A1667*v01_SeasonSeconds/60</x:f>
        <x:v>416</x:v>
      </x:c>
      <x:c r="C1667" s="9" t="n">
        <x:f>A1667/4</x:f>
        <x:v>416</x:v>
      </x:c>
      <x:c r="D1667" s="8" t="n">
        <x:f>IF(MOD(A1667,4)=0,1,0)</x:f>
        <x:v>1</x:v>
      </x:c>
      <x:c r="E1667" s="8" t="n">
        <x:f>IF(AND(F1666&lt;=9,AS1666&gt;=AR1666),1,0)</x:f>
        <x:v>0</x:v>
      </x:c>
      <x:c r="F1667" s="8" t="n">
        <x:f>MIN(10,F1666+E1667)</x:f>
        <x:v>10</x:v>
      </x:c>
      <x:c r="G1667" s="8" t="n">
        <x:f>MIN(F1667,9)+1</x:f>
        <x:v>10</x:v>
      </x:c>
      <x:c r="H1667" s="8" t="n">
        <x:f>IF(F1667&lt;=9,1,0)</x:f>
        <x:v>0</x:v>
      </x:c>
      <x:c r="I1667" s="9" t="n">
        <x:f>MIN(10,F1666+IF(AR1666&gt;0,MIN(1,AS1666/AR1666),1))</x:f>
        <x:v>10</x:v>
      </x:c>
      <x:c r="J1667" s="32" t="n">
        <x:f>INDEX(v01_FoodCap,G1667)*Arch_FoodCap*EXP(v01_CapsByProject*SUMPRODUCT((Cap_Point&lt;=I1667)*(Cap_Kind="Food")*Cap_Ln))</x:f>
        <x:v>12000</x:v>
      </x:c>
      <x:c r="K1667" s="32" t="n">
        <x:f>J1667*MIN(1,v01_LeanBase*EXP(v01_CapsByProject*SUMPRODUCT((Cap_Point&lt;=I1667)*(Cap_Kind="Lean")*Cap_Ln)))</x:f>
        <x:v>12000</x:v>
      </x:c>
      <x:c r="L1667" s="10" t="n">
        <x:f>INDEX(v01_HousingCap,G1667)*EXP(v01_CapsByProject*SUMPRODUCT((Cap_Point&lt;=I1667)*(Cap_Kind="Housing")*Cap_Ln))</x:f>
        <x:v>20000</x:v>
      </x:c>
      <x:c r="M1667" s="10" t="n">
        <x:f>INDEX(v01_GroupCap,G1667)*v01_CohesionFactor*EXP(v01_CapsByProject*SUMPRODUCT((Cap_Point&lt;=I1667)*(Cap_Kind="Group")*Cap_Ln))</x:f>
        <x:v>1000000</x:v>
      </x:c>
      <x:c r="N1667" s="32" t="n">
        <x:f>MIN(J1667,L1667,M1667)</x:f>
        <x:v>12000</x:v>
      </x:c>
      <x:c r="O1667" s="10" t="n">
        <x:f>AE1666*N1667</x:f>
        <x:v>180000</x:v>
      </x:c>
      <x:c r="P1667" s="9" t="n">
        <x:f>MIN(1,(AB1666/(AE1666*IF(v01_GroupInCrowding=1,N1667,MIN(J1667,L1667))))^v01_CrowdingExp)</x:f>
        <x:v>0.00024569414295285325</x:v>
      </x:c>
      <x:c r="Q1667" s="9" t="n">
        <x:f>IF(D1667=1,INDEX(v01_WinterMult,G1667),1)</x:f>
        <x:v>1</x:v>
      </x:c>
      <x:c r="R1667" s="9" t="n">
        <x:f>H1667*Z1666*v01_WomenShare*v01_BaseFertility*INDEX(v01_FertMult,G1667)*Arch_Fertility*(1-P1667)</x:f>
        <x:v>0</x:v>
      </x:c>
      <x:c r="S1667" s="9" t="n">
        <x:f>H1667*Y1666*INDEX(v01_MortChild,G1667)/4*Q1667</x:f>
        <x:v>0</x:v>
      </x:c>
      <x:c r="T1667" s="9" t="n">
        <x:f>H1667*Z1666*INDEX(v01_MortAdult,G1667)*Arch_AdultMort/4*Q1667</x:f>
        <x:v>0</x:v>
      </x:c>
      <x:c r="U1667" s="9" t="n">
        <x:f>H1667*AA1666*INDEX(v01_MortElder,G1667)/4*Q1667</x:f>
        <x:v>0</x:v>
      </x:c>
      <x:c r="V1667" s="9" t="n">
        <x:f>H1667*MAX(0,AB1666-O1667)*v01_OvercapLoss</x:f>
        <x:v>0</x:v>
      </x:c>
      <x:c r="W1667" s="9" t="n">
        <x:f>H1667*Y1666/(v01_ChildYears*4)</x:f>
        <x:v>0</x:v>
      </x:c>
      <x:c r="X1667" s="9" t="n">
        <x:f>H1667*Z1666/(v01_AdultYears*4)</x:f>
        <x:v>0</x:v>
      </x:c>
      <x:c r="Y1667" s="32" t="n">
        <x:f>Y1666+R1667-S1667-W1667-Y1666*V1667/AB1666</x:f>
        <x:v>14306.18539759397</x:v>
      </x:c>
      <x:c r="Z1667" s="32" t="n">
        <x:f>Z1666+W1667-X1667-T1667-Z1666*V1667/AB1666</x:f>
        <x:v>19354.456567879548</x:v>
      </x:c>
      <x:c r="AA1667" s="32" t="n">
        <x:f>AA1666+X1667-U1667-AA1666*V1667/AB1666</x:f>
        <x:v>11386.956063258198</x:v>
      </x:c>
      <x:c r="AB1667" s="10" t="n">
        <x:f>Y1667+Z1667+AA1667</x:f>
        <x:v>45047.59802873172</x:v>
      </x:c>
      <x:c r="AC1667" s="8" t="n">
        <x:f>IF(AND(v01_WinterTrigger=1,D1667=1,AB1666/AE1666&gt;=K1667),1,0)</x:f>
        <x:v>0</x:v>
      </x:c>
      <x:c r="AD1667" s="8" t="n">
        <x:f>H1667*IF(AND(OR(AB1666/AE1666&gt;=v01_FissionTrigger*N1667,AC1667=1),AB1666/AE1666*v01_DaughterShare&gt;=v01_MinDaughter),MAX(1,ROUND(AE1666*v01_FissionRate,0)),0)</x:f>
        <x:v>0</x:v>
      </x:c>
      <x:c r="AE1667" s="8" t="n">
        <x:f>IF(H1667=1,MAX(1,MIN(INDEX(v01_Smax,G1667),AE1666+AD1667)),AE1666)</x:f>
        <x:v>15</x:v>
      </x:c>
      <x:c r="AF1667" s="8" t="n">
        <x:f>MAX(0,AE1667-AE1666)</x:f>
        <x:v>0</x:v>
      </x:c>
      <x:c r="AG1667" s="9" t="str">
        <x:f>IF(AF1667&gt;0,B1667,"")</x:f>
      </x:c>
      <x:c r="AH1667" s="9" t="n">
        <x:f>IF(F1667&gt;=1,1,(1+v01_LowTiesShare*(AE1667-1))/AE1667)</x:f>
        <x:v>1</x:v>
      </x:c>
      <x:c r="AI1667" s="32" t="n">
        <x:f>(Z1667+v01_ElderCommons*INDEX(LM_Elder,G1667)*AA1667)*AH1667</x:f>
        <x:v>64139.732591141874</x:v>
      </x:c>
      <x:c r="AJ1667" s="32" t="n">
        <x:f>H1667*v01_CommonsCoef*AI1667^v01_CommonsExp*INDEX(LM_Commons,G1667)</x:f>
        <x:v>0</x:v>
      </x:c>
      <x:c r="AK1667" s="32" t="n">
        <x:f>H1667*v01_RoleScale*Arch_Roles*(AE1667*(INDEX(v01_ElderRolePerSett,G1667)*v01_OutElder*INDEX(LM_Elder,G1667)+INDEX(v01_ShamanPerSett,G1667)*v01_OutShaman)+Z1667*(INDEX(v01_PriestShare,G1667)*v01_OutPriest+INDEX(v01_ScribeShare,G1667)*v01_OutScribe*INDEX(LM_Scribe,G1667)+INDEX(v01_ScholarShare,G1667)*v01_OutScholar*INDEX(LM_Scholar,G1667)+INDEX(v01_ResearcherShare,G1667)*v01_OutResearcher*INDEX(LM_Researcher,G1667)))</x:f>
        <x:v>0</x:v>
      </x:c>
      <x:c r="AL1667" s="32" t="n">
        <x:f>H1667*v01_RoleScale*Arch_Roles*AE1667*INDEX(v01_MonasteryPerSett,G1667)*v01_OutMonastery*INDEX(LM_Monastery,G1667)</x:f>
        <x:v>0</x:v>
      </x:c>
      <x:c r="AM1667" s="32" t="n">
        <x:f>(AJ1667+AK1667+AL1667)/4*INDEX(LM_All,G1667)*INDEX(v01_Boon,G1667)*Arch_Insight</x:f>
        <x:v>0</x:v>
      </x:c>
      <x:c r="AN1667" s="32" t="n">
        <x:f>H1667*(v01_KHPerAdult*Z1667+v01_KHOfCommons*AJ1667/4*INDEX(LM_All,G1667))*v01_KHUsable*Arch_KH</x:f>
        <x:v>0</x:v>
      </x:c>
      <x:c r="AO1667" s="32" t="n">
        <x:f>MIN(AP1666+AN1667,AM1667*v01_KHMaxRatio)</x:f>
        <x:v>0</x:v>
      </x:c>
      <x:c r="AP1667" s="32" t="n">
        <x:f>AP1666+AN1667-AO1667</x:f>
        <x:v>0</x:v>
      </x:c>
      <x:c r="AQ1667" s="32" t="n">
        <x:f>AM1667+AO1667</x:f>
        <x:v>0</x:v>
      </x:c>
      <x:c r="AR1667" s="10" t="n">
        <x:f>IF(H1667=1,INDEX(v01_Req,G1667),0)</x:f>
        <x:v>0</x:v>
      </x:c>
      <x:c r="AS1667" s="32" t="n">
        <x:f>IF(H1667=1,IF(E1667=1,AS1666-AR1666,AS1666)+AQ1667,0)</x:f>
        <x:v>0</x:v>
      </x:c>
      <x:c r="AT1667" s="11" t="n">
        <x:f>IF(AR1667&gt;0,MIN(1,AS1667/AR1667),1)</x:f>
        <x:v>1</x:v>
      </x:c>
      <x:c r="AU1667" s="10" t="n">
        <x:f>AB1667/INDEX(v01_RepScale,G1667)</x:f>
        <x:v>90.09519605746344</x:v>
      </x:c>
      <x:c r="AV1667" s="32" t="n">
        <x:f>AM1667*60/v01_SeasonSeconds</x:f>
        <x:v>0</x:v>
      </x:c>
    </x:row>
    <x:row r="1668">
      <x:c r="A1668" s="8" t="n">
        <x:f>A1667+1</x:f>
        <x:v>1665</x:v>
      </x:c>
      <x:c r="B1668" s="9" t="n">
        <x:f>A1668*v01_SeasonSeconds/60</x:f>
        <x:v>416.25</x:v>
      </x:c>
      <x:c r="C1668" s="9" t="n">
        <x:f>A1668/4</x:f>
        <x:v>416.25</x:v>
      </x:c>
      <x:c r="D1668" s="8" t="n">
        <x:f>IF(MOD(A1668,4)=0,1,0)</x:f>
        <x:v>0</x:v>
      </x:c>
      <x:c r="E1668" s="8" t="n">
        <x:f>IF(AND(F1667&lt;=9,AS1667&gt;=AR1667),1,0)</x:f>
        <x:v>0</x:v>
      </x:c>
      <x:c r="F1668" s="8" t="n">
        <x:f>MIN(10,F1667+E1668)</x:f>
        <x:v>10</x:v>
      </x:c>
      <x:c r="G1668" s="8" t="n">
        <x:f>MIN(F1668,9)+1</x:f>
        <x:v>10</x:v>
      </x:c>
      <x:c r="H1668" s="8" t="n">
        <x:f>IF(F1668&lt;=9,1,0)</x:f>
        <x:v>0</x:v>
      </x:c>
      <x:c r="I1668" s="9" t="n">
        <x:f>MIN(10,F1667+IF(AR1667&gt;0,MIN(1,AS1667/AR1667),1))</x:f>
        <x:v>10</x:v>
      </x:c>
      <x:c r="J1668" s="32" t="n">
        <x:f>INDEX(v01_FoodCap,G1668)*Arch_FoodCap*EXP(v01_CapsByProject*SUMPRODUCT((Cap_Point&lt;=I1668)*(Cap_Kind="Food")*Cap_Ln))</x:f>
        <x:v>12000</x:v>
      </x:c>
      <x:c r="K1668" s="32" t="n">
        <x:f>J1668*MIN(1,v01_LeanBase*EXP(v01_CapsByProject*SUMPRODUCT((Cap_Point&lt;=I1668)*(Cap_Kind="Lean")*Cap_Ln)))</x:f>
        <x:v>12000</x:v>
      </x:c>
      <x:c r="L1668" s="10" t="n">
        <x:f>INDEX(v01_HousingCap,G1668)*EXP(v01_CapsByProject*SUMPRODUCT((Cap_Point&lt;=I1668)*(Cap_Kind="Housing")*Cap_Ln))</x:f>
        <x:v>20000</x:v>
      </x:c>
      <x:c r="M1668" s="10" t="n">
        <x:f>INDEX(v01_GroupCap,G1668)*v01_CohesionFactor*EXP(v01_CapsByProject*SUMPRODUCT((Cap_Point&lt;=I1668)*(Cap_Kind="Group")*Cap_Ln))</x:f>
        <x:v>1000000</x:v>
      </x:c>
      <x:c r="N1668" s="32" t="n">
        <x:f>MIN(J1668,L1668,M1668)</x:f>
        <x:v>12000</x:v>
      </x:c>
      <x:c r="O1668" s="10" t="n">
        <x:f>AE1667*N1668</x:f>
        <x:v>180000</x:v>
      </x:c>
      <x:c r="P1668" s="9" t="n">
        <x:f>MIN(1,(AB1667/(AE1667*IF(v01_GroupInCrowding=1,N1668,MIN(J1668,L1668))))^v01_CrowdingExp)</x:f>
        <x:v>0.00024569414295285325</x:v>
      </x:c>
      <x:c r="Q1668" s="9" t="n">
        <x:f>IF(D1668=1,INDEX(v01_WinterMult,G1668),1)</x:f>
        <x:v>1</x:v>
      </x:c>
      <x:c r="R1668" s="9" t="n">
        <x:f>H1668*Z1667*v01_WomenShare*v01_BaseFertility*INDEX(v01_FertMult,G1668)*Arch_Fertility*(1-P1668)</x:f>
        <x:v>0</x:v>
      </x:c>
      <x:c r="S1668" s="9" t="n">
        <x:f>H1668*Y1667*INDEX(v01_MortChild,G1668)/4*Q1668</x:f>
        <x:v>0</x:v>
      </x:c>
      <x:c r="T1668" s="9" t="n">
        <x:f>H1668*Z1667*INDEX(v01_MortAdult,G1668)*Arch_AdultMort/4*Q1668</x:f>
        <x:v>0</x:v>
      </x:c>
      <x:c r="U1668" s="9" t="n">
        <x:f>H1668*AA1667*INDEX(v01_MortElder,G1668)/4*Q1668</x:f>
        <x:v>0</x:v>
      </x:c>
      <x:c r="V1668" s="9" t="n">
        <x:f>H1668*MAX(0,AB1667-O1668)*v01_OvercapLoss</x:f>
        <x:v>0</x:v>
      </x:c>
      <x:c r="W1668" s="9" t="n">
        <x:f>H1668*Y1667/(v01_ChildYears*4)</x:f>
        <x:v>0</x:v>
      </x:c>
      <x:c r="X1668" s="9" t="n">
        <x:f>H1668*Z1667/(v01_AdultYears*4)</x:f>
        <x:v>0</x:v>
      </x:c>
      <x:c r="Y1668" s="32" t="n">
        <x:f>Y1667+R1668-S1668-W1668-Y1667*V1668/AB1667</x:f>
        <x:v>14306.18539759397</x:v>
      </x:c>
      <x:c r="Z1668" s="32" t="n">
        <x:f>Z1667+W1668-X1668-T1668-Z1667*V1668/AB1667</x:f>
        <x:v>19354.456567879548</x:v>
      </x:c>
      <x:c r="AA1668" s="32" t="n">
        <x:f>AA1667+X1668-U1668-AA1667*V1668/AB1667</x:f>
        <x:v>11386.956063258198</x:v>
      </x:c>
      <x:c r="AB1668" s="10" t="n">
        <x:f>Y1668+Z1668+AA1668</x:f>
        <x:v>45047.59802873172</x:v>
      </x:c>
      <x:c r="AC1668" s="8" t="n">
        <x:f>IF(AND(v01_WinterTrigger=1,D1668=1,AB1667/AE1667&gt;=K1668),1,0)</x:f>
        <x:v>0</x:v>
      </x:c>
      <x:c r="AD1668" s="8" t="n">
        <x:f>H1668*IF(AND(OR(AB1667/AE1667&gt;=v01_FissionTrigger*N1668,AC1668=1),AB1667/AE1667*v01_DaughterShare&gt;=v01_MinDaughter),MAX(1,ROUND(AE1667*v01_FissionRate,0)),0)</x:f>
        <x:v>0</x:v>
      </x:c>
      <x:c r="AE1668" s="8" t="n">
        <x:f>IF(H1668=1,MAX(1,MIN(INDEX(v01_Smax,G1668),AE1667+AD1668)),AE1667)</x:f>
        <x:v>15</x:v>
      </x:c>
      <x:c r="AF1668" s="8" t="n">
        <x:f>MAX(0,AE1668-AE1667)</x:f>
        <x:v>0</x:v>
      </x:c>
      <x:c r="AG1668" s="9" t="str">
        <x:f>IF(AF1668&gt;0,B1668,"")</x:f>
      </x:c>
      <x:c r="AH1668" s="9" t="n">
        <x:f>IF(F1668&gt;=1,1,(1+v01_LowTiesShare*(AE1668-1))/AE1668)</x:f>
        <x:v>1</x:v>
      </x:c>
      <x:c r="AI1668" s="32" t="n">
        <x:f>(Z1668+v01_ElderCommons*INDEX(LM_Elder,G1668)*AA1668)*AH1668</x:f>
        <x:v>64139.732591141874</x:v>
      </x:c>
      <x:c r="AJ1668" s="32" t="n">
        <x:f>H1668*v01_CommonsCoef*AI1668^v01_CommonsExp*INDEX(LM_Commons,G1668)</x:f>
        <x:v>0</x:v>
      </x:c>
      <x:c r="AK1668" s="32" t="n">
        <x:f>H1668*v01_RoleScale*Arch_Roles*(AE1668*(INDEX(v01_ElderRolePerSett,G1668)*v01_OutElder*INDEX(LM_Elder,G1668)+INDEX(v01_ShamanPerSett,G1668)*v01_OutShaman)+Z1668*(INDEX(v01_PriestShare,G1668)*v01_OutPriest+INDEX(v01_ScribeShare,G1668)*v01_OutScribe*INDEX(LM_Scribe,G1668)+INDEX(v01_ScholarShare,G1668)*v01_OutScholar*INDEX(LM_Scholar,G1668)+INDEX(v01_ResearcherShare,G1668)*v01_OutResearcher*INDEX(LM_Researcher,G1668)))</x:f>
        <x:v>0</x:v>
      </x:c>
      <x:c r="AL1668" s="32" t="n">
        <x:f>H1668*v01_RoleScale*Arch_Roles*AE1668*INDEX(v01_MonasteryPerSett,G1668)*v01_OutMonastery*INDEX(LM_Monastery,G1668)</x:f>
        <x:v>0</x:v>
      </x:c>
      <x:c r="AM1668" s="32" t="n">
        <x:f>(AJ1668+AK1668+AL1668)/4*INDEX(LM_All,G1668)*INDEX(v01_Boon,G1668)*Arch_Insight</x:f>
        <x:v>0</x:v>
      </x:c>
      <x:c r="AN1668" s="32" t="n">
        <x:f>H1668*(v01_KHPerAdult*Z1668+v01_KHOfCommons*AJ1668/4*INDEX(LM_All,G1668))*v01_KHUsable*Arch_KH</x:f>
        <x:v>0</x:v>
      </x:c>
      <x:c r="AO1668" s="32" t="n">
        <x:f>MIN(AP1667+AN1668,AM1668*v01_KHMaxRatio)</x:f>
        <x:v>0</x:v>
      </x:c>
      <x:c r="AP1668" s="32" t="n">
        <x:f>AP1667+AN1668-AO1668</x:f>
        <x:v>0</x:v>
      </x:c>
      <x:c r="AQ1668" s="32" t="n">
        <x:f>AM1668+AO1668</x:f>
        <x:v>0</x:v>
      </x:c>
      <x:c r="AR1668" s="10" t="n">
        <x:f>IF(H1668=1,INDEX(v01_Req,G1668),0)</x:f>
        <x:v>0</x:v>
      </x:c>
      <x:c r="AS1668" s="32" t="n">
        <x:f>IF(H1668=1,IF(E1668=1,AS1667-AR1667,AS1667)+AQ1668,0)</x:f>
        <x:v>0</x:v>
      </x:c>
      <x:c r="AT1668" s="11" t="n">
        <x:f>IF(AR1668&gt;0,MIN(1,AS1668/AR1668),1)</x:f>
        <x:v>1</x:v>
      </x:c>
      <x:c r="AU1668" s="10" t="n">
        <x:f>AB1668/INDEX(v01_RepScale,G1668)</x:f>
        <x:v>90.09519605746344</x:v>
      </x:c>
      <x:c r="AV1668" s="32" t="n">
        <x:f>AM1668*60/v01_SeasonSeconds</x:f>
        <x:v>0</x:v>
      </x:c>
    </x:row>
    <x:row r="1669">
      <x:c r="A1669" s="8" t="n">
        <x:f>A1668+1</x:f>
        <x:v>1666</x:v>
      </x:c>
      <x:c r="B1669" s="9" t="n">
        <x:f>A1669*v01_SeasonSeconds/60</x:f>
        <x:v>416.5</x:v>
      </x:c>
      <x:c r="C1669" s="9" t="n">
        <x:f>A1669/4</x:f>
        <x:v>416.5</x:v>
      </x:c>
      <x:c r="D1669" s="8" t="n">
        <x:f>IF(MOD(A1669,4)=0,1,0)</x:f>
        <x:v>0</x:v>
      </x:c>
      <x:c r="E1669" s="8" t="n">
        <x:f>IF(AND(F1668&lt;=9,AS1668&gt;=AR1668),1,0)</x:f>
        <x:v>0</x:v>
      </x:c>
      <x:c r="F1669" s="8" t="n">
        <x:f>MIN(10,F1668+E1669)</x:f>
        <x:v>10</x:v>
      </x:c>
      <x:c r="G1669" s="8" t="n">
        <x:f>MIN(F1669,9)+1</x:f>
        <x:v>10</x:v>
      </x:c>
      <x:c r="H1669" s="8" t="n">
        <x:f>IF(F1669&lt;=9,1,0)</x:f>
        <x:v>0</x:v>
      </x:c>
      <x:c r="I1669" s="9" t="n">
        <x:f>MIN(10,F1668+IF(AR1668&gt;0,MIN(1,AS1668/AR1668),1))</x:f>
        <x:v>10</x:v>
      </x:c>
      <x:c r="J1669" s="32" t="n">
        <x:f>INDEX(v01_FoodCap,G1669)*Arch_FoodCap*EXP(v01_CapsByProject*SUMPRODUCT((Cap_Point&lt;=I1669)*(Cap_Kind="Food")*Cap_Ln))</x:f>
        <x:v>12000</x:v>
      </x:c>
      <x:c r="K1669" s="32" t="n">
        <x:f>J1669*MIN(1,v01_LeanBase*EXP(v01_CapsByProject*SUMPRODUCT((Cap_Point&lt;=I1669)*(Cap_Kind="Lean")*Cap_Ln)))</x:f>
        <x:v>12000</x:v>
      </x:c>
      <x:c r="L1669" s="10" t="n">
        <x:f>INDEX(v01_HousingCap,G1669)*EXP(v01_CapsByProject*SUMPRODUCT((Cap_Point&lt;=I1669)*(Cap_Kind="Housing")*Cap_Ln))</x:f>
        <x:v>20000</x:v>
      </x:c>
      <x:c r="M1669" s="10" t="n">
        <x:f>INDEX(v01_GroupCap,G1669)*v01_CohesionFactor*EXP(v01_CapsByProject*SUMPRODUCT((Cap_Point&lt;=I1669)*(Cap_Kind="Group")*Cap_Ln))</x:f>
        <x:v>1000000</x:v>
      </x:c>
      <x:c r="N1669" s="32" t="n">
        <x:f>MIN(J1669,L1669,M1669)</x:f>
        <x:v>12000</x:v>
      </x:c>
      <x:c r="O1669" s="10" t="n">
        <x:f>AE1668*N1669</x:f>
        <x:v>180000</x:v>
      </x:c>
      <x:c r="P1669" s="9" t="n">
        <x:f>MIN(1,(AB1668/(AE1668*IF(v01_GroupInCrowding=1,N1669,MIN(J1669,L1669))))^v01_CrowdingExp)</x:f>
        <x:v>0.00024569414295285325</x:v>
      </x:c>
      <x:c r="Q1669" s="9" t="n">
        <x:f>IF(D1669=1,INDEX(v01_WinterMult,G1669),1)</x:f>
        <x:v>1</x:v>
      </x:c>
      <x:c r="R1669" s="9" t="n">
        <x:f>H1669*Z1668*v01_WomenShare*v01_BaseFertility*INDEX(v01_FertMult,G1669)*Arch_Fertility*(1-P1669)</x:f>
        <x:v>0</x:v>
      </x:c>
      <x:c r="S1669" s="9" t="n">
        <x:f>H1669*Y1668*INDEX(v01_MortChild,G1669)/4*Q1669</x:f>
        <x:v>0</x:v>
      </x:c>
      <x:c r="T1669" s="9" t="n">
        <x:f>H1669*Z1668*INDEX(v01_MortAdult,G1669)*Arch_AdultMort/4*Q1669</x:f>
        <x:v>0</x:v>
      </x:c>
      <x:c r="U1669" s="9" t="n">
        <x:f>H1669*AA1668*INDEX(v01_MortElder,G1669)/4*Q1669</x:f>
        <x:v>0</x:v>
      </x:c>
      <x:c r="V1669" s="9" t="n">
        <x:f>H1669*MAX(0,AB1668-O1669)*v01_OvercapLoss</x:f>
        <x:v>0</x:v>
      </x:c>
      <x:c r="W1669" s="9" t="n">
        <x:f>H1669*Y1668/(v01_ChildYears*4)</x:f>
        <x:v>0</x:v>
      </x:c>
      <x:c r="X1669" s="9" t="n">
        <x:f>H1669*Z1668/(v01_AdultYears*4)</x:f>
        <x:v>0</x:v>
      </x:c>
      <x:c r="Y1669" s="32" t="n">
        <x:f>Y1668+R1669-S1669-W1669-Y1668*V1669/AB1668</x:f>
        <x:v>14306.18539759397</x:v>
      </x:c>
      <x:c r="Z1669" s="32" t="n">
        <x:f>Z1668+W1669-X1669-T1669-Z1668*V1669/AB1668</x:f>
        <x:v>19354.456567879548</x:v>
      </x:c>
      <x:c r="AA1669" s="32" t="n">
        <x:f>AA1668+X1669-U1669-AA1668*V1669/AB1668</x:f>
        <x:v>11386.956063258198</x:v>
      </x:c>
      <x:c r="AB1669" s="10" t="n">
        <x:f>Y1669+Z1669+AA1669</x:f>
        <x:v>45047.59802873172</x:v>
      </x:c>
      <x:c r="AC1669" s="8" t="n">
        <x:f>IF(AND(v01_WinterTrigger=1,D1669=1,AB1668/AE1668&gt;=K1669),1,0)</x:f>
        <x:v>0</x:v>
      </x:c>
      <x:c r="AD1669" s="8" t="n">
        <x:f>H1669*IF(AND(OR(AB1668/AE1668&gt;=v01_FissionTrigger*N1669,AC1669=1),AB1668/AE1668*v01_DaughterShare&gt;=v01_MinDaughter),MAX(1,ROUND(AE1668*v01_FissionRate,0)),0)</x:f>
        <x:v>0</x:v>
      </x:c>
      <x:c r="AE1669" s="8" t="n">
        <x:f>IF(H1669=1,MAX(1,MIN(INDEX(v01_Smax,G1669),AE1668+AD1669)),AE1668)</x:f>
        <x:v>15</x:v>
      </x:c>
      <x:c r="AF1669" s="8" t="n">
        <x:f>MAX(0,AE1669-AE1668)</x:f>
        <x:v>0</x:v>
      </x:c>
      <x:c r="AG1669" s="9" t="str">
        <x:f>IF(AF1669&gt;0,B1669,"")</x:f>
      </x:c>
      <x:c r="AH1669" s="9" t="n">
        <x:f>IF(F1669&gt;=1,1,(1+v01_LowTiesShare*(AE1669-1))/AE1669)</x:f>
        <x:v>1</x:v>
      </x:c>
      <x:c r="AI1669" s="32" t="n">
        <x:f>(Z1669+v01_ElderCommons*INDEX(LM_Elder,G1669)*AA1669)*AH1669</x:f>
        <x:v>64139.732591141874</x:v>
      </x:c>
      <x:c r="AJ1669" s="32" t="n">
        <x:f>H1669*v01_CommonsCoef*AI1669^v01_CommonsExp*INDEX(LM_Commons,G1669)</x:f>
        <x:v>0</x:v>
      </x:c>
      <x:c r="AK1669" s="32" t="n">
        <x:f>H1669*v01_RoleScale*Arch_Roles*(AE1669*(INDEX(v01_ElderRolePerSett,G1669)*v01_OutElder*INDEX(LM_Elder,G1669)+INDEX(v01_ShamanPerSett,G1669)*v01_OutShaman)+Z1669*(INDEX(v01_PriestShare,G1669)*v01_OutPriest+INDEX(v01_ScribeShare,G1669)*v01_OutScribe*INDEX(LM_Scribe,G1669)+INDEX(v01_ScholarShare,G1669)*v01_OutScholar*INDEX(LM_Scholar,G1669)+INDEX(v01_ResearcherShare,G1669)*v01_OutResearcher*INDEX(LM_Researcher,G1669)))</x:f>
        <x:v>0</x:v>
      </x:c>
      <x:c r="AL1669" s="32" t="n">
        <x:f>H1669*v01_RoleScale*Arch_Roles*AE1669*INDEX(v01_MonasteryPerSett,G1669)*v01_OutMonastery*INDEX(LM_Monastery,G1669)</x:f>
        <x:v>0</x:v>
      </x:c>
      <x:c r="AM1669" s="32" t="n">
        <x:f>(AJ1669+AK1669+AL1669)/4*INDEX(LM_All,G1669)*INDEX(v01_Boon,G1669)*Arch_Insight</x:f>
        <x:v>0</x:v>
      </x:c>
      <x:c r="AN1669" s="32" t="n">
        <x:f>H1669*(v01_KHPerAdult*Z1669+v01_KHOfCommons*AJ1669/4*INDEX(LM_All,G1669))*v01_KHUsable*Arch_KH</x:f>
        <x:v>0</x:v>
      </x:c>
      <x:c r="AO1669" s="32" t="n">
        <x:f>MIN(AP1668+AN1669,AM1669*v01_KHMaxRatio)</x:f>
        <x:v>0</x:v>
      </x:c>
      <x:c r="AP1669" s="32" t="n">
        <x:f>AP1668+AN1669-AO1669</x:f>
        <x:v>0</x:v>
      </x:c>
      <x:c r="AQ1669" s="32" t="n">
        <x:f>AM1669+AO1669</x:f>
        <x:v>0</x:v>
      </x:c>
      <x:c r="AR1669" s="10" t="n">
        <x:f>IF(H1669=1,INDEX(v01_Req,G1669),0)</x:f>
        <x:v>0</x:v>
      </x:c>
      <x:c r="AS1669" s="32" t="n">
        <x:f>IF(H1669=1,IF(E1669=1,AS1668-AR1668,AS1668)+AQ1669,0)</x:f>
        <x:v>0</x:v>
      </x:c>
      <x:c r="AT1669" s="11" t="n">
        <x:f>IF(AR1669&gt;0,MIN(1,AS1669/AR1669),1)</x:f>
        <x:v>1</x:v>
      </x:c>
      <x:c r="AU1669" s="10" t="n">
        <x:f>AB1669/INDEX(v01_RepScale,G1669)</x:f>
        <x:v>90.09519605746344</x:v>
      </x:c>
      <x:c r="AV1669" s="32" t="n">
        <x:f>AM1669*60/v01_SeasonSeconds</x:f>
        <x:v>0</x:v>
      </x:c>
    </x:row>
    <x:row r="1670">
      <x:c r="A1670" s="8" t="n">
        <x:f>A1669+1</x:f>
        <x:v>1667</x:v>
      </x:c>
      <x:c r="B1670" s="9" t="n">
        <x:f>A1670*v01_SeasonSeconds/60</x:f>
        <x:v>416.75</x:v>
      </x:c>
      <x:c r="C1670" s="9" t="n">
        <x:f>A1670/4</x:f>
        <x:v>416.75</x:v>
      </x:c>
      <x:c r="D1670" s="8" t="n">
        <x:f>IF(MOD(A1670,4)=0,1,0)</x:f>
        <x:v>0</x:v>
      </x:c>
      <x:c r="E1670" s="8" t="n">
        <x:f>IF(AND(F1669&lt;=9,AS1669&gt;=AR1669),1,0)</x:f>
        <x:v>0</x:v>
      </x:c>
      <x:c r="F1670" s="8" t="n">
        <x:f>MIN(10,F1669+E1670)</x:f>
        <x:v>10</x:v>
      </x:c>
      <x:c r="G1670" s="8" t="n">
        <x:f>MIN(F1670,9)+1</x:f>
        <x:v>10</x:v>
      </x:c>
      <x:c r="H1670" s="8" t="n">
        <x:f>IF(F1670&lt;=9,1,0)</x:f>
        <x:v>0</x:v>
      </x:c>
      <x:c r="I1670" s="9" t="n">
        <x:f>MIN(10,F1669+IF(AR1669&gt;0,MIN(1,AS1669/AR1669),1))</x:f>
        <x:v>10</x:v>
      </x:c>
      <x:c r="J1670" s="32" t="n">
        <x:f>INDEX(v01_FoodCap,G1670)*Arch_FoodCap*EXP(v01_CapsByProject*SUMPRODUCT((Cap_Point&lt;=I1670)*(Cap_Kind="Food")*Cap_Ln))</x:f>
        <x:v>12000</x:v>
      </x:c>
      <x:c r="K1670" s="32" t="n">
        <x:f>J1670*MIN(1,v01_LeanBase*EXP(v01_CapsByProject*SUMPRODUCT((Cap_Point&lt;=I1670)*(Cap_Kind="Lean")*Cap_Ln)))</x:f>
        <x:v>12000</x:v>
      </x:c>
      <x:c r="L1670" s="10" t="n">
        <x:f>INDEX(v01_HousingCap,G1670)*EXP(v01_CapsByProject*SUMPRODUCT((Cap_Point&lt;=I1670)*(Cap_Kind="Housing")*Cap_Ln))</x:f>
        <x:v>20000</x:v>
      </x:c>
      <x:c r="M1670" s="10" t="n">
        <x:f>INDEX(v01_GroupCap,G1670)*v01_CohesionFactor*EXP(v01_CapsByProject*SUMPRODUCT((Cap_Point&lt;=I1670)*(Cap_Kind="Group")*Cap_Ln))</x:f>
        <x:v>1000000</x:v>
      </x:c>
      <x:c r="N1670" s="32" t="n">
        <x:f>MIN(J1670,L1670,M1670)</x:f>
        <x:v>12000</x:v>
      </x:c>
      <x:c r="O1670" s="10" t="n">
        <x:f>AE1669*N1670</x:f>
        <x:v>180000</x:v>
      </x:c>
      <x:c r="P1670" s="9" t="n">
        <x:f>MIN(1,(AB1669/(AE1669*IF(v01_GroupInCrowding=1,N1670,MIN(J1670,L1670))))^v01_CrowdingExp)</x:f>
        <x:v>0.00024569414295285325</x:v>
      </x:c>
      <x:c r="Q1670" s="9" t="n">
        <x:f>IF(D1670=1,INDEX(v01_WinterMult,G1670),1)</x:f>
        <x:v>1</x:v>
      </x:c>
      <x:c r="R1670" s="9" t="n">
        <x:f>H1670*Z1669*v01_WomenShare*v01_BaseFertility*INDEX(v01_FertMult,G1670)*Arch_Fertility*(1-P1670)</x:f>
        <x:v>0</x:v>
      </x:c>
      <x:c r="S1670" s="9" t="n">
        <x:f>H1670*Y1669*INDEX(v01_MortChild,G1670)/4*Q1670</x:f>
        <x:v>0</x:v>
      </x:c>
      <x:c r="T1670" s="9" t="n">
        <x:f>H1670*Z1669*INDEX(v01_MortAdult,G1670)*Arch_AdultMort/4*Q1670</x:f>
        <x:v>0</x:v>
      </x:c>
      <x:c r="U1670" s="9" t="n">
        <x:f>H1670*AA1669*INDEX(v01_MortElder,G1670)/4*Q1670</x:f>
        <x:v>0</x:v>
      </x:c>
      <x:c r="V1670" s="9" t="n">
        <x:f>H1670*MAX(0,AB1669-O1670)*v01_OvercapLoss</x:f>
        <x:v>0</x:v>
      </x:c>
      <x:c r="W1670" s="9" t="n">
        <x:f>H1670*Y1669/(v01_ChildYears*4)</x:f>
        <x:v>0</x:v>
      </x:c>
      <x:c r="X1670" s="9" t="n">
        <x:f>H1670*Z1669/(v01_AdultYears*4)</x:f>
        <x:v>0</x:v>
      </x:c>
      <x:c r="Y1670" s="32" t="n">
        <x:f>Y1669+R1670-S1670-W1670-Y1669*V1670/AB1669</x:f>
        <x:v>14306.18539759397</x:v>
      </x:c>
      <x:c r="Z1670" s="32" t="n">
        <x:f>Z1669+W1670-X1670-T1670-Z1669*V1670/AB1669</x:f>
        <x:v>19354.456567879548</x:v>
      </x:c>
      <x:c r="AA1670" s="32" t="n">
        <x:f>AA1669+X1670-U1670-AA1669*V1670/AB1669</x:f>
        <x:v>11386.956063258198</x:v>
      </x:c>
      <x:c r="AB1670" s="10" t="n">
        <x:f>Y1670+Z1670+AA1670</x:f>
        <x:v>45047.59802873172</x:v>
      </x:c>
      <x:c r="AC1670" s="8" t="n">
        <x:f>IF(AND(v01_WinterTrigger=1,D1670=1,AB1669/AE1669&gt;=K1670),1,0)</x:f>
        <x:v>0</x:v>
      </x:c>
      <x:c r="AD1670" s="8" t="n">
        <x:f>H1670*IF(AND(OR(AB1669/AE1669&gt;=v01_FissionTrigger*N1670,AC1670=1),AB1669/AE1669*v01_DaughterShare&gt;=v01_MinDaughter),MAX(1,ROUND(AE1669*v01_FissionRate,0)),0)</x:f>
        <x:v>0</x:v>
      </x:c>
      <x:c r="AE1670" s="8" t="n">
        <x:f>IF(H1670=1,MAX(1,MIN(INDEX(v01_Smax,G1670),AE1669+AD1670)),AE1669)</x:f>
        <x:v>15</x:v>
      </x:c>
      <x:c r="AF1670" s="8" t="n">
        <x:f>MAX(0,AE1670-AE1669)</x:f>
        <x:v>0</x:v>
      </x:c>
      <x:c r="AG1670" s="9" t="str">
        <x:f>IF(AF1670&gt;0,B1670,"")</x:f>
      </x:c>
      <x:c r="AH1670" s="9" t="n">
        <x:f>IF(F1670&gt;=1,1,(1+v01_LowTiesShare*(AE1670-1))/AE1670)</x:f>
        <x:v>1</x:v>
      </x:c>
      <x:c r="AI1670" s="32" t="n">
        <x:f>(Z1670+v01_ElderCommons*INDEX(LM_Elder,G1670)*AA1670)*AH1670</x:f>
        <x:v>64139.732591141874</x:v>
      </x:c>
      <x:c r="AJ1670" s="32" t="n">
        <x:f>H1670*v01_CommonsCoef*AI1670^v01_CommonsExp*INDEX(LM_Commons,G1670)</x:f>
        <x:v>0</x:v>
      </x:c>
      <x:c r="AK1670" s="32" t="n">
        <x:f>H1670*v01_RoleScale*Arch_Roles*(AE1670*(INDEX(v01_ElderRolePerSett,G1670)*v01_OutElder*INDEX(LM_Elder,G1670)+INDEX(v01_ShamanPerSett,G1670)*v01_OutShaman)+Z1670*(INDEX(v01_PriestShare,G1670)*v01_OutPriest+INDEX(v01_ScribeShare,G1670)*v01_OutScribe*INDEX(LM_Scribe,G1670)+INDEX(v01_ScholarShare,G1670)*v01_OutScholar*INDEX(LM_Scholar,G1670)+INDEX(v01_ResearcherShare,G1670)*v01_OutResearcher*INDEX(LM_Researcher,G1670)))</x:f>
        <x:v>0</x:v>
      </x:c>
      <x:c r="AL1670" s="32" t="n">
        <x:f>H1670*v01_RoleScale*Arch_Roles*AE1670*INDEX(v01_MonasteryPerSett,G1670)*v01_OutMonastery*INDEX(LM_Monastery,G1670)</x:f>
        <x:v>0</x:v>
      </x:c>
      <x:c r="AM1670" s="32" t="n">
        <x:f>(AJ1670+AK1670+AL1670)/4*INDEX(LM_All,G1670)*INDEX(v01_Boon,G1670)*Arch_Insight</x:f>
        <x:v>0</x:v>
      </x:c>
      <x:c r="AN1670" s="32" t="n">
        <x:f>H1670*(v01_KHPerAdult*Z1670+v01_KHOfCommons*AJ1670/4*INDEX(LM_All,G1670))*v01_KHUsable*Arch_KH</x:f>
        <x:v>0</x:v>
      </x:c>
      <x:c r="AO1670" s="32" t="n">
        <x:f>MIN(AP1669+AN1670,AM1670*v01_KHMaxRatio)</x:f>
        <x:v>0</x:v>
      </x:c>
      <x:c r="AP1670" s="32" t="n">
        <x:f>AP1669+AN1670-AO1670</x:f>
        <x:v>0</x:v>
      </x:c>
      <x:c r="AQ1670" s="32" t="n">
        <x:f>AM1670+AO1670</x:f>
        <x:v>0</x:v>
      </x:c>
      <x:c r="AR1670" s="10" t="n">
        <x:f>IF(H1670=1,INDEX(v01_Req,G1670),0)</x:f>
        <x:v>0</x:v>
      </x:c>
      <x:c r="AS1670" s="32" t="n">
        <x:f>IF(H1670=1,IF(E1670=1,AS1669-AR1669,AS1669)+AQ1670,0)</x:f>
        <x:v>0</x:v>
      </x:c>
      <x:c r="AT1670" s="11" t="n">
        <x:f>IF(AR1670&gt;0,MIN(1,AS1670/AR1670),1)</x:f>
        <x:v>1</x:v>
      </x:c>
      <x:c r="AU1670" s="10" t="n">
        <x:f>AB1670/INDEX(v01_RepScale,G1670)</x:f>
        <x:v>90.09519605746344</x:v>
      </x:c>
      <x:c r="AV1670" s="32" t="n">
        <x:f>AM1670*60/v01_SeasonSeconds</x:f>
        <x:v>0</x:v>
      </x:c>
    </x:row>
    <x:row r="1671">
      <x:c r="A1671" s="8" t="n">
        <x:f>A1670+1</x:f>
        <x:v>1668</x:v>
      </x:c>
      <x:c r="B1671" s="9" t="n">
        <x:f>A1671*v01_SeasonSeconds/60</x:f>
        <x:v>417</x:v>
      </x:c>
      <x:c r="C1671" s="9" t="n">
        <x:f>A1671/4</x:f>
        <x:v>417</x:v>
      </x:c>
      <x:c r="D1671" s="8" t="n">
        <x:f>IF(MOD(A1671,4)=0,1,0)</x:f>
        <x:v>1</x:v>
      </x:c>
      <x:c r="E1671" s="8" t="n">
        <x:f>IF(AND(F1670&lt;=9,AS1670&gt;=AR1670),1,0)</x:f>
        <x:v>0</x:v>
      </x:c>
      <x:c r="F1671" s="8" t="n">
        <x:f>MIN(10,F1670+E1671)</x:f>
        <x:v>10</x:v>
      </x:c>
      <x:c r="G1671" s="8" t="n">
        <x:f>MIN(F1671,9)+1</x:f>
        <x:v>10</x:v>
      </x:c>
      <x:c r="H1671" s="8" t="n">
        <x:f>IF(F1671&lt;=9,1,0)</x:f>
        <x:v>0</x:v>
      </x:c>
      <x:c r="I1671" s="9" t="n">
        <x:f>MIN(10,F1670+IF(AR1670&gt;0,MIN(1,AS1670/AR1670),1))</x:f>
        <x:v>10</x:v>
      </x:c>
      <x:c r="J1671" s="32" t="n">
        <x:f>INDEX(v01_FoodCap,G1671)*Arch_FoodCap*EXP(v01_CapsByProject*SUMPRODUCT((Cap_Point&lt;=I1671)*(Cap_Kind="Food")*Cap_Ln))</x:f>
        <x:v>12000</x:v>
      </x:c>
      <x:c r="K1671" s="32" t="n">
        <x:f>J1671*MIN(1,v01_LeanBase*EXP(v01_CapsByProject*SUMPRODUCT((Cap_Point&lt;=I1671)*(Cap_Kind="Lean")*Cap_Ln)))</x:f>
        <x:v>12000</x:v>
      </x:c>
      <x:c r="L1671" s="10" t="n">
        <x:f>INDEX(v01_HousingCap,G1671)*EXP(v01_CapsByProject*SUMPRODUCT((Cap_Point&lt;=I1671)*(Cap_Kind="Housing")*Cap_Ln))</x:f>
        <x:v>20000</x:v>
      </x:c>
      <x:c r="M1671" s="10" t="n">
        <x:f>INDEX(v01_GroupCap,G1671)*v01_CohesionFactor*EXP(v01_CapsByProject*SUMPRODUCT((Cap_Point&lt;=I1671)*(Cap_Kind="Group")*Cap_Ln))</x:f>
        <x:v>1000000</x:v>
      </x:c>
      <x:c r="N1671" s="32" t="n">
        <x:f>MIN(J1671,L1671,M1671)</x:f>
        <x:v>12000</x:v>
      </x:c>
      <x:c r="O1671" s="10" t="n">
        <x:f>AE1670*N1671</x:f>
        <x:v>180000</x:v>
      </x:c>
      <x:c r="P1671" s="9" t="n">
        <x:f>MIN(1,(AB1670/(AE1670*IF(v01_GroupInCrowding=1,N1671,MIN(J1671,L1671))))^v01_CrowdingExp)</x:f>
        <x:v>0.00024569414295285325</x:v>
      </x:c>
      <x:c r="Q1671" s="9" t="n">
        <x:f>IF(D1671=1,INDEX(v01_WinterMult,G1671),1)</x:f>
        <x:v>1</x:v>
      </x:c>
      <x:c r="R1671" s="9" t="n">
        <x:f>H1671*Z1670*v01_WomenShare*v01_BaseFertility*INDEX(v01_FertMult,G1671)*Arch_Fertility*(1-P1671)</x:f>
        <x:v>0</x:v>
      </x:c>
      <x:c r="S1671" s="9" t="n">
        <x:f>H1671*Y1670*INDEX(v01_MortChild,G1671)/4*Q1671</x:f>
        <x:v>0</x:v>
      </x:c>
      <x:c r="T1671" s="9" t="n">
        <x:f>H1671*Z1670*INDEX(v01_MortAdult,G1671)*Arch_AdultMort/4*Q1671</x:f>
        <x:v>0</x:v>
      </x:c>
      <x:c r="U1671" s="9" t="n">
        <x:f>H1671*AA1670*INDEX(v01_MortElder,G1671)/4*Q1671</x:f>
        <x:v>0</x:v>
      </x:c>
      <x:c r="V1671" s="9" t="n">
        <x:f>H1671*MAX(0,AB1670-O1671)*v01_OvercapLoss</x:f>
        <x:v>0</x:v>
      </x:c>
      <x:c r="W1671" s="9" t="n">
        <x:f>H1671*Y1670/(v01_ChildYears*4)</x:f>
        <x:v>0</x:v>
      </x:c>
      <x:c r="X1671" s="9" t="n">
        <x:f>H1671*Z1670/(v01_AdultYears*4)</x:f>
        <x:v>0</x:v>
      </x:c>
      <x:c r="Y1671" s="32" t="n">
        <x:f>Y1670+R1671-S1671-W1671-Y1670*V1671/AB1670</x:f>
        <x:v>14306.18539759397</x:v>
      </x:c>
      <x:c r="Z1671" s="32" t="n">
        <x:f>Z1670+W1671-X1671-T1671-Z1670*V1671/AB1670</x:f>
        <x:v>19354.456567879548</x:v>
      </x:c>
      <x:c r="AA1671" s="32" t="n">
        <x:f>AA1670+X1671-U1671-AA1670*V1671/AB1670</x:f>
        <x:v>11386.956063258198</x:v>
      </x:c>
      <x:c r="AB1671" s="10" t="n">
        <x:f>Y1671+Z1671+AA1671</x:f>
        <x:v>45047.59802873172</x:v>
      </x:c>
      <x:c r="AC1671" s="8" t="n">
        <x:f>IF(AND(v01_WinterTrigger=1,D1671=1,AB1670/AE1670&gt;=K1671),1,0)</x:f>
        <x:v>0</x:v>
      </x:c>
      <x:c r="AD1671" s="8" t="n">
        <x:f>H1671*IF(AND(OR(AB1670/AE1670&gt;=v01_FissionTrigger*N1671,AC1671=1),AB1670/AE1670*v01_DaughterShare&gt;=v01_MinDaughter),MAX(1,ROUND(AE1670*v01_FissionRate,0)),0)</x:f>
        <x:v>0</x:v>
      </x:c>
      <x:c r="AE1671" s="8" t="n">
        <x:f>IF(H1671=1,MAX(1,MIN(INDEX(v01_Smax,G1671),AE1670+AD1671)),AE1670)</x:f>
        <x:v>15</x:v>
      </x:c>
      <x:c r="AF1671" s="8" t="n">
        <x:f>MAX(0,AE1671-AE1670)</x:f>
        <x:v>0</x:v>
      </x:c>
      <x:c r="AG1671" s="9" t="str">
        <x:f>IF(AF1671&gt;0,B1671,"")</x:f>
      </x:c>
      <x:c r="AH1671" s="9" t="n">
        <x:f>IF(F1671&gt;=1,1,(1+v01_LowTiesShare*(AE1671-1))/AE1671)</x:f>
        <x:v>1</x:v>
      </x:c>
      <x:c r="AI1671" s="32" t="n">
        <x:f>(Z1671+v01_ElderCommons*INDEX(LM_Elder,G1671)*AA1671)*AH1671</x:f>
        <x:v>64139.732591141874</x:v>
      </x:c>
      <x:c r="AJ1671" s="32" t="n">
        <x:f>H1671*v01_CommonsCoef*AI1671^v01_CommonsExp*INDEX(LM_Commons,G1671)</x:f>
        <x:v>0</x:v>
      </x:c>
      <x:c r="AK1671" s="32" t="n">
        <x:f>H1671*v01_RoleScale*Arch_Roles*(AE1671*(INDEX(v01_ElderRolePerSett,G1671)*v01_OutElder*INDEX(LM_Elder,G1671)+INDEX(v01_ShamanPerSett,G1671)*v01_OutShaman)+Z1671*(INDEX(v01_PriestShare,G1671)*v01_OutPriest+INDEX(v01_ScribeShare,G1671)*v01_OutScribe*INDEX(LM_Scribe,G1671)+INDEX(v01_ScholarShare,G1671)*v01_OutScholar*INDEX(LM_Scholar,G1671)+INDEX(v01_ResearcherShare,G1671)*v01_OutResearcher*INDEX(LM_Researcher,G1671)))</x:f>
        <x:v>0</x:v>
      </x:c>
      <x:c r="AL1671" s="32" t="n">
        <x:f>H1671*v01_RoleScale*Arch_Roles*AE1671*INDEX(v01_MonasteryPerSett,G1671)*v01_OutMonastery*INDEX(LM_Monastery,G1671)</x:f>
        <x:v>0</x:v>
      </x:c>
      <x:c r="AM1671" s="32" t="n">
        <x:f>(AJ1671+AK1671+AL1671)/4*INDEX(LM_All,G1671)*INDEX(v01_Boon,G1671)*Arch_Insight</x:f>
        <x:v>0</x:v>
      </x:c>
      <x:c r="AN1671" s="32" t="n">
        <x:f>H1671*(v01_KHPerAdult*Z1671+v01_KHOfCommons*AJ1671/4*INDEX(LM_All,G1671))*v01_KHUsable*Arch_KH</x:f>
        <x:v>0</x:v>
      </x:c>
      <x:c r="AO1671" s="32" t="n">
        <x:f>MIN(AP1670+AN1671,AM1671*v01_KHMaxRatio)</x:f>
        <x:v>0</x:v>
      </x:c>
      <x:c r="AP1671" s="32" t="n">
        <x:f>AP1670+AN1671-AO1671</x:f>
        <x:v>0</x:v>
      </x:c>
      <x:c r="AQ1671" s="32" t="n">
        <x:f>AM1671+AO1671</x:f>
        <x:v>0</x:v>
      </x:c>
      <x:c r="AR1671" s="10" t="n">
        <x:f>IF(H1671=1,INDEX(v01_Req,G1671),0)</x:f>
        <x:v>0</x:v>
      </x:c>
      <x:c r="AS1671" s="32" t="n">
        <x:f>IF(H1671=1,IF(E1671=1,AS1670-AR1670,AS1670)+AQ1671,0)</x:f>
        <x:v>0</x:v>
      </x:c>
      <x:c r="AT1671" s="11" t="n">
        <x:f>IF(AR1671&gt;0,MIN(1,AS1671/AR1671),1)</x:f>
        <x:v>1</x:v>
      </x:c>
      <x:c r="AU1671" s="10" t="n">
        <x:f>AB1671/INDEX(v01_RepScale,G1671)</x:f>
        <x:v>90.09519605746344</x:v>
      </x:c>
      <x:c r="AV1671" s="32" t="n">
        <x:f>AM1671*60/v01_SeasonSeconds</x:f>
        <x:v>0</x:v>
      </x:c>
    </x:row>
    <x:row r="1672">
      <x:c r="A1672" s="8" t="n">
        <x:f>A1671+1</x:f>
        <x:v>1669</x:v>
      </x:c>
      <x:c r="B1672" s="9" t="n">
        <x:f>A1672*v01_SeasonSeconds/60</x:f>
        <x:v>417.25</x:v>
      </x:c>
      <x:c r="C1672" s="9" t="n">
        <x:f>A1672/4</x:f>
        <x:v>417.25</x:v>
      </x:c>
      <x:c r="D1672" s="8" t="n">
        <x:f>IF(MOD(A1672,4)=0,1,0)</x:f>
        <x:v>0</x:v>
      </x:c>
      <x:c r="E1672" s="8" t="n">
        <x:f>IF(AND(F1671&lt;=9,AS1671&gt;=AR1671),1,0)</x:f>
        <x:v>0</x:v>
      </x:c>
      <x:c r="F1672" s="8" t="n">
        <x:f>MIN(10,F1671+E1672)</x:f>
        <x:v>10</x:v>
      </x:c>
      <x:c r="G1672" s="8" t="n">
        <x:f>MIN(F1672,9)+1</x:f>
        <x:v>10</x:v>
      </x:c>
      <x:c r="H1672" s="8" t="n">
        <x:f>IF(F1672&lt;=9,1,0)</x:f>
        <x:v>0</x:v>
      </x:c>
      <x:c r="I1672" s="9" t="n">
        <x:f>MIN(10,F1671+IF(AR1671&gt;0,MIN(1,AS1671/AR1671),1))</x:f>
        <x:v>10</x:v>
      </x:c>
      <x:c r="J1672" s="32" t="n">
        <x:f>INDEX(v01_FoodCap,G1672)*Arch_FoodCap*EXP(v01_CapsByProject*SUMPRODUCT((Cap_Point&lt;=I1672)*(Cap_Kind="Food")*Cap_Ln))</x:f>
        <x:v>12000</x:v>
      </x:c>
      <x:c r="K1672" s="32" t="n">
        <x:f>J1672*MIN(1,v01_LeanBase*EXP(v01_CapsByProject*SUMPRODUCT((Cap_Point&lt;=I1672)*(Cap_Kind="Lean")*Cap_Ln)))</x:f>
        <x:v>12000</x:v>
      </x:c>
      <x:c r="L1672" s="10" t="n">
        <x:f>INDEX(v01_HousingCap,G1672)*EXP(v01_CapsByProject*SUMPRODUCT((Cap_Point&lt;=I1672)*(Cap_Kind="Housing")*Cap_Ln))</x:f>
        <x:v>20000</x:v>
      </x:c>
      <x:c r="M1672" s="10" t="n">
        <x:f>INDEX(v01_GroupCap,G1672)*v01_CohesionFactor*EXP(v01_CapsByProject*SUMPRODUCT((Cap_Point&lt;=I1672)*(Cap_Kind="Group")*Cap_Ln))</x:f>
        <x:v>1000000</x:v>
      </x:c>
      <x:c r="N1672" s="32" t="n">
        <x:f>MIN(J1672,L1672,M1672)</x:f>
        <x:v>12000</x:v>
      </x:c>
      <x:c r="O1672" s="10" t="n">
        <x:f>AE1671*N1672</x:f>
        <x:v>180000</x:v>
      </x:c>
      <x:c r="P1672" s="9" t="n">
        <x:f>MIN(1,(AB1671/(AE1671*IF(v01_GroupInCrowding=1,N1672,MIN(J1672,L1672))))^v01_CrowdingExp)</x:f>
        <x:v>0.00024569414295285325</x:v>
      </x:c>
      <x:c r="Q1672" s="9" t="n">
        <x:f>IF(D1672=1,INDEX(v01_WinterMult,G1672),1)</x:f>
        <x:v>1</x:v>
      </x:c>
      <x:c r="R1672" s="9" t="n">
        <x:f>H1672*Z1671*v01_WomenShare*v01_BaseFertility*INDEX(v01_FertMult,G1672)*Arch_Fertility*(1-P1672)</x:f>
        <x:v>0</x:v>
      </x:c>
      <x:c r="S1672" s="9" t="n">
        <x:f>H1672*Y1671*INDEX(v01_MortChild,G1672)/4*Q1672</x:f>
        <x:v>0</x:v>
      </x:c>
      <x:c r="T1672" s="9" t="n">
        <x:f>H1672*Z1671*INDEX(v01_MortAdult,G1672)*Arch_AdultMort/4*Q1672</x:f>
        <x:v>0</x:v>
      </x:c>
      <x:c r="U1672" s="9" t="n">
        <x:f>H1672*AA1671*INDEX(v01_MortElder,G1672)/4*Q1672</x:f>
        <x:v>0</x:v>
      </x:c>
      <x:c r="V1672" s="9" t="n">
        <x:f>H1672*MAX(0,AB1671-O1672)*v01_OvercapLoss</x:f>
        <x:v>0</x:v>
      </x:c>
      <x:c r="W1672" s="9" t="n">
        <x:f>H1672*Y1671/(v01_ChildYears*4)</x:f>
        <x:v>0</x:v>
      </x:c>
      <x:c r="X1672" s="9" t="n">
        <x:f>H1672*Z1671/(v01_AdultYears*4)</x:f>
        <x:v>0</x:v>
      </x:c>
      <x:c r="Y1672" s="32" t="n">
        <x:f>Y1671+R1672-S1672-W1672-Y1671*V1672/AB1671</x:f>
        <x:v>14306.18539759397</x:v>
      </x:c>
      <x:c r="Z1672" s="32" t="n">
        <x:f>Z1671+W1672-X1672-T1672-Z1671*V1672/AB1671</x:f>
        <x:v>19354.456567879548</x:v>
      </x:c>
      <x:c r="AA1672" s="32" t="n">
        <x:f>AA1671+X1672-U1672-AA1671*V1672/AB1671</x:f>
        <x:v>11386.956063258198</x:v>
      </x:c>
      <x:c r="AB1672" s="10" t="n">
        <x:f>Y1672+Z1672+AA1672</x:f>
        <x:v>45047.59802873172</x:v>
      </x:c>
      <x:c r="AC1672" s="8" t="n">
        <x:f>IF(AND(v01_WinterTrigger=1,D1672=1,AB1671/AE1671&gt;=K1672),1,0)</x:f>
        <x:v>0</x:v>
      </x:c>
      <x:c r="AD1672" s="8" t="n">
        <x:f>H1672*IF(AND(OR(AB1671/AE1671&gt;=v01_FissionTrigger*N1672,AC1672=1),AB1671/AE1671*v01_DaughterShare&gt;=v01_MinDaughter),MAX(1,ROUND(AE1671*v01_FissionRate,0)),0)</x:f>
        <x:v>0</x:v>
      </x:c>
      <x:c r="AE1672" s="8" t="n">
        <x:f>IF(H1672=1,MAX(1,MIN(INDEX(v01_Smax,G1672),AE1671+AD1672)),AE1671)</x:f>
        <x:v>15</x:v>
      </x:c>
      <x:c r="AF1672" s="8" t="n">
        <x:f>MAX(0,AE1672-AE1671)</x:f>
        <x:v>0</x:v>
      </x:c>
      <x:c r="AG1672" s="9" t="str">
        <x:f>IF(AF1672&gt;0,B1672,"")</x:f>
      </x:c>
      <x:c r="AH1672" s="9" t="n">
        <x:f>IF(F1672&gt;=1,1,(1+v01_LowTiesShare*(AE1672-1))/AE1672)</x:f>
        <x:v>1</x:v>
      </x:c>
      <x:c r="AI1672" s="32" t="n">
        <x:f>(Z1672+v01_ElderCommons*INDEX(LM_Elder,G1672)*AA1672)*AH1672</x:f>
        <x:v>64139.732591141874</x:v>
      </x:c>
      <x:c r="AJ1672" s="32" t="n">
        <x:f>H1672*v01_CommonsCoef*AI1672^v01_CommonsExp*INDEX(LM_Commons,G1672)</x:f>
        <x:v>0</x:v>
      </x:c>
      <x:c r="AK1672" s="32" t="n">
        <x:f>H1672*v01_RoleScale*Arch_Roles*(AE1672*(INDEX(v01_ElderRolePerSett,G1672)*v01_OutElder*INDEX(LM_Elder,G1672)+INDEX(v01_ShamanPerSett,G1672)*v01_OutShaman)+Z1672*(INDEX(v01_PriestShare,G1672)*v01_OutPriest+INDEX(v01_ScribeShare,G1672)*v01_OutScribe*INDEX(LM_Scribe,G1672)+INDEX(v01_ScholarShare,G1672)*v01_OutScholar*INDEX(LM_Scholar,G1672)+INDEX(v01_ResearcherShare,G1672)*v01_OutResearcher*INDEX(LM_Researcher,G1672)))</x:f>
        <x:v>0</x:v>
      </x:c>
      <x:c r="AL1672" s="32" t="n">
        <x:f>H1672*v01_RoleScale*Arch_Roles*AE1672*INDEX(v01_MonasteryPerSett,G1672)*v01_OutMonastery*INDEX(LM_Monastery,G1672)</x:f>
        <x:v>0</x:v>
      </x:c>
      <x:c r="AM1672" s="32" t="n">
        <x:f>(AJ1672+AK1672+AL1672)/4*INDEX(LM_All,G1672)*INDEX(v01_Boon,G1672)*Arch_Insight</x:f>
        <x:v>0</x:v>
      </x:c>
      <x:c r="AN1672" s="32" t="n">
        <x:f>H1672*(v01_KHPerAdult*Z1672+v01_KHOfCommons*AJ1672/4*INDEX(LM_All,G1672))*v01_KHUsable*Arch_KH</x:f>
        <x:v>0</x:v>
      </x:c>
      <x:c r="AO1672" s="32" t="n">
        <x:f>MIN(AP1671+AN1672,AM1672*v01_KHMaxRatio)</x:f>
        <x:v>0</x:v>
      </x:c>
      <x:c r="AP1672" s="32" t="n">
        <x:f>AP1671+AN1672-AO1672</x:f>
        <x:v>0</x:v>
      </x:c>
      <x:c r="AQ1672" s="32" t="n">
        <x:f>AM1672+AO1672</x:f>
        <x:v>0</x:v>
      </x:c>
      <x:c r="AR1672" s="10" t="n">
        <x:f>IF(H1672=1,INDEX(v01_Req,G1672),0)</x:f>
        <x:v>0</x:v>
      </x:c>
      <x:c r="AS1672" s="32" t="n">
        <x:f>IF(H1672=1,IF(E1672=1,AS1671-AR1671,AS1671)+AQ1672,0)</x:f>
        <x:v>0</x:v>
      </x:c>
      <x:c r="AT1672" s="11" t="n">
        <x:f>IF(AR1672&gt;0,MIN(1,AS1672/AR1672),1)</x:f>
        <x:v>1</x:v>
      </x:c>
      <x:c r="AU1672" s="10" t="n">
        <x:f>AB1672/INDEX(v01_RepScale,G1672)</x:f>
        <x:v>90.09519605746344</x:v>
      </x:c>
      <x:c r="AV1672" s="32" t="n">
        <x:f>AM1672*60/v01_SeasonSeconds</x:f>
        <x:v>0</x:v>
      </x:c>
    </x:row>
    <x:row r="1673">
      <x:c r="A1673" s="8" t="n">
        <x:f>A1672+1</x:f>
        <x:v>1670</x:v>
      </x:c>
      <x:c r="B1673" s="9" t="n">
        <x:f>A1673*v01_SeasonSeconds/60</x:f>
        <x:v>417.5</x:v>
      </x:c>
      <x:c r="C1673" s="9" t="n">
        <x:f>A1673/4</x:f>
        <x:v>417.5</x:v>
      </x:c>
      <x:c r="D1673" s="8" t="n">
        <x:f>IF(MOD(A1673,4)=0,1,0)</x:f>
        <x:v>0</x:v>
      </x:c>
      <x:c r="E1673" s="8" t="n">
        <x:f>IF(AND(F1672&lt;=9,AS1672&gt;=AR1672),1,0)</x:f>
        <x:v>0</x:v>
      </x:c>
      <x:c r="F1673" s="8" t="n">
        <x:f>MIN(10,F1672+E1673)</x:f>
        <x:v>10</x:v>
      </x:c>
      <x:c r="G1673" s="8" t="n">
        <x:f>MIN(F1673,9)+1</x:f>
        <x:v>10</x:v>
      </x:c>
      <x:c r="H1673" s="8" t="n">
        <x:f>IF(F1673&lt;=9,1,0)</x:f>
        <x:v>0</x:v>
      </x:c>
      <x:c r="I1673" s="9" t="n">
        <x:f>MIN(10,F1672+IF(AR1672&gt;0,MIN(1,AS1672/AR1672),1))</x:f>
        <x:v>10</x:v>
      </x:c>
      <x:c r="J1673" s="32" t="n">
        <x:f>INDEX(v01_FoodCap,G1673)*Arch_FoodCap*EXP(v01_CapsByProject*SUMPRODUCT((Cap_Point&lt;=I1673)*(Cap_Kind="Food")*Cap_Ln))</x:f>
        <x:v>12000</x:v>
      </x:c>
      <x:c r="K1673" s="32" t="n">
        <x:f>J1673*MIN(1,v01_LeanBase*EXP(v01_CapsByProject*SUMPRODUCT((Cap_Point&lt;=I1673)*(Cap_Kind="Lean")*Cap_Ln)))</x:f>
        <x:v>12000</x:v>
      </x:c>
      <x:c r="L1673" s="10" t="n">
        <x:f>INDEX(v01_HousingCap,G1673)*EXP(v01_CapsByProject*SUMPRODUCT((Cap_Point&lt;=I1673)*(Cap_Kind="Housing")*Cap_Ln))</x:f>
        <x:v>20000</x:v>
      </x:c>
      <x:c r="M1673" s="10" t="n">
        <x:f>INDEX(v01_GroupCap,G1673)*v01_CohesionFactor*EXP(v01_CapsByProject*SUMPRODUCT((Cap_Point&lt;=I1673)*(Cap_Kind="Group")*Cap_Ln))</x:f>
        <x:v>1000000</x:v>
      </x:c>
      <x:c r="N1673" s="32" t="n">
        <x:f>MIN(J1673,L1673,M1673)</x:f>
        <x:v>12000</x:v>
      </x:c>
      <x:c r="O1673" s="10" t="n">
        <x:f>AE1672*N1673</x:f>
        <x:v>180000</x:v>
      </x:c>
      <x:c r="P1673" s="9" t="n">
        <x:f>MIN(1,(AB1672/(AE1672*IF(v01_GroupInCrowding=1,N1673,MIN(J1673,L1673))))^v01_CrowdingExp)</x:f>
        <x:v>0.00024569414295285325</x:v>
      </x:c>
      <x:c r="Q1673" s="9" t="n">
        <x:f>IF(D1673=1,INDEX(v01_WinterMult,G1673),1)</x:f>
        <x:v>1</x:v>
      </x:c>
      <x:c r="R1673" s="9" t="n">
        <x:f>H1673*Z1672*v01_WomenShare*v01_BaseFertility*INDEX(v01_FertMult,G1673)*Arch_Fertility*(1-P1673)</x:f>
        <x:v>0</x:v>
      </x:c>
      <x:c r="S1673" s="9" t="n">
        <x:f>H1673*Y1672*INDEX(v01_MortChild,G1673)/4*Q1673</x:f>
        <x:v>0</x:v>
      </x:c>
      <x:c r="T1673" s="9" t="n">
        <x:f>H1673*Z1672*INDEX(v01_MortAdult,G1673)*Arch_AdultMort/4*Q1673</x:f>
        <x:v>0</x:v>
      </x:c>
      <x:c r="U1673" s="9" t="n">
        <x:f>H1673*AA1672*INDEX(v01_MortElder,G1673)/4*Q1673</x:f>
        <x:v>0</x:v>
      </x:c>
      <x:c r="V1673" s="9" t="n">
        <x:f>H1673*MAX(0,AB1672-O1673)*v01_OvercapLoss</x:f>
        <x:v>0</x:v>
      </x:c>
      <x:c r="W1673" s="9" t="n">
        <x:f>H1673*Y1672/(v01_ChildYears*4)</x:f>
        <x:v>0</x:v>
      </x:c>
      <x:c r="X1673" s="9" t="n">
        <x:f>H1673*Z1672/(v01_AdultYears*4)</x:f>
        <x:v>0</x:v>
      </x:c>
      <x:c r="Y1673" s="32" t="n">
        <x:f>Y1672+R1673-S1673-W1673-Y1672*V1673/AB1672</x:f>
        <x:v>14306.18539759397</x:v>
      </x:c>
      <x:c r="Z1673" s="32" t="n">
        <x:f>Z1672+W1673-X1673-T1673-Z1672*V1673/AB1672</x:f>
        <x:v>19354.456567879548</x:v>
      </x:c>
      <x:c r="AA1673" s="32" t="n">
        <x:f>AA1672+X1673-U1673-AA1672*V1673/AB1672</x:f>
        <x:v>11386.956063258198</x:v>
      </x:c>
      <x:c r="AB1673" s="10" t="n">
        <x:f>Y1673+Z1673+AA1673</x:f>
        <x:v>45047.59802873172</x:v>
      </x:c>
      <x:c r="AC1673" s="8" t="n">
        <x:f>IF(AND(v01_WinterTrigger=1,D1673=1,AB1672/AE1672&gt;=K1673),1,0)</x:f>
        <x:v>0</x:v>
      </x:c>
      <x:c r="AD1673" s="8" t="n">
        <x:f>H1673*IF(AND(OR(AB1672/AE1672&gt;=v01_FissionTrigger*N1673,AC1673=1),AB1672/AE1672*v01_DaughterShare&gt;=v01_MinDaughter),MAX(1,ROUND(AE1672*v01_FissionRate,0)),0)</x:f>
        <x:v>0</x:v>
      </x:c>
      <x:c r="AE1673" s="8" t="n">
        <x:f>IF(H1673=1,MAX(1,MIN(INDEX(v01_Smax,G1673),AE1672+AD1673)),AE1672)</x:f>
        <x:v>15</x:v>
      </x:c>
      <x:c r="AF1673" s="8" t="n">
        <x:f>MAX(0,AE1673-AE1672)</x:f>
        <x:v>0</x:v>
      </x:c>
      <x:c r="AG1673" s="9" t="str">
        <x:f>IF(AF1673&gt;0,B1673,"")</x:f>
      </x:c>
      <x:c r="AH1673" s="9" t="n">
        <x:f>IF(F1673&gt;=1,1,(1+v01_LowTiesShare*(AE1673-1))/AE1673)</x:f>
        <x:v>1</x:v>
      </x:c>
      <x:c r="AI1673" s="32" t="n">
        <x:f>(Z1673+v01_ElderCommons*INDEX(LM_Elder,G1673)*AA1673)*AH1673</x:f>
        <x:v>64139.732591141874</x:v>
      </x:c>
      <x:c r="AJ1673" s="32" t="n">
        <x:f>H1673*v01_CommonsCoef*AI1673^v01_CommonsExp*INDEX(LM_Commons,G1673)</x:f>
        <x:v>0</x:v>
      </x:c>
      <x:c r="AK1673" s="32" t="n">
        <x:f>H1673*v01_RoleScale*Arch_Roles*(AE1673*(INDEX(v01_ElderRolePerSett,G1673)*v01_OutElder*INDEX(LM_Elder,G1673)+INDEX(v01_ShamanPerSett,G1673)*v01_OutShaman)+Z1673*(INDEX(v01_PriestShare,G1673)*v01_OutPriest+INDEX(v01_ScribeShare,G1673)*v01_OutScribe*INDEX(LM_Scribe,G1673)+INDEX(v01_ScholarShare,G1673)*v01_OutScholar*INDEX(LM_Scholar,G1673)+INDEX(v01_ResearcherShare,G1673)*v01_OutResearcher*INDEX(LM_Researcher,G1673)))</x:f>
        <x:v>0</x:v>
      </x:c>
      <x:c r="AL1673" s="32" t="n">
        <x:f>H1673*v01_RoleScale*Arch_Roles*AE1673*INDEX(v01_MonasteryPerSett,G1673)*v01_OutMonastery*INDEX(LM_Monastery,G1673)</x:f>
        <x:v>0</x:v>
      </x:c>
      <x:c r="AM1673" s="32" t="n">
        <x:f>(AJ1673+AK1673+AL1673)/4*INDEX(LM_All,G1673)*INDEX(v01_Boon,G1673)*Arch_Insight</x:f>
        <x:v>0</x:v>
      </x:c>
      <x:c r="AN1673" s="32" t="n">
        <x:f>H1673*(v01_KHPerAdult*Z1673+v01_KHOfCommons*AJ1673/4*INDEX(LM_All,G1673))*v01_KHUsable*Arch_KH</x:f>
        <x:v>0</x:v>
      </x:c>
      <x:c r="AO1673" s="32" t="n">
        <x:f>MIN(AP1672+AN1673,AM1673*v01_KHMaxRatio)</x:f>
        <x:v>0</x:v>
      </x:c>
      <x:c r="AP1673" s="32" t="n">
        <x:f>AP1672+AN1673-AO1673</x:f>
        <x:v>0</x:v>
      </x:c>
      <x:c r="AQ1673" s="32" t="n">
        <x:f>AM1673+AO1673</x:f>
        <x:v>0</x:v>
      </x:c>
      <x:c r="AR1673" s="10" t="n">
        <x:f>IF(H1673=1,INDEX(v01_Req,G1673),0)</x:f>
        <x:v>0</x:v>
      </x:c>
      <x:c r="AS1673" s="32" t="n">
        <x:f>IF(H1673=1,IF(E1673=1,AS1672-AR1672,AS1672)+AQ1673,0)</x:f>
        <x:v>0</x:v>
      </x:c>
      <x:c r="AT1673" s="11" t="n">
        <x:f>IF(AR1673&gt;0,MIN(1,AS1673/AR1673),1)</x:f>
        <x:v>1</x:v>
      </x:c>
      <x:c r="AU1673" s="10" t="n">
        <x:f>AB1673/INDEX(v01_RepScale,G1673)</x:f>
        <x:v>90.09519605746344</x:v>
      </x:c>
      <x:c r="AV1673" s="32" t="n">
        <x:f>AM1673*60/v01_SeasonSeconds</x:f>
        <x:v>0</x:v>
      </x:c>
    </x:row>
    <x:row r="1674">
      <x:c r="A1674" s="8" t="n">
        <x:f>A1673+1</x:f>
        <x:v>1671</x:v>
      </x:c>
      <x:c r="B1674" s="9" t="n">
        <x:f>A1674*v01_SeasonSeconds/60</x:f>
        <x:v>417.75</x:v>
      </x:c>
      <x:c r="C1674" s="9" t="n">
        <x:f>A1674/4</x:f>
        <x:v>417.75</x:v>
      </x:c>
      <x:c r="D1674" s="8" t="n">
        <x:f>IF(MOD(A1674,4)=0,1,0)</x:f>
        <x:v>0</x:v>
      </x:c>
      <x:c r="E1674" s="8" t="n">
        <x:f>IF(AND(F1673&lt;=9,AS1673&gt;=AR1673),1,0)</x:f>
        <x:v>0</x:v>
      </x:c>
      <x:c r="F1674" s="8" t="n">
        <x:f>MIN(10,F1673+E1674)</x:f>
        <x:v>10</x:v>
      </x:c>
      <x:c r="G1674" s="8" t="n">
        <x:f>MIN(F1674,9)+1</x:f>
        <x:v>10</x:v>
      </x:c>
      <x:c r="H1674" s="8" t="n">
        <x:f>IF(F1674&lt;=9,1,0)</x:f>
        <x:v>0</x:v>
      </x:c>
      <x:c r="I1674" s="9" t="n">
        <x:f>MIN(10,F1673+IF(AR1673&gt;0,MIN(1,AS1673/AR1673),1))</x:f>
        <x:v>10</x:v>
      </x:c>
      <x:c r="J1674" s="32" t="n">
        <x:f>INDEX(v01_FoodCap,G1674)*Arch_FoodCap*EXP(v01_CapsByProject*SUMPRODUCT((Cap_Point&lt;=I1674)*(Cap_Kind="Food")*Cap_Ln))</x:f>
        <x:v>12000</x:v>
      </x:c>
      <x:c r="K1674" s="32" t="n">
        <x:f>J1674*MIN(1,v01_LeanBase*EXP(v01_CapsByProject*SUMPRODUCT((Cap_Point&lt;=I1674)*(Cap_Kind="Lean")*Cap_Ln)))</x:f>
        <x:v>12000</x:v>
      </x:c>
      <x:c r="L1674" s="10" t="n">
        <x:f>INDEX(v01_HousingCap,G1674)*EXP(v01_CapsByProject*SUMPRODUCT((Cap_Point&lt;=I1674)*(Cap_Kind="Housing")*Cap_Ln))</x:f>
        <x:v>20000</x:v>
      </x:c>
      <x:c r="M1674" s="10" t="n">
        <x:f>INDEX(v01_GroupCap,G1674)*v01_CohesionFactor*EXP(v01_CapsByProject*SUMPRODUCT((Cap_Point&lt;=I1674)*(Cap_Kind="Group")*Cap_Ln))</x:f>
        <x:v>1000000</x:v>
      </x:c>
      <x:c r="N1674" s="32" t="n">
        <x:f>MIN(J1674,L1674,M1674)</x:f>
        <x:v>12000</x:v>
      </x:c>
      <x:c r="O1674" s="10" t="n">
        <x:f>AE1673*N1674</x:f>
        <x:v>180000</x:v>
      </x:c>
      <x:c r="P1674" s="9" t="n">
        <x:f>MIN(1,(AB1673/(AE1673*IF(v01_GroupInCrowding=1,N1674,MIN(J1674,L1674))))^v01_CrowdingExp)</x:f>
        <x:v>0.00024569414295285325</x:v>
      </x:c>
      <x:c r="Q1674" s="9" t="n">
        <x:f>IF(D1674=1,INDEX(v01_WinterMult,G1674),1)</x:f>
        <x:v>1</x:v>
      </x:c>
      <x:c r="R1674" s="9" t="n">
        <x:f>H1674*Z1673*v01_WomenShare*v01_BaseFertility*INDEX(v01_FertMult,G1674)*Arch_Fertility*(1-P1674)</x:f>
        <x:v>0</x:v>
      </x:c>
      <x:c r="S1674" s="9" t="n">
        <x:f>H1674*Y1673*INDEX(v01_MortChild,G1674)/4*Q1674</x:f>
        <x:v>0</x:v>
      </x:c>
      <x:c r="T1674" s="9" t="n">
        <x:f>H1674*Z1673*INDEX(v01_MortAdult,G1674)*Arch_AdultMort/4*Q1674</x:f>
        <x:v>0</x:v>
      </x:c>
      <x:c r="U1674" s="9" t="n">
        <x:f>H1674*AA1673*INDEX(v01_MortElder,G1674)/4*Q1674</x:f>
        <x:v>0</x:v>
      </x:c>
      <x:c r="V1674" s="9" t="n">
        <x:f>H1674*MAX(0,AB1673-O1674)*v01_OvercapLoss</x:f>
        <x:v>0</x:v>
      </x:c>
      <x:c r="W1674" s="9" t="n">
        <x:f>H1674*Y1673/(v01_ChildYears*4)</x:f>
        <x:v>0</x:v>
      </x:c>
      <x:c r="X1674" s="9" t="n">
        <x:f>H1674*Z1673/(v01_AdultYears*4)</x:f>
        <x:v>0</x:v>
      </x:c>
      <x:c r="Y1674" s="32" t="n">
        <x:f>Y1673+R1674-S1674-W1674-Y1673*V1674/AB1673</x:f>
        <x:v>14306.18539759397</x:v>
      </x:c>
      <x:c r="Z1674" s="32" t="n">
        <x:f>Z1673+W1674-X1674-T1674-Z1673*V1674/AB1673</x:f>
        <x:v>19354.456567879548</x:v>
      </x:c>
      <x:c r="AA1674" s="32" t="n">
        <x:f>AA1673+X1674-U1674-AA1673*V1674/AB1673</x:f>
        <x:v>11386.956063258198</x:v>
      </x:c>
      <x:c r="AB1674" s="10" t="n">
        <x:f>Y1674+Z1674+AA1674</x:f>
        <x:v>45047.59802873172</x:v>
      </x:c>
      <x:c r="AC1674" s="8" t="n">
        <x:f>IF(AND(v01_WinterTrigger=1,D1674=1,AB1673/AE1673&gt;=K1674),1,0)</x:f>
        <x:v>0</x:v>
      </x:c>
      <x:c r="AD1674" s="8" t="n">
        <x:f>H1674*IF(AND(OR(AB1673/AE1673&gt;=v01_FissionTrigger*N1674,AC1674=1),AB1673/AE1673*v01_DaughterShare&gt;=v01_MinDaughter),MAX(1,ROUND(AE1673*v01_FissionRate,0)),0)</x:f>
        <x:v>0</x:v>
      </x:c>
      <x:c r="AE1674" s="8" t="n">
        <x:f>IF(H1674=1,MAX(1,MIN(INDEX(v01_Smax,G1674),AE1673+AD1674)),AE1673)</x:f>
        <x:v>15</x:v>
      </x:c>
      <x:c r="AF1674" s="8" t="n">
        <x:f>MAX(0,AE1674-AE1673)</x:f>
        <x:v>0</x:v>
      </x:c>
      <x:c r="AG1674" s="9" t="str">
        <x:f>IF(AF1674&gt;0,B1674,"")</x:f>
      </x:c>
      <x:c r="AH1674" s="9" t="n">
        <x:f>IF(F1674&gt;=1,1,(1+v01_LowTiesShare*(AE1674-1))/AE1674)</x:f>
        <x:v>1</x:v>
      </x:c>
      <x:c r="AI1674" s="32" t="n">
        <x:f>(Z1674+v01_ElderCommons*INDEX(LM_Elder,G1674)*AA1674)*AH1674</x:f>
        <x:v>64139.732591141874</x:v>
      </x:c>
      <x:c r="AJ1674" s="32" t="n">
        <x:f>H1674*v01_CommonsCoef*AI1674^v01_CommonsExp*INDEX(LM_Commons,G1674)</x:f>
        <x:v>0</x:v>
      </x:c>
      <x:c r="AK1674" s="32" t="n">
        <x:f>H1674*v01_RoleScale*Arch_Roles*(AE1674*(INDEX(v01_ElderRolePerSett,G1674)*v01_OutElder*INDEX(LM_Elder,G1674)+INDEX(v01_ShamanPerSett,G1674)*v01_OutShaman)+Z1674*(INDEX(v01_PriestShare,G1674)*v01_OutPriest+INDEX(v01_ScribeShare,G1674)*v01_OutScribe*INDEX(LM_Scribe,G1674)+INDEX(v01_ScholarShare,G1674)*v01_OutScholar*INDEX(LM_Scholar,G1674)+INDEX(v01_ResearcherShare,G1674)*v01_OutResearcher*INDEX(LM_Researcher,G1674)))</x:f>
        <x:v>0</x:v>
      </x:c>
      <x:c r="AL1674" s="32" t="n">
        <x:f>H1674*v01_RoleScale*Arch_Roles*AE1674*INDEX(v01_MonasteryPerSett,G1674)*v01_OutMonastery*INDEX(LM_Monastery,G1674)</x:f>
        <x:v>0</x:v>
      </x:c>
      <x:c r="AM1674" s="32" t="n">
        <x:f>(AJ1674+AK1674+AL1674)/4*INDEX(LM_All,G1674)*INDEX(v01_Boon,G1674)*Arch_Insight</x:f>
        <x:v>0</x:v>
      </x:c>
      <x:c r="AN1674" s="32" t="n">
        <x:f>H1674*(v01_KHPerAdult*Z1674+v01_KHOfCommons*AJ1674/4*INDEX(LM_All,G1674))*v01_KHUsable*Arch_KH</x:f>
        <x:v>0</x:v>
      </x:c>
      <x:c r="AO1674" s="32" t="n">
        <x:f>MIN(AP1673+AN1674,AM1674*v01_KHMaxRatio)</x:f>
        <x:v>0</x:v>
      </x:c>
      <x:c r="AP1674" s="32" t="n">
        <x:f>AP1673+AN1674-AO1674</x:f>
        <x:v>0</x:v>
      </x:c>
      <x:c r="AQ1674" s="32" t="n">
        <x:f>AM1674+AO1674</x:f>
        <x:v>0</x:v>
      </x:c>
      <x:c r="AR1674" s="10" t="n">
        <x:f>IF(H1674=1,INDEX(v01_Req,G1674),0)</x:f>
        <x:v>0</x:v>
      </x:c>
      <x:c r="AS1674" s="32" t="n">
        <x:f>IF(H1674=1,IF(E1674=1,AS1673-AR1673,AS1673)+AQ1674,0)</x:f>
        <x:v>0</x:v>
      </x:c>
      <x:c r="AT1674" s="11" t="n">
        <x:f>IF(AR1674&gt;0,MIN(1,AS1674/AR1674),1)</x:f>
        <x:v>1</x:v>
      </x:c>
      <x:c r="AU1674" s="10" t="n">
        <x:f>AB1674/INDEX(v01_RepScale,G1674)</x:f>
        <x:v>90.09519605746344</x:v>
      </x:c>
      <x:c r="AV1674" s="32" t="n">
        <x:f>AM1674*60/v01_SeasonSeconds</x:f>
        <x:v>0</x:v>
      </x:c>
    </x:row>
    <x:row r="1675">
      <x:c r="A1675" s="8" t="n">
        <x:f>A1674+1</x:f>
        <x:v>1672</x:v>
      </x:c>
      <x:c r="B1675" s="9" t="n">
        <x:f>A1675*v01_SeasonSeconds/60</x:f>
        <x:v>418</x:v>
      </x:c>
      <x:c r="C1675" s="9" t="n">
        <x:f>A1675/4</x:f>
        <x:v>418</x:v>
      </x:c>
      <x:c r="D1675" s="8" t="n">
        <x:f>IF(MOD(A1675,4)=0,1,0)</x:f>
        <x:v>1</x:v>
      </x:c>
      <x:c r="E1675" s="8" t="n">
        <x:f>IF(AND(F1674&lt;=9,AS1674&gt;=AR1674),1,0)</x:f>
        <x:v>0</x:v>
      </x:c>
      <x:c r="F1675" s="8" t="n">
        <x:f>MIN(10,F1674+E1675)</x:f>
        <x:v>10</x:v>
      </x:c>
      <x:c r="G1675" s="8" t="n">
        <x:f>MIN(F1675,9)+1</x:f>
        <x:v>10</x:v>
      </x:c>
      <x:c r="H1675" s="8" t="n">
        <x:f>IF(F1675&lt;=9,1,0)</x:f>
        <x:v>0</x:v>
      </x:c>
      <x:c r="I1675" s="9" t="n">
        <x:f>MIN(10,F1674+IF(AR1674&gt;0,MIN(1,AS1674/AR1674),1))</x:f>
        <x:v>10</x:v>
      </x:c>
      <x:c r="J1675" s="32" t="n">
        <x:f>INDEX(v01_FoodCap,G1675)*Arch_FoodCap*EXP(v01_CapsByProject*SUMPRODUCT((Cap_Point&lt;=I1675)*(Cap_Kind="Food")*Cap_Ln))</x:f>
        <x:v>12000</x:v>
      </x:c>
      <x:c r="K1675" s="32" t="n">
        <x:f>J1675*MIN(1,v01_LeanBase*EXP(v01_CapsByProject*SUMPRODUCT((Cap_Point&lt;=I1675)*(Cap_Kind="Lean")*Cap_Ln)))</x:f>
        <x:v>12000</x:v>
      </x:c>
      <x:c r="L1675" s="10" t="n">
        <x:f>INDEX(v01_HousingCap,G1675)*EXP(v01_CapsByProject*SUMPRODUCT((Cap_Point&lt;=I1675)*(Cap_Kind="Housing")*Cap_Ln))</x:f>
        <x:v>20000</x:v>
      </x:c>
      <x:c r="M1675" s="10" t="n">
        <x:f>INDEX(v01_GroupCap,G1675)*v01_CohesionFactor*EXP(v01_CapsByProject*SUMPRODUCT((Cap_Point&lt;=I1675)*(Cap_Kind="Group")*Cap_Ln))</x:f>
        <x:v>1000000</x:v>
      </x:c>
      <x:c r="N1675" s="32" t="n">
        <x:f>MIN(J1675,L1675,M1675)</x:f>
        <x:v>12000</x:v>
      </x:c>
      <x:c r="O1675" s="10" t="n">
        <x:f>AE1674*N1675</x:f>
        <x:v>180000</x:v>
      </x:c>
      <x:c r="P1675" s="9" t="n">
        <x:f>MIN(1,(AB1674/(AE1674*IF(v01_GroupInCrowding=1,N1675,MIN(J1675,L1675))))^v01_CrowdingExp)</x:f>
        <x:v>0.00024569414295285325</x:v>
      </x:c>
      <x:c r="Q1675" s="9" t="n">
        <x:f>IF(D1675=1,INDEX(v01_WinterMult,G1675),1)</x:f>
        <x:v>1</x:v>
      </x:c>
      <x:c r="R1675" s="9" t="n">
        <x:f>H1675*Z1674*v01_WomenShare*v01_BaseFertility*INDEX(v01_FertMult,G1675)*Arch_Fertility*(1-P1675)</x:f>
        <x:v>0</x:v>
      </x:c>
      <x:c r="S1675" s="9" t="n">
        <x:f>H1675*Y1674*INDEX(v01_MortChild,G1675)/4*Q1675</x:f>
        <x:v>0</x:v>
      </x:c>
      <x:c r="T1675" s="9" t="n">
        <x:f>H1675*Z1674*INDEX(v01_MortAdult,G1675)*Arch_AdultMort/4*Q1675</x:f>
        <x:v>0</x:v>
      </x:c>
      <x:c r="U1675" s="9" t="n">
        <x:f>H1675*AA1674*INDEX(v01_MortElder,G1675)/4*Q1675</x:f>
        <x:v>0</x:v>
      </x:c>
      <x:c r="V1675" s="9" t="n">
        <x:f>H1675*MAX(0,AB1674-O1675)*v01_OvercapLoss</x:f>
        <x:v>0</x:v>
      </x:c>
      <x:c r="W1675" s="9" t="n">
        <x:f>H1675*Y1674/(v01_ChildYears*4)</x:f>
        <x:v>0</x:v>
      </x:c>
      <x:c r="X1675" s="9" t="n">
        <x:f>H1675*Z1674/(v01_AdultYears*4)</x:f>
        <x:v>0</x:v>
      </x:c>
      <x:c r="Y1675" s="32" t="n">
        <x:f>Y1674+R1675-S1675-W1675-Y1674*V1675/AB1674</x:f>
        <x:v>14306.18539759397</x:v>
      </x:c>
      <x:c r="Z1675" s="32" t="n">
        <x:f>Z1674+W1675-X1675-T1675-Z1674*V1675/AB1674</x:f>
        <x:v>19354.456567879548</x:v>
      </x:c>
      <x:c r="AA1675" s="32" t="n">
        <x:f>AA1674+X1675-U1675-AA1674*V1675/AB1674</x:f>
        <x:v>11386.956063258198</x:v>
      </x:c>
      <x:c r="AB1675" s="10" t="n">
        <x:f>Y1675+Z1675+AA1675</x:f>
        <x:v>45047.59802873172</x:v>
      </x:c>
      <x:c r="AC1675" s="8" t="n">
        <x:f>IF(AND(v01_WinterTrigger=1,D1675=1,AB1674/AE1674&gt;=K1675),1,0)</x:f>
        <x:v>0</x:v>
      </x:c>
      <x:c r="AD1675" s="8" t="n">
        <x:f>H1675*IF(AND(OR(AB1674/AE1674&gt;=v01_FissionTrigger*N1675,AC1675=1),AB1674/AE1674*v01_DaughterShare&gt;=v01_MinDaughter),MAX(1,ROUND(AE1674*v01_FissionRate,0)),0)</x:f>
        <x:v>0</x:v>
      </x:c>
      <x:c r="AE1675" s="8" t="n">
        <x:f>IF(H1675=1,MAX(1,MIN(INDEX(v01_Smax,G1675),AE1674+AD1675)),AE1674)</x:f>
        <x:v>15</x:v>
      </x:c>
      <x:c r="AF1675" s="8" t="n">
        <x:f>MAX(0,AE1675-AE1674)</x:f>
        <x:v>0</x:v>
      </x:c>
      <x:c r="AG1675" s="9" t="str">
        <x:f>IF(AF1675&gt;0,B1675,"")</x:f>
      </x:c>
      <x:c r="AH1675" s="9" t="n">
        <x:f>IF(F1675&gt;=1,1,(1+v01_LowTiesShare*(AE1675-1))/AE1675)</x:f>
        <x:v>1</x:v>
      </x:c>
      <x:c r="AI1675" s="32" t="n">
        <x:f>(Z1675+v01_ElderCommons*INDEX(LM_Elder,G1675)*AA1675)*AH1675</x:f>
        <x:v>64139.732591141874</x:v>
      </x:c>
      <x:c r="AJ1675" s="32" t="n">
        <x:f>H1675*v01_CommonsCoef*AI1675^v01_CommonsExp*INDEX(LM_Commons,G1675)</x:f>
        <x:v>0</x:v>
      </x:c>
      <x:c r="AK1675" s="32" t="n">
        <x:f>H1675*v01_RoleScale*Arch_Roles*(AE1675*(INDEX(v01_ElderRolePerSett,G1675)*v01_OutElder*INDEX(LM_Elder,G1675)+INDEX(v01_ShamanPerSett,G1675)*v01_OutShaman)+Z1675*(INDEX(v01_PriestShare,G1675)*v01_OutPriest+INDEX(v01_ScribeShare,G1675)*v01_OutScribe*INDEX(LM_Scribe,G1675)+INDEX(v01_ScholarShare,G1675)*v01_OutScholar*INDEX(LM_Scholar,G1675)+INDEX(v01_ResearcherShare,G1675)*v01_OutResearcher*INDEX(LM_Researcher,G1675)))</x:f>
        <x:v>0</x:v>
      </x:c>
      <x:c r="AL1675" s="32" t="n">
        <x:f>H1675*v01_RoleScale*Arch_Roles*AE1675*INDEX(v01_MonasteryPerSett,G1675)*v01_OutMonastery*INDEX(LM_Monastery,G1675)</x:f>
        <x:v>0</x:v>
      </x:c>
      <x:c r="AM1675" s="32" t="n">
        <x:f>(AJ1675+AK1675+AL1675)/4*INDEX(LM_All,G1675)*INDEX(v01_Boon,G1675)*Arch_Insight</x:f>
        <x:v>0</x:v>
      </x:c>
      <x:c r="AN1675" s="32" t="n">
        <x:f>H1675*(v01_KHPerAdult*Z1675+v01_KHOfCommons*AJ1675/4*INDEX(LM_All,G1675))*v01_KHUsable*Arch_KH</x:f>
        <x:v>0</x:v>
      </x:c>
      <x:c r="AO1675" s="32" t="n">
        <x:f>MIN(AP1674+AN1675,AM1675*v01_KHMaxRatio)</x:f>
        <x:v>0</x:v>
      </x:c>
      <x:c r="AP1675" s="32" t="n">
        <x:f>AP1674+AN1675-AO1675</x:f>
        <x:v>0</x:v>
      </x:c>
      <x:c r="AQ1675" s="32" t="n">
        <x:f>AM1675+AO1675</x:f>
        <x:v>0</x:v>
      </x:c>
      <x:c r="AR1675" s="10" t="n">
        <x:f>IF(H1675=1,INDEX(v01_Req,G1675),0)</x:f>
        <x:v>0</x:v>
      </x:c>
      <x:c r="AS1675" s="32" t="n">
        <x:f>IF(H1675=1,IF(E1675=1,AS1674-AR1674,AS1674)+AQ1675,0)</x:f>
        <x:v>0</x:v>
      </x:c>
      <x:c r="AT1675" s="11" t="n">
        <x:f>IF(AR1675&gt;0,MIN(1,AS1675/AR1675),1)</x:f>
        <x:v>1</x:v>
      </x:c>
      <x:c r="AU1675" s="10" t="n">
        <x:f>AB1675/INDEX(v01_RepScale,G1675)</x:f>
        <x:v>90.09519605746344</x:v>
      </x:c>
      <x:c r="AV1675" s="32" t="n">
        <x:f>AM1675*60/v01_SeasonSeconds</x:f>
        <x:v>0</x:v>
      </x:c>
    </x:row>
    <x:row r="1676">
      <x:c r="A1676" s="8" t="n">
        <x:f>A1675+1</x:f>
        <x:v>1673</x:v>
      </x:c>
      <x:c r="B1676" s="9" t="n">
        <x:f>A1676*v01_SeasonSeconds/60</x:f>
        <x:v>418.25</x:v>
      </x:c>
      <x:c r="C1676" s="9" t="n">
        <x:f>A1676/4</x:f>
        <x:v>418.25</x:v>
      </x:c>
      <x:c r="D1676" s="8" t="n">
        <x:f>IF(MOD(A1676,4)=0,1,0)</x:f>
        <x:v>0</x:v>
      </x:c>
      <x:c r="E1676" s="8" t="n">
        <x:f>IF(AND(F1675&lt;=9,AS1675&gt;=AR1675),1,0)</x:f>
        <x:v>0</x:v>
      </x:c>
      <x:c r="F1676" s="8" t="n">
        <x:f>MIN(10,F1675+E1676)</x:f>
        <x:v>10</x:v>
      </x:c>
      <x:c r="G1676" s="8" t="n">
        <x:f>MIN(F1676,9)+1</x:f>
        <x:v>10</x:v>
      </x:c>
      <x:c r="H1676" s="8" t="n">
        <x:f>IF(F1676&lt;=9,1,0)</x:f>
        <x:v>0</x:v>
      </x:c>
      <x:c r="I1676" s="9" t="n">
        <x:f>MIN(10,F1675+IF(AR1675&gt;0,MIN(1,AS1675/AR1675),1))</x:f>
        <x:v>10</x:v>
      </x:c>
      <x:c r="J1676" s="32" t="n">
        <x:f>INDEX(v01_FoodCap,G1676)*Arch_FoodCap*EXP(v01_CapsByProject*SUMPRODUCT((Cap_Point&lt;=I1676)*(Cap_Kind="Food")*Cap_Ln))</x:f>
        <x:v>12000</x:v>
      </x:c>
      <x:c r="K1676" s="32" t="n">
        <x:f>J1676*MIN(1,v01_LeanBase*EXP(v01_CapsByProject*SUMPRODUCT((Cap_Point&lt;=I1676)*(Cap_Kind="Lean")*Cap_Ln)))</x:f>
        <x:v>12000</x:v>
      </x:c>
      <x:c r="L1676" s="10" t="n">
        <x:f>INDEX(v01_HousingCap,G1676)*EXP(v01_CapsByProject*SUMPRODUCT((Cap_Point&lt;=I1676)*(Cap_Kind="Housing")*Cap_Ln))</x:f>
        <x:v>20000</x:v>
      </x:c>
      <x:c r="M1676" s="10" t="n">
        <x:f>INDEX(v01_GroupCap,G1676)*v01_CohesionFactor*EXP(v01_CapsByProject*SUMPRODUCT((Cap_Point&lt;=I1676)*(Cap_Kind="Group")*Cap_Ln))</x:f>
        <x:v>1000000</x:v>
      </x:c>
      <x:c r="N1676" s="32" t="n">
        <x:f>MIN(J1676,L1676,M1676)</x:f>
        <x:v>12000</x:v>
      </x:c>
      <x:c r="O1676" s="10" t="n">
        <x:f>AE1675*N1676</x:f>
        <x:v>180000</x:v>
      </x:c>
      <x:c r="P1676" s="9" t="n">
        <x:f>MIN(1,(AB1675/(AE1675*IF(v01_GroupInCrowding=1,N1676,MIN(J1676,L1676))))^v01_CrowdingExp)</x:f>
        <x:v>0.00024569414295285325</x:v>
      </x:c>
      <x:c r="Q1676" s="9" t="n">
        <x:f>IF(D1676=1,INDEX(v01_WinterMult,G1676),1)</x:f>
        <x:v>1</x:v>
      </x:c>
      <x:c r="R1676" s="9" t="n">
        <x:f>H1676*Z1675*v01_WomenShare*v01_BaseFertility*INDEX(v01_FertMult,G1676)*Arch_Fertility*(1-P1676)</x:f>
        <x:v>0</x:v>
      </x:c>
      <x:c r="S1676" s="9" t="n">
        <x:f>H1676*Y1675*INDEX(v01_MortChild,G1676)/4*Q1676</x:f>
        <x:v>0</x:v>
      </x:c>
      <x:c r="T1676" s="9" t="n">
        <x:f>H1676*Z1675*INDEX(v01_MortAdult,G1676)*Arch_AdultMort/4*Q1676</x:f>
        <x:v>0</x:v>
      </x:c>
      <x:c r="U1676" s="9" t="n">
        <x:f>H1676*AA1675*INDEX(v01_MortElder,G1676)/4*Q1676</x:f>
        <x:v>0</x:v>
      </x:c>
      <x:c r="V1676" s="9" t="n">
        <x:f>H1676*MAX(0,AB1675-O1676)*v01_OvercapLoss</x:f>
        <x:v>0</x:v>
      </x:c>
      <x:c r="W1676" s="9" t="n">
        <x:f>H1676*Y1675/(v01_ChildYears*4)</x:f>
        <x:v>0</x:v>
      </x:c>
      <x:c r="X1676" s="9" t="n">
        <x:f>H1676*Z1675/(v01_AdultYears*4)</x:f>
        <x:v>0</x:v>
      </x:c>
      <x:c r="Y1676" s="32" t="n">
        <x:f>Y1675+R1676-S1676-W1676-Y1675*V1676/AB1675</x:f>
        <x:v>14306.18539759397</x:v>
      </x:c>
      <x:c r="Z1676" s="32" t="n">
        <x:f>Z1675+W1676-X1676-T1676-Z1675*V1676/AB1675</x:f>
        <x:v>19354.456567879548</x:v>
      </x:c>
      <x:c r="AA1676" s="32" t="n">
        <x:f>AA1675+X1676-U1676-AA1675*V1676/AB1675</x:f>
        <x:v>11386.956063258198</x:v>
      </x:c>
      <x:c r="AB1676" s="10" t="n">
        <x:f>Y1676+Z1676+AA1676</x:f>
        <x:v>45047.59802873172</x:v>
      </x:c>
      <x:c r="AC1676" s="8" t="n">
        <x:f>IF(AND(v01_WinterTrigger=1,D1676=1,AB1675/AE1675&gt;=K1676),1,0)</x:f>
        <x:v>0</x:v>
      </x:c>
      <x:c r="AD1676" s="8" t="n">
        <x:f>H1676*IF(AND(OR(AB1675/AE1675&gt;=v01_FissionTrigger*N1676,AC1676=1),AB1675/AE1675*v01_DaughterShare&gt;=v01_MinDaughter),MAX(1,ROUND(AE1675*v01_FissionRate,0)),0)</x:f>
        <x:v>0</x:v>
      </x:c>
      <x:c r="AE1676" s="8" t="n">
        <x:f>IF(H1676=1,MAX(1,MIN(INDEX(v01_Smax,G1676),AE1675+AD1676)),AE1675)</x:f>
        <x:v>15</x:v>
      </x:c>
      <x:c r="AF1676" s="8" t="n">
        <x:f>MAX(0,AE1676-AE1675)</x:f>
        <x:v>0</x:v>
      </x:c>
      <x:c r="AG1676" s="9" t="str">
        <x:f>IF(AF1676&gt;0,B1676,"")</x:f>
      </x:c>
      <x:c r="AH1676" s="9" t="n">
        <x:f>IF(F1676&gt;=1,1,(1+v01_LowTiesShare*(AE1676-1))/AE1676)</x:f>
        <x:v>1</x:v>
      </x:c>
      <x:c r="AI1676" s="32" t="n">
        <x:f>(Z1676+v01_ElderCommons*INDEX(LM_Elder,G1676)*AA1676)*AH1676</x:f>
        <x:v>64139.732591141874</x:v>
      </x:c>
      <x:c r="AJ1676" s="32" t="n">
        <x:f>H1676*v01_CommonsCoef*AI1676^v01_CommonsExp*INDEX(LM_Commons,G1676)</x:f>
        <x:v>0</x:v>
      </x:c>
      <x:c r="AK1676" s="32" t="n">
        <x:f>H1676*v01_RoleScale*Arch_Roles*(AE1676*(INDEX(v01_ElderRolePerSett,G1676)*v01_OutElder*INDEX(LM_Elder,G1676)+INDEX(v01_ShamanPerSett,G1676)*v01_OutShaman)+Z1676*(INDEX(v01_PriestShare,G1676)*v01_OutPriest+INDEX(v01_ScribeShare,G1676)*v01_OutScribe*INDEX(LM_Scribe,G1676)+INDEX(v01_ScholarShare,G1676)*v01_OutScholar*INDEX(LM_Scholar,G1676)+INDEX(v01_ResearcherShare,G1676)*v01_OutResearcher*INDEX(LM_Researcher,G1676)))</x:f>
        <x:v>0</x:v>
      </x:c>
      <x:c r="AL1676" s="32" t="n">
        <x:f>H1676*v01_RoleScale*Arch_Roles*AE1676*INDEX(v01_MonasteryPerSett,G1676)*v01_OutMonastery*INDEX(LM_Monastery,G1676)</x:f>
        <x:v>0</x:v>
      </x:c>
      <x:c r="AM1676" s="32" t="n">
        <x:f>(AJ1676+AK1676+AL1676)/4*INDEX(LM_All,G1676)*INDEX(v01_Boon,G1676)*Arch_Insight</x:f>
        <x:v>0</x:v>
      </x:c>
      <x:c r="AN1676" s="32" t="n">
        <x:f>H1676*(v01_KHPerAdult*Z1676+v01_KHOfCommons*AJ1676/4*INDEX(LM_All,G1676))*v01_KHUsable*Arch_KH</x:f>
        <x:v>0</x:v>
      </x:c>
      <x:c r="AO1676" s="32" t="n">
        <x:f>MIN(AP1675+AN1676,AM1676*v01_KHMaxRatio)</x:f>
        <x:v>0</x:v>
      </x:c>
      <x:c r="AP1676" s="32" t="n">
        <x:f>AP1675+AN1676-AO1676</x:f>
        <x:v>0</x:v>
      </x:c>
      <x:c r="AQ1676" s="32" t="n">
        <x:f>AM1676+AO1676</x:f>
        <x:v>0</x:v>
      </x:c>
      <x:c r="AR1676" s="10" t="n">
        <x:f>IF(H1676=1,INDEX(v01_Req,G1676),0)</x:f>
        <x:v>0</x:v>
      </x:c>
      <x:c r="AS1676" s="32" t="n">
        <x:f>IF(H1676=1,IF(E1676=1,AS1675-AR1675,AS1675)+AQ1676,0)</x:f>
        <x:v>0</x:v>
      </x:c>
      <x:c r="AT1676" s="11" t="n">
        <x:f>IF(AR1676&gt;0,MIN(1,AS1676/AR1676),1)</x:f>
        <x:v>1</x:v>
      </x:c>
      <x:c r="AU1676" s="10" t="n">
        <x:f>AB1676/INDEX(v01_RepScale,G1676)</x:f>
        <x:v>90.09519605746344</x:v>
      </x:c>
      <x:c r="AV1676" s="32" t="n">
        <x:f>AM1676*60/v01_SeasonSeconds</x:f>
        <x:v>0</x:v>
      </x:c>
    </x:row>
    <x:row r="1677">
      <x:c r="A1677" s="8" t="n">
        <x:f>A1676+1</x:f>
        <x:v>1674</x:v>
      </x:c>
      <x:c r="B1677" s="9" t="n">
        <x:f>A1677*v01_SeasonSeconds/60</x:f>
        <x:v>418.5</x:v>
      </x:c>
      <x:c r="C1677" s="9" t="n">
        <x:f>A1677/4</x:f>
        <x:v>418.5</x:v>
      </x:c>
      <x:c r="D1677" s="8" t="n">
        <x:f>IF(MOD(A1677,4)=0,1,0)</x:f>
        <x:v>0</x:v>
      </x:c>
      <x:c r="E1677" s="8" t="n">
        <x:f>IF(AND(F1676&lt;=9,AS1676&gt;=AR1676),1,0)</x:f>
        <x:v>0</x:v>
      </x:c>
      <x:c r="F1677" s="8" t="n">
        <x:f>MIN(10,F1676+E1677)</x:f>
        <x:v>10</x:v>
      </x:c>
      <x:c r="G1677" s="8" t="n">
        <x:f>MIN(F1677,9)+1</x:f>
        <x:v>10</x:v>
      </x:c>
      <x:c r="H1677" s="8" t="n">
        <x:f>IF(F1677&lt;=9,1,0)</x:f>
        <x:v>0</x:v>
      </x:c>
      <x:c r="I1677" s="9" t="n">
        <x:f>MIN(10,F1676+IF(AR1676&gt;0,MIN(1,AS1676/AR1676),1))</x:f>
        <x:v>10</x:v>
      </x:c>
      <x:c r="J1677" s="32" t="n">
        <x:f>INDEX(v01_FoodCap,G1677)*Arch_FoodCap*EXP(v01_CapsByProject*SUMPRODUCT((Cap_Point&lt;=I1677)*(Cap_Kind="Food")*Cap_Ln))</x:f>
        <x:v>12000</x:v>
      </x:c>
      <x:c r="K1677" s="32" t="n">
        <x:f>J1677*MIN(1,v01_LeanBase*EXP(v01_CapsByProject*SUMPRODUCT((Cap_Point&lt;=I1677)*(Cap_Kind="Lean")*Cap_Ln)))</x:f>
        <x:v>12000</x:v>
      </x:c>
      <x:c r="L1677" s="10" t="n">
        <x:f>INDEX(v01_HousingCap,G1677)*EXP(v01_CapsByProject*SUMPRODUCT((Cap_Point&lt;=I1677)*(Cap_Kind="Housing")*Cap_Ln))</x:f>
        <x:v>20000</x:v>
      </x:c>
      <x:c r="M1677" s="10" t="n">
        <x:f>INDEX(v01_GroupCap,G1677)*v01_CohesionFactor*EXP(v01_CapsByProject*SUMPRODUCT((Cap_Point&lt;=I1677)*(Cap_Kind="Group")*Cap_Ln))</x:f>
        <x:v>1000000</x:v>
      </x:c>
      <x:c r="N1677" s="32" t="n">
        <x:f>MIN(J1677,L1677,M1677)</x:f>
        <x:v>12000</x:v>
      </x:c>
      <x:c r="O1677" s="10" t="n">
        <x:f>AE1676*N1677</x:f>
        <x:v>180000</x:v>
      </x:c>
      <x:c r="P1677" s="9" t="n">
        <x:f>MIN(1,(AB1676/(AE1676*IF(v01_GroupInCrowding=1,N1677,MIN(J1677,L1677))))^v01_CrowdingExp)</x:f>
        <x:v>0.00024569414295285325</x:v>
      </x:c>
      <x:c r="Q1677" s="9" t="n">
        <x:f>IF(D1677=1,INDEX(v01_WinterMult,G1677),1)</x:f>
        <x:v>1</x:v>
      </x:c>
      <x:c r="R1677" s="9" t="n">
        <x:f>H1677*Z1676*v01_WomenShare*v01_BaseFertility*INDEX(v01_FertMult,G1677)*Arch_Fertility*(1-P1677)</x:f>
        <x:v>0</x:v>
      </x:c>
      <x:c r="S1677" s="9" t="n">
        <x:f>H1677*Y1676*INDEX(v01_MortChild,G1677)/4*Q1677</x:f>
        <x:v>0</x:v>
      </x:c>
      <x:c r="T1677" s="9" t="n">
        <x:f>H1677*Z1676*INDEX(v01_MortAdult,G1677)*Arch_AdultMort/4*Q1677</x:f>
        <x:v>0</x:v>
      </x:c>
      <x:c r="U1677" s="9" t="n">
        <x:f>H1677*AA1676*INDEX(v01_MortElder,G1677)/4*Q1677</x:f>
        <x:v>0</x:v>
      </x:c>
      <x:c r="V1677" s="9" t="n">
        <x:f>H1677*MAX(0,AB1676-O1677)*v01_OvercapLoss</x:f>
        <x:v>0</x:v>
      </x:c>
      <x:c r="W1677" s="9" t="n">
        <x:f>H1677*Y1676/(v01_ChildYears*4)</x:f>
        <x:v>0</x:v>
      </x:c>
      <x:c r="X1677" s="9" t="n">
        <x:f>H1677*Z1676/(v01_AdultYears*4)</x:f>
        <x:v>0</x:v>
      </x:c>
      <x:c r="Y1677" s="32" t="n">
        <x:f>Y1676+R1677-S1677-W1677-Y1676*V1677/AB1676</x:f>
        <x:v>14306.18539759397</x:v>
      </x:c>
      <x:c r="Z1677" s="32" t="n">
        <x:f>Z1676+W1677-X1677-T1677-Z1676*V1677/AB1676</x:f>
        <x:v>19354.456567879548</x:v>
      </x:c>
      <x:c r="AA1677" s="32" t="n">
        <x:f>AA1676+X1677-U1677-AA1676*V1677/AB1676</x:f>
        <x:v>11386.956063258198</x:v>
      </x:c>
      <x:c r="AB1677" s="10" t="n">
        <x:f>Y1677+Z1677+AA1677</x:f>
        <x:v>45047.59802873172</x:v>
      </x:c>
      <x:c r="AC1677" s="8" t="n">
        <x:f>IF(AND(v01_WinterTrigger=1,D1677=1,AB1676/AE1676&gt;=K1677),1,0)</x:f>
        <x:v>0</x:v>
      </x:c>
      <x:c r="AD1677" s="8" t="n">
        <x:f>H1677*IF(AND(OR(AB1676/AE1676&gt;=v01_FissionTrigger*N1677,AC1677=1),AB1676/AE1676*v01_DaughterShare&gt;=v01_MinDaughter),MAX(1,ROUND(AE1676*v01_FissionRate,0)),0)</x:f>
        <x:v>0</x:v>
      </x:c>
      <x:c r="AE1677" s="8" t="n">
        <x:f>IF(H1677=1,MAX(1,MIN(INDEX(v01_Smax,G1677),AE1676+AD1677)),AE1676)</x:f>
        <x:v>15</x:v>
      </x:c>
      <x:c r="AF1677" s="8" t="n">
        <x:f>MAX(0,AE1677-AE1676)</x:f>
        <x:v>0</x:v>
      </x:c>
      <x:c r="AG1677" s="9" t="str">
        <x:f>IF(AF1677&gt;0,B1677,"")</x:f>
      </x:c>
      <x:c r="AH1677" s="9" t="n">
        <x:f>IF(F1677&gt;=1,1,(1+v01_LowTiesShare*(AE1677-1))/AE1677)</x:f>
        <x:v>1</x:v>
      </x:c>
      <x:c r="AI1677" s="32" t="n">
        <x:f>(Z1677+v01_ElderCommons*INDEX(LM_Elder,G1677)*AA1677)*AH1677</x:f>
        <x:v>64139.732591141874</x:v>
      </x:c>
      <x:c r="AJ1677" s="32" t="n">
        <x:f>H1677*v01_CommonsCoef*AI1677^v01_CommonsExp*INDEX(LM_Commons,G1677)</x:f>
        <x:v>0</x:v>
      </x:c>
      <x:c r="AK1677" s="32" t="n">
        <x:f>H1677*v01_RoleScale*Arch_Roles*(AE1677*(INDEX(v01_ElderRolePerSett,G1677)*v01_OutElder*INDEX(LM_Elder,G1677)+INDEX(v01_ShamanPerSett,G1677)*v01_OutShaman)+Z1677*(INDEX(v01_PriestShare,G1677)*v01_OutPriest+INDEX(v01_ScribeShare,G1677)*v01_OutScribe*INDEX(LM_Scribe,G1677)+INDEX(v01_ScholarShare,G1677)*v01_OutScholar*INDEX(LM_Scholar,G1677)+INDEX(v01_ResearcherShare,G1677)*v01_OutResearcher*INDEX(LM_Researcher,G1677)))</x:f>
        <x:v>0</x:v>
      </x:c>
      <x:c r="AL1677" s="32" t="n">
        <x:f>H1677*v01_RoleScale*Arch_Roles*AE1677*INDEX(v01_MonasteryPerSett,G1677)*v01_OutMonastery*INDEX(LM_Monastery,G1677)</x:f>
        <x:v>0</x:v>
      </x:c>
      <x:c r="AM1677" s="32" t="n">
        <x:f>(AJ1677+AK1677+AL1677)/4*INDEX(LM_All,G1677)*INDEX(v01_Boon,G1677)*Arch_Insight</x:f>
        <x:v>0</x:v>
      </x:c>
      <x:c r="AN1677" s="32" t="n">
        <x:f>H1677*(v01_KHPerAdult*Z1677+v01_KHOfCommons*AJ1677/4*INDEX(LM_All,G1677))*v01_KHUsable*Arch_KH</x:f>
        <x:v>0</x:v>
      </x:c>
      <x:c r="AO1677" s="32" t="n">
        <x:f>MIN(AP1676+AN1677,AM1677*v01_KHMaxRatio)</x:f>
        <x:v>0</x:v>
      </x:c>
      <x:c r="AP1677" s="32" t="n">
        <x:f>AP1676+AN1677-AO1677</x:f>
        <x:v>0</x:v>
      </x:c>
      <x:c r="AQ1677" s="32" t="n">
        <x:f>AM1677+AO1677</x:f>
        <x:v>0</x:v>
      </x:c>
      <x:c r="AR1677" s="10" t="n">
        <x:f>IF(H1677=1,INDEX(v01_Req,G1677),0)</x:f>
        <x:v>0</x:v>
      </x:c>
      <x:c r="AS1677" s="32" t="n">
        <x:f>IF(H1677=1,IF(E1677=1,AS1676-AR1676,AS1676)+AQ1677,0)</x:f>
        <x:v>0</x:v>
      </x:c>
      <x:c r="AT1677" s="11" t="n">
        <x:f>IF(AR1677&gt;0,MIN(1,AS1677/AR1677),1)</x:f>
        <x:v>1</x:v>
      </x:c>
      <x:c r="AU1677" s="10" t="n">
        <x:f>AB1677/INDEX(v01_RepScale,G1677)</x:f>
        <x:v>90.09519605746344</x:v>
      </x:c>
      <x:c r="AV1677" s="32" t="n">
        <x:f>AM1677*60/v01_SeasonSeconds</x:f>
        <x:v>0</x:v>
      </x:c>
    </x:row>
    <x:row r="1678">
      <x:c r="A1678" s="8" t="n">
        <x:f>A1677+1</x:f>
        <x:v>1675</x:v>
      </x:c>
      <x:c r="B1678" s="9" t="n">
        <x:f>A1678*v01_SeasonSeconds/60</x:f>
        <x:v>418.75</x:v>
      </x:c>
      <x:c r="C1678" s="9" t="n">
        <x:f>A1678/4</x:f>
        <x:v>418.75</x:v>
      </x:c>
      <x:c r="D1678" s="8" t="n">
        <x:f>IF(MOD(A1678,4)=0,1,0)</x:f>
        <x:v>0</x:v>
      </x:c>
      <x:c r="E1678" s="8" t="n">
        <x:f>IF(AND(F1677&lt;=9,AS1677&gt;=AR1677),1,0)</x:f>
        <x:v>0</x:v>
      </x:c>
      <x:c r="F1678" s="8" t="n">
        <x:f>MIN(10,F1677+E1678)</x:f>
        <x:v>10</x:v>
      </x:c>
      <x:c r="G1678" s="8" t="n">
        <x:f>MIN(F1678,9)+1</x:f>
        <x:v>10</x:v>
      </x:c>
      <x:c r="H1678" s="8" t="n">
        <x:f>IF(F1678&lt;=9,1,0)</x:f>
        <x:v>0</x:v>
      </x:c>
      <x:c r="I1678" s="9" t="n">
        <x:f>MIN(10,F1677+IF(AR1677&gt;0,MIN(1,AS1677/AR1677),1))</x:f>
        <x:v>10</x:v>
      </x:c>
      <x:c r="J1678" s="32" t="n">
        <x:f>INDEX(v01_FoodCap,G1678)*Arch_FoodCap*EXP(v01_CapsByProject*SUMPRODUCT((Cap_Point&lt;=I1678)*(Cap_Kind="Food")*Cap_Ln))</x:f>
        <x:v>12000</x:v>
      </x:c>
      <x:c r="K1678" s="32" t="n">
        <x:f>J1678*MIN(1,v01_LeanBase*EXP(v01_CapsByProject*SUMPRODUCT((Cap_Point&lt;=I1678)*(Cap_Kind="Lean")*Cap_Ln)))</x:f>
        <x:v>12000</x:v>
      </x:c>
      <x:c r="L1678" s="10" t="n">
        <x:f>INDEX(v01_HousingCap,G1678)*EXP(v01_CapsByProject*SUMPRODUCT((Cap_Point&lt;=I1678)*(Cap_Kind="Housing")*Cap_Ln))</x:f>
        <x:v>20000</x:v>
      </x:c>
      <x:c r="M1678" s="10" t="n">
        <x:f>INDEX(v01_GroupCap,G1678)*v01_CohesionFactor*EXP(v01_CapsByProject*SUMPRODUCT((Cap_Point&lt;=I1678)*(Cap_Kind="Group")*Cap_Ln))</x:f>
        <x:v>1000000</x:v>
      </x:c>
      <x:c r="N1678" s="32" t="n">
        <x:f>MIN(J1678,L1678,M1678)</x:f>
        <x:v>12000</x:v>
      </x:c>
      <x:c r="O1678" s="10" t="n">
        <x:f>AE1677*N1678</x:f>
        <x:v>180000</x:v>
      </x:c>
      <x:c r="P1678" s="9" t="n">
        <x:f>MIN(1,(AB1677/(AE1677*IF(v01_GroupInCrowding=1,N1678,MIN(J1678,L1678))))^v01_CrowdingExp)</x:f>
        <x:v>0.00024569414295285325</x:v>
      </x:c>
      <x:c r="Q1678" s="9" t="n">
        <x:f>IF(D1678=1,INDEX(v01_WinterMult,G1678),1)</x:f>
        <x:v>1</x:v>
      </x:c>
      <x:c r="R1678" s="9" t="n">
        <x:f>H1678*Z1677*v01_WomenShare*v01_BaseFertility*INDEX(v01_FertMult,G1678)*Arch_Fertility*(1-P1678)</x:f>
        <x:v>0</x:v>
      </x:c>
      <x:c r="S1678" s="9" t="n">
        <x:f>H1678*Y1677*INDEX(v01_MortChild,G1678)/4*Q1678</x:f>
        <x:v>0</x:v>
      </x:c>
      <x:c r="T1678" s="9" t="n">
        <x:f>H1678*Z1677*INDEX(v01_MortAdult,G1678)*Arch_AdultMort/4*Q1678</x:f>
        <x:v>0</x:v>
      </x:c>
      <x:c r="U1678" s="9" t="n">
        <x:f>H1678*AA1677*INDEX(v01_MortElder,G1678)/4*Q1678</x:f>
        <x:v>0</x:v>
      </x:c>
      <x:c r="V1678" s="9" t="n">
        <x:f>H1678*MAX(0,AB1677-O1678)*v01_OvercapLoss</x:f>
        <x:v>0</x:v>
      </x:c>
      <x:c r="W1678" s="9" t="n">
        <x:f>H1678*Y1677/(v01_ChildYears*4)</x:f>
        <x:v>0</x:v>
      </x:c>
      <x:c r="X1678" s="9" t="n">
        <x:f>H1678*Z1677/(v01_AdultYears*4)</x:f>
        <x:v>0</x:v>
      </x:c>
      <x:c r="Y1678" s="32" t="n">
        <x:f>Y1677+R1678-S1678-W1678-Y1677*V1678/AB1677</x:f>
        <x:v>14306.18539759397</x:v>
      </x:c>
      <x:c r="Z1678" s="32" t="n">
        <x:f>Z1677+W1678-X1678-T1678-Z1677*V1678/AB1677</x:f>
        <x:v>19354.456567879548</x:v>
      </x:c>
      <x:c r="AA1678" s="32" t="n">
        <x:f>AA1677+X1678-U1678-AA1677*V1678/AB1677</x:f>
        <x:v>11386.956063258198</x:v>
      </x:c>
      <x:c r="AB1678" s="10" t="n">
        <x:f>Y1678+Z1678+AA1678</x:f>
        <x:v>45047.59802873172</x:v>
      </x:c>
      <x:c r="AC1678" s="8" t="n">
        <x:f>IF(AND(v01_WinterTrigger=1,D1678=1,AB1677/AE1677&gt;=K1678),1,0)</x:f>
        <x:v>0</x:v>
      </x:c>
      <x:c r="AD1678" s="8" t="n">
        <x:f>H1678*IF(AND(OR(AB1677/AE1677&gt;=v01_FissionTrigger*N1678,AC1678=1),AB1677/AE1677*v01_DaughterShare&gt;=v01_MinDaughter),MAX(1,ROUND(AE1677*v01_FissionRate,0)),0)</x:f>
        <x:v>0</x:v>
      </x:c>
      <x:c r="AE1678" s="8" t="n">
        <x:f>IF(H1678=1,MAX(1,MIN(INDEX(v01_Smax,G1678),AE1677+AD1678)),AE1677)</x:f>
        <x:v>15</x:v>
      </x:c>
      <x:c r="AF1678" s="8" t="n">
        <x:f>MAX(0,AE1678-AE1677)</x:f>
        <x:v>0</x:v>
      </x:c>
      <x:c r="AG1678" s="9" t="str">
        <x:f>IF(AF1678&gt;0,B1678,"")</x:f>
      </x:c>
      <x:c r="AH1678" s="9" t="n">
        <x:f>IF(F1678&gt;=1,1,(1+v01_LowTiesShare*(AE1678-1))/AE1678)</x:f>
        <x:v>1</x:v>
      </x:c>
      <x:c r="AI1678" s="32" t="n">
        <x:f>(Z1678+v01_ElderCommons*INDEX(LM_Elder,G1678)*AA1678)*AH1678</x:f>
        <x:v>64139.732591141874</x:v>
      </x:c>
      <x:c r="AJ1678" s="32" t="n">
        <x:f>H1678*v01_CommonsCoef*AI1678^v01_CommonsExp*INDEX(LM_Commons,G1678)</x:f>
        <x:v>0</x:v>
      </x:c>
      <x:c r="AK1678" s="32" t="n">
        <x:f>H1678*v01_RoleScale*Arch_Roles*(AE1678*(INDEX(v01_ElderRolePerSett,G1678)*v01_OutElder*INDEX(LM_Elder,G1678)+INDEX(v01_ShamanPerSett,G1678)*v01_OutShaman)+Z1678*(INDEX(v01_PriestShare,G1678)*v01_OutPriest+INDEX(v01_ScribeShare,G1678)*v01_OutScribe*INDEX(LM_Scribe,G1678)+INDEX(v01_ScholarShare,G1678)*v01_OutScholar*INDEX(LM_Scholar,G1678)+INDEX(v01_ResearcherShare,G1678)*v01_OutResearcher*INDEX(LM_Researcher,G1678)))</x:f>
        <x:v>0</x:v>
      </x:c>
      <x:c r="AL1678" s="32" t="n">
        <x:f>H1678*v01_RoleScale*Arch_Roles*AE1678*INDEX(v01_MonasteryPerSett,G1678)*v01_OutMonastery*INDEX(LM_Monastery,G1678)</x:f>
        <x:v>0</x:v>
      </x:c>
      <x:c r="AM1678" s="32" t="n">
        <x:f>(AJ1678+AK1678+AL1678)/4*INDEX(LM_All,G1678)*INDEX(v01_Boon,G1678)*Arch_Insight</x:f>
        <x:v>0</x:v>
      </x:c>
      <x:c r="AN1678" s="32" t="n">
        <x:f>H1678*(v01_KHPerAdult*Z1678+v01_KHOfCommons*AJ1678/4*INDEX(LM_All,G1678))*v01_KHUsable*Arch_KH</x:f>
        <x:v>0</x:v>
      </x:c>
      <x:c r="AO1678" s="32" t="n">
        <x:f>MIN(AP1677+AN1678,AM1678*v01_KHMaxRatio)</x:f>
        <x:v>0</x:v>
      </x:c>
      <x:c r="AP1678" s="32" t="n">
        <x:f>AP1677+AN1678-AO1678</x:f>
        <x:v>0</x:v>
      </x:c>
      <x:c r="AQ1678" s="32" t="n">
        <x:f>AM1678+AO1678</x:f>
        <x:v>0</x:v>
      </x:c>
      <x:c r="AR1678" s="10" t="n">
        <x:f>IF(H1678=1,INDEX(v01_Req,G1678),0)</x:f>
        <x:v>0</x:v>
      </x:c>
      <x:c r="AS1678" s="32" t="n">
        <x:f>IF(H1678=1,IF(E1678=1,AS1677-AR1677,AS1677)+AQ1678,0)</x:f>
        <x:v>0</x:v>
      </x:c>
      <x:c r="AT1678" s="11" t="n">
        <x:f>IF(AR1678&gt;0,MIN(1,AS1678/AR1678),1)</x:f>
        <x:v>1</x:v>
      </x:c>
      <x:c r="AU1678" s="10" t="n">
        <x:f>AB1678/INDEX(v01_RepScale,G1678)</x:f>
        <x:v>90.09519605746344</x:v>
      </x:c>
      <x:c r="AV1678" s="32" t="n">
        <x:f>AM1678*60/v01_SeasonSeconds</x:f>
        <x:v>0</x:v>
      </x:c>
    </x:row>
    <x:row r="1679">
      <x:c r="A1679" s="8" t="n">
        <x:f>A1678+1</x:f>
        <x:v>1676</x:v>
      </x:c>
      <x:c r="B1679" s="9" t="n">
        <x:f>A1679*v01_SeasonSeconds/60</x:f>
        <x:v>419</x:v>
      </x:c>
      <x:c r="C1679" s="9" t="n">
        <x:f>A1679/4</x:f>
        <x:v>419</x:v>
      </x:c>
      <x:c r="D1679" s="8" t="n">
        <x:f>IF(MOD(A1679,4)=0,1,0)</x:f>
        <x:v>1</x:v>
      </x:c>
      <x:c r="E1679" s="8" t="n">
        <x:f>IF(AND(F1678&lt;=9,AS1678&gt;=AR1678),1,0)</x:f>
        <x:v>0</x:v>
      </x:c>
      <x:c r="F1679" s="8" t="n">
        <x:f>MIN(10,F1678+E1679)</x:f>
        <x:v>10</x:v>
      </x:c>
      <x:c r="G1679" s="8" t="n">
        <x:f>MIN(F1679,9)+1</x:f>
        <x:v>10</x:v>
      </x:c>
      <x:c r="H1679" s="8" t="n">
        <x:f>IF(F1679&lt;=9,1,0)</x:f>
        <x:v>0</x:v>
      </x:c>
      <x:c r="I1679" s="9" t="n">
        <x:f>MIN(10,F1678+IF(AR1678&gt;0,MIN(1,AS1678/AR1678),1))</x:f>
        <x:v>10</x:v>
      </x:c>
      <x:c r="J1679" s="32" t="n">
        <x:f>INDEX(v01_FoodCap,G1679)*Arch_FoodCap*EXP(v01_CapsByProject*SUMPRODUCT((Cap_Point&lt;=I1679)*(Cap_Kind="Food")*Cap_Ln))</x:f>
        <x:v>12000</x:v>
      </x:c>
      <x:c r="K1679" s="32" t="n">
        <x:f>J1679*MIN(1,v01_LeanBase*EXP(v01_CapsByProject*SUMPRODUCT((Cap_Point&lt;=I1679)*(Cap_Kind="Lean")*Cap_Ln)))</x:f>
        <x:v>12000</x:v>
      </x:c>
      <x:c r="L1679" s="10" t="n">
        <x:f>INDEX(v01_HousingCap,G1679)*EXP(v01_CapsByProject*SUMPRODUCT((Cap_Point&lt;=I1679)*(Cap_Kind="Housing")*Cap_Ln))</x:f>
        <x:v>20000</x:v>
      </x:c>
      <x:c r="M1679" s="10" t="n">
        <x:f>INDEX(v01_GroupCap,G1679)*v01_CohesionFactor*EXP(v01_CapsByProject*SUMPRODUCT((Cap_Point&lt;=I1679)*(Cap_Kind="Group")*Cap_Ln))</x:f>
        <x:v>1000000</x:v>
      </x:c>
      <x:c r="N1679" s="32" t="n">
        <x:f>MIN(J1679,L1679,M1679)</x:f>
        <x:v>12000</x:v>
      </x:c>
      <x:c r="O1679" s="10" t="n">
        <x:f>AE1678*N1679</x:f>
        <x:v>180000</x:v>
      </x:c>
      <x:c r="P1679" s="9" t="n">
        <x:f>MIN(1,(AB1678/(AE1678*IF(v01_GroupInCrowding=1,N1679,MIN(J1679,L1679))))^v01_CrowdingExp)</x:f>
        <x:v>0.00024569414295285325</x:v>
      </x:c>
      <x:c r="Q1679" s="9" t="n">
        <x:f>IF(D1679=1,INDEX(v01_WinterMult,G1679),1)</x:f>
        <x:v>1</x:v>
      </x:c>
      <x:c r="R1679" s="9" t="n">
        <x:f>H1679*Z1678*v01_WomenShare*v01_BaseFertility*INDEX(v01_FertMult,G1679)*Arch_Fertility*(1-P1679)</x:f>
        <x:v>0</x:v>
      </x:c>
      <x:c r="S1679" s="9" t="n">
        <x:f>H1679*Y1678*INDEX(v01_MortChild,G1679)/4*Q1679</x:f>
        <x:v>0</x:v>
      </x:c>
      <x:c r="T1679" s="9" t="n">
        <x:f>H1679*Z1678*INDEX(v01_MortAdult,G1679)*Arch_AdultMort/4*Q1679</x:f>
        <x:v>0</x:v>
      </x:c>
      <x:c r="U1679" s="9" t="n">
        <x:f>H1679*AA1678*INDEX(v01_MortElder,G1679)/4*Q1679</x:f>
        <x:v>0</x:v>
      </x:c>
      <x:c r="V1679" s="9" t="n">
        <x:f>H1679*MAX(0,AB1678-O1679)*v01_OvercapLoss</x:f>
        <x:v>0</x:v>
      </x:c>
      <x:c r="W1679" s="9" t="n">
        <x:f>H1679*Y1678/(v01_ChildYears*4)</x:f>
        <x:v>0</x:v>
      </x:c>
      <x:c r="X1679" s="9" t="n">
        <x:f>H1679*Z1678/(v01_AdultYears*4)</x:f>
        <x:v>0</x:v>
      </x:c>
      <x:c r="Y1679" s="32" t="n">
        <x:f>Y1678+R1679-S1679-W1679-Y1678*V1679/AB1678</x:f>
        <x:v>14306.18539759397</x:v>
      </x:c>
      <x:c r="Z1679" s="32" t="n">
        <x:f>Z1678+W1679-X1679-T1679-Z1678*V1679/AB1678</x:f>
        <x:v>19354.456567879548</x:v>
      </x:c>
      <x:c r="AA1679" s="32" t="n">
        <x:f>AA1678+X1679-U1679-AA1678*V1679/AB1678</x:f>
        <x:v>11386.956063258198</x:v>
      </x:c>
      <x:c r="AB1679" s="10" t="n">
        <x:f>Y1679+Z1679+AA1679</x:f>
        <x:v>45047.59802873172</x:v>
      </x:c>
      <x:c r="AC1679" s="8" t="n">
        <x:f>IF(AND(v01_WinterTrigger=1,D1679=1,AB1678/AE1678&gt;=K1679),1,0)</x:f>
        <x:v>0</x:v>
      </x:c>
      <x:c r="AD1679" s="8" t="n">
        <x:f>H1679*IF(AND(OR(AB1678/AE1678&gt;=v01_FissionTrigger*N1679,AC1679=1),AB1678/AE1678*v01_DaughterShare&gt;=v01_MinDaughter),MAX(1,ROUND(AE1678*v01_FissionRate,0)),0)</x:f>
        <x:v>0</x:v>
      </x:c>
      <x:c r="AE1679" s="8" t="n">
        <x:f>IF(H1679=1,MAX(1,MIN(INDEX(v01_Smax,G1679),AE1678+AD1679)),AE1678)</x:f>
        <x:v>15</x:v>
      </x:c>
      <x:c r="AF1679" s="8" t="n">
        <x:f>MAX(0,AE1679-AE1678)</x:f>
        <x:v>0</x:v>
      </x:c>
      <x:c r="AG1679" s="9" t="str">
        <x:f>IF(AF1679&gt;0,B1679,"")</x:f>
      </x:c>
      <x:c r="AH1679" s="9" t="n">
        <x:f>IF(F1679&gt;=1,1,(1+v01_LowTiesShare*(AE1679-1))/AE1679)</x:f>
        <x:v>1</x:v>
      </x:c>
      <x:c r="AI1679" s="32" t="n">
        <x:f>(Z1679+v01_ElderCommons*INDEX(LM_Elder,G1679)*AA1679)*AH1679</x:f>
        <x:v>64139.732591141874</x:v>
      </x:c>
      <x:c r="AJ1679" s="32" t="n">
        <x:f>H1679*v01_CommonsCoef*AI1679^v01_CommonsExp*INDEX(LM_Commons,G1679)</x:f>
        <x:v>0</x:v>
      </x:c>
      <x:c r="AK1679" s="32" t="n">
        <x:f>H1679*v01_RoleScale*Arch_Roles*(AE1679*(INDEX(v01_ElderRolePerSett,G1679)*v01_OutElder*INDEX(LM_Elder,G1679)+INDEX(v01_ShamanPerSett,G1679)*v01_OutShaman)+Z1679*(INDEX(v01_PriestShare,G1679)*v01_OutPriest+INDEX(v01_ScribeShare,G1679)*v01_OutScribe*INDEX(LM_Scribe,G1679)+INDEX(v01_ScholarShare,G1679)*v01_OutScholar*INDEX(LM_Scholar,G1679)+INDEX(v01_ResearcherShare,G1679)*v01_OutResearcher*INDEX(LM_Researcher,G1679)))</x:f>
        <x:v>0</x:v>
      </x:c>
      <x:c r="AL1679" s="32" t="n">
        <x:f>H1679*v01_RoleScale*Arch_Roles*AE1679*INDEX(v01_MonasteryPerSett,G1679)*v01_OutMonastery*INDEX(LM_Monastery,G1679)</x:f>
        <x:v>0</x:v>
      </x:c>
      <x:c r="AM1679" s="32" t="n">
        <x:f>(AJ1679+AK1679+AL1679)/4*INDEX(LM_All,G1679)*INDEX(v01_Boon,G1679)*Arch_Insight</x:f>
        <x:v>0</x:v>
      </x:c>
      <x:c r="AN1679" s="32" t="n">
        <x:f>H1679*(v01_KHPerAdult*Z1679+v01_KHOfCommons*AJ1679/4*INDEX(LM_All,G1679))*v01_KHUsable*Arch_KH</x:f>
        <x:v>0</x:v>
      </x:c>
      <x:c r="AO1679" s="32" t="n">
        <x:f>MIN(AP1678+AN1679,AM1679*v01_KHMaxRatio)</x:f>
        <x:v>0</x:v>
      </x:c>
      <x:c r="AP1679" s="32" t="n">
        <x:f>AP1678+AN1679-AO1679</x:f>
        <x:v>0</x:v>
      </x:c>
      <x:c r="AQ1679" s="32" t="n">
        <x:f>AM1679+AO1679</x:f>
        <x:v>0</x:v>
      </x:c>
      <x:c r="AR1679" s="10" t="n">
        <x:f>IF(H1679=1,INDEX(v01_Req,G1679),0)</x:f>
        <x:v>0</x:v>
      </x:c>
      <x:c r="AS1679" s="32" t="n">
        <x:f>IF(H1679=1,IF(E1679=1,AS1678-AR1678,AS1678)+AQ1679,0)</x:f>
        <x:v>0</x:v>
      </x:c>
      <x:c r="AT1679" s="11" t="n">
        <x:f>IF(AR1679&gt;0,MIN(1,AS1679/AR1679),1)</x:f>
        <x:v>1</x:v>
      </x:c>
      <x:c r="AU1679" s="10" t="n">
        <x:f>AB1679/INDEX(v01_RepScale,G1679)</x:f>
        <x:v>90.09519605746344</x:v>
      </x:c>
      <x:c r="AV1679" s="32" t="n">
        <x:f>AM1679*60/v01_SeasonSeconds</x:f>
        <x:v>0</x:v>
      </x:c>
    </x:row>
    <x:row r="1680">
      <x:c r="A1680" s="8" t="n">
        <x:f>A1679+1</x:f>
        <x:v>1677</x:v>
      </x:c>
      <x:c r="B1680" s="9" t="n">
        <x:f>A1680*v01_SeasonSeconds/60</x:f>
        <x:v>419.25</x:v>
      </x:c>
      <x:c r="C1680" s="9" t="n">
        <x:f>A1680/4</x:f>
        <x:v>419.25</x:v>
      </x:c>
      <x:c r="D1680" s="8" t="n">
        <x:f>IF(MOD(A1680,4)=0,1,0)</x:f>
        <x:v>0</x:v>
      </x:c>
      <x:c r="E1680" s="8" t="n">
        <x:f>IF(AND(F1679&lt;=9,AS1679&gt;=AR1679),1,0)</x:f>
        <x:v>0</x:v>
      </x:c>
      <x:c r="F1680" s="8" t="n">
        <x:f>MIN(10,F1679+E1680)</x:f>
        <x:v>10</x:v>
      </x:c>
      <x:c r="G1680" s="8" t="n">
        <x:f>MIN(F1680,9)+1</x:f>
        <x:v>10</x:v>
      </x:c>
      <x:c r="H1680" s="8" t="n">
        <x:f>IF(F1680&lt;=9,1,0)</x:f>
        <x:v>0</x:v>
      </x:c>
      <x:c r="I1680" s="9" t="n">
        <x:f>MIN(10,F1679+IF(AR1679&gt;0,MIN(1,AS1679/AR1679),1))</x:f>
        <x:v>10</x:v>
      </x:c>
      <x:c r="J1680" s="32" t="n">
        <x:f>INDEX(v01_FoodCap,G1680)*Arch_FoodCap*EXP(v01_CapsByProject*SUMPRODUCT((Cap_Point&lt;=I1680)*(Cap_Kind="Food")*Cap_Ln))</x:f>
        <x:v>12000</x:v>
      </x:c>
      <x:c r="K1680" s="32" t="n">
        <x:f>J1680*MIN(1,v01_LeanBase*EXP(v01_CapsByProject*SUMPRODUCT((Cap_Point&lt;=I1680)*(Cap_Kind="Lean")*Cap_Ln)))</x:f>
        <x:v>12000</x:v>
      </x:c>
      <x:c r="L1680" s="10" t="n">
        <x:f>INDEX(v01_HousingCap,G1680)*EXP(v01_CapsByProject*SUMPRODUCT((Cap_Point&lt;=I1680)*(Cap_Kind="Housing")*Cap_Ln))</x:f>
        <x:v>20000</x:v>
      </x:c>
      <x:c r="M1680" s="10" t="n">
        <x:f>INDEX(v01_GroupCap,G1680)*v01_CohesionFactor*EXP(v01_CapsByProject*SUMPRODUCT((Cap_Point&lt;=I1680)*(Cap_Kind="Group")*Cap_Ln))</x:f>
        <x:v>1000000</x:v>
      </x:c>
      <x:c r="N1680" s="32" t="n">
        <x:f>MIN(J1680,L1680,M1680)</x:f>
        <x:v>12000</x:v>
      </x:c>
      <x:c r="O1680" s="10" t="n">
        <x:f>AE1679*N1680</x:f>
        <x:v>180000</x:v>
      </x:c>
      <x:c r="P1680" s="9" t="n">
        <x:f>MIN(1,(AB1679/(AE1679*IF(v01_GroupInCrowding=1,N1680,MIN(J1680,L1680))))^v01_CrowdingExp)</x:f>
        <x:v>0.00024569414295285325</x:v>
      </x:c>
      <x:c r="Q1680" s="9" t="n">
        <x:f>IF(D1680=1,INDEX(v01_WinterMult,G1680),1)</x:f>
        <x:v>1</x:v>
      </x:c>
      <x:c r="R1680" s="9" t="n">
        <x:f>H1680*Z1679*v01_WomenShare*v01_BaseFertility*INDEX(v01_FertMult,G1680)*Arch_Fertility*(1-P1680)</x:f>
        <x:v>0</x:v>
      </x:c>
      <x:c r="S1680" s="9" t="n">
        <x:f>H1680*Y1679*INDEX(v01_MortChild,G1680)/4*Q1680</x:f>
        <x:v>0</x:v>
      </x:c>
      <x:c r="T1680" s="9" t="n">
        <x:f>H1680*Z1679*INDEX(v01_MortAdult,G1680)*Arch_AdultMort/4*Q1680</x:f>
        <x:v>0</x:v>
      </x:c>
      <x:c r="U1680" s="9" t="n">
        <x:f>H1680*AA1679*INDEX(v01_MortElder,G1680)/4*Q1680</x:f>
        <x:v>0</x:v>
      </x:c>
      <x:c r="V1680" s="9" t="n">
        <x:f>H1680*MAX(0,AB1679-O1680)*v01_OvercapLoss</x:f>
        <x:v>0</x:v>
      </x:c>
      <x:c r="W1680" s="9" t="n">
        <x:f>H1680*Y1679/(v01_ChildYears*4)</x:f>
        <x:v>0</x:v>
      </x:c>
      <x:c r="X1680" s="9" t="n">
        <x:f>H1680*Z1679/(v01_AdultYears*4)</x:f>
        <x:v>0</x:v>
      </x:c>
      <x:c r="Y1680" s="32" t="n">
        <x:f>Y1679+R1680-S1680-W1680-Y1679*V1680/AB1679</x:f>
        <x:v>14306.18539759397</x:v>
      </x:c>
      <x:c r="Z1680" s="32" t="n">
        <x:f>Z1679+W1680-X1680-T1680-Z1679*V1680/AB1679</x:f>
        <x:v>19354.456567879548</x:v>
      </x:c>
      <x:c r="AA1680" s="32" t="n">
        <x:f>AA1679+X1680-U1680-AA1679*V1680/AB1679</x:f>
        <x:v>11386.956063258198</x:v>
      </x:c>
      <x:c r="AB1680" s="10" t="n">
        <x:f>Y1680+Z1680+AA1680</x:f>
        <x:v>45047.59802873172</x:v>
      </x:c>
      <x:c r="AC1680" s="8" t="n">
        <x:f>IF(AND(v01_WinterTrigger=1,D1680=1,AB1679/AE1679&gt;=K1680),1,0)</x:f>
        <x:v>0</x:v>
      </x:c>
      <x:c r="AD1680" s="8" t="n">
        <x:f>H1680*IF(AND(OR(AB1679/AE1679&gt;=v01_FissionTrigger*N1680,AC1680=1),AB1679/AE1679*v01_DaughterShare&gt;=v01_MinDaughter),MAX(1,ROUND(AE1679*v01_FissionRate,0)),0)</x:f>
        <x:v>0</x:v>
      </x:c>
      <x:c r="AE1680" s="8" t="n">
        <x:f>IF(H1680=1,MAX(1,MIN(INDEX(v01_Smax,G1680),AE1679+AD1680)),AE1679)</x:f>
        <x:v>15</x:v>
      </x:c>
      <x:c r="AF1680" s="8" t="n">
        <x:f>MAX(0,AE1680-AE1679)</x:f>
        <x:v>0</x:v>
      </x:c>
      <x:c r="AG1680" s="9" t="str">
        <x:f>IF(AF1680&gt;0,B1680,"")</x:f>
      </x:c>
      <x:c r="AH1680" s="9" t="n">
        <x:f>IF(F1680&gt;=1,1,(1+v01_LowTiesShare*(AE1680-1))/AE1680)</x:f>
        <x:v>1</x:v>
      </x:c>
      <x:c r="AI1680" s="32" t="n">
        <x:f>(Z1680+v01_ElderCommons*INDEX(LM_Elder,G1680)*AA1680)*AH1680</x:f>
        <x:v>64139.732591141874</x:v>
      </x:c>
      <x:c r="AJ1680" s="32" t="n">
        <x:f>H1680*v01_CommonsCoef*AI1680^v01_CommonsExp*INDEX(LM_Commons,G1680)</x:f>
        <x:v>0</x:v>
      </x:c>
      <x:c r="AK1680" s="32" t="n">
        <x:f>H1680*v01_RoleScale*Arch_Roles*(AE1680*(INDEX(v01_ElderRolePerSett,G1680)*v01_OutElder*INDEX(LM_Elder,G1680)+INDEX(v01_ShamanPerSett,G1680)*v01_OutShaman)+Z1680*(INDEX(v01_PriestShare,G1680)*v01_OutPriest+INDEX(v01_ScribeShare,G1680)*v01_OutScribe*INDEX(LM_Scribe,G1680)+INDEX(v01_ScholarShare,G1680)*v01_OutScholar*INDEX(LM_Scholar,G1680)+INDEX(v01_ResearcherShare,G1680)*v01_OutResearcher*INDEX(LM_Researcher,G1680)))</x:f>
        <x:v>0</x:v>
      </x:c>
      <x:c r="AL1680" s="32" t="n">
        <x:f>H1680*v01_RoleScale*Arch_Roles*AE1680*INDEX(v01_MonasteryPerSett,G1680)*v01_OutMonastery*INDEX(LM_Monastery,G1680)</x:f>
        <x:v>0</x:v>
      </x:c>
      <x:c r="AM1680" s="32" t="n">
        <x:f>(AJ1680+AK1680+AL1680)/4*INDEX(LM_All,G1680)*INDEX(v01_Boon,G1680)*Arch_Insight</x:f>
        <x:v>0</x:v>
      </x:c>
      <x:c r="AN1680" s="32" t="n">
        <x:f>H1680*(v01_KHPerAdult*Z1680+v01_KHOfCommons*AJ1680/4*INDEX(LM_All,G1680))*v01_KHUsable*Arch_KH</x:f>
        <x:v>0</x:v>
      </x:c>
      <x:c r="AO1680" s="32" t="n">
        <x:f>MIN(AP1679+AN1680,AM1680*v01_KHMaxRatio)</x:f>
        <x:v>0</x:v>
      </x:c>
      <x:c r="AP1680" s="32" t="n">
        <x:f>AP1679+AN1680-AO1680</x:f>
        <x:v>0</x:v>
      </x:c>
      <x:c r="AQ1680" s="32" t="n">
        <x:f>AM1680+AO1680</x:f>
        <x:v>0</x:v>
      </x:c>
      <x:c r="AR1680" s="10" t="n">
        <x:f>IF(H1680=1,INDEX(v01_Req,G1680),0)</x:f>
        <x:v>0</x:v>
      </x:c>
      <x:c r="AS1680" s="32" t="n">
        <x:f>IF(H1680=1,IF(E1680=1,AS1679-AR1679,AS1679)+AQ1680,0)</x:f>
        <x:v>0</x:v>
      </x:c>
      <x:c r="AT1680" s="11" t="n">
        <x:f>IF(AR1680&gt;0,MIN(1,AS1680/AR1680),1)</x:f>
        <x:v>1</x:v>
      </x:c>
      <x:c r="AU1680" s="10" t="n">
        <x:f>AB1680/INDEX(v01_RepScale,G1680)</x:f>
        <x:v>90.09519605746344</x:v>
      </x:c>
      <x:c r="AV1680" s="32" t="n">
        <x:f>AM1680*60/v01_SeasonSeconds</x:f>
        <x:v>0</x:v>
      </x:c>
    </x:row>
    <x:row r="1681">
      <x:c r="A1681" s="8" t="n">
        <x:f>A1680+1</x:f>
        <x:v>1678</x:v>
      </x:c>
      <x:c r="B1681" s="9" t="n">
        <x:f>A1681*v01_SeasonSeconds/60</x:f>
        <x:v>419.5</x:v>
      </x:c>
      <x:c r="C1681" s="9" t="n">
        <x:f>A1681/4</x:f>
        <x:v>419.5</x:v>
      </x:c>
      <x:c r="D1681" s="8" t="n">
        <x:f>IF(MOD(A1681,4)=0,1,0)</x:f>
        <x:v>0</x:v>
      </x:c>
      <x:c r="E1681" s="8" t="n">
        <x:f>IF(AND(F1680&lt;=9,AS1680&gt;=AR1680),1,0)</x:f>
        <x:v>0</x:v>
      </x:c>
      <x:c r="F1681" s="8" t="n">
        <x:f>MIN(10,F1680+E1681)</x:f>
        <x:v>10</x:v>
      </x:c>
      <x:c r="G1681" s="8" t="n">
        <x:f>MIN(F1681,9)+1</x:f>
        <x:v>10</x:v>
      </x:c>
      <x:c r="H1681" s="8" t="n">
        <x:f>IF(F1681&lt;=9,1,0)</x:f>
        <x:v>0</x:v>
      </x:c>
      <x:c r="I1681" s="9" t="n">
        <x:f>MIN(10,F1680+IF(AR1680&gt;0,MIN(1,AS1680/AR1680),1))</x:f>
        <x:v>10</x:v>
      </x:c>
      <x:c r="J1681" s="32" t="n">
        <x:f>INDEX(v01_FoodCap,G1681)*Arch_FoodCap*EXP(v01_CapsByProject*SUMPRODUCT((Cap_Point&lt;=I1681)*(Cap_Kind="Food")*Cap_Ln))</x:f>
        <x:v>12000</x:v>
      </x:c>
      <x:c r="K1681" s="32" t="n">
        <x:f>J1681*MIN(1,v01_LeanBase*EXP(v01_CapsByProject*SUMPRODUCT((Cap_Point&lt;=I1681)*(Cap_Kind="Lean")*Cap_Ln)))</x:f>
        <x:v>12000</x:v>
      </x:c>
      <x:c r="L1681" s="10" t="n">
        <x:f>INDEX(v01_HousingCap,G1681)*EXP(v01_CapsByProject*SUMPRODUCT((Cap_Point&lt;=I1681)*(Cap_Kind="Housing")*Cap_Ln))</x:f>
        <x:v>20000</x:v>
      </x:c>
      <x:c r="M1681" s="10" t="n">
        <x:f>INDEX(v01_GroupCap,G1681)*v01_CohesionFactor*EXP(v01_CapsByProject*SUMPRODUCT((Cap_Point&lt;=I1681)*(Cap_Kind="Group")*Cap_Ln))</x:f>
        <x:v>1000000</x:v>
      </x:c>
      <x:c r="N1681" s="32" t="n">
        <x:f>MIN(J1681,L1681,M1681)</x:f>
        <x:v>12000</x:v>
      </x:c>
      <x:c r="O1681" s="10" t="n">
        <x:f>AE1680*N1681</x:f>
        <x:v>180000</x:v>
      </x:c>
      <x:c r="P1681" s="9" t="n">
        <x:f>MIN(1,(AB1680/(AE1680*IF(v01_GroupInCrowding=1,N1681,MIN(J1681,L1681))))^v01_CrowdingExp)</x:f>
        <x:v>0.00024569414295285325</x:v>
      </x:c>
      <x:c r="Q1681" s="9" t="n">
        <x:f>IF(D1681=1,INDEX(v01_WinterMult,G1681),1)</x:f>
        <x:v>1</x:v>
      </x:c>
      <x:c r="R1681" s="9" t="n">
        <x:f>H1681*Z1680*v01_WomenShare*v01_BaseFertility*INDEX(v01_FertMult,G1681)*Arch_Fertility*(1-P1681)</x:f>
        <x:v>0</x:v>
      </x:c>
      <x:c r="S1681" s="9" t="n">
        <x:f>H1681*Y1680*INDEX(v01_MortChild,G1681)/4*Q1681</x:f>
        <x:v>0</x:v>
      </x:c>
      <x:c r="T1681" s="9" t="n">
        <x:f>H1681*Z1680*INDEX(v01_MortAdult,G1681)*Arch_AdultMort/4*Q1681</x:f>
        <x:v>0</x:v>
      </x:c>
      <x:c r="U1681" s="9" t="n">
        <x:f>H1681*AA1680*INDEX(v01_MortElder,G1681)/4*Q1681</x:f>
        <x:v>0</x:v>
      </x:c>
      <x:c r="V1681" s="9" t="n">
        <x:f>H1681*MAX(0,AB1680-O1681)*v01_OvercapLoss</x:f>
        <x:v>0</x:v>
      </x:c>
      <x:c r="W1681" s="9" t="n">
        <x:f>H1681*Y1680/(v01_ChildYears*4)</x:f>
        <x:v>0</x:v>
      </x:c>
      <x:c r="X1681" s="9" t="n">
        <x:f>H1681*Z1680/(v01_AdultYears*4)</x:f>
        <x:v>0</x:v>
      </x:c>
      <x:c r="Y1681" s="32" t="n">
        <x:f>Y1680+R1681-S1681-W1681-Y1680*V1681/AB1680</x:f>
        <x:v>14306.18539759397</x:v>
      </x:c>
      <x:c r="Z1681" s="32" t="n">
        <x:f>Z1680+W1681-X1681-T1681-Z1680*V1681/AB1680</x:f>
        <x:v>19354.456567879548</x:v>
      </x:c>
      <x:c r="AA1681" s="32" t="n">
        <x:f>AA1680+X1681-U1681-AA1680*V1681/AB1680</x:f>
        <x:v>11386.956063258198</x:v>
      </x:c>
      <x:c r="AB1681" s="10" t="n">
        <x:f>Y1681+Z1681+AA1681</x:f>
        <x:v>45047.59802873172</x:v>
      </x:c>
      <x:c r="AC1681" s="8" t="n">
        <x:f>IF(AND(v01_WinterTrigger=1,D1681=1,AB1680/AE1680&gt;=K1681),1,0)</x:f>
        <x:v>0</x:v>
      </x:c>
      <x:c r="AD1681" s="8" t="n">
        <x:f>H1681*IF(AND(OR(AB1680/AE1680&gt;=v01_FissionTrigger*N1681,AC1681=1),AB1680/AE1680*v01_DaughterShare&gt;=v01_MinDaughter),MAX(1,ROUND(AE1680*v01_FissionRate,0)),0)</x:f>
        <x:v>0</x:v>
      </x:c>
      <x:c r="AE1681" s="8" t="n">
        <x:f>IF(H1681=1,MAX(1,MIN(INDEX(v01_Smax,G1681),AE1680+AD1681)),AE1680)</x:f>
        <x:v>15</x:v>
      </x:c>
      <x:c r="AF1681" s="8" t="n">
        <x:f>MAX(0,AE1681-AE1680)</x:f>
        <x:v>0</x:v>
      </x:c>
      <x:c r="AG1681" s="9" t="str">
        <x:f>IF(AF1681&gt;0,B1681,"")</x:f>
      </x:c>
      <x:c r="AH1681" s="9" t="n">
        <x:f>IF(F1681&gt;=1,1,(1+v01_LowTiesShare*(AE1681-1))/AE1681)</x:f>
        <x:v>1</x:v>
      </x:c>
      <x:c r="AI1681" s="32" t="n">
        <x:f>(Z1681+v01_ElderCommons*INDEX(LM_Elder,G1681)*AA1681)*AH1681</x:f>
        <x:v>64139.732591141874</x:v>
      </x:c>
      <x:c r="AJ1681" s="32" t="n">
        <x:f>H1681*v01_CommonsCoef*AI1681^v01_CommonsExp*INDEX(LM_Commons,G1681)</x:f>
        <x:v>0</x:v>
      </x:c>
      <x:c r="AK1681" s="32" t="n">
        <x:f>H1681*v01_RoleScale*Arch_Roles*(AE1681*(INDEX(v01_ElderRolePerSett,G1681)*v01_OutElder*INDEX(LM_Elder,G1681)+INDEX(v01_ShamanPerSett,G1681)*v01_OutShaman)+Z1681*(INDEX(v01_PriestShare,G1681)*v01_OutPriest+INDEX(v01_ScribeShare,G1681)*v01_OutScribe*INDEX(LM_Scribe,G1681)+INDEX(v01_ScholarShare,G1681)*v01_OutScholar*INDEX(LM_Scholar,G1681)+INDEX(v01_ResearcherShare,G1681)*v01_OutResearcher*INDEX(LM_Researcher,G1681)))</x:f>
        <x:v>0</x:v>
      </x:c>
      <x:c r="AL1681" s="32" t="n">
        <x:f>H1681*v01_RoleScale*Arch_Roles*AE1681*INDEX(v01_MonasteryPerSett,G1681)*v01_OutMonastery*INDEX(LM_Monastery,G1681)</x:f>
        <x:v>0</x:v>
      </x:c>
      <x:c r="AM1681" s="32" t="n">
        <x:f>(AJ1681+AK1681+AL1681)/4*INDEX(LM_All,G1681)*INDEX(v01_Boon,G1681)*Arch_Insight</x:f>
        <x:v>0</x:v>
      </x:c>
      <x:c r="AN1681" s="32" t="n">
        <x:f>H1681*(v01_KHPerAdult*Z1681+v01_KHOfCommons*AJ1681/4*INDEX(LM_All,G1681))*v01_KHUsable*Arch_KH</x:f>
        <x:v>0</x:v>
      </x:c>
      <x:c r="AO1681" s="32" t="n">
        <x:f>MIN(AP1680+AN1681,AM1681*v01_KHMaxRatio)</x:f>
        <x:v>0</x:v>
      </x:c>
      <x:c r="AP1681" s="32" t="n">
        <x:f>AP1680+AN1681-AO1681</x:f>
        <x:v>0</x:v>
      </x:c>
      <x:c r="AQ1681" s="32" t="n">
        <x:f>AM1681+AO1681</x:f>
        <x:v>0</x:v>
      </x:c>
      <x:c r="AR1681" s="10" t="n">
        <x:f>IF(H1681=1,INDEX(v01_Req,G1681),0)</x:f>
        <x:v>0</x:v>
      </x:c>
      <x:c r="AS1681" s="32" t="n">
        <x:f>IF(H1681=1,IF(E1681=1,AS1680-AR1680,AS1680)+AQ1681,0)</x:f>
        <x:v>0</x:v>
      </x:c>
      <x:c r="AT1681" s="11" t="n">
        <x:f>IF(AR1681&gt;0,MIN(1,AS1681/AR1681),1)</x:f>
        <x:v>1</x:v>
      </x:c>
      <x:c r="AU1681" s="10" t="n">
        <x:f>AB1681/INDEX(v01_RepScale,G1681)</x:f>
        <x:v>90.09519605746344</x:v>
      </x:c>
      <x:c r="AV1681" s="32" t="n">
        <x:f>AM1681*60/v01_SeasonSeconds</x:f>
        <x:v>0</x:v>
      </x:c>
    </x:row>
    <x:row r="1682">
      <x:c r="A1682" s="8" t="n">
        <x:f>A1681+1</x:f>
        <x:v>1679</x:v>
      </x:c>
      <x:c r="B1682" s="9" t="n">
        <x:f>A1682*v01_SeasonSeconds/60</x:f>
        <x:v>419.75</x:v>
      </x:c>
      <x:c r="C1682" s="9" t="n">
        <x:f>A1682/4</x:f>
        <x:v>419.75</x:v>
      </x:c>
      <x:c r="D1682" s="8" t="n">
        <x:f>IF(MOD(A1682,4)=0,1,0)</x:f>
        <x:v>0</x:v>
      </x:c>
      <x:c r="E1682" s="8" t="n">
        <x:f>IF(AND(F1681&lt;=9,AS1681&gt;=AR1681),1,0)</x:f>
        <x:v>0</x:v>
      </x:c>
      <x:c r="F1682" s="8" t="n">
        <x:f>MIN(10,F1681+E1682)</x:f>
        <x:v>10</x:v>
      </x:c>
      <x:c r="G1682" s="8" t="n">
        <x:f>MIN(F1682,9)+1</x:f>
        <x:v>10</x:v>
      </x:c>
      <x:c r="H1682" s="8" t="n">
        <x:f>IF(F1682&lt;=9,1,0)</x:f>
        <x:v>0</x:v>
      </x:c>
      <x:c r="I1682" s="9" t="n">
        <x:f>MIN(10,F1681+IF(AR1681&gt;0,MIN(1,AS1681/AR1681),1))</x:f>
        <x:v>10</x:v>
      </x:c>
      <x:c r="J1682" s="32" t="n">
        <x:f>INDEX(v01_FoodCap,G1682)*Arch_FoodCap*EXP(v01_CapsByProject*SUMPRODUCT((Cap_Point&lt;=I1682)*(Cap_Kind="Food")*Cap_Ln))</x:f>
        <x:v>12000</x:v>
      </x:c>
      <x:c r="K1682" s="32" t="n">
        <x:f>J1682*MIN(1,v01_LeanBase*EXP(v01_CapsByProject*SUMPRODUCT((Cap_Point&lt;=I1682)*(Cap_Kind="Lean")*Cap_Ln)))</x:f>
        <x:v>12000</x:v>
      </x:c>
      <x:c r="L1682" s="10" t="n">
        <x:f>INDEX(v01_HousingCap,G1682)*EXP(v01_CapsByProject*SUMPRODUCT((Cap_Point&lt;=I1682)*(Cap_Kind="Housing")*Cap_Ln))</x:f>
        <x:v>20000</x:v>
      </x:c>
      <x:c r="M1682" s="10" t="n">
        <x:f>INDEX(v01_GroupCap,G1682)*v01_CohesionFactor*EXP(v01_CapsByProject*SUMPRODUCT((Cap_Point&lt;=I1682)*(Cap_Kind="Group")*Cap_Ln))</x:f>
        <x:v>1000000</x:v>
      </x:c>
      <x:c r="N1682" s="32" t="n">
        <x:f>MIN(J1682,L1682,M1682)</x:f>
        <x:v>12000</x:v>
      </x:c>
      <x:c r="O1682" s="10" t="n">
        <x:f>AE1681*N1682</x:f>
        <x:v>180000</x:v>
      </x:c>
      <x:c r="P1682" s="9" t="n">
        <x:f>MIN(1,(AB1681/(AE1681*IF(v01_GroupInCrowding=1,N1682,MIN(J1682,L1682))))^v01_CrowdingExp)</x:f>
        <x:v>0.00024569414295285325</x:v>
      </x:c>
      <x:c r="Q1682" s="9" t="n">
        <x:f>IF(D1682=1,INDEX(v01_WinterMult,G1682),1)</x:f>
        <x:v>1</x:v>
      </x:c>
      <x:c r="R1682" s="9" t="n">
        <x:f>H1682*Z1681*v01_WomenShare*v01_BaseFertility*INDEX(v01_FertMult,G1682)*Arch_Fertility*(1-P1682)</x:f>
        <x:v>0</x:v>
      </x:c>
      <x:c r="S1682" s="9" t="n">
        <x:f>H1682*Y1681*INDEX(v01_MortChild,G1682)/4*Q1682</x:f>
        <x:v>0</x:v>
      </x:c>
      <x:c r="T1682" s="9" t="n">
        <x:f>H1682*Z1681*INDEX(v01_MortAdult,G1682)*Arch_AdultMort/4*Q1682</x:f>
        <x:v>0</x:v>
      </x:c>
      <x:c r="U1682" s="9" t="n">
        <x:f>H1682*AA1681*INDEX(v01_MortElder,G1682)/4*Q1682</x:f>
        <x:v>0</x:v>
      </x:c>
      <x:c r="V1682" s="9" t="n">
        <x:f>H1682*MAX(0,AB1681-O1682)*v01_OvercapLoss</x:f>
        <x:v>0</x:v>
      </x:c>
      <x:c r="W1682" s="9" t="n">
        <x:f>H1682*Y1681/(v01_ChildYears*4)</x:f>
        <x:v>0</x:v>
      </x:c>
      <x:c r="X1682" s="9" t="n">
        <x:f>H1682*Z1681/(v01_AdultYears*4)</x:f>
        <x:v>0</x:v>
      </x:c>
      <x:c r="Y1682" s="32" t="n">
        <x:f>Y1681+R1682-S1682-W1682-Y1681*V1682/AB1681</x:f>
        <x:v>14306.18539759397</x:v>
      </x:c>
      <x:c r="Z1682" s="32" t="n">
        <x:f>Z1681+W1682-X1682-T1682-Z1681*V1682/AB1681</x:f>
        <x:v>19354.456567879548</x:v>
      </x:c>
      <x:c r="AA1682" s="32" t="n">
        <x:f>AA1681+X1682-U1682-AA1681*V1682/AB1681</x:f>
        <x:v>11386.956063258198</x:v>
      </x:c>
      <x:c r="AB1682" s="10" t="n">
        <x:f>Y1682+Z1682+AA1682</x:f>
        <x:v>45047.59802873172</x:v>
      </x:c>
      <x:c r="AC1682" s="8" t="n">
        <x:f>IF(AND(v01_WinterTrigger=1,D1682=1,AB1681/AE1681&gt;=K1682),1,0)</x:f>
        <x:v>0</x:v>
      </x:c>
      <x:c r="AD1682" s="8" t="n">
        <x:f>H1682*IF(AND(OR(AB1681/AE1681&gt;=v01_FissionTrigger*N1682,AC1682=1),AB1681/AE1681*v01_DaughterShare&gt;=v01_MinDaughter),MAX(1,ROUND(AE1681*v01_FissionRate,0)),0)</x:f>
        <x:v>0</x:v>
      </x:c>
      <x:c r="AE1682" s="8" t="n">
        <x:f>IF(H1682=1,MAX(1,MIN(INDEX(v01_Smax,G1682),AE1681+AD1682)),AE1681)</x:f>
        <x:v>15</x:v>
      </x:c>
      <x:c r="AF1682" s="8" t="n">
        <x:f>MAX(0,AE1682-AE1681)</x:f>
        <x:v>0</x:v>
      </x:c>
      <x:c r="AG1682" s="9" t="str">
        <x:f>IF(AF1682&gt;0,B1682,"")</x:f>
      </x:c>
      <x:c r="AH1682" s="9" t="n">
        <x:f>IF(F1682&gt;=1,1,(1+v01_LowTiesShare*(AE1682-1))/AE1682)</x:f>
        <x:v>1</x:v>
      </x:c>
      <x:c r="AI1682" s="32" t="n">
        <x:f>(Z1682+v01_ElderCommons*INDEX(LM_Elder,G1682)*AA1682)*AH1682</x:f>
        <x:v>64139.732591141874</x:v>
      </x:c>
      <x:c r="AJ1682" s="32" t="n">
        <x:f>H1682*v01_CommonsCoef*AI1682^v01_CommonsExp*INDEX(LM_Commons,G1682)</x:f>
        <x:v>0</x:v>
      </x:c>
      <x:c r="AK1682" s="32" t="n">
        <x:f>H1682*v01_RoleScale*Arch_Roles*(AE1682*(INDEX(v01_ElderRolePerSett,G1682)*v01_OutElder*INDEX(LM_Elder,G1682)+INDEX(v01_ShamanPerSett,G1682)*v01_OutShaman)+Z1682*(INDEX(v01_PriestShare,G1682)*v01_OutPriest+INDEX(v01_ScribeShare,G1682)*v01_OutScribe*INDEX(LM_Scribe,G1682)+INDEX(v01_ScholarShare,G1682)*v01_OutScholar*INDEX(LM_Scholar,G1682)+INDEX(v01_ResearcherShare,G1682)*v01_OutResearcher*INDEX(LM_Researcher,G1682)))</x:f>
        <x:v>0</x:v>
      </x:c>
      <x:c r="AL1682" s="32" t="n">
        <x:f>H1682*v01_RoleScale*Arch_Roles*AE1682*INDEX(v01_MonasteryPerSett,G1682)*v01_OutMonastery*INDEX(LM_Monastery,G1682)</x:f>
        <x:v>0</x:v>
      </x:c>
      <x:c r="AM1682" s="32" t="n">
        <x:f>(AJ1682+AK1682+AL1682)/4*INDEX(LM_All,G1682)*INDEX(v01_Boon,G1682)*Arch_Insight</x:f>
        <x:v>0</x:v>
      </x:c>
      <x:c r="AN1682" s="32" t="n">
        <x:f>H1682*(v01_KHPerAdult*Z1682+v01_KHOfCommons*AJ1682/4*INDEX(LM_All,G1682))*v01_KHUsable*Arch_KH</x:f>
        <x:v>0</x:v>
      </x:c>
      <x:c r="AO1682" s="32" t="n">
        <x:f>MIN(AP1681+AN1682,AM1682*v01_KHMaxRatio)</x:f>
        <x:v>0</x:v>
      </x:c>
      <x:c r="AP1682" s="32" t="n">
        <x:f>AP1681+AN1682-AO1682</x:f>
        <x:v>0</x:v>
      </x:c>
      <x:c r="AQ1682" s="32" t="n">
        <x:f>AM1682+AO1682</x:f>
        <x:v>0</x:v>
      </x:c>
      <x:c r="AR1682" s="10" t="n">
        <x:f>IF(H1682=1,INDEX(v01_Req,G1682),0)</x:f>
        <x:v>0</x:v>
      </x:c>
      <x:c r="AS1682" s="32" t="n">
        <x:f>IF(H1682=1,IF(E1682=1,AS1681-AR1681,AS1681)+AQ1682,0)</x:f>
        <x:v>0</x:v>
      </x:c>
      <x:c r="AT1682" s="11" t="n">
        <x:f>IF(AR1682&gt;0,MIN(1,AS1682/AR1682),1)</x:f>
        <x:v>1</x:v>
      </x:c>
      <x:c r="AU1682" s="10" t="n">
        <x:f>AB1682/INDEX(v01_RepScale,G1682)</x:f>
        <x:v>90.09519605746344</x:v>
      </x:c>
      <x:c r="AV1682" s="32" t="n">
        <x:f>AM1682*60/v01_SeasonSeconds</x:f>
        <x:v>0</x:v>
      </x:c>
    </x:row>
    <x:row r="1683">
      <x:c r="A1683" s="8" t="n">
        <x:f>A1682+1</x:f>
        <x:v>1680</x:v>
      </x:c>
      <x:c r="B1683" s="9" t="n">
        <x:f>A1683*v01_SeasonSeconds/60</x:f>
        <x:v>420</x:v>
      </x:c>
      <x:c r="C1683" s="9" t="n">
        <x:f>A1683/4</x:f>
        <x:v>420</x:v>
      </x:c>
      <x:c r="D1683" s="8" t="n">
        <x:f>IF(MOD(A1683,4)=0,1,0)</x:f>
        <x:v>1</x:v>
      </x:c>
      <x:c r="E1683" s="8" t="n">
        <x:f>IF(AND(F1682&lt;=9,AS1682&gt;=AR1682),1,0)</x:f>
        <x:v>0</x:v>
      </x:c>
      <x:c r="F1683" s="8" t="n">
        <x:f>MIN(10,F1682+E1683)</x:f>
        <x:v>10</x:v>
      </x:c>
      <x:c r="G1683" s="8" t="n">
        <x:f>MIN(F1683,9)+1</x:f>
        <x:v>10</x:v>
      </x:c>
      <x:c r="H1683" s="8" t="n">
        <x:f>IF(F1683&lt;=9,1,0)</x:f>
        <x:v>0</x:v>
      </x:c>
      <x:c r="I1683" s="9" t="n">
        <x:f>MIN(10,F1682+IF(AR1682&gt;0,MIN(1,AS1682/AR1682),1))</x:f>
        <x:v>10</x:v>
      </x:c>
      <x:c r="J1683" s="32" t="n">
        <x:f>INDEX(v01_FoodCap,G1683)*Arch_FoodCap*EXP(v01_CapsByProject*SUMPRODUCT((Cap_Point&lt;=I1683)*(Cap_Kind="Food")*Cap_Ln))</x:f>
        <x:v>12000</x:v>
      </x:c>
      <x:c r="K1683" s="32" t="n">
        <x:f>J1683*MIN(1,v01_LeanBase*EXP(v01_CapsByProject*SUMPRODUCT((Cap_Point&lt;=I1683)*(Cap_Kind="Lean")*Cap_Ln)))</x:f>
        <x:v>12000</x:v>
      </x:c>
      <x:c r="L1683" s="10" t="n">
        <x:f>INDEX(v01_HousingCap,G1683)*EXP(v01_CapsByProject*SUMPRODUCT((Cap_Point&lt;=I1683)*(Cap_Kind="Housing")*Cap_Ln))</x:f>
        <x:v>20000</x:v>
      </x:c>
      <x:c r="M1683" s="10" t="n">
        <x:f>INDEX(v01_GroupCap,G1683)*v01_CohesionFactor*EXP(v01_CapsByProject*SUMPRODUCT((Cap_Point&lt;=I1683)*(Cap_Kind="Group")*Cap_Ln))</x:f>
        <x:v>1000000</x:v>
      </x:c>
      <x:c r="N1683" s="32" t="n">
        <x:f>MIN(J1683,L1683,M1683)</x:f>
        <x:v>12000</x:v>
      </x:c>
      <x:c r="O1683" s="10" t="n">
        <x:f>AE1682*N1683</x:f>
        <x:v>180000</x:v>
      </x:c>
      <x:c r="P1683" s="9" t="n">
        <x:f>MIN(1,(AB1682/(AE1682*IF(v01_GroupInCrowding=1,N1683,MIN(J1683,L1683))))^v01_CrowdingExp)</x:f>
        <x:v>0.00024569414295285325</x:v>
      </x:c>
      <x:c r="Q1683" s="9" t="n">
        <x:f>IF(D1683=1,INDEX(v01_WinterMult,G1683),1)</x:f>
        <x:v>1</x:v>
      </x:c>
      <x:c r="R1683" s="9" t="n">
        <x:f>H1683*Z1682*v01_WomenShare*v01_BaseFertility*INDEX(v01_FertMult,G1683)*Arch_Fertility*(1-P1683)</x:f>
        <x:v>0</x:v>
      </x:c>
      <x:c r="S1683" s="9" t="n">
        <x:f>H1683*Y1682*INDEX(v01_MortChild,G1683)/4*Q1683</x:f>
        <x:v>0</x:v>
      </x:c>
      <x:c r="T1683" s="9" t="n">
        <x:f>H1683*Z1682*INDEX(v01_MortAdult,G1683)*Arch_AdultMort/4*Q1683</x:f>
        <x:v>0</x:v>
      </x:c>
      <x:c r="U1683" s="9" t="n">
        <x:f>H1683*AA1682*INDEX(v01_MortElder,G1683)/4*Q1683</x:f>
        <x:v>0</x:v>
      </x:c>
      <x:c r="V1683" s="9" t="n">
        <x:f>H1683*MAX(0,AB1682-O1683)*v01_OvercapLoss</x:f>
        <x:v>0</x:v>
      </x:c>
      <x:c r="W1683" s="9" t="n">
        <x:f>H1683*Y1682/(v01_ChildYears*4)</x:f>
        <x:v>0</x:v>
      </x:c>
      <x:c r="X1683" s="9" t="n">
        <x:f>H1683*Z1682/(v01_AdultYears*4)</x:f>
        <x:v>0</x:v>
      </x:c>
      <x:c r="Y1683" s="32" t="n">
        <x:f>Y1682+R1683-S1683-W1683-Y1682*V1683/AB1682</x:f>
        <x:v>14306.18539759397</x:v>
      </x:c>
      <x:c r="Z1683" s="32" t="n">
        <x:f>Z1682+W1683-X1683-T1683-Z1682*V1683/AB1682</x:f>
        <x:v>19354.456567879548</x:v>
      </x:c>
      <x:c r="AA1683" s="32" t="n">
        <x:f>AA1682+X1683-U1683-AA1682*V1683/AB1682</x:f>
        <x:v>11386.956063258198</x:v>
      </x:c>
      <x:c r="AB1683" s="10" t="n">
        <x:f>Y1683+Z1683+AA1683</x:f>
        <x:v>45047.59802873172</x:v>
      </x:c>
      <x:c r="AC1683" s="8" t="n">
        <x:f>IF(AND(v01_WinterTrigger=1,D1683=1,AB1682/AE1682&gt;=K1683),1,0)</x:f>
        <x:v>0</x:v>
      </x:c>
      <x:c r="AD1683" s="8" t="n">
        <x:f>H1683*IF(AND(OR(AB1682/AE1682&gt;=v01_FissionTrigger*N1683,AC1683=1),AB1682/AE1682*v01_DaughterShare&gt;=v01_MinDaughter),MAX(1,ROUND(AE1682*v01_FissionRate,0)),0)</x:f>
        <x:v>0</x:v>
      </x:c>
      <x:c r="AE1683" s="8" t="n">
        <x:f>IF(H1683=1,MAX(1,MIN(INDEX(v01_Smax,G1683),AE1682+AD1683)),AE1682)</x:f>
        <x:v>15</x:v>
      </x:c>
      <x:c r="AF1683" s="8" t="n">
        <x:f>MAX(0,AE1683-AE1682)</x:f>
        <x:v>0</x:v>
      </x:c>
      <x:c r="AG1683" s="9" t="str">
        <x:f>IF(AF1683&gt;0,B1683,"")</x:f>
      </x:c>
      <x:c r="AH1683" s="9" t="n">
        <x:f>IF(F1683&gt;=1,1,(1+v01_LowTiesShare*(AE1683-1))/AE1683)</x:f>
        <x:v>1</x:v>
      </x:c>
      <x:c r="AI1683" s="32" t="n">
        <x:f>(Z1683+v01_ElderCommons*INDEX(LM_Elder,G1683)*AA1683)*AH1683</x:f>
        <x:v>64139.732591141874</x:v>
      </x:c>
      <x:c r="AJ1683" s="32" t="n">
        <x:f>H1683*v01_CommonsCoef*AI1683^v01_CommonsExp*INDEX(LM_Commons,G1683)</x:f>
        <x:v>0</x:v>
      </x:c>
      <x:c r="AK1683" s="32" t="n">
        <x:f>H1683*v01_RoleScale*Arch_Roles*(AE1683*(INDEX(v01_ElderRolePerSett,G1683)*v01_OutElder*INDEX(LM_Elder,G1683)+INDEX(v01_ShamanPerSett,G1683)*v01_OutShaman)+Z1683*(INDEX(v01_PriestShare,G1683)*v01_OutPriest+INDEX(v01_ScribeShare,G1683)*v01_OutScribe*INDEX(LM_Scribe,G1683)+INDEX(v01_ScholarShare,G1683)*v01_OutScholar*INDEX(LM_Scholar,G1683)+INDEX(v01_ResearcherShare,G1683)*v01_OutResearcher*INDEX(LM_Researcher,G1683)))</x:f>
        <x:v>0</x:v>
      </x:c>
      <x:c r="AL1683" s="32" t="n">
        <x:f>H1683*v01_RoleScale*Arch_Roles*AE1683*INDEX(v01_MonasteryPerSett,G1683)*v01_OutMonastery*INDEX(LM_Monastery,G1683)</x:f>
        <x:v>0</x:v>
      </x:c>
      <x:c r="AM1683" s="32" t="n">
        <x:f>(AJ1683+AK1683+AL1683)/4*INDEX(LM_All,G1683)*INDEX(v01_Boon,G1683)*Arch_Insight</x:f>
        <x:v>0</x:v>
      </x:c>
      <x:c r="AN1683" s="32" t="n">
        <x:f>H1683*(v01_KHPerAdult*Z1683+v01_KHOfCommons*AJ1683/4*INDEX(LM_All,G1683))*v01_KHUsable*Arch_KH</x:f>
        <x:v>0</x:v>
      </x:c>
      <x:c r="AO1683" s="32" t="n">
        <x:f>MIN(AP1682+AN1683,AM1683*v01_KHMaxRatio)</x:f>
        <x:v>0</x:v>
      </x:c>
      <x:c r="AP1683" s="32" t="n">
        <x:f>AP1682+AN1683-AO1683</x:f>
        <x:v>0</x:v>
      </x:c>
      <x:c r="AQ1683" s="32" t="n">
        <x:f>AM1683+AO1683</x:f>
        <x:v>0</x:v>
      </x:c>
      <x:c r="AR1683" s="10" t="n">
        <x:f>IF(H1683=1,INDEX(v01_Req,G1683),0)</x:f>
        <x:v>0</x:v>
      </x:c>
      <x:c r="AS1683" s="32" t="n">
        <x:f>IF(H1683=1,IF(E1683=1,AS1682-AR1682,AS1682)+AQ1683,0)</x:f>
        <x:v>0</x:v>
      </x:c>
      <x:c r="AT1683" s="11" t="n">
        <x:f>IF(AR1683&gt;0,MIN(1,AS1683/AR1683),1)</x:f>
        <x:v>1</x:v>
      </x:c>
      <x:c r="AU1683" s="10" t="n">
        <x:f>AB1683/INDEX(v01_RepScale,G1683)</x:f>
        <x:v>90.09519605746344</x:v>
      </x:c>
      <x:c r="AV1683" s="32" t="n">
        <x:f>AM1683*60/v01_SeasonSeconds</x:f>
        <x:v>0</x:v>
      </x:c>
    </x:row>
    <x:row r="1684">
      <x:c r="A1684" s="8" t="n">
        <x:f>A1683+1</x:f>
        <x:v>1681</x:v>
      </x:c>
      <x:c r="B1684" s="9" t="n">
        <x:f>A1684*v01_SeasonSeconds/60</x:f>
        <x:v>420.25</x:v>
      </x:c>
      <x:c r="C1684" s="9" t="n">
        <x:f>A1684/4</x:f>
        <x:v>420.25</x:v>
      </x:c>
      <x:c r="D1684" s="8" t="n">
        <x:f>IF(MOD(A1684,4)=0,1,0)</x:f>
        <x:v>0</x:v>
      </x:c>
      <x:c r="E1684" s="8" t="n">
        <x:f>IF(AND(F1683&lt;=9,AS1683&gt;=AR1683),1,0)</x:f>
        <x:v>0</x:v>
      </x:c>
      <x:c r="F1684" s="8" t="n">
        <x:f>MIN(10,F1683+E1684)</x:f>
        <x:v>10</x:v>
      </x:c>
      <x:c r="G1684" s="8" t="n">
        <x:f>MIN(F1684,9)+1</x:f>
        <x:v>10</x:v>
      </x:c>
      <x:c r="H1684" s="8" t="n">
        <x:f>IF(F1684&lt;=9,1,0)</x:f>
        <x:v>0</x:v>
      </x:c>
      <x:c r="I1684" s="9" t="n">
        <x:f>MIN(10,F1683+IF(AR1683&gt;0,MIN(1,AS1683/AR1683),1))</x:f>
        <x:v>10</x:v>
      </x:c>
      <x:c r="J1684" s="32" t="n">
        <x:f>INDEX(v01_FoodCap,G1684)*Arch_FoodCap*EXP(v01_CapsByProject*SUMPRODUCT((Cap_Point&lt;=I1684)*(Cap_Kind="Food")*Cap_Ln))</x:f>
        <x:v>12000</x:v>
      </x:c>
      <x:c r="K1684" s="32" t="n">
        <x:f>J1684*MIN(1,v01_LeanBase*EXP(v01_CapsByProject*SUMPRODUCT((Cap_Point&lt;=I1684)*(Cap_Kind="Lean")*Cap_Ln)))</x:f>
        <x:v>12000</x:v>
      </x:c>
      <x:c r="L1684" s="10" t="n">
        <x:f>INDEX(v01_HousingCap,G1684)*EXP(v01_CapsByProject*SUMPRODUCT((Cap_Point&lt;=I1684)*(Cap_Kind="Housing")*Cap_Ln))</x:f>
        <x:v>20000</x:v>
      </x:c>
      <x:c r="M1684" s="10" t="n">
        <x:f>INDEX(v01_GroupCap,G1684)*v01_CohesionFactor*EXP(v01_CapsByProject*SUMPRODUCT((Cap_Point&lt;=I1684)*(Cap_Kind="Group")*Cap_Ln))</x:f>
        <x:v>1000000</x:v>
      </x:c>
      <x:c r="N1684" s="32" t="n">
        <x:f>MIN(J1684,L1684,M1684)</x:f>
        <x:v>12000</x:v>
      </x:c>
      <x:c r="O1684" s="10" t="n">
        <x:f>AE1683*N1684</x:f>
        <x:v>180000</x:v>
      </x:c>
      <x:c r="P1684" s="9" t="n">
        <x:f>MIN(1,(AB1683/(AE1683*IF(v01_GroupInCrowding=1,N1684,MIN(J1684,L1684))))^v01_CrowdingExp)</x:f>
        <x:v>0.00024569414295285325</x:v>
      </x:c>
      <x:c r="Q1684" s="9" t="n">
        <x:f>IF(D1684=1,INDEX(v01_WinterMult,G1684),1)</x:f>
        <x:v>1</x:v>
      </x:c>
      <x:c r="R1684" s="9" t="n">
        <x:f>H1684*Z1683*v01_WomenShare*v01_BaseFertility*INDEX(v01_FertMult,G1684)*Arch_Fertility*(1-P1684)</x:f>
        <x:v>0</x:v>
      </x:c>
      <x:c r="S1684" s="9" t="n">
        <x:f>H1684*Y1683*INDEX(v01_MortChild,G1684)/4*Q1684</x:f>
        <x:v>0</x:v>
      </x:c>
      <x:c r="T1684" s="9" t="n">
        <x:f>H1684*Z1683*INDEX(v01_MortAdult,G1684)*Arch_AdultMort/4*Q1684</x:f>
        <x:v>0</x:v>
      </x:c>
      <x:c r="U1684" s="9" t="n">
        <x:f>H1684*AA1683*INDEX(v01_MortElder,G1684)/4*Q1684</x:f>
        <x:v>0</x:v>
      </x:c>
      <x:c r="V1684" s="9" t="n">
        <x:f>H1684*MAX(0,AB1683-O1684)*v01_OvercapLoss</x:f>
        <x:v>0</x:v>
      </x:c>
      <x:c r="W1684" s="9" t="n">
        <x:f>H1684*Y1683/(v01_ChildYears*4)</x:f>
        <x:v>0</x:v>
      </x:c>
      <x:c r="X1684" s="9" t="n">
        <x:f>H1684*Z1683/(v01_AdultYears*4)</x:f>
        <x:v>0</x:v>
      </x:c>
      <x:c r="Y1684" s="32" t="n">
        <x:f>Y1683+R1684-S1684-W1684-Y1683*V1684/AB1683</x:f>
        <x:v>14306.18539759397</x:v>
      </x:c>
      <x:c r="Z1684" s="32" t="n">
        <x:f>Z1683+W1684-X1684-T1684-Z1683*V1684/AB1683</x:f>
        <x:v>19354.456567879548</x:v>
      </x:c>
      <x:c r="AA1684" s="32" t="n">
        <x:f>AA1683+X1684-U1684-AA1683*V1684/AB1683</x:f>
        <x:v>11386.956063258198</x:v>
      </x:c>
      <x:c r="AB1684" s="10" t="n">
        <x:f>Y1684+Z1684+AA1684</x:f>
        <x:v>45047.59802873172</x:v>
      </x:c>
      <x:c r="AC1684" s="8" t="n">
        <x:f>IF(AND(v01_WinterTrigger=1,D1684=1,AB1683/AE1683&gt;=K1684),1,0)</x:f>
        <x:v>0</x:v>
      </x:c>
      <x:c r="AD1684" s="8" t="n">
        <x:f>H1684*IF(AND(OR(AB1683/AE1683&gt;=v01_FissionTrigger*N1684,AC1684=1),AB1683/AE1683*v01_DaughterShare&gt;=v01_MinDaughter),MAX(1,ROUND(AE1683*v01_FissionRate,0)),0)</x:f>
        <x:v>0</x:v>
      </x:c>
      <x:c r="AE1684" s="8" t="n">
        <x:f>IF(H1684=1,MAX(1,MIN(INDEX(v01_Smax,G1684),AE1683+AD1684)),AE1683)</x:f>
        <x:v>15</x:v>
      </x:c>
      <x:c r="AF1684" s="8" t="n">
        <x:f>MAX(0,AE1684-AE1683)</x:f>
        <x:v>0</x:v>
      </x:c>
      <x:c r="AG1684" s="9" t="str">
        <x:f>IF(AF1684&gt;0,B1684,"")</x:f>
      </x:c>
      <x:c r="AH1684" s="9" t="n">
        <x:f>IF(F1684&gt;=1,1,(1+v01_LowTiesShare*(AE1684-1))/AE1684)</x:f>
        <x:v>1</x:v>
      </x:c>
      <x:c r="AI1684" s="32" t="n">
        <x:f>(Z1684+v01_ElderCommons*INDEX(LM_Elder,G1684)*AA1684)*AH1684</x:f>
        <x:v>64139.732591141874</x:v>
      </x:c>
      <x:c r="AJ1684" s="32" t="n">
        <x:f>H1684*v01_CommonsCoef*AI1684^v01_CommonsExp*INDEX(LM_Commons,G1684)</x:f>
        <x:v>0</x:v>
      </x:c>
      <x:c r="AK1684" s="32" t="n">
        <x:f>H1684*v01_RoleScale*Arch_Roles*(AE1684*(INDEX(v01_ElderRolePerSett,G1684)*v01_OutElder*INDEX(LM_Elder,G1684)+INDEX(v01_ShamanPerSett,G1684)*v01_OutShaman)+Z1684*(INDEX(v01_PriestShare,G1684)*v01_OutPriest+INDEX(v01_ScribeShare,G1684)*v01_OutScribe*INDEX(LM_Scribe,G1684)+INDEX(v01_ScholarShare,G1684)*v01_OutScholar*INDEX(LM_Scholar,G1684)+INDEX(v01_ResearcherShare,G1684)*v01_OutResearcher*INDEX(LM_Researcher,G1684)))</x:f>
        <x:v>0</x:v>
      </x:c>
      <x:c r="AL1684" s="32" t="n">
        <x:f>H1684*v01_RoleScale*Arch_Roles*AE1684*INDEX(v01_MonasteryPerSett,G1684)*v01_OutMonastery*INDEX(LM_Monastery,G1684)</x:f>
        <x:v>0</x:v>
      </x:c>
      <x:c r="AM1684" s="32" t="n">
        <x:f>(AJ1684+AK1684+AL1684)/4*INDEX(LM_All,G1684)*INDEX(v01_Boon,G1684)*Arch_Insight</x:f>
        <x:v>0</x:v>
      </x:c>
      <x:c r="AN1684" s="32" t="n">
        <x:f>H1684*(v01_KHPerAdult*Z1684+v01_KHOfCommons*AJ1684/4*INDEX(LM_All,G1684))*v01_KHUsable*Arch_KH</x:f>
        <x:v>0</x:v>
      </x:c>
      <x:c r="AO1684" s="32" t="n">
        <x:f>MIN(AP1683+AN1684,AM1684*v01_KHMaxRatio)</x:f>
        <x:v>0</x:v>
      </x:c>
      <x:c r="AP1684" s="32" t="n">
        <x:f>AP1683+AN1684-AO1684</x:f>
        <x:v>0</x:v>
      </x:c>
      <x:c r="AQ1684" s="32" t="n">
        <x:f>AM1684+AO1684</x:f>
        <x:v>0</x:v>
      </x:c>
      <x:c r="AR1684" s="10" t="n">
        <x:f>IF(H1684=1,INDEX(v01_Req,G1684),0)</x:f>
        <x:v>0</x:v>
      </x:c>
      <x:c r="AS1684" s="32" t="n">
        <x:f>IF(H1684=1,IF(E1684=1,AS1683-AR1683,AS1683)+AQ1684,0)</x:f>
        <x:v>0</x:v>
      </x:c>
      <x:c r="AT1684" s="11" t="n">
        <x:f>IF(AR1684&gt;0,MIN(1,AS1684/AR1684),1)</x:f>
        <x:v>1</x:v>
      </x:c>
      <x:c r="AU1684" s="10" t="n">
        <x:f>AB1684/INDEX(v01_RepScale,G1684)</x:f>
        <x:v>90.09519605746344</x:v>
      </x:c>
      <x:c r="AV1684" s="32" t="n">
        <x:f>AM1684*60/v01_SeasonSeconds</x:f>
        <x:v>0</x:v>
      </x:c>
    </x:row>
    <x:row r="1685">
      <x:c r="A1685" s="8" t="n">
        <x:f>A1684+1</x:f>
        <x:v>1682</x:v>
      </x:c>
      <x:c r="B1685" s="9" t="n">
        <x:f>A1685*v01_SeasonSeconds/60</x:f>
        <x:v>420.5</x:v>
      </x:c>
      <x:c r="C1685" s="9" t="n">
        <x:f>A1685/4</x:f>
        <x:v>420.5</x:v>
      </x:c>
      <x:c r="D1685" s="8" t="n">
        <x:f>IF(MOD(A1685,4)=0,1,0)</x:f>
        <x:v>0</x:v>
      </x:c>
      <x:c r="E1685" s="8" t="n">
        <x:f>IF(AND(F1684&lt;=9,AS1684&gt;=AR1684),1,0)</x:f>
        <x:v>0</x:v>
      </x:c>
      <x:c r="F1685" s="8" t="n">
        <x:f>MIN(10,F1684+E1685)</x:f>
        <x:v>10</x:v>
      </x:c>
      <x:c r="G1685" s="8" t="n">
        <x:f>MIN(F1685,9)+1</x:f>
        <x:v>10</x:v>
      </x:c>
      <x:c r="H1685" s="8" t="n">
        <x:f>IF(F1685&lt;=9,1,0)</x:f>
        <x:v>0</x:v>
      </x:c>
      <x:c r="I1685" s="9" t="n">
        <x:f>MIN(10,F1684+IF(AR1684&gt;0,MIN(1,AS1684/AR1684),1))</x:f>
        <x:v>10</x:v>
      </x:c>
      <x:c r="J1685" s="32" t="n">
        <x:f>INDEX(v01_FoodCap,G1685)*Arch_FoodCap*EXP(v01_CapsByProject*SUMPRODUCT((Cap_Point&lt;=I1685)*(Cap_Kind="Food")*Cap_Ln))</x:f>
        <x:v>12000</x:v>
      </x:c>
      <x:c r="K1685" s="32" t="n">
        <x:f>J1685*MIN(1,v01_LeanBase*EXP(v01_CapsByProject*SUMPRODUCT((Cap_Point&lt;=I1685)*(Cap_Kind="Lean")*Cap_Ln)))</x:f>
        <x:v>12000</x:v>
      </x:c>
      <x:c r="L1685" s="10" t="n">
        <x:f>INDEX(v01_HousingCap,G1685)*EXP(v01_CapsByProject*SUMPRODUCT((Cap_Point&lt;=I1685)*(Cap_Kind="Housing")*Cap_Ln))</x:f>
        <x:v>20000</x:v>
      </x:c>
      <x:c r="M1685" s="10" t="n">
        <x:f>INDEX(v01_GroupCap,G1685)*v01_CohesionFactor*EXP(v01_CapsByProject*SUMPRODUCT((Cap_Point&lt;=I1685)*(Cap_Kind="Group")*Cap_Ln))</x:f>
        <x:v>1000000</x:v>
      </x:c>
      <x:c r="N1685" s="32" t="n">
        <x:f>MIN(J1685,L1685,M1685)</x:f>
        <x:v>12000</x:v>
      </x:c>
      <x:c r="O1685" s="10" t="n">
        <x:f>AE1684*N1685</x:f>
        <x:v>180000</x:v>
      </x:c>
      <x:c r="P1685" s="9" t="n">
        <x:f>MIN(1,(AB1684/(AE1684*IF(v01_GroupInCrowding=1,N1685,MIN(J1685,L1685))))^v01_CrowdingExp)</x:f>
        <x:v>0.00024569414295285325</x:v>
      </x:c>
      <x:c r="Q1685" s="9" t="n">
        <x:f>IF(D1685=1,INDEX(v01_WinterMult,G1685),1)</x:f>
        <x:v>1</x:v>
      </x:c>
      <x:c r="R1685" s="9" t="n">
        <x:f>H1685*Z1684*v01_WomenShare*v01_BaseFertility*INDEX(v01_FertMult,G1685)*Arch_Fertility*(1-P1685)</x:f>
        <x:v>0</x:v>
      </x:c>
      <x:c r="S1685" s="9" t="n">
        <x:f>H1685*Y1684*INDEX(v01_MortChild,G1685)/4*Q1685</x:f>
        <x:v>0</x:v>
      </x:c>
      <x:c r="T1685" s="9" t="n">
        <x:f>H1685*Z1684*INDEX(v01_MortAdult,G1685)*Arch_AdultMort/4*Q1685</x:f>
        <x:v>0</x:v>
      </x:c>
      <x:c r="U1685" s="9" t="n">
        <x:f>H1685*AA1684*INDEX(v01_MortElder,G1685)/4*Q1685</x:f>
        <x:v>0</x:v>
      </x:c>
      <x:c r="V1685" s="9" t="n">
        <x:f>H1685*MAX(0,AB1684-O1685)*v01_OvercapLoss</x:f>
        <x:v>0</x:v>
      </x:c>
      <x:c r="W1685" s="9" t="n">
        <x:f>H1685*Y1684/(v01_ChildYears*4)</x:f>
        <x:v>0</x:v>
      </x:c>
      <x:c r="X1685" s="9" t="n">
        <x:f>H1685*Z1684/(v01_AdultYears*4)</x:f>
        <x:v>0</x:v>
      </x:c>
      <x:c r="Y1685" s="32" t="n">
        <x:f>Y1684+R1685-S1685-W1685-Y1684*V1685/AB1684</x:f>
        <x:v>14306.18539759397</x:v>
      </x:c>
      <x:c r="Z1685" s="32" t="n">
        <x:f>Z1684+W1685-X1685-T1685-Z1684*V1685/AB1684</x:f>
        <x:v>19354.456567879548</x:v>
      </x:c>
      <x:c r="AA1685" s="32" t="n">
        <x:f>AA1684+X1685-U1685-AA1684*V1685/AB1684</x:f>
        <x:v>11386.956063258198</x:v>
      </x:c>
      <x:c r="AB1685" s="10" t="n">
        <x:f>Y1685+Z1685+AA1685</x:f>
        <x:v>45047.59802873172</x:v>
      </x:c>
      <x:c r="AC1685" s="8" t="n">
        <x:f>IF(AND(v01_WinterTrigger=1,D1685=1,AB1684/AE1684&gt;=K1685),1,0)</x:f>
        <x:v>0</x:v>
      </x:c>
      <x:c r="AD1685" s="8" t="n">
        <x:f>H1685*IF(AND(OR(AB1684/AE1684&gt;=v01_FissionTrigger*N1685,AC1685=1),AB1684/AE1684*v01_DaughterShare&gt;=v01_MinDaughter),MAX(1,ROUND(AE1684*v01_FissionRate,0)),0)</x:f>
        <x:v>0</x:v>
      </x:c>
      <x:c r="AE1685" s="8" t="n">
        <x:f>IF(H1685=1,MAX(1,MIN(INDEX(v01_Smax,G1685),AE1684+AD1685)),AE1684)</x:f>
        <x:v>15</x:v>
      </x:c>
      <x:c r="AF1685" s="8" t="n">
        <x:f>MAX(0,AE1685-AE1684)</x:f>
        <x:v>0</x:v>
      </x:c>
      <x:c r="AG1685" s="9" t="str">
        <x:f>IF(AF1685&gt;0,B1685,"")</x:f>
      </x:c>
      <x:c r="AH1685" s="9" t="n">
        <x:f>IF(F1685&gt;=1,1,(1+v01_LowTiesShare*(AE1685-1))/AE1685)</x:f>
        <x:v>1</x:v>
      </x:c>
      <x:c r="AI1685" s="32" t="n">
        <x:f>(Z1685+v01_ElderCommons*INDEX(LM_Elder,G1685)*AA1685)*AH1685</x:f>
        <x:v>64139.732591141874</x:v>
      </x:c>
      <x:c r="AJ1685" s="32" t="n">
        <x:f>H1685*v01_CommonsCoef*AI1685^v01_CommonsExp*INDEX(LM_Commons,G1685)</x:f>
        <x:v>0</x:v>
      </x:c>
      <x:c r="AK1685" s="32" t="n">
        <x:f>H1685*v01_RoleScale*Arch_Roles*(AE1685*(INDEX(v01_ElderRolePerSett,G1685)*v01_OutElder*INDEX(LM_Elder,G1685)+INDEX(v01_ShamanPerSett,G1685)*v01_OutShaman)+Z1685*(INDEX(v01_PriestShare,G1685)*v01_OutPriest+INDEX(v01_ScribeShare,G1685)*v01_OutScribe*INDEX(LM_Scribe,G1685)+INDEX(v01_ScholarShare,G1685)*v01_OutScholar*INDEX(LM_Scholar,G1685)+INDEX(v01_ResearcherShare,G1685)*v01_OutResearcher*INDEX(LM_Researcher,G1685)))</x:f>
        <x:v>0</x:v>
      </x:c>
      <x:c r="AL1685" s="32" t="n">
        <x:f>H1685*v01_RoleScale*Arch_Roles*AE1685*INDEX(v01_MonasteryPerSett,G1685)*v01_OutMonastery*INDEX(LM_Monastery,G1685)</x:f>
        <x:v>0</x:v>
      </x:c>
      <x:c r="AM1685" s="32" t="n">
        <x:f>(AJ1685+AK1685+AL1685)/4*INDEX(LM_All,G1685)*INDEX(v01_Boon,G1685)*Arch_Insight</x:f>
        <x:v>0</x:v>
      </x:c>
      <x:c r="AN1685" s="32" t="n">
        <x:f>H1685*(v01_KHPerAdult*Z1685+v01_KHOfCommons*AJ1685/4*INDEX(LM_All,G1685))*v01_KHUsable*Arch_KH</x:f>
        <x:v>0</x:v>
      </x:c>
      <x:c r="AO1685" s="32" t="n">
        <x:f>MIN(AP1684+AN1685,AM1685*v01_KHMaxRatio)</x:f>
        <x:v>0</x:v>
      </x:c>
      <x:c r="AP1685" s="32" t="n">
        <x:f>AP1684+AN1685-AO1685</x:f>
        <x:v>0</x:v>
      </x:c>
      <x:c r="AQ1685" s="32" t="n">
        <x:f>AM1685+AO1685</x:f>
        <x:v>0</x:v>
      </x:c>
      <x:c r="AR1685" s="10" t="n">
        <x:f>IF(H1685=1,INDEX(v01_Req,G1685),0)</x:f>
        <x:v>0</x:v>
      </x:c>
      <x:c r="AS1685" s="32" t="n">
        <x:f>IF(H1685=1,IF(E1685=1,AS1684-AR1684,AS1684)+AQ1685,0)</x:f>
        <x:v>0</x:v>
      </x:c>
      <x:c r="AT1685" s="11" t="n">
        <x:f>IF(AR1685&gt;0,MIN(1,AS1685/AR1685),1)</x:f>
        <x:v>1</x:v>
      </x:c>
      <x:c r="AU1685" s="10" t="n">
        <x:f>AB1685/INDEX(v01_RepScale,G1685)</x:f>
        <x:v>90.09519605746344</x:v>
      </x:c>
      <x:c r="AV1685" s="32" t="n">
        <x:f>AM1685*60/v01_SeasonSeconds</x:f>
        <x:v>0</x:v>
      </x:c>
    </x:row>
    <x:row r="1686">
      <x:c r="A1686" s="8" t="n">
        <x:f>A1685+1</x:f>
        <x:v>1683</x:v>
      </x:c>
      <x:c r="B1686" s="9" t="n">
        <x:f>A1686*v01_SeasonSeconds/60</x:f>
        <x:v>420.75</x:v>
      </x:c>
      <x:c r="C1686" s="9" t="n">
        <x:f>A1686/4</x:f>
        <x:v>420.75</x:v>
      </x:c>
      <x:c r="D1686" s="8" t="n">
        <x:f>IF(MOD(A1686,4)=0,1,0)</x:f>
        <x:v>0</x:v>
      </x:c>
      <x:c r="E1686" s="8" t="n">
        <x:f>IF(AND(F1685&lt;=9,AS1685&gt;=AR1685),1,0)</x:f>
        <x:v>0</x:v>
      </x:c>
      <x:c r="F1686" s="8" t="n">
        <x:f>MIN(10,F1685+E1686)</x:f>
        <x:v>10</x:v>
      </x:c>
      <x:c r="G1686" s="8" t="n">
        <x:f>MIN(F1686,9)+1</x:f>
        <x:v>10</x:v>
      </x:c>
      <x:c r="H1686" s="8" t="n">
        <x:f>IF(F1686&lt;=9,1,0)</x:f>
        <x:v>0</x:v>
      </x:c>
      <x:c r="I1686" s="9" t="n">
        <x:f>MIN(10,F1685+IF(AR1685&gt;0,MIN(1,AS1685/AR1685),1))</x:f>
        <x:v>10</x:v>
      </x:c>
      <x:c r="J1686" s="32" t="n">
        <x:f>INDEX(v01_FoodCap,G1686)*Arch_FoodCap*EXP(v01_CapsByProject*SUMPRODUCT((Cap_Point&lt;=I1686)*(Cap_Kind="Food")*Cap_Ln))</x:f>
        <x:v>12000</x:v>
      </x:c>
      <x:c r="K1686" s="32" t="n">
        <x:f>J1686*MIN(1,v01_LeanBase*EXP(v01_CapsByProject*SUMPRODUCT((Cap_Point&lt;=I1686)*(Cap_Kind="Lean")*Cap_Ln)))</x:f>
        <x:v>12000</x:v>
      </x:c>
      <x:c r="L1686" s="10" t="n">
        <x:f>INDEX(v01_HousingCap,G1686)*EXP(v01_CapsByProject*SUMPRODUCT((Cap_Point&lt;=I1686)*(Cap_Kind="Housing")*Cap_Ln))</x:f>
        <x:v>20000</x:v>
      </x:c>
      <x:c r="M1686" s="10" t="n">
        <x:f>INDEX(v01_GroupCap,G1686)*v01_CohesionFactor*EXP(v01_CapsByProject*SUMPRODUCT((Cap_Point&lt;=I1686)*(Cap_Kind="Group")*Cap_Ln))</x:f>
        <x:v>1000000</x:v>
      </x:c>
      <x:c r="N1686" s="32" t="n">
        <x:f>MIN(J1686,L1686,M1686)</x:f>
        <x:v>12000</x:v>
      </x:c>
      <x:c r="O1686" s="10" t="n">
        <x:f>AE1685*N1686</x:f>
        <x:v>180000</x:v>
      </x:c>
      <x:c r="P1686" s="9" t="n">
        <x:f>MIN(1,(AB1685/(AE1685*IF(v01_GroupInCrowding=1,N1686,MIN(J1686,L1686))))^v01_CrowdingExp)</x:f>
        <x:v>0.00024569414295285325</x:v>
      </x:c>
      <x:c r="Q1686" s="9" t="n">
        <x:f>IF(D1686=1,INDEX(v01_WinterMult,G1686),1)</x:f>
        <x:v>1</x:v>
      </x:c>
      <x:c r="R1686" s="9" t="n">
        <x:f>H1686*Z1685*v01_WomenShare*v01_BaseFertility*INDEX(v01_FertMult,G1686)*Arch_Fertility*(1-P1686)</x:f>
        <x:v>0</x:v>
      </x:c>
      <x:c r="S1686" s="9" t="n">
        <x:f>H1686*Y1685*INDEX(v01_MortChild,G1686)/4*Q1686</x:f>
        <x:v>0</x:v>
      </x:c>
      <x:c r="T1686" s="9" t="n">
        <x:f>H1686*Z1685*INDEX(v01_MortAdult,G1686)*Arch_AdultMort/4*Q1686</x:f>
        <x:v>0</x:v>
      </x:c>
      <x:c r="U1686" s="9" t="n">
        <x:f>H1686*AA1685*INDEX(v01_MortElder,G1686)/4*Q1686</x:f>
        <x:v>0</x:v>
      </x:c>
      <x:c r="V1686" s="9" t="n">
        <x:f>H1686*MAX(0,AB1685-O1686)*v01_OvercapLoss</x:f>
        <x:v>0</x:v>
      </x:c>
      <x:c r="W1686" s="9" t="n">
        <x:f>H1686*Y1685/(v01_ChildYears*4)</x:f>
        <x:v>0</x:v>
      </x:c>
      <x:c r="X1686" s="9" t="n">
        <x:f>H1686*Z1685/(v01_AdultYears*4)</x:f>
        <x:v>0</x:v>
      </x:c>
      <x:c r="Y1686" s="32" t="n">
        <x:f>Y1685+R1686-S1686-W1686-Y1685*V1686/AB1685</x:f>
        <x:v>14306.18539759397</x:v>
      </x:c>
      <x:c r="Z1686" s="32" t="n">
        <x:f>Z1685+W1686-X1686-T1686-Z1685*V1686/AB1685</x:f>
        <x:v>19354.456567879548</x:v>
      </x:c>
      <x:c r="AA1686" s="32" t="n">
        <x:f>AA1685+X1686-U1686-AA1685*V1686/AB1685</x:f>
        <x:v>11386.956063258198</x:v>
      </x:c>
      <x:c r="AB1686" s="10" t="n">
        <x:f>Y1686+Z1686+AA1686</x:f>
        <x:v>45047.59802873172</x:v>
      </x:c>
      <x:c r="AC1686" s="8" t="n">
        <x:f>IF(AND(v01_WinterTrigger=1,D1686=1,AB1685/AE1685&gt;=K1686),1,0)</x:f>
        <x:v>0</x:v>
      </x:c>
      <x:c r="AD1686" s="8" t="n">
        <x:f>H1686*IF(AND(OR(AB1685/AE1685&gt;=v01_FissionTrigger*N1686,AC1686=1),AB1685/AE1685*v01_DaughterShare&gt;=v01_MinDaughter),MAX(1,ROUND(AE1685*v01_FissionRate,0)),0)</x:f>
        <x:v>0</x:v>
      </x:c>
      <x:c r="AE1686" s="8" t="n">
        <x:f>IF(H1686=1,MAX(1,MIN(INDEX(v01_Smax,G1686),AE1685+AD1686)),AE1685)</x:f>
        <x:v>15</x:v>
      </x:c>
      <x:c r="AF1686" s="8" t="n">
        <x:f>MAX(0,AE1686-AE1685)</x:f>
        <x:v>0</x:v>
      </x:c>
      <x:c r="AG1686" s="9" t="str">
        <x:f>IF(AF1686&gt;0,B1686,"")</x:f>
      </x:c>
      <x:c r="AH1686" s="9" t="n">
        <x:f>IF(F1686&gt;=1,1,(1+v01_LowTiesShare*(AE1686-1))/AE1686)</x:f>
        <x:v>1</x:v>
      </x:c>
      <x:c r="AI1686" s="32" t="n">
        <x:f>(Z1686+v01_ElderCommons*INDEX(LM_Elder,G1686)*AA1686)*AH1686</x:f>
        <x:v>64139.732591141874</x:v>
      </x:c>
      <x:c r="AJ1686" s="32" t="n">
        <x:f>H1686*v01_CommonsCoef*AI1686^v01_CommonsExp*INDEX(LM_Commons,G1686)</x:f>
        <x:v>0</x:v>
      </x:c>
      <x:c r="AK1686" s="32" t="n">
        <x:f>H1686*v01_RoleScale*Arch_Roles*(AE1686*(INDEX(v01_ElderRolePerSett,G1686)*v01_OutElder*INDEX(LM_Elder,G1686)+INDEX(v01_ShamanPerSett,G1686)*v01_OutShaman)+Z1686*(INDEX(v01_PriestShare,G1686)*v01_OutPriest+INDEX(v01_ScribeShare,G1686)*v01_OutScribe*INDEX(LM_Scribe,G1686)+INDEX(v01_ScholarShare,G1686)*v01_OutScholar*INDEX(LM_Scholar,G1686)+INDEX(v01_ResearcherShare,G1686)*v01_OutResearcher*INDEX(LM_Researcher,G1686)))</x:f>
        <x:v>0</x:v>
      </x:c>
      <x:c r="AL1686" s="32" t="n">
        <x:f>H1686*v01_RoleScale*Arch_Roles*AE1686*INDEX(v01_MonasteryPerSett,G1686)*v01_OutMonastery*INDEX(LM_Monastery,G1686)</x:f>
        <x:v>0</x:v>
      </x:c>
      <x:c r="AM1686" s="32" t="n">
        <x:f>(AJ1686+AK1686+AL1686)/4*INDEX(LM_All,G1686)*INDEX(v01_Boon,G1686)*Arch_Insight</x:f>
        <x:v>0</x:v>
      </x:c>
      <x:c r="AN1686" s="32" t="n">
        <x:f>H1686*(v01_KHPerAdult*Z1686+v01_KHOfCommons*AJ1686/4*INDEX(LM_All,G1686))*v01_KHUsable*Arch_KH</x:f>
        <x:v>0</x:v>
      </x:c>
      <x:c r="AO1686" s="32" t="n">
        <x:f>MIN(AP1685+AN1686,AM1686*v01_KHMaxRatio)</x:f>
        <x:v>0</x:v>
      </x:c>
      <x:c r="AP1686" s="32" t="n">
        <x:f>AP1685+AN1686-AO1686</x:f>
        <x:v>0</x:v>
      </x:c>
      <x:c r="AQ1686" s="32" t="n">
        <x:f>AM1686+AO1686</x:f>
        <x:v>0</x:v>
      </x:c>
      <x:c r="AR1686" s="10" t="n">
        <x:f>IF(H1686=1,INDEX(v01_Req,G1686),0)</x:f>
        <x:v>0</x:v>
      </x:c>
      <x:c r="AS1686" s="32" t="n">
        <x:f>IF(H1686=1,IF(E1686=1,AS1685-AR1685,AS1685)+AQ1686,0)</x:f>
        <x:v>0</x:v>
      </x:c>
      <x:c r="AT1686" s="11" t="n">
        <x:f>IF(AR1686&gt;0,MIN(1,AS1686/AR1686),1)</x:f>
        <x:v>1</x:v>
      </x:c>
      <x:c r="AU1686" s="10" t="n">
        <x:f>AB1686/INDEX(v01_RepScale,G1686)</x:f>
        <x:v>90.09519605746344</x:v>
      </x:c>
      <x:c r="AV1686" s="32" t="n">
        <x:f>AM1686*60/v01_SeasonSeconds</x:f>
        <x:v>0</x:v>
      </x:c>
    </x:row>
    <x:row r="1687">
      <x:c r="A1687" s="8" t="n">
        <x:f>A1686+1</x:f>
        <x:v>1684</x:v>
      </x:c>
      <x:c r="B1687" s="9" t="n">
        <x:f>A1687*v01_SeasonSeconds/60</x:f>
        <x:v>421</x:v>
      </x:c>
      <x:c r="C1687" s="9" t="n">
        <x:f>A1687/4</x:f>
        <x:v>421</x:v>
      </x:c>
      <x:c r="D1687" s="8" t="n">
        <x:f>IF(MOD(A1687,4)=0,1,0)</x:f>
        <x:v>1</x:v>
      </x:c>
      <x:c r="E1687" s="8" t="n">
        <x:f>IF(AND(F1686&lt;=9,AS1686&gt;=AR1686),1,0)</x:f>
        <x:v>0</x:v>
      </x:c>
      <x:c r="F1687" s="8" t="n">
        <x:f>MIN(10,F1686+E1687)</x:f>
        <x:v>10</x:v>
      </x:c>
      <x:c r="G1687" s="8" t="n">
        <x:f>MIN(F1687,9)+1</x:f>
        <x:v>10</x:v>
      </x:c>
      <x:c r="H1687" s="8" t="n">
        <x:f>IF(F1687&lt;=9,1,0)</x:f>
        <x:v>0</x:v>
      </x:c>
      <x:c r="I1687" s="9" t="n">
        <x:f>MIN(10,F1686+IF(AR1686&gt;0,MIN(1,AS1686/AR1686),1))</x:f>
        <x:v>10</x:v>
      </x:c>
      <x:c r="J1687" s="32" t="n">
        <x:f>INDEX(v01_FoodCap,G1687)*Arch_FoodCap*EXP(v01_CapsByProject*SUMPRODUCT((Cap_Point&lt;=I1687)*(Cap_Kind="Food")*Cap_Ln))</x:f>
        <x:v>12000</x:v>
      </x:c>
      <x:c r="K1687" s="32" t="n">
        <x:f>J1687*MIN(1,v01_LeanBase*EXP(v01_CapsByProject*SUMPRODUCT((Cap_Point&lt;=I1687)*(Cap_Kind="Lean")*Cap_Ln)))</x:f>
        <x:v>12000</x:v>
      </x:c>
      <x:c r="L1687" s="10" t="n">
        <x:f>INDEX(v01_HousingCap,G1687)*EXP(v01_CapsByProject*SUMPRODUCT((Cap_Point&lt;=I1687)*(Cap_Kind="Housing")*Cap_Ln))</x:f>
        <x:v>20000</x:v>
      </x:c>
      <x:c r="M1687" s="10" t="n">
        <x:f>INDEX(v01_GroupCap,G1687)*v01_CohesionFactor*EXP(v01_CapsByProject*SUMPRODUCT((Cap_Point&lt;=I1687)*(Cap_Kind="Group")*Cap_Ln))</x:f>
        <x:v>1000000</x:v>
      </x:c>
      <x:c r="N1687" s="32" t="n">
        <x:f>MIN(J1687,L1687,M1687)</x:f>
        <x:v>12000</x:v>
      </x:c>
      <x:c r="O1687" s="10" t="n">
        <x:f>AE1686*N1687</x:f>
        <x:v>180000</x:v>
      </x:c>
      <x:c r="P1687" s="9" t="n">
        <x:f>MIN(1,(AB1686/(AE1686*IF(v01_GroupInCrowding=1,N1687,MIN(J1687,L1687))))^v01_CrowdingExp)</x:f>
        <x:v>0.00024569414295285325</x:v>
      </x:c>
      <x:c r="Q1687" s="9" t="n">
        <x:f>IF(D1687=1,INDEX(v01_WinterMult,G1687),1)</x:f>
        <x:v>1</x:v>
      </x:c>
      <x:c r="R1687" s="9" t="n">
        <x:f>H1687*Z1686*v01_WomenShare*v01_BaseFertility*INDEX(v01_FertMult,G1687)*Arch_Fertility*(1-P1687)</x:f>
        <x:v>0</x:v>
      </x:c>
      <x:c r="S1687" s="9" t="n">
        <x:f>H1687*Y1686*INDEX(v01_MortChild,G1687)/4*Q1687</x:f>
        <x:v>0</x:v>
      </x:c>
      <x:c r="T1687" s="9" t="n">
        <x:f>H1687*Z1686*INDEX(v01_MortAdult,G1687)*Arch_AdultMort/4*Q1687</x:f>
        <x:v>0</x:v>
      </x:c>
      <x:c r="U1687" s="9" t="n">
        <x:f>H1687*AA1686*INDEX(v01_MortElder,G1687)/4*Q1687</x:f>
        <x:v>0</x:v>
      </x:c>
      <x:c r="V1687" s="9" t="n">
        <x:f>H1687*MAX(0,AB1686-O1687)*v01_OvercapLoss</x:f>
        <x:v>0</x:v>
      </x:c>
      <x:c r="W1687" s="9" t="n">
        <x:f>H1687*Y1686/(v01_ChildYears*4)</x:f>
        <x:v>0</x:v>
      </x:c>
      <x:c r="X1687" s="9" t="n">
        <x:f>H1687*Z1686/(v01_AdultYears*4)</x:f>
        <x:v>0</x:v>
      </x:c>
      <x:c r="Y1687" s="32" t="n">
        <x:f>Y1686+R1687-S1687-W1687-Y1686*V1687/AB1686</x:f>
        <x:v>14306.18539759397</x:v>
      </x:c>
      <x:c r="Z1687" s="32" t="n">
        <x:f>Z1686+W1687-X1687-T1687-Z1686*V1687/AB1686</x:f>
        <x:v>19354.456567879548</x:v>
      </x:c>
      <x:c r="AA1687" s="32" t="n">
        <x:f>AA1686+X1687-U1687-AA1686*V1687/AB1686</x:f>
        <x:v>11386.956063258198</x:v>
      </x:c>
      <x:c r="AB1687" s="10" t="n">
        <x:f>Y1687+Z1687+AA1687</x:f>
        <x:v>45047.59802873172</x:v>
      </x:c>
      <x:c r="AC1687" s="8" t="n">
        <x:f>IF(AND(v01_WinterTrigger=1,D1687=1,AB1686/AE1686&gt;=K1687),1,0)</x:f>
        <x:v>0</x:v>
      </x:c>
      <x:c r="AD1687" s="8" t="n">
        <x:f>H1687*IF(AND(OR(AB1686/AE1686&gt;=v01_FissionTrigger*N1687,AC1687=1),AB1686/AE1686*v01_DaughterShare&gt;=v01_MinDaughter),MAX(1,ROUND(AE1686*v01_FissionRate,0)),0)</x:f>
        <x:v>0</x:v>
      </x:c>
      <x:c r="AE1687" s="8" t="n">
        <x:f>IF(H1687=1,MAX(1,MIN(INDEX(v01_Smax,G1687),AE1686+AD1687)),AE1686)</x:f>
        <x:v>15</x:v>
      </x:c>
      <x:c r="AF1687" s="8" t="n">
        <x:f>MAX(0,AE1687-AE1686)</x:f>
        <x:v>0</x:v>
      </x:c>
      <x:c r="AG1687" s="9" t="str">
        <x:f>IF(AF1687&gt;0,B1687,"")</x:f>
      </x:c>
      <x:c r="AH1687" s="9" t="n">
        <x:f>IF(F1687&gt;=1,1,(1+v01_LowTiesShare*(AE1687-1))/AE1687)</x:f>
        <x:v>1</x:v>
      </x:c>
      <x:c r="AI1687" s="32" t="n">
        <x:f>(Z1687+v01_ElderCommons*INDEX(LM_Elder,G1687)*AA1687)*AH1687</x:f>
        <x:v>64139.732591141874</x:v>
      </x:c>
      <x:c r="AJ1687" s="32" t="n">
        <x:f>H1687*v01_CommonsCoef*AI1687^v01_CommonsExp*INDEX(LM_Commons,G1687)</x:f>
        <x:v>0</x:v>
      </x:c>
      <x:c r="AK1687" s="32" t="n">
        <x:f>H1687*v01_RoleScale*Arch_Roles*(AE1687*(INDEX(v01_ElderRolePerSett,G1687)*v01_OutElder*INDEX(LM_Elder,G1687)+INDEX(v01_ShamanPerSett,G1687)*v01_OutShaman)+Z1687*(INDEX(v01_PriestShare,G1687)*v01_OutPriest+INDEX(v01_ScribeShare,G1687)*v01_OutScribe*INDEX(LM_Scribe,G1687)+INDEX(v01_ScholarShare,G1687)*v01_OutScholar*INDEX(LM_Scholar,G1687)+INDEX(v01_ResearcherShare,G1687)*v01_OutResearcher*INDEX(LM_Researcher,G1687)))</x:f>
        <x:v>0</x:v>
      </x:c>
      <x:c r="AL1687" s="32" t="n">
        <x:f>H1687*v01_RoleScale*Arch_Roles*AE1687*INDEX(v01_MonasteryPerSett,G1687)*v01_OutMonastery*INDEX(LM_Monastery,G1687)</x:f>
        <x:v>0</x:v>
      </x:c>
      <x:c r="AM1687" s="32" t="n">
        <x:f>(AJ1687+AK1687+AL1687)/4*INDEX(LM_All,G1687)*INDEX(v01_Boon,G1687)*Arch_Insight</x:f>
        <x:v>0</x:v>
      </x:c>
      <x:c r="AN1687" s="32" t="n">
        <x:f>H1687*(v01_KHPerAdult*Z1687+v01_KHOfCommons*AJ1687/4*INDEX(LM_All,G1687))*v01_KHUsable*Arch_KH</x:f>
        <x:v>0</x:v>
      </x:c>
      <x:c r="AO1687" s="32" t="n">
        <x:f>MIN(AP1686+AN1687,AM1687*v01_KHMaxRatio)</x:f>
        <x:v>0</x:v>
      </x:c>
      <x:c r="AP1687" s="32" t="n">
        <x:f>AP1686+AN1687-AO1687</x:f>
        <x:v>0</x:v>
      </x:c>
      <x:c r="AQ1687" s="32" t="n">
        <x:f>AM1687+AO1687</x:f>
        <x:v>0</x:v>
      </x:c>
      <x:c r="AR1687" s="10" t="n">
        <x:f>IF(H1687=1,INDEX(v01_Req,G1687),0)</x:f>
        <x:v>0</x:v>
      </x:c>
      <x:c r="AS1687" s="32" t="n">
        <x:f>IF(H1687=1,IF(E1687=1,AS1686-AR1686,AS1686)+AQ1687,0)</x:f>
        <x:v>0</x:v>
      </x:c>
      <x:c r="AT1687" s="11" t="n">
        <x:f>IF(AR1687&gt;0,MIN(1,AS1687/AR1687),1)</x:f>
        <x:v>1</x:v>
      </x:c>
      <x:c r="AU1687" s="10" t="n">
        <x:f>AB1687/INDEX(v01_RepScale,G1687)</x:f>
        <x:v>90.09519605746344</x:v>
      </x:c>
      <x:c r="AV1687" s="32" t="n">
        <x:f>AM1687*60/v01_SeasonSeconds</x:f>
        <x:v>0</x:v>
      </x:c>
    </x:row>
    <x:row r="1688">
      <x:c r="A1688" s="8" t="n">
        <x:f>A1687+1</x:f>
        <x:v>1685</x:v>
      </x:c>
      <x:c r="B1688" s="9" t="n">
        <x:f>A1688*v01_SeasonSeconds/60</x:f>
        <x:v>421.25</x:v>
      </x:c>
      <x:c r="C1688" s="9" t="n">
        <x:f>A1688/4</x:f>
        <x:v>421.25</x:v>
      </x:c>
      <x:c r="D1688" s="8" t="n">
        <x:f>IF(MOD(A1688,4)=0,1,0)</x:f>
        <x:v>0</x:v>
      </x:c>
      <x:c r="E1688" s="8" t="n">
        <x:f>IF(AND(F1687&lt;=9,AS1687&gt;=AR1687),1,0)</x:f>
        <x:v>0</x:v>
      </x:c>
      <x:c r="F1688" s="8" t="n">
        <x:f>MIN(10,F1687+E1688)</x:f>
        <x:v>10</x:v>
      </x:c>
      <x:c r="G1688" s="8" t="n">
        <x:f>MIN(F1688,9)+1</x:f>
        <x:v>10</x:v>
      </x:c>
      <x:c r="H1688" s="8" t="n">
        <x:f>IF(F1688&lt;=9,1,0)</x:f>
        <x:v>0</x:v>
      </x:c>
      <x:c r="I1688" s="9" t="n">
        <x:f>MIN(10,F1687+IF(AR1687&gt;0,MIN(1,AS1687/AR1687),1))</x:f>
        <x:v>10</x:v>
      </x:c>
      <x:c r="J1688" s="32" t="n">
        <x:f>INDEX(v01_FoodCap,G1688)*Arch_FoodCap*EXP(v01_CapsByProject*SUMPRODUCT((Cap_Point&lt;=I1688)*(Cap_Kind="Food")*Cap_Ln))</x:f>
        <x:v>12000</x:v>
      </x:c>
      <x:c r="K1688" s="32" t="n">
        <x:f>J1688*MIN(1,v01_LeanBase*EXP(v01_CapsByProject*SUMPRODUCT((Cap_Point&lt;=I1688)*(Cap_Kind="Lean")*Cap_Ln)))</x:f>
        <x:v>12000</x:v>
      </x:c>
      <x:c r="L1688" s="10" t="n">
        <x:f>INDEX(v01_HousingCap,G1688)*EXP(v01_CapsByProject*SUMPRODUCT((Cap_Point&lt;=I1688)*(Cap_Kind="Housing")*Cap_Ln))</x:f>
        <x:v>20000</x:v>
      </x:c>
      <x:c r="M1688" s="10" t="n">
        <x:f>INDEX(v01_GroupCap,G1688)*v01_CohesionFactor*EXP(v01_CapsByProject*SUMPRODUCT((Cap_Point&lt;=I1688)*(Cap_Kind="Group")*Cap_Ln))</x:f>
        <x:v>1000000</x:v>
      </x:c>
      <x:c r="N1688" s="32" t="n">
        <x:f>MIN(J1688,L1688,M1688)</x:f>
        <x:v>12000</x:v>
      </x:c>
      <x:c r="O1688" s="10" t="n">
        <x:f>AE1687*N1688</x:f>
        <x:v>180000</x:v>
      </x:c>
      <x:c r="P1688" s="9" t="n">
        <x:f>MIN(1,(AB1687/(AE1687*IF(v01_GroupInCrowding=1,N1688,MIN(J1688,L1688))))^v01_CrowdingExp)</x:f>
        <x:v>0.00024569414295285325</x:v>
      </x:c>
      <x:c r="Q1688" s="9" t="n">
        <x:f>IF(D1688=1,INDEX(v01_WinterMult,G1688),1)</x:f>
        <x:v>1</x:v>
      </x:c>
      <x:c r="R1688" s="9" t="n">
        <x:f>H1688*Z1687*v01_WomenShare*v01_BaseFertility*INDEX(v01_FertMult,G1688)*Arch_Fertility*(1-P1688)</x:f>
        <x:v>0</x:v>
      </x:c>
      <x:c r="S1688" s="9" t="n">
        <x:f>H1688*Y1687*INDEX(v01_MortChild,G1688)/4*Q1688</x:f>
        <x:v>0</x:v>
      </x:c>
      <x:c r="T1688" s="9" t="n">
        <x:f>H1688*Z1687*INDEX(v01_MortAdult,G1688)*Arch_AdultMort/4*Q1688</x:f>
        <x:v>0</x:v>
      </x:c>
      <x:c r="U1688" s="9" t="n">
        <x:f>H1688*AA1687*INDEX(v01_MortElder,G1688)/4*Q1688</x:f>
        <x:v>0</x:v>
      </x:c>
      <x:c r="V1688" s="9" t="n">
        <x:f>H1688*MAX(0,AB1687-O1688)*v01_OvercapLoss</x:f>
        <x:v>0</x:v>
      </x:c>
      <x:c r="W1688" s="9" t="n">
        <x:f>H1688*Y1687/(v01_ChildYears*4)</x:f>
        <x:v>0</x:v>
      </x:c>
      <x:c r="X1688" s="9" t="n">
        <x:f>H1688*Z1687/(v01_AdultYears*4)</x:f>
        <x:v>0</x:v>
      </x:c>
      <x:c r="Y1688" s="32" t="n">
        <x:f>Y1687+R1688-S1688-W1688-Y1687*V1688/AB1687</x:f>
        <x:v>14306.18539759397</x:v>
      </x:c>
      <x:c r="Z1688" s="32" t="n">
        <x:f>Z1687+W1688-X1688-T1688-Z1687*V1688/AB1687</x:f>
        <x:v>19354.456567879548</x:v>
      </x:c>
      <x:c r="AA1688" s="32" t="n">
        <x:f>AA1687+X1688-U1688-AA1687*V1688/AB1687</x:f>
        <x:v>11386.956063258198</x:v>
      </x:c>
      <x:c r="AB1688" s="10" t="n">
        <x:f>Y1688+Z1688+AA1688</x:f>
        <x:v>45047.59802873172</x:v>
      </x:c>
      <x:c r="AC1688" s="8" t="n">
        <x:f>IF(AND(v01_WinterTrigger=1,D1688=1,AB1687/AE1687&gt;=K1688),1,0)</x:f>
        <x:v>0</x:v>
      </x:c>
      <x:c r="AD1688" s="8" t="n">
        <x:f>H1688*IF(AND(OR(AB1687/AE1687&gt;=v01_FissionTrigger*N1688,AC1688=1),AB1687/AE1687*v01_DaughterShare&gt;=v01_MinDaughter),MAX(1,ROUND(AE1687*v01_FissionRate,0)),0)</x:f>
        <x:v>0</x:v>
      </x:c>
      <x:c r="AE1688" s="8" t="n">
        <x:f>IF(H1688=1,MAX(1,MIN(INDEX(v01_Smax,G1688),AE1687+AD1688)),AE1687)</x:f>
        <x:v>15</x:v>
      </x:c>
      <x:c r="AF1688" s="8" t="n">
        <x:f>MAX(0,AE1688-AE1687)</x:f>
        <x:v>0</x:v>
      </x:c>
      <x:c r="AG1688" s="9" t="str">
        <x:f>IF(AF1688&gt;0,B1688,"")</x:f>
      </x:c>
      <x:c r="AH1688" s="9" t="n">
        <x:f>IF(F1688&gt;=1,1,(1+v01_LowTiesShare*(AE1688-1))/AE1688)</x:f>
        <x:v>1</x:v>
      </x:c>
      <x:c r="AI1688" s="32" t="n">
        <x:f>(Z1688+v01_ElderCommons*INDEX(LM_Elder,G1688)*AA1688)*AH1688</x:f>
        <x:v>64139.732591141874</x:v>
      </x:c>
      <x:c r="AJ1688" s="32" t="n">
        <x:f>H1688*v01_CommonsCoef*AI1688^v01_CommonsExp*INDEX(LM_Commons,G1688)</x:f>
        <x:v>0</x:v>
      </x:c>
      <x:c r="AK1688" s="32" t="n">
        <x:f>H1688*v01_RoleScale*Arch_Roles*(AE1688*(INDEX(v01_ElderRolePerSett,G1688)*v01_OutElder*INDEX(LM_Elder,G1688)+INDEX(v01_ShamanPerSett,G1688)*v01_OutShaman)+Z1688*(INDEX(v01_PriestShare,G1688)*v01_OutPriest+INDEX(v01_ScribeShare,G1688)*v01_OutScribe*INDEX(LM_Scribe,G1688)+INDEX(v01_ScholarShare,G1688)*v01_OutScholar*INDEX(LM_Scholar,G1688)+INDEX(v01_ResearcherShare,G1688)*v01_OutResearcher*INDEX(LM_Researcher,G1688)))</x:f>
        <x:v>0</x:v>
      </x:c>
      <x:c r="AL1688" s="32" t="n">
        <x:f>H1688*v01_RoleScale*Arch_Roles*AE1688*INDEX(v01_MonasteryPerSett,G1688)*v01_OutMonastery*INDEX(LM_Monastery,G1688)</x:f>
        <x:v>0</x:v>
      </x:c>
      <x:c r="AM1688" s="32" t="n">
        <x:f>(AJ1688+AK1688+AL1688)/4*INDEX(LM_All,G1688)*INDEX(v01_Boon,G1688)*Arch_Insight</x:f>
        <x:v>0</x:v>
      </x:c>
      <x:c r="AN1688" s="32" t="n">
        <x:f>H1688*(v01_KHPerAdult*Z1688+v01_KHOfCommons*AJ1688/4*INDEX(LM_All,G1688))*v01_KHUsable*Arch_KH</x:f>
        <x:v>0</x:v>
      </x:c>
      <x:c r="AO1688" s="32" t="n">
        <x:f>MIN(AP1687+AN1688,AM1688*v01_KHMaxRatio)</x:f>
        <x:v>0</x:v>
      </x:c>
      <x:c r="AP1688" s="32" t="n">
        <x:f>AP1687+AN1688-AO1688</x:f>
        <x:v>0</x:v>
      </x:c>
      <x:c r="AQ1688" s="32" t="n">
        <x:f>AM1688+AO1688</x:f>
        <x:v>0</x:v>
      </x:c>
      <x:c r="AR1688" s="10" t="n">
        <x:f>IF(H1688=1,INDEX(v01_Req,G1688),0)</x:f>
        <x:v>0</x:v>
      </x:c>
      <x:c r="AS1688" s="32" t="n">
        <x:f>IF(H1688=1,IF(E1688=1,AS1687-AR1687,AS1687)+AQ1688,0)</x:f>
        <x:v>0</x:v>
      </x:c>
      <x:c r="AT1688" s="11" t="n">
        <x:f>IF(AR1688&gt;0,MIN(1,AS1688/AR1688),1)</x:f>
        <x:v>1</x:v>
      </x:c>
      <x:c r="AU1688" s="10" t="n">
        <x:f>AB1688/INDEX(v01_RepScale,G1688)</x:f>
        <x:v>90.09519605746344</x:v>
      </x:c>
      <x:c r="AV1688" s="32" t="n">
        <x:f>AM1688*60/v01_SeasonSeconds</x:f>
        <x:v>0</x:v>
      </x:c>
    </x:row>
    <x:row r="1689">
      <x:c r="A1689" s="8" t="n">
        <x:f>A1688+1</x:f>
        <x:v>1686</x:v>
      </x:c>
      <x:c r="B1689" s="9" t="n">
        <x:f>A1689*v01_SeasonSeconds/60</x:f>
        <x:v>421.5</x:v>
      </x:c>
      <x:c r="C1689" s="9" t="n">
        <x:f>A1689/4</x:f>
        <x:v>421.5</x:v>
      </x:c>
      <x:c r="D1689" s="8" t="n">
        <x:f>IF(MOD(A1689,4)=0,1,0)</x:f>
        <x:v>0</x:v>
      </x:c>
      <x:c r="E1689" s="8" t="n">
        <x:f>IF(AND(F1688&lt;=9,AS1688&gt;=AR1688),1,0)</x:f>
        <x:v>0</x:v>
      </x:c>
      <x:c r="F1689" s="8" t="n">
        <x:f>MIN(10,F1688+E1689)</x:f>
        <x:v>10</x:v>
      </x:c>
      <x:c r="G1689" s="8" t="n">
        <x:f>MIN(F1689,9)+1</x:f>
        <x:v>10</x:v>
      </x:c>
      <x:c r="H1689" s="8" t="n">
        <x:f>IF(F1689&lt;=9,1,0)</x:f>
        <x:v>0</x:v>
      </x:c>
      <x:c r="I1689" s="9" t="n">
        <x:f>MIN(10,F1688+IF(AR1688&gt;0,MIN(1,AS1688/AR1688),1))</x:f>
        <x:v>10</x:v>
      </x:c>
      <x:c r="J1689" s="32" t="n">
        <x:f>INDEX(v01_FoodCap,G1689)*Arch_FoodCap*EXP(v01_CapsByProject*SUMPRODUCT((Cap_Point&lt;=I1689)*(Cap_Kind="Food")*Cap_Ln))</x:f>
        <x:v>12000</x:v>
      </x:c>
      <x:c r="K1689" s="32" t="n">
        <x:f>J1689*MIN(1,v01_LeanBase*EXP(v01_CapsByProject*SUMPRODUCT((Cap_Point&lt;=I1689)*(Cap_Kind="Lean")*Cap_Ln)))</x:f>
        <x:v>12000</x:v>
      </x:c>
      <x:c r="L1689" s="10" t="n">
        <x:f>INDEX(v01_HousingCap,G1689)*EXP(v01_CapsByProject*SUMPRODUCT((Cap_Point&lt;=I1689)*(Cap_Kind="Housing")*Cap_Ln))</x:f>
        <x:v>20000</x:v>
      </x:c>
      <x:c r="M1689" s="10" t="n">
        <x:f>INDEX(v01_GroupCap,G1689)*v01_CohesionFactor*EXP(v01_CapsByProject*SUMPRODUCT((Cap_Point&lt;=I1689)*(Cap_Kind="Group")*Cap_Ln))</x:f>
        <x:v>1000000</x:v>
      </x:c>
      <x:c r="N1689" s="32" t="n">
        <x:f>MIN(J1689,L1689,M1689)</x:f>
        <x:v>12000</x:v>
      </x:c>
      <x:c r="O1689" s="10" t="n">
        <x:f>AE1688*N1689</x:f>
        <x:v>180000</x:v>
      </x:c>
      <x:c r="P1689" s="9" t="n">
        <x:f>MIN(1,(AB1688/(AE1688*IF(v01_GroupInCrowding=1,N1689,MIN(J1689,L1689))))^v01_CrowdingExp)</x:f>
        <x:v>0.00024569414295285325</x:v>
      </x:c>
      <x:c r="Q1689" s="9" t="n">
        <x:f>IF(D1689=1,INDEX(v01_WinterMult,G1689),1)</x:f>
        <x:v>1</x:v>
      </x:c>
      <x:c r="R1689" s="9" t="n">
        <x:f>H1689*Z1688*v01_WomenShare*v01_BaseFertility*INDEX(v01_FertMult,G1689)*Arch_Fertility*(1-P1689)</x:f>
        <x:v>0</x:v>
      </x:c>
      <x:c r="S1689" s="9" t="n">
        <x:f>H1689*Y1688*INDEX(v01_MortChild,G1689)/4*Q1689</x:f>
        <x:v>0</x:v>
      </x:c>
      <x:c r="T1689" s="9" t="n">
        <x:f>H1689*Z1688*INDEX(v01_MortAdult,G1689)*Arch_AdultMort/4*Q1689</x:f>
        <x:v>0</x:v>
      </x:c>
      <x:c r="U1689" s="9" t="n">
        <x:f>H1689*AA1688*INDEX(v01_MortElder,G1689)/4*Q1689</x:f>
        <x:v>0</x:v>
      </x:c>
      <x:c r="V1689" s="9" t="n">
        <x:f>H1689*MAX(0,AB1688-O1689)*v01_OvercapLoss</x:f>
        <x:v>0</x:v>
      </x:c>
      <x:c r="W1689" s="9" t="n">
        <x:f>H1689*Y1688/(v01_ChildYears*4)</x:f>
        <x:v>0</x:v>
      </x:c>
      <x:c r="X1689" s="9" t="n">
        <x:f>H1689*Z1688/(v01_AdultYears*4)</x:f>
        <x:v>0</x:v>
      </x:c>
      <x:c r="Y1689" s="32" t="n">
        <x:f>Y1688+R1689-S1689-W1689-Y1688*V1689/AB1688</x:f>
        <x:v>14306.18539759397</x:v>
      </x:c>
      <x:c r="Z1689" s="32" t="n">
        <x:f>Z1688+W1689-X1689-T1689-Z1688*V1689/AB1688</x:f>
        <x:v>19354.456567879548</x:v>
      </x:c>
      <x:c r="AA1689" s="32" t="n">
        <x:f>AA1688+X1689-U1689-AA1688*V1689/AB1688</x:f>
        <x:v>11386.956063258198</x:v>
      </x:c>
      <x:c r="AB1689" s="10" t="n">
        <x:f>Y1689+Z1689+AA1689</x:f>
        <x:v>45047.59802873172</x:v>
      </x:c>
      <x:c r="AC1689" s="8" t="n">
        <x:f>IF(AND(v01_WinterTrigger=1,D1689=1,AB1688/AE1688&gt;=K1689),1,0)</x:f>
        <x:v>0</x:v>
      </x:c>
      <x:c r="AD1689" s="8" t="n">
        <x:f>H1689*IF(AND(OR(AB1688/AE1688&gt;=v01_FissionTrigger*N1689,AC1689=1),AB1688/AE1688*v01_DaughterShare&gt;=v01_MinDaughter),MAX(1,ROUND(AE1688*v01_FissionRate,0)),0)</x:f>
        <x:v>0</x:v>
      </x:c>
      <x:c r="AE1689" s="8" t="n">
        <x:f>IF(H1689=1,MAX(1,MIN(INDEX(v01_Smax,G1689),AE1688+AD1689)),AE1688)</x:f>
        <x:v>15</x:v>
      </x:c>
      <x:c r="AF1689" s="8" t="n">
        <x:f>MAX(0,AE1689-AE1688)</x:f>
        <x:v>0</x:v>
      </x:c>
      <x:c r="AG1689" s="9" t="str">
        <x:f>IF(AF1689&gt;0,B1689,"")</x:f>
      </x:c>
      <x:c r="AH1689" s="9" t="n">
        <x:f>IF(F1689&gt;=1,1,(1+v01_LowTiesShare*(AE1689-1))/AE1689)</x:f>
        <x:v>1</x:v>
      </x:c>
      <x:c r="AI1689" s="32" t="n">
        <x:f>(Z1689+v01_ElderCommons*INDEX(LM_Elder,G1689)*AA1689)*AH1689</x:f>
        <x:v>64139.732591141874</x:v>
      </x:c>
      <x:c r="AJ1689" s="32" t="n">
        <x:f>H1689*v01_CommonsCoef*AI1689^v01_CommonsExp*INDEX(LM_Commons,G1689)</x:f>
        <x:v>0</x:v>
      </x:c>
      <x:c r="AK1689" s="32" t="n">
        <x:f>H1689*v01_RoleScale*Arch_Roles*(AE1689*(INDEX(v01_ElderRolePerSett,G1689)*v01_OutElder*INDEX(LM_Elder,G1689)+INDEX(v01_ShamanPerSett,G1689)*v01_OutShaman)+Z1689*(INDEX(v01_PriestShare,G1689)*v01_OutPriest+INDEX(v01_ScribeShare,G1689)*v01_OutScribe*INDEX(LM_Scribe,G1689)+INDEX(v01_ScholarShare,G1689)*v01_OutScholar*INDEX(LM_Scholar,G1689)+INDEX(v01_ResearcherShare,G1689)*v01_OutResearcher*INDEX(LM_Researcher,G1689)))</x:f>
        <x:v>0</x:v>
      </x:c>
      <x:c r="AL1689" s="32" t="n">
        <x:f>H1689*v01_RoleScale*Arch_Roles*AE1689*INDEX(v01_MonasteryPerSett,G1689)*v01_OutMonastery*INDEX(LM_Monastery,G1689)</x:f>
        <x:v>0</x:v>
      </x:c>
      <x:c r="AM1689" s="32" t="n">
        <x:f>(AJ1689+AK1689+AL1689)/4*INDEX(LM_All,G1689)*INDEX(v01_Boon,G1689)*Arch_Insight</x:f>
        <x:v>0</x:v>
      </x:c>
      <x:c r="AN1689" s="32" t="n">
        <x:f>H1689*(v01_KHPerAdult*Z1689+v01_KHOfCommons*AJ1689/4*INDEX(LM_All,G1689))*v01_KHUsable*Arch_KH</x:f>
        <x:v>0</x:v>
      </x:c>
      <x:c r="AO1689" s="32" t="n">
        <x:f>MIN(AP1688+AN1689,AM1689*v01_KHMaxRatio)</x:f>
        <x:v>0</x:v>
      </x:c>
      <x:c r="AP1689" s="32" t="n">
        <x:f>AP1688+AN1689-AO1689</x:f>
        <x:v>0</x:v>
      </x:c>
      <x:c r="AQ1689" s="32" t="n">
        <x:f>AM1689+AO1689</x:f>
        <x:v>0</x:v>
      </x:c>
      <x:c r="AR1689" s="10" t="n">
        <x:f>IF(H1689=1,INDEX(v01_Req,G1689),0)</x:f>
        <x:v>0</x:v>
      </x:c>
      <x:c r="AS1689" s="32" t="n">
        <x:f>IF(H1689=1,IF(E1689=1,AS1688-AR1688,AS1688)+AQ1689,0)</x:f>
        <x:v>0</x:v>
      </x:c>
      <x:c r="AT1689" s="11" t="n">
        <x:f>IF(AR1689&gt;0,MIN(1,AS1689/AR1689),1)</x:f>
        <x:v>1</x:v>
      </x:c>
      <x:c r="AU1689" s="10" t="n">
        <x:f>AB1689/INDEX(v01_RepScale,G1689)</x:f>
        <x:v>90.09519605746344</x:v>
      </x:c>
      <x:c r="AV1689" s="32" t="n">
        <x:f>AM1689*60/v01_SeasonSeconds</x:f>
        <x:v>0</x:v>
      </x:c>
    </x:row>
    <x:row r="1690">
      <x:c r="A1690" s="8" t="n">
        <x:f>A1689+1</x:f>
        <x:v>1687</x:v>
      </x:c>
      <x:c r="B1690" s="9" t="n">
        <x:f>A1690*v01_SeasonSeconds/60</x:f>
        <x:v>421.75</x:v>
      </x:c>
      <x:c r="C1690" s="9" t="n">
        <x:f>A1690/4</x:f>
        <x:v>421.75</x:v>
      </x:c>
      <x:c r="D1690" s="8" t="n">
        <x:f>IF(MOD(A1690,4)=0,1,0)</x:f>
        <x:v>0</x:v>
      </x:c>
      <x:c r="E1690" s="8" t="n">
        <x:f>IF(AND(F1689&lt;=9,AS1689&gt;=AR1689),1,0)</x:f>
        <x:v>0</x:v>
      </x:c>
      <x:c r="F1690" s="8" t="n">
        <x:f>MIN(10,F1689+E1690)</x:f>
        <x:v>10</x:v>
      </x:c>
      <x:c r="G1690" s="8" t="n">
        <x:f>MIN(F1690,9)+1</x:f>
        <x:v>10</x:v>
      </x:c>
      <x:c r="H1690" s="8" t="n">
        <x:f>IF(F1690&lt;=9,1,0)</x:f>
        <x:v>0</x:v>
      </x:c>
      <x:c r="I1690" s="9" t="n">
        <x:f>MIN(10,F1689+IF(AR1689&gt;0,MIN(1,AS1689/AR1689),1))</x:f>
        <x:v>10</x:v>
      </x:c>
      <x:c r="J1690" s="32" t="n">
        <x:f>INDEX(v01_FoodCap,G1690)*Arch_FoodCap*EXP(v01_CapsByProject*SUMPRODUCT((Cap_Point&lt;=I1690)*(Cap_Kind="Food")*Cap_Ln))</x:f>
        <x:v>12000</x:v>
      </x:c>
      <x:c r="K1690" s="32" t="n">
        <x:f>J1690*MIN(1,v01_LeanBase*EXP(v01_CapsByProject*SUMPRODUCT((Cap_Point&lt;=I1690)*(Cap_Kind="Lean")*Cap_Ln)))</x:f>
        <x:v>12000</x:v>
      </x:c>
      <x:c r="L1690" s="10" t="n">
        <x:f>INDEX(v01_HousingCap,G1690)*EXP(v01_CapsByProject*SUMPRODUCT((Cap_Point&lt;=I1690)*(Cap_Kind="Housing")*Cap_Ln))</x:f>
        <x:v>20000</x:v>
      </x:c>
      <x:c r="M1690" s="10" t="n">
        <x:f>INDEX(v01_GroupCap,G1690)*v01_CohesionFactor*EXP(v01_CapsByProject*SUMPRODUCT((Cap_Point&lt;=I1690)*(Cap_Kind="Group")*Cap_Ln))</x:f>
        <x:v>1000000</x:v>
      </x:c>
      <x:c r="N1690" s="32" t="n">
        <x:f>MIN(J1690,L1690,M1690)</x:f>
        <x:v>12000</x:v>
      </x:c>
      <x:c r="O1690" s="10" t="n">
        <x:f>AE1689*N1690</x:f>
        <x:v>180000</x:v>
      </x:c>
      <x:c r="P1690" s="9" t="n">
        <x:f>MIN(1,(AB1689/(AE1689*IF(v01_GroupInCrowding=1,N1690,MIN(J1690,L1690))))^v01_CrowdingExp)</x:f>
        <x:v>0.00024569414295285325</x:v>
      </x:c>
      <x:c r="Q1690" s="9" t="n">
        <x:f>IF(D1690=1,INDEX(v01_WinterMult,G1690),1)</x:f>
        <x:v>1</x:v>
      </x:c>
      <x:c r="R1690" s="9" t="n">
        <x:f>H1690*Z1689*v01_WomenShare*v01_BaseFertility*INDEX(v01_FertMult,G1690)*Arch_Fertility*(1-P1690)</x:f>
        <x:v>0</x:v>
      </x:c>
      <x:c r="S1690" s="9" t="n">
        <x:f>H1690*Y1689*INDEX(v01_MortChild,G1690)/4*Q1690</x:f>
        <x:v>0</x:v>
      </x:c>
      <x:c r="T1690" s="9" t="n">
        <x:f>H1690*Z1689*INDEX(v01_MortAdult,G1690)*Arch_AdultMort/4*Q1690</x:f>
        <x:v>0</x:v>
      </x:c>
      <x:c r="U1690" s="9" t="n">
        <x:f>H1690*AA1689*INDEX(v01_MortElder,G1690)/4*Q1690</x:f>
        <x:v>0</x:v>
      </x:c>
      <x:c r="V1690" s="9" t="n">
        <x:f>H1690*MAX(0,AB1689-O1690)*v01_OvercapLoss</x:f>
        <x:v>0</x:v>
      </x:c>
      <x:c r="W1690" s="9" t="n">
        <x:f>H1690*Y1689/(v01_ChildYears*4)</x:f>
        <x:v>0</x:v>
      </x:c>
      <x:c r="X1690" s="9" t="n">
        <x:f>H1690*Z1689/(v01_AdultYears*4)</x:f>
        <x:v>0</x:v>
      </x:c>
      <x:c r="Y1690" s="32" t="n">
        <x:f>Y1689+R1690-S1690-W1690-Y1689*V1690/AB1689</x:f>
        <x:v>14306.18539759397</x:v>
      </x:c>
      <x:c r="Z1690" s="32" t="n">
        <x:f>Z1689+W1690-X1690-T1690-Z1689*V1690/AB1689</x:f>
        <x:v>19354.456567879548</x:v>
      </x:c>
      <x:c r="AA1690" s="32" t="n">
        <x:f>AA1689+X1690-U1690-AA1689*V1690/AB1689</x:f>
        <x:v>11386.956063258198</x:v>
      </x:c>
      <x:c r="AB1690" s="10" t="n">
        <x:f>Y1690+Z1690+AA1690</x:f>
        <x:v>45047.59802873172</x:v>
      </x:c>
      <x:c r="AC1690" s="8" t="n">
        <x:f>IF(AND(v01_WinterTrigger=1,D1690=1,AB1689/AE1689&gt;=K1690),1,0)</x:f>
        <x:v>0</x:v>
      </x:c>
      <x:c r="AD1690" s="8" t="n">
        <x:f>H1690*IF(AND(OR(AB1689/AE1689&gt;=v01_FissionTrigger*N1690,AC1690=1),AB1689/AE1689*v01_DaughterShare&gt;=v01_MinDaughter),MAX(1,ROUND(AE1689*v01_FissionRate,0)),0)</x:f>
        <x:v>0</x:v>
      </x:c>
      <x:c r="AE1690" s="8" t="n">
        <x:f>IF(H1690=1,MAX(1,MIN(INDEX(v01_Smax,G1690),AE1689+AD1690)),AE1689)</x:f>
        <x:v>15</x:v>
      </x:c>
      <x:c r="AF1690" s="8" t="n">
        <x:f>MAX(0,AE1690-AE1689)</x:f>
        <x:v>0</x:v>
      </x:c>
      <x:c r="AG1690" s="9" t="str">
        <x:f>IF(AF1690&gt;0,B1690,"")</x:f>
      </x:c>
      <x:c r="AH1690" s="9" t="n">
        <x:f>IF(F1690&gt;=1,1,(1+v01_LowTiesShare*(AE1690-1))/AE1690)</x:f>
        <x:v>1</x:v>
      </x:c>
      <x:c r="AI1690" s="32" t="n">
        <x:f>(Z1690+v01_ElderCommons*INDEX(LM_Elder,G1690)*AA1690)*AH1690</x:f>
        <x:v>64139.732591141874</x:v>
      </x:c>
      <x:c r="AJ1690" s="32" t="n">
        <x:f>H1690*v01_CommonsCoef*AI1690^v01_CommonsExp*INDEX(LM_Commons,G1690)</x:f>
        <x:v>0</x:v>
      </x:c>
      <x:c r="AK1690" s="32" t="n">
        <x:f>H1690*v01_RoleScale*Arch_Roles*(AE1690*(INDEX(v01_ElderRolePerSett,G1690)*v01_OutElder*INDEX(LM_Elder,G1690)+INDEX(v01_ShamanPerSett,G1690)*v01_OutShaman)+Z1690*(INDEX(v01_PriestShare,G1690)*v01_OutPriest+INDEX(v01_ScribeShare,G1690)*v01_OutScribe*INDEX(LM_Scribe,G1690)+INDEX(v01_ScholarShare,G1690)*v01_OutScholar*INDEX(LM_Scholar,G1690)+INDEX(v01_ResearcherShare,G1690)*v01_OutResearcher*INDEX(LM_Researcher,G1690)))</x:f>
        <x:v>0</x:v>
      </x:c>
      <x:c r="AL1690" s="32" t="n">
        <x:f>H1690*v01_RoleScale*Arch_Roles*AE1690*INDEX(v01_MonasteryPerSett,G1690)*v01_OutMonastery*INDEX(LM_Monastery,G1690)</x:f>
        <x:v>0</x:v>
      </x:c>
      <x:c r="AM1690" s="32" t="n">
        <x:f>(AJ1690+AK1690+AL1690)/4*INDEX(LM_All,G1690)*INDEX(v01_Boon,G1690)*Arch_Insight</x:f>
        <x:v>0</x:v>
      </x:c>
      <x:c r="AN1690" s="32" t="n">
        <x:f>H1690*(v01_KHPerAdult*Z1690+v01_KHOfCommons*AJ1690/4*INDEX(LM_All,G1690))*v01_KHUsable*Arch_KH</x:f>
        <x:v>0</x:v>
      </x:c>
      <x:c r="AO1690" s="32" t="n">
        <x:f>MIN(AP1689+AN1690,AM1690*v01_KHMaxRatio)</x:f>
        <x:v>0</x:v>
      </x:c>
      <x:c r="AP1690" s="32" t="n">
        <x:f>AP1689+AN1690-AO1690</x:f>
        <x:v>0</x:v>
      </x:c>
      <x:c r="AQ1690" s="32" t="n">
        <x:f>AM1690+AO1690</x:f>
        <x:v>0</x:v>
      </x:c>
      <x:c r="AR1690" s="10" t="n">
        <x:f>IF(H1690=1,INDEX(v01_Req,G1690),0)</x:f>
        <x:v>0</x:v>
      </x:c>
      <x:c r="AS1690" s="32" t="n">
        <x:f>IF(H1690=1,IF(E1690=1,AS1689-AR1689,AS1689)+AQ1690,0)</x:f>
        <x:v>0</x:v>
      </x:c>
      <x:c r="AT1690" s="11" t="n">
        <x:f>IF(AR1690&gt;0,MIN(1,AS1690/AR1690),1)</x:f>
        <x:v>1</x:v>
      </x:c>
      <x:c r="AU1690" s="10" t="n">
        <x:f>AB1690/INDEX(v01_RepScale,G1690)</x:f>
        <x:v>90.09519605746344</x:v>
      </x:c>
      <x:c r="AV1690" s="32" t="n">
        <x:f>AM1690*60/v01_SeasonSeconds</x:f>
        <x:v>0</x:v>
      </x:c>
    </x:row>
    <x:row r="1691">
      <x:c r="A1691" s="8" t="n">
        <x:f>A1690+1</x:f>
        <x:v>1688</x:v>
      </x:c>
      <x:c r="B1691" s="9" t="n">
        <x:f>A1691*v01_SeasonSeconds/60</x:f>
        <x:v>422</x:v>
      </x:c>
      <x:c r="C1691" s="9" t="n">
        <x:f>A1691/4</x:f>
        <x:v>422</x:v>
      </x:c>
      <x:c r="D1691" s="8" t="n">
        <x:f>IF(MOD(A1691,4)=0,1,0)</x:f>
        <x:v>1</x:v>
      </x:c>
      <x:c r="E1691" s="8" t="n">
        <x:f>IF(AND(F1690&lt;=9,AS1690&gt;=AR1690),1,0)</x:f>
        <x:v>0</x:v>
      </x:c>
      <x:c r="F1691" s="8" t="n">
        <x:f>MIN(10,F1690+E1691)</x:f>
        <x:v>10</x:v>
      </x:c>
      <x:c r="G1691" s="8" t="n">
        <x:f>MIN(F1691,9)+1</x:f>
        <x:v>10</x:v>
      </x:c>
      <x:c r="H1691" s="8" t="n">
        <x:f>IF(F1691&lt;=9,1,0)</x:f>
        <x:v>0</x:v>
      </x:c>
      <x:c r="I1691" s="9" t="n">
        <x:f>MIN(10,F1690+IF(AR1690&gt;0,MIN(1,AS1690/AR1690),1))</x:f>
        <x:v>10</x:v>
      </x:c>
      <x:c r="J1691" s="32" t="n">
        <x:f>INDEX(v01_FoodCap,G1691)*Arch_FoodCap*EXP(v01_CapsByProject*SUMPRODUCT((Cap_Point&lt;=I1691)*(Cap_Kind="Food")*Cap_Ln))</x:f>
        <x:v>12000</x:v>
      </x:c>
      <x:c r="K1691" s="32" t="n">
        <x:f>J1691*MIN(1,v01_LeanBase*EXP(v01_CapsByProject*SUMPRODUCT((Cap_Point&lt;=I1691)*(Cap_Kind="Lean")*Cap_Ln)))</x:f>
        <x:v>12000</x:v>
      </x:c>
      <x:c r="L1691" s="10" t="n">
        <x:f>INDEX(v01_HousingCap,G1691)*EXP(v01_CapsByProject*SUMPRODUCT((Cap_Point&lt;=I1691)*(Cap_Kind="Housing")*Cap_Ln))</x:f>
        <x:v>20000</x:v>
      </x:c>
      <x:c r="M1691" s="10" t="n">
        <x:f>INDEX(v01_GroupCap,G1691)*v01_CohesionFactor*EXP(v01_CapsByProject*SUMPRODUCT((Cap_Point&lt;=I1691)*(Cap_Kind="Group")*Cap_Ln))</x:f>
        <x:v>1000000</x:v>
      </x:c>
      <x:c r="N1691" s="32" t="n">
        <x:f>MIN(J1691,L1691,M1691)</x:f>
        <x:v>12000</x:v>
      </x:c>
      <x:c r="O1691" s="10" t="n">
        <x:f>AE1690*N1691</x:f>
        <x:v>180000</x:v>
      </x:c>
      <x:c r="P1691" s="9" t="n">
        <x:f>MIN(1,(AB1690/(AE1690*IF(v01_GroupInCrowding=1,N1691,MIN(J1691,L1691))))^v01_CrowdingExp)</x:f>
        <x:v>0.00024569414295285325</x:v>
      </x:c>
      <x:c r="Q1691" s="9" t="n">
        <x:f>IF(D1691=1,INDEX(v01_WinterMult,G1691),1)</x:f>
        <x:v>1</x:v>
      </x:c>
      <x:c r="R1691" s="9" t="n">
        <x:f>H1691*Z1690*v01_WomenShare*v01_BaseFertility*INDEX(v01_FertMult,G1691)*Arch_Fertility*(1-P1691)</x:f>
        <x:v>0</x:v>
      </x:c>
      <x:c r="S1691" s="9" t="n">
        <x:f>H1691*Y1690*INDEX(v01_MortChild,G1691)/4*Q1691</x:f>
        <x:v>0</x:v>
      </x:c>
      <x:c r="T1691" s="9" t="n">
        <x:f>H1691*Z1690*INDEX(v01_MortAdult,G1691)*Arch_AdultMort/4*Q1691</x:f>
        <x:v>0</x:v>
      </x:c>
      <x:c r="U1691" s="9" t="n">
        <x:f>H1691*AA1690*INDEX(v01_MortElder,G1691)/4*Q1691</x:f>
        <x:v>0</x:v>
      </x:c>
      <x:c r="V1691" s="9" t="n">
        <x:f>H1691*MAX(0,AB1690-O1691)*v01_OvercapLoss</x:f>
        <x:v>0</x:v>
      </x:c>
      <x:c r="W1691" s="9" t="n">
        <x:f>H1691*Y1690/(v01_ChildYears*4)</x:f>
        <x:v>0</x:v>
      </x:c>
      <x:c r="X1691" s="9" t="n">
        <x:f>H1691*Z1690/(v01_AdultYears*4)</x:f>
        <x:v>0</x:v>
      </x:c>
      <x:c r="Y1691" s="32" t="n">
        <x:f>Y1690+R1691-S1691-W1691-Y1690*V1691/AB1690</x:f>
        <x:v>14306.18539759397</x:v>
      </x:c>
      <x:c r="Z1691" s="32" t="n">
        <x:f>Z1690+W1691-X1691-T1691-Z1690*V1691/AB1690</x:f>
        <x:v>19354.456567879548</x:v>
      </x:c>
      <x:c r="AA1691" s="32" t="n">
        <x:f>AA1690+X1691-U1691-AA1690*V1691/AB1690</x:f>
        <x:v>11386.956063258198</x:v>
      </x:c>
      <x:c r="AB1691" s="10" t="n">
        <x:f>Y1691+Z1691+AA1691</x:f>
        <x:v>45047.59802873172</x:v>
      </x:c>
      <x:c r="AC1691" s="8" t="n">
        <x:f>IF(AND(v01_WinterTrigger=1,D1691=1,AB1690/AE1690&gt;=K1691),1,0)</x:f>
        <x:v>0</x:v>
      </x:c>
      <x:c r="AD1691" s="8" t="n">
        <x:f>H1691*IF(AND(OR(AB1690/AE1690&gt;=v01_FissionTrigger*N1691,AC1691=1),AB1690/AE1690*v01_DaughterShare&gt;=v01_MinDaughter),MAX(1,ROUND(AE1690*v01_FissionRate,0)),0)</x:f>
        <x:v>0</x:v>
      </x:c>
      <x:c r="AE1691" s="8" t="n">
        <x:f>IF(H1691=1,MAX(1,MIN(INDEX(v01_Smax,G1691),AE1690+AD1691)),AE1690)</x:f>
        <x:v>15</x:v>
      </x:c>
      <x:c r="AF1691" s="8" t="n">
        <x:f>MAX(0,AE1691-AE1690)</x:f>
        <x:v>0</x:v>
      </x:c>
      <x:c r="AG1691" s="9" t="str">
        <x:f>IF(AF1691&gt;0,B1691,"")</x:f>
      </x:c>
      <x:c r="AH1691" s="9" t="n">
        <x:f>IF(F1691&gt;=1,1,(1+v01_LowTiesShare*(AE1691-1))/AE1691)</x:f>
        <x:v>1</x:v>
      </x:c>
      <x:c r="AI1691" s="32" t="n">
        <x:f>(Z1691+v01_ElderCommons*INDEX(LM_Elder,G1691)*AA1691)*AH1691</x:f>
        <x:v>64139.732591141874</x:v>
      </x:c>
      <x:c r="AJ1691" s="32" t="n">
        <x:f>H1691*v01_CommonsCoef*AI1691^v01_CommonsExp*INDEX(LM_Commons,G1691)</x:f>
        <x:v>0</x:v>
      </x:c>
      <x:c r="AK1691" s="32" t="n">
        <x:f>H1691*v01_RoleScale*Arch_Roles*(AE1691*(INDEX(v01_ElderRolePerSett,G1691)*v01_OutElder*INDEX(LM_Elder,G1691)+INDEX(v01_ShamanPerSett,G1691)*v01_OutShaman)+Z1691*(INDEX(v01_PriestShare,G1691)*v01_OutPriest+INDEX(v01_ScribeShare,G1691)*v01_OutScribe*INDEX(LM_Scribe,G1691)+INDEX(v01_ScholarShare,G1691)*v01_OutScholar*INDEX(LM_Scholar,G1691)+INDEX(v01_ResearcherShare,G1691)*v01_OutResearcher*INDEX(LM_Researcher,G1691)))</x:f>
        <x:v>0</x:v>
      </x:c>
      <x:c r="AL1691" s="32" t="n">
        <x:f>H1691*v01_RoleScale*Arch_Roles*AE1691*INDEX(v01_MonasteryPerSett,G1691)*v01_OutMonastery*INDEX(LM_Monastery,G1691)</x:f>
        <x:v>0</x:v>
      </x:c>
      <x:c r="AM1691" s="32" t="n">
        <x:f>(AJ1691+AK1691+AL1691)/4*INDEX(LM_All,G1691)*INDEX(v01_Boon,G1691)*Arch_Insight</x:f>
        <x:v>0</x:v>
      </x:c>
      <x:c r="AN1691" s="32" t="n">
        <x:f>H1691*(v01_KHPerAdult*Z1691+v01_KHOfCommons*AJ1691/4*INDEX(LM_All,G1691))*v01_KHUsable*Arch_KH</x:f>
        <x:v>0</x:v>
      </x:c>
      <x:c r="AO1691" s="32" t="n">
        <x:f>MIN(AP1690+AN1691,AM1691*v01_KHMaxRatio)</x:f>
        <x:v>0</x:v>
      </x:c>
      <x:c r="AP1691" s="32" t="n">
        <x:f>AP1690+AN1691-AO1691</x:f>
        <x:v>0</x:v>
      </x:c>
      <x:c r="AQ1691" s="32" t="n">
        <x:f>AM1691+AO1691</x:f>
        <x:v>0</x:v>
      </x:c>
      <x:c r="AR1691" s="10" t="n">
        <x:f>IF(H1691=1,INDEX(v01_Req,G1691),0)</x:f>
        <x:v>0</x:v>
      </x:c>
      <x:c r="AS1691" s="32" t="n">
        <x:f>IF(H1691=1,IF(E1691=1,AS1690-AR1690,AS1690)+AQ1691,0)</x:f>
        <x:v>0</x:v>
      </x:c>
      <x:c r="AT1691" s="11" t="n">
        <x:f>IF(AR1691&gt;0,MIN(1,AS1691/AR1691),1)</x:f>
        <x:v>1</x:v>
      </x:c>
      <x:c r="AU1691" s="10" t="n">
        <x:f>AB1691/INDEX(v01_RepScale,G1691)</x:f>
        <x:v>90.09519605746344</x:v>
      </x:c>
      <x:c r="AV1691" s="32" t="n">
        <x:f>AM1691*60/v01_SeasonSeconds</x:f>
        <x:v>0</x:v>
      </x:c>
    </x:row>
    <x:row r="1692">
      <x:c r="A1692" s="8" t="n">
        <x:f>A1691+1</x:f>
        <x:v>1689</x:v>
      </x:c>
      <x:c r="B1692" s="9" t="n">
        <x:f>A1692*v01_SeasonSeconds/60</x:f>
        <x:v>422.25</x:v>
      </x:c>
      <x:c r="C1692" s="9" t="n">
        <x:f>A1692/4</x:f>
        <x:v>422.25</x:v>
      </x:c>
      <x:c r="D1692" s="8" t="n">
        <x:f>IF(MOD(A1692,4)=0,1,0)</x:f>
        <x:v>0</x:v>
      </x:c>
      <x:c r="E1692" s="8" t="n">
        <x:f>IF(AND(F1691&lt;=9,AS1691&gt;=AR1691),1,0)</x:f>
        <x:v>0</x:v>
      </x:c>
      <x:c r="F1692" s="8" t="n">
        <x:f>MIN(10,F1691+E1692)</x:f>
        <x:v>10</x:v>
      </x:c>
      <x:c r="G1692" s="8" t="n">
        <x:f>MIN(F1692,9)+1</x:f>
        <x:v>10</x:v>
      </x:c>
      <x:c r="H1692" s="8" t="n">
        <x:f>IF(F1692&lt;=9,1,0)</x:f>
        <x:v>0</x:v>
      </x:c>
      <x:c r="I1692" s="9" t="n">
        <x:f>MIN(10,F1691+IF(AR1691&gt;0,MIN(1,AS1691/AR1691),1))</x:f>
        <x:v>10</x:v>
      </x:c>
      <x:c r="J1692" s="32" t="n">
        <x:f>INDEX(v01_FoodCap,G1692)*Arch_FoodCap*EXP(v01_CapsByProject*SUMPRODUCT((Cap_Point&lt;=I1692)*(Cap_Kind="Food")*Cap_Ln))</x:f>
        <x:v>12000</x:v>
      </x:c>
      <x:c r="K1692" s="32" t="n">
        <x:f>J1692*MIN(1,v01_LeanBase*EXP(v01_CapsByProject*SUMPRODUCT((Cap_Point&lt;=I1692)*(Cap_Kind="Lean")*Cap_Ln)))</x:f>
        <x:v>12000</x:v>
      </x:c>
      <x:c r="L1692" s="10" t="n">
        <x:f>INDEX(v01_HousingCap,G1692)*EXP(v01_CapsByProject*SUMPRODUCT((Cap_Point&lt;=I1692)*(Cap_Kind="Housing")*Cap_Ln))</x:f>
        <x:v>20000</x:v>
      </x:c>
      <x:c r="M1692" s="10" t="n">
        <x:f>INDEX(v01_GroupCap,G1692)*v01_CohesionFactor*EXP(v01_CapsByProject*SUMPRODUCT((Cap_Point&lt;=I1692)*(Cap_Kind="Group")*Cap_Ln))</x:f>
        <x:v>1000000</x:v>
      </x:c>
      <x:c r="N1692" s="32" t="n">
        <x:f>MIN(J1692,L1692,M1692)</x:f>
        <x:v>12000</x:v>
      </x:c>
      <x:c r="O1692" s="10" t="n">
        <x:f>AE1691*N1692</x:f>
        <x:v>180000</x:v>
      </x:c>
      <x:c r="P1692" s="9" t="n">
        <x:f>MIN(1,(AB1691/(AE1691*IF(v01_GroupInCrowding=1,N1692,MIN(J1692,L1692))))^v01_CrowdingExp)</x:f>
        <x:v>0.00024569414295285325</x:v>
      </x:c>
      <x:c r="Q1692" s="9" t="n">
        <x:f>IF(D1692=1,INDEX(v01_WinterMult,G1692),1)</x:f>
        <x:v>1</x:v>
      </x:c>
      <x:c r="R1692" s="9" t="n">
        <x:f>H1692*Z1691*v01_WomenShare*v01_BaseFertility*INDEX(v01_FertMult,G1692)*Arch_Fertility*(1-P1692)</x:f>
        <x:v>0</x:v>
      </x:c>
      <x:c r="S1692" s="9" t="n">
        <x:f>H1692*Y1691*INDEX(v01_MortChild,G1692)/4*Q1692</x:f>
        <x:v>0</x:v>
      </x:c>
      <x:c r="T1692" s="9" t="n">
        <x:f>H1692*Z1691*INDEX(v01_MortAdult,G1692)*Arch_AdultMort/4*Q1692</x:f>
        <x:v>0</x:v>
      </x:c>
      <x:c r="U1692" s="9" t="n">
        <x:f>H1692*AA1691*INDEX(v01_MortElder,G1692)/4*Q1692</x:f>
        <x:v>0</x:v>
      </x:c>
      <x:c r="V1692" s="9" t="n">
        <x:f>H1692*MAX(0,AB1691-O1692)*v01_OvercapLoss</x:f>
        <x:v>0</x:v>
      </x:c>
      <x:c r="W1692" s="9" t="n">
        <x:f>H1692*Y1691/(v01_ChildYears*4)</x:f>
        <x:v>0</x:v>
      </x:c>
      <x:c r="X1692" s="9" t="n">
        <x:f>H1692*Z1691/(v01_AdultYears*4)</x:f>
        <x:v>0</x:v>
      </x:c>
      <x:c r="Y1692" s="32" t="n">
        <x:f>Y1691+R1692-S1692-W1692-Y1691*V1692/AB1691</x:f>
        <x:v>14306.18539759397</x:v>
      </x:c>
      <x:c r="Z1692" s="32" t="n">
        <x:f>Z1691+W1692-X1692-T1692-Z1691*V1692/AB1691</x:f>
        <x:v>19354.456567879548</x:v>
      </x:c>
      <x:c r="AA1692" s="32" t="n">
        <x:f>AA1691+X1692-U1692-AA1691*V1692/AB1691</x:f>
        <x:v>11386.956063258198</x:v>
      </x:c>
      <x:c r="AB1692" s="10" t="n">
        <x:f>Y1692+Z1692+AA1692</x:f>
        <x:v>45047.59802873172</x:v>
      </x:c>
      <x:c r="AC1692" s="8" t="n">
        <x:f>IF(AND(v01_WinterTrigger=1,D1692=1,AB1691/AE1691&gt;=K1692),1,0)</x:f>
        <x:v>0</x:v>
      </x:c>
      <x:c r="AD1692" s="8" t="n">
        <x:f>H1692*IF(AND(OR(AB1691/AE1691&gt;=v01_FissionTrigger*N1692,AC1692=1),AB1691/AE1691*v01_DaughterShare&gt;=v01_MinDaughter),MAX(1,ROUND(AE1691*v01_FissionRate,0)),0)</x:f>
        <x:v>0</x:v>
      </x:c>
      <x:c r="AE1692" s="8" t="n">
        <x:f>IF(H1692=1,MAX(1,MIN(INDEX(v01_Smax,G1692),AE1691+AD1692)),AE1691)</x:f>
        <x:v>15</x:v>
      </x:c>
      <x:c r="AF1692" s="8" t="n">
        <x:f>MAX(0,AE1692-AE1691)</x:f>
        <x:v>0</x:v>
      </x:c>
      <x:c r="AG1692" s="9" t="str">
        <x:f>IF(AF1692&gt;0,B1692,"")</x:f>
      </x:c>
      <x:c r="AH1692" s="9" t="n">
        <x:f>IF(F1692&gt;=1,1,(1+v01_LowTiesShare*(AE1692-1))/AE1692)</x:f>
        <x:v>1</x:v>
      </x:c>
      <x:c r="AI1692" s="32" t="n">
        <x:f>(Z1692+v01_ElderCommons*INDEX(LM_Elder,G1692)*AA1692)*AH1692</x:f>
        <x:v>64139.732591141874</x:v>
      </x:c>
      <x:c r="AJ1692" s="32" t="n">
        <x:f>H1692*v01_CommonsCoef*AI1692^v01_CommonsExp*INDEX(LM_Commons,G1692)</x:f>
        <x:v>0</x:v>
      </x:c>
      <x:c r="AK1692" s="32" t="n">
        <x:f>H1692*v01_RoleScale*Arch_Roles*(AE1692*(INDEX(v01_ElderRolePerSett,G1692)*v01_OutElder*INDEX(LM_Elder,G1692)+INDEX(v01_ShamanPerSett,G1692)*v01_OutShaman)+Z1692*(INDEX(v01_PriestShare,G1692)*v01_OutPriest+INDEX(v01_ScribeShare,G1692)*v01_OutScribe*INDEX(LM_Scribe,G1692)+INDEX(v01_ScholarShare,G1692)*v01_OutScholar*INDEX(LM_Scholar,G1692)+INDEX(v01_ResearcherShare,G1692)*v01_OutResearcher*INDEX(LM_Researcher,G1692)))</x:f>
        <x:v>0</x:v>
      </x:c>
      <x:c r="AL1692" s="32" t="n">
        <x:f>H1692*v01_RoleScale*Arch_Roles*AE1692*INDEX(v01_MonasteryPerSett,G1692)*v01_OutMonastery*INDEX(LM_Monastery,G1692)</x:f>
        <x:v>0</x:v>
      </x:c>
      <x:c r="AM1692" s="32" t="n">
        <x:f>(AJ1692+AK1692+AL1692)/4*INDEX(LM_All,G1692)*INDEX(v01_Boon,G1692)*Arch_Insight</x:f>
        <x:v>0</x:v>
      </x:c>
      <x:c r="AN1692" s="32" t="n">
        <x:f>H1692*(v01_KHPerAdult*Z1692+v01_KHOfCommons*AJ1692/4*INDEX(LM_All,G1692))*v01_KHUsable*Arch_KH</x:f>
        <x:v>0</x:v>
      </x:c>
      <x:c r="AO1692" s="32" t="n">
        <x:f>MIN(AP1691+AN1692,AM1692*v01_KHMaxRatio)</x:f>
        <x:v>0</x:v>
      </x:c>
      <x:c r="AP1692" s="32" t="n">
        <x:f>AP1691+AN1692-AO1692</x:f>
        <x:v>0</x:v>
      </x:c>
      <x:c r="AQ1692" s="32" t="n">
        <x:f>AM1692+AO1692</x:f>
        <x:v>0</x:v>
      </x:c>
      <x:c r="AR1692" s="10" t="n">
        <x:f>IF(H1692=1,INDEX(v01_Req,G1692),0)</x:f>
        <x:v>0</x:v>
      </x:c>
      <x:c r="AS1692" s="32" t="n">
        <x:f>IF(H1692=1,IF(E1692=1,AS1691-AR1691,AS1691)+AQ1692,0)</x:f>
        <x:v>0</x:v>
      </x:c>
      <x:c r="AT1692" s="11" t="n">
        <x:f>IF(AR1692&gt;0,MIN(1,AS1692/AR1692),1)</x:f>
        <x:v>1</x:v>
      </x:c>
      <x:c r="AU1692" s="10" t="n">
        <x:f>AB1692/INDEX(v01_RepScale,G1692)</x:f>
        <x:v>90.09519605746344</x:v>
      </x:c>
      <x:c r="AV1692" s="32" t="n">
        <x:f>AM1692*60/v01_SeasonSeconds</x:f>
        <x:v>0</x:v>
      </x:c>
    </x:row>
    <x:row r="1693">
      <x:c r="A1693" s="8" t="n">
        <x:f>A1692+1</x:f>
        <x:v>1690</x:v>
      </x:c>
      <x:c r="B1693" s="9" t="n">
        <x:f>A1693*v01_SeasonSeconds/60</x:f>
        <x:v>422.5</x:v>
      </x:c>
      <x:c r="C1693" s="9" t="n">
        <x:f>A1693/4</x:f>
        <x:v>422.5</x:v>
      </x:c>
      <x:c r="D1693" s="8" t="n">
        <x:f>IF(MOD(A1693,4)=0,1,0)</x:f>
        <x:v>0</x:v>
      </x:c>
      <x:c r="E1693" s="8" t="n">
        <x:f>IF(AND(F1692&lt;=9,AS1692&gt;=AR1692),1,0)</x:f>
        <x:v>0</x:v>
      </x:c>
      <x:c r="F1693" s="8" t="n">
        <x:f>MIN(10,F1692+E1693)</x:f>
        <x:v>10</x:v>
      </x:c>
      <x:c r="G1693" s="8" t="n">
        <x:f>MIN(F1693,9)+1</x:f>
        <x:v>10</x:v>
      </x:c>
      <x:c r="H1693" s="8" t="n">
        <x:f>IF(F1693&lt;=9,1,0)</x:f>
        <x:v>0</x:v>
      </x:c>
      <x:c r="I1693" s="9" t="n">
        <x:f>MIN(10,F1692+IF(AR1692&gt;0,MIN(1,AS1692/AR1692),1))</x:f>
        <x:v>10</x:v>
      </x:c>
      <x:c r="J1693" s="32" t="n">
        <x:f>INDEX(v01_FoodCap,G1693)*Arch_FoodCap*EXP(v01_CapsByProject*SUMPRODUCT((Cap_Point&lt;=I1693)*(Cap_Kind="Food")*Cap_Ln))</x:f>
        <x:v>12000</x:v>
      </x:c>
      <x:c r="K1693" s="32" t="n">
        <x:f>J1693*MIN(1,v01_LeanBase*EXP(v01_CapsByProject*SUMPRODUCT((Cap_Point&lt;=I1693)*(Cap_Kind="Lean")*Cap_Ln)))</x:f>
        <x:v>12000</x:v>
      </x:c>
      <x:c r="L1693" s="10" t="n">
        <x:f>INDEX(v01_HousingCap,G1693)*EXP(v01_CapsByProject*SUMPRODUCT((Cap_Point&lt;=I1693)*(Cap_Kind="Housing")*Cap_Ln))</x:f>
        <x:v>20000</x:v>
      </x:c>
      <x:c r="M1693" s="10" t="n">
        <x:f>INDEX(v01_GroupCap,G1693)*v01_CohesionFactor*EXP(v01_CapsByProject*SUMPRODUCT((Cap_Point&lt;=I1693)*(Cap_Kind="Group")*Cap_Ln))</x:f>
        <x:v>1000000</x:v>
      </x:c>
      <x:c r="N1693" s="32" t="n">
        <x:f>MIN(J1693,L1693,M1693)</x:f>
        <x:v>12000</x:v>
      </x:c>
      <x:c r="O1693" s="10" t="n">
        <x:f>AE1692*N1693</x:f>
        <x:v>180000</x:v>
      </x:c>
      <x:c r="P1693" s="9" t="n">
        <x:f>MIN(1,(AB1692/(AE1692*IF(v01_GroupInCrowding=1,N1693,MIN(J1693,L1693))))^v01_CrowdingExp)</x:f>
        <x:v>0.00024569414295285325</x:v>
      </x:c>
      <x:c r="Q1693" s="9" t="n">
        <x:f>IF(D1693=1,INDEX(v01_WinterMult,G1693),1)</x:f>
        <x:v>1</x:v>
      </x:c>
      <x:c r="R1693" s="9" t="n">
        <x:f>H1693*Z1692*v01_WomenShare*v01_BaseFertility*INDEX(v01_FertMult,G1693)*Arch_Fertility*(1-P1693)</x:f>
        <x:v>0</x:v>
      </x:c>
      <x:c r="S1693" s="9" t="n">
        <x:f>H1693*Y1692*INDEX(v01_MortChild,G1693)/4*Q1693</x:f>
        <x:v>0</x:v>
      </x:c>
      <x:c r="T1693" s="9" t="n">
        <x:f>H1693*Z1692*INDEX(v01_MortAdult,G1693)*Arch_AdultMort/4*Q1693</x:f>
        <x:v>0</x:v>
      </x:c>
      <x:c r="U1693" s="9" t="n">
        <x:f>H1693*AA1692*INDEX(v01_MortElder,G1693)/4*Q1693</x:f>
        <x:v>0</x:v>
      </x:c>
      <x:c r="V1693" s="9" t="n">
        <x:f>H1693*MAX(0,AB1692-O1693)*v01_OvercapLoss</x:f>
        <x:v>0</x:v>
      </x:c>
      <x:c r="W1693" s="9" t="n">
        <x:f>H1693*Y1692/(v01_ChildYears*4)</x:f>
        <x:v>0</x:v>
      </x:c>
      <x:c r="X1693" s="9" t="n">
        <x:f>H1693*Z1692/(v01_AdultYears*4)</x:f>
        <x:v>0</x:v>
      </x:c>
      <x:c r="Y1693" s="32" t="n">
        <x:f>Y1692+R1693-S1693-W1693-Y1692*V1693/AB1692</x:f>
        <x:v>14306.18539759397</x:v>
      </x:c>
      <x:c r="Z1693" s="32" t="n">
        <x:f>Z1692+W1693-X1693-T1693-Z1692*V1693/AB1692</x:f>
        <x:v>19354.456567879548</x:v>
      </x:c>
      <x:c r="AA1693" s="32" t="n">
        <x:f>AA1692+X1693-U1693-AA1692*V1693/AB1692</x:f>
        <x:v>11386.956063258198</x:v>
      </x:c>
      <x:c r="AB1693" s="10" t="n">
        <x:f>Y1693+Z1693+AA1693</x:f>
        <x:v>45047.59802873172</x:v>
      </x:c>
      <x:c r="AC1693" s="8" t="n">
        <x:f>IF(AND(v01_WinterTrigger=1,D1693=1,AB1692/AE1692&gt;=K1693),1,0)</x:f>
        <x:v>0</x:v>
      </x:c>
      <x:c r="AD1693" s="8" t="n">
        <x:f>H1693*IF(AND(OR(AB1692/AE1692&gt;=v01_FissionTrigger*N1693,AC1693=1),AB1692/AE1692*v01_DaughterShare&gt;=v01_MinDaughter),MAX(1,ROUND(AE1692*v01_FissionRate,0)),0)</x:f>
        <x:v>0</x:v>
      </x:c>
      <x:c r="AE1693" s="8" t="n">
        <x:f>IF(H1693=1,MAX(1,MIN(INDEX(v01_Smax,G1693),AE1692+AD1693)),AE1692)</x:f>
        <x:v>15</x:v>
      </x:c>
      <x:c r="AF1693" s="8" t="n">
        <x:f>MAX(0,AE1693-AE1692)</x:f>
        <x:v>0</x:v>
      </x:c>
      <x:c r="AG1693" s="9" t="str">
        <x:f>IF(AF1693&gt;0,B1693,"")</x:f>
      </x:c>
      <x:c r="AH1693" s="9" t="n">
        <x:f>IF(F1693&gt;=1,1,(1+v01_LowTiesShare*(AE1693-1))/AE1693)</x:f>
        <x:v>1</x:v>
      </x:c>
      <x:c r="AI1693" s="32" t="n">
        <x:f>(Z1693+v01_ElderCommons*INDEX(LM_Elder,G1693)*AA1693)*AH1693</x:f>
        <x:v>64139.732591141874</x:v>
      </x:c>
      <x:c r="AJ1693" s="32" t="n">
        <x:f>H1693*v01_CommonsCoef*AI1693^v01_CommonsExp*INDEX(LM_Commons,G1693)</x:f>
        <x:v>0</x:v>
      </x:c>
      <x:c r="AK1693" s="32" t="n">
        <x:f>H1693*v01_RoleScale*Arch_Roles*(AE1693*(INDEX(v01_ElderRolePerSett,G1693)*v01_OutElder*INDEX(LM_Elder,G1693)+INDEX(v01_ShamanPerSett,G1693)*v01_OutShaman)+Z1693*(INDEX(v01_PriestShare,G1693)*v01_OutPriest+INDEX(v01_ScribeShare,G1693)*v01_OutScribe*INDEX(LM_Scribe,G1693)+INDEX(v01_ScholarShare,G1693)*v01_OutScholar*INDEX(LM_Scholar,G1693)+INDEX(v01_ResearcherShare,G1693)*v01_OutResearcher*INDEX(LM_Researcher,G1693)))</x:f>
        <x:v>0</x:v>
      </x:c>
      <x:c r="AL1693" s="32" t="n">
        <x:f>H1693*v01_RoleScale*Arch_Roles*AE1693*INDEX(v01_MonasteryPerSett,G1693)*v01_OutMonastery*INDEX(LM_Monastery,G1693)</x:f>
        <x:v>0</x:v>
      </x:c>
      <x:c r="AM1693" s="32" t="n">
        <x:f>(AJ1693+AK1693+AL1693)/4*INDEX(LM_All,G1693)*INDEX(v01_Boon,G1693)*Arch_Insight</x:f>
        <x:v>0</x:v>
      </x:c>
      <x:c r="AN1693" s="32" t="n">
        <x:f>H1693*(v01_KHPerAdult*Z1693+v01_KHOfCommons*AJ1693/4*INDEX(LM_All,G1693))*v01_KHUsable*Arch_KH</x:f>
        <x:v>0</x:v>
      </x:c>
      <x:c r="AO1693" s="32" t="n">
        <x:f>MIN(AP1692+AN1693,AM1693*v01_KHMaxRatio)</x:f>
        <x:v>0</x:v>
      </x:c>
      <x:c r="AP1693" s="32" t="n">
        <x:f>AP1692+AN1693-AO1693</x:f>
        <x:v>0</x:v>
      </x:c>
      <x:c r="AQ1693" s="32" t="n">
        <x:f>AM1693+AO1693</x:f>
        <x:v>0</x:v>
      </x:c>
      <x:c r="AR1693" s="10" t="n">
        <x:f>IF(H1693=1,INDEX(v01_Req,G1693),0)</x:f>
        <x:v>0</x:v>
      </x:c>
      <x:c r="AS1693" s="32" t="n">
        <x:f>IF(H1693=1,IF(E1693=1,AS1692-AR1692,AS1692)+AQ1693,0)</x:f>
        <x:v>0</x:v>
      </x:c>
      <x:c r="AT1693" s="11" t="n">
        <x:f>IF(AR1693&gt;0,MIN(1,AS1693/AR1693),1)</x:f>
        <x:v>1</x:v>
      </x:c>
      <x:c r="AU1693" s="10" t="n">
        <x:f>AB1693/INDEX(v01_RepScale,G1693)</x:f>
        <x:v>90.09519605746344</x:v>
      </x:c>
      <x:c r="AV1693" s="32" t="n">
        <x:f>AM1693*60/v01_SeasonSeconds</x:f>
        <x:v>0</x:v>
      </x:c>
    </x:row>
    <x:row r="1694">
      <x:c r="A1694" s="8" t="n">
        <x:f>A1693+1</x:f>
        <x:v>1691</x:v>
      </x:c>
      <x:c r="B1694" s="9" t="n">
        <x:f>A1694*v01_SeasonSeconds/60</x:f>
        <x:v>422.75</x:v>
      </x:c>
      <x:c r="C1694" s="9" t="n">
        <x:f>A1694/4</x:f>
        <x:v>422.75</x:v>
      </x:c>
      <x:c r="D1694" s="8" t="n">
        <x:f>IF(MOD(A1694,4)=0,1,0)</x:f>
        <x:v>0</x:v>
      </x:c>
      <x:c r="E1694" s="8" t="n">
        <x:f>IF(AND(F1693&lt;=9,AS1693&gt;=AR1693),1,0)</x:f>
        <x:v>0</x:v>
      </x:c>
      <x:c r="F1694" s="8" t="n">
        <x:f>MIN(10,F1693+E1694)</x:f>
        <x:v>10</x:v>
      </x:c>
      <x:c r="G1694" s="8" t="n">
        <x:f>MIN(F1694,9)+1</x:f>
        <x:v>10</x:v>
      </x:c>
      <x:c r="H1694" s="8" t="n">
        <x:f>IF(F1694&lt;=9,1,0)</x:f>
        <x:v>0</x:v>
      </x:c>
      <x:c r="I1694" s="9" t="n">
        <x:f>MIN(10,F1693+IF(AR1693&gt;0,MIN(1,AS1693/AR1693),1))</x:f>
        <x:v>10</x:v>
      </x:c>
      <x:c r="J1694" s="32" t="n">
        <x:f>INDEX(v01_FoodCap,G1694)*Arch_FoodCap*EXP(v01_CapsByProject*SUMPRODUCT((Cap_Point&lt;=I1694)*(Cap_Kind="Food")*Cap_Ln))</x:f>
        <x:v>12000</x:v>
      </x:c>
      <x:c r="K1694" s="32" t="n">
        <x:f>J1694*MIN(1,v01_LeanBase*EXP(v01_CapsByProject*SUMPRODUCT((Cap_Point&lt;=I1694)*(Cap_Kind="Lean")*Cap_Ln)))</x:f>
        <x:v>12000</x:v>
      </x:c>
      <x:c r="L1694" s="10" t="n">
        <x:f>INDEX(v01_HousingCap,G1694)*EXP(v01_CapsByProject*SUMPRODUCT((Cap_Point&lt;=I1694)*(Cap_Kind="Housing")*Cap_Ln))</x:f>
        <x:v>20000</x:v>
      </x:c>
      <x:c r="M1694" s="10" t="n">
        <x:f>INDEX(v01_GroupCap,G1694)*v01_CohesionFactor*EXP(v01_CapsByProject*SUMPRODUCT((Cap_Point&lt;=I1694)*(Cap_Kind="Group")*Cap_Ln))</x:f>
        <x:v>1000000</x:v>
      </x:c>
      <x:c r="N1694" s="32" t="n">
        <x:f>MIN(J1694,L1694,M1694)</x:f>
        <x:v>12000</x:v>
      </x:c>
      <x:c r="O1694" s="10" t="n">
        <x:f>AE1693*N1694</x:f>
        <x:v>180000</x:v>
      </x:c>
      <x:c r="P1694" s="9" t="n">
        <x:f>MIN(1,(AB1693/(AE1693*IF(v01_GroupInCrowding=1,N1694,MIN(J1694,L1694))))^v01_CrowdingExp)</x:f>
        <x:v>0.00024569414295285325</x:v>
      </x:c>
      <x:c r="Q1694" s="9" t="n">
        <x:f>IF(D1694=1,INDEX(v01_WinterMult,G1694),1)</x:f>
        <x:v>1</x:v>
      </x:c>
      <x:c r="R1694" s="9" t="n">
        <x:f>H1694*Z1693*v01_WomenShare*v01_BaseFertility*INDEX(v01_FertMult,G1694)*Arch_Fertility*(1-P1694)</x:f>
        <x:v>0</x:v>
      </x:c>
      <x:c r="S1694" s="9" t="n">
        <x:f>H1694*Y1693*INDEX(v01_MortChild,G1694)/4*Q1694</x:f>
        <x:v>0</x:v>
      </x:c>
      <x:c r="T1694" s="9" t="n">
        <x:f>H1694*Z1693*INDEX(v01_MortAdult,G1694)*Arch_AdultMort/4*Q1694</x:f>
        <x:v>0</x:v>
      </x:c>
      <x:c r="U1694" s="9" t="n">
        <x:f>H1694*AA1693*INDEX(v01_MortElder,G1694)/4*Q1694</x:f>
        <x:v>0</x:v>
      </x:c>
      <x:c r="V1694" s="9" t="n">
        <x:f>H1694*MAX(0,AB1693-O1694)*v01_OvercapLoss</x:f>
        <x:v>0</x:v>
      </x:c>
      <x:c r="W1694" s="9" t="n">
        <x:f>H1694*Y1693/(v01_ChildYears*4)</x:f>
        <x:v>0</x:v>
      </x:c>
      <x:c r="X1694" s="9" t="n">
        <x:f>H1694*Z1693/(v01_AdultYears*4)</x:f>
        <x:v>0</x:v>
      </x:c>
      <x:c r="Y1694" s="32" t="n">
        <x:f>Y1693+R1694-S1694-W1694-Y1693*V1694/AB1693</x:f>
        <x:v>14306.18539759397</x:v>
      </x:c>
      <x:c r="Z1694" s="32" t="n">
        <x:f>Z1693+W1694-X1694-T1694-Z1693*V1694/AB1693</x:f>
        <x:v>19354.456567879548</x:v>
      </x:c>
      <x:c r="AA1694" s="32" t="n">
        <x:f>AA1693+X1694-U1694-AA1693*V1694/AB1693</x:f>
        <x:v>11386.956063258198</x:v>
      </x:c>
      <x:c r="AB1694" s="10" t="n">
        <x:f>Y1694+Z1694+AA1694</x:f>
        <x:v>45047.59802873172</x:v>
      </x:c>
      <x:c r="AC1694" s="8" t="n">
        <x:f>IF(AND(v01_WinterTrigger=1,D1694=1,AB1693/AE1693&gt;=K1694),1,0)</x:f>
        <x:v>0</x:v>
      </x:c>
      <x:c r="AD1694" s="8" t="n">
        <x:f>H1694*IF(AND(OR(AB1693/AE1693&gt;=v01_FissionTrigger*N1694,AC1694=1),AB1693/AE1693*v01_DaughterShare&gt;=v01_MinDaughter),MAX(1,ROUND(AE1693*v01_FissionRate,0)),0)</x:f>
        <x:v>0</x:v>
      </x:c>
      <x:c r="AE1694" s="8" t="n">
        <x:f>IF(H1694=1,MAX(1,MIN(INDEX(v01_Smax,G1694),AE1693+AD1694)),AE1693)</x:f>
        <x:v>15</x:v>
      </x:c>
      <x:c r="AF1694" s="8" t="n">
        <x:f>MAX(0,AE1694-AE1693)</x:f>
        <x:v>0</x:v>
      </x:c>
      <x:c r="AG1694" s="9" t="str">
        <x:f>IF(AF1694&gt;0,B1694,"")</x:f>
      </x:c>
      <x:c r="AH1694" s="9" t="n">
        <x:f>IF(F1694&gt;=1,1,(1+v01_LowTiesShare*(AE1694-1))/AE1694)</x:f>
        <x:v>1</x:v>
      </x:c>
      <x:c r="AI1694" s="32" t="n">
        <x:f>(Z1694+v01_ElderCommons*INDEX(LM_Elder,G1694)*AA1694)*AH1694</x:f>
        <x:v>64139.732591141874</x:v>
      </x:c>
      <x:c r="AJ1694" s="32" t="n">
        <x:f>H1694*v01_CommonsCoef*AI1694^v01_CommonsExp*INDEX(LM_Commons,G1694)</x:f>
        <x:v>0</x:v>
      </x:c>
      <x:c r="AK1694" s="32" t="n">
        <x:f>H1694*v01_RoleScale*Arch_Roles*(AE1694*(INDEX(v01_ElderRolePerSett,G1694)*v01_OutElder*INDEX(LM_Elder,G1694)+INDEX(v01_ShamanPerSett,G1694)*v01_OutShaman)+Z1694*(INDEX(v01_PriestShare,G1694)*v01_OutPriest+INDEX(v01_ScribeShare,G1694)*v01_OutScribe*INDEX(LM_Scribe,G1694)+INDEX(v01_ScholarShare,G1694)*v01_OutScholar*INDEX(LM_Scholar,G1694)+INDEX(v01_ResearcherShare,G1694)*v01_OutResearcher*INDEX(LM_Researcher,G1694)))</x:f>
        <x:v>0</x:v>
      </x:c>
      <x:c r="AL1694" s="32" t="n">
        <x:f>H1694*v01_RoleScale*Arch_Roles*AE1694*INDEX(v01_MonasteryPerSett,G1694)*v01_OutMonastery*INDEX(LM_Monastery,G1694)</x:f>
        <x:v>0</x:v>
      </x:c>
      <x:c r="AM1694" s="32" t="n">
        <x:f>(AJ1694+AK1694+AL1694)/4*INDEX(LM_All,G1694)*INDEX(v01_Boon,G1694)*Arch_Insight</x:f>
        <x:v>0</x:v>
      </x:c>
      <x:c r="AN1694" s="32" t="n">
        <x:f>H1694*(v01_KHPerAdult*Z1694+v01_KHOfCommons*AJ1694/4*INDEX(LM_All,G1694))*v01_KHUsable*Arch_KH</x:f>
        <x:v>0</x:v>
      </x:c>
      <x:c r="AO1694" s="32" t="n">
        <x:f>MIN(AP1693+AN1694,AM1694*v01_KHMaxRatio)</x:f>
        <x:v>0</x:v>
      </x:c>
      <x:c r="AP1694" s="32" t="n">
        <x:f>AP1693+AN1694-AO1694</x:f>
        <x:v>0</x:v>
      </x:c>
      <x:c r="AQ1694" s="32" t="n">
        <x:f>AM1694+AO1694</x:f>
        <x:v>0</x:v>
      </x:c>
      <x:c r="AR1694" s="10" t="n">
        <x:f>IF(H1694=1,INDEX(v01_Req,G1694),0)</x:f>
        <x:v>0</x:v>
      </x:c>
      <x:c r="AS1694" s="32" t="n">
        <x:f>IF(H1694=1,IF(E1694=1,AS1693-AR1693,AS1693)+AQ1694,0)</x:f>
        <x:v>0</x:v>
      </x:c>
      <x:c r="AT1694" s="11" t="n">
        <x:f>IF(AR1694&gt;0,MIN(1,AS1694/AR1694),1)</x:f>
        <x:v>1</x:v>
      </x:c>
      <x:c r="AU1694" s="10" t="n">
        <x:f>AB1694/INDEX(v01_RepScale,G1694)</x:f>
        <x:v>90.09519605746344</x:v>
      </x:c>
      <x:c r="AV1694" s="32" t="n">
        <x:f>AM1694*60/v01_SeasonSeconds</x:f>
        <x:v>0</x:v>
      </x:c>
    </x:row>
    <x:row r="1695">
      <x:c r="A1695" s="8" t="n">
        <x:f>A1694+1</x:f>
        <x:v>1692</x:v>
      </x:c>
      <x:c r="B1695" s="9" t="n">
        <x:f>A1695*v01_SeasonSeconds/60</x:f>
        <x:v>423</x:v>
      </x:c>
      <x:c r="C1695" s="9" t="n">
        <x:f>A1695/4</x:f>
        <x:v>423</x:v>
      </x:c>
      <x:c r="D1695" s="8" t="n">
        <x:f>IF(MOD(A1695,4)=0,1,0)</x:f>
        <x:v>1</x:v>
      </x:c>
      <x:c r="E1695" s="8" t="n">
        <x:f>IF(AND(F1694&lt;=9,AS1694&gt;=AR1694),1,0)</x:f>
        <x:v>0</x:v>
      </x:c>
      <x:c r="F1695" s="8" t="n">
        <x:f>MIN(10,F1694+E1695)</x:f>
        <x:v>10</x:v>
      </x:c>
      <x:c r="G1695" s="8" t="n">
        <x:f>MIN(F1695,9)+1</x:f>
        <x:v>10</x:v>
      </x:c>
      <x:c r="H1695" s="8" t="n">
        <x:f>IF(F1695&lt;=9,1,0)</x:f>
        <x:v>0</x:v>
      </x:c>
      <x:c r="I1695" s="9" t="n">
        <x:f>MIN(10,F1694+IF(AR1694&gt;0,MIN(1,AS1694/AR1694),1))</x:f>
        <x:v>10</x:v>
      </x:c>
      <x:c r="J1695" s="32" t="n">
        <x:f>INDEX(v01_FoodCap,G1695)*Arch_FoodCap*EXP(v01_CapsByProject*SUMPRODUCT((Cap_Point&lt;=I1695)*(Cap_Kind="Food")*Cap_Ln))</x:f>
        <x:v>12000</x:v>
      </x:c>
      <x:c r="K1695" s="32" t="n">
        <x:f>J1695*MIN(1,v01_LeanBase*EXP(v01_CapsByProject*SUMPRODUCT((Cap_Point&lt;=I1695)*(Cap_Kind="Lean")*Cap_Ln)))</x:f>
        <x:v>12000</x:v>
      </x:c>
      <x:c r="L1695" s="10" t="n">
        <x:f>INDEX(v01_HousingCap,G1695)*EXP(v01_CapsByProject*SUMPRODUCT((Cap_Point&lt;=I1695)*(Cap_Kind="Housing")*Cap_Ln))</x:f>
        <x:v>20000</x:v>
      </x:c>
      <x:c r="M1695" s="10" t="n">
        <x:f>INDEX(v01_GroupCap,G1695)*v01_CohesionFactor*EXP(v01_CapsByProject*SUMPRODUCT((Cap_Point&lt;=I1695)*(Cap_Kind="Group")*Cap_Ln))</x:f>
        <x:v>1000000</x:v>
      </x:c>
      <x:c r="N1695" s="32" t="n">
        <x:f>MIN(J1695,L1695,M1695)</x:f>
        <x:v>12000</x:v>
      </x:c>
      <x:c r="O1695" s="10" t="n">
        <x:f>AE1694*N1695</x:f>
        <x:v>180000</x:v>
      </x:c>
      <x:c r="P1695" s="9" t="n">
        <x:f>MIN(1,(AB1694/(AE1694*IF(v01_GroupInCrowding=1,N1695,MIN(J1695,L1695))))^v01_CrowdingExp)</x:f>
        <x:v>0.00024569414295285325</x:v>
      </x:c>
      <x:c r="Q1695" s="9" t="n">
        <x:f>IF(D1695=1,INDEX(v01_WinterMult,G1695),1)</x:f>
        <x:v>1</x:v>
      </x:c>
      <x:c r="R1695" s="9" t="n">
        <x:f>H1695*Z1694*v01_WomenShare*v01_BaseFertility*INDEX(v01_FertMult,G1695)*Arch_Fertility*(1-P1695)</x:f>
        <x:v>0</x:v>
      </x:c>
      <x:c r="S1695" s="9" t="n">
        <x:f>H1695*Y1694*INDEX(v01_MortChild,G1695)/4*Q1695</x:f>
        <x:v>0</x:v>
      </x:c>
      <x:c r="T1695" s="9" t="n">
        <x:f>H1695*Z1694*INDEX(v01_MortAdult,G1695)*Arch_AdultMort/4*Q1695</x:f>
        <x:v>0</x:v>
      </x:c>
      <x:c r="U1695" s="9" t="n">
        <x:f>H1695*AA1694*INDEX(v01_MortElder,G1695)/4*Q1695</x:f>
        <x:v>0</x:v>
      </x:c>
      <x:c r="V1695" s="9" t="n">
        <x:f>H1695*MAX(0,AB1694-O1695)*v01_OvercapLoss</x:f>
        <x:v>0</x:v>
      </x:c>
      <x:c r="W1695" s="9" t="n">
        <x:f>H1695*Y1694/(v01_ChildYears*4)</x:f>
        <x:v>0</x:v>
      </x:c>
      <x:c r="X1695" s="9" t="n">
        <x:f>H1695*Z1694/(v01_AdultYears*4)</x:f>
        <x:v>0</x:v>
      </x:c>
      <x:c r="Y1695" s="32" t="n">
        <x:f>Y1694+R1695-S1695-W1695-Y1694*V1695/AB1694</x:f>
        <x:v>14306.18539759397</x:v>
      </x:c>
      <x:c r="Z1695" s="32" t="n">
        <x:f>Z1694+W1695-X1695-T1695-Z1694*V1695/AB1694</x:f>
        <x:v>19354.456567879548</x:v>
      </x:c>
      <x:c r="AA1695" s="32" t="n">
        <x:f>AA1694+X1695-U1695-AA1694*V1695/AB1694</x:f>
        <x:v>11386.956063258198</x:v>
      </x:c>
      <x:c r="AB1695" s="10" t="n">
        <x:f>Y1695+Z1695+AA1695</x:f>
        <x:v>45047.59802873172</x:v>
      </x:c>
      <x:c r="AC1695" s="8" t="n">
        <x:f>IF(AND(v01_WinterTrigger=1,D1695=1,AB1694/AE1694&gt;=K1695),1,0)</x:f>
        <x:v>0</x:v>
      </x:c>
      <x:c r="AD1695" s="8" t="n">
        <x:f>H1695*IF(AND(OR(AB1694/AE1694&gt;=v01_FissionTrigger*N1695,AC1695=1),AB1694/AE1694*v01_DaughterShare&gt;=v01_MinDaughter),MAX(1,ROUND(AE1694*v01_FissionRate,0)),0)</x:f>
        <x:v>0</x:v>
      </x:c>
      <x:c r="AE1695" s="8" t="n">
        <x:f>IF(H1695=1,MAX(1,MIN(INDEX(v01_Smax,G1695),AE1694+AD1695)),AE1694)</x:f>
        <x:v>15</x:v>
      </x:c>
      <x:c r="AF1695" s="8" t="n">
        <x:f>MAX(0,AE1695-AE1694)</x:f>
        <x:v>0</x:v>
      </x:c>
      <x:c r="AG1695" s="9" t="str">
        <x:f>IF(AF1695&gt;0,B1695,"")</x:f>
      </x:c>
      <x:c r="AH1695" s="9" t="n">
        <x:f>IF(F1695&gt;=1,1,(1+v01_LowTiesShare*(AE1695-1))/AE1695)</x:f>
        <x:v>1</x:v>
      </x:c>
      <x:c r="AI1695" s="32" t="n">
        <x:f>(Z1695+v01_ElderCommons*INDEX(LM_Elder,G1695)*AA1695)*AH1695</x:f>
        <x:v>64139.732591141874</x:v>
      </x:c>
      <x:c r="AJ1695" s="32" t="n">
        <x:f>H1695*v01_CommonsCoef*AI1695^v01_CommonsExp*INDEX(LM_Commons,G1695)</x:f>
        <x:v>0</x:v>
      </x:c>
      <x:c r="AK1695" s="32" t="n">
        <x:f>H1695*v01_RoleScale*Arch_Roles*(AE1695*(INDEX(v01_ElderRolePerSett,G1695)*v01_OutElder*INDEX(LM_Elder,G1695)+INDEX(v01_ShamanPerSett,G1695)*v01_OutShaman)+Z1695*(INDEX(v01_PriestShare,G1695)*v01_OutPriest+INDEX(v01_ScribeShare,G1695)*v01_OutScribe*INDEX(LM_Scribe,G1695)+INDEX(v01_ScholarShare,G1695)*v01_OutScholar*INDEX(LM_Scholar,G1695)+INDEX(v01_ResearcherShare,G1695)*v01_OutResearcher*INDEX(LM_Researcher,G1695)))</x:f>
        <x:v>0</x:v>
      </x:c>
      <x:c r="AL1695" s="32" t="n">
        <x:f>H1695*v01_RoleScale*Arch_Roles*AE1695*INDEX(v01_MonasteryPerSett,G1695)*v01_OutMonastery*INDEX(LM_Monastery,G1695)</x:f>
        <x:v>0</x:v>
      </x:c>
      <x:c r="AM1695" s="32" t="n">
        <x:f>(AJ1695+AK1695+AL1695)/4*INDEX(LM_All,G1695)*INDEX(v01_Boon,G1695)*Arch_Insight</x:f>
        <x:v>0</x:v>
      </x:c>
      <x:c r="AN1695" s="32" t="n">
        <x:f>H1695*(v01_KHPerAdult*Z1695+v01_KHOfCommons*AJ1695/4*INDEX(LM_All,G1695))*v01_KHUsable*Arch_KH</x:f>
        <x:v>0</x:v>
      </x:c>
      <x:c r="AO1695" s="32" t="n">
        <x:f>MIN(AP1694+AN1695,AM1695*v01_KHMaxRatio)</x:f>
        <x:v>0</x:v>
      </x:c>
      <x:c r="AP1695" s="32" t="n">
        <x:f>AP1694+AN1695-AO1695</x:f>
        <x:v>0</x:v>
      </x:c>
      <x:c r="AQ1695" s="32" t="n">
        <x:f>AM1695+AO1695</x:f>
        <x:v>0</x:v>
      </x:c>
      <x:c r="AR1695" s="10" t="n">
        <x:f>IF(H1695=1,INDEX(v01_Req,G1695),0)</x:f>
        <x:v>0</x:v>
      </x:c>
      <x:c r="AS1695" s="32" t="n">
        <x:f>IF(H1695=1,IF(E1695=1,AS1694-AR1694,AS1694)+AQ1695,0)</x:f>
        <x:v>0</x:v>
      </x:c>
      <x:c r="AT1695" s="11" t="n">
        <x:f>IF(AR1695&gt;0,MIN(1,AS1695/AR1695),1)</x:f>
        <x:v>1</x:v>
      </x:c>
      <x:c r="AU1695" s="10" t="n">
        <x:f>AB1695/INDEX(v01_RepScale,G1695)</x:f>
        <x:v>90.09519605746344</x:v>
      </x:c>
      <x:c r="AV1695" s="32" t="n">
        <x:f>AM1695*60/v01_SeasonSeconds</x:f>
        <x:v>0</x:v>
      </x:c>
    </x:row>
    <x:row r="1696">
      <x:c r="A1696" s="8" t="n">
        <x:f>A1695+1</x:f>
        <x:v>1693</x:v>
      </x:c>
      <x:c r="B1696" s="9" t="n">
        <x:f>A1696*v01_SeasonSeconds/60</x:f>
        <x:v>423.25</x:v>
      </x:c>
      <x:c r="C1696" s="9" t="n">
        <x:f>A1696/4</x:f>
        <x:v>423.25</x:v>
      </x:c>
      <x:c r="D1696" s="8" t="n">
        <x:f>IF(MOD(A1696,4)=0,1,0)</x:f>
        <x:v>0</x:v>
      </x:c>
      <x:c r="E1696" s="8" t="n">
        <x:f>IF(AND(F1695&lt;=9,AS1695&gt;=AR1695),1,0)</x:f>
        <x:v>0</x:v>
      </x:c>
      <x:c r="F1696" s="8" t="n">
        <x:f>MIN(10,F1695+E1696)</x:f>
        <x:v>10</x:v>
      </x:c>
      <x:c r="G1696" s="8" t="n">
        <x:f>MIN(F1696,9)+1</x:f>
        <x:v>10</x:v>
      </x:c>
      <x:c r="H1696" s="8" t="n">
        <x:f>IF(F1696&lt;=9,1,0)</x:f>
        <x:v>0</x:v>
      </x:c>
      <x:c r="I1696" s="9" t="n">
        <x:f>MIN(10,F1695+IF(AR1695&gt;0,MIN(1,AS1695/AR1695),1))</x:f>
        <x:v>10</x:v>
      </x:c>
      <x:c r="J1696" s="32" t="n">
        <x:f>INDEX(v01_FoodCap,G1696)*Arch_FoodCap*EXP(v01_CapsByProject*SUMPRODUCT((Cap_Point&lt;=I1696)*(Cap_Kind="Food")*Cap_Ln))</x:f>
        <x:v>12000</x:v>
      </x:c>
      <x:c r="K1696" s="32" t="n">
        <x:f>J1696*MIN(1,v01_LeanBase*EXP(v01_CapsByProject*SUMPRODUCT((Cap_Point&lt;=I1696)*(Cap_Kind="Lean")*Cap_Ln)))</x:f>
        <x:v>12000</x:v>
      </x:c>
      <x:c r="L1696" s="10" t="n">
        <x:f>INDEX(v01_HousingCap,G1696)*EXP(v01_CapsByProject*SUMPRODUCT((Cap_Point&lt;=I1696)*(Cap_Kind="Housing")*Cap_Ln))</x:f>
        <x:v>20000</x:v>
      </x:c>
      <x:c r="M1696" s="10" t="n">
        <x:f>INDEX(v01_GroupCap,G1696)*v01_CohesionFactor*EXP(v01_CapsByProject*SUMPRODUCT((Cap_Point&lt;=I1696)*(Cap_Kind="Group")*Cap_Ln))</x:f>
        <x:v>1000000</x:v>
      </x:c>
      <x:c r="N1696" s="32" t="n">
        <x:f>MIN(J1696,L1696,M1696)</x:f>
        <x:v>12000</x:v>
      </x:c>
      <x:c r="O1696" s="10" t="n">
        <x:f>AE1695*N1696</x:f>
        <x:v>180000</x:v>
      </x:c>
      <x:c r="P1696" s="9" t="n">
        <x:f>MIN(1,(AB1695/(AE1695*IF(v01_GroupInCrowding=1,N1696,MIN(J1696,L1696))))^v01_CrowdingExp)</x:f>
        <x:v>0.00024569414295285325</x:v>
      </x:c>
      <x:c r="Q1696" s="9" t="n">
        <x:f>IF(D1696=1,INDEX(v01_WinterMult,G1696),1)</x:f>
        <x:v>1</x:v>
      </x:c>
      <x:c r="R1696" s="9" t="n">
        <x:f>H1696*Z1695*v01_WomenShare*v01_BaseFertility*INDEX(v01_FertMult,G1696)*Arch_Fertility*(1-P1696)</x:f>
        <x:v>0</x:v>
      </x:c>
      <x:c r="S1696" s="9" t="n">
        <x:f>H1696*Y1695*INDEX(v01_MortChild,G1696)/4*Q1696</x:f>
        <x:v>0</x:v>
      </x:c>
      <x:c r="T1696" s="9" t="n">
        <x:f>H1696*Z1695*INDEX(v01_MortAdult,G1696)*Arch_AdultMort/4*Q1696</x:f>
        <x:v>0</x:v>
      </x:c>
      <x:c r="U1696" s="9" t="n">
        <x:f>H1696*AA1695*INDEX(v01_MortElder,G1696)/4*Q1696</x:f>
        <x:v>0</x:v>
      </x:c>
      <x:c r="V1696" s="9" t="n">
        <x:f>H1696*MAX(0,AB1695-O1696)*v01_OvercapLoss</x:f>
        <x:v>0</x:v>
      </x:c>
      <x:c r="W1696" s="9" t="n">
        <x:f>H1696*Y1695/(v01_ChildYears*4)</x:f>
        <x:v>0</x:v>
      </x:c>
      <x:c r="X1696" s="9" t="n">
        <x:f>H1696*Z1695/(v01_AdultYears*4)</x:f>
        <x:v>0</x:v>
      </x:c>
      <x:c r="Y1696" s="32" t="n">
        <x:f>Y1695+R1696-S1696-W1696-Y1695*V1696/AB1695</x:f>
        <x:v>14306.18539759397</x:v>
      </x:c>
      <x:c r="Z1696" s="32" t="n">
        <x:f>Z1695+W1696-X1696-T1696-Z1695*V1696/AB1695</x:f>
        <x:v>19354.456567879548</x:v>
      </x:c>
      <x:c r="AA1696" s="32" t="n">
        <x:f>AA1695+X1696-U1696-AA1695*V1696/AB1695</x:f>
        <x:v>11386.956063258198</x:v>
      </x:c>
      <x:c r="AB1696" s="10" t="n">
        <x:f>Y1696+Z1696+AA1696</x:f>
        <x:v>45047.59802873172</x:v>
      </x:c>
      <x:c r="AC1696" s="8" t="n">
        <x:f>IF(AND(v01_WinterTrigger=1,D1696=1,AB1695/AE1695&gt;=K1696),1,0)</x:f>
        <x:v>0</x:v>
      </x:c>
      <x:c r="AD1696" s="8" t="n">
        <x:f>H1696*IF(AND(OR(AB1695/AE1695&gt;=v01_FissionTrigger*N1696,AC1696=1),AB1695/AE1695*v01_DaughterShare&gt;=v01_MinDaughter),MAX(1,ROUND(AE1695*v01_FissionRate,0)),0)</x:f>
        <x:v>0</x:v>
      </x:c>
      <x:c r="AE1696" s="8" t="n">
        <x:f>IF(H1696=1,MAX(1,MIN(INDEX(v01_Smax,G1696),AE1695+AD1696)),AE1695)</x:f>
        <x:v>15</x:v>
      </x:c>
      <x:c r="AF1696" s="8" t="n">
        <x:f>MAX(0,AE1696-AE1695)</x:f>
        <x:v>0</x:v>
      </x:c>
      <x:c r="AG1696" s="9" t="str">
        <x:f>IF(AF1696&gt;0,B1696,"")</x:f>
      </x:c>
      <x:c r="AH1696" s="9" t="n">
        <x:f>IF(F1696&gt;=1,1,(1+v01_LowTiesShare*(AE1696-1))/AE1696)</x:f>
        <x:v>1</x:v>
      </x:c>
      <x:c r="AI1696" s="32" t="n">
        <x:f>(Z1696+v01_ElderCommons*INDEX(LM_Elder,G1696)*AA1696)*AH1696</x:f>
        <x:v>64139.732591141874</x:v>
      </x:c>
      <x:c r="AJ1696" s="32" t="n">
        <x:f>H1696*v01_CommonsCoef*AI1696^v01_CommonsExp*INDEX(LM_Commons,G1696)</x:f>
        <x:v>0</x:v>
      </x:c>
      <x:c r="AK1696" s="32" t="n">
        <x:f>H1696*v01_RoleScale*Arch_Roles*(AE1696*(INDEX(v01_ElderRolePerSett,G1696)*v01_OutElder*INDEX(LM_Elder,G1696)+INDEX(v01_ShamanPerSett,G1696)*v01_OutShaman)+Z1696*(INDEX(v01_PriestShare,G1696)*v01_OutPriest+INDEX(v01_ScribeShare,G1696)*v01_OutScribe*INDEX(LM_Scribe,G1696)+INDEX(v01_ScholarShare,G1696)*v01_OutScholar*INDEX(LM_Scholar,G1696)+INDEX(v01_ResearcherShare,G1696)*v01_OutResearcher*INDEX(LM_Researcher,G1696)))</x:f>
        <x:v>0</x:v>
      </x:c>
      <x:c r="AL1696" s="32" t="n">
        <x:f>H1696*v01_RoleScale*Arch_Roles*AE1696*INDEX(v01_MonasteryPerSett,G1696)*v01_OutMonastery*INDEX(LM_Monastery,G1696)</x:f>
        <x:v>0</x:v>
      </x:c>
      <x:c r="AM1696" s="32" t="n">
        <x:f>(AJ1696+AK1696+AL1696)/4*INDEX(LM_All,G1696)*INDEX(v01_Boon,G1696)*Arch_Insight</x:f>
        <x:v>0</x:v>
      </x:c>
      <x:c r="AN1696" s="32" t="n">
        <x:f>H1696*(v01_KHPerAdult*Z1696+v01_KHOfCommons*AJ1696/4*INDEX(LM_All,G1696))*v01_KHUsable*Arch_KH</x:f>
        <x:v>0</x:v>
      </x:c>
      <x:c r="AO1696" s="32" t="n">
        <x:f>MIN(AP1695+AN1696,AM1696*v01_KHMaxRatio)</x:f>
        <x:v>0</x:v>
      </x:c>
      <x:c r="AP1696" s="32" t="n">
        <x:f>AP1695+AN1696-AO1696</x:f>
        <x:v>0</x:v>
      </x:c>
      <x:c r="AQ1696" s="32" t="n">
        <x:f>AM1696+AO1696</x:f>
        <x:v>0</x:v>
      </x:c>
      <x:c r="AR1696" s="10" t="n">
        <x:f>IF(H1696=1,INDEX(v01_Req,G1696),0)</x:f>
        <x:v>0</x:v>
      </x:c>
      <x:c r="AS1696" s="32" t="n">
        <x:f>IF(H1696=1,IF(E1696=1,AS1695-AR1695,AS1695)+AQ1696,0)</x:f>
        <x:v>0</x:v>
      </x:c>
      <x:c r="AT1696" s="11" t="n">
        <x:f>IF(AR1696&gt;0,MIN(1,AS1696/AR1696),1)</x:f>
        <x:v>1</x:v>
      </x:c>
      <x:c r="AU1696" s="10" t="n">
        <x:f>AB1696/INDEX(v01_RepScale,G1696)</x:f>
        <x:v>90.09519605746344</x:v>
      </x:c>
      <x:c r="AV1696" s="32" t="n">
        <x:f>AM1696*60/v01_SeasonSeconds</x:f>
        <x:v>0</x:v>
      </x:c>
    </x:row>
    <x:row r="1697">
      <x:c r="A1697" s="8" t="n">
        <x:f>A1696+1</x:f>
        <x:v>1694</x:v>
      </x:c>
      <x:c r="B1697" s="9" t="n">
        <x:f>A1697*v01_SeasonSeconds/60</x:f>
        <x:v>423.5</x:v>
      </x:c>
      <x:c r="C1697" s="9" t="n">
        <x:f>A1697/4</x:f>
        <x:v>423.5</x:v>
      </x:c>
      <x:c r="D1697" s="8" t="n">
        <x:f>IF(MOD(A1697,4)=0,1,0)</x:f>
        <x:v>0</x:v>
      </x:c>
      <x:c r="E1697" s="8" t="n">
        <x:f>IF(AND(F1696&lt;=9,AS1696&gt;=AR1696),1,0)</x:f>
        <x:v>0</x:v>
      </x:c>
      <x:c r="F1697" s="8" t="n">
        <x:f>MIN(10,F1696+E1697)</x:f>
        <x:v>10</x:v>
      </x:c>
      <x:c r="G1697" s="8" t="n">
        <x:f>MIN(F1697,9)+1</x:f>
        <x:v>10</x:v>
      </x:c>
      <x:c r="H1697" s="8" t="n">
        <x:f>IF(F1697&lt;=9,1,0)</x:f>
        <x:v>0</x:v>
      </x:c>
      <x:c r="I1697" s="9" t="n">
        <x:f>MIN(10,F1696+IF(AR1696&gt;0,MIN(1,AS1696/AR1696),1))</x:f>
        <x:v>10</x:v>
      </x:c>
      <x:c r="J1697" s="32" t="n">
        <x:f>INDEX(v01_FoodCap,G1697)*Arch_FoodCap*EXP(v01_CapsByProject*SUMPRODUCT((Cap_Point&lt;=I1697)*(Cap_Kind="Food")*Cap_Ln))</x:f>
        <x:v>12000</x:v>
      </x:c>
      <x:c r="K1697" s="32" t="n">
        <x:f>J1697*MIN(1,v01_LeanBase*EXP(v01_CapsByProject*SUMPRODUCT((Cap_Point&lt;=I1697)*(Cap_Kind="Lean")*Cap_Ln)))</x:f>
        <x:v>12000</x:v>
      </x:c>
      <x:c r="L1697" s="10" t="n">
        <x:f>INDEX(v01_HousingCap,G1697)*EXP(v01_CapsByProject*SUMPRODUCT((Cap_Point&lt;=I1697)*(Cap_Kind="Housing")*Cap_Ln))</x:f>
        <x:v>20000</x:v>
      </x:c>
      <x:c r="M1697" s="10" t="n">
        <x:f>INDEX(v01_GroupCap,G1697)*v01_CohesionFactor*EXP(v01_CapsByProject*SUMPRODUCT((Cap_Point&lt;=I1697)*(Cap_Kind="Group")*Cap_Ln))</x:f>
        <x:v>1000000</x:v>
      </x:c>
      <x:c r="N1697" s="32" t="n">
        <x:f>MIN(J1697,L1697,M1697)</x:f>
        <x:v>12000</x:v>
      </x:c>
      <x:c r="O1697" s="10" t="n">
        <x:f>AE1696*N1697</x:f>
        <x:v>180000</x:v>
      </x:c>
      <x:c r="P1697" s="9" t="n">
        <x:f>MIN(1,(AB1696/(AE1696*IF(v01_GroupInCrowding=1,N1697,MIN(J1697,L1697))))^v01_CrowdingExp)</x:f>
        <x:v>0.00024569414295285325</x:v>
      </x:c>
      <x:c r="Q1697" s="9" t="n">
        <x:f>IF(D1697=1,INDEX(v01_WinterMult,G1697),1)</x:f>
        <x:v>1</x:v>
      </x:c>
      <x:c r="R1697" s="9" t="n">
        <x:f>H1697*Z1696*v01_WomenShare*v01_BaseFertility*INDEX(v01_FertMult,G1697)*Arch_Fertility*(1-P1697)</x:f>
        <x:v>0</x:v>
      </x:c>
      <x:c r="S1697" s="9" t="n">
        <x:f>H1697*Y1696*INDEX(v01_MortChild,G1697)/4*Q1697</x:f>
        <x:v>0</x:v>
      </x:c>
      <x:c r="T1697" s="9" t="n">
        <x:f>H1697*Z1696*INDEX(v01_MortAdult,G1697)*Arch_AdultMort/4*Q1697</x:f>
        <x:v>0</x:v>
      </x:c>
      <x:c r="U1697" s="9" t="n">
        <x:f>H1697*AA1696*INDEX(v01_MortElder,G1697)/4*Q1697</x:f>
        <x:v>0</x:v>
      </x:c>
      <x:c r="V1697" s="9" t="n">
        <x:f>H1697*MAX(0,AB1696-O1697)*v01_OvercapLoss</x:f>
        <x:v>0</x:v>
      </x:c>
      <x:c r="W1697" s="9" t="n">
        <x:f>H1697*Y1696/(v01_ChildYears*4)</x:f>
        <x:v>0</x:v>
      </x:c>
      <x:c r="X1697" s="9" t="n">
        <x:f>H1697*Z1696/(v01_AdultYears*4)</x:f>
        <x:v>0</x:v>
      </x:c>
      <x:c r="Y1697" s="32" t="n">
        <x:f>Y1696+R1697-S1697-W1697-Y1696*V1697/AB1696</x:f>
        <x:v>14306.18539759397</x:v>
      </x:c>
      <x:c r="Z1697" s="32" t="n">
        <x:f>Z1696+W1697-X1697-T1697-Z1696*V1697/AB1696</x:f>
        <x:v>19354.456567879548</x:v>
      </x:c>
      <x:c r="AA1697" s="32" t="n">
        <x:f>AA1696+X1697-U1697-AA1696*V1697/AB1696</x:f>
        <x:v>11386.956063258198</x:v>
      </x:c>
      <x:c r="AB1697" s="10" t="n">
        <x:f>Y1697+Z1697+AA1697</x:f>
        <x:v>45047.59802873172</x:v>
      </x:c>
      <x:c r="AC1697" s="8" t="n">
        <x:f>IF(AND(v01_WinterTrigger=1,D1697=1,AB1696/AE1696&gt;=K1697),1,0)</x:f>
        <x:v>0</x:v>
      </x:c>
      <x:c r="AD1697" s="8" t="n">
        <x:f>H1697*IF(AND(OR(AB1696/AE1696&gt;=v01_FissionTrigger*N1697,AC1697=1),AB1696/AE1696*v01_DaughterShare&gt;=v01_MinDaughter),MAX(1,ROUND(AE1696*v01_FissionRate,0)),0)</x:f>
        <x:v>0</x:v>
      </x:c>
      <x:c r="AE1697" s="8" t="n">
        <x:f>IF(H1697=1,MAX(1,MIN(INDEX(v01_Smax,G1697),AE1696+AD1697)),AE1696)</x:f>
        <x:v>15</x:v>
      </x:c>
      <x:c r="AF1697" s="8" t="n">
        <x:f>MAX(0,AE1697-AE1696)</x:f>
        <x:v>0</x:v>
      </x:c>
      <x:c r="AG1697" s="9" t="str">
        <x:f>IF(AF1697&gt;0,B1697,"")</x:f>
      </x:c>
      <x:c r="AH1697" s="9" t="n">
        <x:f>IF(F1697&gt;=1,1,(1+v01_LowTiesShare*(AE1697-1))/AE1697)</x:f>
        <x:v>1</x:v>
      </x:c>
      <x:c r="AI1697" s="32" t="n">
        <x:f>(Z1697+v01_ElderCommons*INDEX(LM_Elder,G1697)*AA1697)*AH1697</x:f>
        <x:v>64139.732591141874</x:v>
      </x:c>
      <x:c r="AJ1697" s="32" t="n">
        <x:f>H1697*v01_CommonsCoef*AI1697^v01_CommonsExp*INDEX(LM_Commons,G1697)</x:f>
        <x:v>0</x:v>
      </x:c>
      <x:c r="AK1697" s="32" t="n">
        <x:f>H1697*v01_RoleScale*Arch_Roles*(AE1697*(INDEX(v01_ElderRolePerSett,G1697)*v01_OutElder*INDEX(LM_Elder,G1697)+INDEX(v01_ShamanPerSett,G1697)*v01_OutShaman)+Z1697*(INDEX(v01_PriestShare,G1697)*v01_OutPriest+INDEX(v01_ScribeShare,G1697)*v01_OutScribe*INDEX(LM_Scribe,G1697)+INDEX(v01_ScholarShare,G1697)*v01_OutScholar*INDEX(LM_Scholar,G1697)+INDEX(v01_ResearcherShare,G1697)*v01_OutResearcher*INDEX(LM_Researcher,G1697)))</x:f>
        <x:v>0</x:v>
      </x:c>
      <x:c r="AL1697" s="32" t="n">
        <x:f>H1697*v01_RoleScale*Arch_Roles*AE1697*INDEX(v01_MonasteryPerSett,G1697)*v01_OutMonastery*INDEX(LM_Monastery,G1697)</x:f>
        <x:v>0</x:v>
      </x:c>
      <x:c r="AM1697" s="32" t="n">
        <x:f>(AJ1697+AK1697+AL1697)/4*INDEX(LM_All,G1697)*INDEX(v01_Boon,G1697)*Arch_Insight</x:f>
        <x:v>0</x:v>
      </x:c>
      <x:c r="AN1697" s="32" t="n">
        <x:f>H1697*(v01_KHPerAdult*Z1697+v01_KHOfCommons*AJ1697/4*INDEX(LM_All,G1697))*v01_KHUsable*Arch_KH</x:f>
        <x:v>0</x:v>
      </x:c>
      <x:c r="AO1697" s="32" t="n">
        <x:f>MIN(AP1696+AN1697,AM1697*v01_KHMaxRatio)</x:f>
        <x:v>0</x:v>
      </x:c>
      <x:c r="AP1697" s="32" t="n">
        <x:f>AP1696+AN1697-AO1697</x:f>
        <x:v>0</x:v>
      </x:c>
      <x:c r="AQ1697" s="32" t="n">
        <x:f>AM1697+AO1697</x:f>
        <x:v>0</x:v>
      </x:c>
      <x:c r="AR1697" s="10" t="n">
        <x:f>IF(H1697=1,INDEX(v01_Req,G1697),0)</x:f>
        <x:v>0</x:v>
      </x:c>
      <x:c r="AS1697" s="32" t="n">
        <x:f>IF(H1697=1,IF(E1697=1,AS1696-AR1696,AS1696)+AQ1697,0)</x:f>
        <x:v>0</x:v>
      </x:c>
      <x:c r="AT1697" s="11" t="n">
        <x:f>IF(AR1697&gt;0,MIN(1,AS1697/AR1697),1)</x:f>
        <x:v>1</x:v>
      </x:c>
      <x:c r="AU1697" s="10" t="n">
        <x:f>AB1697/INDEX(v01_RepScale,G1697)</x:f>
        <x:v>90.09519605746344</x:v>
      </x:c>
      <x:c r="AV1697" s="32" t="n">
        <x:f>AM1697*60/v01_SeasonSeconds</x:f>
        <x:v>0</x:v>
      </x:c>
    </x:row>
    <x:row r="1698">
      <x:c r="A1698" s="8" t="n">
        <x:f>A1697+1</x:f>
        <x:v>1695</x:v>
      </x:c>
      <x:c r="B1698" s="9" t="n">
        <x:f>A1698*v01_SeasonSeconds/60</x:f>
        <x:v>423.75</x:v>
      </x:c>
      <x:c r="C1698" s="9" t="n">
        <x:f>A1698/4</x:f>
        <x:v>423.75</x:v>
      </x:c>
      <x:c r="D1698" s="8" t="n">
        <x:f>IF(MOD(A1698,4)=0,1,0)</x:f>
        <x:v>0</x:v>
      </x:c>
      <x:c r="E1698" s="8" t="n">
        <x:f>IF(AND(F1697&lt;=9,AS1697&gt;=AR1697),1,0)</x:f>
        <x:v>0</x:v>
      </x:c>
      <x:c r="F1698" s="8" t="n">
        <x:f>MIN(10,F1697+E1698)</x:f>
        <x:v>10</x:v>
      </x:c>
      <x:c r="G1698" s="8" t="n">
        <x:f>MIN(F1698,9)+1</x:f>
        <x:v>10</x:v>
      </x:c>
      <x:c r="H1698" s="8" t="n">
        <x:f>IF(F1698&lt;=9,1,0)</x:f>
        <x:v>0</x:v>
      </x:c>
      <x:c r="I1698" s="9" t="n">
        <x:f>MIN(10,F1697+IF(AR1697&gt;0,MIN(1,AS1697/AR1697),1))</x:f>
        <x:v>10</x:v>
      </x:c>
      <x:c r="J1698" s="32" t="n">
        <x:f>INDEX(v01_FoodCap,G1698)*Arch_FoodCap*EXP(v01_CapsByProject*SUMPRODUCT((Cap_Point&lt;=I1698)*(Cap_Kind="Food")*Cap_Ln))</x:f>
        <x:v>12000</x:v>
      </x:c>
      <x:c r="K1698" s="32" t="n">
        <x:f>J1698*MIN(1,v01_LeanBase*EXP(v01_CapsByProject*SUMPRODUCT((Cap_Point&lt;=I1698)*(Cap_Kind="Lean")*Cap_Ln)))</x:f>
        <x:v>12000</x:v>
      </x:c>
      <x:c r="L1698" s="10" t="n">
        <x:f>INDEX(v01_HousingCap,G1698)*EXP(v01_CapsByProject*SUMPRODUCT((Cap_Point&lt;=I1698)*(Cap_Kind="Housing")*Cap_Ln))</x:f>
        <x:v>20000</x:v>
      </x:c>
      <x:c r="M1698" s="10" t="n">
        <x:f>INDEX(v01_GroupCap,G1698)*v01_CohesionFactor*EXP(v01_CapsByProject*SUMPRODUCT((Cap_Point&lt;=I1698)*(Cap_Kind="Group")*Cap_Ln))</x:f>
        <x:v>1000000</x:v>
      </x:c>
      <x:c r="N1698" s="32" t="n">
        <x:f>MIN(J1698,L1698,M1698)</x:f>
        <x:v>12000</x:v>
      </x:c>
      <x:c r="O1698" s="10" t="n">
        <x:f>AE1697*N1698</x:f>
        <x:v>180000</x:v>
      </x:c>
      <x:c r="P1698" s="9" t="n">
        <x:f>MIN(1,(AB1697/(AE1697*IF(v01_GroupInCrowding=1,N1698,MIN(J1698,L1698))))^v01_CrowdingExp)</x:f>
        <x:v>0.00024569414295285325</x:v>
      </x:c>
      <x:c r="Q1698" s="9" t="n">
        <x:f>IF(D1698=1,INDEX(v01_WinterMult,G1698),1)</x:f>
        <x:v>1</x:v>
      </x:c>
      <x:c r="R1698" s="9" t="n">
        <x:f>H1698*Z1697*v01_WomenShare*v01_BaseFertility*INDEX(v01_FertMult,G1698)*Arch_Fertility*(1-P1698)</x:f>
        <x:v>0</x:v>
      </x:c>
      <x:c r="S1698" s="9" t="n">
        <x:f>H1698*Y1697*INDEX(v01_MortChild,G1698)/4*Q1698</x:f>
        <x:v>0</x:v>
      </x:c>
      <x:c r="T1698" s="9" t="n">
        <x:f>H1698*Z1697*INDEX(v01_MortAdult,G1698)*Arch_AdultMort/4*Q1698</x:f>
        <x:v>0</x:v>
      </x:c>
      <x:c r="U1698" s="9" t="n">
        <x:f>H1698*AA1697*INDEX(v01_MortElder,G1698)/4*Q1698</x:f>
        <x:v>0</x:v>
      </x:c>
      <x:c r="V1698" s="9" t="n">
        <x:f>H1698*MAX(0,AB1697-O1698)*v01_OvercapLoss</x:f>
        <x:v>0</x:v>
      </x:c>
      <x:c r="W1698" s="9" t="n">
        <x:f>H1698*Y1697/(v01_ChildYears*4)</x:f>
        <x:v>0</x:v>
      </x:c>
      <x:c r="X1698" s="9" t="n">
        <x:f>H1698*Z1697/(v01_AdultYears*4)</x:f>
        <x:v>0</x:v>
      </x:c>
      <x:c r="Y1698" s="32" t="n">
        <x:f>Y1697+R1698-S1698-W1698-Y1697*V1698/AB1697</x:f>
        <x:v>14306.18539759397</x:v>
      </x:c>
      <x:c r="Z1698" s="32" t="n">
        <x:f>Z1697+W1698-X1698-T1698-Z1697*V1698/AB1697</x:f>
        <x:v>19354.456567879548</x:v>
      </x:c>
      <x:c r="AA1698" s="32" t="n">
        <x:f>AA1697+X1698-U1698-AA1697*V1698/AB1697</x:f>
        <x:v>11386.956063258198</x:v>
      </x:c>
      <x:c r="AB1698" s="10" t="n">
        <x:f>Y1698+Z1698+AA1698</x:f>
        <x:v>45047.59802873172</x:v>
      </x:c>
      <x:c r="AC1698" s="8" t="n">
        <x:f>IF(AND(v01_WinterTrigger=1,D1698=1,AB1697/AE1697&gt;=K1698),1,0)</x:f>
        <x:v>0</x:v>
      </x:c>
      <x:c r="AD1698" s="8" t="n">
        <x:f>H1698*IF(AND(OR(AB1697/AE1697&gt;=v01_FissionTrigger*N1698,AC1698=1),AB1697/AE1697*v01_DaughterShare&gt;=v01_MinDaughter),MAX(1,ROUND(AE1697*v01_FissionRate,0)),0)</x:f>
        <x:v>0</x:v>
      </x:c>
      <x:c r="AE1698" s="8" t="n">
        <x:f>IF(H1698=1,MAX(1,MIN(INDEX(v01_Smax,G1698),AE1697+AD1698)),AE1697)</x:f>
        <x:v>15</x:v>
      </x:c>
      <x:c r="AF1698" s="8" t="n">
        <x:f>MAX(0,AE1698-AE1697)</x:f>
        <x:v>0</x:v>
      </x:c>
      <x:c r="AG1698" s="9" t="str">
        <x:f>IF(AF1698&gt;0,B1698,"")</x:f>
      </x:c>
      <x:c r="AH1698" s="9" t="n">
        <x:f>IF(F1698&gt;=1,1,(1+v01_LowTiesShare*(AE1698-1))/AE1698)</x:f>
        <x:v>1</x:v>
      </x:c>
      <x:c r="AI1698" s="32" t="n">
        <x:f>(Z1698+v01_ElderCommons*INDEX(LM_Elder,G1698)*AA1698)*AH1698</x:f>
        <x:v>64139.732591141874</x:v>
      </x:c>
      <x:c r="AJ1698" s="32" t="n">
        <x:f>H1698*v01_CommonsCoef*AI1698^v01_CommonsExp*INDEX(LM_Commons,G1698)</x:f>
        <x:v>0</x:v>
      </x:c>
      <x:c r="AK1698" s="32" t="n">
        <x:f>H1698*v01_RoleScale*Arch_Roles*(AE1698*(INDEX(v01_ElderRolePerSett,G1698)*v01_OutElder*INDEX(LM_Elder,G1698)+INDEX(v01_ShamanPerSett,G1698)*v01_OutShaman)+Z1698*(INDEX(v01_PriestShare,G1698)*v01_OutPriest+INDEX(v01_ScribeShare,G1698)*v01_OutScribe*INDEX(LM_Scribe,G1698)+INDEX(v01_ScholarShare,G1698)*v01_OutScholar*INDEX(LM_Scholar,G1698)+INDEX(v01_ResearcherShare,G1698)*v01_OutResearcher*INDEX(LM_Researcher,G1698)))</x:f>
        <x:v>0</x:v>
      </x:c>
      <x:c r="AL1698" s="32" t="n">
        <x:f>H1698*v01_RoleScale*Arch_Roles*AE1698*INDEX(v01_MonasteryPerSett,G1698)*v01_OutMonastery*INDEX(LM_Monastery,G1698)</x:f>
        <x:v>0</x:v>
      </x:c>
      <x:c r="AM1698" s="32" t="n">
        <x:f>(AJ1698+AK1698+AL1698)/4*INDEX(LM_All,G1698)*INDEX(v01_Boon,G1698)*Arch_Insight</x:f>
        <x:v>0</x:v>
      </x:c>
      <x:c r="AN1698" s="32" t="n">
        <x:f>H1698*(v01_KHPerAdult*Z1698+v01_KHOfCommons*AJ1698/4*INDEX(LM_All,G1698))*v01_KHUsable*Arch_KH</x:f>
        <x:v>0</x:v>
      </x:c>
      <x:c r="AO1698" s="32" t="n">
        <x:f>MIN(AP1697+AN1698,AM1698*v01_KHMaxRatio)</x:f>
        <x:v>0</x:v>
      </x:c>
      <x:c r="AP1698" s="32" t="n">
        <x:f>AP1697+AN1698-AO1698</x:f>
        <x:v>0</x:v>
      </x:c>
      <x:c r="AQ1698" s="32" t="n">
        <x:f>AM1698+AO1698</x:f>
        <x:v>0</x:v>
      </x:c>
      <x:c r="AR1698" s="10" t="n">
        <x:f>IF(H1698=1,INDEX(v01_Req,G1698),0)</x:f>
        <x:v>0</x:v>
      </x:c>
      <x:c r="AS1698" s="32" t="n">
        <x:f>IF(H1698=1,IF(E1698=1,AS1697-AR1697,AS1697)+AQ1698,0)</x:f>
        <x:v>0</x:v>
      </x:c>
      <x:c r="AT1698" s="11" t="n">
        <x:f>IF(AR1698&gt;0,MIN(1,AS1698/AR1698),1)</x:f>
        <x:v>1</x:v>
      </x:c>
      <x:c r="AU1698" s="10" t="n">
        <x:f>AB1698/INDEX(v01_RepScale,G1698)</x:f>
        <x:v>90.09519605746344</x:v>
      </x:c>
      <x:c r="AV1698" s="32" t="n">
        <x:f>AM1698*60/v01_SeasonSeconds</x:f>
        <x:v>0</x:v>
      </x:c>
    </x:row>
    <x:row r="1699">
      <x:c r="A1699" s="8" t="n">
        <x:f>A1698+1</x:f>
        <x:v>1696</x:v>
      </x:c>
      <x:c r="B1699" s="9" t="n">
        <x:f>A1699*v01_SeasonSeconds/60</x:f>
        <x:v>424</x:v>
      </x:c>
      <x:c r="C1699" s="9" t="n">
        <x:f>A1699/4</x:f>
        <x:v>424</x:v>
      </x:c>
      <x:c r="D1699" s="8" t="n">
        <x:f>IF(MOD(A1699,4)=0,1,0)</x:f>
        <x:v>1</x:v>
      </x:c>
      <x:c r="E1699" s="8" t="n">
        <x:f>IF(AND(F1698&lt;=9,AS1698&gt;=AR1698),1,0)</x:f>
        <x:v>0</x:v>
      </x:c>
      <x:c r="F1699" s="8" t="n">
        <x:f>MIN(10,F1698+E1699)</x:f>
        <x:v>10</x:v>
      </x:c>
      <x:c r="G1699" s="8" t="n">
        <x:f>MIN(F1699,9)+1</x:f>
        <x:v>10</x:v>
      </x:c>
      <x:c r="H1699" s="8" t="n">
        <x:f>IF(F1699&lt;=9,1,0)</x:f>
        <x:v>0</x:v>
      </x:c>
      <x:c r="I1699" s="9" t="n">
        <x:f>MIN(10,F1698+IF(AR1698&gt;0,MIN(1,AS1698/AR1698),1))</x:f>
        <x:v>10</x:v>
      </x:c>
      <x:c r="J1699" s="32" t="n">
        <x:f>INDEX(v01_FoodCap,G1699)*Arch_FoodCap*EXP(v01_CapsByProject*SUMPRODUCT((Cap_Point&lt;=I1699)*(Cap_Kind="Food")*Cap_Ln))</x:f>
        <x:v>12000</x:v>
      </x:c>
      <x:c r="K1699" s="32" t="n">
        <x:f>J1699*MIN(1,v01_LeanBase*EXP(v01_CapsByProject*SUMPRODUCT((Cap_Point&lt;=I1699)*(Cap_Kind="Lean")*Cap_Ln)))</x:f>
        <x:v>12000</x:v>
      </x:c>
      <x:c r="L1699" s="10" t="n">
        <x:f>INDEX(v01_HousingCap,G1699)*EXP(v01_CapsByProject*SUMPRODUCT((Cap_Point&lt;=I1699)*(Cap_Kind="Housing")*Cap_Ln))</x:f>
        <x:v>20000</x:v>
      </x:c>
      <x:c r="M1699" s="10" t="n">
        <x:f>INDEX(v01_GroupCap,G1699)*v01_CohesionFactor*EXP(v01_CapsByProject*SUMPRODUCT((Cap_Point&lt;=I1699)*(Cap_Kind="Group")*Cap_Ln))</x:f>
        <x:v>1000000</x:v>
      </x:c>
      <x:c r="N1699" s="32" t="n">
        <x:f>MIN(J1699,L1699,M1699)</x:f>
        <x:v>12000</x:v>
      </x:c>
      <x:c r="O1699" s="10" t="n">
        <x:f>AE1698*N1699</x:f>
        <x:v>180000</x:v>
      </x:c>
      <x:c r="P1699" s="9" t="n">
        <x:f>MIN(1,(AB1698/(AE1698*IF(v01_GroupInCrowding=1,N1699,MIN(J1699,L1699))))^v01_CrowdingExp)</x:f>
        <x:v>0.00024569414295285325</x:v>
      </x:c>
      <x:c r="Q1699" s="9" t="n">
        <x:f>IF(D1699=1,INDEX(v01_WinterMult,G1699),1)</x:f>
        <x:v>1</x:v>
      </x:c>
      <x:c r="R1699" s="9" t="n">
        <x:f>H1699*Z1698*v01_WomenShare*v01_BaseFertility*INDEX(v01_FertMult,G1699)*Arch_Fertility*(1-P1699)</x:f>
        <x:v>0</x:v>
      </x:c>
      <x:c r="S1699" s="9" t="n">
        <x:f>H1699*Y1698*INDEX(v01_MortChild,G1699)/4*Q1699</x:f>
        <x:v>0</x:v>
      </x:c>
      <x:c r="T1699" s="9" t="n">
        <x:f>H1699*Z1698*INDEX(v01_MortAdult,G1699)*Arch_AdultMort/4*Q1699</x:f>
        <x:v>0</x:v>
      </x:c>
      <x:c r="U1699" s="9" t="n">
        <x:f>H1699*AA1698*INDEX(v01_MortElder,G1699)/4*Q1699</x:f>
        <x:v>0</x:v>
      </x:c>
      <x:c r="V1699" s="9" t="n">
        <x:f>H1699*MAX(0,AB1698-O1699)*v01_OvercapLoss</x:f>
        <x:v>0</x:v>
      </x:c>
      <x:c r="W1699" s="9" t="n">
        <x:f>H1699*Y1698/(v01_ChildYears*4)</x:f>
        <x:v>0</x:v>
      </x:c>
      <x:c r="X1699" s="9" t="n">
        <x:f>H1699*Z1698/(v01_AdultYears*4)</x:f>
        <x:v>0</x:v>
      </x:c>
      <x:c r="Y1699" s="32" t="n">
        <x:f>Y1698+R1699-S1699-W1699-Y1698*V1699/AB1698</x:f>
        <x:v>14306.18539759397</x:v>
      </x:c>
      <x:c r="Z1699" s="32" t="n">
        <x:f>Z1698+W1699-X1699-T1699-Z1698*V1699/AB1698</x:f>
        <x:v>19354.456567879548</x:v>
      </x:c>
      <x:c r="AA1699" s="32" t="n">
        <x:f>AA1698+X1699-U1699-AA1698*V1699/AB1698</x:f>
        <x:v>11386.956063258198</x:v>
      </x:c>
      <x:c r="AB1699" s="10" t="n">
        <x:f>Y1699+Z1699+AA1699</x:f>
        <x:v>45047.59802873172</x:v>
      </x:c>
      <x:c r="AC1699" s="8" t="n">
        <x:f>IF(AND(v01_WinterTrigger=1,D1699=1,AB1698/AE1698&gt;=K1699),1,0)</x:f>
        <x:v>0</x:v>
      </x:c>
      <x:c r="AD1699" s="8" t="n">
        <x:f>H1699*IF(AND(OR(AB1698/AE1698&gt;=v01_FissionTrigger*N1699,AC1699=1),AB1698/AE1698*v01_DaughterShare&gt;=v01_MinDaughter),MAX(1,ROUND(AE1698*v01_FissionRate,0)),0)</x:f>
        <x:v>0</x:v>
      </x:c>
      <x:c r="AE1699" s="8" t="n">
        <x:f>IF(H1699=1,MAX(1,MIN(INDEX(v01_Smax,G1699),AE1698+AD1699)),AE1698)</x:f>
        <x:v>15</x:v>
      </x:c>
      <x:c r="AF1699" s="8" t="n">
        <x:f>MAX(0,AE1699-AE1698)</x:f>
        <x:v>0</x:v>
      </x:c>
      <x:c r="AG1699" s="9" t="str">
        <x:f>IF(AF1699&gt;0,B1699,"")</x:f>
      </x:c>
      <x:c r="AH1699" s="9" t="n">
        <x:f>IF(F1699&gt;=1,1,(1+v01_LowTiesShare*(AE1699-1))/AE1699)</x:f>
        <x:v>1</x:v>
      </x:c>
      <x:c r="AI1699" s="32" t="n">
        <x:f>(Z1699+v01_ElderCommons*INDEX(LM_Elder,G1699)*AA1699)*AH1699</x:f>
        <x:v>64139.732591141874</x:v>
      </x:c>
      <x:c r="AJ1699" s="32" t="n">
        <x:f>H1699*v01_CommonsCoef*AI1699^v01_CommonsExp*INDEX(LM_Commons,G1699)</x:f>
        <x:v>0</x:v>
      </x:c>
      <x:c r="AK1699" s="32" t="n">
        <x:f>H1699*v01_RoleScale*Arch_Roles*(AE1699*(INDEX(v01_ElderRolePerSett,G1699)*v01_OutElder*INDEX(LM_Elder,G1699)+INDEX(v01_ShamanPerSett,G1699)*v01_OutShaman)+Z1699*(INDEX(v01_PriestShare,G1699)*v01_OutPriest+INDEX(v01_ScribeShare,G1699)*v01_OutScribe*INDEX(LM_Scribe,G1699)+INDEX(v01_ScholarShare,G1699)*v01_OutScholar*INDEX(LM_Scholar,G1699)+INDEX(v01_ResearcherShare,G1699)*v01_OutResearcher*INDEX(LM_Researcher,G1699)))</x:f>
        <x:v>0</x:v>
      </x:c>
      <x:c r="AL1699" s="32" t="n">
        <x:f>H1699*v01_RoleScale*Arch_Roles*AE1699*INDEX(v01_MonasteryPerSett,G1699)*v01_OutMonastery*INDEX(LM_Monastery,G1699)</x:f>
        <x:v>0</x:v>
      </x:c>
      <x:c r="AM1699" s="32" t="n">
        <x:f>(AJ1699+AK1699+AL1699)/4*INDEX(LM_All,G1699)*INDEX(v01_Boon,G1699)*Arch_Insight</x:f>
        <x:v>0</x:v>
      </x:c>
      <x:c r="AN1699" s="32" t="n">
        <x:f>H1699*(v01_KHPerAdult*Z1699+v01_KHOfCommons*AJ1699/4*INDEX(LM_All,G1699))*v01_KHUsable*Arch_KH</x:f>
        <x:v>0</x:v>
      </x:c>
      <x:c r="AO1699" s="32" t="n">
        <x:f>MIN(AP1698+AN1699,AM1699*v01_KHMaxRatio)</x:f>
        <x:v>0</x:v>
      </x:c>
      <x:c r="AP1699" s="32" t="n">
        <x:f>AP1698+AN1699-AO1699</x:f>
        <x:v>0</x:v>
      </x:c>
      <x:c r="AQ1699" s="32" t="n">
        <x:f>AM1699+AO1699</x:f>
        <x:v>0</x:v>
      </x:c>
      <x:c r="AR1699" s="10" t="n">
        <x:f>IF(H1699=1,INDEX(v01_Req,G1699),0)</x:f>
        <x:v>0</x:v>
      </x:c>
      <x:c r="AS1699" s="32" t="n">
        <x:f>IF(H1699=1,IF(E1699=1,AS1698-AR1698,AS1698)+AQ1699,0)</x:f>
        <x:v>0</x:v>
      </x:c>
      <x:c r="AT1699" s="11" t="n">
        <x:f>IF(AR1699&gt;0,MIN(1,AS1699/AR1699),1)</x:f>
        <x:v>1</x:v>
      </x:c>
      <x:c r="AU1699" s="10" t="n">
        <x:f>AB1699/INDEX(v01_RepScale,G1699)</x:f>
        <x:v>90.09519605746344</x:v>
      </x:c>
      <x:c r="AV1699" s="32" t="n">
        <x:f>AM1699*60/v01_SeasonSeconds</x:f>
        <x:v>0</x:v>
      </x:c>
    </x:row>
    <x:row r="1700">
      <x:c r="A1700" s="8" t="n">
        <x:f>A1699+1</x:f>
        <x:v>1697</x:v>
      </x:c>
      <x:c r="B1700" s="9" t="n">
        <x:f>A1700*v01_SeasonSeconds/60</x:f>
        <x:v>424.25</x:v>
      </x:c>
      <x:c r="C1700" s="9" t="n">
        <x:f>A1700/4</x:f>
        <x:v>424.25</x:v>
      </x:c>
      <x:c r="D1700" s="8" t="n">
        <x:f>IF(MOD(A1700,4)=0,1,0)</x:f>
        <x:v>0</x:v>
      </x:c>
      <x:c r="E1700" s="8" t="n">
        <x:f>IF(AND(F1699&lt;=9,AS1699&gt;=AR1699),1,0)</x:f>
        <x:v>0</x:v>
      </x:c>
      <x:c r="F1700" s="8" t="n">
        <x:f>MIN(10,F1699+E1700)</x:f>
        <x:v>10</x:v>
      </x:c>
      <x:c r="G1700" s="8" t="n">
        <x:f>MIN(F1700,9)+1</x:f>
        <x:v>10</x:v>
      </x:c>
      <x:c r="H1700" s="8" t="n">
        <x:f>IF(F1700&lt;=9,1,0)</x:f>
        <x:v>0</x:v>
      </x:c>
      <x:c r="I1700" s="9" t="n">
        <x:f>MIN(10,F1699+IF(AR1699&gt;0,MIN(1,AS1699/AR1699),1))</x:f>
        <x:v>10</x:v>
      </x:c>
      <x:c r="J1700" s="32" t="n">
        <x:f>INDEX(v01_FoodCap,G1700)*Arch_FoodCap*EXP(v01_CapsByProject*SUMPRODUCT((Cap_Point&lt;=I1700)*(Cap_Kind="Food")*Cap_Ln))</x:f>
        <x:v>12000</x:v>
      </x:c>
      <x:c r="K1700" s="32" t="n">
        <x:f>J1700*MIN(1,v01_LeanBase*EXP(v01_CapsByProject*SUMPRODUCT((Cap_Point&lt;=I1700)*(Cap_Kind="Lean")*Cap_Ln)))</x:f>
        <x:v>12000</x:v>
      </x:c>
      <x:c r="L1700" s="10" t="n">
        <x:f>INDEX(v01_HousingCap,G1700)*EXP(v01_CapsByProject*SUMPRODUCT((Cap_Point&lt;=I1700)*(Cap_Kind="Housing")*Cap_Ln))</x:f>
        <x:v>20000</x:v>
      </x:c>
      <x:c r="M1700" s="10" t="n">
        <x:f>INDEX(v01_GroupCap,G1700)*v01_CohesionFactor*EXP(v01_CapsByProject*SUMPRODUCT((Cap_Point&lt;=I1700)*(Cap_Kind="Group")*Cap_Ln))</x:f>
        <x:v>1000000</x:v>
      </x:c>
      <x:c r="N1700" s="32" t="n">
        <x:f>MIN(J1700,L1700,M1700)</x:f>
        <x:v>12000</x:v>
      </x:c>
      <x:c r="O1700" s="10" t="n">
        <x:f>AE1699*N1700</x:f>
        <x:v>180000</x:v>
      </x:c>
      <x:c r="P1700" s="9" t="n">
        <x:f>MIN(1,(AB1699/(AE1699*IF(v01_GroupInCrowding=1,N1700,MIN(J1700,L1700))))^v01_CrowdingExp)</x:f>
        <x:v>0.00024569414295285325</x:v>
      </x:c>
      <x:c r="Q1700" s="9" t="n">
        <x:f>IF(D1700=1,INDEX(v01_WinterMult,G1700),1)</x:f>
        <x:v>1</x:v>
      </x:c>
      <x:c r="R1700" s="9" t="n">
        <x:f>H1700*Z1699*v01_WomenShare*v01_BaseFertility*INDEX(v01_FertMult,G1700)*Arch_Fertility*(1-P1700)</x:f>
        <x:v>0</x:v>
      </x:c>
      <x:c r="S1700" s="9" t="n">
        <x:f>H1700*Y1699*INDEX(v01_MortChild,G1700)/4*Q1700</x:f>
        <x:v>0</x:v>
      </x:c>
      <x:c r="T1700" s="9" t="n">
        <x:f>H1700*Z1699*INDEX(v01_MortAdult,G1700)*Arch_AdultMort/4*Q1700</x:f>
        <x:v>0</x:v>
      </x:c>
      <x:c r="U1700" s="9" t="n">
        <x:f>H1700*AA1699*INDEX(v01_MortElder,G1700)/4*Q1700</x:f>
        <x:v>0</x:v>
      </x:c>
      <x:c r="V1700" s="9" t="n">
        <x:f>H1700*MAX(0,AB1699-O1700)*v01_OvercapLoss</x:f>
        <x:v>0</x:v>
      </x:c>
      <x:c r="W1700" s="9" t="n">
        <x:f>H1700*Y1699/(v01_ChildYears*4)</x:f>
        <x:v>0</x:v>
      </x:c>
      <x:c r="X1700" s="9" t="n">
        <x:f>H1700*Z1699/(v01_AdultYears*4)</x:f>
        <x:v>0</x:v>
      </x:c>
      <x:c r="Y1700" s="32" t="n">
        <x:f>Y1699+R1700-S1700-W1700-Y1699*V1700/AB1699</x:f>
        <x:v>14306.18539759397</x:v>
      </x:c>
      <x:c r="Z1700" s="32" t="n">
        <x:f>Z1699+W1700-X1700-T1700-Z1699*V1700/AB1699</x:f>
        <x:v>19354.456567879548</x:v>
      </x:c>
      <x:c r="AA1700" s="32" t="n">
        <x:f>AA1699+X1700-U1700-AA1699*V1700/AB1699</x:f>
        <x:v>11386.956063258198</x:v>
      </x:c>
      <x:c r="AB1700" s="10" t="n">
        <x:f>Y1700+Z1700+AA1700</x:f>
        <x:v>45047.59802873172</x:v>
      </x:c>
      <x:c r="AC1700" s="8" t="n">
        <x:f>IF(AND(v01_WinterTrigger=1,D1700=1,AB1699/AE1699&gt;=K1700),1,0)</x:f>
        <x:v>0</x:v>
      </x:c>
      <x:c r="AD1700" s="8" t="n">
        <x:f>H1700*IF(AND(OR(AB1699/AE1699&gt;=v01_FissionTrigger*N1700,AC1700=1),AB1699/AE1699*v01_DaughterShare&gt;=v01_MinDaughter),MAX(1,ROUND(AE1699*v01_FissionRate,0)),0)</x:f>
        <x:v>0</x:v>
      </x:c>
      <x:c r="AE1700" s="8" t="n">
        <x:f>IF(H1700=1,MAX(1,MIN(INDEX(v01_Smax,G1700),AE1699+AD1700)),AE1699)</x:f>
        <x:v>15</x:v>
      </x:c>
      <x:c r="AF1700" s="8" t="n">
        <x:f>MAX(0,AE1700-AE1699)</x:f>
        <x:v>0</x:v>
      </x:c>
      <x:c r="AG1700" s="9" t="str">
        <x:f>IF(AF1700&gt;0,B1700,"")</x:f>
      </x:c>
      <x:c r="AH1700" s="9" t="n">
        <x:f>IF(F1700&gt;=1,1,(1+v01_LowTiesShare*(AE1700-1))/AE1700)</x:f>
        <x:v>1</x:v>
      </x:c>
      <x:c r="AI1700" s="32" t="n">
        <x:f>(Z1700+v01_ElderCommons*INDEX(LM_Elder,G1700)*AA1700)*AH1700</x:f>
        <x:v>64139.732591141874</x:v>
      </x:c>
      <x:c r="AJ1700" s="32" t="n">
        <x:f>H1700*v01_CommonsCoef*AI1700^v01_CommonsExp*INDEX(LM_Commons,G1700)</x:f>
        <x:v>0</x:v>
      </x:c>
      <x:c r="AK1700" s="32" t="n">
        <x:f>H1700*v01_RoleScale*Arch_Roles*(AE1700*(INDEX(v01_ElderRolePerSett,G1700)*v01_OutElder*INDEX(LM_Elder,G1700)+INDEX(v01_ShamanPerSett,G1700)*v01_OutShaman)+Z1700*(INDEX(v01_PriestShare,G1700)*v01_OutPriest+INDEX(v01_ScribeShare,G1700)*v01_OutScribe*INDEX(LM_Scribe,G1700)+INDEX(v01_ScholarShare,G1700)*v01_OutScholar*INDEX(LM_Scholar,G1700)+INDEX(v01_ResearcherShare,G1700)*v01_OutResearcher*INDEX(LM_Researcher,G1700)))</x:f>
        <x:v>0</x:v>
      </x:c>
      <x:c r="AL1700" s="32" t="n">
        <x:f>H1700*v01_RoleScale*Arch_Roles*AE1700*INDEX(v01_MonasteryPerSett,G1700)*v01_OutMonastery*INDEX(LM_Monastery,G1700)</x:f>
        <x:v>0</x:v>
      </x:c>
      <x:c r="AM1700" s="32" t="n">
        <x:f>(AJ1700+AK1700+AL1700)/4*INDEX(LM_All,G1700)*INDEX(v01_Boon,G1700)*Arch_Insight</x:f>
        <x:v>0</x:v>
      </x:c>
      <x:c r="AN1700" s="32" t="n">
        <x:f>H1700*(v01_KHPerAdult*Z1700+v01_KHOfCommons*AJ1700/4*INDEX(LM_All,G1700))*v01_KHUsable*Arch_KH</x:f>
        <x:v>0</x:v>
      </x:c>
      <x:c r="AO1700" s="32" t="n">
        <x:f>MIN(AP1699+AN1700,AM1700*v01_KHMaxRatio)</x:f>
        <x:v>0</x:v>
      </x:c>
      <x:c r="AP1700" s="32" t="n">
        <x:f>AP1699+AN1700-AO1700</x:f>
        <x:v>0</x:v>
      </x:c>
      <x:c r="AQ1700" s="32" t="n">
        <x:f>AM1700+AO1700</x:f>
        <x:v>0</x:v>
      </x:c>
      <x:c r="AR1700" s="10" t="n">
        <x:f>IF(H1700=1,INDEX(v01_Req,G1700),0)</x:f>
        <x:v>0</x:v>
      </x:c>
      <x:c r="AS1700" s="32" t="n">
        <x:f>IF(H1700=1,IF(E1700=1,AS1699-AR1699,AS1699)+AQ1700,0)</x:f>
        <x:v>0</x:v>
      </x:c>
      <x:c r="AT1700" s="11" t="n">
        <x:f>IF(AR1700&gt;0,MIN(1,AS1700/AR1700),1)</x:f>
        <x:v>1</x:v>
      </x:c>
      <x:c r="AU1700" s="10" t="n">
        <x:f>AB1700/INDEX(v01_RepScale,G1700)</x:f>
        <x:v>90.09519605746344</x:v>
      </x:c>
      <x:c r="AV1700" s="32" t="n">
        <x:f>AM1700*60/v01_SeasonSeconds</x:f>
        <x:v>0</x:v>
      </x:c>
    </x:row>
    <x:row r="1701">
      <x:c r="A1701" s="8" t="n">
        <x:f>A1700+1</x:f>
        <x:v>1698</x:v>
      </x:c>
      <x:c r="B1701" s="9" t="n">
        <x:f>A1701*v01_SeasonSeconds/60</x:f>
        <x:v>424.5</x:v>
      </x:c>
      <x:c r="C1701" s="9" t="n">
        <x:f>A1701/4</x:f>
        <x:v>424.5</x:v>
      </x:c>
      <x:c r="D1701" s="8" t="n">
        <x:f>IF(MOD(A1701,4)=0,1,0)</x:f>
        <x:v>0</x:v>
      </x:c>
      <x:c r="E1701" s="8" t="n">
        <x:f>IF(AND(F1700&lt;=9,AS1700&gt;=AR1700),1,0)</x:f>
        <x:v>0</x:v>
      </x:c>
      <x:c r="F1701" s="8" t="n">
        <x:f>MIN(10,F1700+E1701)</x:f>
        <x:v>10</x:v>
      </x:c>
      <x:c r="G1701" s="8" t="n">
        <x:f>MIN(F1701,9)+1</x:f>
        <x:v>10</x:v>
      </x:c>
      <x:c r="H1701" s="8" t="n">
        <x:f>IF(F1701&lt;=9,1,0)</x:f>
        <x:v>0</x:v>
      </x:c>
      <x:c r="I1701" s="9" t="n">
        <x:f>MIN(10,F1700+IF(AR1700&gt;0,MIN(1,AS1700/AR1700),1))</x:f>
        <x:v>10</x:v>
      </x:c>
      <x:c r="J1701" s="32" t="n">
        <x:f>INDEX(v01_FoodCap,G1701)*Arch_FoodCap*EXP(v01_CapsByProject*SUMPRODUCT((Cap_Point&lt;=I1701)*(Cap_Kind="Food")*Cap_Ln))</x:f>
        <x:v>12000</x:v>
      </x:c>
      <x:c r="K1701" s="32" t="n">
        <x:f>J1701*MIN(1,v01_LeanBase*EXP(v01_CapsByProject*SUMPRODUCT((Cap_Point&lt;=I1701)*(Cap_Kind="Lean")*Cap_Ln)))</x:f>
        <x:v>12000</x:v>
      </x:c>
      <x:c r="L1701" s="10" t="n">
        <x:f>INDEX(v01_HousingCap,G1701)*EXP(v01_CapsByProject*SUMPRODUCT((Cap_Point&lt;=I1701)*(Cap_Kind="Housing")*Cap_Ln))</x:f>
        <x:v>20000</x:v>
      </x:c>
      <x:c r="M1701" s="10" t="n">
        <x:f>INDEX(v01_GroupCap,G1701)*v01_CohesionFactor*EXP(v01_CapsByProject*SUMPRODUCT((Cap_Point&lt;=I1701)*(Cap_Kind="Group")*Cap_Ln))</x:f>
        <x:v>1000000</x:v>
      </x:c>
      <x:c r="N1701" s="32" t="n">
        <x:f>MIN(J1701,L1701,M1701)</x:f>
        <x:v>12000</x:v>
      </x:c>
      <x:c r="O1701" s="10" t="n">
        <x:f>AE1700*N1701</x:f>
        <x:v>180000</x:v>
      </x:c>
      <x:c r="P1701" s="9" t="n">
        <x:f>MIN(1,(AB1700/(AE1700*IF(v01_GroupInCrowding=1,N1701,MIN(J1701,L1701))))^v01_CrowdingExp)</x:f>
        <x:v>0.00024569414295285325</x:v>
      </x:c>
      <x:c r="Q1701" s="9" t="n">
        <x:f>IF(D1701=1,INDEX(v01_WinterMult,G1701),1)</x:f>
        <x:v>1</x:v>
      </x:c>
      <x:c r="R1701" s="9" t="n">
        <x:f>H1701*Z1700*v01_WomenShare*v01_BaseFertility*INDEX(v01_FertMult,G1701)*Arch_Fertility*(1-P1701)</x:f>
        <x:v>0</x:v>
      </x:c>
      <x:c r="S1701" s="9" t="n">
        <x:f>H1701*Y1700*INDEX(v01_MortChild,G1701)/4*Q1701</x:f>
        <x:v>0</x:v>
      </x:c>
      <x:c r="T1701" s="9" t="n">
        <x:f>H1701*Z1700*INDEX(v01_MortAdult,G1701)*Arch_AdultMort/4*Q1701</x:f>
        <x:v>0</x:v>
      </x:c>
      <x:c r="U1701" s="9" t="n">
        <x:f>H1701*AA1700*INDEX(v01_MortElder,G1701)/4*Q1701</x:f>
        <x:v>0</x:v>
      </x:c>
      <x:c r="V1701" s="9" t="n">
        <x:f>H1701*MAX(0,AB1700-O1701)*v01_OvercapLoss</x:f>
        <x:v>0</x:v>
      </x:c>
      <x:c r="W1701" s="9" t="n">
        <x:f>H1701*Y1700/(v01_ChildYears*4)</x:f>
        <x:v>0</x:v>
      </x:c>
      <x:c r="X1701" s="9" t="n">
        <x:f>H1701*Z1700/(v01_AdultYears*4)</x:f>
        <x:v>0</x:v>
      </x:c>
      <x:c r="Y1701" s="32" t="n">
        <x:f>Y1700+R1701-S1701-W1701-Y1700*V1701/AB1700</x:f>
        <x:v>14306.18539759397</x:v>
      </x:c>
      <x:c r="Z1701" s="32" t="n">
        <x:f>Z1700+W1701-X1701-T1701-Z1700*V1701/AB1700</x:f>
        <x:v>19354.456567879548</x:v>
      </x:c>
      <x:c r="AA1701" s="32" t="n">
        <x:f>AA1700+X1701-U1701-AA1700*V1701/AB1700</x:f>
        <x:v>11386.956063258198</x:v>
      </x:c>
      <x:c r="AB1701" s="10" t="n">
        <x:f>Y1701+Z1701+AA1701</x:f>
        <x:v>45047.59802873172</x:v>
      </x:c>
      <x:c r="AC1701" s="8" t="n">
        <x:f>IF(AND(v01_WinterTrigger=1,D1701=1,AB1700/AE1700&gt;=K1701),1,0)</x:f>
        <x:v>0</x:v>
      </x:c>
      <x:c r="AD1701" s="8" t="n">
        <x:f>H1701*IF(AND(OR(AB1700/AE1700&gt;=v01_FissionTrigger*N1701,AC1701=1),AB1700/AE1700*v01_DaughterShare&gt;=v01_MinDaughter),MAX(1,ROUND(AE1700*v01_FissionRate,0)),0)</x:f>
        <x:v>0</x:v>
      </x:c>
      <x:c r="AE1701" s="8" t="n">
        <x:f>IF(H1701=1,MAX(1,MIN(INDEX(v01_Smax,G1701),AE1700+AD1701)),AE1700)</x:f>
        <x:v>15</x:v>
      </x:c>
      <x:c r="AF1701" s="8" t="n">
        <x:f>MAX(0,AE1701-AE1700)</x:f>
        <x:v>0</x:v>
      </x:c>
      <x:c r="AG1701" s="9" t="str">
        <x:f>IF(AF1701&gt;0,B1701,"")</x:f>
      </x:c>
      <x:c r="AH1701" s="9" t="n">
        <x:f>IF(F1701&gt;=1,1,(1+v01_LowTiesShare*(AE1701-1))/AE1701)</x:f>
        <x:v>1</x:v>
      </x:c>
      <x:c r="AI1701" s="32" t="n">
        <x:f>(Z1701+v01_ElderCommons*INDEX(LM_Elder,G1701)*AA1701)*AH1701</x:f>
        <x:v>64139.732591141874</x:v>
      </x:c>
      <x:c r="AJ1701" s="32" t="n">
        <x:f>H1701*v01_CommonsCoef*AI1701^v01_CommonsExp*INDEX(LM_Commons,G1701)</x:f>
        <x:v>0</x:v>
      </x:c>
      <x:c r="AK1701" s="32" t="n">
        <x:f>H1701*v01_RoleScale*Arch_Roles*(AE1701*(INDEX(v01_ElderRolePerSett,G1701)*v01_OutElder*INDEX(LM_Elder,G1701)+INDEX(v01_ShamanPerSett,G1701)*v01_OutShaman)+Z1701*(INDEX(v01_PriestShare,G1701)*v01_OutPriest+INDEX(v01_ScribeShare,G1701)*v01_OutScribe*INDEX(LM_Scribe,G1701)+INDEX(v01_ScholarShare,G1701)*v01_OutScholar*INDEX(LM_Scholar,G1701)+INDEX(v01_ResearcherShare,G1701)*v01_OutResearcher*INDEX(LM_Researcher,G1701)))</x:f>
        <x:v>0</x:v>
      </x:c>
      <x:c r="AL1701" s="32" t="n">
        <x:f>H1701*v01_RoleScale*Arch_Roles*AE1701*INDEX(v01_MonasteryPerSett,G1701)*v01_OutMonastery*INDEX(LM_Monastery,G1701)</x:f>
        <x:v>0</x:v>
      </x:c>
      <x:c r="AM1701" s="32" t="n">
        <x:f>(AJ1701+AK1701+AL1701)/4*INDEX(LM_All,G1701)*INDEX(v01_Boon,G1701)*Arch_Insight</x:f>
        <x:v>0</x:v>
      </x:c>
      <x:c r="AN1701" s="32" t="n">
        <x:f>H1701*(v01_KHPerAdult*Z1701+v01_KHOfCommons*AJ1701/4*INDEX(LM_All,G1701))*v01_KHUsable*Arch_KH</x:f>
        <x:v>0</x:v>
      </x:c>
      <x:c r="AO1701" s="32" t="n">
        <x:f>MIN(AP1700+AN1701,AM1701*v01_KHMaxRatio)</x:f>
        <x:v>0</x:v>
      </x:c>
      <x:c r="AP1701" s="32" t="n">
        <x:f>AP1700+AN1701-AO1701</x:f>
        <x:v>0</x:v>
      </x:c>
      <x:c r="AQ1701" s="32" t="n">
        <x:f>AM1701+AO1701</x:f>
        <x:v>0</x:v>
      </x:c>
      <x:c r="AR1701" s="10" t="n">
        <x:f>IF(H1701=1,INDEX(v01_Req,G1701),0)</x:f>
        <x:v>0</x:v>
      </x:c>
      <x:c r="AS1701" s="32" t="n">
        <x:f>IF(H1701=1,IF(E1701=1,AS1700-AR1700,AS1700)+AQ1701,0)</x:f>
        <x:v>0</x:v>
      </x:c>
      <x:c r="AT1701" s="11" t="n">
        <x:f>IF(AR1701&gt;0,MIN(1,AS1701/AR1701),1)</x:f>
        <x:v>1</x:v>
      </x:c>
      <x:c r="AU1701" s="10" t="n">
        <x:f>AB1701/INDEX(v01_RepScale,G1701)</x:f>
        <x:v>90.09519605746344</x:v>
      </x:c>
      <x:c r="AV1701" s="32" t="n">
        <x:f>AM1701*60/v01_SeasonSeconds</x:f>
        <x:v>0</x:v>
      </x:c>
    </x:row>
    <x:row r="1702">
      <x:c r="A1702" s="8" t="n">
        <x:f>A1701+1</x:f>
        <x:v>1699</x:v>
      </x:c>
      <x:c r="B1702" s="9" t="n">
        <x:f>A1702*v01_SeasonSeconds/60</x:f>
        <x:v>424.75</x:v>
      </x:c>
      <x:c r="C1702" s="9" t="n">
        <x:f>A1702/4</x:f>
        <x:v>424.75</x:v>
      </x:c>
      <x:c r="D1702" s="8" t="n">
        <x:f>IF(MOD(A1702,4)=0,1,0)</x:f>
        <x:v>0</x:v>
      </x:c>
      <x:c r="E1702" s="8" t="n">
        <x:f>IF(AND(F1701&lt;=9,AS1701&gt;=AR1701),1,0)</x:f>
        <x:v>0</x:v>
      </x:c>
      <x:c r="F1702" s="8" t="n">
        <x:f>MIN(10,F1701+E1702)</x:f>
        <x:v>10</x:v>
      </x:c>
      <x:c r="G1702" s="8" t="n">
        <x:f>MIN(F1702,9)+1</x:f>
        <x:v>10</x:v>
      </x:c>
      <x:c r="H1702" s="8" t="n">
        <x:f>IF(F1702&lt;=9,1,0)</x:f>
        <x:v>0</x:v>
      </x:c>
      <x:c r="I1702" s="9" t="n">
        <x:f>MIN(10,F1701+IF(AR1701&gt;0,MIN(1,AS1701/AR1701),1))</x:f>
        <x:v>10</x:v>
      </x:c>
      <x:c r="J1702" s="32" t="n">
        <x:f>INDEX(v01_FoodCap,G1702)*Arch_FoodCap*EXP(v01_CapsByProject*SUMPRODUCT((Cap_Point&lt;=I1702)*(Cap_Kind="Food")*Cap_Ln))</x:f>
        <x:v>12000</x:v>
      </x:c>
      <x:c r="K1702" s="32" t="n">
        <x:f>J1702*MIN(1,v01_LeanBase*EXP(v01_CapsByProject*SUMPRODUCT((Cap_Point&lt;=I1702)*(Cap_Kind="Lean")*Cap_Ln)))</x:f>
        <x:v>12000</x:v>
      </x:c>
      <x:c r="L1702" s="10" t="n">
        <x:f>INDEX(v01_HousingCap,G1702)*EXP(v01_CapsByProject*SUMPRODUCT((Cap_Point&lt;=I1702)*(Cap_Kind="Housing")*Cap_Ln))</x:f>
        <x:v>20000</x:v>
      </x:c>
      <x:c r="M1702" s="10" t="n">
        <x:f>INDEX(v01_GroupCap,G1702)*v01_CohesionFactor*EXP(v01_CapsByProject*SUMPRODUCT((Cap_Point&lt;=I1702)*(Cap_Kind="Group")*Cap_Ln))</x:f>
        <x:v>1000000</x:v>
      </x:c>
      <x:c r="N1702" s="32" t="n">
        <x:f>MIN(J1702,L1702,M1702)</x:f>
        <x:v>12000</x:v>
      </x:c>
      <x:c r="O1702" s="10" t="n">
        <x:f>AE1701*N1702</x:f>
        <x:v>180000</x:v>
      </x:c>
      <x:c r="P1702" s="9" t="n">
        <x:f>MIN(1,(AB1701/(AE1701*IF(v01_GroupInCrowding=1,N1702,MIN(J1702,L1702))))^v01_CrowdingExp)</x:f>
        <x:v>0.00024569414295285325</x:v>
      </x:c>
      <x:c r="Q1702" s="9" t="n">
        <x:f>IF(D1702=1,INDEX(v01_WinterMult,G1702),1)</x:f>
        <x:v>1</x:v>
      </x:c>
      <x:c r="R1702" s="9" t="n">
        <x:f>H1702*Z1701*v01_WomenShare*v01_BaseFertility*INDEX(v01_FertMult,G1702)*Arch_Fertility*(1-P1702)</x:f>
        <x:v>0</x:v>
      </x:c>
      <x:c r="S1702" s="9" t="n">
        <x:f>H1702*Y1701*INDEX(v01_MortChild,G1702)/4*Q1702</x:f>
        <x:v>0</x:v>
      </x:c>
      <x:c r="T1702" s="9" t="n">
        <x:f>H1702*Z1701*INDEX(v01_MortAdult,G1702)*Arch_AdultMort/4*Q1702</x:f>
        <x:v>0</x:v>
      </x:c>
      <x:c r="U1702" s="9" t="n">
        <x:f>H1702*AA1701*INDEX(v01_MortElder,G1702)/4*Q1702</x:f>
        <x:v>0</x:v>
      </x:c>
      <x:c r="V1702" s="9" t="n">
        <x:f>H1702*MAX(0,AB1701-O1702)*v01_OvercapLoss</x:f>
        <x:v>0</x:v>
      </x:c>
      <x:c r="W1702" s="9" t="n">
        <x:f>H1702*Y1701/(v01_ChildYears*4)</x:f>
        <x:v>0</x:v>
      </x:c>
      <x:c r="X1702" s="9" t="n">
        <x:f>H1702*Z1701/(v01_AdultYears*4)</x:f>
        <x:v>0</x:v>
      </x:c>
      <x:c r="Y1702" s="32" t="n">
        <x:f>Y1701+R1702-S1702-W1702-Y1701*V1702/AB1701</x:f>
        <x:v>14306.18539759397</x:v>
      </x:c>
      <x:c r="Z1702" s="32" t="n">
        <x:f>Z1701+W1702-X1702-T1702-Z1701*V1702/AB1701</x:f>
        <x:v>19354.456567879548</x:v>
      </x:c>
      <x:c r="AA1702" s="32" t="n">
        <x:f>AA1701+X1702-U1702-AA1701*V1702/AB1701</x:f>
        <x:v>11386.956063258198</x:v>
      </x:c>
      <x:c r="AB1702" s="10" t="n">
        <x:f>Y1702+Z1702+AA1702</x:f>
        <x:v>45047.59802873172</x:v>
      </x:c>
      <x:c r="AC1702" s="8" t="n">
        <x:f>IF(AND(v01_WinterTrigger=1,D1702=1,AB1701/AE1701&gt;=K1702),1,0)</x:f>
        <x:v>0</x:v>
      </x:c>
      <x:c r="AD1702" s="8" t="n">
        <x:f>H1702*IF(AND(OR(AB1701/AE1701&gt;=v01_FissionTrigger*N1702,AC1702=1),AB1701/AE1701*v01_DaughterShare&gt;=v01_MinDaughter),MAX(1,ROUND(AE1701*v01_FissionRate,0)),0)</x:f>
        <x:v>0</x:v>
      </x:c>
      <x:c r="AE1702" s="8" t="n">
        <x:f>IF(H1702=1,MAX(1,MIN(INDEX(v01_Smax,G1702),AE1701+AD1702)),AE1701)</x:f>
        <x:v>15</x:v>
      </x:c>
      <x:c r="AF1702" s="8" t="n">
        <x:f>MAX(0,AE1702-AE1701)</x:f>
        <x:v>0</x:v>
      </x:c>
      <x:c r="AG1702" s="9" t="str">
        <x:f>IF(AF1702&gt;0,B1702,"")</x:f>
      </x:c>
      <x:c r="AH1702" s="9" t="n">
        <x:f>IF(F1702&gt;=1,1,(1+v01_LowTiesShare*(AE1702-1))/AE1702)</x:f>
        <x:v>1</x:v>
      </x:c>
      <x:c r="AI1702" s="32" t="n">
        <x:f>(Z1702+v01_ElderCommons*INDEX(LM_Elder,G1702)*AA1702)*AH1702</x:f>
        <x:v>64139.732591141874</x:v>
      </x:c>
      <x:c r="AJ1702" s="32" t="n">
        <x:f>H1702*v01_CommonsCoef*AI1702^v01_CommonsExp*INDEX(LM_Commons,G1702)</x:f>
        <x:v>0</x:v>
      </x:c>
      <x:c r="AK1702" s="32" t="n">
        <x:f>H1702*v01_RoleScale*Arch_Roles*(AE1702*(INDEX(v01_ElderRolePerSett,G1702)*v01_OutElder*INDEX(LM_Elder,G1702)+INDEX(v01_ShamanPerSett,G1702)*v01_OutShaman)+Z1702*(INDEX(v01_PriestShare,G1702)*v01_OutPriest+INDEX(v01_ScribeShare,G1702)*v01_OutScribe*INDEX(LM_Scribe,G1702)+INDEX(v01_ScholarShare,G1702)*v01_OutScholar*INDEX(LM_Scholar,G1702)+INDEX(v01_ResearcherShare,G1702)*v01_OutResearcher*INDEX(LM_Researcher,G1702)))</x:f>
        <x:v>0</x:v>
      </x:c>
      <x:c r="AL1702" s="32" t="n">
        <x:f>H1702*v01_RoleScale*Arch_Roles*AE1702*INDEX(v01_MonasteryPerSett,G1702)*v01_OutMonastery*INDEX(LM_Monastery,G1702)</x:f>
        <x:v>0</x:v>
      </x:c>
      <x:c r="AM1702" s="32" t="n">
        <x:f>(AJ1702+AK1702+AL1702)/4*INDEX(LM_All,G1702)*INDEX(v01_Boon,G1702)*Arch_Insight</x:f>
        <x:v>0</x:v>
      </x:c>
      <x:c r="AN1702" s="32" t="n">
        <x:f>H1702*(v01_KHPerAdult*Z1702+v01_KHOfCommons*AJ1702/4*INDEX(LM_All,G1702))*v01_KHUsable*Arch_KH</x:f>
        <x:v>0</x:v>
      </x:c>
      <x:c r="AO1702" s="32" t="n">
        <x:f>MIN(AP1701+AN1702,AM1702*v01_KHMaxRatio)</x:f>
        <x:v>0</x:v>
      </x:c>
      <x:c r="AP1702" s="32" t="n">
        <x:f>AP1701+AN1702-AO1702</x:f>
        <x:v>0</x:v>
      </x:c>
      <x:c r="AQ1702" s="32" t="n">
        <x:f>AM1702+AO1702</x:f>
        <x:v>0</x:v>
      </x:c>
      <x:c r="AR1702" s="10" t="n">
        <x:f>IF(H1702=1,INDEX(v01_Req,G1702),0)</x:f>
        <x:v>0</x:v>
      </x:c>
      <x:c r="AS1702" s="32" t="n">
        <x:f>IF(H1702=1,IF(E1702=1,AS1701-AR1701,AS1701)+AQ1702,0)</x:f>
        <x:v>0</x:v>
      </x:c>
      <x:c r="AT1702" s="11" t="n">
        <x:f>IF(AR1702&gt;0,MIN(1,AS1702/AR1702),1)</x:f>
        <x:v>1</x:v>
      </x:c>
      <x:c r="AU1702" s="10" t="n">
        <x:f>AB1702/INDEX(v01_RepScale,G1702)</x:f>
        <x:v>90.09519605746344</x:v>
      </x:c>
      <x:c r="AV1702" s="32" t="n">
        <x:f>AM1702*60/v01_SeasonSeconds</x:f>
        <x:v>0</x:v>
      </x:c>
    </x:row>
    <x:row r="1703">
      <x:c r="A1703" s="8" t="n">
        <x:f>A1702+1</x:f>
        <x:v>1700</x:v>
      </x:c>
      <x:c r="B1703" s="9" t="n">
        <x:f>A1703*v01_SeasonSeconds/60</x:f>
        <x:v>425</x:v>
      </x:c>
      <x:c r="C1703" s="9" t="n">
        <x:f>A1703/4</x:f>
        <x:v>425</x:v>
      </x:c>
      <x:c r="D1703" s="8" t="n">
        <x:f>IF(MOD(A1703,4)=0,1,0)</x:f>
        <x:v>1</x:v>
      </x:c>
      <x:c r="E1703" s="8" t="n">
        <x:f>IF(AND(F1702&lt;=9,AS1702&gt;=AR1702),1,0)</x:f>
        <x:v>0</x:v>
      </x:c>
      <x:c r="F1703" s="8" t="n">
        <x:f>MIN(10,F1702+E1703)</x:f>
        <x:v>10</x:v>
      </x:c>
      <x:c r="G1703" s="8" t="n">
        <x:f>MIN(F1703,9)+1</x:f>
        <x:v>10</x:v>
      </x:c>
      <x:c r="H1703" s="8" t="n">
        <x:f>IF(F1703&lt;=9,1,0)</x:f>
        <x:v>0</x:v>
      </x:c>
      <x:c r="I1703" s="9" t="n">
        <x:f>MIN(10,F1702+IF(AR1702&gt;0,MIN(1,AS1702/AR1702),1))</x:f>
        <x:v>10</x:v>
      </x:c>
      <x:c r="J1703" s="32" t="n">
        <x:f>INDEX(v01_FoodCap,G1703)*Arch_FoodCap*EXP(v01_CapsByProject*SUMPRODUCT((Cap_Point&lt;=I1703)*(Cap_Kind="Food")*Cap_Ln))</x:f>
        <x:v>12000</x:v>
      </x:c>
      <x:c r="K1703" s="32" t="n">
        <x:f>J1703*MIN(1,v01_LeanBase*EXP(v01_CapsByProject*SUMPRODUCT((Cap_Point&lt;=I1703)*(Cap_Kind="Lean")*Cap_Ln)))</x:f>
        <x:v>12000</x:v>
      </x:c>
      <x:c r="L1703" s="10" t="n">
        <x:f>INDEX(v01_HousingCap,G1703)*EXP(v01_CapsByProject*SUMPRODUCT((Cap_Point&lt;=I1703)*(Cap_Kind="Housing")*Cap_Ln))</x:f>
        <x:v>20000</x:v>
      </x:c>
      <x:c r="M1703" s="10" t="n">
        <x:f>INDEX(v01_GroupCap,G1703)*v01_CohesionFactor*EXP(v01_CapsByProject*SUMPRODUCT((Cap_Point&lt;=I1703)*(Cap_Kind="Group")*Cap_Ln))</x:f>
        <x:v>1000000</x:v>
      </x:c>
      <x:c r="N1703" s="32" t="n">
        <x:f>MIN(J1703,L1703,M1703)</x:f>
        <x:v>12000</x:v>
      </x:c>
      <x:c r="O1703" s="10" t="n">
        <x:f>AE1702*N1703</x:f>
        <x:v>180000</x:v>
      </x:c>
      <x:c r="P1703" s="9" t="n">
        <x:f>MIN(1,(AB1702/(AE1702*IF(v01_GroupInCrowding=1,N1703,MIN(J1703,L1703))))^v01_CrowdingExp)</x:f>
        <x:v>0.00024569414295285325</x:v>
      </x:c>
      <x:c r="Q1703" s="9" t="n">
        <x:f>IF(D1703=1,INDEX(v01_WinterMult,G1703),1)</x:f>
        <x:v>1</x:v>
      </x:c>
      <x:c r="R1703" s="9" t="n">
        <x:f>H1703*Z1702*v01_WomenShare*v01_BaseFertility*INDEX(v01_FertMult,G1703)*Arch_Fertility*(1-P1703)</x:f>
        <x:v>0</x:v>
      </x:c>
      <x:c r="S1703" s="9" t="n">
        <x:f>H1703*Y1702*INDEX(v01_MortChild,G1703)/4*Q1703</x:f>
        <x:v>0</x:v>
      </x:c>
      <x:c r="T1703" s="9" t="n">
        <x:f>H1703*Z1702*INDEX(v01_MortAdult,G1703)*Arch_AdultMort/4*Q1703</x:f>
        <x:v>0</x:v>
      </x:c>
      <x:c r="U1703" s="9" t="n">
        <x:f>H1703*AA1702*INDEX(v01_MortElder,G1703)/4*Q1703</x:f>
        <x:v>0</x:v>
      </x:c>
      <x:c r="V1703" s="9" t="n">
        <x:f>H1703*MAX(0,AB1702-O1703)*v01_OvercapLoss</x:f>
        <x:v>0</x:v>
      </x:c>
      <x:c r="W1703" s="9" t="n">
        <x:f>H1703*Y1702/(v01_ChildYears*4)</x:f>
        <x:v>0</x:v>
      </x:c>
      <x:c r="X1703" s="9" t="n">
        <x:f>H1703*Z1702/(v01_AdultYears*4)</x:f>
        <x:v>0</x:v>
      </x:c>
      <x:c r="Y1703" s="32" t="n">
        <x:f>Y1702+R1703-S1703-W1703-Y1702*V1703/AB1702</x:f>
        <x:v>14306.18539759397</x:v>
      </x:c>
      <x:c r="Z1703" s="32" t="n">
        <x:f>Z1702+W1703-X1703-T1703-Z1702*V1703/AB1702</x:f>
        <x:v>19354.456567879548</x:v>
      </x:c>
      <x:c r="AA1703" s="32" t="n">
        <x:f>AA1702+X1703-U1703-AA1702*V1703/AB1702</x:f>
        <x:v>11386.956063258198</x:v>
      </x:c>
      <x:c r="AB1703" s="10" t="n">
        <x:f>Y1703+Z1703+AA1703</x:f>
        <x:v>45047.59802873172</x:v>
      </x:c>
      <x:c r="AC1703" s="8" t="n">
        <x:f>IF(AND(v01_WinterTrigger=1,D1703=1,AB1702/AE1702&gt;=K1703),1,0)</x:f>
        <x:v>0</x:v>
      </x:c>
      <x:c r="AD1703" s="8" t="n">
        <x:f>H1703*IF(AND(OR(AB1702/AE1702&gt;=v01_FissionTrigger*N1703,AC1703=1),AB1702/AE1702*v01_DaughterShare&gt;=v01_MinDaughter),MAX(1,ROUND(AE1702*v01_FissionRate,0)),0)</x:f>
        <x:v>0</x:v>
      </x:c>
      <x:c r="AE1703" s="8" t="n">
        <x:f>IF(H1703=1,MAX(1,MIN(INDEX(v01_Smax,G1703),AE1702+AD1703)),AE1702)</x:f>
        <x:v>15</x:v>
      </x:c>
      <x:c r="AF1703" s="8" t="n">
        <x:f>MAX(0,AE1703-AE1702)</x:f>
        <x:v>0</x:v>
      </x:c>
      <x:c r="AG1703" s="9" t="str">
        <x:f>IF(AF1703&gt;0,B1703,"")</x:f>
      </x:c>
      <x:c r="AH1703" s="9" t="n">
        <x:f>IF(F1703&gt;=1,1,(1+v01_LowTiesShare*(AE1703-1))/AE1703)</x:f>
        <x:v>1</x:v>
      </x:c>
      <x:c r="AI1703" s="32" t="n">
        <x:f>(Z1703+v01_ElderCommons*INDEX(LM_Elder,G1703)*AA1703)*AH1703</x:f>
        <x:v>64139.732591141874</x:v>
      </x:c>
      <x:c r="AJ1703" s="32" t="n">
        <x:f>H1703*v01_CommonsCoef*AI1703^v01_CommonsExp*INDEX(LM_Commons,G1703)</x:f>
        <x:v>0</x:v>
      </x:c>
      <x:c r="AK1703" s="32" t="n">
        <x:f>H1703*v01_RoleScale*Arch_Roles*(AE1703*(INDEX(v01_ElderRolePerSett,G1703)*v01_OutElder*INDEX(LM_Elder,G1703)+INDEX(v01_ShamanPerSett,G1703)*v01_OutShaman)+Z1703*(INDEX(v01_PriestShare,G1703)*v01_OutPriest+INDEX(v01_ScribeShare,G1703)*v01_OutScribe*INDEX(LM_Scribe,G1703)+INDEX(v01_ScholarShare,G1703)*v01_OutScholar*INDEX(LM_Scholar,G1703)+INDEX(v01_ResearcherShare,G1703)*v01_OutResearcher*INDEX(LM_Researcher,G1703)))</x:f>
        <x:v>0</x:v>
      </x:c>
      <x:c r="AL1703" s="32" t="n">
        <x:f>H1703*v01_RoleScale*Arch_Roles*AE1703*INDEX(v01_MonasteryPerSett,G1703)*v01_OutMonastery*INDEX(LM_Monastery,G1703)</x:f>
        <x:v>0</x:v>
      </x:c>
      <x:c r="AM1703" s="32" t="n">
        <x:f>(AJ1703+AK1703+AL1703)/4*INDEX(LM_All,G1703)*INDEX(v01_Boon,G1703)*Arch_Insight</x:f>
        <x:v>0</x:v>
      </x:c>
      <x:c r="AN1703" s="32" t="n">
        <x:f>H1703*(v01_KHPerAdult*Z1703+v01_KHOfCommons*AJ1703/4*INDEX(LM_All,G1703))*v01_KHUsable*Arch_KH</x:f>
        <x:v>0</x:v>
      </x:c>
      <x:c r="AO1703" s="32" t="n">
        <x:f>MIN(AP1702+AN1703,AM1703*v01_KHMaxRatio)</x:f>
        <x:v>0</x:v>
      </x:c>
      <x:c r="AP1703" s="32" t="n">
        <x:f>AP1702+AN1703-AO1703</x:f>
        <x:v>0</x:v>
      </x:c>
      <x:c r="AQ1703" s="32" t="n">
        <x:f>AM1703+AO1703</x:f>
        <x:v>0</x:v>
      </x:c>
      <x:c r="AR1703" s="10" t="n">
        <x:f>IF(H1703=1,INDEX(v01_Req,G1703),0)</x:f>
        <x:v>0</x:v>
      </x:c>
      <x:c r="AS1703" s="32" t="n">
        <x:f>IF(H1703=1,IF(E1703=1,AS1702-AR1702,AS1702)+AQ1703,0)</x:f>
        <x:v>0</x:v>
      </x:c>
      <x:c r="AT1703" s="11" t="n">
        <x:f>IF(AR1703&gt;0,MIN(1,AS1703/AR1703),1)</x:f>
        <x:v>1</x:v>
      </x:c>
      <x:c r="AU1703" s="10" t="n">
        <x:f>AB1703/INDEX(v01_RepScale,G1703)</x:f>
        <x:v>90.09519605746344</x:v>
      </x:c>
      <x:c r="AV1703" s="32" t="n">
        <x:f>AM1703*60/v01_SeasonSeconds</x:f>
        <x:v>0</x:v>
      </x:c>
    </x:row>
    <x:row r="1704">
      <x:c r="A1704" s="8" t="n">
        <x:f>A1703+1</x:f>
        <x:v>1701</x:v>
      </x:c>
      <x:c r="B1704" s="9" t="n">
        <x:f>A1704*v01_SeasonSeconds/60</x:f>
        <x:v>425.25</x:v>
      </x:c>
      <x:c r="C1704" s="9" t="n">
        <x:f>A1704/4</x:f>
        <x:v>425.25</x:v>
      </x:c>
      <x:c r="D1704" s="8" t="n">
        <x:f>IF(MOD(A1704,4)=0,1,0)</x:f>
        <x:v>0</x:v>
      </x:c>
      <x:c r="E1704" s="8" t="n">
        <x:f>IF(AND(F1703&lt;=9,AS1703&gt;=AR1703),1,0)</x:f>
        <x:v>0</x:v>
      </x:c>
      <x:c r="F1704" s="8" t="n">
        <x:f>MIN(10,F1703+E1704)</x:f>
        <x:v>10</x:v>
      </x:c>
      <x:c r="G1704" s="8" t="n">
        <x:f>MIN(F1704,9)+1</x:f>
        <x:v>10</x:v>
      </x:c>
      <x:c r="H1704" s="8" t="n">
        <x:f>IF(F1704&lt;=9,1,0)</x:f>
        <x:v>0</x:v>
      </x:c>
      <x:c r="I1704" s="9" t="n">
        <x:f>MIN(10,F1703+IF(AR1703&gt;0,MIN(1,AS1703/AR1703),1))</x:f>
        <x:v>10</x:v>
      </x:c>
      <x:c r="J1704" s="32" t="n">
        <x:f>INDEX(v01_FoodCap,G1704)*Arch_FoodCap*EXP(v01_CapsByProject*SUMPRODUCT((Cap_Point&lt;=I1704)*(Cap_Kind="Food")*Cap_Ln))</x:f>
        <x:v>12000</x:v>
      </x:c>
      <x:c r="K1704" s="32" t="n">
        <x:f>J1704*MIN(1,v01_LeanBase*EXP(v01_CapsByProject*SUMPRODUCT((Cap_Point&lt;=I1704)*(Cap_Kind="Lean")*Cap_Ln)))</x:f>
        <x:v>12000</x:v>
      </x:c>
      <x:c r="L1704" s="10" t="n">
        <x:f>INDEX(v01_HousingCap,G1704)*EXP(v01_CapsByProject*SUMPRODUCT((Cap_Point&lt;=I1704)*(Cap_Kind="Housing")*Cap_Ln))</x:f>
        <x:v>20000</x:v>
      </x:c>
      <x:c r="M1704" s="10" t="n">
        <x:f>INDEX(v01_GroupCap,G1704)*v01_CohesionFactor*EXP(v01_CapsByProject*SUMPRODUCT((Cap_Point&lt;=I1704)*(Cap_Kind="Group")*Cap_Ln))</x:f>
        <x:v>1000000</x:v>
      </x:c>
      <x:c r="N1704" s="32" t="n">
        <x:f>MIN(J1704,L1704,M1704)</x:f>
        <x:v>12000</x:v>
      </x:c>
      <x:c r="O1704" s="10" t="n">
        <x:f>AE1703*N1704</x:f>
        <x:v>180000</x:v>
      </x:c>
      <x:c r="P1704" s="9" t="n">
        <x:f>MIN(1,(AB1703/(AE1703*IF(v01_GroupInCrowding=1,N1704,MIN(J1704,L1704))))^v01_CrowdingExp)</x:f>
        <x:v>0.00024569414295285325</x:v>
      </x:c>
      <x:c r="Q1704" s="9" t="n">
        <x:f>IF(D1704=1,INDEX(v01_WinterMult,G1704),1)</x:f>
        <x:v>1</x:v>
      </x:c>
      <x:c r="R1704" s="9" t="n">
        <x:f>H1704*Z1703*v01_WomenShare*v01_BaseFertility*INDEX(v01_FertMult,G1704)*Arch_Fertility*(1-P1704)</x:f>
        <x:v>0</x:v>
      </x:c>
      <x:c r="S1704" s="9" t="n">
        <x:f>H1704*Y1703*INDEX(v01_MortChild,G1704)/4*Q1704</x:f>
        <x:v>0</x:v>
      </x:c>
      <x:c r="T1704" s="9" t="n">
        <x:f>H1704*Z1703*INDEX(v01_MortAdult,G1704)*Arch_AdultMort/4*Q1704</x:f>
        <x:v>0</x:v>
      </x:c>
      <x:c r="U1704" s="9" t="n">
        <x:f>H1704*AA1703*INDEX(v01_MortElder,G1704)/4*Q1704</x:f>
        <x:v>0</x:v>
      </x:c>
      <x:c r="V1704" s="9" t="n">
        <x:f>H1704*MAX(0,AB1703-O1704)*v01_OvercapLoss</x:f>
        <x:v>0</x:v>
      </x:c>
      <x:c r="W1704" s="9" t="n">
        <x:f>H1704*Y1703/(v01_ChildYears*4)</x:f>
        <x:v>0</x:v>
      </x:c>
      <x:c r="X1704" s="9" t="n">
        <x:f>H1704*Z1703/(v01_AdultYears*4)</x:f>
        <x:v>0</x:v>
      </x:c>
      <x:c r="Y1704" s="32" t="n">
        <x:f>Y1703+R1704-S1704-W1704-Y1703*V1704/AB1703</x:f>
        <x:v>14306.18539759397</x:v>
      </x:c>
      <x:c r="Z1704" s="32" t="n">
        <x:f>Z1703+W1704-X1704-T1704-Z1703*V1704/AB1703</x:f>
        <x:v>19354.456567879548</x:v>
      </x:c>
      <x:c r="AA1704" s="32" t="n">
        <x:f>AA1703+X1704-U1704-AA1703*V1704/AB1703</x:f>
        <x:v>11386.956063258198</x:v>
      </x:c>
      <x:c r="AB1704" s="10" t="n">
        <x:f>Y1704+Z1704+AA1704</x:f>
        <x:v>45047.59802873172</x:v>
      </x:c>
      <x:c r="AC1704" s="8" t="n">
        <x:f>IF(AND(v01_WinterTrigger=1,D1704=1,AB1703/AE1703&gt;=K1704),1,0)</x:f>
        <x:v>0</x:v>
      </x:c>
      <x:c r="AD1704" s="8" t="n">
        <x:f>H1704*IF(AND(OR(AB1703/AE1703&gt;=v01_FissionTrigger*N1704,AC1704=1),AB1703/AE1703*v01_DaughterShare&gt;=v01_MinDaughter),MAX(1,ROUND(AE1703*v01_FissionRate,0)),0)</x:f>
        <x:v>0</x:v>
      </x:c>
      <x:c r="AE1704" s="8" t="n">
        <x:f>IF(H1704=1,MAX(1,MIN(INDEX(v01_Smax,G1704),AE1703+AD1704)),AE1703)</x:f>
        <x:v>15</x:v>
      </x:c>
      <x:c r="AF1704" s="8" t="n">
        <x:f>MAX(0,AE1704-AE1703)</x:f>
        <x:v>0</x:v>
      </x:c>
      <x:c r="AG1704" s="9" t="str">
        <x:f>IF(AF1704&gt;0,B1704,"")</x:f>
      </x:c>
      <x:c r="AH1704" s="9" t="n">
        <x:f>IF(F1704&gt;=1,1,(1+v01_LowTiesShare*(AE1704-1))/AE1704)</x:f>
        <x:v>1</x:v>
      </x:c>
      <x:c r="AI1704" s="32" t="n">
        <x:f>(Z1704+v01_ElderCommons*INDEX(LM_Elder,G1704)*AA1704)*AH1704</x:f>
        <x:v>64139.732591141874</x:v>
      </x:c>
      <x:c r="AJ1704" s="32" t="n">
        <x:f>H1704*v01_CommonsCoef*AI1704^v01_CommonsExp*INDEX(LM_Commons,G1704)</x:f>
        <x:v>0</x:v>
      </x:c>
      <x:c r="AK1704" s="32" t="n">
        <x:f>H1704*v01_RoleScale*Arch_Roles*(AE1704*(INDEX(v01_ElderRolePerSett,G1704)*v01_OutElder*INDEX(LM_Elder,G1704)+INDEX(v01_ShamanPerSett,G1704)*v01_OutShaman)+Z1704*(INDEX(v01_PriestShare,G1704)*v01_OutPriest+INDEX(v01_ScribeShare,G1704)*v01_OutScribe*INDEX(LM_Scribe,G1704)+INDEX(v01_ScholarShare,G1704)*v01_OutScholar*INDEX(LM_Scholar,G1704)+INDEX(v01_ResearcherShare,G1704)*v01_OutResearcher*INDEX(LM_Researcher,G1704)))</x:f>
        <x:v>0</x:v>
      </x:c>
      <x:c r="AL1704" s="32" t="n">
        <x:f>H1704*v01_RoleScale*Arch_Roles*AE1704*INDEX(v01_MonasteryPerSett,G1704)*v01_OutMonastery*INDEX(LM_Monastery,G1704)</x:f>
        <x:v>0</x:v>
      </x:c>
      <x:c r="AM1704" s="32" t="n">
        <x:f>(AJ1704+AK1704+AL1704)/4*INDEX(LM_All,G1704)*INDEX(v01_Boon,G1704)*Arch_Insight</x:f>
        <x:v>0</x:v>
      </x:c>
      <x:c r="AN1704" s="32" t="n">
        <x:f>H1704*(v01_KHPerAdult*Z1704+v01_KHOfCommons*AJ1704/4*INDEX(LM_All,G1704))*v01_KHUsable*Arch_KH</x:f>
        <x:v>0</x:v>
      </x:c>
      <x:c r="AO1704" s="32" t="n">
        <x:f>MIN(AP1703+AN1704,AM1704*v01_KHMaxRatio)</x:f>
        <x:v>0</x:v>
      </x:c>
      <x:c r="AP1704" s="32" t="n">
        <x:f>AP1703+AN1704-AO1704</x:f>
        <x:v>0</x:v>
      </x:c>
      <x:c r="AQ1704" s="32" t="n">
        <x:f>AM1704+AO1704</x:f>
        <x:v>0</x:v>
      </x:c>
      <x:c r="AR1704" s="10" t="n">
        <x:f>IF(H1704=1,INDEX(v01_Req,G1704),0)</x:f>
        <x:v>0</x:v>
      </x:c>
      <x:c r="AS1704" s="32" t="n">
        <x:f>IF(H1704=1,IF(E1704=1,AS1703-AR1703,AS1703)+AQ1704,0)</x:f>
        <x:v>0</x:v>
      </x:c>
      <x:c r="AT1704" s="11" t="n">
        <x:f>IF(AR1704&gt;0,MIN(1,AS1704/AR1704),1)</x:f>
        <x:v>1</x:v>
      </x:c>
      <x:c r="AU1704" s="10" t="n">
        <x:f>AB1704/INDEX(v01_RepScale,G1704)</x:f>
        <x:v>90.09519605746344</x:v>
      </x:c>
      <x:c r="AV1704" s="32" t="n">
        <x:f>AM1704*60/v01_SeasonSeconds</x:f>
        <x:v>0</x:v>
      </x:c>
    </x:row>
    <x:row r="1705">
      <x:c r="A1705" s="8" t="n">
        <x:f>A1704+1</x:f>
        <x:v>1702</x:v>
      </x:c>
      <x:c r="B1705" s="9" t="n">
        <x:f>A1705*v01_SeasonSeconds/60</x:f>
        <x:v>425.5</x:v>
      </x:c>
      <x:c r="C1705" s="9" t="n">
        <x:f>A1705/4</x:f>
        <x:v>425.5</x:v>
      </x:c>
      <x:c r="D1705" s="8" t="n">
        <x:f>IF(MOD(A1705,4)=0,1,0)</x:f>
        <x:v>0</x:v>
      </x:c>
      <x:c r="E1705" s="8" t="n">
        <x:f>IF(AND(F1704&lt;=9,AS1704&gt;=AR1704),1,0)</x:f>
        <x:v>0</x:v>
      </x:c>
      <x:c r="F1705" s="8" t="n">
        <x:f>MIN(10,F1704+E1705)</x:f>
        <x:v>10</x:v>
      </x:c>
      <x:c r="G1705" s="8" t="n">
        <x:f>MIN(F1705,9)+1</x:f>
        <x:v>10</x:v>
      </x:c>
      <x:c r="H1705" s="8" t="n">
        <x:f>IF(F1705&lt;=9,1,0)</x:f>
        <x:v>0</x:v>
      </x:c>
      <x:c r="I1705" s="9" t="n">
        <x:f>MIN(10,F1704+IF(AR1704&gt;0,MIN(1,AS1704/AR1704),1))</x:f>
        <x:v>10</x:v>
      </x:c>
      <x:c r="J1705" s="32" t="n">
        <x:f>INDEX(v01_FoodCap,G1705)*Arch_FoodCap*EXP(v01_CapsByProject*SUMPRODUCT((Cap_Point&lt;=I1705)*(Cap_Kind="Food")*Cap_Ln))</x:f>
        <x:v>12000</x:v>
      </x:c>
      <x:c r="K1705" s="32" t="n">
        <x:f>J1705*MIN(1,v01_LeanBase*EXP(v01_CapsByProject*SUMPRODUCT((Cap_Point&lt;=I1705)*(Cap_Kind="Lean")*Cap_Ln)))</x:f>
        <x:v>12000</x:v>
      </x:c>
      <x:c r="L1705" s="10" t="n">
        <x:f>INDEX(v01_HousingCap,G1705)*EXP(v01_CapsByProject*SUMPRODUCT((Cap_Point&lt;=I1705)*(Cap_Kind="Housing")*Cap_Ln))</x:f>
        <x:v>20000</x:v>
      </x:c>
      <x:c r="M1705" s="10" t="n">
        <x:f>INDEX(v01_GroupCap,G1705)*v01_CohesionFactor*EXP(v01_CapsByProject*SUMPRODUCT((Cap_Point&lt;=I1705)*(Cap_Kind="Group")*Cap_Ln))</x:f>
        <x:v>1000000</x:v>
      </x:c>
      <x:c r="N1705" s="32" t="n">
        <x:f>MIN(J1705,L1705,M1705)</x:f>
        <x:v>12000</x:v>
      </x:c>
      <x:c r="O1705" s="10" t="n">
        <x:f>AE1704*N1705</x:f>
        <x:v>180000</x:v>
      </x:c>
      <x:c r="P1705" s="9" t="n">
        <x:f>MIN(1,(AB1704/(AE1704*IF(v01_GroupInCrowding=1,N1705,MIN(J1705,L1705))))^v01_CrowdingExp)</x:f>
        <x:v>0.00024569414295285325</x:v>
      </x:c>
      <x:c r="Q1705" s="9" t="n">
        <x:f>IF(D1705=1,INDEX(v01_WinterMult,G1705),1)</x:f>
        <x:v>1</x:v>
      </x:c>
      <x:c r="R1705" s="9" t="n">
        <x:f>H1705*Z1704*v01_WomenShare*v01_BaseFertility*INDEX(v01_FertMult,G1705)*Arch_Fertility*(1-P1705)</x:f>
        <x:v>0</x:v>
      </x:c>
      <x:c r="S1705" s="9" t="n">
        <x:f>H1705*Y1704*INDEX(v01_MortChild,G1705)/4*Q1705</x:f>
        <x:v>0</x:v>
      </x:c>
      <x:c r="T1705" s="9" t="n">
        <x:f>H1705*Z1704*INDEX(v01_MortAdult,G1705)*Arch_AdultMort/4*Q1705</x:f>
        <x:v>0</x:v>
      </x:c>
      <x:c r="U1705" s="9" t="n">
        <x:f>H1705*AA1704*INDEX(v01_MortElder,G1705)/4*Q1705</x:f>
        <x:v>0</x:v>
      </x:c>
      <x:c r="V1705" s="9" t="n">
        <x:f>H1705*MAX(0,AB1704-O1705)*v01_OvercapLoss</x:f>
        <x:v>0</x:v>
      </x:c>
      <x:c r="W1705" s="9" t="n">
        <x:f>H1705*Y1704/(v01_ChildYears*4)</x:f>
        <x:v>0</x:v>
      </x:c>
      <x:c r="X1705" s="9" t="n">
        <x:f>H1705*Z1704/(v01_AdultYears*4)</x:f>
        <x:v>0</x:v>
      </x:c>
      <x:c r="Y1705" s="32" t="n">
        <x:f>Y1704+R1705-S1705-W1705-Y1704*V1705/AB1704</x:f>
        <x:v>14306.18539759397</x:v>
      </x:c>
      <x:c r="Z1705" s="32" t="n">
        <x:f>Z1704+W1705-X1705-T1705-Z1704*V1705/AB1704</x:f>
        <x:v>19354.456567879548</x:v>
      </x:c>
      <x:c r="AA1705" s="32" t="n">
        <x:f>AA1704+X1705-U1705-AA1704*V1705/AB1704</x:f>
        <x:v>11386.956063258198</x:v>
      </x:c>
      <x:c r="AB1705" s="10" t="n">
        <x:f>Y1705+Z1705+AA1705</x:f>
        <x:v>45047.59802873172</x:v>
      </x:c>
      <x:c r="AC1705" s="8" t="n">
        <x:f>IF(AND(v01_WinterTrigger=1,D1705=1,AB1704/AE1704&gt;=K1705),1,0)</x:f>
        <x:v>0</x:v>
      </x:c>
      <x:c r="AD1705" s="8" t="n">
        <x:f>H1705*IF(AND(OR(AB1704/AE1704&gt;=v01_FissionTrigger*N1705,AC1705=1),AB1704/AE1704*v01_DaughterShare&gt;=v01_MinDaughter),MAX(1,ROUND(AE1704*v01_FissionRate,0)),0)</x:f>
        <x:v>0</x:v>
      </x:c>
      <x:c r="AE1705" s="8" t="n">
        <x:f>IF(H1705=1,MAX(1,MIN(INDEX(v01_Smax,G1705),AE1704+AD1705)),AE1704)</x:f>
        <x:v>15</x:v>
      </x:c>
      <x:c r="AF1705" s="8" t="n">
        <x:f>MAX(0,AE1705-AE1704)</x:f>
        <x:v>0</x:v>
      </x:c>
      <x:c r="AG1705" s="9" t="str">
        <x:f>IF(AF1705&gt;0,B1705,"")</x:f>
      </x:c>
      <x:c r="AH1705" s="9" t="n">
        <x:f>IF(F1705&gt;=1,1,(1+v01_LowTiesShare*(AE1705-1))/AE1705)</x:f>
        <x:v>1</x:v>
      </x:c>
      <x:c r="AI1705" s="32" t="n">
        <x:f>(Z1705+v01_ElderCommons*INDEX(LM_Elder,G1705)*AA1705)*AH1705</x:f>
        <x:v>64139.732591141874</x:v>
      </x:c>
      <x:c r="AJ1705" s="32" t="n">
        <x:f>H1705*v01_CommonsCoef*AI1705^v01_CommonsExp*INDEX(LM_Commons,G1705)</x:f>
        <x:v>0</x:v>
      </x:c>
      <x:c r="AK1705" s="32" t="n">
        <x:f>H1705*v01_RoleScale*Arch_Roles*(AE1705*(INDEX(v01_ElderRolePerSett,G1705)*v01_OutElder*INDEX(LM_Elder,G1705)+INDEX(v01_ShamanPerSett,G1705)*v01_OutShaman)+Z1705*(INDEX(v01_PriestShare,G1705)*v01_OutPriest+INDEX(v01_ScribeShare,G1705)*v01_OutScribe*INDEX(LM_Scribe,G1705)+INDEX(v01_ScholarShare,G1705)*v01_OutScholar*INDEX(LM_Scholar,G1705)+INDEX(v01_ResearcherShare,G1705)*v01_OutResearcher*INDEX(LM_Researcher,G1705)))</x:f>
        <x:v>0</x:v>
      </x:c>
      <x:c r="AL1705" s="32" t="n">
        <x:f>H1705*v01_RoleScale*Arch_Roles*AE1705*INDEX(v01_MonasteryPerSett,G1705)*v01_OutMonastery*INDEX(LM_Monastery,G1705)</x:f>
        <x:v>0</x:v>
      </x:c>
      <x:c r="AM1705" s="32" t="n">
        <x:f>(AJ1705+AK1705+AL1705)/4*INDEX(LM_All,G1705)*INDEX(v01_Boon,G1705)*Arch_Insight</x:f>
        <x:v>0</x:v>
      </x:c>
      <x:c r="AN1705" s="32" t="n">
        <x:f>H1705*(v01_KHPerAdult*Z1705+v01_KHOfCommons*AJ1705/4*INDEX(LM_All,G1705))*v01_KHUsable*Arch_KH</x:f>
        <x:v>0</x:v>
      </x:c>
      <x:c r="AO1705" s="32" t="n">
        <x:f>MIN(AP1704+AN1705,AM1705*v01_KHMaxRatio)</x:f>
        <x:v>0</x:v>
      </x:c>
      <x:c r="AP1705" s="32" t="n">
        <x:f>AP1704+AN1705-AO1705</x:f>
        <x:v>0</x:v>
      </x:c>
      <x:c r="AQ1705" s="32" t="n">
        <x:f>AM1705+AO1705</x:f>
        <x:v>0</x:v>
      </x:c>
      <x:c r="AR1705" s="10" t="n">
        <x:f>IF(H1705=1,INDEX(v01_Req,G1705),0)</x:f>
        <x:v>0</x:v>
      </x:c>
      <x:c r="AS1705" s="32" t="n">
        <x:f>IF(H1705=1,IF(E1705=1,AS1704-AR1704,AS1704)+AQ1705,0)</x:f>
        <x:v>0</x:v>
      </x:c>
      <x:c r="AT1705" s="11" t="n">
        <x:f>IF(AR1705&gt;0,MIN(1,AS1705/AR1705),1)</x:f>
        <x:v>1</x:v>
      </x:c>
      <x:c r="AU1705" s="10" t="n">
        <x:f>AB1705/INDEX(v01_RepScale,G1705)</x:f>
        <x:v>90.09519605746344</x:v>
      </x:c>
      <x:c r="AV1705" s="32" t="n">
        <x:f>AM1705*60/v01_SeasonSeconds</x:f>
        <x:v>0</x:v>
      </x:c>
    </x:row>
    <x:row r="1706">
      <x:c r="A1706" s="8" t="n">
        <x:f>A1705+1</x:f>
        <x:v>1703</x:v>
      </x:c>
      <x:c r="B1706" s="9" t="n">
        <x:f>A1706*v01_SeasonSeconds/60</x:f>
        <x:v>425.75</x:v>
      </x:c>
      <x:c r="C1706" s="9" t="n">
        <x:f>A1706/4</x:f>
        <x:v>425.75</x:v>
      </x:c>
      <x:c r="D1706" s="8" t="n">
        <x:f>IF(MOD(A1706,4)=0,1,0)</x:f>
        <x:v>0</x:v>
      </x:c>
      <x:c r="E1706" s="8" t="n">
        <x:f>IF(AND(F1705&lt;=9,AS1705&gt;=AR1705),1,0)</x:f>
        <x:v>0</x:v>
      </x:c>
      <x:c r="F1706" s="8" t="n">
        <x:f>MIN(10,F1705+E1706)</x:f>
        <x:v>10</x:v>
      </x:c>
      <x:c r="G1706" s="8" t="n">
        <x:f>MIN(F1706,9)+1</x:f>
        <x:v>10</x:v>
      </x:c>
      <x:c r="H1706" s="8" t="n">
        <x:f>IF(F1706&lt;=9,1,0)</x:f>
        <x:v>0</x:v>
      </x:c>
      <x:c r="I1706" s="9" t="n">
        <x:f>MIN(10,F1705+IF(AR1705&gt;0,MIN(1,AS1705/AR1705),1))</x:f>
        <x:v>10</x:v>
      </x:c>
      <x:c r="J1706" s="32" t="n">
        <x:f>INDEX(v01_FoodCap,G1706)*Arch_FoodCap*EXP(v01_CapsByProject*SUMPRODUCT((Cap_Point&lt;=I1706)*(Cap_Kind="Food")*Cap_Ln))</x:f>
        <x:v>12000</x:v>
      </x:c>
      <x:c r="K1706" s="32" t="n">
        <x:f>J1706*MIN(1,v01_LeanBase*EXP(v01_CapsByProject*SUMPRODUCT((Cap_Point&lt;=I1706)*(Cap_Kind="Lean")*Cap_Ln)))</x:f>
        <x:v>12000</x:v>
      </x:c>
      <x:c r="L1706" s="10" t="n">
        <x:f>INDEX(v01_HousingCap,G1706)*EXP(v01_CapsByProject*SUMPRODUCT((Cap_Point&lt;=I1706)*(Cap_Kind="Housing")*Cap_Ln))</x:f>
        <x:v>20000</x:v>
      </x:c>
      <x:c r="M1706" s="10" t="n">
        <x:f>INDEX(v01_GroupCap,G1706)*v01_CohesionFactor*EXP(v01_CapsByProject*SUMPRODUCT((Cap_Point&lt;=I1706)*(Cap_Kind="Group")*Cap_Ln))</x:f>
        <x:v>1000000</x:v>
      </x:c>
      <x:c r="N1706" s="32" t="n">
        <x:f>MIN(J1706,L1706,M1706)</x:f>
        <x:v>12000</x:v>
      </x:c>
      <x:c r="O1706" s="10" t="n">
        <x:f>AE1705*N1706</x:f>
        <x:v>180000</x:v>
      </x:c>
      <x:c r="P1706" s="9" t="n">
        <x:f>MIN(1,(AB1705/(AE1705*IF(v01_GroupInCrowding=1,N1706,MIN(J1706,L1706))))^v01_CrowdingExp)</x:f>
        <x:v>0.00024569414295285325</x:v>
      </x:c>
      <x:c r="Q1706" s="9" t="n">
        <x:f>IF(D1706=1,INDEX(v01_WinterMult,G1706),1)</x:f>
        <x:v>1</x:v>
      </x:c>
      <x:c r="R1706" s="9" t="n">
        <x:f>H1706*Z1705*v01_WomenShare*v01_BaseFertility*INDEX(v01_FertMult,G1706)*Arch_Fertility*(1-P1706)</x:f>
        <x:v>0</x:v>
      </x:c>
      <x:c r="S1706" s="9" t="n">
        <x:f>H1706*Y1705*INDEX(v01_MortChild,G1706)/4*Q1706</x:f>
        <x:v>0</x:v>
      </x:c>
      <x:c r="T1706" s="9" t="n">
        <x:f>H1706*Z1705*INDEX(v01_MortAdult,G1706)*Arch_AdultMort/4*Q1706</x:f>
        <x:v>0</x:v>
      </x:c>
      <x:c r="U1706" s="9" t="n">
        <x:f>H1706*AA1705*INDEX(v01_MortElder,G1706)/4*Q1706</x:f>
        <x:v>0</x:v>
      </x:c>
      <x:c r="V1706" s="9" t="n">
        <x:f>H1706*MAX(0,AB1705-O1706)*v01_OvercapLoss</x:f>
        <x:v>0</x:v>
      </x:c>
      <x:c r="W1706" s="9" t="n">
        <x:f>H1706*Y1705/(v01_ChildYears*4)</x:f>
        <x:v>0</x:v>
      </x:c>
      <x:c r="X1706" s="9" t="n">
        <x:f>H1706*Z1705/(v01_AdultYears*4)</x:f>
        <x:v>0</x:v>
      </x:c>
      <x:c r="Y1706" s="32" t="n">
        <x:f>Y1705+R1706-S1706-W1706-Y1705*V1706/AB1705</x:f>
        <x:v>14306.18539759397</x:v>
      </x:c>
      <x:c r="Z1706" s="32" t="n">
        <x:f>Z1705+W1706-X1706-T1706-Z1705*V1706/AB1705</x:f>
        <x:v>19354.456567879548</x:v>
      </x:c>
      <x:c r="AA1706" s="32" t="n">
        <x:f>AA1705+X1706-U1706-AA1705*V1706/AB1705</x:f>
        <x:v>11386.956063258198</x:v>
      </x:c>
      <x:c r="AB1706" s="10" t="n">
        <x:f>Y1706+Z1706+AA1706</x:f>
        <x:v>45047.59802873172</x:v>
      </x:c>
      <x:c r="AC1706" s="8" t="n">
        <x:f>IF(AND(v01_WinterTrigger=1,D1706=1,AB1705/AE1705&gt;=K1706),1,0)</x:f>
        <x:v>0</x:v>
      </x:c>
      <x:c r="AD1706" s="8" t="n">
        <x:f>H1706*IF(AND(OR(AB1705/AE1705&gt;=v01_FissionTrigger*N1706,AC1706=1),AB1705/AE1705*v01_DaughterShare&gt;=v01_MinDaughter),MAX(1,ROUND(AE1705*v01_FissionRate,0)),0)</x:f>
        <x:v>0</x:v>
      </x:c>
      <x:c r="AE1706" s="8" t="n">
        <x:f>IF(H1706=1,MAX(1,MIN(INDEX(v01_Smax,G1706),AE1705+AD1706)),AE1705)</x:f>
        <x:v>15</x:v>
      </x:c>
      <x:c r="AF1706" s="8" t="n">
        <x:f>MAX(0,AE1706-AE1705)</x:f>
        <x:v>0</x:v>
      </x:c>
      <x:c r="AG1706" s="9" t="str">
        <x:f>IF(AF1706&gt;0,B1706,"")</x:f>
      </x:c>
      <x:c r="AH1706" s="9" t="n">
        <x:f>IF(F1706&gt;=1,1,(1+v01_LowTiesShare*(AE1706-1))/AE1706)</x:f>
        <x:v>1</x:v>
      </x:c>
      <x:c r="AI1706" s="32" t="n">
        <x:f>(Z1706+v01_ElderCommons*INDEX(LM_Elder,G1706)*AA1706)*AH1706</x:f>
        <x:v>64139.732591141874</x:v>
      </x:c>
      <x:c r="AJ1706" s="32" t="n">
        <x:f>H1706*v01_CommonsCoef*AI1706^v01_CommonsExp*INDEX(LM_Commons,G1706)</x:f>
        <x:v>0</x:v>
      </x:c>
      <x:c r="AK1706" s="32" t="n">
        <x:f>H1706*v01_RoleScale*Arch_Roles*(AE1706*(INDEX(v01_ElderRolePerSett,G1706)*v01_OutElder*INDEX(LM_Elder,G1706)+INDEX(v01_ShamanPerSett,G1706)*v01_OutShaman)+Z1706*(INDEX(v01_PriestShare,G1706)*v01_OutPriest+INDEX(v01_ScribeShare,G1706)*v01_OutScribe*INDEX(LM_Scribe,G1706)+INDEX(v01_ScholarShare,G1706)*v01_OutScholar*INDEX(LM_Scholar,G1706)+INDEX(v01_ResearcherShare,G1706)*v01_OutResearcher*INDEX(LM_Researcher,G1706)))</x:f>
        <x:v>0</x:v>
      </x:c>
      <x:c r="AL1706" s="32" t="n">
        <x:f>H1706*v01_RoleScale*Arch_Roles*AE1706*INDEX(v01_MonasteryPerSett,G1706)*v01_OutMonastery*INDEX(LM_Monastery,G1706)</x:f>
        <x:v>0</x:v>
      </x:c>
      <x:c r="AM1706" s="32" t="n">
        <x:f>(AJ1706+AK1706+AL1706)/4*INDEX(LM_All,G1706)*INDEX(v01_Boon,G1706)*Arch_Insight</x:f>
        <x:v>0</x:v>
      </x:c>
      <x:c r="AN1706" s="32" t="n">
        <x:f>H1706*(v01_KHPerAdult*Z1706+v01_KHOfCommons*AJ1706/4*INDEX(LM_All,G1706))*v01_KHUsable*Arch_KH</x:f>
        <x:v>0</x:v>
      </x:c>
      <x:c r="AO1706" s="32" t="n">
        <x:f>MIN(AP1705+AN1706,AM1706*v01_KHMaxRatio)</x:f>
        <x:v>0</x:v>
      </x:c>
      <x:c r="AP1706" s="32" t="n">
        <x:f>AP1705+AN1706-AO1706</x:f>
        <x:v>0</x:v>
      </x:c>
      <x:c r="AQ1706" s="32" t="n">
        <x:f>AM1706+AO1706</x:f>
        <x:v>0</x:v>
      </x:c>
      <x:c r="AR1706" s="10" t="n">
        <x:f>IF(H1706=1,INDEX(v01_Req,G1706),0)</x:f>
        <x:v>0</x:v>
      </x:c>
      <x:c r="AS1706" s="32" t="n">
        <x:f>IF(H1706=1,IF(E1706=1,AS1705-AR1705,AS1705)+AQ1706,0)</x:f>
        <x:v>0</x:v>
      </x:c>
      <x:c r="AT1706" s="11" t="n">
        <x:f>IF(AR1706&gt;0,MIN(1,AS1706/AR1706),1)</x:f>
        <x:v>1</x:v>
      </x:c>
      <x:c r="AU1706" s="10" t="n">
        <x:f>AB1706/INDEX(v01_RepScale,G1706)</x:f>
        <x:v>90.09519605746344</x:v>
      </x:c>
      <x:c r="AV1706" s="32" t="n">
        <x:f>AM1706*60/v01_SeasonSeconds</x:f>
        <x:v>0</x:v>
      </x:c>
    </x:row>
    <x:row r="1707">
      <x:c r="A1707" s="8" t="n">
        <x:f>A1706+1</x:f>
        <x:v>1704</x:v>
      </x:c>
      <x:c r="B1707" s="9" t="n">
        <x:f>A1707*v01_SeasonSeconds/60</x:f>
        <x:v>426</x:v>
      </x:c>
      <x:c r="C1707" s="9" t="n">
        <x:f>A1707/4</x:f>
        <x:v>426</x:v>
      </x:c>
      <x:c r="D1707" s="8" t="n">
        <x:f>IF(MOD(A1707,4)=0,1,0)</x:f>
        <x:v>1</x:v>
      </x:c>
      <x:c r="E1707" s="8" t="n">
        <x:f>IF(AND(F1706&lt;=9,AS1706&gt;=AR1706),1,0)</x:f>
        <x:v>0</x:v>
      </x:c>
      <x:c r="F1707" s="8" t="n">
        <x:f>MIN(10,F1706+E1707)</x:f>
        <x:v>10</x:v>
      </x:c>
      <x:c r="G1707" s="8" t="n">
        <x:f>MIN(F1707,9)+1</x:f>
        <x:v>10</x:v>
      </x:c>
      <x:c r="H1707" s="8" t="n">
        <x:f>IF(F1707&lt;=9,1,0)</x:f>
        <x:v>0</x:v>
      </x:c>
      <x:c r="I1707" s="9" t="n">
        <x:f>MIN(10,F1706+IF(AR1706&gt;0,MIN(1,AS1706/AR1706),1))</x:f>
        <x:v>10</x:v>
      </x:c>
      <x:c r="J1707" s="32" t="n">
        <x:f>INDEX(v01_FoodCap,G1707)*Arch_FoodCap*EXP(v01_CapsByProject*SUMPRODUCT((Cap_Point&lt;=I1707)*(Cap_Kind="Food")*Cap_Ln))</x:f>
        <x:v>12000</x:v>
      </x:c>
      <x:c r="K1707" s="32" t="n">
        <x:f>J1707*MIN(1,v01_LeanBase*EXP(v01_CapsByProject*SUMPRODUCT((Cap_Point&lt;=I1707)*(Cap_Kind="Lean")*Cap_Ln)))</x:f>
        <x:v>12000</x:v>
      </x:c>
      <x:c r="L1707" s="10" t="n">
        <x:f>INDEX(v01_HousingCap,G1707)*EXP(v01_CapsByProject*SUMPRODUCT((Cap_Point&lt;=I1707)*(Cap_Kind="Housing")*Cap_Ln))</x:f>
        <x:v>20000</x:v>
      </x:c>
      <x:c r="M1707" s="10" t="n">
        <x:f>INDEX(v01_GroupCap,G1707)*v01_CohesionFactor*EXP(v01_CapsByProject*SUMPRODUCT((Cap_Point&lt;=I1707)*(Cap_Kind="Group")*Cap_Ln))</x:f>
        <x:v>1000000</x:v>
      </x:c>
      <x:c r="N1707" s="32" t="n">
        <x:f>MIN(J1707,L1707,M1707)</x:f>
        <x:v>12000</x:v>
      </x:c>
      <x:c r="O1707" s="10" t="n">
        <x:f>AE1706*N1707</x:f>
        <x:v>180000</x:v>
      </x:c>
      <x:c r="P1707" s="9" t="n">
        <x:f>MIN(1,(AB1706/(AE1706*IF(v01_GroupInCrowding=1,N1707,MIN(J1707,L1707))))^v01_CrowdingExp)</x:f>
        <x:v>0.00024569414295285325</x:v>
      </x:c>
      <x:c r="Q1707" s="9" t="n">
        <x:f>IF(D1707=1,INDEX(v01_WinterMult,G1707),1)</x:f>
        <x:v>1</x:v>
      </x:c>
      <x:c r="R1707" s="9" t="n">
        <x:f>H1707*Z1706*v01_WomenShare*v01_BaseFertility*INDEX(v01_FertMult,G1707)*Arch_Fertility*(1-P1707)</x:f>
        <x:v>0</x:v>
      </x:c>
      <x:c r="S1707" s="9" t="n">
        <x:f>H1707*Y1706*INDEX(v01_MortChild,G1707)/4*Q1707</x:f>
        <x:v>0</x:v>
      </x:c>
      <x:c r="T1707" s="9" t="n">
        <x:f>H1707*Z1706*INDEX(v01_MortAdult,G1707)*Arch_AdultMort/4*Q1707</x:f>
        <x:v>0</x:v>
      </x:c>
      <x:c r="U1707" s="9" t="n">
        <x:f>H1707*AA1706*INDEX(v01_MortElder,G1707)/4*Q1707</x:f>
        <x:v>0</x:v>
      </x:c>
      <x:c r="V1707" s="9" t="n">
        <x:f>H1707*MAX(0,AB1706-O1707)*v01_OvercapLoss</x:f>
        <x:v>0</x:v>
      </x:c>
      <x:c r="W1707" s="9" t="n">
        <x:f>H1707*Y1706/(v01_ChildYears*4)</x:f>
        <x:v>0</x:v>
      </x:c>
      <x:c r="X1707" s="9" t="n">
        <x:f>H1707*Z1706/(v01_AdultYears*4)</x:f>
        <x:v>0</x:v>
      </x:c>
      <x:c r="Y1707" s="32" t="n">
        <x:f>Y1706+R1707-S1707-W1707-Y1706*V1707/AB1706</x:f>
        <x:v>14306.18539759397</x:v>
      </x:c>
      <x:c r="Z1707" s="32" t="n">
        <x:f>Z1706+W1707-X1707-T1707-Z1706*V1707/AB1706</x:f>
        <x:v>19354.456567879548</x:v>
      </x:c>
      <x:c r="AA1707" s="32" t="n">
        <x:f>AA1706+X1707-U1707-AA1706*V1707/AB1706</x:f>
        <x:v>11386.956063258198</x:v>
      </x:c>
      <x:c r="AB1707" s="10" t="n">
        <x:f>Y1707+Z1707+AA1707</x:f>
        <x:v>45047.59802873172</x:v>
      </x:c>
      <x:c r="AC1707" s="8" t="n">
        <x:f>IF(AND(v01_WinterTrigger=1,D1707=1,AB1706/AE1706&gt;=K1707),1,0)</x:f>
        <x:v>0</x:v>
      </x:c>
      <x:c r="AD1707" s="8" t="n">
        <x:f>H1707*IF(AND(OR(AB1706/AE1706&gt;=v01_FissionTrigger*N1707,AC1707=1),AB1706/AE1706*v01_DaughterShare&gt;=v01_MinDaughter),MAX(1,ROUND(AE1706*v01_FissionRate,0)),0)</x:f>
        <x:v>0</x:v>
      </x:c>
      <x:c r="AE1707" s="8" t="n">
        <x:f>IF(H1707=1,MAX(1,MIN(INDEX(v01_Smax,G1707),AE1706+AD1707)),AE1706)</x:f>
        <x:v>15</x:v>
      </x:c>
      <x:c r="AF1707" s="8" t="n">
        <x:f>MAX(0,AE1707-AE1706)</x:f>
        <x:v>0</x:v>
      </x:c>
      <x:c r="AG1707" s="9" t="str">
        <x:f>IF(AF1707&gt;0,B1707,"")</x:f>
      </x:c>
      <x:c r="AH1707" s="9" t="n">
        <x:f>IF(F1707&gt;=1,1,(1+v01_LowTiesShare*(AE1707-1))/AE1707)</x:f>
        <x:v>1</x:v>
      </x:c>
      <x:c r="AI1707" s="32" t="n">
        <x:f>(Z1707+v01_ElderCommons*INDEX(LM_Elder,G1707)*AA1707)*AH1707</x:f>
        <x:v>64139.732591141874</x:v>
      </x:c>
      <x:c r="AJ1707" s="32" t="n">
        <x:f>H1707*v01_CommonsCoef*AI1707^v01_CommonsExp*INDEX(LM_Commons,G1707)</x:f>
        <x:v>0</x:v>
      </x:c>
      <x:c r="AK1707" s="32" t="n">
        <x:f>H1707*v01_RoleScale*Arch_Roles*(AE1707*(INDEX(v01_ElderRolePerSett,G1707)*v01_OutElder*INDEX(LM_Elder,G1707)+INDEX(v01_ShamanPerSett,G1707)*v01_OutShaman)+Z1707*(INDEX(v01_PriestShare,G1707)*v01_OutPriest+INDEX(v01_ScribeShare,G1707)*v01_OutScribe*INDEX(LM_Scribe,G1707)+INDEX(v01_ScholarShare,G1707)*v01_OutScholar*INDEX(LM_Scholar,G1707)+INDEX(v01_ResearcherShare,G1707)*v01_OutResearcher*INDEX(LM_Researcher,G1707)))</x:f>
        <x:v>0</x:v>
      </x:c>
      <x:c r="AL1707" s="32" t="n">
        <x:f>H1707*v01_RoleScale*Arch_Roles*AE1707*INDEX(v01_MonasteryPerSett,G1707)*v01_OutMonastery*INDEX(LM_Monastery,G1707)</x:f>
        <x:v>0</x:v>
      </x:c>
      <x:c r="AM1707" s="32" t="n">
        <x:f>(AJ1707+AK1707+AL1707)/4*INDEX(LM_All,G1707)*INDEX(v01_Boon,G1707)*Arch_Insight</x:f>
        <x:v>0</x:v>
      </x:c>
      <x:c r="AN1707" s="32" t="n">
        <x:f>H1707*(v01_KHPerAdult*Z1707+v01_KHOfCommons*AJ1707/4*INDEX(LM_All,G1707))*v01_KHUsable*Arch_KH</x:f>
        <x:v>0</x:v>
      </x:c>
      <x:c r="AO1707" s="32" t="n">
        <x:f>MIN(AP1706+AN1707,AM1707*v01_KHMaxRatio)</x:f>
        <x:v>0</x:v>
      </x:c>
      <x:c r="AP1707" s="32" t="n">
        <x:f>AP1706+AN1707-AO1707</x:f>
        <x:v>0</x:v>
      </x:c>
      <x:c r="AQ1707" s="32" t="n">
        <x:f>AM1707+AO1707</x:f>
        <x:v>0</x:v>
      </x:c>
      <x:c r="AR1707" s="10" t="n">
        <x:f>IF(H1707=1,INDEX(v01_Req,G1707),0)</x:f>
        <x:v>0</x:v>
      </x:c>
      <x:c r="AS1707" s="32" t="n">
        <x:f>IF(H1707=1,IF(E1707=1,AS1706-AR1706,AS1706)+AQ1707,0)</x:f>
        <x:v>0</x:v>
      </x:c>
      <x:c r="AT1707" s="11" t="n">
        <x:f>IF(AR1707&gt;0,MIN(1,AS1707/AR1707),1)</x:f>
        <x:v>1</x:v>
      </x:c>
      <x:c r="AU1707" s="10" t="n">
        <x:f>AB1707/INDEX(v01_RepScale,G1707)</x:f>
        <x:v>90.09519605746344</x:v>
      </x:c>
      <x:c r="AV1707" s="32" t="n">
        <x:f>AM1707*60/v01_SeasonSeconds</x:f>
        <x:v>0</x:v>
      </x:c>
    </x:row>
    <x:row r="1708">
      <x:c r="A1708" s="8" t="n">
        <x:f>A1707+1</x:f>
        <x:v>1705</x:v>
      </x:c>
      <x:c r="B1708" s="9" t="n">
        <x:f>A1708*v01_SeasonSeconds/60</x:f>
        <x:v>426.25</x:v>
      </x:c>
      <x:c r="C1708" s="9" t="n">
        <x:f>A1708/4</x:f>
        <x:v>426.25</x:v>
      </x:c>
      <x:c r="D1708" s="8" t="n">
        <x:f>IF(MOD(A1708,4)=0,1,0)</x:f>
        <x:v>0</x:v>
      </x:c>
      <x:c r="E1708" s="8" t="n">
        <x:f>IF(AND(F1707&lt;=9,AS1707&gt;=AR1707),1,0)</x:f>
        <x:v>0</x:v>
      </x:c>
      <x:c r="F1708" s="8" t="n">
        <x:f>MIN(10,F1707+E1708)</x:f>
        <x:v>10</x:v>
      </x:c>
      <x:c r="G1708" s="8" t="n">
        <x:f>MIN(F1708,9)+1</x:f>
        <x:v>10</x:v>
      </x:c>
      <x:c r="H1708" s="8" t="n">
        <x:f>IF(F1708&lt;=9,1,0)</x:f>
        <x:v>0</x:v>
      </x:c>
      <x:c r="I1708" s="9" t="n">
        <x:f>MIN(10,F1707+IF(AR1707&gt;0,MIN(1,AS1707/AR1707),1))</x:f>
        <x:v>10</x:v>
      </x:c>
      <x:c r="J1708" s="32" t="n">
        <x:f>INDEX(v01_FoodCap,G1708)*Arch_FoodCap*EXP(v01_CapsByProject*SUMPRODUCT((Cap_Point&lt;=I1708)*(Cap_Kind="Food")*Cap_Ln))</x:f>
        <x:v>12000</x:v>
      </x:c>
      <x:c r="K1708" s="32" t="n">
        <x:f>J1708*MIN(1,v01_LeanBase*EXP(v01_CapsByProject*SUMPRODUCT((Cap_Point&lt;=I1708)*(Cap_Kind="Lean")*Cap_Ln)))</x:f>
        <x:v>12000</x:v>
      </x:c>
      <x:c r="L1708" s="10" t="n">
        <x:f>INDEX(v01_HousingCap,G1708)*EXP(v01_CapsByProject*SUMPRODUCT((Cap_Point&lt;=I1708)*(Cap_Kind="Housing")*Cap_Ln))</x:f>
        <x:v>20000</x:v>
      </x:c>
      <x:c r="M1708" s="10" t="n">
        <x:f>INDEX(v01_GroupCap,G1708)*v01_CohesionFactor*EXP(v01_CapsByProject*SUMPRODUCT((Cap_Point&lt;=I1708)*(Cap_Kind="Group")*Cap_Ln))</x:f>
        <x:v>1000000</x:v>
      </x:c>
      <x:c r="N1708" s="32" t="n">
        <x:f>MIN(J1708,L1708,M1708)</x:f>
        <x:v>12000</x:v>
      </x:c>
      <x:c r="O1708" s="10" t="n">
        <x:f>AE1707*N1708</x:f>
        <x:v>180000</x:v>
      </x:c>
      <x:c r="P1708" s="9" t="n">
        <x:f>MIN(1,(AB1707/(AE1707*IF(v01_GroupInCrowding=1,N1708,MIN(J1708,L1708))))^v01_CrowdingExp)</x:f>
        <x:v>0.00024569414295285325</x:v>
      </x:c>
      <x:c r="Q1708" s="9" t="n">
        <x:f>IF(D1708=1,INDEX(v01_WinterMult,G1708),1)</x:f>
        <x:v>1</x:v>
      </x:c>
      <x:c r="R1708" s="9" t="n">
        <x:f>H1708*Z1707*v01_WomenShare*v01_BaseFertility*INDEX(v01_FertMult,G1708)*Arch_Fertility*(1-P1708)</x:f>
        <x:v>0</x:v>
      </x:c>
      <x:c r="S1708" s="9" t="n">
        <x:f>H1708*Y1707*INDEX(v01_MortChild,G1708)/4*Q1708</x:f>
        <x:v>0</x:v>
      </x:c>
      <x:c r="T1708" s="9" t="n">
        <x:f>H1708*Z1707*INDEX(v01_MortAdult,G1708)*Arch_AdultMort/4*Q1708</x:f>
        <x:v>0</x:v>
      </x:c>
      <x:c r="U1708" s="9" t="n">
        <x:f>H1708*AA1707*INDEX(v01_MortElder,G1708)/4*Q1708</x:f>
        <x:v>0</x:v>
      </x:c>
      <x:c r="V1708" s="9" t="n">
        <x:f>H1708*MAX(0,AB1707-O1708)*v01_OvercapLoss</x:f>
        <x:v>0</x:v>
      </x:c>
      <x:c r="W1708" s="9" t="n">
        <x:f>H1708*Y1707/(v01_ChildYears*4)</x:f>
        <x:v>0</x:v>
      </x:c>
      <x:c r="X1708" s="9" t="n">
        <x:f>H1708*Z1707/(v01_AdultYears*4)</x:f>
        <x:v>0</x:v>
      </x:c>
      <x:c r="Y1708" s="32" t="n">
        <x:f>Y1707+R1708-S1708-W1708-Y1707*V1708/AB1707</x:f>
        <x:v>14306.18539759397</x:v>
      </x:c>
      <x:c r="Z1708" s="32" t="n">
        <x:f>Z1707+W1708-X1708-T1708-Z1707*V1708/AB1707</x:f>
        <x:v>19354.456567879548</x:v>
      </x:c>
      <x:c r="AA1708" s="32" t="n">
        <x:f>AA1707+X1708-U1708-AA1707*V1708/AB1707</x:f>
        <x:v>11386.956063258198</x:v>
      </x:c>
      <x:c r="AB1708" s="10" t="n">
        <x:f>Y1708+Z1708+AA1708</x:f>
        <x:v>45047.59802873172</x:v>
      </x:c>
      <x:c r="AC1708" s="8" t="n">
        <x:f>IF(AND(v01_WinterTrigger=1,D1708=1,AB1707/AE1707&gt;=K1708),1,0)</x:f>
        <x:v>0</x:v>
      </x:c>
      <x:c r="AD1708" s="8" t="n">
        <x:f>H1708*IF(AND(OR(AB1707/AE1707&gt;=v01_FissionTrigger*N1708,AC1708=1),AB1707/AE1707*v01_DaughterShare&gt;=v01_MinDaughter),MAX(1,ROUND(AE1707*v01_FissionRate,0)),0)</x:f>
        <x:v>0</x:v>
      </x:c>
      <x:c r="AE1708" s="8" t="n">
        <x:f>IF(H1708=1,MAX(1,MIN(INDEX(v01_Smax,G1708),AE1707+AD1708)),AE1707)</x:f>
        <x:v>15</x:v>
      </x:c>
      <x:c r="AF1708" s="8" t="n">
        <x:f>MAX(0,AE1708-AE1707)</x:f>
        <x:v>0</x:v>
      </x:c>
      <x:c r="AG1708" s="9" t="str">
        <x:f>IF(AF1708&gt;0,B1708,"")</x:f>
      </x:c>
      <x:c r="AH1708" s="9" t="n">
        <x:f>IF(F1708&gt;=1,1,(1+v01_LowTiesShare*(AE1708-1))/AE1708)</x:f>
        <x:v>1</x:v>
      </x:c>
      <x:c r="AI1708" s="32" t="n">
        <x:f>(Z1708+v01_ElderCommons*INDEX(LM_Elder,G1708)*AA1708)*AH1708</x:f>
        <x:v>64139.732591141874</x:v>
      </x:c>
      <x:c r="AJ1708" s="32" t="n">
        <x:f>H1708*v01_CommonsCoef*AI1708^v01_CommonsExp*INDEX(LM_Commons,G1708)</x:f>
        <x:v>0</x:v>
      </x:c>
      <x:c r="AK1708" s="32" t="n">
        <x:f>H1708*v01_RoleScale*Arch_Roles*(AE1708*(INDEX(v01_ElderRolePerSett,G1708)*v01_OutElder*INDEX(LM_Elder,G1708)+INDEX(v01_ShamanPerSett,G1708)*v01_OutShaman)+Z1708*(INDEX(v01_PriestShare,G1708)*v01_OutPriest+INDEX(v01_ScribeShare,G1708)*v01_OutScribe*INDEX(LM_Scribe,G1708)+INDEX(v01_ScholarShare,G1708)*v01_OutScholar*INDEX(LM_Scholar,G1708)+INDEX(v01_ResearcherShare,G1708)*v01_OutResearcher*INDEX(LM_Researcher,G1708)))</x:f>
        <x:v>0</x:v>
      </x:c>
      <x:c r="AL1708" s="32" t="n">
        <x:f>H1708*v01_RoleScale*Arch_Roles*AE1708*INDEX(v01_MonasteryPerSett,G1708)*v01_OutMonastery*INDEX(LM_Monastery,G1708)</x:f>
        <x:v>0</x:v>
      </x:c>
      <x:c r="AM1708" s="32" t="n">
        <x:f>(AJ1708+AK1708+AL1708)/4*INDEX(LM_All,G1708)*INDEX(v01_Boon,G1708)*Arch_Insight</x:f>
        <x:v>0</x:v>
      </x:c>
      <x:c r="AN1708" s="32" t="n">
        <x:f>H1708*(v01_KHPerAdult*Z1708+v01_KHOfCommons*AJ1708/4*INDEX(LM_All,G1708))*v01_KHUsable*Arch_KH</x:f>
        <x:v>0</x:v>
      </x:c>
      <x:c r="AO1708" s="32" t="n">
        <x:f>MIN(AP1707+AN1708,AM1708*v01_KHMaxRatio)</x:f>
        <x:v>0</x:v>
      </x:c>
      <x:c r="AP1708" s="32" t="n">
        <x:f>AP1707+AN1708-AO1708</x:f>
        <x:v>0</x:v>
      </x:c>
      <x:c r="AQ1708" s="32" t="n">
        <x:f>AM1708+AO1708</x:f>
        <x:v>0</x:v>
      </x:c>
      <x:c r="AR1708" s="10" t="n">
        <x:f>IF(H1708=1,INDEX(v01_Req,G1708),0)</x:f>
        <x:v>0</x:v>
      </x:c>
      <x:c r="AS1708" s="32" t="n">
        <x:f>IF(H1708=1,IF(E1708=1,AS1707-AR1707,AS1707)+AQ1708,0)</x:f>
        <x:v>0</x:v>
      </x:c>
      <x:c r="AT1708" s="11" t="n">
        <x:f>IF(AR1708&gt;0,MIN(1,AS1708/AR1708),1)</x:f>
        <x:v>1</x:v>
      </x:c>
      <x:c r="AU1708" s="10" t="n">
        <x:f>AB1708/INDEX(v01_RepScale,G1708)</x:f>
        <x:v>90.09519605746344</x:v>
      </x:c>
      <x:c r="AV1708" s="32" t="n">
        <x:f>AM1708*60/v01_SeasonSeconds</x:f>
        <x:v>0</x:v>
      </x:c>
    </x:row>
    <x:row r="1709">
      <x:c r="A1709" s="8" t="n">
        <x:f>A1708+1</x:f>
        <x:v>1706</x:v>
      </x:c>
      <x:c r="B1709" s="9" t="n">
        <x:f>A1709*v01_SeasonSeconds/60</x:f>
        <x:v>426.5</x:v>
      </x:c>
      <x:c r="C1709" s="9" t="n">
        <x:f>A1709/4</x:f>
        <x:v>426.5</x:v>
      </x:c>
      <x:c r="D1709" s="8" t="n">
        <x:f>IF(MOD(A1709,4)=0,1,0)</x:f>
        <x:v>0</x:v>
      </x:c>
      <x:c r="E1709" s="8" t="n">
        <x:f>IF(AND(F1708&lt;=9,AS1708&gt;=AR1708),1,0)</x:f>
        <x:v>0</x:v>
      </x:c>
      <x:c r="F1709" s="8" t="n">
        <x:f>MIN(10,F1708+E1709)</x:f>
        <x:v>10</x:v>
      </x:c>
      <x:c r="G1709" s="8" t="n">
        <x:f>MIN(F1709,9)+1</x:f>
        <x:v>10</x:v>
      </x:c>
      <x:c r="H1709" s="8" t="n">
        <x:f>IF(F1709&lt;=9,1,0)</x:f>
        <x:v>0</x:v>
      </x:c>
      <x:c r="I1709" s="9" t="n">
        <x:f>MIN(10,F1708+IF(AR1708&gt;0,MIN(1,AS1708/AR1708),1))</x:f>
        <x:v>10</x:v>
      </x:c>
      <x:c r="J1709" s="32" t="n">
        <x:f>INDEX(v01_FoodCap,G1709)*Arch_FoodCap*EXP(v01_CapsByProject*SUMPRODUCT((Cap_Point&lt;=I1709)*(Cap_Kind="Food")*Cap_Ln))</x:f>
        <x:v>12000</x:v>
      </x:c>
      <x:c r="K1709" s="32" t="n">
        <x:f>J1709*MIN(1,v01_LeanBase*EXP(v01_CapsByProject*SUMPRODUCT((Cap_Point&lt;=I1709)*(Cap_Kind="Lean")*Cap_Ln)))</x:f>
        <x:v>12000</x:v>
      </x:c>
      <x:c r="L1709" s="10" t="n">
        <x:f>INDEX(v01_HousingCap,G1709)*EXP(v01_CapsByProject*SUMPRODUCT((Cap_Point&lt;=I1709)*(Cap_Kind="Housing")*Cap_Ln))</x:f>
        <x:v>20000</x:v>
      </x:c>
      <x:c r="M1709" s="10" t="n">
        <x:f>INDEX(v01_GroupCap,G1709)*v01_CohesionFactor*EXP(v01_CapsByProject*SUMPRODUCT((Cap_Point&lt;=I1709)*(Cap_Kind="Group")*Cap_Ln))</x:f>
        <x:v>1000000</x:v>
      </x:c>
      <x:c r="N1709" s="32" t="n">
        <x:f>MIN(J1709,L1709,M1709)</x:f>
        <x:v>12000</x:v>
      </x:c>
      <x:c r="O1709" s="10" t="n">
        <x:f>AE1708*N1709</x:f>
        <x:v>180000</x:v>
      </x:c>
      <x:c r="P1709" s="9" t="n">
        <x:f>MIN(1,(AB1708/(AE1708*IF(v01_GroupInCrowding=1,N1709,MIN(J1709,L1709))))^v01_CrowdingExp)</x:f>
        <x:v>0.00024569414295285325</x:v>
      </x:c>
      <x:c r="Q1709" s="9" t="n">
        <x:f>IF(D1709=1,INDEX(v01_WinterMult,G1709),1)</x:f>
        <x:v>1</x:v>
      </x:c>
      <x:c r="R1709" s="9" t="n">
        <x:f>H1709*Z1708*v01_WomenShare*v01_BaseFertility*INDEX(v01_FertMult,G1709)*Arch_Fertility*(1-P1709)</x:f>
        <x:v>0</x:v>
      </x:c>
      <x:c r="S1709" s="9" t="n">
        <x:f>H1709*Y1708*INDEX(v01_MortChild,G1709)/4*Q1709</x:f>
        <x:v>0</x:v>
      </x:c>
      <x:c r="T1709" s="9" t="n">
        <x:f>H1709*Z1708*INDEX(v01_MortAdult,G1709)*Arch_AdultMort/4*Q1709</x:f>
        <x:v>0</x:v>
      </x:c>
      <x:c r="U1709" s="9" t="n">
        <x:f>H1709*AA1708*INDEX(v01_MortElder,G1709)/4*Q1709</x:f>
        <x:v>0</x:v>
      </x:c>
      <x:c r="V1709" s="9" t="n">
        <x:f>H1709*MAX(0,AB1708-O1709)*v01_OvercapLoss</x:f>
        <x:v>0</x:v>
      </x:c>
      <x:c r="W1709" s="9" t="n">
        <x:f>H1709*Y1708/(v01_ChildYears*4)</x:f>
        <x:v>0</x:v>
      </x:c>
      <x:c r="X1709" s="9" t="n">
        <x:f>H1709*Z1708/(v01_AdultYears*4)</x:f>
        <x:v>0</x:v>
      </x:c>
      <x:c r="Y1709" s="32" t="n">
        <x:f>Y1708+R1709-S1709-W1709-Y1708*V1709/AB1708</x:f>
        <x:v>14306.18539759397</x:v>
      </x:c>
      <x:c r="Z1709" s="32" t="n">
        <x:f>Z1708+W1709-X1709-T1709-Z1708*V1709/AB1708</x:f>
        <x:v>19354.456567879548</x:v>
      </x:c>
      <x:c r="AA1709" s="32" t="n">
        <x:f>AA1708+X1709-U1709-AA1708*V1709/AB1708</x:f>
        <x:v>11386.956063258198</x:v>
      </x:c>
      <x:c r="AB1709" s="10" t="n">
        <x:f>Y1709+Z1709+AA1709</x:f>
        <x:v>45047.59802873172</x:v>
      </x:c>
      <x:c r="AC1709" s="8" t="n">
        <x:f>IF(AND(v01_WinterTrigger=1,D1709=1,AB1708/AE1708&gt;=K1709),1,0)</x:f>
        <x:v>0</x:v>
      </x:c>
      <x:c r="AD1709" s="8" t="n">
        <x:f>H1709*IF(AND(OR(AB1708/AE1708&gt;=v01_FissionTrigger*N1709,AC1709=1),AB1708/AE1708*v01_DaughterShare&gt;=v01_MinDaughter),MAX(1,ROUND(AE1708*v01_FissionRate,0)),0)</x:f>
        <x:v>0</x:v>
      </x:c>
      <x:c r="AE1709" s="8" t="n">
        <x:f>IF(H1709=1,MAX(1,MIN(INDEX(v01_Smax,G1709),AE1708+AD1709)),AE1708)</x:f>
        <x:v>15</x:v>
      </x:c>
      <x:c r="AF1709" s="8" t="n">
        <x:f>MAX(0,AE1709-AE1708)</x:f>
        <x:v>0</x:v>
      </x:c>
      <x:c r="AG1709" s="9" t="str">
        <x:f>IF(AF1709&gt;0,B1709,"")</x:f>
      </x:c>
      <x:c r="AH1709" s="9" t="n">
        <x:f>IF(F1709&gt;=1,1,(1+v01_LowTiesShare*(AE1709-1))/AE1709)</x:f>
        <x:v>1</x:v>
      </x:c>
      <x:c r="AI1709" s="32" t="n">
        <x:f>(Z1709+v01_ElderCommons*INDEX(LM_Elder,G1709)*AA1709)*AH1709</x:f>
        <x:v>64139.732591141874</x:v>
      </x:c>
      <x:c r="AJ1709" s="32" t="n">
        <x:f>H1709*v01_CommonsCoef*AI1709^v01_CommonsExp*INDEX(LM_Commons,G1709)</x:f>
        <x:v>0</x:v>
      </x:c>
      <x:c r="AK1709" s="32" t="n">
        <x:f>H1709*v01_RoleScale*Arch_Roles*(AE1709*(INDEX(v01_ElderRolePerSett,G1709)*v01_OutElder*INDEX(LM_Elder,G1709)+INDEX(v01_ShamanPerSett,G1709)*v01_OutShaman)+Z1709*(INDEX(v01_PriestShare,G1709)*v01_OutPriest+INDEX(v01_ScribeShare,G1709)*v01_OutScribe*INDEX(LM_Scribe,G1709)+INDEX(v01_ScholarShare,G1709)*v01_OutScholar*INDEX(LM_Scholar,G1709)+INDEX(v01_ResearcherShare,G1709)*v01_OutResearcher*INDEX(LM_Researcher,G1709)))</x:f>
        <x:v>0</x:v>
      </x:c>
      <x:c r="AL1709" s="32" t="n">
        <x:f>H1709*v01_RoleScale*Arch_Roles*AE1709*INDEX(v01_MonasteryPerSett,G1709)*v01_OutMonastery*INDEX(LM_Monastery,G1709)</x:f>
        <x:v>0</x:v>
      </x:c>
      <x:c r="AM1709" s="32" t="n">
        <x:f>(AJ1709+AK1709+AL1709)/4*INDEX(LM_All,G1709)*INDEX(v01_Boon,G1709)*Arch_Insight</x:f>
        <x:v>0</x:v>
      </x:c>
      <x:c r="AN1709" s="32" t="n">
        <x:f>H1709*(v01_KHPerAdult*Z1709+v01_KHOfCommons*AJ1709/4*INDEX(LM_All,G1709))*v01_KHUsable*Arch_KH</x:f>
        <x:v>0</x:v>
      </x:c>
      <x:c r="AO1709" s="32" t="n">
        <x:f>MIN(AP1708+AN1709,AM1709*v01_KHMaxRatio)</x:f>
        <x:v>0</x:v>
      </x:c>
      <x:c r="AP1709" s="32" t="n">
        <x:f>AP1708+AN1709-AO1709</x:f>
        <x:v>0</x:v>
      </x:c>
      <x:c r="AQ1709" s="32" t="n">
        <x:f>AM1709+AO1709</x:f>
        <x:v>0</x:v>
      </x:c>
      <x:c r="AR1709" s="10" t="n">
        <x:f>IF(H1709=1,INDEX(v01_Req,G1709),0)</x:f>
        <x:v>0</x:v>
      </x:c>
      <x:c r="AS1709" s="32" t="n">
        <x:f>IF(H1709=1,IF(E1709=1,AS1708-AR1708,AS1708)+AQ1709,0)</x:f>
        <x:v>0</x:v>
      </x:c>
      <x:c r="AT1709" s="11" t="n">
        <x:f>IF(AR1709&gt;0,MIN(1,AS1709/AR1709),1)</x:f>
        <x:v>1</x:v>
      </x:c>
      <x:c r="AU1709" s="10" t="n">
        <x:f>AB1709/INDEX(v01_RepScale,G1709)</x:f>
        <x:v>90.09519605746344</x:v>
      </x:c>
      <x:c r="AV1709" s="32" t="n">
        <x:f>AM1709*60/v01_SeasonSeconds</x:f>
        <x:v>0</x:v>
      </x:c>
    </x:row>
    <x:row r="1710">
      <x:c r="A1710" s="8" t="n">
        <x:f>A1709+1</x:f>
        <x:v>1707</x:v>
      </x:c>
      <x:c r="B1710" s="9" t="n">
        <x:f>A1710*v01_SeasonSeconds/60</x:f>
        <x:v>426.75</x:v>
      </x:c>
      <x:c r="C1710" s="9" t="n">
        <x:f>A1710/4</x:f>
        <x:v>426.75</x:v>
      </x:c>
      <x:c r="D1710" s="8" t="n">
        <x:f>IF(MOD(A1710,4)=0,1,0)</x:f>
        <x:v>0</x:v>
      </x:c>
      <x:c r="E1710" s="8" t="n">
        <x:f>IF(AND(F1709&lt;=9,AS1709&gt;=AR1709),1,0)</x:f>
        <x:v>0</x:v>
      </x:c>
      <x:c r="F1710" s="8" t="n">
        <x:f>MIN(10,F1709+E1710)</x:f>
        <x:v>10</x:v>
      </x:c>
      <x:c r="G1710" s="8" t="n">
        <x:f>MIN(F1710,9)+1</x:f>
        <x:v>10</x:v>
      </x:c>
      <x:c r="H1710" s="8" t="n">
        <x:f>IF(F1710&lt;=9,1,0)</x:f>
        <x:v>0</x:v>
      </x:c>
      <x:c r="I1710" s="9" t="n">
        <x:f>MIN(10,F1709+IF(AR1709&gt;0,MIN(1,AS1709/AR1709),1))</x:f>
        <x:v>10</x:v>
      </x:c>
      <x:c r="J1710" s="32" t="n">
        <x:f>INDEX(v01_FoodCap,G1710)*Arch_FoodCap*EXP(v01_CapsByProject*SUMPRODUCT((Cap_Point&lt;=I1710)*(Cap_Kind="Food")*Cap_Ln))</x:f>
        <x:v>12000</x:v>
      </x:c>
      <x:c r="K1710" s="32" t="n">
        <x:f>J1710*MIN(1,v01_LeanBase*EXP(v01_CapsByProject*SUMPRODUCT((Cap_Point&lt;=I1710)*(Cap_Kind="Lean")*Cap_Ln)))</x:f>
        <x:v>12000</x:v>
      </x:c>
      <x:c r="L1710" s="10" t="n">
        <x:f>INDEX(v01_HousingCap,G1710)*EXP(v01_CapsByProject*SUMPRODUCT((Cap_Point&lt;=I1710)*(Cap_Kind="Housing")*Cap_Ln))</x:f>
        <x:v>20000</x:v>
      </x:c>
      <x:c r="M1710" s="10" t="n">
        <x:f>INDEX(v01_GroupCap,G1710)*v01_CohesionFactor*EXP(v01_CapsByProject*SUMPRODUCT((Cap_Point&lt;=I1710)*(Cap_Kind="Group")*Cap_Ln))</x:f>
        <x:v>1000000</x:v>
      </x:c>
      <x:c r="N1710" s="32" t="n">
        <x:f>MIN(J1710,L1710,M1710)</x:f>
        <x:v>12000</x:v>
      </x:c>
      <x:c r="O1710" s="10" t="n">
        <x:f>AE1709*N1710</x:f>
        <x:v>180000</x:v>
      </x:c>
      <x:c r="P1710" s="9" t="n">
        <x:f>MIN(1,(AB1709/(AE1709*IF(v01_GroupInCrowding=1,N1710,MIN(J1710,L1710))))^v01_CrowdingExp)</x:f>
        <x:v>0.00024569414295285325</x:v>
      </x:c>
      <x:c r="Q1710" s="9" t="n">
        <x:f>IF(D1710=1,INDEX(v01_WinterMult,G1710),1)</x:f>
        <x:v>1</x:v>
      </x:c>
      <x:c r="R1710" s="9" t="n">
        <x:f>H1710*Z1709*v01_WomenShare*v01_BaseFertility*INDEX(v01_FertMult,G1710)*Arch_Fertility*(1-P1710)</x:f>
        <x:v>0</x:v>
      </x:c>
      <x:c r="S1710" s="9" t="n">
        <x:f>H1710*Y1709*INDEX(v01_MortChild,G1710)/4*Q1710</x:f>
        <x:v>0</x:v>
      </x:c>
      <x:c r="T1710" s="9" t="n">
        <x:f>H1710*Z1709*INDEX(v01_MortAdult,G1710)*Arch_AdultMort/4*Q1710</x:f>
        <x:v>0</x:v>
      </x:c>
      <x:c r="U1710" s="9" t="n">
        <x:f>H1710*AA1709*INDEX(v01_MortElder,G1710)/4*Q1710</x:f>
        <x:v>0</x:v>
      </x:c>
      <x:c r="V1710" s="9" t="n">
        <x:f>H1710*MAX(0,AB1709-O1710)*v01_OvercapLoss</x:f>
        <x:v>0</x:v>
      </x:c>
      <x:c r="W1710" s="9" t="n">
        <x:f>H1710*Y1709/(v01_ChildYears*4)</x:f>
        <x:v>0</x:v>
      </x:c>
      <x:c r="X1710" s="9" t="n">
        <x:f>H1710*Z1709/(v01_AdultYears*4)</x:f>
        <x:v>0</x:v>
      </x:c>
      <x:c r="Y1710" s="32" t="n">
        <x:f>Y1709+R1710-S1710-W1710-Y1709*V1710/AB1709</x:f>
        <x:v>14306.18539759397</x:v>
      </x:c>
      <x:c r="Z1710" s="32" t="n">
        <x:f>Z1709+W1710-X1710-T1710-Z1709*V1710/AB1709</x:f>
        <x:v>19354.456567879548</x:v>
      </x:c>
      <x:c r="AA1710" s="32" t="n">
        <x:f>AA1709+X1710-U1710-AA1709*V1710/AB1709</x:f>
        <x:v>11386.956063258198</x:v>
      </x:c>
      <x:c r="AB1710" s="10" t="n">
        <x:f>Y1710+Z1710+AA1710</x:f>
        <x:v>45047.59802873172</x:v>
      </x:c>
      <x:c r="AC1710" s="8" t="n">
        <x:f>IF(AND(v01_WinterTrigger=1,D1710=1,AB1709/AE1709&gt;=K1710),1,0)</x:f>
        <x:v>0</x:v>
      </x:c>
      <x:c r="AD1710" s="8" t="n">
        <x:f>H1710*IF(AND(OR(AB1709/AE1709&gt;=v01_FissionTrigger*N1710,AC1710=1),AB1709/AE1709*v01_DaughterShare&gt;=v01_MinDaughter),MAX(1,ROUND(AE1709*v01_FissionRate,0)),0)</x:f>
        <x:v>0</x:v>
      </x:c>
      <x:c r="AE1710" s="8" t="n">
        <x:f>IF(H1710=1,MAX(1,MIN(INDEX(v01_Smax,G1710),AE1709+AD1710)),AE1709)</x:f>
        <x:v>15</x:v>
      </x:c>
      <x:c r="AF1710" s="8" t="n">
        <x:f>MAX(0,AE1710-AE1709)</x:f>
        <x:v>0</x:v>
      </x:c>
      <x:c r="AG1710" s="9" t="str">
        <x:f>IF(AF1710&gt;0,B1710,"")</x:f>
      </x:c>
      <x:c r="AH1710" s="9" t="n">
        <x:f>IF(F1710&gt;=1,1,(1+v01_LowTiesShare*(AE1710-1))/AE1710)</x:f>
        <x:v>1</x:v>
      </x:c>
      <x:c r="AI1710" s="32" t="n">
        <x:f>(Z1710+v01_ElderCommons*INDEX(LM_Elder,G1710)*AA1710)*AH1710</x:f>
        <x:v>64139.732591141874</x:v>
      </x:c>
      <x:c r="AJ1710" s="32" t="n">
        <x:f>H1710*v01_CommonsCoef*AI1710^v01_CommonsExp*INDEX(LM_Commons,G1710)</x:f>
        <x:v>0</x:v>
      </x:c>
      <x:c r="AK1710" s="32" t="n">
        <x:f>H1710*v01_RoleScale*Arch_Roles*(AE1710*(INDEX(v01_ElderRolePerSett,G1710)*v01_OutElder*INDEX(LM_Elder,G1710)+INDEX(v01_ShamanPerSett,G1710)*v01_OutShaman)+Z1710*(INDEX(v01_PriestShare,G1710)*v01_OutPriest+INDEX(v01_ScribeShare,G1710)*v01_OutScribe*INDEX(LM_Scribe,G1710)+INDEX(v01_ScholarShare,G1710)*v01_OutScholar*INDEX(LM_Scholar,G1710)+INDEX(v01_ResearcherShare,G1710)*v01_OutResearcher*INDEX(LM_Researcher,G1710)))</x:f>
        <x:v>0</x:v>
      </x:c>
      <x:c r="AL1710" s="32" t="n">
        <x:f>H1710*v01_RoleScale*Arch_Roles*AE1710*INDEX(v01_MonasteryPerSett,G1710)*v01_OutMonastery*INDEX(LM_Monastery,G1710)</x:f>
        <x:v>0</x:v>
      </x:c>
      <x:c r="AM1710" s="32" t="n">
        <x:f>(AJ1710+AK1710+AL1710)/4*INDEX(LM_All,G1710)*INDEX(v01_Boon,G1710)*Arch_Insight</x:f>
        <x:v>0</x:v>
      </x:c>
      <x:c r="AN1710" s="32" t="n">
        <x:f>H1710*(v01_KHPerAdult*Z1710+v01_KHOfCommons*AJ1710/4*INDEX(LM_All,G1710))*v01_KHUsable*Arch_KH</x:f>
        <x:v>0</x:v>
      </x:c>
      <x:c r="AO1710" s="32" t="n">
        <x:f>MIN(AP1709+AN1710,AM1710*v01_KHMaxRatio)</x:f>
        <x:v>0</x:v>
      </x:c>
      <x:c r="AP1710" s="32" t="n">
        <x:f>AP1709+AN1710-AO1710</x:f>
        <x:v>0</x:v>
      </x:c>
      <x:c r="AQ1710" s="32" t="n">
        <x:f>AM1710+AO1710</x:f>
        <x:v>0</x:v>
      </x:c>
      <x:c r="AR1710" s="10" t="n">
        <x:f>IF(H1710=1,INDEX(v01_Req,G1710),0)</x:f>
        <x:v>0</x:v>
      </x:c>
      <x:c r="AS1710" s="32" t="n">
        <x:f>IF(H1710=1,IF(E1710=1,AS1709-AR1709,AS1709)+AQ1710,0)</x:f>
        <x:v>0</x:v>
      </x:c>
      <x:c r="AT1710" s="11" t="n">
        <x:f>IF(AR1710&gt;0,MIN(1,AS1710/AR1710),1)</x:f>
        <x:v>1</x:v>
      </x:c>
      <x:c r="AU1710" s="10" t="n">
        <x:f>AB1710/INDEX(v01_RepScale,G1710)</x:f>
        <x:v>90.09519605746344</x:v>
      </x:c>
      <x:c r="AV1710" s="32" t="n">
        <x:f>AM1710*60/v01_SeasonSeconds</x:f>
        <x:v>0</x:v>
      </x:c>
    </x:row>
    <x:row r="1711">
      <x:c r="A1711" s="8" t="n">
        <x:f>A1710+1</x:f>
        <x:v>1708</x:v>
      </x:c>
      <x:c r="B1711" s="9" t="n">
        <x:f>A1711*v01_SeasonSeconds/60</x:f>
        <x:v>427</x:v>
      </x:c>
      <x:c r="C1711" s="9" t="n">
        <x:f>A1711/4</x:f>
        <x:v>427</x:v>
      </x:c>
      <x:c r="D1711" s="8" t="n">
        <x:f>IF(MOD(A1711,4)=0,1,0)</x:f>
        <x:v>1</x:v>
      </x:c>
      <x:c r="E1711" s="8" t="n">
        <x:f>IF(AND(F1710&lt;=9,AS1710&gt;=AR1710),1,0)</x:f>
        <x:v>0</x:v>
      </x:c>
      <x:c r="F1711" s="8" t="n">
        <x:f>MIN(10,F1710+E1711)</x:f>
        <x:v>10</x:v>
      </x:c>
      <x:c r="G1711" s="8" t="n">
        <x:f>MIN(F1711,9)+1</x:f>
        <x:v>10</x:v>
      </x:c>
      <x:c r="H1711" s="8" t="n">
        <x:f>IF(F1711&lt;=9,1,0)</x:f>
        <x:v>0</x:v>
      </x:c>
      <x:c r="I1711" s="9" t="n">
        <x:f>MIN(10,F1710+IF(AR1710&gt;0,MIN(1,AS1710/AR1710),1))</x:f>
        <x:v>10</x:v>
      </x:c>
      <x:c r="J1711" s="32" t="n">
        <x:f>INDEX(v01_FoodCap,G1711)*Arch_FoodCap*EXP(v01_CapsByProject*SUMPRODUCT((Cap_Point&lt;=I1711)*(Cap_Kind="Food")*Cap_Ln))</x:f>
        <x:v>12000</x:v>
      </x:c>
      <x:c r="K1711" s="32" t="n">
        <x:f>J1711*MIN(1,v01_LeanBase*EXP(v01_CapsByProject*SUMPRODUCT((Cap_Point&lt;=I1711)*(Cap_Kind="Lean")*Cap_Ln)))</x:f>
        <x:v>12000</x:v>
      </x:c>
      <x:c r="L1711" s="10" t="n">
        <x:f>INDEX(v01_HousingCap,G1711)*EXP(v01_CapsByProject*SUMPRODUCT((Cap_Point&lt;=I1711)*(Cap_Kind="Housing")*Cap_Ln))</x:f>
        <x:v>20000</x:v>
      </x:c>
      <x:c r="M1711" s="10" t="n">
        <x:f>INDEX(v01_GroupCap,G1711)*v01_CohesionFactor*EXP(v01_CapsByProject*SUMPRODUCT((Cap_Point&lt;=I1711)*(Cap_Kind="Group")*Cap_Ln))</x:f>
        <x:v>1000000</x:v>
      </x:c>
      <x:c r="N1711" s="32" t="n">
        <x:f>MIN(J1711,L1711,M1711)</x:f>
        <x:v>12000</x:v>
      </x:c>
      <x:c r="O1711" s="10" t="n">
        <x:f>AE1710*N1711</x:f>
        <x:v>180000</x:v>
      </x:c>
      <x:c r="P1711" s="9" t="n">
        <x:f>MIN(1,(AB1710/(AE1710*IF(v01_GroupInCrowding=1,N1711,MIN(J1711,L1711))))^v01_CrowdingExp)</x:f>
        <x:v>0.00024569414295285325</x:v>
      </x:c>
      <x:c r="Q1711" s="9" t="n">
        <x:f>IF(D1711=1,INDEX(v01_WinterMult,G1711),1)</x:f>
        <x:v>1</x:v>
      </x:c>
      <x:c r="R1711" s="9" t="n">
        <x:f>H1711*Z1710*v01_WomenShare*v01_BaseFertility*INDEX(v01_FertMult,G1711)*Arch_Fertility*(1-P1711)</x:f>
        <x:v>0</x:v>
      </x:c>
      <x:c r="S1711" s="9" t="n">
        <x:f>H1711*Y1710*INDEX(v01_MortChild,G1711)/4*Q1711</x:f>
        <x:v>0</x:v>
      </x:c>
      <x:c r="T1711" s="9" t="n">
        <x:f>H1711*Z1710*INDEX(v01_MortAdult,G1711)*Arch_AdultMort/4*Q1711</x:f>
        <x:v>0</x:v>
      </x:c>
      <x:c r="U1711" s="9" t="n">
        <x:f>H1711*AA1710*INDEX(v01_MortElder,G1711)/4*Q1711</x:f>
        <x:v>0</x:v>
      </x:c>
      <x:c r="V1711" s="9" t="n">
        <x:f>H1711*MAX(0,AB1710-O1711)*v01_OvercapLoss</x:f>
        <x:v>0</x:v>
      </x:c>
      <x:c r="W1711" s="9" t="n">
        <x:f>H1711*Y1710/(v01_ChildYears*4)</x:f>
        <x:v>0</x:v>
      </x:c>
      <x:c r="X1711" s="9" t="n">
        <x:f>H1711*Z1710/(v01_AdultYears*4)</x:f>
        <x:v>0</x:v>
      </x:c>
      <x:c r="Y1711" s="32" t="n">
        <x:f>Y1710+R1711-S1711-W1711-Y1710*V1711/AB1710</x:f>
        <x:v>14306.18539759397</x:v>
      </x:c>
      <x:c r="Z1711" s="32" t="n">
        <x:f>Z1710+W1711-X1711-T1711-Z1710*V1711/AB1710</x:f>
        <x:v>19354.456567879548</x:v>
      </x:c>
      <x:c r="AA1711" s="32" t="n">
        <x:f>AA1710+X1711-U1711-AA1710*V1711/AB1710</x:f>
        <x:v>11386.956063258198</x:v>
      </x:c>
      <x:c r="AB1711" s="10" t="n">
        <x:f>Y1711+Z1711+AA1711</x:f>
        <x:v>45047.59802873172</x:v>
      </x:c>
      <x:c r="AC1711" s="8" t="n">
        <x:f>IF(AND(v01_WinterTrigger=1,D1711=1,AB1710/AE1710&gt;=K1711),1,0)</x:f>
        <x:v>0</x:v>
      </x:c>
      <x:c r="AD1711" s="8" t="n">
        <x:f>H1711*IF(AND(OR(AB1710/AE1710&gt;=v01_FissionTrigger*N1711,AC1711=1),AB1710/AE1710*v01_DaughterShare&gt;=v01_MinDaughter),MAX(1,ROUND(AE1710*v01_FissionRate,0)),0)</x:f>
        <x:v>0</x:v>
      </x:c>
      <x:c r="AE1711" s="8" t="n">
        <x:f>IF(H1711=1,MAX(1,MIN(INDEX(v01_Smax,G1711),AE1710+AD1711)),AE1710)</x:f>
        <x:v>15</x:v>
      </x:c>
      <x:c r="AF1711" s="8" t="n">
        <x:f>MAX(0,AE1711-AE1710)</x:f>
        <x:v>0</x:v>
      </x:c>
      <x:c r="AG1711" s="9" t="str">
        <x:f>IF(AF1711&gt;0,B1711,"")</x:f>
      </x:c>
      <x:c r="AH1711" s="9" t="n">
        <x:f>IF(F1711&gt;=1,1,(1+v01_LowTiesShare*(AE1711-1))/AE1711)</x:f>
        <x:v>1</x:v>
      </x:c>
      <x:c r="AI1711" s="32" t="n">
        <x:f>(Z1711+v01_ElderCommons*INDEX(LM_Elder,G1711)*AA1711)*AH1711</x:f>
        <x:v>64139.732591141874</x:v>
      </x:c>
      <x:c r="AJ1711" s="32" t="n">
        <x:f>H1711*v01_CommonsCoef*AI1711^v01_CommonsExp*INDEX(LM_Commons,G1711)</x:f>
        <x:v>0</x:v>
      </x:c>
      <x:c r="AK1711" s="32" t="n">
        <x:f>H1711*v01_RoleScale*Arch_Roles*(AE1711*(INDEX(v01_ElderRolePerSett,G1711)*v01_OutElder*INDEX(LM_Elder,G1711)+INDEX(v01_ShamanPerSett,G1711)*v01_OutShaman)+Z1711*(INDEX(v01_PriestShare,G1711)*v01_OutPriest+INDEX(v01_ScribeShare,G1711)*v01_OutScribe*INDEX(LM_Scribe,G1711)+INDEX(v01_ScholarShare,G1711)*v01_OutScholar*INDEX(LM_Scholar,G1711)+INDEX(v01_ResearcherShare,G1711)*v01_OutResearcher*INDEX(LM_Researcher,G1711)))</x:f>
        <x:v>0</x:v>
      </x:c>
      <x:c r="AL1711" s="32" t="n">
        <x:f>H1711*v01_RoleScale*Arch_Roles*AE1711*INDEX(v01_MonasteryPerSett,G1711)*v01_OutMonastery*INDEX(LM_Monastery,G1711)</x:f>
        <x:v>0</x:v>
      </x:c>
      <x:c r="AM1711" s="32" t="n">
        <x:f>(AJ1711+AK1711+AL1711)/4*INDEX(LM_All,G1711)*INDEX(v01_Boon,G1711)*Arch_Insight</x:f>
        <x:v>0</x:v>
      </x:c>
      <x:c r="AN1711" s="32" t="n">
        <x:f>H1711*(v01_KHPerAdult*Z1711+v01_KHOfCommons*AJ1711/4*INDEX(LM_All,G1711))*v01_KHUsable*Arch_KH</x:f>
        <x:v>0</x:v>
      </x:c>
      <x:c r="AO1711" s="32" t="n">
        <x:f>MIN(AP1710+AN1711,AM1711*v01_KHMaxRatio)</x:f>
        <x:v>0</x:v>
      </x:c>
      <x:c r="AP1711" s="32" t="n">
        <x:f>AP1710+AN1711-AO1711</x:f>
        <x:v>0</x:v>
      </x:c>
      <x:c r="AQ1711" s="32" t="n">
        <x:f>AM1711+AO1711</x:f>
        <x:v>0</x:v>
      </x:c>
      <x:c r="AR1711" s="10" t="n">
        <x:f>IF(H1711=1,INDEX(v01_Req,G1711),0)</x:f>
        <x:v>0</x:v>
      </x:c>
      <x:c r="AS1711" s="32" t="n">
        <x:f>IF(H1711=1,IF(E1711=1,AS1710-AR1710,AS1710)+AQ1711,0)</x:f>
        <x:v>0</x:v>
      </x:c>
      <x:c r="AT1711" s="11" t="n">
        <x:f>IF(AR1711&gt;0,MIN(1,AS1711/AR1711),1)</x:f>
        <x:v>1</x:v>
      </x:c>
      <x:c r="AU1711" s="10" t="n">
        <x:f>AB1711/INDEX(v01_RepScale,G1711)</x:f>
        <x:v>90.09519605746344</x:v>
      </x:c>
      <x:c r="AV1711" s="32" t="n">
        <x:f>AM1711*60/v01_SeasonSeconds</x:f>
        <x:v>0</x:v>
      </x:c>
    </x:row>
    <x:row r="1712">
      <x:c r="A1712" s="8" t="n">
        <x:f>A1711+1</x:f>
        <x:v>1709</x:v>
      </x:c>
      <x:c r="B1712" s="9" t="n">
        <x:f>A1712*v01_SeasonSeconds/60</x:f>
        <x:v>427.25</x:v>
      </x:c>
      <x:c r="C1712" s="9" t="n">
        <x:f>A1712/4</x:f>
        <x:v>427.25</x:v>
      </x:c>
      <x:c r="D1712" s="8" t="n">
        <x:f>IF(MOD(A1712,4)=0,1,0)</x:f>
        <x:v>0</x:v>
      </x:c>
      <x:c r="E1712" s="8" t="n">
        <x:f>IF(AND(F1711&lt;=9,AS1711&gt;=AR1711),1,0)</x:f>
        <x:v>0</x:v>
      </x:c>
      <x:c r="F1712" s="8" t="n">
        <x:f>MIN(10,F1711+E1712)</x:f>
        <x:v>10</x:v>
      </x:c>
      <x:c r="G1712" s="8" t="n">
        <x:f>MIN(F1712,9)+1</x:f>
        <x:v>10</x:v>
      </x:c>
      <x:c r="H1712" s="8" t="n">
        <x:f>IF(F1712&lt;=9,1,0)</x:f>
        <x:v>0</x:v>
      </x:c>
      <x:c r="I1712" s="9" t="n">
        <x:f>MIN(10,F1711+IF(AR1711&gt;0,MIN(1,AS1711/AR1711),1))</x:f>
        <x:v>10</x:v>
      </x:c>
      <x:c r="J1712" s="32" t="n">
        <x:f>INDEX(v01_FoodCap,G1712)*Arch_FoodCap*EXP(v01_CapsByProject*SUMPRODUCT((Cap_Point&lt;=I1712)*(Cap_Kind="Food")*Cap_Ln))</x:f>
        <x:v>12000</x:v>
      </x:c>
      <x:c r="K1712" s="32" t="n">
        <x:f>J1712*MIN(1,v01_LeanBase*EXP(v01_CapsByProject*SUMPRODUCT((Cap_Point&lt;=I1712)*(Cap_Kind="Lean")*Cap_Ln)))</x:f>
        <x:v>12000</x:v>
      </x:c>
      <x:c r="L1712" s="10" t="n">
        <x:f>INDEX(v01_HousingCap,G1712)*EXP(v01_CapsByProject*SUMPRODUCT((Cap_Point&lt;=I1712)*(Cap_Kind="Housing")*Cap_Ln))</x:f>
        <x:v>20000</x:v>
      </x:c>
      <x:c r="M1712" s="10" t="n">
        <x:f>INDEX(v01_GroupCap,G1712)*v01_CohesionFactor*EXP(v01_CapsByProject*SUMPRODUCT((Cap_Point&lt;=I1712)*(Cap_Kind="Group")*Cap_Ln))</x:f>
        <x:v>1000000</x:v>
      </x:c>
      <x:c r="N1712" s="32" t="n">
        <x:f>MIN(J1712,L1712,M1712)</x:f>
        <x:v>12000</x:v>
      </x:c>
      <x:c r="O1712" s="10" t="n">
        <x:f>AE1711*N1712</x:f>
        <x:v>180000</x:v>
      </x:c>
      <x:c r="P1712" s="9" t="n">
        <x:f>MIN(1,(AB1711/(AE1711*IF(v01_GroupInCrowding=1,N1712,MIN(J1712,L1712))))^v01_CrowdingExp)</x:f>
        <x:v>0.00024569414295285325</x:v>
      </x:c>
      <x:c r="Q1712" s="9" t="n">
        <x:f>IF(D1712=1,INDEX(v01_WinterMult,G1712),1)</x:f>
        <x:v>1</x:v>
      </x:c>
      <x:c r="R1712" s="9" t="n">
        <x:f>H1712*Z1711*v01_WomenShare*v01_BaseFertility*INDEX(v01_FertMult,G1712)*Arch_Fertility*(1-P1712)</x:f>
        <x:v>0</x:v>
      </x:c>
      <x:c r="S1712" s="9" t="n">
        <x:f>H1712*Y1711*INDEX(v01_MortChild,G1712)/4*Q1712</x:f>
        <x:v>0</x:v>
      </x:c>
      <x:c r="T1712" s="9" t="n">
        <x:f>H1712*Z1711*INDEX(v01_MortAdult,G1712)*Arch_AdultMort/4*Q1712</x:f>
        <x:v>0</x:v>
      </x:c>
      <x:c r="U1712" s="9" t="n">
        <x:f>H1712*AA1711*INDEX(v01_MortElder,G1712)/4*Q1712</x:f>
        <x:v>0</x:v>
      </x:c>
      <x:c r="V1712" s="9" t="n">
        <x:f>H1712*MAX(0,AB1711-O1712)*v01_OvercapLoss</x:f>
        <x:v>0</x:v>
      </x:c>
      <x:c r="W1712" s="9" t="n">
        <x:f>H1712*Y1711/(v01_ChildYears*4)</x:f>
        <x:v>0</x:v>
      </x:c>
      <x:c r="X1712" s="9" t="n">
        <x:f>H1712*Z1711/(v01_AdultYears*4)</x:f>
        <x:v>0</x:v>
      </x:c>
      <x:c r="Y1712" s="32" t="n">
        <x:f>Y1711+R1712-S1712-W1712-Y1711*V1712/AB1711</x:f>
        <x:v>14306.18539759397</x:v>
      </x:c>
      <x:c r="Z1712" s="32" t="n">
        <x:f>Z1711+W1712-X1712-T1712-Z1711*V1712/AB1711</x:f>
        <x:v>19354.456567879548</x:v>
      </x:c>
      <x:c r="AA1712" s="32" t="n">
        <x:f>AA1711+X1712-U1712-AA1711*V1712/AB1711</x:f>
        <x:v>11386.956063258198</x:v>
      </x:c>
      <x:c r="AB1712" s="10" t="n">
        <x:f>Y1712+Z1712+AA1712</x:f>
        <x:v>45047.59802873172</x:v>
      </x:c>
      <x:c r="AC1712" s="8" t="n">
        <x:f>IF(AND(v01_WinterTrigger=1,D1712=1,AB1711/AE1711&gt;=K1712),1,0)</x:f>
        <x:v>0</x:v>
      </x:c>
      <x:c r="AD1712" s="8" t="n">
        <x:f>H1712*IF(AND(OR(AB1711/AE1711&gt;=v01_FissionTrigger*N1712,AC1712=1),AB1711/AE1711*v01_DaughterShare&gt;=v01_MinDaughter),MAX(1,ROUND(AE1711*v01_FissionRate,0)),0)</x:f>
        <x:v>0</x:v>
      </x:c>
      <x:c r="AE1712" s="8" t="n">
        <x:f>IF(H1712=1,MAX(1,MIN(INDEX(v01_Smax,G1712),AE1711+AD1712)),AE1711)</x:f>
        <x:v>15</x:v>
      </x:c>
      <x:c r="AF1712" s="8" t="n">
        <x:f>MAX(0,AE1712-AE1711)</x:f>
        <x:v>0</x:v>
      </x:c>
      <x:c r="AG1712" s="9" t="str">
        <x:f>IF(AF1712&gt;0,B1712,"")</x:f>
      </x:c>
      <x:c r="AH1712" s="9" t="n">
        <x:f>IF(F1712&gt;=1,1,(1+v01_LowTiesShare*(AE1712-1))/AE1712)</x:f>
        <x:v>1</x:v>
      </x:c>
      <x:c r="AI1712" s="32" t="n">
        <x:f>(Z1712+v01_ElderCommons*INDEX(LM_Elder,G1712)*AA1712)*AH1712</x:f>
        <x:v>64139.732591141874</x:v>
      </x:c>
      <x:c r="AJ1712" s="32" t="n">
        <x:f>H1712*v01_CommonsCoef*AI1712^v01_CommonsExp*INDEX(LM_Commons,G1712)</x:f>
        <x:v>0</x:v>
      </x:c>
      <x:c r="AK1712" s="32" t="n">
        <x:f>H1712*v01_RoleScale*Arch_Roles*(AE1712*(INDEX(v01_ElderRolePerSett,G1712)*v01_OutElder*INDEX(LM_Elder,G1712)+INDEX(v01_ShamanPerSett,G1712)*v01_OutShaman)+Z1712*(INDEX(v01_PriestShare,G1712)*v01_OutPriest+INDEX(v01_ScribeShare,G1712)*v01_OutScribe*INDEX(LM_Scribe,G1712)+INDEX(v01_ScholarShare,G1712)*v01_OutScholar*INDEX(LM_Scholar,G1712)+INDEX(v01_ResearcherShare,G1712)*v01_OutResearcher*INDEX(LM_Researcher,G1712)))</x:f>
        <x:v>0</x:v>
      </x:c>
      <x:c r="AL1712" s="32" t="n">
        <x:f>H1712*v01_RoleScale*Arch_Roles*AE1712*INDEX(v01_MonasteryPerSett,G1712)*v01_OutMonastery*INDEX(LM_Monastery,G1712)</x:f>
        <x:v>0</x:v>
      </x:c>
      <x:c r="AM1712" s="32" t="n">
        <x:f>(AJ1712+AK1712+AL1712)/4*INDEX(LM_All,G1712)*INDEX(v01_Boon,G1712)*Arch_Insight</x:f>
        <x:v>0</x:v>
      </x:c>
      <x:c r="AN1712" s="32" t="n">
        <x:f>H1712*(v01_KHPerAdult*Z1712+v01_KHOfCommons*AJ1712/4*INDEX(LM_All,G1712))*v01_KHUsable*Arch_KH</x:f>
        <x:v>0</x:v>
      </x:c>
      <x:c r="AO1712" s="32" t="n">
        <x:f>MIN(AP1711+AN1712,AM1712*v01_KHMaxRatio)</x:f>
        <x:v>0</x:v>
      </x:c>
      <x:c r="AP1712" s="32" t="n">
        <x:f>AP1711+AN1712-AO1712</x:f>
        <x:v>0</x:v>
      </x:c>
      <x:c r="AQ1712" s="32" t="n">
        <x:f>AM1712+AO1712</x:f>
        <x:v>0</x:v>
      </x:c>
      <x:c r="AR1712" s="10" t="n">
        <x:f>IF(H1712=1,INDEX(v01_Req,G1712),0)</x:f>
        <x:v>0</x:v>
      </x:c>
      <x:c r="AS1712" s="32" t="n">
        <x:f>IF(H1712=1,IF(E1712=1,AS1711-AR1711,AS1711)+AQ1712,0)</x:f>
        <x:v>0</x:v>
      </x:c>
      <x:c r="AT1712" s="11" t="n">
        <x:f>IF(AR1712&gt;0,MIN(1,AS1712/AR1712),1)</x:f>
        <x:v>1</x:v>
      </x:c>
      <x:c r="AU1712" s="10" t="n">
        <x:f>AB1712/INDEX(v01_RepScale,G1712)</x:f>
        <x:v>90.09519605746344</x:v>
      </x:c>
      <x:c r="AV1712" s="32" t="n">
        <x:f>AM1712*60/v01_SeasonSeconds</x:f>
        <x:v>0</x:v>
      </x:c>
    </x:row>
    <x:row r="1713">
      <x:c r="A1713" s="8" t="n">
        <x:f>A1712+1</x:f>
        <x:v>1710</x:v>
      </x:c>
      <x:c r="B1713" s="9" t="n">
        <x:f>A1713*v01_SeasonSeconds/60</x:f>
        <x:v>427.5</x:v>
      </x:c>
      <x:c r="C1713" s="9" t="n">
        <x:f>A1713/4</x:f>
        <x:v>427.5</x:v>
      </x:c>
      <x:c r="D1713" s="8" t="n">
        <x:f>IF(MOD(A1713,4)=0,1,0)</x:f>
        <x:v>0</x:v>
      </x:c>
      <x:c r="E1713" s="8" t="n">
        <x:f>IF(AND(F1712&lt;=9,AS1712&gt;=AR1712),1,0)</x:f>
        <x:v>0</x:v>
      </x:c>
      <x:c r="F1713" s="8" t="n">
        <x:f>MIN(10,F1712+E1713)</x:f>
        <x:v>10</x:v>
      </x:c>
      <x:c r="G1713" s="8" t="n">
        <x:f>MIN(F1713,9)+1</x:f>
        <x:v>10</x:v>
      </x:c>
      <x:c r="H1713" s="8" t="n">
        <x:f>IF(F1713&lt;=9,1,0)</x:f>
        <x:v>0</x:v>
      </x:c>
      <x:c r="I1713" s="9" t="n">
        <x:f>MIN(10,F1712+IF(AR1712&gt;0,MIN(1,AS1712/AR1712),1))</x:f>
        <x:v>10</x:v>
      </x:c>
      <x:c r="J1713" s="32" t="n">
        <x:f>INDEX(v01_FoodCap,G1713)*Arch_FoodCap*EXP(v01_CapsByProject*SUMPRODUCT((Cap_Point&lt;=I1713)*(Cap_Kind="Food")*Cap_Ln))</x:f>
        <x:v>12000</x:v>
      </x:c>
      <x:c r="K1713" s="32" t="n">
        <x:f>J1713*MIN(1,v01_LeanBase*EXP(v01_CapsByProject*SUMPRODUCT((Cap_Point&lt;=I1713)*(Cap_Kind="Lean")*Cap_Ln)))</x:f>
        <x:v>12000</x:v>
      </x:c>
      <x:c r="L1713" s="10" t="n">
        <x:f>INDEX(v01_HousingCap,G1713)*EXP(v01_CapsByProject*SUMPRODUCT((Cap_Point&lt;=I1713)*(Cap_Kind="Housing")*Cap_Ln))</x:f>
        <x:v>20000</x:v>
      </x:c>
      <x:c r="M1713" s="10" t="n">
        <x:f>INDEX(v01_GroupCap,G1713)*v01_CohesionFactor*EXP(v01_CapsByProject*SUMPRODUCT((Cap_Point&lt;=I1713)*(Cap_Kind="Group")*Cap_Ln))</x:f>
        <x:v>1000000</x:v>
      </x:c>
      <x:c r="N1713" s="32" t="n">
        <x:f>MIN(J1713,L1713,M1713)</x:f>
        <x:v>12000</x:v>
      </x:c>
      <x:c r="O1713" s="10" t="n">
        <x:f>AE1712*N1713</x:f>
        <x:v>180000</x:v>
      </x:c>
      <x:c r="P1713" s="9" t="n">
        <x:f>MIN(1,(AB1712/(AE1712*IF(v01_GroupInCrowding=1,N1713,MIN(J1713,L1713))))^v01_CrowdingExp)</x:f>
        <x:v>0.00024569414295285325</x:v>
      </x:c>
      <x:c r="Q1713" s="9" t="n">
        <x:f>IF(D1713=1,INDEX(v01_WinterMult,G1713),1)</x:f>
        <x:v>1</x:v>
      </x:c>
      <x:c r="R1713" s="9" t="n">
        <x:f>H1713*Z1712*v01_WomenShare*v01_BaseFertility*INDEX(v01_FertMult,G1713)*Arch_Fertility*(1-P1713)</x:f>
        <x:v>0</x:v>
      </x:c>
      <x:c r="S1713" s="9" t="n">
        <x:f>H1713*Y1712*INDEX(v01_MortChild,G1713)/4*Q1713</x:f>
        <x:v>0</x:v>
      </x:c>
      <x:c r="T1713" s="9" t="n">
        <x:f>H1713*Z1712*INDEX(v01_MortAdult,G1713)*Arch_AdultMort/4*Q1713</x:f>
        <x:v>0</x:v>
      </x:c>
      <x:c r="U1713" s="9" t="n">
        <x:f>H1713*AA1712*INDEX(v01_MortElder,G1713)/4*Q1713</x:f>
        <x:v>0</x:v>
      </x:c>
      <x:c r="V1713" s="9" t="n">
        <x:f>H1713*MAX(0,AB1712-O1713)*v01_OvercapLoss</x:f>
        <x:v>0</x:v>
      </x:c>
      <x:c r="W1713" s="9" t="n">
        <x:f>H1713*Y1712/(v01_ChildYears*4)</x:f>
        <x:v>0</x:v>
      </x:c>
      <x:c r="X1713" s="9" t="n">
        <x:f>H1713*Z1712/(v01_AdultYears*4)</x:f>
        <x:v>0</x:v>
      </x:c>
      <x:c r="Y1713" s="32" t="n">
        <x:f>Y1712+R1713-S1713-W1713-Y1712*V1713/AB1712</x:f>
        <x:v>14306.18539759397</x:v>
      </x:c>
      <x:c r="Z1713" s="32" t="n">
        <x:f>Z1712+W1713-X1713-T1713-Z1712*V1713/AB1712</x:f>
        <x:v>19354.456567879548</x:v>
      </x:c>
      <x:c r="AA1713" s="32" t="n">
        <x:f>AA1712+X1713-U1713-AA1712*V1713/AB1712</x:f>
        <x:v>11386.956063258198</x:v>
      </x:c>
      <x:c r="AB1713" s="10" t="n">
        <x:f>Y1713+Z1713+AA1713</x:f>
        <x:v>45047.59802873172</x:v>
      </x:c>
      <x:c r="AC1713" s="8" t="n">
        <x:f>IF(AND(v01_WinterTrigger=1,D1713=1,AB1712/AE1712&gt;=K1713),1,0)</x:f>
        <x:v>0</x:v>
      </x:c>
      <x:c r="AD1713" s="8" t="n">
        <x:f>H1713*IF(AND(OR(AB1712/AE1712&gt;=v01_FissionTrigger*N1713,AC1713=1),AB1712/AE1712*v01_DaughterShare&gt;=v01_MinDaughter),MAX(1,ROUND(AE1712*v01_FissionRate,0)),0)</x:f>
        <x:v>0</x:v>
      </x:c>
      <x:c r="AE1713" s="8" t="n">
        <x:f>IF(H1713=1,MAX(1,MIN(INDEX(v01_Smax,G1713),AE1712+AD1713)),AE1712)</x:f>
        <x:v>15</x:v>
      </x:c>
      <x:c r="AF1713" s="8" t="n">
        <x:f>MAX(0,AE1713-AE1712)</x:f>
        <x:v>0</x:v>
      </x:c>
      <x:c r="AG1713" s="9" t="str">
        <x:f>IF(AF1713&gt;0,B1713,"")</x:f>
      </x:c>
      <x:c r="AH1713" s="9" t="n">
        <x:f>IF(F1713&gt;=1,1,(1+v01_LowTiesShare*(AE1713-1))/AE1713)</x:f>
        <x:v>1</x:v>
      </x:c>
      <x:c r="AI1713" s="32" t="n">
        <x:f>(Z1713+v01_ElderCommons*INDEX(LM_Elder,G1713)*AA1713)*AH1713</x:f>
        <x:v>64139.732591141874</x:v>
      </x:c>
      <x:c r="AJ1713" s="32" t="n">
        <x:f>H1713*v01_CommonsCoef*AI1713^v01_CommonsExp*INDEX(LM_Commons,G1713)</x:f>
        <x:v>0</x:v>
      </x:c>
      <x:c r="AK1713" s="32" t="n">
        <x:f>H1713*v01_RoleScale*Arch_Roles*(AE1713*(INDEX(v01_ElderRolePerSett,G1713)*v01_OutElder*INDEX(LM_Elder,G1713)+INDEX(v01_ShamanPerSett,G1713)*v01_OutShaman)+Z1713*(INDEX(v01_PriestShare,G1713)*v01_OutPriest+INDEX(v01_ScribeShare,G1713)*v01_OutScribe*INDEX(LM_Scribe,G1713)+INDEX(v01_ScholarShare,G1713)*v01_OutScholar*INDEX(LM_Scholar,G1713)+INDEX(v01_ResearcherShare,G1713)*v01_OutResearcher*INDEX(LM_Researcher,G1713)))</x:f>
        <x:v>0</x:v>
      </x:c>
      <x:c r="AL1713" s="32" t="n">
        <x:f>H1713*v01_RoleScale*Arch_Roles*AE1713*INDEX(v01_MonasteryPerSett,G1713)*v01_OutMonastery*INDEX(LM_Monastery,G1713)</x:f>
        <x:v>0</x:v>
      </x:c>
      <x:c r="AM1713" s="32" t="n">
        <x:f>(AJ1713+AK1713+AL1713)/4*INDEX(LM_All,G1713)*INDEX(v01_Boon,G1713)*Arch_Insight</x:f>
        <x:v>0</x:v>
      </x:c>
      <x:c r="AN1713" s="32" t="n">
        <x:f>H1713*(v01_KHPerAdult*Z1713+v01_KHOfCommons*AJ1713/4*INDEX(LM_All,G1713))*v01_KHUsable*Arch_KH</x:f>
        <x:v>0</x:v>
      </x:c>
      <x:c r="AO1713" s="32" t="n">
        <x:f>MIN(AP1712+AN1713,AM1713*v01_KHMaxRatio)</x:f>
        <x:v>0</x:v>
      </x:c>
      <x:c r="AP1713" s="32" t="n">
        <x:f>AP1712+AN1713-AO1713</x:f>
        <x:v>0</x:v>
      </x:c>
      <x:c r="AQ1713" s="32" t="n">
        <x:f>AM1713+AO1713</x:f>
        <x:v>0</x:v>
      </x:c>
      <x:c r="AR1713" s="10" t="n">
        <x:f>IF(H1713=1,INDEX(v01_Req,G1713),0)</x:f>
        <x:v>0</x:v>
      </x:c>
      <x:c r="AS1713" s="32" t="n">
        <x:f>IF(H1713=1,IF(E1713=1,AS1712-AR1712,AS1712)+AQ1713,0)</x:f>
        <x:v>0</x:v>
      </x:c>
      <x:c r="AT1713" s="11" t="n">
        <x:f>IF(AR1713&gt;0,MIN(1,AS1713/AR1713),1)</x:f>
        <x:v>1</x:v>
      </x:c>
      <x:c r="AU1713" s="10" t="n">
        <x:f>AB1713/INDEX(v01_RepScale,G1713)</x:f>
        <x:v>90.09519605746344</x:v>
      </x:c>
      <x:c r="AV1713" s="32" t="n">
        <x:f>AM1713*60/v01_SeasonSeconds</x:f>
        <x:v>0</x:v>
      </x:c>
    </x:row>
    <x:row r="1714">
      <x:c r="A1714" s="8" t="n">
        <x:f>A1713+1</x:f>
        <x:v>1711</x:v>
      </x:c>
      <x:c r="B1714" s="9" t="n">
        <x:f>A1714*v01_SeasonSeconds/60</x:f>
        <x:v>427.75</x:v>
      </x:c>
      <x:c r="C1714" s="9" t="n">
        <x:f>A1714/4</x:f>
        <x:v>427.75</x:v>
      </x:c>
      <x:c r="D1714" s="8" t="n">
        <x:f>IF(MOD(A1714,4)=0,1,0)</x:f>
        <x:v>0</x:v>
      </x:c>
      <x:c r="E1714" s="8" t="n">
        <x:f>IF(AND(F1713&lt;=9,AS1713&gt;=AR1713),1,0)</x:f>
        <x:v>0</x:v>
      </x:c>
      <x:c r="F1714" s="8" t="n">
        <x:f>MIN(10,F1713+E1714)</x:f>
        <x:v>10</x:v>
      </x:c>
      <x:c r="G1714" s="8" t="n">
        <x:f>MIN(F1714,9)+1</x:f>
        <x:v>10</x:v>
      </x:c>
      <x:c r="H1714" s="8" t="n">
        <x:f>IF(F1714&lt;=9,1,0)</x:f>
        <x:v>0</x:v>
      </x:c>
      <x:c r="I1714" s="9" t="n">
        <x:f>MIN(10,F1713+IF(AR1713&gt;0,MIN(1,AS1713/AR1713),1))</x:f>
        <x:v>10</x:v>
      </x:c>
      <x:c r="J1714" s="32" t="n">
        <x:f>INDEX(v01_FoodCap,G1714)*Arch_FoodCap*EXP(v01_CapsByProject*SUMPRODUCT((Cap_Point&lt;=I1714)*(Cap_Kind="Food")*Cap_Ln))</x:f>
        <x:v>12000</x:v>
      </x:c>
      <x:c r="K1714" s="32" t="n">
        <x:f>J1714*MIN(1,v01_LeanBase*EXP(v01_CapsByProject*SUMPRODUCT((Cap_Point&lt;=I1714)*(Cap_Kind="Lean")*Cap_Ln)))</x:f>
        <x:v>12000</x:v>
      </x:c>
      <x:c r="L1714" s="10" t="n">
        <x:f>INDEX(v01_HousingCap,G1714)*EXP(v01_CapsByProject*SUMPRODUCT((Cap_Point&lt;=I1714)*(Cap_Kind="Housing")*Cap_Ln))</x:f>
        <x:v>20000</x:v>
      </x:c>
      <x:c r="M1714" s="10" t="n">
        <x:f>INDEX(v01_GroupCap,G1714)*v01_CohesionFactor*EXP(v01_CapsByProject*SUMPRODUCT((Cap_Point&lt;=I1714)*(Cap_Kind="Group")*Cap_Ln))</x:f>
        <x:v>1000000</x:v>
      </x:c>
      <x:c r="N1714" s="32" t="n">
        <x:f>MIN(J1714,L1714,M1714)</x:f>
        <x:v>12000</x:v>
      </x:c>
      <x:c r="O1714" s="10" t="n">
        <x:f>AE1713*N1714</x:f>
        <x:v>180000</x:v>
      </x:c>
      <x:c r="P1714" s="9" t="n">
        <x:f>MIN(1,(AB1713/(AE1713*IF(v01_GroupInCrowding=1,N1714,MIN(J1714,L1714))))^v01_CrowdingExp)</x:f>
        <x:v>0.00024569414295285325</x:v>
      </x:c>
      <x:c r="Q1714" s="9" t="n">
        <x:f>IF(D1714=1,INDEX(v01_WinterMult,G1714),1)</x:f>
        <x:v>1</x:v>
      </x:c>
      <x:c r="R1714" s="9" t="n">
        <x:f>H1714*Z1713*v01_WomenShare*v01_BaseFertility*INDEX(v01_FertMult,G1714)*Arch_Fertility*(1-P1714)</x:f>
        <x:v>0</x:v>
      </x:c>
      <x:c r="S1714" s="9" t="n">
        <x:f>H1714*Y1713*INDEX(v01_MortChild,G1714)/4*Q1714</x:f>
        <x:v>0</x:v>
      </x:c>
      <x:c r="T1714" s="9" t="n">
        <x:f>H1714*Z1713*INDEX(v01_MortAdult,G1714)*Arch_AdultMort/4*Q1714</x:f>
        <x:v>0</x:v>
      </x:c>
      <x:c r="U1714" s="9" t="n">
        <x:f>H1714*AA1713*INDEX(v01_MortElder,G1714)/4*Q1714</x:f>
        <x:v>0</x:v>
      </x:c>
      <x:c r="V1714" s="9" t="n">
        <x:f>H1714*MAX(0,AB1713-O1714)*v01_OvercapLoss</x:f>
        <x:v>0</x:v>
      </x:c>
      <x:c r="W1714" s="9" t="n">
        <x:f>H1714*Y1713/(v01_ChildYears*4)</x:f>
        <x:v>0</x:v>
      </x:c>
      <x:c r="X1714" s="9" t="n">
        <x:f>H1714*Z1713/(v01_AdultYears*4)</x:f>
        <x:v>0</x:v>
      </x:c>
      <x:c r="Y1714" s="32" t="n">
        <x:f>Y1713+R1714-S1714-W1714-Y1713*V1714/AB1713</x:f>
        <x:v>14306.18539759397</x:v>
      </x:c>
      <x:c r="Z1714" s="32" t="n">
        <x:f>Z1713+W1714-X1714-T1714-Z1713*V1714/AB1713</x:f>
        <x:v>19354.456567879548</x:v>
      </x:c>
      <x:c r="AA1714" s="32" t="n">
        <x:f>AA1713+X1714-U1714-AA1713*V1714/AB1713</x:f>
        <x:v>11386.956063258198</x:v>
      </x:c>
      <x:c r="AB1714" s="10" t="n">
        <x:f>Y1714+Z1714+AA1714</x:f>
        <x:v>45047.59802873172</x:v>
      </x:c>
      <x:c r="AC1714" s="8" t="n">
        <x:f>IF(AND(v01_WinterTrigger=1,D1714=1,AB1713/AE1713&gt;=K1714),1,0)</x:f>
        <x:v>0</x:v>
      </x:c>
      <x:c r="AD1714" s="8" t="n">
        <x:f>H1714*IF(AND(OR(AB1713/AE1713&gt;=v01_FissionTrigger*N1714,AC1714=1),AB1713/AE1713*v01_DaughterShare&gt;=v01_MinDaughter),MAX(1,ROUND(AE1713*v01_FissionRate,0)),0)</x:f>
        <x:v>0</x:v>
      </x:c>
      <x:c r="AE1714" s="8" t="n">
        <x:f>IF(H1714=1,MAX(1,MIN(INDEX(v01_Smax,G1714),AE1713+AD1714)),AE1713)</x:f>
        <x:v>15</x:v>
      </x:c>
      <x:c r="AF1714" s="8" t="n">
        <x:f>MAX(0,AE1714-AE1713)</x:f>
        <x:v>0</x:v>
      </x:c>
      <x:c r="AG1714" s="9" t="str">
        <x:f>IF(AF1714&gt;0,B1714,"")</x:f>
      </x:c>
      <x:c r="AH1714" s="9" t="n">
        <x:f>IF(F1714&gt;=1,1,(1+v01_LowTiesShare*(AE1714-1))/AE1714)</x:f>
        <x:v>1</x:v>
      </x:c>
      <x:c r="AI1714" s="32" t="n">
        <x:f>(Z1714+v01_ElderCommons*INDEX(LM_Elder,G1714)*AA1714)*AH1714</x:f>
        <x:v>64139.732591141874</x:v>
      </x:c>
      <x:c r="AJ1714" s="32" t="n">
        <x:f>H1714*v01_CommonsCoef*AI1714^v01_CommonsExp*INDEX(LM_Commons,G1714)</x:f>
        <x:v>0</x:v>
      </x:c>
      <x:c r="AK1714" s="32" t="n">
        <x:f>H1714*v01_RoleScale*Arch_Roles*(AE1714*(INDEX(v01_ElderRolePerSett,G1714)*v01_OutElder*INDEX(LM_Elder,G1714)+INDEX(v01_ShamanPerSett,G1714)*v01_OutShaman)+Z1714*(INDEX(v01_PriestShare,G1714)*v01_OutPriest+INDEX(v01_ScribeShare,G1714)*v01_OutScribe*INDEX(LM_Scribe,G1714)+INDEX(v01_ScholarShare,G1714)*v01_OutScholar*INDEX(LM_Scholar,G1714)+INDEX(v01_ResearcherShare,G1714)*v01_OutResearcher*INDEX(LM_Researcher,G1714)))</x:f>
        <x:v>0</x:v>
      </x:c>
      <x:c r="AL1714" s="32" t="n">
        <x:f>H1714*v01_RoleScale*Arch_Roles*AE1714*INDEX(v01_MonasteryPerSett,G1714)*v01_OutMonastery*INDEX(LM_Monastery,G1714)</x:f>
        <x:v>0</x:v>
      </x:c>
      <x:c r="AM1714" s="32" t="n">
        <x:f>(AJ1714+AK1714+AL1714)/4*INDEX(LM_All,G1714)*INDEX(v01_Boon,G1714)*Arch_Insight</x:f>
        <x:v>0</x:v>
      </x:c>
      <x:c r="AN1714" s="32" t="n">
        <x:f>H1714*(v01_KHPerAdult*Z1714+v01_KHOfCommons*AJ1714/4*INDEX(LM_All,G1714))*v01_KHUsable*Arch_KH</x:f>
        <x:v>0</x:v>
      </x:c>
      <x:c r="AO1714" s="32" t="n">
        <x:f>MIN(AP1713+AN1714,AM1714*v01_KHMaxRatio)</x:f>
        <x:v>0</x:v>
      </x:c>
      <x:c r="AP1714" s="32" t="n">
        <x:f>AP1713+AN1714-AO1714</x:f>
        <x:v>0</x:v>
      </x:c>
      <x:c r="AQ1714" s="32" t="n">
        <x:f>AM1714+AO1714</x:f>
        <x:v>0</x:v>
      </x:c>
      <x:c r="AR1714" s="10" t="n">
        <x:f>IF(H1714=1,INDEX(v01_Req,G1714),0)</x:f>
        <x:v>0</x:v>
      </x:c>
      <x:c r="AS1714" s="32" t="n">
        <x:f>IF(H1714=1,IF(E1714=1,AS1713-AR1713,AS1713)+AQ1714,0)</x:f>
        <x:v>0</x:v>
      </x:c>
      <x:c r="AT1714" s="11" t="n">
        <x:f>IF(AR1714&gt;0,MIN(1,AS1714/AR1714),1)</x:f>
        <x:v>1</x:v>
      </x:c>
      <x:c r="AU1714" s="10" t="n">
        <x:f>AB1714/INDEX(v01_RepScale,G1714)</x:f>
        <x:v>90.09519605746344</x:v>
      </x:c>
      <x:c r="AV1714" s="32" t="n">
        <x:f>AM1714*60/v01_SeasonSeconds</x:f>
        <x:v>0</x:v>
      </x:c>
    </x:row>
    <x:row r="1715">
      <x:c r="A1715" s="8" t="n">
        <x:f>A1714+1</x:f>
        <x:v>1712</x:v>
      </x:c>
      <x:c r="B1715" s="9" t="n">
        <x:f>A1715*v01_SeasonSeconds/60</x:f>
        <x:v>428</x:v>
      </x:c>
      <x:c r="C1715" s="9" t="n">
        <x:f>A1715/4</x:f>
        <x:v>428</x:v>
      </x:c>
      <x:c r="D1715" s="8" t="n">
        <x:f>IF(MOD(A1715,4)=0,1,0)</x:f>
        <x:v>1</x:v>
      </x:c>
      <x:c r="E1715" s="8" t="n">
        <x:f>IF(AND(F1714&lt;=9,AS1714&gt;=AR1714),1,0)</x:f>
        <x:v>0</x:v>
      </x:c>
      <x:c r="F1715" s="8" t="n">
        <x:f>MIN(10,F1714+E1715)</x:f>
        <x:v>10</x:v>
      </x:c>
      <x:c r="G1715" s="8" t="n">
        <x:f>MIN(F1715,9)+1</x:f>
        <x:v>10</x:v>
      </x:c>
      <x:c r="H1715" s="8" t="n">
        <x:f>IF(F1715&lt;=9,1,0)</x:f>
        <x:v>0</x:v>
      </x:c>
      <x:c r="I1715" s="9" t="n">
        <x:f>MIN(10,F1714+IF(AR1714&gt;0,MIN(1,AS1714/AR1714),1))</x:f>
        <x:v>10</x:v>
      </x:c>
      <x:c r="J1715" s="32" t="n">
        <x:f>INDEX(v01_FoodCap,G1715)*Arch_FoodCap*EXP(v01_CapsByProject*SUMPRODUCT((Cap_Point&lt;=I1715)*(Cap_Kind="Food")*Cap_Ln))</x:f>
        <x:v>12000</x:v>
      </x:c>
      <x:c r="K1715" s="32" t="n">
        <x:f>J1715*MIN(1,v01_LeanBase*EXP(v01_CapsByProject*SUMPRODUCT((Cap_Point&lt;=I1715)*(Cap_Kind="Lean")*Cap_Ln)))</x:f>
        <x:v>12000</x:v>
      </x:c>
      <x:c r="L1715" s="10" t="n">
        <x:f>INDEX(v01_HousingCap,G1715)*EXP(v01_CapsByProject*SUMPRODUCT((Cap_Point&lt;=I1715)*(Cap_Kind="Housing")*Cap_Ln))</x:f>
        <x:v>20000</x:v>
      </x:c>
      <x:c r="M1715" s="10" t="n">
        <x:f>INDEX(v01_GroupCap,G1715)*v01_CohesionFactor*EXP(v01_CapsByProject*SUMPRODUCT((Cap_Point&lt;=I1715)*(Cap_Kind="Group")*Cap_Ln))</x:f>
        <x:v>1000000</x:v>
      </x:c>
      <x:c r="N1715" s="32" t="n">
        <x:f>MIN(J1715,L1715,M1715)</x:f>
        <x:v>12000</x:v>
      </x:c>
      <x:c r="O1715" s="10" t="n">
        <x:f>AE1714*N1715</x:f>
        <x:v>180000</x:v>
      </x:c>
      <x:c r="P1715" s="9" t="n">
        <x:f>MIN(1,(AB1714/(AE1714*IF(v01_GroupInCrowding=1,N1715,MIN(J1715,L1715))))^v01_CrowdingExp)</x:f>
        <x:v>0.00024569414295285325</x:v>
      </x:c>
      <x:c r="Q1715" s="9" t="n">
        <x:f>IF(D1715=1,INDEX(v01_WinterMult,G1715),1)</x:f>
        <x:v>1</x:v>
      </x:c>
      <x:c r="R1715" s="9" t="n">
        <x:f>H1715*Z1714*v01_WomenShare*v01_BaseFertility*INDEX(v01_FertMult,G1715)*Arch_Fertility*(1-P1715)</x:f>
        <x:v>0</x:v>
      </x:c>
      <x:c r="S1715" s="9" t="n">
        <x:f>H1715*Y1714*INDEX(v01_MortChild,G1715)/4*Q1715</x:f>
        <x:v>0</x:v>
      </x:c>
      <x:c r="T1715" s="9" t="n">
        <x:f>H1715*Z1714*INDEX(v01_MortAdult,G1715)*Arch_AdultMort/4*Q1715</x:f>
        <x:v>0</x:v>
      </x:c>
      <x:c r="U1715" s="9" t="n">
        <x:f>H1715*AA1714*INDEX(v01_MortElder,G1715)/4*Q1715</x:f>
        <x:v>0</x:v>
      </x:c>
      <x:c r="V1715" s="9" t="n">
        <x:f>H1715*MAX(0,AB1714-O1715)*v01_OvercapLoss</x:f>
        <x:v>0</x:v>
      </x:c>
      <x:c r="W1715" s="9" t="n">
        <x:f>H1715*Y1714/(v01_ChildYears*4)</x:f>
        <x:v>0</x:v>
      </x:c>
      <x:c r="X1715" s="9" t="n">
        <x:f>H1715*Z1714/(v01_AdultYears*4)</x:f>
        <x:v>0</x:v>
      </x:c>
      <x:c r="Y1715" s="32" t="n">
        <x:f>Y1714+R1715-S1715-W1715-Y1714*V1715/AB1714</x:f>
        <x:v>14306.18539759397</x:v>
      </x:c>
      <x:c r="Z1715" s="32" t="n">
        <x:f>Z1714+W1715-X1715-T1715-Z1714*V1715/AB1714</x:f>
        <x:v>19354.456567879548</x:v>
      </x:c>
      <x:c r="AA1715" s="32" t="n">
        <x:f>AA1714+X1715-U1715-AA1714*V1715/AB1714</x:f>
        <x:v>11386.956063258198</x:v>
      </x:c>
      <x:c r="AB1715" s="10" t="n">
        <x:f>Y1715+Z1715+AA1715</x:f>
        <x:v>45047.59802873172</x:v>
      </x:c>
      <x:c r="AC1715" s="8" t="n">
        <x:f>IF(AND(v01_WinterTrigger=1,D1715=1,AB1714/AE1714&gt;=K1715),1,0)</x:f>
        <x:v>0</x:v>
      </x:c>
      <x:c r="AD1715" s="8" t="n">
        <x:f>H1715*IF(AND(OR(AB1714/AE1714&gt;=v01_FissionTrigger*N1715,AC1715=1),AB1714/AE1714*v01_DaughterShare&gt;=v01_MinDaughter),MAX(1,ROUND(AE1714*v01_FissionRate,0)),0)</x:f>
        <x:v>0</x:v>
      </x:c>
      <x:c r="AE1715" s="8" t="n">
        <x:f>IF(H1715=1,MAX(1,MIN(INDEX(v01_Smax,G1715),AE1714+AD1715)),AE1714)</x:f>
        <x:v>15</x:v>
      </x:c>
      <x:c r="AF1715" s="8" t="n">
        <x:f>MAX(0,AE1715-AE1714)</x:f>
        <x:v>0</x:v>
      </x:c>
      <x:c r="AG1715" s="9" t="str">
        <x:f>IF(AF1715&gt;0,B1715,"")</x:f>
      </x:c>
      <x:c r="AH1715" s="9" t="n">
        <x:f>IF(F1715&gt;=1,1,(1+v01_LowTiesShare*(AE1715-1))/AE1715)</x:f>
        <x:v>1</x:v>
      </x:c>
      <x:c r="AI1715" s="32" t="n">
        <x:f>(Z1715+v01_ElderCommons*INDEX(LM_Elder,G1715)*AA1715)*AH1715</x:f>
        <x:v>64139.732591141874</x:v>
      </x:c>
      <x:c r="AJ1715" s="32" t="n">
        <x:f>H1715*v01_CommonsCoef*AI1715^v01_CommonsExp*INDEX(LM_Commons,G1715)</x:f>
        <x:v>0</x:v>
      </x:c>
      <x:c r="AK1715" s="32" t="n">
        <x:f>H1715*v01_RoleScale*Arch_Roles*(AE1715*(INDEX(v01_ElderRolePerSett,G1715)*v01_OutElder*INDEX(LM_Elder,G1715)+INDEX(v01_ShamanPerSett,G1715)*v01_OutShaman)+Z1715*(INDEX(v01_PriestShare,G1715)*v01_OutPriest+INDEX(v01_ScribeShare,G1715)*v01_OutScribe*INDEX(LM_Scribe,G1715)+INDEX(v01_ScholarShare,G1715)*v01_OutScholar*INDEX(LM_Scholar,G1715)+INDEX(v01_ResearcherShare,G1715)*v01_OutResearcher*INDEX(LM_Researcher,G1715)))</x:f>
        <x:v>0</x:v>
      </x:c>
      <x:c r="AL1715" s="32" t="n">
        <x:f>H1715*v01_RoleScale*Arch_Roles*AE1715*INDEX(v01_MonasteryPerSett,G1715)*v01_OutMonastery*INDEX(LM_Monastery,G1715)</x:f>
        <x:v>0</x:v>
      </x:c>
      <x:c r="AM1715" s="32" t="n">
        <x:f>(AJ1715+AK1715+AL1715)/4*INDEX(LM_All,G1715)*INDEX(v01_Boon,G1715)*Arch_Insight</x:f>
        <x:v>0</x:v>
      </x:c>
      <x:c r="AN1715" s="32" t="n">
        <x:f>H1715*(v01_KHPerAdult*Z1715+v01_KHOfCommons*AJ1715/4*INDEX(LM_All,G1715))*v01_KHUsable*Arch_KH</x:f>
        <x:v>0</x:v>
      </x:c>
      <x:c r="AO1715" s="32" t="n">
        <x:f>MIN(AP1714+AN1715,AM1715*v01_KHMaxRatio)</x:f>
        <x:v>0</x:v>
      </x:c>
      <x:c r="AP1715" s="32" t="n">
        <x:f>AP1714+AN1715-AO1715</x:f>
        <x:v>0</x:v>
      </x:c>
      <x:c r="AQ1715" s="32" t="n">
        <x:f>AM1715+AO1715</x:f>
        <x:v>0</x:v>
      </x:c>
      <x:c r="AR1715" s="10" t="n">
        <x:f>IF(H1715=1,INDEX(v01_Req,G1715),0)</x:f>
        <x:v>0</x:v>
      </x:c>
      <x:c r="AS1715" s="32" t="n">
        <x:f>IF(H1715=1,IF(E1715=1,AS1714-AR1714,AS1714)+AQ1715,0)</x:f>
        <x:v>0</x:v>
      </x:c>
      <x:c r="AT1715" s="11" t="n">
        <x:f>IF(AR1715&gt;0,MIN(1,AS1715/AR1715),1)</x:f>
        <x:v>1</x:v>
      </x:c>
      <x:c r="AU1715" s="10" t="n">
        <x:f>AB1715/INDEX(v01_RepScale,G1715)</x:f>
        <x:v>90.09519605746344</x:v>
      </x:c>
      <x:c r="AV1715" s="32" t="n">
        <x:f>AM1715*60/v01_SeasonSeconds</x:f>
        <x:v>0</x:v>
      </x:c>
    </x:row>
    <x:row r="1716">
      <x:c r="A1716" s="8" t="n">
        <x:f>A1715+1</x:f>
        <x:v>1713</x:v>
      </x:c>
      <x:c r="B1716" s="9" t="n">
        <x:f>A1716*v01_SeasonSeconds/60</x:f>
        <x:v>428.25</x:v>
      </x:c>
      <x:c r="C1716" s="9" t="n">
        <x:f>A1716/4</x:f>
        <x:v>428.25</x:v>
      </x:c>
      <x:c r="D1716" s="8" t="n">
        <x:f>IF(MOD(A1716,4)=0,1,0)</x:f>
        <x:v>0</x:v>
      </x:c>
      <x:c r="E1716" s="8" t="n">
        <x:f>IF(AND(F1715&lt;=9,AS1715&gt;=AR1715),1,0)</x:f>
        <x:v>0</x:v>
      </x:c>
      <x:c r="F1716" s="8" t="n">
        <x:f>MIN(10,F1715+E1716)</x:f>
        <x:v>10</x:v>
      </x:c>
      <x:c r="G1716" s="8" t="n">
        <x:f>MIN(F1716,9)+1</x:f>
        <x:v>10</x:v>
      </x:c>
      <x:c r="H1716" s="8" t="n">
        <x:f>IF(F1716&lt;=9,1,0)</x:f>
        <x:v>0</x:v>
      </x:c>
      <x:c r="I1716" s="9" t="n">
        <x:f>MIN(10,F1715+IF(AR1715&gt;0,MIN(1,AS1715/AR1715),1))</x:f>
        <x:v>10</x:v>
      </x:c>
      <x:c r="J1716" s="32" t="n">
        <x:f>INDEX(v01_FoodCap,G1716)*Arch_FoodCap*EXP(v01_CapsByProject*SUMPRODUCT((Cap_Point&lt;=I1716)*(Cap_Kind="Food")*Cap_Ln))</x:f>
        <x:v>12000</x:v>
      </x:c>
      <x:c r="K1716" s="32" t="n">
        <x:f>J1716*MIN(1,v01_LeanBase*EXP(v01_CapsByProject*SUMPRODUCT((Cap_Point&lt;=I1716)*(Cap_Kind="Lean")*Cap_Ln)))</x:f>
        <x:v>12000</x:v>
      </x:c>
      <x:c r="L1716" s="10" t="n">
        <x:f>INDEX(v01_HousingCap,G1716)*EXP(v01_CapsByProject*SUMPRODUCT((Cap_Point&lt;=I1716)*(Cap_Kind="Housing")*Cap_Ln))</x:f>
        <x:v>20000</x:v>
      </x:c>
      <x:c r="M1716" s="10" t="n">
        <x:f>INDEX(v01_GroupCap,G1716)*v01_CohesionFactor*EXP(v01_CapsByProject*SUMPRODUCT((Cap_Point&lt;=I1716)*(Cap_Kind="Group")*Cap_Ln))</x:f>
        <x:v>1000000</x:v>
      </x:c>
      <x:c r="N1716" s="32" t="n">
        <x:f>MIN(J1716,L1716,M1716)</x:f>
        <x:v>12000</x:v>
      </x:c>
      <x:c r="O1716" s="10" t="n">
        <x:f>AE1715*N1716</x:f>
        <x:v>180000</x:v>
      </x:c>
      <x:c r="P1716" s="9" t="n">
        <x:f>MIN(1,(AB1715/(AE1715*IF(v01_GroupInCrowding=1,N1716,MIN(J1716,L1716))))^v01_CrowdingExp)</x:f>
        <x:v>0.00024569414295285325</x:v>
      </x:c>
      <x:c r="Q1716" s="9" t="n">
        <x:f>IF(D1716=1,INDEX(v01_WinterMult,G1716),1)</x:f>
        <x:v>1</x:v>
      </x:c>
      <x:c r="R1716" s="9" t="n">
        <x:f>H1716*Z1715*v01_WomenShare*v01_BaseFertility*INDEX(v01_FertMult,G1716)*Arch_Fertility*(1-P1716)</x:f>
        <x:v>0</x:v>
      </x:c>
      <x:c r="S1716" s="9" t="n">
        <x:f>H1716*Y1715*INDEX(v01_MortChild,G1716)/4*Q1716</x:f>
        <x:v>0</x:v>
      </x:c>
      <x:c r="T1716" s="9" t="n">
        <x:f>H1716*Z1715*INDEX(v01_MortAdult,G1716)*Arch_AdultMort/4*Q1716</x:f>
        <x:v>0</x:v>
      </x:c>
      <x:c r="U1716" s="9" t="n">
        <x:f>H1716*AA1715*INDEX(v01_MortElder,G1716)/4*Q1716</x:f>
        <x:v>0</x:v>
      </x:c>
      <x:c r="V1716" s="9" t="n">
        <x:f>H1716*MAX(0,AB1715-O1716)*v01_OvercapLoss</x:f>
        <x:v>0</x:v>
      </x:c>
      <x:c r="W1716" s="9" t="n">
        <x:f>H1716*Y1715/(v01_ChildYears*4)</x:f>
        <x:v>0</x:v>
      </x:c>
      <x:c r="X1716" s="9" t="n">
        <x:f>H1716*Z1715/(v01_AdultYears*4)</x:f>
        <x:v>0</x:v>
      </x:c>
      <x:c r="Y1716" s="32" t="n">
        <x:f>Y1715+R1716-S1716-W1716-Y1715*V1716/AB1715</x:f>
        <x:v>14306.18539759397</x:v>
      </x:c>
      <x:c r="Z1716" s="32" t="n">
        <x:f>Z1715+W1716-X1716-T1716-Z1715*V1716/AB1715</x:f>
        <x:v>19354.456567879548</x:v>
      </x:c>
      <x:c r="AA1716" s="32" t="n">
        <x:f>AA1715+X1716-U1716-AA1715*V1716/AB1715</x:f>
        <x:v>11386.956063258198</x:v>
      </x:c>
      <x:c r="AB1716" s="10" t="n">
        <x:f>Y1716+Z1716+AA1716</x:f>
        <x:v>45047.59802873172</x:v>
      </x:c>
      <x:c r="AC1716" s="8" t="n">
        <x:f>IF(AND(v01_WinterTrigger=1,D1716=1,AB1715/AE1715&gt;=K1716),1,0)</x:f>
        <x:v>0</x:v>
      </x:c>
      <x:c r="AD1716" s="8" t="n">
        <x:f>H1716*IF(AND(OR(AB1715/AE1715&gt;=v01_FissionTrigger*N1716,AC1716=1),AB1715/AE1715*v01_DaughterShare&gt;=v01_MinDaughter),MAX(1,ROUND(AE1715*v01_FissionRate,0)),0)</x:f>
        <x:v>0</x:v>
      </x:c>
      <x:c r="AE1716" s="8" t="n">
        <x:f>IF(H1716=1,MAX(1,MIN(INDEX(v01_Smax,G1716),AE1715+AD1716)),AE1715)</x:f>
        <x:v>15</x:v>
      </x:c>
      <x:c r="AF1716" s="8" t="n">
        <x:f>MAX(0,AE1716-AE1715)</x:f>
        <x:v>0</x:v>
      </x:c>
      <x:c r="AG1716" s="9" t="str">
        <x:f>IF(AF1716&gt;0,B1716,"")</x:f>
      </x:c>
      <x:c r="AH1716" s="9" t="n">
        <x:f>IF(F1716&gt;=1,1,(1+v01_LowTiesShare*(AE1716-1))/AE1716)</x:f>
        <x:v>1</x:v>
      </x:c>
      <x:c r="AI1716" s="32" t="n">
        <x:f>(Z1716+v01_ElderCommons*INDEX(LM_Elder,G1716)*AA1716)*AH1716</x:f>
        <x:v>64139.732591141874</x:v>
      </x:c>
      <x:c r="AJ1716" s="32" t="n">
        <x:f>H1716*v01_CommonsCoef*AI1716^v01_CommonsExp*INDEX(LM_Commons,G1716)</x:f>
        <x:v>0</x:v>
      </x:c>
      <x:c r="AK1716" s="32" t="n">
        <x:f>H1716*v01_RoleScale*Arch_Roles*(AE1716*(INDEX(v01_ElderRolePerSett,G1716)*v01_OutElder*INDEX(LM_Elder,G1716)+INDEX(v01_ShamanPerSett,G1716)*v01_OutShaman)+Z1716*(INDEX(v01_PriestShare,G1716)*v01_OutPriest+INDEX(v01_ScribeShare,G1716)*v01_OutScribe*INDEX(LM_Scribe,G1716)+INDEX(v01_ScholarShare,G1716)*v01_OutScholar*INDEX(LM_Scholar,G1716)+INDEX(v01_ResearcherShare,G1716)*v01_OutResearcher*INDEX(LM_Researcher,G1716)))</x:f>
        <x:v>0</x:v>
      </x:c>
      <x:c r="AL1716" s="32" t="n">
        <x:f>H1716*v01_RoleScale*Arch_Roles*AE1716*INDEX(v01_MonasteryPerSett,G1716)*v01_OutMonastery*INDEX(LM_Monastery,G1716)</x:f>
        <x:v>0</x:v>
      </x:c>
      <x:c r="AM1716" s="32" t="n">
        <x:f>(AJ1716+AK1716+AL1716)/4*INDEX(LM_All,G1716)*INDEX(v01_Boon,G1716)*Arch_Insight</x:f>
        <x:v>0</x:v>
      </x:c>
      <x:c r="AN1716" s="32" t="n">
        <x:f>H1716*(v01_KHPerAdult*Z1716+v01_KHOfCommons*AJ1716/4*INDEX(LM_All,G1716))*v01_KHUsable*Arch_KH</x:f>
        <x:v>0</x:v>
      </x:c>
      <x:c r="AO1716" s="32" t="n">
        <x:f>MIN(AP1715+AN1716,AM1716*v01_KHMaxRatio)</x:f>
        <x:v>0</x:v>
      </x:c>
      <x:c r="AP1716" s="32" t="n">
        <x:f>AP1715+AN1716-AO1716</x:f>
        <x:v>0</x:v>
      </x:c>
      <x:c r="AQ1716" s="32" t="n">
        <x:f>AM1716+AO1716</x:f>
        <x:v>0</x:v>
      </x:c>
      <x:c r="AR1716" s="10" t="n">
        <x:f>IF(H1716=1,INDEX(v01_Req,G1716),0)</x:f>
        <x:v>0</x:v>
      </x:c>
      <x:c r="AS1716" s="32" t="n">
        <x:f>IF(H1716=1,IF(E1716=1,AS1715-AR1715,AS1715)+AQ1716,0)</x:f>
        <x:v>0</x:v>
      </x:c>
      <x:c r="AT1716" s="11" t="n">
        <x:f>IF(AR1716&gt;0,MIN(1,AS1716/AR1716),1)</x:f>
        <x:v>1</x:v>
      </x:c>
      <x:c r="AU1716" s="10" t="n">
        <x:f>AB1716/INDEX(v01_RepScale,G1716)</x:f>
        <x:v>90.09519605746344</x:v>
      </x:c>
      <x:c r="AV1716" s="32" t="n">
        <x:f>AM1716*60/v01_SeasonSeconds</x:f>
        <x:v>0</x:v>
      </x:c>
    </x:row>
    <x:row r="1717">
      <x:c r="A1717" s="8" t="n">
        <x:f>A1716+1</x:f>
        <x:v>1714</x:v>
      </x:c>
      <x:c r="B1717" s="9" t="n">
        <x:f>A1717*v01_SeasonSeconds/60</x:f>
        <x:v>428.5</x:v>
      </x:c>
      <x:c r="C1717" s="9" t="n">
        <x:f>A1717/4</x:f>
        <x:v>428.5</x:v>
      </x:c>
      <x:c r="D1717" s="8" t="n">
        <x:f>IF(MOD(A1717,4)=0,1,0)</x:f>
        <x:v>0</x:v>
      </x:c>
      <x:c r="E1717" s="8" t="n">
        <x:f>IF(AND(F1716&lt;=9,AS1716&gt;=AR1716),1,0)</x:f>
        <x:v>0</x:v>
      </x:c>
      <x:c r="F1717" s="8" t="n">
        <x:f>MIN(10,F1716+E1717)</x:f>
        <x:v>10</x:v>
      </x:c>
      <x:c r="G1717" s="8" t="n">
        <x:f>MIN(F1717,9)+1</x:f>
        <x:v>10</x:v>
      </x:c>
      <x:c r="H1717" s="8" t="n">
        <x:f>IF(F1717&lt;=9,1,0)</x:f>
        <x:v>0</x:v>
      </x:c>
      <x:c r="I1717" s="9" t="n">
        <x:f>MIN(10,F1716+IF(AR1716&gt;0,MIN(1,AS1716/AR1716),1))</x:f>
        <x:v>10</x:v>
      </x:c>
      <x:c r="J1717" s="32" t="n">
        <x:f>INDEX(v01_FoodCap,G1717)*Arch_FoodCap*EXP(v01_CapsByProject*SUMPRODUCT((Cap_Point&lt;=I1717)*(Cap_Kind="Food")*Cap_Ln))</x:f>
        <x:v>12000</x:v>
      </x:c>
      <x:c r="K1717" s="32" t="n">
        <x:f>J1717*MIN(1,v01_LeanBase*EXP(v01_CapsByProject*SUMPRODUCT((Cap_Point&lt;=I1717)*(Cap_Kind="Lean")*Cap_Ln)))</x:f>
        <x:v>12000</x:v>
      </x:c>
      <x:c r="L1717" s="10" t="n">
        <x:f>INDEX(v01_HousingCap,G1717)*EXP(v01_CapsByProject*SUMPRODUCT((Cap_Point&lt;=I1717)*(Cap_Kind="Housing")*Cap_Ln))</x:f>
        <x:v>20000</x:v>
      </x:c>
      <x:c r="M1717" s="10" t="n">
        <x:f>INDEX(v01_GroupCap,G1717)*v01_CohesionFactor*EXP(v01_CapsByProject*SUMPRODUCT((Cap_Point&lt;=I1717)*(Cap_Kind="Group")*Cap_Ln))</x:f>
        <x:v>1000000</x:v>
      </x:c>
      <x:c r="N1717" s="32" t="n">
        <x:f>MIN(J1717,L1717,M1717)</x:f>
        <x:v>12000</x:v>
      </x:c>
      <x:c r="O1717" s="10" t="n">
        <x:f>AE1716*N1717</x:f>
        <x:v>180000</x:v>
      </x:c>
      <x:c r="P1717" s="9" t="n">
        <x:f>MIN(1,(AB1716/(AE1716*IF(v01_GroupInCrowding=1,N1717,MIN(J1717,L1717))))^v01_CrowdingExp)</x:f>
        <x:v>0.00024569414295285325</x:v>
      </x:c>
      <x:c r="Q1717" s="9" t="n">
        <x:f>IF(D1717=1,INDEX(v01_WinterMult,G1717),1)</x:f>
        <x:v>1</x:v>
      </x:c>
      <x:c r="R1717" s="9" t="n">
        <x:f>H1717*Z1716*v01_WomenShare*v01_BaseFertility*INDEX(v01_FertMult,G1717)*Arch_Fertility*(1-P1717)</x:f>
        <x:v>0</x:v>
      </x:c>
      <x:c r="S1717" s="9" t="n">
        <x:f>H1717*Y1716*INDEX(v01_MortChild,G1717)/4*Q1717</x:f>
        <x:v>0</x:v>
      </x:c>
      <x:c r="T1717" s="9" t="n">
        <x:f>H1717*Z1716*INDEX(v01_MortAdult,G1717)*Arch_AdultMort/4*Q1717</x:f>
        <x:v>0</x:v>
      </x:c>
      <x:c r="U1717" s="9" t="n">
        <x:f>H1717*AA1716*INDEX(v01_MortElder,G1717)/4*Q1717</x:f>
        <x:v>0</x:v>
      </x:c>
      <x:c r="V1717" s="9" t="n">
        <x:f>H1717*MAX(0,AB1716-O1717)*v01_OvercapLoss</x:f>
        <x:v>0</x:v>
      </x:c>
      <x:c r="W1717" s="9" t="n">
        <x:f>H1717*Y1716/(v01_ChildYears*4)</x:f>
        <x:v>0</x:v>
      </x:c>
      <x:c r="X1717" s="9" t="n">
        <x:f>H1717*Z1716/(v01_AdultYears*4)</x:f>
        <x:v>0</x:v>
      </x:c>
      <x:c r="Y1717" s="32" t="n">
        <x:f>Y1716+R1717-S1717-W1717-Y1716*V1717/AB1716</x:f>
        <x:v>14306.18539759397</x:v>
      </x:c>
      <x:c r="Z1717" s="32" t="n">
        <x:f>Z1716+W1717-X1717-T1717-Z1716*V1717/AB1716</x:f>
        <x:v>19354.456567879548</x:v>
      </x:c>
      <x:c r="AA1717" s="32" t="n">
        <x:f>AA1716+X1717-U1717-AA1716*V1717/AB1716</x:f>
        <x:v>11386.956063258198</x:v>
      </x:c>
      <x:c r="AB1717" s="10" t="n">
        <x:f>Y1717+Z1717+AA1717</x:f>
        <x:v>45047.59802873172</x:v>
      </x:c>
      <x:c r="AC1717" s="8" t="n">
        <x:f>IF(AND(v01_WinterTrigger=1,D1717=1,AB1716/AE1716&gt;=K1717),1,0)</x:f>
        <x:v>0</x:v>
      </x:c>
      <x:c r="AD1717" s="8" t="n">
        <x:f>H1717*IF(AND(OR(AB1716/AE1716&gt;=v01_FissionTrigger*N1717,AC1717=1),AB1716/AE1716*v01_DaughterShare&gt;=v01_MinDaughter),MAX(1,ROUND(AE1716*v01_FissionRate,0)),0)</x:f>
        <x:v>0</x:v>
      </x:c>
      <x:c r="AE1717" s="8" t="n">
        <x:f>IF(H1717=1,MAX(1,MIN(INDEX(v01_Smax,G1717),AE1716+AD1717)),AE1716)</x:f>
        <x:v>15</x:v>
      </x:c>
      <x:c r="AF1717" s="8" t="n">
        <x:f>MAX(0,AE1717-AE1716)</x:f>
        <x:v>0</x:v>
      </x:c>
      <x:c r="AG1717" s="9" t="str">
        <x:f>IF(AF1717&gt;0,B1717,"")</x:f>
      </x:c>
      <x:c r="AH1717" s="9" t="n">
        <x:f>IF(F1717&gt;=1,1,(1+v01_LowTiesShare*(AE1717-1))/AE1717)</x:f>
        <x:v>1</x:v>
      </x:c>
      <x:c r="AI1717" s="32" t="n">
        <x:f>(Z1717+v01_ElderCommons*INDEX(LM_Elder,G1717)*AA1717)*AH1717</x:f>
        <x:v>64139.732591141874</x:v>
      </x:c>
      <x:c r="AJ1717" s="32" t="n">
        <x:f>H1717*v01_CommonsCoef*AI1717^v01_CommonsExp*INDEX(LM_Commons,G1717)</x:f>
        <x:v>0</x:v>
      </x:c>
      <x:c r="AK1717" s="32" t="n">
        <x:f>H1717*v01_RoleScale*Arch_Roles*(AE1717*(INDEX(v01_ElderRolePerSett,G1717)*v01_OutElder*INDEX(LM_Elder,G1717)+INDEX(v01_ShamanPerSett,G1717)*v01_OutShaman)+Z1717*(INDEX(v01_PriestShare,G1717)*v01_OutPriest+INDEX(v01_ScribeShare,G1717)*v01_OutScribe*INDEX(LM_Scribe,G1717)+INDEX(v01_ScholarShare,G1717)*v01_OutScholar*INDEX(LM_Scholar,G1717)+INDEX(v01_ResearcherShare,G1717)*v01_OutResearcher*INDEX(LM_Researcher,G1717)))</x:f>
        <x:v>0</x:v>
      </x:c>
      <x:c r="AL1717" s="32" t="n">
        <x:f>H1717*v01_RoleScale*Arch_Roles*AE1717*INDEX(v01_MonasteryPerSett,G1717)*v01_OutMonastery*INDEX(LM_Monastery,G1717)</x:f>
        <x:v>0</x:v>
      </x:c>
      <x:c r="AM1717" s="32" t="n">
        <x:f>(AJ1717+AK1717+AL1717)/4*INDEX(LM_All,G1717)*INDEX(v01_Boon,G1717)*Arch_Insight</x:f>
        <x:v>0</x:v>
      </x:c>
      <x:c r="AN1717" s="32" t="n">
        <x:f>H1717*(v01_KHPerAdult*Z1717+v01_KHOfCommons*AJ1717/4*INDEX(LM_All,G1717))*v01_KHUsable*Arch_KH</x:f>
        <x:v>0</x:v>
      </x:c>
      <x:c r="AO1717" s="32" t="n">
        <x:f>MIN(AP1716+AN1717,AM1717*v01_KHMaxRatio)</x:f>
        <x:v>0</x:v>
      </x:c>
      <x:c r="AP1717" s="32" t="n">
        <x:f>AP1716+AN1717-AO1717</x:f>
        <x:v>0</x:v>
      </x:c>
      <x:c r="AQ1717" s="32" t="n">
        <x:f>AM1717+AO1717</x:f>
        <x:v>0</x:v>
      </x:c>
      <x:c r="AR1717" s="10" t="n">
        <x:f>IF(H1717=1,INDEX(v01_Req,G1717),0)</x:f>
        <x:v>0</x:v>
      </x:c>
      <x:c r="AS1717" s="32" t="n">
        <x:f>IF(H1717=1,IF(E1717=1,AS1716-AR1716,AS1716)+AQ1717,0)</x:f>
        <x:v>0</x:v>
      </x:c>
      <x:c r="AT1717" s="11" t="n">
        <x:f>IF(AR1717&gt;0,MIN(1,AS1717/AR1717),1)</x:f>
        <x:v>1</x:v>
      </x:c>
      <x:c r="AU1717" s="10" t="n">
        <x:f>AB1717/INDEX(v01_RepScale,G1717)</x:f>
        <x:v>90.09519605746344</x:v>
      </x:c>
      <x:c r="AV1717" s="32" t="n">
        <x:f>AM1717*60/v01_SeasonSeconds</x:f>
        <x:v>0</x:v>
      </x:c>
    </x:row>
    <x:row r="1718">
      <x:c r="A1718" s="8" t="n">
        <x:f>A1717+1</x:f>
        <x:v>1715</x:v>
      </x:c>
      <x:c r="B1718" s="9" t="n">
        <x:f>A1718*v01_SeasonSeconds/60</x:f>
        <x:v>428.75</x:v>
      </x:c>
      <x:c r="C1718" s="9" t="n">
        <x:f>A1718/4</x:f>
        <x:v>428.75</x:v>
      </x:c>
      <x:c r="D1718" s="8" t="n">
        <x:f>IF(MOD(A1718,4)=0,1,0)</x:f>
        <x:v>0</x:v>
      </x:c>
      <x:c r="E1718" s="8" t="n">
        <x:f>IF(AND(F1717&lt;=9,AS1717&gt;=AR1717),1,0)</x:f>
        <x:v>0</x:v>
      </x:c>
      <x:c r="F1718" s="8" t="n">
        <x:f>MIN(10,F1717+E1718)</x:f>
        <x:v>10</x:v>
      </x:c>
      <x:c r="G1718" s="8" t="n">
        <x:f>MIN(F1718,9)+1</x:f>
        <x:v>10</x:v>
      </x:c>
      <x:c r="H1718" s="8" t="n">
        <x:f>IF(F1718&lt;=9,1,0)</x:f>
        <x:v>0</x:v>
      </x:c>
      <x:c r="I1718" s="9" t="n">
        <x:f>MIN(10,F1717+IF(AR1717&gt;0,MIN(1,AS1717/AR1717),1))</x:f>
        <x:v>10</x:v>
      </x:c>
      <x:c r="J1718" s="32" t="n">
        <x:f>INDEX(v01_FoodCap,G1718)*Arch_FoodCap*EXP(v01_CapsByProject*SUMPRODUCT((Cap_Point&lt;=I1718)*(Cap_Kind="Food")*Cap_Ln))</x:f>
        <x:v>12000</x:v>
      </x:c>
      <x:c r="K1718" s="32" t="n">
        <x:f>J1718*MIN(1,v01_LeanBase*EXP(v01_CapsByProject*SUMPRODUCT((Cap_Point&lt;=I1718)*(Cap_Kind="Lean")*Cap_Ln)))</x:f>
        <x:v>12000</x:v>
      </x:c>
      <x:c r="L1718" s="10" t="n">
        <x:f>INDEX(v01_HousingCap,G1718)*EXP(v01_CapsByProject*SUMPRODUCT((Cap_Point&lt;=I1718)*(Cap_Kind="Housing")*Cap_Ln))</x:f>
        <x:v>20000</x:v>
      </x:c>
      <x:c r="M1718" s="10" t="n">
        <x:f>INDEX(v01_GroupCap,G1718)*v01_CohesionFactor*EXP(v01_CapsByProject*SUMPRODUCT((Cap_Point&lt;=I1718)*(Cap_Kind="Group")*Cap_Ln))</x:f>
        <x:v>1000000</x:v>
      </x:c>
      <x:c r="N1718" s="32" t="n">
        <x:f>MIN(J1718,L1718,M1718)</x:f>
        <x:v>12000</x:v>
      </x:c>
      <x:c r="O1718" s="10" t="n">
        <x:f>AE1717*N1718</x:f>
        <x:v>180000</x:v>
      </x:c>
      <x:c r="P1718" s="9" t="n">
        <x:f>MIN(1,(AB1717/(AE1717*IF(v01_GroupInCrowding=1,N1718,MIN(J1718,L1718))))^v01_CrowdingExp)</x:f>
        <x:v>0.00024569414295285325</x:v>
      </x:c>
      <x:c r="Q1718" s="9" t="n">
        <x:f>IF(D1718=1,INDEX(v01_WinterMult,G1718),1)</x:f>
        <x:v>1</x:v>
      </x:c>
      <x:c r="R1718" s="9" t="n">
        <x:f>H1718*Z1717*v01_WomenShare*v01_BaseFertility*INDEX(v01_FertMult,G1718)*Arch_Fertility*(1-P1718)</x:f>
        <x:v>0</x:v>
      </x:c>
      <x:c r="S1718" s="9" t="n">
        <x:f>H1718*Y1717*INDEX(v01_MortChild,G1718)/4*Q1718</x:f>
        <x:v>0</x:v>
      </x:c>
      <x:c r="T1718" s="9" t="n">
        <x:f>H1718*Z1717*INDEX(v01_MortAdult,G1718)*Arch_AdultMort/4*Q1718</x:f>
        <x:v>0</x:v>
      </x:c>
      <x:c r="U1718" s="9" t="n">
        <x:f>H1718*AA1717*INDEX(v01_MortElder,G1718)/4*Q1718</x:f>
        <x:v>0</x:v>
      </x:c>
      <x:c r="V1718" s="9" t="n">
        <x:f>H1718*MAX(0,AB1717-O1718)*v01_OvercapLoss</x:f>
        <x:v>0</x:v>
      </x:c>
      <x:c r="W1718" s="9" t="n">
        <x:f>H1718*Y1717/(v01_ChildYears*4)</x:f>
        <x:v>0</x:v>
      </x:c>
      <x:c r="X1718" s="9" t="n">
        <x:f>H1718*Z1717/(v01_AdultYears*4)</x:f>
        <x:v>0</x:v>
      </x:c>
      <x:c r="Y1718" s="32" t="n">
        <x:f>Y1717+R1718-S1718-W1718-Y1717*V1718/AB1717</x:f>
        <x:v>14306.18539759397</x:v>
      </x:c>
      <x:c r="Z1718" s="32" t="n">
        <x:f>Z1717+W1718-X1718-T1718-Z1717*V1718/AB1717</x:f>
        <x:v>19354.456567879548</x:v>
      </x:c>
      <x:c r="AA1718" s="32" t="n">
        <x:f>AA1717+X1718-U1718-AA1717*V1718/AB1717</x:f>
        <x:v>11386.956063258198</x:v>
      </x:c>
      <x:c r="AB1718" s="10" t="n">
        <x:f>Y1718+Z1718+AA1718</x:f>
        <x:v>45047.59802873172</x:v>
      </x:c>
      <x:c r="AC1718" s="8" t="n">
        <x:f>IF(AND(v01_WinterTrigger=1,D1718=1,AB1717/AE1717&gt;=K1718),1,0)</x:f>
        <x:v>0</x:v>
      </x:c>
      <x:c r="AD1718" s="8" t="n">
        <x:f>H1718*IF(AND(OR(AB1717/AE1717&gt;=v01_FissionTrigger*N1718,AC1718=1),AB1717/AE1717*v01_DaughterShare&gt;=v01_MinDaughter),MAX(1,ROUND(AE1717*v01_FissionRate,0)),0)</x:f>
        <x:v>0</x:v>
      </x:c>
      <x:c r="AE1718" s="8" t="n">
        <x:f>IF(H1718=1,MAX(1,MIN(INDEX(v01_Smax,G1718),AE1717+AD1718)),AE1717)</x:f>
        <x:v>15</x:v>
      </x:c>
      <x:c r="AF1718" s="8" t="n">
        <x:f>MAX(0,AE1718-AE1717)</x:f>
        <x:v>0</x:v>
      </x:c>
      <x:c r="AG1718" s="9" t="str">
        <x:f>IF(AF1718&gt;0,B1718,"")</x:f>
      </x:c>
      <x:c r="AH1718" s="9" t="n">
        <x:f>IF(F1718&gt;=1,1,(1+v01_LowTiesShare*(AE1718-1))/AE1718)</x:f>
        <x:v>1</x:v>
      </x:c>
      <x:c r="AI1718" s="32" t="n">
        <x:f>(Z1718+v01_ElderCommons*INDEX(LM_Elder,G1718)*AA1718)*AH1718</x:f>
        <x:v>64139.732591141874</x:v>
      </x:c>
      <x:c r="AJ1718" s="32" t="n">
        <x:f>H1718*v01_CommonsCoef*AI1718^v01_CommonsExp*INDEX(LM_Commons,G1718)</x:f>
        <x:v>0</x:v>
      </x:c>
      <x:c r="AK1718" s="32" t="n">
        <x:f>H1718*v01_RoleScale*Arch_Roles*(AE1718*(INDEX(v01_ElderRolePerSett,G1718)*v01_OutElder*INDEX(LM_Elder,G1718)+INDEX(v01_ShamanPerSett,G1718)*v01_OutShaman)+Z1718*(INDEX(v01_PriestShare,G1718)*v01_OutPriest+INDEX(v01_ScribeShare,G1718)*v01_OutScribe*INDEX(LM_Scribe,G1718)+INDEX(v01_ScholarShare,G1718)*v01_OutScholar*INDEX(LM_Scholar,G1718)+INDEX(v01_ResearcherShare,G1718)*v01_OutResearcher*INDEX(LM_Researcher,G1718)))</x:f>
        <x:v>0</x:v>
      </x:c>
      <x:c r="AL1718" s="32" t="n">
        <x:f>H1718*v01_RoleScale*Arch_Roles*AE1718*INDEX(v01_MonasteryPerSett,G1718)*v01_OutMonastery*INDEX(LM_Monastery,G1718)</x:f>
        <x:v>0</x:v>
      </x:c>
      <x:c r="AM1718" s="32" t="n">
        <x:f>(AJ1718+AK1718+AL1718)/4*INDEX(LM_All,G1718)*INDEX(v01_Boon,G1718)*Arch_Insight</x:f>
        <x:v>0</x:v>
      </x:c>
      <x:c r="AN1718" s="32" t="n">
        <x:f>H1718*(v01_KHPerAdult*Z1718+v01_KHOfCommons*AJ1718/4*INDEX(LM_All,G1718))*v01_KHUsable*Arch_KH</x:f>
        <x:v>0</x:v>
      </x:c>
      <x:c r="AO1718" s="32" t="n">
        <x:f>MIN(AP1717+AN1718,AM1718*v01_KHMaxRatio)</x:f>
        <x:v>0</x:v>
      </x:c>
      <x:c r="AP1718" s="32" t="n">
        <x:f>AP1717+AN1718-AO1718</x:f>
        <x:v>0</x:v>
      </x:c>
      <x:c r="AQ1718" s="32" t="n">
        <x:f>AM1718+AO1718</x:f>
        <x:v>0</x:v>
      </x:c>
      <x:c r="AR1718" s="10" t="n">
        <x:f>IF(H1718=1,INDEX(v01_Req,G1718),0)</x:f>
        <x:v>0</x:v>
      </x:c>
      <x:c r="AS1718" s="32" t="n">
        <x:f>IF(H1718=1,IF(E1718=1,AS1717-AR1717,AS1717)+AQ1718,0)</x:f>
        <x:v>0</x:v>
      </x:c>
      <x:c r="AT1718" s="11" t="n">
        <x:f>IF(AR1718&gt;0,MIN(1,AS1718/AR1718),1)</x:f>
        <x:v>1</x:v>
      </x:c>
      <x:c r="AU1718" s="10" t="n">
        <x:f>AB1718/INDEX(v01_RepScale,G1718)</x:f>
        <x:v>90.09519605746344</x:v>
      </x:c>
      <x:c r="AV1718" s="32" t="n">
        <x:f>AM1718*60/v01_SeasonSeconds</x:f>
        <x:v>0</x:v>
      </x:c>
    </x:row>
    <x:row r="1719">
      <x:c r="A1719" s="8" t="n">
        <x:f>A1718+1</x:f>
        <x:v>1716</x:v>
      </x:c>
      <x:c r="B1719" s="9" t="n">
        <x:f>A1719*v01_SeasonSeconds/60</x:f>
        <x:v>429</x:v>
      </x:c>
      <x:c r="C1719" s="9" t="n">
        <x:f>A1719/4</x:f>
        <x:v>429</x:v>
      </x:c>
      <x:c r="D1719" s="8" t="n">
        <x:f>IF(MOD(A1719,4)=0,1,0)</x:f>
        <x:v>1</x:v>
      </x:c>
      <x:c r="E1719" s="8" t="n">
        <x:f>IF(AND(F1718&lt;=9,AS1718&gt;=AR1718),1,0)</x:f>
        <x:v>0</x:v>
      </x:c>
      <x:c r="F1719" s="8" t="n">
        <x:f>MIN(10,F1718+E1719)</x:f>
        <x:v>10</x:v>
      </x:c>
      <x:c r="G1719" s="8" t="n">
        <x:f>MIN(F1719,9)+1</x:f>
        <x:v>10</x:v>
      </x:c>
      <x:c r="H1719" s="8" t="n">
        <x:f>IF(F1719&lt;=9,1,0)</x:f>
        <x:v>0</x:v>
      </x:c>
      <x:c r="I1719" s="9" t="n">
        <x:f>MIN(10,F1718+IF(AR1718&gt;0,MIN(1,AS1718/AR1718),1))</x:f>
        <x:v>10</x:v>
      </x:c>
      <x:c r="J1719" s="32" t="n">
        <x:f>INDEX(v01_FoodCap,G1719)*Arch_FoodCap*EXP(v01_CapsByProject*SUMPRODUCT((Cap_Point&lt;=I1719)*(Cap_Kind="Food")*Cap_Ln))</x:f>
        <x:v>12000</x:v>
      </x:c>
      <x:c r="K1719" s="32" t="n">
        <x:f>J1719*MIN(1,v01_LeanBase*EXP(v01_CapsByProject*SUMPRODUCT((Cap_Point&lt;=I1719)*(Cap_Kind="Lean")*Cap_Ln)))</x:f>
        <x:v>12000</x:v>
      </x:c>
      <x:c r="L1719" s="10" t="n">
        <x:f>INDEX(v01_HousingCap,G1719)*EXP(v01_CapsByProject*SUMPRODUCT((Cap_Point&lt;=I1719)*(Cap_Kind="Housing")*Cap_Ln))</x:f>
        <x:v>20000</x:v>
      </x:c>
      <x:c r="M1719" s="10" t="n">
        <x:f>INDEX(v01_GroupCap,G1719)*v01_CohesionFactor*EXP(v01_CapsByProject*SUMPRODUCT((Cap_Point&lt;=I1719)*(Cap_Kind="Group")*Cap_Ln))</x:f>
        <x:v>1000000</x:v>
      </x:c>
      <x:c r="N1719" s="32" t="n">
        <x:f>MIN(J1719,L1719,M1719)</x:f>
        <x:v>12000</x:v>
      </x:c>
      <x:c r="O1719" s="10" t="n">
        <x:f>AE1718*N1719</x:f>
        <x:v>180000</x:v>
      </x:c>
      <x:c r="P1719" s="9" t="n">
        <x:f>MIN(1,(AB1718/(AE1718*IF(v01_GroupInCrowding=1,N1719,MIN(J1719,L1719))))^v01_CrowdingExp)</x:f>
        <x:v>0.00024569414295285325</x:v>
      </x:c>
      <x:c r="Q1719" s="9" t="n">
        <x:f>IF(D1719=1,INDEX(v01_WinterMult,G1719),1)</x:f>
        <x:v>1</x:v>
      </x:c>
      <x:c r="R1719" s="9" t="n">
        <x:f>H1719*Z1718*v01_WomenShare*v01_BaseFertility*INDEX(v01_FertMult,G1719)*Arch_Fertility*(1-P1719)</x:f>
        <x:v>0</x:v>
      </x:c>
      <x:c r="S1719" s="9" t="n">
        <x:f>H1719*Y1718*INDEX(v01_MortChild,G1719)/4*Q1719</x:f>
        <x:v>0</x:v>
      </x:c>
      <x:c r="T1719" s="9" t="n">
        <x:f>H1719*Z1718*INDEX(v01_MortAdult,G1719)*Arch_AdultMort/4*Q1719</x:f>
        <x:v>0</x:v>
      </x:c>
      <x:c r="U1719" s="9" t="n">
        <x:f>H1719*AA1718*INDEX(v01_MortElder,G1719)/4*Q1719</x:f>
        <x:v>0</x:v>
      </x:c>
      <x:c r="V1719" s="9" t="n">
        <x:f>H1719*MAX(0,AB1718-O1719)*v01_OvercapLoss</x:f>
        <x:v>0</x:v>
      </x:c>
      <x:c r="W1719" s="9" t="n">
        <x:f>H1719*Y1718/(v01_ChildYears*4)</x:f>
        <x:v>0</x:v>
      </x:c>
      <x:c r="X1719" s="9" t="n">
        <x:f>H1719*Z1718/(v01_AdultYears*4)</x:f>
        <x:v>0</x:v>
      </x:c>
      <x:c r="Y1719" s="32" t="n">
        <x:f>Y1718+R1719-S1719-W1719-Y1718*V1719/AB1718</x:f>
        <x:v>14306.18539759397</x:v>
      </x:c>
      <x:c r="Z1719" s="32" t="n">
        <x:f>Z1718+W1719-X1719-T1719-Z1718*V1719/AB1718</x:f>
        <x:v>19354.456567879548</x:v>
      </x:c>
      <x:c r="AA1719" s="32" t="n">
        <x:f>AA1718+X1719-U1719-AA1718*V1719/AB1718</x:f>
        <x:v>11386.956063258198</x:v>
      </x:c>
      <x:c r="AB1719" s="10" t="n">
        <x:f>Y1719+Z1719+AA1719</x:f>
        <x:v>45047.59802873172</x:v>
      </x:c>
      <x:c r="AC1719" s="8" t="n">
        <x:f>IF(AND(v01_WinterTrigger=1,D1719=1,AB1718/AE1718&gt;=K1719),1,0)</x:f>
        <x:v>0</x:v>
      </x:c>
      <x:c r="AD1719" s="8" t="n">
        <x:f>H1719*IF(AND(OR(AB1718/AE1718&gt;=v01_FissionTrigger*N1719,AC1719=1),AB1718/AE1718*v01_DaughterShare&gt;=v01_MinDaughter),MAX(1,ROUND(AE1718*v01_FissionRate,0)),0)</x:f>
        <x:v>0</x:v>
      </x:c>
      <x:c r="AE1719" s="8" t="n">
        <x:f>IF(H1719=1,MAX(1,MIN(INDEX(v01_Smax,G1719),AE1718+AD1719)),AE1718)</x:f>
        <x:v>15</x:v>
      </x:c>
      <x:c r="AF1719" s="8" t="n">
        <x:f>MAX(0,AE1719-AE1718)</x:f>
        <x:v>0</x:v>
      </x:c>
      <x:c r="AG1719" s="9" t="str">
        <x:f>IF(AF1719&gt;0,B1719,"")</x:f>
      </x:c>
      <x:c r="AH1719" s="9" t="n">
        <x:f>IF(F1719&gt;=1,1,(1+v01_LowTiesShare*(AE1719-1))/AE1719)</x:f>
        <x:v>1</x:v>
      </x:c>
      <x:c r="AI1719" s="32" t="n">
        <x:f>(Z1719+v01_ElderCommons*INDEX(LM_Elder,G1719)*AA1719)*AH1719</x:f>
        <x:v>64139.732591141874</x:v>
      </x:c>
      <x:c r="AJ1719" s="32" t="n">
        <x:f>H1719*v01_CommonsCoef*AI1719^v01_CommonsExp*INDEX(LM_Commons,G1719)</x:f>
        <x:v>0</x:v>
      </x:c>
      <x:c r="AK1719" s="32" t="n">
        <x:f>H1719*v01_RoleScale*Arch_Roles*(AE1719*(INDEX(v01_ElderRolePerSett,G1719)*v01_OutElder*INDEX(LM_Elder,G1719)+INDEX(v01_ShamanPerSett,G1719)*v01_OutShaman)+Z1719*(INDEX(v01_PriestShare,G1719)*v01_OutPriest+INDEX(v01_ScribeShare,G1719)*v01_OutScribe*INDEX(LM_Scribe,G1719)+INDEX(v01_ScholarShare,G1719)*v01_OutScholar*INDEX(LM_Scholar,G1719)+INDEX(v01_ResearcherShare,G1719)*v01_OutResearcher*INDEX(LM_Researcher,G1719)))</x:f>
        <x:v>0</x:v>
      </x:c>
      <x:c r="AL1719" s="32" t="n">
        <x:f>H1719*v01_RoleScale*Arch_Roles*AE1719*INDEX(v01_MonasteryPerSett,G1719)*v01_OutMonastery*INDEX(LM_Monastery,G1719)</x:f>
        <x:v>0</x:v>
      </x:c>
      <x:c r="AM1719" s="32" t="n">
        <x:f>(AJ1719+AK1719+AL1719)/4*INDEX(LM_All,G1719)*INDEX(v01_Boon,G1719)*Arch_Insight</x:f>
        <x:v>0</x:v>
      </x:c>
      <x:c r="AN1719" s="32" t="n">
        <x:f>H1719*(v01_KHPerAdult*Z1719+v01_KHOfCommons*AJ1719/4*INDEX(LM_All,G1719))*v01_KHUsable*Arch_KH</x:f>
        <x:v>0</x:v>
      </x:c>
      <x:c r="AO1719" s="32" t="n">
        <x:f>MIN(AP1718+AN1719,AM1719*v01_KHMaxRatio)</x:f>
        <x:v>0</x:v>
      </x:c>
      <x:c r="AP1719" s="32" t="n">
        <x:f>AP1718+AN1719-AO1719</x:f>
        <x:v>0</x:v>
      </x:c>
      <x:c r="AQ1719" s="32" t="n">
        <x:f>AM1719+AO1719</x:f>
        <x:v>0</x:v>
      </x:c>
      <x:c r="AR1719" s="10" t="n">
        <x:f>IF(H1719=1,INDEX(v01_Req,G1719),0)</x:f>
        <x:v>0</x:v>
      </x:c>
      <x:c r="AS1719" s="32" t="n">
        <x:f>IF(H1719=1,IF(E1719=1,AS1718-AR1718,AS1718)+AQ1719,0)</x:f>
        <x:v>0</x:v>
      </x:c>
      <x:c r="AT1719" s="11" t="n">
        <x:f>IF(AR1719&gt;0,MIN(1,AS1719/AR1719),1)</x:f>
        <x:v>1</x:v>
      </x:c>
      <x:c r="AU1719" s="10" t="n">
        <x:f>AB1719/INDEX(v01_RepScale,G1719)</x:f>
        <x:v>90.09519605746344</x:v>
      </x:c>
      <x:c r="AV1719" s="32" t="n">
        <x:f>AM1719*60/v01_SeasonSeconds</x:f>
        <x:v>0</x:v>
      </x:c>
    </x:row>
    <x:row r="1720">
      <x:c r="A1720" s="8" t="n">
        <x:f>A1719+1</x:f>
        <x:v>1717</x:v>
      </x:c>
      <x:c r="B1720" s="9" t="n">
        <x:f>A1720*v01_SeasonSeconds/60</x:f>
        <x:v>429.25</x:v>
      </x:c>
      <x:c r="C1720" s="9" t="n">
        <x:f>A1720/4</x:f>
        <x:v>429.25</x:v>
      </x:c>
      <x:c r="D1720" s="8" t="n">
        <x:f>IF(MOD(A1720,4)=0,1,0)</x:f>
        <x:v>0</x:v>
      </x:c>
      <x:c r="E1720" s="8" t="n">
        <x:f>IF(AND(F1719&lt;=9,AS1719&gt;=AR1719),1,0)</x:f>
        <x:v>0</x:v>
      </x:c>
      <x:c r="F1720" s="8" t="n">
        <x:f>MIN(10,F1719+E1720)</x:f>
        <x:v>10</x:v>
      </x:c>
      <x:c r="G1720" s="8" t="n">
        <x:f>MIN(F1720,9)+1</x:f>
        <x:v>10</x:v>
      </x:c>
      <x:c r="H1720" s="8" t="n">
        <x:f>IF(F1720&lt;=9,1,0)</x:f>
        <x:v>0</x:v>
      </x:c>
      <x:c r="I1720" s="9" t="n">
        <x:f>MIN(10,F1719+IF(AR1719&gt;0,MIN(1,AS1719/AR1719),1))</x:f>
        <x:v>10</x:v>
      </x:c>
      <x:c r="J1720" s="32" t="n">
        <x:f>INDEX(v01_FoodCap,G1720)*Arch_FoodCap*EXP(v01_CapsByProject*SUMPRODUCT((Cap_Point&lt;=I1720)*(Cap_Kind="Food")*Cap_Ln))</x:f>
        <x:v>12000</x:v>
      </x:c>
      <x:c r="K1720" s="32" t="n">
        <x:f>J1720*MIN(1,v01_LeanBase*EXP(v01_CapsByProject*SUMPRODUCT((Cap_Point&lt;=I1720)*(Cap_Kind="Lean")*Cap_Ln)))</x:f>
        <x:v>12000</x:v>
      </x:c>
      <x:c r="L1720" s="10" t="n">
        <x:f>INDEX(v01_HousingCap,G1720)*EXP(v01_CapsByProject*SUMPRODUCT((Cap_Point&lt;=I1720)*(Cap_Kind="Housing")*Cap_Ln))</x:f>
        <x:v>20000</x:v>
      </x:c>
      <x:c r="M1720" s="10" t="n">
        <x:f>INDEX(v01_GroupCap,G1720)*v01_CohesionFactor*EXP(v01_CapsByProject*SUMPRODUCT((Cap_Point&lt;=I1720)*(Cap_Kind="Group")*Cap_Ln))</x:f>
        <x:v>1000000</x:v>
      </x:c>
      <x:c r="N1720" s="32" t="n">
        <x:f>MIN(J1720,L1720,M1720)</x:f>
        <x:v>12000</x:v>
      </x:c>
      <x:c r="O1720" s="10" t="n">
        <x:f>AE1719*N1720</x:f>
        <x:v>180000</x:v>
      </x:c>
      <x:c r="P1720" s="9" t="n">
        <x:f>MIN(1,(AB1719/(AE1719*IF(v01_GroupInCrowding=1,N1720,MIN(J1720,L1720))))^v01_CrowdingExp)</x:f>
        <x:v>0.00024569414295285325</x:v>
      </x:c>
      <x:c r="Q1720" s="9" t="n">
        <x:f>IF(D1720=1,INDEX(v01_WinterMult,G1720),1)</x:f>
        <x:v>1</x:v>
      </x:c>
      <x:c r="R1720" s="9" t="n">
        <x:f>H1720*Z1719*v01_WomenShare*v01_BaseFertility*INDEX(v01_FertMult,G1720)*Arch_Fertility*(1-P1720)</x:f>
        <x:v>0</x:v>
      </x:c>
      <x:c r="S1720" s="9" t="n">
        <x:f>H1720*Y1719*INDEX(v01_MortChild,G1720)/4*Q1720</x:f>
        <x:v>0</x:v>
      </x:c>
      <x:c r="T1720" s="9" t="n">
        <x:f>H1720*Z1719*INDEX(v01_MortAdult,G1720)*Arch_AdultMort/4*Q1720</x:f>
        <x:v>0</x:v>
      </x:c>
      <x:c r="U1720" s="9" t="n">
        <x:f>H1720*AA1719*INDEX(v01_MortElder,G1720)/4*Q1720</x:f>
        <x:v>0</x:v>
      </x:c>
      <x:c r="V1720" s="9" t="n">
        <x:f>H1720*MAX(0,AB1719-O1720)*v01_OvercapLoss</x:f>
        <x:v>0</x:v>
      </x:c>
      <x:c r="W1720" s="9" t="n">
        <x:f>H1720*Y1719/(v01_ChildYears*4)</x:f>
        <x:v>0</x:v>
      </x:c>
      <x:c r="X1720" s="9" t="n">
        <x:f>H1720*Z1719/(v01_AdultYears*4)</x:f>
        <x:v>0</x:v>
      </x:c>
      <x:c r="Y1720" s="32" t="n">
        <x:f>Y1719+R1720-S1720-W1720-Y1719*V1720/AB1719</x:f>
        <x:v>14306.18539759397</x:v>
      </x:c>
      <x:c r="Z1720" s="32" t="n">
        <x:f>Z1719+W1720-X1720-T1720-Z1719*V1720/AB1719</x:f>
        <x:v>19354.456567879548</x:v>
      </x:c>
      <x:c r="AA1720" s="32" t="n">
        <x:f>AA1719+X1720-U1720-AA1719*V1720/AB1719</x:f>
        <x:v>11386.956063258198</x:v>
      </x:c>
      <x:c r="AB1720" s="10" t="n">
        <x:f>Y1720+Z1720+AA1720</x:f>
        <x:v>45047.59802873172</x:v>
      </x:c>
      <x:c r="AC1720" s="8" t="n">
        <x:f>IF(AND(v01_WinterTrigger=1,D1720=1,AB1719/AE1719&gt;=K1720),1,0)</x:f>
        <x:v>0</x:v>
      </x:c>
      <x:c r="AD1720" s="8" t="n">
        <x:f>H1720*IF(AND(OR(AB1719/AE1719&gt;=v01_FissionTrigger*N1720,AC1720=1),AB1719/AE1719*v01_DaughterShare&gt;=v01_MinDaughter),MAX(1,ROUND(AE1719*v01_FissionRate,0)),0)</x:f>
        <x:v>0</x:v>
      </x:c>
      <x:c r="AE1720" s="8" t="n">
        <x:f>IF(H1720=1,MAX(1,MIN(INDEX(v01_Smax,G1720),AE1719+AD1720)),AE1719)</x:f>
        <x:v>15</x:v>
      </x:c>
      <x:c r="AF1720" s="8" t="n">
        <x:f>MAX(0,AE1720-AE1719)</x:f>
        <x:v>0</x:v>
      </x:c>
      <x:c r="AG1720" s="9" t="str">
        <x:f>IF(AF1720&gt;0,B1720,"")</x:f>
      </x:c>
      <x:c r="AH1720" s="9" t="n">
        <x:f>IF(F1720&gt;=1,1,(1+v01_LowTiesShare*(AE1720-1))/AE1720)</x:f>
        <x:v>1</x:v>
      </x:c>
      <x:c r="AI1720" s="32" t="n">
        <x:f>(Z1720+v01_ElderCommons*INDEX(LM_Elder,G1720)*AA1720)*AH1720</x:f>
        <x:v>64139.732591141874</x:v>
      </x:c>
      <x:c r="AJ1720" s="32" t="n">
        <x:f>H1720*v01_CommonsCoef*AI1720^v01_CommonsExp*INDEX(LM_Commons,G1720)</x:f>
        <x:v>0</x:v>
      </x:c>
      <x:c r="AK1720" s="32" t="n">
        <x:f>H1720*v01_RoleScale*Arch_Roles*(AE1720*(INDEX(v01_ElderRolePerSett,G1720)*v01_OutElder*INDEX(LM_Elder,G1720)+INDEX(v01_ShamanPerSett,G1720)*v01_OutShaman)+Z1720*(INDEX(v01_PriestShare,G1720)*v01_OutPriest+INDEX(v01_ScribeShare,G1720)*v01_OutScribe*INDEX(LM_Scribe,G1720)+INDEX(v01_ScholarShare,G1720)*v01_OutScholar*INDEX(LM_Scholar,G1720)+INDEX(v01_ResearcherShare,G1720)*v01_OutResearcher*INDEX(LM_Researcher,G1720)))</x:f>
        <x:v>0</x:v>
      </x:c>
      <x:c r="AL1720" s="32" t="n">
        <x:f>H1720*v01_RoleScale*Arch_Roles*AE1720*INDEX(v01_MonasteryPerSett,G1720)*v01_OutMonastery*INDEX(LM_Monastery,G1720)</x:f>
        <x:v>0</x:v>
      </x:c>
      <x:c r="AM1720" s="32" t="n">
        <x:f>(AJ1720+AK1720+AL1720)/4*INDEX(LM_All,G1720)*INDEX(v01_Boon,G1720)*Arch_Insight</x:f>
        <x:v>0</x:v>
      </x:c>
      <x:c r="AN1720" s="32" t="n">
        <x:f>H1720*(v01_KHPerAdult*Z1720+v01_KHOfCommons*AJ1720/4*INDEX(LM_All,G1720))*v01_KHUsable*Arch_KH</x:f>
        <x:v>0</x:v>
      </x:c>
      <x:c r="AO1720" s="32" t="n">
        <x:f>MIN(AP1719+AN1720,AM1720*v01_KHMaxRatio)</x:f>
        <x:v>0</x:v>
      </x:c>
      <x:c r="AP1720" s="32" t="n">
        <x:f>AP1719+AN1720-AO1720</x:f>
        <x:v>0</x:v>
      </x:c>
      <x:c r="AQ1720" s="32" t="n">
        <x:f>AM1720+AO1720</x:f>
        <x:v>0</x:v>
      </x:c>
      <x:c r="AR1720" s="10" t="n">
        <x:f>IF(H1720=1,INDEX(v01_Req,G1720),0)</x:f>
        <x:v>0</x:v>
      </x:c>
      <x:c r="AS1720" s="32" t="n">
        <x:f>IF(H1720=1,IF(E1720=1,AS1719-AR1719,AS1719)+AQ1720,0)</x:f>
        <x:v>0</x:v>
      </x:c>
      <x:c r="AT1720" s="11" t="n">
        <x:f>IF(AR1720&gt;0,MIN(1,AS1720/AR1720),1)</x:f>
        <x:v>1</x:v>
      </x:c>
      <x:c r="AU1720" s="10" t="n">
        <x:f>AB1720/INDEX(v01_RepScale,G1720)</x:f>
        <x:v>90.09519605746344</x:v>
      </x:c>
      <x:c r="AV1720" s="32" t="n">
        <x:f>AM1720*60/v01_SeasonSeconds</x:f>
        <x:v>0</x:v>
      </x:c>
    </x:row>
    <x:row r="1721">
      <x:c r="A1721" s="8" t="n">
        <x:f>A1720+1</x:f>
        <x:v>1718</x:v>
      </x:c>
      <x:c r="B1721" s="9" t="n">
        <x:f>A1721*v01_SeasonSeconds/60</x:f>
        <x:v>429.5</x:v>
      </x:c>
      <x:c r="C1721" s="9" t="n">
        <x:f>A1721/4</x:f>
        <x:v>429.5</x:v>
      </x:c>
      <x:c r="D1721" s="8" t="n">
        <x:f>IF(MOD(A1721,4)=0,1,0)</x:f>
        <x:v>0</x:v>
      </x:c>
      <x:c r="E1721" s="8" t="n">
        <x:f>IF(AND(F1720&lt;=9,AS1720&gt;=AR1720),1,0)</x:f>
        <x:v>0</x:v>
      </x:c>
      <x:c r="F1721" s="8" t="n">
        <x:f>MIN(10,F1720+E1721)</x:f>
        <x:v>10</x:v>
      </x:c>
      <x:c r="G1721" s="8" t="n">
        <x:f>MIN(F1721,9)+1</x:f>
        <x:v>10</x:v>
      </x:c>
      <x:c r="H1721" s="8" t="n">
        <x:f>IF(F1721&lt;=9,1,0)</x:f>
        <x:v>0</x:v>
      </x:c>
      <x:c r="I1721" s="9" t="n">
        <x:f>MIN(10,F1720+IF(AR1720&gt;0,MIN(1,AS1720/AR1720),1))</x:f>
        <x:v>10</x:v>
      </x:c>
      <x:c r="J1721" s="32" t="n">
        <x:f>INDEX(v01_FoodCap,G1721)*Arch_FoodCap*EXP(v01_CapsByProject*SUMPRODUCT((Cap_Point&lt;=I1721)*(Cap_Kind="Food")*Cap_Ln))</x:f>
        <x:v>12000</x:v>
      </x:c>
      <x:c r="K1721" s="32" t="n">
        <x:f>J1721*MIN(1,v01_LeanBase*EXP(v01_CapsByProject*SUMPRODUCT((Cap_Point&lt;=I1721)*(Cap_Kind="Lean")*Cap_Ln)))</x:f>
        <x:v>12000</x:v>
      </x:c>
      <x:c r="L1721" s="10" t="n">
        <x:f>INDEX(v01_HousingCap,G1721)*EXP(v01_CapsByProject*SUMPRODUCT((Cap_Point&lt;=I1721)*(Cap_Kind="Housing")*Cap_Ln))</x:f>
        <x:v>20000</x:v>
      </x:c>
      <x:c r="M1721" s="10" t="n">
        <x:f>INDEX(v01_GroupCap,G1721)*v01_CohesionFactor*EXP(v01_CapsByProject*SUMPRODUCT((Cap_Point&lt;=I1721)*(Cap_Kind="Group")*Cap_Ln))</x:f>
        <x:v>1000000</x:v>
      </x:c>
      <x:c r="N1721" s="32" t="n">
        <x:f>MIN(J1721,L1721,M1721)</x:f>
        <x:v>12000</x:v>
      </x:c>
      <x:c r="O1721" s="10" t="n">
        <x:f>AE1720*N1721</x:f>
        <x:v>180000</x:v>
      </x:c>
      <x:c r="P1721" s="9" t="n">
        <x:f>MIN(1,(AB1720/(AE1720*IF(v01_GroupInCrowding=1,N1721,MIN(J1721,L1721))))^v01_CrowdingExp)</x:f>
        <x:v>0.00024569414295285325</x:v>
      </x:c>
      <x:c r="Q1721" s="9" t="n">
        <x:f>IF(D1721=1,INDEX(v01_WinterMult,G1721),1)</x:f>
        <x:v>1</x:v>
      </x:c>
      <x:c r="R1721" s="9" t="n">
        <x:f>H1721*Z1720*v01_WomenShare*v01_BaseFertility*INDEX(v01_FertMult,G1721)*Arch_Fertility*(1-P1721)</x:f>
        <x:v>0</x:v>
      </x:c>
      <x:c r="S1721" s="9" t="n">
        <x:f>H1721*Y1720*INDEX(v01_MortChild,G1721)/4*Q1721</x:f>
        <x:v>0</x:v>
      </x:c>
      <x:c r="T1721" s="9" t="n">
        <x:f>H1721*Z1720*INDEX(v01_MortAdult,G1721)*Arch_AdultMort/4*Q1721</x:f>
        <x:v>0</x:v>
      </x:c>
      <x:c r="U1721" s="9" t="n">
        <x:f>H1721*AA1720*INDEX(v01_MortElder,G1721)/4*Q1721</x:f>
        <x:v>0</x:v>
      </x:c>
      <x:c r="V1721" s="9" t="n">
        <x:f>H1721*MAX(0,AB1720-O1721)*v01_OvercapLoss</x:f>
        <x:v>0</x:v>
      </x:c>
      <x:c r="W1721" s="9" t="n">
        <x:f>H1721*Y1720/(v01_ChildYears*4)</x:f>
        <x:v>0</x:v>
      </x:c>
      <x:c r="X1721" s="9" t="n">
        <x:f>H1721*Z1720/(v01_AdultYears*4)</x:f>
        <x:v>0</x:v>
      </x:c>
      <x:c r="Y1721" s="32" t="n">
        <x:f>Y1720+R1721-S1721-W1721-Y1720*V1721/AB1720</x:f>
        <x:v>14306.18539759397</x:v>
      </x:c>
      <x:c r="Z1721" s="32" t="n">
        <x:f>Z1720+W1721-X1721-T1721-Z1720*V1721/AB1720</x:f>
        <x:v>19354.456567879548</x:v>
      </x:c>
      <x:c r="AA1721" s="32" t="n">
        <x:f>AA1720+X1721-U1721-AA1720*V1721/AB1720</x:f>
        <x:v>11386.956063258198</x:v>
      </x:c>
      <x:c r="AB1721" s="10" t="n">
        <x:f>Y1721+Z1721+AA1721</x:f>
        <x:v>45047.59802873172</x:v>
      </x:c>
      <x:c r="AC1721" s="8" t="n">
        <x:f>IF(AND(v01_WinterTrigger=1,D1721=1,AB1720/AE1720&gt;=K1721),1,0)</x:f>
        <x:v>0</x:v>
      </x:c>
      <x:c r="AD1721" s="8" t="n">
        <x:f>H1721*IF(AND(OR(AB1720/AE1720&gt;=v01_FissionTrigger*N1721,AC1721=1),AB1720/AE1720*v01_DaughterShare&gt;=v01_MinDaughter),MAX(1,ROUND(AE1720*v01_FissionRate,0)),0)</x:f>
        <x:v>0</x:v>
      </x:c>
      <x:c r="AE1721" s="8" t="n">
        <x:f>IF(H1721=1,MAX(1,MIN(INDEX(v01_Smax,G1721),AE1720+AD1721)),AE1720)</x:f>
        <x:v>15</x:v>
      </x:c>
      <x:c r="AF1721" s="8" t="n">
        <x:f>MAX(0,AE1721-AE1720)</x:f>
        <x:v>0</x:v>
      </x:c>
      <x:c r="AG1721" s="9" t="str">
        <x:f>IF(AF1721&gt;0,B1721,"")</x:f>
      </x:c>
      <x:c r="AH1721" s="9" t="n">
        <x:f>IF(F1721&gt;=1,1,(1+v01_LowTiesShare*(AE1721-1))/AE1721)</x:f>
        <x:v>1</x:v>
      </x:c>
      <x:c r="AI1721" s="32" t="n">
        <x:f>(Z1721+v01_ElderCommons*INDEX(LM_Elder,G1721)*AA1721)*AH1721</x:f>
        <x:v>64139.732591141874</x:v>
      </x:c>
      <x:c r="AJ1721" s="32" t="n">
        <x:f>H1721*v01_CommonsCoef*AI1721^v01_CommonsExp*INDEX(LM_Commons,G1721)</x:f>
        <x:v>0</x:v>
      </x:c>
      <x:c r="AK1721" s="32" t="n">
        <x:f>H1721*v01_RoleScale*Arch_Roles*(AE1721*(INDEX(v01_ElderRolePerSett,G1721)*v01_OutElder*INDEX(LM_Elder,G1721)+INDEX(v01_ShamanPerSett,G1721)*v01_OutShaman)+Z1721*(INDEX(v01_PriestShare,G1721)*v01_OutPriest+INDEX(v01_ScribeShare,G1721)*v01_OutScribe*INDEX(LM_Scribe,G1721)+INDEX(v01_ScholarShare,G1721)*v01_OutScholar*INDEX(LM_Scholar,G1721)+INDEX(v01_ResearcherShare,G1721)*v01_OutResearcher*INDEX(LM_Researcher,G1721)))</x:f>
        <x:v>0</x:v>
      </x:c>
      <x:c r="AL1721" s="32" t="n">
        <x:f>H1721*v01_RoleScale*Arch_Roles*AE1721*INDEX(v01_MonasteryPerSett,G1721)*v01_OutMonastery*INDEX(LM_Monastery,G1721)</x:f>
        <x:v>0</x:v>
      </x:c>
      <x:c r="AM1721" s="32" t="n">
        <x:f>(AJ1721+AK1721+AL1721)/4*INDEX(LM_All,G1721)*INDEX(v01_Boon,G1721)*Arch_Insight</x:f>
        <x:v>0</x:v>
      </x:c>
      <x:c r="AN1721" s="32" t="n">
        <x:f>H1721*(v01_KHPerAdult*Z1721+v01_KHOfCommons*AJ1721/4*INDEX(LM_All,G1721))*v01_KHUsable*Arch_KH</x:f>
        <x:v>0</x:v>
      </x:c>
      <x:c r="AO1721" s="32" t="n">
        <x:f>MIN(AP1720+AN1721,AM1721*v01_KHMaxRatio)</x:f>
        <x:v>0</x:v>
      </x:c>
      <x:c r="AP1721" s="32" t="n">
        <x:f>AP1720+AN1721-AO1721</x:f>
        <x:v>0</x:v>
      </x:c>
      <x:c r="AQ1721" s="32" t="n">
        <x:f>AM1721+AO1721</x:f>
        <x:v>0</x:v>
      </x:c>
      <x:c r="AR1721" s="10" t="n">
        <x:f>IF(H1721=1,INDEX(v01_Req,G1721),0)</x:f>
        <x:v>0</x:v>
      </x:c>
      <x:c r="AS1721" s="32" t="n">
        <x:f>IF(H1721=1,IF(E1721=1,AS1720-AR1720,AS1720)+AQ1721,0)</x:f>
        <x:v>0</x:v>
      </x:c>
      <x:c r="AT1721" s="11" t="n">
        <x:f>IF(AR1721&gt;0,MIN(1,AS1721/AR1721),1)</x:f>
        <x:v>1</x:v>
      </x:c>
      <x:c r="AU1721" s="10" t="n">
        <x:f>AB1721/INDEX(v01_RepScale,G1721)</x:f>
        <x:v>90.09519605746344</x:v>
      </x:c>
      <x:c r="AV1721" s="32" t="n">
        <x:f>AM1721*60/v01_SeasonSeconds</x:f>
        <x:v>0</x:v>
      </x:c>
    </x:row>
    <x:row r="1722">
      <x:c r="A1722" s="8" t="n">
        <x:f>A1721+1</x:f>
        <x:v>1719</x:v>
      </x:c>
      <x:c r="B1722" s="9" t="n">
        <x:f>A1722*v01_SeasonSeconds/60</x:f>
        <x:v>429.75</x:v>
      </x:c>
      <x:c r="C1722" s="9" t="n">
        <x:f>A1722/4</x:f>
        <x:v>429.75</x:v>
      </x:c>
      <x:c r="D1722" s="8" t="n">
        <x:f>IF(MOD(A1722,4)=0,1,0)</x:f>
        <x:v>0</x:v>
      </x:c>
      <x:c r="E1722" s="8" t="n">
        <x:f>IF(AND(F1721&lt;=9,AS1721&gt;=AR1721),1,0)</x:f>
        <x:v>0</x:v>
      </x:c>
      <x:c r="F1722" s="8" t="n">
        <x:f>MIN(10,F1721+E1722)</x:f>
        <x:v>10</x:v>
      </x:c>
      <x:c r="G1722" s="8" t="n">
        <x:f>MIN(F1722,9)+1</x:f>
        <x:v>10</x:v>
      </x:c>
      <x:c r="H1722" s="8" t="n">
        <x:f>IF(F1722&lt;=9,1,0)</x:f>
        <x:v>0</x:v>
      </x:c>
      <x:c r="I1722" s="9" t="n">
        <x:f>MIN(10,F1721+IF(AR1721&gt;0,MIN(1,AS1721/AR1721),1))</x:f>
        <x:v>10</x:v>
      </x:c>
      <x:c r="J1722" s="32" t="n">
        <x:f>INDEX(v01_FoodCap,G1722)*Arch_FoodCap*EXP(v01_CapsByProject*SUMPRODUCT((Cap_Point&lt;=I1722)*(Cap_Kind="Food")*Cap_Ln))</x:f>
        <x:v>12000</x:v>
      </x:c>
      <x:c r="K1722" s="32" t="n">
        <x:f>J1722*MIN(1,v01_LeanBase*EXP(v01_CapsByProject*SUMPRODUCT((Cap_Point&lt;=I1722)*(Cap_Kind="Lean")*Cap_Ln)))</x:f>
        <x:v>12000</x:v>
      </x:c>
      <x:c r="L1722" s="10" t="n">
        <x:f>INDEX(v01_HousingCap,G1722)*EXP(v01_CapsByProject*SUMPRODUCT((Cap_Point&lt;=I1722)*(Cap_Kind="Housing")*Cap_Ln))</x:f>
        <x:v>20000</x:v>
      </x:c>
      <x:c r="M1722" s="10" t="n">
        <x:f>INDEX(v01_GroupCap,G1722)*v01_CohesionFactor*EXP(v01_CapsByProject*SUMPRODUCT((Cap_Point&lt;=I1722)*(Cap_Kind="Group")*Cap_Ln))</x:f>
        <x:v>1000000</x:v>
      </x:c>
      <x:c r="N1722" s="32" t="n">
        <x:f>MIN(J1722,L1722,M1722)</x:f>
        <x:v>12000</x:v>
      </x:c>
      <x:c r="O1722" s="10" t="n">
        <x:f>AE1721*N1722</x:f>
        <x:v>180000</x:v>
      </x:c>
      <x:c r="P1722" s="9" t="n">
        <x:f>MIN(1,(AB1721/(AE1721*IF(v01_GroupInCrowding=1,N1722,MIN(J1722,L1722))))^v01_CrowdingExp)</x:f>
        <x:v>0.00024569414295285325</x:v>
      </x:c>
      <x:c r="Q1722" s="9" t="n">
        <x:f>IF(D1722=1,INDEX(v01_WinterMult,G1722),1)</x:f>
        <x:v>1</x:v>
      </x:c>
      <x:c r="R1722" s="9" t="n">
        <x:f>H1722*Z1721*v01_WomenShare*v01_BaseFertility*INDEX(v01_FertMult,G1722)*Arch_Fertility*(1-P1722)</x:f>
        <x:v>0</x:v>
      </x:c>
      <x:c r="S1722" s="9" t="n">
        <x:f>H1722*Y1721*INDEX(v01_MortChild,G1722)/4*Q1722</x:f>
        <x:v>0</x:v>
      </x:c>
      <x:c r="T1722" s="9" t="n">
        <x:f>H1722*Z1721*INDEX(v01_MortAdult,G1722)*Arch_AdultMort/4*Q1722</x:f>
        <x:v>0</x:v>
      </x:c>
      <x:c r="U1722" s="9" t="n">
        <x:f>H1722*AA1721*INDEX(v01_MortElder,G1722)/4*Q1722</x:f>
        <x:v>0</x:v>
      </x:c>
      <x:c r="V1722" s="9" t="n">
        <x:f>H1722*MAX(0,AB1721-O1722)*v01_OvercapLoss</x:f>
        <x:v>0</x:v>
      </x:c>
      <x:c r="W1722" s="9" t="n">
        <x:f>H1722*Y1721/(v01_ChildYears*4)</x:f>
        <x:v>0</x:v>
      </x:c>
      <x:c r="X1722" s="9" t="n">
        <x:f>H1722*Z1721/(v01_AdultYears*4)</x:f>
        <x:v>0</x:v>
      </x:c>
      <x:c r="Y1722" s="32" t="n">
        <x:f>Y1721+R1722-S1722-W1722-Y1721*V1722/AB1721</x:f>
        <x:v>14306.18539759397</x:v>
      </x:c>
      <x:c r="Z1722" s="32" t="n">
        <x:f>Z1721+W1722-X1722-T1722-Z1721*V1722/AB1721</x:f>
        <x:v>19354.456567879548</x:v>
      </x:c>
      <x:c r="AA1722" s="32" t="n">
        <x:f>AA1721+X1722-U1722-AA1721*V1722/AB1721</x:f>
        <x:v>11386.956063258198</x:v>
      </x:c>
      <x:c r="AB1722" s="10" t="n">
        <x:f>Y1722+Z1722+AA1722</x:f>
        <x:v>45047.59802873172</x:v>
      </x:c>
      <x:c r="AC1722" s="8" t="n">
        <x:f>IF(AND(v01_WinterTrigger=1,D1722=1,AB1721/AE1721&gt;=K1722),1,0)</x:f>
        <x:v>0</x:v>
      </x:c>
      <x:c r="AD1722" s="8" t="n">
        <x:f>H1722*IF(AND(OR(AB1721/AE1721&gt;=v01_FissionTrigger*N1722,AC1722=1),AB1721/AE1721*v01_DaughterShare&gt;=v01_MinDaughter),MAX(1,ROUND(AE1721*v01_FissionRate,0)),0)</x:f>
        <x:v>0</x:v>
      </x:c>
      <x:c r="AE1722" s="8" t="n">
        <x:f>IF(H1722=1,MAX(1,MIN(INDEX(v01_Smax,G1722),AE1721+AD1722)),AE1721)</x:f>
        <x:v>15</x:v>
      </x:c>
      <x:c r="AF1722" s="8" t="n">
        <x:f>MAX(0,AE1722-AE1721)</x:f>
        <x:v>0</x:v>
      </x:c>
      <x:c r="AG1722" s="9" t="str">
        <x:f>IF(AF1722&gt;0,B1722,"")</x:f>
      </x:c>
      <x:c r="AH1722" s="9" t="n">
        <x:f>IF(F1722&gt;=1,1,(1+v01_LowTiesShare*(AE1722-1))/AE1722)</x:f>
        <x:v>1</x:v>
      </x:c>
      <x:c r="AI1722" s="32" t="n">
        <x:f>(Z1722+v01_ElderCommons*INDEX(LM_Elder,G1722)*AA1722)*AH1722</x:f>
        <x:v>64139.732591141874</x:v>
      </x:c>
      <x:c r="AJ1722" s="32" t="n">
        <x:f>H1722*v01_CommonsCoef*AI1722^v01_CommonsExp*INDEX(LM_Commons,G1722)</x:f>
        <x:v>0</x:v>
      </x:c>
      <x:c r="AK1722" s="32" t="n">
        <x:f>H1722*v01_RoleScale*Arch_Roles*(AE1722*(INDEX(v01_ElderRolePerSett,G1722)*v01_OutElder*INDEX(LM_Elder,G1722)+INDEX(v01_ShamanPerSett,G1722)*v01_OutShaman)+Z1722*(INDEX(v01_PriestShare,G1722)*v01_OutPriest+INDEX(v01_ScribeShare,G1722)*v01_OutScribe*INDEX(LM_Scribe,G1722)+INDEX(v01_ScholarShare,G1722)*v01_OutScholar*INDEX(LM_Scholar,G1722)+INDEX(v01_ResearcherShare,G1722)*v01_OutResearcher*INDEX(LM_Researcher,G1722)))</x:f>
        <x:v>0</x:v>
      </x:c>
      <x:c r="AL1722" s="32" t="n">
        <x:f>H1722*v01_RoleScale*Arch_Roles*AE1722*INDEX(v01_MonasteryPerSett,G1722)*v01_OutMonastery*INDEX(LM_Monastery,G1722)</x:f>
        <x:v>0</x:v>
      </x:c>
      <x:c r="AM1722" s="32" t="n">
        <x:f>(AJ1722+AK1722+AL1722)/4*INDEX(LM_All,G1722)*INDEX(v01_Boon,G1722)*Arch_Insight</x:f>
        <x:v>0</x:v>
      </x:c>
      <x:c r="AN1722" s="32" t="n">
        <x:f>H1722*(v01_KHPerAdult*Z1722+v01_KHOfCommons*AJ1722/4*INDEX(LM_All,G1722))*v01_KHUsable*Arch_KH</x:f>
        <x:v>0</x:v>
      </x:c>
      <x:c r="AO1722" s="32" t="n">
        <x:f>MIN(AP1721+AN1722,AM1722*v01_KHMaxRatio)</x:f>
        <x:v>0</x:v>
      </x:c>
      <x:c r="AP1722" s="32" t="n">
        <x:f>AP1721+AN1722-AO1722</x:f>
        <x:v>0</x:v>
      </x:c>
      <x:c r="AQ1722" s="32" t="n">
        <x:f>AM1722+AO1722</x:f>
        <x:v>0</x:v>
      </x:c>
      <x:c r="AR1722" s="10" t="n">
        <x:f>IF(H1722=1,INDEX(v01_Req,G1722),0)</x:f>
        <x:v>0</x:v>
      </x:c>
      <x:c r="AS1722" s="32" t="n">
        <x:f>IF(H1722=1,IF(E1722=1,AS1721-AR1721,AS1721)+AQ1722,0)</x:f>
        <x:v>0</x:v>
      </x:c>
      <x:c r="AT1722" s="11" t="n">
        <x:f>IF(AR1722&gt;0,MIN(1,AS1722/AR1722),1)</x:f>
        <x:v>1</x:v>
      </x:c>
      <x:c r="AU1722" s="10" t="n">
        <x:f>AB1722/INDEX(v01_RepScale,G1722)</x:f>
        <x:v>90.09519605746344</x:v>
      </x:c>
      <x:c r="AV1722" s="32" t="n">
        <x:f>AM1722*60/v01_SeasonSeconds</x:f>
        <x:v>0</x:v>
      </x:c>
    </x:row>
    <x:row r="1723">
      <x:c r="A1723" s="8" t="n">
        <x:f>A1722+1</x:f>
        <x:v>1720</x:v>
      </x:c>
      <x:c r="B1723" s="9" t="n">
        <x:f>A1723*v01_SeasonSeconds/60</x:f>
        <x:v>430</x:v>
      </x:c>
      <x:c r="C1723" s="9" t="n">
        <x:f>A1723/4</x:f>
        <x:v>430</x:v>
      </x:c>
      <x:c r="D1723" s="8" t="n">
        <x:f>IF(MOD(A1723,4)=0,1,0)</x:f>
        <x:v>1</x:v>
      </x:c>
      <x:c r="E1723" s="8" t="n">
        <x:f>IF(AND(F1722&lt;=9,AS1722&gt;=AR1722),1,0)</x:f>
        <x:v>0</x:v>
      </x:c>
      <x:c r="F1723" s="8" t="n">
        <x:f>MIN(10,F1722+E1723)</x:f>
        <x:v>10</x:v>
      </x:c>
      <x:c r="G1723" s="8" t="n">
        <x:f>MIN(F1723,9)+1</x:f>
        <x:v>10</x:v>
      </x:c>
      <x:c r="H1723" s="8" t="n">
        <x:f>IF(F1723&lt;=9,1,0)</x:f>
        <x:v>0</x:v>
      </x:c>
      <x:c r="I1723" s="9" t="n">
        <x:f>MIN(10,F1722+IF(AR1722&gt;0,MIN(1,AS1722/AR1722),1))</x:f>
        <x:v>10</x:v>
      </x:c>
      <x:c r="J1723" s="32" t="n">
        <x:f>INDEX(v01_FoodCap,G1723)*Arch_FoodCap*EXP(v01_CapsByProject*SUMPRODUCT((Cap_Point&lt;=I1723)*(Cap_Kind="Food")*Cap_Ln))</x:f>
        <x:v>12000</x:v>
      </x:c>
      <x:c r="K1723" s="32" t="n">
        <x:f>J1723*MIN(1,v01_LeanBase*EXP(v01_CapsByProject*SUMPRODUCT((Cap_Point&lt;=I1723)*(Cap_Kind="Lean")*Cap_Ln)))</x:f>
        <x:v>12000</x:v>
      </x:c>
      <x:c r="L1723" s="10" t="n">
        <x:f>INDEX(v01_HousingCap,G1723)*EXP(v01_CapsByProject*SUMPRODUCT((Cap_Point&lt;=I1723)*(Cap_Kind="Housing")*Cap_Ln))</x:f>
        <x:v>20000</x:v>
      </x:c>
      <x:c r="M1723" s="10" t="n">
        <x:f>INDEX(v01_GroupCap,G1723)*v01_CohesionFactor*EXP(v01_CapsByProject*SUMPRODUCT((Cap_Point&lt;=I1723)*(Cap_Kind="Group")*Cap_Ln))</x:f>
        <x:v>1000000</x:v>
      </x:c>
      <x:c r="N1723" s="32" t="n">
        <x:f>MIN(J1723,L1723,M1723)</x:f>
        <x:v>12000</x:v>
      </x:c>
      <x:c r="O1723" s="10" t="n">
        <x:f>AE1722*N1723</x:f>
        <x:v>180000</x:v>
      </x:c>
      <x:c r="P1723" s="9" t="n">
        <x:f>MIN(1,(AB1722/(AE1722*IF(v01_GroupInCrowding=1,N1723,MIN(J1723,L1723))))^v01_CrowdingExp)</x:f>
        <x:v>0.00024569414295285325</x:v>
      </x:c>
      <x:c r="Q1723" s="9" t="n">
        <x:f>IF(D1723=1,INDEX(v01_WinterMult,G1723),1)</x:f>
        <x:v>1</x:v>
      </x:c>
      <x:c r="R1723" s="9" t="n">
        <x:f>H1723*Z1722*v01_WomenShare*v01_BaseFertility*INDEX(v01_FertMult,G1723)*Arch_Fertility*(1-P1723)</x:f>
        <x:v>0</x:v>
      </x:c>
      <x:c r="S1723" s="9" t="n">
        <x:f>H1723*Y1722*INDEX(v01_MortChild,G1723)/4*Q1723</x:f>
        <x:v>0</x:v>
      </x:c>
      <x:c r="T1723" s="9" t="n">
        <x:f>H1723*Z1722*INDEX(v01_MortAdult,G1723)*Arch_AdultMort/4*Q1723</x:f>
        <x:v>0</x:v>
      </x:c>
      <x:c r="U1723" s="9" t="n">
        <x:f>H1723*AA1722*INDEX(v01_MortElder,G1723)/4*Q1723</x:f>
        <x:v>0</x:v>
      </x:c>
      <x:c r="V1723" s="9" t="n">
        <x:f>H1723*MAX(0,AB1722-O1723)*v01_OvercapLoss</x:f>
        <x:v>0</x:v>
      </x:c>
      <x:c r="W1723" s="9" t="n">
        <x:f>H1723*Y1722/(v01_ChildYears*4)</x:f>
        <x:v>0</x:v>
      </x:c>
      <x:c r="X1723" s="9" t="n">
        <x:f>H1723*Z1722/(v01_AdultYears*4)</x:f>
        <x:v>0</x:v>
      </x:c>
      <x:c r="Y1723" s="32" t="n">
        <x:f>Y1722+R1723-S1723-W1723-Y1722*V1723/AB1722</x:f>
        <x:v>14306.18539759397</x:v>
      </x:c>
      <x:c r="Z1723" s="32" t="n">
        <x:f>Z1722+W1723-X1723-T1723-Z1722*V1723/AB1722</x:f>
        <x:v>19354.456567879548</x:v>
      </x:c>
      <x:c r="AA1723" s="32" t="n">
        <x:f>AA1722+X1723-U1723-AA1722*V1723/AB1722</x:f>
        <x:v>11386.956063258198</x:v>
      </x:c>
      <x:c r="AB1723" s="10" t="n">
        <x:f>Y1723+Z1723+AA1723</x:f>
        <x:v>45047.59802873172</x:v>
      </x:c>
      <x:c r="AC1723" s="8" t="n">
        <x:f>IF(AND(v01_WinterTrigger=1,D1723=1,AB1722/AE1722&gt;=K1723),1,0)</x:f>
        <x:v>0</x:v>
      </x:c>
      <x:c r="AD1723" s="8" t="n">
        <x:f>H1723*IF(AND(OR(AB1722/AE1722&gt;=v01_FissionTrigger*N1723,AC1723=1),AB1722/AE1722*v01_DaughterShare&gt;=v01_MinDaughter),MAX(1,ROUND(AE1722*v01_FissionRate,0)),0)</x:f>
        <x:v>0</x:v>
      </x:c>
      <x:c r="AE1723" s="8" t="n">
        <x:f>IF(H1723=1,MAX(1,MIN(INDEX(v01_Smax,G1723),AE1722+AD1723)),AE1722)</x:f>
        <x:v>15</x:v>
      </x:c>
      <x:c r="AF1723" s="8" t="n">
        <x:f>MAX(0,AE1723-AE1722)</x:f>
        <x:v>0</x:v>
      </x:c>
      <x:c r="AG1723" s="9" t="str">
        <x:f>IF(AF1723&gt;0,B1723,"")</x:f>
      </x:c>
      <x:c r="AH1723" s="9" t="n">
        <x:f>IF(F1723&gt;=1,1,(1+v01_LowTiesShare*(AE1723-1))/AE1723)</x:f>
        <x:v>1</x:v>
      </x:c>
      <x:c r="AI1723" s="32" t="n">
        <x:f>(Z1723+v01_ElderCommons*INDEX(LM_Elder,G1723)*AA1723)*AH1723</x:f>
        <x:v>64139.732591141874</x:v>
      </x:c>
      <x:c r="AJ1723" s="32" t="n">
        <x:f>H1723*v01_CommonsCoef*AI1723^v01_CommonsExp*INDEX(LM_Commons,G1723)</x:f>
        <x:v>0</x:v>
      </x:c>
      <x:c r="AK1723" s="32" t="n">
        <x:f>H1723*v01_RoleScale*Arch_Roles*(AE1723*(INDEX(v01_ElderRolePerSett,G1723)*v01_OutElder*INDEX(LM_Elder,G1723)+INDEX(v01_ShamanPerSett,G1723)*v01_OutShaman)+Z1723*(INDEX(v01_PriestShare,G1723)*v01_OutPriest+INDEX(v01_ScribeShare,G1723)*v01_OutScribe*INDEX(LM_Scribe,G1723)+INDEX(v01_ScholarShare,G1723)*v01_OutScholar*INDEX(LM_Scholar,G1723)+INDEX(v01_ResearcherShare,G1723)*v01_OutResearcher*INDEX(LM_Researcher,G1723)))</x:f>
        <x:v>0</x:v>
      </x:c>
      <x:c r="AL1723" s="32" t="n">
        <x:f>H1723*v01_RoleScale*Arch_Roles*AE1723*INDEX(v01_MonasteryPerSett,G1723)*v01_OutMonastery*INDEX(LM_Monastery,G1723)</x:f>
        <x:v>0</x:v>
      </x:c>
      <x:c r="AM1723" s="32" t="n">
        <x:f>(AJ1723+AK1723+AL1723)/4*INDEX(LM_All,G1723)*INDEX(v01_Boon,G1723)*Arch_Insight</x:f>
        <x:v>0</x:v>
      </x:c>
      <x:c r="AN1723" s="32" t="n">
        <x:f>H1723*(v01_KHPerAdult*Z1723+v01_KHOfCommons*AJ1723/4*INDEX(LM_All,G1723))*v01_KHUsable*Arch_KH</x:f>
        <x:v>0</x:v>
      </x:c>
      <x:c r="AO1723" s="32" t="n">
        <x:f>MIN(AP1722+AN1723,AM1723*v01_KHMaxRatio)</x:f>
        <x:v>0</x:v>
      </x:c>
      <x:c r="AP1723" s="32" t="n">
        <x:f>AP1722+AN1723-AO1723</x:f>
        <x:v>0</x:v>
      </x:c>
      <x:c r="AQ1723" s="32" t="n">
        <x:f>AM1723+AO1723</x:f>
        <x:v>0</x:v>
      </x:c>
      <x:c r="AR1723" s="10" t="n">
        <x:f>IF(H1723=1,INDEX(v01_Req,G1723),0)</x:f>
        <x:v>0</x:v>
      </x:c>
      <x:c r="AS1723" s="32" t="n">
        <x:f>IF(H1723=1,IF(E1723=1,AS1722-AR1722,AS1722)+AQ1723,0)</x:f>
        <x:v>0</x:v>
      </x:c>
      <x:c r="AT1723" s="11" t="n">
        <x:f>IF(AR1723&gt;0,MIN(1,AS1723/AR1723),1)</x:f>
        <x:v>1</x:v>
      </x:c>
      <x:c r="AU1723" s="10" t="n">
        <x:f>AB1723/INDEX(v01_RepScale,G1723)</x:f>
        <x:v>90.09519605746344</x:v>
      </x:c>
      <x:c r="AV1723" s="32" t="n">
        <x:f>AM1723*60/v01_SeasonSeconds</x:f>
        <x:v>0</x:v>
      </x:c>
    </x:row>
    <x:row r="1724">
      <x:c r="A1724" s="8" t="n">
        <x:f>A1723+1</x:f>
        <x:v>1721</x:v>
      </x:c>
      <x:c r="B1724" s="9" t="n">
        <x:f>A1724*v01_SeasonSeconds/60</x:f>
        <x:v>430.25</x:v>
      </x:c>
      <x:c r="C1724" s="9" t="n">
        <x:f>A1724/4</x:f>
        <x:v>430.25</x:v>
      </x:c>
      <x:c r="D1724" s="8" t="n">
        <x:f>IF(MOD(A1724,4)=0,1,0)</x:f>
        <x:v>0</x:v>
      </x:c>
      <x:c r="E1724" s="8" t="n">
        <x:f>IF(AND(F1723&lt;=9,AS1723&gt;=AR1723),1,0)</x:f>
        <x:v>0</x:v>
      </x:c>
      <x:c r="F1724" s="8" t="n">
        <x:f>MIN(10,F1723+E1724)</x:f>
        <x:v>10</x:v>
      </x:c>
      <x:c r="G1724" s="8" t="n">
        <x:f>MIN(F1724,9)+1</x:f>
        <x:v>10</x:v>
      </x:c>
      <x:c r="H1724" s="8" t="n">
        <x:f>IF(F1724&lt;=9,1,0)</x:f>
        <x:v>0</x:v>
      </x:c>
      <x:c r="I1724" s="9" t="n">
        <x:f>MIN(10,F1723+IF(AR1723&gt;0,MIN(1,AS1723/AR1723),1))</x:f>
        <x:v>10</x:v>
      </x:c>
      <x:c r="J1724" s="32" t="n">
        <x:f>INDEX(v01_FoodCap,G1724)*Arch_FoodCap*EXP(v01_CapsByProject*SUMPRODUCT((Cap_Point&lt;=I1724)*(Cap_Kind="Food")*Cap_Ln))</x:f>
        <x:v>12000</x:v>
      </x:c>
      <x:c r="K1724" s="32" t="n">
        <x:f>J1724*MIN(1,v01_LeanBase*EXP(v01_CapsByProject*SUMPRODUCT((Cap_Point&lt;=I1724)*(Cap_Kind="Lean")*Cap_Ln)))</x:f>
        <x:v>12000</x:v>
      </x:c>
      <x:c r="L1724" s="10" t="n">
        <x:f>INDEX(v01_HousingCap,G1724)*EXP(v01_CapsByProject*SUMPRODUCT((Cap_Point&lt;=I1724)*(Cap_Kind="Housing")*Cap_Ln))</x:f>
        <x:v>20000</x:v>
      </x:c>
      <x:c r="M1724" s="10" t="n">
        <x:f>INDEX(v01_GroupCap,G1724)*v01_CohesionFactor*EXP(v01_CapsByProject*SUMPRODUCT((Cap_Point&lt;=I1724)*(Cap_Kind="Group")*Cap_Ln))</x:f>
        <x:v>1000000</x:v>
      </x:c>
      <x:c r="N1724" s="32" t="n">
        <x:f>MIN(J1724,L1724,M1724)</x:f>
        <x:v>12000</x:v>
      </x:c>
      <x:c r="O1724" s="10" t="n">
        <x:f>AE1723*N1724</x:f>
        <x:v>180000</x:v>
      </x:c>
      <x:c r="P1724" s="9" t="n">
        <x:f>MIN(1,(AB1723/(AE1723*IF(v01_GroupInCrowding=1,N1724,MIN(J1724,L1724))))^v01_CrowdingExp)</x:f>
        <x:v>0.00024569414295285325</x:v>
      </x:c>
      <x:c r="Q1724" s="9" t="n">
        <x:f>IF(D1724=1,INDEX(v01_WinterMult,G1724),1)</x:f>
        <x:v>1</x:v>
      </x:c>
      <x:c r="R1724" s="9" t="n">
        <x:f>H1724*Z1723*v01_WomenShare*v01_BaseFertility*INDEX(v01_FertMult,G1724)*Arch_Fertility*(1-P1724)</x:f>
        <x:v>0</x:v>
      </x:c>
      <x:c r="S1724" s="9" t="n">
        <x:f>H1724*Y1723*INDEX(v01_MortChild,G1724)/4*Q1724</x:f>
        <x:v>0</x:v>
      </x:c>
      <x:c r="T1724" s="9" t="n">
        <x:f>H1724*Z1723*INDEX(v01_MortAdult,G1724)*Arch_AdultMort/4*Q1724</x:f>
        <x:v>0</x:v>
      </x:c>
      <x:c r="U1724" s="9" t="n">
        <x:f>H1724*AA1723*INDEX(v01_MortElder,G1724)/4*Q1724</x:f>
        <x:v>0</x:v>
      </x:c>
      <x:c r="V1724" s="9" t="n">
        <x:f>H1724*MAX(0,AB1723-O1724)*v01_OvercapLoss</x:f>
        <x:v>0</x:v>
      </x:c>
      <x:c r="W1724" s="9" t="n">
        <x:f>H1724*Y1723/(v01_ChildYears*4)</x:f>
        <x:v>0</x:v>
      </x:c>
      <x:c r="X1724" s="9" t="n">
        <x:f>H1724*Z1723/(v01_AdultYears*4)</x:f>
        <x:v>0</x:v>
      </x:c>
      <x:c r="Y1724" s="32" t="n">
        <x:f>Y1723+R1724-S1724-W1724-Y1723*V1724/AB1723</x:f>
        <x:v>14306.18539759397</x:v>
      </x:c>
      <x:c r="Z1724" s="32" t="n">
        <x:f>Z1723+W1724-X1724-T1724-Z1723*V1724/AB1723</x:f>
        <x:v>19354.456567879548</x:v>
      </x:c>
      <x:c r="AA1724" s="32" t="n">
        <x:f>AA1723+X1724-U1724-AA1723*V1724/AB1723</x:f>
        <x:v>11386.956063258198</x:v>
      </x:c>
      <x:c r="AB1724" s="10" t="n">
        <x:f>Y1724+Z1724+AA1724</x:f>
        <x:v>45047.59802873172</x:v>
      </x:c>
      <x:c r="AC1724" s="8" t="n">
        <x:f>IF(AND(v01_WinterTrigger=1,D1724=1,AB1723/AE1723&gt;=K1724),1,0)</x:f>
        <x:v>0</x:v>
      </x:c>
      <x:c r="AD1724" s="8" t="n">
        <x:f>H1724*IF(AND(OR(AB1723/AE1723&gt;=v01_FissionTrigger*N1724,AC1724=1),AB1723/AE1723*v01_DaughterShare&gt;=v01_MinDaughter),MAX(1,ROUND(AE1723*v01_FissionRate,0)),0)</x:f>
        <x:v>0</x:v>
      </x:c>
      <x:c r="AE1724" s="8" t="n">
        <x:f>IF(H1724=1,MAX(1,MIN(INDEX(v01_Smax,G1724),AE1723+AD1724)),AE1723)</x:f>
        <x:v>15</x:v>
      </x:c>
      <x:c r="AF1724" s="8" t="n">
        <x:f>MAX(0,AE1724-AE1723)</x:f>
        <x:v>0</x:v>
      </x:c>
      <x:c r="AG1724" s="9" t="str">
        <x:f>IF(AF1724&gt;0,B1724,"")</x:f>
      </x:c>
      <x:c r="AH1724" s="9" t="n">
        <x:f>IF(F1724&gt;=1,1,(1+v01_LowTiesShare*(AE1724-1))/AE1724)</x:f>
        <x:v>1</x:v>
      </x:c>
      <x:c r="AI1724" s="32" t="n">
        <x:f>(Z1724+v01_ElderCommons*INDEX(LM_Elder,G1724)*AA1724)*AH1724</x:f>
        <x:v>64139.732591141874</x:v>
      </x:c>
      <x:c r="AJ1724" s="32" t="n">
        <x:f>H1724*v01_CommonsCoef*AI1724^v01_CommonsExp*INDEX(LM_Commons,G1724)</x:f>
        <x:v>0</x:v>
      </x:c>
      <x:c r="AK1724" s="32" t="n">
        <x:f>H1724*v01_RoleScale*Arch_Roles*(AE1724*(INDEX(v01_ElderRolePerSett,G1724)*v01_OutElder*INDEX(LM_Elder,G1724)+INDEX(v01_ShamanPerSett,G1724)*v01_OutShaman)+Z1724*(INDEX(v01_PriestShare,G1724)*v01_OutPriest+INDEX(v01_ScribeShare,G1724)*v01_OutScribe*INDEX(LM_Scribe,G1724)+INDEX(v01_ScholarShare,G1724)*v01_OutScholar*INDEX(LM_Scholar,G1724)+INDEX(v01_ResearcherShare,G1724)*v01_OutResearcher*INDEX(LM_Researcher,G1724)))</x:f>
        <x:v>0</x:v>
      </x:c>
      <x:c r="AL1724" s="32" t="n">
        <x:f>H1724*v01_RoleScale*Arch_Roles*AE1724*INDEX(v01_MonasteryPerSett,G1724)*v01_OutMonastery*INDEX(LM_Monastery,G1724)</x:f>
        <x:v>0</x:v>
      </x:c>
      <x:c r="AM1724" s="32" t="n">
        <x:f>(AJ1724+AK1724+AL1724)/4*INDEX(LM_All,G1724)*INDEX(v01_Boon,G1724)*Arch_Insight</x:f>
        <x:v>0</x:v>
      </x:c>
      <x:c r="AN1724" s="32" t="n">
        <x:f>H1724*(v01_KHPerAdult*Z1724+v01_KHOfCommons*AJ1724/4*INDEX(LM_All,G1724))*v01_KHUsable*Arch_KH</x:f>
        <x:v>0</x:v>
      </x:c>
      <x:c r="AO1724" s="32" t="n">
        <x:f>MIN(AP1723+AN1724,AM1724*v01_KHMaxRatio)</x:f>
        <x:v>0</x:v>
      </x:c>
      <x:c r="AP1724" s="32" t="n">
        <x:f>AP1723+AN1724-AO1724</x:f>
        <x:v>0</x:v>
      </x:c>
      <x:c r="AQ1724" s="32" t="n">
        <x:f>AM1724+AO1724</x:f>
        <x:v>0</x:v>
      </x:c>
      <x:c r="AR1724" s="10" t="n">
        <x:f>IF(H1724=1,INDEX(v01_Req,G1724),0)</x:f>
        <x:v>0</x:v>
      </x:c>
      <x:c r="AS1724" s="32" t="n">
        <x:f>IF(H1724=1,IF(E1724=1,AS1723-AR1723,AS1723)+AQ1724,0)</x:f>
        <x:v>0</x:v>
      </x:c>
      <x:c r="AT1724" s="11" t="n">
        <x:f>IF(AR1724&gt;0,MIN(1,AS1724/AR1724),1)</x:f>
        <x:v>1</x:v>
      </x:c>
      <x:c r="AU1724" s="10" t="n">
        <x:f>AB1724/INDEX(v01_RepScale,G1724)</x:f>
        <x:v>90.09519605746344</x:v>
      </x:c>
      <x:c r="AV1724" s="32" t="n">
        <x:f>AM1724*60/v01_SeasonSeconds</x:f>
        <x:v>0</x:v>
      </x:c>
    </x:row>
    <x:row r="1725">
      <x:c r="A1725" s="8" t="n">
        <x:f>A1724+1</x:f>
        <x:v>1722</x:v>
      </x:c>
      <x:c r="B1725" s="9" t="n">
        <x:f>A1725*v01_SeasonSeconds/60</x:f>
        <x:v>430.5</x:v>
      </x:c>
      <x:c r="C1725" s="9" t="n">
        <x:f>A1725/4</x:f>
        <x:v>430.5</x:v>
      </x:c>
      <x:c r="D1725" s="8" t="n">
        <x:f>IF(MOD(A1725,4)=0,1,0)</x:f>
        <x:v>0</x:v>
      </x:c>
      <x:c r="E1725" s="8" t="n">
        <x:f>IF(AND(F1724&lt;=9,AS1724&gt;=AR1724),1,0)</x:f>
        <x:v>0</x:v>
      </x:c>
      <x:c r="F1725" s="8" t="n">
        <x:f>MIN(10,F1724+E1725)</x:f>
        <x:v>10</x:v>
      </x:c>
      <x:c r="G1725" s="8" t="n">
        <x:f>MIN(F1725,9)+1</x:f>
        <x:v>10</x:v>
      </x:c>
      <x:c r="H1725" s="8" t="n">
        <x:f>IF(F1725&lt;=9,1,0)</x:f>
        <x:v>0</x:v>
      </x:c>
      <x:c r="I1725" s="9" t="n">
        <x:f>MIN(10,F1724+IF(AR1724&gt;0,MIN(1,AS1724/AR1724),1))</x:f>
        <x:v>10</x:v>
      </x:c>
      <x:c r="J1725" s="32" t="n">
        <x:f>INDEX(v01_FoodCap,G1725)*Arch_FoodCap*EXP(v01_CapsByProject*SUMPRODUCT((Cap_Point&lt;=I1725)*(Cap_Kind="Food")*Cap_Ln))</x:f>
        <x:v>12000</x:v>
      </x:c>
      <x:c r="K1725" s="32" t="n">
        <x:f>J1725*MIN(1,v01_LeanBase*EXP(v01_CapsByProject*SUMPRODUCT((Cap_Point&lt;=I1725)*(Cap_Kind="Lean")*Cap_Ln)))</x:f>
        <x:v>12000</x:v>
      </x:c>
      <x:c r="L1725" s="10" t="n">
        <x:f>INDEX(v01_HousingCap,G1725)*EXP(v01_CapsByProject*SUMPRODUCT((Cap_Point&lt;=I1725)*(Cap_Kind="Housing")*Cap_Ln))</x:f>
        <x:v>20000</x:v>
      </x:c>
      <x:c r="M1725" s="10" t="n">
        <x:f>INDEX(v01_GroupCap,G1725)*v01_CohesionFactor*EXP(v01_CapsByProject*SUMPRODUCT((Cap_Point&lt;=I1725)*(Cap_Kind="Group")*Cap_Ln))</x:f>
        <x:v>1000000</x:v>
      </x:c>
      <x:c r="N1725" s="32" t="n">
        <x:f>MIN(J1725,L1725,M1725)</x:f>
        <x:v>12000</x:v>
      </x:c>
      <x:c r="O1725" s="10" t="n">
        <x:f>AE1724*N1725</x:f>
        <x:v>180000</x:v>
      </x:c>
      <x:c r="P1725" s="9" t="n">
        <x:f>MIN(1,(AB1724/(AE1724*IF(v01_GroupInCrowding=1,N1725,MIN(J1725,L1725))))^v01_CrowdingExp)</x:f>
        <x:v>0.00024569414295285325</x:v>
      </x:c>
      <x:c r="Q1725" s="9" t="n">
        <x:f>IF(D1725=1,INDEX(v01_WinterMult,G1725),1)</x:f>
        <x:v>1</x:v>
      </x:c>
      <x:c r="R1725" s="9" t="n">
        <x:f>H1725*Z1724*v01_WomenShare*v01_BaseFertility*INDEX(v01_FertMult,G1725)*Arch_Fertility*(1-P1725)</x:f>
        <x:v>0</x:v>
      </x:c>
      <x:c r="S1725" s="9" t="n">
        <x:f>H1725*Y1724*INDEX(v01_MortChild,G1725)/4*Q1725</x:f>
        <x:v>0</x:v>
      </x:c>
      <x:c r="T1725" s="9" t="n">
        <x:f>H1725*Z1724*INDEX(v01_MortAdult,G1725)*Arch_AdultMort/4*Q1725</x:f>
        <x:v>0</x:v>
      </x:c>
      <x:c r="U1725" s="9" t="n">
        <x:f>H1725*AA1724*INDEX(v01_MortElder,G1725)/4*Q1725</x:f>
        <x:v>0</x:v>
      </x:c>
      <x:c r="V1725" s="9" t="n">
        <x:f>H1725*MAX(0,AB1724-O1725)*v01_OvercapLoss</x:f>
        <x:v>0</x:v>
      </x:c>
      <x:c r="W1725" s="9" t="n">
        <x:f>H1725*Y1724/(v01_ChildYears*4)</x:f>
        <x:v>0</x:v>
      </x:c>
      <x:c r="X1725" s="9" t="n">
        <x:f>H1725*Z1724/(v01_AdultYears*4)</x:f>
        <x:v>0</x:v>
      </x:c>
      <x:c r="Y1725" s="32" t="n">
        <x:f>Y1724+R1725-S1725-W1725-Y1724*V1725/AB1724</x:f>
        <x:v>14306.18539759397</x:v>
      </x:c>
      <x:c r="Z1725" s="32" t="n">
        <x:f>Z1724+W1725-X1725-T1725-Z1724*V1725/AB1724</x:f>
        <x:v>19354.456567879548</x:v>
      </x:c>
      <x:c r="AA1725" s="32" t="n">
        <x:f>AA1724+X1725-U1725-AA1724*V1725/AB1724</x:f>
        <x:v>11386.956063258198</x:v>
      </x:c>
      <x:c r="AB1725" s="10" t="n">
        <x:f>Y1725+Z1725+AA1725</x:f>
        <x:v>45047.59802873172</x:v>
      </x:c>
      <x:c r="AC1725" s="8" t="n">
        <x:f>IF(AND(v01_WinterTrigger=1,D1725=1,AB1724/AE1724&gt;=K1725),1,0)</x:f>
        <x:v>0</x:v>
      </x:c>
      <x:c r="AD1725" s="8" t="n">
        <x:f>H1725*IF(AND(OR(AB1724/AE1724&gt;=v01_FissionTrigger*N1725,AC1725=1),AB1724/AE1724*v01_DaughterShare&gt;=v01_MinDaughter),MAX(1,ROUND(AE1724*v01_FissionRate,0)),0)</x:f>
        <x:v>0</x:v>
      </x:c>
      <x:c r="AE1725" s="8" t="n">
        <x:f>IF(H1725=1,MAX(1,MIN(INDEX(v01_Smax,G1725),AE1724+AD1725)),AE1724)</x:f>
        <x:v>15</x:v>
      </x:c>
      <x:c r="AF1725" s="8" t="n">
        <x:f>MAX(0,AE1725-AE1724)</x:f>
        <x:v>0</x:v>
      </x:c>
      <x:c r="AG1725" s="9" t="str">
        <x:f>IF(AF1725&gt;0,B1725,"")</x:f>
      </x:c>
      <x:c r="AH1725" s="9" t="n">
        <x:f>IF(F1725&gt;=1,1,(1+v01_LowTiesShare*(AE1725-1))/AE1725)</x:f>
        <x:v>1</x:v>
      </x:c>
      <x:c r="AI1725" s="32" t="n">
        <x:f>(Z1725+v01_ElderCommons*INDEX(LM_Elder,G1725)*AA1725)*AH1725</x:f>
        <x:v>64139.732591141874</x:v>
      </x:c>
      <x:c r="AJ1725" s="32" t="n">
        <x:f>H1725*v01_CommonsCoef*AI1725^v01_CommonsExp*INDEX(LM_Commons,G1725)</x:f>
        <x:v>0</x:v>
      </x:c>
      <x:c r="AK1725" s="32" t="n">
        <x:f>H1725*v01_RoleScale*Arch_Roles*(AE1725*(INDEX(v01_ElderRolePerSett,G1725)*v01_OutElder*INDEX(LM_Elder,G1725)+INDEX(v01_ShamanPerSett,G1725)*v01_OutShaman)+Z1725*(INDEX(v01_PriestShare,G1725)*v01_OutPriest+INDEX(v01_ScribeShare,G1725)*v01_OutScribe*INDEX(LM_Scribe,G1725)+INDEX(v01_ScholarShare,G1725)*v01_OutScholar*INDEX(LM_Scholar,G1725)+INDEX(v01_ResearcherShare,G1725)*v01_OutResearcher*INDEX(LM_Researcher,G1725)))</x:f>
        <x:v>0</x:v>
      </x:c>
      <x:c r="AL1725" s="32" t="n">
        <x:f>H1725*v01_RoleScale*Arch_Roles*AE1725*INDEX(v01_MonasteryPerSett,G1725)*v01_OutMonastery*INDEX(LM_Monastery,G1725)</x:f>
        <x:v>0</x:v>
      </x:c>
      <x:c r="AM1725" s="32" t="n">
        <x:f>(AJ1725+AK1725+AL1725)/4*INDEX(LM_All,G1725)*INDEX(v01_Boon,G1725)*Arch_Insight</x:f>
        <x:v>0</x:v>
      </x:c>
      <x:c r="AN1725" s="32" t="n">
        <x:f>H1725*(v01_KHPerAdult*Z1725+v01_KHOfCommons*AJ1725/4*INDEX(LM_All,G1725))*v01_KHUsable*Arch_KH</x:f>
        <x:v>0</x:v>
      </x:c>
      <x:c r="AO1725" s="32" t="n">
        <x:f>MIN(AP1724+AN1725,AM1725*v01_KHMaxRatio)</x:f>
        <x:v>0</x:v>
      </x:c>
      <x:c r="AP1725" s="32" t="n">
        <x:f>AP1724+AN1725-AO1725</x:f>
        <x:v>0</x:v>
      </x:c>
      <x:c r="AQ1725" s="32" t="n">
        <x:f>AM1725+AO1725</x:f>
        <x:v>0</x:v>
      </x:c>
      <x:c r="AR1725" s="10" t="n">
        <x:f>IF(H1725=1,INDEX(v01_Req,G1725),0)</x:f>
        <x:v>0</x:v>
      </x:c>
      <x:c r="AS1725" s="32" t="n">
        <x:f>IF(H1725=1,IF(E1725=1,AS1724-AR1724,AS1724)+AQ1725,0)</x:f>
        <x:v>0</x:v>
      </x:c>
      <x:c r="AT1725" s="11" t="n">
        <x:f>IF(AR1725&gt;0,MIN(1,AS1725/AR1725),1)</x:f>
        <x:v>1</x:v>
      </x:c>
      <x:c r="AU1725" s="10" t="n">
        <x:f>AB1725/INDEX(v01_RepScale,G1725)</x:f>
        <x:v>90.09519605746344</x:v>
      </x:c>
      <x:c r="AV1725" s="32" t="n">
        <x:f>AM1725*60/v01_SeasonSeconds</x:f>
        <x:v>0</x:v>
      </x:c>
    </x:row>
    <x:row r="1726">
      <x:c r="A1726" s="8" t="n">
        <x:f>A1725+1</x:f>
        <x:v>1723</x:v>
      </x:c>
      <x:c r="B1726" s="9" t="n">
        <x:f>A1726*v01_SeasonSeconds/60</x:f>
        <x:v>430.75</x:v>
      </x:c>
      <x:c r="C1726" s="9" t="n">
        <x:f>A1726/4</x:f>
        <x:v>430.75</x:v>
      </x:c>
      <x:c r="D1726" s="8" t="n">
        <x:f>IF(MOD(A1726,4)=0,1,0)</x:f>
        <x:v>0</x:v>
      </x:c>
      <x:c r="E1726" s="8" t="n">
        <x:f>IF(AND(F1725&lt;=9,AS1725&gt;=AR1725),1,0)</x:f>
        <x:v>0</x:v>
      </x:c>
      <x:c r="F1726" s="8" t="n">
        <x:f>MIN(10,F1725+E1726)</x:f>
        <x:v>10</x:v>
      </x:c>
      <x:c r="G1726" s="8" t="n">
        <x:f>MIN(F1726,9)+1</x:f>
        <x:v>10</x:v>
      </x:c>
      <x:c r="H1726" s="8" t="n">
        <x:f>IF(F1726&lt;=9,1,0)</x:f>
        <x:v>0</x:v>
      </x:c>
      <x:c r="I1726" s="9" t="n">
        <x:f>MIN(10,F1725+IF(AR1725&gt;0,MIN(1,AS1725/AR1725),1))</x:f>
        <x:v>10</x:v>
      </x:c>
      <x:c r="J1726" s="32" t="n">
        <x:f>INDEX(v01_FoodCap,G1726)*Arch_FoodCap*EXP(v01_CapsByProject*SUMPRODUCT((Cap_Point&lt;=I1726)*(Cap_Kind="Food")*Cap_Ln))</x:f>
        <x:v>12000</x:v>
      </x:c>
      <x:c r="K1726" s="32" t="n">
        <x:f>J1726*MIN(1,v01_LeanBase*EXP(v01_CapsByProject*SUMPRODUCT((Cap_Point&lt;=I1726)*(Cap_Kind="Lean")*Cap_Ln)))</x:f>
        <x:v>12000</x:v>
      </x:c>
      <x:c r="L1726" s="10" t="n">
        <x:f>INDEX(v01_HousingCap,G1726)*EXP(v01_CapsByProject*SUMPRODUCT((Cap_Point&lt;=I1726)*(Cap_Kind="Housing")*Cap_Ln))</x:f>
        <x:v>20000</x:v>
      </x:c>
      <x:c r="M1726" s="10" t="n">
        <x:f>INDEX(v01_GroupCap,G1726)*v01_CohesionFactor*EXP(v01_CapsByProject*SUMPRODUCT((Cap_Point&lt;=I1726)*(Cap_Kind="Group")*Cap_Ln))</x:f>
        <x:v>1000000</x:v>
      </x:c>
      <x:c r="N1726" s="32" t="n">
        <x:f>MIN(J1726,L1726,M1726)</x:f>
        <x:v>12000</x:v>
      </x:c>
      <x:c r="O1726" s="10" t="n">
        <x:f>AE1725*N1726</x:f>
        <x:v>180000</x:v>
      </x:c>
      <x:c r="P1726" s="9" t="n">
        <x:f>MIN(1,(AB1725/(AE1725*IF(v01_GroupInCrowding=1,N1726,MIN(J1726,L1726))))^v01_CrowdingExp)</x:f>
        <x:v>0.00024569414295285325</x:v>
      </x:c>
      <x:c r="Q1726" s="9" t="n">
        <x:f>IF(D1726=1,INDEX(v01_WinterMult,G1726),1)</x:f>
        <x:v>1</x:v>
      </x:c>
      <x:c r="R1726" s="9" t="n">
        <x:f>H1726*Z1725*v01_WomenShare*v01_BaseFertility*INDEX(v01_FertMult,G1726)*Arch_Fertility*(1-P1726)</x:f>
        <x:v>0</x:v>
      </x:c>
      <x:c r="S1726" s="9" t="n">
        <x:f>H1726*Y1725*INDEX(v01_MortChild,G1726)/4*Q1726</x:f>
        <x:v>0</x:v>
      </x:c>
      <x:c r="T1726" s="9" t="n">
        <x:f>H1726*Z1725*INDEX(v01_MortAdult,G1726)*Arch_AdultMort/4*Q1726</x:f>
        <x:v>0</x:v>
      </x:c>
      <x:c r="U1726" s="9" t="n">
        <x:f>H1726*AA1725*INDEX(v01_MortElder,G1726)/4*Q1726</x:f>
        <x:v>0</x:v>
      </x:c>
      <x:c r="V1726" s="9" t="n">
        <x:f>H1726*MAX(0,AB1725-O1726)*v01_OvercapLoss</x:f>
        <x:v>0</x:v>
      </x:c>
      <x:c r="W1726" s="9" t="n">
        <x:f>H1726*Y1725/(v01_ChildYears*4)</x:f>
        <x:v>0</x:v>
      </x:c>
      <x:c r="X1726" s="9" t="n">
        <x:f>H1726*Z1725/(v01_AdultYears*4)</x:f>
        <x:v>0</x:v>
      </x:c>
      <x:c r="Y1726" s="32" t="n">
        <x:f>Y1725+R1726-S1726-W1726-Y1725*V1726/AB1725</x:f>
        <x:v>14306.18539759397</x:v>
      </x:c>
      <x:c r="Z1726" s="32" t="n">
        <x:f>Z1725+W1726-X1726-T1726-Z1725*V1726/AB1725</x:f>
        <x:v>19354.456567879548</x:v>
      </x:c>
      <x:c r="AA1726" s="32" t="n">
        <x:f>AA1725+X1726-U1726-AA1725*V1726/AB1725</x:f>
        <x:v>11386.956063258198</x:v>
      </x:c>
      <x:c r="AB1726" s="10" t="n">
        <x:f>Y1726+Z1726+AA1726</x:f>
        <x:v>45047.59802873172</x:v>
      </x:c>
      <x:c r="AC1726" s="8" t="n">
        <x:f>IF(AND(v01_WinterTrigger=1,D1726=1,AB1725/AE1725&gt;=K1726),1,0)</x:f>
        <x:v>0</x:v>
      </x:c>
      <x:c r="AD1726" s="8" t="n">
        <x:f>H1726*IF(AND(OR(AB1725/AE1725&gt;=v01_FissionTrigger*N1726,AC1726=1),AB1725/AE1725*v01_DaughterShare&gt;=v01_MinDaughter),MAX(1,ROUND(AE1725*v01_FissionRate,0)),0)</x:f>
        <x:v>0</x:v>
      </x:c>
      <x:c r="AE1726" s="8" t="n">
        <x:f>IF(H1726=1,MAX(1,MIN(INDEX(v01_Smax,G1726),AE1725+AD1726)),AE1725)</x:f>
        <x:v>15</x:v>
      </x:c>
      <x:c r="AF1726" s="8" t="n">
        <x:f>MAX(0,AE1726-AE1725)</x:f>
        <x:v>0</x:v>
      </x:c>
      <x:c r="AG1726" s="9" t="str">
        <x:f>IF(AF1726&gt;0,B1726,"")</x:f>
      </x:c>
      <x:c r="AH1726" s="9" t="n">
        <x:f>IF(F1726&gt;=1,1,(1+v01_LowTiesShare*(AE1726-1))/AE1726)</x:f>
        <x:v>1</x:v>
      </x:c>
      <x:c r="AI1726" s="32" t="n">
        <x:f>(Z1726+v01_ElderCommons*INDEX(LM_Elder,G1726)*AA1726)*AH1726</x:f>
        <x:v>64139.732591141874</x:v>
      </x:c>
      <x:c r="AJ1726" s="32" t="n">
        <x:f>H1726*v01_CommonsCoef*AI1726^v01_CommonsExp*INDEX(LM_Commons,G1726)</x:f>
        <x:v>0</x:v>
      </x:c>
      <x:c r="AK1726" s="32" t="n">
        <x:f>H1726*v01_RoleScale*Arch_Roles*(AE1726*(INDEX(v01_ElderRolePerSett,G1726)*v01_OutElder*INDEX(LM_Elder,G1726)+INDEX(v01_ShamanPerSett,G1726)*v01_OutShaman)+Z1726*(INDEX(v01_PriestShare,G1726)*v01_OutPriest+INDEX(v01_ScribeShare,G1726)*v01_OutScribe*INDEX(LM_Scribe,G1726)+INDEX(v01_ScholarShare,G1726)*v01_OutScholar*INDEX(LM_Scholar,G1726)+INDEX(v01_ResearcherShare,G1726)*v01_OutResearcher*INDEX(LM_Researcher,G1726)))</x:f>
        <x:v>0</x:v>
      </x:c>
      <x:c r="AL1726" s="32" t="n">
        <x:f>H1726*v01_RoleScale*Arch_Roles*AE1726*INDEX(v01_MonasteryPerSett,G1726)*v01_OutMonastery*INDEX(LM_Monastery,G1726)</x:f>
        <x:v>0</x:v>
      </x:c>
      <x:c r="AM1726" s="32" t="n">
        <x:f>(AJ1726+AK1726+AL1726)/4*INDEX(LM_All,G1726)*INDEX(v01_Boon,G1726)*Arch_Insight</x:f>
        <x:v>0</x:v>
      </x:c>
      <x:c r="AN1726" s="32" t="n">
        <x:f>H1726*(v01_KHPerAdult*Z1726+v01_KHOfCommons*AJ1726/4*INDEX(LM_All,G1726))*v01_KHUsable*Arch_KH</x:f>
        <x:v>0</x:v>
      </x:c>
      <x:c r="AO1726" s="32" t="n">
        <x:f>MIN(AP1725+AN1726,AM1726*v01_KHMaxRatio)</x:f>
        <x:v>0</x:v>
      </x:c>
      <x:c r="AP1726" s="32" t="n">
        <x:f>AP1725+AN1726-AO1726</x:f>
        <x:v>0</x:v>
      </x:c>
      <x:c r="AQ1726" s="32" t="n">
        <x:f>AM1726+AO1726</x:f>
        <x:v>0</x:v>
      </x:c>
      <x:c r="AR1726" s="10" t="n">
        <x:f>IF(H1726=1,INDEX(v01_Req,G1726),0)</x:f>
        <x:v>0</x:v>
      </x:c>
      <x:c r="AS1726" s="32" t="n">
        <x:f>IF(H1726=1,IF(E1726=1,AS1725-AR1725,AS1725)+AQ1726,0)</x:f>
        <x:v>0</x:v>
      </x:c>
      <x:c r="AT1726" s="11" t="n">
        <x:f>IF(AR1726&gt;0,MIN(1,AS1726/AR1726),1)</x:f>
        <x:v>1</x:v>
      </x:c>
      <x:c r="AU1726" s="10" t="n">
        <x:f>AB1726/INDEX(v01_RepScale,G1726)</x:f>
        <x:v>90.09519605746344</x:v>
      </x:c>
      <x:c r="AV1726" s="32" t="n">
        <x:f>AM1726*60/v01_SeasonSeconds</x:f>
        <x:v>0</x:v>
      </x:c>
    </x:row>
    <x:row r="1727">
      <x:c r="A1727" s="8" t="n">
        <x:f>A1726+1</x:f>
        <x:v>1724</x:v>
      </x:c>
      <x:c r="B1727" s="9" t="n">
        <x:f>A1727*v01_SeasonSeconds/60</x:f>
        <x:v>431</x:v>
      </x:c>
      <x:c r="C1727" s="9" t="n">
        <x:f>A1727/4</x:f>
        <x:v>431</x:v>
      </x:c>
      <x:c r="D1727" s="8" t="n">
        <x:f>IF(MOD(A1727,4)=0,1,0)</x:f>
        <x:v>1</x:v>
      </x:c>
      <x:c r="E1727" s="8" t="n">
        <x:f>IF(AND(F1726&lt;=9,AS1726&gt;=AR1726),1,0)</x:f>
        <x:v>0</x:v>
      </x:c>
      <x:c r="F1727" s="8" t="n">
        <x:f>MIN(10,F1726+E1727)</x:f>
        <x:v>10</x:v>
      </x:c>
      <x:c r="G1727" s="8" t="n">
        <x:f>MIN(F1727,9)+1</x:f>
        <x:v>10</x:v>
      </x:c>
      <x:c r="H1727" s="8" t="n">
        <x:f>IF(F1727&lt;=9,1,0)</x:f>
        <x:v>0</x:v>
      </x:c>
      <x:c r="I1727" s="9" t="n">
        <x:f>MIN(10,F1726+IF(AR1726&gt;0,MIN(1,AS1726/AR1726),1))</x:f>
        <x:v>10</x:v>
      </x:c>
      <x:c r="J1727" s="32" t="n">
        <x:f>INDEX(v01_FoodCap,G1727)*Arch_FoodCap*EXP(v01_CapsByProject*SUMPRODUCT((Cap_Point&lt;=I1727)*(Cap_Kind="Food")*Cap_Ln))</x:f>
        <x:v>12000</x:v>
      </x:c>
      <x:c r="K1727" s="32" t="n">
        <x:f>J1727*MIN(1,v01_LeanBase*EXP(v01_CapsByProject*SUMPRODUCT((Cap_Point&lt;=I1727)*(Cap_Kind="Lean")*Cap_Ln)))</x:f>
        <x:v>12000</x:v>
      </x:c>
      <x:c r="L1727" s="10" t="n">
        <x:f>INDEX(v01_HousingCap,G1727)*EXP(v01_CapsByProject*SUMPRODUCT((Cap_Point&lt;=I1727)*(Cap_Kind="Housing")*Cap_Ln))</x:f>
        <x:v>20000</x:v>
      </x:c>
      <x:c r="M1727" s="10" t="n">
        <x:f>INDEX(v01_GroupCap,G1727)*v01_CohesionFactor*EXP(v01_CapsByProject*SUMPRODUCT((Cap_Point&lt;=I1727)*(Cap_Kind="Group")*Cap_Ln))</x:f>
        <x:v>1000000</x:v>
      </x:c>
      <x:c r="N1727" s="32" t="n">
        <x:f>MIN(J1727,L1727,M1727)</x:f>
        <x:v>12000</x:v>
      </x:c>
      <x:c r="O1727" s="10" t="n">
        <x:f>AE1726*N1727</x:f>
        <x:v>180000</x:v>
      </x:c>
      <x:c r="P1727" s="9" t="n">
        <x:f>MIN(1,(AB1726/(AE1726*IF(v01_GroupInCrowding=1,N1727,MIN(J1727,L1727))))^v01_CrowdingExp)</x:f>
        <x:v>0.00024569414295285325</x:v>
      </x:c>
      <x:c r="Q1727" s="9" t="n">
        <x:f>IF(D1727=1,INDEX(v01_WinterMult,G1727),1)</x:f>
        <x:v>1</x:v>
      </x:c>
      <x:c r="R1727" s="9" t="n">
        <x:f>H1727*Z1726*v01_WomenShare*v01_BaseFertility*INDEX(v01_FertMult,G1727)*Arch_Fertility*(1-P1727)</x:f>
        <x:v>0</x:v>
      </x:c>
      <x:c r="S1727" s="9" t="n">
        <x:f>H1727*Y1726*INDEX(v01_MortChild,G1727)/4*Q1727</x:f>
        <x:v>0</x:v>
      </x:c>
      <x:c r="T1727" s="9" t="n">
        <x:f>H1727*Z1726*INDEX(v01_MortAdult,G1727)*Arch_AdultMort/4*Q1727</x:f>
        <x:v>0</x:v>
      </x:c>
      <x:c r="U1727" s="9" t="n">
        <x:f>H1727*AA1726*INDEX(v01_MortElder,G1727)/4*Q1727</x:f>
        <x:v>0</x:v>
      </x:c>
      <x:c r="V1727" s="9" t="n">
        <x:f>H1727*MAX(0,AB1726-O1727)*v01_OvercapLoss</x:f>
        <x:v>0</x:v>
      </x:c>
      <x:c r="W1727" s="9" t="n">
        <x:f>H1727*Y1726/(v01_ChildYears*4)</x:f>
        <x:v>0</x:v>
      </x:c>
      <x:c r="X1727" s="9" t="n">
        <x:f>H1727*Z1726/(v01_AdultYears*4)</x:f>
        <x:v>0</x:v>
      </x:c>
      <x:c r="Y1727" s="32" t="n">
        <x:f>Y1726+R1727-S1727-W1727-Y1726*V1727/AB1726</x:f>
        <x:v>14306.18539759397</x:v>
      </x:c>
      <x:c r="Z1727" s="32" t="n">
        <x:f>Z1726+W1727-X1727-T1727-Z1726*V1727/AB1726</x:f>
        <x:v>19354.456567879548</x:v>
      </x:c>
      <x:c r="AA1727" s="32" t="n">
        <x:f>AA1726+X1727-U1727-AA1726*V1727/AB1726</x:f>
        <x:v>11386.956063258198</x:v>
      </x:c>
      <x:c r="AB1727" s="10" t="n">
        <x:f>Y1727+Z1727+AA1727</x:f>
        <x:v>45047.59802873172</x:v>
      </x:c>
      <x:c r="AC1727" s="8" t="n">
        <x:f>IF(AND(v01_WinterTrigger=1,D1727=1,AB1726/AE1726&gt;=K1727),1,0)</x:f>
        <x:v>0</x:v>
      </x:c>
      <x:c r="AD1727" s="8" t="n">
        <x:f>H1727*IF(AND(OR(AB1726/AE1726&gt;=v01_FissionTrigger*N1727,AC1727=1),AB1726/AE1726*v01_DaughterShare&gt;=v01_MinDaughter),MAX(1,ROUND(AE1726*v01_FissionRate,0)),0)</x:f>
        <x:v>0</x:v>
      </x:c>
      <x:c r="AE1727" s="8" t="n">
        <x:f>IF(H1727=1,MAX(1,MIN(INDEX(v01_Smax,G1727),AE1726+AD1727)),AE1726)</x:f>
        <x:v>15</x:v>
      </x:c>
      <x:c r="AF1727" s="8" t="n">
        <x:f>MAX(0,AE1727-AE1726)</x:f>
        <x:v>0</x:v>
      </x:c>
      <x:c r="AG1727" s="9" t="str">
        <x:f>IF(AF1727&gt;0,B1727,"")</x:f>
      </x:c>
      <x:c r="AH1727" s="9" t="n">
        <x:f>IF(F1727&gt;=1,1,(1+v01_LowTiesShare*(AE1727-1))/AE1727)</x:f>
        <x:v>1</x:v>
      </x:c>
      <x:c r="AI1727" s="32" t="n">
        <x:f>(Z1727+v01_ElderCommons*INDEX(LM_Elder,G1727)*AA1727)*AH1727</x:f>
        <x:v>64139.732591141874</x:v>
      </x:c>
      <x:c r="AJ1727" s="32" t="n">
        <x:f>H1727*v01_CommonsCoef*AI1727^v01_CommonsExp*INDEX(LM_Commons,G1727)</x:f>
        <x:v>0</x:v>
      </x:c>
      <x:c r="AK1727" s="32" t="n">
        <x:f>H1727*v01_RoleScale*Arch_Roles*(AE1727*(INDEX(v01_ElderRolePerSett,G1727)*v01_OutElder*INDEX(LM_Elder,G1727)+INDEX(v01_ShamanPerSett,G1727)*v01_OutShaman)+Z1727*(INDEX(v01_PriestShare,G1727)*v01_OutPriest+INDEX(v01_ScribeShare,G1727)*v01_OutScribe*INDEX(LM_Scribe,G1727)+INDEX(v01_ScholarShare,G1727)*v01_OutScholar*INDEX(LM_Scholar,G1727)+INDEX(v01_ResearcherShare,G1727)*v01_OutResearcher*INDEX(LM_Researcher,G1727)))</x:f>
        <x:v>0</x:v>
      </x:c>
      <x:c r="AL1727" s="32" t="n">
        <x:f>H1727*v01_RoleScale*Arch_Roles*AE1727*INDEX(v01_MonasteryPerSett,G1727)*v01_OutMonastery*INDEX(LM_Monastery,G1727)</x:f>
        <x:v>0</x:v>
      </x:c>
      <x:c r="AM1727" s="32" t="n">
        <x:f>(AJ1727+AK1727+AL1727)/4*INDEX(LM_All,G1727)*INDEX(v01_Boon,G1727)*Arch_Insight</x:f>
        <x:v>0</x:v>
      </x:c>
      <x:c r="AN1727" s="32" t="n">
        <x:f>H1727*(v01_KHPerAdult*Z1727+v01_KHOfCommons*AJ1727/4*INDEX(LM_All,G1727))*v01_KHUsable*Arch_KH</x:f>
        <x:v>0</x:v>
      </x:c>
      <x:c r="AO1727" s="32" t="n">
        <x:f>MIN(AP1726+AN1727,AM1727*v01_KHMaxRatio)</x:f>
        <x:v>0</x:v>
      </x:c>
      <x:c r="AP1727" s="32" t="n">
        <x:f>AP1726+AN1727-AO1727</x:f>
        <x:v>0</x:v>
      </x:c>
      <x:c r="AQ1727" s="32" t="n">
        <x:f>AM1727+AO1727</x:f>
        <x:v>0</x:v>
      </x:c>
      <x:c r="AR1727" s="10" t="n">
        <x:f>IF(H1727=1,INDEX(v01_Req,G1727),0)</x:f>
        <x:v>0</x:v>
      </x:c>
      <x:c r="AS1727" s="32" t="n">
        <x:f>IF(H1727=1,IF(E1727=1,AS1726-AR1726,AS1726)+AQ1727,0)</x:f>
        <x:v>0</x:v>
      </x:c>
      <x:c r="AT1727" s="11" t="n">
        <x:f>IF(AR1727&gt;0,MIN(1,AS1727/AR1727),1)</x:f>
        <x:v>1</x:v>
      </x:c>
      <x:c r="AU1727" s="10" t="n">
        <x:f>AB1727/INDEX(v01_RepScale,G1727)</x:f>
        <x:v>90.09519605746344</x:v>
      </x:c>
      <x:c r="AV1727" s="32" t="n">
        <x:f>AM1727*60/v01_SeasonSeconds</x:f>
        <x:v>0</x:v>
      </x:c>
    </x:row>
    <x:row r="1728">
      <x:c r="A1728" s="8" t="n">
        <x:f>A1727+1</x:f>
        <x:v>1725</x:v>
      </x:c>
      <x:c r="B1728" s="9" t="n">
        <x:f>A1728*v01_SeasonSeconds/60</x:f>
        <x:v>431.25</x:v>
      </x:c>
      <x:c r="C1728" s="9" t="n">
        <x:f>A1728/4</x:f>
        <x:v>431.25</x:v>
      </x:c>
      <x:c r="D1728" s="8" t="n">
        <x:f>IF(MOD(A1728,4)=0,1,0)</x:f>
        <x:v>0</x:v>
      </x:c>
      <x:c r="E1728" s="8" t="n">
        <x:f>IF(AND(F1727&lt;=9,AS1727&gt;=AR1727),1,0)</x:f>
        <x:v>0</x:v>
      </x:c>
      <x:c r="F1728" s="8" t="n">
        <x:f>MIN(10,F1727+E1728)</x:f>
        <x:v>10</x:v>
      </x:c>
      <x:c r="G1728" s="8" t="n">
        <x:f>MIN(F1728,9)+1</x:f>
        <x:v>10</x:v>
      </x:c>
      <x:c r="H1728" s="8" t="n">
        <x:f>IF(F1728&lt;=9,1,0)</x:f>
        <x:v>0</x:v>
      </x:c>
      <x:c r="I1728" s="9" t="n">
        <x:f>MIN(10,F1727+IF(AR1727&gt;0,MIN(1,AS1727/AR1727),1))</x:f>
        <x:v>10</x:v>
      </x:c>
      <x:c r="J1728" s="32" t="n">
        <x:f>INDEX(v01_FoodCap,G1728)*Arch_FoodCap*EXP(v01_CapsByProject*SUMPRODUCT((Cap_Point&lt;=I1728)*(Cap_Kind="Food")*Cap_Ln))</x:f>
        <x:v>12000</x:v>
      </x:c>
      <x:c r="K1728" s="32" t="n">
        <x:f>J1728*MIN(1,v01_LeanBase*EXP(v01_CapsByProject*SUMPRODUCT((Cap_Point&lt;=I1728)*(Cap_Kind="Lean")*Cap_Ln)))</x:f>
        <x:v>12000</x:v>
      </x:c>
      <x:c r="L1728" s="10" t="n">
        <x:f>INDEX(v01_HousingCap,G1728)*EXP(v01_CapsByProject*SUMPRODUCT((Cap_Point&lt;=I1728)*(Cap_Kind="Housing")*Cap_Ln))</x:f>
        <x:v>20000</x:v>
      </x:c>
      <x:c r="M1728" s="10" t="n">
        <x:f>INDEX(v01_GroupCap,G1728)*v01_CohesionFactor*EXP(v01_CapsByProject*SUMPRODUCT((Cap_Point&lt;=I1728)*(Cap_Kind="Group")*Cap_Ln))</x:f>
        <x:v>1000000</x:v>
      </x:c>
      <x:c r="N1728" s="32" t="n">
        <x:f>MIN(J1728,L1728,M1728)</x:f>
        <x:v>12000</x:v>
      </x:c>
      <x:c r="O1728" s="10" t="n">
        <x:f>AE1727*N1728</x:f>
        <x:v>180000</x:v>
      </x:c>
      <x:c r="P1728" s="9" t="n">
        <x:f>MIN(1,(AB1727/(AE1727*IF(v01_GroupInCrowding=1,N1728,MIN(J1728,L1728))))^v01_CrowdingExp)</x:f>
        <x:v>0.00024569414295285325</x:v>
      </x:c>
      <x:c r="Q1728" s="9" t="n">
        <x:f>IF(D1728=1,INDEX(v01_WinterMult,G1728),1)</x:f>
        <x:v>1</x:v>
      </x:c>
      <x:c r="R1728" s="9" t="n">
        <x:f>H1728*Z1727*v01_WomenShare*v01_BaseFertility*INDEX(v01_FertMult,G1728)*Arch_Fertility*(1-P1728)</x:f>
        <x:v>0</x:v>
      </x:c>
      <x:c r="S1728" s="9" t="n">
        <x:f>H1728*Y1727*INDEX(v01_MortChild,G1728)/4*Q1728</x:f>
        <x:v>0</x:v>
      </x:c>
      <x:c r="T1728" s="9" t="n">
        <x:f>H1728*Z1727*INDEX(v01_MortAdult,G1728)*Arch_AdultMort/4*Q1728</x:f>
        <x:v>0</x:v>
      </x:c>
      <x:c r="U1728" s="9" t="n">
        <x:f>H1728*AA1727*INDEX(v01_MortElder,G1728)/4*Q1728</x:f>
        <x:v>0</x:v>
      </x:c>
      <x:c r="V1728" s="9" t="n">
        <x:f>H1728*MAX(0,AB1727-O1728)*v01_OvercapLoss</x:f>
        <x:v>0</x:v>
      </x:c>
      <x:c r="W1728" s="9" t="n">
        <x:f>H1728*Y1727/(v01_ChildYears*4)</x:f>
        <x:v>0</x:v>
      </x:c>
      <x:c r="X1728" s="9" t="n">
        <x:f>H1728*Z1727/(v01_AdultYears*4)</x:f>
        <x:v>0</x:v>
      </x:c>
      <x:c r="Y1728" s="32" t="n">
        <x:f>Y1727+R1728-S1728-W1728-Y1727*V1728/AB1727</x:f>
        <x:v>14306.18539759397</x:v>
      </x:c>
      <x:c r="Z1728" s="32" t="n">
        <x:f>Z1727+W1728-X1728-T1728-Z1727*V1728/AB1727</x:f>
        <x:v>19354.456567879548</x:v>
      </x:c>
      <x:c r="AA1728" s="32" t="n">
        <x:f>AA1727+X1728-U1728-AA1727*V1728/AB1727</x:f>
        <x:v>11386.956063258198</x:v>
      </x:c>
      <x:c r="AB1728" s="10" t="n">
        <x:f>Y1728+Z1728+AA1728</x:f>
        <x:v>45047.59802873172</x:v>
      </x:c>
      <x:c r="AC1728" s="8" t="n">
        <x:f>IF(AND(v01_WinterTrigger=1,D1728=1,AB1727/AE1727&gt;=K1728),1,0)</x:f>
        <x:v>0</x:v>
      </x:c>
      <x:c r="AD1728" s="8" t="n">
        <x:f>H1728*IF(AND(OR(AB1727/AE1727&gt;=v01_FissionTrigger*N1728,AC1728=1),AB1727/AE1727*v01_DaughterShare&gt;=v01_MinDaughter),MAX(1,ROUND(AE1727*v01_FissionRate,0)),0)</x:f>
        <x:v>0</x:v>
      </x:c>
      <x:c r="AE1728" s="8" t="n">
        <x:f>IF(H1728=1,MAX(1,MIN(INDEX(v01_Smax,G1728),AE1727+AD1728)),AE1727)</x:f>
        <x:v>15</x:v>
      </x:c>
      <x:c r="AF1728" s="8" t="n">
        <x:f>MAX(0,AE1728-AE1727)</x:f>
        <x:v>0</x:v>
      </x:c>
      <x:c r="AG1728" s="9" t="str">
        <x:f>IF(AF1728&gt;0,B1728,"")</x:f>
      </x:c>
      <x:c r="AH1728" s="9" t="n">
        <x:f>IF(F1728&gt;=1,1,(1+v01_LowTiesShare*(AE1728-1))/AE1728)</x:f>
        <x:v>1</x:v>
      </x:c>
      <x:c r="AI1728" s="32" t="n">
        <x:f>(Z1728+v01_ElderCommons*INDEX(LM_Elder,G1728)*AA1728)*AH1728</x:f>
        <x:v>64139.732591141874</x:v>
      </x:c>
      <x:c r="AJ1728" s="32" t="n">
        <x:f>H1728*v01_CommonsCoef*AI1728^v01_CommonsExp*INDEX(LM_Commons,G1728)</x:f>
        <x:v>0</x:v>
      </x:c>
      <x:c r="AK1728" s="32" t="n">
        <x:f>H1728*v01_RoleScale*Arch_Roles*(AE1728*(INDEX(v01_ElderRolePerSett,G1728)*v01_OutElder*INDEX(LM_Elder,G1728)+INDEX(v01_ShamanPerSett,G1728)*v01_OutShaman)+Z1728*(INDEX(v01_PriestShare,G1728)*v01_OutPriest+INDEX(v01_ScribeShare,G1728)*v01_OutScribe*INDEX(LM_Scribe,G1728)+INDEX(v01_ScholarShare,G1728)*v01_OutScholar*INDEX(LM_Scholar,G1728)+INDEX(v01_ResearcherShare,G1728)*v01_OutResearcher*INDEX(LM_Researcher,G1728)))</x:f>
        <x:v>0</x:v>
      </x:c>
      <x:c r="AL1728" s="32" t="n">
        <x:f>H1728*v01_RoleScale*Arch_Roles*AE1728*INDEX(v01_MonasteryPerSett,G1728)*v01_OutMonastery*INDEX(LM_Monastery,G1728)</x:f>
        <x:v>0</x:v>
      </x:c>
      <x:c r="AM1728" s="32" t="n">
        <x:f>(AJ1728+AK1728+AL1728)/4*INDEX(LM_All,G1728)*INDEX(v01_Boon,G1728)*Arch_Insight</x:f>
        <x:v>0</x:v>
      </x:c>
      <x:c r="AN1728" s="32" t="n">
        <x:f>H1728*(v01_KHPerAdult*Z1728+v01_KHOfCommons*AJ1728/4*INDEX(LM_All,G1728))*v01_KHUsable*Arch_KH</x:f>
        <x:v>0</x:v>
      </x:c>
      <x:c r="AO1728" s="32" t="n">
        <x:f>MIN(AP1727+AN1728,AM1728*v01_KHMaxRatio)</x:f>
        <x:v>0</x:v>
      </x:c>
      <x:c r="AP1728" s="32" t="n">
        <x:f>AP1727+AN1728-AO1728</x:f>
        <x:v>0</x:v>
      </x:c>
      <x:c r="AQ1728" s="32" t="n">
        <x:f>AM1728+AO1728</x:f>
        <x:v>0</x:v>
      </x:c>
      <x:c r="AR1728" s="10" t="n">
        <x:f>IF(H1728=1,INDEX(v01_Req,G1728),0)</x:f>
        <x:v>0</x:v>
      </x:c>
      <x:c r="AS1728" s="32" t="n">
        <x:f>IF(H1728=1,IF(E1728=1,AS1727-AR1727,AS1727)+AQ1728,0)</x:f>
        <x:v>0</x:v>
      </x:c>
      <x:c r="AT1728" s="11" t="n">
        <x:f>IF(AR1728&gt;0,MIN(1,AS1728/AR1728),1)</x:f>
        <x:v>1</x:v>
      </x:c>
      <x:c r="AU1728" s="10" t="n">
        <x:f>AB1728/INDEX(v01_RepScale,G1728)</x:f>
        <x:v>90.09519605746344</x:v>
      </x:c>
      <x:c r="AV1728" s="32" t="n">
        <x:f>AM1728*60/v01_SeasonSeconds</x:f>
        <x:v>0</x:v>
      </x:c>
    </x:row>
    <x:row r="1729">
      <x:c r="A1729" s="8" t="n">
        <x:f>A1728+1</x:f>
        <x:v>1726</x:v>
      </x:c>
      <x:c r="B1729" s="9" t="n">
        <x:f>A1729*v01_SeasonSeconds/60</x:f>
        <x:v>431.5</x:v>
      </x:c>
      <x:c r="C1729" s="9" t="n">
        <x:f>A1729/4</x:f>
        <x:v>431.5</x:v>
      </x:c>
      <x:c r="D1729" s="8" t="n">
        <x:f>IF(MOD(A1729,4)=0,1,0)</x:f>
        <x:v>0</x:v>
      </x:c>
      <x:c r="E1729" s="8" t="n">
        <x:f>IF(AND(F1728&lt;=9,AS1728&gt;=AR1728),1,0)</x:f>
        <x:v>0</x:v>
      </x:c>
      <x:c r="F1729" s="8" t="n">
        <x:f>MIN(10,F1728+E1729)</x:f>
        <x:v>10</x:v>
      </x:c>
      <x:c r="G1729" s="8" t="n">
        <x:f>MIN(F1729,9)+1</x:f>
        <x:v>10</x:v>
      </x:c>
      <x:c r="H1729" s="8" t="n">
        <x:f>IF(F1729&lt;=9,1,0)</x:f>
        <x:v>0</x:v>
      </x:c>
      <x:c r="I1729" s="9" t="n">
        <x:f>MIN(10,F1728+IF(AR1728&gt;0,MIN(1,AS1728/AR1728),1))</x:f>
        <x:v>10</x:v>
      </x:c>
      <x:c r="J1729" s="32" t="n">
        <x:f>INDEX(v01_FoodCap,G1729)*Arch_FoodCap*EXP(v01_CapsByProject*SUMPRODUCT((Cap_Point&lt;=I1729)*(Cap_Kind="Food")*Cap_Ln))</x:f>
        <x:v>12000</x:v>
      </x:c>
      <x:c r="K1729" s="32" t="n">
        <x:f>J1729*MIN(1,v01_LeanBase*EXP(v01_CapsByProject*SUMPRODUCT((Cap_Point&lt;=I1729)*(Cap_Kind="Lean")*Cap_Ln)))</x:f>
        <x:v>12000</x:v>
      </x:c>
      <x:c r="L1729" s="10" t="n">
        <x:f>INDEX(v01_HousingCap,G1729)*EXP(v01_CapsByProject*SUMPRODUCT((Cap_Point&lt;=I1729)*(Cap_Kind="Housing")*Cap_Ln))</x:f>
        <x:v>20000</x:v>
      </x:c>
      <x:c r="M1729" s="10" t="n">
        <x:f>INDEX(v01_GroupCap,G1729)*v01_CohesionFactor*EXP(v01_CapsByProject*SUMPRODUCT((Cap_Point&lt;=I1729)*(Cap_Kind="Group")*Cap_Ln))</x:f>
        <x:v>1000000</x:v>
      </x:c>
      <x:c r="N1729" s="32" t="n">
        <x:f>MIN(J1729,L1729,M1729)</x:f>
        <x:v>12000</x:v>
      </x:c>
      <x:c r="O1729" s="10" t="n">
        <x:f>AE1728*N1729</x:f>
        <x:v>180000</x:v>
      </x:c>
      <x:c r="P1729" s="9" t="n">
        <x:f>MIN(1,(AB1728/(AE1728*IF(v01_GroupInCrowding=1,N1729,MIN(J1729,L1729))))^v01_CrowdingExp)</x:f>
        <x:v>0.00024569414295285325</x:v>
      </x:c>
      <x:c r="Q1729" s="9" t="n">
        <x:f>IF(D1729=1,INDEX(v01_WinterMult,G1729),1)</x:f>
        <x:v>1</x:v>
      </x:c>
      <x:c r="R1729" s="9" t="n">
        <x:f>H1729*Z1728*v01_WomenShare*v01_BaseFertility*INDEX(v01_FertMult,G1729)*Arch_Fertility*(1-P1729)</x:f>
        <x:v>0</x:v>
      </x:c>
      <x:c r="S1729" s="9" t="n">
        <x:f>H1729*Y1728*INDEX(v01_MortChild,G1729)/4*Q1729</x:f>
        <x:v>0</x:v>
      </x:c>
      <x:c r="T1729" s="9" t="n">
        <x:f>H1729*Z1728*INDEX(v01_MortAdult,G1729)*Arch_AdultMort/4*Q1729</x:f>
        <x:v>0</x:v>
      </x:c>
      <x:c r="U1729" s="9" t="n">
        <x:f>H1729*AA1728*INDEX(v01_MortElder,G1729)/4*Q1729</x:f>
        <x:v>0</x:v>
      </x:c>
      <x:c r="V1729" s="9" t="n">
        <x:f>H1729*MAX(0,AB1728-O1729)*v01_OvercapLoss</x:f>
        <x:v>0</x:v>
      </x:c>
      <x:c r="W1729" s="9" t="n">
        <x:f>H1729*Y1728/(v01_ChildYears*4)</x:f>
        <x:v>0</x:v>
      </x:c>
      <x:c r="X1729" s="9" t="n">
        <x:f>H1729*Z1728/(v01_AdultYears*4)</x:f>
        <x:v>0</x:v>
      </x:c>
      <x:c r="Y1729" s="32" t="n">
        <x:f>Y1728+R1729-S1729-W1729-Y1728*V1729/AB1728</x:f>
        <x:v>14306.18539759397</x:v>
      </x:c>
      <x:c r="Z1729" s="32" t="n">
        <x:f>Z1728+W1729-X1729-T1729-Z1728*V1729/AB1728</x:f>
        <x:v>19354.456567879548</x:v>
      </x:c>
      <x:c r="AA1729" s="32" t="n">
        <x:f>AA1728+X1729-U1729-AA1728*V1729/AB1728</x:f>
        <x:v>11386.956063258198</x:v>
      </x:c>
      <x:c r="AB1729" s="10" t="n">
        <x:f>Y1729+Z1729+AA1729</x:f>
        <x:v>45047.59802873172</x:v>
      </x:c>
      <x:c r="AC1729" s="8" t="n">
        <x:f>IF(AND(v01_WinterTrigger=1,D1729=1,AB1728/AE1728&gt;=K1729),1,0)</x:f>
        <x:v>0</x:v>
      </x:c>
      <x:c r="AD1729" s="8" t="n">
        <x:f>H1729*IF(AND(OR(AB1728/AE1728&gt;=v01_FissionTrigger*N1729,AC1729=1),AB1728/AE1728*v01_DaughterShare&gt;=v01_MinDaughter),MAX(1,ROUND(AE1728*v01_FissionRate,0)),0)</x:f>
        <x:v>0</x:v>
      </x:c>
      <x:c r="AE1729" s="8" t="n">
        <x:f>IF(H1729=1,MAX(1,MIN(INDEX(v01_Smax,G1729),AE1728+AD1729)),AE1728)</x:f>
        <x:v>15</x:v>
      </x:c>
      <x:c r="AF1729" s="8" t="n">
        <x:f>MAX(0,AE1729-AE1728)</x:f>
        <x:v>0</x:v>
      </x:c>
      <x:c r="AG1729" s="9" t="str">
        <x:f>IF(AF1729&gt;0,B1729,"")</x:f>
      </x:c>
      <x:c r="AH1729" s="9" t="n">
        <x:f>IF(F1729&gt;=1,1,(1+v01_LowTiesShare*(AE1729-1))/AE1729)</x:f>
        <x:v>1</x:v>
      </x:c>
      <x:c r="AI1729" s="32" t="n">
        <x:f>(Z1729+v01_ElderCommons*INDEX(LM_Elder,G1729)*AA1729)*AH1729</x:f>
        <x:v>64139.732591141874</x:v>
      </x:c>
      <x:c r="AJ1729" s="32" t="n">
        <x:f>H1729*v01_CommonsCoef*AI1729^v01_CommonsExp*INDEX(LM_Commons,G1729)</x:f>
        <x:v>0</x:v>
      </x:c>
      <x:c r="AK1729" s="32" t="n">
        <x:f>H1729*v01_RoleScale*Arch_Roles*(AE1729*(INDEX(v01_ElderRolePerSett,G1729)*v01_OutElder*INDEX(LM_Elder,G1729)+INDEX(v01_ShamanPerSett,G1729)*v01_OutShaman)+Z1729*(INDEX(v01_PriestShare,G1729)*v01_OutPriest+INDEX(v01_ScribeShare,G1729)*v01_OutScribe*INDEX(LM_Scribe,G1729)+INDEX(v01_ScholarShare,G1729)*v01_OutScholar*INDEX(LM_Scholar,G1729)+INDEX(v01_ResearcherShare,G1729)*v01_OutResearcher*INDEX(LM_Researcher,G1729)))</x:f>
        <x:v>0</x:v>
      </x:c>
      <x:c r="AL1729" s="32" t="n">
        <x:f>H1729*v01_RoleScale*Arch_Roles*AE1729*INDEX(v01_MonasteryPerSett,G1729)*v01_OutMonastery*INDEX(LM_Monastery,G1729)</x:f>
        <x:v>0</x:v>
      </x:c>
      <x:c r="AM1729" s="32" t="n">
        <x:f>(AJ1729+AK1729+AL1729)/4*INDEX(LM_All,G1729)*INDEX(v01_Boon,G1729)*Arch_Insight</x:f>
        <x:v>0</x:v>
      </x:c>
      <x:c r="AN1729" s="32" t="n">
        <x:f>H1729*(v01_KHPerAdult*Z1729+v01_KHOfCommons*AJ1729/4*INDEX(LM_All,G1729))*v01_KHUsable*Arch_KH</x:f>
        <x:v>0</x:v>
      </x:c>
      <x:c r="AO1729" s="32" t="n">
        <x:f>MIN(AP1728+AN1729,AM1729*v01_KHMaxRatio)</x:f>
        <x:v>0</x:v>
      </x:c>
      <x:c r="AP1729" s="32" t="n">
        <x:f>AP1728+AN1729-AO1729</x:f>
        <x:v>0</x:v>
      </x:c>
      <x:c r="AQ1729" s="32" t="n">
        <x:f>AM1729+AO1729</x:f>
        <x:v>0</x:v>
      </x:c>
      <x:c r="AR1729" s="10" t="n">
        <x:f>IF(H1729=1,INDEX(v01_Req,G1729),0)</x:f>
        <x:v>0</x:v>
      </x:c>
      <x:c r="AS1729" s="32" t="n">
        <x:f>IF(H1729=1,IF(E1729=1,AS1728-AR1728,AS1728)+AQ1729,0)</x:f>
        <x:v>0</x:v>
      </x:c>
      <x:c r="AT1729" s="11" t="n">
        <x:f>IF(AR1729&gt;0,MIN(1,AS1729/AR1729),1)</x:f>
        <x:v>1</x:v>
      </x:c>
      <x:c r="AU1729" s="10" t="n">
        <x:f>AB1729/INDEX(v01_RepScale,G1729)</x:f>
        <x:v>90.09519605746344</x:v>
      </x:c>
      <x:c r="AV1729" s="32" t="n">
        <x:f>AM1729*60/v01_SeasonSeconds</x:f>
        <x:v>0</x:v>
      </x:c>
    </x:row>
    <x:row r="1730">
      <x:c r="A1730" s="8" t="n">
        <x:f>A1729+1</x:f>
        <x:v>1727</x:v>
      </x:c>
      <x:c r="B1730" s="9" t="n">
        <x:f>A1730*v01_SeasonSeconds/60</x:f>
        <x:v>431.75</x:v>
      </x:c>
      <x:c r="C1730" s="9" t="n">
        <x:f>A1730/4</x:f>
        <x:v>431.75</x:v>
      </x:c>
      <x:c r="D1730" s="8" t="n">
        <x:f>IF(MOD(A1730,4)=0,1,0)</x:f>
        <x:v>0</x:v>
      </x:c>
      <x:c r="E1730" s="8" t="n">
        <x:f>IF(AND(F1729&lt;=9,AS1729&gt;=AR1729),1,0)</x:f>
        <x:v>0</x:v>
      </x:c>
      <x:c r="F1730" s="8" t="n">
        <x:f>MIN(10,F1729+E1730)</x:f>
        <x:v>10</x:v>
      </x:c>
      <x:c r="G1730" s="8" t="n">
        <x:f>MIN(F1730,9)+1</x:f>
        <x:v>10</x:v>
      </x:c>
      <x:c r="H1730" s="8" t="n">
        <x:f>IF(F1730&lt;=9,1,0)</x:f>
        <x:v>0</x:v>
      </x:c>
      <x:c r="I1730" s="9" t="n">
        <x:f>MIN(10,F1729+IF(AR1729&gt;0,MIN(1,AS1729/AR1729),1))</x:f>
        <x:v>10</x:v>
      </x:c>
      <x:c r="J1730" s="32" t="n">
        <x:f>INDEX(v01_FoodCap,G1730)*Arch_FoodCap*EXP(v01_CapsByProject*SUMPRODUCT((Cap_Point&lt;=I1730)*(Cap_Kind="Food")*Cap_Ln))</x:f>
        <x:v>12000</x:v>
      </x:c>
      <x:c r="K1730" s="32" t="n">
        <x:f>J1730*MIN(1,v01_LeanBase*EXP(v01_CapsByProject*SUMPRODUCT((Cap_Point&lt;=I1730)*(Cap_Kind="Lean")*Cap_Ln)))</x:f>
        <x:v>12000</x:v>
      </x:c>
      <x:c r="L1730" s="10" t="n">
        <x:f>INDEX(v01_HousingCap,G1730)*EXP(v01_CapsByProject*SUMPRODUCT((Cap_Point&lt;=I1730)*(Cap_Kind="Housing")*Cap_Ln))</x:f>
        <x:v>20000</x:v>
      </x:c>
      <x:c r="M1730" s="10" t="n">
        <x:f>INDEX(v01_GroupCap,G1730)*v01_CohesionFactor*EXP(v01_CapsByProject*SUMPRODUCT((Cap_Point&lt;=I1730)*(Cap_Kind="Group")*Cap_Ln))</x:f>
        <x:v>1000000</x:v>
      </x:c>
      <x:c r="N1730" s="32" t="n">
        <x:f>MIN(J1730,L1730,M1730)</x:f>
        <x:v>12000</x:v>
      </x:c>
      <x:c r="O1730" s="10" t="n">
        <x:f>AE1729*N1730</x:f>
        <x:v>180000</x:v>
      </x:c>
      <x:c r="P1730" s="9" t="n">
        <x:f>MIN(1,(AB1729/(AE1729*IF(v01_GroupInCrowding=1,N1730,MIN(J1730,L1730))))^v01_CrowdingExp)</x:f>
        <x:v>0.00024569414295285325</x:v>
      </x:c>
      <x:c r="Q1730" s="9" t="n">
        <x:f>IF(D1730=1,INDEX(v01_WinterMult,G1730),1)</x:f>
        <x:v>1</x:v>
      </x:c>
      <x:c r="R1730" s="9" t="n">
        <x:f>H1730*Z1729*v01_WomenShare*v01_BaseFertility*INDEX(v01_FertMult,G1730)*Arch_Fertility*(1-P1730)</x:f>
        <x:v>0</x:v>
      </x:c>
      <x:c r="S1730" s="9" t="n">
        <x:f>H1730*Y1729*INDEX(v01_MortChild,G1730)/4*Q1730</x:f>
        <x:v>0</x:v>
      </x:c>
      <x:c r="T1730" s="9" t="n">
        <x:f>H1730*Z1729*INDEX(v01_MortAdult,G1730)*Arch_AdultMort/4*Q1730</x:f>
        <x:v>0</x:v>
      </x:c>
      <x:c r="U1730" s="9" t="n">
        <x:f>H1730*AA1729*INDEX(v01_MortElder,G1730)/4*Q1730</x:f>
        <x:v>0</x:v>
      </x:c>
      <x:c r="V1730" s="9" t="n">
        <x:f>H1730*MAX(0,AB1729-O1730)*v01_OvercapLoss</x:f>
        <x:v>0</x:v>
      </x:c>
      <x:c r="W1730" s="9" t="n">
        <x:f>H1730*Y1729/(v01_ChildYears*4)</x:f>
        <x:v>0</x:v>
      </x:c>
      <x:c r="X1730" s="9" t="n">
        <x:f>H1730*Z1729/(v01_AdultYears*4)</x:f>
        <x:v>0</x:v>
      </x:c>
      <x:c r="Y1730" s="32" t="n">
        <x:f>Y1729+R1730-S1730-W1730-Y1729*V1730/AB1729</x:f>
        <x:v>14306.18539759397</x:v>
      </x:c>
      <x:c r="Z1730" s="32" t="n">
        <x:f>Z1729+W1730-X1730-T1730-Z1729*V1730/AB1729</x:f>
        <x:v>19354.456567879548</x:v>
      </x:c>
      <x:c r="AA1730" s="32" t="n">
        <x:f>AA1729+X1730-U1730-AA1729*V1730/AB1729</x:f>
        <x:v>11386.956063258198</x:v>
      </x:c>
      <x:c r="AB1730" s="10" t="n">
        <x:f>Y1730+Z1730+AA1730</x:f>
        <x:v>45047.59802873172</x:v>
      </x:c>
      <x:c r="AC1730" s="8" t="n">
        <x:f>IF(AND(v01_WinterTrigger=1,D1730=1,AB1729/AE1729&gt;=K1730),1,0)</x:f>
        <x:v>0</x:v>
      </x:c>
      <x:c r="AD1730" s="8" t="n">
        <x:f>H1730*IF(AND(OR(AB1729/AE1729&gt;=v01_FissionTrigger*N1730,AC1730=1),AB1729/AE1729*v01_DaughterShare&gt;=v01_MinDaughter),MAX(1,ROUND(AE1729*v01_FissionRate,0)),0)</x:f>
        <x:v>0</x:v>
      </x:c>
      <x:c r="AE1730" s="8" t="n">
        <x:f>IF(H1730=1,MAX(1,MIN(INDEX(v01_Smax,G1730),AE1729+AD1730)),AE1729)</x:f>
        <x:v>15</x:v>
      </x:c>
      <x:c r="AF1730" s="8" t="n">
        <x:f>MAX(0,AE1730-AE1729)</x:f>
        <x:v>0</x:v>
      </x:c>
      <x:c r="AG1730" s="9" t="str">
        <x:f>IF(AF1730&gt;0,B1730,"")</x:f>
      </x:c>
      <x:c r="AH1730" s="9" t="n">
        <x:f>IF(F1730&gt;=1,1,(1+v01_LowTiesShare*(AE1730-1))/AE1730)</x:f>
        <x:v>1</x:v>
      </x:c>
      <x:c r="AI1730" s="32" t="n">
        <x:f>(Z1730+v01_ElderCommons*INDEX(LM_Elder,G1730)*AA1730)*AH1730</x:f>
        <x:v>64139.732591141874</x:v>
      </x:c>
      <x:c r="AJ1730" s="32" t="n">
        <x:f>H1730*v01_CommonsCoef*AI1730^v01_CommonsExp*INDEX(LM_Commons,G1730)</x:f>
        <x:v>0</x:v>
      </x:c>
      <x:c r="AK1730" s="32" t="n">
        <x:f>H1730*v01_RoleScale*Arch_Roles*(AE1730*(INDEX(v01_ElderRolePerSett,G1730)*v01_OutElder*INDEX(LM_Elder,G1730)+INDEX(v01_ShamanPerSett,G1730)*v01_OutShaman)+Z1730*(INDEX(v01_PriestShare,G1730)*v01_OutPriest+INDEX(v01_ScribeShare,G1730)*v01_OutScribe*INDEX(LM_Scribe,G1730)+INDEX(v01_ScholarShare,G1730)*v01_OutScholar*INDEX(LM_Scholar,G1730)+INDEX(v01_ResearcherShare,G1730)*v01_OutResearcher*INDEX(LM_Researcher,G1730)))</x:f>
        <x:v>0</x:v>
      </x:c>
      <x:c r="AL1730" s="32" t="n">
        <x:f>H1730*v01_RoleScale*Arch_Roles*AE1730*INDEX(v01_MonasteryPerSett,G1730)*v01_OutMonastery*INDEX(LM_Monastery,G1730)</x:f>
        <x:v>0</x:v>
      </x:c>
      <x:c r="AM1730" s="32" t="n">
        <x:f>(AJ1730+AK1730+AL1730)/4*INDEX(LM_All,G1730)*INDEX(v01_Boon,G1730)*Arch_Insight</x:f>
        <x:v>0</x:v>
      </x:c>
      <x:c r="AN1730" s="32" t="n">
        <x:f>H1730*(v01_KHPerAdult*Z1730+v01_KHOfCommons*AJ1730/4*INDEX(LM_All,G1730))*v01_KHUsable*Arch_KH</x:f>
        <x:v>0</x:v>
      </x:c>
      <x:c r="AO1730" s="32" t="n">
        <x:f>MIN(AP1729+AN1730,AM1730*v01_KHMaxRatio)</x:f>
        <x:v>0</x:v>
      </x:c>
      <x:c r="AP1730" s="32" t="n">
        <x:f>AP1729+AN1730-AO1730</x:f>
        <x:v>0</x:v>
      </x:c>
      <x:c r="AQ1730" s="32" t="n">
        <x:f>AM1730+AO1730</x:f>
        <x:v>0</x:v>
      </x:c>
      <x:c r="AR1730" s="10" t="n">
        <x:f>IF(H1730=1,INDEX(v01_Req,G1730),0)</x:f>
        <x:v>0</x:v>
      </x:c>
      <x:c r="AS1730" s="32" t="n">
        <x:f>IF(H1730=1,IF(E1730=1,AS1729-AR1729,AS1729)+AQ1730,0)</x:f>
        <x:v>0</x:v>
      </x:c>
      <x:c r="AT1730" s="11" t="n">
        <x:f>IF(AR1730&gt;0,MIN(1,AS1730/AR1730),1)</x:f>
        <x:v>1</x:v>
      </x:c>
      <x:c r="AU1730" s="10" t="n">
        <x:f>AB1730/INDEX(v01_RepScale,G1730)</x:f>
        <x:v>90.09519605746344</x:v>
      </x:c>
      <x:c r="AV1730" s="32" t="n">
        <x:f>AM1730*60/v01_SeasonSeconds</x:f>
        <x:v>0</x:v>
      </x:c>
    </x:row>
    <x:row r="1731">
      <x:c r="A1731" s="8" t="n">
        <x:f>A1730+1</x:f>
        <x:v>1728</x:v>
      </x:c>
      <x:c r="B1731" s="9" t="n">
        <x:f>A1731*v01_SeasonSeconds/60</x:f>
        <x:v>432</x:v>
      </x:c>
      <x:c r="C1731" s="9" t="n">
        <x:f>A1731/4</x:f>
        <x:v>432</x:v>
      </x:c>
      <x:c r="D1731" s="8" t="n">
        <x:f>IF(MOD(A1731,4)=0,1,0)</x:f>
        <x:v>1</x:v>
      </x:c>
      <x:c r="E1731" s="8" t="n">
        <x:f>IF(AND(F1730&lt;=9,AS1730&gt;=AR1730),1,0)</x:f>
        <x:v>0</x:v>
      </x:c>
      <x:c r="F1731" s="8" t="n">
        <x:f>MIN(10,F1730+E1731)</x:f>
        <x:v>10</x:v>
      </x:c>
      <x:c r="G1731" s="8" t="n">
        <x:f>MIN(F1731,9)+1</x:f>
        <x:v>10</x:v>
      </x:c>
      <x:c r="H1731" s="8" t="n">
        <x:f>IF(F1731&lt;=9,1,0)</x:f>
        <x:v>0</x:v>
      </x:c>
      <x:c r="I1731" s="9" t="n">
        <x:f>MIN(10,F1730+IF(AR1730&gt;0,MIN(1,AS1730/AR1730),1))</x:f>
        <x:v>10</x:v>
      </x:c>
      <x:c r="J1731" s="32" t="n">
        <x:f>INDEX(v01_FoodCap,G1731)*Arch_FoodCap*EXP(v01_CapsByProject*SUMPRODUCT((Cap_Point&lt;=I1731)*(Cap_Kind="Food")*Cap_Ln))</x:f>
        <x:v>12000</x:v>
      </x:c>
      <x:c r="K1731" s="32" t="n">
        <x:f>J1731*MIN(1,v01_LeanBase*EXP(v01_CapsByProject*SUMPRODUCT((Cap_Point&lt;=I1731)*(Cap_Kind="Lean")*Cap_Ln)))</x:f>
        <x:v>12000</x:v>
      </x:c>
      <x:c r="L1731" s="10" t="n">
        <x:f>INDEX(v01_HousingCap,G1731)*EXP(v01_CapsByProject*SUMPRODUCT((Cap_Point&lt;=I1731)*(Cap_Kind="Housing")*Cap_Ln))</x:f>
        <x:v>20000</x:v>
      </x:c>
      <x:c r="M1731" s="10" t="n">
        <x:f>INDEX(v01_GroupCap,G1731)*v01_CohesionFactor*EXP(v01_CapsByProject*SUMPRODUCT((Cap_Point&lt;=I1731)*(Cap_Kind="Group")*Cap_Ln))</x:f>
        <x:v>1000000</x:v>
      </x:c>
      <x:c r="N1731" s="32" t="n">
        <x:f>MIN(J1731,L1731,M1731)</x:f>
        <x:v>12000</x:v>
      </x:c>
      <x:c r="O1731" s="10" t="n">
        <x:f>AE1730*N1731</x:f>
        <x:v>180000</x:v>
      </x:c>
      <x:c r="P1731" s="9" t="n">
        <x:f>MIN(1,(AB1730/(AE1730*IF(v01_GroupInCrowding=1,N1731,MIN(J1731,L1731))))^v01_CrowdingExp)</x:f>
        <x:v>0.00024569414295285325</x:v>
      </x:c>
      <x:c r="Q1731" s="9" t="n">
        <x:f>IF(D1731=1,INDEX(v01_WinterMult,G1731),1)</x:f>
        <x:v>1</x:v>
      </x:c>
      <x:c r="R1731" s="9" t="n">
        <x:f>H1731*Z1730*v01_WomenShare*v01_BaseFertility*INDEX(v01_FertMult,G1731)*Arch_Fertility*(1-P1731)</x:f>
        <x:v>0</x:v>
      </x:c>
      <x:c r="S1731" s="9" t="n">
        <x:f>H1731*Y1730*INDEX(v01_MortChild,G1731)/4*Q1731</x:f>
        <x:v>0</x:v>
      </x:c>
      <x:c r="T1731" s="9" t="n">
        <x:f>H1731*Z1730*INDEX(v01_MortAdult,G1731)*Arch_AdultMort/4*Q1731</x:f>
        <x:v>0</x:v>
      </x:c>
      <x:c r="U1731" s="9" t="n">
        <x:f>H1731*AA1730*INDEX(v01_MortElder,G1731)/4*Q1731</x:f>
        <x:v>0</x:v>
      </x:c>
      <x:c r="V1731" s="9" t="n">
        <x:f>H1731*MAX(0,AB1730-O1731)*v01_OvercapLoss</x:f>
        <x:v>0</x:v>
      </x:c>
      <x:c r="W1731" s="9" t="n">
        <x:f>H1731*Y1730/(v01_ChildYears*4)</x:f>
        <x:v>0</x:v>
      </x:c>
      <x:c r="X1731" s="9" t="n">
        <x:f>H1731*Z1730/(v01_AdultYears*4)</x:f>
        <x:v>0</x:v>
      </x:c>
      <x:c r="Y1731" s="32" t="n">
        <x:f>Y1730+R1731-S1731-W1731-Y1730*V1731/AB1730</x:f>
        <x:v>14306.18539759397</x:v>
      </x:c>
      <x:c r="Z1731" s="32" t="n">
        <x:f>Z1730+W1731-X1731-T1731-Z1730*V1731/AB1730</x:f>
        <x:v>19354.456567879548</x:v>
      </x:c>
      <x:c r="AA1731" s="32" t="n">
        <x:f>AA1730+X1731-U1731-AA1730*V1731/AB1730</x:f>
        <x:v>11386.956063258198</x:v>
      </x:c>
      <x:c r="AB1731" s="10" t="n">
        <x:f>Y1731+Z1731+AA1731</x:f>
        <x:v>45047.59802873172</x:v>
      </x:c>
      <x:c r="AC1731" s="8" t="n">
        <x:f>IF(AND(v01_WinterTrigger=1,D1731=1,AB1730/AE1730&gt;=K1731),1,0)</x:f>
        <x:v>0</x:v>
      </x:c>
      <x:c r="AD1731" s="8" t="n">
        <x:f>H1731*IF(AND(OR(AB1730/AE1730&gt;=v01_FissionTrigger*N1731,AC1731=1),AB1730/AE1730*v01_DaughterShare&gt;=v01_MinDaughter),MAX(1,ROUND(AE1730*v01_FissionRate,0)),0)</x:f>
        <x:v>0</x:v>
      </x:c>
      <x:c r="AE1731" s="8" t="n">
        <x:f>IF(H1731=1,MAX(1,MIN(INDEX(v01_Smax,G1731),AE1730+AD1731)),AE1730)</x:f>
        <x:v>15</x:v>
      </x:c>
      <x:c r="AF1731" s="8" t="n">
        <x:f>MAX(0,AE1731-AE1730)</x:f>
        <x:v>0</x:v>
      </x:c>
      <x:c r="AG1731" s="9" t="str">
        <x:f>IF(AF1731&gt;0,B1731,"")</x:f>
      </x:c>
      <x:c r="AH1731" s="9" t="n">
        <x:f>IF(F1731&gt;=1,1,(1+v01_LowTiesShare*(AE1731-1))/AE1731)</x:f>
        <x:v>1</x:v>
      </x:c>
      <x:c r="AI1731" s="32" t="n">
        <x:f>(Z1731+v01_ElderCommons*INDEX(LM_Elder,G1731)*AA1731)*AH1731</x:f>
        <x:v>64139.732591141874</x:v>
      </x:c>
      <x:c r="AJ1731" s="32" t="n">
        <x:f>H1731*v01_CommonsCoef*AI1731^v01_CommonsExp*INDEX(LM_Commons,G1731)</x:f>
        <x:v>0</x:v>
      </x:c>
      <x:c r="AK1731" s="32" t="n">
        <x:f>H1731*v01_RoleScale*Arch_Roles*(AE1731*(INDEX(v01_ElderRolePerSett,G1731)*v01_OutElder*INDEX(LM_Elder,G1731)+INDEX(v01_ShamanPerSett,G1731)*v01_OutShaman)+Z1731*(INDEX(v01_PriestShare,G1731)*v01_OutPriest+INDEX(v01_ScribeShare,G1731)*v01_OutScribe*INDEX(LM_Scribe,G1731)+INDEX(v01_ScholarShare,G1731)*v01_OutScholar*INDEX(LM_Scholar,G1731)+INDEX(v01_ResearcherShare,G1731)*v01_OutResearcher*INDEX(LM_Researcher,G1731)))</x:f>
        <x:v>0</x:v>
      </x:c>
      <x:c r="AL1731" s="32" t="n">
        <x:f>H1731*v01_RoleScale*Arch_Roles*AE1731*INDEX(v01_MonasteryPerSett,G1731)*v01_OutMonastery*INDEX(LM_Monastery,G1731)</x:f>
        <x:v>0</x:v>
      </x:c>
      <x:c r="AM1731" s="32" t="n">
        <x:f>(AJ1731+AK1731+AL1731)/4*INDEX(LM_All,G1731)*INDEX(v01_Boon,G1731)*Arch_Insight</x:f>
        <x:v>0</x:v>
      </x:c>
      <x:c r="AN1731" s="32" t="n">
        <x:f>H1731*(v01_KHPerAdult*Z1731+v01_KHOfCommons*AJ1731/4*INDEX(LM_All,G1731))*v01_KHUsable*Arch_KH</x:f>
        <x:v>0</x:v>
      </x:c>
      <x:c r="AO1731" s="32" t="n">
        <x:f>MIN(AP1730+AN1731,AM1731*v01_KHMaxRatio)</x:f>
        <x:v>0</x:v>
      </x:c>
      <x:c r="AP1731" s="32" t="n">
        <x:f>AP1730+AN1731-AO1731</x:f>
        <x:v>0</x:v>
      </x:c>
      <x:c r="AQ1731" s="32" t="n">
        <x:f>AM1731+AO1731</x:f>
        <x:v>0</x:v>
      </x:c>
      <x:c r="AR1731" s="10" t="n">
        <x:f>IF(H1731=1,INDEX(v01_Req,G1731),0)</x:f>
        <x:v>0</x:v>
      </x:c>
      <x:c r="AS1731" s="32" t="n">
        <x:f>IF(H1731=1,IF(E1731=1,AS1730-AR1730,AS1730)+AQ1731,0)</x:f>
        <x:v>0</x:v>
      </x:c>
      <x:c r="AT1731" s="11" t="n">
        <x:f>IF(AR1731&gt;0,MIN(1,AS1731/AR1731),1)</x:f>
        <x:v>1</x:v>
      </x:c>
      <x:c r="AU1731" s="10" t="n">
        <x:f>AB1731/INDEX(v01_RepScale,G1731)</x:f>
        <x:v>90.09519605746344</x:v>
      </x:c>
      <x:c r="AV1731" s="32" t="n">
        <x:f>AM1731*60/v01_SeasonSeconds</x:f>
        <x:v>0</x:v>
      </x:c>
    </x:row>
    <x:row r="1732">
      <x:c r="A1732" s="8" t="n">
        <x:f>A1731+1</x:f>
        <x:v>1729</x:v>
      </x:c>
      <x:c r="B1732" s="9" t="n">
        <x:f>A1732*v01_SeasonSeconds/60</x:f>
        <x:v>432.25</x:v>
      </x:c>
      <x:c r="C1732" s="9" t="n">
        <x:f>A1732/4</x:f>
        <x:v>432.25</x:v>
      </x:c>
      <x:c r="D1732" s="8" t="n">
        <x:f>IF(MOD(A1732,4)=0,1,0)</x:f>
        <x:v>0</x:v>
      </x:c>
      <x:c r="E1732" s="8" t="n">
        <x:f>IF(AND(F1731&lt;=9,AS1731&gt;=AR1731),1,0)</x:f>
        <x:v>0</x:v>
      </x:c>
      <x:c r="F1732" s="8" t="n">
        <x:f>MIN(10,F1731+E1732)</x:f>
        <x:v>10</x:v>
      </x:c>
      <x:c r="G1732" s="8" t="n">
        <x:f>MIN(F1732,9)+1</x:f>
        <x:v>10</x:v>
      </x:c>
      <x:c r="H1732" s="8" t="n">
        <x:f>IF(F1732&lt;=9,1,0)</x:f>
        <x:v>0</x:v>
      </x:c>
      <x:c r="I1732" s="9" t="n">
        <x:f>MIN(10,F1731+IF(AR1731&gt;0,MIN(1,AS1731/AR1731),1))</x:f>
        <x:v>10</x:v>
      </x:c>
      <x:c r="J1732" s="32" t="n">
        <x:f>INDEX(v01_FoodCap,G1732)*Arch_FoodCap*EXP(v01_CapsByProject*SUMPRODUCT((Cap_Point&lt;=I1732)*(Cap_Kind="Food")*Cap_Ln))</x:f>
        <x:v>12000</x:v>
      </x:c>
      <x:c r="K1732" s="32" t="n">
        <x:f>J1732*MIN(1,v01_LeanBase*EXP(v01_CapsByProject*SUMPRODUCT((Cap_Point&lt;=I1732)*(Cap_Kind="Lean")*Cap_Ln)))</x:f>
        <x:v>12000</x:v>
      </x:c>
      <x:c r="L1732" s="10" t="n">
        <x:f>INDEX(v01_HousingCap,G1732)*EXP(v01_CapsByProject*SUMPRODUCT((Cap_Point&lt;=I1732)*(Cap_Kind="Housing")*Cap_Ln))</x:f>
        <x:v>20000</x:v>
      </x:c>
      <x:c r="M1732" s="10" t="n">
        <x:f>INDEX(v01_GroupCap,G1732)*v01_CohesionFactor*EXP(v01_CapsByProject*SUMPRODUCT((Cap_Point&lt;=I1732)*(Cap_Kind="Group")*Cap_Ln))</x:f>
        <x:v>1000000</x:v>
      </x:c>
      <x:c r="N1732" s="32" t="n">
        <x:f>MIN(J1732,L1732,M1732)</x:f>
        <x:v>12000</x:v>
      </x:c>
      <x:c r="O1732" s="10" t="n">
        <x:f>AE1731*N1732</x:f>
        <x:v>180000</x:v>
      </x:c>
      <x:c r="P1732" s="9" t="n">
        <x:f>MIN(1,(AB1731/(AE1731*IF(v01_GroupInCrowding=1,N1732,MIN(J1732,L1732))))^v01_CrowdingExp)</x:f>
        <x:v>0.00024569414295285325</x:v>
      </x:c>
      <x:c r="Q1732" s="9" t="n">
        <x:f>IF(D1732=1,INDEX(v01_WinterMult,G1732),1)</x:f>
        <x:v>1</x:v>
      </x:c>
      <x:c r="R1732" s="9" t="n">
        <x:f>H1732*Z1731*v01_WomenShare*v01_BaseFertility*INDEX(v01_FertMult,G1732)*Arch_Fertility*(1-P1732)</x:f>
        <x:v>0</x:v>
      </x:c>
      <x:c r="S1732" s="9" t="n">
        <x:f>H1732*Y1731*INDEX(v01_MortChild,G1732)/4*Q1732</x:f>
        <x:v>0</x:v>
      </x:c>
      <x:c r="T1732" s="9" t="n">
        <x:f>H1732*Z1731*INDEX(v01_MortAdult,G1732)*Arch_AdultMort/4*Q1732</x:f>
        <x:v>0</x:v>
      </x:c>
      <x:c r="U1732" s="9" t="n">
        <x:f>H1732*AA1731*INDEX(v01_MortElder,G1732)/4*Q1732</x:f>
        <x:v>0</x:v>
      </x:c>
      <x:c r="V1732" s="9" t="n">
        <x:f>H1732*MAX(0,AB1731-O1732)*v01_OvercapLoss</x:f>
        <x:v>0</x:v>
      </x:c>
      <x:c r="W1732" s="9" t="n">
        <x:f>H1732*Y1731/(v01_ChildYears*4)</x:f>
        <x:v>0</x:v>
      </x:c>
      <x:c r="X1732" s="9" t="n">
        <x:f>H1732*Z1731/(v01_AdultYears*4)</x:f>
        <x:v>0</x:v>
      </x:c>
      <x:c r="Y1732" s="32" t="n">
        <x:f>Y1731+R1732-S1732-W1732-Y1731*V1732/AB1731</x:f>
        <x:v>14306.18539759397</x:v>
      </x:c>
      <x:c r="Z1732" s="32" t="n">
        <x:f>Z1731+W1732-X1732-T1732-Z1731*V1732/AB1731</x:f>
        <x:v>19354.456567879548</x:v>
      </x:c>
      <x:c r="AA1732" s="32" t="n">
        <x:f>AA1731+X1732-U1732-AA1731*V1732/AB1731</x:f>
        <x:v>11386.956063258198</x:v>
      </x:c>
      <x:c r="AB1732" s="10" t="n">
        <x:f>Y1732+Z1732+AA1732</x:f>
        <x:v>45047.59802873172</x:v>
      </x:c>
      <x:c r="AC1732" s="8" t="n">
        <x:f>IF(AND(v01_WinterTrigger=1,D1732=1,AB1731/AE1731&gt;=K1732),1,0)</x:f>
        <x:v>0</x:v>
      </x:c>
      <x:c r="AD1732" s="8" t="n">
        <x:f>H1732*IF(AND(OR(AB1731/AE1731&gt;=v01_FissionTrigger*N1732,AC1732=1),AB1731/AE1731*v01_DaughterShare&gt;=v01_MinDaughter),MAX(1,ROUND(AE1731*v01_FissionRate,0)),0)</x:f>
        <x:v>0</x:v>
      </x:c>
      <x:c r="AE1732" s="8" t="n">
        <x:f>IF(H1732=1,MAX(1,MIN(INDEX(v01_Smax,G1732),AE1731+AD1732)),AE1731)</x:f>
        <x:v>15</x:v>
      </x:c>
      <x:c r="AF1732" s="8" t="n">
        <x:f>MAX(0,AE1732-AE1731)</x:f>
        <x:v>0</x:v>
      </x:c>
      <x:c r="AG1732" s="9" t="str">
        <x:f>IF(AF1732&gt;0,B1732,"")</x:f>
      </x:c>
      <x:c r="AH1732" s="9" t="n">
        <x:f>IF(F1732&gt;=1,1,(1+v01_LowTiesShare*(AE1732-1))/AE1732)</x:f>
        <x:v>1</x:v>
      </x:c>
      <x:c r="AI1732" s="32" t="n">
        <x:f>(Z1732+v01_ElderCommons*INDEX(LM_Elder,G1732)*AA1732)*AH1732</x:f>
        <x:v>64139.732591141874</x:v>
      </x:c>
      <x:c r="AJ1732" s="32" t="n">
        <x:f>H1732*v01_CommonsCoef*AI1732^v01_CommonsExp*INDEX(LM_Commons,G1732)</x:f>
        <x:v>0</x:v>
      </x:c>
      <x:c r="AK1732" s="32" t="n">
        <x:f>H1732*v01_RoleScale*Arch_Roles*(AE1732*(INDEX(v01_ElderRolePerSett,G1732)*v01_OutElder*INDEX(LM_Elder,G1732)+INDEX(v01_ShamanPerSett,G1732)*v01_OutShaman)+Z1732*(INDEX(v01_PriestShare,G1732)*v01_OutPriest+INDEX(v01_ScribeShare,G1732)*v01_OutScribe*INDEX(LM_Scribe,G1732)+INDEX(v01_ScholarShare,G1732)*v01_OutScholar*INDEX(LM_Scholar,G1732)+INDEX(v01_ResearcherShare,G1732)*v01_OutResearcher*INDEX(LM_Researcher,G1732)))</x:f>
        <x:v>0</x:v>
      </x:c>
      <x:c r="AL1732" s="32" t="n">
        <x:f>H1732*v01_RoleScale*Arch_Roles*AE1732*INDEX(v01_MonasteryPerSett,G1732)*v01_OutMonastery*INDEX(LM_Monastery,G1732)</x:f>
        <x:v>0</x:v>
      </x:c>
      <x:c r="AM1732" s="32" t="n">
        <x:f>(AJ1732+AK1732+AL1732)/4*INDEX(LM_All,G1732)*INDEX(v01_Boon,G1732)*Arch_Insight</x:f>
        <x:v>0</x:v>
      </x:c>
      <x:c r="AN1732" s="32" t="n">
        <x:f>H1732*(v01_KHPerAdult*Z1732+v01_KHOfCommons*AJ1732/4*INDEX(LM_All,G1732))*v01_KHUsable*Arch_KH</x:f>
        <x:v>0</x:v>
      </x:c>
      <x:c r="AO1732" s="32" t="n">
        <x:f>MIN(AP1731+AN1732,AM1732*v01_KHMaxRatio)</x:f>
        <x:v>0</x:v>
      </x:c>
      <x:c r="AP1732" s="32" t="n">
        <x:f>AP1731+AN1732-AO1732</x:f>
        <x:v>0</x:v>
      </x:c>
      <x:c r="AQ1732" s="32" t="n">
        <x:f>AM1732+AO1732</x:f>
        <x:v>0</x:v>
      </x:c>
      <x:c r="AR1732" s="10" t="n">
        <x:f>IF(H1732=1,INDEX(v01_Req,G1732),0)</x:f>
        <x:v>0</x:v>
      </x:c>
      <x:c r="AS1732" s="32" t="n">
        <x:f>IF(H1732=1,IF(E1732=1,AS1731-AR1731,AS1731)+AQ1732,0)</x:f>
        <x:v>0</x:v>
      </x:c>
      <x:c r="AT1732" s="11" t="n">
        <x:f>IF(AR1732&gt;0,MIN(1,AS1732/AR1732),1)</x:f>
        <x:v>1</x:v>
      </x:c>
      <x:c r="AU1732" s="10" t="n">
        <x:f>AB1732/INDEX(v01_RepScale,G1732)</x:f>
        <x:v>90.09519605746344</x:v>
      </x:c>
      <x:c r="AV1732" s="32" t="n">
        <x:f>AM1732*60/v01_SeasonSeconds</x:f>
        <x:v>0</x:v>
      </x:c>
    </x:row>
    <x:row r="1733">
      <x:c r="A1733" s="8" t="n">
        <x:f>A1732+1</x:f>
        <x:v>1730</x:v>
      </x:c>
      <x:c r="B1733" s="9" t="n">
        <x:f>A1733*v01_SeasonSeconds/60</x:f>
        <x:v>432.5</x:v>
      </x:c>
      <x:c r="C1733" s="9" t="n">
        <x:f>A1733/4</x:f>
        <x:v>432.5</x:v>
      </x:c>
      <x:c r="D1733" s="8" t="n">
        <x:f>IF(MOD(A1733,4)=0,1,0)</x:f>
        <x:v>0</x:v>
      </x:c>
      <x:c r="E1733" s="8" t="n">
        <x:f>IF(AND(F1732&lt;=9,AS1732&gt;=AR1732),1,0)</x:f>
        <x:v>0</x:v>
      </x:c>
      <x:c r="F1733" s="8" t="n">
        <x:f>MIN(10,F1732+E1733)</x:f>
        <x:v>10</x:v>
      </x:c>
      <x:c r="G1733" s="8" t="n">
        <x:f>MIN(F1733,9)+1</x:f>
        <x:v>10</x:v>
      </x:c>
      <x:c r="H1733" s="8" t="n">
        <x:f>IF(F1733&lt;=9,1,0)</x:f>
        <x:v>0</x:v>
      </x:c>
      <x:c r="I1733" s="9" t="n">
        <x:f>MIN(10,F1732+IF(AR1732&gt;0,MIN(1,AS1732/AR1732),1))</x:f>
        <x:v>10</x:v>
      </x:c>
      <x:c r="J1733" s="32" t="n">
        <x:f>INDEX(v01_FoodCap,G1733)*Arch_FoodCap*EXP(v01_CapsByProject*SUMPRODUCT((Cap_Point&lt;=I1733)*(Cap_Kind="Food")*Cap_Ln))</x:f>
        <x:v>12000</x:v>
      </x:c>
      <x:c r="K1733" s="32" t="n">
        <x:f>J1733*MIN(1,v01_LeanBase*EXP(v01_CapsByProject*SUMPRODUCT((Cap_Point&lt;=I1733)*(Cap_Kind="Lean")*Cap_Ln)))</x:f>
        <x:v>12000</x:v>
      </x:c>
      <x:c r="L1733" s="10" t="n">
        <x:f>INDEX(v01_HousingCap,G1733)*EXP(v01_CapsByProject*SUMPRODUCT((Cap_Point&lt;=I1733)*(Cap_Kind="Housing")*Cap_Ln))</x:f>
        <x:v>20000</x:v>
      </x:c>
      <x:c r="M1733" s="10" t="n">
        <x:f>INDEX(v01_GroupCap,G1733)*v01_CohesionFactor*EXP(v01_CapsByProject*SUMPRODUCT((Cap_Point&lt;=I1733)*(Cap_Kind="Group")*Cap_Ln))</x:f>
        <x:v>1000000</x:v>
      </x:c>
      <x:c r="N1733" s="32" t="n">
        <x:f>MIN(J1733,L1733,M1733)</x:f>
        <x:v>12000</x:v>
      </x:c>
      <x:c r="O1733" s="10" t="n">
        <x:f>AE1732*N1733</x:f>
        <x:v>180000</x:v>
      </x:c>
      <x:c r="P1733" s="9" t="n">
        <x:f>MIN(1,(AB1732/(AE1732*IF(v01_GroupInCrowding=1,N1733,MIN(J1733,L1733))))^v01_CrowdingExp)</x:f>
        <x:v>0.00024569414295285325</x:v>
      </x:c>
      <x:c r="Q1733" s="9" t="n">
        <x:f>IF(D1733=1,INDEX(v01_WinterMult,G1733),1)</x:f>
        <x:v>1</x:v>
      </x:c>
      <x:c r="R1733" s="9" t="n">
        <x:f>H1733*Z1732*v01_WomenShare*v01_BaseFertility*INDEX(v01_FertMult,G1733)*Arch_Fertility*(1-P1733)</x:f>
        <x:v>0</x:v>
      </x:c>
      <x:c r="S1733" s="9" t="n">
        <x:f>H1733*Y1732*INDEX(v01_MortChild,G1733)/4*Q1733</x:f>
        <x:v>0</x:v>
      </x:c>
      <x:c r="T1733" s="9" t="n">
        <x:f>H1733*Z1732*INDEX(v01_MortAdult,G1733)*Arch_AdultMort/4*Q1733</x:f>
        <x:v>0</x:v>
      </x:c>
      <x:c r="U1733" s="9" t="n">
        <x:f>H1733*AA1732*INDEX(v01_MortElder,G1733)/4*Q1733</x:f>
        <x:v>0</x:v>
      </x:c>
      <x:c r="V1733" s="9" t="n">
        <x:f>H1733*MAX(0,AB1732-O1733)*v01_OvercapLoss</x:f>
        <x:v>0</x:v>
      </x:c>
      <x:c r="W1733" s="9" t="n">
        <x:f>H1733*Y1732/(v01_ChildYears*4)</x:f>
        <x:v>0</x:v>
      </x:c>
      <x:c r="X1733" s="9" t="n">
        <x:f>H1733*Z1732/(v01_AdultYears*4)</x:f>
        <x:v>0</x:v>
      </x:c>
      <x:c r="Y1733" s="32" t="n">
        <x:f>Y1732+R1733-S1733-W1733-Y1732*V1733/AB1732</x:f>
        <x:v>14306.18539759397</x:v>
      </x:c>
      <x:c r="Z1733" s="32" t="n">
        <x:f>Z1732+W1733-X1733-T1733-Z1732*V1733/AB1732</x:f>
        <x:v>19354.456567879548</x:v>
      </x:c>
      <x:c r="AA1733" s="32" t="n">
        <x:f>AA1732+X1733-U1733-AA1732*V1733/AB1732</x:f>
        <x:v>11386.956063258198</x:v>
      </x:c>
      <x:c r="AB1733" s="10" t="n">
        <x:f>Y1733+Z1733+AA1733</x:f>
        <x:v>45047.59802873172</x:v>
      </x:c>
      <x:c r="AC1733" s="8" t="n">
        <x:f>IF(AND(v01_WinterTrigger=1,D1733=1,AB1732/AE1732&gt;=K1733),1,0)</x:f>
        <x:v>0</x:v>
      </x:c>
      <x:c r="AD1733" s="8" t="n">
        <x:f>H1733*IF(AND(OR(AB1732/AE1732&gt;=v01_FissionTrigger*N1733,AC1733=1),AB1732/AE1732*v01_DaughterShare&gt;=v01_MinDaughter),MAX(1,ROUND(AE1732*v01_FissionRate,0)),0)</x:f>
        <x:v>0</x:v>
      </x:c>
      <x:c r="AE1733" s="8" t="n">
        <x:f>IF(H1733=1,MAX(1,MIN(INDEX(v01_Smax,G1733),AE1732+AD1733)),AE1732)</x:f>
        <x:v>15</x:v>
      </x:c>
      <x:c r="AF1733" s="8" t="n">
        <x:f>MAX(0,AE1733-AE1732)</x:f>
        <x:v>0</x:v>
      </x:c>
      <x:c r="AG1733" s="9" t="str">
        <x:f>IF(AF1733&gt;0,B1733,"")</x:f>
      </x:c>
      <x:c r="AH1733" s="9" t="n">
        <x:f>IF(F1733&gt;=1,1,(1+v01_LowTiesShare*(AE1733-1))/AE1733)</x:f>
        <x:v>1</x:v>
      </x:c>
      <x:c r="AI1733" s="32" t="n">
        <x:f>(Z1733+v01_ElderCommons*INDEX(LM_Elder,G1733)*AA1733)*AH1733</x:f>
        <x:v>64139.732591141874</x:v>
      </x:c>
      <x:c r="AJ1733" s="32" t="n">
        <x:f>H1733*v01_CommonsCoef*AI1733^v01_CommonsExp*INDEX(LM_Commons,G1733)</x:f>
        <x:v>0</x:v>
      </x:c>
      <x:c r="AK1733" s="32" t="n">
        <x:f>H1733*v01_RoleScale*Arch_Roles*(AE1733*(INDEX(v01_ElderRolePerSett,G1733)*v01_OutElder*INDEX(LM_Elder,G1733)+INDEX(v01_ShamanPerSett,G1733)*v01_OutShaman)+Z1733*(INDEX(v01_PriestShare,G1733)*v01_OutPriest+INDEX(v01_ScribeShare,G1733)*v01_OutScribe*INDEX(LM_Scribe,G1733)+INDEX(v01_ScholarShare,G1733)*v01_OutScholar*INDEX(LM_Scholar,G1733)+INDEX(v01_ResearcherShare,G1733)*v01_OutResearcher*INDEX(LM_Researcher,G1733)))</x:f>
        <x:v>0</x:v>
      </x:c>
      <x:c r="AL1733" s="32" t="n">
        <x:f>H1733*v01_RoleScale*Arch_Roles*AE1733*INDEX(v01_MonasteryPerSett,G1733)*v01_OutMonastery*INDEX(LM_Monastery,G1733)</x:f>
        <x:v>0</x:v>
      </x:c>
      <x:c r="AM1733" s="32" t="n">
        <x:f>(AJ1733+AK1733+AL1733)/4*INDEX(LM_All,G1733)*INDEX(v01_Boon,G1733)*Arch_Insight</x:f>
        <x:v>0</x:v>
      </x:c>
      <x:c r="AN1733" s="32" t="n">
        <x:f>H1733*(v01_KHPerAdult*Z1733+v01_KHOfCommons*AJ1733/4*INDEX(LM_All,G1733))*v01_KHUsable*Arch_KH</x:f>
        <x:v>0</x:v>
      </x:c>
      <x:c r="AO1733" s="32" t="n">
        <x:f>MIN(AP1732+AN1733,AM1733*v01_KHMaxRatio)</x:f>
        <x:v>0</x:v>
      </x:c>
      <x:c r="AP1733" s="32" t="n">
        <x:f>AP1732+AN1733-AO1733</x:f>
        <x:v>0</x:v>
      </x:c>
      <x:c r="AQ1733" s="32" t="n">
        <x:f>AM1733+AO1733</x:f>
        <x:v>0</x:v>
      </x:c>
      <x:c r="AR1733" s="10" t="n">
        <x:f>IF(H1733=1,INDEX(v01_Req,G1733),0)</x:f>
        <x:v>0</x:v>
      </x:c>
      <x:c r="AS1733" s="32" t="n">
        <x:f>IF(H1733=1,IF(E1733=1,AS1732-AR1732,AS1732)+AQ1733,0)</x:f>
        <x:v>0</x:v>
      </x:c>
      <x:c r="AT1733" s="11" t="n">
        <x:f>IF(AR1733&gt;0,MIN(1,AS1733/AR1733),1)</x:f>
        <x:v>1</x:v>
      </x:c>
      <x:c r="AU1733" s="10" t="n">
        <x:f>AB1733/INDEX(v01_RepScale,G1733)</x:f>
        <x:v>90.09519605746344</x:v>
      </x:c>
      <x:c r="AV1733" s="32" t="n">
        <x:f>AM1733*60/v01_SeasonSeconds</x:f>
        <x:v>0</x:v>
      </x:c>
    </x:row>
    <x:row r="1734">
      <x:c r="A1734" s="8" t="n">
        <x:f>A1733+1</x:f>
        <x:v>1731</x:v>
      </x:c>
      <x:c r="B1734" s="9" t="n">
        <x:f>A1734*v01_SeasonSeconds/60</x:f>
        <x:v>432.75</x:v>
      </x:c>
      <x:c r="C1734" s="9" t="n">
        <x:f>A1734/4</x:f>
        <x:v>432.75</x:v>
      </x:c>
      <x:c r="D1734" s="8" t="n">
        <x:f>IF(MOD(A1734,4)=0,1,0)</x:f>
        <x:v>0</x:v>
      </x:c>
      <x:c r="E1734" s="8" t="n">
        <x:f>IF(AND(F1733&lt;=9,AS1733&gt;=AR1733),1,0)</x:f>
        <x:v>0</x:v>
      </x:c>
      <x:c r="F1734" s="8" t="n">
        <x:f>MIN(10,F1733+E1734)</x:f>
        <x:v>10</x:v>
      </x:c>
      <x:c r="G1734" s="8" t="n">
        <x:f>MIN(F1734,9)+1</x:f>
        <x:v>10</x:v>
      </x:c>
      <x:c r="H1734" s="8" t="n">
        <x:f>IF(F1734&lt;=9,1,0)</x:f>
        <x:v>0</x:v>
      </x:c>
      <x:c r="I1734" s="9" t="n">
        <x:f>MIN(10,F1733+IF(AR1733&gt;0,MIN(1,AS1733/AR1733),1))</x:f>
        <x:v>10</x:v>
      </x:c>
      <x:c r="J1734" s="32" t="n">
        <x:f>INDEX(v01_FoodCap,G1734)*Arch_FoodCap*EXP(v01_CapsByProject*SUMPRODUCT((Cap_Point&lt;=I1734)*(Cap_Kind="Food")*Cap_Ln))</x:f>
        <x:v>12000</x:v>
      </x:c>
      <x:c r="K1734" s="32" t="n">
        <x:f>J1734*MIN(1,v01_LeanBase*EXP(v01_CapsByProject*SUMPRODUCT((Cap_Point&lt;=I1734)*(Cap_Kind="Lean")*Cap_Ln)))</x:f>
        <x:v>12000</x:v>
      </x:c>
      <x:c r="L1734" s="10" t="n">
        <x:f>INDEX(v01_HousingCap,G1734)*EXP(v01_CapsByProject*SUMPRODUCT((Cap_Point&lt;=I1734)*(Cap_Kind="Housing")*Cap_Ln))</x:f>
        <x:v>20000</x:v>
      </x:c>
      <x:c r="M1734" s="10" t="n">
        <x:f>INDEX(v01_GroupCap,G1734)*v01_CohesionFactor*EXP(v01_CapsByProject*SUMPRODUCT((Cap_Point&lt;=I1734)*(Cap_Kind="Group")*Cap_Ln))</x:f>
        <x:v>1000000</x:v>
      </x:c>
      <x:c r="N1734" s="32" t="n">
        <x:f>MIN(J1734,L1734,M1734)</x:f>
        <x:v>12000</x:v>
      </x:c>
      <x:c r="O1734" s="10" t="n">
        <x:f>AE1733*N1734</x:f>
        <x:v>180000</x:v>
      </x:c>
      <x:c r="P1734" s="9" t="n">
        <x:f>MIN(1,(AB1733/(AE1733*IF(v01_GroupInCrowding=1,N1734,MIN(J1734,L1734))))^v01_CrowdingExp)</x:f>
        <x:v>0.00024569414295285325</x:v>
      </x:c>
      <x:c r="Q1734" s="9" t="n">
        <x:f>IF(D1734=1,INDEX(v01_WinterMult,G1734),1)</x:f>
        <x:v>1</x:v>
      </x:c>
      <x:c r="R1734" s="9" t="n">
        <x:f>H1734*Z1733*v01_WomenShare*v01_BaseFertility*INDEX(v01_FertMult,G1734)*Arch_Fertility*(1-P1734)</x:f>
        <x:v>0</x:v>
      </x:c>
      <x:c r="S1734" s="9" t="n">
        <x:f>H1734*Y1733*INDEX(v01_MortChild,G1734)/4*Q1734</x:f>
        <x:v>0</x:v>
      </x:c>
      <x:c r="T1734" s="9" t="n">
        <x:f>H1734*Z1733*INDEX(v01_MortAdult,G1734)*Arch_AdultMort/4*Q1734</x:f>
        <x:v>0</x:v>
      </x:c>
      <x:c r="U1734" s="9" t="n">
        <x:f>H1734*AA1733*INDEX(v01_MortElder,G1734)/4*Q1734</x:f>
        <x:v>0</x:v>
      </x:c>
      <x:c r="V1734" s="9" t="n">
        <x:f>H1734*MAX(0,AB1733-O1734)*v01_OvercapLoss</x:f>
        <x:v>0</x:v>
      </x:c>
      <x:c r="W1734" s="9" t="n">
        <x:f>H1734*Y1733/(v01_ChildYears*4)</x:f>
        <x:v>0</x:v>
      </x:c>
      <x:c r="X1734" s="9" t="n">
        <x:f>H1734*Z1733/(v01_AdultYears*4)</x:f>
        <x:v>0</x:v>
      </x:c>
      <x:c r="Y1734" s="32" t="n">
        <x:f>Y1733+R1734-S1734-W1734-Y1733*V1734/AB1733</x:f>
        <x:v>14306.18539759397</x:v>
      </x:c>
      <x:c r="Z1734" s="32" t="n">
        <x:f>Z1733+W1734-X1734-T1734-Z1733*V1734/AB1733</x:f>
        <x:v>19354.456567879548</x:v>
      </x:c>
      <x:c r="AA1734" s="32" t="n">
        <x:f>AA1733+X1734-U1734-AA1733*V1734/AB1733</x:f>
        <x:v>11386.956063258198</x:v>
      </x:c>
      <x:c r="AB1734" s="10" t="n">
        <x:f>Y1734+Z1734+AA1734</x:f>
        <x:v>45047.59802873172</x:v>
      </x:c>
      <x:c r="AC1734" s="8" t="n">
        <x:f>IF(AND(v01_WinterTrigger=1,D1734=1,AB1733/AE1733&gt;=K1734),1,0)</x:f>
        <x:v>0</x:v>
      </x:c>
      <x:c r="AD1734" s="8" t="n">
        <x:f>H1734*IF(AND(OR(AB1733/AE1733&gt;=v01_FissionTrigger*N1734,AC1734=1),AB1733/AE1733*v01_DaughterShare&gt;=v01_MinDaughter),MAX(1,ROUND(AE1733*v01_FissionRate,0)),0)</x:f>
        <x:v>0</x:v>
      </x:c>
      <x:c r="AE1734" s="8" t="n">
        <x:f>IF(H1734=1,MAX(1,MIN(INDEX(v01_Smax,G1734),AE1733+AD1734)),AE1733)</x:f>
        <x:v>15</x:v>
      </x:c>
      <x:c r="AF1734" s="8" t="n">
        <x:f>MAX(0,AE1734-AE1733)</x:f>
        <x:v>0</x:v>
      </x:c>
      <x:c r="AG1734" s="9" t="str">
        <x:f>IF(AF1734&gt;0,B1734,"")</x:f>
      </x:c>
      <x:c r="AH1734" s="9" t="n">
        <x:f>IF(F1734&gt;=1,1,(1+v01_LowTiesShare*(AE1734-1))/AE1734)</x:f>
        <x:v>1</x:v>
      </x:c>
      <x:c r="AI1734" s="32" t="n">
        <x:f>(Z1734+v01_ElderCommons*INDEX(LM_Elder,G1734)*AA1734)*AH1734</x:f>
        <x:v>64139.732591141874</x:v>
      </x:c>
      <x:c r="AJ1734" s="32" t="n">
        <x:f>H1734*v01_CommonsCoef*AI1734^v01_CommonsExp*INDEX(LM_Commons,G1734)</x:f>
        <x:v>0</x:v>
      </x:c>
      <x:c r="AK1734" s="32" t="n">
        <x:f>H1734*v01_RoleScale*Arch_Roles*(AE1734*(INDEX(v01_ElderRolePerSett,G1734)*v01_OutElder*INDEX(LM_Elder,G1734)+INDEX(v01_ShamanPerSett,G1734)*v01_OutShaman)+Z1734*(INDEX(v01_PriestShare,G1734)*v01_OutPriest+INDEX(v01_ScribeShare,G1734)*v01_OutScribe*INDEX(LM_Scribe,G1734)+INDEX(v01_ScholarShare,G1734)*v01_OutScholar*INDEX(LM_Scholar,G1734)+INDEX(v01_ResearcherShare,G1734)*v01_OutResearcher*INDEX(LM_Researcher,G1734)))</x:f>
        <x:v>0</x:v>
      </x:c>
      <x:c r="AL1734" s="32" t="n">
        <x:f>H1734*v01_RoleScale*Arch_Roles*AE1734*INDEX(v01_MonasteryPerSett,G1734)*v01_OutMonastery*INDEX(LM_Monastery,G1734)</x:f>
        <x:v>0</x:v>
      </x:c>
      <x:c r="AM1734" s="32" t="n">
        <x:f>(AJ1734+AK1734+AL1734)/4*INDEX(LM_All,G1734)*INDEX(v01_Boon,G1734)*Arch_Insight</x:f>
        <x:v>0</x:v>
      </x:c>
      <x:c r="AN1734" s="32" t="n">
        <x:f>H1734*(v01_KHPerAdult*Z1734+v01_KHOfCommons*AJ1734/4*INDEX(LM_All,G1734))*v01_KHUsable*Arch_KH</x:f>
        <x:v>0</x:v>
      </x:c>
      <x:c r="AO1734" s="32" t="n">
        <x:f>MIN(AP1733+AN1734,AM1734*v01_KHMaxRatio)</x:f>
        <x:v>0</x:v>
      </x:c>
      <x:c r="AP1734" s="32" t="n">
        <x:f>AP1733+AN1734-AO1734</x:f>
        <x:v>0</x:v>
      </x:c>
      <x:c r="AQ1734" s="32" t="n">
        <x:f>AM1734+AO1734</x:f>
        <x:v>0</x:v>
      </x:c>
      <x:c r="AR1734" s="10" t="n">
        <x:f>IF(H1734=1,INDEX(v01_Req,G1734),0)</x:f>
        <x:v>0</x:v>
      </x:c>
      <x:c r="AS1734" s="32" t="n">
        <x:f>IF(H1734=1,IF(E1734=1,AS1733-AR1733,AS1733)+AQ1734,0)</x:f>
        <x:v>0</x:v>
      </x:c>
      <x:c r="AT1734" s="11" t="n">
        <x:f>IF(AR1734&gt;0,MIN(1,AS1734/AR1734),1)</x:f>
        <x:v>1</x:v>
      </x:c>
      <x:c r="AU1734" s="10" t="n">
        <x:f>AB1734/INDEX(v01_RepScale,G1734)</x:f>
        <x:v>90.09519605746344</x:v>
      </x:c>
      <x:c r="AV1734" s="32" t="n">
        <x:f>AM1734*60/v01_SeasonSeconds</x:f>
        <x:v>0</x:v>
      </x:c>
    </x:row>
    <x:row r="1735">
      <x:c r="A1735" s="8" t="n">
        <x:f>A1734+1</x:f>
        <x:v>1732</x:v>
      </x:c>
      <x:c r="B1735" s="9" t="n">
        <x:f>A1735*v01_SeasonSeconds/60</x:f>
        <x:v>433</x:v>
      </x:c>
      <x:c r="C1735" s="9" t="n">
        <x:f>A1735/4</x:f>
        <x:v>433</x:v>
      </x:c>
      <x:c r="D1735" s="8" t="n">
        <x:f>IF(MOD(A1735,4)=0,1,0)</x:f>
        <x:v>1</x:v>
      </x:c>
      <x:c r="E1735" s="8" t="n">
        <x:f>IF(AND(F1734&lt;=9,AS1734&gt;=AR1734),1,0)</x:f>
        <x:v>0</x:v>
      </x:c>
      <x:c r="F1735" s="8" t="n">
        <x:f>MIN(10,F1734+E1735)</x:f>
        <x:v>10</x:v>
      </x:c>
      <x:c r="G1735" s="8" t="n">
        <x:f>MIN(F1735,9)+1</x:f>
        <x:v>10</x:v>
      </x:c>
      <x:c r="H1735" s="8" t="n">
        <x:f>IF(F1735&lt;=9,1,0)</x:f>
        <x:v>0</x:v>
      </x:c>
      <x:c r="I1735" s="9" t="n">
        <x:f>MIN(10,F1734+IF(AR1734&gt;0,MIN(1,AS1734/AR1734),1))</x:f>
        <x:v>10</x:v>
      </x:c>
      <x:c r="J1735" s="32" t="n">
        <x:f>INDEX(v01_FoodCap,G1735)*Arch_FoodCap*EXP(v01_CapsByProject*SUMPRODUCT((Cap_Point&lt;=I1735)*(Cap_Kind="Food")*Cap_Ln))</x:f>
        <x:v>12000</x:v>
      </x:c>
      <x:c r="K1735" s="32" t="n">
        <x:f>J1735*MIN(1,v01_LeanBase*EXP(v01_CapsByProject*SUMPRODUCT((Cap_Point&lt;=I1735)*(Cap_Kind="Lean")*Cap_Ln)))</x:f>
        <x:v>12000</x:v>
      </x:c>
      <x:c r="L1735" s="10" t="n">
        <x:f>INDEX(v01_HousingCap,G1735)*EXP(v01_CapsByProject*SUMPRODUCT((Cap_Point&lt;=I1735)*(Cap_Kind="Housing")*Cap_Ln))</x:f>
        <x:v>20000</x:v>
      </x:c>
      <x:c r="M1735" s="10" t="n">
        <x:f>INDEX(v01_GroupCap,G1735)*v01_CohesionFactor*EXP(v01_CapsByProject*SUMPRODUCT((Cap_Point&lt;=I1735)*(Cap_Kind="Group")*Cap_Ln))</x:f>
        <x:v>1000000</x:v>
      </x:c>
      <x:c r="N1735" s="32" t="n">
        <x:f>MIN(J1735,L1735,M1735)</x:f>
        <x:v>12000</x:v>
      </x:c>
      <x:c r="O1735" s="10" t="n">
        <x:f>AE1734*N1735</x:f>
        <x:v>180000</x:v>
      </x:c>
      <x:c r="P1735" s="9" t="n">
        <x:f>MIN(1,(AB1734/(AE1734*IF(v01_GroupInCrowding=1,N1735,MIN(J1735,L1735))))^v01_CrowdingExp)</x:f>
        <x:v>0.00024569414295285325</x:v>
      </x:c>
      <x:c r="Q1735" s="9" t="n">
        <x:f>IF(D1735=1,INDEX(v01_WinterMult,G1735),1)</x:f>
        <x:v>1</x:v>
      </x:c>
      <x:c r="R1735" s="9" t="n">
        <x:f>H1735*Z1734*v01_WomenShare*v01_BaseFertility*INDEX(v01_FertMult,G1735)*Arch_Fertility*(1-P1735)</x:f>
        <x:v>0</x:v>
      </x:c>
      <x:c r="S1735" s="9" t="n">
        <x:f>H1735*Y1734*INDEX(v01_MortChild,G1735)/4*Q1735</x:f>
        <x:v>0</x:v>
      </x:c>
      <x:c r="T1735" s="9" t="n">
        <x:f>H1735*Z1734*INDEX(v01_MortAdult,G1735)*Arch_AdultMort/4*Q1735</x:f>
        <x:v>0</x:v>
      </x:c>
      <x:c r="U1735" s="9" t="n">
        <x:f>H1735*AA1734*INDEX(v01_MortElder,G1735)/4*Q1735</x:f>
        <x:v>0</x:v>
      </x:c>
      <x:c r="V1735" s="9" t="n">
        <x:f>H1735*MAX(0,AB1734-O1735)*v01_OvercapLoss</x:f>
        <x:v>0</x:v>
      </x:c>
      <x:c r="W1735" s="9" t="n">
        <x:f>H1735*Y1734/(v01_ChildYears*4)</x:f>
        <x:v>0</x:v>
      </x:c>
      <x:c r="X1735" s="9" t="n">
        <x:f>H1735*Z1734/(v01_AdultYears*4)</x:f>
        <x:v>0</x:v>
      </x:c>
      <x:c r="Y1735" s="32" t="n">
        <x:f>Y1734+R1735-S1735-W1735-Y1734*V1735/AB1734</x:f>
        <x:v>14306.18539759397</x:v>
      </x:c>
      <x:c r="Z1735" s="32" t="n">
        <x:f>Z1734+W1735-X1735-T1735-Z1734*V1735/AB1734</x:f>
        <x:v>19354.456567879548</x:v>
      </x:c>
      <x:c r="AA1735" s="32" t="n">
        <x:f>AA1734+X1735-U1735-AA1734*V1735/AB1734</x:f>
        <x:v>11386.956063258198</x:v>
      </x:c>
      <x:c r="AB1735" s="10" t="n">
        <x:f>Y1735+Z1735+AA1735</x:f>
        <x:v>45047.59802873172</x:v>
      </x:c>
      <x:c r="AC1735" s="8" t="n">
        <x:f>IF(AND(v01_WinterTrigger=1,D1735=1,AB1734/AE1734&gt;=K1735),1,0)</x:f>
        <x:v>0</x:v>
      </x:c>
      <x:c r="AD1735" s="8" t="n">
        <x:f>H1735*IF(AND(OR(AB1734/AE1734&gt;=v01_FissionTrigger*N1735,AC1735=1),AB1734/AE1734*v01_DaughterShare&gt;=v01_MinDaughter),MAX(1,ROUND(AE1734*v01_FissionRate,0)),0)</x:f>
        <x:v>0</x:v>
      </x:c>
      <x:c r="AE1735" s="8" t="n">
        <x:f>IF(H1735=1,MAX(1,MIN(INDEX(v01_Smax,G1735),AE1734+AD1735)),AE1734)</x:f>
        <x:v>15</x:v>
      </x:c>
      <x:c r="AF1735" s="8" t="n">
        <x:f>MAX(0,AE1735-AE1734)</x:f>
        <x:v>0</x:v>
      </x:c>
      <x:c r="AG1735" s="9" t="str">
        <x:f>IF(AF1735&gt;0,B1735,"")</x:f>
      </x:c>
      <x:c r="AH1735" s="9" t="n">
        <x:f>IF(F1735&gt;=1,1,(1+v01_LowTiesShare*(AE1735-1))/AE1735)</x:f>
        <x:v>1</x:v>
      </x:c>
      <x:c r="AI1735" s="32" t="n">
        <x:f>(Z1735+v01_ElderCommons*INDEX(LM_Elder,G1735)*AA1735)*AH1735</x:f>
        <x:v>64139.732591141874</x:v>
      </x:c>
      <x:c r="AJ1735" s="32" t="n">
        <x:f>H1735*v01_CommonsCoef*AI1735^v01_CommonsExp*INDEX(LM_Commons,G1735)</x:f>
        <x:v>0</x:v>
      </x:c>
      <x:c r="AK1735" s="32" t="n">
        <x:f>H1735*v01_RoleScale*Arch_Roles*(AE1735*(INDEX(v01_ElderRolePerSett,G1735)*v01_OutElder*INDEX(LM_Elder,G1735)+INDEX(v01_ShamanPerSett,G1735)*v01_OutShaman)+Z1735*(INDEX(v01_PriestShare,G1735)*v01_OutPriest+INDEX(v01_ScribeShare,G1735)*v01_OutScribe*INDEX(LM_Scribe,G1735)+INDEX(v01_ScholarShare,G1735)*v01_OutScholar*INDEX(LM_Scholar,G1735)+INDEX(v01_ResearcherShare,G1735)*v01_OutResearcher*INDEX(LM_Researcher,G1735)))</x:f>
        <x:v>0</x:v>
      </x:c>
      <x:c r="AL1735" s="32" t="n">
        <x:f>H1735*v01_RoleScale*Arch_Roles*AE1735*INDEX(v01_MonasteryPerSett,G1735)*v01_OutMonastery*INDEX(LM_Monastery,G1735)</x:f>
        <x:v>0</x:v>
      </x:c>
      <x:c r="AM1735" s="32" t="n">
        <x:f>(AJ1735+AK1735+AL1735)/4*INDEX(LM_All,G1735)*INDEX(v01_Boon,G1735)*Arch_Insight</x:f>
        <x:v>0</x:v>
      </x:c>
      <x:c r="AN1735" s="32" t="n">
        <x:f>H1735*(v01_KHPerAdult*Z1735+v01_KHOfCommons*AJ1735/4*INDEX(LM_All,G1735))*v01_KHUsable*Arch_KH</x:f>
        <x:v>0</x:v>
      </x:c>
      <x:c r="AO1735" s="32" t="n">
        <x:f>MIN(AP1734+AN1735,AM1735*v01_KHMaxRatio)</x:f>
        <x:v>0</x:v>
      </x:c>
      <x:c r="AP1735" s="32" t="n">
        <x:f>AP1734+AN1735-AO1735</x:f>
        <x:v>0</x:v>
      </x:c>
      <x:c r="AQ1735" s="32" t="n">
        <x:f>AM1735+AO1735</x:f>
        <x:v>0</x:v>
      </x:c>
      <x:c r="AR1735" s="10" t="n">
        <x:f>IF(H1735=1,INDEX(v01_Req,G1735),0)</x:f>
        <x:v>0</x:v>
      </x:c>
      <x:c r="AS1735" s="32" t="n">
        <x:f>IF(H1735=1,IF(E1735=1,AS1734-AR1734,AS1734)+AQ1735,0)</x:f>
        <x:v>0</x:v>
      </x:c>
      <x:c r="AT1735" s="11" t="n">
        <x:f>IF(AR1735&gt;0,MIN(1,AS1735/AR1735),1)</x:f>
        <x:v>1</x:v>
      </x:c>
      <x:c r="AU1735" s="10" t="n">
        <x:f>AB1735/INDEX(v01_RepScale,G1735)</x:f>
        <x:v>90.09519605746344</x:v>
      </x:c>
      <x:c r="AV1735" s="32" t="n">
        <x:f>AM1735*60/v01_SeasonSeconds</x:f>
        <x:v>0</x:v>
      </x:c>
    </x:row>
    <x:row r="1736">
      <x:c r="A1736" s="8" t="n">
        <x:f>A1735+1</x:f>
        <x:v>1733</x:v>
      </x:c>
      <x:c r="B1736" s="9" t="n">
        <x:f>A1736*v01_SeasonSeconds/60</x:f>
        <x:v>433.25</x:v>
      </x:c>
      <x:c r="C1736" s="9" t="n">
        <x:f>A1736/4</x:f>
        <x:v>433.25</x:v>
      </x:c>
      <x:c r="D1736" s="8" t="n">
        <x:f>IF(MOD(A1736,4)=0,1,0)</x:f>
        <x:v>0</x:v>
      </x:c>
      <x:c r="E1736" s="8" t="n">
        <x:f>IF(AND(F1735&lt;=9,AS1735&gt;=AR1735),1,0)</x:f>
        <x:v>0</x:v>
      </x:c>
      <x:c r="F1736" s="8" t="n">
        <x:f>MIN(10,F1735+E1736)</x:f>
        <x:v>10</x:v>
      </x:c>
      <x:c r="G1736" s="8" t="n">
        <x:f>MIN(F1736,9)+1</x:f>
        <x:v>10</x:v>
      </x:c>
      <x:c r="H1736" s="8" t="n">
        <x:f>IF(F1736&lt;=9,1,0)</x:f>
        <x:v>0</x:v>
      </x:c>
      <x:c r="I1736" s="9" t="n">
        <x:f>MIN(10,F1735+IF(AR1735&gt;0,MIN(1,AS1735/AR1735),1))</x:f>
        <x:v>10</x:v>
      </x:c>
      <x:c r="J1736" s="32" t="n">
        <x:f>INDEX(v01_FoodCap,G1736)*Arch_FoodCap*EXP(v01_CapsByProject*SUMPRODUCT((Cap_Point&lt;=I1736)*(Cap_Kind="Food")*Cap_Ln))</x:f>
        <x:v>12000</x:v>
      </x:c>
      <x:c r="K1736" s="32" t="n">
        <x:f>J1736*MIN(1,v01_LeanBase*EXP(v01_CapsByProject*SUMPRODUCT((Cap_Point&lt;=I1736)*(Cap_Kind="Lean")*Cap_Ln)))</x:f>
        <x:v>12000</x:v>
      </x:c>
      <x:c r="L1736" s="10" t="n">
        <x:f>INDEX(v01_HousingCap,G1736)*EXP(v01_CapsByProject*SUMPRODUCT((Cap_Point&lt;=I1736)*(Cap_Kind="Housing")*Cap_Ln))</x:f>
        <x:v>20000</x:v>
      </x:c>
      <x:c r="M1736" s="10" t="n">
        <x:f>INDEX(v01_GroupCap,G1736)*v01_CohesionFactor*EXP(v01_CapsByProject*SUMPRODUCT((Cap_Point&lt;=I1736)*(Cap_Kind="Group")*Cap_Ln))</x:f>
        <x:v>1000000</x:v>
      </x:c>
      <x:c r="N1736" s="32" t="n">
        <x:f>MIN(J1736,L1736,M1736)</x:f>
        <x:v>12000</x:v>
      </x:c>
      <x:c r="O1736" s="10" t="n">
        <x:f>AE1735*N1736</x:f>
        <x:v>180000</x:v>
      </x:c>
      <x:c r="P1736" s="9" t="n">
        <x:f>MIN(1,(AB1735/(AE1735*IF(v01_GroupInCrowding=1,N1736,MIN(J1736,L1736))))^v01_CrowdingExp)</x:f>
        <x:v>0.00024569414295285325</x:v>
      </x:c>
      <x:c r="Q1736" s="9" t="n">
        <x:f>IF(D1736=1,INDEX(v01_WinterMult,G1736),1)</x:f>
        <x:v>1</x:v>
      </x:c>
      <x:c r="R1736" s="9" t="n">
        <x:f>H1736*Z1735*v01_WomenShare*v01_BaseFertility*INDEX(v01_FertMult,G1736)*Arch_Fertility*(1-P1736)</x:f>
        <x:v>0</x:v>
      </x:c>
      <x:c r="S1736" s="9" t="n">
        <x:f>H1736*Y1735*INDEX(v01_MortChild,G1736)/4*Q1736</x:f>
        <x:v>0</x:v>
      </x:c>
      <x:c r="T1736" s="9" t="n">
        <x:f>H1736*Z1735*INDEX(v01_MortAdult,G1736)*Arch_AdultMort/4*Q1736</x:f>
        <x:v>0</x:v>
      </x:c>
      <x:c r="U1736" s="9" t="n">
        <x:f>H1736*AA1735*INDEX(v01_MortElder,G1736)/4*Q1736</x:f>
        <x:v>0</x:v>
      </x:c>
      <x:c r="V1736" s="9" t="n">
        <x:f>H1736*MAX(0,AB1735-O1736)*v01_OvercapLoss</x:f>
        <x:v>0</x:v>
      </x:c>
      <x:c r="W1736" s="9" t="n">
        <x:f>H1736*Y1735/(v01_ChildYears*4)</x:f>
        <x:v>0</x:v>
      </x:c>
      <x:c r="X1736" s="9" t="n">
        <x:f>H1736*Z1735/(v01_AdultYears*4)</x:f>
        <x:v>0</x:v>
      </x:c>
      <x:c r="Y1736" s="32" t="n">
        <x:f>Y1735+R1736-S1736-W1736-Y1735*V1736/AB1735</x:f>
        <x:v>14306.18539759397</x:v>
      </x:c>
      <x:c r="Z1736" s="32" t="n">
        <x:f>Z1735+W1736-X1736-T1736-Z1735*V1736/AB1735</x:f>
        <x:v>19354.456567879548</x:v>
      </x:c>
      <x:c r="AA1736" s="32" t="n">
        <x:f>AA1735+X1736-U1736-AA1735*V1736/AB1735</x:f>
        <x:v>11386.956063258198</x:v>
      </x:c>
      <x:c r="AB1736" s="10" t="n">
        <x:f>Y1736+Z1736+AA1736</x:f>
        <x:v>45047.59802873172</x:v>
      </x:c>
      <x:c r="AC1736" s="8" t="n">
        <x:f>IF(AND(v01_WinterTrigger=1,D1736=1,AB1735/AE1735&gt;=K1736),1,0)</x:f>
        <x:v>0</x:v>
      </x:c>
      <x:c r="AD1736" s="8" t="n">
        <x:f>H1736*IF(AND(OR(AB1735/AE1735&gt;=v01_FissionTrigger*N1736,AC1736=1),AB1735/AE1735*v01_DaughterShare&gt;=v01_MinDaughter),MAX(1,ROUND(AE1735*v01_FissionRate,0)),0)</x:f>
        <x:v>0</x:v>
      </x:c>
      <x:c r="AE1736" s="8" t="n">
        <x:f>IF(H1736=1,MAX(1,MIN(INDEX(v01_Smax,G1736),AE1735+AD1736)),AE1735)</x:f>
        <x:v>15</x:v>
      </x:c>
      <x:c r="AF1736" s="8" t="n">
        <x:f>MAX(0,AE1736-AE1735)</x:f>
        <x:v>0</x:v>
      </x:c>
      <x:c r="AG1736" s="9" t="str">
        <x:f>IF(AF1736&gt;0,B1736,"")</x:f>
      </x:c>
      <x:c r="AH1736" s="9" t="n">
        <x:f>IF(F1736&gt;=1,1,(1+v01_LowTiesShare*(AE1736-1))/AE1736)</x:f>
        <x:v>1</x:v>
      </x:c>
      <x:c r="AI1736" s="32" t="n">
        <x:f>(Z1736+v01_ElderCommons*INDEX(LM_Elder,G1736)*AA1736)*AH1736</x:f>
        <x:v>64139.732591141874</x:v>
      </x:c>
      <x:c r="AJ1736" s="32" t="n">
        <x:f>H1736*v01_CommonsCoef*AI1736^v01_CommonsExp*INDEX(LM_Commons,G1736)</x:f>
        <x:v>0</x:v>
      </x:c>
      <x:c r="AK1736" s="32" t="n">
        <x:f>H1736*v01_RoleScale*Arch_Roles*(AE1736*(INDEX(v01_ElderRolePerSett,G1736)*v01_OutElder*INDEX(LM_Elder,G1736)+INDEX(v01_ShamanPerSett,G1736)*v01_OutShaman)+Z1736*(INDEX(v01_PriestShare,G1736)*v01_OutPriest+INDEX(v01_ScribeShare,G1736)*v01_OutScribe*INDEX(LM_Scribe,G1736)+INDEX(v01_ScholarShare,G1736)*v01_OutScholar*INDEX(LM_Scholar,G1736)+INDEX(v01_ResearcherShare,G1736)*v01_OutResearcher*INDEX(LM_Researcher,G1736)))</x:f>
        <x:v>0</x:v>
      </x:c>
      <x:c r="AL1736" s="32" t="n">
        <x:f>H1736*v01_RoleScale*Arch_Roles*AE1736*INDEX(v01_MonasteryPerSett,G1736)*v01_OutMonastery*INDEX(LM_Monastery,G1736)</x:f>
        <x:v>0</x:v>
      </x:c>
      <x:c r="AM1736" s="32" t="n">
        <x:f>(AJ1736+AK1736+AL1736)/4*INDEX(LM_All,G1736)*INDEX(v01_Boon,G1736)*Arch_Insight</x:f>
        <x:v>0</x:v>
      </x:c>
      <x:c r="AN1736" s="32" t="n">
        <x:f>H1736*(v01_KHPerAdult*Z1736+v01_KHOfCommons*AJ1736/4*INDEX(LM_All,G1736))*v01_KHUsable*Arch_KH</x:f>
        <x:v>0</x:v>
      </x:c>
      <x:c r="AO1736" s="32" t="n">
        <x:f>MIN(AP1735+AN1736,AM1736*v01_KHMaxRatio)</x:f>
        <x:v>0</x:v>
      </x:c>
      <x:c r="AP1736" s="32" t="n">
        <x:f>AP1735+AN1736-AO1736</x:f>
        <x:v>0</x:v>
      </x:c>
      <x:c r="AQ1736" s="32" t="n">
        <x:f>AM1736+AO1736</x:f>
        <x:v>0</x:v>
      </x:c>
      <x:c r="AR1736" s="10" t="n">
        <x:f>IF(H1736=1,INDEX(v01_Req,G1736),0)</x:f>
        <x:v>0</x:v>
      </x:c>
      <x:c r="AS1736" s="32" t="n">
        <x:f>IF(H1736=1,IF(E1736=1,AS1735-AR1735,AS1735)+AQ1736,0)</x:f>
        <x:v>0</x:v>
      </x:c>
      <x:c r="AT1736" s="11" t="n">
        <x:f>IF(AR1736&gt;0,MIN(1,AS1736/AR1736),1)</x:f>
        <x:v>1</x:v>
      </x:c>
      <x:c r="AU1736" s="10" t="n">
        <x:f>AB1736/INDEX(v01_RepScale,G1736)</x:f>
        <x:v>90.09519605746344</x:v>
      </x:c>
      <x:c r="AV1736" s="32" t="n">
        <x:f>AM1736*60/v01_SeasonSeconds</x:f>
        <x:v>0</x:v>
      </x:c>
    </x:row>
    <x:row r="1737">
      <x:c r="A1737" s="8" t="n">
        <x:f>A1736+1</x:f>
        <x:v>1734</x:v>
      </x:c>
      <x:c r="B1737" s="9" t="n">
        <x:f>A1737*v01_SeasonSeconds/60</x:f>
        <x:v>433.5</x:v>
      </x:c>
      <x:c r="C1737" s="9" t="n">
        <x:f>A1737/4</x:f>
        <x:v>433.5</x:v>
      </x:c>
      <x:c r="D1737" s="8" t="n">
        <x:f>IF(MOD(A1737,4)=0,1,0)</x:f>
        <x:v>0</x:v>
      </x:c>
      <x:c r="E1737" s="8" t="n">
        <x:f>IF(AND(F1736&lt;=9,AS1736&gt;=AR1736),1,0)</x:f>
        <x:v>0</x:v>
      </x:c>
      <x:c r="F1737" s="8" t="n">
        <x:f>MIN(10,F1736+E1737)</x:f>
        <x:v>10</x:v>
      </x:c>
      <x:c r="G1737" s="8" t="n">
        <x:f>MIN(F1737,9)+1</x:f>
        <x:v>10</x:v>
      </x:c>
      <x:c r="H1737" s="8" t="n">
        <x:f>IF(F1737&lt;=9,1,0)</x:f>
        <x:v>0</x:v>
      </x:c>
      <x:c r="I1737" s="9" t="n">
        <x:f>MIN(10,F1736+IF(AR1736&gt;0,MIN(1,AS1736/AR1736),1))</x:f>
        <x:v>10</x:v>
      </x:c>
      <x:c r="J1737" s="32" t="n">
        <x:f>INDEX(v01_FoodCap,G1737)*Arch_FoodCap*EXP(v01_CapsByProject*SUMPRODUCT((Cap_Point&lt;=I1737)*(Cap_Kind="Food")*Cap_Ln))</x:f>
        <x:v>12000</x:v>
      </x:c>
      <x:c r="K1737" s="32" t="n">
        <x:f>J1737*MIN(1,v01_LeanBase*EXP(v01_CapsByProject*SUMPRODUCT((Cap_Point&lt;=I1737)*(Cap_Kind="Lean")*Cap_Ln)))</x:f>
        <x:v>12000</x:v>
      </x:c>
      <x:c r="L1737" s="10" t="n">
        <x:f>INDEX(v01_HousingCap,G1737)*EXP(v01_CapsByProject*SUMPRODUCT((Cap_Point&lt;=I1737)*(Cap_Kind="Housing")*Cap_Ln))</x:f>
        <x:v>20000</x:v>
      </x:c>
      <x:c r="M1737" s="10" t="n">
        <x:f>INDEX(v01_GroupCap,G1737)*v01_CohesionFactor*EXP(v01_CapsByProject*SUMPRODUCT((Cap_Point&lt;=I1737)*(Cap_Kind="Group")*Cap_Ln))</x:f>
        <x:v>1000000</x:v>
      </x:c>
      <x:c r="N1737" s="32" t="n">
        <x:f>MIN(J1737,L1737,M1737)</x:f>
        <x:v>12000</x:v>
      </x:c>
      <x:c r="O1737" s="10" t="n">
        <x:f>AE1736*N1737</x:f>
        <x:v>180000</x:v>
      </x:c>
      <x:c r="P1737" s="9" t="n">
        <x:f>MIN(1,(AB1736/(AE1736*IF(v01_GroupInCrowding=1,N1737,MIN(J1737,L1737))))^v01_CrowdingExp)</x:f>
        <x:v>0.00024569414295285325</x:v>
      </x:c>
      <x:c r="Q1737" s="9" t="n">
        <x:f>IF(D1737=1,INDEX(v01_WinterMult,G1737),1)</x:f>
        <x:v>1</x:v>
      </x:c>
      <x:c r="R1737" s="9" t="n">
        <x:f>H1737*Z1736*v01_WomenShare*v01_BaseFertility*INDEX(v01_FertMult,G1737)*Arch_Fertility*(1-P1737)</x:f>
        <x:v>0</x:v>
      </x:c>
      <x:c r="S1737" s="9" t="n">
        <x:f>H1737*Y1736*INDEX(v01_MortChild,G1737)/4*Q1737</x:f>
        <x:v>0</x:v>
      </x:c>
      <x:c r="T1737" s="9" t="n">
        <x:f>H1737*Z1736*INDEX(v01_MortAdult,G1737)*Arch_AdultMort/4*Q1737</x:f>
        <x:v>0</x:v>
      </x:c>
      <x:c r="U1737" s="9" t="n">
        <x:f>H1737*AA1736*INDEX(v01_MortElder,G1737)/4*Q1737</x:f>
        <x:v>0</x:v>
      </x:c>
      <x:c r="V1737" s="9" t="n">
        <x:f>H1737*MAX(0,AB1736-O1737)*v01_OvercapLoss</x:f>
        <x:v>0</x:v>
      </x:c>
      <x:c r="W1737" s="9" t="n">
        <x:f>H1737*Y1736/(v01_ChildYears*4)</x:f>
        <x:v>0</x:v>
      </x:c>
      <x:c r="X1737" s="9" t="n">
        <x:f>H1737*Z1736/(v01_AdultYears*4)</x:f>
        <x:v>0</x:v>
      </x:c>
      <x:c r="Y1737" s="32" t="n">
        <x:f>Y1736+R1737-S1737-W1737-Y1736*V1737/AB1736</x:f>
        <x:v>14306.18539759397</x:v>
      </x:c>
      <x:c r="Z1737" s="32" t="n">
        <x:f>Z1736+W1737-X1737-T1737-Z1736*V1737/AB1736</x:f>
        <x:v>19354.456567879548</x:v>
      </x:c>
      <x:c r="AA1737" s="32" t="n">
        <x:f>AA1736+X1737-U1737-AA1736*V1737/AB1736</x:f>
        <x:v>11386.956063258198</x:v>
      </x:c>
      <x:c r="AB1737" s="10" t="n">
        <x:f>Y1737+Z1737+AA1737</x:f>
        <x:v>45047.59802873172</x:v>
      </x:c>
      <x:c r="AC1737" s="8" t="n">
        <x:f>IF(AND(v01_WinterTrigger=1,D1737=1,AB1736/AE1736&gt;=K1737),1,0)</x:f>
        <x:v>0</x:v>
      </x:c>
      <x:c r="AD1737" s="8" t="n">
        <x:f>H1737*IF(AND(OR(AB1736/AE1736&gt;=v01_FissionTrigger*N1737,AC1737=1),AB1736/AE1736*v01_DaughterShare&gt;=v01_MinDaughter),MAX(1,ROUND(AE1736*v01_FissionRate,0)),0)</x:f>
        <x:v>0</x:v>
      </x:c>
      <x:c r="AE1737" s="8" t="n">
        <x:f>IF(H1737=1,MAX(1,MIN(INDEX(v01_Smax,G1737),AE1736+AD1737)),AE1736)</x:f>
        <x:v>15</x:v>
      </x:c>
      <x:c r="AF1737" s="8" t="n">
        <x:f>MAX(0,AE1737-AE1736)</x:f>
        <x:v>0</x:v>
      </x:c>
      <x:c r="AG1737" s="9" t="str">
        <x:f>IF(AF1737&gt;0,B1737,"")</x:f>
      </x:c>
      <x:c r="AH1737" s="9" t="n">
        <x:f>IF(F1737&gt;=1,1,(1+v01_LowTiesShare*(AE1737-1))/AE1737)</x:f>
        <x:v>1</x:v>
      </x:c>
      <x:c r="AI1737" s="32" t="n">
        <x:f>(Z1737+v01_ElderCommons*INDEX(LM_Elder,G1737)*AA1737)*AH1737</x:f>
        <x:v>64139.732591141874</x:v>
      </x:c>
      <x:c r="AJ1737" s="32" t="n">
        <x:f>H1737*v01_CommonsCoef*AI1737^v01_CommonsExp*INDEX(LM_Commons,G1737)</x:f>
        <x:v>0</x:v>
      </x:c>
      <x:c r="AK1737" s="32" t="n">
        <x:f>H1737*v01_RoleScale*Arch_Roles*(AE1737*(INDEX(v01_ElderRolePerSett,G1737)*v01_OutElder*INDEX(LM_Elder,G1737)+INDEX(v01_ShamanPerSett,G1737)*v01_OutShaman)+Z1737*(INDEX(v01_PriestShare,G1737)*v01_OutPriest+INDEX(v01_ScribeShare,G1737)*v01_OutScribe*INDEX(LM_Scribe,G1737)+INDEX(v01_ScholarShare,G1737)*v01_OutScholar*INDEX(LM_Scholar,G1737)+INDEX(v01_ResearcherShare,G1737)*v01_OutResearcher*INDEX(LM_Researcher,G1737)))</x:f>
        <x:v>0</x:v>
      </x:c>
      <x:c r="AL1737" s="32" t="n">
        <x:f>H1737*v01_RoleScale*Arch_Roles*AE1737*INDEX(v01_MonasteryPerSett,G1737)*v01_OutMonastery*INDEX(LM_Monastery,G1737)</x:f>
        <x:v>0</x:v>
      </x:c>
      <x:c r="AM1737" s="32" t="n">
        <x:f>(AJ1737+AK1737+AL1737)/4*INDEX(LM_All,G1737)*INDEX(v01_Boon,G1737)*Arch_Insight</x:f>
        <x:v>0</x:v>
      </x:c>
      <x:c r="AN1737" s="32" t="n">
        <x:f>H1737*(v01_KHPerAdult*Z1737+v01_KHOfCommons*AJ1737/4*INDEX(LM_All,G1737))*v01_KHUsable*Arch_KH</x:f>
        <x:v>0</x:v>
      </x:c>
      <x:c r="AO1737" s="32" t="n">
        <x:f>MIN(AP1736+AN1737,AM1737*v01_KHMaxRatio)</x:f>
        <x:v>0</x:v>
      </x:c>
      <x:c r="AP1737" s="32" t="n">
        <x:f>AP1736+AN1737-AO1737</x:f>
        <x:v>0</x:v>
      </x:c>
      <x:c r="AQ1737" s="32" t="n">
        <x:f>AM1737+AO1737</x:f>
        <x:v>0</x:v>
      </x:c>
      <x:c r="AR1737" s="10" t="n">
        <x:f>IF(H1737=1,INDEX(v01_Req,G1737),0)</x:f>
        <x:v>0</x:v>
      </x:c>
      <x:c r="AS1737" s="32" t="n">
        <x:f>IF(H1737=1,IF(E1737=1,AS1736-AR1736,AS1736)+AQ1737,0)</x:f>
        <x:v>0</x:v>
      </x:c>
      <x:c r="AT1737" s="11" t="n">
        <x:f>IF(AR1737&gt;0,MIN(1,AS1737/AR1737),1)</x:f>
        <x:v>1</x:v>
      </x:c>
      <x:c r="AU1737" s="10" t="n">
        <x:f>AB1737/INDEX(v01_RepScale,G1737)</x:f>
        <x:v>90.09519605746344</x:v>
      </x:c>
      <x:c r="AV1737" s="32" t="n">
        <x:f>AM1737*60/v01_SeasonSeconds</x:f>
        <x:v>0</x:v>
      </x:c>
    </x:row>
    <x:row r="1738">
      <x:c r="A1738" s="8" t="n">
        <x:f>A1737+1</x:f>
        <x:v>1735</x:v>
      </x:c>
      <x:c r="B1738" s="9" t="n">
        <x:f>A1738*v01_SeasonSeconds/60</x:f>
        <x:v>433.75</x:v>
      </x:c>
      <x:c r="C1738" s="9" t="n">
        <x:f>A1738/4</x:f>
        <x:v>433.75</x:v>
      </x:c>
      <x:c r="D1738" s="8" t="n">
        <x:f>IF(MOD(A1738,4)=0,1,0)</x:f>
        <x:v>0</x:v>
      </x:c>
      <x:c r="E1738" s="8" t="n">
        <x:f>IF(AND(F1737&lt;=9,AS1737&gt;=AR1737),1,0)</x:f>
        <x:v>0</x:v>
      </x:c>
      <x:c r="F1738" s="8" t="n">
        <x:f>MIN(10,F1737+E1738)</x:f>
        <x:v>10</x:v>
      </x:c>
      <x:c r="G1738" s="8" t="n">
        <x:f>MIN(F1738,9)+1</x:f>
        <x:v>10</x:v>
      </x:c>
      <x:c r="H1738" s="8" t="n">
        <x:f>IF(F1738&lt;=9,1,0)</x:f>
        <x:v>0</x:v>
      </x:c>
      <x:c r="I1738" s="9" t="n">
        <x:f>MIN(10,F1737+IF(AR1737&gt;0,MIN(1,AS1737/AR1737),1))</x:f>
        <x:v>10</x:v>
      </x:c>
      <x:c r="J1738" s="32" t="n">
        <x:f>INDEX(v01_FoodCap,G1738)*Arch_FoodCap*EXP(v01_CapsByProject*SUMPRODUCT((Cap_Point&lt;=I1738)*(Cap_Kind="Food")*Cap_Ln))</x:f>
        <x:v>12000</x:v>
      </x:c>
      <x:c r="K1738" s="32" t="n">
        <x:f>J1738*MIN(1,v01_LeanBase*EXP(v01_CapsByProject*SUMPRODUCT((Cap_Point&lt;=I1738)*(Cap_Kind="Lean")*Cap_Ln)))</x:f>
        <x:v>12000</x:v>
      </x:c>
      <x:c r="L1738" s="10" t="n">
        <x:f>INDEX(v01_HousingCap,G1738)*EXP(v01_CapsByProject*SUMPRODUCT((Cap_Point&lt;=I1738)*(Cap_Kind="Housing")*Cap_Ln))</x:f>
        <x:v>20000</x:v>
      </x:c>
      <x:c r="M1738" s="10" t="n">
        <x:f>INDEX(v01_GroupCap,G1738)*v01_CohesionFactor*EXP(v01_CapsByProject*SUMPRODUCT((Cap_Point&lt;=I1738)*(Cap_Kind="Group")*Cap_Ln))</x:f>
        <x:v>1000000</x:v>
      </x:c>
      <x:c r="N1738" s="32" t="n">
        <x:f>MIN(J1738,L1738,M1738)</x:f>
        <x:v>12000</x:v>
      </x:c>
      <x:c r="O1738" s="10" t="n">
        <x:f>AE1737*N1738</x:f>
        <x:v>180000</x:v>
      </x:c>
      <x:c r="P1738" s="9" t="n">
        <x:f>MIN(1,(AB1737/(AE1737*IF(v01_GroupInCrowding=1,N1738,MIN(J1738,L1738))))^v01_CrowdingExp)</x:f>
        <x:v>0.00024569414295285325</x:v>
      </x:c>
      <x:c r="Q1738" s="9" t="n">
        <x:f>IF(D1738=1,INDEX(v01_WinterMult,G1738),1)</x:f>
        <x:v>1</x:v>
      </x:c>
      <x:c r="R1738" s="9" t="n">
        <x:f>H1738*Z1737*v01_WomenShare*v01_BaseFertility*INDEX(v01_FertMult,G1738)*Arch_Fertility*(1-P1738)</x:f>
        <x:v>0</x:v>
      </x:c>
      <x:c r="S1738" s="9" t="n">
        <x:f>H1738*Y1737*INDEX(v01_MortChild,G1738)/4*Q1738</x:f>
        <x:v>0</x:v>
      </x:c>
      <x:c r="T1738" s="9" t="n">
        <x:f>H1738*Z1737*INDEX(v01_MortAdult,G1738)*Arch_AdultMort/4*Q1738</x:f>
        <x:v>0</x:v>
      </x:c>
      <x:c r="U1738" s="9" t="n">
        <x:f>H1738*AA1737*INDEX(v01_MortElder,G1738)/4*Q1738</x:f>
        <x:v>0</x:v>
      </x:c>
      <x:c r="V1738" s="9" t="n">
        <x:f>H1738*MAX(0,AB1737-O1738)*v01_OvercapLoss</x:f>
        <x:v>0</x:v>
      </x:c>
      <x:c r="W1738" s="9" t="n">
        <x:f>H1738*Y1737/(v01_ChildYears*4)</x:f>
        <x:v>0</x:v>
      </x:c>
      <x:c r="X1738" s="9" t="n">
        <x:f>H1738*Z1737/(v01_AdultYears*4)</x:f>
        <x:v>0</x:v>
      </x:c>
      <x:c r="Y1738" s="32" t="n">
        <x:f>Y1737+R1738-S1738-W1738-Y1737*V1738/AB1737</x:f>
        <x:v>14306.18539759397</x:v>
      </x:c>
      <x:c r="Z1738" s="32" t="n">
        <x:f>Z1737+W1738-X1738-T1738-Z1737*V1738/AB1737</x:f>
        <x:v>19354.456567879548</x:v>
      </x:c>
      <x:c r="AA1738" s="32" t="n">
        <x:f>AA1737+X1738-U1738-AA1737*V1738/AB1737</x:f>
        <x:v>11386.956063258198</x:v>
      </x:c>
      <x:c r="AB1738" s="10" t="n">
        <x:f>Y1738+Z1738+AA1738</x:f>
        <x:v>45047.59802873172</x:v>
      </x:c>
      <x:c r="AC1738" s="8" t="n">
        <x:f>IF(AND(v01_WinterTrigger=1,D1738=1,AB1737/AE1737&gt;=K1738),1,0)</x:f>
        <x:v>0</x:v>
      </x:c>
      <x:c r="AD1738" s="8" t="n">
        <x:f>H1738*IF(AND(OR(AB1737/AE1737&gt;=v01_FissionTrigger*N1738,AC1738=1),AB1737/AE1737*v01_DaughterShare&gt;=v01_MinDaughter),MAX(1,ROUND(AE1737*v01_FissionRate,0)),0)</x:f>
        <x:v>0</x:v>
      </x:c>
      <x:c r="AE1738" s="8" t="n">
        <x:f>IF(H1738=1,MAX(1,MIN(INDEX(v01_Smax,G1738),AE1737+AD1738)),AE1737)</x:f>
        <x:v>15</x:v>
      </x:c>
      <x:c r="AF1738" s="8" t="n">
        <x:f>MAX(0,AE1738-AE1737)</x:f>
        <x:v>0</x:v>
      </x:c>
      <x:c r="AG1738" s="9" t="str">
        <x:f>IF(AF1738&gt;0,B1738,"")</x:f>
      </x:c>
      <x:c r="AH1738" s="9" t="n">
        <x:f>IF(F1738&gt;=1,1,(1+v01_LowTiesShare*(AE1738-1))/AE1738)</x:f>
        <x:v>1</x:v>
      </x:c>
      <x:c r="AI1738" s="32" t="n">
        <x:f>(Z1738+v01_ElderCommons*INDEX(LM_Elder,G1738)*AA1738)*AH1738</x:f>
        <x:v>64139.732591141874</x:v>
      </x:c>
      <x:c r="AJ1738" s="32" t="n">
        <x:f>H1738*v01_CommonsCoef*AI1738^v01_CommonsExp*INDEX(LM_Commons,G1738)</x:f>
        <x:v>0</x:v>
      </x:c>
      <x:c r="AK1738" s="32" t="n">
        <x:f>H1738*v01_RoleScale*Arch_Roles*(AE1738*(INDEX(v01_ElderRolePerSett,G1738)*v01_OutElder*INDEX(LM_Elder,G1738)+INDEX(v01_ShamanPerSett,G1738)*v01_OutShaman)+Z1738*(INDEX(v01_PriestShare,G1738)*v01_OutPriest+INDEX(v01_ScribeShare,G1738)*v01_OutScribe*INDEX(LM_Scribe,G1738)+INDEX(v01_ScholarShare,G1738)*v01_OutScholar*INDEX(LM_Scholar,G1738)+INDEX(v01_ResearcherShare,G1738)*v01_OutResearcher*INDEX(LM_Researcher,G1738)))</x:f>
        <x:v>0</x:v>
      </x:c>
      <x:c r="AL1738" s="32" t="n">
        <x:f>H1738*v01_RoleScale*Arch_Roles*AE1738*INDEX(v01_MonasteryPerSett,G1738)*v01_OutMonastery*INDEX(LM_Monastery,G1738)</x:f>
        <x:v>0</x:v>
      </x:c>
      <x:c r="AM1738" s="32" t="n">
        <x:f>(AJ1738+AK1738+AL1738)/4*INDEX(LM_All,G1738)*INDEX(v01_Boon,G1738)*Arch_Insight</x:f>
        <x:v>0</x:v>
      </x:c>
      <x:c r="AN1738" s="32" t="n">
        <x:f>H1738*(v01_KHPerAdult*Z1738+v01_KHOfCommons*AJ1738/4*INDEX(LM_All,G1738))*v01_KHUsable*Arch_KH</x:f>
        <x:v>0</x:v>
      </x:c>
      <x:c r="AO1738" s="32" t="n">
        <x:f>MIN(AP1737+AN1738,AM1738*v01_KHMaxRatio)</x:f>
        <x:v>0</x:v>
      </x:c>
      <x:c r="AP1738" s="32" t="n">
        <x:f>AP1737+AN1738-AO1738</x:f>
        <x:v>0</x:v>
      </x:c>
      <x:c r="AQ1738" s="32" t="n">
        <x:f>AM1738+AO1738</x:f>
        <x:v>0</x:v>
      </x:c>
      <x:c r="AR1738" s="10" t="n">
        <x:f>IF(H1738=1,INDEX(v01_Req,G1738),0)</x:f>
        <x:v>0</x:v>
      </x:c>
      <x:c r="AS1738" s="32" t="n">
        <x:f>IF(H1738=1,IF(E1738=1,AS1737-AR1737,AS1737)+AQ1738,0)</x:f>
        <x:v>0</x:v>
      </x:c>
      <x:c r="AT1738" s="11" t="n">
        <x:f>IF(AR1738&gt;0,MIN(1,AS1738/AR1738),1)</x:f>
        <x:v>1</x:v>
      </x:c>
      <x:c r="AU1738" s="10" t="n">
        <x:f>AB1738/INDEX(v01_RepScale,G1738)</x:f>
        <x:v>90.09519605746344</x:v>
      </x:c>
      <x:c r="AV1738" s="32" t="n">
        <x:f>AM1738*60/v01_SeasonSeconds</x:f>
        <x:v>0</x:v>
      </x:c>
    </x:row>
    <x:row r="1739">
      <x:c r="A1739" s="8" t="n">
        <x:f>A1738+1</x:f>
        <x:v>1736</x:v>
      </x:c>
      <x:c r="B1739" s="9" t="n">
        <x:f>A1739*v01_SeasonSeconds/60</x:f>
        <x:v>434</x:v>
      </x:c>
      <x:c r="C1739" s="9" t="n">
        <x:f>A1739/4</x:f>
        <x:v>434</x:v>
      </x:c>
      <x:c r="D1739" s="8" t="n">
        <x:f>IF(MOD(A1739,4)=0,1,0)</x:f>
        <x:v>1</x:v>
      </x:c>
      <x:c r="E1739" s="8" t="n">
        <x:f>IF(AND(F1738&lt;=9,AS1738&gt;=AR1738),1,0)</x:f>
        <x:v>0</x:v>
      </x:c>
      <x:c r="F1739" s="8" t="n">
        <x:f>MIN(10,F1738+E1739)</x:f>
        <x:v>10</x:v>
      </x:c>
      <x:c r="G1739" s="8" t="n">
        <x:f>MIN(F1739,9)+1</x:f>
        <x:v>10</x:v>
      </x:c>
      <x:c r="H1739" s="8" t="n">
        <x:f>IF(F1739&lt;=9,1,0)</x:f>
        <x:v>0</x:v>
      </x:c>
      <x:c r="I1739" s="9" t="n">
        <x:f>MIN(10,F1738+IF(AR1738&gt;0,MIN(1,AS1738/AR1738),1))</x:f>
        <x:v>10</x:v>
      </x:c>
      <x:c r="J1739" s="32" t="n">
        <x:f>INDEX(v01_FoodCap,G1739)*Arch_FoodCap*EXP(v01_CapsByProject*SUMPRODUCT((Cap_Point&lt;=I1739)*(Cap_Kind="Food")*Cap_Ln))</x:f>
        <x:v>12000</x:v>
      </x:c>
      <x:c r="K1739" s="32" t="n">
        <x:f>J1739*MIN(1,v01_LeanBase*EXP(v01_CapsByProject*SUMPRODUCT((Cap_Point&lt;=I1739)*(Cap_Kind="Lean")*Cap_Ln)))</x:f>
        <x:v>12000</x:v>
      </x:c>
      <x:c r="L1739" s="10" t="n">
        <x:f>INDEX(v01_HousingCap,G1739)*EXP(v01_CapsByProject*SUMPRODUCT((Cap_Point&lt;=I1739)*(Cap_Kind="Housing")*Cap_Ln))</x:f>
        <x:v>20000</x:v>
      </x:c>
      <x:c r="M1739" s="10" t="n">
        <x:f>INDEX(v01_GroupCap,G1739)*v01_CohesionFactor*EXP(v01_CapsByProject*SUMPRODUCT((Cap_Point&lt;=I1739)*(Cap_Kind="Group")*Cap_Ln))</x:f>
        <x:v>1000000</x:v>
      </x:c>
      <x:c r="N1739" s="32" t="n">
        <x:f>MIN(J1739,L1739,M1739)</x:f>
        <x:v>12000</x:v>
      </x:c>
      <x:c r="O1739" s="10" t="n">
        <x:f>AE1738*N1739</x:f>
        <x:v>180000</x:v>
      </x:c>
      <x:c r="P1739" s="9" t="n">
        <x:f>MIN(1,(AB1738/(AE1738*IF(v01_GroupInCrowding=1,N1739,MIN(J1739,L1739))))^v01_CrowdingExp)</x:f>
        <x:v>0.00024569414295285325</x:v>
      </x:c>
      <x:c r="Q1739" s="9" t="n">
        <x:f>IF(D1739=1,INDEX(v01_WinterMult,G1739),1)</x:f>
        <x:v>1</x:v>
      </x:c>
      <x:c r="R1739" s="9" t="n">
        <x:f>H1739*Z1738*v01_WomenShare*v01_BaseFertility*INDEX(v01_FertMult,G1739)*Arch_Fertility*(1-P1739)</x:f>
        <x:v>0</x:v>
      </x:c>
      <x:c r="S1739" s="9" t="n">
        <x:f>H1739*Y1738*INDEX(v01_MortChild,G1739)/4*Q1739</x:f>
        <x:v>0</x:v>
      </x:c>
      <x:c r="T1739" s="9" t="n">
        <x:f>H1739*Z1738*INDEX(v01_MortAdult,G1739)*Arch_AdultMort/4*Q1739</x:f>
        <x:v>0</x:v>
      </x:c>
      <x:c r="U1739" s="9" t="n">
        <x:f>H1739*AA1738*INDEX(v01_MortElder,G1739)/4*Q1739</x:f>
        <x:v>0</x:v>
      </x:c>
      <x:c r="V1739" s="9" t="n">
        <x:f>H1739*MAX(0,AB1738-O1739)*v01_OvercapLoss</x:f>
        <x:v>0</x:v>
      </x:c>
      <x:c r="W1739" s="9" t="n">
        <x:f>H1739*Y1738/(v01_ChildYears*4)</x:f>
        <x:v>0</x:v>
      </x:c>
      <x:c r="X1739" s="9" t="n">
        <x:f>H1739*Z1738/(v01_AdultYears*4)</x:f>
        <x:v>0</x:v>
      </x:c>
      <x:c r="Y1739" s="32" t="n">
        <x:f>Y1738+R1739-S1739-W1739-Y1738*V1739/AB1738</x:f>
        <x:v>14306.18539759397</x:v>
      </x:c>
      <x:c r="Z1739" s="32" t="n">
        <x:f>Z1738+W1739-X1739-T1739-Z1738*V1739/AB1738</x:f>
        <x:v>19354.456567879548</x:v>
      </x:c>
      <x:c r="AA1739" s="32" t="n">
        <x:f>AA1738+X1739-U1739-AA1738*V1739/AB1738</x:f>
        <x:v>11386.956063258198</x:v>
      </x:c>
      <x:c r="AB1739" s="10" t="n">
        <x:f>Y1739+Z1739+AA1739</x:f>
        <x:v>45047.59802873172</x:v>
      </x:c>
      <x:c r="AC1739" s="8" t="n">
        <x:f>IF(AND(v01_WinterTrigger=1,D1739=1,AB1738/AE1738&gt;=K1739),1,0)</x:f>
        <x:v>0</x:v>
      </x:c>
      <x:c r="AD1739" s="8" t="n">
        <x:f>H1739*IF(AND(OR(AB1738/AE1738&gt;=v01_FissionTrigger*N1739,AC1739=1),AB1738/AE1738*v01_DaughterShare&gt;=v01_MinDaughter),MAX(1,ROUND(AE1738*v01_FissionRate,0)),0)</x:f>
        <x:v>0</x:v>
      </x:c>
      <x:c r="AE1739" s="8" t="n">
        <x:f>IF(H1739=1,MAX(1,MIN(INDEX(v01_Smax,G1739),AE1738+AD1739)),AE1738)</x:f>
        <x:v>15</x:v>
      </x:c>
      <x:c r="AF1739" s="8" t="n">
        <x:f>MAX(0,AE1739-AE1738)</x:f>
        <x:v>0</x:v>
      </x:c>
      <x:c r="AG1739" s="9" t="str">
        <x:f>IF(AF1739&gt;0,B1739,"")</x:f>
      </x:c>
      <x:c r="AH1739" s="9" t="n">
        <x:f>IF(F1739&gt;=1,1,(1+v01_LowTiesShare*(AE1739-1))/AE1739)</x:f>
        <x:v>1</x:v>
      </x:c>
      <x:c r="AI1739" s="32" t="n">
        <x:f>(Z1739+v01_ElderCommons*INDEX(LM_Elder,G1739)*AA1739)*AH1739</x:f>
        <x:v>64139.732591141874</x:v>
      </x:c>
      <x:c r="AJ1739" s="32" t="n">
        <x:f>H1739*v01_CommonsCoef*AI1739^v01_CommonsExp*INDEX(LM_Commons,G1739)</x:f>
        <x:v>0</x:v>
      </x:c>
      <x:c r="AK1739" s="32" t="n">
        <x:f>H1739*v01_RoleScale*Arch_Roles*(AE1739*(INDEX(v01_ElderRolePerSett,G1739)*v01_OutElder*INDEX(LM_Elder,G1739)+INDEX(v01_ShamanPerSett,G1739)*v01_OutShaman)+Z1739*(INDEX(v01_PriestShare,G1739)*v01_OutPriest+INDEX(v01_ScribeShare,G1739)*v01_OutScribe*INDEX(LM_Scribe,G1739)+INDEX(v01_ScholarShare,G1739)*v01_OutScholar*INDEX(LM_Scholar,G1739)+INDEX(v01_ResearcherShare,G1739)*v01_OutResearcher*INDEX(LM_Researcher,G1739)))</x:f>
        <x:v>0</x:v>
      </x:c>
      <x:c r="AL1739" s="32" t="n">
        <x:f>H1739*v01_RoleScale*Arch_Roles*AE1739*INDEX(v01_MonasteryPerSett,G1739)*v01_OutMonastery*INDEX(LM_Monastery,G1739)</x:f>
        <x:v>0</x:v>
      </x:c>
      <x:c r="AM1739" s="32" t="n">
        <x:f>(AJ1739+AK1739+AL1739)/4*INDEX(LM_All,G1739)*INDEX(v01_Boon,G1739)*Arch_Insight</x:f>
        <x:v>0</x:v>
      </x:c>
      <x:c r="AN1739" s="32" t="n">
        <x:f>H1739*(v01_KHPerAdult*Z1739+v01_KHOfCommons*AJ1739/4*INDEX(LM_All,G1739))*v01_KHUsable*Arch_KH</x:f>
        <x:v>0</x:v>
      </x:c>
      <x:c r="AO1739" s="32" t="n">
        <x:f>MIN(AP1738+AN1739,AM1739*v01_KHMaxRatio)</x:f>
        <x:v>0</x:v>
      </x:c>
      <x:c r="AP1739" s="32" t="n">
        <x:f>AP1738+AN1739-AO1739</x:f>
        <x:v>0</x:v>
      </x:c>
      <x:c r="AQ1739" s="32" t="n">
        <x:f>AM1739+AO1739</x:f>
        <x:v>0</x:v>
      </x:c>
      <x:c r="AR1739" s="10" t="n">
        <x:f>IF(H1739=1,INDEX(v01_Req,G1739),0)</x:f>
        <x:v>0</x:v>
      </x:c>
      <x:c r="AS1739" s="32" t="n">
        <x:f>IF(H1739=1,IF(E1739=1,AS1738-AR1738,AS1738)+AQ1739,0)</x:f>
        <x:v>0</x:v>
      </x:c>
      <x:c r="AT1739" s="11" t="n">
        <x:f>IF(AR1739&gt;0,MIN(1,AS1739/AR1739),1)</x:f>
        <x:v>1</x:v>
      </x:c>
      <x:c r="AU1739" s="10" t="n">
        <x:f>AB1739/INDEX(v01_RepScale,G1739)</x:f>
        <x:v>90.09519605746344</x:v>
      </x:c>
      <x:c r="AV1739" s="32" t="n">
        <x:f>AM1739*60/v01_SeasonSeconds</x:f>
        <x:v>0</x:v>
      </x:c>
    </x:row>
    <x:row r="1740">
      <x:c r="A1740" s="8" t="n">
        <x:f>A1739+1</x:f>
        <x:v>1737</x:v>
      </x:c>
      <x:c r="B1740" s="9" t="n">
        <x:f>A1740*v01_SeasonSeconds/60</x:f>
        <x:v>434.25</x:v>
      </x:c>
      <x:c r="C1740" s="9" t="n">
        <x:f>A1740/4</x:f>
        <x:v>434.25</x:v>
      </x:c>
      <x:c r="D1740" s="8" t="n">
        <x:f>IF(MOD(A1740,4)=0,1,0)</x:f>
        <x:v>0</x:v>
      </x:c>
      <x:c r="E1740" s="8" t="n">
        <x:f>IF(AND(F1739&lt;=9,AS1739&gt;=AR1739),1,0)</x:f>
        <x:v>0</x:v>
      </x:c>
      <x:c r="F1740" s="8" t="n">
        <x:f>MIN(10,F1739+E1740)</x:f>
        <x:v>10</x:v>
      </x:c>
      <x:c r="G1740" s="8" t="n">
        <x:f>MIN(F1740,9)+1</x:f>
        <x:v>10</x:v>
      </x:c>
      <x:c r="H1740" s="8" t="n">
        <x:f>IF(F1740&lt;=9,1,0)</x:f>
        <x:v>0</x:v>
      </x:c>
      <x:c r="I1740" s="9" t="n">
        <x:f>MIN(10,F1739+IF(AR1739&gt;0,MIN(1,AS1739/AR1739),1))</x:f>
        <x:v>10</x:v>
      </x:c>
      <x:c r="J1740" s="32" t="n">
        <x:f>INDEX(v01_FoodCap,G1740)*Arch_FoodCap*EXP(v01_CapsByProject*SUMPRODUCT((Cap_Point&lt;=I1740)*(Cap_Kind="Food")*Cap_Ln))</x:f>
        <x:v>12000</x:v>
      </x:c>
      <x:c r="K1740" s="32" t="n">
        <x:f>J1740*MIN(1,v01_LeanBase*EXP(v01_CapsByProject*SUMPRODUCT((Cap_Point&lt;=I1740)*(Cap_Kind="Lean")*Cap_Ln)))</x:f>
        <x:v>12000</x:v>
      </x:c>
      <x:c r="L1740" s="10" t="n">
        <x:f>INDEX(v01_HousingCap,G1740)*EXP(v01_CapsByProject*SUMPRODUCT((Cap_Point&lt;=I1740)*(Cap_Kind="Housing")*Cap_Ln))</x:f>
        <x:v>20000</x:v>
      </x:c>
      <x:c r="M1740" s="10" t="n">
        <x:f>INDEX(v01_GroupCap,G1740)*v01_CohesionFactor*EXP(v01_CapsByProject*SUMPRODUCT((Cap_Point&lt;=I1740)*(Cap_Kind="Group")*Cap_Ln))</x:f>
        <x:v>1000000</x:v>
      </x:c>
      <x:c r="N1740" s="32" t="n">
        <x:f>MIN(J1740,L1740,M1740)</x:f>
        <x:v>12000</x:v>
      </x:c>
      <x:c r="O1740" s="10" t="n">
        <x:f>AE1739*N1740</x:f>
        <x:v>180000</x:v>
      </x:c>
      <x:c r="P1740" s="9" t="n">
        <x:f>MIN(1,(AB1739/(AE1739*IF(v01_GroupInCrowding=1,N1740,MIN(J1740,L1740))))^v01_CrowdingExp)</x:f>
        <x:v>0.00024569414295285325</x:v>
      </x:c>
      <x:c r="Q1740" s="9" t="n">
        <x:f>IF(D1740=1,INDEX(v01_WinterMult,G1740),1)</x:f>
        <x:v>1</x:v>
      </x:c>
      <x:c r="R1740" s="9" t="n">
        <x:f>H1740*Z1739*v01_WomenShare*v01_BaseFertility*INDEX(v01_FertMult,G1740)*Arch_Fertility*(1-P1740)</x:f>
        <x:v>0</x:v>
      </x:c>
      <x:c r="S1740" s="9" t="n">
        <x:f>H1740*Y1739*INDEX(v01_MortChild,G1740)/4*Q1740</x:f>
        <x:v>0</x:v>
      </x:c>
      <x:c r="T1740" s="9" t="n">
        <x:f>H1740*Z1739*INDEX(v01_MortAdult,G1740)*Arch_AdultMort/4*Q1740</x:f>
        <x:v>0</x:v>
      </x:c>
      <x:c r="U1740" s="9" t="n">
        <x:f>H1740*AA1739*INDEX(v01_MortElder,G1740)/4*Q1740</x:f>
        <x:v>0</x:v>
      </x:c>
      <x:c r="V1740" s="9" t="n">
        <x:f>H1740*MAX(0,AB1739-O1740)*v01_OvercapLoss</x:f>
        <x:v>0</x:v>
      </x:c>
      <x:c r="W1740" s="9" t="n">
        <x:f>H1740*Y1739/(v01_ChildYears*4)</x:f>
        <x:v>0</x:v>
      </x:c>
      <x:c r="X1740" s="9" t="n">
        <x:f>H1740*Z1739/(v01_AdultYears*4)</x:f>
        <x:v>0</x:v>
      </x:c>
      <x:c r="Y1740" s="32" t="n">
        <x:f>Y1739+R1740-S1740-W1740-Y1739*V1740/AB1739</x:f>
        <x:v>14306.18539759397</x:v>
      </x:c>
      <x:c r="Z1740" s="32" t="n">
        <x:f>Z1739+W1740-X1740-T1740-Z1739*V1740/AB1739</x:f>
        <x:v>19354.456567879548</x:v>
      </x:c>
      <x:c r="AA1740" s="32" t="n">
        <x:f>AA1739+X1740-U1740-AA1739*V1740/AB1739</x:f>
        <x:v>11386.956063258198</x:v>
      </x:c>
      <x:c r="AB1740" s="10" t="n">
        <x:f>Y1740+Z1740+AA1740</x:f>
        <x:v>45047.59802873172</x:v>
      </x:c>
      <x:c r="AC1740" s="8" t="n">
        <x:f>IF(AND(v01_WinterTrigger=1,D1740=1,AB1739/AE1739&gt;=K1740),1,0)</x:f>
        <x:v>0</x:v>
      </x:c>
      <x:c r="AD1740" s="8" t="n">
        <x:f>H1740*IF(AND(OR(AB1739/AE1739&gt;=v01_FissionTrigger*N1740,AC1740=1),AB1739/AE1739*v01_DaughterShare&gt;=v01_MinDaughter),MAX(1,ROUND(AE1739*v01_FissionRate,0)),0)</x:f>
        <x:v>0</x:v>
      </x:c>
      <x:c r="AE1740" s="8" t="n">
        <x:f>IF(H1740=1,MAX(1,MIN(INDEX(v01_Smax,G1740),AE1739+AD1740)),AE1739)</x:f>
        <x:v>15</x:v>
      </x:c>
      <x:c r="AF1740" s="8" t="n">
        <x:f>MAX(0,AE1740-AE1739)</x:f>
        <x:v>0</x:v>
      </x:c>
      <x:c r="AG1740" s="9" t="str">
        <x:f>IF(AF1740&gt;0,B1740,"")</x:f>
      </x:c>
      <x:c r="AH1740" s="9" t="n">
        <x:f>IF(F1740&gt;=1,1,(1+v01_LowTiesShare*(AE1740-1))/AE1740)</x:f>
        <x:v>1</x:v>
      </x:c>
      <x:c r="AI1740" s="32" t="n">
        <x:f>(Z1740+v01_ElderCommons*INDEX(LM_Elder,G1740)*AA1740)*AH1740</x:f>
        <x:v>64139.732591141874</x:v>
      </x:c>
      <x:c r="AJ1740" s="32" t="n">
        <x:f>H1740*v01_CommonsCoef*AI1740^v01_CommonsExp*INDEX(LM_Commons,G1740)</x:f>
        <x:v>0</x:v>
      </x:c>
      <x:c r="AK1740" s="32" t="n">
        <x:f>H1740*v01_RoleScale*Arch_Roles*(AE1740*(INDEX(v01_ElderRolePerSett,G1740)*v01_OutElder*INDEX(LM_Elder,G1740)+INDEX(v01_ShamanPerSett,G1740)*v01_OutShaman)+Z1740*(INDEX(v01_PriestShare,G1740)*v01_OutPriest+INDEX(v01_ScribeShare,G1740)*v01_OutScribe*INDEX(LM_Scribe,G1740)+INDEX(v01_ScholarShare,G1740)*v01_OutScholar*INDEX(LM_Scholar,G1740)+INDEX(v01_ResearcherShare,G1740)*v01_OutResearcher*INDEX(LM_Researcher,G1740)))</x:f>
        <x:v>0</x:v>
      </x:c>
      <x:c r="AL1740" s="32" t="n">
        <x:f>H1740*v01_RoleScale*Arch_Roles*AE1740*INDEX(v01_MonasteryPerSett,G1740)*v01_OutMonastery*INDEX(LM_Monastery,G1740)</x:f>
        <x:v>0</x:v>
      </x:c>
      <x:c r="AM1740" s="32" t="n">
        <x:f>(AJ1740+AK1740+AL1740)/4*INDEX(LM_All,G1740)*INDEX(v01_Boon,G1740)*Arch_Insight</x:f>
        <x:v>0</x:v>
      </x:c>
      <x:c r="AN1740" s="32" t="n">
        <x:f>H1740*(v01_KHPerAdult*Z1740+v01_KHOfCommons*AJ1740/4*INDEX(LM_All,G1740))*v01_KHUsable*Arch_KH</x:f>
        <x:v>0</x:v>
      </x:c>
      <x:c r="AO1740" s="32" t="n">
        <x:f>MIN(AP1739+AN1740,AM1740*v01_KHMaxRatio)</x:f>
        <x:v>0</x:v>
      </x:c>
      <x:c r="AP1740" s="32" t="n">
        <x:f>AP1739+AN1740-AO1740</x:f>
        <x:v>0</x:v>
      </x:c>
      <x:c r="AQ1740" s="32" t="n">
        <x:f>AM1740+AO1740</x:f>
        <x:v>0</x:v>
      </x:c>
      <x:c r="AR1740" s="10" t="n">
        <x:f>IF(H1740=1,INDEX(v01_Req,G1740),0)</x:f>
        <x:v>0</x:v>
      </x:c>
      <x:c r="AS1740" s="32" t="n">
        <x:f>IF(H1740=1,IF(E1740=1,AS1739-AR1739,AS1739)+AQ1740,0)</x:f>
        <x:v>0</x:v>
      </x:c>
      <x:c r="AT1740" s="11" t="n">
        <x:f>IF(AR1740&gt;0,MIN(1,AS1740/AR1740),1)</x:f>
        <x:v>1</x:v>
      </x:c>
      <x:c r="AU1740" s="10" t="n">
        <x:f>AB1740/INDEX(v01_RepScale,G1740)</x:f>
        <x:v>90.09519605746344</x:v>
      </x:c>
      <x:c r="AV1740" s="32" t="n">
        <x:f>AM1740*60/v01_SeasonSeconds</x:f>
        <x:v>0</x:v>
      </x:c>
    </x:row>
    <x:row r="1741">
      <x:c r="A1741" s="8" t="n">
        <x:f>A1740+1</x:f>
        <x:v>1738</x:v>
      </x:c>
      <x:c r="B1741" s="9" t="n">
        <x:f>A1741*v01_SeasonSeconds/60</x:f>
        <x:v>434.5</x:v>
      </x:c>
      <x:c r="C1741" s="9" t="n">
        <x:f>A1741/4</x:f>
        <x:v>434.5</x:v>
      </x:c>
      <x:c r="D1741" s="8" t="n">
        <x:f>IF(MOD(A1741,4)=0,1,0)</x:f>
        <x:v>0</x:v>
      </x:c>
      <x:c r="E1741" s="8" t="n">
        <x:f>IF(AND(F1740&lt;=9,AS1740&gt;=AR1740),1,0)</x:f>
        <x:v>0</x:v>
      </x:c>
      <x:c r="F1741" s="8" t="n">
        <x:f>MIN(10,F1740+E1741)</x:f>
        <x:v>10</x:v>
      </x:c>
      <x:c r="G1741" s="8" t="n">
        <x:f>MIN(F1741,9)+1</x:f>
        <x:v>10</x:v>
      </x:c>
      <x:c r="H1741" s="8" t="n">
        <x:f>IF(F1741&lt;=9,1,0)</x:f>
        <x:v>0</x:v>
      </x:c>
      <x:c r="I1741" s="9" t="n">
        <x:f>MIN(10,F1740+IF(AR1740&gt;0,MIN(1,AS1740/AR1740),1))</x:f>
        <x:v>10</x:v>
      </x:c>
      <x:c r="J1741" s="32" t="n">
        <x:f>INDEX(v01_FoodCap,G1741)*Arch_FoodCap*EXP(v01_CapsByProject*SUMPRODUCT((Cap_Point&lt;=I1741)*(Cap_Kind="Food")*Cap_Ln))</x:f>
        <x:v>12000</x:v>
      </x:c>
      <x:c r="K1741" s="32" t="n">
        <x:f>J1741*MIN(1,v01_LeanBase*EXP(v01_CapsByProject*SUMPRODUCT((Cap_Point&lt;=I1741)*(Cap_Kind="Lean")*Cap_Ln)))</x:f>
        <x:v>12000</x:v>
      </x:c>
      <x:c r="L1741" s="10" t="n">
        <x:f>INDEX(v01_HousingCap,G1741)*EXP(v01_CapsByProject*SUMPRODUCT((Cap_Point&lt;=I1741)*(Cap_Kind="Housing")*Cap_Ln))</x:f>
        <x:v>20000</x:v>
      </x:c>
      <x:c r="M1741" s="10" t="n">
        <x:f>INDEX(v01_GroupCap,G1741)*v01_CohesionFactor*EXP(v01_CapsByProject*SUMPRODUCT((Cap_Point&lt;=I1741)*(Cap_Kind="Group")*Cap_Ln))</x:f>
        <x:v>1000000</x:v>
      </x:c>
      <x:c r="N1741" s="32" t="n">
        <x:f>MIN(J1741,L1741,M1741)</x:f>
        <x:v>12000</x:v>
      </x:c>
      <x:c r="O1741" s="10" t="n">
        <x:f>AE1740*N1741</x:f>
        <x:v>180000</x:v>
      </x:c>
      <x:c r="P1741" s="9" t="n">
        <x:f>MIN(1,(AB1740/(AE1740*IF(v01_GroupInCrowding=1,N1741,MIN(J1741,L1741))))^v01_CrowdingExp)</x:f>
        <x:v>0.00024569414295285325</x:v>
      </x:c>
      <x:c r="Q1741" s="9" t="n">
        <x:f>IF(D1741=1,INDEX(v01_WinterMult,G1741),1)</x:f>
        <x:v>1</x:v>
      </x:c>
      <x:c r="R1741" s="9" t="n">
        <x:f>H1741*Z1740*v01_WomenShare*v01_BaseFertility*INDEX(v01_FertMult,G1741)*Arch_Fertility*(1-P1741)</x:f>
        <x:v>0</x:v>
      </x:c>
      <x:c r="S1741" s="9" t="n">
        <x:f>H1741*Y1740*INDEX(v01_MortChild,G1741)/4*Q1741</x:f>
        <x:v>0</x:v>
      </x:c>
      <x:c r="T1741" s="9" t="n">
        <x:f>H1741*Z1740*INDEX(v01_MortAdult,G1741)*Arch_AdultMort/4*Q1741</x:f>
        <x:v>0</x:v>
      </x:c>
      <x:c r="U1741" s="9" t="n">
        <x:f>H1741*AA1740*INDEX(v01_MortElder,G1741)/4*Q1741</x:f>
        <x:v>0</x:v>
      </x:c>
      <x:c r="V1741" s="9" t="n">
        <x:f>H1741*MAX(0,AB1740-O1741)*v01_OvercapLoss</x:f>
        <x:v>0</x:v>
      </x:c>
      <x:c r="W1741" s="9" t="n">
        <x:f>H1741*Y1740/(v01_ChildYears*4)</x:f>
        <x:v>0</x:v>
      </x:c>
      <x:c r="X1741" s="9" t="n">
        <x:f>H1741*Z1740/(v01_AdultYears*4)</x:f>
        <x:v>0</x:v>
      </x:c>
      <x:c r="Y1741" s="32" t="n">
        <x:f>Y1740+R1741-S1741-W1741-Y1740*V1741/AB1740</x:f>
        <x:v>14306.18539759397</x:v>
      </x:c>
      <x:c r="Z1741" s="32" t="n">
        <x:f>Z1740+W1741-X1741-T1741-Z1740*V1741/AB1740</x:f>
        <x:v>19354.456567879548</x:v>
      </x:c>
      <x:c r="AA1741" s="32" t="n">
        <x:f>AA1740+X1741-U1741-AA1740*V1741/AB1740</x:f>
        <x:v>11386.956063258198</x:v>
      </x:c>
      <x:c r="AB1741" s="10" t="n">
        <x:f>Y1741+Z1741+AA1741</x:f>
        <x:v>45047.59802873172</x:v>
      </x:c>
      <x:c r="AC1741" s="8" t="n">
        <x:f>IF(AND(v01_WinterTrigger=1,D1741=1,AB1740/AE1740&gt;=K1741),1,0)</x:f>
        <x:v>0</x:v>
      </x:c>
      <x:c r="AD1741" s="8" t="n">
        <x:f>H1741*IF(AND(OR(AB1740/AE1740&gt;=v01_FissionTrigger*N1741,AC1741=1),AB1740/AE1740*v01_DaughterShare&gt;=v01_MinDaughter),MAX(1,ROUND(AE1740*v01_FissionRate,0)),0)</x:f>
        <x:v>0</x:v>
      </x:c>
      <x:c r="AE1741" s="8" t="n">
        <x:f>IF(H1741=1,MAX(1,MIN(INDEX(v01_Smax,G1741),AE1740+AD1741)),AE1740)</x:f>
        <x:v>15</x:v>
      </x:c>
      <x:c r="AF1741" s="8" t="n">
        <x:f>MAX(0,AE1741-AE1740)</x:f>
        <x:v>0</x:v>
      </x:c>
      <x:c r="AG1741" s="9" t="str">
        <x:f>IF(AF1741&gt;0,B1741,"")</x:f>
      </x:c>
      <x:c r="AH1741" s="9" t="n">
        <x:f>IF(F1741&gt;=1,1,(1+v01_LowTiesShare*(AE1741-1))/AE1741)</x:f>
        <x:v>1</x:v>
      </x:c>
      <x:c r="AI1741" s="32" t="n">
        <x:f>(Z1741+v01_ElderCommons*INDEX(LM_Elder,G1741)*AA1741)*AH1741</x:f>
        <x:v>64139.732591141874</x:v>
      </x:c>
      <x:c r="AJ1741" s="32" t="n">
        <x:f>H1741*v01_CommonsCoef*AI1741^v01_CommonsExp*INDEX(LM_Commons,G1741)</x:f>
        <x:v>0</x:v>
      </x:c>
      <x:c r="AK1741" s="32" t="n">
        <x:f>H1741*v01_RoleScale*Arch_Roles*(AE1741*(INDEX(v01_ElderRolePerSett,G1741)*v01_OutElder*INDEX(LM_Elder,G1741)+INDEX(v01_ShamanPerSett,G1741)*v01_OutShaman)+Z1741*(INDEX(v01_PriestShare,G1741)*v01_OutPriest+INDEX(v01_ScribeShare,G1741)*v01_OutScribe*INDEX(LM_Scribe,G1741)+INDEX(v01_ScholarShare,G1741)*v01_OutScholar*INDEX(LM_Scholar,G1741)+INDEX(v01_ResearcherShare,G1741)*v01_OutResearcher*INDEX(LM_Researcher,G1741)))</x:f>
        <x:v>0</x:v>
      </x:c>
      <x:c r="AL1741" s="32" t="n">
        <x:f>H1741*v01_RoleScale*Arch_Roles*AE1741*INDEX(v01_MonasteryPerSett,G1741)*v01_OutMonastery*INDEX(LM_Monastery,G1741)</x:f>
        <x:v>0</x:v>
      </x:c>
      <x:c r="AM1741" s="32" t="n">
        <x:f>(AJ1741+AK1741+AL1741)/4*INDEX(LM_All,G1741)*INDEX(v01_Boon,G1741)*Arch_Insight</x:f>
        <x:v>0</x:v>
      </x:c>
      <x:c r="AN1741" s="32" t="n">
        <x:f>H1741*(v01_KHPerAdult*Z1741+v01_KHOfCommons*AJ1741/4*INDEX(LM_All,G1741))*v01_KHUsable*Arch_KH</x:f>
        <x:v>0</x:v>
      </x:c>
      <x:c r="AO1741" s="32" t="n">
        <x:f>MIN(AP1740+AN1741,AM1741*v01_KHMaxRatio)</x:f>
        <x:v>0</x:v>
      </x:c>
      <x:c r="AP1741" s="32" t="n">
        <x:f>AP1740+AN1741-AO1741</x:f>
        <x:v>0</x:v>
      </x:c>
      <x:c r="AQ1741" s="32" t="n">
        <x:f>AM1741+AO1741</x:f>
        <x:v>0</x:v>
      </x:c>
      <x:c r="AR1741" s="10" t="n">
        <x:f>IF(H1741=1,INDEX(v01_Req,G1741),0)</x:f>
        <x:v>0</x:v>
      </x:c>
      <x:c r="AS1741" s="32" t="n">
        <x:f>IF(H1741=1,IF(E1741=1,AS1740-AR1740,AS1740)+AQ1741,0)</x:f>
        <x:v>0</x:v>
      </x:c>
      <x:c r="AT1741" s="11" t="n">
        <x:f>IF(AR1741&gt;0,MIN(1,AS1741/AR1741),1)</x:f>
        <x:v>1</x:v>
      </x:c>
      <x:c r="AU1741" s="10" t="n">
        <x:f>AB1741/INDEX(v01_RepScale,G1741)</x:f>
        <x:v>90.09519605746344</x:v>
      </x:c>
      <x:c r="AV1741" s="32" t="n">
        <x:f>AM1741*60/v01_SeasonSeconds</x:f>
        <x:v>0</x:v>
      </x:c>
    </x:row>
    <x:row r="1742">
      <x:c r="A1742" s="8" t="n">
        <x:f>A1741+1</x:f>
        <x:v>1739</x:v>
      </x:c>
      <x:c r="B1742" s="9" t="n">
        <x:f>A1742*v01_SeasonSeconds/60</x:f>
        <x:v>434.75</x:v>
      </x:c>
      <x:c r="C1742" s="9" t="n">
        <x:f>A1742/4</x:f>
        <x:v>434.75</x:v>
      </x:c>
      <x:c r="D1742" s="8" t="n">
        <x:f>IF(MOD(A1742,4)=0,1,0)</x:f>
        <x:v>0</x:v>
      </x:c>
      <x:c r="E1742" s="8" t="n">
        <x:f>IF(AND(F1741&lt;=9,AS1741&gt;=AR1741),1,0)</x:f>
        <x:v>0</x:v>
      </x:c>
      <x:c r="F1742" s="8" t="n">
        <x:f>MIN(10,F1741+E1742)</x:f>
        <x:v>10</x:v>
      </x:c>
      <x:c r="G1742" s="8" t="n">
        <x:f>MIN(F1742,9)+1</x:f>
        <x:v>10</x:v>
      </x:c>
      <x:c r="H1742" s="8" t="n">
        <x:f>IF(F1742&lt;=9,1,0)</x:f>
        <x:v>0</x:v>
      </x:c>
      <x:c r="I1742" s="9" t="n">
        <x:f>MIN(10,F1741+IF(AR1741&gt;0,MIN(1,AS1741/AR1741),1))</x:f>
        <x:v>10</x:v>
      </x:c>
      <x:c r="J1742" s="32" t="n">
        <x:f>INDEX(v01_FoodCap,G1742)*Arch_FoodCap*EXP(v01_CapsByProject*SUMPRODUCT((Cap_Point&lt;=I1742)*(Cap_Kind="Food")*Cap_Ln))</x:f>
        <x:v>12000</x:v>
      </x:c>
      <x:c r="K1742" s="32" t="n">
        <x:f>J1742*MIN(1,v01_LeanBase*EXP(v01_CapsByProject*SUMPRODUCT((Cap_Point&lt;=I1742)*(Cap_Kind="Lean")*Cap_Ln)))</x:f>
        <x:v>12000</x:v>
      </x:c>
      <x:c r="L1742" s="10" t="n">
        <x:f>INDEX(v01_HousingCap,G1742)*EXP(v01_CapsByProject*SUMPRODUCT((Cap_Point&lt;=I1742)*(Cap_Kind="Housing")*Cap_Ln))</x:f>
        <x:v>20000</x:v>
      </x:c>
      <x:c r="M1742" s="10" t="n">
        <x:f>INDEX(v01_GroupCap,G1742)*v01_CohesionFactor*EXP(v01_CapsByProject*SUMPRODUCT((Cap_Point&lt;=I1742)*(Cap_Kind="Group")*Cap_Ln))</x:f>
        <x:v>1000000</x:v>
      </x:c>
      <x:c r="N1742" s="32" t="n">
        <x:f>MIN(J1742,L1742,M1742)</x:f>
        <x:v>12000</x:v>
      </x:c>
      <x:c r="O1742" s="10" t="n">
        <x:f>AE1741*N1742</x:f>
        <x:v>180000</x:v>
      </x:c>
      <x:c r="P1742" s="9" t="n">
        <x:f>MIN(1,(AB1741/(AE1741*IF(v01_GroupInCrowding=1,N1742,MIN(J1742,L1742))))^v01_CrowdingExp)</x:f>
        <x:v>0.00024569414295285325</x:v>
      </x:c>
      <x:c r="Q1742" s="9" t="n">
        <x:f>IF(D1742=1,INDEX(v01_WinterMult,G1742),1)</x:f>
        <x:v>1</x:v>
      </x:c>
      <x:c r="R1742" s="9" t="n">
        <x:f>H1742*Z1741*v01_WomenShare*v01_BaseFertility*INDEX(v01_FertMult,G1742)*Arch_Fertility*(1-P1742)</x:f>
        <x:v>0</x:v>
      </x:c>
      <x:c r="S1742" s="9" t="n">
        <x:f>H1742*Y1741*INDEX(v01_MortChild,G1742)/4*Q1742</x:f>
        <x:v>0</x:v>
      </x:c>
      <x:c r="T1742" s="9" t="n">
        <x:f>H1742*Z1741*INDEX(v01_MortAdult,G1742)*Arch_AdultMort/4*Q1742</x:f>
        <x:v>0</x:v>
      </x:c>
      <x:c r="U1742" s="9" t="n">
        <x:f>H1742*AA1741*INDEX(v01_MortElder,G1742)/4*Q1742</x:f>
        <x:v>0</x:v>
      </x:c>
      <x:c r="V1742" s="9" t="n">
        <x:f>H1742*MAX(0,AB1741-O1742)*v01_OvercapLoss</x:f>
        <x:v>0</x:v>
      </x:c>
      <x:c r="W1742" s="9" t="n">
        <x:f>H1742*Y1741/(v01_ChildYears*4)</x:f>
        <x:v>0</x:v>
      </x:c>
      <x:c r="X1742" s="9" t="n">
        <x:f>H1742*Z1741/(v01_AdultYears*4)</x:f>
        <x:v>0</x:v>
      </x:c>
      <x:c r="Y1742" s="32" t="n">
        <x:f>Y1741+R1742-S1742-W1742-Y1741*V1742/AB1741</x:f>
        <x:v>14306.18539759397</x:v>
      </x:c>
      <x:c r="Z1742" s="32" t="n">
        <x:f>Z1741+W1742-X1742-T1742-Z1741*V1742/AB1741</x:f>
        <x:v>19354.456567879548</x:v>
      </x:c>
      <x:c r="AA1742" s="32" t="n">
        <x:f>AA1741+X1742-U1742-AA1741*V1742/AB1741</x:f>
        <x:v>11386.956063258198</x:v>
      </x:c>
      <x:c r="AB1742" s="10" t="n">
        <x:f>Y1742+Z1742+AA1742</x:f>
        <x:v>45047.59802873172</x:v>
      </x:c>
      <x:c r="AC1742" s="8" t="n">
        <x:f>IF(AND(v01_WinterTrigger=1,D1742=1,AB1741/AE1741&gt;=K1742),1,0)</x:f>
        <x:v>0</x:v>
      </x:c>
      <x:c r="AD1742" s="8" t="n">
        <x:f>H1742*IF(AND(OR(AB1741/AE1741&gt;=v01_FissionTrigger*N1742,AC1742=1),AB1741/AE1741*v01_DaughterShare&gt;=v01_MinDaughter),MAX(1,ROUND(AE1741*v01_FissionRate,0)),0)</x:f>
        <x:v>0</x:v>
      </x:c>
      <x:c r="AE1742" s="8" t="n">
        <x:f>IF(H1742=1,MAX(1,MIN(INDEX(v01_Smax,G1742),AE1741+AD1742)),AE1741)</x:f>
        <x:v>15</x:v>
      </x:c>
      <x:c r="AF1742" s="8" t="n">
        <x:f>MAX(0,AE1742-AE1741)</x:f>
        <x:v>0</x:v>
      </x:c>
      <x:c r="AG1742" s="9" t="str">
        <x:f>IF(AF1742&gt;0,B1742,"")</x:f>
      </x:c>
      <x:c r="AH1742" s="9" t="n">
        <x:f>IF(F1742&gt;=1,1,(1+v01_LowTiesShare*(AE1742-1))/AE1742)</x:f>
        <x:v>1</x:v>
      </x:c>
      <x:c r="AI1742" s="32" t="n">
        <x:f>(Z1742+v01_ElderCommons*INDEX(LM_Elder,G1742)*AA1742)*AH1742</x:f>
        <x:v>64139.732591141874</x:v>
      </x:c>
      <x:c r="AJ1742" s="32" t="n">
        <x:f>H1742*v01_CommonsCoef*AI1742^v01_CommonsExp*INDEX(LM_Commons,G1742)</x:f>
        <x:v>0</x:v>
      </x:c>
      <x:c r="AK1742" s="32" t="n">
        <x:f>H1742*v01_RoleScale*Arch_Roles*(AE1742*(INDEX(v01_ElderRolePerSett,G1742)*v01_OutElder*INDEX(LM_Elder,G1742)+INDEX(v01_ShamanPerSett,G1742)*v01_OutShaman)+Z1742*(INDEX(v01_PriestShare,G1742)*v01_OutPriest+INDEX(v01_ScribeShare,G1742)*v01_OutScribe*INDEX(LM_Scribe,G1742)+INDEX(v01_ScholarShare,G1742)*v01_OutScholar*INDEX(LM_Scholar,G1742)+INDEX(v01_ResearcherShare,G1742)*v01_OutResearcher*INDEX(LM_Researcher,G1742)))</x:f>
        <x:v>0</x:v>
      </x:c>
      <x:c r="AL1742" s="32" t="n">
        <x:f>H1742*v01_RoleScale*Arch_Roles*AE1742*INDEX(v01_MonasteryPerSett,G1742)*v01_OutMonastery*INDEX(LM_Monastery,G1742)</x:f>
        <x:v>0</x:v>
      </x:c>
      <x:c r="AM1742" s="32" t="n">
        <x:f>(AJ1742+AK1742+AL1742)/4*INDEX(LM_All,G1742)*INDEX(v01_Boon,G1742)*Arch_Insight</x:f>
        <x:v>0</x:v>
      </x:c>
      <x:c r="AN1742" s="32" t="n">
        <x:f>H1742*(v01_KHPerAdult*Z1742+v01_KHOfCommons*AJ1742/4*INDEX(LM_All,G1742))*v01_KHUsable*Arch_KH</x:f>
        <x:v>0</x:v>
      </x:c>
      <x:c r="AO1742" s="32" t="n">
        <x:f>MIN(AP1741+AN1742,AM1742*v01_KHMaxRatio)</x:f>
        <x:v>0</x:v>
      </x:c>
      <x:c r="AP1742" s="32" t="n">
        <x:f>AP1741+AN1742-AO1742</x:f>
        <x:v>0</x:v>
      </x:c>
      <x:c r="AQ1742" s="32" t="n">
        <x:f>AM1742+AO1742</x:f>
        <x:v>0</x:v>
      </x:c>
      <x:c r="AR1742" s="10" t="n">
        <x:f>IF(H1742=1,INDEX(v01_Req,G1742),0)</x:f>
        <x:v>0</x:v>
      </x:c>
      <x:c r="AS1742" s="32" t="n">
        <x:f>IF(H1742=1,IF(E1742=1,AS1741-AR1741,AS1741)+AQ1742,0)</x:f>
        <x:v>0</x:v>
      </x:c>
      <x:c r="AT1742" s="11" t="n">
        <x:f>IF(AR1742&gt;0,MIN(1,AS1742/AR1742),1)</x:f>
        <x:v>1</x:v>
      </x:c>
      <x:c r="AU1742" s="10" t="n">
        <x:f>AB1742/INDEX(v01_RepScale,G1742)</x:f>
        <x:v>90.09519605746344</x:v>
      </x:c>
      <x:c r="AV1742" s="32" t="n">
        <x:f>AM1742*60/v01_SeasonSeconds</x:f>
        <x:v>0</x:v>
      </x:c>
    </x:row>
    <x:row r="1743">
      <x:c r="A1743" s="8" t="n">
        <x:f>A1742+1</x:f>
        <x:v>1740</x:v>
      </x:c>
      <x:c r="B1743" s="9" t="n">
        <x:f>A1743*v01_SeasonSeconds/60</x:f>
        <x:v>435</x:v>
      </x:c>
      <x:c r="C1743" s="9" t="n">
        <x:f>A1743/4</x:f>
        <x:v>435</x:v>
      </x:c>
      <x:c r="D1743" s="8" t="n">
        <x:f>IF(MOD(A1743,4)=0,1,0)</x:f>
        <x:v>1</x:v>
      </x:c>
      <x:c r="E1743" s="8" t="n">
        <x:f>IF(AND(F1742&lt;=9,AS1742&gt;=AR1742),1,0)</x:f>
        <x:v>0</x:v>
      </x:c>
      <x:c r="F1743" s="8" t="n">
        <x:f>MIN(10,F1742+E1743)</x:f>
        <x:v>10</x:v>
      </x:c>
      <x:c r="G1743" s="8" t="n">
        <x:f>MIN(F1743,9)+1</x:f>
        <x:v>10</x:v>
      </x:c>
      <x:c r="H1743" s="8" t="n">
        <x:f>IF(F1743&lt;=9,1,0)</x:f>
        <x:v>0</x:v>
      </x:c>
      <x:c r="I1743" s="9" t="n">
        <x:f>MIN(10,F1742+IF(AR1742&gt;0,MIN(1,AS1742/AR1742),1))</x:f>
        <x:v>10</x:v>
      </x:c>
      <x:c r="J1743" s="32" t="n">
        <x:f>INDEX(v01_FoodCap,G1743)*Arch_FoodCap*EXP(v01_CapsByProject*SUMPRODUCT((Cap_Point&lt;=I1743)*(Cap_Kind="Food")*Cap_Ln))</x:f>
        <x:v>12000</x:v>
      </x:c>
      <x:c r="K1743" s="32" t="n">
        <x:f>J1743*MIN(1,v01_LeanBase*EXP(v01_CapsByProject*SUMPRODUCT((Cap_Point&lt;=I1743)*(Cap_Kind="Lean")*Cap_Ln)))</x:f>
        <x:v>12000</x:v>
      </x:c>
      <x:c r="L1743" s="10" t="n">
        <x:f>INDEX(v01_HousingCap,G1743)*EXP(v01_CapsByProject*SUMPRODUCT((Cap_Point&lt;=I1743)*(Cap_Kind="Housing")*Cap_Ln))</x:f>
        <x:v>20000</x:v>
      </x:c>
      <x:c r="M1743" s="10" t="n">
        <x:f>INDEX(v01_GroupCap,G1743)*v01_CohesionFactor*EXP(v01_CapsByProject*SUMPRODUCT((Cap_Point&lt;=I1743)*(Cap_Kind="Group")*Cap_Ln))</x:f>
        <x:v>1000000</x:v>
      </x:c>
      <x:c r="N1743" s="32" t="n">
        <x:f>MIN(J1743,L1743,M1743)</x:f>
        <x:v>12000</x:v>
      </x:c>
      <x:c r="O1743" s="10" t="n">
        <x:f>AE1742*N1743</x:f>
        <x:v>180000</x:v>
      </x:c>
      <x:c r="P1743" s="9" t="n">
        <x:f>MIN(1,(AB1742/(AE1742*IF(v01_GroupInCrowding=1,N1743,MIN(J1743,L1743))))^v01_CrowdingExp)</x:f>
        <x:v>0.00024569414295285325</x:v>
      </x:c>
      <x:c r="Q1743" s="9" t="n">
        <x:f>IF(D1743=1,INDEX(v01_WinterMult,G1743),1)</x:f>
        <x:v>1</x:v>
      </x:c>
      <x:c r="R1743" s="9" t="n">
        <x:f>H1743*Z1742*v01_WomenShare*v01_BaseFertility*INDEX(v01_FertMult,G1743)*Arch_Fertility*(1-P1743)</x:f>
        <x:v>0</x:v>
      </x:c>
      <x:c r="S1743" s="9" t="n">
        <x:f>H1743*Y1742*INDEX(v01_MortChild,G1743)/4*Q1743</x:f>
        <x:v>0</x:v>
      </x:c>
      <x:c r="T1743" s="9" t="n">
        <x:f>H1743*Z1742*INDEX(v01_MortAdult,G1743)*Arch_AdultMort/4*Q1743</x:f>
        <x:v>0</x:v>
      </x:c>
      <x:c r="U1743" s="9" t="n">
        <x:f>H1743*AA1742*INDEX(v01_MortElder,G1743)/4*Q1743</x:f>
        <x:v>0</x:v>
      </x:c>
      <x:c r="V1743" s="9" t="n">
        <x:f>H1743*MAX(0,AB1742-O1743)*v01_OvercapLoss</x:f>
        <x:v>0</x:v>
      </x:c>
      <x:c r="W1743" s="9" t="n">
        <x:f>H1743*Y1742/(v01_ChildYears*4)</x:f>
        <x:v>0</x:v>
      </x:c>
      <x:c r="X1743" s="9" t="n">
        <x:f>H1743*Z1742/(v01_AdultYears*4)</x:f>
        <x:v>0</x:v>
      </x:c>
      <x:c r="Y1743" s="32" t="n">
        <x:f>Y1742+R1743-S1743-W1743-Y1742*V1743/AB1742</x:f>
        <x:v>14306.18539759397</x:v>
      </x:c>
      <x:c r="Z1743" s="32" t="n">
        <x:f>Z1742+W1743-X1743-T1743-Z1742*V1743/AB1742</x:f>
        <x:v>19354.456567879548</x:v>
      </x:c>
      <x:c r="AA1743" s="32" t="n">
        <x:f>AA1742+X1743-U1743-AA1742*V1743/AB1742</x:f>
        <x:v>11386.956063258198</x:v>
      </x:c>
      <x:c r="AB1743" s="10" t="n">
        <x:f>Y1743+Z1743+AA1743</x:f>
        <x:v>45047.59802873172</x:v>
      </x:c>
      <x:c r="AC1743" s="8" t="n">
        <x:f>IF(AND(v01_WinterTrigger=1,D1743=1,AB1742/AE1742&gt;=K1743),1,0)</x:f>
        <x:v>0</x:v>
      </x:c>
      <x:c r="AD1743" s="8" t="n">
        <x:f>H1743*IF(AND(OR(AB1742/AE1742&gt;=v01_FissionTrigger*N1743,AC1743=1),AB1742/AE1742*v01_DaughterShare&gt;=v01_MinDaughter),MAX(1,ROUND(AE1742*v01_FissionRate,0)),0)</x:f>
        <x:v>0</x:v>
      </x:c>
      <x:c r="AE1743" s="8" t="n">
        <x:f>IF(H1743=1,MAX(1,MIN(INDEX(v01_Smax,G1743),AE1742+AD1743)),AE1742)</x:f>
        <x:v>15</x:v>
      </x:c>
      <x:c r="AF1743" s="8" t="n">
        <x:f>MAX(0,AE1743-AE1742)</x:f>
        <x:v>0</x:v>
      </x:c>
      <x:c r="AG1743" s="9" t="str">
        <x:f>IF(AF1743&gt;0,B1743,"")</x:f>
      </x:c>
      <x:c r="AH1743" s="9" t="n">
        <x:f>IF(F1743&gt;=1,1,(1+v01_LowTiesShare*(AE1743-1))/AE1743)</x:f>
        <x:v>1</x:v>
      </x:c>
      <x:c r="AI1743" s="32" t="n">
        <x:f>(Z1743+v01_ElderCommons*INDEX(LM_Elder,G1743)*AA1743)*AH1743</x:f>
        <x:v>64139.732591141874</x:v>
      </x:c>
      <x:c r="AJ1743" s="32" t="n">
        <x:f>H1743*v01_CommonsCoef*AI1743^v01_CommonsExp*INDEX(LM_Commons,G1743)</x:f>
        <x:v>0</x:v>
      </x:c>
      <x:c r="AK1743" s="32" t="n">
        <x:f>H1743*v01_RoleScale*Arch_Roles*(AE1743*(INDEX(v01_ElderRolePerSett,G1743)*v01_OutElder*INDEX(LM_Elder,G1743)+INDEX(v01_ShamanPerSett,G1743)*v01_OutShaman)+Z1743*(INDEX(v01_PriestShare,G1743)*v01_OutPriest+INDEX(v01_ScribeShare,G1743)*v01_OutScribe*INDEX(LM_Scribe,G1743)+INDEX(v01_ScholarShare,G1743)*v01_OutScholar*INDEX(LM_Scholar,G1743)+INDEX(v01_ResearcherShare,G1743)*v01_OutResearcher*INDEX(LM_Researcher,G1743)))</x:f>
        <x:v>0</x:v>
      </x:c>
      <x:c r="AL1743" s="32" t="n">
        <x:f>H1743*v01_RoleScale*Arch_Roles*AE1743*INDEX(v01_MonasteryPerSett,G1743)*v01_OutMonastery*INDEX(LM_Monastery,G1743)</x:f>
        <x:v>0</x:v>
      </x:c>
      <x:c r="AM1743" s="32" t="n">
        <x:f>(AJ1743+AK1743+AL1743)/4*INDEX(LM_All,G1743)*INDEX(v01_Boon,G1743)*Arch_Insight</x:f>
        <x:v>0</x:v>
      </x:c>
      <x:c r="AN1743" s="32" t="n">
        <x:f>H1743*(v01_KHPerAdult*Z1743+v01_KHOfCommons*AJ1743/4*INDEX(LM_All,G1743))*v01_KHUsable*Arch_KH</x:f>
        <x:v>0</x:v>
      </x:c>
      <x:c r="AO1743" s="32" t="n">
        <x:f>MIN(AP1742+AN1743,AM1743*v01_KHMaxRatio)</x:f>
        <x:v>0</x:v>
      </x:c>
      <x:c r="AP1743" s="32" t="n">
        <x:f>AP1742+AN1743-AO1743</x:f>
        <x:v>0</x:v>
      </x:c>
      <x:c r="AQ1743" s="32" t="n">
        <x:f>AM1743+AO1743</x:f>
        <x:v>0</x:v>
      </x:c>
      <x:c r="AR1743" s="10" t="n">
        <x:f>IF(H1743=1,INDEX(v01_Req,G1743),0)</x:f>
        <x:v>0</x:v>
      </x:c>
      <x:c r="AS1743" s="32" t="n">
        <x:f>IF(H1743=1,IF(E1743=1,AS1742-AR1742,AS1742)+AQ1743,0)</x:f>
        <x:v>0</x:v>
      </x:c>
      <x:c r="AT1743" s="11" t="n">
        <x:f>IF(AR1743&gt;0,MIN(1,AS1743/AR1743),1)</x:f>
        <x:v>1</x:v>
      </x:c>
      <x:c r="AU1743" s="10" t="n">
        <x:f>AB1743/INDEX(v01_RepScale,G1743)</x:f>
        <x:v>90.09519605746344</x:v>
      </x:c>
      <x:c r="AV1743" s="32" t="n">
        <x:f>AM1743*60/v01_SeasonSeconds</x:f>
        <x:v>0</x:v>
      </x:c>
    </x:row>
    <x:row r="1744">
      <x:c r="A1744" s="8" t="n">
        <x:f>A1743+1</x:f>
        <x:v>1741</x:v>
      </x:c>
      <x:c r="B1744" s="9" t="n">
        <x:f>A1744*v01_SeasonSeconds/60</x:f>
        <x:v>435.25</x:v>
      </x:c>
      <x:c r="C1744" s="9" t="n">
        <x:f>A1744/4</x:f>
        <x:v>435.25</x:v>
      </x:c>
      <x:c r="D1744" s="8" t="n">
        <x:f>IF(MOD(A1744,4)=0,1,0)</x:f>
        <x:v>0</x:v>
      </x:c>
      <x:c r="E1744" s="8" t="n">
        <x:f>IF(AND(F1743&lt;=9,AS1743&gt;=AR1743),1,0)</x:f>
        <x:v>0</x:v>
      </x:c>
      <x:c r="F1744" s="8" t="n">
        <x:f>MIN(10,F1743+E1744)</x:f>
        <x:v>10</x:v>
      </x:c>
      <x:c r="G1744" s="8" t="n">
        <x:f>MIN(F1744,9)+1</x:f>
        <x:v>10</x:v>
      </x:c>
      <x:c r="H1744" s="8" t="n">
        <x:f>IF(F1744&lt;=9,1,0)</x:f>
        <x:v>0</x:v>
      </x:c>
      <x:c r="I1744" s="9" t="n">
        <x:f>MIN(10,F1743+IF(AR1743&gt;0,MIN(1,AS1743/AR1743),1))</x:f>
        <x:v>10</x:v>
      </x:c>
      <x:c r="J1744" s="32" t="n">
        <x:f>INDEX(v01_FoodCap,G1744)*Arch_FoodCap*EXP(v01_CapsByProject*SUMPRODUCT((Cap_Point&lt;=I1744)*(Cap_Kind="Food")*Cap_Ln))</x:f>
        <x:v>12000</x:v>
      </x:c>
      <x:c r="K1744" s="32" t="n">
        <x:f>J1744*MIN(1,v01_LeanBase*EXP(v01_CapsByProject*SUMPRODUCT((Cap_Point&lt;=I1744)*(Cap_Kind="Lean")*Cap_Ln)))</x:f>
        <x:v>12000</x:v>
      </x:c>
      <x:c r="L1744" s="10" t="n">
        <x:f>INDEX(v01_HousingCap,G1744)*EXP(v01_CapsByProject*SUMPRODUCT((Cap_Point&lt;=I1744)*(Cap_Kind="Housing")*Cap_Ln))</x:f>
        <x:v>20000</x:v>
      </x:c>
      <x:c r="M1744" s="10" t="n">
        <x:f>INDEX(v01_GroupCap,G1744)*v01_CohesionFactor*EXP(v01_CapsByProject*SUMPRODUCT((Cap_Point&lt;=I1744)*(Cap_Kind="Group")*Cap_Ln))</x:f>
        <x:v>1000000</x:v>
      </x:c>
      <x:c r="N1744" s="32" t="n">
        <x:f>MIN(J1744,L1744,M1744)</x:f>
        <x:v>12000</x:v>
      </x:c>
      <x:c r="O1744" s="10" t="n">
        <x:f>AE1743*N1744</x:f>
        <x:v>180000</x:v>
      </x:c>
      <x:c r="P1744" s="9" t="n">
        <x:f>MIN(1,(AB1743/(AE1743*IF(v01_GroupInCrowding=1,N1744,MIN(J1744,L1744))))^v01_CrowdingExp)</x:f>
        <x:v>0.00024569414295285325</x:v>
      </x:c>
      <x:c r="Q1744" s="9" t="n">
        <x:f>IF(D1744=1,INDEX(v01_WinterMult,G1744),1)</x:f>
        <x:v>1</x:v>
      </x:c>
      <x:c r="R1744" s="9" t="n">
        <x:f>H1744*Z1743*v01_WomenShare*v01_BaseFertility*INDEX(v01_FertMult,G1744)*Arch_Fertility*(1-P1744)</x:f>
        <x:v>0</x:v>
      </x:c>
      <x:c r="S1744" s="9" t="n">
        <x:f>H1744*Y1743*INDEX(v01_MortChild,G1744)/4*Q1744</x:f>
        <x:v>0</x:v>
      </x:c>
      <x:c r="T1744" s="9" t="n">
        <x:f>H1744*Z1743*INDEX(v01_MortAdult,G1744)*Arch_AdultMort/4*Q1744</x:f>
        <x:v>0</x:v>
      </x:c>
      <x:c r="U1744" s="9" t="n">
        <x:f>H1744*AA1743*INDEX(v01_MortElder,G1744)/4*Q1744</x:f>
        <x:v>0</x:v>
      </x:c>
      <x:c r="V1744" s="9" t="n">
        <x:f>H1744*MAX(0,AB1743-O1744)*v01_OvercapLoss</x:f>
        <x:v>0</x:v>
      </x:c>
      <x:c r="W1744" s="9" t="n">
        <x:f>H1744*Y1743/(v01_ChildYears*4)</x:f>
        <x:v>0</x:v>
      </x:c>
      <x:c r="X1744" s="9" t="n">
        <x:f>H1744*Z1743/(v01_AdultYears*4)</x:f>
        <x:v>0</x:v>
      </x:c>
      <x:c r="Y1744" s="32" t="n">
        <x:f>Y1743+R1744-S1744-W1744-Y1743*V1744/AB1743</x:f>
        <x:v>14306.18539759397</x:v>
      </x:c>
      <x:c r="Z1744" s="32" t="n">
        <x:f>Z1743+W1744-X1744-T1744-Z1743*V1744/AB1743</x:f>
        <x:v>19354.456567879548</x:v>
      </x:c>
      <x:c r="AA1744" s="32" t="n">
        <x:f>AA1743+X1744-U1744-AA1743*V1744/AB1743</x:f>
        <x:v>11386.956063258198</x:v>
      </x:c>
      <x:c r="AB1744" s="10" t="n">
        <x:f>Y1744+Z1744+AA1744</x:f>
        <x:v>45047.59802873172</x:v>
      </x:c>
      <x:c r="AC1744" s="8" t="n">
        <x:f>IF(AND(v01_WinterTrigger=1,D1744=1,AB1743/AE1743&gt;=K1744),1,0)</x:f>
        <x:v>0</x:v>
      </x:c>
      <x:c r="AD1744" s="8" t="n">
        <x:f>H1744*IF(AND(OR(AB1743/AE1743&gt;=v01_FissionTrigger*N1744,AC1744=1),AB1743/AE1743*v01_DaughterShare&gt;=v01_MinDaughter),MAX(1,ROUND(AE1743*v01_FissionRate,0)),0)</x:f>
        <x:v>0</x:v>
      </x:c>
      <x:c r="AE1744" s="8" t="n">
        <x:f>IF(H1744=1,MAX(1,MIN(INDEX(v01_Smax,G1744),AE1743+AD1744)),AE1743)</x:f>
        <x:v>15</x:v>
      </x:c>
      <x:c r="AF1744" s="8" t="n">
        <x:f>MAX(0,AE1744-AE1743)</x:f>
        <x:v>0</x:v>
      </x:c>
      <x:c r="AG1744" s="9" t="str">
        <x:f>IF(AF1744&gt;0,B1744,"")</x:f>
      </x:c>
      <x:c r="AH1744" s="9" t="n">
        <x:f>IF(F1744&gt;=1,1,(1+v01_LowTiesShare*(AE1744-1))/AE1744)</x:f>
        <x:v>1</x:v>
      </x:c>
      <x:c r="AI1744" s="32" t="n">
        <x:f>(Z1744+v01_ElderCommons*INDEX(LM_Elder,G1744)*AA1744)*AH1744</x:f>
        <x:v>64139.732591141874</x:v>
      </x:c>
      <x:c r="AJ1744" s="32" t="n">
        <x:f>H1744*v01_CommonsCoef*AI1744^v01_CommonsExp*INDEX(LM_Commons,G1744)</x:f>
        <x:v>0</x:v>
      </x:c>
      <x:c r="AK1744" s="32" t="n">
        <x:f>H1744*v01_RoleScale*Arch_Roles*(AE1744*(INDEX(v01_ElderRolePerSett,G1744)*v01_OutElder*INDEX(LM_Elder,G1744)+INDEX(v01_ShamanPerSett,G1744)*v01_OutShaman)+Z1744*(INDEX(v01_PriestShare,G1744)*v01_OutPriest+INDEX(v01_ScribeShare,G1744)*v01_OutScribe*INDEX(LM_Scribe,G1744)+INDEX(v01_ScholarShare,G1744)*v01_OutScholar*INDEX(LM_Scholar,G1744)+INDEX(v01_ResearcherShare,G1744)*v01_OutResearcher*INDEX(LM_Researcher,G1744)))</x:f>
        <x:v>0</x:v>
      </x:c>
      <x:c r="AL1744" s="32" t="n">
        <x:f>H1744*v01_RoleScale*Arch_Roles*AE1744*INDEX(v01_MonasteryPerSett,G1744)*v01_OutMonastery*INDEX(LM_Monastery,G1744)</x:f>
        <x:v>0</x:v>
      </x:c>
      <x:c r="AM1744" s="32" t="n">
        <x:f>(AJ1744+AK1744+AL1744)/4*INDEX(LM_All,G1744)*INDEX(v01_Boon,G1744)*Arch_Insight</x:f>
        <x:v>0</x:v>
      </x:c>
      <x:c r="AN1744" s="32" t="n">
        <x:f>H1744*(v01_KHPerAdult*Z1744+v01_KHOfCommons*AJ1744/4*INDEX(LM_All,G1744))*v01_KHUsable*Arch_KH</x:f>
        <x:v>0</x:v>
      </x:c>
      <x:c r="AO1744" s="32" t="n">
        <x:f>MIN(AP1743+AN1744,AM1744*v01_KHMaxRatio)</x:f>
        <x:v>0</x:v>
      </x:c>
      <x:c r="AP1744" s="32" t="n">
        <x:f>AP1743+AN1744-AO1744</x:f>
        <x:v>0</x:v>
      </x:c>
      <x:c r="AQ1744" s="32" t="n">
        <x:f>AM1744+AO1744</x:f>
        <x:v>0</x:v>
      </x:c>
      <x:c r="AR1744" s="10" t="n">
        <x:f>IF(H1744=1,INDEX(v01_Req,G1744),0)</x:f>
        <x:v>0</x:v>
      </x:c>
      <x:c r="AS1744" s="32" t="n">
        <x:f>IF(H1744=1,IF(E1744=1,AS1743-AR1743,AS1743)+AQ1744,0)</x:f>
        <x:v>0</x:v>
      </x:c>
      <x:c r="AT1744" s="11" t="n">
        <x:f>IF(AR1744&gt;0,MIN(1,AS1744/AR1744),1)</x:f>
        <x:v>1</x:v>
      </x:c>
      <x:c r="AU1744" s="10" t="n">
        <x:f>AB1744/INDEX(v01_RepScale,G1744)</x:f>
        <x:v>90.09519605746344</x:v>
      </x:c>
      <x:c r="AV1744" s="32" t="n">
        <x:f>AM1744*60/v01_SeasonSeconds</x:f>
        <x:v>0</x:v>
      </x:c>
    </x:row>
    <x:row r="1745">
      <x:c r="A1745" s="8" t="n">
        <x:f>A1744+1</x:f>
        <x:v>1742</x:v>
      </x:c>
      <x:c r="B1745" s="9" t="n">
        <x:f>A1745*v01_SeasonSeconds/60</x:f>
        <x:v>435.5</x:v>
      </x:c>
      <x:c r="C1745" s="9" t="n">
        <x:f>A1745/4</x:f>
        <x:v>435.5</x:v>
      </x:c>
      <x:c r="D1745" s="8" t="n">
        <x:f>IF(MOD(A1745,4)=0,1,0)</x:f>
        <x:v>0</x:v>
      </x:c>
      <x:c r="E1745" s="8" t="n">
        <x:f>IF(AND(F1744&lt;=9,AS1744&gt;=AR1744),1,0)</x:f>
        <x:v>0</x:v>
      </x:c>
      <x:c r="F1745" s="8" t="n">
        <x:f>MIN(10,F1744+E1745)</x:f>
        <x:v>10</x:v>
      </x:c>
      <x:c r="G1745" s="8" t="n">
        <x:f>MIN(F1745,9)+1</x:f>
        <x:v>10</x:v>
      </x:c>
      <x:c r="H1745" s="8" t="n">
        <x:f>IF(F1745&lt;=9,1,0)</x:f>
        <x:v>0</x:v>
      </x:c>
      <x:c r="I1745" s="9" t="n">
        <x:f>MIN(10,F1744+IF(AR1744&gt;0,MIN(1,AS1744/AR1744),1))</x:f>
        <x:v>10</x:v>
      </x:c>
      <x:c r="J1745" s="32" t="n">
        <x:f>INDEX(v01_FoodCap,G1745)*Arch_FoodCap*EXP(v01_CapsByProject*SUMPRODUCT((Cap_Point&lt;=I1745)*(Cap_Kind="Food")*Cap_Ln))</x:f>
        <x:v>12000</x:v>
      </x:c>
      <x:c r="K1745" s="32" t="n">
        <x:f>J1745*MIN(1,v01_LeanBase*EXP(v01_CapsByProject*SUMPRODUCT((Cap_Point&lt;=I1745)*(Cap_Kind="Lean")*Cap_Ln)))</x:f>
        <x:v>12000</x:v>
      </x:c>
      <x:c r="L1745" s="10" t="n">
        <x:f>INDEX(v01_HousingCap,G1745)*EXP(v01_CapsByProject*SUMPRODUCT((Cap_Point&lt;=I1745)*(Cap_Kind="Housing")*Cap_Ln))</x:f>
        <x:v>20000</x:v>
      </x:c>
      <x:c r="M1745" s="10" t="n">
        <x:f>INDEX(v01_GroupCap,G1745)*v01_CohesionFactor*EXP(v01_CapsByProject*SUMPRODUCT((Cap_Point&lt;=I1745)*(Cap_Kind="Group")*Cap_Ln))</x:f>
        <x:v>1000000</x:v>
      </x:c>
      <x:c r="N1745" s="32" t="n">
        <x:f>MIN(J1745,L1745,M1745)</x:f>
        <x:v>12000</x:v>
      </x:c>
      <x:c r="O1745" s="10" t="n">
        <x:f>AE1744*N1745</x:f>
        <x:v>180000</x:v>
      </x:c>
      <x:c r="P1745" s="9" t="n">
        <x:f>MIN(1,(AB1744/(AE1744*IF(v01_GroupInCrowding=1,N1745,MIN(J1745,L1745))))^v01_CrowdingExp)</x:f>
        <x:v>0.00024569414295285325</x:v>
      </x:c>
      <x:c r="Q1745" s="9" t="n">
        <x:f>IF(D1745=1,INDEX(v01_WinterMult,G1745),1)</x:f>
        <x:v>1</x:v>
      </x:c>
      <x:c r="R1745" s="9" t="n">
        <x:f>H1745*Z1744*v01_WomenShare*v01_BaseFertility*INDEX(v01_FertMult,G1745)*Arch_Fertility*(1-P1745)</x:f>
        <x:v>0</x:v>
      </x:c>
      <x:c r="S1745" s="9" t="n">
        <x:f>H1745*Y1744*INDEX(v01_MortChild,G1745)/4*Q1745</x:f>
        <x:v>0</x:v>
      </x:c>
      <x:c r="T1745" s="9" t="n">
        <x:f>H1745*Z1744*INDEX(v01_MortAdult,G1745)*Arch_AdultMort/4*Q1745</x:f>
        <x:v>0</x:v>
      </x:c>
      <x:c r="U1745" s="9" t="n">
        <x:f>H1745*AA1744*INDEX(v01_MortElder,G1745)/4*Q1745</x:f>
        <x:v>0</x:v>
      </x:c>
      <x:c r="V1745" s="9" t="n">
        <x:f>H1745*MAX(0,AB1744-O1745)*v01_OvercapLoss</x:f>
        <x:v>0</x:v>
      </x:c>
      <x:c r="W1745" s="9" t="n">
        <x:f>H1745*Y1744/(v01_ChildYears*4)</x:f>
        <x:v>0</x:v>
      </x:c>
      <x:c r="X1745" s="9" t="n">
        <x:f>H1745*Z1744/(v01_AdultYears*4)</x:f>
        <x:v>0</x:v>
      </x:c>
      <x:c r="Y1745" s="32" t="n">
        <x:f>Y1744+R1745-S1745-W1745-Y1744*V1745/AB1744</x:f>
        <x:v>14306.18539759397</x:v>
      </x:c>
      <x:c r="Z1745" s="32" t="n">
        <x:f>Z1744+W1745-X1745-T1745-Z1744*V1745/AB1744</x:f>
        <x:v>19354.456567879548</x:v>
      </x:c>
      <x:c r="AA1745" s="32" t="n">
        <x:f>AA1744+X1745-U1745-AA1744*V1745/AB1744</x:f>
        <x:v>11386.956063258198</x:v>
      </x:c>
      <x:c r="AB1745" s="10" t="n">
        <x:f>Y1745+Z1745+AA1745</x:f>
        <x:v>45047.59802873172</x:v>
      </x:c>
      <x:c r="AC1745" s="8" t="n">
        <x:f>IF(AND(v01_WinterTrigger=1,D1745=1,AB1744/AE1744&gt;=K1745),1,0)</x:f>
        <x:v>0</x:v>
      </x:c>
      <x:c r="AD1745" s="8" t="n">
        <x:f>H1745*IF(AND(OR(AB1744/AE1744&gt;=v01_FissionTrigger*N1745,AC1745=1),AB1744/AE1744*v01_DaughterShare&gt;=v01_MinDaughter),MAX(1,ROUND(AE1744*v01_FissionRate,0)),0)</x:f>
        <x:v>0</x:v>
      </x:c>
      <x:c r="AE1745" s="8" t="n">
        <x:f>IF(H1745=1,MAX(1,MIN(INDEX(v01_Smax,G1745),AE1744+AD1745)),AE1744)</x:f>
        <x:v>15</x:v>
      </x:c>
      <x:c r="AF1745" s="8" t="n">
        <x:f>MAX(0,AE1745-AE1744)</x:f>
        <x:v>0</x:v>
      </x:c>
      <x:c r="AG1745" s="9" t="str">
        <x:f>IF(AF1745&gt;0,B1745,"")</x:f>
      </x:c>
      <x:c r="AH1745" s="9" t="n">
        <x:f>IF(F1745&gt;=1,1,(1+v01_LowTiesShare*(AE1745-1))/AE1745)</x:f>
        <x:v>1</x:v>
      </x:c>
      <x:c r="AI1745" s="32" t="n">
        <x:f>(Z1745+v01_ElderCommons*INDEX(LM_Elder,G1745)*AA1745)*AH1745</x:f>
        <x:v>64139.732591141874</x:v>
      </x:c>
      <x:c r="AJ1745" s="32" t="n">
        <x:f>H1745*v01_CommonsCoef*AI1745^v01_CommonsExp*INDEX(LM_Commons,G1745)</x:f>
        <x:v>0</x:v>
      </x:c>
      <x:c r="AK1745" s="32" t="n">
        <x:f>H1745*v01_RoleScale*Arch_Roles*(AE1745*(INDEX(v01_ElderRolePerSett,G1745)*v01_OutElder*INDEX(LM_Elder,G1745)+INDEX(v01_ShamanPerSett,G1745)*v01_OutShaman)+Z1745*(INDEX(v01_PriestShare,G1745)*v01_OutPriest+INDEX(v01_ScribeShare,G1745)*v01_OutScribe*INDEX(LM_Scribe,G1745)+INDEX(v01_ScholarShare,G1745)*v01_OutScholar*INDEX(LM_Scholar,G1745)+INDEX(v01_ResearcherShare,G1745)*v01_OutResearcher*INDEX(LM_Researcher,G1745)))</x:f>
        <x:v>0</x:v>
      </x:c>
      <x:c r="AL1745" s="32" t="n">
        <x:f>H1745*v01_RoleScale*Arch_Roles*AE1745*INDEX(v01_MonasteryPerSett,G1745)*v01_OutMonastery*INDEX(LM_Monastery,G1745)</x:f>
        <x:v>0</x:v>
      </x:c>
      <x:c r="AM1745" s="32" t="n">
        <x:f>(AJ1745+AK1745+AL1745)/4*INDEX(LM_All,G1745)*INDEX(v01_Boon,G1745)*Arch_Insight</x:f>
        <x:v>0</x:v>
      </x:c>
      <x:c r="AN1745" s="32" t="n">
        <x:f>H1745*(v01_KHPerAdult*Z1745+v01_KHOfCommons*AJ1745/4*INDEX(LM_All,G1745))*v01_KHUsable*Arch_KH</x:f>
        <x:v>0</x:v>
      </x:c>
      <x:c r="AO1745" s="32" t="n">
        <x:f>MIN(AP1744+AN1745,AM1745*v01_KHMaxRatio)</x:f>
        <x:v>0</x:v>
      </x:c>
      <x:c r="AP1745" s="32" t="n">
        <x:f>AP1744+AN1745-AO1745</x:f>
        <x:v>0</x:v>
      </x:c>
      <x:c r="AQ1745" s="32" t="n">
        <x:f>AM1745+AO1745</x:f>
        <x:v>0</x:v>
      </x:c>
      <x:c r="AR1745" s="10" t="n">
        <x:f>IF(H1745=1,INDEX(v01_Req,G1745),0)</x:f>
        <x:v>0</x:v>
      </x:c>
      <x:c r="AS1745" s="32" t="n">
        <x:f>IF(H1745=1,IF(E1745=1,AS1744-AR1744,AS1744)+AQ1745,0)</x:f>
        <x:v>0</x:v>
      </x:c>
      <x:c r="AT1745" s="11" t="n">
        <x:f>IF(AR1745&gt;0,MIN(1,AS1745/AR1745),1)</x:f>
        <x:v>1</x:v>
      </x:c>
      <x:c r="AU1745" s="10" t="n">
        <x:f>AB1745/INDEX(v01_RepScale,G1745)</x:f>
        <x:v>90.09519605746344</x:v>
      </x:c>
      <x:c r="AV1745" s="32" t="n">
        <x:f>AM1745*60/v01_SeasonSeconds</x:f>
        <x:v>0</x:v>
      </x:c>
    </x:row>
    <x:row r="1746">
      <x:c r="A1746" s="8" t="n">
        <x:f>A1745+1</x:f>
        <x:v>1743</x:v>
      </x:c>
      <x:c r="B1746" s="9" t="n">
        <x:f>A1746*v01_SeasonSeconds/60</x:f>
        <x:v>435.75</x:v>
      </x:c>
      <x:c r="C1746" s="9" t="n">
        <x:f>A1746/4</x:f>
        <x:v>435.75</x:v>
      </x:c>
      <x:c r="D1746" s="8" t="n">
        <x:f>IF(MOD(A1746,4)=0,1,0)</x:f>
        <x:v>0</x:v>
      </x:c>
      <x:c r="E1746" s="8" t="n">
        <x:f>IF(AND(F1745&lt;=9,AS1745&gt;=AR1745),1,0)</x:f>
        <x:v>0</x:v>
      </x:c>
      <x:c r="F1746" s="8" t="n">
        <x:f>MIN(10,F1745+E1746)</x:f>
        <x:v>10</x:v>
      </x:c>
      <x:c r="G1746" s="8" t="n">
        <x:f>MIN(F1746,9)+1</x:f>
        <x:v>10</x:v>
      </x:c>
      <x:c r="H1746" s="8" t="n">
        <x:f>IF(F1746&lt;=9,1,0)</x:f>
        <x:v>0</x:v>
      </x:c>
      <x:c r="I1746" s="9" t="n">
        <x:f>MIN(10,F1745+IF(AR1745&gt;0,MIN(1,AS1745/AR1745),1))</x:f>
        <x:v>10</x:v>
      </x:c>
      <x:c r="J1746" s="32" t="n">
        <x:f>INDEX(v01_FoodCap,G1746)*Arch_FoodCap*EXP(v01_CapsByProject*SUMPRODUCT((Cap_Point&lt;=I1746)*(Cap_Kind="Food")*Cap_Ln))</x:f>
        <x:v>12000</x:v>
      </x:c>
      <x:c r="K1746" s="32" t="n">
        <x:f>J1746*MIN(1,v01_LeanBase*EXP(v01_CapsByProject*SUMPRODUCT((Cap_Point&lt;=I1746)*(Cap_Kind="Lean")*Cap_Ln)))</x:f>
        <x:v>12000</x:v>
      </x:c>
      <x:c r="L1746" s="10" t="n">
        <x:f>INDEX(v01_HousingCap,G1746)*EXP(v01_CapsByProject*SUMPRODUCT((Cap_Point&lt;=I1746)*(Cap_Kind="Housing")*Cap_Ln))</x:f>
        <x:v>20000</x:v>
      </x:c>
      <x:c r="M1746" s="10" t="n">
        <x:f>INDEX(v01_GroupCap,G1746)*v01_CohesionFactor*EXP(v01_CapsByProject*SUMPRODUCT((Cap_Point&lt;=I1746)*(Cap_Kind="Group")*Cap_Ln))</x:f>
        <x:v>1000000</x:v>
      </x:c>
      <x:c r="N1746" s="32" t="n">
        <x:f>MIN(J1746,L1746,M1746)</x:f>
        <x:v>12000</x:v>
      </x:c>
      <x:c r="O1746" s="10" t="n">
        <x:f>AE1745*N1746</x:f>
        <x:v>180000</x:v>
      </x:c>
      <x:c r="P1746" s="9" t="n">
        <x:f>MIN(1,(AB1745/(AE1745*IF(v01_GroupInCrowding=1,N1746,MIN(J1746,L1746))))^v01_CrowdingExp)</x:f>
        <x:v>0.00024569414295285325</x:v>
      </x:c>
      <x:c r="Q1746" s="9" t="n">
        <x:f>IF(D1746=1,INDEX(v01_WinterMult,G1746),1)</x:f>
        <x:v>1</x:v>
      </x:c>
      <x:c r="R1746" s="9" t="n">
        <x:f>H1746*Z1745*v01_WomenShare*v01_BaseFertility*INDEX(v01_FertMult,G1746)*Arch_Fertility*(1-P1746)</x:f>
        <x:v>0</x:v>
      </x:c>
      <x:c r="S1746" s="9" t="n">
        <x:f>H1746*Y1745*INDEX(v01_MortChild,G1746)/4*Q1746</x:f>
        <x:v>0</x:v>
      </x:c>
      <x:c r="T1746" s="9" t="n">
        <x:f>H1746*Z1745*INDEX(v01_MortAdult,G1746)*Arch_AdultMort/4*Q1746</x:f>
        <x:v>0</x:v>
      </x:c>
      <x:c r="U1746" s="9" t="n">
        <x:f>H1746*AA1745*INDEX(v01_MortElder,G1746)/4*Q1746</x:f>
        <x:v>0</x:v>
      </x:c>
      <x:c r="V1746" s="9" t="n">
        <x:f>H1746*MAX(0,AB1745-O1746)*v01_OvercapLoss</x:f>
        <x:v>0</x:v>
      </x:c>
      <x:c r="W1746" s="9" t="n">
        <x:f>H1746*Y1745/(v01_ChildYears*4)</x:f>
        <x:v>0</x:v>
      </x:c>
      <x:c r="X1746" s="9" t="n">
        <x:f>H1746*Z1745/(v01_AdultYears*4)</x:f>
        <x:v>0</x:v>
      </x:c>
      <x:c r="Y1746" s="32" t="n">
        <x:f>Y1745+R1746-S1746-W1746-Y1745*V1746/AB1745</x:f>
        <x:v>14306.18539759397</x:v>
      </x:c>
      <x:c r="Z1746" s="32" t="n">
        <x:f>Z1745+W1746-X1746-T1746-Z1745*V1746/AB1745</x:f>
        <x:v>19354.456567879548</x:v>
      </x:c>
      <x:c r="AA1746" s="32" t="n">
        <x:f>AA1745+X1746-U1746-AA1745*V1746/AB1745</x:f>
        <x:v>11386.956063258198</x:v>
      </x:c>
      <x:c r="AB1746" s="10" t="n">
        <x:f>Y1746+Z1746+AA1746</x:f>
        <x:v>45047.59802873172</x:v>
      </x:c>
      <x:c r="AC1746" s="8" t="n">
        <x:f>IF(AND(v01_WinterTrigger=1,D1746=1,AB1745/AE1745&gt;=K1746),1,0)</x:f>
        <x:v>0</x:v>
      </x:c>
      <x:c r="AD1746" s="8" t="n">
        <x:f>H1746*IF(AND(OR(AB1745/AE1745&gt;=v01_FissionTrigger*N1746,AC1746=1),AB1745/AE1745*v01_DaughterShare&gt;=v01_MinDaughter),MAX(1,ROUND(AE1745*v01_FissionRate,0)),0)</x:f>
        <x:v>0</x:v>
      </x:c>
      <x:c r="AE1746" s="8" t="n">
        <x:f>IF(H1746=1,MAX(1,MIN(INDEX(v01_Smax,G1746),AE1745+AD1746)),AE1745)</x:f>
        <x:v>15</x:v>
      </x:c>
      <x:c r="AF1746" s="8" t="n">
        <x:f>MAX(0,AE1746-AE1745)</x:f>
        <x:v>0</x:v>
      </x:c>
      <x:c r="AG1746" s="9" t="str">
        <x:f>IF(AF1746&gt;0,B1746,"")</x:f>
      </x:c>
      <x:c r="AH1746" s="9" t="n">
        <x:f>IF(F1746&gt;=1,1,(1+v01_LowTiesShare*(AE1746-1))/AE1746)</x:f>
        <x:v>1</x:v>
      </x:c>
      <x:c r="AI1746" s="32" t="n">
        <x:f>(Z1746+v01_ElderCommons*INDEX(LM_Elder,G1746)*AA1746)*AH1746</x:f>
        <x:v>64139.732591141874</x:v>
      </x:c>
      <x:c r="AJ1746" s="32" t="n">
        <x:f>H1746*v01_CommonsCoef*AI1746^v01_CommonsExp*INDEX(LM_Commons,G1746)</x:f>
        <x:v>0</x:v>
      </x:c>
      <x:c r="AK1746" s="32" t="n">
        <x:f>H1746*v01_RoleScale*Arch_Roles*(AE1746*(INDEX(v01_ElderRolePerSett,G1746)*v01_OutElder*INDEX(LM_Elder,G1746)+INDEX(v01_ShamanPerSett,G1746)*v01_OutShaman)+Z1746*(INDEX(v01_PriestShare,G1746)*v01_OutPriest+INDEX(v01_ScribeShare,G1746)*v01_OutScribe*INDEX(LM_Scribe,G1746)+INDEX(v01_ScholarShare,G1746)*v01_OutScholar*INDEX(LM_Scholar,G1746)+INDEX(v01_ResearcherShare,G1746)*v01_OutResearcher*INDEX(LM_Researcher,G1746)))</x:f>
        <x:v>0</x:v>
      </x:c>
      <x:c r="AL1746" s="32" t="n">
        <x:f>H1746*v01_RoleScale*Arch_Roles*AE1746*INDEX(v01_MonasteryPerSett,G1746)*v01_OutMonastery*INDEX(LM_Monastery,G1746)</x:f>
        <x:v>0</x:v>
      </x:c>
      <x:c r="AM1746" s="32" t="n">
        <x:f>(AJ1746+AK1746+AL1746)/4*INDEX(LM_All,G1746)*INDEX(v01_Boon,G1746)*Arch_Insight</x:f>
        <x:v>0</x:v>
      </x:c>
      <x:c r="AN1746" s="32" t="n">
        <x:f>H1746*(v01_KHPerAdult*Z1746+v01_KHOfCommons*AJ1746/4*INDEX(LM_All,G1746))*v01_KHUsable*Arch_KH</x:f>
        <x:v>0</x:v>
      </x:c>
      <x:c r="AO1746" s="32" t="n">
        <x:f>MIN(AP1745+AN1746,AM1746*v01_KHMaxRatio)</x:f>
        <x:v>0</x:v>
      </x:c>
      <x:c r="AP1746" s="32" t="n">
        <x:f>AP1745+AN1746-AO1746</x:f>
        <x:v>0</x:v>
      </x:c>
      <x:c r="AQ1746" s="32" t="n">
        <x:f>AM1746+AO1746</x:f>
        <x:v>0</x:v>
      </x:c>
      <x:c r="AR1746" s="10" t="n">
        <x:f>IF(H1746=1,INDEX(v01_Req,G1746),0)</x:f>
        <x:v>0</x:v>
      </x:c>
      <x:c r="AS1746" s="32" t="n">
        <x:f>IF(H1746=1,IF(E1746=1,AS1745-AR1745,AS1745)+AQ1746,0)</x:f>
        <x:v>0</x:v>
      </x:c>
      <x:c r="AT1746" s="11" t="n">
        <x:f>IF(AR1746&gt;0,MIN(1,AS1746/AR1746),1)</x:f>
        <x:v>1</x:v>
      </x:c>
      <x:c r="AU1746" s="10" t="n">
        <x:f>AB1746/INDEX(v01_RepScale,G1746)</x:f>
        <x:v>90.09519605746344</x:v>
      </x:c>
      <x:c r="AV1746" s="32" t="n">
        <x:f>AM1746*60/v01_SeasonSeconds</x:f>
        <x:v>0</x:v>
      </x:c>
    </x:row>
    <x:row r="1747">
      <x:c r="A1747" s="8" t="n">
        <x:f>A1746+1</x:f>
        <x:v>1744</x:v>
      </x:c>
      <x:c r="B1747" s="9" t="n">
        <x:f>A1747*v01_SeasonSeconds/60</x:f>
        <x:v>436</x:v>
      </x:c>
      <x:c r="C1747" s="9" t="n">
        <x:f>A1747/4</x:f>
        <x:v>436</x:v>
      </x:c>
      <x:c r="D1747" s="8" t="n">
        <x:f>IF(MOD(A1747,4)=0,1,0)</x:f>
        <x:v>1</x:v>
      </x:c>
      <x:c r="E1747" s="8" t="n">
        <x:f>IF(AND(F1746&lt;=9,AS1746&gt;=AR1746),1,0)</x:f>
        <x:v>0</x:v>
      </x:c>
      <x:c r="F1747" s="8" t="n">
        <x:f>MIN(10,F1746+E1747)</x:f>
        <x:v>10</x:v>
      </x:c>
      <x:c r="G1747" s="8" t="n">
        <x:f>MIN(F1747,9)+1</x:f>
        <x:v>10</x:v>
      </x:c>
      <x:c r="H1747" s="8" t="n">
        <x:f>IF(F1747&lt;=9,1,0)</x:f>
        <x:v>0</x:v>
      </x:c>
      <x:c r="I1747" s="9" t="n">
        <x:f>MIN(10,F1746+IF(AR1746&gt;0,MIN(1,AS1746/AR1746),1))</x:f>
        <x:v>10</x:v>
      </x:c>
      <x:c r="J1747" s="32" t="n">
        <x:f>INDEX(v01_FoodCap,G1747)*Arch_FoodCap*EXP(v01_CapsByProject*SUMPRODUCT((Cap_Point&lt;=I1747)*(Cap_Kind="Food")*Cap_Ln))</x:f>
        <x:v>12000</x:v>
      </x:c>
      <x:c r="K1747" s="32" t="n">
        <x:f>J1747*MIN(1,v01_LeanBase*EXP(v01_CapsByProject*SUMPRODUCT((Cap_Point&lt;=I1747)*(Cap_Kind="Lean")*Cap_Ln)))</x:f>
        <x:v>12000</x:v>
      </x:c>
      <x:c r="L1747" s="10" t="n">
        <x:f>INDEX(v01_HousingCap,G1747)*EXP(v01_CapsByProject*SUMPRODUCT((Cap_Point&lt;=I1747)*(Cap_Kind="Housing")*Cap_Ln))</x:f>
        <x:v>20000</x:v>
      </x:c>
      <x:c r="M1747" s="10" t="n">
        <x:f>INDEX(v01_GroupCap,G1747)*v01_CohesionFactor*EXP(v01_CapsByProject*SUMPRODUCT((Cap_Point&lt;=I1747)*(Cap_Kind="Group")*Cap_Ln))</x:f>
        <x:v>1000000</x:v>
      </x:c>
      <x:c r="N1747" s="32" t="n">
        <x:f>MIN(J1747,L1747,M1747)</x:f>
        <x:v>12000</x:v>
      </x:c>
      <x:c r="O1747" s="10" t="n">
        <x:f>AE1746*N1747</x:f>
        <x:v>180000</x:v>
      </x:c>
      <x:c r="P1747" s="9" t="n">
        <x:f>MIN(1,(AB1746/(AE1746*IF(v01_GroupInCrowding=1,N1747,MIN(J1747,L1747))))^v01_CrowdingExp)</x:f>
        <x:v>0.00024569414295285325</x:v>
      </x:c>
      <x:c r="Q1747" s="9" t="n">
        <x:f>IF(D1747=1,INDEX(v01_WinterMult,G1747),1)</x:f>
        <x:v>1</x:v>
      </x:c>
      <x:c r="R1747" s="9" t="n">
        <x:f>H1747*Z1746*v01_WomenShare*v01_BaseFertility*INDEX(v01_FertMult,G1747)*Arch_Fertility*(1-P1747)</x:f>
        <x:v>0</x:v>
      </x:c>
      <x:c r="S1747" s="9" t="n">
        <x:f>H1747*Y1746*INDEX(v01_MortChild,G1747)/4*Q1747</x:f>
        <x:v>0</x:v>
      </x:c>
      <x:c r="T1747" s="9" t="n">
        <x:f>H1747*Z1746*INDEX(v01_MortAdult,G1747)*Arch_AdultMort/4*Q1747</x:f>
        <x:v>0</x:v>
      </x:c>
      <x:c r="U1747" s="9" t="n">
        <x:f>H1747*AA1746*INDEX(v01_MortElder,G1747)/4*Q1747</x:f>
        <x:v>0</x:v>
      </x:c>
      <x:c r="V1747" s="9" t="n">
        <x:f>H1747*MAX(0,AB1746-O1747)*v01_OvercapLoss</x:f>
        <x:v>0</x:v>
      </x:c>
      <x:c r="W1747" s="9" t="n">
        <x:f>H1747*Y1746/(v01_ChildYears*4)</x:f>
        <x:v>0</x:v>
      </x:c>
      <x:c r="X1747" s="9" t="n">
        <x:f>H1747*Z1746/(v01_AdultYears*4)</x:f>
        <x:v>0</x:v>
      </x:c>
      <x:c r="Y1747" s="32" t="n">
        <x:f>Y1746+R1747-S1747-W1747-Y1746*V1747/AB1746</x:f>
        <x:v>14306.18539759397</x:v>
      </x:c>
      <x:c r="Z1747" s="32" t="n">
        <x:f>Z1746+W1747-X1747-T1747-Z1746*V1747/AB1746</x:f>
        <x:v>19354.456567879548</x:v>
      </x:c>
      <x:c r="AA1747" s="32" t="n">
        <x:f>AA1746+X1747-U1747-AA1746*V1747/AB1746</x:f>
        <x:v>11386.956063258198</x:v>
      </x:c>
      <x:c r="AB1747" s="10" t="n">
        <x:f>Y1747+Z1747+AA1747</x:f>
        <x:v>45047.59802873172</x:v>
      </x:c>
      <x:c r="AC1747" s="8" t="n">
        <x:f>IF(AND(v01_WinterTrigger=1,D1747=1,AB1746/AE1746&gt;=K1747),1,0)</x:f>
        <x:v>0</x:v>
      </x:c>
      <x:c r="AD1747" s="8" t="n">
        <x:f>H1747*IF(AND(OR(AB1746/AE1746&gt;=v01_FissionTrigger*N1747,AC1747=1),AB1746/AE1746*v01_DaughterShare&gt;=v01_MinDaughter),MAX(1,ROUND(AE1746*v01_FissionRate,0)),0)</x:f>
        <x:v>0</x:v>
      </x:c>
      <x:c r="AE1747" s="8" t="n">
        <x:f>IF(H1747=1,MAX(1,MIN(INDEX(v01_Smax,G1747),AE1746+AD1747)),AE1746)</x:f>
        <x:v>15</x:v>
      </x:c>
      <x:c r="AF1747" s="8" t="n">
        <x:f>MAX(0,AE1747-AE1746)</x:f>
        <x:v>0</x:v>
      </x:c>
      <x:c r="AG1747" s="9" t="str">
        <x:f>IF(AF1747&gt;0,B1747,"")</x:f>
      </x:c>
      <x:c r="AH1747" s="9" t="n">
        <x:f>IF(F1747&gt;=1,1,(1+v01_LowTiesShare*(AE1747-1))/AE1747)</x:f>
        <x:v>1</x:v>
      </x:c>
      <x:c r="AI1747" s="32" t="n">
        <x:f>(Z1747+v01_ElderCommons*INDEX(LM_Elder,G1747)*AA1747)*AH1747</x:f>
        <x:v>64139.732591141874</x:v>
      </x:c>
      <x:c r="AJ1747" s="32" t="n">
        <x:f>H1747*v01_CommonsCoef*AI1747^v01_CommonsExp*INDEX(LM_Commons,G1747)</x:f>
        <x:v>0</x:v>
      </x:c>
      <x:c r="AK1747" s="32" t="n">
        <x:f>H1747*v01_RoleScale*Arch_Roles*(AE1747*(INDEX(v01_ElderRolePerSett,G1747)*v01_OutElder*INDEX(LM_Elder,G1747)+INDEX(v01_ShamanPerSett,G1747)*v01_OutShaman)+Z1747*(INDEX(v01_PriestShare,G1747)*v01_OutPriest+INDEX(v01_ScribeShare,G1747)*v01_OutScribe*INDEX(LM_Scribe,G1747)+INDEX(v01_ScholarShare,G1747)*v01_OutScholar*INDEX(LM_Scholar,G1747)+INDEX(v01_ResearcherShare,G1747)*v01_OutResearcher*INDEX(LM_Researcher,G1747)))</x:f>
        <x:v>0</x:v>
      </x:c>
      <x:c r="AL1747" s="32" t="n">
        <x:f>H1747*v01_RoleScale*Arch_Roles*AE1747*INDEX(v01_MonasteryPerSett,G1747)*v01_OutMonastery*INDEX(LM_Monastery,G1747)</x:f>
        <x:v>0</x:v>
      </x:c>
      <x:c r="AM1747" s="32" t="n">
        <x:f>(AJ1747+AK1747+AL1747)/4*INDEX(LM_All,G1747)*INDEX(v01_Boon,G1747)*Arch_Insight</x:f>
        <x:v>0</x:v>
      </x:c>
      <x:c r="AN1747" s="32" t="n">
        <x:f>H1747*(v01_KHPerAdult*Z1747+v01_KHOfCommons*AJ1747/4*INDEX(LM_All,G1747))*v01_KHUsable*Arch_KH</x:f>
        <x:v>0</x:v>
      </x:c>
      <x:c r="AO1747" s="32" t="n">
        <x:f>MIN(AP1746+AN1747,AM1747*v01_KHMaxRatio)</x:f>
        <x:v>0</x:v>
      </x:c>
      <x:c r="AP1747" s="32" t="n">
        <x:f>AP1746+AN1747-AO1747</x:f>
        <x:v>0</x:v>
      </x:c>
      <x:c r="AQ1747" s="32" t="n">
        <x:f>AM1747+AO1747</x:f>
        <x:v>0</x:v>
      </x:c>
      <x:c r="AR1747" s="10" t="n">
        <x:f>IF(H1747=1,INDEX(v01_Req,G1747),0)</x:f>
        <x:v>0</x:v>
      </x:c>
      <x:c r="AS1747" s="32" t="n">
        <x:f>IF(H1747=1,IF(E1747=1,AS1746-AR1746,AS1746)+AQ1747,0)</x:f>
        <x:v>0</x:v>
      </x:c>
      <x:c r="AT1747" s="11" t="n">
        <x:f>IF(AR1747&gt;0,MIN(1,AS1747/AR1747),1)</x:f>
        <x:v>1</x:v>
      </x:c>
      <x:c r="AU1747" s="10" t="n">
        <x:f>AB1747/INDEX(v01_RepScale,G1747)</x:f>
        <x:v>90.09519605746344</x:v>
      </x:c>
      <x:c r="AV1747" s="32" t="n">
        <x:f>AM1747*60/v01_SeasonSeconds</x:f>
        <x:v>0</x:v>
      </x:c>
    </x:row>
    <x:row r="1748">
      <x:c r="A1748" s="8" t="n">
        <x:f>A1747+1</x:f>
        <x:v>1745</x:v>
      </x:c>
      <x:c r="B1748" s="9" t="n">
        <x:f>A1748*v01_SeasonSeconds/60</x:f>
        <x:v>436.25</x:v>
      </x:c>
      <x:c r="C1748" s="9" t="n">
        <x:f>A1748/4</x:f>
        <x:v>436.25</x:v>
      </x:c>
      <x:c r="D1748" s="8" t="n">
        <x:f>IF(MOD(A1748,4)=0,1,0)</x:f>
        <x:v>0</x:v>
      </x:c>
      <x:c r="E1748" s="8" t="n">
        <x:f>IF(AND(F1747&lt;=9,AS1747&gt;=AR1747),1,0)</x:f>
        <x:v>0</x:v>
      </x:c>
      <x:c r="F1748" s="8" t="n">
        <x:f>MIN(10,F1747+E1748)</x:f>
        <x:v>10</x:v>
      </x:c>
      <x:c r="G1748" s="8" t="n">
        <x:f>MIN(F1748,9)+1</x:f>
        <x:v>10</x:v>
      </x:c>
      <x:c r="H1748" s="8" t="n">
        <x:f>IF(F1748&lt;=9,1,0)</x:f>
        <x:v>0</x:v>
      </x:c>
      <x:c r="I1748" s="9" t="n">
        <x:f>MIN(10,F1747+IF(AR1747&gt;0,MIN(1,AS1747/AR1747),1))</x:f>
        <x:v>10</x:v>
      </x:c>
      <x:c r="J1748" s="32" t="n">
        <x:f>INDEX(v01_FoodCap,G1748)*Arch_FoodCap*EXP(v01_CapsByProject*SUMPRODUCT((Cap_Point&lt;=I1748)*(Cap_Kind="Food")*Cap_Ln))</x:f>
        <x:v>12000</x:v>
      </x:c>
      <x:c r="K1748" s="32" t="n">
        <x:f>J1748*MIN(1,v01_LeanBase*EXP(v01_CapsByProject*SUMPRODUCT((Cap_Point&lt;=I1748)*(Cap_Kind="Lean")*Cap_Ln)))</x:f>
        <x:v>12000</x:v>
      </x:c>
      <x:c r="L1748" s="10" t="n">
        <x:f>INDEX(v01_HousingCap,G1748)*EXP(v01_CapsByProject*SUMPRODUCT((Cap_Point&lt;=I1748)*(Cap_Kind="Housing")*Cap_Ln))</x:f>
        <x:v>20000</x:v>
      </x:c>
      <x:c r="M1748" s="10" t="n">
        <x:f>INDEX(v01_GroupCap,G1748)*v01_CohesionFactor*EXP(v01_CapsByProject*SUMPRODUCT((Cap_Point&lt;=I1748)*(Cap_Kind="Group")*Cap_Ln))</x:f>
        <x:v>1000000</x:v>
      </x:c>
      <x:c r="N1748" s="32" t="n">
        <x:f>MIN(J1748,L1748,M1748)</x:f>
        <x:v>12000</x:v>
      </x:c>
      <x:c r="O1748" s="10" t="n">
        <x:f>AE1747*N1748</x:f>
        <x:v>180000</x:v>
      </x:c>
      <x:c r="P1748" s="9" t="n">
        <x:f>MIN(1,(AB1747/(AE1747*IF(v01_GroupInCrowding=1,N1748,MIN(J1748,L1748))))^v01_CrowdingExp)</x:f>
        <x:v>0.00024569414295285325</x:v>
      </x:c>
      <x:c r="Q1748" s="9" t="n">
        <x:f>IF(D1748=1,INDEX(v01_WinterMult,G1748),1)</x:f>
        <x:v>1</x:v>
      </x:c>
      <x:c r="R1748" s="9" t="n">
        <x:f>H1748*Z1747*v01_WomenShare*v01_BaseFertility*INDEX(v01_FertMult,G1748)*Arch_Fertility*(1-P1748)</x:f>
        <x:v>0</x:v>
      </x:c>
      <x:c r="S1748" s="9" t="n">
        <x:f>H1748*Y1747*INDEX(v01_MortChild,G1748)/4*Q1748</x:f>
        <x:v>0</x:v>
      </x:c>
      <x:c r="T1748" s="9" t="n">
        <x:f>H1748*Z1747*INDEX(v01_MortAdult,G1748)*Arch_AdultMort/4*Q1748</x:f>
        <x:v>0</x:v>
      </x:c>
      <x:c r="U1748" s="9" t="n">
        <x:f>H1748*AA1747*INDEX(v01_MortElder,G1748)/4*Q1748</x:f>
        <x:v>0</x:v>
      </x:c>
      <x:c r="V1748" s="9" t="n">
        <x:f>H1748*MAX(0,AB1747-O1748)*v01_OvercapLoss</x:f>
        <x:v>0</x:v>
      </x:c>
      <x:c r="W1748" s="9" t="n">
        <x:f>H1748*Y1747/(v01_ChildYears*4)</x:f>
        <x:v>0</x:v>
      </x:c>
      <x:c r="X1748" s="9" t="n">
        <x:f>H1748*Z1747/(v01_AdultYears*4)</x:f>
        <x:v>0</x:v>
      </x:c>
      <x:c r="Y1748" s="32" t="n">
        <x:f>Y1747+R1748-S1748-W1748-Y1747*V1748/AB1747</x:f>
        <x:v>14306.18539759397</x:v>
      </x:c>
      <x:c r="Z1748" s="32" t="n">
        <x:f>Z1747+W1748-X1748-T1748-Z1747*V1748/AB1747</x:f>
        <x:v>19354.456567879548</x:v>
      </x:c>
      <x:c r="AA1748" s="32" t="n">
        <x:f>AA1747+X1748-U1748-AA1747*V1748/AB1747</x:f>
        <x:v>11386.956063258198</x:v>
      </x:c>
      <x:c r="AB1748" s="10" t="n">
        <x:f>Y1748+Z1748+AA1748</x:f>
        <x:v>45047.59802873172</x:v>
      </x:c>
      <x:c r="AC1748" s="8" t="n">
        <x:f>IF(AND(v01_WinterTrigger=1,D1748=1,AB1747/AE1747&gt;=K1748),1,0)</x:f>
        <x:v>0</x:v>
      </x:c>
      <x:c r="AD1748" s="8" t="n">
        <x:f>H1748*IF(AND(OR(AB1747/AE1747&gt;=v01_FissionTrigger*N1748,AC1748=1),AB1747/AE1747*v01_DaughterShare&gt;=v01_MinDaughter),MAX(1,ROUND(AE1747*v01_FissionRate,0)),0)</x:f>
        <x:v>0</x:v>
      </x:c>
      <x:c r="AE1748" s="8" t="n">
        <x:f>IF(H1748=1,MAX(1,MIN(INDEX(v01_Smax,G1748),AE1747+AD1748)),AE1747)</x:f>
        <x:v>15</x:v>
      </x:c>
      <x:c r="AF1748" s="8" t="n">
        <x:f>MAX(0,AE1748-AE1747)</x:f>
        <x:v>0</x:v>
      </x:c>
      <x:c r="AG1748" s="9" t="str">
        <x:f>IF(AF1748&gt;0,B1748,"")</x:f>
      </x:c>
      <x:c r="AH1748" s="9" t="n">
        <x:f>IF(F1748&gt;=1,1,(1+v01_LowTiesShare*(AE1748-1))/AE1748)</x:f>
        <x:v>1</x:v>
      </x:c>
      <x:c r="AI1748" s="32" t="n">
        <x:f>(Z1748+v01_ElderCommons*INDEX(LM_Elder,G1748)*AA1748)*AH1748</x:f>
        <x:v>64139.732591141874</x:v>
      </x:c>
      <x:c r="AJ1748" s="32" t="n">
        <x:f>H1748*v01_CommonsCoef*AI1748^v01_CommonsExp*INDEX(LM_Commons,G1748)</x:f>
        <x:v>0</x:v>
      </x:c>
      <x:c r="AK1748" s="32" t="n">
        <x:f>H1748*v01_RoleScale*Arch_Roles*(AE1748*(INDEX(v01_ElderRolePerSett,G1748)*v01_OutElder*INDEX(LM_Elder,G1748)+INDEX(v01_ShamanPerSett,G1748)*v01_OutShaman)+Z1748*(INDEX(v01_PriestShare,G1748)*v01_OutPriest+INDEX(v01_ScribeShare,G1748)*v01_OutScribe*INDEX(LM_Scribe,G1748)+INDEX(v01_ScholarShare,G1748)*v01_OutScholar*INDEX(LM_Scholar,G1748)+INDEX(v01_ResearcherShare,G1748)*v01_OutResearcher*INDEX(LM_Researcher,G1748)))</x:f>
        <x:v>0</x:v>
      </x:c>
      <x:c r="AL1748" s="32" t="n">
        <x:f>H1748*v01_RoleScale*Arch_Roles*AE1748*INDEX(v01_MonasteryPerSett,G1748)*v01_OutMonastery*INDEX(LM_Monastery,G1748)</x:f>
        <x:v>0</x:v>
      </x:c>
      <x:c r="AM1748" s="32" t="n">
        <x:f>(AJ1748+AK1748+AL1748)/4*INDEX(LM_All,G1748)*INDEX(v01_Boon,G1748)*Arch_Insight</x:f>
        <x:v>0</x:v>
      </x:c>
      <x:c r="AN1748" s="32" t="n">
        <x:f>H1748*(v01_KHPerAdult*Z1748+v01_KHOfCommons*AJ1748/4*INDEX(LM_All,G1748))*v01_KHUsable*Arch_KH</x:f>
        <x:v>0</x:v>
      </x:c>
      <x:c r="AO1748" s="32" t="n">
        <x:f>MIN(AP1747+AN1748,AM1748*v01_KHMaxRatio)</x:f>
        <x:v>0</x:v>
      </x:c>
      <x:c r="AP1748" s="32" t="n">
        <x:f>AP1747+AN1748-AO1748</x:f>
        <x:v>0</x:v>
      </x:c>
      <x:c r="AQ1748" s="32" t="n">
        <x:f>AM1748+AO1748</x:f>
        <x:v>0</x:v>
      </x:c>
      <x:c r="AR1748" s="10" t="n">
        <x:f>IF(H1748=1,INDEX(v01_Req,G1748),0)</x:f>
        <x:v>0</x:v>
      </x:c>
      <x:c r="AS1748" s="32" t="n">
        <x:f>IF(H1748=1,IF(E1748=1,AS1747-AR1747,AS1747)+AQ1748,0)</x:f>
        <x:v>0</x:v>
      </x:c>
      <x:c r="AT1748" s="11" t="n">
        <x:f>IF(AR1748&gt;0,MIN(1,AS1748/AR1748),1)</x:f>
        <x:v>1</x:v>
      </x:c>
      <x:c r="AU1748" s="10" t="n">
        <x:f>AB1748/INDEX(v01_RepScale,G1748)</x:f>
        <x:v>90.09519605746344</x:v>
      </x:c>
      <x:c r="AV1748" s="32" t="n">
        <x:f>AM1748*60/v01_SeasonSeconds</x:f>
        <x:v>0</x:v>
      </x:c>
    </x:row>
    <x:row r="1749">
      <x:c r="A1749" s="8" t="n">
        <x:f>A1748+1</x:f>
        <x:v>1746</x:v>
      </x:c>
      <x:c r="B1749" s="9" t="n">
        <x:f>A1749*v01_SeasonSeconds/60</x:f>
        <x:v>436.5</x:v>
      </x:c>
      <x:c r="C1749" s="9" t="n">
        <x:f>A1749/4</x:f>
        <x:v>436.5</x:v>
      </x:c>
      <x:c r="D1749" s="8" t="n">
        <x:f>IF(MOD(A1749,4)=0,1,0)</x:f>
        <x:v>0</x:v>
      </x:c>
      <x:c r="E1749" s="8" t="n">
        <x:f>IF(AND(F1748&lt;=9,AS1748&gt;=AR1748),1,0)</x:f>
        <x:v>0</x:v>
      </x:c>
      <x:c r="F1749" s="8" t="n">
        <x:f>MIN(10,F1748+E1749)</x:f>
        <x:v>10</x:v>
      </x:c>
      <x:c r="G1749" s="8" t="n">
        <x:f>MIN(F1749,9)+1</x:f>
        <x:v>10</x:v>
      </x:c>
      <x:c r="H1749" s="8" t="n">
        <x:f>IF(F1749&lt;=9,1,0)</x:f>
        <x:v>0</x:v>
      </x:c>
      <x:c r="I1749" s="9" t="n">
        <x:f>MIN(10,F1748+IF(AR1748&gt;0,MIN(1,AS1748/AR1748),1))</x:f>
        <x:v>10</x:v>
      </x:c>
      <x:c r="J1749" s="32" t="n">
        <x:f>INDEX(v01_FoodCap,G1749)*Arch_FoodCap*EXP(v01_CapsByProject*SUMPRODUCT((Cap_Point&lt;=I1749)*(Cap_Kind="Food")*Cap_Ln))</x:f>
        <x:v>12000</x:v>
      </x:c>
      <x:c r="K1749" s="32" t="n">
        <x:f>J1749*MIN(1,v01_LeanBase*EXP(v01_CapsByProject*SUMPRODUCT((Cap_Point&lt;=I1749)*(Cap_Kind="Lean")*Cap_Ln)))</x:f>
        <x:v>12000</x:v>
      </x:c>
      <x:c r="L1749" s="10" t="n">
        <x:f>INDEX(v01_HousingCap,G1749)*EXP(v01_CapsByProject*SUMPRODUCT((Cap_Point&lt;=I1749)*(Cap_Kind="Housing")*Cap_Ln))</x:f>
        <x:v>20000</x:v>
      </x:c>
      <x:c r="M1749" s="10" t="n">
        <x:f>INDEX(v01_GroupCap,G1749)*v01_CohesionFactor*EXP(v01_CapsByProject*SUMPRODUCT((Cap_Point&lt;=I1749)*(Cap_Kind="Group")*Cap_Ln))</x:f>
        <x:v>1000000</x:v>
      </x:c>
      <x:c r="N1749" s="32" t="n">
        <x:f>MIN(J1749,L1749,M1749)</x:f>
        <x:v>12000</x:v>
      </x:c>
      <x:c r="O1749" s="10" t="n">
        <x:f>AE1748*N1749</x:f>
        <x:v>180000</x:v>
      </x:c>
      <x:c r="P1749" s="9" t="n">
        <x:f>MIN(1,(AB1748/(AE1748*IF(v01_GroupInCrowding=1,N1749,MIN(J1749,L1749))))^v01_CrowdingExp)</x:f>
        <x:v>0.00024569414295285325</x:v>
      </x:c>
      <x:c r="Q1749" s="9" t="n">
        <x:f>IF(D1749=1,INDEX(v01_WinterMult,G1749),1)</x:f>
        <x:v>1</x:v>
      </x:c>
      <x:c r="R1749" s="9" t="n">
        <x:f>H1749*Z1748*v01_WomenShare*v01_BaseFertility*INDEX(v01_FertMult,G1749)*Arch_Fertility*(1-P1749)</x:f>
        <x:v>0</x:v>
      </x:c>
      <x:c r="S1749" s="9" t="n">
        <x:f>H1749*Y1748*INDEX(v01_MortChild,G1749)/4*Q1749</x:f>
        <x:v>0</x:v>
      </x:c>
      <x:c r="T1749" s="9" t="n">
        <x:f>H1749*Z1748*INDEX(v01_MortAdult,G1749)*Arch_AdultMort/4*Q1749</x:f>
        <x:v>0</x:v>
      </x:c>
      <x:c r="U1749" s="9" t="n">
        <x:f>H1749*AA1748*INDEX(v01_MortElder,G1749)/4*Q1749</x:f>
        <x:v>0</x:v>
      </x:c>
      <x:c r="V1749" s="9" t="n">
        <x:f>H1749*MAX(0,AB1748-O1749)*v01_OvercapLoss</x:f>
        <x:v>0</x:v>
      </x:c>
      <x:c r="W1749" s="9" t="n">
        <x:f>H1749*Y1748/(v01_ChildYears*4)</x:f>
        <x:v>0</x:v>
      </x:c>
      <x:c r="X1749" s="9" t="n">
        <x:f>H1749*Z1748/(v01_AdultYears*4)</x:f>
        <x:v>0</x:v>
      </x:c>
      <x:c r="Y1749" s="32" t="n">
        <x:f>Y1748+R1749-S1749-W1749-Y1748*V1749/AB1748</x:f>
        <x:v>14306.18539759397</x:v>
      </x:c>
      <x:c r="Z1749" s="32" t="n">
        <x:f>Z1748+W1749-X1749-T1749-Z1748*V1749/AB1748</x:f>
        <x:v>19354.456567879548</x:v>
      </x:c>
      <x:c r="AA1749" s="32" t="n">
        <x:f>AA1748+X1749-U1749-AA1748*V1749/AB1748</x:f>
        <x:v>11386.956063258198</x:v>
      </x:c>
      <x:c r="AB1749" s="10" t="n">
        <x:f>Y1749+Z1749+AA1749</x:f>
        <x:v>45047.59802873172</x:v>
      </x:c>
      <x:c r="AC1749" s="8" t="n">
        <x:f>IF(AND(v01_WinterTrigger=1,D1749=1,AB1748/AE1748&gt;=K1749),1,0)</x:f>
        <x:v>0</x:v>
      </x:c>
      <x:c r="AD1749" s="8" t="n">
        <x:f>H1749*IF(AND(OR(AB1748/AE1748&gt;=v01_FissionTrigger*N1749,AC1749=1),AB1748/AE1748*v01_DaughterShare&gt;=v01_MinDaughter),MAX(1,ROUND(AE1748*v01_FissionRate,0)),0)</x:f>
        <x:v>0</x:v>
      </x:c>
      <x:c r="AE1749" s="8" t="n">
        <x:f>IF(H1749=1,MAX(1,MIN(INDEX(v01_Smax,G1749),AE1748+AD1749)),AE1748)</x:f>
        <x:v>15</x:v>
      </x:c>
      <x:c r="AF1749" s="8" t="n">
        <x:f>MAX(0,AE1749-AE1748)</x:f>
        <x:v>0</x:v>
      </x:c>
      <x:c r="AG1749" s="9" t="str">
        <x:f>IF(AF1749&gt;0,B1749,"")</x:f>
      </x:c>
      <x:c r="AH1749" s="9" t="n">
        <x:f>IF(F1749&gt;=1,1,(1+v01_LowTiesShare*(AE1749-1))/AE1749)</x:f>
        <x:v>1</x:v>
      </x:c>
      <x:c r="AI1749" s="32" t="n">
        <x:f>(Z1749+v01_ElderCommons*INDEX(LM_Elder,G1749)*AA1749)*AH1749</x:f>
        <x:v>64139.732591141874</x:v>
      </x:c>
      <x:c r="AJ1749" s="32" t="n">
        <x:f>H1749*v01_CommonsCoef*AI1749^v01_CommonsExp*INDEX(LM_Commons,G1749)</x:f>
        <x:v>0</x:v>
      </x:c>
      <x:c r="AK1749" s="32" t="n">
        <x:f>H1749*v01_RoleScale*Arch_Roles*(AE1749*(INDEX(v01_ElderRolePerSett,G1749)*v01_OutElder*INDEX(LM_Elder,G1749)+INDEX(v01_ShamanPerSett,G1749)*v01_OutShaman)+Z1749*(INDEX(v01_PriestShare,G1749)*v01_OutPriest+INDEX(v01_ScribeShare,G1749)*v01_OutScribe*INDEX(LM_Scribe,G1749)+INDEX(v01_ScholarShare,G1749)*v01_OutScholar*INDEX(LM_Scholar,G1749)+INDEX(v01_ResearcherShare,G1749)*v01_OutResearcher*INDEX(LM_Researcher,G1749)))</x:f>
        <x:v>0</x:v>
      </x:c>
      <x:c r="AL1749" s="32" t="n">
        <x:f>H1749*v01_RoleScale*Arch_Roles*AE1749*INDEX(v01_MonasteryPerSett,G1749)*v01_OutMonastery*INDEX(LM_Monastery,G1749)</x:f>
        <x:v>0</x:v>
      </x:c>
      <x:c r="AM1749" s="32" t="n">
        <x:f>(AJ1749+AK1749+AL1749)/4*INDEX(LM_All,G1749)*INDEX(v01_Boon,G1749)*Arch_Insight</x:f>
        <x:v>0</x:v>
      </x:c>
      <x:c r="AN1749" s="32" t="n">
        <x:f>H1749*(v01_KHPerAdult*Z1749+v01_KHOfCommons*AJ1749/4*INDEX(LM_All,G1749))*v01_KHUsable*Arch_KH</x:f>
        <x:v>0</x:v>
      </x:c>
      <x:c r="AO1749" s="32" t="n">
        <x:f>MIN(AP1748+AN1749,AM1749*v01_KHMaxRatio)</x:f>
        <x:v>0</x:v>
      </x:c>
      <x:c r="AP1749" s="32" t="n">
        <x:f>AP1748+AN1749-AO1749</x:f>
        <x:v>0</x:v>
      </x:c>
      <x:c r="AQ1749" s="32" t="n">
        <x:f>AM1749+AO1749</x:f>
        <x:v>0</x:v>
      </x:c>
      <x:c r="AR1749" s="10" t="n">
        <x:f>IF(H1749=1,INDEX(v01_Req,G1749),0)</x:f>
        <x:v>0</x:v>
      </x:c>
      <x:c r="AS1749" s="32" t="n">
        <x:f>IF(H1749=1,IF(E1749=1,AS1748-AR1748,AS1748)+AQ1749,0)</x:f>
        <x:v>0</x:v>
      </x:c>
      <x:c r="AT1749" s="11" t="n">
        <x:f>IF(AR1749&gt;0,MIN(1,AS1749/AR1749),1)</x:f>
        <x:v>1</x:v>
      </x:c>
      <x:c r="AU1749" s="10" t="n">
        <x:f>AB1749/INDEX(v01_RepScale,G1749)</x:f>
        <x:v>90.09519605746344</x:v>
      </x:c>
      <x:c r="AV1749" s="32" t="n">
        <x:f>AM1749*60/v01_SeasonSeconds</x:f>
        <x:v>0</x:v>
      </x:c>
    </x:row>
    <x:row r="1750">
      <x:c r="A1750" s="8" t="n">
        <x:f>A1749+1</x:f>
        <x:v>1747</x:v>
      </x:c>
      <x:c r="B1750" s="9" t="n">
        <x:f>A1750*v01_SeasonSeconds/60</x:f>
        <x:v>436.75</x:v>
      </x:c>
      <x:c r="C1750" s="9" t="n">
        <x:f>A1750/4</x:f>
        <x:v>436.75</x:v>
      </x:c>
      <x:c r="D1750" s="8" t="n">
        <x:f>IF(MOD(A1750,4)=0,1,0)</x:f>
        <x:v>0</x:v>
      </x:c>
      <x:c r="E1750" s="8" t="n">
        <x:f>IF(AND(F1749&lt;=9,AS1749&gt;=AR1749),1,0)</x:f>
        <x:v>0</x:v>
      </x:c>
      <x:c r="F1750" s="8" t="n">
        <x:f>MIN(10,F1749+E1750)</x:f>
        <x:v>10</x:v>
      </x:c>
      <x:c r="G1750" s="8" t="n">
        <x:f>MIN(F1750,9)+1</x:f>
        <x:v>10</x:v>
      </x:c>
      <x:c r="H1750" s="8" t="n">
        <x:f>IF(F1750&lt;=9,1,0)</x:f>
        <x:v>0</x:v>
      </x:c>
      <x:c r="I1750" s="9" t="n">
        <x:f>MIN(10,F1749+IF(AR1749&gt;0,MIN(1,AS1749/AR1749),1))</x:f>
        <x:v>10</x:v>
      </x:c>
      <x:c r="J1750" s="32" t="n">
        <x:f>INDEX(v01_FoodCap,G1750)*Arch_FoodCap*EXP(v01_CapsByProject*SUMPRODUCT((Cap_Point&lt;=I1750)*(Cap_Kind="Food")*Cap_Ln))</x:f>
        <x:v>12000</x:v>
      </x:c>
      <x:c r="K1750" s="32" t="n">
        <x:f>J1750*MIN(1,v01_LeanBase*EXP(v01_CapsByProject*SUMPRODUCT((Cap_Point&lt;=I1750)*(Cap_Kind="Lean")*Cap_Ln)))</x:f>
        <x:v>12000</x:v>
      </x:c>
      <x:c r="L1750" s="10" t="n">
        <x:f>INDEX(v01_HousingCap,G1750)*EXP(v01_CapsByProject*SUMPRODUCT((Cap_Point&lt;=I1750)*(Cap_Kind="Housing")*Cap_Ln))</x:f>
        <x:v>20000</x:v>
      </x:c>
      <x:c r="M1750" s="10" t="n">
        <x:f>INDEX(v01_GroupCap,G1750)*v01_CohesionFactor*EXP(v01_CapsByProject*SUMPRODUCT((Cap_Point&lt;=I1750)*(Cap_Kind="Group")*Cap_Ln))</x:f>
        <x:v>1000000</x:v>
      </x:c>
      <x:c r="N1750" s="32" t="n">
        <x:f>MIN(J1750,L1750,M1750)</x:f>
        <x:v>12000</x:v>
      </x:c>
      <x:c r="O1750" s="10" t="n">
        <x:f>AE1749*N1750</x:f>
        <x:v>180000</x:v>
      </x:c>
      <x:c r="P1750" s="9" t="n">
        <x:f>MIN(1,(AB1749/(AE1749*IF(v01_GroupInCrowding=1,N1750,MIN(J1750,L1750))))^v01_CrowdingExp)</x:f>
        <x:v>0.00024569414295285325</x:v>
      </x:c>
      <x:c r="Q1750" s="9" t="n">
        <x:f>IF(D1750=1,INDEX(v01_WinterMult,G1750),1)</x:f>
        <x:v>1</x:v>
      </x:c>
      <x:c r="R1750" s="9" t="n">
        <x:f>H1750*Z1749*v01_WomenShare*v01_BaseFertility*INDEX(v01_FertMult,G1750)*Arch_Fertility*(1-P1750)</x:f>
        <x:v>0</x:v>
      </x:c>
      <x:c r="S1750" s="9" t="n">
        <x:f>H1750*Y1749*INDEX(v01_MortChild,G1750)/4*Q1750</x:f>
        <x:v>0</x:v>
      </x:c>
      <x:c r="T1750" s="9" t="n">
        <x:f>H1750*Z1749*INDEX(v01_MortAdult,G1750)*Arch_AdultMort/4*Q1750</x:f>
        <x:v>0</x:v>
      </x:c>
      <x:c r="U1750" s="9" t="n">
        <x:f>H1750*AA1749*INDEX(v01_MortElder,G1750)/4*Q1750</x:f>
        <x:v>0</x:v>
      </x:c>
      <x:c r="V1750" s="9" t="n">
        <x:f>H1750*MAX(0,AB1749-O1750)*v01_OvercapLoss</x:f>
        <x:v>0</x:v>
      </x:c>
      <x:c r="W1750" s="9" t="n">
        <x:f>H1750*Y1749/(v01_ChildYears*4)</x:f>
        <x:v>0</x:v>
      </x:c>
      <x:c r="X1750" s="9" t="n">
        <x:f>H1750*Z1749/(v01_AdultYears*4)</x:f>
        <x:v>0</x:v>
      </x:c>
      <x:c r="Y1750" s="32" t="n">
        <x:f>Y1749+R1750-S1750-W1750-Y1749*V1750/AB1749</x:f>
        <x:v>14306.18539759397</x:v>
      </x:c>
      <x:c r="Z1750" s="32" t="n">
        <x:f>Z1749+W1750-X1750-T1750-Z1749*V1750/AB1749</x:f>
        <x:v>19354.456567879548</x:v>
      </x:c>
      <x:c r="AA1750" s="32" t="n">
        <x:f>AA1749+X1750-U1750-AA1749*V1750/AB1749</x:f>
        <x:v>11386.956063258198</x:v>
      </x:c>
      <x:c r="AB1750" s="10" t="n">
        <x:f>Y1750+Z1750+AA1750</x:f>
        <x:v>45047.59802873172</x:v>
      </x:c>
      <x:c r="AC1750" s="8" t="n">
        <x:f>IF(AND(v01_WinterTrigger=1,D1750=1,AB1749/AE1749&gt;=K1750),1,0)</x:f>
        <x:v>0</x:v>
      </x:c>
      <x:c r="AD1750" s="8" t="n">
        <x:f>H1750*IF(AND(OR(AB1749/AE1749&gt;=v01_FissionTrigger*N1750,AC1750=1),AB1749/AE1749*v01_DaughterShare&gt;=v01_MinDaughter),MAX(1,ROUND(AE1749*v01_FissionRate,0)),0)</x:f>
        <x:v>0</x:v>
      </x:c>
      <x:c r="AE1750" s="8" t="n">
        <x:f>IF(H1750=1,MAX(1,MIN(INDEX(v01_Smax,G1750),AE1749+AD1750)),AE1749)</x:f>
        <x:v>15</x:v>
      </x:c>
      <x:c r="AF1750" s="8" t="n">
        <x:f>MAX(0,AE1750-AE1749)</x:f>
        <x:v>0</x:v>
      </x:c>
      <x:c r="AG1750" s="9" t="str">
        <x:f>IF(AF1750&gt;0,B1750,"")</x:f>
      </x:c>
      <x:c r="AH1750" s="9" t="n">
        <x:f>IF(F1750&gt;=1,1,(1+v01_LowTiesShare*(AE1750-1))/AE1750)</x:f>
        <x:v>1</x:v>
      </x:c>
      <x:c r="AI1750" s="32" t="n">
        <x:f>(Z1750+v01_ElderCommons*INDEX(LM_Elder,G1750)*AA1750)*AH1750</x:f>
        <x:v>64139.732591141874</x:v>
      </x:c>
      <x:c r="AJ1750" s="32" t="n">
        <x:f>H1750*v01_CommonsCoef*AI1750^v01_CommonsExp*INDEX(LM_Commons,G1750)</x:f>
        <x:v>0</x:v>
      </x:c>
      <x:c r="AK1750" s="32" t="n">
        <x:f>H1750*v01_RoleScale*Arch_Roles*(AE1750*(INDEX(v01_ElderRolePerSett,G1750)*v01_OutElder*INDEX(LM_Elder,G1750)+INDEX(v01_ShamanPerSett,G1750)*v01_OutShaman)+Z1750*(INDEX(v01_PriestShare,G1750)*v01_OutPriest+INDEX(v01_ScribeShare,G1750)*v01_OutScribe*INDEX(LM_Scribe,G1750)+INDEX(v01_ScholarShare,G1750)*v01_OutScholar*INDEX(LM_Scholar,G1750)+INDEX(v01_ResearcherShare,G1750)*v01_OutResearcher*INDEX(LM_Researcher,G1750)))</x:f>
        <x:v>0</x:v>
      </x:c>
      <x:c r="AL1750" s="32" t="n">
        <x:f>H1750*v01_RoleScale*Arch_Roles*AE1750*INDEX(v01_MonasteryPerSett,G1750)*v01_OutMonastery*INDEX(LM_Monastery,G1750)</x:f>
        <x:v>0</x:v>
      </x:c>
      <x:c r="AM1750" s="32" t="n">
        <x:f>(AJ1750+AK1750+AL1750)/4*INDEX(LM_All,G1750)*INDEX(v01_Boon,G1750)*Arch_Insight</x:f>
        <x:v>0</x:v>
      </x:c>
      <x:c r="AN1750" s="32" t="n">
        <x:f>H1750*(v01_KHPerAdult*Z1750+v01_KHOfCommons*AJ1750/4*INDEX(LM_All,G1750))*v01_KHUsable*Arch_KH</x:f>
        <x:v>0</x:v>
      </x:c>
      <x:c r="AO1750" s="32" t="n">
        <x:f>MIN(AP1749+AN1750,AM1750*v01_KHMaxRatio)</x:f>
        <x:v>0</x:v>
      </x:c>
      <x:c r="AP1750" s="32" t="n">
        <x:f>AP1749+AN1750-AO1750</x:f>
        <x:v>0</x:v>
      </x:c>
      <x:c r="AQ1750" s="32" t="n">
        <x:f>AM1750+AO1750</x:f>
        <x:v>0</x:v>
      </x:c>
      <x:c r="AR1750" s="10" t="n">
        <x:f>IF(H1750=1,INDEX(v01_Req,G1750),0)</x:f>
        <x:v>0</x:v>
      </x:c>
      <x:c r="AS1750" s="32" t="n">
        <x:f>IF(H1750=1,IF(E1750=1,AS1749-AR1749,AS1749)+AQ1750,0)</x:f>
        <x:v>0</x:v>
      </x:c>
      <x:c r="AT1750" s="11" t="n">
        <x:f>IF(AR1750&gt;0,MIN(1,AS1750/AR1750),1)</x:f>
        <x:v>1</x:v>
      </x:c>
      <x:c r="AU1750" s="10" t="n">
        <x:f>AB1750/INDEX(v01_RepScale,G1750)</x:f>
        <x:v>90.09519605746344</x:v>
      </x:c>
      <x:c r="AV1750" s="32" t="n">
        <x:f>AM1750*60/v01_SeasonSeconds</x:f>
        <x:v>0</x:v>
      </x:c>
    </x:row>
    <x:row r="1751">
      <x:c r="A1751" s="8" t="n">
        <x:f>A1750+1</x:f>
        <x:v>1748</x:v>
      </x:c>
      <x:c r="B1751" s="9" t="n">
        <x:f>A1751*v01_SeasonSeconds/60</x:f>
        <x:v>437</x:v>
      </x:c>
      <x:c r="C1751" s="9" t="n">
        <x:f>A1751/4</x:f>
        <x:v>437</x:v>
      </x:c>
      <x:c r="D1751" s="8" t="n">
        <x:f>IF(MOD(A1751,4)=0,1,0)</x:f>
        <x:v>1</x:v>
      </x:c>
      <x:c r="E1751" s="8" t="n">
        <x:f>IF(AND(F1750&lt;=9,AS1750&gt;=AR1750),1,0)</x:f>
        <x:v>0</x:v>
      </x:c>
      <x:c r="F1751" s="8" t="n">
        <x:f>MIN(10,F1750+E1751)</x:f>
        <x:v>10</x:v>
      </x:c>
      <x:c r="G1751" s="8" t="n">
        <x:f>MIN(F1751,9)+1</x:f>
        <x:v>10</x:v>
      </x:c>
      <x:c r="H1751" s="8" t="n">
        <x:f>IF(F1751&lt;=9,1,0)</x:f>
        <x:v>0</x:v>
      </x:c>
      <x:c r="I1751" s="9" t="n">
        <x:f>MIN(10,F1750+IF(AR1750&gt;0,MIN(1,AS1750/AR1750),1))</x:f>
        <x:v>10</x:v>
      </x:c>
      <x:c r="J1751" s="32" t="n">
        <x:f>INDEX(v01_FoodCap,G1751)*Arch_FoodCap*EXP(v01_CapsByProject*SUMPRODUCT((Cap_Point&lt;=I1751)*(Cap_Kind="Food")*Cap_Ln))</x:f>
        <x:v>12000</x:v>
      </x:c>
      <x:c r="K1751" s="32" t="n">
        <x:f>J1751*MIN(1,v01_LeanBase*EXP(v01_CapsByProject*SUMPRODUCT((Cap_Point&lt;=I1751)*(Cap_Kind="Lean")*Cap_Ln)))</x:f>
        <x:v>12000</x:v>
      </x:c>
      <x:c r="L1751" s="10" t="n">
        <x:f>INDEX(v01_HousingCap,G1751)*EXP(v01_CapsByProject*SUMPRODUCT((Cap_Point&lt;=I1751)*(Cap_Kind="Housing")*Cap_Ln))</x:f>
        <x:v>20000</x:v>
      </x:c>
      <x:c r="M1751" s="10" t="n">
        <x:f>INDEX(v01_GroupCap,G1751)*v01_CohesionFactor*EXP(v01_CapsByProject*SUMPRODUCT((Cap_Point&lt;=I1751)*(Cap_Kind="Group")*Cap_Ln))</x:f>
        <x:v>1000000</x:v>
      </x:c>
      <x:c r="N1751" s="32" t="n">
        <x:f>MIN(J1751,L1751,M1751)</x:f>
        <x:v>12000</x:v>
      </x:c>
      <x:c r="O1751" s="10" t="n">
        <x:f>AE1750*N1751</x:f>
        <x:v>180000</x:v>
      </x:c>
      <x:c r="P1751" s="9" t="n">
        <x:f>MIN(1,(AB1750/(AE1750*IF(v01_GroupInCrowding=1,N1751,MIN(J1751,L1751))))^v01_CrowdingExp)</x:f>
        <x:v>0.00024569414295285325</x:v>
      </x:c>
      <x:c r="Q1751" s="9" t="n">
        <x:f>IF(D1751=1,INDEX(v01_WinterMult,G1751),1)</x:f>
        <x:v>1</x:v>
      </x:c>
      <x:c r="R1751" s="9" t="n">
        <x:f>H1751*Z1750*v01_WomenShare*v01_BaseFertility*INDEX(v01_FertMult,G1751)*Arch_Fertility*(1-P1751)</x:f>
        <x:v>0</x:v>
      </x:c>
      <x:c r="S1751" s="9" t="n">
        <x:f>H1751*Y1750*INDEX(v01_MortChild,G1751)/4*Q1751</x:f>
        <x:v>0</x:v>
      </x:c>
      <x:c r="T1751" s="9" t="n">
        <x:f>H1751*Z1750*INDEX(v01_MortAdult,G1751)*Arch_AdultMort/4*Q1751</x:f>
        <x:v>0</x:v>
      </x:c>
      <x:c r="U1751" s="9" t="n">
        <x:f>H1751*AA1750*INDEX(v01_MortElder,G1751)/4*Q1751</x:f>
        <x:v>0</x:v>
      </x:c>
      <x:c r="V1751" s="9" t="n">
        <x:f>H1751*MAX(0,AB1750-O1751)*v01_OvercapLoss</x:f>
        <x:v>0</x:v>
      </x:c>
      <x:c r="W1751" s="9" t="n">
        <x:f>H1751*Y1750/(v01_ChildYears*4)</x:f>
        <x:v>0</x:v>
      </x:c>
      <x:c r="X1751" s="9" t="n">
        <x:f>H1751*Z1750/(v01_AdultYears*4)</x:f>
        <x:v>0</x:v>
      </x:c>
      <x:c r="Y1751" s="32" t="n">
        <x:f>Y1750+R1751-S1751-W1751-Y1750*V1751/AB1750</x:f>
        <x:v>14306.18539759397</x:v>
      </x:c>
      <x:c r="Z1751" s="32" t="n">
        <x:f>Z1750+W1751-X1751-T1751-Z1750*V1751/AB1750</x:f>
        <x:v>19354.456567879548</x:v>
      </x:c>
      <x:c r="AA1751" s="32" t="n">
        <x:f>AA1750+X1751-U1751-AA1750*V1751/AB1750</x:f>
        <x:v>11386.956063258198</x:v>
      </x:c>
      <x:c r="AB1751" s="10" t="n">
        <x:f>Y1751+Z1751+AA1751</x:f>
        <x:v>45047.59802873172</x:v>
      </x:c>
      <x:c r="AC1751" s="8" t="n">
        <x:f>IF(AND(v01_WinterTrigger=1,D1751=1,AB1750/AE1750&gt;=K1751),1,0)</x:f>
        <x:v>0</x:v>
      </x:c>
      <x:c r="AD1751" s="8" t="n">
        <x:f>H1751*IF(AND(OR(AB1750/AE1750&gt;=v01_FissionTrigger*N1751,AC1751=1),AB1750/AE1750*v01_DaughterShare&gt;=v01_MinDaughter),MAX(1,ROUND(AE1750*v01_FissionRate,0)),0)</x:f>
        <x:v>0</x:v>
      </x:c>
      <x:c r="AE1751" s="8" t="n">
        <x:f>IF(H1751=1,MAX(1,MIN(INDEX(v01_Smax,G1751),AE1750+AD1751)),AE1750)</x:f>
        <x:v>15</x:v>
      </x:c>
      <x:c r="AF1751" s="8" t="n">
        <x:f>MAX(0,AE1751-AE1750)</x:f>
        <x:v>0</x:v>
      </x:c>
      <x:c r="AG1751" s="9" t="str">
        <x:f>IF(AF1751&gt;0,B1751,"")</x:f>
      </x:c>
      <x:c r="AH1751" s="9" t="n">
        <x:f>IF(F1751&gt;=1,1,(1+v01_LowTiesShare*(AE1751-1))/AE1751)</x:f>
        <x:v>1</x:v>
      </x:c>
      <x:c r="AI1751" s="32" t="n">
        <x:f>(Z1751+v01_ElderCommons*INDEX(LM_Elder,G1751)*AA1751)*AH1751</x:f>
        <x:v>64139.732591141874</x:v>
      </x:c>
      <x:c r="AJ1751" s="32" t="n">
        <x:f>H1751*v01_CommonsCoef*AI1751^v01_CommonsExp*INDEX(LM_Commons,G1751)</x:f>
        <x:v>0</x:v>
      </x:c>
      <x:c r="AK1751" s="32" t="n">
        <x:f>H1751*v01_RoleScale*Arch_Roles*(AE1751*(INDEX(v01_ElderRolePerSett,G1751)*v01_OutElder*INDEX(LM_Elder,G1751)+INDEX(v01_ShamanPerSett,G1751)*v01_OutShaman)+Z1751*(INDEX(v01_PriestShare,G1751)*v01_OutPriest+INDEX(v01_ScribeShare,G1751)*v01_OutScribe*INDEX(LM_Scribe,G1751)+INDEX(v01_ScholarShare,G1751)*v01_OutScholar*INDEX(LM_Scholar,G1751)+INDEX(v01_ResearcherShare,G1751)*v01_OutResearcher*INDEX(LM_Researcher,G1751)))</x:f>
        <x:v>0</x:v>
      </x:c>
      <x:c r="AL1751" s="32" t="n">
        <x:f>H1751*v01_RoleScale*Arch_Roles*AE1751*INDEX(v01_MonasteryPerSett,G1751)*v01_OutMonastery*INDEX(LM_Monastery,G1751)</x:f>
        <x:v>0</x:v>
      </x:c>
      <x:c r="AM1751" s="32" t="n">
        <x:f>(AJ1751+AK1751+AL1751)/4*INDEX(LM_All,G1751)*INDEX(v01_Boon,G1751)*Arch_Insight</x:f>
        <x:v>0</x:v>
      </x:c>
      <x:c r="AN1751" s="32" t="n">
        <x:f>H1751*(v01_KHPerAdult*Z1751+v01_KHOfCommons*AJ1751/4*INDEX(LM_All,G1751))*v01_KHUsable*Arch_KH</x:f>
        <x:v>0</x:v>
      </x:c>
      <x:c r="AO1751" s="32" t="n">
        <x:f>MIN(AP1750+AN1751,AM1751*v01_KHMaxRatio)</x:f>
        <x:v>0</x:v>
      </x:c>
      <x:c r="AP1751" s="32" t="n">
        <x:f>AP1750+AN1751-AO1751</x:f>
        <x:v>0</x:v>
      </x:c>
      <x:c r="AQ1751" s="32" t="n">
        <x:f>AM1751+AO1751</x:f>
        <x:v>0</x:v>
      </x:c>
      <x:c r="AR1751" s="10" t="n">
        <x:f>IF(H1751=1,INDEX(v01_Req,G1751),0)</x:f>
        <x:v>0</x:v>
      </x:c>
      <x:c r="AS1751" s="32" t="n">
        <x:f>IF(H1751=1,IF(E1751=1,AS1750-AR1750,AS1750)+AQ1751,0)</x:f>
        <x:v>0</x:v>
      </x:c>
      <x:c r="AT1751" s="11" t="n">
        <x:f>IF(AR1751&gt;0,MIN(1,AS1751/AR1751),1)</x:f>
        <x:v>1</x:v>
      </x:c>
      <x:c r="AU1751" s="10" t="n">
        <x:f>AB1751/INDEX(v01_RepScale,G1751)</x:f>
        <x:v>90.09519605746344</x:v>
      </x:c>
      <x:c r="AV1751" s="32" t="n">
        <x:f>AM1751*60/v01_SeasonSeconds</x:f>
        <x:v>0</x:v>
      </x:c>
    </x:row>
    <x:row r="1752">
      <x:c r="A1752" s="8" t="n">
        <x:f>A1751+1</x:f>
        <x:v>1749</x:v>
      </x:c>
      <x:c r="B1752" s="9" t="n">
        <x:f>A1752*v01_SeasonSeconds/60</x:f>
        <x:v>437.25</x:v>
      </x:c>
      <x:c r="C1752" s="9" t="n">
        <x:f>A1752/4</x:f>
        <x:v>437.25</x:v>
      </x:c>
      <x:c r="D1752" s="8" t="n">
        <x:f>IF(MOD(A1752,4)=0,1,0)</x:f>
        <x:v>0</x:v>
      </x:c>
      <x:c r="E1752" s="8" t="n">
        <x:f>IF(AND(F1751&lt;=9,AS1751&gt;=AR1751),1,0)</x:f>
        <x:v>0</x:v>
      </x:c>
      <x:c r="F1752" s="8" t="n">
        <x:f>MIN(10,F1751+E1752)</x:f>
        <x:v>10</x:v>
      </x:c>
      <x:c r="G1752" s="8" t="n">
        <x:f>MIN(F1752,9)+1</x:f>
        <x:v>10</x:v>
      </x:c>
      <x:c r="H1752" s="8" t="n">
        <x:f>IF(F1752&lt;=9,1,0)</x:f>
        <x:v>0</x:v>
      </x:c>
      <x:c r="I1752" s="9" t="n">
        <x:f>MIN(10,F1751+IF(AR1751&gt;0,MIN(1,AS1751/AR1751),1))</x:f>
        <x:v>10</x:v>
      </x:c>
      <x:c r="J1752" s="32" t="n">
        <x:f>INDEX(v01_FoodCap,G1752)*Arch_FoodCap*EXP(v01_CapsByProject*SUMPRODUCT((Cap_Point&lt;=I1752)*(Cap_Kind="Food")*Cap_Ln))</x:f>
        <x:v>12000</x:v>
      </x:c>
      <x:c r="K1752" s="32" t="n">
        <x:f>J1752*MIN(1,v01_LeanBase*EXP(v01_CapsByProject*SUMPRODUCT((Cap_Point&lt;=I1752)*(Cap_Kind="Lean")*Cap_Ln)))</x:f>
        <x:v>12000</x:v>
      </x:c>
      <x:c r="L1752" s="10" t="n">
        <x:f>INDEX(v01_HousingCap,G1752)*EXP(v01_CapsByProject*SUMPRODUCT((Cap_Point&lt;=I1752)*(Cap_Kind="Housing")*Cap_Ln))</x:f>
        <x:v>20000</x:v>
      </x:c>
      <x:c r="M1752" s="10" t="n">
        <x:f>INDEX(v01_GroupCap,G1752)*v01_CohesionFactor*EXP(v01_CapsByProject*SUMPRODUCT((Cap_Point&lt;=I1752)*(Cap_Kind="Group")*Cap_Ln))</x:f>
        <x:v>1000000</x:v>
      </x:c>
      <x:c r="N1752" s="32" t="n">
        <x:f>MIN(J1752,L1752,M1752)</x:f>
        <x:v>12000</x:v>
      </x:c>
      <x:c r="O1752" s="10" t="n">
        <x:f>AE1751*N1752</x:f>
        <x:v>180000</x:v>
      </x:c>
      <x:c r="P1752" s="9" t="n">
        <x:f>MIN(1,(AB1751/(AE1751*IF(v01_GroupInCrowding=1,N1752,MIN(J1752,L1752))))^v01_CrowdingExp)</x:f>
        <x:v>0.00024569414295285325</x:v>
      </x:c>
      <x:c r="Q1752" s="9" t="n">
        <x:f>IF(D1752=1,INDEX(v01_WinterMult,G1752),1)</x:f>
        <x:v>1</x:v>
      </x:c>
      <x:c r="R1752" s="9" t="n">
        <x:f>H1752*Z1751*v01_WomenShare*v01_BaseFertility*INDEX(v01_FertMult,G1752)*Arch_Fertility*(1-P1752)</x:f>
        <x:v>0</x:v>
      </x:c>
      <x:c r="S1752" s="9" t="n">
        <x:f>H1752*Y1751*INDEX(v01_MortChild,G1752)/4*Q1752</x:f>
        <x:v>0</x:v>
      </x:c>
      <x:c r="T1752" s="9" t="n">
        <x:f>H1752*Z1751*INDEX(v01_MortAdult,G1752)*Arch_AdultMort/4*Q1752</x:f>
        <x:v>0</x:v>
      </x:c>
      <x:c r="U1752" s="9" t="n">
        <x:f>H1752*AA1751*INDEX(v01_MortElder,G1752)/4*Q1752</x:f>
        <x:v>0</x:v>
      </x:c>
      <x:c r="V1752" s="9" t="n">
        <x:f>H1752*MAX(0,AB1751-O1752)*v01_OvercapLoss</x:f>
        <x:v>0</x:v>
      </x:c>
      <x:c r="W1752" s="9" t="n">
        <x:f>H1752*Y1751/(v01_ChildYears*4)</x:f>
        <x:v>0</x:v>
      </x:c>
      <x:c r="X1752" s="9" t="n">
        <x:f>H1752*Z1751/(v01_AdultYears*4)</x:f>
        <x:v>0</x:v>
      </x:c>
      <x:c r="Y1752" s="32" t="n">
        <x:f>Y1751+R1752-S1752-W1752-Y1751*V1752/AB1751</x:f>
        <x:v>14306.18539759397</x:v>
      </x:c>
      <x:c r="Z1752" s="32" t="n">
        <x:f>Z1751+W1752-X1752-T1752-Z1751*V1752/AB1751</x:f>
        <x:v>19354.456567879548</x:v>
      </x:c>
      <x:c r="AA1752" s="32" t="n">
        <x:f>AA1751+X1752-U1752-AA1751*V1752/AB1751</x:f>
        <x:v>11386.956063258198</x:v>
      </x:c>
      <x:c r="AB1752" s="10" t="n">
        <x:f>Y1752+Z1752+AA1752</x:f>
        <x:v>45047.59802873172</x:v>
      </x:c>
      <x:c r="AC1752" s="8" t="n">
        <x:f>IF(AND(v01_WinterTrigger=1,D1752=1,AB1751/AE1751&gt;=K1752),1,0)</x:f>
        <x:v>0</x:v>
      </x:c>
      <x:c r="AD1752" s="8" t="n">
        <x:f>H1752*IF(AND(OR(AB1751/AE1751&gt;=v01_FissionTrigger*N1752,AC1752=1),AB1751/AE1751*v01_DaughterShare&gt;=v01_MinDaughter),MAX(1,ROUND(AE1751*v01_FissionRate,0)),0)</x:f>
        <x:v>0</x:v>
      </x:c>
      <x:c r="AE1752" s="8" t="n">
        <x:f>IF(H1752=1,MAX(1,MIN(INDEX(v01_Smax,G1752),AE1751+AD1752)),AE1751)</x:f>
        <x:v>15</x:v>
      </x:c>
      <x:c r="AF1752" s="8" t="n">
        <x:f>MAX(0,AE1752-AE1751)</x:f>
        <x:v>0</x:v>
      </x:c>
      <x:c r="AG1752" s="9" t="str">
        <x:f>IF(AF1752&gt;0,B1752,"")</x:f>
      </x:c>
      <x:c r="AH1752" s="9" t="n">
        <x:f>IF(F1752&gt;=1,1,(1+v01_LowTiesShare*(AE1752-1))/AE1752)</x:f>
        <x:v>1</x:v>
      </x:c>
      <x:c r="AI1752" s="32" t="n">
        <x:f>(Z1752+v01_ElderCommons*INDEX(LM_Elder,G1752)*AA1752)*AH1752</x:f>
        <x:v>64139.732591141874</x:v>
      </x:c>
      <x:c r="AJ1752" s="32" t="n">
        <x:f>H1752*v01_CommonsCoef*AI1752^v01_CommonsExp*INDEX(LM_Commons,G1752)</x:f>
        <x:v>0</x:v>
      </x:c>
      <x:c r="AK1752" s="32" t="n">
        <x:f>H1752*v01_RoleScale*Arch_Roles*(AE1752*(INDEX(v01_ElderRolePerSett,G1752)*v01_OutElder*INDEX(LM_Elder,G1752)+INDEX(v01_ShamanPerSett,G1752)*v01_OutShaman)+Z1752*(INDEX(v01_PriestShare,G1752)*v01_OutPriest+INDEX(v01_ScribeShare,G1752)*v01_OutScribe*INDEX(LM_Scribe,G1752)+INDEX(v01_ScholarShare,G1752)*v01_OutScholar*INDEX(LM_Scholar,G1752)+INDEX(v01_ResearcherShare,G1752)*v01_OutResearcher*INDEX(LM_Researcher,G1752)))</x:f>
        <x:v>0</x:v>
      </x:c>
      <x:c r="AL1752" s="32" t="n">
        <x:f>H1752*v01_RoleScale*Arch_Roles*AE1752*INDEX(v01_MonasteryPerSett,G1752)*v01_OutMonastery*INDEX(LM_Monastery,G1752)</x:f>
        <x:v>0</x:v>
      </x:c>
      <x:c r="AM1752" s="32" t="n">
        <x:f>(AJ1752+AK1752+AL1752)/4*INDEX(LM_All,G1752)*INDEX(v01_Boon,G1752)*Arch_Insight</x:f>
        <x:v>0</x:v>
      </x:c>
      <x:c r="AN1752" s="32" t="n">
        <x:f>H1752*(v01_KHPerAdult*Z1752+v01_KHOfCommons*AJ1752/4*INDEX(LM_All,G1752))*v01_KHUsable*Arch_KH</x:f>
        <x:v>0</x:v>
      </x:c>
      <x:c r="AO1752" s="32" t="n">
        <x:f>MIN(AP1751+AN1752,AM1752*v01_KHMaxRatio)</x:f>
        <x:v>0</x:v>
      </x:c>
      <x:c r="AP1752" s="32" t="n">
        <x:f>AP1751+AN1752-AO1752</x:f>
        <x:v>0</x:v>
      </x:c>
      <x:c r="AQ1752" s="32" t="n">
        <x:f>AM1752+AO1752</x:f>
        <x:v>0</x:v>
      </x:c>
      <x:c r="AR1752" s="10" t="n">
        <x:f>IF(H1752=1,INDEX(v01_Req,G1752),0)</x:f>
        <x:v>0</x:v>
      </x:c>
      <x:c r="AS1752" s="32" t="n">
        <x:f>IF(H1752=1,IF(E1752=1,AS1751-AR1751,AS1751)+AQ1752,0)</x:f>
        <x:v>0</x:v>
      </x:c>
      <x:c r="AT1752" s="11" t="n">
        <x:f>IF(AR1752&gt;0,MIN(1,AS1752/AR1752),1)</x:f>
        <x:v>1</x:v>
      </x:c>
      <x:c r="AU1752" s="10" t="n">
        <x:f>AB1752/INDEX(v01_RepScale,G1752)</x:f>
        <x:v>90.09519605746344</x:v>
      </x:c>
      <x:c r="AV1752" s="32" t="n">
        <x:f>AM1752*60/v01_SeasonSeconds</x:f>
        <x:v>0</x:v>
      </x:c>
    </x:row>
    <x:row r="1753">
      <x:c r="A1753" s="8" t="n">
        <x:f>A1752+1</x:f>
        <x:v>1750</x:v>
      </x:c>
      <x:c r="B1753" s="9" t="n">
        <x:f>A1753*v01_SeasonSeconds/60</x:f>
        <x:v>437.5</x:v>
      </x:c>
      <x:c r="C1753" s="9" t="n">
        <x:f>A1753/4</x:f>
        <x:v>437.5</x:v>
      </x:c>
      <x:c r="D1753" s="8" t="n">
        <x:f>IF(MOD(A1753,4)=0,1,0)</x:f>
        <x:v>0</x:v>
      </x:c>
      <x:c r="E1753" s="8" t="n">
        <x:f>IF(AND(F1752&lt;=9,AS1752&gt;=AR1752),1,0)</x:f>
        <x:v>0</x:v>
      </x:c>
      <x:c r="F1753" s="8" t="n">
        <x:f>MIN(10,F1752+E1753)</x:f>
        <x:v>10</x:v>
      </x:c>
      <x:c r="G1753" s="8" t="n">
        <x:f>MIN(F1753,9)+1</x:f>
        <x:v>10</x:v>
      </x:c>
      <x:c r="H1753" s="8" t="n">
        <x:f>IF(F1753&lt;=9,1,0)</x:f>
        <x:v>0</x:v>
      </x:c>
      <x:c r="I1753" s="9" t="n">
        <x:f>MIN(10,F1752+IF(AR1752&gt;0,MIN(1,AS1752/AR1752),1))</x:f>
        <x:v>10</x:v>
      </x:c>
      <x:c r="J1753" s="32" t="n">
        <x:f>INDEX(v01_FoodCap,G1753)*Arch_FoodCap*EXP(v01_CapsByProject*SUMPRODUCT((Cap_Point&lt;=I1753)*(Cap_Kind="Food")*Cap_Ln))</x:f>
        <x:v>12000</x:v>
      </x:c>
      <x:c r="K1753" s="32" t="n">
        <x:f>J1753*MIN(1,v01_LeanBase*EXP(v01_CapsByProject*SUMPRODUCT((Cap_Point&lt;=I1753)*(Cap_Kind="Lean")*Cap_Ln)))</x:f>
        <x:v>12000</x:v>
      </x:c>
      <x:c r="L1753" s="10" t="n">
        <x:f>INDEX(v01_HousingCap,G1753)*EXP(v01_CapsByProject*SUMPRODUCT((Cap_Point&lt;=I1753)*(Cap_Kind="Housing")*Cap_Ln))</x:f>
        <x:v>20000</x:v>
      </x:c>
      <x:c r="M1753" s="10" t="n">
        <x:f>INDEX(v01_GroupCap,G1753)*v01_CohesionFactor*EXP(v01_CapsByProject*SUMPRODUCT((Cap_Point&lt;=I1753)*(Cap_Kind="Group")*Cap_Ln))</x:f>
        <x:v>1000000</x:v>
      </x:c>
      <x:c r="N1753" s="32" t="n">
        <x:f>MIN(J1753,L1753,M1753)</x:f>
        <x:v>12000</x:v>
      </x:c>
      <x:c r="O1753" s="10" t="n">
        <x:f>AE1752*N1753</x:f>
        <x:v>180000</x:v>
      </x:c>
      <x:c r="P1753" s="9" t="n">
        <x:f>MIN(1,(AB1752/(AE1752*IF(v01_GroupInCrowding=1,N1753,MIN(J1753,L1753))))^v01_CrowdingExp)</x:f>
        <x:v>0.00024569414295285325</x:v>
      </x:c>
      <x:c r="Q1753" s="9" t="n">
        <x:f>IF(D1753=1,INDEX(v01_WinterMult,G1753),1)</x:f>
        <x:v>1</x:v>
      </x:c>
      <x:c r="R1753" s="9" t="n">
        <x:f>H1753*Z1752*v01_WomenShare*v01_BaseFertility*INDEX(v01_FertMult,G1753)*Arch_Fertility*(1-P1753)</x:f>
        <x:v>0</x:v>
      </x:c>
      <x:c r="S1753" s="9" t="n">
        <x:f>H1753*Y1752*INDEX(v01_MortChild,G1753)/4*Q1753</x:f>
        <x:v>0</x:v>
      </x:c>
      <x:c r="T1753" s="9" t="n">
        <x:f>H1753*Z1752*INDEX(v01_MortAdult,G1753)*Arch_AdultMort/4*Q1753</x:f>
        <x:v>0</x:v>
      </x:c>
      <x:c r="U1753" s="9" t="n">
        <x:f>H1753*AA1752*INDEX(v01_MortElder,G1753)/4*Q1753</x:f>
        <x:v>0</x:v>
      </x:c>
      <x:c r="V1753" s="9" t="n">
        <x:f>H1753*MAX(0,AB1752-O1753)*v01_OvercapLoss</x:f>
        <x:v>0</x:v>
      </x:c>
      <x:c r="W1753" s="9" t="n">
        <x:f>H1753*Y1752/(v01_ChildYears*4)</x:f>
        <x:v>0</x:v>
      </x:c>
      <x:c r="X1753" s="9" t="n">
        <x:f>H1753*Z1752/(v01_AdultYears*4)</x:f>
        <x:v>0</x:v>
      </x:c>
      <x:c r="Y1753" s="32" t="n">
        <x:f>Y1752+R1753-S1753-W1753-Y1752*V1753/AB1752</x:f>
        <x:v>14306.18539759397</x:v>
      </x:c>
      <x:c r="Z1753" s="32" t="n">
        <x:f>Z1752+W1753-X1753-T1753-Z1752*V1753/AB1752</x:f>
        <x:v>19354.456567879548</x:v>
      </x:c>
      <x:c r="AA1753" s="32" t="n">
        <x:f>AA1752+X1753-U1753-AA1752*V1753/AB1752</x:f>
        <x:v>11386.956063258198</x:v>
      </x:c>
      <x:c r="AB1753" s="10" t="n">
        <x:f>Y1753+Z1753+AA1753</x:f>
        <x:v>45047.59802873172</x:v>
      </x:c>
      <x:c r="AC1753" s="8" t="n">
        <x:f>IF(AND(v01_WinterTrigger=1,D1753=1,AB1752/AE1752&gt;=K1753),1,0)</x:f>
        <x:v>0</x:v>
      </x:c>
      <x:c r="AD1753" s="8" t="n">
        <x:f>H1753*IF(AND(OR(AB1752/AE1752&gt;=v01_FissionTrigger*N1753,AC1753=1),AB1752/AE1752*v01_DaughterShare&gt;=v01_MinDaughter),MAX(1,ROUND(AE1752*v01_FissionRate,0)),0)</x:f>
        <x:v>0</x:v>
      </x:c>
      <x:c r="AE1753" s="8" t="n">
        <x:f>IF(H1753=1,MAX(1,MIN(INDEX(v01_Smax,G1753),AE1752+AD1753)),AE1752)</x:f>
        <x:v>15</x:v>
      </x:c>
      <x:c r="AF1753" s="8" t="n">
        <x:f>MAX(0,AE1753-AE1752)</x:f>
        <x:v>0</x:v>
      </x:c>
      <x:c r="AG1753" s="9" t="str">
        <x:f>IF(AF1753&gt;0,B1753,"")</x:f>
      </x:c>
      <x:c r="AH1753" s="9" t="n">
        <x:f>IF(F1753&gt;=1,1,(1+v01_LowTiesShare*(AE1753-1))/AE1753)</x:f>
        <x:v>1</x:v>
      </x:c>
      <x:c r="AI1753" s="32" t="n">
        <x:f>(Z1753+v01_ElderCommons*INDEX(LM_Elder,G1753)*AA1753)*AH1753</x:f>
        <x:v>64139.732591141874</x:v>
      </x:c>
      <x:c r="AJ1753" s="32" t="n">
        <x:f>H1753*v01_CommonsCoef*AI1753^v01_CommonsExp*INDEX(LM_Commons,G1753)</x:f>
        <x:v>0</x:v>
      </x:c>
      <x:c r="AK1753" s="32" t="n">
        <x:f>H1753*v01_RoleScale*Arch_Roles*(AE1753*(INDEX(v01_ElderRolePerSett,G1753)*v01_OutElder*INDEX(LM_Elder,G1753)+INDEX(v01_ShamanPerSett,G1753)*v01_OutShaman)+Z1753*(INDEX(v01_PriestShare,G1753)*v01_OutPriest+INDEX(v01_ScribeShare,G1753)*v01_OutScribe*INDEX(LM_Scribe,G1753)+INDEX(v01_ScholarShare,G1753)*v01_OutScholar*INDEX(LM_Scholar,G1753)+INDEX(v01_ResearcherShare,G1753)*v01_OutResearcher*INDEX(LM_Researcher,G1753)))</x:f>
        <x:v>0</x:v>
      </x:c>
      <x:c r="AL1753" s="32" t="n">
        <x:f>H1753*v01_RoleScale*Arch_Roles*AE1753*INDEX(v01_MonasteryPerSett,G1753)*v01_OutMonastery*INDEX(LM_Monastery,G1753)</x:f>
        <x:v>0</x:v>
      </x:c>
      <x:c r="AM1753" s="32" t="n">
        <x:f>(AJ1753+AK1753+AL1753)/4*INDEX(LM_All,G1753)*INDEX(v01_Boon,G1753)*Arch_Insight</x:f>
        <x:v>0</x:v>
      </x:c>
      <x:c r="AN1753" s="32" t="n">
        <x:f>H1753*(v01_KHPerAdult*Z1753+v01_KHOfCommons*AJ1753/4*INDEX(LM_All,G1753))*v01_KHUsable*Arch_KH</x:f>
        <x:v>0</x:v>
      </x:c>
      <x:c r="AO1753" s="32" t="n">
        <x:f>MIN(AP1752+AN1753,AM1753*v01_KHMaxRatio)</x:f>
        <x:v>0</x:v>
      </x:c>
      <x:c r="AP1753" s="32" t="n">
        <x:f>AP1752+AN1753-AO1753</x:f>
        <x:v>0</x:v>
      </x:c>
      <x:c r="AQ1753" s="32" t="n">
        <x:f>AM1753+AO1753</x:f>
        <x:v>0</x:v>
      </x:c>
      <x:c r="AR1753" s="10" t="n">
        <x:f>IF(H1753=1,INDEX(v01_Req,G1753),0)</x:f>
        <x:v>0</x:v>
      </x:c>
      <x:c r="AS1753" s="32" t="n">
        <x:f>IF(H1753=1,IF(E1753=1,AS1752-AR1752,AS1752)+AQ1753,0)</x:f>
        <x:v>0</x:v>
      </x:c>
      <x:c r="AT1753" s="11" t="n">
        <x:f>IF(AR1753&gt;0,MIN(1,AS1753/AR1753),1)</x:f>
        <x:v>1</x:v>
      </x:c>
      <x:c r="AU1753" s="10" t="n">
        <x:f>AB1753/INDEX(v01_RepScale,G1753)</x:f>
        <x:v>90.09519605746344</x:v>
      </x:c>
      <x:c r="AV1753" s="32" t="n">
        <x:f>AM1753*60/v01_SeasonSeconds</x:f>
        <x:v>0</x:v>
      </x:c>
    </x:row>
    <x:row r="1754">
      <x:c r="A1754" s="8" t="n">
        <x:f>A1753+1</x:f>
        <x:v>1751</x:v>
      </x:c>
      <x:c r="B1754" s="9" t="n">
        <x:f>A1754*v01_SeasonSeconds/60</x:f>
        <x:v>437.75</x:v>
      </x:c>
      <x:c r="C1754" s="9" t="n">
        <x:f>A1754/4</x:f>
        <x:v>437.75</x:v>
      </x:c>
      <x:c r="D1754" s="8" t="n">
        <x:f>IF(MOD(A1754,4)=0,1,0)</x:f>
        <x:v>0</x:v>
      </x:c>
      <x:c r="E1754" s="8" t="n">
        <x:f>IF(AND(F1753&lt;=9,AS1753&gt;=AR1753),1,0)</x:f>
        <x:v>0</x:v>
      </x:c>
      <x:c r="F1754" s="8" t="n">
        <x:f>MIN(10,F1753+E1754)</x:f>
        <x:v>10</x:v>
      </x:c>
      <x:c r="G1754" s="8" t="n">
        <x:f>MIN(F1754,9)+1</x:f>
        <x:v>10</x:v>
      </x:c>
      <x:c r="H1754" s="8" t="n">
        <x:f>IF(F1754&lt;=9,1,0)</x:f>
        <x:v>0</x:v>
      </x:c>
      <x:c r="I1754" s="9" t="n">
        <x:f>MIN(10,F1753+IF(AR1753&gt;0,MIN(1,AS1753/AR1753),1))</x:f>
        <x:v>10</x:v>
      </x:c>
      <x:c r="J1754" s="32" t="n">
        <x:f>INDEX(v01_FoodCap,G1754)*Arch_FoodCap*EXP(v01_CapsByProject*SUMPRODUCT((Cap_Point&lt;=I1754)*(Cap_Kind="Food")*Cap_Ln))</x:f>
        <x:v>12000</x:v>
      </x:c>
      <x:c r="K1754" s="32" t="n">
        <x:f>J1754*MIN(1,v01_LeanBase*EXP(v01_CapsByProject*SUMPRODUCT((Cap_Point&lt;=I1754)*(Cap_Kind="Lean")*Cap_Ln)))</x:f>
        <x:v>12000</x:v>
      </x:c>
      <x:c r="L1754" s="10" t="n">
        <x:f>INDEX(v01_HousingCap,G1754)*EXP(v01_CapsByProject*SUMPRODUCT((Cap_Point&lt;=I1754)*(Cap_Kind="Housing")*Cap_Ln))</x:f>
        <x:v>20000</x:v>
      </x:c>
      <x:c r="M1754" s="10" t="n">
        <x:f>INDEX(v01_GroupCap,G1754)*v01_CohesionFactor*EXP(v01_CapsByProject*SUMPRODUCT((Cap_Point&lt;=I1754)*(Cap_Kind="Group")*Cap_Ln))</x:f>
        <x:v>1000000</x:v>
      </x:c>
      <x:c r="N1754" s="32" t="n">
        <x:f>MIN(J1754,L1754,M1754)</x:f>
        <x:v>12000</x:v>
      </x:c>
      <x:c r="O1754" s="10" t="n">
        <x:f>AE1753*N1754</x:f>
        <x:v>180000</x:v>
      </x:c>
      <x:c r="P1754" s="9" t="n">
        <x:f>MIN(1,(AB1753/(AE1753*IF(v01_GroupInCrowding=1,N1754,MIN(J1754,L1754))))^v01_CrowdingExp)</x:f>
        <x:v>0.00024569414295285325</x:v>
      </x:c>
      <x:c r="Q1754" s="9" t="n">
        <x:f>IF(D1754=1,INDEX(v01_WinterMult,G1754),1)</x:f>
        <x:v>1</x:v>
      </x:c>
      <x:c r="R1754" s="9" t="n">
        <x:f>H1754*Z1753*v01_WomenShare*v01_BaseFertility*INDEX(v01_FertMult,G1754)*Arch_Fertility*(1-P1754)</x:f>
        <x:v>0</x:v>
      </x:c>
      <x:c r="S1754" s="9" t="n">
        <x:f>H1754*Y1753*INDEX(v01_MortChild,G1754)/4*Q1754</x:f>
        <x:v>0</x:v>
      </x:c>
      <x:c r="T1754" s="9" t="n">
        <x:f>H1754*Z1753*INDEX(v01_MortAdult,G1754)*Arch_AdultMort/4*Q1754</x:f>
        <x:v>0</x:v>
      </x:c>
      <x:c r="U1754" s="9" t="n">
        <x:f>H1754*AA1753*INDEX(v01_MortElder,G1754)/4*Q1754</x:f>
        <x:v>0</x:v>
      </x:c>
      <x:c r="V1754" s="9" t="n">
        <x:f>H1754*MAX(0,AB1753-O1754)*v01_OvercapLoss</x:f>
        <x:v>0</x:v>
      </x:c>
      <x:c r="W1754" s="9" t="n">
        <x:f>H1754*Y1753/(v01_ChildYears*4)</x:f>
        <x:v>0</x:v>
      </x:c>
      <x:c r="X1754" s="9" t="n">
        <x:f>H1754*Z1753/(v01_AdultYears*4)</x:f>
        <x:v>0</x:v>
      </x:c>
      <x:c r="Y1754" s="32" t="n">
        <x:f>Y1753+R1754-S1754-W1754-Y1753*V1754/AB1753</x:f>
        <x:v>14306.18539759397</x:v>
      </x:c>
      <x:c r="Z1754" s="32" t="n">
        <x:f>Z1753+W1754-X1754-T1754-Z1753*V1754/AB1753</x:f>
        <x:v>19354.456567879548</x:v>
      </x:c>
      <x:c r="AA1754" s="32" t="n">
        <x:f>AA1753+X1754-U1754-AA1753*V1754/AB1753</x:f>
        <x:v>11386.956063258198</x:v>
      </x:c>
      <x:c r="AB1754" s="10" t="n">
        <x:f>Y1754+Z1754+AA1754</x:f>
        <x:v>45047.59802873172</x:v>
      </x:c>
      <x:c r="AC1754" s="8" t="n">
        <x:f>IF(AND(v01_WinterTrigger=1,D1754=1,AB1753/AE1753&gt;=K1754),1,0)</x:f>
        <x:v>0</x:v>
      </x:c>
      <x:c r="AD1754" s="8" t="n">
        <x:f>H1754*IF(AND(OR(AB1753/AE1753&gt;=v01_FissionTrigger*N1754,AC1754=1),AB1753/AE1753*v01_DaughterShare&gt;=v01_MinDaughter),MAX(1,ROUND(AE1753*v01_FissionRate,0)),0)</x:f>
        <x:v>0</x:v>
      </x:c>
      <x:c r="AE1754" s="8" t="n">
        <x:f>IF(H1754=1,MAX(1,MIN(INDEX(v01_Smax,G1754),AE1753+AD1754)),AE1753)</x:f>
        <x:v>15</x:v>
      </x:c>
      <x:c r="AF1754" s="8" t="n">
        <x:f>MAX(0,AE1754-AE1753)</x:f>
        <x:v>0</x:v>
      </x:c>
      <x:c r="AG1754" s="9" t="str">
        <x:f>IF(AF1754&gt;0,B1754,"")</x:f>
      </x:c>
      <x:c r="AH1754" s="9" t="n">
        <x:f>IF(F1754&gt;=1,1,(1+v01_LowTiesShare*(AE1754-1))/AE1754)</x:f>
        <x:v>1</x:v>
      </x:c>
      <x:c r="AI1754" s="32" t="n">
        <x:f>(Z1754+v01_ElderCommons*INDEX(LM_Elder,G1754)*AA1754)*AH1754</x:f>
        <x:v>64139.732591141874</x:v>
      </x:c>
      <x:c r="AJ1754" s="32" t="n">
        <x:f>H1754*v01_CommonsCoef*AI1754^v01_CommonsExp*INDEX(LM_Commons,G1754)</x:f>
        <x:v>0</x:v>
      </x:c>
      <x:c r="AK1754" s="32" t="n">
        <x:f>H1754*v01_RoleScale*Arch_Roles*(AE1754*(INDEX(v01_ElderRolePerSett,G1754)*v01_OutElder*INDEX(LM_Elder,G1754)+INDEX(v01_ShamanPerSett,G1754)*v01_OutShaman)+Z1754*(INDEX(v01_PriestShare,G1754)*v01_OutPriest+INDEX(v01_ScribeShare,G1754)*v01_OutScribe*INDEX(LM_Scribe,G1754)+INDEX(v01_ScholarShare,G1754)*v01_OutScholar*INDEX(LM_Scholar,G1754)+INDEX(v01_ResearcherShare,G1754)*v01_OutResearcher*INDEX(LM_Researcher,G1754)))</x:f>
        <x:v>0</x:v>
      </x:c>
      <x:c r="AL1754" s="32" t="n">
        <x:f>H1754*v01_RoleScale*Arch_Roles*AE1754*INDEX(v01_MonasteryPerSett,G1754)*v01_OutMonastery*INDEX(LM_Monastery,G1754)</x:f>
        <x:v>0</x:v>
      </x:c>
      <x:c r="AM1754" s="32" t="n">
        <x:f>(AJ1754+AK1754+AL1754)/4*INDEX(LM_All,G1754)*INDEX(v01_Boon,G1754)*Arch_Insight</x:f>
        <x:v>0</x:v>
      </x:c>
      <x:c r="AN1754" s="32" t="n">
        <x:f>H1754*(v01_KHPerAdult*Z1754+v01_KHOfCommons*AJ1754/4*INDEX(LM_All,G1754))*v01_KHUsable*Arch_KH</x:f>
        <x:v>0</x:v>
      </x:c>
      <x:c r="AO1754" s="32" t="n">
        <x:f>MIN(AP1753+AN1754,AM1754*v01_KHMaxRatio)</x:f>
        <x:v>0</x:v>
      </x:c>
      <x:c r="AP1754" s="32" t="n">
        <x:f>AP1753+AN1754-AO1754</x:f>
        <x:v>0</x:v>
      </x:c>
      <x:c r="AQ1754" s="32" t="n">
        <x:f>AM1754+AO1754</x:f>
        <x:v>0</x:v>
      </x:c>
      <x:c r="AR1754" s="10" t="n">
        <x:f>IF(H1754=1,INDEX(v01_Req,G1754),0)</x:f>
        <x:v>0</x:v>
      </x:c>
      <x:c r="AS1754" s="32" t="n">
        <x:f>IF(H1754=1,IF(E1754=1,AS1753-AR1753,AS1753)+AQ1754,0)</x:f>
        <x:v>0</x:v>
      </x:c>
      <x:c r="AT1754" s="11" t="n">
        <x:f>IF(AR1754&gt;0,MIN(1,AS1754/AR1754),1)</x:f>
        <x:v>1</x:v>
      </x:c>
      <x:c r="AU1754" s="10" t="n">
        <x:f>AB1754/INDEX(v01_RepScale,G1754)</x:f>
        <x:v>90.09519605746344</x:v>
      </x:c>
      <x:c r="AV1754" s="32" t="n">
        <x:f>AM1754*60/v01_SeasonSeconds</x:f>
        <x:v>0</x:v>
      </x:c>
    </x:row>
    <x:row r="1755">
      <x:c r="A1755" s="8" t="n">
        <x:f>A1754+1</x:f>
        <x:v>1752</x:v>
      </x:c>
      <x:c r="B1755" s="9" t="n">
        <x:f>A1755*v01_SeasonSeconds/60</x:f>
        <x:v>438</x:v>
      </x:c>
      <x:c r="C1755" s="9" t="n">
        <x:f>A1755/4</x:f>
        <x:v>438</x:v>
      </x:c>
      <x:c r="D1755" s="8" t="n">
        <x:f>IF(MOD(A1755,4)=0,1,0)</x:f>
        <x:v>1</x:v>
      </x:c>
      <x:c r="E1755" s="8" t="n">
        <x:f>IF(AND(F1754&lt;=9,AS1754&gt;=AR1754),1,0)</x:f>
        <x:v>0</x:v>
      </x:c>
      <x:c r="F1755" s="8" t="n">
        <x:f>MIN(10,F1754+E1755)</x:f>
        <x:v>10</x:v>
      </x:c>
      <x:c r="G1755" s="8" t="n">
        <x:f>MIN(F1755,9)+1</x:f>
        <x:v>10</x:v>
      </x:c>
      <x:c r="H1755" s="8" t="n">
        <x:f>IF(F1755&lt;=9,1,0)</x:f>
        <x:v>0</x:v>
      </x:c>
      <x:c r="I1755" s="9" t="n">
        <x:f>MIN(10,F1754+IF(AR1754&gt;0,MIN(1,AS1754/AR1754),1))</x:f>
        <x:v>10</x:v>
      </x:c>
      <x:c r="J1755" s="32" t="n">
        <x:f>INDEX(v01_FoodCap,G1755)*Arch_FoodCap*EXP(v01_CapsByProject*SUMPRODUCT((Cap_Point&lt;=I1755)*(Cap_Kind="Food")*Cap_Ln))</x:f>
        <x:v>12000</x:v>
      </x:c>
      <x:c r="K1755" s="32" t="n">
        <x:f>J1755*MIN(1,v01_LeanBase*EXP(v01_CapsByProject*SUMPRODUCT((Cap_Point&lt;=I1755)*(Cap_Kind="Lean")*Cap_Ln)))</x:f>
        <x:v>12000</x:v>
      </x:c>
      <x:c r="L1755" s="10" t="n">
        <x:f>INDEX(v01_HousingCap,G1755)*EXP(v01_CapsByProject*SUMPRODUCT((Cap_Point&lt;=I1755)*(Cap_Kind="Housing")*Cap_Ln))</x:f>
        <x:v>20000</x:v>
      </x:c>
      <x:c r="M1755" s="10" t="n">
        <x:f>INDEX(v01_GroupCap,G1755)*v01_CohesionFactor*EXP(v01_CapsByProject*SUMPRODUCT((Cap_Point&lt;=I1755)*(Cap_Kind="Group")*Cap_Ln))</x:f>
        <x:v>1000000</x:v>
      </x:c>
      <x:c r="N1755" s="32" t="n">
        <x:f>MIN(J1755,L1755,M1755)</x:f>
        <x:v>12000</x:v>
      </x:c>
      <x:c r="O1755" s="10" t="n">
        <x:f>AE1754*N1755</x:f>
        <x:v>180000</x:v>
      </x:c>
      <x:c r="P1755" s="9" t="n">
        <x:f>MIN(1,(AB1754/(AE1754*IF(v01_GroupInCrowding=1,N1755,MIN(J1755,L1755))))^v01_CrowdingExp)</x:f>
        <x:v>0.00024569414295285325</x:v>
      </x:c>
      <x:c r="Q1755" s="9" t="n">
        <x:f>IF(D1755=1,INDEX(v01_WinterMult,G1755),1)</x:f>
        <x:v>1</x:v>
      </x:c>
      <x:c r="R1755" s="9" t="n">
        <x:f>H1755*Z1754*v01_WomenShare*v01_BaseFertility*INDEX(v01_FertMult,G1755)*Arch_Fertility*(1-P1755)</x:f>
        <x:v>0</x:v>
      </x:c>
      <x:c r="S1755" s="9" t="n">
        <x:f>H1755*Y1754*INDEX(v01_MortChild,G1755)/4*Q1755</x:f>
        <x:v>0</x:v>
      </x:c>
      <x:c r="T1755" s="9" t="n">
        <x:f>H1755*Z1754*INDEX(v01_MortAdult,G1755)*Arch_AdultMort/4*Q1755</x:f>
        <x:v>0</x:v>
      </x:c>
      <x:c r="U1755" s="9" t="n">
        <x:f>H1755*AA1754*INDEX(v01_MortElder,G1755)/4*Q1755</x:f>
        <x:v>0</x:v>
      </x:c>
      <x:c r="V1755" s="9" t="n">
        <x:f>H1755*MAX(0,AB1754-O1755)*v01_OvercapLoss</x:f>
        <x:v>0</x:v>
      </x:c>
      <x:c r="W1755" s="9" t="n">
        <x:f>H1755*Y1754/(v01_ChildYears*4)</x:f>
        <x:v>0</x:v>
      </x:c>
      <x:c r="X1755" s="9" t="n">
        <x:f>H1755*Z1754/(v01_AdultYears*4)</x:f>
        <x:v>0</x:v>
      </x:c>
      <x:c r="Y1755" s="32" t="n">
        <x:f>Y1754+R1755-S1755-W1755-Y1754*V1755/AB1754</x:f>
        <x:v>14306.18539759397</x:v>
      </x:c>
      <x:c r="Z1755" s="32" t="n">
        <x:f>Z1754+W1755-X1755-T1755-Z1754*V1755/AB1754</x:f>
        <x:v>19354.456567879548</x:v>
      </x:c>
      <x:c r="AA1755" s="32" t="n">
        <x:f>AA1754+X1755-U1755-AA1754*V1755/AB1754</x:f>
        <x:v>11386.956063258198</x:v>
      </x:c>
      <x:c r="AB1755" s="10" t="n">
        <x:f>Y1755+Z1755+AA1755</x:f>
        <x:v>45047.59802873172</x:v>
      </x:c>
      <x:c r="AC1755" s="8" t="n">
        <x:f>IF(AND(v01_WinterTrigger=1,D1755=1,AB1754/AE1754&gt;=K1755),1,0)</x:f>
        <x:v>0</x:v>
      </x:c>
      <x:c r="AD1755" s="8" t="n">
        <x:f>H1755*IF(AND(OR(AB1754/AE1754&gt;=v01_FissionTrigger*N1755,AC1755=1),AB1754/AE1754*v01_DaughterShare&gt;=v01_MinDaughter),MAX(1,ROUND(AE1754*v01_FissionRate,0)),0)</x:f>
        <x:v>0</x:v>
      </x:c>
      <x:c r="AE1755" s="8" t="n">
        <x:f>IF(H1755=1,MAX(1,MIN(INDEX(v01_Smax,G1755),AE1754+AD1755)),AE1754)</x:f>
        <x:v>15</x:v>
      </x:c>
      <x:c r="AF1755" s="8" t="n">
        <x:f>MAX(0,AE1755-AE1754)</x:f>
        <x:v>0</x:v>
      </x:c>
      <x:c r="AG1755" s="9" t="str">
        <x:f>IF(AF1755&gt;0,B1755,"")</x:f>
      </x:c>
      <x:c r="AH1755" s="9" t="n">
        <x:f>IF(F1755&gt;=1,1,(1+v01_LowTiesShare*(AE1755-1))/AE1755)</x:f>
        <x:v>1</x:v>
      </x:c>
      <x:c r="AI1755" s="32" t="n">
        <x:f>(Z1755+v01_ElderCommons*INDEX(LM_Elder,G1755)*AA1755)*AH1755</x:f>
        <x:v>64139.732591141874</x:v>
      </x:c>
      <x:c r="AJ1755" s="32" t="n">
        <x:f>H1755*v01_CommonsCoef*AI1755^v01_CommonsExp*INDEX(LM_Commons,G1755)</x:f>
        <x:v>0</x:v>
      </x:c>
      <x:c r="AK1755" s="32" t="n">
        <x:f>H1755*v01_RoleScale*Arch_Roles*(AE1755*(INDEX(v01_ElderRolePerSett,G1755)*v01_OutElder*INDEX(LM_Elder,G1755)+INDEX(v01_ShamanPerSett,G1755)*v01_OutShaman)+Z1755*(INDEX(v01_PriestShare,G1755)*v01_OutPriest+INDEX(v01_ScribeShare,G1755)*v01_OutScribe*INDEX(LM_Scribe,G1755)+INDEX(v01_ScholarShare,G1755)*v01_OutScholar*INDEX(LM_Scholar,G1755)+INDEX(v01_ResearcherShare,G1755)*v01_OutResearcher*INDEX(LM_Researcher,G1755)))</x:f>
        <x:v>0</x:v>
      </x:c>
      <x:c r="AL1755" s="32" t="n">
        <x:f>H1755*v01_RoleScale*Arch_Roles*AE1755*INDEX(v01_MonasteryPerSett,G1755)*v01_OutMonastery*INDEX(LM_Monastery,G1755)</x:f>
        <x:v>0</x:v>
      </x:c>
      <x:c r="AM1755" s="32" t="n">
        <x:f>(AJ1755+AK1755+AL1755)/4*INDEX(LM_All,G1755)*INDEX(v01_Boon,G1755)*Arch_Insight</x:f>
        <x:v>0</x:v>
      </x:c>
      <x:c r="AN1755" s="32" t="n">
        <x:f>H1755*(v01_KHPerAdult*Z1755+v01_KHOfCommons*AJ1755/4*INDEX(LM_All,G1755))*v01_KHUsable*Arch_KH</x:f>
        <x:v>0</x:v>
      </x:c>
      <x:c r="AO1755" s="32" t="n">
        <x:f>MIN(AP1754+AN1755,AM1755*v01_KHMaxRatio)</x:f>
        <x:v>0</x:v>
      </x:c>
      <x:c r="AP1755" s="32" t="n">
        <x:f>AP1754+AN1755-AO1755</x:f>
        <x:v>0</x:v>
      </x:c>
      <x:c r="AQ1755" s="32" t="n">
        <x:f>AM1755+AO1755</x:f>
        <x:v>0</x:v>
      </x:c>
      <x:c r="AR1755" s="10" t="n">
        <x:f>IF(H1755=1,INDEX(v01_Req,G1755),0)</x:f>
        <x:v>0</x:v>
      </x:c>
      <x:c r="AS1755" s="32" t="n">
        <x:f>IF(H1755=1,IF(E1755=1,AS1754-AR1754,AS1754)+AQ1755,0)</x:f>
        <x:v>0</x:v>
      </x:c>
      <x:c r="AT1755" s="11" t="n">
        <x:f>IF(AR1755&gt;0,MIN(1,AS1755/AR1755),1)</x:f>
        <x:v>1</x:v>
      </x:c>
      <x:c r="AU1755" s="10" t="n">
        <x:f>AB1755/INDEX(v01_RepScale,G1755)</x:f>
        <x:v>90.09519605746344</x:v>
      </x:c>
      <x:c r="AV1755" s="32" t="n">
        <x:f>AM1755*60/v01_SeasonSeconds</x:f>
        <x:v>0</x:v>
      </x:c>
    </x:row>
    <x:row r="1756">
      <x:c r="A1756" s="8" t="n">
        <x:f>A1755+1</x:f>
        <x:v>1753</x:v>
      </x:c>
      <x:c r="B1756" s="9" t="n">
        <x:f>A1756*v01_SeasonSeconds/60</x:f>
        <x:v>438.25</x:v>
      </x:c>
      <x:c r="C1756" s="9" t="n">
        <x:f>A1756/4</x:f>
        <x:v>438.25</x:v>
      </x:c>
      <x:c r="D1756" s="8" t="n">
        <x:f>IF(MOD(A1756,4)=0,1,0)</x:f>
        <x:v>0</x:v>
      </x:c>
      <x:c r="E1756" s="8" t="n">
        <x:f>IF(AND(F1755&lt;=9,AS1755&gt;=AR1755),1,0)</x:f>
        <x:v>0</x:v>
      </x:c>
      <x:c r="F1756" s="8" t="n">
        <x:f>MIN(10,F1755+E1756)</x:f>
        <x:v>10</x:v>
      </x:c>
      <x:c r="G1756" s="8" t="n">
        <x:f>MIN(F1756,9)+1</x:f>
        <x:v>10</x:v>
      </x:c>
      <x:c r="H1756" s="8" t="n">
        <x:f>IF(F1756&lt;=9,1,0)</x:f>
        <x:v>0</x:v>
      </x:c>
      <x:c r="I1756" s="9" t="n">
        <x:f>MIN(10,F1755+IF(AR1755&gt;0,MIN(1,AS1755/AR1755),1))</x:f>
        <x:v>10</x:v>
      </x:c>
      <x:c r="J1756" s="32" t="n">
        <x:f>INDEX(v01_FoodCap,G1756)*Arch_FoodCap*EXP(v01_CapsByProject*SUMPRODUCT((Cap_Point&lt;=I1756)*(Cap_Kind="Food")*Cap_Ln))</x:f>
        <x:v>12000</x:v>
      </x:c>
      <x:c r="K1756" s="32" t="n">
        <x:f>J1756*MIN(1,v01_LeanBase*EXP(v01_CapsByProject*SUMPRODUCT((Cap_Point&lt;=I1756)*(Cap_Kind="Lean")*Cap_Ln)))</x:f>
        <x:v>12000</x:v>
      </x:c>
      <x:c r="L1756" s="10" t="n">
        <x:f>INDEX(v01_HousingCap,G1756)*EXP(v01_CapsByProject*SUMPRODUCT((Cap_Point&lt;=I1756)*(Cap_Kind="Housing")*Cap_Ln))</x:f>
        <x:v>20000</x:v>
      </x:c>
      <x:c r="M1756" s="10" t="n">
        <x:f>INDEX(v01_GroupCap,G1756)*v01_CohesionFactor*EXP(v01_CapsByProject*SUMPRODUCT((Cap_Point&lt;=I1756)*(Cap_Kind="Group")*Cap_Ln))</x:f>
        <x:v>1000000</x:v>
      </x:c>
      <x:c r="N1756" s="32" t="n">
        <x:f>MIN(J1756,L1756,M1756)</x:f>
        <x:v>12000</x:v>
      </x:c>
      <x:c r="O1756" s="10" t="n">
        <x:f>AE1755*N1756</x:f>
        <x:v>180000</x:v>
      </x:c>
      <x:c r="P1756" s="9" t="n">
        <x:f>MIN(1,(AB1755/(AE1755*IF(v01_GroupInCrowding=1,N1756,MIN(J1756,L1756))))^v01_CrowdingExp)</x:f>
        <x:v>0.00024569414295285325</x:v>
      </x:c>
      <x:c r="Q1756" s="9" t="n">
        <x:f>IF(D1756=1,INDEX(v01_WinterMult,G1756),1)</x:f>
        <x:v>1</x:v>
      </x:c>
      <x:c r="R1756" s="9" t="n">
        <x:f>H1756*Z1755*v01_WomenShare*v01_BaseFertility*INDEX(v01_FertMult,G1756)*Arch_Fertility*(1-P1756)</x:f>
        <x:v>0</x:v>
      </x:c>
      <x:c r="S1756" s="9" t="n">
        <x:f>H1756*Y1755*INDEX(v01_MortChild,G1756)/4*Q1756</x:f>
        <x:v>0</x:v>
      </x:c>
      <x:c r="T1756" s="9" t="n">
        <x:f>H1756*Z1755*INDEX(v01_MortAdult,G1756)*Arch_AdultMort/4*Q1756</x:f>
        <x:v>0</x:v>
      </x:c>
      <x:c r="U1756" s="9" t="n">
        <x:f>H1756*AA1755*INDEX(v01_MortElder,G1756)/4*Q1756</x:f>
        <x:v>0</x:v>
      </x:c>
      <x:c r="V1756" s="9" t="n">
        <x:f>H1756*MAX(0,AB1755-O1756)*v01_OvercapLoss</x:f>
        <x:v>0</x:v>
      </x:c>
      <x:c r="W1756" s="9" t="n">
        <x:f>H1756*Y1755/(v01_ChildYears*4)</x:f>
        <x:v>0</x:v>
      </x:c>
      <x:c r="X1756" s="9" t="n">
        <x:f>H1756*Z1755/(v01_AdultYears*4)</x:f>
        <x:v>0</x:v>
      </x:c>
      <x:c r="Y1756" s="32" t="n">
        <x:f>Y1755+R1756-S1756-W1756-Y1755*V1756/AB1755</x:f>
        <x:v>14306.18539759397</x:v>
      </x:c>
      <x:c r="Z1756" s="32" t="n">
        <x:f>Z1755+W1756-X1756-T1756-Z1755*V1756/AB1755</x:f>
        <x:v>19354.456567879548</x:v>
      </x:c>
      <x:c r="AA1756" s="32" t="n">
        <x:f>AA1755+X1756-U1756-AA1755*V1756/AB1755</x:f>
        <x:v>11386.956063258198</x:v>
      </x:c>
      <x:c r="AB1756" s="10" t="n">
        <x:f>Y1756+Z1756+AA1756</x:f>
        <x:v>45047.59802873172</x:v>
      </x:c>
      <x:c r="AC1756" s="8" t="n">
        <x:f>IF(AND(v01_WinterTrigger=1,D1756=1,AB1755/AE1755&gt;=K1756),1,0)</x:f>
        <x:v>0</x:v>
      </x:c>
      <x:c r="AD1756" s="8" t="n">
        <x:f>H1756*IF(AND(OR(AB1755/AE1755&gt;=v01_FissionTrigger*N1756,AC1756=1),AB1755/AE1755*v01_DaughterShare&gt;=v01_MinDaughter),MAX(1,ROUND(AE1755*v01_FissionRate,0)),0)</x:f>
        <x:v>0</x:v>
      </x:c>
      <x:c r="AE1756" s="8" t="n">
        <x:f>IF(H1756=1,MAX(1,MIN(INDEX(v01_Smax,G1756),AE1755+AD1756)),AE1755)</x:f>
        <x:v>15</x:v>
      </x:c>
      <x:c r="AF1756" s="8" t="n">
        <x:f>MAX(0,AE1756-AE1755)</x:f>
        <x:v>0</x:v>
      </x:c>
      <x:c r="AG1756" s="9" t="str">
        <x:f>IF(AF1756&gt;0,B1756,"")</x:f>
      </x:c>
      <x:c r="AH1756" s="9" t="n">
        <x:f>IF(F1756&gt;=1,1,(1+v01_LowTiesShare*(AE1756-1))/AE1756)</x:f>
        <x:v>1</x:v>
      </x:c>
      <x:c r="AI1756" s="32" t="n">
        <x:f>(Z1756+v01_ElderCommons*INDEX(LM_Elder,G1756)*AA1756)*AH1756</x:f>
        <x:v>64139.732591141874</x:v>
      </x:c>
      <x:c r="AJ1756" s="32" t="n">
        <x:f>H1756*v01_CommonsCoef*AI1756^v01_CommonsExp*INDEX(LM_Commons,G1756)</x:f>
        <x:v>0</x:v>
      </x:c>
      <x:c r="AK1756" s="32" t="n">
        <x:f>H1756*v01_RoleScale*Arch_Roles*(AE1756*(INDEX(v01_ElderRolePerSett,G1756)*v01_OutElder*INDEX(LM_Elder,G1756)+INDEX(v01_ShamanPerSett,G1756)*v01_OutShaman)+Z1756*(INDEX(v01_PriestShare,G1756)*v01_OutPriest+INDEX(v01_ScribeShare,G1756)*v01_OutScribe*INDEX(LM_Scribe,G1756)+INDEX(v01_ScholarShare,G1756)*v01_OutScholar*INDEX(LM_Scholar,G1756)+INDEX(v01_ResearcherShare,G1756)*v01_OutResearcher*INDEX(LM_Researcher,G1756)))</x:f>
        <x:v>0</x:v>
      </x:c>
      <x:c r="AL1756" s="32" t="n">
        <x:f>H1756*v01_RoleScale*Arch_Roles*AE1756*INDEX(v01_MonasteryPerSett,G1756)*v01_OutMonastery*INDEX(LM_Monastery,G1756)</x:f>
        <x:v>0</x:v>
      </x:c>
      <x:c r="AM1756" s="32" t="n">
        <x:f>(AJ1756+AK1756+AL1756)/4*INDEX(LM_All,G1756)*INDEX(v01_Boon,G1756)*Arch_Insight</x:f>
        <x:v>0</x:v>
      </x:c>
      <x:c r="AN1756" s="32" t="n">
        <x:f>H1756*(v01_KHPerAdult*Z1756+v01_KHOfCommons*AJ1756/4*INDEX(LM_All,G1756))*v01_KHUsable*Arch_KH</x:f>
        <x:v>0</x:v>
      </x:c>
      <x:c r="AO1756" s="32" t="n">
        <x:f>MIN(AP1755+AN1756,AM1756*v01_KHMaxRatio)</x:f>
        <x:v>0</x:v>
      </x:c>
      <x:c r="AP1756" s="32" t="n">
        <x:f>AP1755+AN1756-AO1756</x:f>
        <x:v>0</x:v>
      </x:c>
      <x:c r="AQ1756" s="32" t="n">
        <x:f>AM1756+AO1756</x:f>
        <x:v>0</x:v>
      </x:c>
      <x:c r="AR1756" s="10" t="n">
        <x:f>IF(H1756=1,INDEX(v01_Req,G1756),0)</x:f>
        <x:v>0</x:v>
      </x:c>
      <x:c r="AS1756" s="32" t="n">
        <x:f>IF(H1756=1,IF(E1756=1,AS1755-AR1755,AS1755)+AQ1756,0)</x:f>
        <x:v>0</x:v>
      </x:c>
      <x:c r="AT1756" s="11" t="n">
        <x:f>IF(AR1756&gt;0,MIN(1,AS1756/AR1756),1)</x:f>
        <x:v>1</x:v>
      </x:c>
      <x:c r="AU1756" s="10" t="n">
        <x:f>AB1756/INDEX(v01_RepScale,G1756)</x:f>
        <x:v>90.09519605746344</x:v>
      </x:c>
      <x:c r="AV1756" s="32" t="n">
        <x:f>AM1756*60/v01_SeasonSeconds</x:f>
        <x:v>0</x:v>
      </x:c>
    </x:row>
    <x:row r="1757">
      <x:c r="A1757" s="8" t="n">
        <x:f>A1756+1</x:f>
        <x:v>1754</x:v>
      </x:c>
      <x:c r="B1757" s="9" t="n">
        <x:f>A1757*v01_SeasonSeconds/60</x:f>
        <x:v>438.5</x:v>
      </x:c>
      <x:c r="C1757" s="9" t="n">
        <x:f>A1757/4</x:f>
        <x:v>438.5</x:v>
      </x:c>
      <x:c r="D1757" s="8" t="n">
        <x:f>IF(MOD(A1757,4)=0,1,0)</x:f>
        <x:v>0</x:v>
      </x:c>
      <x:c r="E1757" s="8" t="n">
        <x:f>IF(AND(F1756&lt;=9,AS1756&gt;=AR1756),1,0)</x:f>
        <x:v>0</x:v>
      </x:c>
      <x:c r="F1757" s="8" t="n">
        <x:f>MIN(10,F1756+E1757)</x:f>
        <x:v>10</x:v>
      </x:c>
      <x:c r="G1757" s="8" t="n">
        <x:f>MIN(F1757,9)+1</x:f>
        <x:v>10</x:v>
      </x:c>
      <x:c r="H1757" s="8" t="n">
        <x:f>IF(F1757&lt;=9,1,0)</x:f>
        <x:v>0</x:v>
      </x:c>
      <x:c r="I1757" s="9" t="n">
        <x:f>MIN(10,F1756+IF(AR1756&gt;0,MIN(1,AS1756/AR1756),1))</x:f>
        <x:v>10</x:v>
      </x:c>
      <x:c r="J1757" s="32" t="n">
        <x:f>INDEX(v01_FoodCap,G1757)*Arch_FoodCap*EXP(v01_CapsByProject*SUMPRODUCT((Cap_Point&lt;=I1757)*(Cap_Kind="Food")*Cap_Ln))</x:f>
        <x:v>12000</x:v>
      </x:c>
      <x:c r="K1757" s="32" t="n">
        <x:f>J1757*MIN(1,v01_LeanBase*EXP(v01_CapsByProject*SUMPRODUCT((Cap_Point&lt;=I1757)*(Cap_Kind="Lean")*Cap_Ln)))</x:f>
        <x:v>12000</x:v>
      </x:c>
      <x:c r="L1757" s="10" t="n">
        <x:f>INDEX(v01_HousingCap,G1757)*EXP(v01_CapsByProject*SUMPRODUCT((Cap_Point&lt;=I1757)*(Cap_Kind="Housing")*Cap_Ln))</x:f>
        <x:v>20000</x:v>
      </x:c>
      <x:c r="M1757" s="10" t="n">
        <x:f>INDEX(v01_GroupCap,G1757)*v01_CohesionFactor*EXP(v01_CapsByProject*SUMPRODUCT((Cap_Point&lt;=I1757)*(Cap_Kind="Group")*Cap_Ln))</x:f>
        <x:v>1000000</x:v>
      </x:c>
      <x:c r="N1757" s="32" t="n">
        <x:f>MIN(J1757,L1757,M1757)</x:f>
        <x:v>12000</x:v>
      </x:c>
      <x:c r="O1757" s="10" t="n">
        <x:f>AE1756*N1757</x:f>
        <x:v>180000</x:v>
      </x:c>
      <x:c r="P1757" s="9" t="n">
        <x:f>MIN(1,(AB1756/(AE1756*IF(v01_GroupInCrowding=1,N1757,MIN(J1757,L1757))))^v01_CrowdingExp)</x:f>
        <x:v>0.00024569414295285325</x:v>
      </x:c>
      <x:c r="Q1757" s="9" t="n">
        <x:f>IF(D1757=1,INDEX(v01_WinterMult,G1757),1)</x:f>
        <x:v>1</x:v>
      </x:c>
      <x:c r="R1757" s="9" t="n">
        <x:f>H1757*Z1756*v01_WomenShare*v01_BaseFertility*INDEX(v01_FertMult,G1757)*Arch_Fertility*(1-P1757)</x:f>
        <x:v>0</x:v>
      </x:c>
      <x:c r="S1757" s="9" t="n">
        <x:f>H1757*Y1756*INDEX(v01_MortChild,G1757)/4*Q1757</x:f>
        <x:v>0</x:v>
      </x:c>
      <x:c r="T1757" s="9" t="n">
        <x:f>H1757*Z1756*INDEX(v01_MortAdult,G1757)*Arch_AdultMort/4*Q1757</x:f>
        <x:v>0</x:v>
      </x:c>
      <x:c r="U1757" s="9" t="n">
        <x:f>H1757*AA1756*INDEX(v01_MortElder,G1757)/4*Q1757</x:f>
        <x:v>0</x:v>
      </x:c>
      <x:c r="V1757" s="9" t="n">
        <x:f>H1757*MAX(0,AB1756-O1757)*v01_OvercapLoss</x:f>
        <x:v>0</x:v>
      </x:c>
      <x:c r="W1757" s="9" t="n">
        <x:f>H1757*Y1756/(v01_ChildYears*4)</x:f>
        <x:v>0</x:v>
      </x:c>
      <x:c r="X1757" s="9" t="n">
        <x:f>H1757*Z1756/(v01_AdultYears*4)</x:f>
        <x:v>0</x:v>
      </x:c>
      <x:c r="Y1757" s="32" t="n">
        <x:f>Y1756+R1757-S1757-W1757-Y1756*V1757/AB1756</x:f>
        <x:v>14306.18539759397</x:v>
      </x:c>
      <x:c r="Z1757" s="32" t="n">
        <x:f>Z1756+W1757-X1757-T1757-Z1756*V1757/AB1756</x:f>
        <x:v>19354.456567879548</x:v>
      </x:c>
      <x:c r="AA1757" s="32" t="n">
        <x:f>AA1756+X1757-U1757-AA1756*V1757/AB1756</x:f>
        <x:v>11386.956063258198</x:v>
      </x:c>
      <x:c r="AB1757" s="10" t="n">
        <x:f>Y1757+Z1757+AA1757</x:f>
        <x:v>45047.59802873172</x:v>
      </x:c>
      <x:c r="AC1757" s="8" t="n">
        <x:f>IF(AND(v01_WinterTrigger=1,D1757=1,AB1756/AE1756&gt;=K1757),1,0)</x:f>
        <x:v>0</x:v>
      </x:c>
      <x:c r="AD1757" s="8" t="n">
        <x:f>H1757*IF(AND(OR(AB1756/AE1756&gt;=v01_FissionTrigger*N1757,AC1757=1),AB1756/AE1756*v01_DaughterShare&gt;=v01_MinDaughter),MAX(1,ROUND(AE1756*v01_FissionRate,0)),0)</x:f>
        <x:v>0</x:v>
      </x:c>
      <x:c r="AE1757" s="8" t="n">
        <x:f>IF(H1757=1,MAX(1,MIN(INDEX(v01_Smax,G1757),AE1756+AD1757)),AE1756)</x:f>
        <x:v>15</x:v>
      </x:c>
      <x:c r="AF1757" s="8" t="n">
        <x:f>MAX(0,AE1757-AE1756)</x:f>
        <x:v>0</x:v>
      </x:c>
      <x:c r="AG1757" s="9" t="str">
        <x:f>IF(AF1757&gt;0,B1757,"")</x:f>
      </x:c>
      <x:c r="AH1757" s="9" t="n">
        <x:f>IF(F1757&gt;=1,1,(1+v01_LowTiesShare*(AE1757-1))/AE1757)</x:f>
        <x:v>1</x:v>
      </x:c>
      <x:c r="AI1757" s="32" t="n">
        <x:f>(Z1757+v01_ElderCommons*INDEX(LM_Elder,G1757)*AA1757)*AH1757</x:f>
        <x:v>64139.732591141874</x:v>
      </x:c>
      <x:c r="AJ1757" s="32" t="n">
        <x:f>H1757*v01_CommonsCoef*AI1757^v01_CommonsExp*INDEX(LM_Commons,G1757)</x:f>
        <x:v>0</x:v>
      </x:c>
      <x:c r="AK1757" s="32" t="n">
        <x:f>H1757*v01_RoleScale*Arch_Roles*(AE1757*(INDEX(v01_ElderRolePerSett,G1757)*v01_OutElder*INDEX(LM_Elder,G1757)+INDEX(v01_ShamanPerSett,G1757)*v01_OutShaman)+Z1757*(INDEX(v01_PriestShare,G1757)*v01_OutPriest+INDEX(v01_ScribeShare,G1757)*v01_OutScribe*INDEX(LM_Scribe,G1757)+INDEX(v01_ScholarShare,G1757)*v01_OutScholar*INDEX(LM_Scholar,G1757)+INDEX(v01_ResearcherShare,G1757)*v01_OutResearcher*INDEX(LM_Researcher,G1757)))</x:f>
        <x:v>0</x:v>
      </x:c>
      <x:c r="AL1757" s="32" t="n">
        <x:f>H1757*v01_RoleScale*Arch_Roles*AE1757*INDEX(v01_MonasteryPerSett,G1757)*v01_OutMonastery*INDEX(LM_Monastery,G1757)</x:f>
        <x:v>0</x:v>
      </x:c>
      <x:c r="AM1757" s="32" t="n">
        <x:f>(AJ1757+AK1757+AL1757)/4*INDEX(LM_All,G1757)*INDEX(v01_Boon,G1757)*Arch_Insight</x:f>
        <x:v>0</x:v>
      </x:c>
      <x:c r="AN1757" s="32" t="n">
        <x:f>H1757*(v01_KHPerAdult*Z1757+v01_KHOfCommons*AJ1757/4*INDEX(LM_All,G1757))*v01_KHUsable*Arch_KH</x:f>
        <x:v>0</x:v>
      </x:c>
      <x:c r="AO1757" s="32" t="n">
        <x:f>MIN(AP1756+AN1757,AM1757*v01_KHMaxRatio)</x:f>
        <x:v>0</x:v>
      </x:c>
      <x:c r="AP1757" s="32" t="n">
        <x:f>AP1756+AN1757-AO1757</x:f>
        <x:v>0</x:v>
      </x:c>
      <x:c r="AQ1757" s="32" t="n">
        <x:f>AM1757+AO1757</x:f>
        <x:v>0</x:v>
      </x:c>
      <x:c r="AR1757" s="10" t="n">
        <x:f>IF(H1757=1,INDEX(v01_Req,G1757),0)</x:f>
        <x:v>0</x:v>
      </x:c>
      <x:c r="AS1757" s="32" t="n">
        <x:f>IF(H1757=1,IF(E1757=1,AS1756-AR1756,AS1756)+AQ1757,0)</x:f>
        <x:v>0</x:v>
      </x:c>
      <x:c r="AT1757" s="11" t="n">
        <x:f>IF(AR1757&gt;0,MIN(1,AS1757/AR1757),1)</x:f>
        <x:v>1</x:v>
      </x:c>
      <x:c r="AU1757" s="10" t="n">
        <x:f>AB1757/INDEX(v01_RepScale,G1757)</x:f>
        <x:v>90.09519605746344</x:v>
      </x:c>
      <x:c r="AV1757" s="32" t="n">
        <x:f>AM1757*60/v01_SeasonSeconds</x:f>
        <x:v>0</x:v>
      </x:c>
    </x:row>
    <x:row r="1758">
      <x:c r="A1758" s="8" t="n">
        <x:f>A1757+1</x:f>
        <x:v>1755</x:v>
      </x:c>
      <x:c r="B1758" s="9" t="n">
        <x:f>A1758*v01_SeasonSeconds/60</x:f>
        <x:v>438.75</x:v>
      </x:c>
      <x:c r="C1758" s="9" t="n">
        <x:f>A1758/4</x:f>
        <x:v>438.75</x:v>
      </x:c>
      <x:c r="D1758" s="8" t="n">
        <x:f>IF(MOD(A1758,4)=0,1,0)</x:f>
        <x:v>0</x:v>
      </x:c>
      <x:c r="E1758" s="8" t="n">
        <x:f>IF(AND(F1757&lt;=9,AS1757&gt;=AR1757),1,0)</x:f>
        <x:v>0</x:v>
      </x:c>
      <x:c r="F1758" s="8" t="n">
        <x:f>MIN(10,F1757+E1758)</x:f>
        <x:v>10</x:v>
      </x:c>
      <x:c r="G1758" s="8" t="n">
        <x:f>MIN(F1758,9)+1</x:f>
        <x:v>10</x:v>
      </x:c>
      <x:c r="H1758" s="8" t="n">
        <x:f>IF(F1758&lt;=9,1,0)</x:f>
        <x:v>0</x:v>
      </x:c>
      <x:c r="I1758" s="9" t="n">
        <x:f>MIN(10,F1757+IF(AR1757&gt;0,MIN(1,AS1757/AR1757),1))</x:f>
        <x:v>10</x:v>
      </x:c>
      <x:c r="J1758" s="32" t="n">
        <x:f>INDEX(v01_FoodCap,G1758)*Arch_FoodCap*EXP(v01_CapsByProject*SUMPRODUCT((Cap_Point&lt;=I1758)*(Cap_Kind="Food")*Cap_Ln))</x:f>
        <x:v>12000</x:v>
      </x:c>
      <x:c r="K1758" s="32" t="n">
        <x:f>J1758*MIN(1,v01_LeanBase*EXP(v01_CapsByProject*SUMPRODUCT((Cap_Point&lt;=I1758)*(Cap_Kind="Lean")*Cap_Ln)))</x:f>
        <x:v>12000</x:v>
      </x:c>
      <x:c r="L1758" s="10" t="n">
        <x:f>INDEX(v01_HousingCap,G1758)*EXP(v01_CapsByProject*SUMPRODUCT((Cap_Point&lt;=I1758)*(Cap_Kind="Housing")*Cap_Ln))</x:f>
        <x:v>20000</x:v>
      </x:c>
      <x:c r="M1758" s="10" t="n">
        <x:f>INDEX(v01_GroupCap,G1758)*v01_CohesionFactor*EXP(v01_CapsByProject*SUMPRODUCT((Cap_Point&lt;=I1758)*(Cap_Kind="Group")*Cap_Ln))</x:f>
        <x:v>1000000</x:v>
      </x:c>
      <x:c r="N1758" s="32" t="n">
        <x:f>MIN(J1758,L1758,M1758)</x:f>
        <x:v>12000</x:v>
      </x:c>
      <x:c r="O1758" s="10" t="n">
        <x:f>AE1757*N1758</x:f>
        <x:v>180000</x:v>
      </x:c>
      <x:c r="P1758" s="9" t="n">
        <x:f>MIN(1,(AB1757/(AE1757*IF(v01_GroupInCrowding=1,N1758,MIN(J1758,L1758))))^v01_CrowdingExp)</x:f>
        <x:v>0.00024569414295285325</x:v>
      </x:c>
      <x:c r="Q1758" s="9" t="n">
        <x:f>IF(D1758=1,INDEX(v01_WinterMult,G1758),1)</x:f>
        <x:v>1</x:v>
      </x:c>
      <x:c r="R1758" s="9" t="n">
        <x:f>H1758*Z1757*v01_WomenShare*v01_BaseFertility*INDEX(v01_FertMult,G1758)*Arch_Fertility*(1-P1758)</x:f>
        <x:v>0</x:v>
      </x:c>
      <x:c r="S1758" s="9" t="n">
        <x:f>H1758*Y1757*INDEX(v01_MortChild,G1758)/4*Q1758</x:f>
        <x:v>0</x:v>
      </x:c>
      <x:c r="T1758" s="9" t="n">
        <x:f>H1758*Z1757*INDEX(v01_MortAdult,G1758)*Arch_AdultMort/4*Q1758</x:f>
        <x:v>0</x:v>
      </x:c>
      <x:c r="U1758" s="9" t="n">
        <x:f>H1758*AA1757*INDEX(v01_MortElder,G1758)/4*Q1758</x:f>
        <x:v>0</x:v>
      </x:c>
      <x:c r="V1758" s="9" t="n">
        <x:f>H1758*MAX(0,AB1757-O1758)*v01_OvercapLoss</x:f>
        <x:v>0</x:v>
      </x:c>
      <x:c r="W1758" s="9" t="n">
        <x:f>H1758*Y1757/(v01_ChildYears*4)</x:f>
        <x:v>0</x:v>
      </x:c>
      <x:c r="X1758" s="9" t="n">
        <x:f>H1758*Z1757/(v01_AdultYears*4)</x:f>
        <x:v>0</x:v>
      </x:c>
      <x:c r="Y1758" s="32" t="n">
        <x:f>Y1757+R1758-S1758-W1758-Y1757*V1758/AB1757</x:f>
        <x:v>14306.18539759397</x:v>
      </x:c>
      <x:c r="Z1758" s="32" t="n">
        <x:f>Z1757+W1758-X1758-T1758-Z1757*V1758/AB1757</x:f>
        <x:v>19354.456567879548</x:v>
      </x:c>
      <x:c r="AA1758" s="32" t="n">
        <x:f>AA1757+X1758-U1758-AA1757*V1758/AB1757</x:f>
        <x:v>11386.956063258198</x:v>
      </x:c>
      <x:c r="AB1758" s="10" t="n">
        <x:f>Y1758+Z1758+AA1758</x:f>
        <x:v>45047.59802873172</x:v>
      </x:c>
      <x:c r="AC1758" s="8" t="n">
        <x:f>IF(AND(v01_WinterTrigger=1,D1758=1,AB1757/AE1757&gt;=K1758),1,0)</x:f>
        <x:v>0</x:v>
      </x:c>
      <x:c r="AD1758" s="8" t="n">
        <x:f>H1758*IF(AND(OR(AB1757/AE1757&gt;=v01_FissionTrigger*N1758,AC1758=1),AB1757/AE1757*v01_DaughterShare&gt;=v01_MinDaughter),MAX(1,ROUND(AE1757*v01_FissionRate,0)),0)</x:f>
        <x:v>0</x:v>
      </x:c>
      <x:c r="AE1758" s="8" t="n">
        <x:f>IF(H1758=1,MAX(1,MIN(INDEX(v01_Smax,G1758),AE1757+AD1758)),AE1757)</x:f>
        <x:v>15</x:v>
      </x:c>
      <x:c r="AF1758" s="8" t="n">
        <x:f>MAX(0,AE1758-AE1757)</x:f>
        <x:v>0</x:v>
      </x:c>
      <x:c r="AG1758" s="9" t="str">
        <x:f>IF(AF1758&gt;0,B1758,"")</x:f>
      </x:c>
      <x:c r="AH1758" s="9" t="n">
        <x:f>IF(F1758&gt;=1,1,(1+v01_LowTiesShare*(AE1758-1))/AE1758)</x:f>
        <x:v>1</x:v>
      </x:c>
      <x:c r="AI1758" s="32" t="n">
        <x:f>(Z1758+v01_ElderCommons*INDEX(LM_Elder,G1758)*AA1758)*AH1758</x:f>
        <x:v>64139.732591141874</x:v>
      </x:c>
      <x:c r="AJ1758" s="32" t="n">
        <x:f>H1758*v01_CommonsCoef*AI1758^v01_CommonsExp*INDEX(LM_Commons,G1758)</x:f>
        <x:v>0</x:v>
      </x:c>
      <x:c r="AK1758" s="32" t="n">
        <x:f>H1758*v01_RoleScale*Arch_Roles*(AE1758*(INDEX(v01_ElderRolePerSett,G1758)*v01_OutElder*INDEX(LM_Elder,G1758)+INDEX(v01_ShamanPerSett,G1758)*v01_OutShaman)+Z1758*(INDEX(v01_PriestShare,G1758)*v01_OutPriest+INDEX(v01_ScribeShare,G1758)*v01_OutScribe*INDEX(LM_Scribe,G1758)+INDEX(v01_ScholarShare,G1758)*v01_OutScholar*INDEX(LM_Scholar,G1758)+INDEX(v01_ResearcherShare,G1758)*v01_OutResearcher*INDEX(LM_Researcher,G1758)))</x:f>
        <x:v>0</x:v>
      </x:c>
      <x:c r="AL1758" s="32" t="n">
        <x:f>H1758*v01_RoleScale*Arch_Roles*AE1758*INDEX(v01_MonasteryPerSett,G1758)*v01_OutMonastery*INDEX(LM_Monastery,G1758)</x:f>
        <x:v>0</x:v>
      </x:c>
      <x:c r="AM1758" s="32" t="n">
        <x:f>(AJ1758+AK1758+AL1758)/4*INDEX(LM_All,G1758)*INDEX(v01_Boon,G1758)*Arch_Insight</x:f>
        <x:v>0</x:v>
      </x:c>
      <x:c r="AN1758" s="32" t="n">
        <x:f>H1758*(v01_KHPerAdult*Z1758+v01_KHOfCommons*AJ1758/4*INDEX(LM_All,G1758))*v01_KHUsable*Arch_KH</x:f>
        <x:v>0</x:v>
      </x:c>
      <x:c r="AO1758" s="32" t="n">
        <x:f>MIN(AP1757+AN1758,AM1758*v01_KHMaxRatio)</x:f>
        <x:v>0</x:v>
      </x:c>
      <x:c r="AP1758" s="32" t="n">
        <x:f>AP1757+AN1758-AO1758</x:f>
        <x:v>0</x:v>
      </x:c>
      <x:c r="AQ1758" s="32" t="n">
        <x:f>AM1758+AO1758</x:f>
        <x:v>0</x:v>
      </x:c>
      <x:c r="AR1758" s="10" t="n">
        <x:f>IF(H1758=1,INDEX(v01_Req,G1758),0)</x:f>
        <x:v>0</x:v>
      </x:c>
      <x:c r="AS1758" s="32" t="n">
        <x:f>IF(H1758=1,IF(E1758=1,AS1757-AR1757,AS1757)+AQ1758,0)</x:f>
        <x:v>0</x:v>
      </x:c>
      <x:c r="AT1758" s="11" t="n">
        <x:f>IF(AR1758&gt;0,MIN(1,AS1758/AR1758),1)</x:f>
        <x:v>1</x:v>
      </x:c>
      <x:c r="AU1758" s="10" t="n">
        <x:f>AB1758/INDEX(v01_RepScale,G1758)</x:f>
        <x:v>90.09519605746344</x:v>
      </x:c>
      <x:c r="AV1758" s="32" t="n">
        <x:f>AM1758*60/v01_SeasonSeconds</x:f>
        <x:v>0</x:v>
      </x:c>
    </x:row>
    <x:row r="1759">
      <x:c r="A1759" s="8" t="n">
        <x:f>A1758+1</x:f>
        <x:v>1756</x:v>
      </x:c>
      <x:c r="B1759" s="9" t="n">
        <x:f>A1759*v01_SeasonSeconds/60</x:f>
        <x:v>439</x:v>
      </x:c>
      <x:c r="C1759" s="9" t="n">
        <x:f>A1759/4</x:f>
        <x:v>439</x:v>
      </x:c>
      <x:c r="D1759" s="8" t="n">
        <x:f>IF(MOD(A1759,4)=0,1,0)</x:f>
        <x:v>1</x:v>
      </x:c>
      <x:c r="E1759" s="8" t="n">
        <x:f>IF(AND(F1758&lt;=9,AS1758&gt;=AR1758),1,0)</x:f>
        <x:v>0</x:v>
      </x:c>
      <x:c r="F1759" s="8" t="n">
        <x:f>MIN(10,F1758+E1759)</x:f>
        <x:v>10</x:v>
      </x:c>
      <x:c r="G1759" s="8" t="n">
        <x:f>MIN(F1759,9)+1</x:f>
        <x:v>10</x:v>
      </x:c>
      <x:c r="H1759" s="8" t="n">
        <x:f>IF(F1759&lt;=9,1,0)</x:f>
        <x:v>0</x:v>
      </x:c>
      <x:c r="I1759" s="9" t="n">
        <x:f>MIN(10,F1758+IF(AR1758&gt;0,MIN(1,AS1758/AR1758),1))</x:f>
        <x:v>10</x:v>
      </x:c>
      <x:c r="J1759" s="32" t="n">
        <x:f>INDEX(v01_FoodCap,G1759)*Arch_FoodCap*EXP(v01_CapsByProject*SUMPRODUCT((Cap_Point&lt;=I1759)*(Cap_Kind="Food")*Cap_Ln))</x:f>
        <x:v>12000</x:v>
      </x:c>
      <x:c r="K1759" s="32" t="n">
        <x:f>J1759*MIN(1,v01_LeanBase*EXP(v01_CapsByProject*SUMPRODUCT((Cap_Point&lt;=I1759)*(Cap_Kind="Lean")*Cap_Ln)))</x:f>
        <x:v>12000</x:v>
      </x:c>
      <x:c r="L1759" s="10" t="n">
        <x:f>INDEX(v01_HousingCap,G1759)*EXP(v01_CapsByProject*SUMPRODUCT((Cap_Point&lt;=I1759)*(Cap_Kind="Housing")*Cap_Ln))</x:f>
        <x:v>20000</x:v>
      </x:c>
      <x:c r="M1759" s="10" t="n">
        <x:f>INDEX(v01_GroupCap,G1759)*v01_CohesionFactor*EXP(v01_CapsByProject*SUMPRODUCT((Cap_Point&lt;=I1759)*(Cap_Kind="Group")*Cap_Ln))</x:f>
        <x:v>1000000</x:v>
      </x:c>
      <x:c r="N1759" s="32" t="n">
        <x:f>MIN(J1759,L1759,M1759)</x:f>
        <x:v>12000</x:v>
      </x:c>
      <x:c r="O1759" s="10" t="n">
        <x:f>AE1758*N1759</x:f>
        <x:v>180000</x:v>
      </x:c>
      <x:c r="P1759" s="9" t="n">
        <x:f>MIN(1,(AB1758/(AE1758*IF(v01_GroupInCrowding=1,N1759,MIN(J1759,L1759))))^v01_CrowdingExp)</x:f>
        <x:v>0.00024569414295285325</x:v>
      </x:c>
      <x:c r="Q1759" s="9" t="n">
        <x:f>IF(D1759=1,INDEX(v01_WinterMult,G1759),1)</x:f>
        <x:v>1</x:v>
      </x:c>
      <x:c r="R1759" s="9" t="n">
        <x:f>H1759*Z1758*v01_WomenShare*v01_BaseFertility*INDEX(v01_FertMult,G1759)*Arch_Fertility*(1-P1759)</x:f>
        <x:v>0</x:v>
      </x:c>
      <x:c r="S1759" s="9" t="n">
        <x:f>H1759*Y1758*INDEX(v01_MortChild,G1759)/4*Q1759</x:f>
        <x:v>0</x:v>
      </x:c>
      <x:c r="T1759" s="9" t="n">
        <x:f>H1759*Z1758*INDEX(v01_MortAdult,G1759)*Arch_AdultMort/4*Q1759</x:f>
        <x:v>0</x:v>
      </x:c>
      <x:c r="U1759" s="9" t="n">
        <x:f>H1759*AA1758*INDEX(v01_MortElder,G1759)/4*Q1759</x:f>
        <x:v>0</x:v>
      </x:c>
      <x:c r="V1759" s="9" t="n">
        <x:f>H1759*MAX(0,AB1758-O1759)*v01_OvercapLoss</x:f>
        <x:v>0</x:v>
      </x:c>
      <x:c r="W1759" s="9" t="n">
        <x:f>H1759*Y1758/(v01_ChildYears*4)</x:f>
        <x:v>0</x:v>
      </x:c>
      <x:c r="X1759" s="9" t="n">
        <x:f>H1759*Z1758/(v01_AdultYears*4)</x:f>
        <x:v>0</x:v>
      </x:c>
      <x:c r="Y1759" s="32" t="n">
        <x:f>Y1758+R1759-S1759-W1759-Y1758*V1759/AB1758</x:f>
        <x:v>14306.18539759397</x:v>
      </x:c>
      <x:c r="Z1759" s="32" t="n">
        <x:f>Z1758+W1759-X1759-T1759-Z1758*V1759/AB1758</x:f>
        <x:v>19354.456567879548</x:v>
      </x:c>
      <x:c r="AA1759" s="32" t="n">
        <x:f>AA1758+X1759-U1759-AA1758*V1759/AB1758</x:f>
        <x:v>11386.956063258198</x:v>
      </x:c>
      <x:c r="AB1759" s="10" t="n">
        <x:f>Y1759+Z1759+AA1759</x:f>
        <x:v>45047.59802873172</x:v>
      </x:c>
      <x:c r="AC1759" s="8" t="n">
        <x:f>IF(AND(v01_WinterTrigger=1,D1759=1,AB1758/AE1758&gt;=K1759),1,0)</x:f>
        <x:v>0</x:v>
      </x:c>
      <x:c r="AD1759" s="8" t="n">
        <x:f>H1759*IF(AND(OR(AB1758/AE1758&gt;=v01_FissionTrigger*N1759,AC1759=1),AB1758/AE1758*v01_DaughterShare&gt;=v01_MinDaughter),MAX(1,ROUND(AE1758*v01_FissionRate,0)),0)</x:f>
        <x:v>0</x:v>
      </x:c>
      <x:c r="AE1759" s="8" t="n">
        <x:f>IF(H1759=1,MAX(1,MIN(INDEX(v01_Smax,G1759),AE1758+AD1759)),AE1758)</x:f>
        <x:v>15</x:v>
      </x:c>
      <x:c r="AF1759" s="8" t="n">
        <x:f>MAX(0,AE1759-AE1758)</x:f>
        <x:v>0</x:v>
      </x:c>
      <x:c r="AG1759" s="9" t="str">
        <x:f>IF(AF1759&gt;0,B1759,"")</x:f>
      </x:c>
      <x:c r="AH1759" s="9" t="n">
        <x:f>IF(F1759&gt;=1,1,(1+v01_LowTiesShare*(AE1759-1))/AE1759)</x:f>
        <x:v>1</x:v>
      </x:c>
      <x:c r="AI1759" s="32" t="n">
        <x:f>(Z1759+v01_ElderCommons*INDEX(LM_Elder,G1759)*AA1759)*AH1759</x:f>
        <x:v>64139.732591141874</x:v>
      </x:c>
      <x:c r="AJ1759" s="32" t="n">
        <x:f>H1759*v01_CommonsCoef*AI1759^v01_CommonsExp*INDEX(LM_Commons,G1759)</x:f>
        <x:v>0</x:v>
      </x:c>
      <x:c r="AK1759" s="32" t="n">
        <x:f>H1759*v01_RoleScale*Arch_Roles*(AE1759*(INDEX(v01_ElderRolePerSett,G1759)*v01_OutElder*INDEX(LM_Elder,G1759)+INDEX(v01_ShamanPerSett,G1759)*v01_OutShaman)+Z1759*(INDEX(v01_PriestShare,G1759)*v01_OutPriest+INDEX(v01_ScribeShare,G1759)*v01_OutScribe*INDEX(LM_Scribe,G1759)+INDEX(v01_ScholarShare,G1759)*v01_OutScholar*INDEX(LM_Scholar,G1759)+INDEX(v01_ResearcherShare,G1759)*v01_OutResearcher*INDEX(LM_Researcher,G1759)))</x:f>
        <x:v>0</x:v>
      </x:c>
      <x:c r="AL1759" s="32" t="n">
        <x:f>H1759*v01_RoleScale*Arch_Roles*AE1759*INDEX(v01_MonasteryPerSett,G1759)*v01_OutMonastery*INDEX(LM_Monastery,G1759)</x:f>
        <x:v>0</x:v>
      </x:c>
      <x:c r="AM1759" s="32" t="n">
        <x:f>(AJ1759+AK1759+AL1759)/4*INDEX(LM_All,G1759)*INDEX(v01_Boon,G1759)*Arch_Insight</x:f>
        <x:v>0</x:v>
      </x:c>
      <x:c r="AN1759" s="32" t="n">
        <x:f>H1759*(v01_KHPerAdult*Z1759+v01_KHOfCommons*AJ1759/4*INDEX(LM_All,G1759))*v01_KHUsable*Arch_KH</x:f>
        <x:v>0</x:v>
      </x:c>
      <x:c r="AO1759" s="32" t="n">
        <x:f>MIN(AP1758+AN1759,AM1759*v01_KHMaxRatio)</x:f>
        <x:v>0</x:v>
      </x:c>
      <x:c r="AP1759" s="32" t="n">
        <x:f>AP1758+AN1759-AO1759</x:f>
        <x:v>0</x:v>
      </x:c>
      <x:c r="AQ1759" s="32" t="n">
        <x:f>AM1759+AO1759</x:f>
        <x:v>0</x:v>
      </x:c>
      <x:c r="AR1759" s="10" t="n">
        <x:f>IF(H1759=1,INDEX(v01_Req,G1759),0)</x:f>
        <x:v>0</x:v>
      </x:c>
      <x:c r="AS1759" s="32" t="n">
        <x:f>IF(H1759=1,IF(E1759=1,AS1758-AR1758,AS1758)+AQ1759,0)</x:f>
        <x:v>0</x:v>
      </x:c>
      <x:c r="AT1759" s="11" t="n">
        <x:f>IF(AR1759&gt;0,MIN(1,AS1759/AR1759),1)</x:f>
        <x:v>1</x:v>
      </x:c>
      <x:c r="AU1759" s="10" t="n">
        <x:f>AB1759/INDEX(v01_RepScale,G1759)</x:f>
        <x:v>90.09519605746344</x:v>
      </x:c>
      <x:c r="AV1759" s="32" t="n">
        <x:f>AM1759*60/v01_SeasonSeconds</x:f>
        <x:v>0</x:v>
      </x:c>
    </x:row>
    <x:row r="1760">
      <x:c r="A1760" s="8" t="n">
        <x:f>A1759+1</x:f>
        <x:v>1757</x:v>
      </x:c>
      <x:c r="B1760" s="9" t="n">
        <x:f>A1760*v01_SeasonSeconds/60</x:f>
        <x:v>439.25</x:v>
      </x:c>
      <x:c r="C1760" s="9" t="n">
        <x:f>A1760/4</x:f>
        <x:v>439.25</x:v>
      </x:c>
      <x:c r="D1760" s="8" t="n">
        <x:f>IF(MOD(A1760,4)=0,1,0)</x:f>
        <x:v>0</x:v>
      </x:c>
      <x:c r="E1760" s="8" t="n">
        <x:f>IF(AND(F1759&lt;=9,AS1759&gt;=AR1759),1,0)</x:f>
        <x:v>0</x:v>
      </x:c>
      <x:c r="F1760" s="8" t="n">
        <x:f>MIN(10,F1759+E1760)</x:f>
        <x:v>10</x:v>
      </x:c>
      <x:c r="G1760" s="8" t="n">
        <x:f>MIN(F1760,9)+1</x:f>
        <x:v>10</x:v>
      </x:c>
      <x:c r="H1760" s="8" t="n">
        <x:f>IF(F1760&lt;=9,1,0)</x:f>
        <x:v>0</x:v>
      </x:c>
      <x:c r="I1760" s="9" t="n">
        <x:f>MIN(10,F1759+IF(AR1759&gt;0,MIN(1,AS1759/AR1759),1))</x:f>
        <x:v>10</x:v>
      </x:c>
      <x:c r="J1760" s="32" t="n">
        <x:f>INDEX(v01_FoodCap,G1760)*Arch_FoodCap*EXP(v01_CapsByProject*SUMPRODUCT((Cap_Point&lt;=I1760)*(Cap_Kind="Food")*Cap_Ln))</x:f>
        <x:v>12000</x:v>
      </x:c>
      <x:c r="K1760" s="32" t="n">
        <x:f>J1760*MIN(1,v01_LeanBase*EXP(v01_CapsByProject*SUMPRODUCT((Cap_Point&lt;=I1760)*(Cap_Kind="Lean")*Cap_Ln)))</x:f>
        <x:v>12000</x:v>
      </x:c>
      <x:c r="L1760" s="10" t="n">
        <x:f>INDEX(v01_HousingCap,G1760)*EXP(v01_CapsByProject*SUMPRODUCT((Cap_Point&lt;=I1760)*(Cap_Kind="Housing")*Cap_Ln))</x:f>
        <x:v>20000</x:v>
      </x:c>
      <x:c r="M1760" s="10" t="n">
        <x:f>INDEX(v01_GroupCap,G1760)*v01_CohesionFactor*EXP(v01_CapsByProject*SUMPRODUCT((Cap_Point&lt;=I1760)*(Cap_Kind="Group")*Cap_Ln))</x:f>
        <x:v>1000000</x:v>
      </x:c>
      <x:c r="N1760" s="32" t="n">
        <x:f>MIN(J1760,L1760,M1760)</x:f>
        <x:v>12000</x:v>
      </x:c>
      <x:c r="O1760" s="10" t="n">
        <x:f>AE1759*N1760</x:f>
        <x:v>180000</x:v>
      </x:c>
      <x:c r="P1760" s="9" t="n">
        <x:f>MIN(1,(AB1759/(AE1759*IF(v01_GroupInCrowding=1,N1760,MIN(J1760,L1760))))^v01_CrowdingExp)</x:f>
        <x:v>0.00024569414295285325</x:v>
      </x:c>
      <x:c r="Q1760" s="9" t="n">
        <x:f>IF(D1760=1,INDEX(v01_WinterMult,G1760),1)</x:f>
        <x:v>1</x:v>
      </x:c>
      <x:c r="R1760" s="9" t="n">
        <x:f>H1760*Z1759*v01_WomenShare*v01_BaseFertility*INDEX(v01_FertMult,G1760)*Arch_Fertility*(1-P1760)</x:f>
        <x:v>0</x:v>
      </x:c>
      <x:c r="S1760" s="9" t="n">
        <x:f>H1760*Y1759*INDEX(v01_MortChild,G1760)/4*Q1760</x:f>
        <x:v>0</x:v>
      </x:c>
      <x:c r="T1760" s="9" t="n">
        <x:f>H1760*Z1759*INDEX(v01_MortAdult,G1760)*Arch_AdultMort/4*Q1760</x:f>
        <x:v>0</x:v>
      </x:c>
      <x:c r="U1760" s="9" t="n">
        <x:f>H1760*AA1759*INDEX(v01_MortElder,G1760)/4*Q1760</x:f>
        <x:v>0</x:v>
      </x:c>
      <x:c r="V1760" s="9" t="n">
        <x:f>H1760*MAX(0,AB1759-O1760)*v01_OvercapLoss</x:f>
        <x:v>0</x:v>
      </x:c>
      <x:c r="W1760" s="9" t="n">
        <x:f>H1760*Y1759/(v01_ChildYears*4)</x:f>
        <x:v>0</x:v>
      </x:c>
      <x:c r="X1760" s="9" t="n">
        <x:f>H1760*Z1759/(v01_AdultYears*4)</x:f>
        <x:v>0</x:v>
      </x:c>
      <x:c r="Y1760" s="32" t="n">
        <x:f>Y1759+R1760-S1760-W1760-Y1759*V1760/AB1759</x:f>
        <x:v>14306.18539759397</x:v>
      </x:c>
      <x:c r="Z1760" s="32" t="n">
        <x:f>Z1759+W1760-X1760-T1760-Z1759*V1760/AB1759</x:f>
        <x:v>19354.456567879548</x:v>
      </x:c>
      <x:c r="AA1760" s="32" t="n">
        <x:f>AA1759+X1760-U1760-AA1759*V1760/AB1759</x:f>
        <x:v>11386.956063258198</x:v>
      </x:c>
      <x:c r="AB1760" s="10" t="n">
        <x:f>Y1760+Z1760+AA1760</x:f>
        <x:v>45047.59802873172</x:v>
      </x:c>
      <x:c r="AC1760" s="8" t="n">
        <x:f>IF(AND(v01_WinterTrigger=1,D1760=1,AB1759/AE1759&gt;=K1760),1,0)</x:f>
        <x:v>0</x:v>
      </x:c>
      <x:c r="AD1760" s="8" t="n">
        <x:f>H1760*IF(AND(OR(AB1759/AE1759&gt;=v01_FissionTrigger*N1760,AC1760=1),AB1759/AE1759*v01_DaughterShare&gt;=v01_MinDaughter),MAX(1,ROUND(AE1759*v01_FissionRate,0)),0)</x:f>
        <x:v>0</x:v>
      </x:c>
      <x:c r="AE1760" s="8" t="n">
        <x:f>IF(H1760=1,MAX(1,MIN(INDEX(v01_Smax,G1760),AE1759+AD1760)),AE1759)</x:f>
        <x:v>15</x:v>
      </x:c>
      <x:c r="AF1760" s="8" t="n">
        <x:f>MAX(0,AE1760-AE1759)</x:f>
        <x:v>0</x:v>
      </x:c>
      <x:c r="AG1760" s="9" t="str">
        <x:f>IF(AF1760&gt;0,B1760,"")</x:f>
      </x:c>
      <x:c r="AH1760" s="9" t="n">
        <x:f>IF(F1760&gt;=1,1,(1+v01_LowTiesShare*(AE1760-1))/AE1760)</x:f>
        <x:v>1</x:v>
      </x:c>
      <x:c r="AI1760" s="32" t="n">
        <x:f>(Z1760+v01_ElderCommons*INDEX(LM_Elder,G1760)*AA1760)*AH1760</x:f>
        <x:v>64139.732591141874</x:v>
      </x:c>
      <x:c r="AJ1760" s="32" t="n">
        <x:f>H1760*v01_CommonsCoef*AI1760^v01_CommonsExp*INDEX(LM_Commons,G1760)</x:f>
        <x:v>0</x:v>
      </x:c>
      <x:c r="AK1760" s="32" t="n">
        <x:f>H1760*v01_RoleScale*Arch_Roles*(AE1760*(INDEX(v01_ElderRolePerSett,G1760)*v01_OutElder*INDEX(LM_Elder,G1760)+INDEX(v01_ShamanPerSett,G1760)*v01_OutShaman)+Z1760*(INDEX(v01_PriestShare,G1760)*v01_OutPriest+INDEX(v01_ScribeShare,G1760)*v01_OutScribe*INDEX(LM_Scribe,G1760)+INDEX(v01_ScholarShare,G1760)*v01_OutScholar*INDEX(LM_Scholar,G1760)+INDEX(v01_ResearcherShare,G1760)*v01_OutResearcher*INDEX(LM_Researcher,G1760)))</x:f>
        <x:v>0</x:v>
      </x:c>
      <x:c r="AL1760" s="32" t="n">
        <x:f>H1760*v01_RoleScale*Arch_Roles*AE1760*INDEX(v01_MonasteryPerSett,G1760)*v01_OutMonastery*INDEX(LM_Monastery,G1760)</x:f>
        <x:v>0</x:v>
      </x:c>
      <x:c r="AM1760" s="32" t="n">
        <x:f>(AJ1760+AK1760+AL1760)/4*INDEX(LM_All,G1760)*INDEX(v01_Boon,G1760)*Arch_Insight</x:f>
        <x:v>0</x:v>
      </x:c>
      <x:c r="AN1760" s="32" t="n">
        <x:f>H1760*(v01_KHPerAdult*Z1760+v01_KHOfCommons*AJ1760/4*INDEX(LM_All,G1760))*v01_KHUsable*Arch_KH</x:f>
        <x:v>0</x:v>
      </x:c>
      <x:c r="AO1760" s="32" t="n">
        <x:f>MIN(AP1759+AN1760,AM1760*v01_KHMaxRatio)</x:f>
        <x:v>0</x:v>
      </x:c>
      <x:c r="AP1760" s="32" t="n">
        <x:f>AP1759+AN1760-AO1760</x:f>
        <x:v>0</x:v>
      </x:c>
      <x:c r="AQ1760" s="32" t="n">
        <x:f>AM1760+AO1760</x:f>
        <x:v>0</x:v>
      </x:c>
      <x:c r="AR1760" s="10" t="n">
        <x:f>IF(H1760=1,INDEX(v01_Req,G1760),0)</x:f>
        <x:v>0</x:v>
      </x:c>
      <x:c r="AS1760" s="32" t="n">
        <x:f>IF(H1760=1,IF(E1760=1,AS1759-AR1759,AS1759)+AQ1760,0)</x:f>
        <x:v>0</x:v>
      </x:c>
      <x:c r="AT1760" s="11" t="n">
        <x:f>IF(AR1760&gt;0,MIN(1,AS1760/AR1760),1)</x:f>
        <x:v>1</x:v>
      </x:c>
      <x:c r="AU1760" s="10" t="n">
        <x:f>AB1760/INDEX(v01_RepScale,G1760)</x:f>
        <x:v>90.09519605746344</x:v>
      </x:c>
      <x:c r="AV1760" s="32" t="n">
        <x:f>AM1760*60/v01_SeasonSeconds</x:f>
        <x:v>0</x:v>
      </x:c>
    </x:row>
    <x:row r="1761">
      <x:c r="A1761" s="8" t="n">
        <x:f>A1760+1</x:f>
        <x:v>1758</x:v>
      </x:c>
      <x:c r="B1761" s="9" t="n">
        <x:f>A1761*v01_SeasonSeconds/60</x:f>
        <x:v>439.5</x:v>
      </x:c>
      <x:c r="C1761" s="9" t="n">
        <x:f>A1761/4</x:f>
        <x:v>439.5</x:v>
      </x:c>
      <x:c r="D1761" s="8" t="n">
        <x:f>IF(MOD(A1761,4)=0,1,0)</x:f>
        <x:v>0</x:v>
      </x:c>
      <x:c r="E1761" s="8" t="n">
        <x:f>IF(AND(F1760&lt;=9,AS1760&gt;=AR1760),1,0)</x:f>
        <x:v>0</x:v>
      </x:c>
      <x:c r="F1761" s="8" t="n">
        <x:f>MIN(10,F1760+E1761)</x:f>
        <x:v>10</x:v>
      </x:c>
      <x:c r="G1761" s="8" t="n">
        <x:f>MIN(F1761,9)+1</x:f>
        <x:v>10</x:v>
      </x:c>
      <x:c r="H1761" s="8" t="n">
        <x:f>IF(F1761&lt;=9,1,0)</x:f>
        <x:v>0</x:v>
      </x:c>
      <x:c r="I1761" s="9" t="n">
        <x:f>MIN(10,F1760+IF(AR1760&gt;0,MIN(1,AS1760/AR1760),1))</x:f>
        <x:v>10</x:v>
      </x:c>
      <x:c r="J1761" s="32" t="n">
        <x:f>INDEX(v01_FoodCap,G1761)*Arch_FoodCap*EXP(v01_CapsByProject*SUMPRODUCT((Cap_Point&lt;=I1761)*(Cap_Kind="Food")*Cap_Ln))</x:f>
        <x:v>12000</x:v>
      </x:c>
      <x:c r="K1761" s="32" t="n">
        <x:f>J1761*MIN(1,v01_LeanBase*EXP(v01_CapsByProject*SUMPRODUCT((Cap_Point&lt;=I1761)*(Cap_Kind="Lean")*Cap_Ln)))</x:f>
        <x:v>12000</x:v>
      </x:c>
      <x:c r="L1761" s="10" t="n">
        <x:f>INDEX(v01_HousingCap,G1761)*EXP(v01_CapsByProject*SUMPRODUCT((Cap_Point&lt;=I1761)*(Cap_Kind="Housing")*Cap_Ln))</x:f>
        <x:v>20000</x:v>
      </x:c>
      <x:c r="M1761" s="10" t="n">
        <x:f>INDEX(v01_GroupCap,G1761)*v01_CohesionFactor*EXP(v01_CapsByProject*SUMPRODUCT((Cap_Point&lt;=I1761)*(Cap_Kind="Group")*Cap_Ln))</x:f>
        <x:v>1000000</x:v>
      </x:c>
      <x:c r="N1761" s="32" t="n">
        <x:f>MIN(J1761,L1761,M1761)</x:f>
        <x:v>12000</x:v>
      </x:c>
      <x:c r="O1761" s="10" t="n">
        <x:f>AE1760*N1761</x:f>
        <x:v>180000</x:v>
      </x:c>
      <x:c r="P1761" s="9" t="n">
        <x:f>MIN(1,(AB1760/(AE1760*IF(v01_GroupInCrowding=1,N1761,MIN(J1761,L1761))))^v01_CrowdingExp)</x:f>
        <x:v>0.00024569414295285325</x:v>
      </x:c>
      <x:c r="Q1761" s="9" t="n">
        <x:f>IF(D1761=1,INDEX(v01_WinterMult,G1761),1)</x:f>
        <x:v>1</x:v>
      </x:c>
      <x:c r="R1761" s="9" t="n">
        <x:f>H1761*Z1760*v01_WomenShare*v01_BaseFertility*INDEX(v01_FertMult,G1761)*Arch_Fertility*(1-P1761)</x:f>
        <x:v>0</x:v>
      </x:c>
      <x:c r="S1761" s="9" t="n">
        <x:f>H1761*Y1760*INDEX(v01_MortChild,G1761)/4*Q1761</x:f>
        <x:v>0</x:v>
      </x:c>
      <x:c r="T1761" s="9" t="n">
        <x:f>H1761*Z1760*INDEX(v01_MortAdult,G1761)*Arch_AdultMort/4*Q1761</x:f>
        <x:v>0</x:v>
      </x:c>
      <x:c r="U1761" s="9" t="n">
        <x:f>H1761*AA1760*INDEX(v01_MortElder,G1761)/4*Q1761</x:f>
        <x:v>0</x:v>
      </x:c>
      <x:c r="V1761" s="9" t="n">
        <x:f>H1761*MAX(0,AB1760-O1761)*v01_OvercapLoss</x:f>
        <x:v>0</x:v>
      </x:c>
      <x:c r="W1761" s="9" t="n">
        <x:f>H1761*Y1760/(v01_ChildYears*4)</x:f>
        <x:v>0</x:v>
      </x:c>
      <x:c r="X1761" s="9" t="n">
        <x:f>H1761*Z1760/(v01_AdultYears*4)</x:f>
        <x:v>0</x:v>
      </x:c>
      <x:c r="Y1761" s="32" t="n">
        <x:f>Y1760+R1761-S1761-W1761-Y1760*V1761/AB1760</x:f>
        <x:v>14306.18539759397</x:v>
      </x:c>
      <x:c r="Z1761" s="32" t="n">
        <x:f>Z1760+W1761-X1761-T1761-Z1760*V1761/AB1760</x:f>
        <x:v>19354.456567879548</x:v>
      </x:c>
      <x:c r="AA1761" s="32" t="n">
        <x:f>AA1760+X1761-U1761-AA1760*V1761/AB1760</x:f>
        <x:v>11386.956063258198</x:v>
      </x:c>
      <x:c r="AB1761" s="10" t="n">
        <x:f>Y1761+Z1761+AA1761</x:f>
        <x:v>45047.59802873172</x:v>
      </x:c>
      <x:c r="AC1761" s="8" t="n">
        <x:f>IF(AND(v01_WinterTrigger=1,D1761=1,AB1760/AE1760&gt;=K1761),1,0)</x:f>
        <x:v>0</x:v>
      </x:c>
      <x:c r="AD1761" s="8" t="n">
        <x:f>H1761*IF(AND(OR(AB1760/AE1760&gt;=v01_FissionTrigger*N1761,AC1761=1),AB1760/AE1760*v01_DaughterShare&gt;=v01_MinDaughter),MAX(1,ROUND(AE1760*v01_FissionRate,0)),0)</x:f>
        <x:v>0</x:v>
      </x:c>
      <x:c r="AE1761" s="8" t="n">
        <x:f>IF(H1761=1,MAX(1,MIN(INDEX(v01_Smax,G1761),AE1760+AD1761)),AE1760)</x:f>
        <x:v>15</x:v>
      </x:c>
      <x:c r="AF1761" s="8" t="n">
        <x:f>MAX(0,AE1761-AE1760)</x:f>
        <x:v>0</x:v>
      </x:c>
      <x:c r="AG1761" s="9" t="str">
        <x:f>IF(AF1761&gt;0,B1761,"")</x:f>
      </x:c>
      <x:c r="AH1761" s="9" t="n">
        <x:f>IF(F1761&gt;=1,1,(1+v01_LowTiesShare*(AE1761-1))/AE1761)</x:f>
        <x:v>1</x:v>
      </x:c>
      <x:c r="AI1761" s="32" t="n">
        <x:f>(Z1761+v01_ElderCommons*INDEX(LM_Elder,G1761)*AA1761)*AH1761</x:f>
        <x:v>64139.732591141874</x:v>
      </x:c>
      <x:c r="AJ1761" s="32" t="n">
        <x:f>H1761*v01_CommonsCoef*AI1761^v01_CommonsExp*INDEX(LM_Commons,G1761)</x:f>
        <x:v>0</x:v>
      </x:c>
      <x:c r="AK1761" s="32" t="n">
        <x:f>H1761*v01_RoleScale*Arch_Roles*(AE1761*(INDEX(v01_ElderRolePerSett,G1761)*v01_OutElder*INDEX(LM_Elder,G1761)+INDEX(v01_ShamanPerSett,G1761)*v01_OutShaman)+Z1761*(INDEX(v01_PriestShare,G1761)*v01_OutPriest+INDEX(v01_ScribeShare,G1761)*v01_OutScribe*INDEX(LM_Scribe,G1761)+INDEX(v01_ScholarShare,G1761)*v01_OutScholar*INDEX(LM_Scholar,G1761)+INDEX(v01_ResearcherShare,G1761)*v01_OutResearcher*INDEX(LM_Researcher,G1761)))</x:f>
        <x:v>0</x:v>
      </x:c>
      <x:c r="AL1761" s="32" t="n">
        <x:f>H1761*v01_RoleScale*Arch_Roles*AE1761*INDEX(v01_MonasteryPerSett,G1761)*v01_OutMonastery*INDEX(LM_Monastery,G1761)</x:f>
        <x:v>0</x:v>
      </x:c>
      <x:c r="AM1761" s="32" t="n">
        <x:f>(AJ1761+AK1761+AL1761)/4*INDEX(LM_All,G1761)*INDEX(v01_Boon,G1761)*Arch_Insight</x:f>
        <x:v>0</x:v>
      </x:c>
      <x:c r="AN1761" s="32" t="n">
        <x:f>H1761*(v01_KHPerAdult*Z1761+v01_KHOfCommons*AJ1761/4*INDEX(LM_All,G1761))*v01_KHUsable*Arch_KH</x:f>
        <x:v>0</x:v>
      </x:c>
      <x:c r="AO1761" s="32" t="n">
        <x:f>MIN(AP1760+AN1761,AM1761*v01_KHMaxRatio)</x:f>
        <x:v>0</x:v>
      </x:c>
      <x:c r="AP1761" s="32" t="n">
        <x:f>AP1760+AN1761-AO1761</x:f>
        <x:v>0</x:v>
      </x:c>
      <x:c r="AQ1761" s="32" t="n">
        <x:f>AM1761+AO1761</x:f>
        <x:v>0</x:v>
      </x:c>
      <x:c r="AR1761" s="10" t="n">
        <x:f>IF(H1761=1,INDEX(v01_Req,G1761),0)</x:f>
        <x:v>0</x:v>
      </x:c>
      <x:c r="AS1761" s="32" t="n">
        <x:f>IF(H1761=1,IF(E1761=1,AS1760-AR1760,AS1760)+AQ1761,0)</x:f>
        <x:v>0</x:v>
      </x:c>
      <x:c r="AT1761" s="11" t="n">
        <x:f>IF(AR1761&gt;0,MIN(1,AS1761/AR1761),1)</x:f>
        <x:v>1</x:v>
      </x:c>
      <x:c r="AU1761" s="10" t="n">
        <x:f>AB1761/INDEX(v01_RepScale,G1761)</x:f>
        <x:v>90.09519605746344</x:v>
      </x:c>
      <x:c r="AV1761" s="32" t="n">
        <x:f>AM1761*60/v01_SeasonSeconds</x:f>
        <x:v>0</x:v>
      </x:c>
    </x:row>
    <x:row r="1762">
      <x:c r="A1762" s="8" t="n">
        <x:f>A1761+1</x:f>
        <x:v>1759</x:v>
      </x:c>
      <x:c r="B1762" s="9" t="n">
        <x:f>A1762*v01_SeasonSeconds/60</x:f>
        <x:v>439.75</x:v>
      </x:c>
      <x:c r="C1762" s="9" t="n">
        <x:f>A1762/4</x:f>
        <x:v>439.75</x:v>
      </x:c>
      <x:c r="D1762" s="8" t="n">
        <x:f>IF(MOD(A1762,4)=0,1,0)</x:f>
        <x:v>0</x:v>
      </x:c>
      <x:c r="E1762" s="8" t="n">
        <x:f>IF(AND(F1761&lt;=9,AS1761&gt;=AR1761),1,0)</x:f>
        <x:v>0</x:v>
      </x:c>
      <x:c r="F1762" s="8" t="n">
        <x:f>MIN(10,F1761+E1762)</x:f>
        <x:v>10</x:v>
      </x:c>
      <x:c r="G1762" s="8" t="n">
        <x:f>MIN(F1762,9)+1</x:f>
        <x:v>10</x:v>
      </x:c>
      <x:c r="H1762" s="8" t="n">
        <x:f>IF(F1762&lt;=9,1,0)</x:f>
        <x:v>0</x:v>
      </x:c>
      <x:c r="I1762" s="9" t="n">
        <x:f>MIN(10,F1761+IF(AR1761&gt;0,MIN(1,AS1761/AR1761),1))</x:f>
        <x:v>10</x:v>
      </x:c>
      <x:c r="J1762" s="32" t="n">
        <x:f>INDEX(v01_FoodCap,G1762)*Arch_FoodCap*EXP(v01_CapsByProject*SUMPRODUCT((Cap_Point&lt;=I1762)*(Cap_Kind="Food")*Cap_Ln))</x:f>
        <x:v>12000</x:v>
      </x:c>
      <x:c r="K1762" s="32" t="n">
        <x:f>J1762*MIN(1,v01_LeanBase*EXP(v01_CapsByProject*SUMPRODUCT((Cap_Point&lt;=I1762)*(Cap_Kind="Lean")*Cap_Ln)))</x:f>
        <x:v>12000</x:v>
      </x:c>
      <x:c r="L1762" s="10" t="n">
        <x:f>INDEX(v01_HousingCap,G1762)*EXP(v01_CapsByProject*SUMPRODUCT((Cap_Point&lt;=I1762)*(Cap_Kind="Housing")*Cap_Ln))</x:f>
        <x:v>20000</x:v>
      </x:c>
      <x:c r="M1762" s="10" t="n">
        <x:f>INDEX(v01_GroupCap,G1762)*v01_CohesionFactor*EXP(v01_CapsByProject*SUMPRODUCT((Cap_Point&lt;=I1762)*(Cap_Kind="Group")*Cap_Ln))</x:f>
        <x:v>1000000</x:v>
      </x:c>
      <x:c r="N1762" s="32" t="n">
        <x:f>MIN(J1762,L1762,M1762)</x:f>
        <x:v>12000</x:v>
      </x:c>
      <x:c r="O1762" s="10" t="n">
        <x:f>AE1761*N1762</x:f>
        <x:v>180000</x:v>
      </x:c>
      <x:c r="P1762" s="9" t="n">
        <x:f>MIN(1,(AB1761/(AE1761*IF(v01_GroupInCrowding=1,N1762,MIN(J1762,L1762))))^v01_CrowdingExp)</x:f>
        <x:v>0.00024569414295285325</x:v>
      </x:c>
      <x:c r="Q1762" s="9" t="n">
        <x:f>IF(D1762=1,INDEX(v01_WinterMult,G1762),1)</x:f>
        <x:v>1</x:v>
      </x:c>
      <x:c r="R1762" s="9" t="n">
        <x:f>H1762*Z1761*v01_WomenShare*v01_BaseFertility*INDEX(v01_FertMult,G1762)*Arch_Fertility*(1-P1762)</x:f>
        <x:v>0</x:v>
      </x:c>
      <x:c r="S1762" s="9" t="n">
        <x:f>H1762*Y1761*INDEX(v01_MortChild,G1762)/4*Q1762</x:f>
        <x:v>0</x:v>
      </x:c>
      <x:c r="T1762" s="9" t="n">
        <x:f>H1762*Z1761*INDEX(v01_MortAdult,G1762)*Arch_AdultMort/4*Q1762</x:f>
        <x:v>0</x:v>
      </x:c>
      <x:c r="U1762" s="9" t="n">
        <x:f>H1762*AA1761*INDEX(v01_MortElder,G1762)/4*Q1762</x:f>
        <x:v>0</x:v>
      </x:c>
      <x:c r="V1762" s="9" t="n">
        <x:f>H1762*MAX(0,AB1761-O1762)*v01_OvercapLoss</x:f>
        <x:v>0</x:v>
      </x:c>
      <x:c r="W1762" s="9" t="n">
        <x:f>H1762*Y1761/(v01_ChildYears*4)</x:f>
        <x:v>0</x:v>
      </x:c>
      <x:c r="X1762" s="9" t="n">
        <x:f>H1762*Z1761/(v01_AdultYears*4)</x:f>
        <x:v>0</x:v>
      </x:c>
      <x:c r="Y1762" s="32" t="n">
        <x:f>Y1761+R1762-S1762-W1762-Y1761*V1762/AB1761</x:f>
        <x:v>14306.18539759397</x:v>
      </x:c>
      <x:c r="Z1762" s="32" t="n">
        <x:f>Z1761+W1762-X1762-T1762-Z1761*V1762/AB1761</x:f>
        <x:v>19354.456567879548</x:v>
      </x:c>
      <x:c r="AA1762" s="32" t="n">
        <x:f>AA1761+X1762-U1762-AA1761*V1762/AB1761</x:f>
        <x:v>11386.956063258198</x:v>
      </x:c>
      <x:c r="AB1762" s="10" t="n">
        <x:f>Y1762+Z1762+AA1762</x:f>
        <x:v>45047.59802873172</x:v>
      </x:c>
      <x:c r="AC1762" s="8" t="n">
        <x:f>IF(AND(v01_WinterTrigger=1,D1762=1,AB1761/AE1761&gt;=K1762),1,0)</x:f>
        <x:v>0</x:v>
      </x:c>
      <x:c r="AD1762" s="8" t="n">
        <x:f>H1762*IF(AND(OR(AB1761/AE1761&gt;=v01_FissionTrigger*N1762,AC1762=1),AB1761/AE1761*v01_DaughterShare&gt;=v01_MinDaughter),MAX(1,ROUND(AE1761*v01_FissionRate,0)),0)</x:f>
        <x:v>0</x:v>
      </x:c>
      <x:c r="AE1762" s="8" t="n">
        <x:f>IF(H1762=1,MAX(1,MIN(INDEX(v01_Smax,G1762),AE1761+AD1762)),AE1761)</x:f>
        <x:v>15</x:v>
      </x:c>
      <x:c r="AF1762" s="8" t="n">
        <x:f>MAX(0,AE1762-AE1761)</x:f>
        <x:v>0</x:v>
      </x:c>
      <x:c r="AG1762" s="9" t="str">
        <x:f>IF(AF1762&gt;0,B1762,"")</x:f>
      </x:c>
      <x:c r="AH1762" s="9" t="n">
        <x:f>IF(F1762&gt;=1,1,(1+v01_LowTiesShare*(AE1762-1))/AE1762)</x:f>
        <x:v>1</x:v>
      </x:c>
      <x:c r="AI1762" s="32" t="n">
        <x:f>(Z1762+v01_ElderCommons*INDEX(LM_Elder,G1762)*AA1762)*AH1762</x:f>
        <x:v>64139.732591141874</x:v>
      </x:c>
      <x:c r="AJ1762" s="32" t="n">
        <x:f>H1762*v01_CommonsCoef*AI1762^v01_CommonsExp*INDEX(LM_Commons,G1762)</x:f>
        <x:v>0</x:v>
      </x:c>
      <x:c r="AK1762" s="32" t="n">
        <x:f>H1762*v01_RoleScale*Arch_Roles*(AE1762*(INDEX(v01_ElderRolePerSett,G1762)*v01_OutElder*INDEX(LM_Elder,G1762)+INDEX(v01_ShamanPerSett,G1762)*v01_OutShaman)+Z1762*(INDEX(v01_PriestShare,G1762)*v01_OutPriest+INDEX(v01_ScribeShare,G1762)*v01_OutScribe*INDEX(LM_Scribe,G1762)+INDEX(v01_ScholarShare,G1762)*v01_OutScholar*INDEX(LM_Scholar,G1762)+INDEX(v01_ResearcherShare,G1762)*v01_OutResearcher*INDEX(LM_Researcher,G1762)))</x:f>
        <x:v>0</x:v>
      </x:c>
      <x:c r="AL1762" s="32" t="n">
        <x:f>H1762*v01_RoleScale*Arch_Roles*AE1762*INDEX(v01_MonasteryPerSett,G1762)*v01_OutMonastery*INDEX(LM_Monastery,G1762)</x:f>
        <x:v>0</x:v>
      </x:c>
      <x:c r="AM1762" s="32" t="n">
        <x:f>(AJ1762+AK1762+AL1762)/4*INDEX(LM_All,G1762)*INDEX(v01_Boon,G1762)*Arch_Insight</x:f>
        <x:v>0</x:v>
      </x:c>
      <x:c r="AN1762" s="32" t="n">
        <x:f>H1762*(v01_KHPerAdult*Z1762+v01_KHOfCommons*AJ1762/4*INDEX(LM_All,G1762))*v01_KHUsable*Arch_KH</x:f>
        <x:v>0</x:v>
      </x:c>
      <x:c r="AO1762" s="32" t="n">
        <x:f>MIN(AP1761+AN1762,AM1762*v01_KHMaxRatio)</x:f>
        <x:v>0</x:v>
      </x:c>
      <x:c r="AP1762" s="32" t="n">
        <x:f>AP1761+AN1762-AO1762</x:f>
        <x:v>0</x:v>
      </x:c>
      <x:c r="AQ1762" s="32" t="n">
        <x:f>AM1762+AO1762</x:f>
        <x:v>0</x:v>
      </x:c>
      <x:c r="AR1762" s="10" t="n">
        <x:f>IF(H1762=1,INDEX(v01_Req,G1762),0)</x:f>
        <x:v>0</x:v>
      </x:c>
      <x:c r="AS1762" s="32" t="n">
        <x:f>IF(H1762=1,IF(E1762=1,AS1761-AR1761,AS1761)+AQ1762,0)</x:f>
        <x:v>0</x:v>
      </x:c>
      <x:c r="AT1762" s="11" t="n">
        <x:f>IF(AR1762&gt;0,MIN(1,AS1762/AR1762),1)</x:f>
        <x:v>1</x:v>
      </x:c>
      <x:c r="AU1762" s="10" t="n">
        <x:f>AB1762/INDEX(v01_RepScale,G1762)</x:f>
        <x:v>90.09519605746344</x:v>
      </x:c>
      <x:c r="AV1762" s="32" t="n">
        <x:f>AM1762*60/v01_SeasonSeconds</x:f>
        <x:v>0</x:v>
      </x:c>
    </x:row>
    <x:row r="1763">
      <x:c r="A1763" s="8" t="n">
        <x:f>A1762+1</x:f>
        <x:v>1760</x:v>
      </x:c>
      <x:c r="B1763" s="9" t="n">
        <x:f>A1763*v01_SeasonSeconds/60</x:f>
        <x:v>440</x:v>
      </x:c>
      <x:c r="C1763" s="9" t="n">
        <x:f>A1763/4</x:f>
        <x:v>440</x:v>
      </x:c>
      <x:c r="D1763" s="8" t="n">
        <x:f>IF(MOD(A1763,4)=0,1,0)</x:f>
        <x:v>1</x:v>
      </x:c>
      <x:c r="E1763" s="8" t="n">
        <x:f>IF(AND(F1762&lt;=9,AS1762&gt;=AR1762),1,0)</x:f>
        <x:v>0</x:v>
      </x:c>
      <x:c r="F1763" s="8" t="n">
        <x:f>MIN(10,F1762+E1763)</x:f>
        <x:v>10</x:v>
      </x:c>
      <x:c r="G1763" s="8" t="n">
        <x:f>MIN(F1763,9)+1</x:f>
        <x:v>10</x:v>
      </x:c>
      <x:c r="H1763" s="8" t="n">
        <x:f>IF(F1763&lt;=9,1,0)</x:f>
        <x:v>0</x:v>
      </x:c>
      <x:c r="I1763" s="9" t="n">
        <x:f>MIN(10,F1762+IF(AR1762&gt;0,MIN(1,AS1762/AR1762),1))</x:f>
        <x:v>10</x:v>
      </x:c>
      <x:c r="J1763" s="32" t="n">
        <x:f>INDEX(v01_FoodCap,G1763)*Arch_FoodCap*EXP(v01_CapsByProject*SUMPRODUCT((Cap_Point&lt;=I1763)*(Cap_Kind="Food")*Cap_Ln))</x:f>
        <x:v>12000</x:v>
      </x:c>
      <x:c r="K1763" s="32" t="n">
        <x:f>J1763*MIN(1,v01_LeanBase*EXP(v01_CapsByProject*SUMPRODUCT((Cap_Point&lt;=I1763)*(Cap_Kind="Lean")*Cap_Ln)))</x:f>
        <x:v>12000</x:v>
      </x:c>
      <x:c r="L1763" s="10" t="n">
        <x:f>INDEX(v01_HousingCap,G1763)*EXP(v01_CapsByProject*SUMPRODUCT((Cap_Point&lt;=I1763)*(Cap_Kind="Housing")*Cap_Ln))</x:f>
        <x:v>20000</x:v>
      </x:c>
      <x:c r="M1763" s="10" t="n">
        <x:f>INDEX(v01_GroupCap,G1763)*v01_CohesionFactor*EXP(v01_CapsByProject*SUMPRODUCT((Cap_Point&lt;=I1763)*(Cap_Kind="Group")*Cap_Ln))</x:f>
        <x:v>1000000</x:v>
      </x:c>
      <x:c r="N1763" s="32" t="n">
        <x:f>MIN(J1763,L1763,M1763)</x:f>
        <x:v>12000</x:v>
      </x:c>
      <x:c r="O1763" s="10" t="n">
        <x:f>AE1762*N1763</x:f>
        <x:v>180000</x:v>
      </x:c>
      <x:c r="P1763" s="9" t="n">
        <x:f>MIN(1,(AB1762/(AE1762*IF(v01_GroupInCrowding=1,N1763,MIN(J1763,L1763))))^v01_CrowdingExp)</x:f>
        <x:v>0.00024569414295285325</x:v>
      </x:c>
      <x:c r="Q1763" s="9" t="n">
        <x:f>IF(D1763=1,INDEX(v01_WinterMult,G1763),1)</x:f>
        <x:v>1</x:v>
      </x:c>
      <x:c r="R1763" s="9" t="n">
        <x:f>H1763*Z1762*v01_WomenShare*v01_BaseFertility*INDEX(v01_FertMult,G1763)*Arch_Fertility*(1-P1763)</x:f>
        <x:v>0</x:v>
      </x:c>
      <x:c r="S1763" s="9" t="n">
        <x:f>H1763*Y1762*INDEX(v01_MortChild,G1763)/4*Q1763</x:f>
        <x:v>0</x:v>
      </x:c>
      <x:c r="T1763" s="9" t="n">
        <x:f>H1763*Z1762*INDEX(v01_MortAdult,G1763)*Arch_AdultMort/4*Q1763</x:f>
        <x:v>0</x:v>
      </x:c>
      <x:c r="U1763" s="9" t="n">
        <x:f>H1763*AA1762*INDEX(v01_MortElder,G1763)/4*Q1763</x:f>
        <x:v>0</x:v>
      </x:c>
      <x:c r="V1763" s="9" t="n">
        <x:f>H1763*MAX(0,AB1762-O1763)*v01_OvercapLoss</x:f>
        <x:v>0</x:v>
      </x:c>
      <x:c r="W1763" s="9" t="n">
        <x:f>H1763*Y1762/(v01_ChildYears*4)</x:f>
        <x:v>0</x:v>
      </x:c>
      <x:c r="X1763" s="9" t="n">
        <x:f>H1763*Z1762/(v01_AdultYears*4)</x:f>
        <x:v>0</x:v>
      </x:c>
      <x:c r="Y1763" s="32" t="n">
        <x:f>Y1762+R1763-S1763-W1763-Y1762*V1763/AB1762</x:f>
        <x:v>14306.18539759397</x:v>
      </x:c>
      <x:c r="Z1763" s="32" t="n">
        <x:f>Z1762+W1763-X1763-T1763-Z1762*V1763/AB1762</x:f>
        <x:v>19354.456567879548</x:v>
      </x:c>
      <x:c r="AA1763" s="32" t="n">
        <x:f>AA1762+X1763-U1763-AA1762*V1763/AB1762</x:f>
        <x:v>11386.956063258198</x:v>
      </x:c>
      <x:c r="AB1763" s="10" t="n">
        <x:f>Y1763+Z1763+AA1763</x:f>
        <x:v>45047.59802873172</x:v>
      </x:c>
      <x:c r="AC1763" s="8" t="n">
        <x:f>IF(AND(v01_WinterTrigger=1,D1763=1,AB1762/AE1762&gt;=K1763),1,0)</x:f>
        <x:v>0</x:v>
      </x:c>
      <x:c r="AD1763" s="8" t="n">
        <x:f>H1763*IF(AND(OR(AB1762/AE1762&gt;=v01_FissionTrigger*N1763,AC1763=1),AB1762/AE1762*v01_DaughterShare&gt;=v01_MinDaughter),MAX(1,ROUND(AE1762*v01_FissionRate,0)),0)</x:f>
        <x:v>0</x:v>
      </x:c>
      <x:c r="AE1763" s="8" t="n">
        <x:f>IF(H1763=1,MAX(1,MIN(INDEX(v01_Smax,G1763),AE1762+AD1763)),AE1762)</x:f>
        <x:v>15</x:v>
      </x:c>
      <x:c r="AF1763" s="8" t="n">
        <x:f>MAX(0,AE1763-AE1762)</x:f>
        <x:v>0</x:v>
      </x:c>
      <x:c r="AG1763" s="9" t="str">
        <x:f>IF(AF1763&gt;0,B1763,"")</x:f>
      </x:c>
      <x:c r="AH1763" s="9" t="n">
        <x:f>IF(F1763&gt;=1,1,(1+v01_LowTiesShare*(AE1763-1))/AE1763)</x:f>
        <x:v>1</x:v>
      </x:c>
      <x:c r="AI1763" s="32" t="n">
        <x:f>(Z1763+v01_ElderCommons*INDEX(LM_Elder,G1763)*AA1763)*AH1763</x:f>
        <x:v>64139.732591141874</x:v>
      </x:c>
      <x:c r="AJ1763" s="32" t="n">
        <x:f>H1763*v01_CommonsCoef*AI1763^v01_CommonsExp*INDEX(LM_Commons,G1763)</x:f>
        <x:v>0</x:v>
      </x:c>
      <x:c r="AK1763" s="32" t="n">
        <x:f>H1763*v01_RoleScale*Arch_Roles*(AE1763*(INDEX(v01_ElderRolePerSett,G1763)*v01_OutElder*INDEX(LM_Elder,G1763)+INDEX(v01_ShamanPerSett,G1763)*v01_OutShaman)+Z1763*(INDEX(v01_PriestShare,G1763)*v01_OutPriest+INDEX(v01_ScribeShare,G1763)*v01_OutScribe*INDEX(LM_Scribe,G1763)+INDEX(v01_ScholarShare,G1763)*v01_OutScholar*INDEX(LM_Scholar,G1763)+INDEX(v01_ResearcherShare,G1763)*v01_OutResearcher*INDEX(LM_Researcher,G1763)))</x:f>
        <x:v>0</x:v>
      </x:c>
      <x:c r="AL1763" s="32" t="n">
        <x:f>H1763*v01_RoleScale*Arch_Roles*AE1763*INDEX(v01_MonasteryPerSett,G1763)*v01_OutMonastery*INDEX(LM_Monastery,G1763)</x:f>
        <x:v>0</x:v>
      </x:c>
      <x:c r="AM1763" s="32" t="n">
        <x:f>(AJ1763+AK1763+AL1763)/4*INDEX(LM_All,G1763)*INDEX(v01_Boon,G1763)*Arch_Insight</x:f>
        <x:v>0</x:v>
      </x:c>
      <x:c r="AN1763" s="32" t="n">
        <x:f>H1763*(v01_KHPerAdult*Z1763+v01_KHOfCommons*AJ1763/4*INDEX(LM_All,G1763))*v01_KHUsable*Arch_KH</x:f>
        <x:v>0</x:v>
      </x:c>
      <x:c r="AO1763" s="32" t="n">
        <x:f>MIN(AP1762+AN1763,AM1763*v01_KHMaxRatio)</x:f>
        <x:v>0</x:v>
      </x:c>
      <x:c r="AP1763" s="32" t="n">
        <x:f>AP1762+AN1763-AO1763</x:f>
        <x:v>0</x:v>
      </x:c>
      <x:c r="AQ1763" s="32" t="n">
        <x:f>AM1763+AO1763</x:f>
        <x:v>0</x:v>
      </x:c>
      <x:c r="AR1763" s="10" t="n">
        <x:f>IF(H1763=1,INDEX(v01_Req,G1763),0)</x:f>
        <x:v>0</x:v>
      </x:c>
      <x:c r="AS1763" s="32" t="n">
        <x:f>IF(H1763=1,IF(E1763=1,AS1762-AR1762,AS1762)+AQ1763,0)</x:f>
        <x:v>0</x:v>
      </x:c>
      <x:c r="AT1763" s="11" t="n">
        <x:f>IF(AR1763&gt;0,MIN(1,AS1763/AR1763),1)</x:f>
        <x:v>1</x:v>
      </x:c>
      <x:c r="AU1763" s="10" t="n">
        <x:f>AB1763/INDEX(v01_RepScale,G1763)</x:f>
        <x:v>90.09519605746344</x:v>
      </x:c>
      <x:c r="AV1763" s="32" t="n">
        <x:f>AM1763*60/v01_SeasonSeconds</x:f>
        <x:v>0</x:v>
      </x:c>
    </x:row>
    <x:row r="1764">
      <x:c r="A1764" s="8" t="n">
        <x:f>A1763+1</x:f>
        <x:v>1761</x:v>
      </x:c>
      <x:c r="B1764" s="9" t="n">
        <x:f>A1764*v01_SeasonSeconds/60</x:f>
        <x:v>440.25</x:v>
      </x:c>
      <x:c r="C1764" s="9" t="n">
        <x:f>A1764/4</x:f>
        <x:v>440.25</x:v>
      </x:c>
      <x:c r="D1764" s="8" t="n">
        <x:f>IF(MOD(A1764,4)=0,1,0)</x:f>
        <x:v>0</x:v>
      </x:c>
      <x:c r="E1764" s="8" t="n">
        <x:f>IF(AND(F1763&lt;=9,AS1763&gt;=AR1763),1,0)</x:f>
        <x:v>0</x:v>
      </x:c>
      <x:c r="F1764" s="8" t="n">
        <x:f>MIN(10,F1763+E1764)</x:f>
        <x:v>10</x:v>
      </x:c>
      <x:c r="G1764" s="8" t="n">
        <x:f>MIN(F1764,9)+1</x:f>
        <x:v>10</x:v>
      </x:c>
      <x:c r="H1764" s="8" t="n">
        <x:f>IF(F1764&lt;=9,1,0)</x:f>
        <x:v>0</x:v>
      </x:c>
      <x:c r="I1764" s="9" t="n">
        <x:f>MIN(10,F1763+IF(AR1763&gt;0,MIN(1,AS1763/AR1763),1))</x:f>
        <x:v>10</x:v>
      </x:c>
      <x:c r="J1764" s="32" t="n">
        <x:f>INDEX(v01_FoodCap,G1764)*Arch_FoodCap*EXP(v01_CapsByProject*SUMPRODUCT((Cap_Point&lt;=I1764)*(Cap_Kind="Food")*Cap_Ln))</x:f>
        <x:v>12000</x:v>
      </x:c>
      <x:c r="K1764" s="32" t="n">
        <x:f>J1764*MIN(1,v01_LeanBase*EXP(v01_CapsByProject*SUMPRODUCT((Cap_Point&lt;=I1764)*(Cap_Kind="Lean")*Cap_Ln)))</x:f>
        <x:v>12000</x:v>
      </x:c>
      <x:c r="L1764" s="10" t="n">
        <x:f>INDEX(v01_HousingCap,G1764)*EXP(v01_CapsByProject*SUMPRODUCT((Cap_Point&lt;=I1764)*(Cap_Kind="Housing")*Cap_Ln))</x:f>
        <x:v>20000</x:v>
      </x:c>
      <x:c r="M1764" s="10" t="n">
        <x:f>INDEX(v01_GroupCap,G1764)*v01_CohesionFactor*EXP(v01_CapsByProject*SUMPRODUCT((Cap_Point&lt;=I1764)*(Cap_Kind="Group")*Cap_Ln))</x:f>
        <x:v>1000000</x:v>
      </x:c>
      <x:c r="N1764" s="32" t="n">
        <x:f>MIN(J1764,L1764,M1764)</x:f>
        <x:v>12000</x:v>
      </x:c>
      <x:c r="O1764" s="10" t="n">
        <x:f>AE1763*N1764</x:f>
        <x:v>180000</x:v>
      </x:c>
      <x:c r="P1764" s="9" t="n">
        <x:f>MIN(1,(AB1763/(AE1763*IF(v01_GroupInCrowding=1,N1764,MIN(J1764,L1764))))^v01_CrowdingExp)</x:f>
        <x:v>0.00024569414295285325</x:v>
      </x:c>
      <x:c r="Q1764" s="9" t="n">
        <x:f>IF(D1764=1,INDEX(v01_WinterMult,G1764),1)</x:f>
        <x:v>1</x:v>
      </x:c>
      <x:c r="R1764" s="9" t="n">
        <x:f>H1764*Z1763*v01_WomenShare*v01_BaseFertility*INDEX(v01_FertMult,G1764)*Arch_Fertility*(1-P1764)</x:f>
        <x:v>0</x:v>
      </x:c>
      <x:c r="S1764" s="9" t="n">
        <x:f>H1764*Y1763*INDEX(v01_MortChild,G1764)/4*Q1764</x:f>
        <x:v>0</x:v>
      </x:c>
      <x:c r="T1764" s="9" t="n">
        <x:f>H1764*Z1763*INDEX(v01_MortAdult,G1764)*Arch_AdultMort/4*Q1764</x:f>
        <x:v>0</x:v>
      </x:c>
      <x:c r="U1764" s="9" t="n">
        <x:f>H1764*AA1763*INDEX(v01_MortElder,G1764)/4*Q1764</x:f>
        <x:v>0</x:v>
      </x:c>
      <x:c r="V1764" s="9" t="n">
        <x:f>H1764*MAX(0,AB1763-O1764)*v01_OvercapLoss</x:f>
        <x:v>0</x:v>
      </x:c>
      <x:c r="W1764" s="9" t="n">
        <x:f>H1764*Y1763/(v01_ChildYears*4)</x:f>
        <x:v>0</x:v>
      </x:c>
      <x:c r="X1764" s="9" t="n">
        <x:f>H1764*Z1763/(v01_AdultYears*4)</x:f>
        <x:v>0</x:v>
      </x:c>
      <x:c r="Y1764" s="32" t="n">
        <x:f>Y1763+R1764-S1764-W1764-Y1763*V1764/AB1763</x:f>
        <x:v>14306.18539759397</x:v>
      </x:c>
      <x:c r="Z1764" s="32" t="n">
        <x:f>Z1763+W1764-X1764-T1764-Z1763*V1764/AB1763</x:f>
        <x:v>19354.456567879548</x:v>
      </x:c>
      <x:c r="AA1764" s="32" t="n">
        <x:f>AA1763+X1764-U1764-AA1763*V1764/AB1763</x:f>
        <x:v>11386.956063258198</x:v>
      </x:c>
      <x:c r="AB1764" s="10" t="n">
        <x:f>Y1764+Z1764+AA1764</x:f>
        <x:v>45047.59802873172</x:v>
      </x:c>
      <x:c r="AC1764" s="8" t="n">
        <x:f>IF(AND(v01_WinterTrigger=1,D1764=1,AB1763/AE1763&gt;=K1764),1,0)</x:f>
        <x:v>0</x:v>
      </x:c>
      <x:c r="AD1764" s="8" t="n">
        <x:f>H1764*IF(AND(OR(AB1763/AE1763&gt;=v01_FissionTrigger*N1764,AC1764=1),AB1763/AE1763*v01_DaughterShare&gt;=v01_MinDaughter),MAX(1,ROUND(AE1763*v01_FissionRate,0)),0)</x:f>
        <x:v>0</x:v>
      </x:c>
      <x:c r="AE1764" s="8" t="n">
        <x:f>IF(H1764=1,MAX(1,MIN(INDEX(v01_Smax,G1764),AE1763+AD1764)),AE1763)</x:f>
        <x:v>15</x:v>
      </x:c>
      <x:c r="AF1764" s="8" t="n">
        <x:f>MAX(0,AE1764-AE1763)</x:f>
        <x:v>0</x:v>
      </x:c>
      <x:c r="AG1764" s="9" t="str">
        <x:f>IF(AF1764&gt;0,B1764,"")</x:f>
      </x:c>
      <x:c r="AH1764" s="9" t="n">
        <x:f>IF(F1764&gt;=1,1,(1+v01_LowTiesShare*(AE1764-1))/AE1764)</x:f>
        <x:v>1</x:v>
      </x:c>
      <x:c r="AI1764" s="32" t="n">
        <x:f>(Z1764+v01_ElderCommons*INDEX(LM_Elder,G1764)*AA1764)*AH1764</x:f>
        <x:v>64139.732591141874</x:v>
      </x:c>
      <x:c r="AJ1764" s="32" t="n">
        <x:f>H1764*v01_CommonsCoef*AI1764^v01_CommonsExp*INDEX(LM_Commons,G1764)</x:f>
        <x:v>0</x:v>
      </x:c>
      <x:c r="AK1764" s="32" t="n">
        <x:f>H1764*v01_RoleScale*Arch_Roles*(AE1764*(INDEX(v01_ElderRolePerSett,G1764)*v01_OutElder*INDEX(LM_Elder,G1764)+INDEX(v01_ShamanPerSett,G1764)*v01_OutShaman)+Z1764*(INDEX(v01_PriestShare,G1764)*v01_OutPriest+INDEX(v01_ScribeShare,G1764)*v01_OutScribe*INDEX(LM_Scribe,G1764)+INDEX(v01_ScholarShare,G1764)*v01_OutScholar*INDEX(LM_Scholar,G1764)+INDEX(v01_ResearcherShare,G1764)*v01_OutResearcher*INDEX(LM_Researcher,G1764)))</x:f>
        <x:v>0</x:v>
      </x:c>
      <x:c r="AL1764" s="32" t="n">
        <x:f>H1764*v01_RoleScale*Arch_Roles*AE1764*INDEX(v01_MonasteryPerSett,G1764)*v01_OutMonastery*INDEX(LM_Monastery,G1764)</x:f>
        <x:v>0</x:v>
      </x:c>
      <x:c r="AM1764" s="32" t="n">
        <x:f>(AJ1764+AK1764+AL1764)/4*INDEX(LM_All,G1764)*INDEX(v01_Boon,G1764)*Arch_Insight</x:f>
        <x:v>0</x:v>
      </x:c>
      <x:c r="AN1764" s="32" t="n">
        <x:f>H1764*(v01_KHPerAdult*Z1764+v01_KHOfCommons*AJ1764/4*INDEX(LM_All,G1764))*v01_KHUsable*Arch_KH</x:f>
        <x:v>0</x:v>
      </x:c>
      <x:c r="AO1764" s="32" t="n">
        <x:f>MIN(AP1763+AN1764,AM1764*v01_KHMaxRatio)</x:f>
        <x:v>0</x:v>
      </x:c>
      <x:c r="AP1764" s="32" t="n">
        <x:f>AP1763+AN1764-AO1764</x:f>
        <x:v>0</x:v>
      </x:c>
      <x:c r="AQ1764" s="32" t="n">
        <x:f>AM1764+AO1764</x:f>
        <x:v>0</x:v>
      </x:c>
      <x:c r="AR1764" s="10" t="n">
        <x:f>IF(H1764=1,INDEX(v01_Req,G1764),0)</x:f>
        <x:v>0</x:v>
      </x:c>
      <x:c r="AS1764" s="32" t="n">
        <x:f>IF(H1764=1,IF(E1764=1,AS1763-AR1763,AS1763)+AQ1764,0)</x:f>
        <x:v>0</x:v>
      </x:c>
      <x:c r="AT1764" s="11" t="n">
        <x:f>IF(AR1764&gt;0,MIN(1,AS1764/AR1764),1)</x:f>
        <x:v>1</x:v>
      </x:c>
      <x:c r="AU1764" s="10" t="n">
        <x:f>AB1764/INDEX(v01_RepScale,G1764)</x:f>
        <x:v>90.09519605746344</x:v>
      </x:c>
      <x:c r="AV1764" s="32" t="n">
        <x:f>AM1764*60/v01_SeasonSeconds</x:f>
        <x:v>0</x:v>
      </x:c>
    </x:row>
    <x:row r="1765">
      <x:c r="A1765" s="8" t="n">
        <x:f>A1764+1</x:f>
        <x:v>1762</x:v>
      </x:c>
      <x:c r="B1765" s="9" t="n">
        <x:f>A1765*v01_SeasonSeconds/60</x:f>
        <x:v>440.5</x:v>
      </x:c>
      <x:c r="C1765" s="9" t="n">
        <x:f>A1765/4</x:f>
        <x:v>440.5</x:v>
      </x:c>
      <x:c r="D1765" s="8" t="n">
        <x:f>IF(MOD(A1765,4)=0,1,0)</x:f>
        <x:v>0</x:v>
      </x:c>
      <x:c r="E1765" s="8" t="n">
        <x:f>IF(AND(F1764&lt;=9,AS1764&gt;=AR1764),1,0)</x:f>
        <x:v>0</x:v>
      </x:c>
      <x:c r="F1765" s="8" t="n">
        <x:f>MIN(10,F1764+E1765)</x:f>
        <x:v>10</x:v>
      </x:c>
      <x:c r="G1765" s="8" t="n">
        <x:f>MIN(F1765,9)+1</x:f>
        <x:v>10</x:v>
      </x:c>
      <x:c r="H1765" s="8" t="n">
        <x:f>IF(F1765&lt;=9,1,0)</x:f>
        <x:v>0</x:v>
      </x:c>
      <x:c r="I1765" s="9" t="n">
        <x:f>MIN(10,F1764+IF(AR1764&gt;0,MIN(1,AS1764/AR1764),1))</x:f>
        <x:v>10</x:v>
      </x:c>
      <x:c r="J1765" s="32" t="n">
        <x:f>INDEX(v01_FoodCap,G1765)*Arch_FoodCap*EXP(v01_CapsByProject*SUMPRODUCT((Cap_Point&lt;=I1765)*(Cap_Kind="Food")*Cap_Ln))</x:f>
        <x:v>12000</x:v>
      </x:c>
      <x:c r="K1765" s="32" t="n">
        <x:f>J1765*MIN(1,v01_LeanBase*EXP(v01_CapsByProject*SUMPRODUCT((Cap_Point&lt;=I1765)*(Cap_Kind="Lean")*Cap_Ln)))</x:f>
        <x:v>12000</x:v>
      </x:c>
      <x:c r="L1765" s="10" t="n">
        <x:f>INDEX(v01_HousingCap,G1765)*EXP(v01_CapsByProject*SUMPRODUCT((Cap_Point&lt;=I1765)*(Cap_Kind="Housing")*Cap_Ln))</x:f>
        <x:v>20000</x:v>
      </x:c>
      <x:c r="M1765" s="10" t="n">
        <x:f>INDEX(v01_GroupCap,G1765)*v01_CohesionFactor*EXP(v01_CapsByProject*SUMPRODUCT((Cap_Point&lt;=I1765)*(Cap_Kind="Group")*Cap_Ln))</x:f>
        <x:v>1000000</x:v>
      </x:c>
      <x:c r="N1765" s="32" t="n">
        <x:f>MIN(J1765,L1765,M1765)</x:f>
        <x:v>12000</x:v>
      </x:c>
      <x:c r="O1765" s="10" t="n">
        <x:f>AE1764*N1765</x:f>
        <x:v>180000</x:v>
      </x:c>
      <x:c r="P1765" s="9" t="n">
        <x:f>MIN(1,(AB1764/(AE1764*IF(v01_GroupInCrowding=1,N1765,MIN(J1765,L1765))))^v01_CrowdingExp)</x:f>
        <x:v>0.00024569414295285325</x:v>
      </x:c>
      <x:c r="Q1765" s="9" t="n">
        <x:f>IF(D1765=1,INDEX(v01_WinterMult,G1765),1)</x:f>
        <x:v>1</x:v>
      </x:c>
      <x:c r="R1765" s="9" t="n">
        <x:f>H1765*Z1764*v01_WomenShare*v01_BaseFertility*INDEX(v01_FertMult,G1765)*Arch_Fertility*(1-P1765)</x:f>
        <x:v>0</x:v>
      </x:c>
      <x:c r="S1765" s="9" t="n">
        <x:f>H1765*Y1764*INDEX(v01_MortChild,G1765)/4*Q1765</x:f>
        <x:v>0</x:v>
      </x:c>
      <x:c r="T1765" s="9" t="n">
        <x:f>H1765*Z1764*INDEX(v01_MortAdult,G1765)*Arch_AdultMort/4*Q1765</x:f>
        <x:v>0</x:v>
      </x:c>
      <x:c r="U1765" s="9" t="n">
        <x:f>H1765*AA1764*INDEX(v01_MortElder,G1765)/4*Q1765</x:f>
        <x:v>0</x:v>
      </x:c>
      <x:c r="V1765" s="9" t="n">
        <x:f>H1765*MAX(0,AB1764-O1765)*v01_OvercapLoss</x:f>
        <x:v>0</x:v>
      </x:c>
      <x:c r="W1765" s="9" t="n">
        <x:f>H1765*Y1764/(v01_ChildYears*4)</x:f>
        <x:v>0</x:v>
      </x:c>
      <x:c r="X1765" s="9" t="n">
        <x:f>H1765*Z1764/(v01_AdultYears*4)</x:f>
        <x:v>0</x:v>
      </x:c>
      <x:c r="Y1765" s="32" t="n">
        <x:f>Y1764+R1765-S1765-W1765-Y1764*V1765/AB1764</x:f>
        <x:v>14306.18539759397</x:v>
      </x:c>
      <x:c r="Z1765" s="32" t="n">
        <x:f>Z1764+W1765-X1765-T1765-Z1764*V1765/AB1764</x:f>
        <x:v>19354.456567879548</x:v>
      </x:c>
      <x:c r="AA1765" s="32" t="n">
        <x:f>AA1764+X1765-U1765-AA1764*V1765/AB1764</x:f>
        <x:v>11386.956063258198</x:v>
      </x:c>
      <x:c r="AB1765" s="10" t="n">
        <x:f>Y1765+Z1765+AA1765</x:f>
        <x:v>45047.59802873172</x:v>
      </x:c>
      <x:c r="AC1765" s="8" t="n">
        <x:f>IF(AND(v01_WinterTrigger=1,D1765=1,AB1764/AE1764&gt;=K1765),1,0)</x:f>
        <x:v>0</x:v>
      </x:c>
      <x:c r="AD1765" s="8" t="n">
        <x:f>H1765*IF(AND(OR(AB1764/AE1764&gt;=v01_FissionTrigger*N1765,AC1765=1),AB1764/AE1764*v01_DaughterShare&gt;=v01_MinDaughter),MAX(1,ROUND(AE1764*v01_FissionRate,0)),0)</x:f>
        <x:v>0</x:v>
      </x:c>
      <x:c r="AE1765" s="8" t="n">
        <x:f>IF(H1765=1,MAX(1,MIN(INDEX(v01_Smax,G1765),AE1764+AD1765)),AE1764)</x:f>
        <x:v>15</x:v>
      </x:c>
      <x:c r="AF1765" s="8" t="n">
        <x:f>MAX(0,AE1765-AE1764)</x:f>
        <x:v>0</x:v>
      </x:c>
      <x:c r="AG1765" s="9" t="str">
        <x:f>IF(AF1765&gt;0,B1765,"")</x:f>
      </x:c>
      <x:c r="AH1765" s="9" t="n">
        <x:f>IF(F1765&gt;=1,1,(1+v01_LowTiesShare*(AE1765-1))/AE1765)</x:f>
        <x:v>1</x:v>
      </x:c>
      <x:c r="AI1765" s="32" t="n">
        <x:f>(Z1765+v01_ElderCommons*INDEX(LM_Elder,G1765)*AA1765)*AH1765</x:f>
        <x:v>64139.732591141874</x:v>
      </x:c>
      <x:c r="AJ1765" s="32" t="n">
        <x:f>H1765*v01_CommonsCoef*AI1765^v01_CommonsExp*INDEX(LM_Commons,G1765)</x:f>
        <x:v>0</x:v>
      </x:c>
      <x:c r="AK1765" s="32" t="n">
        <x:f>H1765*v01_RoleScale*Arch_Roles*(AE1765*(INDEX(v01_ElderRolePerSett,G1765)*v01_OutElder*INDEX(LM_Elder,G1765)+INDEX(v01_ShamanPerSett,G1765)*v01_OutShaman)+Z1765*(INDEX(v01_PriestShare,G1765)*v01_OutPriest+INDEX(v01_ScribeShare,G1765)*v01_OutScribe*INDEX(LM_Scribe,G1765)+INDEX(v01_ScholarShare,G1765)*v01_OutScholar*INDEX(LM_Scholar,G1765)+INDEX(v01_ResearcherShare,G1765)*v01_OutResearcher*INDEX(LM_Researcher,G1765)))</x:f>
        <x:v>0</x:v>
      </x:c>
      <x:c r="AL1765" s="32" t="n">
        <x:f>H1765*v01_RoleScale*Arch_Roles*AE1765*INDEX(v01_MonasteryPerSett,G1765)*v01_OutMonastery*INDEX(LM_Monastery,G1765)</x:f>
        <x:v>0</x:v>
      </x:c>
      <x:c r="AM1765" s="32" t="n">
        <x:f>(AJ1765+AK1765+AL1765)/4*INDEX(LM_All,G1765)*INDEX(v01_Boon,G1765)*Arch_Insight</x:f>
        <x:v>0</x:v>
      </x:c>
      <x:c r="AN1765" s="32" t="n">
        <x:f>H1765*(v01_KHPerAdult*Z1765+v01_KHOfCommons*AJ1765/4*INDEX(LM_All,G1765))*v01_KHUsable*Arch_KH</x:f>
        <x:v>0</x:v>
      </x:c>
      <x:c r="AO1765" s="32" t="n">
        <x:f>MIN(AP1764+AN1765,AM1765*v01_KHMaxRatio)</x:f>
        <x:v>0</x:v>
      </x:c>
      <x:c r="AP1765" s="32" t="n">
        <x:f>AP1764+AN1765-AO1765</x:f>
        <x:v>0</x:v>
      </x:c>
      <x:c r="AQ1765" s="32" t="n">
        <x:f>AM1765+AO1765</x:f>
        <x:v>0</x:v>
      </x:c>
      <x:c r="AR1765" s="10" t="n">
        <x:f>IF(H1765=1,INDEX(v01_Req,G1765),0)</x:f>
        <x:v>0</x:v>
      </x:c>
      <x:c r="AS1765" s="32" t="n">
        <x:f>IF(H1765=1,IF(E1765=1,AS1764-AR1764,AS1764)+AQ1765,0)</x:f>
        <x:v>0</x:v>
      </x:c>
      <x:c r="AT1765" s="11" t="n">
        <x:f>IF(AR1765&gt;0,MIN(1,AS1765/AR1765),1)</x:f>
        <x:v>1</x:v>
      </x:c>
      <x:c r="AU1765" s="10" t="n">
        <x:f>AB1765/INDEX(v01_RepScale,G1765)</x:f>
        <x:v>90.09519605746344</x:v>
      </x:c>
      <x:c r="AV1765" s="32" t="n">
        <x:f>AM1765*60/v01_SeasonSeconds</x:f>
        <x:v>0</x:v>
      </x:c>
    </x:row>
    <x:row r="1766">
      <x:c r="A1766" s="8" t="n">
        <x:f>A1765+1</x:f>
        <x:v>1763</x:v>
      </x:c>
      <x:c r="B1766" s="9" t="n">
        <x:f>A1766*v01_SeasonSeconds/60</x:f>
        <x:v>440.75</x:v>
      </x:c>
      <x:c r="C1766" s="9" t="n">
        <x:f>A1766/4</x:f>
        <x:v>440.75</x:v>
      </x:c>
      <x:c r="D1766" s="8" t="n">
        <x:f>IF(MOD(A1766,4)=0,1,0)</x:f>
        <x:v>0</x:v>
      </x:c>
      <x:c r="E1766" s="8" t="n">
        <x:f>IF(AND(F1765&lt;=9,AS1765&gt;=AR1765),1,0)</x:f>
        <x:v>0</x:v>
      </x:c>
      <x:c r="F1766" s="8" t="n">
        <x:f>MIN(10,F1765+E1766)</x:f>
        <x:v>10</x:v>
      </x:c>
      <x:c r="G1766" s="8" t="n">
        <x:f>MIN(F1766,9)+1</x:f>
        <x:v>10</x:v>
      </x:c>
      <x:c r="H1766" s="8" t="n">
        <x:f>IF(F1766&lt;=9,1,0)</x:f>
        <x:v>0</x:v>
      </x:c>
      <x:c r="I1766" s="9" t="n">
        <x:f>MIN(10,F1765+IF(AR1765&gt;0,MIN(1,AS1765/AR1765),1))</x:f>
        <x:v>10</x:v>
      </x:c>
      <x:c r="J1766" s="32" t="n">
        <x:f>INDEX(v01_FoodCap,G1766)*Arch_FoodCap*EXP(v01_CapsByProject*SUMPRODUCT((Cap_Point&lt;=I1766)*(Cap_Kind="Food")*Cap_Ln))</x:f>
        <x:v>12000</x:v>
      </x:c>
      <x:c r="K1766" s="32" t="n">
        <x:f>J1766*MIN(1,v01_LeanBase*EXP(v01_CapsByProject*SUMPRODUCT((Cap_Point&lt;=I1766)*(Cap_Kind="Lean")*Cap_Ln)))</x:f>
        <x:v>12000</x:v>
      </x:c>
      <x:c r="L1766" s="10" t="n">
        <x:f>INDEX(v01_HousingCap,G1766)*EXP(v01_CapsByProject*SUMPRODUCT((Cap_Point&lt;=I1766)*(Cap_Kind="Housing")*Cap_Ln))</x:f>
        <x:v>20000</x:v>
      </x:c>
      <x:c r="M1766" s="10" t="n">
        <x:f>INDEX(v01_GroupCap,G1766)*v01_CohesionFactor*EXP(v01_CapsByProject*SUMPRODUCT((Cap_Point&lt;=I1766)*(Cap_Kind="Group")*Cap_Ln))</x:f>
        <x:v>1000000</x:v>
      </x:c>
      <x:c r="N1766" s="32" t="n">
        <x:f>MIN(J1766,L1766,M1766)</x:f>
        <x:v>12000</x:v>
      </x:c>
      <x:c r="O1766" s="10" t="n">
        <x:f>AE1765*N1766</x:f>
        <x:v>180000</x:v>
      </x:c>
      <x:c r="P1766" s="9" t="n">
        <x:f>MIN(1,(AB1765/(AE1765*IF(v01_GroupInCrowding=1,N1766,MIN(J1766,L1766))))^v01_CrowdingExp)</x:f>
        <x:v>0.00024569414295285325</x:v>
      </x:c>
      <x:c r="Q1766" s="9" t="n">
        <x:f>IF(D1766=1,INDEX(v01_WinterMult,G1766),1)</x:f>
        <x:v>1</x:v>
      </x:c>
      <x:c r="R1766" s="9" t="n">
        <x:f>H1766*Z1765*v01_WomenShare*v01_BaseFertility*INDEX(v01_FertMult,G1766)*Arch_Fertility*(1-P1766)</x:f>
        <x:v>0</x:v>
      </x:c>
      <x:c r="S1766" s="9" t="n">
        <x:f>H1766*Y1765*INDEX(v01_MortChild,G1766)/4*Q1766</x:f>
        <x:v>0</x:v>
      </x:c>
      <x:c r="T1766" s="9" t="n">
        <x:f>H1766*Z1765*INDEX(v01_MortAdult,G1766)*Arch_AdultMort/4*Q1766</x:f>
        <x:v>0</x:v>
      </x:c>
      <x:c r="U1766" s="9" t="n">
        <x:f>H1766*AA1765*INDEX(v01_MortElder,G1766)/4*Q1766</x:f>
        <x:v>0</x:v>
      </x:c>
      <x:c r="V1766" s="9" t="n">
        <x:f>H1766*MAX(0,AB1765-O1766)*v01_OvercapLoss</x:f>
        <x:v>0</x:v>
      </x:c>
      <x:c r="W1766" s="9" t="n">
        <x:f>H1766*Y1765/(v01_ChildYears*4)</x:f>
        <x:v>0</x:v>
      </x:c>
      <x:c r="X1766" s="9" t="n">
        <x:f>H1766*Z1765/(v01_AdultYears*4)</x:f>
        <x:v>0</x:v>
      </x:c>
      <x:c r="Y1766" s="32" t="n">
        <x:f>Y1765+R1766-S1766-W1766-Y1765*V1766/AB1765</x:f>
        <x:v>14306.18539759397</x:v>
      </x:c>
      <x:c r="Z1766" s="32" t="n">
        <x:f>Z1765+W1766-X1766-T1766-Z1765*V1766/AB1765</x:f>
        <x:v>19354.456567879548</x:v>
      </x:c>
      <x:c r="AA1766" s="32" t="n">
        <x:f>AA1765+X1766-U1766-AA1765*V1766/AB1765</x:f>
        <x:v>11386.956063258198</x:v>
      </x:c>
      <x:c r="AB1766" s="10" t="n">
        <x:f>Y1766+Z1766+AA1766</x:f>
        <x:v>45047.59802873172</x:v>
      </x:c>
      <x:c r="AC1766" s="8" t="n">
        <x:f>IF(AND(v01_WinterTrigger=1,D1766=1,AB1765/AE1765&gt;=K1766),1,0)</x:f>
        <x:v>0</x:v>
      </x:c>
      <x:c r="AD1766" s="8" t="n">
        <x:f>H1766*IF(AND(OR(AB1765/AE1765&gt;=v01_FissionTrigger*N1766,AC1766=1),AB1765/AE1765*v01_DaughterShare&gt;=v01_MinDaughter),MAX(1,ROUND(AE1765*v01_FissionRate,0)),0)</x:f>
        <x:v>0</x:v>
      </x:c>
      <x:c r="AE1766" s="8" t="n">
        <x:f>IF(H1766=1,MAX(1,MIN(INDEX(v01_Smax,G1766),AE1765+AD1766)),AE1765)</x:f>
        <x:v>15</x:v>
      </x:c>
      <x:c r="AF1766" s="8" t="n">
        <x:f>MAX(0,AE1766-AE1765)</x:f>
        <x:v>0</x:v>
      </x:c>
      <x:c r="AG1766" s="9" t="str">
        <x:f>IF(AF1766&gt;0,B1766,"")</x:f>
      </x:c>
      <x:c r="AH1766" s="9" t="n">
        <x:f>IF(F1766&gt;=1,1,(1+v01_LowTiesShare*(AE1766-1))/AE1766)</x:f>
        <x:v>1</x:v>
      </x:c>
      <x:c r="AI1766" s="32" t="n">
        <x:f>(Z1766+v01_ElderCommons*INDEX(LM_Elder,G1766)*AA1766)*AH1766</x:f>
        <x:v>64139.732591141874</x:v>
      </x:c>
      <x:c r="AJ1766" s="32" t="n">
        <x:f>H1766*v01_CommonsCoef*AI1766^v01_CommonsExp*INDEX(LM_Commons,G1766)</x:f>
        <x:v>0</x:v>
      </x:c>
      <x:c r="AK1766" s="32" t="n">
        <x:f>H1766*v01_RoleScale*Arch_Roles*(AE1766*(INDEX(v01_ElderRolePerSett,G1766)*v01_OutElder*INDEX(LM_Elder,G1766)+INDEX(v01_ShamanPerSett,G1766)*v01_OutShaman)+Z1766*(INDEX(v01_PriestShare,G1766)*v01_OutPriest+INDEX(v01_ScribeShare,G1766)*v01_OutScribe*INDEX(LM_Scribe,G1766)+INDEX(v01_ScholarShare,G1766)*v01_OutScholar*INDEX(LM_Scholar,G1766)+INDEX(v01_ResearcherShare,G1766)*v01_OutResearcher*INDEX(LM_Researcher,G1766)))</x:f>
        <x:v>0</x:v>
      </x:c>
      <x:c r="AL1766" s="32" t="n">
        <x:f>H1766*v01_RoleScale*Arch_Roles*AE1766*INDEX(v01_MonasteryPerSett,G1766)*v01_OutMonastery*INDEX(LM_Monastery,G1766)</x:f>
        <x:v>0</x:v>
      </x:c>
      <x:c r="AM1766" s="32" t="n">
        <x:f>(AJ1766+AK1766+AL1766)/4*INDEX(LM_All,G1766)*INDEX(v01_Boon,G1766)*Arch_Insight</x:f>
        <x:v>0</x:v>
      </x:c>
      <x:c r="AN1766" s="32" t="n">
        <x:f>H1766*(v01_KHPerAdult*Z1766+v01_KHOfCommons*AJ1766/4*INDEX(LM_All,G1766))*v01_KHUsable*Arch_KH</x:f>
        <x:v>0</x:v>
      </x:c>
      <x:c r="AO1766" s="32" t="n">
        <x:f>MIN(AP1765+AN1766,AM1766*v01_KHMaxRatio)</x:f>
        <x:v>0</x:v>
      </x:c>
      <x:c r="AP1766" s="32" t="n">
        <x:f>AP1765+AN1766-AO1766</x:f>
        <x:v>0</x:v>
      </x:c>
      <x:c r="AQ1766" s="32" t="n">
        <x:f>AM1766+AO1766</x:f>
        <x:v>0</x:v>
      </x:c>
      <x:c r="AR1766" s="10" t="n">
        <x:f>IF(H1766=1,INDEX(v01_Req,G1766),0)</x:f>
        <x:v>0</x:v>
      </x:c>
      <x:c r="AS1766" s="32" t="n">
        <x:f>IF(H1766=1,IF(E1766=1,AS1765-AR1765,AS1765)+AQ1766,0)</x:f>
        <x:v>0</x:v>
      </x:c>
      <x:c r="AT1766" s="11" t="n">
        <x:f>IF(AR1766&gt;0,MIN(1,AS1766/AR1766),1)</x:f>
        <x:v>1</x:v>
      </x:c>
      <x:c r="AU1766" s="10" t="n">
        <x:f>AB1766/INDEX(v01_RepScale,G1766)</x:f>
        <x:v>90.09519605746344</x:v>
      </x:c>
      <x:c r="AV1766" s="32" t="n">
        <x:f>AM1766*60/v01_SeasonSeconds</x:f>
        <x:v>0</x:v>
      </x:c>
    </x:row>
    <x:row r="1767">
      <x:c r="A1767" s="8" t="n">
        <x:f>A1766+1</x:f>
        <x:v>1764</x:v>
      </x:c>
      <x:c r="B1767" s="9" t="n">
        <x:f>A1767*v01_SeasonSeconds/60</x:f>
        <x:v>441</x:v>
      </x:c>
      <x:c r="C1767" s="9" t="n">
        <x:f>A1767/4</x:f>
        <x:v>441</x:v>
      </x:c>
      <x:c r="D1767" s="8" t="n">
        <x:f>IF(MOD(A1767,4)=0,1,0)</x:f>
        <x:v>1</x:v>
      </x:c>
      <x:c r="E1767" s="8" t="n">
        <x:f>IF(AND(F1766&lt;=9,AS1766&gt;=AR1766),1,0)</x:f>
        <x:v>0</x:v>
      </x:c>
      <x:c r="F1767" s="8" t="n">
        <x:f>MIN(10,F1766+E1767)</x:f>
        <x:v>10</x:v>
      </x:c>
      <x:c r="G1767" s="8" t="n">
        <x:f>MIN(F1767,9)+1</x:f>
        <x:v>10</x:v>
      </x:c>
      <x:c r="H1767" s="8" t="n">
        <x:f>IF(F1767&lt;=9,1,0)</x:f>
        <x:v>0</x:v>
      </x:c>
      <x:c r="I1767" s="9" t="n">
        <x:f>MIN(10,F1766+IF(AR1766&gt;0,MIN(1,AS1766/AR1766),1))</x:f>
        <x:v>10</x:v>
      </x:c>
      <x:c r="J1767" s="32" t="n">
        <x:f>INDEX(v01_FoodCap,G1767)*Arch_FoodCap*EXP(v01_CapsByProject*SUMPRODUCT((Cap_Point&lt;=I1767)*(Cap_Kind="Food")*Cap_Ln))</x:f>
        <x:v>12000</x:v>
      </x:c>
      <x:c r="K1767" s="32" t="n">
        <x:f>J1767*MIN(1,v01_LeanBase*EXP(v01_CapsByProject*SUMPRODUCT((Cap_Point&lt;=I1767)*(Cap_Kind="Lean")*Cap_Ln)))</x:f>
        <x:v>12000</x:v>
      </x:c>
      <x:c r="L1767" s="10" t="n">
        <x:f>INDEX(v01_HousingCap,G1767)*EXP(v01_CapsByProject*SUMPRODUCT((Cap_Point&lt;=I1767)*(Cap_Kind="Housing")*Cap_Ln))</x:f>
        <x:v>20000</x:v>
      </x:c>
      <x:c r="M1767" s="10" t="n">
        <x:f>INDEX(v01_GroupCap,G1767)*v01_CohesionFactor*EXP(v01_CapsByProject*SUMPRODUCT((Cap_Point&lt;=I1767)*(Cap_Kind="Group")*Cap_Ln))</x:f>
        <x:v>1000000</x:v>
      </x:c>
      <x:c r="N1767" s="32" t="n">
        <x:f>MIN(J1767,L1767,M1767)</x:f>
        <x:v>12000</x:v>
      </x:c>
      <x:c r="O1767" s="10" t="n">
        <x:f>AE1766*N1767</x:f>
        <x:v>180000</x:v>
      </x:c>
      <x:c r="P1767" s="9" t="n">
        <x:f>MIN(1,(AB1766/(AE1766*IF(v01_GroupInCrowding=1,N1767,MIN(J1767,L1767))))^v01_CrowdingExp)</x:f>
        <x:v>0.00024569414295285325</x:v>
      </x:c>
      <x:c r="Q1767" s="9" t="n">
        <x:f>IF(D1767=1,INDEX(v01_WinterMult,G1767),1)</x:f>
        <x:v>1</x:v>
      </x:c>
      <x:c r="R1767" s="9" t="n">
        <x:f>H1767*Z1766*v01_WomenShare*v01_BaseFertility*INDEX(v01_FertMult,G1767)*Arch_Fertility*(1-P1767)</x:f>
        <x:v>0</x:v>
      </x:c>
      <x:c r="S1767" s="9" t="n">
        <x:f>H1767*Y1766*INDEX(v01_MortChild,G1767)/4*Q1767</x:f>
        <x:v>0</x:v>
      </x:c>
      <x:c r="T1767" s="9" t="n">
        <x:f>H1767*Z1766*INDEX(v01_MortAdult,G1767)*Arch_AdultMort/4*Q1767</x:f>
        <x:v>0</x:v>
      </x:c>
      <x:c r="U1767" s="9" t="n">
        <x:f>H1767*AA1766*INDEX(v01_MortElder,G1767)/4*Q1767</x:f>
        <x:v>0</x:v>
      </x:c>
      <x:c r="V1767" s="9" t="n">
        <x:f>H1767*MAX(0,AB1766-O1767)*v01_OvercapLoss</x:f>
        <x:v>0</x:v>
      </x:c>
      <x:c r="W1767" s="9" t="n">
        <x:f>H1767*Y1766/(v01_ChildYears*4)</x:f>
        <x:v>0</x:v>
      </x:c>
      <x:c r="X1767" s="9" t="n">
        <x:f>H1767*Z1766/(v01_AdultYears*4)</x:f>
        <x:v>0</x:v>
      </x:c>
      <x:c r="Y1767" s="32" t="n">
        <x:f>Y1766+R1767-S1767-W1767-Y1766*V1767/AB1766</x:f>
        <x:v>14306.18539759397</x:v>
      </x:c>
      <x:c r="Z1767" s="32" t="n">
        <x:f>Z1766+W1767-X1767-T1767-Z1766*V1767/AB1766</x:f>
        <x:v>19354.456567879548</x:v>
      </x:c>
      <x:c r="AA1767" s="32" t="n">
        <x:f>AA1766+X1767-U1767-AA1766*V1767/AB1766</x:f>
        <x:v>11386.956063258198</x:v>
      </x:c>
      <x:c r="AB1767" s="10" t="n">
        <x:f>Y1767+Z1767+AA1767</x:f>
        <x:v>45047.59802873172</x:v>
      </x:c>
      <x:c r="AC1767" s="8" t="n">
        <x:f>IF(AND(v01_WinterTrigger=1,D1767=1,AB1766/AE1766&gt;=K1767),1,0)</x:f>
        <x:v>0</x:v>
      </x:c>
      <x:c r="AD1767" s="8" t="n">
        <x:f>H1767*IF(AND(OR(AB1766/AE1766&gt;=v01_FissionTrigger*N1767,AC1767=1),AB1766/AE1766*v01_DaughterShare&gt;=v01_MinDaughter),MAX(1,ROUND(AE1766*v01_FissionRate,0)),0)</x:f>
        <x:v>0</x:v>
      </x:c>
      <x:c r="AE1767" s="8" t="n">
        <x:f>IF(H1767=1,MAX(1,MIN(INDEX(v01_Smax,G1767),AE1766+AD1767)),AE1766)</x:f>
        <x:v>15</x:v>
      </x:c>
      <x:c r="AF1767" s="8" t="n">
        <x:f>MAX(0,AE1767-AE1766)</x:f>
        <x:v>0</x:v>
      </x:c>
      <x:c r="AG1767" s="9" t="str">
        <x:f>IF(AF1767&gt;0,B1767,"")</x:f>
      </x:c>
      <x:c r="AH1767" s="9" t="n">
        <x:f>IF(F1767&gt;=1,1,(1+v01_LowTiesShare*(AE1767-1))/AE1767)</x:f>
        <x:v>1</x:v>
      </x:c>
      <x:c r="AI1767" s="32" t="n">
        <x:f>(Z1767+v01_ElderCommons*INDEX(LM_Elder,G1767)*AA1767)*AH1767</x:f>
        <x:v>64139.732591141874</x:v>
      </x:c>
      <x:c r="AJ1767" s="32" t="n">
        <x:f>H1767*v01_CommonsCoef*AI1767^v01_CommonsExp*INDEX(LM_Commons,G1767)</x:f>
        <x:v>0</x:v>
      </x:c>
      <x:c r="AK1767" s="32" t="n">
        <x:f>H1767*v01_RoleScale*Arch_Roles*(AE1767*(INDEX(v01_ElderRolePerSett,G1767)*v01_OutElder*INDEX(LM_Elder,G1767)+INDEX(v01_ShamanPerSett,G1767)*v01_OutShaman)+Z1767*(INDEX(v01_PriestShare,G1767)*v01_OutPriest+INDEX(v01_ScribeShare,G1767)*v01_OutScribe*INDEX(LM_Scribe,G1767)+INDEX(v01_ScholarShare,G1767)*v01_OutScholar*INDEX(LM_Scholar,G1767)+INDEX(v01_ResearcherShare,G1767)*v01_OutResearcher*INDEX(LM_Researcher,G1767)))</x:f>
        <x:v>0</x:v>
      </x:c>
      <x:c r="AL1767" s="32" t="n">
        <x:f>H1767*v01_RoleScale*Arch_Roles*AE1767*INDEX(v01_MonasteryPerSett,G1767)*v01_OutMonastery*INDEX(LM_Monastery,G1767)</x:f>
        <x:v>0</x:v>
      </x:c>
      <x:c r="AM1767" s="32" t="n">
        <x:f>(AJ1767+AK1767+AL1767)/4*INDEX(LM_All,G1767)*INDEX(v01_Boon,G1767)*Arch_Insight</x:f>
        <x:v>0</x:v>
      </x:c>
      <x:c r="AN1767" s="32" t="n">
        <x:f>H1767*(v01_KHPerAdult*Z1767+v01_KHOfCommons*AJ1767/4*INDEX(LM_All,G1767))*v01_KHUsable*Arch_KH</x:f>
        <x:v>0</x:v>
      </x:c>
      <x:c r="AO1767" s="32" t="n">
        <x:f>MIN(AP1766+AN1767,AM1767*v01_KHMaxRatio)</x:f>
        <x:v>0</x:v>
      </x:c>
      <x:c r="AP1767" s="32" t="n">
        <x:f>AP1766+AN1767-AO1767</x:f>
        <x:v>0</x:v>
      </x:c>
      <x:c r="AQ1767" s="32" t="n">
        <x:f>AM1767+AO1767</x:f>
        <x:v>0</x:v>
      </x:c>
      <x:c r="AR1767" s="10" t="n">
        <x:f>IF(H1767=1,INDEX(v01_Req,G1767),0)</x:f>
        <x:v>0</x:v>
      </x:c>
      <x:c r="AS1767" s="32" t="n">
        <x:f>IF(H1767=1,IF(E1767=1,AS1766-AR1766,AS1766)+AQ1767,0)</x:f>
        <x:v>0</x:v>
      </x:c>
      <x:c r="AT1767" s="11" t="n">
        <x:f>IF(AR1767&gt;0,MIN(1,AS1767/AR1767),1)</x:f>
        <x:v>1</x:v>
      </x:c>
      <x:c r="AU1767" s="10" t="n">
        <x:f>AB1767/INDEX(v01_RepScale,G1767)</x:f>
        <x:v>90.09519605746344</x:v>
      </x:c>
      <x:c r="AV1767" s="32" t="n">
        <x:f>AM1767*60/v01_SeasonSeconds</x:f>
        <x:v>0</x:v>
      </x:c>
    </x:row>
    <x:row r="1768">
      <x:c r="A1768" s="8" t="n">
        <x:f>A1767+1</x:f>
        <x:v>1765</x:v>
      </x:c>
      <x:c r="B1768" s="9" t="n">
        <x:f>A1768*v01_SeasonSeconds/60</x:f>
        <x:v>441.25</x:v>
      </x:c>
      <x:c r="C1768" s="9" t="n">
        <x:f>A1768/4</x:f>
        <x:v>441.25</x:v>
      </x:c>
      <x:c r="D1768" s="8" t="n">
        <x:f>IF(MOD(A1768,4)=0,1,0)</x:f>
        <x:v>0</x:v>
      </x:c>
      <x:c r="E1768" s="8" t="n">
        <x:f>IF(AND(F1767&lt;=9,AS1767&gt;=AR1767),1,0)</x:f>
        <x:v>0</x:v>
      </x:c>
      <x:c r="F1768" s="8" t="n">
        <x:f>MIN(10,F1767+E1768)</x:f>
        <x:v>10</x:v>
      </x:c>
      <x:c r="G1768" s="8" t="n">
        <x:f>MIN(F1768,9)+1</x:f>
        <x:v>10</x:v>
      </x:c>
      <x:c r="H1768" s="8" t="n">
        <x:f>IF(F1768&lt;=9,1,0)</x:f>
        <x:v>0</x:v>
      </x:c>
      <x:c r="I1768" s="9" t="n">
        <x:f>MIN(10,F1767+IF(AR1767&gt;0,MIN(1,AS1767/AR1767),1))</x:f>
        <x:v>10</x:v>
      </x:c>
      <x:c r="J1768" s="32" t="n">
        <x:f>INDEX(v01_FoodCap,G1768)*Arch_FoodCap*EXP(v01_CapsByProject*SUMPRODUCT((Cap_Point&lt;=I1768)*(Cap_Kind="Food")*Cap_Ln))</x:f>
        <x:v>12000</x:v>
      </x:c>
      <x:c r="K1768" s="32" t="n">
        <x:f>J1768*MIN(1,v01_LeanBase*EXP(v01_CapsByProject*SUMPRODUCT((Cap_Point&lt;=I1768)*(Cap_Kind="Lean")*Cap_Ln)))</x:f>
        <x:v>12000</x:v>
      </x:c>
      <x:c r="L1768" s="10" t="n">
        <x:f>INDEX(v01_HousingCap,G1768)*EXP(v01_CapsByProject*SUMPRODUCT((Cap_Point&lt;=I1768)*(Cap_Kind="Housing")*Cap_Ln))</x:f>
        <x:v>20000</x:v>
      </x:c>
      <x:c r="M1768" s="10" t="n">
        <x:f>INDEX(v01_GroupCap,G1768)*v01_CohesionFactor*EXP(v01_CapsByProject*SUMPRODUCT((Cap_Point&lt;=I1768)*(Cap_Kind="Group")*Cap_Ln))</x:f>
        <x:v>1000000</x:v>
      </x:c>
      <x:c r="N1768" s="32" t="n">
        <x:f>MIN(J1768,L1768,M1768)</x:f>
        <x:v>12000</x:v>
      </x:c>
      <x:c r="O1768" s="10" t="n">
        <x:f>AE1767*N1768</x:f>
        <x:v>180000</x:v>
      </x:c>
      <x:c r="P1768" s="9" t="n">
        <x:f>MIN(1,(AB1767/(AE1767*IF(v01_GroupInCrowding=1,N1768,MIN(J1768,L1768))))^v01_CrowdingExp)</x:f>
        <x:v>0.00024569414295285325</x:v>
      </x:c>
      <x:c r="Q1768" s="9" t="n">
        <x:f>IF(D1768=1,INDEX(v01_WinterMult,G1768),1)</x:f>
        <x:v>1</x:v>
      </x:c>
      <x:c r="R1768" s="9" t="n">
        <x:f>H1768*Z1767*v01_WomenShare*v01_BaseFertility*INDEX(v01_FertMult,G1768)*Arch_Fertility*(1-P1768)</x:f>
        <x:v>0</x:v>
      </x:c>
      <x:c r="S1768" s="9" t="n">
        <x:f>H1768*Y1767*INDEX(v01_MortChild,G1768)/4*Q1768</x:f>
        <x:v>0</x:v>
      </x:c>
      <x:c r="T1768" s="9" t="n">
        <x:f>H1768*Z1767*INDEX(v01_MortAdult,G1768)*Arch_AdultMort/4*Q1768</x:f>
        <x:v>0</x:v>
      </x:c>
      <x:c r="U1768" s="9" t="n">
        <x:f>H1768*AA1767*INDEX(v01_MortElder,G1768)/4*Q1768</x:f>
        <x:v>0</x:v>
      </x:c>
      <x:c r="V1768" s="9" t="n">
        <x:f>H1768*MAX(0,AB1767-O1768)*v01_OvercapLoss</x:f>
        <x:v>0</x:v>
      </x:c>
      <x:c r="W1768" s="9" t="n">
        <x:f>H1768*Y1767/(v01_ChildYears*4)</x:f>
        <x:v>0</x:v>
      </x:c>
      <x:c r="X1768" s="9" t="n">
        <x:f>H1768*Z1767/(v01_AdultYears*4)</x:f>
        <x:v>0</x:v>
      </x:c>
      <x:c r="Y1768" s="32" t="n">
        <x:f>Y1767+R1768-S1768-W1768-Y1767*V1768/AB1767</x:f>
        <x:v>14306.18539759397</x:v>
      </x:c>
      <x:c r="Z1768" s="32" t="n">
        <x:f>Z1767+W1768-X1768-T1768-Z1767*V1768/AB1767</x:f>
        <x:v>19354.456567879548</x:v>
      </x:c>
      <x:c r="AA1768" s="32" t="n">
        <x:f>AA1767+X1768-U1768-AA1767*V1768/AB1767</x:f>
        <x:v>11386.956063258198</x:v>
      </x:c>
      <x:c r="AB1768" s="10" t="n">
        <x:f>Y1768+Z1768+AA1768</x:f>
        <x:v>45047.59802873172</x:v>
      </x:c>
      <x:c r="AC1768" s="8" t="n">
        <x:f>IF(AND(v01_WinterTrigger=1,D1768=1,AB1767/AE1767&gt;=K1768),1,0)</x:f>
        <x:v>0</x:v>
      </x:c>
      <x:c r="AD1768" s="8" t="n">
        <x:f>H1768*IF(AND(OR(AB1767/AE1767&gt;=v01_FissionTrigger*N1768,AC1768=1),AB1767/AE1767*v01_DaughterShare&gt;=v01_MinDaughter),MAX(1,ROUND(AE1767*v01_FissionRate,0)),0)</x:f>
        <x:v>0</x:v>
      </x:c>
      <x:c r="AE1768" s="8" t="n">
        <x:f>IF(H1768=1,MAX(1,MIN(INDEX(v01_Smax,G1768),AE1767+AD1768)),AE1767)</x:f>
        <x:v>15</x:v>
      </x:c>
      <x:c r="AF1768" s="8" t="n">
        <x:f>MAX(0,AE1768-AE1767)</x:f>
        <x:v>0</x:v>
      </x:c>
      <x:c r="AG1768" s="9" t="str">
        <x:f>IF(AF1768&gt;0,B1768,"")</x:f>
      </x:c>
      <x:c r="AH1768" s="9" t="n">
        <x:f>IF(F1768&gt;=1,1,(1+v01_LowTiesShare*(AE1768-1))/AE1768)</x:f>
        <x:v>1</x:v>
      </x:c>
      <x:c r="AI1768" s="32" t="n">
        <x:f>(Z1768+v01_ElderCommons*INDEX(LM_Elder,G1768)*AA1768)*AH1768</x:f>
        <x:v>64139.732591141874</x:v>
      </x:c>
      <x:c r="AJ1768" s="32" t="n">
        <x:f>H1768*v01_CommonsCoef*AI1768^v01_CommonsExp*INDEX(LM_Commons,G1768)</x:f>
        <x:v>0</x:v>
      </x:c>
      <x:c r="AK1768" s="32" t="n">
        <x:f>H1768*v01_RoleScale*Arch_Roles*(AE1768*(INDEX(v01_ElderRolePerSett,G1768)*v01_OutElder*INDEX(LM_Elder,G1768)+INDEX(v01_ShamanPerSett,G1768)*v01_OutShaman)+Z1768*(INDEX(v01_PriestShare,G1768)*v01_OutPriest+INDEX(v01_ScribeShare,G1768)*v01_OutScribe*INDEX(LM_Scribe,G1768)+INDEX(v01_ScholarShare,G1768)*v01_OutScholar*INDEX(LM_Scholar,G1768)+INDEX(v01_ResearcherShare,G1768)*v01_OutResearcher*INDEX(LM_Researcher,G1768)))</x:f>
        <x:v>0</x:v>
      </x:c>
      <x:c r="AL1768" s="32" t="n">
        <x:f>H1768*v01_RoleScale*Arch_Roles*AE1768*INDEX(v01_MonasteryPerSett,G1768)*v01_OutMonastery*INDEX(LM_Monastery,G1768)</x:f>
        <x:v>0</x:v>
      </x:c>
      <x:c r="AM1768" s="32" t="n">
        <x:f>(AJ1768+AK1768+AL1768)/4*INDEX(LM_All,G1768)*INDEX(v01_Boon,G1768)*Arch_Insight</x:f>
        <x:v>0</x:v>
      </x:c>
      <x:c r="AN1768" s="32" t="n">
        <x:f>H1768*(v01_KHPerAdult*Z1768+v01_KHOfCommons*AJ1768/4*INDEX(LM_All,G1768))*v01_KHUsable*Arch_KH</x:f>
        <x:v>0</x:v>
      </x:c>
      <x:c r="AO1768" s="32" t="n">
        <x:f>MIN(AP1767+AN1768,AM1768*v01_KHMaxRatio)</x:f>
        <x:v>0</x:v>
      </x:c>
      <x:c r="AP1768" s="32" t="n">
        <x:f>AP1767+AN1768-AO1768</x:f>
        <x:v>0</x:v>
      </x:c>
      <x:c r="AQ1768" s="32" t="n">
        <x:f>AM1768+AO1768</x:f>
        <x:v>0</x:v>
      </x:c>
      <x:c r="AR1768" s="10" t="n">
        <x:f>IF(H1768=1,INDEX(v01_Req,G1768),0)</x:f>
        <x:v>0</x:v>
      </x:c>
      <x:c r="AS1768" s="32" t="n">
        <x:f>IF(H1768=1,IF(E1768=1,AS1767-AR1767,AS1767)+AQ1768,0)</x:f>
        <x:v>0</x:v>
      </x:c>
      <x:c r="AT1768" s="11" t="n">
        <x:f>IF(AR1768&gt;0,MIN(1,AS1768/AR1768),1)</x:f>
        <x:v>1</x:v>
      </x:c>
      <x:c r="AU1768" s="10" t="n">
        <x:f>AB1768/INDEX(v01_RepScale,G1768)</x:f>
        <x:v>90.09519605746344</x:v>
      </x:c>
      <x:c r="AV1768" s="32" t="n">
        <x:f>AM1768*60/v01_SeasonSeconds</x:f>
        <x:v>0</x:v>
      </x:c>
    </x:row>
    <x:row r="1769">
      <x:c r="A1769" s="8" t="n">
        <x:f>A1768+1</x:f>
        <x:v>1766</x:v>
      </x:c>
      <x:c r="B1769" s="9" t="n">
        <x:f>A1769*v01_SeasonSeconds/60</x:f>
        <x:v>441.5</x:v>
      </x:c>
      <x:c r="C1769" s="9" t="n">
        <x:f>A1769/4</x:f>
        <x:v>441.5</x:v>
      </x:c>
      <x:c r="D1769" s="8" t="n">
        <x:f>IF(MOD(A1769,4)=0,1,0)</x:f>
        <x:v>0</x:v>
      </x:c>
      <x:c r="E1769" s="8" t="n">
        <x:f>IF(AND(F1768&lt;=9,AS1768&gt;=AR1768),1,0)</x:f>
        <x:v>0</x:v>
      </x:c>
      <x:c r="F1769" s="8" t="n">
        <x:f>MIN(10,F1768+E1769)</x:f>
        <x:v>10</x:v>
      </x:c>
      <x:c r="G1769" s="8" t="n">
        <x:f>MIN(F1769,9)+1</x:f>
        <x:v>10</x:v>
      </x:c>
      <x:c r="H1769" s="8" t="n">
        <x:f>IF(F1769&lt;=9,1,0)</x:f>
        <x:v>0</x:v>
      </x:c>
      <x:c r="I1769" s="9" t="n">
        <x:f>MIN(10,F1768+IF(AR1768&gt;0,MIN(1,AS1768/AR1768),1))</x:f>
        <x:v>10</x:v>
      </x:c>
      <x:c r="J1769" s="32" t="n">
        <x:f>INDEX(v01_FoodCap,G1769)*Arch_FoodCap*EXP(v01_CapsByProject*SUMPRODUCT((Cap_Point&lt;=I1769)*(Cap_Kind="Food")*Cap_Ln))</x:f>
        <x:v>12000</x:v>
      </x:c>
      <x:c r="K1769" s="32" t="n">
        <x:f>J1769*MIN(1,v01_LeanBase*EXP(v01_CapsByProject*SUMPRODUCT((Cap_Point&lt;=I1769)*(Cap_Kind="Lean")*Cap_Ln)))</x:f>
        <x:v>12000</x:v>
      </x:c>
      <x:c r="L1769" s="10" t="n">
        <x:f>INDEX(v01_HousingCap,G1769)*EXP(v01_CapsByProject*SUMPRODUCT((Cap_Point&lt;=I1769)*(Cap_Kind="Housing")*Cap_Ln))</x:f>
        <x:v>20000</x:v>
      </x:c>
      <x:c r="M1769" s="10" t="n">
        <x:f>INDEX(v01_GroupCap,G1769)*v01_CohesionFactor*EXP(v01_CapsByProject*SUMPRODUCT((Cap_Point&lt;=I1769)*(Cap_Kind="Group")*Cap_Ln))</x:f>
        <x:v>1000000</x:v>
      </x:c>
      <x:c r="N1769" s="32" t="n">
        <x:f>MIN(J1769,L1769,M1769)</x:f>
        <x:v>12000</x:v>
      </x:c>
      <x:c r="O1769" s="10" t="n">
        <x:f>AE1768*N1769</x:f>
        <x:v>180000</x:v>
      </x:c>
      <x:c r="P1769" s="9" t="n">
        <x:f>MIN(1,(AB1768/(AE1768*IF(v01_GroupInCrowding=1,N1769,MIN(J1769,L1769))))^v01_CrowdingExp)</x:f>
        <x:v>0.00024569414295285325</x:v>
      </x:c>
      <x:c r="Q1769" s="9" t="n">
        <x:f>IF(D1769=1,INDEX(v01_WinterMult,G1769),1)</x:f>
        <x:v>1</x:v>
      </x:c>
      <x:c r="R1769" s="9" t="n">
        <x:f>H1769*Z1768*v01_WomenShare*v01_BaseFertility*INDEX(v01_FertMult,G1769)*Arch_Fertility*(1-P1769)</x:f>
        <x:v>0</x:v>
      </x:c>
      <x:c r="S1769" s="9" t="n">
        <x:f>H1769*Y1768*INDEX(v01_MortChild,G1769)/4*Q1769</x:f>
        <x:v>0</x:v>
      </x:c>
      <x:c r="T1769" s="9" t="n">
        <x:f>H1769*Z1768*INDEX(v01_MortAdult,G1769)*Arch_AdultMort/4*Q1769</x:f>
        <x:v>0</x:v>
      </x:c>
      <x:c r="U1769" s="9" t="n">
        <x:f>H1769*AA1768*INDEX(v01_MortElder,G1769)/4*Q1769</x:f>
        <x:v>0</x:v>
      </x:c>
      <x:c r="V1769" s="9" t="n">
        <x:f>H1769*MAX(0,AB1768-O1769)*v01_OvercapLoss</x:f>
        <x:v>0</x:v>
      </x:c>
      <x:c r="W1769" s="9" t="n">
        <x:f>H1769*Y1768/(v01_ChildYears*4)</x:f>
        <x:v>0</x:v>
      </x:c>
      <x:c r="X1769" s="9" t="n">
        <x:f>H1769*Z1768/(v01_AdultYears*4)</x:f>
        <x:v>0</x:v>
      </x:c>
      <x:c r="Y1769" s="32" t="n">
        <x:f>Y1768+R1769-S1769-W1769-Y1768*V1769/AB1768</x:f>
        <x:v>14306.18539759397</x:v>
      </x:c>
      <x:c r="Z1769" s="32" t="n">
        <x:f>Z1768+W1769-X1769-T1769-Z1768*V1769/AB1768</x:f>
        <x:v>19354.456567879548</x:v>
      </x:c>
      <x:c r="AA1769" s="32" t="n">
        <x:f>AA1768+X1769-U1769-AA1768*V1769/AB1768</x:f>
        <x:v>11386.956063258198</x:v>
      </x:c>
      <x:c r="AB1769" s="10" t="n">
        <x:f>Y1769+Z1769+AA1769</x:f>
        <x:v>45047.59802873172</x:v>
      </x:c>
      <x:c r="AC1769" s="8" t="n">
        <x:f>IF(AND(v01_WinterTrigger=1,D1769=1,AB1768/AE1768&gt;=K1769),1,0)</x:f>
        <x:v>0</x:v>
      </x:c>
      <x:c r="AD1769" s="8" t="n">
        <x:f>H1769*IF(AND(OR(AB1768/AE1768&gt;=v01_FissionTrigger*N1769,AC1769=1),AB1768/AE1768*v01_DaughterShare&gt;=v01_MinDaughter),MAX(1,ROUND(AE1768*v01_FissionRate,0)),0)</x:f>
        <x:v>0</x:v>
      </x:c>
      <x:c r="AE1769" s="8" t="n">
        <x:f>IF(H1769=1,MAX(1,MIN(INDEX(v01_Smax,G1769),AE1768+AD1769)),AE1768)</x:f>
        <x:v>15</x:v>
      </x:c>
      <x:c r="AF1769" s="8" t="n">
        <x:f>MAX(0,AE1769-AE1768)</x:f>
        <x:v>0</x:v>
      </x:c>
      <x:c r="AG1769" s="9" t="str">
        <x:f>IF(AF1769&gt;0,B1769,"")</x:f>
      </x:c>
      <x:c r="AH1769" s="9" t="n">
        <x:f>IF(F1769&gt;=1,1,(1+v01_LowTiesShare*(AE1769-1))/AE1769)</x:f>
        <x:v>1</x:v>
      </x:c>
      <x:c r="AI1769" s="32" t="n">
        <x:f>(Z1769+v01_ElderCommons*INDEX(LM_Elder,G1769)*AA1769)*AH1769</x:f>
        <x:v>64139.732591141874</x:v>
      </x:c>
      <x:c r="AJ1769" s="32" t="n">
        <x:f>H1769*v01_CommonsCoef*AI1769^v01_CommonsExp*INDEX(LM_Commons,G1769)</x:f>
        <x:v>0</x:v>
      </x:c>
      <x:c r="AK1769" s="32" t="n">
        <x:f>H1769*v01_RoleScale*Arch_Roles*(AE1769*(INDEX(v01_ElderRolePerSett,G1769)*v01_OutElder*INDEX(LM_Elder,G1769)+INDEX(v01_ShamanPerSett,G1769)*v01_OutShaman)+Z1769*(INDEX(v01_PriestShare,G1769)*v01_OutPriest+INDEX(v01_ScribeShare,G1769)*v01_OutScribe*INDEX(LM_Scribe,G1769)+INDEX(v01_ScholarShare,G1769)*v01_OutScholar*INDEX(LM_Scholar,G1769)+INDEX(v01_ResearcherShare,G1769)*v01_OutResearcher*INDEX(LM_Researcher,G1769)))</x:f>
        <x:v>0</x:v>
      </x:c>
      <x:c r="AL1769" s="32" t="n">
        <x:f>H1769*v01_RoleScale*Arch_Roles*AE1769*INDEX(v01_MonasteryPerSett,G1769)*v01_OutMonastery*INDEX(LM_Monastery,G1769)</x:f>
        <x:v>0</x:v>
      </x:c>
      <x:c r="AM1769" s="32" t="n">
        <x:f>(AJ1769+AK1769+AL1769)/4*INDEX(LM_All,G1769)*INDEX(v01_Boon,G1769)*Arch_Insight</x:f>
        <x:v>0</x:v>
      </x:c>
      <x:c r="AN1769" s="32" t="n">
        <x:f>H1769*(v01_KHPerAdult*Z1769+v01_KHOfCommons*AJ1769/4*INDEX(LM_All,G1769))*v01_KHUsable*Arch_KH</x:f>
        <x:v>0</x:v>
      </x:c>
      <x:c r="AO1769" s="32" t="n">
        <x:f>MIN(AP1768+AN1769,AM1769*v01_KHMaxRatio)</x:f>
        <x:v>0</x:v>
      </x:c>
      <x:c r="AP1769" s="32" t="n">
        <x:f>AP1768+AN1769-AO1769</x:f>
        <x:v>0</x:v>
      </x:c>
      <x:c r="AQ1769" s="32" t="n">
        <x:f>AM1769+AO1769</x:f>
        <x:v>0</x:v>
      </x:c>
      <x:c r="AR1769" s="10" t="n">
        <x:f>IF(H1769=1,INDEX(v01_Req,G1769),0)</x:f>
        <x:v>0</x:v>
      </x:c>
      <x:c r="AS1769" s="32" t="n">
        <x:f>IF(H1769=1,IF(E1769=1,AS1768-AR1768,AS1768)+AQ1769,0)</x:f>
        <x:v>0</x:v>
      </x:c>
      <x:c r="AT1769" s="11" t="n">
        <x:f>IF(AR1769&gt;0,MIN(1,AS1769/AR1769),1)</x:f>
        <x:v>1</x:v>
      </x:c>
      <x:c r="AU1769" s="10" t="n">
        <x:f>AB1769/INDEX(v01_RepScale,G1769)</x:f>
        <x:v>90.09519605746344</x:v>
      </x:c>
      <x:c r="AV1769" s="32" t="n">
        <x:f>AM1769*60/v01_SeasonSeconds</x:f>
        <x:v>0</x:v>
      </x:c>
    </x:row>
    <x:row r="1770">
      <x:c r="A1770" s="8" t="n">
        <x:f>A1769+1</x:f>
        <x:v>1767</x:v>
      </x:c>
      <x:c r="B1770" s="9" t="n">
        <x:f>A1770*v01_SeasonSeconds/60</x:f>
        <x:v>441.75</x:v>
      </x:c>
      <x:c r="C1770" s="9" t="n">
        <x:f>A1770/4</x:f>
        <x:v>441.75</x:v>
      </x:c>
      <x:c r="D1770" s="8" t="n">
        <x:f>IF(MOD(A1770,4)=0,1,0)</x:f>
        <x:v>0</x:v>
      </x:c>
      <x:c r="E1770" s="8" t="n">
        <x:f>IF(AND(F1769&lt;=9,AS1769&gt;=AR1769),1,0)</x:f>
        <x:v>0</x:v>
      </x:c>
      <x:c r="F1770" s="8" t="n">
        <x:f>MIN(10,F1769+E1770)</x:f>
        <x:v>10</x:v>
      </x:c>
      <x:c r="G1770" s="8" t="n">
        <x:f>MIN(F1770,9)+1</x:f>
        <x:v>10</x:v>
      </x:c>
      <x:c r="H1770" s="8" t="n">
        <x:f>IF(F1770&lt;=9,1,0)</x:f>
        <x:v>0</x:v>
      </x:c>
      <x:c r="I1770" s="9" t="n">
        <x:f>MIN(10,F1769+IF(AR1769&gt;0,MIN(1,AS1769/AR1769),1))</x:f>
        <x:v>10</x:v>
      </x:c>
      <x:c r="J1770" s="32" t="n">
        <x:f>INDEX(v01_FoodCap,G1770)*Arch_FoodCap*EXP(v01_CapsByProject*SUMPRODUCT((Cap_Point&lt;=I1770)*(Cap_Kind="Food")*Cap_Ln))</x:f>
        <x:v>12000</x:v>
      </x:c>
      <x:c r="K1770" s="32" t="n">
        <x:f>J1770*MIN(1,v01_LeanBase*EXP(v01_CapsByProject*SUMPRODUCT((Cap_Point&lt;=I1770)*(Cap_Kind="Lean")*Cap_Ln)))</x:f>
        <x:v>12000</x:v>
      </x:c>
      <x:c r="L1770" s="10" t="n">
        <x:f>INDEX(v01_HousingCap,G1770)*EXP(v01_CapsByProject*SUMPRODUCT((Cap_Point&lt;=I1770)*(Cap_Kind="Housing")*Cap_Ln))</x:f>
        <x:v>20000</x:v>
      </x:c>
      <x:c r="M1770" s="10" t="n">
        <x:f>INDEX(v01_GroupCap,G1770)*v01_CohesionFactor*EXP(v01_CapsByProject*SUMPRODUCT((Cap_Point&lt;=I1770)*(Cap_Kind="Group")*Cap_Ln))</x:f>
        <x:v>1000000</x:v>
      </x:c>
      <x:c r="N1770" s="32" t="n">
        <x:f>MIN(J1770,L1770,M1770)</x:f>
        <x:v>12000</x:v>
      </x:c>
      <x:c r="O1770" s="10" t="n">
        <x:f>AE1769*N1770</x:f>
        <x:v>180000</x:v>
      </x:c>
      <x:c r="P1770" s="9" t="n">
        <x:f>MIN(1,(AB1769/(AE1769*IF(v01_GroupInCrowding=1,N1770,MIN(J1770,L1770))))^v01_CrowdingExp)</x:f>
        <x:v>0.00024569414295285325</x:v>
      </x:c>
      <x:c r="Q1770" s="9" t="n">
        <x:f>IF(D1770=1,INDEX(v01_WinterMult,G1770),1)</x:f>
        <x:v>1</x:v>
      </x:c>
      <x:c r="R1770" s="9" t="n">
        <x:f>H1770*Z1769*v01_WomenShare*v01_BaseFertility*INDEX(v01_FertMult,G1770)*Arch_Fertility*(1-P1770)</x:f>
        <x:v>0</x:v>
      </x:c>
      <x:c r="S1770" s="9" t="n">
        <x:f>H1770*Y1769*INDEX(v01_MortChild,G1770)/4*Q1770</x:f>
        <x:v>0</x:v>
      </x:c>
      <x:c r="T1770" s="9" t="n">
        <x:f>H1770*Z1769*INDEX(v01_MortAdult,G1770)*Arch_AdultMort/4*Q1770</x:f>
        <x:v>0</x:v>
      </x:c>
      <x:c r="U1770" s="9" t="n">
        <x:f>H1770*AA1769*INDEX(v01_MortElder,G1770)/4*Q1770</x:f>
        <x:v>0</x:v>
      </x:c>
      <x:c r="V1770" s="9" t="n">
        <x:f>H1770*MAX(0,AB1769-O1770)*v01_OvercapLoss</x:f>
        <x:v>0</x:v>
      </x:c>
      <x:c r="W1770" s="9" t="n">
        <x:f>H1770*Y1769/(v01_ChildYears*4)</x:f>
        <x:v>0</x:v>
      </x:c>
      <x:c r="X1770" s="9" t="n">
        <x:f>H1770*Z1769/(v01_AdultYears*4)</x:f>
        <x:v>0</x:v>
      </x:c>
      <x:c r="Y1770" s="32" t="n">
        <x:f>Y1769+R1770-S1770-W1770-Y1769*V1770/AB1769</x:f>
        <x:v>14306.18539759397</x:v>
      </x:c>
      <x:c r="Z1770" s="32" t="n">
        <x:f>Z1769+W1770-X1770-T1770-Z1769*V1770/AB1769</x:f>
        <x:v>19354.456567879548</x:v>
      </x:c>
      <x:c r="AA1770" s="32" t="n">
        <x:f>AA1769+X1770-U1770-AA1769*V1770/AB1769</x:f>
        <x:v>11386.956063258198</x:v>
      </x:c>
      <x:c r="AB1770" s="10" t="n">
        <x:f>Y1770+Z1770+AA1770</x:f>
        <x:v>45047.59802873172</x:v>
      </x:c>
      <x:c r="AC1770" s="8" t="n">
        <x:f>IF(AND(v01_WinterTrigger=1,D1770=1,AB1769/AE1769&gt;=K1770),1,0)</x:f>
        <x:v>0</x:v>
      </x:c>
      <x:c r="AD1770" s="8" t="n">
        <x:f>H1770*IF(AND(OR(AB1769/AE1769&gt;=v01_FissionTrigger*N1770,AC1770=1),AB1769/AE1769*v01_DaughterShare&gt;=v01_MinDaughter),MAX(1,ROUND(AE1769*v01_FissionRate,0)),0)</x:f>
        <x:v>0</x:v>
      </x:c>
      <x:c r="AE1770" s="8" t="n">
        <x:f>IF(H1770=1,MAX(1,MIN(INDEX(v01_Smax,G1770),AE1769+AD1770)),AE1769)</x:f>
        <x:v>15</x:v>
      </x:c>
      <x:c r="AF1770" s="8" t="n">
        <x:f>MAX(0,AE1770-AE1769)</x:f>
        <x:v>0</x:v>
      </x:c>
      <x:c r="AG1770" s="9" t="str">
        <x:f>IF(AF1770&gt;0,B1770,"")</x:f>
      </x:c>
      <x:c r="AH1770" s="9" t="n">
        <x:f>IF(F1770&gt;=1,1,(1+v01_LowTiesShare*(AE1770-1))/AE1770)</x:f>
        <x:v>1</x:v>
      </x:c>
      <x:c r="AI1770" s="32" t="n">
        <x:f>(Z1770+v01_ElderCommons*INDEX(LM_Elder,G1770)*AA1770)*AH1770</x:f>
        <x:v>64139.732591141874</x:v>
      </x:c>
      <x:c r="AJ1770" s="32" t="n">
        <x:f>H1770*v01_CommonsCoef*AI1770^v01_CommonsExp*INDEX(LM_Commons,G1770)</x:f>
        <x:v>0</x:v>
      </x:c>
      <x:c r="AK1770" s="32" t="n">
        <x:f>H1770*v01_RoleScale*Arch_Roles*(AE1770*(INDEX(v01_ElderRolePerSett,G1770)*v01_OutElder*INDEX(LM_Elder,G1770)+INDEX(v01_ShamanPerSett,G1770)*v01_OutShaman)+Z1770*(INDEX(v01_PriestShare,G1770)*v01_OutPriest+INDEX(v01_ScribeShare,G1770)*v01_OutScribe*INDEX(LM_Scribe,G1770)+INDEX(v01_ScholarShare,G1770)*v01_OutScholar*INDEX(LM_Scholar,G1770)+INDEX(v01_ResearcherShare,G1770)*v01_OutResearcher*INDEX(LM_Researcher,G1770)))</x:f>
        <x:v>0</x:v>
      </x:c>
      <x:c r="AL1770" s="32" t="n">
        <x:f>H1770*v01_RoleScale*Arch_Roles*AE1770*INDEX(v01_MonasteryPerSett,G1770)*v01_OutMonastery*INDEX(LM_Monastery,G1770)</x:f>
        <x:v>0</x:v>
      </x:c>
      <x:c r="AM1770" s="32" t="n">
        <x:f>(AJ1770+AK1770+AL1770)/4*INDEX(LM_All,G1770)*INDEX(v01_Boon,G1770)*Arch_Insight</x:f>
        <x:v>0</x:v>
      </x:c>
      <x:c r="AN1770" s="32" t="n">
        <x:f>H1770*(v01_KHPerAdult*Z1770+v01_KHOfCommons*AJ1770/4*INDEX(LM_All,G1770))*v01_KHUsable*Arch_KH</x:f>
        <x:v>0</x:v>
      </x:c>
      <x:c r="AO1770" s="32" t="n">
        <x:f>MIN(AP1769+AN1770,AM1770*v01_KHMaxRatio)</x:f>
        <x:v>0</x:v>
      </x:c>
      <x:c r="AP1770" s="32" t="n">
        <x:f>AP1769+AN1770-AO1770</x:f>
        <x:v>0</x:v>
      </x:c>
      <x:c r="AQ1770" s="32" t="n">
        <x:f>AM1770+AO1770</x:f>
        <x:v>0</x:v>
      </x:c>
      <x:c r="AR1770" s="10" t="n">
        <x:f>IF(H1770=1,INDEX(v01_Req,G1770),0)</x:f>
        <x:v>0</x:v>
      </x:c>
      <x:c r="AS1770" s="32" t="n">
        <x:f>IF(H1770=1,IF(E1770=1,AS1769-AR1769,AS1769)+AQ1770,0)</x:f>
        <x:v>0</x:v>
      </x:c>
      <x:c r="AT1770" s="11" t="n">
        <x:f>IF(AR1770&gt;0,MIN(1,AS1770/AR1770),1)</x:f>
        <x:v>1</x:v>
      </x:c>
      <x:c r="AU1770" s="10" t="n">
        <x:f>AB1770/INDEX(v01_RepScale,G1770)</x:f>
        <x:v>90.09519605746344</x:v>
      </x:c>
      <x:c r="AV1770" s="32" t="n">
        <x:f>AM1770*60/v01_SeasonSeconds</x:f>
        <x:v>0</x:v>
      </x:c>
    </x:row>
    <x:row r="1771">
      <x:c r="A1771" s="8" t="n">
        <x:f>A1770+1</x:f>
        <x:v>1768</x:v>
      </x:c>
      <x:c r="B1771" s="9" t="n">
        <x:f>A1771*v01_SeasonSeconds/60</x:f>
        <x:v>442</x:v>
      </x:c>
      <x:c r="C1771" s="9" t="n">
        <x:f>A1771/4</x:f>
        <x:v>442</x:v>
      </x:c>
      <x:c r="D1771" s="8" t="n">
        <x:f>IF(MOD(A1771,4)=0,1,0)</x:f>
        <x:v>1</x:v>
      </x:c>
      <x:c r="E1771" s="8" t="n">
        <x:f>IF(AND(F1770&lt;=9,AS1770&gt;=AR1770),1,0)</x:f>
        <x:v>0</x:v>
      </x:c>
      <x:c r="F1771" s="8" t="n">
        <x:f>MIN(10,F1770+E1771)</x:f>
        <x:v>10</x:v>
      </x:c>
      <x:c r="G1771" s="8" t="n">
        <x:f>MIN(F1771,9)+1</x:f>
        <x:v>10</x:v>
      </x:c>
      <x:c r="H1771" s="8" t="n">
        <x:f>IF(F1771&lt;=9,1,0)</x:f>
        <x:v>0</x:v>
      </x:c>
      <x:c r="I1771" s="9" t="n">
        <x:f>MIN(10,F1770+IF(AR1770&gt;0,MIN(1,AS1770/AR1770),1))</x:f>
        <x:v>10</x:v>
      </x:c>
      <x:c r="J1771" s="32" t="n">
        <x:f>INDEX(v01_FoodCap,G1771)*Arch_FoodCap*EXP(v01_CapsByProject*SUMPRODUCT((Cap_Point&lt;=I1771)*(Cap_Kind="Food")*Cap_Ln))</x:f>
        <x:v>12000</x:v>
      </x:c>
      <x:c r="K1771" s="32" t="n">
        <x:f>J1771*MIN(1,v01_LeanBase*EXP(v01_CapsByProject*SUMPRODUCT((Cap_Point&lt;=I1771)*(Cap_Kind="Lean")*Cap_Ln)))</x:f>
        <x:v>12000</x:v>
      </x:c>
      <x:c r="L1771" s="10" t="n">
        <x:f>INDEX(v01_HousingCap,G1771)*EXP(v01_CapsByProject*SUMPRODUCT((Cap_Point&lt;=I1771)*(Cap_Kind="Housing")*Cap_Ln))</x:f>
        <x:v>20000</x:v>
      </x:c>
      <x:c r="M1771" s="10" t="n">
        <x:f>INDEX(v01_GroupCap,G1771)*v01_CohesionFactor*EXP(v01_CapsByProject*SUMPRODUCT((Cap_Point&lt;=I1771)*(Cap_Kind="Group")*Cap_Ln))</x:f>
        <x:v>1000000</x:v>
      </x:c>
      <x:c r="N1771" s="32" t="n">
        <x:f>MIN(J1771,L1771,M1771)</x:f>
        <x:v>12000</x:v>
      </x:c>
      <x:c r="O1771" s="10" t="n">
        <x:f>AE1770*N1771</x:f>
        <x:v>180000</x:v>
      </x:c>
      <x:c r="P1771" s="9" t="n">
        <x:f>MIN(1,(AB1770/(AE1770*IF(v01_GroupInCrowding=1,N1771,MIN(J1771,L1771))))^v01_CrowdingExp)</x:f>
        <x:v>0.00024569414295285325</x:v>
      </x:c>
      <x:c r="Q1771" s="9" t="n">
        <x:f>IF(D1771=1,INDEX(v01_WinterMult,G1771),1)</x:f>
        <x:v>1</x:v>
      </x:c>
      <x:c r="R1771" s="9" t="n">
        <x:f>H1771*Z1770*v01_WomenShare*v01_BaseFertility*INDEX(v01_FertMult,G1771)*Arch_Fertility*(1-P1771)</x:f>
        <x:v>0</x:v>
      </x:c>
      <x:c r="S1771" s="9" t="n">
        <x:f>H1771*Y1770*INDEX(v01_MortChild,G1771)/4*Q1771</x:f>
        <x:v>0</x:v>
      </x:c>
      <x:c r="T1771" s="9" t="n">
        <x:f>H1771*Z1770*INDEX(v01_MortAdult,G1771)*Arch_AdultMort/4*Q1771</x:f>
        <x:v>0</x:v>
      </x:c>
      <x:c r="U1771" s="9" t="n">
        <x:f>H1771*AA1770*INDEX(v01_MortElder,G1771)/4*Q1771</x:f>
        <x:v>0</x:v>
      </x:c>
      <x:c r="V1771" s="9" t="n">
        <x:f>H1771*MAX(0,AB1770-O1771)*v01_OvercapLoss</x:f>
        <x:v>0</x:v>
      </x:c>
      <x:c r="W1771" s="9" t="n">
        <x:f>H1771*Y1770/(v01_ChildYears*4)</x:f>
        <x:v>0</x:v>
      </x:c>
      <x:c r="X1771" s="9" t="n">
        <x:f>H1771*Z1770/(v01_AdultYears*4)</x:f>
        <x:v>0</x:v>
      </x:c>
      <x:c r="Y1771" s="32" t="n">
        <x:f>Y1770+R1771-S1771-W1771-Y1770*V1771/AB1770</x:f>
        <x:v>14306.18539759397</x:v>
      </x:c>
      <x:c r="Z1771" s="32" t="n">
        <x:f>Z1770+W1771-X1771-T1771-Z1770*V1771/AB1770</x:f>
        <x:v>19354.456567879548</x:v>
      </x:c>
      <x:c r="AA1771" s="32" t="n">
        <x:f>AA1770+X1771-U1771-AA1770*V1771/AB1770</x:f>
        <x:v>11386.956063258198</x:v>
      </x:c>
      <x:c r="AB1771" s="10" t="n">
        <x:f>Y1771+Z1771+AA1771</x:f>
        <x:v>45047.59802873172</x:v>
      </x:c>
      <x:c r="AC1771" s="8" t="n">
        <x:f>IF(AND(v01_WinterTrigger=1,D1771=1,AB1770/AE1770&gt;=K1771),1,0)</x:f>
        <x:v>0</x:v>
      </x:c>
      <x:c r="AD1771" s="8" t="n">
        <x:f>H1771*IF(AND(OR(AB1770/AE1770&gt;=v01_FissionTrigger*N1771,AC1771=1),AB1770/AE1770*v01_DaughterShare&gt;=v01_MinDaughter),MAX(1,ROUND(AE1770*v01_FissionRate,0)),0)</x:f>
        <x:v>0</x:v>
      </x:c>
      <x:c r="AE1771" s="8" t="n">
        <x:f>IF(H1771=1,MAX(1,MIN(INDEX(v01_Smax,G1771),AE1770+AD1771)),AE1770)</x:f>
        <x:v>15</x:v>
      </x:c>
      <x:c r="AF1771" s="8" t="n">
        <x:f>MAX(0,AE1771-AE1770)</x:f>
        <x:v>0</x:v>
      </x:c>
      <x:c r="AG1771" s="9" t="str">
        <x:f>IF(AF1771&gt;0,B1771,"")</x:f>
      </x:c>
      <x:c r="AH1771" s="9" t="n">
        <x:f>IF(F1771&gt;=1,1,(1+v01_LowTiesShare*(AE1771-1))/AE1771)</x:f>
        <x:v>1</x:v>
      </x:c>
      <x:c r="AI1771" s="32" t="n">
        <x:f>(Z1771+v01_ElderCommons*INDEX(LM_Elder,G1771)*AA1771)*AH1771</x:f>
        <x:v>64139.732591141874</x:v>
      </x:c>
      <x:c r="AJ1771" s="32" t="n">
        <x:f>H1771*v01_CommonsCoef*AI1771^v01_CommonsExp*INDEX(LM_Commons,G1771)</x:f>
        <x:v>0</x:v>
      </x:c>
      <x:c r="AK1771" s="32" t="n">
        <x:f>H1771*v01_RoleScale*Arch_Roles*(AE1771*(INDEX(v01_ElderRolePerSett,G1771)*v01_OutElder*INDEX(LM_Elder,G1771)+INDEX(v01_ShamanPerSett,G1771)*v01_OutShaman)+Z1771*(INDEX(v01_PriestShare,G1771)*v01_OutPriest+INDEX(v01_ScribeShare,G1771)*v01_OutScribe*INDEX(LM_Scribe,G1771)+INDEX(v01_ScholarShare,G1771)*v01_OutScholar*INDEX(LM_Scholar,G1771)+INDEX(v01_ResearcherShare,G1771)*v01_OutResearcher*INDEX(LM_Researcher,G1771)))</x:f>
        <x:v>0</x:v>
      </x:c>
      <x:c r="AL1771" s="32" t="n">
        <x:f>H1771*v01_RoleScale*Arch_Roles*AE1771*INDEX(v01_MonasteryPerSett,G1771)*v01_OutMonastery*INDEX(LM_Monastery,G1771)</x:f>
        <x:v>0</x:v>
      </x:c>
      <x:c r="AM1771" s="32" t="n">
        <x:f>(AJ1771+AK1771+AL1771)/4*INDEX(LM_All,G1771)*INDEX(v01_Boon,G1771)*Arch_Insight</x:f>
        <x:v>0</x:v>
      </x:c>
      <x:c r="AN1771" s="32" t="n">
        <x:f>H1771*(v01_KHPerAdult*Z1771+v01_KHOfCommons*AJ1771/4*INDEX(LM_All,G1771))*v01_KHUsable*Arch_KH</x:f>
        <x:v>0</x:v>
      </x:c>
      <x:c r="AO1771" s="32" t="n">
        <x:f>MIN(AP1770+AN1771,AM1771*v01_KHMaxRatio)</x:f>
        <x:v>0</x:v>
      </x:c>
      <x:c r="AP1771" s="32" t="n">
        <x:f>AP1770+AN1771-AO1771</x:f>
        <x:v>0</x:v>
      </x:c>
      <x:c r="AQ1771" s="32" t="n">
        <x:f>AM1771+AO1771</x:f>
        <x:v>0</x:v>
      </x:c>
      <x:c r="AR1771" s="10" t="n">
        <x:f>IF(H1771=1,INDEX(v01_Req,G1771),0)</x:f>
        <x:v>0</x:v>
      </x:c>
      <x:c r="AS1771" s="32" t="n">
        <x:f>IF(H1771=1,IF(E1771=1,AS1770-AR1770,AS1770)+AQ1771,0)</x:f>
        <x:v>0</x:v>
      </x:c>
      <x:c r="AT1771" s="11" t="n">
        <x:f>IF(AR1771&gt;0,MIN(1,AS1771/AR1771),1)</x:f>
        <x:v>1</x:v>
      </x:c>
      <x:c r="AU1771" s="10" t="n">
        <x:f>AB1771/INDEX(v01_RepScale,G1771)</x:f>
        <x:v>90.09519605746344</x:v>
      </x:c>
      <x:c r="AV1771" s="32" t="n">
        <x:f>AM1771*60/v01_SeasonSeconds</x:f>
        <x:v>0</x:v>
      </x:c>
    </x:row>
    <x:row r="1772">
      <x:c r="A1772" s="8" t="n">
        <x:f>A1771+1</x:f>
        <x:v>1769</x:v>
      </x:c>
      <x:c r="B1772" s="9" t="n">
        <x:f>A1772*v01_SeasonSeconds/60</x:f>
        <x:v>442.25</x:v>
      </x:c>
      <x:c r="C1772" s="9" t="n">
        <x:f>A1772/4</x:f>
        <x:v>442.25</x:v>
      </x:c>
      <x:c r="D1772" s="8" t="n">
        <x:f>IF(MOD(A1772,4)=0,1,0)</x:f>
        <x:v>0</x:v>
      </x:c>
      <x:c r="E1772" s="8" t="n">
        <x:f>IF(AND(F1771&lt;=9,AS1771&gt;=AR1771),1,0)</x:f>
        <x:v>0</x:v>
      </x:c>
      <x:c r="F1772" s="8" t="n">
        <x:f>MIN(10,F1771+E1772)</x:f>
        <x:v>10</x:v>
      </x:c>
      <x:c r="G1772" s="8" t="n">
        <x:f>MIN(F1772,9)+1</x:f>
        <x:v>10</x:v>
      </x:c>
      <x:c r="H1772" s="8" t="n">
        <x:f>IF(F1772&lt;=9,1,0)</x:f>
        <x:v>0</x:v>
      </x:c>
      <x:c r="I1772" s="9" t="n">
        <x:f>MIN(10,F1771+IF(AR1771&gt;0,MIN(1,AS1771/AR1771),1))</x:f>
        <x:v>10</x:v>
      </x:c>
      <x:c r="J1772" s="32" t="n">
        <x:f>INDEX(v01_FoodCap,G1772)*Arch_FoodCap*EXP(v01_CapsByProject*SUMPRODUCT((Cap_Point&lt;=I1772)*(Cap_Kind="Food")*Cap_Ln))</x:f>
        <x:v>12000</x:v>
      </x:c>
      <x:c r="K1772" s="32" t="n">
        <x:f>J1772*MIN(1,v01_LeanBase*EXP(v01_CapsByProject*SUMPRODUCT((Cap_Point&lt;=I1772)*(Cap_Kind="Lean")*Cap_Ln)))</x:f>
        <x:v>12000</x:v>
      </x:c>
      <x:c r="L1772" s="10" t="n">
        <x:f>INDEX(v01_HousingCap,G1772)*EXP(v01_CapsByProject*SUMPRODUCT((Cap_Point&lt;=I1772)*(Cap_Kind="Housing")*Cap_Ln))</x:f>
        <x:v>20000</x:v>
      </x:c>
      <x:c r="M1772" s="10" t="n">
        <x:f>INDEX(v01_GroupCap,G1772)*v01_CohesionFactor*EXP(v01_CapsByProject*SUMPRODUCT((Cap_Point&lt;=I1772)*(Cap_Kind="Group")*Cap_Ln))</x:f>
        <x:v>1000000</x:v>
      </x:c>
      <x:c r="N1772" s="32" t="n">
        <x:f>MIN(J1772,L1772,M1772)</x:f>
        <x:v>12000</x:v>
      </x:c>
      <x:c r="O1772" s="10" t="n">
        <x:f>AE1771*N1772</x:f>
        <x:v>180000</x:v>
      </x:c>
      <x:c r="P1772" s="9" t="n">
        <x:f>MIN(1,(AB1771/(AE1771*IF(v01_GroupInCrowding=1,N1772,MIN(J1772,L1772))))^v01_CrowdingExp)</x:f>
        <x:v>0.00024569414295285325</x:v>
      </x:c>
      <x:c r="Q1772" s="9" t="n">
        <x:f>IF(D1772=1,INDEX(v01_WinterMult,G1772),1)</x:f>
        <x:v>1</x:v>
      </x:c>
      <x:c r="R1772" s="9" t="n">
        <x:f>H1772*Z1771*v01_WomenShare*v01_BaseFertility*INDEX(v01_FertMult,G1772)*Arch_Fertility*(1-P1772)</x:f>
        <x:v>0</x:v>
      </x:c>
      <x:c r="S1772" s="9" t="n">
        <x:f>H1772*Y1771*INDEX(v01_MortChild,G1772)/4*Q1772</x:f>
        <x:v>0</x:v>
      </x:c>
      <x:c r="T1772" s="9" t="n">
        <x:f>H1772*Z1771*INDEX(v01_MortAdult,G1772)*Arch_AdultMort/4*Q1772</x:f>
        <x:v>0</x:v>
      </x:c>
      <x:c r="U1772" s="9" t="n">
        <x:f>H1772*AA1771*INDEX(v01_MortElder,G1772)/4*Q1772</x:f>
        <x:v>0</x:v>
      </x:c>
      <x:c r="V1772" s="9" t="n">
        <x:f>H1772*MAX(0,AB1771-O1772)*v01_OvercapLoss</x:f>
        <x:v>0</x:v>
      </x:c>
      <x:c r="W1772" s="9" t="n">
        <x:f>H1772*Y1771/(v01_ChildYears*4)</x:f>
        <x:v>0</x:v>
      </x:c>
      <x:c r="X1772" s="9" t="n">
        <x:f>H1772*Z1771/(v01_AdultYears*4)</x:f>
        <x:v>0</x:v>
      </x:c>
      <x:c r="Y1772" s="32" t="n">
        <x:f>Y1771+R1772-S1772-W1772-Y1771*V1772/AB1771</x:f>
        <x:v>14306.18539759397</x:v>
      </x:c>
      <x:c r="Z1772" s="32" t="n">
        <x:f>Z1771+W1772-X1772-T1772-Z1771*V1772/AB1771</x:f>
        <x:v>19354.456567879548</x:v>
      </x:c>
      <x:c r="AA1772" s="32" t="n">
        <x:f>AA1771+X1772-U1772-AA1771*V1772/AB1771</x:f>
        <x:v>11386.956063258198</x:v>
      </x:c>
      <x:c r="AB1772" s="10" t="n">
        <x:f>Y1772+Z1772+AA1772</x:f>
        <x:v>45047.59802873172</x:v>
      </x:c>
      <x:c r="AC1772" s="8" t="n">
        <x:f>IF(AND(v01_WinterTrigger=1,D1772=1,AB1771/AE1771&gt;=K1772),1,0)</x:f>
        <x:v>0</x:v>
      </x:c>
      <x:c r="AD1772" s="8" t="n">
        <x:f>H1772*IF(AND(OR(AB1771/AE1771&gt;=v01_FissionTrigger*N1772,AC1772=1),AB1771/AE1771*v01_DaughterShare&gt;=v01_MinDaughter),MAX(1,ROUND(AE1771*v01_FissionRate,0)),0)</x:f>
        <x:v>0</x:v>
      </x:c>
      <x:c r="AE1772" s="8" t="n">
        <x:f>IF(H1772=1,MAX(1,MIN(INDEX(v01_Smax,G1772),AE1771+AD1772)),AE1771)</x:f>
        <x:v>15</x:v>
      </x:c>
      <x:c r="AF1772" s="8" t="n">
        <x:f>MAX(0,AE1772-AE1771)</x:f>
        <x:v>0</x:v>
      </x:c>
      <x:c r="AG1772" s="9" t="str">
        <x:f>IF(AF1772&gt;0,B1772,"")</x:f>
      </x:c>
      <x:c r="AH1772" s="9" t="n">
        <x:f>IF(F1772&gt;=1,1,(1+v01_LowTiesShare*(AE1772-1))/AE1772)</x:f>
        <x:v>1</x:v>
      </x:c>
      <x:c r="AI1772" s="32" t="n">
        <x:f>(Z1772+v01_ElderCommons*INDEX(LM_Elder,G1772)*AA1772)*AH1772</x:f>
        <x:v>64139.732591141874</x:v>
      </x:c>
      <x:c r="AJ1772" s="32" t="n">
        <x:f>H1772*v01_CommonsCoef*AI1772^v01_CommonsExp*INDEX(LM_Commons,G1772)</x:f>
        <x:v>0</x:v>
      </x:c>
      <x:c r="AK1772" s="32" t="n">
        <x:f>H1772*v01_RoleScale*Arch_Roles*(AE1772*(INDEX(v01_ElderRolePerSett,G1772)*v01_OutElder*INDEX(LM_Elder,G1772)+INDEX(v01_ShamanPerSett,G1772)*v01_OutShaman)+Z1772*(INDEX(v01_PriestShare,G1772)*v01_OutPriest+INDEX(v01_ScribeShare,G1772)*v01_OutScribe*INDEX(LM_Scribe,G1772)+INDEX(v01_ScholarShare,G1772)*v01_OutScholar*INDEX(LM_Scholar,G1772)+INDEX(v01_ResearcherShare,G1772)*v01_OutResearcher*INDEX(LM_Researcher,G1772)))</x:f>
        <x:v>0</x:v>
      </x:c>
      <x:c r="AL1772" s="32" t="n">
        <x:f>H1772*v01_RoleScale*Arch_Roles*AE1772*INDEX(v01_MonasteryPerSett,G1772)*v01_OutMonastery*INDEX(LM_Monastery,G1772)</x:f>
        <x:v>0</x:v>
      </x:c>
      <x:c r="AM1772" s="32" t="n">
        <x:f>(AJ1772+AK1772+AL1772)/4*INDEX(LM_All,G1772)*INDEX(v01_Boon,G1772)*Arch_Insight</x:f>
        <x:v>0</x:v>
      </x:c>
      <x:c r="AN1772" s="32" t="n">
        <x:f>H1772*(v01_KHPerAdult*Z1772+v01_KHOfCommons*AJ1772/4*INDEX(LM_All,G1772))*v01_KHUsable*Arch_KH</x:f>
        <x:v>0</x:v>
      </x:c>
      <x:c r="AO1772" s="32" t="n">
        <x:f>MIN(AP1771+AN1772,AM1772*v01_KHMaxRatio)</x:f>
        <x:v>0</x:v>
      </x:c>
      <x:c r="AP1772" s="32" t="n">
        <x:f>AP1771+AN1772-AO1772</x:f>
        <x:v>0</x:v>
      </x:c>
      <x:c r="AQ1772" s="32" t="n">
        <x:f>AM1772+AO1772</x:f>
        <x:v>0</x:v>
      </x:c>
      <x:c r="AR1772" s="10" t="n">
        <x:f>IF(H1772=1,INDEX(v01_Req,G1772),0)</x:f>
        <x:v>0</x:v>
      </x:c>
      <x:c r="AS1772" s="32" t="n">
        <x:f>IF(H1772=1,IF(E1772=1,AS1771-AR1771,AS1771)+AQ1772,0)</x:f>
        <x:v>0</x:v>
      </x:c>
      <x:c r="AT1772" s="11" t="n">
        <x:f>IF(AR1772&gt;0,MIN(1,AS1772/AR1772),1)</x:f>
        <x:v>1</x:v>
      </x:c>
      <x:c r="AU1772" s="10" t="n">
        <x:f>AB1772/INDEX(v01_RepScale,G1772)</x:f>
        <x:v>90.09519605746344</x:v>
      </x:c>
      <x:c r="AV1772" s="32" t="n">
        <x:f>AM1772*60/v01_SeasonSeconds</x:f>
        <x:v>0</x:v>
      </x:c>
    </x:row>
    <x:row r="1773">
      <x:c r="A1773" s="8" t="n">
        <x:f>A1772+1</x:f>
        <x:v>1770</x:v>
      </x:c>
      <x:c r="B1773" s="9" t="n">
        <x:f>A1773*v01_SeasonSeconds/60</x:f>
        <x:v>442.5</x:v>
      </x:c>
      <x:c r="C1773" s="9" t="n">
        <x:f>A1773/4</x:f>
        <x:v>442.5</x:v>
      </x:c>
      <x:c r="D1773" s="8" t="n">
        <x:f>IF(MOD(A1773,4)=0,1,0)</x:f>
        <x:v>0</x:v>
      </x:c>
      <x:c r="E1773" s="8" t="n">
        <x:f>IF(AND(F1772&lt;=9,AS1772&gt;=AR1772),1,0)</x:f>
        <x:v>0</x:v>
      </x:c>
      <x:c r="F1773" s="8" t="n">
        <x:f>MIN(10,F1772+E1773)</x:f>
        <x:v>10</x:v>
      </x:c>
      <x:c r="G1773" s="8" t="n">
        <x:f>MIN(F1773,9)+1</x:f>
        <x:v>10</x:v>
      </x:c>
      <x:c r="H1773" s="8" t="n">
        <x:f>IF(F1773&lt;=9,1,0)</x:f>
        <x:v>0</x:v>
      </x:c>
      <x:c r="I1773" s="9" t="n">
        <x:f>MIN(10,F1772+IF(AR1772&gt;0,MIN(1,AS1772/AR1772),1))</x:f>
        <x:v>10</x:v>
      </x:c>
      <x:c r="J1773" s="32" t="n">
        <x:f>INDEX(v01_FoodCap,G1773)*Arch_FoodCap*EXP(v01_CapsByProject*SUMPRODUCT((Cap_Point&lt;=I1773)*(Cap_Kind="Food")*Cap_Ln))</x:f>
        <x:v>12000</x:v>
      </x:c>
      <x:c r="K1773" s="32" t="n">
        <x:f>J1773*MIN(1,v01_LeanBase*EXP(v01_CapsByProject*SUMPRODUCT((Cap_Point&lt;=I1773)*(Cap_Kind="Lean")*Cap_Ln)))</x:f>
        <x:v>12000</x:v>
      </x:c>
      <x:c r="L1773" s="10" t="n">
        <x:f>INDEX(v01_HousingCap,G1773)*EXP(v01_CapsByProject*SUMPRODUCT((Cap_Point&lt;=I1773)*(Cap_Kind="Housing")*Cap_Ln))</x:f>
        <x:v>20000</x:v>
      </x:c>
      <x:c r="M1773" s="10" t="n">
        <x:f>INDEX(v01_GroupCap,G1773)*v01_CohesionFactor*EXP(v01_CapsByProject*SUMPRODUCT((Cap_Point&lt;=I1773)*(Cap_Kind="Group")*Cap_Ln))</x:f>
        <x:v>1000000</x:v>
      </x:c>
      <x:c r="N1773" s="32" t="n">
        <x:f>MIN(J1773,L1773,M1773)</x:f>
        <x:v>12000</x:v>
      </x:c>
      <x:c r="O1773" s="10" t="n">
        <x:f>AE1772*N1773</x:f>
        <x:v>180000</x:v>
      </x:c>
      <x:c r="P1773" s="9" t="n">
        <x:f>MIN(1,(AB1772/(AE1772*IF(v01_GroupInCrowding=1,N1773,MIN(J1773,L1773))))^v01_CrowdingExp)</x:f>
        <x:v>0.00024569414295285325</x:v>
      </x:c>
      <x:c r="Q1773" s="9" t="n">
        <x:f>IF(D1773=1,INDEX(v01_WinterMult,G1773),1)</x:f>
        <x:v>1</x:v>
      </x:c>
      <x:c r="R1773" s="9" t="n">
        <x:f>H1773*Z1772*v01_WomenShare*v01_BaseFertility*INDEX(v01_FertMult,G1773)*Arch_Fertility*(1-P1773)</x:f>
        <x:v>0</x:v>
      </x:c>
      <x:c r="S1773" s="9" t="n">
        <x:f>H1773*Y1772*INDEX(v01_MortChild,G1773)/4*Q1773</x:f>
        <x:v>0</x:v>
      </x:c>
      <x:c r="T1773" s="9" t="n">
        <x:f>H1773*Z1772*INDEX(v01_MortAdult,G1773)*Arch_AdultMort/4*Q1773</x:f>
        <x:v>0</x:v>
      </x:c>
      <x:c r="U1773" s="9" t="n">
        <x:f>H1773*AA1772*INDEX(v01_MortElder,G1773)/4*Q1773</x:f>
        <x:v>0</x:v>
      </x:c>
      <x:c r="V1773" s="9" t="n">
        <x:f>H1773*MAX(0,AB1772-O1773)*v01_OvercapLoss</x:f>
        <x:v>0</x:v>
      </x:c>
      <x:c r="W1773" s="9" t="n">
        <x:f>H1773*Y1772/(v01_ChildYears*4)</x:f>
        <x:v>0</x:v>
      </x:c>
      <x:c r="X1773" s="9" t="n">
        <x:f>H1773*Z1772/(v01_AdultYears*4)</x:f>
        <x:v>0</x:v>
      </x:c>
      <x:c r="Y1773" s="32" t="n">
        <x:f>Y1772+R1773-S1773-W1773-Y1772*V1773/AB1772</x:f>
        <x:v>14306.18539759397</x:v>
      </x:c>
      <x:c r="Z1773" s="32" t="n">
        <x:f>Z1772+W1773-X1773-T1773-Z1772*V1773/AB1772</x:f>
        <x:v>19354.456567879548</x:v>
      </x:c>
      <x:c r="AA1773" s="32" t="n">
        <x:f>AA1772+X1773-U1773-AA1772*V1773/AB1772</x:f>
        <x:v>11386.956063258198</x:v>
      </x:c>
      <x:c r="AB1773" s="10" t="n">
        <x:f>Y1773+Z1773+AA1773</x:f>
        <x:v>45047.59802873172</x:v>
      </x:c>
      <x:c r="AC1773" s="8" t="n">
        <x:f>IF(AND(v01_WinterTrigger=1,D1773=1,AB1772/AE1772&gt;=K1773),1,0)</x:f>
        <x:v>0</x:v>
      </x:c>
      <x:c r="AD1773" s="8" t="n">
        <x:f>H1773*IF(AND(OR(AB1772/AE1772&gt;=v01_FissionTrigger*N1773,AC1773=1),AB1772/AE1772*v01_DaughterShare&gt;=v01_MinDaughter),MAX(1,ROUND(AE1772*v01_FissionRate,0)),0)</x:f>
        <x:v>0</x:v>
      </x:c>
      <x:c r="AE1773" s="8" t="n">
        <x:f>IF(H1773=1,MAX(1,MIN(INDEX(v01_Smax,G1773),AE1772+AD1773)),AE1772)</x:f>
        <x:v>15</x:v>
      </x:c>
      <x:c r="AF1773" s="8" t="n">
        <x:f>MAX(0,AE1773-AE1772)</x:f>
        <x:v>0</x:v>
      </x:c>
      <x:c r="AG1773" s="9" t="str">
        <x:f>IF(AF1773&gt;0,B1773,"")</x:f>
      </x:c>
      <x:c r="AH1773" s="9" t="n">
        <x:f>IF(F1773&gt;=1,1,(1+v01_LowTiesShare*(AE1773-1))/AE1773)</x:f>
        <x:v>1</x:v>
      </x:c>
      <x:c r="AI1773" s="32" t="n">
        <x:f>(Z1773+v01_ElderCommons*INDEX(LM_Elder,G1773)*AA1773)*AH1773</x:f>
        <x:v>64139.732591141874</x:v>
      </x:c>
      <x:c r="AJ1773" s="32" t="n">
        <x:f>H1773*v01_CommonsCoef*AI1773^v01_CommonsExp*INDEX(LM_Commons,G1773)</x:f>
        <x:v>0</x:v>
      </x:c>
      <x:c r="AK1773" s="32" t="n">
        <x:f>H1773*v01_RoleScale*Arch_Roles*(AE1773*(INDEX(v01_ElderRolePerSett,G1773)*v01_OutElder*INDEX(LM_Elder,G1773)+INDEX(v01_ShamanPerSett,G1773)*v01_OutShaman)+Z1773*(INDEX(v01_PriestShare,G1773)*v01_OutPriest+INDEX(v01_ScribeShare,G1773)*v01_OutScribe*INDEX(LM_Scribe,G1773)+INDEX(v01_ScholarShare,G1773)*v01_OutScholar*INDEX(LM_Scholar,G1773)+INDEX(v01_ResearcherShare,G1773)*v01_OutResearcher*INDEX(LM_Researcher,G1773)))</x:f>
        <x:v>0</x:v>
      </x:c>
      <x:c r="AL1773" s="32" t="n">
        <x:f>H1773*v01_RoleScale*Arch_Roles*AE1773*INDEX(v01_MonasteryPerSett,G1773)*v01_OutMonastery*INDEX(LM_Monastery,G1773)</x:f>
        <x:v>0</x:v>
      </x:c>
      <x:c r="AM1773" s="32" t="n">
        <x:f>(AJ1773+AK1773+AL1773)/4*INDEX(LM_All,G1773)*INDEX(v01_Boon,G1773)*Arch_Insight</x:f>
        <x:v>0</x:v>
      </x:c>
      <x:c r="AN1773" s="32" t="n">
        <x:f>H1773*(v01_KHPerAdult*Z1773+v01_KHOfCommons*AJ1773/4*INDEX(LM_All,G1773))*v01_KHUsable*Arch_KH</x:f>
        <x:v>0</x:v>
      </x:c>
      <x:c r="AO1773" s="32" t="n">
        <x:f>MIN(AP1772+AN1773,AM1773*v01_KHMaxRatio)</x:f>
        <x:v>0</x:v>
      </x:c>
      <x:c r="AP1773" s="32" t="n">
        <x:f>AP1772+AN1773-AO1773</x:f>
        <x:v>0</x:v>
      </x:c>
      <x:c r="AQ1773" s="32" t="n">
        <x:f>AM1773+AO1773</x:f>
        <x:v>0</x:v>
      </x:c>
      <x:c r="AR1773" s="10" t="n">
        <x:f>IF(H1773=1,INDEX(v01_Req,G1773),0)</x:f>
        <x:v>0</x:v>
      </x:c>
      <x:c r="AS1773" s="32" t="n">
        <x:f>IF(H1773=1,IF(E1773=1,AS1772-AR1772,AS1772)+AQ1773,0)</x:f>
        <x:v>0</x:v>
      </x:c>
      <x:c r="AT1773" s="11" t="n">
        <x:f>IF(AR1773&gt;0,MIN(1,AS1773/AR1773),1)</x:f>
        <x:v>1</x:v>
      </x:c>
      <x:c r="AU1773" s="10" t="n">
        <x:f>AB1773/INDEX(v01_RepScale,G1773)</x:f>
        <x:v>90.09519605746344</x:v>
      </x:c>
      <x:c r="AV1773" s="32" t="n">
        <x:f>AM1773*60/v01_SeasonSeconds</x:f>
        <x:v>0</x:v>
      </x:c>
    </x:row>
    <x:row r="1774">
      <x:c r="A1774" s="8" t="n">
        <x:f>A1773+1</x:f>
        <x:v>1771</x:v>
      </x:c>
      <x:c r="B1774" s="9" t="n">
        <x:f>A1774*v01_SeasonSeconds/60</x:f>
        <x:v>442.75</x:v>
      </x:c>
      <x:c r="C1774" s="9" t="n">
        <x:f>A1774/4</x:f>
        <x:v>442.75</x:v>
      </x:c>
      <x:c r="D1774" s="8" t="n">
        <x:f>IF(MOD(A1774,4)=0,1,0)</x:f>
        <x:v>0</x:v>
      </x:c>
      <x:c r="E1774" s="8" t="n">
        <x:f>IF(AND(F1773&lt;=9,AS1773&gt;=AR1773),1,0)</x:f>
        <x:v>0</x:v>
      </x:c>
      <x:c r="F1774" s="8" t="n">
        <x:f>MIN(10,F1773+E1774)</x:f>
        <x:v>10</x:v>
      </x:c>
      <x:c r="G1774" s="8" t="n">
        <x:f>MIN(F1774,9)+1</x:f>
        <x:v>10</x:v>
      </x:c>
      <x:c r="H1774" s="8" t="n">
        <x:f>IF(F1774&lt;=9,1,0)</x:f>
        <x:v>0</x:v>
      </x:c>
      <x:c r="I1774" s="9" t="n">
        <x:f>MIN(10,F1773+IF(AR1773&gt;0,MIN(1,AS1773/AR1773),1))</x:f>
        <x:v>10</x:v>
      </x:c>
      <x:c r="J1774" s="32" t="n">
        <x:f>INDEX(v01_FoodCap,G1774)*Arch_FoodCap*EXP(v01_CapsByProject*SUMPRODUCT((Cap_Point&lt;=I1774)*(Cap_Kind="Food")*Cap_Ln))</x:f>
        <x:v>12000</x:v>
      </x:c>
      <x:c r="K1774" s="32" t="n">
        <x:f>J1774*MIN(1,v01_LeanBase*EXP(v01_CapsByProject*SUMPRODUCT((Cap_Point&lt;=I1774)*(Cap_Kind="Lean")*Cap_Ln)))</x:f>
        <x:v>12000</x:v>
      </x:c>
      <x:c r="L1774" s="10" t="n">
        <x:f>INDEX(v01_HousingCap,G1774)*EXP(v01_CapsByProject*SUMPRODUCT((Cap_Point&lt;=I1774)*(Cap_Kind="Housing")*Cap_Ln))</x:f>
        <x:v>20000</x:v>
      </x:c>
      <x:c r="M1774" s="10" t="n">
        <x:f>INDEX(v01_GroupCap,G1774)*v01_CohesionFactor*EXP(v01_CapsByProject*SUMPRODUCT((Cap_Point&lt;=I1774)*(Cap_Kind="Group")*Cap_Ln))</x:f>
        <x:v>1000000</x:v>
      </x:c>
      <x:c r="N1774" s="32" t="n">
        <x:f>MIN(J1774,L1774,M1774)</x:f>
        <x:v>12000</x:v>
      </x:c>
      <x:c r="O1774" s="10" t="n">
        <x:f>AE1773*N1774</x:f>
        <x:v>180000</x:v>
      </x:c>
      <x:c r="P1774" s="9" t="n">
        <x:f>MIN(1,(AB1773/(AE1773*IF(v01_GroupInCrowding=1,N1774,MIN(J1774,L1774))))^v01_CrowdingExp)</x:f>
        <x:v>0.00024569414295285325</x:v>
      </x:c>
      <x:c r="Q1774" s="9" t="n">
        <x:f>IF(D1774=1,INDEX(v01_WinterMult,G1774),1)</x:f>
        <x:v>1</x:v>
      </x:c>
      <x:c r="R1774" s="9" t="n">
        <x:f>H1774*Z1773*v01_WomenShare*v01_BaseFertility*INDEX(v01_FertMult,G1774)*Arch_Fertility*(1-P1774)</x:f>
        <x:v>0</x:v>
      </x:c>
      <x:c r="S1774" s="9" t="n">
        <x:f>H1774*Y1773*INDEX(v01_MortChild,G1774)/4*Q1774</x:f>
        <x:v>0</x:v>
      </x:c>
      <x:c r="T1774" s="9" t="n">
        <x:f>H1774*Z1773*INDEX(v01_MortAdult,G1774)*Arch_AdultMort/4*Q1774</x:f>
        <x:v>0</x:v>
      </x:c>
      <x:c r="U1774" s="9" t="n">
        <x:f>H1774*AA1773*INDEX(v01_MortElder,G1774)/4*Q1774</x:f>
        <x:v>0</x:v>
      </x:c>
      <x:c r="V1774" s="9" t="n">
        <x:f>H1774*MAX(0,AB1773-O1774)*v01_OvercapLoss</x:f>
        <x:v>0</x:v>
      </x:c>
      <x:c r="W1774" s="9" t="n">
        <x:f>H1774*Y1773/(v01_ChildYears*4)</x:f>
        <x:v>0</x:v>
      </x:c>
      <x:c r="X1774" s="9" t="n">
        <x:f>H1774*Z1773/(v01_AdultYears*4)</x:f>
        <x:v>0</x:v>
      </x:c>
      <x:c r="Y1774" s="32" t="n">
        <x:f>Y1773+R1774-S1774-W1774-Y1773*V1774/AB1773</x:f>
        <x:v>14306.18539759397</x:v>
      </x:c>
      <x:c r="Z1774" s="32" t="n">
        <x:f>Z1773+W1774-X1774-T1774-Z1773*V1774/AB1773</x:f>
        <x:v>19354.456567879548</x:v>
      </x:c>
      <x:c r="AA1774" s="32" t="n">
        <x:f>AA1773+X1774-U1774-AA1773*V1774/AB1773</x:f>
        <x:v>11386.956063258198</x:v>
      </x:c>
      <x:c r="AB1774" s="10" t="n">
        <x:f>Y1774+Z1774+AA1774</x:f>
        <x:v>45047.59802873172</x:v>
      </x:c>
      <x:c r="AC1774" s="8" t="n">
        <x:f>IF(AND(v01_WinterTrigger=1,D1774=1,AB1773/AE1773&gt;=K1774),1,0)</x:f>
        <x:v>0</x:v>
      </x:c>
      <x:c r="AD1774" s="8" t="n">
        <x:f>H1774*IF(AND(OR(AB1773/AE1773&gt;=v01_FissionTrigger*N1774,AC1774=1),AB1773/AE1773*v01_DaughterShare&gt;=v01_MinDaughter),MAX(1,ROUND(AE1773*v01_FissionRate,0)),0)</x:f>
        <x:v>0</x:v>
      </x:c>
      <x:c r="AE1774" s="8" t="n">
        <x:f>IF(H1774=1,MAX(1,MIN(INDEX(v01_Smax,G1774),AE1773+AD1774)),AE1773)</x:f>
        <x:v>15</x:v>
      </x:c>
      <x:c r="AF1774" s="8" t="n">
        <x:f>MAX(0,AE1774-AE1773)</x:f>
        <x:v>0</x:v>
      </x:c>
      <x:c r="AG1774" s="9" t="str">
        <x:f>IF(AF1774&gt;0,B1774,"")</x:f>
      </x:c>
      <x:c r="AH1774" s="9" t="n">
        <x:f>IF(F1774&gt;=1,1,(1+v01_LowTiesShare*(AE1774-1))/AE1774)</x:f>
        <x:v>1</x:v>
      </x:c>
      <x:c r="AI1774" s="32" t="n">
        <x:f>(Z1774+v01_ElderCommons*INDEX(LM_Elder,G1774)*AA1774)*AH1774</x:f>
        <x:v>64139.732591141874</x:v>
      </x:c>
      <x:c r="AJ1774" s="32" t="n">
        <x:f>H1774*v01_CommonsCoef*AI1774^v01_CommonsExp*INDEX(LM_Commons,G1774)</x:f>
        <x:v>0</x:v>
      </x:c>
      <x:c r="AK1774" s="32" t="n">
        <x:f>H1774*v01_RoleScale*Arch_Roles*(AE1774*(INDEX(v01_ElderRolePerSett,G1774)*v01_OutElder*INDEX(LM_Elder,G1774)+INDEX(v01_ShamanPerSett,G1774)*v01_OutShaman)+Z1774*(INDEX(v01_PriestShare,G1774)*v01_OutPriest+INDEX(v01_ScribeShare,G1774)*v01_OutScribe*INDEX(LM_Scribe,G1774)+INDEX(v01_ScholarShare,G1774)*v01_OutScholar*INDEX(LM_Scholar,G1774)+INDEX(v01_ResearcherShare,G1774)*v01_OutResearcher*INDEX(LM_Researcher,G1774)))</x:f>
        <x:v>0</x:v>
      </x:c>
      <x:c r="AL1774" s="32" t="n">
        <x:f>H1774*v01_RoleScale*Arch_Roles*AE1774*INDEX(v01_MonasteryPerSett,G1774)*v01_OutMonastery*INDEX(LM_Monastery,G1774)</x:f>
        <x:v>0</x:v>
      </x:c>
      <x:c r="AM1774" s="32" t="n">
        <x:f>(AJ1774+AK1774+AL1774)/4*INDEX(LM_All,G1774)*INDEX(v01_Boon,G1774)*Arch_Insight</x:f>
        <x:v>0</x:v>
      </x:c>
      <x:c r="AN1774" s="32" t="n">
        <x:f>H1774*(v01_KHPerAdult*Z1774+v01_KHOfCommons*AJ1774/4*INDEX(LM_All,G1774))*v01_KHUsable*Arch_KH</x:f>
        <x:v>0</x:v>
      </x:c>
      <x:c r="AO1774" s="32" t="n">
        <x:f>MIN(AP1773+AN1774,AM1774*v01_KHMaxRatio)</x:f>
        <x:v>0</x:v>
      </x:c>
      <x:c r="AP1774" s="32" t="n">
        <x:f>AP1773+AN1774-AO1774</x:f>
        <x:v>0</x:v>
      </x:c>
      <x:c r="AQ1774" s="32" t="n">
        <x:f>AM1774+AO1774</x:f>
        <x:v>0</x:v>
      </x:c>
      <x:c r="AR1774" s="10" t="n">
        <x:f>IF(H1774=1,INDEX(v01_Req,G1774),0)</x:f>
        <x:v>0</x:v>
      </x:c>
      <x:c r="AS1774" s="32" t="n">
        <x:f>IF(H1774=1,IF(E1774=1,AS1773-AR1773,AS1773)+AQ1774,0)</x:f>
        <x:v>0</x:v>
      </x:c>
      <x:c r="AT1774" s="11" t="n">
        <x:f>IF(AR1774&gt;0,MIN(1,AS1774/AR1774),1)</x:f>
        <x:v>1</x:v>
      </x:c>
      <x:c r="AU1774" s="10" t="n">
        <x:f>AB1774/INDEX(v01_RepScale,G1774)</x:f>
        <x:v>90.09519605746344</x:v>
      </x:c>
      <x:c r="AV1774" s="32" t="n">
        <x:f>AM1774*60/v01_SeasonSeconds</x:f>
        <x:v>0</x:v>
      </x:c>
    </x:row>
    <x:row r="1775">
      <x:c r="A1775" s="8" t="n">
        <x:f>A1774+1</x:f>
        <x:v>1772</x:v>
      </x:c>
      <x:c r="B1775" s="9" t="n">
        <x:f>A1775*v01_SeasonSeconds/60</x:f>
        <x:v>443</x:v>
      </x:c>
      <x:c r="C1775" s="9" t="n">
        <x:f>A1775/4</x:f>
        <x:v>443</x:v>
      </x:c>
      <x:c r="D1775" s="8" t="n">
        <x:f>IF(MOD(A1775,4)=0,1,0)</x:f>
        <x:v>1</x:v>
      </x:c>
      <x:c r="E1775" s="8" t="n">
        <x:f>IF(AND(F1774&lt;=9,AS1774&gt;=AR1774),1,0)</x:f>
        <x:v>0</x:v>
      </x:c>
      <x:c r="F1775" s="8" t="n">
        <x:f>MIN(10,F1774+E1775)</x:f>
        <x:v>10</x:v>
      </x:c>
      <x:c r="G1775" s="8" t="n">
        <x:f>MIN(F1775,9)+1</x:f>
        <x:v>10</x:v>
      </x:c>
      <x:c r="H1775" s="8" t="n">
        <x:f>IF(F1775&lt;=9,1,0)</x:f>
        <x:v>0</x:v>
      </x:c>
      <x:c r="I1775" s="9" t="n">
        <x:f>MIN(10,F1774+IF(AR1774&gt;0,MIN(1,AS1774/AR1774),1))</x:f>
        <x:v>10</x:v>
      </x:c>
      <x:c r="J1775" s="32" t="n">
        <x:f>INDEX(v01_FoodCap,G1775)*Arch_FoodCap*EXP(v01_CapsByProject*SUMPRODUCT((Cap_Point&lt;=I1775)*(Cap_Kind="Food")*Cap_Ln))</x:f>
        <x:v>12000</x:v>
      </x:c>
      <x:c r="K1775" s="32" t="n">
        <x:f>J1775*MIN(1,v01_LeanBase*EXP(v01_CapsByProject*SUMPRODUCT((Cap_Point&lt;=I1775)*(Cap_Kind="Lean")*Cap_Ln)))</x:f>
        <x:v>12000</x:v>
      </x:c>
      <x:c r="L1775" s="10" t="n">
        <x:f>INDEX(v01_HousingCap,G1775)*EXP(v01_CapsByProject*SUMPRODUCT((Cap_Point&lt;=I1775)*(Cap_Kind="Housing")*Cap_Ln))</x:f>
        <x:v>20000</x:v>
      </x:c>
      <x:c r="M1775" s="10" t="n">
        <x:f>INDEX(v01_GroupCap,G1775)*v01_CohesionFactor*EXP(v01_CapsByProject*SUMPRODUCT((Cap_Point&lt;=I1775)*(Cap_Kind="Group")*Cap_Ln))</x:f>
        <x:v>1000000</x:v>
      </x:c>
      <x:c r="N1775" s="32" t="n">
        <x:f>MIN(J1775,L1775,M1775)</x:f>
        <x:v>12000</x:v>
      </x:c>
      <x:c r="O1775" s="10" t="n">
        <x:f>AE1774*N1775</x:f>
        <x:v>180000</x:v>
      </x:c>
      <x:c r="P1775" s="9" t="n">
        <x:f>MIN(1,(AB1774/(AE1774*IF(v01_GroupInCrowding=1,N1775,MIN(J1775,L1775))))^v01_CrowdingExp)</x:f>
        <x:v>0.00024569414295285325</x:v>
      </x:c>
      <x:c r="Q1775" s="9" t="n">
        <x:f>IF(D1775=1,INDEX(v01_WinterMult,G1775),1)</x:f>
        <x:v>1</x:v>
      </x:c>
      <x:c r="R1775" s="9" t="n">
        <x:f>H1775*Z1774*v01_WomenShare*v01_BaseFertility*INDEX(v01_FertMult,G1775)*Arch_Fertility*(1-P1775)</x:f>
        <x:v>0</x:v>
      </x:c>
      <x:c r="S1775" s="9" t="n">
        <x:f>H1775*Y1774*INDEX(v01_MortChild,G1775)/4*Q1775</x:f>
        <x:v>0</x:v>
      </x:c>
      <x:c r="T1775" s="9" t="n">
        <x:f>H1775*Z1774*INDEX(v01_MortAdult,G1775)*Arch_AdultMort/4*Q1775</x:f>
        <x:v>0</x:v>
      </x:c>
      <x:c r="U1775" s="9" t="n">
        <x:f>H1775*AA1774*INDEX(v01_MortElder,G1775)/4*Q1775</x:f>
        <x:v>0</x:v>
      </x:c>
      <x:c r="V1775" s="9" t="n">
        <x:f>H1775*MAX(0,AB1774-O1775)*v01_OvercapLoss</x:f>
        <x:v>0</x:v>
      </x:c>
      <x:c r="W1775" s="9" t="n">
        <x:f>H1775*Y1774/(v01_ChildYears*4)</x:f>
        <x:v>0</x:v>
      </x:c>
      <x:c r="X1775" s="9" t="n">
        <x:f>H1775*Z1774/(v01_AdultYears*4)</x:f>
        <x:v>0</x:v>
      </x:c>
      <x:c r="Y1775" s="32" t="n">
        <x:f>Y1774+R1775-S1775-W1775-Y1774*V1775/AB1774</x:f>
        <x:v>14306.18539759397</x:v>
      </x:c>
      <x:c r="Z1775" s="32" t="n">
        <x:f>Z1774+W1775-X1775-T1775-Z1774*V1775/AB1774</x:f>
        <x:v>19354.456567879548</x:v>
      </x:c>
      <x:c r="AA1775" s="32" t="n">
        <x:f>AA1774+X1775-U1775-AA1774*V1775/AB1774</x:f>
        <x:v>11386.956063258198</x:v>
      </x:c>
      <x:c r="AB1775" s="10" t="n">
        <x:f>Y1775+Z1775+AA1775</x:f>
        <x:v>45047.59802873172</x:v>
      </x:c>
      <x:c r="AC1775" s="8" t="n">
        <x:f>IF(AND(v01_WinterTrigger=1,D1775=1,AB1774/AE1774&gt;=K1775),1,0)</x:f>
        <x:v>0</x:v>
      </x:c>
      <x:c r="AD1775" s="8" t="n">
        <x:f>H1775*IF(AND(OR(AB1774/AE1774&gt;=v01_FissionTrigger*N1775,AC1775=1),AB1774/AE1774*v01_DaughterShare&gt;=v01_MinDaughter),MAX(1,ROUND(AE1774*v01_FissionRate,0)),0)</x:f>
        <x:v>0</x:v>
      </x:c>
      <x:c r="AE1775" s="8" t="n">
        <x:f>IF(H1775=1,MAX(1,MIN(INDEX(v01_Smax,G1775),AE1774+AD1775)),AE1774)</x:f>
        <x:v>15</x:v>
      </x:c>
      <x:c r="AF1775" s="8" t="n">
        <x:f>MAX(0,AE1775-AE1774)</x:f>
        <x:v>0</x:v>
      </x:c>
      <x:c r="AG1775" s="9" t="str">
        <x:f>IF(AF1775&gt;0,B1775,"")</x:f>
      </x:c>
      <x:c r="AH1775" s="9" t="n">
        <x:f>IF(F1775&gt;=1,1,(1+v01_LowTiesShare*(AE1775-1))/AE1775)</x:f>
        <x:v>1</x:v>
      </x:c>
      <x:c r="AI1775" s="32" t="n">
        <x:f>(Z1775+v01_ElderCommons*INDEX(LM_Elder,G1775)*AA1775)*AH1775</x:f>
        <x:v>64139.732591141874</x:v>
      </x:c>
      <x:c r="AJ1775" s="32" t="n">
        <x:f>H1775*v01_CommonsCoef*AI1775^v01_CommonsExp*INDEX(LM_Commons,G1775)</x:f>
        <x:v>0</x:v>
      </x:c>
      <x:c r="AK1775" s="32" t="n">
        <x:f>H1775*v01_RoleScale*Arch_Roles*(AE1775*(INDEX(v01_ElderRolePerSett,G1775)*v01_OutElder*INDEX(LM_Elder,G1775)+INDEX(v01_ShamanPerSett,G1775)*v01_OutShaman)+Z1775*(INDEX(v01_PriestShare,G1775)*v01_OutPriest+INDEX(v01_ScribeShare,G1775)*v01_OutScribe*INDEX(LM_Scribe,G1775)+INDEX(v01_ScholarShare,G1775)*v01_OutScholar*INDEX(LM_Scholar,G1775)+INDEX(v01_ResearcherShare,G1775)*v01_OutResearcher*INDEX(LM_Researcher,G1775)))</x:f>
        <x:v>0</x:v>
      </x:c>
      <x:c r="AL1775" s="32" t="n">
        <x:f>H1775*v01_RoleScale*Arch_Roles*AE1775*INDEX(v01_MonasteryPerSett,G1775)*v01_OutMonastery*INDEX(LM_Monastery,G1775)</x:f>
        <x:v>0</x:v>
      </x:c>
      <x:c r="AM1775" s="32" t="n">
        <x:f>(AJ1775+AK1775+AL1775)/4*INDEX(LM_All,G1775)*INDEX(v01_Boon,G1775)*Arch_Insight</x:f>
        <x:v>0</x:v>
      </x:c>
      <x:c r="AN1775" s="32" t="n">
        <x:f>H1775*(v01_KHPerAdult*Z1775+v01_KHOfCommons*AJ1775/4*INDEX(LM_All,G1775))*v01_KHUsable*Arch_KH</x:f>
        <x:v>0</x:v>
      </x:c>
      <x:c r="AO1775" s="32" t="n">
        <x:f>MIN(AP1774+AN1775,AM1775*v01_KHMaxRatio)</x:f>
        <x:v>0</x:v>
      </x:c>
      <x:c r="AP1775" s="32" t="n">
        <x:f>AP1774+AN1775-AO1775</x:f>
        <x:v>0</x:v>
      </x:c>
      <x:c r="AQ1775" s="32" t="n">
        <x:f>AM1775+AO1775</x:f>
        <x:v>0</x:v>
      </x:c>
      <x:c r="AR1775" s="10" t="n">
        <x:f>IF(H1775=1,INDEX(v01_Req,G1775),0)</x:f>
        <x:v>0</x:v>
      </x:c>
      <x:c r="AS1775" s="32" t="n">
        <x:f>IF(H1775=1,IF(E1775=1,AS1774-AR1774,AS1774)+AQ1775,0)</x:f>
        <x:v>0</x:v>
      </x:c>
      <x:c r="AT1775" s="11" t="n">
        <x:f>IF(AR1775&gt;0,MIN(1,AS1775/AR1775),1)</x:f>
        <x:v>1</x:v>
      </x:c>
      <x:c r="AU1775" s="10" t="n">
        <x:f>AB1775/INDEX(v01_RepScale,G1775)</x:f>
        <x:v>90.09519605746344</x:v>
      </x:c>
      <x:c r="AV1775" s="32" t="n">
        <x:f>AM1775*60/v01_SeasonSeconds</x:f>
        <x:v>0</x:v>
      </x:c>
    </x:row>
    <x:row r="1776">
      <x:c r="A1776" s="8" t="n">
        <x:f>A1775+1</x:f>
        <x:v>1773</x:v>
      </x:c>
      <x:c r="B1776" s="9" t="n">
        <x:f>A1776*v01_SeasonSeconds/60</x:f>
        <x:v>443.25</x:v>
      </x:c>
      <x:c r="C1776" s="9" t="n">
        <x:f>A1776/4</x:f>
        <x:v>443.25</x:v>
      </x:c>
      <x:c r="D1776" s="8" t="n">
        <x:f>IF(MOD(A1776,4)=0,1,0)</x:f>
        <x:v>0</x:v>
      </x:c>
      <x:c r="E1776" s="8" t="n">
        <x:f>IF(AND(F1775&lt;=9,AS1775&gt;=AR1775),1,0)</x:f>
        <x:v>0</x:v>
      </x:c>
      <x:c r="F1776" s="8" t="n">
        <x:f>MIN(10,F1775+E1776)</x:f>
        <x:v>10</x:v>
      </x:c>
      <x:c r="G1776" s="8" t="n">
        <x:f>MIN(F1776,9)+1</x:f>
        <x:v>10</x:v>
      </x:c>
      <x:c r="H1776" s="8" t="n">
        <x:f>IF(F1776&lt;=9,1,0)</x:f>
        <x:v>0</x:v>
      </x:c>
      <x:c r="I1776" s="9" t="n">
        <x:f>MIN(10,F1775+IF(AR1775&gt;0,MIN(1,AS1775/AR1775),1))</x:f>
        <x:v>10</x:v>
      </x:c>
      <x:c r="J1776" s="32" t="n">
        <x:f>INDEX(v01_FoodCap,G1776)*Arch_FoodCap*EXP(v01_CapsByProject*SUMPRODUCT((Cap_Point&lt;=I1776)*(Cap_Kind="Food")*Cap_Ln))</x:f>
        <x:v>12000</x:v>
      </x:c>
      <x:c r="K1776" s="32" t="n">
        <x:f>J1776*MIN(1,v01_LeanBase*EXP(v01_CapsByProject*SUMPRODUCT((Cap_Point&lt;=I1776)*(Cap_Kind="Lean")*Cap_Ln)))</x:f>
        <x:v>12000</x:v>
      </x:c>
      <x:c r="L1776" s="10" t="n">
        <x:f>INDEX(v01_HousingCap,G1776)*EXP(v01_CapsByProject*SUMPRODUCT((Cap_Point&lt;=I1776)*(Cap_Kind="Housing")*Cap_Ln))</x:f>
        <x:v>20000</x:v>
      </x:c>
      <x:c r="M1776" s="10" t="n">
        <x:f>INDEX(v01_GroupCap,G1776)*v01_CohesionFactor*EXP(v01_CapsByProject*SUMPRODUCT((Cap_Point&lt;=I1776)*(Cap_Kind="Group")*Cap_Ln))</x:f>
        <x:v>1000000</x:v>
      </x:c>
      <x:c r="N1776" s="32" t="n">
        <x:f>MIN(J1776,L1776,M1776)</x:f>
        <x:v>12000</x:v>
      </x:c>
      <x:c r="O1776" s="10" t="n">
        <x:f>AE1775*N1776</x:f>
        <x:v>180000</x:v>
      </x:c>
      <x:c r="P1776" s="9" t="n">
        <x:f>MIN(1,(AB1775/(AE1775*IF(v01_GroupInCrowding=1,N1776,MIN(J1776,L1776))))^v01_CrowdingExp)</x:f>
        <x:v>0.00024569414295285325</x:v>
      </x:c>
      <x:c r="Q1776" s="9" t="n">
        <x:f>IF(D1776=1,INDEX(v01_WinterMult,G1776),1)</x:f>
        <x:v>1</x:v>
      </x:c>
      <x:c r="R1776" s="9" t="n">
        <x:f>H1776*Z1775*v01_WomenShare*v01_BaseFertility*INDEX(v01_FertMult,G1776)*Arch_Fertility*(1-P1776)</x:f>
        <x:v>0</x:v>
      </x:c>
      <x:c r="S1776" s="9" t="n">
        <x:f>H1776*Y1775*INDEX(v01_MortChild,G1776)/4*Q1776</x:f>
        <x:v>0</x:v>
      </x:c>
      <x:c r="T1776" s="9" t="n">
        <x:f>H1776*Z1775*INDEX(v01_MortAdult,G1776)*Arch_AdultMort/4*Q1776</x:f>
        <x:v>0</x:v>
      </x:c>
      <x:c r="U1776" s="9" t="n">
        <x:f>H1776*AA1775*INDEX(v01_MortElder,G1776)/4*Q1776</x:f>
        <x:v>0</x:v>
      </x:c>
      <x:c r="V1776" s="9" t="n">
        <x:f>H1776*MAX(0,AB1775-O1776)*v01_OvercapLoss</x:f>
        <x:v>0</x:v>
      </x:c>
      <x:c r="W1776" s="9" t="n">
        <x:f>H1776*Y1775/(v01_ChildYears*4)</x:f>
        <x:v>0</x:v>
      </x:c>
      <x:c r="X1776" s="9" t="n">
        <x:f>H1776*Z1775/(v01_AdultYears*4)</x:f>
        <x:v>0</x:v>
      </x:c>
      <x:c r="Y1776" s="32" t="n">
        <x:f>Y1775+R1776-S1776-W1776-Y1775*V1776/AB1775</x:f>
        <x:v>14306.18539759397</x:v>
      </x:c>
      <x:c r="Z1776" s="32" t="n">
        <x:f>Z1775+W1776-X1776-T1776-Z1775*V1776/AB1775</x:f>
        <x:v>19354.456567879548</x:v>
      </x:c>
      <x:c r="AA1776" s="32" t="n">
        <x:f>AA1775+X1776-U1776-AA1775*V1776/AB1775</x:f>
        <x:v>11386.956063258198</x:v>
      </x:c>
      <x:c r="AB1776" s="10" t="n">
        <x:f>Y1776+Z1776+AA1776</x:f>
        <x:v>45047.59802873172</x:v>
      </x:c>
      <x:c r="AC1776" s="8" t="n">
        <x:f>IF(AND(v01_WinterTrigger=1,D1776=1,AB1775/AE1775&gt;=K1776),1,0)</x:f>
        <x:v>0</x:v>
      </x:c>
      <x:c r="AD1776" s="8" t="n">
        <x:f>H1776*IF(AND(OR(AB1775/AE1775&gt;=v01_FissionTrigger*N1776,AC1776=1),AB1775/AE1775*v01_DaughterShare&gt;=v01_MinDaughter),MAX(1,ROUND(AE1775*v01_FissionRate,0)),0)</x:f>
        <x:v>0</x:v>
      </x:c>
      <x:c r="AE1776" s="8" t="n">
        <x:f>IF(H1776=1,MAX(1,MIN(INDEX(v01_Smax,G1776),AE1775+AD1776)),AE1775)</x:f>
        <x:v>15</x:v>
      </x:c>
      <x:c r="AF1776" s="8" t="n">
        <x:f>MAX(0,AE1776-AE1775)</x:f>
        <x:v>0</x:v>
      </x:c>
      <x:c r="AG1776" s="9" t="str">
        <x:f>IF(AF1776&gt;0,B1776,"")</x:f>
      </x:c>
      <x:c r="AH1776" s="9" t="n">
        <x:f>IF(F1776&gt;=1,1,(1+v01_LowTiesShare*(AE1776-1))/AE1776)</x:f>
        <x:v>1</x:v>
      </x:c>
      <x:c r="AI1776" s="32" t="n">
        <x:f>(Z1776+v01_ElderCommons*INDEX(LM_Elder,G1776)*AA1776)*AH1776</x:f>
        <x:v>64139.732591141874</x:v>
      </x:c>
      <x:c r="AJ1776" s="32" t="n">
        <x:f>H1776*v01_CommonsCoef*AI1776^v01_CommonsExp*INDEX(LM_Commons,G1776)</x:f>
        <x:v>0</x:v>
      </x:c>
      <x:c r="AK1776" s="32" t="n">
        <x:f>H1776*v01_RoleScale*Arch_Roles*(AE1776*(INDEX(v01_ElderRolePerSett,G1776)*v01_OutElder*INDEX(LM_Elder,G1776)+INDEX(v01_ShamanPerSett,G1776)*v01_OutShaman)+Z1776*(INDEX(v01_PriestShare,G1776)*v01_OutPriest+INDEX(v01_ScribeShare,G1776)*v01_OutScribe*INDEX(LM_Scribe,G1776)+INDEX(v01_ScholarShare,G1776)*v01_OutScholar*INDEX(LM_Scholar,G1776)+INDEX(v01_ResearcherShare,G1776)*v01_OutResearcher*INDEX(LM_Researcher,G1776)))</x:f>
        <x:v>0</x:v>
      </x:c>
      <x:c r="AL1776" s="32" t="n">
        <x:f>H1776*v01_RoleScale*Arch_Roles*AE1776*INDEX(v01_MonasteryPerSett,G1776)*v01_OutMonastery*INDEX(LM_Monastery,G1776)</x:f>
        <x:v>0</x:v>
      </x:c>
      <x:c r="AM1776" s="32" t="n">
        <x:f>(AJ1776+AK1776+AL1776)/4*INDEX(LM_All,G1776)*INDEX(v01_Boon,G1776)*Arch_Insight</x:f>
        <x:v>0</x:v>
      </x:c>
      <x:c r="AN1776" s="32" t="n">
        <x:f>H1776*(v01_KHPerAdult*Z1776+v01_KHOfCommons*AJ1776/4*INDEX(LM_All,G1776))*v01_KHUsable*Arch_KH</x:f>
        <x:v>0</x:v>
      </x:c>
      <x:c r="AO1776" s="32" t="n">
        <x:f>MIN(AP1775+AN1776,AM1776*v01_KHMaxRatio)</x:f>
        <x:v>0</x:v>
      </x:c>
      <x:c r="AP1776" s="32" t="n">
        <x:f>AP1775+AN1776-AO1776</x:f>
        <x:v>0</x:v>
      </x:c>
      <x:c r="AQ1776" s="32" t="n">
        <x:f>AM1776+AO1776</x:f>
        <x:v>0</x:v>
      </x:c>
      <x:c r="AR1776" s="10" t="n">
        <x:f>IF(H1776=1,INDEX(v01_Req,G1776),0)</x:f>
        <x:v>0</x:v>
      </x:c>
      <x:c r="AS1776" s="32" t="n">
        <x:f>IF(H1776=1,IF(E1776=1,AS1775-AR1775,AS1775)+AQ1776,0)</x:f>
        <x:v>0</x:v>
      </x:c>
      <x:c r="AT1776" s="11" t="n">
        <x:f>IF(AR1776&gt;0,MIN(1,AS1776/AR1776),1)</x:f>
        <x:v>1</x:v>
      </x:c>
      <x:c r="AU1776" s="10" t="n">
        <x:f>AB1776/INDEX(v01_RepScale,G1776)</x:f>
        <x:v>90.09519605746344</x:v>
      </x:c>
      <x:c r="AV1776" s="32" t="n">
        <x:f>AM1776*60/v01_SeasonSeconds</x:f>
        <x:v>0</x:v>
      </x:c>
    </x:row>
    <x:row r="1777">
      <x:c r="A1777" s="8" t="n">
        <x:f>A1776+1</x:f>
        <x:v>1774</x:v>
      </x:c>
      <x:c r="B1777" s="9" t="n">
        <x:f>A1777*v01_SeasonSeconds/60</x:f>
        <x:v>443.5</x:v>
      </x:c>
      <x:c r="C1777" s="9" t="n">
        <x:f>A1777/4</x:f>
        <x:v>443.5</x:v>
      </x:c>
      <x:c r="D1777" s="8" t="n">
        <x:f>IF(MOD(A1777,4)=0,1,0)</x:f>
        <x:v>0</x:v>
      </x:c>
      <x:c r="E1777" s="8" t="n">
        <x:f>IF(AND(F1776&lt;=9,AS1776&gt;=AR1776),1,0)</x:f>
        <x:v>0</x:v>
      </x:c>
      <x:c r="F1777" s="8" t="n">
        <x:f>MIN(10,F1776+E1777)</x:f>
        <x:v>10</x:v>
      </x:c>
      <x:c r="G1777" s="8" t="n">
        <x:f>MIN(F1777,9)+1</x:f>
        <x:v>10</x:v>
      </x:c>
      <x:c r="H1777" s="8" t="n">
        <x:f>IF(F1777&lt;=9,1,0)</x:f>
        <x:v>0</x:v>
      </x:c>
      <x:c r="I1777" s="9" t="n">
        <x:f>MIN(10,F1776+IF(AR1776&gt;0,MIN(1,AS1776/AR1776),1))</x:f>
        <x:v>10</x:v>
      </x:c>
      <x:c r="J1777" s="32" t="n">
        <x:f>INDEX(v01_FoodCap,G1777)*Arch_FoodCap*EXP(v01_CapsByProject*SUMPRODUCT((Cap_Point&lt;=I1777)*(Cap_Kind="Food")*Cap_Ln))</x:f>
        <x:v>12000</x:v>
      </x:c>
      <x:c r="K1777" s="32" t="n">
        <x:f>J1777*MIN(1,v01_LeanBase*EXP(v01_CapsByProject*SUMPRODUCT((Cap_Point&lt;=I1777)*(Cap_Kind="Lean")*Cap_Ln)))</x:f>
        <x:v>12000</x:v>
      </x:c>
      <x:c r="L1777" s="10" t="n">
        <x:f>INDEX(v01_HousingCap,G1777)*EXP(v01_CapsByProject*SUMPRODUCT((Cap_Point&lt;=I1777)*(Cap_Kind="Housing")*Cap_Ln))</x:f>
        <x:v>20000</x:v>
      </x:c>
      <x:c r="M1777" s="10" t="n">
        <x:f>INDEX(v01_GroupCap,G1777)*v01_CohesionFactor*EXP(v01_CapsByProject*SUMPRODUCT((Cap_Point&lt;=I1777)*(Cap_Kind="Group")*Cap_Ln))</x:f>
        <x:v>1000000</x:v>
      </x:c>
      <x:c r="N1777" s="32" t="n">
        <x:f>MIN(J1777,L1777,M1777)</x:f>
        <x:v>12000</x:v>
      </x:c>
      <x:c r="O1777" s="10" t="n">
        <x:f>AE1776*N1777</x:f>
        <x:v>180000</x:v>
      </x:c>
      <x:c r="P1777" s="9" t="n">
        <x:f>MIN(1,(AB1776/(AE1776*IF(v01_GroupInCrowding=1,N1777,MIN(J1777,L1777))))^v01_CrowdingExp)</x:f>
        <x:v>0.00024569414295285325</x:v>
      </x:c>
      <x:c r="Q1777" s="9" t="n">
        <x:f>IF(D1777=1,INDEX(v01_WinterMult,G1777),1)</x:f>
        <x:v>1</x:v>
      </x:c>
      <x:c r="R1777" s="9" t="n">
        <x:f>H1777*Z1776*v01_WomenShare*v01_BaseFertility*INDEX(v01_FertMult,G1777)*Arch_Fertility*(1-P1777)</x:f>
        <x:v>0</x:v>
      </x:c>
      <x:c r="S1777" s="9" t="n">
        <x:f>H1777*Y1776*INDEX(v01_MortChild,G1777)/4*Q1777</x:f>
        <x:v>0</x:v>
      </x:c>
      <x:c r="T1777" s="9" t="n">
        <x:f>H1777*Z1776*INDEX(v01_MortAdult,G1777)*Arch_AdultMort/4*Q1777</x:f>
        <x:v>0</x:v>
      </x:c>
      <x:c r="U1777" s="9" t="n">
        <x:f>H1777*AA1776*INDEX(v01_MortElder,G1777)/4*Q1777</x:f>
        <x:v>0</x:v>
      </x:c>
      <x:c r="V1777" s="9" t="n">
        <x:f>H1777*MAX(0,AB1776-O1777)*v01_OvercapLoss</x:f>
        <x:v>0</x:v>
      </x:c>
      <x:c r="W1777" s="9" t="n">
        <x:f>H1777*Y1776/(v01_ChildYears*4)</x:f>
        <x:v>0</x:v>
      </x:c>
      <x:c r="X1777" s="9" t="n">
        <x:f>H1777*Z1776/(v01_AdultYears*4)</x:f>
        <x:v>0</x:v>
      </x:c>
      <x:c r="Y1777" s="32" t="n">
        <x:f>Y1776+R1777-S1777-W1777-Y1776*V1777/AB1776</x:f>
        <x:v>14306.18539759397</x:v>
      </x:c>
      <x:c r="Z1777" s="32" t="n">
        <x:f>Z1776+W1777-X1777-T1777-Z1776*V1777/AB1776</x:f>
        <x:v>19354.456567879548</x:v>
      </x:c>
      <x:c r="AA1777" s="32" t="n">
        <x:f>AA1776+X1777-U1777-AA1776*V1777/AB1776</x:f>
        <x:v>11386.956063258198</x:v>
      </x:c>
      <x:c r="AB1777" s="10" t="n">
        <x:f>Y1777+Z1777+AA1777</x:f>
        <x:v>45047.59802873172</x:v>
      </x:c>
      <x:c r="AC1777" s="8" t="n">
        <x:f>IF(AND(v01_WinterTrigger=1,D1777=1,AB1776/AE1776&gt;=K1777),1,0)</x:f>
        <x:v>0</x:v>
      </x:c>
      <x:c r="AD1777" s="8" t="n">
        <x:f>H1777*IF(AND(OR(AB1776/AE1776&gt;=v01_FissionTrigger*N1777,AC1777=1),AB1776/AE1776*v01_DaughterShare&gt;=v01_MinDaughter),MAX(1,ROUND(AE1776*v01_FissionRate,0)),0)</x:f>
        <x:v>0</x:v>
      </x:c>
      <x:c r="AE1777" s="8" t="n">
        <x:f>IF(H1777=1,MAX(1,MIN(INDEX(v01_Smax,G1777),AE1776+AD1777)),AE1776)</x:f>
        <x:v>15</x:v>
      </x:c>
      <x:c r="AF1777" s="8" t="n">
        <x:f>MAX(0,AE1777-AE1776)</x:f>
        <x:v>0</x:v>
      </x:c>
      <x:c r="AG1777" s="9" t="str">
        <x:f>IF(AF1777&gt;0,B1777,"")</x:f>
      </x:c>
      <x:c r="AH1777" s="9" t="n">
        <x:f>IF(F1777&gt;=1,1,(1+v01_LowTiesShare*(AE1777-1))/AE1777)</x:f>
        <x:v>1</x:v>
      </x:c>
      <x:c r="AI1777" s="32" t="n">
        <x:f>(Z1777+v01_ElderCommons*INDEX(LM_Elder,G1777)*AA1777)*AH1777</x:f>
        <x:v>64139.732591141874</x:v>
      </x:c>
      <x:c r="AJ1777" s="32" t="n">
        <x:f>H1777*v01_CommonsCoef*AI1777^v01_CommonsExp*INDEX(LM_Commons,G1777)</x:f>
        <x:v>0</x:v>
      </x:c>
      <x:c r="AK1777" s="32" t="n">
        <x:f>H1777*v01_RoleScale*Arch_Roles*(AE1777*(INDEX(v01_ElderRolePerSett,G1777)*v01_OutElder*INDEX(LM_Elder,G1777)+INDEX(v01_ShamanPerSett,G1777)*v01_OutShaman)+Z1777*(INDEX(v01_PriestShare,G1777)*v01_OutPriest+INDEX(v01_ScribeShare,G1777)*v01_OutScribe*INDEX(LM_Scribe,G1777)+INDEX(v01_ScholarShare,G1777)*v01_OutScholar*INDEX(LM_Scholar,G1777)+INDEX(v01_ResearcherShare,G1777)*v01_OutResearcher*INDEX(LM_Researcher,G1777)))</x:f>
        <x:v>0</x:v>
      </x:c>
      <x:c r="AL1777" s="32" t="n">
        <x:f>H1777*v01_RoleScale*Arch_Roles*AE1777*INDEX(v01_MonasteryPerSett,G1777)*v01_OutMonastery*INDEX(LM_Monastery,G1777)</x:f>
        <x:v>0</x:v>
      </x:c>
      <x:c r="AM1777" s="32" t="n">
        <x:f>(AJ1777+AK1777+AL1777)/4*INDEX(LM_All,G1777)*INDEX(v01_Boon,G1777)*Arch_Insight</x:f>
        <x:v>0</x:v>
      </x:c>
      <x:c r="AN1777" s="32" t="n">
        <x:f>H1777*(v01_KHPerAdult*Z1777+v01_KHOfCommons*AJ1777/4*INDEX(LM_All,G1777))*v01_KHUsable*Arch_KH</x:f>
        <x:v>0</x:v>
      </x:c>
      <x:c r="AO1777" s="32" t="n">
        <x:f>MIN(AP1776+AN1777,AM1777*v01_KHMaxRatio)</x:f>
        <x:v>0</x:v>
      </x:c>
      <x:c r="AP1777" s="32" t="n">
        <x:f>AP1776+AN1777-AO1777</x:f>
        <x:v>0</x:v>
      </x:c>
      <x:c r="AQ1777" s="32" t="n">
        <x:f>AM1777+AO1777</x:f>
        <x:v>0</x:v>
      </x:c>
      <x:c r="AR1777" s="10" t="n">
        <x:f>IF(H1777=1,INDEX(v01_Req,G1777),0)</x:f>
        <x:v>0</x:v>
      </x:c>
      <x:c r="AS1777" s="32" t="n">
        <x:f>IF(H1777=1,IF(E1777=1,AS1776-AR1776,AS1776)+AQ1777,0)</x:f>
        <x:v>0</x:v>
      </x:c>
      <x:c r="AT1777" s="11" t="n">
        <x:f>IF(AR1777&gt;0,MIN(1,AS1777/AR1777),1)</x:f>
        <x:v>1</x:v>
      </x:c>
      <x:c r="AU1777" s="10" t="n">
        <x:f>AB1777/INDEX(v01_RepScale,G1777)</x:f>
        <x:v>90.09519605746344</x:v>
      </x:c>
      <x:c r="AV1777" s="32" t="n">
        <x:f>AM1777*60/v01_SeasonSeconds</x:f>
        <x:v>0</x:v>
      </x:c>
    </x:row>
    <x:row r="1778">
      <x:c r="A1778" s="8" t="n">
        <x:f>A1777+1</x:f>
        <x:v>1775</x:v>
      </x:c>
      <x:c r="B1778" s="9" t="n">
        <x:f>A1778*v01_SeasonSeconds/60</x:f>
        <x:v>443.75</x:v>
      </x:c>
      <x:c r="C1778" s="9" t="n">
        <x:f>A1778/4</x:f>
        <x:v>443.75</x:v>
      </x:c>
      <x:c r="D1778" s="8" t="n">
        <x:f>IF(MOD(A1778,4)=0,1,0)</x:f>
        <x:v>0</x:v>
      </x:c>
      <x:c r="E1778" s="8" t="n">
        <x:f>IF(AND(F1777&lt;=9,AS1777&gt;=AR1777),1,0)</x:f>
        <x:v>0</x:v>
      </x:c>
      <x:c r="F1778" s="8" t="n">
        <x:f>MIN(10,F1777+E1778)</x:f>
        <x:v>10</x:v>
      </x:c>
      <x:c r="G1778" s="8" t="n">
        <x:f>MIN(F1778,9)+1</x:f>
        <x:v>10</x:v>
      </x:c>
      <x:c r="H1778" s="8" t="n">
        <x:f>IF(F1778&lt;=9,1,0)</x:f>
        <x:v>0</x:v>
      </x:c>
      <x:c r="I1778" s="9" t="n">
        <x:f>MIN(10,F1777+IF(AR1777&gt;0,MIN(1,AS1777/AR1777),1))</x:f>
        <x:v>10</x:v>
      </x:c>
      <x:c r="J1778" s="32" t="n">
        <x:f>INDEX(v01_FoodCap,G1778)*Arch_FoodCap*EXP(v01_CapsByProject*SUMPRODUCT((Cap_Point&lt;=I1778)*(Cap_Kind="Food")*Cap_Ln))</x:f>
        <x:v>12000</x:v>
      </x:c>
      <x:c r="K1778" s="32" t="n">
        <x:f>J1778*MIN(1,v01_LeanBase*EXP(v01_CapsByProject*SUMPRODUCT((Cap_Point&lt;=I1778)*(Cap_Kind="Lean")*Cap_Ln)))</x:f>
        <x:v>12000</x:v>
      </x:c>
      <x:c r="L1778" s="10" t="n">
        <x:f>INDEX(v01_HousingCap,G1778)*EXP(v01_CapsByProject*SUMPRODUCT((Cap_Point&lt;=I1778)*(Cap_Kind="Housing")*Cap_Ln))</x:f>
        <x:v>20000</x:v>
      </x:c>
      <x:c r="M1778" s="10" t="n">
        <x:f>INDEX(v01_GroupCap,G1778)*v01_CohesionFactor*EXP(v01_CapsByProject*SUMPRODUCT((Cap_Point&lt;=I1778)*(Cap_Kind="Group")*Cap_Ln))</x:f>
        <x:v>1000000</x:v>
      </x:c>
      <x:c r="N1778" s="32" t="n">
        <x:f>MIN(J1778,L1778,M1778)</x:f>
        <x:v>12000</x:v>
      </x:c>
      <x:c r="O1778" s="10" t="n">
        <x:f>AE1777*N1778</x:f>
        <x:v>180000</x:v>
      </x:c>
      <x:c r="P1778" s="9" t="n">
        <x:f>MIN(1,(AB1777/(AE1777*IF(v01_GroupInCrowding=1,N1778,MIN(J1778,L1778))))^v01_CrowdingExp)</x:f>
        <x:v>0.00024569414295285325</x:v>
      </x:c>
      <x:c r="Q1778" s="9" t="n">
        <x:f>IF(D1778=1,INDEX(v01_WinterMult,G1778),1)</x:f>
        <x:v>1</x:v>
      </x:c>
      <x:c r="R1778" s="9" t="n">
        <x:f>H1778*Z1777*v01_WomenShare*v01_BaseFertility*INDEX(v01_FertMult,G1778)*Arch_Fertility*(1-P1778)</x:f>
        <x:v>0</x:v>
      </x:c>
      <x:c r="S1778" s="9" t="n">
        <x:f>H1778*Y1777*INDEX(v01_MortChild,G1778)/4*Q1778</x:f>
        <x:v>0</x:v>
      </x:c>
      <x:c r="T1778" s="9" t="n">
        <x:f>H1778*Z1777*INDEX(v01_MortAdult,G1778)*Arch_AdultMort/4*Q1778</x:f>
        <x:v>0</x:v>
      </x:c>
      <x:c r="U1778" s="9" t="n">
        <x:f>H1778*AA1777*INDEX(v01_MortElder,G1778)/4*Q1778</x:f>
        <x:v>0</x:v>
      </x:c>
      <x:c r="V1778" s="9" t="n">
        <x:f>H1778*MAX(0,AB1777-O1778)*v01_OvercapLoss</x:f>
        <x:v>0</x:v>
      </x:c>
      <x:c r="W1778" s="9" t="n">
        <x:f>H1778*Y1777/(v01_ChildYears*4)</x:f>
        <x:v>0</x:v>
      </x:c>
      <x:c r="X1778" s="9" t="n">
        <x:f>H1778*Z1777/(v01_AdultYears*4)</x:f>
        <x:v>0</x:v>
      </x:c>
      <x:c r="Y1778" s="32" t="n">
        <x:f>Y1777+R1778-S1778-W1778-Y1777*V1778/AB1777</x:f>
        <x:v>14306.18539759397</x:v>
      </x:c>
      <x:c r="Z1778" s="32" t="n">
        <x:f>Z1777+W1778-X1778-T1778-Z1777*V1778/AB1777</x:f>
        <x:v>19354.456567879548</x:v>
      </x:c>
      <x:c r="AA1778" s="32" t="n">
        <x:f>AA1777+X1778-U1778-AA1777*V1778/AB1777</x:f>
        <x:v>11386.956063258198</x:v>
      </x:c>
      <x:c r="AB1778" s="10" t="n">
        <x:f>Y1778+Z1778+AA1778</x:f>
        <x:v>45047.59802873172</x:v>
      </x:c>
      <x:c r="AC1778" s="8" t="n">
        <x:f>IF(AND(v01_WinterTrigger=1,D1778=1,AB1777/AE1777&gt;=K1778),1,0)</x:f>
        <x:v>0</x:v>
      </x:c>
      <x:c r="AD1778" s="8" t="n">
        <x:f>H1778*IF(AND(OR(AB1777/AE1777&gt;=v01_FissionTrigger*N1778,AC1778=1),AB1777/AE1777*v01_DaughterShare&gt;=v01_MinDaughter),MAX(1,ROUND(AE1777*v01_FissionRate,0)),0)</x:f>
        <x:v>0</x:v>
      </x:c>
      <x:c r="AE1778" s="8" t="n">
        <x:f>IF(H1778=1,MAX(1,MIN(INDEX(v01_Smax,G1778),AE1777+AD1778)),AE1777)</x:f>
        <x:v>15</x:v>
      </x:c>
      <x:c r="AF1778" s="8" t="n">
        <x:f>MAX(0,AE1778-AE1777)</x:f>
        <x:v>0</x:v>
      </x:c>
      <x:c r="AG1778" s="9" t="str">
        <x:f>IF(AF1778&gt;0,B1778,"")</x:f>
      </x:c>
      <x:c r="AH1778" s="9" t="n">
        <x:f>IF(F1778&gt;=1,1,(1+v01_LowTiesShare*(AE1778-1))/AE1778)</x:f>
        <x:v>1</x:v>
      </x:c>
      <x:c r="AI1778" s="32" t="n">
        <x:f>(Z1778+v01_ElderCommons*INDEX(LM_Elder,G1778)*AA1778)*AH1778</x:f>
        <x:v>64139.732591141874</x:v>
      </x:c>
      <x:c r="AJ1778" s="32" t="n">
        <x:f>H1778*v01_CommonsCoef*AI1778^v01_CommonsExp*INDEX(LM_Commons,G1778)</x:f>
        <x:v>0</x:v>
      </x:c>
      <x:c r="AK1778" s="32" t="n">
        <x:f>H1778*v01_RoleScale*Arch_Roles*(AE1778*(INDEX(v01_ElderRolePerSett,G1778)*v01_OutElder*INDEX(LM_Elder,G1778)+INDEX(v01_ShamanPerSett,G1778)*v01_OutShaman)+Z1778*(INDEX(v01_PriestShare,G1778)*v01_OutPriest+INDEX(v01_ScribeShare,G1778)*v01_OutScribe*INDEX(LM_Scribe,G1778)+INDEX(v01_ScholarShare,G1778)*v01_OutScholar*INDEX(LM_Scholar,G1778)+INDEX(v01_ResearcherShare,G1778)*v01_OutResearcher*INDEX(LM_Researcher,G1778)))</x:f>
        <x:v>0</x:v>
      </x:c>
      <x:c r="AL1778" s="32" t="n">
        <x:f>H1778*v01_RoleScale*Arch_Roles*AE1778*INDEX(v01_MonasteryPerSett,G1778)*v01_OutMonastery*INDEX(LM_Monastery,G1778)</x:f>
        <x:v>0</x:v>
      </x:c>
      <x:c r="AM1778" s="32" t="n">
        <x:f>(AJ1778+AK1778+AL1778)/4*INDEX(LM_All,G1778)*INDEX(v01_Boon,G1778)*Arch_Insight</x:f>
        <x:v>0</x:v>
      </x:c>
      <x:c r="AN1778" s="32" t="n">
        <x:f>H1778*(v01_KHPerAdult*Z1778+v01_KHOfCommons*AJ1778/4*INDEX(LM_All,G1778))*v01_KHUsable*Arch_KH</x:f>
        <x:v>0</x:v>
      </x:c>
      <x:c r="AO1778" s="32" t="n">
        <x:f>MIN(AP1777+AN1778,AM1778*v01_KHMaxRatio)</x:f>
        <x:v>0</x:v>
      </x:c>
      <x:c r="AP1778" s="32" t="n">
        <x:f>AP1777+AN1778-AO1778</x:f>
        <x:v>0</x:v>
      </x:c>
      <x:c r="AQ1778" s="32" t="n">
        <x:f>AM1778+AO1778</x:f>
        <x:v>0</x:v>
      </x:c>
      <x:c r="AR1778" s="10" t="n">
        <x:f>IF(H1778=1,INDEX(v01_Req,G1778),0)</x:f>
        <x:v>0</x:v>
      </x:c>
      <x:c r="AS1778" s="32" t="n">
        <x:f>IF(H1778=1,IF(E1778=1,AS1777-AR1777,AS1777)+AQ1778,0)</x:f>
        <x:v>0</x:v>
      </x:c>
      <x:c r="AT1778" s="11" t="n">
        <x:f>IF(AR1778&gt;0,MIN(1,AS1778/AR1778),1)</x:f>
        <x:v>1</x:v>
      </x:c>
      <x:c r="AU1778" s="10" t="n">
        <x:f>AB1778/INDEX(v01_RepScale,G1778)</x:f>
        <x:v>90.09519605746344</x:v>
      </x:c>
      <x:c r="AV1778" s="32" t="n">
        <x:f>AM1778*60/v01_SeasonSeconds</x:f>
        <x:v>0</x:v>
      </x:c>
    </x:row>
    <x:row r="1779">
      <x:c r="A1779" s="8" t="n">
        <x:f>A1778+1</x:f>
        <x:v>1776</x:v>
      </x:c>
      <x:c r="B1779" s="9" t="n">
        <x:f>A1779*v01_SeasonSeconds/60</x:f>
        <x:v>444</x:v>
      </x:c>
      <x:c r="C1779" s="9" t="n">
        <x:f>A1779/4</x:f>
        <x:v>444</x:v>
      </x:c>
      <x:c r="D1779" s="8" t="n">
        <x:f>IF(MOD(A1779,4)=0,1,0)</x:f>
        <x:v>1</x:v>
      </x:c>
      <x:c r="E1779" s="8" t="n">
        <x:f>IF(AND(F1778&lt;=9,AS1778&gt;=AR1778),1,0)</x:f>
        <x:v>0</x:v>
      </x:c>
      <x:c r="F1779" s="8" t="n">
        <x:f>MIN(10,F1778+E1779)</x:f>
        <x:v>10</x:v>
      </x:c>
      <x:c r="G1779" s="8" t="n">
        <x:f>MIN(F1779,9)+1</x:f>
        <x:v>10</x:v>
      </x:c>
      <x:c r="H1779" s="8" t="n">
        <x:f>IF(F1779&lt;=9,1,0)</x:f>
        <x:v>0</x:v>
      </x:c>
      <x:c r="I1779" s="9" t="n">
        <x:f>MIN(10,F1778+IF(AR1778&gt;0,MIN(1,AS1778/AR1778),1))</x:f>
        <x:v>10</x:v>
      </x:c>
      <x:c r="J1779" s="32" t="n">
        <x:f>INDEX(v01_FoodCap,G1779)*Arch_FoodCap*EXP(v01_CapsByProject*SUMPRODUCT((Cap_Point&lt;=I1779)*(Cap_Kind="Food")*Cap_Ln))</x:f>
        <x:v>12000</x:v>
      </x:c>
      <x:c r="K1779" s="32" t="n">
        <x:f>J1779*MIN(1,v01_LeanBase*EXP(v01_CapsByProject*SUMPRODUCT((Cap_Point&lt;=I1779)*(Cap_Kind="Lean")*Cap_Ln)))</x:f>
        <x:v>12000</x:v>
      </x:c>
      <x:c r="L1779" s="10" t="n">
        <x:f>INDEX(v01_HousingCap,G1779)*EXP(v01_CapsByProject*SUMPRODUCT((Cap_Point&lt;=I1779)*(Cap_Kind="Housing")*Cap_Ln))</x:f>
        <x:v>20000</x:v>
      </x:c>
      <x:c r="M1779" s="10" t="n">
        <x:f>INDEX(v01_GroupCap,G1779)*v01_CohesionFactor*EXP(v01_CapsByProject*SUMPRODUCT((Cap_Point&lt;=I1779)*(Cap_Kind="Group")*Cap_Ln))</x:f>
        <x:v>1000000</x:v>
      </x:c>
      <x:c r="N1779" s="32" t="n">
        <x:f>MIN(J1779,L1779,M1779)</x:f>
        <x:v>12000</x:v>
      </x:c>
      <x:c r="O1779" s="10" t="n">
        <x:f>AE1778*N1779</x:f>
        <x:v>180000</x:v>
      </x:c>
      <x:c r="P1779" s="9" t="n">
        <x:f>MIN(1,(AB1778/(AE1778*IF(v01_GroupInCrowding=1,N1779,MIN(J1779,L1779))))^v01_CrowdingExp)</x:f>
        <x:v>0.00024569414295285325</x:v>
      </x:c>
      <x:c r="Q1779" s="9" t="n">
        <x:f>IF(D1779=1,INDEX(v01_WinterMult,G1779),1)</x:f>
        <x:v>1</x:v>
      </x:c>
      <x:c r="R1779" s="9" t="n">
        <x:f>H1779*Z1778*v01_WomenShare*v01_BaseFertility*INDEX(v01_FertMult,G1779)*Arch_Fertility*(1-P1779)</x:f>
        <x:v>0</x:v>
      </x:c>
      <x:c r="S1779" s="9" t="n">
        <x:f>H1779*Y1778*INDEX(v01_MortChild,G1779)/4*Q1779</x:f>
        <x:v>0</x:v>
      </x:c>
      <x:c r="T1779" s="9" t="n">
        <x:f>H1779*Z1778*INDEX(v01_MortAdult,G1779)*Arch_AdultMort/4*Q1779</x:f>
        <x:v>0</x:v>
      </x:c>
      <x:c r="U1779" s="9" t="n">
        <x:f>H1779*AA1778*INDEX(v01_MortElder,G1779)/4*Q1779</x:f>
        <x:v>0</x:v>
      </x:c>
      <x:c r="V1779" s="9" t="n">
        <x:f>H1779*MAX(0,AB1778-O1779)*v01_OvercapLoss</x:f>
        <x:v>0</x:v>
      </x:c>
      <x:c r="W1779" s="9" t="n">
        <x:f>H1779*Y1778/(v01_ChildYears*4)</x:f>
        <x:v>0</x:v>
      </x:c>
      <x:c r="X1779" s="9" t="n">
        <x:f>H1779*Z1778/(v01_AdultYears*4)</x:f>
        <x:v>0</x:v>
      </x:c>
      <x:c r="Y1779" s="32" t="n">
        <x:f>Y1778+R1779-S1779-W1779-Y1778*V1779/AB1778</x:f>
        <x:v>14306.18539759397</x:v>
      </x:c>
      <x:c r="Z1779" s="32" t="n">
        <x:f>Z1778+W1779-X1779-T1779-Z1778*V1779/AB1778</x:f>
        <x:v>19354.456567879548</x:v>
      </x:c>
      <x:c r="AA1779" s="32" t="n">
        <x:f>AA1778+X1779-U1779-AA1778*V1779/AB1778</x:f>
        <x:v>11386.956063258198</x:v>
      </x:c>
      <x:c r="AB1779" s="10" t="n">
        <x:f>Y1779+Z1779+AA1779</x:f>
        <x:v>45047.59802873172</x:v>
      </x:c>
      <x:c r="AC1779" s="8" t="n">
        <x:f>IF(AND(v01_WinterTrigger=1,D1779=1,AB1778/AE1778&gt;=K1779),1,0)</x:f>
        <x:v>0</x:v>
      </x:c>
      <x:c r="AD1779" s="8" t="n">
        <x:f>H1779*IF(AND(OR(AB1778/AE1778&gt;=v01_FissionTrigger*N1779,AC1779=1),AB1778/AE1778*v01_DaughterShare&gt;=v01_MinDaughter),MAX(1,ROUND(AE1778*v01_FissionRate,0)),0)</x:f>
        <x:v>0</x:v>
      </x:c>
      <x:c r="AE1779" s="8" t="n">
        <x:f>IF(H1779=1,MAX(1,MIN(INDEX(v01_Smax,G1779),AE1778+AD1779)),AE1778)</x:f>
        <x:v>15</x:v>
      </x:c>
      <x:c r="AF1779" s="8" t="n">
        <x:f>MAX(0,AE1779-AE1778)</x:f>
        <x:v>0</x:v>
      </x:c>
      <x:c r="AG1779" s="9" t="str">
        <x:f>IF(AF1779&gt;0,B1779,"")</x:f>
      </x:c>
      <x:c r="AH1779" s="9" t="n">
        <x:f>IF(F1779&gt;=1,1,(1+v01_LowTiesShare*(AE1779-1))/AE1779)</x:f>
        <x:v>1</x:v>
      </x:c>
      <x:c r="AI1779" s="32" t="n">
        <x:f>(Z1779+v01_ElderCommons*INDEX(LM_Elder,G1779)*AA1779)*AH1779</x:f>
        <x:v>64139.732591141874</x:v>
      </x:c>
      <x:c r="AJ1779" s="32" t="n">
        <x:f>H1779*v01_CommonsCoef*AI1779^v01_CommonsExp*INDEX(LM_Commons,G1779)</x:f>
        <x:v>0</x:v>
      </x:c>
      <x:c r="AK1779" s="32" t="n">
        <x:f>H1779*v01_RoleScale*Arch_Roles*(AE1779*(INDEX(v01_ElderRolePerSett,G1779)*v01_OutElder*INDEX(LM_Elder,G1779)+INDEX(v01_ShamanPerSett,G1779)*v01_OutShaman)+Z1779*(INDEX(v01_PriestShare,G1779)*v01_OutPriest+INDEX(v01_ScribeShare,G1779)*v01_OutScribe*INDEX(LM_Scribe,G1779)+INDEX(v01_ScholarShare,G1779)*v01_OutScholar*INDEX(LM_Scholar,G1779)+INDEX(v01_ResearcherShare,G1779)*v01_OutResearcher*INDEX(LM_Researcher,G1779)))</x:f>
        <x:v>0</x:v>
      </x:c>
      <x:c r="AL1779" s="32" t="n">
        <x:f>H1779*v01_RoleScale*Arch_Roles*AE1779*INDEX(v01_MonasteryPerSett,G1779)*v01_OutMonastery*INDEX(LM_Monastery,G1779)</x:f>
        <x:v>0</x:v>
      </x:c>
      <x:c r="AM1779" s="32" t="n">
        <x:f>(AJ1779+AK1779+AL1779)/4*INDEX(LM_All,G1779)*INDEX(v01_Boon,G1779)*Arch_Insight</x:f>
        <x:v>0</x:v>
      </x:c>
      <x:c r="AN1779" s="32" t="n">
        <x:f>H1779*(v01_KHPerAdult*Z1779+v01_KHOfCommons*AJ1779/4*INDEX(LM_All,G1779))*v01_KHUsable*Arch_KH</x:f>
        <x:v>0</x:v>
      </x:c>
      <x:c r="AO1779" s="32" t="n">
        <x:f>MIN(AP1778+AN1779,AM1779*v01_KHMaxRatio)</x:f>
        <x:v>0</x:v>
      </x:c>
      <x:c r="AP1779" s="32" t="n">
        <x:f>AP1778+AN1779-AO1779</x:f>
        <x:v>0</x:v>
      </x:c>
      <x:c r="AQ1779" s="32" t="n">
        <x:f>AM1779+AO1779</x:f>
        <x:v>0</x:v>
      </x:c>
      <x:c r="AR1779" s="10" t="n">
        <x:f>IF(H1779=1,INDEX(v01_Req,G1779),0)</x:f>
        <x:v>0</x:v>
      </x:c>
      <x:c r="AS1779" s="32" t="n">
        <x:f>IF(H1779=1,IF(E1779=1,AS1778-AR1778,AS1778)+AQ1779,0)</x:f>
        <x:v>0</x:v>
      </x:c>
      <x:c r="AT1779" s="11" t="n">
        <x:f>IF(AR1779&gt;0,MIN(1,AS1779/AR1779),1)</x:f>
        <x:v>1</x:v>
      </x:c>
      <x:c r="AU1779" s="10" t="n">
        <x:f>AB1779/INDEX(v01_RepScale,G1779)</x:f>
        <x:v>90.09519605746344</x:v>
      </x:c>
      <x:c r="AV1779" s="32" t="n">
        <x:f>AM1779*60/v01_SeasonSeconds</x:f>
        <x:v>0</x:v>
      </x:c>
    </x:row>
    <x:row r="1780">
      <x:c r="A1780" s="8" t="n">
        <x:f>A1779+1</x:f>
        <x:v>1777</x:v>
      </x:c>
      <x:c r="B1780" s="9" t="n">
        <x:f>A1780*v01_SeasonSeconds/60</x:f>
        <x:v>444.25</x:v>
      </x:c>
      <x:c r="C1780" s="9" t="n">
        <x:f>A1780/4</x:f>
        <x:v>444.25</x:v>
      </x:c>
      <x:c r="D1780" s="8" t="n">
        <x:f>IF(MOD(A1780,4)=0,1,0)</x:f>
        <x:v>0</x:v>
      </x:c>
      <x:c r="E1780" s="8" t="n">
        <x:f>IF(AND(F1779&lt;=9,AS1779&gt;=AR1779),1,0)</x:f>
        <x:v>0</x:v>
      </x:c>
      <x:c r="F1780" s="8" t="n">
        <x:f>MIN(10,F1779+E1780)</x:f>
        <x:v>10</x:v>
      </x:c>
      <x:c r="G1780" s="8" t="n">
        <x:f>MIN(F1780,9)+1</x:f>
        <x:v>10</x:v>
      </x:c>
      <x:c r="H1780" s="8" t="n">
        <x:f>IF(F1780&lt;=9,1,0)</x:f>
        <x:v>0</x:v>
      </x:c>
      <x:c r="I1780" s="9" t="n">
        <x:f>MIN(10,F1779+IF(AR1779&gt;0,MIN(1,AS1779/AR1779),1))</x:f>
        <x:v>10</x:v>
      </x:c>
      <x:c r="J1780" s="32" t="n">
        <x:f>INDEX(v01_FoodCap,G1780)*Arch_FoodCap*EXP(v01_CapsByProject*SUMPRODUCT((Cap_Point&lt;=I1780)*(Cap_Kind="Food")*Cap_Ln))</x:f>
        <x:v>12000</x:v>
      </x:c>
      <x:c r="K1780" s="32" t="n">
        <x:f>J1780*MIN(1,v01_LeanBase*EXP(v01_CapsByProject*SUMPRODUCT((Cap_Point&lt;=I1780)*(Cap_Kind="Lean")*Cap_Ln)))</x:f>
        <x:v>12000</x:v>
      </x:c>
      <x:c r="L1780" s="10" t="n">
        <x:f>INDEX(v01_HousingCap,G1780)*EXP(v01_CapsByProject*SUMPRODUCT((Cap_Point&lt;=I1780)*(Cap_Kind="Housing")*Cap_Ln))</x:f>
        <x:v>20000</x:v>
      </x:c>
      <x:c r="M1780" s="10" t="n">
        <x:f>INDEX(v01_GroupCap,G1780)*v01_CohesionFactor*EXP(v01_CapsByProject*SUMPRODUCT((Cap_Point&lt;=I1780)*(Cap_Kind="Group")*Cap_Ln))</x:f>
        <x:v>1000000</x:v>
      </x:c>
      <x:c r="N1780" s="32" t="n">
        <x:f>MIN(J1780,L1780,M1780)</x:f>
        <x:v>12000</x:v>
      </x:c>
      <x:c r="O1780" s="10" t="n">
        <x:f>AE1779*N1780</x:f>
        <x:v>180000</x:v>
      </x:c>
      <x:c r="P1780" s="9" t="n">
        <x:f>MIN(1,(AB1779/(AE1779*IF(v01_GroupInCrowding=1,N1780,MIN(J1780,L1780))))^v01_CrowdingExp)</x:f>
        <x:v>0.00024569414295285325</x:v>
      </x:c>
      <x:c r="Q1780" s="9" t="n">
        <x:f>IF(D1780=1,INDEX(v01_WinterMult,G1780),1)</x:f>
        <x:v>1</x:v>
      </x:c>
      <x:c r="R1780" s="9" t="n">
        <x:f>H1780*Z1779*v01_WomenShare*v01_BaseFertility*INDEX(v01_FertMult,G1780)*Arch_Fertility*(1-P1780)</x:f>
        <x:v>0</x:v>
      </x:c>
      <x:c r="S1780" s="9" t="n">
        <x:f>H1780*Y1779*INDEX(v01_MortChild,G1780)/4*Q1780</x:f>
        <x:v>0</x:v>
      </x:c>
      <x:c r="T1780" s="9" t="n">
        <x:f>H1780*Z1779*INDEX(v01_MortAdult,G1780)*Arch_AdultMort/4*Q1780</x:f>
        <x:v>0</x:v>
      </x:c>
      <x:c r="U1780" s="9" t="n">
        <x:f>H1780*AA1779*INDEX(v01_MortElder,G1780)/4*Q1780</x:f>
        <x:v>0</x:v>
      </x:c>
      <x:c r="V1780" s="9" t="n">
        <x:f>H1780*MAX(0,AB1779-O1780)*v01_OvercapLoss</x:f>
        <x:v>0</x:v>
      </x:c>
      <x:c r="W1780" s="9" t="n">
        <x:f>H1780*Y1779/(v01_ChildYears*4)</x:f>
        <x:v>0</x:v>
      </x:c>
      <x:c r="X1780" s="9" t="n">
        <x:f>H1780*Z1779/(v01_AdultYears*4)</x:f>
        <x:v>0</x:v>
      </x:c>
      <x:c r="Y1780" s="32" t="n">
        <x:f>Y1779+R1780-S1780-W1780-Y1779*V1780/AB1779</x:f>
        <x:v>14306.18539759397</x:v>
      </x:c>
      <x:c r="Z1780" s="32" t="n">
        <x:f>Z1779+W1780-X1780-T1780-Z1779*V1780/AB1779</x:f>
        <x:v>19354.456567879548</x:v>
      </x:c>
      <x:c r="AA1780" s="32" t="n">
        <x:f>AA1779+X1780-U1780-AA1779*V1780/AB1779</x:f>
        <x:v>11386.956063258198</x:v>
      </x:c>
      <x:c r="AB1780" s="10" t="n">
        <x:f>Y1780+Z1780+AA1780</x:f>
        <x:v>45047.59802873172</x:v>
      </x:c>
      <x:c r="AC1780" s="8" t="n">
        <x:f>IF(AND(v01_WinterTrigger=1,D1780=1,AB1779/AE1779&gt;=K1780),1,0)</x:f>
        <x:v>0</x:v>
      </x:c>
      <x:c r="AD1780" s="8" t="n">
        <x:f>H1780*IF(AND(OR(AB1779/AE1779&gt;=v01_FissionTrigger*N1780,AC1780=1),AB1779/AE1779*v01_DaughterShare&gt;=v01_MinDaughter),MAX(1,ROUND(AE1779*v01_FissionRate,0)),0)</x:f>
        <x:v>0</x:v>
      </x:c>
      <x:c r="AE1780" s="8" t="n">
        <x:f>IF(H1780=1,MAX(1,MIN(INDEX(v01_Smax,G1780),AE1779+AD1780)),AE1779)</x:f>
        <x:v>15</x:v>
      </x:c>
      <x:c r="AF1780" s="8" t="n">
        <x:f>MAX(0,AE1780-AE1779)</x:f>
        <x:v>0</x:v>
      </x:c>
      <x:c r="AG1780" s="9" t="str">
        <x:f>IF(AF1780&gt;0,B1780,"")</x:f>
      </x:c>
      <x:c r="AH1780" s="9" t="n">
        <x:f>IF(F1780&gt;=1,1,(1+v01_LowTiesShare*(AE1780-1))/AE1780)</x:f>
        <x:v>1</x:v>
      </x:c>
      <x:c r="AI1780" s="32" t="n">
        <x:f>(Z1780+v01_ElderCommons*INDEX(LM_Elder,G1780)*AA1780)*AH1780</x:f>
        <x:v>64139.732591141874</x:v>
      </x:c>
      <x:c r="AJ1780" s="32" t="n">
        <x:f>H1780*v01_CommonsCoef*AI1780^v01_CommonsExp*INDEX(LM_Commons,G1780)</x:f>
        <x:v>0</x:v>
      </x:c>
      <x:c r="AK1780" s="32" t="n">
        <x:f>H1780*v01_RoleScale*Arch_Roles*(AE1780*(INDEX(v01_ElderRolePerSett,G1780)*v01_OutElder*INDEX(LM_Elder,G1780)+INDEX(v01_ShamanPerSett,G1780)*v01_OutShaman)+Z1780*(INDEX(v01_PriestShare,G1780)*v01_OutPriest+INDEX(v01_ScribeShare,G1780)*v01_OutScribe*INDEX(LM_Scribe,G1780)+INDEX(v01_ScholarShare,G1780)*v01_OutScholar*INDEX(LM_Scholar,G1780)+INDEX(v01_ResearcherShare,G1780)*v01_OutResearcher*INDEX(LM_Researcher,G1780)))</x:f>
        <x:v>0</x:v>
      </x:c>
      <x:c r="AL1780" s="32" t="n">
        <x:f>H1780*v01_RoleScale*Arch_Roles*AE1780*INDEX(v01_MonasteryPerSett,G1780)*v01_OutMonastery*INDEX(LM_Monastery,G1780)</x:f>
        <x:v>0</x:v>
      </x:c>
      <x:c r="AM1780" s="32" t="n">
        <x:f>(AJ1780+AK1780+AL1780)/4*INDEX(LM_All,G1780)*INDEX(v01_Boon,G1780)*Arch_Insight</x:f>
        <x:v>0</x:v>
      </x:c>
      <x:c r="AN1780" s="32" t="n">
        <x:f>H1780*(v01_KHPerAdult*Z1780+v01_KHOfCommons*AJ1780/4*INDEX(LM_All,G1780))*v01_KHUsable*Arch_KH</x:f>
        <x:v>0</x:v>
      </x:c>
      <x:c r="AO1780" s="32" t="n">
        <x:f>MIN(AP1779+AN1780,AM1780*v01_KHMaxRatio)</x:f>
        <x:v>0</x:v>
      </x:c>
      <x:c r="AP1780" s="32" t="n">
        <x:f>AP1779+AN1780-AO1780</x:f>
        <x:v>0</x:v>
      </x:c>
      <x:c r="AQ1780" s="32" t="n">
        <x:f>AM1780+AO1780</x:f>
        <x:v>0</x:v>
      </x:c>
      <x:c r="AR1780" s="10" t="n">
        <x:f>IF(H1780=1,INDEX(v01_Req,G1780),0)</x:f>
        <x:v>0</x:v>
      </x:c>
      <x:c r="AS1780" s="32" t="n">
        <x:f>IF(H1780=1,IF(E1780=1,AS1779-AR1779,AS1779)+AQ1780,0)</x:f>
        <x:v>0</x:v>
      </x:c>
      <x:c r="AT1780" s="11" t="n">
        <x:f>IF(AR1780&gt;0,MIN(1,AS1780/AR1780),1)</x:f>
        <x:v>1</x:v>
      </x:c>
      <x:c r="AU1780" s="10" t="n">
        <x:f>AB1780/INDEX(v01_RepScale,G1780)</x:f>
        <x:v>90.09519605746344</x:v>
      </x:c>
      <x:c r="AV1780" s="32" t="n">
        <x:f>AM1780*60/v01_SeasonSeconds</x:f>
        <x:v>0</x:v>
      </x:c>
    </x:row>
    <x:row r="1781">
      <x:c r="A1781" s="8" t="n">
        <x:f>A1780+1</x:f>
        <x:v>1778</x:v>
      </x:c>
      <x:c r="B1781" s="9" t="n">
        <x:f>A1781*v01_SeasonSeconds/60</x:f>
        <x:v>444.5</x:v>
      </x:c>
      <x:c r="C1781" s="9" t="n">
        <x:f>A1781/4</x:f>
        <x:v>444.5</x:v>
      </x:c>
      <x:c r="D1781" s="8" t="n">
        <x:f>IF(MOD(A1781,4)=0,1,0)</x:f>
        <x:v>0</x:v>
      </x:c>
      <x:c r="E1781" s="8" t="n">
        <x:f>IF(AND(F1780&lt;=9,AS1780&gt;=AR1780),1,0)</x:f>
        <x:v>0</x:v>
      </x:c>
      <x:c r="F1781" s="8" t="n">
        <x:f>MIN(10,F1780+E1781)</x:f>
        <x:v>10</x:v>
      </x:c>
      <x:c r="G1781" s="8" t="n">
        <x:f>MIN(F1781,9)+1</x:f>
        <x:v>10</x:v>
      </x:c>
      <x:c r="H1781" s="8" t="n">
        <x:f>IF(F1781&lt;=9,1,0)</x:f>
        <x:v>0</x:v>
      </x:c>
      <x:c r="I1781" s="9" t="n">
        <x:f>MIN(10,F1780+IF(AR1780&gt;0,MIN(1,AS1780/AR1780),1))</x:f>
        <x:v>10</x:v>
      </x:c>
      <x:c r="J1781" s="32" t="n">
        <x:f>INDEX(v01_FoodCap,G1781)*Arch_FoodCap*EXP(v01_CapsByProject*SUMPRODUCT((Cap_Point&lt;=I1781)*(Cap_Kind="Food")*Cap_Ln))</x:f>
        <x:v>12000</x:v>
      </x:c>
      <x:c r="K1781" s="32" t="n">
        <x:f>J1781*MIN(1,v01_LeanBase*EXP(v01_CapsByProject*SUMPRODUCT((Cap_Point&lt;=I1781)*(Cap_Kind="Lean")*Cap_Ln)))</x:f>
        <x:v>12000</x:v>
      </x:c>
      <x:c r="L1781" s="10" t="n">
        <x:f>INDEX(v01_HousingCap,G1781)*EXP(v01_CapsByProject*SUMPRODUCT((Cap_Point&lt;=I1781)*(Cap_Kind="Housing")*Cap_Ln))</x:f>
        <x:v>20000</x:v>
      </x:c>
      <x:c r="M1781" s="10" t="n">
        <x:f>INDEX(v01_GroupCap,G1781)*v01_CohesionFactor*EXP(v01_CapsByProject*SUMPRODUCT((Cap_Point&lt;=I1781)*(Cap_Kind="Group")*Cap_Ln))</x:f>
        <x:v>1000000</x:v>
      </x:c>
      <x:c r="N1781" s="32" t="n">
        <x:f>MIN(J1781,L1781,M1781)</x:f>
        <x:v>12000</x:v>
      </x:c>
      <x:c r="O1781" s="10" t="n">
        <x:f>AE1780*N1781</x:f>
        <x:v>180000</x:v>
      </x:c>
      <x:c r="P1781" s="9" t="n">
        <x:f>MIN(1,(AB1780/(AE1780*IF(v01_GroupInCrowding=1,N1781,MIN(J1781,L1781))))^v01_CrowdingExp)</x:f>
        <x:v>0.00024569414295285325</x:v>
      </x:c>
      <x:c r="Q1781" s="9" t="n">
        <x:f>IF(D1781=1,INDEX(v01_WinterMult,G1781),1)</x:f>
        <x:v>1</x:v>
      </x:c>
      <x:c r="R1781" s="9" t="n">
        <x:f>H1781*Z1780*v01_WomenShare*v01_BaseFertility*INDEX(v01_FertMult,G1781)*Arch_Fertility*(1-P1781)</x:f>
        <x:v>0</x:v>
      </x:c>
      <x:c r="S1781" s="9" t="n">
        <x:f>H1781*Y1780*INDEX(v01_MortChild,G1781)/4*Q1781</x:f>
        <x:v>0</x:v>
      </x:c>
      <x:c r="T1781" s="9" t="n">
        <x:f>H1781*Z1780*INDEX(v01_MortAdult,G1781)*Arch_AdultMort/4*Q1781</x:f>
        <x:v>0</x:v>
      </x:c>
      <x:c r="U1781" s="9" t="n">
        <x:f>H1781*AA1780*INDEX(v01_MortElder,G1781)/4*Q1781</x:f>
        <x:v>0</x:v>
      </x:c>
      <x:c r="V1781" s="9" t="n">
        <x:f>H1781*MAX(0,AB1780-O1781)*v01_OvercapLoss</x:f>
        <x:v>0</x:v>
      </x:c>
      <x:c r="W1781" s="9" t="n">
        <x:f>H1781*Y1780/(v01_ChildYears*4)</x:f>
        <x:v>0</x:v>
      </x:c>
      <x:c r="X1781" s="9" t="n">
        <x:f>H1781*Z1780/(v01_AdultYears*4)</x:f>
        <x:v>0</x:v>
      </x:c>
      <x:c r="Y1781" s="32" t="n">
        <x:f>Y1780+R1781-S1781-W1781-Y1780*V1781/AB1780</x:f>
        <x:v>14306.18539759397</x:v>
      </x:c>
      <x:c r="Z1781" s="32" t="n">
        <x:f>Z1780+W1781-X1781-T1781-Z1780*V1781/AB1780</x:f>
        <x:v>19354.456567879548</x:v>
      </x:c>
      <x:c r="AA1781" s="32" t="n">
        <x:f>AA1780+X1781-U1781-AA1780*V1781/AB1780</x:f>
        <x:v>11386.956063258198</x:v>
      </x:c>
      <x:c r="AB1781" s="10" t="n">
        <x:f>Y1781+Z1781+AA1781</x:f>
        <x:v>45047.59802873172</x:v>
      </x:c>
      <x:c r="AC1781" s="8" t="n">
        <x:f>IF(AND(v01_WinterTrigger=1,D1781=1,AB1780/AE1780&gt;=K1781),1,0)</x:f>
        <x:v>0</x:v>
      </x:c>
      <x:c r="AD1781" s="8" t="n">
        <x:f>H1781*IF(AND(OR(AB1780/AE1780&gt;=v01_FissionTrigger*N1781,AC1781=1),AB1780/AE1780*v01_DaughterShare&gt;=v01_MinDaughter),MAX(1,ROUND(AE1780*v01_FissionRate,0)),0)</x:f>
        <x:v>0</x:v>
      </x:c>
      <x:c r="AE1781" s="8" t="n">
        <x:f>IF(H1781=1,MAX(1,MIN(INDEX(v01_Smax,G1781),AE1780+AD1781)),AE1780)</x:f>
        <x:v>15</x:v>
      </x:c>
      <x:c r="AF1781" s="8" t="n">
        <x:f>MAX(0,AE1781-AE1780)</x:f>
        <x:v>0</x:v>
      </x:c>
      <x:c r="AG1781" s="9" t="str">
        <x:f>IF(AF1781&gt;0,B1781,"")</x:f>
      </x:c>
      <x:c r="AH1781" s="9" t="n">
        <x:f>IF(F1781&gt;=1,1,(1+v01_LowTiesShare*(AE1781-1))/AE1781)</x:f>
        <x:v>1</x:v>
      </x:c>
      <x:c r="AI1781" s="32" t="n">
        <x:f>(Z1781+v01_ElderCommons*INDEX(LM_Elder,G1781)*AA1781)*AH1781</x:f>
        <x:v>64139.732591141874</x:v>
      </x:c>
      <x:c r="AJ1781" s="32" t="n">
        <x:f>H1781*v01_CommonsCoef*AI1781^v01_CommonsExp*INDEX(LM_Commons,G1781)</x:f>
        <x:v>0</x:v>
      </x:c>
      <x:c r="AK1781" s="32" t="n">
        <x:f>H1781*v01_RoleScale*Arch_Roles*(AE1781*(INDEX(v01_ElderRolePerSett,G1781)*v01_OutElder*INDEX(LM_Elder,G1781)+INDEX(v01_ShamanPerSett,G1781)*v01_OutShaman)+Z1781*(INDEX(v01_PriestShare,G1781)*v01_OutPriest+INDEX(v01_ScribeShare,G1781)*v01_OutScribe*INDEX(LM_Scribe,G1781)+INDEX(v01_ScholarShare,G1781)*v01_OutScholar*INDEX(LM_Scholar,G1781)+INDEX(v01_ResearcherShare,G1781)*v01_OutResearcher*INDEX(LM_Researcher,G1781)))</x:f>
        <x:v>0</x:v>
      </x:c>
      <x:c r="AL1781" s="32" t="n">
        <x:f>H1781*v01_RoleScale*Arch_Roles*AE1781*INDEX(v01_MonasteryPerSett,G1781)*v01_OutMonastery*INDEX(LM_Monastery,G1781)</x:f>
        <x:v>0</x:v>
      </x:c>
      <x:c r="AM1781" s="32" t="n">
        <x:f>(AJ1781+AK1781+AL1781)/4*INDEX(LM_All,G1781)*INDEX(v01_Boon,G1781)*Arch_Insight</x:f>
        <x:v>0</x:v>
      </x:c>
      <x:c r="AN1781" s="32" t="n">
        <x:f>H1781*(v01_KHPerAdult*Z1781+v01_KHOfCommons*AJ1781/4*INDEX(LM_All,G1781))*v01_KHUsable*Arch_KH</x:f>
        <x:v>0</x:v>
      </x:c>
      <x:c r="AO1781" s="32" t="n">
        <x:f>MIN(AP1780+AN1781,AM1781*v01_KHMaxRatio)</x:f>
        <x:v>0</x:v>
      </x:c>
      <x:c r="AP1781" s="32" t="n">
        <x:f>AP1780+AN1781-AO1781</x:f>
        <x:v>0</x:v>
      </x:c>
      <x:c r="AQ1781" s="32" t="n">
        <x:f>AM1781+AO1781</x:f>
        <x:v>0</x:v>
      </x:c>
      <x:c r="AR1781" s="10" t="n">
        <x:f>IF(H1781=1,INDEX(v01_Req,G1781),0)</x:f>
        <x:v>0</x:v>
      </x:c>
      <x:c r="AS1781" s="32" t="n">
        <x:f>IF(H1781=1,IF(E1781=1,AS1780-AR1780,AS1780)+AQ1781,0)</x:f>
        <x:v>0</x:v>
      </x:c>
      <x:c r="AT1781" s="11" t="n">
        <x:f>IF(AR1781&gt;0,MIN(1,AS1781/AR1781),1)</x:f>
        <x:v>1</x:v>
      </x:c>
      <x:c r="AU1781" s="10" t="n">
        <x:f>AB1781/INDEX(v01_RepScale,G1781)</x:f>
        <x:v>90.09519605746344</x:v>
      </x:c>
      <x:c r="AV1781" s="32" t="n">
        <x:f>AM1781*60/v01_SeasonSeconds</x:f>
        <x:v>0</x:v>
      </x:c>
    </x:row>
    <x:row r="1782">
      <x:c r="A1782" s="8" t="n">
        <x:f>A1781+1</x:f>
        <x:v>1779</x:v>
      </x:c>
      <x:c r="B1782" s="9" t="n">
        <x:f>A1782*v01_SeasonSeconds/60</x:f>
        <x:v>444.75</x:v>
      </x:c>
      <x:c r="C1782" s="9" t="n">
        <x:f>A1782/4</x:f>
        <x:v>444.75</x:v>
      </x:c>
      <x:c r="D1782" s="8" t="n">
        <x:f>IF(MOD(A1782,4)=0,1,0)</x:f>
        <x:v>0</x:v>
      </x:c>
      <x:c r="E1782" s="8" t="n">
        <x:f>IF(AND(F1781&lt;=9,AS1781&gt;=AR1781),1,0)</x:f>
        <x:v>0</x:v>
      </x:c>
      <x:c r="F1782" s="8" t="n">
        <x:f>MIN(10,F1781+E1782)</x:f>
        <x:v>10</x:v>
      </x:c>
      <x:c r="G1782" s="8" t="n">
        <x:f>MIN(F1782,9)+1</x:f>
        <x:v>10</x:v>
      </x:c>
      <x:c r="H1782" s="8" t="n">
        <x:f>IF(F1782&lt;=9,1,0)</x:f>
        <x:v>0</x:v>
      </x:c>
      <x:c r="I1782" s="9" t="n">
        <x:f>MIN(10,F1781+IF(AR1781&gt;0,MIN(1,AS1781/AR1781),1))</x:f>
        <x:v>10</x:v>
      </x:c>
      <x:c r="J1782" s="32" t="n">
        <x:f>INDEX(v01_FoodCap,G1782)*Arch_FoodCap*EXP(v01_CapsByProject*SUMPRODUCT((Cap_Point&lt;=I1782)*(Cap_Kind="Food")*Cap_Ln))</x:f>
        <x:v>12000</x:v>
      </x:c>
      <x:c r="K1782" s="32" t="n">
        <x:f>J1782*MIN(1,v01_LeanBase*EXP(v01_CapsByProject*SUMPRODUCT((Cap_Point&lt;=I1782)*(Cap_Kind="Lean")*Cap_Ln)))</x:f>
        <x:v>12000</x:v>
      </x:c>
      <x:c r="L1782" s="10" t="n">
        <x:f>INDEX(v01_HousingCap,G1782)*EXP(v01_CapsByProject*SUMPRODUCT((Cap_Point&lt;=I1782)*(Cap_Kind="Housing")*Cap_Ln))</x:f>
        <x:v>20000</x:v>
      </x:c>
      <x:c r="M1782" s="10" t="n">
        <x:f>INDEX(v01_GroupCap,G1782)*v01_CohesionFactor*EXP(v01_CapsByProject*SUMPRODUCT((Cap_Point&lt;=I1782)*(Cap_Kind="Group")*Cap_Ln))</x:f>
        <x:v>1000000</x:v>
      </x:c>
      <x:c r="N1782" s="32" t="n">
        <x:f>MIN(J1782,L1782,M1782)</x:f>
        <x:v>12000</x:v>
      </x:c>
      <x:c r="O1782" s="10" t="n">
        <x:f>AE1781*N1782</x:f>
        <x:v>180000</x:v>
      </x:c>
      <x:c r="P1782" s="9" t="n">
        <x:f>MIN(1,(AB1781/(AE1781*IF(v01_GroupInCrowding=1,N1782,MIN(J1782,L1782))))^v01_CrowdingExp)</x:f>
        <x:v>0.00024569414295285325</x:v>
      </x:c>
      <x:c r="Q1782" s="9" t="n">
        <x:f>IF(D1782=1,INDEX(v01_WinterMult,G1782),1)</x:f>
        <x:v>1</x:v>
      </x:c>
      <x:c r="R1782" s="9" t="n">
        <x:f>H1782*Z1781*v01_WomenShare*v01_BaseFertility*INDEX(v01_FertMult,G1782)*Arch_Fertility*(1-P1782)</x:f>
        <x:v>0</x:v>
      </x:c>
      <x:c r="S1782" s="9" t="n">
        <x:f>H1782*Y1781*INDEX(v01_MortChild,G1782)/4*Q1782</x:f>
        <x:v>0</x:v>
      </x:c>
      <x:c r="T1782" s="9" t="n">
        <x:f>H1782*Z1781*INDEX(v01_MortAdult,G1782)*Arch_AdultMort/4*Q1782</x:f>
        <x:v>0</x:v>
      </x:c>
      <x:c r="U1782" s="9" t="n">
        <x:f>H1782*AA1781*INDEX(v01_MortElder,G1782)/4*Q1782</x:f>
        <x:v>0</x:v>
      </x:c>
      <x:c r="V1782" s="9" t="n">
        <x:f>H1782*MAX(0,AB1781-O1782)*v01_OvercapLoss</x:f>
        <x:v>0</x:v>
      </x:c>
      <x:c r="W1782" s="9" t="n">
        <x:f>H1782*Y1781/(v01_ChildYears*4)</x:f>
        <x:v>0</x:v>
      </x:c>
      <x:c r="X1782" s="9" t="n">
        <x:f>H1782*Z1781/(v01_AdultYears*4)</x:f>
        <x:v>0</x:v>
      </x:c>
      <x:c r="Y1782" s="32" t="n">
        <x:f>Y1781+R1782-S1782-W1782-Y1781*V1782/AB1781</x:f>
        <x:v>14306.18539759397</x:v>
      </x:c>
      <x:c r="Z1782" s="32" t="n">
        <x:f>Z1781+W1782-X1782-T1782-Z1781*V1782/AB1781</x:f>
        <x:v>19354.456567879548</x:v>
      </x:c>
      <x:c r="AA1782" s="32" t="n">
        <x:f>AA1781+X1782-U1782-AA1781*V1782/AB1781</x:f>
        <x:v>11386.956063258198</x:v>
      </x:c>
      <x:c r="AB1782" s="10" t="n">
        <x:f>Y1782+Z1782+AA1782</x:f>
        <x:v>45047.59802873172</x:v>
      </x:c>
      <x:c r="AC1782" s="8" t="n">
        <x:f>IF(AND(v01_WinterTrigger=1,D1782=1,AB1781/AE1781&gt;=K1782),1,0)</x:f>
        <x:v>0</x:v>
      </x:c>
      <x:c r="AD1782" s="8" t="n">
        <x:f>H1782*IF(AND(OR(AB1781/AE1781&gt;=v01_FissionTrigger*N1782,AC1782=1),AB1781/AE1781*v01_DaughterShare&gt;=v01_MinDaughter),MAX(1,ROUND(AE1781*v01_FissionRate,0)),0)</x:f>
        <x:v>0</x:v>
      </x:c>
      <x:c r="AE1782" s="8" t="n">
        <x:f>IF(H1782=1,MAX(1,MIN(INDEX(v01_Smax,G1782),AE1781+AD1782)),AE1781)</x:f>
        <x:v>15</x:v>
      </x:c>
      <x:c r="AF1782" s="8" t="n">
        <x:f>MAX(0,AE1782-AE1781)</x:f>
        <x:v>0</x:v>
      </x:c>
      <x:c r="AG1782" s="9" t="str">
        <x:f>IF(AF1782&gt;0,B1782,"")</x:f>
      </x:c>
      <x:c r="AH1782" s="9" t="n">
        <x:f>IF(F1782&gt;=1,1,(1+v01_LowTiesShare*(AE1782-1))/AE1782)</x:f>
        <x:v>1</x:v>
      </x:c>
      <x:c r="AI1782" s="32" t="n">
        <x:f>(Z1782+v01_ElderCommons*INDEX(LM_Elder,G1782)*AA1782)*AH1782</x:f>
        <x:v>64139.732591141874</x:v>
      </x:c>
      <x:c r="AJ1782" s="32" t="n">
        <x:f>H1782*v01_CommonsCoef*AI1782^v01_CommonsExp*INDEX(LM_Commons,G1782)</x:f>
        <x:v>0</x:v>
      </x:c>
      <x:c r="AK1782" s="32" t="n">
        <x:f>H1782*v01_RoleScale*Arch_Roles*(AE1782*(INDEX(v01_ElderRolePerSett,G1782)*v01_OutElder*INDEX(LM_Elder,G1782)+INDEX(v01_ShamanPerSett,G1782)*v01_OutShaman)+Z1782*(INDEX(v01_PriestShare,G1782)*v01_OutPriest+INDEX(v01_ScribeShare,G1782)*v01_OutScribe*INDEX(LM_Scribe,G1782)+INDEX(v01_ScholarShare,G1782)*v01_OutScholar*INDEX(LM_Scholar,G1782)+INDEX(v01_ResearcherShare,G1782)*v01_OutResearcher*INDEX(LM_Researcher,G1782)))</x:f>
        <x:v>0</x:v>
      </x:c>
      <x:c r="AL1782" s="32" t="n">
        <x:f>H1782*v01_RoleScale*Arch_Roles*AE1782*INDEX(v01_MonasteryPerSett,G1782)*v01_OutMonastery*INDEX(LM_Monastery,G1782)</x:f>
        <x:v>0</x:v>
      </x:c>
      <x:c r="AM1782" s="32" t="n">
        <x:f>(AJ1782+AK1782+AL1782)/4*INDEX(LM_All,G1782)*INDEX(v01_Boon,G1782)*Arch_Insight</x:f>
        <x:v>0</x:v>
      </x:c>
      <x:c r="AN1782" s="32" t="n">
        <x:f>H1782*(v01_KHPerAdult*Z1782+v01_KHOfCommons*AJ1782/4*INDEX(LM_All,G1782))*v01_KHUsable*Arch_KH</x:f>
        <x:v>0</x:v>
      </x:c>
      <x:c r="AO1782" s="32" t="n">
        <x:f>MIN(AP1781+AN1782,AM1782*v01_KHMaxRatio)</x:f>
        <x:v>0</x:v>
      </x:c>
      <x:c r="AP1782" s="32" t="n">
        <x:f>AP1781+AN1782-AO1782</x:f>
        <x:v>0</x:v>
      </x:c>
      <x:c r="AQ1782" s="32" t="n">
        <x:f>AM1782+AO1782</x:f>
        <x:v>0</x:v>
      </x:c>
      <x:c r="AR1782" s="10" t="n">
        <x:f>IF(H1782=1,INDEX(v01_Req,G1782),0)</x:f>
        <x:v>0</x:v>
      </x:c>
      <x:c r="AS1782" s="32" t="n">
        <x:f>IF(H1782=1,IF(E1782=1,AS1781-AR1781,AS1781)+AQ1782,0)</x:f>
        <x:v>0</x:v>
      </x:c>
      <x:c r="AT1782" s="11" t="n">
        <x:f>IF(AR1782&gt;0,MIN(1,AS1782/AR1782),1)</x:f>
        <x:v>1</x:v>
      </x:c>
      <x:c r="AU1782" s="10" t="n">
        <x:f>AB1782/INDEX(v01_RepScale,G1782)</x:f>
        <x:v>90.09519605746344</x:v>
      </x:c>
      <x:c r="AV1782" s="32" t="n">
        <x:f>AM1782*60/v01_SeasonSeconds</x:f>
        <x:v>0</x:v>
      </x:c>
    </x:row>
    <x:row r="1783">
      <x:c r="A1783" s="8" t="n">
        <x:f>A1782+1</x:f>
        <x:v>1780</x:v>
      </x:c>
      <x:c r="B1783" s="9" t="n">
        <x:f>A1783*v01_SeasonSeconds/60</x:f>
        <x:v>445</x:v>
      </x:c>
      <x:c r="C1783" s="9" t="n">
        <x:f>A1783/4</x:f>
        <x:v>445</x:v>
      </x:c>
      <x:c r="D1783" s="8" t="n">
        <x:f>IF(MOD(A1783,4)=0,1,0)</x:f>
        <x:v>1</x:v>
      </x:c>
      <x:c r="E1783" s="8" t="n">
        <x:f>IF(AND(F1782&lt;=9,AS1782&gt;=AR1782),1,0)</x:f>
        <x:v>0</x:v>
      </x:c>
      <x:c r="F1783" s="8" t="n">
        <x:f>MIN(10,F1782+E1783)</x:f>
        <x:v>10</x:v>
      </x:c>
      <x:c r="G1783" s="8" t="n">
        <x:f>MIN(F1783,9)+1</x:f>
        <x:v>10</x:v>
      </x:c>
      <x:c r="H1783" s="8" t="n">
        <x:f>IF(F1783&lt;=9,1,0)</x:f>
        <x:v>0</x:v>
      </x:c>
      <x:c r="I1783" s="9" t="n">
        <x:f>MIN(10,F1782+IF(AR1782&gt;0,MIN(1,AS1782/AR1782),1))</x:f>
        <x:v>10</x:v>
      </x:c>
      <x:c r="J1783" s="32" t="n">
        <x:f>INDEX(v01_FoodCap,G1783)*Arch_FoodCap*EXP(v01_CapsByProject*SUMPRODUCT((Cap_Point&lt;=I1783)*(Cap_Kind="Food")*Cap_Ln))</x:f>
        <x:v>12000</x:v>
      </x:c>
      <x:c r="K1783" s="32" t="n">
        <x:f>J1783*MIN(1,v01_LeanBase*EXP(v01_CapsByProject*SUMPRODUCT((Cap_Point&lt;=I1783)*(Cap_Kind="Lean")*Cap_Ln)))</x:f>
        <x:v>12000</x:v>
      </x:c>
      <x:c r="L1783" s="10" t="n">
        <x:f>INDEX(v01_HousingCap,G1783)*EXP(v01_CapsByProject*SUMPRODUCT((Cap_Point&lt;=I1783)*(Cap_Kind="Housing")*Cap_Ln))</x:f>
        <x:v>20000</x:v>
      </x:c>
      <x:c r="M1783" s="10" t="n">
        <x:f>INDEX(v01_GroupCap,G1783)*v01_CohesionFactor*EXP(v01_CapsByProject*SUMPRODUCT((Cap_Point&lt;=I1783)*(Cap_Kind="Group")*Cap_Ln))</x:f>
        <x:v>1000000</x:v>
      </x:c>
      <x:c r="N1783" s="32" t="n">
        <x:f>MIN(J1783,L1783,M1783)</x:f>
        <x:v>12000</x:v>
      </x:c>
      <x:c r="O1783" s="10" t="n">
        <x:f>AE1782*N1783</x:f>
        <x:v>180000</x:v>
      </x:c>
      <x:c r="P1783" s="9" t="n">
        <x:f>MIN(1,(AB1782/(AE1782*IF(v01_GroupInCrowding=1,N1783,MIN(J1783,L1783))))^v01_CrowdingExp)</x:f>
        <x:v>0.00024569414295285325</x:v>
      </x:c>
      <x:c r="Q1783" s="9" t="n">
        <x:f>IF(D1783=1,INDEX(v01_WinterMult,G1783),1)</x:f>
        <x:v>1</x:v>
      </x:c>
      <x:c r="R1783" s="9" t="n">
        <x:f>H1783*Z1782*v01_WomenShare*v01_BaseFertility*INDEX(v01_FertMult,G1783)*Arch_Fertility*(1-P1783)</x:f>
        <x:v>0</x:v>
      </x:c>
      <x:c r="S1783" s="9" t="n">
        <x:f>H1783*Y1782*INDEX(v01_MortChild,G1783)/4*Q1783</x:f>
        <x:v>0</x:v>
      </x:c>
      <x:c r="T1783" s="9" t="n">
        <x:f>H1783*Z1782*INDEX(v01_MortAdult,G1783)*Arch_AdultMort/4*Q1783</x:f>
        <x:v>0</x:v>
      </x:c>
      <x:c r="U1783" s="9" t="n">
        <x:f>H1783*AA1782*INDEX(v01_MortElder,G1783)/4*Q1783</x:f>
        <x:v>0</x:v>
      </x:c>
      <x:c r="V1783" s="9" t="n">
        <x:f>H1783*MAX(0,AB1782-O1783)*v01_OvercapLoss</x:f>
        <x:v>0</x:v>
      </x:c>
      <x:c r="W1783" s="9" t="n">
        <x:f>H1783*Y1782/(v01_ChildYears*4)</x:f>
        <x:v>0</x:v>
      </x:c>
      <x:c r="X1783" s="9" t="n">
        <x:f>H1783*Z1782/(v01_AdultYears*4)</x:f>
        <x:v>0</x:v>
      </x:c>
      <x:c r="Y1783" s="32" t="n">
        <x:f>Y1782+R1783-S1783-W1783-Y1782*V1783/AB1782</x:f>
        <x:v>14306.18539759397</x:v>
      </x:c>
      <x:c r="Z1783" s="32" t="n">
        <x:f>Z1782+W1783-X1783-T1783-Z1782*V1783/AB1782</x:f>
        <x:v>19354.456567879548</x:v>
      </x:c>
      <x:c r="AA1783" s="32" t="n">
        <x:f>AA1782+X1783-U1783-AA1782*V1783/AB1782</x:f>
        <x:v>11386.956063258198</x:v>
      </x:c>
      <x:c r="AB1783" s="10" t="n">
        <x:f>Y1783+Z1783+AA1783</x:f>
        <x:v>45047.59802873172</x:v>
      </x:c>
      <x:c r="AC1783" s="8" t="n">
        <x:f>IF(AND(v01_WinterTrigger=1,D1783=1,AB1782/AE1782&gt;=K1783),1,0)</x:f>
        <x:v>0</x:v>
      </x:c>
      <x:c r="AD1783" s="8" t="n">
        <x:f>H1783*IF(AND(OR(AB1782/AE1782&gt;=v01_FissionTrigger*N1783,AC1783=1),AB1782/AE1782*v01_DaughterShare&gt;=v01_MinDaughter),MAX(1,ROUND(AE1782*v01_FissionRate,0)),0)</x:f>
        <x:v>0</x:v>
      </x:c>
      <x:c r="AE1783" s="8" t="n">
        <x:f>IF(H1783=1,MAX(1,MIN(INDEX(v01_Smax,G1783),AE1782+AD1783)),AE1782)</x:f>
        <x:v>15</x:v>
      </x:c>
      <x:c r="AF1783" s="8" t="n">
        <x:f>MAX(0,AE1783-AE1782)</x:f>
        <x:v>0</x:v>
      </x:c>
      <x:c r="AG1783" s="9" t="str">
        <x:f>IF(AF1783&gt;0,B1783,"")</x:f>
      </x:c>
      <x:c r="AH1783" s="9" t="n">
        <x:f>IF(F1783&gt;=1,1,(1+v01_LowTiesShare*(AE1783-1))/AE1783)</x:f>
        <x:v>1</x:v>
      </x:c>
      <x:c r="AI1783" s="32" t="n">
        <x:f>(Z1783+v01_ElderCommons*INDEX(LM_Elder,G1783)*AA1783)*AH1783</x:f>
        <x:v>64139.732591141874</x:v>
      </x:c>
      <x:c r="AJ1783" s="32" t="n">
        <x:f>H1783*v01_CommonsCoef*AI1783^v01_CommonsExp*INDEX(LM_Commons,G1783)</x:f>
        <x:v>0</x:v>
      </x:c>
      <x:c r="AK1783" s="32" t="n">
        <x:f>H1783*v01_RoleScale*Arch_Roles*(AE1783*(INDEX(v01_ElderRolePerSett,G1783)*v01_OutElder*INDEX(LM_Elder,G1783)+INDEX(v01_ShamanPerSett,G1783)*v01_OutShaman)+Z1783*(INDEX(v01_PriestShare,G1783)*v01_OutPriest+INDEX(v01_ScribeShare,G1783)*v01_OutScribe*INDEX(LM_Scribe,G1783)+INDEX(v01_ScholarShare,G1783)*v01_OutScholar*INDEX(LM_Scholar,G1783)+INDEX(v01_ResearcherShare,G1783)*v01_OutResearcher*INDEX(LM_Researcher,G1783)))</x:f>
        <x:v>0</x:v>
      </x:c>
      <x:c r="AL1783" s="32" t="n">
        <x:f>H1783*v01_RoleScale*Arch_Roles*AE1783*INDEX(v01_MonasteryPerSett,G1783)*v01_OutMonastery*INDEX(LM_Monastery,G1783)</x:f>
        <x:v>0</x:v>
      </x:c>
      <x:c r="AM1783" s="32" t="n">
        <x:f>(AJ1783+AK1783+AL1783)/4*INDEX(LM_All,G1783)*INDEX(v01_Boon,G1783)*Arch_Insight</x:f>
        <x:v>0</x:v>
      </x:c>
      <x:c r="AN1783" s="32" t="n">
        <x:f>H1783*(v01_KHPerAdult*Z1783+v01_KHOfCommons*AJ1783/4*INDEX(LM_All,G1783))*v01_KHUsable*Arch_KH</x:f>
        <x:v>0</x:v>
      </x:c>
      <x:c r="AO1783" s="32" t="n">
        <x:f>MIN(AP1782+AN1783,AM1783*v01_KHMaxRatio)</x:f>
        <x:v>0</x:v>
      </x:c>
      <x:c r="AP1783" s="32" t="n">
        <x:f>AP1782+AN1783-AO1783</x:f>
        <x:v>0</x:v>
      </x:c>
      <x:c r="AQ1783" s="32" t="n">
        <x:f>AM1783+AO1783</x:f>
        <x:v>0</x:v>
      </x:c>
      <x:c r="AR1783" s="10" t="n">
        <x:f>IF(H1783=1,INDEX(v01_Req,G1783),0)</x:f>
        <x:v>0</x:v>
      </x:c>
      <x:c r="AS1783" s="32" t="n">
        <x:f>IF(H1783=1,IF(E1783=1,AS1782-AR1782,AS1782)+AQ1783,0)</x:f>
        <x:v>0</x:v>
      </x:c>
      <x:c r="AT1783" s="11" t="n">
        <x:f>IF(AR1783&gt;0,MIN(1,AS1783/AR1783),1)</x:f>
        <x:v>1</x:v>
      </x:c>
      <x:c r="AU1783" s="10" t="n">
        <x:f>AB1783/INDEX(v01_RepScale,G1783)</x:f>
        <x:v>90.09519605746344</x:v>
      </x:c>
      <x:c r="AV1783" s="32" t="n">
        <x:f>AM1783*60/v01_SeasonSeconds</x:f>
        <x:v>0</x:v>
      </x:c>
    </x:row>
    <x:row r="1784">
      <x:c r="A1784" s="8" t="n">
        <x:f>A1783+1</x:f>
        <x:v>1781</x:v>
      </x:c>
      <x:c r="B1784" s="9" t="n">
        <x:f>A1784*v01_SeasonSeconds/60</x:f>
        <x:v>445.25</x:v>
      </x:c>
      <x:c r="C1784" s="9" t="n">
        <x:f>A1784/4</x:f>
        <x:v>445.25</x:v>
      </x:c>
      <x:c r="D1784" s="8" t="n">
        <x:f>IF(MOD(A1784,4)=0,1,0)</x:f>
        <x:v>0</x:v>
      </x:c>
      <x:c r="E1784" s="8" t="n">
        <x:f>IF(AND(F1783&lt;=9,AS1783&gt;=AR1783),1,0)</x:f>
        <x:v>0</x:v>
      </x:c>
      <x:c r="F1784" s="8" t="n">
        <x:f>MIN(10,F1783+E1784)</x:f>
        <x:v>10</x:v>
      </x:c>
      <x:c r="G1784" s="8" t="n">
        <x:f>MIN(F1784,9)+1</x:f>
        <x:v>10</x:v>
      </x:c>
      <x:c r="H1784" s="8" t="n">
        <x:f>IF(F1784&lt;=9,1,0)</x:f>
        <x:v>0</x:v>
      </x:c>
      <x:c r="I1784" s="9" t="n">
        <x:f>MIN(10,F1783+IF(AR1783&gt;0,MIN(1,AS1783/AR1783),1))</x:f>
        <x:v>10</x:v>
      </x:c>
      <x:c r="J1784" s="32" t="n">
        <x:f>INDEX(v01_FoodCap,G1784)*Arch_FoodCap*EXP(v01_CapsByProject*SUMPRODUCT((Cap_Point&lt;=I1784)*(Cap_Kind="Food")*Cap_Ln))</x:f>
        <x:v>12000</x:v>
      </x:c>
      <x:c r="K1784" s="32" t="n">
        <x:f>J1784*MIN(1,v01_LeanBase*EXP(v01_CapsByProject*SUMPRODUCT((Cap_Point&lt;=I1784)*(Cap_Kind="Lean")*Cap_Ln)))</x:f>
        <x:v>12000</x:v>
      </x:c>
      <x:c r="L1784" s="10" t="n">
        <x:f>INDEX(v01_HousingCap,G1784)*EXP(v01_CapsByProject*SUMPRODUCT((Cap_Point&lt;=I1784)*(Cap_Kind="Housing")*Cap_Ln))</x:f>
        <x:v>20000</x:v>
      </x:c>
      <x:c r="M1784" s="10" t="n">
        <x:f>INDEX(v01_GroupCap,G1784)*v01_CohesionFactor*EXP(v01_CapsByProject*SUMPRODUCT((Cap_Point&lt;=I1784)*(Cap_Kind="Group")*Cap_Ln))</x:f>
        <x:v>1000000</x:v>
      </x:c>
      <x:c r="N1784" s="32" t="n">
        <x:f>MIN(J1784,L1784,M1784)</x:f>
        <x:v>12000</x:v>
      </x:c>
      <x:c r="O1784" s="10" t="n">
        <x:f>AE1783*N1784</x:f>
        <x:v>180000</x:v>
      </x:c>
      <x:c r="P1784" s="9" t="n">
        <x:f>MIN(1,(AB1783/(AE1783*IF(v01_GroupInCrowding=1,N1784,MIN(J1784,L1784))))^v01_CrowdingExp)</x:f>
        <x:v>0.00024569414295285325</x:v>
      </x:c>
      <x:c r="Q1784" s="9" t="n">
        <x:f>IF(D1784=1,INDEX(v01_WinterMult,G1784),1)</x:f>
        <x:v>1</x:v>
      </x:c>
      <x:c r="R1784" s="9" t="n">
        <x:f>H1784*Z1783*v01_WomenShare*v01_BaseFertility*INDEX(v01_FertMult,G1784)*Arch_Fertility*(1-P1784)</x:f>
        <x:v>0</x:v>
      </x:c>
      <x:c r="S1784" s="9" t="n">
        <x:f>H1784*Y1783*INDEX(v01_MortChild,G1784)/4*Q1784</x:f>
        <x:v>0</x:v>
      </x:c>
      <x:c r="T1784" s="9" t="n">
        <x:f>H1784*Z1783*INDEX(v01_MortAdult,G1784)*Arch_AdultMort/4*Q1784</x:f>
        <x:v>0</x:v>
      </x:c>
      <x:c r="U1784" s="9" t="n">
        <x:f>H1784*AA1783*INDEX(v01_MortElder,G1784)/4*Q1784</x:f>
        <x:v>0</x:v>
      </x:c>
      <x:c r="V1784" s="9" t="n">
        <x:f>H1784*MAX(0,AB1783-O1784)*v01_OvercapLoss</x:f>
        <x:v>0</x:v>
      </x:c>
      <x:c r="W1784" s="9" t="n">
        <x:f>H1784*Y1783/(v01_ChildYears*4)</x:f>
        <x:v>0</x:v>
      </x:c>
      <x:c r="X1784" s="9" t="n">
        <x:f>H1784*Z1783/(v01_AdultYears*4)</x:f>
        <x:v>0</x:v>
      </x:c>
      <x:c r="Y1784" s="32" t="n">
        <x:f>Y1783+R1784-S1784-W1784-Y1783*V1784/AB1783</x:f>
        <x:v>14306.18539759397</x:v>
      </x:c>
      <x:c r="Z1784" s="32" t="n">
        <x:f>Z1783+W1784-X1784-T1784-Z1783*V1784/AB1783</x:f>
        <x:v>19354.456567879548</x:v>
      </x:c>
      <x:c r="AA1784" s="32" t="n">
        <x:f>AA1783+X1784-U1784-AA1783*V1784/AB1783</x:f>
        <x:v>11386.956063258198</x:v>
      </x:c>
      <x:c r="AB1784" s="10" t="n">
        <x:f>Y1784+Z1784+AA1784</x:f>
        <x:v>45047.59802873172</x:v>
      </x:c>
      <x:c r="AC1784" s="8" t="n">
        <x:f>IF(AND(v01_WinterTrigger=1,D1784=1,AB1783/AE1783&gt;=K1784),1,0)</x:f>
        <x:v>0</x:v>
      </x:c>
      <x:c r="AD1784" s="8" t="n">
        <x:f>H1784*IF(AND(OR(AB1783/AE1783&gt;=v01_FissionTrigger*N1784,AC1784=1),AB1783/AE1783*v01_DaughterShare&gt;=v01_MinDaughter),MAX(1,ROUND(AE1783*v01_FissionRate,0)),0)</x:f>
        <x:v>0</x:v>
      </x:c>
      <x:c r="AE1784" s="8" t="n">
        <x:f>IF(H1784=1,MAX(1,MIN(INDEX(v01_Smax,G1784),AE1783+AD1784)),AE1783)</x:f>
        <x:v>15</x:v>
      </x:c>
      <x:c r="AF1784" s="8" t="n">
        <x:f>MAX(0,AE1784-AE1783)</x:f>
        <x:v>0</x:v>
      </x:c>
      <x:c r="AG1784" s="9" t="str">
        <x:f>IF(AF1784&gt;0,B1784,"")</x:f>
      </x:c>
      <x:c r="AH1784" s="9" t="n">
        <x:f>IF(F1784&gt;=1,1,(1+v01_LowTiesShare*(AE1784-1))/AE1784)</x:f>
        <x:v>1</x:v>
      </x:c>
      <x:c r="AI1784" s="32" t="n">
        <x:f>(Z1784+v01_ElderCommons*INDEX(LM_Elder,G1784)*AA1784)*AH1784</x:f>
        <x:v>64139.732591141874</x:v>
      </x:c>
      <x:c r="AJ1784" s="32" t="n">
        <x:f>H1784*v01_CommonsCoef*AI1784^v01_CommonsExp*INDEX(LM_Commons,G1784)</x:f>
        <x:v>0</x:v>
      </x:c>
      <x:c r="AK1784" s="32" t="n">
        <x:f>H1784*v01_RoleScale*Arch_Roles*(AE1784*(INDEX(v01_ElderRolePerSett,G1784)*v01_OutElder*INDEX(LM_Elder,G1784)+INDEX(v01_ShamanPerSett,G1784)*v01_OutShaman)+Z1784*(INDEX(v01_PriestShare,G1784)*v01_OutPriest+INDEX(v01_ScribeShare,G1784)*v01_OutScribe*INDEX(LM_Scribe,G1784)+INDEX(v01_ScholarShare,G1784)*v01_OutScholar*INDEX(LM_Scholar,G1784)+INDEX(v01_ResearcherShare,G1784)*v01_OutResearcher*INDEX(LM_Researcher,G1784)))</x:f>
        <x:v>0</x:v>
      </x:c>
      <x:c r="AL1784" s="32" t="n">
        <x:f>H1784*v01_RoleScale*Arch_Roles*AE1784*INDEX(v01_MonasteryPerSett,G1784)*v01_OutMonastery*INDEX(LM_Monastery,G1784)</x:f>
        <x:v>0</x:v>
      </x:c>
      <x:c r="AM1784" s="32" t="n">
        <x:f>(AJ1784+AK1784+AL1784)/4*INDEX(LM_All,G1784)*INDEX(v01_Boon,G1784)*Arch_Insight</x:f>
        <x:v>0</x:v>
      </x:c>
      <x:c r="AN1784" s="32" t="n">
        <x:f>H1784*(v01_KHPerAdult*Z1784+v01_KHOfCommons*AJ1784/4*INDEX(LM_All,G1784))*v01_KHUsable*Arch_KH</x:f>
        <x:v>0</x:v>
      </x:c>
      <x:c r="AO1784" s="32" t="n">
        <x:f>MIN(AP1783+AN1784,AM1784*v01_KHMaxRatio)</x:f>
        <x:v>0</x:v>
      </x:c>
      <x:c r="AP1784" s="32" t="n">
        <x:f>AP1783+AN1784-AO1784</x:f>
        <x:v>0</x:v>
      </x:c>
      <x:c r="AQ1784" s="32" t="n">
        <x:f>AM1784+AO1784</x:f>
        <x:v>0</x:v>
      </x:c>
      <x:c r="AR1784" s="10" t="n">
        <x:f>IF(H1784=1,INDEX(v01_Req,G1784),0)</x:f>
        <x:v>0</x:v>
      </x:c>
      <x:c r="AS1784" s="32" t="n">
        <x:f>IF(H1784=1,IF(E1784=1,AS1783-AR1783,AS1783)+AQ1784,0)</x:f>
        <x:v>0</x:v>
      </x:c>
      <x:c r="AT1784" s="11" t="n">
        <x:f>IF(AR1784&gt;0,MIN(1,AS1784/AR1784),1)</x:f>
        <x:v>1</x:v>
      </x:c>
      <x:c r="AU1784" s="10" t="n">
        <x:f>AB1784/INDEX(v01_RepScale,G1784)</x:f>
        <x:v>90.09519605746344</x:v>
      </x:c>
      <x:c r="AV1784" s="32" t="n">
        <x:f>AM1784*60/v01_SeasonSeconds</x:f>
        <x:v>0</x:v>
      </x:c>
    </x:row>
    <x:row r="1785">
      <x:c r="A1785" s="8" t="n">
        <x:f>A1784+1</x:f>
        <x:v>1782</x:v>
      </x:c>
      <x:c r="B1785" s="9" t="n">
        <x:f>A1785*v01_SeasonSeconds/60</x:f>
        <x:v>445.5</x:v>
      </x:c>
      <x:c r="C1785" s="9" t="n">
        <x:f>A1785/4</x:f>
        <x:v>445.5</x:v>
      </x:c>
      <x:c r="D1785" s="8" t="n">
        <x:f>IF(MOD(A1785,4)=0,1,0)</x:f>
        <x:v>0</x:v>
      </x:c>
      <x:c r="E1785" s="8" t="n">
        <x:f>IF(AND(F1784&lt;=9,AS1784&gt;=AR1784),1,0)</x:f>
        <x:v>0</x:v>
      </x:c>
      <x:c r="F1785" s="8" t="n">
        <x:f>MIN(10,F1784+E1785)</x:f>
        <x:v>10</x:v>
      </x:c>
      <x:c r="G1785" s="8" t="n">
        <x:f>MIN(F1785,9)+1</x:f>
        <x:v>10</x:v>
      </x:c>
      <x:c r="H1785" s="8" t="n">
        <x:f>IF(F1785&lt;=9,1,0)</x:f>
        <x:v>0</x:v>
      </x:c>
      <x:c r="I1785" s="9" t="n">
        <x:f>MIN(10,F1784+IF(AR1784&gt;0,MIN(1,AS1784/AR1784),1))</x:f>
        <x:v>10</x:v>
      </x:c>
      <x:c r="J1785" s="32" t="n">
        <x:f>INDEX(v01_FoodCap,G1785)*Arch_FoodCap*EXP(v01_CapsByProject*SUMPRODUCT((Cap_Point&lt;=I1785)*(Cap_Kind="Food")*Cap_Ln))</x:f>
        <x:v>12000</x:v>
      </x:c>
      <x:c r="K1785" s="32" t="n">
        <x:f>J1785*MIN(1,v01_LeanBase*EXP(v01_CapsByProject*SUMPRODUCT((Cap_Point&lt;=I1785)*(Cap_Kind="Lean")*Cap_Ln)))</x:f>
        <x:v>12000</x:v>
      </x:c>
      <x:c r="L1785" s="10" t="n">
        <x:f>INDEX(v01_HousingCap,G1785)*EXP(v01_CapsByProject*SUMPRODUCT((Cap_Point&lt;=I1785)*(Cap_Kind="Housing")*Cap_Ln))</x:f>
        <x:v>20000</x:v>
      </x:c>
      <x:c r="M1785" s="10" t="n">
        <x:f>INDEX(v01_GroupCap,G1785)*v01_CohesionFactor*EXP(v01_CapsByProject*SUMPRODUCT((Cap_Point&lt;=I1785)*(Cap_Kind="Group")*Cap_Ln))</x:f>
        <x:v>1000000</x:v>
      </x:c>
      <x:c r="N1785" s="32" t="n">
        <x:f>MIN(J1785,L1785,M1785)</x:f>
        <x:v>12000</x:v>
      </x:c>
      <x:c r="O1785" s="10" t="n">
        <x:f>AE1784*N1785</x:f>
        <x:v>180000</x:v>
      </x:c>
      <x:c r="P1785" s="9" t="n">
        <x:f>MIN(1,(AB1784/(AE1784*IF(v01_GroupInCrowding=1,N1785,MIN(J1785,L1785))))^v01_CrowdingExp)</x:f>
        <x:v>0.00024569414295285325</x:v>
      </x:c>
      <x:c r="Q1785" s="9" t="n">
        <x:f>IF(D1785=1,INDEX(v01_WinterMult,G1785),1)</x:f>
        <x:v>1</x:v>
      </x:c>
      <x:c r="R1785" s="9" t="n">
        <x:f>H1785*Z1784*v01_WomenShare*v01_BaseFertility*INDEX(v01_FertMult,G1785)*Arch_Fertility*(1-P1785)</x:f>
        <x:v>0</x:v>
      </x:c>
      <x:c r="S1785" s="9" t="n">
        <x:f>H1785*Y1784*INDEX(v01_MortChild,G1785)/4*Q1785</x:f>
        <x:v>0</x:v>
      </x:c>
      <x:c r="T1785" s="9" t="n">
        <x:f>H1785*Z1784*INDEX(v01_MortAdult,G1785)*Arch_AdultMort/4*Q1785</x:f>
        <x:v>0</x:v>
      </x:c>
      <x:c r="U1785" s="9" t="n">
        <x:f>H1785*AA1784*INDEX(v01_MortElder,G1785)/4*Q1785</x:f>
        <x:v>0</x:v>
      </x:c>
      <x:c r="V1785" s="9" t="n">
        <x:f>H1785*MAX(0,AB1784-O1785)*v01_OvercapLoss</x:f>
        <x:v>0</x:v>
      </x:c>
      <x:c r="W1785" s="9" t="n">
        <x:f>H1785*Y1784/(v01_ChildYears*4)</x:f>
        <x:v>0</x:v>
      </x:c>
      <x:c r="X1785" s="9" t="n">
        <x:f>H1785*Z1784/(v01_AdultYears*4)</x:f>
        <x:v>0</x:v>
      </x:c>
      <x:c r="Y1785" s="32" t="n">
        <x:f>Y1784+R1785-S1785-W1785-Y1784*V1785/AB1784</x:f>
        <x:v>14306.18539759397</x:v>
      </x:c>
      <x:c r="Z1785" s="32" t="n">
        <x:f>Z1784+W1785-X1785-T1785-Z1784*V1785/AB1784</x:f>
        <x:v>19354.456567879548</x:v>
      </x:c>
      <x:c r="AA1785" s="32" t="n">
        <x:f>AA1784+X1785-U1785-AA1784*V1785/AB1784</x:f>
        <x:v>11386.956063258198</x:v>
      </x:c>
      <x:c r="AB1785" s="10" t="n">
        <x:f>Y1785+Z1785+AA1785</x:f>
        <x:v>45047.59802873172</x:v>
      </x:c>
      <x:c r="AC1785" s="8" t="n">
        <x:f>IF(AND(v01_WinterTrigger=1,D1785=1,AB1784/AE1784&gt;=K1785),1,0)</x:f>
        <x:v>0</x:v>
      </x:c>
      <x:c r="AD1785" s="8" t="n">
        <x:f>H1785*IF(AND(OR(AB1784/AE1784&gt;=v01_FissionTrigger*N1785,AC1785=1),AB1784/AE1784*v01_DaughterShare&gt;=v01_MinDaughter),MAX(1,ROUND(AE1784*v01_FissionRate,0)),0)</x:f>
        <x:v>0</x:v>
      </x:c>
      <x:c r="AE1785" s="8" t="n">
        <x:f>IF(H1785=1,MAX(1,MIN(INDEX(v01_Smax,G1785),AE1784+AD1785)),AE1784)</x:f>
        <x:v>15</x:v>
      </x:c>
      <x:c r="AF1785" s="8" t="n">
        <x:f>MAX(0,AE1785-AE1784)</x:f>
        <x:v>0</x:v>
      </x:c>
      <x:c r="AG1785" s="9" t="str">
        <x:f>IF(AF1785&gt;0,B1785,"")</x:f>
      </x:c>
      <x:c r="AH1785" s="9" t="n">
        <x:f>IF(F1785&gt;=1,1,(1+v01_LowTiesShare*(AE1785-1))/AE1785)</x:f>
        <x:v>1</x:v>
      </x:c>
      <x:c r="AI1785" s="32" t="n">
        <x:f>(Z1785+v01_ElderCommons*INDEX(LM_Elder,G1785)*AA1785)*AH1785</x:f>
        <x:v>64139.732591141874</x:v>
      </x:c>
      <x:c r="AJ1785" s="32" t="n">
        <x:f>H1785*v01_CommonsCoef*AI1785^v01_CommonsExp*INDEX(LM_Commons,G1785)</x:f>
        <x:v>0</x:v>
      </x:c>
      <x:c r="AK1785" s="32" t="n">
        <x:f>H1785*v01_RoleScale*Arch_Roles*(AE1785*(INDEX(v01_ElderRolePerSett,G1785)*v01_OutElder*INDEX(LM_Elder,G1785)+INDEX(v01_ShamanPerSett,G1785)*v01_OutShaman)+Z1785*(INDEX(v01_PriestShare,G1785)*v01_OutPriest+INDEX(v01_ScribeShare,G1785)*v01_OutScribe*INDEX(LM_Scribe,G1785)+INDEX(v01_ScholarShare,G1785)*v01_OutScholar*INDEX(LM_Scholar,G1785)+INDEX(v01_ResearcherShare,G1785)*v01_OutResearcher*INDEX(LM_Researcher,G1785)))</x:f>
        <x:v>0</x:v>
      </x:c>
      <x:c r="AL1785" s="32" t="n">
        <x:f>H1785*v01_RoleScale*Arch_Roles*AE1785*INDEX(v01_MonasteryPerSett,G1785)*v01_OutMonastery*INDEX(LM_Monastery,G1785)</x:f>
        <x:v>0</x:v>
      </x:c>
      <x:c r="AM1785" s="32" t="n">
        <x:f>(AJ1785+AK1785+AL1785)/4*INDEX(LM_All,G1785)*INDEX(v01_Boon,G1785)*Arch_Insight</x:f>
        <x:v>0</x:v>
      </x:c>
      <x:c r="AN1785" s="32" t="n">
        <x:f>H1785*(v01_KHPerAdult*Z1785+v01_KHOfCommons*AJ1785/4*INDEX(LM_All,G1785))*v01_KHUsable*Arch_KH</x:f>
        <x:v>0</x:v>
      </x:c>
      <x:c r="AO1785" s="32" t="n">
        <x:f>MIN(AP1784+AN1785,AM1785*v01_KHMaxRatio)</x:f>
        <x:v>0</x:v>
      </x:c>
      <x:c r="AP1785" s="32" t="n">
        <x:f>AP1784+AN1785-AO1785</x:f>
        <x:v>0</x:v>
      </x:c>
      <x:c r="AQ1785" s="32" t="n">
        <x:f>AM1785+AO1785</x:f>
        <x:v>0</x:v>
      </x:c>
      <x:c r="AR1785" s="10" t="n">
        <x:f>IF(H1785=1,INDEX(v01_Req,G1785),0)</x:f>
        <x:v>0</x:v>
      </x:c>
      <x:c r="AS1785" s="32" t="n">
        <x:f>IF(H1785=1,IF(E1785=1,AS1784-AR1784,AS1784)+AQ1785,0)</x:f>
        <x:v>0</x:v>
      </x:c>
      <x:c r="AT1785" s="11" t="n">
        <x:f>IF(AR1785&gt;0,MIN(1,AS1785/AR1785),1)</x:f>
        <x:v>1</x:v>
      </x:c>
      <x:c r="AU1785" s="10" t="n">
        <x:f>AB1785/INDEX(v01_RepScale,G1785)</x:f>
        <x:v>90.09519605746344</x:v>
      </x:c>
      <x:c r="AV1785" s="32" t="n">
        <x:f>AM1785*60/v01_SeasonSeconds</x:f>
        <x:v>0</x:v>
      </x:c>
    </x:row>
    <x:row r="1786">
      <x:c r="A1786" s="8" t="n">
        <x:f>A1785+1</x:f>
        <x:v>1783</x:v>
      </x:c>
      <x:c r="B1786" s="9" t="n">
        <x:f>A1786*v01_SeasonSeconds/60</x:f>
        <x:v>445.75</x:v>
      </x:c>
      <x:c r="C1786" s="9" t="n">
        <x:f>A1786/4</x:f>
        <x:v>445.75</x:v>
      </x:c>
      <x:c r="D1786" s="8" t="n">
        <x:f>IF(MOD(A1786,4)=0,1,0)</x:f>
        <x:v>0</x:v>
      </x:c>
      <x:c r="E1786" s="8" t="n">
        <x:f>IF(AND(F1785&lt;=9,AS1785&gt;=AR1785),1,0)</x:f>
        <x:v>0</x:v>
      </x:c>
      <x:c r="F1786" s="8" t="n">
        <x:f>MIN(10,F1785+E1786)</x:f>
        <x:v>10</x:v>
      </x:c>
      <x:c r="G1786" s="8" t="n">
        <x:f>MIN(F1786,9)+1</x:f>
        <x:v>10</x:v>
      </x:c>
      <x:c r="H1786" s="8" t="n">
        <x:f>IF(F1786&lt;=9,1,0)</x:f>
        <x:v>0</x:v>
      </x:c>
      <x:c r="I1786" s="9" t="n">
        <x:f>MIN(10,F1785+IF(AR1785&gt;0,MIN(1,AS1785/AR1785),1))</x:f>
        <x:v>10</x:v>
      </x:c>
      <x:c r="J1786" s="32" t="n">
        <x:f>INDEX(v01_FoodCap,G1786)*Arch_FoodCap*EXP(v01_CapsByProject*SUMPRODUCT((Cap_Point&lt;=I1786)*(Cap_Kind="Food")*Cap_Ln))</x:f>
        <x:v>12000</x:v>
      </x:c>
      <x:c r="K1786" s="32" t="n">
        <x:f>J1786*MIN(1,v01_LeanBase*EXP(v01_CapsByProject*SUMPRODUCT((Cap_Point&lt;=I1786)*(Cap_Kind="Lean")*Cap_Ln)))</x:f>
        <x:v>12000</x:v>
      </x:c>
      <x:c r="L1786" s="10" t="n">
        <x:f>INDEX(v01_HousingCap,G1786)*EXP(v01_CapsByProject*SUMPRODUCT((Cap_Point&lt;=I1786)*(Cap_Kind="Housing")*Cap_Ln))</x:f>
        <x:v>20000</x:v>
      </x:c>
      <x:c r="M1786" s="10" t="n">
        <x:f>INDEX(v01_GroupCap,G1786)*v01_CohesionFactor*EXP(v01_CapsByProject*SUMPRODUCT((Cap_Point&lt;=I1786)*(Cap_Kind="Group")*Cap_Ln))</x:f>
        <x:v>1000000</x:v>
      </x:c>
      <x:c r="N1786" s="32" t="n">
        <x:f>MIN(J1786,L1786,M1786)</x:f>
        <x:v>12000</x:v>
      </x:c>
      <x:c r="O1786" s="10" t="n">
        <x:f>AE1785*N1786</x:f>
        <x:v>180000</x:v>
      </x:c>
      <x:c r="P1786" s="9" t="n">
        <x:f>MIN(1,(AB1785/(AE1785*IF(v01_GroupInCrowding=1,N1786,MIN(J1786,L1786))))^v01_CrowdingExp)</x:f>
        <x:v>0.00024569414295285325</x:v>
      </x:c>
      <x:c r="Q1786" s="9" t="n">
        <x:f>IF(D1786=1,INDEX(v01_WinterMult,G1786),1)</x:f>
        <x:v>1</x:v>
      </x:c>
      <x:c r="R1786" s="9" t="n">
        <x:f>H1786*Z1785*v01_WomenShare*v01_BaseFertility*INDEX(v01_FertMult,G1786)*Arch_Fertility*(1-P1786)</x:f>
        <x:v>0</x:v>
      </x:c>
      <x:c r="S1786" s="9" t="n">
        <x:f>H1786*Y1785*INDEX(v01_MortChild,G1786)/4*Q1786</x:f>
        <x:v>0</x:v>
      </x:c>
      <x:c r="T1786" s="9" t="n">
        <x:f>H1786*Z1785*INDEX(v01_MortAdult,G1786)*Arch_AdultMort/4*Q1786</x:f>
        <x:v>0</x:v>
      </x:c>
      <x:c r="U1786" s="9" t="n">
        <x:f>H1786*AA1785*INDEX(v01_MortElder,G1786)/4*Q1786</x:f>
        <x:v>0</x:v>
      </x:c>
      <x:c r="V1786" s="9" t="n">
        <x:f>H1786*MAX(0,AB1785-O1786)*v01_OvercapLoss</x:f>
        <x:v>0</x:v>
      </x:c>
      <x:c r="W1786" s="9" t="n">
        <x:f>H1786*Y1785/(v01_ChildYears*4)</x:f>
        <x:v>0</x:v>
      </x:c>
      <x:c r="X1786" s="9" t="n">
        <x:f>H1786*Z1785/(v01_AdultYears*4)</x:f>
        <x:v>0</x:v>
      </x:c>
      <x:c r="Y1786" s="32" t="n">
        <x:f>Y1785+R1786-S1786-W1786-Y1785*V1786/AB1785</x:f>
        <x:v>14306.18539759397</x:v>
      </x:c>
      <x:c r="Z1786" s="32" t="n">
        <x:f>Z1785+W1786-X1786-T1786-Z1785*V1786/AB1785</x:f>
        <x:v>19354.456567879548</x:v>
      </x:c>
      <x:c r="AA1786" s="32" t="n">
        <x:f>AA1785+X1786-U1786-AA1785*V1786/AB1785</x:f>
        <x:v>11386.956063258198</x:v>
      </x:c>
      <x:c r="AB1786" s="10" t="n">
        <x:f>Y1786+Z1786+AA1786</x:f>
        <x:v>45047.59802873172</x:v>
      </x:c>
      <x:c r="AC1786" s="8" t="n">
        <x:f>IF(AND(v01_WinterTrigger=1,D1786=1,AB1785/AE1785&gt;=K1786),1,0)</x:f>
        <x:v>0</x:v>
      </x:c>
      <x:c r="AD1786" s="8" t="n">
        <x:f>H1786*IF(AND(OR(AB1785/AE1785&gt;=v01_FissionTrigger*N1786,AC1786=1),AB1785/AE1785*v01_DaughterShare&gt;=v01_MinDaughter),MAX(1,ROUND(AE1785*v01_FissionRate,0)),0)</x:f>
        <x:v>0</x:v>
      </x:c>
      <x:c r="AE1786" s="8" t="n">
        <x:f>IF(H1786=1,MAX(1,MIN(INDEX(v01_Smax,G1786),AE1785+AD1786)),AE1785)</x:f>
        <x:v>15</x:v>
      </x:c>
      <x:c r="AF1786" s="8" t="n">
        <x:f>MAX(0,AE1786-AE1785)</x:f>
        <x:v>0</x:v>
      </x:c>
      <x:c r="AG1786" s="9" t="str">
        <x:f>IF(AF1786&gt;0,B1786,"")</x:f>
      </x:c>
      <x:c r="AH1786" s="9" t="n">
        <x:f>IF(F1786&gt;=1,1,(1+v01_LowTiesShare*(AE1786-1))/AE1786)</x:f>
        <x:v>1</x:v>
      </x:c>
      <x:c r="AI1786" s="32" t="n">
        <x:f>(Z1786+v01_ElderCommons*INDEX(LM_Elder,G1786)*AA1786)*AH1786</x:f>
        <x:v>64139.732591141874</x:v>
      </x:c>
      <x:c r="AJ1786" s="32" t="n">
        <x:f>H1786*v01_CommonsCoef*AI1786^v01_CommonsExp*INDEX(LM_Commons,G1786)</x:f>
        <x:v>0</x:v>
      </x:c>
      <x:c r="AK1786" s="32" t="n">
        <x:f>H1786*v01_RoleScale*Arch_Roles*(AE1786*(INDEX(v01_ElderRolePerSett,G1786)*v01_OutElder*INDEX(LM_Elder,G1786)+INDEX(v01_ShamanPerSett,G1786)*v01_OutShaman)+Z1786*(INDEX(v01_PriestShare,G1786)*v01_OutPriest+INDEX(v01_ScribeShare,G1786)*v01_OutScribe*INDEX(LM_Scribe,G1786)+INDEX(v01_ScholarShare,G1786)*v01_OutScholar*INDEX(LM_Scholar,G1786)+INDEX(v01_ResearcherShare,G1786)*v01_OutResearcher*INDEX(LM_Researcher,G1786)))</x:f>
        <x:v>0</x:v>
      </x:c>
      <x:c r="AL1786" s="32" t="n">
        <x:f>H1786*v01_RoleScale*Arch_Roles*AE1786*INDEX(v01_MonasteryPerSett,G1786)*v01_OutMonastery*INDEX(LM_Monastery,G1786)</x:f>
        <x:v>0</x:v>
      </x:c>
      <x:c r="AM1786" s="32" t="n">
        <x:f>(AJ1786+AK1786+AL1786)/4*INDEX(LM_All,G1786)*INDEX(v01_Boon,G1786)*Arch_Insight</x:f>
        <x:v>0</x:v>
      </x:c>
      <x:c r="AN1786" s="32" t="n">
        <x:f>H1786*(v01_KHPerAdult*Z1786+v01_KHOfCommons*AJ1786/4*INDEX(LM_All,G1786))*v01_KHUsable*Arch_KH</x:f>
        <x:v>0</x:v>
      </x:c>
      <x:c r="AO1786" s="32" t="n">
        <x:f>MIN(AP1785+AN1786,AM1786*v01_KHMaxRatio)</x:f>
        <x:v>0</x:v>
      </x:c>
      <x:c r="AP1786" s="32" t="n">
        <x:f>AP1785+AN1786-AO1786</x:f>
        <x:v>0</x:v>
      </x:c>
      <x:c r="AQ1786" s="32" t="n">
        <x:f>AM1786+AO1786</x:f>
        <x:v>0</x:v>
      </x:c>
      <x:c r="AR1786" s="10" t="n">
        <x:f>IF(H1786=1,INDEX(v01_Req,G1786),0)</x:f>
        <x:v>0</x:v>
      </x:c>
      <x:c r="AS1786" s="32" t="n">
        <x:f>IF(H1786=1,IF(E1786=1,AS1785-AR1785,AS1785)+AQ1786,0)</x:f>
        <x:v>0</x:v>
      </x:c>
      <x:c r="AT1786" s="11" t="n">
        <x:f>IF(AR1786&gt;0,MIN(1,AS1786/AR1786),1)</x:f>
        <x:v>1</x:v>
      </x:c>
      <x:c r="AU1786" s="10" t="n">
        <x:f>AB1786/INDEX(v01_RepScale,G1786)</x:f>
        <x:v>90.09519605746344</x:v>
      </x:c>
      <x:c r="AV1786" s="32" t="n">
        <x:f>AM1786*60/v01_SeasonSeconds</x:f>
        <x:v>0</x:v>
      </x:c>
    </x:row>
    <x:row r="1787">
      <x:c r="A1787" s="8" t="n">
        <x:f>A1786+1</x:f>
        <x:v>1784</x:v>
      </x:c>
      <x:c r="B1787" s="9" t="n">
        <x:f>A1787*v01_SeasonSeconds/60</x:f>
        <x:v>446</x:v>
      </x:c>
      <x:c r="C1787" s="9" t="n">
        <x:f>A1787/4</x:f>
        <x:v>446</x:v>
      </x:c>
      <x:c r="D1787" s="8" t="n">
        <x:f>IF(MOD(A1787,4)=0,1,0)</x:f>
        <x:v>1</x:v>
      </x:c>
      <x:c r="E1787" s="8" t="n">
        <x:f>IF(AND(F1786&lt;=9,AS1786&gt;=AR1786),1,0)</x:f>
        <x:v>0</x:v>
      </x:c>
      <x:c r="F1787" s="8" t="n">
        <x:f>MIN(10,F1786+E1787)</x:f>
        <x:v>10</x:v>
      </x:c>
      <x:c r="G1787" s="8" t="n">
        <x:f>MIN(F1787,9)+1</x:f>
        <x:v>10</x:v>
      </x:c>
      <x:c r="H1787" s="8" t="n">
        <x:f>IF(F1787&lt;=9,1,0)</x:f>
        <x:v>0</x:v>
      </x:c>
      <x:c r="I1787" s="9" t="n">
        <x:f>MIN(10,F1786+IF(AR1786&gt;0,MIN(1,AS1786/AR1786),1))</x:f>
        <x:v>10</x:v>
      </x:c>
      <x:c r="J1787" s="32" t="n">
        <x:f>INDEX(v01_FoodCap,G1787)*Arch_FoodCap*EXP(v01_CapsByProject*SUMPRODUCT((Cap_Point&lt;=I1787)*(Cap_Kind="Food")*Cap_Ln))</x:f>
        <x:v>12000</x:v>
      </x:c>
      <x:c r="K1787" s="32" t="n">
        <x:f>J1787*MIN(1,v01_LeanBase*EXP(v01_CapsByProject*SUMPRODUCT((Cap_Point&lt;=I1787)*(Cap_Kind="Lean")*Cap_Ln)))</x:f>
        <x:v>12000</x:v>
      </x:c>
      <x:c r="L1787" s="10" t="n">
        <x:f>INDEX(v01_HousingCap,G1787)*EXP(v01_CapsByProject*SUMPRODUCT((Cap_Point&lt;=I1787)*(Cap_Kind="Housing")*Cap_Ln))</x:f>
        <x:v>20000</x:v>
      </x:c>
      <x:c r="M1787" s="10" t="n">
        <x:f>INDEX(v01_GroupCap,G1787)*v01_CohesionFactor*EXP(v01_CapsByProject*SUMPRODUCT((Cap_Point&lt;=I1787)*(Cap_Kind="Group")*Cap_Ln))</x:f>
        <x:v>1000000</x:v>
      </x:c>
      <x:c r="N1787" s="32" t="n">
        <x:f>MIN(J1787,L1787,M1787)</x:f>
        <x:v>12000</x:v>
      </x:c>
      <x:c r="O1787" s="10" t="n">
        <x:f>AE1786*N1787</x:f>
        <x:v>180000</x:v>
      </x:c>
      <x:c r="P1787" s="9" t="n">
        <x:f>MIN(1,(AB1786/(AE1786*IF(v01_GroupInCrowding=1,N1787,MIN(J1787,L1787))))^v01_CrowdingExp)</x:f>
        <x:v>0.00024569414295285325</x:v>
      </x:c>
      <x:c r="Q1787" s="9" t="n">
        <x:f>IF(D1787=1,INDEX(v01_WinterMult,G1787),1)</x:f>
        <x:v>1</x:v>
      </x:c>
      <x:c r="R1787" s="9" t="n">
        <x:f>H1787*Z1786*v01_WomenShare*v01_BaseFertility*INDEX(v01_FertMult,G1787)*Arch_Fertility*(1-P1787)</x:f>
        <x:v>0</x:v>
      </x:c>
      <x:c r="S1787" s="9" t="n">
        <x:f>H1787*Y1786*INDEX(v01_MortChild,G1787)/4*Q1787</x:f>
        <x:v>0</x:v>
      </x:c>
      <x:c r="T1787" s="9" t="n">
        <x:f>H1787*Z1786*INDEX(v01_MortAdult,G1787)*Arch_AdultMort/4*Q1787</x:f>
        <x:v>0</x:v>
      </x:c>
      <x:c r="U1787" s="9" t="n">
        <x:f>H1787*AA1786*INDEX(v01_MortElder,G1787)/4*Q1787</x:f>
        <x:v>0</x:v>
      </x:c>
      <x:c r="V1787" s="9" t="n">
        <x:f>H1787*MAX(0,AB1786-O1787)*v01_OvercapLoss</x:f>
        <x:v>0</x:v>
      </x:c>
      <x:c r="W1787" s="9" t="n">
        <x:f>H1787*Y1786/(v01_ChildYears*4)</x:f>
        <x:v>0</x:v>
      </x:c>
      <x:c r="X1787" s="9" t="n">
        <x:f>H1787*Z1786/(v01_AdultYears*4)</x:f>
        <x:v>0</x:v>
      </x:c>
      <x:c r="Y1787" s="32" t="n">
        <x:f>Y1786+R1787-S1787-W1787-Y1786*V1787/AB1786</x:f>
        <x:v>14306.18539759397</x:v>
      </x:c>
      <x:c r="Z1787" s="32" t="n">
        <x:f>Z1786+W1787-X1787-T1787-Z1786*V1787/AB1786</x:f>
        <x:v>19354.456567879548</x:v>
      </x:c>
      <x:c r="AA1787" s="32" t="n">
        <x:f>AA1786+X1787-U1787-AA1786*V1787/AB1786</x:f>
        <x:v>11386.956063258198</x:v>
      </x:c>
      <x:c r="AB1787" s="10" t="n">
        <x:f>Y1787+Z1787+AA1787</x:f>
        <x:v>45047.59802873172</x:v>
      </x:c>
      <x:c r="AC1787" s="8" t="n">
        <x:f>IF(AND(v01_WinterTrigger=1,D1787=1,AB1786/AE1786&gt;=K1787),1,0)</x:f>
        <x:v>0</x:v>
      </x:c>
      <x:c r="AD1787" s="8" t="n">
        <x:f>H1787*IF(AND(OR(AB1786/AE1786&gt;=v01_FissionTrigger*N1787,AC1787=1),AB1786/AE1786*v01_DaughterShare&gt;=v01_MinDaughter),MAX(1,ROUND(AE1786*v01_FissionRate,0)),0)</x:f>
        <x:v>0</x:v>
      </x:c>
      <x:c r="AE1787" s="8" t="n">
        <x:f>IF(H1787=1,MAX(1,MIN(INDEX(v01_Smax,G1787),AE1786+AD1787)),AE1786)</x:f>
        <x:v>15</x:v>
      </x:c>
      <x:c r="AF1787" s="8" t="n">
        <x:f>MAX(0,AE1787-AE1786)</x:f>
        <x:v>0</x:v>
      </x:c>
      <x:c r="AG1787" s="9" t="str">
        <x:f>IF(AF1787&gt;0,B1787,"")</x:f>
      </x:c>
      <x:c r="AH1787" s="9" t="n">
        <x:f>IF(F1787&gt;=1,1,(1+v01_LowTiesShare*(AE1787-1))/AE1787)</x:f>
        <x:v>1</x:v>
      </x:c>
      <x:c r="AI1787" s="32" t="n">
        <x:f>(Z1787+v01_ElderCommons*INDEX(LM_Elder,G1787)*AA1787)*AH1787</x:f>
        <x:v>64139.732591141874</x:v>
      </x:c>
      <x:c r="AJ1787" s="32" t="n">
        <x:f>H1787*v01_CommonsCoef*AI1787^v01_CommonsExp*INDEX(LM_Commons,G1787)</x:f>
        <x:v>0</x:v>
      </x:c>
      <x:c r="AK1787" s="32" t="n">
        <x:f>H1787*v01_RoleScale*Arch_Roles*(AE1787*(INDEX(v01_ElderRolePerSett,G1787)*v01_OutElder*INDEX(LM_Elder,G1787)+INDEX(v01_ShamanPerSett,G1787)*v01_OutShaman)+Z1787*(INDEX(v01_PriestShare,G1787)*v01_OutPriest+INDEX(v01_ScribeShare,G1787)*v01_OutScribe*INDEX(LM_Scribe,G1787)+INDEX(v01_ScholarShare,G1787)*v01_OutScholar*INDEX(LM_Scholar,G1787)+INDEX(v01_ResearcherShare,G1787)*v01_OutResearcher*INDEX(LM_Researcher,G1787)))</x:f>
        <x:v>0</x:v>
      </x:c>
      <x:c r="AL1787" s="32" t="n">
        <x:f>H1787*v01_RoleScale*Arch_Roles*AE1787*INDEX(v01_MonasteryPerSett,G1787)*v01_OutMonastery*INDEX(LM_Monastery,G1787)</x:f>
        <x:v>0</x:v>
      </x:c>
      <x:c r="AM1787" s="32" t="n">
        <x:f>(AJ1787+AK1787+AL1787)/4*INDEX(LM_All,G1787)*INDEX(v01_Boon,G1787)*Arch_Insight</x:f>
        <x:v>0</x:v>
      </x:c>
      <x:c r="AN1787" s="32" t="n">
        <x:f>H1787*(v01_KHPerAdult*Z1787+v01_KHOfCommons*AJ1787/4*INDEX(LM_All,G1787))*v01_KHUsable*Arch_KH</x:f>
        <x:v>0</x:v>
      </x:c>
      <x:c r="AO1787" s="32" t="n">
        <x:f>MIN(AP1786+AN1787,AM1787*v01_KHMaxRatio)</x:f>
        <x:v>0</x:v>
      </x:c>
      <x:c r="AP1787" s="32" t="n">
        <x:f>AP1786+AN1787-AO1787</x:f>
        <x:v>0</x:v>
      </x:c>
      <x:c r="AQ1787" s="32" t="n">
        <x:f>AM1787+AO1787</x:f>
        <x:v>0</x:v>
      </x:c>
      <x:c r="AR1787" s="10" t="n">
        <x:f>IF(H1787=1,INDEX(v01_Req,G1787),0)</x:f>
        <x:v>0</x:v>
      </x:c>
      <x:c r="AS1787" s="32" t="n">
        <x:f>IF(H1787=1,IF(E1787=1,AS1786-AR1786,AS1786)+AQ1787,0)</x:f>
        <x:v>0</x:v>
      </x:c>
      <x:c r="AT1787" s="11" t="n">
        <x:f>IF(AR1787&gt;0,MIN(1,AS1787/AR1787),1)</x:f>
        <x:v>1</x:v>
      </x:c>
      <x:c r="AU1787" s="10" t="n">
        <x:f>AB1787/INDEX(v01_RepScale,G1787)</x:f>
        <x:v>90.09519605746344</x:v>
      </x:c>
      <x:c r="AV1787" s="32" t="n">
        <x:f>AM1787*60/v01_SeasonSeconds</x:f>
        <x:v>0</x:v>
      </x:c>
    </x:row>
    <x:row r="1788">
      <x:c r="A1788" s="8" t="n">
        <x:f>A1787+1</x:f>
        <x:v>1785</x:v>
      </x:c>
      <x:c r="B1788" s="9" t="n">
        <x:f>A1788*v01_SeasonSeconds/60</x:f>
        <x:v>446.25</x:v>
      </x:c>
      <x:c r="C1788" s="9" t="n">
        <x:f>A1788/4</x:f>
        <x:v>446.25</x:v>
      </x:c>
      <x:c r="D1788" s="8" t="n">
        <x:f>IF(MOD(A1788,4)=0,1,0)</x:f>
        <x:v>0</x:v>
      </x:c>
      <x:c r="E1788" s="8" t="n">
        <x:f>IF(AND(F1787&lt;=9,AS1787&gt;=AR1787),1,0)</x:f>
        <x:v>0</x:v>
      </x:c>
      <x:c r="F1788" s="8" t="n">
        <x:f>MIN(10,F1787+E1788)</x:f>
        <x:v>10</x:v>
      </x:c>
      <x:c r="G1788" s="8" t="n">
        <x:f>MIN(F1788,9)+1</x:f>
        <x:v>10</x:v>
      </x:c>
      <x:c r="H1788" s="8" t="n">
        <x:f>IF(F1788&lt;=9,1,0)</x:f>
        <x:v>0</x:v>
      </x:c>
      <x:c r="I1788" s="9" t="n">
        <x:f>MIN(10,F1787+IF(AR1787&gt;0,MIN(1,AS1787/AR1787),1))</x:f>
        <x:v>10</x:v>
      </x:c>
      <x:c r="J1788" s="32" t="n">
        <x:f>INDEX(v01_FoodCap,G1788)*Arch_FoodCap*EXP(v01_CapsByProject*SUMPRODUCT((Cap_Point&lt;=I1788)*(Cap_Kind="Food")*Cap_Ln))</x:f>
        <x:v>12000</x:v>
      </x:c>
      <x:c r="K1788" s="32" t="n">
        <x:f>J1788*MIN(1,v01_LeanBase*EXP(v01_CapsByProject*SUMPRODUCT((Cap_Point&lt;=I1788)*(Cap_Kind="Lean")*Cap_Ln)))</x:f>
        <x:v>12000</x:v>
      </x:c>
      <x:c r="L1788" s="10" t="n">
        <x:f>INDEX(v01_HousingCap,G1788)*EXP(v01_CapsByProject*SUMPRODUCT((Cap_Point&lt;=I1788)*(Cap_Kind="Housing")*Cap_Ln))</x:f>
        <x:v>20000</x:v>
      </x:c>
      <x:c r="M1788" s="10" t="n">
        <x:f>INDEX(v01_GroupCap,G1788)*v01_CohesionFactor*EXP(v01_CapsByProject*SUMPRODUCT((Cap_Point&lt;=I1788)*(Cap_Kind="Group")*Cap_Ln))</x:f>
        <x:v>1000000</x:v>
      </x:c>
      <x:c r="N1788" s="32" t="n">
        <x:f>MIN(J1788,L1788,M1788)</x:f>
        <x:v>12000</x:v>
      </x:c>
      <x:c r="O1788" s="10" t="n">
        <x:f>AE1787*N1788</x:f>
        <x:v>180000</x:v>
      </x:c>
      <x:c r="P1788" s="9" t="n">
        <x:f>MIN(1,(AB1787/(AE1787*IF(v01_GroupInCrowding=1,N1788,MIN(J1788,L1788))))^v01_CrowdingExp)</x:f>
        <x:v>0.00024569414295285325</x:v>
      </x:c>
      <x:c r="Q1788" s="9" t="n">
        <x:f>IF(D1788=1,INDEX(v01_WinterMult,G1788),1)</x:f>
        <x:v>1</x:v>
      </x:c>
      <x:c r="R1788" s="9" t="n">
        <x:f>H1788*Z1787*v01_WomenShare*v01_BaseFertility*INDEX(v01_FertMult,G1788)*Arch_Fertility*(1-P1788)</x:f>
        <x:v>0</x:v>
      </x:c>
      <x:c r="S1788" s="9" t="n">
        <x:f>H1788*Y1787*INDEX(v01_MortChild,G1788)/4*Q1788</x:f>
        <x:v>0</x:v>
      </x:c>
      <x:c r="T1788" s="9" t="n">
        <x:f>H1788*Z1787*INDEX(v01_MortAdult,G1788)*Arch_AdultMort/4*Q1788</x:f>
        <x:v>0</x:v>
      </x:c>
      <x:c r="U1788" s="9" t="n">
        <x:f>H1788*AA1787*INDEX(v01_MortElder,G1788)/4*Q1788</x:f>
        <x:v>0</x:v>
      </x:c>
      <x:c r="V1788" s="9" t="n">
        <x:f>H1788*MAX(0,AB1787-O1788)*v01_OvercapLoss</x:f>
        <x:v>0</x:v>
      </x:c>
      <x:c r="W1788" s="9" t="n">
        <x:f>H1788*Y1787/(v01_ChildYears*4)</x:f>
        <x:v>0</x:v>
      </x:c>
      <x:c r="X1788" s="9" t="n">
        <x:f>H1788*Z1787/(v01_AdultYears*4)</x:f>
        <x:v>0</x:v>
      </x:c>
      <x:c r="Y1788" s="32" t="n">
        <x:f>Y1787+R1788-S1788-W1788-Y1787*V1788/AB1787</x:f>
        <x:v>14306.18539759397</x:v>
      </x:c>
      <x:c r="Z1788" s="32" t="n">
        <x:f>Z1787+W1788-X1788-T1788-Z1787*V1788/AB1787</x:f>
        <x:v>19354.456567879548</x:v>
      </x:c>
      <x:c r="AA1788" s="32" t="n">
        <x:f>AA1787+X1788-U1788-AA1787*V1788/AB1787</x:f>
        <x:v>11386.956063258198</x:v>
      </x:c>
      <x:c r="AB1788" s="10" t="n">
        <x:f>Y1788+Z1788+AA1788</x:f>
        <x:v>45047.59802873172</x:v>
      </x:c>
      <x:c r="AC1788" s="8" t="n">
        <x:f>IF(AND(v01_WinterTrigger=1,D1788=1,AB1787/AE1787&gt;=K1788),1,0)</x:f>
        <x:v>0</x:v>
      </x:c>
      <x:c r="AD1788" s="8" t="n">
        <x:f>H1788*IF(AND(OR(AB1787/AE1787&gt;=v01_FissionTrigger*N1788,AC1788=1),AB1787/AE1787*v01_DaughterShare&gt;=v01_MinDaughter),MAX(1,ROUND(AE1787*v01_FissionRate,0)),0)</x:f>
        <x:v>0</x:v>
      </x:c>
      <x:c r="AE1788" s="8" t="n">
        <x:f>IF(H1788=1,MAX(1,MIN(INDEX(v01_Smax,G1788),AE1787+AD1788)),AE1787)</x:f>
        <x:v>15</x:v>
      </x:c>
      <x:c r="AF1788" s="8" t="n">
        <x:f>MAX(0,AE1788-AE1787)</x:f>
        <x:v>0</x:v>
      </x:c>
      <x:c r="AG1788" s="9" t="str">
        <x:f>IF(AF1788&gt;0,B1788,"")</x:f>
      </x:c>
      <x:c r="AH1788" s="9" t="n">
        <x:f>IF(F1788&gt;=1,1,(1+v01_LowTiesShare*(AE1788-1))/AE1788)</x:f>
        <x:v>1</x:v>
      </x:c>
      <x:c r="AI1788" s="32" t="n">
        <x:f>(Z1788+v01_ElderCommons*INDEX(LM_Elder,G1788)*AA1788)*AH1788</x:f>
        <x:v>64139.732591141874</x:v>
      </x:c>
      <x:c r="AJ1788" s="32" t="n">
        <x:f>H1788*v01_CommonsCoef*AI1788^v01_CommonsExp*INDEX(LM_Commons,G1788)</x:f>
        <x:v>0</x:v>
      </x:c>
      <x:c r="AK1788" s="32" t="n">
        <x:f>H1788*v01_RoleScale*Arch_Roles*(AE1788*(INDEX(v01_ElderRolePerSett,G1788)*v01_OutElder*INDEX(LM_Elder,G1788)+INDEX(v01_ShamanPerSett,G1788)*v01_OutShaman)+Z1788*(INDEX(v01_PriestShare,G1788)*v01_OutPriest+INDEX(v01_ScribeShare,G1788)*v01_OutScribe*INDEX(LM_Scribe,G1788)+INDEX(v01_ScholarShare,G1788)*v01_OutScholar*INDEX(LM_Scholar,G1788)+INDEX(v01_ResearcherShare,G1788)*v01_OutResearcher*INDEX(LM_Researcher,G1788)))</x:f>
        <x:v>0</x:v>
      </x:c>
      <x:c r="AL1788" s="32" t="n">
        <x:f>H1788*v01_RoleScale*Arch_Roles*AE1788*INDEX(v01_MonasteryPerSett,G1788)*v01_OutMonastery*INDEX(LM_Monastery,G1788)</x:f>
        <x:v>0</x:v>
      </x:c>
      <x:c r="AM1788" s="32" t="n">
        <x:f>(AJ1788+AK1788+AL1788)/4*INDEX(LM_All,G1788)*INDEX(v01_Boon,G1788)*Arch_Insight</x:f>
        <x:v>0</x:v>
      </x:c>
      <x:c r="AN1788" s="32" t="n">
        <x:f>H1788*(v01_KHPerAdult*Z1788+v01_KHOfCommons*AJ1788/4*INDEX(LM_All,G1788))*v01_KHUsable*Arch_KH</x:f>
        <x:v>0</x:v>
      </x:c>
      <x:c r="AO1788" s="32" t="n">
        <x:f>MIN(AP1787+AN1788,AM1788*v01_KHMaxRatio)</x:f>
        <x:v>0</x:v>
      </x:c>
      <x:c r="AP1788" s="32" t="n">
        <x:f>AP1787+AN1788-AO1788</x:f>
        <x:v>0</x:v>
      </x:c>
      <x:c r="AQ1788" s="32" t="n">
        <x:f>AM1788+AO1788</x:f>
        <x:v>0</x:v>
      </x:c>
      <x:c r="AR1788" s="10" t="n">
        <x:f>IF(H1788=1,INDEX(v01_Req,G1788),0)</x:f>
        <x:v>0</x:v>
      </x:c>
      <x:c r="AS1788" s="32" t="n">
        <x:f>IF(H1788=1,IF(E1788=1,AS1787-AR1787,AS1787)+AQ1788,0)</x:f>
        <x:v>0</x:v>
      </x:c>
      <x:c r="AT1788" s="11" t="n">
        <x:f>IF(AR1788&gt;0,MIN(1,AS1788/AR1788),1)</x:f>
        <x:v>1</x:v>
      </x:c>
      <x:c r="AU1788" s="10" t="n">
        <x:f>AB1788/INDEX(v01_RepScale,G1788)</x:f>
        <x:v>90.09519605746344</x:v>
      </x:c>
      <x:c r="AV1788" s="32" t="n">
        <x:f>AM1788*60/v01_SeasonSeconds</x:f>
        <x:v>0</x:v>
      </x:c>
    </x:row>
    <x:row r="1789">
      <x:c r="A1789" s="8" t="n">
        <x:f>A1788+1</x:f>
        <x:v>1786</x:v>
      </x:c>
      <x:c r="B1789" s="9" t="n">
        <x:f>A1789*v01_SeasonSeconds/60</x:f>
        <x:v>446.5</x:v>
      </x:c>
      <x:c r="C1789" s="9" t="n">
        <x:f>A1789/4</x:f>
        <x:v>446.5</x:v>
      </x:c>
      <x:c r="D1789" s="8" t="n">
        <x:f>IF(MOD(A1789,4)=0,1,0)</x:f>
        <x:v>0</x:v>
      </x:c>
      <x:c r="E1789" s="8" t="n">
        <x:f>IF(AND(F1788&lt;=9,AS1788&gt;=AR1788),1,0)</x:f>
        <x:v>0</x:v>
      </x:c>
      <x:c r="F1789" s="8" t="n">
        <x:f>MIN(10,F1788+E1789)</x:f>
        <x:v>10</x:v>
      </x:c>
      <x:c r="G1789" s="8" t="n">
        <x:f>MIN(F1789,9)+1</x:f>
        <x:v>10</x:v>
      </x:c>
      <x:c r="H1789" s="8" t="n">
        <x:f>IF(F1789&lt;=9,1,0)</x:f>
        <x:v>0</x:v>
      </x:c>
      <x:c r="I1789" s="9" t="n">
        <x:f>MIN(10,F1788+IF(AR1788&gt;0,MIN(1,AS1788/AR1788),1))</x:f>
        <x:v>10</x:v>
      </x:c>
      <x:c r="J1789" s="32" t="n">
        <x:f>INDEX(v01_FoodCap,G1789)*Arch_FoodCap*EXP(v01_CapsByProject*SUMPRODUCT((Cap_Point&lt;=I1789)*(Cap_Kind="Food")*Cap_Ln))</x:f>
        <x:v>12000</x:v>
      </x:c>
      <x:c r="K1789" s="32" t="n">
        <x:f>J1789*MIN(1,v01_LeanBase*EXP(v01_CapsByProject*SUMPRODUCT((Cap_Point&lt;=I1789)*(Cap_Kind="Lean")*Cap_Ln)))</x:f>
        <x:v>12000</x:v>
      </x:c>
      <x:c r="L1789" s="10" t="n">
        <x:f>INDEX(v01_HousingCap,G1789)*EXP(v01_CapsByProject*SUMPRODUCT((Cap_Point&lt;=I1789)*(Cap_Kind="Housing")*Cap_Ln))</x:f>
        <x:v>20000</x:v>
      </x:c>
      <x:c r="M1789" s="10" t="n">
        <x:f>INDEX(v01_GroupCap,G1789)*v01_CohesionFactor*EXP(v01_CapsByProject*SUMPRODUCT((Cap_Point&lt;=I1789)*(Cap_Kind="Group")*Cap_Ln))</x:f>
        <x:v>1000000</x:v>
      </x:c>
      <x:c r="N1789" s="32" t="n">
        <x:f>MIN(J1789,L1789,M1789)</x:f>
        <x:v>12000</x:v>
      </x:c>
      <x:c r="O1789" s="10" t="n">
        <x:f>AE1788*N1789</x:f>
        <x:v>180000</x:v>
      </x:c>
      <x:c r="P1789" s="9" t="n">
        <x:f>MIN(1,(AB1788/(AE1788*IF(v01_GroupInCrowding=1,N1789,MIN(J1789,L1789))))^v01_CrowdingExp)</x:f>
        <x:v>0.00024569414295285325</x:v>
      </x:c>
      <x:c r="Q1789" s="9" t="n">
        <x:f>IF(D1789=1,INDEX(v01_WinterMult,G1789),1)</x:f>
        <x:v>1</x:v>
      </x:c>
      <x:c r="R1789" s="9" t="n">
        <x:f>H1789*Z1788*v01_WomenShare*v01_BaseFertility*INDEX(v01_FertMult,G1789)*Arch_Fertility*(1-P1789)</x:f>
        <x:v>0</x:v>
      </x:c>
      <x:c r="S1789" s="9" t="n">
        <x:f>H1789*Y1788*INDEX(v01_MortChild,G1789)/4*Q1789</x:f>
        <x:v>0</x:v>
      </x:c>
      <x:c r="T1789" s="9" t="n">
        <x:f>H1789*Z1788*INDEX(v01_MortAdult,G1789)*Arch_AdultMort/4*Q1789</x:f>
        <x:v>0</x:v>
      </x:c>
      <x:c r="U1789" s="9" t="n">
        <x:f>H1789*AA1788*INDEX(v01_MortElder,G1789)/4*Q1789</x:f>
        <x:v>0</x:v>
      </x:c>
      <x:c r="V1789" s="9" t="n">
        <x:f>H1789*MAX(0,AB1788-O1789)*v01_OvercapLoss</x:f>
        <x:v>0</x:v>
      </x:c>
      <x:c r="W1789" s="9" t="n">
        <x:f>H1789*Y1788/(v01_ChildYears*4)</x:f>
        <x:v>0</x:v>
      </x:c>
      <x:c r="X1789" s="9" t="n">
        <x:f>H1789*Z1788/(v01_AdultYears*4)</x:f>
        <x:v>0</x:v>
      </x:c>
      <x:c r="Y1789" s="32" t="n">
        <x:f>Y1788+R1789-S1789-W1789-Y1788*V1789/AB1788</x:f>
        <x:v>14306.18539759397</x:v>
      </x:c>
      <x:c r="Z1789" s="32" t="n">
        <x:f>Z1788+W1789-X1789-T1789-Z1788*V1789/AB1788</x:f>
        <x:v>19354.456567879548</x:v>
      </x:c>
      <x:c r="AA1789" s="32" t="n">
        <x:f>AA1788+X1789-U1789-AA1788*V1789/AB1788</x:f>
        <x:v>11386.956063258198</x:v>
      </x:c>
      <x:c r="AB1789" s="10" t="n">
        <x:f>Y1789+Z1789+AA1789</x:f>
        <x:v>45047.59802873172</x:v>
      </x:c>
      <x:c r="AC1789" s="8" t="n">
        <x:f>IF(AND(v01_WinterTrigger=1,D1789=1,AB1788/AE1788&gt;=K1789),1,0)</x:f>
        <x:v>0</x:v>
      </x:c>
      <x:c r="AD1789" s="8" t="n">
        <x:f>H1789*IF(AND(OR(AB1788/AE1788&gt;=v01_FissionTrigger*N1789,AC1789=1),AB1788/AE1788*v01_DaughterShare&gt;=v01_MinDaughter),MAX(1,ROUND(AE1788*v01_FissionRate,0)),0)</x:f>
        <x:v>0</x:v>
      </x:c>
      <x:c r="AE1789" s="8" t="n">
        <x:f>IF(H1789=1,MAX(1,MIN(INDEX(v01_Smax,G1789),AE1788+AD1789)),AE1788)</x:f>
        <x:v>15</x:v>
      </x:c>
      <x:c r="AF1789" s="8" t="n">
        <x:f>MAX(0,AE1789-AE1788)</x:f>
        <x:v>0</x:v>
      </x:c>
      <x:c r="AG1789" s="9" t="str">
        <x:f>IF(AF1789&gt;0,B1789,"")</x:f>
      </x:c>
      <x:c r="AH1789" s="9" t="n">
        <x:f>IF(F1789&gt;=1,1,(1+v01_LowTiesShare*(AE1789-1))/AE1789)</x:f>
        <x:v>1</x:v>
      </x:c>
      <x:c r="AI1789" s="32" t="n">
        <x:f>(Z1789+v01_ElderCommons*INDEX(LM_Elder,G1789)*AA1789)*AH1789</x:f>
        <x:v>64139.732591141874</x:v>
      </x:c>
      <x:c r="AJ1789" s="32" t="n">
        <x:f>H1789*v01_CommonsCoef*AI1789^v01_CommonsExp*INDEX(LM_Commons,G1789)</x:f>
        <x:v>0</x:v>
      </x:c>
      <x:c r="AK1789" s="32" t="n">
        <x:f>H1789*v01_RoleScale*Arch_Roles*(AE1789*(INDEX(v01_ElderRolePerSett,G1789)*v01_OutElder*INDEX(LM_Elder,G1789)+INDEX(v01_ShamanPerSett,G1789)*v01_OutShaman)+Z1789*(INDEX(v01_PriestShare,G1789)*v01_OutPriest+INDEX(v01_ScribeShare,G1789)*v01_OutScribe*INDEX(LM_Scribe,G1789)+INDEX(v01_ScholarShare,G1789)*v01_OutScholar*INDEX(LM_Scholar,G1789)+INDEX(v01_ResearcherShare,G1789)*v01_OutResearcher*INDEX(LM_Researcher,G1789)))</x:f>
        <x:v>0</x:v>
      </x:c>
      <x:c r="AL1789" s="32" t="n">
        <x:f>H1789*v01_RoleScale*Arch_Roles*AE1789*INDEX(v01_MonasteryPerSett,G1789)*v01_OutMonastery*INDEX(LM_Monastery,G1789)</x:f>
        <x:v>0</x:v>
      </x:c>
      <x:c r="AM1789" s="32" t="n">
        <x:f>(AJ1789+AK1789+AL1789)/4*INDEX(LM_All,G1789)*INDEX(v01_Boon,G1789)*Arch_Insight</x:f>
        <x:v>0</x:v>
      </x:c>
      <x:c r="AN1789" s="32" t="n">
        <x:f>H1789*(v01_KHPerAdult*Z1789+v01_KHOfCommons*AJ1789/4*INDEX(LM_All,G1789))*v01_KHUsable*Arch_KH</x:f>
        <x:v>0</x:v>
      </x:c>
      <x:c r="AO1789" s="32" t="n">
        <x:f>MIN(AP1788+AN1789,AM1789*v01_KHMaxRatio)</x:f>
        <x:v>0</x:v>
      </x:c>
      <x:c r="AP1789" s="32" t="n">
        <x:f>AP1788+AN1789-AO1789</x:f>
        <x:v>0</x:v>
      </x:c>
      <x:c r="AQ1789" s="32" t="n">
        <x:f>AM1789+AO1789</x:f>
        <x:v>0</x:v>
      </x:c>
      <x:c r="AR1789" s="10" t="n">
        <x:f>IF(H1789=1,INDEX(v01_Req,G1789),0)</x:f>
        <x:v>0</x:v>
      </x:c>
      <x:c r="AS1789" s="32" t="n">
        <x:f>IF(H1789=1,IF(E1789=1,AS1788-AR1788,AS1788)+AQ1789,0)</x:f>
        <x:v>0</x:v>
      </x:c>
      <x:c r="AT1789" s="11" t="n">
        <x:f>IF(AR1789&gt;0,MIN(1,AS1789/AR1789),1)</x:f>
        <x:v>1</x:v>
      </x:c>
      <x:c r="AU1789" s="10" t="n">
        <x:f>AB1789/INDEX(v01_RepScale,G1789)</x:f>
        <x:v>90.09519605746344</x:v>
      </x:c>
      <x:c r="AV1789" s="32" t="n">
        <x:f>AM1789*60/v01_SeasonSeconds</x:f>
        <x:v>0</x:v>
      </x:c>
    </x:row>
    <x:row r="1790">
      <x:c r="A1790" s="8" t="n">
        <x:f>A1789+1</x:f>
        <x:v>1787</x:v>
      </x:c>
      <x:c r="B1790" s="9" t="n">
        <x:f>A1790*v01_SeasonSeconds/60</x:f>
        <x:v>446.75</x:v>
      </x:c>
      <x:c r="C1790" s="9" t="n">
        <x:f>A1790/4</x:f>
        <x:v>446.75</x:v>
      </x:c>
      <x:c r="D1790" s="8" t="n">
        <x:f>IF(MOD(A1790,4)=0,1,0)</x:f>
        <x:v>0</x:v>
      </x:c>
      <x:c r="E1790" s="8" t="n">
        <x:f>IF(AND(F1789&lt;=9,AS1789&gt;=AR1789),1,0)</x:f>
        <x:v>0</x:v>
      </x:c>
      <x:c r="F1790" s="8" t="n">
        <x:f>MIN(10,F1789+E1790)</x:f>
        <x:v>10</x:v>
      </x:c>
      <x:c r="G1790" s="8" t="n">
        <x:f>MIN(F1790,9)+1</x:f>
        <x:v>10</x:v>
      </x:c>
      <x:c r="H1790" s="8" t="n">
        <x:f>IF(F1790&lt;=9,1,0)</x:f>
        <x:v>0</x:v>
      </x:c>
      <x:c r="I1790" s="9" t="n">
        <x:f>MIN(10,F1789+IF(AR1789&gt;0,MIN(1,AS1789/AR1789),1))</x:f>
        <x:v>10</x:v>
      </x:c>
      <x:c r="J1790" s="32" t="n">
        <x:f>INDEX(v01_FoodCap,G1790)*Arch_FoodCap*EXP(v01_CapsByProject*SUMPRODUCT((Cap_Point&lt;=I1790)*(Cap_Kind="Food")*Cap_Ln))</x:f>
        <x:v>12000</x:v>
      </x:c>
      <x:c r="K1790" s="32" t="n">
        <x:f>J1790*MIN(1,v01_LeanBase*EXP(v01_CapsByProject*SUMPRODUCT((Cap_Point&lt;=I1790)*(Cap_Kind="Lean")*Cap_Ln)))</x:f>
        <x:v>12000</x:v>
      </x:c>
      <x:c r="L1790" s="10" t="n">
        <x:f>INDEX(v01_HousingCap,G1790)*EXP(v01_CapsByProject*SUMPRODUCT((Cap_Point&lt;=I1790)*(Cap_Kind="Housing")*Cap_Ln))</x:f>
        <x:v>20000</x:v>
      </x:c>
      <x:c r="M1790" s="10" t="n">
        <x:f>INDEX(v01_GroupCap,G1790)*v01_CohesionFactor*EXP(v01_CapsByProject*SUMPRODUCT((Cap_Point&lt;=I1790)*(Cap_Kind="Group")*Cap_Ln))</x:f>
        <x:v>1000000</x:v>
      </x:c>
      <x:c r="N1790" s="32" t="n">
        <x:f>MIN(J1790,L1790,M1790)</x:f>
        <x:v>12000</x:v>
      </x:c>
      <x:c r="O1790" s="10" t="n">
        <x:f>AE1789*N1790</x:f>
        <x:v>180000</x:v>
      </x:c>
      <x:c r="P1790" s="9" t="n">
        <x:f>MIN(1,(AB1789/(AE1789*IF(v01_GroupInCrowding=1,N1790,MIN(J1790,L1790))))^v01_CrowdingExp)</x:f>
        <x:v>0.00024569414295285325</x:v>
      </x:c>
      <x:c r="Q1790" s="9" t="n">
        <x:f>IF(D1790=1,INDEX(v01_WinterMult,G1790),1)</x:f>
        <x:v>1</x:v>
      </x:c>
      <x:c r="R1790" s="9" t="n">
        <x:f>H1790*Z1789*v01_WomenShare*v01_BaseFertility*INDEX(v01_FertMult,G1790)*Arch_Fertility*(1-P1790)</x:f>
        <x:v>0</x:v>
      </x:c>
      <x:c r="S1790" s="9" t="n">
        <x:f>H1790*Y1789*INDEX(v01_MortChild,G1790)/4*Q1790</x:f>
        <x:v>0</x:v>
      </x:c>
      <x:c r="T1790" s="9" t="n">
        <x:f>H1790*Z1789*INDEX(v01_MortAdult,G1790)*Arch_AdultMort/4*Q1790</x:f>
        <x:v>0</x:v>
      </x:c>
      <x:c r="U1790" s="9" t="n">
        <x:f>H1790*AA1789*INDEX(v01_MortElder,G1790)/4*Q1790</x:f>
        <x:v>0</x:v>
      </x:c>
      <x:c r="V1790" s="9" t="n">
        <x:f>H1790*MAX(0,AB1789-O1790)*v01_OvercapLoss</x:f>
        <x:v>0</x:v>
      </x:c>
      <x:c r="W1790" s="9" t="n">
        <x:f>H1790*Y1789/(v01_ChildYears*4)</x:f>
        <x:v>0</x:v>
      </x:c>
      <x:c r="X1790" s="9" t="n">
        <x:f>H1790*Z1789/(v01_AdultYears*4)</x:f>
        <x:v>0</x:v>
      </x:c>
      <x:c r="Y1790" s="32" t="n">
        <x:f>Y1789+R1790-S1790-W1790-Y1789*V1790/AB1789</x:f>
        <x:v>14306.18539759397</x:v>
      </x:c>
      <x:c r="Z1790" s="32" t="n">
        <x:f>Z1789+W1790-X1790-T1790-Z1789*V1790/AB1789</x:f>
        <x:v>19354.456567879548</x:v>
      </x:c>
      <x:c r="AA1790" s="32" t="n">
        <x:f>AA1789+X1790-U1790-AA1789*V1790/AB1789</x:f>
        <x:v>11386.956063258198</x:v>
      </x:c>
      <x:c r="AB1790" s="10" t="n">
        <x:f>Y1790+Z1790+AA1790</x:f>
        <x:v>45047.59802873172</x:v>
      </x:c>
      <x:c r="AC1790" s="8" t="n">
        <x:f>IF(AND(v01_WinterTrigger=1,D1790=1,AB1789/AE1789&gt;=K1790),1,0)</x:f>
        <x:v>0</x:v>
      </x:c>
      <x:c r="AD1790" s="8" t="n">
        <x:f>H1790*IF(AND(OR(AB1789/AE1789&gt;=v01_FissionTrigger*N1790,AC1790=1),AB1789/AE1789*v01_DaughterShare&gt;=v01_MinDaughter),MAX(1,ROUND(AE1789*v01_FissionRate,0)),0)</x:f>
        <x:v>0</x:v>
      </x:c>
      <x:c r="AE1790" s="8" t="n">
        <x:f>IF(H1790=1,MAX(1,MIN(INDEX(v01_Smax,G1790),AE1789+AD1790)),AE1789)</x:f>
        <x:v>15</x:v>
      </x:c>
      <x:c r="AF1790" s="8" t="n">
        <x:f>MAX(0,AE1790-AE1789)</x:f>
        <x:v>0</x:v>
      </x:c>
      <x:c r="AG1790" s="9" t="str">
        <x:f>IF(AF1790&gt;0,B1790,"")</x:f>
      </x:c>
      <x:c r="AH1790" s="9" t="n">
        <x:f>IF(F1790&gt;=1,1,(1+v01_LowTiesShare*(AE1790-1))/AE1790)</x:f>
        <x:v>1</x:v>
      </x:c>
      <x:c r="AI1790" s="32" t="n">
        <x:f>(Z1790+v01_ElderCommons*INDEX(LM_Elder,G1790)*AA1790)*AH1790</x:f>
        <x:v>64139.732591141874</x:v>
      </x:c>
      <x:c r="AJ1790" s="32" t="n">
        <x:f>H1790*v01_CommonsCoef*AI1790^v01_CommonsExp*INDEX(LM_Commons,G1790)</x:f>
        <x:v>0</x:v>
      </x:c>
      <x:c r="AK1790" s="32" t="n">
        <x:f>H1790*v01_RoleScale*Arch_Roles*(AE1790*(INDEX(v01_ElderRolePerSett,G1790)*v01_OutElder*INDEX(LM_Elder,G1790)+INDEX(v01_ShamanPerSett,G1790)*v01_OutShaman)+Z1790*(INDEX(v01_PriestShare,G1790)*v01_OutPriest+INDEX(v01_ScribeShare,G1790)*v01_OutScribe*INDEX(LM_Scribe,G1790)+INDEX(v01_ScholarShare,G1790)*v01_OutScholar*INDEX(LM_Scholar,G1790)+INDEX(v01_ResearcherShare,G1790)*v01_OutResearcher*INDEX(LM_Researcher,G1790)))</x:f>
        <x:v>0</x:v>
      </x:c>
      <x:c r="AL1790" s="32" t="n">
        <x:f>H1790*v01_RoleScale*Arch_Roles*AE1790*INDEX(v01_MonasteryPerSett,G1790)*v01_OutMonastery*INDEX(LM_Monastery,G1790)</x:f>
        <x:v>0</x:v>
      </x:c>
      <x:c r="AM1790" s="32" t="n">
        <x:f>(AJ1790+AK1790+AL1790)/4*INDEX(LM_All,G1790)*INDEX(v01_Boon,G1790)*Arch_Insight</x:f>
        <x:v>0</x:v>
      </x:c>
      <x:c r="AN1790" s="32" t="n">
        <x:f>H1790*(v01_KHPerAdult*Z1790+v01_KHOfCommons*AJ1790/4*INDEX(LM_All,G1790))*v01_KHUsable*Arch_KH</x:f>
        <x:v>0</x:v>
      </x:c>
      <x:c r="AO1790" s="32" t="n">
        <x:f>MIN(AP1789+AN1790,AM1790*v01_KHMaxRatio)</x:f>
        <x:v>0</x:v>
      </x:c>
      <x:c r="AP1790" s="32" t="n">
        <x:f>AP1789+AN1790-AO1790</x:f>
        <x:v>0</x:v>
      </x:c>
      <x:c r="AQ1790" s="32" t="n">
        <x:f>AM1790+AO1790</x:f>
        <x:v>0</x:v>
      </x:c>
      <x:c r="AR1790" s="10" t="n">
        <x:f>IF(H1790=1,INDEX(v01_Req,G1790),0)</x:f>
        <x:v>0</x:v>
      </x:c>
      <x:c r="AS1790" s="32" t="n">
        <x:f>IF(H1790=1,IF(E1790=1,AS1789-AR1789,AS1789)+AQ1790,0)</x:f>
        <x:v>0</x:v>
      </x:c>
      <x:c r="AT1790" s="11" t="n">
        <x:f>IF(AR1790&gt;0,MIN(1,AS1790/AR1790),1)</x:f>
        <x:v>1</x:v>
      </x:c>
      <x:c r="AU1790" s="10" t="n">
        <x:f>AB1790/INDEX(v01_RepScale,G1790)</x:f>
        <x:v>90.09519605746344</x:v>
      </x:c>
      <x:c r="AV1790" s="32" t="n">
        <x:f>AM1790*60/v01_SeasonSeconds</x:f>
        <x:v>0</x:v>
      </x:c>
    </x:row>
    <x:row r="1791">
      <x:c r="A1791" s="8" t="n">
        <x:f>A1790+1</x:f>
        <x:v>1788</x:v>
      </x:c>
      <x:c r="B1791" s="9" t="n">
        <x:f>A1791*v01_SeasonSeconds/60</x:f>
        <x:v>447</x:v>
      </x:c>
      <x:c r="C1791" s="9" t="n">
        <x:f>A1791/4</x:f>
        <x:v>447</x:v>
      </x:c>
      <x:c r="D1791" s="8" t="n">
        <x:f>IF(MOD(A1791,4)=0,1,0)</x:f>
        <x:v>1</x:v>
      </x:c>
      <x:c r="E1791" s="8" t="n">
        <x:f>IF(AND(F1790&lt;=9,AS1790&gt;=AR1790),1,0)</x:f>
        <x:v>0</x:v>
      </x:c>
      <x:c r="F1791" s="8" t="n">
        <x:f>MIN(10,F1790+E1791)</x:f>
        <x:v>10</x:v>
      </x:c>
      <x:c r="G1791" s="8" t="n">
        <x:f>MIN(F1791,9)+1</x:f>
        <x:v>10</x:v>
      </x:c>
      <x:c r="H1791" s="8" t="n">
        <x:f>IF(F1791&lt;=9,1,0)</x:f>
        <x:v>0</x:v>
      </x:c>
      <x:c r="I1791" s="9" t="n">
        <x:f>MIN(10,F1790+IF(AR1790&gt;0,MIN(1,AS1790/AR1790),1))</x:f>
        <x:v>10</x:v>
      </x:c>
      <x:c r="J1791" s="32" t="n">
        <x:f>INDEX(v01_FoodCap,G1791)*Arch_FoodCap*EXP(v01_CapsByProject*SUMPRODUCT((Cap_Point&lt;=I1791)*(Cap_Kind="Food")*Cap_Ln))</x:f>
        <x:v>12000</x:v>
      </x:c>
      <x:c r="K1791" s="32" t="n">
        <x:f>J1791*MIN(1,v01_LeanBase*EXP(v01_CapsByProject*SUMPRODUCT((Cap_Point&lt;=I1791)*(Cap_Kind="Lean")*Cap_Ln)))</x:f>
        <x:v>12000</x:v>
      </x:c>
      <x:c r="L1791" s="10" t="n">
        <x:f>INDEX(v01_HousingCap,G1791)*EXP(v01_CapsByProject*SUMPRODUCT((Cap_Point&lt;=I1791)*(Cap_Kind="Housing")*Cap_Ln))</x:f>
        <x:v>20000</x:v>
      </x:c>
      <x:c r="M1791" s="10" t="n">
        <x:f>INDEX(v01_GroupCap,G1791)*v01_CohesionFactor*EXP(v01_CapsByProject*SUMPRODUCT((Cap_Point&lt;=I1791)*(Cap_Kind="Group")*Cap_Ln))</x:f>
        <x:v>1000000</x:v>
      </x:c>
      <x:c r="N1791" s="32" t="n">
        <x:f>MIN(J1791,L1791,M1791)</x:f>
        <x:v>12000</x:v>
      </x:c>
      <x:c r="O1791" s="10" t="n">
        <x:f>AE1790*N1791</x:f>
        <x:v>180000</x:v>
      </x:c>
      <x:c r="P1791" s="9" t="n">
        <x:f>MIN(1,(AB1790/(AE1790*IF(v01_GroupInCrowding=1,N1791,MIN(J1791,L1791))))^v01_CrowdingExp)</x:f>
        <x:v>0.00024569414295285325</x:v>
      </x:c>
      <x:c r="Q1791" s="9" t="n">
        <x:f>IF(D1791=1,INDEX(v01_WinterMult,G1791),1)</x:f>
        <x:v>1</x:v>
      </x:c>
      <x:c r="R1791" s="9" t="n">
        <x:f>H1791*Z1790*v01_WomenShare*v01_BaseFertility*INDEX(v01_FertMult,G1791)*Arch_Fertility*(1-P1791)</x:f>
        <x:v>0</x:v>
      </x:c>
      <x:c r="S1791" s="9" t="n">
        <x:f>H1791*Y1790*INDEX(v01_MortChild,G1791)/4*Q1791</x:f>
        <x:v>0</x:v>
      </x:c>
      <x:c r="T1791" s="9" t="n">
        <x:f>H1791*Z1790*INDEX(v01_MortAdult,G1791)*Arch_AdultMort/4*Q1791</x:f>
        <x:v>0</x:v>
      </x:c>
      <x:c r="U1791" s="9" t="n">
        <x:f>H1791*AA1790*INDEX(v01_MortElder,G1791)/4*Q1791</x:f>
        <x:v>0</x:v>
      </x:c>
      <x:c r="V1791" s="9" t="n">
        <x:f>H1791*MAX(0,AB1790-O1791)*v01_OvercapLoss</x:f>
        <x:v>0</x:v>
      </x:c>
      <x:c r="W1791" s="9" t="n">
        <x:f>H1791*Y1790/(v01_ChildYears*4)</x:f>
        <x:v>0</x:v>
      </x:c>
      <x:c r="X1791" s="9" t="n">
        <x:f>H1791*Z1790/(v01_AdultYears*4)</x:f>
        <x:v>0</x:v>
      </x:c>
      <x:c r="Y1791" s="32" t="n">
        <x:f>Y1790+R1791-S1791-W1791-Y1790*V1791/AB1790</x:f>
        <x:v>14306.18539759397</x:v>
      </x:c>
      <x:c r="Z1791" s="32" t="n">
        <x:f>Z1790+W1791-X1791-T1791-Z1790*V1791/AB1790</x:f>
        <x:v>19354.456567879548</x:v>
      </x:c>
      <x:c r="AA1791" s="32" t="n">
        <x:f>AA1790+X1791-U1791-AA1790*V1791/AB1790</x:f>
        <x:v>11386.956063258198</x:v>
      </x:c>
      <x:c r="AB1791" s="10" t="n">
        <x:f>Y1791+Z1791+AA1791</x:f>
        <x:v>45047.59802873172</x:v>
      </x:c>
      <x:c r="AC1791" s="8" t="n">
        <x:f>IF(AND(v01_WinterTrigger=1,D1791=1,AB1790/AE1790&gt;=K1791),1,0)</x:f>
        <x:v>0</x:v>
      </x:c>
      <x:c r="AD1791" s="8" t="n">
        <x:f>H1791*IF(AND(OR(AB1790/AE1790&gt;=v01_FissionTrigger*N1791,AC1791=1),AB1790/AE1790*v01_DaughterShare&gt;=v01_MinDaughter),MAX(1,ROUND(AE1790*v01_FissionRate,0)),0)</x:f>
        <x:v>0</x:v>
      </x:c>
      <x:c r="AE1791" s="8" t="n">
        <x:f>IF(H1791=1,MAX(1,MIN(INDEX(v01_Smax,G1791),AE1790+AD1791)),AE1790)</x:f>
        <x:v>15</x:v>
      </x:c>
      <x:c r="AF1791" s="8" t="n">
        <x:f>MAX(0,AE1791-AE1790)</x:f>
        <x:v>0</x:v>
      </x:c>
      <x:c r="AG1791" s="9" t="str">
        <x:f>IF(AF1791&gt;0,B1791,"")</x:f>
      </x:c>
      <x:c r="AH1791" s="9" t="n">
        <x:f>IF(F1791&gt;=1,1,(1+v01_LowTiesShare*(AE1791-1))/AE1791)</x:f>
        <x:v>1</x:v>
      </x:c>
      <x:c r="AI1791" s="32" t="n">
        <x:f>(Z1791+v01_ElderCommons*INDEX(LM_Elder,G1791)*AA1791)*AH1791</x:f>
        <x:v>64139.732591141874</x:v>
      </x:c>
      <x:c r="AJ1791" s="32" t="n">
        <x:f>H1791*v01_CommonsCoef*AI1791^v01_CommonsExp*INDEX(LM_Commons,G1791)</x:f>
        <x:v>0</x:v>
      </x:c>
      <x:c r="AK1791" s="32" t="n">
        <x:f>H1791*v01_RoleScale*Arch_Roles*(AE1791*(INDEX(v01_ElderRolePerSett,G1791)*v01_OutElder*INDEX(LM_Elder,G1791)+INDEX(v01_ShamanPerSett,G1791)*v01_OutShaman)+Z1791*(INDEX(v01_PriestShare,G1791)*v01_OutPriest+INDEX(v01_ScribeShare,G1791)*v01_OutScribe*INDEX(LM_Scribe,G1791)+INDEX(v01_ScholarShare,G1791)*v01_OutScholar*INDEX(LM_Scholar,G1791)+INDEX(v01_ResearcherShare,G1791)*v01_OutResearcher*INDEX(LM_Researcher,G1791)))</x:f>
        <x:v>0</x:v>
      </x:c>
      <x:c r="AL1791" s="32" t="n">
        <x:f>H1791*v01_RoleScale*Arch_Roles*AE1791*INDEX(v01_MonasteryPerSett,G1791)*v01_OutMonastery*INDEX(LM_Monastery,G1791)</x:f>
        <x:v>0</x:v>
      </x:c>
      <x:c r="AM1791" s="32" t="n">
        <x:f>(AJ1791+AK1791+AL1791)/4*INDEX(LM_All,G1791)*INDEX(v01_Boon,G1791)*Arch_Insight</x:f>
        <x:v>0</x:v>
      </x:c>
      <x:c r="AN1791" s="32" t="n">
        <x:f>H1791*(v01_KHPerAdult*Z1791+v01_KHOfCommons*AJ1791/4*INDEX(LM_All,G1791))*v01_KHUsable*Arch_KH</x:f>
        <x:v>0</x:v>
      </x:c>
      <x:c r="AO1791" s="32" t="n">
        <x:f>MIN(AP1790+AN1791,AM1791*v01_KHMaxRatio)</x:f>
        <x:v>0</x:v>
      </x:c>
      <x:c r="AP1791" s="32" t="n">
        <x:f>AP1790+AN1791-AO1791</x:f>
        <x:v>0</x:v>
      </x:c>
      <x:c r="AQ1791" s="32" t="n">
        <x:f>AM1791+AO1791</x:f>
        <x:v>0</x:v>
      </x:c>
      <x:c r="AR1791" s="10" t="n">
        <x:f>IF(H1791=1,INDEX(v01_Req,G1791),0)</x:f>
        <x:v>0</x:v>
      </x:c>
      <x:c r="AS1791" s="32" t="n">
        <x:f>IF(H1791=1,IF(E1791=1,AS1790-AR1790,AS1790)+AQ1791,0)</x:f>
        <x:v>0</x:v>
      </x:c>
      <x:c r="AT1791" s="11" t="n">
        <x:f>IF(AR1791&gt;0,MIN(1,AS1791/AR1791),1)</x:f>
        <x:v>1</x:v>
      </x:c>
      <x:c r="AU1791" s="10" t="n">
        <x:f>AB1791/INDEX(v01_RepScale,G1791)</x:f>
        <x:v>90.09519605746344</x:v>
      </x:c>
      <x:c r="AV1791" s="32" t="n">
        <x:f>AM1791*60/v01_SeasonSeconds</x:f>
        <x:v>0</x:v>
      </x:c>
    </x:row>
    <x:row r="1792">
      <x:c r="A1792" s="8" t="n">
        <x:f>A1791+1</x:f>
        <x:v>1789</x:v>
      </x:c>
      <x:c r="B1792" s="9" t="n">
        <x:f>A1792*v01_SeasonSeconds/60</x:f>
        <x:v>447.25</x:v>
      </x:c>
      <x:c r="C1792" s="9" t="n">
        <x:f>A1792/4</x:f>
        <x:v>447.25</x:v>
      </x:c>
      <x:c r="D1792" s="8" t="n">
        <x:f>IF(MOD(A1792,4)=0,1,0)</x:f>
        <x:v>0</x:v>
      </x:c>
      <x:c r="E1792" s="8" t="n">
        <x:f>IF(AND(F1791&lt;=9,AS1791&gt;=AR1791),1,0)</x:f>
        <x:v>0</x:v>
      </x:c>
      <x:c r="F1792" s="8" t="n">
        <x:f>MIN(10,F1791+E1792)</x:f>
        <x:v>10</x:v>
      </x:c>
      <x:c r="G1792" s="8" t="n">
        <x:f>MIN(F1792,9)+1</x:f>
        <x:v>10</x:v>
      </x:c>
      <x:c r="H1792" s="8" t="n">
        <x:f>IF(F1792&lt;=9,1,0)</x:f>
        <x:v>0</x:v>
      </x:c>
      <x:c r="I1792" s="9" t="n">
        <x:f>MIN(10,F1791+IF(AR1791&gt;0,MIN(1,AS1791/AR1791),1))</x:f>
        <x:v>10</x:v>
      </x:c>
      <x:c r="J1792" s="32" t="n">
        <x:f>INDEX(v01_FoodCap,G1792)*Arch_FoodCap*EXP(v01_CapsByProject*SUMPRODUCT((Cap_Point&lt;=I1792)*(Cap_Kind="Food")*Cap_Ln))</x:f>
        <x:v>12000</x:v>
      </x:c>
      <x:c r="K1792" s="32" t="n">
        <x:f>J1792*MIN(1,v01_LeanBase*EXP(v01_CapsByProject*SUMPRODUCT((Cap_Point&lt;=I1792)*(Cap_Kind="Lean")*Cap_Ln)))</x:f>
        <x:v>12000</x:v>
      </x:c>
      <x:c r="L1792" s="10" t="n">
        <x:f>INDEX(v01_HousingCap,G1792)*EXP(v01_CapsByProject*SUMPRODUCT((Cap_Point&lt;=I1792)*(Cap_Kind="Housing")*Cap_Ln))</x:f>
        <x:v>20000</x:v>
      </x:c>
      <x:c r="M1792" s="10" t="n">
        <x:f>INDEX(v01_GroupCap,G1792)*v01_CohesionFactor*EXP(v01_CapsByProject*SUMPRODUCT((Cap_Point&lt;=I1792)*(Cap_Kind="Group")*Cap_Ln))</x:f>
        <x:v>1000000</x:v>
      </x:c>
      <x:c r="N1792" s="32" t="n">
        <x:f>MIN(J1792,L1792,M1792)</x:f>
        <x:v>12000</x:v>
      </x:c>
      <x:c r="O1792" s="10" t="n">
        <x:f>AE1791*N1792</x:f>
        <x:v>180000</x:v>
      </x:c>
      <x:c r="P1792" s="9" t="n">
        <x:f>MIN(1,(AB1791/(AE1791*IF(v01_GroupInCrowding=1,N1792,MIN(J1792,L1792))))^v01_CrowdingExp)</x:f>
        <x:v>0.00024569414295285325</x:v>
      </x:c>
      <x:c r="Q1792" s="9" t="n">
        <x:f>IF(D1792=1,INDEX(v01_WinterMult,G1792),1)</x:f>
        <x:v>1</x:v>
      </x:c>
      <x:c r="R1792" s="9" t="n">
        <x:f>H1792*Z1791*v01_WomenShare*v01_BaseFertility*INDEX(v01_FertMult,G1792)*Arch_Fertility*(1-P1792)</x:f>
        <x:v>0</x:v>
      </x:c>
      <x:c r="S1792" s="9" t="n">
        <x:f>H1792*Y1791*INDEX(v01_MortChild,G1792)/4*Q1792</x:f>
        <x:v>0</x:v>
      </x:c>
      <x:c r="T1792" s="9" t="n">
        <x:f>H1792*Z1791*INDEX(v01_MortAdult,G1792)*Arch_AdultMort/4*Q1792</x:f>
        <x:v>0</x:v>
      </x:c>
      <x:c r="U1792" s="9" t="n">
        <x:f>H1792*AA1791*INDEX(v01_MortElder,G1792)/4*Q1792</x:f>
        <x:v>0</x:v>
      </x:c>
      <x:c r="V1792" s="9" t="n">
        <x:f>H1792*MAX(0,AB1791-O1792)*v01_OvercapLoss</x:f>
        <x:v>0</x:v>
      </x:c>
      <x:c r="W1792" s="9" t="n">
        <x:f>H1792*Y1791/(v01_ChildYears*4)</x:f>
        <x:v>0</x:v>
      </x:c>
      <x:c r="X1792" s="9" t="n">
        <x:f>H1792*Z1791/(v01_AdultYears*4)</x:f>
        <x:v>0</x:v>
      </x:c>
      <x:c r="Y1792" s="32" t="n">
        <x:f>Y1791+R1792-S1792-W1792-Y1791*V1792/AB1791</x:f>
        <x:v>14306.18539759397</x:v>
      </x:c>
      <x:c r="Z1792" s="32" t="n">
        <x:f>Z1791+W1792-X1792-T1792-Z1791*V1792/AB1791</x:f>
        <x:v>19354.456567879548</x:v>
      </x:c>
      <x:c r="AA1792" s="32" t="n">
        <x:f>AA1791+X1792-U1792-AA1791*V1792/AB1791</x:f>
        <x:v>11386.956063258198</x:v>
      </x:c>
      <x:c r="AB1792" s="10" t="n">
        <x:f>Y1792+Z1792+AA1792</x:f>
        <x:v>45047.59802873172</x:v>
      </x:c>
      <x:c r="AC1792" s="8" t="n">
        <x:f>IF(AND(v01_WinterTrigger=1,D1792=1,AB1791/AE1791&gt;=K1792),1,0)</x:f>
        <x:v>0</x:v>
      </x:c>
      <x:c r="AD1792" s="8" t="n">
        <x:f>H1792*IF(AND(OR(AB1791/AE1791&gt;=v01_FissionTrigger*N1792,AC1792=1),AB1791/AE1791*v01_DaughterShare&gt;=v01_MinDaughter),MAX(1,ROUND(AE1791*v01_FissionRate,0)),0)</x:f>
        <x:v>0</x:v>
      </x:c>
      <x:c r="AE1792" s="8" t="n">
        <x:f>IF(H1792=1,MAX(1,MIN(INDEX(v01_Smax,G1792),AE1791+AD1792)),AE1791)</x:f>
        <x:v>15</x:v>
      </x:c>
      <x:c r="AF1792" s="8" t="n">
        <x:f>MAX(0,AE1792-AE1791)</x:f>
        <x:v>0</x:v>
      </x:c>
      <x:c r="AG1792" s="9" t="str">
        <x:f>IF(AF1792&gt;0,B1792,"")</x:f>
      </x:c>
      <x:c r="AH1792" s="9" t="n">
        <x:f>IF(F1792&gt;=1,1,(1+v01_LowTiesShare*(AE1792-1))/AE1792)</x:f>
        <x:v>1</x:v>
      </x:c>
      <x:c r="AI1792" s="32" t="n">
        <x:f>(Z1792+v01_ElderCommons*INDEX(LM_Elder,G1792)*AA1792)*AH1792</x:f>
        <x:v>64139.732591141874</x:v>
      </x:c>
      <x:c r="AJ1792" s="32" t="n">
        <x:f>H1792*v01_CommonsCoef*AI1792^v01_CommonsExp*INDEX(LM_Commons,G1792)</x:f>
        <x:v>0</x:v>
      </x:c>
      <x:c r="AK1792" s="32" t="n">
        <x:f>H1792*v01_RoleScale*Arch_Roles*(AE1792*(INDEX(v01_ElderRolePerSett,G1792)*v01_OutElder*INDEX(LM_Elder,G1792)+INDEX(v01_ShamanPerSett,G1792)*v01_OutShaman)+Z1792*(INDEX(v01_PriestShare,G1792)*v01_OutPriest+INDEX(v01_ScribeShare,G1792)*v01_OutScribe*INDEX(LM_Scribe,G1792)+INDEX(v01_ScholarShare,G1792)*v01_OutScholar*INDEX(LM_Scholar,G1792)+INDEX(v01_ResearcherShare,G1792)*v01_OutResearcher*INDEX(LM_Researcher,G1792)))</x:f>
        <x:v>0</x:v>
      </x:c>
      <x:c r="AL1792" s="32" t="n">
        <x:f>H1792*v01_RoleScale*Arch_Roles*AE1792*INDEX(v01_MonasteryPerSett,G1792)*v01_OutMonastery*INDEX(LM_Monastery,G1792)</x:f>
        <x:v>0</x:v>
      </x:c>
      <x:c r="AM1792" s="32" t="n">
        <x:f>(AJ1792+AK1792+AL1792)/4*INDEX(LM_All,G1792)*INDEX(v01_Boon,G1792)*Arch_Insight</x:f>
        <x:v>0</x:v>
      </x:c>
      <x:c r="AN1792" s="32" t="n">
        <x:f>H1792*(v01_KHPerAdult*Z1792+v01_KHOfCommons*AJ1792/4*INDEX(LM_All,G1792))*v01_KHUsable*Arch_KH</x:f>
        <x:v>0</x:v>
      </x:c>
      <x:c r="AO1792" s="32" t="n">
        <x:f>MIN(AP1791+AN1792,AM1792*v01_KHMaxRatio)</x:f>
        <x:v>0</x:v>
      </x:c>
      <x:c r="AP1792" s="32" t="n">
        <x:f>AP1791+AN1792-AO1792</x:f>
        <x:v>0</x:v>
      </x:c>
      <x:c r="AQ1792" s="32" t="n">
        <x:f>AM1792+AO1792</x:f>
        <x:v>0</x:v>
      </x:c>
      <x:c r="AR1792" s="10" t="n">
        <x:f>IF(H1792=1,INDEX(v01_Req,G1792),0)</x:f>
        <x:v>0</x:v>
      </x:c>
      <x:c r="AS1792" s="32" t="n">
        <x:f>IF(H1792=1,IF(E1792=1,AS1791-AR1791,AS1791)+AQ1792,0)</x:f>
        <x:v>0</x:v>
      </x:c>
      <x:c r="AT1792" s="11" t="n">
        <x:f>IF(AR1792&gt;0,MIN(1,AS1792/AR1792),1)</x:f>
        <x:v>1</x:v>
      </x:c>
      <x:c r="AU1792" s="10" t="n">
        <x:f>AB1792/INDEX(v01_RepScale,G1792)</x:f>
        <x:v>90.09519605746344</x:v>
      </x:c>
      <x:c r="AV1792" s="32" t="n">
        <x:f>AM1792*60/v01_SeasonSeconds</x:f>
        <x:v>0</x:v>
      </x:c>
    </x:row>
    <x:row r="1793">
      <x:c r="A1793" s="8" t="n">
        <x:f>A1792+1</x:f>
        <x:v>1790</x:v>
      </x:c>
      <x:c r="B1793" s="9" t="n">
        <x:f>A1793*v01_SeasonSeconds/60</x:f>
        <x:v>447.5</x:v>
      </x:c>
      <x:c r="C1793" s="9" t="n">
        <x:f>A1793/4</x:f>
        <x:v>447.5</x:v>
      </x:c>
      <x:c r="D1793" s="8" t="n">
        <x:f>IF(MOD(A1793,4)=0,1,0)</x:f>
        <x:v>0</x:v>
      </x:c>
      <x:c r="E1793" s="8" t="n">
        <x:f>IF(AND(F1792&lt;=9,AS1792&gt;=AR1792),1,0)</x:f>
        <x:v>0</x:v>
      </x:c>
      <x:c r="F1793" s="8" t="n">
        <x:f>MIN(10,F1792+E1793)</x:f>
        <x:v>10</x:v>
      </x:c>
      <x:c r="G1793" s="8" t="n">
        <x:f>MIN(F1793,9)+1</x:f>
        <x:v>10</x:v>
      </x:c>
      <x:c r="H1793" s="8" t="n">
        <x:f>IF(F1793&lt;=9,1,0)</x:f>
        <x:v>0</x:v>
      </x:c>
      <x:c r="I1793" s="9" t="n">
        <x:f>MIN(10,F1792+IF(AR1792&gt;0,MIN(1,AS1792/AR1792),1))</x:f>
        <x:v>10</x:v>
      </x:c>
      <x:c r="J1793" s="32" t="n">
        <x:f>INDEX(v01_FoodCap,G1793)*Arch_FoodCap*EXP(v01_CapsByProject*SUMPRODUCT((Cap_Point&lt;=I1793)*(Cap_Kind="Food")*Cap_Ln))</x:f>
        <x:v>12000</x:v>
      </x:c>
      <x:c r="K1793" s="32" t="n">
        <x:f>J1793*MIN(1,v01_LeanBase*EXP(v01_CapsByProject*SUMPRODUCT((Cap_Point&lt;=I1793)*(Cap_Kind="Lean")*Cap_Ln)))</x:f>
        <x:v>12000</x:v>
      </x:c>
      <x:c r="L1793" s="10" t="n">
        <x:f>INDEX(v01_HousingCap,G1793)*EXP(v01_CapsByProject*SUMPRODUCT((Cap_Point&lt;=I1793)*(Cap_Kind="Housing")*Cap_Ln))</x:f>
        <x:v>20000</x:v>
      </x:c>
      <x:c r="M1793" s="10" t="n">
        <x:f>INDEX(v01_GroupCap,G1793)*v01_CohesionFactor*EXP(v01_CapsByProject*SUMPRODUCT((Cap_Point&lt;=I1793)*(Cap_Kind="Group")*Cap_Ln))</x:f>
        <x:v>1000000</x:v>
      </x:c>
      <x:c r="N1793" s="32" t="n">
        <x:f>MIN(J1793,L1793,M1793)</x:f>
        <x:v>12000</x:v>
      </x:c>
      <x:c r="O1793" s="10" t="n">
        <x:f>AE1792*N1793</x:f>
        <x:v>180000</x:v>
      </x:c>
      <x:c r="P1793" s="9" t="n">
        <x:f>MIN(1,(AB1792/(AE1792*IF(v01_GroupInCrowding=1,N1793,MIN(J1793,L1793))))^v01_CrowdingExp)</x:f>
        <x:v>0.00024569414295285325</x:v>
      </x:c>
      <x:c r="Q1793" s="9" t="n">
        <x:f>IF(D1793=1,INDEX(v01_WinterMult,G1793),1)</x:f>
        <x:v>1</x:v>
      </x:c>
      <x:c r="R1793" s="9" t="n">
        <x:f>H1793*Z1792*v01_WomenShare*v01_BaseFertility*INDEX(v01_FertMult,G1793)*Arch_Fertility*(1-P1793)</x:f>
        <x:v>0</x:v>
      </x:c>
      <x:c r="S1793" s="9" t="n">
        <x:f>H1793*Y1792*INDEX(v01_MortChild,G1793)/4*Q1793</x:f>
        <x:v>0</x:v>
      </x:c>
      <x:c r="T1793" s="9" t="n">
        <x:f>H1793*Z1792*INDEX(v01_MortAdult,G1793)*Arch_AdultMort/4*Q1793</x:f>
        <x:v>0</x:v>
      </x:c>
      <x:c r="U1793" s="9" t="n">
        <x:f>H1793*AA1792*INDEX(v01_MortElder,G1793)/4*Q1793</x:f>
        <x:v>0</x:v>
      </x:c>
      <x:c r="V1793" s="9" t="n">
        <x:f>H1793*MAX(0,AB1792-O1793)*v01_OvercapLoss</x:f>
        <x:v>0</x:v>
      </x:c>
      <x:c r="W1793" s="9" t="n">
        <x:f>H1793*Y1792/(v01_ChildYears*4)</x:f>
        <x:v>0</x:v>
      </x:c>
      <x:c r="X1793" s="9" t="n">
        <x:f>H1793*Z1792/(v01_AdultYears*4)</x:f>
        <x:v>0</x:v>
      </x:c>
      <x:c r="Y1793" s="32" t="n">
        <x:f>Y1792+R1793-S1793-W1793-Y1792*V1793/AB1792</x:f>
        <x:v>14306.18539759397</x:v>
      </x:c>
      <x:c r="Z1793" s="32" t="n">
        <x:f>Z1792+W1793-X1793-T1793-Z1792*V1793/AB1792</x:f>
        <x:v>19354.456567879548</x:v>
      </x:c>
      <x:c r="AA1793" s="32" t="n">
        <x:f>AA1792+X1793-U1793-AA1792*V1793/AB1792</x:f>
        <x:v>11386.956063258198</x:v>
      </x:c>
      <x:c r="AB1793" s="10" t="n">
        <x:f>Y1793+Z1793+AA1793</x:f>
        <x:v>45047.59802873172</x:v>
      </x:c>
      <x:c r="AC1793" s="8" t="n">
        <x:f>IF(AND(v01_WinterTrigger=1,D1793=1,AB1792/AE1792&gt;=K1793),1,0)</x:f>
        <x:v>0</x:v>
      </x:c>
      <x:c r="AD1793" s="8" t="n">
        <x:f>H1793*IF(AND(OR(AB1792/AE1792&gt;=v01_FissionTrigger*N1793,AC1793=1),AB1792/AE1792*v01_DaughterShare&gt;=v01_MinDaughter),MAX(1,ROUND(AE1792*v01_FissionRate,0)),0)</x:f>
        <x:v>0</x:v>
      </x:c>
      <x:c r="AE1793" s="8" t="n">
        <x:f>IF(H1793=1,MAX(1,MIN(INDEX(v01_Smax,G1793),AE1792+AD1793)),AE1792)</x:f>
        <x:v>15</x:v>
      </x:c>
      <x:c r="AF1793" s="8" t="n">
        <x:f>MAX(0,AE1793-AE1792)</x:f>
        <x:v>0</x:v>
      </x:c>
      <x:c r="AG1793" s="9" t="str">
        <x:f>IF(AF1793&gt;0,B1793,"")</x:f>
      </x:c>
      <x:c r="AH1793" s="9" t="n">
        <x:f>IF(F1793&gt;=1,1,(1+v01_LowTiesShare*(AE1793-1))/AE1793)</x:f>
        <x:v>1</x:v>
      </x:c>
      <x:c r="AI1793" s="32" t="n">
        <x:f>(Z1793+v01_ElderCommons*INDEX(LM_Elder,G1793)*AA1793)*AH1793</x:f>
        <x:v>64139.732591141874</x:v>
      </x:c>
      <x:c r="AJ1793" s="32" t="n">
        <x:f>H1793*v01_CommonsCoef*AI1793^v01_CommonsExp*INDEX(LM_Commons,G1793)</x:f>
        <x:v>0</x:v>
      </x:c>
      <x:c r="AK1793" s="32" t="n">
        <x:f>H1793*v01_RoleScale*Arch_Roles*(AE1793*(INDEX(v01_ElderRolePerSett,G1793)*v01_OutElder*INDEX(LM_Elder,G1793)+INDEX(v01_ShamanPerSett,G1793)*v01_OutShaman)+Z1793*(INDEX(v01_PriestShare,G1793)*v01_OutPriest+INDEX(v01_ScribeShare,G1793)*v01_OutScribe*INDEX(LM_Scribe,G1793)+INDEX(v01_ScholarShare,G1793)*v01_OutScholar*INDEX(LM_Scholar,G1793)+INDEX(v01_ResearcherShare,G1793)*v01_OutResearcher*INDEX(LM_Researcher,G1793)))</x:f>
        <x:v>0</x:v>
      </x:c>
      <x:c r="AL1793" s="32" t="n">
        <x:f>H1793*v01_RoleScale*Arch_Roles*AE1793*INDEX(v01_MonasteryPerSett,G1793)*v01_OutMonastery*INDEX(LM_Monastery,G1793)</x:f>
        <x:v>0</x:v>
      </x:c>
      <x:c r="AM1793" s="32" t="n">
        <x:f>(AJ1793+AK1793+AL1793)/4*INDEX(LM_All,G1793)*INDEX(v01_Boon,G1793)*Arch_Insight</x:f>
        <x:v>0</x:v>
      </x:c>
      <x:c r="AN1793" s="32" t="n">
        <x:f>H1793*(v01_KHPerAdult*Z1793+v01_KHOfCommons*AJ1793/4*INDEX(LM_All,G1793))*v01_KHUsable*Arch_KH</x:f>
        <x:v>0</x:v>
      </x:c>
      <x:c r="AO1793" s="32" t="n">
        <x:f>MIN(AP1792+AN1793,AM1793*v01_KHMaxRatio)</x:f>
        <x:v>0</x:v>
      </x:c>
      <x:c r="AP1793" s="32" t="n">
        <x:f>AP1792+AN1793-AO1793</x:f>
        <x:v>0</x:v>
      </x:c>
      <x:c r="AQ1793" s="32" t="n">
        <x:f>AM1793+AO1793</x:f>
        <x:v>0</x:v>
      </x:c>
      <x:c r="AR1793" s="10" t="n">
        <x:f>IF(H1793=1,INDEX(v01_Req,G1793),0)</x:f>
        <x:v>0</x:v>
      </x:c>
      <x:c r="AS1793" s="32" t="n">
        <x:f>IF(H1793=1,IF(E1793=1,AS1792-AR1792,AS1792)+AQ1793,0)</x:f>
        <x:v>0</x:v>
      </x:c>
      <x:c r="AT1793" s="11" t="n">
        <x:f>IF(AR1793&gt;0,MIN(1,AS1793/AR1793),1)</x:f>
        <x:v>1</x:v>
      </x:c>
      <x:c r="AU1793" s="10" t="n">
        <x:f>AB1793/INDEX(v01_RepScale,G1793)</x:f>
        <x:v>90.09519605746344</x:v>
      </x:c>
      <x:c r="AV1793" s="32" t="n">
        <x:f>AM1793*60/v01_SeasonSeconds</x:f>
        <x:v>0</x:v>
      </x:c>
    </x:row>
    <x:row r="1794">
      <x:c r="A1794" s="8" t="n">
        <x:f>A1793+1</x:f>
        <x:v>1791</x:v>
      </x:c>
      <x:c r="B1794" s="9" t="n">
        <x:f>A1794*v01_SeasonSeconds/60</x:f>
        <x:v>447.75</x:v>
      </x:c>
      <x:c r="C1794" s="9" t="n">
        <x:f>A1794/4</x:f>
        <x:v>447.75</x:v>
      </x:c>
      <x:c r="D1794" s="8" t="n">
        <x:f>IF(MOD(A1794,4)=0,1,0)</x:f>
        <x:v>0</x:v>
      </x:c>
      <x:c r="E1794" s="8" t="n">
        <x:f>IF(AND(F1793&lt;=9,AS1793&gt;=AR1793),1,0)</x:f>
        <x:v>0</x:v>
      </x:c>
      <x:c r="F1794" s="8" t="n">
        <x:f>MIN(10,F1793+E1794)</x:f>
        <x:v>10</x:v>
      </x:c>
      <x:c r="G1794" s="8" t="n">
        <x:f>MIN(F1794,9)+1</x:f>
        <x:v>10</x:v>
      </x:c>
      <x:c r="H1794" s="8" t="n">
        <x:f>IF(F1794&lt;=9,1,0)</x:f>
        <x:v>0</x:v>
      </x:c>
      <x:c r="I1794" s="9" t="n">
        <x:f>MIN(10,F1793+IF(AR1793&gt;0,MIN(1,AS1793/AR1793),1))</x:f>
        <x:v>10</x:v>
      </x:c>
      <x:c r="J1794" s="32" t="n">
        <x:f>INDEX(v01_FoodCap,G1794)*Arch_FoodCap*EXP(v01_CapsByProject*SUMPRODUCT((Cap_Point&lt;=I1794)*(Cap_Kind="Food")*Cap_Ln))</x:f>
        <x:v>12000</x:v>
      </x:c>
      <x:c r="K1794" s="32" t="n">
        <x:f>J1794*MIN(1,v01_LeanBase*EXP(v01_CapsByProject*SUMPRODUCT((Cap_Point&lt;=I1794)*(Cap_Kind="Lean")*Cap_Ln)))</x:f>
        <x:v>12000</x:v>
      </x:c>
      <x:c r="L1794" s="10" t="n">
        <x:f>INDEX(v01_HousingCap,G1794)*EXP(v01_CapsByProject*SUMPRODUCT((Cap_Point&lt;=I1794)*(Cap_Kind="Housing")*Cap_Ln))</x:f>
        <x:v>20000</x:v>
      </x:c>
      <x:c r="M1794" s="10" t="n">
        <x:f>INDEX(v01_GroupCap,G1794)*v01_CohesionFactor*EXP(v01_CapsByProject*SUMPRODUCT((Cap_Point&lt;=I1794)*(Cap_Kind="Group")*Cap_Ln))</x:f>
        <x:v>1000000</x:v>
      </x:c>
      <x:c r="N1794" s="32" t="n">
        <x:f>MIN(J1794,L1794,M1794)</x:f>
        <x:v>12000</x:v>
      </x:c>
      <x:c r="O1794" s="10" t="n">
        <x:f>AE1793*N1794</x:f>
        <x:v>180000</x:v>
      </x:c>
      <x:c r="P1794" s="9" t="n">
        <x:f>MIN(1,(AB1793/(AE1793*IF(v01_GroupInCrowding=1,N1794,MIN(J1794,L1794))))^v01_CrowdingExp)</x:f>
        <x:v>0.00024569414295285325</x:v>
      </x:c>
      <x:c r="Q1794" s="9" t="n">
        <x:f>IF(D1794=1,INDEX(v01_WinterMult,G1794),1)</x:f>
        <x:v>1</x:v>
      </x:c>
      <x:c r="R1794" s="9" t="n">
        <x:f>H1794*Z1793*v01_WomenShare*v01_BaseFertility*INDEX(v01_FertMult,G1794)*Arch_Fertility*(1-P1794)</x:f>
        <x:v>0</x:v>
      </x:c>
      <x:c r="S1794" s="9" t="n">
        <x:f>H1794*Y1793*INDEX(v01_MortChild,G1794)/4*Q1794</x:f>
        <x:v>0</x:v>
      </x:c>
      <x:c r="T1794" s="9" t="n">
        <x:f>H1794*Z1793*INDEX(v01_MortAdult,G1794)*Arch_AdultMort/4*Q1794</x:f>
        <x:v>0</x:v>
      </x:c>
      <x:c r="U1794" s="9" t="n">
        <x:f>H1794*AA1793*INDEX(v01_MortElder,G1794)/4*Q1794</x:f>
        <x:v>0</x:v>
      </x:c>
      <x:c r="V1794" s="9" t="n">
        <x:f>H1794*MAX(0,AB1793-O1794)*v01_OvercapLoss</x:f>
        <x:v>0</x:v>
      </x:c>
      <x:c r="W1794" s="9" t="n">
        <x:f>H1794*Y1793/(v01_ChildYears*4)</x:f>
        <x:v>0</x:v>
      </x:c>
      <x:c r="X1794" s="9" t="n">
        <x:f>H1794*Z1793/(v01_AdultYears*4)</x:f>
        <x:v>0</x:v>
      </x:c>
      <x:c r="Y1794" s="32" t="n">
        <x:f>Y1793+R1794-S1794-W1794-Y1793*V1794/AB1793</x:f>
        <x:v>14306.18539759397</x:v>
      </x:c>
      <x:c r="Z1794" s="32" t="n">
        <x:f>Z1793+W1794-X1794-T1794-Z1793*V1794/AB1793</x:f>
        <x:v>19354.456567879548</x:v>
      </x:c>
      <x:c r="AA1794" s="32" t="n">
        <x:f>AA1793+X1794-U1794-AA1793*V1794/AB1793</x:f>
        <x:v>11386.956063258198</x:v>
      </x:c>
      <x:c r="AB1794" s="10" t="n">
        <x:f>Y1794+Z1794+AA1794</x:f>
        <x:v>45047.59802873172</x:v>
      </x:c>
      <x:c r="AC1794" s="8" t="n">
        <x:f>IF(AND(v01_WinterTrigger=1,D1794=1,AB1793/AE1793&gt;=K1794),1,0)</x:f>
        <x:v>0</x:v>
      </x:c>
      <x:c r="AD1794" s="8" t="n">
        <x:f>H1794*IF(AND(OR(AB1793/AE1793&gt;=v01_FissionTrigger*N1794,AC1794=1),AB1793/AE1793*v01_DaughterShare&gt;=v01_MinDaughter),MAX(1,ROUND(AE1793*v01_FissionRate,0)),0)</x:f>
        <x:v>0</x:v>
      </x:c>
      <x:c r="AE1794" s="8" t="n">
        <x:f>IF(H1794=1,MAX(1,MIN(INDEX(v01_Smax,G1794),AE1793+AD1794)),AE1793)</x:f>
        <x:v>15</x:v>
      </x:c>
      <x:c r="AF1794" s="8" t="n">
        <x:f>MAX(0,AE1794-AE1793)</x:f>
        <x:v>0</x:v>
      </x:c>
      <x:c r="AG1794" s="9" t="str">
        <x:f>IF(AF1794&gt;0,B1794,"")</x:f>
      </x:c>
      <x:c r="AH1794" s="9" t="n">
        <x:f>IF(F1794&gt;=1,1,(1+v01_LowTiesShare*(AE1794-1))/AE1794)</x:f>
        <x:v>1</x:v>
      </x:c>
      <x:c r="AI1794" s="32" t="n">
        <x:f>(Z1794+v01_ElderCommons*INDEX(LM_Elder,G1794)*AA1794)*AH1794</x:f>
        <x:v>64139.732591141874</x:v>
      </x:c>
      <x:c r="AJ1794" s="32" t="n">
        <x:f>H1794*v01_CommonsCoef*AI1794^v01_CommonsExp*INDEX(LM_Commons,G1794)</x:f>
        <x:v>0</x:v>
      </x:c>
      <x:c r="AK1794" s="32" t="n">
        <x:f>H1794*v01_RoleScale*Arch_Roles*(AE1794*(INDEX(v01_ElderRolePerSett,G1794)*v01_OutElder*INDEX(LM_Elder,G1794)+INDEX(v01_ShamanPerSett,G1794)*v01_OutShaman)+Z1794*(INDEX(v01_PriestShare,G1794)*v01_OutPriest+INDEX(v01_ScribeShare,G1794)*v01_OutScribe*INDEX(LM_Scribe,G1794)+INDEX(v01_ScholarShare,G1794)*v01_OutScholar*INDEX(LM_Scholar,G1794)+INDEX(v01_ResearcherShare,G1794)*v01_OutResearcher*INDEX(LM_Researcher,G1794)))</x:f>
        <x:v>0</x:v>
      </x:c>
      <x:c r="AL1794" s="32" t="n">
        <x:f>H1794*v01_RoleScale*Arch_Roles*AE1794*INDEX(v01_MonasteryPerSett,G1794)*v01_OutMonastery*INDEX(LM_Monastery,G1794)</x:f>
        <x:v>0</x:v>
      </x:c>
      <x:c r="AM1794" s="32" t="n">
        <x:f>(AJ1794+AK1794+AL1794)/4*INDEX(LM_All,G1794)*INDEX(v01_Boon,G1794)*Arch_Insight</x:f>
        <x:v>0</x:v>
      </x:c>
      <x:c r="AN1794" s="32" t="n">
        <x:f>H1794*(v01_KHPerAdult*Z1794+v01_KHOfCommons*AJ1794/4*INDEX(LM_All,G1794))*v01_KHUsable*Arch_KH</x:f>
        <x:v>0</x:v>
      </x:c>
      <x:c r="AO1794" s="32" t="n">
        <x:f>MIN(AP1793+AN1794,AM1794*v01_KHMaxRatio)</x:f>
        <x:v>0</x:v>
      </x:c>
      <x:c r="AP1794" s="32" t="n">
        <x:f>AP1793+AN1794-AO1794</x:f>
        <x:v>0</x:v>
      </x:c>
      <x:c r="AQ1794" s="32" t="n">
        <x:f>AM1794+AO1794</x:f>
        <x:v>0</x:v>
      </x:c>
      <x:c r="AR1794" s="10" t="n">
        <x:f>IF(H1794=1,INDEX(v01_Req,G1794),0)</x:f>
        <x:v>0</x:v>
      </x:c>
      <x:c r="AS1794" s="32" t="n">
        <x:f>IF(H1794=1,IF(E1794=1,AS1793-AR1793,AS1793)+AQ1794,0)</x:f>
        <x:v>0</x:v>
      </x:c>
      <x:c r="AT1794" s="11" t="n">
        <x:f>IF(AR1794&gt;0,MIN(1,AS1794/AR1794),1)</x:f>
        <x:v>1</x:v>
      </x:c>
      <x:c r="AU1794" s="10" t="n">
        <x:f>AB1794/INDEX(v01_RepScale,G1794)</x:f>
        <x:v>90.09519605746344</x:v>
      </x:c>
      <x:c r="AV1794" s="32" t="n">
        <x:f>AM1794*60/v01_SeasonSeconds</x:f>
        <x:v>0</x:v>
      </x:c>
    </x:row>
    <x:row r="1795">
      <x:c r="A1795" s="8" t="n">
        <x:f>A1794+1</x:f>
        <x:v>1792</x:v>
      </x:c>
      <x:c r="B1795" s="9" t="n">
        <x:f>A1795*v01_SeasonSeconds/60</x:f>
        <x:v>448</x:v>
      </x:c>
      <x:c r="C1795" s="9" t="n">
        <x:f>A1795/4</x:f>
        <x:v>448</x:v>
      </x:c>
      <x:c r="D1795" s="8" t="n">
        <x:f>IF(MOD(A1795,4)=0,1,0)</x:f>
        <x:v>1</x:v>
      </x:c>
      <x:c r="E1795" s="8" t="n">
        <x:f>IF(AND(F1794&lt;=9,AS1794&gt;=AR1794),1,0)</x:f>
        <x:v>0</x:v>
      </x:c>
      <x:c r="F1795" s="8" t="n">
        <x:f>MIN(10,F1794+E1795)</x:f>
        <x:v>10</x:v>
      </x:c>
      <x:c r="G1795" s="8" t="n">
        <x:f>MIN(F1795,9)+1</x:f>
        <x:v>10</x:v>
      </x:c>
      <x:c r="H1795" s="8" t="n">
        <x:f>IF(F1795&lt;=9,1,0)</x:f>
        <x:v>0</x:v>
      </x:c>
      <x:c r="I1795" s="9" t="n">
        <x:f>MIN(10,F1794+IF(AR1794&gt;0,MIN(1,AS1794/AR1794),1))</x:f>
        <x:v>10</x:v>
      </x:c>
      <x:c r="J1795" s="32" t="n">
        <x:f>INDEX(v01_FoodCap,G1795)*Arch_FoodCap*EXP(v01_CapsByProject*SUMPRODUCT((Cap_Point&lt;=I1795)*(Cap_Kind="Food")*Cap_Ln))</x:f>
        <x:v>12000</x:v>
      </x:c>
      <x:c r="K1795" s="32" t="n">
        <x:f>J1795*MIN(1,v01_LeanBase*EXP(v01_CapsByProject*SUMPRODUCT((Cap_Point&lt;=I1795)*(Cap_Kind="Lean")*Cap_Ln)))</x:f>
        <x:v>12000</x:v>
      </x:c>
      <x:c r="L1795" s="10" t="n">
        <x:f>INDEX(v01_HousingCap,G1795)*EXP(v01_CapsByProject*SUMPRODUCT((Cap_Point&lt;=I1795)*(Cap_Kind="Housing")*Cap_Ln))</x:f>
        <x:v>20000</x:v>
      </x:c>
      <x:c r="M1795" s="10" t="n">
        <x:f>INDEX(v01_GroupCap,G1795)*v01_CohesionFactor*EXP(v01_CapsByProject*SUMPRODUCT((Cap_Point&lt;=I1795)*(Cap_Kind="Group")*Cap_Ln))</x:f>
        <x:v>1000000</x:v>
      </x:c>
      <x:c r="N1795" s="32" t="n">
        <x:f>MIN(J1795,L1795,M1795)</x:f>
        <x:v>12000</x:v>
      </x:c>
      <x:c r="O1795" s="10" t="n">
        <x:f>AE1794*N1795</x:f>
        <x:v>180000</x:v>
      </x:c>
      <x:c r="P1795" s="9" t="n">
        <x:f>MIN(1,(AB1794/(AE1794*IF(v01_GroupInCrowding=1,N1795,MIN(J1795,L1795))))^v01_CrowdingExp)</x:f>
        <x:v>0.00024569414295285325</x:v>
      </x:c>
      <x:c r="Q1795" s="9" t="n">
        <x:f>IF(D1795=1,INDEX(v01_WinterMult,G1795),1)</x:f>
        <x:v>1</x:v>
      </x:c>
      <x:c r="R1795" s="9" t="n">
        <x:f>H1795*Z1794*v01_WomenShare*v01_BaseFertility*INDEX(v01_FertMult,G1795)*Arch_Fertility*(1-P1795)</x:f>
        <x:v>0</x:v>
      </x:c>
      <x:c r="S1795" s="9" t="n">
        <x:f>H1795*Y1794*INDEX(v01_MortChild,G1795)/4*Q1795</x:f>
        <x:v>0</x:v>
      </x:c>
      <x:c r="T1795" s="9" t="n">
        <x:f>H1795*Z1794*INDEX(v01_MortAdult,G1795)*Arch_AdultMort/4*Q1795</x:f>
        <x:v>0</x:v>
      </x:c>
      <x:c r="U1795" s="9" t="n">
        <x:f>H1795*AA1794*INDEX(v01_MortElder,G1795)/4*Q1795</x:f>
        <x:v>0</x:v>
      </x:c>
      <x:c r="V1795" s="9" t="n">
        <x:f>H1795*MAX(0,AB1794-O1795)*v01_OvercapLoss</x:f>
        <x:v>0</x:v>
      </x:c>
      <x:c r="W1795" s="9" t="n">
        <x:f>H1795*Y1794/(v01_ChildYears*4)</x:f>
        <x:v>0</x:v>
      </x:c>
      <x:c r="X1795" s="9" t="n">
        <x:f>H1795*Z1794/(v01_AdultYears*4)</x:f>
        <x:v>0</x:v>
      </x:c>
      <x:c r="Y1795" s="32" t="n">
        <x:f>Y1794+R1795-S1795-W1795-Y1794*V1795/AB1794</x:f>
        <x:v>14306.18539759397</x:v>
      </x:c>
      <x:c r="Z1795" s="32" t="n">
        <x:f>Z1794+W1795-X1795-T1795-Z1794*V1795/AB1794</x:f>
        <x:v>19354.456567879548</x:v>
      </x:c>
      <x:c r="AA1795" s="32" t="n">
        <x:f>AA1794+X1795-U1795-AA1794*V1795/AB1794</x:f>
        <x:v>11386.956063258198</x:v>
      </x:c>
      <x:c r="AB1795" s="10" t="n">
        <x:f>Y1795+Z1795+AA1795</x:f>
        <x:v>45047.59802873172</x:v>
      </x:c>
      <x:c r="AC1795" s="8" t="n">
        <x:f>IF(AND(v01_WinterTrigger=1,D1795=1,AB1794/AE1794&gt;=K1795),1,0)</x:f>
        <x:v>0</x:v>
      </x:c>
      <x:c r="AD1795" s="8" t="n">
        <x:f>H1795*IF(AND(OR(AB1794/AE1794&gt;=v01_FissionTrigger*N1795,AC1795=1),AB1794/AE1794*v01_DaughterShare&gt;=v01_MinDaughter),MAX(1,ROUND(AE1794*v01_FissionRate,0)),0)</x:f>
        <x:v>0</x:v>
      </x:c>
      <x:c r="AE1795" s="8" t="n">
        <x:f>IF(H1795=1,MAX(1,MIN(INDEX(v01_Smax,G1795),AE1794+AD1795)),AE1794)</x:f>
        <x:v>15</x:v>
      </x:c>
      <x:c r="AF1795" s="8" t="n">
        <x:f>MAX(0,AE1795-AE1794)</x:f>
        <x:v>0</x:v>
      </x:c>
      <x:c r="AG1795" s="9" t="str">
        <x:f>IF(AF1795&gt;0,B1795,"")</x:f>
      </x:c>
      <x:c r="AH1795" s="9" t="n">
        <x:f>IF(F1795&gt;=1,1,(1+v01_LowTiesShare*(AE1795-1))/AE1795)</x:f>
        <x:v>1</x:v>
      </x:c>
      <x:c r="AI1795" s="32" t="n">
        <x:f>(Z1795+v01_ElderCommons*INDEX(LM_Elder,G1795)*AA1795)*AH1795</x:f>
        <x:v>64139.732591141874</x:v>
      </x:c>
      <x:c r="AJ1795" s="32" t="n">
        <x:f>H1795*v01_CommonsCoef*AI1795^v01_CommonsExp*INDEX(LM_Commons,G1795)</x:f>
        <x:v>0</x:v>
      </x:c>
      <x:c r="AK1795" s="32" t="n">
        <x:f>H1795*v01_RoleScale*Arch_Roles*(AE1795*(INDEX(v01_ElderRolePerSett,G1795)*v01_OutElder*INDEX(LM_Elder,G1795)+INDEX(v01_ShamanPerSett,G1795)*v01_OutShaman)+Z1795*(INDEX(v01_PriestShare,G1795)*v01_OutPriest+INDEX(v01_ScribeShare,G1795)*v01_OutScribe*INDEX(LM_Scribe,G1795)+INDEX(v01_ScholarShare,G1795)*v01_OutScholar*INDEX(LM_Scholar,G1795)+INDEX(v01_ResearcherShare,G1795)*v01_OutResearcher*INDEX(LM_Researcher,G1795)))</x:f>
        <x:v>0</x:v>
      </x:c>
      <x:c r="AL1795" s="32" t="n">
        <x:f>H1795*v01_RoleScale*Arch_Roles*AE1795*INDEX(v01_MonasteryPerSett,G1795)*v01_OutMonastery*INDEX(LM_Monastery,G1795)</x:f>
        <x:v>0</x:v>
      </x:c>
      <x:c r="AM1795" s="32" t="n">
        <x:f>(AJ1795+AK1795+AL1795)/4*INDEX(LM_All,G1795)*INDEX(v01_Boon,G1795)*Arch_Insight</x:f>
        <x:v>0</x:v>
      </x:c>
      <x:c r="AN1795" s="32" t="n">
        <x:f>H1795*(v01_KHPerAdult*Z1795+v01_KHOfCommons*AJ1795/4*INDEX(LM_All,G1795))*v01_KHUsable*Arch_KH</x:f>
        <x:v>0</x:v>
      </x:c>
      <x:c r="AO1795" s="32" t="n">
        <x:f>MIN(AP1794+AN1795,AM1795*v01_KHMaxRatio)</x:f>
        <x:v>0</x:v>
      </x:c>
      <x:c r="AP1795" s="32" t="n">
        <x:f>AP1794+AN1795-AO1795</x:f>
        <x:v>0</x:v>
      </x:c>
      <x:c r="AQ1795" s="32" t="n">
        <x:f>AM1795+AO1795</x:f>
        <x:v>0</x:v>
      </x:c>
      <x:c r="AR1795" s="10" t="n">
        <x:f>IF(H1795=1,INDEX(v01_Req,G1795),0)</x:f>
        <x:v>0</x:v>
      </x:c>
      <x:c r="AS1795" s="32" t="n">
        <x:f>IF(H1795=1,IF(E1795=1,AS1794-AR1794,AS1794)+AQ1795,0)</x:f>
        <x:v>0</x:v>
      </x:c>
      <x:c r="AT1795" s="11" t="n">
        <x:f>IF(AR1795&gt;0,MIN(1,AS1795/AR1795),1)</x:f>
        <x:v>1</x:v>
      </x:c>
      <x:c r="AU1795" s="10" t="n">
        <x:f>AB1795/INDEX(v01_RepScale,G1795)</x:f>
        <x:v>90.09519605746344</x:v>
      </x:c>
      <x:c r="AV1795" s="32" t="n">
        <x:f>AM1795*60/v01_SeasonSeconds</x:f>
        <x:v>0</x:v>
      </x:c>
    </x:row>
    <x:row r="1796">
      <x:c r="A1796" s="8" t="n">
        <x:f>A1795+1</x:f>
        <x:v>1793</x:v>
      </x:c>
      <x:c r="B1796" s="9" t="n">
        <x:f>A1796*v01_SeasonSeconds/60</x:f>
        <x:v>448.25</x:v>
      </x:c>
      <x:c r="C1796" s="9" t="n">
        <x:f>A1796/4</x:f>
        <x:v>448.25</x:v>
      </x:c>
      <x:c r="D1796" s="8" t="n">
        <x:f>IF(MOD(A1796,4)=0,1,0)</x:f>
        <x:v>0</x:v>
      </x:c>
      <x:c r="E1796" s="8" t="n">
        <x:f>IF(AND(F1795&lt;=9,AS1795&gt;=AR1795),1,0)</x:f>
        <x:v>0</x:v>
      </x:c>
      <x:c r="F1796" s="8" t="n">
        <x:f>MIN(10,F1795+E1796)</x:f>
        <x:v>10</x:v>
      </x:c>
      <x:c r="G1796" s="8" t="n">
        <x:f>MIN(F1796,9)+1</x:f>
        <x:v>10</x:v>
      </x:c>
      <x:c r="H1796" s="8" t="n">
        <x:f>IF(F1796&lt;=9,1,0)</x:f>
        <x:v>0</x:v>
      </x:c>
      <x:c r="I1796" s="9" t="n">
        <x:f>MIN(10,F1795+IF(AR1795&gt;0,MIN(1,AS1795/AR1795),1))</x:f>
        <x:v>10</x:v>
      </x:c>
      <x:c r="J1796" s="32" t="n">
        <x:f>INDEX(v01_FoodCap,G1796)*Arch_FoodCap*EXP(v01_CapsByProject*SUMPRODUCT((Cap_Point&lt;=I1796)*(Cap_Kind="Food")*Cap_Ln))</x:f>
        <x:v>12000</x:v>
      </x:c>
      <x:c r="K1796" s="32" t="n">
        <x:f>J1796*MIN(1,v01_LeanBase*EXP(v01_CapsByProject*SUMPRODUCT((Cap_Point&lt;=I1796)*(Cap_Kind="Lean")*Cap_Ln)))</x:f>
        <x:v>12000</x:v>
      </x:c>
      <x:c r="L1796" s="10" t="n">
        <x:f>INDEX(v01_HousingCap,G1796)*EXP(v01_CapsByProject*SUMPRODUCT((Cap_Point&lt;=I1796)*(Cap_Kind="Housing")*Cap_Ln))</x:f>
        <x:v>20000</x:v>
      </x:c>
      <x:c r="M1796" s="10" t="n">
        <x:f>INDEX(v01_GroupCap,G1796)*v01_CohesionFactor*EXP(v01_CapsByProject*SUMPRODUCT((Cap_Point&lt;=I1796)*(Cap_Kind="Group")*Cap_Ln))</x:f>
        <x:v>1000000</x:v>
      </x:c>
      <x:c r="N1796" s="32" t="n">
        <x:f>MIN(J1796,L1796,M1796)</x:f>
        <x:v>12000</x:v>
      </x:c>
      <x:c r="O1796" s="10" t="n">
        <x:f>AE1795*N1796</x:f>
        <x:v>180000</x:v>
      </x:c>
      <x:c r="P1796" s="9" t="n">
        <x:f>MIN(1,(AB1795/(AE1795*IF(v01_GroupInCrowding=1,N1796,MIN(J1796,L1796))))^v01_CrowdingExp)</x:f>
        <x:v>0.00024569414295285325</x:v>
      </x:c>
      <x:c r="Q1796" s="9" t="n">
        <x:f>IF(D1796=1,INDEX(v01_WinterMult,G1796),1)</x:f>
        <x:v>1</x:v>
      </x:c>
      <x:c r="R1796" s="9" t="n">
        <x:f>H1796*Z1795*v01_WomenShare*v01_BaseFertility*INDEX(v01_FertMult,G1796)*Arch_Fertility*(1-P1796)</x:f>
        <x:v>0</x:v>
      </x:c>
      <x:c r="S1796" s="9" t="n">
        <x:f>H1796*Y1795*INDEX(v01_MortChild,G1796)/4*Q1796</x:f>
        <x:v>0</x:v>
      </x:c>
      <x:c r="T1796" s="9" t="n">
        <x:f>H1796*Z1795*INDEX(v01_MortAdult,G1796)*Arch_AdultMort/4*Q1796</x:f>
        <x:v>0</x:v>
      </x:c>
      <x:c r="U1796" s="9" t="n">
        <x:f>H1796*AA1795*INDEX(v01_MortElder,G1796)/4*Q1796</x:f>
        <x:v>0</x:v>
      </x:c>
      <x:c r="V1796" s="9" t="n">
        <x:f>H1796*MAX(0,AB1795-O1796)*v01_OvercapLoss</x:f>
        <x:v>0</x:v>
      </x:c>
      <x:c r="W1796" s="9" t="n">
        <x:f>H1796*Y1795/(v01_ChildYears*4)</x:f>
        <x:v>0</x:v>
      </x:c>
      <x:c r="X1796" s="9" t="n">
        <x:f>H1796*Z1795/(v01_AdultYears*4)</x:f>
        <x:v>0</x:v>
      </x:c>
      <x:c r="Y1796" s="32" t="n">
        <x:f>Y1795+R1796-S1796-W1796-Y1795*V1796/AB1795</x:f>
        <x:v>14306.18539759397</x:v>
      </x:c>
      <x:c r="Z1796" s="32" t="n">
        <x:f>Z1795+W1796-X1796-T1796-Z1795*V1796/AB1795</x:f>
        <x:v>19354.456567879548</x:v>
      </x:c>
      <x:c r="AA1796" s="32" t="n">
        <x:f>AA1795+X1796-U1796-AA1795*V1796/AB1795</x:f>
        <x:v>11386.956063258198</x:v>
      </x:c>
      <x:c r="AB1796" s="10" t="n">
        <x:f>Y1796+Z1796+AA1796</x:f>
        <x:v>45047.59802873172</x:v>
      </x:c>
      <x:c r="AC1796" s="8" t="n">
        <x:f>IF(AND(v01_WinterTrigger=1,D1796=1,AB1795/AE1795&gt;=K1796),1,0)</x:f>
        <x:v>0</x:v>
      </x:c>
      <x:c r="AD1796" s="8" t="n">
        <x:f>H1796*IF(AND(OR(AB1795/AE1795&gt;=v01_FissionTrigger*N1796,AC1796=1),AB1795/AE1795*v01_DaughterShare&gt;=v01_MinDaughter),MAX(1,ROUND(AE1795*v01_FissionRate,0)),0)</x:f>
        <x:v>0</x:v>
      </x:c>
      <x:c r="AE1796" s="8" t="n">
        <x:f>IF(H1796=1,MAX(1,MIN(INDEX(v01_Smax,G1796),AE1795+AD1796)),AE1795)</x:f>
        <x:v>15</x:v>
      </x:c>
      <x:c r="AF1796" s="8" t="n">
        <x:f>MAX(0,AE1796-AE1795)</x:f>
        <x:v>0</x:v>
      </x:c>
      <x:c r="AG1796" s="9" t="str">
        <x:f>IF(AF1796&gt;0,B1796,"")</x:f>
      </x:c>
      <x:c r="AH1796" s="9" t="n">
        <x:f>IF(F1796&gt;=1,1,(1+v01_LowTiesShare*(AE1796-1))/AE1796)</x:f>
        <x:v>1</x:v>
      </x:c>
      <x:c r="AI1796" s="32" t="n">
        <x:f>(Z1796+v01_ElderCommons*INDEX(LM_Elder,G1796)*AA1796)*AH1796</x:f>
        <x:v>64139.732591141874</x:v>
      </x:c>
      <x:c r="AJ1796" s="32" t="n">
        <x:f>H1796*v01_CommonsCoef*AI1796^v01_CommonsExp*INDEX(LM_Commons,G1796)</x:f>
        <x:v>0</x:v>
      </x:c>
      <x:c r="AK1796" s="32" t="n">
        <x:f>H1796*v01_RoleScale*Arch_Roles*(AE1796*(INDEX(v01_ElderRolePerSett,G1796)*v01_OutElder*INDEX(LM_Elder,G1796)+INDEX(v01_ShamanPerSett,G1796)*v01_OutShaman)+Z1796*(INDEX(v01_PriestShare,G1796)*v01_OutPriest+INDEX(v01_ScribeShare,G1796)*v01_OutScribe*INDEX(LM_Scribe,G1796)+INDEX(v01_ScholarShare,G1796)*v01_OutScholar*INDEX(LM_Scholar,G1796)+INDEX(v01_ResearcherShare,G1796)*v01_OutResearcher*INDEX(LM_Researcher,G1796)))</x:f>
        <x:v>0</x:v>
      </x:c>
      <x:c r="AL1796" s="32" t="n">
        <x:f>H1796*v01_RoleScale*Arch_Roles*AE1796*INDEX(v01_MonasteryPerSett,G1796)*v01_OutMonastery*INDEX(LM_Monastery,G1796)</x:f>
        <x:v>0</x:v>
      </x:c>
      <x:c r="AM1796" s="32" t="n">
        <x:f>(AJ1796+AK1796+AL1796)/4*INDEX(LM_All,G1796)*INDEX(v01_Boon,G1796)*Arch_Insight</x:f>
        <x:v>0</x:v>
      </x:c>
      <x:c r="AN1796" s="32" t="n">
        <x:f>H1796*(v01_KHPerAdult*Z1796+v01_KHOfCommons*AJ1796/4*INDEX(LM_All,G1796))*v01_KHUsable*Arch_KH</x:f>
        <x:v>0</x:v>
      </x:c>
      <x:c r="AO1796" s="32" t="n">
        <x:f>MIN(AP1795+AN1796,AM1796*v01_KHMaxRatio)</x:f>
        <x:v>0</x:v>
      </x:c>
      <x:c r="AP1796" s="32" t="n">
        <x:f>AP1795+AN1796-AO1796</x:f>
        <x:v>0</x:v>
      </x:c>
      <x:c r="AQ1796" s="32" t="n">
        <x:f>AM1796+AO1796</x:f>
        <x:v>0</x:v>
      </x:c>
      <x:c r="AR1796" s="10" t="n">
        <x:f>IF(H1796=1,INDEX(v01_Req,G1796),0)</x:f>
        <x:v>0</x:v>
      </x:c>
      <x:c r="AS1796" s="32" t="n">
        <x:f>IF(H1796=1,IF(E1796=1,AS1795-AR1795,AS1795)+AQ1796,0)</x:f>
        <x:v>0</x:v>
      </x:c>
      <x:c r="AT1796" s="11" t="n">
        <x:f>IF(AR1796&gt;0,MIN(1,AS1796/AR1796),1)</x:f>
        <x:v>1</x:v>
      </x:c>
      <x:c r="AU1796" s="10" t="n">
        <x:f>AB1796/INDEX(v01_RepScale,G1796)</x:f>
        <x:v>90.09519605746344</x:v>
      </x:c>
      <x:c r="AV1796" s="32" t="n">
        <x:f>AM1796*60/v01_SeasonSeconds</x:f>
        <x:v>0</x:v>
      </x:c>
    </x:row>
    <x:row r="1797">
      <x:c r="A1797" s="8" t="n">
        <x:f>A1796+1</x:f>
        <x:v>1794</x:v>
      </x:c>
      <x:c r="B1797" s="9" t="n">
        <x:f>A1797*v01_SeasonSeconds/60</x:f>
        <x:v>448.5</x:v>
      </x:c>
      <x:c r="C1797" s="9" t="n">
        <x:f>A1797/4</x:f>
        <x:v>448.5</x:v>
      </x:c>
      <x:c r="D1797" s="8" t="n">
        <x:f>IF(MOD(A1797,4)=0,1,0)</x:f>
        <x:v>0</x:v>
      </x:c>
      <x:c r="E1797" s="8" t="n">
        <x:f>IF(AND(F1796&lt;=9,AS1796&gt;=AR1796),1,0)</x:f>
        <x:v>0</x:v>
      </x:c>
      <x:c r="F1797" s="8" t="n">
        <x:f>MIN(10,F1796+E1797)</x:f>
        <x:v>10</x:v>
      </x:c>
      <x:c r="G1797" s="8" t="n">
        <x:f>MIN(F1797,9)+1</x:f>
        <x:v>10</x:v>
      </x:c>
      <x:c r="H1797" s="8" t="n">
        <x:f>IF(F1797&lt;=9,1,0)</x:f>
        <x:v>0</x:v>
      </x:c>
      <x:c r="I1797" s="9" t="n">
        <x:f>MIN(10,F1796+IF(AR1796&gt;0,MIN(1,AS1796/AR1796),1))</x:f>
        <x:v>10</x:v>
      </x:c>
      <x:c r="J1797" s="32" t="n">
        <x:f>INDEX(v01_FoodCap,G1797)*Arch_FoodCap*EXP(v01_CapsByProject*SUMPRODUCT((Cap_Point&lt;=I1797)*(Cap_Kind="Food")*Cap_Ln))</x:f>
        <x:v>12000</x:v>
      </x:c>
      <x:c r="K1797" s="32" t="n">
        <x:f>J1797*MIN(1,v01_LeanBase*EXP(v01_CapsByProject*SUMPRODUCT((Cap_Point&lt;=I1797)*(Cap_Kind="Lean")*Cap_Ln)))</x:f>
        <x:v>12000</x:v>
      </x:c>
      <x:c r="L1797" s="10" t="n">
        <x:f>INDEX(v01_HousingCap,G1797)*EXP(v01_CapsByProject*SUMPRODUCT((Cap_Point&lt;=I1797)*(Cap_Kind="Housing")*Cap_Ln))</x:f>
        <x:v>20000</x:v>
      </x:c>
      <x:c r="M1797" s="10" t="n">
        <x:f>INDEX(v01_GroupCap,G1797)*v01_CohesionFactor*EXP(v01_CapsByProject*SUMPRODUCT((Cap_Point&lt;=I1797)*(Cap_Kind="Group")*Cap_Ln))</x:f>
        <x:v>1000000</x:v>
      </x:c>
      <x:c r="N1797" s="32" t="n">
        <x:f>MIN(J1797,L1797,M1797)</x:f>
        <x:v>12000</x:v>
      </x:c>
      <x:c r="O1797" s="10" t="n">
        <x:f>AE1796*N1797</x:f>
        <x:v>180000</x:v>
      </x:c>
      <x:c r="P1797" s="9" t="n">
        <x:f>MIN(1,(AB1796/(AE1796*IF(v01_GroupInCrowding=1,N1797,MIN(J1797,L1797))))^v01_CrowdingExp)</x:f>
        <x:v>0.00024569414295285325</x:v>
      </x:c>
      <x:c r="Q1797" s="9" t="n">
        <x:f>IF(D1797=1,INDEX(v01_WinterMult,G1797),1)</x:f>
        <x:v>1</x:v>
      </x:c>
      <x:c r="R1797" s="9" t="n">
        <x:f>H1797*Z1796*v01_WomenShare*v01_BaseFertility*INDEX(v01_FertMult,G1797)*Arch_Fertility*(1-P1797)</x:f>
        <x:v>0</x:v>
      </x:c>
      <x:c r="S1797" s="9" t="n">
        <x:f>H1797*Y1796*INDEX(v01_MortChild,G1797)/4*Q1797</x:f>
        <x:v>0</x:v>
      </x:c>
      <x:c r="T1797" s="9" t="n">
        <x:f>H1797*Z1796*INDEX(v01_MortAdult,G1797)*Arch_AdultMort/4*Q1797</x:f>
        <x:v>0</x:v>
      </x:c>
      <x:c r="U1797" s="9" t="n">
        <x:f>H1797*AA1796*INDEX(v01_MortElder,G1797)/4*Q1797</x:f>
        <x:v>0</x:v>
      </x:c>
      <x:c r="V1797" s="9" t="n">
        <x:f>H1797*MAX(0,AB1796-O1797)*v01_OvercapLoss</x:f>
        <x:v>0</x:v>
      </x:c>
      <x:c r="W1797" s="9" t="n">
        <x:f>H1797*Y1796/(v01_ChildYears*4)</x:f>
        <x:v>0</x:v>
      </x:c>
      <x:c r="X1797" s="9" t="n">
        <x:f>H1797*Z1796/(v01_AdultYears*4)</x:f>
        <x:v>0</x:v>
      </x:c>
      <x:c r="Y1797" s="32" t="n">
        <x:f>Y1796+R1797-S1797-W1797-Y1796*V1797/AB1796</x:f>
        <x:v>14306.18539759397</x:v>
      </x:c>
      <x:c r="Z1797" s="32" t="n">
        <x:f>Z1796+W1797-X1797-T1797-Z1796*V1797/AB1796</x:f>
        <x:v>19354.456567879548</x:v>
      </x:c>
      <x:c r="AA1797" s="32" t="n">
        <x:f>AA1796+X1797-U1797-AA1796*V1797/AB1796</x:f>
        <x:v>11386.956063258198</x:v>
      </x:c>
      <x:c r="AB1797" s="10" t="n">
        <x:f>Y1797+Z1797+AA1797</x:f>
        <x:v>45047.59802873172</x:v>
      </x:c>
      <x:c r="AC1797" s="8" t="n">
        <x:f>IF(AND(v01_WinterTrigger=1,D1797=1,AB1796/AE1796&gt;=K1797),1,0)</x:f>
        <x:v>0</x:v>
      </x:c>
      <x:c r="AD1797" s="8" t="n">
        <x:f>H1797*IF(AND(OR(AB1796/AE1796&gt;=v01_FissionTrigger*N1797,AC1797=1),AB1796/AE1796*v01_DaughterShare&gt;=v01_MinDaughter),MAX(1,ROUND(AE1796*v01_FissionRate,0)),0)</x:f>
        <x:v>0</x:v>
      </x:c>
      <x:c r="AE1797" s="8" t="n">
        <x:f>IF(H1797=1,MAX(1,MIN(INDEX(v01_Smax,G1797),AE1796+AD1797)),AE1796)</x:f>
        <x:v>15</x:v>
      </x:c>
      <x:c r="AF1797" s="8" t="n">
        <x:f>MAX(0,AE1797-AE1796)</x:f>
        <x:v>0</x:v>
      </x:c>
      <x:c r="AG1797" s="9" t="str">
        <x:f>IF(AF1797&gt;0,B1797,"")</x:f>
      </x:c>
      <x:c r="AH1797" s="9" t="n">
        <x:f>IF(F1797&gt;=1,1,(1+v01_LowTiesShare*(AE1797-1))/AE1797)</x:f>
        <x:v>1</x:v>
      </x:c>
      <x:c r="AI1797" s="32" t="n">
        <x:f>(Z1797+v01_ElderCommons*INDEX(LM_Elder,G1797)*AA1797)*AH1797</x:f>
        <x:v>64139.732591141874</x:v>
      </x:c>
      <x:c r="AJ1797" s="32" t="n">
        <x:f>H1797*v01_CommonsCoef*AI1797^v01_CommonsExp*INDEX(LM_Commons,G1797)</x:f>
        <x:v>0</x:v>
      </x:c>
      <x:c r="AK1797" s="32" t="n">
        <x:f>H1797*v01_RoleScale*Arch_Roles*(AE1797*(INDEX(v01_ElderRolePerSett,G1797)*v01_OutElder*INDEX(LM_Elder,G1797)+INDEX(v01_ShamanPerSett,G1797)*v01_OutShaman)+Z1797*(INDEX(v01_PriestShare,G1797)*v01_OutPriest+INDEX(v01_ScribeShare,G1797)*v01_OutScribe*INDEX(LM_Scribe,G1797)+INDEX(v01_ScholarShare,G1797)*v01_OutScholar*INDEX(LM_Scholar,G1797)+INDEX(v01_ResearcherShare,G1797)*v01_OutResearcher*INDEX(LM_Researcher,G1797)))</x:f>
        <x:v>0</x:v>
      </x:c>
      <x:c r="AL1797" s="32" t="n">
        <x:f>H1797*v01_RoleScale*Arch_Roles*AE1797*INDEX(v01_MonasteryPerSett,G1797)*v01_OutMonastery*INDEX(LM_Monastery,G1797)</x:f>
        <x:v>0</x:v>
      </x:c>
      <x:c r="AM1797" s="32" t="n">
        <x:f>(AJ1797+AK1797+AL1797)/4*INDEX(LM_All,G1797)*INDEX(v01_Boon,G1797)*Arch_Insight</x:f>
        <x:v>0</x:v>
      </x:c>
      <x:c r="AN1797" s="32" t="n">
        <x:f>H1797*(v01_KHPerAdult*Z1797+v01_KHOfCommons*AJ1797/4*INDEX(LM_All,G1797))*v01_KHUsable*Arch_KH</x:f>
        <x:v>0</x:v>
      </x:c>
      <x:c r="AO1797" s="32" t="n">
        <x:f>MIN(AP1796+AN1797,AM1797*v01_KHMaxRatio)</x:f>
        <x:v>0</x:v>
      </x:c>
      <x:c r="AP1797" s="32" t="n">
        <x:f>AP1796+AN1797-AO1797</x:f>
        <x:v>0</x:v>
      </x:c>
      <x:c r="AQ1797" s="32" t="n">
        <x:f>AM1797+AO1797</x:f>
        <x:v>0</x:v>
      </x:c>
      <x:c r="AR1797" s="10" t="n">
        <x:f>IF(H1797=1,INDEX(v01_Req,G1797),0)</x:f>
        <x:v>0</x:v>
      </x:c>
      <x:c r="AS1797" s="32" t="n">
        <x:f>IF(H1797=1,IF(E1797=1,AS1796-AR1796,AS1796)+AQ1797,0)</x:f>
        <x:v>0</x:v>
      </x:c>
      <x:c r="AT1797" s="11" t="n">
        <x:f>IF(AR1797&gt;0,MIN(1,AS1797/AR1797),1)</x:f>
        <x:v>1</x:v>
      </x:c>
      <x:c r="AU1797" s="10" t="n">
        <x:f>AB1797/INDEX(v01_RepScale,G1797)</x:f>
        <x:v>90.09519605746344</x:v>
      </x:c>
      <x:c r="AV1797" s="32" t="n">
        <x:f>AM1797*60/v01_SeasonSeconds</x:f>
        <x:v>0</x:v>
      </x:c>
    </x:row>
    <x:row r="1798">
      <x:c r="A1798" s="8" t="n">
        <x:f>A1797+1</x:f>
        <x:v>1795</x:v>
      </x:c>
      <x:c r="B1798" s="9" t="n">
        <x:f>A1798*v01_SeasonSeconds/60</x:f>
        <x:v>448.75</x:v>
      </x:c>
      <x:c r="C1798" s="9" t="n">
        <x:f>A1798/4</x:f>
        <x:v>448.75</x:v>
      </x:c>
      <x:c r="D1798" s="8" t="n">
        <x:f>IF(MOD(A1798,4)=0,1,0)</x:f>
        <x:v>0</x:v>
      </x:c>
      <x:c r="E1798" s="8" t="n">
        <x:f>IF(AND(F1797&lt;=9,AS1797&gt;=AR1797),1,0)</x:f>
        <x:v>0</x:v>
      </x:c>
      <x:c r="F1798" s="8" t="n">
        <x:f>MIN(10,F1797+E1798)</x:f>
        <x:v>10</x:v>
      </x:c>
      <x:c r="G1798" s="8" t="n">
        <x:f>MIN(F1798,9)+1</x:f>
        <x:v>10</x:v>
      </x:c>
      <x:c r="H1798" s="8" t="n">
        <x:f>IF(F1798&lt;=9,1,0)</x:f>
        <x:v>0</x:v>
      </x:c>
      <x:c r="I1798" s="9" t="n">
        <x:f>MIN(10,F1797+IF(AR1797&gt;0,MIN(1,AS1797/AR1797),1))</x:f>
        <x:v>10</x:v>
      </x:c>
      <x:c r="J1798" s="32" t="n">
        <x:f>INDEX(v01_FoodCap,G1798)*Arch_FoodCap*EXP(v01_CapsByProject*SUMPRODUCT((Cap_Point&lt;=I1798)*(Cap_Kind="Food")*Cap_Ln))</x:f>
        <x:v>12000</x:v>
      </x:c>
      <x:c r="K1798" s="32" t="n">
        <x:f>J1798*MIN(1,v01_LeanBase*EXP(v01_CapsByProject*SUMPRODUCT((Cap_Point&lt;=I1798)*(Cap_Kind="Lean")*Cap_Ln)))</x:f>
        <x:v>12000</x:v>
      </x:c>
      <x:c r="L1798" s="10" t="n">
        <x:f>INDEX(v01_HousingCap,G1798)*EXP(v01_CapsByProject*SUMPRODUCT((Cap_Point&lt;=I1798)*(Cap_Kind="Housing")*Cap_Ln))</x:f>
        <x:v>20000</x:v>
      </x:c>
      <x:c r="M1798" s="10" t="n">
        <x:f>INDEX(v01_GroupCap,G1798)*v01_CohesionFactor*EXP(v01_CapsByProject*SUMPRODUCT((Cap_Point&lt;=I1798)*(Cap_Kind="Group")*Cap_Ln))</x:f>
        <x:v>1000000</x:v>
      </x:c>
      <x:c r="N1798" s="32" t="n">
        <x:f>MIN(J1798,L1798,M1798)</x:f>
        <x:v>12000</x:v>
      </x:c>
      <x:c r="O1798" s="10" t="n">
        <x:f>AE1797*N1798</x:f>
        <x:v>180000</x:v>
      </x:c>
      <x:c r="P1798" s="9" t="n">
        <x:f>MIN(1,(AB1797/(AE1797*IF(v01_GroupInCrowding=1,N1798,MIN(J1798,L1798))))^v01_CrowdingExp)</x:f>
        <x:v>0.00024569414295285325</x:v>
      </x:c>
      <x:c r="Q1798" s="9" t="n">
        <x:f>IF(D1798=1,INDEX(v01_WinterMult,G1798),1)</x:f>
        <x:v>1</x:v>
      </x:c>
      <x:c r="R1798" s="9" t="n">
        <x:f>H1798*Z1797*v01_WomenShare*v01_BaseFertility*INDEX(v01_FertMult,G1798)*Arch_Fertility*(1-P1798)</x:f>
        <x:v>0</x:v>
      </x:c>
      <x:c r="S1798" s="9" t="n">
        <x:f>H1798*Y1797*INDEX(v01_MortChild,G1798)/4*Q1798</x:f>
        <x:v>0</x:v>
      </x:c>
      <x:c r="T1798" s="9" t="n">
        <x:f>H1798*Z1797*INDEX(v01_MortAdult,G1798)*Arch_AdultMort/4*Q1798</x:f>
        <x:v>0</x:v>
      </x:c>
      <x:c r="U1798" s="9" t="n">
        <x:f>H1798*AA1797*INDEX(v01_MortElder,G1798)/4*Q1798</x:f>
        <x:v>0</x:v>
      </x:c>
      <x:c r="V1798" s="9" t="n">
        <x:f>H1798*MAX(0,AB1797-O1798)*v01_OvercapLoss</x:f>
        <x:v>0</x:v>
      </x:c>
      <x:c r="W1798" s="9" t="n">
        <x:f>H1798*Y1797/(v01_ChildYears*4)</x:f>
        <x:v>0</x:v>
      </x:c>
      <x:c r="X1798" s="9" t="n">
        <x:f>H1798*Z1797/(v01_AdultYears*4)</x:f>
        <x:v>0</x:v>
      </x:c>
      <x:c r="Y1798" s="32" t="n">
        <x:f>Y1797+R1798-S1798-W1798-Y1797*V1798/AB1797</x:f>
        <x:v>14306.18539759397</x:v>
      </x:c>
      <x:c r="Z1798" s="32" t="n">
        <x:f>Z1797+W1798-X1798-T1798-Z1797*V1798/AB1797</x:f>
        <x:v>19354.456567879548</x:v>
      </x:c>
      <x:c r="AA1798" s="32" t="n">
        <x:f>AA1797+X1798-U1798-AA1797*V1798/AB1797</x:f>
        <x:v>11386.956063258198</x:v>
      </x:c>
      <x:c r="AB1798" s="10" t="n">
        <x:f>Y1798+Z1798+AA1798</x:f>
        <x:v>45047.59802873172</x:v>
      </x:c>
      <x:c r="AC1798" s="8" t="n">
        <x:f>IF(AND(v01_WinterTrigger=1,D1798=1,AB1797/AE1797&gt;=K1798),1,0)</x:f>
        <x:v>0</x:v>
      </x:c>
      <x:c r="AD1798" s="8" t="n">
        <x:f>H1798*IF(AND(OR(AB1797/AE1797&gt;=v01_FissionTrigger*N1798,AC1798=1),AB1797/AE1797*v01_DaughterShare&gt;=v01_MinDaughter),MAX(1,ROUND(AE1797*v01_FissionRate,0)),0)</x:f>
        <x:v>0</x:v>
      </x:c>
      <x:c r="AE1798" s="8" t="n">
        <x:f>IF(H1798=1,MAX(1,MIN(INDEX(v01_Smax,G1798),AE1797+AD1798)),AE1797)</x:f>
        <x:v>15</x:v>
      </x:c>
      <x:c r="AF1798" s="8" t="n">
        <x:f>MAX(0,AE1798-AE1797)</x:f>
        <x:v>0</x:v>
      </x:c>
      <x:c r="AG1798" s="9" t="str">
        <x:f>IF(AF1798&gt;0,B1798,"")</x:f>
      </x:c>
      <x:c r="AH1798" s="9" t="n">
        <x:f>IF(F1798&gt;=1,1,(1+v01_LowTiesShare*(AE1798-1))/AE1798)</x:f>
        <x:v>1</x:v>
      </x:c>
      <x:c r="AI1798" s="32" t="n">
        <x:f>(Z1798+v01_ElderCommons*INDEX(LM_Elder,G1798)*AA1798)*AH1798</x:f>
        <x:v>64139.732591141874</x:v>
      </x:c>
      <x:c r="AJ1798" s="32" t="n">
        <x:f>H1798*v01_CommonsCoef*AI1798^v01_CommonsExp*INDEX(LM_Commons,G1798)</x:f>
        <x:v>0</x:v>
      </x:c>
      <x:c r="AK1798" s="32" t="n">
        <x:f>H1798*v01_RoleScale*Arch_Roles*(AE1798*(INDEX(v01_ElderRolePerSett,G1798)*v01_OutElder*INDEX(LM_Elder,G1798)+INDEX(v01_ShamanPerSett,G1798)*v01_OutShaman)+Z1798*(INDEX(v01_PriestShare,G1798)*v01_OutPriest+INDEX(v01_ScribeShare,G1798)*v01_OutScribe*INDEX(LM_Scribe,G1798)+INDEX(v01_ScholarShare,G1798)*v01_OutScholar*INDEX(LM_Scholar,G1798)+INDEX(v01_ResearcherShare,G1798)*v01_OutResearcher*INDEX(LM_Researcher,G1798)))</x:f>
        <x:v>0</x:v>
      </x:c>
      <x:c r="AL1798" s="32" t="n">
        <x:f>H1798*v01_RoleScale*Arch_Roles*AE1798*INDEX(v01_MonasteryPerSett,G1798)*v01_OutMonastery*INDEX(LM_Monastery,G1798)</x:f>
        <x:v>0</x:v>
      </x:c>
      <x:c r="AM1798" s="32" t="n">
        <x:f>(AJ1798+AK1798+AL1798)/4*INDEX(LM_All,G1798)*INDEX(v01_Boon,G1798)*Arch_Insight</x:f>
        <x:v>0</x:v>
      </x:c>
      <x:c r="AN1798" s="32" t="n">
        <x:f>H1798*(v01_KHPerAdult*Z1798+v01_KHOfCommons*AJ1798/4*INDEX(LM_All,G1798))*v01_KHUsable*Arch_KH</x:f>
        <x:v>0</x:v>
      </x:c>
      <x:c r="AO1798" s="32" t="n">
        <x:f>MIN(AP1797+AN1798,AM1798*v01_KHMaxRatio)</x:f>
        <x:v>0</x:v>
      </x:c>
      <x:c r="AP1798" s="32" t="n">
        <x:f>AP1797+AN1798-AO1798</x:f>
        <x:v>0</x:v>
      </x:c>
      <x:c r="AQ1798" s="32" t="n">
        <x:f>AM1798+AO1798</x:f>
        <x:v>0</x:v>
      </x:c>
      <x:c r="AR1798" s="10" t="n">
        <x:f>IF(H1798=1,INDEX(v01_Req,G1798),0)</x:f>
        <x:v>0</x:v>
      </x:c>
      <x:c r="AS1798" s="32" t="n">
        <x:f>IF(H1798=1,IF(E1798=1,AS1797-AR1797,AS1797)+AQ1798,0)</x:f>
        <x:v>0</x:v>
      </x:c>
      <x:c r="AT1798" s="11" t="n">
        <x:f>IF(AR1798&gt;0,MIN(1,AS1798/AR1798),1)</x:f>
        <x:v>1</x:v>
      </x:c>
      <x:c r="AU1798" s="10" t="n">
        <x:f>AB1798/INDEX(v01_RepScale,G1798)</x:f>
        <x:v>90.09519605746344</x:v>
      </x:c>
      <x:c r="AV1798" s="32" t="n">
        <x:f>AM1798*60/v01_SeasonSeconds</x:f>
        <x:v>0</x:v>
      </x:c>
    </x:row>
    <x:row r="1799">
      <x:c r="A1799" s="8" t="n">
        <x:f>A1798+1</x:f>
        <x:v>1796</x:v>
      </x:c>
      <x:c r="B1799" s="9" t="n">
        <x:f>A1799*v01_SeasonSeconds/60</x:f>
        <x:v>449</x:v>
      </x:c>
      <x:c r="C1799" s="9" t="n">
        <x:f>A1799/4</x:f>
        <x:v>449</x:v>
      </x:c>
      <x:c r="D1799" s="8" t="n">
        <x:f>IF(MOD(A1799,4)=0,1,0)</x:f>
        <x:v>1</x:v>
      </x:c>
      <x:c r="E1799" s="8" t="n">
        <x:f>IF(AND(F1798&lt;=9,AS1798&gt;=AR1798),1,0)</x:f>
        <x:v>0</x:v>
      </x:c>
      <x:c r="F1799" s="8" t="n">
        <x:f>MIN(10,F1798+E1799)</x:f>
        <x:v>10</x:v>
      </x:c>
      <x:c r="G1799" s="8" t="n">
        <x:f>MIN(F1799,9)+1</x:f>
        <x:v>10</x:v>
      </x:c>
      <x:c r="H1799" s="8" t="n">
        <x:f>IF(F1799&lt;=9,1,0)</x:f>
        <x:v>0</x:v>
      </x:c>
      <x:c r="I1799" s="9" t="n">
        <x:f>MIN(10,F1798+IF(AR1798&gt;0,MIN(1,AS1798/AR1798),1))</x:f>
        <x:v>10</x:v>
      </x:c>
      <x:c r="J1799" s="32" t="n">
        <x:f>INDEX(v01_FoodCap,G1799)*Arch_FoodCap*EXP(v01_CapsByProject*SUMPRODUCT((Cap_Point&lt;=I1799)*(Cap_Kind="Food")*Cap_Ln))</x:f>
        <x:v>12000</x:v>
      </x:c>
      <x:c r="K1799" s="32" t="n">
        <x:f>J1799*MIN(1,v01_LeanBase*EXP(v01_CapsByProject*SUMPRODUCT((Cap_Point&lt;=I1799)*(Cap_Kind="Lean")*Cap_Ln)))</x:f>
        <x:v>12000</x:v>
      </x:c>
      <x:c r="L1799" s="10" t="n">
        <x:f>INDEX(v01_HousingCap,G1799)*EXP(v01_CapsByProject*SUMPRODUCT((Cap_Point&lt;=I1799)*(Cap_Kind="Housing")*Cap_Ln))</x:f>
        <x:v>20000</x:v>
      </x:c>
      <x:c r="M1799" s="10" t="n">
        <x:f>INDEX(v01_GroupCap,G1799)*v01_CohesionFactor*EXP(v01_CapsByProject*SUMPRODUCT((Cap_Point&lt;=I1799)*(Cap_Kind="Group")*Cap_Ln))</x:f>
        <x:v>1000000</x:v>
      </x:c>
      <x:c r="N1799" s="32" t="n">
        <x:f>MIN(J1799,L1799,M1799)</x:f>
        <x:v>12000</x:v>
      </x:c>
      <x:c r="O1799" s="10" t="n">
        <x:f>AE1798*N1799</x:f>
        <x:v>180000</x:v>
      </x:c>
      <x:c r="P1799" s="9" t="n">
        <x:f>MIN(1,(AB1798/(AE1798*IF(v01_GroupInCrowding=1,N1799,MIN(J1799,L1799))))^v01_CrowdingExp)</x:f>
        <x:v>0.00024569414295285325</x:v>
      </x:c>
      <x:c r="Q1799" s="9" t="n">
        <x:f>IF(D1799=1,INDEX(v01_WinterMult,G1799),1)</x:f>
        <x:v>1</x:v>
      </x:c>
      <x:c r="R1799" s="9" t="n">
        <x:f>H1799*Z1798*v01_WomenShare*v01_BaseFertility*INDEX(v01_FertMult,G1799)*Arch_Fertility*(1-P1799)</x:f>
        <x:v>0</x:v>
      </x:c>
      <x:c r="S1799" s="9" t="n">
        <x:f>H1799*Y1798*INDEX(v01_MortChild,G1799)/4*Q1799</x:f>
        <x:v>0</x:v>
      </x:c>
      <x:c r="T1799" s="9" t="n">
        <x:f>H1799*Z1798*INDEX(v01_MortAdult,G1799)*Arch_AdultMort/4*Q1799</x:f>
        <x:v>0</x:v>
      </x:c>
      <x:c r="U1799" s="9" t="n">
        <x:f>H1799*AA1798*INDEX(v01_MortElder,G1799)/4*Q1799</x:f>
        <x:v>0</x:v>
      </x:c>
      <x:c r="V1799" s="9" t="n">
        <x:f>H1799*MAX(0,AB1798-O1799)*v01_OvercapLoss</x:f>
        <x:v>0</x:v>
      </x:c>
      <x:c r="W1799" s="9" t="n">
        <x:f>H1799*Y1798/(v01_ChildYears*4)</x:f>
        <x:v>0</x:v>
      </x:c>
      <x:c r="X1799" s="9" t="n">
        <x:f>H1799*Z1798/(v01_AdultYears*4)</x:f>
        <x:v>0</x:v>
      </x:c>
      <x:c r="Y1799" s="32" t="n">
        <x:f>Y1798+R1799-S1799-W1799-Y1798*V1799/AB1798</x:f>
        <x:v>14306.18539759397</x:v>
      </x:c>
      <x:c r="Z1799" s="32" t="n">
        <x:f>Z1798+W1799-X1799-T1799-Z1798*V1799/AB1798</x:f>
        <x:v>19354.456567879548</x:v>
      </x:c>
      <x:c r="AA1799" s="32" t="n">
        <x:f>AA1798+X1799-U1799-AA1798*V1799/AB1798</x:f>
        <x:v>11386.956063258198</x:v>
      </x:c>
      <x:c r="AB1799" s="10" t="n">
        <x:f>Y1799+Z1799+AA1799</x:f>
        <x:v>45047.59802873172</x:v>
      </x:c>
      <x:c r="AC1799" s="8" t="n">
        <x:f>IF(AND(v01_WinterTrigger=1,D1799=1,AB1798/AE1798&gt;=K1799),1,0)</x:f>
        <x:v>0</x:v>
      </x:c>
      <x:c r="AD1799" s="8" t="n">
        <x:f>H1799*IF(AND(OR(AB1798/AE1798&gt;=v01_FissionTrigger*N1799,AC1799=1),AB1798/AE1798*v01_DaughterShare&gt;=v01_MinDaughter),MAX(1,ROUND(AE1798*v01_FissionRate,0)),0)</x:f>
        <x:v>0</x:v>
      </x:c>
      <x:c r="AE1799" s="8" t="n">
        <x:f>IF(H1799=1,MAX(1,MIN(INDEX(v01_Smax,G1799),AE1798+AD1799)),AE1798)</x:f>
        <x:v>15</x:v>
      </x:c>
      <x:c r="AF1799" s="8" t="n">
        <x:f>MAX(0,AE1799-AE1798)</x:f>
        <x:v>0</x:v>
      </x:c>
      <x:c r="AG1799" s="9" t="str">
        <x:f>IF(AF1799&gt;0,B1799,"")</x:f>
      </x:c>
      <x:c r="AH1799" s="9" t="n">
        <x:f>IF(F1799&gt;=1,1,(1+v01_LowTiesShare*(AE1799-1))/AE1799)</x:f>
        <x:v>1</x:v>
      </x:c>
      <x:c r="AI1799" s="32" t="n">
        <x:f>(Z1799+v01_ElderCommons*INDEX(LM_Elder,G1799)*AA1799)*AH1799</x:f>
        <x:v>64139.732591141874</x:v>
      </x:c>
      <x:c r="AJ1799" s="32" t="n">
        <x:f>H1799*v01_CommonsCoef*AI1799^v01_CommonsExp*INDEX(LM_Commons,G1799)</x:f>
        <x:v>0</x:v>
      </x:c>
      <x:c r="AK1799" s="32" t="n">
        <x:f>H1799*v01_RoleScale*Arch_Roles*(AE1799*(INDEX(v01_ElderRolePerSett,G1799)*v01_OutElder*INDEX(LM_Elder,G1799)+INDEX(v01_ShamanPerSett,G1799)*v01_OutShaman)+Z1799*(INDEX(v01_PriestShare,G1799)*v01_OutPriest+INDEX(v01_ScribeShare,G1799)*v01_OutScribe*INDEX(LM_Scribe,G1799)+INDEX(v01_ScholarShare,G1799)*v01_OutScholar*INDEX(LM_Scholar,G1799)+INDEX(v01_ResearcherShare,G1799)*v01_OutResearcher*INDEX(LM_Researcher,G1799)))</x:f>
        <x:v>0</x:v>
      </x:c>
      <x:c r="AL1799" s="32" t="n">
        <x:f>H1799*v01_RoleScale*Arch_Roles*AE1799*INDEX(v01_MonasteryPerSett,G1799)*v01_OutMonastery*INDEX(LM_Monastery,G1799)</x:f>
        <x:v>0</x:v>
      </x:c>
      <x:c r="AM1799" s="32" t="n">
        <x:f>(AJ1799+AK1799+AL1799)/4*INDEX(LM_All,G1799)*INDEX(v01_Boon,G1799)*Arch_Insight</x:f>
        <x:v>0</x:v>
      </x:c>
      <x:c r="AN1799" s="32" t="n">
        <x:f>H1799*(v01_KHPerAdult*Z1799+v01_KHOfCommons*AJ1799/4*INDEX(LM_All,G1799))*v01_KHUsable*Arch_KH</x:f>
        <x:v>0</x:v>
      </x:c>
      <x:c r="AO1799" s="32" t="n">
        <x:f>MIN(AP1798+AN1799,AM1799*v01_KHMaxRatio)</x:f>
        <x:v>0</x:v>
      </x:c>
      <x:c r="AP1799" s="32" t="n">
        <x:f>AP1798+AN1799-AO1799</x:f>
        <x:v>0</x:v>
      </x:c>
      <x:c r="AQ1799" s="32" t="n">
        <x:f>AM1799+AO1799</x:f>
        <x:v>0</x:v>
      </x:c>
      <x:c r="AR1799" s="10" t="n">
        <x:f>IF(H1799=1,INDEX(v01_Req,G1799),0)</x:f>
        <x:v>0</x:v>
      </x:c>
      <x:c r="AS1799" s="32" t="n">
        <x:f>IF(H1799=1,IF(E1799=1,AS1798-AR1798,AS1798)+AQ1799,0)</x:f>
        <x:v>0</x:v>
      </x:c>
      <x:c r="AT1799" s="11" t="n">
        <x:f>IF(AR1799&gt;0,MIN(1,AS1799/AR1799),1)</x:f>
        <x:v>1</x:v>
      </x:c>
      <x:c r="AU1799" s="10" t="n">
        <x:f>AB1799/INDEX(v01_RepScale,G1799)</x:f>
        <x:v>90.09519605746344</x:v>
      </x:c>
      <x:c r="AV1799" s="32" t="n">
        <x:f>AM1799*60/v01_SeasonSeconds</x:f>
        <x:v>0</x:v>
      </x:c>
    </x:row>
    <x:row r="1800">
      <x:c r="A1800" s="8" t="n">
        <x:f>A1799+1</x:f>
        <x:v>1797</x:v>
      </x:c>
      <x:c r="B1800" s="9" t="n">
        <x:f>A1800*v01_SeasonSeconds/60</x:f>
        <x:v>449.25</x:v>
      </x:c>
      <x:c r="C1800" s="9" t="n">
        <x:f>A1800/4</x:f>
        <x:v>449.25</x:v>
      </x:c>
      <x:c r="D1800" s="8" t="n">
        <x:f>IF(MOD(A1800,4)=0,1,0)</x:f>
        <x:v>0</x:v>
      </x:c>
      <x:c r="E1800" s="8" t="n">
        <x:f>IF(AND(F1799&lt;=9,AS1799&gt;=AR1799),1,0)</x:f>
        <x:v>0</x:v>
      </x:c>
      <x:c r="F1800" s="8" t="n">
        <x:f>MIN(10,F1799+E1800)</x:f>
        <x:v>10</x:v>
      </x:c>
      <x:c r="G1800" s="8" t="n">
        <x:f>MIN(F1800,9)+1</x:f>
        <x:v>10</x:v>
      </x:c>
      <x:c r="H1800" s="8" t="n">
        <x:f>IF(F1800&lt;=9,1,0)</x:f>
        <x:v>0</x:v>
      </x:c>
      <x:c r="I1800" s="9" t="n">
        <x:f>MIN(10,F1799+IF(AR1799&gt;0,MIN(1,AS1799/AR1799),1))</x:f>
        <x:v>10</x:v>
      </x:c>
      <x:c r="J1800" s="32" t="n">
        <x:f>INDEX(v01_FoodCap,G1800)*Arch_FoodCap*EXP(v01_CapsByProject*SUMPRODUCT((Cap_Point&lt;=I1800)*(Cap_Kind="Food")*Cap_Ln))</x:f>
        <x:v>12000</x:v>
      </x:c>
      <x:c r="K1800" s="32" t="n">
        <x:f>J1800*MIN(1,v01_LeanBase*EXP(v01_CapsByProject*SUMPRODUCT((Cap_Point&lt;=I1800)*(Cap_Kind="Lean")*Cap_Ln)))</x:f>
        <x:v>12000</x:v>
      </x:c>
      <x:c r="L1800" s="10" t="n">
        <x:f>INDEX(v01_HousingCap,G1800)*EXP(v01_CapsByProject*SUMPRODUCT((Cap_Point&lt;=I1800)*(Cap_Kind="Housing")*Cap_Ln))</x:f>
        <x:v>20000</x:v>
      </x:c>
      <x:c r="M1800" s="10" t="n">
        <x:f>INDEX(v01_GroupCap,G1800)*v01_CohesionFactor*EXP(v01_CapsByProject*SUMPRODUCT((Cap_Point&lt;=I1800)*(Cap_Kind="Group")*Cap_Ln))</x:f>
        <x:v>1000000</x:v>
      </x:c>
      <x:c r="N1800" s="32" t="n">
        <x:f>MIN(J1800,L1800,M1800)</x:f>
        <x:v>12000</x:v>
      </x:c>
      <x:c r="O1800" s="10" t="n">
        <x:f>AE1799*N1800</x:f>
        <x:v>180000</x:v>
      </x:c>
      <x:c r="P1800" s="9" t="n">
        <x:f>MIN(1,(AB1799/(AE1799*IF(v01_GroupInCrowding=1,N1800,MIN(J1800,L1800))))^v01_CrowdingExp)</x:f>
        <x:v>0.00024569414295285325</x:v>
      </x:c>
      <x:c r="Q1800" s="9" t="n">
        <x:f>IF(D1800=1,INDEX(v01_WinterMult,G1800),1)</x:f>
        <x:v>1</x:v>
      </x:c>
      <x:c r="R1800" s="9" t="n">
        <x:f>H1800*Z1799*v01_WomenShare*v01_BaseFertility*INDEX(v01_FertMult,G1800)*Arch_Fertility*(1-P1800)</x:f>
        <x:v>0</x:v>
      </x:c>
      <x:c r="S1800" s="9" t="n">
        <x:f>H1800*Y1799*INDEX(v01_MortChild,G1800)/4*Q1800</x:f>
        <x:v>0</x:v>
      </x:c>
      <x:c r="T1800" s="9" t="n">
        <x:f>H1800*Z1799*INDEX(v01_MortAdult,G1800)*Arch_AdultMort/4*Q1800</x:f>
        <x:v>0</x:v>
      </x:c>
      <x:c r="U1800" s="9" t="n">
        <x:f>H1800*AA1799*INDEX(v01_MortElder,G1800)/4*Q1800</x:f>
        <x:v>0</x:v>
      </x:c>
      <x:c r="V1800" s="9" t="n">
        <x:f>H1800*MAX(0,AB1799-O1800)*v01_OvercapLoss</x:f>
        <x:v>0</x:v>
      </x:c>
      <x:c r="W1800" s="9" t="n">
        <x:f>H1800*Y1799/(v01_ChildYears*4)</x:f>
        <x:v>0</x:v>
      </x:c>
      <x:c r="X1800" s="9" t="n">
        <x:f>H1800*Z1799/(v01_AdultYears*4)</x:f>
        <x:v>0</x:v>
      </x:c>
      <x:c r="Y1800" s="32" t="n">
        <x:f>Y1799+R1800-S1800-W1800-Y1799*V1800/AB1799</x:f>
        <x:v>14306.18539759397</x:v>
      </x:c>
      <x:c r="Z1800" s="32" t="n">
        <x:f>Z1799+W1800-X1800-T1800-Z1799*V1800/AB1799</x:f>
        <x:v>19354.456567879548</x:v>
      </x:c>
      <x:c r="AA1800" s="32" t="n">
        <x:f>AA1799+X1800-U1800-AA1799*V1800/AB1799</x:f>
        <x:v>11386.956063258198</x:v>
      </x:c>
      <x:c r="AB1800" s="10" t="n">
        <x:f>Y1800+Z1800+AA1800</x:f>
        <x:v>45047.59802873172</x:v>
      </x:c>
      <x:c r="AC1800" s="8" t="n">
        <x:f>IF(AND(v01_WinterTrigger=1,D1800=1,AB1799/AE1799&gt;=K1800),1,0)</x:f>
        <x:v>0</x:v>
      </x:c>
      <x:c r="AD1800" s="8" t="n">
        <x:f>H1800*IF(AND(OR(AB1799/AE1799&gt;=v01_FissionTrigger*N1800,AC1800=1),AB1799/AE1799*v01_DaughterShare&gt;=v01_MinDaughter),MAX(1,ROUND(AE1799*v01_FissionRate,0)),0)</x:f>
        <x:v>0</x:v>
      </x:c>
      <x:c r="AE1800" s="8" t="n">
        <x:f>IF(H1800=1,MAX(1,MIN(INDEX(v01_Smax,G1800),AE1799+AD1800)),AE1799)</x:f>
        <x:v>15</x:v>
      </x:c>
      <x:c r="AF1800" s="8" t="n">
        <x:f>MAX(0,AE1800-AE1799)</x:f>
        <x:v>0</x:v>
      </x:c>
      <x:c r="AG1800" s="9" t="str">
        <x:f>IF(AF1800&gt;0,B1800,"")</x:f>
      </x:c>
      <x:c r="AH1800" s="9" t="n">
        <x:f>IF(F1800&gt;=1,1,(1+v01_LowTiesShare*(AE1800-1))/AE1800)</x:f>
        <x:v>1</x:v>
      </x:c>
      <x:c r="AI1800" s="32" t="n">
        <x:f>(Z1800+v01_ElderCommons*INDEX(LM_Elder,G1800)*AA1800)*AH1800</x:f>
        <x:v>64139.732591141874</x:v>
      </x:c>
      <x:c r="AJ1800" s="32" t="n">
        <x:f>H1800*v01_CommonsCoef*AI1800^v01_CommonsExp*INDEX(LM_Commons,G1800)</x:f>
        <x:v>0</x:v>
      </x:c>
      <x:c r="AK1800" s="32" t="n">
        <x:f>H1800*v01_RoleScale*Arch_Roles*(AE1800*(INDEX(v01_ElderRolePerSett,G1800)*v01_OutElder*INDEX(LM_Elder,G1800)+INDEX(v01_ShamanPerSett,G1800)*v01_OutShaman)+Z1800*(INDEX(v01_PriestShare,G1800)*v01_OutPriest+INDEX(v01_ScribeShare,G1800)*v01_OutScribe*INDEX(LM_Scribe,G1800)+INDEX(v01_ScholarShare,G1800)*v01_OutScholar*INDEX(LM_Scholar,G1800)+INDEX(v01_ResearcherShare,G1800)*v01_OutResearcher*INDEX(LM_Researcher,G1800)))</x:f>
        <x:v>0</x:v>
      </x:c>
      <x:c r="AL1800" s="32" t="n">
        <x:f>H1800*v01_RoleScale*Arch_Roles*AE1800*INDEX(v01_MonasteryPerSett,G1800)*v01_OutMonastery*INDEX(LM_Monastery,G1800)</x:f>
        <x:v>0</x:v>
      </x:c>
      <x:c r="AM1800" s="32" t="n">
        <x:f>(AJ1800+AK1800+AL1800)/4*INDEX(LM_All,G1800)*INDEX(v01_Boon,G1800)*Arch_Insight</x:f>
        <x:v>0</x:v>
      </x:c>
      <x:c r="AN1800" s="32" t="n">
        <x:f>H1800*(v01_KHPerAdult*Z1800+v01_KHOfCommons*AJ1800/4*INDEX(LM_All,G1800))*v01_KHUsable*Arch_KH</x:f>
        <x:v>0</x:v>
      </x:c>
      <x:c r="AO1800" s="32" t="n">
        <x:f>MIN(AP1799+AN1800,AM1800*v01_KHMaxRatio)</x:f>
        <x:v>0</x:v>
      </x:c>
      <x:c r="AP1800" s="32" t="n">
        <x:f>AP1799+AN1800-AO1800</x:f>
        <x:v>0</x:v>
      </x:c>
      <x:c r="AQ1800" s="32" t="n">
        <x:f>AM1800+AO1800</x:f>
        <x:v>0</x:v>
      </x:c>
      <x:c r="AR1800" s="10" t="n">
        <x:f>IF(H1800=1,INDEX(v01_Req,G1800),0)</x:f>
        <x:v>0</x:v>
      </x:c>
      <x:c r="AS1800" s="32" t="n">
        <x:f>IF(H1800=1,IF(E1800=1,AS1799-AR1799,AS1799)+AQ1800,0)</x:f>
        <x:v>0</x:v>
      </x:c>
      <x:c r="AT1800" s="11" t="n">
        <x:f>IF(AR1800&gt;0,MIN(1,AS1800/AR1800),1)</x:f>
        <x:v>1</x:v>
      </x:c>
      <x:c r="AU1800" s="10" t="n">
        <x:f>AB1800/INDEX(v01_RepScale,G1800)</x:f>
        <x:v>90.09519605746344</x:v>
      </x:c>
      <x:c r="AV1800" s="32" t="n">
        <x:f>AM1800*60/v01_SeasonSeconds</x:f>
        <x:v>0</x:v>
      </x:c>
    </x:row>
    <x:row r="1801">
      <x:c r="A1801" s="8" t="n">
        <x:f>A1800+1</x:f>
        <x:v>1798</x:v>
      </x:c>
      <x:c r="B1801" s="9" t="n">
        <x:f>A1801*v01_SeasonSeconds/60</x:f>
        <x:v>449.5</x:v>
      </x:c>
      <x:c r="C1801" s="9" t="n">
        <x:f>A1801/4</x:f>
        <x:v>449.5</x:v>
      </x:c>
      <x:c r="D1801" s="8" t="n">
        <x:f>IF(MOD(A1801,4)=0,1,0)</x:f>
        <x:v>0</x:v>
      </x:c>
      <x:c r="E1801" s="8" t="n">
        <x:f>IF(AND(F1800&lt;=9,AS1800&gt;=AR1800),1,0)</x:f>
        <x:v>0</x:v>
      </x:c>
      <x:c r="F1801" s="8" t="n">
        <x:f>MIN(10,F1800+E1801)</x:f>
        <x:v>10</x:v>
      </x:c>
      <x:c r="G1801" s="8" t="n">
        <x:f>MIN(F1801,9)+1</x:f>
        <x:v>10</x:v>
      </x:c>
      <x:c r="H1801" s="8" t="n">
        <x:f>IF(F1801&lt;=9,1,0)</x:f>
        <x:v>0</x:v>
      </x:c>
      <x:c r="I1801" s="9" t="n">
        <x:f>MIN(10,F1800+IF(AR1800&gt;0,MIN(1,AS1800/AR1800),1))</x:f>
        <x:v>10</x:v>
      </x:c>
      <x:c r="J1801" s="32" t="n">
        <x:f>INDEX(v01_FoodCap,G1801)*Arch_FoodCap*EXP(v01_CapsByProject*SUMPRODUCT((Cap_Point&lt;=I1801)*(Cap_Kind="Food")*Cap_Ln))</x:f>
        <x:v>12000</x:v>
      </x:c>
      <x:c r="K1801" s="32" t="n">
        <x:f>J1801*MIN(1,v01_LeanBase*EXP(v01_CapsByProject*SUMPRODUCT((Cap_Point&lt;=I1801)*(Cap_Kind="Lean")*Cap_Ln)))</x:f>
        <x:v>12000</x:v>
      </x:c>
      <x:c r="L1801" s="10" t="n">
        <x:f>INDEX(v01_HousingCap,G1801)*EXP(v01_CapsByProject*SUMPRODUCT((Cap_Point&lt;=I1801)*(Cap_Kind="Housing")*Cap_Ln))</x:f>
        <x:v>20000</x:v>
      </x:c>
      <x:c r="M1801" s="10" t="n">
        <x:f>INDEX(v01_GroupCap,G1801)*v01_CohesionFactor*EXP(v01_CapsByProject*SUMPRODUCT((Cap_Point&lt;=I1801)*(Cap_Kind="Group")*Cap_Ln))</x:f>
        <x:v>1000000</x:v>
      </x:c>
      <x:c r="N1801" s="32" t="n">
        <x:f>MIN(J1801,L1801,M1801)</x:f>
        <x:v>12000</x:v>
      </x:c>
      <x:c r="O1801" s="10" t="n">
        <x:f>AE1800*N1801</x:f>
        <x:v>180000</x:v>
      </x:c>
      <x:c r="P1801" s="9" t="n">
        <x:f>MIN(1,(AB1800/(AE1800*IF(v01_GroupInCrowding=1,N1801,MIN(J1801,L1801))))^v01_CrowdingExp)</x:f>
        <x:v>0.00024569414295285325</x:v>
      </x:c>
      <x:c r="Q1801" s="9" t="n">
        <x:f>IF(D1801=1,INDEX(v01_WinterMult,G1801),1)</x:f>
        <x:v>1</x:v>
      </x:c>
      <x:c r="R1801" s="9" t="n">
        <x:f>H1801*Z1800*v01_WomenShare*v01_BaseFertility*INDEX(v01_FertMult,G1801)*Arch_Fertility*(1-P1801)</x:f>
        <x:v>0</x:v>
      </x:c>
      <x:c r="S1801" s="9" t="n">
        <x:f>H1801*Y1800*INDEX(v01_MortChild,G1801)/4*Q1801</x:f>
        <x:v>0</x:v>
      </x:c>
      <x:c r="T1801" s="9" t="n">
        <x:f>H1801*Z1800*INDEX(v01_MortAdult,G1801)*Arch_AdultMort/4*Q1801</x:f>
        <x:v>0</x:v>
      </x:c>
      <x:c r="U1801" s="9" t="n">
        <x:f>H1801*AA1800*INDEX(v01_MortElder,G1801)/4*Q1801</x:f>
        <x:v>0</x:v>
      </x:c>
      <x:c r="V1801" s="9" t="n">
        <x:f>H1801*MAX(0,AB1800-O1801)*v01_OvercapLoss</x:f>
        <x:v>0</x:v>
      </x:c>
      <x:c r="W1801" s="9" t="n">
        <x:f>H1801*Y1800/(v01_ChildYears*4)</x:f>
        <x:v>0</x:v>
      </x:c>
      <x:c r="X1801" s="9" t="n">
        <x:f>H1801*Z1800/(v01_AdultYears*4)</x:f>
        <x:v>0</x:v>
      </x:c>
      <x:c r="Y1801" s="32" t="n">
        <x:f>Y1800+R1801-S1801-W1801-Y1800*V1801/AB1800</x:f>
        <x:v>14306.18539759397</x:v>
      </x:c>
      <x:c r="Z1801" s="32" t="n">
        <x:f>Z1800+W1801-X1801-T1801-Z1800*V1801/AB1800</x:f>
        <x:v>19354.456567879548</x:v>
      </x:c>
      <x:c r="AA1801" s="32" t="n">
        <x:f>AA1800+X1801-U1801-AA1800*V1801/AB1800</x:f>
        <x:v>11386.956063258198</x:v>
      </x:c>
      <x:c r="AB1801" s="10" t="n">
        <x:f>Y1801+Z1801+AA1801</x:f>
        <x:v>45047.59802873172</x:v>
      </x:c>
      <x:c r="AC1801" s="8" t="n">
        <x:f>IF(AND(v01_WinterTrigger=1,D1801=1,AB1800/AE1800&gt;=K1801),1,0)</x:f>
        <x:v>0</x:v>
      </x:c>
      <x:c r="AD1801" s="8" t="n">
        <x:f>H1801*IF(AND(OR(AB1800/AE1800&gt;=v01_FissionTrigger*N1801,AC1801=1),AB1800/AE1800*v01_DaughterShare&gt;=v01_MinDaughter),MAX(1,ROUND(AE1800*v01_FissionRate,0)),0)</x:f>
        <x:v>0</x:v>
      </x:c>
      <x:c r="AE1801" s="8" t="n">
        <x:f>IF(H1801=1,MAX(1,MIN(INDEX(v01_Smax,G1801),AE1800+AD1801)),AE1800)</x:f>
        <x:v>15</x:v>
      </x:c>
      <x:c r="AF1801" s="8" t="n">
        <x:f>MAX(0,AE1801-AE1800)</x:f>
        <x:v>0</x:v>
      </x:c>
      <x:c r="AG1801" s="9" t="str">
        <x:f>IF(AF1801&gt;0,B1801,"")</x:f>
      </x:c>
      <x:c r="AH1801" s="9" t="n">
        <x:f>IF(F1801&gt;=1,1,(1+v01_LowTiesShare*(AE1801-1))/AE1801)</x:f>
        <x:v>1</x:v>
      </x:c>
      <x:c r="AI1801" s="32" t="n">
        <x:f>(Z1801+v01_ElderCommons*INDEX(LM_Elder,G1801)*AA1801)*AH1801</x:f>
        <x:v>64139.732591141874</x:v>
      </x:c>
      <x:c r="AJ1801" s="32" t="n">
        <x:f>H1801*v01_CommonsCoef*AI1801^v01_CommonsExp*INDEX(LM_Commons,G1801)</x:f>
        <x:v>0</x:v>
      </x:c>
      <x:c r="AK1801" s="32" t="n">
        <x:f>H1801*v01_RoleScale*Arch_Roles*(AE1801*(INDEX(v01_ElderRolePerSett,G1801)*v01_OutElder*INDEX(LM_Elder,G1801)+INDEX(v01_ShamanPerSett,G1801)*v01_OutShaman)+Z1801*(INDEX(v01_PriestShare,G1801)*v01_OutPriest+INDEX(v01_ScribeShare,G1801)*v01_OutScribe*INDEX(LM_Scribe,G1801)+INDEX(v01_ScholarShare,G1801)*v01_OutScholar*INDEX(LM_Scholar,G1801)+INDEX(v01_ResearcherShare,G1801)*v01_OutResearcher*INDEX(LM_Researcher,G1801)))</x:f>
        <x:v>0</x:v>
      </x:c>
      <x:c r="AL1801" s="32" t="n">
        <x:f>H1801*v01_RoleScale*Arch_Roles*AE1801*INDEX(v01_MonasteryPerSett,G1801)*v01_OutMonastery*INDEX(LM_Monastery,G1801)</x:f>
        <x:v>0</x:v>
      </x:c>
      <x:c r="AM1801" s="32" t="n">
        <x:f>(AJ1801+AK1801+AL1801)/4*INDEX(LM_All,G1801)*INDEX(v01_Boon,G1801)*Arch_Insight</x:f>
        <x:v>0</x:v>
      </x:c>
      <x:c r="AN1801" s="32" t="n">
        <x:f>H1801*(v01_KHPerAdult*Z1801+v01_KHOfCommons*AJ1801/4*INDEX(LM_All,G1801))*v01_KHUsable*Arch_KH</x:f>
        <x:v>0</x:v>
      </x:c>
      <x:c r="AO1801" s="32" t="n">
        <x:f>MIN(AP1800+AN1801,AM1801*v01_KHMaxRatio)</x:f>
        <x:v>0</x:v>
      </x:c>
      <x:c r="AP1801" s="32" t="n">
        <x:f>AP1800+AN1801-AO1801</x:f>
        <x:v>0</x:v>
      </x:c>
      <x:c r="AQ1801" s="32" t="n">
        <x:f>AM1801+AO1801</x:f>
        <x:v>0</x:v>
      </x:c>
      <x:c r="AR1801" s="10" t="n">
        <x:f>IF(H1801=1,INDEX(v01_Req,G1801),0)</x:f>
        <x:v>0</x:v>
      </x:c>
      <x:c r="AS1801" s="32" t="n">
        <x:f>IF(H1801=1,IF(E1801=1,AS1800-AR1800,AS1800)+AQ1801,0)</x:f>
        <x:v>0</x:v>
      </x:c>
      <x:c r="AT1801" s="11" t="n">
        <x:f>IF(AR1801&gt;0,MIN(1,AS1801/AR1801),1)</x:f>
        <x:v>1</x:v>
      </x:c>
      <x:c r="AU1801" s="10" t="n">
        <x:f>AB1801/INDEX(v01_RepScale,G1801)</x:f>
        <x:v>90.09519605746344</x:v>
      </x:c>
      <x:c r="AV1801" s="32" t="n">
        <x:f>AM1801*60/v01_SeasonSeconds</x:f>
        <x:v>0</x:v>
      </x:c>
    </x:row>
    <x:row r="1802">
      <x:c r="A1802" s="8" t="n">
        <x:f>A1801+1</x:f>
        <x:v>1799</x:v>
      </x:c>
      <x:c r="B1802" s="9" t="n">
        <x:f>A1802*v01_SeasonSeconds/60</x:f>
        <x:v>449.75</x:v>
      </x:c>
      <x:c r="C1802" s="9" t="n">
        <x:f>A1802/4</x:f>
        <x:v>449.75</x:v>
      </x:c>
      <x:c r="D1802" s="8" t="n">
        <x:f>IF(MOD(A1802,4)=0,1,0)</x:f>
        <x:v>0</x:v>
      </x:c>
      <x:c r="E1802" s="8" t="n">
        <x:f>IF(AND(F1801&lt;=9,AS1801&gt;=AR1801),1,0)</x:f>
        <x:v>0</x:v>
      </x:c>
      <x:c r="F1802" s="8" t="n">
        <x:f>MIN(10,F1801+E1802)</x:f>
        <x:v>10</x:v>
      </x:c>
      <x:c r="G1802" s="8" t="n">
        <x:f>MIN(F1802,9)+1</x:f>
        <x:v>10</x:v>
      </x:c>
      <x:c r="H1802" s="8" t="n">
        <x:f>IF(F1802&lt;=9,1,0)</x:f>
        <x:v>0</x:v>
      </x:c>
      <x:c r="I1802" s="9" t="n">
        <x:f>MIN(10,F1801+IF(AR1801&gt;0,MIN(1,AS1801/AR1801),1))</x:f>
        <x:v>10</x:v>
      </x:c>
      <x:c r="J1802" s="32" t="n">
        <x:f>INDEX(v01_FoodCap,G1802)*Arch_FoodCap*EXP(v01_CapsByProject*SUMPRODUCT((Cap_Point&lt;=I1802)*(Cap_Kind="Food")*Cap_Ln))</x:f>
        <x:v>12000</x:v>
      </x:c>
      <x:c r="K1802" s="32" t="n">
        <x:f>J1802*MIN(1,v01_LeanBase*EXP(v01_CapsByProject*SUMPRODUCT((Cap_Point&lt;=I1802)*(Cap_Kind="Lean")*Cap_Ln)))</x:f>
        <x:v>12000</x:v>
      </x:c>
      <x:c r="L1802" s="10" t="n">
        <x:f>INDEX(v01_HousingCap,G1802)*EXP(v01_CapsByProject*SUMPRODUCT((Cap_Point&lt;=I1802)*(Cap_Kind="Housing")*Cap_Ln))</x:f>
        <x:v>20000</x:v>
      </x:c>
      <x:c r="M1802" s="10" t="n">
        <x:f>INDEX(v01_GroupCap,G1802)*v01_CohesionFactor*EXP(v01_CapsByProject*SUMPRODUCT((Cap_Point&lt;=I1802)*(Cap_Kind="Group")*Cap_Ln))</x:f>
        <x:v>1000000</x:v>
      </x:c>
      <x:c r="N1802" s="32" t="n">
        <x:f>MIN(J1802,L1802,M1802)</x:f>
        <x:v>12000</x:v>
      </x:c>
      <x:c r="O1802" s="10" t="n">
        <x:f>AE1801*N1802</x:f>
        <x:v>180000</x:v>
      </x:c>
      <x:c r="P1802" s="9" t="n">
        <x:f>MIN(1,(AB1801/(AE1801*IF(v01_GroupInCrowding=1,N1802,MIN(J1802,L1802))))^v01_CrowdingExp)</x:f>
        <x:v>0.00024569414295285325</x:v>
      </x:c>
      <x:c r="Q1802" s="9" t="n">
        <x:f>IF(D1802=1,INDEX(v01_WinterMult,G1802),1)</x:f>
        <x:v>1</x:v>
      </x:c>
      <x:c r="R1802" s="9" t="n">
        <x:f>H1802*Z1801*v01_WomenShare*v01_BaseFertility*INDEX(v01_FertMult,G1802)*Arch_Fertility*(1-P1802)</x:f>
        <x:v>0</x:v>
      </x:c>
      <x:c r="S1802" s="9" t="n">
        <x:f>H1802*Y1801*INDEX(v01_MortChild,G1802)/4*Q1802</x:f>
        <x:v>0</x:v>
      </x:c>
      <x:c r="T1802" s="9" t="n">
        <x:f>H1802*Z1801*INDEX(v01_MortAdult,G1802)*Arch_AdultMort/4*Q1802</x:f>
        <x:v>0</x:v>
      </x:c>
      <x:c r="U1802" s="9" t="n">
        <x:f>H1802*AA1801*INDEX(v01_MortElder,G1802)/4*Q1802</x:f>
        <x:v>0</x:v>
      </x:c>
      <x:c r="V1802" s="9" t="n">
        <x:f>H1802*MAX(0,AB1801-O1802)*v01_OvercapLoss</x:f>
        <x:v>0</x:v>
      </x:c>
      <x:c r="W1802" s="9" t="n">
        <x:f>H1802*Y1801/(v01_ChildYears*4)</x:f>
        <x:v>0</x:v>
      </x:c>
      <x:c r="X1802" s="9" t="n">
        <x:f>H1802*Z1801/(v01_AdultYears*4)</x:f>
        <x:v>0</x:v>
      </x:c>
      <x:c r="Y1802" s="32" t="n">
        <x:f>Y1801+R1802-S1802-W1802-Y1801*V1802/AB1801</x:f>
        <x:v>14306.18539759397</x:v>
      </x:c>
      <x:c r="Z1802" s="32" t="n">
        <x:f>Z1801+W1802-X1802-T1802-Z1801*V1802/AB1801</x:f>
        <x:v>19354.456567879548</x:v>
      </x:c>
      <x:c r="AA1802" s="32" t="n">
        <x:f>AA1801+X1802-U1802-AA1801*V1802/AB1801</x:f>
        <x:v>11386.956063258198</x:v>
      </x:c>
      <x:c r="AB1802" s="10" t="n">
        <x:f>Y1802+Z1802+AA1802</x:f>
        <x:v>45047.59802873172</x:v>
      </x:c>
      <x:c r="AC1802" s="8" t="n">
        <x:f>IF(AND(v01_WinterTrigger=1,D1802=1,AB1801/AE1801&gt;=K1802),1,0)</x:f>
        <x:v>0</x:v>
      </x:c>
      <x:c r="AD1802" s="8" t="n">
        <x:f>H1802*IF(AND(OR(AB1801/AE1801&gt;=v01_FissionTrigger*N1802,AC1802=1),AB1801/AE1801*v01_DaughterShare&gt;=v01_MinDaughter),MAX(1,ROUND(AE1801*v01_FissionRate,0)),0)</x:f>
        <x:v>0</x:v>
      </x:c>
      <x:c r="AE1802" s="8" t="n">
        <x:f>IF(H1802=1,MAX(1,MIN(INDEX(v01_Smax,G1802),AE1801+AD1802)),AE1801)</x:f>
        <x:v>15</x:v>
      </x:c>
      <x:c r="AF1802" s="8" t="n">
        <x:f>MAX(0,AE1802-AE1801)</x:f>
        <x:v>0</x:v>
      </x:c>
      <x:c r="AG1802" s="9" t="str">
        <x:f>IF(AF1802&gt;0,B1802,"")</x:f>
      </x:c>
      <x:c r="AH1802" s="9" t="n">
        <x:f>IF(F1802&gt;=1,1,(1+v01_LowTiesShare*(AE1802-1))/AE1802)</x:f>
        <x:v>1</x:v>
      </x:c>
      <x:c r="AI1802" s="32" t="n">
        <x:f>(Z1802+v01_ElderCommons*INDEX(LM_Elder,G1802)*AA1802)*AH1802</x:f>
        <x:v>64139.732591141874</x:v>
      </x:c>
      <x:c r="AJ1802" s="32" t="n">
        <x:f>H1802*v01_CommonsCoef*AI1802^v01_CommonsExp*INDEX(LM_Commons,G1802)</x:f>
        <x:v>0</x:v>
      </x:c>
      <x:c r="AK1802" s="32" t="n">
        <x:f>H1802*v01_RoleScale*Arch_Roles*(AE1802*(INDEX(v01_ElderRolePerSett,G1802)*v01_OutElder*INDEX(LM_Elder,G1802)+INDEX(v01_ShamanPerSett,G1802)*v01_OutShaman)+Z1802*(INDEX(v01_PriestShare,G1802)*v01_OutPriest+INDEX(v01_ScribeShare,G1802)*v01_OutScribe*INDEX(LM_Scribe,G1802)+INDEX(v01_ScholarShare,G1802)*v01_OutScholar*INDEX(LM_Scholar,G1802)+INDEX(v01_ResearcherShare,G1802)*v01_OutResearcher*INDEX(LM_Researcher,G1802)))</x:f>
        <x:v>0</x:v>
      </x:c>
      <x:c r="AL1802" s="32" t="n">
        <x:f>H1802*v01_RoleScale*Arch_Roles*AE1802*INDEX(v01_MonasteryPerSett,G1802)*v01_OutMonastery*INDEX(LM_Monastery,G1802)</x:f>
        <x:v>0</x:v>
      </x:c>
      <x:c r="AM1802" s="32" t="n">
        <x:f>(AJ1802+AK1802+AL1802)/4*INDEX(LM_All,G1802)*INDEX(v01_Boon,G1802)*Arch_Insight</x:f>
        <x:v>0</x:v>
      </x:c>
      <x:c r="AN1802" s="32" t="n">
        <x:f>H1802*(v01_KHPerAdult*Z1802+v01_KHOfCommons*AJ1802/4*INDEX(LM_All,G1802))*v01_KHUsable*Arch_KH</x:f>
        <x:v>0</x:v>
      </x:c>
      <x:c r="AO1802" s="32" t="n">
        <x:f>MIN(AP1801+AN1802,AM1802*v01_KHMaxRatio)</x:f>
        <x:v>0</x:v>
      </x:c>
      <x:c r="AP1802" s="32" t="n">
        <x:f>AP1801+AN1802-AO1802</x:f>
        <x:v>0</x:v>
      </x:c>
      <x:c r="AQ1802" s="32" t="n">
        <x:f>AM1802+AO1802</x:f>
        <x:v>0</x:v>
      </x:c>
      <x:c r="AR1802" s="10" t="n">
        <x:f>IF(H1802=1,INDEX(v01_Req,G1802),0)</x:f>
        <x:v>0</x:v>
      </x:c>
      <x:c r="AS1802" s="32" t="n">
        <x:f>IF(H1802=1,IF(E1802=1,AS1801-AR1801,AS1801)+AQ1802,0)</x:f>
        <x:v>0</x:v>
      </x:c>
      <x:c r="AT1802" s="11" t="n">
        <x:f>IF(AR1802&gt;0,MIN(1,AS1802/AR1802),1)</x:f>
        <x:v>1</x:v>
      </x:c>
      <x:c r="AU1802" s="10" t="n">
        <x:f>AB1802/INDEX(v01_RepScale,G1802)</x:f>
        <x:v>90.09519605746344</x:v>
      </x:c>
      <x:c r="AV1802" s="32" t="n">
        <x:f>AM1802*60/v01_SeasonSeconds</x:f>
        <x:v>0</x:v>
      </x:c>
    </x:row>
    <x:row r="1803">
      <x:c r="A1803" s="8" t="n">
        <x:f>A1802+1</x:f>
        <x:v>1800</x:v>
      </x:c>
      <x:c r="B1803" s="9" t="n">
        <x:f>A1803*v01_SeasonSeconds/60</x:f>
        <x:v>450</x:v>
      </x:c>
      <x:c r="C1803" s="9" t="n">
        <x:f>A1803/4</x:f>
        <x:v>450</x:v>
      </x:c>
      <x:c r="D1803" s="8" t="n">
        <x:f>IF(MOD(A1803,4)=0,1,0)</x:f>
        <x:v>1</x:v>
      </x:c>
      <x:c r="E1803" s="8" t="n">
        <x:f>IF(AND(F1802&lt;=9,AS1802&gt;=AR1802),1,0)</x:f>
        <x:v>0</x:v>
      </x:c>
      <x:c r="F1803" s="8" t="n">
        <x:f>MIN(10,F1802+E1803)</x:f>
        <x:v>10</x:v>
      </x:c>
      <x:c r="G1803" s="8" t="n">
        <x:f>MIN(F1803,9)+1</x:f>
        <x:v>10</x:v>
      </x:c>
      <x:c r="H1803" s="8" t="n">
        <x:f>IF(F1803&lt;=9,1,0)</x:f>
        <x:v>0</x:v>
      </x:c>
      <x:c r="I1803" s="9" t="n">
        <x:f>MIN(10,F1802+IF(AR1802&gt;0,MIN(1,AS1802/AR1802),1))</x:f>
        <x:v>10</x:v>
      </x:c>
      <x:c r="J1803" s="32" t="n">
        <x:f>INDEX(v01_FoodCap,G1803)*Arch_FoodCap*EXP(v01_CapsByProject*SUMPRODUCT((Cap_Point&lt;=I1803)*(Cap_Kind="Food")*Cap_Ln))</x:f>
        <x:v>12000</x:v>
      </x:c>
      <x:c r="K1803" s="32" t="n">
        <x:f>J1803*MIN(1,v01_LeanBase*EXP(v01_CapsByProject*SUMPRODUCT((Cap_Point&lt;=I1803)*(Cap_Kind="Lean")*Cap_Ln)))</x:f>
        <x:v>12000</x:v>
      </x:c>
      <x:c r="L1803" s="10" t="n">
        <x:f>INDEX(v01_HousingCap,G1803)*EXP(v01_CapsByProject*SUMPRODUCT((Cap_Point&lt;=I1803)*(Cap_Kind="Housing")*Cap_Ln))</x:f>
        <x:v>20000</x:v>
      </x:c>
      <x:c r="M1803" s="10" t="n">
        <x:f>INDEX(v01_GroupCap,G1803)*v01_CohesionFactor*EXP(v01_CapsByProject*SUMPRODUCT((Cap_Point&lt;=I1803)*(Cap_Kind="Group")*Cap_Ln))</x:f>
        <x:v>1000000</x:v>
      </x:c>
      <x:c r="N1803" s="32" t="n">
        <x:f>MIN(J1803,L1803,M1803)</x:f>
        <x:v>12000</x:v>
      </x:c>
      <x:c r="O1803" s="10" t="n">
        <x:f>AE1802*N1803</x:f>
        <x:v>180000</x:v>
      </x:c>
      <x:c r="P1803" s="9" t="n">
        <x:f>MIN(1,(AB1802/(AE1802*IF(v01_GroupInCrowding=1,N1803,MIN(J1803,L1803))))^v01_CrowdingExp)</x:f>
        <x:v>0.00024569414295285325</x:v>
      </x:c>
      <x:c r="Q1803" s="9" t="n">
        <x:f>IF(D1803=1,INDEX(v01_WinterMult,G1803),1)</x:f>
        <x:v>1</x:v>
      </x:c>
      <x:c r="R1803" s="9" t="n">
        <x:f>H1803*Z1802*v01_WomenShare*v01_BaseFertility*INDEX(v01_FertMult,G1803)*Arch_Fertility*(1-P1803)</x:f>
        <x:v>0</x:v>
      </x:c>
      <x:c r="S1803" s="9" t="n">
        <x:f>H1803*Y1802*INDEX(v01_MortChild,G1803)/4*Q1803</x:f>
        <x:v>0</x:v>
      </x:c>
      <x:c r="T1803" s="9" t="n">
        <x:f>H1803*Z1802*INDEX(v01_MortAdult,G1803)*Arch_AdultMort/4*Q1803</x:f>
        <x:v>0</x:v>
      </x:c>
      <x:c r="U1803" s="9" t="n">
        <x:f>H1803*AA1802*INDEX(v01_MortElder,G1803)/4*Q1803</x:f>
        <x:v>0</x:v>
      </x:c>
      <x:c r="V1803" s="9" t="n">
        <x:f>H1803*MAX(0,AB1802-O1803)*v01_OvercapLoss</x:f>
        <x:v>0</x:v>
      </x:c>
      <x:c r="W1803" s="9" t="n">
        <x:f>H1803*Y1802/(v01_ChildYears*4)</x:f>
        <x:v>0</x:v>
      </x:c>
      <x:c r="X1803" s="9" t="n">
        <x:f>H1803*Z1802/(v01_AdultYears*4)</x:f>
        <x:v>0</x:v>
      </x:c>
      <x:c r="Y1803" s="32" t="n">
        <x:f>Y1802+R1803-S1803-W1803-Y1802*V1803/AB1802</x:f>
        <x:v>14306.18539759397</x:v>
      </x:c>
      <x:c r="Z1803" s="32" t="n">
        <x:f>Z1802+W1803-X1803-T1803-Z1802*V1803/AB1802</x:f>
        <x:v>19354.456567879548</x:v>
      </x:c>
      <x:c r="AA1803" s="32" t="n">
        <x:f>AA1802+X1803-U1803-AA1802*V1803/AB1802</x:f>
        <x:v>11386.956063258198</x:v>
      </x:c>
      <x:c r="AB1803" s="10" t="n">
        <x:f>Y1803+Z1803+AA1803</x:f>
        <x:v>45047.59802873172</x:v>
      </x:c>
      <x:c r="AC1803" s="8" t="n">
        <x:f>IF(AND(v01_WinterTrigger=1,D1803=1,AB1802/AE1802&gt;=K1803),1,0)</x:f>
        <x:v>0</x:v>
      </x:c>
      <x:c r="AD1803" s="8" t="n">
        <x:f>H1803*IF(AND(OR(AB1802/AE1802&gt;=v01_FissionTrigger*N1803,AC1803=1),AB1802/AE1802*v01_DaughterShare&gt;=v01_MinDaughter),MAX(1,ROUND(AE1802*v01_FissionRate,0)),0)</x:f>
        <x:v>0</x:v>
      </x:c>
      <x:c r="AE1803" s="8" t="n">
        <x:f>IF(H1803=1,MAX(1,MIN(INDEX(v01_Smax,G1803),AE1802+AD1803)),AE1802)</x:f>
        <x:v>15</x:v>
      </x:c>
      <x:c r="AF1803" s="8" t="n">
        <x:f>MAX(0,AE1803-AE1802)</x:f>
        <x:v>0</x:v>
      </x:c>
      <x:c r="AG1803" s="9" t="str">
        <x:f>IF(AF1803&gt;0,B1803,"")</x:f>
      </x:c>
      <x:c r="AH1803" s="9" t="n">
        <x:f>IF(F1803&gt;=1,1,(1+v01_LowTiesShare*(AE1803-1))/AE1803)</x:f>
        <x:v>1</x:v>
      </x:c>
      <x:c r="AI1803" s="32" t="n">
        <x:f>(Z1803+v01_ElderCommons*INDEX(LM_Elder,G1803)*AA1803)*AH1803</x:f>
        <x:v>64139.732591141874</x:v>
      </x:c>
      <x:c r="AJ1803" s="32" t="n">
        <x:f>H1803*v01_CommonsCoef*AI1803^v01_CommonsExp*INDEX(LM_Commons,G1803)</x:f>
        <x:v>0</x:v>
      </x:c>
      <x:c r="AK1803" s="32" t="n">
        <x:f>H1803*v01_RoleScale*Arch_Roles*(AE1803*(INDEX(v01_ElderRolePerSett,G1803)*v01_OutElder*INDEX(LM_Elder,G1803)+INDEX(v01_ShamanPerSett,G1803)*v01_OutShaman)+Z1803*(INDEX(v01_PriestShare,G1803)*v01_OutPriest+INDEX(v01_ScribeShare,G1803)*v01_OutScribe*INDEX(LM_Scribe,G1803)+INDEX(v01_ScholarShare,G1803)*v01_OutScholar*INDEX(LM_Scholar,G1803)+INDEX(v01_ResearcherShare,G1803)*v01_OutResearcher*INDEX(LM_Researcher,G1803)))</x:f>
        <x:v>0</x:v>
      </x:c>
      <x:c r="AL1803" s="32" t="n">
        <x:f>H1803*v01_RoleScale*Arch_Roles*AE1803*INDEX(v01_MonasteryPerSett,G1803)*v01_OutMonastery*INDEX(LM_Monastery,G1803)</x:f>
        <x:v>0</x:v>
      </x:c>
      <x:c r="AM1803" s="32" t="n">
        <x:f>(AJ1803+AK1803+AL1803)/4*INDEX(LM_All,G1803)*INDEX(v01_Boon,G1803)*Arch_Insight</x:f>
        <x:v>0</x:v>
      </x:c>
      <x:c r="AN1803" s="32" t="n">
        <x:f>H1803*(v01_KHPerAdult*Z1803+v01_KHOfCommons*AJ1803/4*INDEX(LM_All,G1803))*v01_KHUsable*Arch_KH</x:f>
        <x:v>0</x:v>
      </x:c>
      <x:c r="AO1803" s="32" t="n">
        <x:f>MIN(AP1802+AN1803,AM1803*v01_KHMaxRatio)</x:f>
        <x:v>0</x:v>
      </x:c>
      <x:c r="AP1803" s="32" t="n">
        <x:f>AP1802+AN1803-AO1803</x:f>
        <x:v>0</x:v>
      </x:c>
      <x:c r="AQ1803" s="32" t="n">
        <x:f>AM1803+AO1803</x:f>
        <x:v>0</x:v>
      </x:c>
      <x:c r="AR1803" s="10" t="n">
        <x:f>IF(H1803=1,INDEX(v01_Req,G1803),0)</x:f>
        <x:v>0</x:v>
      </x:c>
      <x:c r="AS1803" s="32" t="n">
        <x:f>IF(H1803=1,IF(E1803=1,AS1802-AR1802,AS1802)+AQ1803,0)</x:f>
        <x:v>0</x:v>
      </x:c>
      <x:c r="AT1803" s="11" t="n">
        <x:f>IF(AR1803&gt;0,MIN(1,AS1803/AR1803),1)</x:f>
        <x:v>1</x:v>
      </x:c>
      <x:c r="AU1803" s="10" t="n">
        <x:f>AB1803/INDEX(v01_RepScale,G1803)</x:f>
        <x:v>90.09519605746344</x:v>
      </x:c>
      <x:c r="AV1803" s="32" t="n">
        <x:f>AM1803*60/v01_SeasonSeconds</x:f>
        <x:v>0</x:v>
      </x:c>
    </x:row>
    <x:row r="1804">
      <x:c r="A1804" s="8" t="n">
        <x:f>A1803+1</x:f>
        <x:v>1801</x:v>
      </x:c>
      <x:c r="B1804" s="9" t="n">
        <x:f>A1804*v01_SeasonSeconds/60</x:f>
        <x:v>450.25</x:v>
      </x:c>
      <x:c r="C1804" s="9" t="n">
        <x:f>A1804/4</x:f>
        <x:v>450.25</x:v>
      </x:c>
      <x:c r="D1804" s="8" t="n">
        <x:f>IF(MOD(A1804,4)=0,1,0)</x:f>
        <x:v>0</x:v>
      </x:c>
      <x:c r="E1804" s="8" t="n">
        <x:f>IF(AND(F1803&lt;=9,AS1803&gt;=AR1803),1,0)</x:f>
        <x:v>0</x:v>
      </x:c>
      <x:c r="F1804" s="8" t="n">
        <x:f>MIN(10,F1803+E1804)</x:f>
        <x:v>10</x:v>
      </x:c>
      <x:c r="G1804" s="8" t="n">
        <x:f>MIN(F1804,9)+1</x:f>
        <x:v>10</x:v>
      </x:c>
      <x:c r="H1804" s="8" t="n">
        <x:f>IF(F1804&lt;=9,1,0)</x:f>
        <x:v>0</x:v>
      </x:c>
      <x:c r="I1804" s="9" t="n">
        <x:f>MIN(10,F1803+IF(AR1803&gt;0,MIN(1,AS1803/AR1803),1))</x:f>
        <x:v>10</x:v>
      </x:c>
      <x:c r="J1804" s="32" t="n">
        <x:f>INDEX(v01_FoodCap,G1804)*Arch_FoodCap*EXP(v01_CapsByProject*SUMPRODUCT((Cap_Point&lt;=I1804)*(Cap_Kind="Food")*Cap_Ln))</x:f>
        <x:v>12000</x:v>
      </x:c>
      <x:c r="K1804" s="32" t="n">
        <x:f>J1804*MIN(1,v01_LeanBase*EXP(v01_CapsByProject*SUMPRODUCT((Cap_Point&lt;=I1804)*(Cap_Kind="Lean")*Cap_Ln)))</x:f>
        <x:v>12000</x:v>
      </x:c>
      <x:c r="L1804" s="10" t="n">
        <x:f>INDEX(v01_HousingCap,G1804)*EXP(v01_CapsByProject*SUMPRODUCT((Cap_Point&lt;=I1804)*(Cap_Kind="Housing")*Cap_Ln))</x:f>
        <x:v>20000</x:v>
      </x:c>
      <x:c r="M1804" s="10" t="n">
        <x:f>INDEX(v01_GroupCap,G1804)*v01_CohesionFactor*EXP(v01_CapsByProject*SUMPRODUCT((Cap_Point&lt;=I1804)*(Cap_Kind="Group")*Cap_Ln))</x:f>
        <x:v>1000000</x:v>
      </x:c>
      <x:c r="N1804" s="32" t="n">
        <x:f>MIN(J1804,L1804,M1804)</x:f>
        <x:v>12000</x:v>
      </x:c>
      <x:c r="O1804" s="10" t="n">
        <x:f>AE1803*N1804</x:f>
        <x:v>180000</x:v>
      </x:c>
      <x:c r="P1804" s="9" t="n">
        <x:f>MIN(1,(AB1803/(AE1803*IF(v01_GroupInCrowding=1,N1804,MIN(J1804,L1804))))^v01_CrowdingExp)</x:f>
        <x:v>0.00024569414295285325</x:v>
      </x:c>
      <x:c r="Q1804" s="9" t="n">
        <x:f>IF(D1804=1,INDEX(v01_WinterMult,G1804),1)</x:f>
        <x:v>1</x:v>
      </x:c>
      <x:c r="R1804" s="9" t="n">
        <x:f>H1804*Z1803*v01_WomenShare*v01_BaseFertility*INDEX(v01_FertMult,G1804)*Arch_Fertility*(1-P1804)</x:f>
        <x:v>0</x:v>
      </x:c>
      <x:c r="S1804" s="9" t="n">
        <x:f>H1804*Y1803*INDEX(v01_MortChild,G1804)/4*Q1804</x:f>
        <x:v>0</x:v>
      </x:c>
      <x:c r="T1804" s="9" t="n">
        <x:f>H1804*Z1803*INDEX(v01_MortAdult,G1804)*Arch_AdultMort/4*Q1804</x:f>
        <x:v>0</x:v>
      </x:c>
      <x:c r="U1804" s="9" t="n">
        <x:f>H1804*AA1803*INDEX(v01_MortElder,G1804)/4*Q1804</x:f>
        <x:v>0</x:v>
      </x:c>
      <x:c r="V1804" s="9" t="n">
        <x:f>H1804*MAX(0,AB1803-O1804)*v01_OvercapLoss</x:f>
        <x:v>0</x:v>
      </x:c>
      <x:c r="W1804" s="9" t="n">
        <x:f>H1804*Y1803/(v01_ChildYears*4)</x:f>
        <x:v>0</x:v>
      </x:c>
      <x:c r="X1804" s="9" t="n">
        <x:f>H1804*Z1803/(v01_AdultYears*4)</x:f>
        <x:v>0</x:v>
      </x:c>
      <x:c r="Y1804" s="32" t="n">
        <x:f>Y1803+R1804-S1804-W1804-Y1803*V1804/AB1803</x:f>
        <x:v>14306.18539759397</x:v>
      </x:c>
      <x:c r="Z1804" s="32" t="n">
        <x:f>Z1803+W1804-X1804-T1804-Z1803*V1804/AB1803</x:f>
        <x:v>19354.456567879548</x:v>
      </x:c>
      <x:c r="AA1804" s="32" t="n">
        <x:f>AA1803+X1804-U1804-AA1803*V1804/AB1803</x:f>
        <x:v>11386.956063258198</x:v>
      </x:c>
      <x:c r="AB1804" s="10" t="n">
        <x:f>Y1804+Z1804+AA1804</x:f>
        <x:v>45047.59802873172</x:v>
      </x:c>
      <x:c r="AC1804" s="8" t="n">
        <x:f>IF(AND(v01_WinterTrigger=1,D1804=1,AB1803/AE1803&gt;=K1804),1,0)</x:f>
        <x:v>0</x:v>
      </x:c>
      <x:c r="AD1804" s="8" t="n">
        <x:f>H1804*IF(AND(OR(AB1803/AE1803&gt;=v01_FissionTrigger*N1804,AC1804=1),AB1803/AE1803*v01_DaughterShare&gt;=v01_MinDaughter),MAX(1,ROUND(AE1803*v01_FissionRate,0)),0)</x:f>
        <x:v>0</x:v>
      </x:c>
      <x:c r="AE1804" s="8" t="n">
        <x:f>IF(H1804=1,MAX(1,MIN(INDEX(v01_Smax,G1804),AE1803+AD1804)),AE1803)</x:f>
        <x:v>15</x:v>
      </x:c>
      <x:c r="AF1804" s="8" t="n">
        <x:f>MAX(0,AE1804-AE1803)</x:f>
        <x:v>0</x:v>
      </x:c>
      <x:c r="AG1804" s="9" t="str">
        <x:f>IF(AF1804&gt;0,B1804,"")</x:f>
      </x:c>
      <x:c r="AH1804" s="9" t="n">
        <x:f>IF(F1804&gt;=1,1,(1+v01_LowTiesShare*(AE1804-1))/AE1804)</x:f>
        <x:v>1</x:v>
      </x:c>
      <x:c r="AI1804" s="32" t="n">
        <x:f>(Z1804+v01_ElderCommons*INDEX(LM_Elder,G1804)*AA1804)*AH1804</x:f>
        <x:v>64139.732591141874</x:v>
      </x:c>
      <x:c r="AJ1804" s="32" t="n">
        <x:f>H1804*v01_CommonsCoef*AI1804^v01_CommonsExp*INDEX(LM_Commons,G1804)</x:f>
        <x:v>0</x:v>
      </x:c>
      <x:c r="AK1804" s="32" t="n">
        <x:f>H1804*v01_RoleScale*Arch_Roles*(AE1804*(INDEX(v01_ElderRolePerSett,G1804)*v01_OutElder*INDEX(LM_Elder,G1804)+INDEX(v01_ShamanPerSett,G1804)*v01_OutShaman)+Z1804*(INDEX(v01_PriestShare,G1804)*v01_OutPriest+INDEX(v01_ScribeShare,G1804)*v01_OutScribe*INDEX(LM_Scribe,G1804)+INDEX(v01_ScholarShare,G1804)*v01_OutScholar*INDEX(LM_Scholar,G1804)+INDEX(v01_ResearcherShare,G1804)*v01_OutResearcher*INDEX(LM_Researcher,G1804)))</x:f>
        <x:v>0</x:v>
      </x:c>
      <x:c r="AL1804" s="32" t="n">
        <x:f>H1804*v01_RoleScale*Arch_Roles*AE1804*INDEX(v01_MonasteryPerSett,G1804)*v01_OutMonastery*INDEX(LM_Monastery,G1804)</x:f>
        <x:v>0</x:v>
      </x:c>
      <x:c r="AM1804" s="32" t="n">
        <x:f>(AJ1804+AK1804+AL1804)/4*INDEX(LM_All,G1804)*INDEX(v01_Boon,G1804)*Arch_Insight</x:f>
        <x:v>0</x:v>
      </x:c>
      <x:c r="AN1804" s="32" t="n">
        <x:f>H1804*(v01_KHPerAdult*Z1804+v01_KHOfCommons*AJ1804/4*INDEX(LM_All,G1804))*v01_KHUsable*Arch_KH</x:f>
        <x:v>0</x:v>
      </x:c>
      <x:c r="AO1804" s="32" t="n">
        <x:f>MIN(AP1803+AN1804,AM1804*v01_KHMaxRatio)</x:f>
        <x:v>0</x:v>
      </x:c>
      <x:c r="AP1804" s="32" t="n">
        <x:f>AP1803+AN1804-AO1804</x:f>
        <x:v>0</x:v>
      </x:c>
      <x:c r="AQ1804" s="32" t="n">
        <x:f>AM1804+AO1804</x:f>
        <x:v>0</x:v>
      </x:c>
      <x:c r="AR1804" s="10" t="n">
        <x:f>IF(H1804=1,INDEX(v01_Req,G1804),0)</x:f>
        <x:v>0</x:v>
      </x:c>
      <x:c r="AS1804" s="32" t="n">
        <x:f>IF(H1804=1,IF(E1804=1,AS1803-AR1803,AS1803)+AQ1804,0)</x:f>
        <x:v>0</x:v>
      </x:c>
      <x:c r="AT1804" s="11" t="n">
        <x:f>IF(AR1804&gt;0,MIN(1,AS1804/AR1804),1)</x:f>
        <x:v>1</x:v>
      </x:c>
      <x:c r="AU1804" s="10" t="n">
        <x:f>AB1804/INDEX(v01_RepScale,G1804)</x:f>
        <x:v>90.09519605746344</x:v>
      </x:c>
      <x:c r="AV1804" s="32" t="n">
        <x:f>AM1804*60/v01_SeasonSeconds</x:f>
        <x:v>0</x:v>
      </x:c>
    </x:row>
    <x:row r="1805">
      <x:c r="A1805" s="8" t="n">
        <x:f>A1804+1</x:f>
        <x:v>1802</x:v>
      </x:c>
      <x:c r="B1805" s="9" t="n">
        <x:f>A1805*v01_SeasonSeconds/60</x:f>
        <x:v>450.5</x:v>
      </x:c>
      <x:c r="C1805" s="9" t="n">
        <x:f>A1805/4</x:f>
        <x:v>450.5</x:v>
      </x:c>
      <x:c r="D1805" s="8" t="n">
        <x:f>IF(MOD(A1805,4)=0,1,0)</x:f>
        <x:v>0</x:v>
      </x:c>
      <x:c r="E1805" s="8" t="n">
        <x:f>IF(AND(F1804&lt;=9,AS1804&gt;=AR1804),1,0)</x:f>
        <x:v>0</x:v>
      </x:c>
      <x:c r="F1805" s="8" t="n">
        <x:f>MIN(10,F1804+E1805)</x:f>
        <x:v>10</x:v>
      </x:c>
      <x:c r="G1805" s="8" t="n">
        <x:f>MIN(F1805,9)+1</x:f>
        <x:v>10</x:v>
      </x:c>
      <x:c r="H1805" s="8" t="n">
        <x:f>IF(F1805&lt;=9,1,0)</x:f>
        <x:v>0</x:v>
      </x:c>
      <x:c r="I1805" s="9" t="n">
        <x:f>MIN(10,F1804+IF(AR1804&gt;0,MIN(1,AS1804/AR1804),1))</x:f>
        <x:v>10</x:v>
      </x:c>
      <x:c r="J1805" s="32" t="n">
        <x:f>INDEX(v01_FoodCap,G1805)*Arch_FoodCap*EXP(v01_CapsByProject*SUMPRODUCT((Cap_Point&lt;=I1805)*(Cap_Kind="Food")*Cap_Ln))</x:f>
        <x:v>12000</x:v>
      </x:c>
      <x:c r="K1805" s="32" t="n">
        <x:f>J1805*MIN(1,v01_LeanBase*EXP(v01_CapsByProject*SUMPRODUCT((Cap_Point&lt;=I1805)*(Cap_Kind="Lean")*Cap_Ln)))</x:f>
        <x:v>12000</x:v>
      </x:c>
      <x:c r="L1805" s="10" t="n">
        <x:f>INDEX(v01_HousingCap,G1805)*EXP(v01_CapsByProject*SUMPRODUCT((Cap_Point&lt;=I1805)*(Cap_Kind="Housing")*Cap_Ln))</x:f>
        <x:v>20000</x:v>
      </x:c>
      <x:c r="M1805" s="10" t="n">
        <x:f>INDEX(v01_GroupCap,G1805)*v01_CohesionFactor*EXP(v01_CapsByProject*SUMPRODUCT((Cap_Point&lt;=I1805)*(Cap_Kind="Group")*Cap_Ln))</x:f>
        <x:v>1000000</x:v>
      </x:c>
      <x:c r="N1805" s="32" t="n">
        <x:f>MIN(J1805,L1805,M1805)</x:f>
        <x:v>12000</x:v>
      </x:c>
      <x:c r="O1805" s="10" t="n">
        <x:f>AE1804*N1805</x:f>
        <x:v>180000</x:v>
      </x:c>
      <x:c r="P1805" s="9" t="n">
        <x:f>MIN(1,(AB1804/(AE1804*IF(v01_GroupInCrowding=1,N1805,MIN(J1805,L1805))))^v01_CrowdingExp)</x:f>
        <x:v>0.00024569414295285325</x:v>
      </x:c>
      <x:c r="Q1805" s="9" t="n">
        <x:f>IF(D1805=1,INDEX(v01_WinterMult,G1805),1)</x:f>
        <x:v>1</x:v>
      </x:c>
      <x:c r="R1805" s="9" t="n">
        <x:f>H1805*Z1804*v01_WomenShare*v01_BaseFertility*INDEX(v01_FertMult,G1805)*Arch_Fertility*(1-P1805)</x:f>
        <x:v>0</x:v>
      </x:c>
      <x:c r="S1805" s="9" t="n">
        <x:f>H1805*Y1804*INDEX(v01_MortChild,G1805)/4*Q1805</x:f>
        <x:v>0</x:v>
      </x:c>
      <x:c r="T1805" s="9" t="n">
        <x:f>H1805*Z1804*INDEX(v01_MortAdult,G1805)*Arch_AdultMort/4*Q1805</x:f>
        <x:v>0</x:v>
      </x:c>
      <x:c r="U1805" s="9" t="n">
        <x:f>H1805*AA1804*INDEX(v01_MortElder,G1805)/4*Q1805</x:f>
        <x:v>0</x:v>
      </x:c>
      <x:c r="V1805" s="9" t="n">
        <x:f>H1805*MAX(0,AB1804-O1805)*v01_OvercapLoss</x:f>
        <x:v>0</x:v>
      </x:c>
      <x:c r="W1805" s="9" t="n">
        <x:f>H1805*Y1804/(v01_ChildYears*4)</x:f>
        <x:v>0</x:v>
      </x:c>
      <x:c r="X1805" s="9" t="n">
        <x:f>H1805*Z1804/(v01_AdultYears*4)</x:f>
        <x:v>0</x:v>
      </x:c>
      <x:c r="Y1805" s="32" t="n">
        <x:f>Y1804+R1805-S1805-W1805-Y1804*V1805/AB1804</x:f>
        <x:v>14306.18539759397</x:v>
      </x:c>
      <x:c r="Z1805" s="32" t="n">
        <x:f>Z1804+W1805-X1805-T1805-Z1804*V1805/AB1804</x:f>
        <x:v>19354.456567879548</x:v>
      </x:c>
      <x:c r="AA1805" s="32" t="n">
        <x:f>AA1804+X1805-U1805-AA1804*V1805/AB1804</x:f>
        <x:v>11386.956063258198</x:v>
      </x:c>
      <x:c r="AB1805" s="10" t="n">
        <x:f>Y1805+Z1805+AA1805</x:f>
        <x:v>45047.59802873172</x:v>
      </x:c>
      <x:c r="AC1805" s="8" t="n">
        <x:f>IF(AND(v01_WinterTrigger=1,D1805=1,AB1804/AE1804&gt;=K1805),1,0)</x:f>
        <x:v>0</x:v>
      </x:c>
      <x:c r="AD1805" s="8" t="n">
        <x:f>H1805*IF(AND(OR(AB1804/AE1804&gt;=v01_FissionTrigger*N1805,AC1805=1),AB1804/AE1804*v01_DaughterShare&gt;=v01_MinDaughter),MAX(1,ROUND(AE1804*v01_FissionRate,0)),0)</x:f>
        <x:v>0</x:v>
      </x:c>
      <x:c r="AE1805" s="8" t="n">
        <x:f>IF(H1805=1,MAX(1,MIN(INDEX(v01_Smax,G1805),AE1804+AD1805)),AE1804)</x:f>
        <x:v>15</x:v>
      </x:c>
      <x:c r="AF1805" s="8" t="n">
        <x:f>MAX(0,AE1805-AE1804)</x:f>
        <x:v>0</x:v>
      </x:c>
      <x:c r="AG1805" s="9" t="str">
        <x:f>IF(AF1805&gt;0,B1805,"")</x:f>
      </x:c>
      <x:c r="AH1805" s="9" t="n">
        <x:f>IF(F1805&gt;=1,1,(1+v01_LowTiesShare*(AE1805-1))/AE1805)</x:f>
        <x:v>1</x:v>
      </x:c>
      <x:c r="AI1805" s="32" t="n">
        <x:f>(Z1805+v01_ElderCommons*INDEX(LM_Elder,G1805)*AA1805)*AH1805</x:f>
        <x:v>64139.732591141874</x:v>
      </x:c>
      <x:c r="AJ1805" s="32" t="n">
        <x:f>H1805*v01_CommonsCoef*AI1805^v01_CommonsExp*INDEX(LM_Commons,G1805)</x:f>
        <x:v>0</x:v>
      </x:c>
      <x:c r="AK1805" s="32" t="n">
        <x:f>H1805*v01_RoleScale*Arch_Roles*(AE1805*(INDEX(v01_ElderRolePerSett,G1805)*v01_OutElder*INDEX(LM_Elder,G1805)+INDEX(v01_ShamanPerSett,G1805)*v01_OutShaman)+Z1805*(INDEX(v01_PriestShare,G1805)*v01_OutPriest+INDEX(v01_ScribeShare,G1805)*v01_OutScribe*INDEX(LM_Scribe,G1805)+INDEX(v01_ScholarShare,G1805)*v01_OutScholar*INDEX(LM_Scholar,G1805)+INDEX(v01_ResearcherShare,G1805)*v01_OutResearcher*INDEX(LM_Researcher,G1805)))</x:f>
        <x:v>0</x:v>
      </x:c>
      <x:c r="AL1805" s="32" t="n">
        <x:f>H1805*v01_RoleScale*Arch_Roles*AE1805*INDEX(v01_MonasteryPerSett,G1805)*v01_OutMonastery*INDEX(LM_Monastery,G1805)</x:f>
        <x:v>0</x:v>
      </x:c>
      <x:c r="AM1805" s="32" t="n">
        <x:f>(AJ1805+AK1805+AL1805)/4*INDEX(LM_All,G1805)*INDEX(v01_Boon,G1805)*Arch_Insight</x:f>
        <x:v>0</x:v>
      </x:c>
      <x:c r="AN1805" s="32" t="n">
        <x:f>H1805*(v01_KHPerAdult*Z1805+v01_KHOfCommons*AJ1805/4*INDEX(LM_All,G1805))*v01_KHUsable*Arch_KH</x:f>
        <x:v>0</x:v>
      </x:c>
      <x:c r="AO1805" s="32" t="n">
        <x:f>MIN(AP1804+AN1805,AM1805*v01_KHMaxRatio)</x:f>
        <x:v>0</x:v>
      </x:c>
      <x:c r="AP1805" s="32" t="n">
        <x:f>AP1804+AN1805-AO1805</x:f>
        <x:v>0</x:v>
      </x:c>
      <x:c r="AQ1805" s="32" t="n">
        <x:f>AM1805+AO1805</x:f>
        <x:v>0</x:v>
      </x:c>
      <x:c r="AR1805" s="10" t="n">
        <x:f>IF(H1805=1,INDEX(v01_Req,G1805),0)</x:f>
        <x:v>0</x:v>
      </x:c>
      <x:c r="AS1805" s="32" t="n">
        <x:f>IF(H1805=1,IF(E1805=1,AS1804-AR1804,AS1804)+AQ1805,0)</x:f>
        <x:v>0</x:v>
      </x:c>
      <x:c r="AT1805" s="11" t="n">
        <x:f>IF(AR1805&gt;0,MIN(1,AS1805/AR1805),1)</x:f>
        <x:v>1</x:v>
      </x:c>
      <x:c r="AU1805" s="10" t="n">
        <x:f>AB1805/INDEX(v01_RepScale,G1805)</x:f>
        <x:v>90.09519605746344</x:v>
      </x:c>
      <x:c r="AV1805" s="32" t="n">
        <x:f>AM1805*60/v01_SeasonSeconds</x:f>
        <x:v>0</x:v>
      </x:c>
    </x:row>
    <x:row r="1806">
      <x:c r="A1806" s="8" t="n">
        <x:f>A1805+1</x:f>
        <x:v>1803</x:v>
      </x:c>
      <x:c r="B1806" s="9" t="n">
        <x:f>A1806*v01_SeasonSeconds/60</x:f>
        <x:v>450.75</x:v>
      </x:c>
      <x:c r="C1806" s="9" t="n">
        <x:f>A1806/4</x:f>
        <x:v>450.75</x:v>
      </x:c>
      <x:c r="D1806" s="8" t="n">
        <x:f>IF(MOD(A1806,4)=0,1,0)</x:f>
        <x:v>0</x:v>
      </x:c>
      <x:c r="E1806" s="8" t="n">
        <x:f>IF(AND(F1805&lt;=9,AS1805&gt;=AR1805),1,0)</x:f>
        <x:v>0</x:v>
      </x:c>
      <x:c r="F1806" s="8" t="n">
        <x:f>MIN(10,F1805+E1806)</x:f>
        <x:v>10</x:v>
      </x:c>
      <x:c r="G1806" s="8" t="n">
        <x:f>MIN(F1806,9)+1</x:f>
        <x:v>10</x:v>
      </x:c>
      <x:c r="H1806" s="8" t="n">
        <x:f>IF(F1806&lt;=9,1,0)</x:f>
        <x:v>0</x:v>
      </x:c>
      <x:c r="I1806" s="9" t="n">
        <x:f>MIN(10,F1805+IF(AR1805&gt;0,MIN(1,AS1805/AR1805),1))</x:f>
        <x:v>10</x:v>
      </x:c>
      <x:c r="J1806" s="32" t="n">
        <x:f>INDEX(v01_FoodCap,G1806)*Arch_FoodCap*EXP(v01_CapsByProject*SUMPRODUCT((Cap_Point&lt;=I1806)*(Cap_Kind="Food")*Cap_Ln))</x:f>
        <x:v>12000</x:v>
      </x:c>
      <x:c r="K1806" s="32" t="n">
        <x:f>J1806*MIN(1,v01_LeanBase*EXP(v01_CapsByProject*SUMPRODUCT((Cap_Point&lt;=I1806)*(Cap_Kind="Lean")*Cap_Ln)))</x:f>
        <x:v>12000</x:v>
      </x:c>
      <x:c r="L1806" s="10" t="n">
        <x:f>INDEX(v01_HousingCap,G1806)*EXP(v01_CapsByProject*SUMPRODUCT((Cap_Point&lt;=I1806)*(Cap_Kind="Housing")*Cap_Ln))</x:f>
        <x:v>20000</x:v>
      </x:c>
      <x:c r="M1806" s="10" t="n">
        <x:f>INDEX(v01_GroupCap,G1806)*v01_CohesionFactor*EXP(v01_CapsByProject*SUMPRODUCT((Cap_Point&lt;=I1806)*(Cap_Kind="Group")*Cap_Ln))</x:f>
        <x:v>1000000</x:v>
      </x:c>
      <x:c r="N1806" s="32" t="n">
        <x:f>MIN(J1806,L1806,M1806)</x:f>
        <x:v>12000</x:v>
      </x:c>
      <x:c r="O1806" s="10" t="n">
        <x:f>AE1805*N1806</x:f>
        <x:v>180000</x:v>
      </x:c>
      <x:c r="P1806" s="9" t="n">
        <x:f>MIN(1,(AB1805/(AE1805*IF(v01_GroupInCrowding=1,N1806,MIN(J1806,L1806))))^v01_CrowdingExp)</x:f>
        <x:v>0.00024569414295285325</x:v>
      </x:c>
      <x:c r="Q1806" s="9" t="n">
        <x:f>IF(D1806=1,INDEX(v01_WinterMult,G1806),1)</x:f>
        <x:v>1</x:v>
      </x:c>
      <x:c r="R1806" s="9" t="n">
        <x:f>H1806*Z1805*v01_WomenShare*v01_BaseFertility*INDEX(v01_FertMult,G1806)*Arch_Fertility*(1-P1806)</x:f>
        <x:v>0</x:v>
      </x:c>
      <x:c r="S1806" s="9" t="n">
        <x:f>H1806*Y1805*INDEX(v01_MortChild,G1806)/4*Q1806</x:f>
        <x:v>0</x:v>
      </x:c>
      <x:c r="T1806" s="9" t="n">
        <x:f>H1806*Z1805*INDEX(v01_MortAdult,G1806)*Arch_AdultMort/4*Q1806</x:f>
        <x:v>0</x:v>
      </x:c>
      <x:c r="U1806" s="9" t="n">
        <x:f>H1806*AA1805*INDEX(v01_MortElder,G1806)/4*Q1806</x:f>
        <x:v>0</x:v>
      </x:c>
      <x:c r="V1806" s="9" t="n">
        <x:f>H1806*MAX(0,AB1805-O1806)*v01_OvercapLoss</x:f>
        <x:v>0</x:v>
      </x:c>
      <x:c r="W1806" s="9" t="n">
        <x:f>H1806*Y1805/(v01_ChildYears*4)</x:f>
        <x:v>0</x:v>
      </x:c>
      <x:c r="X1806" s="9" t="n">
        <x:f>H1806*Z1805/(v01_AdultYears*4)</x:f>
        <x:v>0</x:v>
      </x:c>
      <x:c r="Y1806" s="32" t="n">
        <x:f>Y1805+R1806-S1806-W1806-Y1805*V1806/AB1805</x:f>
        <x:v>14306.18539759397</x:v>
      </x:c>
      <x:c r="Z1806" s="32" t="n">
        <x:f>Z1805+W1806-X1806-T1806-Z1805*V1806/AB1805</x:f>
        <x:v>19354.456567879548</x:v>
      </x:c>
      <x:c r="AA1806" s="32" t="n">
        <x:f>AA1805+X1806-U1806-AA1805*V1806/AB1805</x:f>
        <x:v>11386.956063258198</x:v>
      </x:c>
      <x:c r="AB1806" s="10" t="n">
        <x:f>Y1806+Z1806+AA1806</x:f>
        <x:v>45047.59802873172</x:v>
      </x:c>
      <x:c r="AC1806" s="8" t="n">
        <x:f>IF(AND(v01_WinterTrigger=1,D1806=1,AB1805/AE1805&gt;=K1806),1,0)</x:f>
        <x:v>0</x:v>
      </x:c>
      <x:c r="AD1806" s="8" t="n">
        <x:f>H1806*IF(AND(OR(AB1805/AE1805&gt;=v01_FissionTrigger*N1806,AC1806=1),AB1805/AE1805*v01_DaughterShare&gt;=v01_MinDaughter),MAX(1,ROUND(AE1805*v01_FissionRate,0)),0)</x:f>
        <x:v>0</x:v>
      </x:c>
      <x:c r="AE1806" s="8" t="n">
        <x:f>IF(H1806=1,MAX(1,MIN(INDEX(v01_Smax,G1806),AE1805+AD1806)),AE1805)</x:f>
        <x:v>15</x:v>
      </x:c>
      <x:c r="AF1806" s="8" t="n">
        <x:f>MAX(0,AE1806-AE1805)</x:f>
        <x:v>0</x:v>
      </x:c>
      <x:c r="AG1806" s="9" t="str">
        <x:f>IF(AF1806&gt;0,B1806,"")</x:f>
      </x:c>
      <x:c r="AH1806" s="9" t="n">
        <x:f>IF(F1806&gt;=1,1,(1+v01_LowTiesShare*(AE1806-1))/AE1806)</x:f>
        <x:v>1</x:v>
      </x:c>
      <x:c r="AI1806" s="32" t="n">
        <x:f>(Z1806+v01_ElderCommons*INDEX(LM_Elder,G1806)*AA1806)*AH1806</x:f>
        <x:v>64139.732591141874</x:v>
      </x:c>
      <x:c r="AJ1806" s="32" t="n">
        <x:f>H1806*v01_CommonsCoef*AI1806^v01_CommonsExp*INDEX(LM_Commons,G1806)</x:f>
        <x:v>0</x:v>
      </x:c>
      <x:c r="AK1806" s="32" t="n">
        <x:f>H1806*v01_RoleScale*Arch_Roles*(AE1806*(INDEX(v01_ElderRolePerSett,G1806)*v01_OutElder*INDEX(LM_Elder,G1806)+INDEX(v01_ShamanPerSett,G1806)*v01_OutShaman)+Z1806*(INDEX(v01_PriestShare,G1806)*v01_OutPriest+INDEX(v01_ScribeShare,G1806)*v01_OutScribe*INDEX(LM_Scribe,G1806)+INDEX(v01_ScholarShare,G1806)*v01_OutScholar*INDEX(LM_Scholar,G1806)+INDEX(v01_ResearcherShare,G1806)*v01_OutResearcher*INDEX(LM_Researcher,G1806)))</x:f>
        <x:v>0</x:v>
      </x:c>
      <x:c r="AL1806" s="32" t="n">
        <x:f>H1806*v01_RoleScale*Arch_Roles*AE1806*INDEX(v01_MonasteryPerSett,G1806)*v01_OutMonastery*INDEX(LM_Monastery,G1806)</x:f>
        <x:v>0</x:v>
      </x:c>
      <x:c r="AM1806" s="32" t="n">
        <x:f>(AJ1806+AK1806+AL1806)/4*INDEX(LM_All,G1806)*INDEX(v01_Boon,G1806)*Arch_Insight</x:f>
        <x:v>0</x:v>
      </x:c>
      <x:c r="AN1806" s="32" t="n">
        <x:f>H1806*(v01_KHPerAdult*Z1806+v01_KHOfCommons*AJ1806/4*INDEX(LM_All,G1806))*v01_KHUsable*Arch_KH</x:f>
        <x:v>0</x:v>
      </x:c>
      <x:c r="AO1806" s="32" t="n">
        <x:f>MIN(AP1805+AN1806,AM1806*v01_KHMaxRatio)</x:f>
        <x:v>0</x:v>
      </x:c>
      <x:c r="AP1806" s="32" t="n">
        <x:f>AP1805+AN1806-AO1806</x:f>
        <x:v>0</x:v>
      </x:c>
      <x:c r="AQ1806" s="32" t="n">
        <x:f>AM1806+AO1806</x:f>
        <x:v>0</x:v>
      </x:c>
      <x:c r="AR1806" s="10" t="n">
        <x:f>IF(H1806=1,INDEX(v01_Req,G1806),0)</x:f>
        <x:v>0</x:v>
      </x:c>
      <x:c r="AS1806" s="32" t="n">
        <x:f>IF(H1806=1,IF(E1806=1,AS1805-AR1805,AS1805)+AQ1806,0)</x:f>
        <x:v>0</x:v>
      </x:c>
      <x:c r="AT1806" s="11" t="n">
        <x:f>IF(AR1806&gt;0,MIN(1,AS1806/AR1806),1)</x:f>
        <x:v>1</x:v>
      </x:c>
      <x:c r="AU1806" s="10" t="n">
        <x:f>AB1806/INDEX(v01_RepScale,G1806)</x:f>
        <x:v>90.09519605746344</x:v>
      </x:c>
      <x:c r="AV1806" s="32" t="n">
        <x:f>AM1806*60/v01_SeasonSeconds</x:f>
        <x:v>0</x:v>
      </x:c>
    </x:row>
    <x:row r="1807">
      <x:c r="A1807" s="8" t="n">
        <x:f>A1806+1</x:f>
        <x:v>1804</x:v>
      </x:c>
      <x:c r="B1807" s="9" t="n">
        <x:f>A1807*v01_SeasonSeconds/60</x:f>
        <x:v>451</x:v>
      </x:c>
      <x:c r="C1807" s="9" t="n">
        <x:f>A1807/4</x:f>
        <x:v>451</x:v>
      </x:c>
      <x:c r="D1807" s="8" t="n">
        <x:f>IF(MOD(A1807,4)=0,1,0)</x:f>
        <x:v>1</x:v>
      </x:c>
      <x:c r="E1807" s="8" t="n">
        <x:f>IF(AND(F1806&lt;=9,AS1806&gt;=AR1806),1,0)</x:f>
        <x:v>0</x:v>
      </x:c>
      <x:c r="F1807" s="8" t="n">
        <x:f>MIN(10,F1806+E1807)</x:f>
        <x:v>10</x:v>
      </x:c>
      <x:c r="G1807" s="8" t="n">
        <x:f>MIN(F1807,9)+1</x:f>
        <x:v>10</x:v>
      </x:c>
      <x:c r="H1807" s="8" t="n">
        <x:f>IF(F1807&lt;=9,1,0)</x:f>
        <x:v>0</x:v>
      </x:c>
      <x:c r="I1807" s="9" t="n">
        <x:f>MIN(10,F1806+IF(AR1806&gt;0,MIN(1,AS1806/AR1806),1))</x:f>
        <x:v>10</x:v>
      </x:c>
      <x:c r="J1807" s="32" t="n">
        <x:f>INDEX(v01_FoodCap,G1807)*Arch_FoodCap*EXP(v01_CapsByProject*SUMPRODUCT((Cap_Point&lt;=I1807)*(Cap_Kind="Food")*Cap_Ln))</x:f>
        <x:v>12000</x:v>
      </x:c>
      <x:c r="K1807" s="32" t="n">
        <x:f>J1807*MIN(1,v01_LeanBase*EXP(v01_CapsByProject*SUMPRODUCT((Cap_Point&lt;=I1807)*(Cap_Kind="Lean")*Cap_Ln)))</x:f>
        <x:v>12000</x:v>
      </x:c>
      <x:c r="L1807" s="10" t="n">
        <x:f>INDEX(v01_HousingCap,G1807)*EXP(v01_CapsByProject*SUMPRODUCT((Cap_Point&lt;=I1807)*(Cap_Kind="Housing")*Cap_Ln))</x:f>
        <x:v>20000</x:v>
      </x:c>
      <x:c r="M1807" s="10" t="n">
        <x:f>INDEX(v01_GroupCap,G1807)*v01_CohesionFactor*EXP(v01_CapsByProject*SUMPRODUCT((Cap_Point&lt;=I1807)*(Cap_Kind="Group")*Cap_Ln))</x:f>
        <x:v>1000000</x:v>
      </x:c>
      <x:c r="N1807" s="32" t="n">
        <x:f>MIN(J1807,L1807,M1807)</x:f>
        <x:v>12000</x:v>
      </x:c>
      <x:c r="O1807" s="10" t="n">
        <x:f>AE1806*N1807</x:f>
        <x:v>180000</x:v>
      </x:c>
      <x:c r="P1807" s="9" t="n">
        <x:f>MIN(1,(AB1806/(AE1806*IF(v01_GroupInCrowding=1,N1807,MIN(J1807,L1807))))^v01_CrowdingExp)</x:f>
        <x:v>0.00024569414295285325</x:v>
      </x:c>
      <x:c r="Q1807" s="9" t="n">
        <x:f>IF(D1807=1,INDEX(v01_WinterMult,G1807),1)</x:f>
        <x:v>1</x:v>
      </x:c>
      <x:c r="R1807" s="9" t="n">
        <x:f>H1807*Z1806*v01_WomenShare*v01_BaseFertility*INDEX(v01_FertMult,G1807)*Arch_Fertility*(1-P1807)</x:f>
        <x:v>0</x:v>
      </x:c>
      <x:c r="S1807" s="9" t="n">
        <x:f>H1807*Y1806*INDEX(v01_MortChild,G1807)/4*Q1807</x:f>
        <x:v>0</x:v>
      </x:c>
      <x:c r="T1807" s="9" t="n">
        <x:f>H1807*Z1806*INDEX(v01_MortAdult,G1807)*Arch_AdultMort/4*Q1807</x:f>
        <x:v>0</x:v>
      </x:c>
      <x:c r="U1807" s="9" t="n">
        <x:f>H1807*AA1806*INDEX(v01_MortElder,G1807)/4*Q1807</x:f>
        <x:v>0</x:v>
      </x:c>
      <x:c r="V1807" s="9" t="n">
        <x:f>H1807*MAX(0,AB1806-O1807)*v01_OvercapLoss</x:f>
        <x:v>0</x:v>
      </x:c>
      <x:c r="W1807" s="9" t="n">
        <x:f>H1807*Y1806/(v01_ChildYears*4)</x:f>
        <x:v>0</x:v>
      </x:c>
      <x:c r="X1807" s="9" t="n">
        <x:f>H1807*Z1806/(v01_AdultYears*4)</x:f>
        <x:v>0</x:v>
      </x:c>
      <x:c r="Y1807" s="32" t="n">
        <x:f>Y1806+R1807-S1807-W1807-Y1806*V1807/AB1806</x:f>
        <x:v>14306.18539759397</x:v>
      </x:c>
      <x:c r="Z1807" s="32" t="n">
        <x:f>Z1806+W1807-X1807-T1807-Z1806*V1807/AB1806</x:f>
        <x:v>19354.456567879548</x:v>
      </x:c>
      <x:c r="AA1807" s="32" t="n">
        <x:f>AA1806+X1807-U1807-AA1806*V1807/AB1806</x:f>
        <x:v>11386.956063258198</x:v>
      </x:c>
      <x:c r="AB1807" s="10" t="n">
        <x:f>Y1807+Z1807+AA1807</x:f>
        <x:v>45047.59802873172</x:v>
      </x:c>
      <x:c r="AC1807" s="8" t="n">
        <x:f>IF(AND(v01_WinterTrigger=1,D1807=1,AB1806/AE1806&gt;=K1807),1,0)</x:f>
        <x:v>0</x:v>
      </x:c>
      <x:c r="AD1807" s="8" t="n">
        <x:f>H1807*IF(AND(OR(AB1806/AE1806&gt;=v01_FissionTrigger*N1807,AC1807=1),AB1806/AE1806*v01_DaughterShare&gt;=v01_MinDaughter),MAX(1,ROUND(AE1806*v01_FissionRate,0)),0)</x:f>
        <x:v>0</x:v>
      </x:c>
      <x:c r="AE1807" s="8" t="n">
        <x:f>IF(H1807=1,MAX(1,MIN(INDEX(v01_Smax,G1807),AE1806+AD1807)),AE1806)</x:f>
        <x:v>15</x:v>
      </x:c>
      <x:c r="AF1807" s="8" t="n">
        <x:f>MAX(0,AE1807-AE1806)</x:f>
        <x:v>0</x:v>
      </x:c>
      <x:c r="AG1807" s="9" t="str">
        <x:f>IF(AF1807&gt;0,B1807,"")</x:f>
      </x:c>
      <x:c r="AH1807" s="9" t="n">
        <x:f>IF(F1807&gt;=1,1,(1+v01_LowTiesShare*(AE1807-1))/AE1807)</x:f>
        <x:v>1</x:v>
      </x:c>
      <x:c r="AI1807" s="32" t="n">
        <x:f>(Z1807+v01_ElderCommons*INDEX(LM_Elder,G1807)*AA1807)*AH1807</x:f>
        <x:v>64139.732591141874</x:v>
      </x:c>
      <x:c r="AJ1807" s="32" t="n">
        <x:f>H1807*v01_CommonsCoef*AI1807^v01_CommonsExp*INDEX(LM_Commons,G1807)</x:f>
        <x:v>0</x:v>
      </x:c>
      <x:c r="AK1807" s="32" t="n">
        <x:f>H1807*v01_RoleScale*Arch_Roles*(AE1807*(INDEX(v01_ElderRolePerSett,G1807)*v01_OutElder*INDEX(LM_Elder,G1807)+INDEX(v01_ShamanPerSett,G1807)*v01_OutShaman)+Z1807*(INDEX(v01_PriestShare,G1807)*v01_OutPriest+INDEX(v01_ScribeShare,G1807)*v01_OutScribe*INDEX(LM_Scribe,G1807)+INDEX(v01_ScholarShare,G1807)*v01_OutScholar*INDEX(LM_Scholar,G1807)+INDEX(v01_ResearcherShare,G1807)*v01_OutResearcher*INDEX(LM_Researcher,G1807)))</x:f>
        <x:v>0</x:v>
      </x:c>
      <x:c r="AL1807" s="32" t="n">
        <x:f>H1807*v01_RoleScale*Arch_Roles*AE1807*INDEX(v01_MonasteryPerSett,G1807)*v01_OutMonastery*INDEX(LM_Monastery,G1807)</x:f>
        <x:v>0</x:v>
      </x:c>
      <x:c r="AM1807" s="32" t="n">
        <x:f>(AJ1807+AK1807+AL1807)/4*INDEX(LM_All,G1807)*INDEX(v01_Boon,G1807)*Arch_Insight</x:f>
        <x:v>0</x:v>
      </x:c>
      <x:c r="AN1807" s="32" t="n">
        <x:f>H1807*(v01_KHPerAdult*Z1807+v01_KHOfCommons*AJ1807/4*INDEX(LM_All,G1807))*v01_KHUsable*Arch_KH</x:f>
        <x:v>0</x:v>
      </x:c>
      <x:c r="AO1807" s="32" t="n">
        <x:f>MIN(AP1806+AN1807,AM1807*v01_KHMaxRatio)</x:f>
        <x:v>0</x:v>
      </x:c>
      <x:c r="AP1807" s="32" t="n">
        <x:f>AP1806+AN1807-AO1807</x:f>
        <x:v>0</x:v>
      </x:c>
      <x:c r="AQ1807" s="32" t="n">
        <x:f>AM1807+AO1807</x:f>
        <x:v>0</x:v>
      </x:c>
      <x:c r="AR1807" s="10" t="n">
        <x:f>IF(H1807=1,INDEX(v01_Req,G1807),0)</x:f>
        <x:v>0</x:v>
      </x:c>
      <x:c r="AS1807" s="32" t="n">
        <x:f>IF(H1807=1,IF(E1807=1,AS1806-AR1806,AS1806)+AQ1807,0)</x:f>
        <x:v>0</x:v>
      </x:c>
      <x:c r="AT1807" s="11" t="n">
        <x:f>IF(AR1807&gt;0,MIN(1,AS1807/AR1807),1)</x:f>
        <x:v>1</x:v>
      </x:c>
      <x:c r="AU1807" s="10" t="n">
        <x:f>AB1807/INDEX(v01_RepScale,G1807)</x:f>
        <x:v>90.09519605746344</x:v>
      </x:c>
      <x:c r="AV1807" s="32" t="n">
        <x:f>AM1807*60/v01_SeasonSeconds</x:f>
        <x:v>0</x:v>
      </x:c>
    </x:row>
    <x:row r="1808">
      <x:c r="A1808" s="8" t="n">
        <x:f>A1807+1</x:f>
        <x:v>1805</x:v>
      </x:c>
      <x:c r="B1808" s="9" t="n">
        <x:f>A1808*v01_SeasonSeconds/60</x:f>
        <x:v>451.25</x:v>
      </x:c>
      <x:c r="C1808" s="9" t="n">
        <x:f>A1808/4</x:f>
        <x:v>451.25</x:v>
      </x:c>
      <x:c r="D1808" s="8" t="n">
        <x:f>IF(MOD(A1808,4)=0,1,0)</x:f>
        <x:v>0</x:v>
      </x:c>
      <x:c r="E1808" s="8" t="n">
        <x:f>IF(AND(F1807&lt;=9,AS1807&gt;=AR1807),1,0)</x:f>
        <x:v>0</x:v>
      </x:c>
      <x:c r="F1808" s="8" t="n">
        <x:f>MIN(10,F1807+E1808)</x:f>
        <x:v>10</x:v>
      </x:c>
      <x:c r="G1808" s="8" t="n">
        <x:f>MIN(F1808,9)+1</x:f>
        <x:v>10</x:v>
      </x:c>
      <x:c r="H1808" s="8" t="n">
        <x:f>IF(F1808&lt;=9,1,0)</x:f>
        <x:v>0</x:v>
      </x:c>
      <x:c r="I1808" s="9" t="n">
        <x:f>MIN(10,F1807+IF(AR1807&gt;0,MIN(1,AS1807/AR1807),1))</x:f>
        <x:v>10</x:v>
      </x:c>
      <x:c r="J1808" s="32" t="n">
        <x:f>INDEX(v01_FoodCap,G1808)*Arch_FoodCap*EXP(v01_CapsByProject*SUMPRODUCT((Cap_Point&lt;=I1808)*(Cap_Kind="Food")*Cap_Ln))</x:f>
        <x:v>12000</x:v>
      </x:c>
      <x:c r="K1808" s="32" t="n">
        <x:f>J1808*MIN(1,v01_LeanBase*EXP(v01_CapsByProject*SUMPRODUCT((Cap_Point&lt;=I1808)*(Cap_Kind="Lean")*Cap_Ln)))</x:f>
        <x:v>12000</x:v>
      </x:c>
      <x:c r="L1808" s="10" t="n">
        <x:f>INDEX(v01_HousingCap,G1808)*EXP(v01_CapsByProject*SUMPRODUCT((Cap_Point&lt;=I1808)*(Cap_Kind="Housing")*Cap_Ln))</x:f>
        <x:v>20000</x:v>
      </x:c>
      <x:c r="M1808" s="10" t="n">
        <x:f>INDEX(v01_GroupCap,G1808)*v01_CohesionFactor*EXP(v01_CapsByProject*SUMPRODUCT((Cap_Point&lt;=I1808)*(Cap_Kind="Group")*Cap_Ln))</x:f>
        <x:v>1000000</x:v>
      </x:c>
      <x:c r="N1808" s="32" t="n">
        <x:f>MIN(J1808,L1808,M1808)</x:f>
        <x:v>12000</x:v>
      </x:c>
      <x:c r="O1808" s="10" t="n">
        <x:f>AE1807*N1808</x:f>
        <x:v>180000</x:v>
      </x:c>
      <x:c r="P1808" s="9" t="n">
        <x:f>MIN(1,(AB1807/(AE1807*IF(v01_GroupInCrowding=1,N1808,MIN(J1808,L1808))))^v01_CrowdingExp)</x:f>
        <x:v>0.00024569414295285325</x:v>
      </x:c>
      <x:c r="Q1808" s="9" t="n">
        <x:f>IF(D1808=1,INDEX(v01_WinterMult,G1808),1)</x:f>
        <x:v>1</x:v>
      </x:c>
      <x:c r="R1808" s="9" t="n">
        <x:f>H1808*Z1807*v01_WomenShare*v01_BaseFertility*INDEX(v01_FertMult,G1808)*Arch_Fertility*(1-P1808)</x:f>
        <x:v>0</x:v>
      </x:c>
      <x:c r="S1808" s="9" t="n">
        <x:f>H1808*Y1807*INDEX(v01_MortChild,G1808)/4*Q1808</x:f>
        <x:v>0</x:v>
      </x:c>
      <x:c r="T1808" s="9" t="n">
        <x:f>H1808*Z1807*INDEX(v01_MortAdult,G1808)*Arch_AdultMort/4*Q1808</x:f>
        <x:v>0</x:v>
      </x:c>
      <x:c r="U1808" s="9" t="n">
        <x:f>H1808*AA1807*INDEX(v01_MortElder,G1808)/4*Q1808</x:f>
        <x:v>0</x:v>
      </x:c>
      <x:c r="V1808" s="9" t="n">
        <x:f>H1808*MAX(0,AB1807-O1808)*v01_OvercapLoss</x:f>
        <x:v>0</x:v>
      </x:c>
      <x:c r="W1808" s="9" t="n">
        <x:f>H1808*Y1807/(v01_ChildYears*4)</x:f>
        <x:v>0</x:v>
      </x:c>
      <x:c r="X1808" s="9" t="n">
        <x:f>H1808*Z1807/(v01_AdultYears*4)</x:f>
        <x:v>0</x:v>
      </x:c>
      <x:c r="Y1808" s="32" t="n">
        <x:f>Y1807+R1808-S1808-W1808-Y1807*V1808/AB1807</x:f>
        <x:v>14306.18539759397</x:v>
      </x:c>
      <x:c r="Z1808" s="32" t="n">
        <x:f>Z1807+W1808-X1808-T1808-Z1807*V1808/AB1807</x:f>
        <x:v>19354.456567879548</x:v>
      </x:c>
      <x:c r="AA1808" s="32" t="n">
        <x:f>AA1807+X1808-U1808-AA1807*V1808/AB1807</x:f>
        <x:v>11386.956063258198</x:v>
      </x:c>
      <x:c r="AB1808" s="10" t="n">
        <x:f>Y1808+Z1808+AA1808</x:f>
        <x:v>45047.59802873172</x:v>
      </x:c>
      <x:c r="AC1808" s="8" t="n">
        <x:f>IF(AND(v01_WinterTrigger=1,D1808=1,AB1807/AE1807&gt;=K1808),1,0)</x:f>
        <x:v>0</x:v>
      </x:c>
      <x:c r="AD1808" s="8" t="n">
        <x:f>H1808*IF(AND(OR(AB1807/AE1807&gt;=v01_FissionTrigger*N1808,AC1808=1),AB1807/AE1807*v01_DaughterShare&gt;=v01_MinDaughter),MAX(1,ROUND(AE1807*v01_FissionRate,0)),0)</x:f>
        <x:v>0</x:v>
      </x:c>
      <x:c r="AE1808" s="8" t="n">
        <x:f>IF(H1808=1,MAX(1,MIN(INDEX(v01_Smax,G1808),AE1807+AD1808)),AE1807)</x:f>
        <x:v>15</x:v>
      </x:c>
      <x:c r="AF1808" s="8" t="n">
        <x:f>MAX(0,AE1808-AE1807)</x:f>
        <x:v>0</x:v>
      </x:c>
      <x:c r="AG1808" s="9" t="str">
        <x:f>IF(AF1808&gt;0,B1808,"")</x:f>
      </x:c>
      <x:c r="AH1808" s="9" t="n">
        <x:f>IF(F1808&gt;=1,1,(1+v01_LowTiesShare*(AE1808-1))/AE1808)</x:f>
        <x:v>1</x:v>
      </x:c>
      <x:c r="AI1808" s="32" t="n">
        <x:f>(Z1808+v01_ElderCommons*INDEX(LM_Elder,G1808)*AA1808)*AH1808</x:f>
        <x:v>64139.732591141874</x:v>
      </x:c>
      <x:c r="AJ1808" s="32" t="n">
        <x:f>H1808*v01_CommonsCoef*AI1808^v01_CommonsExp*INDEX(LM_Commons,G1808)</x:f>
        <x:v>0</x:v>
      </x:c>
      <x:c r="AK1808" s="32" t="n">
        <x:f>H1808*v01_RoleScale*Arch_Roles*(AE1808*(INDEX(v01_ElderRolePerSett,G1808)*v01_OutElder*INDEX(LM_Elder,G1808)+INDEX(v01_ShamanPerSett,G1808)*v01_OutShaman)+Z1808*(INDEX(v01_PriestShare,G1808)*v01_OutPriest+INDEX(v01_ScribeShare,G1808)*v01_OutScribe*INDEX(LM_Scribe,G1808)+INDEX(v01_ScholarShare,G1808)*v01_OutScholar*INDEX(LM_Scholar,G1808)+INDEX(v01_ResearcherShare,G1808)*v01_OutResearcher*INDEX(LM_Researcher,G1808)))</x:f>
        <x:v>0</x:v>
      </x:c>
      <x:c r="AL1808" s="32" t="n">
        <x:f>H1808*v01_RoleScale*Arch_Roles*AE1808*INDEX(v01_MonasteryPerSett,G1808)*v01_OutMonastery*INDEX(LM_Monastery,G1808)</x:f>
        <x:v>0</x:v>
      </x:c>
      <x:c r="AM1808" s="32" t="n">
        <x:f>(AJ1808+AK1808+AL1808)/4*INDEX(LM_All,G1808)*INDEX(v01_Boon,G1808)*Arch_Insight</x:f>
        <x:v>0</x:v>
      </x:c>
      <x:c r="AN1808" s="32" t="n">
        <x:f>H1808*(v01_KHPerAdult*Z1808+v01_KHOfCommons*AJ1808/4*INDEX(LM_All,G1808))*v01_KHUsable*Arch_KH</x:f>
        <x:v>0</x:v>
      </x:c>
      <x:c r="AO1808" s="32" t="n">
        <x:f>MIN(AP1807+AN1808,AM1808*v01_KHMaxRatio)</x:f>
        <x:v>0</x:v>
      </x:c>
      <x:c r="AP1808" s="32" t="n">
        <x:f>AP1807+AN1808-AO1808</x:f>
        <x:v>0</x:v>
      </x:c>
      <x:c r="AQ1808" s="32" t="n">
        <x:f>AM1808+AO1808</x:f>
        <x:v>0</x:v>
      </x:c>
      <x:c r="AR1808" s="10" t="n">
        <x:f>IF(H1808=1,INDEX(v01_Req,G1808),0)</x:f>
        <x:v>0</x:v>
      </x:c>
      <x:c r="AS1808" s="32" t="n">
        <x:f>IF(H1808=1,IF(E1808=1,AS1807-AR1807,AS1807)+AQ1808,0)</x:f>
        <x:v>0</x:v>
      </x:c>
      <x:c r="AT1808" s="11" t="n">
        <x:f>IF(AR1808&gt;0,MIN(1,AS1808/AR1808),1)</x:f>
        <x:v>1</x:v>
      </x:c>
      <x:c r="AU1808" s="10" t="n">
        <x:f>AB1808/INDEX(v01_RepScale,G1808)</x:f>
        <x:v>90.09519605746344</x:v>
      </x:c>
      <x:c r="AV1808" s="32" t="n">
        <x:f>AM1808*60/v01_SeasonSeconds</x:f>
        <x:v>0</x:v>
      </x:c>
    </x:row>
    <x:row r="1809">
      <x:c r="A1809" s="8" t="n">
        <x:f>A1808+1</x:f>
        <x:v>1806</x:v>
      </x:c>
      <x:c r="B1809" s="9" t="n">
        <x:f>A1809*v01_SeasonSeconds/60</x:f>
        <x:v>451.5</x:v>
      </x:c>
      <x:c r="C1809" s="9" t="n">
        <x:f>A1809/4</x:f>
        <x:v>451.5</x:v>
      </x:c>
      <x:c r="D1809" s="8" t="n">
        <x:f>IF(MOD(A1809,4)=0,1,0)</x:f>
        <x:v>0</x:v>
      </x:c>
      <x:c r="E1809" s="8" t="n">
        <x:f>IF(AND(F1808&lt;=9,AS1808&gt;=AR1808),1,0)</x:f>
        <x:v>0</x:v>
      </x:c>
      <x:c r="F1809" s="8" t="n">
        <x:f>MIN(10,F1808+E1809)</x:f>
        <x:v>10</x:v>
      </x:c>
      <x:c r="G1809" s="8" t="n">
        <x:f>MIN(F1809,9)+1</x:f>
        <x:v>10</x:v>
      </x:c>
      <x:c r="H1809" s="8" t="n">
        <x:f>IF(F1809&lt;=9,1,0)</x:f>
        <x:v>0</x:v>
      </x:c>
      <x:c r="I1809" s="9" t="n">
        <x:f>MIN(10,F1808+IF(AR1808&gt;0,MIN(1,AS1808/AR1808),1))</x:f>
        <x:v>10</x:v>
      </x:c>
      <x:c r="J1809" s="32" t="n">
        <x:f>INDEX(v01_FoodCap,G1809)*Arch_FoodCap*EXP(v01_CapsByProject*SUMPRODUCT((Cap_Point&lt;=I1809)*(Cap_Kind="Food")*Cap_Ln))</x:f>
        <x:v>12000</x:v>
      </x:c>
      <x:c r="K1809" s="32" t="n">
        <x:f>J1809*MIN(1,v01_LeanBase*EXP(v01_CapsByProject*SUMPRODUCT((Cap_Point&lt;=I1809)*(Cap_Kind="Lean")*Cap_Ln)))</x:f>
        <x:v>12000</x:v>
      </x:c>
      <x:c r="L1809" s="10" t="n">
        <x:f>INDEX(v01_HousingCap,G1809)*EXP(v01_CapsByProject*SUMPRODUCT((Cap_Point&lt;=I1809)*(Cap_Kind="Housing")*Cap_Ln))</x:f>
        <x:v>20000</x:v>
      </x:c>
      <x:c r="M1809" s="10" t="n">
        <x:f>INDEX(v01_GroupCap,G1809)*v01_CohesionFactor*EXP(v01_CapsByProject*SUMPRODUCT((Cap_Point&lt;=I1809)*(Cap_Kind="Group")*Cap_Ln))</x:f>
        <x:v>1000000</x:v>
      </x:c>
      <x:c r="N1809" s="32" t="n">
        <x:f>MIN(J1809,L1809,M1809)</x:f>
        <x:v>12000</x:v>
      </x:c>
      <x:c r="O1809" s="10" t="n">
        <x:f>AE1808*N1809</x:f>
        <x:v>180000</x:v>
      </x:c>
      <x:c r="P1809" s="9" t="n">
        <x:f>MIN(1,(AB1808/(AE1808*IF(v01_GroupInCrowding=1,N1809,MIN(J1809,L1809))))^v01_CrowdingExp)</x:f>
        <x:v>0.00024569414295285325</x:v>
      </x:c>
      <x:c r="Q1809" s="9" t="n">
        <x:f>IF(D1809=1,INDEX(v01_WinterMult,G1809),1)</x:f>
        <x:v>1</x:v>
      </x:c>
      <x:c r="R1809" s="9" t="n">
        <x:f>H1809*Z1808*v01_WomenShare*v01_BaseFertility*INDEX(v01_FertMult,G1809)*Arch_Fertility*(1-P1809)</x:f>
        <x:v>0</x:v>
      </x:c>
      <x:c r="S1809" s="9" t="n">
        <x:f>H1809*Y1808*INDEX(v01_MortChild,G1809)/4*Q1809</x:f>
        <x:v>0</x:v>
      </x:c>
      <x:c r="T1809" s="9" t="n">
        <x:f>H1809*Z1808*INDEX(v01_MortAdult,G1809)*Arch_AdultMort/4*Q1809</x:f>
        <x:v>0</x:v>
      </x:c>
      <x:c r="U1809" s="9" t="n">
        <x:f>H1809*AA1808*INDEX(v01_MortElder,G1809)/4*Q1809</x:f>
        <x:v>0</x:v>
      </x:c>
      <x:c r="V1809" s="9" t="n">
        <x:f>H1809*MAX(0,AB1808-O1809)*v01_OvercapLoss</x:f>
        <x:v>0</x:v>
      </x:c>
      <x:c r="W1809" s="9" t="n">
        <x:f>H1809*Y1808/(v01_ChildYears*4)</x:f>
        <x:v>0</x:v>
      </x:c>
      <x:c r="X1809" s="9" t="n">
        <x:f>H1809*Z1808/(v01_AdultYears*4)</x:f>
        <x:v>0</x:v>
      </x:c>
      <x:c r="Y1809" s="32" t="n">
        <x:f>Y1808+R1809-S1809-W1809-Y1808*V1809/AB1808</x:f>
        <x:v>14306.18539759397</x:v>
      </x:c>
      <x:c r="Z1809" s="32" t="n">
        <x:f>Z1808+W1809-X1809-T1809-Z1808*V1809/AB1808</x:f>
        <x:v>19354.456567879548</x:v>
      </x:c>
      <x:c r="AA1809" s="32" t="n">
        <x:f>AA1808+X1809-U1809-AA1808*V1809/AB1808</x:f>
        <x:v>11386.956063258198</x:v>
      </x:c>
      <x:c r="AB1809" s="10" t="n">
        <x:f>Y1809+Z1809+AA1809</x:f>
        <x:v>45047.59802873172</x:v>
      </x:c>
      <x:c r="AC1809" s="8" t="n">
        <x:f>IF(AND(v01_WinterTrigger=1,D1809=1,AB1808/AE1808&gt;=K1809),1,0)</x:f>
        <x:v>0</x:v>
      </x:c>
      <x:c r="AD1809" s="8" t="n">
        <x:f>H1809*IF(AND(OR(AB1808/AE1808&gt;=v01_FissionTrigger*N1809,AC1809=1),AB1808/AE1808*v01_DaughterShare&gt;=v01_MinDaughter),MAX(1,ROUND(AE1808*v01_FissionRate,0)),0)</x:f>
        <x:v>0</x:v>
      </x:c>
      <x:c r="AE1809" s="8" t="n">
        <x:f>IF(H1809=1,MAX(1,MIN(INDEX(v01_Smax,G1809),AE1808+AD1809)),AE1808)</x:f>
        <x:v>15</x:v>
      </x:c>
      <x:c r="AF1809" s="8" t="n">
        <x:f>MAX(0,AE1809-AE1808)</x:f>
        <x:v>0</x:v>
      </x:c>
      <x:c r="AG1809" s="9" t="str">
        <x:f>IF(AF1809&gt;0,B1809,"")</x:f>
      </x:c>
      <x:c r="AH1809" s="9" t="n">
        <x:f>IF(F1809&gt;=1,1,(1+v01_LowTiesShare*(AE1809-1))/AE1809)</x:f>
        <x:v>1</x:v>
      </x:c>
      <x:c r="AI1809" s="32" t="n">
        <x:f>(Z1809+v01_ElderCommons*INDEX(LM_Elder,G1809)*AA1809)*AH1809</x:f>
        <x:v>64139.732591141874</x:v>
      </x:c>
      <x:c r="AJ1809" s="32" t="n">
        <x:f>H1809*v01_CommonsCoef*AI1809^v01_CommonsExp*INDEX(LM_Commons,G1809)</x:f>
        <x:v>0</x:v>
      </x:c>
      <x:c r="AK1809" s="32" t="n">
        <x:f>H1809*v01_RoleScale*Arch_Roles*(AE1809*(INDEX(v01_ElderRolePerSett,G1809)*v01_OutElder*INDEX(LM_Elder,G1809)+INDEX(v01_ShamanPerSett,G1809)*v01_OutShaman)+Z1809*(INDEX(v01_PriestShare,G1809)*v01_OutPriest+INDEX(v01_ScribeShare,G1809)*v01_OutScribe*INDEX(LM_Scribe,G1809)+INDEX(v01_ScholarShare,G1809)*v01_OutScholar*INDEX(LM_Scholar,G1809)+INDEX(v01_ResearcherShare,G1809)*v01_OutResearcher*INDEX(LM_Researcher,G1809)))</x:f>
        <x:v>0</x:v>
      </x:c>
      <x:c r="AL1809" s="32" t="n">
        <x:f>H1809*v01_RoleScale*Arch_Roles*AE1809*INDEX(v01_MonasteryPerSett,G1809)*v01_OutMonastery*INDEX(LM_Monastery,G1809)</x:f>
        <x:v>0</x:v>
      </x:c>
      <x:c r="AM1809" s="32" t="n">
        <x:f>(AJ1809+AK1809+AL1809)/4*INDEX(LM_All,G1809)*INDEX(v01_Boon,G1809)*Arch_Insight</x:f>
        <x:v>0</x:v>
      </x:c>
      <x:c r="AN1809" s="32" t="n">
        <x:f>H1809*(v01_KHPerAdult*Z1809+v01_KHOfCommons*AJ1809/4*INDEX(LM_All,G1809))*v01_KHUsable*Arch_KH</x:f>
        <x:v>0</x:v>
      </x:c>
      <x:c r="AO1809" s="32" t="n">
        <x:f>MIN(AP1808+AN1809,AM1809*v01_KHMaxRatio)</x:f>
        <x:v>0</x:v>
      </x:c>
      <x:c r="AP1809" s="32" t="n">
        <x:f>AP1808+AN1809-AO1809</x:f>
        <x:v>0</x:v>
      </x:c>
      <x:c r="AQ1809" s="32" t="n">
        <x:f>AM1809+AO1809</x:f>
        <x:v>0</x:v>
      </x:c>
      <x:c r="AR1809" s="10" t="n">
        <x:f>IF(H1809=1,INDEX(v01_Req,G1809),0)</x:f>
        <x:v>0</x:v>
      </x:c>
      <x:c r="AS1809" s="32" t="n">
        <x:f>IF(H1809=1,IF(E1809=1,AS1808-AR1808,AS1808)+AQ1809,0)</x:f>
        <x:v>0</x:v>
      </x:c>
      <x:c r="AT1809" s="11" t="n">
        <x:f>IF(AR1809&gt;0,MIN(1,AS1809/AR1809),1)</x:f>
        <x:v>1</x:v>
      </x:c>
      <x:c r="AU1809" s="10" t="n">
        <x:f>AB1809/INDEX(v01_RepScale,G1809)</x:f>
        <x:v>90.09519605746344</x:v>
      </x:c>
      <x:c r="AV1809" s="32" t="n">
        <x:f>AM1809*60/v01_SeasonSeconds</x:f>
        <x:v>0</x:v>
      </x:c>
    </x:row>
    <x:row r="1810">
      <x:c r="A1810" s="8" t="n">
        <x:f>A1809+1</x:f>
        <x:v>1807</x:v>
      </x:c>
      <x:c r="B1810" s="9" t="n">
        <x:f>A1810*v01_SeasonSeconds/60</x:f>
        <x:v>451.75</x:v>
      </x:c>
      <x:c r="C1810" s="9" t="n">
        <x:f>A1810/4</x:f>
        <x:v>451.75</x:v>
      </x:c>
      <x:c r="D1810" s="8" t="n">
        <x:f>IF(MOD(A1810,4)=0,1,0)</x:f>
        <x:v>0</x:v>
      </x:c>
      <x:c r="E1810" s="8" t="n">
        <x:f>IF(AND(F1809&lt;=9,AS1809&gt;=AR1809),1,0)</x:f>
        <x:v>0</x:v>
      </x:c>
      <x:c r="F1810" s="8" t="n">
        <x:f>MIN(10,F1809+E1810)</x:f>
        <x:v>10</x:v>
      </x:c>
      <x:c r="G1810" s="8" t="n">
        <x:f>MIN(F1810,9)+1</x:f>
        <x:v>10</x:v>
      </x:c>
      <x:c r="H1810" s="8" t="n">
        <x:f>IF(F1810&lt;=9,1,0)</x:f>
        <x:v>0</x:v>
      </x:c>
      <x:c r="I1810" s="9" t="n">
        <x:f>MIN(10,F1809+IF(AR1809&gt;0,MIN(1,AS1809/AR1809),1))</x:f>
        <x:v>10</x:v>
      </x:c>
      <x:c r="J1810" s="32" t="n">
        <x:f>INDEX(v01_FoodCap,G1810)*Arch_FoodCap*EXP(v01_CapsByProject*SUMPRODUCT((Cap_Point&lt;=I1810)*(Cap_Kind="Food")*Cap_Ln))</x:f>
        <x:v>12000</x:v>
      </x:c>
      <x:c r="K1810" s="32" t="n">
        <x:f>J1810*MIN(1,v01_LeanBase*EXP(v01_CapsByProject*SUMPRODUCT((Cap_Point&lt;=I1810)*(Cap_Kind="Lean")*Cap_Ln)))</x:f>
        <x:v>12000</x:v>
      </x:c>
      <x:c r="L1810" s="10" t="n">
        <x:f>INDEX(v01_HousingCap,G1810)*EXP(v01_CapsByProject*SUMPRODUCT((Cap_Point&lt;=I1810)*(Cap_Kind="Housing")*Cap_Ln))</x:f>
        <x:v>20000</x:v>
      </x:c>
      <x:c r="M1810" s="10" t="n">
        <x:f>INDEX(v01_GroupCap,G1810)*v01_CohesionFactor*EXP(v01_CapsByProject*SUMPRODUCT((Cap_Point&lt;=I1810)*(Cap_Kind="Group")*Cap_Ln))</x:f>
        <x:v>1000000</x:v>
      </x:c>
      <x:c r="N1810" s="32" t="n">
        <x:f>MIN(J1810,L1810,M1810)</x:f>
        <x:v>12000</x:v>
      </x:c>
      <x:c r="O1810" s="10" t="n">
        <x:f>AE1809*N1810</x:f>
        <x:v>180000</x:v>
      </x:c>
      <x:c r="P1810" s="9" t="n">
        <x:f>MIN(1,(AB1809/(AE1809*IF(v01_GroupInCrowding=1,N1810,MIN(J1810,L1810))))^v01_CrowdingExp)</x:f>
        <x:v>0.00024569414295285325</x:v>
      </x:c>
      <x:c r="Q1810" s="9" t="n">
        <x:f>IF(D1810=1,INDEX(v01_WinterMult,G1810),1)</x:f>
        <x:v>1</x:v>
      </x:c>
      <x:c r="R1810" s="9" t="n">
        <x:f>H1810*Z1809*v01_WomenShare*v01_BaseFertility*INDEX(v01_FertMult,G1810)*Arch_Fertility*(1-P1810)</x:f>
        <x:v>0</x:v>
      </x:c>
      <x:c r="S1810" s="9" t="n">
        <x:f>H1810*Y1809*INDEX(v01_MortChild,G1810)/4*Q1810</x:f>
        <x:v>0</x:v>
      </x:c>
      <x:c r="T1810" s="9" t="n">
        <x:f>H1810*Z1809*INDEX(v01_MortAdult,G1810)*Arch_AdultMort/4*Q1810</x:f>
        <x:v>0</x:v>
      </x:c>
      <x:c r="U1810" s="9" t="n">
        <x:f>H1810*AA1809*INDEX(v01_MortElder,G1810)/4*Q1810</x:f>
        <x:v>0</x:v>
      </x:c>
      <x:c r="V1810" s="9" t="n">
        <x:f>H1810*MAX(0,AB1809-O1810)*v01_OvercapLoss</x:f>
        <x:v>0</x:v>
      </x:c>
      <x:c r="W1810" s="9" t="n">
        <x:f>H1810*Y1809/(v01_ChildYears*4)</x:f>
        <x:v>0</x:v>
      </x:c>
      <x:c r="X1810" s="9" t="n">
        <x:f>H1810*Z1809/(v01_AdultYears*4)</x:f>
        <x:v>0</x:v>
      </x:c>
      <x:c r="Y1810" s="32" t="n">
        <x:f>Y1809+R1810-S1810-W1810-Y1809*V1810/AB1809</x:f>
        <x:v>14306.18539759397</x:v>
      </x:c>
      <x:c r="Z1810" s="32" t="n">
        <x:f>Z1809+W1810-X1810-T1810-Z1809*V1810/AB1809</x:f>
        <x:v>19354.456567879548</x:v>
      </x:c>
      <x:c r="AA1810" s="32" t="n">
        <x:f>AA1809+X1810-U1810-AA1809*V1810/AB1809</x:f>
        <x:v>11386.956063258198</x:v>
      </x:c>
      <x:c r="AB1810" s="10" t="n">
        <x:f>Y1810+Z1810+AA1810</x:f>
        <x:v>45047.59802873172</x:v>
      </x:c>
      <x:c r="AC1810" s="8" t="n">
        <x:f>IF(AND(v01_WinterTrigger=1,D1810=1,AB1809/AE1809&gt;=K1810),1,0)</x:f>
        <x:v>0</x:v>
      </x:c>
      <x:c r="AD1810" s="8" t="n">
        <x:f>H1810*IF(AND(OR(AB1809/AE1809&gt;=v01_FissionTrigger*N1810,AC1810=1),AB1809/AE1809*v01_DaughterShare&gt;=v01_MinDaughter),MAX(1,ROUND(AE1809*v01_FissionRate,0)),0)</x:f>
        <x:v>0</x:v>
      </x:c>
      <x:c r="AE1810" s="8" t="n">
        <x:f>IF(H1810=1,MAX(1,MIN(INDEX(v01_Smax,G1810),AE1809+AD1810)),AE1809)</x:f>
        <x:v>15</x:v>
      </x:c>
      <x:c r="AF1810" s="8" t="n">
        <x:f>MAX(0,AE1810-AE1809)</x:f>
        <x:v>0</x:v>
      </x:c>
      <x:c r="AG1810" s="9" t="str">
        <x:f>IF(AF1810&gt;0,B1810,"")</x:f>
      </x:c>
      <x:c r="AH1810" s="9" t="n">
        <x:f>IF(F1810&gt;=1,1,(1+v01_LowTiesShare*(AE1810-1))/AE1810)</x:f>
        <x:v>1</x:v>
      </x:c>
      <x:c r="AI1810" s="32" t="n">
        <x:f>(Z1810+v01_ElderCommons*INDEX(LM_Elder,G1810)*AA1810)*AH1810</x:f>
        <x:v>64139.732591141874</x:v>
      </x:c>
      <x:c r="AJ1810" s="32" t="n">
        <x:f>H1810*v01_CommonsCoef*AI1810^v01_CommonsExp*INDEX(LM_Commons,G1810)</x:f>
        <x:v>0</x:v>
      </x:c>
      <x:c r="AK1810" s="32" t="n">
        <x:f>H1810*v01_RoleScale*Arch_Roles*(AE1810*(INDEX(v01_ElderRolePerSett,G1810)*v01_OutElder*INDEX(LM_Elder,G1810)+INDEX(v01_ShamanPerSett,G1810)*v01_OutShaman)+Z1810*(INDEX(v01_PriestShare,G1810)*v01_OutPriest+INDEX(v01_ScribeShare,G1810)*v01_OutScribe*INDEX(LM_Scribe,G1810)+INDEX(v01_ScholarShare,G1810)*v01_OutScholar*INDEX(LM_Scholar,G1810)+INDEX(v01_ResearcherShare,G1810)*v01_OutResearcher*INDEX(LM_Researcher,G1810)))</x:f>
        <x:v>0</x:v>
      </x:c>
      <x:c r="AL1810" s="32" t="n">
        <x:f>H1810*v01_RoleScale*Arch_Roles*AE1810*INDEX(v01_MonasteryPerSett,G1810)*v01_OutMonastery*INDEX(LM_Monastery,G1810)</x:f>
        <x:v>0</x:v>
      </x:c>
      <x:c r="AM1810" s="32" t="n">
        <x:f>(AJ1810+AK1810+AL1810)/4*INDEX(LM_All,G1810)*INDEX(v01_Boon,G1810)*Arch_Insight</x:f>
        <x:v>0</x:v>
      </x:c>
      <x:c r="AN1810" s="32" t="n">
        <x:f>H1810*(v01_KHPerAdult*Z1810+v01_KHOfCommons*AJ1810/4*INDEX(LM_All,G1810))*v01_KHUsable*Arch_KH</x:f>
        <x:v>0</x:v>
      </x:c>
      <x:c r="AO1810" s="32" t="n">
        <x:f>MIN(AP1809+AN1810,AM1810*v01_KHMaxRatio)</x:f>
        <x:v>0</x:v>
      </x:c>
      <x:c r="AP1810" s="32" t="n">
        <x:f>AP1809+AN1810-AO1810</x:f>
        <x:v>0</x:v>
      </x:c>
      <x:c r="AQ1810" s="32" t="n">
        <x:f>AM1810+AO1810</x:f>
        <x:v>0</x:v>
      </x:c>
      <x:c r="AR1810" s="10" t="n">
        <x:f>IF(H1810=1,INDEX(v01_Req,G1810),0)</x:f>
        <x:v>0</x:v>
      </x:c>
      <x:c r="AS1810" s="32" t="n">
        <x:f>IF(H1810=1,IF(E1810=1,AS1809-AR1809,AS1809)+AQ1810,0)</x:f>
        <x:v>0</x:v>
      </x:c>
      <x:c r="AT1810" s="11" t="n">
        <x:f>IF(AR1810&gt;0,MIN(1,AS1810/AR1810),1)</x:f>
        <x:v>1</x:v>
      </x:c>
      <x:c r="AU1810" s="10" t="n">
        <x:f>AB1810/INDEX(v01_RepScale,G1810)</x:f>
        <x:v>90.09519605746344</x:v>
      </x:c>
      <x:c r="AV1810" s="32" t="n">
        <x:f>AM1810*60/v01_SeasonSeconds</x:f>
        <x:v>0</x:v>
      </x:c>
    </x:row>
    <x:row r="1811">
      <x:c r="A1811" s="8" t="n">
        <x:f>A1810+1</x:f>
        <x:v>1808</x:v>
      </x:c>
      <x:c r="B1811" s="9" t="n">
        <x:f>A1811*v01_SeasonSeconds/60</x:f>
        <x:v>452</x:v>
      </x:c>
      <x:c r="C1811" s="9" t="n">
        <x:f>A1811/4</x:f>
        <x:v>452</x:v>
      </x:c>
      <x:c r="D1811" s="8" t="n">
        <x:f>IF(MOD(A1811,4)=0,1,0)</x:f>
        <x:v>1</x:v>
      </x:c>
      <x:c r="E1811" s="8" t="n">
        <x:f>IF(AND(F1810&lt;=9,AS1810&gt;=AR1810),1,0)</x:f>
        <x:v>0</x:v>
      </x:c>
      <x:c r="F1811" s="8" t="n">
        <x:f>MIN(10,F1810+E1811)</x:f>
        <x:v>10</x:v>
      </x:c>
      <x:c r="G1811" s="8" t="n">
        <x:f>MIN(F1811,9)+1</x:f>
        <x:v>10</x:v>
      </x:c>
      <x:c r="H1811" s="8" t="n">
        <x:f>IF(F1811&lt;=9,1,0)</x:f>
        <x:v>0</x:v>
      </x:c>
      <x:c r="I1811" s="9" t="n">
        <x:f>MIN(10,F1810+IF(AR1810&gt;0,MIN(1,AS1810/AR1810),1))</x:f>
        <x:v>10</x:v>
      </x:c>
      <x:c r="J1811" s="32" t="n">
        <x:f>INDEX(v01_FoodCap,G1811)*Arch_FoodCap*EXP(v01_CapsByProject*SUMPRODUCT((Cap_Point&lt;=I1811)*(Cap_Kind="Food")*Cap_Ln))</x:f>
        <x:v>12000</x:v>
      </x:c>
      <x:c r="K1811" s="32" t="n">
        <x:f>J1811*MIN(1,v01_LeanBase*EXP(v01_CapsByProject*SUMPRODUCT((Cap_Point&lt;=I1811)*(Cap_Kind="Lean")*Cap_Ln)))</x:f>
        <x:v>12000</x:v>
      </x:c>
      <x:c r="L1811" s="10" t="n">
        <x:f>INDEX(v01_HousingCap,G1811)*EXP(v01_CapsByProject*SUMPRODUCT((Cap_Point&lt;=I1811)*(Cap_Kind="Housing")*Cap_Ln))</x:f>
        <x:v>20000</x:v>
      </x:c>
      <x:c r="M1811" s="10" t="n">
        <x:f>INDEX(v01_GroupCap,G1811)*v01_CohesionFactor*EXP(v01_CapsByProject*SUMPRODUCT((Cap_Point&lt;=I1811)*(Cap_Kind="Group")*Cap_Ln))</x:f>
        <x:v>1000000</x:v>
      </x:c>
      <x:c r="N1811" s="32" t="n">
        <x:f>MIN(J1811,L1811,M1811)</x:f>
        <x:v>12000</x:v>
      </x:c>
      <x:c r="O1811" s="10" t="n">
        <x:f>AE1810*N1811</x:f>
        <x:v>180000</x:v>
      </x:c>
      <x:c r="P1811" s="9" t="n">
        <x:f>MIN(1,(AB1810/(AE1810*IF(v01_GroupInCrowding=1,N1811,MIN(J1811,L1811))))^v01_CrowdingExp)</x:f>
        <x:v>0.00024569414295285325</x:v>
      </x:c>
      <x:c r="Q1811" s="9" t="n">
        <x:f>IF(D1811=1,INDEX(v01_WinterMult,G1811),1)</x:f>
        <x:v>1</x:v>
      </x:c>
      <x:c r="R1811" s="9" t="n">
        <x:f>H1811*Z1810*v01_WomenShare*v01_BaseFertility*INDEX(v01_FertMult,G1811)*Arch_Fertility*(1-P1811)</x:f>
        <x:v>0</x:v>
      </x:c>
      <x:c r="S1811" s="9" t="n">
        <x:f>H1811*Y1810*INDEX(v01_MortChild,G1811)/4*Q1811</x:f>
        <x:v>0</x:v>
      </x:c>
      <x:c r="T1811" s="9" t="n">
        <x:f>H1811*Z1810*INDEX(v01_MortAdult,G1811)*Arch_AdultMort/4*Q1811</x:f>
        <x:v>0</x:v>
      </x:c>
      <x:c r="U1811" s="9" t="n">
        <x:f>H1811*AA1810*INDEX(v01_MortElder,G1811)/4*Q1811</x:f>
        <x:v>0</x:v>
      </x:c>
      <x:c r="V1811" s="9" t="n">
        <x:f>H1811*MAX(0,AB1810-O1811)*v01_OvercapLoss</x:f>
        <x:v>0</x:v>
      </x:c>
      <x:c r="W1811" s="9" t="n">
        <x:f>H1811*Y1810/(v01_ChildYears*4)</x:f>
        <x:v>0</x:v>
      </x:c>
      <x:c r="X1811" s="9" t="n">
        <x:f>H1811*Z1810/(v01_AdultYears*4)</x:f>
        <x:v>0</x:v>
      </x:c>
      <x:c r="Y1811" s="32" t="n">
        <x:f>Y1810+R1811-S1811-W1811-Y1810*V1811/AB1810</x:f>
        <x:v>14306.18539759397</x:v>
      </x:c>
      <x:c r="Z1811" s="32" t="n">
        <x:f>Z1810+W1811-X1811-T1811-Z1810*V1811/AB1810</x:f>
        <x:v>19354.456567879548</x:v>
      </x:c>
      <x:c r="AA1811" s="32" t="n">
        <x:f>AA1810+X1811-U1811-AA1810*V1811/AB1810</x:f>
        <x:v>11386.956063258198</x:v>
      </x:c>
      <x:c r="AB1811" s="10" t="n">
        <x:f>Y1811+Z1811+AA1811</x:f>
        <x:v>45047.59802873172</x:v>
      </x:c>
      <x:c r="AC1811" s="8" t="n">
        <x:f>IF(AND(v01_WinterTrigger=1,D1811=1,AB1810/AE1810&gt;=K1811),1,0)</x:f>
        <x:v>0</x:v>
      </x:c>
      <x:c r="AD1811" s="8" t="n">
        <x:f>H1811*IF(AND(OR(AB1810/AE1810&gt;=v01_FissionTrigger*N1811,AC1811=1),AB1810/AE1810*v01_DaughterShare&gt;=v01_MinDaughter),MAX(1,ROUND(AE1810*v01_FissionRate,0)),0)</x:f>
        <x:v>0</x:v>
      </x:c>
      <x:c r="AE1811" s="8" t="n">
        <x:f>IF(H1811=1,MAX(1,MIN(INDEX(v01_Smax,G1811),AE1810+AD1811)),AE1810)</x:f>
        <x:v>15</x:v>
      </x:c>
      <x:c r="AF1811" s="8" t="n">
        <x:f>MAX(0,AE1811-AE1810)</x:f>
        <x:v>0</x:v>
      </x:c>
      <x:c r="AG1811" s="9" t="str">
        <x:f>IF(AF1811&gt;0,B1811,"")</x:f>
      </x:c>
      <x:c r="AH1811" s="9" t="n">
        <x:f>IF(F1811&gt;=1,1,(1+v01_LowTiesShare*(AE1811-1))/AE1811)</x:f>
        <x:v>1</x:v>
      </x:c>
      <x:c r="AI1811" s="32" t="n">
        <x:f>(Z1811+v01_ElderCommons*INDEX(LM_Elder,G1811)*AA1811)*AH1811</x:f>
        <x:v>64139.732591141874</x:v>
      </x:c>
      <x:c r="AJ1811" s="32" t="n">
        <x:f>H1811*v01_CommonsCoef*AI1811^v01_CommonsExp*INDEX(LM_Commons,G1811)</x:f>
        <x:v>0</x:v>
      </x:c>
      <x:c r="AK1811" s="32" t="n">
        <x:f>H1811*v01_RoleScale*Arch_Roles*(AE1811*(INDEX(v01_ElderRolePerSett,G1811)*v01_OutElder*INDEX(LM_Elder,G1811)+INDEX(v01_ShamanPerSett,G1811)*v01_OutShaman)+Z1811*(INDEX(v01_PriestShare,G1811)*v01_OutPriest+INDEX(v01_ScribeShare,G1811)*v01_OutScribe*INDEX(LM_Scribe,G1811)+INDEX(v01_ScholarShare,G1811)*v01_OutScholar*INDEX(LM_Scholar,G1811)+INDEX(v01_ResearcherShare,G1811)*v01_OutResearcher*INDEX(LM_Researcher,G1811)))</x:f>
        <x:v>0</x:v>
      </x:c>
      <x:c r="AL1811" s="32" t="n">
        <x:f>H1811*v01_RoleScale*Arch_Roles*AE1811*INDEX(v01_MonasteryPerSett,G1811)*v01_OutMonastery*INDEX(LM_Monastery,G1811)</x:f>
        <x:v>0</x:v>
      </x:c>
      <x:c r="AM1811" s="32" t="n">
        <x:f>(AJ1811+AK1811+AL1811)/4*INDEX(LM_All,G1811)*INDEX(v01_Boon,G1811)*Arch_Insight</x:f>
        <x:v>0</x:v>
      </x:c>
      <x:c r="AN1811" s="32" t="n">
        <x:f>H1811*(v01_KHPerAdult*Z1811+v01_KHOfCommons*AJ1811/4*INDEX(LM_All,G1811))*v01_KHUsable*Arch_KH</x:f>
        <x:v>0</x:v>
      </x:c>
      <x:c r="AO1811" s="32" t="n">
        <x:f>MIN(AP1810+AN1811,AM1811*v01_KHMaxRatio)</x:f>
        <x:v>0</x:v>
      </x:c>
      <x:c r="AP1811" s="32" t="n">
        <x:f>AP1810+AN1811-AO1811</x:f>
        <x:v>0</x:v>
      </x:c>
      <x:c r="AQ1811" s="32" t="n">
        <x:f>AM1811+AO1811</x:f>
        <x:v>0</x:v>
      </x:c>
      <x:c r="AR1811" s="10" t="n">
        <x:f>IF(H1811=1,INDEX(v01_Req,G1811),0)</x:f>
        <x:v>0</x:v>
      </x:c>
      <x:c r="AS1811" s="32" t="n">
        <x:f>IF(H1811=1,IF(E1811=1,AS1810-AR1810,AS1810)+AQ1811,0)</x:f>
        <x:v>0</x:v>
      </x:c>
      <x:c r="AT1811" s="11" t="n">
        <x:f>IF(AR1811&gt;0,MIN(1,AS1811/AR1811),1)</x:f>
        <x:v>1</x:v>
      </x:c>
      <x:c r="AU1811" s="10" t="n">
        <x:f>AB1811/INDEX(v01_RepScale,G1811)</x:f>
        <x:v>90.09519605746344</x:v>
      </x:c>
      <x:c r="AV1811" s="32" t="n">
        <x:f>AM1811*60/v01_SeasonSeconds</x:f>
        <x:v>0</x:v>
      </x:c>
    </x:row>
    <x:row r="1812">
      <x:c r="A1812" s="8" t="n">
        <x:f>A1811+1</x:f>
        <x:v>1809</x:v>
      </x:c>
      <x:c r="B1812" s="9" t="n">
        <x:f>A1812*v01_SeasonSeconds/60</x:f>
        <x:v>452.25</x:v>
      </x:c>
      <x:c r="C1812" s="9" t="n">
        <x:f>A1812/4</x:f>
        <x:v>452.25</x:v>
      </x:c>
      <x:c r="D1812" s="8" t="n">
        <x:f>IF(MOD(A1812,4)=0,1,0)</x:f>
        <x:v>0</x:v>
      </x:c>
      <x:c r="E1812" s="8" t="n">
        <x:f>IF(AND(F1811&lt;=9,AS1811&gt;=AR1811),1,0)</x:f>
        <x:v>0</x:v>
      </x:c>
      <x:c r="F1812" s="8" t="n">
        <x:f>MIN(10,F1811+E1812)</x:f>
        <x:v>10</x:v>
      </x:c>
      <x:c r="G1812" s="8" t="n">
        <x:f>MIN(F1812,9)+1</x:f>
        <x:v>10</x:v>
      </x:c>
      <x:c r="H1812" s="8" t="n">
        <x:f>IF(F1812&lt;=9,1,0)</x:f>
        <x:v>0</x:v>
      </x:c>
      <x:c r="I1812" s="9" t="n">
        <x:f>MIN(10,F1811+IF(AR1811&gt;0,MIN(1,AS1811/AR1811),1))</x:f>
        <x:v>10</x:v>
      </x:c>
      <x:c r="J1812" s="32" t="n">
        <x:f>INDEX(v01_FoodCap,G1812)*Arch_FoodCap*EXP(v01_CapsByProject*SUMPRODUCT((Cap_Point&lt;=I1812)*(Cap_Kind="Food")*Cap_Ln))</x:f>
        <x:v>12000</x:v>
      </x:c>
      <x:c r="K1812" s="32" t="n">
        <x:f>J1812*MIN(1,v01_LeanBase*EXP(v01_CapsByProject*SUMPRODUCT((Cap_Point&lt;=I1812)*(Cap_Kind="Lean")*Cap_Ln)))</x:f>
        <x:v>12000</x:v>
      </x:c>
      <x:c r="L1812" s="10" t="n">
        <x:f>INDEX(v01_HousingCap,G1812)*EXP(v01_CapsByProject*SUMPRODUCT((Cap_Point&lt;=I1812)*(Cap_Kind="Housing")*Cap_Ln))</x:f>
        <x:v>20000</x:v>
      </x:c>
      <x:c r="M1812" s="10" t="n">
        <x:f>INDEX(v01_GroupCap,G1812)*v01_CohesionFactor*EXP(v01_CapsByProject*SUMPRODUCT((Cap_Point&lt;=I1812)*(Cap_Kind="Group")*Cap_Ln))</x:f>
        <x:v>1000000</x:v>
      </x:c>
      <x:c r="N1812" s="32" t="n">
        <x:f>MIN(J1812,L1812,M1812)</x:f>
        <x:v>12000</x:v>
      </x:c>
      <x:c r="O1812" s="10" t="n">
        <x:f>AE1811*N1812</x:f>
        <x:v>180000</x:v>
      </x:c>
      <x:c r="P1812" s="9" t="n">
        <x:f>MIN(1,(AB1811/(AE1811*IF(v01_GroupInCrowding=1,N1812,MIN(J1812,L1812))))^v01_CrowdingExp)</x:f>
        <x:v>0.00024569414295285325</x:v>
      </x:c>
      <x:c r="Q1812" s="9" t="n">
        <x:f>IF(D1812=1,INDEX(v01_WinterMult,G1812),1)</x:f>
        <x:v>1</x:v>
      </x:c>
      <x:c r="R1812" s="9" t="n">
        <x:f>H1812*Z1811*v01_WomenShare*v01_BaseFertility*INDEX(v01_FertMult,G1812)*Arch_Fertility*(1-P1812)</x:f>
        <x:v>0</x:v>
      </x:c>
      <x:c r="S1812" s="9" t="n">
        <x:f>H1812*Y1811*INDEX(v01_MortChild,G1812)/4*Q1812</x:f>
        <x:v>0</x:v>
      </x:c>
      <x:c r="T1812" s="9" t="n">
        <x:f>H1812*Z1811*INDEX(v01_MortAdult,G1812)*Arch_AdultMort/4*Q1812</x:f>
        <x:v>0</x:v>
      </x:c>
      <x:c r="U1812" s="9" t="n">
        <x:f>H1812*AA1811*INDEX(v01_MortElder,G1812)/4*Q1812</x:f>
        <x:v>0</x:v>
      </x:c>
      <x:c r="V1812" s="9" t="n">
        <x:f>H1812*MAX(0,AB1811-O1812)*v01_OvercapLoss</x:f>
        <x:v>0</x:v>
      </x:c>
      <x:c r="W1812" s="9" t="n">
        <x:f>H1812*Y1811/(v01_ChildYears*4)</x:f>
        <x:v>0</x:v>
      </x:c>
      <x:c r="X1812" s="9" t="n">
        <x:f>H1812*Z1811/(v01_AdultYears*4)</x:f>
        <x:v>0</x:v>
      </x:c>
      <x:c r="Y1812" s="32" t="n">
        <x:f>Y1811+R1812-S1812-W1812-Y1811*V1812/AB1811</x:f>
        <x:v>14306.18539759397</x:v>
      </x:c>
      <x:c r="Z1812" s="32" t="n">
        <x:f>Z1811+W1812-X1812-T1812-Z1811*V1812/AB1811</x:f>
        <x:v>19354.456567879548</x:v>
      </x:c>
      <x:c r="AA1812" s="32" t="n">
        <x:f>AA1811+X1812-U1812-AA1811*V1812/AB1811</x:f>
        <x:v>11386.956063258198</x:v>
      </x:c>
      <x:c r="AB1812" s="10" t="n">
        <x:f>Y1812+Z1812+AA1812</x:f>
        <x:v>45047.59802873172</x:v>
      </x:c>
      <x:c r="AC1812" s="8" t="n">
        <x:f>IF(AND(v01_WinterTrigger=1,D1812=1,AB1811/AE1811&gt;=K1812),1,0)</x:f>
        <x:v>0</x:v>
      </x:c>
      <x:c r="AD1812" s="8" t="n">
        <x:f>H1812*IF(AND(OR(AB1811/AE1811&gt;=v01_FissionTrigger*N1812,AC1812=1),AB1811/AE1811*v01_DaughterShare&gt;=v01_MinDaughter),MAX(1,ROUND(AE1811*v01_FissionRate,0)),0)</x:f>
        <x:v>0</x:v>
      </x:c>
      <x:c r="AE1812" s="8" t="n">
        <x:f>IF(H1812=1,MAX(1,MIN(INDEX(v01_Smax,G1812),AE1811+AD1812)),AE1811)</x:f>
        <x:v>15</x:v>
      </x:c>
      <x:c r="AF1812" s="8" t="n">
        <x:f>MAX(0,AE1812-AE1811)</x:f>
        <x:v>0</x:v>
      </x:c>
      <x:c r="AG1812" s="9" t="str">
        <x:f>IF(AF1812&gt;0,B1812,"")</x:f>
      </x:c>
      <x:c r="AH1812" s="9" t="n">
        <x:f>IF(F1812&gt;=1,1,(1+v01_LowTiesShare*(AE1812-1))/AE1812)</x:f>
        <x:v>1</x:v>
      </x:c>
      <x:c r="AI1812" s="32" t="n">
        <x:f>(Z1812+v01_ElderCommons*INDEX(LM_Elder,G1812)*AA1812)*AH1812</x:f>
        <x:v>64139.732591141874</x:v>
      </x:c>
      <x:c r="AJ1812" s="32" t="n">
        <x:f>H1812*v01_CommonsCoef*AI1812^v01_CommonsExp*INDEX(LM_Commons,G1812)</x:f>
        <x:v>0</x:v>
      </x:c>
      <x:c r="AK1812" s="32" t="n">
        <x:f>H1812*v01_RoleScale*Arch_Roles*(AE1812*(INDEX(v01_ElderRolePerSett,G1812)*v01_OutElder*INDEX(LM_Elder,G1812)+INDEX(v01_ShamanPerSett,G1812)*v01_OutShaman)+Z1812*(INDEX(v01_PriestShare,G1812)*v01_OutPriest+INDEX(v01_ScribeShare,G1812)*v01_OutScribe*INDEX(LM_Scribe,G1812)+INDEX(v01_ScholarShare,G1812)*v01_OutScholar*INDEX(LM_Scholar,G1812)+INDEX(v01_ResearcherShare,G1812)*v01_OutResearcher*INDEX(LM_Researcher,G1812)))</x:f>
        <x:v>0</x:v>
      </x:c>
      <x:c r="AL1812" s="32" t="n">
        <x:f>H1812*v01_RoleScale*Arch_Roles*AE1812*INDEX(v01_MonasteryPerSett,G1812)*v01_OutMonastery*INDEX(LM_Monastery,G1812)</x:f>
        <x:v>0</x:v>
      </x:c>
      <x:c r="AM1812" s="32" t="n">
        <x:f>(AJ1812+AK1812+AL1812)/4*INDEX(LM_All,G1812)*INDEX(v01_Boon,G1812)*Arch_Insight</x:f>
        <x:v>0</x:v>
      </x:c>
      <x:c r="AN1812" s="32" t="n">
        <x:f>H1812*(v01_KHPerAdult*Z1812+v01_KHOfCommons*AJ1812/4*INDEX(LM_All,G1812))*v01_KHUsable*Arch_KH</x:f>
        <x:v>0</x:v>
      </x:c>
      <x:c r="AO1812" s="32" t="n">
        <x:f>MIN(AP1811+AN1812,AM1812*v01_KHMaxRatio)</x:f>
        <x:v>0</x:v>
      </x:c>
      <x:c r="AP1812" s="32" t="n">
        <x:f>AP1811+AN1812-AO1812</x:f>
        <x:v>0</x:v>
      </x:c>
      <x:c r="AQ1812" s="32" t="n">
        <x:f>AM1812+AO1812</x:f>
        <x:v>0</x:v>
      </x:c>
      <x:c r="AR1812" s="10" t="n">
        <x:f>IF(H1812=1,INDEX(v01_Req,G1812),0)</x:f>
        <x:v>0</x:v>
      </x:c>
      <x:c r="AS1812" s="32" t="n">
        <x:f>IF(H1812=1,IF(E1812=1,AS1811-AR1811,AS1811)+AQ1812,0)</x:f>
        <x:v>0</x:v>
      </x:c>
      <x:c r="AT1812" s="11" t="n">
        <x:f>IF(AR1812&gt;0,MIN(1,AS1812/AR1812),1)</x:f>
        <x:v>1</x:v>
      </x:c>
      <x:c r="AU1812" s="10" t="n">
        <x:f>AB1812/INDEX(v01_RepScale,G1812)</x:f>
        <x:v>90.09519605746344</x:v>
      </x:c>
      <x:c r="AV1812" s="32" t="n">
        <x:f>AM1812*60/v01_SeasonSeconds</x:f>
        <x:v>0</x:v>
      </x:c>
    </x:row>
    <x:row r="1813">
      <x:c r="A1813" s="8" t="n">
        <x:f>A1812+1</x:f>
        <x:v>1810</x:v>
      </x:c>
      <x:c r="B1813" s="9" t="n">
        <x:f>A1813*v01_SeasonSeconds/60</x:f>
        <x:v>452.5</x:v>
      </x:c>
      <x:c r="C1813" s="9" t="n">
        <x:f>A1813/4</x:f>
        <x:v>452.5</x:v>
      </x:c>
      <x:c r="D1813" s="8" t="n">
        <x:f>IF(MOD(A1813,4)=0,1,0)</x:f>
        <x:v>0</x:v>
      </x:c>
      <x:c r="E1813" s="8" t="n">
        <x:f>IF(AND(F1812&lt;=9,AS1812&gt;=AR1812),1,0)</x:f>
        <x:v>0</x:v>
      </x:c>
      <x:c r="F1813" s="8" t="n">
        <x:f>MIN(10,F1812+E1813)</x:f>
        <x:v>10</x:v>
      </x:c>
      <x:c r="G1813" s="8" t="n">
        <x:f>MIN(F1813,9)+1</x:f>
        <x:v>10</x:v>
      </x:c>
      <x:c r="H1813" s="8" t="n">
        <x:f>IF(F1813&lt;=9,1,0)</x:f>
        <x:v>0</x:v>
      </x:c>
      <x:c r="I1813" s="9" t="n">
        <x:f>MIN(10,F1812+IF(AR1812&gt;0,MIN(1,AS1812/AR1812),1))</x:f>
        <x:v>10</x:v>
      </x:c>
      <x:c r="J1813" s="32" t="n">
        <x:f>INDEX(v01_FoodCap,G1813)*Arch_FoodCap*EXP(v01_CapsByProject*SUMPRODUCT((Cap_Point&lt;=I1813)*(Cap_Kind="Food")*Cap_Ln))</x:f>
        <x:v>12000</x:v>
      </x:c>
      <x:c r="K1813" s="32" t="n">
        <x:f>J1813*MIN(1,v01_LeanBase*EXP(v01_CapsByProject*SUMPRODUCT((Cap_Point&lt;=I1813)*(Cap_Kind="Lean")*Cap_Ln)))</x:f>
        <x:v>12000</x:v>
      </x:c>
      <x:c r="L1813" s="10" t="n">
        <x:f>INDEX(v01_HousingCap,G1813)*EXP(v01_CapsByProject*SUMPRODUCT((Cap_Point&lt;=I1813)*(Cap_Kind="Housing")*Cap_Ln))</x:f>
        <x:v>20000</x:v>
      </x:c>
      <x:c r="M1813" s="10" t="n">
        <x:f>INDEX(v01_GroupCap,G1813)*v01_CohesionFactor*EXP(v01_CapsByProject*SUMPRODUCT((Cap_Point&lt;=I1813)*(Cap_Kind="Group")*Cap_Ln))</x:f>
        <x:v>1000000</x:v>
      </x:c>
      <x:c r="N1813" s="32" t="n">
        <x:f>MIN(J1813,L1813,M1813)</x:f>
        <x:v>12000</x:v>
      </x:c>
      <x:c r="O1813" s="10" t="n">
        <x:f>AE1812*N1813</x:f>
        <x:v>180000</x:v>
      </x:c>
      <x:c r="P1813" s="9" t="n">
        <x:f>MIN(1,(AB1812/(AE1812*IF(v01_GroupInCrowding=1,N1813,MIN(J1813,L1813))))^v01_CrowdingExp)</x:f>
        <x:v>0.00024569414295285325</x:v>
      </x:c>
      <x:c r="Q1813" s="9" t="n">
        <x:f>IF(D1813=1,INDEX(v01_WinterMult,G1813),1)</x:f>
        <x:v>1</x:v>
      </x:c>
      <x:c r="R1813" s="9" t="n">
        <x:f>H1813*Z1812*v01_WomenShare*v01_BaseFertility*INDEX(v01_FertMult,G1813)*Arch_Fertility*(1-P1813)</x:f>
        <x:v>0</x:v>
      </x:c>
      <x:c r="S1813" s="9" t="n">
        <x:f>H1813*Y1812*INDEX(v01_MortChild,G1813)/4*Q1813</x:f>
        <x:v>0</x:v>
      </x:c>
      <x:c r="T1813" s="9" t="n">
        <x:f>H1813*Z1812*INDEX(v01_MortAdult,G1813)*Arch_AdultMort/4*Q1813</x:f>
        <x:v>0</x:v>
      </x:c>
      <x:c r="U1813" s="9" t="n">
        <x:f>H1813*AA1812*INDEX(v01_MortElder,G1813)/4*Q1813</x:f>
        <x:v>0</x:v>
      </x:c>
      <x:c r="V1813" s="9" t="n">
        <x:f>H1813*MAX(0,AB1812-O1813)*v01_OvercapLoss</x:f>
        <x:v>0</x:v>
      </x:c>
      <x:c r="W1813" s="9" t="n">
        <x:f>H1813*Y1812/(v01_ChildYears*4)</x:f>
        <x:v>0</x:v>
      </x:c>
      <x:c r="X1813" s="9" t="n">
        <x:f>H1813*Z1812/(v01_AdultYears*4)</x:f>
        <x:v>0</x:v>
      </x:c>
      <x:c r="Y1813" s="32" t="n">
        <x:f>Y1812+R1813-S1813-W1813-Y1812*V1813/AB1812</x:f>
        <x:v>14306.18539759397</x:v>
      </x:c>
      <x:c r="Z1813" s="32" t="n">
        <x:f>Z1812+W1813-X1813-T1813-Z1812*V1813/AB1812</x:f>
        <x:v>19354.456567879548</x:v>
      </x:c>
      <x:c r="AA1813" s="32" t="n">
        <x:f>AA1812+X1813-U1813-AA1812*V1813/AB1812</x:f>
        <x:v>11386.956063258198</x:v>
      </x:c>
      <x:c r="AB1813" s="10" t="n">
        <x:f>Y1813+Z1813+AA1813</x:f>
        <x:v>45047.59802873172</x:v>
      </x:c>
      <x:c r="AC1813" s="8" t="n">
        <x:f>IF(AND(v01_WinterTrigger=1,D1813=1,AB1812/AE1812&gt;=K1813),1,0)</x:f>
        <x:v>0</x:v>
      </x:c>
      <x:c r="AD1813" s="8" t="n">
        <x:f>H1813*IF(AND(OR(AB1812/AE1812&gt;=v01_FissionTrigger*N1813,AC1813=1),AB1812/AE1812*v01_DaughterShare&gt;=v01_MinDaughter),MAX(1,ROUND(AE1812*v01_FissionRate,0)),0)</x:f>
        <x:v>0</x:v>
      </x:c>
      <x:c r="AE1813" s="8" t="n">
        <x:f>IF(H1813=1,MAX(1,MIN(INDEX(v01_Smax,G1813),AE1812+AD1813)),AE1812)</x:f>
        <x:v>15</x:v>
      </x:c>
      <x:c r="AF1813" s="8" t="n">
        <x:f>MAX(0,AE1813-AE1812)</x:f>
        <x:v>0</x:v>
      </x:c>
      <x:c r="AG1813" s="9" t="str">
        <x:f>IF(AF1813&gt;0,B1813,"")</x:f>
      </x:c>
      <x:c r="AH1813" s="9" t="n">
        <x:f>IF(F1813&gt;=1,1,(1+v01_LowTiesShare*(AE1813-1))/AE1813)</x:f>
        <x:v>1</x:v>
      </x:c>
      <x:c r="AI1813" s="32" t="n">
        <x:f>(Z1813+v01_ElderCommons*INDEX(LM_Elder,G1813)*AA1813)*AH1813</x:f>
        <x:v>64139.732591141874</x:v>
      </x:c>
      <x:c r="AJ1813" s="32" t="n">
        <x:f>H1813*v01_CommonsCoef*AI1813^v01_CommonsExp*INDEX(LM_Commons,G1813)</x:f>
        <x:v>0</x:v>
      </x:c>
      <x:c r="AK1813" s="32" t="n">
        <x:f>H1813*v01_RoleScale*Arch_Roles*(AE1813*(INDEX(v01_ElderRolePerSett,G1813)*v01_OutElder*INDEX(LM_Elder,G1813)+INDEX(v01_ShamanPerSett,G1813)*v01_OutShaman)+Z1813*(INDEX(v01_PriestShare,G1813)*v01_OutPriest+INDEX(v01_ScribeShare,G1813)*v01_OutScribe*INDEX(LM_Scribe,G1813)+INDEX(v01_ScholarShare,G1813)*v01_OutScholar*INDEX(LM_Scholar,G1813)+INDEX(v01_ResearcherShare,G1813)*v01_OutResearcher*INDEX(LM_Researcher,G1813)))</x:f>
        <x:v>0</x:v>
      </x:c>
      <x:c r="AL1813" s="32" t="n">
        <x:f>H1813*v01_RoleScale*Arch_Roles*AE1813*INDEX(v01_MonasteryPerSett,G1813)*v01_OutMonastery*INDEX(LM_Monastery,G1813)</x:f>
        <x:v>0</x:v>
      </x:c>
      <x:c r="AM1813" s="32" t="n">
        <x:f>(AJ1813+AK1813+AL1813)/4*INDEX(LM_All,G1813)*INDEX(v01_Boon,G1813)*Arch_Insight</x:f>
        <x:v>0</x:v>
      </x:c>
      <x:c r="AN1813" s="32" t="n">
        <x:f>H1813*(v01_KHPerAdult*Z1813+v01_KHOfCommons*AJ1813/4*INDEX(LM_All,G1813))*v01_KHUsable*Arch_KH</x:f>
        <x:v>0</x:v>
      </x:c>
      <x:c r="AO1813" s="32" t="n">
        <x:f>MIN(AP1812+AN1813,AM1813*v01_KHMaxRatio)</x:f>
        <x:v>0</x:v>
      </x:c>
      <x:c r="AP1813" s="32" t="n">
        <x:f>AP1812+AN1813-AO1813</x:f>
        <x:v>0</x:v>
      </x:c>
      <x:c r="AQ1813" s="32" t="n">
        <x:f>AM1813+AO1813</x:f>
        <x:v>0</x:v>
      </x:c>
      <x:c r="AR1813" s="10" t="n">
        <x:f>IF(H1813=1,INDEX(v01_Req,G1813),0)</x:f>
        <x:v>0</x:v>
      </x:c>
      <x:c r="AS1813" s="32" t="n">
        <x:f>IF(H1813=1,IF(E1813=1,AS1812-AR1812,AS1812)+AQ1813,0)</x:f>
        <x:v>0</x:v>
      </x:c>
      <x:c r="AT1813" s="11" t="n">
        <x:f>IF(AR1813&gt;0,MIN(1,AS1813/AR1813),1)</x:f>
        <x:v>1</x:v>
      </x:c>
      <x:c r="AU1813" s="10" t="n">
        <x:f>AB1813/INDEX(v01_RepScale,G1813)</x:f>
        <x:v>90.09519605746344</x:v>
      </x:c>
      <x:c r="AV1813" s="32" t="n">
        <x:f>AM1813*60/v01_SeasonSeconds</x:f>
        <x:v>0</x:v>
      </x:c>
    </x:row>
    <x:row r="1814">
      <x:c r="A1814" s="8" t="n">
        <x:f>A1813+1</x:f>
        <x:v>1811</x:v>
      </x:c>
      <x:c r="B1814" s="9" t="n">
        <x:f>A1814*v01_SeasonSeconds/60</x:f>
        <x:v>452.75</x:v>
      </x:c>
      <x:c r="C1814" s="9" t="n">
        <x:f>A1814/4</x:f>
        <x:v>452.75</x:v>
      </x:c>
      <x:c r="D1814" s="8" t="n">
        <x:f>IF(MOD(A1814,4)=0,1,0)</x:f>
        <x:v>0</x:v>
      </x:c>
      <x:c r="E1814" s="8" t="n">
        <x:f>IF(AND(F1813&lt;=9,AS1813&gt;=AR1813),1,0)</x:f>
        <x:v>0</x:v>
      </x:c>
      <x:c r="F1814" s="8" t="n">
        <x:f>MIN(10,F1813+E1814)</x:f>
        <x:v>10</x:v>
      </x:c>
      <x:c r="G1814" s="8" t="n">
        <x:f>MIN(F1814,9)+1</x:f>
        <x:v>10</x:v>
      </x:c>
      <x:c r="H1814" s="8" t="n">
        <x:f>IF(F1814&lt;=9,1,0)</x:f>
        <x:v>0</x:v>
      </x:c>
      <x:c r="I1814" s="9" t="n">
        <x:f>MIN(10,F1813+IF(AR1813&gt;0,MIN(1,AS1813/AR1813),1))</x:f>
        <x:v>10</x:v>
      </x:c>
      <x:c r="J1814" s="32" t="n">
        <x:f>INDEX(v01_FoodCap,G1814)*Arch_FoodCap*EXP(v01_CapsByProject*SUMPRODUCT((Cap_Point&lt;=I1814)*(Cap_Kind="Food")*Cap_Ln))</x:f>
        <x:v>12000</x:v>
      </x:c>
      <x:c r="K1814" s="32" t="n">
        <x:f>J1814*MIN(1,v01_LeanBase*EXP(v01_CapsByProject*SUMPRODUCT((Cap_Point&lt;=I1814)*(Cap_Kind="Lean")*Cap_Ln)))</x:f>
        <x:v>12000</x:v>
      </x:c>
      <x:c r="L1814" s="10" t="n">
        <x:f>INDEX(v01_HousingCap,G1814)*EXP(v01_CapsByProject*SUMPRODUCT((Cap_Point&lt;=I1814)*(Cap_Kind="Housing")*Cap_Ln))</x:f>
        <x:v>20000</x:v>
      </x:c>
      <x:c r="M1814" s="10" t="n">
        <x:f>INDEX(v01_GroupCap,G1814)*v01_CohesionFactor*EXP(v01_CapsByProject*SUMPRODUCT((Cap_Point&lt;=I1814)*(Cap_Kind="Group")*Cap_Ln))</x:f>
        <x:v>1000000</x:v>
      </x:c>
      <x:c r="N1814" s="32" t="n">
        <x:f>MIN(J1814,L1814,M1814)</x:f>
        <x:v>12000</x:v>
      </x:c>
      <x:c r="O1814" s="10" t="n">
        <x:f>AE1813*N1814</x:f>
        <x:v>180000</x:v>
      </x:c>
      <x:c r="P1814" s="9" t="n">
        <x:f>MIN(1,(AB1813/(AE1813*IF(v01_GroupInCrowding=1,N1814,MIN(J1814,L1814))))^v01_CrowdingExp)</x:f>
        <x:v>0.00024569414295285325</x:v>
      </x:c>
      <x:c r="Q1814" s="9" t="n">
        <x:f>IF(D1814=1,INDEX(v01_WinterMult,G1814),1)</x:f>
        <x:v>1</x:v>
      </x:c>
      <x:c r="R1814" s="9" t="n">
        <x:f>H1814*Z1813*v01_WomenShare*v01_BaseFertility*INDEX(v01_FertMult,G1814)*Arch_Fertility*(1-P1814)</x:f>
        <x:v>0</x:v>
      </x:c>
      <x:c r="S1814" s="9" t="n">
        <x:f>H1814*Y1813*INDEX(v01_MortChild,G1814)/4*Q1814</x:f>
        <x:v>0</x:v>
      </x:c>
      <x:c r="T1814" s="9" t="n">
        <x:f>H1814*Z1813*INDEX(v01_MortAdult,G1814)*Arch_AdultMort/4*Q1814</x:f>
        <x:v>0</x:v>
      </x:c>
      <x:c r="U1814" s="9" t="n">
        <x:f>H1814*AA1813*INDEX(v01_MortElder,G1814)/4*Q1814</x:f>
        <x:v>0</x:v>
      </x:c>
      <x:c r="V1814" s="9" t="n">
        <x:f>H1814*MAX(0,AB1813-O1814)*v01_OvercapLoss</x:f>
        <x:v>0</x:v>
      </x:c>
      <x:c r="W1814" s="9" t="n">
        <x:f>H1814*Y1813/(v01_ChildYears*4)</x:f>
        <x:v>0</x:v>
      </x:c>
      <x:c r="X1814" s="9" t="n">
        <x:f>H1814*Z1813/(v01_AdultYears*4)</x:f>
        <x:v>0</x:v>
      </x:c>
      <x:c r="Y1814" s="32" t="n">
        <x:f>Y1813+R1814-S1814-W1814-Y1813*V1814/AB1813</x:f>
        <x:v>14306.18539759397</x:v>
      </x:c>
      <x:c r="Z1814" s="32" t="n">
        <x:f>Z1813+W1814-X1814-T1814-Z1813*V1814/AB1813</x:f>
        <x:v>19354.456567879548</x:v>
      </x:c>
      <x:c r="AA1814" s="32" t="n">
        <x:f>AA1813+X1814-U1814-AA1813*V1814/AB1813</x:f>
        <x:v>11386.956063258198</x:v>
      </x:c>
      <x:c r="AB1814" s="10" t="n">
        <x:f>Y1814+Z1814+AA1814</x:f>
        <x:v>45047.59802873172</x:v>
      </x:c>
      <x:c r="AC1814" s="8" t="n">
        <x:f>IF(AND(v01_WinterTrigger=1,D1814=1,AB1813/AE1813&gt;=K1814),1,0)</x:f>
        <x:v>0</x:v>
      </x:c>
      <x:c r="AD1814" s="8" t="n">
        <x:f>H1814*IF(AND(OR(AB1813/AE1813&gt;=v01_FissionTrigger*N1814,AC1814=1),AB1813/AE1813*v01_DaughterShare&gt;=v01_MinDaughter),MAX(1,ROUND(AE1813*v01_FissionRate,0)),0)</x:f>
        <x:v>0</x:v>
      </x:c>
      <x:c r="AE1814" s="8" t="n">
        <x:f>IF(H1814=1,MAX(1,MIN(INDEX(v01_Smax,G1814),AE1813+AD1814)),AE1813)</x:f>
        <x:v>15</x:v>
      </x:c>
      <x:c r="AF1814" s="8" t="n">
        <x:f>MAX(0,AE1814-AE1813)</x:f>
        <x:v>0</x:v>
      </x:c>
      <x:c r="AG1814" s="9" t="str">
        <x:f>IF(AF1814&gt;0,B1814,"")</x:f>
      </x:c>
      <x:c r="AH1814" s="9" t="n">
        <x:f>IF(F1814&gt;=1,1,(1+v01_LowTiesShare*(AE1814-1))/AE1814)</x:f>
        <x:v>1</x:v>
      </x:c>
      <x:c r="AI1814" s="32" t="n">
        <x:f>(Z1814+v01_ElderCommons*INDEX(LM_Elder,G1814)*AA1814)*AH1814</x:f>
        <x:v>64139.732591141874</x:v>
      </x:c>
      <x:c r="AJ1814" s="32" t="n">
        <x:f>H1814*v01_CommonsCoef*AI1814^v01_CommonsExp*INDEX(LM_Commons,G1814)</x:f>
        <x:v>0</x:v>
      </x:c>
      <x:c r="AK1814" s="32" t="n">
        <x:f>H1814*v01_RoleScale*Arch_Roles*(AE1814*(INDEX(v01_ElderRolePerSett,G1814)*v01_OutElder*INDEX(LM_Elder,G1814)+INDEX(v01_ShamanPerSett,G1814)*v01_OutShaman)+Z1814*(INDEX(v01_PriestShare,G1814)*v01_OutPriest+INDEX(v01_ScribeShare,G1814)*v01_OutScribe*INDEX(LM_Scribe,G1814)+INDEX(v01_ScholarShare,G1814)*v01_OutScholar*INDEX(LM_Scholar,G1814)+INDEX(v01_ResearcherShare,G1814)*v01_OutResearcher*INDEX(LM_Researcher,G1814)))</x:f>
        <x:v>0</x:v>
      </x:c>
      <x:c r="AL1814" s="32" t="n">
        <x:f>H1814*v01_RoleScale*Arch_Roles*AE1814*INDEX(v01_MonasteryPerSett,G1814)*v01_OutMonastery*INDEX(LM_Monastery,G1814)</x:f>
        <x:v>0</x:v>
      </x:c>
      <x:c r="AM1814" s="32" t="n">
        <x:f>(AJ1814+AK1814+AL1814)/4*INDEX(LM_All,G1814)*INDEX(v01_Boon,G1814)*Arch_Insight</x:f>
        <x:v>0</x:v>
      </x:c>
      <x:c r="AN1814" s="32" t="n">
        <x:f>H1814*(v01_KHPerAdult*Z1814+v01_KHOfCommons*AJ1814/4*INDEX(LM_All,G1814))*v01_KHUsable*Arch_KH</x:f>
        <x:v>0</x:v>
      </x:c>
      <x:c r="AO1814" s="32" t="n">
        <x:f>MIN(AP1813+AN1814,AM1814*v01_KHMaxRatio)</x:f>
        <x:v>0</x:v>
      </x:c>
      <x:c r="AP1814" s="32" t="n">
        <x:f>AP1813+AN1814-AO1814</x:f>
        <x:v>0</x:v>
      </x:c>
      <x:c r="AQ1814" s="32" t="n">
        <x:f>AM1814+AO1814</x:f>
        <x:v>0</x:v>
      </x:c>
      <x:c r="AR1814" s="10" t="n">
        <x:f>IF(H1814=1,INDEX(v01_Req,G1814),0)</x:f>
        <x:v>0</x:v>
      </x:c>
      <x:c r="AS1814" s="32" t="n">
        <x:f>IF(H1814=1,IF(E1814=1,AS1813-AR1813,AS1813)+AQ1814,0)</x:f>
        <x:v>0</x:v>
      </x:c>
      <x:c r="AT1814" s="11" t="n">
        <x:f>IF(AR1814&gt;0,MIN(1,AS1814/AR1814),1)</x:f>
        <x:v>1</x:v>
      </x:c>
      <x:c r="AU1814" s="10" t="n">
        <x:f>AB1814/INDEX(v01_RepScale,G1814)</x:f>
        <x:v>90.09519605746344</x:v>
      </x:c>
      <x:c r="AV1814" s="32" t="n">
        <x:f>AM1814*60/v01_SeasonSeconds</x:f>
        <x:v>0</x:v>
      </x:c>
    </x:row>
    <x:row r="1815">
      <x:c r="A1815" s="8" t="n">
        <x:f>A1814+1</x:f>
        <x:v>1812</x:v>
      </x:c>
      <x:c r="B1815" s="9" t="n">
        <x:f>A1815*v01_SeasonSeconds/60</x:f>
        <x:v>453</x:v>
      </x:c>
      <x:c r="C1815" s="9" t="n">
        <x:f>A1815/4</x:f>
        <x:v>453</x:v>
      </x:c>
      <x:c r="D1815" s="8" t="n">
        <x:f>IF(MOD(A1815,4)=0,1,0)</x:f>
        <x:v>1</x:v>
      </x:c>
      <x:c r="E1815" s="8" t="n">
        <x:f>IF(AND(F1814&lt;=9,AS1814&gt;=AR1814),1,0)</x:f>
        <x:v>0</x:v>
      </x:c>
      <x:c r="F1815" s="8" t="n">
        <x:f>MIN(10,F1814+E1815)</x:f>
        <x:v>10</x:v>
      </x:c>
      <x:c r="G1815" s="8" t="n">
        <x:f>MIN(F1815,9)+1</x:f>
        <x:v>10</x:v>
      </x:c>
      <x:c r="H1815" s="8" t="n">
        <x:f>IF(F1815&lt;=9,1,0)</x:f>
        <x:v>0</x:v>
      </x:c>
      <x:c r="I1815" s="9" t="n">
        <x:f>MIN(10,F1814+IF(AR1814&gt;0,MIN(1,AS1814/AR1814),1))</x:f>
        <x:v>10</x:v>
      </x:c>
      <x:c r="J1815" s="32" t="n">
        <x:f>INDEX(v01_FoodCap,G1815)*Arch_FoodCap*EXP(v01_CapsByProject*SUMPRODUCT((Cap_Point&lt;=I1815)*(Cap_Kind="Food")*Cap_Ln))</x:f>
        <x:v>12000</x:v>
      </x:c>
      <x:c r="K1815" s="32" t="n">
        <x:f>J1815*MIN(1,v01_LeanBase*EXP(v01_CapsByProject*SUMPRODUCT((Cap_Point&lt;=I1815)*(Cap_Kind="Lean")*Cap_Ln)))</x:f>
        <x:v>12000</x:v>
      </x:c>
      <x:c r="L1815" s="10" t="n">
        <x:f>INDEX(v01_HousingCap,G1815)*EXP(v01_CapsByProject*SUMPRODUCT((Cap_Point&lt;=I1815)*(Cap_Kind="Housing")*Cap_Ln))</x:f>
        <x:v>20000</x:v>
      </x:c>
      <x:c r="M1815" s="10" t="n">
        <x:f>INDEX(v01_GroupCap,G1815)*v01_CohesionFactor*EXP(v01_CapsByProject*SUMPRODUCT((Cap_Point&lt;=I1815)*(Cap_Kind="Group")*Cap_Ln))</x:f>
        <x:v>1000000</x:v>
      </x:c>
      <x:c r="N1815" s="32" t="n">
        <x:f>MIN(J1815,L1815,M1815)</x:f>
        <x:v>12000</x:v>
      </x:c>
      <x:c r="O1815" s="10" t="n">
        <x:f>AE1814*N1815</x:f>
        <x:v>180000</x:v>
      </x:c>
      <x:c r="P1815" s="9" t="n">
        <x:f>MIN(1,(AB1814/(AE1814*IF(v01_GroupInCrowding=1,N1815,MIN(J1815,L1815))))^v01_CrowdingExp)</x:f>
        <x:v>0.00024569414295285325</x:v>
      </x:c>
      <x:c r="Q1815" s="9" t="n">
        <x:f>IF(D1815=1,INDEX(v01_WinterMult,G1815),1)</x:f>
        <x:v>1</x:v>
      </x:c>
      <x:c r="R1815" s="9" t="n">
        <x:f>H1815*Z1814*v01_WomenShare*v01_BaseFertility*INDEX(v01_FertMult,G1815)*Arch_Fertility*(1-P1815)</x:f>
        <x:v>0</x:v>
      </x:c>
      <x:c r="S1815" s="9" t="n">
        <x:f>H1815*Y1814*INDEX(v01_MortChild,G1815)/4*Q1815</x:f>
        <x:v>0</x:v>
      </x:c>
      <x:c r="T1815" s="9" t="n">
        <x:f>H1815*Z1814*INDEX(v01_MortAdult,G1815)*Arch_AdultMort/4*Q1815</x:f>
        <x:v>0</x:v>
      </x:c>
      <x:c r="U1815" s="9" t="n">
        <x:f>H1815*AA1814*INDEX(v01_MortElder,G1815)/4*Q1815</x:f>
        <x:v>0</x:v>
      </x:c>
      <x:c r="V1815" s="9" t="n">
        <x:f>H1815*MAX(0,AB1814-O1815)*v01_OvercapLoss</x:f>
        <x:v>0</x:v>
      </x:c>
      <x:c r="W1815" s="9" t="n">
        <x:f>H1815*Y1814/(v01_ChildYears*4)</x:f>
        <x:v>0</x:v>
      </x:c>
      <x:c r="X1815" s="9" t="n">
        <x:f>H1815*Z1814/(v01_AdultYears*4)</x:f>
        <x:v>0</x:v>
      </x:c>
      <x:c r="Y1815" s="32" t="n">
        <x:f>Y1814+R1815-S1815-W1815-Y1814*V1815/AB1814</x:f>
        <x:v>14306.18539759397</x:v>
      </x:c>
      <x:c r="Z1815" s="32" t="n">
        <x:f>Z1814+W1815-X1815-T1815-Z1814*V1815/AB1814</x:f>
        <x:v>19354.456567879548</x:v>
      </x:c>
      <x:c r="AA1815" s="32" t="n">
        <x:f>AA1814+X1815-U1815-AA1814*V1815/AB1814</x:f>
        <x:v>11386.956063258198</x:v>
      </x:c>
      <x:c r="AB1815" s="10" t="n">
        <x:f>Y1815+Z1815+AA1815</x:f>
        <x:v>45047.59802873172</x:v>
      </x:c>
      <x:c r="AC1815" s="8" t="n">
        <x:f>IF(AND(v01_WinterTrigger=1,D1815=1,AB1814/AE1814&gt;=K1815),1,0)</x:f>
        <x:v>0</x:v>
      </x:c>
      <x:c r="AD1815" s="8" t="n">
        <x:f>H1815*IF(AND(OR(AB1814/AE1814&gt;=v01_FissionTrigger*N1815,AC1815=1),AB1814/AE1814*v01_DaughterShare&gt;=v01_MinDaughter),MAX(1,ROUND(AE1814*v01_FissionRate,0)),0)</x:f>
        <x:v>0</x:v>
      </x:c>
      <x:c r="AE1815" s="8" t="n">
        <x:f>IF(H1815=1,MAX(1,MIN(INDEX(v01_Smax,G1815),AE1814+AD1815)),AE1814)</x:f>
        <x:v>15</x:v>
      </x:c>
      <x:c r="AF1815" s="8" t="n">
        <x:f>MAX(0,AE1815-AE1814)</x:f>
        <x:v>0</x:v>
      </x:c>
      <x:c r="AG1815" s="9" t="str">
        <x:f>IF(AF1815&gt;0,B1815,"")</x:f>
      </x:c>
      <x:c r="AH1815" s="9" t="n">
        <x:f>IF(F1815&gt;=1,1,(1+v01_LowTiesShare*(AE1815-1))/AE1815)</x:f>
        <x:v>1</x:v>
      </x:c>
      <x:c r="AI1815" s="32" t="n">
        <x:f>(Z1815+v01_ElderCommons*INDEX(LM_Elder,G1815)*AA1815)*AH1815</x:f>
        <x:v>64139.732591141874</x:v>
      </x:c>
      <x:c r="AJ1815" s="32" t="n">
        <x:f>H1815*v01_CommonsCoef*AI1815^v01_CommonsExp*INDEX(LM_Commons,G1815)</x:f>
        <x:v>0</x:v>
      </x:c>
      <x:c r="AK1815" s="32" t="n">
        <x:f>H1815*v01_RoleScale*Arch_Roles*(AE1815*(INDEX(v01_ElderRolePerSett,G1815)*v01_OutElder*INDEX(LM_Elder,G1815)+INDEX(v01_ShamanPerSett,G1815)*v01_OutShaman)+Z1815*(INDEX(v01_PriestShare,G1815)*v01_OutPriest+INDEX(v01_ScribeShare,G1815)*v01_OutScribe*INDEX(LM_Scribe,G1815)+INDEX(v01_ScholarShare,G1815)*v01_OutScholar*INDEX(LM_Scholar,G1815)+INDEX(v01_ResearcherShare,G1815)*v01_OutResearcher*INDEX(LM_Researcher,G1815)))</x:f>
        <x:v>0</x:v>
      </x:c>
      <x:c r="AL1815" s="32" t="n">
        <x:f>H1815*v01_RoleScale*Arch_Roles*AE1815*INDEX(v01_MonasteryPerSett,G1815)*v01_OutMonastery*INDEX(LM_Monastery,G1815)</x:f>
        <x:v>0</x:v>
      </x:c>
      <x:c r="AM1815" s="32" t="n">
        <x:f>(AJ1815+AK1815+AL1815)/4*INDEX(LM_All,G1815)*INDEX(v01_Boon,G1815)*Arch_Insight</x:f>
        <x:v>0</x:v>
      </x:c>
      <x:c r="AN1815" s="32" t="n">
        <x:f>H1815*(v01_KHPerAdult*Z1815+v01_KHOfCommons*AJ1815/4*INDEX(LM_All,G1815))*v01_KHUsable*Arch_KH</x:f>
        <x:v>0</x:v>
      </x:c>
      <x:c r="AO1815" s="32" t="n">
        <x:f>MIN(AP1814+AN1815,AM1815*v01_KHMaxRatio)</x:f>
        <x:v>0</x:v>
      </x:c>
      <x:c r="AP1815" s="32" t="n">
        <x:f>AP1814+AN1815-AO1815</x:f>
        <x:v>0</x:v>
      </x:c>
      <x:c r="AQ1815" s="32" t="n">
        <x:f>AM1815+AO1815</x:f>
        <x:v>0</x:v>
      </x:c>
      <x:c r="AR1815" s="10" t="n">
        <x:f>IF(H1815=1,INDEX(v01_Req,G1815),0)</x:f>
        <x:v>0</x:v>
      </x:c>
      <x:c r="AS1815" s="32" t="n">
        <x:f>IF(H1815=1,IF(E1815=1,AS1814-AR1814,AS1814)+AQ1815,0)</x:f>
        <x:v>0</x:v>
      </x:c>
      <x:c r="AT1815" s="11" t="n">
        <x:f>IF(AR1815&gt;0,MIN(1,AS1815/AR1815),1)</x:f>
        <x:v>1</x:v>
      </x:c>
      <x:c r="AU1815" s="10" t="n">
        <x:f>AB1815/INDEX(v01_RepScale,G1815)</x:f>
        <x:v>90.09519605746344</x:v>
      </x:c>
      <x:c r="AV1815" s="32" t="n">
        <x:f>AM1815*60/v01_SeasonSeconds</x:f>
        <x:v>0</x:v>
      </x:c>
    </x:row>
    <x:row r="1816">
      <x:c r="A1816" s="8" t="n">
        <x:f>A1815+1</x:f>
        <x:v>1813</x:v>
      </x:c>
      <x:c r="B1816" s="9" t="n">
        <x:f>A1816*v01_SeasonSeconds/60</x:f>
        <x:v>453.25</x:v>
      </x:c>
      <x:c r="C1816" s="9" t="n">
        <x:f>A1816/4</x:f>
        <x:v>453.25</x:v>
      </x:c>
      <x:c r="D1816" s="8" t="n">
        <x:f>IF(MOD(A1816,4)=0,1,0)</x:f>
        <x:v>0</x:v>
      </x:c>
      <x:c r="E1816" s="8" t="n">
        <x:f>IF(AND(F1815&lt;=9,AS1815&gt;=AR1815),1,0)</x:f>
        <x:v>0</x:v>
      </x:c>
      <x:c r="F1816" s="8" t="n">
        <x:f>MIN(10,F1815+E1816)</x:f>
        <x:v>10</x:v>
      </x:c>
      <x:c r="G1816" s="8" t="n">
        <x:f>MIN(F1816,9)+1</x:f>
        <x:v>10</x:v>
      </x:c>
      <x:c r="H1816" s="8" t="n">
        <x:f>IF(F1816&lt;=9,1,0)</x:f>
        <x:v>0</x:v>
      </x:c>
      <x:c r="I1816" s="9" t="n">
        <x:f>MIN(10,F1815+IF(AR1815&gt;0,MIN(1,AS1815/AR1815),1))</x:f>
        <x:v>10</x:v>
      </x:c>
      <x:c r="J1816" s="32" t="n">
        <x:f>INDEX(v01_FoodCap,G1816)*Arch_FoodCap*EXP(v01_CapsByProject*SUMPRODUCT((Cap_Point&lt;=I1816)*(Cap_Kind="Food")*Cap_Ln))</x:f>
        <x:v>12000</x:v>
      </x:c>
      <x:c r="K1816" s="32" t="n">
        <x:f>J1816*MIN(1,v01_LeanBase*EXP(v01_CapsByProject*SUMPRODUCT((Cap_Point&lt;=I1816)*(Cap_Kind="Lean")*Cap_Ln)))</x:f>
        <x:v>12000</x:v>
      </x:c>
      <x:c r="L1816" s="10" t="n">
        <x:f>INDEX(v01_HousingCap,G1816)*EXP(v01_CapsByProject*SUMPRODUCT((Cap_Point&lt;=I1816)*(Cap_Kind="Housing")*Cap_Ln))</x:f>
        <x:v>20000</x:v>
      </x:c>
      <x:c r="M1816" s="10" t="n">
        <x:f>INDEX(v01_GroupCap,G1816)*v01_CohesionFactor*EXP(v01_CapsByProject*SUMPRODUCT((Cap_Point&lt;=I1816)*(Cap_Kind="Group")*Cap_Ln))</x:f>
        <x:v>1000000</x:v>
      </x:c>
      <x:c r="N1816" s="32" t="n">
        <x:f>MIN(J1816,L1816,M1816)</x:f>
        <x:v>12000</x:v>
      </x:c>
      <x:c r="O1816" s="10" t="n">
        <x:f>AE1815*N1816</x:f>
        <x:v>180000</x:v>
      </x:c>
      <x:c r="P1816" s="9" t="n">
        <x:f>MIN(1,(AB1815/(AE1815*IF(v01_GroupInCrowding=1,N1816,MIN(J1816,L1816))))^v01_CrowdingExp)</x:f>
        <x:v>0.00024569414295285325</x:v>
      </x:c>
      <x:c r="Q1816" s="9" t="n">
        <x:f>IF(D1816=1,INDEX(v01_WinterMult,G1816),1)</x:f>
        <x:v>1</x:v>
      </x:c>
      <x:c r="R1816" s="9" t="n">
        <x:f>H1816*Z1815*v01_WomenShare*v01_BaseFertility*INDEX(v01_FertMult,G1816)*Arch_Fertility*(1-P1816)</x:f>
        <x:v>0</x:v>
      </x:c>
      <x:c r="S1816" s="9" t="n">
        <x:f>H1816*Y1815*INDEX(v01_MortChild,G1816)/4*Q1816</x:f>
        <x:v>0</x:v>
      </x:c>
      <x:c r="T1816" s="9" t="n">
        <x:f>H1816*Z1815*INDEX(v01_MortAdult,G1816)*Arch_AdultMort/4*Q1816</x:f>
        <x:v>0</x:v>
      </x:c>
      <x:c r="U1816" s="9" t="n">
        <x:f>H1816*AA1815*INDEX(v01_MortElder,G1816)/4*Q1816</x:f>
        <x:v>0</x:v>
      </x:c>
      <x:c r="V1816" s="9" t="n">
        <x:f>H1816*MAX(0,AB1815-O1816)*v01_OvercapLoss</x:f>
        <x:v>0</x:v>
      </x:c>
      <x:c r="W1816" s="9" t="n">
        <x:f>H1816*Y1815/(v01_ChildYears*4)</x:f>
        <x:v>0</x:v>
      </x:c>
      <x:c r="X1816" s="9" t="n">
        <x:f>H1816*Z1815/(v01_AdultYears*4)</x:f>
        <x:v>0</x:v>
      </x:c>
      <x:c r="Y1816" s="32" t="n">
        <x:f>Y1815+R1816-S1816-W1816-Y1815*V1816/AB1815</x:f>
        <x:v>14306.18539759397</x:v>
      </x:c>
      <x:c r="Z1816" s="32" t="n">
        <x:f>Z1815+W1816-X1816-T1816-Z1815*V1816/AB1815</x:f>
        <x:v>19354.456567879548</x:v>
      </x:c>
      <x:c r="AA1816" s="32" t="n">
        <x:f>AA1815+X1816-U1816-AA1815*V1816/AB1815</x:f>
        <x:v>11386.956063258198</x:v>
      </x:c>
      <x:c r="AB1816" s="10" t="n">
        <x:f>Y1816+Z1816+AA1816</x:f>
        <x:v>45047.59802873172</x:v>
      </x:c>
      <x:c r="AC1816" s="8" t="n">
        <x:f>IF(AND(v01_WinterTrigger=1,D1816=1,AB1815/AE1815&gt;=K1816),1,0)</x:f>
        <x:v>0</x:v>
      </x:c>
      <x:c r="AD1816" s="8" t="n">
        <x:f>H1816*IF(AND(OR(AB1815/AE1815&gt;=v01_FissionTrigger*N1816,AC1816=1),AB1815/AE1815*v01_DaughterShare&gt;=v01_MinDaughter),MAX(1,ROUND(AE1815*v01_FissionRate,0)),0)</x:f>
        <x:v>0</x:v>
      </x:c>
      <x:c r="AE1816" s="8" t="n">
        <x:f>IF(H1816=1,MAX(1,MIN(INDEX(v01_Smax,G1816),AE1815+AD1816)),AE1815)</x:f>
        <x:v>15</x:v>
      </x:c>
      <x:c r="AF1816" s="8" t="n">
        <x:f>MAX(0,AE1816-AE1815)</x:f>
        <x:v>0</x:v>
      </x:c>
      <x:c r="AG1816" s="9" t="str">
        <x:f>IF(AF1816&gt;0,B1816,"")</x:f>
      </x:c>
      <x:c r="AH1816" s="9" t="n">
        <x:f>IF(F1816&gt;=1,1,(1+v01_LowTiesShare*(AE1816-1))/AE1816)</x:f>
        <x:v>1</x:v>
      </x:c>
      <x:c r="AI1816" s="32" t="n">
        <x:f>(Z1816+v01_ElderCommons*INDEX(LM_Elder,G1816)*AA1816)*AH1816</x:f>
        <x:v>64139.732591141874</x:v>
      </x:c>
      <x:c r="AJ1816" s="32" t="n">
        <x:f>H1816*v01_CommonsCoef*AI1816^v01_CommonsExp*INDEX(LM_Commons,G1816)</x:f>
        <x:v>0</x:v>
      </x:c>
      <x:c r="AK1816" s="32" t="n">
        <x:f>H1816*v01_RoleScale*Arch_Roles*(AE1816*(INDEX(v01_ElderRolePerSett,G1816)*v01_OutElder*INDEX(LM_Elder,G1816)+INDEX(v01_ShamanPerSett,G1816)*v01_OutShaman)+Z1816*(INDEX(v01_PriestShare,G1816)*v01_OutPriest+INDEX(v01_ScribeShare,G1816)*v01_OutScribe*INDEX(LM_Scribe,G1816)+INDEX(v01_ScholarShare,G1816)*v01_OutScholar*INDEX(LM_Scholar,G1816)+INDEX(v01_ResearcherShare,G1816)*v01_OutResearcher*INDEX(LM_Researcher,G1816)))</x:f>
        <x:v>0</x:v>
      </x:c>
      <x:c r="AL1816" s="32" t="n">
        <x:f>H1816*v01_RoleScale*Arch_Roles*AE1816*INDEX(v01_MonasteryPerSett,G1816)*v01_OutMonastery*INDEX(LM_Monastery,G1816)</x:f>
        <x:v>0</x:v>
      </x:c>
      <x:c r="AM1816" s="32" t="n">
        <x:f>(AJ1816+AK1816+AL1816)/4*INDEX(LM_All,G1816)*INDEX(v01_Boon,G1816)*Arch_Insight</x:f>
        <x:v>0</x:v>
      </x:c>
      <x:c r="AN1816" s="32" t="n">
        <x:f>H1816*(v01_KHPerAdult*Z1816+v01_KHOfCommons*AJ1816/4*INDEX(LM_All,G1816))*v01_KHUsable*Arch_KH</x:f>
        <x:v>0</x:v>
      </x:c>
      <x:c r="AO1816" s="32" t="n">
        <x:f>MIN(AP1815+AN1816,AM1816*v01_KHMaxRatio)</x:f>
        <x:v>0</x:v>
      </x:c>
      <x:c r="AP1816" s="32" t="n">
        <x:f>AP1815+AN1816-AO1816</x:f>
        <x:v>0</x:v>
      </x:c>
      <x:c r="AQ1816" s="32" t="n">
        <x:f>AM1816+AO1816</x:f>
        <x:v>0</x:v>
      </x:c>
      <x:c r="AR1816" s="10" t="n">
        <x:f>IF(H1816=1,INDEX(v01_Req,G1816),0)</x:f>
        <x:v>0</x:v>
      </x:c>
      <x:c r="AS1816" s="32" t="n">
        <x:f>IF(H1816=1,IF(E1816=1,AS1815-AR1815,AS1815)+AQ1816,0)</x:f>
        <x:v>0</x:v>
      </x:c>
      <x:c r="AT1816" s="11" t="n">
        <x:f>IF(AR1816&gt;0,MIN(1,AS1816/AR1816),1)</x:f>
        <x:v>1</x:v>
      </x:c>
      <x:c r="AU1816" s="10" t="n">
        <x:f>AB1816/INDEX(v01_RepScale,G1816)</x:f>
        <x:v>90.09519605746344</x:v>
      </x:c>
      <x:c r="AV1816" s="32" t="n">
        <x:f>AM1816*60/v01_SeasonSeconds</x:f>
        <x:v>0</x:v>
      </x:c>
    </x:row>
    <x:row r="1817">
      <x:c r="A1817" s="8" t="n">
        <x:f>A1816+1</x:f>
        <x:v>1814</x:v>
      </x:c>
      <x:c r="B1817" s="9" t="n">
        <x:f>A1817*v01_SeasonSeconds/60</x:f>
        <x:v>453.5</x:v>
      </x:c>
      <x:c r="C1817" s="9" t="n">
        <x:f>A1817/4</x:f>
        <x:v>453.5</x:v>
      </x:c>
      <x:c r="D1817" s="8" t="n">
        <x:f>IF(MOD(A1817,4)=0,1,0)</x:f>
        <x:v>0</x:v>
      </x:c>
      <x:c r="E1817" s="8" t="n">
        <x:f>IF(AND(F1816&lt;=9,AS1816&gt;=AR1816),1,0)</x:f>
        <x:v>0</x:v>
      </x:c>
      <x:c r="F1817" s="8" t="n">
        <x:f>MIN(10,F1816+E1817)</x:f>
        <x:v>10</x:v>
      </x:c>
      <x:c r="G1817" s="8" t="n">
        <x:f>MIN(F1817,9)+1</x:f>
        <x:v>10</x:v>
      </x:c>
      <x:c r="H1817" s="8" t="n">
        <x:f>IF(F1817&lt;=9,1,0)</x:f>
        <x:v>0</x:v>
      </x:c>
      <x:c r="I1817" s="9" t="n">
        <x:f>MIN(10,F1816+IF(AR1816&gt;0,MIN(1,AS1816/AR1816),1))</x:f>
        <x:v>10</x:v>
      </x:c>
      <x:c r="J1817" s="32" t="n">
        <x:f>INDEX(v01_FoodCap,G1817)*Arch_FoodCap*EXP(v01_CapsByProject*SUMPRODUCT((Cap_Point&lt;=I1817)*(Cap_Kind="Food")*Cap_Ln))</x:f>
        <x:v>12000</x:v>
      </x:c>
      <x:c r="K1817" s="32" t="n">
        <x:f>J1817*MIN(1,v01_LeanBase*EXP(v01_CapsByProject*SUMPRODUCT((Cap_Point&lt;=I1817)*(Cap_Kind="Lean")*Cap_Ln)))</x:f>
        <x:v>12000</x:v>
      </x:c>
      <x:c r="L1817" s="10" t="n">
        <x:f>INDEX(v01_HousingCap,G1817)*EXP(v01_CapsByProject*SUMPRODUCT((Cap_Point&lt;=I1817)*(Cap_Kind="Housing")*Cap_Ln))</x:f>
        <x:v>20000</x:v>
      </x:c>
      <x:c r="M1817" s="10" t="n">
        <x:f>INDEX(v01_GroupCap,G1817)*v01_CohesionFactor*EXP(v01_CapsByProject*SUMPRODUCT((Cap_Point&lt;=I1817)*(Cap_Kind="Group")*Cap_Ln))</x:f>
        <x:v>1000000</x:v>
      </x:c>
      <x:c r="N1817" s="32" t="n">
        <x:f>MIN(J1817,L1817,M1817)</x:f>
        <x:v>12000</x:v>
      </x:c>
      <x:c r="O1817" s="10" t="n">
        <x:f>AE1816*N1817</x:f>
        <x:v>180000</x:v>
      </x:c>
      <x:c r="P1817" s="9" t="n">
        <x:f>MIN(1,(AB1816/(AE1816*IF(v01_GroupInCrowding=1,N1817,MIN(J1817,L1817))))^v01_CrowdingExp)</x:f>
        <x:v>0.00024569414295285325</x:v>
      </x:c>
      <x:c r="Q1817" s="9" t="n">
        <x:f>IF(D1817=1,INDEX(v01_WinterMult,G1817),1)</x:f>
        <x:v>1</x:v>
      </x:c>
      <x:c r="R1817" s="9" t="n">
        <x:f>H1817*Z1816*v01_WomenShare*v01_BaseFertility*INDEX(v01_FertMult,G1817)*Arch_Fertility*(1-P1817)</x:f>
        <x:v>0</x:v>
      </x:c>
      <x:c r="S1817" s="9" t="n">
        <x:f>H1817*Y1816*INDEX(v01_MortChild,G1817)/4*Q1817</x:f>
        <x:v>0</x:v>
      </x:c>
      <x:c r="T1817" s="9" t="n">
        <x:f>H1817*Z1816*INDEX(v01_MortAdult,G1817)*Arch_AdultMort/4*Q1817</x:f>
        <x:v>0</x:v>
      </x:c>
      <x:c r="U1817" s="9" t="n">
        <x:f>H1817*AA1816*INDEX(v01_MortElder,G1817)/4*Q1817</x:f>
        <x:v>0</x:v>
      </x:c>
      <x:c r="V1817" s="9" t="n">
        <x:f>H1817*MAX(0,AB1816-O1817)*v01_OvercapLoss</x:f>
        <x:v>0</x:v>
      </x:c>
      <x:c r="W1817" s="9" t="n">
        <x:f>H1817*Y1816/(v01_ChildYears*4)</x:f>
        <x:v>0</x:v>
      </x:c>
      <x:c r="X1817" s="9" t="n">
        <x:f>H1817*Z1816/(v01_AdultYears*4)</x:f>
        <x:v>0</x:v>
      </x:c>
      <x:c r="Y1817" s="32" t="n">
        <x:f>Y1816+R1817-S1817-W1817-Y1816*V1817/AB1816</x:f>
        <x:v>14306.18539759397</x:v>
      </x:c>
      <x:c r="Z1817" s="32" t="n">
        <x:f>Z1816+W1817-X1817-T1817-Z1816*V1817/AB1816</x:f>
        <x:v>19354.456567879548</x:v>
      </x:c>
      <x:c r="AA1817" s="32" t="n">
        <x:f>AA1816+X1817-U1817-AA1816*V1817/AB1816</x:f>
        <x:v>11386.956063258198</x:v>
      </x:c>
      <x:c r="AB1817" s="10" t="n">
        <x:f>Y1817+Z1817+AA1817</x:f>
        <x:v>45047.59802873172</x:v>
      </x:c>
      <x:c r="AC1817" s="8" t="n">
        <x:f>IF(AND(v01_WinterTrigger=1,D1817=1,AB1816/AE1816&gt;=K1817),1,0)</x:f>
        <x:v>0</x:v>
      </x:c>
      <x:c r="AD1817" s="8" t="n">
        <x:f>H1817*IF(AND(OR(AB1816/AE1816&gt;=v01_FissionTrigger*N1817,AC1817=1),AB1816/AE1816*v01_DaughterShare&gt;=v01_MinDaughter),MAX(1,ROUND(AE1816*v01_FissionRate,0)),0)</x:f>
        <x:v>0</x:v>
      </x:c>
      <x:c r="AE1817" s="8" t="n">
        <x:f>IF(H1817=1,MAX(1,MIN(INDEX(v01_Smax,G1817),AE1816+AD1817)),AE1816)</x:f>
        <x:v>15</x:v>
      </x:c>
      <x:c r="AF1817" s="8" t="n">
        <x:f>MAX(0,AE1817-AE1816)</x:f>
        <x:v>0</x:v>
      </x:c>
      <x:c r="AG1817" s="9" t="str">
        <x:f>IF(AF1817&gt;0,B1817,"")</x:f>
      </x:c>
      <x:c r="AH1817" s="9" t="n">
        <x:f>IF(F1817&gt;=1,1,(1+v01_LowTiesShare*(AE1817-1))/AE1817)</x:f>
        <x:v>1</x:v>
      </x:c>
      <x:c r="AI1817" s="32" t="n">
        <x:f>(Z1817+v01_ElderCommons*INDEX(LM_Elder,G1817)*AA1817)*AH1817</x:f>
        <x:v>64139.732591141874</x:v>
      </x:c>
      <x:c r="AJ1817" s="32" t="n">
        <x:f>H1817*v01_CommonsCoef*AI1817^v01_CommonsExp*INDEX(LM_Commons,G1817)</x:f>
        <x:v>0</x:v>
      </x:c>
      <x:c r="AK1817" s="32" t="n">
        <x:f>H1817*v01_RoleScale*Arch_Roles*(AE1817*(INDEX(v01_ElderRolePerSett,G1817)*v01_OutElder*INDEX(LM_Elder,G1817)+INDEX(v01_ShamanPerSett,G1817)*v01_OutShaman)+Z1817*(INDEX(v01_PriestShare,G1817)*v01_OutPriest+INDEX(v01_ScribeShare,G1817)*v01_OutScribe*INDEX(LM_Scribe,G1817)+INDEX(v01_ScholarShare,G1817)*v01_OutScholar*INDEX(LM_Scholar,G1817)+INDEX(v01_ResearcherShare,G1817)*v01_OutResearcher*INDEX(LM_Researcher,G1817)))</x:f>
        <x:v>0</x:v>
      </x:c>
      <x:c r="AL1817" s="32" t="n">
        <x:f>H1817*v01_RoleScale*Arch_Roles*AE1817*INDEX(v01_MonasteryPerSett,G1817)*v01_OutMonastery*INDEX(LM_Monastery,G1817)</x:f>
        <x:v>0</x:v>
      </x:c>
      <x:c r="AM1817" s="32" t="n">
        <x:f>(AJ1817+AK1817+AL1817)/4*INDEX(LM_All,G1817)*INDEX(v01_Boon,G1817)*Arch_Insight</x:f>
        <x:v>0</x:v>
      </x:c>
      <x:c r="AN1817" s="32" t="n">
        <x:f>H1817*(v01_KHPerAdult*Z1817+v01_KHOfCommons*AJ1817/4*INDEX(LM_All,G1817))*v01_KHUsable*Arch_KH</x:f>
        <x:v>0</x:v>
      </x:c>
      <x:c r="AO1817" s="32" t="n">
        <x:f>MIN(AP1816+AN1817,AM1817*v01_KHMaxRatio)</x:f>
        <x:v>0</x:v>
      </x:c>
      <x:c r="AP1817" s="32" t="n">
        <x:f>AP1816+AN1817-AO1817</x:f>
        <x:v>0</x:v>
      </x:c>
      <x:c r="AQ1817" s="32" t="n">
        <x:f>AM1817+AO1817</x:f>
        <x:v>0</x:v>
      </x:c>
      <x:c r="AR1817" s="10" t="n">
        <x:f>IF(H1817=1,INDEX(v01_Req,G1817),0)</x:f>
        <x:v>0</x:v>
      </x:c>
      <x:c r="AS1817" s="32" t="n">
        <x:f>IF(H1817=1,IF(E1817=1,AS1816-AR1816,AS1816)+AQ1817,0)</x:f>
        <x:v>0</x:v>
      </x:c>
      <x:c r="AT1817" s="11" t="n">
        <x:f>IF(AR1817&gt;0,MIN(1,AS1817/AR1817),1)</x:f>
        <x:v>1</x:v>
      </x:c>
      <x:c r="AU1817" s="10" t="n">
        <x:f>AB1817/INDEX(v01_RepScale,G1817)</x:f>
        <x:v>90.09519605746344</x:v>
      </x:c>
      <x:c r="AV1817" s="32" t="n">
        <x:f>AM1817*60/v01_SeasonSeconds</x:f>
        <x:v>0</x:v>
      </x:c>
    </x:row>
    <x:row r="1818">
      <x:c r="A1818" s="8" t="n">
        <x:f>A1817+1</x:f>
        <x:v>1815</x:v>
      </x:c>
      <x:c r="B1818" s="9" t="n">
        <x:f>A1818*v01_SeasonSeconds/60</x:f>
        <x:v>453.75</x:v>
      </x:c>
      <x:c r="C1818" s="9" t="n">
        <x:f>A1818/4</x:f>
        <x:v>453.75</x:v>
      </x:c>
      <x:c r="D1818" s="8" t="n">
        <x:f>IF(MOD(A1818,4)=0,1,0)</x:f>
        <x:v>0</x:v>
      </x:c>
      <x:c r="E1818" s="8" t="n">
        <x:f>IF(AND(F1817&lt;=9,AS1817&gt;=AR1817),1,0)</x:f>
        <x:v>0</x:v>
      </x:c>
      <x:c r="F1818" s="8" t="n">
        <x:f>MIN(10,F1817+E1818)</x:f>
        <x:v>10</x:v>
      </x:c>
      <x:c r="G1818" s="8" t="n">
        <x:f>MIN(F1818,9)+1</x:f>
        <x:v>10</x:v>
      </x:c>
      <x:c r="H1818" s="8" t="n">
        <x:f>IF(F1818&lt;=9,1,0)</x:f>
        <x:v>0</x:v>
      </x:c>
      <x:c r="I1818" s="9" t="n">
        <x:f>MIN(10,F1817+IF(AR1817&gt;0,MIN(1,AS1817/AR1817),1))</x:f>
        <x:v>10</x:v>
      </x:c>
      <x:c r="J1818" s="32" t="n">
        <x:f>INDEX(v01_FoodCap,G1818)*Arch_FoodCap*EXP(v01_CapsByProject*SUMPRODUCT((Cap_Point&lt;=I1818)*(Cap_Kind="Food")*Cap_Ln))</x:f>
        <x:v>12000</x:v>
      </x:c>
      <x:c r="K1818" s="32" t="n">
        <x:f>J1818*MIN(1,v01_LeanBase*EXP(v01_CapsByProject*SUMPRODUCT((Cap_Point&lt;=I1818)*(Cap_Kind="Lean")*Cap_Ln)))</x:f>
        <x:v>12000</x:v>
      </x:c>
      <x:c r="L1818" s="10" t="n">
        <x:f>INDEX(v01_HousingCap,G1818)*EXP(v01_CapsByProject*SUMPRODUCT((Cap_Point&lt;=I1818)*(Cap_Kind="Housing")*Cap_Ln))</x:f>
        <x:v>20000</x:v>
      </x:c>
      <x:c r="M1818" s="10" t="n">
        <x:f>INDEX(v01_GroupCap,G1818)*v01_CohesionFactor*EXP(v01_CapsByProject*SUMPRODUCT((Cap_Point&lt;=I1818)*(Cap_Kind="Group")*Cap_Ln))</x:f>
        <x:v>1000000</x:v>
      </x:c>
      <x:c r="N1818" s="32" t="n">
        <x:f>MIN(J1818,L1818,M1818)</x:f>
        <x:v>12000</x:v>
      </x:c>
      <x:c r="O1818" s="10" t="n">
        <x:f>AE1817*N1818</x:f>
        <x:v>180000</x:v>
      </x:c>
      <x:c r="P1818" s="9" t="n">
        <x:f>MIN(1,(AB1817/(AE1817*IF(v01_GroupInCrowding=1,N1818,MIN(J1818,L1818))))^v01_CrowdingExp)</x:f>
        <x:v>0.00024569414295285325</x:v>
      </x:c>
      <x:c r="Q1818" s="9" t="n">
        <x:f>IF(D1818=1,INDEX(v01_WinterMult,G1818),1)</x:f>
        <x:v>1</x:v>
      </x:c>
      <x:c r="R1818" s="9" t="n">
        <x:f>H1818*Z1817*v01_WomenShare*v01_BaseFertility*INDEX(v01_FertMult,G1818)*Arch_Fertility*(1-P1818)</x:f>
        <x:v>0</x:v>
      </x:c>
      <x:c r="S1818" s="9" t="n">
        <x:f>H1818*Y1817*INDEX(v01_MortChild,G1818)/4*Q1818</x:f>
        <x:v>0</x:v>
      </x:c>
      <x:c r="T1818" s="9" t="n">
        <x:f>H1818*Z1817*INDEX(v01_MortAdult,G1818)*Arch_AdultMort/4*Q1818</x:f>
        <x:v>0</x:v>
      </x:c>
      <x:c r="U1818" s="9" t="n">
        <x:f>H1818*AA1817*INDEX(v01_MortElder,G1818)/4*Q1818</x:f>
        <x:v>0</x:v>
      </x:c>
      <x:c r="V1818" s="9" t="n">
        <x:f>H1818*MAX(0,AB1817-O1818)*v01_OvercapLoss</x:f>
        <x:v>0</x:v>
      </x:c>
      <x:c r="W1818" s="9" t="n">
        <x:f>H1818*Y1817/(v01_ChildYears*4)</x:f>
        <x:v>0</x:v>
      </x:c>
      <x:c r="X1818" s="9" t="n">
        <x:f>H1818*Z1817/(v01_AdultYears*4)</x:f>
        <x:v>0</x:v>
      </x:c>
      <x:c r="Y1818" s="32" t="n">
        <x:f>Y1817+R1818-S1818-W1818-Y1817*V1818/AB1817</x:f>
        <x:v>14306.18539759397</x:v>
      </x:c>
      <x:c r="Z1818" s="32" t="n">
        <x:f>Z1817+W1818-X1818-T1818-Z1817*V1818/AB1817</x:f>
        <x:v>19354.456567879548</x:v>
      </x:c>
      <x:c r="AA1818" s="32" t="n">
        <x:f>AA1817+X1818-U1818-AA1817*V1818/AB1817</x:f>
        <x:v>11386.956063258198</x:v>
      </x:c>
      <x:c r="AB1818" s="10" t="n">
        <x:f>Y1818+Z1818+AA1818</x:f>
        <x:v>45047.59802873172</x:v>
      </x:c>
      <x:c r="AC1818" s="8" t="n">
        <x:f>IF(AND(v01_WinterTrigger=1,D1818=1,AB1817/AE1817&gt;=K1818),1,0)</x:f>
        <x:v>0</x:v>
      </x:c>
      <x:c r="AD1818" s="8" t="n">
        <x:f>H1818*IF(AND(OR(AB1817/AE1817&gt;=v01_FissionTrigger*N1818,AC1818=1),AB1817/AE1817*v01_DaughterShare&gt;=v01_MinDaughter),MAX(1,ROUND(AE1817*v01_FissionRate,0)),0)</x:f>
        <x:v>0</x:v>
      </x:c>
      <x:c r="AE1818" s="8" t="n">
        <x:f>IF(H1818=1,MAX(1,MIN(INDEX(v01_Smax,G1818),AE1817+AD1818)),AE1817)</x:f>
        <x:v>15</x:v>
      </x:c>
      <x:c r="AF1818" s="8" t="n">
        <x:f>MAX(0,AE1818-AE1817)</x:f>
        <x:v>0</x:v>
      </x:c>
      <x:c r="AG1818" s="9" t="str">
        <x:f>IF(AF1818&gt;0,B1818,"")</x:f>
      </x:c>
      <x:c r="AH1818" s="9" t="n">
        <x:f>IF(F1818&gt;=1,1,(1+v01_LowTiesShare*(AE1818-1))/AE1818)</x:f>
        <x:v>1</x:v>
      </x:c>
      <x:c r="AI1818" s="32" t="n">
        <x:f>(Z1818+v01_ElderCommons*INDEX(LM_Elder,G1818)*AA1818)*AH1818</x:f>
        <x:v>64139.732591141874</x:v>
      </x:c>
      <x:c r="AJ1818" s="32" t="n">
        <x:f>H1818*v01_CommonsCoef*AI1818^v01_CommonsExp*INDEX(LM_Commons,G1818)</x:f>
        <x:v>0</x:v>
      </x:c>
      <x:c r="AK1818" s="32" t="n">
        <x:f>H1818*v01_RoleScale*Arch_Roles*(AE1818*(INDEX(v01_ElderRolePerSett,G1818)*v01_OutElder*INDEX(LM_Elder,G1818)+INDEX(v01_ShamanPerSett,G1818)*v01_OutShaman)+Z1818*(INDEX(v01_PriestShare,G1818)*v01_OutPriest+INDEX(v01_ScribeShare,G1818)*v01_OutScribe*INDEX(LM_Scribe,G1818)+INDEX(v01_ScholarShare,G1818)*v01_OutScholar*INDEX(LM_Scholar,G1818)+INDEX(v01_ResearcherShare,G1818)*v01_OutResearcher*INDEX(LM_Researcher,G1818)))</x:f>
        <x:v>0</x:v>
      </x:c>
      <x:c r="AL1818" s="32" t="n">
        <x:f>H1818*v01_RoleScale*Arch_Roles*AE1818*INDEX(v01_MonasteryPerSett,G1818)*v01_OutMonastery*INDEX(LM_Monastery,G1818)</x:f>
        <x:v>0</x:v>
      </x:c>
      <x:c r="AM1818" s="32" t="n">
        <x:f>(AJ1818+AK1818+AL1818)/4*INDEX(LM_All,G1818)*INDEX(v01_Boon,G1818)*Arch_Insight</x:f>
        <x:v>0</x:v>
      </x:c>
      <x:c r="AN1818" s="32" t="n">
        <x:f>H1818*(v01_KHPerAdult*Z1818+v01_KHOfCommons*AJ1818/4*INDEX(LM_All,G1818))*v01_KHUsable*Arch_KH</x:f>
        <x:v>0</x:v>
      </x:c>
      <x:c r="AO1818" s="32" t="n">
        <x:f>MIN(AP1817+AN1818,AM1818*v01_KHMaxRatio)</x:f>
        <x:v>0</x:v>
      </x:c>
      <x:c r="AP1818" s="32" t="n">
        <x:f>AP1817+AN1818-AO1818</x:f>
        <x:v>0</x:v>
      </x:c>
      <x:c r="AQ1818" s="32" t="n">
        <x:f>AM1818+AO1818</x:f>
        <x:v>0</x:v>
      </x:c>
      <x:c r="AR1818" s="10" t="n">
        <x:f>IF(H1818=1,INDEX(v01_Req,G1818),0)</x:f>
        <x:v>0</x:v>
      </x:c>
      <x:c r="AS1818" s="32" t="n">
        <x:f>IF(H1818=1,IF(E1818=1,AS1817-AR1817,AS1817)+AQ1818,0)</x:f>
        <x:v>0</x:v>
      </x:c>
      <x:c r="AT1818" s="11" t="n">
        <x:f>IF(AR1818&gt;0,MIN(1,AS1818/AR1818),1)</x:f>
        <x:v>1</x:v>
      </x:c>
      <x:c r="AU1818" s="10" t="n">
        <x:f>AB1818/INDEX(v01_RepScale,G1818)</x:f>
        <x:v>90.09519605746344</x:v>
      </x:c>
      <x:c r="AV1818" s="32" t="n">
        <x:f>AM1818*60/v01_SeasonSeconds</x:f>
        <x:v>0</x:v>
      </x:c>
    </x:row>
    <x:row r="1819">
      <x:c r="A1819" s="8" t="n">
        <x:f>A1818+1</x:f>
        <x:v>1816</x:v>
      </x:c>
      <x:c r="B1819" s="9" t="n">
        <x:f>A1819*v01_SeasonSeconds/60</x:f>
        <x:v>454</x:v>
      </x:c>
      <x:c r="C1819" s="9" t="n">
        <x:f>A1819/4</x:f>
        <x:v>454</x:v>
      </x:c>
      <x:c r="D1819" s="8" t="n">
        <x:f>IF(MOD(A1819,4)=0,1,0)</x:f>
        <x:v>1</x:v>
      </x:c>
      <x:c r="E1819" s="8" t="n">
        <x:f>IF(AND(F1818&lt;=9,AS1818&gt;=AR1818),1,0)</x:f>
        <x:v>0</x:v>
      </x:c>
      <x:c r="F1819" s="8" t="n">
        <x:f>MIN(10,F1818+E1819)</x:f>
        <x:v>10</x:v>
      </x:c>
      <x:c r="G1819" s="8" t="n">
        <x:f>MIN(F1819,9)+1</x:f>
        <x:v>10</x:v>
      </x:c>
      <x:c r="H1819" s="8" t="n">
        <x:f>IF(F1819&lt;=9,1,0)</x:f>
        <x:v>0</x:v>
      </x:c>
      <x:c r="I1819" s="9" t="n">
        <x:f>MIN(10,F1818+IF(AR1818&gt;0,MIN(1,AS1818/AR1818),1))</x:f>
        <x:v>10</x:v>
      </x:c>
      <x:c r="J1819" s="32" t="n">
        <x:f>INDEX(v01_FoodCap,G1819)*Arch_FoodCap*EXP(v01_CapsByProject*SUMPRODUCT((Cap_Point&lt;=I1819)*(Cap_Kind="Food")*Cap_Ln))</x:f>
        <x:v>12000</x:v>
      </x:c>
      <x:c r="K1819" s="32" t="n">
        <x:f>J1819*MIN(1,v01_LeanBase*EXP(v01_CapsByProject*SUMPRODUCT((Cap_Point&lt;=I1819)*(Cap_Kind="Lean")*Cap_Ln)))</x:f>
        <x:v>12000</x:v>
      </x:c>
      <x:c r="L1819" s="10" t="n">
        <x:f>INDEX(v01_HousingCap,G1819)*EXP(v01_CapsByProject*SUMPRODUCT((Cap_Point&lt;=I1819)*(Cap_Kind="Housing")*Cap_Ln))</x:f>
        <x:v>20000</x:v>
      </x:c>
      <x:c r="M1819" s="10" t="n">
        <x:f>INDEX(v01_GroupCap,G1819)*v01_CohesionFactor*EXP(v01_CapsByProject*SUMPRODUCT((Cap_Point&lt;=I1819)*(Cap_Kind="Group")*Cap_Ln))</x:f>
        <x:v>1000000</x:v>
      </x:c>
      <x:c r="N1819" s="32" t="n">
        <x:f>MIN(J1819,L1819,M1819)</x:f>
        <x:v>12000</x:v>
      </x:c>
      <x:c r="O1819" s="10" t="n">
        <x:f>AE1818*N1819</x:f>
        <x:v>180000</x:v>
      </x:c>
      <x:c r="P1819" s="9" t="n">
        <x:f>MIN(1,(AB1818/(AE1818*IF(v01_GroupInCrowding=1,N1819,MIN(J1819,L1819))))^v01_CrowdingExp)</x:f>
        <x:v>0.00024569414295285325</x:v>
      </x:c>
      <x:c r="Q1819" s="9" t="n">
        <x:f>IF(D1819=1,INDEX(v01_WinterMult,G1819),1)</x:f>
        <x:v>1</x:v>
      </x:c>
      <x:c r="R1819" s="9" t="n">
        <x:f>H1819*Z1818*v01_WomenShare*v01_BaseFertility*INDEX(v01_FertMult,G1819)*Arch_Fertility*(1-P1819)</x:f>
        <x:v>0</x:v>
      </x:c>
      <x:c r="S1819" s="9" t="n">
        <x:f>H1819*Y1818*INDEX(v01_MortChild,G1819)/4*Q1819</x:f>
        <x:v>0</x:v>
      </x:c>
      <x:c r="T1819" s="9" t="n">
        <x:f>H1819*Z1818*INDEX(v01_MortAdult,G1819)*Arch_AdultMort/4*Q1819</x:f>
        <x:v>0</x:v>
      </x:c>
      <x:c r="U1819" s="9" t="n">
        <x:f>H1819*AA1818*INDEX(v01_MortElder,G1819)/4*Q1819</x:f>
        <x:v>0</x:v>
      </x:c>
      <x:c r="V1819" s="9" t="n">
        <x:f>H1819*MAX(0,AB1818-O1819)*v01_OvercapLoss</x:f>
        <x:v>0</x:v>
      </x:c>
      <x:c r="W1819" s="9" t="n">
        <x:f>H1819*Y1818/(v01_ChildYears*4)</x:f>
        <x:v>0</x:v>
      </x:c>
      <x:c r="X1819" s="9" t="n">
        <x:f>H1819*Z1818/(v01_AdultYears*4)</x:f>
        <x:v>0</x:v>
      </x:c>
      <x:c r="Y1819" s="32" t="n">
        <x:f>Y1818+R1819-S1819-W1819-Y1818*V1819/AB1818</x:f>
        <x:v>14306.18539759397</x:v>
      </x:c>
      <x:c r="Z1819" s="32" t="n">
        <x:f>Z1818+W1819-X1819-T1819-Z1818*V1819/AB1818</x:f>
        <x:v>19354.456567879548</x:v>
      </x:c>
      <x:c r="AA1819" s="32" t="n">
        <x:f>AA1818+X1819-U1819-AA1818*V1819/AB1818</x:f>
        <x:v>11386.956063258198</x:v>
      </x:c>
      <x:c r="AB1819" s="10" t="n">
        <x:f>Y1819+Z1819+AA1819</x:f>
        <x:v>45047.59802873172</x:v>
      </x:c>
      <x:c r="AC1819" s="8" t="n">
        <x:f>IF(AND(v01_WinterTrigger=1,D1819=1,AB1818/AE1818&gt;=K1819),1,0)</x:f>
        <x:v>0</x:v>
      </x:c>
      <x:c r="AD1819" s="8" t="n">
        <x:f>H1819*IF(AND(OR(AB1818/AE1818&gt;=v01_FissionTrigger*N1819,AC1819=1),AB1818/AE1818*v01_DaughterShare&gt;=v01_MinDaughter),MAX(1,ROUND(AE1818*v01_FissionRate,0)),0)</x:f>
        <x:v>0</x:v>
      </x:c>
      <x:c r="AE1819" s="8" t="n">
        <x:f>IF(H1819=1,MAX(1,MIN(INDEX(v01_Smax,G1819),AE1818+AD1819)),AE1818)</x:f>
        <x:v>15</x:v>
      </x:c>
      <x:c r="AF1819" s="8" t="n">
        <x:f>MAX(0,AE1819-AE1818)</x:f>
        <x:v>0</x:v>
      </x:c>
      <x:c r="AG1819" s="9" t="str">
        <x:f>IF(AF1819&gt;0,B1819,"")</x:f>
      </x:c>
      <x:c r="AH1819" s="9" t="n">
        <x:f>IF(F1819&gt;=1,1,(1+v01_LowTiesShare*(AE1819-1))/AE1819)</x:f>
        <x:v>1</x:v>
      </x:c>
      <x:c r="AI1819" s="32" t="n">
        <x:f>(Z1819+v01_ElderCommons*INDEX(LM_Elder,G1819)*AA1819)*AH1819</x:f>
        <x:v>64139.732591141874</x:v>
      </x:c>
      <x:c r="AJ1819" s="32" t="n">
        <x:f>H1819*v01_CommonsCoef*AI1819^v01_CommonsExp*INDEX(LM_Commons,G1819)</x:f>
        <x:v>0</x:v>
      </x:c>
      <x:c r="AK1819" s="32" t="n">
        <x:f>H1819*v01_RoleScale*Arch_Roles*(AE1819*(INDEX(v01_ElderRolePerSett,G1819)*v01_OutElder*INDEX(LM_Elder,G1819)+INDEX(v01_ShamanPerSett,G1819)*v01_OutShaman)+Z1819*(INDEX(v01_PriestShare,G1819)*v01_OutPriest+INDEX(v01_ScribeShare,G1819)*v01_OutScribe*INDEX(LM_Scribe,G1819)+INDEX(v01_ScholarShare,G1819)*v01_OutScholar*INDEX(LM_Scholar,G1819)+INDEX(v01_ResearcherShare,G1819)*v01_OutResearcher*INDEX(LM_Researcher,G1819)))</x:f>
        <x:v>0</x:v>
      </x:c>
      <x:c r="AL1819" s="32" t="n">
        <x:f>H1819*v01_RoleScale*Arch_Roles*AE1819*INDEX(v01_MonasteryPerSett,G1819)*v01_OutMonastery*INDEX(LM_Monastery,G1819)</x:f>
        <x:v>0</x:v>
      </x:c>
      <x:c r="AM1819" s="32" t="n">
        <x:f>(AJ1819+AK1819+AL1819)/4*INDEX(LM_All,G1819)*INDEX(v01_Boon,G1819)*Arch_Insight</x:f>
        <x:v>0</x:v>
      </x:c>
      <x:c r="AN1819" s="32" t="n">
        <x:f>H1819*(v01_KHPerAdult*Z1819+v01_KHOfCommons*AJ1819/4*INDEX(LM_All,G1819))*v01_KHUsable*Arch_KH</x:f>
        <x:v>0</x:v>
      </x:c>
      <x:c r="AO1819" s="32" t="n">
        <x:f>MIN(AP1818+AN1819,AM1819*v01_KHMaxRatio)</x:f>
        <x:v>0</x:v>
      </x:c>
      <x:c r="AP1819" s="32" t="n">
        <x:f>AP1818+AN1819-AO1819</x:f>
        <x:v>0</x:v>
      </x:c>
      <x:c r="AQ1819" s="32" t="n">
        <x:f>AM1819+AO1819</x:f>
        <x:v>0</x:v>
      </x:c>
      <x:c r="AR1819" s="10" t="n">
        <x:f>IF(H1819=1,INDEX(v01_Req,G1819),0)</x:f>
        <x:v>0</x:v>
      </x:c>
      <x:c r="AS1819" s="32" t="n">
        <x:f>IF(H1819=1,IF(E1819=1,AS1818-AR1818,AS1818)+AQ1819,0)</x:f>
        <x:v>0</x:v>
      </x:c>
      <x:c r="AT1819" s="11" t="n">
        <x:f>IF(AR1819&gt;0,MIN(1,AS1819/AR1819),1)</x:f>
        <x:v>1</x:v>
      </x:c>
      <x:c r="AU1819" s="10" t="n">
        <x:f>AB1819/INDEX(v01_RepScale,G1819)</x:f>
        <x:v>90.09519605746344</x:v>
      </x:c>
      <x:c r="AV1819" s="32" t="n">
        <x:f>AM1819*60/v01_SeasonSeconds</x:f>
        <x:v>0</x:v>
      </x:c>
    </x:row>
    <x:row r="1820">
      <x:c r="A1820" s="8" t="n">
        <x:f>A1819+1</x:f>
        <x:v>1817</x:v>
      </x:c>
      <x:c r="B1820" s="9" t="n">
        <x:f>A1820*v01_SeasonSeconds/60</x:f>
        <x:v>454.25</x:v>
      </x:c>
      <x:c r="C1820" s="9" t="n">
        <x:f>A1820/4</x:f>
        <x:v>454.25</x:v>
      </x:c>
      <x:c r="D1820" s="8" t="n">
        <x:f>IF(MOD(A1820,4)=0,1,0)</x:f>
        <x:v>0</x:v>
      </x:c>
      <x:c r="E1820" s="8" t="n">
        <x:f>IF(AND(F1819&lt;=9,AS1819&gt;=AR1819),1,0)</x:f>
        <x:v>0</x:v>
      </x:c>
      <x:c r="F1820" s="8" t="n">
        <x:f>MIN(10,F1819+E1820)</x:f>
        <x:v>10</x:v>
      </x:c>
      <x:c r="G1820" s="8" t="n">
        <x:f>MIN(F1820,9)+1</x:f>
        <x:v>10</x:v>
      </x:c>
      <x:c r="H1820" s="8" t="n">
        <x:f>IF(F1820&lt;=9,1,0)</x:f>
        <x:v>0</x:v>
      </x:c>
      <x:c r="I1820" s="9" t="n">
        <x:f>MIN(10,F1819+IF(AR1819&gt;0,MIN(1,AS1819/AR1819),1))</x:f>
        <x:v>10</x:v>
      </x:c>
      <x:c r="J1820" s="32" t="n">
        <x:f>INDEX(v01_FoodCap,G1820)*Arch_FoodCap*EXP(v01_CapsByProject*SUMPRODUCT((Cap_Point&lt;=I1820)*(Cap_Kind="Food")*Cap_Ln))</x:f>
        <x:v>12000</x:v>
      </x:c>
      <x:c r="K1820" s="32" t="n">
        <x:f>J1820*MIN(1,v01_LeanBase*EXP(v01_CapsByProject*SUMPRODUCT((Cap_Point&lt;=I1820)*(Cap_Kind="Lean")*Cap_Ln)))</x:f>
        <x:v>12000</x:v>
      </x:c>
      <x:c r="L1820" s="10" t="n">
        <x:f>INDEX(v01_HousingCap,G1820)*EXP(v01_CapsByProject*SUMPRODUCT((Cap_Point&lt;=I1820)*(Cap_Kind="Housing")*Cap_Ln))</x:f>
        <x:v>20000</x:v>
      </x:c>
      <x:c r="M1820" s="10" t="n">
        <x:f>INDEX(v01_GroupCap,G1820)*v01_CohesionFactor*EXP(v01_CapsByProject*SUMPRODUCT((Cap_Point&lt;=I1820)*(Cap_Kind="Group")*Cap_Ln))</x:f>
        <x:v>1000000</x:v>
      </x:c>
      <x:c r="N1820" s="32" t="n">
        <x:f>MIN(J1820,L1820,M1820)</x:f>
        <x:v>12000</x:v>
      </x:c>
      <x:c r="O1820" s="10" t="n">
        <x:f>AE1819*N1820</x:f>
        <x:v>180000</x:v>
      </x:c>
      <x:c r="P1820" s="9" t="n">
        <x:f>MIN(1,(AB1819/(AE1819*IF(v01_GroupInCrowding=1,N1820,MIN(J1820,L1820))))^v01_CrowdingExp)</x:f>
        <x:v>0.00024569414295285325</x:v>
      </x:c>
      <x:c r="Q1820" s="9" t="n">
        <x:f>IF(D1820=1,INDEX(v01_WinterMult,G1820),1)</x:f>
        <x:v>1</x:v>
      </x:c>
      <x:c r="R1820" s="9" t="n">
        <x:f>H1820*Z1819*v01_WomenShare*v01_BaseFertility*INDEX(v01_FertMult,G1820)*Arch_Fertility*(1-P1820)</x:f>
        <x:v>0</x:v>
      </x:c>
      <x:c r="S1820" s="9" t="n">
        <x:f>H1820*Y1819*INDEX(v01_MortChild,G1820)/4*Q1820</x:f>
        <x:v>0</x:v>
      </x:c>
      <x:c r="T1820" s="9" t="n">
        <x:f>H1820*Z1819*INDEX(v01_MortAdult,G1820)*Arch_AdultMort/4*Q1820</x:f>
        <x:v>0</x:v>
      </x:c>
      <x:c r="U1820" s="9" t="n">
        <x:f>H1820*AA1819*INDEX(v01_MortElder,G1820)/4*Q1820</x:f>
        <x:v>0</x:v>
      </x:c>
      <x:c r="V1820" s="9" t="n">
        <x:f>H1820*MAX(0,AB1819-O1820)*v01_OvercapLoss</x:f>
        <x:v>0</x:v>
      </x:c>
      <x:c r="W1820" s="9" t="n">
        <x:f>H1820*Y1819/(v01_ChildYears*4)</x:f>
        <x:v>0</x:v>
      </x:c>
      <x:c r="X1820" s="9" t="n">
        <x:f>H1820*Z1819/(v01_AdultYears*4)</x:f>
        <x:v>0</x:v>
      </x:c>
      <x:c r="Y1820" s="32" t="n">
        <x:f>Y1819+R1820-S1820-W1820-Y1819*V1820/AB1819</x:f>
        <x:v>14306.18539759397</x:v>
      </x:c>
      <x:c r="Z1820" s="32" t="n">
        <x:f>Z1819+W1820-X1820-T1820-Z1819*V1820/AB1819</x:f>
        <x:v>19354.456567879548</x:v>
      </x:c>
      <x:c r="AA1820" s="32" t="n">
        <x:f>AA1819+X1820-U1820-AA1819*V1820/AB1819</x:f>
        <x:v>11386.956063258198</x:v>
      </x:c>
      <x:c r="AB1820" s="10" t="n">
        <x:f>Y1820+Z1820+AA1820</x:f>
        <x:v>45047.59802873172</x:v>
      </x:c>
      <x:c r="AC1820" s="8" t="n">
        <x:f>IF(AND(v01_WinterTrigger=1,D1820=1,AB1819/AE1819&gt;=K1820),1,0)</x:f>
        <x:v>0</x:v>
      </x:c>
      <x:c r="AD1820" s="8" t="n">
        <x:f>H1820*IF(AND(OR(AB1819/AE1819&gt;=v01_FissionTrigger*N1820,AC1820=1),AB1819/AE1819*v01_DaughterShare&gt;=v01_MinDaughter),MAX(1,ROUND(AE1819*v01_FissionRate,0)),0)</x:f>
        <x:v>0</x:v>
      </x:c>
      <x:c r="AE1820" s="8" t="n">
        <x:f>IF(H1820=1,MAX(1,MIN(INDEX(v01_Smax,G1820),AE1819+AD1820)),AE1819)</x:f>
        <x:v>15</x:v>
      </x:c>
      <x:c r="AF1820" s="8" t="n">
        <x:f>MAX(0,AE1820-AE1819)</x:f>
        <x:v>0</x:v>
      </x:c>
      <x:c r="AG1820" s="9" t="str">
        <x:f>IF(AF1820&gt;0,B1820,"")</x:f>
      </x:c>
      <x:c r="AH1820" s="9" t="n">
        <x:f>IF(F1820&gt;=1,1,(1+v01_LowTiesShare*(AE1820-1))/AE1820)</x:f>
        <x:v>1</x:v>
      </x:c>
      <x:c r="AI1820" s="32" t="n">
        <x:f>(Z1820+v01_ElderCommons*INDEX(LM_Elder,G1820)*AA1820)*AH1820</x:f>
        <x:v>64139.732591141874</x:v>
      </x:c>
      <x:c r="AJ1820" s="32" t="n">
        <x:f>H1820*v01_CommonsCoef*AI1820^v01_CommonsExp*INDEX(LM_Commons,G1820)</x:f>
        <x:v>0</x:v>
      </x:c>
      <x:c r="AK1820" s="32" t="n">
        <x:f>H1820*v01_RoleScale*Arch_Roles*(AE1820*(INDEX(v01_ElderRolePerSett,G1820)*v01_OutElder*INDEX(LM_Elder,G1820)+INDEX(v01_ShamanPerSett,G1820)*v01_OutShaman)+Z1820*(INDEX(v01_PriestShare,G1820)*v01_OutPriest+INDEX(v01_ScribeShare,G1820)*v01_OutScribe*INDEX(LM_Scribe,G1820)+INDEX(v01_ScholarShare,G1820)*v01_OutScholar*INDEX(LM_Scholar,G1820)+INDEX(v01_ResearcherShare,G1820)*v01_OutResearcher*INDEX(LM_Researcher,G1820)))</x:f>
        <x:v>0</x:v>
      </x:c>
      <x:c r="AL1820" s="32" t="n">
        <x:f>H1820*v01_RoleScale*Arch_Roles*AE1820*INDEX(v01_MonasteryPerSett,G1820)*v01_OutMonastery*INDEX(LM_Monastery,G1820)</x:f>
        <x:v>0</x:v>
      </x:c>
      <x:c r="AM1820" s="32" t="n">
        <x:f>(AJ1820+AK1820+AL1820)/4*INDEX(LM_All,G1820)*INDEX(v01_Boon,G1820)*Arch_Insight</x:f>
        <x:v>0</x:v>
      </x:c>
      <x:c r="AN1820" s="32" t="n">
        <x:f>H1820*(v01_KHPerAdult*Z1820+v01_KHOfCommons*AJ1820/4*INDEX(LM_All,G1820))*v01_KHUsable*Arch_KH</x:f>
        <x:v>0</x:v>
      </x:c>
      <x:c r="AO1820" s="32" t="n">
        <x:f>MIN(AP1819+AN1820,AM1820*v01_KHMaxRatio)</x:f>
        <x:v>0</x:v>
      </x:c>
      <x:c r="AP1820" s="32" t="n">
        <x:f>AP1819+AN1820-AO1820</x:f>
        <x:v>0</x:v>
      </x:c>
      <x:c r="AQ1820" s="32" t="n">
        <x:f>AM1820+AO1820</x:f>
        <x:v>0</x:v>
      </x:c>
      <x:c r="AR1820" s="10" t="n">
        <x:f>IF(H1820=1,INDEX(v01_Req,G1820),0)</x:f>
        <x:v>0</x:v>
      </x:c>
      <x:c r="AS1820" s="32" t="n">
        <x:f>IF(H1820=1,IF(E1820=1,AS1819-AR1819,AS1819)+AQ1820,0)</x:f>
        <x:v>0</x:v>
      </x:c>
      <x:c r="AT1820" s="11" t="n">
        <x:f>IF(AR1820&gt;0,MIN(1,AS1820/AR1820),1)</x:f>
        <x:v>1</x:v>
      </x:c>
      <x:c r="AU1820" s="10" t="n">
        <x:f>AB1820/INDEX(v01_RepScale,G1820)</x:f>
        <x:v>90.09519605746344</x:v>
      </x:c>
      <x:c r="AV1820" s="32" t="n">
        <x:f>AM1820*60/v01_SeasonSeconds</x:f>
        <x:v>0</x:v>
      </x:c>
    </x:row>
    <x:row r="1821">
      <x:c r="A1821" s="8" t="n">
        <x:f>A1820+1</x:f>
        <x:v>1818</x:v>
      </x:c>
      <x:c r="B1821" s="9" t="n">
        <x:f>A1821*v01_SeasonSeconds/60</x:f>
        <x:v>454.5</x:v>
      </x:c>
      <x:c r="C1821" s="9" t="n">
        <x:f>A1821/4</x:f>
        <x:v>454.5</x:v>
      </x:c>
      <x:c r="D1821" s="8" t="n">
        <x:f>IF(MOD(A1821,4)=0,1,0)</x:f>
        <x:v>0</x:v>
      </x:c>
      <x:c r="E1821" s="8" t="n">
        <x:f>IF(AND(F1820&lt;=9,AS1820&gt;=AR1820),1,0)</x:f>
        <x:v>0</x:v>
      </x:c>
      <x:c r="F1821" s="8" t="n">
        <x:f>MIN(10,F1820+E1821)</x:f>
        <x:v>10</x:v>
      </x:c>
      <x:c r="G1821" s="8" t="n">
        <x:f>MIN(F1821,9)+1</x:f>
        <x:v>10</x:v>
      </x:c>
      <x:c r="H1821" s="8" t="n">
        <x:f>IF(F1821&lt;=9,1,0)</x:f>
        <x:v>0</x:v>
      </x:c>
      <x:c r="I1821" s="9" t="n">
        <x:f>MIN(10,F1820+IF(AR1820&gt;0,MIN(1,AS1820/AR1820),1))</x:f>
        <x:v>10</x:v>
      </x:c>
      <x:c r="J1821" s="32" t="n">
        <x:f>INDEX(v01_FoodCap,G1821)*Arch_FoodCap*EXP(v01_CapsByProject*SUMPRODUCT((Cap_Point&lt;=I1821)*(Cap_Kind="Food")*Cap_Ln))</x:f>
        <x:v>12000</x:v>
      </x:c>
      <x:c r="K1821" s="32" t="n">
        <x:f>J1821*MIN(1,v01_LeanBase*EXP(v01_CapsByProject*SUMPRODUCT((Cap_Point&lt;=I1821)*(Cap_Kind="Lean")*Cap_Ln)))</x:f>
        <x:v>12000</x:v>
      </x:c>
      <x:c r="L1821" s="10" t="n">
        <x:f>INDEX(v01_HousingCap,G1821)*EXP(v01_CapsByProject*SUMPRODUCT((Cap_Point&lt;=I1821)*(Cap_Kind="Housing")*Cap_Ln))</x:f>
        <x:v>20000</x:v>
      </x:c>
      <x:c r="M1821" s="10" t="n">
        <x:f>INDEX(v01_GroupCap,G1821)*v01_CohesionFactor*EXP(v01_CapsByProject*SUMPRODUCT((Cap_Point&lt;=I1821)*(Cap_Kind="Group")*Cap_Ln))</x:f>
        <x:v>1000000</x:v>
      </x:c>
      <x:c r="N1821" s="32" t="n">
        <x:f>MIN(J1821,L1821,M1821)</x:f>
        <x:v>12000</x:v>
      </x:c>
      <x:c r="O1821" s="10" t="n">
        <x:f>AE1820*N1821</x:f>
        <x:v>180000</x:v>
      </x:c>
      <x:c r="P1821" s="9" t="n">
        <x:f>MIN(1,(AB1820/(AE1820*IF(v01_GroupInCrowding=1,N1821,MIN(J1821,L1821))))^v01_CrowdingExp)</x:f>
        <x:v>0.00024569414295285325</x:v>
      </x:c>
      <x:c r="Q1821" s="9" t="n">
        <x:f>IF(D1821=1,INDEX(v01_WinterMult,G1821),1)</x:f>
        <x:v>1</x:v>
      </x:c>
      <x:c r="R1821" s="9" t="n">
        <x:f>H1821*Z1820*v01_WomenShare*v01_BaseFertility*INDEX(v01_FertMult,G1821)*Arch_Fertility*(1-P1821)</x:f>
        <x:v>0</x:v>
      </x:c>
      <x:c r="S1821" s="9" t="n">
        <x:f>H1821*Y1820*INDEX(v01_MortChild,G1821)/4*Q1821</x:f>
        <x:v>0</x:v>
      </x:c>
      <x:c r="T1821" s="9" t="n">
        <x:f>H1821*Z1820*INDEX(v01_MortAdult,G1821)*Arch_AdultMort/4*Q1821</x:f>
        <x:v>0</x:v>
      </x:c>
      <x:c r="U1821" s="9" t="n">
        <x:f>H1821*AA1820*INDEX(v01_MortElder,G1821)/4*Q1821</x:f>
        <x:v>0</x:v>
      </x:c>
      <x:c r="V1821" s="9" t="n">
        <x:f>H1821*MAX(0,AB1820-O1821)*v01_OvercapLoss</x:f>
        <x:v>0</x:v>
      </x:c>
      <x:c r="W1821" s="9" t="n">
        <x:f>H1821*Y1820/(v01_ChildYears*4)</x:f>
        <x:v>0</x:v>
      </x:c>
      <x:c r="X1821" s="9" t="n">
        <x:f>H1821*Z1820/(v01_AdultYears*4)</x:f>
        <x:v>0</x:v>
      </x:c>
      <x:c r="Y1821" s="32" t="n">
        <x:f>Y1820+R1821-S1821-W1821-Y1820*V1821/AB1820</x:f>
        <x:v>14306.18539759397</x:v>
      </x:c>
      <x:c r="Z1821" s="32" t="n">
        <x:f>Z1820+W1821-X1821-T1821-Z1820*V1821/AB1820</x:f>
        <x:v>19354.456567879548</x:v>
      </x:c>
      <x:c r="AA1821" s="32" t="n">
        <x:f>AA1820+X1821-U1821-AA1820*V1821/AB1820</x:f>
        <x:v>11386.956063258198</x:v>
      </x:c>
      <x:c r="AB1821" s="10" t="n">
        <x:f>Y1821+Z1821+AA1821</x:f>
        <x:v>45047.59802873172</x:v>
      </x:c>
      <x:c r="AC1821" s="8" t="n">
        <x:f>IF(AND(v01_WinterTrigger=1,D1821=1,AB1820/AE1820&gt;=K1821),1,0)</x:f>
        <x:v>0</x:v>
      </x:c>
      <x:c r="AD1821" s="8" t="n">
        <x:f>H1821*IF(AND(OR(AB1820/AE1820&gt;=v01_FissionTrigger*N1821,AC1821=1),AB1820/AE1820*v01_DaughterShare&gt;=v01_MinDaughter),MAX(1,ROUND(AE1820*v01_FissionRate,0)),0)</x:f>
        <x:v>0</x:v>
      </x:c>
      <x:c r="AE1821" s="8" t="n">
        <x:f>IF(H1821=1,MAX(1,MIN(INDEX(v01_Smax,G1821),AE1820+AD1821)),AE1820)</x:f>
        <x:v>15</x:v>
      </x:c>
      <x:c r="AF1821" s="8" t="n">
        <x:f>MAX(0,AE1821-AE1820)</x:f>
        <x:v>0</x:v>
      </x:c>
      <x:c r="AG1821" s="9" t="str">
        <x:f>IF(AF1821&gt;0,B1821,"")</x:f>
      </x:c>
      <x:c r="AH1821" s="9" t="n">
        <x:f>IF(F1821&gt;=1,1,(1+v01_LowTiesShare*(AE1821-1))/AE1821)</x:f>
        <x:v>1</x:v>
      </x:c>
      <x:c r="AI1821" s="32" t="n">
        <x:f>(Z1821+v01_ElderCommons*INDEX(LM_Elder,G1821)*AA1821)*AH1821</x:f>
        <x:v>64139.732591141874</x:v>
      </x:c>
      <x:c r="AJ1821" s="32" t="n">
        <x:f>H1821*v01_CommonsCoef*AI1821^v01_CommonsExp*INDEX(LM_Commons,G1821)</x:f>
        <x:v>0</x:v>
      </x:c>
      <x:c r="AK1821" s="32" t="n">
        <x:f>H1821*v01_RoleScale*Arch_Roles*(AE1821*(INDEX(v01_ElderRolePerSett,G1821)*v01_OutElder*INDEX(LM_Elder,G1821)+INDEX(v01_ShamanPerSett,G1821)*v01_OutShaman)+Z1821*(INDEX(v01_PriestShare,G1821)*v01_OutPriest+INDEX(v01_ScribeShare,G1821)*v01_OutScribe*INDEX(LM_Scribe,G1821)+INDEX(v01_ScholarShare,G1821)*v01_OutScholar*INDEX(LM_Scholar,G1821)+INDEX(v01_ResearcherShare,G1821)*v01_OutResearcher*INDEX(LM_Researcher,G1821)))</x:f>
        <x:v>0</x:v>
      </x:c>
      <x:c r="AL1821" s="32" t="n">
        <x:f>H1821*v01_RoleScale*Arch_Roles*AE1821*INDEX(v01_MonasteryPerSett,G1821)*v01_OutMonastery*INDEX(LM_Monastery,G1821)</x:f>
        <x:v>0</x:v>
      </x:c>
      <x:c r="AM1821" s="32" t="n">
        <x:f>(AJ1821+AK1821+AL1821)/4*INDEX(LM_All,G1821)*INDEX(v01_Boon,G1821)*Arch_Insight</x:f>
        <x:v>0</x:v>
      </x:c>
      <x:c r="AN1821" s="32" t="n">
        <x:f>H1821*(v01_KHPerAdult*Z1821+v01_KHOfCommons*AJ1821/4*INDEX(LM_All,G1821))*v01_KHUsable*Arch_KH</x:f>
        <x:v>0</x:v>
      </x:c>
      <x:c r="AO1821" s="32" t="n">
        <x:f>MIN(AP1820+AN1821,AM1821*v01_KHMaxRatio)</x:f>
        <x:v>0</x:v>
      </x:c>
      <x:c r="AP1821" s="32" t="n">
        <x:f>AP1820+AN1821-AO1821</x:f>
        <x:v>0</x:v>
      </x:c>
      <x:c r="AQ1821" s="32" t="n">
        <x:f>AM1821+AO1821</x:f>
        <x:v>0</x:v>
      </x:c>
      <x:c r="AR1821" s="10" t="n">
        <x:f>IF(H1821=1,INDEX(v01_Req,G1821),0)</x:f>
        <x:v>0</x:v>
      </x:c>
      <x:c r="AS1821" s="32" t="n">
        <x:f>IF(H1821=1,IF(E1821=1,AS1820-AR1820,AS1820)+AQ1821,0)</x:f>
        <x:v>0</x:v>
      </x:c>
      <x:c r="AT1821" s="11" t="n">
        <x:f>IF(AR1821&gt;0,MIN(1,AS1821/AR1821),1)</x:f>
        <x:v>1</x:v>
      </x:c>
      <x:c r="AU1821" s="10" t="n">
        <x:f>AB1821/INDEX(v01_RepScale,G1821)</x:f>
        <x:v>90.09519605746344</x:v>
      </x:c>
      <x:c r="AV1821" s="32" t="n">
        <x:f>AM1821*60/v01_SeasonSeconds</x:f>
        <x:v>0</x:v>
      </x:c>
    </x:row>
    <x:row r="1822">
      <x:c r="A1822" s="8" t="n">
        <x:f>A1821+1</x:f>
        <x:v>1819</x:v>
      </x:c>
      <x:c r="B1822" s="9" t="n">
        <x:f>A1822*v01_SeasonSeconds/60</x:f>
        <x:v>454.75</x:v>
      </x:c>
      <x:c r="C1822" s="9" t="n">
        <x:f>A1822/4</x:f>
        <x:v>454.75</x:v>
      </x:c>
      <x:c r="D1822" s="8" t="n">
        <x:f>IF(MOD(A1822,4)=0,1,0)</x:f>
        <x:v>0</x:v>
      </x:c>
      <x:c r="E1822" s="8" t="n">
        <x:f>IF(AND(F1821&lt;=9,AS1821&gt;=AR1821),1,0)</x:f>
        <x:v>0</x:v>
      </x:c>
      <x:c r="F1822" s="8" t="n">
        <x:f>MIN(10,F1821+E1822)</x:f>
        <x:v>10</x:v>
      </x:c>
      <x:c r="G1822" s="8" t="n">
        <x:f>MIN(F1822,9)+1</x:f>
        <x:v>10</x:v>
      </x:c>
      <x:c r="H1822" s="8" t="n">
        <x:f>IF(F1822&lt;=9,1,0)</x:f>
        <x:v>0</x:v>
      </x:c>
      <x:c r="I1822" s="9" t="n">
        <x:f>MIN(10,F1821+IF(AR1821&gt;0,MIN(1,AS1821/AR1821),1))</x:f>
        <x:v>10</x:v>
      </x:c>
      <x:c r="J1822" s="32" t="n">
        <x:f>INDEX(v01_FoodCap,G1822)*Arch_FoodCap*EXP(v01_CapsByProject*SUMPRODUCT((Cap_Point&lt;=I1822)*(Cap_Kind="Food")*Cap_Ln))</x:f>
        <x:v>12000</x:v>
      </x:c>
      <x:c r="K1822" s="32" t="n">
        <x:f>J1822*MIN(1,v01_LeanBase*EXP(v01_CapsByProject*SUMPRODUCT((Cap_Point&lt;=I1822)*(Cap_Kind="Lean")*Cap_Ln)))</x:f>
        <x:v>12000</x:v>
      </x:c>
      <x:c r="L1822" s="10" t="n">
        <x:f>INDEX(v01_HousingCap,G1822)*EXP(v01_CapsByProject*SUMPRODUCT((Cap_Point&lt;=I1822)*(Cap_Kind="Housing")*Cap_Ln))</x:f>
        <x:v>20000</x:v>
      </x:c>
      <x:c r="M1822" s="10" t="n">
        <x:f>INDEX(v01_GroupCap,G1822)*v01_CohesionFactor*EXP(v01_CapsByProject*SUMPRODUCT((Cap_Point&lt;=I1822)*(Cap_Kind="Group")*Cap_Ln))</x:f>
        <x:v>1000000</x:v>
      </x:c>
      <x:c r="N1822" s="32" t="n">
        <x:f>MIN(J1822,L1822,M1822)</x:f>
        <x:v>12000</x:v>
      </x:c>
      <x:c r="O1822" s="10" t="n">
        <x:f>AE1821*N1822</x:f>
        <x:v>180000</x:v>
      </x:c>
      <x:c r="P1822" s="9" t="n">
        <x:f>MIN(1,(AB1821/(AE1821*IF(v01_GroupInCrowding=1,N1822,MIN(J1822,L1822))))^v01_CrowdingExp)</x:f>
        <x:v>0.00024569414295285325</x:v>
      </x:c>
      <x:c r="Q1822" s="9" t="n">
        <x:f>IF(D1822=1,INDEX(v01_WinterMult,G1822),1)</x:f>
        <x:v>1</x:v>
      </x:c>
      <x:c r="R1822" s="9" t="n">
        <x:f>H1822*Z1821*v01_WomenShare*v01_BaseFertility*INDEX(v01_FertMult,G1822)*Arch_Fertility*(1-P1822)</x:f>
        <x:v>0</x:v>
      </x:c>
      <x:c r="S1822" s="9" t="n">
        <x:f>H1822*Y1821*INDEX(v01_MortChild,G1822)/4*Q1822</x:f>
        <x:v>0</x:v>
      </x:c>
      <x:c r="T1822" s="9" t="n">
        <x:f>H1822*Z1821*INDEX(v01_MortAdult,G1822)*Arch_AdultMort/4*Q1822</x:f>
        <x:v>0</x:v>
      </x:c>
      <x:c r="U1822" s="9" t="n">
        <x:f>H1822*AA1821*INDEX(v01_MortElder,G1822)/4*Q1822</x:f>
        <x:v>0</x:v>
      </x:c>
      <x:c r="V1822" s="9" t="n">
        <x:f>H1822*MAX(0,AB1821-O1822)*v01_OvercapLoss</x:f>
        <x:v>0</x:v>
      </x:c>
      <x:c r="W1822" s="9" t="n">
        <x:f>H1822*Y1821/(v01_ChildYears*4)</x:f>
        <x:v>0</x:v>
      </x:c>
      <x:c r="X1822" s="9" t="n">
        <x:f>H1822*Z1821/(v01_AdultYears*4)</x:f>
        <x:v>0</x:v>
      </x:c>
      <x:c r="Y1822" s="32" t="n">
        <x:f>Y1821+R1822-S1822-W1822-Y1821*V1822/AB1821</x:f>
        <x:v>14306.18539759397</x:v>
      </x:c>
      <x:c r="Z1822" s="32" t="n">
        <x:f>Z1821+W1822-X1822-T1822-Z1821*V1822/AB1821</x:f>
        <x:v>19354.456567879548</x:v>
      </x:c>
      <x:c r="AA1822" s="32" t="n">
        <x:f>AA1821+X1822-U1822-AA1821*V1822/AB1821</x:f>
        <x:v>11386.956063258198</x:v>
      </x:c>
      <x:c r="AB1822" s="10" t="n">
        <x:f>Y1822+Z1822+AA1822</x:f>
        <x:v>45047.59802873172</x:v>
      </x:c>
      <x:c r="AC1822" s="8" t="n">
        <x:f>IF(AND(v01_WinterTrigger=1,D1822=1,AB1821/AE1821&gt;=K1822),1,0)</x:f>
        <x:v>0</x:v>
      </x:c>
      <x:c r="AD1822" s="8" t="n">
        <x:f>H1822*IF(AND(OR(AB1821/AE1821&gt;=v01_FissionTrigger*N1822,AC1822=1),AB1821/AE1821*v01_DaughterShare&gt;=v01_MinDaughter),MAX(1,ROUND(AE1821*v01_FissionRate,0)),0)</x:f>
        <x:v>0</x:v>
      </x:c>
      <x:c r="AE1822" s="8" t="n">
        <x:f>IF(H1822=1,MAX(1,MIN(INDEX(v01_Smax,G1822),AE1821+AD1822)),AE1821)</x:f>
        <x:v>15</x:v>
      </x:c>
      <x:c r="AF1822" s="8" t="n">
        <x:f>MAX(0,AE1822-AE1821)</x:f>
        <x:v>0</x:v>
      </x:c>
      <x:c r="AG1822" s="9" t="str">
        <x:f>IF(AF1822&gt;0,B1822,"")</x:f>
      </x:c>
      <x:c r="AH1822" s="9" t="n">
        <x:f>IF(F1822&gt;=1,1,(1+v01_LowTiesShare*(AE1822-1))/AE1822)</x:f>
        <x:v>1</x:v>
      </x:c>
      <x:c r="AI1822" s="32" t="n">
        <x:f>(Z1822+v01_ElderCommons*INDEX(LM_Elder,G1822)*AA1822)*AH1822</x:f>
        <x:v>64139.732591141874</x:v>
      </x:c>
      <x:c r="AJ1822" s="32" t="n">
        <x:f>H1822*v01_CommonsCoef*AI1822^v01_CommonsExp*INDEX(LM_Commons,G1822)</x:f>
        <x:v>0</x:v>
      </x:c>
      <x:c r="AK1822" s="32" t="n">
        <x:f>H1822*v01_RoleScale*Arch_Roles*(AE1822*(INDEX(v01_ElderRolePerSett,G1822)*v01_OutElder*INDEX(LM_Elder,G1822)+INDEX(v01_ShamanPerSett,G1822)*v01_OutShaman)+Z1822*(INDEX(v01_PriestShare,G1822)*v01_OutPriest+INDEX(v01_ScribeShare,G1822)*v01_OutScribe*INDEX(LM_Scribe,G1822)+INDEX(v01_ScholarShare,G1822)*v01_OutScholar*INDEX(LM_Scholar,G1822)+INDEX(v01_ResearcherShare,G1822)*v01_OutResearcher*INDEX(LM_Researcher,G1822)))</x:f>
        <x:v>0</x:v>
      </x:c>
      <x:c r="AL1822" s="32" t="n">
        <x:f>H1822*v01_RoleScale*Arch_Roles*AE1822*INDEX(v01_MonasteryPerSett,G1822)*v01_OutMonastery*INDEX(LM_Monastery,G1822)</x:f>
        <x:v>0</x:v>
      </x:c>
      <x:c r="AM1822" s="32" t="n">
        <x:f>(AJ1822+AK1822+AL1822)/4*INDEX(LM_All,G1822)*INDEX(v01_Boon,G1822)*Arch_Insight</x:f>
        <x:v>0</x:v>
      </x:c>
      <x:c r="AN1822" s="32" t="n">
        <x:f>H1822*(v01_KHPerAdult*Z1822+v01_KHOfCommons*AJ1822/4*INDEX(LM_All,G1822))*v01_KHUsable*Arch_KH</x:f>
        <x:v>0</x:v>
      </x:c>
      <x:c r="AO1822" s="32" t="n">
        <x:f>MIN(AP1821+AN1822,AM1822*v01_KHMaxRatio)</x:f>
        <x:v>0</x:v>
      </x:c>
      <x:c r="AP1822" s="32" t="n">
        <x:f>AP1821+AN1822-AO1822</x:f>
        <x:v>0</x:v>
      </x:c>
      <x:c r="AQ1822" s="32" t="n">
        <x:f>AM1822+AO1822</x:f>
        <x:v>0</x:v>
      </x:c>
      <x:c r="AR1822" s="10" t="n">
        <x:f>IF(H1822=1,INDEX(v01_Req,G1822),0)</x:f>
        <x:v>0</x:v>
      </x:c>
      <x:c r="AS1822" s="32" t="n">
        <x:f>IF(H1822=1,IF(E1822=1,AS1821-AR1821,AS1821)+AQ1822,0)</x:f>
        <x:v>0</x:v>
      </x:c>
      <x:c r="AT1822" s="11" t="n">
        <x:f>IF(AR1822&gt;0,MIN(1,AS1822/AR1822),1)</x:f>
        <x:v>1</x:v>
      </x:c>
      <x:c r="AU1822" s="10" t="n">
        <x:f>AB1822/INDEX(v01_RepScale,G1822)</x:f>
        <x:v>90.09519605746344</x:v>
      </x:c>
      <x:c r="AV1822" s="32" t="n">
        <x:f>AM1822*60/v01_SeasonSeconds</x:f>
        <x:v>0</x:v>
      </x:c>
    </x:row>
    <x:row r="1823">
      <x:c r="A1823" s="8" t="n">
        <x:f>A1822+1</x:f>
        <x:v>1820</x:v>
      </x:c>
      <x:c r="B1823" s="9" t="n">
        <x:f>A1823*v01_SeasonSeconds/60</x:f>
        <x:v>455</x:v>
      </x:c>
      <x:c r="C1823" s="9" t="n">
        <x:f>A1823/4</x:f>
        <x:v>455</x:v>
      </x:c>
      <x:c r="D1823" s="8" t="n">
        <x:f>IF(MOD(A1823,4)=0,1,0)</x:f>
        <x:v>1</x:v>
      </x:c>
      <x:c r="E1823" s="8" t="n">
        <x:f>IF(AND(F1822&lt;=9,AS1822&gt;=AR1822),1,0)</x:f>
        <x:v>0</x:v>
      </x:c>
      <x:c r="F1823" s="8" t="n">
        <x:f>MIN(10,F1822+E1823)</x:f>
        <x:v>10</x:v>
      </x:c>
      <x:c r="G1823" s="8" t="n">
        <x:f>MIN(F1823,9)+1</x:f>
        <x:v>10</x:v>
      </x:c>
      <x:c r="H1823" s="8" t="n">
        <x:f>IF(F1823&lt;=9,1,0)</x:f>
        <x:v>0</x:v>
      </x:c>
      <x:c r="I1823" s="9" t="n">
        <x:f>MIN(10,F1822+IF(AR1822&gt;0,MIN(1,AS1822/AR1822),1))</x:f>
        <x:v>10</x:v>
      </x:c>
      <x:c r="J1823" s="32" t="n">
        <x:f>INDEX(v01_FoodCap,G1823)*Arch_FoodCap*EXP(v01_CapsByProject*SUMPRODUCT((Cap_Point&lt;=I1823)*(Cap_Kind="Food")*Cap_Ln))</x:f>
        <x:v>12000</x:v>
      </x:c>
      <x:c r="K1823" s="32" t="n">
        <x:f>J1823*MIN(1,v01_LeanBase*EXP(v01_CapsByProject*SUMPRODUCT((Cap_Point&lt;=I1823)*(Cap_Kind="Lean")*Cap_Ln)))</x:f>
        <x:v>12000</x:v>
      </x:c>
      <x:c r="L1823" s="10" t="n">
        <x:f>INDEX(v01_HousingCap,G1823)*EXP(v01_CapsByProject*SUMPRODUCT((Cap_Point&lt;=I1823)*(Cap_Kind="Housing")*Cap_Ln))</x:f>
        <x:v>20000</x:v>
      </x:c>
      <x:c r="M1823" s="10" t="n">
        <x:f>INDEX(v01_GroupCap,G1823)*v01_CohesionFactor*EXP(v01_CapsByProject*SUMPRODUCT((Cap_Point&lt;=I1823)*(Cap_Kind="Group")*Cap_Ln))</x:f>
        <x:v>1000000</x:v>
      </x:c>
      <x:c r="N1823" s="32" t="n">
        <x:f>MIN(J1823,L1823,M1823)</x:f>
        <x:v>12000</x:v>
      </x:c>
      <x:c r="O1823" s="10" t="n">
        <x:f>AE1822*N1823</x:f>
        <x:v>180000</x:v>
      </x:c>
      <x:c r="P1823" s="9" t="n">
        <x:f>MIN(1,(AB1822/(AE1822*IF(v01_GroupInCrowding=1,N1823,MIN(J1823,L1823))))^v01_CrowdingExp)</x:f>
        <x:v>0.00024569414295285325</x:v>
      </x:c>
      <x:c r="Q1823" s="9" t="n">
        <x:f>IF(D1823=1,INDEX(v01_WinterMult,G1823),1)</x:f>
        <x:v>1</x:v>
      </x:c>
      <x:c r="R1823" s="9" t="n">
        <x:f>H1823*Z1822*v01_WomenShare*v01_BaseFertility*INDEX(v01_FertMult,G1823)*Arch_Fertility*(1-P1823)</x:f>
        <x:v>0</x:v>
      </x:c>
      <x:c r="S1823" s="9" t="n">
        <x:f>H1823*Y1822*INDEX(v01_MortChild,G1823)/4*Q1823</x:f>
        <x:v>0</x:v>
      </x:c>
      <x:c r="T1823" s="9" t="n">
        <x:f>H1823*Z1822*INDEX(v01_MortAdult,G1823)*Arch_AdultMort/4*Q1823</x:f>
        <x:v>0</x:v>
      </x:c>
      <x:c r="U1823" s="9" t="n">
        <x:f>H1823*AA1822*INDEX(v01_MortElder,G1823)/4*Q1823</x:f>
        <x:v>0</x:v>
      </x:c>
      <x:c r="V1823" s="9" t="n">
        <x:f>H1823*MAX(0,AB1822-O1823)*v01_OvercapLoss</x:f>
        <x:v>0</x:v>
      </x:c>
      <x:c r="W1823" s="9" t="n">
        <x:f>H1823*Y1822/(v01_ChildYears*4)</x:f>
        <x:v>0</x:v>
      </x:c>
      <x:c r="X1823" s="9" t="n">
        <x:f>H1823*Z1822/(v01_AdultYears*4)</x:f>
        <x:v>0</x:v>
      </x:c>
      <x:c r="Y1823" s="32" t="n">
        <x:f>Y1822+R1823-S1823-W1823-Y1822*V1823/AB1822</x:f>
        <x:v>14306.18539759397</x:v>
      </x:c>
      <x:c r="Z1823" s="32" t="n">
        <x:f>Z1822+W1823-X1823-T1823-Z1822*V1823/AB1822</x:f>
        <x:v>19354.456567879548</x:v>
      </x:c>
      <x:c r="AA1823" s="32" t="n">
        <x:f>AA1822+X1823-U1823-AA1822*V1823/AB1822</x:f>
        <x:v>11386.956063258198</x:v>
      </x:c>
      <x:c r="AB1823" s="10" t="n">
        <x:f>Y1823+Z1823+AA1823</x:f>
        <x:v>45047.59802873172</x:v>
      </x:c>
      <x:c r="AC1823" s="8" t="n">
        <x:f>IF(AND(v01_WinterTrigger=1,D1823=1,AB1822/AE1822&gt;=K1823),1,0)</x:f>
        <x:v>0</x:v>
      </x:c>
      <x:c r="AD1823" s="8" t="n">
        <x:f>H1823*IF(AND(OR(AB1822/AE1822&gt;=v01_FissionTrigger*N1823,AC1823=1),AB1822/AE1822*v01_DaughterShare&gt;=v01_MinDaughter),MAX(1,ROUND(AE1822*v01_FissionRate,0)),0)</x:f>
        <x:v>0</x:v>
      </x:c>
      <x:c r="AE1823" s="8" t="n">
        <x:f>IF(H1823=1,MAX(1,MIN(INDEX(v01_Smax,G1823),AE1822+AD1823)),AE1822)</x:f>
        <x:v>15</x:v>
      </x:c>
      <x:c r="AF1823" s="8" t="n">
        <x:f>MAX(0,AE1823-AE1822)</x:f>
        <x:v>0</x:v>
      </x:c>
      <x:c r="AG1823" s="9" t="str">
        <x:f>IF(AF1823&gt;0,B1823,"")</x:f>
      </x:c>
      <x:c r="AH1823" s="9" t="n">
        <x:f>IF(F1823&gt;=1,1,(1+v01_LowTiesShare*(AE1823-1))/AE1823)</x:f>
        <x:v>1</x:v>
      </x:c>
      <x:c r="AI1823" s="32" t="n">
        <x:f>(Z1823+v01_ElderCommons*INDEX(LM_Elder,G1823)*AA1823)*AH1823</x:f>
        <x:v>64139.732591141874</x:v>
      </x:c>
      <x:c r="AJ1823" s="32" t="n">
        <x:f>H1823*v01_CommonsCoef*AI1823^v01_CommonsExp*INDEX(LM_Commons,G1823)</x:f>
        <x:v>0</x:v>
      </x:c>
      <x:c r="AK1823" s="32" t="n">
        <x:f>H1823*v01_RoleScale*Arch_Roles*(AE1823*(INDEX(v01_ElderRolePerSett,G1823)*v01_OutElder*INDEX(LM_Elder,G1823)+INDEX(v01_ShamanPerSett,G1823)*v01_OutShaman)+Z1823*(INDEX(v01_PriestShare,G1823)*v01_OutPriest+INDEX(v01_ScribeShare,G1823)*v01_OutScribe*INDEX(LM_Scribe,G1823)+INDEX(v01_ScholarShare,G1823)*v01_OutScholar*INDEX(LM_Scholar,G1823)+INDEX(v01_ResearcherShare,G1823)*v01_OutResearcher*INDEX(LM_Researcher,G1823)))</x:f>
        <x:v>0</x:v>
      </x:c>
      <x:c r="AL1823" s="32" t="n">
        <x:f>H1823*v01_RoleScale*Arch_Roles*AE1823*INDEX(v01_MonasteryPerSett,G1823)*v01_OutMonastery*INDEX(LM_Monastery,G1823)</x:f>
        <x:v>0</x:v>
      </x:c>
      <x:c r="AM1823" s="32" t="n">
        <x:f>(AJ1823+AK1823+AL1823)/4*INDEX(LM_All,G1823)*INDEX(v01_Boon,G1823)*Arch_Insight</x:f>
        <x:v>0</x:v>
      </x:c>
      <x:c r="AN1823" s="32" t="n">
        <x:f>H1823*(v01_KHPerAdult*Z1823+v01_KHOfCommons*AJ1823/4*INDEX(LM_All,G1823))*v01_KHUsable*Arch_KH</x:f>
        <x:v>0</x:v>
      </x:c>
      <x:c r="AO1823" s="32" t="n">
        <x:f>MIN(AP1822+AN1823,AM1823*v01_KHMaxRatio)</x:f>
        <x:v>0</x:v>
      </x:c>
      <x:c r="AP1823" s="32" t="n">
        <x:f>AP1822+AN1823-AO1823</x:f>
        <x:v>0</x:v>
      </x:c>
      <x:c r="AQ1823" s="32" t="n">
        <x:f>AM1823+AO1823</x:f>
        <x:v>0</x:v>
      </x:c>
      <x:c r="AR1823" s="10" t="n">
        <x:f>IF(H1823=1,INDEX(v01_Req,G1823),0)</x:f>
        <x:v>0</x:v>
      </x:c>
      <x:c r="AS1823" s="32" t="n">
        <x:f>IF(H1823=1,IF(E1823=1,AS1822-AR1822,AS1822)+AQ1823,0)</x:f>
        <x:v>0</x:v>
      </x:c>
      <x:c r="AT1823" s="11" t="n">
        <x:f>IF(AR1823&gt;0,MIN(1,AS1823/AR1823),1)</x:f>
        <x:v>1</x:v>
      </x:c>
      <x:c r="AU1823" s="10" t="n">
        <x:f>AB1823/INDEX(v01_RepScale,G1823)</x:f>
        <x:v>90.09519605746344</x:v>
      </x:c>
      <x:c r="AV1823" s="32" t="n">
        <x:f>AM1823*60/v01_SeasonSeconds</x:f>
        <x:v>0</x:v>
      </x:c>
    </x:row>
    <x:row r="1824">
      <x:c r="A1824" s="8" t="n">
        <x:f>A1823+1</x:f>
        <x:v>1821</x:v>
      </x:c>
      <x:c r="B1824" s="9" t="n">
        <x:f>A1824*v01_SeasonSeconds/60</x:f>
        <x:v>455.25</x:v>
      </x:c>
      <x:c r="C1824" s="9" t="n">
        <x:f>A1824/4</x:f>
        <x:v>455.25</x:v>
      </x:c>
      <x:c r="D1824" s="8" t="n">
        <x:f>IF(MOD(A1824,4)=0,1,0)</x:f>
        <x:v>0</x:v>
      </x:c>
      <x:c r="E1824" s="8" t="n">
        <x:f>IF(AND(F1823&lt;=9,AS1823&gt;=AR1823),1,0)</x:f>
        <x:v>0</x:v>
      </x:c>
      <x:c r="F1824" s="8" t="n">
        <x:f>MIN(10,F1823+E1824)</x:f>
        <x:v>10</x:v>
      </x:c>
      <x:c r="G1824" s="8" t="n">
        <x:f>MIN(F1824,9)+1</x:f>
        <x:v>10</x:v>
      </x:c>
      <x:c r="H1824" s="8" t="n">
        <x:f>IF(F1824&lt;=9,1,0)</x:f>
        <x:v>0</x:v>
      </x:c>
      <x:c r="I1824" s="9" t="n">
        <x:f>MIN(10,F1823+IF(AR1823&gt;0,MIN(1,AS1823/AR1823),1))</x:f>
        <x:v>10</x:v>
      </x:c>
      <x:c r="J1824" s="32" t="n">
        <x:f>INDEX(v01_FoodCap,G1824)*Arch_FoodCap*EXP(v01_CapsByProject*SUMPRODUCT((Cap_Point&lt;=I1824)*(Cap_Kind="Food")*Cap_Ln))</x:f>
        <x:v>12000</x:v>
      </x:c>
      <x:c r="K1824" s="32" t="n">
        <x:f>J1824*MIN(1,v01_LeanBase*EXP(v01_CapsByProject*SUMPRODUCT((Cap_Point&lt;=I1824)*(Cap_Kind="Lean")*Cap_Ln)))</x:f>
        <x:v>12000</x:v>
      </x:c>
      <x:c r="L1824" s="10" t="n">
        <x:f>INDEX(v01_HousingCap,G1824)*EXP(v01_CapsByProject*SUMPRODUCT((Cap_Point&lt;=I1824)*(Cap_Kind="Housing")*Cap_Ln))</x:f>
        <x:v>20000</x:v>
      </x:c>
      <x:c r="M1824" s="10" t="n">
        <x:f>INDEX(v01_GroupCap,G1824)*v01_CohesionFactor*EXP(v01_CapsByProject*SUMPRODUCT((Cap_Point&lt;=I1824)*(Cap_Kind="Group")*Cap_Ln))</x:f>
        <x:v>1000000</x:v>
      </x:c>
      <x:c r="N1824" s="32" t="n">
        <x:f>MIN(J1824,L1824,M1824)</x:f>
        <x:v>12000</x:v>
      </x:c>
      <x:c r="O1824" s="10" t="n">
        <x:f>AE1823*N1824</x:f>
        <x:v>180000</x:v>
      </x:c>
      <x:c r="P1824" s="9" t="n">
        <x:f>MIN(1,(AB1823/(AE1823*IF(v01_GroupInCrowding=1,N1824,MIN(J1824,L1824))))^v01_CrowdingExp)</x:f>
        <x:v>0.00024569414295285325</x:v>
      </x:c>
      <x:c r="Q1824" s="9" t="n">
        <x:f>IF(D1824=1,INDEX(v01_WinterMult,G1824),1)</x:f>
        <x:v>1</x:v>
      </x:c>
      <x:c r="R1824" s="9" t="n">
        <x:f>H1824*Z1823*v01_WomenShare*v01_BaseFertility*INDEX(v01_FertMult,G1824)*Arch_Fertility*(1-P1824)</x:f>
        <x:v>0</x:v>
      </x:c>
      <x:c r="S1824" s="9" t="n">
        <x:f>H1824*Y1823*INDEX(v01_MortChild,G1824)/4*Q1824</x:f>
        <x:v>0</x:v>
      </x:c>
      <x:c r="T1824" s="9" t="n">
        <x:f>H1824*Z1823*INDEX(v01_MortAdult,G1824)*Arch_AdultMort/4*Q1824</x:f>
        <x:v>0</x:v>
      </x:c>
      <x:c r="U1824" s="9" t="n">
        <x:f>H1824*AA1823*INDEX(v01_MortElder,G1824)/4*Q1824</x:f>
        <x:v>0</x:v>
      </x:c>
      <x:c r="V1824" s="9" t="n">
        <x:f>H1824*MAX(0,AB1823-O1824)*v01_OvercapLoss</x:f>
        <x:v>0</x:v>
      </x:c>
      <x:c r="W1824" s="9" t="n">
        <x:f>H1824*Y1823/(v01_ChildYears*4)</x:f>
        <x:v>0</x:v>
      </x:c>
      <x:c r="X1824" s="9" t="n">
        <x:f>H1824*Z1823/(v01_AdultYears*4)</x:f>
        <x:v>0</x:v>
      </x:c>
      <x:c r="Y1824" s="32" t="n">
        <x:f>Y1823+R1824-S1824-W1824-Y1823*V1824/AB1823</x:f>
        <x:v>14306.18539759397</x:v>
      </x:c>
      <x:c r="Z1824" s="32" t="n">
        <x:f>Z1823+W1824-X1824-T1824-Z1823*V1824/AB1823</x:f>
        <x:v>19354.456567879548</x:v>
      </x:c>
      <x:c r="AA1824" s="32" t="n">
        <x:f>AA1823+X1824-U1824-AA1823*V1824/AB1823</x:f>
        <x:v>11386.956063258198</x:v>
      </x:c>
      <x:c r="AB1824" s="10" t="n">
        <x:f>Y1824+Z1824+AA1824</x:f>
        <x:v>45047.59802873172</x:v>
      </x:c>
      <x:c r="AC1824" s="8" t="n">
        <x:f>IF(AND(v01_WinterTrigger=1,D1824=1,AB1823/AE1823&gt;=K1824),1,0)</x:f>
        <x:v>0</x:v>
      </x:c>
      <x:c r="AD1824" s="8" t="n">
        <x:f>H1824*IF(AND(OR(AB1823/AE1823&gt;=v01_FissionTrigger*N1824,AC1824=1),AB1823/AE1823*v01_DaughterShare&gt;=v01_MinDaughter),MAX(1,ROUND(AE1823*v01_FissionRate,0)),0)</x:f>
        <x:v>0</x:v>
      </x:c>
      <x:c r="AE1824" s="8" t="n">
        <x:f>IF(H1824=1,MAX(1,MIN(INDEX(v01_Smax,G1824),AE1823+AD1824)),AE1823)</x:f>
        <x:v>15</x:v>
      </x:c>
      <x:c r="AF1824" s="8" t="n">
        <x:f>MAX(0,AE1824-AE1823)</x:f>
        <x:v>0</x:v>
      </x:c>
      <x:c r="AG1824" s="9" t="str">
        <x:f>IF(AF1824&gt;0,B1824,"")</x:f>
      </x:c>
      <x:c r="AH1824" s="9" t="n">
        <x:f>IF(F1824&gt;=1,1,(1+v01_LowTiesShare*(AE1824-1))/AE1824)</x:f>
        <x:v>1</x:v>
      </x:c>
      <x:c r="AI1824" s="32" t="n">
        <x:f>(Z1824+v01_ElderCommons*INDEX(LM_Elder,G1824)*AA1824)*AH1824</x:f>
        <x:v>64139.732591141874</x:v>
      </x:c>
      <x:c r="AJ1824" s="32" t="n">
        <x:f>H1824*v01_CommonsCoef*AI1824^v01_CommonsExp*INDEX(LM_Commons,G1824)</x:f>
        <x:v>0</x:v>
      </x:c>
      <x:c r="AK1824" s="32" t="n">
        <x:f>H1824*v01_RoleScale*Arch_Roles*(AE1824*(INDEX(v01_ElderRolePerSett,G1824)*v01_OutElder*INDEX(LM_Elder,G1824)+INDEX(v01_ShamanPerSett,G1824)*v01_OutShaman)+Z1824*(INDEX(v01_PriestShare,G1824)*v01_OutPriest+INDEX(v01_ScribeShare,G1824)*v01_OutScribe*INDEX(LM_Scribe,G1824)+INDEX(v01_ScholarShare,G1824)*v01_OutScholar*INDEX(LM_Scholar,G1824)+INDEX(v01_ResearcherShare,G1824)*v01_OutResearcher*INDEX(LM_Researcher,G1824)))</x:f>
        <x:v>0</x:v>
      </x:c>
      <x:c r="AL1824" s="32" t="n">
        <x:f>H1824*v01_RoleScale*Arch_Roles*AE1824*INDEX(v01_MonasteryPerSett,G1824)*v01_OutMonastery*INDEX(LM_Monastery,G1824)</x:f>
        <x:v>0</x:v>
      </x:c>
      <x:c r="AM1824" s="32" t="n">
        <x:f>(AJ1824+AK1824+AL1824)/4*INDEX(LM_All,G1824)*INDEX(v01_Boon,G1824)*Arch_Insight</x:f>
        <x:v>0</x:v>
      </x:c>
      <x:c r="AN1824" s="32" t="n">
        <x:f>H1824*(v01_KHPerAdult*Z1824+v01_KHOfCommons*AJ1824/4*INDEX(LM_All,G1824))*v01_KHUsable*Arch_KH</x:f>
        <x:v>0</x:v>
      </x:c>
      <x:c r="AO1824" s="32" t="n">
        <x:f>MIN(AP1823+AN1824,AM1824*v01_KHMaxRatio)</x:f>
        <x:v>0</x:v>
      </x:c>
      <x:c r="AP1824" s="32" t="n">
        <x:f>AP1823+AN1824-AO1824</x:f>
        <x:v>0</x:v>
      </x:c>
      <x:c r="AQ1824" s="32" t="n">
        <x:f>AM1824+AO1824</x:f>
        <x:v>0</x:v>
      </x:c>
      <x:c r="AR1824" s="10" t="n">
        <x:f>IF(H1824=1,INDEX(v01_Req,G1824),0)</x:f>
        <x:v>0</x:v>
      </x:c>
      <x:c r="AS1824" s="32" t="n">
        <x:f>IF(H1824=1,IF(E1824=1,AS1823-AR1823,AS1823)+AQ1824,0)</x:f>
        <x:v>0</x:v>
      </x:c>
      <x:c r="AT1824" s="11" t="n">
        <x:f>IF(AR1824&gt;0,MIN(1,AS1824/AR1824),1)</x:f>
        <x:v>1</x:v>
      </x:c>
      <x:c r="AU1824" s="10" t="n">
        <x:f>AB1824/INDEX(v01_RepScale,G1824)</x:f>
        <x:v>90.09519605746344</x:v>
      </x:c>
      <x:c r="AV1824" s="32" t="n">
        <x:f>AM1824*60/v01_SeasonSeconds</x:f>
        <x:v>0</x:v>
      </x:c>
    </x:row>
    <x:row r="1825">
      <x:c r="A1825" s="8" t="n">
        <x:f>A1824+1</x:f>
        <x:v>1822</x:v>
      </x:c>
      <x:c r="B1825" s="9" t="n">
        <x:f>A1825*v01_SeasonSeconds/60</x:f>
        <x:v>455.5</x:v>
      </x:c>
      <x:c r="C1825" s="9" t="n">
        <x:f>A1825/4</x:f>
        <x:v>455.5</x:v>
      </x:c>
      <x:c r="D1825" s="8" t="n">
        <x:f>IF(MOD(A1825,4)=0,1,0)</x:f>
        <x:v>0</x:v>
      </x:c>
      <x:c r="E1825" s="8" t="n">
        <x:f>IF(AND(F1824&lt;=9,AS1824&gt;=AR1824),1,0)</x:f>
        <x:v>0</x:v>
      </x:c>
      <x:c r="F1825" s="8" t="n">
        <x:f>MIN(10,F1824+E1825)</x:f>
        <x:v>10</x:v>
      </x:c>
      <x:c r="G1825" s="8" t="n">
        <x:f>MIN(F1825,9)+1</x:f>
        <x:v>10</x:v>
      </x:c>
      <x:c r="H1825" s="8" t="n">
        <x:f>IF(F1825&lt;=9,1,0)</x:f>
        <x:v>0</x:v>
      </x:c>
      <x:c r="I1825" s="9" t="n">
        <x:f>MIN(10,F1824+IF(AR1824&gt;0,MIN(1,AS1824/AR1824),1))</x:f>
        <x:v>10</x:v>
      </x:c>
      <x:c r="J1825" s="32" t="n">
        <x:f>INDEX(v01_FoodCap,G1825)*Arch_FoodCap*EXP(v01_CapsByProject*SUMPRODUCT((Cap_Point&lt;=I1825)*(Cap_Kind="Food")*Cap_Ln))</x:f>
        <x:v>12000</x:v>
      </x:c>
      <x:c r="K1825" s="32" t="n">
        <x:f>J1825*MIN(1,v01_LeanBase*EXP(v01_CapsByProject*SUMPRODUCT((Cap_Point&lt;=I1825)*(Cap_Kind="Lean")*Cap_Ln)))</x:f>
        <x:v>12000</x:v>
      </x:c>
      <x:c r="L1825" s="10" t="n">
        <x:f>INDEX(v01_HousingCap,G1825)*EXP(v01_CapsByProject*SUMPRODUCT((Cap_Point&lt;=I1825)*(Cap_Kind="Housing")*Cap_Ln))</x:f>
        <x:v>20000</x:v>
      </x:c>
      <x:c r="M1825" s="10" t="n">
        <x:f>INDEX(v01_GroupCap,G1825)*v01_CohesionFactor*EXP(v01_CapsByProject*SUMPRODUCT((Cap_Point&lt;=I1825)*(Cap_Kind="Group")*Cap_Ln))</x:f>
        <x:v>1000000</x:v>
      </x:c>
      <x:c r="N1825" s="32" t="n">
        <x:f>MIN(J1825,L1825,M1825)</x:f>
        <x:v>12000</x:v>
      </x:c>
      <x:c r="O1825" s="10" t="n">
        <x:f>AE1824*N1825</x:f>
        <x:v>180000</x:v>
      </x:c>
      <x:c r="P1825" s="9" t="n">
        <x:f>MIN(1,(AB1824/(AE1824*IF(v01_GroupInCrowding=1,N1825,MIN(J1825,L1825))))^v01_CrowdingExp)</x:f>
        <x:v>0.00024569414295285325</x:v>
      </x:c>
      <x:c r="Q1825" s="9" t="n">
        <x:f>IF(D1825=1,INDEX(v01_WinterMult,G1825),1)</x:f>
        <x:v>1</x:v>
      </x:c>
      <x:c r="R1825" s="9" t="n">
        <x:f>H1825*Z1824*v01_WomenShare*v01_BaseFertility*INDEX(v01_FertMult,G1825)*Arch_Fertility*(1-P1825)</x:f>
        <x:v>0</x:v>
      </x:c>
      <x:c r="S1825" s="9" t="n">
        <x:f>H1825*Y1824*INDEX(v01_MortChild,G1825)/4*Q1825</x:f>
        <x:v>0</x:v>
      </x:c>
      <x:c r="T1825" s="9" t="n">
        <x:f>H1825*Z1824*INDEX(v01_MortAdult,G1825)*Arch_AdultMort/4*Q1825</x:f>
        <x:v>0</x:v>
      </x:c>
      <x:c r="U1825" s="9" t="n">
        <x:f>H1825*AA1824*INDEX(v01_MortElder,G1825)/4*Q1825</x:f>
        <x:v>0</x:v>
      </x:c>
      <x:c r="V1825" s="9" t="n">
        <x:f>H1825*MAX(0,AB1824-O1825)*v01_OvercapLoss</x:f>
        <x:v>0</x:v>
      </x:c>
      <x:c r="W1825" s="9" t="n">
        <x:f>H1825*Y1824/(v01_ChildYears*4)</x:f>
        <x:v>0</x:v>
      </x:c>
      <x:c r="X1825" s="9" t="n">
        <x:f>H1825*Z1824/(v01_AdultYears*4)</x:f>
        <x:v>0</x:v>
      </x:c>
      <x:c r="Y1825" s="32" t="n">
        <x:f>Y1824+R1825-S1825-W1825-Y1824*V1825/AB1824</x:f>
        <x:v>14306.18539759397</x:v>
      </x:c>
      <x:c r="Z1825" s="32" t="n">
        <x:f>Z1824+W1825-X1825-T1825-Z1824*V1825/AB1824</x:f>
        <x:v>19354.456567879548</x:v>
      </x:c>
      <x:c r="AA1825" s="32" t="n">
        <x:f>AA1824+X1825-U1825-AA1824*V1825/AB1824</x:f>
        <x:v>11386.956063258198</x:v>
      </x:c>
      <x:c r="AB1825" s="10" t="n">
        <x:f>Y1825+Z1825+AA1825</x:f>
        <x:v>45047.59802873172</x:v>
      </x:c>
      <x:c r="AC1825" s="8" t="n">
        <x:f>IF(AND(v01_WinterTrigger=1,D1825=1,AB1824/AE1824&gt;=K1825),1,0)</x:f>
        <x:v>0</x:v>
      </x:c>
      <x:c r="AD1825" s="8" t="n">
        <x:f>H1825*IF(AND(OR(AB1824/AE1824&gt;=v01_FissionTrigger*N1825,AC1825=1),AB1824/AE1824*v01_DaughterShare&gt;=v01_MinDaughter),MAX(1,ROUND(AE1824*v01_FissionRate,0)),0)</x:f>
        <x:v>0</x:v>
      </x:c>
      <x:c r="AE1825" s="8" t="n">
        <x:f>IF(H1825=1,MAX(1,MIN(INDEX(v01_Smax,G1825),AE1824+AD1825)),AE1824)</x:f>
        <x:v>15</x:v>
      </x:c>
      <x:c r="AF1825" s="8" t="n">
        <x:f>MAX(0,AE1825-AE1824)</x:f>
        <x:v>0</x:v>
      </x:c>
      <x:c r="AG1825" s="9" t="str">
        <x:f>IF(AF1825&gt;0,B1825,"")</x:f>
      </x:c>
      <x:c r="AH1825" s="9" t="n">
        <x:f>IF(F1825&gt;=1,1,(1+v01_LowTiesShare*(AE1825-1))/AE1825)</x:f>
        <x:v>1</x:v>
      </x:c>
      <x:c r="AI1825" s="32" t="n">
        <x:f>(Z1825+v01_ElderCommons*INDEX(LM_Elder,G1825)*AA1825)*AH1825</x:f>
        <x:v>64139.732591141874</x:v>
      </x:c>
      <x:c r="AJ1825" s="32" t="n">
        <x:f>H1825*v01_CommonsCoef*AI1825^v01_CommonsExp*INDEX(LM_Commons,G1825)</x:f>
        <x:v>0</x:v>
      </x:c>
      <x:c r="AK1825" s="32" t="n">
        <x:f>H1825*v01_RoleScale*Arch_Roles*(AE1825*(INDEX(v01_ElderRolePerSett,G1825)*v01_OutElder*INDEX(LM_Elder,G1825)+INDEX(v01_ShamanPerSett,G1825)*v01_OutShaman)+Z1825*(INDEX(v01_PriestShare,G1825)*v01_OutPriest+INDEX(v01_ScribeShare,G1825)*v01_OutScribe*INDEX(LM_Scribe,G1825)+INDEX(v01_ScholarShare,G1825)*v01_OutScholar*INDEX(LM_Scholar,G1825)+INDEX(v01_ResearcherShare,G1825)*v01_OutResearcher*INDEX(LM_Researcher,G1825)))</x:f>
        <x:v>0</x:v>
      </x:c>
      <x:c r="AL1825" s="32" t="n">
        <x:f>H1825*v01_RoleScale*Arch_Roles*AE1825*INDEX(v01_MonasteryPerSett,G1825)*v01_OutMonastery*INDEX(LM_Monastery,G1825)</x:f>
        <x:v>0</x:v>
      </x:c>
      <x:c r="AM1825" s="32" t="n">
        <x:f>(AJ1825+AK1825+AL1825)/4*INDEX(LM_All,G1825)*INDEX(v01_Boon,G1825)*Arch_Insight</x:f>
        <x:v>0</x:v>
      </x:c>
      <x:c r="AN1825" s="32" t="n">
        <x:f>H1825*(v01_KHPerAdult*Z1825+v01_KHOfCommons*AJ1825/4*INDEX(LM_All,G1825))*v01_KHUsable*Arch_KH</x:f>
        <x:v>0</x:v>
      </x:c>
      <x:c r="AO1825" s="32" t="n">
        <x:f>MIN(AP1824+AN1825,AM1825*v01_KHMaxRatio)</x:f>
        <x:v>0</x:v>
      </x:c>
      <x:c r="AP1825" s="32" t="n">
        <x:f>AP1824+AN1825-AO1825</x:f>
        <x:v>0</x:v>
      </x:c>
      <x:c r="AQ1825" s="32" t="n">
        <x:f>AM1825+AO1825</x:f>
        <x:v>0</x:v>
      </x:c>
      <x:c r="AR1825" s="10" t="n">
        <x:f>IF(H1825=1,INDEX(v01_Req,G1825),0)</x:f>
        <x:v>0</x:v>
      </x:c>
      <x:c r="AS1825" s="32" t="n">
        <x:f>IF(H1825=1,IF(E1825=1,AS1824-AR1824,AS1824)+AQ1825,0)</x:f>
        <x:v>0</x:v>
      </x:c>
      <x:c r="AT1825" s="11" t="n">
        <x:f>IF(AR1825&gt;0,MIN(1,AS1825/AR1825),1)</x:f>
        <x:v>1</x:v>
      </x:c>
      <x:c r="AU1825" s="10" t="n">
        <x:f>AB1825/INDEX(v01_RepScale,G1825)</x:f>
        <x:v>90.09519605746344</x:v>
      </x:c>
      <x:c r="AV1825" s="32" t="n">
        <x:f>AM1825*60/v01_SeasonSeconds</x:f>
        <x:v>0</x:v>
      </x:c>
    </x:row>
    <x:row r="1826">
      <x:c r="A1826" s="8" t="n">
        <x:f>A1825+1</x:f>
        <x:v>1823</x:v>
      </x:c>
      <x:c r="B1826" s="9" t="n">
        <x:f>A1826*v01_SeasonSeconds/60</x:f>
        <x:v>455.75</x:v>
      </x:c>
      <x:c r="C1826" s="9" t="n">
        <x:f>A1826/4</x:f>
        <x:v>455.75</x:v>
      </x:c>
      <x:c r="D1826" s="8" t="n">
        <x:f>IF(MOD(A1826,4)=0,1,0)</x:f>
        <x:v>0</x:v>
      </x:c>
      <x:c r="E1826" s="8" t="n">
        <x:f>IF(AND(F1825&lt;=9,AS1825&gt;=AR1825),1,0)</x:f>
        <x:v>0</x:v>
      </x:c>
      <x:c r="F1826" s="8" t="n">
        <x:f>MIN(10,F1825+E1826)</x:f>
        <x:v>10</x:v>
      </x:c>
      <x:c r="G1826" s="8" t="n">
        <x:f>MIN(F1826,9)+1</x:f>
        <x:v>10</x:v>
      </x:c>
      <x:c r="H1826" s="8" t="n">
        <x:f>IF(F1826&lt;=9,1,0)</x:f>
        <x:v>0</x:v>
      </x:c>
      <x:c r="I1826" s="9" t="n">
        <x:f>MIN(10,F1825+IF(AR1825&gt;0,MIN(1,AS1825/AR1825),1))</x:f>
        <x:v>10</x:v>
      </x:c>
      <x:c r="J1826" s="32" t="n">
        <x:f>INDEX(v01_FoodCap,G1826)*Arch_FoodCap*EXP(v01_CapsByProject*SUMPRODUCT((Cap_Point&lt;=I1826)*(Cap_Kind="Food")*Cap_Ln))</x:f>
        <x:v>12000</x:v>
      </x:c>
      <x:c r="K1826" s="32" t="n">
        <x:f>J1826*MIN(1,v01_LeanBase*EXP(v01_CapsByProject*SUMPRODUCT((Cap_Point&lt;=I1826)*(Cap_Kind="Lean")*Cap_Ln)))</x:f>
        <x:v>12000</x:v>
      </x:c>
      <x:c r="L1826" s="10" t="n">
        <x:f>INDEX(v01_HousingCap,G1826)*EXP(v01_CapsByProject*SUMPRODUCT((Cap_Point&lt;=I1826)*(Cap_Kind="Housing")*Cap_Ln))</x:f>
        <x:v>20000</x:v>
      </x:c>
      <x:c r="M1826" s="10" t="n">
        <x:f>INDEX(v01_GroupCap,G1826)*v01_CohesionFactor*EXP(v01_CapsByProject*SUMPRODUCT((Cap_Point&lt;=I1826)*(Cap_Kind="Group")*Cap_Ln))</x:f>
        <x:v>1000000</x:v>
      </x:c>
      <x:c r="N1826" s="32" t="n">
        <x:f>MIN(J1826,L1826,M1826)</x:f>
        <x:v>12000</x:v>
      </x:c>
      <x:c r="O1826" s="10" t="n">
        <x:f>AE1825*N1826</x:f>
        <x:v>180000</x:v>
      </x:c>
      <x:c r="P1826" s="9" t="n">
        <x:f>MIN(1,(AB1825/(AE1825*IF(v01_GroupInCrowding=1,N1826,MIN(J1826,L1826))))^v01_CrowdingExp)</x:f>
        <x:v>0.00024569414295285325</x:v>
      </x:c>
      <x:c r="Q1826" s="9" t="n">
        <x:f>IF(D1826=1,INDEX(v01_WinterMult,G1826),1)</x:f>
        <x:v>1</x:v>
      </x:c>
      <x:c r="R1826" s="9" t="n">
        <x:f>H1826*Z1825*v01_WomenShare*v01_BaseFertility*INDEX(v01_FertMult,G1826)*Arch_Fertility*(1-P1826)</x:f>
        <x:v>0</x:v>
      </x:c>
      <x:c r="S1826" s="9" t="n">
        <x:f>H1826*Y1825*INDEX(v01_MortChild,G1826)/4*Q1826</x:f>
        <x:v>0</x:v>
      </x:c>
      <x:c r="T1826" s="9" t="n">
        <x:f>H1826*Z1825*INDEX(v01_MortAdult,G1826)*Arch_AdultMort/4*Q1826</x:f>
        <x:v>0</x:v>
      </x:c>
      <x:c r="U1826" s="9" t="n">
        <x:f>H1826*AA1825*INDEX(v01_MortElder,G1826)/4*Q1826</x:f>
        <x:v>0</x:v>
      </x:c>
      <x:c r="V1826" s="9" t="n">
        <x:f>H1826*MAX(0,AB1825-O1826)*v01_OvercapLoss</x:f>
        <x:v>0</x:v>
      </x:c>
      <x:c r="W1826" s="9" t="n">
        <x:f>H1826*Y1825/(v01_ChildYears*4)</x:f>
        <x:v>0</x:v>
      </x:c>
      <x:c r="X1826" s="9" t="n">
        <x:f>H1826*Z1825/(v01_AdultYears*4)</x:f>
        <x:v>0</x:v>
      </x:c>
      <x:c r="Y1826" s="32" t="n">
        <x:f>Y1825+R1826-S1826-W1826-Y1825*V1826/AB1825</x:f>
        <x:v>14306.18539759397</x:v>
      </x:c>
      <x:c r="Z1826" s="32" t="n">
        <x:f>Z1825+W1826-X1826-T1826-Z1825*V1826/AB1825</x:f>
        <x:v>19354.456567879548</x:v>
      </x:c>
      <x:c r="AA1826" s="32" t="n">
        <x:f>AA1825+X1826-U1826-AA1825*V1826/AB1825</x:f>
        <x:v>11386.956063258198</x:v>
      </x:c>
      <x:c r="AB1826" s="10" t="n">
        <x:f>Y1826+Z1826+AA1826</x:f>
        <x:v>45047.59802873172</x:v>
      </x:c>
      <x:c r="AC1826" s="8" t="n">
        <x:f>IF(AND(v01_WinterTrigger=1,D1826=1,AB1825/AE1825&gt;=K1826),1,0)</x:f>
        <x:v>0</x:v>
      </x:c>
      <x:c r="AD1826" s="8" t="n">
        <x:f>H1826*IF(AND(OR(AB1825/AE1825&gt;=v01_FissionTrigger*N1826,AC1826=1),AB1825/AE1825*v01_DaughterShare&gt;=v01_MinDaughter),MAX(1,ROUND(AE1825*v01_FissionRate,0)),0)</x:f>
        <x:v>0</x:v>
      </x:c>
      <x:c r="AE1826" s="8" t="n">
        <x:f>IF(H1826=1,MAX(1,MIN(INDEX(v01_Smax,G1826),AE1825+AD1826)),AE1825)</x:f>
        <x:v>15</x:v>
      </x:c>
      <x:c r="AF1826" s="8" t="n">
        <x:f>MAX(0,AE1826-AE1825)</x:f>
        <x:v>0</x:v>
      </x:c>
      <x:c r="AG1826" s="9" t="str">
        <x:f>IF(AF1826&gt;0,B1826,"")</x:f>
      </x:c>
      <x:c r="AH1826" s="9" t="n">
        <x:f>IF(F1826&gt;=1,1,(1+v01_LowTiesShare*(AE1826-1))/AE1826)</x:f>
        <x:v>1</x:v>
      </x:c>
      <x:c r="AI1826" s="32" t="n">
        <x:f>(Z1826+v01_ElderCommons*INDEX(LM_Elder,G1826)*AA1826)*AH1826</x:f>
        <x:v>64139.732591141874</x:v>
      </x:c>
      <x:c r="AJ1826" s="32" t="n">
        <x:f>H1826*v01_CommonsCoef*AI1826^v01_CommonsExp*INDEX(LM_Commons,G1826)</x:f>
        <x:v>0</x:v>
      </x:c>
      <x:c r="AK1826" s="32" t="n">
        <x:f>H1826*v01_RoleScale*Arch_Roles*(AE1826*(INDEX(v01_ElderRolePerSett,G1826)*v01_OutElder*INDEX(LM_Elder,G1826)+INDEX(v01_ShamanPerSett,G1826)*v01_OutShaman)+Z1826*(INDEX(v01_PriestShare,G1826)*v01_OutPriest+INDEX(v01_ScribeShare,G1826)*v01_OutScribe*INDEX(LM_Scribe,G1826)+INDEX(v01_ScholarShare,G1826)*v01_OutScholar*INDEX(LM_Scholar,G1826)+INDEX(v01_ResearcherShare,G1826)*v01_OutResearcher*INDEX(LM_Researcher,G1826)))</x:f>
        <x:v>0</x:v>
      </x:c>
      <x:c r="AL1826" s="32" t="n">
        <x:f>H1826*v01_RoleScale*Arch_Roles*AE1826*INDEX(v01_MonasteryPerSett,G1826)*v01_OutMonastery*INDEX(LM_Monastery,G1826)</x:f>
        <x:v>0</x:v>
      </x:c>
      <x:c r="AM1826" s="32" t="n">
        <x:f>(AJ1826+AK1826+AL1826)/4*INDEX(LM_All,G1826)*INDEX(v01_Boon,G1826)*Arch_Insight</x:f>
        <x:v>0</x:v>
      </x:c>
      <x:c r="AN1826" s="32" t="n">
        <x:f>H1826*(v01_KHPerAdult*Z1826+v01_KHOfCommons*AJ1826/4*INDEX(LM_All,G1826))*v01_KHUsable*Arch_KH</x:f>
        <x:v>0</x:v>
      </x:c>
      <x:c r="AO1826" s="32" t="n">
        <x:f>MIN(AP1825+AN1826,AM1826*v01_KHMaxRatio)</x:f>
        <x:v>0</x:v>
      </x:c>
      <x:c r="AP1826" s="32" t="n">
        <x:f>AP1825+AN1826-AO1826</x:f>
        <x:v>0</x:v>
      </x:c>
      <x:c r="AQ1826" s="32" t="n">
        <x:f>AM1826+AO1826</x:f>
        <x:v>0</x:v>
      </x:c>
      <x:c r="AR1826" s="10" t="n">
        <x:f>IF(H1826=1,INDEX(v01_Req,G1826),0)</x:f>
        <x:v>0</x:v>
      </x:c>
      <x:c r="AS1826" s="32" t="n">
        <x:f>IF(H1826=1,IF(E1826=1,AS1825-AR1825,AS1825)+AQ1826,0)</x:f>
        <x:v>0</x:v>
      </x:c>
      <x:c r="AT1826" s="11" t="n">
        <x:f>IF(AR1826&gt;0,MIN(1,AS1826/AR1826),1)</x:f>
        <x:v>1</x:v>
      </x:c>
      <x:c r="AU1826" s="10" t="n">
        <x:f>AB1826/INDEX(v01_RepScale,G1826)</x:f>
        <x:v>90.09519605746344</x:v>
      </x:c>
      <x:c r="AV1826" s="32" t="n">
        <x:f>AM1826*60/v01_SeasonSeconds</x:f>
        <x:v>0</x:v>
      </x:c>
    </x:row>
    <x:row r="1827">
      <x:c r="A1827" s="8" t="n">
        <x:f>A1826+1</x:f>
        <x:v>1824</x:v>
      </x:c>
      <x:c r="B1827" s="9" t="n">
        <x:f>A1827*v01_SeasonSeconds/60</x:f>
        <x:v>456</x:v>
      </x:c>
      <x:c r="C1827" s="9" t="n">
        <x:f>A1827/4</x:f>
        <x:v>456</x:v>
      </x:c>
      <x:c r="D1827" s="8" t="n">
        <x:f>IF(MOD(A1827,4)=0,1,0)</x:f>
        <x:v>1</x:v>
      </x:c>
      <x:c r="E1827" s="8" t="n">
        <x:f>IF(AND(F1826&lt;=9,AS1826&gt;=AR1826),1,0)</x:f>
        <x:v>0</x:v>
      </x:c>
      <x:c r="F1827" s="8" t="n">
        <x:f>MIN(10,F1826+E1827)</x:f>
        <x:v>10</x:v>
      </x:c>
      <x:c r="G1827" s="8" t="n">
        <x:f>MIN(F1827,9)+1</x:f>
        <x:v>10</x:v>
      </x:c>
      <x:c r="H1827" s="8" t="n">
        <x:f>IF(F1827&lt;=9,1,0)</x:f>
        <x:v>0</x:v>
      </x:c>
      <x:c r="I1827" s="9" t="n">
        <x:f>MIN(10,F1826+IF(AR1826&gt;0,MIN(1,AS1826/AR1826),1))</x:f>
        <x:v>10</x:v>
      </x:c>
      <x:c r="J1827" s="32" t="n">
        <x:f>INDEX(v01_FoodCap,G1827)*Arch_FoodCap*EXP(v01_CapsByProject*SUMPRODUCT((Cap_Point&lt;=I1827)*(Cap_Kind="Food")*Cap_Ln))</x:f>
        <x:v>12000</x:v>
      </x:c>
      <x:c r="K1827" s="32" t="n">
        <x:f>J1827*MIN(1,v01_LeanBase*EXP(v01_CapsByProject*SUMPRODUCT((Cap_Point&lt;=I1827)*(Cap_Kind="Lean")*Cap_Ln)))</x:f>
        <x:v>12000</x:v>
      </x:c>
      <x:c r="L1827" s="10" t="n">
        <x:f>INDEX(v01_HousingCap,G1827)*EXP(v01_CapsByProject*SUMPRODUCT((Cap_Point&lt;=I1827)*(Cap_Kind="Housing")*Cap_Ln))</x:f>
        <x:v>20000</x:v>
      </x:c>
      <x:c r="M1827" s="10" t="n">
        <x:f>INDEX(v01_GroupCap,G1827)*v01_CohesionFactor*EXP(v01_CapsByProject*SUMPRODUCT((Cap_Point&lt;=I1827)*(Cap_Kind="Group")*Cap_Ln))</x:f>
        <x:v>1000000</x:v>
      </x:c>
      <x:c r="N1827" s="32" t="n">
        <x:f>MIN(J1827,L1827,M1827)</x:f>
        <x:v>12000</x:v>
      </x:c>
      <x:c r="O1827" s="10" t="n">
        <x:f>AE1826*N1827</x:f>
        <x:v>180000</x:v>
      </x:c>
      <x:c r="P1827" s="9" t="n">
        <x:f>MIN(1,(AB1826/(AE1826*IF(v01_GroupInCrowding=1,N1827,MIN(J1827,L1827))))^v01_CrowdingExp)</x:f>
        <x:v>0.00024569414295285325</x:v>
      </x:c>
      <x:c r="Q1827" s="9" t="n">
        <x:f>IF(D1827=1,INDEX(v01_WinterMult,G1827),1)</x:f>
        <x:v>1</x:v>
      </x:c>
      <x:c r="R1827" s="9" t="n">
        <x:f>H1827*Z1826*v01_WomenShare*v01_BaseFertility*INDEX(v01_FertMult,G1827)*Arch_Fertility*(1-P1827)</x:f>
        <x:v>0</x:v>
      </x:c>
      <x:c r="S1827" s="9" t="n">
        <x:f>H1827*Y1826*INDEX(v01_MortChild,G1827)/4*Q1827</x:f>
        <x:v>0</x:v>
      </x:c>
      <x:c r="T1827" s="9" t="n">
        <x:f>H1827*Z1826*INDEX(v01_MortAdult,G1827)*Arch_AdultMort/4*Q1827</x:f>
        <x:v>0</x:v>
      </x:c>
      <x:c r="U1827" s="9" t="n">
        <x:f>H1827*AA1826*INDEX(v01_MortElder,G1827)/4*Q1827</x:f>
        <x:v>0</x:v>
      </x:c>
      <x:c r="V1827" s="9" t="n">
        <x:f>H1827*MAX(0,AB1826-O1827)*v01_OvercapLoss</x:f>
        <x:v>0</x:v>
      </x:c>
      <x:c r="W1827" s="9" t="n">
        <x:f>H1827*Y1826/(v01_ChildYears*4)</x:f>
        <x:v>0</x:v>
      </x:c>
      <x:c r="X1827" s="9" t="n">
        <x:f>H1827*Z1826/(v01_AdultYears*4)</x:f>
        <x:v>0</x:v>
      </x:c>
      <x:c r="Y1827" s="32" t="n">
        <x:f>Y1826+R1827-S1827-W1827-Y1826*V1827/AB1826</x:f>
        <x:v>14306.18539759397</x:v>
      </x:c>
      <x:c r="Z1827" s="32" t="n">
        <x:f>Z1826+W1827-X1827-T1827-Z1826*V1827/AB1826</x:f>
        <x:v>19354.456567879548</x:v>
      </x:c>
      <x:c r="AA1827" s="32" t="n">
        <x:f>AA1826+X1827-U1827-AA1826*V1827/AB1826</x:f>
        <x:v>11386.956063258198</x:v>
      </x:c>
      <x:c r="AB1827" s="10" t="n">
        <x:f>Y1827+Z1827+AA1827</x:f>
        <x:v>45047.59802873172</x:v>
      </x:c>
      <x:c r="AC1827" s="8" t="n">
        <x:f>IF(AND(v01_WinterTrigger=1,D1827=1,AB1826/AE1826&gt;=K1827),1,0)</x:f>
        <x:v>0</x:v>
      </x:c>
      <x:c r="AD1827" s="8" t="n">
        <x:f>H1827*IF(AND(OR(AB1826/AE1826&gt;=v01_FissionTrigger*N1827,AC1827=1),AB1826/AE1826*v01_DaughterShare&gt;=v01_MinDaughter),MAX(1,ROUND(AE1826*v01_FissionRate,0)),0)</x:f>
        <x:v>0</x:v>
      </x:c>
      <x:c r="AE1827" s="8" t="n">
        <x:f>IF(H1827=1,MAX(1,MIN(INDEX(v01_Smax,G1827),AE1826+AD1827)),AE1826)</x:f>
        <x:v>15</x:v>
      </x:c>
      <x:c r="AF1827" s="8" t="n">
        <x:f>MAX(0,AE1827-AE1826)</x:f>
        <x:v>0</x:v>
      </x:c>
      <x:c r="AG1827" s="9" t="str">
        <x:f>IF(AF1827&gt;0,B1827,"")</x:f>
      </x:c>
      <x:c r="AH1827" s="9" t="n">
        <x:f>IF(F1827&gt;=1,1,(1+v01_LowTiesShare*(AE1827-1))/AE1827)</x:f>
        <x:v>1</x:v>
      </x:c>
      <x:c r="AI1827" s="32" t="n">
        <x:f>(Z1827+v01_ElderCommons*INDEX(LM_Elder,G1827)*AA1827)*AH1827</x:f>
        <x:v>64139.732591141874</x:v>
      </x:c>
      <x:c r="AJ1827" s="32" t="n">
        <x:f>H1827*v01_CommonsCoef*AI1827^v01_CommonsExp*INDEX(LM_Commons,G1827)</x:f>
        <x:v>0</x:v>
      </x:c>
      <x:c r="AK1827" s="32" t="n">
        <x:f>H1827*v01_RoleScale*Arch_Roles*(AE1827*(INDEX(v01_ElderRolePerSett,G1827)*v01_OutElder*INDEX(LM_Elder,G1827)+INDEX(v01_ShamanPerSett,G1827)*v01_OutShaman)+Z1827*(INDEX(v01_PriestShare,G1827)*v01_OutPriest+INDEX(v01_ScribeShare,G1827)*v01_OutScribe*INDEX(LM_Scribe,G1827)+INDEX(v01_ScholarShare,G1827)*v01_OutScholar*INDEX(LM_Scholar,G1827)+INDEX(v01_ResearcherShare,G1827)*v01_OutResearcher*INDEX(LM_Researcher,G1827)))</x:f>
        <x:v>0</x:v>
      </x:c>
      <x:c r="AL1827" s="32" t="n">
        <x:f>H1827*v01_RoleScale*Arch_Roles*AE1827*INDEX(v01_MonasteryPerSett,G1827)*v01_OutMonastery*INDEX(LM_Monastery,G1827)</x:f>
        <x:v>0</x:v>
      </x:c>
      <x:c r="AM1827" s="32" t="n">
        <x:f>(AJ1827+AK1827+AL1827)/4*INDEX(LM_All,G1827)*INDEX(v01_Boon,G1827)*Arch_Insight</x:f>
        <x:v>0</x:v>
      </x:c>
      <x:c r="AN1827" s="32" t="n">
        <x:f>H1827*(v01_KHPerAdult*Z1827+v01_KHOfCommons*AJ1827/4*INDEX(LM_All,G1827))*v01_KHUsable*Arch_KH</x:f>
        <x:v>0</x:v>
      </x:c>
      <x:c r="AO1827" s="32" t="n">
        <x:f>MIN(AP1826+AN1827,AM1827*v01_KHMaxRatio)</x:f>
        <x:v>0</x:v>
      </x:c>
      <x:c r="AP1827" s="32" t="n">
        <x:f>AP1826+AN1827-AO1827</x:f>
        <x:v>0</x:v>
      </x:c>
      <x:c r="AQ1827" s="32" t="n">
        <x:f>AM1827+AO1827</x:f>
        <x:v>0</x:v>
      </x:c>
      <x:c r="AR1827" s="10" t="n">
        <x:f>IF(H1827=1,INDEX(v01_Req,G1827),0)</x:f>
        <x:v>0</x:v>
      </x:c>
      <x:c r="AS1827" s="32" t="n">
        <x:f>IF(H1827=1,IF(E1827=1,AS1826-AR1826,AS1826)+AQ1827,0)</x:f>
        <x:v>0</x:v>
      </x:c>
      <x:c r="AT1827" s="11" t="n">
        <x:f>IF(AR1827&gt;0,MIN(1,AS1827/AR1827),1)</x:f>
        <x:v>1</x:v>
      </x:c>
      <x:c r="AU1827" s="10" t="n">
        <x:f>AB1827/INDEX(v01_RepScale,G1827)</x:f>
        <x:v>90.09519605746344</x:v>
      </x:c>
      <x:c r="AV1827" s="32" t="n">
        <x:f>AM1827*60/v01_SeasonSeconds</x:f>
        <x:v>0</x:v>
      </x:c>
    </x:row>
    <x:row r="1828">
      <x:c r="A1828" s="8" t="n">
        <x:f>A1827+1</x:f>
        <x:v>1825</x:v>
      </x:c>
      <x:c r="B1828" s="9" t="n">
        <x:f>A1828*v01_SeasonSeconds/60</x:f>
        <x:v>456.25</x:v>
      </x:c>
      <x:c r="C1828" s="9" t="n">
        <x:f>A1828/4</x:f>
        <x:v>456.25</x:v>
      </x:c>
      <x:c r="D1828" s="8" t="n">
        <x:f>IF(MOD(A1828,4)=0,1,0)</x:f>
        <x:v>0</x:v>
      </x:c>
      <x:c r="E1828" s="8" t="n">
        <x:f>IF(AND(F1827&lt;=9,AS1827&gt;=AR1827),1,0)</x:f>
        <x:v>0</x:v>
      </x:c>
      <x:c r="F1828" s="8" t="n">
        <x:f>MIN(10,F1827+E1828)</x:f>
        <x:v>10</x:v>
      </x:c>
      <x:c r="G1828" s="8" t="n">
        <x:f>MIN(F1828,9)+1</x:f>
        <x:v>10</x:v>
      </x:c>
      <x:c r="H1828" s="8" t="n">
        <x:f>IF(F1828&lt;=9,1,0)</x:f>
        <x:v>0</x:v>
      </x:c>
      <x:c r="I1828" s="9" t="n">
        <x:f>MIN(10,F1827+IF(AR1827&gt;0,MIN(1,AS1827/AR1827),1))</x:f>
        <x:v>10</x:v>
      </x:c>
      <x:c r="J1828" s="32" t="n">
        <x:f>INDEX(v01_FoodCap,G1828)*Arch_FoodCap*EXP(v01_CapsByProject*SUMPRODUCT((Cap_Point&lt;=I1828)*(Cap_Kind="Food")*Cap_Ln))</x:f>
        <x:v>12000</x:v>
      </x:c>
      <x:c r="K1828" s="32" t="n">
        <x:f>J1828*MIN(1,v01_LeanBase*EXP(v01_CapsByProject*SUMPRODUCT((Cap_Point&lt;=I1828)*(Cap_Kind="Lean")*Cap_Ln)))</x:f>
        <x:v>12000</x:v>
      </x:c>
      <x:c r="L1828" s="10" t="n">
        <x:f>INDEX(v01_HousingCap,G1828)*EXP(v01_CapsByProject*SUMPRODUCT((Cap_Point&lt;=I1828)*(Cap_Kind="Housing")*Cap_Ln))</x:f>
        <x:v>20000</x:v>
      </x:c>
      <x:c r="M1828" s="10" t="n">
        <x:f>INDEX(v01_GroupCap,G1828)*v01_CohesionFactor*EXP(v01_CapsByProject*SUMPRODUCT((Cap_Point&lt;=I1828)*(Cap_Kind="Group")*Cap_Ln))</x:f>
        <x:v>1000000</x:v>
      </x:c>
      <x:c r="N1828" s="32" t="n">
        <x:f>MIN(J1828,L1828,M1828)</x:f>
        <x:v>12000</x:v>
      </x:c>
      <x:c r="O1828" s="10" t="n">
        <x:f>AE1827*N1828</x:f>
        <x:v>180000</x:v>
      </x:c>
      <x:c r="P1828" s="9" t="n">
        <x:f>MIN(1,(AB1827/(AE1827*IF(v01_GroupInCrowding=1,N1828,MIN(J1828,L1828))))^v01_CrowdingExp)</x:f>
        <x:v>0.00024569414295285325</x:v>
      </x:c>
      <x:c r="Q1828" s="9" t="n">
        <x:f>IF(D1828=1,INDEX(v01_WinterMult,G1828),1)</x:f>
        <x:v>1</x:v>
      </x:c>
      <x:c r="R1828" s="9" t="n">
        <x:f>H1828*Z1827*v01_WomenShare*v01_BaseFertility*INDEX(v01_FertMult,G1828)*Arch_Fertility*(1-P1828)</x:f>
        <x:v>0</x:v>
      </x:c>
      <x:c r="S1828" s="9" t="n">
        <x:f>H1828*Y1827*INDEX(v01_MortChild,G1828)/4*Q1828</x:f>
        <x:v>0</x:v>
      </x:c>
      <x:c r="T1828" s="9" t="n">
        <x:f>H1828*Z1827*INDEX(v01_MortAdult,G1828)*Arch_AdultMort/4*Q1828</x:f>
        <x:v>0</x:v>
      </x:c>
      <x:c r="U1828" s="9" t="n">
        <x:f>H1828*AA1827*INDEX(v01_MortElder,G1828)/4*Q1828</x:f>
        <x:v>0</x:v>
      </x:c>
      <x:c r="V1828" s="9" t="n">
        <x:f>H1828*MAX(0,AB1827-O1828)*v01_OvercapLoss</x:f>
        <x:v>0</x:v>
      </x:c>
      <x:c r="W1828" s="9" t="n">
        <x:f>H1828*Y1827/(v01_ChildYears*4)</x:f>
        <x:v>0</x:v>
      </x:c>
      <x:c r="X1828" s="9" t="n">
        <x:f>H1828*Z1827/(v01_AdultYears*4)</x:f>
        <x:v>0</x:v>
      </x:c>
      <x:c r="Y1828" s="32" t="n">
        <x:f>Y1827+R1828-S1828-W1828-Y1827*V1828/AB1827</x:f>
        <x:v>14306.18539759397</x:v>
      </x:c>
      <x:c r="Z1828" s="32" t="n">
        <x:f>Z1827+W1828-X1828-T1828-Z1827*V1828/AB1827</x:f>
        <x:v>19354.456567879548</x:v>
      </x:c>
      <x:c r="AA1828" s="32" t="n">
        <x:f>AA1827+X1828-U1828-AA1827*V1828/AB1827</x:f>
        <x:v>11386.956063258198</x:v>
      </x:c>
      <x:c r="AB1828" s="10" t="n">
        <x:f>Y1828+Z1828+AA1828</x:f>
        <x:v>45047.59802873172</x:v>
      </x:c>
      <x:c r="AC1828" s="8" t="n">
        <x:f>IF(AND(v01_WinterTrigger=1,D1828=1,AB1827/AE1827&gt;=K1828),1,0)</x:f>
        <x:v>0</x:v>
      </x:c>
      <x:c r="AD1828" s="8" t="n">
        <x:f>H1828*IF(AND(OR(AB1827/AE1827&gt;=v01_FissionTrigger*N1828,AC1828=1),AB1827/AE1827*v01_DaughterShare&gt;=v01_MinDaughter),MAX(1,ROUND(AE1827*v01_FissionRate,0)),0)</x:f>
        <x:v>0</x:v>
      </x:c>
      <x:c r="AE1828" s="8" t="n">
        <x:f>IF(H1828=1,MAX(1,MIN(INDEX(v01_Smax,G1828),AE1827+AD1828)),AE1827)</x:f>
        <x:v>15</x:v>
      </x:c>
      <x:c r="AF1828" s="8" t="n">
        <x:f>MAX(0,AE1828-AE1827)</x:f>
        <x:v>0</x:v>
      </x:c>
      <x:c r="AG1828" s="9" t="str">
        <x:f>IF(AF1828&gt;0,B1828,"")</x:f>
      </x:c>
      <x:c r="AH1828" s="9" t="n">
        <x:f>IF(F1828&gt;=1,1,(1+v01_LowTiesShare*(AE1828-1))/AE1828)</x:f>
        <x:v>1</x:v>
      </x:c>
      <x:c r="AI1828" s="32" t="n">
        <x:f>(Z1828+v01_ElderCommons*INDEX(LM_Elder,G1828)*AA1828)*AH1828</x:f>
        <x:v>64139.732591141874</x:v>
      </x:c>
      <x:c r="AJ1828" s="32" t="n">
        <x:f>H1828*v01_CommonsCoef*AI1828^v01_CommonsExp*INDEX(LM_Commons,G1828)</x:f>
        <x:v>0</x:v>
      </x:c>
      <x:c r="AK1828" s="32" t="n">
        <x:f>H1828*v01_RoleScale*Arch_Roles*(AE1828*(INDEX(v01_ElderRolePerSett,G1828)*v01_OutElder*INDEX(LM_Elder,G1828)+INDEX(v01_ShamanPerSett,G1828)*v01_OutShaman)+Z1828*(INDEX(v01_PriestShare,G1828)*v01_OutPriest+INDEX(v01_ScribeShare,G1828)*v01_OutScribe*INDEX(LM_Scribe,G1828)+INDEX(v01_ScholarShare,G1828)*v01_OutScholar*INDEX(LM_Scholar,G1828)+INDEX(v01_ResearcherShare,G1828)*v01_OutResearcher*INDEX(LM_Researcher,G1828)))</x:f>
        <x:v>0</x:v>
      </x:c>
      <x:c r="AL1828" s="32" t="n">
        <x:f>H1828*v01_RoleScale*Arch_Roles*AE1828*INDEX(v01_MonasteryPerSett,G1828)*v01_OutMonastery*INDEX(LM_Monastery,G1828)</x:f>
        <x:v>0</x:v>
      </x:c>
      <x:c r="AM1828" s="32" t="n">
        <x:f>(AJ1828+AK1828+AL1828)/4*INDEX(LM_All,G1828)*INDEX(v01_Boon,G1828)*Arch_Insight</x:f>
        <x:v>0</x:v>
      </x:c>
      <x:c r="AN1828" s="32" t="n">
        <x:f>H1828*(v01_KHPerAdult*Z1828+v01_KHOfCommons*AJ1828/4*INDEX(LM_All,G1828))*v01_KHUsable*Arch_KH</x:f>
        <x:v>0</x:v>
      </x:c>
      <x:c r="AO1828" s="32" t="n">
        <x:f>MIN(AP1827+AN1828,AM1828*v01_KHMaxRatio)</x:f>
        <x:v>0</x:v>
      </x:c>
      <x:c r="AP1828" s="32" t="n">
        <x:f>AP1827+AN1828-AO1828</x:f>
        <x:v>0</x:v>
      </x:c>
      <x:c r="AQ1828" s="32" t="n">
        <x:f>AM1828+AO1828</x:f>
        <x:v>0</x:v>
      </x:c>
      <x:c r="AR1828" s="10" t="n">
        <x:f>IF(H1828=1,INDEX(v01_Req,G1828),0)</x:f>
        <x:v>0</x:v>
      </x:c>
      <x:c r="AS1828" s="32" t="n">
        <x:f>IF(H1828=1,IF(E1828=1,AS1827-AR1827,AS1827)+AQ1828,0)</x:f>
        <x:v>0</x:v>
      </x:c>
      <x:c r="AT1828" s="11" t="n">
        <x:f>IF(AR1828&gt;0,MIN(1,AS1828/AR1828),1)</x:f>
        <x:v>1</x:v>
      </x:c>
      <x:c r="AU1828" s="10" t="n">
        <x:f>AB1828/INDEX(v01_RepScale,G1828)</x:f>
        <x:v>90.09519605746344</x:v>
      </x:c>
      <x:c r="AV1828" s="32" t="n">
        <x:f>AM1828*60/v01_SeasonSeconds</x:f>
        <x:v>0</x:v>
      </x:c>
    </x:row>
    <x:row r="1829">
      <x:c r="A1829" s="8" t="n">
        <x:f>A1828+1</x:f>
        <x:v>1826</x:v>
      </x:c>
      <x:c r="B1829" s="9" t="n">
        <x:f>A1829*v01_SeasonSeconds/60</x:f>
        <x:v>456.5</x:v>
      </x:c>
      <x:c r="C1829" s="9" t="n">
        <x:f>A1829/4</x:f>
        <x:v>456.5</x:v>
      </x:c>
      <x:c r="D1829" s="8" t="n">
        <x:f>IF(MOD(A1829,4)=0,1,0)</x:f>
        <x:v>0</x:v>
      </x:c>
      <x:c r="E1829" s="8" t="n">
        <x:f>IF(AND(F1828&lt;=9,AS1828&gt;=AR1828),1,0)</x:f>
        <x:v>0</x:v>
      </x:c>
      <x:c r="F1829" s="8" t="n">
        <x:f>MIN(10,F1828+E1829)</x:f>
        <x:v>10</x:v>
      </x:c>
      <x:c r="G1829" s="8" t="n">
        <x:f>MIN(F1829,9)+1</x:f>
        <x:v>10</x:v>
      </x:c>
      <x:c r="H1829" s="8" t="n">
        <x:f>IF(F1829&lt;=9,1,0)</x:f>
        <x:v>0</x:v>
      </x:c>
      <x:c r="I1829" s="9" t="n">
        <x:f>MIN(10,F1828+IF(AR1828&gt;0,MIN(1,AS1828/AR1828),1))</x:f>
        <x:v>10</x:v>
      </x:c>
      <x:c r="J1829" s="32" t="n">
        <x:f>INDEX(v01_FoodCap,G1829)*Arch_FoodCap*EXP(v01_CapsByProject*SUMPRODUCT((Cap_Point&lt;=I1829)*(Cap_Kind="Food")*Cap_Ln))</x:f>
        <x:v>12000</x:v>
      </x:c>
      <x:c r="K1829" s="32" t="n">
        <x:f>J1829*MIN(1,v01_LeanBase*EXP(v01_CapsByProject*SUMPRODUCT((Cap_Point&lt;=I1829)*(Cap_Kind="Lean")*Cap_Ln)))</x:f>
        <x:v>12000</x:v>
      </x:c>
      <x:c r="L1829" s="10" t="n">
        <x:f>INDEX(v01_HousingCap,G1829)*EXP(v01_CapsByProject*SUMPRODUCT((Cap_Point&lt;=I1829)*(Cap_Kind="Housing")*Cap_Ln))</x:f>
        <x:v>20000</x:v>
      </x:c>
      <x:c r="M1829" s="10" t="n">
        <x:f>INDEX(v01_GroupCap,G1829)*v01_CohesionFactor*EXP(v01_CapsByProject*SUMPRODUCT((Cap_Point&lt;=I1829)*(Cap_Kind="Group")*Cap_Ln))</x:f>
        <x:v>1000000</x:v>
      </x:c>
      <x:c r="N1829" s="32" t="n">
        <x:f>MIN(J1829,L1829,M1829)</x:f>
        <x:v>12000</x:v>
      </x:c>
      <x:c r="O1829" s="10" t="n">
        <x:f>AE1828*N1829</x:f>
        <x:v>180000</x:v>
      </x:c>
      <x:c r="P1829" s="9" t="n">
        <x:f>MIN(1,(AB1828/(AE1828*IF(v01_GroupInCrowding=1,N1829,MIN(J1829,L1829))))^v01_CrowdingExp)</x:f>
        <x:v>0.00024569414295285325</x:v>
      </x:c>
      <x:c r="Q1829" s="9" t="n">
        <x:f>IF(D1829=1,INDEX(v01_WinterMult,G1829),1)</x:f>
        <x:v>1</x:v>
      </x:c>
      <x:c r="R1829" s="9" t="n">
        <x:f>H1829*Z1828*v01_WomenShare*v01_BaseFertility*INDEX(v01_FertMult,G1829)*Arch_Fertility*(1-P1829)</x:f>
        <x:v>0</x:v>
      </x:c>
      <x:c r="S1829" s="9" t="n">
        <x:f>H1829*Y1828*INDEX(v01_MortChild,G1829)/4*Q1829</x:f>
        <x:v>0</x:v>
      </x:c>
      <x:c r="T1829" s="9" t="n">
        <x:f>H1829*Z1828*INDEX(v01_MortAdult,G1829)*Arch_AdultMort/4*Q1829</x:f>
        <x:v>0</x:v>
      </x:c>
      <x:c r="U1829" s="9" t="n">
        <x:f>H1829*AA1828*INDEX(v01_MortElder,G1829)/4*Q1829</x:f>
        <x:v>0</x:v>
      </x:c>
      <x:c r="V1829" s="9" t="n">
        <x:f>H1829*MAX(0,AB1828-O1829)*v01_OvercapLoss</x:f>
        <x:v>0</x:v>
      </x:c>
      <x:c r="W1829" s="9" t="n">
        <x:f>H1829*Y1828/(v01_ChildYears*4)</x:f>
        <x:v>0</x:v>
      </x:c>
      <x:c r="X1829" s="9" t="n">
        <x:f>H1829*Z1828/(v01_AdultYears*4)</x:f>
        <x:v>0</x:v>
      </x:c>
      <x:c r="Y1829" s="32" t="n">
        <x:f>Y1828+R1829-S1829-W1829-Y1828*V1829/AB1828</x:f>
        <x:v>14306.18539759397</x:v>
      </x:c>
      <x:c r="Z1829" s="32" t="n">
        <x:f>Z1828+W1829-X1829-T1829-Z1828*V1829/AB1828</x:f>
        <x:v>19354.456567879548</x:v>
      </x:c>
      <x:c r="AA1829" s="32" t="n">
        <x:f>AA1828+X1829-U1829-AA1828*V1829/AB1828</x:f>
        <x:v>11386.956063258198</x:v>
      </x:c>
      <x:c r="AB1829" s="10" t="n">
        <x:f>Y1829+Z1829+AA1829</x:f>
        <x:v>45047.59802873172</x:v>
      </x:c>
      <x:c r="AC1829" s="8" t="n">
        <x:f>IF(AND(v01_WinterTrigger=1,D1829=1,AB1828/AE1828&gt;=K1829),1,0)</x:f>
        <x:v>0</x:v>
      </x:c>
      <x:c r="AD1829" s="8" t="n">
        <x:f>H1829*IF(AND(OR(AB1828/AE1828&gt;=v01_FissionTrigger*N1829,AC1829=1),AB1828/AE1828*v01_DaughterShare&gt;=v01_MinDaughter),MAX(1,ROUND(AE1828*v01_FissionRate,0)),0)</x:f>
        <x:v>0</x:v>
      </x:c>
      <x:c r="AE1829" s="8" t="n">
        <x:f>IF(H1829=1,MAX(1,MIN(INDEX(v01_Smax,G1829),AE1828+AD1829)),AE1828)</x:f>
        <x:v>15</x:v>
      </x:c>
      <x:c r="AF1829" s="8" t="n">
        <x:f>MAX(0,AE1829-AE1828)</x:f>
        <x:v>0</x:v>
      </x:c>
      <x:c r="AG1829" s="9" t="str">
        <x:f>IF(AF1829&gt;0,B1829,"")</x:f>
      </x:c>
      <x:c r="AH1829" s="9" t="n">
        <x:f>IF(F1829&gt;=1,1,(1+v01_LowTiesShare*(AE1829-1))/AE1829)</x:f>
        <x:v>1</x:v>
      </x:c>
      <x:c r="AI1829" s="32" t="n">
        <x:f>(Z1829+v01_ElderCommons*INDEX(LM_Elder,G1829)*AA1829)*AH1829</x:f>
        <x:v>64139.732591141874</x:v>
      </x:c>
      <x:c r="AJ1829" s="32" t="n">
        <x:f>H1829*v01_CommonsCoef*AI1829^v01_CommonsExp*INDEX(LM_Commons,G1829)</x:f>
        <x:v>0</x:v>
      </x:c>
      <x:c r="AK1829" s="32" t="n">
        <x:f>H1829*v01_RoleScale*Arch_Roles*(AE1829*(INDEX(v01_ElderRolePerSett,G1829)*v01_OutElder*INDEX(LM_Elder,G1829)+INDEX(v01_ShamanPerSett,G1829)*v01_OutShaman)+Z1829*(INDEX(v01_PriestShare,G1829)*v01_OutPriest+INDEX(v01_ScribeShare,G1829)*v01_OutScribe*INDEX(LM_Scribe,G1829)+INDEX(v01_ScholarShare,G1829)*v01_OutScholar*INDEX(LM_Scholar,G1829)+INDEX(v01_ResearcherShare,G1829)*v01_OutResearcher*INDEX(LM_Researcher,G1829)))</x:f>
        <x:v>0</x:v>
      </x:c>
      <x:c r="AL1829" s="32" t="n">
        <x:f>H1829*v01_RoleScale*Arch_Roles*AE1829*INDEX(v01_MonasteryPerSett,G1829)*v01_OutMonastery*INDEX(LM_Monastery,G1829)</x:f>
        <x:v>0</x:v>
      </x:c>
      <x:c r="AM1829" s="32" t="n">
        <x:f>(AJ1829+AK1829+AL1829)/4*INDEX(LM_All,G1829)*INDEX(v01_Boon,G1829)*Arch_Insight</x:f>
        <x:v>0</x:v>
      </x:c>
      <x:c r="AN1829" s="32" t="n">
        <x:f>H1829*(v01_KHPerAdult*Z1829+v01_KHOfCommons*AJ1829/4*INDEX(LM_All,G1829))*v01_KHUsable*Arch_KH</x:f>
        <x:v>0</x:v>
      </x:c>
      <x:c r="AO1829" s="32" t="n">
        <x:f>MIN(AP1828+AN1829,AM1829*v01_KHMaxRatio)</x:f>
        <x:v>0</x:v>
      </x:c>
      <x:c r="AP1829" s="32" t="n">
        <x:f>AP1828+AN1829-AO1829</x:f>
        <x:v>0</x:v>
      </x:c>
      <x:c r="AQ1829" s="32" t="n">
        <x:f>AM1829+AO1829</x:f>
        <x:v>0</x:v>
      </x:c>
      <x:c r="AR1829" s="10" t="n">
        <x:f>IF(H1829=1,INDEX(v01_Req,G1829),0)</x:f>
        <x:v>0</x:v>
      </x:c>
      <x:c r="AS1829" s="32" t="n">
        <x:f>IF(H1829=1,IF(E1829=1,AS1828-AR1828,AS1828)+AQ1829,0)</x:f>
        <x:v>0</x:v>
      </x:c>
      <x:c r="AT1829" s="11" t="n">
        <x:f>IF(AR1829&gt;0,MIN(1,AS1829/AR1829),1)</x:f>
        <x:v>1</x:v>
      </x:c>
      <x:c r="AU1829" s="10" t="n">
        <x:f>AB1829/INDEX(v01_RepScale,G1829)</x:f>
        <x:v>90.09519605746344</x:v>
      </x:c>
      <x:c r="AV1829" s="32" t="n">
        <x:f>AM1829*60/v01_SeasonSeconds</x:f>
        <x:v>0</x:v>
      </x:c>
    </x:row>
    <x:row r="1830">
      <x:c r="A1830" s="8" t="n">
        <x:f>A1829+1</x:f>
        <x:v>1827</x:v>
      </x:c>
      <x:c r="B1830" s="9" t="n">
        <x:f>A1830*v01_SeasonSeconds/60</x:f>
        <x:v>456.75</x:v>
      </x:c>
      <x:c r="C1830" s="9" t="n">
        <x:f>A1830/4</x:f>
        <x:v>456.75</x:v>
      </x:c>
      <x:c r="D1830" s="8" t="n">
        <x:f>IF(MOD(A1830,4)=0,1,0)</x:f>
        <x:v>0</x:v>
      </x:c>
      <x:c r="E1830" s="8" t="n">
        <x:f>IF(AND(F1829&lt;=9,AS1829&gt;=AR1829),1,0)</x:f>
        <x:v>0</x:v>
      </x:c>
      <x:c r="F1830" s="8" t="n">
        <x:f>MIN(10,F1829+E1830)</x:f>
        <x:v>10</x:v>
      </x:c>
      <x:c r="G1830" s="8" t="n">
        <x:f>MIN(F1830,9)+1</x:f>
        <x:v>10</x:v>
      </x:c>
      <x:c r="H1830" s="8" t="n">
        <x:f>IF(F1830&lt;=9,1,0)</x:f>
        <x:v>0</x:v>
      </x:c>
      <x:c r="I1830" s="9" t="n">
        <x:f>MIN(10,F1829+IF(AR1829&gt;0,MIN(1,AS1829/AR1829),1))</x:f>
        <x:v>10</x:v>
      </x:c>
      <x:c r="J1830" s="32" t="n">
        <x:f>INDEX(v01_FoodCap,G1830)*Arch_FoodCap*EXP(v01_CapsByProject*SUMPRODUCT((Cap_Point&lt;=I1830)*(Cap_Kind="Food")*Cap_Ln))</x:f>
        <x:v>12000</x:v>
      </x:c>
      <x:c r="K1830" s="32" t="n">
        <x:f>J1830*MIN(1,v01_LeanBase*EXP(v01_CapsByProject*SUMPRODUCT((Cap_Point&lt;=I1830)*(Cap_Kind="Lean")*Cap_Ln)))</x:f>
        <x:v>12000</x:v>
      </x:c>
      <x:c r="L1830" s="10" t="n">
        <x:f>INDEX(v01_HousingCap,G1830)*EXP(v01_CapsByProject*SUMPRODUCT((Cap_Point&lt;=I1830)*(Cap_Kind="Housing")*Cap_Ln))</x:f>
        <x:v>20000</x:v>
      </x:c>
      <x:c r="M1830" s="10" t="n">
        <x:f>INDEX(v01_GroupCap,G1830)*v01_CohesionFactor*EXP(v01_CapsByProject*SUMPRODUCT((Cap_Point&lt;=I1830)*(Cap_Kind="Group")*Cap_Ln))</x:f>
        <x:v>1000000</x:v>
      </x:c>
      <x:c r="N1830" s="32" t="n">
        <x:f>MIN(J1830,L1830,M1830)</x:f>
        <x:v>12000</x:v>
      </x:c>
      <x:c r="O1830" s="10" t="n">
        <x:f>AE1829*N1830</x:f>
        <x:v>180000</x:v>
      </x:c>
      <x:c r="P1830" s="9" t="n">
        <x:f>MIN(1,(AB1829/(AE1829*IF(v01_GroupInCrowding=1,N1830,MIN(J1830,L1830))))^v01_CrowdingExp)</x:f>
        <x:v>0.00024569414295285325</x:v>
      </x:c>
      <x:c r="Q1830" s="9" t="n">
        <x:f>IF(D1830=1,INDEX(v01_WinterMult,G1830),1)</x:f>
        <x:v>1</x:v>
      </x:c>
      <x:c r="R1830" s="9" t="n">
        <x:f>H1830*Z1829*v01_WomenShare*v01_BaseFertility*INDEX(v01_FertMult,G1830)*Arch_Fertility*(1-P1830)</x:f>
        <x:v>0</x:v>
      </x:c>
      <x:c r="S1830" s="9" t="n">
        <x:f>H1830*Y1829*INDEX(v01_MortChild,G1830)/4*Q1830</x:f>
        <x:v>0</x:v>
      </x:c>
      <x:c r="T1830" s="9" t="n">
        <x:f>H1830*Z1829*INDEX(v01_MortAdult,G1830)*Arch_AdultMort/4*Q1830</x:f>
        <x:v>0</x:v>
      </x:c>
      <x:c r="U1830" s="9" t="n">
        <x:f>H1830*AA1829*INDEX(v01_MortElder,G1830)/4*Q1830</x:f>
        <x:v>0</x:v>
      </x:c>
      <x:c r="V1830" s="9" t="n">
        <x:f>H1830*MAX(0,AB1829-O1830)*v01_OvercapLoss</x:f>
        <x:v>0</x:v>
      </x:c>
      <x:c r="W1830" s="9" t="n">
        <x:f>H1830*Y1829/(v01_ChildYears*4)</x:f>
        <x:v>0</x:v>
      </x:c>
      <x:c r="X1830" s="9" t="n">
        <x:f>H1830*Z1829/(v01_AdultYears*4)</x:f>
        <x:v>0</x:v>
      </x:c>
      <x:c r="Y1830" s="32" t="n">
        <x:f>Y1829+R1830-S1830-W1830-Y1829*V1830/AB1829</x:f>
        <x:v>14306.18539759397</x:v>
      </x:c>
      <x:c r="Z1830" s="32" t="n">
        <x:f>Z1829+W1830-X1830-T1830-Z1829*V1830/AB1829</x:f>
        <x:v>19354.456567879548</x:v>
      </x:c>
      <x:c r="AA1830" s="32" t="n">
        <x:f>AA1829+X1830-U1830-AA1829*V1830/AB1829</x:f>
        <x:v>11386.956063258198</x:v>
      </x:c>
      <x:c r="AB1830" s="10" t="n">
        <x:f>Y1830+Z1830+AA1830</x:f>
        <x:v>45047.59802873172</x:v>
      </x:c>
      <x:c r="AC1830" s="8" t="n">
        <x:f>IF(AND(v01_WinterTrigger=1,D1830=1,AB1829/AE1829&gt;=K1830),1,0)</x:f>
        <x:v>0</x:v>
      </x:c>
      <x:c r="AD1830" s="8" t="n">
        <x:f>H1830*IF(AND(OR(AB1829/AE1829&gt;=v01_FissionTrigger*N1830,AC1830=1),AB1829/AE1829*v01_DaughterShare&gt;=v01_MinDaughter),MAX(1,ROUND(AE1829*v01_FissionRate,0)),0)</x:f>
        <x:v>0</x:v>
      </x:c>
      <x:c r="AE1830" s="8" t="n">
        <x:f>IF(H1830=1,MAX(1,MIN(INDEX(v01_Smax,G1830),AE1829+AD1830)),AE1829)</x:f>
        <x:v>15</x:v>
      </x:c>
      <x:c r="AF1830" s="8" t="n">
        <x:f>MAX(0,AE1830-AE1829)</x:f>
        <x:v>0</x:v>
      </x:c>
      <x:c r="AG1830" s="9" t="str">
        <x:f>IF(AF1830&gt;0,B1830,"")</x:f>
      </x:c>
      <x:c r="AH1830" s="9" t="n">
        <x:f>IF(F1830&gt;=1,1,(1+v01_LowTiesShare*(AE1830-1))/AE1830)</x:f>
        <x:v>1</x:v>
      </x:c>
      <x:c r="AI1830" s="32" t="n">
        <x:f>(Z1830+v01_ElderCommons*INDEX(LM_Elder,G1830)*AA1830)*AH1830</x:f>
        <x:v>64139.732591141874</x:v>
      </x:c>
      <x:c r="AJ1830" s="32" t="n">
        <x:f>H1830*v01_CommonsCoef*AI1830^v01_CommonsExp*INDEX(LM_Commons,G1830)</x:f>
        <x:v>0</x:v>
      </x:c>
      <x:c r="AK1830" s="32" t="n">
        <x:f>H1830*v01_RoleScale*Arch_Roles*(AE1830*(INDEX(v01_ElderRolePerSett,G1830)*v01_OutElder*INDEX(LM_Elder,G1830)+INDEX(v01_ShamanPerSett,G1830)*v01_OutShaman)+Z1830*(INDEX(v01_PriestShare,G1830)*v01_OutPriest+INDEX(v01_ScribeShare,G1830)*v01_OutScribe*INDEX(LM_Scribe,G1830)+INDEX(v01_ScholarShare,G1830)*v01_OutScholar*INDEX(LM_Scholar,G1830)+INDEX(v01_ResearcherShare,G1830)*v01_OutResearcher*INDEX(LM_Researcher,G1830)))</x:f>
        <x:v>0</x:v>
      </x:c>
      <x:c r="AL1830" s="32" t="n">
        <x:f>H1830*v01_RoleScale*Arch_Roles*AE1830*INDEX(v01_MonasteryPerSett,G1830)*v01_OutMonastery*INDEX(LM_Monastery,G1830)</x:f>
        <x:v>0</x:v>
      </x:c>
      <x:c r="AM1830" s="32" t="n">
        <x:f>(AJ1830+AK1830+AL1830)/4*INDEX(LM_All,G1830)*INDEX(v01_Boon,G1830)*Arch_Insight</x:f>
        <x:v>0</x:v>
      </x:c>
      <x:c r="AN1830" s="32" t="n">
        <x:f>H1830*(v01_KHPerAdult*Z1830+v01_KHOfCommons*AJ1830/4*INDEX(LM_All,G1830))*v01_KHUsable*Arch_KH</x:f>
        <x:v>0</x:v>
      </x:c>
      <x:c r="AO1830" s="32" t="n">
        <x:f>MIN(AP1829+AN1830,AM1830*v01_KHMaxRatio)</x:f>
        <x:v>0</x:v>
      </x:c>
      <x:c r="AP1830" s="32" t="n">
        <x:f>AP1829+AN1830-AO1830</x:f>
        <x:v>0</x:v>
      </x:c>
      <x:c r="AQ1830" s="32" t="n">
        <x:f>AM1830+AO1830</x:f>
        <x:v>0</x:v>
      </x:c>
      <x:c r="AR1830" s="10" t="n">
        <x:f>IF(H1830=1,INDEX(v01_Req,G1830),0)</x:f>
        <x:v>0</x:v>
      </x:c>
      <x:c r="AS1830" s="32" t="n">
        <x:f>IF(H1830=1,IF(E1830=1,AS1829-AR1829,AS1829)+AQ1830,0)</x:f>
        <x:v>0</x:v>
      </x:c>
      <x:c r="AT1830" s="11" t="n">
        <x:f>IF(AR1830&gt;0,MIN(1,AS1830/AR1830),1)</x:f>
        <x:v>1</x:v>
      </x:c>
      <x:c r="AU1830" s="10" t="n">
        <x:f>AB1830/INDEX(v01_RepScale,G1830)</x:f>
        <x:v>90.09519605746344</x:v>
      </x:c>
      <x:c r="AV1830" s="32" t="n">
        <x:f>AM1830*60/v01_SeasonSeconds</x:f>
        <x:v>0</x:v>
      </x:c>
    </x:row>
    <x:row r="1831">
      <x:c r="A1831" s="8" t="n">
        <x:f>A1830+1</x:f>
        <x:v>1828</x:v>
      </x:c>
      <x:c r="B1831" s="9" t="n">
        <x:f>A1831*v01_SeasonSeconds/60</x:f>
        <x:v>457</x:v>
      </x:c>
      <x:c r="C1831" s="9" t="n">
        <x:f>A1831/4</x:f>
        <x:v>457</x:v>
      </x:c>
      <x:c r="D1831" s="8" t="n">
        <x:f>IF(MOD(A1831,4)=0,1,0)</x:f>
        <x:v>1</x:v>
      </x:c>
      <x:c r="E1831" s="8" t="n">
        <x:f>IF(AND(F1830&lt;=9,AS1830&gt;=AR1830),1,0)</x:f>
        <x:v>0</x:v>
      </x:c>
      <x:c r="F1831" s="8" t="n">
        <x:f>MIN(10,F1830+E1831)</x:f>
        <x:v>10</x:v>
      </x:c>
      <x:c r="G1831" s="8" t="n">
        <x:f>MIN(F1831,9)+1</x:f>
        <x:v>10</x:v>
      </x:c>
      <x:c r="H1831" s="8" t="n">
        <x:f>IF(F1831&lt;=9,1,0)</x:f>
        <x:v>0</x:v>
      </x:c>
      <x:c r="I1831" s="9" t="n">
        <x:f>MIN(10,F1830+IF(AR1830&gt;0,MIN(1,AS1830/AR1830),1))</x:f>
        <x:v>10</x:v>
      </x:c>
      <x:c r="J1831" s="32" t="n">
        <x:f>INDEX(v01_FoodCap,G1831)*Arch_FoodCap*EXP(v01_CapsByProject*SUMPRODUCT((Cap_Point&lt;=I1831)*(Cap_Kind="Food")*Cap_Ln))</x:f>
        <x:v>12000</x:v>
      </x:c>
      <x:c r="K1831" s="32" t="n">
        <x:f>J1831*MIN(1,v01_LeanBase*EXP(v01_CapsByProject*SUMPRODUCT((Cap_Point&lt;=I1831)*(Cap_Kind="Lean")*Cap_Ln)))</x:f>
        <x:v>12000</x:v>
      </x:c>
      <x:c r="L1831" s="10" t="n">
        <x:f>INDEX(v01_HousingCap,G1831)*EXP(v01_CapsByProject*SUMPRODUCT((Cap_Point&lt;=I1831)*(Cap_Kind="Housing")*Cap_Ln))</x:f>
        <x:v>20000</x:v>
      </x:c>
      <x:c r="M1831" s="10" t="n">
        <x:f>INDEX(v01_GroupCap,G1831)*v01_CohesionFactor*EXP(v01_CapsByProject*SUMPRODUCT((Cap_Point&lt;=I1831)*(Cap_Kind="Group")*Cap_Ln))</x:f>
        <x:v>1000000</x:v>
      </x:c>
      <x:c r="N1831" s="32" t="n">
        <x:f>MIN(J1831,L1831,M1831)</x:f>
        <x:v>12000</x:v>
      </x:c>
      <x:c r="O1831" s="10" t="n">
        <x:f>AE1830*N1831</x:f>
        <x:v>180000</x:v>
      </x:c>
      <x:c r="P1831" s="9" t="n">
        <x:f>MIN(1,(AB1830/(AE1830*IF(v01_GroupInCrowding=1,N1831,MIN(J1831,L1831))))^v01_CrowdingExp)</x:f>
        <x:v>0.00024569414295285325</x:v>
      </x:c>
      <x:c r="Q1831" s="9" t="n">
        <x:f>IF(D1831=1,INDEX(v01_WinterMult,G1831),1)</x:f>
        <x:v>1</x:v>
      </x:c>
      <x:c r="R1831" s="9" t="n">
        <x:f>H1831*Z1830*v01_WomenShare*v01_BaseFertility*INDEX(v01_FertMult,G1831)*Arch_Fertility*(1-P1831)</x:f>
        <x:v>0</x:v>
      </x:c>
      <x:c r="S1831" s="9" t="n">
        <x:f>H1831*Y1830*INDEX(v01_MortChild,G1831)/4*Q1831</x:f>
        <x:v>0</x:v>
      </x:c>
      <x:c r="T1831" s="9" t="n">
        <x:f>H1831*Z1830*INDEX(v01_MortAdult,G1831)*Arch_AdultMort/4*Q1831</x:f>
        <x:v>0</x:v>
      </x:c>
      <x:c r="U1831" s="9" t="n">
        <x:f>H1831*AA1830*INDEX(v01_MortElder,G1831)/4*Q1831</x:f>
        <x:v>0</x:v>
      </x:c>
      <x:c r="V1831" s="9" t="n">
        <x:f>H1831*MAX(0,AB1830-O1831)*v01_OvercapLoss</x:f>
        <x:v>0</x:v>
      </x:c>
      <x:c r="W1831" s="9" t="n">
        <x:f>H1831*Y1830/(v01_ChildYears*4)</x:f>
        <x:v>0</x:v>
      </x:c>
      <x:c r="X1831" s="9" t="n">
        <x:f>H1831*Z1830/(v01_AdultYears*4)</x:f>
        <x:v>0</x:v>
      </x:c>
      <x:c r="Y1831" s="32" t="n">
        <x:f>Y1830+R1831-S1831-W1831-Y1830*V1831/AB1830</x:f>
        <x:v>14306.18539759397</x:v>
      </x:c>
      <x:c r="Z1831" s="32" t="n">
        <x:f>Z1830+W1831-X1831-T1831-Z1830*V1831/AB1830</x:f>
        <x:v>19354.456567879548</x:v>
      </x:c>
      <x:c r="AA1831" s="32" t="n">
        <x:f>AA1830+X1831-U1831-AA1830*V1831/AB1830</x:f>
        <x:v>11386.956063258198</x:v>
      </x:c>
      <x:c r="AB1831" s="10" t="n">
        <x:f>Y1831+Z1831+AA1831</x:f>
        <x:v>45047.59802873172</x:v>
      </x:c>
      <x:c r="AC1831" s="8" t="n">
        <x:f>IF(AND(v01_WinterTrigger=1,D1831=1,AB1830/AE1830&gt;=K1831),1,0)</x:f>
        <x:v>0</x:v>
      </x:c>
      <x:c r="AD1831" s="8" t="n">
        <x:f>H1831*IF(AND(OR(AB1830/AE1830&gt;=v01_FissionTrigger*N1831,AC1831=1),AB1830/AE1830*v01_DaughterShare&gt;=v01_MinDaughter),MAX(1,ROUND(AE1830*v01_FissionRate,0)),0)</x:f>
        <x:v>0</x:v>
      </x:c>
      <x:c r="AE1831" s="8" t="n">
        <x:f>IF(H1831=1,MAX(1,MIN(INDEX(v01_Smax,G1831),AE1830+AD1831)),AE1830)</x:f>
        <x:v>15</x:v>
      </x:c>
      <x:c r="AF1831" s="8" t="n">
        <x:f>MAX(0,AE1831-AE1830)</x:f>
        <x:v>0</x:v>
      </x:c>
      <x:c r="AG1831" s="9" t="str">
        <x:f>IF(AF1831&gt;0,B1831,"")</x:f>
      </x:c>
      <x:c r="AH1831" s="9" t="n">
        <x:f>IF(F1831&gt;=1,1,(1+v01_LowTiesShare*(AE1831-1))/AE1831)</x:f>
        <x:v>1</x:v>
      </x:c>
      <x:c r="AI1831" s="32" t="n">
        <x:f>(Z1831+v01_ElderCommons*INDEX(LM_Elder,G1831)*AA1831)*AH1831</x:f>
        <x:v>64139.732591141874</x:v>
      </x:c>
      <x:c r="AJ1831" s="32" t="n">
        <x:f>H1831*v01_CommonsCoef*AI1831^v01_CommonsExp*INDEX(LM_Commons,G1831)</x:f>
        <x:v>0</x:v>
      </x:c>
      <x:c r="AK1831" s="32" t="n">
        <x:f>H1831*v01_RoleScale*Arch_Roles*(AE1831*(INDEX(v01_ElderRolePerSett,G1831)*v01_OutElder*INDEX(LM_Elder,G1831)+INDEX(v01_ShamanPerSett,G1831)*v01_OutShaman)+Z1831*(INDEX(v01_PriestShare,G1831)*v01_OutPriest+INDEX(v01_ScribeShare,G1831)*v01_OutScribe*INDEX(LM_Scribe,G1831)+INDEX(v01_ScholarShare,G1831)*v01_OutScholar*INDEX(LM_Scholar,G1831)+INDEX(v01_ResearcherShare,G1831)*v01_OutResearcher*INDEX(LM_Researcher,G1831)))</x:f>
        <x:v>0</x:v>
      </x:c>
      <x:c r="AL1831" s="32" t="n">
        <x:f>H1831*v01_RoleScale*Arch_Roles*AE1831*INDEX(v01_MonasteryPerSett,G1831)*v01_OutMonastery*INDEX(LM_Monastery,G1831)</x:f>
        <x:v>0</x:v>
      </x:c>
      <x:c r="AM1831" s="32" t="n">
        <x:f>(AJ1831+AK1831+AL1831)/4*INDEX(LM_All,G1831)*INDEX(v01_Boon,G1831)*Arch_Insight</x:f>
        <x:v>0</x:v>
      </x:c>
      <x:c r="AN1831" s="32" t="n">
        <x:f>H1831*(v01_KHPerAdult*Z1831+v01_KHOfCommons*AJ1831/4*INDEX(LM_All,G1831))*v01_KHUsable*Arch_KH</x:f>
        <x:v>0</x:v>
      </x:c>
      <x:c r="AO1831" s="32" t="n">
        <x:f>MIN(AP1830+AN1831,AM1831*v01_KHMaxRatio)</x:f>
        <x:v>0</x:v>
      </x:c>
      <x:c r="AP1831" s="32" t="n">
        <x:f>AP1830+AN1831-AO1831</x:f>
        <x:v>0</x:v>
      </x:c>
      <x:c r="AQ1831" s="32" t="n">
        <x:f>AM1831+AO1831</x:f>
        <x:v>0</x:v>
      </x:c>
      <x:c r="AR1831" s="10" t="n">
        <x:f>IF(H1831=1,INDEX(v01_Req,G1831),0)</x:f>
        <x:v>0</x:v>
      </x:c>
      <x:c r="AS1831" s="32" t="n">
        <x:f>IF(H1831=1,IF(E1831=1,AS1830-AR1830,AS1830)+AQ1831,0)</x:f>
        <x:v>0</x:v>
      </x:c>
      <x:c r="AT1831" s="11" t="n">
        <x:f>IF(AR1831&gt;0,MIN(1,AS1831/AR1831),1)</x:f>
        <x:v>1</x:v>
      </x:c>
      <x:c r="AU1831" s="10" t="n">
        <x:f>AB1831/INDEX(v01_RepScale,G1831)</x:f>
        <x:v>90.09519605746344</x:v>
      </x:c>
      <x:c r="AV1831" s="32" t="n">
        <x:f>AM1831*60/v01_SeasonSeconds</x:f>
        <x:v>0</x:v>
      </x:c>
    </x:row>
    <x:row r="1832">
      <x:c r="A1832" s="8" t="n">
        <x:f>A1831+1</x:f>
        <x:v>1829</x:v>
      </x:c>
      <x:c r="B1832" s="9" t="n">
        <x:f>A1832*v01_SeasonSeconds/60</x:f>
        <x:v>457.25</x:v>
      </x:c>
      <x:c r="C1832" s="9" t="n">
        <x:f>A1832/4</x:f>
        <x:v>457.25</x:v>
      </x:c>
      <x:c r="D1832" s="8" t="n">
        <x:f>IF(MOD(A1832,4)=0,1,0)</x:f>
        <x:v>0</x:v>
      </x:c>
      <x:c r="E1832" s="8" t="n">
        <x:f>IF(AND(F1831&lt;=9,AS1831&gt;=AR1831),1,0)</x:f>
        <x:v>0</x:v>
      </x:c>
      <x:c r="F1832" s="8" t="n">
        <x:f>MIN(10,F1831+E1832)</x:f>
        <x:v>10</x:v>
      </x:c>
      <x:c r="G1832" s="8" t="n">
        <x:f>MIN(F1832,9)+1</x:f>
        <x:v>10</x:v>
      </x:c>
      <x:c r="H1832" s="8" t="n">
        <x:f>IF(F1832&lt;=9,1,0)</x:f>
        <x:v>0</x:v>
      </x:c>
      <x:c r="I1832" s="9" t="n">
        <x:f>MIN(10,F1831+IF(AR1831&gt;0,MIN(1,AS1831/AR1831),1))</x:f>
        <x:v>10</x:v>
      </x:c>
      <x:c r="J1832" s="32" t="n">
        <x:f>INDEX(v01_FoodCap,G1832)*Arch_FoodCap*EXP(v01_CapsByProject*SUMPRODUCT((Cap_Point&lt;=I1832)*(Cap_Kind="Food")*Cap_Ln))</x:f>
        <x:v>12000</x:v>
      </x:c>
      <x:c r="K1832" s="32" t="n">
        <x:f>J1832*MIN(1,v01_LeanBase*EXP(v01_CapsByProject*SUMPRODUCT((Cap_Point&lt;=I1832)*(Cap_Kind="Lean")*Cap_Ln)))</x:f>
        <x:v>12000</x:v>
      </x:c>
      <x:c r="L1832" s="10" t="n">
        <x:f>INDEX(v01_HousingCap,G1832)*EXP(v01_CapsByProject*SUMPRODUCT((Cap_Point&lt;=I1832)*(Cap_Kind="Housing")*Cap_Ln))</x:f>
        <x:v>20000</x:v>
      </x:c>
      <x:c r="M1832" s="10" t="n">
        <x:f>INDEX(v01_GroupCap,G1832)*v01_CohesionFactor*EXP(v01_CapsByProject*SUMPRODUCT((Cap_Point&lt;=I1832)*(Cap_Kind="Group")*Cap_Ln))</x:f>
        <x:v>1000000</x:v>
      </x:c>
      <x:c r="N1832" s="32" t="n">
        <x:f>MIN(J1832,L1832,M1832)</x:f>
        <x:v>12000</x:v>
      </x:c>
      <x:c r="O1832" s="10" t="n">
        <x:f>AE1831*N1832</x:f>
        <x:v>180000</x:v>
      </x:c>
      <x:c r="P1832" s="9" t="n">
        <x:f>MIN(1,(AB1831/(AE1831*IF(v01_GroupInCrowding=1,N1832,MIN(J1832,L1832))))^v01_CrowdingExp)</x:f>
        <x:v>0.00024569414295285325</x:v>
      </x:c>
      <x:c r="Q1832" s="9" t="n">
        <x:f>IF(D1832=1,INDEX(v01_WinterMult,G1832),1)</x:f>
        <x:v>1</x:v>
      </x:c>
      <x:c r="R1832" s="9" t="n">
        <x:f>H1832*Z1831*v01_WomenShare*v01_BaseFertility*INDEX(v01_FertMult,G1832)*Arch_Fertility*(1-P1832)</x:f>
        <x:v>0</x:v>
      </x:c>
      <x:c r="S1832" s="9" t="n">
        <x:f>H1832*Y1831*INDEX(v01_MortChild,G1832)/4*Q1832</x:f>
        <x:v>0</x:v>
      </x:c>
      <x:c r="T1832" s="9" t="n">
        <x:f>H1832*Z1831*INDEX(v01_MortAdult,G1832)*Arch_AdultMort/4*Q1832</x:f>
        <x:v>0</x:v>
      </x:c>
      <x:c r="U1832" s="9" t="n">
        <x:f>H1832*AA1831*INDEX(v01_MortElder,G1832)/4*Q1832</x:f>
        <x:v>0</x:v>
      </x:c>
      <x:c r="V1832" s="9" t="n">
        <x:f>H1832*MAX(0,AB1831-O1832)*v01_OvercapLoss</x:f>
        <x:v>0</x:v>
      </x:c>
      <x:c r="W1832" s="9" t="n">
        <x:f>H1832*Y1831/(v01_ChildYears*4)</x:f>
        <x:v>0</x:v>
      </x:c>
      <x:c r="X1832" s="9" t="n">
        <x:f>H1832*Z1831/(v01_AdultYears*4)</x:f>
        <x:v>0</x:v>
      </x:c>
      <x:c r="Y1832" s="32" t="n">
        <x:f>Y1831+R1832-S1832-W1832-Y1831*V1832/AB1831</x:f>
        <x:v>14306.18539759397</x:v>
      </x:c>
      <x:c r="Z1832" s="32" t="n">
        <x:f>Z1831+W1832-X1832-T1832-Z1831*V1832/AB1831</x:f>
        <x:v>19354.456567879548</x:v>
      </x:c>
      <x:c r="AA1832" s="32" t="n">
        <x:f>AA1831+X1832-U1832-AA1831*V1832/AB1831</x:f>
        <x:v>11386.956063258198</x:v>
      </x:c>
      <x:c r="AB1832" s="10" t="n">
        <x:f>Y1832+Z1832+AA1832</x:f>
        <x:v>45047.59802873172</x:v>
      </x:c>
      <x:c r="AC1832" s="8" t="n">
        <x:f>IF(AND(v01_WinterTrigger=1,D1832=1,AB1831/AE1831&gt;=K1832),1,0)</x:f>
        <x:v>0</x:v>
      </x:c>
      <x:c r="AD1832" s="8" t="n">
        <x:f>H1832*IF(AND(OR(AB1831/AE1831&gt;=v01_FissionTrigger*N1832,AC1832=1),AB1831/AE1831*v01_DaughterShare&gt;=v01_MinDaughter),MAX(1,ROUND(AE1831*v01_FissionRate,0)),0)</x:f>
        <x:v>0</x:v>
      </x:c>
      <x:c r="AE1832" s="8" t="n">
        <x:f>IF(H1832=1,MAX(1,MIN(INDEX(v01_Smax,G1832),AE1831+AD1832)),AE1831)</x:f>
        <x:v>15</x:v>
      </x:c>
      <x:c r="AF1832" s="8" t="n">
        <x:f>MAX(0,AE1832-AE1831)</x:f>
        <x:v>0</x:v>
      </x:c>
      <x:c r="AG1832" s="9" t="str">
        <x:f>IF(AF1832&gt;0,B1832,"")</x:f>
      </x:c>
      <x:c r="AH1832" s="9" t="n">
        <x:f>IF(F1832&gt;=1,1,(1+v01_LowTiesShare*(AE1832-1))/AE1832)</x:f>
        <x:v>1</x:v>
      </x:c>
      <x:c r="AI1832" s="32" t="n">
        <x:f>(Z1832+v01_ElderCommons*INDEX(LM_Elder,G1832)*AA1832)*AH1832</x:f>
        <x:v>64139.732591141874</x:v>
      </x:c>
      <x:c r="AJ1832" s="32" t="n">
        <x:f>H1832*v01_CommonsCoef*AI1832^v01_CommonsExp*INDEX(LM_Commons,G1832)</x:f>
        <x:v>0</x:v>
      </x:c>
      <x:c r="AK1832" s="32" t="n">
        <x:f>H1832*v01_RoleScale*Arch_Roles*(AE1832*(INDEX(v01_ElderRolePerSett,G1832)*v01_OutElder*INDEX(LM_Elder,G1832)+INDEX(v01_ShamanPerSett,G1832)*v01_OutShaman)+Z1832*(INDEX(v01_PriestShare,G1832)*v01_OutPriest+INDEX(v01_ScribeShare,G1832)*v01_OutScribe*INDEX(LM_Scribe,G1832)+INDEX(v01_ScholarShare,G1832)*v01_OutScholar*INDEX(LM_Scholar,G1832)+INDEX(v01_ResearcherShare,G1832)*v01_OutResearcher*INDEX(LM_Researcher,G1832)))</x:f>
        <x:v>0</x:v>
      </x:c>
      <x:c r="AL1832" s="32" t="n">
        <x:f>H1832*v01_RoleScale*Arch_Roles*AE1832*INDEX(v01_MonasteryPerSett,G1832)*v01_OutMonastery*INDEX(LM_Monastery,G1832)</x:f>
        <x:v>0</x:v>
      </x:c>
      <x:c r="AM1832" s="32" t="n">
        <x:f>(AJ1832+AK1832+AL1832)/4*INDEX(LM_All,G1832)*INDEX(v01_Boon,G1832)*Arch_Insight</x:f>
        <x:v>0</x:v>
      </x:c>
      <x:c r="AN1832" s="32" t="n">
        <x:f>H1832*(v01_KHPerAdult*Z1832+v01_KHOfCommons*AJ1832/4*INDEX(LM_All,G1832))*v01_KHUsable*Arch_KH</x:f>
        <x:v>0</x:v>
      </x:c>
      <x:c r="AO1832" s="32" t="n">
        <x:f>MIN(AP1831+AN1832,AM1832*v01_KHMaxRatio)</x:f>
        <x:v>0</x:v>
      </x:c>
      <x:c r="AP1832" s="32" t="n">
        <x:f>AP1831+AN1832-AO1832</x:f>
        <x:v>0</x:v>
      </x:c>
      <x:c r="AQ1832" s="32" t="n">
        <x:f>AM1832+AO1832</x:f>
        <x:v>0</x:v>
      </x:c>
      <x:c r="AR1832" s="10" t="n">
        <x:f>IF(H1832=1,INDEX(v01_Req,G1832),0)</x:f>
        <x:v>0</x:v>
      </x:c>
      <x:c r="AS1832" s="32" t="n">
        <x:f>IF(H1832=1,IF(E1832=1,AS1831-AR1831,AS1831)+AQ1832,0)</x:f>
        <x:v>0</x:v>
      </x:c>
      <x:c r="AT1832" s="11" t="n">
        <x:f>IF(AR1832&gt;0,MIN(1,AS1832/AR1832),1)</x:f>
        <x:v>1</x:v>
      </x:c>
      <x:c r="AU1832" s="10" t="n">
        <x:f>AB1832/INDEX(v01_RepScale,G1832)</x:f>
        <x:v>90.09519605746344</x:v>
      </x:c>
      <x:c r="AV1832" s="32" t="n">
        <x:f>AM1832*60/v01_SeasonSeconds</x:f>
        <x:v>0</x:v>
      </x:c>
    </x:row>
    <x:row r="1833">
      <x:c r="A1833" s="8" t="n">
        <x:f>A1832+1</x:f>
        <x:v>1830</x:v>
      </x:c>
      <x:c r="B1833" s="9" t="n">
        <x:f>A1833*v01_SeasonSeconds/60</x:f>
        <x:v>457.5</x:v>
      </x:c>
      <x:c r="C1833" s="9" t="n">
        <x:f>A1833/4</x:f>
        <x:v>457.5</x:v>
      </x:c>
      <x:c r="D1833" s="8" t="n">
        <x:f>IF(MOD(A1833,4)=0,1,0)</x:f>
        <x:v>0</x:v>
      </x:c>
      <x:c r="E1833" s="8" t="n">
        <x:f>IF(AND(F1832&lt;=9,AS1832&gt;=AR1832),1,0)</x:f>
        <x:v>0</x:v>
      </x:c>
      <x:c r="F1833" s="8" t="n">
        <x:f>MIN(10,F1832+E1833)</x:f>
        <x:v>10</x:v>
      </x:c>
      <x:c r="G1833" s="8" t="n">
        <x:f>MIN(F1833,9)+1</x:f>
        <x:v>10</x:v>
      </x:c>
      <x:c r="H1833" s="8" t="n">
        <x:f>IF(F1833&lt;=9,1,0)</x:f>
        <x:v>0</x:v>
      </x:c>
      <x:c r="I1833" s="9" t="n">
        <x:f>MIN(10,F1832+IF(AR1832&gt;0,MIN(1,AS1832/AR1832),1))</x:f>
        <x:v>10</x:v>
      </x:c>
      <x:c r="J1833" s="32" t="n">
        <x:f>INDEX(v01_FoodCap,G1833)*Arch_FoodCap*EXP(v01_CapsByProject*SUMPRODUCT((Cap_Point&lt;=I1833)*(Cap_Kind="Food")*Cap_Ln))</x:f>
        <x:v>12000</x:v>
      </x:c>
      <x:c r="K1833" s="32" t="n">
        <x:f>J1833*MIN(1,v01_LeanBase*EXP(v01_CapsByProject*SUMPRODUCT((Cap_Point&lt;=I1833)*(Cap_Kind="Lean")*Cap_Ln)))</x:f>
        <x:v>12000</x:v>
      </x:c>
      <x:c r="L1833" s="10" t="n">
        <x:f>INDEX(v01_HousingCap,G1833)*EXP(v01_CapsByProject*SUMPRODUCT((Cap_Point&lt;=I1833)*(Cap_Kind="Housing")*Cap_Ln))</x:f>
        <x:v>20000</x:v>
      </x:c>
      <x:c r="M1833" s="10" t="n">
        <x:f>INDEX(v01_GroupCap,G1833)*v01_CohesionFactor*EXP(v01_CapsByProject*SUMPRODUCT((Cap_Point&lt;=I1833)*(Cap_Kind="Group")*Cap_Ln))</x:f>
        <x:v>1000000</x:v>
      </x:c>
      <x:c r="N1833" s="32" t="n">
        <x:f>MIN(J1833,L1833,M1833)</x:f>
        <x:v>12000</x:v>
      </x:c>
      <x:c r="O1833" s="10" t="n">
        <x:f>AE1832*N1833</x:f>
        <x:v>180000</x:v>
      </x:c>
      <x:c r="P1833" s="9" t="n">
        <x:f>MIN(1,(AB1832/(AE1832*IF(v01_GroupInCrowding=1,N1833,MIN(J1833,L1833))))^v01_CrowdingExp)</x:f>
        <x:v>0.00024569414295285325</x:v>
      </x:c>
      <x:c r="Q1833" s="9" t="n">
        <x:f>IF(D1833=1,INDEX(v01_WinterMult,G1833),1)</x:f>
        <x:v>1</x:v>
      </x:c>
      <x:c r="R1833" s="9" t="n">
        <x:f>H1833*Z1832*v01_WomenShare*v01_BaseFertility*INDEX(v01_FertMult,G1833)*Arch_Fertility*(1-P1833)</x:f>
        <x:v>0</x:v>
      </x:c>
      <x:c r="S1833" s="9" t="n">
        <x:f>H1833*Y1832*INDEX(v01_MortChild,G1833)/4*Q1833</x:f>
        <x:v>0</x:v>
      </x:c>
      <x:c r="T1833" s="9" t="n">
        <x:f>H1833*Z1832*INDEX(v01_MortAdult,G1833)*Arch_AdultMort/4*Q1833</x:f>
        <x:v>0</x:v>
      </x:c>
      <x:c r="U1833" s="9" t="n">
        <x:f>H1833*AA1832*INDEX(v01_MortElder,G1833)/4*Q1833</x:f>
        <x:v>0</x:v>
      </x:c>
      <x:c r="V1833" s="9" t="n">
        <x:f>H1833*MAX(0,AB1832-O1833)*v01_OvercapLoss</x:f>
        <x:v>0</x:v>
      </x:c>
      <x:c r="W1833" s="9" t="n">
        <x:f>H1833*Y1832/(v01_ChildYears*4)</x:f>
        <x:v>0</x:v>
      </x:c>
      <x:c r="X1833" s="9" t="n">
        <x:f>H1833*Z1832/(v01_AdultYears*4)</x:f>
        <x:v>0</x:v>
      </x:c>
      <x:c r="Y1833" s="32" t="n">
        <x:f>Y1832+R1833-S1833-W1833-Y1832*V1833/AB1832</x:f>
        <x:v>14306.18539759397</x:v>
      </x:c>
      <x:c r="Z1833" s="32" t="n">
        <x:f>Z1832+W1833-X1833-T1833-Z1832*V1833/AB1832</x:f>
        <x:v>19354.456567879548</x:v>
      </x:c>
      <x:c r="AA1833" s="32" t="n">
        <x:f>AA1832+X1833-U1833-AA1832*V1833/AB1832</x:f>
        <x:v>11386.956063258198</x:v>
      </x:c>
      <x:c r="AB1833" s="10" t="n">
        <x:f>Y1833+Z1833+AA1833</x:f>
        <x:v>45047.59802873172</x:v>
      </x:c>
      <x:c r="AC1833" s="8" t="n">
        <x:f>IF(AND(v01_WinterTrigger=1,D1833=1,AB1832/AE1832&gt;=K1833),1,0)</x:f>
        <x:v>0</x:v>
      </x:c>
      <x:c r="AD1833" s="8" t="n">
        <x:f>H1833*IF(AND(OR(AB1832/AE1832&gt;=v01_FissionTrigger*N1833,AC1833=1),AB1832/AE1832*v01_DaughterShare&gt;=v01_MinDaughter),MAX(1,ROUND(AE1832*v01_FissionRate,0)),0)</x:f>
        <x:v>0</x:v>
      </x:c>
      <x:c r="AE1833" s="8" t="n">
        <x:f>IF(H1833=1,MAX(1,MIN(INDEX(v01_Smax,G1833),AE1832+AD1833)),AE1832)</x:f>
        <x:v>15</x:v>
      </x:c>
      <x:c r="AF1833" s="8" t="n">
        <x:f>MAX(0,AE1833-AE1832)</x:f>
        <x:v>0</x:v>
      </x:c>
      <x:c r="AG1833" s="9" t="str">
        <x:f>IF(AF1833&gt;0,B1833,"")</x:f>
      </x:c>
      <x:c r="AH1833" s="9" t="n">
        <x:f>IF(F1833&gt;=1,1,(1+v01_LowTiesShare*(AE1833-1))/AE1833)</x:f>
        <x:v>1</x:v>
      </x:c>
      <x:c r="AI1833" s="32" t="n">
        <x:f>(Z1833+v01_ElderCommons*INDEX(LM_Elder,G1833)*AA1833)*AH1833</x:f>
        <x:v>64139.732591141874</x:v>
      </x:c>
      <x:c r="AJ1833" s="32" t="n">
        <x:f>H1833*v01_CommonsCoef*AI1833^v01_CommonsExp*INDEX(LM_Commons,G1833)</x:f>
        <x:v>0</x:v>
      </x:c>
      <x:c r="AK1833" s="32" t="n">
        <x:f>H1833*v01_RoleScale*Arch_Roles*(AE1833*(INDEX(v01_ElderRolePerSett,G1833)*v01_OutElder*INDEX(LM_Elder,G1833)+INDEX(v01_ShamanPerSett,G1833)*v01_OutShaman)+Z1833*(INDEX(v01_PriestShare,G1833)*v01_OutPriest+INDEX(v01_ScribeShare,G1833)*v01_OutScribe*INDEX(LM_Scribe,G1833)+INDEX(v01_ScholarShare,G1833)*v01_OutScholar*INDEX(LM_Scholar,G1833)+INDEX(v01_ResearcherShare,G1833)*v01_OutResearcher*INDEX(LM_Researcher,G1833)))</x:f>
        <x:v>0</x:v>
      </x:c>
      <x:c r="AL1833" s="32" t="n">
        <x:f>H1833*v01_RoleScale*Arch_Roles*AE1833*INDEX(v01_MonasteryPerSett,G1833)*v01_OutMonastery*INDEX(LM_Monastery,G1833)</x:f>
        <x:v>0</x:v>
      </x:c>
      <x:c r="AM1833" s="32" t="n">
        <x:f>(AJ1833+AK1833+AL1833)/4*INDEX(LM_All,G1833)*INDEX(v01_Boon,G1833)*Arch_Insight</x:f>
        <x:v>0</x:v>
      </x:c>
      <x:c r="AN1833" s="32" t="n">
        <x:f>H1833*(v01_KHPerAdult*Z1833+v01_KHOfCommons*AJ1833/4*INDEX(LM_All,G1833))*v01_KHUsable*Arch_KH</x:f>
        <x:v>0</x:v>
      </x:c>
      <x:c r="AO1833" s="32" t="n">
        <x:f>MIN(AP1832+AN1833,AM1833*v01_KHMaxRatio)</x:f>
        <x:v>0</x:v>
      </x:c>
      <x:c r="AP1833" s="32" t="n">
        <x:f>AP1832+AN1833-AO1833</x:f>
        <x:v>0</x:v>
      </x:c>
      <x:c r="AQ1833" s="32" t="n">
        <x:f>AM1833+AO1833</x:f>
        <x:v>0</x:v>
      </x:c>
      <x:c r="AR1833" s="10" t="n">
        <x:f>IF(H1833=1,INDEX(v01_Req,G1833),0)</x:f>
        <x:v>0</x:v>
      </x:c>
      <x:c r="AS1833" s="32" t="n">
        <x:f>IF(H1833=1,IF(E1833=1,AS1832-AR1832,AS1832)+AQ1833,0)</x:f>
        <x:v>0</x:v>
      </x:c>
      <x:c r="AT1833" s="11" t="n">
        <x:f>IF(AR1833&gt;0,MIN(1,AS1833/AR1833),1)</x:f>
        <x:v>1</x:v>
      </x:c>
      <x:c r="AU1833" s="10" t="n">
        <x:f>AB1833/INDEX(v01_RepScale,G1833)</x:f>
        <x:v>90.09519605746344</x:v>
      </x:c>
      <x:c r="AV1833" s="32" t="n">
        <x:f>AM1833*60/v01_SeasonSeconds</x:f>
        <x:v>0</x:v>
      </x:c>
    </x:row>
    <x:row r="1834">
      <x:c r="A1834" s="8" t="n">
        <x:f>A1833+1</x:f>
        <x:v>1831</x:v>
      </x:c>
      <x:c r="B1834" s="9" t="n">
        <x:f>A1834*v01_SeasonSeconds/60</x:f>
        <x:v>457.75</x:v>
      </x:c>
      <x:c r="C1834" s="9" t="n">
        <x:f>A1834/4</x:f>
        <x:v>457.75</x:v>
      </x:c>
      <x:c r="D1834" s="8" t="n">
        <x:f>IF(MOD(A1834,4)=0,1,0)</x:f>
        <x:v>0</x:v>
      </x:c>
      <x:c r="E1834" s="8" t="n">
        <x:f>IF(AND(F1833&lt;=9,AS1833&gt;=AR1833),1,0)</x:f>
        <x:v>0</x:v>
      </x:c>
      <x:c r="F1834" s="8" t="n">
        <x:f>MIN(10,F1833+E1834)</x:f>
        <x:v>10</x:v>
      </x:c>
      <x:c r="G1834" s="8" t="n">
        <x:f>MIN(F1834,9)+1</x:f>
        <x:v>10</x:v>
      </x:c>
      <x:c r="H1834" s="8" t="n">
        <x:f>IF(F1834&lt;=9,1,0)</x:f>
        <x:v>0</x:v>
      </x:c>
      <x:c r="I1834" s="9" t="n">
        <x:f>MIN(10,F1833+IF(AR1833&gt;0,MIN(1,AS1833/AR1833),1))</x:f>
        <x:v>10</x:v>
      </x:c>
      <x:c r="J1834" s="32" t="n">
        <x:f>INDEX(v01_FoodCap,G1834)*Arch_FoodCap*EXP(v01_CapsByProject*SUMPRODUCT((Cap_Point&lt;=I1834)*(Cap_Kind="Food")*Cap_Ln))</x:f>
        <x:v>12000</x:v>
      </x:c>
      <x:c r="K1834" s="32" t="n">
        <x:f>J1834*MIN(1,v01_LeanBase*EXP(v01_CapsByProject*SUMPRODUCT((Cap_Point&lt;=I1834)*(Cap_Kind="Lean")*Cap_Ln)))</x:f>
        <x:v>12000</x:v>
      </x:c>
      <x:c r="L1834" s="10" t="n">
        <x:f>INDEX(v01_HousingCap,G1834)*EXP(v01_CapsByProject*SUMPRODUCT((Cap_Point&lt;=I1834)*(Cap_Kind="Housing")*Cap_Ln))</x:f>
        <x:v>20000</x:v>
      </x:c>
      <x:c r="M1834" s="10" t="n">
        <x:f>INDEX(v01_GroupCap,G1834)*v01_CohesionFactor*EXP(v01_CapsByProject*SUMPRODUCT((Cap_Point&lt;=I1834)*(Cap_Kind="Group")*Cap_Ln))</x:f>
        <x:v>1000000</x:v>
      </x:c>
      <x:c r="N1834" s="32" t="n">
        <x:f>MIN(J1834,L1834,M1834)</x:f>
        <x:v>12000</x:v>
      </x:c>
      <x:c r="O1834" s="10" t="n">
        <x:f>AE1833*N1834</x:f>
        <x:v>180000</x:v>
      </x:c>
      <x:c r="P1834" s="9" t="n">
        <x:f>MIN(1,(AB1833/(AE1833*IF(v01_GroupInCrowding=1,N1834,MIN(J1834,L1834))))^v01_CrowdingExp)</x:f>
        <x:v>0.00024569414295285325</x:v>
      </x:c>
      <x:c r="Q1834" s="9" t="n">
        <x:f>IF(D1834=1,INDEX(v01_WinterMult,G1834),1)</x:f>
        <x:v>1</x:v>
      </x:c>
      <x:c r="R1834" s="9" t="n">
        <x:f>H1834*Z1833*v01_WomenShare*v01_BaseFertility*INDEX(v01_FertMult,G1834)*Arch_Fertility*(1-P1834)</x:f>
        <x:v>0</x:v>
      </x:c>
      <x:c r="S1834" s="9" t="n">
        <x:f>H1834*Y1833*INDEX(v01_MortChild,G1834)/4*Q1834</x:f>
        <x:v>0</x:v>
      </x:c>
      <x:c r="T1834" s="9" t="n">
        <x:f>H1834*Z1833*INDEX(v01_MortAdult,G1834)*Arch_AdultMort/4*Q1834</x:f>
        <x:v>0</x:v>
      </x:c>
      <x:c r="U1834" s="9" t="n">
        <x:f>H1834*AA1833*INDEX(v01_MortElder,G1834)/4*Q1834</x:f>
        <x:v>0</x:v>
      </x:c>
      <x:c r="V1834" s="9" t="n">
        <x:f>H1834*MAX(0,AB1833-O1834)*v01_OvercapLoss</x:f>
        <x:v>0</x:v>
      </x:c>
      <x:c r="W1834" s="9" t="n">
        <x:f>H1834*Y1833/(v01_ChildYears*4)</x:f>
        <x:v>0</x:v>
      </x:c>
      <x:c r="X1834" s="9" t="n">
        <x:f>H1834*Z1833/(v01_AdultYears*4)</x:f>
        <x:v>0</x:v>
      </x:c>
      <x:c r="Y1834" s="32" t="n">
        <x:f>Y1833+R1834-S1834-W1834-Y1833*V1834/AB1833</x:f>
        <x:v>14306.18539759397</x:v>
      </x:c>
      <x:c r="Z1834" s="32" t="n">
        <x:f>Z1833+W1834-X1834-T1834-Z1833*V1834/AB1833</x:f>
        <x:v>19354.456567879548</x:v>
      </x:c>
      <x:c r="AA1834" s="32" t="n">
        <x:f>AA1833+X1834-U1834-AA1833*V1834/AB1833</x:f>
        <x:v>11386.956063258198</x:v>
      </x:c>
      <x:c r="AB1834" s="10" t="n">
        <x:f>Y1834+Z1834+AA1834</x:f>
        <x:v>45047.59802873172</x:v>
      </x:c>
      <x:c r="AC1834" s="8" t="n">
        <x:f>IF(AND(v01_WinterTrigger=1,D1834=1,AB1833/AE1833&gt;=K1834),1,0)</x:f>
        <x:v>0</x:v>
      </x:c>
      <x:c r="AD1834" s="8" t="n">
        <x:f>H1834*IF(AND(OR(AB1833/AE1833&gt;=v01_FissionTrigger*N1834,AC1834=1),AB1833/AE1833*v01_DaughterShare&gt;=v01_MinDaughter),MAX(1,ROUND(AE1833*v01_FissionRate,0)),0)</x:f>
        <x:v>0</x:v>
      </x:c>
      <x:c r="AE1834" s="8" t="n">
        <x:f>IF(H1834=1,MAX(1,MIN(INDEX(v01_Smax,G1834),AE1833+AD1834)),AE1833)</x:f>
        <x:v>15</x:v>
      </x:c>
      <x:c r="AF1834" s="8" t="n">
        <x:f>MAX(0,AE1834-AE1833)</x:f>
        <x:v>0</x:v>
      </x:c>
      <x:c r="AG1834" s="9" t="str">
        <x:f>IF(AF1834&gt;0,B1834,"")</x:f>
      </x:c>
      <x:c r="AH1834" s="9" t="n">
        <x:f>IF(F1834&gt;=1,1,(1+v01_LowTiesShare*(AE1834-1))/AE1834)</x:f>
        <x:v>1</x:v>
      </x:c>
      <x:c r="AI1834" s="32" t="n">
        <x:f>(Z1834+v01_ElderCommons*INDEX(LM_Elder,G1834)*AA1834)*AH1834</x:f>
        <x:v>64139.732591141874</x:v>
      </x:c>
      <x:c r="AJ1834" s="32" t="n">
        <x:f>H1834*v01_CommonsCoef*AI1834^v01_CommonsExp*INDEX(LM_Commons,G1834)</x:f>
        <x:v>0</x:v>
      </x:c>
      <x:c r="AK1834" s="32" t="n">
        <x:f>H1834*v01_RoleScale*Arch_Roles*(AE1834*(INDEX(v01_ElderRolePerSett,G1834)*v01_OutElder*INDEX(LM_Elder,G1834)+INDEX(v01_ShamanPerSett,G1834)*v01_OutShaman)+Z1834*(INDEX(v01_PriestShare,G1834)*v01_OutPriest+INDEX(v01_ScribeShare,G1834)*v01_OutScribe*INDEX(LM_Scribe,G1834)+INDEX(v01_ScholarShare,G1834)*v01_OutScholar*INDEX(LM_Scholar,G1834)+INDEX(v01_ResearcherShare,G1834)*v01_OutResearcher*INDEX(LM_Researcher,G1834)))</x:f>
        <x:v>0</x:v>
      </x:c>
      <x:c r="AL1834" s="32" t="n">
        <x:f>H1834*v01_RoleScale*Arch_Roles*AE1834*INDEX(v01_MonasteryPerSett,G1834)*v01_OutMonastery*INDEX(LM_Monastery,G1834)</x:f>
        <x:v>0</x:v>
      </x:c>
      <x:c r="AM1834" s="32" t="n">
        <x:f>(AJ1834+AK1834+AL1834)/4*INDEX(LM_All,G1834)*INDEX(v01_Boon,G1834)*Arch_Insight</x:f>
        <x:v>0</x:v>
      </x:c>
      <x:c r="AN1834" s="32" t="n">
        <x:f>H1834*(v01_KHPerAdult*Z1834+v01_KHOfCommons*AJ1834/4*INDEX(LM_All,G1834))*v01_KHUsable*Arch_KH</x:f>
        <x:v>0</x:v>
      </x:c>
      <x:c r="AO1834" s="32" t="n">
        <x:f>MIN(AP1833+AN1834,AM1834*v01_KHMaxRatio)</x:f>
        <x:v>0</x:v>
      </x:c>
      <x:c r="AP1834" s="32" t="n">
        <x:f>AP1833+AN1834-AO1834</x:f>
        <x:v>0</x:v>
      </x:c>
      <x:c r="AQ1834" s="32" t="n">
        <x:f>AM1834+AO1834</x:f>
        <x:v>0</x:v>
      </x:c>
      <x:c r="AR1834" s="10" t="n">
        <x:f>IF(H1834=1,INDEX(v01_Req,G1834),0)</x:f>
        <x:v>0</x:v>
      </x:c>
      <x:c r="AS1834" s="32" t="n">
        <x:f>IF(H1834=1,IF(E1834=1,AS1833-AR1833,AS1833)+AQ1834,0)</x:f>
        <x:v>0</x:v>
      </x:c>
      <x:c r="AT1834" s="11" t="n">
        <x:f>IF(AR1834&gt;0,MIN(1,AS1834/AR1834),1)</x:f>
        <x:v>1</x:v>
      </x:c>
      <x:c r="AU1834" s="10" t="n">
        <x:f>AB1834/INDEX(v01_RepScale,G1834)</x:f>
        <x:v>90.09519605746344</x:v>
      </x:c>
      <x:c r="AV1834" s="32" t="n">
        <x:f>AM1834*60/v01_SeasonSeconds</x:f>
        <x:v>0</x:v>
      </x:c>
    </x:row>
    <x:row r="1835">
      <x:c r="A1835" s="8" t="n">
        <x:f>A1834+1</x:f>
        <x:v>1832</x:v>
      </x:c>
      <x:c r="B1835" s="9" t="n">
        <x:f>A1835*v01_SeasonSeconds/60</x:f>
        <x:v>458</x:v>
      </x:c>
      <x:c r="C1835" s="9" t="n">
        <x:f>A1835/4</x:f>
        <x:v>458</x:v>
      </x:c>
      <x:c r="D1835" s="8" t="n">
        <x:f>IF(MOD(A1835,4)=0,1,0)</x:f>
        <x:v>1</x:v>
      </x:c>
      <x:c r="E1835" s="8" t="n">
        <x:f>IF(AND(F1834&lt;=9,AS1834&gt;=AR1834),1,0)</x:f>
        <x:v>0</x:v>
      </x:c>
      <x:c r="F1835" s="8" t="n">
        <x:f>MIN(10,F1834+E1835)</x:f>
        <x:v>10</x:v>
      </x:c>
      <x:c r="G1835" s="8" t="n">
        <x:f>MIN(F1835,9)+1</x:f>
        <x:v>10</x:v>
      </x:c>
      <x:c r="H1835" s="8" t="n">
        <x:f>IF(F1835&lt;=9,1,0)</x:f>
        <x:v>0</x:v>
      </x:c>
      <x:c r="I1835" s="9" t="n">
        <x:f>MIN(10,F1834+IF(AR1834&gt;0,MIN(1,AS1834/AR1834),1))</x:f>
        <x:v>10</x:v>
      </x:c>
      <x:c r="J1835" s="32" t="n">
        <x:f>INDEX(v01_FoodCap,G1835)*Arch_FoodCap*EXP(v01_CapsByProject*SUMPRODUCT((Cap_Point&lt;=I1835)*(Cap_Kind="Food")*Cap_Ln))</x:f>
        <x:v>12000</x:v>
      </x:c>
      <x:c r="K1835" s="32" t="n">
        <x:f>J1835*MIN(1,v01_LeanBase*EXP(v01_CapsByProject*SUMPRODUCT((Cap_Point&lt;=I1835)*(Cap_Kind="Lean")*Cap_Ln)))</x:f>
        <x:v>12000</x:v>
      </x:c>
      <x:c r="L1835" s="10" t="n">
        <x:f>INDEX(v01_HousingCap,G1835)*EXP(v01_CapsByProject*SUMPRODUCT((Cap_Point&lt;=I1835)*(Cap_Kind="Housing")*Cap_Ln))</x:f>
        <x:v>20000</x:v>
      </x:c>
      <x:c r="M1835" s="10" t="n">
        <x:f>INDEX(v01_GroupCap,G1835)*v01_CohesionFactor*EXP(v01_CapsByProject*SUMPRODUCT((Cap_Point&lt;=I1835)*(Cap_Kind="Group")*Cap_Ln))</x:f>
        <x:v>1000000</x:v>
      </x:c>
      <x:c r="N1835" s="32" t="n">
        <x:f>MIN(J1835,L1835,M1835)</x:f>
        <x:v>12000</x:v>
      </x:c>
      <x:c r="O1835" s="10" t="n">
        <x:f>AE1834*N1835</x:f>
        <x:v>180000</x:v>
      </x:c>
      <x:c r="P1835" s="9" t="n">
        <x:f>MIN(1,(AB1834/(AE1834*IF(v01_GroupInCrowding=1,N1835,MIN(J1835,L1835))))^v01_CrowdingExp)</x:f>
        <x:v>0.00024569414295285325</x:v>
      </x:c>
      <x:c r="Q1835" s="9" t="n">
        <x:f>IF(D1835=1,INDEX(v01_WinterMult,G1835),1)</x:f>
        <x:v>1</x:v>
      </x:c>
      <x:c r="R1835" s="9" t="n">
        <x:f>H1835*Z1834*v01_WomenShare*v01_BaseFertility*INDEX(v01_FertMult,G1835)*Arch_Fertility*(1-P1835)</x:f>
        <x:v>0</x:v>
      </x:c>
      <x:c r="S1835" s="9" t="n">
        <x:f>H1835*Y1834*INDEX(v01_MortChild,G1835)/4*Q1835</x:f>
        <x:v>0</x:v>
      </x:c>
      <x:c r="T1835" s="9" t="n">
        <x:f>H1835*Z1834*INDEX(v01_MortAdult,G1835)*Arch_AdultMort/4*Q1835</x:f>
        <x:v>0</x:v>
      </x:c>
      <x:c r="U1835" s="9" t="n">
        <x:f>H1835*AA1834*INDEX(v01_MortElder,G1835)/4*Q1835</x:f>
        <x:v>0</x:v>
      </x:c>
      <x:c r="V1835" s="9" t="n">
        <x:f>H1835*MAX(0,AB1834-O1835)*v01_OvercapLoss</x:f>
        <x:v>0</x:v>
      </x:c>
      <x:c r="W1835" s="9" t="n">
        <x:f>H1835*Y1834/(v01_ChildYears*4)</x:f>
        <x:v>0</x:v>
      </x:c>
      <x:c r="X1835" s="9" t="n">
        <x:f>H1835*Z1834/(v01_AdultYears*4)</x:f>
        <x:v>0</x:v>
      </x:c>
      <x:c r="Y1835" s="32" t="n">
        <x:f>Y1834+R1835-S1835-W1835-Y1834*V1835/AB1834</x:f>
        <x:v>14306.18539759397</x:v>
      </x:c>
      <x:c r="Z1835" s="32" t="n">
        <x:f>Z1834+W1835-X1835-T1835-Z1834*V1835/AB1834</x:f>
        <x:v>19354.456567879548</x:v>
      </x:c>
      <x:c r="AA1835" s="32" t="n">
        <x:f>AA1834+X1835-U1835-AA1834*V1835/AB1834</x:f>
        <x:v>11386.956063258198</x:v>
      </x:c>
      <x:c r="AB1835" s="10" t="n">
        <x:f>Y1835+Z1835+AA1835</x:f>
        <x:v>45047.59802873172</x:v>
      </x:c>
      <x:c r="AC1835" s="8" t="n">
        <x:f>IF(AND(v01_WinterTrigger=1,D1835=1,AB1834/AE1834&gt;=K1835),1,0)</x:f>
        <x:v>0</x:v>
      </x:c>
      <x:c r="AD1835" s="8" t="n">
        <x:f>H1835*IF(AND(OR(AB1834/AE1834&gt;=v01_FissionTrigger*N1835,AC1835=1),AB1834/AE1834*v01_DaughterShare&gt;=v01_MinDaughter),MAX(1,ROUND(AE1834*v01_FissionRate,0)),0)</x:f>
        <x:v>0</x:v>
      </x:c>
      <x:c r="AE1835" s="8" t="n">
        <x:f>IF(H1835=1,MAX(1,MIN(INDEX(v01_Smax,G1835),AE1834+AD1835)),AE1834)</x:f>
        <x:v>15</x:v>
      </x:c>
      <x:c r="AF1835" s="8" t="n">
        <x:f>MAX(0,AE1835-AE1834)</x:f>
        <x:v>0</x:v>
      </x:c>
      <x:c r="AG1835" s="9" t="str">
        <x:f>IF(AF1835&gt;0,B1835,"")</x:f>
      </x:c>
      <x:c r="AH1835" s="9" t="n">
        <x:f>IF(F1835&gt;=1,1,(1+v01_LowTiesShare*(AE1835-1))/AE1835)</x:f>
        <x:v>1</x:v>
      </x:c>
      <x:c r="AI1835" s="32" t="n">
        <x:f>(Z1835+v01_ElderCommons*INDEX(LM_Elder,G1835)*AA1835)*AH1835</x:f>
        <x:v>64139.732591141874</x:v>
      </x:c>
      <x:c r="AJ1835" s="32" t="n">
        <x:f>H1835*v01_CommonsCoef*AI1835^v01_CommonsExp*INDEX(LM_Commons,G1835)</x:f>
        <x:v>0</x:v>
      </x:c>
      <x:c r="AK1835" s="32" t="n">
        <x:f>H1835*v01_RoleScale*Arch_Roles*(AE1835*(INDEX(v01_ElderRolePerSett,G1835)*v01_OutElder*INDEX(LM_Elder,G1835)+INDEX(v01_ShamanPerSett,G1835)*v01_OutShaman)+Z1835*(INDEX(v01_PriestShare,G1835)*v01_OutPriest+INDEX(v01_ScribeShare,G1835)*v01_OutScribe*INDEX(LM_Scribe,G1835)+INDEX(v01_ScholarShare,G1835)*v01_OutScholar*INDEX(LM_Scholar,G1835)+INDEX(v01_ResearcherShare,G1835)*v01_OutResearcher*INDEX(LM_Researcher,G1835)))</x:f>
        <x:v>0</x:v>
      </x:c>
      <x:c r="AL1835" s="32" t="n">
        <x:f>H1835*v01_RoleScale*Arch_Roles*AE1835*INDEX(v01_MonasteryPerSett,G1835)*v01_OutMonastery*INDEX(LM_Monastery,G1835)</x:f>
        <x:v>0</x:v>
      </x:c>
      <x:c r="AM1835" s="32" t="n">
        <x:f>(AJ1835+AK1835+AL1835)/4*INDEX(LM_All,G1835)*INDEX(v01_Boon,G1835)*Arch_Insight</x:f>
        <x:v>0</x:v>
      </x:c>
      <x:c r="AN1835" s="32" t="n">
        <x:f>H1835*(v01_KHPerAdult*Z1835+v01_KHOfCommons*AJ1835/4*INDEX(LM_All,G1835))*v01_KHUsable*Arch_KH</x:f>
        <x:v>0</x:v>
      </x:c>
      <x:c r="AO1835" s="32" t="n">
        <x:f>MIN(AP1834+AN1835,AM1835*v01_KHMaxRatio)</x:f>
        <x:v>0</x:v>
      </x:c>
      <x:c r="AP1835" s="32" t="n">
        <x:f>AP1834+AN1835-AO1835</x:f>
        <x:v>0</x:v>
      </x:c>
      <x:c r="AQ1835" s="32" t="n">
        <x:f>AM1835+AO1835</x:f>
        <x:v>0</x:v>
      </x:c>
      <x:c r="AR1835" s="10" t="n">
        <x:f>IF(H1835=1,INDEX(v01_Req,G1835),0)</x:f>
        <x:v>0</x:v>
      </x:c>
      <x:c r="AS1835" s="32" t="n">
        <x:f>IF(H1835=1,IF(E1835=1,AS1834-AR1834,AS1834)+AQ1835,0)</x:f>
        <x:v>0</x:v>
      </x:c>
      <x:c r="AT1835" s="11" t="n">
        <x:f>IF(AR1835&gt;0,MIN(1,AS1835/AR1835),1)</x:f>
        <x:v>1</x:v>
      </x:c>
      <x:c r="AU1835" s="10" t="n">
        <x:f>AB1835/INDEX(v01_RepScale,G1835)</x:f>
        <x:v>90.09519605746344</x:v>
      </x:c>
      <x:c r="AV1835" s="32" t="n">
        <x:f>AM1835*60/v01_SeasonSeconds</x:f>
        <x:v>0</x:v>
      </x:c>
    </x:row>
    <x:row r="1836">
      <x:c r="A1836" s="8" t="n">
        <x:f>A1835+1</x:f>
        <x:v>1833</x:v>
      </x:c>
      <x:c r="B1836" s="9" t="n">
        <x:f>A1836*v01_SeasonSeconds/60</x:f>
        <x:v>458.25</x:v>
      </x:c>
      <x:c r="C1836" s="9" t="n">
        <x:f>A1836/4</x:f>
        <x:v>458.25</x:v>
      </x:c>
      <x:c r="D1836" s="8" t="n">
        <x:f>IF(MOD(A1836,4)=0,1,0)</x:f>
        <x:v>0</x:v>
      </x:c>
      <x:c r="E1836" s="8" t="n">
        <x:f>IF(AND(F1835&lt;=9,AS1835&gt;=AR1835),1,0)</x:f>
        <x:v>0</x:v>
      </x:c>
      <x:c r="F1836" s="8" t="n">
        <x:f>MIN(10,F1835+E1836)</x:f>
        <x:v>10</x:v>
      </x:c>
      <x:c r="G1836" s="8" t="n">
        <x:f>MIN(F1836,9)+1</x:f>
        <x:v>10</x:v>
      </x:c>
      <x:c r="H1836" s="8" t="n">
        <x:f>IF(F1836&lt;=9,1,0)</x:f>
        <x:v>0</x:v>
      </x:c>
      <x:c r="I1836" s="9" t="n">
        <x:f>MIN(10,F1835+IF(AR1835&gt;0,MIN(1,AS1835/AR1835),1))</x:f>
        <x:v>10</x:v>
      </x:c>
      <x:c r="J1836" s="32" t="n">
        <x:f>INDEX(v01_FoodCap,G1836)*Arch_FoodCap*EXP(v01_CapsByProject*SUMPRODUCT((Cap_Point&lt;=I1836)*(Cap_Kind="Food")*Cap_Ln))</x:f>
        <x:v>12000</x:v>
      </x:c>
      <x:c r="K1836" s="32" t="n">
        <x:f>J1836*MIN(1,v01_LeanBase*EXP(v01_CapsByProject*SUMPRODUCT((Cap_Point&lt;=I1836)*(Cap_Kind="Lean")*Cap_Ln)))</x:f>
        <x:v>12000</x:v>
      </x:c>
      <x:c r="L1836" s="10" t="n">
        <x:f>INDEX(v01_HousingCap,G1836)*EXP(v01_CapsByProject*SUMPRODUCT((Cap_Point&lt;=I1836)*(Cap_Kind="Housing")*Cap_Ln))</x:f>
        <x:v>20000</x:v>
      </x:c>
      <x:c r="M1836" s="10" t="n">
        <x:f>INDEX(v01_GroupCap,G1836)*v01_CohesionFactor*EXP(v01_CapsByProject*SUMPRODUCT((Cap_Point&lt;=I1836)*(Cap_Kind="Group")*Cap_Ln))</x:f>
        <x:v>1000000</x:v>
      </x:c>
      <x:c r="N1836" s="32" t="n">
        <x:f>MIN(J1836,L1836,M1836)</x:f>
        <x:v>12000</x:v>
      </x:c>
      <x:c r="O1836" s="10" t="n">
        <x:f>AE1835*N1836</x:f>
        <x:v>180000</x:v>
      </x:c>
      <x:c r="P1836" s="9" t="n">
        <x:f>MIN(1,(AB1835/(AE1835*IF(v01_GroupInCrowding=1,N1836,MIN(J1836,L1836))))^v01_CrowdingExp)</x:f>
        <x:v>0.00024569414295285325</x:v>
      </x:c>
      <x:c r="Q1836" s="9" t="n">
        <x:f>IF(D1836=1,INDEX(v01_WinterMult,G1836),1)</x:f>
        <x:v>1</x:v>
      </x:c>
      <x:c r="R1836" s="9" t="n">
        <x:f>H1836*Z1835*v01_WomenShare*v01_BaseFertility*INDEX(v01_FertMult,G1836)*Arch_Fertility*(1-P1836)</x:f>
        <x:v>0</x:v>
      </x:c>
      <x:c r="S1836" s="9" t="n">
        <x:f>H1836*Y1835*INDEX(v01_MortChild,G1836)/4*Q1836</x:f>
        <x:v>0</x:v>
      </x:c>
      <x:c r="T1836" s="9" t="n">
        <x:f>H1836*Z1835*INDEX(v01_MortAdult,G1836)*Arch_AdultMort/4*Q1836</x:f>
        <x:v>0</x:v>
      </x:c>
      <x:c r="U1836" s="9" t="n">
        <x:f>H1836*AA1835*INDEX(v01_MortElder,G1836)/4*Q1836</x:f>
        <x:v>0</x:v>
      </x:c>
      <x:c r="V1836" s="9" t="n">
        <x:f>H1836*MAX(0,AB1835-O1836)*v01_OvercapLoss</x:f>
        <x:v>0</x:v>
      </x:c>
      <x:c r="W1836" s="9" t="n">
        <x:f>H1836*Y1835/(v01_ChildYears*4)</x:f>
        <x:v>0</x:v>
      </x:c>
      <x:c r="X1836" s="9" t="n">
        <x:f>H1836*Z1835/(v01_AdultYears*4)</x:f>
        <x:v>0</x:v>
      </x:c>
      <x:c r="Y1836" s="32" t="n">
        <x:f>Y1835+R1836-S1836-W1836-Y1835*V1836/AB1835</x:f>
        <x:v>14306.18539759397</x:v>
      </x:c>
      <x:c r="Z1836" s="32" t="n">
        <x:f>Z1835+W1836-X1836-T1836-Z1835*V1836/AB1835</x:f>
        <x:v>19354.456567879548</x:v>
      </x:c>
      <x:c r="AA1836" s="32" t="n">
        <x:f>AA1835+X1836-U1836-AA1835*V1836/AB1835</x:f>
        <x:v>11386.956063258198</x:v>
      </x:c>
      <x:c r="AB1836" s="10" t="n">
        <x:f>Y1836+Z1836+AA1836</x:f>
        <x:v>45047.59802873172</x:v>
      </x:c>
      <x:c r="AC1836" s="8" t="n">
        <x:f>IF(AND(v01_WinterTrigger=1,D1836=1,AB1835/AE1835&gt;=K1836),1,0)</x:f>
        <x:v>0</x:v>
      </x:c>
      <x:c r="AD1836" s="8" t="n">
        <x:f>H1836*IF(AND(OR(AB1835/AE1835&gt;=v01_FissionTrigger*N1836,AC1836=1),AB1835/AE1835*v01_DaughterShare&gt;=v01_MinDaughter),MAX(1,ROUND(AE1835*v01_FissionRate,0)),0)</x:f>
        <x:v>0</x:v>
      </x:c>
      <x:c r="AE1836" s="8" t="n">
        <x:f>IF(H1836=1,MAX(1,MIN(INDEX(v01_Smax,G1836),AE1835+AD1836)),AE1835)</x:f>
        <x:v>15</x:v>
      </x:c>
      <x:c r="AF1836" s="8" t="n">
        <x:f>MAX(0,AE1836-AE1835)</x:f>
        <x:v>0</x:v>
      </x:c>
      <x:c r="AG1836" s="9" t="str">
        <x:f>IF(AF1836&gt;0,B1836,"")</x:f>
      </x:c>
      <x:c r="AH1836" s="9" t="n">
        <x:f>IF(F1836&gt;=1,1,(1+v01_LowTiesShare*(AE1836-1))/AE1836)</x:f>
        <x:v>1</x:v>
      </x:c>
      <x:c r="AI1836" s="32" t="n">
        <x:f>(Z1836+v01_ElderCommons*INDEX(LM_Elder,G1836)*AA1836)*AH1836</x:f>
        <x:v>64139.732591141874</x:v>
      </x:c>
      <x:c r="AJ1836" s="32" t="n">
        <x:f>H1836*v01_CommonsCoef*AI1836^v01_CommonsExp*INDEX(LM_Commons,G1836)</x:f>
        <x:v>0</x:v>
      </x:c>
      <x:c r="AK1836" s="32" t="n">
        <x:f>H1836*v01_RoleScale*Arch_Roles*(AE1836*(INDEX(v01_ElderRolePerSett,G1836)*v01_OutElder*INDEX(LM_Elder,G1836)+INDEX(v01_ShamanPerSett,G1836)*v01_OutShaman)+Z1836*(INDEX(v01_PriestShare,G1836)*v01_OutPriest+INDEX(v01_ScribeShare,G1836)*v01_OutScribe*INDEX(LM_Scribe,G1836)+INDEX(v01_ScholarShare,G1836)*v01_OutScholar*INDEX(LM_Scholar,G1836)+INDEX(v01_ResearcherShare,G1836)*v01_OutResearcher*INDEX(LM_Researcher,G1836)))</x:f>
        <x:v>0</x:v>
      </x:c>
      <x:c r="AL1836" s="32" t="n">
        <x:f>H1836*v01_RoleScale*Arch_Roles*AE1836*INDEX(v01_MonasteryPerSett,G1836)*v01_OutMonastery*INDEX(LM_Monastery,G1836)</x:f>
        <x:v>0</x:v>
      </x:c>
      <x:c r="AM1836" s="32" t="n">
        <x:f>(AJ1836+AK1836+AL1836)/4*INDEX(LM_All,G1836)*INDEX(v01_Boon,G1836)*Arch_Insight</x:f>
        <x:v>0</x:v>
      </x:c>
      <x:c r="AN1836" s="32" t="n">
        <x:f>H1836*(v01_KHPerAdult*Z1836+v01_KHOfCommons*AJ1836/4*INDEX(LM_All,G1836))*v01_KHUsable*Arch_KH</x:f>
        <x:v>0</x:v>
      </x:c>
      <x:c r="AO1836" s="32" t="n">
        <x:f>MIN(AP1835+AN1836,AM1836*v01_KHMaxRatio)</x:f>
        <x:v>0</x:v>
      </x:c>
      <x:c r="AP1836" s="32" t="n">
        <x:f>AP1835+AN1836-AO1836</x:f>
        <x:v>0</x:v>
      </x:c>
      <x:c r="AQ1836" s="32" t="n">
        <x:f>AM1836+AO1836</x:f>
        <x:v>0</x:v>
      </x:c>
      <x:c r="AR1836" s="10" t="n">
        <x:f>IF(H1836=1,INDEX(v01_Req,G1836),0)</x:f>
        <x:v>0</x:v>
      </x:c>
      <x:c r="AS1836" s="32" t="n">
        <x:f>IF(H1836=1,IF(E1836=1,AS1835-AR1835,AS1835)+AQ1836,0)</x:f>
        <x:v>0</x:v>
      </x:c>
      <x:c r="AT1836" s="11" t="n">
        <x:f>IF(AR1836&gt;0,MIN(1,AS1836/AR1836),1)</x:f>
        <x:v>1</x:v>
      </x:c>
      <x:c r="AU1836" s="10" t="n">
        <x:f>AB1836/INDEX(v01_RepScale,G1836)</x:f>
        <x:v>90.09519605746344</x:v>
      </x:c>
      <x:c r="AV1836" s="32" t="n">
        <x:f>AM1836*60/v01_SeasonSeconds</x:f>
        <x:v>0</x:v>
      </x:c>
    </x:row>
    <x:row r="1837">
      <x:c r="A1837" s="8" t="n">
        <x:f>A1836+1</x:f>
        <x:v>1834</x:v>
      </x:c>
      <x:c r="B1837" s="9" t="n">
        <x:f>A1837*v01_SeasonSeconds/60</x:f>
        <x:v>458.5</x:v>
      </x:c>
      <x:c r="C1837" s="9" t="n">
        <x:f>A1837/4</x:f>
        <x:v>458.5</x:v>
      </x:c>
      <x:c r="D1837" s="8" t="n">
        <x:f>IF(MOD(A1837,4)=0,1,0)</x:f>
        <x:v>0</x:v>
      </x:c>
      <x:c r="E1837" s="8" t="n">
        <x:f>IF(AND(F1836&lt;=9,AS1836&gt;=AR1836),1,0)</x:f>
        <x:v>0</x:v>
      </x:c>
      <x:c r="F1837" s="8" t="n">
        <x:f>MIN(10,F1836+E1837)</x:f>
        <x:v>10</x:v>
      </x:c>
      <x:c r="G1837" s="8" t="n">
        <x:f>MIN(F1837,9)+1</x:f>
        <x:v>10</x:v>
      </x:c>
      <x:c r="H1837" s="8" t="n">
        <x:f>IF(F1837&lt;=9,1,0)</x:f>
        <x:v>0</x:v>
      </x:c>
      <x:c r="I1837" s="9" t="n">
        <x:f>MIN(10,F1836+IF(AR1836&gt;0,MIN(1,AS1836/AR1836),1))</x:f>
        <x:v>10</x:v>
      </x:c>
      <x:c r="J1837" s="32" t="n">
        <x:f>INDEX(v01_FoodCap,G1837)*Arch_FoodCap*EXP(v01_CapsByProject*SUMPRODUCT((Cap_Point&lt;=I1837)*(Cap_Kind="Food")*Cap_Ln))</x:f>
        <x:v>12000</x:v>
      </x:c>
      <x:c r="K1837" s="32" t="n">
        <x:f>J1837*MIN(1,v01_LeanBase*EXP(v01_CapsByProject*SUMPRODUCT((Cap_Point&lt;=I1837)*(Cap_Kind="Lean")*Cap_Ln)))</x:f>
        <x:v>12000</x:v>
      </x:c>
      <x:c r="L1837" s="10" t="n">
        <x:f>INDEX(v01_HousingCap,G1837)*EXP(v01_CapsByProject*SUMPRODUCT((Cap_Point&lt;=I1837)*(Cap_Kind="Housing")*Cap_Ln))</x:f>
        <x:v>20000</x:v>
      </x:c>
      <x:c r="M1837" s="10" t="n">
        <x:f>INDEX(v01_GroupCap,G1837)*v01_CohesionFactor*EXP(v01_CapsByProject*SUMPRODUCT((Cap_Point&lt;=I1837)*(Cap_Kind="Group")*Cap_Ln))</x:f>
        <x:v>1000000</x:v>
      </x:c>
      <x:c r="N1837" s="32" t="n">
        <x:f>MIN(J1837,L1837,M1837)</x:f>
        <x:v>12000</x:v>
      </x:c>
      <x:c r="O1837" s="10" t="n">
        <x:f>AE1836*N1837</x:f>
        <x:v>180000</x:v>
      </x:c>
      <x:c r="P1837" s="9" t="n">
        <x:f>MIN(1,(AB1836/(AE1836*IF(v01_GroupInCrowding=1,N1837,MIN(J1837,L1837))))^v01_CrowdingExp)</x:f>
        <x:v>0.00024569414295285325</x:v>
      </x:c>
      <x:c r="Q1837" s="9" t="n">
        <x:f>IF(D1837=1,INDEX(v01_WinterMult,G1837),1)</x:f>
        <x:v>1</x:v>
      </x:c>
      <x:c r="R1837" s="9" t="n">
        <x:f>H1837*Z1836*v01_WomenShare*v01_BaseFertility*INDEX(v01_FertMult,G1837)*Arch_Fertility*(1-P1837)</x:f>
        <x:v>0</x:v>
      </x:c>
      <x:c r="S1837" s="9" t="n">
        <x:f>H1837*Y1836*INDEX(v01_MortChild,G1837)/4*Q1837</x:f>
        <x:v>0</x:v>
      </x:c>
      <x:c r="T1837" s="9" t="n">
        <x:f>H1837*Z1836*INDEX(v01_MortAdult,G1837)*Arch_AdultMort/4*Q1837</x:f>
        <x:v>0</x:v>
      </x:c>
      <x:c r="U1837" s="9" t="n">
        <x:f>H1837*AA1836*INDEX(v01_MortElder,G1837)/4*Q1837</x:f>
        <x:v>0</x:v>
      </x:c>
      <x:c r="V1837" s="9" t="n">
        <x:f>H1837*MAX(0,AB1836-O1837)*v01_OvercapLoss</x:f>
        <x:v>0</x:v>
      </x:c>
      <x:c r="W1837" s="9" t="n">
        <x:f>H1837*Y1836/(v01_ChildYears*4)</x:f>
        <x:v>0</x:v>
      </x:c>
      <x:c r="X1837" s="9" t="n">
        <x:f>H1837*Z1836/(v01_AdultYears*4)</x:f>
        <x:v>0</x:v>
      </x:c>
      <x:c r="Y1837" s="32" t="n">
        <x:f>Y1836+R1837-S1837-W1837-Y1836*V1837/AB1836</x:f>
        <x:v>14306.18539759397</x:v>
      </x:c>
      <x:c r="Z1837" s="32" t="n">
        <x:f>Z1836+W1837-X1837-T1837-Z1836*V1837/AB1836</x:f>
        <x:v>19354.456567879548</x:v>
      </x:c>
      <x:c r="AA1837" s="32" t="n">
        <x:f>AA1836+X1837-U1837-AA1836*V1837/AB1836</x:f>
        <x:v>11386.956063258198</x:v>
      </x:c>
      <x:c r="AB1837" s="10" t="n">
        <x:f>Y1837+Z1837+AA1837</x:f>
        <x:v>45047.59802873172</x:v>
      </x:c>
      <x:c r="AC1837" s="8" t="n">
        <x:f>IF(AND(v01_WinterTrigger=1,D1837=1,AB1836/AE1836&gt;=K1837),1,0)</x:f>
        <x:v>0</x:v>
      </x:c>
      <x:c r="AD1837" s="8" t="n">
        <x:f>H1837*IF(AND(OR(AB1836/AE1836&gt;=v01_FissionTrigger*N1837,AC1837=1),AB1836/AE1836*v01_DaughterShare&gt;=v01_MinDaughter),MAX(1,ROUND(AE1836*v01_FissionRate,0)),0)</x:f>
        <x:v>0</x:v>
      </x:c>
      <x:c r="AE1837" s="8" t="n">
        <x:f>IF(H1837=1,MAX(1,MIN(INDEX(v01_Smax,G1837),AE1836+AD1837)),AE1836)</x:f>
        <x:v>15</x:v>
      </x:c>
      <x:c r="AF1837" s="8" t="n">
        <x:f>MAX(0,AE1837-AE1836)</x:f>
        <x:v>0</x:v>
      </x:c>
      <x:c r="AG1837" s="9" t="str">
        <x:f>IF(AF1837&gt;0,B1837,"")</x:f>
      </x:c>
      <x:c r="AH1837" s="9" t="n">
        <x:f>IF(F1837&gt;=1,1,(1+v01_LowTiesShare*(AE1837-1))/AE1837)</x:f>
        <x:v>1</x:v>
      </x:c>
      <x:c r="AI1837" s="32" t="n">
        <x:f>(Z1837+v01_ElderCommons*INDEX(LM_Elder,G1837)*AA1837)*AH1837</x:f>
        <x:v>64139.732591141874</x:v>
      </x:c>
      <x:c r="AJ1837" s="32" t="n">
        <x:f>H1837*v01_CommonsCoef*AI1837^v01_CommonsExp*INDEX(LM_Commons,G1837)</x:f>
        <x:v>0</x:v>
      </x:c>
      <x:c r="AK1837" s="32" t="n">
        <x:f>H1837*v01_RoleScale*Arch_Roles*(AE1837*(INDEX(v01_ElderRolePerSett,G1837)*v01_OutElder*INDEX(LM_Elder,G1837)+INDEX(v01_ShamanPerSett,G1837)*v01_OutShaman)+Z1837*(INDEX(v01_PriestShare,G1837)*v01_OutPriest+INDEX(v01_ScribeShare,G1837)*v01_OutScribe*INDEX(LM_Scribe,G1837)+INDEX(v01_ScholarShare,G1837)*v01_OutScholar*INDEX(LM_Scholar,G1837)+INDEX(v01_ResearcherShare,G1837)*v01_OutResearcher*INDEX(LM_Researcher,G1837)))</x:f>
        <x:v>0</x:v>
      </x:c>
      <x:c r="AL1837" s="32" t="n">
        <x:f>H1837*v01_RoleScale*Arch_Roles*AE1837*INDEX(v01_MonasteryPerSett,G1837)*v01_OutMonastery*INDEX(LM_Monastery,G1837)</x:f>
        <x:v>0</x:v>
      </x:c>
      <x:c r="AM1837" s="32" t="n">
        <x:f>(AJ1837+AK1837+AL1837)/4*INDEX(LM_All,G1837)*INDEX(v01_Boon,G1837)*Arch_Insight</x:f>
        <x:v>0</x:v>
      </x:c>
      <x:c r="AN1837" s="32" t="n">
        <x:f>H1837*(v01_KHPerAdult*Z1837+v01_KHOfCommons*AJ1837/4*INDEX(LM_All,G1837))*v01_KHUsable*Arch_KH</x:f>
        <x:v>0</x:v>
      </x:c>
      <x:c r="AO1837" s="32" t="n">
        <x:f>MIN(AP1836+AN1837,AM1837*v01_KHMaxRatio)</x:f>
        <x:v>0</x:v>
      </x:c>
      <x:c r="AP1837" s="32" t="n">
        <x:f>AP1836+AN1837-AO1837</x:f>
        <x:v>0</x:v>
      </x:c>
      <x:c r="AQ1837" s="32" t="n">
        <x:f>AM1837+AO1837</x:f>
        <x:v>0</x:v>
      </x:c>
      <x:c r="AR1837" s="10" t="n">
        <x:f>IF(H1837=1,INDEX(v01_Req,G1837),0)</x:f>
        <x:v>0</x:v>
      </x:c>
      <x:c r="AS1837" s="32" t="n">
        <x:f>IF(H1837=1,IF(E1837=1,AS1836-AR1836,AS1836)+AQ1837,0)</x:f>
        <x:v>0</x:v>
      </x:c>
      <x:c r="AT1837" s="11" t="n">
        <x:f>IF(AR1837&gt;0,MIN(1,AS1837/AR1837),1)</x:f>
        <x:v>1</x:v>
      </x:c>
      <x:c r="AU1837" s="10" t="n">
        <x:f>AB1837/INDEX(v01_RepScale,G1837)</x:f>
        <x:v>90.09519605746344</x:v>
      </x:c>
      <x:c r="AV1837" s="32" t="n">
        <x:f>AM1837*60/v01_SeasonSeconds</x:f>
        <x:v>0</x:v>
      </x:c>
    </x:row>
    <x:row r="1838">
      <x:c r="A1838" s="8" t="n">
        <x:f>A1837+1</x:f>
        <x:v>1835</x:v>
      </x:c>
      <x:c r="B1838" s="9" t="n">
        <x:f>A1838*v01_SeasonSeconds/60</x:f>
        <x:v>458.75</x:v>
      </x:c>
      <x:c r="C1838" s="9" t="n">
        <x:f>A1838/4</x:f>
        <x:v>458.75</x:v>
      </x:c>
      <x:c r="D1838" s="8" t="n">
        <x:f>IF(MOD(A1838,4)=0,1,0)</x:f>
        <x:v>0</x:v>
      </x:c>
      <x:c r="E1838" s="8" t="n">
        <x:f>IF(AND(F1837&lt;=9,AS1837&gt;=AR1837),1,0)</x:f>
        <x:v>0</x:v>
      </x:c>
      <x:c r="F1838" s="8" t="n">
        <x:f>MIN(10,F1837+E1838)</x:f>
        <x:v>10</x:v>
      </x:c>
      <x:c r="G1838" s="8" t="n">
        <x:f>MIN(F1838,9)+1</x:f>
        <x:v>10</x:v>
      </x:c>
      <x:c r="H1838" s="8" t="n">
        <x:f>IF(F1838&lt;=9,1,0)</x:f>
        <x:v>0</x:v>
      </x:c>
      <x:c r="I1838" s="9" t="n">
        <x:f>MIN(10,F1837+IF(AR1837&gt;0,MIN(1,AS1837/AR1837),1))</x:f>
        <x:v>10</x:v>
      </x:c>
      <x:c r="J1838" s="32" t="n">
        <x:f>INDEX(v01_FoodCap,G1838)*Arch_FoodCap*EXP(v01_CapsByProject*SUMPRODUCT((Cap_Point&lt;=I1838)*(Cap_Kind="Food")*Cap_Ln))</x:f>
        <x:v>12000</x:v>
      </x:c>
      <x:c r="K1838" s="32" t="n">
        <x:f>J1838*MIN(1,v01_LeanBase*EXP(v01_CapsByProject*SUMPRODUCT((Cap_Point&lt;=I1838)*(Cap_Kind="Lean")*Cap_Ln)))</x:f>
        <x:v>12000</x:v>
      </x:c>
      <x:c r="L1838" s="10" t="n">
        <x:f>INDEX(v01_HousingCap,G1838)*EXP(v01_CapsByProject*SUMPRODUCT((Cap_Point&lt;=I1838)*(Cap_Kind="Housing")*Cap_Ln))</x:f>
        <x:v>20000</x:v>
      </x:c>
      <x:c r="M1838" s="10" t="n">
        <x:f>INDEX(v01_GroupCap,G1838)*v01_CohesionFactor*EXP(v01_CapsByProject*SUMPRODUCT((Cap_Point&lt;=I1838)*(Cap_Kind="Group")*Cap_Ln))</x:f>
        <x:v>1000000</x:v>
      </x:c>
      <x:c r="N1838" s="32" t="n">
        <x:f>MIN(J1838,L1838,M1838)</x:f>
        <x:v>12000</x:v>
      </x:c>
      <x:c r="O1838" s="10" t="n">
        <x:f>AE1837*N1838</x:f>
        <x:v>180000</x:v>
      </x:c>
      <x:c r="P1838" s="9" t="n">
        <x:f>MIN(1,(AB1837/(AE1837*IF(v01_GroupInCrowding=1,N1838,MIN(J1838,L1838))))^v01_CrowdingExp)</x:f>
        <x:v>0.00024569414295285325</x:v>
      </x:c>
      <x:c r="Q1838" s="9" t="n">
        <x:f>IF(D1838=1,INDEX(v01_WinterMult,G1838),1)</x:f>
        <x:v>1</x:v>
      </x:c>
      <x:c r="R1838" s="9" t="n">
        <x:f>H1838*Z1837*v01_WomenShare*v01_BaseFertility*INDEX(v01_FertMult,G1838)*Arch_Fertility*(1-P1838)</x:f>
        <x:v>0</x:v>
      </x:c>
      <x:c r="S1838" s="9" t="n">
        <x:f>H1838*Y1837*INDEX(v01_MortChild,G1838)/4*Q1838</x:f>
        <x:v>0</x:v>
      </x:c>
      <x:c r="T1838" s="9" t="n">
        <x:f>H1838*Z1837*INDEX(v01_MortAdult,G1838)*Arch_AdultMort/4*Q1838</x:f>
        <x:v>0</x:v>
      </x:c>
      <x:c r="U1838" s="9" t="n">
        <x:f>H1838*AA1837*INDEX(v01_MortElder,G1838)/4*Q1838</x:f>
        <x:v>0</x:v>
      </x:c>
      <x:c r="V1838" s="9" t="n">
        <x:f>H1838*MAX(0,AB1837-O1838)*v01_OvercapLoss</x:f>
        <x:v>0</x:v>
      </x:c>
      <x:c r="W1838" s="9" t="n">
        <x:f>H1838*Y1837/(v01_ChildYears*4)</x:f>
        <x:v>0</x:v>
      </x:c>
      <x:c r="X1838" s="9" t="n">
        <x:f>H1838*Z1837/(v01_AdultYears*4)</x:f>
        <x:v>0</x:v>
      </x:c>
      <x:c r="Y1838" s="32" t="n">
        <x:f>Y1837+R1838-S1838-W1838-Y1837*V1838/AB1837</x:f>
        <x:v>14306.18539759397</x:v>
      </x:c>
      <x:c r="Z1838" s="32" t="n">
        <x:f>Z1837+W1838-X1838-T1838-Z1837*V1838/AB1837</x:f>
        <x:v>19354.456567879548</x:v>
      </x:c>
      <x:c r="AA1838" s="32" t="n">
        <x:f>AA1837+X1838-U1838-AA1837*V1838/AB1837</x:f>
        <x:v>11386.956063258198</x:v>
      </x:c>
      <x:c r="AB1838" s="10" t="n">
        <x:f>Y1838+Z1838+AA1838</x:f>
        <x:v>45047.59802873172</x:v>
      </x:c>
      <x:c r="AC1838" s="8" t="n">
        <x:f>IF(AND(v01_WinterTrigger=1,D1838=1,AB1837/AE1837&gt;=K1838),1,0)</x:f>
        <x:v>0</x:v>
      </x:c>
      <x:c r="AD1838" s="8" t="n">
        <x:f>H1838*IF(AND(OR(AB1837/AE1837&gt;=v01_FissionTrigger*N1838,AC1838=1),AB1837/AE1837*v01_DaughterShare&gt;=v01_MinDaughter),MAX(1,ROUND(AE1837*v01_FissionRate,0)),0)</x:f>
        <x:v>0</x:v>
      </x:c>
      <x:c r="AE1838" s="8" t="n">
        <x:f>IF(H1838=1,MAX(1,MIN(INDEX(v01_Smax,G1838),AE1837+AD1838)),AE1837)</x:f>
        <x:v>15</x:v>
      </x:c>
      <x:c r="AF1838" s="8" t="n">
        <x:f>MAX(0,AE1838-AE1837)</x:f>
        <x:v>0</x:v>
      </x:c>
      <x:c r="AG1838" s="9" t="str">
        <x:f>IF(AF1838&gt;0,B1838,"")</x:f>
      </x:c>
      <x:c r="AH1838" s="9" t="n">
        <x:f>IF(F1838&gt;=1,1,(1+v01_LowTiesShare*(AE1838-1))/AE1838)</x:f>
        <x:v>1</x:v>
      </x:c>
      <x:c r="AI1838" s="32" t="n">
        <x:f>(Z1838+v01_ElderCommons*INDEX(LM_Elder,G1838)*AA1838)*AH1838</x:f>
        <x:v>64139.732591141874</x:v>
      </x:c>
      <x:c r="AJ1838" s="32" t="n">
        <x:f>H1838*v01_CommonsCoef*AI1838^v01_CommonsExp*INDEX(LM_Commons,G1838)</x:f>
        <x:v>0</x:v>
      </x:c>
      <x:c r="AK1838" s="32" t="n">
        <x:f>H1838*v01_RoleScale*Arch_Roles*(AE1838*(INDEX(v01_ElderRolePerSett,G1838)*v01_OutElder*INDEX(LM_Elder,G1838)+INDEX(v01_ShamanPerSett,G1838)*v01_OutShaman)+Z1838*(INDEX(v01_PriestShare,G1838)*v01_OutPriest+INDEX(v01_ScribeShare,G1838)*v01_OutScribe*INDEX(LM_Scribe,G1838)+INDEX(v01_ScholarShare,G1838)*v01_OutScholar*INDEX(LM_Scholar,G1838)+INDEX(v01_ResearcherShare,G1838)*v01_OutResearcher*INDEX(LM_Researcher,G1838)))</x:f>
        <x:v>0</x:v>
      </x:c>
      <x:c r="AL1838" s="32" t="n">
        <x:f>H1838*v01_RoleScale*Arch_Roles*AE1838*INDEX(v01_MonasteryPerSett,G1838)*v01_OutMonastery*INDEX(LM_Monastery,G1838)</x:f>
        <x:v>0</x:v>
      </x:c>
      <x:c r="AM1838" s="32" t="n">
        <x:f>(AJ1838+AK1838+AL1838)/4*INDEX(LM_All,G1838)*INDEX(v01_Boon,G1838)*Arch_Insight</x:f>
        <x:v>0</x:v>
      </x:c>
      <x:c r="AN1838" s="32" t="n">
        <x:f>H1838*(v01_KHPerAdult*Z1838+v01_KHOfCommons*AJ1838/4*INDEX(LM_All,G1838))*v01_KHUsable*Arch_KH</x:f>
        <x:v>0</x:v>
      </x:c>
      <x:c r="AO1838" s="32" t="n">
        <x:f>MIN(AP1837+AN1838,AM1838*v01_KHMaxRatio)</x:f>
        <x:v>0</x:v>
      </x:c>
      <x:c r="AP1838" s="32" t="n">
        <x:f>AP1837+AN1838-AO1838</x:f>
        <x:v>0</x:v>
      </x:c>
      <x:c r="AQ1838" s="32" t="n">
        <x:f>AM1838+AO1838</x:f>
        <x:v>0</x:v>
      </x:c>
      <x:c r="AR1838" s="10" t="n">
        <x:f>IF(H1838=1,INDEX(v01_Req,G1838),0)</x:f>
        <x:v>0</x:v>
      </x:c>
      <x:c r="AS1838" s="32" t="n">
        <x:f>IF(H1838=1,IF(E1838=1,AS1837-AR1837,AS1837)+AQ1838,0)</x:f>
        <x:v>0</x:v>
      </x:c>
      <x:c r="AT1838" s="11" t="n">
        <x:f>IF(AR1838&gt;0,MIN(1,AS1838/AR1838),1)</x:f>
        <x:v>1</x:v>
      </x:c>
      <x:c r="AU1838" s="10" t="n">
        <x:f>AB1838/INDEX(v01_RepScale,G1838)</x:f>
        <x:v>90.09519605746344</x:v>
      </x:c>
      <x:c r="AV1838" s="32" t="n">
        <x:f>AM1838*60/v01_SeasonSeconds</x:f>
        <x:v>0</x:v>
      </x:c>
    </x:row>
    <x:row r="1839">
      <x:c r="A1839" s="8" t="n">
        <x:f>A1838+1</x:f>
        <x:v>1836</x:v>
      </x:c>
      <x:c r="B1839" s="9" t="n">
        <x:f>A1839*v01_SeasonSeconds/60</x:f>
        <x:v>459</x:v>
      </x:c>
      <x:c r="C1839" s="9" t="n">
        <x:f>A1839/4</x:f>
        <x:v>459</x:v>
      </x:c>
      <x:c r="D1839" s="8" t="n">
        <x:f>IF(MOD(A1839,4)=0,1,0)</x:f>
        <x:v>1</x:v>
      </x:c>
      <x:c r="E1839" s="8" t="n">
        <x:f>IF(AND(F1838&lt;=9,AS1838&gt;=AR1838),1,0)</x:f>
        <x:v>0</x:v>
      </x:c>
      <x:c r="F1839" s="8" t="n">
        <x:f>MIN(10,F1838+E1839)</x:f>
        <x:v>10</x:v>
      </x:c>
      <x:c r="G1839" s="8" t="n">
        <x:f>MIN(F1839,9)+1</x:f>
        <x:v>10</x:v>
      </x:c>
      <x:c r="H1839" s="8" t="n">
        <x:f>IF(F1839&lt;=9,1,0)</x:f>
        <x:v>0</x:v>
      </x:c>
      <x:c r="I1839" s="9" t="n">
        <x:f>MIN(10,F1838+IF(AR1838&gt;0,MIN(1,AS1838/AR1838),1))</x:f>
        <x:v>10</x:v>
      </x:c>
      <x:c r="J1839" s="32" t="n">
        <x:f>INDEX(v01_FoodCap,G1839)*Arch_FoodCap*EXP(v01_CapsByProject*SUMPRODUCT((Cap_Point&lt;=I1839)*(Cap_Kind="Food")*Cap_Ln))</x:f>
        <x:v>12000</x:v>
      </x:c>
      <x:c r="K1839" s="32" t="n">
        <x:f>J1839*MIN(1,v01_LeanBase*EXP(v01_CapsByProject*SUMPRODUCT((Cap_Point&lt;=I1839)*(Cap_Kind="Lean")*Cap_Ln)))</x:f>
        <x:v>12000</x:v>
      </x:c>
      <x:c r="L1839" s="10" t="n">
        <x:f>INDEX(v01_HousingCap,G1839)*EXP(v01_CapsByProject*SUMPRODUCT((Cap_Point&lt;=I1839)*(Cap_Kind="Housing")*Cap_Ln))</x:f>
        <x:v>20000</x:v>
      </x:c>
      <x:c r="M1839" s="10" t="n">
        <x:f>INDEX(v01_GroupCap,G1839)*v01_CohesionFactor*EXP(v01_CapsByProject*SUMPRODUCT((Cap_Point&lt;=I1839)*(Cap_Kind="Group")*Cap_Ln))</x:f>
        <x:v>1000000</x:v>
      </x:c>
      <x:c r="N1839" s="32" t="n">
        <x:f>MIN(J1839,L1839,M1839)</x:f>
        <x:v>12000</x:v>
      </x:c>
      <x:c r="O1839" s="10" t="n">
        <x:f>AE1838*N1839</x:f>
        <x:v>180000</x:v>
      </x:c>
      <x:c r="P1839" s="9" t="n">
        <x:f>MIN(1,(AB1838/(AE1838*IF(v01_GroupInCrowding=1,N1839,MIN(J1839,L1839))))^v01_CrowdingExp)</x:f>
        <x:v>0.00024569414295285325</x:v>
      </x:c>
      <x:c r="Q1839" s="9" t="n">
        <x:f>IF(D1839=1,INDEX(v01_WinterMult,G1839),1)</x:f>
        <x:v>1</x:v>
      </x:c>
      <x:c r="R1839" s="9" t="n">
        <x:f>H1839*Z1838*v01_WomenShare*v01_BaseFertility*INDEX(v01_FertMult,G1839)*Arch_Fertility*(1-P1839)</x:f>
        <x:v>0</x:v>
      </x:c>
      <x:c r="S1839" s="9" t="n">
        <x:f>H1839*Y1838*INDEX(v01_MortChild,G1839)/4*Q1839</x:f>
        <x:v>0</x:v>
      </x:c>
      <x:c r="T1839" s="9" t="n">
        <x:f>H1839*Z1838*INDEX(v01_MortAdult,G1839)*Arch_AdultMort/4*Q1839</x:f>
        <x:v>0</x:v>
      </x:c>
      <x:c r="U1839" s="9" t="n">
        <x:f>H1839*AA1838*INDEX(v01_MortElder,G1839)/4*Q1839</x:f>
        <x:v>0</x:v>
      </x:c>
      <x:c r="V1839" s="9" t="n">
        <x:f>H1839*MAX(0,AB1838-O1839)*v01_OvercapLoss</x:f>
        <x:v>0</x:v>
      </x:c>
      <x:c r="W1839" s="9" t="n">
        <x:f>H1839*Y1838/(v01_ChildYears*4)</x:f>
        <x:v>0</x:v>
      </x:c>
      <x:c r="X1839" s="9" t="n">
        <x:f>H1839*Z1838/(v01_AdultYears*4)</x:f>
        <x:v>0</x:v>
      </x:c>
      <x:c r="Y1839" s="32" t="n">
        <x:f>Y1838+R1839-S1839-W1839-Y1838*V1839/AB1838</x:f>
        <x:v>14306.18539759397</x:v>
      </x:c>
      <x:c r="Z1839" s="32" t="n">
        <x:f>Z1838+W1839-X1839-T1839-Z1838*V1839/AB1838</x:f>
        <x:v>19354.456567879548</x:v>
      </x:c>
      <x:c r="AA1839" s="32" t="n">
        <x:f>AA1838+X1839-U1839-AA1838*V1839/AB1838</x:f>
        <x:v>11386.956063258198</x:v>
      </x:c>
      <x:c r="AB1839" s="10" t="n">
        <x:f>Y1839+Z1839+AA1839</x:f>
        <x:v>45047.59802873172</x:v>
      </x:c>
      <x:c r="AC1839" s="8" t="n">
        <x:f>IF(AND(v01_WinterTrigger=1,D1839=1,AB1838/AE1838&gt;=K1839),1,0)</x:f>
        <x:v>0</x:v>
      </x:c>
      <x:c r="AD1839" s="8" t="n">
        <x:f>H1839*IF(AND(OR(AB1838/AE1838&gt;=v01_FissionTrigger*N1839,AC1839=1),AB1838/AE1838*v01_DaughterShare&gt;=v01_MinDaughter),MAX(1,ROUND(AE1838*v01_FissionRate,0)),0)</x:f>
        <x:v>0</x:v>
      </x:c>
      <x:c r="AE1839" s="8" t="n">
        <x:f>IF(H1839=1,MAX(1,MIN(INDEX(v01_Smax,G1839),AE1838+AD1839)),AE1838)</x:f>
        <x:v>15</x:v>
      </x:c>
      <x:c r="AF1839" s="8" t="n">
        <x:f>MAX(0,AE1839-AE1838)</x:f>
        <x:v>0</x:v>
      </x:c>
      <x:c r="AG1839" s="9" t="str">
        <x:f>IF(AF1839&gt;0,B1839,"")</x:f>
      </x:c>
      <x:c r="AH1839" s="9" t="n">
        <x:f>IF(F1839&gt;=1,1,(1+v01_LowTiesShare*(AE1839-1))/AE1839)</x:f>
        <x:v>1</x:v>
      </x:c>
      <x:c r="AI1839" s="32" t="n">
        <x:f>(Z1839+v01_ElderCommons*INDEX(LM_Elder,G1839)*AA1839)*AH1839</x:f>
        <x:v>64139.732591141874</x:v>
      </x:c>
      <x:c r="AJ1839" s="32" t="n">
        <x:f>H1839*v01_CommonsCoef*AI1839^v01_CommonsExp*INDEX(LM_Commons,G1839)</x:f>
        <x:v>0</x:v>
      </x:c>
      <x:c r="AK1839" s="32" t="n">
        <x:f>H1839*v01_RoleScale*Arch_Roles*(AE1839*(INDEX(v01_ElderRolePerSett,G1839)*v01_OutElder*INDEX(LM_Elder,G1839)+INDEX(v01_ShamanPerSett,G1839)*v01_OutShaman)+Z1839*(INDEX(v01_PriestShare,G1839)*v01_OutPriest+INDEX(v01_ScribeShare,G1839)*v01_OutScribe*INDEX(LM_Scribe,G1839)+INDEX(v01_ScholarShare,G1839)*v01_OutScholar*INDEX(LM_Scholar,G1839)+INDEX(v01_ResearcherShare,G1839)*v01_OutResearcher*INDEX(LM_Researcher,G1839)))</x:f>
        <x:v>0</x:v>
      </x:c>
      <x:c r="AL1839" s="32" t="n">
        <x:f>H1839*v01_RoleScale*Arch_Roles*AE1839*INDEX(v01_MonasteryPerSett,G1839)*v01_OutMonastery*INDEX(LM_Monastery,G1839)</x:f>
        <x:v>0</x:v>
      </x:c>
      <x:c r="AM1839" s="32" t="n">
        <x:f>(AJ1839+AK1839+AL1839)/4*INDEX(LM_All,G1839)*INDEX(v01_Boon,G1839)*Arch_Insight</x:f>
        <x:v>0</x:v>
      </x:c>
      <x:c r="AN1839" s="32" t="n">
        <x:f>H1839*(v01_KHPerAdult*Z1839+v01_KHOfCommons*AJ1839/4*INDEX(LM_All,G1839))*v01_KHUsable*Arch_KH</x:f>
        <x:v>0</x:v>
      </x:c>
      <x:c r="AO1839" s="32" t="n">
        <x:f>MIN(AP1838+AN1839,AM1839*v01_KHMaxRatio)</x:f>
        <x:v>0</x:v>
      </x:c>
      <x:c r="AP1839" s="32" t="n">
        <x:f>AP1838+AN1839-AO1839</x:f>
        <x:v>0</x:v>
      </x:c>
      <x:c r="AQ1839" s="32" t="n">
        <x:f>AM1839+AO1839</x:f>
        <x:v>0</x:v>
      </x:c>
      <x:c r="AR1839" s="10" t="n">
        <x:f>IF(H1839=1,INDEX(v01_Req,G1839),0)</x:f>
        <x:v>0</x:v>
      </x:c>
      <x:c r="AS1839" s="32" t="n">
        <x:f>IF(H1839=1,IF(E1839=1,AS1838-AR1838,AS1838)+AQ1839,0)</x:f>
        <x:v>0</x:v>
      </x:c>
      <x:c r="AT1839" s="11" t="n">
        <x:f>IF(AR1839&gt;0,MIN(1,AS1839/AR1839),1)</x:f>
        <x:v>1</x:v>
      </x:c>
      <x:c r="AU1839" s="10" t="n">
        <x:f>AB1839/INDEX(v01_RepScale,G1839)</x:f>
        <x:v>90.09519605746344</x:v>
      </x:c>
      <x:c r="AV1839" s="32" t="n">
        <x:f>AM1839*60/v01_SeasonSeconds</x:f>
        <x:v>0</x:v>
      </x:c>
    </x:row>
    <x:row r="1840">
      <x:c r="A1840" s="8" t="n">
        <x:f>A1839+1</x:f>
        <x:v>1837</x:v>
      </x:c>
      <x:c r="B1840" s="9" t="n">
        <x:f>A1840*v01_SeasonSeconds/60</x:f>
        <x:v>459.25</x:v>
      </x:c>
      <x:c r="C1840" s="9" t="n">
        <x:f>A1840/4</x:f>
        <x:v>459.25</x:v>
      </x:c>
      <x:c r="D1840" s="8" t="n">
        <x:f>IF(MOD(A1840,4)=0,1,0)</x:f>
        <x:v>0</x:v>
      </x:c>
      <x:c r="E1840" s="8" t="n">
        <x:f>IF(AND(F1839&lt;=9,AS1839&gt;=AR1839),1,0)</x:f>
        <x:v>0</x:v>
      </x:c>
      <x:c r="F1840" s="8" t="n">
        <x:f>MIN(10,F1839+E1840)</x:f>
        <x:v>10</x:v>
      </x:c>
      <x:c r="G1840" s="8" t="n">
        <x:f>MIN(F1840,9)+1</x:f>
        <x:v>10</x:v>
      </x:c>
      <x:c r="H1840" s="8" t="n">
        <x:f>IF(F1840&lt;=9,1,0)</x:f>
        <x:v>0</x:v>
      </x:c>
      <x:c r="I1840" s="9" t="n">
        <x:f>MIN(10,F1839+IF(AR1839&gt;0,MIN(1,AS1839/AR1839),1))</x:f>
        <x:v>10</x:v>
      </x:c>
      <x:c r="J1840" s="32" t="n">
        <x:f>INDEX(v01_FoodCap,G1840)*Arch_FoodCap*EXP(v01_CapsByProject*SUMPRODUCT((Cap_Point&lt;=I1840)*(Cap_Kind="Food")*Cap_Ln))</x:f>
        <x:v>12000</x:v>
      </x:c>
      <x:c r="K1840" s="32" t="n">
        <x:f>J1840*MIN(1,v01_LeanBase*EXP(v01_CapsByProject*SUMPRODUCT((Cap_Point&lt;=I1840)*(Cap_Kind="Lean")*Cap_Ln)))</x:f>
        <x:v>12000</x:v>
      </x:c>
      <x:c r="L1840" s="10" t="n">
        <x:f>INDEX(v01_HousingCap,G1840)*EXP(v01_CapsByProject*SUMPRODUCT((Cap_Point&lt;=I1840)*(Cap_Kind="Housing")*Cap_Ln))</x:f>
        <x:v>20000</x:v>
      </x:c>
      <x:c r="M1840" s="10" t="n">
        <x:f>INDEX(v01_GroupCap,G1840)*v01_CohesionFactor*EXP(v01_CapsByProject*SUMPRODUCT((Cap_Point&lt;=I1840)*(Cap_Kind="Group")*Cap_Ln))</x:f>
        <x:v>1000000</x:v>
      </x:c>
      <x:c r="N1840" s="32" t="n">
        <x:f>MIN(J1840,L1840,M1840)</x:f>
        <x:v>12000</x:v>
      </x:c>
      <x:c r="O1840" s="10" t="n">
        <x:f>AE1839*N1840</x:f>
        <x:v>180000</x:v>
      </x:c>
      <x:c r="P1840" s="9" t="n">
        <x:f>MIN(1,(AB1839/(AE1839*IF(v01_GroupInCrowding=1,N1840,MIN(J1840,L1840))))^v01_CrowdingExp)</x:f>
        <x:v>0.00024569414295285325</x:v>
      </x:c>
      <x:c r="Q1840" s="9" t="n">
        <x:f>IF(D1840=1,INDEX(v01_WinterMult,G1840),1)</x:f>
        <x:v>1</x:v>
      </x:c>
      <x:c r="R1840" s="9" t="n">
        <x:f>H1840*Z1839*v01_WomenShare*v01_BaseFertility*INDEX(v01_FertMult,G1840)*Arch_Fertility*(1-P1840)</x:f>
        <x:v>0</x:v>
      </x:c>
      <x:c r="S1840" s="9" t="n">
        <x:f>H1840*Y1839*INDEX(v01_MortChild,G1840)/4*Q1840</x:f>
        <x:v>0</x:v>
      </x:c>
      <x:c r="T1840" s="9" t="n">
        <x:f>H1840*Z1839*INDEX(v01_MortAdult,G1840)*Arch_AdultMort/4*Q1840</x:f>
        <x:v>0</x:v>
      </x:c>
      <x:c r="U1840" s="9" t="n">
        <x:f>H1840*AA1839*INDEX(v01_MortElder,G1840)/4*Q1840</x:f>
        <x:v>0</x:v>
      </x:c>
      <x:c r="V1840" s="9" t="n">
        <x:f>H1840*MAX(0,AB1839-O1840)*v01_OvercapLoss</x:f>
        <x:v>0</x:v>
      </x:c>
      <x:c r="W1840" s="9" t="n">
        <x:f>H1840*Y1839/(v01_ChildYears*4)</x:f>
        <x:v>0</x:v>
      </x:c>
      <x:c r="X1840" s="9" t="n">
        <x:f>H1840*Z1839/(v01_AdultYears*4)</x:f>
        <x:v>0</x:v>
      </x:c>
      <x:c r="Y1840" s="32" t="n">
        <x:f>Y1839+R1840-S1840-W1840-Y1839*V1840/AB1839</x:f>
        <x:v>14306.18539759397</x:v>
      </x:c>
      <x:c r="Z1840" s="32" t="n">
        <x:f>Z1839+W1840-X1840-T1840-Z1839*V1840/AB1839</x:f>
        <x:v>19354.456567879548</x:v>
      </x:c>
      <x:c r="AA1840" s="32" t="n">
        <x:f>AA1839+X1840-U1840-AA1839*V1840/AB1839</x:f>
        <x:v>11386.956063258198</x:v>
      </x:c>
      <x:c r="AB1840" s="10" t="n">
        <x:f>Y1840+Z1840+AA1840</x:f>
        <x:v>45047.59802873172</x:v>
      </x:c>
      <x:c r="AC1840" s="8" t="n">
        <x:f>IF(AND(v01_WinterTrigger=1,D1840=1,AB1839/AE1839&gt;=K1840),1,0)</x:f>
        <x:v>0</x:v>
      </x:c>
      <x:c r="AD1840" s="8" t="n">
        <x:f>H1840*IF(AND(OR(AB1839/AE1839&gt;=v01_FissionTrigger*N1840,AC1840=1),AB1839/AE1839*v01_DaughterShare&gt;=v01_MinDaughter),MAX(1,ROUND(AE1839*v01_FissionRate,0)),0)</x:f>
        <x:v>0</x:v>
      </x:c>
      <x:c r="AE1840" s="8" t="n">
        <x:f>IF(H1840=1,MAX(1,MIN(INDEX(v01_Smax,G1840),AE1839+AD1840)),AE1839)</x:f>
        <x:v>15</x:v>
      </x:c>
      <x:c r="AF1840" s="8" t="n">
        <x:f>MAX(0,AE1840-AE1839)</x:f>
        <x:v>0</x:v>
      </x:c>
      <x:c r="AG1840" s="9" t="str">
        <x:f>IF(AF1840&gt;0,B1840,"")</x:f>
      </x:c>
      <x:c r="AH1840" s="9" t="n">
        <x:f>IF(F1840&gt;=1,1,(1+v01_LowTiesShare*(AE1840-1))/AE1840)</x:f>
        <x:v>1</x:v>
      </x:c>
      <x:c r="AI1840" s="32" t="n">
        <x:f>(Z1840+v01_ElderCommons*INDEX(LM_Elder,G1840)*AA1840)*AH1840</x:f>
        <x:v>64139.732591141874</x:v>
      </x:c>
      <x:c r="AJ1840" s="32" t="n">
        <x:f>H1840*v01_CommonsCoef*AI1840^v01_CommonsExp*INDEX(LM_Commons,G1840)</x:f>
        <x:v>0</x:v>
      </x:c>
      <x:c r="AK1840" s="32" t="n">
        <x:f>H1840*v01_RoleScale*Arch_Roles*(AE1840*(INDEX(v01_ElderRolePerSett,G1840)*v01_OutElder*INDEX(LM_Elder,G1840)+INDEX(v01_ShamanPerSett,G1840)*v01_OutShaman)+Z1840*(INDEX(v01_PriestShare,G1840)*v01_OutPriest+INDEX(v01_ScribeShare,G1840)*v01_OutScribe*INDEX(LM_Scribe,G1840)+INDEX(v01_ScholarShare,G1840)*v01_OutScholar*INDEX(LM_Scholar,G1840)+INDEX(v01_ResearcherShare,G1840)*v01_OutResearcher*INDEX(LM_Researcher,G1840)))</x:f>
        <x:v>0</x:v>
      </x:c>
      <x:c r="AL1840" s="32" t="n">
        <x:f>H1840*v01_RoleScale*Arch_Roles*AE1840*INDEX(v01_MonasteryPerSett,G1840)*v01_OutMonastery*INDEX(LM_Monastery,G1840)</x:f>
        <x:v>0</x:v>
      </x:c>
      <x:c r="AM1840" s="32" t="n">
        <x:f>(AJ1840+AK1840+AL1840)/4*INDEX(LM_All,G1840)*INDEX(v01_Boon,G1840)*Arch_Insight</x:f>
        <x:v>0</x:v>
      </x:c>
      <x:c r="AN1840" s="32" t="n">
        <x:f>H1840*(v01_KHPerAdult*Z1840+v01_KHOfCommons*AJ1840/4*INDEX(LM_All,G1840))*v01_KHUsable*Arch_KH</x:f>
        <x:v>0</x:v>
      </x:c>
      <x:c r="AO1840" s="32" t="n">
        <x:f>MIN(AP1839+AN1840,AM1840*v01_KHMaxRatio)</x:f>
        <x:v>0</x:v>
      </x:c>
      <x:c r="AP1840" s="32" t="n">
        <x:f>AP1839+AN1840-AO1840</x:f>
        <x:v>0</x:v>
      </x:c>
      <x:c r="AQ1840" s="32" t="n">
        <x:f>AM1840+AO1840</x:f>
        <x:v>0</x:v>
      </x:c>
      <x:c r="AR1840" s="10" t="n">
        <x:f>IF(H1840=1,INDEX(v01_Req,G1840),0)</x:f>
        <x:v>0</x:v>
      </x:c>
      <x:c r="AS1840" s="32" t="n">
        <x:f>IF(H1840=1,IF(E1840=1,AS1839-AR1839,AS1839)+AQ1840,0)</x:f>
        <x:v>0</x:v>
      </x:c>
      <x:c r="AT1840" s="11" t="n">
        <x:f>IF(AR1840&gt;0,MIN(1,AS1840/AR1840),1)</x:f>
        <x:v>1</x:v>
      </x:c>
      <x:c r="AU1840" s="10" t="n">
        <x:f>AB1840/INDEX(v01_RepScale,G1840)</x:f>
        <x:v>90.09519605746344</x:v>
      </x:c>
      <x:c r="AV1840" s="32" t="n">
        <x:f>AM1840*60/v01_SeasonSeconds</x:f>
        <x:v>0</x:v>
      </x:c>
    </x:row>
    <x:row r="1841">
      <x:c r="A1841" s="8" t="n">
        <x:f>A1840+1</x:f>
        <x:v>1838</x:v>
      </x:c>
      <x:c r="B1841" s="9" t="n">
        <x:f>A1841*v01_SeasonSeconds/60</x:f>
        <x:v>459.5</x:v>
      </x:c>
      <x:c r="C1841" s="9" t="n">
        <x:f>A1841/4</x:f>
        <x:v>459.5</x:v>
      </x:c>
      <x:c r="D1841" s="8" t="n">
        <x:f>IF(MOD(A1841,4)=0,1,0)</x:f>
        <x:v>0</x:v>
      </x:c>
      <x:c r="E1841" s="8" t="n">
        <x:f>IF(AND(F1840&lt;=9,AS1840&gt;=AR1840),1,0)</x:f>
        <x:v>0</x:v>
      </x:c>
      <x:c r="F1841" s="8" t="n">
        <x:f>MIN(10,F1840+E1841)</x:f>
        <x:v>10</x:v>
      </x:c>
      <x:c r="G1841" s="8" t="n">
        <x:f>MIN(F1841,9)+1</x:f>
        <x:v>10</x:v>
      </x:c>
      <x:c r="H1841" s="8" t="n">
        <x:f>IF(F1841&lt;=9,1,0)</x:f>
        <x:v>0</x:v>
      </x:c>
      <x:c r="I1841" s="9" t="n">
        <x:f>MIN(10,F1840+IF(AR1840&gt;0,MIN(1,AS1840/AR1840),1))</x:f>
        <x:v>10</x:v>
      </x:c>
      <x:c r="J1841" s="32" t="n">
        <x:f>INDEX(v01_FoodCap,G1841)*Arch_FoodCap*EXP(v01_CapsByProject*SUMPRODUCT((Cap_Point&lt;=I1841)*(Cap_Kind="Food")*Cap_Ln))</x:f>
        <x:v>12000</x:v>
      </x:c>
      <x:c r="K1841" s="32" t="n">
        <x:f>J1841*MIN(1,v01_LeanBase*EXP(v01_CapsByProject*SUMPRODUCT((Cap_Point&lt;=I1841)*(Cap_Kind="Lean")*Cap_Ln)))</x:f>
        <x:v>12000</x:v>
      </x:c>
      <x:c r="L1841" s="10" t="n">
        <x:f>INDEX(v01_HousingCap,G1841)*EXP(v01_CapsByProject*SUMPRODUCT((Cap_Point&lt;=I1841)*(Cap_Kind="Housing")*Cap_Ln))</x:f>
        <x:v>20000</x:v>
      </x:c>
      <x:c r="M1841" s="10" t="n">
        <x:f>INDEX(v01_GroupCap,G1841)*v01_CohesionFactor*EXP(v01_CapsByProject*SUMPRODUCT((Cap_Point&lt;=I1841)*(Cap_Kind="Group")*Cap_Ln))</x:f>
        <x:v>1000000</x:v>
      </x:c>
      <x:c r="N1841" s="32" t="n">
        <x:f>MIN(J1841,L1841,M1841)</x:f>
        <x:v>12000</x:v>
      </x:c>
      <x:c r="O1841" s="10" t="n">
        <x:f>AE1840*N1841</x:f>
        <x:v>180000</x:v>
      </x:c>
      <x:c r="P1841" s="9" t="n">
        <x:f>MIN(1,(AB1840/(AE1840*IF(v01_GroupInCrowding=1,N1841,MIN(J1841,L1841))))^v01_CrowdingExp)</x:f>
        <x:v>0.00024569414295285325</x:v>
      </x:c>
      <x:c r="Q1841" s="9" t="n">
        <x:f>IF(D1841=1,INDEX(v01_WinterMult,G1841),1)</x:f>
        <x:v>1</x:v>
      </x:c>
      <x:c r="R1841" s="9" t="n">
        <x:f>H1841*Z1840*v01_WomenShare*v01_BaseFertility*INDEX(v01_FertMult,G1841)*Arch_Fertility*(1-P1841)</x:f>
        <x:v>0</x:v>
      </x:c>
      <x:c r="S1841" s="9" t="n">
        <x:f>H1841*Y1840*INDEX(v01_MortChild,G1841)/4*Q1841</x:f>
        <x:v>0</x:v>
      </x:c>
      <x:c r="T1841" s="9" t="n">
        <x:f>H1841*Z1840*INDEX(v01_MortAdult,G1841)*Arch_AdultMort/4*Q1841</x:f>
        <x:v>0</x:v>
      </x:c>
      <x:c r="U1841" s="9" t="n">
        <x:f>H1841*AA1840*INDEX(v01_MortElder,G1841)/4*Q1841</x:f>
        <x:v>0</x:v>
      </x:c>
      <x:c r="V1841" s="9" t="n">
        <x:f>H1841*MAX(0,AB1840-O1841)*v01_OvercapLoss</x:f>
        <x:v>0</x:v>
      </x:c>
      <x:c r="W1841" s="9" t="n">
        <x:f>H1841*Y1840/(v01_ChildYears*4)</x:f>
        <x:v>0</x:v>
      </x:c>
      <x:c r="X1841" s="9" t="n">
        <x:f>H1841*Z1840/(v01_AdultYears*4)</x:f>
        <x:v>0</x:v>
      </x:c>
      <x:c r="Y1841" s="32" t="n">
        <x:f>Y1840+R1841-S1841-W1841-Y1840*V1841/AB1840</x:f>
        <x:v>14306.18539759397</x:v>
      </x:c>
      <x:c r="Z1841" s="32" t="n">
        <x:f>Z1840+W1841-X1841-T1841-Z1840*V1841/AB1840</x:f>
        <x:v>19354.456567879548</x:v>
      </x:c>
      <x:c r="AA1841" s="32" t="n">
        <x:f>AA1840+X1841-U1841-AA1840*V1841/AB1840</x:f>
        <x:v>11386.956063258198</x:v>
      </x:c>
      <x:c r="AB1841" s="10" t="n">
        <x:f>Y1841+Z1841+AA1841</x:f>
        <x:v>45047.59802873172</x:v>
      </x:c>
      <x:c r="AC1841" s="8" t="n">
        <x:f>IF(AND(v01_WinterTrigger=1,D1841=1,AB1840/AE1840&gt;=K1841),1,0)</x:f>
        <x:v>0</x:v>
      </x:c>
      <x:c r="AD1841" s="8" t="n">
        <x:f>H1841*IF(AND(OR(AB1840/AE1840&gt;=v01_FissionTrigger*N1841,AC1841=1),AB1840/AE1840*v01_DaughterShare&gt;=v01_MinDaughter),MAX(1,ROUND(AE1840*v01_FissionRate,0)),0)</x:f>
        <x:v>0</x:v>
      </x:c>
      <x:c r="AE1841" s="8" t="n">
        <x:f>IF(H1841=1,MAX(1,MIN(INDEX(v01_Smax,G1841),AE1840+AD1841)),AE1840)</x:f>
        <x:v>15</x:v>
      </x:c>
      <x:c r="AF1841" s="8" t="n">
        <x:f>MAX(0,AE1841-AE1840)</x:f>
        <x:v>0</x:v>
      </x:c>
      <x:c r="AG1841" s="9" t="str">
        <x:f>IF(AF1841&gt;0,B1841,"")</x:f>
      </x:c>
      <x:c r="AH1841" s="9" t="n">
        <x:f>IF(F1841&gt;=1,1,(1+v01_LowTiesShare*(AE1841-1))/AE1841)</x:f>
        <x:v>1</x:v>
      </x:c>
      <x:c r="AI1841" s="32" t="n">
        <x:f>(Z1841+v01_ElderCommons*INDEX(LM_Elder,G1841)*AA1841)*AH1841</x:f>
        <x:v>64139.732591141874</x:v>
      </x:c>
      <x:c r="AJ1841" s="32" t="n">
        <x:f>H1841*v01_CommonsCoef*AI1841^v01_CommonsExp*INDEX(LM_Commons,G1841)</x:f>
        <x:v>0</x:v>
      </x:c>
      <x:c r="AK1841" s="32" t="n">
        <x:f>H1841*v01_RoleScale*Arch_Roles*(AE1841*(INDEX(v01_ElderRolePerSett,G1841)*v01_OutElder*INDEX(LM_Elder,G1841)+INDEX(v01_ShamanPerSett,G1841)*v01_OutShaman)+Z1841*(INDEX(v01_PriestShare,G1841)*v01_OutPriest+INDEX(v01_ScribeShare,G1841)*v01_OutScribe*INDEX(LM_Scribe,G1841)+INDEX(v01_ScholarShare,G1841)*v01_OutScholar*INDEX(LM_Scholar,G1841)+INDEX(v01_ResearcherShare,G1841)*v01_OutResearcher*INDEX(LM_Researcher,G1841)))</x:f>
        <x:v>0</x:v>
      </x:c>
      <x:c r="AL1841" s="32" t="n">
        <x:f>H1841*v01_RoleScale*Arch_Roles*AE1841*INDEX(v01_MonasteryPerSett,G1841)*v01_OutMonastery*INDEX(LM_Monastery,G1841)</x:f>
        <x:v>0</x:v>
      </x:c>
      <x:c r="AM1841" s="32" t="n">
        <x:f>(AJ1841+AK1841+AL1841)/4*INDEX(LM_All,G1841)*INDEX(v01_Boon,G1841)*Arch_Insight</x:f>
        <x:v>0</x:v>
      </x:c>
      <x:c r="AN1841" s="32" t="n">
        <x:f>H1841*(v01_KHPerAdult*Z1841+v01_KHOfCommons*AJ1841/4*INDEX(LM_All,G1841))*v01_KHUsable*Arch_KH</x:f>
        <x:v>0</x:v>
      </x:c>
      <x:c r="AO1841" s="32" t="n">
        <x:f>MIN(AP1840+AN1841,AM1841*v01_KHMaxRatio)</x:f>
        <x:v>0</x:v>
      </x:c>
      <x:c r="AP1841" s="32" t="n">
        <x:f>AP1840+AN1841-AO1841</x:f>
        <x:v>0</x:v>
      </x:c>
      <x:c r="AQ1841" s="32" t="n">
        <x:f>AM1841+AO1841</x:f>
        <x:v>0</x:v>
      </x:c>
      <x:c r="AR1841" s="10" t="n">
        <x:f>IF(H1841=1,INDEX(v01_Req,G1841),0)</x:f>
        <x:v>0</x:v>
      </x:c>
      <x:c r="AS1841" s="32" t="n">
        <x:f>IF(H1841=1,IF(E1841=1,AS1840-AR1840,AS1840)+AQ1841,0)</x:f>
        <x:v>0</x:v>
      </x:c>
      <x:c r="AT1841" s="11" t="n">
        <x:f>IF(AR1841&gt;0,MIN(1,AS1841/AR1841),1)</x:f>
        <x:v>1</x:v>
      </x:c>
      <x:c r="AU1841" s="10" t="n">
        <x:f>AB1841/INDEX(v01_RepScale,G1841)</x:f>
        <x:v>90.09519605746344</x:v>
      </x:c>
      <x:c r="AV1841" s="32" t="n">
        <x:f>AM1841*60/v01_SeasonSeconds</x:f>
        <x:v>0</x:v>
      </x:c>
    </x:row>
    <x:row r="1842">
      <x:c r="A1842" s="8" t="n">
        <x:f>A1841+1</x:f>
        <x:v>1839</x:v>
      </x:c>
      <x:c r="B1842" s="9" t="n">
        <x:f>A1842*v01_SeasonSeconds/60</x:f>
        <x:v>459.75</x:v>
      </x:c>
      <x:c r="C1842" s="9" t="n">
        <x:f>A1842/4</x:f>
        <x:v>459.75</x:v>
      </x:c>
      <x:c r="D1842" s="8" t="n">
        <x:f>IF(MOD(A1842,4)=0,1,0)</x:f>
        <x:v>0</x:v>
      </x:c>
      <x:c r="E1842" s="8" t="n">
        <x:f>IF(AND(F1841&lt;=9,AS1841&gt;=AR1841),1,0)</x:f>
        <x:v>0</x:v>
      </x:c>
      <x:c r="F1842" s="8" t="n">
        <x:f>MIN(10,F1841+E1842)</x:f>
        <x:v>10</x:v>
      </x:c>
      <x:c r="G1842" s="8" t="n">
        <x:f>MIN(F1842,9)+1</x:f>
        <x:v>10</x:v>
      </x:c>
      <x:c r="H1842" s="8" t="n">
        <x:f>IF(F1842&lt;=9,1,0)</x:f>
        <x:v>0</x:v>
      </x:c>
      <x:c r="I1842" s="9" t="n">
        <x:f>MIN(10,F1841+IF(AR1841&gt;0,MIN(1,AS1841/AR1841),1))</x:f>
        <x:v>10</x:v>
      </x:c>
      <x:c r="J1842" s="32" t="n">
        <x:f>INDEX(v01_FoodCap,G1842)*Arch_FoodCap*EXP(v01_CapsByProject*SUMPRODUCT((Cap_Point&lt;=I1842)*(Cap_Kind="Food")*Cap_Ln))</x:f>
        <x:v>12000</x:v>
      </x:c>
      <x:c r="K1842" s="32" t="n">
        <x:f>J1842*MIN(1,v01_LeanBase*EXP(v01_CapsByProject*SUMPRODUCT((Cap_Point&lt;=I1842)*(Cap_Kind="Lean")*Cap_Ln)))</x:f>
        <x:v>12000</x:v>
      </x:c>
      <x:c r="L1842" s="10" t="n">
        <x:f>INDEX(v01_HousingCap,G1842)*EXP(v01_CapsByProject*SUMPRODUCT((Cap_Point&lt;=I1842)*(Cap_Kind="Housing")*Cap_Ln))</x:f>
        <x:v>20000</x:v>
      </x:c>
      <x:c r="M1842" s="10" t="n">
        <x:f>INDEX(v01_GroupCap,G1842)*v01_CohesionFactor*EXP(v01_CapsByProject*SUMPRODUCT((Cap_Point&lt;=I1842)*(Cap_Kind="Group")*Cap_Ln))</x:f>
        <x:v>1000000</x:v>
      </x:c>
      <x:c r="N1842" s="32" t="n">
        <x:f>MIN(J1842,L1842,M1842)</x:f>
        <x:v>12000</x:v>
      </x:c>
      <x:c r="O1842" s="10" t="n">
        <x:f>AE1841*N1842</x:f>
        <x:v>180000</x:v>
      </x:c>
      <x:c r="P1842" s="9" t="n">
        <x:f>MIN(1,(AB1841/(AE1841*IF(v01_GroupInCrowding=1,N1842,MIN(J1842,L1842))))^v01_CrowdingExp)</x:f>
        <x:v>0.00024569414295285325</x:v>
      </x:c>
      <x:c r="Q1842" s="9" t="n">
        <x:f>IF(D1842=1,INDEX(v01_WinterMult,G1842),1)</x:f>
        <x:v>1</x:v>
      </x:c>
      <x:c r="R1842" s="9" t="n">
        <x:f>H1842*Z1841*v01_WomenShare*v01_BaseFertility*INDEX(v01_FertMult,G1842)*Arch_Fertility*(1-P1842)</x:f>
        <x:v>0</x:v>
      </x:c>
      <x:c r="S1842" s="9" t="n">
        <x:f>H1842*Y1841*INDEX(v01_MortChild,G1842)/4*Q1842</x:f>
        <x:v>0</x:v>
      </x:c>
      <x:c r="T1842" s="9" t="n">
        <x:f>H1842*Z1841*INDEX(v01_MortAdult,G1842)*Arch_AdultMort/4*Q1842</x:f>
        <x:v>0</x:v>
      </x:c>
      <x:c r="U1842" s="9" t="n">
        <x:f>H1842*AA1841*INDEX(v01_MortElder,G1842)/4*Q1842</x:f>
        <x:v>0</x:v>
      </x:c>
      <x:c r="V1842" s="9" t="n">
        <x:f>H1842*MAX(0,AB1841-O1842)*v01_OvercapLoss</x:f>
        <x:v>0</x:v>
      </x:c>
      <x:c r="W1842" s="9" t="n">
        <x:f>H1842*Y1841/(v01_ChildYears*4)</x:f>
        <x:v>0</x:v>
      </x:c>
      <x:c r="X1842" s="9" t="n">
        <x:f>H1842*Z1841/(v01_AdultYears*4)</x:f>
        <x:v>0</x:v>
      </x:c>
      <x:c r="Y1842" s="32" t="n">
        <x:f>Y1841+R1842-S1842-W1842-Y1841*V1842/AB1841</x:f>
        <x:v>14306.18539759397</x:v>
      </x:c>
      <x:c r="Z1842" s="32" t="n">
        <x:f>Z1841+W1842-X1842-T1842-Z1841*V1842/AB1841</x:f>
        <x:v>19354.456567879548</x:v>
      </x:c>
      <x:c r="AA1842" s="32" t="n">
        <x:f>AA1841+X1842-U1842-AA1841*V1842/AB1841</x:f>
        <x:v>11386.956063258198</x:v>
      </x:c>
      <x:c r="AB1842" s="10" t="n">
        <x:f>Y1842+Z1842+AA1842</x:f>
        <x:v>45047.59802873172</x:v>
      </x:c>
      <x:c r="AC1842" s="8" t="n">
        <x:f>IF(AND(v01_WinterTrigger=1,D1842=1,AB1841/AE1841&gt;=K1842),1,0)</x:f>
        <x:v>0</x:v>
      </x:c>
      <x:c r="AD1842" s="8" t="n">
        <x:f>H1842*IF(AND(OR(AB1841/AE1841&gt;=v01_FissionTrigger*N1842,AC1842=1),AB1841/AE1841*v01_DaughterShare&gt;=v01_MinDaughter),MAX(1,ROUND(AE1841*v01_FissionRate,0)),0)</x:f>
        <x:v>0</x:v>
      </x:c>
      <x:c r="AE1842" s="8" t="n">
        <x:f>IF(H1842=1,MAX(1,MIN(INDEX(v01_Smax,G1842),AE1841+AD1842)),AE1841)</x:f>
        <x:v>15</x:v>
      </x:c>
      <x:c r="AF1842" s="8" t="n">
        <x:f>MAX(0,AE1842-AE1841)</x:f>
        <x:v>0</x:v>
      </x:c>
      <x:c r="AG1842" s="9" t="str">
        <x:f>IF(AF1842&gt;0,B1842,"")</x:f>
      </x:c>
      <x:c r="AH1842" s="9" t="n">
        <x:f>IF(F1842&gt;=1,1,(1+v01_LowTiesShare*(AE1842-1))/AE1842)</x:f>
        <x:v>1</x:v>
      </x:c>
      <x:c r="AI1842" s="32" t="n">
        <x:f>(Z1842+v01_ElderCommons*INDEX(LM_Elder,G1842)*AA1842)*AH1842</x:f>
        <x:v>64139.732591141874</x:v>
      </x:c>
      <x:c r="AJ1842" s="32" t="n">
        <x:f>H1842*v01_CommonsCoef*AI1842^v01_CommonsExp*INDEX(LM_Commons,G1842)</x:f>
        <x:v>0</x:v>
      </x:c>
      <x:c r="AK1842" s="32" t="n">
        <x:f>H1842*v01_RoleScale*Arch_Roles*(AE1842*(INDEX(v01_ElderRolePerSett,G1842)*v01_OutElder*INDEX(LM_Elder,G1842)+INDEX(v01_ShamanPerSett,G1842)*v01_OutShaman)+Z1842*(INDEX(v01_PriestShare,G1842)*v01_OutPriest+INDEX(v01_ScribeShare,G1842)*v01_OutScribe*INDEX(LM_Scribe,G1842)+INDEX(v01_ScholarShare,G1842)*v01_OutScholar*INDEX(LM_Scholar,G1842)+INDEX(v01_ResearcherShare,G1842)*v01_OutResearcher*INDEX(LM_Researcher,G1842)))</x:f>
        <x:v>0</x:v>
      </x:c>
      <x:c r="AL1842" s="32" t="n">
        <x:f>H1842*v01_RoleScale*Arch_Roles*AE1842*INDEX(v01_MonasteryPerSett,G1842)*v01_OutMonastery*INDEX(LM_Monastery,G1842)</x:f>
        <x:v>0</x:v>
      </x:c>
      <x:c r="AM1842" s="32" t="n">
        <x:f>(AJ1842+AK1842+AL1842)/4*INDEX(LM_All,G1842)*INDEX(v01_Boon,G1842)*Arch_Insight</x:f>
        <x:v>0</x:v>
      </x:c>
      <x:c r="AN1842" s="32" t="n">
        <x:f>H1842*(v01_KHPerAdult*Z1842+v01_KHOfCommons*AJ1842/4*INDEX(LM_All,G1842))*v01_KHUsable*Arch_KH</x:f>
        <x:v>0</x:v>
      </x:c>
      <x:c r="AO1842" s="32" t="n">
        <x:f>MIN(AP1841+AN1842,AM1842*v01_KHMaxRatio)</x:f>
        <x:v>0</x:v>
      </x:c>
      <x:c r="AP1842" s="32" t="n">
        <x:f>AP1841+AN1842-AO1842</x:f>
        <x:v>0</x:v>
      </x:c>
      <x:c r="AQ1842" s="32" t="n">
        <x:f>AM1842+AO1842</x:f>
        <x:v>0</x:v>
      </x:c>
      <x:c r="AR1842" s="10" t="n">
        <x:f>IF(H1842=1,INDEX(v01_Req,G1842),0)</x:f>
        <x:v>0</x:v>
      </x:c>
      <x:c r="AS1842" s="32" t="n">
        <x:f>IF(H1842=1,IF(E1842=1,AS1841-AR1841,AS1841)+AQ1842,0)</x:f>
        <x:v>0</x:v>
      </x:c>
      <x:c r="AT1842" s="11" t="n">
        <x:f>IF(AR1842&gt;0,MIN(1,AS1842/AR1842),1)</x:f>
        <x:v>1</x:v>
      </x:c>
      <x:c r="AU1842" s="10" t="n">
        <x:f>AB1842/INDEX(v01_RepScale,G1842)</x:f>
        <x:v>90.09519605746344</x:v>
      </x:c>
      <x:c r="AV1842" s="32" t="n">
        <x:f>AM1842*60/v01_SeasonSeconds</x:f>
        <x:v>0</x:v>
      </x:c>
    </x:row>
    <x:row r="1843">
      <x:c r="A1843" s="8" t="n">
        <x:f>A1842+1</x:f>
        <x:v>1840</x:v>
      </x:c>
      <x:c r="B1843" s="9" t="n">
        <x:f>A1843*v01_SeasonSeconds/60</x:f>
        <x:v>460</x:v>
      </x:c>
      <x:c r="C1843" s="9" t="n">
        <x:f>A1843/4</x:f>
        <x:v>460</x:v>
      </x:c>
      <x:c r="D1843" s="8" t="n">
        <x:f>IF(MOD(A1843,4)=0,1,0)</x:f>
        <x:v>1</x:v>
      </x:c>
      <x:c r="E1843" s="8" t="n">
        <x:f>IF(AND(F1842&lt;=9,AS1842&gt;=AR1842),1,0)</x:f>
        <x:v>0</x:v>
      </x:c>
      <x:c r="F1843" s="8" t="n">
        <x:f>MIN(10,F1842+E1843)</x:f>
        <x:v>10</x:v>
      </x:c>
      <x:c r="G1843" s="8" t="n">
        <x:f>MIN(F1843,9)+1</x:f>
        <x:v>10</x:v>
      </x:c>
      <x:c r="H1843" s="8" t="n">
        <x:f>IF(F1843&lt;=9,1,0)</x:f>
        <x:v>0</x:v>
      </x:c>
      <x:c r="I1843" s="9" t="n">
        <x:f>MIN(10,F1842+IF(AR1842&gt;0,MIN(1,AS1842/AR1842),1))</x:f>
        <x:v>10</x:v>
      </x:c>
      <x:c r="J1843" s="32" t="n">
        <x:f>INDEX(v01_FoodCap,G1843)*Arch_FoodCap*EXP(v01_CapsByProject*SUMPRODUCT((Cap_Point&lt;=I1843)*(Cap_Kind="Food")*Cap_Ln))</x:f>
        <x:v>12000</x:v>
      </x:c>
      <x:c r="K1843" s="32" t="n">
        <x:f>J1843*MIN(1,v01_LeanBase*EXP(v01_CapsByProject*SUMPRODUCT((Cap_Point&lt;=I1843)*(Cap_Kind="Lean")*Cap_Ln)))</x:f>
        <x:v>12000</x:v>
      </x:c>
      <x:c r="L1843" s="10" t="n">
        <x:f>INDEX(v01_HousingCap,G1843)*EXP(v01_CapsByProject*SUMPRODUCT((Cap_Point&lt;=I1843)*(Cap_Kind="Housing")*Cap_Ln))</x:f>
        <x:v>20000</x:v>
      </x:c>
      <x:c r="M1843" s="10" t="n">
        <x:f>INDEX(v01_GroupCap,G1843)*v01_CohesionFactor*EXP(v01_CapsByProject*SUMPRODUCT((Cap_Point&lt;=I1843)*(Cap_Kind="Group")*Cap_Ln))</x:f>
        <x:v>1000000</x:v>
      </x:c>
      <x:c r="N1843" s="32" t="n">
        <x:f>MIN(J1843,L1843,M1843)</x:f>
        <x:v>12000</x:v>
      </x:c>
      <x:c r="O1843" s="10" t="n">
        <x:f>AE1842*N1843</x:f>
        <x:v>180000</x:v>
      </x:c>
      <x:c r="P1843" s="9" t="n">
        <x:f>MIN(1,(AB1842/(AE1842*IF(v01_GroupInCrowding=1,N1843,MIN(J1843,L1843))))^v01_CrowdingExp)</x:f>
        <x:v>0.00024569414295285325</x:v>
      </x:c>
      <x:c r="Q1843" s="9" t="n">
        <x:f>IF(D1843=1,INDEX(v01_WinterMult,G1843),1)</x:f>
        <x:v>1</x:v>
      </x:c>
      <x:c r="R1843" s="9" t="n">
        <x:f>H1843*Z1842*v01_WomenShare*v01_BaseFertility*INDEX(v01_FertMult,G1843)*Arch_Fertility*(1-P1843)</x:f>
        <x:v>0</x:v>
      </x:c>
      <x:c r="S1843" s="9" t="n">
        <x:f>H1843*Y1842*INDEX(v01_MortChild,G1843)/4*Q1843</x:f>
        <x:v>0</x:v>
      </x:c>
      <x:c r="T1843" s="9" t="n">
        <x:f>H1843*Z1842*INDEX(v01_MortAdult,G1843)*Arch_AdultMort/4*Q1843</x:f>
        <x:v>0</x:v>
      </x:c>
      <x:c r="U1843" s="9" t="n">
        <x:f>H1843*AA1842*INDEX(v01_MortElder,G1843)/4*Q1843</x:f>
        <x:v>0</x:v>
      </x:c>
      <x:c r="V1843" s="9" t="n">
        <x:f>H1843*MAX(0,AB1842-O1843)*v01_OvercapLoss</x:f>
        <x:v>0</x:v>
      </x:c>
      <x:c r="W1843" s="9" t="n">
        <x:f>H1843*Y1842/(v01_ChildYears*4)</x:f>
        <x:v>0</x:v>
      </x:c>
      <x:c r="X1843" s="9" t="n">
        <x:f>H1843*Z1842/(v01_AdultYears*4)</x:f>
        <x:v>0</x:v>
      </x:c>
      <x:c r="Y1843" s="32" t="n">
        <x:f>Y1842+R1843-S1843-W1843-Y1842*V1843/AB1842</x:f>
        <x:v>14306.18539759397</x:v>
      </x:c>
      <x:c r="Z1843" s="32" t="n">
        <x:f>Z1842+W1843-X1843-T1843-Z1842*V1843/AB1842</x:f>
        <x:v>19354.456567879548</x:v>
      </x:c>
      <x:c r="AA1843" s="32" t="n">
        <x:f>AA1842+X1843-U1843-AA1842*V1843/AB1842</x:f>
        <x:v>11386.956063258198</x:v>
      </x:c>
      <x:c r="AB1843" s="10" t="n">
        <x:f>Y1843+Z1843+AA1843</x:f>
        <x:v>45047.59802873172</x:v>
      </x:c>
      <x:c r="AC1843" s="8" t="n">
        <x:f>IF(AND(v01_WinterTrigger=1,D1843=1,AB1842/AE1842&gt;=K1843),1,0)</x:f>
        <x:v>0</x:v>
      </x:c>
      <x:c r="AD1843" s="8" t="n">
        <x:f>H1843*IF(AND(OR(AB1842/AE1842&gt;=v01_FissionTrigger*N1843,AC1843=1),AB1842/AE1842*v01_DaughterShare&gt;=v01_MinDaughter),MAX(1,ROUND(AE1842*v01_FissionRate,0)),0)</x:f>
        <x:v>0</x:v>
      </x:c>
      <x:c r="AE1843" s="8" t="n">
        <x:f>IF(H1843=1,MAX(1,MIN(INDEX(v01_Smax,G1843),AE1842+AD1843)),AE1842)</x:f>
        <x:v>15</x:v>
      </x:c>
      <x:c r="AF1843" s="8" t="n">
        <x:f>MAX(0,AE1843-AE1842)</x:f>
        <x:v>0</x:v>
      </x:c>
      <x:c r="AG1843" s="9" t="str">
        <x:f>IF(AF1843&gt;0,B1843,"")</x:f>
      </x:c>
      <x:c r="AH1843" s="9" t="n">
        <x:f>IF(F1843&gt;=1,1,(1+v01_LowTiesShare*(AE1843-1))/AE1843)</x:f>
        <x:v>1</x:v>
      </x:c>
      <x:c r="AI1843" s="32" t="n">
        <x:f>(Z1843+v01_ElderCommons*INDEX(LM_Elder,G1843)*AA1843)*AH1843</x:f>
        <x:v>64139.732591141874</x:v>
      </x:c>
      <x:c r="AJ1843" s="32" t="n">
        <x:f>H1843*v01_CommonsCoef*AI1843^v01_CommonsExp*INDEX(LM_Commons,G1843)</x:f>
        <x:v>0</x:v>
      </x:c>
      <x:c r="AK1843" s="32" t="n">
        <x:f>H1843*v01_RoleScale*Arch_Roles*(AE1843*(INDEX(v01_ElderRolePerSett,G1843)*v01_OutElder*INDEX(LM_Elder,G1843)+INDEX(v01_ShamanPerSett,G1843)*v01_OutShaman)+Z1843*(INDEX(v01_PriestShare,G1843)*v01_OutPriest+INDEX(v01_ScribeShare,G1843)*v01_OutScribe*INDEX(LM_Scribe,G1843)+INDEX(v01_ScholarShare,G1843)*v01_OutScholar*INDEX(LM_Scholar,G1843)+INDEX(v01_ResearcherShare,G1843)*v01_OutResearcher*INDEX(LM_Researcher,G1843)))</x:f>
        <x:v>0</x:v>
      </x:c>
      <x:c r="AL1843" s="32" t="n">
        <x:f>H1843*v01_RoleScale*Arch_Roles*AE1843*INDEX(v01_MonasteryPerSett,G1843)*v01_OutMonastery*INDEX(LM_Monastery,G1843)</x:f>
        <x:v>0</x:v>
      </x:c>
      <x:c r="AM1843" s="32" t="n">
        <x:f>(AJ1843+AK1843+AL1843)/4*INDEX(LM_All,G1843)*INDEX(v01_Boon,G1843)*Arch_Insight</x:f>
        <x:v>0</x:v>
      </x:c>
      <x:c r="AN1843" s="32" t="n">
        <x:f>H1843*(v01_KHPerAdult*Z1843+v01_KHOfCommons*AJ1843/4*INDEX(LM_All,G1843))*v01_KHUsable*Arch_KH</x:f>
        <x:v>0</x:v>
      </x:c>
      <x:c r="AO1843" s="32" t="n">
        <x:f>MIN(AP1842+AN1843,AM1843*v01_KHMaxRatio)</x:f>
        <x:v>0</x:v>
      </x:c>
      <x:c r="AP1843" s="32" t="n">
        <x:f>AP1842+AN1843-AO1843</x:f>
        <x:v>0</x:v>
      </x:c>
      <x:c r="AQ1843" s="32" t="n">
        <x:f>AM1843+AO1843</x:f>
        <x:v>0</x:v>
      </x:c>
      <x:c r="AR1843" s="10" t="n">
        <x:f>IF(H1843=1,INDEX(v01_Req,G1843),0)</x:f>
        <x:v>0</x:v>
      </x:c>
      <x:c r="AS1843" s="32" t="n">
        <x:f>IF(H1843=1,IF(E1843=1,AS1842-AR1842,AS1842)+AQ1843,0)</x:f>
        <x:v>0</x:v>
      </x:c>
      <x:c r="AT1843" s="11" t="n">
        <x:f>IF(AR1843&gt;0,MIN(1,AS1843/AR1843),1)</x:f>
        <x:v>1</x:v>
      </x:c>
      <x:c r="AU1843" s="10" t="n">
        <x:f>AB1843/INDEX(v01_RepScale,G1843)</x:f>
        <x:v>90.09519605746344</x:v>
      </x:c>
      <x:c r="AV1843" s="32" t="n">
        <x:f>AM1843*60/v01_SeasonSeconds</x:f>
        <x:v>0</x:v>
      </x:c>
    </x:row>
    <x:row r="1844">
      <x:c r="A1844" s="8" t="n">
        <x:f>A1843+1</x:f>
        <x:v>1841</x:v>
      </x:c>
      <x:c r="B1844" s="9" t="n">
        <x:f>A1844*v01_SeasonSeconds/60</x:f>
        <x:v>460.25</x:v>
      </x:c>
      <x:c r="C1844" s="9" t="n">
        <x:f>A1844/4</x:f>
        <x:v>460.25</x:v>
      </x:c>
      <x:c r="D1844" s="8" t="n">
        <x:f>IF(MOD(A1844,4)=0,1,0)</x:f>
        <x:v>0</x:v>
      </x:c>
      <x:c r="E1844" s="8" t="n">
        <x:f>IF(AND(F1843&lt;=9,AS1843&gt;=AR1843),1,0)</x:f>
        <x:v>0</x:v>
      </x:c>
      <x:c r="F1844" s="8" t="n">
        <x:f>MIN(10,F1843+E1844)</x:f>
        <x:v>10</x:v>
      </x:c>
      <x:c r="G1844" s="8" t="n">
        <x:f>MIN(F1844,9)+1</x:f>
        <x:v>10</x:v>
      </x:c>
      <x:c r="H1844" s="8" t="n">
        <x:f>IF(F1844&lt;=9,1,0)</x:f>
        <x:v>0</x:v>
      </x:c>
      <x:c r="I1844" s="9" t="n">
        <x:f>MIN(10,F1843+IF(AR1843&gt;0,MIN(1,AS1843/AR1843),1))</x:f>
        <x:v>10</x:v>
      </x:c>
      <x:c r="J1844" s="32" t="n">
        <x:f>INDEX(v01_FoodCap,G1844)*Arch_FoodCap*EXP(v01_CapsByProject*SUMPRODUCT((Cap_Point&lt;=I1844)*(Cap_Kind="Food")*Cap_Ln))</x:f>
        <x:v>12000</x:v>
      </x:c>
      <x:c r="K1844" s="32" t="n">
        <x:f>J1844*MIN(1,v01_LeanBase*EXP(v01_CapsByProject*SUMPRODUCT((Cap_Point&lt;=I1844)*(Cap_Kind="Lean")*Cap_Ln)))</x:f>
        <x:v>12000</x:v>
      </x:c>
      <x:c r="L1844" s="10" t="n">
        <x:f>INDEX(v01_HousingCap,G1844)*EXP(v01_CapsByProject*SUMPRODUCT((Cap_Point&lt;=I1844)*(Cap_Kind="Housing")*Cap_Ln))</x:f>
        <x:v>20000</x:v>
      </x:c>
      <x:c r="M1844" s="10" t="n">
        <x:f>INDEX(v01_GroupCap,G1844)*v01_CohesionFactor*EXP(v01_CapsByProject*SUMPRODUCT((Cap_Point&lt;=I1844)*(Cap_Kind="Group")*Cap_Ln))</x:f>
        <x:v>1000000</x:v>
      </x:c>
      <x:c r="N1844" s="32" t="n">
        <x:f>MIN(J1844,L1844,M1844)</x:f>
        <x:v>12000</x:v>
      </x:c>
      <x:c r="O1844" s="10" t="n">
        <x:f>AE1843*N1844</x:f>
        <x:v>180000</x:v>
      </x:c>
      <x:c r="P1844" s="9" t="n">
        <x:f>MIN(1,(AB1843/(AE1843*IF(v01_GroupInCrowding=1,N1844,MIN(J1844,L1844))))^v01_CrowdingExp)</x:f>
        <x:v>0.00024569414295285325</x:v>
      </x:c>
      <x:c r="Q1844" s="9" t="n">
        <x:f>IF(D1844=1,INDEX(v01_WinterMult,G1844),1)</x:f>
        <x:v>1</x:v>
      </x:c>
      <x:c r="R1844" s="9" t="n">
        <x:f>H1844*Z1843*v01_WomenShare*v01_BaseFertility*INDEX(v01_FertMult,G1844)*Arch_Fertility*(1-P1844)</x:f>
        <x:v>0</x:v>
      </x:c>
      <x:c r="S1844" s="9" t="n">
        <x:f>H1844*Y1843*INDEX(v01_MortChild,G1844)/4*Q1844</x:f>
        <x:v>0</x:v>
      </x:c>
      <x:c r="T1844" s="9" t="n">
        <x:f>H1844*Z1843*INDEX(v01_MortAdult,G1844)*Arch_AdultMort/4*Q1844</x:f>
        <x:v>0</x:v>
      </x:c>
      <x:c r="U1844" s="9" t="n">
        <x:f>H1844*AA1843*INDEX(v01_MortElder,G1844)/4*Q1844</x:f>
        <x:v>0</x:v>
      </x:c>
      <x:c r="V1844" s="9" t="n">
        <x:f>H1844*MAX(0,AB1843-O1844)*v01_OvercapLoss</x:f>
        <x:v>0</x:v>
      </x:c>
      <x:c r="W1844" s="9" t="n">
        <x:f>H1844*Y1843/(v01_ChildYears*4)</x:f>
        <x:v>0</x:v>
      </x:c>
      <x:c r="X1844" s="9" t="n">
        <x:f>H1844*Z1843/(v01_AdultYears*4)</x:f>
        <x:v>0</x:v>
      </x:c>
      <x:c r="Y1844" s="32" t="n">
        <x:f>Y1843+R1844-S1844-W1844-Y1843*V1844/AB1843</x:f>
        <x:v>14306.18539759397</x:v>
      </x:c>
      <x:c r="Z1844" s="32" t="n">
        <x:f>Z1843+W1844-X1844-T1844-Z1843*V1844/AB1843</x:f>
        <x:v>19354.456567879548</x:v>
      </x:c>
      <x:c r="AA1844" s="32" t="n">
        <x:f>AA1843+X1844-U1844-AA1843*V1844/AB1843</x:f>
        <x:v>11386.956063258198</x:v>
      </x:c>
      <x:c r="AB1844" s="10" t="n">
        <x:f>Y1844+Z1844+AA1844</x:f>
        <x:v>45047.59802873172</x:v>
      </x:c>
      <x:c r="AC1844" s="8" t="n">
        <x:f>IF(AND(v01_WinterTrigger=1,D1844=1,AB1843/AE1843&gt;=K1844),1,0)</x:f>
        <x:v>0</x:v>
      </x:c>
      <x:c r="AD1844" s="8" t="n">
        <x:f>H1844*IF(AND(OR(AB1843/AE1843&gt;=v01_FissionTrigger*N1844,AC1844=1),AB1843/AE1843*v01_DaughterShare&gt;=v01_MinDaughter),MAX(1,ROUND(AE1843*v01_FissionRate,0)),0)</x:f>
        <x:v>0</x:v>
      </x:c>
      <x:c r="AE1844" s="8" t="n">
        <x:f>IF(H1844=1,MAX(1,MIN(INDEX(v01_Smax,G1844),AE1843+AD1844)),AE1843)</x:f>
        <x:v>15</x:v>
      </x:c>
      <x:c r="AF1844" s="8" t="n">
        <x:f>MAX(0,AE1844-AE1843)</x:f>
        <x:v>0</x:v>
      </x:c>
      <x:c r="AG1844" s="9" t="str">
        <x:f>IF(AF1844&gt;0,B1844,"")</x:f>
      </x:c>
      <x:c r="AH1844" s="9" t="n">
        <x:f>IF(F1844&gt;=1,1,(1+v01_LowTiesShare*(AE1844-1))/AE1844)</x:f>
        <x:v>1</x:v>
      </x:c>
      <x:c r="AI1844" s="32" t="n">
        <x:f>(Z1844+v01_ElderCommons*INDEX(LM_Elder,G1844)*AA1844)*AH1844</x:f>
        <x:v>64139.732591141874</x:v>
      </x:c>
      <x:c r="AJ1844" s="32" t="n">
        <x:f>H1844*v01_CommonsCoef*AI1844^v01_CommonsExp*INDEX(LM_Commons,G1844)</x:f>
        <x:v>0</x:v>
      </x:c>
      <x:c r="AK1844" s="32" t="n">
        <x:f>H1844*v01_RoleScale*Arch_Roles*(AE1844*(INDEX(v01_ElderRolePerSett,G1844)*v01_OutElder*INDEX(LM_Elder,G1844)+INDEX(v01_ShamanPerSett,G1844)*v01_OutShaman)+Z1844*(INDEX(v01_PriestShare,G1844)*v01_OutPriest+INDEX(v01_ScribeShare,G1844)*v01_OutScribe*INDEX(LM_Scribe,G1844)+INDEX(v01_ScholarShare,G1844)*v01_OutScholar*INDEX(LM_Scholar,G1844)+INDEX(v01_ResearcherShare,G1844)*v01_OutResearcher*INDEX(LM_Researcher,G1844)))</x:f>
        <x:v>0</x:v>
      </x:c>
      <x:c r="AL1844" s="32" t="n">
        <x:f>H1844*v01_RoleScale*Arch_Roles*AE1844*INDEX(v01_MonasteryPerSett,G1844)*v01_OutMonastery*INDEX(LM_Monastery,G1844)</x:f>
        <x:v>0</x:v>
      </x:c>
      <x:c r="AM1844" s="32" t="n">
        <x:f>(AJ1844+AK1844+AL1844)/4*INDEX(LM_All,G1844)*INDEX(v01_Boon,G1844)*Arch_Insight</x:f>
        <x:v>0</x:v>
      </x:c>
      <x:c r="AN1844" s="32" t="n">
        <x:f>H1844*(v01_KHPerAdult*Z1844+v01_KHOfCommons*AJ1844/4*INDEX(LM_All,G1844))*v01_KHUsable*Arch_KH</x:f>
        <x:v>0</x:v>
      </x:c>
      <x:c r="AO1844" s="32" t="n">
        <x:f>MIN(AP1843+AN1844,AM1844*v01_KHMaxRatio)</x:f>
        <x:v>0</x:v>
      </x:c>
      <x:c r="AP1844" s="32" t="n">
        <x:f>AP1843+AN1844-AO1844</x:f>
        <x:v>0</x:v>
      </x:c>
      <x:c r="AQ1844" s="32" t="n">
        <x:f>AM1844+AO1844</x:f>
        <x:v>0</x:v>
      </x:c>
      <x:c r="AR1844" s="10" t="n">
        <x:f>IF(H1844=1,INDEX(v01_Req,G1844),0)</x:f>
        <x:v>0</x:v>
      </x:c>
      <x:c r="AS1844" s="32" t="n">
        <x:f>IF(H1844=1,IF(E1844=1,AS1843-AR1843,AS1843)+AQ1844,0)</x:f>
        <x:v>0</x:v>
      </x:c>
      <x:c r="AT1844" s="11" t="n">
        <x:f>IF(AR1844&gt;0,MIN(1,AS1844/AR1844),1)</x:f>
        <x:v>1</x:v>
      </x:c>
      <x:c r="AU1844" s="10" t="n">
        <x:f>AB1844/INDEX(v01_RepScale,G1844)</x:f>
        <x:v>90.09519605746344</x:v>
      </x:c>
      <x:c r="AV1844" s="32" t="n">
        <x:f>AM1844*60/v01_SeasonSeconds</x:f>
        <x:v>0</x:v>
      </x:c>
    </x:row>
    <x:row r="1845">
      <x:c r="A1845" s="8" t="n">
        <x:f>A1844+1</x:f>
        <x:v>1842</x:v>
      </x:c>
      <x:c r="B1845" s="9" t="n">
        <x:f>A1845*v01_SeasonSeconds/60</x:f>
        <x:v>460.5</x:v>
      </x:c>
      <x:c r="C1845" s="9" t="n">
        <x:f>A1845/4</x:f>
        <x:v>460.5</x:v>
      </x:c>
      <x:c r="D1845" s="8" t="n">
        <x:f>IF(MOD(A1845,4)=0,1,0)</x:f>
        <x:v>0</x:v>
      </x:c>
      <x:c r="E1845" s="8" t="n">
        <x:f>IF(AND(F1844&lt;=9,AS1844&gt;=AR1844),1,0)</x:f>
        <x:v>0</x:v>
      </x:c>
      <x:c r="F1845" s="8" t="n">
        <x:f>MIN(10,F1844+E1845)</x:f>
        <x:v>10</x:v>
      </x:c>
      <x:c r="G1845" s="8" t="n">
        <x:f>MIN(F1845,9)+1</x:f>
        <x:v>10</x:v>
      </x:c>
      <x:c r="H1845" s="8" t="n">
        <x:f>IF(F1845&lt;=9,1,0)</x:f>
        <x:v>0</x:v>
      </x:c>
      <x:c r="I1845" s="9" t="n">
        <x:f>MIN(10,F1844+IF(AR1844&gt;0,MIN(1,AS1844/AR1844),1))</x:f>
        <x:v>10</x:v>
      </x:c>
      <x:c r="J1845" s="32" t="n">
        <x:f>INDEX(v01_FoodCap,G1845)*Arch_FoodCap*EXP(v01_CapsByProject*SUMPRODUCT((Cap_Point&lt;=I1845)*(Cap_Kind="Food")*Cap_Ln))</x:f>
        <x:v>12000</x:v>
      </x:c>
      <x:c r="K1845" s="32" t="n">
        <x:f>J1845*MIN(1,v01_LeanBase*EXP(v01_CapsByProject*SUMPRODUCT((Cap_Point&lt;=I1845)*(Cap_Kind="Lean")*Cap_Ln)))</x:f>
        <x:v>12000</x:v>
      </x:c>
      <x:c r="L1845" s="10" t="n">
        <x:f>INDEX(v01_HousingCap,G1845)*EXP(v01_CapsByProject*SUMPRODUCT((Cap_Point&lt;=I1845)*(Cap_Kind="Housing")*Cap_Ln))</x:f>
        <x:v>20000</x:v>
      </x:c>
      <x:c r="M1845" s="10" t="n">
        <x:f>INDEX(v01_GroupCap,G1845)*v01_CohesionFactor*EXP(v01_CapsByProject*SUMPRODUCT((Cap_Point&lt;=I1845)*(Cap_Kind="Group")*Cap_Ln))</x:f>
        <x:v>1000000</x:v>
      </x:c>
      <x:c r="N1845" s="32" t="n">
        <x:f>MIN(J1845,L1845,M1845)</x:f>
        <x:v>12000</x:v>
      </x:c>
      <x:c r="O1845" s="10" t="n">
        <x:f>AE1844*N1845</x:f>
        <x:v>180000</x:v>
      </x:c>
      <x:c r="P1845" s="9" t="n">
        <x:f>MIN(1,(AB1844/(AE1844*IF(v01_GroupInCrowding=1,N1845,MIN(J1845,L1845))))^v01_CrowdingExp)</x:f>
        <x:v>0.00024569414295285325</x:v>
      </x:c>
      <x:c r="Q1845" s="9" t="n">
        <x:f>IF(D1845=1,INDEX(v01_WinterMult,G1845),1)</x:f>
        <x:v>1</x:v>
      </x:c>
      <x:c r="R1845" s="9" t="n">
        <x:f>H1845*Z1844*v01_WomenShare*v01_BaseFertility*INDEX(v01_FertMult,G1845)*Arch_Fertility*(1-P1845)</x:f>
        <x:v>0</x:v>
      </x:c>
      <x:c r="S1845" s="9" t="n">
        <x:f>H1845*Y1844*INDEX(v01_MortChild,G1845)/4*Q1845</x:f>
        <x:v>0</x:v>
      </x:c>
      <x:c r="T1845" s="9" t="n">
        <x:f>H1845*Z1844*INDEX(v01_MortAdult,G1845)*Arch_AdultMort/4*Q1845</x:f>
        <x:v>0</x:v>
      </x:c>
      <x:c r="U1845" s="9" t="n">
        <x:f>H1845*AA1844*INDEX(v01_MortElder,G1845)/4*Q1845</x:f>
        <x:v>0</x:v>
      </x:c>
      <x:c r="V1845" s="9" t="n">
        <x:f>H1845*MAX(0,AB1844-O1845)*v01_OvercapLoss</x:f>
        <x:v>0</x:v>
      </x:c>
      <x:c r="W1845" s="9" t="n">
        <x:f>H1845*Y1844/(v01_ChildYears*4)</x:f>
        <x:v>0</x:v>
      </x:c>
      <x:c r="X1845" s="9" t="n">
        <x:f>H1845*Z1844/(v01_AdultYears*4)</x:f>
        <x:v>0</x:v>
      </x:c>
      <x:c r="Y1845" s="32" t="n">
        <x:f>Y1844+R1845-S1845-W1845-Y1844*V1845/AB1844</x:f>
        <x:v>14306.18539759397</x:v>
      </x:c>
      <x:c r="Z1845" s="32" t="n">
        <x:f>Z1844+W1845-X1845-T1845-Z1844*V1845/AB1844</x:f>
        <x:v>19354.456567879548</x:v>
      </x:c>
      <x:c r="AA1845" s="32" t="n">
        <x:f>AA1844+X1845-U1845-AA1844*V1845/AB1844</x:f>
        <x:v>11386.956063258198</x:v>
      </x:c>
      <x:c r="AB1845" s="10" t="n">
        <x:f>Y1845+Z1845+AA1845</x:f>
        <x:v>45047.59802873172</x:v>
      </x:c>
      <x:c r="AC1845" s="8" t="n">
        <x:f>IF(AND(v01_WinterTrigger=1,D1845=1,AB1844/AE1844&gt;=K1845),1,0)</x:f>
        <x:v>0</x:v>
      </x:c>
      <x:c r="AD1845" s="8" t="n">
        <x:f>H1845*IF(AND(OR(AB1844/AE1844&gt;=v01_FissionTrigger*N1845,AC1845=1),AB1844/AE1844*v01_DaughterShare&gt;=v01_MinDaughter),MAX(1,ROUND(AE1844*v01_FissionRate,0)),0)</x:f>
        <x:v>0</x:v>
      </x:c>
      <x:c r="AE1845" s="8" t="n">
        <x:f>IF(H1845=1,MAX(1,MIN(INDEX(v01_Smax,G1845),AE1844+AD1845)),AE1844)</x:f>
        <x:v>15</x:v>
      </x:c>
      <x:c r="AF1845" s="8" t="n">
        <x:f>MAX(0,AE1845-AE1844)</x:f>
        <x:v>0</x:v>
      </x:c>
      <x:c r="AG1845" s="9" t="str">
        <x:f>IF(AF1845&gt;0,B1845,"")</x:f>
      </x:c>
      <x:c r="AH1845" s="9" t="n">
        <x:f>IF(F1845&gt;=1,1,(1+v01_LowTiesShare*(AE1845-1))/AE1845)</x:f>
        <x:v>1</x:v>
      </x:c>
      <x:c r="AI1845" s="32" t="n">
        <x:f>(Z1845+v01_ElderCommons*INDEX(LM_Elder,G1845)*AA1845)*AH1845</x:f>
        <x:v>64139.732591141874</x:v>
      </x:c>
      <x:c r="AJ1845" s="32" t="n">
        <x:f>H1845*v01_CommonsCoef*AI1845^v01_CommonsExp*INDEX(LM_Commons,G1845)</x:f>
        <x:v>0</x:v>
      </x:c>
      <x:c r="AK1845" s="32" t="n">
        <x:f>H1845*v01_RoleScale*Arch_Roles*(AE1845*(INDEX(v01_ElderRolePerSett,G1845)*v01_OutElder*INDEX(LM_Elder,G1845)+INDEX(v01_ShamanPerSett,G1845)*v01_OutShaman)+Z1845*(INDEX(v01_PriestShare,G1845)*v01_OutPriest+INDEX(v01_ScribeShare,G1845)*v01_OutScribe*INDEX(LM_Scribe,G1845)+INDEX(v01_ScholarShare,G1845)*v01_OutScholar*INDEX(LM_Scholar,G1845)+INDEX(v01_ResearcherShare,G1845)*v01_OutResearcher*INDEX(LM_Researcher,G1845)))</x:f>
        <x:v>0</x:v>
      </x:c>
      <x:c r="AL1845" s="32" t="n">
        <x:f>H1845*v01_RoleScale*Arch_Roles*AE1845*INDEX(v01_MonasteryPerSett,G1845)*v01_OutMonastery*INDEX(LM_Monastery,G1845)</x:f>
        <x:v>0</x:v>
      </x:c>
      <x:c r="AM1845" s="32" t="n">
        <x:f>(AJ1845+AK1845+AL1845)/4*INDEX(LM_All,G1845)*INDEX(v01_Boon,G1845)*Arch_Insight</x:f>
        <x:v>0</x:v>
      </x:c>
      <x:c r="AN1845" s="32" t="n">
        <x:f>H1845*(v01_KHPerAdult*Z1845+v01_KHOfCommons*AJ1845/4*INDEX(LM_All,G1845))*v01_KHUsable*Arch_KH</x:f>
        <x:v>0</x:v>
      </x:c>
      <x:c r="AO1845" s="32" t="n">
        <x:f>MIN(AP1844+AN1845,AM1845*v01_KHMaxRatio)</x:f>
        <x:v>0</x:v>
      </x:c>
      <x:c r="AP1845" s="32" t="n">
        <x:f>AP1844+AN1845-AO1845</x:f>
        <x:v>0</x:v>
      </x:c>
      <x:c r="AQ1845" s="32" t="n">
        <x:f>AM1845+AO1845</x:f>
        <x:v>0</x:v>
      </x:c>
      <x:c r="AR1845" s="10" t="n">
        <x:f>IF(H1845=1,INDEX(v01_Req,G1845),0)</x:f>
        <x:v>0</x:v>
      </x:c>
      <x:c r="AS1845" s="32" t="n">
        <x:f>IF(H1845=1,IF(E1845=1,AS1844-AR1844,AS1844)+AQ1845,0)</x:f>
        <x:v>0</x:v>
      </x:c>
      <x:c r="AT1845" s="11" t="n">
        <x:f>IF(AR1845&gt;0,MIN(1,AS1845/AR1845),1)</x:f>
        <x:v>1</x:v>
      </x:c>
      <x:c r="AU1845" s="10" t="n">
        <x:f>AB1845/INDEX(v01_RepScale,G1845)</x:f>
        <x:v>90.09519605746344</x:v>
      </x:c>
      <x:c r="AV1845" s="32" t="n">
        <x:f>AM1845*60/v01_SeasonSeconds</x:f>
        <x:v>0</x:v>
      </x:c>
    </x:row>
    <x:row r="1846">
      <x:c r="A1846" s="8" t="n">
        <x:f>A1845+1</x:f>
        <x:v>1843</x:v>
      </x:c>
      <x:c r="B1846" s="9" t="n">
        <x:f>A1846*v01_SeasonSeconds/60</x:f>
        <x:v>460.75</x:v>
      </x:c>
      <x:c r="C1846" s="9" t="n">
        <x:f>A1846/4</x:f>
        <x:v>460.75</x:v>
      </x:c>
      <x:c r="D1846" s="8" t="n">
        <x:f>IF(MOD(A1846,4)=0,1,0)</x:f>
        <x:v>0</x:v>
      </x:c>
      <x:c r="E1846" s="8" t="n">
        <x:f>IF(AND(F1845&lt;=9,AS1845&gt;=AR1845),1,0)</x:f>
        <x:v>0</x:v>
      </x:c>
      <x:c r="F1846" s="8" t="n">
        <x:f>MIN(10,F1845+E1846)</x:f>
        <x:v>10</x:v>
      </x:c>
      <x:c r="G1846" s="8" t="n">
        <x:f>MIN(F1846,9)+1</x:f>
        <x:v>10</x:v>
      </x:c>
      <x:c r="H1846" s="8" t="n">
        <x:f>IF(F1846&lt;=9,1,0)</x:f>
        <x:v>0</x:v>
      </x:c>
      <x:c r="I1846" s="9" t="n">
        <x:f>MIN(10,F1845+IF(AR1845&gt;0,MIN(1,AS1845/AR1845),1))</x:f>
        <x:v>10</x:v>
      </x:c>
      <x:c r="J1846" s="32" t="n">
        <x:f>INDEX(v01_FoodCap,G1846)*Arch_FoodCap*EXP(v01_CapsByProject*SUMPRODUCT((Cap_Point&lt;=I1846)*(Cap_Kind="Food")*Cap_Ln))</x:f>
        <x:v>12000</x:v>
      </x:c>
      <x:c r="K1846" s="32" t="n">
        <x:f>J1846*MIN(1,v01_LeanBase*EXP(v01_CapsByProject*SUMPRODUCT((Cap_Point&lt;=I1846)*(Cap_Kind="Lean")*Cap_Ln)))</x:f>
        <x:v>12000</x:v>
      </x:c>
      <x:c r="L1846" s="10" t="n">
        <x:f>INDEX(v01_HousingCap,G1846)*EXP(v01_CapsByProject*SUMPRODUCT((Cap_Point&lt;=I1846)*(Cap_Kind="Housing")*Cap_Ln))</x:f>
        <x:v>20000</x:v>
      </x:c>
      <x:c r="M1846" s="10" t="n">
        <x:f>INDEX(v01_GroupCap,G1846)*v01_CohesionFactor*EXP(v01_CapsByProject*SUMPRODUCT((Cap_Point&lt;=I1846)*(Cap_Kind="Group")*Cap_Ln))</x:f>
        <x:v>1000000</x:v>
      </x:c>
      <x:c r="N1846" s="32" t="n">
        <x:f>MIN(J1846,L1846,M1846)</x:f>
        <x:v>12000</x:v>
      </x:c>
      <x:c r="O1846" s="10" t="n">
        <x:f>AE1845*N1846</x:f>
        <x:v>180000</x:v>
      </x:c>
      <x:c r="P1846" s="9" t="n">
        <x:f>MIN(1,(AB1845/(AE1845*IF(v01_GroupInCrowding=1,N1846,MIN(J1846,L1846))))^v01_CrowdingExp)</x:f>
        <x:v>0.00024569414295285325</x:v>
      </x:c>
      <x:c r="Q1846" s="9" t="n">
        <x:f>IF(D1846=1,INDEX(v01_WinterMult,G1846),1)</x:f>
        <x:v>1</x:v>
      </x:c>
      <x:c r="R1846" s="9" t="n">
        <x:f>H1846*Z1845*v01_WomenShare*v01_BaseFertility*INDEX(v01_FertMult,G1846)*Arch_Fertility*(1-P1846)</x:f>
        <x:v>0</x:v>
      </x:c>
      <x:c r="S1846" s="9" t="n">
        <x:f>H1846*Y1845*INDEX(v01_MortChild,G1846)/4*Q1846</x:f>
        <x:v>0</x:v>
      </x:c>
      <x:c r="T1846" s="9" t="n">
        <x:f>H1846*Z1845*INDEX(v01_MortAdult,G1846)*Arch_AdultMort/4*Q1846</x:f>
        <x:v>0</x:v>
      </x:c>
      <x:c r="U1846" s="9" t="n">
        <x:f>H1846*AA1845*INDEX(v01_MortElder,G1846)/4*Q1846</x:f>
        <x:v>0</x:v>
      </x:c>
      <x:c r="V1846" s="9" t="n">
        <x:f>H1846*MAX(0,AB1845-O1846)*v01_OvercapLoss</x:f>
        <x:v>0</x:v>
      </x:c>
      <x:c r="W1846" s="9" t="n">
        <x:f>H1846*Y1845/(v01_ChildYears*4)</x:f>
        <x:v>0</x:v>
      </x:c>
      <x:c r="X1846" s="9" t="n">
        <x:f>H1846*Z1845/(v01_AdultYears*4)</x:f>
        <x:v>0</x:v>
      </x:c>
      <x:c r="Y1846" s="32" t="n">
        <x:f>Y1845+R1846-S1846-W1846-Y1845*V1846/AB1845</x:f>
        <x:v>14306.18539759397</x:v>
      </x:c>
      <x:c r="Z1846" s="32" t="n">
        <x:f>Z1845+W1846-X1846-T1846-Z1845*V1846/AB1845</x:f>
        <x:v>19354.456567879548</x:v>
      </x:c>
      <x:c r="AA1846" s="32" t="n">
        <x:f>AA1845+X1846-U1846-AA1845*V1846/AB1845</x:f>
        <x:v>11386.956063258198</x:v>
      </x:c>
      <x:c r="AB1846" s="10" t="n">
        <x:f>Y1846+Z1846+AA1846</x:f>
        <x:v>45047.59802873172</x:v>
      </x:c>
      <x:c r="AC1846" s="8" t="n">
        <x:f>IF(AND(v01_WinterTrigger=1,D1846=1,AB1845/AE1845&gt;=K1846),1,0)</x:f>
        <x:v>0</x:v>
      </x:c>
      <x:c r="AD1846" s="8" t="n">
        <x:f>H1846*IF(AND(OR(AB1845/AE1845&gt;=v01_FissionTrigger*N1846,AC1846=1),AB1845/AE1845*v01_DaughterShare&gt;=v01_MinDaughter),MAX(1,ROUND(AE1845*v01_FissionRate,0)),0)</x:f>
        <x:v>0</x:v>
      </x:c>
      <x:c r="AE1846" s="8" t="n">
        <x:f>IF(H1846=1,MAX(1,MIN(INDEX(v01_Smax,G1846),AE1845+AD1846)),AE1845)</x:f>
        <x:v>15</x:v>
      </x:c>
      <x:c r="AF1846" s="8" t="n">
        <x:f>MAX(0,AE1846-AE1845)</x:f>
        <x:v>0</x:v>
      </x:c>
      <x:c r="AG1846" s="9" t="str">
        <x:f>IF(AF1846&gt;0,B1846,"")</x:f>
      </x:c>
      <x:c r="AH1846" s="9" t="n">
        <x:f>IF(F1846&gt;=1,1,(1+v01_LowTiesShare*(AE1846-1))/AE1846)</x:f>
        <x:v>1</x:v>
      </x:c>
      <x:c r="AI1846" s="32" t="n">
        <x:f>(Z1846+v01_ElderCommons*INDEX(LM_Elder,G1846)*AA1846)*AH1846</x:f>
        <x:v>64139.732591141874</x:v>
      </x:c>
      <x:c r="AJ1846" s="32" t="n">
        <x:f>H1846*v01_CommonsCoef*AI1846^v01_CommonsExp*INDEX(LM_Commons,G1846)</x:f>
        <x:v>0</x:v>
      </x:c>
      <x:c r="AK1846" s="32" t="n">
        <x:f>H1846*v01_RoleScale*Arch_Roles*(AE1846*(INDEX(v01_ElderRolePerSett,G1846)*v01_OutElder*INDEX(LM_Elder,G1846)+INDEX(v01_ShamanPerSett,G1846)*v01_OutShaman)+Z1846*(INDEX(v01_PriestShare,G1846)*v01_OutPriest+INDEX(v01_ScribeShare,G1846)*v01_OutScribe*INDEX(LM_Scribe,G1846)+INDEX(v01_ScholarShare,G1846)*v01_OutScholar*INDEX(LM_Scholar,G1846)+INDEX(v01_ResearcherShare,G1846)*v01_OutResearcher*INDEX(LM_Researcher,G1846)))</x:f>
        <x:v>0</x:v>
      </x:c>
      <x:c r="AL1846" s="32" t="n">
        <x:f>H1846*v01_RoleScale*Arch_Roles*AE1846*INDEX(v01_MonasteryPerSett,G1846)*v01_OutMonastery*INDEX(LM_Monastery,G1846)</x:f>
        <x:v>0</x:v>
      </x:c>
      <x:c r="AM1846" s="32" t="n">
        <x:f>(AJ1846+AK1846+AL1846)/4*INDEX(LM_All,G1846)*INDEX(v01_Boon,G1846)*Arch_Insight</x:f>
        <x:v>0</x:v>
      </x:c>
      <x:c r="AN1846" s="32" t="n">
        <x:f>H1846*(v01_KHPerAdult*Z1846+v01_KHOfCommons*AJ1846/4*INDEX(LM_All,G1846))*v01_KHUsable*Arch_KH</x:f>
        <x:v>0</x:v>
      </x:c>
      <x:c r="AO1846" s="32" t="n">
        <x:f>MIN(AP1845+AN1846,AM1846*v01_KHMaxRatio)</x:f>
        <x:v>0</x:v>
      </x:c>
      <x:c r="AP1846" s="32" t="n">
        <x:f>AP1845+AN1846-AO1846</x:f>
        <x:v>0</x:v>
      </x:c>
      <x:c r="AQ1846" s="32" t="n">
        <x:f>AM1846+AO1846</x:f>
        <x:v>0</x:v>
      </x:c>
      <x:c r="AR1846" s="10" t="n">
        <x:f>IF(H1846=1,INDEX(v01_Req,G1846),0)</x:f>
        <x:v>0</x:v>
      </x:c>
      <x:c r="AS1846" s="32" t="n">
        <x:f>IF(H1846=1,IF(E1846=1,AS1845-AR1845,AS1845)+AQ1846,0)</x:f>
        <x:v>0</x:v>
      </x:c>
      <x:c r="AT1846" s="11" t="n">
        <x:f>IF(AR1846&gt;0,MIN(1,AS1846/AR1846),1)</x:f>
        <x:v>1</x:v>
      </x:c>
      <x:c r="AU1846" s="10" t="n">
        <x:f>AB1846/INDEX(v01_RepScale,G1846)</x:f>
        <x:v>90.09519605746344</x:v>
      </x:c>
      <x:c r="AV1846" s="32" t="n">
        <x:f>AM1846*60/v01_SeasonSeconds</x:f>
        <x:v>0</x:v>
      </x:c>
    </x:row>
    <x:row r="1847">
      <x:c r="A1847" s="8" t="n">
        <x:f>A1846+1</x:f>
        <x:v>1844</x:v>
      </x:c>
      <x:c r="B1847" s="9" t="n">
        <x:f>A1847*v01_SeasonSeconds/60</x:f>
        <x:v>461</x:v>
      </x:c>
      <x:c r="C1847" s="9" t="n">
        <x:f>A1847/4</x:f>
        <x:v>461</x:v>
      </x:c>
      <x:c r="D1847" s="8" t="n">
        <x:f>IF(MOD(A1847,4)=0,1,0)</x:f>
        <x:v>1</x:v>
      </x:c>
      <x:c r="E1847" s="8" t="n">
        <x:f>IF(AND(F1846&lt;=9,AS1846&gt;=AR1846),1,0)</x:f>
        <x:v>0</x:v>
      </x:c>
      <x:c r="F1847" s="8" t="n">
        <x:f>MIN(10,F1846+E1847)</x:f>
        <x:v>10</x:v>
      </x:c>
      <x:c r="G1847" s="8" t="n">
        <x:f>MIN(F1847,9)+1</x:f>
        <x:v>10</x:v>
      </x:c>
      <x:c r="H1847" s="8" t="n">
        <x:f>IF(F1847&lt;=9,1,0)</x:f>
        <x:v>0</x:v>
      </x:c>
      <x:c r="I1847" s="9" t="n">
        <x:f>MIN(10,F1846+IF(AR1846&gt;0,MIN(1,AS1846/AR1846),1))</x:f>
        <x:v>10</x:v>
      </x:c>
      <x:c r="J1847" s="32" t="n">
        <x:f>INDEX(v01_FoodCap,G1847)*Arch_FoodCap*EXP(v01_CapsByProject*SUMPRODUCT((Cap_Point&lt;=I1847)*(Cap_Kind="Food")*Cap_Ln))</x:f>
        <x:v>12000</x:v>
      </x:c>
      <x:c r="K1847" s="32" t="n">
        <x:f>J1847*MIN(1,v01_LeanBase*EXP(v01_CapsByProject*SUMPRODUCT((Cap_Point&lt;=I1847)*(Cap_Kind="Lean")*Cap_Ln)))</x:f>
        <x:v>12000</x:v>
      </x:c>
      <x:c r="L1847" s="10" t="n">
        <x:f>INDEX(v01_HousingCap,G1847)*EXP(v01_CapsByProject*SUMPRODUCT((Cap_Point&lt;=I1847)*(Cap_Kind="Housing")*Cap_Ln))</x:f>
        <x:v>20000</x:v>
      </x:c>
      <x:c r="M1847" s="10" t="n">
        <x:f>INDEX(v01_GroupCap,G1847)*v01_CohesionFactor*EXP(v01_CapsByProject*SUMPRODUCT((Cap_Point&lt;=I1847)*(Cap_Kind="Group")*Cap_Ln))</x:f>
        <x:v>1000000</x:v>
      </x:c>
      <x:c r="N1847" s="32" t="n">
        <x:f>MIN(J1847,L1847,M1847)</x:f>
        <x:v>12000</x:v>
      </x:c>
      <x:c r="O1847" s="10" t="n">
        <x:f>AE1846*N1847</x:f>
        <x:v>180000</x:v>
      </x:c>
      <x:c r="P1847" s="9" t="n">
        <x:f>MIN(1,(AB1846/(AE1846*IF(v01_GroupInCrowding=1,N1847,MIN(J1847,L1847))))^v01_CrowdingExp)</x:f>
        <x:v>0.00024569414295285325</x:v>
      </x:c>
      <x:c r="Q1847" s="9" t="n">
        <x:f>IF(D1847=1,INDEX(v01_WinterMult,G1847),1)</x:f>
        <x:v>1</x:v>
      </x:c>
      <x:c r="R1847" s="9" t="n">
        <x:f>H1847*Z1846*v01_WomenShare*v01_BaseFertility*INDEX(v01_FertMult,G1847)*Arch_Fertility*(1-P1847)</x:f>
        <x:v>0</x:v>
      </x:c>
      <x:c r="S1847" s="9" t="n">
        <x:f>H1847*Y1846*INDEX(v01_MortChild,G1847)/4*Q1847</x:f>
        <x:v>0</x:v>
      </x:c>
      <x:c r="T1847" s="9" t="n">
        <x:f>H1847*Z1846*INDEX(v01_MortAdult,G1847)*Arch_AdultMort/4*Q1847</x:f>
        <x:v>0</x:v>
      </x:c>
      <x:c r="U1847" s="9" t="n">
        <x:f>H1847*AA1846*INDEX(v01_MortElder,G1847)/4*Q1847</x:f>
        <x:v>0</x:v>
      </x:c>
      <x:c r="V1847" s="9" t="n">
        <x:f>H1847*MAX(0,AB1846-O1847)*v01_OvercapLoss</x:f>
        <x:v>0</x:v>
      </x:c>
      <x:c r="W1847" s="9" t="n">
        <x:f>H1847*Y1846/(v01_ChildYears*4)</x:f>
        <x:v>0</x:v>
      </x:c>
      <x:c r="X1847" s="9" t="n">
        <x:f>H1847*Z1846/(v01_AdultYears*4)</x:f>
        <x:v>0</x:v>
      </x:c>
      <x:c r="Y1847" s="32" t="n">
        <x:f>Y1846+R1847-S1847-W1847-Y1846*V1847/AB1846</x:f>
        <x:v>14306.18539759397</x:v>
      </x:c>
      <x:c r="Z1847" s="32" t="n">
        <x:f>Z1846+W1847-X1847-T1847-Z1846*V1847/AB1846</x:f>
        <x:v>19354.456567879548</x:v>
      </x:c>
      <x:c r="AA1847" s="32" t="n">
        <x:f>AA1846+X1847-U1847-AA1846*V1847/AB1846</x:f>
        <x:v>11386.956063258198</x:v>
      </x:c>
      <x:c r="AB1847" s="10" t="n">
        <x:f>Y1847+Z1847+AA1847</x:f>
        <x:v>45047.59802873172</x:v>
      </x:c>
      <x:c r="AC1847" s="8" t="n">
        <x:f>IF(AND(v01_WinterTrigger=1,D1847=1,AB1846/AE1846&gt;=K1847),1,0)</x:f>
        <x:v>0</x:v>
      </x:c>
      <x:c r="AD1847" s="8" t="n">
        <x:f>H1847*IF(AND(OR(AB1846/AE1846&gt;=v01_FissionTrigger*N1847,AC1847=1),AB1846/AE1846*v01_DaughterShare&gt;=v01_MinDaughter),MAX(1,ROUND(AE1846*v01_FissionRate,0)),0)</x:f>
        <x:v>0</x:v>
      </x:c>
      <x:c r="AE1847" s="8" t="n">
        <x:f>IF(H1847=1,MAX(1,MIN(INDEX(v01_Smax,G1847),AE1846+AD1847)),AE1846)</x:f>
        <x:v>15</x:v>
      </x:c>
      <x:c r="AF1847" s="8" t="n">
        <x:f>MAX(0,AE1847-AE1846)</x:f>
        <x:v>0</x:v>
      </x:c>
      <x:c r="AG1847" s="9" t="str">
        <x:f>IF(AF1847&gt;0,B1847,"")</x:f>
      </x:c>
      <x:c r="AH1847" s="9" t="n">
        <x:f>IF(F1847&gt;=1,1,(1+v01_LowTiesShare*(AE1847-1))/AE1847)</x:f>
        <x:v>1</x:v>
      </x:c>
      <x:c r="AI1847" s="32" t="n">
        <x:f>(Z1847+v01_ElderCommons*INDEX(LM_Elder,G1847)*AA1847)*AH1847</x:f>
        <x:v>64139.732591141874</x:v>
      </x:c>
      <x:c r="AJ1847" s="32" t="n">
        <x:f>H1847*v01_CommonsCoef*AI1847^v01_CommonsExp*INDEX(LM_Commons,G1847)</x:f>
        <x:v>0</x:v>
      </x:c>
      <x:c r="AK1847" s="32" t="n">
        <x:f>H1847*v01_RoleScale*Arch_Roles*(AE1847*(INDEX(v01_ElderRolePerSett,G1847)*v01_OutElder*INDEX(LM_Elder,G1847)+INDEX(v01_ShamanPerSett,G1847)*v01_OutShaman)+Z1847*(INDEX(v01_PriestShare,G1847)*v01_OutPriest+INDEX(v01_ScribeShare,G1847)*v01_OutScribe*INDEX(LM_Scribe,G1847)+INDEX(v01_ScholarShare,G1847)*v01_OutScholar*INDEX(LM_Scholar,G1847)+INDEX(v01_ResearcherShare,G1847)*v01_OutResearcher*INDEX(LM_Researcher,G1847)))</x:f>
        <x:v>0</x:v>
      </x:c>
      <x:c r="AL1847" s="32" t="n">
        <x:f>H1847*v01_RoleScale*Arch_Roles*AE1847*INDEX(v01_MonasteryPerSett,G1847)*v01_OutMonastery*INDEX(LM_Monastery,G1847)</x:f>
        <x:v>0</x:v>
      </x:c>
      <x:c r="AM1847" s="32" t="n">
        <x:f>(AJ1847+AK1847+AL1847)/4*INDEX(LM_All,G1847)*INDEX(v01_Boon,G1847)*Arch_Insight</x:f>
        <x:v>0</x:v>
      </x:c>
      <x:c r="AN1847" s="32" t="n">
        <x:f>H1847*(v01_KHPerAdult*Z1847+v01_KHOfCommons*AJ1847/4*INDEX(LM_All,G1847))*v01_KHUsable*Arch_KH</x:f>
        <x:v>0</x:v>
      </x:c>
      <x:c r="AO1847" s="32" t="n">
        <x:f>MIN(AP1846+AN1847,AM1847*v01_KHMaxRatio)</x:f>
        <x:v>0</x:v>
      </x:c>
      <x:c r="AP1847" s="32" t="n">
        <x:f>AP1846+AN1847-AO1847</x:f>
        <x:v>0</x:v>
      </x:c>
      <x:c r="AQ1847" s="32" t="n">
        <x:f>AM1847+AO1847</x:f>
        <x:v>0</x:v>
      </x:c>
      <x:c r="AR1847" s="10" t="n">
        <x:f>IF(H1847=1,INDEX(v01_Req,G1847),0)</x:f>
        <x:v>0</x:v>
      </x:c>
      <x:c r="AS1847" s="32" t="n">
        <x:f>IF(H1847=1,IF(E1847=1,AS1846-AR1846,AS1846)+AQ1847,0)</x:f>
        <x:v>0</x:v>
      </x:c>
      <x:c r="AT1847" s="11" t="n">
        <x:f>IF(AR1847&gt;0,MIN(1,AS1847/AR1847),1)</x:f>
        <x:v>1</x:v>
      </x:c>
      <x:c r="AU1847" s="10" t="n">
        <x:f>AB1847/INDEX(v01_RepScale,G1847)</x:f>
        <x:v>90.09519605746344</x:v>
      </x:c>
      <x:c r="AV1847" s="32" t="n">
        <x:f>AM1847*60/v01_SeasonSeconds</x:f>
        <x:v>0</x:v>
      </x:c>
    </x:row>
    <x:row r="1848">
      <x:c r="A1848" s="8" t="n">
        <x:f>A1847+1</x:f>
        <x:v>1845</x:v>
      </x:c>
      <x:c r="B1848" s="9" t="n">
        <x:f>A1848*v01_SeasonSeconds/60</x:f>
        <x:v>461.25</x:v>
      </x:c>
      <x:c r="C1848" s="9" t="n">
        <x:f>A1848/4</x:f>
        <x:v>461.25</x:v>
      </x:c>
      <x:c r="D1848" s="8" t="n">
        <x:f>IF(MOD(A1848,4)=0,1,0)</x:f>
        <x:v>0</x:v>
      </x:c>
      <x:c r="E1848" s="8" t="n">
        <x:f>IF(AND(F1847&lt;=9,AS1847&gt;=AR1847),1,0)</x:f>
        <x:v>0</x:v>
      </x:c>
      <x:c r="F1848" s="8" t="n">
        <x:f>MIN(10,F1847+E1848)</x:f>
        <x:v>10</x:v>
      </x:c>
      <x:c r="G1848" s="8" t="n">
        <x:f>MIN(F1848,9)+1</x:f>
        <x:v>10</x:v>
      </x:c>
      <x:c r="H1848" s="8" t="n">
        <x:f>IF(F1848&lt;=9,1,0)</x:f>
        <x:v>0</x:v>
      </x:c>
      <x:c r="I1848" s="9" t="n">
        <x:f>MIN(10,F1847+IF(AR1847&gt;0,MIN(1,AS1847/AR1847),1))</x:f>
        <x:v>10</x:v>
      </x:c>
      <x:c r="J1848" s="32" t="n">
        <x:f>INDEX(v01_FoodCap,G1848)*Arch_FoodCap*EXP(v01_CapsByProject*SUMPRODUCT((Cap_Point&lt;=I1848)*(Cap_Kind="Food")*Cap_Ln))</x:f>
        <x:v>12000</x:v>
      </x:c>
      <x:c r="K1848" s="32" t="n">
        <x:f>J1848*MIN(1,v01_LeanBase*EXP(v01_CapsByProject*SUMPRODUCT((Cap_Point&lt;=I1848)*(Cap_Kind="Lean")*Cap_Ln)))</x:f>
        <x:v>12000</x:v>
      </x:c>
      <x:c r="L1848" s="10" t="n">
        <x:f>INDEX(v01_HousingCap,G1848)*EXP(v01_CapsByProject*SUMPRODUCT((Cap_Point&lt;=I1848)*(Cap_Kind="Housing")*Cap_Ln))</x:f>
        <x:v>20000</x:v>
      </x:c>
      <x:c r="M1848" s="10" t="n">
        <x:f>INDEX(v01_GroupCap,G1848)*v01_CohesionFactor*EXP(v01_CapsByProject*SUMPRODUCT((Cap_Point&lt;=I1848)*(Cap_Kind="Group")*Cap_Ln))</x:f>
        <x:v>1000000</x:v>
      </x:c>
      <x:c r="N1848" s="32" t="n">
        <x:f>MIN(J1848,L1848,M1848)</x:f>
        <x:v>12000</x:v>
      </x:c>
      <x:c r="O1848" s="10" t="n">
        <x:f>AE1847*N1848</x:f>
        <x:v>180000</x:v>
      </x:c>
      <x:c r="P1848" s="9" t="n">
        <x:f>MIN(1,(AB1847/(AE1847*IF(v01_GroupInCrowding=1,N1848,MIN(J1848,L1848))))^v01_CrowdingExp)</x:f>
        <x:v>0.00024569414295285325</x:v>
      </x:c>
      <x:c r="Q1848" s="9" t="n">
        <x:f>IF(D1848=1,INDEX(v01_WinterMult,G1848),1)</x:f>
        <x:v>1</x:v>
      </x:c>
      <x:c r="R1848" s="9" t="n">
        <x:f>H1848*Z1847*v01_WomenShare*v01_BaseFertility*INDEX(v01_FertMult,G1848)*Arch_Fertility*(1-P1848)</x:f>
        <x:v>0</x:v>
      </x:c>
      <x:c r="S1848" s="9" t="n">
        <x:f>H1848*Y1847*INDEX(v01_MortChild,G1848)/4*Q1848</x:f>
        <x:v>0</x:v>
      </x:c>
      <x:c r="T1848" s="9" t="n">
        <x:f>H1848*Z1847*INDEX(v01_MortAdult,G1848)*Arch_AdultMort/4*Q1848</x:f>
        <x:v>0</x:v>
      </x:c>
      <x:c r="U1848" s="9" t="n">
        <x:f>H1848*AA1847*INDEX(v01_MortElder,G1848)/4*Q1848</x:f>
        <x:v>0</x:v>
      </x:c>
      <x:c r="V1848" s="9" t="n">
        <x:f>H1848*MAX(0,AB1847-O1848)*v01_OvercapLoss</x:f>
        <x:v>0</x:v>
      </x:c>
      <x:c r="W1848" s="9" t="n">
        <x:f>H1848*Y1847/(v01_ChildYears*4)</x:f>
        <x:v>0</x:v>
      </x:c>
      <x:c r="X1848" s="9" t="n">
        <x:f>H1848*Z1847/(v01_AdultYears*4)</x:f>
        <x:v>0</x:v>
      </x:c>
      <x:c r="Y1848" s="32" t="n">
        <x:f>Y1847+R1848-S1848-W1848-Y1847*V1848/AB1847</x:f>
        <x:v>14306.18539759397</x:v>
      </x:c>
      <x:c r="Z1848" s="32" t="n">
        <x:f>Z1847+W1848-X1848-T1848-Z1847*V1848/AB1847</x:f>
        <x:v>19354.456567879548</x:v>
      </x:c>
      <x:c r="AA1848" s="32" t="n">
        <x:f>AA1847+X1848-U1848-AA1847*V1848/AB1847</x:f>
        <x:v>11386.956063258198</x:v>
      </x:c>
      <x:c r="AB1848" s="10" t="n">
        <x:f>Y1848+Z1848+AA1848</x:f>
        <x:v>45047.59802873172</x:v>
      </x:c>
      <x:c r="AC1848" s="8" t="n">
        <x:f>IF(AND(v01_WinterTrigger=1,D1848=1,AB1847/AE1847&gt;=K1848),1,0)</x:f>
        <x:v>0</x:v>
      </x:c>
      <x:c r="AD1848" s="8" t="n">
        <x:f>H1848*IF(AND(OR(AB1847/AE1847&gt;=v01_FissionTrigger*N1848,AC1848=1),AB1847/AE1847*v01_DaughterShare&gt;=v01_MinDaughter),MAX(1,ROUND(AE1847*v01_FissionRate,0)),0)</x:f>
        <x:v>0</x:v>
      </x:c>
      <x:c r="AE1848" s="8" t="n">
        <x:f>IF(H1848=1,MAX(1,MIN(INDEX(v01_Smax,G1848),AE1847+AD1848)),AE1847)</x:f>
        <x:v>15</x:v>
      </x:c>
      <x:c r="AF1848" s="8" t="n">
        <x:f>MAX(0,AE1848-AE1847)</x:f>
        <x:v>0</x:v>
      </x:c>
      <x:c r="AG1848" s="9" t="str">
        <x:f>IF(AF1848&gt;0,B1848,"")</x:f>
      </x:c>
      <x:c r="AH1848" s="9" t="n">
        <x:f>IF(F1848&gt;=1,1,(1+v01_LowTiesShare*(AE1848-1))/AE1848)</x:f>
        <x:v>1</x:v>
      </x:c>
      <x:c r="AI1848" s="32" t="n">
        <x:f>(Z1848+v01_ElderCommons*INDEX(LM_Elder,G1848)*AA1848)*AH1848</x:f>
        <x:v>64139.732591141874</x:v>
      </x:c>
      <x:c r="AJ1848" s="32" t="n">
        <x:f>H1848*v01_CommonsCoef*AI1848^v01_CommonsExp*INDEX(LM_Commons,G1848)</x:f>
        <x:v>0</x:v>
      </x:c>
      <x:c r="AK1848" s="32" t="n">
        <x:f>H1848*v01_RoleScale*Arch_Roles*(AE1848*(INDEX(v01_ElderRolePerSett,G1848)*v01_OutElder*INDEX(LM_Elder,G1848)+INDEX(v01_ShamanPerSett,G1848)*v01_OutShaman)+Z1848*(INDEX(v01_PriestShare,G1848)*v01_OutPriest+INDEX(v01_ScribeShare,G1848)*v01_OutScribe*INDEX(LM_Scribe,G1848)+INDEX(v01_ScholarShare,G1848)*v01_OutScholar*INDEX(LM_Scholar,G1848)+INDEX(v01_ResearcherShare,G1848)*v01_OutResearcher*INDEX(LM_Researcher,G1848)))</x:f>
        <x:v>0</x:v>
      </x:c>
      <x:c r="AL1848" s="32" t="n">
        <x:f>H1848*v01_RoleScale*Arch_Roles*AE1848*INDEX(v01_MonasteryPerSett,G1848)*v01_OutMonastery*INDEX(LM_Monastery,G1848)</x:f>
        <x:v>0</x:v>
      </x:c>
      <x:c r="AM1848" s="32" t="n">
        <x:f>(AJ1848+AK1848+AL1848)/4*INDEX(LM_All,G1848)*INDEX(v01_Boon,G1848)*Arch_Insight</x:f>
        <x:v>0</x:v>
      </x:c>
      <x:c r="AN1848" s="32" t="n">
        <x:f>H1848*(v01_KHPerAdult*Z1848+v01_KHOfCommons*AJ1848/4*INDEX(LM_All,G1848))*v01_KHUsable*Arch_KH</x:f>
        <x:v>0</x:v>
      </x:c>
      <x:c r="AO1848" s="32" t="n">
        <x:f>MIN(AP1847+AN1848,AM1848*v01_KHMaxRatio)</x:f>
        <x:v>0</x:v>
      </x:c>
      <x:c r="AP1848" s="32" t="n">
        <x:f>AP1847+AN1848-AO1848</x:f>
        <x:v>0</x:v>
      </x:c>
      <x:c r="AQ1848" s="32" t="n">
        <x:f>AM1848+AO1848</x:f>
        <x:v>0</x:v>
      </x:c>
      <x:c r="AR1848" s="10" t="n">
        <x:f>IF(H1848=1,INDEX(v01_Req,G1848),0)</x:f>
        <x:v>0</x:v>
      </x:c>
      <x:c r="AS1848" s="32" t="n">
        <x:f>IF(H1848=1,IF(E1848=1,AS1847-AR1847,AS1847)+AQ1848,0)</x:f>
        <x:v>0</x:v>
      </x:c>
      <x:c r="AT1848" s="11" t="n">
        <x:f>IF(AR1848&gt;0,MIN(1,AS1848/AR1848),1)</x:f>
        <x:v>1</x:v>
      </x:c>
      <x:c r="AU1848" s="10" t="n">
        <x:f>AB1848/INDEX(v01_RepScale,G1848)</x:f>
        <x:v>90.09519605746344</x:v>
      </x:c>
      <x:c r="AV1848" s="32" t="n">
        <x:f>AM1848*60/v01_SeasonSeconds</x:f>
        <x:v>0</x:v>
      </x:c>
    </x:row>
    <x:row r="1849">
      <x:c r="A1849" s="8" t="n">
        <x:f>A1848+1</x:f>
        <x:v>1846</x:v>
      </x:c>
      <x:c r="B1849" s="9" t="n">
        <x:f>A1849*v01_SeasonSeconds/60</x:f>
        <x:v>461.5</x:v>
      </x:c>
      <x:c r="C1849" s="9" t="n">
        <x:f>A1849/4</x:f>
        <x:v>461.5</x:v>
      </x:c>
      <x:c r="D1849" s="8" t="n">
        <x:f>IF(MOD(A1849,4)=0,1,0)</x:f>
        <x:v>0</x:v>
      </x:c>
      <x:c r="E1849" s="8" t="n">
        <x:f>IF(AND(F1848&lt;=9,AS1848&gt;=AR1848),1,0)</x:f>
        <x:v>0</x:v>
      </x:c>
      <x:c r="F1849" s="8" t="n">
        <x:f>MIN(10,F1848+E1849)</x:f>
        <x:v>10</x:v>
      </x:c>
      <x:c r="G1849" s="8" t="n">
        <x:f>MIN(F1849,9)+1</x:f>
        <x:v>10</x:v>
      </x:c>
      <x:c r="H1849" s="8" t="n">
        <x:f>IF(F1849&lt;=9,1,0)</x:f>
        <x:v>0</x:v>
      </x:c>
      <x:c r="I1849" s="9" t="n">
        <x:f>MIN(10,F1848+IF(AR1848&gt;0,MIN(1,AS1848/AR1848),1))</x:f>
        <x:v>10</x:v>
      </x:c>
      <x:c r="J1849" s="32" t="n">
        <x:f>INDEX(v01_FoodCap,G1849)*Arch_FoodCap*EXP(v01_CapsByProject*SUMPRODUCT((Cap_Point&lt;=I1849)*(Cap_Kind="Food")*Cap_Ln))</x:f>
        <x:v>12000</x:v>
      </x:c>
      <x:c r="K1849" s="32" t="n">
        <x:f>J1849*MIN(1,v01_LeanBase*EXP(v01_CapsByProject*SUMPRODUCT((Cap_Point&lt;=I1849)*(Cap_Kind="Lean")*Cap_Ln)))</x:f>
        <x:v>12000</x:v>
      </x:c>
      <x:c r="L1849" s="10" t="n">
        <x:f>INDEX(v01_HousingCap,G1849)*EXP(v01_CapsByProject*SUMPRODUCT((Cap_Point&lt;=I1849)*(Cap_Kind="Housing")*Cap_Ln))</x:f>
        <x:v>20000</x:v>
      </x:c>
      <x:c r="M1849" s="10" t="n">
        <x:f>INDEX(v01_GroupCap,G1849)*v01_CohesionFactor*EXP(v01_CapsByProject*SUMPRODUCT((Cap_Point&lt;=I1849)*(Cap_Kind="Group")*Cap_Ln))</x:f>
        <x:v>1000000</x:v>
      </x:c>
      <x:c r="N1849" s="32" t="n">
        <x:f>MIN(J1849,L1849,M1849)</x:f>
        <x:v>12000</x:v>
      </x:c>
      <x:c r="O1849" s="10" t="n">
        <x:f>AE1848*N1849</x:f>
        <x:v>180000</x:v>
      </x:c>
      <x:c r="P1849" s="9" t="n">
        <x:f>MIN(1,(AB1848/(AE1848*IF(v01_GroupInCrowding=1,N1849,MIN(J1849,L1849))))^v01_CrowdingExp)</x:f>
        <x:v>0.00024569414295285325</x:v>
      </x:c>
      <x:c r="Q1849" s="9" t="n">
        <x:f>IF(D1849=1,INDEX(v01_WinterMult,G1849),1)</x:f>
        <x:v>1</x:v>
      </x:c>
      <x:c r="R1849" s="9" t="n">
        <x:f>H1849*Z1848*v01_WomenShare*v01_BaseFertility*INDEX(v01_FertMult,G1849)*Arch_Fertility*(1-P1849)</x:f>
        <x:v>0</x:v>
      </x:c>
      <x:c r="S1849" s="9" t="n">
        <x:f>H1849*Y1848*INDEX(v01_MortChild,G1849)/4*Q1849</x:f>
        <x:v>0</x:v>
      </x:c>
      <x:c r="T1849" s="9" t="n">
        <x:f>H1849*Z1848*INDEX(v01_MortAdult,G1849)*Arch_AdultMort/4*Q1849</x:f>
        <x:v>0</x:v>
      </x:c>
      <x:c r="U1849" s="9" t="n">
        <x:f>H1849*AA1848*INDEX(v01_MortElder,G1849)/4*Q1849</x:f>
        <x:v>0</x:v>
      </x:c>
      <x:c r="V1849" s="9" t="n">
        <x:f>H1849*MAX(0,AB1848-O1849)*v01_OvercapLoss</x:f>
        <x:v>0</x:v>
      </x:c>
      <x:c r="W1849" s="9" t="n">
        <x:f>H1849*Y1848/(v01_ChildYears*4)</x:f>
        <x:v>0</x:v>
      </x:c>
      <x:c r="X1849" s="9" t="n">
        <x:f>H1849*Z1848/(v01_AdultYears*4)</x:f>
        <x:v>0</x:v>
      </x:c>
      <x:c r="Y1849" s="32" t="n">
        <x:f>Y1848+R1849-S1849-W1849-Y1848*V1849/AB1848</x:f>
        <x:v>14306.18539759397</x:v>
      </x:c>
      <x:c r="Z1849" s="32" t="n">
        <x:f>Z1848+W1849-X1849-T1849-Z1848*V1849/AB1848</x:f>
        <x:v>19354.456567879548</x:v>
      </x:c>
      <x:c r="AA1849" s="32" t="n">
        <x:f>AA1848+X1849-U1849-AA1848*V1849/AB1848</x:f>
        <x:v>11386.956063258198</x:v>
      </x:c>
      <x:c r="AB1849" s="10" t="n">
        <x:f>Y1849+Z1849+AA1849</x:f>
        <x:v>45047.59802873172</x:v>
      </x:c>
      <x:c r="AC1849" s="8" t="n">
        <x:f>IF(AND(v01_WinterTrigger=1,D1849=1,AB1848/AE1848&gt;=K1849),1,0)</x:f>
        <x:v>0</x:v>
      </x:c>
      <x:c r="AD1849" s="8" t="n">
        <x:f>H1849*IF(AND(OR(AB1848/AE1848&gt;=v01_FissionTrigger*N1849,AC1849=1),AB1848/AE1848*v01_DaughterShare&gt;=v01_MinDaughter),MAX(1,ROUND(AE1848*v01_FissionRate,0)),0)</x:f>
        <x:v>0</x:v>
      </x:c>
      <x:c r="AE1849" s="8" t="n">
        <x:f>IF(H1849=1,MAX(1,MIN(INDEX(v01_Smax,G1849),AE1848+AD1849)),AE1848)</x:f>
        <x:v>15</x:v>
      </x:c>
      <x:c r="AF1849" s="8" t="n">
        <x:f>MAX(0,AE1849-AE1848)</x:f>
        <x:v>0</x:v>
      </x:c>
      <x:c r="AG1849" s="9" t="str">
        <x:f>IF(AF1849&gt;0,B1849,"")</x:f>
      </x:c>
      <x:c r="AH1849" s="9" t="n">
        <x:f>IF(F1849&gt;=1,1,(1+v01_LowTiesShare*(AE1849-1))/AE1849)</x:f>
        <x:v>1</x:v>
      </x:c>
      <x:c r="AI1849" s="32" t="n">
        <x:f>(Z1849+v01_ElderCommons*INDEX(LM_Elder,G1849)*AA1849)*AH1849</x:f>
        <x:v>64139.732591141874</x:v>
      </x:c>
      <x:c r="AJ1849" s="32" t="n">
        <x:f>H1849*v01_CommonsCoef*AI1849^v01_CommonsExp*INDEX(LM_Commons,G1849)</x:f>
        <x:v>0</x:v>
      </x:c>
      <x:c r="AK1849" s="32" t="n">
        <x:f>H1849*v01_RoleScale*Arch_Roles*(AE1849*(INDEX(v01_ElderRolePerSett,G1849)*v01_OutElder*INDEX(LM_Elder,G1849)+INDEX(v01_ShamanPerSett,G1849)*v01_OutShaman)+Z1849*(INDEX(v01_PriestShare,G1849)*v01_OutPriest+INDEX(v01_ScribeShare,G1849)*v01_OutScribe*INDEX(LM_Scribe,G1849)+INDEX(v01_ScholarShare,G1849)*v01_OutScholar*INDEX(LM_Scholar,G1849)+INDEX(v01_ResearcherShare,G1849)*v01_OutResearcher*INDEX(LM_Researcher,G1849)))</x:f>
        <x:v>0</x:v>
      </x:c>
      <x:c r="AL1849" s="32" t="n">
        <x:f>H1849*v01_RoleScale*Arch_Roles*AE1849*INDEX(v01_MonasteryPerSett,G1849)*v01_OutMonastery*INDEX(LM_Monastery,G1849)</x:f>
        <x:v>0</x:v>
      </x:c>
      <x:c r="AM1849" s="32" t="n">
        <x:f>(AJ1849+AK1849+AL1849)/4*INDEX(LM_All,G1849)*INDEX(v01_Boon,G1849)*Arch_Insight</x:f>
        <x:v>0</x:v>
      </x:c>
      <x:c r="AN1849" s="32" t="n">
        <x:f>H1849*(v01_KHPerAdult*Z1849+v01_KHOfCommons*AJ1849/4*INDEX(LM_All,G1849))*v01_KHUsable*Arch_KH</x:f>
        <x:v>0</x:v>
      </x:c>
      <x:c r="AO1849" s="32" t="n">
        <x:f>MIN(AP1848+AN1849,AM1849*v01_KHMaxRatio)</x:f>
        <x:v>0</x:v>
      </x:c>
      <x:c r="AP1849" s="32" t="n">
        <x:f>AP1848+AN1849-AO1849</x:f>
        <x:v>0</x:v>
      </x:c>
      <x:c r="AQ1849" s="32" t="n">
        <x:f>AM1849+AO1849</x:f>
        <x:v>0</x:v>
      </x:c>
      <x:c r="AR1849" s="10" t="n">
        <x:f>IF(H1849=1,INDEX(v01_Req,G1849),0)</x:f>
        <x:v>0</x:v>
      </x:c>
      <x:c r="AS1849" s="32" t="n">
        <x:f>IF(H1849=1,IF(E1849=1,AS1848-AR1848,AS1848)+AQ1849,0)</x:f>
        <x:v>0</x:v>
      </x:c>
      <x:c r="AT1849" s="11" t="n">
        <x:f>IF(AR1849&gt;0,MIN(1,AS1849/AR1849),1)</x:f>
        <x:v>1</x:v>
      </x:c>
      <x:c r="AU1849" s="10" t="n">
        <x:f>AB1849/INDEX(v01_RepScale,G1849)</x:f>
        <x:v>90.09519605746344</x:v>
      </x:c>
      <x:c r="AV1849" s="32" t="n">
        <x:f>AM1849*60/v01_SeasonSeconds</x:f>
        <x:v>0</x:v>
      </x:c>
    </x:row>
    <x:row r="1850">
      <x:c r="A1850" s="8" t="n">
        <x:f>A1849+1</x:f>
        <x:v>1847</x:v>
      </x:c>
      <x:c r="B1850" s="9" t="n">
        <x:f>A1850*v01_SeasonSeconds/60</x:f>
        <x:v>461.75</x:v>
      </x:c>
      <x:c r="C1850" s="9" t="n">
        <x:f>A1850/4</x:f>
        <x:v>461.75</x:v>
      </x:c>
      <x:c r="D1850" s="8" t="n">
        <x:f>IF(MOD(A1850,4)=0,1,0)</x:f>
        <x:v>0</x:v>
      </x:c>
      <x:c r="E1850" s="8" t="n">
        <x:f>IF(AND(F1849&lt;=9,AS1849&gt;=AR1849),1,0)</x:f>
        <x:v>0</x:v>
      </x:c>
      <x:c r="F1850" s="8" t="n">
        <x:f>MIN(10,F1849+E1850)</x:f>
        <x:v>10</x:v>
      </x:c>
      <x:c r="G1850" s="8" t="n">
        <x:f>MIN(F1850,9)+1</x:f>
        <x:v>10</x:v>
      </x:c>
      <x:c r="H1850" s="8" t="n">
        <x:f>IF(F1850&lt;=9,1,0)</x:f>
        <x:v>0</x:v>
      </x:c>
      <x:c r="I1850" s="9" t="n">
        <x:f>MIN(10,F1849+IF(AR1849&gt;0,MIN(1,AS1849/AR1849),1))</x:f>
        <x:v>10</x:v>
      </x:c>
      <x:c r="J1850" s="32" t="n">
        <x:f>INDEX(v01_FoodCap,G1850)*Arch_FoodCap*EXP(v01_CapsByProject*SUMPRODUCT((Cap_Point&lt;=I1850)*(Cap_Kind="Food")*Cap_Ln))</x:f>
        <x:v>12000</x:v>
      </x:c>
      <x:c r="K1850" s="32" t="n">
        <x:f>J1850*MIN(1,v01_LeanBase*EXP(v01_CapsByProject*SUMPRODUCT((Cap_Point&lt;=I1850)*(Cap_Kind="Lean")*Cap_Ln)))</x:f>
        <x:v>12000</x:v>
      </x:c>
      <x:c r="L1850" s="10" t="n">
        <x:f>INDEX(v01_HousingCap,G1850)*EXP(v01_CapsByProject*SUMPRODUCT((Cap_Point&lt;=I1850)*(Cap_Kind="Housing")*Cap_Ln))</x:f>
        <x:v>20000</x:v>
      </x:c>
      <x:c r="M1850" s="10" t="n">
        <x:f>INDEX(v01_GroupCap,G1850)*v01_CohesionFactor*EXP(v01_CapsByProject*SUMPRODUCT((Cap_Point&lt;=I1850)*(Cap_Kind="Group")*Cap_Ln))</x:f>
        <x:v>1000000</x:v>
      </x:c>
      <x:c r="N1850" s="32" t="n">
        <x:f>MIN(J1850,L1850,M1850)</x:f>
        <x:v>12000</x:v>
      </x:c>
      <x:c r="O1850" s="10" t="n">
        <x:f>AE1849*N1850</x:f>
        <x:v>180000</x:v>
      </x:c>
      <x:c r="P1850" s="9" t="n">
        <x:f>MIN(1,(AB1849/(AE1849*IF(v01_GroupInCrowding=1,N1850,MIN(J1850,L1850))))^v01_CrowdingExp)</x:f>
        <x:v>0.00024569414295285325</x:v>
      </x:c>
      <x:c r="Q1850" s="9" t="n">
        <x:f>IF(D1850=1,INDEX(v01_WinterMult,G1850),1)</x:f>
        <x:v>1</x:v>
      </x:c>
      <x:c r="R1850" s="9" t="n">
        <x:f>H1850*Z1849*v01_WomenShare*v01_BaseFertility*INDEX(v01_FertMult,G1850)*Arch_Fertility*(1-P1850)</x:f>
        <x:v>0</x:v>
      </x:c>
      <x:c r="S1850" s="9" t="n">
        <x:f>H1850*Y1849*INDEX(v01_MortChild,G1850)/4*Q1850</x:f>
        <x:v>0</x:v>
      </x:c>
      <x:c r="T1850" s="9" t="n">
        <x:f>H1850*Z1849*INDEX(v01_MortAdult,G1850)*Arch_AdultMort/4*Q1850</x:f>
        <x:v>0</x:v>
      </x:c>
      <x:c r="U1850" s="9" t="n">
        <x:f>H1850*AA1849*INDEX(v01_MortElder,G1850)/4*Q1850</x:f>
        <x:v>0</x:v>
      </x:c>
      <x:c r="V1850" s="9" t="n">
        <x:f>H1850*MAX(0,AB1849-O1850)*v01_OvercapLoss</x:f>
        <x:v>0</x:v>
      </x:c>
      <x:c r="W1850" s="9" t="n">
        <x:f>H1850*Y1849/(v01_ChildYears*4)</x:f>
        <x:v>0</x:v>
      </x:c>
      <x:c r="X1850" s="9" t="n">
        <x:f>H1850*Z1849/(v01_AdultYears*4)</x:f>
        <x:v>0</x:v>
      </x:c>
      <x:c r="Y1850" s="32" t="n">
        <x:f>Y1849+R1850-S1850-W1850-Y1849*V1850/AB1849</x:f>
        <x:v>14306.18539759397</x:v>
      </x:c>
      <x:c r="Z1850" s="32" t="n">
        <x:f>Z1849+W1850-X1850-T1850-Z1849*V1850/AB1849</x:f>
        <x:v>19354.456567879548</x:v>
      </x:c>
      <x:c r="AA1850" s="32" t="n">
        <x:f>AA1849+X1850-U1850-AA1849*V1850/AB1849</x:f>
        <x:v>11386.956063258198</x:v>
      </x:c>
      <x:c r="AB1850" s="10" t="n">
        <x:f>Y1850+Z1850+AA1850</x:f>
        <x:v>45047.59802873172</x:v>
      </x:c>
      <x:c r="AC1850" s="8" t="n">
        <x:f>IF(AND(v01_WinterTrigger=1,D1850=1,AB1849/AE1849&gt;=K1850),1,0)</x:f>
        <x:v>0</x:v>
      </x:c>
      <x:c r="AD1850" s="8" t="n">
        <x:f>H1850*IF(AND(OR(AB1849/AE1849&gt;=v01_FissionTrigger*N1850,AC1850=1),AB1849/AE1849*v01_DaughterShare&gt;=v01_MinDaughter),MAX(1,ROUND(AE1849*v01_FissionRate,0)),0)</x:f>
        <x:v>0</x:v>
      </x:c>
      <x:c r="AE1850" s="8" t="n">
        <x:f>IF(H1850=1,MAX(1,MIN(INDEX(v01_Smax,G1850),AE1849+AD1850)),AE1849)</x:f>
        <x:v>15</x:v>
      </x:c>
      <x:c r="AF1850" s="8" t="n">
        <x:f>MAX(0,AE1850-AE1849)</x:f>
        <x:v>0</x:v>
      </x:c>
      <x:c r="AG1850" s="9" t="str">
        <x:f>IF(AF1850&gt;0,B1850,"")</x:f>
      </x:c>
      <x:c r="AH1850" s="9" t="n">
        <x:f>IF(F1850&gt;=1,1,(1+v01_LowTiesShare*(AE1850-1))/AE1850)</x:f>
        <x:v>1</x:v>
      </x:c>
      <x:c r="AI1850" s="32" t="n">
        <x:f>(Z1850+v01_ElderCommons*INDEX(LM_Elder,G1850)*AA1850)*AH1850</x:f>
        <x:v>64139.732591141874</x:v>
      </x:c>
      <x:c r="AJ1850" s="32" t="n">
        <x:f>H1850*v01_CommonsCoef*AI1850^v01_CommonsExp*INDEX(LM_Commons,G1850)</x:f>
        <x:v>0</x:v>
      </x:c>
      <x:c r="AK1850" s="32" t="n">
        <x:f>H1850*v01_RoleScale*Arch_Roles*(AE1850*(INDEX(v01_ElderRolePerSett,G1850)*v01_OutElder*INDEX(LM_Elder,G1850)+INDEX(v01_ShamanPerSett,G1850)*v01_OutShaman)+Z1850*(INDEX(v01_PriestShare,G1850)*v01_OutPriest+INDEX(v01_ScribeShare,G1850)*v01_OutScribe*INDEX(LM_Scribe,G1850)+INDEX(v01_ScholarShare,G1850)*v01_OutScholar*INDEX(LM_Scholar,G1850)+INDEX(v01_ResearcherShare,G1850)*v01_OutResearcher*INDEX(LM_Researcher,G1850)))</x:f>
        <x:v>0</x:v>
      </x:c>
      <x:c r="AL1850" s="32" t="n">
        <x:f>H1850*v01_RoleScale*Arch_Roles*AE1850*INDEX(v01_MonasteryPerSett,G1850)*v01_OutMonastery*INDEX(LM_Monastery,G1850)</x:f>
        <x:v>0</x:v>
      </x:c>
      <x:c r="AM1850" s="32" t="n">
        <x:f>(AJ1850+AK1850+AL1850)/4*INDEX(LM_All,G1850)*INDEX(v01_Boon,G1850)*Arch_Insight</x:f>
        <x:v>0</x:v>
      </x:c>
      <x:c r="AN1850" s="32" t="n">
        <x:f>H1850*(v01_KHPerAdult*Z1850+v01_KHOfCommons*AJ1850/4*INDEX(LM_All,G1850))*v01_KHUsable*Arch_KH</x:f>
        <x:v>0</x:v>
      </x:c>
      <x:c r="AO1850" s="32" t="n">
        <x:f>MIN(AP1849+AN1850,AM1850*v01_KHMaxRatio)</x:f>
        <x:v>0</x:v>
      </x:c>
      <x:c r="AP1850" s="32" t="n">
        <x:f>AP1849+AN1850-AO1850</x:f>
        <x:v>0</x:v>
      </x:c>
      <x:c r="AQ1850" s="32" t="n">
        <x:f>AM1850+AO1850</x:f>
        <x:v>0</x:v>
      </x:c>
      <x:c r="AR1850" s="10" t="n">
        <x:f>IF(H1850=1,INDEX(v01_Req,G1850),0)</x:f>
        <x:v>0</x:v>
      </x:c>
      <x:c r="AS1850" s="32" t="n">
        <x:f>IF(H1850=1,IF(E1850=1,AS1849-AR1849,AS1849)+AQ1850,0)</x:f>
        <x:v>0</x:v>
      </x:c>
      <x:c r="AT1850" s="11" t="n">
        <x:f>IF(AR1850&gt;0,MIN(1,AS1850/AR1850),1)</x:f>
        <x:v>1</x:v>
      </x:c>
      <x:c r="AU1850" s="10" t="n">
        <x:f>AB1850/INDEX(v01_RepScale,G1850)</x:f>
        <x:v>90.09519605746344</x:v>
      </x:c>
      <x:c r="AV1850" s="32" t="n">
        <x:f>AM1850*60/v01_SeasonSeconds</x:f>
        <x:v>0</x:v>
      </x:c>
    </x:row>
    <x:row r="1851">
      <x:c r="A1851" s="8" t="n">
        <x:f>A1850+1</x:f>
        <x:v>1848</x:v>
      </x:c>
      <x:c r="B1851" s="9" t="n">
        <x:f>A1851*v01_SeasonSeconds/60</x:f>
        <x:v>462</x:v>
      </x:c>
      <x:c r="C1851" s="9" t="n">
        <x:f>A1851/4</x:f>
        <x:v>462</x:v>
      </x:c>
      <x:c r="D1851" s="8" t="n">
        <x:f>IF(MOD(A1851,4)=0,1,0)</x:f>
        <x:v>1</x:v>
      </x:c>
      <x:c r="E1851" s="8" t="n">
        <x:f>IF(AND(F1850&lt;=9,AS1850&gt;=AR1850),1,0)</x:f>
        <x:v>0</x:v>
      </x:c>
      <x:c r="F1851" s="8" t="n">
        <x:f>MIN(10,F1850+E1851)</x:f>
        <x:v>10</x:v>
      </x:c>
      <x:c r="G1851" s="8" t="n">
        <x:f>MIN(F1851,9)+1</x:f>
        <x:v>10</x:v>
      </x:c>
      <x:c r="H1851" s="8" t="n">
        <x:f>IF(F1851&lt;=9,1,0)</x:f>
        <x:v>0</x:v>
      </x:c>
      <x:c r="I1851" s="9" t="n">
        <x:f>MIN(10,F1850+IF(AR1850&gt;0,MIN(1,AS1850/AR1850),1))</x:f>
        <x:v>10</x:v>
      </x:c>
      <x:c r="J1851" s="32" t="n">
        <x:f>INDEX(v01_FoodCap,G1851)*Arch_FoodCap*EXP(v01_CapsByProject*SUMPRODUCT((Cap_Point&lt;=I1851)*(Cap_Kind="Food")*Cap_Ln))</x:f>
        <x:v>12000</x:v>
      </x:c>
      <x:c r="K1851" s="32" t="n">
        <x:f>J1851*MIN(1,v01_LeanBase*EXP(v01_CapsByProject*SUMPRODUCT((Cap_Point&lt;=I1851)*(Cap_Kind="Lean")*Cap_Ln)))</x:f>
        <x:v>12000</x:v>
      </x:c>
      <x:c r="L1851" s="10" t="n">
        <x:f>INDEX(v01_HousingCap,G1851)*EXP(v01_CapsByProject*SUMPRODUCT((Cap_Point&lt;=I1851)*(Cap_Kind="Housing")*Cap_Ln))</x:f>
        <x:v>20000</x:v>
      </x:c>
      <x:c r="M1851" s="10" t="n">
        <x:f>INDEX(v01_GroupCap,G1851)*v01_CohesionFactor*EXP(v01_CapsByProject*SUMPRODUCT((Cap_Point&lt;=I1851)*(Cap_Kind="Group")*Cap_Ln))</x:f>
        <x:v>1000000</x:v>
      </x:c>
      <x:c r="N1851" s="32" t="n">
        <x:f>MIN(J1851,L1851,M1851)</x:f>
        <x:v>12000</x:v>
      </x:c>
      <x:c r="O1851" s="10" t="n">
        <x:f>AE1850*N1851</x:f>
        <x:v>180000</x:v>
      </x:c>
      <x:c r="P1851" s="9" t="n">
        <x:f>MIN(1,(AB1850/(AE1850*IF(v01_GroupInCrowding=1,N1851,MIN(J1851,L1851))))^v01_CrowdingExp)</x:f>
        <x:v>0.00024569414295285325</x:v>
      </x:c>
      <x:c r="Q1851" s="9" t="n">
        <x:f>IF(D1851=1,INDEX(v01_WinterMult,G1851),1)</x:f>
        <x:v>1</x:v>
      </x:c>
      <x:c r="R1851" s="9" t="n">
        <x:f>H1851*Z1850*v01_WomenShare*v01_BaseFertility*INDEX(v01_FertMult,G1851)*Arch_Fertility*(1-P1851)</x:f>
        <x:v>0</x:v>
      </x:c>
      <x:c r="S1851" s="9" t="n">
        <x:f>H1851*Y1850*INDEX(v01_MortChild,G1851)/4*Q1851</x:f>
        <x:v>0</x:v>
      </x:c>
      <x:c r="T1851" s="9" t="n">
        <x:f>H1851*Z1850*INDEX(v01_MortAdult,G1851)*Arch_AdultMort/4*Q1851</x:f>
        <x:v>0</x:v>
      </x:c>
      <x:c r="U1851" s="9" t="n">
        <x:f>H1851*AA1850*INDEX(v01_MortElder,G1851)/4*Q1851</x:f>
        <x:v>0</x:v>
      </x:c>
      <x:c r="V1851" s="9" t="n">
        <x:f>H1851*MAX(0,AB1850-O1851)*v01_OvercapLoss</x:f>
        <x:v>0</x:v>
      </x:c>
      <x:c r="W1851" s="9" t="n">
        <x:f>H1851*Y1850/(v01_ChildYears*4)</x:f>
        <x:v>0</x:v>
      </x:c>
      <x:c r="X1851" s="9" t="n">
        <x:f>H1851*Z1850/(v01_AdultYears*4)</x:f>
        <x:v>0</x:v>
      </x:c>
      <x:c r="Y1851" s="32" t="n">
        <x:f>Y1850+R1851-S1851-W1851-Y1850*V1851/AB1850</x:f>
        <x:v>14306.18539759397</x:v>
      </x:c>
      <x:c r="Z1851" s="32" t="n">
        <x:f>Z1850+W1851-X1851-T1851-Z1850*V1851/AB1850</x:f>
        <x:v>19354.456567879548</x:v>
      </x:c>
      <x:c r="AA1851" s="32" t="n">
        <x:f>AA1850+X1851-U1851-AA1850*V1851/AB1850</x:f>
        <x:v>11386.956063258198</x:v>
      </x:c>
      <x:c r="AB1851" s="10" t="n">
        <x:f>Y1851+Z1851+AA1851</x:f>
        <x:v>45047.59802873172</x:v>
      </x:c>
      <x:c r="AC1851" s="8" t="n">
        <x:f>IF(AND(v01_WinterTrigger=1,D1851=1,AB1850/AE1850&gt;=K1851),1,0)</x:f>
        <x:v>0</x:v>
      </x:c>
      <x:c r="AD1851" s="8" t="n">
        <x:f>H1851*IF(AND(OR(AB1850/AE1850&gt;=v01_FissionTrigger*N1851,AC1851=1),AB1850/AE1850*v01_DaughterShare&gt;=v01_MinDaughter),MAX(1,ROUND(AE1850*v01_FissionRate,0)),0)</x:f>
        <x:v>0</x:v>
      </x:c>
      <x:c r="AE1851" s="8" t="n">
        <x:f>IF(H1851=1,MAX(1,MIN(INDEX(v01_Smax,G1851),AE1850+AD1851)),AE1850)</x:f>
        <x:v>15</x:v>
      </x:c>
      <x:c r="AF1851" s="8" t="n">
        <x:f>MAX(0,AE1851-AE1850)</x:f>
        <x:v>0</x:v>
      </x:c>
      <x:c r="AG1851" s="9" t="str">
        <x:f>IF(AF1851&gt;0,B1851,"")</x:f>
      </x:c>
      <x:c r="AH1851" s="9" t="n">
        <x:f>IF(F1851&gt;=1,1,(1+v01_LowTiesShare*(AE1851-1))/AE1851)</x:f>
        <x:v>1</x:v>
      </x:c>
      <x:c r="AI1851" s="32" t="n">
        <x:f>(Z1851+v01_ElderCommons*INDEX(LM_Elder,G1851)*AA1851)*AH1851</x:f>
        <x:v>64139.732591141874</x:v>
      </x:c>
      <x:c r="AJ1851" s="32" t="n">
        <x:f>H1851*v01_CommonsCoef*AI1851^v01_CommonsExp*INDEX(LM_Commons,G1851)</x:f>
        <x:v>0</x:v>
      </x:c>
      <x:c r="AK1851" s="32" t="n">
        <x:f>H1851*v01_RoleScale*Arch_Roles*(AE1851*(INDEX(v01_ElderRolePerSett,G1851)*v01_OutElder*INDEX(LM_Elder,G1851)+INDEX(v01_ShamanPerSett,G1851)*v01_OutShaman)+Z1851*(INDEX(v01_PriestShare,G1851)*v01_OutPriest+INDEX(v01_ScribeShare,G1851)*v01_OutScribe*INDEX(LM_Scribe,G1851)+INDEX(v01_ScholarShare,G1851)*v01_OutScholar*INDEX(LM_Scholar,G1851)+INDEX(v01_ResearcherShare,G1851)*v01_OutResearcher*INDEX(LM_Researcher,G1851)))</x:f>
        <x:v>0</x:v>
      </x:c>
      <x:c r="AL1851" s="32" t="n">
        <x:f>H1851*v01_RoleScale*Arch_Roles*AE1851*INDEX(v01_MonasteryPerSett,G1851)*v01_OutMonastery*INDEX(LM_Monastery,G1851)</x:f>
        <x:v>0</x:v>
      </x:c>
      <x:c r="AM1851" s="32" t="n">
        <x:f>(AJ1851+AK1851+AL1851)/4*INDEX(LM_All,G1851)*INDEX(v01_Boon,G1851)*Arch_Insight</x:f>
        <x:v>0</x:v>
      </x:c>
      <x:c r="AN1851" s="32" t="n">
        <x:f>H1851*(v01_KHPerAdult*Z1851+v01_KHOfCommons*AJ1851/4*INDEX(LM_All,G1851))*v01_KHUsable*Arch_KH</x:f>
        <x:v>0</x:v>
      </x:c>
      <x:c r="AO1851" s="32" t="n">
        <x:f>MIN(AP1850+AN1851,AM1851*v01_KHMaxRatio)</x:f>
        <x:v>0</x:v>
      </x:c>
      <x:c r="AP1851" s="32" t="n">
        <x:f>AP1850+AN1851-AO1851</x:f>
        <x:v>0</x:v>
      </x:c>
      <x:c r="AQ1851" s="32" t="n">
        <x:f>AM1851+AO1851</x:f>
        <x:v>0</x:v>
      </x:c>
      <x:c r="AR1851" s="10" t="n">
        <x:f>IF(H1851=1,INDEX(v01_Req,G1851),0)</x:f>
        <x:v>0</x:v>
      </x:c>
      <x:c r="AS1851" s="32" t="n">
        <x:f>IF(H1851=1,IF(E1851=1,AS1850-AR1850,AS1850)+AQ1851,0)</x:f>
        <x:v>0</x:v>
      </x:c>
      <x:c r="AT1851" s="11" t="n">
        <x:f>IF(AR1851&gt;0,MIN(1,AS1851/AR1851),1)</x:f>
        <x:v>1</x:v>
      </x:c>
      <x:c r="AU1851" s="10" t="n">
        <x:f>AB1851/INDEX(v01_RepScale,G1851)</x:f>
        <x:v>90.09519605746344</x:v>
      </x:c>
      <x:c r="AV1851" s="32" t="n">
        <x:f>AM1851*60/v01_SeasonSeconds</x:f>
        <x:v>0</x:v>
      </x:c>
    </x:row>
    <x:row r="1852">
      <x:c r="A1852" s="8" t="n">
        <x:f>A1851+1</x:f>
        <x:v>1849</x:v>
      </x:c>
      <x:c r="B1852" s="9" t="n">
        <x:f>A1852*v01_SeasonSeconds/60</x:f>
        <x:v>462.25</x:v>
      </x:c>
      <x:c r="C1852" s="9" t="n">
        <x:f>A1852/4</x:f>
        <x:v>462.25</x:v>
      </x:c>
      <x:c r="D1852" s="8" t="n">
        <x:f>IF(MOD(A1852,4)=0,1,0)</x:f>
        <x:v>0</x:v>
      </x:c>
      <x:c r="E1852" s="8" t="n">
        <x:f>IF(AND(F1851&lt;=9,AS1851&gt;=AR1851),1,0)</x:f>
        <x:v>0</x:v>
      </x:c>
      <x:c r="F1852" s="8" t="n">
        <x:f>MIN(10,F1851+E1852)</x:f>
        <x:v>10</x:v>
      </x:c>
      <x:c r="G1852" s="8" t="n">
        <x:f>MIN(F1852,9)+1</x:f>
        <x:v>10</x:v>
      </x:c>
      <x:c r="H1852" s="8" t="n">
        <x:f>IF(F1852&lt;=9,1,0)</x:f>
        <x:v>0</x:v>
      </x:c>
      <x:c r="I1852" s="9" t="n">
        <x:f>MIN(10,F1851+IF(AR1851&gt;0,MIN(1,AS1851/AR1851),1))</x:f>
        <x:v>10</x:v>
      </x:c>
      <x:c r="J1852" s="32" t="n">
        <x:f>INDEX(v01_FoodCap,G1852)*Arch_FoodCap*EXP(v01_CapsByProject*SUMPRODUCT((Cap_Point&lt;=I1852)*(Cap_Kind="Food")*Cap_Ln))</x:f>
        <x:v>12000</x:v>
      </x:c>
      <x:c r="K1852" s="32" t="n">
        <x:f>J1852*MIN(1,v01_LeanBase*EXP(v01_CapsByProject*SUMPRODUCT((Cap_Point&lt;=I1852)*(Cap_Kind="Lean")*Cap_Ln)))</x:f>
        <x:v>12000</x:v>
      </x:c>
      <x:c r="L1852" s="10" t="n">
        <x:f>INDEX(v01_HousingCap,G1852)*EXP(v01_CapsByProject*SUMPRODUCT((Cap_Point&lt;=I1852)*(Cap_Kind="Housing")*Cap_Ln))</x:f>
        <x:v>20000</x:v>
      </x:c>
      <x:c r="M1852" s="10" t="n">
        <x:f>INDEX(v01_GroupCap,G1852)*v01_CohesionFactor*EXP(v01_CapsByProject*SUMPRODUCT((Cap_Point&lt;=I1852)*(Cap_Kind="Group")*Cap_Ln))</x:f>
        <x:v>1000000</x:v>
      </x:c>
      <x:c r="N1852" s="32" t="n">
        <x:f>MIN(J1852,L1852,M1852)</x:f>
        <x:v>12000</x:v>
      </x:c>
      <x:c r="O1852" s="10" t="n">
        <x:f>AE1851*N1852</x:f>
        <x:v>180000</x:v>
      </x:c>
      <x:c r="P1852" s="9" t="n">
        <x:f>MIN(1,(AB1851/(AE1851*IF(v01_GroupInCrowding=1,N1852,MIN(J1852,L1852))))^v01_CrowdingExp)</x:f>
        <x:v>0.00024569414295285325</x:v>
      </x:c>
      <x:c r="Q1852" s="9" t="n">
        <x:f>IF(D1852=1,INDEX(v01_WinterMult,G1852),1)</x:f>
        <x:v>1</x:v>
      </x:c>
      <x:c r="R1852" s="9" t="n">
        <x:f>H1852*Z1851*v01_WomenShare*v01_BaseFertility*INDEX(v01_FertMult,G1852)*Arch_Fertility*(1-P1852)</x:f>
        <x:v>0</x:v>
      </x:c>
      <x:c r="S1852" s="9" t="n">
        <x:f>H1852*Y1851*INDEX(v01_MortChild,G1852)/4*Q1852</x:f>
        <x:v>0</x:v>
      </x:c>
      <x:c r="T1852" s="9" t="n">
        <x:f>H1852*Z1851*INDEX(v01_MortAdult,G1852)*Arch_AdultMort/4*Q1852</x:f>
        <x:v>0</x:v>
      </x:c>
      <x:c r="U1852" s="9" t="n">
        <x:f>H1852*AA1851*INDEX(v01_MortElder,G1852)/4*Q1852</x:f>
        <x:v>0</x:v>
      </x:c>
      <x:c r="V1852" s="9" t="n">
        <x:f>H1852*MAX(0,AB1851-O1852)*v01_OvercapLoss</x:f>
        <x:v>0</x:v>
      </x:c>
      <x:c r="W1852" s="9" t="n">
        <x:f>H1852*Y1851/(v01_ChildYears*4)</x:f>
        <x:v>0</x:v>
      </x:c>
      <x:c r="X1852" s="9" t="n">
        <x:f>H1852*Z1851/(v01_AdultYears*4)</x:f>
        <x:v>0</x:v>
      </x:c>
      <x:c r="Y1852" s="32" t="n">
        <x:f>Y1851+R1852-S1852-W1852-Y1851*V1852/AB1851</x:f>
        <x:v>14306.18539759397</x:v>
      </x:c>
      <x:c r="Z1852" s="32" t="n">
        <x:f>Z1851+W1852-X1852-T1852-Z1851*V1852/AB1851</x:f>
        <x:v>19354.456567879548</x:v>
      </x:c>
      <x:c r="AA1852" s="32" t="n">
        <x:f>AA1851+X1852-U1852-AA1851*V1852/AB1851</x:f>
        <x:v>11386.956063258198</x:v>
      </x:c>
      <x:c r="AB1852" s="10" t="n">
        <x:f>Y1852+Z1852+AA1852</x:f>
        <x:v>45047.59802873172</x:v>
      </x:c>
      <x:c r="AC1852" s="8" t="n">
        <x:f>IF(AND(v01_WinterTrigger=1,D1852=1,AB1851/AE1851&gt;=K1852),1,0)</x:f>
        <x:v>0</x:v>
      </x:c>
      <x:c r="AD1852" s="8" t="n">
        <x:f>H1852*IF(AND(OR(AB1851/AE1851&gt;=v01_FissionTrigger*N1852,AC1852=1),AB1851/AE1851*v01_DaughterShare&gt;=v01_MinDaughter),MAX(1,ROUND(AE1851*v01_FissionRate,0)),0)</x:f>
        <x:v>0</x:v>
      </x:c>
      <x:c r="AE1852" s="8" t="n">
        <x:f>IF(H1852=1,MAX(1,MIN(INDEX(v01_Smax,G1852),AE1851+AD1852)),AE1851)</x:f>
        <x:v>15</x:v>
      </x:c>
      <x:c r="AF1852" s="8" t="n">
        <x:f>MAX(0,AE1852-AE1851)</x:f>
        <x:v>0</x:v>
      </x:c>
      <x:c r="AG1852" s="9" t="str">
        <x:f>IF(AF1852&gt;0,B1852,"")</x:f>
      </x:c>
      <x:c r="AH1852" s="9" t="n">
        <x:f>IF(F1852&gt;=1,1,(1+v01_LowTiesShare*(AE1852-1))/AE1852)</x:f>
        <x:v>1</x:v>
      </x:c>
      <x:c r="AI1852" s="32" t="n">
        <x:f>(Z1852+v01_ElderCommons*INDEX(LM_Elder,G1852)*AA1852)*AH1852</x:f>
        <x:v>64139.732591141874</x:v>
      </x:c>
      <x:c r="AJ1852" s="32" t="n">
        <x:f>H1852*v01_CommonsCoef*AI1852^v01_CommonsExp*INDEX(LM_Commons,G1852)</x:f>
        <x:v>0</x:v>
      </x:c>
      <x:c r="AK1852" s="32" t="n">
        <x:f>H1852*v01_RoleScale*Arch_Roles*(AE1852*(INDEX(v01_ElderRolePerSett,G1852)*v01_OutElder*INDEX(LM_Elder,G1852)+INDEX(v01_ShamanPerSett,G1852)*v01_OutShaman)+Z1852*(INDEX(v01_PriestShare,G1852)*v01_OutPriest+INDEX(v01_ScribeShare,G1852)*v01_OutScribe*INDEX(LM_Scribe,G1852)+INDEX(v01_ScholarShare,G1852)*v01_OutScholar*INDEX(LM_Scholar,G1852)+INDEX(v01_ResearcherShare,G1852)*v01_OutResearcher*INDEX(LM_Researcher,G1852)))</x:f>
        <x:v>0</x:v>
      </x:c>
      <x:c r="AL1852" s="32" t="n">
        <x:f>H1852*v01_RoleScale*Arch_Roles*AE1852*INDEX(v01_MonasteryPerSett,G1852)*v01_OutMonastery*INDEX(LM_Monastery,G1852)</x:f>
        <x:v>0</x:v>
      </x:c>
      <x:c r="AM1852" s="32" t="n">
        <x:f>(AJ1852+AK1852+AL1852)/4*INDEX(LM_All,G1852)*INDEX(v01_Boon,G1852)*Arch_Insight</x:f>
        <x:v>0</x:v>
      </x:c>
      <x:c r="AN1852" s="32" t="n">
        <x:f>H1852*(v01_KHPerAdult*Z1852+v01_KHOfCommons*AJ1852/4*INDEX(LM_All,G1852))*v01_KHUsable*Arch_KH</x:f>
        <x:v>0</x:v>
      </x:c>
      <x:c r="AO1852" s="32" t="n">
        <x:f>MIN(AP1851+AN1852,AM1852*v01_KHMaxRatio)</x:f>
        <x:v>0</x:v>
      </x:c>
      <x:c r="AP1852" s="32" t="n">
        <x:f>AP1851+AN1852-AO1852</x:f>
        <x:v>0</x:v>
      </x:c>
      <x:c r="AQ1852" s="32" t="n">
        <x:f>AM1852+AO1852</x:f>
        <x:v>0</x:v>
      </x:c>
      <x:c r="AR1852" s="10" t="n">
        <x:f>IF(H1852=1,INDEX(v01_Req,G1852),0)</x:f>
        <x:v>0</x:v>
      </x:c>
      <x:c r="AS1852" s="32" t="n">
        <x:f>IF(H1852=1,IF(E1852=1,AS1851-AR1851,AS1851)+AQ1852,0)</x:f>
        <x:v>0</x:v>
      </x:c>
      <x:c r="AT1852" s="11" t="n">
        <x:f>IF(AR1852&gt;0,MIN(1,AS1852/AR1852),1)</x:f>
        <x:v>1</x:v>
      </x:c>
      <x:c r="AU1852" s="10" t="n">
        <x:f>AB1852/INDEX(v01_RepScale,G1852)</x:f>
        <x:v>90.09519605746344</x:v>
      </x:c>
      <x:c r="AV1852" s="32" t="n">
        <x:f>AM1852*60/v01_SeasonSeconds</x:f>
        <x:v>0</x:v>
      </x:c>
    </x:row>
    <x:row r="1853">
      <x:c r="A1853" s="8" t="n">
        <x:f>A1852+1</x:f>
        <x:v>1850</x:v>
      </x:c>
      <x:c r="B1853" s="9" t="n">
        <x:f>A1853*v01_SeasonSeconds/60</x:f>
        <x:v>462.5</x:v>
      </x:c>
      <x:c r="C1853" s="9" t="n">
        <x:f>A1853/4</x:f>
        <x:v>462.5</x:v>
      </x:c>
      <x:c r="D1853" s="8" t="n">
        <x:f>IF(MOD(A1853,4)=0,1,0)</x:f>
        <x:v>0</x:v>
      </x:c>
      <x:c r="E1853" s="8" t="n">
        <x:f>IF(AND(F1852&lt;=9,AS1852&gt;=AR1852),1,0)</x:f>
        <x:v>0</x:v>
      </x:c>
      <x:c r="F1853" s="8" t="n">
        <x:f>MIN(10,F1852+E1853)</x:f>
        <x:v>10</x:v>
      </x:c>
      <x:c r="G1853" s="8" t="n">
        <x:f>MIN(F1853,9)+1</x:f>
        <x:v>10</x:v>
      </x:c>
      <x:c r="H1853" s="8" t="n">
        <x:f>IF(F1853&lt;=9,1,0)</x:f>
        <x:v>0</x:v>
      </x:c>
      <x:c r="I1853" s="9" t="n">
        <x:f>MIN(10,F1852+IF(AR1852&gt;0,MIN(1,AS1852/AR1852),1))</x:f>
        <x:v>10</x:v>
      </x:c>
      <x:c r="J1853" s="32" t="n">
        <x:f>INDEX(v01_FoodCap,G1853)*Arch_FoodCap*EXP(v01_CapsByProject*SUMPRODUCT((Cap_Point&lt;=I1853)*(Cap_Kind="Food")*Cap_Ln))</x:f>
        <x:v>12000</x:v>
      </x:c>
      <x:c r="K1853" s="32" t="n">
        <x:f>J1853*MIN(1,v01_LeanBase*EXP(v01_CapsByProject*SUMPRODUCT((Cap_Point&lt;=I1853)*(Cap_Kind="Lean")*Cap_Ln)))</x:f>
        <x:v>12000</x:v>
      </x:c>
      <x:c r="L1853" s="10" t="n">
        <x:f>INDEX(v01_HousingCap,G1853)*EXP(v01_CapsByProject*SUMPRODUCT((Cap_Point&lt;=I1853)*(Cap_Kind="Housing")*Cap_Ln))</x:f>
        <x:v>20000</x:v>
      </x:c>
      <x:c r="M1853" s="10" t="n">
        <x:f>INDEX(v01_GroupCap,G1853)*v01_CohesionFactor*EXP(v01_CapsByProject*SUMPRODUCT((Cap_Point&lt;=I1853)*(Cap_Kind="Group")*Cap_Ln))</x:f>
        <x:v>1000000</x:v>
      </x:c>
      <x:c r="N1853" s="32" t="n">
        <x:f>MIN(J1853,L1853,M1853)</x:f>
        <x:v>12000</x:v>
      </x:c>
      <x:c r="O1853" s="10" t="n">
        <x:f>AE1852*N1853</x:f>
        <x:v>180000</x:v>
      </x:c>
      <x:c r="P1853" s="9" t="n">
        <x:f>MIN(1,(AB1852/(AE1852*IF(v01_GroupInCrowding=1,N1853,MIN(J1853,L1853))))^v01_CrowdingExp)</x:f>
        <x:v>0.00024569414295285325</x:v>
      </x:c>
      <x:c r="Q1853" s="9" t="n">
        <x:f>IF(D1853=1,INDEX(v01_WinterMult,G1853),1)</x:f>
        <x:v>1</x:v>
      </x:c>
      <x:c r="R1853" s="9" t="n">
        <x:f>H1853*Z1852*v01_WomenShare*v01_BaseFertility*INDEX(v01_FertMult,G1853)*Arch_Fertility*(1-P1853)</x:f>
        <x:v>0</x:v>
      </x:c>
      <x:c r="S1853" s="9" t="n">
        <x:f>H1853*Y1852*INDEX(v01_MortChild,G1853)/4*Q1853</x:f>
        <x:v>0</x:v>
      </x:c>
      <x:c r="T1853" s="9" t="n">
        <x:f>H1853*Z1852*INDEX(v01_MortAdult,G1853)*Arch_AdultMort/4*Q1853</x:f>
        <x:v>0</x:v>
      </x:c>
      <x:c r="U1853" s="9" t="n">
        <x:f>H1853*AA1852*INDEX(v01_MortElder,G1853)/4*Q1853</x:f>
        <x:v>0</x:v>
      </x:c>
      <x:c r="V1853" s="9" t="n">
        <x:f>H1853*MAX(0,AB1852-O1853)*v01_OvercapLoss</x:f>
        <x:v>0</x:v>
      </x:c>
      <x:c r="W1853" s="9" t="n">
        <x:f>H1853*Y1852/(v01_ChildYears*4)</x:f>
        <x:v>0</x:v>
      </x:c>
      <x:c r="X1853" s="9" t="n">
        <x:f>H1853*Z1852/(v01_AdultYears*4)</x:f>
        <x:v>0</x:v>
      </x:c>
      <x:c r="Y1853" s="32" t="n">
        <x:f>Y1852+R1853-S1853-W1853-Y1852*V1853/AB1852</x:f>
        <x:v>14306.18539759397</x:v>
      </x:c>
      <x:c r="Z1853" s="32" t="n">
        <x:f>Z1852+W1853-X1853-T1853-Z1852*V1853/AB1852</x:f>
        <x:v>19354.456567879548</x:v>
      </x:c>
      <x:c r="AA1853" s="32" t="n">
        <x:f>AA1852+X1853-U1853-AA1852*V1853/AB1852</x:f>
        <x:v>11386.956063258198</x:v>
      </x:c>
      <x:c r="AB1853" s="10" t="n">
        <x:f>Y1853+Z1853+AA1853</x:f>
        <x:v>45047.59802873172</x:v>
      </x:c>
      <x:c r="AC1853" s="8" t="n">
        <x:f>IF(AND(v01_WinterTrigger=1,D1853=1,AB1852/AE1852&gt;=K1853),1,0)</x:f>
        <x:v>0</x:v>
      </x:c>
      <x:c r="AD1853" s="8" t="n">
        <x:f>H1853*IF(AND(OR(AB1852/AE1852&gt;=v01_FissionTrigger*N1853,AC1853=1),AB1852/AE1852*v01_DaughterShare&gt;=v01_MinDaughter),MAX(1,ROUND(AE1852*v01_FissionRate,0)),0)</x:f>
        <x:v>0</x:v>
      </x:c>
      <x:c r="AE1853" s="8" t="n">
        <x:f>IF(H1853=1,MAX(1,MIN(INDEX(v01_Smax,G1853),AE1852+AD1853)),AE1852)</x:f>
        <x:v>15</x:v>
      </x:c>
      <x:c r="AF1853" s="8" t="n">
        <x:f>MAX(0,AE1853-AE1852)</x:f>
        <x:v>0</x:v>
      </x:c>
      <x:c r="AG1853" s="9" t="str">
        <x:f>IF(AF1853&gt;0,B1853,"")</x:f>
      </x:c>
      <x:c r="AH1853" s="9" t="n">
        <x:f>IF(F1853&gt;=1,1,(1+v01_LowTiesShare*(AE1853-1))/AE1853)</x:f>
        <x:v>1</x:v>
      </x:c>
      <x:c r="AI1853" s="32" t="n">
        <x:f>(Z1853+v01_ElderCommons*INDEX(LM_Elder,G1853)*AA1853)*AH1853</x:f>
        <x:v>64139.732591141874</x:v>
      </x:c>
      <x:c r="AJ1853" s="32" t="n">
        <x:f>H1853*v01_CommonsCoef*AI1853^v01_CommonsExp*INDEX(LM_Commons,G1853)</x:f>
        <x:v>0</x:v>
      </x:c>
      <x:c r="AK1853" s="32" t="n">
        <x:f>H1853*v01_RoleScale*Arch_Roles*(AE1853*(INDEX(v01_ElderRolePerSett,G1853)*v01_OutElder*INDEX(LM_Elder,G1853)+INDEX(v01_ShamanPerSett,G1853)*v01_OutShaman)+Z1853*(INDEX(v01_PriestShare,G1853)*v01_OutPriest+INDEX(v01_ScribeShare,G1853)*v01_OutScribe*INDEX(LM_Scribe,G1853)+INDEX(v01_ScholarShare,G1853)*v01_OutScholar*INDEX(LM_Scholar,G1853)+INDEX(v01_ResearcherShare,G1853)*v01_OutResearcher*INDEX(LM_Researcher,G1853)))</x:f>
        <x:v>0</x:v>
      </x:c>
      <x:c r="AL1853" s="32" t="n">
        <x:f>H1853*v01_RoleScale*Arch_Roles*AE1853*INDEX(v01_MonasteryPerSett,G1853)*v01_OutMonastery*INDEX(LM_Monastery,G1853)</x:f>
        <x:v>0</x:v>
      </x:c>
      <x:c r="AM1853" s="32" t="n">
        <x:f>(AJ1853+AK1853+AL1853)/4*INDEX(LM_All,G1853)*INDEX(v01_Boon,G1853)*Arch_Insight</x:f>
        <x:v>0</x:v>
      </x:c>
      <x:c r="AN1853" s="32" t="n">
        <x:f>H1853*(v01_KHPerAdult*Z1853+v01_KHOfCommons*AJ1853/4*INDEX(LM_All,G1853))*v01_KHUsable*Arch_KH</x:f>
        <x:v>0</x:v>
      </x:c>
      <x:c r="AO1853" s="32" t="n">
        <x:f>MIN(AP1852+AN1853,AM1853*v01_KHMaxRatio)</x:f>
        <x:v>0</x:v>
      </x:c>
      <x:c r="AP1853" s="32" t="n">
        <x:f>AP1852+AN1853-AO1853</x:f>
        <x:v>0</x:v>
      </x:c>
      <x:c r="AQ1853" s="32" t="n">
        <x:f>AM1853+AO1853</x:f>
        <x:v>0</x:v>
      </x:c>
      <x:c r="AR1853" s="10" t="n">
        <x:f>IF(H1853=1,INDEX(v01_Req,G1853),0)</x:f>
        <x:v>0</x:v>
      </x:c>
      <x:c r="AS1853" s="32" t="n">
        <x:f>IF(H1853=1,IF(E1853=1,AS1852-AR1852,AS1852)+AQ1853,0)</x:f>
        <x:v>0</x:v>
      </x:c>
      <x:c r="AT1853" s="11" t="n">
        <x:f>IF(AR1853&gt;0,MIN(1,AS1853/AR1853),1)</x:f>
        <x:v>1</x:v>
      </x:c>
      <x:c r="AU1853" s="10" t="n">
        <x:f>AB1853/INDEX(v01_RepScale,G1853)</x:f>
        <x:v>90.09519605746344</x:v>
      </x:c>
      <x:c r="AV1853" s="32" t="n">
        <x:f>AM1853*60/v01_SeasonSeconds</x:f>
        <x:v>0</x:v>
      </x:c>
    </x:row>
    <x:row r="1854">
      <x:c r="A1854" s="8" t="n">
        <x:f>A1853+1</x:f>
        <x:v>1851</x:v>
      </x:c>
      <x:c r="B1854" s="9" t="n">
        <x:f>A1854*v01_SeasonSeconds/60</x:f>
        <x:v>462.75</x:v>
      </x:c>
      <x:c r="C1854" s="9" t="n">
        <x:f>A1854/4</x:f>
        <x:v>462.75</x:v>
      </x:c>
      <x:c r="D1854" s="8" t="n">
        <x:f>IF(MOD(A1854,4)=0,1,0)</x:f>
        <x:v>0</x:v>
      </x:c>
      <x:c r="E1854" s="8" t="n">
        <x:f>IF(AND(F1853&lt;=9,AS1853&gt;=AR1853),1,0)</x:f>
        <x:v>0</x:v>
      </x:c>
      <x:c r="F1854" s="8" t="n">
        <x:f>MIN(10,F1853+E1854)</x:f>
        <x:v>10</x:v>
      </x:c>
      <x:c r="G1854" s="8" t="n">
        <x:f>MIN(F1854,9)+1</x:f>
        <x:v>10</x:v>
      </x:c>
      <x:c r="H1854" s="8" t="n">
        <x:f>IF(F1854&lt;=9,1,0)</x:f>
        <x:v>0</x:v>
      </x:c>
      <x:c r="I1854" s="9" t="n">
        <x:f>MIN(10,F1853+IF(AR1853&gt;0,MIN(1,AS1853/AR1853),1))</x:f>
        <x:v>10</x:v>
      </x:c>
      <x:c r="J1854" s="32" t="n">
        <x:f>INDEX(v01_FoodCap,G1854)*Arch_FoodCap*EXP(v01_CapsByProject*SUMPRODUCT((Cap_Point&lt;=I1854)*(Cap_Kind="Food")*Cap_Ln))</x:f>
        <x:v>12000</x:v>
      </x:c>
      <x:c r="K1854" s="32" t="n">
        <x:f>J1854*MIN(1,v01_LeanBase*EXP(v01_CapsByProject*SUMPRODUCT((Cap_Point&lt;=I1854)*(Cap_Kind="Lean")*Cap_Ln)))</x:f>
        <x:v>12000</x:v>
      </x:c>
      <x:c r="L1854" s="10" t="n">
        <x:f>INDEX(v01_HousingCap,G1854)*EXP(v01_CapsByProject*SUMPRODUCT((Cap_Point&lt;=I1854)*(Cap_Kind="Housing")*Cap_Ln))</x:f>
        <x:v>20000</x:v>
      </x:c>
      <x:c r="M1854" s="10" t="n">
        <x:f>INDEX(v01_GroupCap,G1854)*v01_CohesionFactor*EXP(v01_CapsByProject*SUMPRODUCT((Cap_Point&lt;=I1854)*(Cap_Kind="Group")*Cap_Ln))</x:f>
        <x:v>1000000</x:v>
      </x:c>
      <x:c r="N1854" s="32" t="n">
        <x:f>MIN(J1854,L1854,M1854)</x:f>
        <x:v>12000</x:v>
      </x:c>
      <x:c r="O1854" s="10" t="n">
        <x:f>AE1853*N1854</x:f>
        <x:v>180000</x:v>
      </x:c>
      <x:c r="P1854" s="9" t="n">
        <x:f>MIN(1,(AB1853/(AE1853*IF(v01_GroupInCrowding=1,N1854,MIN(J1854,L1854))))^v01_CrowdingExp)</x:f>
        <x:v>0.00024569414295285325</x:v>
      </x:c>
      <x:c r="Q1854" s="9" t="n">
        <x:f>IF(D1854=1,INDEX(v01_WinterMult,G1854),1)</x:f>
        <x:v>1</x:v>
      </x:c>
      <x:c r="R1854" s="9" t="n">
        <x:f>H1854*Z1853*v01_WomenShare*v01_BaseFertility*INDEX(v01_FertMult,G1854)*Arch_Fertility*(1-P1854)</x:f>
        <x:v>0</x:v>
      </x:c>
      <x:c r="S1854" s="9" t="n">
        <x:f>H1854*Y1853*INDEX(v01_MortChild,G1854)/4*Q1854</x:f>
        <x:v>0</x:v>
      </x:c>
      <x:c r="T1854" s="9" t="n">
        <x:f>H1854*Z1853*INDEX(v01_MortAdult,G1854)*Arch_AdultMort/4*Q1854</x:f>
        <x:v>0</x:v>
      </x:c>
      <x:c r="U1854" s="9" t="n">
        <x:f>H1854*AA1853*INDEX(v01_MortElder,G1854)/4*Q1854</x:f>
        <x:v>0</x:v>
      </x:c>
      <x:c r="V1854" s="9" t="n">
        <x:f>H1854*MAX(0,AB1853-O1854)*v01_OvercapLoss</x:f>
        <x:v>0</x:v>
      </x:c>
      <x:c r="W1854" s="9" t="n">
        <x:f>H1854*Y1853/(v01_ChildYears*4)</x:f>
        <x:v>0</x:v>
      </x:c>
      <x:c r="X1854" s="9" t="n">
        <x:f>H1854*Z1853/(v01_AdultYears*4)</x:f>
        <x:v>0</x:v>
      </x:c>
      <x:c r="Y1854" s="32" t="n">
        <x:f>Y1853+R1854-S1854-W1854-Y1853*V1854/AB1853</x:f>
        <x:v>14306.18539759397</x:v>
      </x:c>
      <x:c r="Z1854" s="32" t="n">
        <x:f>Z1853+W1854-X1854-T1854-Z1853*V1854/AB1853</x:f>
        <x:v>19354.456567879548</x:v>
      </x:c>
      <x:c r="AA1854" s="32" t="n">
        <x:f>AA1853+X1854-U1854-AA1853*V1854/AB1853</x:f>
        <x:v>11386.956063258198</x:v>
      </x:c>
      <x:c r="AB1854" s="10" t="n">
        <x:f>Y1854+Z1854+AA1854</x:f>
        <x:v>45047.59802873172</x:v>
      </x:c>
      <x:c r="AC1854" s="8" t="n">
        <x:f>IF(AND(v01_WinterTrigger=1,D1854=1,AB1853/AE1853&gt;=K1854),1,0)</x:f>
        <x:v>0</x:v>
      </x:c>
      <x:c r="AD1854" s="8" t="n">
        <x:f>H1854*IF(AND(OR(AB1853/AE1853&gt;=v01_FissionTrigger*N1854,AC1854=1),AB1853/AE1853*v01_DaughterShare&gt;=v01_MinDaughter),MAX(1,ROUND(AE1853*v01_FissionRate,0)),0)</x:f>
        <x:v>0</x:v>
      </x:c>
      <x:c r="AE1854" s="8" t="n">
        <x:f>IF(H1854=1,MAX(1,MIN(INDEX(v01_Smax,G1854),AE1853+AD1854)),AE1853)</x:f>
        <x:v>15</x:v>
      </x:c>
      <x:c r="AF1854" s="8" t="n">
        <x:f>MAX(0,AE1854-AE1853)</x:f>
        <x:v>0</x:v>
      </x:c>
      <x:c r="AG1854" s="9" t="str">
        <x:f>IF(AF1854&gt;0,B1854,"")</x:f>
      </x:c>
      <x:c r="AH1854" s="9" t="n">
        <x:f>IF(F1854&gt;=1,1,(1+v01_LowTiesShare*(AE1854-1))/AE1854)</x:f>
        <x:v>1</x:v>
      </x:c>
      <x:c r="AI1854" s="32" t="n">
        <x:f>(Z1854+v01_ElderCommons*INDEX(LM_Elder,G1854)*AA1854)*AH1854</x:f>
        <x:v>64139.732591141874</x:v>
      </x:c>
      <x:c r="AJ1854" s="32" t="n">
        <x:f>H1854*v01_CommonsCoef*AI1854^v01_CommonsExp*INDEX(LM_Commons,G1854)</x:f>
        <x:v>0</x:v>
      </x:c>
      <x:c r="AK1854" s="32" t="n">
        <x:f>H1854*v01_RoleScale*Arch_Roles*(AE1854*(INDEX(v01_ElderRolePerSett,G1854)*v01_OutElder*INDEX(LM_Elder,G1854)+INDEX(v01_ShamanPerSett,G1854)*v01_OutShaman)+Z1854*(INDEX(v01_PriestShare,G1854)*v01_OutPriest+INDEX(v01_ScribeShare,G1854)*v01_OutScribe*INDEX(LM_Scribe,G1854)+INDEX(v01_ScholarShare,G1854)*v01_OutScholar*INDEX(LM_Scholar,G1854)+INDEX(v01_ResearcherShare,G1854)*v01_OutResearcher*INDEX(LM_Researcher,G1854)))</x:f>
        <x:v>0</x:v>
      </x:c>
      <x:c r="AL1854" s="32" t="n">
        <x:f>H1854*v01_RoleScale*Arch_Roles*AE1854*INDEX(v01_MonasteryPerSett,G1854)*v01_OutMonastery*INDEX(LM_Monastery,G1854)</x:f>
        <x:v>0</x:v>
      </x:c>
      <x:c r="AM1854" s="32" t="n">
        <x:f>(AJ1854+AK1854+AL1854)/4*INDEX(LM_All,G1854)*INDEX(v01_Boon,G1854)*Arch_Insight</x:f>
        <x:v>0</x:v>
      </x:c>
      <x:c r="AN1854" s="32" t="n">
        <x:f>H1854*(v01_KHPerAdult*Z1854+v01_KHOfCommons*AJ1854/4*INDEX(LM_All,G1854))*v01_KHUsable*Arch_KH</x:f>
        <x:v>0</x:v>
      </x:c>
      <x:c r="AO1854" s="32" t="n">
        <x:f>MIN(AP1853+AN1854,AM1854*v01_KHMaxRatio)</x:f>
        <x:v>0</x:v>
      </x:c>
      <x:c r="AP1854" s="32" t="n">
        <x:f>AP1853+AN1854-AO1854</x:f>
        <x:v>0</x:v>
      </x:c>
      <x:c r="AQ1854" s="32" t="n">
        <x:f>AM1854+AO1854</x:f>
        <x:v>0</x:v>
      </x:c>
      <x:c r="AR1854" s="10" t="n">
        <x:f>IF(H1854=1,INDEX(v01_Req,G1854),0)</x:f>
        <x:v>0</x:v>
      </x:c>
      <x:c r="AS1854" s="32" t="n">
        <x:f>IF(H1854=1,IF(E1854=1,AS1853-AR1853,AS1853)+AQ1854,0)</x:f>
        <x:v>0</x:v>
      </x:c>
      <x:c r="AT1854" s="11" t="n">
        <x:f>IF(AR1854&gt;0,MIN(1,AS1854/AR1854),1)</x:f>
        <x:v>1</x:v>
      </x:c>
      <x:c r="AU1854" s="10" t="n">
        <x:f>AB1854/INDEX(v01_RepScale,G1854)</x:f>
        <x:v>90.09519605746344</x:v>
      </x:c>
      <x:c r="AV1854" s="32" t="n">
        <x:f>AM1854*60/v01_SeasonSeconds</x:f>
        <x:v>0</x:v>
      </x:c>
    </x:row>
    <x:row r="1855">
      <x:c r="A1855" s="8" t="n">
        <x:f>A1854+1</x:f>
        <x:v>1852</x:v>
      </x:c>
      <x:c r="B1855" s="9" t="n">
        <x:f>A1855*v01_SeasonSeconds/60</x:f>
        <x:v>463</x:v>
      </x:c>
      <x:c r="C1855" s="9" t="n">
        <x:f>A1855/4</x:f>
        <x:v>463</x:v>
      </x:c>
      <x:c r="D1855" s="8" t="n">
        <x:f>IF(MOD(A1855,4)=0,1,0)</x:f>
        <x:v>1</x:v>
      </x:c>
      <x:c r="E1855" s="8" t="n">
        <x:f>IF(AND(F1854&lt;=9,AS1854&gt;=AR1854),1,0)</x:f>
        <x:v>0</x:v>
      </x:c>
      <x:c r="F1855" s="8" t="n">
        <x:f>MIN(10,F1854+E1855)</x:f>
        <x:v>10</x:v>
      </x:c>
      <x:c r="G1855" s="8" t="n">
        <x:f>MIN(F1855,9)+1</x:f>
        <x:v>10</x:v>
      </x:c>
      <x:c r="H1855" s="8" t="n">
        <x:f>IF(F1855&lt;=9,1,0)</x:f>
        <x:v>0</x:v>
      </x:c>
      <x:c r="I1855" s="9" t="n">
        <x:f>MIN(10,F1854+IF(AR1854&gt;0,MIN(1,AS1854/AR1854),1))</x:f>
        <x:v>10</x:v>
      </x:c>
      <x:c r="J1855" s="32" t="n">
        <x:f>INDEX(v01_FoodCap,G1855)*Arch_FoodCap*EXP(v01_CapsByProject*SUMPRODUCT((Cap_Point&lt;=I1855)*(Cap_Kind="Food")*Cap_Ln))</x:f>
        <x:v>12000</x:v>
      </x:c>
      <x:c r="K1855" s="32" t="n">
        <x:f>J1855*MIN(1,v01_LeanBase*EXP(v01_CapsByProject*SUMPRODUCT((Cap_Point&lt;=I1855)*(Cap_Kind="Lean")*Cap_Ln)))</x:f>
        <x:v>12000</x:v>
      </x:c>
      <x:c r="L1855" s="10" t="n">
        <x:f>INDEX(v01_HousingCap,G1855)*EXP(v01_CapsByProject*SUMPRODUCT((Cap_Point&lt;=I1855)*(Cap_Kind="Housing")*Cap_Ln))</x:f>
        <x:v>20000</x:v>
      </x:c>
      <x:c r="M1855" s="10" t="n">
        <x:f>INDEX(v01_GroupCap,G1855)*v01_CohesionFactor*EXP(v01_CapsByProject*SUMPRODUCT((Cap_Point&lt;=I1855)*(Cap_Kind="Group")*Cap_Ln))</x:f>
        <x:v>1000000</x:v>
      </x:c>
      <x:c r="N1855" s="32" t="n">
        <x:f>MIN(J1855,L1855,M1855)</x:f>
        <x:v>12000</x:v>
      </x:c>
      <x:c r="O1855" s="10" t="n">
        <x:f>AE1854*N1855</x:f>
        <x:v>180000</x:v>
      </x:c>
      <x:c r="P1855" s="9" t="n">
        <x:f>MIN(1,(AB1854/(AE1854*IF(v01_GroupInCrowding=1,N1855,MIN(J1855,L1855))))^v01_CrowdingExp)</x:f>
        <x:v>0.00024569414295285325</x:v>
      </x:c>
      <x:c r="Q1855" s="9" t="n">
        <x:f>IF(D1855=1,INDEX(v01_WinterMult,G1855),1)</x:f>
        <x:v>1</x:v>
      </x:c>
      <x:c r="R1855" s="9" t="n">
        <x:f>H1855*Z1854*v01_WomenShare*v01_BaseFertility*INDEX(v01_FertMult,G1855)*Arch_Fertility*(1-P1855)</x:f>
        <x:v>0</x:v>
      </x:c>
      <x:c r="S1855" s="9" t="n">
        <x:f>H1855*Y1854*INDEX(v01_MortChild,G1855)/4*Q1855</x:f>
        <x:v>0</x:v>
      </x:c>
      <x:c r="T1855" s="9" t="n">
        <x:f>H1855*Z1854*INDEX(v01_MortAdult,G1855)*Arch_AdultMort/4*Q1855</x:f>
        <x:v>0</x:v>
      </x:c>
      <x:c r="U1855" s="9" t="n">
        <x:f>H1855*AA1854*INDEX(v01_MortElder,G1855)/4*Q1855</x:f>
        <x:v>0</x:v>
      </x:c>
      <x:c r="V1855" s="9" t="n">
        <x:f>H1855*MAX(0,AB1854-O1855)*v01_OvercapLoss</x:f>
        <x:v>0</x:v>
      </x:c>
      <x:c r="W1855" s="9" t="n">
        <x:f>H1855*Y1854/(v01_ChildYears*4)</x:f>
        <x:v>0</x:v>
      </x:c>
      <x:c r="X1855" s="9" t="n">
        <x:f>H1855*Z1854/(v01_AdultYears*4)</x:f>
        <x:v>0</x:v>
      </x:c>
      <x:c r="Y1855" s="32" t="n">
        <x:f>Y1854+R1855-S1855-W1855-Y1854*V1855/AB1854</x:f>
        <x:v>14306.18539759397</x:v>
      </x:c>
      <x:c r="Z1855" s="32" t="n">
        <x:f>Z1854+W1855-X1855-T1855-Z1854*V1855/AB1854</x:f>
        <x:v>19354.456567879548</x:v>
      </x:c>
      <x:c r="AA1855" s="32" t="n">
        <x:f>AA1854+X1855-U1855-AA1854*V1855/AB1854</x:f>
        <x:v>11386.956063258198</x:v>
      </x:c>
      <x:c r="AB1855" s="10" t="n">
        <x:f>Y1855+Z1855+AA1855</x:f>
        <x:v>45047.59802873172</x:v>
      </x:c>
      <x:c r="AC1855" s="8" t="n">
        <x:f>IF(AND(v01_WinterTrigger=1,D1855=1,AB1854/AE1854&gt;=K1855),1,0)</x:f>
        <x:v>0</x:v>
      </x:c>
      <x:c r="AD1855" s="8" t="n">
        <x:f>H1855*IF(AND(OR(AB1854/AE1854&gt;=v01_FissionTrigger*N1855,AC1855=1),AB1854/AE1854*v01_DaughterShare&gt;=v01_MinDaughter),MAX(1,ROUND(AE1854*v01_FissionRate,0)),0)</x:f>
        <x:v>0</x:v>
      </x:c>
      <x:c r="AE1855" s="8" t="n">
        <x:f>IF(H1855=1,MAX(1,MIN(INDEX(v01_Smax,G1855),AE1854+AD1855)),AE1854)</x:f>
        <x:v>15</x:v>
      </x:c>
      <x:c r="AF1855" s="8" t="n">
        <x:f>MAX(0,AE1855-AE1854)</x:f>
        <x:v>0</x:v>
      </x:c>
      <x:c r="AG1855" s="9" t="str">
        <x:f>IF(AF1855&gt;0,B1855,"")</x:f>
      </x:c>
      <x:c r="AH1855" s="9" t="n">
        <x:f>IF(F1855&gt;=1,1,(1+v01_LowTiesShare*(AE1855-1))/AE1855)</x:f>
        <x:v>1</x:v>
      </x:c>
      <x:c r="AI1855" s="32" t="n">
        <x:f>(Z1855+v01_ElderCommons*INDEX(LM_Elder,G1855)*AA1855)*AH1855</x:f>
        <x:v>64139.732591141874</x:v>
      </x:c>
      <x:c r="AJ1855" s="32" t="n">
        <x:f>H1855*v01_CommonsCoef*AI1855^v01_CommonsExp*INDEX(LM_Commons,G1855)</x:f>
        <x:v>0</x:v>
      </x:c>
      <x:c r="AK1855" s="32" t="n">
        <x:f>H1855*v01_RoleScale*Arch_Roles*(AE1855*(INDEX(v01_ElderRolePerSett,G1855)*v01_OutElder*INDEX(LM_Elder,G1855)+INDEX(v01_ShamanPerSett,G1855)*v01_OutShaman)+Z1855*(INDEX(v01_PriestShare,G1855)*v01_OutPriest+INDEX(v01_ScribeShare,G1855)*v01_OutScribe*INDEX(LM_Scribe,G1855)+INDEX(v01_ScholarShare,G1855)*v01_OutScholar*INDEX(LM_Scholar,G1855)+INDEX(v01_ResearcherShare,G1855)*v01_OutResearcher*INDEX(LM_Researcher,G1855)))</x:f>
        <x:v>0</x:v>
      </x:c>
      <x:c r="AL1855" s="32" t="n">
        <x:f>H1855*v01_RoleScale*Arch_Roles*AE1855*INDEX(v01_MonasteryPerSett,G1855)*v01_OutMonastery*INDEX(LM_Monastery,G1855)</x:f>
        <x:v>0</x:v>
      </x:c>
      <x:c r="AM1855" s="32" t="n">
        <x:f>(AJ1855+AK1855+AL1855)/4*INDEX(LM_All,G1855)*INDEX(v01_Boon,G1855)*Arch_Insight</x:f>
        <x:v>0</x:v>
      </x:c>
      <x:c r="AN1855" s="32" t="n">
        <x:f>H1855*(v01_KHPerAdult*Z1855+v01_KHOfCommons*AJ1855/4*INDEX(LM_All,G1855))*v01_KHUsable*Arch_KH</x:f>
        <x:v>0</x:v>
      </x:c>
      <x:c r="AO1855" s="32" t="n">
        <x:f>MIN(AP1854+AN1855,AM1855*v01_KHMaxRatio)</x:f>
        <x:v>0</x:v>
      </x:c>
      <x:c r="AP1855" s="32" t="n">
        <x:f>AP1854+AN1855-AO1855</x:f>
        <x:v>0</x:v>
      </x:c>
      <x:c r="AQ1855" s="32" t="n">
        <x:f>AM1855+AO1855</x:f>
        <x:v>0</x:v>
      </x:c>
      <x:c r="AR1855" s="10" t="n">
        <x:f>IF(H1855=1,INDEX(v01_Req,G1855),0)</x:f>
        <x:v>0</x:v>
      </x:c>
      <x:c r="AS1855" s="32" t="n">
        <x:f>IF(H1855=1,IF(E1855=1,AS1854-AR1854,AS1854)+AQ1855,0)</x:f>
        <x:v>0</x:v>
      </x:c>
      <x:c r="AT1855" s="11" t="n">
        <x:f>IF(AR1855&gt;0,MIN(1,AS1855/AR1855),1)</x:f>
        <x:v>1</x:v>
      </x:c>
      <x:c r="AU1855" s="10" t="n">
        <x:f>AB1855/INDEX(v01_RepScale,G1855)</x:f>
        <x:v>90.09519605746344</x:v>
      </x:c>
      <x:c r="AV1855" s="32" t="n">
        <x:f>AM1855*60/v01_SeasonSeconds</x:f>
        <x:v>0</x:v>
      </x:c>
    </x:row>
    <x:row r="1856">
      <x:c r="A1856" s="8" t="n">
        <x:f>A1855+1</x:f>
        <x:v>1853</x:v>
      </x:c>
      <x:c r="B1856" s="9" t="n">
        <x:f>A1856*v01_SeasonSeconds/60</x:f>
        <x:v>463.25</x:v>
      </x:c>
      <x:c r="C1856" s="9" t="n">
        <x:f>A1856/4</x:f>
        <x:v>463.25</x:v>
      </x:c>
      <x:c r="D1856" s="8" t="n">
        <x:f>IF(MOD(A1856,4)=0,1,0)</x:f>
        <x:v>0</x:v>
      </x:c>
      <x:c r="E1856" s="8" t="n">
        <x:f>IF(AND(F1855&lt;=9,AS1855&gt;=AR1855),1,0)</x:f>
        <x:v>0</x:v>
      </x:c>
      <x:c r="F1856" s="8" t="n">
        <x:f>MIN(10,F1855+E1856)</x:f>
        <x:v>10</x:v>
      </x:c>
      <x:c r="G1856" s="8" t="n">
        <x:f>MIN(F1856,9)+1</x:f>
        <x:v>10</x:v>
      </x:c>
      <x:c r="H1856" s="8" t="n">
        <x:f>IF(F1856&lt;=9,1,0)</x:f>
        <x:v>0</x:v>
      </x:c>
      <x:c r="I1856" s="9" t="n">
        <x:f>MIN(10,F1855+IF(AR1855&gt;0,MIN(1,AS1855/AR1855),1))</x:f>
        <x:v>10</x:v>
      </x:c>
      <x:c r="J1856" s="32" t="n">
        <x:f>INDEX(v01_FoodCap,G1856)*Arch_FoodCap*EXP(v01_CapsByProject*SUMPRODUCT((Cap_Point&lt;=I1856)*(Cap_Kind="Food")*Cap_Ln))</x:f>
        <x:v>12000</x:v>
      </x:c>
      <x:c r="K1856" s="32" t="n">
        <x:f>J1856*MIN(1,v01_LeanBase*EXP(v01_CapsByProject*SUMPRODUCT((Cap_Point&lt;=I1856)*(Cap_Kind="Lean")*Cap_Ln)))</x:f>
        <x:v>12000</x:v>
      </x:c>
      <x:c r="L1856" s="10" t="n">
        <x:f>INDEX(v01_HousingCap,G1856)*EXP(v01_CapsByProject*SUMPRODUCT((Cap_Point&lt;=I1856)*(Cap_Kind="Housing")*Cap_Ln))</x:f>
        <x:v>20000</x:v>
      </x:c>
      <x:c r="M1856" s="10" t="n">
        <x:f>INDEX(v01_GroupCap,G1856)*v01_CohesionFactor*EXP(v01_CapsByProject*SUMPRODUCT((Cap_Point&lt;=I1856)*(Cap_Kind="Group")*Cap_Ln))</x:f>
        <x:v>1000000</x:v>
      </x:c>
      <x:c r="N1856" s="32" t="n">
        <x:f>MIN(J1856,L1856,M1856)</x:f>
        <x:v>12000</x:v>
      </x:c>
      <x:c r="O1856" s="10" t="n">
        <x:f>AE1855*N1856</x:f>
        <x:v>180000</x:v>
      </x:c>
      <x:c r="P1856" s="9" t="n">
        <x:f>MIN(1,(AB1855/(AE1855*IF(v01_GroupInCrowding=1,N1856,MIN(J1856,L1856))))^v01_CrowdingExp)</x:f>
        <x:v>0.00024569414295285325</x:v>
      </x:c>
      <x:c r="Q1856" s="9" t="n">
        <x:f>IF(D1856=1,INDEX(v01_WinterMult,G1856),1)</x:f>
        <x:v>1</x:v>
      </x:c>
      <x:c r="R1856" s="9" t="n">
        <x:f>H1856*Z1855*v01_WomenShare*v01_BaseFertility*INDEX(v01_FertMult,G1856)*Arch_Fertility*(1-P1856)</x:f>
        <x:v>0</x:v>
      </x:c>
      <x:c r="S1856" s="9" t="n">
        <x:f>H1856*Y1855*INDEX(v01_MortChild,G1856)/4*Q1856</x:f>
        <x:v>0</x:v>
      </x:c>
      <x:c r="T1856" s="9" t="n">
        <x:f>H1856*Z1855*INDEX(v01_MortAdult,G1856)*Arch_AdultMort/4*Q1856</x:f>
        <x:v>0</x:v>
      </x:c>
      <x:c r="U1856" s="9" t="n">
        <x:f>H1856*AA1855*INDEX(v01_MortElder,G1856)/4*Q1856</x:f>
        <x:v>0</x:v>
      </x:c>
      <x:c r="V1856" s="9" t="n">
        <x:f>H1856*MAX(0,AB1855-O1856)*v01_OvercapLoss</x:f>
        <x:v>0</x:v>
      </x:c>
      <x:c r="W1856" s="9" t="n">
        <x:f>H1856*Y1855/(v01_ChildYears*4)</x:f>
        <x:v>0</x:v>
      </x:c>
      <x:c r="X1856" s="9" t="n">
        <x:f>H1856*Z1855/(v01_AdultYears*4)</x:f>
        <x:v>0</x:v>
      </x:c>
      <x:c r="Y1856" s="32" t="n">
        <x:f>Y1855+R1856-S1856-W1856-Y1855*V1856/AB1855</x:f>
        <x:v>14306.18539759397</x:v>
      </x:c>
      <x:c r="Z1856" s="32" t="n">
        <x:f>Z1855+W1856-X1856-T1856-Z1855*V1856/AB1855</x:f>
        <x:v>19354.456567879548</x:v>
      </x:c>
      <x:c r="AA1856" s="32" t="n">
        <x:f>AA1855+X1856-U1856-AA1855*V1856/AB1855</x:f>
        <x:v>11386.956063258198</x:v>
      </x:c>
      <x:c r="AB1856" s="10" t="n">
        <x:f>Y1856+Z1856+AA1856</x:f>
        <x:v>45047.59802873172</x:v>
      </x:c>
      <x:c r="AC1856" s="8" t="n">
        <x:f>IF(AND(v01_WinterTrigger=1,D1856=1,AB1855/AE1855&gt;=K1856),1,0)</x:f>
        <x:v>0</x:v>
      </x:c>
      <x:c r="AD1856" s="8" t="n">
        <x:f>H1856*IF(AND(OR(AB1855/AE1855&gt;=v01_FissionTrigger*N1856,AC1856=1),AB1855/AE1855*v01_DaughterShare&gt;=v01_MinDaughter),MAX(1,ROUND(AE1855*v01_FissionRate,0)),0)</x:f>
        <x:v>0</x:v>
      </x:c>
      <x:c r="AE1856" s="8" t="n">
        <x:f>IF(H1856=1,MAX(1,MIN(INDEX(v01_Smax,G1856),AE1855+AD1856)),AE1855)</x:f>
        <x:v>15</x:v>
      </x:c>
      <x:c r="AF1856" s="8" t="n">
        <x:f>MAX(0,AE1856-AE1855)</x:f>
        <x:v>0</x:v>
      </x:c>
      <x:c r="AG1856" s="9" t="str">
        <x:f>IF(AF1856&gt;0,B1856,"")</x:f>
      </x:c>
      <x:c r="AH1856" s="9" t="n">
        <x:f>IF(F1856&gt;=1,1,(1+v01_LowTiesShare*(AE1856-1))/AE1856)</x:f>
        <x:v>1</x:v>
      </x:c>
      <x:c r="AI1856" s="32" t="n">
        <x:f>(Z1856+v01_ElderCommons*INDEX(LM_Elder,G1856)*AA1856)*AH1856</x:f>
        <x:v>64139.732591141874</x:v>
      </x:c>
      <x:c r="AJ1856" s="32" t="n">
        <x:f>H1856*v01_CommonsCoef*AI1856^v01_CommonsExp*INDEX(LM_Commons,G1856)</x:f>
        <x:v>0</x:v>
      </x:c>
      <x:c r="AK1856" s="32" t="n">
        <x:f>H1856*v01_RoleScale*Arch_Roles*(AE1856*(INDEX(v01_ElderRolePerSett,G1856)*v01_OutElder*INDEX(LM_Elder,G1856)+INDEX(v01_ShamanPerSett,G1856)*v01_OutShaman)+Z1856*(INDEX(v01_PriestShare,G1856)*v01_OutPriest+INDEX(v01_ScribeShare,G1856)*v01_OutScribe*INDEX(LM_Scribe,G1856)+INDEX(v01_ScholarShare,G1856)*v01_OutScholar*INDEX(LM_Scholar,G1856)+INDEX(v01_ResearcherShare,G1856)*v01_OutResearcher*INDEX(LM_Researcher,G1856)))</x:f>
        <x:v>0</x:v>
      </x:c>
      <x:c r="AL1856" s="32" t="n">
        <x:f>H1856*v01_RoleScale*Arch_Roles*AE1856*INDEX(v01_MonasteryPerSett,G1856)*v01_OutMonastery*INDEX(LM_Monastery,G1856)</x:f>
        <x:v>0</x:v>
      </x:c>
      <x:c r="AM1856" s="32" t="n">
        <x:f>(AJ1856+AK1856+AL1856)/4*INDEX(LM_All,G1856)*INDEX(v01_Boon,G1856)*Arch_Insight</x:f>
        <x:v>0</x:v>
      </x:c>
      <x:c r="AN1856" s="32" t="n">
        <x:f>H1856*(v01_KHPerAdult*Z1856+v01_KHOfCommons*AJ1856/4*INDEX(LM_All,G1856))*v01_KHUsable*Arch_KH</x:f>
        <x:v>0</x:v>
      </x:c>
      <x:c r="AO1856" s="32" t="n">
        <x:f>MIN(AP1855+AN1856,AM1856*v01_KHMaxRatio)</x:f>
        <x:v>0</x:v>
      </x:c>
      <x:c r="AP1856" s="32" t="n">
        <x:f>AP1855+AN1856-AO1856</x:f>
        <x:v>0</x:v>
      </x:c>
      <x:c r="AQ1856" s="32" t="n">
        <x:f>AM1856+AO1856</x:f>
        <x:v>0</x:v>
      </x:c>
      <x:c r="AR1856" s="10" t="n">
        <x:f>IF(H1856=1,INDEX(v01_Req,G1856),0)</x:f>
        <x:v>0</x:v>
      </x:c>
      <x:c r="AS1856" s="32" t="n">
        <x:f>IF(H1856=1,IF(E1856=1,AS1855-AR1855,AS1855)+AQ1856,0)</x:f>
        <x:v>0</x:v>
      </x:c>
      <x:c r="AT1856" s="11" t="n">
        <x:f>IF(AR1856&gt;0,MIN(1,AS1856/AR1856),1)</x:f>
        <x:v>1</x:v>
      </x:c>
      <x:c r="AU1856" s="10" t="n">
        <x:f>AB1856/INDEX(v01_RepScale,G1856)</x:f>
        <x:v>90.09519605746344</x:v>
      </x:c>
      <x:c r="AV1856" s="32" t="n">
        <x:f>AM1856*60/v01_SeasonSeconds</x:f>
        <x:v>0</x:v>
      </x:c>
    </x:row>
    <x:row r="1857">
      <x:c r="A1857" s="8" t="n">
        <x:f>A1856+1</x:f>
        <x:v>1854</x:v>
      </x:c>
      <x:c r="B1857" s="9" t="n">
        <x:f>A1857*v01_SeasonSeconds/60</x:f>
        <x:v>463.5</x:v>
      </x:c>
      <x:c r="C1857" s="9" t="n">
        <x:f>A1857/4</x:f>
        <x:v>463.5</x:v>
      </x:c>
      <x:c r="D1857" s="8" t="n">
        <x:f>IF(MOD(A1857,4)=0,1,0)</x:f>
        <x:v>0</x:v>
      </x:c>
      <x:c r="E1857" s="8" t="n">
        <x:f>IF(AND(F1856&lt;=9,AS1856&gt;=AR1856),1,0)</x:f>
        <x:v>0</x:v>
      </x:c>
      <x:c r="F1857" s="8" t="n">
        <x:f>MIN(10,F1856+E1857)</x:f>
        <x:v>10</x:v>
      </x:c>
      <x:c r="G1857" s="8" t="n">
        <x:f>MIN(F1857,9)+1</x:f>
        <x:v>10</x:v>
      </x:c>
      <x:c r="H1857" s="8" t="n">
        <x:f>IF(F1857&lt;=9,1,0)</x:f>
        <x:v>0</x:v>
      </x:c>
      <x:c r="I1857" s="9" t="n">
        <x:f>MIN(10,F1856+IF(AR1856&gt;0,MIN(1,AS1856/AR1856),1))</x:f>
        <x:v>10</x:v>
      </x:c>
      <x:c r="J1857" s="32" t="n">
        <x:f>INDEX(v01_FoodCap,G1857)*Arch_FoodCap*EXP(v01_CapsByProject*SUMPRODUCT((Cap_Point&lt;=I1857)*(Cap_Kind="Food")*Cap_Ln))</x:f>
        <x:v>12000</x:v>
      </x:c>
      <x:c r="K1857" s="32" t="n">
        <x:f>J1857*MIN(1,v01_LeanBase*EXP(v01_CapsByProject*SUMPRODUCT((Cap_Point&lt;=I1857)*(Cap_Kind="Lean")*Cap_Ln)))</x:f>
        <x:v>12000</x:v>
      </x:c>
      <x:c r="L1857" s="10" t="n">
        <x:f>INDEX(v01_HousingCap,G1857)*EXP(v01_CapsByProject*SUMPRODUCT((Cap_Point&lt;=I1857)*(Cap_Kind="Housing")*Cap_Ln))</x:f>
        <x:v>20000</x:v>
      </x:c>
      <x:c r="M1857" s="10" t="n">
        <x:f>INDEX(v01_GroupCap,G1857)*v01_CohesionFactor*EXP(v01_CapsByProject*SUMPRODUCT((Cap_Point&lt;=I1857)*(Cap_Kind="Group")*Cap_Ln))</x:f>
        <x:v>1000000</x:v>
      </x:c>
      <x:c r="N1857" s="32" t="n">
        <x:f>MIN(J1857,L1857,M1857)</x:f>
        <x:v>12000</x:v>
      </x:c>
      <x:c r="O1857" s="10" t="n">
        <x:f>AE1856*N1857</x:f>
        <x:v>180000</x:v>
      </x:c>
      <x:c r="P1857" s="9" t="n">
        <x:f>MIN(1,(AB1856/(AE1856*IF(v01_GroupInCrowding=1,N1857,MIN(J1857,L1857))))^v01_CrowdingExp)</x:f>
        <x:v>0.00024569414295285325</x:v>
      </x:c>
      <x:c r="Q1857" s="9" t="n">
        <x:f>IF(D1857=1,INDEX(v01_WinterMult,G1857),1)</x:f>
        <x:v>1</x:v>
      </x:c>
      <x:c r="R1857" s="9" t="n">
        <x:f>H1857*Z1856*v01_WomenShare*v01_BaseFertility*INDEX(v01_FertMult,G1857)*Arch_Fertility*(1-P1857)</x:f>
        <x:v>0</x:v>
      </x:c>
      <x:c r="S1857" s="9" t="n">
        <x:f>H1857*Y1856*INDEX(v01_MortChild,G1857)/4*Q1857</x:f>
        <x:v>0</x:v>
      </x:c>
      <x:c r="T1857" s="9" t="n">
        <x:f>H1857*Z1856*INDEX(v01_MortAdult,G1857)*Arch_AdultMort/4*Q1857</x:f>
        <x:v>0</x:v>
      </x:c>
      <x:c r="U1857" s="9" t="n">
        <x:f>H1857*AA1856*INDEX(v01_MortElder,G1857)/4*Q1857</x:f>
        <x:v>0</x:v>
      </x:c>
      <x:c r="V1857" s="9" t="n">
        <x:f>H1857*MAX(0,AB1856-O1857)*v01_OvercapLoss</x:f>
        <x:v>0</x:v>
      </x:c>
      <x:c r="W1857" s="9" t="n">
        <x:f>H1857*Y1856/(v01_ChildYears*4)</x:f>
        <x:v>0</x:v>
      </x:c>
      <x:c r="X1857" s="9" t="n">
        <x:f>H1857*Z1856/(v01_AdultYears*4)</x:f>
        <x:v>0</x:v>
      </x:c>
      <x:c r="Y1857" s="32" t="n">
        <x:f>Y1856+R1857-S1857-W1857-Y1856*V1857/AB1856</x:f>
        <x:v>14306.18539759397</x:v>
      </x:c>
      <x:c r="Z1857" s="32" t="n">
        <x:f>Z1856+W1857-X1857-T1857-Z1856*V1857/AB1856</x:f>
        <x:v>19354.456567879548</x:v>
      </x:c>
      <x:c r="AA1857" s="32" t="n">
        <x:f>AA1856+X1857-U1857-AA1856*V1857/AB1856</x:f>
        <x:v>11386.956063258198</x:v>
      </x:c>
      <x:c r="AB1857" s="10" t="n">
        <x:f>Y1857+Z1857+AA1857</x:f>
        <x:v>45047.59802873172</x:v>
      </x:c>
      <x:c r="AC1857" s="8" t="n">
        <x:f>IF(AND(v01_WinterTrigger=1,D1857=1,AB1856/AE1856&gt;=K1857),1,0)</x:f>
        <x:v>0</x:v>
      </x:c>
      <x:c r="AD1857" s="8" t="n">
        <x:f>H1857*IF(AND(OR(AB1856/AE1856&gt;=v01_FissionTrigger*N1857,AC1857=1),AB1856/AE1856*v01_DaughterShare&gt;=v01_MinDaughter),MAX(1,ROUND(AE1856*v01_FissionRate,0)),0)</x:f>
        <x:v>0</x:v>
      </x:c>
      <x:c r="AE1857" s="8" t="n">
        <x:f>IF(H1857=1,MAX(1,MIN(INDEX(v01_Smax,G1857),AE1856+AD1857)),AE1856)</x:f>
        <x:v>15</x:v>
      </x:c>
      <x:c r="AF1857" s="8" t="n">
        <x:f>MAX(0,AE1857-AE1856)</x:f>
        <x:v>0</x:v>
      </x:c>
      <x:c r="AG1857" s="9" t="str">
        <x:f>IF(AF1857&gt;0,B1857,"")</x:f>
      </x:c>
      <x:c r="AH1857" s="9" t="n">
        <x:f>IF(F1857&gt;=1,1,(1+v01_LowTiesShare*(AE1857-1))/AE1857)</x:f>
        <x:v>1</x:v>
      </x:c>
      <x:c r="AI1857" s="32" t="n">
        <x:f>(Z1857+v01_ElderCommons*INDEX(LM_Elder,G1857)*AA1857)*AH1857</x:f>
        <x:v>64139.732591141874</x:v>
      </x:c>
      <x:c r="AJ1857" s="32" t="n">
        <x:f>H1857*v01_CommonsCoef*AI1857^v01_CommonsExp*INDEX(LM_Commons,G1857)</x:f>
        <x:v>0</x:v>
      </x:c>
      <x:c r="AK1857" s="32" t="n">
        <x:f>H1857*v01_RoleScale*Arch_Roles*(AE1857*(INDEX(v01_ElderRolePerSett,G1857)*v01_OutElder*INDEX(LM_Elder,G1857)+INDEX(v01_ShamanPerSett,G1857)*v01_OutShaman)+Z1857*(INDEX(v01_PriestShare,G1857)*v01_OutPriest+INDEX(v01_ScribeShare,G1857)*v01_OutScribe*INDEX(LM_Scribe,G1857)+INDEX(v01_ScholarShare,G1857)*v01_OutScholar*INDEX(LM_Scholar,G1857)+INDEX(v01_ResearcherShare,G1857)*v01_OutResearcher*INDEX(LM_Researcher,G1857)))</x:f>
        <x:v>0</x:v>
      </x:c>
      <x:c r="AL1857" s="32" t="n">
        <x:f>H1857*v01_RoleScale*Arch_Roles*AE1857*INDEX(v01_MonasteryPerSett,G1857)*v01_OutMonastery*INDEX(LM_Monastery,G1857)</x:f>
        <x:v>0</x:v>
      </x:c>
      <x:c r="AM1857" s="32" t="n">
        <x:f>(AJ1857+AK1857+AL1857)/4*INDEX(LM_All,G1857)*INDEX(v01_Boon,G1857)*Arch_Insight</x:f>
        <x:v>0</x:v>
      </x:c>
      <x:c r="AN1857" s="32" t="n">
        <x:f>H1857*(v01_KHPerAdult*Z1857+v01_KHOfCommons*AJ1857/4*INDEX(LM_All,G1857))*v01_KHUsable*Arch_KH</x:f>
        <x:v>0</x:v>
      </x:c>
      <x:c r="AO1857" s="32" t="n">
        <x:f>MIN(AP1856+AN1857,AM1857*v01_KHMaxRatio)</x:f>
        <x:v>0</x:v>
      </x:c>
      <x:c r="AP1857" s="32" t="n">
        <x:f>AP1856+AN1857-AO1857</x:f>
        <x:v>0</x:v>
      </x:c>
      <x:c r="AQ1857" s="32" t="n">
        <x:f>AM1857+AO1857</x:f>
        <x:v>0</x:v>
      </x:c>
      <x:c r="AR1857" s="10" t="n">
        <x:f>IF(H1857=1,INDEX(v01_Req,G1857),0)</x:f>
        <x:v>0</x:v>
      </x:c>
      <x:c r="AS1857" s="32" t="n">
        <x:f>IF(H1857=1,IF(E1857=1,AS1856-AR1856,AS1856)+AQ1857,0)</x:f>
        <x:v>0</x:v>
      </x:c>
      <x:c r="AT1857" s="11" t="n">
        <x:f>IF(AR1857&gt;0,MIN(1,AS1857/AR1857),1)</x:f>
        <x:v>1</x:v>
      </x:c>
      <x:c r="AU1857" s="10" t="n">
        <x:f>AB1857/INDEX(v01_RepScale,G1857)</x:f>
        <x:v>90.09519605746344</x:v>
      </x:c>
      <x:c r="AV1857" s="32" t="n">
        <x:f>AM1857*60/v01_SeasonSeconds</x:f>
        <x:v>0</x:v>
      </x:c>
    </x:row>
    <x:row r="1858">
      <x:c r="A1858" s="8" t="n">
        <x:f>A1857+1</x:f>
        <x:v>1855</x:v>
      </x:c>
      <x:c r="B1858" s="9" t="n">
        <x:f>A1858*v01_SeasonSeconds/60</x:f>
        <x:v>463.75</x:v>
      </x:c>
      <x:c r="C1858" s="9" t="n">
        <x:f>A1858/4</x:f>
        <x:v>463.75</x:v>
      </x:c>
      <x:c r="D1858" s="8" t="n">
        <x:f>IF(MOD(A1858,4)=0,1,0)</x:f>
        <x:v>0</x:v>
      </x:c>
      <x:c r="E1858" s="8" t="n">
        <x:f>IF(AND(F1857&lt;=9,AS1857&gt;=AR1857),1,0)</x:f>
        <x:v>0</x:v>
      </x:c>
      <x:c r="F1858" s="8" t="n">
        <x:f>MIN(10,F1857+E1858)</x:f>
        <x:v>10</x:v>
      </x:c>
      <x:c r="G1858" s="8" t="n">
        <x:f>MIN(F1858,9)+1</x:f>
        <x:v>10</x:v>
      </x:c>
      <x:c r="H1858" s="8" t="n">
        <x:f>IF(F1858&lt;=9,1,0)</x:f>
        <x:v>0</x:v>
      </x:c>
      <x:c r="I1858" s="9" t="n">
        <x:f>MIN(10,F1857+IF(AR1857&gt;0,MIN(1,AS1857/AR1857),1))</x:f>
        <x:v>10</x:v>
      </x:c>
      <x:c r="J1858" s="32" t="n">
        <x:f>INDEX(v01_FoodCap,G1858)*Arch_FoodCap*EXP(v01_CapsByProject*SUMPRODUCT((Cap_Point&lt;=I1858)*(Cap_Kind="Food")*Cap_Ln))</x:f>
        <x:v>12000</x:v>
      </x:c>
      <x:c r="K1858" s="32" t="n">
        <x:f>J1858*MIN(1,v01_LeanBase*EXP(v01_CapsByProject*SUMPRODUCT((Cap_Point&lt;=I1858)*(Cap_Kind="Lean")*Cap_Ln)))</x:f>
        <x:v>12000</x:v>
      </x:c>
      <x:c r="L1858" s="10" t="n">
        <x:f>INDEX(v01_HousingCap,G1858)*EXP(v01_CapsByProject*SUMPRODUCT((Cap_Point&lt;=I1858)*(Cap_Kind="Housing")*Cap_Ln))</x:f>
        <x:v>20000</x:v>
      </x:c>
      <x:c r="M1858" s="10" t="n">
        <x:f>INDEX(v01_GroupCap,G1858)*v01_CohesionFactor*EXP(v01_CapsByProject*SUMPRODUCT((Cap_Point&lt;=I1858)*(Cap_Kind="Group")*Cap_Ln))</x:f>
        <x:v>1000000</x:v>
      </x:c>
      <x:c r="N1858" s="32" t="n">
        <x:f>MIN(J1858,L1858,M1858)</x:f>
        <x:v>12000</x:v>
      </x:c>
      <x:c r="O1858" s="10" t="n">
        <x:f>AE1857*N1858</x:f>
        <x:v>180000</x:v>
      </x:c>
      <x:c r="P1858" s="9" t="n">
        <x:f>MIN(1,(AB1857/(AE1857*IF(v01_GroupInCrowding=1,N1858,MIN(J1858,L1858))))^v01_CrowdingExp)</x:f>
        <x:v>0.00024569414295285325</x:v>
      </x:c>
      <x:c r="Q1858" s="9" t="n">
        <x:f>IF(D1858=1,INDEX(v01_WinterMult,G1858),1)</x:f>
        <x:v>1</x:v>
      </x:c>
      <x:c r="R1858" s="9" t="n">
        <x:f>H1858*Z1857*v01_WomenShare*v01_BaseFertility*INDEX(v01_FertMult,G1858)*Arch_Fertility*(1-P1858)</x:f>
        <x:v>0</x:v>
      </x:c>
      <x:c r="S1858" s="9" t="n">
        <x:f>H1858*Y1857*INDEX(v01_MortChild,G1858)/4*Q1858</x:f>
        <x:v>0</x:v>
      </x:c>
      <x:c r="T1858" s="9" t="n">
        <x:f>H1858*Z1857*INDEX(v01_MortAdult,G1858)*Arch_AdultMort/4*Q1858</x:f>
        <x:v>0</x:v>
      </x:c>
      <x:c r="U1858" s="9" t="n">
        <x:f>H1858*AA1857*INDEX(v01_MortElder,G1858)/4*Q1858</x:f>
        <x:v>0</x:v>
      </x:c>
      <x:c r="V1858" s="9" t="n">
        <x:f>H1858*MAX(0,AB1857-O1858)*v01_OvercapLoss</x:f>
        <x:v>0</x:v>
      </x:c>
      <x:c r="W1858" s="9" t="n">
        <x:f>H1858*Y1857/(v01_ChildYears*4)</x:f>
        <x:v>0</x:v>
      </x:c>
      <x:c r="X1858" s="9" t="n">
        <x:f>H1858*Z1857/(v01_AdultYears*4)</x:f>
        <x:v>0</x:v>
      </x:c>
      <x:c r="Y1858" s="32" t="n">
        <x:f>Y1857+R1858-S1858-W1858-Y1857*V1858/AB1857</x:f>
        <x:v>14306.18539759397</x:v>
      </x:c>
      <x:c r="Z1858" s="32" t="n">
        <x:f>Z1857+W1858-X1858-T1858-Z1857*V1858/AB1857</x:f>
        <x:v>19354.456567879548</x:v>
      </x:c>
      <x:c r="AA1858" s="32" t="n">
        <x:f>AA1857+X1858-U1858-AA1857*V1858/AB1857</x:f>
        <x:v>11386.956063258198</x:v>
      </x:c>
      <x:c r="AB1858" s="10" t="n">
        <x:f>Y1858+Z1858+AA1858</x:f>
        <x:v>45047.59802873172</x:v>
      </x:c>
      <x:c r="AC1858" s="8" t="n">
        <x:f>IF(AND(v01_WinterTrigger=1,D1858=1,AB1857/AE1857&gt;=K1858),1,0)</x:f>
        <x:v>0</x:v>
      </x:c>
      <x:c r="AD1858" s="8" t="n">
        <x:f>H1858*IF(AND(OR(AB1857/AE1857&gt;=v01_FissionTrigger*N1858,AC1858=1),AB1857/AE1857*v01_DaughterShare&gt;=v01_MinDaughter),MAX(1,ROUND(AE1857*v01_FissionRate,0)),0)</x:f>
        <x:v>0</x:v>
      </x:c>
      <x:c r="AE1858" s="8" t="n">
        <x:f>IF(H1858=1,MAX(1,MIN(INDEX(v01_Smax,G1858),AE1857+AD1858)),AE1857)</x:f>
        <x:v>15</x:v>
      </x:c>
      <x:c r="AF1858" s="8" t="n">
        <x:f>MAX(0,AE1858-AE1857)</x:f>
        <x:v>0</x:v>
      </x:c>
      <x:c r="AG1858" s="9" t="str">
        <x:f>IF(AF1858&gt;0,B1858,"")</x:f>
      </x:c>
      <x:c r="AH1858" s="9" t="n">
        <x:f>IF(F1858&gt;=1,1,(1+v01_LowTiesShare*(AE1858-1))/AE1858)</x:f>
        <x:v>1</x:v>
      </x:c>
      <x:c r="AI1858" s="32" t="n">
        <x:f>(Z1858+v01_ElderCommons*INDEX(LM_Elder,G1858)*AA1858)*AH1858</x:f>
        <x:v>64139.732591141874</x:v>
      </x:c>
      <x:c r="AJ1858" s="32" t="n">
        <x:f>H1858*v01_CommonsCoef*AI1858^v01_CommonsExp*INDEX(LM_Commons,G1858)</x:f>
        <x:v>0</x:v>
      </x:c>
      <x:c r="AK1858" s="32" t="n">
        <x:f>H1858*v01_RoleScale*Arch_Roles*(AE1858*(INDEX(v01_ElderRolePerSett,G1858)*v01_OutElder*INDEX(LM_Elder,G1858)+INDEX(v01_ShamanPerSett,G1858)*v01_OutShaman)+Z1858*(INDEX(v01_PriestShare,G1858)*v01_OutPriest+INDEX(v01_ScribeShare,G1858)*v01_OutScribe*INDEX(LM_Scribe,G1858)+INDEX(v01_ScholarShare,G1858)*v01_OutScholar*INDEX(LM_Scholar,G1858)+INDEX(v01_ResearcherShare,G1858)*v01_OutResearcher*INDEX(LM_Researcher,G1858)))</x:f>
        <x:v>0</x:v>
      </x:c>
      <x:c r="AL1858" s="32" t="n">
        <x:f>H1858*v01_RoleScale*Arch_Roles*AE1858*INDEX(v01_MonasteryPerSett,G1858)*v01_OutMonastery*INDEX(LM_Monastery,G1858)</x:f>
        <x:v>0</x:v>
      </x:c>
      <x:c r="AM1858" s="32" t="n">
        <x:f>(AJ1858+AK1858+AL1858)/4*INDEX(LM_All,G1858)*INDEX(v01_Boon,G1858)*Arch_Insight</x:f>
        <x:v>0</x:v>
      </x:c>
      <x:c r="AN1858" s="32" t="n">
        <x:f>H1858*(v01_KHPerAdult*Z1858+v01_KHOfCommons*AJ1858/4*INDEX(LM_All,G1858))*v01_KHUsable*Arch_KH</x:f>
        <x:v>0</x:v>
      </x:c>
      <x:c r="AO1858" s="32" t="n">
        <x:f>MIN(AP1857+AN1858,AM1858*v01_KHMaxRatio)</x:f>
        <x:v>0</x:v>
      </x:c>
      <x:c r="AP1858" s="32" t="n">
        <x:f>AP1857+AN1858-AO1858</x:f>
        <x:v>0</x:v>
      </x:c>
      <x:c r="AQ1858" s="32" t="n">
        <x:f>AM1858+AO1858</x:f>
        <x:v>0</x:v>
      </x:c>
      <x:c r="AR1858" s="10" t="n">
        <x:f>IF(H1858=1,INDEX(v01_Req,G1858),0)</x:f>
        <x:v>0</x:v>
      </x:c>
      <x:c r="AS1858" s="32" t="n">
        <x:f>IF(H1858=1,IF(E1858=1,AS1857-AR1857,AS1857)+AQ1858,0)</x:f>
        <x:v>0</x:v>
      </x:c>
      <x:c r="AT1858" s="11" t="n">
        <x:f>IF(AR1858&gt;0,MIN(1,AS1858/AR1858),1)</x:f>
        <x:v>1</x:v>
      </x:c>
      <x:c r="AU1858" s="10" t="n">
        <x:f>AB1858/INDEX(v01_RepScale,G1858)</x:f>
        <x:v>90.09519605746344</x:v>
      </x:c>
      <x:c r="AV1858" s="32" t="n">
        <x:f>AM1858*60/v01_SeasonSeconds</x:f>
        <x:v>0</x:v>
      </x:c>
    </x:row>
    <x:row r="1859">
      <x:c r="A1859" s="8" t="n">
        <x:f>A1858+1</x:f>
        <x:v>1856</x:v>
      </x:c>
      <x:c r="B1859" s="9" t="n">
        <x:f>A1859*v01_SeasonSeconds/60</x:f>
        <x:v>464</x:v>
      </x:c>
      <x:c r="C1859" s="9" t="n">
        <x:f>A1859/4</x:f>
        <x:v>464</x:v>
      </x:c>
      <x:c r="D1859" s="8" t="n">
        <x:f>IF(MOD(A1859,4)=0,1,0)</x:f>
        <x:v>1</x:v>
      </x:c>
      <x:c r="E1859" s="8" t="n">
        <x:f>IF(AND(F1858&lt;=9,AS1858&gt;=AR1858),1,0)</x:f>
        <x:v>0</x:v>
      </x:c>
      <x:c r="F1859" s="8" t="n">
        <x:f>MIN(10,F1858+E1859)</x:f>
        <x:v>10</x:v>
      </x:c>
      <x:c r="G1859" s="8" t="n">
        <x:f>MIN(F1859,9)+1</x:f>
        <x:v>10</x:v>
      </x:c>
      <x:c r="H1859" s="8" t="n">
        <x:f>IF(F1859&lt;=9,1,0)</x:f>
        <x:v>0</x:v>
      </x:c>
      <x:c r="I1859" s="9" t="n">
        <x:f>MIN(10,F1858+IF(AR1858&gt;0,MIN(1,AS1858/AR1858),1))</x:f>
        <x:v>10</x:v>
      </x:c>
      <x:c r="J1859" s="32" t="n">
        <x:f>INDEX(v01_FoodCap,G1859)*Arch_FoodCap*EXP(v01_CapsByProject*SUMPRODUCT((Cap_Point&lt;=I1859)*(Cap_Kind="Food")*Cap_Ln))</x:f>
        <x:v>12000</x:v>
      </x:c>
      <x:c r="K1859" s="32" t="n">
        <x:f>J1859*MIN(1,v01_LeanBase*EXP(v01_CapsByProject*SUMPRODUCT((Cap_Point&lt;=I1859)*(Cap_Kind="Lean")*Cap_Ln)))</x:f>
        <x:v>12000</x:v>
      </x:c>
      <x:c r="L1859" s="10" t="n">
        <x:f>INDEX(v01_HousingCap,G1859)*EXP(v01_CapsByProject*SUMPRODUCT((Cap_Point&lt;=I1859)*(Cap_Kind="Housing")*Cap_Ln))</x:f>
        <x:v>20000</x:v>
      </x:c>
      <x:c r="M1859" s="10" t="n">
        <x:f>INDEX(v01_GroupCap,G1859)*v01_CohesionFactor*EXP(v01_CapsByProject*SUMPRODUCT((Cap_Point&lt;=I1859)*(Cap_Kind="Group")*Cap_Ln))</x:f>
        <x:v>1000000</x:v>
      </x:c>
      <x:c r="N1859" s="32" t="n">
        <x:f>MIN(J1859,L1859,M1859)</x:f>
        <x:v>12000</x:v>
      </x:c>
      <x:c r="O1859" s="10" t="n">
        <x:f>AE1858*N1859</x:f>
        <x:v>180000</x:v>
      </x:c>
      <x:c r="P1859" s="9" t="n">
        <x:f>MIN(1,(AB1858/(AE1858*IF(v01_GroupInCrowding=1,N1859,MIN(J1859,L1859))))^v01_CrowdingExp)</x:f>
        <x:v>0.00024569414295285325</x:v>
      </x:c>
      <x:c r="Q1859" s="9" t="n">
        <x:f>IF(D1859=1,INDEX(v01_WinterMult,G1859),1)</x:f>
        <x:v>1</x:v>
      </x:c>
      <x:c r="R1859" s="9" t="n">
        <x:f>H1859*Z1858*v01_WomenShare*v01_BaseFertility*INDEX(v01_FertMult,G1859)*Arch_Fertility*(1-P1859)</x:f>
        <x:v>0</x:v>
      </x:c>
      <x:c r="S1859" s="9" t="n">
        <x:f>H1859*Y1858*INDEX(v01_MortChild,G1859)/4*Q1859</x:f>
        <x:v>0</x:v>
      </x:c>
      <x:c r="T1859" s="9" t="n">
        <x:f>H1859*Z1858*INDEX(v01_MortAdult,G1859)*Arch_AdultMort/4*Q1859</x:f>
        <x:v>0</x:v>
      </x:c>
      <x:c r="U1859" s="9" t="n">
        <x:f>H1859*AA1858*INDEX(v01_MortElder,G1859)/4*Q1859</x:f>
        <x:v>0</x:v>
      </x:c>
      <x:c r="V1859" s="9" t="n">
        <x:f>H1859*MAX(0,AB1858-O1859)*v01_OvercapLoss</x:f>
        <x:v>0</x:v>
      </x:c>
      <x:c r="W1859" s="9" t="n">
        <x:f>H1859*Y1858/(v01_ChildYears*4)</x:f>
        <x:v>0</x:v>
      </x:c>
      <x:c r="X1859" s="9" t="n">
        <x:f>H1859*Z1858/(v01_AdultYears*4)</x:f>
        <x:v>0</x:v>
      </x:c>
      <x:c r="Y1859" s="32" t="n">
        <x:f>Y1858+R1859-S1859-W1859-Y1858*V1859/AB1858</x:f>
        <x:v>14306.18539759397</x:v>
      </x:c>
      <x:c r="Z1859" s="32" t="n">
        <x:f>Z1858+W1859-X1859-T1859-Z1858*V1859/AB1858</x:f>
        <x:v>19354.456567879548</x:v>
      </x:c>
      <x:c r="AA1859" s="32" t="n">
        <x:f>AA1858+X1859-U1859-AA1858*V1859/AB1858</x:f>
        <x:v>11386.956063258198</x:v>
      </x:c>
      <x:c r="AB1859" s="10" t="n">
        <x:f>Y1859+Z1859+AA1859</x:f>
        <x:v>45047.59802873172</x:v>
      </x:c>
      <x:c r="AC1859" s="8" t="n">
        <x:f>IF(AND(v01_WinterTrigger=1,D1859=1,AB1858/AE1858&gt;=K1859),1,0)</x:f>
        <x:v>0</x:v>
      </x:c>
      <x:c r="AD1859" s="8" t="n">
        <x:f>H1859*IF(AND(OR(AB1858/AE1858&gt;=v01_FissionTrigger*N1859,AC1859=1),AB1858/AE1858*v01_DaughterShare&gt;=v01_MinDaughter),MAX(1,ROUND(AE1858*v01_FissionRate,0)),0)</x:f>
        <x:v>0</x:v>
      </x:c>
      <x:c r="AE1859" s="8" t="n">
        <x:f>IF(H1859=1,MAX(1,MIN(INDEX(v01_Smax,G1859),AE1858+AD1859)),AE1858)</x:f>
        <x:v>15</x:v>
      </x:c>
      <x:c r="AF1859" s="8" t="n">
        <x:f>MAX(0,AE1859-AE1858)</x:f>
        <x:v>0</x:v>
      </x:c>
      <x:c r="AG1859" s="9" t="str">
        <x:f>IF(AF1859&gt;0,B1859,"")</x:f>
      </x:c>
      <x:c r="AH1859" s="9" t="n">
        <x:f>IF(F1859&gt;=1,1,(1+v01_LowTiesShare*(AE1859-1))/AE1859)</x:f>
        <x:v>1</x:v>
      </x:c>
      <x:c r="AI1859" s="32" t="n">
        <x:f>(Z1859+v01_ElderCommons*INDEX(LM_Elder,G1859)*AA1859)*AH1859</x:f>
        <x:v>64139.732591141874</x:v>
      </x:c>
      <x:c r="AJ1859" s="32" t="n">
        <x:f>H1859*v01_CommonsCoef*AI1859^v01_CommonsExp*INDEX(LM_Commons,G1859)</x:f>
        <x:v>0</x:v>
      </x:c>
      <x:c r="AK1859" s="32" t="n">
        <x:f>H1859*v01_RoleScale*Arch_Roles*(AE1859*(INDEX(v01_ElderRolePerSett,G1859)*v01_OutElder*INDEX(LM_Elder,G1859)+INDEX(v01_ShamanPerSett,G1859)*v01_OutShaman)+Z1859*(INDEX(v01_PriestShare,G1859)*v01_OutPriest+INDEX(v01_ScribeShare,G1859)*v01_OutScribe*INDEX(LM_Scribe,G1859)+INDEX(v01_ScholarShare,G1859)*v01_OutScholar*INDEX(LM_Scholar,G1859)+INDEX(v01_ResearcherShare,G1859)*v01_OutResearcher*INDEX(LM_Researcher,G1859)))</x:f>
        <x:v>0</x:v>
      </x:c>
      <x:c r="AL1859" s="32" t="n">
        <x:f>H1859*v01_RoleScale*Arch_Roles*AE1859*INDEX(v01_MonasteryPerSett,G1859)*v01_OutMonastery*INDEX(LM_Monastery,G1859)</x:f>
        <x:v>0</x:v>
      </x:c>
      <x:c r="AM1859" s="32" t="n">
        <x:f>(AJ1859+AK1859+AL1859)/4*INDEX(LM_All,G1859)*INDEX(v01_Boon,G1859)*Arch_Insight</x:f>
        <x:v>0</x:v>
      </x:c>
      <x:c r="AN1859" s="32" t="n">
        <x:f>H1859*(v01_KHPerAdult*Z1859+v01_KHOfCommons*AJ1859/4*INDEX(LM_All,G1859))*v01_KHUsable*Arch_KH</x:f>
        <x:v>0</x:v>
      </x:c>
      <x:c r="AO1859" s="32" t="n">
        <x:f>MIN(AP1858+AN1859,AM1859*v01_KHMaxRatio)</x:f>
        <x:v>0</x:v>
      </x:c>
      <x:c r="AP1859" s="32" t="n">
        <x:f>AP1858+AN1859-AO1859</x:f>
        <x:v>0</x:v>
      </x:c>
      <x:c r="AQ1859" s="32" t="n">
        <x:f>AM1859+AO1859</x:f>
        <x:v>0</x:v>
      </x:c>
      <x:c r="AR1859" s="10" t="n">
        <x:f>IF(H1859=1,INDEX(v01_Req,G1859),0)</x:f>
        <x:v>0</x:v>
      </x:c>
      <x:c r="AS1859" s="32" t="n">
        <x:f>IF(H1859=1,IF(E1859=1,AS1858-AR1858,AS1858)+AQ1859,0)</x:f>
        <x:v>0</x:v>
      </x:c>
      <x:c r="AT1859" s="11" t="n">
        <x:f>IF(AR1859&gt;0,MIN(1,AS1859/AR1859),1)</x:f>
        <x:v>1</x:v>
      </x:c>
      <x:c r="AU1859" s="10" t="n">
        <x:f>AB1859/INDEX(v01_RepScale,G1859)</x:f>
        <x:v>90.09519605746344</x:v>
      </x:c>
      <x:c r="AV1859" s="32" t="n">
        <x:f>AM1859*60/v01_SeasonSeconds</x:f>
        <x:v>0</x:v>
      </x:c>
    </x:row>
    <x:row r="1860">
      <x:c r="A1860" s="8" t="n">
        <x:f>A1859+1</x:f>
        <x:v>1857</x:v>
      </x:c>
      <x:c r="B1860" s="9" t="n">
        <x:f>A1860*v01_SeasonSeconds/60</x:f>
        <x:v>464.25</x:v>
      </x:c>
      <x:c r="C1860" s="9" t="n">
        <x:f>A1860/4</x:f>
        <x:v>464.25</x:v>
      </x:c>
      <x:c r="D1860" s="8" t="n">
        <x:f>IF(MOD(A1860,4)=0,1,0)</x:f>
        <x:v>0</x:v>
      </x:c>
      <x:c r="E1860" s="8" t="n">
        <x:f>IF(AND(F1859&lt;=9,AS1859&gt;=AR1859),1,0)</x:f>
        <x:v>0</x:v>
      </x:c>
      <x:c r="F1860" s="8" t="n">
        <x:f>MIN(10,F1859+E1860)</x:f>
        <x:v>10</x:v>
      </x:c>
      <x:c r="G1860" s="8" t="n">
        <x:f>MIN(F1860,9)+1</x:f>
        <x:v>10</x:v>
      </x:c>
      <x:c r="H1860" s="8" t="n">
        <x:f>IF(F1860&lt;=9,1,0)</x:f>
        <x:v>0</x:v>
      </x:c>
      <x:c r="I1860" s="9" t="n">
        <x:f>MIN(10,F1859+IF(AR1859&gt;0,MIN(1,AS1859/AR1859),1))</x:f>
        <x:v>10</x:v>
      </x:c>
      <x:c r="J1860" s="32" t="n">
        <x:f>INDEX(v01_FoodCap,G1860)*Arch_FoodCap*EXP(v01_CapsByProject*SUMPRODUCT((Cap_Point&lt;=I1860)*(Cap_Kind="Food")*Cap_Ln))</x:f>
        <x:v>12000</x:v>
      </x:c>
      <x:c r="K1860" s="32" t="n">
        <x:f>J1860*MIN(1,v01_LeanBase*EXP(v01_CapsByProject*SUMPRODUCT((Cap_Point&lt;=I1860)*(Cap_Kind="Lean")*Cap_Ln)))</x:f>
        <x:v>12000</x:v>
      </x:c>
      <x:c r="L1860" s="10" t="n">
        <x:f>INDEX(v01_HousingCap,G1860)*EXP(v01_CapsByProject*SUMPRODUCT((Cap_Point&lt;=I1860)*(Cap_Kind="Housing")*Cap_Ln))</x:f>
        <x:v>20000</x:v>
      </x:c>
      <x:c r="M1860" s="10" t="n">
        <x:f>INDEX(v01_GroupCap,G1860)*v01_CohesionFactor*EXP(v01_CapsByProject*SUMPRODUCT((Cap_Point&lt;=I1860)*(Cap_Kind="Group")*Cap_Ln))</x:f>
        <x:v>1000000</x:v>
      </x:c>
      <x:c r="N1860" s="32" t="n">
        <x:f>MIN(J1860,L1860,M1860)</x:f>
        <x:v>12000</x:v>
      </x:c>
      <x:c r="O1860" s="10" t="n">
        <x:f>AE1859*N1860</x:f>
        <x:v>180000</x:v>
      </x:c>
      <x:c r="P1860" s="9" t="n">
        <x:f>MIN(1,(AB1859/(AE1859*IF(v01_GroupInCrowding=1,N1860,MIN(J1860,L1860))))^v01_CrowdingExp)</x:f>
        <x:v>0.00024569414295285325</x:v>
      </x:c>
      <x:c r="Q1860" s="9" t="n">
        <x:f>IF(D1860=1,INDEX(v01_WinterMult,G1860),1)</x:f>
        <x:v>1</x:v>
      </x:c>
      <x:c r="R1860" s="9" t="n">
        <x:f>H1860*Z1859*v01_WomenShare*v01_BaseFertility*INDEX(v01_FertMult,G1860)*Arch_Fertility*(1-P1860)</x:f>
        <x:v>0</x:v>
      </x:c>
      <x:c r="S1860" s="9" t="n">
        <x:f>H1860*Y1859*INDEX(v01_MortChild,G1860)/4*Q1860</x:f>
        <x:v>0</x:v>
      </x:c>
      <x:c r="T1860" s="9" t="n">
        <x:f>H1860*Z1859*INDEX(v01_MortAdult,G1860)*Arch_AdultMort/4*Q1860</x:f>
        <x:v>0</x:v>
      </x:c>
      <x:c r="U1860" s="9" t="n">
        <x:f>H1860*AA1859*INDEX(v01_MortElder,G1860)/4*Q1860</x:f>
        <x:v>0</x:v>
      </x:c>
      <x:c r="V1860" s="9" t="n">
        <x:f>H1860*MAX(0,AB1859-O1860)*v01_OvercapLoss</x:f>
        <x:v>0</x:v>
      </x:c>
      <x:c r="W1860" s="9" t="n">
        <x:f>H1860*Y1859/(v01_ChildYears*4)</x:f>
        <x:v>0</x:v>
      </x:c>
      <x:c r="X1860" s="9" t="n">
        <x:f>H1860*Z1859/(v01_AdultYears*4)</x:f>
        <x:v>0</x:v>
      </x:c>
      <x:c r="Y1860" s="32" t="n">
        <x:f>Y1859+R1860-S1860-W1860-Y1859*V1860/AB1859</x:f>
        <x:v>14306.18539759397</x:v>
      </x:c>
      <x:c r="Z1860" s="32" t="n">
        <x:f>Z1859+W1860-X1860-T1860-Z1859*V1860/AB1859</x:f>
        <x:v>19354.456567879548</x:v>
      </x:c>
      <x:c r="AA1860" s="32" t="n">
        <x:f>AA1859+X1860-U1860-AA1859*V1860/AB1859</x:f>
        <x:v>11386.956063258198</x:v>
      </x:c>
      <x:c r="AB1860" s="10" t="n">
        <x:f>Y1860+Z1860+AA1860</x:f>
        <x:v>45047.59802873172</x:v>
      </x:c>
      <x:c r="AC1860" s="8" t="n">
        <x:f>IF(AND(v01_WinterTrigger=1,D1860=1,AB1859/AE1859&gt;=K1860),1,0)</x:f>
        <x:v>0</x:v>
      </x:c>
      <x:c r="AD1860" s="8" t="n">
        <x:f>H1860*IF(AND(OR(AB1859/AE1859&gt;=v01_FissionTrigger*N1860,AC1860=1),AB1859/AE1859*v01_DaughterShare&gt;=v01_MinDaughter),MAX(1,ROUND(AE1859*v01_FissionRate,0)),0)</x:f>
        <x:v>0</x:v>
      </x:c>
      <x:c r="AE1860" s="8" t="n">
        <x:f>IF(H1860=1,MAX(1,MIN(INDEX(v01_Smax,G1860),AE1859+AD1860)),AE1859)</x:f>
        <x:v>15</x:v>
      </x:c>
      <x:c r="AF1860" s="8" t="n">
        <x:f>MAX(0,AE1860-AE1859)</x:f>
        <x:v>0</x:v>
      </x:c>
      <x:c r="AG1860" s="9" t="str">
        <x:f>IF(AF1860&gt;0,B1860,"")</x:f>
      </x:c>
      <x:c r="AH1860" s="9" t="n">
        <x:f>IF(F1860&gt;=1,1,(1+v01_LowTiesShare*(AE1860-1))/AE1860)</x:f>
        <x:v>1</x:v>
      </x:c>
      <x:c r="AI1860" s="32" t="n">
        <x:f>(Z1860+v01_ElderCommons*INDEX(LM_Elder,G1860)*AA1860)*AH1860</x:f>
        <x:v>64139.732591141874</x:v>
      </x:c>
      <x:c r="AJ1860" s="32" t="n">
        <x:f>H1860*v01_CommonsCoef*AI1860^v01_CommonsExp*INDEX(LM_Commons,G1860)</x:f>
        <x:v>0</x:v>
      </x:c>
      <x:c r="AK1860" s="32" t="n">
        <x:f>H1860*v01_RoleScale*Arch_Roles*(AE1860*(INDEX(v01_ElderRolePerSett,G1860)*v01_OutElder*INDEX(LM_Elder,G1860)+INDEX(v01_ShamanPerSett,G1860)*v01_OutShaman)+Z1860*(INDEX(v01_PriestShare,G1860)*v01_OutPriest+INDEX(v01_ScribeShare,G1860)*v01_OutScribe*INDEX(LM_Scribe,G1860)+INDEX(v01_ScholarShare,G1860)*v01_OutScholar*INDEX(LM_Scholar,G1860)+INDEX(v01_ResearcherShare,G1860)*v01_OutResearcher*INDEX(LM_Researcher,G1860)))</x:f>
        <x:v>0</x:v>
      </x:c>
      <x:c r="AL1860" s="32" t="n">
        <x:f>H1860*v01_RoleScale*Arch_Roles*AE1860*INDEX(v01_MonasteryPerSett,G1860)*v01_OutMonastery*INDEX(LM_Monastery,G1860)</x:f>
        <x:v>0</x:v>
      </x:c>
      <x:c r="AM1860" s="32" t="n">
        <x:f>(AJ1860+AK1860+AL1860)/4*INDEX(LM_All,G1860)*INDEX(v01_Boon,G1860)*Arch_Insight</x:f>
        <x:v>0</x:v>
      </x:c>
      <x:c r="AN1860" s="32" t="n">
        <x:f>H1860*(v01_KHPerAdult*Z1860+v01_KHOfCommons*AJ1860/4*INDEX(LM_All,G1860))*v01_KHUsable*Arch_KH</x:f>
        <x:v>0</x:v>
      </x:c>
      <x:c r="AO1860" s="32" t="n">
        <x:f>MIN(AP1859+AN1860,AM1860*v01_KHMaxRatio)</x:f>
        <x:v>0</x:v>
      </x:c>
      <x:c r="AP1860" s="32" t="n">
        <x:f>AP1859+AN1860-AO1860</x:f>
        <x:v>0</x:v>
      </x:c>
      <x:c r="AQ1860" s="32" t="n">
        <x:f>AM1860+AO1860</x:f>
        <x:v>0</x:v>
      </x:c>
      <x:c r="AR1860" s="10" t="n">
        <x:f>IF(H1860=1,INDEX(v01_Req,G1860),0)</x:f>
        <x:v>0</x:v>
      </x:c>
      <x:c r="AS1860" s="32" t="n">
        <x:f>IF(H1860=1,IF(E1860=1,AS1859-AR1859,AS1859)+AQ1860,0)</x:f>
        <x:v>0</x:v>
      </x:c>
      <x:c r="AT1860" s="11" t="n">
        <x:f>IF(AR1860&gt;0,MIN(1,AS1860/AR1860),1)</x:f>
        <x:v>1</x:v>
      </x:c>
      <x:c r="AU1860" s="10" t="n">
        <x:f>AB1860/INDEX(v01_RepScale,G1860)</x:f>
        <x:v>90.09519605746344</x:v>
      </x:c>
      <x:c r="AV1860" s="32" t="n">
        <x:f>AM1860*60/v01_SeasonSeconds</x:f>
        <x:v>0</x:v>
      </x:c>
    </x:row>
    <x:row r="1861">
      <x:c r="A1861" s="8" t="n">
        <x:f>A1860+1</x:f>
        <x:v>1858</x:v>
      </x:c>
      <x:c r="B1861" s="9" t="n">
        <x:f>A1861*v01_SeasonSeconds/60</x:f>
        <x:v>464.5</x:v>
      </x:c>
      <x:c r="C1861" s="9" t="n">
        <x:f>A1861/4</x:f>
        <x:v>464.5</x:v>
      </x:c>
      <x:c r="D1861" s="8" t="n">
        <x:f>IF(MOD(A1861,4)=0,1,0)</x:f>
        <x:v>0</x:v>
      </x:c>
      <x:c r="E1861" s="8" t="n">
        <x:f>IF(AND(F1860&lt;=9,AS1860&gt;=AR1860),1,0)</x:f>
        <x:v>0</x:v>
      </x:c>
      <x:c r="F1861" s="8" t="n">
        <x:f>MIN(10,F1860+E1861)</x:f>
        <x:v>10</x:v>
      </x:c>
      <x:c r="G1861" s="8" t="n">
        <x:f>MIN(F1861,9)+1</x:f>
        <x:v>10</x:v>
      </x:c>
      <x:c r="H1861" s="8" t="n">
        <x:f>IF(F1861&lt;=9,1,0)</x:f>
        <x:v>0</x:v>
      </x:c>
      <x:c r="I1861" s="9" t="n">
        <x:f>MIN(10,F1860+IF(AR1860&gt;0,MIN(1,AS1860/AR1860),1))</x:f>
        <x:v>10</x:v>
      </x:c>
      <x:c r="J1861" s="32" t="n">
        <x:f>INDEX(v01_FoodCap,G1861)*Arch_FoodCap*EXP(v01_CapsByProject*SUMPRODUCT((Cap_Point&lt;=I1861)*(Cap_Kind="Food")*Cap_Ln))</x:f>
        <x:v>12000</x:v>
      </x:c>
      <x:c r="K1861" s="32" t="n">
        <x:f>J1861*MIN(1,v01_LeanBase*EXP(v01_CapsByProject*SUMPRODUCT((Cap_Point&lt;=I1861)*(Cap_Kind="Lean")*Cap_Ln)))</x:f>
        <x:v>12000</x:v>
      </x:c>
      <x:c r="L1861" s="10" t="n">
        <x:f>INDEX(v01_HousingCap,G1861)*EXP(v01_CapsByProject*SUMPRODUCT((Cap_Point&lt;=I1861)*(Cap_Kind="Housing")*Cap_Ln))</x:f>
        <x:v>20000</x:v>
      </x:c>
      <x:c r="M1861" s="10" t="n">
        <x:f>INDEX(v01_GroupCap,G1861)*v01_CohesionFactor*EXP(v01_CapsByProject*SUMPRODUCT((Cap_Point&lt;=I1861)*(Cap_Kind="Group")*Cap_Ln))</x:f>
        <x:v>1000000</x:v>
      </x:c>
      <x:c r="N1861" s="32" t="n">
        <x:f>MIN(J1861,L1861,M1861)</x:f>
        <x:v>12000</x:v>
      </x:c>
      <x:c r="O1861" s="10" t="n">
        <x:f>AE1860*N1861</x:f>
        <x:v>180000</x:v>
      </x:c>
      <x:c r="P1861" s="9" t="n">
        <x:f>MIN(1,(AB1860/(AE1860*IF(v01_GroupInCrowding=1,N1861,MIN(J1861,L1861))))^v01_CrowdingExp)</x:f>
        <x:v>0.00024569414295285325</x:v>
      </x:c>
      <x:c r="Q1861" s="9" t="n">
        <x:f>IF(D1861=1,INDEX(v01_WinterMult,G1861),1)</x:f>
        <x:v>1</x:v>
      </x:c>
      <x:c r="R1861" s="9" t="n">
        <x:f>H1861*Z1860*v01_WomenShare*v01_BaseFertility*INDEX(v01_FertMult,G1861)*Arch_Fertility*(1-P1861)</x:f>
        <x:v>0</x:v>
      </x:c>
      <x:c r="S1861" s="9" t="n">
        <x:f>H1861*Y1860*INDEX(v01_MortChild,G1861)/4*Q1861</x:f>
        <x:v>0</x:v>
      </x:c>
      <x:c r="T1861" s="9" t="n">
        <x:f>H1861*Z1860*INDEX(v01_MortAdult,G1861)*Arch_AdultMort/4*Q1861</x:f>
        <x:v>0</x:v>
      </x:c>
      <x:c r="U1861" s="9" t="n">
        <x:f>H1861*AA1860*INDEX(v01_MortElder,G1861)/4*Q1861</x:f>
        <x:v>0</x:v>
      </x:c>
      <x:c r="V1861" s="9" t="n">
        <x:f>H1861*MAX(0,AB1860-O1861)*v01_OvercapLoss</x:f>
        <x:v>0</x:v>
      </x:c>
      <x:c r="W1861" s="9" t="n">
        <x:f>H1861*Y1860/(v01_ChildYears*4)</x:f>
        <x:v>0</x:v>
      </x:c>
      <x:c r="X1861" s="9" t="n">
        <x:f>H1861*Z1860/(v01_AdultYears*4)</x:f>
        <x:v>0</x:v>
      </x:c>
      <x:c r="Y1861" s="32" t="n">
        <x:f>Y1860+R1861-S1861-W1861-Y1860*V1861/AB1860</x:f>
        <x:v>14306.18539759397</x:v>
      </x:c>
      <x:c r="Z1861" s="32" t="n">
        <x:f>Z1860+W1861-X1861-T1861-Z1860*V1861/AB1860</x:f>
        <x:v>19354.456567879548</x:v>
      </x:c>
      <x:c r="AA1861" s="32" t="n">
        <x:f>AA1860+X1861-U1861-AA1860*V1861/AB1860</x:f>
        <x:v>11386.956063258198</x:v>
      </x:c>
      <x:c r="AB1861" s="10" t="n">
        <x:f>Y1861+Z1861+AA1861</x:f>
        <x:v>45047.59802873172</x:v>
      </x:c>
      <x:c r="AC1861" s="8" t="n">
        <x:f>IF(AND(v01_WinterTrigger=1,D1861=1,AB1860/AE1860&gt;=K1861),1,0)</x:f>
        <x:v>0</x:v>
      </x:c>
      <x:c r="AD1861" s="8" t="n">
        <x:f>H1861*IF(AND(OR(AB1860/AE1860&gt;=v01_FissionTrigger*N1861,AC1861=1),AB1860/AE1860*v01_DaughterShare&gt;=v01_MinDaughter),MAX(1,ROUND(AE1860*v01_FissionRate,0)),0)</x:f>
        <x:v>0</x:v>
      </x:c>
      <x:c r="AE1861" s="8" t="n">
        <x:f>IF(H1861=1,MAX(1,MIN(INDEX(v01_Smax,G1861),AE1860+AD1861)),AE1860)</x:f>
        <x:v>15</x:v>
      </x:c>
      <x:c r="AF1861" s="8" t="n">
        <x:f>MAX(0,AE1861-AE1860)</x:f>
        <x:v>0</x:v>
      </x:c>
      <x:c r="AG1861" s="9" t="str">
        <x:f>IF(AF1861&gt;0,B1861,"")</x:f>
      </x:c>
      <x:c r="AH1861" s="9" t="n">
        <x:f>IF(F1861&gt;=1,1,(1+v01_LowTiesShare*(AE1861-1))/AE1861)</x:f>
        <x:v>1</x:v>
      </x:c>
      <x:c r="AI1861" s="32" t="n">
        <x:f>(Z1861+v01_ElderCommons*INDEX(LM_Elder,G1861)*AA1861)*AH1861</x:f>
        <x:v>64139.732591141874</x:v>
      </x:c>
      <x:c r="AJ1861" s="32" t="n">
        <x:f>H1861*v01_CommonsCoef*AI1861^v01_CommonsExp*INDEX(LM_Commons,G1861)</x:f>
        <x:v>0</x:v>
      </x:c>
      <x:c r="AK1861" s="32" t="n">
        <x:f>H1861*v01_RoleScale*Arch_Roles*(AE1861*(INDEX(v01_ElderRolePerSett,G1861)*v01_OutElder*INDEX(LM_Elder,G1861)+INDEX(v01_ShamanPerSett,G1861)*v01_OutShaman)+Z1861*(INDEX(v01_PriestShare,G1861)*v01_OutPriest+INDEX(v01_ScribeShare,G1861)*v01_OutScribe*INDEX(LM_Scribe,G1861)+INDEX(v01_ScholarShare,G1861)*v01_OutScholar*INDEX(LM_Scholar,G1861)+INDEX(v01_ResearcherShare,G1861)*v01_OutResearcher*INDEX(LM_Researcher,G1861)))</x:f>
        <x:v>0</x:v>
      </x:c>
      <x:c r="AL1861" s="32" t="n">
        <x:f>H1861*v01_RoleScale*Arch_Roles*AE1861*INDEX(v01_MonasteryPerSett,G1861)*v01_OutMonastery*INDEX(LM_Monastery,G1861)</x:f>
        <x:v>0</x:v>
      </x:c>
      <x:c r="AM1861" s="32" t="n">
        <x:f>(AJ1861+AK1861+AL1861)/4*INDEX(LM_All,G1861)*INDEX(v01_Boon,G1861)*Arch_Insight</x:f>
        <x:v>0</x:v>
      </x:c>
      <x:c r="AN1861" s="32" t="n">
        <x:f>H1861*(v01_KHPerAdult*Z1861+v01_KHOfCommons*AJ1861/4*INDEX(LM_All,G1861))*v01_KHUsable*Arch_KH</x:f>
        <x:v>0</x:v>
      </x:c>
      <x:c r="AO1861" s="32" t="n">
        <x:f>MIN(AP1860+AN1861,AM1861*v01_KHMaxRatio)</x:f>
        <x:v>0</x:v>
      </x:c>
      <x:c r="AP1861" s="32" t="n">
        <x:f>AP1860+AN1861-AO1861</x:f>
        <x:v>0</x:v>
      </x:c>
      <x:c r="AQ1861" s="32" t="n">
        <x:f>AM1861+AO1861</x:f>
        <x:v>0</x:v>
      </x:c>
      <x:c r="AR1861" s="10" t="n">
        <x:f>IF(H1861=1,INDEX(v01_Req,G1861),0)</x:f>
        <x:v>0</x:v>
      </x:c>
      <x:c r="AS1861" s="32" t="n">
        <x:f>IF(H1861=1,IF(E1861=1,AS1860-AR1860,AS1860)+AQ1861,0)</x:f>
        <x:v>0</x:v>
      </x:c>
      <x:c r="AT1861" s="11" t="n">
        <x:f>IF(AR1861&gt;0,MIN(1,AS1861/AR1861),1)</x:f>
        <x:v>1</x:v>
      </x:c>
      <x:c r="AU1861" s="10" t="n">
        <x:f>AB1861/INDEX(v01_RepScale,G1861)</x:f>
        <x:v>90.09519605746344</x:v>
      </x:c>
      <x:c r="AV1861" s="32" t="n">
        <x:f>AM1861*60/v01_SeasonSeconds</x:f>
        <x:v>0</x:v>
      </x:c>
    </x:row>
    <x:row r="1862">
      <x:c r="A1862" s="8" t="n">
        <x:f>A1861+1</x:f>
        <x:v>1859</x:v>
      </x:c>
      <x:c r="B1862" s="9" t="n">
        <x:f>A1862*v01_SeasonSeconds/60</x:f>
        <x:v>464.75</x:v>
      </x:c>
      <x:c r="C1862" s="9" t="n">
        <x:f>A1862/4</x:f>
        <x:v>464.75</x:v>
      </x:c>
      <x:c r="D1862" s="8" t="n">
        <x:f>IF(MOD(A1862,4)=0,1,0)</x:f>
        <x:v>0</x:v>
      </x:c>
      <x:c r="E1862" s="8" t="n">
        <x:f>IF(AND(F1861&lt;=9,AS1861&gt;=AR1861),1,0)</x:f>
        <x:v>0</x:v>
      </x:c>
      <x:c r="F1862" s="8" t="n">
        <x:f>MIN(10,F1861+E1862)</x:f>
        <x:v>10</x:v>
      </x:c>
      <x:c r="G1862" s="8" t="n">
        <x:f>MIN(F1862,9)+1</x:f>
        <x:v>10</x:v>
      </x:c>
      <x:c r="H1862" s="8" t="n">
        <x:f>IF(F1862&lt;=9,1,0)</x:f>
        <x:v>0</x:v>
      </x:c>
      <x:c r="I1862" s="9" t="n">
        <x:f>MIN(10,F1861+IF(AR1861&gt;0,MIN(1,AS1861/AR1861),1))</x:f>
        <x:v>10</x:v>
      </x:c>
      <x:c r="J1862" s="32" t="n">
        <x:f>INDEX(v01_FoodCap,G1862)*Arch_FoodCap*EXP(v01_CapsByProject*SUMPRODUCT((Cap_Point&lt;=I1862)*(Cap_Kind="Food")*Cap_Ln))</x:f>
        <x:v>12000</x:v>
      </x:c>
      <x:c r="K1862" s="32" t="n">
        <x:f>J1862*MIN(1,v01_LeanBase*EXP(v01_CapsByProject*SUMPRODUCT((Cap_Point&lt;=I1862)*(Cap_Kind="Lean")*Cap_Ln)))</x:f>
        <x:v>12000</x:v>
      </x:c>
      <x:c r="L1862" s="10" t="n">
        <x:f>INDEX(v01_HousingCap,G1862)*EXP(v01_CapsByProject*SUMPRODUCT((Cap_Point&lt;=I1862)*(Cap_Kind="Housing")*Cap_Ln))</x:f>
        <x:v>20000</x:v>
      </x:c>
      <x:c r="M1862" s="10" t="n">
        <x:f>INDEX(v01_GroupCap,G1862)*v01_CohesionFactor*EXP(v01_CapsByProject*SUMPRODUCT((Cap_Point&lt;=I1862)*(Cap_Kind="Group")*Cap_Ln))</x:f>
        <x:v>1000000</x:v>
      </x:c>
      <x:c r="N1862" s="32" t="n">
        <x:f>MIN(J1862,L1862,M1862)</x:f>
        <x:v>12000</x:v>
      </x:c>
      <x:c r="O1862" s="10" t="n">
        <x:f>AE1861*N1862</x:f>
        <x:v>180000</x:v>
      </x:c>
      <x:c r="P1862" s="9" t="n">
        <x:f>MIN(1,(AB1861/(AE1861*IF(v01_GroupInCrowding=1,N1862,MIN(J1862,L1862))))^v01_CrowdingExp)</x:f>
        <x:v>0.00024569414295285325</x:v>
      </x:c>
      <x:c r="Q1862" s="9" t="n">
        <x:f>IF(D1862=1,INDEX(v01_WinterMult,G1862),1)</x:f>
        <x:v>1</x:v>
      </x:c>
      <x:c r="R1862" s="9" t="n">
        <x:f>H1862*Z1861*v01_WomenShare*v01_BaseFertility*INDEX(v01_FertMult,G1862)*Arch_Fertility*(1-P1862)</x:f>
        <x:v>0</x:v>
      </x:c>
      <x:c r="S1862" s="9" t="n">
        <x:f>H1862*Y1861*INDEX(v01_MortChild,G1862)/4*Q1862</x:f>
        <x:v>0</x:v>
      </x:c>
      <x:c r="T1862" s="9" t="n">
        <x:f>H1862*Z1861*INDEX(v01_MortAdult,G1862)*Arch_AdultMort/4*Q1862</x:f>
        <x:v>0</x:v>
      </x:c>
      <x:c r="U1862" s="9" t="n">
        <x:f>H1862*AA1861*INDEX(v01_MortElder,G1862)/4*Q1862</x:f>
        <x:v>0</x:v>
      </x:c>
      <x:c r="V1862" s="9" t="n">
        <x:f>H1862*MAX(0,AB1861-O1862)*v01_OvercapLoss</x:f>
        <x:v>0</x:v>
      </x:c>
      <x:c r="W1862" s="9" t="n">
        <x:f>H1862*Y1861/(v01_ChildYears*4)</x:f>
        <x:v>0</x:v>
      </x:c>
      <x:c r="X1862" s="9" t="n">
        <x:f>H1862*Z1861/(v01_AdultYears*4)</x:f>
        <x:v>0</x:v>
      </x:c>
      <x:c r="Y1862" s="32" t="n">
        <x:f>Y1861+R1862-S1862-W1862-Y1861*V1862/AB1861</x:f>
        <x:v>14306.18539759397</x:v>
      </x:c>
      <x:c r="Z1862" s="32" t="n">
        <x:f>Z1861+W1862-X1862-T1862-Z1861*V1862/AB1861</x:f>
        <x:v>19354.456567879548</x:v>
      </x:c>
      <x:c r="AA1862" s="32" t="n">
        <x:f>AA1861+X1862-U1862-AA1861*V1862/AB1861</x:f>
        <x:v>11386.956063258198</x:v>
      </x:c>
      <x:c r="AB1862" s="10" t="n">
        <x:f>Y1862+Z1862+AA1862</x:f>
        <x:v>45047.59802873172</x:v>
      </x:c>
      <x:c r="AC1862" s="8" t="n">
        <x:f>IF(AND(v01_WinterTrigger=1,D1862=1,AB1861/AE1861&gt;=K1862),1,0)</x:f>
        <x:v>0</x:v>
      </x:c>
      <x:c r="AD1862" s="8" t="n">
        <x:f>H1862*IF(AND(OR(AB1861/AE1861&gt;=v01_FissionTrigger*N1862,AC1862=1),AB1861/AE1861*v01_DaughterShare&gt;=v01_MinDaughter),MAX(1,ROUND(AE1861*v01_FissionRate,0)),0)</x:f>
        <x:v>0</x:v>
      </x:c>
      <x:c r="AE1862" s="8" t="n">
        <x:f>IF(H1862=1,MAX(1,MIN(INDEX(v01_Smax,G1862),AE1861+AD1862)),AE1861)</x:f>
        <x:v>15</x:v>
      </x:c>
      <x:c r="AF1862" s="8" t="n">
        <x:f>MAX(0,AE1862-AE1861)</x:f>
        <x:v>0</x:v>
      </x:c>
      <x:c r="AG1862" s="9" t="str">
        <x:f>IF(AF1862&gt;0,B1862,"")</x:f>
      </x:c>
      <x:c r="AH1862" s="9" t="n">
        <x:f>IF(F1862&gt;=1,1,(1+v01_LowTiesShare*(AE1862-1))/AE1862)</x:f>
        <x:v>1</x:v>
      </x:c>
      <x:c r="AI1862" s="32" t="n">
        <x:f>(Z1862+v01_ElderCommons*INDEX(LM_Elder,G1862)*AA1862)*AH1862</x:f>
        <x:v>64139.732591141874</x:v>
      </x:c>
      <x:c r="AJ1862" s="32" t="n">
        <x:f>H1862*v01_CommonsCoef*AI1862^v01_CommonsExp*INDEX(LM_Commons,G1862)</x:f>
        <x:v>0</x:v>
      </x:c>
      <x:c r="AK1862" s="32" t="n">
        <x:f>H1862*v01_RoleScale*Arch_Roles*(AE1862*(INDEX(v01_ElderRolePerSett,G1862)*v01_OutElder*INDEX(LM_Elder,G1862)+INDEX(v01_ShamanPerSett,G1862)*v01_OutShaman)+Z1862*(INDEX(v01_PriestShare,G1862)*v01_OutPriest+INDEX(v01_ScribeShare,G1862)*v01_OutScribe*INDEX(LM_Scribe,G1862)+INDEX(v01_ScholarShare,G1862)*v01_OutScholar*INDEX(LM_Scholar,G1862)+INDEX(v01_ResearcherShare,G1862)*v01_OutResearcher*INDEX(LM_Researcher,G1862)))</x:f>
        <x:v>0</x:v>
      </x:c>
      <x:c r="AL1862" s="32" t="n">
        <x:f>H1862*v01_RoleScale*Arch_Roles*AE1862*INDEX(v01_MonasteryPerSett,G1862)*v01_OutMonastery*INDEX(LM_Monastery,G1862)</x:f>
        <x:v>0</x:v>
      </x:c>
      <x:c r="AM1862" s="32" t="n">
        <x:f>(AJ1862+AK1862+AL1862)/4*INDEX(LM_All,G1862)*INDEX(v01_Boon,G1862)*Arch_Insight</x:f>
        <x:v>0</x:v>
      </x:c>
      <x:c r="AN1862" s="32" t="n">
        <x:f>H1862*(v01_KHPerAdult*Z1862+v01_KHOfCommons*AJ1862/4*INDEX(LM_All,G1862))*v01_KHUsable*Arch_KH</x:f>
        <x:v>0</x:v>
      </x:c>
      <x:c r="AO1862" s="32" t="n">
        <x:f>MIN(AP1861+AN1862,AM1862*v01_KHMaxRatio)</x:f>
        <x:v>0</x:v>
      </x:c>
      <x:c r="AP1862" s="32" t="n">
        <x:f>AP1861+AN1862-AO1862</x:f>
        <x:v>0</x:v>
      </x:c>
      <x:c r="AQ1862" s="32" t="n">
        <x:f>AM1862+AO1862</x:f>
        <x:v>0</x:v>
      </x:c>
      <x:c r="AR1862" s="10" t="n">
        <x:f>IF(H1862=1,INDEX(v01_Req,G1862),0)</x:f>
        <x:v>0</x:v>
      </x:c>
      <x:c r="AS1862" s="32" t="n">
        <x:f>IF(H1862=1,IF(E1862=1,AS1861-AR1861,AS1861)+AQ1862,0)</x:f>
        <x:v>0</x:v>
      </x:c>
      <x:c r="AT1862" s="11" t="n">
        <x:f>IF(AR1862&gt;0,MIN(1,AS1862/AR1862),1)</x:f>
        <x:v>1</x:v>
      </x:c>
      <x:c r="AU1862" s="10" t="n">
        <x:f>AB1862/INDEX(v01_RepScale,G1862)</x:f>
        <x:v>90.09519605746344</x:v>
      </x:c>
      <x:c r="AV1862" s="32" t="n">
        <x:f>AM1862*60/v01_SeasonSeconds</x:f>
        <x:v>0</x:v>
      </x:c>
    </x:row>
    <x:row r="1863">
      <x:c r="A1863" s="8" t="n">
        <x:f>A1862+1</x:f>
        <x:v>1860</x:v>
      </x:c>
      <x:c r="B1863" s="9" t="n">
        <x:f>A1863*v01_SeasonSeconds/60</x:f>
        <x:v>465</x:v>
      </x:c>
      <x:c r="C1863" s="9" t="n">
        <x:f>A1863/4</x:f>
        <x:v>465</x:v>
      </x:c>
      <x:c r="D1863" s="8" t="n">
        <x:f>IF(MOD(A1863,4)=0,1,0)</x:f>
        <x:v>1</x:v>
      </x:c>
      <x:c r="E1863" s="8" t="n">
        <x:f>IF(AND(F1862&lt;=9,AS1862&gt;=AR1862),1,0)</x:f>
        <x:v>0</x:v>
      </x:c>
      <x:c r="F1863" s="8" t="n">
        <x:f>MIN(10,F1862+E1863)</x:f>
        <x:v>10</x:v>
      </x:c>
      <x:c r="G1863" s="8" t="n">
        <x:f>MIN(F1863,9)+1</x:f>
        <x:v>10</x:v>
      </x:c>
      <x:c r="H1863" s="8" t="n">
        <x:f>IF(F1863&lt;=9,1,0)</x:f>
        <x:v>0</x:v>
      </x:c>
      <x:c r="I1863" s="9" t="n">
        <x:f>MIN(10,F1862+IF(AR1862&gt;0,MIN(1,AS1862/AR1862),1))</x:f>
        <x:v>10</x:v>
      </x:c>
      <x:c r="J1863" s="32" t="n">
        <x:f>INDEX(v01_FoodCap,G1863)*Arch_FoodCap*EXP(v01_CapsByProject*SUMPRODUCT((Cap_Point&lt;=I1863)*(Cap_Kind="Food")*Cap_Ln))</x:f>
        <x:v>12000</x:v>
      </x:c>
      <x:c r="K1863" s="32" t="n">
        <x:f>J1863*MIN(1,v01_LeanBase*EXP(v01_CapsByProject*SUMPRODUCT((Cap_Point&lt;=I1863)*(Cap_Kind="Lean")*Cap_Ln)))</x:f>
        <x:v>12000</x:v>
      </x:c>
      <x:c r="L1863" s="10" t="n">
        <x:f>INDEX(v01_HousingCap,G1863)*EXP(v01_CapsByProject*SUMPRODUCT((Cap_Point&lt;=I1863)*(Cap_Kind="Housing")*Cap_Ln))</x:f>
        <x:v>20000</x:v>
      </x:c>
      <x:c r="M1863" s="10" t="n">
        <x:f>INDEX(v01_GroupCap,G1863)*v01_CohesionFactor*EXP(v01_CapsByProject*SUMPRODUCT((Cap_Point&lt;=I1863)*(Cap_Kind="Group")*Cap_Ln))</x:f>
        <x:v>1000000</x:v>
      </x:c>
      <x:c r="N1863" s="32" t="n">
        <x:f>MIN(J1863,L1863,M1863)</x:f>
        <x:v>12000</x:v>
      </x:c>
      <x:c r="O1863" s="10" t="n">
        <x:f>AE1862*N1863</x:f>
        <x:v>180000</x:v>
      </x:c>
      <x:c r="P1863" s="9" t="n">
        <x:f>MIN(1,(AB1862/(AE1862*IF(v01_GroupInCrowding=1,N1863,MIN(J1863,L1863))))^v01_CrowdingExp)</x:f>
        <x:v>0.00024569414295285325</x:v>
      </x:c>
      <x:c r="Q1863" s="9" t="n">
        <x:f>IF(D1863=1,INDEX(v01_WinterMult,G1863),1)</x:f>
        <x:v>1</x:v>
      </x:c>
      <x:c r="R1863" s="9" t="n">
        <x:f>H1863*Z1862*v01_WomenShare*v01_BaseFertility*INDEX(v01_FertMult,G1863)*Arch_Fertility*(1-P1863)</x:f>
        <x:v>0</x:v>
      </x:c>
      <x:c r="S1863" s="9" t="n">
        <x:f>H1863*Y1862*INDEX(v01_MortChild,G1863)/4*Q1863</x:f>
        <x:v>0</x:v>
      </x:c>
      <x:c r="T1863" s="9" t="n">
        <x:f>H1863*Z1862*INDEX(v01_MortAdult,G1863)*Arch_AdultMort/4*Q1863</x:f>
        <x:v>0</x:v>
      </x:c>
      <x:c r="U1863" s="9" t="n">
        <x:f>H1863*AA1862*INDEX(v01_MortElder,G1863)/4*Q1863</x:f>
        <x:v>0</x:v>
      </x:c>
      <x:c r="V1863" s="9" t="n">
        <x:f>H1863*MAX(0,AB1862-O1863)*v01_OvercapLoss</x:f>
        <x:v>0</x:v>
      </x:c>
      <x:c r="W1863" s="9" t="n">
        <x:f>H1863*Y1862/(v01_ChildYears*4)</x:f>
        <x:v>0</x:v>
      </x:c>
      <x:c r="X1863" s="9" t="n">
        <x:f>H1863*Z1862/(v01_AdultYears*4)</x:f>
        <x:v>0</x:v>
      </x:c>
      <x:c r="Y1863" s="32" t="n">
        <x:f>Y1862+R1863-S1863-W1863-Y1862*V1863/AB1862</x:f>
        <x:v>14306.18539759397</x:v>
      </x:c>
      <x:c r="Z1863" s="32" t="n">
        <x:f>Z1862+W1863-X1863-T1863-Z1862*V1863/AB1862</x:f>
        <x:v>19354.456567879548</x:v>
      </x:c>
      <x:c r="AA1863" s="32" t="n">
        <x:f>AA1862+X1863-U1863-AA1862*V1863/AB1862</x:f>
        <x:v>11386.956063258198</x:v>
      </x:c>
      <x:c r="AB1863" s="10" t="n">
        <x:f>Y1863+Z1863+AA1863</x:f>
        <x:v>45047.59802873172</x:v>
      </x:c>
      <x:c r="AC1863" s="8" t="n">
        <x:f>IF(AND(v01_WinterTrigger=1,D1863=1,AB1862/AE1862&gt;=K1863),1,0)</x:f>
        <x:v>0</x:v>
      </x:c>
      <x:c r="AD1863" s="8" t="n">
        <x:f>H1863*IF(AND(OR(AB1862/AE1862&gt;=v01_FissionTrigger*N1863,AC1863=1),AB1862/AE1862*v01_DaughterShare&gt;=v01_MinDaughter),MAX(1,ROUND(AE1862*v01_FissionRate,0)),0)</x:f>
        <x:v>0</x:v>
      </x:c>
      <x:c r="AE1863" s="8" t="n">
        <x:f>IF(H1863=1,MAX(1,MIN(INDEX(v01_Smax,G1863),AE1862+AD1863)),AE1862)</x:f>
        <x:v>15</x:v>
      </x:c>
      <x:c r="AF1863" s="8" t="n">
        <x:f>MAX(0,AE1863-AE1862)</x:f>
        <x:v>0</x:v>
      </x:c>
      <x:c r="AG1863" s="9" t="str">
        <x:f>IF(AF1863&gt;0,B1863,"")</x:f>
      </x:c>
      <x:c r="AH1863" s="9" t="n">
        <x:f>IF(F1863&gt;=1,1,(1+v01_LowTiesShare*(AE1863-1))/AE1863)</x:f>
        <x:v>1</x:v>
      </x:c>
      <x:c r="AI1863" s="32" t="n">
        <x:f>(Z1863+v01_ElderCommons*INDEX(LM_Elder,G1863)*AA1863)*AH1863</x:f>
        <x:v>64139.732591141874</x:v>
      </x:c>
      <x:c r="AJ1863" s="32" t="n">
        <x:f>H1863*v01_CommonsCoef*AI1863^v01_CommonsExp*INDEX(LM_Commons,G1863)</x:f>
        <x:v>0</x:v>
      </x:c>
      <x:c r="AK1863" s="32" t="n">
        <x:f>H1863*v01_RoleScale*Arch_Roles*(AE1863*(INDEX(v01_ElderRolePerSett,G1863)*v01_OutElder*INDEX(LM_Elder,G1863)+INDEX(v01_ShamanPerSett,G1863)*v01_OutShaman)+Z1863*(INDEX(v01_PriestShare,G1863)*v01_OutPriest+INDEX(v01_ScribeShare,G1863)*v01_OutScribe*INDEX(LM_Scribe,G1863)+INDEX(v01_ScholarShare,G1863)*v01_OutScholar*INDEX(LM_Scholar,G1863)+INDEX(v01_ResearcherShare,G1863)*v01_OutResearcher*INDEX(LM_Researcher,G1863)))</x:f>
        <x:v>0</x:v>
      </x:c>
      <x:c r="AL1863" s="32" t="n">
        <x:f>H1863*v01_RoleScale*Arch_Roles*AE1863*INDEX(v01_MonasteryPerSett,G1863)*v01_OutMonastery*INDEX(LM_Monastery,G1863)</x:f>
        <x:v>0</x:v>
      </x:c>
      <x:c r="AM1863" s="32" t="n">
        <x:f>(AJ1863+AK1863+AL1863)/4*INDEX(LM_All,G1863)*INDEX(v01_Boon,G1863)*Arch_Insight</x:f>
        <x:v>0</x:v>
      </x:c>
      <x:c r="AN1863" s="32" t="n">
        <x:f>H1863*(v01_KHPerAdult*Z1863+v01_KHOfCommons*AJ1863/4*INDEX(LM_All,G1863))*v01_KHUsable*Arch_KH</x:f>
        <x:v>0</x:v>
      </x:c>
      <x:c r="AO1863" s="32" t="n">
        <x:f>MIN(AP1862+AN1863,AM1863*v01_KHMaxRatio)</x:f>
        <x:v>0</x:v>
      </x:c>
      <x:c r="AP1863" s="32" t="n">
        <x:f>AP1862+AN1863-AO1863</x:f>
        <x:v>0</x:v>
      </x:c>
      <x:c r="AQ1863" s="32" t="n">
        <x:f>AM1863+AO1863</x:f>
        <x:v>0</x:v>
      </x:c>
      <x:c r="AR1863" s="10" t="n">
        <x:f>IF(H1863=1,INDEX(v01_Req,G1863),0)</x:f>
        <x:v>0</x:v>
      </x:c>
      <x:c r="AS1863" s="32" t="n">
        <x:f>IF(H1863=1,IF(E1863=1,AS1862-AR1862,AS1862)+AQ1863,0)</x:f>
        <x:v>0</x:v>
      </x:c>
      <x:c r="AT1863" s="11" t="n">
        <x:f>IF(AR1863&gt;0,MIN(1,AS1863/AR1863),1)</x:f>
        <x:v>1</x:v>
      </x:c>
      <x:c r="AU1863" s="10" t="n">
        <x:f>AB1863/INDEX(v01_RepScale,G1863)</x:f>
        <x:v>90.09519605746344</x:v>
      </x:c>
      <x:c r="AV1863" s="32" t="n">
        <x:f>AM1863*60/v01_SeasonSeconds</x:f>
        <x:v>0</x:v>
      </x:c>
    </x:row>
    <x:row r="1864">
      <x:c r="A1864" s="8" t="n">
        <x:f>A1863+1</x:f>
        <x:v>1861</x:v>
      </x:c>
      <x:c r="B1864" s="9" t="n">
        <x:f>A1864*v01_SeasonSeconds/60</x:f>
        <x:v>465.25</x:v>
      </x:c>
      <x:c r="C1864" s="9" t="n">
        <x:f>A1864/4</x:f>
        <x:v>465.25</x:v>
      </x:c>
      <x:c r="D1864" s="8" t="n">
        <x:f>IF(MOD(A1864,4)=0,1,0)</x:f>
        <x:v>0</x:v>
      </x:c>
      <x:c r="E1864" s="8" t="n">
        <x:f>IF(AND(F1863&lt;=9,AS1863&gt;=AR1863),1,0)</x:f>
        <x:v>0</x:v>
      </x:c>
      <x:c r="F1864" s="8" t="n">
        <x:f>MIN(10,F1863+E1864)</x:f>
        <x:v>10</x:v>
      </x:c>
      <x:c r="G1864" s="8" t="n">
        <x:f>MIN(F1864,9)+1</x:f>
        <x:v>10</x:v>
      </x:c>
      <x:c r="H1864" s="8" t="n">
        <x:f>IF(F1864&lt;=9,1,0)</x:f>
        <x:v>0</x:v>
      </x:c>
      <x:c r="I1864" s="9" t="n">
        <x:f>MIN(10,F1863+IF(AR1863&gt;0,MIN(1,AS1863/AR1863),1))</x:f>
        <x:v>10</x:v>
      </x:c>
      <x:c r="J1864" s="32" t="n">
        <x:f>INDEX(v01_FoodCap,G1864)*Arch_FoodCap*EXP(v01_CapsByProject*SUMPRODUCT((Cap_Point&lt;=I1864)*(Cap_Kind="Food")*Cap_Ln))</x:f>
        <x:v>12000</x:v>
      </x:c>
      <x:c r="K1864" s="32" t="n">
        <x:f>J1864*MIN(1,v01_LeanBase*EXP(v01_CapsByProject*SUMPRODUCT((Cap_Point&lt;=I1864)*(Cap_Kind="Lean")*Cap_Ln)))</x:f>
        <x:v>12000</x:v>
      </x:c>
      <x:c r="L1864" s="10" t="n">
        <x:f>INDEX(v01_HousingCap,G1864)*EXP(v01_CapsByProject*SUMPRODUCT((Cap_Point&lt;=I1864)*(Cap_Kind="Housing")*Cap_Ln))</x:f>
        <x:v>20000</x:v>
      </x:c>
      <x:c r="M1864" s="10" t="n">
        <x:f>INDEX(v01_GroupCap,G1864)*v01_CohesionFactor*EXP(v01_CapsByProject*SUMPRODUCT((Cap_Point&lt;=I1864)*(Cap_Kind="Group")*Cap_Ln))</x:f>
        <x:v>1000000</x:v>
      </x:c>
      <x:c r="N1864" s="32" t="n">
        <x:f>MIN(J1864,L1864,M1864)</x:f>
        <x:v>12000</x:v>
      </x:c>
      <x:c r="O1864" s="10" t="n">
        <x:f>AE1863*N1864</x:f>
        <x:v>180000</x:v>
      </x:c>
      <x:c r="P1864" s="9" t="n">
        <x:f>MIN(1,(AB1863/(AE1863*IF(v01_GroupInCrowding=1,N1864,MIN(J1864,L1864))))^v01_CrowdingExp)</x:f>
        <x:v>0.00024569414295285325</x:v>
      </x:c>
      <x:c r="Q1864" s="9" t="n">
        <x:f>IF(D1864=1,INDEX(v01_WinterMult,G1864),1)</x:f>
        <x:v>1</x:v>
      </x:c>
      <x:c r="R1864" s="9" t="n">
        <x:f>H1864*Z1863*v01_WomenShare*v01_BaseFertility*INDEX(v01_FertMult,G1864)*Arch_Fertility*(1-P1864)</x:f>
        <x:v>0</x:v>
      </x:c>
      <x:c r="S1864" s="9" t="n">
        <x:f>H1864*Y1863*INDEX(v01_MortChild,G1864)/4*Q1864</x:f>
        <x:v>0</x:v>
      </x:c>
      <x:c r="T1864" s="9" t="n">
        <x:f>H1864*Z1863*INDEX(v01_MortAdult,G1864)*Arch_AdultMort/4*Q1864</x:f>
        <x:v>0</x:v>
      </x:c>
      <x:c r="U1864" s="9" t="n">
        <x:f>H1864*AA1863*INDEX(v01_MortElder,G1864)/4*Q1864</x:f>
        <x:v>0</x:v>
      </x:c>
      <x:c r="V1864" s="9" t="n">
        <x:f>H1864*MAX(0,AB1863-O1864)*v01_OvercapLoss</x:f>
        <x:v>0</x:v>
      </x:c>
      <x:c r="W1864" s="9" t="n">
        <x:f>H1864*Y1863/(v01_ChildYears*4)</x:f>
        <x:v>0</x:v>
      </x:c>
      <x:c r="X1864" s="9" t="n">
        <x:f>H1864*Z1863/(v01_AdultYears*4)</x:f>
        <x:v>0</x:v>
      </x:c>
      <x:c r="Y1864" s="32" t="n">
        <x:f>Y1863+R1864-S1864-W1864-Y1863*V1864/AB1863</x:f>
        <x:v>14306.18539759397</x:v>
      </x:c>
      <x:c r="Z1864" s="32" t="n">
        <x:f>Z1863+W1864-X1864-T1864-Z1863*V1864/AB1863</x:f>
        <x:v>19354.456567879548</x:v>
      </x:c>
      <x:c r="AA1864" s="32" t="n">
        <x:f>AA1863+X1864-U1864-AA1863*V1864/AB1863</x:f>
        <x:v>11386.956063258198</x:v>
      </x:c>
      <x:c r="AB1864" s="10" t="n">
        <x:f>Y1864+Z1864+AA1864</x:f>
        <x:v>45047.59802873172</x:v>
      </x:c>
      <x:c r="AC1864" s="8" t="n">
        <x:f>IF(AND(v01_WinterTrigger=1,D1864=1,AB1863/AE1863&gt;=K1864),1,0)</x:f>
        <x:v>0</x:v>
      </x:c>
      <x:c r="AD1864" s="8" t="n">
        <x:f>H1864*IF(AND(OR(AB1863/AE1863&gt;=v01_FissionTrigger*N1864,AC1864=1),AB1863/AE1863*v01_DaughterShare&gt;=v01_MinDaughter),MAX(1,ROUND(AE1863*v01_FissionRate,0)),0)</x:f>
        <x:v>0</x:v>
      </x:c>
      <x:c r="AE1864" s="8" t="n">
        <x:f>IF(H1864=1,MAX(1,MIN(INDEX(v01_Smax,G1864),AE1863+AD1864)),AE1863)</x:f>
        <x:v>15</x:v>
      </x:c>
      <x:c r="AF1864" s="8" t="n">
        <x:f>MAX(0,AE1864-AE1863)</x:f>
        <x:v>0</x:v>
      </x:c>
      <x:c r="AG1864" s="9" t="str">
        <x:f>IF(AF1864&gt;0,B1864,"")</x:f>
      </x:c>
      <x:c r="AH1864" s="9" t="n">
        <x:f>IF(F1864&gt;=1,1,(1+v01_LowTiesShare*(AE1864-1))/AE1864)</x:f>
        <x:v>1</x:v>
      </x:c>
      <x:c r="AI1864" s="32" t="n">
        <x:f>(Z1864+v01_ElderCommons*INDEX(LM_Elder,G1864)*AA1864)*AH1864</x:f>
        <x:v>64139.732591141874</x:v>
      </x:c>
      <x:c r="AJ1864" s="32" t="n">
        <x:f>H1864*v01_CommonsCoef*AI1864^v01_CommonsExp*INDEX(LM_Commons,G1864)</x:f>
        <x:v>0</x:v>
      </x:c>
      <x:c r="AK1864" s="32" t="n">
        <x:f>H1864*v01_RoleScale*Arch_Roles*(AE1864*(INDEX(v01_ElderRolePerSett,G1864)*v01_OutElder*INDEX(LM_Elder,G1864)+INDEX(v01_ShamanPerSett,G1864)*v01_OutShaman)+Z1864*(INDEX(v01_PriestShare,G1864)*v01_OutPriest+INDEX(v01_ScribeShare,G1864)*v01_OutScribe*INDEX(LM_Scribe,G1864)+INDEX(v01_ScholarShare,G1864)*v01_OutScholar*INDEX(LM_Scholar,G1864)+INDEX(v01_ResearcherShare,G1864)*v01_OutResearcher*INDEX(LM_Researcher,G1864)))</x:f>
        <x:v>0</x:v>
      </x:c>
      <x:c r="AL1864" s="32" t="n">
        <x:f>H1864*v01_RoleScale*Arch_Roles*AE1864*INDEX(v01_MonasteryPerSett,G1864)*v01_OutMonastery*INDEX(LM_Monastery,G1864)</x:f>
        <x:v>0</x:v>
      </x:c>
      <x:c r="AM1864" s="32" t="n">
        <x:f>(AJ1864+AK1864+AL1864)/4*INDEX(LM_All,G1864)*INDEX(v01_Boon,G1864)*Arch_Insight</x:f>
        <x:v>0</x:v>
      </x:c>
      <x:c r="AN1864" s="32" t="n">
        <x:f>H1864*(v01_KHPerAdult*Z1864+v01_KHOfCommons*AJ1864/4*INDEX(LM_All,G1864))*v01_KHUsable*Arch_KH</x:f>
        <x:v>0</x:v>
      </x:c>
      <x:c r="AO1864" s="32" t="n">
        <x:f>MIN(AP1863+AN1864,AM1864*v01_KHMaxRatio)</x:f>
        <x:v>0</x:v>
      </x:c>
      <x:c r="AP1864" s="32" t="n">
        <x:f>AP1863+AN1864-AO1864</x:f>
        <x:v>0</x:v>
      </x:c>
      <x:c r="AQ1864" s="32" t="n">
        <x:f>AM1864+AO1864</x:f>
        <x:v>0</x:v>
      </x:c>
      <x:c r="AR1864" s="10" t="n">
        <x:f>IF(H1864=1,INDEX(v01_Req,G1864),0)</x:f>
        <x:v>0</x:v>
      </x:c>
      <x:c r="AS1864" s="32" t="n">
        <x:f>IF(H1864=1,IF(E1864=1,AS1863-AR1863,AS1863)+AQ1864,0)</x:f>
        <x:v>0</x:v>
      </x:c>
      <x:c r="AT1864" s="11" t="n">
        <x:f>IF(AR1864&gt;0,MIN(1,AS1864/AR1864),1)</x:f>
        <x:v>1</x:v>
      </x:c>
      <x:c r="AU1864" s="10" t="n">
        <x:f>AB1864/INDEX(v01_RepScale,G1864)</x:f>
        <x:v>90.09519605746344</x:v>
      </x:c>
      <x:c r="AV1864" s="32" t="n">
        <x:f>AM1864*60/v01_SeasonSeconds</x:f>
        <x:v>0</x:v>
      </x:c>
    </x:row>
    <x:row r="1865">
      <x:c r="A1865" s="8" t="n">
        <x:f>A1864+1</x:f>
        <x:v>1862</x:v>
      </x:c>
      <x:c r="B1865" s="9" t="n">
        <x:f>A1865*v01_SeasonSeconds/60</x:f>
        <x:v>465.5</x:v>
      </x:c>
      <x:c r="C1865" s="9" t="n">
        <x:f>A1865/4</x:f>
        <x:v>465.5</x:v>
      </x:c>
      <x:c r="D1865" s="8" t="n">
        <x:f>IF(MOD(A1865,4)=0,1,0)</x:f>
        <x:v>0</x:v>
      </x:c>
      <x:c r="E1865" s="8" t="n">
        <x:f>IF(AND(F1864&lt;=9,AS1864&gt;=AR1864),1,0)</x:f>
        <x:v>0</x:v>
      </x:c>
      <x:c r="F1865" s="8" t="n">
        <x:f>MIN(10,F1864+E1865)</x:f>
        <x:v>10</x:v>
      </x:c>
      <x:c r="G1865" s="8" t="n">
        <x:f>MIN(F1865,9)+1</x:f>
        <x:v>10</x:v>
      </x:c>
      <x:c r="H1865" s="8" t="n">
        <x:f>IF(F1865&lt;=9,1,0)</x:f>
        <x:v>0</x:v>
      </x:c>
      <x:c r="I1865" s="9" t="n">
        <x:f>MIN(10,F1864+IF(AR1864&gt;0,MIN(1,AS1864/AR1864),1))</x:f>
        <x:v>10</x:v>
      </x:c>
      <x:c r="J1865" s="32" t="n">
        <x:f>INDEX(v01_FoodCap,G1865)*Arch_FoodCap*EXP(v01_CapsByProject*SUMPRODUCT((Cap_Point&lt;=I1865)*(Cap_Kind="Food")*Cap_Ln))</x:f>
        <x:v>12000</x:v>
      </x:c>
      <x:c r="K1865" s="32" t="n">
        <x:f>J1865*MIN(1,v01_LeanBase*EXP(v01_CapsByProject*SUMPRODUCT((Cap_Point&lt;=I1865)*(Cap_Kind="Lean")*Cap_Ln)))</x:f>
        <x:v>12000</x:v>
      </x:c>
      <x:c r="L1865" s="10" t="n">
        <x:f>INDEX(v01_HousingCap,G1865)*EXP(v01_CapsByProject*SUMPRODUCT((Cap_Point&lt;=I1865)*(Cap_Kind="Housing")*Cap_Ln))</x:f>
        <x:v>20000</x:v>
      </x:c>
      <x:c r="M1865" s="10" t="n">
        <x:f>INDEX(v01_GroupCap,G1865)*v01_CohesionFactor*EXP(v01_CapsByProject*SUMPRODUCT((Cap_Point&lt;=I1865)*(Cap_Kind="Group")*Cap_Ln))</x:f>
        <x:v>1000000</x:v>
      </x:c>
      <x:c r="N1865" s="32" t="n">
        <x:f>MIN(J1865,L1865,M1865)</x:f>
        <x:v>12000</x:v>
      </x:c>
      <x:c r="O1865" s="10" t="n">
        <x:f>AE1864*N1865</x:f>
        <x:v>180000</x:v>
      </x:c>
      <x:c r="P1865" s="9" t="n">
        <x:f>MIN(1,(AB1864/(AE1864*IF(v01_GroupInCrowding=1,N1865,MIN(J1865,L1865))))^v01_CrowdingExp)</x:f>
        <x:v>0.00024569414295285325</x:v>
      </x:c>
      <x:c r="Q1865" s="9" t="n">
        <x:f>IF(D1865=1,INDEX(v01_WinterMult,G1865),1)</x:f>
        <x:v>1</x:v>
      </x:c>
      <x:c r="R1865" s="9" t="n">
        <x:f>H1865*Z1864*v01_WomenShare*v01_BaseFertility*INDEX(v01_FertMult,G1865)*Arch_Fertility*(1-P1865)</x:f>
        <x:v>0</x:v>
      </x:c>
      <x:c r="S1865" s="9" t="n">
        <x:f>H1865*Y1864*INDEX(v01_MortChild,G1865)/4*Q1865</x:f>
        <x:v>0</x:v>
      </x:c>
      <x:c r="T1865" s="9" t="n">
        <x:f>H1865*Z1864*INDEX(v01_MortAdult,G1865)*Arch_AdultMort/4*Q1865</x:f>
        <x:v>0</x:v>
      </x:c>
      <x:c r="U1865" s="9" t="n">
        <x:f>H1865*AA1864*INDEX(v01_MortElder,G1865)/4*Q1865</x:f>
        <x:v>0</x:v>
      </x:c>
      <x:c r="V1865" s="9" t="n">
        <x:f>H1865*MAX(0,AB1864-O1865)*v01_OvercapLoss</x:f>
        <x:v>0</x:v>
      </x:c>
      <x:c r="W1865" s="9" t="n">
        <x:f>H1865*Y1864/(v01_ChildYears*4)</x:f>
        <x:v>0</x:v>
      </x:c>
      <x:c r="X1865" s="9" t="n">
        <x:f>H1865*Z1864/(v01_AdultYears*4)</x:f>
        <x:v>0</x:v>
      </x:c>
      <x:c r="Y1865" s="32" t="n">
        <x:f>Y1864+R1865-S1865-W1865-Y1864*V1865/AB1864</x:f>
        <x:v>14306.18539759397</x:v>
      </x:c>
      <x:c r="Z1865" s="32" t="n">
        <x:f>Z1864+W1865-X1865-T1865-Z1864*V1865/AB1864</x:f>
        <x:v>19354.456567879548</x:v>
      </x:c>
      <x:c r="AA1865" s="32" t="n">
        <x:f>AA1864+X1865-U1865-AA1864*V1865/AB1864</x:f>
        <x:v>11386.956063258198</x:v>
      </x:c>
      <x:c r="AB1865" s="10" t="n">
        <x:f>Y1865+Z1865+AA1865</x:f>
        <x:v>45047.59802873172</x:v>
      </x:c>
      <x:c r="AC1865" s="8" t="n">
        <x:f>IF(AND(v01_WinterTrigger=1,D1865=1,AB1864/AE1864&gt;=K1865),1,0)</x:f>
        <x:v>0</x:v>
      </x:c>
      <x:c r="AD1865" s="8" t="n">
        <x:f>H1865*IF(AND(OR(AB1864/AE1864&gt;=v01_FissionTrigger*N1865,AC1865=1),AB1864/AE1864*v01_DaughterShare&gt;=v01_MinDaughter),MAX(1,ROUND(AE1864*v01_FissionRate,0)),0)</x:f>
        <x:v>0</x:v>
      </x:c>
      <x:c r="AE1865" s="8" t="n">
        <x:f>IF(H1865=1,MAX(1,MIN(INDEX(v01_Smax,G1865),AE1864+AD1865)),AE1864)</x:f>
        <x:v>15</x:v>
      </x:c>
      <x:c r="AF1865" s="8" t="n">
        <x:f>MAX(0,AE1865-AE1864)</x:f>
        <x:v>0</x:v>
      </x:c>
      <x:c r="AG1865" s="9" t="str">
        <x:f>IF(AF1865&gt;0,B1865,"")</x:f>
      </x:c>
      <x:c r="AH1865" s="9" t="n">
        <x:f>IF(F1865&gt;=1,1,(1+v01_LowTiesShare*(AE1865-1))/AE1865)</x:f>
        <x:v>1</x:v>
      </x:c>
      <x:c r="AI1865" s="32" t="n">
        <x:f>(Z1865+v01_ElderCommons*INDEX(LM_Elder,G1865)*AA1865)*AH1865</x:f>
        <x:v>64139.732591141874</x:v>
      </x:c>
      <x:c r="AJ1865" s="32" t="n">
        <x:f>H1865*v01_CommonsCoef*AI1865^v01_CommonsExp*INDEX(LM_Commons,G1865)</x:f>
        <x:v>0</x:v>
      </x:c>
      <x:c r="AK1865" s="32" t="n">
        <x:f>H1865*v01_RoleScale*Arch_Roles*(AE1865*(INDEX(v01_ElderRolePerSett,G1865)*v01_OutElder*INDEX(LM_Elder,G1865)+INDEX(v01_ShamanPerSett,G1865)*v01_OutShaman)+Z1865*(INDEX(v01_PriestShare,G1865)*v01_OutPriest+INDEX(v01_ScribeShare,G1865)*v01_OutScribe*INDEX(LM_Scribe,G1865)+INDEX(v01_ScholarShare,G1865)*v01_OutScholar*INDEX(LM_Scholar,G1865)+INDEX(v01_ResearcherShare,G1865)*v01_OutResearcher*INDEX(LM_Researcher,G1865)))</x:f>
        <x:v>0</x:v>
      </x:c>
      <x:c r="AL1865" s="32" t="n">
        <x:f>H1865*v01_RoleScale*Arch_Roles*AE1865*INDEX(v01_MonasteryPerSett,G1865)*v01_OutMonastery*INDEX(LM_Monastery,G1865)</x:f>
        <x:v>0</x:v>
      </x:c>
      <x:c r="AM1865" s="32" t="n">
        <x:f>(AJ1865+AK1865+AL1865)/4*INDEX(LM_All,G1865)*INDEX(v01_Boon,G1865)*Arch_Insight</x:f>
        <x:v>0</x:v>
      </x:c>
      <x:c r="AN1865" s="32" t="n">
        <x:f>H1865*(v01_KHPerAdult*Z1865+v01_KHOfCommons*AJ1865/4*INDEX(LM_All,G1865))*v01_KHUsable*Arch_KH</x:f>
        <x:v>0</x:v>
      </x:c>
      <x:c r="AO1865" s="32" t="n">
        <x:f>MIN(AP1864+AN1865,AM1865*v01_KHMaxRatio)</x:f>
        <x:v>0</x:v>
      </x:c>
      <x:c r="AP1865" s="32" t="n">
        <x:f>AP1864+AN1865-AO1865</x:f>
        <x:v>0</x:v>
      </x:c>
      <x:c r="AQ1865" s="32" t="n">
        <x:f>AM1865+AO1865</x:f>
        <x:v>0</x:v>
      </x:c>
      <x:c r="AR1865" s="10" t="n">
        <x:f>IF(H1865=1,INDEX(v01_Req,G1865),0)</x:f>
        <x:v>0</x:v>
      </x:c>
      <x:c r="AS1865" s="32" t="n">
        <x:f>IF(H1865=1,IF(E1865=1,AS1864-AR1864,AS1864)+AQ1865,0)</x:f>
        <x:v>0</x:v>
      </x:c>
      <x:c r="AT1865" s="11" t="n">
        <x:f>IF(AR1865&gt;0,MIN(1,AS1865/AR1865),1)</x:f>
        <x:v>1</x:v>
      </x:c>
      <x:c r="AU1865" s="10" t="n">
        <x:f>AB1865/INDEX(v01_RepScale,G1865)</x:f>
        <x:v>90.09519605746344</x:v>
      </x:c>
      <x:c r="AV1865" s="32" t="n">
        <x:f>AM1865*60/v01_SeasonSeconds</x:f>
        <x:v>0</x:v>
      </x:c>
    </x:row>
    <x:row r="1866">
      <x:c r="A1866" s="8" t="n">
        <x:f>A1865+1</x:f>
        <x:v>1863</x:v>
      </x:c>
      <x:c r="B1866" s="9" t="n">
        <x:f>A1866*v01_SeasonSeconds/60</x:f>
        <x:v>465.75</x:v>
      </x:c>
      <x:c r="C1866" s="9" t="n">
        <x:f>A1866/4</x:f>
        <x:v>465.75</x:v>
      </x:c>
      <x:c r="D1866" s="8" t="n">
        <x:f>IF(MOD(A1866,4)=0,1,0)</x:f>
        <x:v>0</x:v>
      </x:c>
      <x:c r="E1866" s="8" t="n">
        <x:f>IF(AND(F1865&lt;=9,AS1865&gt;=AR1865),1,0)</x:f>
        <x:v>0</x:v>
      </x:c>
      <x:c r="F1866" s="8" t="n">
        <x:f>MIN(10,F1865+E1866)</x:f>
        <x:v>10</x:v>
      </x:c>
      <x:c r="G1866" s="8" t="n">
        <x:f>MIN(F1866,9)+1</x:f>
        <x:v>10</x:v>
      </x:c>
      <x:c r="H1866" s="8" t="n">
        <x:f>IF(F1866&lt;=9,1,0)</x:f>
        <x:v>0</x:v>
      </x:c>
      <x:c r="I1866" s="9" t="n">
        <x:f>MIN(10,F1865+IF(AR1865&gt;0,MIN(1,AS1865/AR1865),1))</x:f>
        <x:v>10</x:v>
      </x:c>
      <x:c r="J1866" s="32" t="n">
        <x:f>INDEX(v01_FoodCap,G1866)*Arch_FoodCap*EXP(v01_CapsByProject*SUMPRODUCT((Cap_Point&lt;=I1866)*(Cap_Kind="Food")*Cap_Ln))</x:f>
        <x:v>12000</x:v>
      </x:c>
      <x:c r="K1866" s="32" t="n">
        <x:f>J1866*MIN(1,v01_LeanBase*EXP(v01_CapsByProject*SUMPRODUCT((Cap_Point&lt;=I1866)*(Cap_Kind="Lean")*Cap_Ln)))</x:f>
        <x:v>12000</x:v>
      </x:c>
      <x:c r="L1866" s="10" t="n">
        <x:f>INDEX(v01_HousingCap,G1866)*EXP(v01_CapsByProject*SUMPRODUCT((Cap_Point&lt;=I1866)*(Cap_Kind="Housing")*Cap_Ln))</x:f>
        <x:v>20000</x:v>
      </x:c>
      <x:c r="M1866" s="10" t="n">
        <x:f>INDEX(v01_GroupCap,G1866)*v01_CohesionFactor*EXP(v01_CapsByProject*SUMPRODUCT((Cap_Point&lt;=I1866)*(Cap_Kind="Group")*Cap_Ln))</x:f>
        <x:v>1000000</x:v>
      </x:c>
      <x:c r="N1866" s="32" t="n">
        <x:f>MIN(J1866,L1866,M1866)</x:f>
        <x:v>12000</x:v>
      </x:c>
      <x:c r="O1866" s="10" t="n">
        <x:f>AE1865*N1866</x:f>
        <x:v>180000</x:v>
      </x:c>
      <x:c r="P1866" s="9" t="n">
        <x:f>MIN(1,(AB1865/(AE1865*IF(v01_GroupInCrowding=1,N1866,MIN(J1866,L1866))))^v01_CrowdingExp)</x:f>
        <x:v>0.00024569414295285325</x:v>
      </x:c>
      <x:c r="Q1866" s="9" t="n">
        <x:f>IF(D1866=1,INDEX(v01_WinterMult,G1866),1)</x:f>
        <x:v>1</x:v>
      </x:c>
      <x:c r="R1866" s="9" t="n">
        <x:f>H1866*Z1865*v01_WomenShare*v01_BaseFertility*INDEX(v01_FertMult,G1866)*Arch_Fertility*(1-P1866)</x:f>
        <x:v>0</x:v>
      </x:c>
      <x:c r="S1866" s="9" t="n">
        <x:f>H1866*Y1865*INDEX(v01_MortChild,G1866)/4*Q1866</x:f>
        <x:v>0</x:v>
      </x:c>
      <x:c r="T1866" s="9" t="n">
        <x:f>H1866*Z1865*INDEX(v01_MortAdult,G1866)*Arch_AdultMort/4*Q1866</x:f>
        <x:v>0</x:v>
      </x:c>
      <x:c r="U1866" s="9" t="n">
        <x:f>H1866*AA1865*INDEX(v01_MortElder,G1866)/4*Q1866</x:f>
        <x:v>0</x:v>
      </x:c>
      <x:c r="V1866" s="9" t="n">
        <x:f>H1866*MAX(0,AB1865-O1866)*v01_OvercapLoss</x:f>
        <x:v>0</x:v>
      </x:c>
      <x:c r="W1866" s="9" t="n">
        <x:f>H1866*Y1865/(v01_ChildYears*4)</x:f>
        <x:v>0</x:v>
      </x:c>
      <x:c r="X1866" s="9" t="n">
        <x:f>H1866*Z1865/(v01_AdultYears*4)</x:f>
        <x:v>0</x:v>
      </x:c>
      <x:c r="Y1866" s="32" t="n">
        <x:f>Y1865+R1866-S1866-W1866-Y1865*V1866/AB1865</x:f>
        <x:v>14306.18539759397</x:v>
      </x:c>
      <x:c r="Z1866" s="32" t="n">
        <x:f>Z1865+W1866-X1866-T1866-Z1865*V1866/AB1865</x:f>
        <x:v>19354.456567879548</x:v>
      </x:c>
      <x:c r="AA1866" s="32" t="n">
        <x:f>AA1865+X1866-U1866-AA1865*V1866/AB1865</x:f>
        <x:v>11386.956063258198</x:v>
      </x:c>
      <x:c r="AB1866" s="10" t="n">
        <x:f>Y1866+Z1866+AA1866</x:f>
        <x:v>45047.59802873172</x:v>
      </x:c>
      <x:c r="AC1866" s="8" t="n">
        <x:f>IF(AND(v01_WinterTrigger=1,D1866=1,AB1865/AE1865&gt;=K1866),1,0)</x:f>
        <x:v>0</x:v>
      </x:c>
      <x:c r="AD1866" s="8" t="n">
        <x:f>H1866*IF(AND(OR(AB1865/AE1865&gt;=v01_FissionTrigger*N1866,AC1866=1),AB1865/AE1865*v01_DaughterShare&gt;=v01_MinDaughter),MAX(1,ROUND(AE1865*v01_FissionRate,0)),0)</x:f>
        <x:v>0</x:v>
      </x:c>
      <x:c r="AE1866" s="8" t="n">
        <x:f>IF(H1866=1,MAX(1,MIN(INDEX(v01_Smax,G1866),AE1865+AD1866)),AE1865)</x:f>
        <x:v>15</x:v>
      </x:c>
      <x:c r="AF1866" s="8" t="n">
        <x:f>MAX(0,AE1866-AE1865)</x:f>
        <x:v>0</x:v>
      </x:c>
      <x:c r="AG1866" s="9" t="str">
        <x:f>IF(AF1866&gt;0,B1866,"")</x:f>
      </x:c>
      <x:c r="AH1866" s="9" t="n">
        <x:f>IF(F1866&gt;=1,1,(1+v01_LowTiesShare*(AE1866-1))/AE1866)</x:f>
        <x:v>1</x:v>
      </x:c>
      <x:c r="AI1866" s="32" t="n">
        <x:f>(Z1866+v01_ElderCommons*INDEX(LM_Elder,G1866)*AA1866)*AH1866</x:f>
        <x:v>64139.732591141874</x:v>
      </x:c>
      <x:c r="AJ1866" s="32" t="n">
        <x:f>H1866*v01_CommonsCoef*AI1866^v01_CommonsExp*INDEX(LM_Commons,G1866)</x:f>
        <x:v>0</x:v>
      </x:c>
      <x:c r="AK1866" s="32" t="n">
        <x:f>H1866*v01_RoleScale*Arch_Roles*(AE1866*(INDEX(v01_ElderRolePerSett,G1866)*v01_OutElder*INDEX(LM_Elder,G1866)+INDEX(v01_ShamanPerSett,G1866)*v01_OutShaman)+Z1866*(INDEX(v01_PriestShare,G1866)*v01_OutPriest+INDEX(v01_ScribeShare,G1866)*v01_OutScribe*INDEX(LM_Scribe,G1866)+INDEX(v01_ScholarShare,G1866)*v01_OutScholar*INDEX(LM_Scholar,G1866)+INDEX(v01_ResearcherShare,G1866)*v01_OutResearcher*INDEX(LM_Researcher,G1866)))</x:f>
        <x:v>0</x:v>
      </x:c>
      <x:c r="AL1866" s="32" t="n">
        <x:f>H1866*v01_RoleScale*Arch_Roles*AE1866*INDEX(v01_MonasteryPerSett,G1866)*v01_OutMonastery*INDEX(LM_Monastery,G1866)</x:f>
        <x:v>0</x:v>
      </x:c>
      <x:c r="AM1866" s="32" t="n">
        <x:f>(AJ1866+AK1866+AL1866)/4*INDEX(LM_All,G1866)*INDEX(v01_Boon,G1866)*Arch_Insight</x:f>
        <x:v>0</x:v>
      </x:c>
      <x:c r="AN1866" s="32" t="n">
        <x:f>H1866*(v01_KHPerAdult*Z1866+v01_KHOfCommons*AJ1866/4*INDEX(LM_All,G1866))*v01_KHUsable*Arch_KH</x:f>
        <x:v>0</x:v>
      </x:c>
      <x:c r="AO1866" s="32" t="n">
        <x:f>MIN(AP1865+AN1866,AM1866*v01_KHMaxRatio)</x:f>
        <x:v>0</x:v>
      </x:c>
      <x:c r="AP1866" s="32" t="n">
        <x:f>AP1865+AN1866-AO1866</x:f>
        <x:v>0</x:v>
      </x:c>
      <x:c r="AQ1866" s="32" t="n">
        <x:f>AM1866+AO1866</x:f>
        <x:v>0</x:v>
      </x:c>
      <x:c r="AR1866" s="10" t="n">
        <x:f>IF(H1866=1,INDEX(v01_Req,G1866),0)</x:f>
        <x:v>0</x:v>
      </x:c>
      <x:c r="AS1866" s="32" t="n">
        <x:f>IF(H1866=1,IF(E1866=1,AS1865-AR1865,AS1865)+AQ1866,0)</x:f>
        <x:v>0</x:v>
      </x:c>
      <x:c r="AT1866" s="11" t="n">
        <x:f>IF(AR1866&gt;0,MIN(1,AS1866/AR1866),1)</x:f>
        <x:v>1</x:v>
      </x:c>
      <x:c r="AU1866" s="10" t="n">
        <x:f>AB1866/INDEX(v01_RepScale,G1866)</x:f>
        <x:v>90.09519605746344</x:v>
      </x:c>
      <x:c r="AV1866" s="32" t="n">
        <x:f>AM1866*60/v01_SeasonSeconds</x:f>
        <x:v>0</x:v>
      </x:c>
    </x:row>
    <x:row r="1867">
      <x:c r="A1867" s="8" t="n">
        <x:f>A1866+1</x:f>
        <x:v>1864</x:v>
      </x:c>
      <x:c r="B1867" s="9" t="n">
        <x:f>A1867*v01_SeasonSeconds/60</x:f>
        <x:v>466</x:v>
      </x:c>
      <x:c r="C1867" s="9" t="n">
        <x:f>A1867/4</x:f>
        <x:v>466</x:v>
      </x:c>
      <x:c r="D1867" s="8" t="n">
        <x:f>IF(MOD(A1867,4)=0,1,0)</x:f>
        <x:v>1</x:v>
      </x:c>
      <x:c r="E1867" s="8" t="n">
        <x:f>IF(AND(F1866&lt;=9,AS1866&gt;=AR1866),1,0)</x:f>
        <x:v>0</x:v>
      </x:c>
      <x:c r="F1867" s="8" t="n">
        <x:f>MIN(10,F1866+E1867)</x:f>
        <x:v>10</x:v>
      </x:c>
      <x:c r="G1867" s="8" t="n">
        <x:f>MIN(F1867,9)+1</x:f>
        <x:v>10</x:v>
      </x:c>
      <x:c r="H1867" s="8" t="n">
        <x:f>IF(F1867&lt;=9,1,0)</x:f>
        <x:v>0</x:v>
      </x:c>
      <x:c r="I1867" s="9" t="n">
        <x:f>MIN(10,F1866+IF(AR1866&gt;0,MIN(1,AS1866/AR1866),1))</x:f>
        <x:v>10</x:v>
      </x:c>
      <x:c r="J1867" s="32" t="n">
        <x:f>INDEX(v01_FoodCap,G1867)*Arch_FoodCap*EXP(v01_CapsByProject*SUMPRODUCT((Cap_Point&lt;=I1867)*(Cap_Kind="Food")*Cap_Ln))</x:f>
        <x:v>12000</x:v>
      </x:c>
      <x:c r="K1867" s="32" t="n">
        <x:f>J1867*MIN(1,v01_LeanBase*EXP(v01_CapsByProject*SUMPRODUCT((Cap_Point&lt;=I1867)*(Cap_Kind="Lean")*Cap_Ln)))</x:f>
        <x:v>12000</x:v>
      </x:c>
      <x:c r="L1867" s="10" t="n">
        <x:f>INDEX(v01_HousingCap,G1867)*EXP(v01_CapsByProject*SUMPRODUCT((Cap_Point&lt;=I1867)*(Cap_Kind="Housing")*Cap_Ln))</x:f>
        <x:v>20000</x:v>
      </x:c>
      <x:c r="M1867" s="10" t="n">
        <x:f>INDEX(v01_GroupCap,G1867)*v01_CohesionFactor*EXP(v01_CapsByProject*SUMPRODUCT((Cap_Point&lt;=I1867)*(Cap_Kind="Group")*Cap_Ln))</x:f>
        <x:v>1000000</x:v>
      </x:c>
      <x:c r="N1867" s="32" t="n">
        <x:f>MIN(J1867,L1867,M1867)</x:f>
        <x:v>12000</x:v>
      </x:c>
      <x:c r="O1867" s="10" t="n">
        <x:f>AE1866*N1867</x:f>
        <x:v>180000</x:v>
      </x:c>
      <x:c r="P1867" s="9" t="n">
        <x:f>MIN(1,(AB1866/(AE1866*IF(v01_GroupInCrowding=1,N1867,MIN(J1867,L1867))))^v01_CrowdingExp)</x:f>
        <x:v>0.00024569414295285325</x:v>
      </x:c>
      <x:c r="Q1867" s="9" t="n">
        <x:f>IF(D1867=1,INDEX(v01_WinterMult,G1867),1)</x:f>
        <x:v>1</x:v>
      </x:c>
      <x:c r="R1867" s="9" t="n">
        <x:f>H1867*Z1866*v01_WomenShare*v01_BaseFertility*INDEX(v01_FertMult,G1867)*Arch_Fertility*(1-P1867)</x:f>
        <x:v>0</x:v>
      </x:c>
      <x:c r="S1867" s="9" t="n">
        <x:f>H1867*Y1866*INDEX(v01_MortChild,G1867)/4*Q1867</x:f>
        <x:v>0</x:v>
      </x:c>
      <x:c r="T1867" s="9" t="n">
        <x:f>H1867*Z1866*INDEX(v01_MortAdult,G1867)*Arch_AdultMort/4*Q1867</x:f>
        <x:v>0</x:v>
      </x:c>
      <x:c r="U1867" s="9" t="n">
        <x:f>H1867*AA1866*INDEX(v01_MortElder,G1867)/4*Q1867</x:f>
        <x:v>0</x:v>
      </x:c>
      <x:c r="V1867" s="9" t="n">
        <x:f>H1867*MAX(0,AB1866-O1867)*v01_OvercapLoss</x:f>
        <x:v>0</x:v>
      </x:c>
      <x:c r="W1867" s="9" t="n">
        <x:f>H1867*Y1866/(v01_ChildYears*4)</x:f>
        <x:v>0</x:v>
      </x:c>
      <x:c r="X1867" s="9" t="n">
        <x:f>H1867*Z1866/(v01_AdultYears*4)</x:f>
        <x:v>0</x:v>
      </x:c>
      <x:c r="Y1867" s="32" t="n">
        <x:f>Y1866+R1867-S1867-W1867-Y1866*V1867/AB1866</x:f>
        <x:v>14306.18539759397</x:v>
      </x:c>
      <x:c r="Z1867" s="32" t="n">
        <x:f>Z1866+W1867-X1867-T1867-Z1866*V1867/AB1866</x:f>
        <x:v>19354.456567879548</x:v>
      </x:c>
      <x:c r="AA1867" s="32" t="n">
        <x:f>AA1866+X1867-U1867-AA1866*V1867/AB1866</x:f>
        <x:v>11386.956063258198</x:v>
      </x:c>
      <x:c r="AB1867" s="10" t="n">
        <x:f>Y1867+Z1867+AA1867</x:f>
        <x:v>45047.59802873172</x:v>
      </x:c>
      <x:c r="AC1867" s="8" t="n">
        <x:f>IF(AND(v01_WinterTrigger=1,D1867=1,AB1866/AE1866&gt;=K1867),1,0)</x:f>
        <x:v>0</x:v>
      </x:c>
      <x:c r="AD1867" s="8" t="n">
        <x:f>H1867*IF(AND(OR(AB1866/AE1866&gt;=v01_FissionTrigger*N1867,AC1867=1),AB1866/AE1866*v01_DaughterShare&gt;=v01_MinDaughter),MAX(1,ROUND(AE1866*v01_FissionRate,0)),0)</x:f>
        <x:v>0</x:v>
      </x:c>
      <x:c r="AE1867" s="8" t="n">
        <x:f>IF(H1867=1,MAX(1,MIN(INDEX(v01_Smax,G1867),AE1866+AD1867)),AE1866)</x:f>
        <x:v>15</x:v>
      </x:c>
      <x:c r="AF1867" s="8" t="n">
        <x:f>MAX(0,AE1867-AE1866)</x:f>
        <x:v>0</x:v>
      </x:c>
      <x:c r="AG1867" s="9" t="str">
        <x:f>IF(AF1867&gt;0,B1867,"")</x:f>
      </x:c>
      <x:c r="AH1867" s="9" t="n">
        <x:f>IF(F1867&gt;=1,1,(1+v01_LowTiesShare*(AE1867-1))/AE1867)</x:f>
        <x:v>1</x:v>
      </x:c>
      <x:c r="AI1867" s="32" t="n">
        <x:f>(Z1867+v01_ElderCommons*INDEX(LM_Elder,G1867)*AA1867)*AH1867</x:f>
        <x:v>64139.732591141874</x:v>
      </x:c>
      <x:c r="AJ1867" s="32" t="n">
        <x:f>H1867*v01_CommonsCoef*AI1867^v01_CommonsExp*INDEX(LM_Commons,G1867)</x:f>
        <x:v>0</x:v>
      </x:c>
      <x:c r="AK1867" s="32" t="n">
        <x:f>H1867*v01_RoleScale*Arch_Roles*(AE1867*(INDEX(v01_ElderRolePerSett,G1867)*v01_OutElder*INDEX(LM_Elder,G1867)+INDEX(v01_ShamanPerSett,G1867)*v01_OutShaman)+Z1867*(INDEX(v01_PriestShare,G1867)*v01_OutPriest+INDEX(v01_ScribeShare,G1867)*v01_OutScribe*INDEX(LM_Scribe,G1867)+INDEX(v01_ScholarShare,G1867)*v01_OutScholar*INDEX(LM_Scholar,G1867)+INDEX(v01_ResearcherShare,G1867)*v01_OutResearcher*INDEX(LM_Researcher,G1867)))</x:f>
        <x:v>0</x:v>
      </x:c>
      <x:c r="AL1867" s="32" t="n">
        <x:f>H1867*v01_RoleScale*Arch_Roles*AE1867*INDEX(v01_MonasteryPerSett,G1867)*v01_OutMonastery*INDEX(LM_Monastery,G1867)</x:f>
        <x:v>0</x:v>
      </x:c>
      <x:c r="AM1867" s="32" t="n">
        <x:f>(AJ1867+AK1867+AL1867)/4*INDEX(LM_All,G1867)*INDEX(v01_Boon,G1867)*Arch_Insight</x:f>
        <x:v>0</x:v>
      </x:c>
      <x:c r="AN1867" s="32" t="n">
        <x:f>H1867*(v01_KHPerAdult*Z1867+v01_KHOfCommons*AJ1867/4*INDEX(LM_All,G1867))*v01_KHUsable*Arch_KH</x:f>
        <x:v>0</x:v>
      </x:c>
      <x:c r="AO1867" s="32" t="n">
        <x:f>MIN(AP1866+AN1867,AM1867*v01_KHMaxRatio)</x:f>
        <x:v>0</x:v>
      </x:c>
      <x:c r="AP1867" s="32" t="n">
        <x:f>AP1866+AN1867-AO1867</x:f>
        <x:v>0</x:v>
      </x:c>
      <x:c r="AQ1867" s="32" t="n">
        <x:f>AM1867+AO1867</x:f>
        <x:v>0</x:v>
      </x:c>
      <x:c r="AR1867" s="10" t="n">
        <x:f>IF(H1867=1,INDEX(v01_Req,G1867),0)</x:f>
        <x:v>0</x:v>
      </x:c>
      <x:c r="AS1867" s="32" t="n">
        <x:f>IF(H1867=1,IF(E1867=1,AS1866-AR1866,AS1866)+AQ1867,0)</x:f>
        <x:v>0</x:v>
      </x:c>
      <x:c r="AT1867" s="11" t="n">
        <x:f>IF(AR1867&gt;0,MIN(1,AS1867/AR1867),1)</x:f>
        <x:v>1</x:v>
      </x:c>
      <x:c r="AU1867" s="10" t="n">
        <x:f>AB1867/INDEX(v01_RepScale,G1867)</x:f>
        <x:v>90.09519605746344</x:v>
      </x:c>
      <x:c r="AV1867" s="32" t="n">
        <x:f>AM1867*60/v01_SeasonSeconds</x:f>
        <x:v>0</x:v>
      </x:c>
    </x:row>
    <x:row r="1868">
      <x:c r="A1868" s="8" t="n">
        <x:f>A1867+1</x:f>
        <x:v>1865</x:v>
      </x:c>
      <x:c r="B1868" s="9" t="n">
        <x:f>A1868*v01_SeasonSeconds/60</x:f>
        <x:v>466.25</x:v>
      </x:c>
      <x:c r="C1868" s="9" t="n">
        <x:f>A1868/4</x:f>
        <x:v>466.25</x:v>
      </x:c>
      <x:c r="D1868" s="8" t="n">
        <x:f>IF(MOD(A1868,4)=0,1,0)</x:f>
        <x:v>0</x:v>
      </x:c>
      <x:c r="E1868" s="8" t="n">
        <x:f>IF(AND(F1867&lt;=9,AS1867&gt;=AR1867),1,0)</x:f>
        <x:v>0</x:v>
      </x:c>
      <x:c r="F1868" s="8" t="n">
        <x:f>MIN(10,F1867+E1868)</x:f>
        <x:v>10</x:v>
      </x:c>
      <x:c r="G1868" s="8" t="n">
        <x:f>MIN(F1868,9)+1</x:f>
        <x:v>10</x:v>
      </x:c>
      <x:c r="H1868" s="8" t="n">
        <x:f>IF(F1868&lt;=9,1,0)</x:f>
        <x:v>0</x:v>
      </x:c>
      <x:c r="I1868" s="9" t="n">
        <x:f>MIN(10,F1867+IF(AR1867&gt;0,MIN(1,AS1867/AR1867),1))</x:f>
        <x:v>10</x:v>
      </x:c>
      <x:c r="J1868" s="32" t="n">
        <x:f>INDEX(v01_FoodCap,G1868)*Arch_FoodCap*EXP(v01_CapsByProject*SUMPRODUCT((Cap_Point&lt;=I1868)*(Cap_Kind="Food")*Cap_Ln))</x:f>
        <x:v>12000</x:v>
      </x:c>
      <x:c r="K1868" s="32" t="n">
        <x:f>J1868*MIN(1,v01_LeanBase*EXP(v01_CapsByProject*SUMPRODUCT((Cap_Point&lt;=I1868)*(Cap_Kind="Lean")*Cap_Ln)))</x:f>
        <x:v>12000</x:v>
      </x:c>
      <x:c r="L1868" s="10" t="n">
        <x:f>INDEX(v01_HousingCap,G1868)*EXP(v01_CapsByProject*SUMPRODUCT((Cap_Point&lt;=I1868)*(Cap_Kind="Housing")*Cap_Ln))</x:f>
        <x:v>20000</x:v>
      </x:c>
      <x:c r="M1868" s="10" t="n">
        <x:f>INDEX(v01_GroupCap,G1868)*v01_CohesionFactor*EXP(v01_CapsByProject*SUMPRODUCT((Cap_Point&lt;=I1868)*(Cap_Kind="Group")*Cap_Ln))</x:f>
        <x:v>1000000</x:v>
      </x:c>
      <x:c r="N1868" s="32" t="n">
        <x:f>MIN(J1868,L1868,M1868)</x:f>
        <x:v>12000</x:v>
      </x:c>
      <x:c r="O1868" s="10" t="n">
        <x:f>AE1867*N1868</x:f>
        <x:v>180000</x:v>
      </x:c>
      <x:c r="P1868" s="9" t="n">
        <x:f>MIN(1,(AB1867/(AE1867*IF(v01_GroupInCrowding=1,N1868,MIN(J1868,L1868))))^v01_CrowdingExp)</x:f>
        <x:v>0.00024569414295285325</x:v>
      </x:c>
      <x:c r="Q1868" s="9" t="n">
        <x:f>IF(D1868=1,INDEX(v01_WinterMult,G1868),1)</x:f>
        <x:v>1</x:v>
      </x:c>
      <x:c r="R1868" s="9" t="n">
        <x:f>H1868*Z1867*v01_WomenShare*v01_BaseFertility*INDEX(v01_FertMult,G1868)*Arch_Fertility*(1-P1868)</x:f>
        <x:v>0</x:v>
      </x:c>
      <x:c r="S1868" s="9" t="n">
        <x:f>H1868*Y1867*INDEX(v01_MortChild,G1868)/4*Q1868</x:f>
        <x:v>0</x:v>
      </x:c>
      <x:c r="T1868" s="9" t="n">
        <x:f>H1868*Z1867*INDEX(v01_MortAdult,G1868)*Arch_AdultMort/4*Q1868</x:f>
        <x:v>0</x:v>
      </x:c>
      <x:c r="U1868" s="9" t="n">
        <x:f>H1868*AA1867*INDEX(v01_MortElder,G1868)/4*Q1868</x:f>
        <x:v>0</x:v>
      </x:c>
      <x:c r="V1868" s="9" t="n">
        <x:f>H1868*MAX(0,AB1867-O1868)*v01_OvercapLoss</x:f>
        <x:v>0</x:v>
      </x:c>
      <x:c r="W1868" s="9" t="n">
        <x:f>H1868*Y1867/(v01_ChildYears*4)</x:f>
        <x:v>0</x:v>
      </x:c>
      <x:c r="X1868" s="9" t="n">
        <x:f>H1868*Z1867/(v01_AdultYears*4)</x:f>
        <x:v>0</x:v>
      </x:c>
      <x:c r="Y1868" s="32" t="n">
        <x:f>Y1867+R1868-S1868-W1868-Y1867*V1868/AB1867</x:f>
        <x:v>14306.18539759397</x:v>
      </x:c>
      <x:c r="Z1868" s="32" t="n">
        <x:f>Z1867+W1868-X1868-T1868-Z1867*V1868/AB1867</x:f>
        <x:v>19354.456567879548</x:v>
      </x:c>
      <x:c r="AA1868" s="32" t="n">
        <x:f>AA1867+X1868-U1868-AA1867*V1868/AB1867</x:f>
        <x:v>11386.956063258198</x:v>
      </x:c>
      <x:c r="AB1868" s="10" t="n">
        <x:f>Y1868+Z1868+AA1868</x:f>
        <x:v>45047.59802873172</x:v>
      </x:c>
      <x:c r="AC1868" s="8" t="n">
        <x:f>IF(AND(v01_WinterTrigger=1,D1868=1,AB1867/AE1867&gt;=K1868),1,0)</x:f>
        <x:v>0</x:v>
      </x:c>
      <x:c r="AD1868" s="8" t="n">
        <x:f>H1868*IF(AND(OR(AB1867/AE1867&gt;=v01_FissionTrigger*N1868,AC1868=1),AB1867/AE1867*v01_DaughterShare&gt;=v01_MinDaughter),MAX(1,ROUND(AE1867*v01_FissionRate,0)),0)</x:f>
        <x:v>0</x:v>
      </x:c>
      <x:c r="AE1868" s="8" t="n">
        <x:f>IF(H1868=1,MAX(1,MIN(INDEX(v01_Smax,G1868),AE1867+AD1868)),AE1867)</x:f>
        <x:v>15</x:v>
      </x:c>
      <x:c r="AF1868" s="8" t="n">
        <x:f>MAX(0,AE1868-AE1867)</x:f>
        <x:v>0</x:v>
      </x:c>
      <x:c r="AG1868" s="9" t="str">
        <x:f>IF(AF1868&gt;0,B1868,"")</x:f>
      </x:c>
      <x:c r="AH1868" s="9" t="n">
        <x:f>IF(F1868&gt;=1,1,(1+v01_LowTiesShare*(AE1868-1))/AE1868)</x:f>
        <x:v>1</x:v>
      </x:c>
      <x:c r="AI1868" s="32" t="n">
        <x:f>(Z1868+v01_ElderCommons*INDEX(LM_Elder,G1868)*AA1868)*AH1868</x:f>
        <x:v>64139.732591141874</x:v>
      </x:c>
      <x:c r="AJ1868" s="32" t="n">
        <x:f>H1868*v01_CommonsCoef*AI1868^v01_CommonsExp*INDEX(LM_Commons,G1868)</x:f>
        <x:v>0</x:v>
      </x:c>
      <x:c r="AK1868" s="32" t="n">
        <x:f>H1868*v01_RoleScale*Arch_Roles*(AE1868*(INDEX(v01_ElderRolePerSett,G1868)*v01_OutElder*INDEX(LM_Elder,G1868)+INDEX(v01_ShamanPerSett,G1868)*v01_OutShaman)+Z1868*(INDEX(v01_PriestShare,G1868)*v01_OutPriest+INDEX(v01_ScribeShare,G1868)*v01_OutScribe*INDEX(LM_Scribe,G1868)+INDEX(v01_ScholarShare,G1868)*v01_OutScholar*INDEX(LM_Scholar,G1868)+INDEX(v01_ResearcherShare,G1868)*v01_OutResearcher*INDEX(LM_Researcher,G1868)))</x:f>
        <x:v>0</x:v>
      </x:c>
      <x:c r="AL1868" s="32" t="n">
        <x:f>H1868*v01_RoleScale*Arch_Roles*AE1868*INDEX(v01_MonasteryPerSett,G1868)*v01_OutMonastery*INDEX(LM_Monastery,G1868)</x:f>
        <x:v>0</x:v>
      </x:c>
      <x:c r="AM1868" s="32" t="n">
        <x:f>(AJ1868+AK1868+AL1868)/4*INDEX(LM_All,G1868)*INDEX(v01_Boon,G1868)*Arch_Insight</x:f>
        <x:v>0</x:v>
      </x:c>
      <x:c r="AN1868" s="32" t="n">
        <x:f>H1868*(v01_KHPerAdult*Z1868+v01_KHOfCommons*AJ1868/4*INDEX(LM_All,G1868))*v01_KHUsable*Arch_KH</x:f>
        <x:v>0</x:v>
      </x:c>
      <x:c r="AO1868" s="32" t="n">
        <x:f>MIN(AP1867+AN1868,AM1868*v01_KHMaxRatio)</x:f>
        <x:v>0</x:v>
      </x:c>
      <x:c r="AP1868" s="32" t="n">
        <x:f>AP1867+AN1868-AO1868</x:f>
        <x:v>0</x:v>
      </x:c>
      <x:c r="AQ1868" s="32" t="n">
        <x:f>AM1868+AO1868</x:f>
        <x:v>0</x:v>
      </x:c>
      <x:c r="AR1868" s="10" t="n">
        <x:f>IF(H1868=1,INDEX(v01_Req,G1868),0)</x:f>
        <x:v>0</x:v>
      </x:c>
      <x:c r="AS1868" s="32" t="n">
        <x:f>IF(H1868=1,IF(E1868=1,AS1867-AR1867,AS1867)+AQ1868,0)</x:f>
        <x:v>0</x:v>
      </x:c>
      <x:c r="AT1868" s="11" t="n">
        <x:f>IF(AR1868&gt;0,MIN(1,AS1868/AR1868),1)</x:f>
        <x:v>1</x:v>
      </x:c>
      <x:c r="AU1868" s="10" t="n">
        <x:f>AB1868/INDEX(v01_RepScale,G1868)</x:f>
        <x:v>90.09519605746344</x:v>
      </x:c>
      <x:c r="AV1868" s="32" t="n">
        <x:f>AM1868*60/v01_SeasonSeconds</x:f>
        <x:v>0</x:v>
      </x:c>
    </x:row>
    <x:row r="1869">
      <x:c r="A1869" s="8" t="n">
        <x:f>A1868+1</x:f>
        <x:v>1866</x:v>
      </x:c>
      <x:c r="B1869" s="9" t="n">
        <x:f>A1869*v01_SeasonSeconds/60</x:f>
        <x:v>466.5</x:v>
      </x:c>
      <x:c r="C1869" s="9" t="n">
        <x:f>A1869/4</x:f>
        <x:v>466.5</x:v>
      </x:c>
      <x:c r="D1869" s="8" t="n">
        <x:f>IF(MOD(A1869,4)=0,1,0)</x:f>
        <x:v>0</x:v>
      </x:c>
      <x:c r="E1869" s="8" t="n">
        <x:f>IF(AND(F1868&lt;=9,AS1868&gt;=AR1868),1,0)</x:f>
        <x:v>0</x:v>
      </x:c>
      <x:c r="F1869" s="8" t="n">
        <x:f>MIN(10,F1868+E1869)</x:f>
        <x:v>10</x:v>
      </x:c>
      <x:c r="G1869" s="8" t="n">
        <x:f>MIN(F1869,9)+1</x:f>
        <x:v>10</x:v>
      </x:c>
      <x:c r="H1869" s="8" t="n">
        <x:f>IF(F1869&lt;=9,1,0)</x:f>
        <x:v>0</x:v>
      </x:c>
      <x:c r="I1869" s="9" t="n">
        <x:f>MIN(10,F1868+IF(AR1868&gt;0,MIN(1,AS1868/AR1868),1))</x:f>
        <x:v>10</x:v>
      </x:c>
      <x:c r="J1869" s="32" t="n">
        <x:f>INDEX(v01_FoodCap,G1869)*Arch_FoodCap*EXP(v01_CapsByProject*SUMPRODUCT((Cap_Point&lt;=I1869)*(Cap_Kind="Food")*Cap_Ln))</x:f>
        <x:v>12000</x:v>
      </x:c>
      <x:c r="K1869" s="32" t="n">
        <x:f>J1869*MIN(1,v01_LeanBase*EXP(v01_CapsByProject*SUMPRODUCT((Cap_Point&lt;=I1869)*(Cap_Kind="Lean")*Cap_Ln)))</x:f>
        <x:v>12000</x:v>
      </x:c>
      <x:c r="L1869" s="10" t="n">
        <x:f>INDEX(v01_HousingCap,G1869)*EXP(v01_CapsByProject*SUMPRODUCT((Cap_Point&lt;=I1869)*(Cap_Kind="Housing")*Cap_Ln))</x:f>
        <x:v>20000</x:v>
      </x:c>
      <x:c r="M1869" s="10" t="n">
        <x:f>INDEX(v01_GroupCap,G1869)*v01_CohesionFactor*EXP(v01_CapsByProject*SUMPRODUCT((Cap_Point&lt;=I1869)*(Cap_Kind="Group")*Cap_Ln))</x:f>
        <x:v>1000000</x:v>
      </x:c>
      <x:c r="N1869" s="32" t="n">
        <x:f>MIN(J1869,L1869,M1869)</x:f>
        <x:v>12000</x:v>
      </x:c>
      <x:c r="O1869" s="10" t="n">
        <x:f>AE1868*N1869</x:f>
        <x:v>180000</x:v>
      </x:c>
      <x:c r="P1869" s="9" t="n">
        <x:f>MIN(1,(AB1868/(AE1868*IF(v01_GroupInCrowding=1,N1869,MIN(J1869,L1869))))^v01_CrowdingExp)</x:f>
        <x:v>0.00024569414295285325</x:v>
      </x:c>
      <x:c r="Q1869" s="9" t="n">
        <x:f>IF(D1869=1,INDEX(v01_WinterMult,G1869),1)</x:f>
        <x:v>1</x:v>
      </x:c>
      <x:c r="R1869" s="9" t="n">
        <x:f>H1869*Z1868*v01_WomenShare*v01_BaseFertility*INDEX(v01_FertMult,G1869)*Arch_Fertility*(1-P1869)</x:f>
        <x:v>0</x:v>
      </x:c>
      <x:c r="S1869" s="9" t="n">
        <x:f>H1869*Y1868*INDEX(v01_MortChild,G1869)/4*Q1869</x:f>
        <x:v>0</x:v>
      </x:c>
      <x:c r="T1869" s="9" t="n">
        <x:f>H1869*Z1868*INDEX(v01_MortAdult,G1869)*Arch_AdultMort/4*Q1869</x:f>
        <x:v>0</x:v>
      </x:c>
      <x:c r="U1869" s="9" t="n">
        <x:f>H1869*AA1868*INDEX(v01_MortElder,G1869)/4*Q1869</x:f>
        <x:v>0</x:v>
      </x:c>
      <x:c r="V1869" s="9" t="n">
        <x:f>H1869*MAX(0,AB1868-O1869)*v01_OvercapLoss</x:f>
        <x:v>0</x:v>
      </x:c>
      <x:c r="W1869" s="9" t="n">
        <x:f>H1869*Y1868/(v01_ChildYears*4)</x:f>
        <x:v>0</x:v>
      </x:c>
      <x:c r="X1869" s="9" t="n">
        <x:f>H1869*Z1868/(v01_AdultYears*4)</x:f>
        <x:v>0</x:v>
      </x:c>
      <x:c r="Y1869" s="32" t="n">
        <x:f>Y1868+R1869-S1869-W1869-Y1868*V1869/AB1868</x:f>
        <x:v>14306.18539759397</x:v>
      </x:c>
      <x:c r="Z1869" s="32" t="n">
        <x:f>Z1868+W1869-X1869-T1869-Z1868*V1869/AB1868</x:f>
        <x:v>19354.456567879548</x:v>
      </x:c>
      <x:c r="AA1869" s="32" t="n">
        <x:f>AA1868+X1869-U1869-AA1868*V1869/AB1868</x:f>
        <x:v>11386.956063258198</x:v>
      </x:c>
      <x:c r="AB1869" s="10" t="n">
        <x:f>Y1869+Z1869+AA1869</x:f>
        <x:v>45047.59802873172</x:v>
      </x:c>
      <x:c r="AC1869" s="8" t="n">
        <x:f>IF(AND(v01_WinterTrigger=1,D1869=1,AB1868/AE1868&gt;=K1869),1,0)</x:f>
        <x:v>0</x:v>
      </x:c>
      <x:c r="AD1869" s="8" t="n">
        <x:f>H1869*IF(AND(OR(AB1868/AE1868&gt;=v01_FissionTrigger*N1869,AC1869=1),AB1868/AE1868*v01_DaughterShare&gt;=v01_MinDaughter),MAX(1,ROUND(AE1868*v01_FissionRate,0)),0)</x:f>
        <x:v>0</x:v>
      </x:c>
      <x:c r="AE1869" s="8" t="n">
        <x:f>IF(H1869=1,MAX(1,MIN(INDEX(v01_Smax,G1869),AE1868+AD1869)),AE1868)</x:f>
        <x:v>15</x:v>
      </x:c>
      <x:c r="AF1869" s="8" t="n">
        <x:f>MAX(0,AE1869-AE1868)</x:f>
        <x:v>0</x:v>
      </x:c>
      <x:c r="AG1869" s="9" t="str">
        <x:f>IF(AF1869&gt;0,B1869,"")</x:f>
      </x:c>
      <x:c r="AH1869" s="9" t="n">
        <x:f>IF(F1869&gt;=1,1,(1+v01_LowTiesShare*(AE1869-1))/AE1869)</x:f>
        <x:v>1</x:v>
      </x:c>
      <x:c r="AI1869" s="32" t="n">
        <x:f>(Z1869+v01_ElderCommons*INDEX(LM_Elder,G1869)*AA1869)*AH1869</x:f>
        <x:v>64139.732591141874</x:v>
      </x:c>
      <x:c r="AJ1869" s="32" t="n">
        <x:f>H1869*v01_CommonsCoef*AI1869^v01_CommonsExp*INDEX(LM_Commons,G1869)</x:f>
        <x:v>0</x:v>
      </x:c>
      <x:c r="AK1869" s="32" t="n">
        <x:f>H1869*v01_RoleScale*Arch_Roles*(AE1869*(INDEX(v01_ElderRolePerSett,G1869)*v01_OutElder*INDEX(LM_Elder,G1869)+INDEX(v01_ShamanPerSett,G1869)*v01_OutShaman)+Z1869*(INDEX(v01_PriestShare,G1869)*v01_OutPriest+INDEX(v01_ScribeShare,G1869)*v01_OutScribe*INDEX(LM_Scribe,G1869)+INDEX(v01_ScholarShare,G1869)*v01_OutScholar*INDEX(LM_Scholar,G1869)+INDEX(v01_ResearcherShare,G1869)*v01_OutResearcher*INDEX(LM_Researcher,G1869)))</x:f>
        <x:v>0</x:v>
      </x:c>
      <x:c r="AL1869" s="32" t="n">
        <x:f>H1869*v01_RoleScale*Arch_Roles*AE1869*INDEX(v01_MonasteryPerSett,G1869)*v01_OutMonastery*INDEX(LM_Monastery,G1869)</x:f>
        <x:v>0</x:v>
      </x:c>
      <x:c r="AM1869" s="32" t="n">
        <x:f>(AJ1869+AK1869+AL1869)/4*INDEX(LM_All,G1869)*INDEX(v01_Boon,G1869)*Arch_Insight</x:f>
        <x:v>0</x:v>
      </x:c>
      <x:c r="AN1869" s="32" t="n">
        <x:f>H1869*(v01_KHPerAdult*Z1869+v01_KHOfCommons*AJ1869/4*INDEX(LM_All,G1869))*v01_KHUsable*Arch_KH</x:f>
        <x:v>0</x:v>
      </x:c>
      <x:c r="AO1869" s="32" t="n">
        <x:f>MIN(AP1868+AN1869,AM1869*v01_KHMaxRatio)</x:f>
        <x:v>0</x:v>
      </x:c>
      <x:c r="AP1869" s="32" t="n">
        <x:f>AP1868+AN1869-AO1869</x:f>
        <x:v>0</x:v>
      </x:c>
      <x:c r="AQ1869" s="32" t="n">
        <x:f>AM1869+AO1869</x:f>
        <x:v>0</x:v>
      </x:c>
      <x:c r="AR1869" s="10" t="n">
        <x:f>IF(H1869=1,INDEX(v01_Req,G1869),0)</x:f>
        <x:v>0</x:v>
      </x:c>
      <x:c r="AS1869" s="32" t="n">
        <x:f>IF(H1869=1,IF(E1869=1,AS1868-AR1868,AS1868)+AQ1869,0)</x:f>
        <x:v>0</x:v>
      </x:c>
      <x:c r="AT1869" s="11" t="n">
        <x:f>IF(AR1869&gt;0,MIN(1,AS1869/AR1869),1)</x:f>
        <x:v>1</x:v>
      </x:c>
      <x:c r="AU1869" s="10" t="n">
        <x:f>AB1869/INDEX(v01_RepScale,G1869)</x:f>
        <x:v>90.09519605746344</x:v>
      </x:c>
      <x:c r="AV1869" s="32" t="n">
        <x:f>AM1869*60/v01_SeasonSeconds</x:f>
        <x:v>0</x:v>
      </x:c>
    </x:row>
    <x:row r="1870">
      <x:c r="A1870" s="8" t="n">
        <x:f>A1869+1</x:f>
        <x:v>1867</x:v>
      </x:c>
      <x:c r="B1870" s="9" t="n">
        <x:f>A1870*v01_SeasonSeconds/60</x:f>
        <x:v>466.75</x:v>
      </x:c>
      <x:c r="C1870" s="9" t="n">
        <x:f>A1870/4</x:f>
        <x:v>466.75</x:v>
      </x:c>
      <x:c r="D1870" s="8" t="n">
        <x:f>IF(MOD(A1870,4)=0,1,0)</x:f>
        <x:v>0</x:v>
      </x:c>
      <x:c r="E1870" s="8" t="n">
        <x:f>IF(AND(F1869&lt;=9,AS1869&gt;=AR1869),1,0)</x:f>
        <x:v>0</x:v>
      </x:c>
      <x:c r="F1870" s="8" t="n">
        <x:f>MIN(10,F1869+E1870)</x:f>
        <x:v>10</x:v>
      </x:c>
      <x:c r="G1870" s="8" t="n">
        <x:f>MIN(F1870,9)+1</x:f>
        <x:v>10</x:v>
      </x:c>
      <x:c r="H1870" s="8" t="n">
        <x:f>IF(F1870&lt;=9,1,0)</x:f>
        <x:v>0</x:v>
      </x:c>
      <x:c r="I1870" s="9" t="n">
        <x:f>MIN(10,F1869+IF(AR1869&gt;0,MIN(1,AS1869/AR1869),1))</x:f>
        <x:v>10</x:v>
      </x:c>
      <x:c r="J1870" s="32" t="n">
        <x:f>INDEX(v01_FoodCap,G1870)*Arch_FoodCap*EXP(v01_CapsByProject*SUMPRODUCT((Cap_Point&lt;=I1870)*(Cap_Kind="Food")*Cap_Ln))</x:f>
        <x:v>12000</x:v>
      </x:c>
      <x:c r="K1870" s="32" t="n">
        <x:f>J1870*MIN(1,v01_LeanBase*EXP(v01_CapsByProject*SUMPRODUCT((Cap_Point&lt;=I1870)*(Cap_Kind="Lean")*Cap_Ln)))</x:f>
        <x:v>12000</x:v>
      </x:c>
      <x:c r="L1870" s="10" t="n">
        <x:f>INDEX(v01_HousingCap,G1870)*EXP(v01_CapsByProject*SUMPRODUCT((Cap_Point&lt;=I1870)*(Cap_Kind="Housing")*Cap_Ln))</x:f>
        <x:v>20000</x:v>
      </x:c>
      <x:c r="M1870" s="10" t="n">
        <x:f>INDEX(v01_GroupCap,G1870)*v01_CohesionFactor*EXP(v01_CapsByProject*SUMPRODUCT((Cap_Point&lt;=I1870)*(Cap_Kind="Group")*Cap_Ln))</x:f>
        <x:v>1000000</x:v>
      </x:c>
      <x:c r="N1870" s="32" t="n">
        <x:f>MIN(J1870,L1870,M1870)</x:f>
        <x:v>12000</x:v>
      </x:c>
      <x:c r="O1870" s="10" t="n">
        <x:f>AE1869*N1870</x:f>
        <x:v>180000</x:v>
      </x:c>
      <x:c r="P1870" s="9" t="n">
        <x:f>MIN(1,(AB1869/(AE1869*IF(v01_GroupInCrowding=1,N1870,MIN(J1870,L1870))))^v01_CrowdingExp)</x:f>
        <x:v>0.00024569414295285325</x:v>
      </x:c>
      <x:c r="Q1870" s="9" t="n">
        <x:f>IF(D1870=1,INDEX(v01_WinterMult,G1870),1)</x:f>
        <x:v>1</x:v>
      </x:c>
      <x:c r="R1870" s="9" t="n">
        <x:f>H1870*Z1869*v01_WomenShare*v01_BaseFertility*INDEX(v01_FertMult,G1870)*Arch_Fertility*(1-P1870)</x:f>
        <x:v>0</x:v>
      </x:c>
      <x:c r="S1870" s="9" t="n">
        <x:f>H1870*Y1869*INDEX(v01_MortChild,G1870)/4*Q1870</x:f>
        <x:v>0</x:v>
      </x:c>
      <x:c r="T1870" s="9" t="n">
        <x:f>H1870*Z1869*INDEX(v01_MortAdult,G1870)*Arch_AdultMort/4*Q1870</x:f>
        <x:v>0</x:v>
      </x:c>
      <x:c r="U1870" s="9" t="n">
        <x:f>H1870*AA1869*INDEX(v01_MortElder,G1870)/4*Q1870</x:f>
        <x:v>0</x:v>
      </x:c>
      <x:c r="V1870" s="9" t="n">
        <x:f>H1870*MAX(0,AB1869-O1870)*v01_OvercapLoss</x:f>
        <x:v>0</x:v>
      </x:c>
      <x:c r="W1870" s="9" t="n">
        <x:f>H1870*Y1869/(v01_ChildYears*4)</x:f>
        <x:v>0</x:v>
      </x:c>
      <x:c r="X1870" s="9" t="n">
        <x:f>H1870*Z1869/(v01_AdultYears*4)</x:f>
        <x:v>0</x:v>
      </x:c>
      <x:c r="Y1870" s="32" t="n">
        <x:f>Y1869+R1870-S1870-W1870-Y1869*V1870/AB1869</x:f>
        <x:v>14306.18539759397</x:v>
      </x:c>
      <x:c r="Z1870" s="32" t="n">
        <x:f>Z1869+W1870-X1870-T1870-Z1869*V1870/AB1869</x:f>
        <x:v>19354.456567879548</x:v>
      </x:c>
      <x:c r="AA1870" s="32" t="n">
        <x:f>AA1869+X1870-U1870-AA1869*V1870/AB1869</x:f>
        <x:v>11386.956063258198</x:v>
      </x:c>
      <x:c r="AB1870" s="10" t="n">
        <x:f>Y1870+Z1870+AA1870</x:f>
        <x:v>45047.59802873172</x:v>
      </x:c>
      <x:c r="AC1870" s="8" t="n">
        <x:f>IF(AND(v01_WinterTrigger=1,D1870=1,AB1869/AE1869&gt;=K1870),1,0)</x:f>
        <x:v>0</x:v>
      </x:c>
      <x:c r="AD1870" s="8" t="n">
        <x:f>H1870*IF(AND(OR(AB1869/AE1869&gt;=v01_FissionTrigger*N1870,AC1870=1),AB1869/AE1869*v01_DaughterShare&gt;=v01_MinDaughter),MAX(1,ROUND(AE1869*v01_FissionRate,0)),0)</x:f>
        <x:v>0</x:v>
      </x:c>
      <x:c r="AE1870" s="8" t="n">
        <x:f>IF(H1870=1,MAX(1,MIN(INDEX(v01_Smax,G1870),AE1869+AD1870)),AE1869)</x:f>
        <x:v>15</x:v>
      </x:c>
      <x:c r="AF1870" s="8" t="n">
        <x:f>MAX(0,AE1870-AE1869)</x:f>
        <x:v>0</x:v>
      </x:c>
      <x:c r="AG1870" s="9" t="str">
        <x:f>IF(AF1870&gt;0,B1870,"")</x:f>
      </x:c>
      <x:c r="AH1870" s="9" t="n">
        <x:f>IF(F1870&gt;=1,1,(1+v01_LowTiesShare*(AE1870-1))/AE1870)</x:f>
        <x:v>1</x:v>
      </x:c>
      <x:c r="AI1870" s="32" t="n">
        <x:f>(Z1870+v01_ElderCommons*INDEX(LM_Elder,G1870)*AA1870)*AH1870</x:f>
        <x:v>64139.732591141874</x:v>
      </x:c>
      <x:c r="AJ1870" s="32" t="n">
        <x:f>H1870*v01_CommonsCoef*AI1870^v01_CommonsExp*INDEX(LM_Commons,G1870)</x:f>
        <x:v>0</x:v>
      </x:c>
      <x:c r="AK1870" s="32" t="n">
        <x:f>H1870*v01_RoleScale*Arch_Roles*(AE1870*(INDEX(v01_ElderRolePerSett,G1870)*v01_OutElder*INDEX(LM_Elder,G1870)+INDEX(v01_ShamanPerSett,G1870)*v01_OutShaman)+Z1870*(INDEX(v01_PriestShare,G1870)*v01_OutPriest+INDEX(v01_ScribeShare,G1870)*v01_OutScribe*INDEX(LM_Scribe,G1870)+INDEX(v01_ScholarShare,G1870)*v01_OutScholar*INDEX(LM_Scholar,G1870)+INDEX(v01_ResearcherShare,G1870)*v01_OutResearcher*INDEX(LM_Researcher,G1870)))</x:f>
        <x:v>0</x:v>
      </x:c>
      <x:c r="AL1870" s="32" t="n">
        <x:f>H1870*v01_RoleScale*Arch_Roles*AE1870*INDEX(v01_MonasteryPerSett,G1870)*v01_OutMonastery*INDEX(LM_Monastery,G1870)</x:f>
        <x:v>0</x:v>
      </x:c>
      <x:c r="AM1870" s="32" t="n">
        <x:f>(AJ1870+AK1870+AL1870)/4*INDEX(LM_All,G1870)*INDEX(v01_Boon,G1870)*Arch_Insight</x:f>
        <x:v>0</x:v>
      </x:c>
      <x:c r="AN1870" s="32" t="n">
        <x:f>H1870*(v01_KHPerAdult*Z1870+v01_KHOfCommons*AJ1870/4*INDEX(LM_All,G1870))*v01_KHUsable*Arch_KH</x:f>
        <x:v>0</x:v>
      </x:c>
      <x:c r="AO1870" s="32" t="n">
        <x:f>MIN(AP1869+AN1870,AM1870*v01_KHMaxRatio)</x:f>
        <x:v>0</x:v>
      </x:c>
      <x:c r="AP1870" s="32" t="n">
        <x:f>AP1869+AN1870-AO1870</x:f>
        <x:v>0</x:v>
      </x:c>
      <x:c r="AQ1870" s="32" t="n">
        <x:f>AM1870+AO1870</x:f>
        <x:v>0</x:v>
      </x:c>
      <x:c r="AR1870" s="10" t="n">
        <x:f>IF(H1870=1,INDEX(v01_Req,G1870),0)</x:f>
        <x:v>0</x:v>
      </x:c>
      <x:c r="AS1870" s="32" t="n">
        <x:f>IF(H1870=1,IF(E1870=1,AS1869-AR1869,AS1869)+AQ1870,0)</x:f>
        <x:v>0</x:v>
      </x:c>
      <x:c r="AT1870" s="11" t="n">
        <x:f>IF(AR1870&gt;0,MIN(1,AS1870/AR1870),1)</x:f>
        <x:v>1</x:v>
      </x:c>
      <x:c r="AU1870" s="10" t="n">
        <x:f>AB1870/INDEX(v01_RepScale,G1870)</x:f>
        <x:v>90.09519605746344</x:v>
      </x:c>
      <x:c r="AV1870" s="32" t="n">
        <x:f>AM1870*60/v01_SeasonSeconds</x:f>
        <x:v>0</x:v>
      </x:c>
    </x:row>
    <x:row r="1871">
      <x:c r="A1871" s="8" t="n">
        <x:f>A1870+1</x:f>
        <x:v>1868</x:v>
      </x:c>
      <x:c r="B1871" s="9" t="n">
        <x:f>A1871*v01_SeasonSeconds/60</x:f>
        <x:v>467</x:v>
      </x:c>
      <x:c r="C1871" s="9" t="n">
        <x:f>A1871/4</x:f>
        <x:v>467</x:v>
      </x:c>
      <x:c r="D1871" s="8" t="n">
        <x:f>IF(MOD(A1871,4)=0,1,0)</x:f>
        <x:v>1</x:v>
      </x:c>
      <x:c r="E1871" s="8" t="n">
        <x:f>IF(AND(F1870&lt;=9,AS1870&gt;=AR1870),1,0)</x:f>
        <x:v>0</x:v>
      </x:c>
      <x:c r="F1871" s="8" t="n">
        <x:f>MIN(10,F1870+E1871)</x:f>
        <x:v>10</x:v>
      </x:c>
      <x:c r="G1871" s="8" t="n">
        <x:f>MIN(F1871,9)+1</x:f>
        <x:v>10</x:v>
      </x:c>
      <x:c r="H1871" s="8" t="n">
        <x:f>IF(F1871&lt;=9,1,0)</x:f>
        <x:v>0</x:v>
      </x:c>
      <x:c r="I1871" s="9" t="n">
        <x:f>MIN(10,F1870+IF(AR1870&gt;0,MIN(1,AS1870/AR1870),1))</x:f>
        <x:v>10</x:v>
      </x:c>
      <x:c r="J1871" s="32" t="n">
        <x:f>INDEX(v01_FoodCap,G1871)*Arch_FoodCap*EXP(v01_CapsByProject*SUMPRODUCT((Cap_Point&lt;=I1871)*(Cap_Kind="Food")*Cap_Ln))</x:f>
        <x:v>12000</x:v>
      </x:c>
      <x:c r="K1871" s="32" t="n">
        <x:f>J1871*MIN(1,v01_LeanBase*EXP(v01_CapsByProject*SUMPRODUCT((Cap_Point&lt;=I1871)*(Cap_Kind="Lean")*Cap_Ln)))</x:f>
        <x:v>12000</x:v>
      </x:c>
      <x:c r="L1871" s="10" t="n">
        <x:f>INDEX(v01_HousingCap,G1871)*EXP(v01_CapsByProject*SUMPRODUCT((Cap_Point&lt;=I1871)*(Cap_Kind="Housing")*Cap_Ln))</x:f>
        <x:v>20000</x:v>
      </x:c>
      <x:c r="M1871" s="10" t="n">
        <x:f>INDEX(v01_GroupCap,G1871)*v01_CohesionFactor*EXP(v01_CapsByProject*SUMPRODUCT((Cap_Point&lt;=I1871)*(Cap_Kind="Group")*Cap_Ln))</x:f>
        <x:v>1000000</x:v>
      </x:c>
      <x:c r="N1871" s="32" t="n">
        <x:f>MIN(J1871,L1871,M1871)</x:f>
        <x:v>12000</x:v>
      </x:c>
      <x:c r="O1871" s="10" t="n">
        <x:f>AE1870*N1871</x:f>
        <x:v>180000</x:v>
      </x:c>
      <x:c r="P1871" s="9" t="n">
        <x:f>MIN(1,(AB1870/(AE1870*IF(v01_GroupInCrowding=1,N1871,MIN(J1871,L1871))))^v01_CrowdingExp)</x:f>
        <x:v>0.00024569414295285325</x:v>
      </x:c>
      <x:c r="Q1871" s="9" t="n">
        <x:f>IF(D1871=1,INDEX(v01_WinterMult,G1871),1)</x:f>
        <x:v>1</x:v>
      </x:c>
      <x:c r="R1871" s="9" t="n">
        <x:f>H1871*Z1870*v01_WomenShare*v01_BaseFertility*INDEX(v01_FertMult,G1871)*Arch_Fertility*(1-P1871)</x:f>
        <x:v>0</x:v>
      </x:c>
      <x:c r="S1871" s="9" t="n">
        <x:f>H1871*Y1870*INDEX(v01_MortChild,G1871)/4*Q1871</x:f>
        <x:v>0</x:v>
      </x:c>
      <x:c r="T1871" s="9" t="n">
        <x:f>H1871*Z1870*INDEX(v01_MortAdult,G1871)*Arch_AdultMort/4*Q1871</x:f>
        <x:v>0</x:v>
      </x:c>
      <x:c r="U1871" s="9" t="n">
        <x:f>H1871*AA1870*INDEX(v01_MortElder,G1871)/4*Q1871</x:f>
        <x:v>0</x:v>
      </x:c>
      <x:c r="V1871" s="9" t="n">
        <x:f>H1871*MAX(0,AB1870-O1871)*v01_OvercapLoss</x:f>
        <x:v>0</x:v>
      </x:c>
      <x:c r="W1871" s="9" t="n">
        <x:f>H1871*Y1870/(v01_ChildYears*4)</x:f>
        <x:v>0</x:v>
      </x:c>
      <x:c r="X1871" s="9" t="n">
        <x:f>H1871*Z1870/(v01_AdultYears*4)</x:f>
        <x:v>0</x:v>
      </x:c>
      <x:c r="Y1871" s="32" t="n">
        <x:f>Y1870+R1871-S1871-W1871-Y1870*V1871/AB1870</x:f>
        <x:v>14306.18539759397</x:v>
      </x:c>
      <x:c r="Z1871" s="32" t="n">
        <x:f>Z1870+W1871-X1871-T1871-Z1870*V1871/AB1870</x:f>
        <x:v>19354.456567879548</x:v>
      </x:c>
      <x:c r="AA1871" s="32" t="n">
        <x:f>AA1870+X1871-U1871-AA1870*V1871/AB1870</x:f>
        <x:v>11386.956063258198</x:v>
      </x:c>
      <x:c r="AB1871" s="10" t="n">
        <x:f>Y1871+Z1871+AA1871</x:f>
        <x:v>45047.59802873172</x:v>
      </x:c>
      <x:c r="AC1871" s="8" t="n">
        <x:f>IF(AND(v01_WinterTrigger=1,D1871=1,AB1870/AE1870&gt;=K1871),1,0)</x:f>
        <x:v>0</x:v>
      </x:c>
      <x:c r="AD1871" s="8" t="n">
        <x:f>H1871*IF(AND(OR(AB1870/AE1870&gt;=v01_FissionTrigger*N1871,AC1871=1),AB1870/AE1870*v01_DaughterShare&gt;=v01_MinDaughter),MAX(1,ROUND(AE1870*v01_FissionRate,0)),0)</x:f>
        <x:v>0</x:v>
      </x:c>
      <x:c r="AE1871" s="8" t="n">
        <x:f>IF(H1871=1,MAX(1,MIN(INDEX(v01_Smax,G1871),AE1870+AD1871)),AE1870)</x:f>
        <x:v>15</x:v>
      </x:c>
      <x:c r="AF1871" s="8" t="n">
        <x:f>MAX(0,AE1871-AE1870)</x:f>
        <x:v>0</x:v>
      </x:c>
      <x:c r="AG1871" s="9" t="str">
        <x:f>IF(AF1871&gt;0,B1871,"")</x:f>
      </x:c>
      <x:c r="AH1871" s="9" t="n">
        <x:f>IF(F1871&gt;=1,1,(1+v01_LowTiesShare*(AE1871-1))/AE1871)</x:f>
        <x:v>1</x:v>
      </x:c>
      <x:c r="AI1871" s="32" t="n">
        <x:f>(Z1871+v01_ElderCommons*INDEX(LM_Elder,G1871)*AA1871)*AH1871</x:f>
        <x:v>64139.732591141874</x:v>
      </x:c>
      <x:c r="AJ1871" s="32" t="n">
        <x:f>H1871*v01_CommonsCoef*AI1871^v01_CommonsExp*INDEX(LM_Commons,G1871)</x:f>
        <x:v>0</x:v>
      </x:c>
      <x:c r="AK1871" s="32" t="n">
        <x:f>H1871*v01_RoleScale*Arch_Roles*(AE1871*(INDEX(v01_ElderRolePerSett,G1871)*v01_OutElder*INDEX(LM_Elder,G1871)+INDEX(v01_ShamanPerSett,G1871)*v01_OutShaman)+Z1871*(INDEX(v01_PriestShare,G1871)*v01_OutPriest+INDEX(v01_ScribeShare,G1871)*v01_OutScribe*INDEX(LM_Scribe,G1871)+INDEX(v01_ScholarShare,G1871)*v01_OutScholar*INDEX(LM_Scholar,G1871)+INDEX(v01_ResearcherShare,G1871)*v01_OutResearcher*INDEX(LM_Researcher,G1871)))</x:f>
        <x:v>0</x:v>
      </x:c>
      <x:c r="AL1871" s="32" t="n">
        <x:f>H1871*v01_RoleScale*Arch_Roles*AE1871*INDEX(v01_MonasteryPerSett,G1871)*v01_OutMonastery*INDEX(LM_Monastery,G1871)</x:f>
        <x:v>0</x:v>
      </x:c>
      <x:c r="AM1871" s="32" t="n">
        <x:f>(AJ1871+AK1871+AL1871)/4*INDEX(LM_All,G1871)*INDEX(v01_Boon,G1871)*Arch_Insight</x:f>
        <x:v>0</x:v>
      </x:c>
      <x:c r="AN1871" s="32" t="n">
        <x:f>H1871*(v01_KHPerAdult*Z1871+v01_KHOfCommons*AJ1871/4*INDEX(LM_All,G1871))*v01_KHUsable*Arch_KH</x:f>
        <x:v>0</x:v>
      </x:c>
      <x:c r="AO1871" s="32" t="n">
        <x:f>MIN(AP1870+AN1871,AM1871*v01_KHMaxRatio)</x:f>
        <x:v>0</x:v>
      </x:c>
      <x:c r="AP1871" s="32" t="n">
        <x:f>AP1870+AN1871-AO1871</x:f>
        <x:v>0</x:v>
      </x:c>
      <x:c r="AQ1871" s="32" t="n">
        <x:f>AM1871+AO1871</x:f>
        <x:v>0</x:v>
      </x:c>
      <x:c r="AR1871" s="10" t="n">
        <x:f>IF(H1871=1,INDEX(v01_Req,G1871),0)</x:f>
        <x:v>0</x:v>
      </x:c>
      <x:c r="AS1871" s="32" t="n">
        <x:f>IF(H1871=1,IF(E1871=1,AS1870-AR1870,AS1870)+AQ1871,0)</x:f>
        <x:v>0</x:v>
      </x:c>
      <x:c r="AT1871" s="11" t="n">
        <x:f>IF(AR1871&gt;0,MIN(1,AS1871/AR1871),1)</x:f>
        <x:v>1</x:v>
      </x:c>
      <x:c r="AU1871" s="10" t="n">
        <x:f>AB1871/INDEX(v01_RepScale,G1871)</x:f>
        <x:v>90.09519605746344</x:v>
      </x:c>
      <x:c r="AV1871" s="32" t="n">
        <x:f>AM1871*60/v01_SeasonSeconds</x:f>
        <x:v>0</x:v>
      </x:c>
    </x:row>
    <x:row r="1872">
      <x:c r="A1872" s="8" t="n">
        <x:f>A1871+1</x:f>
        <x:v>1869</x:v>
      </x:c>
      <x:c r="B1872" s="9" t="n">
        <x:f>A1872*v01_SeasonSeconds/60</x:f>
        <x:v>467.25</x:v>
      </x:c>
      <x:c r="C1872" s="9" t="n">
        <x:f>A1872/4</x:f>
        <x:v>467.25</x:v>
      </x:c>
      <x:c r="D1872" s="8" t="n">
        <x:f>IF(MOD(A1872,4)=0,1,0)</x:f>
        <x:v>0</x:v>
      </x:c>
      <x:c r="E1872" s="8" t="n">
        <x:f>IF(AND(F1871&lt;=9,AS1871&gt;=AR1871),1,0)</x:f>
        <x:v>0</x:v>
      </x:c>
      <x:c r="F1872" s="8" t="n">
        <x:f>MIN(10,F1871+E1872)</x:f>
        <x:v>10</x:v>
      </x:c>
      <x:c r="G1872" s="8" t="n">
        <x:f>MIN(F1872,9)+1</x:f>
        <x:v>10</x:v>
      </x:c>
      <x:c r="H1872" s="8" t="n">
        <x:f>IF(F1872&lt;=9,1,0)</x:f>
        <x:v>0</x:v>
      </x:c>
      <x:c r="I1872" s="9" t="n">
        <x:f>MIN(10,F1871+IF(AR1871&gt;0,MIN(1,AS1871/AR1871),1))</x:f>
        <x:v>10</x:v>
      </x:c>
      <x:c r="J1872" s="32" t="n">
        <x:f>INDEX(v01_FoodCap,G1872)*Arch_FoodCap*EXP(v01_CapsByProject*SUMPRODUCT((Cap_Point&lt;=I1872)*(Cap_Kind="Food")*Cap_Ln))</x:f>
        <x:v>12000</x:v>
      </x:c>
      <x:c r="K1872" s="32" t="n">
        <x:f>J1872*MIN(1,v01_LeanBase*EXP(v01_CapsByProject*SUMPRODUCT((Cap_Point&lt;=I1872)*(Cap_Kind="Lean")*Cap_Ln)))</x:f>
        <x:v>12000</x:v>
      </x:c>
      <x:c r="L1872" s="10" t="n">
        <x:f>INDEX(v01_HousingCap,G1872)*EXP(v01_CapsByProject*SUMPRODUCT((Cap_Point&lt;=I1872)*(Cap_Kind="Housing")*Cap_Ln))</x:f>
        <x:v>20000</x:v>
      </x:c>
      <x:c r="M1872" s="10" t="n">
        <x:f>INDEX(v01_GroupCap,G1872)*v01_CohesionFactor*EXP(v01_CapsByProject*SUMPRODUCT((Cap_Point&lt;=I1872)*(Cap_Kind="Group")*Cap_Ln))</x:f>
        <x:v>1000000</x:v>
      </x:c>
      <x:c r="N1872" s="32" t="n">
        <x:f>MIN(J1872,L1872,M1872)</x:f>
        <x:v>12000</x:v>
      </x:c>
      <x:c r="O1872" s="10" t="n">
        <x:f>AE1871*N1872</x:f>
        <x:v>180000</x:v>
      </x:c>
      <x:c r="P1872" s="9" t="n">
        <x:f>MIN(1,(AB1871/(AE1871*IF(v01_GroupInCrowding=1,N1872,MIN(J1872,L1872))))^v01_CrowdingExp)</x:f>
        <x:v>0.00024569414295285325</x:v>
      </x:c>
      <x:c r="Q1872" s="9" t="n">
        <x:f>IF(D1872=1,INDEX(v01_WinterMult,G1872),1)</x:f>
        <x:v>1</x:v>
      </x:c>
      <x:c r="R1872" s="9" t="n">
        <x:f>H1872*Z1871*v01_WomenShare*v01_BaseFertility*INDEX(v01_FertMult,G1872)*Arch_Fertility*(1-P1872)</x:f>
        <x:v>0</x:v>
      </x:c>
      <x:c r="S1872" s="9" t="n">
        <x:f>H1872*Y1871*INDEX(v01_MortChild,G1872)/4*Q1872</x:f>
        <x:v>0</x:v>
      </x:c>
      <x:c r="T1872" s="9" t="n">
        <x:f>H1872*Z1871*INDEX(v01_MortAdult,G1872)*Arch_AdultMort/4*Q1872</x:f>
        <x:v>0</x:v>
      </x:c>
      <x:c r="U1872" s="9" t="n">
        <x:f>H1872*AA1871*INDEX(v01_MortElder,G1872)/4*Q1872</x:f>
        <x:v>0</x:v>
      </x:c>
      <x:c r="V1872" s="9" t="n">
        <x:f>H1872*MAX(0,AB1871-O1872)*v01_OvercapLoss</x:f>
        <x:v>0</x:v>
      </x:c>
      <x:c r="W1872" s="9" t="n">
        <x:f>H1872*Y1871/(v01_ChildYears*4)</x:f>
        <x:v>0</x:v>
      </x:c>
      <x:c r="X1872" s="9" t="n">
        <x:f>H1872*Z1871/(v01_AdultYears*4)</x:f>
        <x:v>0</x:v>
      </x:c>
      <x:c r="Y1872" s="32" t="n">
        <x:f>Y1871+R1872-S1872-W1872-Y1871*V1872/AB1871</x:f>
        <x:v>14306.18539759397</x:v>
      </x:c>
      <x:c r="Z1872" s="32" t="n">
        <x:f>Z1871+W1872-X1872-T1872-Z1871*V1872/AB1871</x:f>
        <x:v>19354.456567879548</x:v>
      </x:c>
      <x:c r="AA1872" s="32" t="n">
        <x:f>AA1871+X1872-U1872-AA1871*V1872/AB1871</x:f>
        <x:v>11386.956063258198</x:v>
      </x:c>
      <x:c r="AB1872" s="10" t="n">
        <x:f>Y1872+Z1872+AA1872</x:f>
        <x:v>45047.59802873172</x:v>
      </x:c>
      <x:c r="AC1872" s="8" t="n">
        <x:f>IF(AND(v01_WinterTrigger=1,D1872=1,AB1871/AE1871&gt;=K1872),1,0)</x:f>
        <x:v>0</x:v>
      </x:c>
      <x:c r="AD1872" s="8" t="n">
        <x:f>H1872*IF(AND(OR(AB1871/AE1871&gt;=v01_FissionTrigger*N1872,AC1872=1),AB1871/AE1871*v01_DaughterShare&gt;=v01_MinDaughter),MAX(1,ROUND(AE1871*v01_FissionRate,0)),0)</x:f>
        <x:v>0</x:v>
      </x:c>
      <x:c r="AE1872" s="8" t="n">
        <x:f>IF(H1872=1,MAX(1,MIN(INDEX(v01_Smax,G1872),AE1871+AD1872)),AE1871)</x:f>
        <x:v>15</x:v>
      </x:c>
      <x:c r="AF1872" s="8" t="n">
        <x:f>MAX(0,AE1872-AE1871)</x:f>
        <x:v>0</x:v>
      </x:c>
      <x:c r="AG1872" s="9" t="str">
        <x:f>IF(AF1872&gt;0,B1872,"")</x:f>
      </x:c>
      <x:c r="AH1872" s="9" t="n">
        <x:f>IF(F1872&gt;=1,1,(1+v01_LowTiesShare*(AE1872-1))/AE1872)</x:f>
        <x:v>1</x:v>
      </x:c>
      <x:c r="AI1872" s="32" t="n">
        <x:f>(Z1872+v01_ElderCommons*INDEX(LM_Elder,G1872)*AA1872)*AH1872</x:f>
        <x:v>64139.732591141874</x:v>
      </x:c>
      <x:c r="AJ1872" s="32" t="n">
        <x:f>H1872*v01_CommonsCoef*AI1872^v01_CommonsExp*INDEX(LM_Commons,G1872)</x:f>
        <x:v>0</x:v>
      </x:c>
      <x:c r="AK1872" s="32" t="n">
        <x:f>H1872*v01_RoleScale*Arch_Roles*(AE1872*(INDEX(v01_ElderRolePerSett,G1872)*v01_OutElder*INDEX(LM_Elder,G1872)+INDEX(v01_ShamanPerSett,G1872)*v01_OutShaman)+Z1872*(INDEX(v01_PriestShare,G1872)*v01_OutPriest+INDEX(v01_ScribeShare,G1872)*v01_OutScribe*INDEX(LM_Scribe,G1872)+INDEX(v01_ScholarShare,G1872)*v01_OutScholar*INDEX(LM_Scholar,G1872)+INDEX(v01_ResearcherShare,G1872)*v01_OutResearcher*INDEX(LM_Researcher,G1872)))</x:f>
        <x:v>0</x:v>
      </x:c>
      <x:c r="AL1872" s="32" t="n">
        <x:f>H1872*v01_RoleScale*Arch_Roles*AE1872*INDEX(v01_MonasteryPerSett,G1872)*v01_OutMonastery*INDEX(LM_Monastery,G1872)</x:f>
        <x:v>0</x:v>
      </x:c>
      <x:c r="AM1872" s="32" t="n">
        <x:f>(AJ1872+AK1872+AL1872)/4*INDEX(LM_All,G1872)*INDEX(v01_Boon,G1872)*Arch_Insight</x:f>
        <x:v>0</x:v>
      </x:c>
      <x:c r="AN1872" s="32" t="n">
        <x:f>H1872*(v01_KHPerAdult*Z1872+v01_KHOfCommons*AJ1872/4*INDEX(LM_All,G1872))*v01_KHUsable*Arch_KH</x:f>
        <x:v>0</x:v>
      </x:c>
      <x:c r="AO1872" s="32" t="n">
        <x:f>MIN(AP1871+AN1872,AM1872*v01_KHMaxRatio)</x:f>
        <x:v>0</x:v>
      </x:c>
      <x:c r="AP1872" s="32" t="n">
        <x:f>AP1871+AN1872-AO1872</x:f>
        <x:v>0</x:v>
      </x:c>
      <x:c r="AQ1872" s="32" t="n">
        <x:f>AM1872+AO1872</x:f>
        <x:v>0</x:v>
      </x:c>
      <x:c r="AR1872" s="10" t="n">
        <x:f>IF(H1872=1,INDEX(v01_Req,G1872),0)</x:f>
        <x:v>0</x:v>
      </x:c>
      <x:c r="AS1872" s="32" t="n">
        <x:f>IF(H1872=1,IF(E1872=1,AS1871-AR1871,AS1871)+AQ1872,0)</x:f>
        <x:v>0</x:v>
      </x:c>
      <x:c r="AT1872" s="11" t="n">
        <x:f>IF(AR1872&gt;0,MIN(1,AS1872/AR1872),1)</x:f>
        <x:v>1</x:v>
      </x:c>
      <x:c r="AU1872" s="10" t="n">
        <x:f>AB1872/INDEX(v01_RepScale,G1872)</x:f>
        <x:v>90.09519605746344</x:v>
      </x:c>
      <x:c r="AV1872" s="32" t="n">
        <x:f>AM1872*60/v01_SeasonSeconds</x:f>
        <x:v>0</x:v>
      </x:c>
    </x:row>
    <x:row r="1873">
      <x:c r="A1873" s="8" t="n">
        <x:f>A1872+1</x:f>
        <x:v>1870</x:v>
      </x:c>
      <x:c r="B1873" s="9" t="n">
        <x:f>A1873*v01_SeasonSeconds/60</x:f>
        <x:v>467.5</x:v>
      </x:c>
      <x:c r="C1873" s="9" t="n">
        <x:f>A1873/4</x:f>
        <x:v>467.5</x:v>
      </x:c>
      <x:c r="D1873" s="8" t="n">
        <x:f>IF(MOD(A1873,4)=0,1,0)</x:f>
        <x:v>0</x:v>
      </x:c>
      <x:c r="E1873" s="8" t="n">
        <x:f>IF(AND(F1872&lt;=9,AS1872&gt;=AR1872),1,0)</x:f>
        <x:v>0</x:v>
      </x:c>
      <x:c r="F1873" s="8" t="n">
        <x:f>MIN(10,F1872+E1873)</x:f>
        <x:v>10</x:v>
      </x:c>
      <x:c r="G1873" s="8" t="n">
        <x:f>MIN(F1873,9)+1</x:f>
        <x:v>10</x:v>
      </x:c>
      <x:c r="H1873" s="8" t="n">
        <x:f>IF(F1873&lt;=9,1,0)</x:f>
        <x:v>0</x:v>
      </x:c>
      <x:c r="I1873" s="9" t="n">
        <x:f>MIN(10,F1872+IF(AR1872&gt;0,MIN(1,AS1872/AR1872),1))</x:f>
        <x:v>10</x:v>
      </x:c>
      <x:c r="J1873" s="32" t="n">
        <x:f>INDEX(v01_FoodCap,G1873)*Arch_FoodCap*EXP(v01_CapsByProject*SUMPRODUCT((Cap_Point&lt;=I1873)*(Cap_Kind="Food")*Cap_Ln))</x:f>
        <x:v>12000</x:v>
      </x:c>
      <x:c r="K1873" s="32" t="n">
        <x:f>J1873*MIN(1,v01_LeanBase*EXP(v01_CapsByProject*SUMPRODUCT((Cap_Point&lt;=I1873)*(Cap_Kind="Lean")*Cap_Ln)))</x:f>
        <x:v>12000</x:v>
      </x:c>
      <x:c r="L1873" s="10" t="n">
        <x:f>INDEX(v01_HousingCap,G1873)*EXP(v01_CapsByProject*SUMPRODUCT((Cap_Point&lt;=I1873)*(Cap_Kind="Housing")*Cap_Ln))</x:f>
        <x:v>20000</x:v>
      </x:c>
      <x:c r="M1873" s="10" t="n">
        <x:f>INDEX(v01_GroupCap,G1873)*v01_CohesionFactor*EXP(v01_CapsByProject*SUMPRODUCT((Cap_Point&lt;=I1873)*(Cap_Kind="Group")*Cap_Ln))</x:f>
        <x:v>1000000</x:v>
      </x:c>
      <x:c r="N1873" s="32" t="n">
        <x:f>MIN(J1873,L1873,M1873)</x:f>
        <x:v>12000</x:v>
      </x:c>
      <x:c r="O1873" s="10" t="n">
        <x:f>AE1872*N1873</x:f>
        <x:v>180000</x:v>
      </x:c>
      <x:c r="P1873" s="9" t="n">
        <x:f>MIN(1,(AB1872/(AE1872*IF(v01_GroupInCrowding=1,N1873,MIN(J1873,L1873))))^v01_CrowdingExp)</x:f>
        <x:v>0.00024569414295285325</x:v>
      </x:c>
      <x:c r="Q1873" s="9" t="n">
        <x:f>IF(D1873=1,INDEX(v01_WinterMult,G1873),1)</x:f>
        <x:v>1</x:v>
      </x:c>
      <x:c r="R1873" s="9" t="n">
        <x:f>H1873*Z1872*v01_WomenShare*v01_BaseFertility*INDEX(v01_FertMult,G1873)*Arch_Fertility*(1-P1873)</x:f>
        <x:v>0</x:v>
      </x:c>
      <x:c r="S1873" s="9" t="n">
        <x:f>H1873*Y1872*INDEX(v01_MortChild,G1873)/4*Q1873</x:f>
        <x:v>0</x:v>
      </x:c>
      <x:c r="T1873" s="9" t="n">
        <x:f>H1873*Z1872*INDEX(v01_MortAdult,G1873)*Arch_AdultMort/4*Q1873</x:f>
        <x:v>0</x:v>
      </x:c>
      <x:c r="U1873" s="9" t="n">
        <x:f>H1873*AA1872*INDEX(v01_MortElder,G1873)/4*Q1873</x:f>
        <x:v>0</x:v>
      </x:c>
      <x:c r="V1873" s="9" t="n">
        <x:f>H1873*MAX(0,AB1872-O1873)*v01_OvercapLoss</x:f>
        <x:v>0</x:v>
      </x:c>
      <x:c r="W1873" s="9" t="n">
        <x:f>H1873*Y1872/(v01_ChildYears*4)</x:f>
        <x:v>0</x:v>
      </x:c>
      <x:c r="X1873" s="9" t="n">
        <x:f>H1873*Z1872/(v01_AdultYears*4)</x:f>
        <x:v>0</x:v>
      </x:c>
      <x:c r="Y1873" s="32" t="n">
        <x:f>Y1872+R1873-S1873-W1873-Y1872*V1873/AB1872</x:f>
        <x:v>14306.18539759397</x:v>
      </x:c>
      <x:c r="Z1873" s="32" t="n">
        <x:f>Z1872+W1873-X1873-T1873-Z1872*V1873/AB1872</x:f>
        <x:v>19354.456567879548</x:v>
      </x:c>
      <x:c r="AA1873" s="32" t="n">
        <x:f>AA1872+X1873-U1873-AA1872*V1873/AB1872</x:f>
        <x:v>11386.956063258198</x:v>
      </x:c>
      <x:c r="AB1873" s="10" t="n">
        <x:f>Y1873+Z1873+AA1873</x:f>
        <x:v>45047.59802873172</x:v>
      </x:c>
      <x:c r="AC1873" s="8" t="n">
        <x:f>IF(AND(v01_WinterTrigger=1,D1873=1,AB1872/AE1872&gt;=K1873),1,0)</x:f>
        <x:v>0</x:v>
      </x:c>
      <x:c r="AD1873" s="8" t="n">
        <x:f>H1873*IF(AND(OR(AB1872/AE1872&gt;=v01_FissionTrigger*N1873,AC1873=1),AB1872/AE1872*v01_DaughterShare&gt;=v01_MinDaughter),MAX(1,ROUND(AE1872*v01_FissionRate,0)),0)</x:f>
        <x:v>0</x:v>
      </x:c>
      <x:c r="AE1873" s="8" t="n">
        <x:f>IF(H1873=1,MAX(1,MIN(INDEX(v01_Smax,G1873),AE1872+AD1873)),AE1872)</x:f>
        <x:v>15</x:v>
      </x:c>
      <x:c r="AF1873" s="8" t="n">
        <x:f>MAX(0,AE1873-AE1872)</x:f>
        <x:v>0</x:v>
      </x:c>
      <x:c r="AG1873" s="9" t="str">
        <x:f>IF(AF1873&gt;0,B1873,"")</x:f>
      </x:c>
      <x:c r="AH1873" s="9" t="n">
        <x:f>IF(F1873&gt;=1,1,(1+v01_LowTiesShare*(AE1873-1))/AE1873)</x:f>
        <x:v>1</x:v>
      </x:c>
      <x:c r="AI1873" s="32" t="n">
        <x:f>(Z1873+v01_ElderCommons*INDEX(LM_Elder,G1873)*AA1873)*AH1873</x:f>
        <x:v>64139.732591141874</x:v>
      </x:c>
      <x:c r="AJ1873" s="32" t="n">
        <x:f>H1873*v01_CommonsCoef*AI1873^v01_CommonsExp*INDEX(LM_Commons,G1873)</x:f>
        <x:v>0</x:v>
      </x:c>
      <x:c r="AK1873" s="32" t="n">
        <x:f>H1873*v01_RoleScale*Arch_Roles*(AE1873*(INDEX(v01_ElderRolePerSett,G1873)*v01_OutElder*INDEX(LM_Elder,G1873)+INDEX(v01_ShamanPerSett,G1873)*v01_OutShaman)+Z1873*(INDEX(v01_PriestShare,G1873)*v01_OutPriest+INDEX(v01_ScribeShare,G1873)*v01_OutScribe*INDEX(LM_Scribe,G1873)+INDEX(v01_ScholarShare,G1873)*v01_OutScholar*INDEX(LM_Scholar,G1873)+INDEX(v01_ResearcherShare,G1873)*v01_OutResearcher*INDEX(LM_Researcher,G1873)))</x:f>
        <x:v>0</x:v>
      </x:c>
      <x:c r="AL1873" s="32" t="n">
        <x:f>H1873*v01_RoleScale*Arch_Roles*AE1873*INDEX(v01_MonasteryPerSett,G1873)*v01_OutMonastery*INDEX(LM_Monastery,G1873)</x:f>
        <x:v>0</x:v>
      </x:c>
      <x:c r="AM1873" s="32" t="n">
        <x:f>(AJ1873+AK1873+AL1873)/4*INDEX(LM_All,G1873)*INDEX(v01_Boon,G1873)*Arch_Insight</x:f>
        <x:v>0</x:v>
      </x:c>
      <x:c r="AN1873" s="32" t="n">
        <x:f>H1873*(v01_KHPerAdult*Z1873+v01_KHOfCommons*AJ1873/4*INDEX(LM_All,G1873))*v01_KHUsable*Arch_KH</x:f>
        <x:v>0</x:v>
      </x:c>
      <x:c r="AO1873" s="32" t="n">
        <x:f>MIN(AP1872+AN1873,AM1873*v01_KHMaxRatio)</x:f>
        <x:v>0</x:v>
      </x:c>
      <x:c r="AP1873" s="32" t="n">
        <x:f>AP1872+AN1873-AO1873</x:f>
        <x:v>0</x:v>
      </x:c>
      <x:c r="AQ1873" s="32" t="n">
        <x:f>AM1873+AO1873</x:f>
        <x:v>0</x:v>
      </x:c>
      <x:c r="AR1873" s="10" t="n">
        <x:f>IF(H1873=1,INDEX(v01_Req,G1873),0)</x:f>
        <x:v>0</x:v>
      </x:c>
      <x:c r="AS1873" s="32" t="n">
        <x:f>IF(H1873=1,IF(E1873=1,AS1872-AR1872,AS1872)+AQ1873,0)</x:f>
        <x:v>0</x:v>
      </x:c>
      <x:c r="AT1873" s="11" t="n">
        <x:f>IF(AR1873&gt;0,MIN(1,AS1873/AR1873),1)</x:f>
        <x:v>1</x:v>
      </x:c>
      <x:c r="AU1873" s="10" t="n">
        <x:f>AB1873/INDEX(v01_RepScale,G1873)</x:f>
        <x:v>90.09519605746344</x:v>
      </x:c>
      <x:c r="AV1873" s="32" t="n">
        <x:f>AM1873*60/v01_SeasonSeconds</x:f>
        <x:v>0</x:v>
      </x:c>
    </x:row>
    <x:row r="1874">
      <x:c r="A1874" s="8" t="n">
        <x:f>A1873+1</x:f>
        <x:v>1871</x:v>
      </x:c>
      <x:c r="B1874" s="9" t="n">
        <x:f>A1874*v01_SeasonSeconds/60</x:f>
        <x:v>467.75</x:v>
      </x:c>
      <x:c r="C1874" s="9" t="n">
        <x:f>A1874/4</x:f>
        <x:v>467.75</x:v>
      </x:c>
      <x:c r="D1874" s="8" t="n">
        <x:f>IF(MOD(A1874,4)=0,1,0)</x:f>
        <x:v>0</x:v>
      </x:c>
      <x:c r="E1874" s="8" t="n">
        <x:f>IF(AND(F1873&lt;=9,AS1873&gt;=AR1873),1,0)</x:f>
        <x:v>0</x:v>
      </x:c>
      <x:c r="F1874" s="8" t="n">
        <x:f>MIN(10,F1873+E1874)</x:f>
        <x:v>10</x:v>
      </x:c>
      <x:c r="G1874" s="8" t="n">
        <x:f>MIN(F1874,9)+1</x:f>
        <x:v>10</x:v>
      </x:c>
      <x:c r="H1874" s="8" t="n">
        <x:f>IF(F1874&lt;=9,1,0)</x:f>
        <x:v>0</x:v>
      </x:c>
      <x:c r="I1874" s="9" t="n">
        <x:f>MIN(10,F1873+IF(AR1873&gt;0,MIN(1,AS1873/AR1873),1))</x:f>
        <x:v>10</x:v>
      </x:c>
      <x:c r="J1874" s="32" t="n">
        <x:f>INDEX(v01_FoodCap,G1874)*Arch_FoodCap*EXP(v01_CapsByProject*SUMPRODUCT((Cap_Point&lt;=I1874)*(Cap_Kind="Food")*Cap_Ln))</x:f>
        <x:v>12000</x:v>
      </x:c>
      <x:c r="K1874" s="32" t="n">
        <x:f>J1874*MIN(1,v01_LeanBase*EXP(v01_CapsByProject*SUMPRODUCT((Cap_Point&lt;=I1874)*(Cap_Kind="Lean")*Cap_Ln)))</x:f>
        <x:v>12000</x:v>
      </x:c>
      <x:c r="L1874" s="10" t="n">
        <x:f>INDEX(v01_HousingCap,G1874)*EXP(v01_CapsByProject*SUMPRODUCT((Cap_Point&lt;=I1874)*(Cap_Kind="Housing")*Cap_Ln))</x:f>
        <x:v>20000</x:v>
      </x:c>
      <x:c r="M1874" s="10" t="n">
        <x:f>INDEX(v01_GroupCap,G1874)*v01_CohesionFactor*EXP(v01_CapsByProject*SUMPRODUCT((Cap_Point&lt;=I1874)*(Cap_Kind="Group")*Cap_Ln))</x:f>
        <x:v>1000000</x:v>
      </x:c>
      <x:c r="N1874" s="32" t="n">
        <x:f>MIN(J1874,L1874,M1874)</x:f>
        <x:v>12000</x:v>
      </x:c>
      <x:c r="O1874" s="10" t="n">
        <x:f>AE1873*N1874</x:f>
        <x:v>180000</x:v>
      </x:c>
      <x:c r="P1874" s="9" t="n">
        <x:f>MIN(1,(AB1873/(AE1873*IF(v01_GroupInCrowding=1,N1874,MIN(J1874,L1874))))^v01_CrowdingExp)</x:f>
        <x:v>0.00024569414295285325</x:v>
      </x:c>
      <x:c r="Q1874" s="9" t="n">
        <x:f>IF(D1874=1,INDEX(v01_WinterMult,G1874),1)</x:f>
        <x:v>1</x:v>
      </x:c>
      <x:c r="R1874" s="9" t="n">
        <x:f>H1874*Z1873*v01_WomenShare*v01_BaseFertility*INDEX(v01_FertMult,G1874)*Arch_Fertility*(1-P1874)</x:f>
        <x:v>0</x:v>
      </x:c>
      <x:c r="S1874" s="9" t="n">
        <x:f>H1874*Y1873*INDEX(v01_MortChild,G1874)/4*Q1874</x:f>
        <x:v>0</x:v>
      </x:c>
      <x:c r="T1874" s="9" t="n">
        <x:f>H1874*Z1873*INDEX(v01_MortAdult,G1874)*Arch_AdultMort/4*Q1874</x:f>
        <x:v>0</x:v>
      </x:c>
      <x:c r="U1874" s="9" t="n">
        <x:f>H1874*AA1873*INDEX(v01_MortElder,G1874)/4*Q1874</x:f>
        <x:v>0</x:v>
      </x:c>
      <x:c r="V1874" s="9" t="n">
        <x:f>H1874*MAX(0,AB1873-O1874)*v01_OvercapLoss</x:f>
        <x:v>0</x:v>
      </x:c>
      <x:c r="W1874" s="9" t="n">
        <x:f>H1874*Y1873/(v01_ChildYears*4)</x:f>
        <x:v>0</x:v>
      </x:c>
      <x:c r="X1874" s="9" t="n">
        <x:f>H1874*Z1873/(v01_AdultYears*4)</x:f>
        <x:v>0</x:v>
      </x:c>
      <x:c r="Y1874" s="32" t="n">
        <x:f>Y1873+R1874-S1874-W1874-Y1873*V1874/AB1873</x:f>
        <x:v>14306.18539759397</x:v>
      </x:c>
      <x:c r="Z1874" s="32" t="n">
        <x:f>Z1873+W1874-X1874-T1874-Z1873*V1874/AB1873</x:f>
        <x:v>19354.456567879548</x:v>
      </x:c>
      <x:c r="AA1874" s="32" t="n">
        <x:f>AA1873+X1874-U1874-AA1873*V1874/AB1873</x:f>
        <x:v>11386.956063258198</x:v>
      </x:c>
      <x:c r="AB1874" s="10" t="n">
        <x:f>Y1874+Z1874+AA1874</x:f>
        <x:v>45047.59802873172</x:v>
      </x:c>
      <x:c r="AC1874" s="8" t="n">
        <x:f>IF(AND(v01_WinterTrigger=1,D1874=1,AB1873/AE1873&gt;=K1874),1,0)</x:f>
        <x:v>0</x:v>
      </x:c>
      <x:c r="AD1874" s="8" t="n">
        <x:f>H1874*IF(AND(OR(AB1873/AE1873&gt;=v01_FissionTrigger*N1874,AC1874=1),AB1873/AE1873*v01_DaughterShare&gt;=v01_MinDaughter),MAX(1,ROUND(AE1873*v01_FissionRate,0)),0)</x:f>
        <x:v>0</x:v>
      </x:c>
      <x:c r="AE1874" s="8" t="n">
        <x:f>IF(H1874=1,MAX(1,MIN(INDEX(v01_Smax,G1874),AE1873+AD1874)),AE1873)</x:f>
        <x:v>15</x:v>
      </x:c>
      <x:c r="AF1874" s="8" t="n">
        <x:f>MAX(0,AE1874-AE1873)</x:f>
        <x:v>0</x:v>
      </x:c>
      <x:c r="AG1874" s="9" t="str">
        <x:f>IF(AF1874&gt;0,B1874,"")</x:f>
      </x:c>
      <x:c r="AH1874" s="9" t="n">
        <x:f>IF(F1874&gt;=1,1,(1+v01_LowTiesShare*(AE1874-1))/AE1874)</x:f>
        <x:v>1</x:v>
      </x:c>
      <x:c r="AI1874" s="32" t="n">
        <x:f>(Z1874+v01_ElderCommons*INDEX(LM_Elder,G1874)*AA1874)*AH1874</x:f>
        <x:v>64139.732591141874</x:v>
      </x:c>
      <x:c r="AJ1874" s="32" t="n">
        <x:f>H1874*v01_CommonsCoef*AI1874^v01_CommonsExp*INDEX(LM_Commons,G1874)</x:f>
        <x:v>0</x:v>
      </x:c>
      <x:c r="AK1874" s="32" t="n">
        <x:f>H1874*v01_RoleScale*Arch_Roles*(AE1874*(INDEX(v01_ElderRolePerSett,G1874)*v01_OutElder*INDEX(LM_Elder,G1874)+INDEX(v01_ShamanPerSett,G1874)*v01_OutShaman)+Z1874*(INDEX(v01_PriestShare,G1874)*v01_OutPriest+INDEX(v01_ScribeShare,G1874)*v01_OutScribe*INDEX(LM_Scribe,G1874)+INDEX(v01_ScholarShare,G1874)*v01_OutScholar*INDEX(LM_Scholar,G1874)+INDEX(v01_ResearcherShare,G1874)*v01_OutResearcher*INDEX(LM_Researcher,G1874)))</x:f>
        <x:v>0</x:v>
      </x:c>
      <x:c r="AL1874" s="32" t="n">
        <x:f>H1874*v01_RoleScale*Arch_Roles*AE1874*INDEX(v01_MonasteryPerSett,G1874)*v01_OutMonastery*INDEX(LM_Monastery,G1874)</x:f>
        <x:v>0</x:v>
      </x:c>
      <x:c r="AM1874" s="32" t="n">
        <x:f>(AJ1874+AK1874+AL1874)/4*INDEX(LM_All,G1874)*INDEX(v01_Boon,G1874)*Arch_Insight</x:f>
        <x:v>0</x:v>
      </x:c>
      <x:c r="AN1874" s="32" t="n">
        <x:f>H1874*(v01_KHPerAdult*Z1874+v01_KHOfCommons*AJ1874/4*INDEX(LM_All,G1874))*v01_KHUsable*Arch_KH</x:f>
        <x:v>0</x:v>
      </x:c>
      <x:c r="AO1874" s="32" t="n">
        <x:f>MIN(AP1873+AN1874,AM1874*v01_KHMaxRatio)</x:f>
        <x:v>0</x:v>
      </x:c>
      <x:c r="AP1874" s="32" t="n">
        <x:f>AP1873+AN1874-AO1874</x:f>
        <x:v>0</x:v>
      </x:c>
      <x:c r="AQ1874" s="32" t="n">
        <x:f>AM1874+AO1874</x:f>
        <x:v>0</x:v>
      </x:c>
      <x:c r="AR1874" s="10" t="n">
        <x:f>IF(H1874=1,INDEX(v01_Req,G1874),0)</x:f>
        <x:v>0</x:v>
      </x:c>
      <x:c r="AS1874" s="32" t="n">
        <x:f>IF(H1874=1,IF(E1874=1,AS1873-AR1873,AS1873)+AQ1874,0)</x:f>
        <x:v>0</x:v>
      </x:c>
      <x:c r="AT1874" s="11" t="n">
        <x:f>IF(AR1874&gt;0,MIN(1,AS1874/AR1874),1)</x:f>
        <x:v>1</x:v>
      </x:c>
      <x:c r="AU1874" s="10" t="n">
        <x:f>AB1874/INDEX(v01_RepScale,G1874)</x:f>
        <x:v>90.09519605746344</x:v>
      </x:c>
      <x:c r="AV1874" s="32" t="n">
        <x:f>AM1874*60/v01_SeasonSeconds</x:f>
        <x:v>0</x:v>
      </x:c>
    </x:row>
    <x:row r="1875">
      <x:c r="A1875" s="8" t="n">
        <x:f>A1874+1</x:f>
        <x:v>1872</x:v>
      </x:c>
      <x:c r="B1875" s="9" t="n">
        <x:f>A1875*v01_SeasonSeconds/60</x:f>
        <x:v>468</x:v>
      </x:c>
      <x:c r="C1875" s="9" t="n">
        <x:f>A1875/4</x:f>
        <x:v>468</x:v>
      </x:c>
      <x:c r="D1875" s="8" t="n">
        <x:f>IF(MOD(A1875,4)=0,1,0)</x:f>
        <x:v>1</x:v>
      </x:c>
      <x:c r="E1875" s="8" t="n">
        <x:f>IF(AND(F1874&lt;=9,AS1874&gt;=AR1874),1,0)</x:f>
        <x:v>0</x:v>
      </x:c>
      <x:c r="F1875" s="8" t="n">
        <x:f>MIN(10,F1874+E1875)</x:f>
        <x:v>10</x:v>
      </x:c>
      <x:c r="G1875" s="8" t="n">
        <x:f>MIN(F1875,9)+1</x:f>
        <x:v>10</x:v>
      </x:c>
      <x:c r="H1875" s="8" t="n">
        <x:f>IF(F1875&lt;=9,1,0)</x:f>
        <x:v>0</x:v>
      </x:c>
      <x:c r="I1875" s="9" t="n">
        <x:f>MIN(10,F1874+IF(AR1874&gt;0,MIN(1,AS1874/AR1874),1))</x:f>
        <x:v>10</x:v>
      </x:c>
      <x:c r="J1875" s="32" t="n">
        <x:f>INDEX(v01_FoodCap,G1875)*Arch_FoodCap*EXP(v01_CapsByProject*SUMPRODUCT((Cap_Point&lt;=I1875)*(Cap_Kind="Food")*Cap_Ln))</x:f>
        <x:v>12000</x:v>
      </x:c>
      <x:c r="K1875" s="32" t="n">
        <x:f>J1875*MIN(1,v01_LeanBase*EXP(v01_CapsByProject*SUMPRODUCT((Cap_Point&lt;=I1875)*(Cap_Kind="Lean")*Cap_Ln)))</x:f>
        <x:v>12000</x:v>
      </x:c>
      <x:c r="L1875" s="10" t="n">
        <x:f>INDEX(v01_HousingCap,G1875)*EXP(v01_CapsByProject*SUMPRODUCT((Cap_Point&lt;=I1875)*(Cap_Kind="Housing")*Cap_Ln))</x:f>
        <x:v>20000</x:v>
      </x:c>
      <x:c r="M1875" s="10" t="n">
        <x:f>INDEX(v01_GroupCap,G1875)*v01_CohesionFactor*EXP(v01_CapsByProject*SUMPRODUCT((Cap_Point&lt;=I1875)*(Cap_Kind="Group")*Cap_Ln))</x:f>
        <x:v>1000000</x:v>
      </x:c>
      <x:c r="N1875" s="32" t="n">
        <x:f>MIN(J1875,L1875,M1875)</x:f>
        <x:v>12000</x:v>
      </x:c>
      <x:c r="O1875" s="10" t="n">
        <x:f>AE1874*N1875</x:f>
        <x:v>180000</x:v>
      </x:c>
      <x:c r="P1875" s="9" t="n">
        <x:f>MIN(1,(AB1874/(AE1874*IF(v01_GroupInCrowding=1,N1875,MIN(J1875,L1875))))^v01_CrowdingExp)</x:f>
        <x:v>0.00024569414295285325</x:v>
      </x:c>
      <x:c r="Q1875" s="9" t="n">
        <x:f>IF(D1875=1,INDEX(v01_WinterMult,G1875),1)</x:f>
        <x:v>1</x:v>
      </x:c>
      <x:c r="R1875" s="9" t="n">
        <x:f>H1875*Z1874*v01_WomenShare*v01_BaseFertility*INDEX(v01_FertMult,G1875)*Arch_Fertility*(1-P1875)</x:f>
        <x:v>0</x:v>
      </x:c>
      <x:c r="S1875" s="9" t="n">
        <x:f>H1875*Y1874*INDEX(v01_MortChild,G1875)/4*Q1875</x:f>
        <x:v>0</x:v>
      </x:c>
      <x:c r="T1875" s="9" t="n">
        <x:f>H1875*Z1874*INDEX(v01_MortAdult,G1875)*Arch_AdultMort/4*Q1875</x:f>
        <x:v>0</x:v>
      </x:c>
      <x:c r="U1875" s="9" t="n">
        <x:f>H1875*AA1874*INDEX(v01_MortElder,G1875)/4*Q1875</x:f>
        <x:v>0</x:v>
      </x:c>
      <x:c r="V1875" s="9" t="n">
        <x:f>H1875*MAX(0,AB1874-O1875)*v01_OvercapLoss</x:f>
        <x:v>0</x:v>
      </x:c>
      <x:c r="W1875" s="9" t="n">
        <x:f>H1875*Y1874/(v01_ChildYears*4)</x:f>
        <x:v>0</x:v>
      </x:c>
      <x:c r="X1875" s="9" t="n">
        <x:f>H1875*Z1874/(v01_AdultYears*4)</x:f>
        <x:v>0</x:v>
      </x:c>
      <x:c r="Y1875" s="32" t="n">
        <x:f>Y1874+R1875-S1875-W1875-Y1874*V1875/AB1874</x:f>
        <x:v>14306.18539759397</x:v>
      </x:c>
      <x:c r="Z1875" s="32" t="n">
        <x:f>Z1874+W1875-X1875-T1875-Z1874*V1875/AB1874</x:f>
        <x:v>19354.456567879548</x:v>
      </x:c>
      <x:c r="AA1875" s="32" t="n">
        <x:f>AA1874+X1875-U1875-AA1874*V1875/AB1874</x:f>
        <x:v>11386.956063258198</x:v>
      </x:c>
      <x:c r="AB1875" s="10" t="n">
        <x:f>Y1875+Z1875+AA1875</x:f>
        <x:v>45047.59802873172</x:v>
      </x:c>
      <x:c r="AC1875" s="8" t="n">
        <x:f>IF(AND(v01_WinterTrigger=1,D1875=1,AB1874/AE1874&gt;=K1875),1,0)</x:f>
        <x:v>0</x:v>
      </x:c>
      <x:c r="AD1875" s="8" t="n">
        <x:f>H1875*IF(AND(OR(AB1874/AE1874&gt;=v01_FissionTrigger*N1875,AC1875=1),AB1874/AE1874*v01_DaughterShare&gt;=v01_MinDaughter),MAX(1,ROUND(AE1874*v01_FissionRate,0)),0)</x:f>
        <x:v>0</x:v>
      </x:c>
      <x:c r="AE1875" s="8" t="n">
        <x:f>IF(H1875=1,MAX(1,MIN(INDEX(v01_Smax,G1875),AE1874+AD1875)),AE1874)</x:f>
        <x:v>15</x:v>
      </x:c>
      <x:c r="AF1875" s="8" t="n">
        <x:f>MAX(0,AE1875-AE1874)</x:f>
        <x:v>0</x:v>
      </x:c>
      <x:c r="AG1875" s="9" t="str">
        <x:f>IF(AF1875&gt;0,B1875,"")</x:f>
      </x:c>
      <x:c r="AH1875" s="9" t="n">
        <x:f>IF(F1875&gt;=1,1,(1+v01_LowTiesShare*(AE1875-1))/AE1875)</x:f>
        <x:v>1</x:v>
      </x:c>
      <x:c r="AI1875" s="32" t="n">
        <x:f>(Z1875+v01_ElderCommons*INDEX(LM_Elder,G1875)*AA1875)*AH1875</x:f>
        <x:v>64139.732591141874</x:v>
      </x:c>
      <x:c r="AJ1875" s="32" t="n">
        <x:f>H1875*v01_CommonsCoef*AI1875^v01_CommonsExp*INDEX(LM_Commons,G1875)</x:f>
        <x:v>0</x:v>
      </x:c>
      <x:c r="AK1875" s="32" t="n">
        <x:f>H1875*v01_RoleScale*Arch_Roles*(AE1875*(INDEX(v01_ElderRolePerSett,G1875)*v01_OutElder*INDEX(LM_Elder,G1875)+INDEX(v01_ShamanPerSett,G1875)*v01_OutShaman)+Z1875*(INDEX(v01_PriestShare,G1875)*v01_OutPriest+INDEX(v01_ScribeShare,G1875)*v01_OutScribe*INDEX(LM_Scribe,G1875)+INDEX(v01_ScholarShare,G1875)*v01_OutScholar*INDEX(LM_Scholar,G1875)+INDEX(v01_ResearcherShare,G1875)*v01_OutResearcher*INDEX(LM_Researcher,G1875)))</x:f>
        <x:v>0</x:v>
      </x:c>
      <x:c r="AL1875" s="32" t="n">
        <x:f>H1875*v01_RoleScale*Arch_Roles*AE1875*INDEX(v01_MonasteryPerSett,G1875)*v01_OutMonastery*INDEX(LM_Monastery,G1875)</x:f>
        <x:v>0</x:v>
      </x:c>
      <x:c r="AM1875" s="32" t="n">
        <x:f>(AJ1875+AK1875+AL1875)/4*INDEX(LM_All,G1875)*INDEX(v01_Boon,G1875)*Arch_Insight</x:f>
        <x:v>0</x:v>
      </x:c>
      <x:c r="AN1875" s="32" t="n">
        <x:f>H1875*(v01_KHPerAdult*Z1875+v01_KHOfCommons*AJ1875/4*INDEX(LM_All,G1875))*v01_KHUsable*Arch_KH</x:f>
        <x:v>0</x:v>
      </x:c>
      <x:c r="AO1875" s="32" t="n">
        <x:f>MIN(AP1874+AN1875,AM1875*v01_KHMaxRatio)</x:f>
        <x:v>0</x:v>
      </x:c>
      <x:c r="AP1875" s="32" t="n">
        <x:f>AP1874+AN1875-AO1875</x:f>
        <x:v>0</x:v>
      </x:c>
      <x:c r="AQ1875" s="32" t="n">
        <x:f>AM1875+AO1875</x:f>
        <x:v>0</x:v>
      </x:c>
      <x:c r="AR1875" s="10" t="n">
        <x:f>IF(H1875=1,INDEX(v01_Req,G1875),0)</x:f>
        <x:v>0</x:v>
      </x:c>
      <x:c r="AS1875" s="32" t="n">
        <x:f>IF(H1875=1,IF(E1875=1,AS1874-AR1874,AS1874)+AQ1875,0)</x:f>
        <x:v>0</x:v>
      </x:c>
      <x:c r="AT1875" s="11" t="n">
        <x:f>IF(AR1875&gt;0,MIN(1,AS1875/AR1875),1)</x:f>
        <x:v>1</x:v>
      </x:c>
      <x:c r="AU1875" s="10" t="n">
        <x:f>AB1875/INDEX(v01_RepScale,G1875)</x:f>
        <x:v>90.09519605746344</x:v>
      </x:c>
      <x:c r="AV1875" s="32" t="n">
        <x:f>AM1875*60/v01_SeasonSeconds</x:f>
        <x:v>0</x:v>
      </x:c>
    </x:row>
    <x:row r="1876">
      <x:c r="A1876" s="8" t="n">
        <x:f>A1875+1</x:f>
        <x:v>1873</x:v>
      </x:c>
      <x:c r="B1876" s="9" t="n">
        <x:f>A1876*v01_SeasonSeconds/60</x:f>
        <x:v>468.25</x:v>
      </x:c>
      <x:c r="C1876" s="9" t="n">
        <x:f>A1876/4</x:f>
        <x:v>468.25</x:v>
      </x:c>
      <x:c r="D1876" s="8" t="n">
        <x:f>IF(MOD(A1876,4)=0,1,0)</x:f>
        <x:v>0</x:v>
      </x:c>
      <x:c r="E1876" s="8" t="n">
        <x:f>IF(AND(F1875&lt;=9,AS1875&gt;=AR1875),1,0)</x:f>
        <x:v>0</x:v>
      </x:c>
      <x:c r="F1876" s="8" t="n">
        <x:f>MIN(10,F1875+E1876)</x:f>
        <x:v>10</x:v>
      </x:c>
      <x:c r="G1876" s="8" t="n">
        <x:f>MIN(F1876,9)+1</x:f>
        <x:v>10</x:v>
      </x:c>
      <x:c r="H1876" s="8" t="n">
        <x:f>IF(F1876&lt;=9,1,0)</x:f>
        <x:v>0</x:v>
      </x:c>
      <x:c r="I1876" s="9" t="n">
        <x:f>MIN(10,F1875+IF(AR1875&gt;0,MIN(1,AS1875/AR1875),1))</x:f>
        <x:v>10</x:v>
      </x:c>
      <x:c r="J1876" s="32" t="n">
        <x:f>INDEX(v01_FoodCap,G1876)*Arch_FoodCap*EXP(v01_CapsByProject*SUMPRODUCT((Cap_Point&lt;=I1876)*(Cap_Kind="Food")*Cap_Ln))</x:f>
        <x:v>12000</x:v>
      </x:c>
      <x:c r="K1876" s="32" t="n">
        <x:f>J1876*MIN(1,v01_LeanBase*EXP(v01_CapsByProject*SUMPRODUCT((Cap_Point&lt;=I1876)*(Cap_Kind="Lean")*Cap_Ln)))</x:f>
        <x:v>12000</x:v>
      </x:c>
      <x:c r="L1876" s="10" t="n">
        <x:f>INDEX(v01_HousingCap,G1876)*EXP(v01_CapsByProject*SUMPRODUCT((Cap_Point&lt;=I1876)*(Cap_Kind="Housing")*Cap_Ln))</x:f>
        <x:v>20000</x:v>
      </x:c>
      <x:c r="M1876" s="10" t="n">
        <x:f>INDEX(v01_GroupCap,G1876)*v01_CohesionFactor*EXP(v01_CapsByProject*SUMPRODUCT((Cap_Point&lt;=I1876)*(Cap_Kind="Group")*Cap_Ln))</x:f>
        <x:v>1000000</x:v>
      </x:c>
      <x:c r="N1876" s="32" t="n">
        <x:f>MIN(J1876,L1876,M1876)</x:f>
        <x:v>12000</x:v>
      </x:c>
      <x:c r="O1876" s="10" t="n">
        <x:f>AE1875*N1876</x:f>
        <x:v>180000</x:v>
      </x:c>
      <x:c r="P1876" s="9" t="n">
        <x:f>MIN(1,(AB1875/(AE1875*IF(v01_GroupInCrowding=1,N1876,MIN(J1876,L1876))))^v01_CrowdingExp)</x:f>
        <x:v>0.00024569414295285325</x:v>
      </x:c>
      <x:c r="Q1876" s="9" t="n">
        <x:f>IF(D1876=1,INDEX(v01_WinterMult,G1876),1)</x:f>
        <x:v>1</x:v>
      </x:c>
      <x:c r="R1876" s="9" t="n">
        <x:f>H1876*Z1875*v01_WomenShare*v01_BaseFertility*INDEX(v01_FertMult,G1876)*Arch_Fertility*(1-P1876)</x:f>
        <x:v>0</x:v>
      </x:c>
      <x:c r="S1876" s="9" t="n">
        <x:f>H1876*Y1875*INDEX(v01_MortChild,G1876)/4*Q1876</x:f>
        <x:v>0</x:v>
      </x:c>
      <x:c r="T1876" s="9" t="n">
        <x:f>H1876*Z1875*INDEX(v01_MortAdult,G1876)*Arch_AdultMort/4*Q1876</x:f>
        <x:v>0</x:v>
      </x:c>
      <x:c r="U1876" s="9" t="n">
        <x:f>H1876*AA1875*INDEX(v01_MortElder,G1876)/4*Q1876</x:f>
        <x:v>0</x:v>
      </x:c>
      <x:c r="V1876" s="9" t="n">
        <x:f>H1876*MAX(0,AB1875-O1876)*v01_OvercapLoss</x:f>
        <x:v>0</x:v>
      </x:c>
      <x:c r="W1876" s="9" t="n">
        <x:f>H1876*Y1875/(v01_ChildYears*4)</x:f>
        <x:v>0</x:v>
      </x:c>
      <x:c r="X1876" s="9" t="n">
        <x:f>H1876*Z1875/(v01_AdultYears*4)</x:f>
        <x:v>0</x:v>
      </x:c>
      <x:c r="Y1876" s="32" t="n">
        <x:f>Y1875+R1876-S1876-W1876-Y1875*V1876/AB1875</x:f>
        <x:v>14306.18539759397</x:v>
      </x:c>
      <x:c r="Z1876" s="32" t="n">
        <x:f>Z1875+W1876-X1876-T1876-Z1875*V1876/AB1875</x:f>
        <x:v>19354.456567879548</x:v>
      </x:c>
      <x:c r="AA1876" s="32" t="n">
        <x:f>AA1875+X1876-U1876-AA1875*V1876/AB1875</x:f>
        <x:v>11386.956063258198</x:v>
      </x:c>
      <x:c r="AB1876" s="10" t="n">
        <x:f>Y1876+Z1876+AA1876</x:f>
        <x:v>45047.59802873172</x:v>
      </x:c>
      <x:c r="AC1876" s="8" t="n">
        <x:f>IF(AND(v01_WinterTrigger=1,D1876=1,AB1875/AE1875&gt;=K1876),1,0)</x:f>
        <x:v>0</x:v>
      </x:c>
      <x:c r="AD1876" s="8" t="n">
        <x:f>H1876*IF(AND(OR(AB1875/AE1875&gt;=v01_FissionTrigger*N1876,AC1876=1),AB1875/AE1875*v01_DaughterShare&gt;=v01_MinDaughter),MAX(1,ROUND(AE1875*v01_FissionRate,0)),0)</x:f>
        <x:v>0</x:v>
      </x:c>
      <x:c r="AE1876" s="8" t="n">
        <x:f>IF(H1876=1,MAX(1,MIN(INDEX(v01_Smax,G1876),AE1875+AD1876)),AE1875)</x:f>
        <x:v>15</x:v>
      </x:c>
      <x:c r="AF1876" s="8" t="n">
        <x:f>MAX(0,AE1876-AE1875)</x:f>
        <x:v>0</x:v>
      </x:c>
      <x:c r="AG1876" s="9" t="str">
        <x:f>IF(AF1876&gt;0,B1876,"")</x:f>
      </x:c>
      <x:c r="AH1876" s="9" t="n">
        <x:f>IF(F1876&gt;=1,1,(1+v01_LowTiesShare*(AE1876-1))/AE1876)</x:f>
        <x:v>1</x:v>
      </x:c>
      <x:c r="AI1876" s="32" t="n">
        <x:f>(Z1876+v01_ElderCommons*INDEX(LM_Elder,G1876)*AA1876)*AH1876</x:f>
        <x:v>64139.732591141874</x:v>
      </x:c>
      <x:c r="AJ1876" s="32" t="n">
        <x:f>H1876*v01_CommonsCoef*AI1876^v01_CommonsExp*INDEX(LM_Commons,G1876)</x:f>
        <x:v>0</x:v>
      </x:c>
      <x:c r="AK1876" s="32" t="n">
        <x:f>H1876*v01_RoleScale*Arch_Roles*(AE1876*(INDEX(v01_ElderRolePerSett,G1876)*v01_OutElder*INDEX(LM_Elder,G1876)+INDEX(v01_ShamanPerSett,G1876)*v01_OutShaman)+Z1876*(INDEX(v01_PriestShare,G1876)*v01_OutPriest+INDEX(v01_ScribeShare,G1876)*v01_OutScribe*INDEX(LM_Scribe,G1876)+INDEX(v01_ScholarShare,G1876)*v01_OutScholar*INDEX(LM_Scholar,G1876)+INDEX(v01_ResearcherShare,G1876)*v01_OutResearcher*INDEX(LM_Researcher,G1876)))</x:f>
        <x:v>0</x:v>
      </x:c>
      <x:c r="AL1876" s="32" t="n">
        <x:f>H1876*v01_RoleScale*Arch_Roles*AE1876*INDEX(v01_MonasteryPerSett,G1876)*v01_OutMonastery*INDEX(LM_Monastery,G1876)</x:f>
        <x:v>0</x:v>
      </x:c>
      <x:c r="AM1876" s="32" t="n">
        <x:f>(AJ1876+AK1876+AL1876)/4*INDEX(LM_All,G1876)*INDEX(v01_Boon,G1876)*Arch_Insight</x:f>
        <x:v>0</x:v>
      </x:c>
      <x:c r="AN1876" s="32" t="n">
        <x:f>H1876*(v01_KHPerAdult*Z1876+v01_KHOfCommons*AJ1876/4*INDEX(LM_All,G1876))*v01_KHUsable*Arch_KH</x:f>
        <x:v>0</x:v>
      </x:c>
      <x:c r="AO1876" s="32" t="n">
        <x:f>MIN(AP1875+AN1876,AM1876*v01_KHMaxRatio)</x:f>
        <x:v>0</x:v>
      </x:c>
      <x:c r="AP1876" s="32" t="n">
        <x:f>AP1875+AN1876-AO1876</x:f>
        <x:v>0</x:v>
      </x:c>
      <x:c r="AQ1876" s="32" t="n">
        <x:f>AM1876+AO1876</x:f>
        <x:v>0</x:v>
      </x:c>
      <x:c r="AR1876" s="10" t="n">
        <x:f>IF(H1876=1,INDEX(v01_Req,G1876),0)</x:f>
        <x:v>0</x:v>
      </x:c>
      <x:c r="AS1876" s="32" t="n">
        <x:f>IF(H1876=1,IF(E1876=1,AS1875-AR1875,AS1875)+AQ1876,0)</x:f>
        <x:v>0</x:v>
      </x:c>
      <x:c r="AT1876" s="11" t="n">
        <x:f>IF(AR1876&gt;0,MIN(1,AS1876/AR1876),1)</x:f>
        <x:v>1</x:v>
      </x:c>
      <x:c r="AU1876" s="10" t="n">
        <x:f>AB1876/INDEX(v01_RepScale,G1876)</x:f>
        <x:v>90.09519605746344</x:v>
      </x:c>
      <x:c r="AV1876" s="32" t="n">
        <x:f>AM1876*60/v01_SeasonSeconds</x:f>
        <x:v>0</x:v>
      </x:c>
    </x:row>
    <x:row r="1877">
      <x:c r="A1877" s="8" t="n">
        <x:f>A1876+1</x:f>
        <x:v>1874</x:v>
      </x:c>
      <x:c r="B1877" s="9" t="n">
        <x:f>A1877*v01_SeasonSeconds/60</x:f>
        <x:v>468.5</x:v>
      </x:c>
      <x:c r="C1877" s="9" t="n">
        <x:f>A1877/4</x:f>
        <x:v>468.5</x:v>
      </x:c>
      <x:c r="D1877" s="8" t="n">
        <x:f>IF(MOD(A1877,4)=0,1,0)</x:f>
        <x:v>0</x:v>
      </x:c>
      <x:c r="E1877" s="8" t="n">
        <x:f>IF(AND(F1876&lt;=9,AS1876&gt;=AR1876),1,0)</x:f>
        <x:v>0</x:v>
      </x:c>
      <x:c r="F1877" s="8" t="n">
        <x:f>MIN(10,F1876+E1877)</x:f>
        <x:v>10</x:v>
      </x:c>
      <x:c r="G1877" s="8" t="n">
        <x:f>MIN(F1877,9)+1</x:f>
        <x:v>10</x:v>
      </x:c>
      <x:c r="H1877" s="8" t="n">
        <x:f>IF(F1877&lt;=9,1,0)</x:f>
        <x:v>0</x:v>
      </x:c>
      <x:c r="I1877" s="9" t="n">
        <x:f>MIN(10,F1876+IF(AR1876&gt;0,MIN(1,AS1876/AR1876),1))</x:f>
        <x:v>10</x:v>
      </x:c>
      <x:c r="J1877" s="32" t="n">
        <x:f>INDEX(v01_FoodCap,G1877)*Arch_FoodCap*EXP(v01_CapsByProject*SUMPRODUCT((Cap_Point&lt;=I1877)*(Cap_Kind="Food")*Cap_Ln))</x:f>
        <x:v>12000</x:v>
      </x:c>
      <x:c r="K1877" s="32" t="n">
        <x:f>J1877*MIN(1,v01_LeanBase*EXP(v01_CapsByProject*SUMPRODUCT((Cap_Point&lt;=I1877)*(Cap_Kind="Lean")*Cap_Ln)))</x:f>
        <x:v>12000</x:v>
      </x:c>
      <x:c r="L1877" s="10" t="n">
        <x:f>INDEX(v01_HousingCap,G1877)*EXP(v01_CapsByProject*SUMPRODUCT((Cap_Point&lt;=I1877)*(Cap_Kind="Housing")*Cap_Ln))</x:f>
        <x:v>20000</x:v>
      </x:c>
      <x:c r="M1877" s="10" t="n">
        <x:f>INDEX(v01_GroupCap,G1877)*v01_CohesionFactor*EXP(v01_CapsByProject*SUMPRODUCT((Cap_Point&lt;=I1877)*(Cap_Kind="Group")*Cap_Ln))</x:f>
        <x:v>1000000</x:v>
      </x:c>
      <x:c r="N1877" s="32" t="n">
        <x:f>MIN(J1877,L1877,M1877)</x:f>
        <x:v>12000</x:v>
      </x:c>
      <x:c r="O1877" s="10" t="n">
        <x:f>AE1876*N1877</x:f>
        <x:v>180000</x:v>
      </x:c>
      <x:c r="P1877" s="9" t="n">
        <x:f>MIN(1,(AB1876/(AE1876*IF(v01_GroupInCrowding=1,N1877,MIN(J1877,L1877))))^v01_CrowdingExp)</x:f>
        <x:v>0.00024569414295285325</x:v>
      </x:c>
      <x:c r="Q1877" s="9" t="n">
        <x:f>IF(D1877=1,INDEX(v01_WinterMult,G1877),1)</x:f>
        <x:v>1</x:v>
      </x:c>
      <x:c r="R1877" s="9" t="n">
        <x:f>H1877*Z1876*v01_WomenShare*v01_BaseFertility*INDEX(v01_FertMult,G1877)*Arch_Fertility*(1-P1877)</x:f>
        <x:v>0</x:v>
      </x:c>
      <x:c r="S1877" s="9" t="n">
        <x:f>H1877*Y1876*INDEX(v01_MortChild,G1877)/4*Q1877</x:f>
        <x:v>0</x:v>
      </x:c>
      <x:c r="T1877" s="9" t="n">
        <x:f>H1877*Z1876*INDEX(v01_MortAdult,G1877)*Arch_AdultMort/4*Q1877</x:f>
        <x:v>0</x:v>
      </x:c>
      <x:c r="U1877" s="9" t="n">
        <x:f>H1877*AA1876*INDEX(v01_MortElder,G1877)/4*Q1877</x:f>
        <x:v>0</x:v>
      </x:c>
      <x:c r="V1877" s="9" t="n">
        <x:f>H1877*MAX(0,AB1876-O1877)*v01_OvercapLoss</x:f>
        <x:v>0</x:v>
      </x:c>
      <x:c r="W1877" s="9" t="n">
        <x:f>H1877*Y1876/(v01_ChildYears*4)</x:f>
        <x:v>0</x:v>
      </x:c>
      <x:c r="X1877" s="9" t="n">
        <x:f>H1877*Z1876/(v01_AdultYears*4)</x:f>
        <x:v>0</x:v>
      </x:c>
      <x:c r="Y1877" s="32" t="n">
        <x:f>Y1876+R1877-S1877-W1877-Y1876*V1877/AB1876</x:f>
        <x:v>14306.18539759397</x:v>
      </x:c>
      <x:c r="Z1877" s="32" t="n">
        <x:f>Z1876+W1877-X1877-T1877-Z1876*V1877/AB1876</x:f>
        <x:v>19354.456567879548</x:v>
      </x:c>
      <x:c r="AA1877" s="32" t="n">
        <x:f>AA1876+X1877-U1877-AA1876*V1877/AB1876</x:f>
        <x:v>11386.956063258198</x:v>
      </x:c>
      <x:c r="AB1877" s="10" t="n">
        <x:f>Y1877+Z1877+AA1877</x:f>
        <x:v>45047.59802873172</x:v>
      </x:c>
      <x:c r="AC1877" s="8" t="n">
        <x:f>IF(AND(v01_WinterTrigger=1,D1877=1,AB1876/AE1876&gt;=K1877),1,0)</x:f>
        <x:v>0</x:v>
      </x:c>
      <x:c r="AD1877" s="8" t="n">
        <x:f>H1877*IF(AND(OR(AB1876/AE1876&gt;=v01_FissionTrigger*N1877,AC1877=1),AB1876/AE1876*v01_DaughterShare&gt;=v01_MinDaughter),MAX(1,ROUND(AE1876*v01_FissionRate,0)),0)</x:f>
        <x:v>0</x:v>
      </x:c>
      <x:c r="AE1877" s="8" t="n">
        <x:f>IF(H1877=1,MAX(1,MIN(INDEX(v01_Smax,G1877),AE1876+AD1877)),AE1876)</x:f>
        <x:v>15</x:v>
      </x:c>
      <x:c r="AF1877" s="8" t="n">
        <x:f>MAX(0,AE1877-AE1876)</x:f>
        <x:v>0</x:v>
      </x:c>
      <x:c r="AG1877" s="9" t="str">
        <x:f>IF(AF1877&gt;0,B1877,"")</x:f>
      </x:c>
      <x:c r="AH1877" s="9" t="n">
        <x:f>IF(F1877&gt;=1,1,(1+v01_LowTiesShare*(AE1877-1))/AE1877)</x:f>
        <x:v>1</x:v>
      </x:c>
      <x:c r="AI1877" s="32" t="n">
        <x:f>(Z1877+v01_ElderCommons*INDEX(LM_Elder,G1877)*AA1877)*AH1877</x:f>
        <x:v>64139.732591141874</x:v>
      </x:c>
      <x:c r="AJ1877" s="32" t="n">
        <x:f>H1877*v01_CommonsCoef*AI1877^v01_CommonsExp*INDEX(LM_Commons,G1877)</x:f>
        <x:v>0</x:v>
      </x:c>
      <x:c r="AK1877" s="32" t="n">
        <x:f>H1877*v01_RoleScale*Arch_Roles*(AE1877*(INDEX(v01_ElderRolePerSett,G1877)*v01_OutElder*INDEX(LM_Elder,G1877)+INDEX(v01_ShamanPerSett,G1877)*v01_OutShaman)+Z1877*(INDEX(v01_PriestShare,G1877)*v01_OutPriest+INDEX(v01_ScribeShare,G1877)*v01_OutScribe*INDEX(LM_Scribe,G1877)+INDEX(v01_ScholarShare,G1877)*v01_OutScholar*INDEX(LM_Scholar,G1877)+INDEX(v01_ResearcherShare,G1877)*v01_OutResearcher*INDEX(LM_Researcher,G1877)))</x:f>
        <x:v>0</x:v>
      </x:c>
      <x:c r="AL1877" s="32" t="n">
        <x:f>H1877*v01_RoleScale*Arch_Roles*AE1877*INDEX(v01_MonasteryPerSett,G1877)*v01_OutMonastery*INDEX(LM_Monastery,G1877)</x:f>
        <x:v>0</x:v>
      </x:c>
      <x:c r="AM1877" s="32" t="n">
        <x:f>(AJ1877+AK1877+AL1877)/4*INDEX(LM_All,G1877)*INDEX(v01_Boon,G1877)*Arch_Insight</x:f>
        <x:v>0</x:v>
      </x:c>
      <x:c r="AN1877" s="32" t="n">
        <x:f>H1877*(v01_KHPerAdult*Z1877+v01_KHOfCommons*AJ1877/4*INDEX(LM_All,G1877))*v01_KHUsable*Arch_KH</x:f>
        <x:v>0</x:v>
      </x:c>
      <x:c r="AO1877" s="32" t="n">
        <x:f>MIN(AP1876+AN1877,AM1877*v01_KHMaxRatio)</x:f>
        <x:v>0</x:v>
      </x:c>
      <x:c r="AP1877" s="32" t="n">
        <x:f>AP1876+AN1877-AO1877</x:f>
        <x:v>0</x:v>
      </x:c>
      <x:c r="AQ1877" s="32" t="n">
        <x:f>AM1877+AO1877</x:f>
        <x:v>0</x:v>
      </x:c>
      <x:c r="AR1877" s="10" t="n">
        <x:f>IF(H1877=1,INDEX(v01_Req,G1877),0)</x:f>
        <x:v>0</x:v>
      </x:c>
      <x:c r="AS1877" s="32" t="n">
        <x:f>IF(H1877=1,IF(E1877=1,AS1876-AR1876,AS1876)+AQ1877,0)</x:f>
        <x:v>0</x:v>
      </x:c>
      <x:c r="AT1877" s="11" t="n">
        <x:f>IF(AR1877&gt;0,MIN(1,AS1877/AR1877),1)</x:f>
        <x:v>1</x:v>
      </x:c>
      <x:c r="AU1877" s="10" t="n">
        <x:f>AB1877/INDEX(v01_RepScale,G1877)</x:f>
        <x:v>90.09519605746344</x:v>
      </x:c>
      <x:c r="AV1877" s="32" t="n">
        <x:f>AM1877*60/v01_SeasonSeconds</x:f>
        <x:v>0</x:v>
      </x:c>
    </x:row>
    <x:row r="1878">
      <x:c r="A1878" s="8" t="n">
        <x:f>A1877+1</x:f>
        <x:v>1875</x:v>
      </x:c>
      <x:c r="B1878" s="9" t="n">
        <x:f>A1878*v01_SeasonSeconds/60</x:f>
        <x:v>468.75</x:v>
      </x:c>
      <x:c r="C1878" s="9" t="n">
        <x:f>A1878/4</x:f>
        <x:v>468.75</x:v>
      </x:c>
      <x:c r="D1878" s="8" t="n">
        <x:f>IF(MOD(A1878,4)=0,1,0)</x:f>
        <x:v>0</x:v>
      </x:c>
      <x:c r="E1878" s="8" t="n">
        <x:f>IF(AND(F1877&lt;=9,AS1877&gt;=AR1877),1,0)</x:f>
        <x:v>0</x:v>
      </x:c>
      <x:c r="F1878" s="8" t="n">
        <x:f>MIN(10,F1877+E1878)</x:f>
        <x:v>10</x:v>
      </x:c>
      <x:c r="G1878" s="8" t="n">
        <x:f>MIN(F1878,9)+1</x:f>
        <x:v>10</x:v>
      </x:c>
      <x:c r="H1878" s="8" t="n">
        <x:f>IF(F1878&lt;=9,1,0)</x:f>
        <x:v>0</x:v>
      </x:c>
      <x:c r="I1878" s="9" t="n">
        <x:f>MIN(10,F1877+IF(AR1877&gt;0,MIN(1,AS1877/AR1877),1))</x:f>
        <x:v>10</x:v>
      </x:c>
      <x:c r="J1878" s="32" t="n">
        <x:f>INDEX(v01_FoodCap,G1878)*Arch_FoodCap*EXP(v01_CapsByProject*SUMPRODUCT((Cap_Point&lt;=I1878)*(Cap_Kind="Food")*Cap_Ln))</x:f>
        <x:v>12000</x:v>
      </x:c>
      <x:c r="K1878" s="32" t="n">
        <x:f>J1878*MIN(1,v01_LeanBase*EXP(v01_CapsByProject*SUMPRODUCT((Cap_Point&lt;=I1878)*(Cap_Kind="Lean")*Cap_Ln)))</x:f>
        <x:v>12000</x:v>
      </x:c>
      <x:c r="L1878" s="10" t="n">
        <x:f>INDEX(v01_HousingCap,G1878)*EXP(v01_CapsByProject*SUMPRODUCT((Cap_Point&lt;=I1878)*(Cap_Kind="Housing")*Cap_Ln))</x:f>
        <x:v>20000</x:v>
      </x:c>
      <x:c r="M1878" s="10" t="n">
        <x:f>INDEX(v01_GroupCap,G1878)*v01_CohesionFactor*EXP(v01_CapsByProject*SUMPRODUCT((Cap_Point&lt;=I1878)*(Cap_Kind="Group")*Cap_Ln))</x:f>
        <x:v>1000000</x:v>
      </x:c>
      <x:c r="N1878" s="32" t="n">
        <x:f>MIN(J1878,L1878,M1878)</x:f>
        <x:v>12000</x:v>
      </x:c>
      <x:c r="O1878" s="10" t="n">
        <x:f>AE1877*N1878</x:f>
        <x:v>180000</x:v>
      </x:c>
      <x:c r="P1878" s="9" t="n">
        <x:f>MIN(1,(AB1877/(AE1877*IF(v01_GroupInCrowding=1,N1878,MIN(J1878,L1878))))^v01_CrowdingExp)</x:f>
        <x:v>0.00024569414295285325</x:v>
      </x:c>
      <x:c r="Q1878" s="9" t="n">
        <x:f>IF(D1878=1,INDEX(v01_WinterMult,G1878),1)</x:f>
        <x:v>1</x:v>
      </x:c>
      <x:c r="R1878" s="9" t="n">
        <x:f>H1878*Z1877*v01_WomenShare*v01_BaseFertility*INDEX(v01_FertMult,G1878)*Arch_Fertility*(1-P1878)</x:f>
        <x:v>0</x:v>
      </x:c>
      <x:c r="S1878" s="9" t="n">
        <x:f>H1878*Y1877*INDEX(v01_MortChild,G1878)/4*Q1878</x:f>
        <x:v>0</x:v>
      </x:c>
      <x:c r="T1878" s="9" t="n">
        <x:f>H1878*Z1877*INDEX(v01_MortAdult,G1878)*Arch_AdultMort/4*Q1878</x:f>
        <x:v>0</x:v>
      </x:c>
      <x:c r="U1878" s="9" t="n">
        <x:f>H1878*AA1877*INDEX(v01_MortElder,G1878)/4*Q1878</x:f>
        <x:v>0</x:v>
      </x:c>
      <x:c r="V1878" s="9" t="n">
        <x:f>H1878*MAX(0,AB1877-O1878)*v01_OvercapLoss</x:f>
        <x:v>0</x:v>
      </x:c>
      <x:c r="W1878" s="9" t="n">
        <x:f>H1878*Y1877/(v01_ChildYears*4)</x:f>
        <x:v>0</x:v>
      </x:c>
      <x:c r="X1878" s="9" t="n">
        <x:f>H1878*Z1877/(v01_AdultYears*4)</x:f>
        <x:v>0</x:v>
      </x:c>
      <x:c r="Y1878" s="32" t="n">
        <x:f>Y1877+R1878-S1878-W1878-Y1877*V1878/AB1877</x:f>
        <x:v>14306.18539759397</x:v>
      </x:c>
      <x:c r="Z1878" s="32" t="n">
        <x:f>Z1877+W1878-X1878-T1878-Z1877*V1878/AB1877</x:f>
        <x:v>19354.456567879548</x:v>
      </x:c>
      <x:c r="AA1878" s="32" t="n">
        <x:f>AA1877+X1878-U1878-AA1877*V1878/AB1877</x:f>
        <x:v>11386.956063258198</x:v>
      </x:c>
      <x:c r="AB1878" s="10" t="n">
        <x:f>Y1878+Z1878+AA1878</x:f>
        <x:v>45047.59802873172</x:v>
      </x:c>
      <x:c r="AC1878" s="8" t="n">
        <x:f>IF(AND(v01_WinterTrigger=1,D1878=1,AB1877/AE1877&gt;=K1878),1,0)</x:f>
        <x:v>0</x:v>
      </x:c>
      <x:c r="AD1878" s="8" t="n">
        <x:f>H1878*IF(AND(OR(AB1877/AE1877&gt;=v01_FissionTrigger*N1878,AC1878=1),AB1877/AE1877*v01_DaughterShare&gt;=v01_MinDaughter),MAX(1,ROUND(AE1877*v01_FissionRate,0)),0)</x:f>
        <x:v>0</x:v>
      </x:c>
      <x:c r="AE1878" s="8" t="n">
        <x:f>IF(H1878=1,MAX(1,MIN(INDEX(v01_Smax,G1878),AE1877+AD1878)),AE1877)</x:f>
        <x:v>15</x:v>
      </x:c>
      <x:c r="AF1878" s="8" t="n">
        <x:f>MAX(0,AE1878-AE1877)</x:f>
        <x:v>0</x:v>
      </x:c>
      <x:c r="AG1878" s="9" t="str">
        <x:f>IF(AF1878&gt;0,B1878,"")</x:f>
      </x:c>
      <x:c r="AH1878" s="9" t="n">
        <x:f>IF(F1878&gt;=1,1,(1+v01_LowTiesShare*(AE1878-1))/AE1878)</x:f>
        <x:v>1</x:v>
      </x:c>
      <x:c r="AI1878" s="32" t="n">
        <x:f>(Z1878+v01_ElderCommons*INDEX(LM_Elder,G1878)*AA1878)*AH1878</x:f>
        <x:v>64139.732591141874</x:v>
      </x:c>
      <x:c r="AJ1878" s="32" t="n">
        <x:f>H1878*v01_CommonsCoef*AI1878^v01_CommonsExp*INDEX(LM_Commons,G1878)</x:f>
        <x:v>0</x:v>
      </x:c>
      <x:c r="AK1878" s="32" t="n">
        <x:f>H1878*v01_RoleScale*Arch_Roles*(AE1878*(INDEX(v01_ElderRolePerSett,G1878)*v01_OutElder*INDEX(LM_Elder,G1878)+INDEX(v01_ShamanPerSett,G1878)*v01_OutShaman)+Z1878*(INDEX(v01_PriestShare,G1878)*v01_OutPriest+INDEX(v01_ScribeShare,G1878)*v01_OutScribe*INDEX(LM_Scribe,G1878)+INDEX(v01_ScholarShare,G1878)*v01_OutScholar*INDEX(LM_Scholar,G1878)+INDEX(v01_ResearcherShare,G1878)*v01_OutResearcher*INDEX(LM_Researcher,G1878)))</x:f>
        <x:v>0</x:v>
      </x:c>
      <x:c r="AL1878" s="32" t="n">
        <x:f>H1878*v01_RoleScale*Arch_Roles*AE1878*INDEX(v01_MonasteryPerSett,G1878)*v01_OutMonastery*INDEX(LM_Monastery,G1878)</x:f>
        <x:v>0</x:v>
      </x:c>
      <x:c r="AM1878" s="32" t="n">
        <x:f>(AJ1878+AK1878+AL1878)/4*INDEX(LM_All,G1878)*INDEX(v01_Boon,G1878)*Arch_Insight</x:f>
        <x:v>0</x:v>
      </x:c>
      <x:c r="AN1878" s="32" t="n">
        <x:f>H1878*(v01_KHPerAdult*Z1878+v01_KHOfCommons*AJ1878/4*INDEX(LM_All,G1878))*v01_KHUsable*Arch_KH</x:f>
        <x:v>0</x:v>
      </x:c>
      <x:c r="AO1878" s="32" t="n">
        <x:f>MIN(AP1877+AN1878,AM1878*v01_KHMaxRatio)</x:f>
        <x:v>0</x:v>
      </x:c>
      <x:c r="AP1878" s="32" t="n">
        <x:f>AP1877+AN1878-AO1878</x:f>
        <x:v>0</x:v>
      </x:c>
      <x:c r="AQ1878" s="32" t="n">
        <x:f>AM1878+AO1878</x:f>
        <x:v>0</x:v>
      </x:c>
      <x:c r="AR1878" s="10" t="n">
        <x:f>IF(H1878=1,INDEX(v01_Req,G1878),0)</x:f>
        <x:v>0</x:v>
      </x:c>
      <x:c r="AS1878" s="32" t="n">
        <x:f>IF(H1878=1,IF(E1878=1,AS1877-AR1877,AS1877)+AQ1878,0)</x:f>
        <x:v>0</x:v>
      </x:c>
      <x:c r="AT1878" s="11" t="n">
        <x:f>IF(AR1878&gt;0,MIN(1,AS1878/AR1878),1)</x:f>
        <x:v>1</x:v>
      </x:c>
      <x:c r="AU1878" s="10" t="n">
        <x:f>AB1878/INDEX(v01_RepScale,G1878)</x:f>
        <x:v>90.09519605746344</x:v>
      </x:c>
      <x:c r="AV1878" s="32" t="n">
        <x:f>AM1878*60/v01_SeasonSeconds</x:f>
        <x:v>0</x:v>
      </x:c>
    </x:row>
    <x:row r="1879">
      <x:c r="A1879" s="8" t="n">
        <x:f>A1878+1</x:f>
        <x:v>1876</x:v>
      </x:c>
      <x:c r="B1879" s="9" t="n">
        <x:f>A1879*v01_SeasonSeconds/60</x:f>
        <x:v>469</x:v>
      </x:c>
      <x:c r="C1879" s="9" t="n">
        <x:f>A1879/4</x:f>
        <x:v>469</x:v>
      </x:c>
      <x:c r="D1879" s="8" t="n">
        <x:f>IF(MOD(A1879,4)=0,1,0)</x:f>
        <x:v>1</x:v>
      </x:c>
      <x:c r="E1879" s="8" t="n">
        <x:f>IF(AND(F1878&lt;=9,AS1878&gt;=AR1878),1,0)</x:f>
        <x:v>0</x:v>
      </x:c>
      <x:c r="F1879" s="8" t="n">
        <x:f>MIN(10,F1878+E1879)</x:f>
        <x:v>10</x:v>
      </x:c>
      <x:c r="G1879" s="8" t="n">
        <x:f>MIN(F1879,9)+1</x:f>
        <x:v>10</x:v>
      </x:c>
      <x:c r="H1879" s="8" t="n">
        <x:f>IF(F1879&lt;=9,1,0)</x:f>
        <x:v>0</x:v>
      </x:c>
      <x:c r="I1879" s="9" t="n">
        <x:f>MIN(10,F1878+IF(AR1878&gt;0,MIN(1,AS1878/AR1878),1))</x:f>
        <x:v>10</x:v>
      </x:c>
      <x:c r="J1879" s="32" t="n">
        <x:f>INDEX(v01_FoodCap,G1879)*Arch_FoodCap*EXP(v01_CapsByProject*SUMPRODUCT((Cap_Point&lt;=I1879)*(Cap_Kind="Food")*Cap_Ln))</x:f>
        <x:v>12000</x:v>
      </x:c>
      <x:c r="K1879" s="32" t="n">
        <x:f>J1879*MIN(1,v01_LeanBase*EXP(v01_CapsByProject*SUMPRODUCT((Cap_Point&lt;=I1879)*(Cap_Kind="Lean")*Cap_Ln)))</x:f>
        <x:v>12000</x:v>
      </x:c>
      <x:c r="L1879" s="10" t="n">
        <x:f>INDEX(v01_HousingCap,G1879)*EXP(v01_CapsByProject*SUMPRODUCT((Cap_Point&lt;=I1879)*(Cap_Kind="Housing")*Cap_Ln))</x:f>
        <x:v>20000</x:v>
      </x:c>
      <x:c r="M1879" s="10" t="n">
        <x:f>INDEX(v01_GroupCap,G1879)*v01_CohesionFactor*EXP(v01_CapsByProject*SUMPRODUCT((Cap_Point&lt;=I1879)*(Cap_Kind="Group")*Cap_Ln))</x:f>
        <x:v>1000000</x:v>
      </x:c>
      <x:c r="N1879" s="32" t="n">
        <x:f>MIN(J1879,L1879,M1879)</x:f>
        <x:v>12000</x:v>
      </x:c>
      <x:c r="O1879" s="10" t="n">
        <x:f>AE1878*N1879</x:f>
        <x:v>180000</x:v>
      </x:c>
      <x:c r="P1879" s="9" t="n">
        <x:f>MIN(1,(AB1878/(AE1878*IF(v01_GroupInCrowding=1,N1879,MIN(J1879,L1879))))^v01_CrowdingExp)</x:f>
        <x:v>0.00024569414295285325</x:v>
      </x:c>
      <x:c r="Q1879" s="9" t="n">
        <x:f>IF(D1879=1,INDEX(v01_WinterMult,G1879),1)</x:f>
        <x:v>1</x:v>
      </x:c>
      <x:c r="R1879" s="9" t="n">
        <x:f>H1879*Z1878*v01_WomenShare*v01_BaseFertility*INDEX(v01_FertMult,G1879)*Arch_Fertility*(1-P1879)</x:f>
        <x:v>0</x:v>
      </x:c>
      <x:c r="S1879" s="9" t="n">
        <x:f>H1879*Y1878*INDEX(v01_MortChild,G1879)/4*Q1879</x:f>
        <x:v>0</x:v>
      </x:c>
      <x:c r="T1879" s="9" t="n">
        <x:f>H1879*Z1878*INDEX(v01_MortAdult,G1879)*Arch_AdultMort/4*Q1879</x:f>
        <x:v>0</x:v>
      </x:c>
      <x:c r="U1879" s="9" t="n">
        <x:f>H1879*AA1878*INDEX(v01_MortElder,G1879)/4*Q1879</x:f>
        <x:v>0</x:v>
      </x:c>
      <x:c r="V1879" s="9" t="n">
        <x:f>H1879*MAX(0,AB1878-O1879)*v01_OvercapLoss</x:f>
        <x:v>0</x:v>
      </x:c>
      <x:c r="W1879" s="9" t="n">
        <x:f>H1879*Y1878/(v01_ChildYears*4)</x:f>
        <x:v>0</x:v>
      </x:c>
      <x:c r="X1879" s="9" t="n">
        <x:f>H1879*Z1878/(v01_AdultYears*4)</x:f>
        <x:v>0</x:v>
      </x:c>
      <x:c r="Y1879" s="32" t="n">
        <x:f>Y1878+R1879-S1879-W1879-Y1878*V1879/AB1878</x:f>
        <x:v>14306.18539759397</x:v>
      </x:c>
      <x:c r="Z1879" s="32" t="n">
        <x:f>Z1878+W1879-X1879-T1879-Z1878*V1879/AB1878</x:f>
        <x:v>19354.456567879548</x:v>
      </x:c>
      <x:c r="AA1879" s="32" t="n">
        <x:f>AA1878+X1879-U1879-AA1878*V1879/AB1878</x:f>
        <x:v>11386.956063258198</x:v>
      </x:c>
      <x:c r="AB1879" s="10" t="n">
        <x:f>Y1879+Z1879+AA1879</x:f>
        <x:v>45047.59802873172</x:v>
      </x:c>
      <x:c r="AC1879" s="8" t="n">
        <x:f>IF(AND(v01_WinterTrigger=1,D1879=1,AB1878/AE1878&gt;=K1879),1,0)</x:f>
        <x:v>0</x:v>
      </x:c>
      <x:c r="AD1879" s="8" t="n">
        <x:f>H1879*IF(AND(OR(AB1878/AE1878&gt;=v01_FissionTrigger*N1879,AC1879=1),AB1878/AE1878*v01_DaughterShare&gt;=v01_MinDaughter),MAX(1,ROUND(AE1878*v01_FissionRate,0)),0)</x:f>
        <x:v>0</x:v>
      </x:c>
      <x:c r="AE1879" s="8" t="n">
        <x:f>IF(H1879=1,MAX(1,MIN(INDEX(v01_Smax,G1879),AE1878+AD1879)),AE1878)</x:f>
        <x:v>15</x:v>
      </x:c>
      <x:c r="AF1879" s="8" t="n">
        <x:f>MAX(0,AE1879-AE1878)</x:f>
        <x:v>0</x:v>
      </x:c>
      <x:c r="AG1879" s="9" t="str">
        <x:f>IF(AF1879&gt;0,B1879,"")</x:f>
      </x:c>
      <x:c r="AH1879" s="9" t="n">
        <x:f>IF(F1879&gt;=1,1,(1+v01_LowTiesShare*(AE1879-1))/AE1879)</x:f>
        <x:v>1</x:v>
      </x:c>
      <x:c r="AI1879" s="32" t="n">
        <x:f>(Z1879+v01_ElderCommons*INDEX(LM_Elder,G1879)*AA1879)*AH1879</x:f>
        <x:v>64139.732591141874</x:v>
      </x:c>
      <x:c r="AJ1879" s="32" t="n">
        <x:f>H1879*v01_CommonsCoef*AI1879^v01_CommonsExp*INDEX(LM_Commons,G1879)</x:f>
        <x:v>0</x:v>
      </x:c>
      <x:c r="AK1879" s="32" t="n">
        <x:f>H1879*v01_RoleScale*Arch_Roles*(AE1879*(INDEX(v01_ElderRolePerSett,G1879)*v01_OutElder*INDEX(LM_Elder,G1879)+INDEX(v01_ShamanPerSett,G1879)*v01_OutShaman)+Z1879*(INDEX(v01_PriestShare,G1879)*v01_OutPriest+INDEX(v01_ScribeShare,G1879)*v01_OutScribe*INDEX(LM_Scribe,G1879)+INDEX(v01_ScholarShare,G1879)*v01_OutScholar*INDEX(LM_Scholar,G1879)+INDEX(v01_ResearcherShare,G1879)*v01_OutResearcher*INDEX(LM_Researcher,G1879)))</x:f>
        <x:v>0</x:v>
      </x:c>
      <x:c r="AL1879" s="32" t="n">
        <x:f>H1879*v01_RoleScale*Arch_Roles*AE1879*INDEX(v01_MonasteryPerSett,G1879)*v01_OutMonastery*INDEX(LM_Monastery,G1879)</x:f>
        <x:v>0</x:v>
      </x:c>
      <x:c r="AM1879" s="32" t="n">
        <x:f>(AJ1879+AK1879+AL1879)/4*INDEX(LM_All,G1879)*INDEX(v01_Boon,G1879)*Arch_Insight</x:f>
        <x:v>0</x:v>
      </x:c>
      <x:c r="AN1879" s="32" t="n">
        <x:f>H1879*(v01_KHPerAdult*Z1879+v01_KHOfCommons*AJ1879/4*INDEX(LM_All,G1879))*v01_KHUsable*Arch_KH</x:f>
        <x:v>0</x:v>
      </x:c>
      <x:c r="AO1879" s="32" t="n">
        <x:f>MIN(AP1878+AN1879,AM1879*v01_KHMaxRatio)</x:f>
        <x:v>0</x:v>
      </x:c>
      <x:c r="AP1879" s="32" t="n">
        <x:f>AP1878+AN1879-AO1879</x:f>
        <x:v>0</x:v>
      </x:c>
      <x:c r="AQ1879" s="32" t="n">
        <x:f>AM1879+AO1879</x:f>
        <x:v>0</x:v>
      </x:c>
      <x:c r="AR1879" s="10" t="n">
        <x:f>IF(H1879=1,INDEX(v01_Req,G1879),0)</x:f>
        <x:v>0</x:v>
      </x:c>
      <x:c r="AS1879" s="32" t="n">
        <x:f>IF(H1879=1,IF(E1879=1,AS1878-AR1878,AS1878)+AQ1879,0)</x:f>
        <x:v>0</x:v>
      </x:c>
      <x:c r="AT1879" s="11" t="n">
        <x:f>IF(AR1879&gt;0,MIN(1,AS1879/AR1879),1)</x:f>
        <x:v>1</x:v>
      </x:c>
      <x:c r="AU1879" s="10" t="n">
        <x:f>AB1879/INDEX(v01_RepScale,G1879)</x:f>
        <x:v>90.09519605746344</x:v>
      </x:c>
      <x:c r="AV1879" s="32" t="n">
        <x:f>AM1879*60/v01_SeasonSeconds</x:f>
        <x:v>0</x:v>
      </x:c>
    </x:row>
    <x:row r="1880">
      <x:c r="A1880" s="8" t="n">
        <x:f>A1879+1</x:f>
        <x:v>1877</x:v>
      </x:c>
      <x:c r="B1880" s="9" t="n">
        <x:f>A1880*v01_SeasonSeconds/60</x:f>
        <x:v>469.25</x:v>
      </x:c>
      <x:c r="C1880" s="9" t="n">
        <x:f>A1880/4</x:f>
        <x:v>469.25</x:v>
      </x:c>
      <x:c r="D1880" s="8" t="n">
        <x:f>IF(MOD(A1880,4)=0,1,0)</x:f>
        <x:v>0</x:v>
      </x:c>
      <x:c r="E1880" s="8" t="n">
        <x:f>IF(AND(F1879&lt;=9,AS1879&gt;=AR1879),1,0)</x:f>
        <x:v>0</x:v>
      </x:c>
      <x:c r="F1880" s="8" t="n">
        <x:f>MIN(10,F1879+E1880)</x:f>
        <x:v>10</x:v>
      </x:c>
      <x:c r="G1880" s="8" t="n">
        <x:f>MIN(F1880,9)+1</x:f>
        <x:v>10</x:v>
      </x:c>
      <x:c r="H1880" s="8" t="n">
        <x:f>IF(F1880&lt;=9,1,0)</x:f>
        <x:v>0</x:v>
      </x:c>
      <x:c r="I1880" s="9" t="n">
        <x:f>MIN(10,F1879+IF(AR1879&gt;0,MIN(1,AS1879/AR1879),1))</x:f>
        <x:v>10</x:v>
      </x:c>
      <x:c r="J1880" s="32" t="n">
        <x:f>INDEX(v01_FoodCap,G1880)*Arch_FoodCap*EXP(v01_CapsByProject*SUMPRODUCT((Cap_Point&lt;=I1880)*(Cap_Kind="Food")*Cap_Ln))</x:f>
        <x:v>12000</x:v>
      </x:c>
      <x:c r="K1880" s="32" t="n">
        <x:f>J1880*MIN(1,v01_LeanBase*EXP(v01_CapsByProject*SUMPRODUCT((Cap_Point&lt;=I1880)*(Cap_Kind="Lean")*Cap_Ln)))</x:f>
        <x:v>12000</x:v>
      </x:c>
      <x:c r="L1880" s="10" t="n">
        <x:f>INDEX(v01_HousingCap,G1880)*EXP(v01_CapsByProject*SUMPRODUCT((Cap_Point&lt;=I1880)*(Cap_Kind="Housing")*Cap_Ln))</x:f>
        <x:v>20000</x:v>
      </x:c>
      <x:c r="M1880" s="10" t="n">
        <x:f>INDEX(v01_GroupCap,G1880)*v01_CohesionFactor*EXP(v01_CapsByProject*SUMPRODUCT((Cap_Point&lt;=I1880)*(Cap_Kind="Group")*Cap_Ln))</x:f>
        <x:v>1000000</x:v>
      </x:c>
      <x:c r="N1880" s="32" t="n">
        <x:f>MIN(J1880,L1880,M1880)</x:f>
        <x:v>12000</x:v>
      </x:c>
      <x:c r="O1880" s="10" t="n">
        <x:f>AE1879*N1880</x:f>
        <x:v>180000</x:v>
      </x:c>
      <x:c r="P1880" s="9" t="n">
        <x:f>MIN(1,(AB1879/(AE1879*IF(v01_GroupInCrowding=1,N1880,MIN(J1880,L1880))))^v01_CrowdingExp)</x:f>
        <x:v>0.00024569414295285325</x:v>
      </x:c>
      <x:c r="Q1880" s="9" t="n">
        <x:f>IF(D1880=1,INDEX(v01_WinterMult,G1880),1)</x:f>
        <x:v>1</x:v>
      </x:c>
      <x:c r="R1880" s="9" t="n">
        <x:f>H1880*Z1879*v01_WomenShare*v01_BaseFertility*INDEX(v01_FertMult,G1880)*Arch_Fertility*(1-P1880)</x:f>
        <x:v>0</x:v>
      </x:c>
      <x:c r="S1880" s="9" t="n">
        <x:f>H1880*Y1879*INDEX(v01_MortChild,G1880)/4*Q1880</x:f>
        <x:v>0</x:v>
      </x:c>
      <x:c r="T1880" s="9" t="n">
        <x:f>H1880*Z1879*INDEX(v01_MortAdult,G1880)*Arch_AdultMort/4*Q1880</x:f>
        <x:v>0</x:v>
      </x:c>
      <x:c r="U1880" s="9" t="n">
        <x:f>H1880*AA1879*INDEX(v01_MortElder,G1880)/4*Q1880</x:f>
        <x:v>0</x:v>
      </x:c>
      <x:c r="V1880" s="9" t="n">
        <x:f>H1880*MAX(0,AB1879-O1880)*v01_OvercapLoss</x:f>
        <x:v>0</x:v>
      </x:c>
      <x:c r="W1880" s="9" t="n">
        <x:f>H1880*Y1879/(v01_ChildYears*4)</x:f>
        <x:v>0</x:v>
      </x:c>
      <x:c r="X1880" s="9" t="n">
        <x:f>H1880*Z1879/(v01_AdultYears*4)</x:f>
        <x:v>0</x:v>
      </x:c>
      <x:c r="Y1880" s="32" t="n">
        <x:f>Y1879+R1880-S1880-W1880-Y1879*V1880/AB1879</x:f>
        <x:v>14306.18539759397</x:v>
      </x:c>
      <x:c r="Z1880" s="32" t="n">
        <x:f>Z1879+W1880-X1880-T1880-Z1879*V1880/AB1879</x:f>
        <x:v>19354.456567879548</x:v>
      </x:c>
      <x:c r="AA1880" s="32" t="n">
        <x:f>AA1879+X1880-U1880-AA1879*V1880/AB1879</x:f>
        <x:v>11386.956063258198</x:v>
      </x:c>
      <x:c r="AB1880" s="10" t="n">
        <x:f>Y1880+Z1880+AA1880</x:f>
        <x:v>45047.59802873172</x:v>
      </x:c>
      <x:c r="AC1880" s="8" t="n">
        <x:f>IF(AND(v01_WinterTrigger=1,D1880=1,AB1879/AE1879&gt;=K1880),1,0)</x:f>
        <x:v>0</x:v>
      </x:c>
      <x:c r="AD1880" s="8" t="n">
        <x:f>H1880*IF(AND(OR(AB1879/AE1879&gt;=v01_FissionTrigger*N1880,AC1880=1),AB1879/AE1879*v01_DaughterShare&gt;=v01_MinDaughter),MAX(1,ROUND(AE1879*v01_FissionRate,0)),0)</x:f>
        <x:v>0</x:v>
      </x:c>
      <x:c r="AE1880" s="8" t="n">
        <x:f>IF(H1880=1,MAX(1,MIN(INDEX(v01_Smax,G1880),AE1879+AD1880)),AE1879)</x:f>
        <x:v>15</x:v>
      </x:c>
      <x:c r="AF1880" s="8" t="n">
        <x:f>MAX(0,AE1880-AE1879)</x:f>
        <x:v>0</x:v>
      </x:c>
      <x:c r="AG1880" s="9" t="str">
        <x:f>IF(AF1880&gt;0,B1880,"")</x:f>
      </x:c>
      <x:c r="AH1880" s="9" t="n">
        <x:f>IF(F1880&gt;=1,1,(1+v01_LowTiesShare*(AE1880-1))/AE1880)</x:f>
        <x:v>1</x:v>
      </x:c>
      <x:c r="AI1880" s="32" t="n">
        <x:f>(Z1880+v01_ElderCommons*INDEX(LM_Elder,G1880)*AA1880)*AH1880</x:f>
        <x:v>64139.732591141874</x:v>
      </x:c>
      <x:c r="AJ1880" s="32" t="n">
        <x:f>H1880*v01_CommonsCoef*AI1880^v01_CommonsExp*INDEX(LM_Commons,G1880)</x:f>
        <x:v>0</x:v>
      </x:c>
      <x:c r="AK1880" s="32" t="n">
        <x:f>H1880*v01_RoleScale*Arch_Roles*(AE1880*(INDEX(v01_ElderRolePerSett,G1880)*v01_OutElder*INDEX(LM_Elder,G1880)+INDEX(v01_ShamanPerSett,G1880)*v01_OutShaman)+Z1880*(INDEX(v01_PriestShare,G1880)*v01_OutPriest+INDEX(v01_ScribeShare,G1880)*v01_OutScribe*INDEX(LM_Scribe,G1880)+INDEX(v01_ScholarShare,G1880)*v01_OutScholar*INDEX(LM_Scholar,G1880)+INDEX(v01_ResearcherShare,G1880)*v01_OutResearcher*INDEX(LM_Researcher,G1880)))</x:f>
        <x:v>0</x:v>
      </x:c>
      <x:c r="AL1880" s="32" t="n">
        <x:f>H1880*v01_RoleScale*Arch_Roles*AE1880*INDEX(v01_MonasteryPerSett,G1880)*v01_OutMonastery*INDEX(LM_Monastery,G1880)</x:f>
        <x:v>0</x:v>
      </x:c>
      <x:c r="AM1880" s="32" t="n">
        <x:f>(AJ1880+AK1880+AL1880)/4*INDEX(LM_All,G1880)*INDEX(v01_Boon,G1880)*Arch_Insight</x:f>
        <x:v>0</x:v>
      </x:c>
      <x:c r="AN1880" s="32" t="n">
        <x:f>H1880*(v01_KHPerAdult*Z1880+v01_KHOfCommons*AJ1880/4*INDEX(LM_All,G1880))*v01_KHUsable*Arch_KH</x:f>
        <x:v>0</x:v>
      </x:c>
      <x:c r="AO1880" s="32" t="n">
        <x:f>MIN(AP1879+AN1880,AM1880*v01_KHMaxRatio)</x:f>
        <x:v>0</x:v>
      </x:c>
      <x:c r="AP1880" s="32" t="n">
        <x:f>AP1879+AN1880-AO1880</x:f>
        <x:v>0</x:v>
      </x:c>
      <x:c r="AQ1880" s="32" t="n">
        <x:f>AM1880+AO1880</x:f>
        <x:v>0</x:v>
      </x:c>
      <x:c r="AR1880" s="10" t="n">
        <x:f>IF(H1880=1,INDEX(v01_Req,G1880),0)</x:f>
        <x:v>0</x:v>
      </x:c>
      <x:c r="AS1880" s="32" t="n">
        <x:f>IF(H1880=1,IF(E1880=1,AS1879-AR1879,AS1879)+AQ1880,0)</x:f>
        <x:v>0</x:v>
      </x:c>
      <x:c r="AT1880" s="11" t="n">
        <x:f>IF(AR1880&gt;0,MIN(1,AS1880/AR1880),1)</x:f>
        <x:v>1</x:v>
      </x:c>
      <x:c r="AU1880" s="10" t="n">
        <x:f>AB1880/INDEX(v01_RepScale,G1880)</x:f>
        <x:v>90.09519605746344</x:v>
      </x:c>
      <x:c r="AV1880" s="32" t="n">
        <x:f>AM1880*60/v01_SeasonSeconds</x:f>
        <x:v>0</x:v>
      </x:c>
    </x:row>
    <x:row r="1881">
      <x:c r="A1881" s="8" t="n">
        <x:f>A1880+1</x:f>
        <x:v>1878</x:v>
      </x:c>
      <x:c r="B1881" s="9" t="n">
        <x:f>A1881*v01_SeasonSeconds/60</x:f>
        <x:v>469.5</x:v>
      </x:c>
      <x:c r="C1881" s="9" t="n">
        <x:f>A1881/4</x:f>
        <x:v>469.5</x:v>
      </x:c>
      <x:c r="D1881" s="8" t="n">
        <x:f>IF(MOD(A1881,4)=0,1,0)</x:f>
        <x:v>0</x:v>
      </x:c>
      <x:c r="E1881" s="8" t="n">
        <x:f>IF(AND(F1880&lt;=9,AS1880&gt;=AR1880),1,0)</x:f>
        <x:v>0</x:v>
      </x:c>
      <x:c r="F1881" s="8" t="n">
        <x:f>MIN(10,F1880+E1881)</x:f>
        <x:v>10</x:v>
      </x:c>
      <x:c r="G1881" s="8" t="n">
        <x:f>MIN(F1881,9)+1</x:f>
        <x:v>10</x:v>
      </x:c>
      <x:c r="H1881" s="8" t="n">
        <x:f>IF(F1881&lt;=9,1,0)</x:f>
        <x:v>0</x:v>
      </x:c>
      <x:c r="I1881" s="9" t="n">
        <x:f>MIN(10,F1880+IF(AR1880&gt;0,MIN(1,AS1880/AR1880),1))</x:f>
        <x:v>10</x:v>
      </x:c>
      <x:c r="J1881" s="32" t="n">
        <x:f>INDEX(v01_FoodCap,G1881)*Arch_FoodCap*EXP(v01_CapsByProject*SUMPRODUCT((Cap_Point&lt;=I1881)*(Cap_Kind="Food")*Cap_Ln))</x:f>
        <x:v>12000</x:v>
      </x:c>
      <x:c r="K1881" s="32" t="n">
        <x:f>J1881*MIN(1,v01_LeanBase*EXP(v01_CapsByProject*SUMPRODUCT((Cap_Point&lt;=I1881)*(Cap_Kind="Lean")*Cap_Ln)))</x:f>
        <x:v>12000</x:v>
      </x:c>
      <x:c r="L1881" s="10" t="n">
        <x:f>INDEX(v01_HousingCap,G1881)*EXP(v01_CapsByProject*SUMPRODUCT((Cap_Point&lt;=I1881)*(Cap_Kind="Housing")*Cap_Ln))</x:f>
        <x:v>20000</x:v>
      </x:c>
      <x:c r="M1881" s="10" t="n">
        <x:f>INDEX(v01_GroupCap,G1881)*v01_CohesionFactor*EXP(v01_CapsByProject*SUMPRODUCT((Cap_Point&lt;=I1881)*(Cap_Kind="Group")*Cap_Ln))</x:f>
        <x:v>1000000</x:v>
      </x:c>
      <x:c r="N1881" s="32" t="n">
        <x:f>MIN(J1881,L1881,M1881)</x:f>
        <x:v>12000</x:v>
      </x:c>
      <x:c r="O1881" s="10" t="n">
        <x:f>AE1880*N1881</x:f>
        <x:v>180000</x:v>
      </x:c>
      <x:c r="P1881" s="9" t="n">
        <x:f>MIN(1,(AB1880/(AE1880*IF(v01_GroupInCrowding=1,N1881,MIN(J1881,L1881))))^v01_CrowdingExp)</x:f>
        <x:v>0.00024569414295285325</x:v>
      </x:c>
      <x:c r="Q1881" s="9" t="n">
        <x:f>IF(D1881=1,INDEX(v01_WinterMult,G1881),1)</x:f>
        <x:v>1</x:v>
      </x:c>
      <x:c r="R1881" s="9" t="n">
        <x:f>H1881*Z1880*v01_WomenShare*v01_BaseFertility*INDEX(v01_FertMult,G1881)*Arch_Fertility*(1-P1881)</x:f>
        <x:v>0</x:v>
      </x:c>
      <x:c r="S1881" s="9" t="n">
        <x:f>H1881*Y1880*INDEX(v01_MortChild,G1881)/4*Q1881</x:f>
        <x:v>0</x:v>
      </x:c>
      <x:c r="T1881" s="9" t="n">
        <x:f>H1881*Z1880*INDEX(v01_MortAdult,G1881)*Arch_AdultMort/4*Q1881</x:f>
        <x:v>0</x:v>
      </x:c>
      <x:c r="U1881" s="9" t="n">
        <x:f>H1881*AA1880*INDEX(v01_MortElder,G1881)/4*Q1881</x:f>
        <x:v>0</x:v>
      </x:c>
      <x:c r="V1881" s="9" t="n">
        <x:f>H1881*MAX(0,AB1880-O1881)*v01_OvercapLoss</x:f>
        <x:v>0</x:v>
      </x:c>
      <x:c r="W1881" s="9" t="n">
        <x:f>H1881*Y1880/(v01_ChildYears*4)</x:f>
        <x:v>0</x:v>
      </x:c>
      <x:c r="X1881" s="9" t="n">
        <x:f>H1881*Z1880/(v01_AdultYears*4)</x:f>
        <x:v>0</x:v>
      </x:c>
      <x:c r="Y1881" s="32" t="n">
        <x:f>Y1880+R1881-S1881-W1881-Y1880*V1881/AB1880</x:f>
        <x:v>14306.18539759397</x:v>
      </x:c>
      <x:c r="Z1881" s="32" t="n">
        <x:f>Z1880+W1881-X1881-T1881-Z1880*V1881/AB1880</x:f>
        <x:v>19354.456567879548</x:v>
      </x:c>
      <x:c r="AA1881" s="32" t="n">
        <x:f>AA1880+X1881-U1881-AA1880*V1881/AB1880</x:f>
        <x:v>11386.956063258198</x:v>
      </x:c>
      <x:c r="AB1881" s="10" t="n">
        <x:f>Y1881+Z1881+AA1881</x:f>
        <x:v>45047.59802873172</x:v>
      </x:c>
      <x:c r="AC1881" s="8" t="n">
        <x:f>IF(AND(v01_WinterTrigger=1,D1881=1,AB1880/AE1880&gt;=K1881),1,0)</x:f>
        <x:v>0</x:v>
      </x:c>
      <x:c r="AD1881" s="8" t="n">
        <x:f>H1881*IF(AND(OR(AB1880/AE1880&gt;=v01_FissionTrigger*N1881,AC1881=1),AB1880/AE1880*v01_DaughterShare&gt;=v01_MinDaughter),MAX(1,ROUND(AE1880*v01_FissionRate,0)),0)</x:f>
        <x:v>0</x:v>
      </x:c>
      <x:c r="AE1881" s="8" t="n">
        <x:f>IF(H1881=1,MAX(1,MIN(INDEX(v01_Smax,G1881),AE1880+AD1881)),AE1880)</x:f>
        <x:v>15</x:v>
      </x:c>
      <x:c r="AF1881" s="8" t="n">
        <x:f>MAX(0,AE1881-AE1880)</x:f>
        <x:v>0</x:v>
      </x:c>
      <x:c r="AG1881" s="9" t="str">
        <x:f>IF(AF1881&gt;0,B1881,"")</x:f>
      </x:c>
      <x:c r="AH1881" s="9" t="n">
        <x:f>IF(F1881&gt;=1,1,(1+v01_LowTiesShare*(AE1881-1))/AE1881)</x:f>
        <x:v>1</x:v>
      </x:c>
      <x:c r="AI1881" s="32" t="n">
        <x:f>(Z1881+v01_ElderCommons*INDEX(LM_Elder,G1881)*AA1881)*AH1881</x:f>
        <x:v>64139.732591141874</x:v>
      </x:c>
      <x:c r="AJ1881" s="32" t="n">
        <x:f>H1881*v01_CommonsCoef*AI1881^v01_CommonsExp*INDEX(LM_Commons,G1881)</x:f>
        <x:v>0</x:v>
      </x:c>
      <x:c r="AK1881" s="32" t="n">
        <x:f>H1881*v01_RoleScale*Arch_Roles*(AE1881*(INDEX(v01_ElderRolePerSett,G1881)*v01_OutElder*INDEX(LM_Elder,G1881)+INDEX(v01_ShamanPerSett,G1881)*v01_OutShaman)+Z1881*(INDEX(v01_PriestShare,G1881)*v01_OutPriest+INDEX(v01_ScribeShare,G1881)*v01_OutScribe*INDEX(LM_Scribe,G1881)+INDEX(v01_ScholarShare,G1881)*v01_OutScholar*INDEX(LM_Scholar,G1881)+INDEX(v01_ResearcherShare,G1881)*v01_OutResearcher*INDEX(LM_Researcher,G1881)))</x:f>
        <x:v>0</x:v>
      </x:c>
      <x:c r="AL1881" s="32" t="n">
        <x:f>H1881*v01_RoleScale*Arch_Roles*AE1881*INDEX(v01_MonasteryPerSett,G1881)*v01_OutMonastery*INDEX(LM_Monastery,G1881)</x:f>
        <x:v>0</x:v>
      </x:c>
      <x:c r="AM1881" s="32" t="n">
        <x:f>(AJ1881+AK1881+AL1881)/4*INDEX(LM_All,G1881)*INDEX(v01_Boon,G1881)*Arch_Insight</x:f>
        <x:v>0</x:v>
      </x:c>
      <x:c r="AN1881" s="32" t="n">
        <x:f>H1881*(v01_KHPerAdult*Z1881+v01_KHOfCommons*AJ1881/4*INDEX(LM_All,G1881))*v01_KHUsable*Arch_KH</x:f>
        <x:v>0</x:v>
      </x:c>
      <x:c r="AO1881" s="32" t="n">
        <x:f>MIN(AP1880+AN1881,AM1881*v01_KHMaxRatio)</x:f>
        <x:v>0</x:v>
      </x:c>
      <x:c r="AP1881" s="32" t="n">
        <x:f>AP1880+AN1881-AO1881</x:f>
        <x:v>0</x:v>
      </x:c>
      <x:c r="AQ1881" s="32" t="n">
        <x:f>AM1881+AO1881</x:f>
        <x:v>0</x:v>
      </x:c>
      <x:c r="AR1881" s="10" t="n">
        <x:f>IF(H1881=1,INDEX(v01_Req,G1881),0)</x:f>
        <x:v>0</x:v>
      </x:c>
      <x:c r="AS1881" s="32" t="n">
        <x:f>IF(H1881=1,IF(E1881=1,AS1880-AR1880,AS1880)+AQ1881,0)</x:f>
        <x:v>0</x:v>
      </x:c>
      <x:c r="AT1881" s="11" t="n">
        <x:f>IF(AR1881&gt;0,MIN(1,AS1881/AR1881),1)</x:f>
        <x:v>1</x:v>
      </x:c>
      <x:c r="AU1881" s="10" t="n">
        <x:f>AB1881/INDEX(v01_RepScale,G1881)</x:f>
        <x:v>90.09519605746344</x:v>
      </x:c>
      <x:c r="AV1881" s="32" t="n">
        <x:f>AM1881*60/v01_SeasonSeconds</x:f>
        <x:v>0</x:v>
      </x:c>
    </x:row>
    <x:row r="1882">
      <x:c r="A1882" s="8" t="n">
        <x:f>A1881+1</x:f>
        <x:v>1879</x:v>
      </x:c>
      <x:c r="B1882" s="9" t="n">
        <x:f>A1882*v01_SeasonSeconds/60</x:f>
        <x:v>469.75</x:v>
      </x:c>
      <x:c r="C1882" s="9" t="n">
        <x:f>A1882/4</x:f>
        <x:v>469.75</x:v>
      </x:c>
      <x:c r="D1882" s="8" t="n">
        <x:f>IF(MOD(A1882,4)=0,1,0)</x:f>
        <x:v>0</x:v>
      </x:c>
      <x:c r="E1882" s="8" t="n">
        <x:f>IF(AND(F1881&lt;=9,AS1881&gt;=AR1881),1,0)</x:f>
        <x:v>0</x:v>
      </x:c>
      <x:c r="F1882" s="8" t="n">
        <x:f>MIN(10,F1881+E1882)</x:f>
        <x:v>10</x:v>
      </x:c>
      <x:c r="G1882" s="8" t="n">
        <x:f>MIN(F1882,9)+1</x:f>
        <x:v>10</x:v>
      </x:c>
      <x:c r="H1882" s="8" t="n">
        <x:f>IF(F1882&lt;=9,1,0)</x:f>
        <x:v>0</x:v>
      </x:c>
      <x:c r="I1882" s="9" t="n">
        <x:f>MIN(10,F1881+IF(AR1881&gt;0,MIN(1,AS1881/AR1881),1))</x:f>
        <x:v>10</x:v>
      </x:c>
      <x:c r="J1882" s="32" t="n">
        <x:f>INDEX(v01_FoodCap,G1882)*Arch_FoodCap*EXP(v01_CapsByProject*SUMPRODUCT((Cap_Point&lt;=I1882)*(Cap_Kind="Food")*Cap_Ln))</x:f>
        <x:v>12000</x:v>
      </x:c>
      <x:c r="K1882" s="32" t="n">
        <x:f>J1882*MIN(1,v01_LeanBase*EXP(v01_CapsByProject*SUMPRODUCT((Cap_Point&lt;=I1882)*(Cap_Kind="Lean")*Cap_Ln)))</x:f>
        <x:v>12000</x:v>
      </x:c>
      <x:c r="L1882" s="10" t="n">
        <x:f>INDEX(v01_HousingCap,G1882)*EXP(v01_CapsByProject*SUMPRODUCT((Cap_Point&lt;=I1882)*(Cap_Kind="Housing")*Cap_Ln))</x:f>
        <x:v>20000</x:v>
      </x:c>
      <x:c r="M1882" s="10" t="n">
        <x:f>INDEX(v01_GroupCap,G1882)*v01_CohesionFactor*EXP(v01_CapsByProject*SUMPRODUCT((Cap_Point&lt;=I1882)*(Cap_Kind="Group")*Cap_Ln))</x:f>
        <x:v>1000000</x:v>
      </x:c>
      <x:c r="N1882" s="32" t="n">
        <x:f>MIN(J1882,L1882,M1882)</x:f>
        <x:v>12000</x:v>
      </x:c>
      <x:c r="O1882" s="10" t="n">
        <x:f>AE1881*N1882</x:f>
        <x:v>180000</x:v>
      </x:c>
      <x:c r="P1882" s="9" t="n">
        <x:f>MIN(1,(AB1881/(AE1881*IF(v01_GroupInCrowding=1,N1882,MIN(J1882,L1882))))^v01_CrowdingExp)</x:f>
        <x:v>0.00024569414295285325</x:v>
      </x:c>
      <x:c r="Q1882" s="9" t="n">
        <x:f>IF(D1882=1,INDEX(v01_WinterMult,G1882),1)</x:f>
        <x:v>1</x:v>
      </x:c>
      <x:c r="R1882" s="9" t="n">
        <x:f>H1882*Z1881*v01_WomenShare*v01_BaseFertility*INDEX(v01_FertMult,G1882)*Arch_Fertility*(1-P1882)</x:f>
        <x:v>0</x:v>
      </x:c>
      <x:c r="S1882" s="9" t="n">
        <x:f>H1882*Y1881*INDEX(v01_MortChild,G1882)/4*Q1882</x:f>
        <x:v>0</x:v>
      </x:c>
      <x:c r="T1882" s="9" t="n">
        <x:f>H1882*Z1881*INDEX(v01_MortAdult,G1882)*Arch_AdultMort/4*Q1882</x:f>
        <x:v>0</x:v>
      </x:c>
      <x:c r="U1882" s="9" t="n">
        <x:f>H1882*AA1881*INDEX(v01_MortElder,G1882)/4*Q1882</x:f>
        <x:v>0</x:v>
      </x:c>
      <x:c r="V1882" s="9" t="n">
        <x:f>H1882*MAX(0,AB1881-O1882)*v01_OvercapLoss</x:f>
        <x:v>0</x:v>
      </x:c>
      <x:c r="W1882" s="9" t="n">
        <x:f>H1882*Y1881/(v01_ChildYears*4)</x:f>
        <x:v>0</x:v>
      </x:c>
      <x:c r="X1882" s="9" t="n">
        <x:f>H1882*Z1881/(v01_AdultYears*4)</x:f>
        <x:v>0</x:v>
      </x:c>
      <x:c r="Y1882" s="32" t="n">
        <x:f>Y1881+R1882-S1882-W1882-Y1881*V1882/AB1881</x:f>
        <x:v>14306.18539759397</x:v>
      </x:c>
      <x:c r="Z1882" s="32" t="n">
        <x:f>Z1881+W1882-X1882-T1882-Z1881*V1882/AB1881</x:f>
        <x:v>19354.456567879548</x:v>
      </x:c>
      <x:c r="AA1882" s="32" t="n">
        <x:f>AA1881+X1882-U1882-AA1881*V1882/AB1881</x:f>
        <x:v>11386.956063258198</x:v>
      </x:c>
      <x:c r="AB1882" s="10" t="n">
        <x:f>Y1882+Z1882+AA1882</x:f>
        <x:v>45047.59802873172</x:v>
      </x:c>
      <x:c r="AC1882" s="8" t="n">
        <x:f>IF(AND(v01_WinterTrigger=1,D1882=1,AB1881/AE1881&gt;=K1882),1,0)</x:f>
        <x:v>0</x:v>
      </x:c>
      <x:c r="AD1882" s="8" t="n">
        <x:f>H1882*IF(AND(OR(AB1881/AE1881&gt;=v01_FissionTrigger*N1882,AC1882=1),AB1881/AE1881*v01_DaughterShare&gt;=v01_MinDaughter),MAX(1,ROUND(AE1881*v01_FissionRate,0)),0)</x:f>
        <x:v>0</x:v>
      </x:c>
      <x:c r="AE1882" s="8" t="n">
        <x:f>IF(H1882=1,MAX(1,MIN(INDEX(v01_Smax,G1882),AE1881+AD1882)),AE1881)</x:f>
        <x:v>15</x:v>
      </x:c>
      <x:c r="AF1882" s="8" t="n">
        <x:f>MAX(0,AE1882-AE1881)</x:f>
        <x:v>0</x:v>
      </x:c>
      <x:c r="AG1882" s="9" t="str">
        <x:f>IF(AF1882&gt;0,B1882,"")</x:f>
      </x:c>
      <x:c r="AH1882" s="9" t="n">
        <x:f>IF(F1882&gt;=1,1,(1+v01_LowTiesShare*(AE1882-1))/AE1882)</x:f>
        <x:v>1</x:v>
      </x:c>
      <x:c r="AI1882" s="32" t="n">
        <x:f>(Z1882+v01_ElderCommons*INDEX(LM_Elder,G1882)*AA1882)*AH1882</x:f>
        <x:v>64139.732591141874</x:v>
      </x:c>
      <x:c r="AJ1882" s="32" t="n">
        <x:f>H1882*v01_CommonsCoef*AI1882^v01_CommonsExp*INDEX(LM_Commons,G1882)</x:f>
        <x:v>0</x:v>
      </x:c>
      <x:c r="AK1882" s="32" t="n">
        <x:f>H1882*v01_RoleScale*Arch_Roles*(AE1882*(INDEX(v01_ElderRolePerSett,G1882)*v01_OutElder*INDEX(LM_Elder,G1882)+INDEX(v01_ShamanPerSett,G1882)*v01_OutShaman)+Z1882*(INDEX(v01_PriestShare,G1882)*v01_OutPriest+INDEX(v01_ScribeShare,G1882)*v01_OutScribe*INDEX(LM_Scribe,G1882)+INDEX(v01_ScholarShare,G1882)*v01_OutScholar*INDEX(LM_Scholar,G1882)+INDEX(v01_ResearcherShare,G1882)*v01_OutResearcher*INDEX(LM_Researcher,G1882)))</x:f>
        <x:v>0</x:v>
      </x:c>
      <x:c r="AL1882" s="32" t="n">
        <x:f>H1882*v01_RoleScale*Arch_Roles*AE1882*INDEX(v01_MonasteryPerSett,G1882)*v01_OutMonastery*INDEX(LM_Monastery,G1882)</x:f>
        <x:v>0</x:v>
      </x:c>
      <x:c r="AM1882" s="32" t="n">
        <x:f>(AJ1882+AK1882+AL1882)/4*INDEX(LM_All,G1882)*INDEX(v01_Boon,G1882)*Arch_Insight</x:f>
        <x:v>0</x:v>
      </x:c>
      <x:c r="AN1882" s="32" t="n">
        <x:f>H1882*(v01_KHPerAdult*Z1882+v01_KHOfCommons*AJ1882/4*INDEX(LM_All,G1882))*v01_KHUsable*Arch_KH</x:f>
        <x:v>0</x:v>
      </x:c>
      <x:c r="AO1882" s="32" t="n">
        <x:f>MIN(AP1881+AN1882,AM1882*v01_KHMaxRatio)</x:f>
        <x:v>0</x:v>
      </x:c>
      <x:c r="AP1882" s="32" t="n">
        <x:f>AP1881+AN1882-AO1882</x:f>
        <x:v>0</x:v>
      </x:c>
      <x:c r="AQ1882" s="32" t="n">
        <x:f>AM1882+AO1882</x:f>
        <x:v>0</x:v>
      </x:c>
      <x:c r="AR1882" s="10" t="n">
        <x:f>IF(H1882=1,INDEX(v01_Req,G1882),0)</x:f>
        <x:v>0</x:v>
      </x:c>
      <x:c r="AS1882" s="32" t="n">
        <x:f>IF(H1882=1,IF(E1882=1,AS1881-AR1881,AS1881)+AQ1882,0)</x:f>
        <x:v>0</x:v>
      </x:c>
      <x:c r="AT1882" s="11" t="n">
        <x:f>IF(AR1882&gt;0,MIN(1,AS1882/AR1882),1)</x:f>
        <x:v>1</x:v>
      </x:c>
      <x:c r="AU1882" s="10" t="n">
        <x:f>AB1882/INDEX(v01_RepScale,G1882)</x:f>
        <x:v>90.09519605746344</x:v>
      </x:c>
      <x:c r="AV1882" s="32" t="n">
        <x:f>AM1882*60/v01_SeasonSeconds</x:f>
        <x:v>0</x:v>
      </x:c>
    </x:row>
    <x:row r="1883">
      <x:c r="A1883" s="8" t="n">
        <x:f>A1882+1</x:f>
        <x:v>1880</x:v>
      </x:c>
      <x:c r="B1883" s="9" t="n">
        <x:f>A1883*v01_SeasonSeconds/60</x:f>
        <x:v>470</x:v>
      </x:c>
      <x:c r="C1883" s="9" t="n">
        <x:f>A1883/4</x:f>
        <x:v>470</x:v>
      </x:c>
      <x:c r="D1883" s="8" t="n">
        <x:f>IF(MOD(A1883,4)=0,1,0)</x:f>
        <x:v>1</x:v>
      </x:c>
      <x:c r="E1883" s="8" t="n">
        <x:f>IF(AND(F1882&lt;=9,AS1882&gt;=AR1882),1,0)</x:f>
        <x:v>0</x:v>
      </x:c>
      <x:c r="F1883" s="8" t="n">
        <x:f>MIN(10,F1882+E1883)</x:f>
        <x:v>10</x:v>
      </x:c>
      <x:c r="G1883" s="8" t="n">
        <x:f>MIN(F1883,9)+1</x:f>
        <x:v>10</x:v>
      </x:c>
      <x:c r="H1883" s="8" t="n">
        <x:f>IF(F1883&lt;=9,1,0)</x:f>
        <x:v>0</x:v>
      </x:c>
      <x:c r="I1883" s="9" t="n">
        <x:f>MIN(10,F1882+IF(AR1882&gt;0,MIN(1,AS1882/AR1882),1))</x:f>
        <x:v>10</x:v>
      </x:c>
      <x:c r="J1883" s="32" t="n">
        <x:f>INDEX(v01_FoodCap,G1883)*Arch_FoodCap*EXP(v01_CapsByProject*SUMPRODUCT((Cap_Point&lt;=I1883)*(Cap_Kind="Food")*Cap_Ln))</x:f>
        <x:v>12000</x:v>
      </x:c>
      <x:c r="K1883" s="32" t="n">
        <x:f>J1883*MIN(1,v01_LeanBase*EXP(v01_CapsByProject*SUMPRODUCT((Cap_Point&lt;=I1883)*(Cap_Kind="Lean")*Cap_Ln)))</x:f>
        <x:v>12000</x:v>
      </x:c>
      <x:c r="L1883" s="10" t="n">
        <x:f>INDEX(v01_HousingCap,G1883)*EXP(v01_CapsByProject*SUMPRODUCT((Cap_Point&lt;=I1883)*(Cap_Kind="Housing")*Cap_Ln))</x:f>
        <x:v>20000</x:v>
      </x:c>
      <x:c r="M1883" s="10" t="n">
        <x:f>INDEX(v01_GroupCap,G1883)*v01_CohesionFactor*EXP(v01_CapsByProject*SUMPRODUCT((Cap_Point&lt;=I1883)*(Cap_Kind="Group")*Cap_Ln))</x:f>
        <x:v>1000000</x:v>
      </x:c>
      <x:c r="N1883" s="32" t="n">
        <x:f>MIN(J1883,L1883,M1883)</x:f>
        <x:v>12000</x:v>
      </x:c>
      <x:c r="O1883" s="10" t="n">
        <x:f>AE1882*N1883</x:f>
        <x:v>180000</x:v>
      </x:c>
      <x:c r="P1883" s="9" t="n">
        <x:f>MIN(1,(AB1882/(AE1882*IF(v01_GroupInCrowding=1,N1883,MIN(J1883,L1883))))^v01_CrowdingExp)</x:f>
        <x:v>0.00024569414295285325</x:v>
      </x:c>
      <x:c r="Q1883" s="9" t="n">
        <x:f>IF(D1883=1,INDEX(v01_WinterMult,G1883),1)</x:f>
        <x:v>1</x:v>
      </x:c>
      <x:c r="R1883" s="9" t="n">
        <x:f>H1883*Z1882*v01_WomenShare*v01_BaseFertility*INDEX(v01_FertMult,G1883)*Arch_Fertility*(1-P1883)</x:f>
        <x:v>0</x:v>
      </x:c>
      <x:c r="S1883" s="9" t="n">
        <x:f>H1883*Y1882*INDEX(v01_MortChild,G1883)/4*Q1883</x:f>
        <x:v>0</x:v>
      </x:c>
      <x:c r="T1883" s="9" t="n">
        <x:f>H1883*Z1882*INDEX(v01_MortAdult,G1883)*Arch_AdultMort/4*Q1883</x:f>
        <x:v>0</x:v>
      </x:c>
      <x:c r="U1883" s="9" t="n">
        <x:f>H1883*AA1882*INDEX(v01_MortElder,G1883)/4*Q1883</x:f>
        <x:v>0</x:v>
      </x:c>
      <x:c r="V1883" s="9" t="n">
        <x:f>H1883*MAX(0,AB1882-O1883)*v01_OvercapLoss</x:f>
        <x:v>0</x:v>
      </x:c>
      <x:c r="W1883" s="9" t="n">
        <x:f>H1883*Y1882/(v01_ChildYears*4)</x:f>
        <x:v>0</x:v>
      </x:c>
      <x:c r="X1883" s="9" t="n">
        <x:f>H1883*Z1882/(v01_AdultYears*4)</x:f>
        <x:v>0</x:v>
      </x:c>
      <x:c r="Y1883" s="32" t="n">
        <x:f>Y1882+R1883-S1883-W1883-Y1882*V1883/AB1882</x:f>
        <x:v>14306.18539759397</x:v>
      </x:c>
      <x:c r="Z1883" s="32" t="n">
        <x:f>Z1882+W1883-X1883-T1883-Z1882*V1883/AB1882</x:f>
        <x:v>19354.456567879548</x:v>
      </x:c>
      <x:c r="AA1883" s="32" t="n">
        <x:f>AA1882+X1883-U1883-AA1882*V1883/AB1882</x:f>
        <x:v>11386.956063258198</x:v>
      </x:c>
      <x:c r="AB1883" s="10" t="n">
        <x:f>Y1883+Z1883+AA1883</x:f>
        <x:v>45047.59802873172</x:v>
      </x:c>
      <x:c r="AC1883" s="8" t="n">
        <x:f>IF(AND(v01_WinterTrigger=1,D1883=1,AB1882/AE1882&gt;=K1883),1,0)</x:f>
        <x:v>0</x:v>
      </x:c>
      <x:c r="AD1883" s="8" t="n">
        <x:f>H1883*IF(AND(OR(AB1882/AE1882&gt;=v01_FissionTrigger*N1883,AC1883=1),AB1882/AE1882*v01_DaughterShare&gt;=v01_MinDaughter),MAX(1,ROUND(AE1882*v01_FissionRate,0)),0)</x:f>
        <x:v>0</x:v>
      </x:c>
      <x:c r="AE1883" s="8" t="n">
        <x:f>IF(H1883=1,MAX(1,MIN(INDEX(v01_Smax,G1883),AE1882+AD1883)),AE1882)</x:f>
        <x:v>15</x:v>
      </x:c>
      <x:c r="AF1883" s="8" t="n">
        <x:f>MAX(0,AE1883-AE1882)</x:f>
        <x:v>0</x:v>
      </x:c>
      <x:c r="AG1883" s="9" t="str">
        <x:f>IF(AF1883&gt;0,B1883,"")</x:f>
      </x:c>
      <x:c r="AH1883" s="9" t="n">
        <x:f>IF(F1883&gt;=1,1,(1+v01_LowTiesShare*(AE1883-1))/AE1883)</x:f>
        <x:v>1</x:v>
      </x:c>
      <x:c r="AI1883" s="32" t="n">
        <x:f>(Z1883+v01_ElderCommons*INDEX(LM_Elder,G1883)*AA1883)*AH1883</x:f>
        <x:v>64139.732591141874</x:v>
      </x:c>
      <x:c r="AJ1883" s="32" t="n">
        <x:f>H1883*v01_CommonsCoef*AI1883^v01_CommonsExp*INDEX(LM_Commons,G1883)</x:f>
        <x:v>0</x:v>
      </x:c>
      <x:c r="AK1883" s="32" t="n">
        <x:f>H1883*v01_RoleScale*Arch_Roles*(AE1883*(INDEX(v01_ElderRolePerSett,G1883)*v01_OutElder*INDEX(LM_Elder,G1883)+INDEX(v01_ShamanPerSett,G1883)*v01_OutShaman)+Z1883*(INDEX(v01_PriestShare,G1883)*v01_OutPriest+INDEX(v01_ScribeShare,G1883)*v01_OutScribe*INDEX(LM_Scribe,G1883)+INDEX(v01_ScholarShare,G1883)*v01_OutScholar*INDEX(LM_Scholar,G1883)+INDEX(v01_ResearcherShare,G1883)*v01_OutResearcher*INDEX(LM_Researcher,G1883)))</x:f>
        <x:v>0</x:v>
      </x:c>
      <x:c r="AL1883" s="32" t="n">
        <x:f>H1883*v01_RoleScale*Arch_Roles*AE1883*INDEX(v01_MonasteryPerSett,G1883)*v01_OutMonastery*INDEX(LM_Monastery,G1883)</x:f>
        <x:v>0</x:v>
      </x:c>
      <x:c r="AM1883" s="32" t="n">
        <x:f>(AJ1883+AK1883+AL1883)/4*INDEX(LM_All,G1883)*INDEX(v01_Boon,G1883)*Arch_Insight</x:f>
        <x:v>0</x:v>
      </x:c>
      <x:c r="AN1883" s="32" t="n">
        <x:f>H1883*(v01_KHPerAdult*Z1883+v01_KHOfCommons*AJ1883/4*INDEX(LM_All,G1883))*v01_KHUsable*Arch_KH</x:f>
        <x:v>0</x:v>
      </x:c>
      <x:c r="AO1883" s="32" t="n">
        <x:f>MIN(AP1882+AN1883,AM1883*v01_KHMaxRatio)</x:f>
        <x:v>0</x:v>
      </x:c>
      <x:c r="AP1883" s="32" t="n">
        <x:f>AP1882+AN1883-AO1883</x:f>
        <x:v>0</x:v>
      </x:c>
      <x:c r="AQ1883" s="32" t="n">
        <x:f>AM1883+AO1883</x:f>
        <x:v>0</x:v>
      </x:c>
      <x:c r="AR1883" s="10" t="n">
        <x:f>IF(H1883=1,INDEX(v01_Req,G1883),0)</x:f>
        <x:v>0</x:v>
      </x:c>
      <x:c r="AS1883" s="32" t="n">
        <x:f>IF(H1883=1,IF(E1883=1,AS1882-AR1882,AS1882)+AQ1883,0)</x:f>
        <x:v>0</x:v>
      </x:c>
      <x:c r="AT1883" s="11" t="n">
        <x:f>IF(AR1883&gt;0,MIN(1,AS1883/AR1883),1)</x:f>
        <x:v>1</x:v>
      </x:c>
      <x:c r="AU1883" s="10" t="n">
        <x:f>AB1883/INDEX(v01_RepScale,G1883)</x:f>
        <x:v>90.09519605746344</x:v>
      </x:c>
      <x:c r="AV1883" s="32" t="n">
        <x:f>AM1883*60/v01_SeasonSeconds</x:f>
        <x:v>0</x:v>
      </x:c>
    </x:row>
    <x:row r="1884">
      <x:c r="A1884" s="8" t="n">
        <x:f>A1883+1</x:f>
        <x:v>1881</x:v>
      </x:c>
      <x:c r="B1884" s="9" t="n">
        <x:f>A1884*v01_SeasonSeconds/60</x:f>
        <x:v>470.25</x:v>
      </x:c>
      <x:c r="C1884" s="9" t="n">
        <x:f>A1884/4</x:f>
        <x:v>470.25</x:v>
      </x:c>
      <x:c r="D1884" s="8" t="n">
        <x:f>IF(MOD(A1884,4)=0,1,0)</x:f>
        <x:v>0</x:v>
      </x:c>
      <x:c r="E1884" s="8" t="n">
        <x:f>IF(AND(F1883&lt;=9,AS1883&gt;=AR1883),1,0)</x:f>
        <x:v>0</x:v>
      </x:c>
      <x:c r="F1884" s="8" t="n">
        <x:f>MIN(10,F1883+E1884)</x:f>
        <x:v>10</x:v>
      </x:c>
      <x:c r="G1884" s="8" t="n">
        <x:f>MIN(F1884,9)+1</x:f>
        <x:v>10</x:v>
      </x:c>
      <x:c r="H1884" s="8" t="n">
        <x:f>IF(F1884&lt;=9,1,0)</x:f>
        <x:v>0</x:v>
      </x:c>
      <x:c r="I1884" s="9" t="n">
        <x:f>MIN(10,F1883+IF(AR1883&gt;0,MIN(1,AS1883/AR1883),1))</x:f>
        <x:v>10</x:v>
      </x:c>
      <x:c r="J1884" s="32" t="n">
        <x:f>INDEX(v01_FoodCap,G1884)*Arch_FoodCap*EXP(v01_CapsByProject*SUMPRODUCT((Cap_Point&lt;=I1884)*(Cap_Kind="Food")*Cap_Ln))</x:f>
        <x:v>12000</x:v>
      </x:c>
      <x:c r="K1884" s="32" t="n">
        <x:f>J1884*MIN(1,v01_LeanBase*EXP(v01_CapsByProject*SUMPRODUCT((Cap_Point&lt;=I1884)*(Cap_Kind="Lean")*Cap_Ln)))</x:f>
        <x:v>12000</x:v>
      </x:c>
      <x:c r="L1884" s="10" t="n">
        <x:f>INDEX(v01_HousingCap,G1884)*EXP(v01_CapsByProject*SUMPRODUCT((Cap_Point&lt;=I1884)*(Cap_Kind="Housing")*Cap_Ln))</x:f>
        <x:v>20000</x:v>
      </x:c>
      <x:c r="M1884" s="10" t="n">
        <x:f>INDEX(v01_GroupCap,G1884)*v01_CohesionFactor*EXP(v01_CapsByProject*SUMPRODUCT((Cap_Point&lt;=I1884)*(Cap_Kind="Group")*Cap_Ln))</x:f>
        <x:v>1000000</x:v>
      </x:c>
      <x:c r="N1884" s="32" t="n">
        <x:f>MIN(J1884,L1884,M1884)</x:f>
        <x:v>12000</x:v>
      </x:c>
      <x:c r="O1884" s="10" t="n">
        <x:f>AE1883*N1884</x:f>
        <x:v>180000</x:v>
      </x:c>
      <x:c r="P1884" s="9" t="n">
        <x:f>MIN(1,(AB1883/(AE1883*IF(v01_GroupInCrowding=1,N1884,MIN(J1884,L1884))))^v01_CrowdingExp)</x:f>
        <x:v>0.00024569414295285325</x:v>
      </x:c>
      <x:c r="Q1884" s="9" t="n">
        <x:f>IF(D1884=1,INDEX(v01_WinterMult,G1884),1)</x:f>
        <x:v>1</x:v>
      </x:c>
      <x:c r="R1884" s="9" t="n">
        <x:f>H1884*Z1883*v01_WomenShare*v01_BaseFertility*INDEX(v01_FertMult,G1884)*Arch_Fertility*(1-P1884)</x:f>
        <x:v>0</x:v>
      </x:c>
      <x:c r="S1884" s="9" t="n">
        <x:f>H1884*Y1883*INDEX(v01_MortChild,G1884)/4*Q1884</x:f>
        <x:v>0</x:v>
      </x:c>
      <x:c r="T1884" s="9" t="n">
        <x:f>H1884*Z1883*INDEX(v01_MortAdult,G1884)*Arch_AdultMort/4*Q1884</x:f>
        <x:v>0</x:v>
      </x:c>
      <x:c r="U1884" s="9" t="n">
        <x:f>H1884*AA1883*INDEX(v01_MortElder,G1884)/4*Q1884</x:f>
        <x:v>0</x:v>
      </x:c>
      <x:c r="V1884" s="9" t="n">
        <x:f>H1884*MAX(0,AB1883-O1884)*v01_OvercapLoss</x:f>
        <x:v>0</x:v>
      </x:c>
      <x:c r="W1884" s="9" t="n">
        <x:f>H1884*Y1883/(v01_ChildYears*4)</x:f>
        <x:v>0</x:v>
      </x:c>
      <x:c r="X1884" s="9" t="n">
        <x:f>H1884*Z1883/(v01_AdultYears*4)</x:f>
        <x:v>0</x:v>
      </x:c>
      <x:c r="Y1884" s="32" t="n">
        <x:f>Y1883+R1884-S1884-W1884-Y1883*V1884/AB1883</x:f>
        <x:v>14306.18539759397</x:v>
      </x:c>
      <x:c r="Z1884" s="32" t="n">
        <x:f>Z1883+W1884-X1884-T1884-Z1883*V1884/AB1883</x:f>
        <x:v>19354.456567879548</x:v>
      </x:c>
      <x:c r="AA1884" s="32" t="n">
        <x:f>AA1883+X1884-U1884-AA1883*V1884/AB1883</x:f>
        <x:v>11386.956063258198</x:v>
      </x:c>
      <x:c r="AB1884" s="10" t="n">
        <x:f>Y1884+Z1884+AA1884</x:f>
        <x:v>45047.59802873172</x:v>
      </x:c>
      <x:c r="AC1884" s="8" t="n">
        <x:f>IF(AND(v01_WinterTrigger=1,D1884=1,AB1883/AE1883&gt;=K1884),1,0)</x:f>
        <x:v>0</x:v>
      </x:c>
      <x:c r="AD1884" s="8" t="n">
        <x:f>H1884*IF(AND(OR(AB1883/AE1883&gt;=v01_FissionTrigger*N1884,AC1884=1),AB1883/AE1883*v01_DaughterShare&gt;=v01_MinDaughter),MAX(1,ROUND(AE1883*v01_FissionRate,0)),0)</x:f>
        <x:v>0</x:v>
      </x:c>
      <x:c r="AE1884" s="8" t="n">
        <x:f>IF(H1884=1,MAX(1,MIN(INDEX(v01_Smax,G1884),AE1883+AD1884)),AE1883)</x:f>
        <x:v>15</x:v>
      </x:c>
      <x:c r="AF1884" s="8" t="n">
        <x:f>MAX(0,AE1884-AE1883)</x:f>
        <x:v>0</x:v>
      </x:c>
      <x:c r="AG1884" s="9" t="str">
        <x:f>IF(AF1884&gt;0,B1884,"")</x:f>
      </x:c>
      <x:c r="AH1884" s="9" t="n">
        <x:f>IF(F1884&gt;=1,1,(1+v01_LowTiesShare*(AE1884-1))/AE1884)</x:f>
        <x:v>1</x:v>
      </x:c>
      <x:c r="AI1884" s="32" t="n">
        <x:f>(Z1884+v01_ElderCommons*INDEX(LM_Elder,G1884)*AA1884)*AH1884</x:f>
        <x:v>64139.732591141874</x:v>
      </x:c>
      <x:c r="AJ1884" s="32" t="n">
        <x:f>H1884*v01_CommonsCoef*AI1884^v01_CommonsExp*INDEX(LM_Commons,G1884)</x:f>
        <x:v>0</x:v>
      </x:c>
      <x:c r="AK1884" s="32" t="n">
        <x:f>H1884*v01_RoleScale*Arch_Roles*(AE1884*(INDEX(v01_ElderRolePerSett,G1884)*v01_OutElder*INDEX(LM_Elder,G1884)+INDEX(v01_ShamanPerSett,G1884)*v01_OutShaman)+Z1884*(INDEX(v01_PriestShare,G1884)*v01_OutPriest+INDEX(v01_ScribeShare,G1884)*v01_OutScribe*INDEX(LM_Scribe,G1884)+INDEX(v01_ScholarShare,G1884)*v01_OutScholar*INDEX(LM_Scholar,G1884)+INDEX(v01_ResearcherShare,G1884)*v01_OutResearcher*INDEX(LM_Researcher,G1884)))</x:f>
        <x:v>0</x:v>
      </x:c>
      <x:c r="AL1884" s="32" t="n">
        <x:f>H1884*v01_RoleScale*Arch_Roles*AE1884*INDEX(v01_MonasteryPerSett,G1884)*v01_OutMonastery*INDEX(LM_Monastery,G1884)</x:f>
        <x:v>0</x:v>
      </x:c>
      <x:c r="AM1884" s="32" t="n">
        <x:f>(AJ1884+AK1884+AL1884)/4*INDEX(LM_All,G1884)*INDEX(v01_Boon,G1884)*Arch_Insight</x:f>
        <x:v>0</x:v>
      </x:c>
      <x:c r="AN1884" s="32" t="n">
        <x:f>H1884*(v01_KHPerAdult*Z1884+v01_KHOfCommons*AJ1884/4*INDEX(LM_All,G1884))*v01_KHUsable*Arch_KH</x:f>
        <x:v>0</x:v>
      </x:c>
      <x:c r="AO1884" s="32" t="n">
        <x:f>MIN(AP1883+AN1884,AM1884*v01_KHMaxRatio)</x:f>
        <x:v>0</x:v>
      </x:c>
      <x:c r="AP1884" s="32" t="n">
        <x:f>AP1883+AN1884-AO1884</x:f>
        <x:v>0</x:v>
      </x:c>
      <x:c r="AQ1884" s="32" t="n">
        <x:f>AM1884+AO1884</x:f>
        <x:v>0</x:v>
      </x:c>
      <x:c r="AR1884" s="10" t="n">
        <x:f>IF(H1884=1,INDEX(v01_Req,G1884),0)</x:f>
        <x:v>0</x:v>
      </x:c>
      <x:c r="AS1884" s="32" t="n">
        <x:f>IF(H1884=1,IF(E1884=1,AS1883-AR1883,AS1883)+AQ1884,0)</x:f>
        <x:v>0</x:v>
      </x:c>
      <x:c r="AT1884" s="11" t="n">
        <x:f>IF(AR1884&gt;0,MIN(1,AS1884/AR1884),1)</x:f>
        <x:v>1</x:v>
      </x:c>
      <x:c r="AU1884" s="10" t="n">
        <x:f>AB1884/INDEX(v01_RepScale,G1884)</x:f>
        <x:v>90.09519605746344</x:v>
      </x:c>
      <x:c r="AV1884" s="32" t="n">
        <x:f>AM1884*60/v01_SeasonSeconds</x:f>
        <x:v>0</x:v>
      </x:c>
    </x:row>
    <x:row r="1885">
      <x:c r="A1885" s="8" t="n">
        <x:f>A1884+1</x:f>
        <x:v>1882</x:v>
      </x:c>
      <x:c r="B1885" s="9" t="n">
        <x:f>A1885*v01_SeasonSeconds/60</x:f>
        <x:v>470.5</x:v>
      </x:c>
      <x:c r="C1885" s="9" t="n">
        <x:f>A1885/4</x:f>
        <x:v>470.5</x:v>
      </x:c>
      <x:c r="D1885" s="8" t="n">
        <x:f>IF(MOD(A1885,4)=0,1,0)</x:f>
        <x:v>0</x:v>
      </x:c>
      <x:c r="E1885" s="8" t="n">
        <x:f>IF(AND(F1884&lt;=9,AS1884&gt;=AR1884),1,0)</x:f>
        <x:v>0</x:v>
      </x:c>
      <x:c r="F1885" s="8" t="n">
        <x:f>MIN(10,F1884+E1885)</x:f>
        <x:v>10</x:v>
      </x:c>
      <x:c r="G1885" s="8" t="n">
        <x:f>MIN(F1885,9)+1</x:f>
        <x:v>10</x:v>
      </x:c>
      <x:c r="H1885" s="8" t="n">
        <x:f>IF(F1885&lt;=9,1,0)</x:f>
        <x:v>0</x:v>
      </x:c>
      <x:c r="I1885" s="9" t="n">
        <x:f>MIN(10,F1884+IF(AR1884&gt;0,MIN(1,AS1884/AR1884),1))</x:f>
        <x:v>10</x:v>
      </x:c>
      <x:c r="J1885" s="32" t="n">
        <x:f>INDEX(v01_FoodCap,G1885)*Arch_FoodCap*EXP(v01_CapsByProject*SUMPRODUCT((Cap_Point&lt;=I1885)*(Cap_Kind="Food")*Cap_Ln))</x:f>
        <x:v>12000</x:v>
      </x:c>
      <x:c r="K1885" s="32" t="n">
        <x:f>J1885*MIN(1,v01_LeanBase*EXP(v01_CapsByProject*SUMPRODUCT((Cap_Point&lt;=I1885)*(Cap_Kind="Lean")*Cap_Ln)))</x:f>
        <x:v>12000</x:v>
      </x:c>
      <x:c r="L1885" s="10" t="n">
        <x:f>INDEX(v01_HousingCap,G1885)*EXP(v01_CapsByProject*SUMPRODUCT((Cap_Point&lt;=I1885)*(Cap_Kind="Housing")*Cap_Ln))</x:f>
        <x:v>20000</x:v>
      </x:c>
      <x:c r="M1885" s="10" t="n">
        <x:f>INDEX(v01_GroupCap,G1885)*v01_CohesionFactor*EXP(v01_CapsByProject*SUMPRODUCT((Cap_Point&lt;=I1885)*(Cap_Kind="Group")*Cap_Ln))</x:f>
        <x:v>1000000</x:v>
      </x:c>
      <x:c r="N1885" s="32" t="n">
        <x:f>MIN(J1885,L1885,M1885)</x:f>
        <x:v>12000</x:v>
      </x:c>
      <x:c r="O1885" s="10" t="n">
        <x:f>AE1884*N1885</x:f>
        <x:v>180000</x:v>
      </x:c>
      <x:c r="P1885" s="9" t="n">
        <x:f>MIN(1,(AB1884/(AE1884*IF(v01_GroupInCrowding=1,N1885,MIN(J1885,L1885))))^v01_CrowdingExp)</x:f>
        <x:v>0.00024569414295285325</x:v>
      </x:c>
      <x:c r="Q1885" s="9" t="n">
        <x:f>IF(D1885=1,INDEX(v01_WinterMult,G1885),1)</x:f>
        <x:v>1</x:v>
      </x:c>
      <x:c r="R1885" s="9" t="n">
        <x:f>H1885*Z1884*v01_WomenShare*v01_BaseFertility*INDEX(v01_FertMult,G1885)*Arch_Fertility*(1-P1885)</x:f>
        <x:v>0</x:v>
      </x:c>
      <x:c r="S1885" s="9" t="n">
        <x:f>H1885*Y1884*INDEX(v01_MortChild,G1885)/4*Q1885</x:f>
        <x:v>0</x:v>
      </x:c>
      <x:c r="T1885" s="9" t="n">
        <x:f>H1885*Z1884*INDEX(v01_MortAdult,G1885)*Arch_AdultMort/4*Q1885</x:f>
        <x:v>0</x:v>
      </x:c>
      <x:c r="U1885" s="9" t="n">
        <x:f>H1885*AA1884*INDEX(v01_MortElder,G1885)/4*Q1885</x:f>
        <x:v>0</x:v>
      </x:c>
      <x:c r="V1885" s="9" t="n">
        <x:f>H1885*MAX(0,AB1884-O1885)*v01_OvercapLoss</x:f>
        <x:v>0</x:v>
      </x:c>
      <x:c r="W1885" s="9" t="n">
        <x:f>H1885*Y1884/(v01_ChildYears*4)</x:f>
        <x:v>0</x:v>
      </x:c>
      <x:c r="X1885" s="9" t="n">
        <x:f>H1885*Z1884/(v01_AdultYears*4)</x:f>
        <x:v>0</x:v>
      </x:c>
      <x:c r="Y1885" s="32" t="n">
        <x:f>Y1884+R1885-S1885-W1885-Y1884*V1885/AB1884</x:f>
        <x:v>14306.18539759397</x:v>
      </x:c>
      <x:c r="Z1885" s="32" t="n">
        <x:f>Z1884+W1885-X1885-T1885-Z1884*V1885/AB1884</x:f>
        <x:v>19354.456567879548</x:v>
      </x:c>
      <x:c r="AA1885" s="32" t="n">
        <x:f>AA1884+X1885-U1885-AA1884*V1885/AB1884</x:f>
        <x:v>11386.956063258198</x:v>
      </x:c>
      <x:c r="AB1885" s="10" t="n">
        <x:f>Y1885+Z1885+AA1885</x:f>
        <x:v>45047.59802873172</x:v>
      </x:c>
      <x:c r="AC1885" s="8" t="n">
        <x:f>IF(AND(v01_WinterTrigger=1,D1885=1,AB1884/AE1884&gt;=K1885),1,0)</x:f>
        <x:v>0</x:v>
      </x:c>
      <x:c r="AD1885" s="8" t="n">
        <x:f>H1885*IF(AND(OR(AB1884/AE1884&gt;=v01_FissionTrigger*N1885,AC1885=1),AB1884/AE1884*v01_DaughterShare&gt;=v01_MinDaughter),MAX(1,ROUND(AE1884*v01_FissionRate,0)),0)</x:f>
        <x:v>0</x:v>
      </x:c>
      <x:c r="AE1885" s="8" t="n">
        <x:f>IF(H1885=1,MAX(1,MIN(INDEX(v01_Smax,G1885),AE1884+AD1885)),AE1884)</x:f>
        <x:v>15</x:v>
      </x:c>
      <x:c r="AF1885" s="8" t="n">
        <x:f>MAX(0,AE1885-AE1884)</x:f>
        <x:v>0</x:v>
      </x:c>
      <x:c r="AG1885" s="9" t="str">
        <x:f>IF(AF1885&gt;0,B1885,"")</x:f>
      </x:c>
      <x:c r="AH1885" s="9" t="n">
        <x:f>IF(F1885&gt;=1,1,(1+v01_LowTiesShare*(AE1885-1))/AE1885)</x:f>
        <x:v>1</x:v>
      </x:c>
      <x:c r="AI1885" s="32" t="n">
        <x:f>(Z1885+v01_ElderCommons*INDEX(LM_Elder,G1885)*AA1885)*AH1885</x:f>
        <x:v>64139.732591141874</x:v>
      </x:c>
      <x:c r="AJ1885" s="32" t="n">
        <x:f>H1885*v01_CommonsCoef*AI1885^v01_CommonsExp*INDEX(LM_Commons,G1885)</x:f>
        <x:v>0</x:v>
      </x:c>
      <x:c r="AK1885" s="32" t="n">
        <x:f>H1885*v01_RoleScale*Arch_Roles*(AE1885*(INDEX(v01_ElderRolePerSett,G1885)*v01_OutElder*INDEX(LM_Elder,G1885)+INDEX(v01_ShamanPerSett,G1885)*v01_OutShaman)+Z1885*(INDEX(v01_PriestShare,G1885)*v01_OutPriest+INDEX(v01_ScribeShare,G1885)*v01_OutScribe*INDEX(LM_Scribe,G1885)+INDEX(v01_ScholarShare,G1885)*v01_OutScholar*INDEX(LM_Scholar,G1885)+INDEX(v01_ResearcherShare,G1885)*v01_OutResearcher*INDEX(LM_Researcher,G1885)))</x:f>
        <x:v>0</x:v>
      </x:c>
      <x:c r="AL1885" s="32" t="n">
        <x:f>H1885*v01_RoleScale*Arch_Roles*AE1885*INDEX(v01_MonasteryPerSett,G1885)*v01_OutMonastery*INDEX(LM_Monastery,G1885)</x:f>
        <x:v>0</x:v>
      </x:c>
      <x:c r="AM1885" s="32" t="n">
        <x:f>(AJ1885+AK1885+AL1885)/4*INDEX(LM_All,G1885)*INDEX(v01_Boon,G1885)*Arch_Insight</x:f>
        <x:v>0</x:v>
      </x:c>
      <x:c r="AN1885" s="32" t="n">
        <x:f>H1885*(v01_KHPerAdult*Z1885+v01_KHOfCommons*AJ1885/4*INDEX(LM_All,G1885))*v01_KHUsable*Arch_KH</x:f>
        <x:v>0</x:v>
      </x:c>
      <x:c r="AO1885" s="32" t="n">
        <x:f>MIN(AP1884+AN1885,AM1885*v01_KHMaxRatio)</x:f>
        <x:v>0</x:v>
      </x:c>
      <x:c r="AP1885" s="32" t="n">
        <x:f>AP1884+AN1885-AO1885</x:f>
        <x:v>0</x:v>
      </x:c>
      <x:c r="AQ1885" s="32" t="n">
        <x:f>AM1885+AO1885</x:f>
        <x:v>0</x:v>
      </x:c>
      <x:c r="AR1885" s="10" t="n">
        <x:f>IF(H1885=1,INDEX(v01_Req,G1885),0)</x:f>
        <x:v>0</x:v>
      </x:c>
      <x:c r="AS1885" s="32" t="n">
        <x:f>IF(H1885=1,IF(E1885=1,AS1884-AR1884,AS1884)+AQ1885,0)</x:f>
        <x:v>0</x:v>
      </x:c>
      <x:c r="AT1885" s="11" t="n">
        <x:f>IF(AR1885&gt;0,MIN(1,AS1885/AR1885),1)</x:f>
        <x:v>1</x:v>
      </x:c>
      <x:c r="AU1885" s="10" t="n">
        <x:f>AB1885/INDEX(v01_RepScale,G1885)</x:f>
        <x:v>90.09519605746344</x:v>
      </x:c>
      <x:c r="AV1885" s="32" t="n">
        <x:f>AM1885*60/v01_SeasonSeconds</x:f>
        <x:v>0</x:v>
      </x:c>
    </x:row>
    <x:row r="1886">
      <x:c r="A1886" s="8" t="n">
        <x:f>A1885+1</x:f>
        <x:v>1883</x:v>
      </x:c>
      <x:c r="B1886" s="9" t="n">
        <x:f>A1886*v01_SeasonSeconds/60</x:f>
        <x:v>470.75</x:v>
      </x:c>
      <x:c r="C1886" s="9" t="n">
        <x:f>A1886/4</x:f>
        <x:v>470.75</x:v>
      </x:c>
      <x:c r="D1886" s="8" t="n">
        <x:f>IF(MOD(A1886,4)=0,1,0)</x:f>
        <x:v>0</x:v>
      </x:c>
      <x:c r="E1886" s="8" t="n">
        <x:f>IF(AND(F1885&lt;=9,AS1885&gt;=AR1885),1,0)</x:f>
        <x:v>0</x:v>
      </x:c>
      <x:c r="F1886" s="8" t="n">
        <x:f>MIN(10,F1885+E1886)</x:f>
        <x:v>10</x:v>
      </x:c>
      <x:c r="G1886" s="8" t="n">
        <x:f>MIN(F1886,9)+1</x:f>
        <x:v>10</x:v>
      </x:c>
      <x:c r="H1886" s="8" t="n">
        <x:f>IF(F1886&lt;=9,1,0)</x:f>
        <x:v>0</x:v>
      </x:c>
      <x:c r="I1886" s="9" t="n">
        <x:f>MIN(10,F1885+IF(AR1885&gt;0,MIN(1,AS1885/AR1885),1))</x:f>
        <x:v>10</x:v>
      </x:c>
      <x:c r="J1886" s="32" t="n">
        <x:f>INDEX(v01_FoodCap,G1886)*Arch_FoodCap*EXP(v01_CapsByProject*SUMPRODUCT((Cap_Point&lt;=I1886)*(Cap_Kind="Food")*Cap_Ln))</x:f>
        <x:v>12000</x:v>
      </x:c>
      <x:c r="K1886" s="32" t="n">
        <x:f>J1886*MIN(1,v01_LeanBase*EXP(v01_CapsByProject*SUMPRODUCT((Cap_Point&lt;=I1886)*(Cap_Kind="Lean")*Cap_Ln)))</x:f>
        <x:v>12000</x:v>
      </x:c>
      <x:c r="L1886" s="10" t="n">
        <x:f>INDEX(v01_HousingCap,G1886)*EXP(v01_CapsByProject*SUMPRODUCT((Cap_Point&lt;=I1886)*(Cap_Kind="Housing")*Cap_Ln))</x:f>
        <x:v>20000</x:v>
      </x:c>
      <x:c r="M1886" s="10" t="n">
        <x:f>INDEX(v01_GroupCap,G1886)*v01_CohesionFactor*EXP(v01_CapsByProject*SUMPRODUCT((Cap_Point&lt;=I1886)*(Cap_Kind="Group")*Cap_Ln))</x:f>
        <x:v>1000000</x:v>
      </x:c>
      <x:c r="N1886" s="32" t="n">
        <x:f>MIN(J1886,L1886,M1886)</x:f>
        <x:v>12000</x:v>
      </x:c>
      <x:c r="O1886" s="10" t="n">
        <x:f>AE1885*N1886</x:f>
        <x:v>180000</x:v>
      </x:c>
      <x:c r="P1886" s="9" t="n">
        <x:f>MIN(1,(AB1885/(AE1885*IF(v01_GroupInCrowding=1,N1886,MIN(J1886,L1886))))^v01_CrowdingExp)</x:f>
        <x:v>0.00024569414295285325</x:v>
      </x:c>
      <x:c r="Q1886" s="9" t="n">
        <x:f>IF(D1886=1,INDEX(v01_WinterMult,G1886),1)</x:f>
        <x:v>1</x:v>
      </x:c>
      <x:c r="R1886" s="9" t="n">
        <x:f>H1886*Z1885*v01_WomenShare*v01_BaseFertility*INDEX(v01_FertMult,G1886)*Arch_Fertility*(1-P1886)</x:f>
        <x:v>0</x:v>
      </x:c>
      <x:c r="S1886" s="9" t="n">
        <x:f>H1886*Y1885*INDEX(v01_MortChild,G1886)/4*Q1886</x:f>
        <x:v>0</x:v>
      </x:c>
      <x:c r="T1886" s="9" t="n">
        <x:f>H1886*Z1885*INDEX(v01_MortAdult,G1886)*Arch_AdultMort/4*Q1886</x:f>
        <x:v>0</x:v>
      </x:c>
      <x:c r="U1886" s="9" t="n">
        <x:f>H1886*AA1885*INDEX(v01_MortElder,G1886)/4*Q1886</x:f>
        <x:v>0</x:v>
      </x:c>
      <x:c r="V1886" s="9" t="n">
        <x:f>H1886*MAX(0,AB1885-O1886)*v01_OvercapLoss</x:f>
        <x:v>0</x:v>
      </x:c>
      <x:c r="W1886" s="9" t="n">
        <x:f>H1886*Y1885/(v01_ChildYears*4)</x:f>
        <x:v>0</x:v>
      </x:c>
      <x:c r="X1886" s="9" t="n">
        <x:f>H1886*Z1885/(v01_AdultYears*4)</x:f>
        <x:v>0</x:v>
      </x:c>
      <x:c r="Y1886" s="32" t="n">
        <x:f>Y1885+R1886-S1886-W1886-Y1885*V1886/AB1885</x:f>
        <x:v>14306.18539759397</x:v>
      </x:c>
      <x:c r="Z1886" s="32" t="n">
        <x:f>Z1885+W1886-X1886-T1886-Z1885*V1886/AB1885</x:f>
        <x:v>19354.456567879548</x:v>
      </x:c>
      <x:c r="AA1886" s="32" t="n">
        <x:f>AA1885+X1886-U1886-AA1885*V1886/AB1885</x:f>
        <x:v>11386.956063258198</x:v>
      </x:c>
      <x:c r="AB1886" s="10" t="n">
        <x:f>Y1886+Z1886+AA1886</x:f>
        <x:v>45047.59802873172</x:v>
      </x:c>
      <x:c r="AC1886" s="8" t="n">
        <x:f>IF(AND(v01_WinterTrigger=1,D1886=1,AB1885/AE1885&gt;=K1886),1,0)</x:f>
        <x:v>0</x:v>
      </x:c>
      <x:c r="AD1886" s="8" t="n">
        <x:f>H1886*IF(AND(OR(AB1885/AE1885&gt;=v01_FissionTrigger*N1886,AC1886=1),AB1885/AE1885*v01_DaughterShare&gt;=v01_MinDaughter),MAX(1,ROUND(AE1885*v01_FissionRate,0)),0)</x:f>
        <x:v>0</x:v>
      </x:c>
      <x:c r="AE1886" s="8" t="n">
        <x:f>IF(H1886=1,MAX(1,MIN(INDEX(v01_Smax,G1886),AE1885+AD1886)),AE1885)</x:f>
        <x:v>15</x:v>
      </x:c>
      <x:c r="AF1886" s="8" t="n">
        <x:f>MAX(0,AE1886-AE1885)</x:f>
        <x:v>0</x:v>
      </x:c>
      <x:c r="AG1886" s="9" t="str">
        <x:f>IF(AF1886&gt;0,B1886,"")</x:f>
      </x:c>
      <x:c r="AH1886" s="9" t="n">
        <x:f>IF(F1886&gt;=1,1,(1+v01_LowTiesShare*(AE1886-1))/AE1886)</x:f>
        <x:v>1</x:v>
      </x:c>
      <x:c r="AI1886" s="32" t="n">
        <x:f>(Z1886+v01_ElderCommons*INDEX(LM_Elder,G1886)*AA1886)*AH1886</x:f>
        <x:v>64139.732591141874</x:v>
      </x:c>
      <x:c r="AJ1886" s="32" t="n">
        <x:f>H1886*v01_CommonsCoef*AI1886^v01_CommonsExp*INDEX(LM_Commons,G1886)</x:f>
        <x:v>0</x:v>
      </x:c>
      <x:c r="AK1886" s="32" t="n">
        <x:f>H1886*v01_RoleScale*Arch_Roles*(AE1886*(INDEX(v01_ElderRolePerSett,G1886)*v01_OutElder*INDEX(LM_Elder,G1886)+INDEX(v01_ShamanPerSett,G1886)*v01_OutShaman)+Z1886*(INDEX(v01_PriestShare,G1886)*v01_OutPriest+INDEX(v01_ScribeShare,G1886)*v01_OutScribe*INDEX(LM_Scribe,G1886)+INDEX(v01_ScholarShare,G1886)*v01_OutScholar*INDEX(LM_Scholar,G1886)+INDEX(v01_ResearcherShare,G1886)*v01_OutResearcher*INDEX(LM_Researcher,G1886)))</x:f>
        <x:v>0</x:v>
      </x:c>
      <x:c r="AL1886" s="32" t="n">
        <x:f>H1886*v01_RoleScale*Arch_Roles*AE1886*INDEX(v01_MonasteryPerSett,G1886)*v01_OutMonastery*INDEX(LM_Monastery,G1886)</x:f>
        <x:v>0</x:v>
      </x:c>
      <x:c r="AM1886" s="32" t="n">
        <x:f>(AJ1886+AK1886+AL1886)/4*INDEX(LM_All,G1886)*INDEX(v01_Boon,G1886)*Arch_Insight</x:f>
        <x:v>0</x:v>
      </x:c>
      <x:c r="AN1886" s="32" t="n">
        <x:f>H1886*(v01_KHPerAdult*Z1886+v01_KHOfCommons*AJ1886/4*INDEX(LM_All,G1886))*v01_KHUsable*Arch_KH</x:f>
        <x:v>0</x:v>
      </x:c>
      <x:c r="AO1886" s="32" t="n">
        <x:f>MIN(AP1885+AN1886,AM1886*v01_KHMaxRatio)</x:f>
        <x:v>0</x:v>
      </x:c>
      <x:c r="AP1886" s="32" t="n">
        <x:f>AP1885+AN1886-AO1886</x:f>
        <x:v>0</x:v>
      </x:c>
      <x:c r="AQ1886" s="32" t="n">
        <x:f>AM1886+AO1886</x:f>
        <x:v>0</x:v>
      </x:c>
      <x:c r="AR1886" s="10" t="n">
        <x:f>IF(H1886=1,INDEX(v01_Req,G1886),0)</x:f>
        <x:v>0</x:v>
      </x:c>
      <x:c r="AS1886" s="32" t="n">
        <x:f>IF(H1886=1,IF(E1886=1,AS1885-AR1885,AS1885)+AQ1886,0)</x:f>
        <x:v>0</x:v>
      </x:c>
      <x:c r="AT1886" s="11" t="n">
        <x:f>IF(AR1886&gt;0,MIN(1,AS1886/AR1886),1)</x:f>
        <x:v>1</x:v>
      </x:c>
      <x:c r="AU1886" s="10" t="n">
        <x:f>AB1886/INDEX(v01_RepScale,G1886)</x:f>
        <x:v>90.09519605746344</x:v>
      </x:c>
      <x:c r="AV1886" s="32" t="n">
        <x:f>AM1886*60/v01_SeasonSeconds</x:f>
        <x:v>0</x:v>
      </x:c>
    </x:row>
    <x:row r="1887">
      <x:c r="A1887" s="8" t="n">
        <x:f>A1886+1</x:f>
        <x:v>1884</x:v>
      </x:c>
      <x:c r="B1887" s="9" t="n">
        <x:f>A1887*v01_SeasonSeconds/60</x:f>
        <x:v>471</x:v>
      </x:c>
      <x:c r="C1887" s="9" t="n">
        <x:f>A1887/4</x:f>
        <x:v>471</x:v>
      </x:c>
      <x:c r="D1887" s="8" t="n">
        <x:f>IF(MOD(A1887,4)=0,1,0)</x:f>
        <x:v>1</x:v>
      </x:c>
      <x:c r="E1887" s="8" t="n">
        <x:f>IF(AND(F1886&lt;=9,AS1886&gt;=AR1886),1,0)</x:f>
        <x:v>0</x:v>
      </x:c>
      <x:c r="F1887" s="8" t="n">
        <x:f>MIN(10,F1886+E1887)</x:f>
        <x:v>10</x:v>
      </x:c>
      <x:c r="G1887" s="8" t="n">
        <x:f>MIN(F1887,9)+1</x:f>
        <x:v>10</x:v>
      </x:c>
      <x:c r="H1887" s="8" t="n">
        <x:f>IF(F1887&lt;=9,1,0)</x:f>
        <x:v>0</x:v>
      </x:c>
      <x:c r="I1887" s="9" t="n">
        <x:f>MIN(10,F1886+IF(AR1886&gt;0,MIN(1,AS1886/AR1886),1))</x:f>
        <x:v>10</x:v>
      </x:c>
      <x:c r="J1887" s="32" t="n">
        <x:f>INDEX(v01_FoodCap,G1887)*Arch_FoodCap*EXP(v01_CapsByProject*SUMPRODUCT((Cap_Point&lt;=I1887)*(Cap_Kind="Food")*Cap_Ln))</x:f>
        <x:v>12000</x:v>
      </x:c>
      <x:c r="K1887" s="32" t="n">
        <x:f>J1887*MIN(1,v01_LeanBase*EXP(v01_CapsByProject*SUMPRODUCT((Cap_Point&lt;=I1887)*(Cap_Kind="Lean")*Cap_Ln)))</x:f>
        <x:v>12000</x:v>
      </x:c>
      <x:c r="L1887" s="10" t="n">
        <x:f>INDEX(v01_HousingCap,G1887)*EXP(v01_CapsByProject*SUMPRODUCT((Cap_Point&lt;=I1887)*(Cap_Kind="Housing")*Cap_Ln))</x:f>
        <x:v>20000</x:v>
      </x:c>
      <x:c r="M1887" s="10" t="n">
        <x:f>INDEX(v01_GroupCap,G1887)*v01_CohesionFactor*EXP(v01_CapsByProject*SUMPRODUCT((Cap_Point&lt;=I1887)*(Cap_Kind="Group")*Cap_Ln))</x:f>
        <x:v>1000000</x:v>
      </x:c>
      <x:c r="N1887" s="32" t="n">
        <x:f>MIN(J1887,L1887,M1887)</x:f>
        <x:v>12000</x:v>
      </x:c>
      <x:c r="O1887" s="10" t="n">
        <x:f>AE1886*N1887</x:f>
        <x:v>180000</x:v>
      </x:c>
      <x:c r="P1887" s="9" t="n">
        <x:f>MIN(1,(AB1886/(AE1886*IF(v01_GroupInCrowding=1,N1887,MIN(J1887,L1887))))^v01_CrowdingExp)</x:f>
        <x:v>0.00024569414295285325</x:v>
      </x:c>
      <x:c r="Q1887" s="9" t="n">
        <x:f>IF(D1887=1,INDEX(v01_WinterMult,G1887),1)</x:f>
        <x:v>1</x:v>
      </x:c>
      <x:c r="R1887" s="9" t="n">
        <x:f>H1887*Z1886*v01_WomenShare*v01_BaseFertility*INDEX(v01_FertMult,G1887)*Arch_Fertility*(1-P1887)</x:f>
        <x:v>0</x:v>
      </x:c>
      <x:c r="S1887" s="9" t="n">
        <x:f>H1887*Y1886*INDEX(v01_MortChild,G1887)/4*Q1887</x:f>
        <x:v>0</x:v>
      </x:c>
      <x:c r="T1887" s="9" t="n">
        <x:f>H1887*Z1886*INDEX(v01_MortAdult,G1887)*Arch_AdultMort/4*Q1887</x:f>
        <x:v>0</x:v>
      </x:c>
      <x:c r="U1887" s="9" t="n">
        <x:f>H1887*AA1886*INDEX(v01_MortElder,G1887)/4*Q1887</x:f>
        <x:v>0</x:v>
      </x:c>
      <x:c r="V1887" s="9" t="n">
        <x:f>H1887*MAX(0,AB1886-O1887)*v01_OvercapLoss</x:f>
        <x:v>0</x:v>
      </x:c>
      <x:c r="W1887" s="9" t="n">
        <x:f>H1887*Y1886/(v01_ChildYears*4)</x:f>
        <x:v>0</x:v>
      </x:c>
      <x:c r="X1887" s="9" t="n">
        <x:f>H1887*Z1886/(v01_AdultYears*4)</x:f>
        <x:v>0</x:v>
      </x:c>
      <x:c r="Y1887" s="32" t="n">
        <x:f>Y1886+R1887-S1887-W1887-Y1886*V1887/AB1886</x:f>
        <x:v>14306.18539759397</x:v>
      </x:c>
      <x:c r="Z1887" s="32" t="n">
        <x:f>Z1886+W1887-X1887-T1887-Z1886*V1887/AB1886</x:f>
        <x:v>19354.456567879548</x:v>
      </x:c>
      <x:c r="AA1887" s="32" t="n">
        <x:f>AA1886+X1887-U1887-AA1886*V1887/AB1886</x:f>
        <x:v>11386.956063258198</x:v>
      </x:c>
      <x:c r="AB1887" s="10" t="n">
        <x:f>Y1887+Z1887+AA1887</x:f>
        <x:v>45047.59802873172</x:v>
      </x:c>
      <x:c r="AC1887" s="8" t="n">
        <x:f>IF(AND(v01_WinterTrigger=1,D1887=1,AB1886/AE1886&gt;=K1887),1,0)</x:f>
        <x:v>0</x:v>
      </x:c>
      <x:c r="AD1887" s="8" t="n">
        <x:f>H1887*IF(AND(OR(AB1886/AE1886&gt;=v01_FissionTrigger*N1887,AC1887=1),AB1886/AE1886*v01_DaughterShare&gt;=v01_MinDaughter),MAX(1,ROUND(AE1886*v01_FissionRate,0)),0)</x:f>
        <x:v>0</x:v>
      </x:c>
      <x:c r="AE1887" s="8" t="n">
        <x:f>IF(H1887=1,MAX(1,MIN(INDEX(v01_Smax,G1887),AE1886+AD1887)),AE1886)</x:f>
        <x:v>15</x:v>
      </x:c>
      <x:c r="AF1887" s="8" t="n">
        <x:f>MAX(0,AE1887-AE1886)</x:f>
        <x:v>0</x:v>
      </x:c>
      <x:c r="AG1887" s="9" t="str">
        <x:f>IF(AF1887&gt;0,B1887,"")</x:f>
      </x:c>
      <x:c r="AH1887" s="9" t="n">
        <x:f>IF(F1887&gt;=1,1,(1+v01_LowTiesShare*(AE1887-1))/AE1887)</x:f>
        <x:v>1</x:v>
      </x:c>
      <x:c r="AI1887" s="32" t="n">
        <x:f>(Z1887+v01_ElderCommons*INDEX(LM_Elder,G1887)*AA1887)*AH1887</x:f>
        <x:v>64139.732591141874</x:v>
      </x:c>
      <x:c r="AJ1887" s="32" t="n">
        <x:f>H1887*v01_CommonsCoef*AI1887^v01_CommonsExp*INDEX(LM_Commons,G1887)</x:f>
        <x:v>0</x:v>
      </x:c>
      <x:c r="AK1887" s="32" t="n">
        <x:f>H1887*v01_RoleScale*Arch_Roles*(AE1887*(INDEX(v01_ElderRolePerSett,G1887)*v01_OutElder*INDEX(LM_Elder,G1887)+INDEX(v01_ShamanPerSett,G1887)*v01_OutShaman)+Z1887*(INDEX(v01_PriestShare,G1887)*v01_OutPriest+INDEX(v01_ScribeShare,G1887)*v01_OutScribe*INDEX(LM_Scribe,G1887)+INDEX(v01_ScholarShare,G1887)*v01_OutScholar*INDEX(LM_Scholar,G1887)+INDEX(v01_ResearcherShare,G1887)*v01_OutResearcher*INDEX(LM_Researcher,G1887)))</x:f>
        <x:v>0</x:v>
      </x:c>
      <x:c r="AL1887" s="32" t="n">
        <x:f>H1887*v01_RoleScale*Arch_Roles*AE1887*INDEX(v01_MonasteryPerSett,G1887)*v01_OutMonastery*INDEX(LM_Monastery,G1887)</x:f>
        <x:v>0</x:v>
      </x:c>
      <x:c r="AM1887" s="32" t="n">
        <x:f>(AJ1887+AK1887+AL1887)/4*INDEX(LM_All,G1887)*INDEX(v01_Boon,G1887)*Arch_Insight</x:f>
        <x:v>0</x:v>
      </x:c>
      <x:c r="AN1887" s="32" t="n">
        <x:f>H1887*(v01_KHPerAdult*Z1887+v01_KHOfCommons*AJ1887/4*INDEX(LM_All,G1887))*v01_KHUsable*Arch_KH</x:f>
        <x:v>0</x:v>
      </x:c>
      <x:c r="AO1887" s="32" t="n">
        <x:f>MIN(AP1886+AN1887,AM1887*v01_KHMaxRatio)</x:f>
        <x:v>0</x:v>
      </x:c>
      <x:c r="AP1887" s="32" t="n">
        <x:f>AP1886+AN1887-AO1887</x:f>
        <x:v>0</x:v>
      </x:c>
      <x:c r="AQ1887" s="32" t="n">
        <x:f>AM1887+AO1887</x:f>
        <x:v>0</x:v>
      </x:c>
      <x:c r="AR1887" s="10" t="n">
        <x:f>IF(H1887=1,INDEX(v01_Req,G1887),0)</x:f>
        <x:v>0</x:v>
      </x:c>
      <x:c r="AS1887" s="32" t="n">
        <x:f>IF(H1887=1,IF(E1887=1,AS1886-AR1886,AS1886)+AQ1887,0)</x:f>
        <x:v>0</x:v>
      </x:c>
      <x:c r="AT1887" s="11" t="n">
        <x:f>IF(AR1887&gt;0,MIN(1,AS1887/AR1887),1)</x:f>
        <x:v>1</x:v>
      </x:c>
      <x:c r="AU1887" s="10" t="n">
        <x:f>AB1887/INDEX(v01_RepScale,G1887)</x:f>
        <x:v>90.09519605746344</x:v>
      </x:c>
      <x:c r="AV1887" s="32" t="n">
        <x:f>AM1887*60/v01_SeasonSeconds</x:f>
        <x:v>0</x:v>
      </x:c>
    </x:row>
    <x:row r="1888">
      <x:c r="A1888" s="8" t="n">
        <x:f>A1887+1</x:f>
        <x:v>1885</x:v>
      </x:c>
      <x:c r="B1888" s="9" t="n">
        <x:f>A1888*v01_SeasonSeconds/60</x:f>
        <x:v>471.25</x:v>
      </x:c>
      <x:c r="C1888" s="9" t="n">
        <x:f>A1888/4</x:f>
        <x:v>471.25</x:v>
      </x:c>
      <x:c r="D1888" s="8" t="n">
        <x:f>IF(MOD(A1888,4)=0,1,0)</x:f>
        <x:v>0</x:v>
      </x:c>
      <x:c r="E1888" s="8" t="n">
        <x:f>IF(AND(F1887&lt;=9,AS1887&gt;=AR1887),1,0)</x:f>
        <x:v>0</x:v>
      </x:c>
      <x:c r="F1888" s="8" t="n">
        <x:f>MIN(10,F1887+E1888)</x:f>
        <x:v>10</x:v>
      </x:c>
      <x:c r="G1888" s="8" t="n">
        <x:f>MIN(F1888,9)+1</x:f>
        <x:v>10</x:v>
      </x:c>
      <x:c r="H1888" s="8" t="n">
        <x:f>IF(F1888&lt;=9,1,0)</x:f>
        <x:v>0</x:v>
      </x:c>
      <x:c r="I1888" s="9" t="n">
        <x:f>MIN(10,F1887+IF(AR1887&gt;0,MIN(1,AS1887/AR1887),1))</x:f>
        <x:v>10</x:v>
      </x:c>
      <x:c r="J1888" s="32" t="n">
        <x:f>INDEX(v01_FoodCap,G1888)*Arch_FoodCap*EXP(v01_CapsByProject*SUMPRODUCT((Cap_Point&lt;=I1888)*(Cap_Kind="Food")*Cap_Ln))</x:f>
        <x:v>12000</x:v>
      </x:c>
      <x:c r="K1888" s="32" t="n">
        <x:f>J1888*MIN(1,v01_LeanBase*EXP(v01_CapsByProject*SUMPRODUCT((Cap_Point&lt;=I1888)*(Cap_Kind="Lean")*Cap_Ln)))</x:f>
        <x:v>12000</x:v>
      </x:c>
      <x:c r="L1888" s="10" t="n">
        <x:f>INDEX(v01_HousingCap,G1888)*EXP(v01_CapsByProject*SUMPRODUCT((Cap_Point&lt;=I1888)*(Cap_Kind="Housing")*Cap_Ln))</x:f>
        <x:v>20000</x:v>
      </x:c>
      <x:c r="M1888" s="10" t="n">
        <x:f>INDEX(v01_GroupCap,G1888)*v01_CohesionFactor*EXP(v01_CapsByProject*SUMPRODUCT((Cap_Point&lt;=I1888)*(Cap_Kind="Group")*Cap_Ln))</x:f>
        <x:v>1000000</x:v>
      </x:c>
      <x:c r="N1888" s="32" t="n">
        <x:f>MIN(J1888,L1888,M1888)</x:f>
        <x:v>12000</x:v>
      </x:c>
      <x:c r="O1888" s="10" t="n">
        <x:f>AE1887*N1888</x:f>
        <x:v>180000</x:v>
      </x:c>
      <x:c r="P1888" s="9" t="n">
        <x:f>MIN(1,(AB1887/(AE1887*IF(v01_GroupInCrowding=1,N1888,MIN(J1888,L1888))))^v01_CrowdingExp)</x:f>
        <x:v>0.00024569414295285325</x:v>
      </x:c>
      <x:c r="Q1888" s="9" t="n">
        <x:f>IF(D1888=1,INDEX(v01_WinterMult,G1888),1)</x:f>
        <x:v>1</x:v>
      </x:c>
      <x:c r="R1888" s="9" t="n">
        <x:f>H1888*Z1887*v01_WomenShare*v01_BaseFertility*INDEX(v01_FertMult,G1888)*Arch_Fertility*(1-P1888)</x:f>
        <x:v>0</x:v>
      </x:c>
      <x:c r="S1888" s="9" t="n">
        <x:f>H1888*Y1887*INDEX(v01_MortChild,G1888)/4*Q1888</x:f>
        <x:v>0</x:v>
      </x:c>
      <x:c r="T1888" s="9" t="n">
        <x:f>H1888*Z1887*INDEX(v01_MortAdult,G1888)*Arch_AdultMort/4*Q1888</x:f>
        <x:v>0</x:v>
      </x:c>
      <x:c r="U1888" s="9" t="n">
        <x:f>H1888*AA1887*INDEX(v01_MortElder,G1888)/4*Q1888</x:f>
        <x:v>0</x:v>
      </x:c>
      <x:c r="V1888" s="9" t="n">
        <x:f>H1888*MAX(0,AB1887-O1888)*v01_OvercapLoss</x:f>
        <x:v>0</x:v>
      </x:c>
      <x:c r="W1888" s="9" t="n">
        <x:f>H1888*Y1887/(v01_ChildYears*4)</x:f>
        <x:v>0</x:v>
      </x:c>
      <x:c r="X1888" s="9" t="n">
        <x:f>H1888*Z1887/(v01_AdultYears*4)</x:f>
        <x:v>0</x:v>
      </x:c>
      <x:c r="Y1888" s="32" t="n">
        <x:f>Y1887+R1888-S1888-W1888-Y1887*V1888/AB1887</x:f>
        <x:v>14306.18539759397</x:v>
      </x:c>
      <x:c r="Z1888" s="32" t="n">
        <x:f>Z1887+W1888-X1888-T1888-Z1887*V1888/AB1887</x:f>
        <x:v>19354.456567879548</x:v>
      </x:c>
      <x:c r="AA1888" s="32" t="n">
        <x:f>AA1887+X1888-U1888-AA1887*V1888/AB1887</x:f>
        <x:v>11386.956063258198</x:v>
      </x:c>
      <x:c r="AB1888" s="10" t="n">
        <x:f>Y1888+Z1888+AA1888</x:f>
        <x:v>45047.59802873172</x:v>
      </x:c>
      <x:c r="AC1888" s="8" t="n">
        <x:f>IF(AND(v01_WinterTrigger=1,D1888=1,AB1887/AE1887&gt;=K1888),1,0)</x:f>
        <x:v>0</x:v>
      </x:c>
      <x:c r="AD1888" s="8" t="n">
        <x:f>H1888*IF(AND(OR(AB1887/AE1887&gt;=v01_FissionTrigger*N1888,AC1888=1),AB1887/AE1887*v01_DaughterShare&gt;=v01_MinDaughter),MAX(1,ROUND(AE1887*v01_FissionRate,0)),0)</x:f>
        <x:v>0</x:v>
      </x:c>
      <x:c r="AE1888" s="8" t="n">
        <x:f>IF(H1888=1,MAX(1,MIN(INDEX(v01_Smax,G1888),AE1887+AD1888)),AE1887)</x:f>
        <x:v>15</x:v>
      </x:c>
      <x:c r="AF1888" s="8" t="n">
        <x:f>MAX(0,AE1888-AE1887)</x:f>
        <x:v>0</x:v>
      </x:c>
      <x:c r="AG1888" s="9" t="str">
        <x:f>IF(AF1888&gt;0,B1888,"")</x:f>
      </x:c>
      <x:c r="AH1888" s="9" t="n">
        <x:f>IF(F1888&gt;=1,1,(1+v01_LowTiesShare*(AE1888-1))/AE1888)</x:f>
        <x:v>1</x:v>
      </x:c>
      <x:c r="AI1888" s="32" t="n">
        <x:f>(Z1888+v01_ElderCommons*INDEX(LM_Elder,G1888)*AA1888)*AH1888</x:f>
        <x:v>64139.732591141874</x:v>
      </x:c>
      <x:c r="AJ1888" s="32" t="n">
        <x:f>H1888*v01_CommonsCoef*AI1888^v01_CommonsExp*INDEX(LM_Commons,G1888)</x:f>
        <x:v>0</x:v>
      </x:c>
      <x:c r="AK1888" s="32" t="n">
        <x:f>H1888*v01_RoleScale*Arch_Roles*(AE1888*(INDEX(v01_ElderRolePerSett,G1888)*v01_OutElder*INDEX(LM_Elder,G1888)+INDEX(v01_ShamanPerSett,G1888)*v01_OutShaman)+Z1888*(INDEX(v01_PriestShare,G1888)*v01_OutPriest+INDEX(v01_ScribeShare,G1888)*v01_OutScribe*INDEX(LM_Scribe,G1888)+INDEX(v01_ScholarShare,G1888)*v01_OutScholar*INDEX(LM_Scholar,G1888)+INDEX(v01_ResearcherShare,G1888)*v01_OutResearcher*INDEX(LM_Researcher,G1888)))</x:f>
        <x:v>0</x:v>
      </x:c>
      <x:c r="AL1888" s="32" t="n">
        <x:f>H1888*v01_RoleScale*Arch_Roles*AE1888*INDEX(v01_MonasteryPerSett,G1888)*v01_OutMonastery*INDEX(LM_Monastery,G1888)</x:f>
        <x:v>0</x:v>
      </x:c>
      <x:c r="AM1888" s="32" t="n">
        <x:f>(AJ1888+AK1888+AL1888)/4*INDEX(LM_All,G1888)*INDEX(v01_Boon,G1888)*Arch_Insight</x:f>
        <x:v>0</x:v>
      </x:c>
      <x:c r="AN1888" s="32" t="n">
        <x:f>H1888*(v01_KHPerAdult*Z1888+v01_KHOfCommons*AJ1888/4*INDEX(LM_All,G1888))*v01_KHUsable*Arch_KH</x:f>
        <x:v>0</x:v>
      </x:c>
      <x:c r="AO1888" s="32" t="n">
        <x:f>MIN(AP1887+AN1888,AM1888*v01_KHMaxRatio)</x:f>
        <x:v>0</x:v>
      </x:c>
      <x:c r="AP1888" s="32" t="n">
        <x:f>AP1887+AN1888-AO1888</x:f>
        <x:v>0</x:v>
      </x:c>
      <x:c r="AQ1888" s="32" t="n">
        <x:f>AM1888+AO1888</x:f>
        <x:v>0</x:v>
      </x:c>
      <x:c r="AR1888" s="10" t="n">
        <x:f>IF(H1888=1,INDEX(v01_Req,G1888),0)</x:f>
        <x:v>0</x:v>
      </x:c>
      <x:c r="AS1888" s="32" t="n">
        <x:f>IF(H1888=1,IF(E1888=1,AS1887-AR1887,AS1887)+AQ1888,0)</x:f>
        <x:v>0</x:v>
      </x:c>
      <x:c r="AT1888" s="11" t="n">
        <x:f>IF(AR1888&gt;0,MIN(1,AS1888/AR1888),1)</x:f>
        <x:v>1</x:v>
      </x:c>
      <x:c r="AU1888" s="10" t="n">
        <x:f>AB1888/INDEX(v01_RepScale,G1888)</x:f>
        <x:v>90.09519605746344</x:v>
      </x:c>
      <x:c r="AV1888" s="32" t="n">
        <x:f>AM1888*60/v01_SeasonSeconds</x:f>
        <x:v>0</x:v>
      </x:c>
    </x:row>
    <x:row r="1889">
      <x:c r="A1889" s="8" t="n">
        <x:f>A1888+1</x:f>
        <x:v>1886</x:v>
      </x:c>
      <x:c r="B1889" s="9" t="n">
        <x:f>A1889*v01_SeasonSeconds/60</x:f>
        <x:v>471.5</x:v>
      </x:c>
      <x:c r="C1889" s="9" t="n">
        <x:f>A1889/4</x:f>
        <x:v>471.5</x:v>
      </x:c>
      <x:c r="D1889" s="8" t="n">
        <x:f>IF(MOD(A1889,4)=0,1,0)</x:f>
        <x:v>0</x:v>
      </x:c>
      <x:c r="E1889" s="8" t="n">
        <x:f>IF(AND(F1888&lt;=9,AS1888&gt;=AR1888),1,0)</x:f>
        <x:v>0</x:v>
      </x:c>
      <x:c r="F1889" s="8" t="n">
        <x:f>MIN(10,F1888+E1889)</x:f>
        <x:v>10</x:v>
      </x:c>
      <x:c r="G1889" s="8" t="n">
        <x:f>MIN(F1889,9)+1</x:f>
        <x:v>10</x:v>
      </x:c>
      <x:c r="H1889" s="8" t="n">
        <x:f>IF(F1889&lt;=9,1,0)</x:f>
        <x:v>0</x:v>
      </x:c>
      <x:c r="I1889" s="9" t="n">
        <x:f>MIN(10,F1888+IF(AR1888&gt;0,MIN(1,AS1888/AR1888),1))</x:f>
        <x:v>10</x:v>
      </x:c>
      <x:c r="J1889" s="32" t="n">
        <x:f>INDEX(v01_FoodCap,G1889)*Arch_FoodCap*EXP(v01_CapsByProject*SUMPRODUCT((Cap_Point&lt;=I1889)*(Cap_Kind="Food")*Cap_Ln))</x:f>
        <x:v>12000</x:v>
      </x:c>
      <x:c r="K1889" s="32" t="n">
        <x:f>J1889*MIN(1,v01_LeanBase*EXP(v01_CapsByProject*SUMPRODUCT((Cap_Point&lt;=I1889)*(Cap_Kind="Lean")*Cap_Ln)))</x:f>
        <x:v>12000</x:v>
      </x:c>
      <x:c r="L1889" s="10" t="n">
        <x:f>INDEX(v01_HousingCap,G1889)*EXP(v01_CapsByProject*SUMPRODUCT((Cap_Point&lt;=I1889)*(Cap_Kind="Housing")*Cap_Ln))</x:f>
        <x:v>20000</x:v>
      </x:c>
      <x:c r="M1889" s="10" t="n">
        <x:f>INDEX(v01_GroupCap,G1889)*v01_CohesionFactor*EXP(v01_CapsByProject*SUMPRODUCT((Cap_Point&lt;=I1889)*(Cap_Kind="Group")*Cap_Ln))</x:f>
        <x:v>1000000</x:v>
      </x:c>
      <x:c r="N1889" s="32" t="n">
        <x:f>MIN(J1889,L1889,M1889)</x:f>
        <x:v>12000</x:v>
      </x:c>
      <x:c r="O1889" s="10" t="n">
        <x:f>AE1888*N1889</x:f>
        <x:v>180000</x:v>
      </x:c>
      <x:c r="P1889" s="9" t="n">
        <x:f>MIN(1,(AB1888/(AE1888*IF(v01_GroupInCrowding=1,N1889,MIN(J1889,L1889))))^v01_CrowdingExp)</x:f>
        <x:v>0.00024569414295285325</x:v>
      </x:c>
      <x:c r="Q1889" s="9" t="n">
        <x:f>IF(D1889=1,INDEX(v01_WinterMult,G1889),1)</x:f>
        <x:v>1</x:v>
      </x:c>
      <x:c r="R1889" s="9" t="n">
        <x:f>H1889*Z1888*v01_WomenShare*v01_BaseFertility*INDEX(v01_FertMult,G1889)*Arch_Fertility*(1-P1889)</x:f>
        <x:v>0</x:v>
      </x:c>
      <x:c r="S1889" s="9" t="n">
        <x:f>H1889*Y1888*INDEX(v01_MortChild,G1889)/4*Q1889</x:f>
        <x:v>0</x:v>
      </x:c>
      <x:c r="T1889" s="9" t="n">
        <x:f>H1889*Z1888*INDEX(v01_MortAdult,G1889)*Arch_AdultMort/4*Q1889</x:f>
        <x:v>0</x:v>
      </x:c>
      <x:c r="U1889" s="9" t="n">
        <x:f>H1889*AA1888*INDEX(v01_MortElder,G1889)/4*Q1889</x:f>
        <x:v>0</x:v>
      </x:c>
      <x:c r="V1889" s="9" t="n">
        <x:f>H1889*MAX(0,AB1888-O1889)*v01_OvercapLoss</x:f>
        <x:v>0</x:v>
      </x:c>
      <x:c r="W1889" s="9" t="n">
        <x:f>H1889*Y1888/(v01_ChildYears*4)</x:f>
        <x:v>0</x:v>
      </x:c>
      <x:c r="X1889" s="9" t="n">
        <x:f>H1889*Z1888/(v01_AdultYears*4)</x:f>
        <x:v>0</x:v>
      </x:c>
      <x:c r="Y1889" s="32" t="n">
        <x:f>Y1888+R1889-S1889-W1889-Y1888*V1889/AB1888</x:f>
        <x:v>14306.18539759397</x:v>
      </x:c>
      <x:c r="Z1889" s="32" t="n">
        <x:f>Z1888+W1889-X1889-T1889-Z1888*V1889/AB1888</x:f>
        <x:v>19354.456567879548</x:v>
      </x:c>
      <x:c r="AA1889" s="32" t="n">
        <x:f>AA1888+X1889-U1889-AA1888*V1889/AB1888</x:f>
        <x:v>11386.956063258198</x:v>
      </x:c>
      <x:c r="AB1889" s="10" t="n">
        <x:f>Y1889+Z1889+AA1889</x:f>
        <x:v>45047.59802873172</x:v>
      </x:c>
      <x:c r="AC1889" s="8" t="n">
        <x:f>IF(AND(v01_WinterTrigger=1,D1889=1,AB1888/AE1888&gt;=K1889),1,0)</x:f>
        <x:v>0</x:v>
      </x:c>
      <x:c r="AD1889" s="8" t="n">
        <x:f>H1889*IF(AND(OR(AB1888/AE1888&gt;=v01_FissionTrigger*N1889,AC1889=1),AB1888/AE1888*v01_DaughterShare&gt;=v01_MinDaughter),MAX(1,ROUND(AE1888*v01_FissionRate,0)),0)</x:f>
        <x:v>0</x:v>
      </x:c>
      <x:c r="AE1889" s="8" t="n">
        <x:f>IF(H1889=1,MAX(1,MIN(INDEX(v01_Smax,G1889),AE1888+AD1889)),AE1888)</x:f>
        <x:v>15</x:v>
      </x:c>
      <x:c r="AF1889" s="8" t="n">
        <x:f>MAX(0,AE1889-AE1888)</x:f>
        <x:v>0</x:v>
      </x:c>
      <x:c r="AG1889" s="9" t="str">
        <x:f>IF(AF1889&gt;0,B1889,"")</x:f>
      </x:c>
      <x:c r="AH1889" s="9" t="n">
        <x:f>IF(F1889&gt;=1,1,(1+v01_LowTiesShare*(AE1889-1))/AE1889)</x:f>
        <x:v>1</x:v>
      </x:c>
      <x:c r="AI1889" s="32" t="n">
        <x:f>(Z1889+v01_ElderCommons*INDEX(LM_Elder,G1889)*AA1889)*AH1889</x:f>
        <x:v>64139.732591141874</x:v>
      </x:c>
      <x:c r="AJ1889" s="32" t="n">
        <x:f>H1889*v01_CommonsCoef*AI1889^v01_CommonsExp*INDEX(LM_Commons,G1889)</x:f>
        <x:v>0</x:v>
      </x:c>
      <x:c r="AK1889" s="32" t="n">
        <x:f>H1889*v01_RoleScale*Arch_Roles*(AE1889*(INDEX(v01_ElderRolePerSett,G1889)*v01_OutElder*INDEX(LM_Elder,G1889)+INDEX(v01_ShamanPerSett,G1889)*v01_OutShaman)+Z1889*(INDEX(v01_PriestShare,G1889)*v01_OutPriest+INDEX(v01_ScribeShare,G1889)*v01_OutScribe*INDEX(LM_Scribe,G1889)+INDEX(v01_ScholarShare,G1889)*v01_OutScholar*INDEX(LM_Scholar,G1889)+INDEX(v01_ResearcherShare,G1889)*v01_OutResearcher*INDEX(LM_Researcher,G1889)))</x:f>
        <x:v>0</x:v>
      </x:c>
      <x:c r="AL1889" s="32" t="n">
        <x:f>H1889*v01_RoleScale*Arch_Roles*AE1889*INDEX(v01_MonasteryPerSett,G1889)*v01_OutMonastery*INDEX(LM_Monastery,G1889)</x:f>
        <x:v>0</x:v>
      </x:c>
      <x:c r="AM1889" s="32" t="n">
        <x:f>(AJ1889+AK1889+AL1889)/4*INDEX(LM_All,G1889)*INDEX(v01_Boon,G1889)*Arch_Insight</x:f>
        <x:v>0</x:v>
      </x:c>
      <x:c r="AN1889" s="32" t="n">
        <x:f>H1889*(v01_KHPerAdult*Z1889+v01_KHOfCommons*AJ1889/4*INDEX(LM_All,G1889))*v01_KHUsable*Arch_KH</x:f>
        <x:v>0</x:v>
      </x:c>
      <x:c r="AO1889" s="32" t="n">
        <x:f>MIN(AP1888+AN1889,AM1889*v01_KHMaxRatio)</x:f>
        <x:v>0</x:v>
      </x:c>
      <x:c r="AP1889" s="32" t="n">
        <x:f>AP1888+AN1889-AO1889</x:f>
        <x:v>0</x:v>
      </x:c>
      <x:c r="AQ1889" s="32" t="n">
        <x:f>AM1889+AO1889</x:f>
        <x:v>0</x:v>
      </x:c>
      <x:c r="AR1889" s="10" t="n">
        <x:f>IF(H1889=1,INDEX(v01_Req,G1889),0)</x:f>
        <x:v>0</x:v>
      </x:c>
      <x:c r="AS1889" s="32" t="n">
        <x:f>IF(H1889=1,IF(E1889=1,AS1888-AR1888,AS1888)+AQ1889,0)</x:f>
        <x:v>0</x:v>
      </x:c>
      <x:c r="AT1889" s="11" t="n">
        <x:f>IF(AR1889&gt;0,MIN(1,AS1889/AR1889),1)</x:f>
        <x:v>1</x:v>
      </x:c>
      <x:c r="AU1889" s="10" t="n">
        <x:f>AB1889/INDEX(v01_RepScale,G1889)</x:f>
        <x:v>90.09519605746344</x:v>
      </x:c>
      <x:c r="AV1889" s="32" t="n">
        <x:f>AM1889*60/v01_SeasonSeconds</x:f>
        <x:v>0</x:v>
      </x:c>
    </x:row>
    <x:row r="1890">
      <x:c r="A1890" s="8" t="n">
        <x:f>A1889+1</x:f>
        <x:v>1887</x:v>
      </x:c>
      <x:c r="B1890" s="9" t="n">
        <x:f>A1890*v01_SeasonSeconds/60</x:f>
        <x:v>471.75</x:v>
      </x:c>
      <x:c r="C1890" s="9" t="n">
        <x:f>A1890/4</x:f>
        <x:v>471.75</x:v>
      </x:c>
      <x:c r="D1890" s="8" t="n">
        <x:f>IF(MOD(A1890,4)=0,1,0)</x:f>
        <x:v>0</x:v>
      </x:c>
      <x:c r="E1890" s="8" t="n">
        <x:f>IF(AND(F1889&lt;=9,AS1889&gt;=AR1889),1,0)</x:f>
        <x:v>0</x:v>
      </x:c>
      <x:c r="F1890" s="8" t="n">
        <x:f>MIN(10,F1889+E1890)</x:f>
        <x:v>10</x:v>
      </x:c>
      <x:c r="G1890" s="8" t="n">
        <x:f>MIN(F1890,9)+1</x:f>
        <x:v>10</x:v>
      </x:c>
      <x:c r="H1890" s="8" t="n">
        <x:f>IF(F1890&lt;=9,1,0)</x:f>
        <x:v>0</x:v>
      </x:c>
      <x:c r="I1890" s="9" t="n">
        <x:f>MIN(10,F1889+IF(AR1889&gt;0,MIN(1,AS1889/AR1889),1))</x:f>
        <x:v>10</x:v>
      </x:c>
      <x:c r="J1890" s="32" t="n">
        <x:f>INDEX(v01_FoodCap,G1890)*Arch_FoodCap*EXP(v01_CapsByProject*SUMPRODUCT((Cap_Point&lt;=I1890)*(Cap_Kind="Food")*Cap_Ln))</x:f>
        <x:v>12000</x:v>
      </x:c>
      <x:c r="K1890" s="32" t="n">
        <x:f>J1890*MIN(1,v01_LeanBase*EXP(v01_CapsByProject*SUMPRODUCT((Cap_Point&lt;=I1890)*(Cap_Kind="Lean")*Cap_Ln)))</x:f>
        <x:v>12000</x:v>
      </x:c>
      <x:c r="L1890" s="10" t="n">
        <x:f>INDEX(v01_HousingCap,G1890)*EXP(v01_CapsByProject*SUMPRODUCT((Cap_Point&lt;=I1890)*(Cap_Kind="Housing")*Cap_Ln))</x:f>
        <x:v>20000</x:v>
      </x:c>
      <x:c r="M1890" s="10" t="n">
        <x:f>INDEX(v01_GroupCap,G1890)*v01_CohesionFactor*EXP(v01_CapsByProject*SUMPRODUCT((Cap_Point&lt;=I1890)*(Cap_Kind="Group")*Cap_Ln))</x:f>
        <x:v>1000000</x:v>
      </x:c>
      <x:c r="N1890" s="32" t="n">
        <x:f>MIN(J1890,L1890,M1890)</x:f>
        <x:v>12000</x:v>
      </x:c>
      <x:c r="O1890" s="10" t="n">
        <x:f>AE1889*N1890</x:f>
        <x:v>180000</x:v>
      </x:c>
      <x:c r="P1890" s="9" t="n">
        <x:f>MIN(1,(AB1889/(AE1889*IF(v01_GroupInCrowding=1,N1890,MIN(J1890,L1890))))^v01_CrowdingExp)</x:f>
        <x:v>0.00024569414295285325</x:v>
      </x:c>
      <x:c r="Q1890" s="9" t="n">
        <x:f>IF(D1890=1,INDEX(v01_WinterMult,G1890),1)</x:f>
        <x:v>1</x:v>
      </x:c>
      <x:c r="R1890" s="9" t="n">
        <x:f>H1890*Z1889*v01_WomenShare*v01_BaseFertility*INDEX(v01_FertMult,G1890)*Arch_Fertility*(1-P1890)</x:f>
        <x:v>0</x:v>
      </x:c>
      <x:c r="S1890" s="9" t="n">
        <x:f>H1890*Y1889*INDEX(v01_MortChild,G1890)/4*Q1890</x:f>
        <x:v>0</x:v>
      </x:c>
      <x:c r="T1890" s="9" t="n">
        <x:f>H1890*Z1889*INDEX(v01_MortAdult,G1890)*Arch_AdultMort/4*Q1890</x:f>
        <x:v>0</x:v>
      </x:c>
      <x:c r="U1890" s="9" t="n">
        <x:f>H1890*AA1889*INDEX(v01_MortElder,G1890)/4*Q1890</x:f>
        <x:v>0</x:v>
      </x:c>
      <x:c r="V1890" s="9" t="n">
        <x:f>H1890*MAX(0,AB1889-O1890)*v01_OvercapLoss</x:f>
        <x:v>0</x:v>
      </x:c>
      <x:c r="W1890" s="9" t="n">
        <x:f>H1890*Y1889/(v01_ChildYears*4)</x:f>
        <x:v>0</x:v>
      </x:c>
      <x:c r="X1890" s="9" t="n">
        <x:f>H1890*Z1889/(v01_AdultYears*4)</x:f>
        <x:v>0</x:v>
      </x:c>
      <x:c r="Y1890" s="32" t="n">
        <x:f>Y1889+R1890-S1890-W1890-Y1889*V1890/AB1889</x:f>
        <x:v>14306.18539759397</x:v>
      </x:c>
      <x:c r="Z1890" s="32" t="n">
        <x:f>Z1889+W1890-X1890-T1890-Z1889*V1890/AB1889</x:f>
        <x:v>19354.456567879548</x:v>
      </x:c>
      <x:c r="AA1890" s="32" t="n">
        <x:f>AA1889+X1890-U1890-AA1889*V1890/AB1889</x:f>
        <x:v>11386.956063258198</x:v>
      </x:c>
      <x:c r="AB1890" s="10" t="n">
        <x:f>Y1890+Z1890+AA1890</x:f>
        <x:v>45047.59802873172</x:v>
      </x:c>
      <x:c r="AC1890" s="8" t="n">
        <x:f>IF(AND(v01_WinterTrigger=1,D1890=1,AB1889/AE1889&gt;=K1890),1,0)</x:f>
        <x:v>0</x:v>
      </x:c>
      <x:c r="AD1890" s="8" t="n">
        <x:f>H1890*IF(AND(OR(AB1889/AE1889&gt;=v01_FissionTrigger*N1890,AC1890=1),AB1889/AE1889*v01_DaughterShare&gt;=v01_MinDaughter),MAX(1,ROUND(AE1889*v01_FissionRate,0)),0)</x:f>
        <x:v>0</x:v>
      </x:c>
      <x:c r="AE1890" s="8" t="n">
        <x:f>IF(H1890=1,MAX(1,MIN(INDEX(v01_Smax,G1890),AE1889+AD1890)),AE1889)</x:f>
        <x:v>15</x:v>
      </x:c>
      <x:c r="AF1890" s="8" t="n">
        <x:f>MAX(0,AE1890-AE1889)</x:f>
        <x:v>0</x:v>
      </x:c>
      <x:c r="AG1890" s="9" t="str">
        <x:f>IF(AF1890&gt;0,B1890,"")</x:f>
      </x:c>
      <x:c r="AH1890" s="9" t="n">
        <x:f>IF(F1890&gt;=1,1,(1+v01_LowTiesShare*(AE1890-1))/AE1890)</x:f>
        <x:v>1</x:v>
      </x:c>
      <x:c r="AI1890" s="32" t="n">
        <x:f>(Z1890+v01_ElderCommons*INDEX(LM_Elder,G1890)*AA1890)*AH1890</x:f>
        <x:v>64139.732591141874</x:v>
      </x:c>
      <x:c r="AJ1890" s="32" t="n">
        <x:f>H1890*v01_CommonsCoef*AI1890^v01_CommonsExp*INDEX(LM_Commons,G1890)</x:f>
        <x:v>0</x:v>
      </x:c>
      <x:c r="AK1890" s="32" t="n">
        <x:f>H1890*v01_RoleScale*Arch_Roles*(AE1890*(INDEX(v01_ElderRolePerSett,G1890)*v01_OutElder*INDEX(LM_Elder,G1890)+INDEX(v01_ShamanPerSett,G1890)*v01_OutShaman)+Z1890*(INDEX(v01_PriestShare,G1890)*v01_OutPriest+INDEX(v01_ScribeShare,G1890)*v01_OutScribe*INDEX(LM_Scribe,G1890)+INDEX(v01_ScholarShare,G1890)*v01_OutScholar*INDEX(LM_Scholar,G1890)+INDEX(v01_ResearcherShare,G1890)*v01_OutResearcher*INDEX(LM_Researcher,G1890)))</x:f>
        <x:v>0</x:v>
      </x:c>
      <x:c r="AL1890" s="32" t="n">
        <x:f>H1890*v01_RoleScale*Arch_Roles*AE1890*INDEX(v01_MonasteryPerSett,G1890)*v01_OutMonastery*INDEX(LM_Monastery,G1890)</x:f>
        <x:v>0</x:v>
      </x:c>
      <x:c r="AM1890" s="32" t="n">
        <x:f>(AJ1890+AK1890+AL1890)/4*INDEX(LM_All,G1890)*INDEX(v01_Boon,G1890)*Arch_Insight</x:f>
        <x:v>0</x:v>
      </x:c>
      <x:c r="AN1890" s="32" t="n">
        <x:f>H1890*(v01_KHPerAdult*Z1890+v01_KHOfCommons*AJ1890/4*INDEX(LM_All,G1890))*v01_KHUsable*Arch_KH</x:f>
        <x:v>0</x:v>
      </x:c>
      <x:c r="AO1890" s="32" t="n">
        <x:f>MIN(AP1889+AN1890,AM1890*v01_KHMaxRatio)</x:f>
        <x:v>0</x:v>
      </x:c>
      <x:c r="AP1890" s="32" t="n">
        <x:f>AP1889+AN1890-AO1890</x:f>
        <x:v>0</x:v>
      </x:c>
      <x:c r="AQ1890" s="32" t="n">
        <x:f>AM1890+AO1890</x:f>
        <x:v>0</x:v>
      </x:c>
      <x:c r="AR1890" s="10" t="n">
        <x:f>IF(H1890=1,INDEX(v01_Req,G1890),0)</x:f>
        <x:v>0</x:v>
      </x:c>
      <x:c r="AS1890" s="32" t="n">
        <x:f>IF(H1890=1,IF(E1890=1,AS1889-AR1889,AS1889)+AQ1890,0)</x:f>
        <x:v>0</x:v>
      </x:c>
      <x:c r="AT1890" s="11" t="n">
        <x:f>IF(AR1890&gt;0,MIN(1,AS1890/AR1890),1)</x:f>
        <x:v>1</x:v>
      </x:c>
      <x:c r="AU1890" s="10" t="n">
        <x:f>AB1890/INDEX(v01_RepScale,G1890)</x:f>
        <x:v>90.09519605746344</x:v>
      </x:c>
      <x:c r="AV1890" s="32" t="n">
        <x:f>AM1890*60/v01_SeasonSeconds</x:f>
        <x:v>0</x:v>
      </x:c>
    </x:row>
    <x:row r="1891">
      <x:c r="A1891" s="8" t="n">
        <x:f>A1890+1</x:f>
        <x:v>1888</x:v>
      </x:c>
      <x:c r="B1891" s="9" t="n">
        <x:f>A1891*v01_SeasonSeconds/60</x:f>
        <x:v>472</x:v>
      </x:c>
      <x:c r="C1891" s="9" t="n">
        <x:f>A1891/4</x:f>
        <x:v>472</x:v>
      </x:c>
      <x:c r="D1891" s="8" t="n">
        <x:f>IF(MOD(A1891,4)=0,1,0)</x:f>
        <x:v>1</x:v>
      </x:c>
      <x:c r="E1891" s="8" t="n">
        <x:f>IF(AND(F1890&lt;=9,AS1890&gt;=AR1890),1,0)</x:f>
        <x:v>0</x:v>
      </x:c>
      <x:c r="F1891" s="8" t="n">
        <x:f>MIN(10,F1890+E1891)</x:f>
        <x:v>10</x:v>
      </x:c>
      <x:c r="G1891" s="8" t="n">
        <x:f>MIN(F1891,9)+1</x:f>
        <x:v>10</x:v>
      </x:c>
      <x:c r="H1891" s="8" t="n">
        <x:f>IF(F1891&lt;=9,1,0)</x:f>
        <x:v>0</x:v>
      </x:c>
      <x:c r="I1891" s="9" t="n">
        <x:f>MIN(10,F1890+IF(AR1890&gt;0,MIN(1,AS1890/AR1890),1))</x:f>
        <x:v>10</x:v>
      </x:c>
      <x:c r="J1891" s="32" t="n">
        <x:f>INDEX(v01_FoodCap,G1891)*Arch_FoodCap*EXP(v01_CapsByProject*SUMPRODUCT((Cap_Point&lt;=I1891)*(Cap_Kind="Food")*Cap_Ln))</x:f>
        <x:v>12000</x:v>
      </x:c>
      <x:c r="K1891" s="32" t="n">
        <x:f>J1891*MIN(1,v01_LeanBase*EXP(v01_CapsByProject*SUMPRODUCT((Cap_Point&lt;=I1891)*(Cap_Kind="Lean")*Cap_Ln)))</x:f>
        <x:v>12000</x:v>
      </x:c>
      <x:c r="L1891" s="10" t="n">
        <x:f>INDEX(v01_HousingCap,G1891)*EXP(v01_CapsByProject*SUMPRODUCT((Cap_Point&lt;=I1891)*(Cap_Kind="Housing")*Cap_Ln))</x:f>
        <x:v>20000</x:v>
      </x:c>
      <x:c r="M1891" s="10" t="n">
        <x:f>INDEX(v01_GroupCap,G1891)*v01_CohesionFactor*EXP(v01_CapsByProject*SUMPRODUCT((Cap_Point&lt;=I1891)*(Cap_Kind="Group")*Cap_Ln))</x:f>
        <x:v>1000000</x:v>
      </x:c>
      <x:c r="N1891" s="32" t="n">
        <x:f>MIN(J1891,L1891,M1891)</x:f>
        <x:v>12000</x:v>
      </x:c>
      <x:c r="O1891" s="10" t="n">
        <x:f>AE1890*N1891</x:f>
        <x:v>180000</x:v>
      </x:c>
      <x:c r="P1891" s="9" t="n">
        <x:f>MIN(1,(AB1890/(AE1890*IF(v01_GroupInCrowding=1,N1891,MIN(J1891,L1891))))^v01_CrowdingExp)</x:f>
        <x:v>0.00024569414295285325</x:v>
      </x:c>
      <x:c r="Q1891" s="9" t="n">
        <x:f>IF(D1891=1,INDEX(v01_WinterMult,G1891),1)</x:f>
        <x:v>1</x:v>
      </x:c>
      <x:c r="R1891" s="9" t="n">
        <x:f>H1891*Z1890*v01_WomenShare*v01_BaseFertility*INDEX(v01_FertMult,G1891)*Arch_Fertility*(1-P1891)</x:f>
        <x:v>0</x:v>
      </x:c>
      <x:c r="S1891" s="9" t="n">
        <x:f>H1891*Y1890*INDEX(v01_MortChild,G1891)/4*Q1891</x:f>
        <x:v>0</x:v>
      </x:c>
      <x:c r="T1891" s="9" t="n">
        <x:f>H1891*Z1890*INDEX(v01_MortAdult,G1891)*Arch_AdultMort/4*Q1891</x:f>
        <x:v>0</x:v>
      </x:c>
      <x:c r="U1891" s="9" t="n">
        <x:f>H1891*AA1890*INDEX(v01_MortElder,G1891)/4*Q1891</x:f>
        <x:v>0</x:v>
      </x:c>
      <x:c r="V1891" s="9" t="n">
        <x:f>H1891*MAX(0,AB1890-O1891)*v01_OvercapLoss</x:f>
        <x:v>0</x:v>
      </x:c>
      <x:c r="W1891" s="9" t="n">
        <x:f>H1891*Y1890/(v01_ChildYears*4)</x:f>
        <x:v>0</x:v>
      </x:c>
      <x:c r="X1891" s="9" t="n">
        <x:f>H1891*Z1890/(v01_AdultYears*4)</x:f>
        <x:v>0</x:v>
      </x:c>
      <x:c r="Y1891" s="32" t="n">
        <x:f>Y1890+R1891-S1891-W1891-Y1890*V1891/AB1890</x:f>
        <x:v>14306.18539759397</x:v>
      </x:c>
      <x:c r="Z1891" s="32" t="n">
        <x:f>Z1890+W1891-X1891-T1891-Z1890*V1891/AB1890</x:f>
        <x:v>19354.456567879548</x:v>
      </x:c>
      <x:c r="AA1891" s="32" t="n">
        <x:f>AA1890+X1891-U1891-AA1890*V1891/AB1890</x:f>
        <x:v>11386.956063258198</x:v>
      </x:c>
      <x:c r="AB1891" s="10" t="n">
        <x:f>Y1891+Z1891+AA1891</x:f>
        <x:v>45047.59802873172</x:v>
      </x:c>
      <x:c r="AC1891" s="8" t="n">
        <x:f>IF(AND(v01_WinterTrigger=1,D1891=1,AB1890/AE1890&gt;=K1891),1,0)</x:f>
        <x:v>0</x:v>
      </x:c>
      <x:c r="AD1891" s="8" t="n">
        <x:f>H1891*IF(AND(OR(AB1890/AE1890&gt;=v01_FissionTrigger*N1891,AC1891=1),AB1890/AE1890*v01_DaughterShare&gt;=v01_MinDaughter),MAX(1,ROUND(AE1890*v01_FissionRate,0)),0)</x:f>
        <x:v>0</x:v>
      </x:c>
      <x:c r="AE1891" s="8" t="n">
        <x:f>IF(H1891=1,MAX(1,MIN(INDEX(v01_Smax,G1891),AE1890+AD1891)),AE1890)</x:f>
        <x:v>15</x:v>
      </x:c>
      <x:c r="AF1891" s="8" t="n">
        <x:f>MAX(0,AE1891-AE1890)</x:f>
        <x:v>0</x:v>
      </x:c>
      <x:c r="AG1891" s="9" t="str">
        <x:f>IF(AF1891&gt;0,B1891,"")</x:f>
      </x:c>
      <x:c r="AH1891" s="9" t="n">
        <x:f>IF(F1891&gt;=1,1,(1+v01_LowTiesShare*(AE1891-1))/AE1891)</x:f>
        <x:v>1</x:v>
      </x:c>
      <x:c r="AI1891" s="32" t="n">
        <x:f>(Z1891+v01_ElderCommons*INDEX(LM_Elder,G1891)*AA1891)*AH1891</x:f>
        <x:v>64139.732591141874</x:v>
      </x:c>
      <x:c r="AJ1891" s="32" t="n">
        <x:f>H1891*v01_CommonsCoef*AI1891^v01_CommonsExp*INDEX(LM_Commons,G1891)</x:f>
        <x:v>0</x:v>
      </x:c>
      <x:c r="AK1891" s="32" t="n">
        <x:f>H1891*v01_RoleScale*Arch_Roles*(AE1891*(INDEX(v01_ElderRolePerSett,G1891)*v01_OutElder*INDEX(LM_Elder,G1891)+INDEX(v01_ShamanPerSett,G1891)*v01_OutShaman)+Z1891*(INDEX(v01_PriestShare,G1891)*v01_OutPriest+INDEX(v01_ScribeShare,G1891)*v01_OutScribe*INDEX(LM_Scribe,G1891)+INDEX(v01_ScholarShare,G1891)*v01_OutScholar*INDEX(LM_Scholar,G1891)+INDEX(v01_ResearcherShare,G1891)*v01_OutResearcher*INDEX(LM_Researcher,G1891)))</x:f>
        <x:v>0</x:v>
      </x:c>
      <x:c r="AL1891" s="32" t="n">
        <x:f>H1891*v01_RoleScale*Arch_Roles*AE1891*INDEX(v01_MonasteryPerSett,G1891)*v01_OutMonastery*INDEX(LM_Monastery,G1891)</x:f>
        <x:v>0</x:v>
      </x:c>
      <x:c r="AM1891" s="32" t="n">
        <x:f>(AJ1891+AK1891+AL1891)/4*INDEX(LM_All,G1891)*INDEX(v01_Boon,G1891)*Arch_Insight</x:f>
        <x:v>0</x:v>
      </x:c>
      <x:c r="AN1891" s="32" t="n">
        <x:f>H1891*(v01_KHPerAdult*Z1891+v01_KHOfCommons*AJ1891/4*INDEX(LM_All,G1891))*v01_KHUsable*Arch_KH</x:f>
        <x:v>0</x:v>
      </x:c>
      <x:c r="AO1891" s="32" t="n">
        <x:f>MIN(AP1890+AN1891,AM1891*v01_KHMaxRatio)</x:f>
        <x:v>0</x:v>
      </x:c>
      <x:c r="AP1891" s="32" t="n">
        <x:f>AP1890+AN1891-AO1891</x:f>
        <x:v>0</x:v>
      </x:c>
      <x:c r="AQ1891" s="32" t="n">
        <x:f>AM1891+AO1891</x:f>
        <x:v>0</x:v>
      </x:c>
      <x:c r="AR1891" s="10" t="n">
        <x:f>IF(H1891=1,INDEX(v01_Req,G1891),0)</x:f>
        <x:v>0</x:v>
      </x:c>
      <x:c r="AS1891" s="32" t="n">
        <x:f>IF(H1891=1,IF(E1891=1,AS1890-AR1890,AS1890)+AQ1891,0)</x:f>
        <x:v>0</x:v>
      </x:c>
      <x:c r="AT1891" s="11" t="n">
        <x:f>IF(AR1891&gt;0,MIN(1,AS1891/AR1891),1)</x:f>
        <x:v>1</x:v>
      </x:c>
      <x:c r="AU1891" s="10" t="n">
        <x:f>AB1891/INDEX(v01_RepScale,G1891)</x:f>
        <x:v>90.09519605746344</x:v>
      </x:c>
      <x:c r="AV1891" s="32" t="n">
        <x:f>AM1891*60/v01_SeasonSeconds</x:f>
        <x:v>0</x:v>
      </x:c>
    </x:row>
    <x:row r="1892">
      <x:c r="A1892" s="8" t="n">
        <x:f>A1891+1</x:f>
        <x:v>1889</x:v>
      </x:c>
      <x:c r="B1892" s="9" t="n">
        <x:f>A1892*v01_SeasonSeconds/60</x:f>
        <x:v>472.25</x:v>
      </x:c>
      <x:c r="C1892" s="9" t="n">
        <x:f>A1892/4</x:f>
        <x:v>472.25</x:v>
      </x:c>
      <x:c r="D1892" s="8" t="n">
        <x:f>IF(MOD(A1892,4)=0,1,0)</x:f>
        <x:v>0</x:v>
      </x:c>
      <x:c r="E1892" s="8" t="n">
        <x:f>IF(AND(F1891&lt;=9,AS1891&gt;=AR1891),1,0)</x:f>
        <x:v>0</x:v>
      </x:c>
      <x:c r="F1892" s="8" t="n">
        <x:f>MIN(10,F1891+E1892)</x:f>
        <x:v>10</x:v>
      </x:c>
      <x:c r="G1892" s="8" t="n">
        <x:f>MIN(F1892,9)+1</x:f>
        <x:v>10</x:v>
      </x:c>
      <x:c r="H1892" s="8" t="n">
        <x:f>IF(F1892&lt;=9,1,0)</x:f>
        <x:v>0</x:v>
      </x:c>
      <x:c r="I1892" s="9" t="n">
        <x:f>MIN(10,F1891+IF(AR1891&gt;0,MIN(1,AS1891/AR1891),1))</x:f>
        <x:v>10</x:v>
      </x:c>
      <x:c r="J1892" s="32" t="n">
        <x:f>INDEX(v01_FoodCap,G1892)*Arch_FoodCap*EXP(v01_CapsByProject*SUMPRODUCT((Cap_Point&lt;=I1892)*(Cap_Kind="Food")*Cap_Ln))</x:f>
        <x:v>12000</x:v>
      </x:c>
      <x:c r="K1892" s="32" t="n">
        <x:f>J1892*MIN(1,v01_LeanBase*EXP(v01_CapsByProject*SUMPRODUCT((Cap_Point&lt;=I1892)*(Cap_Kind="Lean")*Cap_Ln)))</x:f>
        <x:v>12000</x:v>
      </x:c>
      <x:c r="L1892" s="10" t="n">
        <x:f>INDEX(v01_HousingCap,G1892)*EXP(v01_CapsByProject*SUMPRODUCT((Cap_Point&lt;=I1892)*(Cap_Kind="Housing")*Cap_Ln))</x:f>
        <x:v>20000</x:v>
      </x:c>
      <x:c r="M1892" s="10" t="n">
        <x:f>INDEX(v01_GroupCap,G1892)*v01_CohesionFactor*EXP(v01_CapsByProject*SUMPRODUCT((Cap_Point&lt;=I1892)*(Cap_Kind="Group")*Cap_Ln))</x:f>
        <x:v>1000000</x:v>
      </x:c>
      <x:c r="N1892" s="32" t="n">
        <x:f>MIN(J1892,L1892,M1892)</x:f>
        <x:v>12000</x:v>
      </x:c>
      <x:c r="O1892" s="10" t="n">
        <x:f>AE1891*N1892</x:f>
        <x:v>180000</x:v>
      </x:c>
      <x:c r="P1892" s="9" t="n">
        <x:f>MIN(1,(AB1891/(AE1891*IF(v01_GroupInCrowding=1,N1892,MIN(J1892,L1892))))^v01_CrowdingExp)</x:f>
        <x:v>0.00024569414295285325</x:v>
      </x:c>
      <x:c r="Q1892" s="9" t="n">
        <x:f>IF(D1892=1,INDEX(v01_WinterMult,G1892),1)</x:f>
        <x:v>1</x:v>
      </x:c>
      <x:c r="R1892" s="9" t="n">
        <x:f>H1892*Z1891*v01_WomenShare*v01_BaseFertility*INDEX(v01_FertMult,G1892)*Arch_Fertility*(1-P1892)</x:f>
        <x:v>0</x:v>
      </x:c>
      <x:c r="S1892" s="9" t="n">
        <x:f>H1892*Y1891*INDEX(v01_MortChild,G1892)/4*Q1892</x:f>
        <x:v>0</x:v>
      </x:c>
      <x:c r="T1892" s="9" t="n">
        <x:f>H1892*Z1891*INDEX(v01_MortAdult,G1892)*Arch_AdultMort/4*Q1892</x:f>
        <x:v>0</x:v>
      </x:c>
      <x:c r="U1892" s="9" t="n">
        <x:f>H1892*AA1891*INDEX(v01_MortElder,G1892)/4*Q1892</x:f>
        <x:v>0</x:v>
      </x:c>
      <x:c r="V1892" s="9" t="n">
        <x:f>H1892*MAX(0,AB1891-O1892)*v01_OvercapLoss</x:f>
        <x:v>0</x:v>
      </x:c>
      <x:c r="W1892" s="9" t="n">
        <x:f>H1892*Y1891/(v01_ChildYears*4)</x:f>
        <x:v>0</x:v>
      </x:c>
      <x:c r="X1892" s="9" t="n">
        <x:f>H1892*Z1891/(v01_AdultYears*4)</x:f>
        <x:v>0</x:v>
      </x:c>
      <x:c r="Y1892" s="32" t="n">
        <x:f>Y1891+R1892-S1892-W1892-Y1891*V1892/AB1891</x:f>
        <x:v>14306.18539759397</x:v>
      </x:c>
      <x:c r="Z1892" s="32" t="n">
        <x:f>Z1891+W1892-X1892-T1892-Z1891*V1892/AB1891</x:f>
        <x:v>19354.456567879548</x:v>
      </x:c>
      <x:c r="AA1892" s="32" t="n">
        <x:f>AA1891+X1892-U1892-AA1891*V1892/AB1891</x:f>
        <x:v>11386.956063258198</x:v>
      </x:c>
      <x:c r="AB1892" s="10" t="n">
        <x:f>Y1892+Z1892+AA1892</x:f>
        <x:v>45047.59802873172</x:v>
      </x:c>
      <x:c r="AC1892" s="8" t="n">
        <x:f>IF(AND(v01_WinterTrigger=1,D1892=1,AB1891/AE1891&gt;=K1892),1,0)</x:f>
        <x:v>0</x:v>
      </x:c>
      <x:c r="AD1892" s="8" t="n">
        <x:f>H1892*IF(AND(OR(AB1891/AE1891&gt;=v01_FissionTrigger*N1892,AC1892=1),AB1891/AE1891*v01_DaughterShare&gt;=v01_MinDaughter),MAX(1,ROUND(AE1891*v01_FissionRate,0)),0)</x:f>
        <x:v>0</x:v>
      </x:c>
      <x:c r="AE1892" s="8" t="n">
        <x:f>IF(H1892=1,MAX(1,MIN(INDEX(v01_Smax,G1892),AE1891+AD1892)),AE1891)</x:f>
        <x:v>15</x:v>
      </x:c>
      <x:c r="AF1892" s="8" t="n">
        <x:f>MAX(0,AE1892-AE1891)</x:f>
        <x:v>0</x:v>
      </x:c>
      <x:c r="AG1892" s="9" t="str">
        <x:f>IF(AF1892&gt;0,B1892,"")</x:f>
      </x:c>
      <x:c r="AH1892" s="9" t="n">
        <x:f>IF(F1892&gt;=1,1,(1+v01_LowTiesShare*(AE1892-1))/AE1892)</x:f>
        <x:v>1</x:v>
      </x:c>
      <x:c r="AI1892" s="32" t="n">
        <x:f>(Z1892+v01_ElderCommons*INDEX(LM_Elder,G1892)*AA1892)*AH1892</x:f>
        <x:v>64139.732591141874</x:v>
      </x:c>
      <x:c r="AJ1892" s="32" t="n">
        <x:f>H1892*v01_CommonsCoef*AI1892^v01_CommonsExp*INDEX(LM_Commons,G1892)</x:f>
        <x:v>0</x:v>
      </x:c>
      <x:c r="AK1892" s="32" t="n">
        <x:f>H1892*v01_RoleScale*Arch_Roles*(AE1892*(INDEX(v01_ElderRolePerSett,G1892)*v01_OutElder*INDEX(LM_Elder,G1892)+INDEX(v01_ShamanPerSett,G1892)*v01_OutShaman)+Z1892*(INDEX(v01_PriestShare,G1892)*v01_OutPriest+INDEX(v01_ScribeShare,G1892)*v01_OutScribe*INDEX(LM_Scribe,G1892)+INDEX(v01_ScholarShare,G1892)*v01_OutScholar*INDEX(LM_Scholar,G1892)+INDEX(v01_ResearcherShare,G1892)*v01_OutResearcher*INDEX(LM_Researcher,G1892)))</x:f>
        <x:v>0</x:v>
      </x:c>
      <x:c r="AL1892" s="32" t="n">
        <x:f>H1892*v01_RoleScale*Arch_Roles*AE1892*INDEX(v01_MonasteryPerSett,G1892)*v01_OutMonastery*INDEX(LM_Monastery,G1892)</x:f>
        <x:v>0</x:v>
      </x:c>
      <x:c r="AM1892" s="32" t="n">
        <x:f>(AJ1892+AK1892+AL1892)/4*INDEX(LM_All,G1892)*INDEX(v01_Boon,G1892)*Arch_Insight</x:f>
        <x:v>0</x:v>
      </x:c>
      <x:c r="AN1892" s="32" t="n">
        <x:f>H1892*(v01_KHPerAdult*Z1892+v01_KHOfCommons*AJ1892/4*INDEX(LM_All,G1892))*v01_KHUsable*Arch_KH</x:f>
        <x:v>0</x:v>
      </x:c>
      <x:c r="AO1892" s="32" t="n">
        <x:f>MIN(AP1891+AN1892,AM1892*v01_KHMaxRatio)</x:f>
        <x:v>0</x:v>
      </x:c>
      <x:c r="AP1892" s="32" t="n">
        <x:f>AP1891+AN1892-AO1892</x:f>
        <x:v>0</x:v>
      </x:c>
      <x:c r="AQ1892" s="32" t="n">
        <x:f>AM1892+AO1892</x:f>
        <x:v>0</x:v>
      </x:c>
      <x:c r="AR1892" s="10" t="n">
        <x:f>IF(H1892=1,INDEX(v01_Req,G1892),0)</x:f>
        <x:v>0</x:v>
      </x:c>
      <x:c r="AS1892" s="32" t="n">
        <x:f>IF(H1892=1,IF(E1892=1,AS1891-AR1891,AS1891)+AQ1892,0)</x:f>
        <x:v>0</x:v>
      </x:c>
      <x:c r="AT1892" s="11" t="n">
        <x:f>IF(AR1892&gt;0,MIN(1,AS1892/AR1892),1)</x:f>
        <x:v>1</x:v>
      </x:c>
      <x:c r="AU1892" s="10" t="n">
        <x:f>AB1892/INDEX(v01_RepScale,G1892)</x:f>
        <x:v>90.09519605746344</x:v>
      </x:c>
      <x:c r="AV1892" s="32" t="n">
        <x:f>AM1892*60/v01_SeasonSeconds</x:f>
        <x:v>0</x:v>
      </x:c>
    </x:row>
    <x:row r="1893">
      <x:c r="A1893" s="8" t="n">
        <x:f>A1892+1</x:f>
        <x:v>1890</x:v>
      </x:c>
      <x:c r="B1893" s="9" t="n">
        <x:f>A1893*v01_SeasonSeconds/60</x:f>
        <x:v>472.5</x:v>
      </x:c>
      <x:c r="C1893" s="9" t="n">
        <x:f>A1893/4</x:f>
        <x:v>472.5</x:v>
      </x:c>
      <x:c r="D1893" s="8" t="n">
        <x:f>IF(MOD(A1893,4)=0,1,0)</x:f>
        <x:v>0</x:v>
      </x:c>
      <x:c r="E1893" s="8" t="n">
        <x:f>IF(AND(F1892&lt;=9,AS1892&gt;=AR1892),1,0)</x:f>
        <x:v>0</x:v>
      </x:c>
      <x:c r="F1893" s="8" t="n">
        <x:f>MIN(10,F1892+E1893)</x:f>
        <x:v>10</x:v>
      </x:c>
      <x:c r="G1893" s="8" t="n">
        <x:f>MIN(F1893,9)+1</x:f>
        <x:v>10</x:v>
      </x:c>
      <x:c r="H1893" s="8" t="n">
        <x:f>IF(F1893&lt;=9,1,0)</x:f>
        <x:v>0</x:v>
      </x:c>
      <x:c r="I1893" s="9" t="n">
        <x:f>MIN(10,F1892+IF(AR1892&gt;0,MIN(1,AS1892/AR1892),1))</x:f>
        <x:v>10</x:v>
      </x:c>
      <x:c r="J1893" s="32" t="n">
        <x:f>INDEX(v01_FoodCap,G1893)*Arch_FoodCap*EXP(v01_CapsByProject*SUMPRODUCT((Cap_Point&lt;=I1893)*(Cap_Kind="Food")*Cap_Ln))</x:f>
        <x:v>12000</x:v>
      </x:c>
      <x:c r="K1893" s="32" t="n">
        <x:f>J1893*MIN(1,v01_LeanBase*EXP(v01_CapsByProject*SUMPRODUCT((Cap_Point&lt;=I1893)*(Cap_Kind="Lean")*Cap_Ln)))</x:f>
        <x:v>12000</x:v>
      </x:c>
      <x:c r="L1893" s="10" t="n">
        <x:f>INDEX(v01_HousingCap,G1893)*EXP(v01_CapsByProject*SUMPRODUCT((Cap_Point&lt;=I1893)*(Cap_Kind="Housing")*Cap_Ln))</x:f>
        <x:v>20000</x:v>
      </x:c>
      <x:c r="M1893" s="10" t="n">
        <x:f>INDEX(v01_GroupCap,G1893)*v01_CohesionFactor*EXP(v01_CapsByProject*SUMPRODUCT((Cap_Point&lt;=I1893)*(Cap_Kind="Group")*Cap_Ln))</x:f>
        <x:v>1000000</x:v>
      </x:c>
      <x:c r="N1893" s="32" t="n">
        <x:f>MIN(J1893,L1893,M1893)</x:f>
        <x:v>12000</x:v>
      </x:c>
      <x:c r="O1893" s="10" t="n">
        <x:f>AE1892*N1893</x:f>
        <x:v>180000</x:v>
      </x:c>
      <x:c r="P1893" s="9" t="n">
        <x:f>MIN(1,(AB1892/(AE1892*IF(v01_GroupInCrowding=1,N1893,MIN(J1893,L1893))))^v01_CrowdingExp)</x:f>
        <x:v>0.00024569414295285325</x:v>
      </x:c>
      <x:c r="Q1893" s="9" t="n">
        <x:f>IF(D1893=1,INDEX(v01_WinterMult,G1893),1)</x:f>
        <x:v>1</x:v>
      </x:c>
      <x:c r="R1893" s="9" t="n">
        <x:f>H1893*Z1892*v01_WomenShare*v01_BaseFertility*INDEX(v01_FertMult,G1893)*Arch_Fertility*(1-P1893)</x:f>
        <x:v>0</x:v>
      </x:c>
      <x:c r="S1893" s="9" t="n">
        <x:f>H1893*Y1892*INDEX(v01_MortChild,G1893)/4*Q1893</x:f>
        <x:v>0</x:v>
      </x:c>
      <x:c r="T1893" s="9" t="n">
        <x:f>H1893*Z1892*INDEX(v01_MortAdult,G1893)*Arch_AdultMort/4*Q1893</x:f>
        <x:v>0</x:v>
      </x:c>
      <x:c r="U1893" s="9" t="n">
        <x:f>H1893*AA1892*INDEX(v01_MortElder,G1893)/4*Q1893</x:f>
        <x:v>0</x:v>
      </x:c>
      <x:c r="V1893" s="9" t="n">
        <x:f>H1893*MAX(0,AB1892-O1893)*v01_OvercapLoss</x:f>
        <x:v>0</x:v>
      </x:c>
      <x:c r="W1893" s="9" t="n">
        <x:f>H1893*Y1892/(v01_ChildYears*4)</x:f>
        <x:v>0</x:v>
      </x:c>
      <x:c r="X1893" s="9" t="n">
        <x:f>H1893*Z1892/(v01_AdultYears*4)</x:f>
        <x:v>0</x:v>
      </x:c>
      <x:c r="Y1893" s="32" t="n">
        <x:f>Y1892+R1893-S1893-W1893-Y1892*V1893/AB1892</x:f>
        <x:v>14306.18539759397</x:v>
      </x:c>
      <x:c r="Z1893" s="32" t="n">
        <x:f>Z1892+W1893-X1893-T1893-Z1892*V1893/AB1892</x:f>
        <x:v>19354.456567879548</x:v>
      </x:c>
      <x:c r="AA1893" s="32" t="n">
        <x:f>AA1892+X1893-U1893-AA1892*V1893/AB1892</x:f>
        <x:v>11386.956063258198</x:v>
      </x:c>
      <x:c r="AB1893" s="10" t="n">
        <x:f>Y1893+Z1893+AA1893</x:f>
        <x:v>45047.59802873172</x:v>
      </x:c>
      <x:c r="AC1893" s="8" t="n">
        <x:f>IF(AND(v01_WinterTrigger=1,D1893=1,AB1892/AE1892&gt;=K1893),1,0)</x:f>
        <x:v>0</x:v>
      </x:c>
      <x:c r="AD1893" s="8" t="n">
        <x:f>H1893*IF(AND(OR(AB1892/AE1892&gt;=v01_FissionTrigger*N1893,AC1893=1),AB1892/AE1892*v01_DaughterShare&gt;=v01_MinDaughter),MAX(1,ROUND(AE1892*v01_FissionRate,0)),0)</x:f>
        <x:v>0</x:v>
      </x:c>
      <x:c r="AE1893" s="8" t="n">
        <x:f>IF(H1893=1,MAX(1,MIN(INDEX(v01_Smax,G1893),AE1892+AD1893)),AE1892)</x:f>
        <x:v>15</x:v>
      </x:c>
      <x:c r="AF1893" s="8" t="n">
        <x:f>MAX(0,AE1893-AE1892)</x:f>
        <x:v>0</x:v>
      </x:c>
      <x:c r="AG1893" s="9" t="str">
        <x:f>IF(AF1893&gt;0,B1893,"")</x:f>
      </x:c>
      <x:c r="AH1893" s="9" t="n">
        <x:f>IF(F1893&gt;=1,1,(1+v01_LowTiesShare*(AE1893-1))/AE1893)</x:f>
        <x:v>1</x:v>
      </x:c>
      <x:c r="AI1893" s="32" t="n">
        <x:f>(Z1893+v01_ElderCommons*INDEX(LM_Elder,G1893)*AA1893)*AH1893</x:f>
        <x:v>64139.732591141874</x:v>
      </x:c>
      <x:c r="AJ1893" s="32" t="n">
        <x:f>H1893*v01_CommonsCoef*AI1893^v01_CommonsExp*INDEX(LM_Commons,G1893)</x:f>
        <x:v>0</x:v>
      </x:c>
      <x:c r="AK1893" s="32" t="n">
        <x:f>H1893*v01_RoleScale*Arch_Roles*(AE1893*(INDEX(v01_ElderRolePerSett,G1893)*v01_OutElder*INDEX(LM_Elder,G1893)+INDEX(v01_ShamanPerSett,G1893)*v01_OutShaman)+Z1893*(INDEX(v01_PriestShare,G1893)*v01_OutPriest+INDEX(v01_ScribeShare,G1893)*v01_OutScribe*INDEX(LM_Scribe,G1893)+INDEX(v01_ScholarShare,G1893)*v01_OutScholar*INDEX(LM_Scholar,G1893)+INDEX(v01_ResearcherShare,G1893)*v01_OutResearcher*INDEX(LM_Researcher,G1893)))</x:f>
        <x:v>0</x:v>
      </x:c>
      <x:c r="AL1893" s="32" t="n">
        <x:f>H1893*v01_RoleScale*Arch_Roles*AE1893*INDEX(v01_MonasteryPerSett,G1893)*v01_OutMonastery*INDEX(LM_Monastery,G1893)</x:f>
        <x:v>0</x:v>
      </x:c>
      <x:c r="AM1893" s="32" t="n">
        <x:f>(AJ1893+AK1893+AL1893)/4*INDEX(LM_All,G1893)*INDEX(v01_Boon,G1893)*Arch_Insight</x:f>
        <x:v>0</x:v>
      </x:c>
      <x:c r="AN1893" s="32" t="n">
        <x:f>H1893*(v01_KHPerAdult*Z1893+v01_KHOfCommons*AJ1893/4*INDEX(LM_All,G1893))*v01_KHUsable*Arch_KH</x:f>
        <x:v>0</x:v>
      </x:c>
      <x:c r="AO1893" s="32" t="n">
        <x:f>MIN(AP1892+AN1893,AM1893*v01_KHMaxRatio)</x:f>
        <x:v>0</x:v>
      </x:c>
      <x:c r="AP1893" s="32" t="n">
        <x:f>AP1892+AN1893-AO1893</x:f>
        <x:v>0</x:v>
      </x:c>
      <x:c r="AQ1893" s="32" t="n">
        <x:f>AM1893+AO1893</x:f>
        <x:v>0</x:v>
      </x:c>
      <x:c r="AR1893" s="10" t="n">
        <x:f>IF(H1893=1,INDEX(v01_Req,G1893),0)</x:f>
        <x:v>0</x:v>
      </x:c>
      <x:c r="AS1893" s="32" t="n">
        <x:f>IF(H1893=1,IF(E1893=1,AS1892-AR1892,AS1892)+AQ1893,0)</x:f>
        <x:v>0</x:v>
      </x:c>
      <x:c r="AT1893" s="11" t="n">
        <x:f>IF(AR1893&gt;0,MIN(1,AS1893/AR1893),1)</x:f>
        <x:v>1</x:v>
      </x:c>
      <x:c r="AU1893" s="10" t="n">
        <x:f>AB1893/INDEX(v01_RepScale,G1893)</x:f>
        <x:v>90.09519605746344</x:v>
      </x:c>
      <x:c r="AV1893" s="32" t="n">
        <x:f>AM1893*60/v01_SeasonSeconds</x:f>
        <x:v>0</x:v>
      </x:c>
    </x:row>
    <x:row r="1894">
      <x:c r="A1894" s="8" t="n">
        <x:f>A1893+1</x:f>
        <x:v>1891</x:v>
      </x:c>
      <x:c r="B1894" s="9" t="n">
        <x:f>A1894*v01_SeasonSeconds/60</x:f>
        <x:v>472.75</x:v>
      </x:c>
      <x:c r="C1894" s="9" t="n">
        <x:f>A1894/4</x:f>
        <x:v>472.75</x:v>
      </x:c>
      <x:c r="D1894" s="8" t="n">
        <x:f>IF(MOD(A1894,4)=0,1,0)</x:f>
        <x:v>0</x:v>
      </x:c>
      <x:c r="E1894" s="8" t="n">
        <x:f>IF(AND(F1893&lt;=9,AS1893&gt;=AR1893),1,0)</x:f>
        <x:v>0</x:v>
      </x:c>
      <x:c r="F1894" s="8" t="n">
        <x:f>MIN(10,F1893+E1894)</x:f>
        <x:v>10</x:v>
      </x:c>
      <x:c r="G1894" s="8" t="n">
        <x:f>MIN(F1894,9)+1</x:f>
        <x:v>10</x:v>
      </x:c>
      <x:c r="H1894" s="8" t="n">
        <x:f>IF(F1894&lt;=9,1,0)</x:f>
        <x:v>0</x:v>
      </x:c>
      <x:c r="I1894" s="9" t="n">
        <x:f>MIN(10,F1893+IF(AR1893&gt;0,MIN(1,AS1893/AR1893),1))</x:f>
        <x:v>10</x:v>
      </x:c>
      <x:c r="J1894" s="32" t="n">
        <x:f>INDEX(v01_FoodCap,G1894)*Arch_FoodCap*EXP(v01_CapsByProject*SUMPRODUCT((Cap_Point&lt;=I1894)*(Cap_Kind="Food")*Cap_Ln))</x:f>
        <x:v>12000</x:v>
      </x:c>
      <x:c r="K1894" s="32" t="n">
        <x:f>J1894*MIN(1,v01_LeanBase*EXP(v01_CapsByProject*SUMPRODUCT((Cap_Point&lt;=I1894)*(Cap_Kind="Lean")*Cap_Ln)))</x:f>
        <x:v>12000</x:v>
      </x:c>
      <x:c r="L1894" s="10" t="n">
        <x:f>INDEX(v01_HousingCap,G1894)*EXP(v01_CapsByProject*SUMPRODUCT((Cap_Point&lt;=I1894)*(Cap_Kind="Housing")*Cap_Ln))</x:f>
        <x:v>20000</x:v>
      </x:c>
      <x:c r="M1894" s="10" t="n">
        <x:f>INDEX(v01_GroupCap,G1894)*v01_CohesionFactor*EXP(v01_CapsByProject*SUMPRODUCT((Cap_Point&lt;=I1894)*(Cap_Kind="Group")*Cap_Ln))</x:f>
        <x:v>1000000</x:v>
      </x:c>
      <x:c r="N1894" s="32" t="n">
        <x:f>MIN(J1894,L1894,M1894)</x:f>
        <x:v>12000</x:v>
      </x:c>
      <x:c r="O1894" s="10" t="n">
        <x:f>AE1893*N1894</x:f>
        <x:v>180000</x:v>
      </x:c>
      <x:c r="P1894" s="9" t="n">
        <x:f>MIN(1,(AB1893/(AE1893*IF(v01_GroupInCrowding=1,N1894,MIN(J1894,L1894))))^v01_CrowdingExp)</x:f>
        <x:v>0.00024569414295285325</x:v>
      </x:c>
      <x:c r="Q1894" s="9" t="n">
        <x:f>IF(D1894=1,INDEX(v01_WinterMult,G1894),1)</x:f>
        <x:v>1</x:v>
      </x:c>
      <x:c r="R1894" s="9" t="n">
        <x:f>H1894*Z1893*v01_WomenShare*v01_BaseFertility*INDEX(v01_FertMult,G1894)*Arch_Fertility*(1-P1894)</x:f>
        <x:v>0</x:v>
      </x:c>
      <x:c r="S1894" s="9" t="n">
        <x:f>H1894*Y1893*INDEX(v01_MortChild,G1894)/4*Q1894</x:f>
        <x:v>0</x:v>
      </x:c>
      <x:c r="T1894" s="9" t="n">
        <x:f>H1894*Z1893*INDEX(v01_MortAdult,G1894)*Arch_AdultMort/4*Q1894</x:f>
        <x:v>0</x:v>
      </x:c>
      <x:c r="U1894" s="9" t="n">
        <x:f>H1894*AA1893*INDEX(v01_MortElder,G1894)/4*Q1894</x:f>
        <x:v>0</x:v>
      </x:c>
      <x:c r="V1894" s="9" t="n">
        <x:f>H1894*MAX(0,AB1893-O1894)*v01_OvercapLoss</x:f>
        <x:v>0</x:v>
      </x:c>
      <x:c r="W1894" s="9" t="n">
        <x:f>H1894*Y1893/(v01_ChildYears*4)</x:f>
        <x:v>0</x:v>
      </x:c>
      <x:c r="X1894" s="9" t="n">
        <x:f>H1894*Z1893/(v01_AdultYears*4)</x:f>
        <x:v>0</x:v>
      </x:c>
      <x:c r="Y1894" s="32" t="n">
        <x:f>Y1893+R1894-S1894-W1894-Y1893*V1894/AB1893</x:f>
        <x:v>14306.18539759397</x:v>
      </x:c>
      <x:c r="Z1894" s="32" t="n">
        <x:f>Z1893+W1894-X1894-T1894-Z1893*V1894/AB1893</x:f>
        <x:v>19354.456567879548</x:v>
      </x:c>
      <x:c r="AA1894" s="32" t="n">
        <x:f>AA1893+X1894-U1894-AA1893*V1894/AB1893</x:f>
        <x:v>11386.956063258198</x:v>
      </x:c>
      <x:c r="AB1894" s="10" t="n">
        <x:f>Y1894+Z1894+AA1894</x:f>
        <x:v>45047.59802873172</x:v>
      </x:c>
      <x:c r="AC1894" s="8" t="n">
        <x:f>IF(AND(v01_WinterTrigger=1,D1894=1,AB1893/AE1893&gt;=K1894),1,0)</x:f>
        <x:v>0</x:v>
      </x:c>
      <x:c r="AD1894" s="8" t="n">
        <x:f>H1894*IF(AND(OR(AB1893/AE1893&gt;=v01_FissionTrigger*N1894,AC1894=1),AB1893/AE1893*v01_DaughterShare&gt;=v01_MinDaughter),MAX(1,ROUND(AE1893*v01_FissionRate,0)),0)</x:f>
        <x:v>0</x:v>
      </x:c>
      <x:c r="AE1894" s="8" t="n">
        <x:f>IF(H1894=1,MAX(1,MIN(INDEX(v01_Smax,G1894),AE1893+AD1894)),AE1893)</x:f>
        <x:v>15</x:v>
      </x:c>
      <x:c r="AF1894" s="8" t="n">
        <x:f>MAX(0,AE1894-AE1893)</x:f>
        <x:v>0</x:v>
      </x:c>
      <x:c r="AG1894" s="9" t="str">
        <x:f>IF(AF1894&gt;0,B1894,"")</x:f>
      </x:c>
      <x:c r="AH1894" s="9" t="n">
        <x:f>IF(F1894&gt;=1,1,(1+v01_LowTiesShare*(AE1894-1))/AE1894)</x:f>
        <x:v>1</x:v>
      </x:c>
      <x:c r="AI1894" s="32" t="n">
        <x:f>(Z1894+v01_ElderCommons*INDEX(LM_Elder,G1894)*AA1894)*AH1894</x:f>
        <x:v>64139.732591141874</x:v>
      </x:c>
      <x:c r="AJ1894" s="32" t="n">
        <x:f>H1894*v01_CommonsCoef*AI1894^v01_CommonsExp*INDEX(LM_Commons,G1894)</x:f>
        <x:v>0</x:v>
      </x:c>
      <x:c r="AK1894" s="32" t="n">
        <x:f>H1894*v01_RoleScale*Arch_Roles*(AE1894*(INDEX(v01_ElderRolePerSett,G1894)*v01_OutElder*INDEX(LM_Elder,G1894)+INDEX(v01_ShamanPerSett,G1894)*v01_OutShaman)+Z1894*(INDEX(v01_PriestShare,G1894)*v01_OutPriest+INDEX(v01_ScribeShare,G1894)*v01_OutScribe*INDEX(LM_Scribe,G1894)+INDEX(v01_ScholarShare,G1894)*v01_OutScholar*INDEX(LM_Scholar,G1894)+INDEX(v01_ResearcherShare,G1894)*v01_OutResearcher*INDEX(LM_Researcher,G1894)))</x:f>
        <x:v>0</x:v>
      </x:c>
      <x:c r="AL1894" s="32" t="n">
        <x:f>H1894*v01_RoleScale*Arch_Roles*AE1894*INDEX(v01_MonasteryPerSett,G1894)*v01_OutMonastery*INDEX(LM_Monastery,G1894)</x:f>
        <x:v>0</x:v>
      </x:c>
      <x:c r="AM1894" s="32" t="n">
        <x:f>(AJ1894+AK1894+AL1894)/4*INDEX(LM_All,G1894)*INDEX(v01_Boon,G1894)*Arch_Insight</x:f>
        <x:v>0</x:v>
      </x:c>
      <x:c r="AN1894" s="32" t="n">
        <x:f>H1894*(v01_KHPerAdult*Z1894+v01_KHOfCommons*AJ1894/4*INDEX(LM_All,G1894))*v01_KHUsable*Arch_KH</x:f>
        <x:v>0</x:v>
      </x:c>
      <x:c r="AO1894" s="32" t="n">
        <x:f>MIN(AP1893+AN1894,AM1894*v01_KHMaxRatio)</x:f>
        <x:v>0</x:v>
      </x:c>
      <x:c r="AP1894" s="32" t="n">
        <x:f>AP1893+AN1894-AO1894</x:f>
        <x:v>0</x:v>
      </x:c>
      <x:c r="AQ1894" s="32" t="n">
        <x:f>AM1894+AO1894</x:f>
        <x:v>0</x:v>
      </x:c>
      <x:c r="AR1894" s="10" t="n">
        <x:f>IF(H1894=1,INDEX(v01_Req,G1894),0)</x:f>
        <x:v>0</x:v>
      </x:c>
      <x:c r="AS1894" s="32" t="n">
        <x:f>IF(H1894=1,IF(E1894=1,AS1893-AR1893,AS1893)+AQ1894,0)</x:f>
        <x:v>0</x:v>
      </x:c>
      <x:c r="AT1894" s="11" t="n">
        <x:f>IF(AR1894&gt;0,MIN(1,AS1894/AR1894),1)</x:f>
        <x:v>1</x:v>
      </x:c>
      <x:c r="AU1894" s="10" t="n">
        <x:f>AB1894/INDEX(v01_RepScale,G1894)</x:f>
        <x:v>90.09519605746344</x:v>
      </x:c>
      <x:c r="AV1894" s="32" t="n">
        <x:f>AM1894*60/v01_SeasonSeconds</x:f>
        <x:v>0</x:v>
      </x:c>
    </x:row>
    <x:row r="1895">
      <x:c r="A1895" s="8" t="n">
        <x:f>A1894+1</x:f>
        <x:v>1892</x:v>
      </x:c>
      <x:c r="B1895" s="9" t="n">
        <x:f>A1895*v01_SeasonSeconds/60</x:f>
        <x:v>473</x:v>
      </x:c>
      <x:c r="C1895" s="9" t="n">
        <x:f>A1895/4</x:f>
        <x:v>473</x:v>
      </x:c>
      <x:c r="D1895" s="8" t="n">
        <x:f>IF(MOD(A1895,4)=0,1,0)</x:f>
        <x:v>1</x:v>
      </x:c>
      <x:c r="E1895" s="8" t="n">
        <x:f>IF(AND(F1894&lt;=9,AS1894&gt;=AR1894),1,0)</x:f>
        <x:v>0</x:v>
      </x:c>
      <x:c r="F1895" s="8" t="n">
        <x:f>MIN(10,F1894+E1895)</x:f>
        <x:v>10</x:v>
      </x:c>
      <x:c r="G1895" s="8" t="n">
        <x:f>MIN(F1895,9)+1</x:f>
        <x:v>10</x:v>
      </x:c>
      <x:c r="H1895" s="8" t="n">
        <x:f>IF(F1895&lt;=9,1,0)</x:f>
        <x:v>0</x:v>
      </x:c>
      <x:c r="I1895" s="9" t="n">
        <x:f>MIN(10,F1894+IF(AR1894&gt;0,MIN(1,AS1894/AR1894),1))</x:f>
        <x:v>10</x:v>
      </x:c>
      <x:c r="J1895" s="32" t="n">
        <x:f>INDEX(v01_FoodCap,G1895)*Arch_FoodCap*EXP(v01_CapsByProject*SUMPRODUCT((Cap_Point&lt;=I1895)*(Cap_Kind="Food")*Cap_Ln))</x:f>
        <x:v>12000</x:v>
      </x:c>
      <x:c r="K1895" s="32" t="n">
        <x:f>J1895*MIN(1,v01_LeanBase*EXP(v01_CapsByProject*SUMPRODUCT((Cap_Point&lt;=I1895)*(Cap_Kind="Lean")*Cap_Ln)))</x:f>
        <x:v>12000</x:v>
      </x:c>
      <x:c r="L1895" s="10" t="n">
        <x:f>INDEX(v01_HousingCap,G1895)*EXP(v01_CapsByProject*SUMPRODUCT((Cap_Point&lt;=I1895)*(Cap_Kind="Housing")*Cap_Ln))</x:f>
        <x:v>20000</x:v>
      </x:c>
      <x:c r="M1895" s="10" t="n">
        <x:f>INDEX(v01_GroupCap,G1895)*v01_CohesionFactor*EXP(v01_CapsByProject*SUMPRODUCT((Cap_Point&lt;=I1895)*(Cap_Kind="Group")*Cap_Ln))</x:f>
        <x:v>1000000</x:v>
      </x:c>
      <x:c r="N1895" s="32" t="n">
        <x:f>MIN(J1895,L1895,M1895)</x:f>
        <x:v>12000</x:v>
      </x:c>
      <x:c r="O1895" s="10" t="n">
        <x:f>AE1894*N1895</x:f>
        <x:v>180000</x:v>
      </x:c>
      <x:c r="P1895" s="9" t="n">
        <x:f>MIN(1,(AB1894/(AE1894*IF(v01_GroupInCrowding=1,N1895,MIN(J1895,L1895))))^v01_CrowdingExp)</x:f>
        <x:v>0.00024569414295285325</x:v>
      </x:c>
      <x:c r="Q1895" s="9" t="n">
        <x:f>IF(D1895=1,INDEX(v01_WinterMult,G1895),1)</x:f>
        <x:v>1</x:v>
      </x:c>
      <x:c r="R1895" s="9" t="n">
        <x:f>H1895*Z1894*v01_WomenShare*v01_BaseFertility*INDEX(v01_FertMult,G1895)*Arch_Fertility*(1-P1895)</x:f>
        <x:v>0</x:v>
      </x:c>
      <x:c r="S1895" s="9" t="n">
        <x:f>H1895*Y1894*INDEX(v01_MortChild,G1895)/4*Q1895</x:f>
        <x:v>0</x:v>
      </x:c>
      <x:c r="T1895" s="9" t="n">
        <x:f>H1895*Z1894*INDEX(v01_MortAdult,G1895)*Arch_AdultMort/4*Q1895</x:f>
        <x:v>0</x:v>
      </x:c>
      <x:c r="U1895" s="9" t="n">
        <x:f>H1895*AA1894*INDEX(v01_MortElder,G1895)/4*Q1895</x:f>
        <x:v>0</x:v>
      </x:c>
      <x:c r="V1895" s="9" t="n">
        <x:f>H1895*MAX(0,AB1894-O1895)*v01_OvercapLoss</x:f>
        <x:v>0</x:v>
      </x:c>
      <x:c r="W1895" s="9" t="n">
        <x:f>H1895*Y1894/(v01_ChildYears*4)</x:f>
        <x:v>0</x:v>
      </x:c>
      <x:c r="X1895" s="9" t="n">
        <x:f>H1895*Z1894/(v01_AdultYears*4)</x:f>
        <x:v>0</x:v>
      </x:c>
      <x:c r="Y1895" s="32" t="n">
        <x:f>Y1894+R1895-S1895-W1895-Y1894*V1895/AB1894</x:f>
        <x:v>14306.18539759397</x:v>
      </x:c>
      <x:c r="Z1895" s="32" t="n">
        <x:f>Z1894+W1895-X1895-T1895-Z1894*V1895/AB1894</x:f>
        <x:v>19354.456567879548</x:v>
      </x:c>
      <x:c r="AA1895" s="32" t="n">
        <x:f>AA1894+X1895-U1895-AA1894*V1895/AB1894</x:f>
        <x:v>11386.956063258198</x:v>
      </x:c>
      <x:c r="AB1895" s="10" t="n">
        <x:f>Y1895+Z1895+AA1895</x:f>
        <x:v>45047.59802873172</x:v>
      </x:c>
      <x:c r="AC1895" s="8" t="n">
        <x:f>IF(AND(v01_WinterTrigger=1,D1895=1,AB1894/AE1894&gt;=K1895),1,0)</x:f>
        <x:v>0</x:v>
      </x:c>
      <x:c r="AD1895" s="8" t="n">
        <x:f>H1895*IF(AND(OR(AB1894/AE1894&gt;=v01_FissionTrigger*N1895,AC1895=1),AB1894/AE1894*v01_DaughterShare&gt;=v01_MinDaughter),MAX(1,ROUND(AE1894*v01_FissionRate,0)),0)</x:f>
        <x:v>0</x:v>
      </x:c>
      <x:c r="AE1895" s="8" t="n">
        <x:f>IF(H1895=1,MAX(1,MIN(INDEX(v01_Smax,G1895),AE1894+AD1895)),AE1894)</x:f>
        <x:v>15</x:v>
      </x:c>
      <x:c r="AF1895" s="8" t="n">
        <x:f>MAX(0,AE1895-AE1894)</x:f>
        <x:v>0</x:v>
      </x:c>
      <x:c r="AG1895" s="9" t="str">
        <x:f>IF(AF1895&gt;0,B1895,"")</x:f>
      </x:c>
      <x:c r="AH1895" s="9" t="n">
        <x:f>IF(F1895&gt;=1,1,(1+v01_LowTiesShare*(AE1895-1))/AE1895)</x:f>
        <x:v>1</x:v>
      </x:c>
      <x:c r="AI1895" s="32" t="n">
        <x:f>(Z1895+v01_ElderCommons*INDEX(LM_Elder,G1895)*AA1895)*AH1895</x:f>
        <x:v>64139.732591141874</x:v>
      </x:c>
      <x:c r="AJ1895" s="32" t="n">
        <x:f>H1895*v01_CommonsCoef*AI1895^v01_CommonsExp*INDEX(LM_Commons,G1895)</x:f>
        <x:v>0</x:v>
      </x:c>
      <x:c r="AK1895" s="32" t="n">
        <x:f>H1895*v01_RoleScale*Arch_Roles*(AE1895*(INDEX(v01_ElderRolePerSett,G1895)*v01_OutElder*INDEX(LM_Elder,G1895)+INDEX(v01_ShamanPerSett,G1895)*v01_OutShaman)+Z1895*(INDEX(v01_PriestShare,G1895)*v01_OutPriest+INDEX(v01_ScribeShare,G1895)*v01_OutScribe*INDEX(LM_Scribe,G1895)+INDEX(v01_ScholarShare,G1895)*v01_OutScholar*INDEX(LM_Scholar,G1895)+INDEX(v01_ResearcherShare,G1895)*v01_OutResearcher*INDEX(LM_Researcher,G1895)))</x:f>
        <x:v>0</x:v>
      </x:c>
      <x:c r="AL1895" s="32" t="n">
        <x:f>H1895*v01_RoleScale*Arch_Roles*AE1895*INDEX(v01_MonasteryPerSett,G1895)*v01_OutMonastery*INDEX(LM_Monastery,G1895)</x:f>
        <x:v>0</x:v>
      </x:c>
      <x:c r="AM1895" s="32" t="n">
        <x:f>(AJ1895+AK1895+AL1895)/4*INDEX(LM_All,G1895)*INDEX(v01_Boon,G1895)*Arch_Insight</x:f>
        <x:v>0</x:v>
      </x:c>
      <x:c r="AN1895" s="32" t="n">
        <x:f>H1895*(v01_KHPerAdult*Z1895+v01_KHOfCommons*AJ1895/4*INDEX(LM_All,G1895))*v01_KHUsable*Arch_KH</x:f>
        <x:v>0</x:v>
      </x:c>
      <x:c r="AO1895" s="32" t="n">
        <x:f>MIN(AP1894+AN1895,AM1895*v01_KHMaxRatio)</x:f>
        <x:v>0</x:v>
      </x:c>
      <x:c r="AP1895" s="32" t="n">
        <x:f>AP1894+AN1895-AO1895</x:f>
        <x:v>0</x:v>
      </x:c>
      <x:c r="AQ1895" s="32" t="n">
        <x:f>AM1895+AO1895</x:f>
        <x:v>0</x:v>
      </x:c>
      <x:c r="AR1895" s="10" t="n">
        <x:f>IF(H1895=1,INDEX(v01_Req,G1895),0)</x:f>
        <x:v>0</x:v>
      </x:c>
      <x:c r="AS1895" s="32" t="n">
        <x:f>IF(H1895=1,IF(E1895=1,AS1894-AR1894,AS1894)+AQ1895,0)</x:f>
        <x:v>0</x:v>
      </x:c>
      <x:c r="AT1895" s="11" t="n">
        <x:f>IF(AR1895&gt;0,MIN(1,AS1895/AR1895),1)</x:f>
        <x:v>1</x:v>
      </x:c>
      <x:c r="AU1895" s="10" t="n">
        <x:f>AB1895/INDEX(v01_RepScale,G1895)</x:f>
        <x:v>90.09519605746344</x:v>
      </x:c>
      <x:c r="AV1895" s="32" t="n">
        <x:f>AM1895*60/v01_SeasonSeconds</x:f>
        <x:v>0</x:v>
      </x:c>
    </x:row>
    <x:row r="1896">
      <x:c r="A1896" s="8" t="n">
        <x:f>A1895+1</x:f>
        <x:v>1893</x:v>
      </x:c>
      <x:c r="B1896" s="9" t="n">
        <x:f>A1896*v01_SeasonSeconds/60</x:f>
        <x:v>473.25</x:v>
      </x:c>
      <x:c r="C1896" s="9" t="n">
        <x:f>A1896/4</x:f>
        <x:v>473.25</x:v>
      </x:c>
      <x:c r="D1896" s="8" t="n">
        <x:f>IF(MOD(A1896,4)=0,1,0)</x:f>
        <x:v>0</x:v>
      </x:c>
      <x:c r="E1896" s="8" t="n">
        <x:f>IF(AND(F1895&lt;=9,AS1895&gt;=AR1895),1,0)</x:f>
        <x:v>0</x:v>
      </x:c>
      <x:c r="F1896" s="8" t="n">
        <x:f>MIN(10,F1895+E1896)</x:f>
        <x:v>10</x:v>
      </x:c>
      <x:c r="G1896" s="8" t="n">
        <x:f>MIN(F1896,9)+1</x:f>
        <x:v>10</x:v>
      </x:c>
      <x:c r="H1896" s="8" t="n">
        <x:f>IF(F1896&lt;=9,1,0)</x:f>
        <x:v>0</x:v>
      </x:c>
      <x:c r="I1896" s="9" t="n">
        <x:f>MIN(10,F1895+IF(AR1895&gt;0,MIN(1,AS1895/AR1895),1))</x:f>
        <x:v>10</x:v>
      </x:c>
      <x:c r="J1896" s="32" t="n">
        <x:f>INDEX(v01_FoodCap,G1896)*Arch_FoodCap*EXP(v01_CapsByProject*SUMPRODUCT((Cap_Point&lt;=I1896)*(Cap_Kind="Food")*Cap_Ln))</x:f>
        <x:v>12000</x:v>
      </x:c>
      <x:c r="K1896" s="32" t="n">
        <x:f>J1896*MIN(1,v01_LeanBase*EXP(v01_CapsByProject*SUMPRODUCT((Cap_Point&lt;=I1896)*(Cap_Kind="Lean")*Cap_Ln)))</x:f>
        <x:v>12000</x:v>
      </x:c>
      <x:c r="L1896" s="10" t="n">
        <x:f>INDEX(v01_HousingCap,G1896)*EXP(v01_CapsByProject*SUMPRODUCT((Cap_Point&lt;=I1896)*(Cap_Kind="Housing")*Cap_Ln))</x:f>
        <x:v>20000</x:v>
      </x:c>
      <x:c r="M1896" s="10" t="n">
        <x:f>INDEX(v01_GroupCap,G1896)*v01_CohesionFactor*EXP(v01_CapsByProject*SUMPRODUCT((Cap_Point&lt;=I1896)*(Cap_Kind="Group")*Cap_Ln))</x:f>
        <x:v>1000000</x:v>
      </x:c>
      <x:c r="N1896" s="32" t="n">
        <x:f>MIN(J1896,L1896,M1896)</x:f>
        <x:v>12000</x:v>
      </x:c>
      <x:c r="O1896" s="10" t="n">
        <x:f>AE1895*N1896</x:f>
        <x:v>180000</x:v>
      </x:c>
      <x:c r="P1896" s="9" t="n">
        <x:f>MIN(1,(AB1895/(AE1895*IF(v01_GroupInCrowding=1,N1896,MIN(J1896,L1896))))^v01_CrowdingExp)</x:f>
        <x:v>0.00024569414295285325</x:v>
      </x:c>
      <x:c r="Q1896" s="9" t="n">
        <x:f>IF(D1896=1,INDEX(v01_WinterMult,G1896),1)</x:f>
        <x:v>1</x:v>
      </x:c>
      <x:c r="R1896" s="9" t="n">
        <x:f>H1896*Z1895*v01_WomenShare*v01_BaseFertility*INDEX(v01_FertMult,G1896)*Arch_Fertility*(1-P1896)</x:f>
        <x:v>0</x:v>
      </x:c>
      <x:c r="S1896" s="9" t="n">
        <x:f>H1896*Y1895*INDEX(v01_MortChild,G1896)/4*Q1896</x:f>
        <x:v>0</x:v>
      </x:c>
      <x:c r="T1896" s="9" t="n">
        <x:f>H1896*Z1895*INDEX(v01_MortAdult,G1896)*Arch_AdultMort/4*Q1896</x:f>
        <x:v>0</x:v>
      </x:c>
      <x:c r="U1896" s="9" t="n">
        <x:f>H1896*AA1895*INDEX(v01_MortElder,G1896)/4*Q1896</x:f>
        <x:v>0</x:v>
      </x:c>
      <x:c r="V1896" s="9" t="n">
        <x:f>H1896*MAX(0,AB1895-O1896)*v01_OvercapLoss</x:f>
        <x:v>0</x:v>
      </x:c>
      <x:c r="W1896" s="9" t="n">
        <x:f>H1896*Y1895/(v01_ChildYears*4)</x:f>
        <x:v>0</x:v>
      </x:c>
      <x:c r="X1896" s="9" t="n">
        <x:f>H1896*Z1895/(v01_AdultYears*4)</x:f>
        <x:v>0</x:v>
      </x:c>
      <x:c r="Y1896" s="32" t="n">
        <x:f>Y1895+R1896-S1896-W1896-Y1895*V1896/AB1895</x:f>
        <x:v>14306.18539759397</x:v>
      </x:c>
      <x:c r="Z1896" s="32" t="n">
        <x:f>Z1895+W1896-X1896-T1896-Z1895*V1896/AB1895</x:f>
        <x:v>19354.456567879548</x:v>
      </x:c>
      <x:c r="AA1896" s="32" t="n">
        <x:f>AA1895+X1896-U1896-AA1895*V1896/AB1895</x:f>
        <x:v>11386.956063258198</x:v>
      </x:c>
      <x:c r="AB1896" s="10" t="n">
        <x:f>Y1896+Z1896+AA1896</x:f>
        <x:v>45047.59802873172</x:v>
      </x:c>
      <x:c r="AC1896" s="8" t="n">
        <x:f>IF(AND(v01_WinterTrigger=1,D1896=1,AB1895/AE1895&gt;=K1896),1,0)</x:f>
        <x:v>0</x:v>
      </x:c>
      <x:c r="AD1896" s="8" t="n">
        <x:f>H1896*IF(AND(OR(AB1895/AE1895&gt;=v01_FissionTrigger*N1896,AC1896=1),AB1895/AE1895*v01_DaughterShare&gt;=v01_MinDaughter),MAX(1,ROUND(AE1895*v01_FissionRate,0)),0)</x:f>
        <x:v>0</x:v>
      </x:c>
      <x:c r="AE1896" s="8" t="n">
        <x:f>IF(H1896=1,MAX(1,MIN(INDEX(v01_Smax,G1896),AE1895+AD1896)),AE1895)</x:f>
        <x:v>15</x:v>
      </x:c>
      <x:c r="AF1896" s="8" t="n">
        <x:f>MAX(0,AE1896-AE1895)</x:f>
        <x:v>0</x:v>
      </x:c>
      <x:c r="AG1896" s="9" t="str">
        <x:f>IF(AF1896&gt;0,B1896,"")</x:f>
      </x:c>
      <x:c r="AH1896" s="9" t="n">
        <x:f>IF(F1896&gt;=1,1,(1+v01_LowTiesShare*(AE1896-1))/AE1896)</x:f>
        <x:v>1</x:v>
      </x:c>
      <x:c r="AI1896" s="32" t="n">
        <x:f>(Z1896+v01_ElderCommons*INDEX(LM_Elder,G1896)*AA1896)*AH1896</x:f>
        <x:v>64139.732591141874</x:v>
      </x:c>
      <x:c r="AJ1896" s="32" t="n">
        <x:f>H1896*v01_CommonsCoef*AI1896^v01_CommonsExp*INDEX(LM_Commons,G1896)</x:f>
        <x:v>0</x:v>
      </x:c>
      <x:c r="AK1896" s="32" t="n">
        <x:f>H1896*v01_RoleScale*Arch_Roles*(AE1896*(INDEX(v01_ElderRolePerSett,G1896)*v01_OutElder*INDEX(LM_Elder,G1896)+INDEX(v01_ShamanPerSett,G1896)*v01_OutShaman)+Z1896*(INDEX(v01_PriestShare,G1896)*v01_OutPriest+INDEX(v01_ScribeShare,G1896)*v01_OutScribe*INDEX(LM_Scribe,G1896)+INDEX(v01_ScholarShare,G1896)*v01_OutScholar*INDEX(LM_Scholar,G1896)+INDEX(v01_ResearcherShare,G1896)*v01_OutResearcher*INDEX(LM_Researcher,G1896)))</x:f>
        <x:v>0</x:v>
      </x:c>
      <x:c r="AL1896" s="32" t="n">
        <x:f>H1896*v01_RoleScale*Arch_Roles*AE1896*INDEX(v01_MonasteryPerSett,G1896)*v01_OutMonastery*INDEX(LM_Monastery,G1896)</x:f>
        <x:v>0</x:v>
      </x:c>
      <x:c r="AM1896" s="32" t="n">
        <x:f>(AJ1896+AK1896+AL1896)/4*INDEX(LM_All,G1896)*INDEX(v01_Boon,G1896)*Arch_Insight</x:f>
        <x:v>0</x:v>
      </x:c>
      <x:c r="AN1896" s="32" t="n">
        <x:f>H1896*(v01_KHPerAdult*Z1896+v01_KHOfCommons*AJ1896/4*INDEX(LM_All,G1896))*v01_KHUsable*Arch_KH</x:f>
        <x:v>0</x:v>
      </x:c>
      <x:c r="AO1896" s="32" t="n">
        <x:f>MIN(AP1895+AN1896,AM1896*v01_KHMaxRatio)</x:f>
        <x:v>0</x:v>
      </x:c>
      <x:c r="AP1896" s="32" t="n">
        <x:f>AP1895+AN1896-AO1896</x:f>
        <x:v>0</x:v>
      </x:c>
      <x:c r="AQ1896" s="32" t="n">
        <x:f>AM1896+AO1896</x:f>
        <x:v>0</x:v>
      </x:c>
      <x:c r="AR1896" s="10" t="n">
        <x:f>IF(H1896=1,INDEX(v01_Req,G1896),0)</x:f>
        <x:v>0</x:v>
      </x:c>
      <x:c r="AS1896" s="32" t="n">
        <x:f>IF(H1896=1,IF(E1896=1,AS1895-AR1895,AS1895)+AQ1896,0)</x:f>
        <x:v>0</x:v>
      </x:c>
      <x:c r="AT1896" s="11" t="n">
        <x:f>IF(AR1896&gt;0,MIN(1,AS1896/AR1896),1)</x:f>
        <x:v>1</x:v>
      </x:c>
      <x:c r="AU1896" s="10" t="n">
        <x:f>AB1896/INDEX(v01_RepScale,G1896)</x:f>
        <x:v>90.09519605746344</x:v>
      </x:c>
      <x:c r="AV1896" s="32" t="n">
        <x:f>AM1896*60/v01_SeasonSeconds</x:f>
        <x:v>0</x:v>
      </x:c>
    </x:row>
    <x:row r="1897">
      <x:c r="A1897" s="8" t="n">
        <x:f>A1896+1</x:f>
        <x:v>1894</x:v>
      </x:c>
      <x:c r="B1897" s="9" t="n">
        <x:f>A1897*v01_SeasonSeconds/60</x:f>
        <x:v>473.5</x:v>
      </x:c>
      <x:c r="C1897" s="9" t="n">
        <x:f>A1897/4</x:f>
        <x:v>473.5</x:v>
      </x:c>
      <x:c r="D1897" s="8" t="n">
        <x:f>IF(MOD(A1897,4)=0,1,0)</x:f>
        <x:v>0</x:v>
      </x:c>
      <x:c r="E1897" s="8" t="n">
        <x:f>IF(AND(F1896&lt;=9,AS1896&gt;=AR1896),1,0)</x:f>
        <x:v>0</x:v>
      </x:c>
      <x:c r="F1897" s="8" t="n">
        <x:f>MIN(10,F1896+E1897)</x:f>
        <x:v>10</x:v>
      </x:c>
      <x:c r="G1897" s="8" t="n">
        <x:f>MIN(F1897,9)+1</x:f>
        <x:v>10</x:v>
      </x:c>
      <x:c r="H1897" s="8" t="n">
        <x:f>IF(F1897&lt;=9,1,0)</x:f>
        <x:v>0</x:v>
      </x:c>
      <x:c r="I1897" s="9" t="n">
        <x:f>MIN(10,F1896+IF(AR1896&gt;0,MIN(1,AS1896/AR1896),1))</x:f>
        <x:v>10</x:v>
      </x:c>
      <x:c r="J1897" s="32" t="n">
        <x:f>INDEX(v01_FoodCap,G1897)*Arch_FoodCap*EXP(v01_CapsByProject*SUMPRODUCT((Cap_Point&lt;=I1897)*(Cap_Kind="Food")*Cap_Ln))</x:f>
        <x:v>12000</x:v>
      </x:c>
      <x:c r="K1897" s="32" t="n">
        <x:f>J1897*MIN(1,v01_LeanBase*EXP(v01_CapsByProject*SUMPRODUCT((Cap_Point&lt;=I1897)*(Cap_Kind="Lean")*Cap_Ln)))</x:f>
        <x:v>12000</x:v>
      </x:c>
      <x:c r="L1897" s="10" t="n">
        <x:f>INDEX(v01_HousingCap,G1897)*EXP(v01_CapsByProject*SUMPRODUCT((Cap_Point&lt;=I1897)*(Cap_Kind="Housing")*Cap_Ln))</x:f>
        <x:v>20000</x:v>
      </x:c>
      <x:c r="M1897" s="10" t="n">
        <x:f>INDEX(v01_GroupCap,G1897)*v01_CohesionFactor*EXP(v01_CapsByProject*SUMPRODUCT((Cap_Point&lt;=I1897)*(Cap_Kind="Group")*Cap_Ln))</x:f>
        <x:v>1000000</x:v>
      </x:c>
      <x:c r="N1897" s="32" t="n">
        <x:f>MIN(J1897,L1897,M1897)</x:f>
        <x:v>12000</x:v>
      </x:c>
      <x:c r="O1897" s="10" t="n">
        <x:f>AE1896*N1897</x:f>
        <x:v>180000</x:v>
      </x:c>
      <x:c r="P1897" s="9" t="n">
        <x:f>MIN(1,(AB1896/(AE1896*IF(v01_GroupInCrowding=1,N1897,MIN(J1897,L1897))))^v01_CrowdingExp)</x:f>
        <x:v>0.00024569414295285325</x:v>
      </x:c>
      <x:c r="Q1897" s="9" t="n">
        <x:f>IF(D1897=1,INDEX(v01_WinterMult,G1897),1)</x:f>
        <x:v>1</x:v>
      </x:c>
      <x:c r="R1897" s="9" t="n">
        <x:f>H1897*Z1896*v01_WomenShare*v01_BaseFertility*INDEX(v01_FertMult,G1897)*Arch_Fertility*(1-P1897)</x:f>
        <x:v>0</x:v>
      </x:c>
      <x:c r="S1897" s="9" t="n">
        <x:f>H1897*Y1896*INDEX(v01_MortChild,G1897)/4*Q1897</x:f>
        <x:v>0</x:v>
      </x:c>
      <x:c r="T1897" s="9" t="n">
        <x:f>H1897*Z1896*INDEX(v01_MortAdult,G1897)*Arch_AdultMort/4*Q1897</x:f>
        <x:v>0</x:v>
      </x:c>
      <x:c r="U1897" s="9" t="n">
        <x:f>H1897*AA1896*INDEX(v01_MortElder,G1897)/4*Q1897</x:f>
        <x:v>0</x:v>
      </x:c>
      <x:c r="V1897" s="9" t="n">
        <x:f>H1897*MAX(0,AB1896-O1897)*v01_OvercapLoss</x:f>
        <x:v>0</x:v>
      </x:c>
      <x:c r="W1897" s="9" t="n">
        <x:f>H1897*Y1896/(v01_ChildYears*4)</x:f>
        <x:v>0</x:v>
      </x:c>
      <x:c r="X1897" s="9" t="n">
        <x:f>H1897*Z1896/(v01_AdultYears*4)</x:f>
        <x:v>0</x:v>
      </x:c>
      <x:c r="Y1897" s="32" t="n">
        <x:f>Y1896+R1897-S1897-W1897-Y1896*V1897/AB1896</x:f>
        <x:v>14306.18539759397</x:v>
      </x:c>
      <x:c r="Z1897" s="32" t="n">
        <x:f>Z1896+W1897-X1897-T1897-Z1896*V1897/AB1896</x:f>
        <x:v>19354.456567879548</x:v>
      </x:c>
      <x:c r="AA1897" s="32" t="n">
        <x:f>AA1896+X1897-U1897-AA1896*V1897/AB1896</x:f>
        <x:v>11386.956063258198</x:v>
      </x:c>
      <x:c r="AB1897" s="10" t="n">
        <x:f>Y1897+Z1897+AA1897</x:f>
        <x:v>45047.59802873172</x:v>
      </x:c>
      <x:c r="AC1897" s="8" t="n">
        <x:f>IF(AND(v01_WinterTrigger=1,D1897=1,AB1896/AE1896&gt;=K1897),1,0)</x:f>
        <x:v>0</x:v>
      </x:c>
      <x:c r="AD1897" s="8" t="n">
        <x:f>H1897*IF(AND(OR(AB1896/AE1896&gt;=v01_FissionTrigger*N1897,AC1897=1),AB1896/AE1896*v01_DaughterShare&gt;=v01_MinDaughter),MAX(1,ROUND(AE1896*v01_FissionRate,0)),0)</x:f>
        <x:v>0</x:v>
      </x:c>
      <x:c r="AE1897" s="8" t="n">
        <x:f>IF(H1897=1,MAX(1,MIN(INDEX(v01_Smax,G1897),AE1896+AD1897)),AE1896)</x:f>
        <x:v>15</x:v>
      </x:c>
      <x:c r="AF1897" s="8" t="n">
        <x:f>MAX(0,AE1897-AE1896)</x:f>
        <x:v>0</x:v>
      </x:c>
      <x:c r="AG1897" s="9" t="str">
        <x:f>IF(AF1897&gt;0,B1897,"")</x:f>
      </x:c>
      <x:c r="AH1897" s="9" t="n">
        <x:f>IF(F1897&gt;=1,1,(1+v01_LowTiesShare*(AE1897-1))/AE1897)</x:f>
        <x:v>1</x:v>
      </x:c>
      <x:c r="AI1897" s="32" t="n">
        <x:f>(Z1897+v01_ElderCommons*INDEX(LM_Elder,G1897)*AA1897)*AH1897</x:f>
        <x:v>64139.732591141874</x:v>
      </x:c>
      <x:c r="AJ1897" s="32" t="n">
        <x:f>H1897*v01_CommonsCoef*AI1897^v01_CommonsExp*INDEX(LM_Commons,G1897)</x:f>
        <x:v>0</x:v>
      </x:c>
      <x:c r="AK1897" s="32" t="n">
        <x:f>H1897*v01_RoleScale*Arch_Roles*(AE1897*(INDEX(v01_ElderRolePerSett,G1897)*v01_OutElder*INDEX(LM_Elder,G1897)+INDEX(v01_ShamanPerSett,G1897)*v01_OutShaman)+Z1897*(INDEX(v01_PriestShare,G1897)*v01_OutPriest+INDEX(v01_ScribeShare,G1897)*v01_OutScribe*INDEX(LM_Scribe,G1897)+INDEX(v01_ScholarShare,G1897)*v01_OutScholar*INDEX(LM_Scholar,G1897)+INDEX(v01_ResearcherShare,G1897)*v01_OutResearcher*INDEX(LM_Researcher,G1897)))</x:f>
        <x:v>0</x:v>
      </x:c>
      <x:c r="AL1897" s="32" t="n">
        <x:f>H1897*v01_RoleScale*Arch_Roles*AE1897*INDEX(v01_MonasteryPerSett,G1897)*v01_OutMonastery*INDEX(LM_Monastery,G1897)</x:f>
        <x:v>0</x:v>
      </x:c>
      <x:c r="AM1897" s="32" t="n">
        <x:f>(AJ1897+AK1897+AL1897)/4*INDEX(LM_All,G1897)*INDEX(v01_Boon,G1897)*Arch_Insight</x:f>
        <x:v>0</x:v>
      </x:c>
      <x:c r="AN1897" s="32" t="n">
        <x:f>H1897*(v01_KHPerAdult*Z1897+v01_KHOfCommons*AJ1897/4*INDEX(LM_All,G1897))*v01_KHUsable*Arch_KH</x:f>
        <x:v>0</x:v>
      </x:c>
      <x:c r="AO1897" s="32" t="n">
        <x:f>MIN(AP1896+AN1897,AM1897*v01_KHMaxRatio)</x:f>
        <x:v>0</x:v>
      </x:c>
      <x:c r="AP1897" s="32" t="n">
        <x:f>AP1896+AN1897-AO1897</x:f>
        <x:v>0</x:v>
      </x:c>
      <x:c r="AQ1897" s="32" t="n">
        <x:f>AM1897+AO1897</x:f>
        <x:v>0</x:v>
      </x:c>
      <x:c r="AR1897" s="10" t="n">
        <x:f>IF(H1897=1,INDEX(v01_Req,G1897),0)</x:f>
        <x:v>0</x:v>
      </x:c>
      <x:c r="AS1897" s="32" t="n">
        <x:f>IF(H1897=1,IF(E1897=1,AS1896-AR1896,AS1896)+AQ1897,0)</x:f>
        <x:v>0</x:v>
      </x:c>
      <x:c r="AT1897" s="11" t="n">
        <x:f>IF(AR1897&gt;0,MIN(1,AS1897/AR1897),1)</x:f>
        <x:v>1</x:v>
      </x:c>
      <x:c r="AU1897" s="10" t="n">
        <x:f>AB1897/INDEX(v01_RepScale,G1897)</x:f>
        <x:v>90.09519605746344</x:v>
      </x:c>
      <x:c r="AV1897" s="32" t="n">
        <x:f>AM1897*60/v01_SeasonSeconds</x:f>
        <x:v>0</x:v>
      </x:c>
    </x:row>
    <x:row r="1898">
      <x:c r="A1898" s="8" t="n">
        <x:f>A1897+1</x:f>
        <x:v>1895</x:v>
      </x:c>
      <x:c r="B1898" s="9" t="n">
        <x:f>A1898*v01_SeasonSeconds/60</x:f>
        <x:v>473.75</x:v>
      </x:c>
      <x:c r="C1898" s="9" t="n">
        <x:f>A1898/4</x:f>
        <x:v>473.75</x:v>
      </x:c>
      <x:c r="D1898" s="8" t="n">
        <x:f>IF(MOD(A1898,4)=0,1,0)</x:f>
        <x:v>0</x:v>
      </x:c>
      <x:c r="E1898" s="8" t="n">
        <x:f>IF(AND(F1897&lt;=9,AS1897&gt;=AR1897),1,0)</x:f>
        <x:v>0</x:v>
      </x:c>
      <x:c r="F1898" s="8" t="n">
        <x:f>MIN(10,F1897+E1898)</x:f>
        <x:v>10</x:v>
      </x:c>
      <x:c r="G1898" s="8" t="n">
        <x:f>MIN(F1898,9)+1</x:f>
        <x:v>10</x:v>
      </x:c>
      <x:c r="H1898" s="8" t="n">
        <x:f>IF(F1898&lt;=9,1,0)</x:f>
        <x:v>0</x:v>
      </x:c>
      <x:c r="I1898" s="9" t="n">
        <x:f>MIN(10,F1897+IF(AR1897&gt;0,MIN(1,AS1897/AR1897),1))</x:f>
        <x:v>10</x:v>
      </x:c>
      <x:c r="J1898" s="32" t="n">
        <x:f>INDEX(v01_FoodCap,G1898)*Arch_FoodCap*EXP(v01_CapsByProject*SUMPRODUCT((Cap_Point&lt;=I1898)*(Cap_Kind="Food")*Cap_Ln))</x:f>
        <x:v>12000</x:v>
      </x:c>
      <x:c r="K1898" s="32" t="n">
        <x:f>J1898*MIN(1,v01_LeanBase*EXP(v01_CapsByProject*SUMPRODUCT((Cap_Point&lt;=I1898)*(Cap_Kind="Lean")*Cap_Ln)))</x:f>
        <x:v>12000</x:v>
      </x:c>
      <x:c r="L1898" s="10" t="n">
        <x:f>INDEX(v01_HousingCap,G1898)*EXP(v01_CapsByProject*SUMPRODUCT((Cap_Point&lt;=I1898)*(Cap_Kind="Housing")*Cap_Ln))</x:f>
        <x:v>20000</x:v>
      </x:c>
      <x:c r="M1898" s="10" t="n">
        <x:f>INDEX(v01_GroupCap,G1898)*v01_CohesionFactor*EXP(v01_CapsByProject*SUMPRODUCT((Cap_Point&lt;=I1898)*(Cap_Kind="Group")*Cap_Ln))</x:f>
        <x:v>1000000</x:v>
      </x:c>
      <x:c r="N1898" s="32" t="n">
        <x:f>MIN(J1898,L1898,M1898)</x:f>
        <x:v>12000</x:v>
      </x:c>
      <x:c r="O1898" s="10" t="n">
        <x:f>AE1897*N1898</x:f>
        <x:v>180000</x:v>
      </x:c>
      <x:c r="P1898" s="9" t="n">
        <x:f>MIN(1,(AB1897/(AE1897*IF(v01_GroupInCrowding=1,N1898,MIN(J1898,L1898))))^v01_CrowdingExp)</x:f>
        <x:v>0.00024569414295285325</x:v>
      </x:c>
      <x:c r="Q1898" s="9" t="n">
        <x:f>IF(D1898=1,INDEX(v01_WinterMult,G1898),1)</x:f>
        <x:v>1</x:v>
      </x:c>
      <x:c r="R1898" s="9" t="n">
        <x:f>H1898*Z1897*v01_WomenShare*v01_BaseFertility*INDEX(v01_FertMult,G1898)*Arch_Fertility*(1-P1898)</x:f>
        <x:v>0</x:v>
      </x:c>
      <x:c r="S1898" s="9" t="n">
        <x:f>H1898*Y1897*INDEX(v01_MortChild,G1898)/4*Q1898</x:f>
        <x:v>0</x:v>
      </x:c>
      <x:c r="T1898" s="9" t="n">
        <x:f>H1898*Z1897*INDEX(v01_MortAdult,G1898)*Arch_AdultMort/4*Q1898</x:f>
        <x:v>0</x:v>
      </x:c>
      <x:c r="U1898" s="9" t="n">
        <x:f>H1898*AA1897*INDEX(v01_MortElder,G1898)/4*Q1898</x:f>
        <x:v>0</x:v>
      </x:c>
      <x:c r="V1898" s="9" t="n">
        <x:f>H1898*MAX(0,AB1897-O1898)*v01_OvercapLoss</x:f>
        <x:v>0</x:v>
      </x:c>
      <x:c r="W1898" s="9" t="n">
        <x:f>H1898*Y1897/(v01_ChildYears*4)</x:f>
        <x:v>0</x:v>
      </x:c>
      <x:c r="X1898" s="9" t="n">
        <x:f>H1898*Z1897/(v01_AdultYears*4)</x:f>
        <x:v>0</x:v>
      </x:c>
      <x:c r="Y1898" s="32" t="n">
        <x:f>Y1897+R1898-S1898-W1898-Y1897*V1898/AB1897</x:f>
        <x:v>14306.18539759397</x:v>
      </x:c>
      <x:c r="Z1898" s="32" t="n">
        <x:f>Z1897+W1898-X1898-T1898-Z1897*V1898/AB1897</x:f>
        <x:v>19354.456567879548</x:v>
      </x:c>
      <x:c r="AA1898" s="32" t="n">
        <x:f>AA1897+X1898-U1898-AA1897*V1898/AB1897</x:f>
        <x:v>11386.956063258198</x:v>
      </x:c>
      <x:c r="AB1898" s="10" t="n">
        <x:f>Y1898+Z1898+AA1898</x:f>
        <x:v>45047.59802873172</x:v>
      </x:c>
      <x:c r="AC1898" s="8" t="n">
        <x:f>IF(AND(v01_WinterTrigger=1,D1898=1,AB1897/AE1897&gt;=K1898),1,0)</x:f>
        <x:v>0</x:v>
      </x:c>
      <x:c r="AD1898" s="8" t="n">
        <x:f>H1898*IF(AND(OR(AB1897/AE1897&gt;=v01_FissionTrigger*N1898,AC1898=1),AB1897/AE1897*v01_DaughterShare&gt;=v01_MinDaughter),MAX(1,ROUND(AE1897*v01_FissionRate,0)),0)</x:f>
        <x:v>0</x:v>
      </x:c>
      <x:c r="AE1898" s="8" t="n">
        <x:f>IF(H1898=1,MAX(1,MIN(INDEX(v01_Smax,G1898),AE1897+AD1898)),AE1897)</x:f>
        <x:v>15</x:v>
      </x:c>
      <x:c r="AF1898" s="8" t="n">
        <x:f>MAX(0,AE1898-AE1897)</x:f>
        <x:v>0</x:v>
      </x:c>
      <x:c r="AG1898" s="9" t="str">
        <x:f>IF(AF1898&gt;0,B1898,"")</x:f>
      </x:c>
      <x:c r="AH1898" s="9" t="n">
        <x:f>IF(F1898&gt;=1,1,(1+v01_LowTiesShare*(AE1898-1))/AE1898)</x:f>
        <x:v>1</x:v>
      </x:c>
      <x:c r="AI1898" s="32" t="n">
        <x:f>(Z1898+v01_ElderCommons*INDEX(LM_Elder,G1898)*AA1898)*AH1898</x:f>
        <x:v>64139.732591141874</x:v>
      </x:c>
      <x:c r="AJ1898" s="32" t="n">
        <x:f>H1898*v01_CommonsCoef*AI1898^v01_CommonsExp*INDEX(LM_Commons,G1898)</x:f>
        <x:v>0</x:v>
      </x:c>
      <x:c r="AK1898" s="32" t="n">
        <x:f>H1898*v01_RoleScale*Arch_Roles*(AE1898*(INDEX(v01_ElderRolePerSett,G1898)*v01_OutElder*INDEX(LM_Elder,G1898)+INDEX(v01_ShamanPerSett,G1898)*v01_OutShaman)+Z1898*(INDEX(v01_PriestShare,G1898)*v01_OutPriest+INDEX(v01_ScribeShare,G1898)*v01_OutScribe*INDEX(LM_Scribe,G1898)+INDEX(v01_ScholarShare,G1898)*v01_OutScholar*INDEX(LM_Scholar,G1898)+INDEX(v01_ResearcherShare,G1898)*v01_OutResearcher*INDEX(LM_Researcher,G1898)))</x:f>
        <x:v>0</x:v>
      </x:c>
      <x:c r="AL1898" s="32" t="n">
        <x:f>H1898*v01_RoleScale*Arch_Roles*AE1898*INDEX(v01_MonasteryPerSett,G1898)*v01_OutMonastery*INDEX(LM_Monastery,G1898)</x:f>
        <x:v>0</x:v>
      </x:c>
      <x:c r="AM1898" s="32" t="n">
        <x:f>(AJ1898+AK1898+AL1898)/4*INDEX(LM_All,G1898)*INDEX(v01_Boon,G1898)*Arch_Insight</x:f>
        <x:v>0</x:v>
      </x:c>
      <x:c r="AN1898" s="32" t="n">
        <x:f>H1898*(v01_KHPerAdult*Z1898+v01_KHOfCommons*AJ1898/4*INDEX(LM_All,G1898))*v01_KHUsable*Arch_KH</x:f>
        <x:v>0</x:v>
      </x:c>
      <x:c r="AO1898" s="32" t="n">
        <x:f>MIN(AP1897+AN1898,AM1898*v01_KHMaxRatio)</x:f>
        <x:v>0</x:v>
      </x:c>
      <x:c r="AP1898" s="32" t="n">
        <x:f>AP1897+AN1898-AO1898</x:f>
        <x:v>0</x:v>
      </x:c>
      <x:c r="AQ1898" s="32" t="n">
        <x:f>AM1898+AO1898</x:f>
        <x:v>0</x:v>
      </x:c>
      <x:c r="AR1898" s="10" t="n">
        <x:f>IF(H1898=1,INDEX(v01_Req,G1898),0)</x:f>
        <x:v>0</x:v>
      </x:c>
      <x:c r="AS1898" s="32" t="n">
        <x:f>IF(H1898=1,IF(E1898=1,AS1897-AR1897,AS1897)+AQ1898,0)</x:f>
        <x:v>0</x:v>
      </x:c>
      <x:c r="AT1898" s="11" t="n">
        <x:f>IF(AR1898&gt;0,MIN(1,AS1898/AR1898),1)</x:f>
        <x:v>1</x:v>
      </x:c>
      <x:c r="AU1898" s="10" t="n">
        <x:f>AB1898/INDEX(v01_RepScale,G1898)</x:f>
        <x:v>90.09519605746344</x:v>
      </x:c>
      <x:c r="AV1898" s="32" t="n">
        <x:f>AM1898*60/v01_SeasonSeconds</x:f>
        <x:v>0</x:v>
      </x:c>
    </x:row>
    <x:row r="1899">
      <x:c r="A1899" s="8" t="n">
        <x:f>A1898+1</x:f>
        <x:v>1896</x:v>
      </x:c>
      <x:c r="B1899" s="9" t="n">
        <x:f>A1899*v01_SeasonSeconds/60</x:f>
        <x:v>474</x:v>
      </x:c>
      <x:c r="C1899" s="9" t="n">
        <x:f>A1899/4</x:f>
        <x:v>474</x:v>
      </x:c>
      <x:c r="D1899" s="8" t="n">
        <x:f>IF(MOD(A1899,4)=0,1,0)</x:f>
        <x:v>1</x:v>
      </x:c>
      <x:c r="E1899" s="8" t="n">
        <x:f>IF(AND(F1898&lt;=9,AS1898&gt;=AR1898),1,0)</x:f>
        <x:v>0</x:v>
      </x:c>
      <x:c r="F1899" s="8" t="n">
        <x:f>MIN(10,F1898+E1899)</x:f>
        <x:v>10</x:v>
      </x:c>
      <x:c r="G1899" s="8" t="n">
        <x:f>MIN(F1899,9)+1</x:f>
        <x:v>10</x:v>
      </x:c>
      <x:c r="H1899" s="8" t="n">
        <x:f>IF(F1899&lt;=9,1,0)</x:f>
        <x:v>0</x:v>
      </x:c>
      <x:c r="I1899" s="9" t="n">
        <x:f>MIN(10,F1898+IF(AR1898&gt;0,MIN(1,AS1898/AR1898),1))</x:f>
        <x:v>10</x:v>
      </x:c>
      <x:c r="J1899" s="32" t="n">
        <x:f>INDEX(v01_FoodCap,G1899)*Arch_FoodCap*EXP(v01_CapsByProject*SUMPRODUCT((Cap_Point&lt;=I1899)*(Cap_Kind="Food")*Cap_Ln))</x:f>
        <x:v>12000</x:v>
      </x:c>
      <x:c r="K1899" s="32" t="n">
        <x:f>J1899*MIN(1,v01_LeanBase*EXP(v01_CapsByProject*SUMPRODUCT((Cap_Point&lt;=I1899)*(Cap_Kind="Lean")*Cap_Ln)))</x:f>
        <x:v>12000</x:v>
      </x:c>
      <x:c r="L1899" s="10" t="n">
        <x:f>INDEX(v01_HousingCap,G1899)*EXP(v01_CapsByProject*SUMPRODUCT((Cap_Point&lt;=I1899)*(Cap_Kind="Housing")*Cap_Ln))</x:f>
        <x:v>20000</x:v>
      </x:c>
      <x:c r="M1899" s="10" t="n">
        <x:f>INDEX(v01_GroupCap,G1899)*v01_CohesionFactor*EXP(v01_CapsByProject*SUMPRODUCT((Cap_Point&lt;=I1899)*(Cap_Kind="Group")*Cap_Ln))</x:f>
        <x:v>1000000</x:v>
      </x:c>
      <x:c r="N1899" s="32" t="n">
        <x:f>MIN(J1899,L1899,M1899)</x:f>
        <x:v>12000</x:v>
      </x:c>
      <x:c r="O1899" s="10" t="n">
        <x:f>AE1898*N1899</x:f>
        <x:v>180000</x:v>
      </x:c>
      <x:c r="P1899" s="9" t="n">
        <x:f>MIN(1,(AB1898/(AE1898*IF(v01_GroupInCrowding=1,N1899,MIN(J1899,L1899))))^v01_CrowdingExp)</x:f>
        <x:v>0.00024569414295285325</x:v>
      </x:c>
      <x:c r="Q1899" s="9" t="n">
        <x:f>IF(D1899=1,INDEX(v01_WinterMult,G1899),1)</x:f>
        <x:v>1</x:v>
      </x:c>
      <x:c r="R1899" s="9" t="n">
        <x:f>H1899*Z1898*v01_WomenShare*v01_BaseFertility*INDEX(v01_FertMult,G1899)*Arch_Fertility*(1-P1899)</x:f>
        <x:v>0</x:v>
      </x:c>
      <x:c r="S1899" s="9" t="n">
        <x:f>H1899*Y1898*INDEX(v01_MortChild,G1899)/4*Q1899</x:f>
        <x:v>0</x:v>
      </x:c>
      <x:c r="T1899" s="9" t="n">
        <x:f>H1899*Z1898*INDEX(v01_MortAdult,G1899)*Arch_AdultMort/4*Q1899</x:f>
        <x:v>0</x:v>
      </x:c>
      <x:c r="U1899" s="9" t="n">
        <x:f>H1899*AA1898*INDEX(v01_MortElder,G1899)/4*Q1899</x:f>
        <x:v>0</x:v>
      </x:c>
      <x:c r="V1899" s="9" t="n">
        <x:f>H1899*MAX(0,AB1898-O1899)*v01_OvercapLoss</x:f>
        <x:v>0</x:v>
      </x:c>
      <x:c r="W1899" s="9" t="n">
        <x:f>H1899*Y1898/(v01_ChildYears*4)</x:f>
        <x:v>0</x:v>
      </x:c>
      <x:c r="X1899" s="9" t="n">
        <x:f>H1899*Z1898/(v01_AdultYears*4)</x:f>
        <x:v>0</x:v>
      </x:c>
      <x:c r="Y1899" s="32" t="n">
        <x:f>Y1898+R1899-S1899-W1899-Y1898*V1899/AB1898</x:f>
        <x:v>14306.18539759397</x:v>
      </x:c>
      <x:c r="Z1899" s="32" t="n">
        <x:f>Z1898+W1899-X1899-T1899-Z1898*V1899/AB1898</x:f>
        <x:v>19354.456567879548</x:v>
      </x:c>
      <x:c r="AA1899" s="32" t="n">
        <x:f>AA1898+X1899-U1899-AA1898*V1899/AB1898</x:f>
        <x:v>11386.956063258198</x:v>
      </x:c>
      <x:c r="AB1899" s="10" t="n">
        <x:f>Y1899+Z1899+AA1899</x:f>
        <x:v>45047.59802873172</x:v>
      </x:c>
      <x:c r="AC1899" s="8" t="n">
        <x:f>IF(AND(v01_WinterTrigger=1,D1899=1,AB1898/AE1898&gt;=K1899),1,0)</x:f>
        <x:v>0</x:v>
      </x:c>
      <x:c r="AD1899" s="8" t="n">
        <x:f>H1899*IF(AND(OR(AB1898/AE1898&gt;=v01_FissionTrigger*N1899,AC1899=1),AB1898/AE1898*v01_DaughterShare&gt;=v01_MinDaughter),MAX(1,ROUND(AE1898*v01_FissionRate,0)),0)</x:f>
        <x:v>0</x:v>
      </x:c>
      <x:c r="AE1899" s="8" t="n">
        <x:f>IF(H1899=1,MAX(1,MIN(INDEX(v01_Smax,G1899),AE1898+AD1899)),AE1898)</x:f>
        <x:v>15</x:v>
      </x:c>
      <x:c r="AF1899" s="8" t="n">
        <x:f>MAX(0,AE1899-AE1898)</x:f>
        <x:v>0</x:v>
      </x:c>
      <x:c r="AG1899" s="9" t="str">
        <x:f>IF(AF1899&gt;0,B1899,"")</x:f>
      </x:c>
      <x:c r="AH1899" s="9" t="n">
        <x:f>IF(F1899&gt;=1,1,(1+v01_LowTiesShare*(AE1899-1))/AE1899)</x:f>
        <x:v>1</x:v>
      </x:c>
      <x:c r="AI1899" s="32" t="n">
        <x:f>(Z1899+v01_ElderCommons*INDEX(LM_Elder,G1899)*AA1899)*AH1899</x:f>
        <x:v>64139.732591141874</x:v>
      </x:c>
      <x:c r="AJ1899" s="32" t="n">
        <x:f>H1899*v01_CommonsCoef*AI1899^v01_CommonsExp*INDEX(LM_Commons,G1899)</x:f>
        <x:v>0</x:v>
      </x:c>
      <x:c r="AK1899" s="32" t="n">
        <x:f>H1899*v01_RoleScale*Arch_Roles*(AE1899*(INDEX(v01_ElderRolePerSett,G1899)*v01_OutElder*INDEX(LM_Elder,G1899)+INDEX(v01_ShamanPerSett,G1899)*v01_OutShaman)+Z1899*(INDEX(v01_PriestShare,G1899)*v01_OutPriest+INDEX(v01_ScribeShare,G1899)*v01_OutScribe*INDEX(LM_Scribe,G1899)+INDEX(v01_ScholarShare,G1899)*v01_OutScholar*INDEX(LM_Scholar,G1899)+INDEX(v01_ResearcherShare,G1899)*v01_OutResearcher*INDEX(LM_Researcher,G1899)))</x:f>
        <x:v>0</x:v>
      </x:c>
      <x:c r="AL1899" s="32" t="n">
        <x:f>H1899*v01_RoleScale*Arch_Roles*AE1899*INDEX(v01_MonasteryPerSett,G1899)*v01_OutMonastery*INDEX(LM_Monastery,G1899)</x:f>
        <x:v>0</x:v>
      </x:c>
      <x:c r="AM1899" s="32" t="n">
        <x:f>(AJ1899+AK1899+AL1899)/4*INDEX(LM_All,G1899)*INDEX(v01_Boon,G1899)*Arch_Insight</x:f>
        <x:v>0</x:v>
      </x:c>
      <x:c r="AN1899" s="32" t="n">
        <x:f>H1899*(v01_KHPerAdult*Z1899+v01_KHOfCommons*AJ1899/4*INDEX(LM_All,G1899))*v01_KHUsable*Arch_KH</x:f>
        <x:v>0</x:v>
      </x:c>
      <x:c r="AO1899" s="32" t="n">
        <x:f>MIN(AP1898+AN1899,AM1899*v01_KHMaxRatio)</x:f>
        <x:v>0</x:v>
      </x:c>
      <x:c r="AP1899" s="32" t="n">
        <x:f>AP1898+AN1899-AO1899</x:f>
        <x:v>0</x:v>
      </x:c>
      <x:c r="AQ1899" s="32" t="n">
        <x:f>AM1899+AO1899</x:f>
        <x:v>0</x:v>
      </x:c>
      <x:c r="AR1899" s="10" t="n">
        <x:f>IF(H1899=1,INDEX(v01_Req,G1899),0)</x:f>
        <x:v>0</x:v>
      </x:c>
      <x:c r="AS1899" s="32" t="n">
        <x:f>IF(H1899=1,IF(E1899=1,AS1898-AR1898,AS1898)+AQ1899,0)</x:f>
        <x:v>0</x:v>
      </x:c>
      <x:c r="AT1899" s="11" t="n">
        <x:f>IF(AR1899&gt;0,MIN(1,AS1899/AR1899),1)</x:f>
        <x:v>1</x:v>
      </x:c>
      <x:c r="AU1899" s="10" t="n">
        <x:f>AB1899/INDEX(v01_RepScale,G1899)</x:f>
        <x:v>90.09519605746344</x:v>
      </x:c>
      <x:c r="AV1899" s="32" t="n">
        <x:f>AM1899*60/v01_SeasonSeconds</x:f>
        <x:v>0</x:v>
      </x:c>
    </x:row>
    <x:row r="1900">
      <x:c r="A1900" s="8" t="n">
        <x:f>A1899+1</x:f>
        <x:v>1897</x:v>
      </x:c>
      <x:c r="B1900" s="9" t="n">
        <x:f>A1900*v01_SeasonSeconds/60</x:f>
        <x:v>474.25</x:v>
      </x:c>
      <x:c r="C1900" s="9" t="n">
        <x:f>A1900/4</x:f>
        <x:v>474.25</x:v>
      </x:c>
      <x:c r="D1900" s="8" t="n">
        <x:f>IF(MOD(A1900,4)=0,1,0)</x:f>
        <x:v>0</x:v>
      </x:c>
      <x:c r="E1900" s="8" t="n">
        <x:f>IF(AND(F1899&lt;=9,AS1899&gt;=AR1899),1,0)</x:f>
        <x:v>0</x:v>
      </x:c>
      <x:c r="F1900" s="8" t="n">
        <x:f>MIN(10,F1899+E1900)</x:f>
        <x:v>10</x:v>
      </x:c>
      <x:c r="G1900" s="8" t="n">
        <x:f>MIN(F1900,9)+1</x:f>
        <x:v>10</x:v>
      </x:c>
      <x:c r="H1900" s="8" t="n">
        <x:f>IF(F1900&lt;=9,1,0)</x:f>
        <x:v>0</x:v>
      </x:c>
      <x:c r="I1900" s="9" t="n">
        <x:f>MIN(10,F1899+IF(AR1899&gt;0,MIN(1,AS1899/AR1899),1))</x:f>
        <x:v>10</x:v>
      </x:c>
      <x:c r="J1900" s="32" t="n">
        <x:f>INDEX(v01_FoodCap,G1900)*Arch_FoodCap*EXP(v01_CapsByProject*SUMPRODUCT((Cap_Point&lt;=I1900)*(Cap_Kind="Food")*Cap_Ln))</x:f>
        <x:v>12000</x:v>
      </x:c>
      <x:c r="K1900" s="32" t="n">
        <x:f>J1900*MIN(1,v01_LeanBase*EXP(v01_CapsByProject*SUMPRODUCT((Cap_Point&lt;=I1900)*(Cap_Kind="Lean")*Cap_Ln)))</x:f>
        <x:v>12000</x:v>
      </x:c>
      <x:c r="L1900" s="10" t="n">
        <x:f>INDEX(v01_HousingCap,G1900)*EXP(v01_CapsByProject*SUMPRODUCT((Cap_Point&lt;=I1900)*(Cap_Kind="Housing")*Cap_Ln))</x:f>
        <x:v>20000</x:v>
      </x:c>
      <x:c r="M1900" s="10" t="n">
        <x:f>INDEX(v01_GroupCap,G1900)*v01_CohesionFactor*EXP(v01_CapsByProject*SUMPRODUCT((Cap_Point&lt;=I1900)*(Cap_Kind="Group")*Cap_Ln))</x:f>
        <x:v>1000000</x:v>
      </x:c>
      <x:c r="N1900" s="32" t="n">
        <x:f>MIN(J1900,L1900,M1900)</x:f>
        <x:v>12000</x:v>
      </x:c>
      <x:c r="O1900" s="10" t="n">
        <x:f>AE1899*N1900</x:f>
        <x:v>180000</x:v>
      </x:c>
      <x:c r="P1900" s="9" t="n">
        <x:f>MIN(1,(AB1899/(AE1899*IF(v01_GroupInCrowding=1,N1900,MIN(J1900,L1900))))^v01_CrowdingExp)</x:f>
        <x:v>0.00024569414295285325</x:v>
      </x:c>
      <x:c r="Q1900" s="9" t="n">
        <x:f>IF(D1900=1,INDEX(v01_WinterMult,G1900),1)</x:f>
        <x:v>1</x:v>
      </x:c>
      <x:c r="R1900" s="9" t="n">
        <x:f>H1900*Z1899*v01_WomenShare*v01_BaseFertility*INDEX(v01_FertMult,G1900)*Arch_Fertility*(1-P1900)</x:f>
        <x:v>0</x:v>
      </x:c>
      <x:c r="S1900" s="9" t="n">
        <x:f>H1900*Y1899*INDEX(v01_MortChild,G1900)/4*Q1900</x:f>
        <x:v>0</x:v>
      </x:c>
      <x:c r="T1900" s="9" t="n">
        <x:f>H1900*Z1899*INDEX(v01_MortAdult,G1900)*Arch_AdultMort/4*Q1900</x:f>
        <x:v>0</x:v>
      </x:c>
      <x:c r="U1900" s="9" t="n">
        <x:f>H1900*AA1899*INDEX(v01_MortElder,G1900)/4*Q1900</x:f>
        <x:v>0</x:v>
      </x:c>
      <x:c r="V1900" s="9" t="n">
        <x:f>H1900*MAX(0,AB1899-O1900)*v01_OvercapLoss</x:f>
        <x:v>0</x:v>
      </x:c>
      <x:c r="W1900" s="9" t="n">
        <x:f>H1900*Y1899/(v01_ChildYears*4)</x:f>
        <x:v>0</x:v>
      </x:c>
      <x:c r="X1900" s="9" t="n">
        <x:f>H1900*Z1899/(v01_AdultYears*4)</x:f>
        <x:v>0</x:v>
      </x:c>
      <x:c r="Y1900" s="32" t="n">
        <x:f>Y1899+R1900-S1900-W1900-Y1899*V1900/AB1899</x:f>
        <x:v>14306.18539759397</x:v>
      </x:c>
      <x:c r="Z1900" s="32" t="n">
        <x:f>Z1899+W1900-X1900-T1900-Z1899*V1900/AB1899</x:f>
        <x:v>19354.456567879548</x:v>
      </x:c>
      <x:c r="AA1900" s="32" t="n">
        <x:f>AA1899+X1900-U1900-AA1899*V1900/AB1899</x:f>
        <x:v>11386.956063258198</x:v>
      </x:c>
      <x:c r="AB1900" s="10" t="n">
        <x:f>Y1900+Z1900+AA1900</x:f>
        <x:v>45047.59802873172</x:v>
      </x:c>
      <x:c r="AC1900" s="8" t="n">
        <x:f>IF(AND(v01_WinterTrigger=1,D1900=1,AB1899/AE1899&gt;=K1900),1,0)</x:f>
        <x:v>0</x:v>
      </x:c>
      <x:c r="AD1900" s="8" t="n">
        <x:f>H1900*IF(AND(OR(AB1899/AE1899&gt;=v01_FissionTrigger*N1900,AC1900=1),AB1899/AE1899*v01_DaughterShare&gt;=v01_MinDaughter),MAX(1,ROUND(AE1899*v01_FissionRate,0)),0)</x:f>
        <x:v>0</x:v>
      </x:c>
      <x:c r="AE1900" s="8" t="n">
        <x:f>IF(H1900=1,MAX(1,MIN(INDEX(v01_Smax,G1900),AE1899+AD1900)),AE1899)</x:f>
        <x:v>15</x:v>
      </x:c>
      <x:c r="AF1900" s="8" t="n">
        <x:f>MAX(0,AE1900-AE1899)</x:f>
        <x:v>0</x:v>
      </x:c>
      <x:c r="AG1900" s="9" t="str">
        <x:f>IF(AF1900&gt;0,B1900,"")</x:f>
      </x:c>
      <x:c r="AH1900" s="9" t="n">
        <x:f>IF(F1900&gt;=1,1,(1+v01_LowTiesShare*(AE1900-1))/AE1900)</x:f>
        <x:v>1</x:v>
      </x:c>
      <x:c r="AI1900" s="32" t="n">
        <x:f>(Z1900+v01_ElderCommons*INDEX(LM_Elder,G1900)*AA1900)*AH1900</x:f>
        <x:v>64139.732591141874</x:v>
      </x:c>
      <x:c r="AJ1900" s="32" t="n">
        <x:f>H1900*v01_CommonsCoef*AI1900^v01_CommonsExp*INDEX(LM_Commons,G1900)</x:f>
        <x:v>0</x:v>
      </x:c>
      <x:c r="AK1900" s="32" t="n">
        <x:f>H1900*v01_RoleScale*Arch_Roles*(AE1900*(INDEX(v01_ElderRolePerSett,G1900)*v01_OutElder*INDEX(LM_Elder,G1900)+INDEX(v01_ShamanPerSett,G1900)*v01_OutShaman)+Z1900*(INDEX(v01_PriestShare,G1900)*v01_OutPriest+INDEX(v01_ScribeShare,G1900)*v01_OutScribe*INDEX(LM_Scribe,G1900)+INDEX(v01_ScholarShare,G1900)*v01_OutScholar*INDEX(LM_Scholar,G1900)+INDEX(v01_ResearcherShare,G1900)*v01_OutResearcher*INDEX(LM_Researcher,G1900)))</x:f>
        <x:v>0</x:v>
      </x:c>
      <x:c r="AL1900" s="32" t="n">
        <x:f>H1900*v01_RoleScale*Arch_Roles*AE1900*INDEX(v01_MonasteryPerSett,G1900)*v01_OutMonastery*INDEX(LM_Monastery,G1900)</x:f>
        <x:v>0</x:v>
      </x:c>
      <x:c r="AM1900" s="32" t="n">
        <x:f>(AJ1900+AK1900+AL1900)/4*INDEX(LM_All,G1900)*INDEX(v01_Boon,G1900)*Arch_Insight</x:f>
        <x:v>0</x:v>
      </x:c>
      <x:c r="AN1900" s="32" t="n">
        <x:f>H1900*(v01_KHPerAdult*Z1900+v01_KHOfCommons*AJ1900/4*INDEX(LM_All,G1900))*v01_KHUsable*Arch_KH</x:f>
        <x:v>0</x:v>
      </x:c>
      <x:c r="AO1900" s="32" t="n">
        <x:f>MIN(AP1899+AN1900,AM1900*v01_KHMaxRatio)</x:f>
        <x:v>0</x:v>
      </x:c>
      <x:c r="AP1900" s="32" t="n">
        <x:f>AP1899+AN1900-AO1900</x:f>
        <x:v>0</x:v>
      </x:c>
      <x:c r="AQ1900" s="32" t="n">
        <x:f>AM1900+AO1900</x:f>
        <x:v>0</x:v>
      </x:c>
      <x:c r="AR1900" s="10" t="n">
        <x:f>IF(H1900=1,INDEX(v01_Req,G1900),0)</x:f>
        <x:v>0</x:v>
      </x:c>
      <x:c r="AS1900" s="32" t="n">
        <x:f>IF(H1900=1,IF(E1900=1,AS1899-AR1899,AS1899)+AQ1900,0)</x:f>
        <x:v>0</x:v>
      </x:c>
      <x:c r="AT1900" s="11" t="n">
        <x:f>IF(AR1900&gt;0,MIN(1,AS1900/AR1900),1)</x:f>
        <x:v>1</x:v>
      </x:c>
      <x:c r="AU1900" s="10" t="n">
        <x:f>AB1900/INDEX(v01_RepScale,G1900)</x:f>
        <x:v>90.09519605746344</x:v>
      </x:c>
      <x:c r="AV1900" s="32" t="n">
        <x:f>AM1900*60/v01_SeasonSeconds</x:f>
        <x:v>0</x:v>
      </x:c>
    </x:row>
    <x:row r="1901">
      <x:c r="A1901" s="8" t="n">
        <x:f>A1900+1</x:f>
        <x:v>1898</x:v>
      </x:c>
      <x:c r="B1901" s="9" t="n">
        <x:f>A1901*v01_SeasonSeconds/60</x:f>
        <x:v>474.5</x:v>
      </x:c>
      <x:c r="C1901" s="9" t="n">
        <x:f>A1901/4</x:f>
        <x:v>474.5</x:v>
      </x:c>
      <x:c r="D1901" s="8" t="n">
        <x:f>IF(MOD(A1901,4)=0,1,0)</x:f>
        <x:v>0</x:v>
      </x:c>
      <x:c r="E1901" s="8" t="n">
        <x:f>IF(AND(F1900&lt;=9,AS1900&gt;=AR1900),1,0)</x:f>
        <x:v>0</x:v>
      </x:c>
      <x:c r="F1901" s="8" t="n">
        <x:f>MIN(10,F1900+E1901)</x:f>
        <x:v>10</x:v>
      </x:c>
      <x:c r="G1901" s="8" t="n">
        <x:f>MIN(F1901,9)+1</x:f>
        <x:v>10</x:v>
      </x:c>
      <x:c r="H1901" s="8" t="n">
        <x:f>IF(F1901&lt;=9,1,0)</x:f>
        <x:v>0</x:v>
      </x:c>
      <x:c r="I1901" s="9" t="n">
        <x:f>MIN(10,F1900+IF(AR1900&gt;0,MIN(1,AS1900/AR1900),1))</x:f>
        <x:v>10</x:v>
      </x:c>
      <x:c r="J1901" s="32" t="n">
        <x:f>INDEX(v01_FoodCap,G1901)*Arch_FoodCap*EXP(v01_CapsByProject*SUMPRODUCT((Cap_Point&lt;=I1901)*(Cap_Kind="Food")*Cap_Ln))</x:f>
        <x:v>12000</x:v>
      </x:c>
      <x:c r="K1901" s="32" t="n">
        <x:f>J1901*MIN(1,v01_LeanBase*EXP(v01_CapsByProject*SUMPRODUCT((Cap_Point&lt;=I1901)*(Cap_Kind="Lean")*Cap_Ln)))</x:f>
        <x:v>12000</x:v>
      </x:c>
      <x:c r="L1901" s="10" t="n">
        <x:f>INDEX(v01_HousingCap,G1901)*EXP(v01_CapsByProject*SUMPRODUCT((Cap_Point&lt;=I1901)*(Cap_Kind="Housing")*Cap_Ln))</x:f>
        <x:v>20000</x:v>
      </x:c>
      <x:c r="M1901" s="10" t="n">
        <x:f>INDEX(v01_GroupCap,G1901)*v01_CohesionFactor*EXP(v01_CapsByProject*SUMPRODUCT((Cap_Point&lt;=I1901)*(Cap_Kind="Group")*Cap_Ln))</x:f>
        <x:v>1000000</x:v>
      </x:c>
      <x:c r="N1901" s="32" t="n">
        <x:f>MIN(J1901,L1901,M1901)</x:f>
        <x:v>12000</x:v>
      </x:c>
      <x:c r="O1901" s="10" t="n">
        <x:f>AE1900*N1901</x:f>
        <x:v>180000</x:v>
      </x:c>
      <x:c r="P1901" s="9" t="n">
        <x:f>MIN(1,(AB1900/(AE1900*IF(v01_GroupInCrowding=1,N1901,MIN(J1901,L1901))))^v01_CrowdingExp)</x:f>
        <x:v>0.00024569414295285325</x:v>
      </x:c>
      <x:c r="Q1901" s="9" t="n">
        <x:f>IF(D1901=1,INDEX(v01_WinterMult,G1901),1)</x:f>
        <x:v>1</x:v>
      </x:c>
      <x:c r="R1901" s="9" t="n">
        <x:f>H1901*Z1900*v01_WomenShare*v01_BaseFertility*INDEX(v01_FertMult,G1901)*Arch_Fertility*(1-P1901)</x:f>
        <x:v>0</x:v>
      </x:c>
      <x:c r="S1901" s="9" t="n">
        <x:f>H1901*Y1900*INDEX(v01_MortChild,G1901)/4*Q1901</x:f>
        <x:v>0</x:v>
      </x:c>
      <x:c r="T1901" s="9" t="n">
        <x:f>H1901*Z1900*INDEX(v01_MortAdult,G1901)*Arch_AdultMort/4*Q1901</x:f>
        <x:v>0</x:v>
      </x:c>
      <x:c r="U1901" s="9" t="n">
        <x:f>H1901*AA1900*INDEX(v01_MortElder,G1901)/4*Q1901</x:f>
        <x:v>0</x:v>
      </x:c>
      <x:c r="V1901" s="9" t="n">
        <x:f>H1901*MAX(0,AB1900-O1901)*v01_OvercapLoss</x:f>
        <x:v>0</x:v>
      </x:c>
      <x:c r="W1901" s="9" t="n">
        <x:f>H1901*Y1900/(v01_ChildYears*4)</x:f>
        <x:v>0</x:v>
      </x:c>
      <x:c r="X1901" s="9" t="n">
        <x:f>H1901*Z1900/(v01_AdultYears*4)</x:f>
        <x:v>0</x:v>
      </x:c>
      <x:c r="Y1901" s="32" t="n">
        <x:f>Y1900+R1901-S1901-W1901-Y1900*V1901/AB1900</x:f>
        <x:v>14306.18539759397</x:v>
      </x:c>
      <x:c r="Z1901" s="32" t="n">
        <x:f>Z1900+W1901-X1901-T1901-Z1900*V1901/AB1900</x:f>
        <x:v>19354.456567879548</x:v>
      </x:c>
      <x:c r="AA1901" s="32" t="n">
        <x:f>AA1900+X1901-U1901-AA1900*V1901/AB1900</x:f>
        <x:v>11386.956063258198</x:v>
      </x:c>
      <x:c r="AB1901" s="10" t="n">
        <x:f>Y1901+Z1901+AA1901</x:f>
        <x:v>45047.59802873172</x:v>
      </x:c>
      <x:c r="AC1901" s="8" t="n">
        <x:f>IF(AND(v01_WinterTrigger=1,D1901=1,AB1900/AE1900&gt;=K1901),1,0)</x:f>
        <x:v>0</x:v>
      </x:c>
      <x:c r="AD1901" s="8" t="n">
        <x:f>H1901*IF(AND(OR(AB1900/AE1900&gt;=v01_FissionTrigger*N1901,AC1901=1),AB1900/AE1900*v01_DaughterShare&gt;=v01_MinDaughter),MAX(1,ROUND(AE1900*v01_FissionRate,0)),0)</x:f>
        <x:v>0</x:v>
      </x:c>
      <x:c r="AE1901" s="8" t="n">
        <x:f>IF(H1901=1,MAX(1,MIN(INDEX(v01_Smax,G1901),AE1900+AD1901)),AE1900)</x:f>
        <x:v>15</x:v>
      </x:c>
      <x:c r="AF1901" s="8" t="n">
        <x:f>MAX(0,AE1901-AE1900)</x:f>
        <x:v>0</x:v>
      </x:c>
      <x:c r="AG1901" s="9" t="str">
        <x:f>IF(AF1901&gt;0,B1901,"")</x:f>
      </x:c>
      <x:c r="AH1901" s="9" t="n">
        <x:f>IF(F1901&gt;=1,1,(1+v01_LowTiesShare*(AE1901-1))/AE1901)</x:f>
        <x:v>1</x:v>
      </x:c>
      <x:c r="AI1901" s="32" t="n">
        <x:f>(Z1901+v01_ElderCommons*INDEX(LM_Elder,G1901)*AA1901)*AH1901</x:f>
        <x:v>64139.732591141874</x:v>
      </x:c>
      <x:c r="AJ1901" s="32" t="n">
        <x:f>H1901*v01_CommonsCoef*AI1901^v01_CommonsExp*INDEX(LM_Commons,G1901)</x:f>
        <x:v>0</x:v>
      </x:c>
      <x:c r="AK1901" s="32" t="n">
        <x:f>H1901*v01_RoleScale*Arch_Roles*(AE1901*(INDEX(v01_ElderRolePerSett,G1901)*v01_OutElder*INDEX(LM_Elder,G1901)+INDEX(v01_ShamanPerSett,G1901)*v01_OutShaman)+Z1901*(INDEX(v01_PriestShare,G1901)*v01_OutPriest+INDEX(v01_ScribeShare,G1901)*v01_OutScribe*INDEX(LM_Scribe,G1901)+INDEX(v01_ScholarShare,G1901)*v01_OutScholar*INDEX(LM_Scholar,G1901)+INDEX(v01_ResearcherShare,G1901)*v01_OutResearcher*INDEX(LM_Researcher,G1901)))</x:f>
        <x:v>0</x:v>
      </x:c>
      <x:c r="AL1901" s="32" t="n">
        <x:f>H1901*v01_RoleScale*Arch_Roles*AE1901*INDEX(v01_MonasteryPerSett,G1901)*v01_OutMonastery*INDEX(LM_Monastery,G1901)</x:f>
        <x:v>0</x:v>
      </x:c>
      <x:c r="AM1901" s="32" t="n">
        <x:f>(AJ1901+AK1901+AL1901)/4*INDEX(LM_All,G1901)*INDEX(v01_Boon,G1901)*Arch_Insight</x:f>
        <x:v>0</x:v>
      </x:c>
      <x:c r="AN1901" s="32" t="n">
        <x:f>H1901*(v01_KHPerAdult*Z1901+v01_KHOfCommons*AJ1901/4*INDEX(LM_All,G1901))*v01_KHUsable*Arch_KH</x:f>
        <x:v>0</x:v>
      </x:c>
      <x:c r="AO1901" s="32" t="n">
        <x:f>MIN(AP1900+AN1901,AM1901*v01_KHMaxRatio)</x:f>
        <x:v>0</x:v>
      </x:c>
      <x:c r="AP1901" s="32" t="n">
        <x:f>AP1900+AN1901-AO1901</x:f>
        <x:v>0</x:v>
      </x:c>
      <x:c r="AQ1901" s="32" t="n">
        <x:f>AM1901+AO1901</x:f>
        <x:v>0</x:v>
      </x:c>
      <x:c r="AR1901" s="10" t="n">
        <x:f>IF(H1901=1,INDEX(v01_Req,G1901),0)</x:f>
        <x:v>0</x:v>
      </x:c>
      <x:c r="AS1901" s="32" t="n">
        <x:f>IF(H1901=1,IF(E1901=1,AS1900-AR1900,AS1900)+AQ1901,0)</x:f>
        <x:v>0</x:v>
      </x:c>
      <x:c r="AT1901" s="11" t="n">
        <x:f>IF(AR1901&gt;0,MIN(1,AS1901/AR1901),1)</x:f>
        <x:v>1</x:v>
      </x:c>
      <x:c r="AU1901" s="10" t="n">
        <x:f>AB1901/INDEX(v01_RepScale,G1901)</x:f>
        <x:v>90.09519605746344</x:v>
      </x:c>
      <x:c r="AV1901" s="32" t="n">
        <x:f>AM1901*60/v01_SeasonSeconds</x:f>
        <x:v>0</x:v>
      </x:c>
    </x:row>
    <x:row r="1902">
      <x:c r="A1902" s="8" t="n">
        <x:f>A1901+1</x:f>
        <x:v>1899</x:v>
      </x:c>
      <x:c r="B1902" s="9" t="n">
        <x:f>A1902*v01_SeasonSeconds/60</x:f>
        <x:v>474.75</x:v>
      </x:c>
      <x:c r="C1902" s="9" t="n">
        <x:f>A1902/4</x:f>
        <x:v>474.75</x:v>
      </x:c>
      <x:c r="D1902" s="8" t="n">
        <x:f>IF(MOD(A1902,4)=0,1,0)</x:f>
        <x:v>0</x:v>
      </x:c>
      <x:c r="E1902" s="8" t="n">
        <x:f>IF(AND(F1901&lt;=9,AS1901&gt;=AR1901),1,0)</x:f>
        <x:v>0</x:v>
      </x:c>
      <x:c r="F1902" s="8" t="n">
        <x:f>MIN(10,F1901+E1902)</x:f>
        <x:v>10</x:v>
      </x:c>
      <x:c r="G1902" s="8" t="n">
        <x:f>MIN(F1902,9)+1</x:f>
        <x:v>10</x:v>
      </x:c>
      <x:c r="H1902" s="8" t="n">
        <x:f>IF(F1902&lt;=9,1,0)</x:f>
        <x:v>0</x:v>
      </x:c>
      <x:c r="I1902" s="9" t="n">
        <x:f>MIN(10,F1901+IF(AR1901&gt;0,MIN(1,AS1901/AR1901),1))</x:f>
        <x:v>10</x:v>
      </x:c>
      <x:c r="J1902" s="32" t="n">
        <x:f>INDEX(v01_FoodCap,G1902)*Arch_FoodCap*EXP(v01_CapsByProject*SUMPRODUCT((Cap_Point&lt;=I1902)*(Cap_Kind="Food")*Cap_Ln))</x:f>
        <x:v>12000</x:v>
      </x:c>
      <x:c r="K1902" s="32" t="n">
        <x:f>J1902*MIN(1,v01_LeanBase*EXP(v01_CapsByProject*SUMPRODUCT((Cap_Point&lt;=I1902)*(Cap_Kind="Lean")*Cap_Ln)))</x:f>
        <x:v>12000</x:v>
      </x:c>
      <x:c r="L1902" s="10" t="n">
        <x:f>INDEX(v01_HousingCap,G1902)*EXP(v01_CapsByProject*SUMPRODUCT((Cap_Point&lt;=I1902)*(Cap_Kind="Housing")*Cap_Ln))</x:f>
        <x:v>20000</x:v>
      </x:c>
      <x:c r="M1902" s="10" t="n">
        <x:f>INDEX(v01_GroupCap,G1902)*v01_CohesionFactor*EXP(v01_CapsByProject*SUMPRODUCT((Cap_Point&lt;=I1902)*(Cap_Kind="Group")*Cap_Ln))</x:f>
        <x:v>1000000</x:v>
      </x:c>
      <x:c r="N1902" s="32" t="n">
        <x:f>MIN(J1902,L1902,M1902)</x:f>
        <x:v>12000</x:v>
      </x:c>
      <x:c r="O1902" s="10" t="n">
        <x:f>AE1901*N1902</x:f>
        <x:v>180000</x:v>
      </x:c>
      <x:c r="P1902" s="9" t="n">
        <x:f>MIN(1,(AB1901/(AE1901*IF(v01_GroupInCrowding=1,N1902,MIN(J1902,L1902))))^v01_CrowdingExp)</x:f>
        <x:v>0.00024569414295285325</x:v>
      </x:c>
      <x:c r="Q1902" s="9" t="n">
        <x:f>IF(D1902=1,INDEX(v01_WinterMult,G1902),1)</x:f>
        <x:v>1</x:v>
      </x:c>
      <x:c r="R1902" s="9" t="n">
        <x:f>H1902*Z1901*v01_WomenShare*v01_BaseFertility*INDEX(v01_FertMult,G1902)*Arch_Fertility*(1-P1902)</x:f>
        <x:v>0</x:v>
      </x:c>
      <x:c r="S1902" s="9" t="n">
        <x:f>H1902*Y1901*INDEX(v01_MortChild,G1902)/4*Q1902</x:f>
        <x:v>0</x:v>
      </x:c>
      <x:c r="T1902" s="9" t="n">
        <x:f>H1902*Z1901*INDEX(v01_MortAdult,G1902)*Arch_AdultMort/4*Q1902</x:f>
        <x:v>0</x:v>
      </x:c>
      <x:c r="U1902" s="9" t="n">
        <x:f>H1902*AA1901*INDEX(v01_MortElder,G1902)/4*Q1902</x:f>
        <x:v>0</x:v>
      </x:c>
      <x:c r="V1902" s="9" t="n">
        <x:f>H1902*MAX(0,AB1901-O1902)*v01_OvercapLoss</x:f>
        <x:v>0</x:v>
      </x:c>
      <x:c r="W1902" s="9" t="n">
        <x:f>H1902*Y1901/(v01_ChildYears*4)</x:f>
        <x:v>0</x:v>
      </x:c>
      <x:c r="X1902" s="9" t="n">
        <x:f>H1902*Z1901/(v01_AdultYears*4)</x:f>
        <x:v>0</x:v>
      </x:c>
      <x:c r="Y1902" s="32" t="n">
        <x:f>Y1901+R1902-S1902-W1902-Y1901*V1902/AB1901</x:f>
        <x:v>14306.18539759397</x:v>
      </x:c>
      <x:c r="Z1902" s="32" t="n">
        <x:f>Z1901+W1902-X1902-T1902-Z1901*V1902/AB1901</x:f>
        <x:v>19354.456567879548</x:v>
      </x:c>
      <x:c r="AA1902" s="32" t="n">
        <x:f>AA1901+X1902-U1902-AA1901*V1902/AB1901</x:f>
        <x:v>11386.956063258198</x:v>
      </x:c>
      <x:c r="AB1902" s="10" t="n">
        <x:f>Y1902+Z1902+AA1902</x:f>
        <x:v>45047.59802873172</x:v>
      </x:c>
      <x:c r="AC1902" s="8" t="n">
        <x:f>IF(AND(v01_WinterTrigger=1,D1902=1,AB1901/AE1901&gt;=K1902),1,0)</x:f>
        <x:v>0</x:v>
      </x:c>
      <x:c r="AD1902" s="8" t="n">
        <x:f>H1902*IF(AND(OR(AB1901/AE1901&gt;=v01_FissionTrigger*N1902,AC1902=1),AB1901/AE1901*v01_DaughterShare&gt;=v01_MinDaughter),MAX(1,ROUND(AE1901*v01_FissionRate,0)),0)</x:f>
        <x:v>0</x:v>
      </x:c>
      <x:c r="AE1902" s="8" t="n">
        <x:f>IF(H1902=1,MAX(1,MIN(INDEX(v01_Smax,G1902),AE1901+AD1902)),AE1901)</x:f>
        <x:v>15</x:v>
      </x:c>
      <x:c r="AF1902" s="8" t="n">
        <x:f>MAX(0,AE1902-AE1901)</x:f>
        <x:v>0</x:v>
      </x:c>
      <x:c r="AG1902" s="9" t="str">
        <x:f>IF(AF1902&gt;0,B1902,"")</x:f>
      </x:c>
      <x:c r="AH1902" s="9" t="n">
        <x:f>IF(F1902&gt;=1,1,(1+v01_LowTiesShare*(AE1902-1))/AE1902)</x:f>
        <x:v>1</x:v>
      </x:c>
      <x:c r="AI1902" s="32" t="n">
        <x:f>(Z1902+v01_ElderCommons*INDEX(LM_Elder,G1902)*AA1902)*AH1902</x:f>
        <x:v>64139.732591141874</x:v>
      </x:c>
      <x:c r="AJ1902" s="32" t="n">
        <x:f>H1902*v01_CommonsCoef*AI1902^v01_CommonsExp*INDEX(LM_Commons,G1902)</x:f>
        <x:v>0</x:v>
      </x:c>
      <x:c r="AK1902" s="32" t="n">
        <x:f>H1902*v01_RoleScale*Arch_Roles*(AE1902*(INDEX(v01_ElderRolePerSett,G1902)*v01_OutElder*INDEX(LM_Elder,G1902)+INDEX(v01_ShamanPerSett,G1902)*v01_OutShaman)+Z1902*(INDEX(v01_PriestShare,G1902)*v01_OutPriest+INDEX(v01_ScribeShare,G1902)*v01_OutScribe*INDEX(LM_Scribe,G1902)+INDEX(v01_ScholarShare,G1902)*v01_OutScholar*INDEX(LM_Scholar,G1902)+INDEX(v01_ResearcherShare,G1902)*v01_OutResearcher*INDEX(LM_Researcher,G1902)))</x:f>
        <x:v>0</x:v>
      </x:c>
      <x:c r="AL1902" s="32" t="n">
        <x:f>H1902*v01_RoleScale*Arch_Roles*AE1902*INDEX(v01_MonasteryPerSett,G1902)*v01_OutMonastery*INDEX(LM_Monastery,G1902)</x:f>
        <x:v>0</x:v>
      </x:c>
      <x:c r="AM1902" s="32" t="n">
        <x:f>(AJ1902+AK1902+AL1902)/4*INDEX(LM_All,G1902)*INDEX(v01_Boon,G1902)*Arch_Insight</x:f>
        <x:v>0</x:v>
      </x:c>
      <x:c r="AN1902" s="32" t="n">
        <x:f>H1902*(v01_KHPerAdult*Z1902+v01_KHOfCommons*AJ1902/4*INDEX(LM_All,G1902))*v01_KHUsable*Arch_KH</x:f>
        <x:v>0</x:v>
      </x:c>
      <x:c r="AO1902" s="32" t="n">
        <x:f>MIN(AP1901+AN1902,AM1902*v01_KHMaxRatio)</x:f>
        <x:v>0</x:v>
      </x:c>
      <x:c r="AP1902" s="32" t="n">
        <x:f>AP1901+AN1902-AO1902</x:f>
        <x:v>0</x:v>
      </x:c>
      <x:c r="AQ1902" s="32" t="n">
        <x:f>AM1902+AO1902</x:f>
        <x:v>0</x:v>
      </x:c>
      <x:c r="AR1902" s="10" t="n">
        <x:f>IF(H1902=1,INDEX(v01_Req,G1902),0)</x:f>
        <x:v>0</x:v>
      </x:c>
      <x:c r="AS1902" s="32" t="n">
        <x:f>IF(H1902=1,IF(E1902=1,AS1901-AR1901,AS1901)+AQ1902,0)</x:f>
        <x:v>0</x:v>
      </x:c>
      <x:c r="AT1902" s="11" t="n">
        <x:f>IF(AR1902&gt;0,MIN(1,AS1902/AR1902),1)</x:f>
        <x:v>1</x:v>
      </x:c>
      <x:c r="AU1902" s="10" t="n">
        <x:f>AB1902/INDEX(v01_RepScale,G1902)</x:f>
        <x:v>90.09519605746344</x:v>
      </x:c>
      <x:c r="AV1902" s="32" t="n">
        <x:f>AM1902*60/v01_SeasonSeconds</x:f>
        <x:v>0</x:v>
      </x:c>
    </x:row>
    <x:row r="1903">
      <x:c r="A1903" s="8" t="n">
        <x:f>A1902+1</x:f>
        <x:v>1900</x:v>
      </x:c>
      <x:c r="B1903" s="9" t="n">
        <x:f>A1903*v01_SeasonSeconds/60</x:f>
        <x:v>475</x:v>
      </x:c>
      <x:c r="C1903" s="9" t="n">
        <x:f>A1903/4</x:f>
        <x:v>475</x:v>
      </x:c>
      <x:c r="D1903" s="8" t="n">
        <x:f>IF(MOD(A1903,4)=0,1,0)</x:f>
        <x:v>1</x:v>
      </x:c>
      <x:c r="E1903" s="8" t="n">
        <x:f>IF(AND(F1902&lt;=9,AS1902&gt;=AR1902),1,0)</x:f>
        <x:v>0</x:v>
      </x:c>
      <x:c r="F1903" s="8" t="n">
        <x:f>MIN(10,F1902+E1903)</x:f>
        <x:v>10</x:v>
      </x:c>
      <x:c r="G1903" s="8" t="n">
        <x:f>MIN(F1903,9)+1</x:f>
        <x:v>10</x:v>
      </x:c>
      <x:c r="H1903" s="8" t="n">
        <x:f>IF(F1903&lt;=9,1,0)</x:f>
        <x:v>0</x:v>
      </x:c>
      <x:c r="I1903" s="9" t="n">
        <x:f>MIN(10,F1902+IF(AR1902&gt;0,MIN(1,AS1902/AR1902),1))</x:f>
        <x:v>10</x:v>
      </x:c>
      <x:c r="J1903" s="32" t="n">
        <x:f>INDEX(v01_FoodCap,G1903)*Arch_FoodCap*EXP(v01_CapsByProject*SUMPRODUCT((Cap_Point&lt;=I1903)*(Cap_Kind="Food")*Cap_Ln))</x:f>
        <x:v>12000</x:v>
      </x:c>
      <x:c r="K1903" s="32" t="n">
        <x:f>J1903*MIN(1,v01_LeanBase*EXP(v01_CapsByProject*SUMPRODUCT((Cap_Point&lt;=I1903)*(Cap_Kind="Lean")*Cap_Ln)))</x:f>
        <x:v>12000</x:v>
      </x:c>
      <x:c r="L1903" s="10" t="n">
        <x:f>INDEX(v01_HousingCap,G1903)*EXP(v01_CapsByProject*SUMPRODUCT((Cap_Point&lt;=I1903)*(Cap_Kind="Housing")*Cap_Ln))</x:f>
        <x:v>20000</x:v>
      </x:c>
      <x:c r="M1903" s="10" t="n">
        <x:f>INDEX(v01_GroupCap,G1903)*v01_CohesionFactor*EXP(v01_CapsByProject*SUMPRODUCT((Cap_Point&lt;=I1903)*(Cap_Kind="Group")*Cap_Ln))</x:f>
        <x:v>1000000</x:v>
      </x:c>
      <x:c r="N1903" s="32" t="n">
        <x:f>MIN(J1903,L1903,M1903)</x:f>
        <x:v>12000</x:v>
      </x:c>
      <x:c r="O1903" s="10" t="n">
        <x:f>AE1902*N1903</x:f>
        <x:v>180000</x:v>
      </x:c>
      <x:c r="P1903" s="9" t="n">
        <x:f>MIN(1,(AB1902/(AE1902*IF(v01_GroupInCrowding=1,N1903,MIN(J1903,L1903))))^v01_CrowdingExp)</x:f>
        <x:v>0.00024569414295285325</x:v>
      </x:c>
      <x:c r="Q1903" s="9" t="n">
        <x:f>IF(D1903=1,INDEX(v01_WinterMult,G1903),1)</x:f>
        <x:v>1</x:v>
      </x:c>
      <x:c r="R1903" s="9" t="n">
        <x:f>H1903*Z1902*v01_WomenShare*v01_BaseFertility*INDEX(v01_FertMult,G1903)*Arch_Fertility*(1-P1903)</x:f>
        <x:v>0</x:v>
      </x:c>
      <x:c r="S1903" s="9" t="n">
        <x:f>H1903*Y1902*INDEX(v01_MortChild,G1903)/4*Q1903</x:f>
        <x:v>0</x:v>
      </x:c>
      <x:c r="T1903" s="9" t="n">
        <x:f>H1903*Z1902*INDEX(v01_MortAdult,G1903)*Arch_AdultMort/4*Q1903</x:f>
        <x:v>0</x:v>
      </x:c>
      <x:c r="U1903" s="9" t="n">
        <x:f>H1903*AA1902*INDEX(v01_MortElder,G1903)/4*Q1903</x:f>
        <x:v>0</x:v>
      </x:c>
      <x:c r="V1903" s="9" t="n">
        <x:f>H1903*MAX(0,AB1902-O1903)*v01_OvercapLoss</x:f>
        <x:v>0</x:v>
      </x:c>
      <x:c r="W1903" s="9" t="n">
        <x:f>H1903*Y1902/(v01_ChildYears*4)</x:f>
        <x:v>0</x:v>
      </x:c>
      <x:c r="X1903" s="9" t="n">
        <x:f>H1903*Z1902/(v01_AdultYears*4)</x:f>
        <x:v>0</x:v>
      </x:c>
      <x:c r="Y1903" s="32" t="n">
        <x:f>Y1902+R1903-S1903-W1903-Y1902*V1903/AB1902</x:f>
        <x:v>14306.18539759397</x:v>
      </x:c>
      <x:c r="Z1903" s="32" t="n">
        <x:f>Z1902+W1903-X1903-T1903-Z1902*V1903/AB1902</x:f>
        <x:v>19354.456567879548</x:v>
      </x:c>
      <x:c r="AA1903" s="32" t="n">
        <x:f>AA1902+X1903-U1903-AA1902*V1903/AB1902</x:f>
        <x:v>11386.956063258198</x:v>
      </x:c>
      <x:c r="AB1903" s="10" t="n">
        <x:f>Y1903+Z1903+AA1903</x:f>
        <x:v>45047.59802873172</x:v>
      </x:c>
      <x:c r="AC1903" s="8" t="n">
        <x:f>IF(AND(v01_WinterTrigger=1,D1903=1,AB1902/AE1902&gt;=K1903),1,0)</x:f>
        <x:v>0</x:v>
      </x:c>
      <x:c r="AD1903" s="8" t="n">
        <x:f>H1903*IF(AND(OR(AB1902/AE1902&gt;=v01_FissionTrigger*N1903,AC1903=1),AB1902/AE1902*v01_DaughterShare&gt;=v01_MinDaughter),MAX(1,ROUND(AE1902*v01_FissionRate,0)),0)</x:f>
        <x:v>0</x:v>
      </x:c>
      <x:c r="AE1903" s="8" t="n">
        <x:f>IF(H1903=1,MAX(1,MIN(INDEX(v01_Smax,G1903),AE1902+AD1903)),AE1902)</x:f>
        <x:v>15</x:v>
      </x:c>
      <x:c r="AF1903" s="8" t="n">
        <x:f>MAX(0,AE1903-AE1902)</x:f>
        <x:v>0</x:v>
      </x:c>
      <x:c r="AG1903" s="9" t="str">
        <x:f>IF(AF1903&gt;0,B1903,"")</x:f>
      </x:c>
      <x:c r="AH1903" s="9" t="n">
        <x:f>IF(F1903&gt;=1,1,(1+v01_LowTiesShare*(AE1903-1))/AE1903)</x:f>
        <x:v>1</x:v>
      </x:c>
      <x:c r="AI1903" s="32" t="n">
        <x:f>(Z1903+v01_ElderCommons*INDEX(LM_Elder,G1903)*AA1903)*AH1903</x:f>
        <x:v>64139.732591141874</x:v>
      </x:c>
      <x:c r="AJ1903" s="32" t="n">
        <x:f>H1903*v01_CommonsCoef*AI1903^v01_CommonsExp*INDEX(LM_Commons,G1903)</x:f>
        <x:v>0</x:v>
      </x:c>
      <x:c r="AK1903" s="32" t="n">
        <x:f>H1903*v01_RoleScale*Arch_Roles*(AE1903*(INDEX(v01_ElderRolePerSett,G1903)*v01_OutElder*INDEX(LM_Elder,G1903)+INDEX(v01_ShamanPerSett,G1903)*v01_OutShaman)+Z1903*(INDEX(v01_PriestShare,G1903)*v01_OutPriest+INDEX(v01_ScribeShare,G1903)*v01_OutScribe*INDEX(LM_Scribe,G1903)+INDEX(v01_ScholarShare,G1903)*v01_OutScholar*INDEX(LM_Scholar,G1903)+INDEX(v01_ResearcherShare,G1903)*v01_OutResearcher*INDEX(LM_Researcher,G1903)))</x:f>
        <x:v>0</x:v>
      </x:c>
      <x:c r="AL1903" s="32" t="n">
        <x:f>H1903*v01_RoleScale*Arch_Roles*AE1903*INDEX(v01_MonasteryPerSett,G1903)*v01_OutMonastery*INDEX(LM_Monastery,G1903)</x:f>
        <x:v>0</x:v>
      </x:c>
      <x:c r="AM1903" s="32" t="n">
        <x:f>(AJ1903+AK1903+AL1903)/4*INDEX(LM_All,G1903)*INDEX(v01_Boon,G1903)*Arch_Insight</x:f>
        <x:v>0</x:v>
      </x:c>
      <x:c r="AN1903" s="32" t="n">
        <x:f>H1903*(v01_KHPerAdult*Z1903+v01_KHOfCommons*AJ1903/4*INDEX(LM_All,G1903))*v01_KHUsable*Arch_KH</x:f>
        <x:v>0</x:v>
      </x:c>
      <x:c r="AO1903" s="32" t="n">
        <x:f>MIN(AP1902+AN1903,AM1903*v01_KHMaxRatio)</x:f>
        <x:v>0</x:v>
      </x:c>
      <x:c r="AP1903" s="32" t="n">
        <x:f>AP1902+AN1903-AO1903</x:f>
        <x:v>0</x:v>
      </x:c>
      <x:c r="AQ1903" s="32" t="n">
        <x:f>AM1903+AO1903</x:f>
        <x:v>0</x:v>
      </x:c>
      <x:c r="AR1903" s="10" t="n">
        <x:f>IF(H1903=1,INDEX(v01_Req,G1903),0)</x:f>
        <x:v>0</x:v>
      </x:c>
      <x:c r="AS1903" s="32" t="n">
        <x:f>IF(H1903=1,IF(E1903=1,AS1902-AR1902,AS1902)+AQ1903,0)</x:f>
        <x:v>0</x:v>
      </x:c>
      <x:c r="AT1903" s="11" t="n">
        <x:f>IF(AR1903&gt;0,MIN(1,AS1903/AR1903),1)</x:f>
        <x:v>1</x:v>
      </x:c>
      <x:c r="AU1903" s="10" t="n">
        <x:f>AB1903/INDEX(v01_RepScale,G1903)</x:f>
        <x:v>90.09519605746344</x:v>
      </x:c>
      <x:c r="AV1903" s="32" t="n">
        <x:f>AM1903*60/v01_SeasonSeconds</x:f>
        <x:v>0</x:v>
      </x:c>
    </x:row>
    <x:row r="1904">
      <x:c r="A1904" s="8" t="n">
        <x:f>A1903+1</x:f>
        <x:v>1901</x:v>
      </x:c>
      <x:c r="B1904" s="9" t="n">
        <x:f>A1904*v01_SeasonSeconds/60</x:f>
        <x:v>475.25</x:v>
      </x:c>
      <x:c r="C1904" s="9" t="n">
        <x:f>A1904/4</x:f>
        <x:v>475.25</x:v>
      </x:c>
      <x:c r="D1904" s="8" t="n">
        <x:f>IF(MOD(A1904,4)=0,1,0)</x:f>
        <x:v>0</x:v>
      </x:c>
      <x:c r="E1904" s="8" t="n">
        <x:f>IF(AND(F1903&lt;=9,AS1903&gt;=AR1903),1,0)</x:f>
        <x:v>0</x:v>
      </x:c>
      <x:c r="F1904" s="8" t="n">
        <x:f>MIN(10,F1903+E1904)</x:f>
        <x:v>10</x:v>
      </x:c>
      <x:c r="G1904" s="8" t="n">
        <x:f>MIN(F1904,9)+1</x:f>
        <x:v>10</x:v>
      </x:c>
      <x:c r="H1904" s="8" t="n">
        <x:f>IF(F1904&lt;=9,1,0)</x:f>
        <x:v>0</x:v>
      </x:c>
      <x:c r="I1904" s="9" t="n">
        <x:f>MIN(10,F1903+IF(AR1903&gt;0,MIN(1,AS1903/AR1903),1))</x:f>
        <x:v>10</x:v>
      </x:c>
      <x:c r="J1904" s="32" t="n">
        <x:f>INDEX(v01_FoodCap,G1904)*Arch_FoodCap*EXP(v01_CapsByProject*SUMPRODUCT((Cap_Point&lt;=I1904)*(Cap_Kind="Food")*Cap_Ln))</x:f>
        <x:v>12000</x:v>
      </x:c>
      <x:c r="K1904" s="32" t="n">
        <x:f>J1904*MIN(1,v01_LeanBase*EXP(v01_CapsByProject*SUMPRODUCT((Cap_Point&lt;=I1904)*(Cap_Kind="Lean")*Cap_Ln)))</x:f>
        <x:v>12000</x:v>
      </x:c>
      <x:c r="L1904" s="10" t="n">
        <x:f>INDEX(v01_HousingCap,G1904)*EXP(v01_CapsByProject*SUMPRODUCT((Cap_Point&lt;=I1904)*(Cap_Kind="Housing")*Cap_Ln))</x:f>
        <x:v>20000</x:v>
      </x:c>
      <x:c r="M1904" s="10" t="n">
        <x:f>INDEX(v01_GroupCap,G1904)*v01_CohesionFactor*EXP(v01_CapsByProject*SUMPRODUCT((Cap_Point&lt;=I1904)*(Cap_Kind="Group")*Cap_Ln))</x:f>
        <x:v>1000000</x:v>
      </x:c>
      <x:c r="N1904" s="32" t="n">
        <x:f>MIN(J1904,L1904,M1904)</x:f>
        <x:v>12000</x:v>
      </x:c>
      <x:c r="O1904" s="10" t="n">
        <x:f>AE1903*N1904</x:f>
        <x:v>180000</x:v>
      </x:c>
      <x:c r="P1904" s="9" t="n">
        <x:f>MIN(1,(AB1903/(AE1903*IF(v01_GroupInCrowding=1,N1904,MIN(J1904,L1904))))^v01_CrowdingExp)</x:f>
        <x:v>0.00024569414295285325</x:v>
      </x:c>
      <x:c r="Q1904" s="9" t="n">
        <x:f>IF(D1904=1,INDEX(v01_WinterMult,G1904),1)</x:f>
        <x:v>1</x:v>
      </x:c>
      <x:c r="R1904" s="9" t="n">
        <x:f>H1904*Z1903*v01_WomenShare*v01_BaseFertility*INDEX(v01_FertMult,G1904)*Arch_Fertility*(1-P1904)</x:f>
        <x:v>0</x:v>
      </x:c>
      <x:c r="S1904" s="9" t="n">
        <x:f>H1904*Y1903*INDEX(v01_MortChild,G1904)/4*Q1904</x:f>
        <x:v>0</x:v>
      </x:c>
      <x:c r="T1904" s="9" t="n">
        <x:f>H1904*Z1903*INDEX(v01_MortAdult,G1904)*Arch_AdultMort/4*Q1904</x:f>
        <x:v>0</x:v>
      </x:c>
      <x:c r="U1904" s="9" t="n">
        <x:f>H1904*AA1903*INDEX(v01_MortElder,G1904)/4*Q1904</x:f>
        <x:v>0</x:v>
      </x:c>
      <x:c r="V1904" s="9" t="n">
        <x:f>H1904*MAX(0,AB1903-O1904)*v01_OvercapLoss</x:f>
        <x:v>0</x:v>
      </x:c>
      <x:c r="W1904" s="9" t="n">
        <x:f>H1904*Y1903/(v01_ChildYears*4)</x:f>
        <x:v>0</x:v>
      </x:c>
      <x:c r="X1904" s="9" t="n">
        <x:f>H1904*Z1903/(v01_AdultYears*4)</x:f>
        <x:v>0</x:v>
      </x:c>
      <x:c r="Y1904" s="32" t="n">
        <x:f>Y1903+R1904-S1904-W1904-Y1903*V1904/AB1903</x:f>
        <x:v>14306.18539759397</x:v>
      </x:c>
      <x:c r="Z1904" s="32" t="n">
        <x:f>Z1903+W1904-X1904-T1904-Z1903*V1904/AB1903</x:f>
        <x:v>19354.456567879548</x:v>
      </x:c>
      <x:c r="AA1904" s="32" t="n">
        <x:f>AA1903+X1904-U1904-AA1903*V1904/AB1903</x:f>
        <x:v>11386.956063258198</x:v>
      </x:c>
      <x:c r="AB1904" s="10" t="n">
        <x:f>Y1904+Z1904+AA1904</x:f>
        <x:v>45047.59802873172</x:v>
      </x:c>
      <x:c r="AC1904" s="8" t="n">
        <x:f>IF(AND(v01_WinterTrigger=1,D1904=1,AB1903/AE1903&gt;=K1904),1,0)</x:f>
        <x:v>0</x:v>
      </x:c>
      <x:c r="AD1904" s="8" t="n">
        <x:f>H1904*IF(AND(OR(AB1903/AE1903&gt;=v01_FissionTrigger*N1904,AC1904=1),AB1903/AE1903*v01_DaughterShare&gt;=v01_MinDaughter),MAX(1,ROUND(AE1903*v01_FissionRate,0)),0)</x:f>
        <x:v>0</x:v>
      </x:c>
      <x:c r="AE1904" s="8" t="n">
        <x:f>IF(H1904=1,MAX(1,MIN(INDEX(v01_Smax,G1904),AE1903+AD1904)),AE1903)</x:f>
        <x:v>15</x:v>
      </x:c>
      <x:c r="AF1904" s="8" t="n">
        <x:f>MAX(0,AE1904-AE1903)</x:f>
        <x:v>0</x:v>
      </x:c>
      <x:c r="AG1904" s="9" t="str">
        <x:f>IF(AF1904&gt;0,B1904,"")</x:f>
      </x:c>
      <x:c r="AH1904" s="9" t="n">
        <x:f>IF(F1904&gt;=1,1,(1+v01_LowTiesShare*(AE1904-1))/AE1904)</x:f>
        <x:v>1</x:v>
      </x:c>
      <x:c r="AI1904" s="32" t="n">
        <x:f>(Z1904+v01_ElderCommons*INDEX(LM_Elder,G1904)*AA1904)*AH1904</x:f>
        <x:v>64139.732591141874</x:v>
      </x:c>
      <x:c r="AJ1904" s="32" t="n">
        <x:f>H1904*v01_CommonsCoef*AI1904^v01_CommonsExp*INDEX(LM_Commons,G1904)</x:f>
        <x:v>0</x:v>
      </x:c>
      <x:c r="AK1904" s="32" t="n">
        <x:f>H1904*v01_RoleScale*Arch_Roles*(AE1904*(INDEX(v01_ElderRolePerSett,G1904)*v01_OutElder*INDEX(LM_Elder,G1904)+INDEX(v01_ShamanPerSett,G1904)*v01_OutShaman)+Z1904*(INDEX(v01_PriestShare,G1904)*v01_OutPriest+INDEX(v01_ScribeShare,G1904)*v01_OutScribe*INDEX(LM_Scribe,G1904)+INDEX(v01_ScholarShare,G1904)*v01_OutScholar*INDEX(LM_Scholar,G1904)+INDEX(v01_ResearcherShare,G1904)*v01_OutResearcher*INDEX(LM_Researcher,G1904)))</x:f>
        <x:v>0</x:v>
      </x:c>
      <x:c r="AL1904" s="32" t="n">
        <x:f>H1904*v01_RoleScale*Arch_Roles*AE1904*INDEX(v01_MonasteryPerSett,G1904)*v01_OutMonastery*INDEX(LM_Monastery,G1904)</x:f>
        <x:v>0</x:v>
      </x:c>
      <x:c r="AM1904" s="32" t="n">
        <x:f>(AJ1904+AK1904+AL1904)/4*INDEX(LM_All,G1904)*INDEX(v01_Boon,G1904)*Arch_Insight</x:f>
        <x:v>0</x:v>
      </x:c>
      <x:c r="AN1904" s="32" t="n">
        <x:f>H1904*(v01_KHPerAdult*Z1904+v01_KHOfCommons*AJ1904/4*INDEX(LM_All,G1904))*v01_KHUsable*Arch_KH</x:f>
        <x:v>0</x:v>
      </x:c>
      <x:c r="AO1904" s="32" t="n">
        <x:f>MIN(AP1903+AN1904,AM1904*v01_KHMaxRatio)</x:f>
        <x:v>0</x:v>
      </x:c>
      <x:c r="AP1904" s="32" t="n">
        <x:f>AP1903+AN1904-AO1904</x:f>
        <x:v>0</x:v>
      </x:c>
      <x:c r="AQ1904" s="32" t="n">
        <x:f>AM1904+AO1904</x:f>
        <x:v>0</x:v>
      </x:c>
      <x:c r="AR1904" s="10" t="n">
        <x:f>IF(H1904=1,INDEX(v01_Req,G1904),0)</x:f>
        <x:v>0</x:v>
      </x:c>
      <x:c r="AS1904" s="32" t="n">
        <x:f>IF(H1904=1,IF(E1904=1,AS1903-AR1903,AS1903)+AQ1904,0)</x:f>
        <x:v>0</x:v>
      </x:c>
      <x:c r="AT1904" s="11" t="n">
        <x:f>IF(AR1904&gt;0,MIN(1,AS1904/AR1904),1)</x:f>
        <x:v>1</x:v>
      </x:c>
      <x:c r="AU1904" s="10" t="n">
        <x:f>AB1904/INDEX(v01_RepScale,G1904)</x:f>
        <x:v>90.09519605746344</x:v>
      </x:c>
      <x:c r="AV1904" s="32" t="n">
        <x:f>AM1904*60/v01_SeasonSeconds</x:f>
        <x:v>0</x:v>
      </x:c>
    </x:row>
    <x:row r="1905">
      <x:c r="A1905" s="8" t="n">
        <x:f>A1904+1</x:f>
        <x:v>1902</x:v>
      </x:c>
      <x:c r="B1905" s="9" t="n">
        <x:f>A1905*v01_SeasonSeconds/60</x:f>
        <x:v>475.5</x:v>
      </x:c>
      <x:c r="C1905" s="9" t="n">
        <x:f>A1905/4</x:f>
        <x:v>475.5</x:v>
      </x:c>
      <x:c r="D1905" s="8" t="n">
        <x:f>IF(MOD(A1905,4)=0,1,0)</x:f>
        <x:v>0</x:v>
      </x:c>
      <x:c r="E1905" s="8" t="n">
        <x:f>IF(AND(F1904&lt;=9,AS1904&gt;=AR1904),1,0)</x:f>
        <x:v>0</x:v>
      </x:c>
      <x:c r="F1905" s="8" t="n">
        <x:f>MIN(10,F1904+E1905)</x:f>
        <x:v>10</x:v>
      </x:c>
      <x:c r="G1905" s="8" t="n">
        <x:f>MIN(F1905,9)+1</x:f>
        <x:v>10</x:v>
      </x:c>
      <x:c r="H1905" s="8" t="n">
        <x:f>IF(F1905&lt;=9,1,0)</x:f>
        <x:v>0</x:v>
      </x:c>
      <x:c r="I1905" s="9" t="n">
        <x:f>MIN(10,F1904+IF(AR1904&gt;0,MIN(1,AS1904/AR1904),1))</x:f>
        <x:v>10</x:v>
      </x:c>
      <x:c r="J1905" s="32" t="n">
        <x:f>INDEX(v01_FoodCap,G1905)*Arch_FoodCap*EXP(v01_CapsByProject*SUMPRODUCT((Cap_Point&lt;=I1905)*(Cap_Kind="Food")*Cap_Ln))</x:f>
        <x:v>12000</x:v>
      </x:c>
      <x:c r="K1905" s="32" t="n">
        <x:f>J1905*MIN(1,v01_LeanBase*EXP(v01_CapsByProject*SUMPRODUCT((Cap_Point&lt;=I1905)*(Cap_Kind="Lean")*Cap_Ln)))</x:f>
        <x:v>12000</x:v>
      </x:c>
      <x:c r="L1905" s="10" t="n">
        <x:f>INDEX(v01_HousingCap,G1905)*EXP(v01_CapsByProject*SUMPRODUCT((Cap_Point&lt;=I1905)*(Cap_Kind="Housing")*Cap_Ln))</x:f>
        <x:v>20000</x:v>
      </x:c>
      <x:c r="M1905" s="10" t="n">
        <x:f>INDEX(v01_GroupCap,G1905)*v01_CohesionFactor*EXP(v01_CapsByProject*SUMPRODUCT((Cap_Point&lt;=I1905)*(Cap_Kind="Group")*Cap_Ln))</x:f>
        <x:v>1000000</x:v>
      </x:c>
      <x:c r="N1905" s="32" t="n">
        <x:f>MIN(J1905,L1905,M1905)</x:f>
        <x:v>12000</x:v>
      </x:c>
      <x:c r="O1905" s="10" t="n">
        <x:f>AE1904*N1905</x:f>
        <x:v>180000</x:v>
      </x:c>
      <x:c r="P1905" s="9" t="n">
        <x:f>MIN(1,(AB1904/(AE1904*IF(v01_GroupInCrowding=1,N1905,MIN(J1905,L1905))))^v01_CrowdingExp)</x:f>
        <x:v>0.00024569414295285325</x:v>
      </x:c>
      <x:c r="Q1905" s="9" t="n">
        <x:f>IF(D1905=1,INDEX(v01_WinterMult,G1905),1)</x:f>
        <x:v>1</x:v>
      </x:c>
      <x:c r="R1905" s="9" t="n">
        <x:f>H1905*Z1904*v01_WomenShare*v01_BaseFertility*INDEX(v01_FertMult,G1905)*Arch_Fertility*(1-P1905)</x:f>
        <x:v>0</x:v>
      </x:c>
      <x:c r="S1905" s="9" t="n">
        <x:f>H1905*Y1904*INDEX(v01_MortChild,G1905)/4*Q1905</x:f>
        <x:v>0</x:v>
      </x:c>
      <x:c r="T1905" s="9" t="n">
        <x:f>H1905*Z1904*INDEX(v01_MortAdult,G1905)*Arch_AdultMort/4*Q1905</x:f>
        <x:v>0</x:v>
      </x:c>
      <x:c r="U1905" s="9" t="n">
        <x:f>H1905*AA1904*INDEX(v01_MortElder,G1905)/4*Q1905</x:f>
        <x:v>0</x:v>
      </x:c>
      <x:c r="V1905" s="9" t="n">
        <x:f>H1905*MAX(0,AB1904-O1905)*v01_OvercapLoss</x:f>
        <x:v>0</x:v>
      </x:c>
      <x:c r="W1905" s="9" t="n">
        <x:f>H1905*Y1904/(v01_ChildYears*4)</x:f>
        <x:v>0</x:v>
      </x:c>
      <x:c r="X1905" s="9" t="n">
        <x:f>H1905*Z1904/(v01_AdultYears*4)</x:f>
        <x:v>0</x:v>
      </x:c>
      <x:c r="Y1905" s="32" t="n">
        <x:f>Y1904+R1905-S1905-W1905-Y1904*V1905/AB1904</x:f>
        <x:v>14306.18539759397</x:v>
      </x:c>
      <x:c r="Z1905" s="32" t="n">
        <x:f>Z1904+W1905-X1905-T1905-Z1904*V1905/AB1904</x:f>
        <x:v>19354.456567879548</x:v>
      </x:c>
      <x:c r="AA1905" s="32" t="n">
        <x:f>AA1904+X1905-U1905-AA1904*V1905/AB1904</x:f>
        <x:v>11386.956063258198</x:v>
      </x:c>
      <x:c r="AB1905" s="10" t="n">
        <x:f>Y1905+Z1905+AA1905</x:f>
        <x:v>45047.59802873172</x:v>
      </x:c>
      <x:c r="AC1905" s="8" t="n">
        <x:f>IF(AND(v01_WinterTrigger=1,D1905=1,AB1904/AE1904&gt;=K1905),1,0)</x:f>
        <x:v>0</x:v>
      </x:c>
      <x:c r="AD1905" s="8" t="n">
        <x:f>H1905*IF(AND(OR(AB1904/AE1904&gt;=v01_FissionTrigger*N1905,AC1905=1),AB1904/AE1904*v01_DaughterShare&gt;=v01_MinDaughter),MAX(1,ROUND(AE1904*v01_FissionRate,0)),0)</x:f>
        <x:v>0</x:v>
      </x:c>
      <x:c r="AE1905" s="8" t="n">
        <x:f>IF(H1905=1,MAX(1,MIN(INDEX(v01_Smax,G1905),AE1904+AD1905)),AE1904)</x:f>
        <x:v>15</x:v>
      </x:c>
      <x:c r="AF1905" s="8" t="n">
        <x:f>MAX(0,AE1905-AE1904)</x:f>
        <x:v>0</x:v>
      </x:c>
      <x:c r="AG1905" s="9" t="str">
        <x:f>IF(AF1905&gt;0,B1905,"")</x:f>
      </x:c>
      <x:c r="AH1905" s="9" t="n">
        <x:f>IF(F1905&gt;=1,1,(1+v01_LowTiesShare*(AE1905-1))/AE1905)</x:f>
        <x:v>1</x:v>
      </x:c>
      <x:c r="AI1905" s="32" t="n">
        <x:f>(Z1905+v01_ElderCommons*INDEX(LM_Elder,G1905)*AA1905)*AH1905</x:f>
        <x:v>64139.732591141874</x:v>
      </x:c>
      <x:c r="AJ1905" s="32" t="n">
        <x:f>H1905*v01_CommonsCoef*AI1905^v01_CommonsExp*INDEX(LM_Commons,G1905)</x:f>
        <x:v>0</x:v>
      </x:c>
      <x:c r="AK1905" s="32" t="n">
        <x:f>H1905*v01_RoleScale*Arch_Roles*(AE1905*(INDEX(v01_ElderRolePerSett,G1905)*v01_OutElder*INDEX(LM_Elder,G1905)+INDEX(v01_ShamanPerSett,G1905)*v01_OutShaman)+Z1905*(INDEX(v01_PriestShare,G1905)*v01_OutPriest+INDEX(v01_ScribeShare,G1905)*v01_OutScribe*INDEX(LM_Scribe,G1905)+INDEX(v01_ScholarShare,G1905)*v01_OutScholar*INDEX(LM_Scholar,G1905)+INDEX(v01_ResearcherShare,G1905)*v01_OutResearcher*INDEX(LM_Researcher,G1905)))</x:f>
        <x:v>0</x:v>
      </x:c>
      <x:c r="AL1905" s="32" t="n">
        <x:f>H1905*v01_RoleScale*Arch_Roles*AE1905*INDEX(v01_MonasteryPerSett,G1905)*v01_OutMonastery*INDEX(LM_Monastery,G1905)</x:f>
        <x:v>0</x:v>
      </x:c>
      <x:c r="AM1905" s="32" t="n">
        <x:f>(AJ1905+AK1905+AL1905)/4*INDEX(LM_All,G1905)*INDEX(v01_Boon,G1905)*Arch_Insight</x:f>
        <x:v>0</x:v>
      </x:c>
      <x:c r="AN1905" s="32" t="n">
        <x:f>H1905*(v01_KHPerAdult*Z1905+v01_KHOfCommons*AJ1905/4*INDEX(LM_All,G1905))*v01_KHUsable*Arch_KH</x:f>
        <x:v>0</x:v>
      </x:c>
      <x:c r="AO1905" s="32" t="n">
        <x:f>MIN(AP1904+AN1905,AM1905*v01_KHMaxRatio)</x:f>
        <x:v>0</x:v>
      </x:c>
      <x:c r="AP1905" s="32" t="n">
        <x:f>AP1904+AN1905-AO1905</x:f>
        <x:v>0</x:v>
      </x:c>
      <x:c r="AQ1905" s="32" t="n">
        <x:f>AM1905+AO1905</x:f>
        <x:v>0</x:v>
      </x:c>
      <x:c r="AR1905" s="10" t="n">
        <x:f>IF(H1905=1,INDEX(v01_Req,G1905),0)</x:f>
        <x:v>0</x:v>
      </x:c>
      <x:c r="AS1905" s="32" t="n">
        <x:f>IF(H1905=1,IF(E1905=1,AS1904-AR1904,AS1904)+AQ1905,0)</x:f>
        <x:v>0</x:v>
      </x:c>
      <x:c r="AT1905" s="11" t="n">
        <x:f>IF(AR1905&gt;0,MIN(1,AS1905/AR1905),1)</x:f>
        <x:v>1</x:v>
      </x:c>
      <x:c r="AU1905" s="10" t="n">
        <x:f>AB1905/INDEX(v01_RepScale,G1905)</x:f>
        <x:v>90.09519605746344</x:v>
      </x:c>
      <x:c r="AV1905" s="32" t="n">
        <x:f>AM1905*60/v01_SeasonSeconds</x:f>
        <x:v>0</x:v>
      </x:c>
    </x:row>
    <x:row r="1906">
      <x:c r="A1906" s="8" t="n">
        <x:f>A1905+1</x:f>
        <x:v>1903</x:v>
      </x:c>
      <x:c r="B1906" s="9" t="n">
        <x:f>A1906*v01_SeasonSeconds/60</x:f>
        <x:v>475.75</x:v>
      </x:c>
      <x:c r="C1906" s="9" t="n">
        <x:f>A1906/4</x:f>
        <x:v>475.75</x:v>
      </x:c>
      <x:c r="D1906" s="8" t="n">
        <x:f>IF(MOD(A1906,4)=0,1,0)</x:f>
        <x:v>0</x:v>
      </x:c>
      <x:c r="E1906" s="8" t="n">
        <x:f>IF(AND(F1905&lt;=9,AS1905&gt;=AR1905),1,0)</x:f>
        <x:v>0</x:v>
      </x:c>
      <x:c r="F1906" s="8" t="n">
        <x:f>MIN(10,F1905+E1906)</x:f>
        <x:v>10</x:v>
      </x:c>
      <x:c r="G1906" s="8" t="n">
        <x:f>MIN(F1906,9)+1</x:f>
        <x:v>10</x:v>
      </x:c>
      <x:c r="H1906" s="8" t="n">
        <x:f>IF(F1906&lt;=9,1,0)</x:f>
        <x:v>0</x:v>
      </x:c>
      <x:c r="I1906" s="9" t="n">
        <x:f>MIN(10,F1905+IF(AR1905&gt;0,MIN(1,AS1905/AR1905),1))</x:f>
        <x:v>10</x:v>
      </x:c>
      <x:c r="J1906" s="32" t="n">
        <x:f>INDEX(v01_FoodCap,G1906)*Arch_FoodCap*EXP(v01_CapsByProject*SUMPRODUCT((Cap_Point&lt;=I1906)*(Cap_Kind="Food")*Cap_Ln))</x:f>
        <x:v>12000</x:v>
      </x:c>
      <x:c r="K1906" s="32" t="n">
        <x:f>J1906*MIN(1,v01_LeanBase*EXP(v01_CapsByProject*SUMPRODUCT((Cap_Point&lt;=I1906)*(Cap_Kind="Lean")*Cap_Ln)))</x:f>
        <x:v>12000</x:v>
      </x:c>
      <x:c r="L1906" s="10" t="n">
        <x:f>INDEX(v01_HousingCap,G1906)*EXP(v01_CapsByProject*SUMPRODUCT((Cap_Point&lt;=I1906)*(Cap_Kind="Housing")*Cap_Ln))</x:f>
        <x:v>20000</x:v>
      </x:c>
      <x:c r="M1906" s="10" t="n">
        <x:f>INDEX(v01_GroupCap,G1906)*v01_CohesionFactor*EXP(v01_CapsByProject*SUMPRODUCT((Cap_Point&lt;=I1906)*(Cap_Kind="Group")*Cap_Ln))</x:f>
        <x:v>1000000</x:v>
      </x:c>
      <x:c r="N1906" s="32" t="n">
        <x:f>MIN(J1906,L1906,M1906)</x:f>
        <x:v>12000</x:v>
      </x:c>
      <x:c r="O1906" s="10" t="n">
        <x:f>AE1905*N1906</x:f>
        <x:v>180000</x:v>
      </x:c>
      <x:c r="P1906" s="9" t="n">
        <x:f>MIN(1,(AB1905/(AE1905*IF(v01_GroupInCrowding=1,N1906,MIN(J1906,L1906))))^v01_CrowdingExp)</x:f>
        <x:v>0.00024569414295285325</x:v>
      </x:c>
      <x:c r="Q1906" s="9" t="n">
        <x:f>IF(D1906=1,INDEX(v01_WinterMult,G1906),1)</x:f>
        <x:v>1</x:v>
      </x:c>
      <x:c r="R1906" s="9" t="n">
        <x:f>H1906*Z1905*v01_WomenShare*v01_BaseFertility*INDEX(v01_FertMult,G1906)*Arch_Fertility*(1-P1906)</x:f>
        <x:v>0</x:v>
      </x:c>
      <x:c r="S1906" s="9" t="n">
        <x:f>H1906*Y1905*INDEX(v01_MortChild,G1906)/4*Q1906</x:f>
        <x:v>0</x:v>
      </x:c>
      <x:c r="T1906" s="9" t="n">
        <x:f>H1906*Z1905*INDEX(v01_MortAdult,G1906)*Arch_AdultMort/4*Q1906</x:f>
        <x:v>0</x:v>
      </x:c>
      <x:c r="U1906" s="9" t="n">
        <x:f>H1906*AA1905*INDEX(v01_MortElder,G1906)/4*Q1906</x:f>
        <x:v>0</x:v>
      </x:c>
      <x:c r="V1906" s="9" t="n">
        <x:f>H1906*MAX(0,AB1905-O1906)*v01_OvercapLoss</x:f>
        <x:v>0</x:v>
      </x:c>
      <x:c r="W1906" s="9" t="n">
        <x:f>H1906*Y1905/(v01_ChildYears*4)</x:f>
        <x:v>0</x:v>
      </x:c>
      <x:c r="X1906" s="9" t="n">
        <x:f>H1906*Z1905/(v01_AdultYears*4)</x:f>
        <x:v>0</x:v>
      </x:c>
      <x:c r="Y1906" s="32" t="n">
        <x:f>Y1905+R1906-S1906-W1906-Y1905*V1906/AB1905</x:f>
        <x:v>14306.18539759397</x:v>
      </x:c>
      <x:c r="Z1906" s="32" t="n">
        <x:f>Z1905+W1906-X1906-T1906-Z1905*V1906/AB1905</x:f>
        <x:v>19354.456567879548</x:v>
      </x:c>
      <x:c r="AA1906" s="32" t="n">
        <x:f>AA1905+X1906-U1906-AA1905*V1906/AB1905</x:f>
        <x:v>11386.956063258198</x:v>
      </x:c>
      <x:c r="AB1906" s="10" t="n">
        <x:f>Y1906+Z1906+AA1906</x:f>
        <x:v>45047.59802873172</x:v>
      </x:c>
      <x:c r="AC1906" s="8" t="n">
        <x:f>IF(AND(v01_WinterTrigger=1,D1906=1,AB1905/AE1905&gt;=K1906),1,0)</x:f>
        <x:v>0</x:v>
      </x:c>
      <x:c r="AD1906" s="8" t="n">
        <x:f>H1906*IF(AND(OR(AB1905/AE1905&gt;=v01_FissionTrigger*N1906,AC1906=1),AB1905/AE1905*v01_DaughterShare&gt;=v01_MinDaughter),MAX(1,ROUND(AE1905*v01_FissionRate,0)),0)</x:f>
        <x:v>0</x:v>
      </x:c>
      <x:c r="AE1906" s="8" t="n">
        <x:f>IF(H1906=1,MAX(1,MIN(INDEX(v01_Smax,G1906),AE1905+AD1906)),AE1905)</x:f>
        <x:v>15</x:v>
      </x:c>
      <x:c r="AF1906" s="8" t="n">
        <x:f>MAX(0,AE1906-AE1905)</x:f>
        <x:v>0</x:v>
      </x:c>
      <x:c r="AG1906" s="9" t="str">
        <x:f>IF(AF1906&gt;0,B1906,"")</x:f>
      </x:c>
      <x:c r="AH1906" s="9" t="n">
        <x:f>IF(F1906&gt;=1,1,(1+v01_LowTiesShare*(AE1906-1))/AE1906)</x:f>
        <x:v>1</x:v>
      </x:c>
      <x:c r="AI1906" s="32" t="n">
        <x:f>(Z1906+v01_ElderCommons*INDEX(LM_Elder,G1906)*AA1906)*AH1906</x:f>
        <x:v>64139.732591141874</x:v>
      </x:c>
      <x:c r="AJ1906" s="32" t="n">
        <x:f>H1906*v01_CommonsCoef*AI1906^v01_CommonsExp*INDEX(LM_Commons,G1906)</x:f>
        <x:v>0</x:v>
      </x:c>
      <x:c r="AK1906" s="32" t="n">
        <x:f>H1906*v01_RoleScale*Arch_Roles*(AE1906*(INDEX(v01_ElderRolePerSett,G1906)*v01_OutElder*INDEX(LM_Elder,G1906)+INDEX(v01_ShamanPerSett,G1906)*v01_OutShaman)+Z1906*(INDEX(v01_PriestShare,G1906)*v01_OutPriest+INDEX(v01_ScribeShare,G1906)*v01_OutScribe*INDEX(LM_Scribe,G1906)+INDEX(v01_ScholarShare,G1906)*v01_OutScholar*INDEX(LM_Scholar,G1906)+INDEX(v01_ResearcherShare,G1906)*v01_OutResearcher*INDEX(LM_Researcher,G1906)))</x:f>
        <x:v>0</x:v>
      </x:c>
      <x:c r="AL1906" s="32" t="n">
        <x:f>H1906*v01_RoleScale*Arch_Roles*AE1906*INDEX(v01_MonasteryPerSett,G1906)*v01_OutMonastery*INDEX(LM_Monastery,G1906)</x:f>
        <x:v>0</x:v>
      </x:c>
      <x:c r="AM1906" s="32" t="n">
        <x:f>(AJ1906+AK1906+AL1906)/4*INDEX(LM_All,G1906)*INDEX(v01_Boon,G1906)*Arch_Insight</x:f>
        <x:v>0</x:v>
      </x:c>
      <x:c r="AN1906" s="32" t="n">
        <x:f>H1906*(v01_KHPerAdult*Z1906+v01_KHOfCommons*AJ1906/4*INDEX(LM_All,G1906))*v01_KHUsable*Arch_KH</x:f>
        <x:v>0</x:v>
      </x:c>
      <x:c r="AO1906" s="32" t="n">
        <x:f>MIN(AP1905+AN1906,AM1906*v01_KHMaxRatio)</x:f>
        <x:v>0</x:v>
      </x:c>
      <x:c r="AP1906" s="32" t="n">
        <x:f>AP1905+AN1906-AO1906</x:f>
        <x:v>0</x:v>
      </x:c>
      <x:c r="AQ1906" s="32" t="n">
        <x:f>AM1906+AO1906</x:f>
        <x:v>0</x:v>
      </x:c>
      <x:c r="AR1906" s="10" t="n">
        <x:f>IF(H1906=1,INDEX(v01_Req,G1906),0)</x:f>
        <x:v>0</x:v>
      </x:c>
      <x:c r="AS1906" s="32" t="n">
        <x:f>IF(H1906=1,IF(E1906=1,AS1905-AR1905,AS1905)+AQ1906,0)</x:f>
        <x:v>0</x:v>
      </x:c>
      <x:c r="AT1906" s="11" t="n">
        <x:f>IF(AR1906&gt;0,MIN(1,AS1906/AR1906),1)</x:f>
        <x:v>1</x:v>
      </x:c>
      <x:c r="AU1906" s="10" t="n">
        <x:f>AB1906/INDEX(v01_RepScale,G1906)</x:f>
        <x:v>90.09519605746344</x:v>
      </x:c>
      <x:c r="AV1906" s="32" t="n">
        <x:f>AM1906*60/v01_SeasonSeconds</x:f>
        <x:v>0</x:v>
      </x:c>
    </x:row>
    <x:row r="1907">
      <x:c r="A1907" s="8" t="n">
        <x:f>A1906+1</x:f>
        <x:v>1904</x:v>
      </x:c>
      <x:c r="B1907" s="9" t="n">
        <x:f>A1907*v01_SeasonSeconds/60</x:f>
        <x:v>476</x:v>
      </x:c>
      <x:c r="C1907" s="9" t="n">
        <x:f>A1907/4</x:f>
        <x:v>476</x:v>
      </x:c>
      <x:c r="D1907" s="8" t="n">
        <x:f>IF(MOD(A1907,4)=0,1,0)</x:f>
        <x:v>1</x:v>
      </x:c>
      <x:c r="E1907" s="8" t="n">
        <x:f>IF(AND(F1906&lt;=9,AS1906&gt;=AR1906),1,0)</x:f>
        <x:v>0</x:v>
      </x:c>
      <x:c r="F1907" s="8" t="n">
        <x:f>MIN(10,F1906+E1907)</x:f>
        <x:v>10</x:v>
      </x:c>
      <x:c r="G1907" s="8" t="n">
        <x:f>MIN(F1907,9)+1</x:f>
        <x:v>10</x:v>
      </x:c>
      <x:c r="H1907" s="8" t="n">
        <x:f>IF(F1907&lt;=9,1,0)</x:f>
        <x:v>0</x:v>
      </x:c>
      <x:c r="I1907" s="9" t="n">
        <x:f>MIN(10,F1906+IF(AR1906&gt;0,MIN(1,AS1906/AR1906),1))</x:f>
        <x:v>10</x:v>
      </x:c>
      <x:c r="J1907" s="32" t="n">
        <x:f>INDEX(v01_FoodCap,G1907)*Arch_FoodCap*EXP(v01_CapsByProject*SUMPRODUCT((Cap_Point&lt;=I1907)*(Cap_Kind="Food")*Cap_Ln))</x:f>
        <x:v>12000</x:v>
      </x:c>
      <x:c r="K1907" s="32" t="n">
        <x:f>J1907*MIN(1,v01_LeanBase*EXP(v01_CapsByProject*SUMPRODUCT((Cap_Point&lt;=I1907)*(Cap_Kind="Lean")*Cap_Ln)))</x:f>
        <x:v>12000</x:v>
      </x:c>
      <x:c r="L1907" s="10" t="n">
        <x:f>INDEX(v01_HousingCap,G1907)*EXP(v01_CapsByProject*SUMPRODUCT((Cap_Point&lt;=I1907)*(Cap_Kind="Housing")*Cap_Ln))</x:f>
        <x:v>20000</x:v>
      </x:c>
      <x:c r="M1907" s="10" t="n">
        <x:f>INDEX(v01_GroupCap,G1907)*v01_CohesionFactor*EXP(v01_CapsByProject*SUMPRODUCT((Cap_Point&lt;=I1907)*(Cap_Kind="Group")*Cap_Ln))</x:f>
        <x:v>1000000</x:v>
      </x:c>
      <x:c r="N1907" s="32" t="n">
        <x:f>MIN(J1907,L1907,M1907)</x:f>
        <x:v>12000</x:v>
      </x:c>
      <x:c r="O1907" s="10" t="n">
        <x:f>AE1906*N1907</x:f>
        <x:v>180000</x:v>
      </x:c>
      <x:c r="P1907" s="9" t="n">
        <x:f>MIN(1,(AB1906/(AE1906*IF(v01_GroupInCrowding=1,N1907,MIN(J1907,L1907))))^v01_CrowdingExp)</x:f>
        <x:v>0.00024569414295285325</x:v>
      </x:c>
      <x:c r="Q1907" s="9" t="n">
        <x:f>IF(D1907=1,INDEX(v01_WinterMult,G1907),1)</x:f>
        <x:v>1</x:v>
      </x:c>
      <x:c r="R1907" s="9" t="n">
        <x:f>H1907*Z1906*v01_WomenShare*v01_BaseFertility*INDEX(v01_FertMult,G1907)*Arch_Fertility*(1-P1907)</x:f>
        <x:v>0</x:v>
      </x:c>
      <x:c r="S1907" s="9" t="n">
        <x:f>H1907*Y1906*INDEX(v01_MortChild,G1907)/4*Q1907</x:f>
        <x:v>0</x:v>
      </x:c>
      <x:c r="T1907" s="9" t="n">
        <x:f>H1907*Z1906*INDEX(v01_MortAdult,G1907)*Arch_AdultMort/4*Q1907</x:f>
        <x:v>0</x:v>
      </x:c>
      <x:c r="U1907" s="9" t="n">
        <x:f>H1907*AA1906*INDEX(v01_MortElder,G1907)/4*Q1907</x:f>
        <x:v>0</x:v>
      </x:c>
      <x:c r="V1907" s="9" t="n">
        <x:f>H1907*MAX(0,AB1906-O1907)*v01_OvercapLoss</x:f>
        <x:v>0</x:v>
      </x:c>
      <x:c r="W1907" s="9" t="n">
        <x:f>H1907*Y1906/(v01_ChildYears*4)</x:f>
        <x:v>0</x:v>
      </x:c>
      <x:c r="X1907" s="9" t="n">
        <x:f>H1907*Z1906/(v01_AdultYears*4)</x:f>
        <x:v>0</x:v>
      </x:c>
      <x:c r="Y1907" s="32" t="n">
        <x:f>Y1906+R1907-S1907-W1907-Y1906*V1907/AB1906</x:f>
        <x:v>14306.18539759397</x:v>
      </x:c>
      <x:c r="Z1907" s="32" t="n">
        <x:f>Z1906+W1907-X1907-T1907-Z1906*V1907/AB1906</x:f>
        <x:v>19354.456567879548</x:v>
      </x:c>
      <x:c r="AA1907" s="32" t="n">
        <x:f>AA1906+X1907-U1907-AA1906*V1907/AB1906</x:f>
        <x:v>11386.956063258198</x:v>
      </x:c>
      <x:c r="AB1907" s="10" t="n">
        <x:f>Y1907+Z1907+AA1907</x:f>
        <x:v>45047.59802873172</x:v>
      </x:c>
      <x:c r="AC1907" s="8" t="n">
        <x:f>IF(AND(v01_WinterTrigger=1,D1907=1,AB1906/AE1906&gt;=K1907),1,0)</x:f>
        <x:v>0</x:v>
      </x:c>
      <x:c r="AD1907" s="8" t="n">
        <x:f>H1907*IF(AND(OR(AB1906/AE1906&gt;=v01_FissionTrigger*N1907,AC1907=1),AB1906/AE1906*v01_DaughterShare&gt;=v01_MinDaughter),MAX(1,ROUND(AE1906*v01_FissionRate,0)),0)</x:f>
        <x:v>0</x:v>
      </x:c>
      <x:c r="AE1907" s="8" t="n">
        <x:f>IF(H1907=1,MAX(1,MIN(INDEX(v01_Smax,G1907),AE1906+AD1907)),AE1906)</x:f>
        <x:v>15</x:v>
      </x:c>
      <x:c r="AF1907" s="8" t="n">
        <x:f>MAX(0,AE1907-AE1906)</x:f>
        <x:v>0</x:v>
      </x:c>
      <x:c r="AG1907" s="9" t="str">
        <x:f>IF(AF1907&gt;0,B1907,"")</x:f>
      </x:c>
      <x:c r="AH1907" s="9" t="n">
        <x:f>IF(F1907&gt;=1,1,(1+v01_LowTiesShare*(AE1907-1))/AE1907)</x:f>
        <x:v>1</x:v>
      </x:c>
      <x:c r="AI1907" s="32" t="n">
        <x:f>(Z1907+v01_ElderCommons*INDEX(LM_Elder,G1907)*AA1907)*AH1907</x:f>
        <x:v>64139.732591141874</x:v>
      </x:c>
      <x:c r="AJ1907" s="32" t="n">
        <x:f>H1907*v01_CommonsCoef*AI1907^v01_CommonsExp*INDEX(LM_Commons,G1907)</x:f>
        <x:v>0</x:v>
      </x:c>
      <x:c r="AK1907" s="32" t="n">
        <x:f>H1907*v01_RoleScale*Arch_Roles*(AE1907*(INDEX(v01_ElderRolePerSett,G1907)*v01_OutElder*INDEX(LM_Elder,G1907)+INDEX(v01_ShamanPerSett,G1907)*v01_OutShaman)+Z1907*(INDEX(v01_PriestShare,G1907)*v01_OutPriest+INDEX(v01_ScribeShare,G1907)*v01_OutScribe*INDEX(LM_Scribe,G1907)+INDEX(v01_ScholarShare,G1907)*v01_OutScholar*INDEX(LM_Scholar,G1907)+INDEX(v01_ResearcherShare,G1907)*v01_OutResearcher*INDEX(LM_Researcher,G1907)))</x:f>
        <x:v>0</x:v>
      </x:c>
      <x:c r="AL1907" s="32" t="n">
        <x:f>H1907*v01_RoleScale*Arch_Roles*AE1907*INDEX(v01_MonasteryPerSett,G1907)*v01_OutMonastery*INDEX(LM_Monastery,G1907)</x:f>
        <x:v>0</x:v>
      </x:c>
      <x:c r="AM1907" s="32" t="n">
        <x:f>(AJ1907+AK1907+AL1907)/4*INDEX(LM_All,G1907)*INDEX(v01_Boon,G1907)*Arch_Insight</x:f>
        <x:v>0</x:v>
      </x:c>
      <x:c r="AN1907" s="32" t="n">
        <x:f>H1907*(v01_KHPerAdult*Z1907+v01_KHOfCommons*AJ1907/4*INDEX(LM_All,G1907))*v01_KHUsable*Arch_KH</x:f>
        <x:v>0</x:v>
      </x:c>
      <x:c r="AO1907" s="32" t="n">
        <x:f>MIN(AP1906+AN1907,AM1907*v01_KHMaxRatio)</x:f>
        <x:v>0</x:v>
      </x:c>
      <x:c r="AP1907" s="32" t="n">
        <x:f>AP1906+AN1907-AO1907</x:f>
        <x:v>0</x:v>
      </x:c>
      <x:c r="AQ1907" s="32" t="n">
        <x:f>AM1907+AO1907</x:f>
        <x:v>0</x:v>
      </x:c>
      <x:c r="AR1907" s="10" t="n">
        <x:f>IF(H1907=1,INDEX(v01_Req,G1907),0)</x:f>
        <x:v>0</x:v>
      </x:c>
      <x:c r="AS1907" s="32" t="n">
        <x:f>IF(H1907=1,IF(E1907=1,AS1906-AR1906,AS1906)+AQ1907,0)</x:f>
        <x:v>0</x:v>
      </x:c>
      <x:c r="AT1907" s="11" t="n">
        <x:f>IF(AR1907&gt;0,MIN(1,AS1907/AR1907),1)</x:f>
        <x:v>1</x:v>
      </x:c>
      <x:c r="AU1907" s="10" t="n">
        <x:f>AB1907/INDEX(v01_RepScale,G1907)</x:f>
        <x:v>90.09519605746344</x:v>
      </x:c>
      <x:c r="AV1907" s="32" t="n">
        <x:f>AM1907*60/v01_SeasonSeconds</x:f>
        <x:v>0</x:v>
      </x:c>
    </x:row>
    <x:row r="1908">
      <x:c r="A1908" s="8" t="n">
        <x:f>A1907+1</x:f>
        <x:v>1905</x:v>
      </x:c>
      <x:c r="B1908" s="9" t="n">
        <x:f>A1908*v01_SeasonSeconds/60</x:f>
        <x:v>476.25</x:v>
      </x:c>
      <x:c r="C1908" s="9" t="n">
        <x:f>A1908/4</x:f>
        <x:v>476.25</x:v>
      </x:c>
      <x:c r="D1908" s="8" t="n">
        <x:f>IF(MOD(A1908,4)=0,1,0)</x:f>
        <x:v>0</x:v>
      </x:c>
      <x:c r="E1908" s="8" t="n">
        <x:f>IF(AND(F1907&lt;=9,AS1907&gt;=AR1907),1,0)</x:f>
        <x:v>0</x:v>
      </x:c>
      <x:c r="F1908" s="8" t="n">
        <x:f>MIN(10,F1907+E1908)</x:f>
        <x:v>10</x:v>
      </x:c>
      <x:c r="G1908" s="8" t="n">
        <x:f>MIN(F1908,9)+1</x:f>
        <x:v>10</x:v>
      </x:c>
      <x:c r="H1908" s="8" t="n">
        <x:f>IF(F1908&lt;=9,1,0)</x:f>
        <x:v>0</x:v>
      </x:c>
      <x:c r="I1908" s="9" t="n">
        <x:f>MIN(10,F1907+IF(AR1907&gt;0,MIN(1,AS1907/AR1907),1))</x:f>
        <x:v>10</x:v>
      </x:c>
      <x:c r="J1908" s="32" t="n">
        <x:f>INDEX(v01_FoodCap,G1908)*Arch_FoodCap*EXP(v01_CapsByProject*SUMPRODUCT((Cap_Point&lt;=I1908)*(Cap_Kind="Food")*Cap_Ln))</x:f>
        <x:v>12000</x:v>
      </x:c>
      <x:c r="K1908" s="32" t="n">
        <x:f>J1908*MIN(1,v01_LeanBase*EXP(v01_CapsByProject*SUMPRODUCT((Cap_Point&lt;=I1908)*(Cap_Kind="Lean")*Cap_Ln)))</x:f>
        <x:v>12000</x:v>
      </x:c>
      <x:c r="L1908" s="10" t="n">
        <x:f>INDEX(v01_HousingCap,G1908)*EXP(v01_CapsByProject*SUMPRODUCT((Cap_Point&lt;=I1908)*(Cap_Kind="Housing")*Cap_Ln))</x:f>
        <x:v>20000</x:v>
      </x:c>
      <x:c r="M1908" s="10" t="n">
        <x:f>INDEX(v01_GroupCap,G1908)*v01_CohesionFactor*EXP(v01_CapsByProject*SUMPRODUCT((Cap_Point&lt;=I1908)*(Cap_Kind="Group")*Cap_Ln))</x:f>
        <x:v>1000000</x:v>
      </x:c>
      <x:c r="N1908" s="32" t="n">
        <x:f>MIN(J1908,L1908,M1908)</x:f>
        <x:v>12000</x:v>
      </x:c>
      <x:c r="O1908" s="10" t="n">
        <x:f>AE1907*N1908</x:f>
        <x:v>180000</x:v>
      </x:c>
      <x:c r="P1908" s="9" t="n">
        <x:f>MIN(1,(AB1907/(AE1907*IF(v01_GroupInCrowding=1,N1908,MIN(J1908,L1908))))^v01_CrowdingExp)</x:f>
        <x:v>0.00024569414295285325</x:v>
      </x:c>
      <x:c r="Q1908" s="9" t="n">
        <x:f>IF(D1908=1,INDEX(v01_WinterMult,G1908),1)</x:f>
        <x:v>1</x:v>
      </x:c>
      <x:c r="R1908" s="9" t="n">
        <x:f>H1908*Z1907*v01_WomenShare*v01_BaseFertility*INDEX(v01_FertMult,G1908)*Arch_Fertility*(1-P1908)</x:f>
        <x:v>0</x:v>
      </x:c>
      <x:c r="S1908" s="9" t="n">
        <x:f>H1908*Y1907*INDEX(v01_MortChild,G1908)/4*Q1908</x:f>
        <x:v>0</x:v>
      </x:c>
      <x:c r="T1908" s="9" t="n">
        <x:f>H1908*Z1907*INDEX(v01_MortAdult,G1908)*Arch_AdultMort/4*Q1908</x:f>
        <x:v>0</x:v>
      </x:c>
      <x:c r="U1908" s="9" t="n">
        <x:f>H1908*AA1907*INDEX(v01_MortElder,G1908)/4*Q1908</x:f>
        <x:v>0</x:v>
      </x:c>
      <x:c r="V1908" s="9" t="n">
        <x:f>H1908*MAX(0,AB1907-O1908)*v01_OvercapLoss</x:f>
        <x:v>0</x:v>
      </x:c>
      <x:c r="W1908" s="9" t="n">
        <x:f>H1908*Y1907/(v01_ChildYears*4)</x:f>
        <x:v>0</x:v>
      </x:c>
      <x:c r="X1908" s="9" t="n">
        <x:f>H1908*Z1907/(v01_AdultYears*4)</x:f>
        <x:v>0</x:v>
      </x:c>
      <x:c r="Y1908" s="32" t="n">
        <x:f>Y1907+R1908-S1908-W1908-Y1907*V1908/AB1907</x:f>
        <x:v>14306.18539759397</x:v>
      </x:c>
      <x:c r="Z1908" s="32" t="n">
        <x:f>Z1907+W1908-X1908-T1908-Z1907*V1908/AB1907</x:f>
        <x:v>19354.456567879548</x:v>
      </x:c>
      <x:c r="AA1908" s="32" t="n">
        <x:f>AA1907+X1908-U1908-AA1907*V1908/AB1907</x:f>
        <x:v>11386.956063258198</x:v>
      </x:c>
      <x:c r="AB1908" s="10" t="n">
        <x:f>Y1908+Z1908+AA1908</x:f>
        <x:v>45047.59802873172</x:v>
      </x:c>
      <x:c r="AC1908" s="8" t="n">
        <x:f>IF(AND(v01_WinterTrigger=1,D1908=1,AB1907/AE1907&gt;=K1908),1,0)</x:f>
        <x:v>0</x:v>
      </x:c>
      <x:c r="AD1908" s="8" t="n">
        <x:f>H1908*IF(AND(OR(AB1907/AE1907&gt;=v01_FissionTrigger*N1908,AC1908=1),AB1907/AE1907*v01_DaughterShare&gt;=v01_MinDaughter),MAX(1,ROUND(AE1907*v01_FissionRate,0)),0)</x:f>
        <x:v>0</x:v>
      </x:c>
      <x:c r="AE1908" s="8" t="n">
        <x:f>IF(H1908=1,MAX(1,MIN(INDEX(v01_Smax,G1908),AE1907+AD1908)),AE1907)</x:f>
        <x:v>15</x:v>
      </x:c>
      <x:c r="AF1908" s="8" t="n">
        <x:f>MAX(0,AE1908-AE1907)</x:f>
        <x:v>0</x:v>
      </x:c>
      <x:c r="AG1908" s="9" t="str">
        <x:f>IF(AF1908&gt;0,B1908,"")</x:f>
      </x:c>
      <x:c r="AH1908" s="9" t="n">
        <x:f>IF(F1908&gt;=1,1,(1+v01_LowTiesShare*(AE1908-1))/AE1908)</x:f>
        <x:v>1</x:v>
      </x:c>
      <x:c r="AI1908" s="32" t="n">
        <x:f>(Z1908+v01_ElderCommons*INDEX(LM_Elder,G1908)*AA1908)*AH1908</x:f>
        <x:v>64139.732591141874</x:v>
      </x:c>
      <x:c r="AJ1908" s="32" t="n">
        <x:f>H1908*v01_CommonsCoef*AI1908^v01_CommonsExp*INDEX(LM_Commons,G1908)</x:f>
        <x:v>0</x:v>
      </x:c>
      <x:c r="AK1908" s="32" t="n">
        <x:f>H1908*v01_RoleScale*Arch_Roles*(AE1908*(INDEX(v01_ElderRolePerSett,G1908)*v01_OutElder*INDEX(LM_Elder,G1908)+INDEX(v01_ShamanPerSett,G1908)*v01_OutShaman)+Z1908*(INDEX(v01_PriestShare,G1908)*v01_OutPriest+INDEX(v01_ScribeShare,G1908)*v01_OutScribe*INDEX(LM_Scribe,G1908)+INDEX(v01_ScholarShare,G1908)*v01_OutScholar*INDEX(LM_Scholar,G1908)+INDEX(v01_ResearcherShare,G1908)*v01_OutResearcher*INDEX(LM_Researcher,G1908)))</x:f>
        <x:v>0</x:v>
      </x:c>
      <x:c r="AL1908" s="32" t="n">
        <x:f>H1908*v01_RoleScale*Arch_Roles*AE1908*INDEX(v01_MonasteryPerSett,G1908)*v01_OutMonastery*INDEX(LM_Monastery,G1908)</x:f>
        <x:v>0</x:v>
      </x:c>
      <x:c r="AM1908" s="32" t="n">
        <x:f>(AJ1908+AK1908+AL1908)/4*INDEX(LM_All,G1908)*INDEX(v01_Boon,G1908)*Arch_Insight</x:f>
        <x:v>0</x:v>
      </x:c>
      <x:c r="AN1908" s="32" t="n">
        <x:f>H1908*(v01_KHPerAdult*Z1908+v01_KHOfCommons*AJ1908/4*INDEX(LM_All,G1908))*v01_KHUsable*Arch_KH</x:f>
        <x:v>0</x:v>
      </x:c>
      <x:c r="AO1908" s="32" t="n">
        <x:f>MIN(AP1907+AN1908,AM1908*v01_KHMaxRatio)</x:f>
        <x:v>0</x:v>
      </x:c>
      <x:c r="AP1908" s="32" t="n">
        <x:f>AP1907+AN1908-AO1908</x:f>
        <x:v>0</x:v>
      </x:c>
      <x:c r="AQ1908" s="32" t="n">
        <x:f>AM1908+AO1908</x:f>
        <x:v>0</x:v>
      </x:c>
      <x:c r="AR1908" s="10" t="n">
        <x:f>IF(H1908=1,INDEX(v01_Req,G1908),0)</x:f>
        <x:v>0</x:v>
      </x:c>
      <x:c r="AS1908" s="32" t="n">
        <x:f>IF(H1908=1,IF(E1908=1,AS1907-AR1907,AS1907)+AQ1908,0)</x:f>
        <x:v>0</x:v>
      </x:c>
      <x:c r="AT1908" s="11" t="n">
        <x:f>IF(AR1908&gt;0,MIN(1,AS1908/AR1908),1)</x:f>
        <x:v>1</x:v>
      </x:c>
      <x:c r="AU1908" s="10" t="n">
        <x:f>AB1908/INDEX(v01_RepScale,G1908)</x:f>
        <x:v>90.09519605746344</x:v>
      </x:c>
      <x:c r="AV1908" s="32" t="n">
        <x:f>AM1908*60/v01_SeasonSeconds</x:f>
        <x:v>0</x:v>
      </x:c>
    </x:row>
    <x:row r="1909">
      <x:c r="A1909" s="8" t="n">
        <x:f>A1908+1</x:f>
        <x:v>1906</x:v>
      </x:c>
      <x:c r="B1909" s="9" t="n">
        <x:f>A1909*v01_SeasonSeconds/60</x:f>
        <x:v>476.5</x:v>
      </x:c>
      <x:c r="C1909" s="9" t="n">
        <x:f>A1909/4</x:f>
        <x:v>476.5</x:v>
      </x:c>
      <x:c r="D1909" s="8" t="n">
        <x:f>IF(MOD(A1909,4)=0,1,0)</x:f>
        <x:v>0</x:v>
      </x:c>
      <x:c r="E1909" s="8" t="n">
        <x:f>IF(AND(F1908&lt;=9,AS1908&gt;=AR1908),1,0)</x:f>
        <x:v>0</x:v>
      </x:c>
      <x:c r="F1909" s="8" t="n">
        <x:f>MIN(10,F1908+E1909)</x:f>
        <x:v>10</x:v>
      </x:c>
      <x:c r="G1909" s="8" t="n">
        <x:f>MIN(F1909,9)+1</x:f>
        <x:v>10</x:v>
      </x:c>
      <x:c r="H1909" s="8" t="n">
        <x:f>IF(F1909&lt;=9,1,0)</x:f>
        <x:v>0</x:v>
      </x:c>
      <x:c r="I1909" s="9" t="n">
        <x:f>MIN(10,F1908+IF(AR1908&gt;0,MIN(1,AS1908/AR1908),1))</x:f>
        <x:v>10</x:v>
      </x:c>
      <x:c r="J1909" s="32" t="n">
        <x:f>INDEX(v01_FoodCap,G1909)*Arch_FoodCap*EXP(v01_CapsByProject*SUMPRODUCT((Cap_Point&lt;=I1909)*(Cap_Kind="Food")*Cap_Ln))</x:f>
        <x:v>12000</x:v>
      </x:c>
      <x:c r="K1909" s="32" t="n">
        <x:f>J1909*MIN(1,v01_LeanBase*EXP(v01_CapsByProject*SUMPRODUCT((Cap_Point&lt;=I1909)*(Cap_Kind="Lean")*Cap_Ln)))</x:f>
        <x:v>12000</x:v>
      </x:c>
      <x:c r="L1909" s="10" t="n">
        <x:f>INDEX(v01_HousingCap,G1909)*EXP(v01_CapsByProject*SUMPRODUCT((Cap_Point&lt;=I1909)*(Cap_Kind="Housing")*Cap_Ln))</x:f>
        <x:v>20000</x:v>
      </x:c>
      <x:c r="M1909" s="10" t="n">
        <x:f>INDEX(v01_GroupCap,G1909)*v01_CohesionFactor*EXP(v01_CapsByProject*SUMPRODUCT((Cap_Point&lt;=I1909)*(Cap_Kind="Group")*Cap_Ln))</x:f>
        <x:v>1000000</x:v>
      </x:c>
      <x:c r="N1909" s="32" t="n">
        <x:f>MIN(J1909,L1909,M1909)</x:f>
        <x:v>12000</x:v>
      </x:c>
      <x:c r="O1909" s="10" t="n">
        <x:f>AE1908*N1909</x:f>
        <x:v>180000</x:v>
      </x:c>
      <x:c r="P1909" s="9" t="n">
        <x:f>MIN(1,(AB1908/(AE1908*IF(v01_GroupInCrowding=1,N1909,MIN(J1909,L1909))))^v01_CrowdingExp)</x:f>
        <x:v>0.00024569414295285325</x:v>
      </x:c>
      <x:c r="Q1909" s="9" t="n">
        <x:f>IF(D1909=1,INDEX(v01_WinterMult,G1909),1)</x:f>
        <x:v>1</x:v>
      </x:c>
      <x:c r="R1909" s="9" t="n">
        <x:f>H1909*Z1908*v01_WomenShare*v01_BaseFertility*INDEX(v01_FertMult,G1909)*Arch_Fertility*(1-P1909)</x:f>
        <x:v>0</x:v>
      </x:c>
      <x:c r="S1909" s="9" t="n">
        <x:f>H1909*Y1908*INDEX(v01_MortChild,G1909)/4*Q1909</x:f>
        <x:v>0</x:v>
      </x:c>
      <x:c r="T1909" s="9" t="n">
        <x:f>H1909*Z1908*INDEX(v01_MortAdult,G1909)*Arch_AdultMort/4*Q1909</x:f>
        <x:v>0</x:v>
      </x:c>
      <x:c r="U1909" s="9" t="n">
        <x:f>H1909*AA1908*INDEX(v01_MortElder,G1909)/4*Q1909</x:f>
        <x:v>0</x:v>
      </x:c>
      <x:c r="V1909" s="9" t="n">
        <x:f>H1909*MAX(0,AB1908-O1909)*v01_OvercapLoss</x:f>
        <x:v>0</x:v>
      </x:c>
      <x:c r="W1909" s="9" t="n">
        <x:f>H1909*Y1908/(v01_ChildYears*4)</x:f>
        <x:v>0</x:v>
      </x:c>
      <x:c r="X1909" s="9" t="n">
        <x:f>H1909*Z1908/(v01_AdultYears*4)</x:f>
        <x:v>0</x:v>
      </x:c>
      <x:c r="Y1909" s="32" t="n">
        <x:f>Y1908+R1909-S1909-W1909-Y1908*V1909/AB1908</x:f>
        <x:v>14306.18539759397</x:v>
      </x:c>
      <x:c r="Z1909" s="32" t="n">
        <x:f>Z1908+W1909-X1909-T1909-Z1908*V1909/AB1908</x:f>
        <x:v>19354.456567879548</x:v>
      </x:c>
      <x:c r="AA1909" s="32" t="n">
        <x:f>AA1908+X1909-U1909-AA1908*V1909/AB1908</x:f>
        <x:v>11386.956063258198</x:v>
      </x:c>
      <x:c r="AB1909" s="10" t="n">
        <x:f>Y1909+Z1909+AA1909</x:f>
        <x:v>45047.59802873172</x:v>
      </x:c>
      <x:c r="AC1909" s="8" t="n">
        <x:f>IF(AND(v01_WinterTrigger=1,D1909=1,AB1908/AE1908&gt;=K1909),1,0)</x:f>
        <x:v>0</x:v>
      </x:c>
      <x:c r="AD1909" s="8" t="n">
        <x:f>H1909*IF(AND(OR(AB1908/AE1908&gt;=v01_FissionTrigger*N1909,AC1909=1),AB1908/AE1908*v01_DaughterShare&gt;=v01_MinDaughter),MAX(1,ROUND(AE1908*v01_FissionRate,0)),0)</x:f>
        <x:v>0</x:v>
      </x:c>
      <x:c r="AE1909" s="8" t="n">
        <x:f>IF(H1909=1,MAX(1,MIN(INDEX(v01_Smax,G1909),AE1908+AD1909)),AE1908)</x:f>
        <x:v>15</x:v>
      </x:c>
      <x:c r="AF1909" s="8" t="n">
        <x:f>MAX(0,AE1909-AE1908)</x:f>
        <x:v>0</x:v>
      </x:c>
      <x:c r="AG1909" s="9" t="str">
        <x:f>IF(AF1909&gt;0,B1909,"")</x:f>
      </x:c>
      <x:c r="AH1909" s="9" t="n">
        <x:f>IF(F1909&gt;=1,1,(1+v01_LowTiesShare*(AE1909-1))/AE1909)</x:f>
        <x:v>1</x:v>
      </x:c>
      <x:c r="AI1909" s="32" t="n">
        <x:f>(Z1909+v01_ElderCommons*INDEX(LM_Elder,G1909)*AA1909)*AH1909</x:f>
        <x:v>64139.732591141874</x:v>
      </x:c>
      <x:c r="AJ1909" s="32" t="n">
        <x:f>H1909*v01_CommonsCoef*AI1909^v01_CommonsExp*INDEX(LM_Commons,G1909)</x:f>
        <x:v>0</x:v>
      </x:c>
      <x:c r="AK1909" s="32" t="n">
        <x:f>H1909*v01_RoleScale*Arch_Roles*(AE1909*(INDEX(v01_ElderRolePerSett,G1909)*v01_OutElder*INDEX(LM_Elder,G1909)+INDEX(v01_ShamanPerSett,G1909)*v01_OutShaman)+Z1909*(INDEX(v01_PriestShare,G1909)*v01_OutPriest+INDEX(v01_ScribeShare,G1909)*v01_OutScribe*INDEX(LM_Scribe,G1909)+INDEX(v01_ScholarShare,G1909)*v01_OutScholar*INDEX(LM_Scholar,G1909)+INDEX(v01_ResearcherShare,G1909)*v01_OutResearcher*INDEX(LM_Researcher,G1909)))</x:f>
        <x:v>0</x:v>
      </x:c>
      <x:c r="AL1909" s="32" t="n">
        <x:f>H1909*v01_RoleScale*Arch_Roles*AE1909*INDEX(v01_MonasteryPerSett,G1909)*v01_OutMonastery*INDEX(LM_Monastery,G1909)</x:f>
        <x:v>0</x:v>
      </x:c>
      <x:c r="AM1909" s="32" t="n">
        <x:f>(AJ1909+AK1909+AL1909)/4*INDEX(LM_All,G1909)*INDEX(v01_Boon,G1909)*Arch_Insight</x:f>
        <x:v>0</x:v>
      </x:c>
      <x:c r="AN1909" s="32" t="n">
        <x:f>H1909*(v01_KHPerAdult*Z1909+v01_KHOfCommons*AJ1909/4*INDEX(LM_All,G1909))*v01_KHUsable*Arch_KH</x:f>
        <x:v>0</x:v>
      </x:c>
      <x:c r="AO1909" s="32" t="n">
        <x:f>MIN(AP1908+AN1909,AM1909*v01_KHMaxRatio)</x:f>
        <x:v>0</x:v>
      </x:c>
      <x:c r="AP1909" s="32" t="n">
        <x:f>AP1908+AN1909-AO1909</x:f>
        <x:v>0</x:v>
      </x:c>
      <x:c r="AQ1909" s="32" t="n">
        <x:f>AM1909+AO1909</x:f>
        <x:v>0</x:v>
      </x:c>
      <x:c r="AR1909" s="10" t="n">
        <x:f>IF(H1909=1,INDEX(v01_Req,G1909),0)</x:f>
        <x:v>0</x:v>
      </x:c>
      <x:c r="AS1909" s="32" t="n">
        <x:f>IF(H1909=1,IF(E1909=1,AS1908-AR1908,AS1908)+AQ1909,0)</x:f>
        <x:v>0</x:v>
      </x:c>
      <x:c r="AT1909" s="11" t="n">
        <x:f>IF(AR1909&gt;0,MIN(1,AS1909/AR1909),1)</x:f>
        <x:v>1</x:v>
      </x:c>
      <x:c r="AU1909" s="10" t="n">
        <x:f>AB1909/INDEX(v01_RepScale,G1909)</x:f>
        <x:v>90.09519605746344</x:v>
      </x:c>
      <x:c r="AV1909" s="32" t="n">
        <x:f>AM1909*60/v01_SeasonSeconds</x:f>
        <x:v>0</x:v>
      </x:c>
    </x:row>
    <x:row r="1910">
      <x:c r="A1910" s="8" t="n">
        <x:f>A1909+1</x:f>
        <x:v>1907</x:v>
      </x:c>
      <x:c r="B1910" s="9" t="n">
        <x:f>A1910*v01_SeasonSeconds/60</x:f>
        <x:v>476.75</x:v>
      </x:c>
      <x:c r="C1910" s="9" t="n">
        <x:f>A1910/4</x:f>
        <x:v>476.75</x:v>
      </x:c>
      <x:c r="D1910" s="8" t="n">
        <x:f>IF(MOD(A1910,4)=0,1,0)</x:f>
        <x:v>0</x:v>
      </x:c>
      <x:c r="E1910" s="8" t="n">
        <x:f>IF(AND(F1909&lt;=9,AS1909&gt;=AR1909),1,0)</x:f>
        <x:v>0</x:v>
      </x:c>
      <x:c r="F1910" s="8" t="n">
        <x:f>MIN(10,F1909+E1910)</x:f>
        <x:v>10</x:v>
      </x:c>
      <x:c r="G1910" s="8" t="n">
        <x:f>MIN(F1910,9)+1</x:f>
        <x:v>10</x:v>
      </x:c>
      <x:c r="H1910" s="8" t="n">
        <x:f>IF(F1910&lt;=9,1,0)</x:f>
        <x:v>0</x:v>
      </x:c>
      <x:c r="I1910" s="9" t="n">
        <x:f>MIN(10,F1909+IF(AR1909&gt;0,MIN(1,AS1909/AR1909),1))</x:f>
        <x:v>10</x:v>
      </x:c>
      <x:c r="J1910" s="32" t="n">
        <x:f>INDEX(v01_FoodCap,G1910)*Arch_FoodCap*EXP(v01_CapsByProject*SUMPRODUCT((Cap_Point&lt;=I1910)*(Cap_Kind="Food")*Cap_Ln))</x:f>
        <x:v>12000</x:v>
      </x:c>
      <x:c r="K1910" s="32" t="n">
        <x:f>J1910*MIN(1,v01_LeanBase*EXP(v01_CapsByProject*SUMPRODUCT((Cap_Point&lt;=I1910)*(Cap_Kind="Lean")*Cap_Ln)))</x:f>
        <x:v>12000</x:v>
      </x:c>
      <x:c r="L1910" s="10" t="n">
        <x:f>INDEX(v01_HousingCap,G1910)*EXP(v01_CapsByProject*SUMPRODUCT((Cap_Point&lt;=I1910)*(Cap_Kind="Housing")*Cap_Ln))</x:f>
        <x:v>20000</x:v>
      </x:c>
      <x:c r="M1910" s="10" t="n">
        <x:f>INDEX(v01_GroupCap,G1910)*v01_CohesionFactor*EXP(v01_CapsByProject*SUMPRODUCT((Cap_Point&lt;=I1910)*(Cap_Kind="Group")*Cap_Ln))</x:f>
        <x:v>1000000</x:v>
      </x:c>
      <x:c r="N1910" s="32" t="n">
        <x:f>MIN(J1910,L1910,M1910)</x:f>
        <x:v>12000</x:v>
      </x:c>
      <x:c r="O1910" s="10" t="n">
        <x:f>AE1909*N1910</x:f>
        <x:v>180000</x:v>
      </x:c>
      <x:c r="P1910" s="9" t="n">
        <x:f>MIN(1,(AB1909/(AE1909*IF(v01_GroupInCrowding=1,N1910,MIN(J1910,L1910))))^v01_CrowdingExp)</x:f>
        <x:v>0.00024569414295285325</x:v>
      </x:c>
      <x:c r="Q1910" s="9" t="n">
        <x:f>IF(D1910=1,INDEX(v01_WinterMult,G1910),1)</x:f>
        <x:v>1</x:v>
      </x:c>
      <x:c r="R1910" s="9" t="n">
        <x:f>H1910*Z1909*v01_WomenShare*v01_BaseFertility*INDEX(v01_FertMult,G1910)*Arch_Fertility*(1-P1910)</x:f>
        <x:v>0</x:v>
      </x:c>
      <x:c r="S1910" s="9" t="n">
        <x:f>H1910*Y1909*INDEX(v01_MortChild,G1910)/4*Q1910</x:f>
        <x:v>0</x:v>
      </x:c>
      <x:c r="T1910" s="9" t="n">
        <x:f>H1910*Z1909*INDEX(v01_MortAdult,G1910)*Arch_AdultMort/4*Q1910</x:f>
        <x:v>0</x:v>
      </x:c>
      <x:c r="U1910" s="9" t="n">
        <x:f>H1910*AA1909*INDEX(v01_MortElder,G1910)/4*Q1910</x:f>
        <x:v>0</x:v>
      </x:c>
      <x:c r="V1910" s="9" t="n">
        <x:f>H1910*MAX(0,AB1909-O1910)*v01_OvercapLoss</x:f>
        <x:v>0</x:v>
      </x:c>
      <x:c r="W1910" s="9" t="n">
        <x:f>H1910*Y1909/(v01_ChildYears*4)</x:f>
        <x:v>0</x:v>
      </x:c>
      <x:c r="X1910" s="9" t="n">
        <x:f>H1910*Z1909/(v01_AdultYears*4)</x:f>
        <x:v>0</x:v>
      </x:c>
      <x:c r="Y1910" s="32" t="n">
        <x:f>Y1909+R1910-S1910-W1910-Y1909*V1910/AB1909</x:f>
        <x:v>14306.18539759397</x:v>
      </x:c>
      <x:c r="Z1910" s="32" t="n">
        <x:f>Z1909+W1910-X1910-T1910-Z1909*V1910/AB1909</x:f>
        <x:v>19354.456567879548</x:v>
      </x:c>
      <x:c r="AA1910" s="32" t="n">
        <x:f>AA1909+X1910-U1910-AA1909*V1910/AB1909</x:f>
        <x:v>11386.956063258198</x:v>
      </x:c>
      <x:c r="AB1910" s="10" t="n">
        <x:f>Y1910+Z1910+AA1910</x:f>
        <x:v>45047.59802873172</x:v>
      </x:c>
      <x:c r="AC1910" s="8" t="n">
        <x:f>IF(AND(v01_WinterTrigger=1,D1910=1,AB1909/AE1909&gt;=K1910),1,0)</x:f>
        <x:v>0</x:v>
      </x:c>
      <x:c r="AD1910" s="8" t="n">
        <x:f>H1910*IF(AND(OR(AB1909/AE1909&gt;=v01_FissionTrigger*N1910,AC1910=1),AB1909/AE1909*v01_DaughterShare&gt;=v01_MinDaughter),MAX(1,ROUND(AE1909*v01_FissionRate,0)),0)</x:f>
        <x:v>0</x:v>
      </x:c>
      <x:c r="AE1910" s="8" t="n">
        <x:f>IF(H1910=1,MAX(1,MIN(INDEX(v01_Smax,G1910),AE1909+AD1910)),AE1909)</x:f>
        <x:v>15</x:v>
      </x:c>
      <x:c r="AF1910" s="8" t="n">
        <x:f>MAX(0,AE1910-AE1909)</x:f>
        <x:v>0</x:v>
      </x:c>
      <x:c r="AG1910" s="9" t="str">
        <x:f>IF(AF1910&gt;0,B1910,"")</x:f>
      </x:c>
      <x:c r="AH1910" s="9" t="n">
        <x:f>IF(F1910&gt;=1,1,(1+v01_LowTiesShare*(AE1910-1))/AE1910)</x:f>
        <x:v>1</x:v>
      </x:c>
      <x:c r="AI1910" s="32" t="n">
        <x:f>(Z1910+v01_ElderCommons*INDEX(LM_Elder,G1910)*AA1910)*AH1910</x:f>
        <x:v>64139.732591141874</x:v>
      </x:c>
      <x:c r="AJ1910" s="32" t="n">
        <x:f>H1910*v01_CommonsCoef*AI1910^v01_CommonsExp*INDEX(LM_Commons,G1910)</x:f>
        <x:v>0</x:v>
      </x:c>
      <x:c r="AK1910" s="32" t="n">
        <x:f>H1910*v01_RoleScale*Arch_Roles*(AE1910*(INDEX(v01_ElderRolePerSett,G1910)*v01_OutElder*INDEX(LM_Elder,G1910)+INDEX(v01_ShamanPerSett,G1910)*v01_OutShaman)+Z1910*(INDEX(v01_PriestShare,G1910)*v01_OutPriest+INDEX(v01_ScribeShare,G1910)*v01_OutScribe*INDEX(LM_Scribe,G1910)+INDEX(v01_ScholarShare,G1910)*v01_OutScholar*INDEX(LM_Scholar,G1910)+INDEX(v01_ResearcherShare,G1910)*v01_OutResearcher*INDEX(LM_Researcher,G1910)))</x:f>
        <x:v>0</x:v>
      </x:c>
      <x:c r="AL1910" s="32" t="n">
        <x:f>H1910*v01_RoleScale*Arch_Roles*AE1910*INDEX(v01_MonasteryPerSett,G1910)*v01_OutMonastery*INDEX(LM_Monastery,G1910)</x:f>
        <x:v>0</x:v>
      </x:c>
      <x:c r="AM1910" s="32" t="n">
        <x:f>(AJ1910+AK1910+AL1910)/4*INDEX(LM_All,G1910)*INDEX(v01_Boon,G1910)*Arch_Insight</x:f>
        <x:v>0</x:v>
      </x:c>
      <x:c r="AN1910" s="32" t="n">
        <x:f>H1910*(v01_KHPerAdult*Z1910+v01_KHOfCommons*AJ1910/4*INDEX(LM_All,G1910))*v01_KHUsable*Arch_KH</x:f>
        <x:v>0</x:v>
      </x:c>
      <x:c r="AO1910" s="32" t="n">
        <x:f>MIN(AP1909+AN1910,AM1910*v01_KHMaxRatio)</x:f>
        <x:v>0</x:v>
      </x:c>
      <x:c r="AP1910" s="32" t="n">
        <x:f>AP1909+AN1910-AO1910</x:f>
        <x:v>0</x:v>
      </x:c>
      <x:c r="AQ1910" s="32" t="n">
        <x:f>AM1910+AO1910</x:f>
        <x:v>0</x:v>
      </x:c>
      <x:c r="AR1910" s="10" t="n">
        <x:f>IF(H1910=1,INDEX(v01_Req,G1910),0)</x:f>
        <x:v>0</x:v>
      </x:c>
      <x:c r="AS1910" s="32" t="n">
        <x:f>IF(H1910=1,IF(E1910=1,AS1909-AR1909,AS1909)+AQ1910,0)</x:f>
        <x:v>0</x:v>
      </x:c>
      <x:c r="AT1910" s="11" t="n">
        <x:f>IF(AR1910&gt;0,MIN(1,AS1910/AR1910),1)</x:f>
        <x:v>1</x:v>
      </x:c>
      <x:c r="AU1910" s="10" t="n">
        <x:f>AB1910/INDEX(v01_RepScale,G1910)</x:f>
        <x:v>90.09519605746344</x:v>
      </x:c>
      <x:c r="AV1910" s="32" t="n">
        <x:f>AM1910*60/v01_SeasonSeconds</x:f>
        <x:v>0</x:v>
      </x:c>
    </x:row>
    <x:row r="1911">
      <x:c r="A1911" s="8" t="n">
        <x:f>A1910+1</x:f>
        <x:v>1908</x:v>
      </x:c>
      <x:c r="B1911" s="9" t="n">
        <x:f>A1911*v01_SeasonSeconds/60</x:f>
        <x:v>477</x:v>
      </x:c>
      <x:c r="C1911" s="9" t="n">
        <x:f>A1911/4</x:f>
        <x:v>477</x:v>
      </x:c>
      <x:c r="D1911" s="8" t="n">
        <x:f>IF(MOD(A1911,4)=0,1,0)</x:f>
        <x:v>1</x:v>
      </x:c>
      <x:c r="E1911" s="8" t="n">
        <x:f>IF(AND(F1910&lt;=9,AS1910&gt;=AR1910),1,0)</x:f>
        <x:v>0</x:v>
      </x:c>
      <x:c r="F1911" s="8" t="n">
        <x:f>MIN(10,F1910+E1911)</x:f>
        <x:v>10</x:v>
      </x:c>
      <x:c r="G1911" s="8" t="n">
        <x:f>MIN(F1911,9)+1</x:f>
        <x:v>10</x:v>
      </x:c>
      <x:c r="H1911" s="8" t="n">
        <x:f>IF(F1911&lt;=9,1,0)</x:f>
        <x:v>0</x:v>
      </x:c>
      <x:c r="I1911" s="9" t="n">
        <x:f>MIN(10,F1910+IF(AR1910&gt;0,MIN(1,AS1910/AR1910),1))</x:f>
        <x:v>10</x:v>
      </x:c>
      <x:c r="J1911" s="32" t="n">
        <x:f>INDEX(v01_FoodCap,G1911)*Arch_FoodCap*EXP(v01_CapsByProject*SUMPRODUCT((Cap_Point&lt;=I1911)*(Cap_Kind="Food")*Cap_Ln))</x:f>
        <x:v>12000</x:v>
      </x:c>
      <x:c r="K1911" s="32" t="n">
        <x:f>J1911*MIN(1,v01_LeanBase*EXP(v01_CapsByProject*SUMPRODUCT((Cap_Point&lt;=I1911)*(Cap_Kind="Lean")*Cap_Ln)))</x:f>
        <x:v>12000</x:v>
      </x:c>
      <x:c r="L1911" s="10" t="n">
        <x:f>INDEX(v01_HousingCap,G1911)*EXP(v01_CapsByProject*SUMPRODUCT((Cap_Point&lt;=I1911)*(Cap_Kind="Housing")*Cap_Ln))</x:f>
        <x:v>20000</x:v>
      </x:c>
      <x:c r="M1911" s="10" t="n">
        <x:f>INDEX(v01_GroupCap,G1911)*v01_CohesionFactor*EXP(v01_CapsByProject*SUMPRODUCT((Cap_Point&lt;=I1911)*(Cap_Kind="Group")*Cap_Ln))</x:f>
        <x:v>1000000</x:v>
      </x:c>
      <x:c r="N1911" s="32" t="n">
        <x:f>MIN(J1911,L1911,M1911)</x:f>
        <x:v>12000</x:v>
      </x:c>
      <x:c r="O1911" s="10" t="n">
        <x:f>AE1910*N1911</x:f>
        <x:v>180000</x:v>
      </x:c>
      <x:c r="P1911" s="9" t="n">
        <x:f>MIN(1,(AB1910/(AE1910*IF(v01_GroupInCrowding=1,N1911,MIN(J1911,L1911))))^v01_CrowdingExp)</x:f>
        <x:v>0.00024569414295285325</x:v>
      </x:c>
      <x:c r="Q1911" s="9" t="n">
        <x:f>IF(D1911=1,INDEX(v01_WinterMult,G1911),1)</x:f>
        <x:v>1</x:v>
      </x:c>
      <x:c r="R1911" s="9" t="n">
        <x:f>H1911*Z1910*v01_WomenShare*v01_BaseFertility*INDEX(v01_FertMult,G1911)*Arch_Fertility*(1-P1911)</x:f>
        <x:v>0</x:v>
      </x:c>
      <x:c r="S1911" s="9" t="n">
        <x:f>H1911*Y1910*INDEX(v01_MortChild,G1911)/4*Q1911</x:f>
        <x:v>0</x:v>
      </x:c>
      <x:c r="T1911" s="9" t="n">
        <x:f>H1911*Z1910*INDEX(v01_MortAdult,G1911)*Arch_AdultMort/4*Q1911</x:f>
        <x:v>0</x:v>
      </x:c>
      <x:c r="U1911" s="9" t="n">
        <x:f>H1911*AA1910*INDEX(v01_MortElder,G1911)/4*Q1911</x:f>
        <x:v>0</x:v>
      </x:c>
      <x:c r="V1911" s="9" t="n">
        <x:f>H1911*MAX(0,AB1910-O1911)*v01_OvercapLoss</x:f>
        <x:v>0</x:v>
      </x:c>
      <x:c r="W1911" s="9" t="n">
        <x:f>H1911*Y1910/(v01_ChildYears*4)</x:f>
        <x:v>0</x:v>
      </x:c>
      <x:c r="X1911" s="9" t="n">
        <x:f>H1911*Z1910/(v01_AdultYears*4)</x:f>
        <x:v>0</x:v>
      </x:c>
      <x:c r="Y1911" s="32" t="n">
        <x:f>Y1910+R1911-S1911-W1911-Y1910*V1911/AB1910</x:f>
        <x:v>14306.18539759397</x:v>
      </x:c>
      <x:c r="Z1911" s="32" t="n">
        <x:f>Z1910+W1911-X1911-T1911-Z1910*V1911/AB1910</x:f>
        <x:v>19354.456567879548</x:v>
      </x:c>
      <x:c r="AA1911" s="32" t="n">
        <x:f>AA1910+X1911-U1911-AA1910*V1911/AB1910</x:f>
        <x:v>11386.956063258198</x:v>
      </x:c>
      <x:c r="AB1911" s="10" t="n">
        <x:f>Y1911+Z1911+AA1911</x:f>
        <x:v>45047.59802873172</x:v>
      </x:c>
      <x:c r="AC1911" s="8" t="n">
        <x:f>IF(AND(v01_WinterTrigger=1,D1911=1,AB1910/AE1910&gt;=K1911),1,0)</x:f>
        <x:v>0</x:v>
      </x:c>
      <x:c r="AD1911" s="8" t="n">
        <x:f>H1911*IF(AND(OR(AB1910/AE1910&gt;=v01_FissionTrigger*N1911,AC1911=1),AB1910/AE1910*v01_DaughterShare&gt;=v01_MinDaughter),MAX(1,ROUND(AE1910*v01_FissionRate,0)),0)</x:f>
        <x:v>0</x:v>
      </x:c>
      <x:c r="AE1911" s="8" t="n">
        <x:f>IF(H1911=1,MAX(1,MIN(INDEX(v01_Smax,G1911),AE1910+AD1911)),AE1910)</x:f>
        <x:v>15</x:v>
      </x:c>
      <x:c r="AF1911" s="8" t="n">
        <x:f>MAX(0,AE1911-AE1910)</x:f>
        <x:v>0</x:v>
      </x:c>
      <x:c r="AG1911" s="9" t="str">
        <x:f>IF(AF1911&gt;0,B1911,"")</x:f>
      </x:c>
      <x:c r="AH1911" s="9" t="n">
        <x:f>IF(F1911&gt;=1,1,(1+v01_LowTiesShare*(AE1911-1))/AE1911)</x:f>
        <x:v>1</x:v>
      </x:c>
      <x:c r="AI1911" s="32" t="n">
        <x:f>(Z1911+v01_ElderCommons*INDEX(LM_Elder,G1911)*AA1911)*AH1911</x:f>
        <x:v>64139.732591141874</x:v>
      </x:c>
      <x:c r="AJ1911" s="32" t="n">
        <x:f>H1911*v01_CommonsCoef*AI1911^v01_CommonsExp*INDEX(LM_Commons,G1911)</x:f>
        <x:v>0</x:v>
      </x:c>
      <x:c r="AK1911" s="32" t="n">
        <x:f>H1911*v01_RoleScale*Arch_Roles*(AE1911*(INDEX(v01_ElderRolePerSett,G1911)*v01_OutElder*INDEX(LM_Elder,G1911)+INDEX(v01_ShamanPerSett,G1911)*v01_OutShaman)+Z1911*(INDEX(v01_PriestShare,G1911)*v01_OutPriest+INDEX(v01_ScribeShare,G1911)*v01_OutScribe*INDEX(LM_Scribe,G1911)+INDEX(v01_ScholarShare,G1911)*v01_OutScholar*INDEX(LM_Scholar,G1911)+INDEX(v01_ResearcherShare,G1911)*v01_OutResearcher*INDEX(LM_Researcher,G1911)))</x:f>
        <x:v>0</x:v>
      </x:c>
      <x:c r="AL1911" s="32" t="n">
        <x:f>H1911*v01_RoleScale*Arch_Roles*AE1911*INDEX(v01_MonasteryPerSett,G1911)*v01_OutMonastery*INDEX(LM_Monastery,G1911)</x:f>
        <x:v>0</x:v>
      </x:c>
      <x:c r="AM1911" s="32" t="n">
        <x:f>(AJ1911+AK1911+AL1911)/4*INDEX(LM_All,G1911)*INDEX(v01_Boon,G1911)*Arch_Insight</x:f>
        <x:v>0</x:v>
      </x:c>
      <x:c r="AN1911" s="32" t="n">
        <x:f>H1911*(v01_KHPerAdult*Z1911+v01_KHOfCommons*AJ1911/4*INDEX(LM_All,G1911))*v01_KHUsable*Arch_KH</x:f>
        <x:v>0</x:v>
      </x:c>
      <x:c r="AO1911" s="32" t="n">
        <x:f>MIN(AP1910+AN1911,AM1911*v01_KHMaxRatio)</x:f>
        <x:v>0</x:v>
      </x:c>
      <x:c r="AP1911" s="32" t="n">
        <x:f>AP1910+AN1911-AO1911</x:f>
        <x:v>0</x:v>
      </x:c>
      <x:c r="AQ1911" s="32" t="n">
        <x:f>AM1911+AO1911</x:f>
        <x:v>0</x:v>
      </x:c>
      <x:c r="AR1911" s="10" t="n">
        <x:f>IF(H1911=1,INDEX(v01_Req,G1911),0)</x:f>
        <x:v>0</x:v>
      </x:c>
      <x:c r="AS1911" s="32" t="n">
        <x:f>IF(H1911=1,IF(E1911=1,AS1910-AR1910,AS1910)+AQ1911,0)</x:f>
        <x:v>0</x:v>
      </x:c>
      <x:c r="AT1911" s="11" t="n">
        <x:f>IF(AR1911&gt;0,MIN(1,AS1911/AR1911),1)</x:f>
        <x:v>1</x:v>
      </x:c>
      <x:c r="AU1911" s="10" t="n">
        <x:f>AB1911/INDEX(v01_RepScale,G1911)</x:f>
        <x:v>90.09519605746344</x:v>
      </x:c>
      <x:c r="AV1911" s="32" t="n">
        <x:f>AM1911*60/v01_SeasonSeconds</x:f>
        <x:v>0</x:v>
      </x:c>
    </x:row>
    <x:row r="1912">
      <x:c r="A1912" s="8" t="n">
        <x:f>A1911+1</x:f>
        <x:v>1909</x:v>
      </x:c>
      <x:c r="B1912" s="9" t="n">
        <x:f>A1912*v01_SeasonSeconds/60</x:f>
        <x:v>477.25</x:v>
      </x:c>
      <x:c r="C1912" s="9" t="n">
        <x:f>A1912/4</x:f>
        <x:v>477.25</x:v>
      </x:c>
      <x:c r="D1912" s="8" t="n">
        <x:f>IF(MOD(A1912,4)=0,1,0)</x:f>
        <x:v>0</x:v>
      </x:c>
      <x:c r="E1912" s="8" t="n">
        <x:f>IF(AND(F1911&lt;=9,AS1911&gt;=AR1911),1,0)</x:f>
        <x:v>0</x:v>
      </x:c>
      <x:c r="F1912" s="8" t="n">
        <x:f>MIN(10,F1911+E1912)</x:f>
        <x:v>10</x:v>
      </x:c>
      <x:c r="G1912" s="8" t="n">
        <x:f>MIN(F1912,9)+1</x:f>
        <x:v>10</x:v>
      </x:c>
      <x:c r="H1912" s="8" t="n">
        <x:f>IF(F1912&lt;=9,1,0)</x:f>
        <x:v>0</x:v>
      </x:c>
      <x:c r="I1912" s="9" t="n">
        <x:f>MIN(10,F1911+IF(AR1911&gt;0,MIN(1,AS1911/AR1911),1))</x:f>
        <x:v>10</x:v>
      </x:c>
      <x:c r="J1912" s="32" t="n">
        <x:f>INDEX(v01_FoodCap,G1912)*Arch_FoodCap*EXP(v01_CapsByProject*SUMPRODUCT((Cap_Point&lt;=I1912)*(Cap_Kind="Food")*Cap_Ln))</x:f>
        <x:v>12000</x:v>
      </x:c>
      <x:c r="K1912" s="32" t="n">
        <x:f>J1912*MIN(1,v01_LeanBase*EXP(v01_CapsByProject*SUMPRODUCT((Cap_Point&lt;=I1912)*(Cap_Kind="Lean")*Cap_Ln)))</x:f>
        <x:v>12000</x:v>
      </x:c>
      <x:c r="L1912" s="10" t="n">
        <x:f>INDEX(v01_HousingCap,G1912)*EXP(v01_CapsByProject*SUMPRODUCT((Cap_Point&lt;=I1912)*(Cap_Kind="Housing")*Cap_Ln))</x:f>
        <x:v>20000</x:v>
      </x:c>
      <x:c r="M1912" s="10" t="n">
        <x:f>INDEX(v01_GroupCap,G1912)*v01_CohesionFactor*EXP(v01_CapsByProject*SUMPRODUCT((Cap_Point&lt;=I1912)*(Cap_Kind="Group")*Cap_Ln))</x:f>
        <x:v>1000000</x:v>
      </x:c>
      <x:c r="N1912" s="32" t="n">
        <x:f>MIN(J1912,L1912,M1912)</x:f>
        <x:v>12000</x:v>
      </x:c>
      <x:c r="O1912" s="10" t="n">
        <x:f>AE1911*N1912</x:f>
        <x:v>180000</x:v>
      </x:c>
      <x:c r="P1912" s="9" t="n">
        <x:f>MIN(1,(AB1911/(AE1911*IF(v01_GroupInCrowding=1,N1912,MIN(J1912,L1912))))^v01_CrowdingExp)</x:f>
        <x:v>0.00024569414295285325</x:v>
      </x:c>
      <x:c r="Q1912" s="9" t="n">
        <x:f>IF(D1912=1,INDEX(v01_WinterMult,G1912),1)</x:f>
        <x:v>1</x:v>
      </x:c>
      <x:c r="R1912" s="9" t="n">
        <x:f>H1912*Z1911*v01_WomenShare*v01_BaseFertility*INDEX(v01_FertMult,G1912)*Arch_Fertility*(1-P1912)</x:f>
        <x:v>0</x:v>
      </x:c>
      <x:c r="S1912" s="9" t="n">
        <x:f>H1912*Y1911*INDEX(v01_MortChild,G1912)/4*Q1912</x:f>
        <x:v>0</x:v>
      </x:c>
      <x:c r="T1912" s="9" t="n">
        <x:f>H1912*Z1911*INDEX(v01_MortAdult,G1912)*Arch_AdultMort/4*Q1912</x:f>
        <x:v>0</x:v>
      </x:c>
      <x:c r="U1912" s="9" t="n">
        <x:f>H1912*AA1911*INDEX(v01_MortElder,G1912)/4*Q1912</x:f>
        <x:v>0</x:v>
      </x:c>
      <x:c r="V1912" s="9" t="n">
        <x:f>H1912*MAX(0,AB1911-O1912)*v01_OvercapLoss</x:f>
        <x:v>0</x:v>
      </x:c>
      <x:c r="W1912" s="9" t="n">
        <x:f>H1912*Y1911/(v01_ChildYears*4)</x:f>
        <x:v>0</x:v>
      </x:c>
      <x:c r="X1912" s="9" t="n">
        <x:f>H1912*Z1911/(v01_AdultYears*4)</x:f>
        <x:v>0</x:v>
      </x:c>
      <x:c r="Y1912" s="32" t="n">
        <x:f>Y1911+R1912-S1912-W1912-Y1911*V1912/AB1911</x:f>
        <x:v>14306.18539759397</x:v>
      </x:c>
      <x:c r="Z1912" s="32" t="n">
        <x:f>Z1911+W1912-X1912-T1912-Z1911*V1912/AB1911</x:f>
        <x:v>19354.456567879548</x:v>
      </x:c>
      <x:c r="AA1912" s="32" t="n">
        <x:f>AA1911+X1912-U1912-AA1911*V1912/AB1911</x:f>
        <x:v>11386.956063258198</x:v>
      </x:c>
      <x:c r="AB1912" s="10" t="n">
        <x:f>Y1912+Z1912+AA1912</x:f>
        <x:v>45047.59802873172</x:v>
      </x:c>
      <x:c r="AC1912" s="8" t="n">
        <x:f>IF(AND(v01_WinterTrigger=1,D1912=1,AB1911/AE1911&gt;=K1912),1,0)</x:f>
        <x:v>0</x:v>
      </x:c>
      <x:c r="AD1912" s="8" t="n">
        <x:f>H1912*IF(AND(OR(AB1911/AE1911&gt;=v01_FissionTrigger*N1912,AC1912=1),AB1911/AE1911*v01_DaughterShare&gt;=v01_MinDaughter),MAX(1,ROUND(AE1911*v01_FissionRate,0)),0)</x:f>
        <x:v>0</x:v>
      </x:c>
      <x:c r="AE1912" s="8" t="n">
        <x:f>IF(H1912=1,MAX(1,MIN(INDEX(v01_Smax,G1912),AE1911+AD1912)),AE1911)</x:f>
        <x:v>15</x:v>
      </x:c>
      <x:c r="AF1912" s="8" t="n">
        <x:f>MAX(0,AE1912-AE1911)</x:f>
        <x:v>0</x:v>
      </x:c>
      <x:c r="AG1912" s="9" t="str">
        <x:f>IF(AF1912&gt;0,B1912,"")</x:f>
      </x:c>
      <x:c r="AH1912" s="9" t="n">
        <x:f>IF(F1912&gt;=1,1,(1+v01_LowTiesShare*(AE1912-1))/AE1912)</x:f>
        <x:v>1</x:v>
      </x:c>
      <x:c r="AI1912" s="32" t="n">
        <x:f>(Z1912+v01_ElderCommons*INDEX(LM_Elder,G1912)*AA1912)*AH1912</x:f>
        <x:v>64139.732591141874</x:v>
      </x:c>
      <x:c r="AJ1912" s="32" t="n">
        <x:f>H1912*v01_CommonsCoef*AI1912^v01_CommonsExp*INDEX(LM_Commons,G1912)</x:f>
        <x:v>0</x:v>
      </x:c>
      <x:c r="AK1912" s="32" t="n">
        <x:f>H1912*v01_RoleScale*Arch_Roles*(AE1912*(INDEX(v01_ElderRolePerSett,G1912)*v01_OutElder*INDEX(LM_Elder,G1912)+INDEX(v01_ShamanPerSett,G1912)*v01_OutShaman)+Z1912*(INDEX(v01_PriestShare,G1912)*v01_OutPriest+INDEX(v01_ScribeShare,G1912)*v01_OutScribe*INDEX(LM_Scribe,G1912)+INDEX(v01_ScholarShare,G1912)*v01_OutScholar*INDEX(LM_Scholar,G1912)+INDEX(v01_ResearcherShare,G1912)*v01_OutResearcher*INDEX(LM_Researcher,G1912)))</x:f>
        <x:v>0</x:v>
      </x:c>
      <x:c r="AL1912" s="32" t="n">
        <x:f>H1912*v01_RoleScale*Arch_Roles*AE1912*INDEX(v01_MonasteryPerSett,G1912)*v01_OutMonastery*INDEX(LM_Monastery,G1912)</x:f>
        <x:v>0</x:v>
      </x:c>
      <x:c r="AM1912" s="32" t="n">
        <x:f>(AJ1912+AK1912+AL1912)/4*INDEX(LM_All,G1912)*INDEX(v01_Boon,G1912)*Arch_Insight</x:f>
        <x:v>0</x:v>
      </x:c>
      <x:c r="AN1912" s="32" t="n">
        <x:f>H1912*(v01_KHPerAdult*Z1912+v01_KHOfCommons*AJ1912/4*INDEX(LM_All,G1912))*v01_KHUsable*Arch_KH</x:f>
        <x:v>0</x:v>
      </x:c>
      <x:c r="AO1912" s="32" t="n">
        <x:f>MIN(AP1911+AN1912,AM1912*v01_KHMaxRatio)</x:f>
        <x:v>0</x:v>
      </x:c>
      <x:c r="AP1912" s="32" t="n">
        <x:f>AP1911+AN1912-AO1912</x:f>
        <x:v>0</x:v>
      </x:c>
      <x:c r="AQ1912" s="32" t="n">
        <x:f>AM1912+AO1912</x:f>
        <x:v>0</x:v>
      </x:c>
      <x:c r="AR1912" s="10" t="n">
        <x:f>IF(H1912=1,INDEX(v01_Req,G1912),0)</x:f>
        <x:v>0</x:v>
      </x:c>
      <x:c r="AS1912" s="32" t="n">
        <x:f>IF(H1912=1,IF(E1912=1,AS1911-AR1911,AS1911)+AQ1912,0)</x:f>
        <x:v>0</x:v>
      </x:c>
      <x:c r="AT1912" s="11" t="n">
        <x:f>IF(AR1912&gt;0,MIN(1,AS1912/AR1912),1)</x:f>
        <x:v>1</x:v>
      </x:c>
      <x:c r="AU1912" s="10" t="n">
        <x:f>AB1912/INDEX(v01_RepScale,G1912)</x:f>
        <x:v>90.09519605746344</x:v>
      </x:c>
      <x:c r="AV1912" s="32" t="n">
        <x:f>AM1912*60/v01_SeasonSeconds</x:f>
        <x:v>0</x:v>
      </x:c>
    </x:row>
    <x:row r="1913">
      <x:c r="A1913" s="8" t="n">
        <x:f>A1912+1</x:f>
        <x:v>1910</x:v>
      </x:c>
      <x:c r="B1913" s="9" t="n">
        <x:f>A1913*v01_SeasonSeconds/60</x:f>
        <x:v>477.5</x:v>
      </x:c>
      <x:c r="C1913" s="9" t="n">
        <x:f>A1913/4</x:f>
        <x:v>477.5</x:v>
      </x:c>
      <x:c r="D1913" s="8" t="n">
        <x:f>IF(MOD(A1913,4)=0,1,0)</x:f>
        <x:v>0</x:v>
      </x:c>
      <x:c r="E1913" s="8" t="n">
        <x:f>IF(AND(F1912&lt;=9,AS1912&gt;=AR1912),1,0)</x:f>
        <x:v>0</x:v>
      </x:c>
      <x:c r="F1913" s="8" t="n">
        <x:f>MIN(10,F1912+E1913)</x:f>
        <x:v>10</x:v>
      </x:c>
      <x:c r="G1913" s="8" t="n">
        <x:f>MIN(F1913,9)+1</x:f>
        <x:v>10</x:v>
      </x:c>
      <x:c r="H1913" s="8" t="n">
        <x:f>IF(F1913&lt;=9,1,0)</x:f>
        <x:v>0</x:v>
      </x:c>
      <x:c r="I1913" s="9" t="n">
        <x:f>MIN(10,F1912+IF(AR1912&gt;0,MIN(1,AS1912/AR1912),1))</x:f>
        <x:v>10</x:v>
      </x:c>
      <x:c r="J1913" s="32" t="n">
        <x:f>INDEX(v01_FoodCap,G1913)*Arch_FoodCap*EXP(v01_CapsByProject*SUMPRODUCT((Cap_Point&lt;=I1913)*(Cap_Kind="Food")*Cap_Ln))</x:f>
        <x:v>12000</x:v>
      </x:c>
      <x:c r="K1913" s="32" t="n">
        <x:f>J1913*MIN(1,v01_LeanBase*EXP(v01_CapsByProject*SUMPRODUCT((Cap_Point&lt;=I1913)*(Cap_Kind="Lean")*Cap_Ln)))</x:f>
        <x:v>12000</x:v>
      </x:c>
      <x:c r="L1913" s="10" t="n">
        <x:f>INDEX(v01_HousingCap,G1913)*EXP(v01_CapsByProject*SUMPRODUCT((Cap_Point&lt;=I1913)*(Cap_Kind="Housing")*Cap_Ln))</x:f>
        <x:v>20000</x:v>
      </x:c>
      <x:c r="M1913" s="10" t="n">
        <x:f>INDEX(v01_GroupCap,G1913)*v01_CohesionFactor*EXP(v01_CapsByProject*SUMPRODUCT((Cap_Point&lt;=I1913)*(Cap_Kind="Group")*Cap_Ln))</x:f>
        <x:v>1000000</x:v>
      </x:c>
      <x:c r="N1913" s="32" t="n">
        <x:f>MIN(J1913,L1913,M1913)</x:f>
        <x:v>12000</x:v>
      </x:c>
      <x:c r="O1913" s="10" t="n">
        <x:f>AE1912*N1913</x:f>
        <x:v>180000</x:v>
      </x:c>
      <x:c r="P1913" s="9" t="n">
        <x:f>MIN(1,(AB1912/(AE1912*IF(v01_GroupInCrowding=1,N1913,MIN(J1913,L1913))))^v01_CrowdingExp)</x:f>
        <x:v>0.00024569414295285325</x:v>
      </x:c>
      <x:c r="Q1913" s="9" t="n">
        <x:f>IF(D1913=1,INDEX(v01_WinterMult,G1913),1)</x:f>
        <x:v>1</x:v>
      </x:c>
      <x:c r="R1913" s="9" t="n">
        <x:f>H1913*Z1912*v01_WomenShare*v01_BaseFertility*INDEX(v01_FertMult,G1913)*Arch_Fertility*(1-P1913)</x:f>
        <x:v>0</x:v>
      </x:c>
      <x:c r="S1913" s="9" t="n">
        <x:f>H1913*Y1912*INDEX(v01_MortChild,G1913)/4*Q1913</x:f>
        <x:v>0</x:v>
      </x:c>
      <x:c r="T1913" s="9" t="n">
        <x:f>H1913*Z1912*INDEX(v01_MortAdult,G1913)*Arch_AdultMort/4*Q1913</x:f>
        <x:v>0</x:v>
      </x:c>
      <x:c r="U1913" s="9" t="n">
        <x:f>H1913*AA1912*INDEX(v01_MortElder,G1913)/4*Q1913</x:f>
        <x:v>0</x:v>
      </x:c>
      <x:c r="V1913" s="9" t="n">
        <x:f>H1913*MAX(0,AB1912-O1913)*v01_OvercapLoss</x:f>
        <x:v>0</x:v>
      </x:c>
      <x:c r="W1913" s="9" t="n">
        <x:f>H1913*Y1912/(v01_ChildYears*4)</x:f>
        <x:v>0</x:v>
      </x:c>
      <x:c r="X1913" s="9" t="n">
        <x:f>H1913*Z1912/(v01_AdultYears*4)</x:f>
        <x:v>0</x:v>
      </x:c>
      <x:c r="Y1913" s="32" t="n">
        <x:f>Y1912+R1913-S1913-W1913-Y1912*V1913/AB1912</x:f>
        <x:v>14306.18539759397</x:v>
      </x:c>
      <x:c r="Z1913" s="32" t="n">
        <x:f>Z1912+W1913-X1913-T1913-Z1912*V1913/AB1912</x:f>
        <x:v>19354.456567879548</x:v>
      </x:c>
      <x:c r="AA1913" s="32" t="n">
        <x:f>AA1912+X1913-U1913-AA1912*V1913/AB1912</x:f>
        <x:v>11386.956063258198</x:v>
      </x:c>
      <x:c r="AB1913" s="10" t="n">
        <x:f>Y1913+Z1913+AA1913</x:f>
        <x:v>45047.59802873172</x:v>
      </x:c>
      <x:c r="AC1913" s="8" t="n">
        <x:f>IF(AND(v01_WinterTrigger=1,D1913=1,AB1912/AE1912&gt;=K1913),1,0)</x:f>
        <x:v>0</x:v>
      </x:c>
      <x:c r="AD1913" s="8" t="n">
        <x:f>H1913*IF(AND(OR(AB1912/AE1912&gt;=v01_FissionTrigger*N1913,AC1913=1),AB1912/AE1912*v01_DaughterShare&gt;=v01_MinDaughter),MAX(1,ROUND(AE1912*v01_FissionRate,0)),0)</x:f>
        <x:v>0</x:v>
      </x:c>
      <x:c r="AE1913" s="8" t="n">
        <x:f>IF(H1913=1,MAX(1,MIN(INDEX(v01_Smax,G1913),AE1912+AD1913)),AE1912)</x:f>
        <x:v>15</x:v>
      </x:c>
      <x:c r="AF1913" s="8" t="n">
        <x:f>MAX(0,AE1913-AE1912)</x:f>
        <x:v>0</x:v>
      </x:c>
      <x:c r="AG1913" s="9" t="str">
        <x:f>IF(AF1913&gt;0,B1913,"")</x:f>
      </x:c>
      <x:c r="AH1913" s="9" t="n">
        <x:f>IF(F1913&gt;=1,1,(1+v01_LowTiesShare*(AE1913-1))/AE1913)</x:f>
        <x:v>1</x:v>
      </x:c>
      <x:c r="AI1913" s="32" t="n">
        <x:f>(Z1913+v01_ElderCommons*INDEX(LM_Elder,G1913)*AA1913)*AH1913</x:f>
        <x:v>64139.732591141874</x:v>
      </x:c>
      <x:c r="AJ1913" s="32" t="n">
        <x:f>H1913*v01_CommonsCoef*AI1913^v01_CommonsExp*INDEX(LM_Commons,G1913)</x:f>
        <x:v>0</x:v>
      </x:c>
      <x:c r="AK1913" s="32" t="n">
        <x:f>H1913*v01_RoleScale*Arch_Roles*(AE1913*(INDEX(v01_ElderRolePerSett,G1913)*v01_OutElder*INDEX(LM_Elder,G1913)+INDEX(v01_ShamanPerSett,G1913)*v01_OutShaman)+Z1913*(INDEX(v01_PriestShare,G1913)*v01_OutPriest+INDEX(v01_ScribeShare,G1913)*v01_OutScribe*INDEX(LM_Scribe,G1913)+INDEX(v01_ScholarShare,G1913)*v01_OutScholar*INDEX(LM_Scholar,G1913)+INDEX(v01_ResearcherShare,G1913)*v01_OutResearcher*INDEX(LM_Researcher,G1913)))</x:f>
        <x:v>0</x:v>
      </x:c>
      <x:c r="AL1913" s="32" t="n">
        <x:f>H1913*v01_RoleScale*Arch_Roles*AE1913*INDEX(v01_MonasteryPerSett,G1913)*v01_OutMonastery*INDEX(LM_Monastery,G1913)</x:f>
        <x:v>0</x:v>
      </x:c>
      <x:c r="AM1913" s="32" t="n">
        <x:f>(AJ1913+AK1913+AL1913)/4*INDEX(LM_All,G1913)*INDEX(v01_Boon,G1913)*Arch_Insight</x:f>
        <x:v>0</x:v>
      </x:c>
      <x:c r="AN1913" s="32" t="n">
        <x:f>H1913*(v01_KHPerAdult*Z1913+v01_KHOfCommons*AJ1913/4*INDEX(LM_All,G1913))*v01_KHUsable*Arch_KH</x:f>
        <x:v>0</x:v>
      </x:c>
      <x:c r="AO1913" s="32" t="n">
        <x:f>MIN(AP1912+AN1913,AM1913*v01_KHMaxRatio)</x:f>
        <x:v>0</x:v>
      </x:c>
      <x:c r="AP1913" s="32" t="n">
        <x:f>AP1912+AN1913-AO1913</x:f>
        <x:v>0</x:v>
      </x:c>
      <x:c r="AQ1913" s="32" t="n">
        <x:f>AM1913+AO1913</x:f>
        <x:v>0</x:v>
      </x:c>
      <x:c r="AR1913" s="10" t="n">
        <x:f>IF(H1913=1,INDEX(v01_Req,G1913),0)</x:f>
        <x:v>0</x:v>
      </x:c>
      <x:c r="AS1913" s="32" t="n">
        <x:f>IF(H1913=1,IF(E1913=1,AS1912-AR1912,AS1912)+AQ1913,0)</x:f>
        <x:v>0</x:v>
      </x:c>
      <x:c r="AT1913" s="11" t="n">
        <x:f>IF(AR1913&gt;0,MIN(1,AS1913/AR1913),1)</x:f>
        <x:v>1</x:v>
      </x:c>
      <x:c r="AU1913" s="10" t="n">
        <x:f>AB1913/INDEX(v01_RepScale,G1913)</x:f>
        <x:v>90.09519605746344</x:v>
      </x:c>
      <x:c r="AV1913" s="32" t="n">
        <x:f>AM1913*60/v01_SeasonSeconds</x:f>
        <x:v>0</x:v>
      </x:c>
    </x:row>
    <x:row r="1914">
      <x:c r="A1914" s="8" t="n">
        <x:f>A1913+1</x:f>
        <x:v>1911</x:v>
      </x:c>
      <x:c r="B1914" s="9" t="n">
        <x:f>A1914*v01_SeasonSeconds/60</x:f>
        <x:v>477.75</x:v>
      </x:c>
      <x:c r="C1914" s="9" t="n">
        <x:f>A1914/4</x:f>
        <x:v>477.75</x:v>
      </x:c>
      <x:c r="D1914" s="8" t="n">
        <x:f>IF(MOD(A1914,4)=0,1,0)</x:f>
        <x:v>0</x:v>
      </x:c>
      <x:c r="E1914" s="8" t="n">
        <x:f>IF(AND(F1913&lt;=9,AS1913&gt;=AR1913),1,0)</x:f>
        <x:v>0</x:v>
      </x:c>
      <x:c r="F1914" s="8" t="n">
        <x:f>MIN(10,F1913+E1914)</x:f>
        <x:v>10</x:v>
      </x:c>
      <x:c r="G1914" s="8" t="n">
        <x:f>MIN(F1914,9)+1</x:f>
        <x:v>10</x:v>
      </x:c>
      <x:c r="H1914" s="8" t="n">
        <x:f>IF(F1914&lt;=9,1,0)</x:f>
        <x:v>0</x:v>
      </x:c>
      <x:c r="I1914" s="9" t="n">
        <x:f>MIN(10,F1913+IF(AR1913&gt;0,MIN(1,AS1913/AR1913),1))</x:f>
        <x:v>10</x:v>
      </x:c>
      <x:c r="J1914" s="32" t="n">
        <x:f>INDEX(v01_FoodCap,G1914)*Arch_FoodCap*EXP(v01_CapsByProject*SUMPRODUCT((Cap_Point&lt;=I1914)*(Cap_Kind="Food")*Cap_Ln))</x:f>
        <x:v>12000</x:v>
      </x:c>
      <x:c r="K1914" s="32" t="n">
        <x:f>J1914*MIN(1,v01_LeanBase*EXP(v01_CapsByProject*SUMPRODUCT((Cap_Point&lt;=I1914)*(Cap_Kind="Lean")*Cap_Ln)))</x:f>
        <x:v>12000</x:v>
      </x:c>
      <x:c r="L1914" s="10" t="n">
        <x:f>INDEX(v01_HousingCap,G1914)*EXP(v01_CapsByProject*SUMPRODUCT((Cap_Point&lt;=I1914)*(Cap_Kind="Housing")*Cap_Ln))</x:f>
        <x:v>20000</x:v>
      </x:c>
      <x:c r="M1914" s="10" t="n">
        <x:f>INDEX(v01_GroupCap,G1914)*v01_CohesionFactor*EXP(v01_CapsByProject*SUMPRODUCT((Cap_Point&lt;=I1914)*(Cap_Kind="Group")*Cap_Ln))</x:f>
        <x:v>1000000</x:v>
      </x:c>
      <x:c r="N1914" s="32" t="n">
        <x:f>MIN(J1914,L1914,M1914)</x:f>
        <x:v>12000</x:v>
      </x:c>
      <x:c r="O1914" s="10" t="n">
        <x:f>AE1913*N1914</x:f>
        <x:v>180000</x:v>
      </x:c>
      <x:c r="P1914" s="9" t="n">
        <x:f>MIN(1,(AB1913/(AE1913*IF(v01_GroupInCrowding=1,N1914,MIN(J1914,L1914))))^v01_CrowdingExp)</x:f>
        <x:v>0.00024569414295285325</x:v>
      </x:c>
      <x:c r="Q1914" s="9" t="n">
        <x:f>IF(D1914=1,INDEX(v01_WinterMult,G1914),1)</x:f>
        <x:v>1</x:v>
      </x:c>
      <x:c r="R1914" s="9" t="n">
        <x:f>H1914*Z1913*v01_WomenShare*v01_BaseFertility*INDEX(v01_FertMult,G1914)*Arch_Fertility*(1-P1914)</x:f>
        <x:v>0</x:v>
      </x:c>
      <x:c r="S1914" s="9" t="n">
        <x:f>H1914*Y1913*INDEX(v01_MortChild,G1914)/4*Q1914</x:f>
        <x:v>0</x:v>
      </x:c>
      <x:c r="T1914" s="9" t="n">
        <x:f>H1914*Z1913*INDEX(v01_MortAdult,G1914)*Arch_AdultMort/4*Q1914</x:f>
        <x:v>0</x:v>
      </x:c>
      <x:c r="U1914" s="9" t="n">
        <x:f>H1914*AA1913*INDEX(v01_MortElder,G1914)/4*Q1914</x:f>
        <x:v>0</x:v>
      </x:c>
      <x:c r="V1914" s="9" t="n">
        <x:f>H1914*MAX(0,AB1913-O1914)*v01_OvercapLoss</x:f>
        <x:v>0</x:v>
      </x:c>
      <x:c r="W1914" s="9" t="n">
        <x:f>H1914*Y1913/(v01_ChildYears*4)</x:f>
        <x:v>0</x:v>
      </x:c>
      <x:c r="X1914" s="9" t="n">
        <x:f>H1914*Z1913/(v01_AdultYears*4)</x:f>
        <x:v>0</x:v>
      </x:c>
      <x:c r="Y1914" s="32" t="n">
        <x:f>Y1913+R1914-S1914-W1914-Y1913*V1914/AB1913</x:f>
        <x:v>14306.18539759397</x:v>
      </x:c>
      <x:c r="Z1914" s="32" t="n">
        <x:f>Z1913+W1914-X1914-T1914-Z1913*V1914/AB1913</x:f>
        <x:v>19354.456567879548</x:v>
      </x:c>
      <x:c r="AA1914" s="32" t="n">
        <x:f>AA1913+X1914-U1914-AA1913*V1914/AB1913</x:f>
        <x:v>11386.956063258198</x:v>
      </x:c>
      <x:c r="AB1914" s="10" t="n">
        <x:f>Y1914+Z1914+AA1914</x:f>
        <x:v>45047.59802873172</x:v>
      </x:c>
      <x:c r="AC1914" s="8" t="n">
        <x:f>IF(AND(v01_WinterTrigger=1,D1914=1,AB1913/AE1913&gt;=K1914),1,0)</x:f>
        <x:v>0</x:v>
      </x:c>
      <x:c r="AD1914" s="8" t="n">
        <x:f>H1914*IF(AND(OR(AB1913/AE1913&gt;=v01_FissionTrigger*N1914,AC1914=1),AB1913/AE1913*v01_DaughterShare&gt;=v01_MinDaughter),MAX(1,ROUND(AE1913*v01_FissionRate,0)),0)</x:f>
        <x:v>0</x:v>
      </x:c>
      <x:c r="AE1914" s="8" t="n">
        <x:f>IF(H1914=1,MAX(1,MIN(INDEX(v01_Smax,G1914),AE1913+AD1914)),AE1913)</x:f>
        <x:v>15</x:v>
      </x:c>
      <x:c r="AF1914" s="8" t="n">
        <x:f>MAX(0,AE1914-AE1913)</x:f>
        <x:v>0</x:v>
      </x:c>
      <x:c r="AG1914" s="9" t="str">
        <x:f>IF(AF1914&gt;0,B1914,"")</x:f>
      </x:c>
      <x:c r="AH1914" s="9" t="n">
        <x:f>IF(F1914&gt;=1,1,(1+v01_LowTiesShare*(AE1914-1))/AE1914)</x:f>
        <x:v>1</x:v>
      </x:c>
      <x:c r="AI1914" s="32" t="n">
        <x:f>(Z1914+v01_ElderCommons*INDEX(LM_Elder,G1914)*AA1914)*AH1914</x:f>
        <x:v>64139.732591141874</x:v>
      </x:c>
      <x:c r="AJ1914" s="32" t="n">
        <x:f>H1914*v01_CommonsCoef*AI1914^v01_CommonsExp*INDEX(LM_Commons,G1914)</x:f>
        <x:v>0</x:v>
      </x:c>
      <x:c r="AK1914" s="32" t="n">
        <x:f>H1914*v01_RoleScale*Arch_Roles*(AE1914*(INDEX(v01_ElderRolePerSett,G1914)*v01_OutElder*INDEX(LM_Elder,G1914)+INDEX(v01_ShamanPerSett,G1914)*v01_OutShaman)+Z1914*(INDEX(v01_PriestShare,G1914)*v01_OutPriest+INDEX(v01_ScribeShare,G1914)*v01_OutScribe*INDEX(LM_Scribe,G1914)+INDEX(v01_ScholarShare,G1914)*v01_OutScholar*INDEX(LM_Scholar,G1914)+INDEX(v01_ResearcherShare,G1914)*v01_OutResearcher*INDEX(LM_Researcher,G1914)))</x:f>
        <x:v>0</x:v>
      </x:c>
      <x:c r="AL1914" s="32" t="n">
        <x:f>H1914*v01_RoleScale*Arch_Roles*AE1914*INDEX(v01_MonasteryPerSett,G1914)*v01_OutMonastery*INDEX(LM_Monastery,G1914)</x:f>
        <x:v>0</x:v>
      </x:c>
      <x:c r="AM1914" s="32" t="n">
        <x:f>(AJ1914+AK1914+AL1914)/4*INDEX(LM_All,G1914)*INDEX(v01_Boon,G1914)*Arch_Insight</x:f>
        <x:v>0</x:v>
      </x:c>
      <x:c r="AN1914" s="32" t="n">
        <x:f>H1914*(v01_KHPerAdult*Z1914+v01_KHOfCommons*AJ1914/4*INDEX(LM_All,G1914))*v01_KHUsable*Arch_KH</x:f>
        <x:v>0</x:v>
      </x:c>
      <x:c r="AO1914" s="32" t="n">
        <x:f>MIN(AP1913+AN1914,AM1914*v01_KHMaxRatio)</x:f>
        <x:v>0</x:v>
      </x:c>
      <x:c r="AP1914" s="32" t="n">
        <x:f>AP1913+AN1914-AO1914</x:f>
        <x:v>0</x:v>
      </x:c>
      <x:c r="AQ1914" s="32" t="n">
        <x:f>AM1914+AO1914</x:f>
        <x:v>0</x:v>
      </x:c>
      <x:c r="AR1914" s="10" t="n">
        <x:f>IF(H1914=1,INDEX(v01_Req,G1914),0)</x:f>
        <x:v>0</x:v>
      </x:c>
      <x:c r="AS1914" s="32" t="n">
        <x:f>IF(H1914=1,IF(E1914=1,AS1913-AR1913,AS1913)+AQ1914,0)</x:f>
        <x:v>0</x:v>
      </x:c>
      <x:c r="AT1914" s="11" t="n">
        <x:f>IF(AR1914&gt;0,MIN(1,AS1914/AR1914),1)</x:f>
        <x:v>1</x:v>
      </x:c>
      <x:c r="AU1914" s="10" t="n">
        <x:f>AB1914/INDEX(v01_RepScale,G1914)</x:f>
        <x:v>90.09519605746344</x:v>
      </x:c>
      <x:c r="AV1914" s="32" t="n">
        <x:f>AM1914*60/v01_SeasonSeconds</x:f>
        <x:v>0</x:v>
      </x:c>
    </x:row>
    <x:row r="1915">
      <x:c r="A1915" s="8" t="n">
        <x:f>A1914+1</x:f>
        <x:v>1912</x:v>
      </x:c>
      <x:c r="B1915" s="9" t="n">
        <x:f>A1915*v01_SeasonSeconds/60</x:f>
        <x:v>478</x:v>
      </x:c>
      <x:c r="C1915" s="9" t="n">
        <x:f>A1915/4</x:f>
        <x:v>478</x:v>
      </x:c>
      <x:c r="D1915" s="8" t="n">
        <x:f>IF(MOD(A1915,4)=0,1,0)</x:f>
        <x:v>1</x:v>
      </x:c>
      <x:c r="E1915" s="8" t="n">
        <x:f>IF(AND(F1914&lt;=9,AS1914&gt;=AR1914),1,0)</x:f>
        <x:v>0</x:v>
      </x:c>
      <x:c r="F1915" s="8" t="n">
        <x:f>MIN(10,F1914+E1915)</x:f>
        <x:v>10</x:v>
      </x:c>
      <x:c r="G1915" s="8" t="n">
        <x:f>MIN(F1915,9)+1</x:f>
        <x:v>10</x:v>
      </x:c>
      <x:c r="H1915" s="8" t="n">
        <x:f>IF(F1915&lt;=9,1,0)</x:f>
        <x:v>0</x:v>
      </x:c>
      <x:c r="I1915" s="9" t="n">
        <x:f>MIN(10,F1914+IF(AR1914&gt;0,MIN(1,AS1914/AR1914),1))</x:f>
        <x:v>10</x:v>
      </x:c>
      <x:c r="J1915" s="32" t="n">
        <x:f>INDEX(v01_FoodCap,G1915)*Arch_FoodCap*EXP(v01_CapsByProject*SUMPRODUCT((Cap_Point&lt;=I1915)*(Cap_Kind="Food")*Cap_Ln))</x:f>
        <x:v>12000</x:v>
      </x:c>
      <x:c r="K1915" s="32" t="n">
        <x:f>J1915*MIN(1,v01_LeanBase*EXP(v01_CapsByProject*SUMPRODUCT((Cap_Point&lt;=I1915)*(Cap_Kind="Lean")*Cap_Ln)))</x:f>
        <x:v>12000</x:v>
      </x:c>
      <x:c r="L1915" s="10" t="n">
        <x:f>INDEX(v01_HousingCap,G1915)*EXP(v01_CapsByProject*SUMPRODUCT((Cap_Point&lt;=I1915)*(Cap_Kind="Housing")*Cap_Ln))</x:f>
        <x:v>20000</x:v>
      </x:c>
      <x:c r="M1915" s="10" t="n">
        <x:f>INDEX(v01_GroupCap,G1915)*v01_CohesionFactor*EXP(v01_CapsByProject*SUMPRODUCT((Cap_Point&lt;=I1915)*(Cap_Kind="Group")*Cap_Ln))</x:f>
        <x:v>1000000</x:v>
      </x:c>
      <x:c r="N1915" s="32" t="n">
        <x:f>MIN(J1915,L1915,M1915)</x:f>
        <x:v>12000</x:v>
      </x:c>
      <x:c r="O1915" s="10" t="n">
        <x:f>AE1914*N1915</x:f>
        <x:v>180000</x:v>
      </x:c>
      <x:c r="P1915" s="9" t="n">
        <x:f>MIN(1,(AB1914/(AE1914*IF(v01_GroupInCrowding=1,N1915,MIN(J1915,L1915))))^v01_CrowdingExp)</x:f>
        <x:v>0.00024569414295285325</x:v>
      </x:c>
      <x:c r="Q1915" s="9" t="n">
        <x:f>IF(D1915=1,INDEX(v01_WinterMult,G1915),1)</x:f>
        <x:v>1</x:v>
      </x:c>
      <x:c r="R1915" s="9" t="n">
        <x:f>H1915*Z1914*v01_WomenShare*v01_BaseFertility*INDEX(v01_FertMult,G1915)*Arch_Fertility*(1-P1915)</x:f>
        <x:v>0</x:v>
      </x:c>
      <x:c r="S1915" s="9" t="n">
        <x:f>H1915*Y1914*INDEX(v01_MortChild,G1915)/4*Q1915</x:f>
        <x:v>0</x:v>
      </x:c>
      <x:c r="T1915" s="9" t="n">
        <x:f>H1915*Z1914*INDEX(v01_MortAdult,G1915)*Arch_AdultMort/4*Q1915</x:f>
        <x:v>0</x:v>
      </x:c>
      <x:c r="U1915" s="9" t="n">
        <x:f>H1915*AA1914*INDEX(v01_MortElder,G1915)/4*Q1915</x:f>
        <x:v>0</x:v>
      </x:c>
      <x:c r="V1915" s="9" t="n">
        <x:f>H1915*MAX(0,AB1914-O1915)*v01_OvercapLoss</x:f>
        <x:v>0</x:v>
      </x:c>
      <x:c r="W1915" s="9" t="n">
        <x:f>H1915*Y1914/(v01_ChildYears*4)</x:f>
        <x:v>0</x:v>
      </x:c>
      <x:c r="X1915" s="9" t="n">
        <x:f>H1915*Z1914/(v01_AdultYears*4)</x:f>
        <x:v>0</x:v>
      </x:c>
      <x:c r="Y1915" s="32" t="n">
        <x:f>Y1914+R1915-S1915-W1915-Y1914*V1915/AB1914</x:f>
        <x:v>14306.18539759397</x:v>
      </x:c>
      <x:c r="Z1915" s="32" t="n">
        <x:f>Z1914+W1915-X1915-T1915-Z1914*V1915/AB1914</x:f>
        <x:v>19354.456567879548</x:v>
      </x:c>
      <x:c r="AA1915" s="32" t="n">
        <x:f>AA1914+X1915-U1915-AA1914*V1915/AB1914</x:f>
        <x:v>11386.956063258198</x:v>
      </x:c>
      <x:c r="AB1915" s="10" t="n">
        <x:f>Y1915+Z1915+AA1915</x:f>
        <x:v>45047.59802873172</x:v>
      </x:c>
      <x:c r="AC1915" s="8" t="n">
        <x:f>IF(AND(v01_WinterTrigger=1,D1915=1,AB1914/AE1914&gt;=K1915),1,0)</x:f>
        <x:v>0</x:v>
      </x:c>
      <x:c r="AD1915" s="8" t="n">
        <x:f>H1915*IF(AND(OR(AB1914/AE1914&gt;=v01_FissionTrigger*N1915,AC1915=1),AB1914/AE1914*v01_DaughterShare&gt;=v01_MinDaughter),MAX(1,ROUND(AE1914*v01_FissionRate,0)),0)</x:f>
        <x:v>0</x:v>
      </x:c>
      <x:c r="AE1915" s="8" t="n">
        <x:f>IF(H1915=1,MAX(1,MIN(INDEX(v01_Smax,G1915),AE1914+AD1915)),AE1914)</x:f>
        <x:v>15</x:v>
      </x:c>
      <x:c r="AF1915" s="8" t="n">
        <x:f>MAX(0,AE1915-AE1914)</x:f>
        <x:v>0</x:v>
      </x:c>
      <x:c r="AG1915" s="9" t="str">
        <x:f>IF(AF1915&gt;0,B1915,"")</x:f>
      </x:c>
      <x:c r="AH1915" s="9" t="n">
        <x:f>IF(F1915&gt;=1,1,(1+v01_LowTiesShare*(AE1915-1))/AE1915)</x:f>
        <x:v>1</x:v>
      </x:c>
      <x:c r="AI1915" s="32" t="n">
        <x:f>(Z1915+v01_ElderCommons*INDEX(LM_Elder,G1915)*AA1915)*AH1915</x:f>
        <x:v>64139.732591141874</x:v>
      </x:c>
      <x:c r="AJ1915" s="32" t="n">
        <x:f>H1915*v01_CommonsCoef*AI1915^v01_CommonsExp*INDEX(LM_Commons,G1915)</x:f>
        <x:v>0</x:v>
      </x:c>
      <x:c r="AK1915" s="32" t="n">
        <x:f>H1915*v01_RoleScale*Arch_Roles*(AE1915*(INDEX(v01_ElderRolePerSett,G1915)*v01_OutElder*INDEX(LM_Elder,G1915)+INDEX(v01_ShamanPerSett,G1915)*v01_OutShaman)+Z1915*(INDEX(v01_PriestShare,G1915)*v01_OutPriest+INDEX(v01_ScribeShare,G1915)*v01_OutScribe*INDEX(LM_Scribe,G1915)+INDEX(v01_ScholarShare,G1915)*v01_OutScholar*INDEX(LM_Scholar,G1915)+INDEX(v01_ResearcherShare,G1915)*v01_OutResearcher*INDEX(LM_Researcher,G1915)))</x:f>
        <x:v>0</x:v>
      </x:c>
      <x:c r="AL1915" s="32" t="n">
        <x:f>H1915*v01_RoleScale*Arch_Roles*AE1915*INDEX(v01_MonasteryPerSett,G1915)*v01_OutMonastery*INDEX(LM_Monastery,G1915)</x:f>
        <x:v>0</x:v>
      </x:c>
      <x:c r="AM1915" s="32" t="n">
        <x:f>(AJ1915+AK1915+AL1915)/4*INDEX(LM_All,G1915)*INDEX(v01_Boon,G1915)*Arch_Insight</x:f>
        <x:v>0</x:v>
      </x:c>
      <x:c r="AN1915" s="32" t="n">
        <x:f>H1915*(v01_KHPerAdult*Z1915+v01_KHOfCommons*AJ1915/4*INDEX(LM_All,G1915))*v01_KHUsable*Arch_KH</x:f>
        <x:v>0</x:v>
      </x:c>
      <x:c r="AO1915" s="32" t="n">
        <x:f>MIN(AP1914+AN1915,AM1915*v01_KHMaxRatio)</x:f>
        <x:v>0</x:v>
      </x:c>
      <x:c r="AP1915" s="32" t="n">
        <x:f>AP1914+AN1915-AO1915</x:f>
        <x:v>0</x:v>
      </x:c>
      <x:c r="AQ1915" s="32" t="n">
        <x:f>AM1915+AO1915</x:f>
        <x:v>0</x:v>
      </x:c>
      <x:c r="AR1915" s="10" t="n">
        <x:f>IF(H1915=1,INDEX(v01_Req,G1915),0)</x:f>
        <x:v>0</x:v>
      </x:c>
      <x:c r="AS1915" s="32" t="n">
        <x:f>IF(H1915=1,IF(E1915=1,AS1914-AR1914,AS1914)+AQ1915,0)</x:f>
        <x:v>0</x:v>
      </x:c>
      <x:c r="AT1915" s="11" t="n">
        <x:f>IF(AR1915&gt;0,MIN(1,AS1915/AR1915),1)</x:f>
        <x:v>1</x:v>
      </x:c>
      <x:c r="AU1915" s="10" t="n">
        <x:f>AB1915/INDEX(v01_RepScale,G1915)</x:f>
        <x:v>90.09519605746344</x:v>
      </x:c>
      <x:c r="AV1915" s="32" t="n">
        <x:f>AM1915*60/v01_SeasonSeconds</x:f>
        <x:v>0</x:v>
      </x:c>
    </x:row>
    <x:row r="1916">
      <x:c r="A1916" s="8" t="n">
        <x:f>A1915+1</x:f>
        <x:v>1913</x:v>
      </x:c>
      <x:c r="B1916" s="9" t="n">
        <x:f>A1916*v01_SeasonSeconds/60</x:f>
        <x:v>478.25</x:v>
      </x:c>
      <x:c r="C1916" s="9" t="n">
        <x:f>A1916/4</x:f>
        <x:v>478.25</x:v>
      </x:c>
      <x:c r="D1916" s="8" t="n">
        <x:f>IF(MOD(A1916,4)=0,1,0)</x:f>
        <x:v>0</x:v>
      </x:c>
      <x:c r="E1916" s="8" t="n">
        <x:f>IF(AND(F1915&lt;=9,AS1915&gt;=AR1915),1,0)</x:f>
        <x:v>0</x:v>
      </x:c>
      <x:c r="F1916" s="8" t="n">
        <x:f>MIN(10,F1915+E1916)</x:f>
        <x:v>10</x:v>
      </x:c>
      <x:c r="G1916" s="8" t="n">
        <x:f>MIN(F1916,9)+1</x:f>
        <x:v>10</x:v>
      </x:c>
      <x:c r="H1916" s="8" t="n">
        <x:f>IF(F1916&lt;=9,1,0)</x:f>
        <x:v>0</x:v>
      </x:c>
      <x:c r="I1916" s="9" t="n">
        <x:f>MIN(10,F1915+IF(AR1915&gt;0,MIN(1,AS1915/AR1915),1))</x:f>
        <x:v>10</x:v>
      </x:c>
      <x:c r="J1916" s="32" t="n">
        <x:f>INDEX(v01_FoodCap,G1916)*Arch_FoodCap*EXP(v01_CapsByProject*SUMPRODUCT((Cap_Point&lt;=I1916)*(Cap_Kind="Food")*Cap_Ln))</x:f>
        <x:v>12000</x:v>
      </x:c>
      <x:c r="K1916" s="32" t="n">
        <x:f>J1916*MIN(1,v01_LeanBase*EXP(v01_CapsByProject*SUMPRODUCT((Cap_Point&lt;=I1916)*(Cap_Kind="Lean")*Cap_Ln)))</x:f>
        <x:v>12000</x:v>
      </x:c>
      <x:c r="L1916" s="10" t="n">
        <x:f>INDEX(v01_HousingCap,G1916)*EXP(v01_CapsByProject*SUMPRODUCT((Cap_Point&lt;=I1916)*(Cap_Kind="Housing")*Cap_Ln))</x:f>
        <x:v>20000</x:v>
      </x:c>
      <x:c r="M1916" s="10" t="n">
        <x:f>INDEX(v01_GroupCap,G1916)*v01_CohesionFactor*EXP(v01_CapsByProject*SUMPRODUCT((Cap_Point&lt;=I1916)*(Cap_Kind="Group")*Cap_Ln))</x:f>
        <x:v>1000000</x:v>
      </x:c>
      <x:c r="N1916" s="32" t="n">
        <x:f>MIN(J1916,L1916,M1916)</x:f>
        <x:v>12000</x:v>
      </x:c>
      <x:c r="O1916" s="10" t="n">
        <x:f>AE1915*N1916</x:f>
        <x:v>180000</x:v>
      </x:c>
      <x:c r="P1916" s="9" t="n">
        <x:f>MIN(1,(AB1915/(AE1915*IF(v01_GroupInCrowding=1,N1916,MIN(J1916,L1916))))^v01_CrowdingExp)</x:f>
        <x:v>0.00024569414295285325</x:v>
      </x:c>
      <x:c r="Q1916" s="9" t="n">
        <x:f>IF(D1916=1,INDEX(v01_WinterMult,G1916),1)</x:f>
        <x:v>1</x:v>
      </x:c>
      <x:c r="R1916" s="9" t="n">
        <x:f>H1916*Z1915*v01_WomenShare*v01_BaseFertility*INDEX(v01_FertMult,G1916)*Arch_Fertility*(1-P1916)</x:f>
        <x:v>0</x:v>
      </x:c>
      <x:c r="S1916" s="9" t="n">
        <x:f>H1916*Y1915*INDEX(v01_MortChild,G1916)/4*Q1916</x:f>
        <x:v>0</x:v>
      </x:c>
      <x:c r="T1916" s="9" t="n">
        <x:f>H1916*Z1915*INDEX(v01_MortAdult,G1916)*Arch_AdultMort/4*Q1916</x:f>
        <x:v>0</x:v>
      </x:c>
      <x:c r="U1916" s="9" t="n">
        <x:f>H1916*AA1915*INDEX(v01_MortElder,G1916)/4*Q1916</x:f>
        <x:v>0</x:v>
      </x:c>
      <x:c r="V1916" s="9" t="n">
        <x:f>H1916*MAX(0,AB1915-O1916)*v01_OvercapLoss</x:f>
        <x:v>0</x:v>
      </x:c>
      <x:c r="W1916" s="9" t="n">
        <x:f>H1916*Y1915/(v01_ChildYears*4)</x:f>
        <x:v>0</x:v>
      </x:c>
      <x:c r="X1916" s="9" t="n">
        <x:f>H1916*Z1915/(v01_AdultYears*4)</x:f>
        <x:v>0</x:v>
      </x:c>
      <x:c r="Y1916" s="32" t="n">
        <x:f>Y1915+R1916-S1916-W1916-Y1915*V1916/AB1915</x:f>
        <x:v>14306.18539759397</x:v>
      </x:c>
      <x:c r="Z1916" s="32" t="n">
        <x:f>Z1915+W1916-X1916-T1916-Z1915*V1916/AB1915</x:f>
        <x:v>19354.456567879548</x:v>
      </x:c>
      <x:c r="AA1916" s="32" t="n">
        <x:f>AA1915+X1916-U1916-AA1915*V1916/AB1915</x:f>
        <x:v>11386.956063258198</x:v>
      </x:c>
      <x:c r="AB1916" s="10" t="n">
        <x:f>Y1916+Z1916+AA1916</x:f>
        <x:v>45047.59802873172</x:v>
      </x:c>
      <x:c r="AC1916" s="8" t="n">
        <x:f>IF(AND(v01_WinterTrigger=1,D1916=1,AB1915/AE1915&gt;=K1916),1,0)</x:f>
        <x:v>0</x:v>
      </x:c>
      <x:c r="AD1916" s="8" t="n">
        <x:f>H1916*IF(AND(OR(AB1915/AE1915&gt;=v01_FissionTrigger*N1916,AC1916=1),AB1915/AE1915*v01_DaughterShare&gt;=v01_MinDaughter),MAX(1,ROUND(AE1915*v01_FissionRate,0)),0)</x:f>
        <x:v>0</x:v>
      </x:c>
      <x:c r="AE1916" s="8" t="n">
        <x:f>IF(H1916=1,MAX(1,MIN(INDEX(v01_Smax,G1916),AE1915+AD1916)),AE1915)</x:f>
        <x:v>15</x:v>
      </x:c>
      <x:c r="AF1916" s="8" t="n">
        <x:f>MAX(0,AE1916-AE1915)</x:f>
        <x:v>0</x:v>
      </x:c>
      <x:c r="AG1916" s="9" t="str">
        <x:f>IF(AF1916&gt;0,B1916,"")</x:f>
      </x:c>
      <x:c r="AH1916" s="9" t="n">
        <x:f>IF(F1916&gt;=1,1,(1+v01_LowTiesShare*(AE1916-1))/AE1916)</x:f>
        <x:v>1</x:v>
      </x:c>
      <x:c r="AI1916" s="32" t="n">
        <x:f>(Z1916+v01_ElderCommons*INDEX(LM_Elder,G1916)*AA1916)*AH1916</x:f>
        <x:v>64139.732591141874</x:v>
      </x:c>
      <x:c r="AJ1916" s="32" t="n">
        <x:f>H1916*v01_CommonsCoef*AI1916^v01_CommonsExp*INDEX(LM_Commons,G1916)</x:f>
        <x:v>0</x:v>
      </x:c>
      <x:c r="AK1916" s="32" t="n">
        <x:f>H1916*v01_RoleScale*Arch_Roles*(AE1916*(INDEX(v01_ElderRolePerSett,G1916)*v01_OutElder*INDEX(LM_Elder,G1916)+INDEX(v01_ShamanPerSett,G1916)*v01_OutShaman)+Z1916*(INDEX(v01_PriestShare,G1916)*v01_OutPriest+INDEX(v01_ScribeShare,G1916)*v01_OutScribe*INDEX(LM_Scribe,G1916)+INDEX(v01_ScholarShare,G1916)*v01_OutScholar*INDEX(LM_Scholar,G1916)+INDEX(v01_ResearcherShare,G1916)*v01_OutResearcher*INDEX(LM_Researcher,G1916)))</x:f>
        <x:v>0</x:v>
      </x:c>
      <x:c r="AL1916" s="32" t="n">
        <x:f>H1916*v01_RoleScale*Arch_Roles*AE1916*INDEX(v01_MonasteryPerSett,G1916)*v01_OutMonastery*INDEX(LM_Monastery,G1916)</x:f>
        <x:v>0</x:v>
      </x:c>
      <x:c r="AM1916" s="32" t="n">
        <x:f>(AJ1916+AK1916+AL1916)/4*INDEX(LM_All,G1916)*INDEX(v01_Boon,G1916)*Arch_Insight</x:f>
        <x:v>0</x:v>
      </x:c>
      <x:c r="AN1916" s="32" t="n">
        <x:f>H1916*(v01_KHPerAdult*Z1916+v01_KHOfCommons*AJ1916/4*INDEX(LM_All,G1916))*v01_KHUsable*Arch_KH</x:f>
        <x:v>0</x:v>
      </x:c>
      <x:c r="AO1916" s="32" t="n">
        <x:f>MIN(AP1915+AN1916,AM1916*v01_KHMaxRatio)</x:f>
        <x:v>0</x:v>
      </x:c>
      <x:c r="AP1916" s="32" t="n">
        <x:f>AP1915+AN1916-AO1916</x:f>
        <x:v>0</x:v>
      </x:c>
      <x:c r="AQ1916" s="32" t="n">
        <x:f>AM1916+AO1916</x:f>
        <x:v>0</x:v>
      </x:c>
      <x:c r="AR1916" s="10" t="n">
        <x:f>IF(H1916=1,INDEX(v01_Req,G1916),0)</x:f>
        <x:v>0</x:v>
      </x:c>
      <x:c r="AS1916" s="32" t="n">
        <x:f>IF(H1916=1,IF(E1916=1,AS1915-AR1915,AS1915)+AQ1916,0)</x:f>
        <x:v>0</x:v>
      </x:c>
      <x:c r="AT1916" s="11" t="n">
        <x:f>IF(AR1916&gt;0,MIN(1,AS1916/AR1916),1)</x:f>
        <x:v>1</x:v>
      </x:c>
      <x:c r="AU1916" s="10" t="n">
        <x:f>AB1916/INDEX(v01_RepScale,G1916)</x:f>
        <x:v>90.09519605746344</x:v>
      </x:c>
      <x:c r="AV1916" s="32" t="n">
        <x:f>AM1916*60/v01_SeasonSeconds</x:f>
        <x:v>0</x:v>
      </x:c>
    </x:row>
    <x:row r="1917">
      <x:c r="A1917" s="8" t="n">
        <x:f>A1916+1</x:f>
        <x:v>1914</x:v>
      </x:c>
      <x:c r="B1917" s="9" t="n">
        <x:f>A1917*v01_SeasonSeconds/60</x:f>
        <x:v>478.5</x:v>
      </x:c>
      <x:c r="C1917" s="9" t="n">
        <x:f>A1917/4</x:f>
        <x:v>478.5</x:v>
      </x:c>
      <x:c r="D1917" s="8" t="n">
        <x:f>IF(MOD(A1917,4)=0,1,0)</x:f>
        <x:v>0</x:v>
      </x:c>
      <x:c r="E1917" s="8" t="n">
        <x:f>IF(AND(F1916&lt;=9,AS1916&gt;=AR1916),1,0)</x:f>
        <x:v>0</x:v>
      </x:c>
      <x:c r="F1917" s="8" t="n">
        <x:f>MIN(10,F1916+E1917)</x:f>
        <x:v>10</x:v>
      </x:c>
      <x:c r="G1917" s="8" t="n">
        <x:f>MIN(F1917,9)+1</x:f>
        <x:v>10</x:v>
      </x:c>
      <x:c r="H1917" s="8" t="n">
        <x:f>IF(F1917&lt;=9,1,0)</x:f>
        <x:v>0</x:v>
      </x:c>
      <x:c r="I1917" s="9" t="n">
        <x:f>MIN(10,F1916+IF(AR1916&gt;0,MIN(1,AS1916/AR1916),1))</x:f>
        <x:v>10</x:v>
      </x:c>
      <x:c r="J1917" s="32" t="n">
        <x:f>INDEX(v01_FoodCap,G1917)*Arch_FoodCap*EXP(v01_CapsByProject*SUMPRODUCT((Cap_Point&lt;=I1917)*(Cap_Kind="Food")*Cap_Ln))</x:f>
        <x:v>12000</x:v>
      </x:c>
      <x:c r="K1917" s="32" t="n">
        <x:f>J1917*MIN(1,v01_LeanBase*EXP(v01_CapsByProject*SUMPRODUCT((Cap_Point&lt;=I1917)*(Cap_Kind="Lean")*Cap_Ln)))</x:f>
        <x:v>12000</x:v>
      </x:c>
      <x:c r="L1917" s="10" t="n">
        <x:f>INDEX(v01_HousingCap,G1917)*EXP(v01_CapsByProject*SUMPRODUCT((Cap_Point&lt;=I1917)*(Cap_Kind="Housing")*Cap_Ln))</x:f>
        <x:v>20000</x:v>
      </x:c>
      <x:c r="M1917" s="10" t="n">
        <x:f>INDEX(v01_GroupCap,G1917)*v01_CohesionFactor*EXP(v01_CapsByProject*SUMPRODUCT((Cap_Point&lt;=I1917)*(Cap_Kind="Group")*Cap_Ln))</x:f>
        <x:v>1000000</x:v>
      </x:c>
      <x:c r="N1917" s="32" t="n">
        <x:f>MIN(J1917,L1917,M1917)</x:f>
        <x:v>12000</x:v>
      </x:c>
      <x:c r="O1917" s="10" t="n">
        <x:f>AE1916*N1917</x:f>
        <x:v>180000</x:v>
      </x:c>
      <x:c r="P1917" s="9" t="n">
        <x:f>MIN(1,(AB1916/(AE1916*IF(v01_GroupInCrowding=1,N1917,MIN(J1917,L1917))))^v01_CrowdingExp)</x:f>
        <x:v>0.00024569414295285325</x:v>
      </x:c>
      <x:c r="Q1917" s="9" t="n">
        <x:f>IF(D1917=1,INDEX(v01_WinterMult,G1917),1)</x:f>
        <x:v>1</x:v>
      </x:c>
      <x:c r="R1917" s="9" t="n">
        <x:f>H1917*Z1916*v01_WomenShare*v01_BaseFertility*INDEX(v01_FertMult,G1917)*Arch_Fertility*(1-P1917)</x:f>
        <x:v>0</x:v>
      </x:c>
      <x:c r="S1917" s="9" t="n">
        <x:f>H1917*Y1916*INDEX(v01_MortChild,G1917)/4*Q1917</x:f>
        <x:v>0</x:v>
      </x:c>
      <x:c r="T1917" s="9" t="n">
        <x:f>H1917*Z1916*INDEX(v01_MortAdult,G1917)*Arch_AdultMort/4*Q1917</x:f>
        <x:v>0</x:v>
      </x:c>
      <x:c r="U1917" s="9" t="n">
        <x:f>H1917*AA1916*INDEX(v01_MortElder,G1917)/4*Q1917</x:f>
        <x:v>0</x:v>
      </x:c>
      <x:c r="V1917" s="9" t="n">
        <x:f>H1917*MAX(0,AB1916-O1917)*v01_OvercapLoss</x:f>
        <x:v>0</x:v>
      </x:c>
      <x:c r="W1917" s="9" t="n">
        <x:f>H1917*Y1916/(v01_ChildYears*4)</x:f>
        <x:v>0</x:v>
      </x:c>
      <x:c r="X1917" s="9" t="n">
        <x:f>H1917*Z1916/(v01_AdultYears*4)</x:f>
        <x:v>0</x:v>
      </x:c>
      <x:c r="Y1917" s="32" t="n">
        <x:f>Y1916+R1917-S1917-W1917-Y1916*V1917/AB1916</x:f>
        <x:v>14306.18539759397</x:v>
      </x:c>
      <x:c r="Z1917" s="32" t="n">
        <x:f>Z1916+W1917-X1917-T1917-Z1916*V1917/AB1916</x:f>
        <x:v>19354.456567879548</x:v>
      </x:c>
      <x:c r="AA1917" s="32" t="n">
        <x:f>AA1916+X1917-U1917-AA1916*V1917/AB1916</x:f>
        <x:v>11386.956063258198</x:v>
      </x:c>
      <x:c r="AB1917" s="10" t="n">
        <x:f>Y1917+Z1917+AA1917</x:f>
        <x:v>45047.59802873172</x:v>
      </x:c>
      <x:c r="AC1917" s="8" t="n">
        <x:f>IF(AND(v01_WinterTrigger=1,D1917=1,AB1916/AE1916&gt;=K1917),1,0)</x:f>
        <x:v>0</x:v>
      </x:c>
      <x:c r="AD1917" s="8" t="n">
        <x:f>H1917*IF(AND(OR(AB1916/AE1916&gt;=v01_FissionTrigger*N1917,AC1917=1),AB1916/AE1916*v01_DaughterShare&gt;=v01_MinDaughter),MAX(1,ROUND(AE1916*v01_FissionRate,0)),0)</x:f>
        <x:v>0</x:v>
      </x:c>
      <x:c r="AE1917" s="8" t="n">
        <x:f>IF(H1917=1,MAX(1,MIN(INDEX(v01_Smax,G1917),AE1916+AD1917)),AE1916)</x:f>
        <x:v>15</x:v>
      </x:c>
      <x:c r="AF1917" s="8" t="n">
        <x:f>MAX(0,AE1917-AE1916)</x:f>
        <x:v>0</x:v>
      </x:c>
      <x:c r="AG1917" s="9" t="str">
        <x:f>IF(AF1917&gt;0,B1917,"")</x:f>
      </x:c>
      <x:c r="AH1917" s="9" t="n">
        <x:f>IF(F1917&gt;=1,1,(1+v01_LowTiesShare*(AE1917-1))/AE1917)</x:f>
        <x:v>1</x:v>
      </x:c>
      <x:c r="AI1917" s="32" t="n">
        <x:f>(Z1917+v01_ElderCommons*INDEX(LM_Elder,G1917)*AA1917)*AH1917</x:f>
        <x:v>64139.732591141874</x:v>
      </x:c>
      <x:c r="AJ1917" s="32" t="n">
        <x:f>H1917*v01_CommonsCoef*AI1917^v01_CommonsExp*INDEX(LM_Commons,G1917)</x:f>
        <x:v>0</x:v>
      </x:c>
      <x:c r="AK1917" s="32" t="n">
        <x:f>H1917*v01_RoleScale*Arch_Roles*(AE1917*(INDEX(v01_ElderRolePerSett,G1917)*v01_OutElder*INDEX(LM_Elder,G1917)+INDEX(v01_ShamanPerSett,G1917)*v01_OutShaman)+Z1917*(INDEX(v01_PriestShare,G1917)*v01_OutPriest+INDEX(v01_ScribeShare,G1917)*v01_OutScribe*INDEX(LM_Scribe,G1917)+INDEX(v01_ScholarShare,G1917)*v01_OutScholar*INDEX(LM_Scholar,G1917)+INDEX(v01_ResearcherShare,G1917)*v01_OutResearcher*INDEX(LM_Researcher,G1917)))</x:f>
        <x:v>0</x:v>
      </x:c>
      <x:c r="AL1917" s="32" t="n">
        <x:f>H1917*v01_RoleScale*Arch_Roles*AE1917*INDEX(v01_MonasteryPerSett,G1917)*v01_OutMonastery*INDEX(LM_Monastery,G1917)</x:f>
        <x:v>0</x:v>
      </x:c>
      <x:c r="AM1917" s="32" t="n">
        <x:f>(AJ1917+AK1917+AL1917)/4*INDEX(LM_All,G1917)*INDEX(v01_Boon,G1917)*Arch_Insight</x:f>
        <x:v>0</x:v>
      </x:c>
      <x:c r="AN1917" s="32" t="n">
        <x:f>H1917*(v01_KHPerAdult*Z1917+v01_KHOfCommons*AJ1917/4*INDEX(LM_All,G1917))*v01_KHUsable*Arch_KH</x:f>
        <x:v>0</x:v>
      </x:c>
      <x:c r="AO1917" s="32" t="n">
        <x:f>MIN(AP1916+AN1917,AM1917*v01_KHMaxRatio)</x:f>
        <x:v>0</x:v>
      </x:c>
      <x:c r="AP1917" s="32" t="n">
        <x:f>AP1916+AN1917-AO1917</x:f>
        <x:v>0</x:v>
      </x:c>
      <x:c r="AQ1917" s="32" t="n">
        <x:f>AM1917+AO1917</x:f>
        <x:v>0</x:v>
      </x:c>
      <x:c r="AR1917" s="10" t="n">
        <x:f>IF(H1917=1,INDEX(v01_Req,G1917),0)</x:f>
        <x:v>0</x:v>
      </x:c>
      <x:c r="AS1917" s="32" t="n">
        <x:f>IF(H1917=1,IF(E1917=1,AS1916-AR1916,AS1916)+AQ1917,0)</x:f>
        <x:v>0</x:v>
      </x:c>
      <x:c r="AT1917" s="11" t="n">
        <x:f>IF(AR1917&gt;0,MIN(1,AS1917/AR1917),1)</x:f>
        <x:v>1</x:v>
      </x:c>
      <x:c r="AU1917" s="10" t="n">
        <x:f>AB1917/INDEX(v01_RepScale,G1917)</x:f>
        <x:v>90.09519605746344</x:v>
      </x:c>
      <x:c r="AV1917" s="32" t="n">
        <x:f>AM1917*60/v01_SeasonSeconds</x:f>
        <x:v>0</x:v>
      </x:c>
    </x:row>
    <x:row r="1918">
      <x:c r="A1918" s="8" t="n">
        <x:f>A1917+1</x:f>
        <x:v>1915</x:v>
      </x:c>
      <x:c r="B1918" s="9" t="n">
        <x:f>A1918*v01_SeasonSeconds/60</x:f>
        <x:v>478.75</x:v>
      </x:c>
      <x:c r="C1918" s="9" t="n">
        <x:f>A1918/4</x:f>
        <x:v>478.75</x:v>
      </x:c>
      <x:c r="D1918" s="8" t="n">
        <x:f>IF(MOD(A1918,4)=0,1,0)</x:f>
        <x:v>0</x:v>
      </x:c>
      <x:c r="E1918" s="8" t="n">
        <x:f>IF(AND(F1917&lt;=9,AS1917&gt;=AR1917),1,0)</x:f>
        <x:v>0</x:v>
      </x:c>
      <x:c r="F1918" s="8" t="n">
        <x:f>MIN(10,F1917+E1918)</x:f>
        <x:v>10</x:v>
      </x:c>
      <x:c r="G1918" s="8" t="n">
        <x:f>MIN(F1918,9)+1</x:f>
        <x:v>10</x:v>
      </x:c>
      <x:c r="H1918" s="8" t="n">
        <x:f>IF(F1918&lt;=9,1,0)</x:f>
        <x:v>0</x:v>
      </x:c>
      <x:c r="I1918" s="9" t="n">
        <x:f>MIN(10,F1917+IF(AR1917&gt;0,MIN(1,AS1917/AR1917),1))</x:f>
        <x:v>10</x:v>
      </x:c>
      <x:c r="J1918" s="32" t="n">
        <x:f>INDEX(v01_FoodCap,G1918)*Arch_FoodCap*EXP(v01_CapsByProject*SUMPRODUCT((Cap_Point&lt;=I1918)*(Cap_Kind="Food")*Cap_Ln))</x:f>
        <x:v>12000</x:v>
      </x:c>
      <x:c r="K1918" s="32" t="n">
        <x:f>J1918*MIN(1,v01_LeanBase*EXP(v01_CapsByProject*SUMPRODUCT((Cap_Point&lt;=I1918)*(Cap_Kind="Lean")*Cap_Ln)))</x:f>
        <x:v>12000</x:v>
      </x:c>
      <x:c r="L1918" s="10" t="n">
        <x:f>INDEX(v01_HousingCap,G1918)*EXP(v01_CapsByProject*SUMPRODUCT((Cap_Point&lt;=I1918)*(Cap_Kind="Housing")*Cap_Ln))</x:f>
        <x:v>20000</x:v>
      </x:c>
      <x:c r="M1918" s="10" t="n">
        <x:f>INDEX(v01_GroupCap,G1918)*v01_CohesionFactor*EXP(v01_CapsByProject*SUMPRODUCT((Cap_Point&lt;=I1918)*(Cap_Kind="Group")*Cap_Ln))</x:f>
        <x:v>1000000</x:v>
      </x:c>
      <x:c r="N1918" s="32" t="n">
        <x:f>MIN(J1918,L1918,M1918)</x:f>
        <x:v>12000</x:v>
      </x:c>
      <x:c r="O1918" s="10" t="n">
        <x:f>AE1917*N1918</x:f>
        <x:v>180000</x:v>
      </x:c>
      <x:c r="P1918" s="9" t="n">
        <x:f>MIN(1,(AB1917/(AE1917*IF(v01_GroupInCrowding=1,N1918,MIN(J1918,L1918))))^v01_CrowdingExp)</x:f>
        <x:v>0.00024569414295285325</x:v>
      </x:c>
      <x:c r="Q1918" s="9" t="n">
        <x:f>IF(D1918=1,INDEX(v01_WinterMult,G1918),1)</x:f>
        <x:v>1</x:v>
      </x:c>
      <x:c r="R1918" s="9" t="n">
        <x:f>H1918*Z1917*v01_WomenShare*v01_BaseFertility*INDEX(v01_FertMult,G1918)*Arch_Fertility*(1-P1918)</x:f>
        <x:v>0</x:v>
      </x:c>
      <x:c r="S1918" s="9" t="n">
        <x:f>H1918*Y1917*INDEX(v01_MortChild,G1918)/4*Q1918</x:f>
        <x:v>0</x:v>
      </x:c>
      <x:c r="T1918" s="9" t="n">
        <x:f>H1918*Z1917*INDEX(v01_MortAdult,G1918)*Arch_AdultMort/4*Q1918</x:f>
        <x:v>0</x:v>
      </x:c>
      <x:c r="U1918" s="9" t="n">
        <x:f>H1918*AA1917*INDEX(v01_MortElder,G1918)/4*Q1918</x:f>
        <x:v>0</x:v>
      </x:c>
      <x:c r="V1918" s="9" t="n">
        <x:f>H1918*MAX(0,AB1917-O1918)*v01_OvercapLoss</x:f>
        <x:v>0</x:v>
      </x:c>
      <x:c r="W1918" s="9" t="n">
        <x:f>H1918*Y1917/(v01_ChildYears*4)</x:f>
        <x:v>0</x:v>
      </x:c>
      <x:c r="X1918" s="9" t="n">
        <x:f>H1918*Z1917/(v01_AdultYears*4)</x:f>
        <x:v>0</x:v>
      </x:c>
      <x:c r="Y1918" s="32" t="n">
        <x:f>Y1917+R1918-S1918-W1918-Y1917*V1918/AB1917</x:f>
        <x:v>14306.18539759397</x:v>
      </x:c>
      <x:c r="Z1918" s="32" t="n">
        <x:f>Z1917+W1918-X1918-T1918-Z1917*V1918/AB1917</x:f>
        <x:v>19354.456567879548</x:v>
      </x:c>
      <x:c r="AA1918" s="32" t="n">
        <x:f>AA1917+X1918-U1918-AA1917*V1918/AB1917</x:f>
        <x:v>11386.956063258198</x:v>
      </x:c>
      <x:c r="AB1918" s="10" t="n">
        <x:f>Y1918+Z1918+AA1918</x:f>
        <x:v>45047.59802873172</x:v>
      </x:c>
      <x:c r="AC1918" s="8" t="n">
        <x:f>IF(AND(v01_WinterTrigger=1,D1918=1,AB1917/AE1917&gt;=K1918),1,0)</x:f>
        <x:v>0</x:v>
      </x:c>
      <x:c r="AD1918" s="8" t="n">
        <x:f>H1918*IF(AND(OR(AB1917/AE1917&gt;=v01_FissionTrigger*N1918,AC1918=1),AB1917/AE1917*v01_DaughterShare&gt;=v01_MinDaughter),MAX(1,ROUND(AE1917*v01_FissionRate,0)),0)</x:f>
        <x:v>0</x:v>
      </x:c>
      <x:c r="AE1918" s="8" t="n">
        <x:f>IF(H1918=1,MAX(1,MIN(INDEX(v01_Smax,G1918),AE1917+AD1918)),AE1917)</x:f>
        <x:v>15</x:v>
      </x:c>
      <x:c r="AF1918" s="8" t="n">
        <x:f>MAX(0,AE1918-AE1917)</x:f>
        <x:v>0</x:v>
      </x:c>
      <x:c r="AG1918" s="9" t="str">
        <x:f>IF(AF1918&gt;0,B1918,"")</x:f>
      </x:c>
      <x:c r="AH1918" s="9" t="n">
        <x:f>IF(F1918&gt;=1,1,(1+v01_LowTiesShare*(AE1918-1))/AE1918)</x:f>
        <x:v>1</x:v>
      </x:c>
      <x:c r="AI1918" s="32" t="n">
        <x:f>(Z1918+v01_ElderCommons*INDEX(LM_Elder,G1918)*AA1918)*AH1918</x:f>
        <x:v>64139.732591141874</x:v>
      </x:c>
      <x:c r="AJ1918" s="32" t="n">
        <x:f>H1918*v01_CommonsCoef*AI1918^v01_CommonsExp*INDEX(LM_Commons,G1918)</x:f>
        <x:v>0</x:v>
      </x:c>
      <x:c r="AK1918" s="32" t="n">
        <x:f>H1918*v01_RoleScale*Arch_Roles*(AE1918*(INDEX(v01_ElderRolePerSett,G1918)*v01_OutElder*INDEX(LM_Elder,G1918)+INDEX(v01_ShamanPerSett,G1918)*v01_OutShaman)+Z1918*(INDEX(v01_PriestShare,G1918)*v01_OutPriest+INDEX(v01_ScribeShare,G1918)*v01_OutScribe*INDEX(LM_Scribe,G1918)+INDEX(v01_ScholarShare,G1918)*v01_OutScholar*INDEX(LM_Scholar,G1918)+INDEX(v01_ResearcherShare,G1918)*v01_OutResearcher*INDEX(LM_Researcher,G1918)))</x:f>
        <x:v>0</x:v>
      </x:c>
      <x:c r="AL1918" s="32" t="n">
        <x:f>H1918*v01_RoleScale*Arch_Roles*AE1918*INDEX(v01_MonasteryPerSett,G1918)*v01_OutMonastery*INDEX(LM_Monastery,G1918)</x:f>
        <x:v>0</x:v>
      </x:c>
      <x:c r="AM1918" s="32" t="n">
        <x:f>(AJ1918+AK1918+AL1918)/4*INDEX(LM_All,G1918)*INDEX(v01_Boon,G1918)*Arch_Insight</x:f>
        <x:v>0</x:v>
      </x:c>
      <x:c r="AN1918" s="32" t="n">
        <x:f>H1918*(v01_KHPerAdult*Z1918+v01_KHOfCommons*AJ1918/4*INDEX(LM_All,G1918))*v01_KHUsable*Arch_KH</x:f>
        <x:v>0</x:v>
      </x:c>
      <x:c r="AO1918" s="32" t="n">
        <x:f>MIN(AP1917+AN1918,AM1918*v01_KHMaxRatio)</x:f>
        <x:v>0</x:v>
      </x:c>
      <x:c r="AP1918" s="32" t="n">
        <x:f>AP1917+AN1918-AO1918</x:f>
        <x:v>0</x:v>
      </x:c>
      <x:c r="AQ1918" s="32" t="n">
        <x:f>AM1918+AO1918</x:f>
        <x:v>0</x:v>
      </x:c>
      <x:c r="AR1918" s="10" t="n">
        <x:f>IF(H1918=1,INDEX(v01_Req,G1918),0)</x:f>
        <x:v>0</x:v>
      </x:c>
      <x:c r="AS1918" s="32" t="n">
        <x:f>IF(H1918=1,IF(E1918=1,AS1917-AR1917,AS1917)+AQ1918,0)</x:f>
        <x:v>0</x:v>
      </x:c>
      <x:c r="AT1918" s="11" t="n">
        <x:f>IF(AR1918&gt;0,MIN(1,AS1918/AR1918),1)</x:f>
        <x:v>1</x:v>
      </x:c>
      <x:c r="AU1918" s="10" t="n">
        <x:f>AB1918/INDEX(v01_RepScale,G1918)</x:f>
        <x:v>90.09519605746344</x:v>
      </x:c>
      <x:c r="AV1918" s="32" t="n">
        <x:f>AM1918*60/v01_SeasonSeconds</x:f>
        <x:v>0</x:v>
      </x:c>
    </x:row>
    <x:row r="1919">
      <x:c r="A1919" s="8" t="n">
        <x:f>A1918+1</x:f>
        <x:v>1916</x:v>
      </x:c>
      <x:c r="B1919" s="9" t="n">
        <x:f>A1919*v01_SeasonSeconds/60</x:f>
        <x:v>479</x:v>
      </x:c>
      <x:c r="C1919" s="9" t="n">
        <x:f>A1919/4</x:f>
        <x:v>479</x:v>
      </x:c>
      <x:c r="D1919" s="8" t="n">
        <x:f>IF(MOD(A1919,4)=0,1,0)</x:f>
        <x:v>1</x:v>
      </x:c>
      <x:c r="E1919" s="8" t="n">
        <x:f>IF(AND(F1918&lt;=9,AS1918&gt;=AR1918),1,0)</x:f>
        <x:v>0</x:v>
      </x:c>
      <x:c r="F1919" s="8" t="n">
        <x:f>MIN(10,F1918+E1919)</x:f>
        <x:v>10</x:v>
      </x:c>
      <x:c r="G1919" s="8" t="n">
        <x:f>MIN(F1919,9)+1</x:f>
        <x:v>10</x:v>
      </x:c>
      <x:c r="H1919" s="8" t="n">
        <x:f>IF(F1919&lt;=9,1,0)</x:f>
        <x:v>0</x:v>
      </x:c>
      <x:c r="I1919" s="9" t="n">
        <x:f>MIN(10,F1918+IF(AR1918&gt;0,MIN(1,AS1918/AR1918),1))</x:f>
        <x:v>10</x:v>
      </x:c>
      <x:c r="J1919" s="32" t="n">
        <x:f>INDEX(v01_FoodCap,G1919)*Arch_FoodCap*EXP(v01_CapsByProject*SUMPRODUCT((Cap_Point&lt;=I1919)*(Cap_Kind="Food")*Cap_Ln))</x:f>
        <x:v>12000</x:v>
      </x:c>
      <x:c r="K1919" s="32" t="n">
        <x:f>J1919*MIN(1,v01_LeanBase*EXP(v01_CapsByProject*SUMPRODUCT((Cap_Point&lt;=I1919)*(Cap_Kind="Lean")*Cap_Ln)))</x:f>
        <x:v>12000</x:v>
      </x:c>
      <x:c r="L1919" s="10" t="n">
        <x:f>INDEX(v01_HousingCap,G1919)*EXP(v01_CapsByProject*SUMPRODUCT((Cap_Point&lt;=I1919)*(Cap_Kind="Housing")*Cap_Ln))</x:f>
        <x:v>20000</x:v>
      </x:c>
      <x:c r="M1919" s="10" t="n">
        <x:f>INDEX(v01_GroupCap,G1919)*v01_CohesionFactor*EXP(v01_CapsByProject*SUMPRODUCT((Cap_Point&lt;=I1919)*(Cap_Kind="Group")*Cap_Ln))</x:f>
        <x:v>1000000</x:v>
      </x:c>
      <x:c r="N1919" s="32" t="n">
        <x:f>MIN(J1919,L1919,M1919)</x:f>
        <x:v>12000</x:v>
      </x:c>
      <x:c r="O1919" s="10" t="n">
        <x:f>AE1918*N1919</x:f>
        <x:v>180000</x:v>
      </x:c>
      <x:c r="P1919" s="9" t="n">
        <x:f>MIN(1,(AB1918/(AE1918*IF(v01_GroupInCrowding=1,N1919,MIN(J1919,L1919))))^v01_CrowdingExp)</x:f>
        <x:v>0.00024569414295285325</x:v>
      </x:c>
      <x:c r="Q1919" s="9" t="n">
        <x:f>IF(D1919=1,INDEX(v01_WinterMult,G1919),1)</x:f>
        <x:v>1</x:v>
      </x:c>
      <x:c r="R1919" s="9" t="n">
        <x:f>H1919*Z1918*v01_WomenShare*v01_BaseFertility*INDEX(v01_FertMult,G1919)*Arch_Fertility*(1-P1919)</x:f>
        <x:v>0</x:v>
      </x:c>
      <x:c r="S1919" s="9" t="n">
        <x:f>H1919*Y1918*INDEX(v01_MortChild,G1919)/4*Q1919</x:f>
        <x:v>0</x:v>
      </x:c>
      <x:c r="T1919" s="9" t="n">
        <x:f>H1919*Z1918*INDEX(v01_MortAdult,G1919)*Arch_AdultMort/4*Q1919</x:f>
        <x:v>0</x:v>
      </x:c>
      <x:c r="U1919" s="9" t="n">
        <x:f>H1919*AA1918*INDEX(v01_MortElder,G1919)/4*Q1919</x:f>
        <x:v>0</x:v>
      </x:c>
      <x:c r="V1919" s="9" t="n">
        <x:f>H1919*MAX(0,AB1918-O1919)*v01_OvercapLoss</x:f>
        <x:v>0</x:v>
      </x:c>
      <x:c r="W1919" s="9" t="n">
        <x:f>H1919*Y1918/(v01_ChildYears*4)</x:f>
        <x:v>0</x:v>
      </x:c>
      <x:c r="X1919" s="9" t="n">
        <x:f>H1919*Z1918/(v01_AdultYears*4)</x:f>
        <x:v>0</x:v>
      </x:c>
      <x:c r="Y1919" s="32" t="n">
        <x:f>Y1918+R1919-S1919-W1919-Y1918*V1919/AB1918</x:f>
        <x:v>14306.18539759397</x:v>
      </x:c>
      <x:c r="Z1919" s="32" t="n">
        <x:f>Z1918+W1919-X1919-T1919-Z1918*V1919/AB1918</x:f>
        <x:v>19354.456567879548</x:v>
      </x:c>
      <x:c r="AA1919" s="32" t="n">
        <x:f>AA1918+X1919-U1919-AA1918*V1919/AB1918</x:f>
        <x:v>11386.956063258198</x:v>
      </x:c>
      <x:c r="AB1919" s="10" t="n">
        <x:f>Y1919+Z1919+AA1919</x:f>
        <x:v>45047.59802873172</x:v>
      </x:c>
      <x:c r="AC1919" s="8" t="n">
        <x:f>IF(AND(v01_WinterTrigger=1,D1919=1,AB1918/AE1918&gt;=K1919),1,0)</x:f>
        <x:v>0</x:v>
      </x:c>
      <x:c r="AD1919" s="8" t="n">
        <x:f>H1919*IF(AND(OR(AB1918/AE1918&gt;=v01_FissionTrigger*N1919,AC1919=1),AB1918/AE1918*v01_DaughterShare&gt;=v01_MinDaughter),MAX(1,ROUND(AE1918*v01_FissionRate,0)),0)</x:f>
        <x:v>0</x:v>
      </x:c>
      <x:c r="AE1919" s="8" t="n">
        <x:f>IF(H1919=1,MAX(1,MIN(INDEX(v01_Smax,G1919),AE1918+AD1919)),AE1918)</x:f>
        <x:v>15</x:v>
      </x:c>
      <x:c r="AF1919" s="8" t="n">
        <x:f>MAX(0,AE1919-AE1918)</x:f>
        <x:v>0</x:v>
      </x:c>
      <x:c r="AG1919" s="9" t="str">
        <x:f>IF(AF1919&gt;0,B1919,"")</x:f>
      </x:c>
      <x:c r="AH1919" s="9" t="n">
        <x:f>IF(F1919&gt;=1,1,(1+v01_LowTiesShare*(AE1919-1))/AE1919)</x:f>
        <x:v>1</x:v>
      </x:c>
      <x:c r="AI1919" s="32" t="n">
        <x:f>(Z1919+v01_ElderCommons*INDEX(LM_Elder,G1919)*AA1919)*AH1919</x:f>
        <x:v>64139.732591141874</x:v>
      </x:c>
      <x:c r="AJ1919" s="32" t="n">
        <x:f>H1919*v01_CommonsCoef*AI1919^v01_CommonsExp*INDEX(LM_Commons,G1919)</x:f>
        <x:v>0</x:v>
      </x:c>
      <x:c r="AK1919" s="32" t="n">
        <x:f>H1919*v01_RoleScale*Arch_Roles*(AE1919*(INDEX(v01_ElderRolePerSett,G1919)*v01_OutElder*INDEX(LM_Elder,G1919)+INDEX(v01_ShamanPerSett,G1919)*v01_OutShaman)+Z1919*(INDEX(v01_PriestShare,G1919)*v01_OutPriest+INDEX(v01_ScribeShare,G1919)*v01_OutScribe*INDEX(LM_Scribe,G1919)+INDEX(v01_ScholarShare,G1919)*v01_OutScholar*INDEX(LM_Scholar,G1919)+INDEX(v01_ResearcherShare,G1919)*v01_OutResearcher*INDEX(LM_Researcher,G1919)))</x:f>
        <x:v>0</x:v>
      </x:c>
      <x:c r="AL1919" s="32" t="n">
        <x:f>H1919*v01_RoleScale*Arch_Roles*AE1919*INDEX(v01_MonasteryPerSett,G1919)*v01_OutMonastery*INDEX(LM_Monastery,G1919)</x:f>
        <x:v>0</x:v>
      </x:c>
      <x:c r="AM1919" s="32" t="n">
        <x:f>(AJ1919+AK1919+AL1919)/4*INDEX(LM_All,G1919)*INDEX(v01_Boon,G1919)*Arch_Insight</x:f>
        <x:v>0</x:v>
      </x:c>
      <x:c r="AN1919" s="32" t="n">
        <x:f>H1919*(v01_KHPerAdult*Z1919+v01_KHOfCommons*AJ1919/4*INDEX(LM_All,G1919))*v01_KHUsable*Arch_KH</x:f>
        <x:v>0</x:v>
      </x:c>
      <x:c r="AO1919" s="32" t="n">
        <x:f>MIN(AP1918+AN1919,AM1919*v01_KHMaxRatio)</x:f>
        <x:v>0</x:v>
      </x:c>
      <x:c r="AP1919" s="32" t="n">
        <x:f>AP1918+AN1919-AO1919</x:f>
        <x:v>0</x:v>
      </x:c>
      <x:c r="AQ1919" s="32" t="n">
        <x:f>AM1919+AO1919</x:f>
        <x:v>0</x:v>
      </x:c>
      <x:c r="AR1919" s="10" t="n">
        <x:f>IF(H1919=1,INDEX(v01_Req,G1919),0)</x:f>
        <x:v>0</x:v>
      </x:c>
      <x:c r="AS1919" s="32" t="n">
        <x:f>IF(H1919=1,IF(E1919=1,AS1918-AR1918,AS1918)+AQ1919,0)</x:f>
        <x:v>0</x:v>
      </x:c>
      <x:c r="AT1919" s="11" t="n">
        <x:f>IF(AR1919&gt;0,MIN(1,AS1919/AR1919),1)</x:f>
        <x:v>1</x:v>
      </x:c>
      <x:c r="AU1919" s="10" t="n">
        <x:f>AB1919/INDEX(v01_RepScale,G1919)</x:f>
        <x:v>90.09519605746344</x:v>
      </x:c>
      <x:c r="AV1919" s="32" t="n">
        <x:f>AM1919*60/v01_SeasonSeconds</x:f>
        <x:v>0</x:v>
      </x:c>
    </x:row>
    <x:row r="1920">
      <x:c r="A1920" s="8" t="n">
        <x:f>A1919+1</x:f>
        <x:v>1917</x:v>
      </x:c>
      <x:c r="B1920" s="9" t="n">
        <x:f>A1920*v01_SeasonSeconds/60</x:f>
        <x:v>479.25</x:v>
      </x:c>
      <x:c r="C1920" s="9" t="n">
        <x:f>A1920/4</x:f>
        <x:v>479.25</x:v>
      </x:c>
      <x:c r="D1920" s="8" t="n">
        <x:f>IF(MOD(A1920,4)=0,1,0)</x:f>
        <x:v>0</x:v>
      </x:c>
      <x:c r="E1920" s="8" t="n">
        <x:f>IF(AND(F1919&lt;=9,AS1919&gt;=AR1919),1,0)</x:f>
        <x:v>0</x:v>
      </x:c>
      <x:c r="F1920" s="8" t="n">
        <x:f>MIN(10,F1919+E1920)</x:f>
        <x:v>10</x:v>
      </x:c>
      <x:c r="G1920" s="8" t="n">
        <x:f>MIN(F1920,9)+1</x:f>
        <x:v>10</x:v>
      </x:c>
      <x:c r="H1920" s="8" t="n">
        <x:f>IF(F1920&lt;=9,1,0)</x:f>
        <x:v>0</x:v>
      </x:c>
      <x:c r="I1920" s="9" t="n">
        <x:f>MIN(10,F1919+IF(AR1919&gt;0,MIN(1,AS1919/AR1919),1))</x:f>
        <x:v>10</x:v>
      </x:c>
      <x:c r="J1920" s="32" t="n">
        <x:f>INDEX(v01_FoodCap,G1920)*Arch_FoodCap*EXP(v01_CapsByProject*SUMPRODUCT((Cap_Point&lt;=I1920)*(Cap_Kind="Food")*Cap_Ln))</x:f>
        <x:v>12000</x:v>
      </x:c>
      <x:c r="K1920" s="32" t="n">
        <x:f>J1920*MIN(1,v01_LeanBase*EXP(v01_CapsByProject*SUMPRODUCT((Cap_Point&lt;=I1920)*(Cap_Kind="Lean")*Cap_Ln)))</x:f>
        <x:v>12000</x:v>
      </x:c>
      <x:c r="L1920" s="10" t="n">
        <x:f>INDEX(v01_HousingCap,G1920)*EXP(v01_CapsByProject*SUMPRODUCT((Cap_Point&lt;=I1920)*(Cap_Kind="Housing")*Cap_Ln))</x:f>
        <x:v>20000</x:v>
      </x:c>
      <x:c r="M1920" s="10" t="n">
        <x:f>INDEX(v01_GroupCap,G1920)*v01_CohesionFactor*EXP(v01_CapsByProject*SUMPRODUCT((Cap_Point&lt;=I1920)*(Cap_Kind="Group")*Cap_Ln))</x:f>
        <x:v>1000000</x:v>
      </x:c>
      <x:c r="N1920" s="32" t="n">
        <x:f>MIN(J1920,L1920,M1920)</x:f>
        <x:v>12000</x:v>
      </x:c>
      <x:c r="O1920" s="10" t="n">
        <x:f>AE1919*N1920</x:f>
        <x:v>180000</x:v>
      </x:c>
      <x:c r="P1920" s="9" t="n">
        <x:f>MIN(1,(AB1919/(AE1919*IF(v01_GroupInCrowding=1,N1920,MIN(J1920,L1920))))^v01_CrowdingExp)</x:f>
        <x:v>0.00024569414295285325</x:v>
      </x:c>
      <x:c r="Q1920" s="9" t="n">
        <x:f>IF(D1920=1,INDEX(v01_WinterMult,G1920),1)</x:f>
        <x:v>1</x:v>
      </x:c>
      <x:c r="R1920" s="9" t="n">
        <x:f>H1920*Z1919*v01_WomenShare*v01_BaseFertility*INDEX(v01_FertMult,G1920)*Arch_Fertility*(1-P1920)</x:f>
        <x:v>0</x:v>
      </x:c>
      <x:c r="S1920" s="9" t="n">
        <x:f>H1920*Y1919*INDEX(v01_MortChild,G1920)/4*Q1920</x:f>
        <x:v>0</x:v>
      </x:c>
      <x:c r="T1920" s="9" t="n">
        <x:f>H1920*Z1919*INDEX(v01_MortAdult,G1920)*Arch_AdultMort/4*Q1920</x:f>
        <x:v>0</x:v>
      </x:c>
      <x:c r="U1920" s="9" t="n">
        <x:f>H1920*AA1919*INDEX(v01_MortElder,G1920)/4*Q1920</x:f>
        <x:v>0</x:v>
      </x:c>
      <x:c r="V1920" s="9" t="n">
        <x:f>H1920*MAX(0,AB1919-O1920)*v01_OvercapLoss</x:f>
        <x:v>0</x:v>
      </x:c>
      <x:c r="W1920" s="9" t="n">
        <x:f>H1920*Y1919/(v01_ChildYears*4)</x:f>
        <x:v>0</x:v>
      </x:c>
      <x:c r="X1920" s="9" t="n">
        <x:f>H1920*Z1919/(v01_AdultYears*4)</x:f>
        <x:v>0</x:v>
      </x:c>
      <x:c r="Y1920" s="32" t="n">
        <x:f>Y1919+R1920-S1920-W1920-Y1919*V1920/AB1919</x:f>
        <x:v>14306.18539759397</x:v>
      </x:c>
      <x:c r="Z1920" s="32" t="n">
        <x:f>Z1919+W1920-X1920-T1920-Z1919*V1920/AB1919</x:f>
        <x:v>19354.456567879548</x:v>
      </x:c>
      <x:c r="AA1920" s="32" t="n">
        <x:f>AA1919+X1920-U1920-AA1919*V1920/AB1919</x:f>
        <x:v>11386.956063258198</x:v>
      </x:c>
      <x:c r="AB1920" s="10" t="n">
        <x:f>Y1920+Z1920+AA1920</x:f>
        <x:v>45047.59802873172</x:v>
      </x:c>
      <x:c r="AC1920" s="8" t="n">
        <x:f>IF(AND(v01_WinterTrigger=1,D1920=1,AB1919/AE1919&gt;=K1920),1,0)</x:f>
        <x:v>0</x:v>
      </x:c>
      <x:c r="AD1920" s="8" t="n">
        <x:f>H1920*IF(AND(OR(AB1919/AE1919&gt;=v01_FissionTrigger*N1920,AC1920=1),AB1919/AE1919*v01_DaughterShare&gt;=v01_MinDaughter),MAX(1,ROUND(AE1919*v01_FissionRate,0)),0)</x:f>
        <x:v>0</x:v>
      </x:c>
      <x:c r="AE1920" s="8" t="n">
        <x:f>IF(H1920=1,MAX(1,MIN(INDEX(v01_Smax,G1920),AE1919+AD1920)),AE1919)</x:f>
        <x:v>15</x:v>
      </x:c>
      <x:c r="AF1920" s="8" t="n">
        <x:f>MAX(0,AE1920-AE1919)</x:f>
        <x:v>0</x:v>
      </x:c>
      <x:c r="AG1920" s="9" t="str">
        <x:f>IF(AF1920&gt;0,B1920,"")</x:f>
      </x:c>
      <x:c r="AH1920" s="9" t="n">
        <x:f>IF(F1920&gt;=1,1,(1+v01_LowTiesShare*(AE1920-1))/AE1920)</x:f>
        <x:v>1</x:v>
      </x:c>
      <x:c r="AI1920" s="32" t="n">
        <x:f>(Z1920+v01_ElderCommons*INDEX(LM_Elder,G1920)*AA1920)*AH1920</x:f>
        <x:v>64139.732591141874</x:v>
      </x:c>
      <x:c r="AJ1920" s="32" t="n">
        <x:f>H1920*v01_CommonsCoef*AI1920^v01_CommonsExp*INDEX(LM_Commons,G1920)</x:f>
        <x:v>0</x:v>
      </x:c>
      <x:c r="AK1920" s="32" t="n">
        <x:f>H1920*v01_RoleScale*Arch_Roles*(AE1920*(INDEX(v01_ElderRolePerSett,G1920)*v01_OutElder*INDEX(LM_Elder,G1920)+INDEX(v01_ShamanPerSett,G1920)*v01_OutShaman)+Z1920*(INDEX(v01_PriestShare,G1920)*v01_OutPriest+INDEX(v01_ScribeShare,G1920)*v01_OutScribe*INDEX(LM_Scribe,G1920)+INDEX(v01_ScholarShare,G1920)*v01_OutScholar*INDEX(LM_Scholar,G1920)+INDEX(v01_ResearcherShare,G1920)*v01_OutResearcher*INDEX(LM_Researcher,G1920)))</x:f>
        <x:v>0</x:v>
      </x:c>
      <x:c r="AL1920" s="32" t="n">
        <x:f>H1920*v01_RoleScale*Arch_Roles*AE1920*INDEX(v01_MonasteryPerSett,G1920)*v01_OutMonastery*INDEX(LM_Monastery,G1920)</x:f>
        <x:v>0</x:v>
      </x:c>
      <x:c r="AM1920" s="32" t="n">
        <x:f>(AJ1920+AK1920+AL1920)/4*INDEX(LM_All,G1920)*INDEX(v01_Boon,G1920)*Arch_Insight</x:f>
        <x:v>0</x:v>
      </x:c>
      <x:c r="AN1920" s="32" t="n">
        <x:f>H1920*(v01_KHPerAdult*Z1920+v01_KHOfCommons*AJ1920/4*INDEX(LM_All,G1920))*v01_KHUsable*Arch_KH</x:f>
        <x:v>0</x:v>
      </x:c>
      <x:c r="AO1920" s="32" t="n">
        <x:f>MIN(AP1919+AN1920,AM1920*v01_KHMaxRatio)</x:f>
        <x:v>0</x:v>
      </x:c>
      <x:c r="AP1920" s="32" t="n">
        <x:f>AP1919+AN1920-AO1920</x:f>
        <x:v>0</x:v>
      </x:c>
      <x:c r="AQ1920" s="32" t="n">
        <x:f>AM1920+AO1920</x:f>
        <x:v>0</x:v>
      </x:c>
      <x:c r="AR1920" s="10" t="n">
        <x:f>IF(H1920=1,INDEX(v01_Req,G1920),0)</x:f>
        <x:v>0</x:v>
      </x:c>
      <x:c r="AS1920" s="32" t="n">
        <x:f>IF(H1920=1,IF(E1920=1,AS1919-AR1919,AS1919)+AQ1920,0)</x:f>
        <x:v>0</x:v>
      </x:c>
      <x:c r="AT1920" s="11" t="n">
        <x:f>IF(AR1920&gt;0,MIN(1,AS1920/AR1920),1)</x:f>
        <x:v>1</x:v>
      </x:c>
      <x:c r="AU1920" s="10" t="n">
        <x:f>AB1920/INDEX(v01_RepScale,G1920)</x:f>
        <x:v>90.09519605746344</x:v>
      </x:c>
      <x:c r="AV1920" s="32" t="n">
        <x:f>AM1920*60/v01_SeasonSeconds</x:f>
        <x:v>0</x:v>
      </x:c>
    </x:row>
    <x:row r="1921">
      <x:c r="A1921" s="8" t="n">
        <x:f>A1920+1</x:f>
        <x:v>1918</x:v>
      </x:c>
      <x:c r="B1921" s="9" t="n">
        <x:f>A1921*v01_SeasonSeconds/60</x:f>
        <x:v>479.5</x:v>
      </x:c>
      <x:c r="C1921" s="9" t="n">
        <x:f>A1921/4</x:f>
        <x:v>479.5</x:v>
      </x:c>
      <x:c r="D1921" s="8" t="n">
        <x:f>IF(MOD(A1921,4)=0,1,0)</x:f>
        <x:v>0</x:v>
      </x:c>
      <x:c r="E1921" s="8" t="n">
        <x:f>IF(AND(F1920&lt;=9,AS1920&gt;=AR1920),1,0)</x:f>
        <x:v>0</x:v>
      </x:c>
      <x:c r="F1921" s="8" t="n">
        <x:f>MIN(10,F1920+E1921)</x:f>
        <x:v>10</x:v>
      </x:c>
      <x:c r="G1921" s="8" t="n">
        <x:f>MIN(F1921,9)+1</x:f>
        <x:v>10</x:v>
      </x:c>
      <x:c r="H1921" s="8" t="n">
        <x:f>IF(F1921&lt;=9,1,0)</x:f>
        <x:v>0</x:v>
      </x:c>
      <x:c r="I1921" s="9" t="n">
        <x:f>MIN(10,F1920+IF(AR1920&gt;0,MIN(1,AS1920/AR1920),1))</x:f>
        <x:v>10</x:v>
      </x:c>
      <x:c r="J1921" s="32" t="n">
        <x:f>INDEX(v01_FoodCap,G1921)*Arch_FoodCap*EXP(v01_CapsByProject*SUMPRODUCT((Cap_Point&lt;=I1921)*(Cap_Kind="Food")*Cap_Ln))</x:f>
        <x:v>12000</x:v>
      </x:c>
      <x:c r="K1921" s="32" t="n">
        <x:f>J1921*MIN(1,v01_LeanBase*EXP(v01_CapsByProject*SUMPRODUCT((Cap_Point&lt;=I1921)*(Cap_Kind="Lean")*Cap_Ln)))</x:f>
        <x:v>12000</x:v>
      </x:c>
      <x:c r="L1921" s="10" t="n">
        <x:f>INDEX(v01_HousingCap,G1921)*EXP(v01_CapsByProject*SUMPRODUCT((Cap_Point&lt;=I1921)*(Cap_Kind="Housing")*Cap_Ln))</x:f>
        <x:v>20000</x:v>
      </x:c>
      <x:c r="M1921" s="10" t="n">
        <x:f>INDEX(v01_GroupCap,G1921)*v01_CohesionFactor*EXP(v01_CapsByProject*SUMPRODUCT((Cap_Point&lt;=I1921)*(Cap_Kind="Group")*Cap_Ln))</x:f>
        <x:v>1000000</x:v>
      </x:c>
      <x:c r="N1921" s="32" t="n">
        <x:f>MIN(J1921,L1921,M1921)</x:f>
        <x:v>12000</x:v>
      </x:c>
      <x:c r="O1921" s="10" t="n">
        <x:f>AE1920*N1921</x:f>
        <x:v>180000</x:v>
      </x:c>
      <x:c r="P1921" s="9" t="n">
        <x:f>MIN(1,(AB1920/(AE1920*IF(v01_GroupInCrowding=1,N1921,MIN(J1921,L1921))))^v01_CrowdingExp)</x:f>
        <x:v>0.00024569414295285325</x:v>
      </x:c>
      <x:c r="Q1921" s="9" t="n">
        <x:f>IF(D1921=1,INDEX(v01_WinterMult,G1921),1)</x:f>
        <x:v>1</x:v>
      </x:c>
      <x:c r="R1921" s="9" t="n">
        <x:f>H1921*Z1920*v01_WomenShare*v01_BaseFertility*INDEX(v01_FertMult,G1921)*Arch_Fertility*(1-P1921)</x:f>
        <x:v>0</x:v>
      </x:c>
      <x:c r="S1921" s="9" t="n">
        <x:f>H1921*Y1920*INDEX(v01_MortChild,G1921)/4*Q1921</x:f>
        <x:v>0</x:v>
      </x:c>
      <x:c r="T1921" s="9" t="n">
        <x:f>H1921*Z1920*INDEX(v01_MortAdult,G1921)*Arch_AdultMort/4*Q1921</x:f>
        <x:v>0</x:v>
      </x:c>
      <x:c r="U1921" s="9" t="n">
        <x:f>H1921*AA1920*INDEX(v01_MortElder,G1921)/4*Q1921</x:f>
        <x:v>0</x:v>
      </x:c>
      <x:c r="V1921" s="9" t="n">
        <x:f>H1921*MAX(0,AB1920-O1921)*v01_OvercapLoss</x:f>
        <x:v>0</x:v>
      </x:c>
      <x:c r="W1921" s="9" t="n">
        <x:f>H1921*Y1920/(v01_ChildYears*4)</x:f>
        <x:v>0</x:v>
      </x:c>
      <x:c r="X1921" s="9" t="n">
        <x:f>H1921*Z1920/(v01_AdultYears*4)</x:f>
        <x:v>0</x:v>
      </x:c>
      <x:c r="Y1921" s="32" t="n">
        <x:f>Y1920+R1921-S1921-W1921-Y1920*V1921/AB1920</x:f>
        <x:v>14306.18539759397</x:v>
      </x:c>
      <x:c r="Z1921" s="32" t="n">
        <x:f>Z1920+W1921-X1921-T1921-Z1920*V1921/AB1920</x:f>
        <x:v>19354.456567879548</x:v>
      </x:c>
      <x:c r="AA1921" s="32" t="n">
        <x:f>AA1920+X1921-U1921-AA1920*V1921/AB1920</x:f>
        <x:v>11386.956063258198</x:v>
      </x:c>
      <x:c r="AB1921" s="10" t="n">
        <x:f>Y1921+Z1921+AA1921</x:f>
        <x:v>45047.59802873172</x:v>
      </x:c>
      <x:c r="AC1921" s="8" t="n">
        <x:f>IF(AND(v01_WinterTrigger=1,D1921=1,AB1920/AE1920&gt;=K1921),1,0)</x:f>
        <x:v>0</x:v>
      </x:c>
      <x:c r="AD1921" s="8" t="n">
        <x:f>H1921*IF(AND(OR(AB1920/AE1920&gt;=v01_FissionTrigger*N1921,AC1921=1),AB1920/AE1920*v01_DaughterShare&gt;=v01_MinDaughter),MAX(1,ROUND(AE1920*v01_FissionRate,0)),0)</x:f>
        <x:v>0</x:v>
      </x:c>
      <x:c r="AE1921" s="8" t="n">
        <x:f>IF(H1921=1,MAX(1,MIN(INDEX(v01_Smax,G1921),AE1920+AD1921)),AE1920)</x:f>
        <x:v>15</x:v>
      </x:c>
      <x:c r="AF1921" s="8" t="n">
        <x:f>MAX(0,AE1921-AE1920)</x:f>
        <x:v>0</x:v>
      </x:c>
      <x:c r="AG1921" s="9" t="str">
        <x:f>IF(AF1921&gt;0,B1921,"")</x:f>
      </x:c>
      <x:c r="AH1921" s="9" t="n">
        <x:f>IF(F1921&gt;=1,1,(1+v01_LowTiesShare*(AE1921-1))/AE1921)</x:f>
        <x:v>1</x:v>
      </x:c>
      <x:c r="AI1921" s="32" t="n">
        <x:f>(Z1921+v01_ElderCommons*INDEX(LM_Elder,G1921)*AA1921)*AH1921</x:f>
        <x:v>64139.732591141874</x:v>
      </x:c>
      <x:c r="AJ1921" s="32" t="n">
        <x:f>H1921*v01_CommonsCoef*AI1921^v01_CommonsExp*INDEX(LM_Commons,G1921)</x:f>
        <x:v>0</x:v>
      </x:c>
      <x:c r="AK1921" s="32" t="n">
        <x:f>H1921*v01_RoleScale*Arch_Roles*(AE1921*(INDEX(v01_ElderRolePerSett,G1921)*v01_OutElder*INDEX(LM_Elder,G1921)+INDEX(v01_ShamanPerSett,G1921)*v01_OutShaman)+Z1921*(INDEX(v01_PriestShare,G1921)*v01_OutPriest+INDEX(v01_ScribeShare,G1921)*v01_OutScribe*INDEX(LM_Scribe,G1921)+INDEX(v01_ScholarShare,G1921)*v01_OutScholar*INDEX(LM_Scholar,G1921)+INDEX(v01_ResearcherShare,G1921)*v01_OutResearcher*INDEX(LM_Researcher,G1921)))</x:f>
        <x:v>0</x:v>
      </x:c>
      <x:c r="AL1921" s="32" t="n">
        <x:f>H1921*v01_RoleScale*Arch_Roles*AE1921*INDEX(v01_MonasteryPerSett,G1921)*v01_OutMonastery*INDEX(LM_Monastery,G1921)</x:f>
        <x:v>0</x:v>
      </x:c>
      <x:c r="AM1921" s="32" t="n">
        <x:f>(AJ1921+AK1921+AL1921)/4*INDEX(LM_All,G1921)*INDEX(v01_Boon,G1921)*Arch_Insight</x:f>
        <x:v>0</x:v>
      </x:c>
      <x:c r="AN1921" s="32" t="n">
        <x:f>H1921*(v01_KHPerAdult*Z1921+v01_KHOfCommons*AJ1921/4*INDEX(LM_All,G1921))*v01_KHUsable*Arch_KH</x:f>
        <x:v>0</x:v>
      </x:c>
      <x:c r="AO1921" s="32" t="n">
        <x:f>MIN(AP1920+AN1921,AM1921*v01_KHMaxRatio)</x:f>
        <x:v>0</x:v>
      </x:c>
      <x:c r="AP1921" s="32" t="n">
        <x:f>AP1920+AN1921-AO1921</x:f>
        <x:v>0</x:v>
      </x:c>
      <x:c r="AQ1921" s="32" t="n">
        <x:f>AM1921+AO1921</x:f>
        <x:v>0</x:v>
      </x:c>
      <x:c r="AR1921" s="10" t="n">
        <x:f>IF(H1921=1,INDEX(v01_Req,G1921),0)</x:f>
        <x:v>0</x:v>
      </x:c>
      <x:c r="AS1921" s="32" t="n">
        <x:f>IF(H1921=1,IF(E1921=1,AS1920-AR1920,AS1920)+AQ1921,0)</x:f>
        <x:v>0</x:v>
      </x:c>
      <x:c r="AT1921" s="11" t="n">
        <x:f>IF(AR1921&gt;0,MIN(1,AS1921/AR1921),1)</x:f>
        <x:v>1</x:v>
      </x:c>
      <x:c r="AU1921" s="10" t="n">
        <x:f>AB1921/INDEX(v01_RepScale,G1921)</x:f>
        <x:v>90.09519605746344</x:v>
      </x:c>
      <x:c r="AV1921" s="32" t="n">
        <x:f>AM1921*60/v01_SeasonSeconds</x:f>
        <x:v>0</x:v>
      </x:c>
    </x:row>
    <x:row r="1922">
      <x:c r="A1922" s="8" t="n">
        <x:f>A1921+1</x:f>
        <x:v>1919</x:v>
      </x:c>
      <x:c r="B1922" s="9" t="n">
        <x:f>A1922*v01_SeasonSeconds/60</x:f>
        <x:v>479.75</x:v>
      </x:c>
      <x:c r="C1922" s="9" t="n">
        <x:f>A1922/4</x:f>
        <x:v>479.75</x:v>
      </x:c>
      <x:c r="D1922" s="8" t="n">
        <x:f>IF(MOD(A1922,4)=0,1,0)</x:f>
        <x:v>0</x:v>
      </x:c>
      <x:c r="E1922" s="8" t="n">
        <x:f>IF(AND(F1921&lt;=9,AS1921&gt;=AR1921),1,0)</x:f>
        <x:v>0</x:v>
      </x:c>
      <x:c r="F1922" s="8" t="n">
        <x:f>MIN(10,F1921+E1922)</x:f>
        <x:v>10</x:v>
      </x:c>
      <x:c r="G1922" s="8" t="n">
        <x:f>MIN(F1922,9)+1</x:f>
        <x:v>10</x:v>
      </x:c>
      <x:c r="H1922" s="8" t="n">
        <x:f>IF(F1922&lt;=9,1,0)</x:f>
        <x:v>0</x:v>
      </x:c>
      <x:c r="I1922" s="9" t="n">
        <x:f>MIN(10,F1921+IF(AR1921&gt;0,MIN(1,AS1921/AR1921),1))</x:f>
        <x:v>10</x:v>
      </x:c>
      <x:c r="J1922" s="32" t="n">
        <x:f>INDEX(v01_FoodCap,G1922)*Arch_FoodCap*EXP(v01_CapsByProject*SUMPRODUCT((Cap_Point&lt;=I1922)*(Cap_Kind="Food")*Cap_Ln))</x:f>
        <x:v>12000</x:v>
      </x:c>
      <x:c r="K1922" s="32" t="n">
        <x:f>J1922*MIN(1,v01_LeanBase*EXP(v01_CapsByProject*SUMPRODUCT((Cap_Point&lt;=I1922)*(Cap_Kind="Lean")*Cap_Ln)))</x:f>
        <x:v>12000</x:v>
      </x:c>
      <x:c r="L1922" s="10" t="n">
        <x:f>INDEX(v01_HousingCap,G1922)*EXP(v01_CapsByProject*SUMPRODUCT((Cap_Point&lt;=I1922)*(Cap_Kind="Housing")*Cap_Ln))</x:f>
        <x:v>20000</x:v>
      </x:c>
      <x:c r="M1922" s="10" t="n">
        <x:f>INDEX(v01_GroupCap,G1922)*v01_CohesionFactor*EXP(v01_CapsByProject*SUMPRODUCT((Cap_Point&lt;=I1922)*(Cap_Kind="Group")*Cap_Ln))</x:f>
        <x:v>1000000</x:v>
      </x:c>
      <x:c r="N1922" s="32" t="n">
        <x:f>MIN(J1922,L1922,M1922)</x:f>
        <x:v>12000</x:v>
      </x:c>
      <x:c r="O1922" s="10" t="n">
        <x:f>AE1921*N1922</x:f>
        <x:v>180000</x:v>
      </x:c>
      <x:c r="P1922" s="9" t="n">
        <x:f>MIN(1,(AB1921/(AE1921*IF(v01_GroupInCrowding=1,N1922,MIN(J1922,L1922))))^v01_CrowdingExp)</x:f>
        <x:v>0.00024569414295285325</x:v>
      </x:c>
      <x:c r="Q1922" s="9" t="n">
        <x:f>IF(D1922=1,INDEX(v01_WinterMult,G1922),1)</x:f>
        <x:v>1</x:v>
      </x:c>
      <x:c r="R1922" s="9" t="n">
        <x:f>H1922*Z1921*v01_WomenShare*v01_BaseFertility*INDEX(v01_FertMult,G1922)*Arch_Fertility*(1-P1922)</x:f>
        <x:v>0</x:v>
      </x:c>
      <x:c r="S1922" s="9" t="n">
        <x:f>H1922*Y1921*INDEX(v01_MortChild,G1922)/4*Q1922</x:f>
        <x:v>0</x:v>
      </x:c>
      <x:c r="T1922" s="9" t="n">
        <x:f>H1922*Z1921*INDEX(v01_MortAdult,G1922)*Arch_AdultMort/4*Q1922</x:f>
        <x:v>0</x:v>
      </x:c>
      <x:c r="U1922" s="9" t="n">
        <x:f>H1922*AA1921*INDEX(v01_MortElder,G1922)/4*Q1922</x:f>
        <x:v>0</x:v>
      </x:c>
      <x:c r="V1922" s="9" t="n">
        <x:f>H1922*MAX(0,AB1921-O1922)*v01_OvercapLoss</x:f>
        <x:v>0</x:v>
      </x:c>
      <x:c r="W1922" s="9" t="n">
        <x:f>H1922*Y1921/(v01_ChildYears*4)</x:f>
        <x:v>0</x:v>
      </x:c>
      <x:c r="X1922" s="9" t="n">
        <x:f>H1922*Z1921/(v01_AdultYears*4)</x:f>
        <x:v>0</x:v>
      </x:c>
      <x:c r="Y1922" s="32" t="n">
        <x:f>Y1921+R1922-S1922-W1922-Y1921*V1922/AB1921</x:f>
        <x:v>14306.18539759397</x:v>
      </x:c>
      <x:c r="Z1922" s="32" t="n">
        <x:f>Z1921+W1922-X1922-T1922-Z1921*V1922/AB1921</x:f>
        <x:v>19354.456567879548</x:v>
      </x:c>
      <x:c r="AA1922" s="32" t="n">
        <x:f>AA1921+X1922-U1922-AA1921*V1922/AB1921</x:f>
        <x:v>11386.956063258198</x:v>
      </x:c>
      <x:c r="AB1922" s="10" t="n">
        <x:f>Y1922+Z1922+AA1922</x:f>
        <x:v>45047.59802873172</x:v>
      </x:c>
      <x:c r="AC1922" s="8" t="n">
        <x:f>IF(AND(v01_WinterTrigger=1,D1922=1,AB1921/AE1921&gt;=K1922),1,0)</x:f>
        <x:v>0</x:v>
      </x:c>
      <x:c r="AD1922" s="8" t="n">
        <x:f>H1922*IF(AND(OR(AB1921/AE1921&gt;=v01_FissionTrigger*N1922,AC1922=1),AB1921/AE1921*v01_DaughterShare&gt;=v01_MinDaughter),MAX(1,ROUND(AE1921*v01_FissionRate,0)),0)</x:f>
        <x:v>0</x:v>
      </x:c>
      <x:c r="AE1922" s="8" t="n">
        <x:f>IF(H1922=1,MAX(1,MIN(INDEX(v01_Smax,G1922),AE1921+AD1922)),AE1921)</x:f>
        <x:v>15</x:v>
      </x:c>
      <x:c r="AF1922" s="8" t="n">
        <x:f>MAX(0,AE1922-AE1921)</x:f>
        <x:v>0</x:v>
      </x:c>
      <x:c r="AG1922" s="9" t="str">
        <x:f>IF(AF1922&gt;0,B1922,"")</x:f>
      </x:c>
      <x:c r="AH1922" s="9" t="n">
        <x:f>IF(F1922&gt;=1,1,(1+v01_LowTiesShare*(AE1922-1))/AE1922)</x:f>
        <x:v>1</x:v>
      </x:c>
      <x:c r="AI1922" s="32" t="n">
        <x:f>(Z1922+v01_ElderCommons*INDEX(LM_Elder,G1922)*AA1922)*AH1922</x:f>
        <x:v>64139.732591141874</x:v>
      </x:c>
      <x:c r="AJ1922" s="32" t="n">
        <x:f>H1922*v01_CommonsCoef*AI1922^v01_CommonsExp*INDEX(LM_Commons,G1922)</x:f>
        <x:v>0</x:v>
      </x:c>
      <x:c r="AK1922" s="32" t="n">
        <x:f>H1922*v01_RoleScale*Arch_Roles*(AE1922*(INDEX(v01_ElderRolePerSett,G1922)*v01_OutElder*INDEX(LM_Elder,G1922)+INDEX(v01_ShamanPerSett,G1922)*v01_OutShaman)+Z1922*(INDEX(v01_PriestShare,G1922)*v01_OutPriest+INDEX(v01_ScribeShare,G1922)*v01_OutScribe*INDEX(LM_Scribe,G1922)+INDEX(v01_ScholarShare,G1922)*v01_OutScholar*INDEX(LM_Scholar,G1922)+INDEX(v01_ResearcherShare,G1922)*v01_OutResearcher*INDEX(LM_Researcher,G1922)))</x:f>
        <x:v>0</x:v>
      </x:c>
      <x:c r="AL1922" s="32" t="n">
        <x:f>H1922*v01_RoleScale*Arch_Roles*AE1922*INDEX(v01_MonasteryPerSett,G1922)*v01_OutMonastery*INDEX(LM_Monastery,G1922)</x:f>
        <x:v>0</x:v>
      </x:c>
      <x:c r="AM1922" s="32" t="n">
        <x:f>(AJ1922+AK1922+AL1922)/4*INDEX(LM_All,G1922)*INDEX(v01_Boon,G1922)*Arch_Insight</x:f>
        <x:v>0</x:v>
      </x:c>
      <x:c r="AN1922" s="32" t="n">
        <x:f>H1922*(v01_KHPerAdult*Z1922+v01_KHOfCommons*AJ1922/4*INDEX(LM_All,G1922))*v01_KHUsable*Arch_KH</x:f>
        <x:v>0</x:v>
      </x:c>
      <x:c r="AO1922" s="32" t="n">
        <x:f>MIN(AP1921+AN1922,AM1922*v01_KHMaxRatio)</x:f>
        <x:v>0</x:v>
      </x:c>
      <x:c r="AP1922" s="32" t="n">
        <x:f>AP1921+AN1922-AO1922</x:f>
        <x:v>0</x:v>
      </x:c>
      <x:c r="AQ1922" s="32" t="n">
        <x:f>AM1922+AO1922</x:f>
        <x:v>0</x:v>
      </x:c>
      <x:c r="AR1922" s="10" t="n">
        <x:f>IF(H1922=1,INDEX(v01_Req,G1922),0)</x:f>
        <x:v>0</x:v>
      </x:c>
      <x:c r="AS1922" s="32" t="n">
        <x:f>IF(H1922=1,IF(E1922=1,AS1921-AR1921,AS1921)+AQ1922,0)</x:f>
        <x:v>0</x:v>
      </x:c>
      <x:c r="AT1922" s="11" t="n">
        <x:f>IF(AR1922&gt;0,MIN(1,AS1922/AR1922),1)</x:f>
        <x:v>1</x:v>
      </x:c>
      <x:c r="AU1922" s="10" t="n">
        <x:f>AB1922/INDEX(v01_RepScale,G1922)</x:f>
        <x:v>90.09519605746344</x:v>
      </x:c>
      <x:c r="AV1922" s="32" t="n">
        <x:f>AM1922*60/v01_SeasonSeconds</x:f>
        <x:v>0</x:v>
      </x:c>
    </x:row>
    <x:row r="1923">
      <x:c r="A1923" s="8" t="n">
        <x:f>A1922+1</x:f>
        <x:v>1920</x:v>
      </x:c>
      <x:c r="B1923" s="9" t="n">
        <x:f>A1923*v01_SeasonSeconds/60</x:f>
        <x:v>480</x:v>
      </x:c>
      <x:c r="C1923" s="9" t="n">
        <x:f>A1923/4</x:f>
        <x:v>480</x:v>
      </x:c>
      <x:c r="D1923" s="8" t="n">
        <x:f>IF(MOD(A1923,4)=0,1,0)</x:f>
        <x:v>1</x:v>
      </x:c>
      <x:c r="E1923" s="8" t="n">
        <x:f>IF(AND(F1922&lt;=9,AS1922&gt;=AR1922),1,0)</x:f>
        <x:v>0</x:v>
      </x:c>
      <x:c r="F1923" s="8" t="n">
        <x:f>MIN(10,F1922+E1923)</x:f>
        <x:v>10</x:v>
      </x:c>
      <x:c r="G1923" s="8" t="n">
        <x:f>MIN(F1923,9)+1</x:f>
        <x:v>10</x:v>
      </x:c>
      <x:c r="H1923" s="8" t="n">
        <x:f>IF(F1923&lt;=9,1,0)</x:f>
        <x:v>0</x:v>
      </x:c>
      <x:c r="I1923" s="9" t="n">
        <x:f>MIN(10,F1922+IF(AR1922&gt;0,MIN(1,AS1922/AR1922),1))</x:f>
        <x:v>10</x:v>
      </x:c>
      <x:c r="J1923" s="32" t="n">
        <x:f>INDEX(v01_FoodCap,G1923)*Arch_FoodCap*EXP(v01_CapsByProject*SUMPRODUCT((Cap_Point&lt;=I1923)*(Cap_Kind="Food")*Cap_Ln))</x:f>
        <x:v>12000</x:v>
      </x:c>
      <x:c r="K1923" s="32" t="n">
        <x:f>J1923*MIN(1,v01_LeanBase*EXP(v01_CapsByProject*SUMPRODUCT((Cap_Point&lt;=I1923)*(Cap_Kind="Lean")*Cap_Ln)))</x:f>
        <x:v>12000</x:v>
      </x:c>
      <x:c r="L1923" s="10" t="n">
        <x:f>INDEX(v01_HousingCap,G1923)*EXP(v01_CapsByProject*SUMPRODUCT((Cap_Point&lt;=I1923)*(Cap_Kind="Housing")*Cap_Ln))</x:f>
        <x:v>20000</x:v>
      </x:c>
      <x:c r="M1923" s="10" t="n">
        <x:f>INDEX(v01_GroupCap,G1923)*v01_CohesionFactor*EXP(v01_CapsByProject*SUMPRODUCT((Cap_Point&lt;=I1923)*(Cap_Kind="Group")*Cap_Ln))</x:f>
        <x:v>1000000</x:v>
      </x:c>
      <x:c r="N1923" s="32" t="n">
        <x:f>MIN(J1923,L1923,M1923)</x:f>
        <x:v>12000</x:v>
      </x:c>
      <x:c r="O1923" s="10" t="n">
        <x:f>AE1922*N1923</x:f>
        <x:v>180000</x:v>
      </x:c>
      <x:c r="P1923" s="9" t="n">
        <x:f>MIN(1,(AB1922/(AE1922*IF(v01_GroupInCrowding=1,N1923,MIN(J1923,L1923))))^v01_CrowdingExp)</x:f>
        <x:v>0.00024569414295285325</x:v>
      </x:c>
      <x:c r="Q1923" s="9" t="n">
        <x:f>IF(D1923=1,INDEX(v01_WinterMult,G1923),1)</x:f>
        <x:v>1</x:v>
      </x:c>
      <x:c r="R1923" s="9" t="n">
        <x:f>H1923*Z1922*v01_WomenShare*v01_BaseFertility*INDEX(v01_FertMult,G1923)*Arch_Fertility*(1-P1923)</x:f>
        <x:v>0</x:v>
      </x:c>
      <x:c r="S1923" s="9" t="n">
        <x:f>H1923*Y1922*INDEX(v01_MortChild,G1923)/4*Q1923</x:f>
        <x:v>0</x:v>
      </x:c>
      <x:c r="T1923" s="9" t="n">
        <x:f>H1923*Z1922*INDEX(v01_MortAdult,G1923)*Arch_AdultMort/4*Q1923</x:f>
        <x:v>0</x:v>
      </x:c>
      <x:c r="U1923" s="9" t="n">
        <x:f>H1923*AA1922*INDEX(v01_MortElder,G1923)/4*Q1923</x:f>
        <x:v>0</x:v>
      </x:c>
      <x:c r="V1923" s="9" t="n">
        <x:f>H1923*MAX(0,AB1922-O1923)*v01_OvercapLoss</x:f>
        <x:v>0</x:v>
      </x:c>
      <x:c r="W1923" s="9" t="n">
        <x:f>H1923*Y1922/(v01_ChildYears*4)</x:f>
        <x:v>0</x:v>
      </x:c>
      <x:c r="X1923" s="9" t="n">
        <x:f>H1923*Z1922/(v01_AdultYears*4)</x:f>
        <x:v>0</x:v>
      </x:c>
      <x:c r="Y1923" s="32" t="n">
        <x:f>Y1922+R1923-S1923-W1923-Y1922*V1923/AB1922</x:f>
        <x:v>14306.18539759397</x:v>
      </x:c>
      <x:c r="Z1923" s="32" t="n">
        <x:f>Z1922+W1923-X1923-T1923-Z1922*V1923/AB1922</x:f>
        <x:v>19354.456567879548</x:v>
      </x:c>
      <x:c r="AA1923" s="32" t="n">
        <x:f>AA1922+X1923-U1923-AA1922*V1923/AB1922</x:f>
        <x:v>11386.956063258198</x:v>
      </x:c>
      <x:c r="AB1923" s="10" t="n">
        <x:f>Y1923+Z1923+AA1923</x:f>
        <x:v>45047.59802873172</x:v>
      </x:c>
      <x:c r="AC1923" s="8" t="n">
        <x:f>IF(AND(v01_WinterTrigger=1,D1923=1,AB1922/AE1922&gt;=K1923),1,0)</x:f>
        <x:v>0</x:v>
      </x:c>
      <x:c r="AD1923" s="8" t="n">
        <x:f>H1923*IF(AND(OR(AB1922/AE1922&gt;=v01_FissionTrigger*N1923,AC1923=1),AB1922/AE1922*v01_DaughterShare&gt;=v01_MinDaughter),MAX(1,ROUND(AE1922*v01_FissionRate,0)),0)</x:f>
        <x:v>0</x:v>
      </x:c>
      <x:c r="AE1923" s="8" t="n">
        <x:f>IF(H1923=1,MAX(1,MIN(INDEX(v01_Smax,G1923),AE1922+AD1923)),AE1922)</x:f>
        <x:v>15</x:v>
      </x:c>
      <x:c r="AF1923" s="8" t="n">
        <x:f>MAX(0,AE1923-AE1922)</x:f>
        <x:v>0</x:v>
      </x:c>
      <x:c r="AG1923" s="9" t="str">
        <x:f>IF(AF1923&gt;0,B1923,"")</x:f>
      </x:c>
      <x:c r="AH1923" s="9" t="n">
        <x:f>IF(F1923&gt;=1,1,(1+v01_LowTiesShare*(AE1923-1))/AE1923)</x:f>
        <x:v>1</x:v>
      </x:c>
      <x:c r="AI1923" s="32" t="n">
        <x:f>(Z1923+v01_ElderCommons*INDEX(LM_Elder,G1923)*AA1923)*AH1923</x:f>
        <x:v>64139.732591141874</x:v>
      </x:c>
      <x:c r="AJ1923" s="32" t="n">
        <x:f>H1923*v01_CommonsCoef*AI1923^v01_CommonsExp*INDEX(LM_Commons,G1923)</x:f>
        <x:v>0</x:v>
      </x:c>
      <x:c r="AK1923" s="32" t="n">
        <x:f>H1923*v01_RoleScale*Arch_Roles*(AE1923*(INDEX(v01_ElderRolePerSett,G1923)*v01_OutElder*INDEX(LM_Elder,G1923)+INDEX(v01_ShamanPerSett,G1923)*v01_OutShaman)+Z1923*(INDEX(v01_PriestShare,G1923)*v01_OutPriest+INDEX(v01_ScribeShare,G1923)*v01_OutScribe*INDEX(LM_Scribe,G1923)+INDEX(v01_ScholarShare,G1923)*v01_OutScholar*INDEX(LM_Scholar,G1923)+INDEX(v01_ResearcherShare,G1923)*v01_OutResearcher*INDEX(LM_Researcher,G1923)))</x:f>
        <x:v>0</x:v>
      </x:c>
      <x:c r="AL1923" s="32" t="n">
        <x:f>H1923*v01_RoleScale*Arch_Roles*AE1923*INDEX(v01_MonasteryPerSett,G1923)*v01_OutMonastery*INDEX(LM_Monastery,G1923)</x:f>
        <x:v>0</x:v>
      </x:c>
      <x:c r="AM1923" s="32" t="n">
        <x:f>(AJ1923+AK1923+AL1923)/4*INDEX(LM_All,G1923)*INDEX(v01_Boon,G1923)*Arch_Insight</x:f>
        <x:v>0</x:v>
      </x:c>
      <x:c r="AN1923" s="32" t="n">
        <x:f>H1923*(v01_KHPerAdult*Z1923+v01_KHOfCommons*AJ1923/4*INDEX(LM_All,G1923))*v01_KHUsable*Arch_KH</x:f>
        <x:v>0</x:v>
      </x:c>
      <x:c r="AO1923" s="32" t="n">
        <x:f>MIN(AP1922+AN1923,AM1923*v01_KHMaxRatio)</x:f>
        <x:v>0</x:v>
      </x:c>
      <x:c r="AP1923" s="32" t="n">
        <x:f>AP1922+AN1923-AO1923</x:f>
        <x:v>0</x:v>
      </x:c>
      <x:c r="AQ1923" s="32" t="n">
        <x:f>AM1923+AO1923</x:f>
        <x:v>0</x:v>
      </x:c>
      <x:c r="AR1923" s="10" t="n">
        <x:f>IF(H1923=1,INDEX(v01_Req,G1923),0)</x:f>
        <x:v>0</x:v>
      </x:c>
      <x:c r="AS1923" s="32" t="n">
        <x:f>IF(H1923=1,IF(E1923=1,AS1922-AR1922,AS1922)+AQ1923,0)</x:f>
        <x:v>0</x:v>
      </x:c>
      <x:c r="AT1923" s="11" t="n">
        <x:f>IF(AR1923&gt;0,MIN(1,AS1923/AR1923),1)</x:f>
        <x:v>1</x:v>
      </x:c>
      <x:c r="AU1923" s="10" t="n">
        <x:f>AB1923/INDEX(v01_RepScale,G1923)</x:f>
        <x:v>90.09519605746344</x:v>
      </x:c>
      <x:c r="AV1923" s="32" t="n">
        <x:f>AM1923*60/v01_SeasonSeconds</x:f>
        <x:v>0</x:v>
      </x:c>
    </x:row>
    <x:row r="1924">
      <x:c r="A1924" s="8" t="n">
        <x:f>A1923+1</x:f>
        <x:v>1921</x:v>
      </x:c>
      <x:c r="B1924" s="9" t="n">
        <x:f>A1924*v01_SeasonSeconds/60</x:f>
        <x:v>480.25</x:v>
      </x:c>
      <x:c r="C1924" s="9" t="n">
        <x:f>A1924/4</x:f>
        <x:v>480.25</x:v>
      </x:c>
      <x:c r="D1924" s="8" t="n">
        <x:f>IF(MOD(A1924,4)=0,1,0)</x:f>
        <x:v>0</x:v>
      </x:c>
      <x:c r="E1924" s="8" t="n">
        <x:f>IF(AND(F1923&lt;=9,AS1923&gt;=AR1923),1,0)</x:f>
        <x:v>0</x:v>
      </x:c>
      <x:c r="F1924" s="8" t="n">
        <x:f>MIN(10,F1923+E1924)</x:f>
        <x:v>10</x:v>
      </x:c>
      <x:c r="G1924" s="8" t="n">
        <x:f>MIN(F1924,9)+1</x:f>
        <x:v>10</x:v>
      </x:c>
      <x:c r="H1924" s="8" t="n">
        <x:f>IF(F1924&lt;=9,1,0)</x:f>
        <x:v>0</x:v>
      </x:c>
      <x:c r="I1924" s="9" t="n">
        <x:f>MIN(10,F1923+IF(AR1923&gt;0,MIN(1,AS1923/AR1923),1))</x:f>
        <x:v>10</x:v>
      </x:c>
      <x:c r="J1924" s="32" t="n">
        <x:f>INDEX(v01_FoodCap,G1924)*Arch_FoodCap*EXP(v01_CapsByProject*SUMPRODUCT((Cap_Point&lt;=I1924)*(Cap_Kind="Food")*Cap_Ln))</x:f>
        <x:v>12000</x:v>
      </x:c>
      <x:c r="K1924" s="32" t="n">
        <x:f>J1924*MIN(1,v01_LeanBase*EXP(v01_CapsByProject*SUMPRODUCT((Cap_Point&lt;=I1924)*(Cap_Kind="Lean")*Cap_Ln)))</x:f>
        <x:v>12000</x:v>
      </x:c>
      <x:c r="L1924" s="10" t="n">
        <x:f>INDEX(v01_HousingCap,G1924)*EXP(v01_CapsByProject*SUMPRODUCT((Cap_Point&lt;=I1924)*(Cap_Kind="Housing")*Cap_Ln))</x:f>
        <x:v>20000</x:v>
      </x:c>
      <x:c r="M1924" s="10" t="n">
        <x:f>INDEX(v01_GroupCap,G1924)*v01_CohesionFactor*EXP(v01_CapsByProject*SUMPRODUCT((Cap_Point&lt;=I1924)*(Cap_Kind="Group")*Cap_Ln))</x:f>
        <x:v>1000000</x:v>
      </x:c>
      <x:c r="N1924" s="32" t="n">
        <x:f>MIN(J1924,L1924,M1924)</x:f>
        <x:v>12000</x:v>
      </x:c>
      <x:c r="O1924" s="10" t="n">
        <x:f>AE1923*N1924</x:f>
        <x:v>180000</x:v>
      </x:c>
      <x:c r="P1924" s="9" t="n">
        <x:f>MIN(1,(AB1923/(AE1923*IF(v01_GroupInCrowding=1,N1924,MIN(J1924,L1924))))^v01_CrowdingExp)</x:f>
        <x:v>0.00024569414295285325</x:v>
      </x:c>
      <x:c r="Q1924" s="9" t="n">
        <x:f>IF(D1924=1,INDEX(v01_WinterMult,G1924),1)</x:f>
        <x:v>1</x:v>
      </x:c>
      <x:c r="R1924" s="9" t="n">
        <x:f>H1924*Z1923*v01_WomenShare*v01_BaseFertility*INDEX(v01_FertMult,G1924)*Arch_Fertility*(1-P1924)</x:f>
        <x:v>0</x:v>
      </x:c>
      <x:c r="S1924" s="9" t="n">
        <x:f>H1924*Y1923*INDEX(v01_MortChild,G1924)/4*Q1924</x:f>
        <x:v>0</x:v>
      </x:c>
      <x:c r="T1924" s="9" t="n">
        <x:f>H1924*Z1923*INDEX(v01_MortAdult,G1924)*Arch_AdultMort/4*Q1924</x:f>
        <x:v>0</x:v>
      </x:c>
      <x:c r="U1924" s="9" t="n">
        <x:f>H1924*AA1923*INDEX(v01_MortElder,G1924)/4*Q1924</x:f>
        <x:v>0</x:v>
      </x:c>
      <x:c r="V1924" s="9" t="n">
        <x:f>H1924*MAX(0,AB1923-O1924)*v01_OvercapLoss</x:f>
        <x:v>0</x:v>
      </x:c>
      <x:c r="W1924" s="9" t="n">
        <x:f>H1924*Y1923/(v01_ChildYears*4)</x:f>
        <x:v>0</x:v>
      </x:c>
      <x:c r="X1924" s="9" t="n">
        <x:f>H1924*Z1923/(v01_AdultYears*4)</x:f>
        <x:v>0</x:v>
      </x:c>
      <x:c r="Y1924" s="32" t="n">
        <x:f>Y1923+R1924-S1924-W1924-Y1923*V1924/AB1923</x:f>
        <x:v>14306.18539759397</x:v>
      </x:c>
      <x:c r="Z1924" s="32" t="n">
        <x:f>Z1923+W1924-X1924-T1924-Z1923*V1924/AB1923</x:f>
        <x:v>19354.456567879548</x:v>
      </x:c>
      <x:c r="AA1924" s="32" t="n">
        <x:f>AA1923+X1924-U1924-AA1923*V1924/AB1923</x:f>
        <x:v>11386.956063258198</x:v>
      </x:c>
      <x:c r="AB1924" s="10" t="n">
        <x:f>Y1924+Z1924+AA1924</x:f>
        <x:v>45047.59802873172</x:v>
      </x:c>
      <x:c r="AC1924" s="8" t="n">
        <x:f>IF(AND(v01_WinterTrigger=1,D1924=1,AB1923/AE1923&gt;=K1924),1,0)</x:f>
        <x:v>0</x:v>
      </x:c>
      <x:c r="AD1924" s="8" t="n">
        <x:f>H1924*IF(AND(OR(AB1923/AE1923&gt;=v01_FissionTrigger*N1924,AC1924=1),AB1923/AE1923*v01_DaughterShare&gt;=v01_MinDaughter),MAX(1,ROUND(AE1923*v01_FissionRate,0)),0)</x:f>
        <x:v>0</x:v>
      </x:c>
      <x:c r="AE1924" s="8" t="n">
        <x:f>IF(H1924=1,MAX(1,MIN(INDEX(v01_Smax,G1924),AE1923+AD1924)),AE1923)</x:f>
        <x:v>15</x:v>
      </x:c>
      <x:c r="AF1924" s="8" t="n">
        <x:f>MAX(0,AE1924-AE1923)</x:f>
        <x:v>0</x:v>
      </x:c>
      <x:c r="AG1924" s="9" t="str">
        <x:f>IF(AF1924&gt;0,B1924,"")</x:f>
      </x:c>
      <x:c r="AH1924" s="9" t="n">
        <x:f>IF(F1924&gt;=1,1,(1+v01_LowTiesShare*(AE1924-1))/AE1924)</x:f>
        <x:v>1</x:v>
      </x:c>
      <x:c r="AI1924" s="32" t="n">
        <x:f>(Z1924+v01_ElderCommons*INDEX(LM_Elder,G1924)*AA1924)*AH1924</x:f>
        <x:v>64139.732591141874</x:v>
      </x:c>
      <x:c r="AJ1924" s="32" t="n">
        <x:f>H1924*v01_CommonsCoef*AI1924^v01_CommonsExp*INDEX(LM_Commons,G1924)</x:f>
        <x:v>0</x:v>
      </x:c>
      <x:c r="AK1924" s="32" t="n">
        <x:f>H1924*v01_RoleScale*Arch_Roles*(AE1924*(INDEX(v01_ElderRolePerSett,G1924)*v01_OutElder*INDEX(LM_Elder,G1924)+INDEX(v01_ShamanPerSett,G1924)*v01_OutShaman)+Z1924*(INDEX(v01_PriestShare,G1924)*v01_OutPriest+INDEX(v01_ScribeShare,G1924)*v01_OutScribe*INDEX(LM_Scribe,G1924)+INDEX(v01_ScholarShare,G1924)*v01_OutScholar*INDEX(LM_Scholar,G1924)+INDEX(v01_ResearcherShare,G1924)*v01_OutResearcher*INDEX(LM_Researcher,G1924)))</x:f>
        <x:v>0</x:v>
      </x:c>
      <x:c r="AL1924" s="32" t="n">
        <x:f>H1924*v01_RoleScale*Arch_Roles*AE1924*INDEX(v01_MonasteryPerSett,G1924)*v01_OutMonastery*INDEX(LM_Monastery,G1924)</x:f>
        <x:v>0</x:v>
      </x:c>
      <x:c r="AM1924" s="32" t="n">
        <x:f>(AJ1924+AK1924+AL1924)/4*INDEX(LM_All,G1924)*INDEX(v01_Boon,G1924)*Arch_Insight</x:f>
        <x:v>0</x:v>
      </x:c>
      <x:c r="AN1924" s="32" t="n">
        <x:f>H1924*(v01_KHPerAdult*Z1924+v01_KHOfCommons*AJ1924/4*INDEX(LM_All,G1924))*v01_KHUsable*Arch_KH</x:f>
        <x:v>0</x:v>
      </x:c>
      <x:c r="AO1924" s="32" t="n">
        <x:f>MIN(AP1923+AN1924,AM1924*v01_KHMaxRatio)</x:f>
        <x:v>0</x:v>
      </x:c>
      <x:c r="AP1924" s="32" t="n">
        <x:f>AP1923+AN1924-AO1924</x:f>
        <x:v>0</x:v>
      </x:c>
      <x:c r="AQ1924" s="32" t="n">
        <x:f>AM1924+AO1924</x:f>
        <x:v>0</x:v>
      </x:c>
      <x:c r="AR1924" s="10" t="n">
        <x:f>IF(H1924=1,INDEX(v01_Req,G1924),0)</x:f>
        <x:v>0</x:v>
      </x:c>
      <x:c r="AS1924" s="32" t="n">
        <x:f>IF(H1924=1,IF(E1924=1,AS1923-AR1923,AS1923)+AQ1924,0)</x:f>
        <x:v>0</x:v>
      </x:c>
      <x:c r="AT1924" s="11" t="n">
        <x:f>IF(AR1924&gt;0,MIN(1,AS1924/AR1924),1)</x:f>
        <x:v>1</x:v>
      </x:c>
      <x:c r="AU1924" s="10" t="n">
        <x:f>AB1924/INDEX(v01_RepScale,G1924)</x:f>
        <x:v>90.09519605746344</x:v>
      </x:c>
      <x:c r="AV1924" s="32" t="n">
        <x:f>AM1924*60/v01_SeasonSeconds</x:f>
        <x:v>0</x:v>
      </x:c>
    </x:row>
    <x:row r="1925">
      <x:c r="A1925" s="8" t="n">
        <x:f>A1924+1</x:f>
        <x:v>1922</x:v>
      </x:c>
      <x:c r="B1925" s="9" t="n">
        <x:f>A1925*v01_SeasonSeconds/60</x:f>
        <x:v>480.5</x:v>
      </x:c>
      <x:c r="C1925" s="9" t="n">
        <x:f>A1925/4</x:f>
        <x:v>480.5</x:v>
      </x:c>
      <x:c r="D1925" s="8" t="n">
        <x:f>IF(MOD(A1925,4)=0,1,0)</x:f>
        <x:v>0</x:v>
      </x:c>
      <x:c r="E1925" s="8" t="n">
        <x:f>IF(AND(F1924&lt;=9,AS1924&gt;=AR1924),1,0)</x:f>
        <x:v>0</x:v>
      </x:c>
      <x:c r="F1925" s="8" t="n">
        <x:f>MIN(10,F1924+E1925)</x:f>
        <x:v>10</x:v>
      </x:c>
      <x:c r="G1925" s="8" t="n">
        <x:f>MIN(F1925,9)+1</x:f>
        <x:v>10</x:v>
      </x:c>
      <x:c r="H1925" s="8" t="n">
        <x:f>IF(F1925&lt;=9,1,0)</x:f>
        <x:v>0</x:v>
      </x:c>
      <x:c r="I1925" s="9" t="n">
        <x:f>MIN(10,F1924+IF(AR1924&gt;0,MIN(1,AS1924/AR1924),1))</x:f>
        <x:v>10</x:v>
      </x:c>
      <x:c r="J1925" s="32" t="n">
        <x:f>INDEX(v01_FoodCap,G1925)*Arch_FoodCap*EXP(v01_CapsByProject*SUMPRODUCT((Cap_Point&lt;=I1925)*(Cap_Kind="Food")*Cap_Ln))</x:f>
        <x:v>12000</x:v>
      </x:c>
      <x:c r="K1925" s="32" t="n">
        <x:f>J1925*MIN(1,v01_LeanBase*EXP(v01_CapsByProject*SUMPRODUCT((Cap_Point&lt;=I1925)*(Cap_Kind="Lean")*Cap_Ln)))</x:f>
        <x:v>12000</x:v>
      </x:c>
      <x:c r="L1925" s="10" t="n">
        <x:f>INDEX(v01_HousingCap,G1925)*EXP(v01_CapsByProject*SUMPRODUCT((Cap_Point&lt;=I1925)*(Cap_Kind="Housing")*Cap_Ln))</x:f>
        <x:v>20000</x:v>
      </x:c>
      <x:c r="M1925" s="10" t="n">
        <x:f>INDEX(v01_GroupCap,G1925)*v01_CohesionFactor*EXP(v01_CapsByProject*SUMPRODUCT((Cap_Point&lt;=I1925)*(Cap_Kind="Group")*Cap_Ln))</x:f>
        <x:v>1000000</x:v>
      </x:c>
      <x:c r="N1925" s="32" t="n">
        <x:f>MIN(J1925,L1925,M1925)</x:f>
        <x:v>12000</x:v>
      </x:c>
      <x:c r="O1925" s="10" t="n">
        <x:f>AE1924*N1925</x:f>
        <x:v>180000</x:v>
      </x:c>
      <x:c r="P1925" s="9" t="n">
        <x:f>MIN(1,(AB1924/(AE1924*IF(v01_GroupInCrowding=1,N1925,MIN(J1925,L1925))))^v01_CrowdingExp)</x:f>
        <x:v>0.00024569414295285325</x:v>
      </x:c>
      <x:c r="Q1925" s="9" t="n">
        <x:f>IF(D1925=1,INDEX(v01_WinterMult,G1925),1)</x:f>
        <x:v>1</x:v>
      </x:c>
      <x:c r="R1925" s="9" t="n">
        <x:f>H1925*Z1924*v01_WomenShare*v01_BaseFertility*INDEX(v01_FertMult,G1925)*Arch_Fertility*(1-P1925)</x:f>
        <x:v>0</x:v>
      </x:c>
      <x:c r="S1925" s="9" t="n">
        <x:f>H1925*Y1924*INDEX(v01_MortChild,G1925)/4*Q1925</x:f>
        <x:v>0</x:v>
      </x:c>
      <x:c r="T1925" s="9" t="n">
        <x:f>H1925*Z1924*INDEX(v01_MortAdult,G1925)*Arch_AdultMort/4*Q1925</x:f>
        <x:v>0</x:v>
      </x:c>
      <x:c r="U1925" s="9" t="n">
        <x:f>H1925*AA1924*INDEX(v01_MortElder,G1925)/4*Q1925</x:f>
        <x:v>0</x:v>
      </x:c>
      <x:c r="V1925" s="9" t="n">
        <x:f>H1925*MAX(0,AB1924-O1925)*v01_OvercapLoss</x:f>
        <x:v>0</x:v>
      </x:c>
      <x:c r="W1925" s="9" t="n">
        <x:f>H1925*Y1924/(v01_ChildYears*4)</x:f>
        <x:v>0</x:v>
      </x:c>
      <x:c r="X1925" s="9" t="n">
        <x:f>H1925*Z1924/(v01_AdultYears*4)</x:f>
        <x:v>0</x:v>
      </x:c>
      <x:c r="Y1925" s="32" t="n">
        <x:f>Y1924+R1925-S1925-W1925-Y1924*V1925/AB1924</x:f>
        <x:v>14306.18539759397</x:v>
      </x:c>
      <x:c r="Z1925" s="32" t="n">
        <x:f>Z1924+W1925-X1925-T1925-Z1924*V1925/AB1924</x:f>
        <x:v>19354.456567879548</x:v>
      </x:c>
      <x:c r="AA1925" s="32" t="n">
        <x:f>AA1924+X1925-U1925-AA1924*V1925/AB1924</x:f>
        <x:v>11386.956063258198</x:v>
      </x:c>
      <x:c r="AB1925" s="10" t="n">
        <x:f>Y1925+Z1925+AA1925</x:f>
        <x:v>45047.59802873172</x:v>
      </x:c>
      <x:c r="AC1925" s="8" t="n">
        <x:f>IF(AND(v01_WinterTrigger=1,D1925=1,AB1924/AE1924&gt;=K1925),1,0)</x:f>
        <x:v>0</x:v>
      </x:c>
      <x:c r="AD1925" s="8" t="n">
        <x:f>H1925*IF(AND(OR(AB1924/AE1924&gt;=v01_FissionTrigger*N1925,AC1925=1),AB1924/AE1924*v01_DaughterShare&gt;=v01_MinDaughter),MAX(1,ROUND(AE1924*v01_FissionRate,0)),0)</x:f>
        <x:v>0</x:v>
      </x:c>
      <x:c r="AE1925" s="8" t="n">
        <x:f>IF(H1925=1,MAX(1,MIN(INDEX(v01_Smax,G1925),AE1924+AD1925)),AE1924)</x:f>
        <x:v>15</x:v>
      </x:c>
      <x:c r="AF1925" s="8" t="n">
        <x:f>MAX(0,AE1925-AE1924)</x:f>
        <x:v>0</x:v>
      </x:c>
      <x:c r="AG1925" s="9" t="str">
        <x:f>IF(AF1925&gt;0,B1925,"")</x:f>
      </x:c>
      <x:c r="AH1925" s="9" t="n">
        <x:f>IF(F1925&gt;=1,1,(1+v01_LowTiesShare*(AE1925-1))/AE1925)</x:f>
        <x:v>1</x:v>
      </x:c>
      <x:c r="AI1925" s="32" t="n">
        <x:f>(Z1925+v01_ElderCommons*INDEX(LM_Elder,G1925)*AA1925)*AH1925</x:f>
        <x:v>64139.732591141874</x:v>
      </x:c>
      <x:c r="AJ1925" s="32" t="n">
        <x:f>H1925*v01_CommonsCoef*AI1925^v01_CommonsExp*INDEX(LM_Commons,G1925)</x:f>
        <x:v>0</x:v>
      </x:c>
      <x:c r="AK1925" s="32" t="n">
        <x:f>H1925*v01_RoleScale*Arch_Roles*(AE1925*(INDEX(v01_ElderRolePerSett,G1925)*v01_OutElder*INDEX(LM_Elder,G1925)+INDEX(v01_ShamanPerSett,G1925)*v01_OutShaman)+Z1925*(INDEX(v01_PriestShare,G1925)*v01_OutPriest+INDEX(v01_ScribeShare,G1925)*v01_OutScribe*INDEX(LM_Scribe,G1925)+INDEX(v01_ScholarShare,G1925)*v01_OutScholar*INDEX(LM_Scholar,G1925)+INDEX(v01_ResearcherShare,G1925)*v01_OutResearcher*INDEX(LM_Researcher,G1925)))</x:f>
        <x:v>0</x:v>
      </x:c>
      <x:c r="AL1925" s="32" t="n">
        <x:f>H1925*v01_RoleScale*Arch_Roles*AE1925*INDEX(v01_MonasteryPerSett,G1925)*v01_OutMonastery*INDEX(LM_Monastery,G1925)</x:f>
        <x:v>0</x:v>
      </x:c>
      <x:c r="AM1925" s="32" t="n">
        <x:f>(AJ1925+AK1925+AL1925)/4*INDEX(LM_All,G1925)*INDEX(v01_Boon,G1925)*Arch_Insight</x:f>
        <x:v>0</x:v>
      </x:c>
      <x:c r="AN1925" s="32" t="n">
        <x:f>H1925*(v01_KHPerAdult*Z1925+v01_KHOfCommons*AJ1925/4*INDEX(LM_All,G1925))*v01_KHUsable*Arch_KH</x:f>
        <x:v>0</x:v>
      </x:c>
      <x:c r="AO1925" s="32" t="n">
        <x:f>MIN(AP1924+AN1925,AM1925*v01_KHMaxRatio)</x:f>
        <x:v>0</x:v>
      </x:c>
      <x:c r="AP1925" s="32" t="n">
        <x:f>AP1924+AN1925-AO1925</x:f>
        <x:v>0</x:v>
      </x:c>
      <x:c r="AQ1925" s="32" t="n">
        <x:f>AM1925+AO1925</x:f>
        <x:v>0</x:v>
      </x:c>
      <x:c r="AR1925" s="10" t="n">
        <x:f>IF(H1925=1,INDEX(v01_Req,G1925),0)</x:f>
        <x:v>0</x:v>
      </x:c>
      <x:c r="AS1925" s="32" t="n">
        <x:f>IF(H1925=1,IF(E1925=1,AS1924-AR1924,AS1924)+AQ1925,0)</x:f>
        <x:v>0</x:v>
      </x:c>
      <x:c r="AT1925" s="11" t="n">
        <x:f>IF(AR1925&gt;0,MIN(1,AS1925/AR1925),1)</x:f>
        <x:v>1</x:v>
      </x:c>
      <x:c r="AU1925" s="10" t="n">
        <x:f>AB1925/INDEX(v01_RepScale,G1925)</x:f>
        <x:v>90.09519605746344</x:v>
      </x:c>
      <x:c r="AV1925" s="32" t="n">
        <x:f>AM1925*60/v01_SeasonSeconds</x:f>
        <x:v>0</x:v>
      </x:c>
    </x:row>
    <x:row r="1926">
      <x:c r="A1926" s="8" t="n">
        <x:f>A1925+1</x:f>
        <x:v>1923</x:v>
      </x:c>
      <x:c r="B1926" s="9" t="n">
        <x:f>A1926*v01_SeasonSeconds/60</x:f>
        <x:v>480.75</x:v>
      </x:c>
      <x:c r="C1926" s="9" t="n">
        <x:f>A1926/4</x:f>
        <x:v>480.75</x:v>
      </x:c>
      <x:c r="D1926" s="8" t="n">
        <x:f>IF(MOD(A1926,4)=0,1,0)</x:f>
        <x:v>0</x:v>
      </x:c>
      <x:c r="E1926" s="8" t="n">
        <x:f>IF(AND(F1925&lt;=9,AS1925&gt;=AR1925),1,0)</x:f>
        <x:v>0</x:v>
      </x:c>
      <x:c r="F1926" s="8" t="n">
        <x:f>MIN(10,F1925+E1926)</x:f>
        <x:v>10</x:v>
      </x:c>
      <x:c r="G1926" s="8" t="n">
        <x:f>MIN(F1926,9)+1</x:f>
        <x:v>10</x:v>
      </x:c>
      <x:c r="H1926" s="8" t="n">
        <x:f>IF(F1926&lt;=9,1,0)</x:f>
        <x:v>0</x:v>
      </x:c>
      <x:c r="I1926" s="9" t="n">
        <x:f>MIN(10,F1925+IF(AR1925&gt;0,MIN(1,AS1925/AR1925),1))</x:f>
        <x:v>10</x:v>
      </x:c>
      <x:c r="J1926" s="32" t="n">
        <x:f>INDEX(v01_FoodCap,G1926)*Arch_FoodCap*EXP(v01_CapsByProject*SUMPRODUCT((Cap_Point&lt;=I1926)*(Cap_Kind="Food")*Cap_Ln))</x:f>
        <x:v>12000</x:v>
      </x:c>
      <x:c r="K1926" s="32" t="n">
        <x:f>J1926*MIN(1,v01_LeanBase*EXP(v01_CapsByProject*SUMPRODUCT((Cap_Point&lt;=I1926)*(Cap_Kind="Lean")*Cap_Ln)))</x:f>
        <x:v>12000</x:v>
      </x:c>
      <x:c r="L1926" s="10" t="n">
        <x:f>INDEX(v01_HousingCap,G1926)*EXP(v01_CapsByProject*SUMPRODUCT((Cap_Point&lt;=I1926)*(Cap_Kind="Housing")*Cap_Ln))</x:f>
        <x:v>20000</x:v>
      </x:c>
      <x:c r="M1926" s="10" t="n">
        <x:f>INDEX(v01_GroupCap,G1926)*v01_CohesionFactor*EXP(v01_CapsByProject*SUMPRODUCT((Cap_Point&lt;=I1926)*(Cap_Kind="Group")*Cap_Ln))</x:f>
        <x:v>1000000</x:v>
      </x:c>
      <x:c r="N1926" s="32" t="n">
        <x:f>MIN(J1926,L1926,M1926)</x:f>
        <x:v>12000</x:v>
      </x:c>
      <x:c r="O1926" s="10" t="n">
        <x:f>AE1925*N1926</x:f>
        <x:v>180000</x:v>
      </x:c>
      <x:c r="P1926" s="9" t="n">
        <x:f>MIN(1,(AB1925/(AE1925*IF(v01_GroupInCrowding=1,N1926,MIN(J1926,L1926))))^v01_CrowdingExp)</x:f>
        <x:v>0.00024569414295285325</x:v>
      </x:c>
      <x:c r="Q1926" s="9" t="n">
        <x:f>IF(D1926=1,INDEX(v01_WinterMult,G1926),1)</x:f>
        <x:v>1</x:v>
      </x:c>
      <x:c r="R1926" s="9" t="n">
        <x:f>H1926*Z1925*v01_WomenShare*v01_BaseFertility*INDEX(v01_FertMult,G1926)*Arch_Fertility*(1-P1926)</x:f>
        <x:v>0</x:v>
      </x:c>
      <x:c r="S1926" s="9" t="n">
        <x:f>H1926*Y1925*INDEX(v01_MortChild,G1926)/4*Q1926</x:f>
        <x:v>0</x:v>
      </x:c>
      <x:c r="T1926" s="9" t="n">
        <x:f>H1926*Z1925*INDEX(v01_MortAdult,G1926)*Arch_AdultMort/4*Q1926</x:f>
        <x:v>0</x:v>
      </x:c>
      <x:c r="U1926" s="9" t="n">
        <x:f>H1926*AA1925*INDEX(v01_MortElder,G1926)/4*Q1926</x:f>
        <x:v>0</x:v>
      </x:c>
      <x:c r="V1926" s="9" t="n">
        <x:f>H1926*MAX(0,AB1925-O1926)*v01_OvercapLoss</x:f>
        <x:v>0</x:v>
      </x:c>
      <x:c r="W1926" s="9" t="n">
        <x:f>H1926*Y1925/(v01_ChildYears*4)</x:f>
        <x:v>0</x:v>
      </x:c>
      <x:c r="X1926" s="9" t="n">
        <x:f>H1926*Z1925/(v01_AdultYears*4)</x:f>
        <x:v>0</x:v>
      </x:c>
      <x:c r="Y1926" s="32" t="n">
        <x:f>Y1925+R1926-S1926-W1926-Y1925*V1926/AB1925</x:f>
        <x:v>14306.18539759397</x:v>
      </x:c>
      <x:c r="Z1926" s="32" t="n">
        <x:f>Z1925+W1926-X1926-T1926-Z1925*V1926/AB1925</x:f>
        <x:v>19354.456567879548</x:v>
      </x:c>
      <x:c r="AA1926" s="32" t="n">
        <x:f>AA1925+X1926-U1926-AA1925*V1926/AB1925</x:f>
        <x:v>11386.956063258198</x:v>
      </x:c>
      <x:c r="AB1926" s="10" t="n">
        <x:f>Y1926+Z1926+AA1926</x:f>
        <x:v>45047.59802873172</x:v>
      </x:c>
      <x:c r="AC1926" s="8" t="n">
        <x:f>IF(AND(v01_WinterTrigger=1,D1926=1,AB1925/AE1925&gt;=K1926),1,0)</x:f>
        <x:v>0</x:v>
      </x:c>
      <x:c r="AD1926" s="8" t="n">
        <x:f>H1926*IF(AND(OR(AB1925/AE1925&gt;=v01_FissionTrigger*N1926,AC1926=1),AB1925/AE1925*v01_DaughterShare&gt;=v01_MinDaughter),MAX(1,ROUND(AE1925*v01_FissionRate,0)),0)</x:f>
        <x:v>0</x:v>
      </x:c>
      <x:c r="AE1926" s="8" t="n">
        <x:f>IF(H1926=1,MAX(1,MIN(INDEX(v01_Smax,G1926),AE1925+AD1926)),AE1925)</x:f>
        <x:v>15</x:v>
      </x:c>
      <x:c r="AF1926" s="8" t="n">
        <x:f>MAX(0,AE1926-AE1925)</x:f>
        <x:v>0</x:v>
      </x:c>
      <x:c r="AG1926" s="9" t="str">
        <x:f>IF(AF1926&gt;0,B1926,"")</x:f>
      </x:c>
      <x:c r="AH1926" s="9" t="n">
        <x:f>IF(F1926&gt;=1,1,(1+v01_LowTiesShare*(AE1926-1))/AE1926)</x:f>
        <x:v>1</x:v>
      </x:c>
      <x:c r="AI1926" s="32" t="n">
        <x:f>(Z1926+v01_ElderCommons*INDEX(LM_Elder,G1926)*AA1926)*AH1926</x:f>
        <x:v>64139.732591141874</x:v>
      </x:c>
      <x:c r="AJ1926" s="32" t="n">
        <x:f>H1926*v01_CommonsCoef*AI1926^v01_CommonsExp*INDEX(LM_Commons,G1926)</x:f>
        <x:v>0</x:v>
      </x:c>
      <x:c r="AK1926" s="32" t="n">
        <x:f>H1926*v01_RoleScale*Arch_Roles*(AE1926*(INDEX(v01_ElderRolePerSett,G1926)*v01_OutElder*INDEX(LM_Elder,G1926)+INDEX(v01_ShamanPerSett,G1926)*v01_OutShaman)+Z1926*(INDEX(v01_PriestShare,G1926)*v01_OutPriest+INDEX(v01_ScribeShare,G1926)*v01_OutScribe*INDEX(LM_Scribe,G1926)+INDEX(v01_ScholarShare,G1926)*v01_OutScholar*INDEX(LM_Scholar,G1926)+INDEX(v01_ResearcherShare,G1926)*v01_OutResearcher*INDEX(LM_Researcher,G1926)))</x:f>
        <x:v>0</x:v>
      </x:c>
      <x:c r="AL1926" s="32" t="n">
        <x:f>H1926*v01_RoleScale*Arch_Roles*AE1926*INDEX(v01_MonasteryPerSett,G1926)*v01_OutMonastery*INDEX(LM_Monastery,G1926)</x:f>
        <x:v>0</x:v>
      </x:c>
      <x:c r="AM1926" s="32" t="n">
        <x:f>(AJ1926+AK1926+AL1926)/4*INDEX(LM_All,G1926)*INDEX(v01_Boon,G1926)*Arch_Insight</x:f>
        <x:v>0</x:v>
      </x:c>
      <x:c r="AN1926" s="32" t="n">
        <x:f>H1926*(v01_KHPerAdult*Z1926+v01_KHOfCommons*AJ1926/4*INDEX(LM_All,G1926))*v01_KHUsable*Arch_KH</x:f>
        <x:v>0</x:v>
      </x:c>
      <x:c r="AO1926" s="32" t="n">
        <x:f>MIN(AP1925+AN1926,AM1926*v01_KHMaxRatio)</x:f>
        <x:v>0</x:v>
      </x:c>
      <x:c r="AP1926" s="32" t="n">
        <x:f>AP1925+AN1926-AO1926</x:f>
        <x:v>0</x:v>
      </x:c>
      <x:c r="AQ1926" s="32" t="n">
        <x:f>AM1926+AO1926</x:f>
        <x:v>0</x:v>
      </x:c>
      <x:c r="AR1926" s="10" t="n">
        <x:f>IF(H1926=1,INDEX(v01_Req,G1926),0)</x:f>
        <x:v>0</x:v>
      </x:c>
      <x:c r="AS1926" s="32" t="n">
        <x:f>IF(H1926=1,IF(E1926=1,AS1925-AR1925,AS1925)+AQ1926,0)</x:f>
        <x:v>0</x:v>
      </x:c>
      <x:c r="AT1926" s="11" t="n">
        <x:f>IF(AR1926&gt;0,MIN(1,AS1926/AR1926),1)</x:f>
        <x:v>1</x:v>
      </x:c>
      <x:c r="AU1926" s="10" t="n">
        <x:f>AB1926/INDEX(v01_RepScale,G1926)</x:f>
        <x:v>90.09519605746344</x:v>
      </x:c>
      <x:c r="AV1926" s="32" t="n">
        <x:f>AM1926*60/v01_SeasonSeconds</x:f>
        <x:v>0</x:v>
      </x:c>
    </x:row>
    <x:row r="1927">
      <x:c r="A1927" s="8" t="n">
        <x:f>A1926+1</x:f>
        <x:v>1924</x:v>
      </x:c>
      <x:c r="B1927" s="9" t="n">
        <x:f>A1927*v01_SeasonSeconds/60</x:f>
        <x:v>481</x:v>
      </x:c>
      <x:c r="C1927" s="9" t="n">
        <x:f>A1927/4</x:f>
        <x:v>481</x:v>
      </x:c>
      <x:c r="D1927" s="8" t="n">
        <x:f>IF(MOD(A1927,4)=0,1,0)</x:f>
        <x:v>1</x:v>
      </x:c>
      <x:c r="E1927" s="8" t="n">
        <x:f>IF(AND(F1926&lt;=9,AS1926&gt;=AR1926),1,0)</x:f>
        <x:v>0</x:v>
      </x:c>
      <x:c r="F1927" s="8" t="n">
        <x:f>MIN(10,F1926+E1927)</x:f>
        <x:v>10</x:v>
      </x:c>
      <x:c r="G1927" s="8" t="n">
        <x:f>MIN(F1927,9)+1</x:f>
        <x:v>10</x:v>
      </x:c>
      <x:c r="H1927" s="8" t="n">
        <x:f>IF(F1927&lt;=9,1,0)</x:f>
        <x:v>0</x:v>
      </x:c>
      <x:c r="I1927" s="9" t="n">
        <x:f>MIN(10,F1926+IF(AR1926&gt;0,MIN(1,AS1926/AR1926),1))</x:f>
        <x:v>10</x:v>
      </x:c>
      <x:c r="J1927" s="32" t="n">
        <x:f>INDEX(v01_FoodCap,G1927)*Arch_FoodCap*EXP(v01_CapsByProject*SUMPRODUCT((Cap_Point&lt;=I1927)*(Cap_Kind="Food")*Cap_Ln))</x:f>
        <x:v>12000</x:v>
      </x:c>
      <x:c r="K1927" s="32" t="n">
        <x:f>J1927*MIN(1,v01_LeanBase*EXP(v01_CapsByProject*SUMPRODUCT((Cap_Point&lt;=I1927)*(Cap_Kind="Lean")*Cap_Ln)))</x:f>
        <x:v>12000</x:v>
      </x:c>
      <x:c r="L1927" s="10" t="n">
        <x:f>INDEX(v01_HousingCap,G1927)*EXP(v01_CapsByProject*SUMPRODUCT((Cap_Point&lt;=I1927)*(Cap_Kind="Housing")*Cap_Ln))</x:f>
        <x:v>20000</x:v>
      </x:c>
      <x:c r="M1927" s="10" t="n">
        <x:f>INDEX(v01_GroupCap,G1927)*v01_CohesionFactor*EXP(v01_CapsByProject*SUMPRODUCT((Cap_Point&lt;=I1927)*(Cap_Kind="Group")*Cap_Ln))</x:f>
        <x:v>1000000</x:v>
      </x:c>
      <x:c r="N1927" s="32" t="n">
        <x:f>MIN(J1927,L1927,M1927)</x:f>
        <x:v>12000</x:v>
      </x:c>
      <x:c r="O1927" s="10" t="n">
        <x:f>AE1926*N1927</x:f>
        <x:v>180000</x:v>
      </x:c>
      <x:c r="P1927" s="9" t="n">
        <x:f>MIN(1,(AB1926/(AE1926*IF(v01_GroupInCrowding=1,N1927,MIN(J1927,L1927))))^v01_CrowdingExp)</x:f>
        <x:v>0.00024569414295285325</x:v>
      </x:c>
      <x:c r="Q1927" s="9" t="n">
        <x:f>IF(D1927=1,INDEX(v01_WinterMult,G1927),1)</x:f>
        <x:v>1</x:v>
      </x:c>
      <x:c r="R1927" s="9" t="n">
        <x:f>H1927*Z1926*v01_WomenShare*v01_BaseFertility*INDEX(v01_FertMult,G1927)*Arch_Fertility*(1-P1927)</x:f>
        <x:v>0</x:v>
      </x:c>
      <x:c r="S1927" s="9" t="n">
        <x:f>H1927*Y1926*INDEX(v01_MortChild,G1927)/4*Q1927</x:f>
        <x:v>0</x:v>
      </x:c>
      <x:c r="T1927" s="9" t="n">
        <x:f>H1927*Z1926*INDEX(v01_MortAdult,G1927)*Arch_AdultMort/4*Q1927</x:f>
        <x:v>0</x:v>
      </x:c>
      <x:c r="U1927" s="9" t="n">
        <x:f>H1927*AA1926*INDEX(v01_MortElder,G1927)/4*Q1927</x:f>
        <x:v>0</x:v>
      </x:c>
      <x:c r="V1927" s="9" t="n">
        <x:f>H1927*MAX(0,AB1926-O1927)*v01_OvercapLoss</x:f>
        <x:v>0</x:v>
      </x:c>
      <x:c r="W1927" s="9" t="n">
        <x:f>H1927*Y1926/(v01_ChildYears*4)</x:f>
        <x:v>0</x:v>
      </x:c>
      <x:c r="X1927" s="9" t="n">
        <x:f>H1927*Z1926/(v01_AdultYears*4)</x:f>
        <x:v>0</x:v>
      </x:c>
      <x:c r="Y1927" s="32" t="n">
        <x:f>Y1926+R1927-S1927-W1927-Y1926*V1927/AB1926</x:f>
        <x:v>14306.18539759397</x:v>
      </x:c>
      <x:c r="Z1927" s="32" t="n">
        <x:f>Z1926+W1927-X1927-T1927-Z1926*V1927/AB1926</x:f>
        <x:v>19354.456567879548</x:v>
      </x:c>
      <x:c r="AA1927" s="32" t="n">
        <x:f>AA1926+X1927-U1927-AA1926*V1927/AB1926</x:f>
        <x:v>11386.956063258198</x:v>
      </x:c>
      <x:c r="AB1927" s="10" t="n">
        <x:f>Y1927+Z1927+AA1927</x:f>
        <x:v>45047.59802873172</x:v>
      </x:c>
      <x:c r="AC1927" s="8" t="n">
        <x:f>IF(AND(v01_WinterTrigger=1,D1927=1,AB1926/AE1926&gt;=K1927),1,0)</x:f>
        <x:v>0</x:v>
      </x:c>
      <x:c r="AD1927" s="8" t="n">
        <x:f>H1927*IF(AND(OR(AB1926/AE1926&gt;=v01_FissionTrigger*N1927,AC1927=1),AB1926/AE1926*v01_DaughterShare&gt;=v01_MinDaughter),MAX(1,ROUND(AE1926*v01_FissionRate,0)),0)</x:f>
        <x:v>0</x:v>
      </x:c>
      <x:c r="AE1927" s="8" t="n">
        <x:f>IF(H1927=1,MAX(1,MIN(INDEX(v01_Smax,G1927),AE1926+AD1927)),AE1926)</x:f>
        <x:v>15</x:v>
      </x:c>
      <x:c r="AF1927" s="8" t="n">
        <x:f>MAX(0,AE1927-AE1926)</x:f>
        <x:v>0</x:v>
      </x:c>
      <x:c r="AG1927" s="9" t="str">
        <x:f>IF(AF1927&gt;0,B1927,"")</x:f>
      </x:c>
      <x:c r="AH1927" s="9" t="n">
        <x:f>IF(F1927&gt;=1,1,(1+v01_LowTiesShare*(AE1927-1))/AE1927)</x:f>
        <x:v>1</x:v>
      </x:c>
      <x:c r="AI1927" s="32" t="n">
        <x:f>(Z1927+v01_ElderCommons*INDEX(LM_Elder,G1927)*AA1927)*AH1927</x:f>
        <x:v>64139.732591141874</x:v>
      </x:c>
      <x:c r="AJ1927" s="32" t="n">
        <x:f>H1927*v01_CommonsCoef*AI1927^v01_CommonsExp*INDEX(LM_Commons,G1927)</x:f>
        <x:v>0</x:v>
      </x:c>
      <x:c r="AK1927" s="32" t="n">
        <x:f>H1927*v01_RoleScale*Arch_Roles*(AE1927*(INDEX(v01_ElderRolePerSett,G1927)*v01_OutElder*INDEX(LM_Elder,G1927)+INDEX(v01_ShamanPerSett,G1927)*v01_OutShaman)+Z1927*(INDEX(v01_PriestShare,G1927)*v01_OutPriest+INDEX(v01_ScribeShare,G1927)*v01_OutScribe*INDEX(LM_Scribe,G1927)+INDEX(v01_ScholarShare,G1927)*v01_OutScholar*INDEX(LM_Scholar,G1927)+INDEX(v01_ResearcherShare,G1927)*v01_OutResearcher*INDEX(LM_Researcher,G1927)))</x:f>
        <x:v>0</x:v>
      </x:c>
      <x:c r="AL1927" s="32" t="n">
        <x:f>H1927*v01_RoleScale*Arch_Roles*AE1927*INDEX(v01_MonasteryPerSett,G1927)*v01_OutMonastery*INDEX(LM_Monastery,G1927)</x:f>
        <x:v>0</x:v>
      </x:c>
      <x:c r="AM1927" s="32" t="n">
        <x:f>(AJ1927+AK1927+AL1927)/4*INDEX(LM_All,G1927)*INDEX(v01_Boon,G1927)*Arch_Insight</x:f>
        <x:v>0</x:v>
      </x:c>
      <x:c r="AN1927" s="32" t="n">
        <x:f>H1927*(v01_KHPerAdult*Z1927+v01_KHOfCommons*AJ1927/4*INDEX(LM_All,G1927))*v01_KHUsable*Arch_KH</x:f>
        <x:v>0</x:v>
      </x:c>
      <x:c r="AO1927" s="32" t="n">
        <x:f>MIN(AP1926+AN1927,AM1927*v01_KHMaxRatio)</x:f>
        <x:v>0</x:v>
      </x:c>
      <x:c r="AP1927" s="32" t="n">
        <x:f>AP1926+AN1927-AO1927</x:f>
        <x:v>0</x:v>
      </x:c>
      <x:c r="AQ1927" s="32" t="n">
        <x:f>AM1927+AO1927</x:f>
        <x:v>0</x:v>
      </x:c>
      <x:c r="AR1927" s="10" t="n">
        <x:f>IF(H1927=1,INDEX(v01_Req,G1927),0)</x:f>
        <x:v>0</x:v>
      </x:c>
      <x:c r="AS1927" s="32" t="n">
        <x:f>IF(H1927=1,IF(E1927=1,AS1926-AR1926,AS1926)+AQ1927,0)</x:f>
        <x:v>0</x:v>
      </x:c>
      <x:c r="AT1927" s="11" t="n">
        <x:f>IF(AR1927&gt;0,MIN(1,AS1927/AR1927),1)</x:f>
        <x:v>1</x:v>
      </x:c>
      <x:c r="AU1927" s="10" t="n">
        <x:f>AB1927/INDEX(v01_RepScale,G1927)</x:f>
        <x:v>90.09519605746344</x:v>
      </x:c>
      <x:c r="AV1927" s="32" t="n">
        <x:f>AM1927*60/v01_SeasonSeconds</x:f>
        <x:v>0</x:v>
      </x:c>
    </x:row>
    <x:row r="1928">
      <x:c r="A1928" s="8" t="n">
        <x:f>A1927+1</x:f>
        <x:v>1925</x:v>
      </x:c>
      <x:c r="B1928" s="9" t="n">
        <x:f>A1928*v01_SeasonSeconds/60</x:f>
        <x:v>481.25</x:v>
      </x:c>
      <x:c r="C1928" s="9" t="n">
        <x:f>A1928/4</x:f>
        <x:v>481.25</x:v>
      </x:c>
      <x:c r="D1928" s="8" t="n">
        <x:f>IF(MOD(A1928,4)=0,1,0)</x:f>
        <x:v>0</x:v>
      </x:c>
      <x:c r="E1928" s="8" t="n">
        <x:f>IF(AND(F1927&lt;=9,AS1927&gt;=AR1927),1,0)</x:f>
        <x:v>0</x:v>
      </x:c>
      <x:c r="F1928" s="8" t="n">
        <x:f>MIN(10,F1927+E1928)</x:f>
        <x:v>10</x:v>
      </x:c>
      <x:c r="G1928" s="8" t="n">
        <x:f>MIN(F1928,9)+1</x:f>
        <x:v>10</x:v>
      </x:c>
      <x:c r="H1928" s="8" t="n">
        <x:f>IF(F1928&lt;=9,1,0)</x:f>
        <x:v>0</x:v>
      </x:c>
      <x:c r="I1928" s="9" t="n">
        <x:f>MIN(10,F1927+IF(AR1927&gt;0,MIN(1,AS1927/AR1927),1))</x:f>
        <x:v>10</x:v>
      </x:c>
      <x:c r="J1928" s="32" t="n">
        <x:f>INDEX(v01_FoodCap,G1928)*Arch_FoodCap*EXP(v01_CapsByProject*SUMPRODUCT((Cap_Point&lt;=I1928)*(Cap_Kind="Food")*Cap_Ln))</x:f>
        <x:v>12000</x:v>
      </x:c>
      <x:c r="K1928" s="32" t="n">
        <x:f>J1928*MIN(1,v01_LeanBase*EXP(v01_CapsByProject*SUMPRODUCT((Cap_Point&lt;=I1928)*(Cap_Kind="Lean")*Cap_Ln)))</x:f>
        <x:v>12000</x:v>
      </x:c>
      <x:c r="L1928" s="10" t="n">
        <x:f>INDEX(v01_HousingCap,G1928)*EXP(v01_CapsByProject*SUMPRODUCT((Cap_Point&lt;=I1928)*(Cap_Kind="Housing")*Cap_Ln))</x:f>
        <x:v>20000</x:v>
      </x:c>
      <x:c r="M1928" s="10" t="n">
        <x:f>INDEX(v01_GroupCap,G1928)*v01_CohesionFactor*EXP(v01_CapsByProject*SUMPRODUCT((Cap_Point&lt;=I1928)*(Cap_Kind="Group")*Cap_Ln))</x:f>
        <x:v>1000000</x:v>
      </x:c>
      <x:c r="N1928" s="32" t="n">
        <x:f>MIN(J1928,L1928,M1928)</x:f>
        <x:v>12000</x:v>
      </x:c>
      <x:c r="O1928" s="10" t="n">
        <x:f>AE1927*N1928</x:f>
        <x:v>180000</x:v>
      </x:c>
      <x:c r="P1928" s="9" t="n">
        <x:f>MIN(1,(AB1927/(AE1927*IF(v01_GroupInCrowding=1,N1928,MIN(J1928,L1928))))^v01_CrowdingExp)</x:f>
        <x:v>0.00024569414295285325</x:v>
      </x:c>
      <x:c r="Q1928" s="9" t="n">
        <x:f>IF(D1928=1,INDEX(v01_WinterMult,G1928),1)</x:f>
        <x:v>1</x:v>
      </x:c>
      <x:c r="R1928" s="9" t="n">
        <x:f>H1928*Z1927*v01_WomenShare*v01_BaseFertility*INDEX(v01_FertMult,G1928)*Arch_Fertility*(1-P1928)</x:f>
        <x:v>0</x:v>
      </x:c>
      <x:c r="S1928" s="9" t="n">
        <x:f>H1928*Y1927*INDEX(v01_MortChild,G1928)/4*Q1928</x:f>
        <x:v>0</x:v>
      </x:c>
      <x:c r="T1928" s="9" t="n">
        <x:f>H1928*Z1927*INDEX(v01_MortAdult,G1928)*Arch_AdultMort/4*Q1928</x:f>
        <x:v>0</x:v>
      </x:c>
      <x:c r="U1928" s="9" t="n">
        <x:f>H1928*AA1927*INDEX(v01_MortElder,G1928)/4*Q1928</x:f>
        <x:v>0</x:v>
      </x:c>
      <x:c r="V1928" s="9" t="n">
        <x:f>H1928*MAX(0,AB1927-O1928)*v01_OvercapLoss</x:f>
        <x:v>0</x:v>
      </x:c>
      <x:c r="W1928" s="9" t="n">
        <x:f>H1928*Y1927/(v01_ChildYears*4)</x:f>
        <x:v>0</x:v>
      </x:c>
      <x:c r="X1928" s="9" t="n">
        <x:f>H1928*Z1927/(v01_AdultYears*4)</x:f>
        <x:v>0</x:v>
      </x:c>
      <x:c r="Y1928" s="32" t="n">
        <x:f>Y1927+R1928-S1928-W1928-Y1927*V1928/AB1927</x:f>
        <x:v>14306.18539759397</x:v>
      </x:c>
      <x:c r="Z1928" s="32" t="n">
        <x:f>Z1927+W1928-X1928-T1928-Z1927*V1928/AB1927</x:f>
        <x:v>19354.456567879548</x:v>
      </x:c>
      <x:c r="AA1928" s="32" t="n">
        <x:f>AA1927+X1928-U1928-AA1927*V1928/AB1927</x:f>
        <x:v>11386.956063258198</x:v>
      </x:c>
      <x:c r="AB1928" s="10" t="n">
        <x:f>Y1928+Z1928+AA1928</x:f>
        <x:v>45047.59802873172</x:v>
      </x:c>
      <x:c r="AC1928" s="8" t="n">
        <x:f>IF(AND(v01_WinterTrigger=1,D1928=1,AB1927/AE1927&gt;=K1928),1,0)</x:f>
        <x:v>0</x:v>
      </x:c>
      <x:c r="AD1928" s="8" t="n">
        <x:f>H1928*IF(AND(OR(AB1927/AE1927&gt;=v01_FissionTrigger*N1928,AC1928=1),AB1927/AE1927*v01_DaughterShare&gt;=v01_MinDaughter),MAX(1,ROUND(AE1927*v01_FissionRate,0)),0)</x:f>
        <x:v>0</x:v>
      </x:c>
      <x:c r="AE1928" s="8" t="n">
        <x:f>IF(H1928=1,MAX(1,MIN(INDEX(v01_Smax,G1928),AE1927+AD1928)),AE1927)</x:f>
        <x:v>15</x:v>
      </x:c>
      <x:c r="AF1928" s="8" t="n">
        <x:f>MAX(0,AE1928-AE1927)</x:f>
        <x:v>0</x:v>
      </x:c>
      <x:c r="AG1928" s="9" t="str">
        <x:f>IF(AF1928&gt;0,B1928,"")</x:f>
      </x:c>
      <x:c r="AH1928" s="9" t="n">
        <x:f>IF(F1928&gt;=1,1,(1+v01_LowTiesShare*(AE1928-1))/AE1928)</x:f>
        <x:v>1</x:v>
      </x:c>
      <x:c r="AI1928" s="32" t="n">
        <x:f>(Z1928+v01_ElderCommons*INDEX(LM_Elder,G1928)*AA1928)*AH1928</x:f>
        <x:v>64139.732591141874</x:v>
      </x:c>
      <x:c r="AJ1928" s="32" t="n">
        <x:f>H1928*v01_CommonsCoef*AI1928^v01_CommonsExp*INDEX(LM_Commons,G1928)</x:f>
        <x:v>0</x:v>
      </x:c>
      <x:c r="AK1928" s="32" t="n">
        <x:f>H1928*v01_RoleScale*Arch_Roles*(AE1928*(INDEX(v01_ElderRolePerSett,G1928)*v01_OutElder*INDEX(LM_Elder,G1928)+INDEX(v01_ShamanPerSett,G1928)*v01_OutShaman)+Z1928*(INDEX(v01_PriestShare,G1928)*v01_OutPriest+INDEX(v01_ScribeShare,G1928)*v01_OutScribe*INDEX(LM_Scribe,G1928)+INDEX(v01_ScholarShare,G1928)*v01_OutScholar*INDEX(LM_Scholar,G1928)+INDEX(v01_ResearcherShare,G1928)*v01_OutResearcher*INDEX(LM_Researcher,G1928)))</x:f>
        <x:v>0</x:v>
      </x:c>
      <x:c r="AL1928" s="32" t="n">
        <x:f>H1928*v01_RoleScale*Arch_Roles*AE1928*INDEX(v01_MonasteryPerSett,G1928)*v01_OutMonastery*INDEX(LM_Monastery,G1928)</x:f>
        <x:v>0</x:v>
      </x:c>
      <x:c r="AM1928" s="32" t="n">
        <x:f>(AJ1928+AK1928+AL1928)/4*INDEX(LM_All,G1928)*INDEX(v01_Boon,G1928)*Arch_Insight</x:f>
        <x:v>0</x:v>
      </x:c>
      <x:c r="AN1928" s="32" t="n">
        <x:f>H1928*(v01_KHPerAdult*Z1928+v01_KHOfCommons*AJ1928/4*INDEX(LM_All,G1928))*v01_KHUsable*Arch_KH</x:f>
        <x:v>0</x:v>
      </x:c>
      <x:c r="AO1928" s="32" t="n">
        <x:f>MIN(AP1927+AN1928,AM1928*v01_KHMaxRatio)</x:f>
        <x:v>0</x:v>
      </x:c>
      <x:c r="AP1928" s="32" t="n">
        <x:f>AP1927+AN1928-AO1928</x:f>
        <x:v>0</x:v>
      </x:c>
      <x:c r="AQ1928" s="32" t="n">
        <x:f>AM1928+AO1928</x:f>
        <x:v>0</x:v>
      </x:c>
      <x:c r="AR1928" s="10" t="n">
        <x:f>IF(H1928=1,INDEX(v01_Req,G1928),0)</x:f>
        <x:v>0</x:v>
      </x:c>
      <x:c r="AS1928" s="32" t="n">
        <x:f>IF(H1928=1,IF(E1928=1,AS1927-AR1927,AS1927)+AQ1928,0)</x:f>
        <x:v>0</x:v>
      </x:c>
      <x:c r="AT1928" s="11" t="n">
        <x:f>IF(AR1928&gt;0,MIN(1,AS1928/AR1928),1)</x:f>
        <x:v>1</x:v>
      </x:c>
      <x:c r="AU1928" s="10" t="n">
        <x:f>AB1928/INDEX(v01_RepScale,G1928)</x:f>
        <x:v>90.09519605746344</x:v>
      </x:c>
      <x:c r="AV1928" s="32" t="n">
        <x:f>AM1928*60/v01_SeasonSeconds</x:f>
        <x:v>0</x:v>
      </x:c>
    </x:row>
    <x:row r="1929">
      <x:c r="A1929" s="8" t="n">
        <x:f>A1928+1</x:f>
        <x:v>1926</x:v>
      </x:c>
      <x:c r="B1929" s="9" t="n">
        <x:f>A1929*v01_SeasonSeconds/60</x:f>
        <x:v>481.5</x:v>
      </x:c>
      <x:c r="C1929" s="9" t="n">
        <x:f>A1929/4</x:f>
        <x:v>481.5</x:v>
      </x:c>
      <x:c r="D1929" s="8" t="n">
        <x:f>IF(MOD(A1929,4)=0,1,0)</x:f>
        <x:v>0</x:v>
      </x:c>
      <x:c r="E1929" s="8" t="n">
        <x:f>IF(AND(F1928&lt;=9,AS1928&gt;=AR1928),1,0)</x:f>
        <x:v>0</x:v>
      </x:c>
      <x:c r="F1929" s="8" t="n">
        <x:f>MIN(10,F1928+E1929)</x:f>
        <x:v>10</x:v>
      </x:c>
      <x:c r="G1929" s="8" t="n">
        <x:f>MIN(F1929,9)+1</x:f>
        <x:v>10</x:v>
      </x:c>
      <x:c r="H1929" s="8" t="n">
        <x:f>IF(F1929&lt;=9,1,0)</x:f>
        <x:v>0</x:v>
      </x:c>
      <x:c r="I1929" s="9" t="n">
        <x:f>MIN(10,F1928+IF(AR1928&gt;0,MIN(1,AS1928/AR1928),1))</x:f>
        <x:v>10</x:v>
      </x:c>
      <x:c r="J1929" s="32" t="n">
        <x:f>INDEX(v01_FoodCap,G1929)*Arch_FoodCap*EXP(v01_CapsByProject*SUMPRODUCT((Cap_Point&lt;=I1929)*(Cap_Kind="Food")*Cap_Ln))</x:f>
        <x:v>12000</x:v>
      </x:c>
      <x:c r="K1929" s="32" t="n">
        <x:f>J1929*MIN(1,v01_LeanBase*EXP(v01_CapsByProject*SUMPRODUCT((Cap_Point&lt;=I1929)*(Cap_Kind="Lean")*Cap_Ln)))</x:f>
        <x:v>12000</x:v>
      </x:c>
      <x:c r="L1929" s="10" t="n">
        <x:f>INDEX(v01_HousingCap,G1929)*EXP(v01_CapsByProject*SUMPRODUCT((Cap_Point&lt;=I1929)*(Cap_Kind="Housing")*Cap_Ln))</x:f>
        <x:v>20000</x:v>
      </x:c>
      <x:c r="M1929" s="10" t="n">
        <x:f>INDEX(v01_GroupCap,G1929)*v01_CohesionFactor*EXP(v01_CapsByProject*SUMPRODUCT((Cap_Point&lt;=I1929)*(Cap_Kind="Group")*Cap_Ln))</x:f>
        <x:v>1000000</x:v>
      </x:c>
      <x:c r="N1929" s="32" t="n">
        <x:f>MIN(J1929,L1929,M1929)</x:f>
        <x:v>12000</x:v>
      </x:c>
      <x:c r="O1929" s="10" t="n">
        <x:f>AE1928*N1929</x:f>
        <x:v>180000</x:v>
      </x:c>
      <x:c r="P1929" s="9" t="n">
        <x:f>MIN(1,(AB1928/(AE1928*IF(v01_GroupInCrowding=1,N1929,MIN(J1929,L1929))))^v01_CrowdingExp)</x:f>
        <x:v>0.00024569414295285325</x:v>
      </x:c>
      <x:c r="Q1929" s="9" t="n">
        <x:f>IF(D1929=1,INDEX(v01_WinterMult,G1929),1)</x:f>
        <x:v>1</x:v>
      </x:c>
      <x:c r="R1929" s="9" t="n">
        <x:f>H1929*Z1928*v01_WomenShare*v01_BaseFertility*INDEX(v01_FertMult,G1929)*Arch_Fertility*(1-P1929)</x:f>
        <x:v>0</x:v>
      </x:c>
      <x:c r="S1929" s="9" t="n">
        <x:f>H1929*Y1928*INDEX(v01_MortChild,G1929)/4*Q1929</x:f>
        <x:v>0</x:v>
      </x:c>
      <x:c r="T1929" s="9" t="n">
        <x:f>H1929*Z1928*INDEX(v01_MortAdult,G1929)*Arch_AdultMort/4*Q1929</x:f>
        <x:v>0</x:v>
      </x:c>
      <x:c r="U1929" s="9" t="n">
        <x:f>H1929*AA1928*INDEX(v01_MortElder,G1929)/4*Q1929</x:f>
        <x:v>0</x:v>
      </x:c>
      <x:c r="V1929" s="9" t="n">
        <x:f>H1929*MAX(0,AB1928-O1929)*v01_OvercapLoss</x:f>
        <x:v>0</x:v>
      </x:c>
      <x:c r="W1929" s="9" t="n">
        <x:f>H1929*Y1928/(v01_ChildYears*4)</x:f>
        <x:v>0</x:v>
      </x:c>
      <x:c r="X1929" s="9" t="n">
        <x:f>H1929*Z1928/(v01_AdultYears*4)</x:f>
        <x:v>0</x:v>
      </x:c>
      <x:c r="Y1929" s="32" t="n">
        <x:f>Y1928+R1929-S1929-W1929-Y1928*V1929/AB1928</x:f>
        <x:v>14306.18539759397</x:v>
      </x:c>
      <x:c r="Z1929" s="32" t="n">
        <x:f>Z1928+W1929-X1929-T1929-Z1928*V1929/AB1928</x:f>
        <x:v>19354.456567879548</x:v>
      </x:c>
      <x:c r="AA1929" s="32" t="n">
        <x:f>AA1928+X1929-U1929-AA1928*V1929/AB1928</x:f>
        <x:v>11386.956063258198</x:v>
      </x:c>
      <x:c r="AB1929" s="10" t="n">
        <x:f>Y1929+Z1929+AA1929</x:f>
        <x:v>45047.59802873172</x:v>
      </x:c>
      <x:c r="AC1929" s="8" t="n">
        <x:f>IF(AND(v01_WinterTrigger=1,D1929=1,AB1928/AE1928&gt;=K1929),1,0)</x:f>
        <x:v>0</x:v>
      </x:c>
      <x:c r="AD1929" s="8" t="n">
        <x:f>H1929*IF(AND(OR(AB1928/AE1928&gt;=v01_FissionTrigger*N1929,AC1929=1),AB1928/AE1928*v01_DaughterShare&gt;=v01_MinDaughter),MAX(1,ROUND(AE1928*v01_FissionRate,0)),0)</x:f>
        <x:v>0</x:v>
      </x:c>
      <x:c r="AE1929" s="8" t="n">
        <x:f>IF(H1929=1,MAX(1,MIN(INDEX(v01_Smax,G1929),AE1928+AD1929)),AE1928)</x:f>
        <x:v>15</x:v>
      </x:c>
      <x:c r="AF1929" s="8" t="n">
        <x:f>MAX(0,AE1929-AE1928)</x:f>
        <x:v>0</x:v>
      </x:c>
      <x:c r="AG1929" s="9" t="str">
        <x:f>IF(AF1929&gt;0,B1929,"")</x:f>
      </x:c>
      <x:c r="AH1929" s="9" t="n">
        <x:f>IF(F1929&gt;=1,1,(1+v01_LowTiesShare*(AE1929-1))/AE1929)</x:f>
        <x:v>1</x:v>
      </x:c>
      <x:c r="AI1929" s="32" t="n">
        <x:f>(Z1929+v01_ElderCommons*INDEX(LM_Elder,G1929)*AA1929)*AH1929</x:f>
        <x:v>64139.732591141874</x:v>
      </x:c>
      <x:c r="AJ1929" s="32" t="n">
        <x:f>H1929*v01_CommonsCoef*AI1929^v01_CommonsExp*INDEX(LM_Commons,G1929)</x:f>
        <x:v>0</x:v>
      </x:c>
      <x:c r="AK1929" s="32" t="n">
        <x:f>H1929*v01_RoleScale*Arch_Roles*(AE1929*(INDEX(v01_ElderRolePerSett,G1929)*v01_OutElder*INDEX(LM_Elder,G1929)+INDEX(v01_ShamanPerSett,G1929)*v01_OutShaman)+Z1929*(INDEX(v01_PriestShare,G1929)*v01_OutPriest+INDEX(v01_ScribeShare,G1929)*v01_OutScribe*INDEX(LM_Scribe,G1929)+INDEX(v01_ScholarShare,G1929)*v01_OutScholar*INDEX(LM_Scholar,G1929)+INDEX(v01_ResearcherShare,G1929)*v01_OutResearcher*INDEX(LM_Researcher,G1929)))</x:f>
        <x:v>0</x:v>
      </x:c>
      <x:c r="AL1929" s="32" t="n">
        <x:f>H1929*v01_RoleScale*Arch_Roles*AE1929*INDEX(v01_MonasteryPerSett,G1929)*v01_OutMonastery*INDEX(LM_Monastery,G1929)</x:f>
        <x:v>0</x:v>
      </x:c>
      <x:c r="AM1929" s="32" t="n">
        <x:f>(AJ1929+AK1929+AL1929)/4*INDEX(LM_All,G1929)*INDEX(v01_Boon,G1929)*Arch_Insight</x:f>
        <x:v>0</x:v>
      </x:c>
      <x:c r="AN1929" s="32" t="n">
        <x:f>H1929*(v01_KHPerAdult*Z1929+v01_KHOfCommons*AJ1929/4*INDEX(LM_All,G1929))*v01_KHUsable*Arch_KH</x:f>
        <x:v>0</x:v>
      </x:c>
      <x:c r="AO1929" s="32" t="n">
        <x:f>MIN(AP1928+AN1929,AM1929*v01_KHMaxRatio)</x:f>
        <x:v>0</x:v>
      </x:c>
      <x:c r="AP1929" s="32" t="n">
        <x:f>AP1928+AN1929-AO1929</x:f>
        <x:v>0</x:v>
      </x:c>
      <x:c r="AQ1929" s="32" t="n">
        <x:f>AM1929+AO1929</x:f>
        <x:v>0</x:v>
      </x:c>
      <x:c r="AR1929" s="10" t="n">
        <x:f>IF(H1929=1,INDEX(v01_Req,G1929),0)</x:f>
        <x:v>0</x:v>
      </x:c>
      <x:c r="AS1929" s="32" t="n">
        <x:f>IF(H1929=1,IF(E1929=1,AS1928-AR1928,AS1928)+AQ1929,0)</x:f>
        <x:v>0</x:v>
      </x:c>
      <x:c r="AT1929" s="11" t="n">
        <x:f>IF(AR1929&gt;0,MIN(1,AS1929/AR1929),1)</x:f>
        <x:v>1</x:v>
      </x:c>
      <x:c r="AU1929" s="10" t="n">
        <x:f>AB1929/INDEX(v01_RepScale,G1929)</x:f>
        <x:v>90.09519605746344</x:v>
      </x:c>
      <x:c r="AV1929" s="32" t="n">
        <x:f>AM1929*60/v01_SeasonSeconds</x:f>
        <x:v>0</x:v>
      </x:c>
    </x:row>
    <x:row r="1930">
      <x:c r="A1930" s="8" t="n">
        <x:f>A1929+1</x:f>
        <x:v>1927</x:v>
      </x:c>
      <x:c r="B1930" s="9" t="n">
        <x:f>A1930*v01_SeasonSeconds/60</x:f>
        <x:v>481.75</x:v>
      </x:c>
      <x:c r="C1930" s="9" t="n">
        <x:f>A1930/4</x:f>
        <x:v>481.75</x:v>
      </x:c>
      <x:c r="D1930" s="8" t="n">
        <x:f>IF(MOD(A1930,4)=0,1,0)</x:f>
        <x:v>0</x:v>
      </x:c>
      <x:c r="E1930" s="8" t="n">
        <x:f>IF(AND(F1929&lt;=9,AS1929&gt;=AR1929),1,0)</x:f>
        <x:v>0</x:v>
      </x:c>
      <x:c r="F1930" s="8" t="n">
        <x:f>MIN(10,F1929+E1930)</x:f>
        <x:v>10</x:v>
      </x:c>
      <x:c r="G1930" s="8" t="n">
        <x:f>MIN(F1930,9)+1</x:f>
        <x:v>10</x:v>
      </x:c>
      <x:c r="H1930" s="8" t="n">
        <x:f>IF(F1930&lt;=9,1,0)</x:f>
        <x:v>0</x:v>
      </x:c>
      <x:c r="I1930" s="9" t="n">
        <x:f>MIN(10,F1929+IF(AR1929&gt;0,MIN(1,AS1929/AR1929),1))</x:f>
        <x:v>10</x:v>
      </x:c>
      <x:c r="J1930" s="32" t="n">
        <x:f>INDEX(v01_FoodCap,G1930)*Arch_FoodCap*EXP(v01_CapsByProject*SUMPRODUCT((Cap_Point&lt;=I1930)*(Cap_Kind="Food")*Cap_Ln))</x:f>
        <x:v>12000</x:v>
      </x:c>
      <x:c r="K1930" s="32" t="n">
        <x:f>J1930*MIN(1,v01_LeanBase*EXP(v01_CapsByProject*SUMPRODUCT((Cap_Point&lt;=I1930)*(Cap_Kind="Lean")*Cap_Ln)))</x:f>
        <x:v>12000</x:v>
      </x:c>
      <x:c r="L1930" s="10" t="n">
        <x:f>INDEX(v01_HousingCap,G1930)*EXP(v01_CapsByProject*SUMPRODUCT((Cap_Point&lt;=I1930)*(Cap_Kind="Housing")*Cap_Ln))</x:f>
        <x:v>20000</x:v>
      </x:c>
      <x:c r="M1930" s="10" t="n">
        <x:f>INDEX(v01_GroupCap,G1930)*v01_CohesionFactor*EXP(v01_CapsByProject*SUMPRODUCT((Cap_Point&lt;=I1930)*(Cap_Kind="Group")*Cap_Ln))</x:f>
        <x:v>1000000</x:v>
      </x:c>
      <x:c r="N1930" s="32" t="n">
        <x:f>MIN(J1930,L1930,M1930)</x:f>
        <x:v>12000</x:v>
      </x:c>
      <x:c r="O1930" s="10" t="n">
        <x:f>AE1929*N1930</x:f>
        <x:v>180000</x:v>
      </x:c>
      <x:c r="P1930" s="9" t="n">
        <x:f>MIN(1,(AB1929/(AE1929*IF(v01_GroupInCrowding=1,N1930,MIN(J1930,L1930))))^v01_CrowdingExp)</x:f>
        <x:v>0.00024569414295285325</x:v>
      </x:c>
      <x:c r="Q1930" s="9" t="n">
        <x:f>IF(D1930=1,INDEX(v01_WinterMult,G1930),1)</x:f>
        <x:v>1</x:v>
      </x:c>
      <x:c r="R1930" s="9" t="n">
        <x:f>H1930*Z1929*v01_WomenShare*v01_BaseFertility*INDEX(v01_FertMult,G1930)*Arch_Fertility*(1-P1930)</x:f>
        <x:v>0</x:v>
      </x:c>
      <x:c r="S1930" s="9" t="n">
        <x:f>H1930*Y1929*INDEX(v01_MortChild,G1930)/4*Q1930</x:f>
        <x:v>0</x:v>
      </x:c>
      <x:c r="T1930" s="9" t="n">
        <x:f>H1930*Z1929*INDEX(v01_MortAdult,G1930)*Arch_AdultMort/4*Q1930</x:f>
        <x:v>0</x:v>
      </x:c>
      <x:c r="U1930" s="9" t="n">
        <x:f>H1930*AA1929*INDEX(v01_MortElder,G1930)/4*Q1930</x:f>
        <x:v>0</x:v>
      </x:c>
      <x:c r="V1930" s="9" t="n">
        <x:f>H1930*MAX(0,AB1929-O1930)*v01_OvercapLoss</x:f>
        <x:v>0</x:v>
      </x:c>
      <x:c r="W1930" s="9" t="n">
        <x:f>H1930*Y1929/(v01_ChildYears*4)</x:f>
        <x:v>0</x:v>
      </x:c>
      <x:c r="X1930" s="9" t="n">
        <x:f>H1930*Z1929/(v01_AdultYears*4)</x:f>
        <x:v>0</x:v>
      </x:c>
      <x:c r="Y1930" s="32" t="n">
        <x:f>Y1929+R1930-S1930-W1930-Y1929*V1930/AB1929</x:f>
        <x:v>14306.18539759397</x:v>
      </x:c>
      <x:c r="Z1930" s="32" t="n">
        <x:f>Z1929+W1930-X1930-T1930-Z1929*V1930/AB1929</x:f>
        <x:v>19354.456567879548</x:v>
      </x:c>
      <x:c r="AA1930" s="32" t="n">
        <x:f>AA1929+X1930-U1930-AA1929*V1930/AB1929</x:f>
        <x:v>11386.956063258198</x:v>
      </x:c>
      <x:c r="AB1930" s="10" t="n">
        <x:f>Y1930+Z1930+AA1930</x:f>
        <x:v>45047.59802873172</x:v>
      </x:c>
      <x:c r="AC1930" s="8" t="n">
        <x:f>IF(AND(v01_WinterTrigger=1,D1930=1,AB1929/AE1929&gt;=K1930),1,0)</x:f>
        <x:v>0</x:v>
      </x:c>
      <x:c r="AD1930" s="8" t="n">
        <x:f>H1930*IF(AND(OR(AB1929/AE1929&gt;=v01_FissionTrigger*N1930,AC1930=1),AB1929/AE1929*v01_DaughterShare&gt;=v01_MinDaughter),MAX(1,ROUND(AE1929*v01_FissionRate,0)),0)</x:f>
        <x:v>0</x:v>
      </x:c>
      <x:c r="AE1930" s="8" t="n">
        <x:f>IF(H1930=1,MAX(1,MIN(INDEX(v01_Smax,G1930),AE1929+AD1930)),AE1929)</x:f>
        <x:v>15</x:v>
      </x:c>
      <x:c r="AF1930" s="8" t="n">
        <x:f>MAX(0,AE1930-AE1929)</x:f>
        <x:v>0</x:v>
      </x:c>
      <x:c r="AG1930" s="9" t="str">
        <x:f>IF(AF1930&gt;0,B1930,"")</x:f>
      </x:c>
      <x:c r="AH1930" s="9" t="n">
        <x:f>IF(F1930&gt;=1,1,(1+v01_LowTiesShare*(AE1930-1))/AE1930)</x:f>
        <x:v>1</x:v>
      </x:c>
      <x:c r="AI1930" s="32" t="n">
        <x:f>(Z1930+v01_ElderCommons*INDEX(LM_Elder,G1930)*AA1930)*AH1930</x:f>
        <x:v>64139.732591141874</x:v>
      </x:c>
      <x:c r="AJ1930" s="32" t="n">
        <x:f>H1930*v01_CommonsCoef*AI1930^v01_CommonsExp*INDEX(LM_Commons,G1930)</x:f>
        <x:v>0</x:v>
      </x:c>
      <x:c r="AK1930" s="32" t="n">
        <x:f>H1930*v01_RoleScale*Arch_Roles*(AE1930*(INDEX(v01_ElderRolePerSett,G1930)*v01_OutElder*INDEX(LM_Elder,G1930)+INDEX(v01_ShamanPerSett,G1930)*v01_OutShaman)+Z1930*(INDEX(v01_PriestShare,G1930)*v01_OutPriest+INDEX(v01_ScribeShare,G1930)*v01_OutScribe*INDEX(LM_Scribe,G1930)+INDEX(v01_ScholarShare,G1930)*v01_OutScholar*INDEX(LM_Scholar,G1930)+INDEX(v01_ResearcherShare,G1930)*v01_OutResearcher*INDEX(LM_Researcher,G1930)))</x:f>
        <x:v>0</x:v>
      </x:c>
      <x:c r="AL1930" s="32" t="n">
        <x:f>H1930*v01_RoleScale*Arch_Roles*AE1930*INDEX(v01_MonasteryPerSett,G1930)*v01_OutMonastery*INDEX(LM_Monastery,G1930)</x:f>
        <x:v>0</x:v>
      </x:c>
      <x:c r="AM1930" s="32" t="n">
        <x:f>(AJ1930+AK1930+AL1930)/4*INDEX(LM_All,G1930)*INDEX(v01_Boon,G1930)*Arch_Insight</x:f>
        <x:v>0</x:v>
      </x:c>
      <x:c r="AN1930" s="32" t="n">
        <x:f>H1930*(v01_KHPerAdult*Z1930+v01_KHOfCommons*AJ1930/4*INDEX(LM_All,G1930))*v01_KHUsable*Arch_KH</x:f>
        <x:v>0</x:v>
      </x:c>
      <x:c r="AO1930" s="32" t="n">
        <x:f>MIN(AP1929+AN1930,AM1930*v01_KHMaxRatio)</x:f>
        <x:v>0</x:v>
      </x:c>
      <x:c r="AP1930" s="32" t="n">
        <x:f>AP1929+AN1930-AO1930</x:f>
        <x:v>0</x:v>
      </x:c>
      <x:c r="AQ1930" s="32" t="n">
        <x:f>AM1930+AO1930</x:f>
        <x:v>0</x:v>
      </x:c>
      <x:c r="AR1930" s="10" t="n">
        <x:f>IF(H1930=1,INDEX(v01_Req,G1930),0)</x:f>
        <x:v>0</x:v>
      </x:c>
      <x:c r="AS1930" s="32" t="n">
        <x:f>IF(H1930=1,IF(E1930=1,AS1929-AR1929,AS1929)+AQ1930,0)</x:f>
        <x:v>0</x:v>
      </x:c>
      <x:c r="AT1930" s="11" t="n">
        <x:f>IF(AR1930&gt;0,MIN(1,AS1930/AR1930),1)</x:f>
        <x:v>1</x:v>
      </x:c>
      <x:c r="AU1930" s="10" t="n">
        <x:f>AB1930/INDEX(v01_RepScale,G1930)</x:f>
        <x:v>90.09519605746344</x:v>
      </x:c>
      <x:c r="AV1930" s="32" t="n">
        <x:f>AM1930*60/v01_SeasonSeconds</x:f>
        <x:v>0</x:v>
      </x:c>
    </x:row>
    <x:row r="1931">
      <x:c r="A1931" s="8" t="n">
        <x:f>A1930+1</x:f>
        <x:v>1928</x:v>
      </x:c>
      <x:c r="B1931" s="9" t="n">
        <x:f>A1931*v01_SeasonSeconds/60</x:f>
        <x:v>482</x:v>
      </x:c>
      <x:c r="C1931" s="9" t="n">
        <x:f>A1931/4</x:f>
        <x:v>482</x:v>
      </x:c>
      <x:c r="D1931" s="8" t="n">
        <x:f>IF(MOD(A1931,4)=0,1,0)</x:f>
        <x:v>1</x:v>
      </x:c>
      <x:c r="E1931" s="8" t="n">
        <x:f>IF(AND(F1930&lt;=9,AS1930&gt;=AR1930),1,0)</x:f>
        <x:v>0</x:v>
      </x:c>
      <x:c r="F1931" s="8" t="n">
        <x:f>MIN(10,F1930+E1931)</x:f>
        <x:v>10</x:v>
      </x:c>
      <x:c r="G1931" s="8" t="n">
        <x:f>MIN(F1931,9)+1</x:f>
        <x:v>10</x:v>
      </x:c>
      <x:c r="H1931" s="8" t="n">
        <x:f>IF(F1931&lt;=9,1,0)</x:f>
        <x:v>0</x:v>
      </x:c>
      <x:c r="I1931" s="9" t="n">
        <x:f>MIN(10,F1930+IF(AR1930&gt;0,MIN(1,AS1930/AR1930),1))</x:f>
        <x:v>10</x:v>
      </x:c>
      <x:c r="J1931" s="32" t="n">
        <x:f>INDEX(v01_FoodCap,G1931)*Arch_FoodCap*EXP(v01_CapsByProject*SUMPRODUCT((Cap_Point&lt;=I1931)*(Cap_Kind="Food")*Cap_Ln))</x:f>
        <x:v>12000</x:v>
      </x:c>
      <x:c r="K1931" s="32" t="n">
        <x:f>J1931*MIN(1,v01_LeanBase*EXP(v01_CapsByProject*SUMPRODUCT((Cap_Point&lt;=I1931)*(Cap_Kind="Lean")*Cap_Ln)))</x:f>
        <x:v>12000</x:v>
      </x:c>
      <x:c r="L1931" s="10" t="n">
        <x:f>INDEX(v01_HousingCap,G1931)*EXP(v01_CapsByProject*SUMPRODUCT((Cap_Point&lt;=I1931)*(Cap_Kind="Housing")*Cap_Ln))</x:f>
        <x:v>20000</x:v>
      </x:c>
      <x:c r="M1931" s="10" t="n">
        <x:f>INDEX(v01_GroupCap,G1931)*v01_CohesionFactor*EXP(v01_CapsByProject*SUMPRODUCT((Cap_Point&lt;=I1931)*(Cap_Kind="Group")*Cap_Ln))</x:f>
        <x:v>1000000</x:v>
      </x:c>
      <x:c r="N1931" s="32" t="n">
        <x:f>MIN(J1931,L1931,M1931)</x:f>
        <x:v>12000</x:v>
      </x:c>
      <x:c r="O1931" s="10" t="n">
        <x:f>AE1930*N1931</x:f>
        <x:v>180000</x:v>
      </x:c>
      <x:c r="P1931" s="9" t="n">
        <x:f>MIN(1,(AB1930/(AE1930*IF(v01_GroupInCrowding=1,N1931,MIN(J1931,L1931))))^v01_CrowdingExp)</x:f>
        <x:v>0.00024569414295285325</x:v>
      </x:c>
      <x:c r="Q1931" s="9" t="n">
        <x:f>IF(D1931=1,INDEX(v01_WinterMult,G1931),1)</x:f>
        <x:v>1</x:v>
      </x:c>
      <x:c r="R1931" s="9" t="n">
        <x:f>H1931*Z1930*v01_WomenShare*v01_BaseFertility*INDEX(v01_FertMult,G1931)*Arch_Fertility*(1-P1931)</x:f>
        <x:v>0</x:v>
      </x:c>
      <x:c r="S1931" s="9" t="n">
        <x:f>H1931*Y1930*INDEX(v01_MortChild,G1931)/4*Q1931</x:f>
        <x:v>0</x:v>
      </x:c>
      <x:c r="T1931" s="9" t="n">
        <x:f>H1931*Z1930*INDEX(v01_MortAdult,G1931)*Arch_AdultMort/4*Q1931</x:f>
        <x:v>0</x:v>
      </x:c>
      <x:c r="U1931" s="9" t="n">
        <x:f>H1931*AA1930*INDEX(v01_MortElder,G1931)/4*Q1931</x:f>
        <x:v>0</x:v>
      </x:c>
      <x:c r="V1931" s="9" t="n">
        <x:f>H1931*MAX(0,AB1930-O1931)*v01_OvercapLoss</x:f>
        <x:v>0</x:v>
      </x:c>
      <x:c r="W1931" s="9" t="n">
        <x:f>H1931*Y1930/(v01_ChildYears*4)</x:f>
        <x:v>0</x:v>
      </x:c>
      <x:c r="X1931" s="9" t="n">
        <x:f>H1931*Z1930/(v01_AdultYears*4)</x:f>
        <x:v>0</x:v>
      </x:c>
      <x:c r="Y1931" s="32" t="n">
        <x:f>Y1930+R1931-S1931-W1931-Y1930*V1931/AB1930</x:f>
        <x:v>14306.18539759397</x:v>
      </x:c>
      <x:c r="Z1931" s="32" t="n">
        <x:f>Z1930+W1931-X1931-T1931-Z1930*V1931/AB1930</x:f>
        <x:v>19354.456567879548</x:v>
      </x:c>
      <x:c r="AA1931" s="32" t="n">
        <x:f>AA1930+X1931-U1931-AA1930*V1931/AB1930</x:f>
        <x:v>11386.956063258198</x:v>
      </x:c>
      <x:c r="AB1931" s="10" t="n">
        <x:f>Y1931+Z1931+AA1931</x:f>
        <x:v>45047.59802873172</x:v>
      </x:c>
      <x:c r="AC1931" s="8" t="n">
        <x:f>IF(AND(v01_WinterTrigger=1,D1931=1,AB1930/AE1930&gt;=K1931),1,0)</x:f>
        <x:v>0</x:v>
      </x:c>
      <x:c r="AD1931" s="8" t="n">
        <x:f>H1931*IF(AND(OR(AB1930/AE1930&gt;=v01_FissionTrigger*N1931,AC1931=1),AB1930/AE1930*v01_DaughterShare&gt;=v01_MinDaughter),MAX(1,ROUND(AE1930*v01_FissionRate,0)),0)</x:f>
        <x:v>0</x:v>
      </x:c>
      <x:c r="AE1931" s="8" t="n">
        <x:f>IF(H1931=1,MAX(1,MIN(INDEX(v01_Smax,G1931),AE1930+AD1931)),AE1930)</x:f>
        <x:v>15</x:v>
      </x:c>
      <x:c r="AF1931" s="8" t="n">
        <x:f>MAX(0,AE1931-AE1930)</x:f>
        <x:v>0</x:v>
      </x:c>
      <x:c r="AG1931" s="9" t="str">
        <x:f>IF(AF1931&gt;0,B1931,"")</x:f>
      </x:c>
      <x:c r="AH1931" s="9" t="n">
        <x:f>IF(F1931&gt;=1,1,(1+v01_LowTiesShare*(AE1931-1))/AE1931)</x:f>
        <x:v>1</x:v>
      </x:c>
      <x:c r="AI1931" s="32" t="n">
        <x:f>(Z1931+v01_ElderCommons*INDEX(LM_Elder,G1931)*AA1931)*AH1931</x:f>
        <x:v>64139.732591141874</x:v>
      </x:c>
      <x:c r="AJ1931" s="32" t="n">
        <x:f>H1931*v01_CommonsCoef*AI1931^v01_CommonsExp*INDEX(LM_Commons,G1931)</x:f>
        <x:v>0</x:v>
      </x:c>
      <x:c r="AK1931" s="32" t="n">
        <x:f>H1931*v01_RoleScale*Arch_Roles*(AE1931*(INDEX(v01_ElderRolePerSett,G1931)*v01_OutElder*INDEX(LM_Elder,G1931)+INDEX(v01_ShamanPerSett,G1931)*v01_OutShaman)+Z1931*(INDEX(v01_PriestShare,G1931)*v01_OutPriest+INDEX(v01_ScribeShare,G1931)*v01_OutScribe*INDEX(LM_Scribe,G1931)+INDEX(v01_ScholarShare,G1931)*v01_OutScholar*INDEX(LM_Scholar,G1931)+INDEX(v01_ResearcherShare,G1931)*v01_OutResearcher*INDEX(LM_Researcher,G1931)))</x:f>
        <x:v>0</x:v>
      </x:c>
      <x:c r="AL1931" s="32" t="n">
        <x:f>H1931*v01_RoleScale*Arch_Roles*AE1931*INDEX(v01_MonasteryPerSett,G1931)*v01_OutMonastery*INDEX(LM_Monastery,G1931)</x:f>
        <x:v>0</x:v>
      </x:c>
      <x:c r="AM1931" s="32" t="n">
        <x:f>(AJ1931+AK1931+AL1931)/4*INDEX(LM_All,G1931)*INDEX(v01_Boon,G1931)*Arch_Insight</x:f>
        <x:v>0</x:v>
      </x:c>
      <x:c r="AN1931" s="32" t="n">
        <x:f>H1931*(v01_KHPerAdult*Z1931+v01_KHOfCommons*AJ1931/4*INDEX(LM_All,G1931))*v01_KHUsable*Arch_KH</x:f>
        <x:v>0</x:v>
      </x:c>
      <x:c r="AO1931" s="32" t="n">
        <x:f>MIN(AP1930+AN1931,AM1931*v01_KHMaxRatio)</x:f>
        <x:v>0</x:v>
      </x:c>
      <x:c r="AP1931" s="32" t="n">
        <x:f>AP1930+AN1931-AO1931</x:f>
        <x:v>0</x:v>
      </x:c>
      <x:c r="AQ1931" s="32" t="n">
        <x:f>AM1931+AO1931</x:f>
        <x:v>0</x:v>
      </x:c>
      <x:c r="AR1931" s="10" t="n">
        <x:f>IF(H1931=1,INDEX(v01_Req,G1931),0)</x:f>
        <x:v>0</x:v>
      </x:c>
      <x:c r="AS1931" s="32" t="n">
        <x:f>IF(H1931=1,IF(E1931=1,AS1930-AR1930,AS1930)+AQ1931,0)</x:f>
        <x:v>0</x:v>
      </x:c>
      <x:c r="AT1931" s="11" t="n">
        <x:f>IF(AR1931&gt;0,MIN(1,AS1931/AR1931),1)</x:f>
        <x:v>1</x:v>
      </x:c>
      <x:c r="AU1931" s="10" t="n">
        <x:f>AB1931/INDEX(v01_RepScale,G1931)</x:f>
        <x:v>90.09519605746344</x:v>
      </x:c>
      <x:c r="AV1931" s="32" t="n">
        <x:f>AM1931*60/v01_SeasonSeconds</x:f>
        <x:v>0</x:v>
      </x:c>
    </x:row>
    <x:row r="1932">
      <x:c r="A1932" s="8" t="n">
        <x:f>A1931+1</x:f>
        <x:v>1929</x:v>
      </x:c>
      <x:c r="B1932" s="9" t="n">
        <x:f>A1932*v01_SeasonSeconds/60</x:f>
        <x:v>482.25</x:v>
      </x:c>
      <x:c r="C1932" s="9" t="n">
        <x:f>A1932/4</x:f>
        <x:v>482.25</x:v>
      </x:c>
      <x:c r="D1932" s="8" t="n">
        <x:f>IF(MOD(A1932,4)=0,1,0)</x:f>
        <x:v>0</x:v>
      </x:c>
      <x:c r="E1932" s="8" t="n">
        <x:f>IF(AND(F1931&lt;=9,AS1931&gt;=AR1931),1,0)</x:f>
        <x:v>0</x:v>
      </x:c>
      <x:c r="F1932" s="8" t="n">
        <x:f>MIN(10,F1931+E1932)</x:f>
        <x:v>10</x:v>
      </x:c>
      <x:c r="G1932" s="8" t="n">
        <x:f>MIN(F1932,9)+1</x:f>
        <x:v>10</x:v>
      </x:c>
      <x:c r="H1932" s="8" t="n">
        <x:f>IF(F1932&lt;=9,1,0)</x:f>
        <x:v>0</x:v>
      </x:c>
      <x:c r="I1932" s="9" t="n">
        <x:f>MIN(10,F1931+IF(AR1931&gt;0,MIN(1,AS1931/AR1931),1))</x:f>
        <x:v>10</x:v>
      </x:c>
      <x:c r="J1932" s="32" t="n">
        <x:f>INDEX(v01_FoodCap,G1932)*Arch_FoodCap*EXP(v01_CapsByProject*SUMPRODUCT((Cap_Point&lt;=I1932)*(Cap_Kind="Food")*Cap_Ln))</x:f>
        <x:v>12000</x:v>
      </x:c>
      <x:c r="K1932" s="32" t="n">
        <x:f>J1932*MIN(1,v01_LeanBase*EXP(v01_CapsByProject*SUMPRODUCT((Cap_Point&lt;=I1932)*(Cap_Kind="Lean")*Cap_Ln)))</x:f>
        <x:v>12000</x:v>
      </x:c>
      <x:c r="L1932" s="10" t="n">
        <x:f>INDEX(v01_HousingCap,G1932)*EXP(v01_CapsByProject*SUMPRODUCT((Cap_Point&lt;=I1932)*(Cap_Kind="Housing")*Cap_Ln))</x:f>
        <x:v>20000</x:v>
      </x:c>
      <x:c r="M1932" s="10" t="n">
        <x:f>INDEX(v01_GroupCap,G1932)*v01_CohesionFactor*EXP(v01_CapsByProject*SUMPRODUCT((Cap_Point&lt;=I1932)*(Cap_Kind="Group")*Cap_Ln))</x:f>
        <x:v>1000000</x:v>
      </x:c>
      <x:c r="N1932" s="32" t="n">
        <x:f>MIN(J1932,L1932,M1932)</x:f>
        <x:v>12000</x:v>
      </x:c>
      <x:c r="O1932" s="10" t="n">
        <x:f>AE1931*N1932</x:f>
        <x:v>180000</x:v>
      </x:c>
      <x:c r="P1932" s="9" t="n">
        <x:f>MIN(1,(AB1931/(AE1931*IF(v01_GroupInCrowding=1,N1932,MIN(J1932,L1932))))^v01_CrowdingExp)</x:f>
        <x:v>0.00024569414295285325</x:v>
      </x:c>
      <x:c r="Q1932" s="9" t="n">
        <x:f>IF(D1932=1,INDEX(v01_WinterMult,G1932),1)</x:f>
        <x:v>1</x:v>
      </x:c>
      <x:c r="R1932" s="9" t="n">
        <x:f>H1932*Z1931*v01_WomenShare*v01_BaseFertility*INDEX(v01_FertMult,G1932)*Arch_Fertility*(1-P1932)</x:f>
        <x:v>0</x:v>
      </x:c>
      <x:c r="S1932" s="9" t="n">
        <x:f>H1932*Y1931*INDEX(v01_MortChild,G1932)/4*Q1932</x:f>
        <x:v>0</x:v>
      </x:c>
      <x:c r="T1932" s="9" t="n">
        <x:f>H1932*Z1931*INDEX(v01_MortAdult,G1932)*Arch_AdultMort/4*Q1932</x:f>
        <x:v>0</x:v>
      </x:c>
      <x:c r="U1932" s="9" t="n">
        <x:f>H1932*AA1931*INDEX(v01_MortElder,G1932)/4*Q1932</x:f>
        <x:v>0</x:v>
      </x:c>
      <x:c r="V1932" s="9" t="n">
        <x:f>H1932*MAX(0,AB1931-O1932)*v01_OvercapLoss</x:f>
        <x:v>0</x:v>
      </x:c>
      <x:c r="W1932" s="9" t="n">
        <x:f>H1932*Y1931/(v01_ChildYears*4)</x:f>
        <x:v>0</x:v>
      </x:c>
      <x:c r="X1932" s="9" t="n">
        <x:f>H1932*Z1931/(v01_AdultYears*4)</x:f>
        <x:v>0</x:v>
      </x:c>
      <x:c r="Y1932" s="32" t="n">
        <x:f>Y1931+R1932-S1932-W1932-Y1931*V1932/AB1931</x:f>
        <x:v>14306.18539759397</x:v>
      </x:c>
      <x:c r="Z1932" s="32" t="n">
        <x:f>Z1931+W1932-X1932-T1932-Z1931*V1932/AB1931</x:f>
        <x:v>19354.456567879548</x:v>
      </x:c>
      <x:c r="AA1932" s="32" t="n">
        <x:f>AA1931+X1932-U1932-AA1931*V1932/AB1931</x:f>
        <x:v>11386.956063258198</x:v>
      </x:c>
      <x:c r="AB1932" s="10" t="n">
        <x:f>Y1932+Z1932+AA1932</x:f>
        <x:v>45047.59802873172</x:v>
      </x:c>
      <x:c r="AC1932" s="8" t="n">
        <x:f>IF(AND(v01_WinterTrigger=1,D1932=1,AB1931/AE1931&gt;=K1932),1,0)</x:f>
        <x:v>0</x:v>
      </x:c>
      <x:c r="AD1932" s="8" t="n">
        <x:f>H1932*IF(AND(OR(AB1931/AE1931&gt;=v01_FissionTrigger*N1932,AC1932=1),AB1931/AE1931*v01_DaughterShare&gt;=v01_MinDaughter),MAX(1,ROUND(AE1931*v01_FissionRate,0)),0)</x:f>
        <x:v>0</x:v>
      </x:c>
      <x:c r="AE1932" s="8" t="n">
        <x:f>IF(H1932=1,MAX(1,MIN(INDEX(v01_Smax,G1932),AE1931+AD1932)),AE1931)</x:f>
        <x:v>15</x:v>
      </x:c>
      <x:c r="AF1932" s="8" t="n">
        <x:f>MAX(0,AE1932-AE1931)</x:f>
        <x:v>0</x:v>
      </x:c>
      <x:c r="AG1932" s="9" t="str">
        <x:f>IF(AF1932&gt;0,B1932,"")</x:f>
      </x:c>
      <x:c r="AH1932" s="9" t="n">
        <x:f>IF(F1932&gt;=1,1,(1+v01_LowTiesShare*(AE1932-1))/AE1932)</x:f>
        <x:v>1</x:v>
      </x:c>
      <x:c r="AI1932" s="32" t="n">
        <x:f>(Z1932+v01_ElderCommons*INDEX(LM_Elder,G1932)*AA1932)*AH1932</x:f>
        <x:v>64139.732591141874</x:v>
      </x:c>
      <x:c r="AJ1932" s="32" t="n">
        <x:f>H1932*v01_CommonsCoef*AI1932^v01_CommonsExp*INDEX(LM_Commons,G1932)</x:f>
        <x:v>0</x:v>
      </x:c>
      <x:c r="AK1932" s="32" t="n">
        <x:f>H1932*v01_RoleScale*Arch_Roles*(AE1932*(INDEX(v01_ElderRolePerSett,G1932)*v01_OutElder*INDEX(LM_Elder,G1932)+INDEX(v01_ShamanPerSett,G1932)*v01_OutShaman)+Z1932*(INDEX(v01_PriestShare,G1932)*v01_OutPriest+INDEX(v01_ScribeShare,G1932)*v01_OutScribe*INDEX(LM_Scribe,G1932)+INDEX(v01_ScholarShare,G1932)*v01_OutScholar*INDEX(LM_Scholar,G1932)+INDEX(v01_ResearcherShare,G1932)*v01_OutResearcher*INDEX(LM_Researcher,G1932)))</x:f>
        <x:v>0</x:v>
      </x:c>
      <x:c r="AL1932" s="32" t="n">
        <x:f>H1932*v01_RoleScale*Arch_Roles*AE1932*INDEX(v01_MonasteryPerSett,G1932)*v01_OutMonastery*INDEX(LM_Monastery,G1932)</x:f>
        <x:v>0</x:v>
      </x:c>
      <x:c r="AM1932" s="32" t="n">
        <x:f>(AJ1932+AK1932+AL1932)/4*INDEX(LM_All,G1932)*INDEX(v01_Boon,G1932)*Arch_Insight</x:f>
        <x:v>0</x:v>
      </x:c>
      <x:c r="AN1932" s="32" t="n">
        <x:f>H1932*(v01_KHPerAdult*Z1932+v01_KHOfCommons*AJ1932/4*INDEX(LM_All,G1932))*v01_KHUsable*Arch_KH</x:f>
        <x:v>0</x:v>
      </x:c>
      <x:c r="AO1932" s="32" t="n">
        <x:f>MIN(AP1931+AN1932,AM1932*v01_KHMaxRatio)</x:f>
        <x:v>0</x:v>
      </x:c>
      <x:c r="AP1932" s="32" t="n">
        <x:f>AP1931+AN1932-AO1932</x:f>
        <x:v>0</x:v>
      </x:c>
      <x:c r="AQ1932" s="32" t="n">
        <x:f>AM1932+AO1932</x:f>
        <x:v>0</x:v>
      </x:c>
      <x:c r="AR1932" s="10" t="n">
        <x:f>IF(H1932=1,INDEX(v01_Req,G1932),0)</x:f>
        <x:v>0</x:v>
      </x:c>
      <x:c r="AS1932" s="32" t="n">
        <x:f>IF(H1932=1,IF(E1932=1,AS1931-AR1931,AS1931)+AQ1932,0)</x:f>
        <x:v>0</x:v>
      </x:c>
      <x:c r="AT1932" s="11" t="n">
        <x:f>IF(AR1932&gt;0,MIN(1,AS1932/AR1932),1)</x:f>
        <x:v>1</x:v>
      </x:c>
      <x:c r="AU1932" s="10" t="n">
        <x:f>AB1932/INDEX(v01_RepScale,G1932)</x:f>
        <x:v>90.09519605746344</x:v>
      </x:c>
      <x:c r="AV1932" s="32" t="n">
        <x:f>AM1932*60/v01_SeasonSeconds</x:f>
        <x:v>0</x:v>
      </x:c>
    </x:row>
    <x:row r="1933">
      <x:c r="A1933" s="8" t="n">
        <x:f>A1932+1</x:f>
        <x:v>1930</x:v>
      </x:c>
      <x:c r="B1933" s="9" t="n">
        <x:f>A1933*v01_SeasonSeconds/60</x:f>
        <x:v>482.5</x:v>
      </x:c>
      <x:c r="C1933" s="9" t="n">
        <x:f>A1933/4</x:f>
        <x:v>482.5</x:v>
      </x:c>
      <x:c r="D1933" s="8" t="n">
        <x:f>IF(MOD(A1933,4)=0,1,0)</x:f>
        <x:v>0</x:v>
      </x:c>
      <x:c r="E1933" s="8" t="n">
        <x:f>IF(AND(F1932&lt;=9,AS1932&gt;=AR1932),1,0)</x:f>
        <x:v>0</x:v>
      </x:c>
      <x:c r="F1933" s="8" t="n">
        <x:f>MIN(10,F1932+E1933)</x:f>
        <x:v>10</x:v>
      </x:c>
      <x:c r="G1933" s="8" t="n">
        <x:f>MIN(F1933,9)+1</x:f>
        <x:v>10</x:v>
      </x:c>
      <x:c r="H1933" s="8" t="n">
        <x:f>IF(F1933&lt;=9,1,0)</x:f>
        <x:v>0</x:v>
      </x:c>
      <x:c r="I1933" s="9" t="n">
        <x:f>MIN(10,F1932+IF(AR1932&gt;0,MIN(1,AS1932/AR1932),1))</x:f>
        <x:v>10</x:v>
      </x:c>
      <x:c r="J1933" s="32" t="n">
        <x:f>INDEX(v01_FoodCap,G1933)*Arch_FoodCap*EXP(v01_CapsByProject*SUMPRODUCT((Cap_Point&lt;=I1933)*(Cap_Kind="Food")*Cap_Ln))</x:f>
        <x:v>12000</x:v>
      </x:c>
      <x:c r="K1933" s="32" t="n">
        <x:f>J1933*MIN(1,v01_LeanBase*EXP(v01_CapsByProject*SUMPRODUCT((Cap_Point&lt;=I1933)*(Cap_Kind="Lean")*Cap_Ln)))</x:f>
        <x:v>12000</x:v>
      </x:c>
      <x:c r="L1933" s="10" t="n">
        <x:f>INDEX(v01_HousingCap,G1933)*EXP(v01_CapsByProject*SUMPRODUCT((Cap_Point&lt;=I1933)*(Cap_Kind="Housing")*Cap_Ln))</x:f>
        <x:v>20000</x:v>
      </x:c>
      <x:c r="M1933" s="10" t="n">
        <x:f>INDEX(v01_GroupCap,G1933)*v01_CohesionFactor*EXP(v01_CapsByProject*SUMPRODUCT((Cap_Point&lt;=I1933)*(Cap_Kind="Group")*Cap_Ln))</x:f>
        <x:v>1000000</x:v>
      </x:c>
      <x:c r="N1933" s="32" t="n">
        <x:f>MIN(J1933,L1933,M1933)</x:f>
        <x:v>12000</x:v>
      </x:c>
      <x:c r="O1933" s="10" t="n">
        <x:f>AE1932*N1933</x:f>
        <x:v>180000</x:v>
      </x:c>
      <x:c r="P1933" s="9" t="n">
        <x:f>MIN(1,(AB1932/(AE1932*IF(v01_GroupInCrowding=1,N1933,MIN(J1933,L1933))))^v01_CrowdingExp)</x:f>
        <x:v>0.00024569414295285325</x:v>
      </x:c>
      <x:c r="Q1933" s="9" t="n">
        <x:f>IF(D1933=1,INDEX(v01_WinterMult,G1933),1)</x:f>
        <x:v>1</x:v>
      </x:c>
      <x:c r="R1933" s="9" t="n">
        <x:f>H1933*Z1932*v01_WomenShare*v01_BaseFertility*INDEX(v01_FertMult,G1933)*Arch_Fertility*(1-P1933)</x:f>
        <x:v>0</x:v>
      </x:c>
      <x:c r="S1933" s="9" t="n">
        <x:f>H1933*Y1932*INDEX(v01_MortChild,G1933)/4*Q1933</x:f>
        <x:v>0</x:v>
      </x:c>
      <x:c r="T1933" s="9" t="n">
        <x:f>H1933*Z1932*INDEX(v01_MortAdult,G1933)*Arch_AdultMort/4*Q1933</x:f>
        <x:v>0</x:v>
      </x:c>
      <x:c r="U1933" s="9" t="n">
        <x:f>H1933*AA1932*INDEX(v01_MortElder,G1933)/4*Q1933</x:f>
        <x:v>0</x:v>
      </x:c>
      <x:c r="V1933" s="9" t="n">
        <x:f>H1933*MAX(0,AB1932-O1933)*v01_OvercapLoss</x:f>
        <x:v>0</x:v>
      </x:c>
      <x:c r="W1933" s="9" t="n">
        <x:f>H1933*Y1932/(v01_ChildYears*4)</x:f>
        <x:v>0</x:v>
      </x:c>
      <x:c r="X1933" s="9" t="n">
        <x:f>H1933*Z1932/(v01_AdultYears*4)</x:f>
        <x:v>0</x:v>
      </x:c>
      <x:c r="Y1933" s="32" t="n">
        <x:f>Y1932+R1933-S1933-W1933-Y1932*V1933/AB1932</x:f>
        <x:v>14306.18539759397</x:v>
      </x:c>
      <x:c r="Z1933" s="32" t="n">
        <x:f>Z1932+W1933-X1933-T1933-Z1932*V1933/AB1932</x:f>
        <x:v>19354.456567879548</x:v>
      </x:c>
      <x:c r="AA1933" s="32" t="n">
        <x:f>AA1932+X1933-U1933-AA1932*V1933/AB1932</x:f>
        <x:v>11386.956063258198</x:v>
      </x:c>
      <x:c r="AB1933" s="10" t="n">
        <x:f>Y1933+Z1933+AA1933</x:f>
        <x:v>45047.59802873172</x:v>
      </x:c>
      <x:c r="AC1933" s="8" t="n">
        <x:f>IF(AND(v01_WinterTrigger=1,D1933=1,AB1932/AE1932&gt;=K1933),1,0)</x:f>
        <x:v>0</x:v>
      </x:c>
      <x:c r="AD1933" s="8" t="n">
        <x:f>H1933*IF(AND(OR(AB1932/AE1932&gt;=v01_FissionTrigger*N1933,AC1933=1),AB1932/AE1932*v01_DaughterShare&gt;=v01_MinDaughter),MAX(1,ROUND(AE1932*v01_FissionRate,0)),0)</x:f>
        <x:v>0</x:v>
      </x:c>
      <x:c r="AE1933" s="8" t="n">
        <x:f>IF(H1933=1,MAX(1,MIN(INDEX(v01_Smax,G1933),AE1932+AD1933)),AE1932)</x:f>
        <x:v>15</x:v>
      </x:c>
      <x:c r="AF1933" s="8" t="n">
        <x:f>MAX(0,AE1933-AE1932)</x:f>
        <x:v>0</x:v>
      </x:c>
      <x:c r="AG1933" s="9" t="str">
        <x:f>IF(AF1933&gt;0,B1933,"")</x:f>
      </x:c>
      <x:c r="AH1933" s="9" t="n">
        <x:f>IF(F1933&gt;=1,1,(1+v01_LowTiesShare*(AE1933-1))/AE1933)</x:f>
        <x:v>1</x:v>
      </x:c>
      <x:c r="AI1933" s="32" t="n">
        <x:f>(Z1933+v01_ElderCommons*INDEX(LM_Elder,G1933)*AA1933)*AH1933</x:f>
        <x:v>64139.732591141874</x:v>
      </x:c>
      <x:c r="AJ1933" s="32" t="n">
        <x:f>H1933*v01_CommonsCoef*AI1933^v01_CommonsExp*INDEX(LM_Commons,G1933)</x:f>
        <x:v>0</x:v>
      </x:c>
      <x:c r="AK1933" s="32" t="n">
        <x:f>H1933*v01_RoleScale*Arch_Roles*(AE1933*(INDEX(v01_ElderRolePerSett,G1933)*v01_OutElder*INDEX(LM_Elder,G1933)+INDEX(v01_ShamanPerSett,G1933)*v01_OutShaman)+Z1933*(INDEX(v01_PriestShare,G1933)*v01_OutPriest+INDEX(v01_ScribeShare,G1933)*v01_OutScribe*INDEX(LM_Scribe,G1933)+INDEX(v01_ScholarShare,G1933)*v01_OutScholar*INDEX(LM_Scholar,G1933)+INDEX(v01_ResearcherShare,G1933)*v01_OutResearcher*INDEX(LM_Researcher,G1933)))</x:f>
        <x:v>0</x:v>
      </x:c>
      <x:c r="AL1933" s="32" t="n">
        <x:f>H1933*v01_RoleScale*Arch_Roles*AE1933*INDEX(v01_MonasteryPerSett,G1933)*v01_OutMonastery*INDEX(LM_Monastery,G1933)</x:f>
        <x:v>0</x:v>
      </x:c>
      <x:c r="AM1933" s="32" t="n">
        <x:f>(AJ1933+AK1933+AL1933)/4*INDEX(LM_All,G1933)*INDEX(v01_Boon,G1933)*Arch_Insight</x:f>
        <x:v>0</x:v>
      </x:c>
      <x:c r="AN1933" s="32" t="n">
        <x:f>H1933*(v01_KHPerAdult*Z1933+v01_KHOfCommons*AJ1933/4*INDEX(LM_All,G1933))*v01_KHUsable*Arch_KH</x:f>
        <x:v>0</x:v>
      </x:c>
      <x:c r="AO1933" s="32" t="n">
        <x:f>MIN(AP1932+AN1933,AM1933*v01_KHMaxRatio)</x:f>
        <x:v>0</x:v>
      </x:c>
      <x:c r="AP1933" s="32" t="n">
        <x:f>AP1932+AN1933-AO1933</x:f>
        <x:v>0</x:v>
      </x:c>
      <x:c r="AQ1933" s="32" t="n">
        <x:f>AM1933+AO1933</x:f>
        <x:v>0</x:v>
      </x:c>
      <x:c r="AR1933" s="10" t="n">
        <x:f>IF(H1933=1,INDEX(v01_Req,G1933),0)</x:f>
        <x:v>0</x:v>
      </x:c>
      <x:c r="AS1933" s="32" t="n">
        <x:f>IF(H1933=1,IF(E1933=1,AS1932-AR1932,AS1932)+AQ1933,0)</x:f>
        <x:v>0</x:v>
      </x:c>
      <x:c r="AT1933" s="11" t="n">
        <x:f>IF(AR1933&gt;0,MIN(1,AS1933/AR1933),1)</x:f>
        <x:v>1</x:v>
      </x:c>
      <x:c r="AU1933" s="10" t="n">
        <x:f>AB1933/INDEX(v01_RepScale,G1933)</x:f>
        <x:v>90.09519605746344</x:v>
      </x:c>
      <x:c r="AV1933" s="32" t="n">
        <x:f>AM1933*60/v01_SeasonSeconds</x:f>
        <x:v>0</x:v>
      </x:c>
    </x:row>
    <x:row r="1934">
      <x:c r="A1934" s="8" t="n">
        <x:f>A1933+1</x:f>
        <x:v>1931</x:v>
      </x:c>
      <x:c r="B1934" s="9" t="n">
        <x:f>A1934*v01_SeasonSeconds/60</x:f>
        <x:v>482.75</x:v>
      </x:c>
      <x:c r="C1934" s="9" t="n">
        <x:f>A1934/4</x:f>
        <x:v>482.75</x:v>
      </x:c>
      <x:c r="D1934" s="8" t="n">
        <x:f>IF(MOD(A1934,4)=0,1,0)</x:f>
        <x:v>0</x:v>
      </x:c>
      <x:c r="E1934" s="8" t="n">
        <x:f>IF(AND(F1933&lt;=9,AS1933&gt;=AR1933),1,0)</x:f>
        <x:v>0</x:v>
      </x:c>
      <x:c r="F1934" s="8" t="n">
        <x:f>MIN(10,F1933+E1934)</x:f>
        <x:v>10</x:v>
      </x:c>
      <x:c r="G1934" s="8" t="n">
        <x:f>MIN(F1934,9)+1</x:f>
        <x:v>10</x:v>
      </x:c>
      <x:c r="H1934" s="8" t="n">
        <x:f>IF(F1934&lt;=9,1,0)</x:f>
        <x:v>0</x:v>
      </x:c>
      <x:c r="I1934" s="9" t="n">
        <x:f>MIN(10,F1933+IF(AR1933&gt;0,MIN(1,AS1933/AR1933),1))</x:f>
        <x:v>10</x:v>
      </x:c>
      <x:c r="J1934" s="32" t="n">
        <x:f>INDEX(v01_FoodCap,G1934)*Arch_FoodCap*EXP(v01_CapsByProject*SUMPRODUCT((Cap_Point&lt;=I1934)*(Cap_Kind="Food")*Cap_Ln))</x:f>
        <x:v>12000</x:v>
      </x:c>
      <x:c r="K1934" s="32" t="n">
        <x:f>J1934*MIN(1,v01_LeanBase*EXP(v01_CapsByProject*SUMPRODUCT((Cap_Point&lt;=I1934)*(Cap_Kind="Lean")*Cap_Ln)))</x:f>
        <x:v>12000</x:v>
      </x:c>
      <x:c r="L1934" s="10" t="n">
        <x:f>INDEX(v01_HousingCap,G1934)*EXP(v01_CapsByProject*SUMPRODUCT((Cap_Point&lt;=I1934)*(Cap_Kind="Housing")*Cap_Ln))</x:f>
        <x:v>20000</x:v>
      </x:c>
      <x:c r="M1934" s="10" t="n">
        <x:f>INDEX(v01_GroupCap,G1934)*v01_CohesionFactor*EXP(v01_CapsByProject*SUMPRODUCT((Cap_Point&lt;=I1934)*(Cap_Kind="Group")*Cap_Ln))</x:f>
        <x:v>1000000</x:v>
      </x:c>
      <x:c r="N1934" s="32" t="n">
        <x:f>MIN(J1934,L1934,M1934)</x:f>
        <x:v>12000</x:v>
      </x:c>
      <x:c r="O1934" s="10" t="n">
        <x:f>AE1933*N1934</x:f>
        <x:v>180000</x:v>
      </x:c>
      <x:c r="P1934" s="9" t="n">
        <x:f>MIN(1,(AB1933/(AE1933*IF(v01_GroupInCrowding=1,N1934,MIN(J1934,L1934))))^v01_CrowdingExp)</x:f>
        <x:v>0.00024569414295285325</x:v>
      </x:c>
      <x:c r="Q1934" s="9" t="n">
        <x:f>IF(D1934=1,INDEX(v01_WinterMult,G1934),1)</x:f>
        <x:v>1</x:v>
      </x:c>
      <x:c r="R1934" s="9" t="n">
        <x:f>H1934*Z1933*v01_WomenShare*v01_BaseFertility*INDEX(v01_FertMult,G1934)*Arch_Fertility*(1-P1934)</x:f>
        <x:v>0</x:v>
      </x:c>
      <x:c r="S1934" s="9" t="n">
        <x:f>H1934*Y1933*INDEX(v01_MortChild,G1934)/4*Q1934</x:f>
        <x:v>0</x:v>
      </x:c>
      <x:c r="T1934" s="9" t="n">
        <x:f>H1934*Z1933*INDEX(v01_MortAdult,G1934)*Arch_AdultMort/4*Q1934</x:f>
        <x:v>0</x:v>
      </x:c>
      <x:c r="U1934" s="9" t="n">
        <x:f>H1934*AA1933*INDEX(v01_MortElder,G1934)/4*Q1934</x:f>
        <x:v>0</x:v>
      </x:c>
      <x:c r="V1934" s="9" t="n">
        <x:f>H1934*MAX(0,AB1933-O1934)*v01_OvercapLoss</x:f>
        <x:v>0</x:v>
      </x:c>
      <x:c r="W1934" s="9" t="n">
        <x:f>H1934*Y1933/(v01_ChildYears*4)</x:f>
        <x:v>0</x:v>
      </x:c>
      <x:c r="X1934" s="9" t="n">
        <x:f>H1934*Z1933/(v01_AdultYears*4)</x:f>
        <x:v>0</x:v>
      </x:c>
      <x:c r="Y1934" s="32" t="n">
        <x:f>Y1933+R1934-S1934-W1934-Y1933*V1934/AB1933</x:f>
        <x:v>14306.18539759397</x:v>
      </x:c>
      <x:c r="Z1934" s="32" t="n">
        <x:f>Z1933+W1934-X1934-T1934-Z1933*V1934/AB1933</x:f>
        <x:v>19354.456567879548</x:v>
      </x:c>
      <x:c r="AA1934" s="32" t="n">
        <x:f>AA1933+X1934-U1934-AA1933*V1934/AB1933</x:f>
        <x:v>11386.956063258198</x:v>
      </x:c>
      <x:c r="AB1934" s="10" t="n">
        <x:f>Y1934+Z1934+AA1934</x:f>
        <x:v>45047.59802873172</x:v>
      </x:c>
      <x:c r="AC1934" s="8" t="n">
        <x:f>IF(AND(v01_WinterTrigger=1,D1934=1,AB1933/AE1933&gt;=K1934),1,0)</x:f>
        <x:v>0</x:v>
      </x:c>
      <x:c r="AD1934" s="8" t="n">
        <x:f>H1934*IF(AND(OR(AB1933/AE1933&gt;=v01_FissionTrigger*N1934,AC1934=1),AB1933/AE1933*v01_DaughterShare&gt;=v01_MinDaughter),MAX(1,ROUND(AE1933*v01_FissionRate,0)),0)</x:f>
        <x:v>0</x:v>
      </x:c>
      <x:c r="AE1934" s="8" t="n">
        <x:f>IF(H1934=1,MAX(1,MIN(INDEX(v01_Smax,G1934),AE1933+AD1934)),AE1933)</x:f>
        <x:v>15</x:v>
      </x:c>
      <x:c r="AF1934" s="8" t="n">
        <x:f>MAX(0,AE1934-AE1933)</x:f>
        <x:v>0</x:v>
      </x:c>
      <x:c r="AG1934" s="9" t="str">
        <x:f>IF(AF1934&gt;0,B1934,"")</x:f>
      </x:c>
      <x:c r="AH1934" s="9" t="n">
        <x:f>IF(F1934&gt;=1,1,(1+v01_LowTiesShare*(AE1934-1))/AE1934)</x:f>
        <x:v>1</x:v>
      </x:c>
      <x:c r="AI1934" s="32" t="n">
        <x:f>(Z1934+v01_ElderCommons*INDEX(LM_Elder,G1934)*AA1934)*AH1934</x:f>
        <x:v>64139.732591141874</x:v>
      </x:c>
      <x:c r="AJ1934" s="32" t="n">
        <x:f>H1934*v01_CommonsCoef*AI1934^v01_CommonsExp*INDEX(LM_Commons,G1934)</x:f>
        <x:v>0</x:v>
      </x:c>
      <x:c r="AK1934" s="32" t="n">
        <x:f>H1934*v01_RoleScale*Arch_Roles*(AE1934*(INDEX(v01_ElderRolePerSett,G1934)*v01_OutElder*INDEX(LM_Elder,G1934)+INDEX(v01_ShamanPerSett,G1934)*v01_OutShaman)+Z1934*(INDEX(v01_PriestShare,G1934)*v01_OutPriest+INDEX(v01_ScribeShare,G1934)*v01_OutScribe*INDEX(LM_Scribe,G1934)+INDEX(v01_ScholarShare,G1934)*v01_OutScholar*INDEX(LM_Scholar,G1934)+INDEX(v01_ResearcherShare,G1934)*v01_OutResearcher*INDEX(LM_Researcher,G1934)))</x:f>
        <x:v>0</x:v>
      </x:c>
      <x:c r="AL1934" s="32" t="n">
        <x:f>H1934*v01_RoleScale*Arch_Roles*AE1934*INDEX(v01_MonasteryPerSett,G1934)*v01_OutMonastery*INDEX(LM_Monastery,G1934)</x:f>
        <x:v>0</x:v>
      </x:c>
      <x:c r="AM1934" s="32" t="n">
        <x:f>(AJ1934+AK1934+AL1934)/4*INDEX(LM_All,G1934)*INDEX(v01_Boon,G1934)*Arch_Insight</x:f>
        <x:v>0</x:v>
      </x:c>
      <x:c r="AN1934" s="32" t="n">
        <x:f>H1934*(v01_KHPerAdult*Z1934+v01_KHOfCommons*AJ1934/4*INDEX(LM_All,G1934))*v01_KHUsable*Arch_KH</x:f>
        <x:v>0</x:v>
      </x:c>
      <x:c r="AO1934" s="32" t="n">
        <x:f>MIN(AP1933+AN1934,AM1934*v01_KHMaxRatio)</x:f>
        <x:v>0</x:v>
      </x:c>
      <x:c r="AP1934" s="32" t="n">
        <x:f>AP1933+AN1934-AO1934</x:f>
        <x:v>0</x:v>
      </x:c>
      <x:c r="AQ1934" s="32" t="n">
        <x:f>AM1934+AO1934</x:f>
        <x:v>0</x:v>
      </x:c>
      <x:c r="AR1934" s="10" t="n">
        <x:f>IF(H1934=1,INDEX(v01_Req,G1934),0)</x:f>
        <x:v>0</x:v>
      </x:c>
      <x:c r="AS1934" s="32" t="n">
        <x:f>IF(H1934=1,IF(E1934=1,AS1933-AR1933,AS1933)+AQ1934,0)</x:f>
        <x:v>0</x:v>
      </x:c>
      <x:c r="AT1934" s="11" t="n">
        <x:f>IF(AR1934&gt;0,MIN(1,AS1934/AR1934),1)</x:f>
        <x:v>1</x:v>
      </x:c>
      <x:c r="AU1934" s="10" t="n">
        <x:f>AB1934/INDEX(v01_RepScale,G1934)</x:f>
        <x:v>90.09519605746344</x:v>
      </x:c>
      <x:c r="AV1934" s="32" t="n">
        <x:f>AM1934*60/v01_SeasonSeconds</x:f>
        <x:v>0</x:v>
      </x:c>
    </x:row>
    <x:row r="1935">
      <x:c r="A1935" s="8" t="n">
        <x:f>A1934+1</x:f>
        <x:v>1932</x:v>
      </x:c>
      <x:c r="B1935" s="9" t="n">
        <x:f>A1935*v01_SeasonSeconds/60</x:f>
        <x:v>483</x:v>
      </x:c>
      <x:c r="C1935" s="9" t="n">
        <x:f>A1935/4</x:f>
        <x:v>483</x:v>
      </x:c>
      <x:c r="D1935" s="8" t="n">
        <x:f>IF(MOD(A1935,4)=0,1,0)</x:f>
        <x:v>1</x:v>
      </x:c>
      <x:c r="E1935" s="8" t="n">
        <x:f>IF(AND(F1934&lt;=9,AS1934&gt;=AR1934),1,0)</x:f>
        <x:v>0</x:v>
      </x:c>
      <x:c r="F1935" s="8" t="n">
        <x:f>MIN(10,F1934+E1935)</x:f>
        <x:v>10</x:v>
      </x:c>
      <x:c r="G1935" s="8" t="n">
        <x:f>MIN(F1935,9)+1</x:f>
        <x:v>10</x:v>
      </x:c>
      <x:c r="H1935" s="8" t="n">
        <x:f>IF(F1935&lt;=9,1,0)</x:f>
        <x:v>0</x:v>
      </x:c>
      <x:c r="I1935" s="9" t="n">
        <x:f>MIN(10,F1934+IF(AR1934&gt;0,MIN(1,AS1934/AR1934),1))</x:f>
        <x:v>10</x:v>
      </x:c>
      <x:c r="J1935" s="32" t="n">
        <x:f>INDEX(v01_FoodCap,G1935)*Arch_FoodCap*EXP(v01_CapsByProject*SUMPRODUCT((Cap_Point&lt;=I1935)*(Cap_Kind="Food")*Cap_Ln))</x:f>
        <x:v>12000</x:v>
      </x:c>
      <x:c r="K1935" s="32" t="n">
        <x:f>J1935*MIN(1,v01_LeanBase*EXP(v01_CapsByProject*SUMPRODUCT((Cap_Point&lt;=I1935)*(Cap_Kind="Lean")*Cap_Ln)))</x:f>
        <x:v>12000</x:v>
      </x:c>
      <x:c r="L1935" s="10" t="n">
        <x:f>INDEX(v01_HousingCap,G1935)*EXP(v01_CapsByProject*SUMPRODUCT((Cap_Point&lt;=I1935)*(Cap_Kind="Housing")*Cap_Ln))</x:f>
        <x:v>20000</x:v>
      </x:c>
      <x:c r="M1935" s="10" t="n">
        <x:f>INDEX(v01_GroupCap,G1935)*v01_CohesionFactor*EXP(v01_CapsByProject*SUMPRODUCT((Cap_Point&lt;=I1935)*(Cap_Kind="Group")*Cap_Ln))</x:f>
        <x:v>1000000</x:v>
      </x:c>
      <x:c r="N1935" s="32" t="n">
        <x:f>MIN(J1935,L1935,M1935)</x:f>
        <x:v>12000</x:v>
      </x:c>
      <x:c r="O1935" s="10" t="n">
        <x:f>AE1934*N1935</x:f>
        <x:v>180000</x:v>
      </x:c>
      <x:c r="P1935" s="9" t="n">
        <x:f>MIN(1,(AB1934/(AE1934*IF(v01_GroupInCrowding=1,N1935,MIN(J1935,L1935))))^v01_CrowdingExp)</x:f>
        <x:v>0.00024569414295285325</x:v>
      </x:c>
      <x:c r="Q1935" s="9" t="n">
        <x:f>IF(D1935=1,INDEX(v01_WinterMult,G1935),1)</x:f>
        <x:v>1</x:v>
      </x:c>
      <x:c r="R1935" s="9" t="n">
        <x:f>H1935*Z1934*v01_WomenShare*v01_BaseFertility*INDEX(v01_FertMult,G1935)*Arch_Fertility*(1-P1935)</x:f>
        <x:v>0</x:v>
      </x:c>
      <x:c r="S1935" s="9" t="n">
        <x:f>H1935*Y1934*INDEX(v01_MortChild,G1935)/4*Q1935</x:f>
        <x:v>0</x:v>
      </x:c>
      <x:c r="T1935" s="9" t="n">
        <x:f>H1935*Z1934*INDEX(v01_MortAdult,G1935)*Arch_AdultMort/4*Q1935</x:f>
        <x:v>0</x:v>
      </x:c>
      <x:c r="U1935" s="9" t="n">
        <x:f>H1935*AA1934*INDEX(v01_MortElder,G1935)/4*Q1935</x:f>
        <x:v>0</x:v>
      </x:c>
      <x:c r="V1935" s="9" t="n">
        <x:f>H1935*MAX(0,AB1934-O1935)*v01_OvercapLoss</x:f>
        <x:v>0</x:v>
      </x:c>
      <x:c r="W1935" s="9" t="n">
        <x:f>H1935*Y1934/(v01_ChildYears*4)</x:f>
        <x:v>0</x:v>
      </x:c>
      <x:c r="X1935" s="9" t="n">
        <x:f>H1935*Z1934/(v01_AdultYears*4)</x:f>
        <x:v>0</x:v>
      </x:c>
      <x:c r="Y1935" s="32" t="n">
        <x:f>Y1934+R1935-S1935-W1935-Y1934*V1935/AB1934</x:f>
        <x:v>14306.18539759397</x:v>
      </x:c>
      <x:c r="Z1935" s="32" t="n">
        <x:f>Z1934+W1935-X1935-T1935-Z1934*V1935/AB1934</x:f>
        <x:v>19354.456567879548</x:v>
      </x:c>
      <x:c r="AA1935" s="32" t="n">
        <x:f>AA1934+X1935-U1935-AA1934*V1935/AB1934</x:f>
        <x:v>11386.956063258198</x:v>
      </x:c>
      <x:c r="AB1935" s="10" t="n">
        <x:f>Y1935+Z1935+AA1935</x:f>
        <x:v>45047.59802873172</x:v>
      </x:c>
      <x:c r="AC1935" s="8" t="n">
        <x:f>IF(AND(v01_WinterTrigger=1,D1935=1,AB1934/AE1934&gt;=K1935),1,0)</x:f>
        <x:v>0</x:v>
      </x:c>
      <x:c r="AD1935" s="8" t="n">
        <x:f>H1935*IF(AND(OR(AB1934/AE1934&gt;=v01_FissionTrigger*N1935,AC1935=1),AB1934/AE1934*v01_DaughterShare&gt;=v01_MinDaughter),MAX(1,ROUND(AE1934*v01_FissionRate,0)),0)</x:f>
        <x:v>0</x:v>
      </x:c>
      <x:c r="AE1935" s="8" t="n">
        <x:f>IF(H1935=1,MAX(1,MIN(INDEX(v01_Smax,G1935),AE1934+AD1935)),AE1934)</x:f>
        <x:v>15</x:v>
      </x:c>
      <x:c r="AF1935" s="8" t="n">
        <x:f>MAX(0,AE1935-AE1934)</x:f>
        <x:v>0</x:v>
      </x:c>
      <x:c r="AG1935" s="9" t="str">
        <x:f>IF(AF1935&gt;0,B1935,"")</x:f>
      </x:c>
      <x:c r="AH1935" s="9" t="n">
        <x:f>IF(F1935&gt;=1,1,(1+v01_LowTiesShare*(AE1935-1))/AE1935)</x:f>
        <x:v>1</x:v>
      </x:c>
      <x:c r="AI1935" s="32" t="n">
        <x:f>(Z1935+v01_ElderCommons*INDEX(LM_Elder,G1935)*AA1935)*AH1935</x:f>
        <x:v>64139.732591141874</x:v>
      </x:c>
      <x:c r="AJ1935" s="32" t="n">
        <x:f>H1935*v01_CommonsCoef*AI1935^v01_CommonsExp*INDEX(LM_Commons,G1935)</x:f>
        <x:v>0</x:v>
      </x:c>
      <x:c r="AK1935" s="32" t="n">
        <x:f>H1935*v01_RoleScale*Arch_Roles*(AE1935*(INDEX(v01_ElderRolePerSett,G1935)*v01_OutElder*INDEX(LM_Elder,G1935)+INDEX(v01_ShamanPerSett,G1935)*v01_OutShaman)+Z1935*(INDEX(v01_PriestShare,G1935)*v01_OutPriest+INDEX(v01_ScribeShare,G1935)*v01_OutScribe*INDEX(LM_Scribe,G1935)+INDEX(v01_ScholarShare,G1935)*v01_OutScholar*INDEX(LM_Scholar,G1935)+INDEX(v01_ResearcherShare,G1935)*v01_OutResearcher*INDEX(LM_Researcher,G1935)))</x:f>
        <x:v>0</x:v>
      </x:c>
      <x:c r="AL1935" s="32" t="n">
        <x:f>H1935*v01_RoleScale*Arch_Roles*AE1935*INDEX(v01_MonasteryPerSett,G1935)*v01_OutMonastery*INDEX(LM_Monastery,G1935)</x:f>
        <x:v>0</x:v>
      </x:c>
      <x:c r="AM1935" s="32" t="n">
        <x:f>(AJ1935+AK1935+AL1935)/4*INDEX(LM_All,G1935)*INDEX(v01_Boon,G1935)*Arch_Insight</x:f>
        <x:v>0</x:v>
      </x:c>
      <x:c r="AN1935" s="32" t="n">
        <x:f>H1935*(v01_KHPerAdult*Z1935+v01_KHOfCommons*AJ1935/4*INDEX(LM_All,G1935))*v01_KHUsable*Arch_KH</x:f>
        <x:v>0</x:v>
      </x:c>
      <x:c r="AO1935" s="32" t="n">
        <x:f>MIN(AP1934+AN1935,AM1935*v01_KHMaxRatio)</x:f>
        <x:v>0</x:v>
      </x:c>
      <x:c r="AP1935" s="32" t="n">
        <x:f>AP1934+AN1935-AO1935</x:f>
        <x:v>0</x:v>
      </x:c>
      <x:c r="AQ1935" s="32" t="n">
        <x:f>AM1935+AO1935</x:f>
        <x:v>0</x:v>
      </x:c>
      <x:c r="AR1935" s="10" t="n">
        <x:f>IF(H1935=1,INDEX(v01_Req,G1935),0)</x:f>
        <x:v>0</x:v>
      </x:c>
      <x:c r="AS1935" s="32" t="n">
        <x:f>IF(H1935=1,IF(E1935=1,AS1934-AR1934,AS1934)+AQ1935,0)</x:f>
        <x:v>0</x:v>
      </x:c>
      <x:c r="AT1935" s="11" t="n">
        <x:f>IF(AR1935&gt;0,MIN(1,AS1935/AR1935),1)</x:f>
        <x:v>1</x:v>
      </x:c>
      <x:c r="AU1935" s="10" t="n">
        <x:f>AB1935/INDEX(v01_RepScale,G1935)</x:f>
        <x:v>90.09519605746344</x:v>
      </x:c>
      <x:c r="AV1935" s="32" t="n">
        <x:f>AM1935*60/v01_SeasonSeconds</x:f>
        <x:v>0</x:v>
      </x:c>
    </x:row>
    <x:row r="1936">
      <x:c r="A1936" s="8" t="n">
        <x:f>A1935+1</x:f>
        <x:v>1933</x:v>
      </x:c>
      <x:c r="B1936" s="9" t="n">
        <x:f>A1936*v01_SeasonSeconds/60</x:f>
        <x:v>483.25</x:v>
      </x:c>
      <x:c r="C1936" s="9" t="n">
        <x:f>A1936/4</x:f>
        <x:v>483.25</x:v>
      </x:c>
      <x:c r="D1936" s="8" t="n">
        <x:f>IF(MOD(A1936,4)=0,1,0)</x:f>
        <x:v>0</x:v>
      </x:c>
      <x:c r="E1936" s="8" t="n">
        <x:f>IF(AND(F1935&lt;=9,AS1935&gt;=AR1935),1,0)</x:f>
        <x:v>0</x:v>
      </x:c>
      <x:c r="F1936" s="8" t="n">
        <x:f>MIN(10,F1935+E1936)</x:f>
        <x:v>10</x:v>
      </x:c>
      <x:c r="G1936" s="8" t="n">
        <x:f>MIN(F1936,9)+1</x:f>
        <x:v>10</x:v>
      </x:c>
      <x:c r="H1936" s="8" t="n">
        <x:f>IF(F1936&lt;=9,1,0)</x:f>
        <x:v>0</x:v>
      </x:c>
      <x:c r="I1936" s="9" t="n">
        <x:f>MIN(10,F1935+IF(AR1935&gt;0,MIN(1,AS1935/AR1935),1))</x:f>
        <x:v>10</x:v>
      </x:c>
      <x:c r="J1936" s="32" t="n">
        <x:f>INDEX(v01_FoodCap,G1936)*Arch_FoodCap*EXP(v01_CapsByProject*SUMPRODUCT((Cap_Point&lt;=I1936)*(Cap_Kind="Food")*Cap_Ln))</x:f>
        <x:v>12000</x:v>
      </x:c>
      <x:c r="K1936" s="32" t="n">
        <x:f>J1936*MIN(1,v01_LeanBase*EXP(v01_CapsByProject*SUMPRODUCT((Cap_Point&lt;=I1936)*(Cap_Kind="Lean")*Cap_Ln)))</x:f>
        <x:v>12000</x:v>
      </x:c>
      <x:c r="L1936" s="10" t="n">
        <x:f>INDEX(v01_HousingCap,G1936)*EXP(v01_CapsByProject*SUMPRODUCT((Cap_Point&lt;=I1936)*(Cap_Kind="Housing")*Cap_Ln))</x:f>
        <x:v>20000</x:v>
      </x:c>
      <x:c r="M1936" s="10" t="n">
        <x:f>INDEX(v01_GroupCap,G1936)*v01_CohesionFactor*EXP(v01_CapsByProject*SUMPRODUCT((Cap_Point&lt;=I1936)*(Cap_Kind="Group")*Cap_Ln))</x:f>
        <x:v>1000000</x:v>
      </x:c>
      <x:c r="N1936" s="32" t="n">
        <x:f>MIN(J1936,L1936,M1936)</x:f>
        <x:v>12000</x:v>
      </x:c>
      <x:c r="O1936" s="10" t="n">
        <x:f>AE1935*N1936</x:f>
        <x:v>180000</x:v>
      </x:c>
      <x:c r="P1936" s="9" t="n">
        <x:f>MIN(1,(AB1935/(AE1935*IF(v01_GroupInCrowding=1,N1936,MIN(J1936,L1936))))^v01_CrowdingExp)</x:f>
        <x:v>0.00024569414295285325</x:v>
      </x:c>
      <x:c r="Q1936" s="9" t="n">
        <x:f>IF(D1936=1,INDEX(v01_WinterMult,G1936),1)</x:f>
        <x:v>1</x:v>
      </x:c>
      <x:c r="R1936" s="9" t="n">
        <x:f>H1936*Z1935*v01_WomenShare*v01_BaseFertility*INDEX(v01_FertMult,G1936)*Arch_Fertility*(1-P1936)</x:f>
        <x:v>0</x:v>
      </x:c>
      <x:c r="S1936" s="9" t="n">
        <x:f>H1936*Y1935*INDEX(v01_MortChild,G1936)/4*Q1936</x:f>
        <x:v>0</x:v>
      </x:c>
      <x:c r="T1936" s="9" t="n">
        <x:f>H1936*Z1935*INDEX(v01_MortAdult,G1936)*Arch_AdultMort/4*Q1936</x:f>
        <x:v>0</x:v>
      </x:c>
      <x:c r="U1936" s="9" t="n">
        <x:f>H1936*AA1935*INDEX(v01_MortElder,G1936)/4*Q1936</x:f>
        <x:v>0</x:v>
      </x:c>
      <x:c r="V1936" s="9" t="n">
        <x:f>H1936*MAX(0,AB1935-O1936)*v01_OvercapLoss</x:f>
        <x:v>0</x:v>
      </x:c>
      <x:c r="W1936" s="9" t="n">
        <x:f>H1936*Y1935/(v01_ChildYears*4)</x:f>
        <x:v>0</x:v>
      </x:c>
      <x:c r="X1936" s="9" t="n">
        <x:f>H1936*Z1935/(v01_AdultYears*4)</x:f>
        <x:v>0</x:v>
      </x:c>
      <x:c r="Y1936" s="32" t="n">
        <x:f>Y1935+R1936-S1936-W1936-Y1935*V1936/AB1935</x:f>
        <x:v>14306.18539759397</x:v>
      </x:c>
      <x:c r="Z1936" s="32" t="n">
        <x:f>Z1935+W1936-X1936-T1936-Z1935*V1936/AB1935</x:f>
        <x:v>19354.456567879548</x:v>
      </x:c>
      <x:c r="AA1936" s="32" t="n">
        <x:f>AA1935+X1936-U1936-AA1935*V1936/AB1935</x:f>
        <x:v>11386.956063258198</x:v>
      </x:c>
      <x:c r="AB1936" s="10" t="n">
        <x:f>Y1936+Z1936+AA1936</x:f>
        <x:v>45047.59802873172</x:v>
      </x:c>
      <x:c r="AC1936" s="8" t="n">
        <x:f>IF(AND(v01_WinterTrigger=1,D1936=1,AB1935/AE1935&gt;=K1936),1,0)</x:f>
        <x:v>0</x:v>
      </x:c>
      <x:c r="AD1936" s="8" t="n">
        <x:f>H1936*IF(AND(OR(AB1935/AE1935&gt;=v01_FissionTrigger*N1936,AC1936=1),AB1935/AE1935*v01_DaughterShare&gt;=v01_MinDaughter),MAX(1,ROUND(AE1935*v01_FissionRate,0)),0)</x:f>
        <x:v>0</x:v>
      </x:c>
      <x:c r="AE1936" s="8" t="n">
        <x:f>IF(H1936=1,MAX(1,MIN(INDEX(v01_Smax,G1936),AE1935+AD1936)),AE1935)</x:f>
        <x:v>15</x:v>
      </x:c>
      <x:c r="AF1936" s="8" t="n">
        <x:f>MAX(0,AE1936-AE1935)</x:f>
        <x:v>0</x:v>
      </x:c>
      <x:c r="AG1936" s="9" t="str">
        <x:f>IF(AF1936&gt;0,B1936,"")</x:f>
      </x:c>
      <x:c r="AH1936" s="9" t="n">
        <x:f>IF(F1936&gt;=1,1,(1+v01_LowTiesShare*(AE1936-1))/AE1936)</x:f>
        <x:v>1</x:v>
      </x:c>
      <x:c r="AI1936" s="32" t="n">
        <x:f>(Z1936+v01_ElderCommons*INDEX(LM_Elder,G1936)*AA1936)*AH1936</x:f>
        <x:v>64139.732591141874</x:v>
      </x:c>
      <x:c r="AJ1936" s="32" t="n">
        <x:f>H1936*v01_CommonsCoef*AI1936^v01_CommonsExp*INDEX(LM_Commons,G1936)</x:f>
        <x:v>0</x:v>
      </x:c>
      <x:c r="AK1936" s="32" t="n">
        <x:f>H1936*v01_RoleScale*Arch_Roles*(AE1936*(INDEX(v01_ElderRolePerSett,G1936)*v01_OutElder*INDEX(LM_Elder,G1936)+INDEX(v01_ShamanPerSett,G1936)*v01_OutShaman)+Z1936*(INDEX(v01_PriestShare,G1936)*v01_OutPriest+INDEX(v01_ScribeShare,G1936)*v01_OutScribe*INDEX(LM_Scribe,G1936)+INDEX(v01_ScholarShare,G1936)*v01_OutScholar*INDEX(LM_Scholar,G1936)+INDEX(v01_ResearcherShare,G1936)*v01_OutResearcher*INDEX(LM_Researcher,G1936)))</x:f>
        <x:v>0</x:v>
      </x:c>
      <x:c r="AL1936" s="32" t="n">
        <x:f>H1936*v01_RoleScale*Arch_Roles*AE1936*INDEX(v01_MonasteryPerSett,G1936)*v01_OutMonastery*INDEX(LM_Monastery,G1936)</x:f>
        <x:v>0</x:v>
      </x:c>
      <x:c r="AM1936" s="32" t="n">
        <x:f>(AJ1936+AK1936+AL1936)/4*INDEX(LM_All,G1936)*INDEX(v01_Boon,G1936)*Arch_Insight</x:f>
        <x:v>0</x:v>
      </x:c>
      <x:c r="AN1936" s="32" t="n">
        <x:f>H1936*(v01_KHPerAdult*Z1936+v01_KHOfCommons*AJ1936/4*INDEX(LM_All,G1936))*v01_KHUsable*Arch_KH</x:f>
        <x:v>0</x:v>
      </x:c>
      <x:c r="AO1936" s="32" t="n">
        <x:f>MIN(AP1935+AN1936,AM1936*v01_KHMaxRatio)</x:f>
        <x:v>0</x:v>
      </x:c>
      <x:c r="AP1936" s="32" t="n">
        <x:f>AP1935+AN1936-AO1936</x:f>
        <x:v>0</x:v>
      </x:c>
      <x:c r="AQ1936" s="32" t="n">
        <x:f>AM1936+AO1936</x:f>
        <x:v>0</x:v>
      </x:c>
      <x:c r="AR1936" s="10" t="n">
        <x:f>IF(H1936=1,INDEX(v01_Req,G1936),0)</x:f>
        <x:v>0</x:v>
      </x:c>
      <x:c r="AS1936" s="32" t="n">
        <x:f>IF(H1936=1,IF(E1936=1,AS1935-AR1935,AS1935)+AQ1936,0)</x:f>
        <x:v>0</x:v>
      </x:c>
      <x:c r="AT1936" s="11" t="n">
        <x:f>IF(AR1936&gt;0,MIN(1,AS1936/AR1936),1)</x:f>
        <x:v>1</x:v>
      </x:c>
      <x:c r="AU1936" s="10" t="n">
        <x:f>AB1936/INDEX(v01_RepScale,G1936)</x:f>
        <x:v>90.09519605746344</x:v>
      </x:c>
      <x:c r="AV1936" s="32" t="n">
        <x:f>AM1936*60/v01_SeasonSeconds</x:f>
        <x:v>0</x:v>
      </x:c>
    </x:row>
    <x:row r="1937">
      <x:c r="A1937" s="8" t="n">
        <x:f>A1936+1</x:f>
        <x:v>1934</x:v>
      </x:c>
      <x:c r="B1937" s="9" t="n">
        <x:f>A1937*v01_SeasonSeconds/60</x:f>
        <x:v>483.5</x:v>
      </x:c>
      <x:c r="C1937" s="9" t="n">
        <x:f>A1937/4</x:f>
        <x:v>483.5</x:v>
      </x:c>
      <x:c r="D1937" s="8" t="n">
        <x:f>IF(MOD(A1937,4)=0,1,0)</x:f>
        <x:v>0</x:v>
      </x:c>
      <x:c r="E1937" s="8" t="n">
        <x:f>IF(AND(F1936&lt;=9,AS1936&gt;=AR1936),1,0)</x:f>
        <x:v>0</x:v>
      </x:c>
      <x:c r="F1937" s="8" t="n">
        <x:f>MIN(10,F1936+E1937)</x:f>
        <x:v>10</x:v>
      </x:c>
      <x:c r="G1937" s="8" t="n">
        <x:f>MIN(F1937,9)+1</x:f>
        <x:v>10</x:v>
      </x:c>
      <x:c r="H1937" s="8" t="n">
        <x:f>IF(F1937&lt;=9,1,0)</x:f>
        <x:v>0</x:v>
      </x:c>
      <x:c r="I1937" s="9" t="n">
        <x:f>MIN(10,F1936+IF(AR1936&gt;0,MIN(1,AS1936/AR1936),1))</x:f>
        <x:v>10</x:v>
      </x:c>
      <x:c r="J1937" s="32" t="n">
        <x:f>INDEX(v01_FoodCap,G1937)*Arch_FoodCap*EXP(v01_CapsByProject*SUMPRODUCT((Cap_Point&lt;=I1937)*(Cap_Kind="Food")*Cap_Ln))</x:f>
        <x:v>12000</x:v>
      </x:c>
      <x:c r="K1937" s="32" t="n">
        <x:f>J1937*MIN(1,v01_LeanBase*EXP(v01_CapsByProject*SUMPRODUCT((Cap_Point&lt;=I1937)*(Cap_Kind="Lean")*Cap_Ln)))</x:f>
        <x:v>12000</x:v>
      </x:c>
      <x:c r="L1937" s="10" t="n">
        <x:f>INDEX(v01_HousingCap,G1937)*EXP(v01_CapsByProject*SUMPRODUCT((Cap_Point&lt;=I1937)*(Cap_Kind="Housing")*Cap_Ln))</x:f>
        <x:v>20000</x:v>
      </x:c>
      <x:c r="M1937" s="10" t="n">
        <x:f>INDEX(v01_GroupCap,G1937)*v01_CohesionFactor*EXP(v01_CapsByProject*SUMPRODUCT((Cap_Point&lt;=I1937)*(Cap_Kind="Group")*Cap_Ln))</x:f>
        <x:v>1000000</x:v>
      </x:c>
      <x:c r="N1937" s="32" t="n">
        <x:f>MIN(J1937,L1937,M1937)</x:f>
        <x:v>12000</x:v>
      </x:c>
      <x:c r="O1937" s="10" t="n">
        <x:f>AE1936*N1937</x:f>
        <x:v>180000</x:v>
      </x:c>
      <x:c r="P1937" s="9" t="n">
        <x:f>MIN(1,(AB1936/(AE1936*IF(v01_GroupInCrowding=1,N1937,MIN(J1937,L1937))))^v01_CrowdingExp)</x:f>
        <x:v>0.00024569414295285325</x:v>
      </x:c>
      <x:c r="Q1937" s="9" t="n">
        <x:f>IF(D1937=1,INDEX(v01_WinterMult,G1937),1)</x:f>
        <x:v>1</x:v>
      </x:c>
      <x:c r="R1937" s="9" t="n">
        <x:f>H1937*Z1936*v01_WomenShare*v01_BaseFertility*INDEX(v01_FertMult,G1937)*Arch_Fertility*(1-P1937)</x:f>
        <x:v>0</x:v>
      </x:c>
      <x:c r="S1937" s="9" t="n">
        <x:f>H1937*Y1936*INDEX(v01_MortChild,G1937)/4*Q1937</x:f>
        <x:v>0</x:v>
      </x:c>
      <x:c r="T1937" s="9" t="n">
        <x:f>H1937*Z1936*INDEX(v01_MortAdult,G1937)*Arch_AdultMort/4*Q1937</x:f>
        <x:v>0</x:v>
      </x:c>
      <x:c r="U1937" s="9" t="n">
        <x:f>H1937*AA1936*INDEX(v01_MortElder,G1937)/4*Q1937</x:f>
        <x:v>0</x:v>
      </x:c>
      <x:c r="V1937" s="9" t="n">
        <x:f>H1937*MAX(0,AB1936-O1937)*v01_OvercapLoss</x:f>
        <x:v>0</x:v>
      </x:c>
      <x:c r="W1937" s="9" t="n">
        <x:f>H1937*Y1936/(v01_ChildYears*4)</x:f>
        <x:v>0</x:v>
      </x:c>
      <x:c r="X1937" s="9" t="n">
        <x:f>H1937*Z1936/(v01_AdultYears*4)</x:f>
        <x:v>0</x:v>
      </x:c>
      <x:c r="Y1937" s="32" t="n">
        <x:f>Y1936+R1937-S1937-W1937-Y1936*V1937/AB1936</x:f>
        <x:v>14306.18539759397</x:v>
      </x:c>
      <x:c r="Z1937" s="32" t="n">
        <x:f>Z1936+W1937-X1937-T1937-Z1936*V1937/AB1936</x:f>
        <x:v>19354.456567879548</x:v>
      </x:c>
      <x:c r="AA1937" s="32" t="n">
        <x:f>AA1936+X1937-U1937-AA1936*V1937/AB1936</x:f>
        <x:v>11386.956063258198</x:v>
      </x:c>
      <x:c r="AB1937" s="10" t="n">
        <x:f>Y1937+Z1937+AA1937</x:f>
        <x:v>45047.59802873172</x:v>
      </x:c>
      <x:c r="AC1937" s="8" t="n">
        <x:f>IF(AND(v01_WinterTrigger=1,D1937=1,AB1936/AE1936&gt;=K1937),1,0)</x:f>
        <x:v>0</x:v>
      </x:c>
      <x:c r="AD1937" s="8" t="n">
        <x:f>H1937*IF(AND(OR(AB1936/AE1936&gt;=v01_FissionTrigger*N1937,AC1937=1),AB1936/AE1936*v01_DaughterShare&gt;=v01_MinDaughter),MAX(1,ROUND(AE1936*v01_FissionRate,0)),0)</x:f>
        <x:v>0</x:v>
      </x:c>
      <x:c r="AE1937" s="8" t="n">
        <x:f>IF(H1937=1,MAX(1,MIN(INDEX(v01_Smax,G1937),AE1936+AD1937)),AE1936)</x:f>
        <x:v>15</x:v>
      </x:c>
      <x:c r="AF1937" s="8" t="n">
        <x:f>MAX(0,AE1937-AE1936)</x:f>
        <x:v>0</x:v>
      </x:c>
      <x:c r="AG1937" s="9" t="str">
        <x:f>IF(AF1937&gt;0,B1937,"")</x:f>
      </x:c>
      <x:c r="AH1937" s="9" t="n">
        <x:f>IF(F1937&gt;=1,1,(1+v01_LowTiesShare*(AE1937-1))/AE1937)</x:f>
        <x:v>1</x:v>
      </x:c>
      <x:c r="AI1937" s="32" t="n">
        <x:f>(Z1937+v01_ElderCommons*INDEX(LM_Elder,G1937)*AA1937)*AH1937</x:f>
        <x:v>64139.732591141874</x:v>
      </x:c>
      <x:c r="AJ1937" s="32" t="n">
        <x:f>H1937*v01_CommonsCoef*AI1937^v01_CommonsExp*INDEX(LM_Commons,G1937)</x:f>
        <x:v>0</x:v>
      </x:c>
      <x:c r="AK1937" s="32" t="n">
        <x:f>H1937*v01_RoleScale*Arch_Roles*(AE1937*(INDEX(v01_ElderRolePerSett,G1937)*v01_OutElder*INDEX(LM_Elder,G1937)+INDEX(v01_ShamanPerSett,G1937)*v01_OutShaman)+Z1937*(INDEX(v01_PriestShare,G1937)*v01_OutPriest+INDEX(v01_ScribeShare,G1937)*v01_OutScribe*INDEX(LM_Scribe,G1937)+INDEX(v01_ScholarShare,G1937)*v01_OutScholar*INDEX(LM_Scholar,G1937)+INDEX(v01_ResearcherShare,G1937)*v01_OutResearcher*INDEX(LM_Researcher,G1937)))</x:f>
        <x:v>0</x:v>
      </x:c>
      <x:c r="AL1937" s="32" t="n">
        <x:f>H1937*v01_RoleScale*Arch_Roles*AE1937*INDEX(v01_MonasteryPerSett,G1937)*v01_OutMonastery*INDEX(LM_Monastery,G1937)</x:f>
        <x:v>0</x:v>
      </x:c>
      <x:c r="AM1937" s="32" t="n">
        <x:f>(AJ1937+AK1937+AL1937)/4*INDEX(LM_All,G1937)*INDEX(v01_Boon,G1937)*Arch_Insight</x:f>
        <x:v>0</x:v>
      </x:c>
      <x:c r="AN1937" s="32" t="n">
        <x:f>H1937*(v01_KHPerAdult*Z1937+v01_KHOfCommons*AJ1937/4*INDEX(LM_All,G1937))*v01_KHUsable*Arch_KH</x:f>
        <x:v>0</x:v>
      </x:c>
      <x:c r="AO1937" s="32" t="n">
        <x:f>MIN(AP1936+AN1937,AM1937*v01_KHMaxRatio)</x:f>
        <x:v>0</x:v>
      </x:c>
      <x:c r="AP1937" s="32" t="n">
        <x:f>AP1936+AN1937-AO1937</x:f>
        <x:v>0</x:v>
      </x:c>
      <x:c r="AQ1937" s="32" t="n">
        <x:f>AM1937+AO1937</x:f>
        <x:v>0</x:v>
      </x:c>
      <x:c r="AR1937" s="10" t="n">
        <x:f>IF(H1937=1,INDEX(v01_Req,G1937),0)</x:f>
        <x:v>0</x:v>
      </x:c>
      <x:c r="AS1937" s="32" t="n">
        <x:f>IF(H1937=1,IF(E1937=1,AS1936-AR1936,AS1936)+AQ1937,0)</x:f>
        <x:v>0</x:v>
      </x:c>
      <x:c r="AT1937" s="11" t="n">
        <x:f>IF(AR1937&gt;0,MIN(1,AS1937/AR1937),1)</x:f>
        <x:v>1</x:v>
      </x:c>
      <x:c r="AU1937" s="10" t="n">
        <x:f>AB1937/INDEX(v01_RepScale,G1937)</x:f>
        <x:v>90.09519605746344</x:v>
      </x:c>
      <x:c r="AV1937" s="32" t="n">
        <x:f>AM1937*60/v01_SeasonSeconds</x:f>
        <x:v>0</x:v>
      </x:c>
    </x:row>
    <x:row r="1938">
      <x:c r="A1938" s="8" t="n">
        <x:f>A1937+1</x:f>
        <x:v>1935</x:v>
      </x:c>
      <x:c r="B1938" s="9" t="n">
        <x:f>A1938*v01_SeasonSeconds/60</x:f>
        <x:v>483.75</x:v>
      </x:c>
      <x:c r="C1938" s="9" t="n">
        <x:f>A1938/4</x:f>
        <x:v>483.75</x:v>
      </x:c>
      <x:c r="D1938" s="8" t="n">
        <x:f>IF(MOD(A1938,4)=0,1,0)</x:f>
        <x:v>0</x:v>
      </x:c>
      <x:c r="E1938" s="8" t="n">
        <x:f>IF(AND(F1937&lt;=9,AS1937&gt;=AR1937),1,0)</x:f>
        <x:v>0</x:v>
      </x:c>
      <x:c r="F1938" s="8" t="n">
        <x:f>MIN(10,F1937+E1938)</x:f>
        <x:v>10</x:v>
      </x:c>
      <x:c r="G1938" s="8" t="n">
        <x:f>MIN(F1938,9)+1</x:f>
        <x:v>10</x:v>
      </x:c>
      <x:c r="H1938" s="8" t="n">
        <x:f>IF(F1938&lt;=9,1,0)</x:f>
        <x:v>0</x:v>
      </x:c>
      <x:c r="I1938" s="9" t="n">
        <x:f>MIN(10,F1937+IF(AR1937&gt;0,MIN(1,AS1937/AR1937),1))</x:f>
        <x:v>10</x:v>
      </x:c>
      <x:c r="J1938" s="32" t="n">
        <x:f>INDEX(v01_FoodCap,G1938)*Arch_FoodCap*EXP(v01_CapsByProject*SUMPRODUCT((Cap_Point&lt;=I1938)*(Cap_Kind="Food")*Cap_Ln))</x:f>
        <x:v>12000</x:v>
      </x:c>
      <x:c r="K1938" s="32" t="n">
        <x:f>J1938*MIN(1,v01_LeanBase*EXP(v01_CapsByProject*SUMPRODUCT((Cap_Point&lt;=I1938)*(Cap_Kind="Lean")*Cap_Ln)))</x:f>
        <x:v>12000</x:v>
      </x:c>
      <x:c r="L1938" s="10" t="n">
        <x:f>INDEX(v01_HousingCap,G1938)*EXP(v01_CapsByProject*SUMPRODUCT((Cap_Point&lt;=I1938)*(Cap_Kind="Housing")*Cap_Ln))</x:f>
        <x:v>20000</x:v>
      </x:c>
      <x:c r="M1938" s="10" t="n">
        <x:f>INDEX(v01_GroupCap,G1938)*v01_CohesionFactor*EXP(v01_CapsByProject*SUMPRODUCT((Cap_Point&lt;=I1938)*(Cap_Kind="Group")*Cap_Ln))</x:f>
        <x:v>1000000</x:v>
      </x:c>
      <x:c r="N1938" s="32" t="n">
        <x:f>MIN(J1938,L1938,M1938)</x:f>
        <x:v>12000</x:v>
      </x:c>
      <x:c r="O1938" s="10" t="n">
        <x:f>AE1937*N1938</x:f>
        <x:v>180000</x:v>
      </x:c>
      <x:c r="P1938" s="9" t="n">
        <x:f>MIN(1,(AB1937/(AE1937*IF(v01_GroupInCrowding=1,N1938,MIN(J1938,L1938))))^v01_CrowdingExp)</x:f>
        <x:v>0.00024569414295285325</x:v>
      </x:c>
      <x:c r="Q1938" s="9" t="n">
        <x:f>IF(D1938=1,INDEX(v01_WinterMult,G1938),1)</x:f>
        <x:v>1</x:v>
      </x:c>
      <x:c r="R1938" s="9" t="n">
        <x:f>H1938*Z1937*v01_WomenShare*v01_BaseFertility*INDEX(v01_FertMult,G1938)*Arch_Fertility*(1-P1938)</x:f>
        <x:v>0</x:v>
      </x:c>
      <x:c r="S1938" s="9" t="n">
        <x:f>H1938*Y1937*INDEX(v01_MortChild,G1938)/4*Q1938</x:f>
        <x:v>0</x:v>
      </x:c>
      <x:c r="T1938" s="9" t="n">
        <x:f>H1938*Z1937*INDEX(v01_MortAdult,G1938)*Arch_AdultMort/4*Q1938</x:f>
        <x:v>0</x:v>
      </x:c>
      <x:c r="U1938" s="9" t="n">
        <x:f>H1938*AA1937*INDEX(v01_MortElder,G1938)/4*Q1938</x:f>
        <x:v>0</x:v>
      </x:c>
      <x:c r="V1938" s="9" t="n">
        <x:f>H1938*MAX(0,AB1937-O1938)*v01_OvercapLoss</x:f>
        <x:v>0</x:v>
      </x:c>
      <x:c r="W1938" s="9" t="n">
        <x:f>H1938*Y1937/(v01_ChildYears*4)</x:f>
        <x:v>0</x:v>
      </x:c>
      <x:c r="X1938" s="9" t="n">
        <x:f>H1938*Z1937/(v01_AdultYears*4)</x:f>
        <x:v>0</x:v>
      </x:c>
      <x:c r="Y1938" s="32" t="n">
        <x:f>Y1937+R1938-S1938-W1938-Y1937*V1938/AB1937</x:f>
        <x:v>14306.18539759397</x:v>
      </x:c>
      <x:c r="Z1938" s="32" t="n">
        <x:f>Z1937+W1938-X1938-T1938-Z1937*V1938/AB1937</x:f>
        <x:v>19354.456567879548</x:v>
      </x:c>
      <x:c r="AA1938" s="32" t="n">
        <x:f>AA1937+X1938-U1938-AA1937*V1938/AB1937</x:f>
        <x:v>11386.956063258198</x:v>
      </x:c>
      <x:c r="AB1938" s="10" t="n">
        <x:f>Y1938+Z1938+AA1938</x:f>
        <x:v>45047.59802873172</x:v>
      </x:c>
      <x:c r="AC1938" s="8" t="n">
        <x:f>IF(AND(v01_WinterTrigger=1,D1938=1,AB1937/AE1937&gt;=K1938),1,0)</x:f>
        <x:v>0</x:v>
      </x:c>
      <x:c r="AD1938" s="8" t="n">
        <x:f>H1938*IF(AND(OR(AB1937/AE1937&gt;=v01_FissionTrigger*N1938,AC1938=1),AB1937/AE1937*v01_DaughterShare&gt;=v01_MinDaughter),MAX(1,ROUND(AE1937*v01_FissionRate,0)),0)</x:f>
        <x:v>0</x:v>
      </x:c>
      <x:c r="AE1938" s="8" t="n">
        <x:f>IF(H1938=1,MAX(1,MIN(INDEX(v01_Smax,G1938),AE1937+AD1938)),AE1937)</x:f>
        <x:v>15</x:v>
      </x:c>
      <x:c r="AF1938" s="8" t="n">
        <x:f>MAX(0,AE1938-AE1937)</x:f>
        <x:v>0</x:v>
      </x:c>
      <x:c r="AG1938" s="9" t="str">
        <x:f>IF(AF1938&gt;0,B1938,"")</x:f>
      </x:c>
      <x:c r="AH1938" s="9" t="n">
        <x:f>IF(F1938&gt;=1,1,(1+v01_LowTiesShare*(AE1938-1))/AE1938)</x:f>
        <x:v>1</x:v>
      </x:c>
      <x:c r="AI1938" s="32" t="n">
        <x:f>(Z1938+v01_ElderCommons*INDEX(LM_Elder,G1938)*AA1938)*AH1938</x:f>
        <x:v>64139.732591141874</x:v>
      </x:c>
      <x:c r="AJ1938" s="32" t="n">
        <x:f>H1938*v01_CommonsCoef*AI1938^v01_CommonsExp*INDEX(LM_Commons,G1938)</x:f>
        <x:v>0</x:v>
      </x:c>
      <x:c r="AK1938" s="32" t="n">
        <x:f>H1938*v01_RoleScale*Arch_Roles*(AE1938*(INDEX(v01_ElderRolePerSett,G1938)*v01_OutElder*INDEX(LM_Elder,G1938)+INDEX(v01_ShamanPerSett,G1938)*v01_OutShaman)+Z1938*(INDEX(v01_PriestShare,G1938)*v01_OutPriest+INDEX(v01_ScribeShare,G1938)*v01_OutScribe*INDEX(LM_Scribe,G1938)+INDEX(v01_ScholarShare,G1938)*v01_OutScholar*INDEX(LM_Scholar,G1938)+INDEX(v01_ResearcherShare,G1938)*v01_OutResearcher*INDEX(LM_Researcher,G1938)))</x:f>
        <x:v>0</x:v>
      </x:c>
      <x:c r="AL1938" s="32" t="n">
        <x:f>H1938*v01_RoleScale*Arch_Roles*AE1938*INDEX(v01_MonasteryPerSett,G1938)*v01_OutMonastery*INDEX(LM_Monastery,G1938)</x:f>
        <x:v>0</x:v>
      </x:c>
      <x:c r="AM1938" s="32" t="n">
        <x:f>(AJ1938+AK1938+AL1938)/4*INDEX(LM_All,G1938)*INDEX(v01_Boon,G1938)*Arch_Insight</x:f>
        <x:v>0</x:v>
      </x:c>
      <x:c r="AN1938" s="32" t="n">
        <x:f>H1938*(v01_KHPerAdult*Z1938+v01_KHOfCommons*AJ1938/4*INDEX(LM_All,G1938))*v01_KHUsable*Arch_KH</x:f>
        <x:v>0</x:v>
      </x:c>
      <x:c r="AO1938" s="32" t="n">
        <x:f>MIN(AP1937+AN1938,AM1938*v01_KHMaxRatio)</x:f>
        <x:v>0</x:v>
      </x:c>
      <x:c r="AP1938" s="32" t="n">
        <x:f>AP1937+AN1938-AO1938</x:f>
        <x:v>0</x:v>
      </x:c>
      <x:c r="AQ1938" s="32" t="n">
        <x:f>AM1938+AO1938</x:f>
        <x:v>0</x:v>
      </x:c>
      <x:c r="AR1938" s="10" t="n">
        <x:f>IF(H1938=1,INDEX(v01_Req,G1938),0)</x:f>
        <x:v>0</x:v>
      </x:c>
      <x:c r="AS1938" s="32" t="n">
        <x:f>IF(H1938=1,IF(E1938=1,AS1937-AR1937,AS1937)+AQ1938,0)</x:f>
        <x:v>0</x:v>
      </x:c>
      <x:c r="AT1938" s="11" t="n">
        <x:f>IF(AR1938&gt;0,MIN(1,AS1938/AR1938),1)</x:f>
        <x:v>1</x:v>
      </x:c>
      <x:c r="AU1938" s="10" t="n">
        <x:f>AB1938/INDEX(v01_RepScale,G1938)</x:f>
        <x:v>90.09519605746344</x:v>
      </x:c>
      <x:c r="AV1938" s="32" t="n">
        <x:f>AM1938*60/v01_SeasonSeconds</x:f>
        <x:v>0</x:v>
      </x:c>
    </x:row>
    <x:row r="1939">
      <x:c r="A1939" s="8" t="n">
        <x:f>A1938+1</x:f>
        <x:v>1936</x:v>
      </x:c>
      <x:c r="B1939" s="9" t="n">
        <x:f>A1939*v01_SeasonSeconds/60</x:f>
        <x:v>484</x:v>
      </x:c>
      <x:c r="C1939" s="9" t="n">
        <x:f>A1939/4</x:f>
        <x:v>484</x:v>
      </x:c>
      <x:c r="D1939" s="8" t="n">
        <x:f>IF(MOD(A1939,4)=0,1,0)</x:f>
        <x:v>1</x:v>
      </x:c>
      <x:c r="E1939" s="8" t="n">
        <x:f>IF(AND(F1938&lt;=9,AS1938&gt;=AR1938),1,0)</x:f>
        <x:v>0</x:v>
      </x:c>
      <x:c r="F1939" s="8" t="n">
        <x:f>MIN(10,F1938+E1939)</x:f>
        <x:v>10</x:v>
      </x:c>
      <x:c r="G1939" s="8" t="n">
        <x:f>MIN(F1939,9)+1</x:f>
        <x:v>10</x:v>
      </x:c>
      <x:c r="H1939" s="8" t="n">
        <x:f>IF(F1939&lt;=9,1,0)</x:f>
        <x:v>0</x:v>
      </x:c>
      <x:c r="I1939" s="9" t="n">
        <x:f>MIN(10,F1938+IF(AR1938&gt;0,MIN(1,AS1938/AR1938),1))</x:f>
        <x:v>10</x:v>
      </x:c>
      <x:c r="J1939" s="32" t="n">
        <x:f>INDEX(v01_FoodCap,G1939)*Arch_FoodCap*EXP(v01_CapsByProject*SUMPRODUCT((Cap_Point&lt;=I1939)*(Cap_Kind="Food")*Cap_Ln))</x:f>
        <x:v>12000</x:v>
      </x:c>
      <x:c r="K1939" s="32" t="n">
        <x:f>J1939*MIN(1,v01_LeanBase*EXP(v01_CapsByProject*SUMPRODUCT((Cap_Point&lt;=I1939)*(Cap_Kind="Lean")*Cap_Ln)))</x:f>
        <x:v>12000</x:v>
      </x:c>
      <x:c r="L1939" s="10" t="n">
        <x:f>INDEX(v01_HousingCap,G1939)*EXP(v01_CapsByProject*SUMPRODUCT((Cap_Point&lt;=I1939)*(Cap_Kind="Housing")*Cap_Ln))</x:f>
        <x:v>20000</x:v>
      </x:c>
      <x:c r="M1939" s="10" t="n">
        <x:f>INDEX(v01_GroupCap,G1939)*v01_CohesionFactor*EXP(v01_CapsByProject*SUMPRODUCT((Cap_Point&lt;=I1939)*(Cap_Kind="Group")*Cap_Ln))</x:f>
        <x:v>1000000</x:v>
      </x:c>
      <x:c r="N1939" s="32" t="n">
        <x:f>MIN(J1939,L1939,M1939)</x:f>
        <x:v>12000</x:v>
      </x:c>
      <x:c r="O1939" s="10" t="n">
        <x:f>AE1938*N1939</x:f>
        <x:v>180000</x:v>
      </x:c>
      <x:c r="P1939" s="9" t="n">
        <x:f>MIN(1,(AB1938/(AE1938*IF(v01_GroupInCrowding=1,N1939,MIN(J1939,L1939))))^v01_CrowdingExp)</x:f>
        <x:v>0.00024569414295285325</x:v>
      </x:c>
      <x:c r="Q1939" s="9" t="n">
        <x:f>IF(D1939=1,INDEX(v01_WinterMult,G1939),1)</x:f>
        <x:v>1</x:v>
      </x:c>
      <x:c r="R1939" s="9" t="n">
        <x:f>H1939*Z1938*v01_WomenShare*v01_BaseFertility*INDEX(v01_FertMult,G1939)*Arch_Fertility*(1-P1939)</x:f>
        <x:v>0</x:v>
      </x:c>
      <x:c r="S1939" s="9" t="n">
        <x:f>H1939*Y1938*INDEX(v01_MortChild,G1939)/4*Q1939</x:f>
        <x:v>0</x:v>
      </x:c>
      <x:c r="T1939" s="9" t="n">
        <x:f>H1939*Z1938*INDEX(v01_MortAdult,G1939)*Arch_AdultMort/4*Q1939</x:f>
        <x:v>0</x:v>
      </x:c>
      <x:c r="U1939" s="9" t="n">
        <x:f>H1939*AA1938*INDEX(v01_MortElder,G1939)/4*Q1939</x:f>
        <x:v>0</x:v>
      </x:c>
      <x:c r="V1939" s="9" t="n">
        <x:f>H1939*MAX(0,AB1938-O1939)*v01_OvercapLoss</x:f>
        <x:v>0</x:v>
      </x:c>
      <x:c r="W1939" s="9" t="n">
        <x:f>H1939*Y1938/(v01_ChildYears*4)</x:f>
        <x:v>0</x:v>
      </x:c>
      <x:c r="X1939" s="9" t="n">
        <x:f>H1939*Z1938/(v01_AdultYears*4)</x:f>
        <x:v>0</x:v>
      </x:c>
      <x:c r="Y1939" s="32" t="n">
        <x:f>Y1938+R1939-S1939-W1939-Y1938*V1939/AB1938</x:f>
        <x:v>14306.18539759397</x:v>
      </x:c>
      <x:c r="Z1939" s="32" t="n">
        <x:f>Z1938+W1939-X1939-T1939-Z1938*V1939/AB1938</x:f>
        <x:v>19354.456567879548</x:v>
      </x:c>
      <x:c r="AA1939" s="32" t="n">
        <x:f>AA1938+X1939-U1939-AA1938*V1939/AB1938</x:f>
        <x:v>11386.956063258198</x:v>
      </x:c>
      <x:c r="AB1939" s="10" t="n">
        <x:f>Y1939+Z1939+AA1939</x:f>
        <x:v>45047.59802873172</x:v>
      </x:c>
      <x:c r="AC1939" s="8" t="n">
        <x:f>IF(AND(v01_WinterTrigger=1,D1939=1,AB1938/AE1938&gt;=K1939),1,0)</x:f>
        <x:v>0</x:v>
      </x:c>
      <x:c r="AD1939" s="8" t="n">
        <x:f>H1939*IF(AND(OR(AB1938/AE1938&gt;=v01_FissionTrigger*N1939,AC1939=1),AB1938/AE1938*v01_DaughterShare&gt;=v01_MinDaughter),MAX(1,ROUND(AE1938*v01_FissionRate,0)),0)</x:f>
        <x:v>0</x:v>
      </x:c>
      <x:c r="AE1939" s="8" t="n">
        <x:f>IF(H1939=1,MAX(1,MIN(INDEX(v01_Smax,G1939),AE1938+AD1939)),AE1938)</x:f>
        <x:v>15</x:v>
      </x:c>
      <x:c r="AF1939" s="8" t="n">
        <x:f>MAX(0,AE1939-AE1938)</x:f>
        <x:v>0</x:v>
      </x:c>
      <x:c r="AG1939" s="9" t="str">
        <x:f>IF(AF1939&gt;0,B1939,"")</x:f>
      </x:c>
      <x:c r="AH1939" s="9" t="n">
        <x:f>IF(F1939&gt;=1,1,(1+v01_LowTiesShare*(AE1939-1))/AE1939)</x:f>
        <x:v>1</x:v>
      </x:c>
      <x:c r="AI1939" s="32" t="n">
        <x:f>(Z1939+v01_ElderCommons*INDEX(LM_Elder,G1939)*AA1939)*AH1939</x:f>
        <x:v>64139.732591141874</x:v>
      </x:c>
      <x:c r="AJ1939" s="32" t="n">
        <x:f>H1939*v01_CommonsCoef*AI1939^v01_CommonsExp*INDEX(LM_Commons,G1939)</x:f>
        <x:v>0</x:v>
      </x:c>
      <x:c r="AK1939" s="32" t="n">
        <x:f>H1939*v01_RoleScale*Arch_Roles*(AE1939*(INDEX(v01_ElderRolePerSett,G1939)*v01_OutElder*INDEX(LM_Elder,G1939)+INDEX(v01_ShamanPerSett,G1939)*v01_OutShaman)+Z1939*(INDEX(v01_PriestShare,G1939)*v01_OutPriest+INDEX(v01_ScribeShare,G1939)*v01_OutScribe*INDEX(LM_Scribe,G1939)+INDEX(v01_ScholarShare,G1939)*v01_OutScholar*INDEX(LM_Scholar,G1939)+INDEX(v01_ResearcherShare,G1939)*v01_OutResearcher*INDEX(LM_Researcher,G1939)))</x:f>
        <x:v>0</x:v>
      </x:c>
      <x:c r="AL1939" s="32" t="n">
        <x:f>H1939*v01_RoleScale*Arch_Roles*AE1939*INDEX(v01_MonasteryPerSett,G1939)*v01_OutMonastery*INDEX(LM_Monastery,G1939)</x:f>
        <x:v>0</x:v>
      </x:c>
      <x:c r="AM1939" s="32" t="n">
        <x:f>(AJ1939+AK1939+AL1939)/4*INDEX(LM_All,G1939)*INDEX(v01_Boon,G1939)*Arch_Insight</x:f>
        <x:v>0</x:v>
      </x:c>
      <x:c r="AN1939" s="32" t="n">
        <x:f>H1939*(v01_KHPerAdult*Z1939+v01_KHOfCommons*AJ1939/4*INDEX(LM_All,G1939))*v01_KHUsable*Arch_KH</x:f>
        <x:v>0</x:v>
      </x:c>
      <x:c r="AO1939" s="32" t="n">
        <x:f>MIN(AP1938+AN1939,AM1939*v01_KHMaxRatio)</x:f>
        <x:v>0</x:v>
      </x:c>
      <x:c r="AP1939" s="32" t="n">
        <x:f>AP1938+AN1939-AO1939</x:f>
        <x:v>0</x:v>
      </x:c>
      <x:c r="AQ1939" s="32" t="n">
        <x:f>AM1939+AO1939</x:f>
        <x:v>0</x:v>
      </x:c>
      <x:c r="AR1939" s="10" t="n">
        <x:f>IF(H1939=1,INDEX(v01_Req,G1939),0)</x:f>
        <x:v>0</x:v>
      </x:c>
      <x:c r="AS1939" s="32" t="n">
        <x:f>IF(H1939=1,IF(E1939=1,AS1938-AR1938,AS1938)+AQ1939,0)</x:f>
        <x:v>0</x:v>
      </x:c>
      <x:c r="AT1939" s="11" t="n">
        <x:f>IF(AR1939&gt;0,MIN(1,AS1939/AR1939),1)</x:f>
        <x:v>1</x:v>
      </x:c>
      <x:c r="AU1939" s="10" t="n">
        <x:f>AB1939/INDEX(v01_RepScale,G1939)</x:f>
        <x:v>90.09519605746344</x:v>
      </x:c>
      <x:c r="AV1939" s="32" t="n">
        <x:f>AM1939*60/v01_SeasonSeconds</x:f>
        <x:v>0</x:v>
      </x:c>
    </x:row>
    <x:row r="1940">
      <x:c r="A1940" s="8" t="n">
        <x:f>A1939+1</x:f>
        <x:v>1937</x:v>
      </x:c>
      <x:c r="B1940" s="9" t="n">
        <x:f>A1940*v01_SeasonSeconds/60</x:f>
        <x:v>484.25</x:v>
      </x:c>
      <x:c r="C1940" s="9" t="n">
        <x:f>A1940/4</x:f>
        <x:v>484.25</x:v>
      </x:c>
      <x:c r="D1940" s="8" t="n">
        <x:f>IF(MOD(A1940,4)=0,1,0)</x:f>
        <x:v>0</x:v>
      </x:c>
      <x:c r="E1940" s="8" t="n">
        <x:f>IF(AND(F1939&lt;=9,AS1939&gt;=AR1939),1,0)</x:f>
        <x:v>0</x:v>
      </x:c>
      <x:c r="F1940" s="8" t="n">
        <x:f>MIN(10,F1939+E1940)</x:f>
        <x:v>10</x:v>
      </x:c>
      <x:c r="G1940" s="8" t="n">
        <x:f>MIN(F1940,9)+1</x:f>
        <x:v>10</x:v>
      </x:c>
      <x:c r="H1940" s="8" t="n">
        <x:f>IF(F1940&lt;=9,1,0)</x:f>
        <x:v>0</x:v>
      </x:c>
      <x:c r="I1940" s="9" t="n">
        <x:f>MIN(10,F1939+IF(AR1939&gt;0,MIN(1,AS1939/AR1939),1))</x:f>
        <x:v>10</x:v>
      </x:c>
      <x:c r="J1940" s="32" t="n">
        <x:f>INDEX(v01_FoodCap,G1940)*Arch_FoodCap*EXP(v01_CapsByProject*SUMPRODUCT((Cap_Point&lt;=I1940)*(Cap_Kind="Food")*Cap_Ln))</x:f>
        <x:v>12000</x:v>
      </x:c>
      <x:c r="K1940" s="32" t="n">
        <x:f>J1940*MIN(1,v01_LeanBase*EXP(v01_CapsByProject*SUMPRODUCT((Cap_Point&lt;=I1940)*(Cap_Kind="Lean")*Cap_Ln)))</x:f>
        <x:v>12000</x:v>
      </x:c>
      <x:c r="L1940" s="10" t="n">
        <x:f>INDEX(v01_HousingCap,G1940)*EXP(v01_CapsByProject*SUMPRODUCT((Cap_Point&lt;=I1940)*(Cap_Kind="Housing")*Cap_Ln))</x:f>
        <x:v>20000</x:v>
      </x:c>
      <x:c r="M1940" s="10" t="n">
        <x:f>INDEX(v01_GroupCap,G1940)*v01_CohesionFactor*EXP(v01_CapsByProject*SUMPRODUCT((Cap_Point&lt;=I1940)*(Cap_Kind="Group")*Cap_Ln))</x:f>
        <x:v>1000000</x:v>
      </x:c>
      <x:c r="N1940" s="32" t="n">
        <x:f>MIN(J1940,L1940,M1940)</x:f>
        <x:v>12000</x:v>
      </x:c>
      <x:c r="O1940" s="10" t="n">
        <x:f>AE1939*N1940</x:f>
        <x:v>180000</x:v>
      </x:c>
      <x:c r="P1940" s="9" t="n">
        <x:f>MIN(1,(AB1939/(AE1939*IF(v01_GroupInCrowding=1,N1940,MIN(J1940,L1940))))^v01_CrowdingExp)</x:f>
        <x:v>0.00024569414295285325</x:v>
      </x:c>
      <x:c r="Q1940" s="9" t="n">
        <x:f>IF(D1940=1,INDEX(v01_WinterMult,G1940),1)</x:f>
        <x:v>1</x:v>
      </x:c>
      <x:c r="R1940" s="9" t="n">
        <x:f>H1940*Z1939*v01_WomenShare*v01_BaseFertility*INDEX(v01_FertMult,G1940)*Arch_Fertility*(1-P1940)</x:f>
        <x:v>0</x:v>
      </x:c>
      <x:c r="S1940" s="9" t="n">
        <x:f>H1940*Y1939*INDEX(v01_MortChild,G1940)/4*Q1940</x:f>
        <x:v>0</x:v>
      </x:c>
      <x:c r="T1940" s="9" t="n">
        <x:f>H1940*Z1939*INDEX(v01_MortAdult,G1940)*Arch_AdultMort/4*Q1940</x:f>
        <x:v>0</x:v>
      </x:c>
      <x:c r="U1940" s="9" t="n">
        <x:f>H1940*AA1939*INDEX(v01_MortElder,G1940)/4*Q1940</x:f>
        <x:v>0</x:v>
      </x:c>
      <x:c r="V1940" s="9" t="n">
        <x:f>H1940*MAX(0,AB1939-O1940)*v01_OvercapLoss</x:f>
        <x:v>0</x:v>
      </x:c>
      <x:c r="W1940" s="9" t="n">
        <x:f>H1940*Y1939/(v01_ChildYears*4)</x:f>
        <x:v>0</x:v>
      </x:c>
      <x:c r="X1940" s="9" t="n">
        <x:f>H1940*Z1939/(v01_AdultYears*4)</x:f>
        <x:v>0</x:v>
      </x:c>
      <x:c r="Y1940" s="32" t="n">
        <x:f>Y1939+R1940-S1940-W1940-Y1939*V1940/AB1939</x:f>
        <x:v>14306.18539759397</x:v>
      </x:c>
      <x:c r="Z1940" s="32" t="n">
        <x:f>Z1939+W1940-X1940-T1940-Z1939*V1940/AB1939</x:f>
        <x:v>19354.456567879548</x:v>
      </x:c>
      <x:c r="AA1940" s="32" t="n">
        <x:f>AA1939+X1940-U1940-AA1939*V1940/AB1939</x:f>
        <x:v>11386.956063258198</x:v>
      </x:c>
      <x:c r="AB1940" s="10" t="n">
        <x:f>Y1940+Z1940+AA1940</x:f>
        <x:v>45047.59802873172</x:v>
      </x:c>
      <x:c r="AC1940" s="8" t="n">
        <x:f>IF(AND(v01_WinterTrigger=1,D1940=1,AB1939/AE1939&gt;=K1940),1,0)</x:f>
        <x:v>0</x:v>
      </x:c>
      <x:c r="AD1940" s="8" t="n">
        <x:f>H1940*IF(AND(OR(AB1939/AE1939&gt;=v01_FissionTrigger*N1940,AC1940=1),AB1939/AE1939*v01_DaughterShare&gt;=v01_MinDaughter),MAX(1,ROUND(AE1939*v01_FissionRate,0)),0)</x:f>
        <x:v>0</x:v>
      </x:c>
      <x:c r="AE1940" s="8" t="n">
        <x:f>IF(H1940=1,MAX(1,MIN(INDEX(v01_Smax,G1940),AE1939+AD1940)),AE1939)</x:f>
        <x:v>15</x:v>
      </x:c>
      <x:c r="AF1940" s="8" t="n">
        <x:f>MAX(0,AE1940-AE1939)</x:f>
        <x:v>0</x:v>
      </x:c>
      <x:c r="AG1940" s="9" t="str">
        <x:f>IF(AF1940&gt;0,B1940,"")</x:f>
      </x:c>
      <x:c r="AH1940" s="9" t="n">
        <x:f>IF(F1940&gt;=1,1,(1+v01_LowTiesShare*(AE1940-1))/AE1940)</x:f>
        <x:v>1</x:v>
      </x:c>
      <x:c r="AI1940" s="32" t="n">
        <x:f>(Z1940+v01_ElderCommons*INDEX(LM_Elder,G1940)*AA1940)*AH1940</x:f>
        <x:v>64139.732591141874</x:v>
      </x:c>
      <x:c r="AJ1940" s="32" t="n">
        <x:f>H1940*v01_CommonsCoef*AI1940^v01_CommonsExp*INDEX(LM_Commons,G1940)</x:f>
        <x:v>0</x:v>
      </x:c>
      <x:c r="AK1940" s="32" t="n">
        <x:f>H1940*v01_RoleScale*Arch_Roles*(AE1940*(INDEX(v01_ElderRolePerSett,G1940)*v01_OutElder*INDEX(LM_Elder,G1940)+INDEX(v01_ShamanPerSett,G1940)*v01_OutShaman)+Z1940*(INDEX(v01_PriestShare,G1940)*v01_OutPriest+INDEX(v01_ScribeShare,G1940)*v01_OutScribe*INDEX(LM_Scribe,G1940)+INDEX(v01_ScholarShare,G1940)*v01_OutScholar*INDEX(LM_Scholar,G1940)+INDEX(v01_ResearcherShare,G1940)*v01_OutResearcher*INDEX(LM_Researcher,G1940)))</x:f>
        <x:v>0</x:v>
      </x:c>
      <x:c r="AL1940" s="32" t="n">
        <x:f>H1940*v01_RoleScale*Arch_Roles*AE1940*INDEX(v01_MonasteryPerSett,G1940)*v01_OutMonastery*INDEX(LM_Monastery,G1940)</x:f>
        <x:v>0</x:v>
      </x:c>
      <x:c r="AM1940" s="32" t="n">
        <x:f>(AJ1940+AK1940+AL1940)/4*INDEX(LM_All,G1940)*INDEX(v01_Boon,G1940)*Arch_Insight</x:f>
        <x:v>0</x:v>
      </x:c>
      <x:c r="AN1940" s="32" t="n">
        <x:f>H1940*(v01_KHPerAdult*Z1940+v01_KHOfCommons*AJ1940/4*INDEX(LM_All,G1940))*v01_KHUsable*Arch_KH</x:f>
        <x:v>0</x:v>
      </x:c>
      <x:c r="AO1940" s="32" t="n">
        <x:f>MIN(AP1939+AN1940,AM1940*v01_KHMaxRatio)</x:f>
        <x:v>0</x:v>
      </x:c>
      <x:c r="AP1940" s="32" t="n">
        <x:f>AP1939+AN1940-AO1940</x:f>
        <x:v>0</x:v>
      </x:c>
      <x:c r="AQ1940" s="32" t="n">
        <x:f>AM1940+AO1940</x:f>
        <x:v>0</x:v>
      </x:c>
      <x:c r="AR1940" s="10" t="n">
        <x:f>IF(H1940=1,INDEX(v01_Req,G1940),0)</x:f>
        <x:v>0</x:v>
      </x:c>
      <x:c r="AS1940" s="32" t="n">
        <x:f>IF(H1940=1,IF(E1940=1,AS1939-AR1939,AS1939)+AQ1940,0)</x:f>
        <x:v>0</x:v>
      </x:c>
      <x:c r="AT1940" s="11" t="n">
        <x:f>IF(AR1940&gt;0,MIN(1,AS1940/AR1940),1)</x:f>
        <x:v>1</x:v>
      </x:c>
      <x:c r="AU1940" s="10" t="n">
        <x:f>AB1940/INDEX(v01_RepScale,G1940)</x:f>
        <x:v>90.09519605746344</x:v>
      </x:c>
      <x:c r="AV1940" s="32" t="n">
        <x:f>AM1940*60/v01_SeasonSeconds</x:f>
        <x:v>0</x:v>
      </x:c>
    </x:row>
    <x:row r="1941">
      <x:c r="A1941" s="8" t="n">
        <x:f>A1940+1</x:f>
        <x:v>1938</x:v>
      </x:c>
      <x:c r="B1941" s="9" t="n">
        <x:f>A1941*v01_SeasonSeconds/60</x:f>
        <x:v>484.5</x:v>
      </x:c>
      <x:c r="C1941" s="9" t="n">
        <x:f>A1941/4</x:f>
        <x:v>484.5</x:v>
      </x:c>
      <x:c r="D1941" s="8" t="n">
        <x:f>IF(MOD(A1941,4)=0,1,0)</x:f>
        <x:v>0</x:v>
      </x:c>
      <x:c r="E1941" s="8" t="n">
        <x:f>IF(AND(F1940&lt;=9,AS1940&gt;=AR1940),1,0)</x:f>
        <x:v>0</x:v>
      </x:c>
      <x:c r="F1941" s="8" t="n">
        <x:f>MIN(10,F1940+E1941)</x:f>
        <x:v>10</x:v>
      </x:c>
      <x:c r="G1941" s="8" t="n">
        <x:f>MIN(F1941,9)+1</x:f>
        <x:v>10</x:v>
      </x:c>
      <x:c r="H1941" s="8" t="n">
        <x:f>IF(F1941&lt;=9,1,0)</x:f>
        <x:v>0</x:v>
      </x:c>
      <x:c r="I1941" s="9" t="n">
        <x:f>MIN(10,F1940+IF(AR1940&gt;0,MIN(1,AS1940/AR1940),1))</x:f>
        <x:v>10</x:v>
      </x:c>
      <x:c r="J1941" s="32" t="n">
        <x:f>INDEX(v01_FoodCap,G1941)*Arch_FoodCap*EXP(v01_CapsByProject*SUMPRODUCT((Cap_Point&lt;=I1941)*(Cap_Kind="Food")*Cap_Ln))</x:f>
        <x:v>12000</x:v>
      </x:c>
      <x:c r="K1941" s="32" t="n">
        <x:f>J1941*MIN(1,v01_LeanBase*EXP(v01_CapsByProject*SUMPRODUCT((Cap_Point&lt;=I1941)*(Cap_Kind="Lean")*Cap_Ln)))</x:f>
        <x:v>12000</x:v>
      </x:c>
      <x:c r="L1941" s="10" t="n">
        <x:f>INDEX(v01_HousingCap,G1941)*EXP(v01_CapsByProject*SUMPRODUCT((Cap_Point&lt;=I1941)*(Cap_Kind="Housing")*Cap_Ln))</x:f>
        <x:v>20000</x:v>
      </x:c>
      <x:c r="M1941" s="10" t="n">
        <x:f>INDEX(v01_GroupCap,G1941)*v01_CohesionFactor*EXP(v01_CapsByProject*SUMPRODUCT((Cap_Point&lt;=I1941)*(Cap_Kind="Group")*Cap_Ln))</x:f>
        <x:v>1000000</x:v>
      </x:c>
      <x:c r="N1941" s="32" t="n">
        <x:f>MIN(J1941,L1941,M1941)</x:f>
        <x:v>12000</x:v>
      </x:c>
      <x:c r="O1941" s="10" t="n">
        <x:f>AE1940*N1941</x:f>
        <x:v>180000</x:v>
      </x:c>
      <x:c r="P1941" s="9" t="n">
        <x:f>MIN(1,(AB1940/(AE1940*IF(v01_GroupInCrowding=1,N1941,MIN(J1941,L1941))))^v01_CrowdingExp)</x:f>
        <x:v>0.00024569414295285325</x:v>
      </x:c>
      <x:c r="Q1941" s="9" t="n">
        <x:f>IF(D1941=1,INDEX(v01_WinterMult,G1941),1)</x:f>
        <x:v>1</x:v>
      </x:c>
      <x:c r="R1941" s="9" t="n">
        <x:f>H1941*Z1940*v01_WomenShare*v01_BaseFertility*INDEX(v01_FertMult,G1941)*Arch_Fertility*(1-P1941)</x:f>
        <x:v>0</x:v>
      </x:c>
      <x:c r="S1941" s="9" t="n">
        <x:f>H1941*Y1940*INDEX(v01_MortChild,G1941)/4*Q1941</x:f>
        <x:v>0</x:v>
      </x:c>
      <x:c r="T1941" s="9" t="n">
        <x:f>H1941*Z1940*INDEX(v01_MortAdult,G1941)*Arch_AdultMort/4*Q1941</x:f>
        <x:v>0</x:v>
      </x:c>
      <x:c r="U1941" s="9" t="n">
        <x:f>H1941*AA1940*INDEX(v01_MortElder,G1941)/4*Q1941</x:f>
        <x:v>0</x:v>
      </x:c>
      <x:c r="V1941" s="9" t="n">
        <x:f>H1941*MAX(0,AB1940-O1941)*v01_OvercapLoss</x:f>
        <x:v>0</x:v>
      </x:c>
      <x:c r="W1941" s="9" t="n">
        <x:f>H1941*Y1940/(v01_ChildYears*4)</x:f>
        <x:v>0</x:v>
      </x:c>
      <x:c r="X1941" s="9" t="n">
        <x:f>H1941*Z1940/(v01_AdultYears*4)</x:f>
        <x:v>0</x:v>
      </x:c>
      <x:c r="Y1941" s="32" t="n">
        <x:f>Y1940+R1941-S1941-W1941-Y1940*V1941/AB1940</x:f>
        <x:v>14306.18539759397</x:v>
      </x:c>
      <x:c r="Z1941" s="32" t="n">
        <x:f>Z1940+W1941-X1941-T1941-Z1940*V1941/AB1940</x:f>
        <x:v>19354.456567879548</x:v>
      </x:c>
      <x:c r="AA1941" s="32" t="n">
        <x:f>AA1940+X1941-U1941-AA1940*V1941/AB1940</x:f>
        <x:v>11386.956063258198</x:v>
      </x:c>
      <x:c r="AB1941" s="10" t="n">
        <x:f>Y1941+Z1941+AA1941</x:f>
        <x:v>45047.59802873172</x:v>
      </x:c>
      <x:c r="AC1941" s="8" t="n">
        <x:f>IF(AND(v01_WinterTrigger=1,D1941=1,AB1940/AE1940&gt;=K1941),1,0)</x:f>
        <x:v>0</x:v>
      </x:c>
      <x:c r="AD1941" s="8" t="n">
        <x:f>H1941*IF(AND(OR(AB1940/AE1940&gt;=v01_FissionTrigger*N1941,AC1941=1),AB1940/AE1940*v01_DaughterShare&gt;=v01_MinDaughter),MAX(1,ROUND(AE1940*v01_FissionRate,0)),0)</x:f>
        <x:v>0</x:v>
      </x:c>
      <x:c r="AE1941" s="8" t="n">
        <x:f>IF(H1941=1,MAX(1,MIN(INDEX(v01_Smax,G1941),AE1940+AD1941)),AE1940)</x:f>
        <x:v>15</x:v>
      </x:c>
      <x:c r="AF1941" s="8" t="n">
        <x:f>MAX(0,AE1941-AE1940)</x:f>
        <x:v>0</x:v>
      </x:c>
      <x:c r="AG1941" s="9" t="str">
        <x:f>IF(AF1941&gt;0,B1941,"")</x:f>
      </x:c>
      <x:c r="AH1941" s="9" t="n">
        <x:f>IF(F1941&gt;=1,1,(1+v01_LowTiesShare*(AE1941-1))/AE1941)</x:f>
        <x:v>1</x:v>
      </x:c>
      <x:c r="AI1941" s="32" t="n">
        <x:f>(Z1941+v01_ElderCommons*INDEX(LM_Elder,G1941)*AA1941)*AH1941</x:f>
        <x:v>64139.732591141874</x:v>
      </x:c>
      <x:c r="AJ1941" s="32" t="n">
        <x:f>H1941*v01_CommonsCoef*AI1941^v01_CommonsExp*INDEX(LM_Commons,G1941)</x:f>
        <x:v>0</x:v>
      </x:c>
      <x:c r="AK1941" s="32" t="n">
        <x:f>H1941*v01_RoleScale*Arch_Roles*(AE1941*(INDEX(v01_ElderRolePerSett,G1941)*v01_OutElder*INDEX(LM_Elder,G1941)+INDEX(v01_ShamanPerSett,G1941)*v01_OutShaman)+Z1941*(INDEX(v01_PriestShare,G1941)*v01_OutPriest+INDEX(v01_ScribeShare,G1941)*v01_OutScribe*INDEX(LM_Scribe,G1941)+INDEX(v01_ScholarShare,G1941)*v01_OutScholar*INDEX(LM_Scholar,G1941)+INDEX(v01_ResearcherShare,G1941)*v01_OutResearcher*INDEX(LM_Researcher,G1941)))</x:f>
        <x:v>0</x:v>
      </x:c>
      <x:c r="AL1941" s="32" t="n">
        <x:f>H1941*v01_RoleScale*Arch_Roles*AE1941*INDEX(v01_MonasteryPerSett,G1941)*v01_OutMonastery*INDEX(LM_Monastery,G1941)</x:f>
        <x:v>0</x:v>
      </x:c>
      <x:c r="AM1941" s="32" t="n">
        <x:f>(AJ1941+AK1941+AL1941)/4*INDEX(LM_All,G1941)*INDEX(v01_Boon,G1941)*Arch_Insight</x:f>
        <x:v>0</x:v>
      </x:c>
      <x:c r="AN1941" s="32" t="n">
        <x:f>H1941*(v01_KHPerAdult*Z1941+v01_KHOfCommons*AJ1941/4*INDEX(LM_All,G1941))*v01_KHUsable*Arch_KH</x:f>
        <x:v>0</x:v>
      </x:c>
      <x:c r="AO1941" s="32" t="n">
        <x:f>MIN(AP1940+AN1941,AM1941*v01_KHMaxRatio)</x:f>
        <x:v>0</x:v>
      </x:c>
      <x:c r="AP1941" s="32" t="n">
        <x:f>AP1940+AN1941-AO1941</x:f>
        <x:v>0</x:v>
      </x:c>
      <x:c r="AQ1941" s="32" t="n">
        <x:f>AM1941+AO1941</x:f>
        <x:v>0</x:v>
      </x:c>
      <x:c r="AR1941" s="10" t="n">
        <x:f>IF(H1941=1,INDEX(v01_Req,G1941),0)</x:f>
        <x:v>0</x:v>
      </x:c>
      <x:c r="AS1941" s="32" t="n">
        <x:f>IF(H1941=1,IF(E1941=1,AS1940-AR1940,AS1940)+AQ1941,0)</x:f>
        <x:v>0</x:v>
      </x:c>
      <x:c r="AT1941" s="11" t="n">
        <x:f>IF(AR1941&gt;0,MIN(1,AS1941/AR1941),1)</x:f>
        <x:v>1</x:v>
      </x:c>
      <x:c r="AU1941" s="10" t="n">
        <x:f>AB1941/INDEX(v01_RepScale,G1941)</x:f>
        <x:v>90.09519605746344</x:v>
      </x:c>
      <x:c r="AV1941" s="32" t="n">
        <x:f>AM1941*60/v01_SeasonSeconds</x:f>
        <x:v>0</x:v>
      </x:c>
    </x:row>
    <x:row r="1942">
      <x:c r="A1942" s="8" t="n">
        <x:f>A1941+1</x:f>
        <x:v>1939</x:v>
      </x:c>
      <x:c r="B1942" s="9" t="n">
        <x:f>A1942*v01_SeasonSeconds/60</x:f>
        <x:v>484.75</x:v>
      </x:c>
      <x:c r="C1942" s="9" t="n">
        <x:f>A1942/4</x:f>
        <x:v>484.75</x:v>
      </x:c>
      <x:c r="D1942" s="8" t="n">
        <x:f>IF(MOD(A1942,4)=0,1,0)</x:f>
        <x:v>0</x:v>
      </x:c>
      <x:c r="E1942" s="8" t="n">
        <x:f>IF(AND(F1941&lt;=9,AS1941&gt;=AR1941),1,0)</x:f>
        <x:v>0</x:v>
      </x:c>
      <x:c r="F1942" s="8" t="n">
        <x:f>MIN(10,F1941+E1942)</x:f>
        <x:v>10</x:v>
      </x:c>
      <x:c r="G1942" s="8" t="n">
        <x:f>MIN(F1942,9)+1</x:f>
        <x:v>10</x:v>
      </x:c>
      <x:c r="H1942" s="8" t="n">
        <x:f>IF(F1942&lt;=9,1,0)</x:f>
        <x:v>0</x:v>
      </x:c>
      <x:c r="I1942" s="9" t="n">
        <x:f>MIN(10,F1941+IF(AR1941&gt;0,MIN(1,AS1941/AR1941),1))</x:f>
        <x:v>10</x:v>
      </x:c>
      <x:c r="J1942" s="32" t="n">
        <x:f>INDEX(v01_FoodCap,G1942)*Arch_FoodCap*EXP(v01_CapsByProject*SUMPRODUCT((Cap_Point&lt;=I1942)*(Cap_Kind="Food")*Cap_Ln))</x:f>
        <x:v>12000</x:v>
      </x:c>
      <x:c r="K1942" s="32" t="n">
        <x:f>J1942*MIN(1,v01_LeanBase*EXP(v01_CapsByProject*SUMPRODUCT((Cap_Point&lt;=I1942)*(Cap_Kind="Lean")*Cap_Ln)))</x:f>
        <x:v>12000</x:v>
      </x:c>
      <x:c r="L1942" s="10" t="n">
        <x:f>INDEX(v01_HousingCap,G1942)*EXP(v01_CapsByProject*SUMPRODUCT((Cap_Point&lt;=I1942)*(Cap_Kind="Housing")*Cap_Ln))</x:f>
        <x:v>20000</x:v>
      </x:c>
      <x:c r="M1942" s="10" t="n">
        <x:f>INDEX(v01_GroupCap,G1942)*v01_CohesionFactor*EXP(v01_CapsByProject*SUMPRODUCT((Cap_Point&lt;=I1942)*(Cap_Kind="Group")*Cap_Ln))</x:f>
        <x:v>1000000</x:v>
      </x:c>
      <x:c r="N1942" s="32" t="n">
        <x:f>MIN(J1942,L1942,M1942)</x:f>
        <x:v>12000</x:v>
      </x:c>
      <x:c r="O1942" s="10" t="n">
        <x:f>AE1941*N1942</x:f>
        <x:v>180000</x:v>
      </x:c>
      <x:c r="P1942" s="9" t="n">
        <x:f>MIN(1,(AB1941/(AE1941*IF(v01_GroupInCrowding=1,N1942,MIN(J1942,L1942))))^v01_CrowdingExp)</x:f>
        <x:v>0.00024569414295285325</x:v>
      </x:c>
      <x:c r="Q1942" s="9" t="n">
        <x:f>IF(D1942=1,INDEX(v01_WinterMult,G1942),1)</x:f>
        <x:v>1</x:v>
      </x:c>
      <x:c r="R1942" s="9" t="n">
        <x:f>H1942*Z1941*v01_WomenShare*v01_BaseFertility*INDEX(v01_FertMult,G1942)*Arch_Fertility*(1-P1942)</x:f>
        <x:v>0</x:v>
      </x:c>
      <x:c r="S1942" s="9" t="n">
        <x:f>H1942*Y1941*INDEX(v01_MortChild,G1942)/4*Q1942</x:f>
        <x:v>0</x:v>
      </x:c>
      <x:c r="T1942" s="9" t="n">
        <x:f>H1942*Z1941*INDEX(v01_MortAdult,G1942)*Arch_AdultMort/4*Q1942</x:f>
        <x:v>0</x:v>
      </x:c>
      <x:c r="U1942" s="9" t="n">
        <x:f>H1942*AA1941*INDEX(v01_MortElder,G1942)/4*Q1942</x:f>
        <x:v>0</x:v>
      </x:c>
      <x:c r="V1942" s="9" t="n">
        <x:f>H1942*MAX(0,AB1941-O1942)*v01_OvercapLoss</x:f>
        <x:v>0</x:v>
      </x:c>
      <x:c r="W1942" s="9" t="n">
        <x:f>H1942*Y1941/(v01_ChildYears*4)</x:f>
        <x:v>0</x:v>
      </x:c>
      <x:c r="X1942" s="9" t="n">
        <x:f>H1942*Z1941/(v01_AdultYears*4)</x:f>
        <x:v>0</x:v>
      </x:c>
      <x:c r="Y1942" s="32" t="n">
        <x:f>Y1941+R1942-S1942-W1942-Y1941*V1942/AB1941</x:f>
        <x:v>14306.18539759397</x:v>
      </x:c>
      <x:c r="Z1942" s="32" t="n">
        <x:f>Z1941+W1942-X1942-T1942-Z1941*V1942/AB1941</x:f>
        <x:v>19354.456567879548</x:v>
      </x:c>
      <x:c r="AA1942" s="32" t="n">
        <x:f>AA1941+X1942-U1942-AA1941*V1942/AB1941</x:f>
        <x:v>11386.956063258198</x:v>
      </x:c>
      <x:c r="AB1942" s="10" t="n">
        <x:f>Y1942+Z1942+AA1942</x:f>
        <x:v>45047.59802873172</x:v>
      </x:c>
      <x:c r="AC1942" s="8" t="n">
        <x:f>IF(AND(v01_WinterTrigger=1,D1942=1,AB1941/AE1941&gt;=K1942),1,0)</x:f>
        <x:v>0</x:v>
      </x:c>
      <x:c r="AD1942" s="8" t="n">
        <x:f>H1942*IF(AND(OR(AB1941/AE1941&gt;=v01_FissionTrigger*N1942,AC1942=1),AB1941/AE1941*v01_DaughterShare&gt;=v01_MinDaughter),MAX(1,ROUND(AE1941*v01_FissionRate,0)),0)</x:f>
        <x:v>0</x:v>
      </x:c>
      <x:c r="AE1942" s="8" t="n">
        <x:f>IF(H1942=1,MAX(1,MIN(INDEX(v01_Smax,G1942),AE1941+AD1942)),AE1941)</x:f>
        <x:v>15</x:v>
      </x:c>
      <x:c r="AF1942" s="8" t="n">
        <x:f>MAX(0,AE1942-AE1941)</x:f>
        <x:v>0</x:v>
      </x:c>
      <x:c r="AG1942" s="9" t="str">
        <x:f>IF(AF1942&gt;0,B1942,"")</x:f>
      </x:c>
      <x:c r="AH1942" s="9" t="n">
        <x:f>IF(F1942&gt;=1,1,(1+v01_LowTiesShare*(AE1942-1))/AE1942)</x:f>
        <x:v>1</x:v>
      </x:c>
      <x:c r="AI1942" s="32" t="n">
        <x:f>(Z1942+v01_ElderCommons*INDEX(LM_Elder,G1942)*AA1942)*AH1942</x:f>
        <x:v>64139.732591141874</x:v>
      </x:c>
      <x:c r="AJ1942" s="32" t="n">
        <x:f>H1942*v01_CommonsCoef*AI1942^v01_CommonsExp*INDEX(LM_Commons,G1942)</x:f>
        <x:v>0</x:v>
      </x:c>
      <x:c r="AK1942" s="32" t="n">
        <x:f>H1942*v01_RoleScale*Arch_Roles*(AE1942*(INDEX(v01_ElderRolePerSett,G1942)*v01_OutElder*INDEX(LM_Elder,G1942)+INDEX(v01_ShamanPerSett,G1942)*v01_OutShaman)+Z1942*(INDEX(v01_PriestShare,G1942)*v01_OutPriest+INDEX(v01_ScribeShare,G1942)*v01_OutScribe*INDEX(LM_Scribe,G1942)+INDEX(v01_ScholarShare,G1942)*v01_OutScholar*INDEX(LM_Scholar,G1942)+INDEX(v01_ResearcherShare,G1942)*v01_OutResearcher*INDEX(LM_Researcher,G1942)))</x:f>
        <x:v>0</x:v>
      </x:c>
      <x:c r="AL1942" s="32" t="n">
        <x:f>H1942*v01_RoleScale*Arch_Roles*AE1942*INDEX(v01_MonasteryPerSett,G1942)*v01_OutMonastery*INDEX(LM_Monastery,G1942)</x:f>
        <x:v>0</x:v>
      </x:c>
      <x:c r="AM1942" s="32" t="n">
        <x:f>(AJ1942+AK1942+AL1942)/4*INDEX(LM_All,G1942)*INDEX(v01_Boon,G1942)*Arch_Insight</x:f>
        <x:v>0</x:v>
      </x:c>
      <x:c r="AN1942" s="32" t="n">
        <x:f>H1942*(v01_KHPerAdult*Z1942+v01_KHOfCommons*AJ1942/4*INDEX(LM_All,G1942))*v01_KHUsable*Arch_KH</x:f>
        <x:v>0</x:v>
      </x:c>
      <x:c r="AO1942" s="32" t="n">
        <x:f>MIN(AP1941+AN1942,AM1942*v01_KHMaxRatio)</x:f>
        <x:v>0</x:v>
      </x:c>
      <x:c r="AP1942" s="32" t="n">
        <x:f>AP1941+AN1942-AO1942</x:f>
        <x:v>0</x:v>
      </x:c>
      <x:c r="AQ1942" s="32" t="n">
        <x:f>AM1942+AO1942</x:f>
        <x:v>0</x:v>
      </x:c>
      <x:c r="AR1942" s="10" t="n">
        <x:f>IF(H1942=1,INDEX(v01_Req,G1942),0)</x:f>
        <x:v>0</x:v>
      </x:c>
      <x:c r="AS1942" s="32" t="n">
        <x:f>IF(H1942=1,IF(E1942=1,AS1941-AR1941,AS1941)+AQ1942,0)</x:f>
        <x:v>0</x:v>
      </x:c>
      <x:c r="AT1942" s="11" t="n">
        <x:f>IF(AR1942&gt;0,MIN(1,AS1942/AR1942),1)</x:f>
        <x:v>1</x:v>
      </x:c>
      <x:c r="AU1942" s="10" t="n">
        <x:f>AB1942/INDEX(v01_RepScale,G1942)</x:f>
        <x:v>90.09519605746344</x:v>
      </x:c>
      <x:c r="AV1942" s="32" t="n">
        <x:f>AM1942*60/v01_SeasonSeconds</x:f>
        <x:v>0</x:v>
      </x:c>
    </x:row>
    <x:row r="1943">
      <x:c r="A1943" s="8" t="n">
        <x:f>A1942+1</x:f>
        <x:v>1940</x:v>
      </x:c>
      <x:c r="B1943" s="9" t="n">
        <x:f>A1943*v01_SeasonSeconds/60</x:f>
        <x:v>485</x:v>
      </x:c>
      <x:c r="C1943" s="9" t="n">
        <x:f>A1943/4</x:f>
        <x:v>485</x:v>
      </x:c>
      <x:c r="D1943" s="8" t="n">
        <x:f>IF(MOD(A1943,4)=0,1,0)</x:f>
        <x:v>1</x:v>
      </x:c>
      <x:c r="E1943" s="8" t="n">
        <x:f>IF(AND(F1942&lt;=9,AS1942&gt;=AR1942),1,0)</x:f>
        <x:v>0</x:v>
      </x:c>
      <x:c r="F1943" s="8" t="n">
        <x:f>MIN(10,F1942+E1943)</x:f>
        <x:v>10</x:v>
      </x:c>
      <x:c r="G1943" s="8" t="n">
        <x:f>MIN(F1943,9)+1</x:f>
        <x:v>10</x:v>
      </x:c>
      <x:c r="H1943" s="8" t="n">
        <x:f>IF(F1943&lt;=9,1,0)</x:f>
        <x:v>0</x:v>
      </x:c>
      <x:c r="I1943" s="9" t="n">
        <x:f>MIN(10,F1942+IF(AR1942&gt;0,MIN(1,AS1942/AR1942),1))</x:f>
        <x:v>10</x:v>
      </x:c>
      <x:c r="J1943" s="32" t="n">
        <x:f>INDEX(v01_FoodCap,G1943)*Arch_FoodCap*EXP(v01_CapsByProject*SUMPRODUCT((Cap_Point&lt;=I1943)*(Cap_Kind="Food")*Cap_Ln))</x:f>
        <x:v>12000</x:v>
      </x:c>
      <x:c r="K1943" s="32" t="n">
        <x:f>J1943*MIN(1,v01_LeanBase*EXP(v01_CapsByProject*SUMPRODUCT((Cap_Point&lt;=I1943)*(Cap_Kind="Lean")*Cap_Ln)))</x:f>
        <x:v>12000</x:v>
      </x:c>
      <x:c r="L1943" s="10" t="n">
        <x:f>INDEX(v01_HousingCap,G1943)*EXP(v01_CapsByProject*SUMPRODUCT((Cap_Point&lt;=I1943)*(Cap_Kind="Housing")*Cap_Ln))</x:f>
        <x:v>20000</x:v>
      </x:c>
      <x:c r="M1943" s="10" t="n">
        <x:f>INDEX(v01_GroupCap,G1943)*v01_CohesionFactor*EXP(v01_CapsByProject*SUMPRODUCT((Cap_Point&lt;=I1943)*(Cap_Kind="Group")*Cap_Ln))</x:f>
        <x:v>1000000</x:v>
      </x:c>
      <x:c r="N1943" s="32" t="n">
        <x:f>MIN(J1943,L1943,M1943)</x:f>
        <x:v>12000</x:v>
      </x:c>
      <x:c r="O1943" s="10" t="n">
        <x:f>AE1942*N1943</x:f>
        <x:v>180000</x:v>
      </x:c>
      <x:c r="P1943" s="9" t="n">
        <x:f>MIN(1,(AB1942/(AE1942*IF(v01_GroupInCrowding=1,N1943,MIN(J1943,L1943))))^v01_CrowdingExp)</x:f>
        <x:v>0.00024569414295285325</x:v>
      </x:c>
      <x:c r="Q1943" s="9" t="n">
        <x:f>IF(D1943=1,INDEX(v01_WinterMult,G1943),1)</x:f>
        <x:v>1</x:v>
      </x:c>
      <x:c r="R1943" s="9" t="n">
        <x:f>H1943*Z1942*v01_WomenShare*v01_BaseFertility*INDEX(v01_FertMult,G1943)*Arch_Fertility*(1-P1943)</x:f>
        <x:v>0</x:v>
      </x:c>
      <x:c r="S1943" s="9" t="n">
        <x:f>H1943*Y1942*INDEX(v01_MortChild,G1943)/4*Q1943</x:f>
        <x:v>0</x:v>
      </x:c>
      <x:c r="T1943" s="9" t="n">
        <x:f>H1943*Z1942*INDEX(v01_MortAdult,G1943)*Arch_AdultMort/4*Q1943</x:f>
        <x:v>0</x:v>
      </x:c>
      <x:c r="U1943" s="9" t="n">
        <x:f>H1943*AA1942*INDEX(v01_MortElder,G1943)/4*Q1943</x:f>
        <x:v>0</x:v>
      </x:c>
      <x:c r="V1943" s="9" t="n">
        <x:f>H1943*MAX(0,AB1942-O1943)*v01_OvercapLoss</x:f>
        <x:v>0</x:v>
      </x:c>
      <x:c r="W1943" s="9" t="n">
        <x:f>H1943*Y1942/(v01_ChildYears*4)</x:f>
        <x:v>0</x:v>
      </x:c>
      <x:c r="X1943" s="9" t="n">
        <x:f>H1943*Z1942/(v01_AdultYears*4)</x:f>
        <x:v>0</x:v>
      </x:c>
      <x:c r="Y1943" s="32" t="n">
        <x:f>Y1942+R1943-S1943-W1943-Y1942*V1943/AB1942</x:f>
        <x:v>14306.18539759397</x:v>
      </x:c>
      <x:c r="Z1943" s="32" t="n">
        <x:f>Z1942+W1943-X1943-T1943-Z1942*V1943/AB1942</x:f>
        <x:v>19354.456567879548</x:v>
      </x:c>
      <x:c r="AA1943" s="32" t="n">
        <x:f>AA1942+X1943-U1943-AA1942*V1943/AB1942</x:f>
        <x:v>11386.956063258198</x:v>
      </x:c>
      <x:c r="AB1943" s="10" t="n">
        <x:f>Y1943+Z1943+AA1943</x:f>
        <x:v>45047.59802873172</x:v>
      </x:c>
      <x:c r="AC1943" s="8" t="n">
        <x:f>IF(AND(v01_WinterTrigger=1,D1943=1,AB1942/AE1942&gt;=K1943),1,0)</x:f>
        <x:v>0</x:v>
      </x:c>
      <x:c r="AD1943" s="8" t="n">
        <x:f>H1943*IF(AND(OR(AB1942/AE1942&gt;=v01_FissionTrigger*N1943,AC1943=1),AB1942/AE1942*v01_DaughterShare&gt;=v01_MinDaughter),MAX(1,ROUND(AE1942*v01_FissionRate,0)),0)</x:f>
        <x:v>0</x:v>
      </x:c>
      <x:c r="AE1943" s="8" t="n">
        <x:f>IF(H1943=1,MAX(1,MIN(INDEX(v01_Smax,G1943),AE1942+AD1943)),AE1942)</x:f>
        <x:v>15</x:v>
      </x:c>
      <x:c r="AF1943" s="8" t="n">
        <x:f>MAX(0,AE1943-AE1942)</x:f>
        <x:v>0</x:v>
      </x:c>
      <x:c r="AG1943" s="9" t="str">
        <x:f>IF(AF1943&gt;0,B1943,"")</x:f>
      </x:c>
      <x:c r="AH1943" s="9" t="n">
        <x:f>IF(F1943&gt;=1,1,(1+v01_LowTiesShare*(AE1943-1))/AE1943)</x:f>
        <x:v>1</x:v>
      </x:c>
      <x:c r="AI1943" s="32" t="n">
        <x:f>(Z1943+v01_ElderCommons*INDEX(LM_Elder,G1943)*AA1943)*AH1943</x:f>
        <x:v>64139.732591141874</x:v>
      </x:c>
      <x:c r="AJ1943" s="32" t="n">
        <x:f>H1943*v01_CommonsCoef*AI1943^v01_CommonsExp*INDEX(LM_Commons,G1943)</x:f>
        <x:v>0</x:v>
      </x:c>
      <x:c r="AK1943" s="32" t="n">
        <x:f>H1943*v01_RoleScale*Arch_Roles*(AE1943*(INDEX(v01_ElderRolePerSett,G1943)*v01_OutElder*INDEX(LM_Elder,G1943)+INDEX(v01_ShamanPerSett,G1943)*v01_OutShaman)+Z1943*(INDEX(v01_PriestShare,G1943)*v01_OutPriest+INDEX(v01_ScribeShare,G1943)*v01_OutScribe*INDEX(LM_Scribe,G1943)+INDEX(v01_ScholarShare,G1943)*v01_OutScholar*INDEX(LM_Scholar,G1943)+INDEX(v01_ResearcherShare,G1943)*v01_OutResearcher*INDEX(LM_Researcher,G1943)))</x:f>
        <x:v>0</x:v>
      </x:c>
      <x:c r="AL1943" s="32" t="n">
        <x:f>H1943*v01_RoleScale*Arch_Roles*AE1943*INDEX(v01_MonasteryPerSett,G1943)*v01_OutMonastery*INDEX(LM_Monastery,G1943)</x:f>
        <x:v>0</x:v>
      </x:c>
      <x:c r="AM1943" s="32" t="n">
        <x:f>(AJ1943+AK1943+AL1943)/4*INDEX(LM_All,G1943)*INDEX(v01_Boon,G1943)*Arch_Insight</x:f>
        <x:v>0</x:v>
      </x:c>
      <x:c r="AN1943" s="32" t="n">
        <x:f>H1943*(v01_KHPerAdult*Z1943+v01_KHOfCommons*AJ1943/4*INDEX(LM_All,G1943))*v01_KHUsable*Arch_KH</x:f>
        <x:v>0</x:v>
      </x:c>
      <x:c r="AO1943" s="32" t="n">
        <x:f>MIN(AP1942+AN1943,AM1943*v01_KHMaxRatio)</x:f>
        <x:v>0</x:v>
      </x:c>
      <x:c r="AP1943" s="32" t="n">
        <x:f>AP1942+AN1943-AO1943</x:f>
        <x:v>0</x:v>
      </x:c>
      <x:c r="AQ1943" s="32" t="n">
        <x:f>AM1943+AO1943</x:f>
        <x:v>0</x:v>
      </x:c>
      <x:c r="AR1943" s="10" t="n">
        <x:f>IF(H1943=1,INDEX(v01_Req,G1943),0)</x:f>
        <x:v>0</x:v>
      </x:c>
      <x:c r="AS1943" s="32" t="n">
        <x:f>IF(H1943=1,IF(E1943=1,AS1942-AR1942,AS1942)+AQ1943,0)</x:f>
        <x:v>0</x:v>
      </x:c>
      <x:c r="AT1943" s="11" t="n">
        <x:f>IF(AR1943&gt;0,MIN(1,AS1943/AR1943),1)</x:f>
        <x:v>1</x:v>
      </x:c>
      <x:c r="AU1943" s="10" t="n">
        <x:f>AB1943/INDEX(v01_RepScale,G1943)</x:f>
        <x:v>90.09519605746344</x:v>
      </x:c>
      <x:c r="AV1943" s="32" t="n">
        <x:f>AM1943*60/v01_SeasonSeconds</x:f>
        <x:v>0</x:v>
      </x:c>
    </x:row>
    <x:row r="1944">
      <x:c r="A1944" s="8" t="n">
        <x:f>A1943+1</x:f>
        <x:v>1941</x:v>
      </x:c>
      <x:c r="B1944" s="9" t="n">
        <x:f>A1944*v01_SeasonSeconds/60</x:f>
        <x:v>485.25</x:v>
      </x:c>
      <x:c r="C1944" s="9" t="n">
        <x:f>A1944/4</x:f>
        <x:v>485.25</x:v>
      </x:c>
      <x:c r="D1944" s="8" t="n">
        <x:f>IF(MOD(A1944,4)=0,1,0)</x:f>
        <x:v>0</x:v>
      </x:c>
      <x:c r="E1944" s="8" t="n">
        <x:f>IF(AND(F1943&lt;=9,AS1943&gt;=AR1943),1,0)</x:f>
        <x:v>0</x:v>
      </x:c>
      <x:c r="F1944" s="8" t="n">
        <x:f>MIN(10,F1943+E1944)</x:f>
        <x:v>10</x:v>
      </x:c>
      <x:c r="G1944" s="8" t="n">
        <x:f>MIN(F1944,9)+1</x:f>
        <x:v>10</x:v>
      </x:c>
      <x:c r="H1944" s="8" t="n">
        <x:f>IF(F1944&lt;=9,1,0)</x:f>
        <x:v>0</x:v>
      </x:c>
      <x:c r="I1944" s="9" t="n">
        <x:f>MIN(10,F1943+IF(AR1943&gt;0,MIN(1,AS1943/AR1943),1))</x:f>
        <x:v>10</x:v>
      </x:c>
      <x:c r="J1944" s="32" t="n">
        <x:f>INDEX(v01_FoodCap,G1944)*Arch_FoodCap*EXP(v01_CapsByProject*SUMPRODUCT((Cap_Point&lt;=I1944)*(Cap_Kind="Food")*Cap_Ln))</x:f>
        <x:v>12000</x:v>
      </x:c>
      <x:c r="K1944" s="32" t="n">
        <x:f>J1944*MIN(1,v01_LeanBase*EXP(v01_CapsByProject*SUMPRODUCT((Cap_Point&lt;=I1944)*(Cap_Kind="Lean")*Cap_Ln)))</x:f>
        <x:v>12000</x:v>
      </x:c>
      <x:c r="L1944" s="10" t="n">
        <x:f>INDEX(v01_HousingCap,G1944)*EXP(v01_CapsByProject*SUMPRODUCT((Cap_Point&lt;=I1944)*(Cap_Kind="Housing")*Cap_Ln))</x:f>
        <x:v>20000</x:v>
      </x:c>
      <x:c r="M1944" s="10" t="n">
        <x:f>INDEX(v01_GroupCap,G1944)*v01_CohesionFactor*EXP(v01_CapsByProject*SUMPRODUCT((Cap_Point&lt;=I1944)*(Cap_Kind="Group")*Cap_Ln))</x:f>
        <x:v>1000000</x:v>
      </x:c>
      <x:c r="N1944" s="32" t="n">
        <x:f>MIN(J1944,L1944,M1944)</x:f>
        <x:v>12000</x:v>
      </x:c>
      <x:c r="O1944" s="10" t="n">
        <x:f>AE1943*N1944</x:f>
        <x:v>180000</x:v>
      </x:c>
      <x:c r="P1944" s="9" t="n">
        <x:f>MIN(1,(AB1943/(AE1943*IF(v01_GroupInCrowding=1,N1944,MIN(J1944,L1944))))^v01_CrowdingExp)</x:f>
        <x:v>0.00024569414295285325</x:v>
      </x:c>
      <x:c r="Q1944" s="9" t="n">
        <x:f>IF(D1944=1,INDEX(v01_WinterMult,G1944),1)</x:f>
        <x:v>1</x:v>
      </x:c>
      <x:c r="R1944" s="9" t="n">
        <x:f>H1944*Z1943*v01_WomenShare*v01_BaseFertility*INDEX(v01_FertMult,G1944)*Arch_Fertility*(1-P1944)</x:f>
        <x:v>0</x:v>
      </x:c>
      <x:c r="S1944" s="9" t="n">
        <x:f>H1944*Y1943*INDEX(v01_MortChild,G1944)/4*Q1944</x:f>
        <x:v>0</x:v>
      </x:c>
      <x:c r="T1944" s="9" t="n">
        <x:f>H1944*Z1943*INDEX(v01_MortAdult,G1944)*Arch_AdultMort/4*Q1944</x:f>
        <x:v>0</x:v>
      </x:c>
      <x:c r="U1944" s="9" t="n">
        <x:f>H1944*AA1943*INDEX(v01_MortElder,G1944)/4*Q1944</x:f>
        <x:v>0</x:v>
      </x:c>
      <x:c r="V1944" s="9" t="n">
        <x:f>H1944*MAX(0,AB1943-O1944)*v01_OvercapLoss</x:f>
        <x:v>0</x:v>
      </x:c>
      <x:c r="W1944" s="9" t="n">
        <x:f>H1944*Y1943/(v01_ChildYears*4)</x:f>
        <x:v>0</x:v>
      </x:c>
      <x:c r="X1944" s="9" t="n">
        <x:f>H1944*Z1943/(v01_AdultYears*4)</x:f>
        <x:v>0</x:v>
      </x:c>
      <x:c r="Y1944" s="32" t="n">
        <x:f>Y1943+R1944-S1944-W1944-Y1943*V1944/AB1943</x:f>
        <x:v>14306.18539759397</x:v>
      </x:c>
      <x:c r="Z1944" s="32" t="n">
        <x:f>Z1943+W1944-X1944-T1944-Z1943*V1944/AB1943</x:f>
        <x:v>19354.456567879548</x:v>
      </x:c>
      <x:c r="AA1944" s="32" t="n">
        <x:f>AA1943+X1944-U1944-AA1943*V1944/AB1943</x:f>
        <x:v>11386.956063258198</x:v>
      </x:c>
      <x:c r="AB1944" s="10" t="n">
        <x:f>Y1944+Z1944+AA1944</x:f>
        <x:v>45047.59802873172</x:v>
      </x:c>
      <x:c r="AC1944" s="8" t="n">
        <x:f>IF(AND(v01_WinterTrigger=1,D1944=1,AB1943/AE1943&gt;=K1944),1,0)</x:f>
        <x:v>0</x:v>
      </x:c>
      <x:c r="AD1944" s="8" t="n">
        <x:f>H1944*IF(AND(OR(AB1943/AE1943&gt;=v01_FissionTrigger*N1944,AC1944=1),AB1943/AE1943*v01_DaughterShare&gt;=v01_MinDaughter),MAX(1,ROUND(AE1943*v01_FissionRate,0)),0)</x:f>
        <x:v>0</x:v>
      </x:c>
      <x:c r="AE1944" s="8" t="n">
        <x:f>IF(H1944=1,MAX(1,MIN(INDEX(v01_Smax,G1944),AE1943+AD1944)),AE1943)</x:f>
        <x:v>15</x:v>
      </x:c>
      <x:c r="AF1944" s="8" t="n">
        <x:f>MAX(0,AE1944-AE1943)</x:f>
        <x:v>0</x:v>
      </x:c>
      <x:c r="AG1944" s="9" t="str">
        <x:f>IF(AF1944&gt;0,B1944,"")</x:f>
      </x:c>
      <x:c r="AH1944" s="9" t="n">
        <x:f>IF(F1944&gt;=1,1,(1+v01_LowTiesShare*(AE1944-1))/AE1944)</x:f>
        <x:v>1</x:v>
      </x:c>
      <x:c r="AI1944" s="32" t="n">
        <x:f>(Z1944+v01_ElderCommons*INDEX(LM_Elder,G1944)*AA1944)*AH1944</x:f>
        <x:v>64139.732591141874</x:v>
      </x:c>
      <x:c r="AJ1944" s="32" t="n">
        <x:f>H1944*v01_CommonsCoef*AI1944^v01_CommonsExp*INDEX(LM_Commons,G1944)</x:f>
        <x:v>0</x:v>
      </x:c>
      <x:c r="AK1944" s="32" t="n">
        <x:f>H1944*v01_RoleScale*Arch_Roles*(AE1944*(INDEX(v01_ElderRolePerSett,G1944)*v01_OutElder*INDEX(LM_Elder,G1944)+INDEX(v01_ShamanPerSett,G1944)*v01_OutShaman)+Z1944*(INDEX(v01_PriestShare,G1944)*v01_OutPriest+INDEX(v01_ScribeShare,G1944)*v01_OutScribe*INDEX(LM_Scribe,G1944)+INDEX(v01_ScholarShare,G1944)*v01_OutScholar*INDEX(LM_Scholar,G1944)+INDEX(v01_ResearcherShare,G1944)*v01_OutResearcher*INDEX(LM_Researcher,G1944)))</x:f>
        <x:v>0</x:v>
      </x:c>
      <x:c r="AL1944" s="32" t="n">
        <x:f>H1944*v01_RoleScale*Arch_Roles*AE1944*INDEX(v01_MonasteryPerSett,G1944)*v01_OutMonastery*INDEX(LM_Monastery,G1944)</x:f>
        <x:v>0</x:v>
      </x:c>
      <x:c r="AM1944" s="32" t="n">
        <x:f>(AJ1944+AK1944+AL1944)/4*INDEX(LM_All,G1944)*INDEX(v01_Boon,G1944)*Arch_Insight</x:f>
        <x:v>0</x:v>
      </x:c>
      <x:c r="AN1944" s="32" t="n">
        <x:f>H1944*(v01_KHPerAdult*Z1944+v01_KHOfCommons*AJ1944/4*INDEX(LM_All,G1944))*v01_KHUsable*Arch_KH</x:f>
        <x:v>0</x:v>
      </x:c>
      <x:c r="AO1944" s="32" t="n">
        <x:f>MIN(AP1943+AN1944,AM1944*v01_KHMaxRatio)</x:f>
        <x:v>0</x:v>
      </x:c>
      <x:c r="AP1944" s="32" t="n">
        <x:f>AP1943+AN1944-AO1944</x:f>
        <x:v>0</x:v>
      </x:c>
      <x:c r="AQ1944" s="32" t="n">
        <x:f>AM1944+AO1944</x:f>
        <x:v>0</x:v>
      </x:c>
      <x:c r="AR1944" s="10" t="n">
        <x:f>IF(H1944=1,INDEX(v01_Req,G1944),0)</x:f>
        <x:v>0</x:v>
      </x:c>
      <x:c r="AS1944" s="32" t="n">
        <x:f>IF(H1944=1,IF(E1944=1,AS1943-AR1943,AS1943)+AQ1944,0)</x:f>
        <x:v>0</x:v>
      </x:c>
      <x:c r="AT1944" s="11" t="n">
        <x:f>IF(AR1944&gt;0,MIN(1,AS1944/AR1944),1)</x:f>
        <x:v>1</x:v>
      </x:c>
      <x:c r="AU1944" s="10" t="n">
        <x:f>AB1944/INDEX(v01_RepScale,G1944)</x:f>
        <x:v>90.09519605746344</x:v>
      </x:c>
      <x:c r="AV1944" s="32" t="n">
        <x:f>AM1944*60/v01_SeasonSeconds</x:f>
        <x:v>0</x:v>
      </x:c>
    </x:row>
    <x:row r="1945">
      <x:c r="A1945" s="8" t="n">
        <x:f>A1944+1</x:f>
        <x:v>1942</x:v>
      </x:c>
      <x:c r="B1945" s="9" t="n">
        <x:f>A1945*v01_SeasonSeconds/60</x:f>
        <x:v>485.5</x:v>
      </x:c>
      <x:c r="C1945" s="9" t="n">
        <x:f>A1945/4</x:f>
        <x:v>485.5</x:v>
      </x:c>
      <x:c r="D1945" s="8" t="n">
        <x:f>IF(MOD(A1945,4)=0,1,0)</x:f>
        <x:v>0</x:v>
      </x:c>
      <x:c r="E1945" s="8" t="n">
        <x:f>IF(AND(F1944&lt;=9,AS1944&gt;=AR1944),1,0)</x:f>
        <x:v>0</x:v>
      </x:c>
      <x:c r="F1945" s="8" t="n">
        <x:f>MIN(10,F1944+E1945)</x:f>
        <x:v>10</x:v>
      </x:c>
      <x:c r="G1945" s="8" t="n">
        <x:f>MIN(F1945,9)+1</x:f>
        <x:v>10</x:v>
      </x:c>
      <x:c r="H1945" s="8" t="n">
        <x:f>IF(F1945&lt;=9,1,0)</x:f>
        <x:v>0</x:v>
      </x:c>
      <x:c r="I1945" s="9" t="n">
        <x:f>MIN(10,F1944+IF(AR1944&gt;0,MIN(1,AS1944/AR1944),1))</x:f>
        <x:v>10</x:v>
      </x:c>
      <x:c r="J1945" s="32" t="n">
        <x:f>INDEX(v01_FoodCap,G1945)*Arch_FoodCap*EXP(v01_CapsByProject*SUMPRODUCT((Cap_Point&lt;=I1945)*(Cap_Kind="Food")*Cap_Ln))</x:f>
        <x:v>12000</x:v>
      </x:c>
      <x:c r="K1945" s="32" t="n">
        <x:f>J1945*MIN(1,v01_LeanBase*EXP(v01_CapsByProject*SUMPRODUCT((Cap_Point&lt;=I1945)*(Cap_Kind="Lean")*Cap_Ln)))</x:f>
        <x:v>12000</x:v>
      </x:c>
      <x:c r="L1945" s="10" t="n">
        <x:f>INDEX(v01_HousingCap,G1945)*EXP(v01_CapsByProject*SUMPRODUCT((Cap_Point&lt;=I1945)*(Cap_Kind="Housing")*Cap_Ln))</x:f>
        <x:v>20000</x:v>
      </x:c>
      <x:c r="M1945" s="10" t="n">
        <x:f>INDEX(v01_GroupCap,G1945)*v01_CohesionFactor*EXP(v01_CapsByProject*SUMPRODUCT((Cap_Point&lt;=I1945)*(Cap_Kind="Group")*Cap_Ln))</x:f>
        <x:v>1000000</x:v>
      </x:c>
      <x:c r="N1945" s="32" t="n">
        <x:f>MIN(J1945,L1945,M1945)</x:f>
        <x:v>12000</x:v>
      </x:c>
      <x:c r="O1945" s="10" t="n">
        <x:f>AE1944*N1945</x:f>
        <x:v>180000</x:v>
      </x:c>
      <x:c r="P1945" s="9" t="n">
        <x:f>MIN(1,(AB1944/(AE1944*IF(v01_GroupInCrowding=1,N1945,MIN(J1945,L1945))))^v01_CrowdingExp)</x:f>
        <x:v>0.00024569414295285325</x:v>
      </x:c>
      <x:c r="Q1945" s="9" t="n">
        <x:f>IF(D1945=1,INDEX(v01_WinterMult,G1945),1)</x:f>
        <x:v>1</x:v>
      </x:c>
      <x:c r="R1945" s="9" t="n">
        <x:f>H1945*Z1944*v01_WomenShare*v01_BaseFertility*INDEX(v01_FertMult,G1945)*Arch_Fertility*(1-P1945)</x:f>
        <x:v>0</x:v>
      </x:c>
      <x:c r="S1945" s="9" t="n">
        <x:f>H1945*Y1944*INDEX(v01_MortChild,G1945)/4*Q1945</x:f>
        <x:v>0</x:v>
      </x:c>
      <x:c r="T1945" s="9" t="n">
        <x:f>H1945*Z1944*INDEX(v01_MortAdult,G1945)*Arch_AdultMort/4*Q1945</x:f>
        <x:v>0</x:v>
      </x:c>
      <x:c r="U1945" s="9" t="n">
        <x:f>H1945*AA1944*INDEX(v01_MortElder,G1945)/4*Q1945</x:f>
        <x:v>0</x:v>
      </x:c>
      <x:c r="V1945" s="9" t="n">
        <x:f>H1945*MAX(0,AB1944-O1945)*v01_OvercapLoss</x:f>
        <x:v>0</x:v>
      </x:c>
      <x:c r="W1945" s="9" t="n">
        <x:f>H1945*Y1944/(v01_ChildYears*4)</x:f>
        <x:v>0</x:v>
      </x:c>
      <x:c r="X1945" s="9" t="n">
        <x:f>H1945*Z1944/(v01_AdultYears*4)</x:f>
        <x:v>0</x:v>
      </x:c>
      <x:c r="Y1945" s="32" t="n">
        <x:f>Y1944+R1945-S1945-W1945-Y1944*V1945/AB1944</x:f>
        <x:v>14306.18539759397</x:v>
      </x:c>
      <x:c r="Z1945" s="32" t="n">
        <x:f>Z1944+W1945-X1945-T1945-Z1944*V1945/AB1944</x:f>
        <x:v>19354.456567879548</x:v>
      </x:c>
      <x:c r="AA1945" s="32" t="n">
        <x:f>AA1944+X1945-U1945-AA1944*V1945/AB1944</x:f>
        <x:v>11386.956063258198</x:v>
      </x:c>
      <x:c r="AB1945" s="10" t="n">
        <x:f>Y1945+Z1945+AA1945</x:f>
        <x:v>45047.59802873172</x:v>
      </x:c>
      <x:c r="AC1945" s="8" t="n">
        <x:f>IF(AND(v01_WinterTrigger=1,D1945=1,AB1944/AE1944&gt;=K1945),1,0)</x:f>
        <x:v>0</x:v>
      </x:c>
      <x:c r="AD1945" s="8" t="n">
        <x:f>H1945*IF(AND(OR(AB1944/AE1944&gt;=v01_FissionTrigger*N1945,AC1945=1),AB1944/AE1944*v01_DaughterShare&gt;=v01_MinDaughter),MAX(1,ROUND(AE1944*v01_FissionRate,0)),0)</x:f>
        <x:v>0</x:v>
      </x:c>
      <x:c r="AE1945" s="8" t="n">
        <x:f>IF(H1945=1,MAX(1,MIN(INDEX(v01_Smax,G1945),AE1944+AD1945)),AE1944)</x:f>
        <x:v>15</x:v>
      </x:c>
      <x:c r="AF1945" s="8" t="n">
        <x:f>MAX(0,AE1945-AE1944)</x:f>
        <x:v>0</x:v>
      </x:c>
      <x:c r="AG1945" s="9" t="str">
        <x:f>IF(AF1945&gt;0,B1945,"")</x:f>
      </x:c>
      <x:c r="AH1945" s="9" t="n">
        <x:f>IF(F1945&gt;=1,1,(1+v01_LowTiesShare*(AE1945-1))/AE1945)</x:f>
        <x:v>1</x:v>
      </x:c>
      <x:c r="AI1945" s="32" t="n">
        <x:f>(Z1945+v01_ElderCommons*INDEX(LM_Elder,G1945)*AA1945)*AH1945</x:f>
        <x:v>64139.732591141874</x:v>
      </x:c>
      <x:c r="AJ1945" s="32" t="n">
        <x:f>H1945*v01_CommonsCoef*AI1945^v01_CommonsExp*INDEX(LM_Commons,G1945)</x:f>
        <x:v>0</x:v>
      </x:c>
      <x:c r="AK1945" s="32" t="n">
        <x:f>H1945*v01_RoleScale*Arch_Roles*(AE1945*(INDEX(v01_ElderRolePerSett,G1945)*v01_OutElder*INDEX(LM_Elder,G1945)+INDEX(v01_ShamanPerSett,G1945)*v01_OutShaman)+Z1945*(INDEX(v01_PriestShare,G1945)*v01_OutPriest+INDEX(v01_ScribeShare,G1945)*v01_OutScribe*INDEX(LM_Scribe,G1945)+INDEX(v01_ScholarShare,G1945)*v01_OutScholar*INDEX(LM_Scholar,G1945)+INDEX(v01_ResearcherShare,G1945)*v01_OutResearcher*INDEX(LM_Researcher,G1945)))</x:f>
        <x:v>0</x:v>
      </x:c>
      <x:c r="AL1945" s="32" t="n">
        <x:f>H1945*v01_RoleScale*Arch_Roles*AE1945*INDEX(v01_MonasteryPerSett,G1945)*v01_OutMonastery*INDEX(LM_Monastery,G1945)</x:f>
        <x:v>0</x:v>
      </x:c>
      <x:c r="AM1945" s="32" t="n">
        <x:f>(AJ1945+AK1945+AL1945)/4*INDEX(LM_All,G1945)*INDEX(v01_Boon,G1945)*Arch_Insight</x:f>
        <x:v>0</x:v>
      </x:c>
      <x:c r="AN1945" s="32" t="n">
        <x:f>H1945*(v01_KHPerAdult*Z1945+v01_KHOfCommons*AJ1945/4*INDEX(LM_All,G1945))*v01_KHUsable*Arch_KH</x:f>
        <x:v>0</x:v>
      </x:c>
      <x:c r="AO1945" s="32" t="n">
        <x:f>MIN(AP1944+AN1945,AM1945*v01_KHMaxRatio)</x:f>
        <x:v>0</x:v>
      </x:c>
      <x:c r="AP1945" s="32" t="n">
        <x:f>AP1944+AN1945-AO1945</x:f>
        <x:v>0</x:v>
      </x:c>
      <x:c r="AQ1945" s="32" t="n">
        <x:f>AM1945+AO1945</x:f>
        <x:v>0</x:v>
      </x:c>
      <x:c r="AR1945" s="10" t="n">
        <x:f>IF(H1945=1,INDEX(v01_Req,G1945),0)</x:f>
        <x:v>0</x:v>
      </x:c>
      <x:c r="AS1945" s="32" t="n">
        <x:f>IF(H1945=1,IF(E1945=1,AS1944-AR1944,AS1944)+AQ1945,0)</x:f>
        <x:v>0</x:v>
      </x:c>
      <x:c r="AT1945" s="11" t="n">
        <x:f>IF(AR1945&gt;0,MIN(1,AS1945/AR1945),1)</x:f>
        <x:v>1</x:v>
      </x:c>
      <x:c r="AU1945" s="10" t="n">
        <x:f>AB1945/INDEX(v01_RepScale,G1945)</x:f>
        <x:v>90.09519605746344</x:v>
      </x:c>
      <x:c r="AV1945" s="32" t="n">
        <x:f>AM1945*60/v01_SeasonSeconds</x:f>
        <x:v>0</x:v>
      </x:c>
    </x:row>
    <x:row r="1946">
      <x:c r="A1946" s="8" t="n">
        <x:f>A1945+1</x:f>
        <x:v>1943</x:v>
      </x:c>
      <x:c r="B1946" s="9" t="n">
        <x:f>A1946*v01_SeasonSeconds/60</x:f>
        <x:v>485.75</x:v>
      </x:c>
      <x:c r="C1946" s="9" t="n">
        <x:f>A1946/4</x:f>
        <x:v>485.75</x:v>
      </x:c>
      <x:c r="D1946" s="8" t="n">
        <x:f>IF(MOD(A1946,4)=0,1,0)</x:f>
        <x:v>0</x:v>
      </x:c>
      <x:c r="E1946" s="8" t="n">
        <x:f>IF(AND(F1945&lt;=9,AS1945&gt;=AR1945),1,0)</x:f>
        <x:v>0</x:v>
      </x:c>
      <x:c r="F1946" s="8" t="n">
        <x:f>MIN(10,F1945+E1946)</x:f>
        <x:v>10</x:v>
      </x:c>
      <x:c r="G1946" s="8" t="n">
        <x:f>MIN(F1946,9)+1</x:f>
        <x:v>10</x:v>
      </x:c>
      <x:c r="H1946" s="8" t="n">
        <x:f>IF(F1946&lt;=9,1,0)</x:f>
        <x:v>0</x:v>
      </x:c>
      <x:c r="I1946" s="9" t="n">
        <x:f>MIN(10,F1945+IF(AR1945&gt;0,MIN(1,AS1945/AR1945),1))</x:f>
        <x:v>10</x:v>
      </x:c>
      <x:c r="J1946" s="32" t="n">
        <x:f>INDEX(v01_FoodCap,G1946)*Arch_FoodCap*EXP(v01_CapsByProject*SUMPRODUCT((Cap_Point&lt;=I1946)*(Cap_Kind="Food")*Cap_Ln))</x:f>
        <x:v>12000</x:v>
      </x:c>
      <x:c r="K1946" s="32" t="n">
        <x:f>J1946*MIN(1,v01_LeanBase*EXP(v01_CapsByProject*SUMPRODUCT((Cap_Point&lt;=I1946)*(Cap_Kind="Lean")*Cap_Ln)))</x:f>
        <x:v>12000</x:v>
      </x:c>
      <x:c r="L1946" s="10" t="n">
        <x:f>INDEX(v01_HousingCap,G1946)*EXP(v01_CapsByProject*SUMPRODUCT((Cap_Point&lt;=I1946)*(Cap_Kind="Housing")*Cap_Ln))</x:f>
        <x:v>20000</x:v>
      </x:c>
      <x:c r="M1946" s="10" t="n">
        <x:f>INDEX(v01_GroupCap,G1946)*v01_CohesionFactor*EXP(v01_CapsByProject*SUMPRODUCT((Cap_Point&lt;=I1946)*(Cap_Kind="Group")*Cap_Ln))</x:f>
        <x:v>1000000</x:v>
      </x:c>
      <x:c r="N1946" s="32" t="n">
        <x:f>MIN(J1946,L1946,M1946)</x:f>
        <x:v>12000</x:v>
      </x:c>
      <x:c r="O1946" s="10" t="n">
        <x:f>AE1945*N1946</x:f>
        <x:v>180000</x:v>
      </x:c>
      <x:c r="P1946" s="9" t="n">
        <x:f>MIN(1,(AB1945/(AE1945*IF(v01_GroupInCrowding=1,N1946,MIN(J1946,L1946))))^v01_CrowdingExp)</x:f>
        <x:v>0.00024569414295285325</x:v>
      </x:c>
      <x:c r="Q1946" s="9" t="n">
        <x:f>IF(D1946=1,INDEX(v01_WinterMult,G1946),1)</x:f>
        <x:v>1</x:v>
      </x:c>
      <x:c r="R1946" s="9" t="n">
        <x:f>H1946*Z1945*v01_WomenShare*v01_BaseFertility*INDEX(v01_FertMult,G1946)*Arch_Fertility*(1-P1946)</x:f>
        <x:v>0</x:v>
      </x:c>
      <x:c r="S1946" s="9" t="n">
        <x:f>H1946*Y1945*INDEX(v01_MortChild,G1946)/4*Q1946</x:f>
        <x:v>0</x:v>
      </x:c>
      <x:c r="T1946" s="9" t="n">
        <x:f>H1946*Z1945*INDEX(v01_MortAdult,G1946)*Arch_AdultMort/4*Q1946</x:f>
        <x:v>0</x:v>
      </x:c>
      <x:c r="U1946" s="9" t="n">
        <x:f>H1946*AA1945*INDEX(v01_MortElder,G1946)/4*Q1946</x:f>
        <x:v>0</x:v>
      </x:c>
      <x:c r="V1946" s="9" t="n">
        <x:f>H1946*MAX(0,AB1945-O1946)*v01_OvercapLoss</x:f>
        <x:v>0</x:v>
      </x:c>
      <x:c r="W1946" s="9" t="n">
        <x:f>H1946*Y1945/(v01_ChildYears*4)</x:f>
        <x:v>0</x:v>
      </x:c>
      <x:c r="X1946" s="9" t="n">
        <x:f>H1946*Z1945/(v01_AdultYears*4)</x:f>
        <x:v>0</x:v>
      </x:c>
      <x:c r="Y1946" s="32" t="n">
        <x:f>Y1945+R1946-S1946-W1946-Y1945*V1946/AB1945</x:f>
        <x:v>14306.18539759397</x:v>
      </x:c>
      <x:c r="Z1946" s="32" t="n">
        <x:f>Z1945+W1946-X1946-T1946-Z1945*V1946/AB1945</x:f>
        <x:v>19354.456567879548</x:v>
      </x:c>
      <x:c r="AA1946" s="32" t="n">
        <x:f>AA1945+X1946-U1946-AA1945*V1946/AB1945</x:f>
        <x:v>11386.956063258198</x:v>
      </x:c>
      <x:c r="AB1946" s="10" t="n">
        <x:f>Y1946+Z1946+AA1946</x:f>
        <x:v>45047.59802873172</x:v>
      </x:c>
      <x:c r="AC1946" s="8" t="n">
        <x:f>IF(AND(v01_WinterTrigger=1,D1946=1,AB1945/AE1945&gt;=K1946),1,0)</x:f>
        <x:v>0</x:v>
      </x:c>
      <x:c r="AD1946" s="8" t="n">
        <x:f>H1946*IF(AND(OR(AB1945/AE1945&gt;=v01_FissionTrigger*N1946,AC1946=1),AB1945/AE1945*v01_DaughterShare&gt;=v01_MinDaughter),MAX(1,ROUND(AE1945*v01_FissionRate,0)),0)</x:f>
        <x:v>0</x:v>
      </x:c>
      <x:c r="AE1946" s="8" t="n">
        <x:f>IF(H1946=1,MAX(1,MIN(INDEX(v01_Smax,G1946),AE1945+AD1946)),AE1945)</x:f>
        <x:v>15</x:v>
      </x:c>
      <x:c r="AF1946" s="8" t="n">
        <x:f>MAX(0,AE1946-AE1945)</x:f>
        <x:v>0</x:v>
      </x:c>
      <x:c r="AG1946" s="9" t="str">
        <x:f>IF(AF1946&gt;0,B1946,"")</x:f>
      </x:c>
      <x:c r="AH1946" s="9" t="n">
        <x:f>IF(F1946&gt;=1,1,(1+v01_LowTiesShare*(AE1946-1))/AE1946)</x:f>
        <x:v>1</x:v>
      </x:c>
      <x:c r="AI1946" s="32" t="n">
        <x:f>(Z1946+v01_ElderCommons*INDEX(LM_Elder,G1946)*AA1946)*AH1946</x:f>
        <x:v>64139.732591141874</x:v>
      </x:c>
      <x:c r="AJ1946" s="32" t="n">
        <x:f>H1946*v01_CommonsCoef*AI1946^v01_CommonsExp*INDEX(LM_Commons,G1946)</x:f>
        <x:v>0</x:v>
      </x:c>
      <x:c r="AK1946" s="32" t="n">
        <x:f>H1946*v01_RoleScale*Arch_Roles*(AE1946*(INDEX(v01_ElderRolePerSett,G1946)*v01_OutElder*INDEX(LM_Elder,G1946)+INDEX(v01_ShamanPerSett,G1946)*v01_OutShaman)+Z1946*(INDEX(v01_PriestShare,G1946)*v01_OutPriest+INDEX(v01_ScribeShare,G1946)*v01_OutScribe*INDEX(LM_Scribe,G1946)+INDEX(v01_ScholarShare,G1946)*v01_OutScholar*INDEX(LM_Scholar,G1946)+INDEX(v01_ResearcherShare,G1946)*v01_OutResearcher*INDEX(LM_Researcher,G1946)))</x:f>
        <x:v>0</x:v>
      </x:c>
      <x:c r="AL1946" s="32" t="n">
        <x:f>H1946*v01_RoleScale*Arch_Roles*AE1946*INDEX(v01_MonasteryPerSett,G1946)*v01_OutMonastery*INDEX(LM_Monastery,G1946)</x:f>
        <x:v>0</x:v>
      </x:c>
      <x:c r="AM1946" s="32" t="n">
        <x:f>(AJ1946+AK1946+AL1946)/4*INDEX(LM_All,G1946)*INDEX(v01_Boon,G1946)*Arch_Insight</x:f>
        <x:v>0</x:v>
      </x:c>
      <x:c r="AN1946" s="32" t="n">
        <x:f>H1946*(v01_KHPerAdult*Z1946+v01_KHOfCommons*AJ1946/4*INDEX(LM_All,G1946))*v01_KHUsable*Arch_KH</x:f>
        <x:v>0</x:v>
      </x:c>
      <x:c r="AO1946" s="32" t="n">
        <x:f>MIN(AP1945+AN1946,AM1946*v01_KHMaxRatio)</x:f>
        <x:v>0</x:v>
      </x:c>
      <x:c r="AP1946" s="32" t="n">
        <x:f>AP1945+AN1946-AO1946</x:f>
        <x:v>0</x:v>
      </x:c>
      <x:c r="AQ1946" s="32" t="n">
        <x:f>AM1946+AO1946</x:f>
        <x:v>0</x:v>
      </x:c>
      <x:c r="AR1946" s="10" t="n">
        <x:f>IF(H1946=1,INDEX(v01_Req,G1946),0)</x:f>
        <x:v>0</x:v>
      </x:c>
      <x:c r="AS1946" s="32" t="n">
        <x:f>IF(H1946=1,IF(E1946=1,AS1945-AR1945,AS1945)+AQ1946,0)</x:f>
        <x:v>0</x:v>
      </x:c>
      <x:c r="AT1946" s="11" t="n">
        <x:f>IF(AR1946&gt;0,MIN(1,AS1946/AR1946),1)</x:f>
        <x:v>1</x:v>
      </x:c>
      <x:c r="AU1946" s="10" t="n">
        <x:f>AB1946/INDEX(v01_RepScale,G1946)</x:f>
        <x:v>90.09519605746344</x:v>
      </x:c>
      <x:c r="AV1946" s="32" t="n">
        <x:f>AM1946*60/v01_SeasonSeconds</x:f>
        <x:v>0</x:v>
      </x:c>
    </x:row>
    <x:row r="1947">
      <x:c r="A1947" s="8" t="n">
        <x:f>A1946+1</x:f>
        <x:v>1944</x:v>
      </x:c>
      <x:c r="B1947" s="9" t="n">
        <x:f>A1947*v01_SeasonSeconds/60</x:f>
        <x:v>486</x:v>
      </x:c>
      <x:c r="C1947" s="9" t="n">
        <x:f>A1947/4</x:f>
        <x:v>486</x:v>
      </x:c>
      <x:c r="D1947" s="8" t="n">
        <x:f>IF(MOD(A1947,4)=0,1,0)</x:f>
        <x:v>1</x:v>
      </x:c>
      <x:c r="E1947" s="8" t="n">
        <x:f>IF(AND(F1946&lt;=9,AS1946&gt;=AR1946),1,0)</x:f>
        <x:v>0</x:v>
      </x:c>
      <x:c r="F1947" s="8" t="n">
        <x:f>MIN(10,F1946+E1947)</x:f>
        <x:v>10</x:v>
      </x:c>
      <x:c r="G1947" s="8" t="n">
        <x:f>MIN(F1947,9)+1</x:f>
        <x:v>10</x:v>
      </x:c>
      <x:c r="H1947" s="8" t="n">
        <x:f>IF(F1947&lt;=9,1,0)</x:f>
        <x:v>0</x:v>
      </x:c>
      <x:c r="I1947" s="9" t="n">
        <x:f>MIN(10,F1946+IF(AR1946&gt;0,MIN(1,AS1946/AR1946),1))</x:f>
        <x:v>10</x:v>
      </x:c>
      <x:c r="J1947" s="32" t="n">
        <x:f>INDEX(v01_FoodCap,G1947)*Arch_FoodCap*EXP(v01_CapsByProject*SUMPRODUCT((Cap_Point&lt;=I1947)*(Cap_Kind="Food")*Cap_Ln))</x:f>
        <x:v>12000</x:v>
      </x:c>
      <x:c r="K1947" s="32" t="n">
        <x:f>J1947*MIN(1,v01_LeanBase*EXP(v01_CapsByProject*SUMPRODUCT((Cap_Point&lt;=I1947)*(Cap_Kind="Lean")*Cap_Ln)))</x:f>
        <x:v>12000</x:v>
      </x:c>
      <x:c r="L1947" s="10" t="n">
        <x:f>INDEX(v01_HousingCap,G1947)*EXP(v01_CapsByProject*SUMPRODUCT((Cap_Point&lt;=I1947)*(Cap_Kind="Housing")*Cap_Ln))</x:f>
        <x:v>20000</x:v>
      </x:c>
      <x:c r="M1947" s="10" t="n">
        <x:f>INDEX(v01_GroupCap,G1947)*v01_CohesionFactor*EXP(v01_CapsByProject*SUMPRODUCT((Cap_Point&lt;=I1947)*(Cap_Kind="Group")*Cap_Ln))</x:f>
        <x:v>1000000</x:v>
      </x:c>
      <x:c r="N1947" s="32" t="n">
        <x:f>MIN(J1947,L1947,M1947)</x:f>
        <x:v>12000</x:v>
      </x:c>
      <x:c r="O1947" s="10" t="n">
        <x:f>AE1946*N1947</x:f>
        <x:v>180000</x:v>
      </x:c>
      <x:c r="P1947" s="9" t="n">
        <x:f>MIN(1,(AB1946/(AE1946*IF(v01_GroupInCrowding=1,N1947,MIN(J1947,L1947))))^v01_CrowdingExp)</x:f>
        <x:v>0.00024569414295285325</x:v>
      </x:c>
      <x:c r="Q1947" s="9" t="n">
        <x:f>IF(D1947=1,INDEX(v01_WinterMult,G1947),1)</x:f>
        <x:v>1</x:v>
      </x:c>
      <x:c r="R1947" s="9" t="n">
        <x:f>H1947*Z1946*v01_WomenShare*v01_BaseFertility*INDEX(v01_FertMult,G1947)*Arch_Fertility*(1-P1947)</x:f>
        <x:v>0</x:v>
      </x:c>
      <x:c r="S1947" s="9" t="n">
        <x:f>H1947*Y1946*INDEX(v01_MortChild,G1947)/4*Q1947</x:f>
        <x:v>0</x:v>
      </x:c>
      <x:c r="T1947" s="9" t="n">
        <x:f>H1947*Z1946*INDEX(v01_MortAdult,G1947)*Arch_AdultMort/4*Q1947</x:f>
        <x:v>0</x:v>
      </x:c>
      <x:c r="U1947" s="9" t="n">
        <x:f>H1947*AA1946*INDEX(v01_MortElder,G1947)/4*Q1947</x:f>
        <x:v>0</x:v>
      </x:c>
      <x:c r="V1947" s="9" t="n">
        <x:f>H1947*MAX(0,AB1946-O1947)*v01_OvercapLoss</x:f>
        <x:v>0</x:v>
      </x:c>
      <x:c r="W1947" s="9" t="n">
        <x:f>H1947*Y1946/(v01_ChildYears*4)</x:f>
        <x:v>0</x:v>
      </x:c>
      <x:c r="X1947" s="9" t="n">
        <x:f>H1947*Z1946/(v01_AdultYears*4)</x:f>
        <x:v>0</x:v>
      </x:c>
      <x:c r="Y1947" s="32" t="n">
        <x:f>Y1946+R1947-S1947-W1947-Y1946*V1947/AB1946</x:f>
        <x:v>14306.18539759397</x:v>
      </x:c>
      <x:c r="Z1947" s="32" t="n">
        <x:f>Z1946+W1947-X1947-T1947-Z1946*V1947/AB1946</x:f>
        <x:v>19354.456567879548</x:v>
      </x:c>
      <x:c r="AA1947" s="32" t="n">
        <x:f>AA1946+X1947-U1947-AA1946*V1947/AB1946</x:f>
        <x:v>11386.956063258198</x:v>
      </x:c>
      <x:c r="AB1947" s="10" t="n">
        <x:f>Y1947+Z1947+AA1947</x:f>
        <x:v>45047.59802873172</x:v>
      </x:c>
      <x:c r="AC1947" s="8" t="n">
        <x:f>IF(AND(v01_WinterTrigger=1,D1947=1,AB1946/AE1946&gt;=K1947),1,0)</x:f>
        <x:v>0</x:v>
      </x:c>
      <x:c r="AD1947" s="8" t="n">
        <x:f>H1947*IF(AND(OR(AB1946/AE1946&gt;=v01_FissionTrigger*N1947,AC1947=1),AB1946/AE1946*v01_DaughterShare&gt;=v01_MinDaughter),MAX(1,ROUND(AE1946*v01_FissionRate,0)),0)</x:f>
        <x:v>0</x:v>
      </x:c>
      <x:c r="AE1947" s="8" t="n">
        <x:f>IF(H1947=1,MAX(1,MIN(INDEX(v01_Smax,G1947),AE1946+AD1947)),AE1946)</x:f>
        <x:v>15</x:v>
      </x:c>
      <x:c r="AF1947" s="8" t="n">
        <x:f>MAX(0,AE1947-AE1946)</x:f>
        <x:v>0</x:v>
      </x:c>
      <x:c r="AG1947" s="9" t="str">
        <x:f>IF(AF1947&gt;0,B1947,"")</x:f>
      </x:c>
      <x:c r="AH1947" s="9" t="n">
        <x:f>IF(F1947&gt;=1,1,(1+v01_LowTiesShare*(AE1947-1))/AE1947)</x:f>
        <x:v>1</x:v>
      </x:c>
      <x:c r="AI1947" s="32" t="n">
        <x:f>(Z1947+v01_ElderCommons*INDEX(LM_Elder,G1947)*AA1947)*AH1947</x:f>
        <x:v>64139.732591141874</x:v>
      </x:c>
      <x:c r="AJ1947" s="32" t="n">
        <x:f>H1947*v01_CommonsCoef*AI1947^v01_CommonsExp*INDEX(LM_Commons,G1947)</x:f>
        <x:v>0</x:v>
      </x:c>
      <x:c r="AK1947" s="32" t="n">
        <x:f>H1947*v01_RoleScale*Arch_Roles*(AE1947*(INDEX(v01_ElderRolePerSett,G1947)*v01_OutElder*INDEX(LM_Elder,G1947)+INDEX(v01_ShamanPerSett,G1947)*v01_OutShaman)+Z1947*(INDEX(v01_PriestShare,G1947)*v01_OutPriest+INDEX(v01_ScribeShare,G1947)*v01_OutScribe*INDEX(LM_Scribe,G1947)+INDEX(v01_ScholarShare,G1947)*v01_OutScholar*INDEX(LM_Scholar,G1947)+INDEX(v01_ResearcherShare,G1947)*v01_OutResearcher*INDEX(LM_Researcher,G1947)))</x:f>
        <x:v>0</x:v>
      </x:c>
      <x:c r="AL1947" s="32" t="n">
        <x:f>H1947*v01_RoleScale*Arch_Roles*AE1947*INDEX(v01_MonasteryPerSett,G1947)*v01_OutMonastery*INDEX(LM_Monastery,G1947)</x:f>
        <x:v>0</x:v>
      </x:c>
      <x:c r="AM1947" s="32" t="n">
        <x:f>(AJ1947+AK1947+AL1947)/4*INDEX(LM_All,G1947)*INDEX(v01_Boon,G1947)*Arch_Insight</x:f>
        <x:v>0</x:v>
      </x:c>
      <x:c r="AN1947" s="32" t="n">
        <x:f>H1947*(v01_KHPerAdult*Z1947+v01_KHOfCommons*AJ1947/4*INDEX(LM_All,G1947))*v01_KHUsable*Arch_KH</x:f>
        <x:v>0</x:v>
      </x:c>
      <x:c r="AO1947" s="32" t="n">
        <x:f>MIN(AP1946+AN1947,AM1947*v01_KHMaxRatio)</x:f>
        <x:v>0</x:v>
      </x:c>
      <x:c r="AP1947" s="32" t="n">
        <x:f>AP1946+AN1947-AO1947</x:f>
        <x:v>0</x:v>
      </x:c>
      <x:c r="AQ1947" s="32" t="n">
        <x:f>AM1947+AO1947</x:f>
        <x:v>0</x:v>
      </x:c>
      <x:c r="AR1947" s="10" t="n">
        <x:f>IF(H1947=1,INDEX(v01_Req,G1947),0)</x:f>
        <x:v>0</x:v>
      </x:c>
      <x:c r="AS1947" s="32" t="n">
        <x:f>IF(H1947=1,IF(E1947=1,AS1946-AR1946,AS1946)+AQ1947,0)</x:f>
        <x:v>0</x:v>
      </x:c>
      <x:c r="AT1947" s="11" t="n">
        <x:f>IF(AR1947&gt;0,MIN(1,AS1947/AR1947),1)</x:f>
        <x:v>1</x:v>
      </x:c>
      <x:c r="AU1947" s="10" t="n">
        <x:f>AB1947/INDEX(v01_RepScale,G1947)</x:f>
        <x:v>90.09519605746344</x:v>
      </x:c>
      <x:c r="AV1947" s="32" t="n">
        <x:f>AM1947*60/v01_SeasonSeconds</x:f>
        <x:v>0</x:v>
      </x:c>
    </x:row>
    <x:row r="1948">
      <x:c r="A1948" s="8" t="n">
        <x:f>A1947+1</x:f>
        <x:v>1945</x:v>
      </x:c>
      <x:c r="B1948" s="9" t="n">
        <x:f>A1948*v01_SeasonSeconds/60</x:f>
        <x:v>486.25</x:v>
      </x:c>
      <x:c r="C1948" s="9" t="n">
        <x:f>A1948/4</x:f>
        <x:v>486.25</x:v>
      </x:c>
      <x:c r="D1948" s="8" t="n">
        <x:f>IF(MOD(A1948,4)=0,1,0)</x:f>
        <x:v>0</x:v>
      </x:c>
      <x:c r="E1948" s="8" t="n">
        <x:f>IF(AND(F1947&lt;=9,AS1947&gt;=AR1947),1,0)</x:f>
        <x:v>0</x:v>
      </x:c>
      <x:c r="F1948" s="8" t="n">
        <x:f>MIN(10,F1947+E1948)</x:f>
        <x:v>10</x:v>
      </x:c>
      <x:c r="G1948" s="8" t="n">
        <x:f>MIN(F1948,9)+1</x:f>
        <x:v>10</x:v>
      </x:c>
      <x:c r="H1948" s="8" t="n">
        <x:f>IF(F1948&lt;=9,1,0)</x:f>
        <x:v>0</x:v>
      </x:c>
      <x:c r="I1948" s="9" t="n">
        <x:f>MIN(10,F1947+IF(AR1947&gt;0,MIN(1,AS1947/AR1947),1))</x:f>
        <x:v>10</x:v>
      </x:c>
      <x:c r="J1948" s="32" t="n">
        <x:f>INDEX(v01_FoodCap,G1948)*Arch_FoodCap*EXP(v01_CapsByProject*SUMPRODUCT((Cap_Point&lt;=I1948)*(Cap_Kind="Food")*Cap_Ln))</x:f>
        <x:v>12000</x:v>
      </x:c>
      <x:c r="K1948" s="32" t="n">
        <x:f>J1948*MIN(1,v01_LeanBase*EXP(v01_CapsByProject*SUMPRODUCT((Cap_Point&lt;=I1948)*(Cap_Kind="Lean")*Cap_Ln)))</x:f>
        <x:v>12000</x:v>
      </x:c>
      <x:c r="L1948" s="10" t="n">
        <x:f>INDEX(v01_HousingCap,G1948)*EXP(v01_CapsByProject*SUMPRODUCT((Cap_Point&lt;=I1948)*(Cap_Kind="Housing")*Cap_Ln))</x:f>
        <x:v>20000</x:v>
      </x:c>
      <x:c r="M1948" s="10" t="n">
        <x:f>INDEX(v01_GroupCap,G1948)*v01_CohesionFactor*EXP(v01_CapsByProject*SUMPRODUCT((Cap_Point&lt;=I1948)*(Cap_Kind="Group")*Cap_Ln))</x:f>
        <x:v>1000000</x:v>
      </x:c>
      <x:c r="N1948" s="32" t="n">
        <x:f>MIN(J1948,L1948,M1948)</x:f>
        <x:v>12000</x:v>
      </x:c>
      <x:c r="O1948" s="10" t="n">
        <x:f>AE1947*N1948</x:f>
        <x:v>180000</x:v>
      </x:c>
      <x:c r="P1948" s="9" t="n">
        <x:f>MIN(1,(AB1947/(AE1947*IF(v01_GroupInCrowding=1,N1948,MIN(J1948,L1948))))^v01_CrowdingExp)</x:f>
        <x:v>0.00024569414295285325</x:v>
      </x:c>
      <x:c r="Q1948" s="9" t="n">
        <x:f>IF(D1948=1,INDEX(v01_WinterMult,G1948),1)</x:f>
        <x:v>1</x:v>
      </x:c>
      <x:c r="R1948" s="9" t="n">
        <x:f>H1948*Z1947*v01_WomenShare*v01_BaseFertility*INDEX(v01_FertMult,G1948)*Arch_Fertility*(1-P1948)</x:f>
        <x:v>0</x:v>
      </x:c>
      <x:c r="S1948" s="9" t="n">
        <x:f>H1948*Y1947*INDEX(v01_MortChild,G1948)/4*Q1948</x:f>
        <x:v>0</x:v>
      </x:c>
      <x:c r="T1948" s="9" t="n">
        <x:f>H1948*Z1947*INDEX(v01_MortAdult,G1948)*Arch_AdultMort/4*Q1948</x:f>
        <x:v>0</x:v>
      </x:c>
      <x:c r="U1948" s="9" t="n">
        <x:f>H1948*AA1947*INDEX(v01_MortElder,G1948)/4*Q1948</x:f>
        <x:v>0</x:v>
      </x:c>
      <x:c r="V1948" s="9" t="n">
        <x:f>H1948*MAX(0,AB1947-O1948)*v01_OvercapLoss</x:f>
        <x:v>0</x:v>
      </x:c>
      <x:c r="W1948" s="9" t="n">
        <x:f>H1948*Y1947/(v01_ChildYears*4)</x:f>
        <x:v>0</x:v>
      </x:c>
      <x:c r="X1948" s="9" t="n">
        <x:f>H1948*Z1947/(v01_AdultYears*4)</x:f>
        <x:v>0</x:v>
      </x:c>
      <x:c r="Y1948" s="32" t="n">
        <x:f>Y1947+R1948-S1948-W1948-Y1947*V1948/AB1947</x:f>
        <x:v>14306.18539759397</x:v>
      </x:c>
      <x:c r="Z1948" s="32" t="n">
        <x:f>Z1947+W1948-X1948-T1948-Z1947*V1948/AB1947</x:f>
        <x:v>19354.456567879548</x:v>
      </x:c>
      <x:c r="AA1948" s="32" t="n">
        <x:f>AA1947+X1948-U1948-AA1947*V1948/AB1947</x:f>
        <x:v>11386.956063258198</x:v>
      </x:c>
      <x:c r="AB1948" s="10" t="n">
        <x:f>Y1948+Z1948+AA1948</x:f>
        <x:v>45047.59802873172</x:v>
      </x:c>
      <x:c r="AC1948" s="8" t="n">
        <x:f>IF(AND(v01_WinterTrigger=1,D1948=1,AB1947/AE1947&gt;=K1948),1,0)</x:f>
        <x:v>0</x:v>
      </x:c>
      <x:c r="AD1948" s="8" t="n">
        <x:f>H1948*IF(AND(OR(AB1947/AE1947&gt;=v01_FissionTrigger*N1948,AC1948=1),AB1947/AE1947*v01_DaughterShare&gt;=v01_MinDaughter),MAX(1,ROUND(AE1947*v01_FissionRate,0)),0)</x:f>
        <x:v>0</x:v>
      </x:c>
      <x:c r="AE1948" s="8" t="n">
        <x:f>IF(H1948=1,MAX(1,MIN(INDEX(v01_Smax,G1948),AE1947+AD1948)),AE1947)</x:f>
        <x:v>15</x:v>
      </x:c>
      <x:c r="AF1948" s="8" t="n">
        <x:f>MAX(0,AE1948-AE1947)</x:f>
        <x:v>0</x:v>
      </x:c>
      <x:c r="AG1948" s="9" t="str">
        <x:f>IF(AF1948&gt;0,B1948,"")</x:f>
      </x:c>
      <x:c r="AH1948" s="9" t="n">
        <x:f>IF(F1948&gt;=1,1,(1+v01_LowTiesShare*(AE1948-1))/AE1948)</x:f>
        <x:v>1</x:v>
      </x:c>
      <x:c r="AI1948" s="32" t="n">
        <x:f>(Z1948+v01_ElderCommons*INDEX(LM_Elder,G1948)*AA1948)*AH1948</x:f>
        <x:v>64139.732591141874</x:v>
      </x:c>
      <x:c r="AJ1948" s="32" t="n">
        <x:f>H1948*v01_CommonsCoef*AI1948^v01_CommonsExp*INDEX(LM_Commons,G1948)</x:f>
        <x:v>0</x:v>
      </x:c>
      <x:c r="AK1948" s="32" t="n">
        <x:f>H1948*v01_RoleScale*Arch_Roles*(AE1948*(INDEX(v01_ElderRolePerSett,G1948)*v01_OutElder*INDEX(LM_Elder,G1948)+INDEX(v01_ShamanPerSett,G1948)*v01_OutShaman)+Z1948*(INDEX(v01_PriestShare,G1948)*v01_OutPriest+INDEX(v01_ScribeShare,G1948)*v01_OutScribe*INDEX(LM_Scribe,G1948)+INDEX(v01_ScholarShare,G1948)*v01_OutScholar*INDEX(LM_Scholar,G1948)+INDEX(v01_ResearcherShare,G1948)*v01_OutResearcher*INDEX(LM_Researcher,G1948)))</x:f>
        <x:v>0</x:v>
      </x:c>
      <x:c r="AL1948" s="32" t="n">
        <x:f>H1948*v01_RoleScale*Arch_Roles*AE1948*INDEX(v01_MonasteryPerSett,G1948)*v01_OutMonastery*INDEX(LM_Monastery,G1948)</x:f>
        <x:v>0</x:v>
      </x:c>
      <x:c r="AM1948" s="32" t="n">
        <x:f>(AJ1948+AK1948+AL1948)/4*INDEX(LM_All,G1948)*INDEX(v01_Boon,G1948)*Arch_Insight</x:f>
        <x:v>0</x:v>
      </x:c>
      <x:c r="AN1948" s="32" t="n">
        <x:f>H1948*(v01_KHPerAdult*Z1948+v01_KHOfCommons*AJ1948/4*INDEX(LM_All,G1948))*v01_KHUsable*Arch_KH</x:f>
        <x:v>0</x:v>
      </x:c>
      <x:c r="AO1948" s="32" t="n">
        <x:f>MIN(AP1947+AN1948,AM1948*v01_KHMaxRatio)</x:f>
        <x:v>0</x:v>
      </x:c>
      <x:c r="AP1948" s="32" t="n">
        <x:f>AP1947+AN1948-AO1948</x:f>
        <x:v>0</x:v>
      </x:c>
      <x:c r="AQ1948" s="32" t="n">
        <x:f>AM1948+AO1948</x:f>
        <x:v>0</x:v>
      </x:c>
      <x:c r="AR1948" s="10" t="n">
        <x:f>IF(H1948=1,INDEX(v01_Req,G1948),0)</x:f>
        <x:v>0</x:v>
      </x:c>
      <x:c r="AS1948" s="32" t="n">
        <x:f>IF(H1948=1,IF(E1948=1,AS1947-AR1947,AS1947)+AQ1948,0)</x:f>
        <x:v>0</x:v>
      </x:c>
      <x:c r="AT1948" s="11" t="n">
        <x:f>IF(AR1948&gt;0,MIN(1,AS1948/AR1948),1)</x:f>
        <x:v>1</x:v>
      </x:c>
      <x:c r="AU1948" s="10" t="n">
        <x:f>AB1948/INDEX(v01_RepScale,G1948)</x:f>
        <x:v>90.09519605746344</x:v>
      </x:c>
      <x:c r="AV1948" s="32" t="n">
        <x:f>AM1948*60/v01_SeasonSeconds</x:f>
        <x:v>0</x:v>
      </x:c>
    </x:row>
    <x:row r="1949">
      <x:c r="A1949" s="8" t="n">
        <x:f>A1948+1</x:f>
        <x:v>1946</x:v>
      </x:c>
      <x:c r="B1949" s="9" t="n">
        <x:f>A1949*v01_SeasonSeconds/60</x:f>
        <x:v>486.5</x:v>
      </x:c>
      <x:c r="C1949" s="9" t="n">
        <x:f>A1949/4</x:f>
        <x:v>486.5</x:v>
      </x:c>
      <x:c r="D1949" s="8" t="n">
        <x:f>IF(MOD(A1949,4)=0,1,0)</x:f>
        <x:v>0</x:v>
      </x:c>
      <x:c r="E1949" s="8" t="n">
        <x:f>IF(AND(F1948&lt;=9,AS1948&gt;=AR1948),1,0)</x:f>
        <x:v>0</x:v>
      </x:c>
      <x:c r="F1949" s="8" t="n">
        <x:f>MIN(10,F1948+E1949)</x:f>
        <x:v>10</x:v>
      </x:c>
      <x:c r="G1949" s="8" t="n">
        <x:f>MIN(F1949,9)+1</x:f>
        <x:v>10</x:v>
      </x:c>
      <x:c r="H1949" s="8" t="n">
        <x:f>IF(F1949&lt;=9,1,0)</x:f>
        <x:v>0</x:v>
      </x:c>
      <x:c r="I1949" s="9" t="n">
        <x:f>MIN(10,F1948+IF(AR1948&gt;0,MIN(1,AS1948/AR1948),1))</x:f>
        <x:v>10</x:v>
      </x:c>
      <x:c r="J1949" s="32" t="n">
        <x:f>INDEX(v01_FoodCap,G1949)*Arch_FoodCap*EXP(v01_CapsByProject*SUMPRODUCT((Cap_Point&lt;=I1949)*(Cap_Kind="Food")*Cap_Ln))</x:f>
        <x:v>12000</x:v>
      </x:c>
      <x:c r="K1949" s="32" t="n">
        <x:f>J1949*MIN(1,v01_LeanBase*EXP(v01_CapsByProject*SUMPRODUCT((Cap_Point&lt;=I1949)*(Cap_Kind="Lean")*Cap_Ln)))</x:f>
        <x:v>12000</x:v>
      </x:c>
      <x:c r="L1949" s="10" t="n">
        <x:f>INDEX(v01_HousingCap,G1949)*EXP(v01_CapsByProject*SUMPRODUCT((Cap_Point&lt;=I1949)*(Cap_Kind="Housing")*Cap_Ln))</x:f>
        <x:v>20000</x:v>
      </x:c>
      <x:c r="M1949" s="10" t="n">
        <x:f>INDEX(v01_GroupCap,G1949)*v01_CohesionFactor*EXP(v01_CapsByProject*SUMPRODUCT((Cap_Point&lt;=I1949)*(Cap_Kind="Group")*Cap_Ln))</x:f>
        <x:v>1000000</x:v>
      </x:c>
      <x:c r="N1949" s="32" t="n">
        <x:f>MIN(J1949,L1949,M1949)</x:f>
        <x:v>12000</x:v>
      </x:c>
      <x:c r="O1949" s="10" t="n">
        <x:f>AE1948*N1949</x:f>
        <x:v>180000</x:v>
      </x:c>
      <x:c r="P1949" s="9" t="n">
        <x:f>MIN(1,(AB1948/(AE1948*IF(v01_GroupInCrowding=1,N1949,MIN(J1949,L1949))))^v01_CrowdingExp)</x:f>
        <x:v>0.00024569414295285325</x:v>
      </x:c>
      <x:c r="Q1949" s="9" t="n">
        <x:f>IF(D1949=1,INDEX(v01_WinterMult,G1949),1)</x:f>
        <x:v>1</x:v>
      </x:c>
      <x:c r="R1949" s="9" t="n">
        <x:f>H1949*Z1948*v01_WomenShare*v01_BaseFertility*INDEX(v01_FertMult,G1949)*Arch_Fertility*(1-P1949)</x:f>
        <x:v>0</x:v>
      </x:c>
      <x:c r="S1949" s="9" t="n">
        <x:f>H1949*Y1948*INDEX(v01_MortChild,G1949)/4*Q1949</x:f>
        <x:v>0</x:v>
      </x:c>
      <x:c r="T1949" s="9" t="n">
        <x:f>H1949*Z1948*INDEX(v01_MortAdult,G1949)*Arch_AdultMort/4*Q1949</x:f>
        <x:v>0</x:v>
      </x:c>
      <x:c r="U1949" s="9" t="n">
        <x:f>H1949*AA1948*INDEX(v01_MortElder,G1949)/4*Q1949</x:f>
        <x:v>0</x:v>
      </x:c>
      <x:c r="V1949" s="9" t="n">
        <x:f>H1949*MAX(0,AB1948-O1949)*v01_OvercapLoss</x:f>
        <x:v>0</x:v>
      </x:c>
      <x:c r="W1949" s="9" t="n">
        <x:f>H1949*Y1948/(v01_ChildYears*4)</x:f>
        <x:v>0</x:v>
      </x:c>
      <x:c r="X1949" s="9" t="n">
        <x:f>H1949*Z1948/(v01_AdultYears*4)</x:f>
        <x:v>0</x:v>
      </x:c>
      <x:c r="Y1949" s="32" t="n">
        <x:f>Y1948+R1949-S1949-W1949-Y1948*V1949/AB1948</x:f>
        <x:v>14306.18539759397</x:v>
      </x:c>
      <x:c r="Z1949" s="32" t="n">
        <x:f>Z1948+W1949-X1949-T1949-Z1948*V1949/AB1948</x:f>
        <x:v>19354.456567879548</x:v>
      </x:c>
      <x:c r="AA1949" s="32" t="n">
        <x:f>AA1948+X1949-U1949-AA1948*V1949/AB1948</x:f>
        <x:v>11386.956063258198</x:v>
      </x:c>
      <x:c r="AB1949" s="10" t="n">
        <x:f>Y1949+Z1949+AA1949</x:f>
        <x:v>45047.59802873172</x:v>
      </x:c>
      <x:c r="AC1949" s="8" t="n">
        <x:f>IF(AND(v01_WinterTrigger=1,D1949=1,AB1948/AE1948&gt;=K1949),1,0)</x:f>
        <x:v>0</x:v>
      </x:c>
      <x:c r="AD1949" s="8" t="n">
        <x:f>H1949*IF(AND(OR(AB1948/AE1948&gt;=v01_FissionTrigger*N1949,AC1949=1),AB1948/AE1948*v01_DaughterShare&gt;=v01_MinDaughter),MAX(1,ROUND(AE1948*v01_FissionRate,0)),0)</x:f>
        <x:v>0</x:v>
      </x:c>
      <x:c r="AE1949" s="8" t="n">
        <x:f>IF(H1949=1,MAX(1,MIN(INDEX(v01_Smax,G1949),AE1948+AD1949)),AE1948)</x:f>
        <x:v>15</x:v>
      </x:c>
      <x:c r="AF1949" s="8" t="n">
        <x:f>MAX(0,AE1949-AE1948)</x:f>
        <x:v>0</x:v>
      </x:c>
      <x:c r="AG1949" s="9" t="str">
        <x:f>IF(AF1949&gt;0,B1949,"")</x:f>
      </x:c>
      <x:c r="AH1949" s="9" t="n">
        <x:f>IF(F1949&gt;=1,1,(1+v01_LowTiesShare*(AE1949-1))/AE1949)</x:f>
        <x:v>1</x:v>
      </x:c>
      <x:c r="AI1949" s="32" t="n">
        <x:f>(Z1949+v01_ElderCommons*INDEX(LM_Elder,G1949)*AA1949)*AH1949</x:f>
        <x:v>64139.732591141874</x:v>
      </x:c>
      <x:c r="AJ1949" s="32" t="n">
        <x:f>H1949*v01_CommonsCoef*AI1949^v01_CommonsExp*INDEX(LM_Commons,G1949)</x:f>
        <x:v>0</x:v>
      </x:c>
      <x:c r="AK1949" s="32" t="n">
        <x:f>H1949*v01_RoleScale*Arch_Roles*(AE1949*(INDEX(v01_ElderRolePerSett,G1949)*v01_OutElder*INDEX(LM_Elder,G1949)+INDEX(v01_ShamanPerSett,G1949)*v01_OutShaman)+Z1949*(INDEX(v01_PriestShare,G1949)*v01_OutPriest+INDEX(v01_ScribeShare,G1949)*v01_OutScribe*INDEX(LM_Scribe,G1949)+INDEX(v01_ScholarShare,G1949)*v01_OutScholar*INDEX(LM_Scholar,G1949)+INDEX(v01_ResearcherShare,G1949)*v01_OutResearcher*INDEX(LM_Researcher,G1949)))</x:f>
        <x:v>0</x:v>
      </x:c>
      <x:c r="AL1949" s="32" t="n">
        <x:f>H1949*v01_RoleScale*Arch_Roles*AE1949*INDEX(v01_MonasteryPerSett,G1949)*v01_OutMonastery*INDEX(LM_Monastery,G1949)</x:f>
        <x:v>0</x:v>
      </x:c>
      <x:c r="AM1949" s="32" t="n">
        <x:f>(AJ1949+AK1949+AL1949)/4*INDEX(LM_All,G1949)*INDEX(v01_Boon,G1949)*Arch_Insight</x:f>
        <x:v>0</x:v>
      </x:c>
      <x:c r="AN1949" s="32" t="n">
        <x:f>H1949*(v01_KHPerAdult*Z1949+v01_KHOfCommons*AJ1949/4*INDEX(LM_All,G1949))*v01_KHUsable*Arch_KH</x:f>
        <x:v>0</x:v>
      </x:c>
      <x:c r="AO1949" s="32" t="n">
        <x:f>MIN(AP1948+AN1949,AM1949*v01_KHMaxRatio)</x:f>
        <x:v>0</x:v>
      </x:c>
      <x:c r="AP1949" s="32" t="n">
        <x:f>AP1948+AN1949-AO1949</x:f>
        <x:v>0</x:v>
      </x:c>
      <x:c r="AQ1949" s="32" t="n">
        <x:f>AM1949+AO1949</x:f>
        <x:v>0</x:v>
      </x:c>
      <x:c r="AR1949" s="10" t="n">
        <x:f>IF(H1949=1,INDEX(v01_Req,G1949),0)</x:f>
        <x:v>0</x:v>
      </x:c>
      <x:c r="AS1949" s="32" t="n">
        <x:f>IF(H1949=1,IF(E1949=1,AS1948-AR1948,AS1948)+AQ1949,0)</x:f>
        <x:v>0</x:v>
      </x:c>
      <x:c r="AT1949" s="11" t="n">
        <x:f>IF(AR1949&gt;0,MIN(1,AS1949/AR1949),1)</x:f>
        <x:v>1</x:v>
      </x:c>
      <x:c r="AU1949" s="10" t="n">
        <x:f>AB1949/INDEX(v01_RepScale,G1949)</x:f>
        <x:v>90.09519605746344</x:v>
      </x:c>
      <x:c r="AV1949" s="32" t="n">
        <x:f>AM1949*60/v01_SeasonSeconds</x:f>
        <x:v>0</x:v>
      </x:c>
    </x:row>
    <x:row r="1950">
      <x:c r="A1950" s="8" t="n">
        <x:f>A1949+1</x:f>
        <x:v>1947</x:v>
      </x:c>
      <x:c r="B1950" s="9" t="n">
        <x:f>A1950*v01_SeasonSeconds/60</x:f>
        <x:v>486.75</x:v>
      </x:c>
      <x:c r="C1950" s="9" t="n">
        <x:f>A1950/4</x:f>
        <x:v>486.75</x:v>
      </x:c>
      <x:c r="D1950" s="8" t="n">
        <x:f>IF(MOD(A1950,4)=0,1,0)</x:f>
        <x:v>0</x:v>
      </x:c>
      <x:c r="E1950" s="8" t="n">
        <x:f>IF(AND(F1949&lt;=9,AS1949&gt;=AR1949),1,0)</x:f>
        <x:v>0</x:v>
      </x:c>
      <x:c r="F1950" s="8" t="n">
        <x:f>MIN(10,F1949+E1950)</x:f>
        <x:v>10</x:v>
      </x:c>
      <x:c r="G1950" s="8" t="n">
        <x:f>MIN(F1950,9)+1</x:f>
        <x:v>10</x:v>
      </x:c>
      <x:c r="H1950" s="8" t="n">
        <x:f>IF(F1950&lt;=9,1,0)</x:f>
        <x:v>0</x:v>
      </x:c>
      <x:c r="I1950" s="9" t="n">
        <x:f>MIN(10,F1949+IF(AR1949&gt;0,MIN(1,AS1949/AR1949),1))</x:f>
        <x:v>10</x:v>
      </x:c>
      <x:c r="J1950" s="32" t="n">
        <x:f>INDEX(v01_FoodCap,G1950)*Arch_FoodCap*EXP(v01_CapsByProject*SUMPRODUCT((Cap_Point&lt;=I1950)*(Cap_Kind="Food")*Cap_Ln))</x:f>
        <x:v>12000</x:v>
      </x:c>
      <x:c r="K1950" s="32" t="n">
        <x:f>J1950*MIN(1,v01_LeanBase*EXP(v01_CapsByProject*SUMPRODUCT((Cap_Point&lt;=I1950)*(Cap_Kind="Lean")*Cap_Ln)))</x:f>
        <x:v>12000</x:v>
      </x:c>
      <x:c r="L1950" s="10" t="n">
        <x:f>INDEX(v01_HousingCap,G1950)*EXP(v01_CapsByProject*SUMPRODUCT((Cap_Point&lt;=I1950)*(Cap_Kind="Housing")*Cap_Ln))</x:f>
        <x:v>20000</x:v>
      </x:c>
      <x:c r="M1950" s="10" t="n">
        <x:f>INDEX(v01_GroupCap,G1950)*v01_CohesionFactor*EXP(v01_CapsByProject*SUMPRODUCT((Cap_Point&lt;=I1950)*(Cap_Kind="Group")*Cap_Ln))</x:f>
        <x:v>1000000</x:v>
      </x:c>
      <x:c r="N1950" s="32" t="n">
        <x:f>MIN(J1950,L1950,M1950)</x:f>
        <x:v>12000</x:v>
      </x:c>
      <x:c r="O1950" s="10" t="n">
        <x:f>AE1949*N1950</x:f>
        <x:v>180000</x:v>
      </x:c>
      <x:c r="P1950" s="9" t="n">
        <x:f>MIN(1,(AB1949/(AE1949*IF(v01_GroupInCrowding=1,N1950,MIN(J1950,L1950))))^v01_CrowdingExp)</x:f>
        <x:v>0.00024569414295285325</x:v>
      </x:c>
      <x:c r="Q1950" s="9" t="n">
        <x:f>IF(D1950=1,INDEX(v01_WinterMult,G1950),1)</x:f>
        <x:v>1</x:v>
      </x:c>
      <x:c r="R1950" s="9" t="n">
        <x:f>H1950*Z1949*v01_WomenShare*v01_BaseFertility*INDEX(v01_FertMult,G1950)*Arch_Fertility*(1-P1950)</x:f>
        <x:v>0</x:v>
      </x:c>
      <x:c r="S1950" s="9" t="n">
        <x:f>H1950*Y1949*INDEX(v01_MortChild,G1950)/4*Q1950</x:f>
        <x:v>0</x:v>
      </x:c>
      <x:c r="T1950" s="9" t="n">
        <x:f>H1950*Z1949*INDEX(v01_MortAdult,G1950)*Arch_AdultMort/4*Q1950</x:f>
        <x:v>0</x:v>
      </x:c>
      <x:c r="U1950" s="9" t="n">
        <x:f>H1950*AA1949*INDEX(v01_MortElder,G1950)/4*Q1950</x:f>
        <x:v>0</x:v>
      </x:c>
      <x:c r="V1950" s="9" t="n">
        <x:f>H1950*MAX(0,AB1949-O1950)*v01_OvercapLoss</x:f>
        <x:v>0</x:v>
      </x:c>
      <x:c r="W1950" s="9" t="n">
        <x:f>H1950*Y1949/(v01_ChildYears*4)</x:f>
        <x:v>0</x:v>
      </x:c>
      <x:c r="X1950" s="9" t="n">
        <x:f>H1950*Z1949/(v01_AdultYears*4)</x:f>
        <x:v>0</x:v>
      </x:c>
      <x:c r="Y1950" s="32" t="n">
        <x:f>Y1949+R1950-S1950-W1950-Y1949*V1950/AB1949</x:f>
        <x:v>14306.18539759397</x:v>
      </x:c>
      <x:c r="Z1950" s="32" t="n">
        <x:f>Z1949+W1950-X1950-T1950-Z1949*V1950/AB1949</x:f>
        <x:v>19354.456567879548</x:v>
      </x:c>
      <x:c r="AA1950" s="32" t="n">
        <x:f>AA1949+X1950-U1950-AA1949*V1950/AB1949</x:f>
        <x:v>11386.956063258198</x:v>
      </x:c>
      <x:c r="AB1950" s="10" t="n">
        <x:f>Y1950+Z1950+AA1950</x:f>
        <x:v>45047.59802873172</x:v>
      </x:c>
      <x:c r="AC1950" s="8" t="n">
        <x:f>IF(AND(v01_WinterTrigger=1,D1950=1,AB1949/AE1949&gt;=K1950),1,0)</x:f>
        <x:v>0</x:v>
      </x:c>
      <x:c r="AD1950" s="8" t="n">
        <x:f>H1950*IF(AND(OR(AB1949/AE1949&gt;=v01_FissionTrigger*N1950,AC1950=1),AB1949/AE1949*v01_DaughterShare&gt;=v01_MinDaughter),MAX(1,ROUND(AE1949*v01_FissionRate,0)),0)</x:f>
        <x:v>0</x:v>
      </x:c>
      <x:c r="AE1950" s="8" t="n">
        <x:f>IF(H1950=1,MAX(1,MIN(INDEX(v01_Smax,G1950),AE1949+AD1950)),AE1949)</x:f>
        <x:v>15</x:v>
      </x:c>
      <x:c r="AF1950" s="8" t="n">
        <x:f>MAX(0,AE1950-AE1949)</x:f>
        <x:v>0</x:v>
      </x:c>
      <x:c r="AG1950" s="9" t="str">
        <x:f>IF(AF1950&gt;0,B1950,"")</x:f>
      </x:c>
      <x:c r="AH1950" s="9" t="n">
        <x:f>IF(F1950&gt;=1,1,(1+v01_LowTiesShare*(AE1950-1))/AE1950)</x:f>
        <x:v>1</x:v>
      </x:c>
      <x:c r="AI1950" s="32" t="n">
        <x:f>(Z1950+v01_ElderCommons*INDEX(LM_Elder,G1950)*AA1950)*AH1950</x:f>
        <x:v>64139.732591141874</x:v>
      </x:c>
      <x:c r="AJ1950" s="32" t="n">
        <x:f>H1950*v01_CommonsCoef*AI1950^v01_CommonsExp*INDEX(LM_Commons,G1950)</x:f>
        <x:v>0</x:v>
      </x:c>
      <x:c r="AK1950" s="32" t="n">
        <x:f>H1950*v01_RoleScale*Arch_Roles*(AE1950*(INDEX(v01_ElderRolePerSett,G1950)*v01_OutElder*INDEX(LM_Elder,G1950)+INDEX(v01_ShamanPerSett,G1950)*v01_OutShaman)+Z1950*(INDEX(v01_PriestShare,G1950)*v01_OutPriest+INDEX(v01_ScribeShare,G1950)*v01_OutScribe*INDEX(LM_Scribe,G1950)+INDEX(v01_ScholarShare,G1950)*v01_OutScholar*INDEX(LM_Scholar,G1950)+INDEX(v01_ResearcherShare,G1950)*v01_OutResearcher*INDEX(LM_Researcher,G1950)))</x:f>
        <x:v>0</x:v>
      </x:c>
      <x:c r="AL1950" s="32" t="n">
        <x:f>H1950*v01_RoleScale*Arch_Roles*AE1950*INDEX(v01_MonasteryPerSett,G1950)*v01_OutMonastery*INDEX(LM_Monastery,G1950)</x:f>
        <x:v>0</x:v>
      </x:c>
      <x:c r="AM1950" s="32" t="n">
        <x:f>(AJ1950+AK1950+AL1950)/4*INDEX(LM_All,G1950)*INDEX(v01_Boon,G1950)*Arch_Insight</x:f>
        <x:v>0</x:v>
      </x:c>
      <x:c r="AN1950" s="32" t="n">
        <x:f>H1950*(v01_KHPerAdult*Z1950+v01_KHOfCommons*AJ1950/4*INDEX(LM_All,G1950))*v01_KHUsable*Arch_KH</x:f>
        <x:v>0</x:v>
      </x:c>
      <x:c r="AO1950" s="32" t="n">
        <x:f>MIN(AP1949+AN1950,AM1950*v01_KHMaxRatio)</x:f>
        <x:v>0</x:v>
      </x:c>
      <x:c r="AP1950" s="32" t="n">
        <x:f>AP1949+AN1950-AO1950</x:f>
        <x:v>0</x:v>
      </x:c>
      <x:c r="AQ1950" s="32" t="n">
        <x:f>AM1950+AO1950</x:f>
        <x:v>0</x:v>
      </x:c>
      <x:c r="AR1950" s="10" t="n">
        <x:f>IF(H1950=1,INDEX(v01_Req,G1950),0)</x:f>
        <x:v>0</x:v>
      </x:c>
      <x:c r="AS1950" s="32" t="n">
        <x:f>IF(H1950=1,IF(E1950=1,AS1949-AR1949,AS1949)+AQ1950,0)</x:f>
        <x:v>0</x:v>
      </x:c>
      <x:c r="AT1950" s="11" t="n">
        <x:f>IF(AR1950&gt;0,MIN(1,AS1950/AR1950),1)</x:f>
        <x:v>1</x:v>
      </x:c>
      <x:c r="AU1950" s="10" t="n">
        <x:f>AB1950/INDEX(v01_RepScale,G1950)</x:f>
        <x:v>90.09519605746344</x:v>
      </x:c>
      <x:c r="AV1950" s="32" t="n">
        <x:f>AM1950*60/v01_SeasonSeconds</x:f>
        <x:v>0</x:v>
      </x:c>
    </x:row>
    <x:row r="1951">
      <x:c r="A1951" s="8" t="n">
        <x:f>A1950+1</x:f>
        <x:v>1948</x:v>
      </x:c>
      <x:c r="B1951" s="9" t="n">
        <x:f>A1951*v01_SeasonSeconds/60</x:f>
        <x:v>487</x:v>
      </x:c>
      <x:c r="C1951" s="9" t="n">
        <x:f>A1951/4</x:f>
        <x:v>487</x:v>
      </x:c>
      <x:c r="D1951" s="8" t="n">
        <x:f>IF(MOD(A1951,4)=0,1,0)</x:f>
        <x:v>1</x:v>
      </x:c>
      <x:c r="E1951" s="8" t="n">
        <x:f>IF(AND(F1950&lt;=9,AS1950&gt;=AR1950),1,0)</x:f>
        <x:v>0</x:v>
      </x:c>
      <x:c r="F1951" s="8" t="n">
        <x:f>MIN(10,F1950+E1951)</x:f>
        <x:v>10</x:v>
      </x:c>
      <x:c r="G1951" s="8" t="n">
        <x:f>MIN(F1951,9)+1</x:f>
        <x:v>10</x:v>
      </x:c>
      <x:c r="H1951" s="8" t="n">
        <x:f>IF(F1951&lt;=9,1,0)</x:f>
        <x:v>0</x:v>
      </x:c>
      <x:c r="I1951" s="9" t="n">
        <x:f>MIN(10,F1950+IF(AR1950&gt;0,MIN(1,AS1950/AR1950),1))</x:f>
        <x:v>10</x:v>
      </x:c>
      <x:c r="J1951" s="32" t="n">
        <x:f>INDEX(v01_FoodCap,G1951)*Arch_FoodCap*EXP(v01_CapsByProject*SUMPRODUCT((Cap_Point&lt;=I1951)*(Cap_Kind="Food")*Cap_Ln))</x:f>
        <x:v>12000</x:v>
      </x:c>
      <x:c r="K1951" s="32" t="n">
        <x:f>J1951*MIN(1,v01_LeanBase*EXP(v01_CapsByProject*SUMPRODUCT((Cap_Point&lt;=I1951)*(Cap_Kind="Lean")*Cap_Ln)))</x:f>
        <x:v>12000</x:v>
      </x:c>
      <x:c r="L1951" s="10" t="n">
        <x:f>INDEX(v01_HousingCap,G1951)*EXP(v01_CapsByProject*SUMPRODUCT((Cap_Point&lt;=I1951)*(Cap_Kind="Housing")*Cap_Ln))</x:f>
        <x:v>20000</x:v>
      </x:c>
      <x:c r="M1951" s="10" t="n">
        <x:f>INDEX(v01_GroupCap,G1951)*v01_CohesionFactor*EXP(v01_CapsByProject*SUMPRODUCT((Cap_Point&lt;=I1951)*(Cap_Kind="Group")*Cap_Ln))</x:f>
        <x:v>1000000</x:v>
      </x:c>
      <x:c r="N1951" s="32" t="n">
        <x:f>MIN(J1951,L1951,M1951)</x:f>
        <x:v>12000</x:v>
      </x:c>
      <x:c r="O1951" s="10" t="n">
        <x:f>AE1950*N1951</x:f>
        <x:v>180000</x:v>
      </x:c>
      <x:c r="P1951" s="9" t="n">
        <x:f>MIN(1,(AB1950/(AE1950*IF(v01_GroupInCrowding=1,N1951,MIN(J1951,L1951))))^v01_CrowdingExp)</x:f>
        <x:v>0.00024569414295285325</x:v>
      </x:c>
      <x:c r="Q1951" s="9" t="n">
        <x:f>IF(D1951=1,INDEX(v01_WinterMult,G1951),1)</x:f>
        <x:v>1</x:v>
      </x:c>
      <x:c r="R1951" s="9" t="n">
        <x:f>H1951*Z1950*v01_WomenShare*v01_BaseFertility*INDEX(v01_FertMult,G1951)*Arch_Fertility*(1-P1951)</x:f>
        <x:v>0</x:v>
      </x:c>
      <x:c r="S1951" s="9" t="n">
        <x:f>H1951*Y1950*INDEX(v01_MortChild,G1951)/4*Q1951</x:f>
        <x:v>0</x:v>
      </x:c>
      <x:c r="T1951" s="9" t="n">
        <x:f>H1951*Z1950*INDEX(v01_MortAdult,G1951)*Arch_AdultMort/4*Q1951</x:f>
        <x:v>0</x:v>
      </x:c>
      <x:c r="U1951" s="9" t="n">
        <x:f>H1951*AA1950*INDEX(v01_MortElder,G1951)/4*Q1951</x:f>
        <x:v>0</x:v>
      </x:c>
      <x:c r="V1951" s="9" t="n">
        <x:f>H1951*MAX(0,AB1950-O1951)*v01_OvercapLoss</x:f>
        <x:v>0</x:v>
      </x:c>
      <x:c r="W1951" s="9" t="n">
        <x:f>H1951*Y1950/(v01_ChildYears*4)</x:f>
        <x:v>0</x:v>
      </x:c>
      <x:c r="X1951" s="9" t="n">
        <x:f>H1951*Z1950/(v01_AdultYears*4)</x:f>
        <x:v>0</x:v>
      </x:c>
      <x:c r="Y1951" s="32" t="n">
        <x:f>Y1950+R1951-S1951-W1951-Y1950*V1951/AB1950</x:f>
        <x:v>14306.18539759397</x:v>
      </x:c>
      <x:c r="Z1951" s="32" t="n">
        <x:f>Z1950+W1951-X1951-T1951-Z1950*V1951/AB1950</x:f>
        <x:v>19354.456567879548</x:v>
      </x:c>
      <x:c r="AA1951" s="32" t="n">
        <x:f>AA1950+X1951-U1951-AA1950*V1951/AB1950</x:f>
        <x:v>11386.956063258198</x:v>
      </x:c>
      <x:c r="AB1951" s="10" t="n">
        <x:f>Y1951+Z1951+AA1951</x:f>
        <x:v>45047.59802873172</x:v>
      </x:c>
      <x:c r="AC1951" s="8" t="n">
        <x:f>IF(AND(v01_WinterTrigger=1,D1951=1,AB1950/AE1950&gt;=K1951),1,0)</x:f>
        <x:v>0</x:v>
      </x:c>
      <x:c r="AD1951" s="8" t="n">
        <x:f>H1951*IF(AND(OR(AB1950/AE1950&gt;=v01_FissionTrigger*N1951,AC1951=1),AB1950/AE1950*v01_DaughterShare&gt;=v01_MinDaughter),MAX(1,ROUND(AE1950*v01_FissionRate,0)),0)</x:f>
        <x:v>0</x:v>
      </x:c>
      <x:c r="AE1951" s="8" t="n">
        <x:f>IF(H1951=1,MAX(1,MIN(INDEX(v01_Smax,G1951),AE1950+AD1951)),AE1950)</x:f>
        <x:v>15</x:v>
      </x:c>
      <x:c r="AF1951" s="8" t="n">
        <x:f>MAX(0,AE1951-AE1950)</x:f>
        <x:v>0</x:v>
      </x:c>
      <x:c r="AG1951" s="9" t="str">
        <x:f>IF(AF1951&gt;0,B1951,"")</x:f>
      </x:c>
      <x:c r="AH1951" s="9" t="n">
        <x:f>IF(F1951&gt;=1,1,(1+v01_LowTiesShare*(AE1951-1))/AE1951)</x:f>
        <x:v>1</x:v>
      </x:c>
      <x:c r="AI1951" s="32" t="n">
        <x:f>(Z1951+v01_ElderCommons*INDEX(LM_Elder,G1951)*AA1951)*AH1951</x:f>
        <x:v>64139.732591141874</x:v>
      </x:c>
      <x:c r="AJ1951" s="32" t="n">
        <x:f>H1951*v01_CommonsCoef*AI1951^v01_CommonsExp*INDEX(LM_Commons,G1951)</x:f>
        <x:v>0</x:v>
      </x:c>
      <x:c r="AK1951" s="32" t="n">
        <x:f>H1951*v01_RoleScale*Arch_Roles*(AE1951*(INDEX(v01_ElderRolePerSett,G1951)*v01_OutElder*INDEX(LM_Elder,G1951)+INDEX(v01_ShamanPerSett,G1951)*v01_OutShaman)+Z1951*(INDEX(v01_PriestShare,G1951)*v01_OutPriest+INDEX(v01_ScribeShare,G1951)*v01_OutScribe*INDEX(LM_Scribe,G1951)+INDEX(v01_ScholarShare,G1951)*v01_OutScholar*INDEX(LM_Scholar,G1951)+INDEX(v01_ResearcherShare,G1951)*v01_OutResearcher*INDEX(LM_Researcher,G1951)))</x:f>
        <x:v>0</x:v>
      </x:c>
      <x:c r="AL1951" s="32" t="n">
        <x:f>H1951*v01_RoleScale*Arch_Roles*AE1951*INDEX(v01_MonasteryPerSett,G1951)*v01_OutMonastery*INDEX(LM_Monastery,G1951)</x:f>
        <x:v>0</x:v>
      </x:c>
      <x:c r="AM1951" s="32" t="n">
        <x:f>(AJ1951+AK1951+AL1951)/4*INDEX(LM_All,G1951)*INDEX(v01_Boon,G1951)*Arch_Insight</x:f>
        <x:v>0</x:v>
      </x:c>
      <x:c r="AN1951" s="32" t="n">
        <x:f>H1951*(v01_KHPerAdult*Z1951+v01_KHOfCommons*AJ1951/4*INDEX(LM_All,G1951))*v01_KHUsable*Arch_KH</x:f>
        <x:v>0</x:v>
      </x:c>
      <x:c r="AO1951" s="32" t="n">
        <x:f>MIN(AP1950+AN1951,AM1951*v01_KHMaxRatio)</x:f>
        <x:v>0</x:v>
      </x:c>
      <x:c r="AP1951" s="32" t="n">
        <x:f>AP1950+AN1951-AO1951</x:f>
        <x:v>0</x:v>
      </x:c>
      <x:c r="AQ1951" s="32" t="n">
        <x:f>AM1951+AO1951</x:f>
        <x:v>0</x:v>
      </x:c>
      <x:c r="AR1951" s="10" t="n">
        <x:f>IF(H1951=1,INDEX(v01_Req,G1951),0)</x:f>
        <x:v>0</x:v>
      </x:c>
      <x:c r="AS1951" s="32" t="n">
        <x:f>IF(H1951=1,IF(E1951=1,AS1950-AR1950,AS1950)+AQ1951,0)</x:f>
        <x:v>0</x:v>
      </x:c>
      <x:c r="AT1951" s="11" t="n">
        <x:f>IF(AR1951&gt;0,MIN(1,AS1951/AR1951),1)</x:f>
        <x:v>1</x:v>
      </x:c>
      <x:c r="AU1951" s="10" t="n">
        <x:f>AB1951/INDEX(v01_RepScale,G1951)</x:f>
        <x:v>90.09519605746344</x:v>
      </x:c>
      <x:c r="AV1951" s="32" t="n">
        <x:f>AM1951*60/v01_SeasonSeconds</x:f>
        <x:v>0</x:v>
      </x:c>
    </x:row>
    <x:row r="1952">
      <x:c r="A1952" s="8" t="n">
        <x:f>A1951+1</x:f>
        <x:v>1949</x:v>
      </x:c>
      <x:c r="B1952" s="9" t="n">
        <x:f>A1952*v01_SeasonSeconds/60</x:f>
        <x:v>487.25</x:v>
      </x:c>
      <x:c r="C1952" s="9" t="n">
        <x:f>A1952/4</x:f>
        <x:v>487.25</x:v>
      </x:c>
      <x:c r="D1952" s="8" t="n">
        <x:f>IF(MOD(A1952,4)=0,1,0)</x:f>
        <x:v>0</x:v>
      </x:c>
      <x:c r="E1952" s="8" t="n">
        <x:f>IF(AND(F1951&lt;=9,AS1951&gt;=AR1951),1,0)</x:f>
        <x:v>0</x:v>
      </x:c>
      <x:c r="F1952" s="8" t="n">
        <x:f>MIN(10,F1951+E1952)</x:f>
        <x:v>10</x:v>
      </x:c>
      <x:c r="G1952" s="8" t="n">
        <x:f>MIN(F1952,9)+1</x:f>
        <x:v>10</x:v>
      </x:c>
      <x:c r="H1952" s="8" t="n">
        <x:f>IF(F1952&lt;=9,1,0)</x:f>
        <x:v>0</x:v>
      </x:c>
      <x:c r="I1952" s="9" t="n">
        <x:f>MIN(10,F1951+IF(AR1951&gt;0,MIN(1,AS1951/AR1951),1))</x:f>
        <x:v>10</x:v>
      </x:c>
      <x:c r="J1952" s="32" t="n">
        <x:f>INDEX(v01_FoodCap,G1952)*Arch_FoodCap*EXP(v01_CapsByProject*SUMPRODUCT((Cap_Point&lt;=I1952)*(Cap_Kind="Food")*Cap_Ln))</x:f>
        <x:v>12000</x:v>
      </x:c>
      <x:c r="K1952" s="32" t="n">
        <x:f>J1952*MIN(1,v01_LeanBase*EXP(v01_CapsByProject*SUMPRODUCT((Cap_Point&lt;=I1952)*(Cap_Kind="Lean")*Cap_Ln)))</x:f>
        <x:v>12000</x:v>
      </x:c>
      <x:c r="L1952" s="10" t="n">
        <x:f>INDEX(v01_HousingCap,G1952)*EXP(v01_CapsByProject*SUMPRODUCT((Cap_Point&lt;=I1952)*(Cap_Kind="Housing")*Cap_Ln))</x:f>
        <x:v>20000</x:v>
      </x:c>
      <x:c r="M1952" s="10" t="n">
        <x:f>INDEX(v01_GroupCap,G1952)*v01_CohesionFactor*EXP(v01_CapsByProject*SUMPRODUCT((Cap_Point&lt;=I1952)*(Cap_Kind="Group")*Cap_Ln))</x:f>
        <x:v>1000000</x:v>
      </x:c>
      <x:c r="N1952" s="32" t="n">
        <x:f>MIN(J1952,L1952,M1952)</x:f>
        <x:v>12000</x:v>
      </x:c>
      <x:c r="O1952" s="10" t="n">
        <x:f>AE1951*N1952</x:f>
        <x:v>180000</x:v>
      </x:c>
      <x:c r="P1952" s="9" t="n">
        <x:f>MIN(1,(AB1951/(AE1951*IF(v01_GroupInCrowding=1,N1952,MIN(J1952,L1952))))^v01_CrowdingExp)</x:f>
        <x:v>0.00024569414295285325</x:v>
      </x:c>
      <x:c r="Q1952" s="9" t="n">
        <x:f>IF(D1952=1,INDEX(v01_WinterMult,G1952),1)</x:f>
        <x:v>1</x:v>
      </x:c>
      <x:c r="R1952" s="9" t="n">
        <x:f>H1952*Z1951*v01_WomenShare*v01_BaseFertility*INDEX(v01_FertMult,G1952)*Arch_Fertility*(1-P1952)</x:f>
        <x:v>0</x:v>
      </x:c>
      <x:c r="S1952" s="9" t="n">
        <x:f>H1952*Y1951*INDEX(v01_MortChild,G1952)/4*Q1952</x:f>
        <x:v>0</x:v>
      </x:c>
      <x:c r="T1952" s="9" t="n">
        <x:f>H1952*Z1951*INDEX(v01_MortAdult,G1952)*Arch_AdultMort/4*Q1952</x:f>
        <x:v>0</x:v>
      </x:c>
      <x:c r="U1952" s="9" t="n">
        <x:f>H1952*AA1951*INDEX(v01_MortElder,G1952)/4*Q1952</x:f>
        <x:v>0</x:v>
      </x:c>
      <x:c r="V1952" s="9" t="n">
        <x:f>H1952*MAX(0,AB1951-O1952)*v01_OvercapLoss</x:f>
        <x:v>0</x:v>
      </x:c>
      <x:c r="W1952" s="9" t="n">
        <x:f>H1952*Y1951/(v01_ChildYears*4)</x:f>
        <x:v>0</x:v>
      </x:c>
      <x:c r="X1952" s="9" t="n">
        <x:f>H1952*Z1951/(v01_AdultYears*4)</x:f>
        <x:v>0</x:v>
      </x:c>
      <x:c r="Y1952" s="32" t="n">
        <x:f>Y1951+R1952-S1952-W1952-Y1951*V1952/AB1951</x:f>
        <x:v>14306.18539759397</x:v>
      </x:c>
      <x:c r="Z1952" s="32" t="n">
        <x:f>Z1951+W1952-X1952-T1952-Z1951*V1952/AB1951</x:f>
        <x:v>19354.456567879548</x:v>
      </x:c>
      <x:c r="AA1952" s="32" t="n">
        <x:f>AA1951+X1952-U1952-AA1951*V1952/AB1951</x:f>
        <x:v>11386.956063258198</x:v>
      </x:c>
      <x:c r="AB1952" s="10" t="n">
        <x:f>Y1952+Z1952+AA1952</x:f>
        <x:v>45047.59802873172</x:v>
      </x:c>
      <x:c r="AC1952" s="8" t="n">
        <x:f>IF(AND(v01_WinterTrigger=1,D1952=1,AB1951/AE1951&gt;=K1952),1,0)</x:f>
        <x:v>0</x:v>
      </x:c>
      <x:c r="AD1952" s="8" t="n">
        <x:f>H1952*IF(AND(OR(AB1951/AE1951&gt;=v01_FissionTrigger*N1952,AC1952=1),AB1951/AE1951*v01_DaughterShare&gt;=v01_MinDaughter),MAX(1,ROUND(AE1951*v01_FissionRate,0)),0)</x:f>
        <x:v>0</x:v>
      </x:c>
      <x:c r="AE1952" s="8" t="n">
        <x:f>IF(H1952=1,MAX(1,MIN(INDEX(v01_Smax,G1952),AE1951+AD1952)),AE1951)</x:f>
        <x:v>15</x:v>
      </x:c>
      <x:c r="AF1952" s="8" t="n">
        <x:f>MAX(0,AE1952-AE1951)</x:f>
        <x:v>0</x:v>
      </x:c>
      <x:c r="AG1952" s="9" t="str">
        <x:f>IF(AF1952&gt;0,B1952,"")</x:f>
      </x:c>
      <x:c r="AH1952" s="9" t="n">
        <x:f>IF(F1952&gt;=1,1,(1+v01_LowTiesShare*(AE1952-1))/AE1952)</x:f>
        <x:v>1</x:v>
      </x:c>
      <x:c r="AI1952" s="32" t="n">
        <x:f>(Z1952+v01_ElderCommons*INDEX(LM_Elder,G1952)*AA1952)*AH1952</x:f>
        <x:v>64139.732591141874</x:v>
      </x:c>
      <x:c r="AJ1952" s="32" t="n">
        <x:f>H1952*v01_CommonsCoef*AI1952^v01_CommonsExp*INDEX(LM_Commons,G1952)</x:f>
        <x:v>0</x:v>
      </x:c>
      <x:c r="AK1952" s="32" t="n">
        <x:f>H1952*v01_RoleScale*Arch_Roles*(AE1952*(INDEX(v01_ElderRolePerSett,G1952)*v01_OutElder*INDEX(LM_Elder,G1952)+INDEX(v01_ShamanPerSett,G1952)*v01_OutShaman)+Z1952*(INDEX(v01_PriestShare,G1952)*v01_OutPriest+INDEX(v01_ScribeShare,G1952)*v01_OutScribe*INDEX(LM_Scribe,G1952)+INDEX(v01_ScholarShare,G1952)*v01_OutScholar*INDEX(LM_Scholar,G1952)+INDEX(v01_ResearcherShare,G1952)*v01_OutResearcher*INDEX(LM_Researcher,G1952)))</x:f>
        <x:v>0</x:v>
      </x:c>
      <x:c r="AL1952" s="32" t="n">
        <x:f>H1952*v01_RoleScale*Arch_Roles*AE1952*INDEX(v01_MonasteryPerSett,G1952)*v01_OutMonastery*INDEX(LM_Monastery,G1952)</x:f>
        <x:v>0</x:v>
      </x:c>
      <x:c r="AM1952" s="32" t="n">
        <x:f>(AJ1952+AK1952+AL1952)/4*INDEX(LM_All,G1952)*INDEX(v01_Boon,G1952)*Arch_Insight</x:f>
        <x:v>0</x:v>
      </x:c>
      <x:c r="AN1952" s="32" t="n">
        <x:f>H1952*(v01_KHPerAdult*Z1952+v01_KHOfCommons*AJ1952/4*INDEX(LM_All,G1952))*v01_KHUsable*Arch_KH</x:f>
        <x:v>0</x:v>
      </x:c>
      <x:c r="AO1952" s="32" t="n">
        <x:f>MIN(AP1951+AN1952,AM1952*v01_KHMaxRatio)</x:f>
        <x:v>0</x:v>
      </x:c>
      <x:c r="AP1952" s="32" t="n">
        <x:f>AP1951+AN1952-AO1952</x:f>
        <x:v>0</x:v>
      </x:c>
      <x:c r="AQ1952" s="32" t="n">
        <x:f>AM1952+AO1952</x:f>
        <x:v>0</x:v>
      </x:c>
      <x:c r="AR1952" s="10" t="n">
        <x:f>IF(H1952=1,INDEX(v01_Req,G1952),0)</x:f>
        <x:v>0</x:v>
      </x:c>
      <x:c r="AS1952" s="32" t="n">
        <x:f>IF(H1952=1,IF(E1952=1,AS1951-AR1951,AS1951)+AQ1952,0)</x:f>
        <x:v>0</x:v>
      </x:c>
      <x:c r="AT1952" s="11" t="n">
        <x:f>IF(AR1952&gt;0,MIN(1,AS1952/AR1952),1)</x:f>
        <x:v>1</x:v>
      </x:c>
      <x:c r="AU1952" s="10" t="n">
        <x:f>AB1952/INDEX(v01_RepScale,G1952)</x:f>
        <x:v>90.09519605746344</x:v>
      </x:c>
      <x:c r="AV1952" s="32" t="n">
        <x:f>AM1952*60/v01_SeasonSeconds</x:f>
        <x:v>0</x:v>
      </x:c>
    </x:row>
    <x:row r="1953">
      <x:c r="A1953" s="8" t="n">
        <x:f>A1952+1</x:f>
        <x:v>1950</x:v>
      </x:c>
      <x:c r="B1953" s="9" t="n">
        <x:f>A1953*v01_SeasonSeconds/60</x:f>
        <x:v>487.5</x:v>
      </x:c>
      <x:c r="C1953" s="9" t="n">
        <x:f>A1953/4</x:f>
        <x:v>487.5</x:v>
      </x:c>
      <x:c r="D1953" s="8" t="n">
        <x:f>IF(MOD(A1953,4)=0,1,0)</x:f>
        <x:v>0</x:v>
      </x:c>
      <x:c r="E1953" s="8" t="n">
        <x:f>IF(AND(F1952&lt;=9,AS1952&gt;=AR1952),1,0)</x:f>
        <x:v>0</x:v>
      </x:c>
      <x:c r="F1953" s="8" t="n">
        <x:f>MIN(10,F1952+E1953)</x:f>
        <x:v>10</x:v>
      </x:c>
      <x:c r="G1953" s="8" t="n">
        <x:f>MIN(F1953,9)+1</x:f>
        <x:v>10</x:v>
      </x:c>
      <x:c r="H1953" s="8" t="n">
        <x:f>IF(F1953&lt;=9,1,0)</x:f>
        <x:v>0</x:v>
      </x:c>
      <x:c r="I1953" s="9" t="n">
        <x:f>MIN(10,F1952+IF(AR1952&gt;0,MIN(1,AS1952/AR1952),1))</x:f>
        <x:v>10</x:v>
      </x:c>
      <x:c r="J1953" s="32" t="n">
        <x:f>INDEX(v01_FoodCap,G1953)*Arch_FoodCap*EXP(v01_CapsByProject*SUMPRODUCT((Cap_Point&lt;=I1953)*(Cap_Kind="Food")*Cap_Ln))</x:f>
        <x:v>12000</x:v>
      </x:c>
      <x:c r="K1953" s="32" t="n">
        <x:f>J1953*MIN(1,v01_LeanBase*EXP(v01_CapsByProject*SUMPRODUCT((Cap_Point&lt;=I1953)*(Cap_Kind="Lean")*Cap_Ln)))</x:f>
        <x:v>12000</x:v>
      </x:c>
      <x:c r="L1953" s="10" t="n">
        <x:f>INDEX(v01_HousingCap,G1953)*EXP(v01_CapsByProject*SUMPRODUCT((Cap_Point&lt;=I1953)*(Cap_Kind="Housing")*Cap_Ln))</x:f>
        <x:v>20000</x:v>
      </x:c>
      <x:c r="M1953" s="10" t="n">
        <x:f>INDEX(v01_GroupCap,G1953)*v01_CohesionFactor*EXP(v01_CapsByProject*SUMPRODUCT((Cap_Point&lt;=I1953)*(Cap_Kind="Group")*Cap_Ln))</x:f>
        <x:v>1000000</x:v>
      </x:c>
      <x:c r="N1953" s="32" t="n">
        <x:f>MIN(J1953,L1953,M1953)</x:f>
        <x:v>12000</x:v>
      </x:c>
      <x:c r="O1953" s="10" t="n">
        <x:f>AE1952*N1953</x:f>
        <x:v>180000</x:v>
      </x:c>
      <x:c r="P1953" s="9" t="n">
        <x:f>MIN(1,(AB1952/(AE1952*IF(v01_GroupInCrowding=1,N1953,MIN(J1953,L1953))))^v01_CrowdingExp)</x:f>
        <x:v>0.00024569414295285325</x:v>
      </x:c>
      <x:c r="Q1953" s="9" t="n">
        <x:f>IF(D1953=1,INDEX(v01_WinterMult,G1953),1)</x:f>
        <x:v>1</x:v>
      </x:c>
      <x:c r="R1953" s="9" t="n">
        <x:f>H1953*Z1952*v01_WomenShare*v01_BaseFertility*INDEX(v01_FertMult,G1953)*Arch_Fertility*(1-P1953)</x:f>
        <x:v>0</x:v>
      </x:c>
      <x:c r="S1953" s="9" t="n">
        <x:f>H1953*Y1952*INDEX(v01_MortChild,G1953)/4*Q1953</x:f>
        <x:v>0</x:v>
      </x:c>
      <x:c r="T1953" s="9" t="n">
        <x:f>H1953*Z1952*INDEX(v01_MortAdult,G1953)*Arch_AdultMort/4*Q1953</x:f>
        <x:v>0</x:v>
      </x:c>
      <x:c r="U1953" s="9" t="n">
        <x:f>H1953*AA1952*INDEX(v01_MortElder,G1953)/4*Q1953</x:f>
        <x:v>0</x:v>
      </x:c>
      <x:c r="V1953" s="9" t="n">
        <x:f>H1953*MAX(0,AB1952-O1953)*v01_OvercapLoss</x:f>
        <x:v>0</x:v>
      </x:c>
      <x:c r="W1953" s="9" t="n">
        <x:f>H1953*Y1952/(v01_ChildYears*4)</x:f>
        <x:v>0</x:v>
      </x:c>
      <x:c r="X1953" s="9" t="n">
        <x:f>H1953*Z1952/(v01_AdultYears*4)</x:f>
        <x:v>0</x:v>
      </x:c>
      <x:c r="Y1953" s="32" t="n">
        <x:f>Y1952+R1953-S1953-W1953-Y1952*V1953/AB1952</x:f>
        <x:v>14306.18539759397</x:v>
      </x:c>
      <x:c r="Z1953" s="32" t="n">
        <x:f>Z1952+W1953-X1953-T1953-Z1952*V1953/AB1952</x:f>
        <x:v>19354.456567879548</x:v>
      </x:c>
      <x:c r="AA1953" s="32" t="n">
        <x:f>AA1952+X1953-U1953-AA1952*V1953/AB1952</x:f>
        <x:v>11386.956063258198</x:v>
      </x:c>
      <x:c r="AB1953" s="10" t="n">
        <x:f>Y1953+Z1953+AA1953</x:f>
        <x:v>45047.59802873172</x:v>
      </x:c>
      <x:c r="AC1953" s="8" t="n">
        <x:f>IF(AND(v01_WinterTrigger=1,D1953=1,AB1952/AE1952&gt;=K1953),1,0)</x:f>
        <x:v>0</x:v>
      </x:c>
      <x:c r="AD1953" s="8" t="n">
        <x:f>H1953*IF(AND(OR(AB1952/AE1952&gt;=v01_FissionTrigger*N1953,AC1953=1),AB1952/AE1952*v01_DaughterShare&gt;=v01_MinDaughter),MAX(1,ROUND(AE1952*v01_FissionRate,0)),0)</x:f>
        <x:v>0</x:v>
      </x:c>
      <x:c r="AE1953" s="8" t="n">
        <x:f>IF(H1953=1,MAX(1,MIN(INDEX(v01_Smax,G1953),AE1952+AD1953)),AE1952)</x:f>
        <x:v>15</x:v>
      </x:c>
      <x:c r="AF1953" s="8" t="n">
        <x:f>MAX(0,AE1953-AE1952)</x:f>
        <x:v>0</x:v>
      </x:c>
      <x:c r="AG1953" s="9" t="str">
        <x:f>IF(AF1953&gt;0,B1953,"")</x:f>
      </x:c>
      <x:c r="AH1953" s="9" t="n">
        <x:f>IF(F1953&gt;=1,1,(1+v01_LowTiesShare*(AE1953-1))/AE1953)</x:f>
        <x:v>1</x:v>
      </x:c>
      <x:c r="AI1953" s="32" t="n">
        <x:f>(Z1953+v01_ElderCommons*INDEX(LM_Elder,G1953)*AA1953)*AH1953</x:f>
        <x:v>64139.732591141874</x:v>
      </x:c>
      <x:c r="AJ1953" s="32" t="n">
        <x:f>H1953*v01_CommonsCoef*AI1953^v01_CommonsExp*INDEX(LM_Commons,G1953)</x:f>
        <x:v>0</x:v>
      </x:c>
      <x:c r="AK1953" s="32" t="n">
        <x:f>H1953*v01_RoleScale*Arch_Roles*(AE1953*(INDEX(v01_ElderRolePerSett,G1953)*v01_OutElder*INDEX(LM_Elder,G1953)+INDEX(v01_ShamanPerSett,G1953)*v01_OutShaman)+Z1953*(INDEX(v01_PriestShare,G1953)*v01_OutPriest+INDEX(v01_ScribeShare,G1953)*v01_OutScribe*INDEX(LM_Scribe,G1953)+INDEX(v01_ScholarShare,G1953)*v01_OutScholar*INDEX(LM_Scholar,G1953)+INDEX(v01_ResearcherShare,G1953)*v01_OutResearcher*INDEX(LM_Researcher,G1953)))</x:f>
        <x:v>0</x:v>
      </x:c>
      <x:c r="AL1953" s="32" t="n">
        <x:f>H1953*v01_RoleScale*Arch_Roles*AE1953*INDEX(v01_MonasteryPerSett,G1953)*v01_OutMonastery*INDEX(LM_Monastery,G1953)</x:f>
        <x:v>0</x:v>
      </x:c>
      <x:c r="AM1953" s="32" t="n">
        <x:f>(AJ1953+AK1953+AL1953)/4*INDEX(LM_All,G1953)*INDEX(v01_Boon,G1953)*Arch_Insight</x:f>
        <x:v>0</x:v>
      </x:c>
      <x:c r="AN1953" s="32" t="n">
        <x:f>H1953*(v01_KHPerAdult*Z1953+v01_KHOfCommons*AJ1953/4*INDEX(LM_All,G1953))*v01_KHUsable*Arch_KH</x:f>
        <x:v>0</x:v>
      </x:c>
      <x:c r="AO1953" s="32" t="n">
        <x:f>MIN(AP1952+AN1953,AM1953*v01_KHMaxRatio)</x:f>
        <x:v>0</x:v>
      </x:c>
      <x:c r="AP1953" s="32" t="n">
        <x:f>AP1952+AN1953-AO1953</x:f>
        <x:v>0</x:v>
      </x:c>
      <x:c r="AQ1953" s="32" t="n">
        <x:f>AM1953+AO1953</x:f>
        <x:v>0</x:v>
      </x:c>
      <x:c r="AR1953" s="10" t="n">
        <x:f>IF(H1953=1,INDEX(v01_Req,G1953),0)</x:f>
        <x:v>0</x:v>
      </x:c>
      <x:c r="AS1953" s="32" t="n">
        <x:f>IF(H1953=1,IF(E1953=1,AS1952-AR1952,AS1952)+AQ1953,0)</x:f>
        <x:v>0</x:v>
      </x:c>
      <x:c r="AT1953" s="11" t="n">
        <x:f>IF(AR1953&gt;0,MIN(1,AS1953/AR1953),1)</x:f>
        <x:v>1</x:v>
      </x:c>
      <x:c r="AU1953" s="10" t="n">
        <x:f>AB1953/INDEX(v01_RepScale,G1953)</x:f>
        <x:v>90.09519605746344</x:v>
      </x:c>
      <x:c r="AV1953" s="32" t="n">
        <x:f>AM1953*60/v01_SeasonSeconds</x:f>
        <x:v>0</x:v>
      </x:c>
    </x:row>
    <x:row r="1954">
      <x:c r="A1954" s="8" t="n">
        <x:f>A1953+1</x:f>
        <x:v>1951</x:v>
      </x:c>
      <x:c r="B1954" s="9" t="n">
        <x:f>A1954*v01_SeasonSeconds/60</x:f>
        <x:v>487.75</x:v>
      </x:c>
      <x:c r="C1954" s="9" t="n">
        <x:f>A1954/4</x:f>
        <x:v>487.75</x:v>
      </x:c>
      <x:c r="D1954" s="8" t="n">
        <x:f>IF(MOD(A1954,4)=0,1,0)</x:f>
        <x:v>0</x:v>
      </x:c>
      <x:c r="E1954" s="8" t="n">
        <x:f>IF(AND(F1953&lt;=9,AS1953&gt;=AR1953),1,0)</x:f>
        <x:v>0</x:v>
      </x:c>
      <x:c r="F1954" s="8" t="n">
        <x:f>MIN(10,F1953+E1954)</x:f>
        <x:v>10</x:v>
      </x:c>
      <x:c r="G1954" s="8" t="n">
        <x:f>MIN(F1954,9)+1</x:f>
        <x:v>10</x:v>
      </x:c>
      <x:c r="H1954" s="8" t="n">
        <x:f>IF(F1954&lt;=9,1,0)</x:f>
        <x:v>0</x:v>
      </x:c>
      <x:c r="I1954" s="9" t="n">
        <x:f>MIN(10,F1953+IF(AR1953&gt;0,MIN(1,AS1953/AR1953),1))</x:f>
        <x:v>10</x:v>
      </x:c>
      <x:c r="J1954" s="32" t="n">
        <x:f>INDEX(v01_FoodCap,G1954)*Arch_FoodCap*EXP(v01_CapsByProject*SUMPRODUCT((Cap_Point&lt;=I1954)*(Cap_Kind="Food")*Cap_Ln))</x:f>
        <x:v>12000</x:v>
      </x:c>
      <x:c r="K1954" s="32" t="n">
        <x:f>J1954*MIN(1,v01_LeanBase*EXP(v01_CapsByProject*SUMPRODUCT((Cap_Point&lt;=I1954)*(Cap_Kind="Lean")*Cap_Ln)))</x:f>
        <x:v>12000</x:v>
      </x:c>
      <x:c r="L1954" s="10" t="n">
        <x:f>INDEX(v01_HousingCap,G1954)*EXP(v01_CapsByProject*SUMPRODUCT((Cap_Point&lt;=I1954)*(Cap_Kind="Housing")*Cap_Ln))</x:f>
        <x:v>20000</x:v>
      </x:c>
      <x:c r="M1954" s="10" t="n">
        <x:f>INDEX(v01_GroupCap,G1954)*v01_CohesionFactor*EXP(v01_CapsByProject*SUMPRODUCT((Cap_Point&lt;=I1954)*(Cap_Kind="Group")*Cap_Ln))</x:f>
        <x:v>1000000</x:v>
      </x:c>
      <x:c r="N1954" s="32" t="n">
        <x:f>MIN(J1954,L1954,M1954)</x:f>
        <x:v>12000</x:v>
      </x:c>
      <x:c r="O1954" s="10" t="n">
        <x:f>AE1953*N1954</x:f>
        <x:v>180000</x:v>
      </x:c>
      <x:c r="P1954" s="9" t="n">
        <x:f>MIN(1,(AB1953/(AE1953*IF(v01_GroupInCrowding=1,N1954,MIN(J1954,L1954))))^v01_CrowdingExp)</x:f>
        <x:v>0.00024569414295285325</x:v>
      </x:c>
      <x:c r="Q1954" s="9" t="n">
        <x:f>IF(D1954=1,INDEX(v01_WinterMult,G1954),1)</x:f>
        <x:v>1</x:v>
      </x:c>
      <x:c r="R1954" s="9" t="n">
        <x:f>H1954*Z1953*v01_WomenShare*v01_BaseFertility*INDEX(v01_FertMult,G1954)*Arch_Fertility*(1-P1954)</x:f>
        <x:v>0</x:v>
      </x:c>
      <x:c r="S1954" s="9" t="n">
        <x:f>H1954*Y1953*INDEX(v01_MortChild,G1954)/4*Q1954</x:f>
        <x:v>0</x:v>
      </x:c>
      <x:c r="T1954" s="9" t="n">
        <x:f>H1954*Z1953*INDEX(v01_MortAdult,G1954)*Arch_AdultMort/4*Q1954</x:f>
        <x:v>0</x:v>
      </x:c>
      <x:c r="U1954" s="9" t="n">
        <x:f>H1954*AA1953*INDEX(v01_MortElder,G1954)/4*Q1954</x:f>
        <x:v>0</x:v>
      </x:c>
      <x:c r="V1954" s="9" t="n">
        <x:f>H1954*MAX(0,AB1953-O1954)*v01_OvercapLoss</x:f>
        <x:v>0</x:v>
      </x:c>
      <x:c r="W1954" s="9" t="n">
        <x:f>H1954*Y1953/(v01_ChildYears*4)</x:f>
        <x:v>0</x:v>
      </x:c>
      <x:c r="X1954" s="9" t="n">
        <x:f>H1954*Z1953/(v01_AdultYears*4)</x:f>
        <x:v>0</x:v>
      </x:c>
      <x:c r="Y1954" s="32" t="n">
        <x:f>Y1953+R1954-S1954-W1954-Y1953*V1954/AB1953</x:f>
        <x:v>14306.18539759397</x:v>
      </x:c>
      <x:c r="Z1954" s="32" t="n">
        <x:f>Z1953+W1954-X1954-T1954-Z1953*V1954/AB1953</x:f>
        <x:v>19354.456567879548</x:v>
      </x:c>
      <x:c r="AA1954" s="32" t="n">
        <x:f>AA1953+X1954-U1954-AA1953*V1954/AB1953</x:f>
        <x:v>11386.956063258198</x:v>
      </x:c>
      <x:c r="AB1954" s="10" t="n">
        <x:f>Y1954+Z1954+AA1954</x:f>
        <x:v>45047.59802873172</x:v>
      </x:c>
      <x:c r="AC1954" s="8" t="n">
        <x:f>IF(AND(v01_WinterTrigger=1,D1954=1,AB1953/AE1953&gt;=K1954),1,0)</x:f>
        <x:v>0</x:v>
      </x:c>
      <x:c r="AD1954" s="8" t="n">
        <x:f>H1954*IF(AND(OR(AB1953/AE1953&gt;=v01_FissionTrigger*N1954,AC1954=1),AB1953/AE1953*v01_DaughterShare&gt;=v01_MinDaughter),MAX(1,ROUND(AE1953*v01_FissionRate,0)),0)</x:f>
        <x:v>0</x:v>
      </x:c>
      <x:c r="AE1954" s="8" t="n">
        <x:f>IF(H1954=1,MAX(1,MIN(INDEX(v01_Smax,G1954),AE1953+AD1954)),AE1953)</x:f>
        <x:v>15</x:v>
      </x:c>
      <x:c r="AF1954" s="8" t="n">
        <x:f>MAX(0,AE1954-AE1953)</x:f>
        <x:v>0</x:v>
      </x:c>
      <x:c r="AG1954" s="9" t="str">
        <x:f>IF(AF1954&gt;0,B1954,"")</x:f>
      </x:c>
      <x:c r="AH1954" s="9" t="n">
        <x:f>IF(F1954&gt;=1,1,(1+v01_LowTiesShare*(AE1954-1))/AE1954)</x:f>
        <x:v>1</x:v>
      </x:c>
      <x:c r="AI1954" s="32" t="n">
        <x:f>(Z1954+v01_ElderCommons*INDEX(LM_Elder,G1954)*AA1954)*AH1954</x:f>
        <x:v>64139.732591141874</x:v>
      </x:c>
      <x:c r="AJ1954" s="32" t="n">
        <x:f>H1954*v01_CommonsCoef*AI1954^v01_CommonsExp*INDEX(LM_Commons,G1954)</x:f>
        <x:v>0</x:v>
      </x:c>
      <x:c r="AK1954" s="32" t="n">
        <x:f>H1954*v01_RoleScale*Arch_Roles*(AE1954*(INDEX(v01_ElderRolePerSett,G1954)*v01_OutElder*INDEX(LM_Elder,G1954)+INDEX(v01_ShamanPerSett,G1954)*v01_OutShaman)+Z1954*(INDEX(v01_PriestShare,G1954)*v01_OutPriest+INDEX(v01_ScribeShare,G1954)*v01_OutScribe*INDEX(LM_Scribe,G1954)+INDEX(v01_ScholarShare,G1954)*v01_OutScholar*INDEX(LM_Scholar,G1954)+INDEX(v01_ResearcherShare,G1954)*v01_OutResearcher*INDEX(LM_Researcher,G1954)))</x:f>
        <x:v>0</x:v>
      </x:c>
      <x:c r="AL1954" s="32" t="n">
        <x:f>H1954*v01_RoleScale*Arch_Roles*AE1954*INDEX(v01_MonasteryPerSett,G1954)*v01_OutMonastery*INDEX(LM_Monastery,G1954)</x:f>
        <x:v>0</x:v>
      </x:c>
      <x:c r="AM1954" s="32" t="n">
        <x:f>(AJ1954+AK1954+AL1954)/4*INDEX(LM_All,G1954)*INDEX(v01_Boon,G1954)*Arch_Insight</x:f>
        <x:v>0</x:v>
      </x:c>
      <x:c r="AN1954" s="32" t="n">
        <x:f>H1954*(v01_KHPerAdult*Z1954+v01_KHOfCommons*AJ1954/4*INDEX(LM_All,G1954))*v01_KHUsable*Arch_KH</x:f>
        <x:v>0</x:v>
      </x:c>
      <x:c r="AO1954" s="32" t="n">
        <x:f>MIN(AP1953+AN1954,AM1954*v01_KHMaxRatio)</x:f>
        <x:v>0</x:v>
      </x:c>
      <x:c r="AP1954" s="32" t="n">
        <x:f>AP1953+AN1954-AO1954</x:f>
        <x:v>0</x:v>
      </x:c>
      <x:c r="AQ1954" s="32" t="n">
        <x:f>AM1954+AO1954</x:f>
        <x:v>0</x:v>
      </x:c>
      <x:c r="AR1954" s="10" t="n">
        <x:f>IF(H1954=1,INDEX(v01_Req,G1954),0)</x:f>
        <x:v>0</x:v>
      </x:c>
      <x:c r="AS1954" s="32" t="n">
        <x:f>IF(H1954=1,IF(E1954=1,AS1953-AR1953,AS1953)+AQ1954,0)</x:f>
        <x:v>0</x:v>
      </x:c>
      <x:c r="AT1954" s="11" t="n">
        <x:f>IF(AR1954&gt;0,MIN(1,AS1954/AR1954),1)</x:f>
        <x:v>1</x:v>
      </x:c>
      <x:c r="AU1954" s="10" t="n">
        <x:f>AB1954/INDEX(v01_RepScale,G1954)</x:f>
        <x:v>90.09519605746344</x:v>
      </x:c>
      <x:c r="AV1954" s="32" t="n">
        <x:f>AM1954*60/v01_SeasonSeconds</x:f>
        <x:v>0</x:v>
      </x:c>
    </x:row>
    <x:row r="1955">
      <x:c r="A1955" s="8" t="n">
        <x:f>A1954+1</x:f>
        <x:v>1952</x:v>
      </x:c>
      <x:c r="B1955" s="9" t="n">
        <x:f>A1955*v01_SeasonSeconds/60</x:f>
        <x:v>488</x:v>
      </x:c>
      <x:c r="C1955" s="9" t="n">
        <x:f>A1955/4</x:f>
        <x:v>488</x:v>
      </x:c>
      <x:c r="D1955" s="8" t="n">
        <x:f>IF(MOD(A1955,4)=0,1,0)</x:f>
        <x:v>1</x:v>
      </x:c>
      <x:c r="E1955" s="8" t="n">
        <x:f>IF(AND(F1954&lt;=9,AS1954&gt;=AR1954),1,0)</x:f>
        <x:v>0</x:v>
      </x:c>
      <x:c r="F1955" s="8" t="n">
        <x:f>MIN(10,F1954+E1955)</x:f>
        <x:v>10</x:v>
      </x:c>
      <x:c r="G1955" s="8" t="n">
        <x:f>MIN(F1955,9)+1</x:f>
        <x:v>10</x:v>
      </x:c>
      <x:c r="H1955" s="8" t="n">
        <x:f>IF(F1955&lt;=9,1,0)</x:f>
        <x:v>0</x:v>
      </x:c>
      <x:c r="I1955" s="9" t="n">
        <x:f>MIN(10,F1954+IF(AR1954&gt;0,MIN(1,AS1954/AR1954),1))</x:f>
        <x:v>10</x:v>
      </x:c>
      <x:c r="J1955" s="32" t="n">
        <x:f>INDEX(v01_FoodCap,G1955)*Arch_FoodCap*EXP(v01_CapsByProject*SUMPRODUCT((Cap_Point&lt;=I1955)*(Cap_Kind="Food")*Cap_Ln))</x:f>
        <x:v>12000</x:v>
      </x:c>
      <x:c r="K1955" s="32" t="n">
        <x:f>J1955*MIN(1,v01_LeanBase*EXP(v01_CapsByProject*SUMPRODUCT((Cap_Point&lt;=I1955)*(Cap_Kind="Lean")*Cap_Ln)))</x:f>
        <x:v>12000</x:v>
      </x:c>
      <x:c r="L1955" s="10" t="n">
        <x:f>INDEX(v01_HousingCap,G1955)*EXP(v01_CapsByProject*SUMPRODUCT((Cap_Point&lt;=I1955)*(Cap_Kind="Housing")*Cap_Ln))</x:f>
        <x:v>20000</x:v>
      </x:c>
      <x:c r="M1955" s="10" t="n">
        <x:f>INDEX(v01_GroupCap,G1955)*v01_CohesionFactor*EXP(v01_CapsByProject*SUMPRODUCT((Cap_Point&lt;=I1955)*(Cap_Kind="Group")*Cap_Ln))</x:f>
        <x:v>1000000</x:v>
      </x:c>
      <x:c r="N1955" s="32" t="n">
        <x:f>MIN(J1955,L1955,M1955)</x:f>
        <x:v>12000</x:v>
      </x:c>
      <x:c r="O1955" s="10" t="n">
        <x:f>AE1954*N1955</x:f>
        <x:v>180000</x:v>
      </x:c>
      <x:c r="P1955" s="9" t="n">
        <x:f>MIN(1,(AB1954/(AE1954*IF(v01_GroupInCrowding=1,N1955,MIN(J1955,L1955))))^v01_CrowdingExp)</x:f>
        <x:v>0.00024569414295285325</x:v>
      </x:c>
      <x:c r="Q1955" s="9" t="n">
        <x:f>IF(D1955=1,INDEX(v01_WinterMult,G1955),1)</x:f>
        <x:v>1</x:v>
      </x:c>
      <x:c r="R1955" s="9" t="n">
        <x:f>H1955*Z1954*v01_WomenShare*v01_BaseFertility*INDEX(v01_FertMult,G1955)*Arch_Fertility*(1-P1955)</x:f>
        <x:v>0</x:v>
      </x:c>
      <x:c r="S1955" s="9" t="n">
        <x:f>H1955*Y1954*INDEX(v01_MortChild,G1955)/4*Q1955</x:f>
        <x:v>0</x:v>
      </x:c>
      <x:c r="T1955" s="9" t="n">
        <x:f>H1955*Z1954*INDEX(v01_MortAdult,G1955)*Arch_AdultMort/4*Q1955</x:f>
        <x:v>0</x:v>
      </x:c>
      <x:c r="U1955" s="9" t="n">
        <x:f>H1955*AA1954*INDEX(v01_MortElder,G1955)/4*Q1955</x:f>
        <x:v>0</x:v>
      </x:c>
      <x:c r="V1955" s="9" t="n">
        <x:f>H1955*MAX(0,AB1954-O1955)*v01_OvercapLoss</x:f>
        <x:v>0</x:v>
      </x:c>
      <x:c r="W1955" s="9" t="n">
        <x:f>H1955*Y1954/(v01_ChildYears*4)</x:f>
        <x:v>0</x:v>
      </x:c>
      <x:c r="X1955" s="9" t="n">
        <x:f>H1955*Z1954/(v01_AdultYears*4)</x:f>
        <x:v>0</x:v>
      </x:c>
      <x:c r="Y1955" s="32" t="n">
        <x:f>Y1954+R1955-S1955-W1955-Y1954*V1955/AB1954</x:f>
        <x:v>14306.18539759397</x:v>
      </x:c>
      <x:c r="Z1955" s="32" t="n">
        <x:f>Z1954+W1955-X1955-T1955-Z1954*V1955/AB1954</x:f>
        <x:v>19354.456567879548</x:v>
      </x:c>
      <x:c r="AA1955" s="32" t="n">
        <x:f>AA1954+X1955-U1955-AA1954*V1955/AB1954</x:f>
        <x:v>11386.956063258198</x:v>
      </x:c>
      <x:c r="AB1955" s="10" t="n">
        <x:f>Y1955+Z1955+AA1955</x:f>
        <x:v>45047.59802873172</x:v>
      </x:c>
      <x:c r="AC1955" s="8" t="n">
        <x:f>IF(AND(v01_WinterTrigger=1,D1955=1,AB1954/AE1954&gt;=K1955),1,0)</x:f>
        <x:v>0</x:v>
      </x:c>
      <x:c r="AD1955" s="8" t="n">
        <x:f>H1955*IF(AND(OR(AB1954/AE1954&gt;=v01_FissionTrigger*N1955,AC1955=1),AB1954/AE1954*v01_DaughterShare&gt;=v01_MinDaughter),MAX(1,ROUND(AE1954*v01_FissionRate,0)),0)</x:f>
        <x:v>0</x:v>
      </x:c>
      <x:c r="AE1955" s="8" t="n">
        <x:f>IF(H1955=1,MAX(1,MIN(INDEX(v01_Smax,G1955),AE1954+AD1955)),AE1954)</x:f>
        <x:v>15</x:v>
      </x:c>
      <x:c r="AF1955" s="8" t="n">
        <x:f>MAX(0,AE1955-AE1954)</x:f>
        <x:v>0</x:v>
      </x:c>
      <x:c r="AG1955" s="9" t="str">
        <x:f>IF(AF1955&gt;0,B1955,"")</x:f>
      </x:c>
      <x:c r="AH1955" s="9" t="n">
        <x:f>IF(F1955&gt;=1,1,(1+v01_LowTiesShare*(AE1955-1))/AE1955)</x:f>
        <x:v>1</x:v>
      </x:c>
      <x:c r="AI1955" s="32" t="n">
        <x:f>(Z1955+v01_ElderCommons*INDEX(LM_Elder,G1955)*AA1955)*AH1955</x:f>
        <x:v>64139.732591141874</x:v>
      </x:c>
      <x:c r="AJ1955" s="32" t="n">
        <x:f>H1955*v01_CommonsCoef*AI1955^v01_CommonsExp*INDEX(LM_Commons,G1955)</x:f>
        <x:v>0</x:v>
      </x:c>
      <x:c r="AK1955" s="32" t="n">
        <x:f>H1955*v01_RoleScale*Arch_Roles*(AE1955*(INDEX(v01_ElderRolePerSett,G1955)*v01_OutElder*INDEX(LM_Elder,G1955)+INDEX(v01_ShamanPerSett,G1955)*v01_OutShaman)+Z1955*(INDEX(v01_PriestShare,G1955)*v01_OutPriest+INDEX(v01_ScribeShare,G1955)*v01_OutScribe*INDEX(LM_Scribe,G1955)+INDEX(v01_ScholarShare,G1955)*v01_OutScholar*INDEX(LM_Scholar,G1955)+INDEX(v01_ResearcherShare,G1955)*v01_OutResearcher*INDEX(LM_Researcher,G1955)))</x:f>
        <x:v>0</x:v>
      </x:c>
      <x:c r="AL1955" s="32" t="n">
        <x:f>H1955*v01_RoleScale*Arch_Roles*AE1955*INDEX(v01_MonasteryPerSett,G1955)*v01_OutMonastery*INDEX(LM_Monastery,G1955)</x:f>
        <x:v>0</x:v>
      </x:c>
      <x:c r="AM1955" s="32" t="n">
        <x:f>(AJ1955+AK1955+AL1955)/4*INDEX(LM_All,G1955)*INDEX(v01_Boon,G1955)*Arch_Insight</x:f>
        <x:v>0</x:v>
      </x:c>
      <x:c r="AN1955" s="32" t="n">
        <x:f>H1955*(v01_KHPerAdult*Z1955+v01_KHOfCommons*AJ1955/4*INDEX(LM_All,G1955))*v01_KHUsable*Arch_KH</x:f>
        <x:v>0</x:v>
      </x:c>
      <x:c r="AO1955" s="32" t="n">
        <x:f>MIN(AP1954+AN1955,AM1955*v01_KHMaxRatio)</x:f>
        <x:v>0</x:v>
      </x:c>
      <x:c r="AP1955" s="32" t="n">
        <x:f>AP1954+AN1955-AO1955</x:f>
        <x:v>0</x:v>
      </x:c>
      <x:c r="AQ1955" s="32" t="n">
        <x:f>AM1955+AO1955</x:f>
        <x:v>0</x:v>
      </x:c>
      <x:c r="AR1955" s="10" t="n">
        <x:f>IF(H1955=1,INDEX(v01_Req,G1955),0)</x:f>
        <x:v>0</x:v>
      </x:c>
      <x:c r="AS1955" s="32" t="n">
        <x:f>IF(H1955=1,IF(E1955=1,AS1954-AR1954,AS1954)+AQ1955,0)</x:f>
        <x:v>0</x:v>
      </x:c>
      <x:c r="AT1955" s="11" t="n">
        <x:f>IF(AR1955&gt;0,MIN(1,AS1955/AR1955),1)</x:f>
        <x:v>1</x:v>
      </x:c>
      <x:c r="AU1955" s="10" t="n">
        <x:f>AB1955/INDEX(v01_RepScale,G1955)</x:f>
        <x:v>90.09519605746344</x:v>
      </x:c>
      <x:c r="AV1955" s="32" t="n">
        <x:f>AM1955*60/v01_SeasonSeconds</x:f>
        <x:v>0</x:v>
      </x:c>
    </x:row>
    <x:row r="1956">
      <x:c r="A1956" s="8" t="n">
        <x:f>A1955+1</x:f>
        <x:v>1953</x:v>
      </x:c>
      <x:c r="B1956" s="9" t="n">
        <x:f>A1956*v01_SeasonSeconds/60</x:f>
        <x:v>488.25</x:v>
      </x:c>
      <x:c r="C1956" s="9" t="n">
        <x:f>A1956/4</x:f>
        <x:v>488.25</x:v>
      </x:c>
      <x:c r="D1956" s="8" t="n">
        <x:f>IF(MOD(A1956,4)=0,1,0)</x:f>
        <x:v>0</x:v>
      </x:c>
      <x:c r="E1956" s="8" t="n">
        <x:f>IF(AND(F1955&lt;=9,AS1955&gt;=AR1955),1,0)</x:f>
        <x:v>0</x:v>
      </x:c>
      <x:c r="F1956" s="8" t="n">
        <x:f>MIN(10,F1955+E1956)</x:f>
        <x:v>10</x:v>
      </x:c>
      <x:c r="G1956" s="8" t="n">
        <x:f>MIN(F1956,9)+1</x:f>
        <x:v>10</x:v>
      </x:c>
      <x:c r="H1956" s="8" t="n">
        <x:f>IF(F1956&lt;=9,1,0)</x:f>
        <x:v>0</x:v>
      </x:c>
      <x:c r="I1956" s="9" t="n">
        <x:f>MIN(10,F1955+IF(AR1955&gt;0,MIN(1,AS1955/AR1955),1))</x:f>
        <x:v>10</x:v>
      </x:c>
      <x:c r="J1956" s="32" t="n">
        <x:f>INDEX(v01_FoodCap,G1956)*Arch_FoodCap*EXP(v01_CapsByProject*SUMPRODUCT((Cap_Point&lt;=I1956)*(Cap_Kind="Food")*Cap_Ln))</x:f>
        <x:v>12000</x:v>
      </x:c>
      <x:c r="K1956" s="32" t="n">
        <x:f>J1956*MIN(1,v01_LeanBase*EXP(v01_CapsByProject*SUMPRODUCT((Cap_Point&lt;=I1956)*(Cap_Kind="Lean")*Cap_Ln)))</x:f>
        <x:v>12000</x:v>
      </x:c>
      <x:c r="L1956" s="10" t="n">
        <x:f>INDEX(v01_HousingCap,G1956)*EXP(v01_CapsByProject*SUMPRODUCT((Cap_Point&lt;=I1956)*(Cap_Kind="Housing")*Cap_Ln))</x:f>
        <x:v>20000</x:v>
      </x:c>
      <x:c r="M1956" s="10" t="n">
        <x:f>INDEX(v01_GroupCap,G1956)*v01_CohesionFactor*EXP(v01_CapsByProject*SUMPRODUCT((Cap_Point&lt;=I1956)*(Cap_Kind="Group")*Cap_Ln))</x:f>
        <x:v>1000000</x:v>
      </x:c>
      <x:c r="N1956" s="32" t="n">
        <x:f>MIN(J1956,L1956,M1956)</x:f>
        <x:v>12000</x:v>
      </x:c>
      <x:c r="O1956" s="10" t="n">
        <x:f>AE1955*N1956</x:f>
        <x:v>180000</x:v>
      </x:c>
      <x:c r="P1956" s="9" t="n">
        <x:f>MIN(1,(AB1955/(AE1955*IF(v01_GroupInCrowding=1,N1956,MIN(J1956,L1956))))^v01_CrowdingExp)</x:f>
        <x:v>0.00024569414295285325</x:v>
      </x:c>
      <x:c r="Q1956" s="9" t="n">
        <x:f>IF(D1956=1,INDEX(v01_WinterMult,G1956),1)</x:f>
        <x:v>1</x:v>
      </x:c>
      <x:c r="R1956" s="9" t="n">
        <x:f>H1956*Z1955*v01_WomenShare*v01_BaseFertility*INDEX(v01_FertMult,G1956)*Arch_Fertility*(1-P1956)</x:f>
        <x:v>0</x:v>
      </x:c>
      <x:c r="S1956" s="9" t="n">
        <x:f>H1956*Y1955*INDEX(v01_MortChild,G1956)/4*Q1956</x:f>
        <x:v>0</x:v>
      </x:c>
      <x:c r="T1956" s="9" t="n">
        <x:f>H1956*Z1955*INDEX(v01_MortAdult,G1956)*Arch_AdultMort/4*Q1956</x:f>
        <x:v>0</x:v>
      </x:c>
      <x:c r="U1956" s="9" t="n">
        <x:f>H1956*AA1955*INDEX(v01_MortElder,G1956)/4*Q1956</x:f>
        <x:v>0</x:v>
      </x:c>
      <x:c r="V1956" s="9" t="n">
        <x:f>H1956*MAX(0,AB1955-O1956)*v01_OvercapLoss</x:f>
        <x:v>0</x:v>
      </x:c>
      <x:c r="W1956" s="9" t="n">
        <x:f>H1956*Y1955/(v01_ChildYears*4)</x:f>
        <x:v>0</x:v>
      </x:c>
      <x:c r="X1956" s="9" t="n">
        <x:f>H1956*Z1955/(v01_AdultYears*4)</x:f>
        <x:v>0</x:v>
      </x:c>
      <x:c r="Y1956" s="32" t="n">
        <x:f>Y1955+R1956-S1956-W1956-Y1955*V1956/AB1955</x:f>
        <x:v>14306.18539759397</x:v>
      </x:c>
      <x:c r="Z1956" s="32" t="n">
        <x:f>Z1955+W1956-X1956-T1956-Z1955*V1956/AB1955</x:f>
        <x:v>19354.456567879548</x:v>
      </x:c>
      <x:c r="AA1956" s="32" t="n">
        <x:f>AA1955+X1956-U1956-AA1955*V1956/AB1955</x:f>
        <x:v>11386.956063258198</x:v>
      </x:c>
      <x:c r="AB1956" s="10" t="n">
        <x:f>Y1956+Z1956+AA1956</x:f>
        <x:v>45047.59802873172</x:v>
      </x:c>
      <x:c r="AC1956" s="8" t="n">
        <x:f>IF(AND(v01_WinterTrigger=1,D1956=1,AB1955/AE1955&gt;=K1956),1,0)</x:f>
        <x:v>0</x:v>
      </x:c>
      <x:c r="AD1956" s="8" t="n">
        <x:f>H1956*IF(AND(OR(AB1955/AE1955&gt;=v01_FissionTrigger*N1956,AC1956=1),AB1955/AE1955*v01_DaughterShare&gt;=v01_MinDaughter),MAX(1,ROUND(AE1955*v01_FissionRate,0)),0)</x:f>
        <x:v>0</x:v>
      </x:c>
      <x:c r="AE1956" s="8" t="n">
        <x:f>IF(H1956=1,MAX(1,MIN(INDEX(v01_Smax,G1956),AE1955+AD1956)),AE1955)</x:f>
        <x:v>15</x:v>
      </x:c>
      <x:c r="AF1956" s="8" t="n">
        <x:f>MAX(0,AE1956-AE1955)</x:f>
        <x:v>0</x:v>
      </x:c>
      <x:c r="AG1956" s="9" t="str">
        <x:f>IF(AF1956&gt;0,B1956,"")</x:f>
      </x:c>
      <x:c r="AH1956" s="9" t="n">
        <x:f>IF(F1956&gt;=1,1,(1+v01_LowTiesShare*(AE1956-1))/AE1956)</x:f>
        <x:v>1</x:v>
      </x:c>
      <x:c r="AI1956" s="32" t="n">
        <x:f>(Z1956+v01_ElderCommons*INDEX(LM_Elder,G1956)*AA1956)*AH1956</x:f>
        <x:v>64139.732591141874</x:v>
      </x:c>
      <x:c r="AJ1956" s="32" t="n">
        <x:f>H1956*v01_CommonsCoef*AI1956^v01_CommonsExp*INDEX(LM_Commons,G1956)</x:f>
        <x:v>0</x:v>
      </x:c>
      <x:c r="AK1956" s="32" t="n">
        <x:f>H1956*v01_RoleScale*Arch_Roles*(AE1956*(INDEX(v01_ElderRolePerSett,G1956)*v01_OutElder*INDEX(LM_Elder,G1956)+INDEX(v01_ShamanPerSett,G1956)*v01_OutShaman)+Z1956*(INDEX(v01_PriestShare,G1956)*v01_OutPriest+INDEX(v01_ScribeShare,G1956)*v01_OutScribe*INDEX(LM_Scribe,G1956)+INDEX(v01_ScholarShare,G1956)*v01_OutScholar*INDEX(LM_Scholar,G1956)+INDEX(v01_ResearcherShare,G1956)*v01_OutResearcher*INDEX(LM_Researcher,G1956)))</x:f>
        <x:v>0</x:v>
      </x:c>
      <x:c r="AL1956" s="32" t="n">
        <x:f>H1956*v01_RoleScale*Arch_Roles*AE1956*INDEX(v01_MonasteryPerSett,G1956)*v01_OutMonastery*INDEX(LM_Monastery,G1956)</x:f>
        <x:v>0</x:v>
      </x:c>
      <x:c r="AM1956" s="32" t="n">
        <x:f>(AJ1956+AK1956+AL1956)/4*INDEX(LM_All,G1956)*INDEX(v01_Boon,G1956)*Arch_Insight</x:f>
        <x:v>0</x:v>
      </x:c>
      <x:c r="AN1956" s="32" t="n">
        <x:f>H1956*(v01_KHPerAdult*Z1956+v01_KHOfCommons*AJ1956/4*INDEX(LM_All,G1956))*v01_KHUsable*Arch_KH</x:f>
        <x:v>0</x:v>
      </x:c>
      <x:c r="AO1956" s="32" t="n">
        <x:f>MIN(AP1955+AN1956,AM1956*v01_KHMaxRatio)</x:f>
        <x:v>0</x:v>
      </x:c>
      <x:c r="AP1956" s="32" t="n">
        <x:f>AP1955+AN1956-AO1956</x:f>
        <x:v>0</x:v>
      </x:c>
      <x:c r="AQ1956" s="32" t="n">
        <x:f>AM1956+AO1956</x:f>
        <x:v>0</x:v>
      </x:c>
      <x:c r="AR1956" s="10" t="n">
        <x:f>IF(H1956=1,INDEX(v01_Req,G1956),0)</x:f>
        <x:v>0</x:v>
      </x:c>
      <x:c r="AS1956" s="32" t="n">
        <x:f>IF(H1956=1,IF(E1956=1,AS1955-AR1955,AS1955)+AQ1956,0)</x:f>
        <x:v>0</x:v>
      </x:c>
      <x:c r="AT1956" s="11" t="n">
        <x:f>IF(AR1956&gt;0,MIN(1,AS1956/AR1956),1)</x:f>
        <x:v>1</x:v>
      </x:c>
      <x:c r="AU1956" s="10" t="n">
        <x:f>AB1956/INDEX(v01_RepScale,G1956)</x:f>
        <x:v>90.09519605746344</x:v>
      </x:c>
      <x:c r="AV1956" s="32" t="n">
        <x:f>AM1956*60/v01_SeasonSeconds</x:f>
        <x:v>0</x:v>
      </x:c>
    </x:row>
    <x:row r="1957">
      <x:c r="A1957" s="8" t="n">
        <x:f>A1956+1</x:f>
        <x:v>1954</x:v>
      </x:c>
      <x:c r="B1957" s="9" t="n">
        <x:f>A1957*v01_SeasonSeconds/60</x:f>
        <x:v>488.5</x:v>
      </x:c>
      <x:c r="C1957" s="9" t="n">
        <x:f>A1957/4</x:f>
        <x:v>488.5</x:v>
      </x:c>
      <x:c r="D1957" s="8" t="n">
        <x:f>IF(MOD(A1957,4)=0,1,0)</x:f>
        <x:v>0</x:v>
      </x:c>
      <x:c r="E1957" s="8" t="n">
        <x:f>IF(AND(F1956&lt;=9,AS1956&gt;=AR1956),1,0)</x:f>
        <x:v>0</x:v>
      </x:c>
      <x:c r="F1957" s="8" t="n">
        <x:f>MIN(10,F1956+E1957)</x:f>
        <x:v>10</x:v>
      </x:c>
      <x:c r="G1957" s="8" t="n">
        <x:f>MIN(F1957,9)+1</x:f>
        <x:v>10</x:v>
      </x:c>
      <x:c r="H1957" s="8" t="n">
        <x:f>IF(F1957&lt;=9,1,0)</x:f>
        <x:v>0</x:v>
      </x:c>
      <x:c r="I1957" s="9" t="n">
        <x:f>MIN(10,F1956+IF(AR1956&gt;0,MIN(1,AS1956/AR1956),1))</x:f>
        <x:v>10</x:v>
      </x:c>
      <x:c r="J1957" s="32" t="n">
        <x:f>INDEX(v01_FoodCap,G1957)*Arch_FoodCap*EXP(v01_CapsByProject*SUMPRODUCT((Cap_Point&lt;=I1957)*(Cap_Kind="Food")*Cap_Ln))</x:f>
        <x:v>12000</x:v>
      </x:c>
      <x:c r="K1957" s="32" t="n">
        <x:f>J1957*MIN(1,v01_LeanBase*EXP(v01_CapsByProject*SUMPRODUCT((Cap_Point&lt;=I1957)*(Cap_Kind="Lean")*Cap_Ln)))</x:f>
        <x:v>12000</x:v>
      </x:c>
      <x:c r="L1957" s="10" t="n">
        <x:f>INDEX(v01_HousingCap,G1957)*EXP(v01_CapsByProject*SUMPRODUCT((Cap_Point&lt;=I1957)*(Cap_Kind="Housing")*Cap_Ln))</x:f>
        <x:v>20000</x:v>
      </x:c>
      <x:c r="M1957" s="10" t="n">
        <x:f>INDEX(v01_GroupCap,G1957)*v01_CohesionFactor*EXP(v01_CapsByProject*SUMPRODUCT((Cap_Point&lt;=I1957)*(Cap_Kind="Group")*Cap_Ln))</x:f>
        <x:v>1000000</x:v>
      </x:c>
      <x:c r="N1957" s="32" t="n">
        <x:f>MIN(J1957,L1957,M1957)</x:f>
        <x:v>12000</x:v>
      </x:c>
      <x:c r="O1957" s="10" t="n">
        <x:f>AE1956*N1957</x:f>
        <x:v>180000</x:v>
      </x:c>
      <x:c r="P1957" s="9" t="n">
        <x:f>MIN(1,(AB1956/(AE1956*IF(v01_GroupInCrowding=1,N1957,MIN(J1957,L1957))))^v01_CrowdingExp)</x:f>
        <x:v>0.00024569414295285325</x:v>
      </x:c>
      <x:c r="Q1957" s="9" t="n">
        <x:f>IF(D1957=1,INDEX(v01_WinterMult,G1957),1)</x:f>
        <x:v>1</x:v>
      </x:c>
      <x:c r="R1957" s="9" t="n">
        <x:f>H1957*Z1956*v01_WomenShare*v01_BaseFertility*INDEX(v01_FertMult,G1957)*Arch_Fertility*(1-P1957)</x:f>
        <x:v>0</x:v>
      </x:c>
      <x:c r="S1957" s="9" t="n">
        <x:f>H1957*Y1956*INDEX(v01_MortChild,G1957)/4*Q1957</x:f>
        <x:v>0</x:v>
      </x:c>
      <x:c r="T1957" s="9" t="n">
        <x:f>H1957*Z1956*INDEX(v01_MortAdult,G1957)*Arch_AdultMort/4*Q1957</x:f>
        <x:v>0</x:v>
      </x:c>
      <x:c r="U1957" s="9" t="n">
        <x:f>H1957*AA1956*INDEX(v01_MortElder,G1957)/4*Q1957</x:f>
        <x:v>0</x:v>
      </x:c>
      <x:c r="V1957" s="9" t="n">
        <x:f>H1957*MAX(0,AB1956-O1957)*v01_OvercapLoss</x:f>
        <x:v>0</x:v>
      </x:c>
      <x:c r="W1957" s="9" t="n">
        <x:f>H1957*Y1956/(v01_ChildYears*4)</x:f>
        <x:v>0</x:v>
      </x:c>
      <x:c r="X1957" s="9" t="n">
        <x:f>H1957*Z1956/(v01_AdultYears*4)</x:f>
        <x:v>0</x:v>
      </x:c>
      <x:c r="Y1957" s="32" t="n">
        <x:f>Y1956+R1957-S1957-W1957-Y1956*V1957/AB1956</x:f>
        <x:v>14306.18539759397</x:v>
      </x:c>
      <x:c r="Z1957" s="32" t="n">
        <x:f>Z1956+W1957-X1957-T1957-Z1956*V1957/AB1956</x:f>
        <x:v>19354.456567879548</x:v>
      </x:c>
      <x:c r="AA1957" s="32" t="n">
        <x:f>AA1956+X1957-U1957-AA1956*V1957/AB1956</x:f>
        <x:v>11386.956063258198</x:v>
      </x:c>
      <x:c r="AB1957" s="10" t="n">
        <x:f>Y1957+Z1957+AA1957</x:f>
        <x:v>45047.59802873172</x:v>
      </x:c>
      <x:c r="AC1957" s="8" t="n">
        <x:f>IF(AND(v01_WinterTrigger=1,D1957=1,AB1956/AE1956&gt;=K1957),1,0)</x:f>
        <x:v>0</x:v>
      </x:c>
      <x:c r="AD1957" s="8" t="n">
        <x:f>H1957*IF(AND(OR(AB1956/AE1956&gt;=v01_FissionTrigger*N1957,AC1957=1),AB1956/AE1956*v01_DaughterShare&gt;=v01_MinDaughter),MAX(1,ROUND(AE1956*v01_FissionRate,0)),0)</x:f>
        <x:v>0</x:v>
      </x:c>
      <x:c r="AE1957" s="8" t="n">
        <x:f>IF(H1957=1,MAX(1,MIN(INDEX(v01_Smax,G1957),AE1956+AD1957)),AE1956)</x:f>
        <x:v>15</x:v>
      </x:c>
      <x:c r="AF1957" s="8" t="n">
        <x:f>MAX(0,AE1957-AE1956)</x:f>
        <x:v>0</x:v>
      </x:c>
      <x:c r="AG1957" s="9" t="str">
        <x:f>IF(AF1957&gt;0,B1957,"")</x:f>
      </x:c>
      <x:c r="AH1957" s="9" t="n">
        <x:f>IF(F1957&gt;=1,1,(1+v01_LowTiesShare*(AE1957-1))/AE1957)</x:f>
        <x:v>1</x:v>
      </x:c>
      <x:c r="AI1957" s="32" t="n">
        <x:f>(Z1957+v01_ElderCommons*INDEX(LM_Elder,G1957)*AA1957)*AH1957</x:f>
        <x:v>64139.732591141874</x:v>
      </x:c>
      <x:c r="AJ1957" s="32" t="n">
        <x:f>H1957*v01_CommonsCoef*AI1957^v01_CommonsExp*INDEX(LM_Commons,G1957)</x:f>
        <x:v>0</x:v>
      </x:c>
      <x:c r="AK1957" s="32" t="n">
        <x:f>H1957*v01_RoleScale*Arch_Roles*(AE1957*(INDEX(v01_ElderRolePerSett,G1957)*v01_OutElder*INDEX(LM_Elder,G1957)+INDEX(v01_ShamanPerSett,G1957)*v01_OutShaman)+Z1957*(INDEX(v01_PriestShare,G1957)*v01_OutPriest+INDEX(v01_ScribeShare,G1957)*v01_OutScribe*INDEX(LM_Scribe,G1957)+INDEX(v01_ScholarShare,G1957)*v01_OutScholar*INDEX(LM_Scholar,G1957)+INDEX(v01_ResearcherShare,G1957)*v01_OutResearcher*INDEX(LM_Researcher,G1957)))</x:f>
        <x:v>0</x:v>
      </x:c>
      <x:c r="AL1957" s="32" t="n">
        <x:f>H1957*v01_RoleScale*Arch_Roles*AE1957*INDEX(v01_MonasteryPerSett,G1957)*v01_OutMonastery*INDEX(LM_Monastery,G1957)</x:f>
        <x:v>0</x:v>
      </x:c>
      <x:c r="AM1957" s="32" t="n">
        <x:f>(AJ1957+AK1957+AL1957)/4*INDEX(LM_All,G1957)*INDEX(v01_Boon,G1957)*Arch_Insight</x:f>
        <x:v>0</x:v>
      </x:c>
      <x:c r="AN1957" s="32" t="n">
        <x:f>H1957*(v01_KHPerAdult*Z1957+v01_KHOfCommons*AJ1957/4*INDEX(LM_All,G1957))*v01_KHUsable*Arch_KH</x:f>
        <x:v>0</x:v>
      </x:c>
      <x:c r="AO1957" s="32" t="n">
        <x:f>MIN(AP1956+AN1957,AM1957*v01_KHMaxRatio)</x:f>
        <x:v>0</x:v>
      </x:c>
      <x:c r="AP1957" s="32" t="n">
        <x:f>AP1956+AN1957-AO1957</x:f>
        <x:v>0</x:v>
      </x:c>
      <x:c r="AQ1957" s="32" t="n">
        <x:f>AM1957+AO1957</x:f>
        <x:v>0</x:v>
      </x:c>
      <x:c r="AR1957" s="10" t="n">
        <x:f>IF(H1957=1,INDEX(v01_Req,G1957),0)</x:f>
        <x:v>0</x:v>
      </x:c>
      <x:c r="AS1957" s="32" t="n">
        <x:f>IF(H1957=1,IF(E1957=1,AS1956-AR1956,AS1956)+AQ1957,0)</x:f>
        <x:v>0</x:v>
      </x:c>
      <x:c r="AT1957" s="11" t="n">
        <x:f>IF(AR1957&gt;0,MIN(1,AS1957/AR1957),1)</x:f>
        <x:v>1</x:v>
      </x:c>
      <x:c r="AU1957" s="10" t="n">
        <x:f>AB1957/INDEX(v01_RepScale,G1957)</x:f>
        <x:v>90.09519605746344</x:v>
      </x:c>
      <x:c r="AV1957" s="32" t="n">
        <x:f>AM1957*60/v01_SeasonSeconds</x:f>
        <x:v>0</x:v>
      </x:c>
    </x:row>
    <x:row r="1958">
      <x:c r="A1958" s="8" t="n">
        <x:f>A1957+1</x:f>
        <x:v>1955</x:v>
      </x:c>
      <x:c r="B1958" s="9" t="n">
        <x:f>A1958*v01_SeasonSeconds/60</x:f>
        <x:v>488.75</x:v>
      </x:c>
      <x:c r="C1958" s="9" t="n">
        <x:f>A1958/4</x:f>
        <x:v>488.75</x:v>
      </x:c>
      <x:c r="D1958" s="8" t="n">
        <x:f>IF(MOD(A1958,4)=0,1,0)</x:f>
        <x:v>0</x:v>
      </x:c>
      <x:c r="E1958" s="8" t="n">
        <x:f>IF(AND(F1957&lt;=9,AS1957&gt;=AR1957),1,0)</x:f>
        <x:v>0</x:v>
      </x:c>
      <x:c r="F1958" s="8" t="n">
        <x:f>MIN(10,F1957+E1958)</x:f>
        <x:v>10</x:v>
      </x:c>
      <x:c r="G1958" s="8" t="n">
        <x:f>MIN(F1958,9)+1</x:f>
        <x:v>10</x:v>
      </x:c>
      <x:c r="H1958" s="8" t="n">
        <x:f>IF(F1958&lt;=9,1,0)</x:f>
        <x:v>0</x:v>
      </x:c>
      <x:c r="I1958" s="9" t="n">
        <x:f>MIN(10,F1957+IF(AR1957&gt;0,MIN(1,AS1957/AR1957),1))</x:f>
        <x:v>10</x:v>
      </x:c>
      <x:c r="J1958" s="32" t="n">
        <x:f>INDEX(v01_FoodCap,G1958)*Arch_FoodCap*EXP(v01_CapsByProject*SUMPRODUCT((Cap_Point&lt;=I1958)*(Cap_Kind="Food")*Cap_Ln))</x:f>
        <x:v>12000</x:v>
      </x:c>
      <x:c r="K1958" s="32" t="n">
        <x:f>J1958*MIN(1,v01_LeanBase*EXP(v01_CapsByProject*SUMPRODUCT((Cap_Point&lt;=I1958)*(Cap_Kind="Lean")*Cap_Ln)))</x:f>
        <x:v>12000</x:v>
      </x:c>
      <x:c r="L1958" s="10" t="n">
        <x:f>INDEX(v01_HousingCap,G1958)*EXP(v01_CapsByProject*SUMPRODUCT((Cap_Point&lt;=I1958)*(Cap_Kind="Housing")*Cap_Ln))</x:f>
        <x:v>20000</x:v>
      </x:c>
      <x:c r="M1958" s="10" t="n">
        <x:f>INDEX(v01_GroupCap,G1958)*v01_CohesionFactor*EXP(v01_CapsByProject*SUMPRODUCT((Cap_Point&lt;=I1958)*(Cap_Kind="Group")*Cap_Ln))</x:f>
        <x:v>1000000</x:v>
      </x:c>
      <x:c r="N1958" s="32" t="n">
        <x:f>MIN(J1958,L1958,M1958)</x:f>
        <x:v>12000</x:v>
      </x:c>
      <x:c r="O1958" s="10" t="n">
        <x:f>AE1957*N1958</x:f>
        <x:v>180000</x:v>
      </x:c>
      <x:c r="P1958" s="9" t="n">
        <x:f>MIN(1,(AB1957/(AE1957*IF(v01_GroupInCrowding=1,N1958,MIN(J1958,L1958))))^v01_CrowdingExp)</x:f>
        <x:v>0.00024569414295285325</x:v>
      </x:c>
      <x:c r="Q1958" s="9" t="n">
        <x:f>IF(D1958=1,INDEX(v01_WinterMult,G1958),1)</x:f>
        <x:v>1</x:v>
      </x:c>
      <x:c r="R1958" s="9" t="n">
        <x:f>H1958*Z1957*v01_WomenShare*v01_BaseFertility*INDEX(v01_FertMult,G1958)*Arch_Fertility*(1-P1958)</x:f>
        <x:v>0</x:v>
      </x:c>
      <x:c r="S1958" s="9" t="n">
        <x:f>H1958*Y1957*INDEX(v01_MortChild,G1958)/4*Q1958</x:f>
        <x:v>0</x:v>
      </x:c>
      <x:c r="T1958" s="9" t="n">
        <x:f>H1958*Z1957*INDEX(v01_MortAdult,G1958)*Arch_AdultMort/4*Q1958</x:f>
        <x:v>0</x:v>
      </x:c>
      <x:c r="U1958" s="9" t="n">
        <x:f>H1958*AA1957*INDEX(v01_MortElder,G1958)/4*Q1958</x:f>
        <x:v>0</x:v>
      </x:c>
      <x:c r="V1958" s="9" t="n">
        <x:f>H1958*MAX(0,AB1957-O1958)*v01_OvercapLoss</x:f>
        <x:v>0</x:v>
      </x:c>
      <x:c r="W1958" s="9" t="n">
        <x:f>H1958*Y1957/(v01_ChildYears*4)</x:f>
        <x:v>0</x:v>
      </x:c>
      <x:c r="X1958" s="9" t="n">
        <x:f>H1958*Z1957/(v01_AdultYears*4)</x:f>
        <x:v>0</x:v>
      </x:c>
      <x:c r="Y1958" s="32" t="n">
        <x:f>Y1957+R1958-S1958-W1958-Y1957*V1958/AB1957</x:f>
        <x:v>14306.18539759397</x:v>
      </x:c>
      <x:c r="Z1958" s="32" t="n">
        <x:f>Z1957+W1958-X1958-T1958-Z1957*V1958/AB1957</x:f>
        <x:v>19354.456567879548</x:v>
      </x:c>
      <x:c r="AA1958" s="32" t="n">
        <x:f>AA1957+X1958-U1958-AA1957*V1958/AB1957</x:f>
        <x:v>11386.956063258198</x:v>
      </x:c>
      <x:c r="AB1958" s="10" t="n">
        <x:f>Y1958+Z1958+AA1958</x:f>
        <x:v>45047.59802873172</x:v>
      </x:c>
      <x:c r="AC1958" s="8" t="n">
        <x:f>IF(AND(v01_WinterTrigger=1,D1958=1,AB1957/AE1957&gt;=K1958),1,0)</x:f>
        <x:v>0</x:v>
      </x:c>
      <x:c r="AD1958" s="8" t="n">
        <x:f>H1958*IF(AND(OR(AB1957/AE1957&gt;=v01_FissionTrigger*N1958,AC1958=1),AB1957/AE1957*v01_DaughterShare&gt;=v01_MinDaughter),MAX(1,ROUND(AE1957*v01_FissionRate,0)),0)</x:f>
        <x:v>0</x:v>
      </x:c>
      <x:c r="AE1958" s="8" t="n">
        <x:f>IF(H1958=1,MAX(1,MIN(INDEX(v01_Smax,G1958),AE1957+AD1958)),AE1957)</x:f>
        <x:v>15</x:v>
      </x:c>
      <x:c r="AF1958" s="8" t="n">
        <x:f>MAX(0,AE1958-AE1957)</x:f>
        <x:v>0</x:v>
      </x:c>
      <x:c r="AG1958" s="9" t="str">
        <x:f>IF(AF1958&gt;0,B1958,"")</x:f>
      </x:c>
      <x:c r="AH1958" s="9" t="n">
        <x:f>IF(F1958&gt;=1,1,(1+v01_LowTiesShare*(AE1958-1))/AE1958)</x:f>
        <x:v>1</x:v>
      </x:c>
      <x:c r="AI1958" s="32" t="n">
        <x:f>(Z1958+v01_ElderCommons*INDEX(LM_Elder,G1958)*AA1958)*AH1958</x:f>
        <x:v>64139.732591141874</x:v>
      </x:c>
      <x:c r="AJ1958" s="32" t="n">
        <x:f>H1958*v01_CommonsCoef*AI1958^v01_CommonsExp*INDEX(LM_Commons,G1958)</x:f>
        <x:v>0</x:v>
      </x:c>
      <x:c r="AK1958" s="32" t="n">
        <x:f>H1958*v01_RoleScale*Arch_Roles*(AE1958*(INDEX(v01_ElderRolePerSett,G1958)*v01_OutElder*INDEX(LM_Elder,G1958)+INDEX(v01_ShamanPerSett,G1958)*v01_OutShaman)+Z1958*(INDEX(v01_PriestShare,G1958)*v01_OutPriest+INDEX(v01_ScribeShare,G1958)*v01_OutScribe*INDEX(LM_Scribe,G1958)+INDEX(v01_ScholarShare,G1958)*v01_OutScholar*INDEX(LM_Scholar,G1958)+INDEX(v01_ResearcherShare,G1958)*v01_OutResearcher*INDEX(LM_Researcher,G1958)))</x:f>
        <x:v>0</x:v>
      </x:c>
      <x:c r="AL1958" s="32" t="n">
        <x:f>H1958*v01_RoleScale*Arch_Roles*AE1958*INDEX(v01_MonasteryPerSett,G1958)*v01_OutMonastery*INDEX(LM_Monastery,G1958)</x:f>
        <x:v>0</x:v>
      </x:c>
      <x:c r="AM1958" s="32" t="n">
        <x:f>(AJ1958+AK1958+AL1958)/4*INDEX(LM_All,G1958)*INDEX(v01_Boon,G1958)*Arch_Insight</x:f>
        <x:v>0</x:v>
      </x:c>
      <x:c r="AN1958" s="32" t="n">
        <x:f>H1958*(v01_KHPerAdult*Z1958+v01_KHOfCommons*AJ1958/4*INDEX(LM_All,G1958))*v01_KHUsable*Arch_KH</x:f>
        <x:v>0</x:v>
      </x:c>
      <x:c r="AO1958" s="32" t="n">
        <x:f>MIN(AP1957+AN1958,AM1958*v01_KHMaxRatio)</x:f>
        <x:v>0</x:v>
      </x:c>
      <x:c r="AP1958" s="32" t="n">
        <x:f>AP1957+AN1958-AO1958</x:f>
        <x:v>0</x:v>
      </x:c>
      <x:c r="AQ1958" s="32" t="n">
        <x:f>AM1958+AO1958</x:f>
        <x:v>0</x:v>
      </x:c>
      <x:c r="AR1958" s="10" t="n">
        <x:f>IF(H1958=1,INDEX(v01_Req,G1958),0)</x:f>
        <x:v>0</x:v>
      </x:c>
      <x:c r="AS1958" s="32" t="n">
        <x:f>IF(H1958=1,IF(E1958=1,AS1957-AR1957,AS1957)+AQ1958,0)</x:f>
        <x:v>0</x:v>
      </x:c>
      <x:c r="AT1958" s="11" t="n">
        <x:f>IF(AR1958&gt;0,MIN(1,AS1958/AR1958),1)</x:f>
        <x:v>1</x:v>
      </x:c>
      <x:c r="AU1958" s="10" t="n">
        <x:f>AB1958/INDEX(v01_RepScale,G1958)</x:f>
        <x:v>90.09519605746344</x:v>
      </x:c>
      <x:c r="AV1958" s="32" t="n">
        <x:f>AM1958*60/v01_SeasonSeconds</x:f>
        <x:v>0</x:v>
      </x:c>
    </x:row>
    <x:row r="1959">
      <x:c r="A1959" s="8" t="n">
        <x:f>A1958+1</x:f>
        <x:v>1956</x:v>
      </x:c>
      <x:c r="B1959" s="9" t="n">
        <x:f>A1959*v01_SeasonSeconds/60</x:f>
        <x:v>489</x:v>
      </x:c>
      <x:c r="C1959" s="9" t="n">
        <x:f>A1959/4</x:f>
        <x:v>489</x:v>
      </x:c>
      <x:c r="D1959" s="8" t="n">
        <x:f>IF(MOD(A1959,4)=0,1,0)</x:f>
        <x:v>1</x:v>
      </x:c>
      <x:c r="E1959" s="8" t="n">
        <x:f>IF(AND(F1958&lt;=9,AS1958&gt;=AR1958),1,0)</x:f>
        <x:v>0</x:v>
      </x:c>
      <x:c r="F1959" s="8" t="n">
        <x:f>MIN(10,F1958+E1959)</x:f>
        <x:v>10</x:v>
      </x:c>
      <x:c r="G1959" s="8" t="n">
        <x:f>MIN(F1959,9)+1</x:f>
        <x:v>10</x:v>
      </x:c>
      <x:c r="H1959" s="8" t="n">
        <x:f>IF(F1959&lt;=9,1,0)</x:f>
        <x:v>0</x:v>
      </x:c>
      <x:c r="I1959" s="9" t="n">
        <x:f>MIN(10,F1958+IF(AR1958&gt;0,MIN(1,AS1958/AR1958),1))</x:f>
        <x:v>10</x:v>
      </x:c>
      <x:c r="J1959" s="32" t="n">
        <x:f>INDEX(v01_FoodCap,G1959)*Arch_FoodCap*EXP(v01_CapsByProject*SUMPRODUCT((Cap_Point&lt;=I1959)*(Cap_Kind="Food")*Cap_Ln))</x:f>
        <x:v>12000</x:v>
      </x:c>
      <x:c r="K1959" s="32" t="n">
        <x:f>J1959*MIN(1,v01_LeanBase*EXP(v01_CapsByProject*SUMPRODUCT((Cap_Point&lt;=I1959)*(Cap_Kind="Lean")*Cap_Ln)))</x:f>
        <x:v>12000</x:v>
      </x:c>
      <x:c r="L1959" s="10" t="n">
        <x:f>INDEX(v01_HousingCap,G1959)*EXP(v01_CapsByProject*SUMPRODUCT((Cap_Point&lt;=I1959)*(Cap_Kind="Housing")*Cap_Ln))</x:f>
        <x:v>20000</x:v>
      </x:c>
      <x:c r="M1959" s="10" t="n">
        <x:f>INDEX(v01_GroupCap,G1959)*v01_CohesionFactor*EXP(v01_CapsByProject*SUMPRODUCT((Cap_Point&lt;=I1959)*(Cap_Kind="Group")*Cap_Ln))</x:f>
        <x:v>1000000</x:v>
      </x:c>
      <x:c r="N1959" s="32" t="n">
        <x:f>MIN(J1959,L1959,M1959)</x:f>
        <x:v>12000</x:v>
      </x:c>
      <x:c r="O1959" s="10" t="n">
        <x:f>AE1958*N1959</x:f>
        <x:v>180000</x:v>
      </x:c>
      <x:c r="P1959" s="9" t="n">
        <x:f>MIN(1,(AB1958/(AE1958*IF(v01_GroupInCrowding=1,N1959,MIN(J1959,L1959))))^v01_CrowdingExp)</x:f>
        <x:v>0.00024569414295285325</x:v>
      </x:c>
      <x:c r="Q1959" s="9" t="n">
        <x:f>IF(D1959=1,INDEX(v01_WinterMult,G1959),1)</x:f>
        <x:v>1</x:v>
      </x:c>
      <x:c r="R1959" s="9" t="n">
        <x:f>H1959*Z1958*v01_WomenShare*v01_BaseFertility*INDEX(v01_FertMult,G1959)*Arch_Fertility*(1-P1959)</x:f>
        <x:v>0</x:v>
      </x:c>
      <x:c r="S1959" s="9" t="n">
        <x:f>H1959*Y1958*INDEX(v01_MortChild,G1959)/4*Q1959</x:f>
        <x:v>0</x:v>
      </x:c>
      <x:c r="T1959" s="9" t="n">
        <x:f>H1959*Z1958*INDEX(v01_MortAdult,G1959)*Arch_AdultMort/4*Q1959</x:f>
        <x:v>0</x:v>
      </x:c>
      <x:c r="U1959" s="9" t="n">
        <x:f>H1959*AA1958*INDEX(v01_MortElder,G1959)/4*Q1959</x:f>
        <x:v>0</x:v>
      </x:c>
      <x:c r="V1959" s="9" t="n">
        <x:f>H1959*MAX(0,AB1958-O1959)*v01_OvercapLoss</x:f>
        <x:v>0</x:v>
      </x:c>
      <x:c r="W1959" s="9" t="n">
        <x:f>H1959*Y1958/(v01_ChildYears*4)</x:f>
        <x:v>0</x:v>
      </x:c>
      <x:c r="X1959" s="9" t="n">
        <x:f>H1959*Z1958/(v01_AdultYears*4)</x:f>
        <x:v>0</x:v>
      </x:c>
      <x:c r="Y1959" s="32" t="n">
        <x:f>Y1958+R1959-S1959-W1959-Y1958*V1959/AB1958</x:f>
        <x:v>14306.18539759397</x:v>
      </x:c>
      <x:c r="Z1959" s="32" t="n">
        <x:f>Z1958+W1959-X1959-T1959-Z1958*V1959/AB1958</x:f>
        <x:v>19354.456567879548</x:v>
      </x:c>
      <x:c r="AA1959" s="32" t="n">
        <x:f>AA1958+X1959-U1959-AA1958*V1959/AB1958</x:f>
        <x:v>11386.956063258198</x:v>
      </x:c>
      <x:c r="AB1959" s="10" t="n">
        <x:f>Y1959+Z1959+AA1959</x:f>
        <x:v>45047.59802873172</x:v>
      </x:c>
      <x:c r="AC1959" s="8" t="n">
        <x:f>IF(AND(v01_WinterTrigger=1,D1959=1,AB1958/AE1958&gt;=K1959),1,0)</x:f>
        <x:v>0</x:v>
      </x:c>
      <x:c r="AD1959" s="8" t="n">
        <x:f>H1959*IF(AND(OR(AB1958/AE1958&gt;=v01_FissionTrigger*N1959,AC1959=1),AB1958/AE1958*v01_DaughterShare&gt;=v01_MinDaughter),MAX(1,ROUND(AE1958*v01_FissionRate,0)),0)</x:f>
        <x:v>0</x:v>
      </x:c>
      <x:c r="AE1959" s="8" t="n">
        <x:f>IF(H1959=1,MAX(1,MIN(INDEX(v01_Smax,G1959),AE1958+AD1959)),AE1958)</x:f>
        <x:v>15</x:v>
      </x:c>
      <x:c r="AF1959" s="8" t="n">
        <x:f>MAX(0,AE1959-AE1958)</x:f>
        <x:v>0</x:v>
      </x:c>
      <x:c r="AG1959" s="9" t="str">
        <x:f>IF(AF1959&gt;0,B1959,"")</x:f>
      </x:c>
      <x:c r="AH1959" s="9" t="n">
        <x:f>IF(F1959&gt;=1,1,(1+v01_LowTiesShare*(AE1959-1))/AE1959)</x:f>
        <x:v>1</x:v>
      </x:c>
      <x:c r="AI1959" s="32" t="n">
        <x:f>(Z1959+v01_ElderCommons*INDEX(LM_Elder,G1959)*AA1959)*AH1959</x:f>
        <x:v>64139.732591141874</x:v>
      </x:c>
      <x:c r="AJ1959" s="32" t="n">
        <x:f>H1959*v01_CommonsCoef*AI1959^v01_CommonsExp*INDEX(LM_Commons,G1959)</x:f>
        <x:v>0</x:v>
      </x:c>
      <x:c r="AK1959" s="32" t="n">
        <x:f>H1959*v01_RoleScale*Arch_Roles*(AE1959*(INDEX(v01_ElderRolePerSett,G1959)*v01_OutElder*INDEX(LM_Elder,G1959)+INDEX(v01_ShamanPerSett,G1959)*v01_OutShaman)+Z1959*(INDEX(v01_PriestShare,G1959)*v01_OutPriest+INDEX(v01_ScribeShare,G1959)*v01_OutScribe*INDEX(LM_Scribe,G1959)+INDEX(v01_ScholarShare,G1959)*v01_OutScholar*INDEX(LM_Scholar,G1959)+INDEX(v01_ResearcherShare,G1959)*v01_OutResearcher*INDEX(LM_Researcher,G1959)))</x:f>
        <x:v>0</x:v>
      </x:c>
      <x:c r="AL1959" s="32" t="n">
        <x:f>H1959*v01_RoleScale*Arch_Roles*AE1959*INDEX(v01_MonasteryPerSett,G1959)*v01_OutMonastery*INDEX(LM_Monastery,G1959)</x:f>
        <x:v>0</x:v>
      </x:c>
      <x:c r="AM1959" s="32" t="n">
        <x:f>(AJ1959+AK1959+AL1959)/4*INDEX(LM_All,G1959)*INDEX(v01_Boon,G1959)*Arch_Insight</x:f>
        <x:v>0</x:v>
      </x:c>
      <x:c r="AN1959" s="32" t="n">
        <x:f>H1959*(v01_KHPerAdult*Z1959+v01_KHOfCommons*AJ1959/4*INDEX(LM_All,G1959))*v01_KHUsable*Arch_KH</x:f>
        <x:v>0</x:v>
      </x:c>
      <x:c r="AO1959" s="32" t="n">
        <x:f>MIN(AP1958+AN1959,AM1959*v01_KHMaxRatio)</x:f>
        <x:v>0</x:v>
      </x:c>
      <x:c r="AP1959" s="32" t="n">
        <x:f>AP1958+AN1959-AO1959</x:f>
        <x:v>0</x:v>
      </x:c>
      <x:c r="AQ1959" s="32" t="n">
        <x:f>AM1959+AO1959</x:f>
        <x:v>0</x:v>
      </x:c>
      <x:c r="AR1959" s="10" t="n">
        <x:f>IF(H1959=1,INDEX(v01_Req,G1959),0)</x:f>
        <x:v>0</x:v>
      </x:c>
      <x:c r="AS1959" s="32" t="n">
        <x:f>IF(H1959=1,IF(E1959=1,AS1958-AR1958,AS1958)+AQ1959,0)</x:f>
        <x:v>0</x:v>
      </x:c>
      <x:c r="AT1959" s="11" t="n">
        <x:f>IF(AR1959&gt;0,MIN(1,AS1959/AR1959),1)</x:f>
        <x:v>1</x:v>
      </x:c>
      <x:c r="AU1959" s="10" t="n">
        <x:f>AB1959/INDEX(v01_RepScale,G1959)</x:f>
        <x:v>90.09519605746344</x:v>
      </x:c>
      <x:c r="AV1959" s="32" t="n">
        <x:f>AM1959*60/v01_SeasonSeconds</x:f>
        <x:v>0</x:v>
      </x:c>
    </x:row>
    <x:row r="1960">
      <x:c r="A1960" s="8" t="n">
        <x:f>A1959+1</x:f>
        <x:v>1957</x:v>
      </x:c>
      <x:c r="B1960" s="9" t="n">
        <x:f>A1960*v01_SeasonSeconds/60</x:f>
        <x:v>489.25</x:v>
      </x:c>
      <x:c r="C1960" s="9" t="n">
        <x:f>A1960/4</x:f>
        <x:v>489.25</x:v>
      </x:c>
      <x:c r="D1960" s="8" t="n">
        <x:f>IF(MOD(A1960,4)=0,1,0)</x:f>
        <x:v>0</x:v>
      </x:c>
      <x:c r="E1960" s="8" t="n">
        <x:f>IF(AND(F1959&lt;=9,AS1959&gt;=AR1959),1,0)</x:f>
        <x:v>0</x:v>
      </x:c>
      <x:c r="F1960" s="8" t="n">
        <x:f>MIN(10,F1959+E1960)</x:f>
        <x:v>10</x:v>
      </x:c>
      <x:c r="G1960" s="8" t="n">
        <x:f>MIN(F1960,9)+1</x:f>
        <x:v>10</x:v>
      </x:c>
      <x:c r="H1960" s="8" t="n">
        <x:f>IF(F1960&lt;=9,1,0)</x:f>
        <x:v>0</x:v>
      </x:c>
      <x:c r="I1960" s="9" t="n">
        <x:f>MIN(10,F1959+IF(AR1959&gt;0,MIN(1,AS1959/AR1959),1))</x:f>
        <x:v>10</x:v>
      </x:c>
      <x:c r="J1960" s="32" t="n">
        <x:f>INDEX(v01_FoodCap,G1960)*Arch_FoodCap*EXP(v01_CapsByProject*SUMPRODUCT((Cap_Point&lt;=I1960)*(Cap_Kind="Food")*Cap_Ln))</x:f>
        <x:v>12000</x:v>
      </x:c>
      <x:c r="K1960" s="32" t="n">
        <x:f>J1960*MIN(1,v01_LeanBase*EXP(v01_CapsByProject*SUMPRODUCT((Cap_Point&lt;=I1960)*(Cap_Kind="Lean")*Cap_Ln)))</x:f>
        <x:v>12000</x:v>
      </x:c>
      <x:c r="L1960" s="10" t="n">
        <x:f>INDEX(v01_HousingCap,G1960)*EXP(v01_CapsByProject*SUMPRODUCT((Cap_Point&lt;=I1960)*(Cap_Kind="Housing")*Cap_Ln))</x:f>
        <x:v>20000</x:v>
      </x:c>
      <x:c r="M1960" s="10" t="n">
        <x:f>INDEX(v01_GroupCap,G1960)*v01_CohesionFactor*EXP(v01_CapsByProject*SUMPRODUCT((Cap_Point&lt;=I1960)*(Cap_Kind="Group")*Cap_Ln))</x:f>
        <x:v>1000000</x:v>
      </x:c>
      <x:c r="N1960" s="32" t="n">
        <x:f>MIN(J1960,L1960,M1960)</x:f>
        <x:v>12000</x:v>
      </x:c>
      <x:c r="O1960" s="10" t="n">
        <x:f>AE1959*N1960</x:f>
        <x:v>180000</x:v>
      </x:c>
      <x:c r="P1960" s="9" t="n">
        <x:f>MIN(1,(AB1959/(AE1959*IF(v01_GroupInCrowding=1,N1960,MIN(J1960,L1960))))^v01_CrowdingExp)</x:f>
        <x:v>0.00024569414295285325</x:v>
      </x:c>
      <x:c r="Q1960" s="9" t="n">
        <x:f>IF(D1960=1,INDEX(v01_WinterMult,G1960),1)</x:f>
        <x:v>1</x:v>
      </x:c>
      <x:c r="R1960" s="9" t="n">
        <x:f>H1960*Z1959*v01_WomenShare*v01_BaseFertility*INDEX(v01_FertMult,G1960)*Arch_Fertility*(1-P1960)</x:f>
        <x:v>0</x:v>
      </x:c>
      <x:c r="S1960" s="9" t="n">
        <x:f>H1960*Y1959*INDEX(v01_MortChild,G1960)/4*Q1960</x:f>
        <x:v>0</x:v>
      </x:c>
      <x:c r="T1960" s="9" t="n">
        <x:f>H1960*Z1959*INDEX(v01_MortAdult,G1960)*Arch_AdultMort/4*Q1960</x:f>
        <x:v>0</x:v>
      </x:c>
      <x:c r="U1960" s="9" t="n">
        <x:f>H1960*AA1959*INDEX(v01_MortElder,G1960)/4*Q1960</x:f>
        <x:v>0</x:v>
      </x:c>
      <x:c r="V1960" s="9" t="n">
        <x:f>H1960*MAX(0,AB1959-O1960)*v01_OvercapLoss</x:f>
        <x:v>0</x:v>
      </x:c>
      <x:c r="W1960" s="9" t="n">
        <x:f>H1960*Y1959/(v01_ChildYears*4)</x:f>
        <x:v>0</x:v>
      </x:c>
      <x:c r="X1960" s="9" t="n">
        <x:f>H1960*Z1959/(v01_AdultYears*4)</x:f>
        <x:v>0</x:v>
      </x:c>
      <x:c r="Y1960" s="32" t="n">
        <x:f>Y1959+R1960-S1960-W1960-Y1959*V1960/AB1959</x:f>
        <x:v>14306.18539759397</x:v>
      </x:c>
      <x:c r="Z1960" s="32" t="n">
        <x:f>Z1959+W1960-X1960-T1960-Z1959*V1960/AB1959</x:f>
        <x:v>19354.456567879548</x:v>
      </x:c>
      <x:c r="AA1960" s="32" t="n">
        <x:f>AA1959+X1960-U1960-AA1959*V1960/AB1959</x:f>
        <x:v>11386.956063258198</x:v>
      </x:c>
      <x:c r="AB1960" s="10" t="n">
        <x:f>Y1960+Z1960+AA1960</x:f>
        <x:v>45047.59802873172</x:v>
      </x:c>
      <x:c r="AC1960" s="8" t="n">
        <x:f>IF(AND(v01_WinterTrigger=1,D1960=1,AB1959/AE1959&gt;=K1960),1,0)</x:f>
        <x:v>0</x:v>
      </x:c>
      <x:c r="AD1960" s="8" t="n">
        <x:f>H1960*IF(AND(OR(AB1959/AE1959&gt;=v01_FissionTrigger*N1960,AC1960=1),AB1959/AE1959*v01_DaughterShare&gt;=v01_MinDaughter),MAX(1,ROUND(AE1959*v01_FissionRate,0)),0)</x:f>
        <x:v>0</x:v>
      </x:c>
      <x:c r="AE1960" s="8" t="n">
        <x:f>IF(H1960=1,MAX(1,MIN(INDEX(v01_Smax,G1960),AE1959+AD1960)),AE1959)</x:f>
        <x:v>15</x:v>
      </x:c>
      <x:c r="AF1960" s="8" t="n">
        <x:f>MAX(0,AE1960-AE1959)</x:f>
        <x:v>0</x:v>
      </x:c>
      <x:c r="AG1960" s="9" t="str">
        <x:f>IF(AF1960&gt;0,B1960,"")</x:f>
      </x:c>
      <x:c r="AH1960" s="9" t="n">
        <x:f>IF(F1960&gt;=1,1,(1+v01_LowTiesShare*(AE1960-1))/AE1960)</x:f>
        <x:v>1</x:v>
      </x:c>
      <x:c r="AI1960" s="32" t="n">
        <x:f>(Z1960+v01_ElderCommons*INDEX(LM_Elder,G1960)*AA1960)*AH1960</x:f>
        <x:v>64139.732591141874</x:v>
      </x:c>
      <x:c r="AJ1960" s="32" t="n">
        <x:f>H1960*v01_CommonsCoef*AI1960^v01_CommonsExp*INDEX(LM_Commons,G1960)</x:f>
        <x:v>0</x:v>
      </x:c>
      <x:c r="AK1960" s="32" t="n">
        <x:f>H1960*v01_RoleScale*Arch_Roles*(AE1960*(INDEX(v01_ElderRolePerSett,G1960)*v01_OutElder*INDEX(LM_Elder,G1960)+INDEX(v01_ShamanPerSett,G1960)*v01_OutShaman)+Z1960*(INDEX(v01_PriestShare,G1960)*v01_OutPriest+INDEX(v01_ScribeShare,G1960)*v01_OutScribe*INDEX(LM_Scribe,G1960)+INDEX(v01_ScholarShare,G1960)*v01_OutScholar*INDEX(LM_Scholar,G1960)+INDEX(v01_ResearcherShare,G1960)*v01_OutResearcher*INDEX(LM_Researcher,G1960)))</x:f>
        <x:v>0</x:v>
      </x:c>
      <x:c r="AL1960" s="32" t="n">
        <x:f>H1960*v01_RoleScale*Arch_Roles*AE1960*INDEX(v01_MonasteryPerSett,G1960)*v01_OutMonastery*INDEX(LM_Monastery,G1960)</x:f>
        <x:v>0</x:v>
      </x:c>
      <x:c r="AM1960" s="32" t="n">
        <x:f>(AJ1960+AK1960+AL1960)/4*INDEX(LM_All,G1960)*INDEX(v01_Boon,G1960)*Arch_Insight</x:f>
        <x:v>0</x:v>
      </x:c>
      <x:c r="AN1960" s="32" t="n">
        <x:f>H1960*(v01_KHPerAdult*Z1960+v01_KHOfCommons*AJ1960/4*INDEX(LM_All,G1960))*v01_KHUsable*Arch_KH</x:f>
        <x:v>0</x:v>
      </x:c>
      <x:c r="AO1960" s="32" t="n">
        <x:f>MIN(AP1959+AN1960,AM1960*v01_KHMaxRatio)</x:f>
        <x:v>0</x:v>
      </x:c>
      <x:c r="AP1960" s="32" t="n">
        <x:f>AP1959+AN1960-AO1960</x:f>
        <x:v>0</x:v>
      </x:c>
      <x:c r="AQ1960" s="32" t="n">
        <x:f>AM1960+AO1960</x:f>
        <x:v>0</x:v>
      </x:c>
      <x:c r="AR1960" s="10" t="n">
        <x:f>IF(H1960=1,INDEX(v01_Req,G1960),0)</x:f>
        <x:v>0</x:v>
      </x:c>
      <x:c r="AS1960" s="32" t="n">
        <x:f>IF(H1960=1,IF(E1960=1,AS1959-AR1959,AS1959)+AQ1960,0)</x:f>
        <x:v>0</x:v>
      </x:c>
      <x:c r="AT1960" s="11" t="n">
        <x:f>IF(AR1960&gt;0,MIN(1,AS1960/AR1960),1)</x:f>
        <x:v>1</x:v>
      </x:c>
      <x:c r="AU1960" s="10" t="n">
        <x:f>AB1960/INDEX(v01_RepScale,G1960)</x:f>
        <x:v>90.09519605746344</x:v>
      </x:c>
      <x:c r="AV1960" s="32" t="n">
        <x:f>AM1960*60/v01_SeasonSeconds</x:f>
        <x:v>0</x:v>
      </x:c>
    </x:row>
    <x:row r="1961">
      <x:c r="A1961" s="8" t="n">
        <x:f>A1960+1</x:f>
        <x:v>1958</x:v>
      </x:c>
      <x:c r="B1961" s="9" t="n">
        <x:f>A1961*v01_SeasonSeconds/60</x:f>
        <x:v>489.5</x:v>
      </x:c>
      <x:c r="C1961" s="9" t="n">
        <x:f>A1961/4</x:f>
        <x:v>489.5</x:v>
      </x:c>
      <x:c r="D1961" s="8" t="n">
        <x:f>IF(MOD(A1961,4)=0,1,0)</x:f>
        <x:v>0</x:v>
      </x:c>
      <x:c r="E1961" s="8" t="n">
        <x:f>IF(AND(F1960&lt;=9,AS1960&gt;=AR1960),1,0)</x:f>
        <x:v>0</x:v>
      </x:c>
      <x:c r="F1961" s="8" t="n">
        <x:f>MIN(10,F1960+E1961)</x:f>
        <x:v>10</x:v>
      </x:c>
      <x:c r="G1961" s="8" t="n">
        <x:f>MIN(F1961,9)+1</x:f>
        <x:v>10</x:v>
      </x:c>
      <x:c r="H1961" s="8" t="n">
        <x:f>IF(F1961&lt;=9,1,0)</x:f>
        <x:v>0</x:v>
      </x:c>
      <x:c r="I1961" s="9" t="n">
        <x:f>MIN(10,F1960+IF(AR1960&gt;0,MIN(1,AS1960/AR1960),1))</x:f>
        <x:v>10</x:v>
      </x:c>
      <x:c r="J1961" s="32" t="n">
        <x:f>INDEX(v01_FoodCap,G1961)*Arch_FoodCap*EXP(v01_CapsByProject*SUMPRODUCT((Cap_Point&lt;=I1961)*(Cap_Kind="Food")*Cap_Ln))</x:f>
        <x:v>12000</x:v>
      </x:c>
      <x:c r="K1961" s="32" t="n">
        <x:f>J1961*MIN(1,v01_LeanBase*EXP(v01_CapsByProject*SUMPRODUCT((Cap_Point&lt;=I1961)*(Cap_Kind="Lean")*Cap_Ln)))</x:f>
        <x:v>12000</x:v>
      </x:c>
      <x:c r="L1961" s="10" t="n">
        <x:f>INDEX(v01_HousingCap,G1961)*EXP(v01_CapsByProject*SUMPRODUCT((Cap_Point&lt;=I1961)*(Cap_Kind="Housing")*Cap_Ln))</x:f>
        <x:v>20000</x:v>
      </x:c>
      <x:c r="M1961" s="10" t="n">
        <x:f>INDEX(v01_GroupCap,G1961)*v01_CohesionFactor*EXP(v01_CapsByProject*SUMPRODUCT((Cap_Point&lt;=I1961)*(Cap_Kind="Group")*Cap_Ln))</x:f>
        <x:v>1000000</x:v>
      </x:c>
      <x:c r="N1961" s="32" t="n">
        <x:f>MIN(J1961,L1961,M1961)</x:f>
        <x:v>12000</x:v>
      </x:c>
      <x:c r="O1961" s="10" t="n">
        <x:f>AE1960*N1961</x:f>
        <x:v>180000</x:v>
      </x:c>
      <x:c r="P1961" s="9" t="n">
        <x:f>MIN(1,(AB1960/(AE1960*IF(v01_GroupInCrowding=1,N1961,MIN(J1961,L1961))))^v01_CrowdingExp)</x:f>
        <x:v>0.00024569414295285325</x:v>
      </x:c>
      <x:c r="Q1961" s="9" t="n">
        <x:f>IF(D1961=1,INDEX(v01_WinterMult,G1961),1)</x:f>
        <x:v>1</x:v>
      </x:c>
      <x:c r="R1961" s="9" t="n">
        <x:f>H1961*Z1960*v01_WomenShare*v01_BaseFertility*INDEX(v01_FertMult,G1961)*Arch_Fertility*(1-P1961)</x:f>
        <x:v>0</x:v>
      </x:c>
      <x:c r="S1961" s="9" t="n">
        <x:f>H1961*Y1960*INDEX(v01_MortChild,G1961)/4*Q1961</x:f>
        <x:v>0</x:v>
      </x:c>
      <x:c r="T1961" s="9" t="n">
        <x:f>H1961*Z1960*INDEX(v01_MortAdult,G1961)*Arch_AdultMort/4*Q1961</x:f>
        <x:v>0</x:v>
      </x:c>
      <x:c r="U1961" s="9" t="n">
        <x:f>H1961*AA1960*INDEX(v01_MortElder,G1961)/4*Q1961</x:f>
        <x:v>0</x:v>
      </x:c>
      <x:c r="V1961" s="9" t="n">
        <x:f>H1961*MAX(0,AB1960-O1961)*v01_OvercapLoss</x:f>
        <x:v>0</x:v>
      </x:c>
      <x:c r="W1961" s="9" t="n">
        <x:f>H1961*Y1960/(v01_ChildYears*4)</x:f>
        <x:v>0</x:v>
      </x:c>
      <x:c r="X1961" s="9" t="n">
        <x:f>H1961*Z1960/(v01_AdultYears*4)</x:f>
        <x:v>0</x:v>
      </x:c>
      <x:c r="Y1961" s="32" t="n">
        <x:f>Y1960+R1961-S1961-W1961-Y1960*V1961/AB1960</x:f>
        <x:v>14306.18539759397</x:v>
      </x:c>
      <x:c r="Z1961" s="32" t="n">
        <x:f>Z1960+W1961-X1961-T1961-Z1960*V1961/AB1960</x:f>
        <x:v>19354.456567879548</x:v>
      </x:c>
      <x:c r="AA1961" s="32" t="n">
        <x:f>AA1960+X1961-U1961-AA1960*V1961/AB1960</x:f>
        <x:v>11386.956063258198</x:v>
      </x:c>
      <x:c r="AB1961" s="10" t="n">
        <x:f>Y1961+Z1961+AA1961</x:f>
        <x:v>45047.59802873172</x:v>
      </x:c>
      <x:c r="AC1961" s="8" t="n">
        <x:f>IF(AND(v01_WinterTrigger=1,D1961=1,AB1960/AE1960&gt;=K1961),1,0)</x:f>
        <x:v>0</x:v>
      </x:c>
      <x:c r="AD1961" s="8" t="n">
        <x:f>H1961*IF(AND(OR(AB1960/AE1960&gt;=v01_FissionTrigger*N1961,AC1961=1),AB1960/AE1960*v01_DaughterShare&gt;=v01_MinDaughter),MAX(1,ROUND(AE1960*v01_FissionRate,0)),0)</x:f>
        <x:v>0</x:v>
      </x:c>
      <x:c r="AE1961" s="8" t="n">
        <x:f>IF(H1961=1,MAX(1,MIN(INDEX(v01_Smax,G1961),AE1960+AD1961)),AE1960)</x:f>
        <x:v>15</x:v>
      </x:c>
      <x:c r="AF1961" s="8" t="n">
        <x:f>MAX(0,AE1961-AE1960)</x:f>
        <x:v>0</x:v>
      </x:c>
      <x:c r="AG1961" s="9" t="str">
        <x:f>IF(AF1961&gt;0,B1961,"")</x:f>
      </x:c>
      <x:c r="AH1961" s="9" t="n">
        <x:f>IF(F1961&gt;=1,1,(1+v01_LowTiesShare*(AE1961-1))/AE1961)</x:f>
        <x:v>1</x:v>
      </x:c>
      <x:c r="AI1961" s="32" t="n">
        <x:f>(Z1961+v01_ElderCommons*INDEX(LM_Elder,G1961)*AA1961)*AH1961</x:f>
        <x:v>64139.732591141874</x:v>
      </x:c>
      <x:c r="AJ1961" s="32" t="n">
        <x:f>H1961*v01_CommonsCoef*AI1961^v01_CommonsExp*INDEX(LM_Commons,G1961)</x:f>
        <x:v>0</x:v>
      </x:c>
      <x:c r="AK1961" s="32" t="n">
        <x:f>H1961*v01_RoleScale*Arch_Roles*(AE1961*(INDEX(v01_ElderRolePerSett,G1961)*v01_OutElder*INDEX(LM_Elder,G1961)+INDEX(v01_ShamanPerSett,G1961)*v01_OutShaman)+Z1961*(INDEX(v01_PriestShare,G1961)*v01_OutPriest+INDEX(v01_ScribeShare,G1961)*v01_OutScribe*INDEX(LM_Scribe,G1961)+INDEX(v01_ScholarShare,G1961)*v01_OutScholar*INDEX(LM_Scholar,G1961)+INDEX(v01_ResearcherShare,G1961)*v01_OutResearcher*INDEX(LM_Researcher,G1961)))</x:f>
        <x:v>0</x:v>
      </x:c>
      <x:c r="AL1961" s="32" t="n">
        <x:f>H1961*v01_RoleScale*Arch_Roles*AE1961*INDEX(v01_MonasteryPerSett,G1961)*v01_OutMonastery*INDEX(LM_Monastery,G1961)</x:f>
        <x:v>0</x:v>
      </x:c>
      <x:c r="AM1961" s="32" t="n">
        <x:f>(AJ1961+AK1961+AL1961)/4*INDEX(LM_All,G1961)*INDEX(v01_Boon,G1961)*Arch_Insight</x:f>
        <x:v>0</x:v>
      </x:c>
      <x:c r="AN1961" s="32" t="n">
        <x:f>H1961*(v01_KHPerAdult*Z1961+v01_KHOfCommons*AJ1961/4*INDEX(LM_All,G1961))*v01_KHUsable*Arch_KH</x:f>
        <x:v>0</x:v>
      </x:c>
      <x:c r="AO1961" s="32" t="n">
        <x:f>MIN(AP1960+AN1961,AM1961*v01_KHMaxRatio)</x:f>
        <x:v>0</x:v>
      </x:c>
      <x:c r="AP1961" s="32" t="n">
        <x:f>AP1960+AN1961-AO1961</x:f>
        <x:v>0</x:v>
      </x:c>
      <x:c r="AQ1961" s="32" t="n">
        <x:f>AM1961+AO1961</x:f>
        <x:v>0</x:v>
      </x:c>
      <x:c r="AR1961" s="10" t="n">
        <x:f>IF(H1961=1,INDEX(v01_Req,G1961),0)</x:f>
        <x:v>0</x:v>
      </x:c>
      <x:c r="AS1961" s="32" t="n">
        <x:f>IF(H1961=1,IF(E1961=1,AS1960-AR1960,AS1960)+AQ1961,0)</x:f>
        <x:v>0</x:v>
      </x:c>
      <x:c r="AT1961" s="11" t="n">
        <x:f>IF(AR1961&gt;0,MIN(1,AS1961/AR1961),1)</x:f>
        <x:v>1</x:v>
      </x:c>
      <x:c r="AU1961" s="10" t="n">
        <x:f>AB1961/INDEX(v01_RepScale,G1961)</x:f>
        <x:v>90.09519605746344</x:v>
      </x:c>
      <x:c r="AV1961" s="32" t="n">
        <x:f>AM1961*60/v01_SeasonSeconds</x:f>
        <x:v>0</x:v>
      </x:c>
    </x:row>
    <x:row r="1962">
      <x:c r="A1962" s="8" t="n">
        <x:f>A1961+1</x:f>
        <x:v>1959</x:v>
      </x:c>
      <x:c r="B1962" s="9" t="n">
        <x:f>A1962*v01_SeasonSeconds/60</x:f>
        <x:v>489.75</x:v>
      </x:c>
      <x:c r="C1962" s="9" t="n">
        <x:f>A1962/4</x:f>
        <x:v>489.75</x:v>
      </x:c>
      <x:c r="D1962" s="8" t="n">
        <x:f>IF(MOD(A1962,4)=0,1,0)</x:f>
        <x:v>0</x:v>
      </x:c>
      <x:c r="E1962" s="8" t="n">
        <x:f>IF(AND(F1961&lt;=9,AS1961&gt;=AR1961),1,0)</x:f>
        <x:v>0</x:v>
      </x:c>
      <x:c r="F1962" s="8" t="n">
        <x:f>MIN(10,F1961+E1962)</x:f>
        <x:v>10</x:v>
      </x:c>
      <x:c r="G1962" s="8" t="n">
        <x:f>MIN(F1962,9)+1</x:f>
        <x:v>10</x:v>
      </x:c>
      <x:c r="H1962" s="8" t="n">
        <x:f>IF(F1962&lt;=9,1,0)</x:f>
        <x:v>0</x:v>
      </x:c>
      <x:c r="I1962" s="9" t="n">
        <x:f>MIN(10,F1961+IF(AR1961&gt;0,MIN(1,AS1961/AR1961),1))</x:f>
        <x:v>10</x:v>
      </x:c>
      <x:c r="J1962" s="32" t="n">
        <x:f>INDEX(v01_FoodCap,G1962)*Arch_FoodCap*EXP(v01_CapsByProject*SUMPRODUCT((Cap_Point&lt;=I1962)*(Cap_Kind="Food")*Cap_Ln))</x:f>
        <x:v>12000</x:v>
      </x:c>
      <x:c r="K1962" s="32" t="n">
        <x:f>J1962*MIN(1,v01_LeanBase*EXP(v01_CapsByProject*SUMPRODUCT((Cap_Point&lt;=I1962)*(Cap_Kind="Lean")*Cap_Ln)))</x:f>
        <x:v>12000</x:v>
      </x:c>
      <x:c r="L1962" s="10" t="n">
        <x:f>INDEX(v01_HousingCap,G1962)*EXP(v01_CapsByProject*SUMPRODUCT((Cap_Point&lt;=I1962)*(Cap_Kind="Housing")*Cap_Ln))</x:f>
        <x:v>20000</x:v>
      </x:c>
      <x:c r="M1962" s="10" t="n">
        <x:f>INDEX(v01_GroupCap,G1962)*v01_CohesionFactor*EXP(v01_CapsByProject*SUMPRODUCT((Cap_Point&lt;=I1962)*(Cap_Kind="Group")*Cap_Ln))</x:f>
        <x:v>1000000</x:v>
      </x:c>
      <x:c r="N1962" s="32" t="n">
        <x:f>MIN(J1962,L1962,M1962)</x:f>
        <x:v>12000</x:v>
      </x:c>
      <x:c r="O1962" s="10" t="n">
        <x:f>AE1961*N1962</x:f>
        <x:v>180000</x:v>
      </x:c>
      <x:c r="P1962" s="9" t="n">
        <x:f>MIN(1,(AB1961/(AE1961*IF(v01_GroupInCrowding=1,N1962,MIN(J1962,L1962))))^v01_CrowdingExp)</x:f>
        <x:v>0.00024569414295285325</x:v>
      </x:c>
      <x:c r="Q1962" s="9" t="n">
        <x:f>IF(D1962=1,INDEX(v01_WinterMult,G1962),1)</x:f>
        <x:v>1</x:v>
      </x:c>
      <x:c r="R1962" s="9" t="n">
        <x:f>H1962*Z1961*v01_WomenShare*v01_BaseFertility*INDEX(v01_FertMult,G1962)*Arch_Fertility*(1-P1962)</x:f>
        <x:v>0</x:v>
      </x:c>
      <x:c r="S1962" s="9" t="n">
        <x:f>H1962*Y1961*INDEX(v01_MortChild,G1962)/4*Q1962</x:f>
        <x:v>0</x:v>
      </x:c>
      <x:c r="T1962" s="9" t="n">
        <x:f>H1962*Z1961*INDEX(v01_MortAdult,G1962)*Arch_AdultMort/4*Q1962</x:f>
        <x:v>0</x:v>
      </x:c>
      <x:c r="U1962" s="9" t="n">
        <x:f>H1962*AA1961*INDEX(v01_MortElder,G1962)/4*Q1962</x:f>
        <x:v>0</x:v>
      </x:c>
      <x:c r="V1962" s="9" t="n">
        <x:f>H1962*MAX(0,AB1961-O1962)*v01_OvercapLoss</x:f>
        <x:v>0</x:v>
      </x:c>
      <x:c r="W1962" s="9" t="n">
        <x:f>H1962*Y1961/(v01_ChildYears*4)</x:f>
        <x:v>0</x:v>
      </x:c>
      <x:c r="X1962" s="9" t="n">
        <x:f>H1962*Z1961/(v01_AdultYears*4)</x:f>
        <x:v>0</x:v>
      </x:c>
      <x:c r="Y1962" s="32" t="n">
        <x:f>Y1961+R1962-S1962-W1962-Y1961*V1962/AB1961</x:f>
        <x:v>14306.18539759397</x:v>
      </x:c>
      <x:c r="Z1962" s="32" t="n">
        <x:f>Z1961+W1962-X1962-T1962-Z1961*V1962/AB1961</x:f>
        <x:v>19354.456567879548</x:v>
      </x:c>
      <x:c r="AA1962" s="32" t="n">
        <x:f>AA1961+X1962-U1962-AA1961*V1962/AB1961</x:f>
        <x:v>11386.956063258198</x:v>
      </x:c>
      <x:c r="AB1962" s="10" t="n">
        <x:f>Y1962+Z1962+AA1962</x:f>
        <x:v>45047.59802873172</x:v>
      </x:c>
      <x:c r="AC1962" s="8" t="n">
        <x:f>IF(AND(v01_WinterTrigger=1,D1962=1,AB1961/AE1961&gt;=K1962),1,0)</x:f>
        <x:v>0</x:v>
      </x:c>
      <x:c r="AD1962" s="8" t="n">
        <x:f>H1962*IF(AND(OR(AB1961/AE1961&gt;=v01_FissionTrigger*N1962,AC1962=1),AB1961/AE1961*v01_DaughterShare&gt;=v01_MinDaughter),MAX(1,ROUND(AE1961*v01_FissionRate,0)),0)</x:f>
        <x:v>0</x:v>
      </x:c>
      <x:c r="AE1962" s="8" t="n">
        <x:f>IF(H1962=1,MAX(1,MIN(INDEX(v01_Smax,G1962),AE1961+AD1962)),AE1961)</x:f>
        <x:v>15</x:v>
      </x:c>
      <x:c r="AF1962" s="8" t="n">
        <x:f>MAX(0,AE1962-AE1961)</x:f>
        <x:v>0</x:v>
      </x:c>
      <x:c r="AG1962" s="9" t="str">
        <x:f>IF(AF1962&gt;0,B1962,"")</x:f>
      </x:c>
      <x:c r="AH1962" s="9" t="n">
        <x:f>IF(F1962&gt;=1,1,(1+v01_LowTiesShare*(AE1962-1))/AE1962)</x:f>
        <x:v>1</x:v>
      </x:c>
      <x:c r="AI1962" s="32" t="n">
        <x:f>(Z1962+v01_ElderCommons*INDEX(LM_Elder,G1962)*AA1962)*AH1962</x:f>
        <x:v>64139.732591141874</x:v>
      </x:c>
      <x:c r="AJ1962" s="32" t="n">
        <x:f>H1962*v01_CommonsCoef*AI1962^v01_CommonsExp*INDEX(LM_Commons,G1962)</x:f>
        <x:v>0</x:v>
      </x:c>
      <x:c r="AK1962" s="32" t="n">
        <x:f>H1962*v01_RoleScale*Arch_Roles*(AE1962*(INDEX(v01_ElderRolePerSett,G1962)*v01_OutElder*INDEX(LM_Elder,G1962)+INDEX(v01_ShamanPerSett,G1962)*v01_OutShaman)+Z1962*(INDEX(v01_PriestShare,G1962)*v01_OutPriest+INDEX(v01_ScribeShare,G1962)*v01_OutScribe*INDEX(LM_Scribe,G1962)+INDEX(v01_ScholarShare,G1962)*v01_OutScholar*INDEX(LM_Scholar,G1962)+INDEX(v01_ResearcherShare,G1962)*v01_OutResearcher*INDEX(LM_Researcher,G1962)))</x:f>
        <x:v>0</x:v>
      </x:c>
      <x:c r="AL1962" s="32" t="n">
        <x:f>H1962*v01_RoleScale*Arch_Roles*AE1962*INDEX(v01_MonasteryPerSett,G1962)*v01_OutMonastery*INDEX(LM_Monastery,G1962)</x:f>
        <x:v>0</x:v>
      </x:c>
      <x:c r="AM1962" s="32" t="n">
        <x:f>(AJ1962+AK1962+AL1962)/4*INDEX(LM_All,G1962)*INDEX(v01_Boon,G1962)*Arch_Insight</x:f>
        <x:v>0</x:v>
      </x:c>
      <x:c r="AN1962" s="32" t="n">
        <x:f>H1962*(v01_KHPerAdult*Z1962+v01_KHOfCommons*AJ1962/4*INDEX(LM_All,G1962))*v01_KHUsable*Arch_KH</x:f>
        <x:v>0</x:v>
      </x:c>
      <x:c r="AO1962" s="32" t="n">
        <x:f>MIN(AP1961+AN1962,AM1962*v01_KHMaxRatio)</x:f>
        <x:v>0</x:v>
      </x:c>
      <x:c r="AP1962" s="32" t="n">
        <x:f>AP1961+AN1962-AO1962</x:f>
        <x:v>0</x:v>
      </x:c>
      <x:c r="AQ1962" s="32" t="n">
        <x:f>AM1962+AO1962</x:f>
        <x:v>0</x:v>
      </x:c>
      <x:c r="AR1962" s="10" t="n">
        <x:f>IF(H1962=1,INDEX(v01_Req,G1962),0)</x:f>
        <x:v>0</x:v>
      </x:c>
      <x:c r="AS1962" s="32" t="n">
        <x:f>IF(H1962=1,IF(E1962=1,AS1961-AR1961,AS1961)+AQ1962,0)</x:f>
        <x:v>0</x:v>
      </x:c>
      <x:c r="AT1962" s="11" t="n">
        <x:f>IF(AR1962&gt;0,MIN(1,AS1962/AR1962),1)</x:f>
        <x:v>1</x:v>
      </x:c>
      <x:c r="AU1962" s="10" t="n">
        <x:f>AB1962/INDEX(v01_RepScale,G1962)</x:f>
        <x:v>90.09519605746344</x:v>
      </x:c>
      <x:c r="AV1962" s="32" t="n">
        <x:f>AM1962*60/v01_SeasonSeconds</x:f>
        <x:v>0</x:v>
      </x:c>
    </x:row>
    <x:row r="1963">
      <x:c r="A1963" s="8" t="n">
        <x:f>A1962+1</x:f>
        <x:v>1960</x:v>
      </x:c>
      <x:c r="B1963" s="9" t="n">
        <x:f>A1963*v01_SeasonSeconds/60</x:f>
        <x:v>490</x:v>
      </x:c>
      <x:c r="C1963" s="9" t="n">
        <x:f>A1963/4</x:f>
        <x:v>490</x:v>
      </x:c>
      <x:c r="D1963" s="8" t="n">
        <x:f>IF(MOD(A1963,4)=0,1,0)</x:f>
        <x:v>1</x:v>
      </x:c>
      <x:c r="E1963" s="8" t="n">
        <x:f>IF(AND(F1962&lt;=9,AS1962&gt;=AR1962),1,0)</x:f>
        <x:v>0</x:v>
      </x:c>
      <x:c r="F1963" s="8" t="n">
        <x:f>MIN(10,F1962+E1963)</x:f>
        <x:v>10</x:v>
      </x:c>
      <x:c r="G1963" s="8" t="n">
        <x:f>MIN(F1963,9)+1</x:f>
        <x:v>10</x:v>
      </x:c>
      <x:c r="H1963" s="8" t="n">
        <x:f>IF(F1963&lt;=9,1,0)</x:f>
        <x:v>0</x:v>
      </x:c>
      <x:c r="I1963" s="9" t="n">
        <x:f>MIN(10,F1962+IF(AR1962&gt;0,MIN(1,AS1962/AR1962),1))</x:f>
        <x:v>10</x:v>
      </x:c>
      <x:c r="J1963" s="32" t="n">
        <x:f>INDEX(v01_FoodCap,G1963)*Arch_FoodCap*EXP(v01_CapsByProject*SUMPRODUCT((Cap_Point&lt;=I1963)*(Cap_Kind="Food")*Cap_Ln))</x:f>
        <x:v>12000</x:v>
      </x:c>
      <x:c r="K1963" s="32" t="n">
        <x:f>J1963*MIN(1,v01_LeanBase*EXP(v01_CapsByProject*SUMPRODUCT((Cap_Point&lt;=I1963)*(Cap_Kind="Lean")*Cap_Ln)))</x:f>
        <x:v>12000</x:v>
      </x:c>
      <x:c r="L1963" s="10" t="n">
        <x:f>INDEX(v01_HousingCap,G1963)*EXP(v01_CapsByProject*SUMPRODUCT((Cap_Point&lt;=I1963)*(Cap_Kind="Housing")*Cap_Ln))</x:f>
        <x:v>20000</x:v>
      </x:c>
      <x:c r="M1963" s="10" t="n">
        <x:f>INDEX(v01_GroupCap,G1963)*v01_CohesionFactor*EXP(v01_CapsByProject*SUMPRODUCT((Cap_Point&lt;=I1963)*(Cap_Kind="Group")*Cap_Ln))</x:f>
        <x:v>1000000</x:v>
      </x:c>
      <x:c r="N1963" s="32" t="n">
        <x:f>MIN(J1963,L1963,M1963)</x:f>
        <x:v>12000</x:v>
      </x:c>
      <x:c r="O1963" s="10" t="n">
        <x:f>AE1962*N1963</x:f>
        <x:v>180000</x:v>
      </x:c>
      <x:c r="P1963" s="9" t="n">
        <x:f>MIN(1,(AB1962/(AE1962*IF(v01_GroupInCrowding=1,N1963,MIN(J1963,L1963))))^v01_CrowdingExp)</x:f>
        <x:v>0.00024569414295285325</x:v>
      </x:c>
      <x:c r="Q1963" s="9" t="n">
        <x:f>IF(D1963=1,INDEX(v01_WinterMult,G1963),1)</x:f>
        <x:v>1</x:v>
      </x:c>
      <x:c r="R1963" s="9" t="n">
        <x:f>H1963*Z1962*v01_WomenShare*v01_BaseFertility*INDEX(v01_FertMult,G1963)*Arch_Fertility*(1-P1963)</x:f>
        <x:v>0</x:v>
      </x:c>
      <x:c r="S1963" s="9" t="n">
        <x:f>H1963*Y1962*INDEX(v01_MortChild,G1963)/4*Q1963</x:f>
        <x:v>0</x:v>
      </x:c>
      <x:c r="T1963" s="9" t="n">
        <x:f>H1963*Z1962*INDEX(v01_MortAdult,G1963)*Arch_AdultMort/4*Q1963</x:f>
        <x:v>0</x:v>
      </x:c>
      <x:c r="U1963" s="9" t="n">
        <x:f>H1963*AA1962*INDEX(v01_MortElder,G1963)/4*Q1963</x:f>
        <x:v>0</x:v>
      </x:c>
      <x:c r="V1963" s="9" t="n">
        <x:f>H1963*MAX(0,AB1962-O1963)*v01_OvercapLoss</x:f>
        <x:v>0</x:v>
      </x:c>
      <x:c r="W1963" s="9" t="n">
        <x:f>H1963*Y1962/(v01_ChildYears*4)</x:f>
        <x:v>0</x:v>
      </x:c>
      <x:c r="X1963" s="9" t="n">
        <x:f>H1963*Z1962/(v01_AdultYears*4)</x:f>
        <x:v>0</x:v>
      </x:c>
      <x:c r="Y1963" s="32" t="n">
        <x:f>Y1962+R1963-S1963-W1963-Y1962*V1963/AB1962</x:f>
        <x:v>14306.18539759397</x:v>
      </x:c>
      <x:c r="Z1963" s="32" t="n">
        <x:f>Z1962+W1963-X1963-T1963-Z1962*V1963/AB1962</x:f>
        <x:v>19354.456567879548</x:v>
      </x:c>
      <x:c r="AA1963" s="32" t="n">
        <x:f>AA1962+X1963-U1963-AA1962*V1963/AB1962</x:f>
        <x:v>11386.956063258198</x:v>
      </x:c>
      <x:c r="AB1963" s="10" t="n">
        <x:f>Y1963+Z1963+AA1963</x:f>
        <x:v>45047.59802873172</x:v>
      </x:c>
      <x:c r="AC1963" s="8" t="n">
        <x:f>IF(AND(v01_WinterTrigger=1,D1963=1,AB1962/AE1962&gt;=K1963),1,0)</x:f>
        <x:v>0</x:v>
      </x:c>
      <x:c r="AD1963" s="8" t="n">
        <x:f>H1963*IF(AND(OR(AB1962/AE1962&gt;=v01_FissionTrigger*N1963,AC1963=1),AB1962/AE1962*v01_DaughterShare&gt;=v01_MinDaughter),MAX(1,ROUND(AE1962*v01_FissionRate,0)),0)</x:f>
        <x:v>0</x:v>
      </x:c>
      <x:c r="AE1963" s="8" t="n">
        <x:f>IF(H1963=1,MAX(1,MIN(INDEX(v01_Smax,G1963),AE1962+AD1963)),AE1962)</x:f>
        <x:v>15</x:v>
      </x:c>
      <x:c r="AF1963" s="8" t="n">
        <x:f>MAX(0,AE1963-AE1962)</x:f>
        <x:v>0</x:v>
      </x:c>
      <x:c r="AG1963" s="9" t="str">
        <x:f>IF(AF1963&gt;0,B1963,"")</x:f>
      </x:c>
      <x:c r="AH1963" s="9" t="n">
        <x:f>IF(F1963&gt;=1,1,(1+v01_LowTiesShare*(AE1963-1))/AE1963)</x:f>
        <x:v>1</x:v>
      </x:c>
      <x:c r="AI1963" s="32" t="n">
        <x:f>(Z1963+v01_ElderCommons*INDEX(LM_Elder,G1963)*AA1963)*AH1963</x:f>
        <x:v>64139.732591141874</x:v>
      </x:c>
      <x:c r="AJ1963" s="32" t="n">
        <x:f>H1963*v01_CommonsCoef*AI1963^v01_CommonsExp*INDEX(LM_Commons,G1963)</x:f>
        <x:v>0</x:v>
      </x:c>
      <x:c r="AK1963" s="32" t="n">
        <x:f>H1963*v01_RoleScale*Arch_Roles*(AE1963*(INDEX(v01_ElderRolePerSett,G1963)*v01_OutElder*INDEX(LM_Elder,G1963)+INDEX(v01_ShamanPerSett,G1963)*v01_OutShaman)+Z1963*(INDEX(v01_PriestShare,G1963)*v01_OutPriest+INDEX(v01_ScribeShare,G1963)*v01_OutScribe*INDEX(LM_Scribe,G1963)+INDEX(v01_ScholarShare,G1963)*v01_OutScholar*INDEX(LM_Scholar,G1963)+INDEX(v01_ResearcherShare,G1963)*v01_OutResearcher*INDEX(LM_Researcher,G1963)))</x:f>
        <x:v>0</x:v>
      </x:c>
      <x:c r="AL1963" s="32" t="n">
        <x:f>H1963*v01_RoleScale*Arch_Roles*AE1963*INDEX(v01_MonasteryPerSett,G1963)*v01_OutMonastery*INDEX(LM_Monastery,G1963)</x:f>
        <x:v>0</x:v>
      </x:c>
      <x:c r="AM1963" s="32" t="n">
        <x:f>(AJ1963+AK1963+AL1963)/4*INDEX(LM_All,G1963)*INDEX(v01_Boon,G1963)*Arch_Insight</x:f>
        <x:v>0</x:v>
      </x:c>
      <x:c r="AN1963" s="32" t="n">
        <x:f>H1963*(v01_KHPerAdult*Z1963+v01_KHOfCommons*AJ1963/4*INDEX(LM_All,G1963))*v01_KHUsable*Arch_KH</x:f>
        <x:v>0</x:v>
      </x:c>
      <x:c r="AO1963" s="32" t="n">
        <x:f>MIN(AP1962+AN1963,AM1963*v01_KHMaxRatio)</x:f>
        <x:v>0</x:v>
      </x:c>
      <x:c r="AP1963" s="32" t="n">
        <x:f>AP1962+AN1963-AO1963</x:f>
        <x:v>0</x:v>
      </x:c>
      <x:c r="AQ1963" s="32" t="n">
        <x:f>AM1963+AO1963</x:f>
        <x:v>0</x:v>
      </x:c>
      <x:c r="AR1963" s="10" t="n">
        <x:f>IF(H1963=1,INDEX(v01_Req,G1963),0)</x:f>
        <x:v>0</x:v>
      </x:c>
      <x:c r="AS1963" s="32" t="n">
        <x:f>IF(H1963=1,IF(E1963=1,AS1962-AR1962,AS1962)+AQ1963,0)</x:f>
        <x:v>0</x:v>
      </x:c>
      <x:c r="AT1963" s="11" t="n">
        <x:f>IF(AR1963&gt;0,MIN(1,AS1963/AR1963),1)</x:f>
        <x:v>1</x:v>
      </x:c>
      <x:c r="AU1963" s="10" t="n">
        <x:f>AB1963/INDEX(v01_RepScale,G1963)</x:f>
        <x:v>90.09519605746344</x:v>
      </x:c>
      <x:c r="AV1963" s="32" t="n">
        <x:f>AM1963*60/v01_SeasonSeconds</x:f>
        <x:v>0</x:v>
      </x:c>
    </x:row>
    <x:row r="1964">
      <x:c r="A1964" s="8" t="n">
        <x:f>A1963+1</x:f>
        <x:v>1961</x:v>
      </x:c>
      <x:c r="B1964" s="9" t="n">
        <x:f>A1964*v01_SeasonSeconds/60</x:f>
        <x:v>490.25</x:v>
      </x:c>
      <x:c r="C1964" s="9" t="n">
        <x:f>A1964/4</x:f>
        <x:v>490.25</x:v>
      </x:c>
      <x:c r="D1964" s="8" t="n">
        <x:f>IF(MOD(A1964,4)=0,1,0)</x:f>
        <x:v>0</x:v>
      </x:c>
      <x:c r="E1964" s="8" t="n">
        <x:f>IF(AND(F1963&lt;=9,AS1963&gt;=AR1963),1,0)</x:f>
        <x:v>0</x:v>
      </x:c>
      <x:c r="F1964" s="8" t="n">
        <x:f>MIN(10,F1963+E1964)</x:f>
        <x:v>10</x:v>
      </x:c>
      <x:c r="G1964" s="8" t="n">
        <x:f>MIN(F1964,9)+1</x:f>
        <x:v>10</x:v>
      </x:c>
      <x:c r="H1964" s="8" t="n">
        <x:f>IF(F1964&lt;=9,1,0)</x:f>
        <x:v>0</x:v>
      </x:c>
      <x:c r="I1964" s="9" t="n">
        <x:f>MIN(10,F1963+IF(AR1963&gt;0,MIN(1,AS1963/AR1963),1))</x:f>
        <x:v>10</x:v>
      </x:c>
      <x:c r="J1964" s="32" t="n">
        <x:f>INDEX(v01_FoodCap,G1964)*Arch_FoodCap*EXP(v01_CapsByProject*SUMPRODUCT((Cap_Point&lt;=I1964)*(Cap_Kind="Food")*Cap_Ln))</x:f>
        <x:v>12000</x:v>
      </x:c>
      <x:c r="K1964" s="32" t="n">
        <x:f>J1964*MIN(1,v01_LeanBase*EXP(v01_CapsByProject*SUMPRODUCT((Cap_Point&lt;=I1964)*(Cap_Kind="Lean")*Cap_Ln)))</x:f>
        <x:v>12000</x:v>
      </x:c>
      <x:c r="L1964" s="10" t="n">
        <x:f>INDEX(v01_HousingCap,G1964)*EXP(v01_CapsByProject*SUMPRODUCT((Cap_Point&lt;=I1964)*(Cap_Kind="Housing")*Cap_Ln))</x:f>
        <x:v>20000</x:v>
      </x:c>
      <x:c r="M1964" s="10" t="n">
        <x:f>INDEX(v01_GroupCap,G1964)*v01_CohesionFactor*EXP(v01_CapsByProject*SUMPRODUCT((Cap_Point&lt;=I1964)*(Cap_Kind="Group")*Cap_Ln))</x:f>
        <x:v>1000000</x:v>
      </x:c>
      <x:c r="N1964" s="32" t="n">
        <x:f>MIN(J1964,L1964,M1964)</x:f>
        <x:v>12000</x:v>
      </x:c>
      <x:c r="O1964" s="10" t="n">
        <x:f>AE1963*N1964</x:f>
        <x:v>180000</x:v>
      </x:c>
      <x:c r="P1964" s="9" t="n">
        <x:f>MIN(1,(AB1963/(AE1963*IF(v01_GroupInCrowding=1,N1964,MIN(J1964,L1964))))^v01_CrowdingExp)</x:f>
        <x:v>0.00024569414295285325</x:v>
      </x:c>
      <x:c r="Q1964" s="9" t="n">
        <x:f>IF(D1964=1,INDEX(v01_WinterMult,G1964),1)</x:f>
        <x:v>1</x:v>
      </x:c>
      <x:c r="R1964" s="9" t="n">
        <x:f>H1964*Z1963*v01_WomenShare*v01_BaseFertility*INDEX(v01_FertMult,G1964)*Arch_Fertility*(1-P1964)</x:f>
        <x:v>0</x:v>
      </x:c>
      <x:c r="S1964" s="9" t="n">
        <x:f>H1964*Y1963*INDEX(v01_MortChild,G1964)/4*Q1964</x:f>
        <x:v>0</x:v>
      </x:c>
      <x:c r="T1964" s="9" t="n">
        <x:f>H1964*Z1963*INDEX(v01_MortAdult,G1964)*Arch_AdultMort/4*Q1964</x:f>
        <x:v>0</x:v>
      </x:c>
      <x:c r="U1964" s="9" t="n">
        <x:f>H1964*AA1963*INDEX(v01_MortElder,G1964)/4*Q1964</x:f>
        <x:v>0</x:v>
      </x:c>
      <x:c r="V1964" s="9" t="n">
        <x:f>H1964*MAX(0,AB1963-O1964)*v01_OvercapLoss</x:f>
        <x:v>0</x:v>
      </x:c>
      <x:c r="W1964" s="9" t="n">
        <x:f>H1964*Y1963/(v01_ChildYears*4)</x:f>
        <x:v>0</x:v>
      </x:c>
      <x:c r="X1964" s="9" t="n">
        <x:f>H1964*Z1963/(v01_AdultYears*4)</x:f>
        <x:v>0</x:v>
      </x:c>
      <x:c r="Y1964" s="32" t="n">
        <x:f>Y1963+R1964-S1964-W1964-Y1963*V1964/AB1963</x:f>
        <x:v>14306.18539759397</x:v>
      </x:c>
      <x:c r="Z1964" s="32" t="n">
        <x:f>Z1963+W1964-X1964-T1964-Z1963*V1964/AB1963</x:f>
        <x:v>19354.456567879548</x:v>
      </x:c>
      <x:c r="AA1964" s="32" t="n">
        <x:f>AA1963+X1964-U1964-AA1963*V1964/AB1963</x:f>
        <x:v>11386.956063258198</x:v>
      </x:c>
      <x:c r="AB1964" s="10" t="n">
        <x:f>Y1964+Z1964+AA1964</x:f>
        <x:v>45047.59802873172</x:v>
      </x:c>
      <x:c r="AC1964" s="8" t="n">
        <x:f>IF(AND(v01_WinterTrigger=1,D1964=1,AB1963/AE1963&gt;=K1964),1,0)</x:f>
        <x:v>0</x:v>
      </x:c>
      <x:c r="AD1964" s="8" t="n">
        <x:f>H1964*IF(AND(OR(AB1963/AE1963&gt;=v01_FissionTrigger*N1964,AC1964=1),AB1963/AE1963*v01_DaughterShare&gt;=v01_MinDaughter),MAX(1,ROUND(AE1963*v01_FissionRate,0)),0)</x:f>
        <x:v>0</x:v>
      </x:c>
      <x:c r="AE1964" s="8" t="n">
        <x:f>IF(H1964=1,MAX(1,MIN(INDEX(v01_Smax,G1964),AE1963+AD1964)),AE1963)</x:f>
        <x:v>15</x:v>
      </x:c>
      <x:c r="AF1964" s="8" t="n">
        <x:f>MAX(0,AE1964-AE1963)</x:f>
        <x:v>0</x:v>
      </x:c>
      <x:c r="AG1964" s="9" t="str">
        <x:f>IF(AF1964&gt;0,B1964,"")</x:f>
      </x:c>
      <x:c r="AH1964" s="9" t="n">
        <x:f>IF(F1964&gt;=1,1,(1+v01_LowTiesShare*(AE1964-1))/AE1964)</x:f>
        <x:v>1</x:v>
      </x:c>
      <x:c r="AI1964" s="32" t="n">
        <x:f>(Z1964+v01_ElderCommons*INDEX(LM_Elder,G1964)*AA1964)*AH1964</x:f>
        <x:v>64139.732591141874</x:v>
      </x:c>
      <x:c r="AJ1964" s="32" t="n">
        <x:f>H1964*v01_CommonsCoef*AI1964^v01_CommonsExp*INDEX(LM_Commons,G1964)</x:f>
        <x:v>0</x:v>
      </x:c>
      <x:c r="AK1964" s="32" t="n">
        <x:f>H1964*v01_RoleScale*Arch_Roles*(AE1964*(INDEX(v01_ElderRolePerSett,G1964)*v01_OutElder*INDEX(LM_Elder,G1964)+INDEX(v01_ShamanPerSett,G1964)*v01_OutShaman)+Z1964*(INDEX(v01_PriestShare,G1964)*v01_OutPriest+INDEX(v01_ScribeShare,G1964)*v01_OutScribe*INDEX(LM_Scribe,G1964)+INDEX(v01_ScholarShare,G1964)*v01_OutScholar*INDEX(LM_Scholar,G1964)+INDEX(v01_ResearcherShare,G1964)*v01_OutResearcher*INDEX(LM_Researcher,G1964)))</x:f>
        <x:v>0</x:v>
      </x:c>
      <x:c r="AL1964" s="32" t="n">
        <x:f>H1964*v01_RoleScale*Arch_Roles*AE1964*INDEX(v01_MonasteryPerSett,G1964)*v01_OutMonastery*INDEX(LM_Monastery,G1964)</x:f>
        <x:v>0</x:v>
      </x:c>
      <x:c r="AM1964" s="32" t="n">
        <x:f>(AJ1964+AK1964+AL1964)/4*INDEX(LM_All,G1964)*INDEX(v01_Boon,G1964)*Arch_Insight</x:f>
        <x:v>0</x:v>
      </x:c>
      <x:c r="AN1964" s="32" t="n">
        <x:f>H1964*(v01_KHPerAdult*Z1964+v01_KHOfCommons*AJ1964/4*INDEX(LM_All,G1964))*v01_KHUsable*Arch_KH</x:f>
        <x:v>0</x:v>
      </x:c>
      <x:c r="AO1964" s="32" t="n">
        <x:f>MIN(AP1963+AN1964,AM1964*v01_KHMaxRatio)</x:f>
        <x:v>0</x:v>
      </x:c>
      <x:c r="AP1964" s="32" t="n">
        <x:f>AP1963+AN1964-AO1964</x:f>
        <x:v>0</x:v>
      </x:c>
      <x:c r="AQ1964" s="32" t="n">
        <x:f>AM1964+AO1964</x:f>
        <x:v>0</x:v>
      </x:c>
      <x:c r="AR1964" s="10" t="n">
        <x:f>IF(H1964=1,INDEX(v01_Req,G1964),0)</x:f>
        <x:v>0</x:v>
      </x:c>
      <x:c r="AS1964" s="32" t="n">
        <x:f>IF(H1964=1,IF(E1964=1,AS1963-AR1963,AS1963)+AQ1964,0)</x:f>
        <x:v>0</x:v>
      </x:c>
      <x:c r="AT1964" s="11" t="n">
        <x:f>IF(AR1964&gt;0,MIN(1,AS1964/AR1964),1)</x:f>
        <x:v>1</x:v>
      </x:c>
      <x:c r="AU1964" s="10" t="n">
        <x:f>AB1964/INDEX(v01_RepScale,G1964)</x:f>
        <x:v>90.09519605746344</x:v>
      </x:c>
      <x:c r="AV1964" s="32" t="n">
        <x:f>AM1964*60/v01_SeasonSeconds</x:f>
        <x:v>0</x:v>
      </x:c>
    </x:row>
    <x:row r="1965">
      <x:c r="A1965" s="8" t="n">
        <x:f>A1964+1</x:f>
        <x:v>1962</x:v>
      </x:c>
      <x:c r="B1965" s="9" t="n">
        <x:f>A1965*v01_SeasonSeconds/60</x:f>
        <x:v>490.5</x:v>
      </x:c>
      <x:c r="C1965" s="9" t="n">
        <x:f>A1965/4</x:f>
        <x:v>490.5</x:v>
      </x:c>
      <x:c r="D1965" s="8" t="n">
        <x:f>IF(MOD(A1965,4)=0,1,0)</x:f>
        <x:v>0</x:v>
      </x:c>
      <x:c r="E1965" s="8" t="n">
        <x:f>IF(AND(F1964&lt;=9,AS1964&gt;=AR1964),1,0)</x:f>
        <x:v>0</x:v>
      </x:c>
      <x:c r="F1965" s="8" t="n">
        <x:f>MIN(10,F1964+E1965)</x:f>
        <x:v>10</x:v>
      </x:c>
      <x:c r="G1965" s="8" t="n">
        <x:f>MIN(F1965,9)+1</x:f>
        <x:v>10</x:v>
      </x:c>
      <x:c r="H1965" s="8" t="n">
        <x:f>IF(F1965&lt;=9,1,0)</x:f>
        <x:v>0</x:v>
      </x:c>
      <x:c r="I1965" s="9" t="n">
        <x:f>MIN(10,F1964+IF(AR1964&gt;0,MIN(1,AS1964/AR1964),1))</x:f>
        <x:v>10</x:v>
      </x:c>
      <x:c r="J1965" s="32" t="n">
        <x:f>INDEX(v01_FoodCap,G1965)*Arch_FoodCap*EXP(v01_CapsByProject*SUMPRODUCT((Cap_Point&lt;=I1965)*(Cap_Kind="Food")*Cap_Ln))</x:f>
        <x:v>12000</x:v>
      </x:c>
      <x:c r="K1965" s="32" t="n">
        <x:f>J1965*MIN(1,v01_LeanBase*EXP(v01_CapsByProject*SUMPRODUCT((Cap_Point&lt;=I1965)*(Cap_Kind="Lean")*Cap_Ln)))</x:f>
        <x:v>12000</x:v>
      </x:c>
      <x:c r="L1965" s="10" t="n">
        <x:f>INDEX(v01_HousingCap,G1965)*EXP(v01_CapsByProject*SUMPRODUCT((Cap_Point&lt;=I1965)*(Cap_Kind="Housing")*Cap_Ln))</x:f>
        <x:v>20000</x:v>
      </x:c>
      <x:c r="M1965" s="10" t="n">
        <x:f>INDEX(v01_GroupCap,G1965)*v01_CohesionFactor*EXP(v01_CapsByProject*SUMPRODUCT((Cap_Point&lt;=I1965)*(Cap_Kind="Group")*Cap_Ln))</x:f>
        <x:v>1000000</x:v>
      </x:c>
      <x:c r="N1965" s="32" t="n">
        <x:f>MIN(J1965,L1965,M1965)</x:f>
        <x:v>12000</x:v>
      </x:c>
      <x:c r="O1965" s="10" t="n">
        <x:f>AE1964*N1965</x:f>
        <x:v>180000</x:v>
      </x:c>
      <x:c r="P1965" s="9" t="n">
        <x:f>MIN(1,(AB1964/(AE1964*IF(v01_GroupInCrowding=1,N1965,MIN(J1965,L1965))))^v01_CrowdingExp)</x:f>
        <x:v>0.00024569414295285325</x:v>
      </x:c>
      <x:c r="Q1965" s="9" t="n">
        <x:f>IF(D1965=1,INDEX(v01_WinterMult,G1965),1)</x:f>
        <x:v>1</x:v>
      </x:c>
      <x:c r="R1965" s="9" t="n">
        <x:f>H1965*Z1964*v01_WomenShare*v01_BaseFertility*INDEX(v01_FertMult,G1965)*Arch_Fertility*(1-P1965)</x:f>
        <x:v>0</x:v>
      </x:c>
      <x:c r="S1965" s="9" t="n">
        <x:f>H1965*Y1964*INDEX(v01_MortChild,G1965)/4*Q1965</x:f>
        <x:v>0</x:v>
      </x:c>
      <x:c r="T1965" s="9" t="n">
        <x:f>H1965*Z1964*INDEX(v01_MortAdult,G1965)*Arch_AdultMort/4*Q1965</x:f>
        <x:v>0</x:v>
      </x:c>
      <x:c r="U1965" s="9" t="n">
        <x:f>H1965*AA1964*INDEX(v01_MortElder,G1965)/4*Q1965</x:f>
        <x:v>0</x:v>
      </x:c>
      <x:c r="V1965" s="9" t="n">
        <x:f>H1965*MAX(0,AB1964-O1965)*v01_OvercapLoss</x:f>
        <x:v>0</x:v>
      </x:c>
      <x:c r="W1965" s="9" t="n">
        <x:f>H1965*Y1964/(v01_ChildYears*4)</x:f>
        <x:v>0</x:v>
      </x:c>
      <x:c r="X1965" s="9" t="n">
        <x:f>H1965*Z1964/(v01_AdultYears*4)</x:f>
        <x:v>0</x:v>
      </x:c>
      <x:c r="Y1965" s="32" t="n">
        <x:f>Y1964+R1965-S1965-W1965-Y1964*V1965/AB1964</x:f>
        <x:v>14306.18539759397</x:v>
      </x:c>
      <x:c r="Z1965" s="32" t="n">
        <x:f>Z1964+W1965-X1965-T1965-Z1964*V1965/AB1964</x:f>
        <x:v>19354.456567879548</x:v>
      </x:c>
      <x:c r="AA1965" s="32" t="n">
        <x:f>AA1964+X1965-U1965-AA1964*V1965/AB1964</x:f>
        <x:v>11386.956063258198</x:v>
      </x:c>
      <x:c r="AB1965" s="10" t="n">
        <x:f>Y1965+Z1965+AA1965</x:f>
        <x:v>45047.59802873172</x:v>
      </x:c>
      <x:c r="AC1965" s="8" t="n">
        <x:f>IF(AND(v01_WinterTrigger=1,D1965=1,AB1964/AE1964&gt;=K1965),1,0)</x:f>
        <x:v>0</x:v>
      </x:c>
      <x:c r="AD1965" s="8" t="n">
        <x:f>H1965*IF(AND(OR(AB1964/AE1964&gt;=v01_FissionTrigger*N1965,AC1965=1),AB1964/AE1964*v01_DaughterShare&gt;=v01_MinDaughter),MAX(1,ROUND(AE1964*v01_FissionRate,0)),0)</x:f>
        <x:v>0</x:v>
      </x:c>
      <x:c r="AE1965" s="8" t="n">
        <x:f>IF(H1965=1,MAX(1,MIN(INDEX(v01_Smax,G1965),AE1964+AD1965)),AE1964)</x:f>
        <x:v>15</x:v>
      </x:c>
      <x:c r="AF1965" s="8" t="n">
        <x:f>MAX(0,AE1965-AE1964)</x:f>
        <x:v>0</x:v>
      </x:c>
      <x:c r="AG1965" s="9" t="str">
        <x:f>IF(AF1965&gt;0,B1965,"")</x:f>
      </x:c>
      <x:c r="AH1965" s="9" t="n">
        <x:f>IF(F1965&gt;=1,1,(1+v01_LowTiesShare*(AE1965-1))/AE1965)</x:f>
        <x:v>1</x:v>
      </x:c>
      <x:c r="AI1965" s="32" t="n">
        <x:f>(Z1965+v01_ElderCommons*INDEX(LM_Elder,G1965)*AA1965)*AH1965</x:f>
        <x:v>64139.732591141874</x:v>
      </x:c>
      <x:c r="AJ1965" s="32" t="n">
        <x:f>H1965*v01_CommonsCoef*AI1965^v01_CommonsExp*INDEX(LM_Commons,G1965)</x:f>
        <x:v>0</x:v>
      </x:c>
      <x:c r="AK1965" s="32" t="n">
        <x:f>H1965*v01_RoleScale*Arch_Roles*(AE1965*(INDEX(v01_ElderRolePerSett,G1965)*v01_OutElder*INDEX(LM_Elder,G1965)+INDEX(v01_ShamanPerSett,G1965)*v01_OutShaman)+Z1965*(INDEX(v01_PriestShare,G1965)*v01_OutPriest+INDEX(v01_ScribeShare,G1965)*v01_OutScribe*INDEX(LM_Scribe,G1965)+INDEX(v01_ScholarShare,G1965)*v01_OutScholar*INDEX(LM_Scholar,G1965)+INDEX(v01_ResearcherShare,G1965)*v01_OutResearcher*INDEX(LM_Researcher,G1965)))</x:f>
        <x:v>0</x:v>
      </x:c>
      <x:c r="AL1965" s="32" t="n">
        <x:f>H1965*v01_RoleScale*Arch_Roles*AE1965*INDEX(v01_MonasteryPerSett,G1965)*v01_OutMonastery*INDEX(LM_Monastery,G1965)</x:f>
        <x:v>0</x:v>
      </x:c>
      <x:c r="AM1965" s="32" t="n">
        <x:f>(AJ1965+AK1965+AL1965)/4*INDEX(LM_All,G1965)*INDEX(v01_Boon,G1965)*Arch_Insight</x:f>
        <x:v>0</x:v>
      </x:c>
      <x:c r="AN1965" s="32" t="n">
        <x:f>H1965*(v01_KHPerAdult*Z1965+v01_KHOfCommons*AJ1965/4*INDEX(LM_All,G1965))*v01_KHUsable*Arch_KH</x:f>
        <x:v>0</x:v>
      </x:c>
      <x:c r="AO1965" s="32" t="n">
        <x:f>MIN(AP1964+AN1965,AM1965*v01_KHMaxRatio)</x:f>
        <x:v>0</x:v>
      </x:c>
      <x:c r="AP1965" s="32" t="n">
        <x:f>AP1964+AN1965-AO1965</x:f>
        <x:v>0</x:v>
      </x:c>
      <x:c r="AQ1965" s="32" t="n">
        <x:f>AM1965+AO1965</x:f>
        <x:v>0</x:v>
      </x:c>
      <x:c r="AR1965" s="10" t="n">
        <x:f>IF(H1965=1,INDEX(v01_Req,G1965),0)</x:f>
        <x:v>0</x:v>
      </x:c>
      <x:c r="AS1965" s="32" t="n">
        <x:f>IF(H1965=1,IF(E1965=1,AS1964-AR1964,AS1964)+AQ1965,0)</x:f>
        <x:v>0</x:v>
      </x:c>
      <x:c r="AT1965" s="11" t="n">
        <x:f>IF(AR1965&gt;0,MIN(1,AS1965/AR1965),1)</x:f>
        <x:v>1</x:v>
      </x:c>
      <x:c r="AU1965" s="10" t="n">
        <x:f>AB1965/INDEX(v01_RepScale,G1965)</x:f>
        <x:v>90.09519605746344</x:v>
      </x:c>
      <x:c r="AV1965" s="32" t="n">
        <x:f>AM1965*60/v01_SeasonSeconds</x:f>
        <x:v>0</x:v>
      </x:c>
    </x:row>
    <x:row r="1966">
      <x:c r="A1966" s="8" t="n">
        <x:f>A1965+1</x:f>
        <x:v>1963</x:v>
      </x:c>
      <x:c r="B1966" s="9" t="n">
        <x:f>A1966*v01_SeasonSeconds/60</x:f>
        <x:v>490.75</x:v>
      </x:c>
      <x:c r="C1966" s="9" t="n">
        <x:f>A1966/4</x:f>
        <x:v>490.75</x:v>
      </x:c>
      <x:c r="D1966" s="8" t="n">
        <x:f>IF(MOD(A1966,4)=0,1,0)</x:f>
        <x:v>0</x:v>
      </x:c>
      <x:c r="E1966" s="8" t="n">
        <x:f>IF(AND(F1965&lt;=9,AS1965&gt;=AR1965),1,0)</x:f>
        <x:v>0</x:v>
      </x:c>
      <x:c r="F1966" s="8" t="n">
        <x:f>MIN(10,F1965+E1966)</x:f>
        <x:v>10</x:v>
      </x:c>
      <x:c r="G1966" s="8" t="n">
        <x:f>MIN(F1966,9)+1</x:f>
        <x:v>10</x:v>
      </x:c>
      <x:c r="H1966" s="8" t="n">
        <x:f>IF(F1966&lt;=9,1,0)</x:f>
        <x:v>0</x:v>
      </x:c>
      <x:c r="I1966" s="9" t="n">
        <x:f>MIN(10,F1965+IF(AR1965&gt;0,MIN(1,AS1965/AR1965),1))</x:f>
        <x:v>10</x:v>
      </x:c>
      <x:c r="J1966" s="32" t="n">
        <x:f>INDEX(v01_FoodCap,G1966)*Arch_FoodCap*EXP(v01_CapsByProject*SUMPRODUCT((Cap_Point&lt;=I1966)*(Cap_Kind="Food")*Cap_Ln))</x:f>
        <x:v>12000</x:v>
      </x:c>
      <x:c r="K1966" s="32" t="n">
        <x:f>J1966*MIN(1,v01_LeanBase*EXP(v01_CapsByProject*SUMPRODUCT((Cap_Point&lt;=I1966)*(Cap_Kind="Lean")*Cap_Ln)))</x:f>
        <x:v>12000</x:v>
      </x:c>
      <x:c r="L1966" s="10" t="n">
        <x:f>INDEX(v01_HousingCap,G1966)*EXP(v01_CapsByProject*SUMPRODUCT((Cap_Point&lt;=I1966)*(Cap_Kind="Housing")*Cap_Ln))</x:f>
        <x:v>20000</x:v>
      </x:c>
      <x:c r="M1966" s="10" t="n">
        <x:f>INDEX(v01_GroupCap,G1966)*v01_CohesionFactor*EXP(v01_CapsByProject*SUMPRODUCT((Cap_Point&lt;=I1966)*(Cap_Kind="Group")*Cap_Ln))</x:f>
        <x:v>1000000</x:v>
      </x:c>
      <x:c r="N1966" s="32" t="n">
        <x:f>MIN(J1966,L1966,M1966)</x:f>
        <x:v>12000</x:v>
      </x:c>
      <x:c r="O1966" s="10" t="n">
        <x:f>AE1965*N1966</x:f>
        <x:v>180000</x:v>
      </x:c>
      <x:c r="P1966" s="9" t="n">
        <x:f>MIN(1,(AB1965/(AE1965*IF(v01_GroupInCrowding=1,N1966,MIN(J1966,L1966))))^v01_CrowdingExp)</x:f>
        <x:v>0.00024569414295285325</x:v>
      </x:c>
      <x:c r="Q1966" s="9" t="n">
        <x:f>IF(D1966=1,INDEX(v01_WinterMult,G1966),1)</x:f>
        <x:v>1</x:v>
      </x:c>
      <x:c r="R1966" s="9" t="n">
        <x:f>H1966*Z1965*v01_WomenShare*v01_BaseFertility*INDEX(v01_FertMult,G1966)*Arch_Fertility*(1-P1966)</x:f>
        <x:v>0</x:v>
      </x:c>
      <x:c r="S1966" s="9" t="n">
        <x:f>H1966*Y1965*INDEX(v01_MortChild,G1966)/4*Q1966</x:f>
        <x:v>0</x:v>
      </x:c>
      <x:c r="T1966" s="9" t="n">
        <x:f>H1966*Z1965*INDEX(v01_MortAdult,G1966)*Arch_AdultMort/4*Q1966</x:f>
        <x:v>0</x:v>
      </x:c>
      <x:c r="U1966" s="9" t="n">
        <x:f>H1966*AA1965*INDEX(v01_MortElder,G1966)/4*Q1966</x:f>
        <x:v>0</x:v>
      </x:c>
      <x:c r="V1966" s="9" t="n">
        <x:f>H1966*MAX(0,AB1965-O1966)*v01_OvercapLoss</x:f>
        <x:v>0</x:v>
      </x:c>
      <x:c r="W1966" s="9" t="n">
        <x:f>H1966*Y1965/(v01_ChildYears*4)</x:f>
        <x:v>0</x:v>
      </x:c>
      <x:c r="X1966" s="9" t="n">
        <x:f>H1966*Z1965/(v01_AdultYears*4)</x:f>
        <x:v>0</x:v>
      </x:c>
      <x:c r="Y1966" s="32" t="n">
        <x:f>Y1965+R1966-S1966-W1966-Y1965*V1966/AB1965</x:f>
        <x:v>14306.18539759397</x:v>
      </x:c>
      <x:c r="Z1966" s="32" t="n">
        <x:f>Z1965+W1966-X1966-T1966-Z1965*V1966/AB1965</x:f>
        <x:v>19354.456567879548</x:v>
      </x:c>
      <x:c r="AA1966" s="32" t="n">
        <x:f>AA1965+X1966-U1966-AA1965*V1966/AB1965</x:f>
        <x:v>11386.956063258198</x:v>
      </x:c>
      <x:c r="AB1966" s="10" t="n">
        <x:f>Y1966+Z1966+AA1966</x:f>
        <x:v>45047.59802873172</x:v>
      </x:c>
      <x:c r="AC1966" s="8" t="n">
        <x:f>IF(AND(v01_WinterTrigger=1,D1966=1,AB1965/AE1965&gt;=K1966),1,0)</x:f>
        <x:v>0</x:v>
      </x:c>
      <x:c r="AD1966" s="8" t="n">
        <x:f>H1966*IF(AND(OR(AB1965/AE1965&gt;=v01_FissionTrigger*N1966,AC1966=1),AB1965/AE1965*v01_DaughterShare&gt;=v01_MinDaughter),MAX(1,ROUND(AE1965*v01_FissionRate,0)),0)</x:f>
        <x:v>0</x:v>
      </x:c>
      <x:c r="AE1966" s="8" t="n">
        <x:f>IF(H1966=1,MAX(1,MIN(INDEX(v01_Smax,G1966),AE1965+AD1966)),AE1965)</x:f>
        <x:v>15</x:v>
      </x:c>
      <x:c r="AF1966" s="8" t="n">
        <x:f>MAX(0,AE1966-AE1965)</x:f>
        <x:v>0</x:v>
      </x:c>
      <x:c r="AG1966" s="9" t="str">
        <x:f>IF(AF1966&gt;0,B1966,"")</x:f>
      </x:c>
      <x:c r="AH1966" s="9" t="n">
        <x:f>IF(F1966&gt;=1,1,(1+v01_LowTiesShare*(AE1966-1))/AE1966)</x:f>
        <x:v>1</x:v>
      </x:c>
      <x:c r="AI1966" s="32" t="n">
        <x:f>(Z1966+v01_ElderCommons*INDEX(LM_Elder,G1966)*AA1966)*AH1966</x:f>
        <x:v>64139.732591141874</x:v>
      </x:c>
      <x:c r="AJ1966" s="32" t="n">
        <x:f>H1966*v01_CommonsCoef*AI1966^v01_CommonsExp*INDEX(LM_Commons,G1966)</x:f>
        <x:v>0</x:v>
      </x:c>
      <x:c r="AK1966" s="32" t="n">
        <x:f>H1966*v01_RoleScale*Arch_Roles*(AE1966*(INDEX(v01_ElderRolePerSett,G1966)*v01_OutElder*INDEX(LM_Elder,G1966)+INDEX(v01_ShamanPerSett,G1966)*v01_OutShaman)+Z1966*(INDEX(v01_PriestShare,G1966)*v01_OutPriest+INDEX(v01_ScribeShare,G1966)*v01_OutScribe*INDEX(LM_Scribe,G1966)+INDEX(v01_ScholarShare,G1966)*v01_OutScholar*INDEX(LM_Scholar,G1966)+INDEX(v01_ResearcherShare,G1966)*v01_OutResearcher*INDEX(LM_Researcher,G1966)))</x:f>
        <x:v>0</x:v>
      </x:c>
      <x:c r="AL1966" s="32" t="n">
        <x:f>H1966*v01_RoleScale*Arch_Roles*AE1966*INDEX(v01_MonasteryPerSett,G1966)*v01_OutMonastery*INDEX(LM_Monastery,G1966)</x:f>
        <x:v>0</x:v>
      </x:c>
      <x:c r="AM1966" s="32" t="n">
        <x:f>(AJ1966+AK1966+AL1966)/4*INDEX(LM_All,G1966)*INDEX(v01_Boon,G1966)*Arch_Insight</x:f>
        <x:v>0</x:v>
      </x:c>
      <x:c r="AN1966" s="32" t="n">
        <x:f>H1966*(v01_KHPerAdult*Z1966+v01_KHOfCommons*AJ1966/4*INDEX(LM_All,G1966))*v01_KHUsable*Arch_KH</x:f>
        <x:v>0</x:v>
      </x:c>
      <x:c r="AO1966" s="32" t="n">
        <x:f>MIN(AP1965+AN1966,AM1966*v01_KHMaxRatio)</x:f>
        <x:v>0</x:v>
      </x:c>
      <x:c r="AP1966" s="32" t="n">
        <x:f>AP1965+AN1966-AO1966</x:f>
        <x:v>0</x:v>
      </x:c>
      <x:c r="AQ1966" s="32" t="n">
        <x:f>AM1966+AO1966</x:f>
        <x:v>0</x:v>
      </x:c>
      <x:c r="AR1966" s="10" t="n">
        <x:f>IF(H1966=1,INDEX(v01_Req,G1966),0)</x:f>
        <x:v>0</x:v>
      </x:c>
      <x:c r="AS1966" s="32" t="n">
        <x:f>IF(H1966=1,IF(E1966=1,AS1965-AR1965,AS1965)+AQ1966,0)</x:f>
        <x:v>0</x:v>
      </x:c>
      <x:c r="AT1966" s="11" t="n">
        <x:f>IF(AR1966&gt;0,MIN(1,AS1966/AR1966),1)</x:f>
        <x:v>1</x:v>
      </x:c>
      <x:c r="AU1966" s="10" t="n">
        <x:f>AB1966/INDEX(v01_RepScale,G1966)</x:f>
        <x:v>90.09519605746344</x:v>
      </x:c>
      <x:c r="AV1966" s="32" t="n">
        <x:f>AM1966*60/v01_SeasonSeconds</x:f>
        <x:v>0</x:v>
      </x:c>
    </x:row>
    <x:row r="1967">
      <x:c r="A1967" s="8" t="n">
        <x:f>A1966+1</x:f>
        <x:v>1964</x:v>
      </x:c>
      <x:c r="B1967" s="9" t="n">
        <x:f>A1967*v01_SeasonSeconds/60</x:f>
        <x:v>491</x:v>
      </x:c>
      <x:c r="C1967" s="9" t="n">
        <x:f>A1967/4</x:f>
        <x:v>491</x:v>
      </x:c>
      <x:c r="D1967" s="8" t="n">
        <x:f>IF(MOD(A1967,4)=0,1,0)</x:f>
        <x:v>1</x:v>
      </x:c>
      <x:c r="E1967" s="8" t="n">
        <x:f>IF(AND(F1966&lt;=9,AS1966&gt;=AR1966),1,0)</x:f>
        <x:v>0</x:v>
      </x:c>
      <x:c r="F1967" s="8" t="n">
        <x:f>MIN(10,F1966+E1967)</x:f>
        <x:v>10</x:v>
      </x:c>
      <x:c r="G1967" s="8" t="n">
        <x:f>MIN(F1967,9)+1</x:f>
        <x:v>10</x:v>
      </x:c>
      <x:c r="H1967" s="8" t="n">
        <x:f>IF(F1967&lt;=9,1,0)</x:f>
        <x:v>0</x:v>
      </x:c>
      <x:c r="I1967" s="9" t="n">
        <x:f>MIN(10,F1966+IF(AR1966&gt;0,MIN(1,AS1966/AR1966),1))</x:f>
        <x:v>10</x:v>
      </x:c>
      <x:c r="J1967" s="32" t="n">
        <x:f>INDEX(v01_FoodCap,G1967)*Arch_FoodCap*EXP(v01_CapsByProject*SUMPRODUCT((Cap_Point&lt;=I1967)*(Cap_Kind="Food")*Cap_Ln))</x:f>
        <x:v>12000</x:v>
      </x:c>
      <x:c r="K1967" s="32" t="n">
        <x:f>J1967*MIN(1,v01_LeanBase*EXP(v01_CapsByProject*SUMPRODUCT((Cap_Point&lt;=I1967)*(Cap_Kind="Lean")*Cap_Ln)))</x:f>
        <x:v>12000</x:v>
      </x:c>
      <x:c r="L1967" s="10" t="n">
        <x:f>INDEX(v01_HousingCap,G1967)*EXP(v01_CapsByProject*SUMPRODUCT((Cap_Point&lt;=I1967)*(Cap_Kind="Housing")*Cap_Ln))</x:f>
        <x:v>20000</x:v>
      </x:c>
      <x:c r="M1967" s="10" t="n">
        <x:f>INDEX(v01_GroupCap,G1967)*v01_CohesionFactor*EXP(v01_CapsByProject*SUMPRODUCT((Cap_Point&lt;=I1967)*(Cap_Kind="Group")*Cap_Ln))</x:f>
        <x:v>1000000</x:v>
      </x:c>
      <x:c r="N1967" s="32" t="n">
        <x:f>MIN(J1967,L1967,M1967)</x:f>
        <x:v>12000</x:v>
      </x:c>
      <x:c r="O1967" s="10" t="n">
        <x:f>AE1966*N1967</x:f>
        <x:v>180000</x:v>
      </x:c>
      <x:c r="P1967" s="9" t="n">
        <x:f>MIN(1,(AB1966/(AE1966*IF(v01_GroupInCrowding=1,N1967,MIN(J1967,L1967))))^v01_CrowdingExp)</x:f>
        <x:v>0.00024569414295285325</x:v>
      </x:c>
      <x:c r="Q1967" s="9" t="n">
        <x:f>IF(D1967=1,INDEX(v01_WinterMult,G1967),1)</x:f>
        <x:v>1</x:v>
      </x:c>
      <x:c r="R1967" s="9" t="n">
        <x:f>H1967*Z1966*v01_WomenShare*v01_BaseFertility*INDEX(v01_FertMult,G1967)*Arch_Fertility*(1-P1967)</x:f>
        <x:v>0</x:v>
      </x:c>
      <x:c r="S1967" s="9" t="n">
        <x:f>H1967*Y1966*INDEX(v01_MortChild,G1967)/4*Q1967</x:f>
        <x:v>0</x:v>
      </x:c>
      <x:c r="T1967" s="9" t="n">
        <x:f>H1967*Z1966*INDEX(v01_MortAdult,G1967)*Arch_AdultMort/4*Q1967</x:f>
        <x:v>0</x:v>
      </x:c>
      <x:c r="U1967" s="9" t="n">
        <x:f>H1967*AA1966*INDEX(v01_MortElder,G1967)/4*Q1967</x:f>
        <x:v>0</x:v>
      </x:c>
      <x:c r="V1967" s="9" t="n">
        <x:f>H1967*MAX(0,AB1966-O1967)*v01_OvercapLoss</x:f>
        <x:v>0</x:v>
      </x:c>
      <x:c r="W1967" s="9" t="n">
        <x:f>H1967*Y1966/(v01_ChildYears*4)</x:f>
        <x:v>0</x:v>
      </x:c>
      <x:c r="X1967" s="9" t="n">
        <x:f>H1967*Z1966/(v01_AdultYears*4)</x:f>
        <x:v>0</x:v>
      </x:c>
      <x:c r="Y1967" s="32" t="n">
        <x:f>Y1966+R1967-S1967-W1967-Y1966*V1967/AB1966</x:f>
        <x:v>14306.18539759397</x:v>
      </x:c>
      <x:c r="Z1967" s="32" t="n">
        <x:f>Z1966+W1967-X1967-T1967-Z1966*V1967/AB1966</x:f>
        <x:v>19354.456567879548</x:v>
      </x:c>
      <x:c r="AA1967" s="32" t="n">
        <x:f>AA1966+X1967-U1967-AA1966*V1967/AB1966</x:f>
        <x:v>11386.956063258198</x:v>
      </x:c>
      <x:c r="AB1967" s="10" t="n">
        <x:f>Y1967+Z1967+AA1967</x:f>
        <x:v>45047.59802873172</x:v>
      </x:c>
      <x:c r="AC1967" s="8" t="n">
        <x:f>IF(AND(v01_WinterTrigger=1,D1967=1,AB1966/AE1966&gt;=K1967),1,0)</x:f>
        <x:v>0</x:v>
      </x:c>
      <x:c r="AD1967" s="8" t="n">
        <x:f>H1967*IF(AND(OR(AB1966/AE1966&gt;=v01_FissionTrigger*N1967,AC1967=1),AB1966/AE1966*v01_DaughterShare&gt;=v01_MinDaughter),MAX(1,ROUND(AE1966*v01_FissionRate,0)),0)</x:f>
        <x:v>0</x:v>
      </x:c>
      <x:c r="AE1967" s="8" t="n">
        <x:f>IF(H1967=1,MAX(1,MIN(INDEX(v01_Smax,G1967),AE1966+AD1967)),AE1966)</x:f>
        <x:v>15</x:v>
      </x:c>
      <x:c r="AF1967" s="8" t="n">
        <x:f>MAX(0,AE1967-AE1966)</x:f>
        <x:v>0</x:v>
      </x:c>
      <x:c r="AG1967" s="9" t="str">
        <x:f>IF(AF1967&gt;0,B1967,"")</x:f>
      </x:c>
      <x:c r="AH1967" s="9" t="n">
        <x:f>IF(F1967&gt;=1,1,(1+v01_LowTiesShare*(AE1967-1))/AE1967)</x:f>
        <x:v>1</x:v>
      </x:c>
      <x:c r="AI1967" s="32" t="n">
        <x:f>(Z1967+v01_ElderCommons*INDEX(LM_Elder,G1967)*AA1967)*AH1967</x:f>
        <x:v>64139.732591141874</x:v>
      </x:c>
      <x:c r="AJ1967" s="32" t="n">
        <x:f>H1967*v01_CommonsCoef*AI1967^v01_CommonsExp*INDEX(LM_Commons,G1967)</x:f>
        <x:v>0</x:v>
      </x:c>
      <x:c r="AK1967" s="32" t="n">
        <x:f>H1967*v01_RoleScale*Arch_Roles*(AE1967*(INDEX(v01_ElderRolePerSett,G1967)*v01_OutElder*INDEX(LM_Elder,G1967)+INDEX(v01_ShamanPerSett,G1967)*v01_OutShaman)+Z1967*(INDEX(v01_PriestShare,G1967)*v01_OutPriest+INDEX(v01_ScribeShare,G1967)*v01_OutScribe*INDEX(LM_Scribe,G1967)+INDEX(v01_ScholarShare,G1967)*v01_OutScholar*INDEX(LM_Scholar,G1967)+INDEX(v01_ResearcherShare,G1967)*v01_OutResearcher*INDEX(LM_Researcher,G1967)))</x:f>
        <x:v>0</x:v>
      </x:c>
      <x:c r="AL1967" s="32" t="n">
        <x:f>H1967*v01_RoleScale*Arch_Roles*AE1967*INDEX(v01_MonasteryPerSett,G1967)*v01_OutMonastery*INDEX(LM_Monastery,G1967)</x:f>
        <x:v>0</x:v>
      </x:c>
      <x:c r="AM1967" s="32" t="n">
        <x:f>(AJ1967+AK1967+AL1967)/4*INDEX(LM_All,G1967)*INDEX(v01_Boon,G1967)*Arch_Insight</x:f>
        <x:v>0</x:v>
      </x:c>
      <x:c r="AN1967" s="32" t="n">
        <x:f>H1967*(v01_KHPerAdult*Z1967+v01_KHOfCommons*AJ1967/4*INDEX(LM_All,G1967))*v01_KHUsable*Arch_KH</x:f>
        <x:v>0</x:v>
      </x:c>
      <x:c r="AO1967" s="32" t="n">
        <x:f>MIN(AP1966+AN1967,AM1967*v01_KHMaxRatio)</x:f>
        <x:v>0</x:v>
      </x:c>
      <x:c r="AP1967" s="32" t="n">
        <x:f>AP1966+AN1967-AO1967</x:f>
        <x:v>0</x:v>
      </x:c>
      <x:c r="AQ1967" s="32" t="n">
        <x:f>AM1967+AO1967</x:f>
        <x:v>0</x:v>
      </x:c>
      <x:c r="AR1967" s="10" t="n">
        <x:f>IF(H1967=1,INDEX(v01_Req,G1967),0)</x:f>
        <x:v>0</x:v>
      </x:c>
      <x:c r="AS1967" s="32" t="n">
        <x:f>IF(H1967=1,IF(E1967=1,AS1966-AR1966,AS1966)+AQ1967,0)</x:f>
        <x:v>0</x:v>
      </x:c>
      <x:c r="AT1967" s="11" t="n">
        <x:f>IF(AR1967&gt;0,MIN(1,AS1967/AR1967),1)</x:f>
        <x:v>1</x:v>
      </x:c>
      <x:c r="AU1967" s="10" t="n">
        <x:f>AB1967/INDEX(v01_RepScale,G1967)</x:f>
        <x:v>90.09519605746344</x:v>
      </x:c>
      <x:c r="AV1967" s="32" t="n">
        <x:f>AM1967*60/v01_SeasonSeconds</x:f>
        <x:v>0</x:v>
      </x:c>
    </x:row>
    <x:row r="1968">
      <x:c r="A1968" s="8" t="n">
        <x:f>A1967+1</x:f>
        <x:v>1965</x:v>
      </x:c>
      <x:c r="B1968" s="9" t="n">
        <x:f>A1968*v01_SeasonSeconds/60</x:f>
        <x:v>491.25</x:v>
      </x:c>
      <x:c r="C1968" s="9" t="n">
        <x:f>A1968/4</x:f>
        <x:v>491.25</x:v>
      </x:c>
      <x:c r="D1968" s="8" t="n">
        <x:f>IF(MOD(A1968,4)=0,1,0)</x:f>
        <x:v>0</x:v>
      </x:c>
      <x:c r="E1968" s="8" t="n">
        <x:f>IF(AND(F1967&lt;=9,AS1967&gt;=AR1967),1,0)</x:f>
        <x:v>0</x:v>
      </x:c>
      <x:c r="F1968" s="8" t="n">
        <x:f>MIN(10,F1967+E1968)</x:f>
        <x:v>10</x:v>
      </x:c>
      <x:c r="G1968" s="8" t="n">
        <x:f>MIN(F1968,9)+1</x:f>
        <x:v>10</x:v>
      </x:c>
      <x:c r="H1968" s="8" t="n">
        <x:f>IF(F1968&lt;=9,1,0)</x:f>
        <x:v>0</x:v>
      </x:c>
      <x:c r="I1968" s="9" t="n">
        <x:f>MIN(10,F1967+IF(AR1967&gt;0,MIN(1,AS1967/AR1967),1))</x:f>
        <x:v>10</x:v>
      </x:c>
      <x:c r="J1968" s="32" t="n">
        <x:f>INDEX(v01_FoodCap,G1968)*Arch_FoodCap*EXP(v01_CapsByProject*SUMPRODUCT((Cap_Point&lt;=I1968)*(Cap_Kind="Food")*Cap_Ln))</x:f>
        <x:v>12000</x:v>
      </x:c>
      <x:c r="K1968" s="32" t="n">
        <x:f>J1968*MIN(1,v01_LeanBase*EXP(v01_CapsByProject*SUMPRODUCT((Cap_Point&lt;=I1968)*(Cap_Kind="Lean")*Cap_Ln)))</x:f>
        <x:v>12000</x:v>
      </x:c>
      <x:c r="L1968" s="10" t="n">
        <x:f>INDEX(v01_HousingCap,G1968)*EXP(v01_CapsByProject*SUMPRODUCT((Cap_Point&lt;=I1968)*(Cap_Kind="Housing")*Cap_Ln))</x:f>
        <x:v>20000</x:v>
      </x:c>
      <x:c r="M1968" s="10" t="n">
        <x:f>INDEX(v01_GroupCap,G1968)*v01_CohesionFactor*EXP(v01_CapsByProject*SUMPRODUCT((Cap_Point&lt;=I1968)*(Cap_Kind="Group")*Cap_Ln))</x:f>
        <x:v>1000000</x:v>
      </x:c>
      <x:c r="N1968" s="32" t="n">
        <x:f>MIN(J1968,L1968,M1968)</x:f>
        <x:v>12000</x:v>
      </x:c>
      <x:c r="O1968" s="10" t="n">
        <x:f>AE1967*N1968</x:f>
        <x:v>180000</x:v>
      </x:c>
      <x:c r="P1968" s="9" t="n">
        <x:f>MIN(1,(AB1967/(AE1967*IF(v01_GroupInCrowding=1,N1968,MIN(J1968,L1968))))^v01_CrowdingExp)</x:f>
        <x:v>0.00024569414295285325</x:v>
      </x:c>
      <x:c r="Q1968" s="9" t="n">
        <x:f>IF(D1968=1,INDEX(v01_WinterMult,G1968),1)</x:f>
        <x:v>1</x:v>
      </x:c>
      <x:c r="R1968" s="9" t="n">
        <x:f>H1968*Z1967*v01_WomenShare*v01_BaseFertility*INDEX(v01_FertMult,G1968)*Arch_Fertility*(1-P1968)</x:f>
        <x:v>0</x:v>
      </x:c>
      <x:c r="S1968" s="9" t="n">
        <x:f>H1968*Y1967*INDEX(v01_MortChild,G1968)/4*Q1968</x:f>
        <x:v>0</x:v>
      </x:c>
      <x:c r="T1968" s="9" t="n">
        <x:f>H1968*Z1967*INDEX(v01_MortAdult,G1968)*Arch_AdultMort/4*Q1968</x:f>
        <x:v>0</x:v>
      </x:c>
      <x:c r="U1968" s="9" t="n">
        <x:f>H1968*AA1967*INDEX(v01_MortElder,G1968)/4*Q1968</x:f>
        <x:v>0</x:v>
      </x:c>
      <x:c r="V1968" s="9" t="n">
        <x:f>H1968*MAX(0,AB1967-O1968)*v01_OvercapLoss</x:f>
        <x:v>0</x:v>
      </x:c>
      <x:c r="W1968" s="9" t="n">
        <x:f>H1968*Y1967/(v01_ChildYears*4)</x:f>
        <x:v>0</x:v>
      </x:c>
      <x:c r="X1968" s="9" t="n">
        <x:f>H1968*Z1967/(v01_AdultYears*4)</x:f>
        <x:v>0</x:v>
      </x:c>
      <x:c r="Y1968" s="32" t="n">
        <x:f>Y1967+R1968-S1968-W1968-Y1967*V1968/AB1967</x:f>
        <x:v>14306.18539759397</x:v>
      </x:c>
      <x:c r="Z1968" s="32" t="n">
        <x:f>Z1967+W1968-X1968-T1968-Z1967*V1968/AB1967</x:f>
        <x:v>19354.456567879548</x:v>
      </x:c>
      <x:c r="AA1968" s="32" t="n">
        <x:f>AA1967+X1968-U1968-AA1967*V1968/AB1967</x:f>
        <x:v>11386.956063258198</x:v>
      </x:c>
      <x:c r="AB1968" s="10" t="n">
        <x:f>Y1968+Z1968+AA1968</x:f>
        <x:v>45047.59802873172</x:v>
      </x:c>
      <x:c r="AC1968" s="8" t="n">
        <x:f>IF(AND(v01_WinterTrigger=1,D1968=1,AB1967/AE1967&gt;=K1968),1,0)</x:f>
        <x:v>0</x:v>
      </x:c>
      <x:c r="AD1968" s="8" t="n">
        <x:f>H1968*IF(AND(OR(AB1967/AE1967&gt;=v01_FissionTrigger*N1968,AC1968=1),AB1967/AE1967*v01_DaughterShare&gt;=v01_MinDaughter),MAX(1,ROUND(AE1967*v01_FissionRate,0)),0)</x:f>
        <x:v>0</x:v>
      </x:c>
      <x:c r="AE1968" s="8" t="n">
        <x:f>IF(H1968=1,MAX(1,MIN(INDEX(v01_Smax,G1968),AE1967+AD1968)),AE1967)</x:f>
        <x:v>15</x:v>
      </x:c>
      <x:c r="AF1968" s="8" t="n">
        <x:f>MAX(0,AE1968-AE1967)</x:f>
        <x:v>0</x:v>
      </x:c>
      <x:c r="AG1968" s="9" t="str">
        <x:f>IF(AF1968&gt;0,B1968,"")</x:f>
      </x:c>
      <x:c r="AH1968" s="9" t="n">
        <x:f>IF(F1968&gt;=1,1,(1+v01_LowTiesShare*(AE1968-1))/AE1968)</x:f>
        <x:v>1</x:v>
      </x:c>
      <x:c r="AI1968" s="32" t="n">
        <x:f>(Z1968+v01_ElderCommons*INDEX(LM_Elder,G1968)*AA1968)*AH1968</x:f>
        <x:v>64139.732591141874</x:v>
      </x:c>
      <x:c r="AJ1968" s="32" t="n">
        <x:f>H1968*v01_CommonsCoef*AI1968^v01_CommonsExp*INDEX(LM_Commons,G1968)</x:f>
        <x:v>0</x:v>
      </x:c>
      <x:c r="AK1968" s="32" t="n">
        <x:f>H1968*v01_RoleScale*Arch_Roles*(AE1968*(INDEX(v01_ElderRolePerSett,G1968)*v01_OutElder*INDEX(LM_Elder,G1968)+INDEX(v01_ShamanPerSett,G1968)*v01_OutShaman)+Z1968*(INDEX(v01_PriestShare,G1968)*v01_OutPriest+INDEX(v01_ScribeShare,G1968)*v01_OutScribe*INDEX(LM_Scribe,G1968)+INDEX(v01_ScholarShare,G1968)*v01_OutScholar*INDEX(LM_Scholar,G1968)+INDEX(v01_ResearcherShare,G1968)*v01_OutResearcher*INDEX(LM_Researcher,G1968)))</x:f>
        <x:v>0</x:v>
      </x:c>
      <x:c r="AL1968" s="32" t="n">
        <x:f>H1968*v01_RoleScale*Arch_Roles*AE1968*INDEX(v01_MonasteryPerSett,G1968)*v01_OutMonastery*INDEX(LM_Monastery,G1968)</x:f>
        <x:v>0</x:v>
      </x:c>
      <x:c r="AM1968" s="32" t="n">
        <x:f>(AJ1968+AK1968+AL1968)/4*INDEX(LM_All,G1968)*INDEX(v01_Boon,G1968)*Arch_Insight</x:f>
        <x:v>0</x:v>
      </x:c>
      <x:c r="AN1968" s="32" t="n">
        <x:f>H1968*(v01_KHPerAdult*Z1968+v01_KHOfCommons*AJ1968/4*INDEX(LM_All,G1968))*v01_KHUsable*Arch_KH</x:f>
        <x:v>0</x:v>
      </x:c>
      <x:c r="AO1968" s="32" t="n">
        <x:f>MIN(AP1967+AN1968,AM1968*v01_KHMaxRatio)</x:f>
        <x:v>0</x:v>
      </x:c>
      <x:c r="AP1968" s="32" t="n">
        <x:f>AP1967+AN1968-AO1968</x:f>
        <x:v>0</x:v>
      </x:c>
      <x:c r="AQ1968" s="32" t="n">
        <x:f>AM1968+AO1968</x:f>
        <x:v>0</x:v>
      </x:c>
      <x:c r="AR1968" s="10" t="n">
        <x:f>IF(H1968=1,INDEX(v01_Req,G1968),0)</x:f>
        <x:v>0</x:v>
      </x:c>
      <x:c r="AS1968" s="32" t="n">
        <x:f>IF(H1968=1,IF(E1968=1,AS1967-AR1967,AS1967)+AQ1968,0)</x:f>
        <x:v>0</x:v>
      </x:c>
      <x:c r="AT1968" s="11" t="n">
        <x:f>IF(AR1968&gt;0,MIN(1,AS1968/AR1968),1)</x:f>
        <x:v>1</x:v>
      </x:c>
      <x:c r="AU1968" s="10" t="n">
        <x:f>AB1968/INDEX(v01_RepScale,G1968)</x:f>
        <x:v>90.09519605746344</x:v>
      </x:c>
      <x:c r="AV1968" s="32" t="n">
        <x:f>AM1968*60/v01_SeasonSeconds</x:f>
        <x:v>0</x:v>
      </x:c>
    </x:row>
    <x:row r="1969">
      <x:c r="A1969" s="8" t="n">
        <x:f>A1968+1</x:f>
        <x:v>1966</x:v>
      </x:c>
      <x:c r="B1969" s="9" t="n">
        <x:f>A1969*v01_SeasonSeconds/60</x:f>
        <x:v>491.5</x:v>
      </x:c>
      <x:c r="C1969" s="9" t="n">
        <x:f>A1969/4</x:f>
        <x:v>491.5</x:v>
      </x:c>
      <x:c r="D1969" s="8" t="n">
        <x:f>IF(MOD(A1969,4)=0,1,0)</x:f>
        <x:v>0</x:v>
      </x:c>
      <x:c r="E1969" s="8" t="n">
        <x:f>IF(AND(F1968&lt;=9,AS1968&gt;=AR1968),1,0)</x:f>
        <x:v>0</x:v>
      </x:c>
      <x:c r="F1969" s="8" t="n">
        <x:f>MIN(10,F1968+E1969)</x:f>
        <x:v>10</x:v>
      </x:c>
      <x:c r="G1969" s="8" t="n">
        <x:f>MIN(F1969,9)+1</x:f>
        <x:v>10</x:v>
      </x:c>
      <x:c r="H1969" s="8" t="n">
        <x:f>IF(F1969&lt;=9,1,0)</x:f>
        <x:v>0</x:v>
      </x:c>
      <x:c r="I1969" s="9" t="n">
        <x:f>MIN(10,F1968+IF(AR1968&gt;0,MIN(1,AS1968/AR1968),1))</x:f>
        <x:v>10</x:v>
      </x:c>
      <x:c r="J1969" s="32" t="n">
        <x:f>INDEX(v01_FoodCap,G1969)*Arch_FoodCap*EXP(v01_CapsByProject*SUMPRODUCT((Cap_Point&lt;=I1969)*(Cap_Kind="Food")*Cap_Ln))</x:f>
        <x:v>12000</x:v>
      </x:c>
      <x:c r="K1969" s="32" t="n">
        <x:f>J1969*MIN(1,v01_LeanBase*EXP(v01_CapsByProject*SUMPRODUCT((Cap_Point&lt;=I1969)*(Cap_Kind="Lean")*Cap_Ln)))</x:f>
        <x:v>12000</x:v>
      </x:c>
      <x:c r="L1969" s="10" t="n">
        <x:f>INDEX(v01_HousingCap,G1969)*EXP(v01_CapsByProject*SUMPRODUCT((Cap_Point&lt;=I1969)*(Cap_Kind="Housing")*Cap_Ln))</x:f>
        <x:v>20000</x:v>
      </x:c>
      <x:c r="M1969" s="10" t="n">
        <x:f>INDEX(v01_GroupCap,G1969)*v01_CohesionFactor*EXP(v01_CapsByProject*SUMPRODUCT((Cap_Point&lt;=I1969)*(Cap_Kind="Group")*Cap_Ln))</x:f>
        <x:v>1000000</x:v>
      </x:c>
      <x:c r="N1969" s="32" t="n">
        <x:f>MIN(J1969,L1969,M1969)</x:f>
        <x:v>12000</x:v>
      </x:c>
      <x:c r="O1969" s="10" t="n">
        <x:f>AE1968*N1969</x:f>
        <x:v>180000</x:v>
      </x:c>
      <x:c r="P1969" s="9" t="n">
        <x:f>MIN(1,(AB1968/(AE1968*IF(v01_GroupInCrowding=1,N1969,MIN(J1969,L1969))))^v01_CrowdingExp)</x:f>
        <x:v>0.00024569414295285325</x:v>
      </x:c>
      <x:c r="Q1969" s="9" t="n">
        <x:f>IF(D1969=1,INDEX(v01_WinterMult,G1969),1)</x:f>
        <x:v>1</x:v>
      </x:c>
      <x:c r="R1969" s="9" t="n">
        <x:f>H1969*Z1968*v01_WomenShare*v01_BaseFertility*INDEX(v01_FertMult,G1969)*Arch_Fertility*(1-P1969)</x:f>
        <x:v>0</x:v>
      </x:c>
      <x:c r="S1969" s="9" t="n">
        <x:f>H1969*Y1968*INDEX(v01_MortChild,G1969)/4*Q1969</x:f>
        <x:v>0</x:v>
      </x:c>
      <x:c r="T1969" s="9" t="n">
        <x:f>H1969*Z1968*INDEX(v01_MortAdult,G1969)*Arch_AdultMort/4*Q1969</x:f>
        <x:v>0</x:v>
      </x:c>
      <x:c r="U1969" s="9" t="n">
        <x:f>H1969*AA1968*INDEX(v01_MortElder,G1969)/4*Q1969</x:f>
        <x:v>0</x:v>
      </x:c>
      <x:c r="V1969" s="9" t="n">
        <x:f>H1969*MAX(0,AB1968-O1969)*v01_OvercapLoss</x:f>
        <x:v>0</x:v>
      </x:c>
      <x:c r="W1969" s="9" t="n">
        <x:f>H1969*Y1968/(v01_ChildYears*4)</x:f>
        <x:v>0</x:v>
      </x:c>
      <x:c r="X1969" s="9" t="n">
        <x:f>H1969*Z1968/(v01_AdultYears*4)</x:f>
        <x:v>0</x:v>
      </x:c>
      <x:c r="Y1969" s="32" t="n">
        <x:f>Y1968+R1969-S1969-W1969-Y1968*V1969/AB1968</x:f>
        <x:v>14306.18539759397</x:v>
      </x:c>
      <x:c r="Z1969" s="32" t="n">
        <x:f>Z1968+W1969-X1969-T1969-Z1968*V1969/AB1968</x:f>
        <x:v>19354.456567879548</x:v>
      </x:c>
      <x:c r="AA1969" s="32" t="n">
        <x:f>AA1968+X1969-U1969-AA1968*V1969/AB1968</x:f>
        <x:v>11386.956063258198</x:v>
      </x:c>
      <x:c r="AB1969" s="10" t="n">
        <x:f>Y1969+Z1969+AA1969</x:f>
        <x:v>45047.59802873172</x:v>
      </x:c>
      <x:c r="AC1969" s="8" t="n">
        <x:f>IF(AND(v01_WinterTrigger=1,D1969=1,AB1968/AE1968&gt;=K1969),1,0)</x:f>
        <x:v>0</x:v>
      </x:c>
      <x:c r="AD1969" s="8" t="n">
        <x:f>H1969*IF(AND(OR(AB1968/AE1968&gt;=v01_FissionTrigger*N1969,AC1969=1),AB1968/AE1968*v01_DaughterShare&gt;=v01_MinDaughter),MAX(1,ROUND(AE1968*v01_FissionRate,0)),0)</x:f>
        <x:v>0</x:v>
      </x:c>
      <x:c r="AE1969" s="8" t="n">
        <x:f>IF(H1969=1,MAX(1,MIN(INDEX(v01_Smax,G1969),AE1968+AD1969)),AE1968)</x:f>
        <x:v>15</x:v>
      </x:c>
      <x:c r="AF1969" s="8" t="n">
        <x:f>MAX(0,AE1969-AE1968)</x:f>
        <x:v>0</x:v>
      </x:c>
      <x:c r="AG1969" s="9" t="str">
        <x:f>IF(AF1969&gt;0,B1969,"")</x:f>
      </x:c>
      <x:c r="AH1969" s="9" t="n">
        <x:f>IF(F1969&gt;=1,1,(1+v01_LowTiesShare*(AE1969-1))/AE1969)</x:f>
        <x:v>1</x:v>
      </x:c>
      <x:c r="AI1969" s="32" t="n">
        <x:f>(Z1969+v01_ElderCommons*INDEX(LM_Elder,G1969)*AA1969)*AH1969</x:f>
        <x:v>64139.732591141874</x:v>
      </x:c>
      <x:c r="AJ1969" s="32" t="n">
        <x:f>H1969*v01_CommonsCoef*AI1969^v01_CommonsExp*INDEX(LM_Commons,G1969)</x:f>
        <x:v>0</x:v>
      </x:c>
      <x:c r="AK1969" s="32" t="n">
        <x:f>H1969*v01_RoleScale*Arch_Roles*(AE1969*(INDEX(v01_ElderRolePerSett,G1969)*v01_OutElder*INDEX(LM_Elder,G1969)+INDEX(v01_ShamanPerSett,G1969)*v01_OutShaman)+Z1969*(INDEX(v01_PriestShare,G1969)*v01_OutPriest+INDEX(v01_ScribeShare,G1969)*v01_OutScribe*INDEX(LM_Scribe,G1969)+INDEX(v01_ScholarShare,G1969)*v01_OutScholar*INDEX(LM_Scholar,G1969)+INDEX(v01_ResearcherShare,G1969)*v01_OutResearcher*INDEX(LM_Researcher,G1969)))</x:f>
        <x:v>0</x:v>
      </x:c>
      <x:c r="AL1969" s="32" t="n">
        <x:f>H1969*v01_RoleScale*Arch_Roles*AE1969*INDEX(v01_MonasteryPerSett,G1969)*v01_OutMonastery*INDEX(LM_Monastery,G1969)</x:f>
        <x:v>0</x:v>
      </x:c>
      <x:c r="AM1969" s="32" t="n">
        <x:f>(AJ1969+AK1969+AL1969)/4*INDEX(LM_All,G1969)*INDEX(v01_Boon,G1969)*Arch_Insight</x:f>
        <x:v>0</x:v>
      </x:c>
      <x:c r="AN1969" s="32" t="n">
        <x:f>H1969*(v01_KHPerAdult*Z1969+v01_KHOfCommons*AJ1969/4*INDEX(LM_All,G1969))*v01_KHUsable*Arch_KH</x:f>
        <x:v>0</x:v>
      </x:c>
      <x:c r="AO1969" s="32" t="n">
        <x:f>MIN(AP1968+AN1969,AM1969*v01_KHMaxRatio)</x:f>
        <x:v>0</x:v>
      </x:c>
      <x:c r="AP1969" s="32" t="n">
        <x:f>AP1968+AN1969-AO1969</x:f>
        <x:v>0</x:v>
      </x:c>
      <x:c r="AQ1969" s="32" t="n">
        <x:f>AM1969+AO1969</x:f>
        <x:v>0</x:v>
      </x:c>
      <x:c r="AR1969" s="10" t="n">
        <x:f>IF(H1969=1,INDEX(v01_Req,G1969),0)</x:f>
        <x:v>0</x:v>
      </x:c>
      <x:c r="AS1969" s="32" t="n">
        <x:f>IF(H1969=1,IF(E1969=1,AS1968-AR1968,AS1968)+AQ1969,0)</x:f>
        <x:v>0</x:v>
      </x:c>
      <x:c r="AT1969" s="11" t="n">
        <x:f>IF(AR1969&gt;0,MIN(1,AS1969/AR1969),1)</x:f>
        <x:v>1</x:v>
      </x:c>
      <x:c r="AU1969" s="10" t="n">
        <x:f>AB1969/INDEX(v01_RepScale,G1969)</x:f>
        <x:v>90.09519605746344</x:v>
      </x:c>
      <x:c r="AV1969" s="32" t="n">
        <x:f>AM1969*60/v01_SeasonSeconds</x:f>
        <x:v>0</x:v>
      </x:c>
    </x:row>
    <x:row r="1970">
      <x:c r="A1970" s="8" t="n">
        <x:f>A1969+1</x:f>
        <x:v>1967</x:v>
      </x:c>
      <x:c r="B1970" s="9" t="n">
        <x:f>A1970*v01_SeasonSeconds/60</x:f>
        <x:v>491.75</x:v>
      </x:c>
      <x:c r="C1970" s="9" t="n">
        <x:f>A1970/4</x:f>
        <x:v>491.75</x:v>
      </x:c>
      <x:c r="D1970" s="8" t="n">
        <x:f>IF(MOD(A1970,4)=0,1,0)</x:f>
        <x:v>0</x:v>
      </x:c>
      <x:c r="E1970" s="8" t="n">
        <x:f>IF(AND(F1969&lt;=9,AS1969&gt;=AR1969),1,0)</x:f>
        <x:v>0</x:v>
      </x:c>
      <x:c r="F1970" s="8" t="n">
        <x:f>MIN(10,F1969+E1970)</x:f>
        <x:v>10</x:v>
      </x:c>
      <x:c r="G1970" s="8" t="n">
        <x:f>MIN(F1970,9)+1</x:f>
        <x:v>10</x:v>
      </x:c>
      <x:c r="H1970" s="8" t="n">
        <x:f>IF(F1970&lt;=9,1,0)</x:f>
        <x:v>0</x:v>
      </x:c>
      <x:c r="I1970" s="9" t="n">
        <x:f>MIN(10,F1969+IF(AR1969&gt;0,MIN(1,AS1969/AR1969),1))</x:f>
        <x:v>10</x:v>
      </x:c>
      <x:c r="J1970" s="32" t="n">
        <x:f>INDEX(v01_FoodCap,G1970)*Arch_FoodCap*EXP(v01_CapsByProject*SUMPRODUCT((Cap_Point&lt;=I1970)*(Cap_Kind="Food")*Cap_Ln))</x:f>
        <x:v>12000</x:v>
      </x:c>
      <x:c r="K1970" s="32" t="n">
        <x:f>J1970*MIN(1,v01_LeanBase*EXP(v01_CapsByProject*SUMPRODUCT((Cap_Point&lt;=I1970)*(Cap_Kind="Lean")*Cap_Ln)))</x:f>
        <x:v>12000</x:v>
      </x:c>
      <x:c r="L1970" s="10" t="n">
        <x:f>INDEX(v01_HousingCap,G1970)*EXP(v01_CapsByProject*SUMPRODUCT((Cap_Point&lt;=I1970)*(Cap_Kind="Housing")*Cap_Ln))</x:f>
        <x:v>20000</x:v>
      </x:c>
      <x:c r="M1970" s="10" t="n">
        <x:f>INDEX(v01_GroupCap,G1970)*v01_CohesionFactor*EXP(v01_CapsByProject*SUMPRODUCT((Cap_Point&lt;=I1970)*(Cap_Kind="Group")*Cap_Ln))</x:f>
        <x:v>1000000</x:v>
      </x:c>
      <x:c r="N1970" s="32" t="n">
        <x:f>MIN(J1970,L1970,M1970)</x:f>
        <x:v>12000</x:v>
      </x:c>
      <x:c r="O1970" s="10" t="n">
        <x:f>AE1969*N1970</x:f>
        <x:v>180000</x:v>
      </x:c>
      <x:c r="P1970" s="9" t="n">
        <x:f>MIN(1,(AB1969/(AE1969*IF(v01_GroupInCrowding=1,N1970,MIN(J1970,L1970))))^v01_CrowdingExp)</x:f>
        <x:v>0.00024569414295285325</x:v>
      </x:c>
      <x:c r="Q1970" s="9" t="n">
        <x:f>IF(D1970=1,INDEX(v01_WinterMult,G1970),1)</x:f>
        <x:v>1</x:v>
      </x:c>
      <x:c r="R1970" s="9" t="n">
        <x:f>H1970*Z1969*v01_WomenShare*v01_BaseFertility*INDEX(v01_FertMult,G1970)*Arch_Fertility*(1-P1970)</x:f>
        <x:v>0</x:v>
      </x:c>
      <x:c r="S1970" s="9" t="n">
        <x:f>H1970*Y1969*INDEX(v01_MortChild,G1970)/4*Q1970</x:f>
        <x:v>0</x:v>
      </x:c>
      <x:c r="T1970" s="9" t="n">
        <x:f>H1970*Z1969*INDEX(v01_MortAdult,G1970)*Arch_AdultMort/4*Q1970</x:f>
        <x:v>0</x:v>
      </x:c>
      <x:c r="U1970" s="9" t="n">
        <x:f>H1970*AA1969*INDEX(v01_MortElder,G1970)/4*Q1970</x:f>
        <x:v>0</x:v>
      </x:c>
      <x:c r="V1970" s="9" t="n">
        <x:f>H1970*MAX(0,AB1969-O1970)*v01_OvercapLoss</x:f>
        <x:v>0</x:v>
      </x:c>
      <x:c r="W1970" s="9" t="n">
        <x:f>H1970*Y1969/(v01_ChildYears*4)</x:f>
        <x:v>0</x:v>
      </x:c>
      <x:c r="X1970" s="9" t="n">
        <x:f>H1970*Z1969/(v01_AdultYears*4)</x:f>
        <x:v>0</x:v>
      </x:c>
      <x:c r="Y1970" s="32" t="n">
        <x:f>Y1969+R1970-S1970-W1970-Y1969*V1970/AB1969</x:f>
        <x:v>14306.18539759397</x:v>
      </x:c>
      <x:c r="Z1970" s="32" t="n">
        <x:f>Z1969+W1970-X1970-T1970-Z1969*V1970/AB1969</x:f>
        <x:v>19354.456567879548</x:v>
      </x:c>
      <x:c r="AA1970" s="32" t="n">
        <x:f>AA1969+X1970-U1970-AA1969*V1970/AB1969</x:f>
        <x:v>11386.956063258198</x:v>
      </x:c>
      <x:c r="AB1970" s="10" t="n">
        <x:f>Y1970+Z1970+AA1970</x:f>
        <x:v>45047.59802873172</x:v>
      </x:c>
      <x:c r="AC1970" s="8" t="n">
        <x:f>IF(AND(v01_WinterTrigger=1,D1970=1,AB1969/AE1969&gt;=K1970),1,0)</x:f>
        <x:v>0</x:v>
      </x:c>
      <x:c r="AD1970" s="8" t="n">
        <x:f>H1970*IF(AND(OR(AB1969/AE1969&gt;=v01_FissionTrigger*N1970,AC1970=1),AB1969/AE1969*v01_DaughterShare&gt;=v01_MinDaughter),MAX(1,ROUND(AE1969*v01_FissionRate,0)),0)</x:f>
        <x:v>0</x:v>
      </x:c>
      <x:c r="AE1970" s="8" t="n">
        <x:f>IF(H1970=1,MAX(1,MIN(INDEX(v01_Smax,G1970),AE1969+AD1970)),AE1969)</x:f>
        <x:v>15</x:v>
      </x:c>
      <x:c r="AF1970" s="8" t="n">
        <x:f>MAX(0,AE1970-AE1969)</x:f>
        <x:v>0</x:v>
      </x:c>
      <x:c r="AG1970" s="9" t="str">
        <x:f>IF(AF1970&gt;0,B1970,"")</x:f>
      </x:c>
      <x:c r="AH1970" s="9" t="n">
        <x:f>IF(F1970&gt;=1,1,(1+v01_LowTiesShare*(AE1970-1))/AE1970)</x:f>
        <x:v>1</x:v>
      </x:c>
      <x:c r="AI1970" s="32" t="n">
        <x:f>(Z1970+v01_ElderCommons*INDEX(LM_Elder,G1970)*AA1970)*AH1970</x:f>
        <x:v>64139.732591141874</x:v>
      </x:c>
      <x:c r="AJ1970" s="32" t="n">
        <x:f>H1970*v01_CommonsCoef*AI1970^v01_CommonsExp*INDEX(LM_Commons,G1970)</x:f>
        <x:v>0</x:v>
      </x:c>
      <x:c r="AK1970" s="32" t="n">
        <x:f>H1970*v01_RoleScale*Arch_Roles*(AE1970*(INDEX(v01_ElderRolePerSett,G1970)*v01_OutElder*INDEX(LM_Elder,G1970)+INDEX(v01_ShamanPerSett,G1970)*v01_OutShaman)+Z1970*(INDEX(v01_PriestShare,G1970)*v01_OutPriest+INDEX(v01_ScribeShare,G1970)*v01_OutScribe*INDEX(LM_Scribe,G1970)+INDEX(v01_ScholarShare,G1970)*v01_OutScholar*INDEX(LM_Scholar,G1970)+INDEX(v01_ResearcherShare,G1970)*v01_OutResearcher*INDEX(LM_Researcher,G1970)))</x:f>
        <x:v>0</x:v>
      </x:c>
      <x:c r="AL1970" s="32" t="n">
        <x:f>H1970*v01_RoleScale*Arch_Roles*AE1970*INDEX(v01_MonasteryPerSett,G1970)*v01_OutMonastery*INDEX(LM_Monastery,G1970)</x:f>
        <x:v>0</x:v>
      </x:c>
      <x:c r="AM1970" s="32" t="n">
        <x:f>(AJ1970+AK1970+AL1970)/4*INDEX(LM_All,G1970)*INDEX(v01_Boon,G1970)*Arch_Insight</x:f>
        <x:v>0</x:v>
      </x:c>
      <x:c r="AN1970" s="32" t="n">
        <x:f>H1970*(v01_KHPerAdult*Z1970+v01_KHOfCommons*AJ1970/4*INDEX(LM_All,G1970))*v01_KHUsable*Arch_KH</x:f>
        <x:v>0</x:v>
      </x:c>
      <x:c r="AO1970" s="32" t="n">
        <x:f>MIN(AP1969+AN1970,AM1970*v01_KHMaxRatio)</x:f>
        <x:v>0</x:v>
      </x:c>
      <x:c r="AP1970" s="32" t="n">
        <x:f>AP1969+AN1970-AO1970</x:f>
        <x:v>0</x:v>
      </x:c>
      <x:c r="AQ1970" s="32" t="n">
        <x:f>AM1970+AO1970</x:f>
        <x:v>0</x:v>
      </x:c>
      <x:c r="AR1970" s="10" t="n">
        <x:f>IF(H1970=1,INDEX(v01_Req,G1970),0)</x:f>
        <x:v>0</x:v>
      </x:c>
      <x:c r="AS1970" s="32" t="n">
        <x:f>IF(H1970=1,IF(E1970=1,AS1969-AR1969,AS1969)+AQ1970,0)</x:f>
        <x:v>0</x:v>
      </x:c>
      <x:c r="AT1970" s="11" t="n">
        <x:f>IF(AR1970&gt;0,MIN(1,AS1970/AR1970),1)</x:f>
        <x:v>1</x:v>
      </x:c>
      <x:c r="AU1970" s="10" t="n">
        <x:f>AB1970/INDEX(v01_RepScale,G1970)</x:f>
        <x:v>90.09519605746344</x:v>
      </x:c>
      <x:c r="AV1970" s="32" t="n">
        <x:f>AM1970*60/v01_SeasonSeconds</x:f>
        <x:v>0</x:v>
      </x:c>
    </x:row>
    <x:row r="1971">
      <x:c r="A1971" s="8" t="n">
        <x:f>A1970+1</x:f>
        <x:v>1968</x:v>
      </x:c>
      <x:c r="B1971" s="9" t="n">
        <x:f>A1971*v01_SeasonSeconds/60</x:f>
        <x:v>492</x:v>
      </x:c>
      <x:c r="C1971" s="9" t="n">
        <x:f>A1971/4</x:f>
        <x:v>492</x:v>
      </x:c>
      <x:c r="D1971" s="8" t="n">
        <x:f>IF(MOD(A1971,4)=0,1,0)</x:f>
        <x:v>1</x:v>
      </x:c>
      <x:c r="E1971" s="8" t="n">
        <x:f>IF(AND(F1970&lt;=9,AS1970&gt;=AR1970),1,0)</x:f>
        <x:v>0</x:v>
      </x:c>
      <x:c r="F1971" s="8" t="n">
        <x:f>MIN(10,F1970+E1971)</x:f>
        <x:v>10</x:v>
      </x:c>
      <x:c r="G1971" s="8" t="n">
        <x:f>MIN(F1971,9)+1</x:f>
        <x:v>10</x:v>
      </x:c>
      <x:c r="H1971" s="8" t="n">
        <x:f>IF(F1971&lt;=9,1,0)</x:f>
        <x:v>0</x:v>
      </x:c>
      <x:c r="I1971" s="9" t="n">
        <x:f>MIN(10,F1970+IF(AR1970&gt;0,MIN(1,AS1970/AR1970),1))</x:f>
        <x:v>10</x:v>
      </x:c>
      <x:c r="J1971" s="32" t="n">
        <x:f>INDEX(v01_FoodCap,G1971)*Arch_FoodCap*EXP(v01_CapsByProject*SUMPRODUCT((Cap_Point&lt;=I1971)*(Cap_Kind="Food")*Cap_Ln))</x:f>
        <x:v>12000</x:v>
      </x:c>
      <x:c r="K1971" s="32" t="n">
        <x:f>J1971*MIN(1,v01_LeanBase*EXP(v01_CapsByProject*SUMPRODUCT((Cap_Point&lt;=I1971)*(Cap_Kind="Lean")*Cap_Ln)))</x:f>
        <x:v>12000</x:v>
      </x:c>
      <x:c r="L1971" s="10" t="n">
        <x:f>INDEX(v01_HousingCap,G1971)*EXP(v01_CapsByProject*SUMPRODUCT((Cap_Point&lt;=I1971)*(Cap_Kind="Housing")*Cap_Ln))</x:f>
        <x:v>20000</x:v>
      </x:c>
      <x:c r="M1971" s="10" t="n">
        <x:f>INDEX(v01_GroupCap,G1971)*v01_CohesionFactor*EXP(v01_CapsByProject*SUMPRODUCT((Cap_Point&lt;=I1971)*(Cap_Kind="Group")*Cap_Ln))</x:f>
        <x:v>1000000</x:v>
      </x:c>
      <x:c r="N1971" s="32" t="n">
        <x:f>MIN(J1971,L1971,M1971)</x:f>
        <x:v>12000</x:v>
      </x:c>
      <x:c r="O1971" s="10" t="n">
        <x:f>AE1970*N1971</x:f>
        <x:v>180000</x:v>
      </x:c>
      <x:c r="P1971" s="9" t="n">
        <x:f>MIN(1,(AB1970/(AE1970*IF(v01_GroupInCrowding=1,N1971,MIN(J1971,L1971))))^v01_CrowdingExp)</x:f>
        <x:v>0.00024569414295285325</x:v>
      </x:c>
      <x:c r="Q1971" s="9" t="n">
        <x:f>IF(D1971=1,INDEX(v01_WinterMult,G1971),1)</x:f>
        <x:v>1</x:v>
      </x:c>
      <x:c r="R1971" s="9" t="n">
        <x:f>H1971*Z1970*v01_WomenShare*v01_BaseFertility*INDEX(v01_FertMult,G1971)*Arch_Fertility*(1-P1971)</x:f>
        <x:v>0</x:v>
      </x:c>
      <x:c r="S1971" s="9" t="n">
        <x:f>H1971*Y1970*INDEX(v01_MortChild,G1971)/4*Q1971</x:f>
        <x:v>0</x:v>
      </x:c>
      <x:c r="T1971" s="9" t="n">
        <x:f>H1971*Z1970*INDEX(v01_MortAdult,G1971)*Arch_AdultMort/4*Q1971</x:f>
        <x:v>0</x:v>
      </x:c>
      <x:c r="U1971" s="9" t="n">
        <x:f>H1971*AA1970*INDEX(v01_MortElder,G1971)/4*Q1971</x:f>
        <x:v>0</x:v>
      </x:c>
      <x:c r="V1971" s="9" t="n">
        <x:f>H1971*MAX(0,AB1970-O1971)*v01_OvercapLoss</x:f>
        <x:v>0</x:v>
      </x:c>
      <x:c r="W1971" s="9" t="n">
        <x:f>H1971*Y1970/(v01_ChildYears*4)</x:f>
        <x:v>0</x:v>
      </x:c>
      <x:c r="X1971" s="9" t="n">
        <x:f>H1971*Z1970/(v01_AdultYears*4)</x:f>
        <x:v>0</x:v>
      </x:c>
      <x:c r="Y1971" s="32" t="n">
        <x:f>Y1970+R1971-S1971-W1971-Y1970*V1971/AB1970</x:f>
        <x:v>14306.18539759397</x:v>
      </x:c>
      <x:c r="Z1971" s="32" t="n">
        <x:f>Z1970+W1971-X1971-T1971-Z1970*V1971/AB1970</x:f>
        <x:v>19354.456567879548</x:v>
      </x:c>
      <x:c r="AA1971" s="32" t="n">
        <x:f>AA1970+X1971-U1971-AA1970*V1971/AB1970</x:f>
        <x:v>11386.956063258198</x:v>
      </x:c>
      <x:c r="AB1971" s="10" t="n">
        <x:f>Y1971+Z1971+AA1971</x:f>
        <x:v>45047.59802873172</x:v>
      </x:c>
      <x:c r="AC1971" s="8" t="n">
        <x:f>IF(AND(v01_WinterTrigger=1,D1971=1,AB1970/AE1970&gt;=K1971),1,0)</x:f>
        <x:v>0</x:v>
      </x:c>
      <x:c r="AD1971" s="8" t="n">
        <x:f>H1971*IF(AND(OR(AB1970/AE1970&gt;=v01_FissionTrigger*N1971,AC1971=1),AB1970/AE1970*v01_DaughterShare&gt;=v01_MinDaughter),MAX(1,ROUND(AE1970*v01_FissionRate,0)),0)</x:f>
        <x:v>0</x:v>
      </x:c>
      <x:c r="AE1971" s="8" t="n">
        <x:f>IF(H1971=1,MAX(1,MIN(INDEX(v01_Smax,G1971),AE1970+AD1971)),AE1970)</x:f>
        <x:v>15</x:v>
      </x:c>
      <x:c r="AF1971" s="8" t="n">
        <x:f>MAX(0,AE1971-AE1970)</x:f>
        <x:v>0</x:v>
      </x:c>
      <x:c r="AG1971" s="9" t="str">
        <x:f>IF(AF1971&gt;0,B1971,"")</x:f>
      </x:c>
      <x:c r="AH1971" s="9" t="n">
        <x:f>IF(F1971&gt;=1,1,(1+v01_LowTiesShare*(AE1971-1))/AE1971)</x:f>
        <x:v>1</x:v>
      </x:c>
      <x:c r="AI1971" s="32" t="n">
        <x:f>(Z1971+v01_ElderCommons*INDEX(LM_Elder,G1971)*AA1971)*AH1971</x:f>
        <x:v>64139.732591141874</x:v>
      </x:c>
      <x:c r="AJ1971" s="32" t="n">
        <x:f>H1971*v01_CommonsCoef*AI1971^v01_CommonsExp*INDEX(LM_Commons,G1971)</x:f>
        <x:v>0</x:v>
      </x:c>
      <x:c r="AK1971" s="32" t="n">
        <x:f>H1971*v01_RoleScale*Arch_Roles*(AE1971*(INDEX(v01_ElderRolePerSett,G1971)*v01_OutElder*INDEX(LM_Elder,G1971)+INDEX(v01_ShamanPerSett,G1971)*v01_OutShaman)+Z1971*(INDEX(v01_PriestShare,G1971)*v01_OutPriest+INDEX(v01_ScribeShare,G1971)*v01_OutScribe*INDEX(LM_Scribe,G1971)+INDEX(v01_ScholarShare,G1971)*v01_OutScholar*INDEX(LM_Scholar,G1971)+INDEX(v01_ResearcherShare,G1971)*v01_OutResearcher*INDEX(LM_Researcher,G1971)))</x:f>
        <x:v>0</x:v>
      </x:c>
      <x:c r="AL1971" s="32" t="n">
        <x:f>H1971*v01_RoleScale*Arch_Roles*AE1971*INDEX(v01_MonasteryPerSett,G1971)*v01_OutMonastery*INDEX(LM_Monastery,G1971)</x:f>
        <x:v>0</x:v>
      </x:c>
      <x:c r="AM1971" s="32" t="n">
        <x:f>(AJ1971+AK1971+AL1971)/4*INDEX(LM_All,G1971)*INDEX(v01_Boon,G1971)*Arch_Insight</x:f>
        <x:v>0</x:v>
      </x:c>
      <x:c r="AN1971" s="32" t="n">
        <x:f>H1971*(v01_KHPerAdult*Z1971+v01_KHOfCommons*AJ1971/4*INDEX(LM_All,G1971))*v01_KHUsable*Arch_KH</x:f>
        <x:v>0</x:v>
      </x:c>
      <x:c r="AO1971" s="32" t="n">
        <x:f>MIN(AP1970+AN1971,AM1971*v01_KHMaxRatio)</x:f>
        <x:v>0</x:v>
      </x:c>
      <x:c r="AP1971" s="32" t="n">
        <x:f>AP1970+AN1971-AO1971</x:f>
        <x:v>0</x:v>
      </x:c>
      <x:c r="AQ1971" s="32" t="n">
        <x:f>AM1971+AO1971</x:f>
        <x:v>0</x:v>
      </x:c>
      <x:c r="AR1971" s="10" t="n">
        <x:f>IF(H1971=1,INDEX(v01_Req,G1971),0)</x:f>
        <x:v>0</x:v>
      </x:c>
      <x:c r="AS1971" s="32" t="n">
        <x:f>IF(H1971=1,IF(E1971=1,AS1970-AR1970,AS1970)+AQ1971,0)</x:f>
        <x:v>0</x:v>
      </x:c>
      <x:c r="AT1971" s="11" t="n">
        <x:f>IF(AR1971&gt;0,MIN(1,AS1971/AR1971),1)</x:f>
        <x:v>1</x:v>
      </x:c>
      <x:c r="AU1971" s="10" t="n">
        <x:f>AB1971/INDEX(v01_RepScale,G1971)</x:f>
        <x:v>90.09519605746344</x:v>
      </x:c>
      <x:c r="AV1971" s="32" t="n">
        <x:f>AM1971*60/v01_SeasonSeconds</x:f>
        <x:v>0</x:v>
      </x:c>
    </x:row>
    <x:row r="1972">
      <x:c r="A1972" s="8" t="n">
        <x:f>A1971+1</x:f>
        <x:v>1969</x:v>
      </x:c>
      <x:c r="B1972" s="9" t="n">
        <x:f>A1972*v01_SeasonSeconds/60</x:f>
        <x:v>492.25</x:v>
      </x:c>
      <x:c r="C1972" s="9" t="n">
        <x:f>A1972/4</x:f>
        <x:v>492.25</x:v>
      </x:c>
      <x:c r="D1972" s="8" t="n">
        <x:f>IF(MOD(A1972,4)=0,1,0)</x:f>
        <x:v>0</x:v>
      </x:c>
      <x:c r="E1972" s="8" t="n">
        <x:f>IF(AND(F1971&lt;=9,AS1971&gt;=AR1971),1,0)</x:f>
        <x:v>0</x:v>
      </x:c>
      <x:c r="F1972" s="8" t="n">
        <x:f>MIN(10,F1971+E1972)</x:f>
        <x:v>10</x:v>
      </x:c>
      <x:c r="G1972" s="8" t="n">
        <x:f>MIN(F1972,9)+1</x:f>
        <x:v>10</x:v>
      </x:c>
      <x:c r="H1972" s="8" t="n">
        <x:f>IF(F1972&lt;=9,1,0)</x:f>
        <x:v>0</x:v>
      </x:c>
      <x:c r="I1972" s="9" t="n">
        <x:f>MIN(10,F1971+IF(AR1971&gt;0,MIN(1,AS1971/AR1971),1))</x:f>
        <x:v>10</x:v>
      </x:c>
      <x:c r="J1972" s="32" t="n">
        <x:f>INDEX(v01_FoodCap,G1972)*Arch_FoodCap*EXP(v01_CapsByProject*SUMPRODUCT((Cap_Point&lt;=I1972)*(Cap_Kind="Food")*Cap_Ln))</x:f>
        <x:v>12000</x:v>
      </x:c>
      <x:c r="K1972" s="32" t="n">
        <x:f>J1972*MIN(1,v01_LeanBase*EXP(v01_CapsByProject*SUMPRODUCT((Cap_Point&lt;=I1972)*(Cap_Kind="Lean")*Cap_Ln)))</x:f>
        <x:v>12000</x:v>
      </x:c>
      <x:c r="L1972" s="10" t="n">
        <x:f>INDEX(v01_HousingCap,G1972)*EXP(v01_CapsByProject*SUMPRODUCT((Cap_Point&lt;=I1972)*(Cap_Kind="Housing")*Cap_Ln))</x:f>
        <x:v>20000</x:v>
      </x:c>
      <x:c r="M1972" s="10" t="n">
        <x:f>INDEX(v01_GroupCap,G1972)*v01_CohesionFactor*EXP(v01_CapsByProject*SUMPRODUCT((Cap_Point&lt;=I1972)*(Cap_Kind="Group")*Cap_Ln))</x:f>
        <x:v>1000000</x:v>
      </x:c>
      <x:c r="N1972" s="32" t="n">
        <x:f>MIN(J1972,L1972,M1972)</x:f>
        <x:v>12000</x:v>
      </x:c>
      <x:c r="O1972" s="10" t="n">
        <x:f>AE1971*N1972</x:f>
        <x:v>180000</x:v>
      </x:c>
      <x:c r="P1972" s="9" t="n">
        <x:f>MIN(1,(AB1971/(AE1971*IF(v01_GroupInCrowding=1,N1972,MIN(J1972,L1972))))^v01_CrowdingExp)</x:f>
        <x:v>0.00024569414295285325</x:v>
      </x:c>
      <x:c r="Q1972" s="9" t="n">
        <x:f>IF(D1972=1,INDEX(v01_WinterMult,G1972),1)</x:f>
        <x:v>1</x:v>
      </x:c>
      <x:c r="R1972" s="9" t="n">
        <x:f>H1972*Z1971*v01_WomenShare*v01_BaseFertility*INDEX(v01_FertMult,G1972)*Arch_Fertility*(1-P1972)</x:f>
        <x:v>0</x:v>
      </x:c>
      <x:c r="S1972" s="9" t="n">
        <x:f>H1972*Y1971*INDEX(v01_MortChild,G1972)/4*Q1972</x:f>
        <x:v>0</x:v>
      </x:c>
      <x:c r="T1972" s="9" t="n">
        <x:f>H1972*Z1971*INDEX(v01_MortAdult,G1972)*Arch_AdultMort/4*Q1972</x:f>
        <x:v>0</x:v>
      </x:c>
      <x:c r="U1972" s="9" t="n">
        <x:f>H1972*AA1971*INDEX(v01_MortElder,G1972)/4*Q1972</x:f>
        <x:v>0</x:v>
      </x:c>
      <x:c r="V1972" s="9" t="n">
        <x:f>H1972*MAX(0,AB1971-O1972)*v01_OvercapLoss</x:f>
        <x:v>0</x:v>
      </x:c>
      <x:c r="W1972" s="9" t="n">
        <x:f>H1972*Y1971/(v01_ChildYears*4)</x:f>
        <x:v>0</x:v>
      </x:c>
      <x:c r="X1972" s="9" t="n">
        <x:f>H1972*Z1971/(v01_AdultYears*4)</x:f>
        <x:v>0</x:v>
      </x:c>
      <x:c r="Y1972" s="32" t="n">
        <x:f>Y1971+R1972-S1972-W1972-Y1971*V1972/AB1971</x:f>
        <x:v>14306.18539759397</x:v>
      </x:c>
      <x:c r="Z1972" s="32" t="n">
        <x:f>Z1971+W1972-X1972-T1972-Z1971*V1972/AB1971</x:f>
        <x:v>19354.456567879548</x:v>
      </x:c>
      <x:c r="AA1972" s="32" t="n">
        <x:f>AA1971+X1972-U1972-AA1971*V1972/AB1971</x:f>
        <x:v>11386.956063258198</x:v>
      </x:c>
      <x:c r="AB1972" s="10" t="n">
        <x:f>Y1972+Z1972+AA1972</x:f>
        <x:v>45047.59802873172</x:v>
      </x:c>
      <x:c r="AC1972" s="8" t="n">
        <x:f>IF(AND(v01_WinterTrigger=1,D1972=1,AB1971/AE1971&gt;=K1972),1,0)</x:f>
        <x:v>0</x:v>
      </x:c>
      <x:c r="AD1972" s="8" t="n">
        <x:f>H1972*IF(AND(OR(AB1971/AE1971&gt;=v01_FissionTrigger*N1972,AC1972=1),AB1971/AE1971*v01_DaughterShare&gt;=v01_MinDaughter),MAX(1,ROUND(AE1971*v01_FissionRate,0)),0)</x:f>
        <x:v>0</x:v>
      </x:c>
      <x:c r="AE1972" s="8" t="n">
        <x:f>IF(H1972=1,MAX(1,MIN(INDEX(v01_Smax,G1972),AE1971+AD1972)),AE1971)</x:f>
        <x:v>15</x:v>
      </x:c>
      <x:c r="AF1972" s="8" t="n">
        <x:f>MAX(0,AE1972-AE1971)</x:f>
        <x:v>0</x:v>
      </x:c>
      <x:c r="AG1972" s="9" t="str">
        <x:f>IF(AF1972&gt;0,B1972,"")</x:f>
      </x:c>
      <x:c r="AH1972" s="9" t="n">
        <x:f>IF(F1972&gt;=1,1,(1+v01_LowTiesShare*(AE1972-1))/AE1972)</x:f>
        <x:v>1</x:v>
      </x:c>
      <x:c r="AI1972" s="32" t="n">
        <x:f>(Z1972+v01_ElderCommons*INDEX(LM_Elder,G1972)*AA1972)*AH1972</x:f>
        <x:v>64139.732591141874</x:v>
      </x:c>
      <x:c r="AJ1972" s="32" t="n">
        <x:f>H1972*v01_CommonsCoef*AI1972^v01_CommonsExp*INDEX(LM_Commons,G1972)</x:f>
        <x:v>0</x:v>
      </x:c>
      <x:c r="AK1972" s="32" t="n">
        <x:f>H1972*v01_RoleScale*Arch_Roles*(AE1972*(INDEX(v01_ElderRolePerSett,G1972)*v01_OutElder*INDEX(LM_Elder,G1972)+INDEX(v01_ShamanPerSett,G1972)*v01_OutShaman)+Z1972*(INDEX(v01_PriestShare,G1972)*v01_OutPriest+INDEX(v01_ScribeShare,G1972)*v01_OutScribe*INDEX(LM_Scribe,G1972)+INDEX(v01_ScholarShare,G1972)*v01_OutScholar*INDEX(LM_Scholar,G1972)+INDEX(v01_ResearcherShare,G1972)*v01_OutResearcher*INDEX(LM_Researcher,G1972)))</x:f>
        <x:v>0</x:v>
      </x:c>
      <x:c r="AL1972" s="32" t="n">
        <x:f>H1972*v01_RoleScale*Arch_Roles*AE1972*INDEX(v01_MonasteryPerSett,G1972)*v01_OutMonastery*INDEX(LM_Monastery,G1972)</x:f>
        <x:v>0</x:v>
      </x:c>
      <x:c r="AM1972" s="32" t="n">
        <x:f>(AJ1972+AK1972+AL1972)/4*INDEX(LM_All,G1972)*INDEX(v01_Boon,G1972)*Arch_Insight</x:f>
        <x:v>0</x:v>
      </x:c>
      <x:c r="AN1972" s="32" t="n">
        <x:f>H1972*(v01_KHPerAdult*Z1972+v01_KHOfCommons*AJ1972/4*INDEX(LM_All,G1972))*v01_KHUsable*Arch_KH</x:f>
        <x:v>0</x:v>
      </x:c>
      <x:c r="AO1972" s="32" t="n">
        <x:f>MIN(AP1971+AN1972,AM1972*v01_KHMaxRatio)</x:f>
        <x:v>0</x:v>
      </x:c>
      <x:c r="AP1972" s="32" t="n">
        <x:f>AP1971+AN1972-AO1972</x:f>
        <x:v>0</x:v>
      </x:c>
      <x:c r="AQ1972" s="32" t="n">
        <x:f>AM1972+AO1972</x:f>
        <x:v>0</x:v>
      </x:c>
      <x:c r="AR1972" s="10" t="n">
        <x:f>IF(H1972=1,INDEX(v01_Req,G1972),0)</x:f>
        <x:v>0</x:v>
      </x:c>
      <x:c r="AS1972" s="32" t="n">
        <x:f>IF(H1972=1,IF(E1972=1,AS1971-AR1971,AS1971)+AQ1972,0)</x:f>
        <x:v>0</x:v>
      </x:c>
      <x:c r="AT1972" s="11" t="n">
        <x:f>IF(AR1972&gt;0,MIN(1,AS1972/AR1972),1)</x:f>
        <x:v>1</x:v>
      </x:c>
      <x:c r="AU1972" s="10" t="n">
        <x:f>AB1972/INDEX(v01_RepScale,G1972)</x:f>
        <x:v>90.09519605746344</x:v>
      </x:c>
      <x:c r="AV1972" s="32" t="n">
        <x:f>AM1972*60/v01_SeasonSeconds</x:f>
        <x:v>0</x:v>
      </x:c>
    </x:row>
    <x:row r="1973">
      <x:c r="A1973" s="8" t="n">
        <x:f>A1972+1</x:f>
        <x:v>1970</x:v>
      </x:c>
      <x:c r="B1973" s="9" t="n">
        <x:f>A1973*v01_SeasonSeconds/60</x:f>
        <x:v>492.5</x:v>
      </x:c>
      <x:c r="C1973" s="9" t="n">
        <x:f>A1973/4</x:f>
        <x:v>492.5</x:v>
      </x:c>
      <x:c r="D1973" s="8" t="n">
        <x:f>IF(MOD(A1973,4)=0,1,0)</x:f>
        <x:v>0</x:v>
      </x:c>
      <x:c r="E1973" s="8" t="n">
        <x:f>IF(AND(F1972&lt;=9,AS1972&gt;=AR1972),1,0)</x:f>
        <x:v>0</x:v>
      </x:c>
      <x:c r="F1973" s="8" t="n">
        <x:f>MIN(10,F1972+E1973)</x:f>
        <x:v>10</x:v>
      </x:c>
      <x:c r="G1973" s="8" t="n">
        <x:f>MIN(F1973,9)+1</x:f>
        <x:v>10</x:v>
      </x:c>
      <x:c r="H1973" s="8" t="n">
        <x:f>IF(F1973&lt;=9,1,0)</x:f>
        <x:v>0</x:v>
      </x:c>
      <x:c r="I1973" s="9" t="n">
        <x:f>MIN(10,F1972+IF(AR1972&gt;0,MIN(1,AS1972/AR1972),1))</x:f>
        <x:v>10</x:v>
      </x:c>
      <x:c r="J1973" s="32" t="n">
        <x:f>INDEX(v01_FoodCap,G1973)*Arch_FoodCap*EXP(v01_CapsByProject*SUMPRODUCT((Cap_Point&lt;=I1973)*(Cap_Kind="Food")*Cap_Ln))</x:f>
        <x:v>12000</x:v>
      </x:c>
      <x:c r="K1973" s="32" t="n">
        <x:f>J1973*MIN(1,v01_LeanBase*EXP(v01_CapsByProject*SUMPRODUCT((Cap_Point&lt;=I1973)*(Cap_Kind="Lean")*Cap_Ln)))</x:f>
        <x:v>12000</x:v>
      </x:c>
      <x:c r="L1973" s="10" t="n">
        <x:f>INDEX(v01_HousingCap,G1973)*EXP(v01_CapsByProject*SUMPRODUCT((Cap_Point&lt;=I1973)*(Cap_Kind="Housing")*Cap_Ln))</x:f>
        <x:v>20000</x:v>
      </x:c>
      <x:c r="M1973" s="10" t="n">
        <x:f>INDEX(v01_GroupCap,G1973)*v01_CohesionFactor*EXP(v01_CapsByProject*SUMPRODUCT((Cap_Point&lt;=I1973)*(Cap_Kind="Group")*Cap_Ln))</x:f>
        <x:v>1000000</x:v>
      </x:c>
      <x:c r="N1973" s="32" t="n">
        <x:f>MIN(J1973,L1973,M1973)</x:f>
        <x:v>12000</x:v>
      </x:c>
      <x:c r="O1973" s="10" t="n">
        <x:f>AE1972*N1973</x:f>
        <x:v>180000</x:v>
      </x:c>
      <x:c r="P1973" s="9" t="n">
        <x:f>MIN(1,(AB1972/(AE1972*IF(v01_GroupInCrowding=1,N1973,MIN(J1973,L1973))))^v01_CrowdingExp)</x:f>
        <x:v>0.00024569414295285325</x:v>
      </x:c>
      <x:c r="Q1973" s="9" t="n">
        <x:f>IF(D1973=1,INDEX(v01_WinterMult,G1973),1)</x:f>
        <x:v>1</x:v>
      </x:c>
      <x:c r="R1973" s="9" t="n">
        <x:f>H1973*Z1972*v01_WomenShare*v01_BaseFertility*INDEX(v01_FertMult,G1973)*Arch_Fertility*(1-P1973)</x:f>
        <x:v>0</x:v>
      </x:c>
      <x:c r="S1973" s="9" t="n">
        <x:f>H1973*Y1972*INDEX(v01_MortChild,G1973)/4*Q1973</x:f>
        <x:v>0</x:v>
      </x:c>
      <x:c r="T1973" s="9" t="n">
        <x:f>H1973*Z1972*INDEX(v01_MortAdult,G1973)*Arch_AdultMort/4*Q1973</x:f>
        <x:v>0</x:v>
      </x:c>
      <x:c r="U1973" s="9" t="n">
        <x:f>H1973*AA1972*INDEX(v01_MortElder,G1973)/4*Q1973</x:f>
        <x:v>0</x:v>
      </x:c>
      <x:c r="V1973" s="9" t="n">
        <x:f>H1973*MAX(0,AB1972-O1973)*v01_OvercapLoss</x:f>
        <x:v>0</x:v>
      </x:c>
      <x:c r="W1973" s="9" t="n">
        <x:f>H1973*Y1972/(v01_ChildYears*4)</x:f>
        <x:v>0</x:v>
      </x:c>
      <x:c r="X1973" s="9" t="n">
        <x:f>H1973*Z1972/(v01_AdultYears*4)</x:f>
        <x:v>0</x:v>
      </x:c>
      <x:c r="Y1973" s="32" t="n">
        <x:f>Y1972+R1973-S1973-W1973-Y1972*V1973/AB1972</x:f>
        <x:v>14306.18539759397</x:v>
      </x:c>
      <x:c r="Z1973" s="32" t="n">
        <x:f>Z1972+W1973-X1973-T1973-Z1972*V1973/AB1972</x:f>
        <x:v>19354.456567879548</x:v>
      </x:c>
      <x:c r="AA1973" s="32" t="n">
        <x:f>AA1972+X1973-U1973-AA1972*V1973/AB1972</x:f>
        <x:v>11386.956063258198</x:v>
      </x:c>
      <x:c r="AB1973" s="10" t="n">
        <x:f>Y1973+Z1973+AA1973</x:f>
        <x:v>45047.59802873172</x:v>
      </x:c>
      <x:c r="AC1973" s="8" t="n">
        <x:f>IF(AND(v01_WinterTrigger=1,D1973=1,AB1972/AE1972&gt;=K1973),1,0)</x:f>
        <x:v>0</x:v>
      </x:c>
      <x:c r="AD1973" s="8" t="n">
        <x:f>H1973*IF(AND(OR(AB1972/AE1972&gt;=v01_FissionTrigger*N1973,AC1973=1),AB1972/AE1972*v01_DaughterShare&gt;=v01_MinDaughter),MAX(1,ROUND(AE1972*v01_FissionRate,0)),0)</x:f>
        <x:v>0</x:v>
      </x:c>
      <x:c r="AE1973" s="8" t="n">
        <x:f>IF(H1973=1,MAX(1,MIN(INDEX(v01_Smax,G1973),AE1972+AD1973)),AE1972)</x:f>
        <x:v>15</x:v>
      </x:c>
      <x:c r="AF1973" s="8" t="n">
        <x:f>MAX(0,AE1973-AE1972)</x:f>
        <x:v>0</x:v>
      </x:c>
      <x:c r="AG1973" s="9" t="str">
        <x:f>IF(AF1973&gt;0,B1973,"")</x:f>
      </x:c>
      <x:c r="AH1973" s="9" t="n">
        <x:f>IF(F1973&gt;=1,1,(1+v01_LowTiesShare*(AE1973-1))/AE1973)</x:f>
        <x:v>1</x:v>
      </x:c>
      <x:c r="AI1973" s="32" t="n">
        <x:f>(Z1973+v01_ElderCommons*INDEX(LM_Elder,G1973)*AA1973)*AH1973</x:f>
        <x:v>64139.732591141874</x:v>
      </x:c>
      <x:c r="AJ1973" s="32" t="n">
        <x:f>H1973*v01_CommonsCoef*AI1973^v01_CommonsExp*INDEX(LM_Commons,G1973)</x:f>
        <x:v>0</x:v>
      </x:c>
      <x:c r="AK1973" s="32" t="n">
        <x:f>H1973*v01_RoleScale*Arch_Roles*(AE1973*(INDEX(v01_ElderRolePerSett,G1973)*v01_OutElder*INDEX(LM_Elder,G1973)+INDEX(v01_ShamanPerSett,G1973)*v01_OutShaman)+Z1973*(INDEX(v01_PriestShare,G1973)*v01_OutPriest+INDEX(v01_ScribeShare,G1973)*v01_OutScribe*INDEX(LM_Scribe,G1973)+INDEX(v01_ScholarShare,G1973)*v01_OutScholar*INDEX(LM_Scholar,G1973)+INDEX(v01_ResearcherShare,G1973)*v01_OutResearcher*INDEX(LM_Researcher,G1973)))</x:f>
        <x:v>0</x:v>
      </x:c>
      <x:c r="AL1973" s="32" t="n">
        <x:f>H1973*v01_RoleScale*Arch_Roles*AE1973*INDEX(v01_MonasteryPerSett,G1973)*v01_OutMonastery*INDEX(LM_Monastery,G1973)</x:f>
        <x:v>0</x:v>
      </x:c>
      <x:c r="AM1973" s="32" t="n">
        <x:f>(AJ1973+AK1973+AL1973)/4*INDEX(LM_All,G1973)*INDEX(v01_Boon,G1973)*Arch_Insight</x:f>
        <x:v>0</x:v>
      </x:c>
      <x:c r="AN1973" s="32" t="n">
        <x:f>H1973*(v01_KHPerAdult*Z1973+v01_KHOfCommons*AJ1973/4*INDEX(LM_All,G1973))*v01_KHUsable*Arch_KH</x:f>
        <x:v>0</x:v>
      </x:c>
      <x:c r="AO1973" s="32" t="n">
        <x:f>MIN(AP1972+AN1973,AM1973*v01_KHMaxRatio)</x:f>
        <x:v>0</x:v>
      </x:c>
      <x:c r="AP1973" s="32" t="n">
        <x:f>AP1972+AN1973-AO1973</x:f>
        <x:v>0</x:v>
      </x:c>
      <x:c r="AQ1973" s="32" t="n">
        <x:f>AM1973+AO1973</x:f>
        <x:v>0</x:v>
      </x:c>
      <x:c r="AR1973" s="10" t="n">
        <x:f>IF(H1973=1,INDEX(v01_Req,G1973),0)</x:f>
        <x:v>0</x:v>
      </x:c>
      <x:c r="AS1973" s="32" t="n">
        <x:f>IF(H1973=1,IF(E1973=1,AS1972-AR1972,AS1972)+AQ1973,0)</x:f>
        <x:v>0</x:v>
      </x:c>
      <x:c r="AT1973" s="11" t="n">
        <x:f>IF(AR1973&gt;0,MIN(1,AS1973/AR1973),1)</x:f>
        <x:v>1</x:v>
      </x:c>
      <x:c r="AU1973" s="10" t="n">
        <x:f>AB1973/INDEX(v01_RepScale,G1973)</x:f>
        <x:v>90.09519605746344</x:v>
      </x:c>
      <x:c r="AV1973" s="32" t="n">
        <x:f>AM1973*60/v01_SeasonSeconds</x:f>
        <x:v>0</x:v>
      </x:c>
    </x:row>
    <x:row r="1974">
      <x:c r="A1974" s="8" t="n">
        <x:f>A1973+1</x:f>
        <x:v>1971</x:v>
      </x:c>
      <x:c r="B1974" s="9" t="n">
        <x:f>A1974*v01_SeasonSeconds/60</x:f>
        <x:v>492.75</x:v>
      </x:c>
      <x:c r="C1974" s="9" t="n">
        <x:f>A1974/4</x:f>
        <x:v>492.75</x:v>
      </x:c>
      <x:c r="D1974" s="8" t="n">
        <x:f>IF(MOD(A1974,4)=0,1,0)</x:f>
        <x:v>0</x:v>
      </x:c>
      <x:c r="E1974" s="8" t="n">
        <x:f>IF(AND(F1973&lt;=9,AS1973&gt;=AR1973),1,0)</x:f>
        <x:v>0</x:v>
      </x:c>
      <x:c r="F1974" s="8" t="n">
        <x:f>MIN(10,F1973+E1974)</x:f>
        <x:v>10</x:v>
      </x:c>
      <x:c r="G1974" s="8" t="n">
        <x:f>MIN(F1974,9)+1</x:f>
        <x:v>10</x:v>
      </x:c>
      <x:c r="H1974" s="8" t="n">
        <x:f>IF(F1974&lt;=9,1,0)</x:f>
        <x:v>0</x:v>
      </x:c>
      <x:c r="I1974" s="9" t="n">
        <x:f>MIN(10,F1973+IF(AR1973&gt;0,MIN(1,AS1973/AR1973),1))</x:f>
        <x:v>10</x:v>
      </x:c>
      <x:c r="J1974" s="32" t="n">
        <x:f>INDEX(v01_FoodCap,G1974)*Arch_FoodCap*EXP(v01_CapsByProject*SUMPRODUCT((Cap_Point&lt;=I1974)*(Cap_Kind="Food")*Cap_Ln))</x:f>
        <x:v>12000</x:v>
      </x:c>
      <x:c r="K1974" s="32" t="n">
        <x:f>J1974*MIN(1,v01_LeanBase*EXP(v01_CapsByProject*SUMPRODUCT((Cap_Point&lt;=I1974)*(Cap_Kind="Lean")*Cap_Ln)))</x:f>
        <x:v>12000</x:v>
      </x:c>
      <x:c r="L1974" s="10" t="n">
        <x:f>INDEX(v01_HousingCap,G1974)*EXP(v01_CapsByProject*SUMPRODUCT((Cap_Point&lt;=I1974)*(Cap_Kind="Housing")*Cap_Ln))</x:f>
        <x:v>20000</x:v>
      </x:c>
      <x:c r="M1974" s="10" t="n">
        <x:f>INDEX(v01_GroupCap,G1974)*v01_CohesionFactor*EXP(v01_CapsByProject*SUMPRODUCT((Cap_Point&lt;=I1974)*(Cap_Kind="Group")*Cap_Ln))</x:f>
        <x:v>1000000</x:v>
      </x:c>
      <x:c r="N1974" s="32" t="n">
        <x:f>MIN(J1974,L1974,M1974)</x:f>
        <x:v>12000</x:v>
      </x:c>
      <x:c r="O1974" s="10" t="n">
        <x:f>AE1973*N1974</x:f>
        <x:v>180000</x:v>
      </x:c>
      <x:c r="P1974" s="9" t="n">
        <x:f>MIN(1,(AB1973/(AE1973*IF(v01_GroupInCrowding=1,N1974,MIN(J1974,L1974))))^v01_CrowdingExp)</x:f>
        <x:v>0.00024569414295285325</x:v>
      </x:c>
      <x:c r="Q1974" s="9" t="n">
        <x:f>IF(D1974=1,INDEX(v01_WinterMult,G1974),1)</x:f>
        <x:v>1</x:v>
      </x:c>
      <x:c r="R1974" s="9" t="n">
        <x:f>H1974*Z1973*v01_WomenShare*v01_BaseFertility*INDEX(v01_FertMult,G1974)*Arch_Fertility*(1-P1974)</x:f>
        <x:v>0</x:v>
      </x:c>
      <x:c r="S1974" s="9" t="n">
        <x:f>H1974*Y1973*INDEX(v01_MortChild,G1974)/4*Q1974</x:f>
        <x:v>0</x:v>
      </x:c>
      <x:c r="T1974" s="9" t="n">
        <x:f>H1974*Z1973*INDEX(v01_MortAdult,G1974)*Arch_AdultMort/4*Q1974</x:f>
        <x:v>0</x:v>
      </x:c>
      <x:c r="U1974" s="9" t="n">
        <x:f>H1974*AA1973*INDEX(v01_MortElder,G1974)/4*Q1974</x:f>
        <x:v>0</x:v>
      </x:c>
      <x:c r="V1974" s="9" t="n">
        <x:f>H1974*MAX(0,AB1973-O1974)*v01_OvercapLoss</x:f>
        <x:v>0</x:v>
      </x:c>
      <x:c r="W1974" s="9" t="n">
        <x:f>H1974*Y1973/(v01_ChildYears*4)</x:f>
        <x:v>0</x:v>
      </x:c>
      <x:c r="X1974" s="9" t="n">
        <x:f>H1974*Z1973/(v01_AdultYears*4)</x:f>
        <x:v>0</x:v>
      </x:c>
      <x:c r="Y1974" s="32" t="n">
        <x:f>Y1973+R1974-S1974-W1974-Y1973*V1974/AB1973</x:f>
        <x:v>14306.18539759397</x:v>
      </x:c>
      <x:c r="Z1974" s="32" t="n">
        <x:f>Z1973+W1974-X1974-T1974-Z1973*V1974/AB1973</x:f>
        <x:v>19354.456567879548</x:v>
      </x:c>
      <x:c r="AA1974" s="32" t="n">
        <x:f>AA1973+X1974-U1974-AA1973*V1974/AB1973</x:f>
        <x:v>11386.956063258198</x:v>
      </x:c>
      <x:c r="AB1974" s="10" t="n">
        <x:f>Y1974+Z1974+AA1974</x:f>
        <x:v>45047.59802873172</x:v>
      </x:c>
      <x:c r="AC1974" s="8" t="n">
        <x:f>IF(AND(v01_WinterTrigger=1,D1974=1,AB1973/AE1973&gt;=K1974),1,0)</x:f>
        <x:v>0</x:v>
      </x:c>
      <x:c r="AD1974" s="8" t="n">
        <x:f>H1974*IF(AND(OR(AB1973/AE1973&gt;=v01_FissionTrigger*N1974,AC1974=1),AB1973/AE1973*v01_DaughterShare&gt;=v01_MinDaughter),MAX(1,ROUND(AE1973*v01_FissionRate,0)),0)</x:f>
        <x:v>0</x:v>
      </x:c>
      <x:c r="AE1974" s="8" t="n">
        <x:f>IF(H1974=1,MAX(1,MIN(INDEX(v01_Smax,G1974),AE1973+AD1974)),AE1973)</x:f>
        <x:v>15</x:v>
      </x:c>
      <x:c r="AF1974" s="8" t="n">
        <x:f>MAX(0,AE1974-AE1973)</x:f>
        <x:v>0</x:v>
      </x:c>
      <x:c r="AG1974" s="9" t="str">
        <x:f>IF(AF1974&gt;0,B1974,"")</x:f>
      </x:c>
      <x:c r="AH1974" s="9" t="n">
        <x:f>IF(F1974&gt;=1,1,(1+v01_LowTiesShare*(AE1974-1))/AE1974)</x:f>
        <x:v>1</x:v>
      </x:c>
      <x:c r="AI1974" s="32" t="n">
        <x:f>(Z1974+v01_ElderCommons*INDEX(LM_Elder,G1974)*AA1974)*AH1974</x:f>
        <x:v>64139.732591141874</x:v>
      </x:c>
      <x:c r="AJ1974" s="32" t="n">
        <x:f>H1974*v01_CommonsCoef*AI1974^v01_CommonsExp*INDEX(LM_Commons,G1974)</x:f>
        <x:v>0</x:v>
      </x:c>
      <x:c r="AK1974" s="32" t="n">
        <x:f>H1974*v01_RoleScale*Arch_Roles*(AE1974*(INDEX(v01_ElderRolePerSett,G1974)*v01_OutElder*INDEX(LM_Elder,G1974)+INDEX(v01_ShamanPerSett,G1974)*v01_OutShaman)+Z1974*(INDEX(v01_PriestShare,G1974)*v01_OutPriest+INDEX(v01_ScribeShare,G1974)*v01_OutScribe*INDEX(LM_Scribe,G1974)+INDEX(v01_ScholarShare,G1974)*v01_OutScholar*INDEX(LM_Scholar,G1974)+INDEX(v01_ResearcherShare,G1974)*v01_OutResearcher*INDEX(LM_Researcher,G1974)))</x:f>
        <x:v>0</x:v>
      </x:c>
      <x:c r="AL1974" s="32" t="n">
        <x:f>H1974*v01_RoleScale*Arch_Roles*AE1974*INDEX(v01_MonasteryPerSett,G1974)*v01_OutMonastery*INDEX(LM_Monastery,G1974)</x:f>
        <x:v>0</x:v>
      </x:c>
      <x:c r="AM1974" s="32" t="n">
        <x:f>(AJ1974+AK1974+AL1974)/4*INDEX(LM_All,G1974)*INDEX(v01_Boon,G1974)*Arch_Insight</x:f>
        <x:v>0</x:v>
      </x:c>
      <x:c r="AN1974" s="32" t="n">
        <x:f>H1974*(v01_KHPerAdult*Z1974+v01_KHOfCommons*AJ1974/4*INDEX(LM_All,G1974))*v01_KHUsable*Arch_KH</x:f>
        <x:v>0</x:v>
      </x:c>
      <x:c r="AO1974" s="32" t="n">
        <x:f>MIN(AP1973+AN1974,AM1974*v01_KHMaxRatio)</x:f>
        <x:v>0</x:v>
      </x:c>
      <x:c r="AP1974" s="32" t="n">
        <x:f>AP1973+AN1974-AO1974</x:f>
        <x:v>0</x:v>
      </x:c>
      <x:c r="AQ1974" s="32" t="n">
        <x:f>AM1974+AO1974</x:f>
        <x:v>0</x:v>
      </x:c>
      <x:c r="AR1974" s="10" t="n">
        <x:f>IF(H1974=1,INDEX(v01_Req,G1974),0)</x:f>
        <x:v>0</x:v>
      </x:c>
      <x:c r="AS1974" s="32" t="n">
        <x:f>IF(H1974=1,IF(E1974=1,AS1973-AR1973,AS1973)+AQ1974,0)</x:f>
        <x:v>0</x:v>
      </x:c>
      <x:c r="AT1974" s="11" t="n">
        <x:f>IF(AR1974&gt;0,MIN(1,AS1974/AR1974),1)</x:f>
        <x:v>1</x:v>
      </x:c>
      <x:c r="AU1974" s="10" t="n">
        <x:f>AB1974/INDEX(v01_RepScale,G1974)</x:f>
        <x:v>90.09519605746344</x:v>
      </x:c>
      <x:c r="AV1974" s="32" t="n">
        <x:f>AM1974*60/v01_SeasonSeconds</x:f>
        <x:v>0</x:v>
      </x:c>
    </x:row>
    <x:row r="1975">
      <x:c r="A1975" s="8" t="n">
        <x:f>A1974+1</x:f>
        <x:v>1972</x:v>
      </x:c>
      <x:c r="B1975" s="9" t="n">
        <x:f>A1975*v01_SeasonSeconds/60</x:f>
        <x:v>493</x:v>
      </x:c>
      <x:c r="C1975" s="9" t="n">
        <x:f>A1975/4</x:f>
        <x:v>493</x:v>
      </x:c>
      <x:c r="D1975" s="8" t="n">
        <x:f>IF(MOD(A1975,4)=0,1,0)</x:f>
        <x:v>1</x:v>
      </x:c>
      <x:c r="E1975" s="8" t="n">
        <x:f>IF(AND(F1974&lt;=9,AS1974&gt;=AR1974),1,0)</x:f>
        <x:v>0</x:v>
      </x:c>
      <x:c r="F1975" s="8" t="n">
        <x:f>MIN(10,F1974+E1975)</x:f>
        <x:v>10</x:v>
      </x:c>
      <x:c r="G1975" s="8" t="n">
        <x:f>MIN(F1975,9)+1</x:f>
        <x:v>10</x:v>
      </x:c>
      <x:c r="H1975" s="8" t="n">
        <x:f>IF(F1975&lt;=9,1,0)</x:f>
        <x:v>0</x:v>
      </x:c>
      <x:c r="I1975" s="9" t="n">
        <x:f>MIN(10,F1974+IF(AR1974&gt;0,MIN(1,AS1974/AR1974),1))</x:f>
        <x:v>10</x:v>
      </x:c>
      <x:c r="J1975" s="32" t="n">
        <x:f>INDEX(v01_FoodCap,G1975)*Arch_FoodCap*EXP(v01_CapsByProject*SUMPRODUCT((Cap_Point&lt;=I1975)*(Cap_Kind="Food")*Cap_Ln))</x:f>
        <x:v>12000</x:v>
      </x:c>
      <x:c r="K1975" s="32" t="n">
        <x:f>J1975*MIN(1,v01_LeanBase*EXP(v01_CapsByProject*SUMPRODUCT((Cap_Point&lt;=I1975)*(Cap_Kind="Lean")*Cap_Ln)))</x:f>
        <x:v>12000</x:v>
      </x:c>
      <x:c r="L1975" s="10" t="n">
        <x:f>INDEX(v01_HousingCap,G1975)*EXP(v01_CapsByProject*SUMPRODUCT((Cap_Point&lt;=I1975)*(Cap_Kind="Housing")*Cap_Ln))</x:f>
        <x:v>20000</x:v>
      </x:c>
      <x:c r="M1975" s="10" t="n">
        <x:f>INDEX(v01_GroupCap,G1975)*v01_CohesionFactor*EXP(v01_CapsByProject*SUMPRODUCT((Cap_Point&lt;=I1975)*(Cap_Kind="Group")*Cap_Ln))</x:f>
        <x:v>1000000</x:v>
      </x:c>
      <x:c r="N1975" s="32" t="n">
        <x:f>MIN(J1975,L1975,M1975)</x:f>
        <x:v>12000</x:v>
      </x:c>
      <x:c r="O1975" s="10" t="n">
        <x:f>AE1974*N1975</x:f>
        <x:v>180000</x:v>
      </x:c>
      <x:c r="P1975" s="9" t="n">
        <x:f>MIN(1,(AB1974/(AE1974*IF(v01_GroupInCrowding=1,N1975,MIN(J1975,L1975))))^v01_CrowdingExp)</x:f>
        <x:v>0.00024569414295285325</x:v>
      </x:c>
      <x:c r="Q1975" s="9" t="n">
        <x:f>IF(D1975=1,INDEX(v01_WinterMult,G1975),1)</x:f>
        <x:v>1</x:v>
      </x:c>
      <x:c r="R1975" s="9" t="n">
        <x:f>H1975*Z1974*v01_WomenShare*v01_BaseFertility*INDEX(v01_FertMult,G1975)*Arch_Fertility*(1-P1975)</x:f>
        <x:v>0</x:v>
      </x:c>
      <x:c r="S1975" s="9" t="n">
        <x:f>H1975*Y1974*INDEX(v01_MortChild,G1975)/4*Q1975</x:f>
        <x:v>0</x:v>
      </x:c>
      <x:c r="T1975" s="9" t="n">
        <x:f>H1975*Z1974*INDEX(v01_MortAdult,G1975)*Arch_AdultMort/4*Q1975</x:f>
        <x:v>0</x:v>
      </x:c>
      <x:c r="U1975" s="9" t="n">
        <x:f>H1975*AA1974*INDEX(v01_MortElder,G1975)/4*Q1975</x:f>
        <x:v>0</x:v>
      </x:c>
      <x:c r="V1975" s="9" t="n">
        <x:f>H1975*MAX(0,AB1974-O1975)*v01_OvercapLoss</x:f>
        <x:v>0</x:v>
      </x:c>
      <x:c r="W1975" s="9" t="n">
        <x:f>H1975*Y1974/(v01_ChildYears*4)</x:f>
        <x:v>0</x:v>
      </x:c>
      <x:c r="X1975" s="9" t="n">
        <x:f>H1975*Z1974/(v01_AdultYears*4)</x:f>
        <x:v>0</x:v>
      </x:c>
      <x:c r="Y1975" s="32" t="n">
        <x:f>Y1974+R1975-S1975-W1975-Y1974*V1975/AB1974</x:f>
        <x:v>14306.18539759397</x:v>
      </x:c>
      <x:c r="Z1975" s="32" t="n">
        <x:f>Z1974+W1975-X1975-T1975-Z1974*V1975/AB1974</x:f>
        <x:v>19354.456567879548</x:v>
      </x:c>
      <x:c r="AA1975" s="32" t="n">
        <x:f>AA1974+X1975-U1975-AA1974*V1975/AB1974</x:f>
        <x:v>11386.956063258198</x:v>
      </x:c>
      <x:c r="AB1975" s="10" t="n">
        <x:f>Y1975+Z1975+AA1975</x:f>
        <x:v>45047.59802873172</x:v>
      </x:c>
      <x:c r="AC1975" s="8" t="n">
        <x:f>IF(AND(v01_WinterTrigger=1,D1975=1,AB1974/AE1974&gt;=K1975),1,0)</x:f>
        <x:v>0</x:v>
      </x:c>
      <x:c r="AD1975" s="8" t="n">
        <x:f>H1975*IF(AND(OR(AB1974/AE1974&gt;=v01_FissionTrigger*N1975,AC1975=1),AB1974/AE1974*v01_DaughterShare&gt;=v01_MinDaughter),MAX(1,ROUND(AE1974*v01_FissionRate,0)),0)</x:f>
        <x:v>0</x:v>
      </x:c>
      <x:c r="AE1975" s="8" t="n">
        <x:f>IF(H1975=1,MAX(1,MIN(INDEX(v01_Smax,G1975),AE1974+AD1975)),AE1974)</x:f>
        <x:v>15</x:v>
      </x:c>
      <x:c r="AF1975" s="8" t="n">
        <x:f>MAX(0,AE1975-AE1974)</x:f>
        <x:v>0</x:v>
      </x:c>
      <x:c r="AG1975" s="9" t="str">
        <x:f>IF(AF1975&gt;0,B1975,"")</x:f>
      </x:c>
      <x:c r="AH1975" s="9" t="n">
        <x:f>IF(F1975&gt;=1,1,(1+v01_LowTiesShare*(AE1975-1))/AE1975)</x:f>
        <x:v>1</x:v>
      </x:c>
      <x:c r="AI1975" s="32" t="n">
        <x:f>(Z1975+v01_ElderCommons*INDEX(LM_Elder,G1975)*AA1975)*AH1975</x:f>
        <x:v>64139.732591141874</x:v>
      </x:c>
      <x:c r="AJ1975" s="32" t="n">
        <x:f>H1975*v01_CommonsCoef*AI1975^v01_CommonsExp*INDEX(LM_Commons,G1975)</x:f>
        <x:v>0</x:v>
      </x:c>
      <x:c r="AK1975" s="32" t="n">
        <x:f>H1975*v01_RoleScale*Arch_Roles*(AE1975*(INDEX(v01_ElderRolePerSett,G1975)*v01_OutElder*INDEX(LM_Elder,G1975)+INDEX(v01_ShamanPerSett,G1975)*v01_OutShaman)+Z1975*(INDEX(v01_PriestShare,G1975)*v01_OutPriest+INDEX(v01_ScribeShare,G1975)*v01_OutScribe*INDEX(LM_Scribe,G1975)+INDEX(v01_ScholarShare,G1975)*v01_OutScholar*INDEX(LM_Scholar,G1975)+INDEX(v01_ResearcherShare,G1975)*v01_OutResearcher*INDEX(LM_Researcher,G1975)))</x:f>
        <x:v>0</x:v>
      </x:c>
      <x:c r="AL1975" s="32" t="n">
        <x:f>H1975*v01_RoleScale*Arch_Roles*AE1975*INDEX(v01_MonasteryPerSett,G1975)*v01_OutMonastery*INDEX(LM_Monastery,G1975)</x:f>
        <x:v>0</x:v>
      </x:c>
      <x:c r="AM1975" s="32" t="n">
        <x:f>(AJ1975+AK1975+AL1975)/4*INDEX(LM_All,G1975)*INDEX(v01_Boon,G1975)*Arch_Insight</x:f>
        <x:v>0</x:v>
      </x:c>
      <x:c r="AN1975" s="32" t="n">
        <x:f>H1975*(v01_KHPerAdult*Z1975+v01_KHOfCommons*AJ1975/4*INDEX(LM_All,G1975))*v01_KHUsable*Arch_KH</x:f>
        <x:v>0</x:v>
      </x:c>
      <x:c r="AO1975" s="32" t="n">
        <x:f>MIN(AP1974+AN1975,AM1975*v01_KHMaxRatio)</x:f>
        <x:v>0</x:v>
      </x:c>
      <x:c r="AP1975" s="32" t="n">
        <x:f>AP1974+AN1975-AO1975</x:f>
        <x:v>0</x:v>
      </x:c>
      <x:c r="AQ1975" s="32" t="n">
        <x:f>AM1975+AO1975</x:f>
        <x:v>0</x:v>
      </x:c>
      <x:c r="AR1975" s="10" t="n">
        <x:f>IF(H1975=1,INDEX(v01_Req,G1975),0)</x:f>
        <x:v>0</x:v>
      </x:c>
      <x:c r="AS1975" s="32" t="n">
        <x:f>IF(H1975=1,IF(E1975=1,AS1974-AR1974,AS1974)+AQ1975,0)</x:f>
        <x:v>0</x:v>
      </x:c>
      <x:c r="AT1975" s="11" t="n">
        <x:f>IF(AR1975&gt;0,MIN(1,AS1975/AR1975),1)</x:f>
        <x:v>1</x:v>
      </x:c>
      <x:c r="AU1975" s="10" t="n">
        <x:f>AB1975/INDEX(v01_RepScale,G1975)</x:f>
        <x:v>90.09519605746344</x:v>
      </x:c>
      <x:c r="AV1975" s="32" t="n">
        <x:f>AM1975*60/v01_SeasonSeconds</x:f>
        <x:v>0</x:v>
      </x:c>
    </x:row>
    <x:row r="1976">
      <x:c r="A1976" s="8" t="n">
        <x:f>A1975+1</x:f>
        <x:v>1973</x:v>
      </x:c>
      <x:c r="B1976" s="9" t="n">
        <x:f>A1976*v01_SeasonSeconds/60</x:f>
        <x:v>493.25</x:v>
      </x:c>
      <x:c r="C1976" s="9" t="n">
        <x:f>A1976/4</x:f>
        <x:v>493.25</x:v>
      </x:c>
      <x:c r="D1976" s="8" t="n">
        <x:f>IF(MOD(A1976,4)=0,1,0)</x:f>
        <x:v>0</x:v>
      </x:c>
      <x:c r="E1976" s="8" t="n">
        <x:f>IF(AND(F1975&lt;=9,AS1975&gt;=AR1975),1,0)</x:f>
        <x:v>0</x:v>
      </x:c>
      <x:c r="F1976" s="8" t="n">
        <x:f>MIN(10,F1975+E1976)</x:f>
        <x:v>10</x:v>
      </x:c>
      <x:c r="G1976" s="8" t="n">
        <x:f>MIN(F1976,9)+1</x:f>
        <x:v>10</x:v>
      </x:c>
      <x:c r="H1976" s="8" t="n">
        <x:f>IF(F1976&lt;=9,1,0)</x:f>
        <x:v>0</x:v>
      </x:c>
      <x:c r="I1976" s="9" t="n">
        <x:f>MIN(10,F1975+IF(AR1975&gt;0,MIN(1,AS1975/AR1975),1))</x:f>
        <x:v>10</x:v>
      </x:c>
      <x:c r="J1976" s="32" t="n">
        <x:f>INDEX(v01_FoodCap,G1976)*Arch_FoodCap*EXP(v01_CapsByProject*SUMPRODUCT((Cap_Point&lt;=I1976)*(Cap_Kind="Food")*Cap_Ln))</x:f>
        <x:v>12000</x:v>
      </x:c>
      <x:c r="K1976" s="32" t="n">
        <x:f>J1976*MIN(1,v01_LeanBase*EXP(v01_CapsByProject*SUMPRODUCT((Cap_Point&lt;=I1976)*(Cap_Kind="Lean")*Cap_Ln)))</x:f>
        <x:v>12000</x:v>
      </x:c>
      <x:c r="L1976" s="10" t="n">
        <x:f>INDEX(v01_HousingCap,G1976)*EXP(v01_CapsByProject*SUMPRODUCT((Cap_Point&lt;=I1976)*(Cap_Kind="Housing")*Cap_Ln))</x:f>
        <x:v>20000</x:v>
      </x:c>
      <x:c r="M1976" s="10" t="n">
        <x:f>INDEX(v01_GroupCap,G1976)*v01_CohesionFactor*EXP(v01_CapsByProject*SUMPRODUCT((Cap_Point&lt;=I1976)*(Cap_Kind="Group")*Cap_Ln))</x:f>
        <x:v>1000000</x:v>
      </x:c>
      <x:c r="N1976" s="32" t="n">
        <x:f>MIN(J1976,L1976,M1976)</x:f>
        <x:v>12000</x:v>
      </x:c>
      <x:c r="O1976" s="10" t="n">
        <x:f>AE1975*N1976</x:f>
        <x:v>180000</x:v>
      </x:c>
      <x:c r="P1976" s="9" t="n">
        <x:f>MIN(1,(AB1975/(AE1975*IF(v01_GroupInCrowding=1,N1976,MIN(J1976,L1976))))^v01_CrowdingExp)</x:f>
        <x:v>0.00024569414295285325</x:v>
      </x:c>
      <x:c r="Q1976" s="9" t="n">
        <x:f>IF(D1976=1,INDEX(v01_WinterMult,G1976),1)</x:f>
        <x:v>1</x:v>
      </x:c>
      <x:c r="R1976" s="9" t="n">
        <x:f>H1976*Z1975*v01_WomenShare*v01_BaseFertility*INDEX(v01_FertMult,G1976)*Arch_Fertility*(1-P1976)</x:f>
        <x:v>0</x:v>
      </x:c>
      <x:c r="S1976" s="9" t="n">
        <x:f>H1976*Y1975*INDEX(v01_MortChild,G1976)/4*Q1976</x:f>
        <x:v>0</x:v>
      </x:c>
      <x:c r="T1976" s="9" t="n">
        <x:f>H1976*Z1975*INDEX(v01_MortAdult,G1976)*Arch_AdultMort/4*Q1976</x:f>
        <x:v>0</x:v>
      </x:c>
      <x:c r="U1976" s="9" t="n">
        <x:f>H1976*AA1975*INDEX(v01_MortElder,G1976)/4*Q1976</x:f>
        <x:v>0</x:v>
      </x:c>
      <x:c r="V1976" s="9" t="n">
        <x:f>H1976*MAX(0,AB1975-O1976)*v01_OvercapLoss</x:f>
        <x:v>0</x:v>
      </x:c>
      <x:c r="W1976" s="9" t="n">
        <x:f>H1976*Y1975/(v01_ChildYears*4)</x:f>
        <x:v>0</x:v>
      </x:c>
      <x:c r="X1976" s="9" t="n">
        <x:f>H1976*Z1975/(v01_AdultYears*4)</x:f>
        <x:v>0</x:v>
      </x:c>
      <x:c r="Y1976" s="32" t="n">
        <x:f>Y1975+R1976-S1976-W1976-Y1975*V1976/AB1975</x:f>
        <x:v>14306.18539759397</x:v>
      </x:c>
      <x:c r="Z1976" s="32" t="n">
        <x:f>Z1975+W1976-X1976-T1976-Z1975*V1976/AB1975</x:f>
        <x:v>19354.456567879548</x:v>
      </x:c>
      <x:c r="AA1976" s="32" t="n">
        <x:f>AA1975+X1976-U1976-AA1975*V1976/AB1975</x:f>
        <x:v>11386.956063258198</x:v>
      </x:c>
      <x:c r="AB1976" s="10" t="n">
        <x:f>Y1976+Z1976+AA1976</x:f>
        <x:v>45047.59802873172</x:v>
      </x:c>
      <x:c r="AC1976" s="8" t="n">
        <x:f>IF(AND(v01_WinterTrigger=1,D1976=1,AB1975/AE1975&gt;=K1976),1,0)</x:f>
        <x:v>0</x:v>
      </x:c>
      <x:c r="AD1976" s="8" t="n">
        <x:f>H1976*IF(AND(OR(AB1975/AE1975&gt;=v01_FissionTrigger*N1976,AC1976=1),AB1975/AE1975*v01_DaughterShare&gt;=v01_MinDaughter),MAX(1,ROUND(AE1975*v01_FissionRate,0)),0)</x:f>
        <x:v>0</x:v>
      </x:c>
      <x:c r="AE1976" s="8" t="n">
        <x:f>IF(H1976=1,MAX(1,MIN(INDEX(v01_Smax,G1976),AE1975+AD1976)),AE1975)</x:f>
        <x:v>15</x:v>
      </x:c>
      <x:c r="AF1976" s="8" t="n">
        <x:f>MAX(0,AE1976-AE1975)</x:f>
        <x:v>0</x:v>
      </x:c>
      <x:c r="AG1976" s="9" t="str">
        <x:f>IF(AF1976&gt;0,B1976,"")</x:f>
      </x:c>
      <x:c r="AH1976" s="9" t="n">
        <x:f>IF(F1976&gt;=1,1,(1+v01_LowTiesShare*(AE1976-1))/AE1976)</x:f>
        <x:v>1</x:v>
      </x:c>
      <x:c r="AI1976" s="32" t="n">
        <x:f>(Z1976+v01_ElderCommons*INDEX(LM_Elder,G1976)*AA1976)*AH1976</x:f>
        <x:v>64139.732591141874</x:v>
      </x:c>
      <x:c r="AJ1976" s="32" t="n">
        <x:f>H1976*v01_CommonsCoef*AI1976^v01_CommonsExp*INDEX(LM_Commons,G1976)</x:f>
        <x:v>0</x:v>
      </x:c>
      <x:c r="AK1976" s="32" t="n">
        <x:f>H1976*v01_RoleScale*Arch_Roles*(AE1976*(INDEX(v01_ElderRolePerSett,G1976)*v01_OutElder*INDEX(LM_Elder,G1976)+INDEX(v01_ShamanPerSett,G1976)*v01_OutShaman)+Z1976*(INDEX(v01_PriestShare,G1976)*v01_OutPriest+INDEX(v01_ScribeShare,G1976)*v01_OutScribe*INDEX(LM_Scribe,G1976)+INDEX(v01_ScholarShare,G1976)*v01_OutScholar*INDEX(LM_Scholar,G1976)+INDEX(v01_ResearcherShare,G1976)*v01_OutResearcher*INDEX(LM_Researcher,G1976)))</x:f>
        <x:v>0</x:v>
      </x:c>
      <x:c r="AL1976" s="32" t="n">
        <x:f>H1976*v01_RoleScale*Arch_Roles*AE1976*INDEX(v01_MonasteryPerSett,G1976)*v01_OutMonastery*INDEX(LM_Monastery,G1976)</x:f>
        <x:v>0</x:v>
      </x:c>
      <x:c r="AM1976" s="32" t="n">
        <x:f>(AJ1976+AK1976+AL1976)/4*INDEX(LM_All,G1976)*INDEX(v01_Boon,G1976)*Arch_Insight</x:f>
        <x:v>0</x:v>
      </x:c>
      <x:c r="AN1976" s="32" t="n">
        <x:f>H1976*(v01_KHPerAdult*Z1976+v01_KHOfCommons*AJ1976/4*INDEX(LM_All,G1976))*v01_KHUsable*Arch_KH</x:f>
        <x:v>0</x:v>
      </x:c>
      <x:c r="AO1976" s="32" t="n">
        <x:f>MIN(AP1975+AN1976,AM1976*v01_KHMaxRatio)</x:f>
        <x:v>0</x:v>
      </x:c>
      <x:c r="AP1976" s="32" t="n">
        <x:f>AP1975+AN1976-AO1976</x:f>
        <x:v>0</x:v>
      </x:c>
      <x:c r="AQ1976" s="32" t="n">
        <x:f>AM1976+AO1976</x:f>
        <x:v>0</x:v>
      </x:c>
      <x:c r="AR1976" s="10" t="n">
        <x:f>IF(H1976=1,INDEX(v01_Req,G1976),0)</x:f>
        <x:v>0</x:v>
      </x:c>
      <x:c r="AS1976" s="32" t="n">
        <x:f>IF(H1976=1,IF(E1976=1,AS1975-AR1975,AS1975)+AQ1976,0)</x:f>
        <x:v>0</x:v>
      </x:c>
      <x:c r="AT1976" s="11" t="n">
        <x:f>IF(AR1976&gt;0,MIN(1,AS1976/AR1976),1)</x:f>
        <x:v>1</x:v>
      </x:c>
      <x:c r="AU1976" s="10" t="n">
        <x:f>AB1976/INDEX(v01_RepScale,G1976)</x:f>
        <x:v>90.09519605746344</x:v>
      </x:c>
      <x:c r="AV1976" s="32" t="n">
        <x:f>AM1976*60/v01_SeasonSeconds</x:f>
        <x:v>0</x:v>
      </x:c>
    </x:row>
    <x:row r="1977">
      <x:c r="A1977" s="8" t="n">
        <x:f>A1976+1</x:f>
        <x:v>1974</x:v>
      </x:c>
      <x:c r="B1977" s="9" t="n">
        <x:f>A1977*v01_SeasonSeconds/60</x:f>
        <x:v>493.5</x:v>
      </x:c>
      <x:c r="C1977" s="9" t="n">
        <x:f>A1977/4</x:f>
        <x:v>493.5</x:v>
      </x:c>
      <x:c r="D1977" s="8" t="n">
        <x:f>IF(MOD(A1977,4)=0,1,0)</x:f>
        <x:v>0</x:v>
      </x:c>
      <x:c r="E1977" s="8" t="n">
        <x:f>IF(AND(F1976&lt;=9,AS1976&gt;=AR1976),1,0)</x:f>
        <x:v>0</x:v>
      </x:c>
      <x:c r="F1977" s="8" t="n">
        <x:f>MIN(10,F1976+E1977)</x:f>
        <x:v>10</x:v>
      </x:c>
      <x:c r="G1977" s="8" t="n">
        <x:f>MIN(F1977,9)+1</x:f>
        <x:v>10</x:v>
      </x:c>
      <x:c r="H1977" s="8" t="n">
        <x:f>IF(F1977&lt;=9,1,0)</x:f>
        <x:v>0</x:v>
      </x:c>
      <x:c r="I1977" s="9" t="n">
        <x:f>MIN(10,F1976+IF(AR1976&gt;0,MIN(1,AS1976/AR1976),1))</x:f>
        <x:v>10</x:v>
      </x:c>
      <x:c r="J1977" s="32" t="n">
        <x:f>INDEX(v01_FoodCap,G1977)*Arch_FoodCap*EXP(v01_CapsByProject*SUMPRODUCT((Cap_Point&lt;=I1977)*(Cap_Kind="Food")*Cap_Ln))</x:f>
        <x:v>12000</x:v>
      </x:c>
      <x:c r="K1977" s="32" t="n">
        <x:f>J1977*MIN(1,v01_LeanBase*EXP(v01_CapsByProject*SUMPRODUCT((Cap_Point&lt;=I1977)*(Cap_Kind="Lean")*Cap_Ln)))</x:f>
        <x:v>12000</x:v>
      </x:c>
      <x:c r="L1977" s="10" t="n">
        <x:f>INDEX(v01_HousingCap,G1977)*EXP(v01_CapsByProject*SUMPRODUCT((Cap_Point&lt;=I1977)*(Cap_Kind="Housing")*Cap_Ln))</x:f>
        <x:v>20000</x:v>
      </x:c>
      <x:c r="M1977" s="10" t="n">
        <x:f>INDEX(v01_GroupCap,G1977)*v01_CohesionFactor*EXP(v01_CapsByProject*SUMPRODUCT((Cap_Point&lt;=I1977)*(Cap_Kind="Group")*Cap_Ln))</x:f>
        <x:v>1000000</x:v>
      </x:c>
      <x:c r="N1977" s="32" t="n">
        <x:f>MIN(J1977,L1977,M1977)</x:f>
        <x:v>12000</x:v>
      </x:c>
      <x:c r="O1977" s="10" t="n">
        <x:f>AE1976*N1977</x:f>
        <x:v>180000</x:v>
      </x:c>
      <x:c r="P1977" s="9" t="n">
        <x:f>MIN(1,(AB1976/(AE1976*IF(v01_GroupInCrowding=1,N1977,MIN(J1977,L1977))))^v01_CrowdingExp)</x:f>
        <x:v>0.00024569414295285325</x:v>
      </x:c>
      <x:c r="Q1977" s="9" t="n">
        <x:f>IF(D1977=1,INDEX(v01_WinterMult,G1977),1)</x:f>
        <x:v>1</x:v>
      </x:c>
      <x:c r="R1977" s="9" t="n">
        <x:f>H1977*Z1976*v01_WomenShare*v01_BaseFertility*INDEX(v01_FertMult,G1977)*Arch_Fertility*(1-P1977)</x:f>
        <x:v>0</x:v>
      </x:c>
      <x:c r="S1977" s="9" t="n">
        <x:f>H1977*Y1976*INDEX(v01_MortChild,G1977)/4*Q1977</x:f>
        <x:v>0</x:v>
      </x:c>
      <x:c r="T1977" s="9" t="n">
        <x:f>H1977*Z1976*INDEX(v01_MortAdult,G1977)*Arch_AdultMort/4*Q1977</x:f>
        <x:v>0</x:v>
      </x:c>
      <x:c r="U1977" s="9" t="n">
        <x:f>H1977*AA1976*INDEX(v01_MortElder,G1977)/4*Q1977</x:f>
        <x:v>0</x:v>
      </x:c>
      <x:c r="V1977" s="9" t="n">
        <x:f>H1977*MAX(0,AB1976-O1977)*v01_OvercapLoss</x:f>
        <x:v>0</x:v>
      </x:c>
      <x:c r="W1977" s="9" t="n">
        <x:f>H1977*Y1976/(v01_ChildYears*4)</x:f>
        <x:v>0</x:v>
      </x:c>
      <x:c r="X1977" s="9" t="n">
        <x:f>H1977*Z1976/(v01_AdultYears*4)</x:f>
        <x:v>0</x:v>
      </x:c>
      <x:c r="Y1977" s="32" t="n">
        <x:f>Y1976+R1977-S1977-W1977-Y1976*V1977/AB1976</x:f>
        <x:v>14306.18539759397</x:v>
      </x:c>
      <x:c r="Z1977" s="32" t="n">
        <x:f>Z1976+W1977-X1977-T1977-Z1976*V1977/AB1976</x:f>
        <x:v>19354.456567879548</x:v>
      </x:c>
      <x:c r="AA1977" s="32" t="n">
        <x:f>AA1976+X1977-U1977-AA1976*V1977/AB1976</x:f>
        <x:v>11386.956063258198</x:v>
      </x:c>
      <x:c r="AB1977" s="10" t="n">
        <x:f>Y1977+Z1977+AA1977</x:f>
        <x:v>45047.59802873172</x:v>
      </x:c>
      <x:c r="AC1977" s="8" t="n">
        <x:f>IF(AND(v01_WinterTrigger=1,D1977=1,AB1976/AE1976&gt;=K1977),1,0)</x:f>
        <x:v>0</x:v>
      </x:c>
      <x:c r="AD1977" s="8" t="n">
        <x:f>H1977*IF(AND(OR(AB1976/AE1976&gt;=v01_FissionTrigger*N1977,AC1977=1),AB1976/AE1976*v01_DaughterShare&gt;=v01_MinDaughter),MAX(1,ROUND(AE1976*v01_FissionRate,0)),0)</x:f>
        <x:v>0</x:v>
      </x:c>
      <x:c r="AE1977" s="8" t="n">
        <x:f>IF(H1977=1,MAX(1,MIN(INDEX(v01_Smax,G1977),AE1976+AD1977)),AE1976)</x:f>
        <x:v>15</x:v>
      </x:c>
      <x:c r="AF1977" s="8" t="n">
        <x:f>MAX(0,AE1977-AE1976)</x:f>
        <x:v>0</x:v>
      </x:c>
      <x:c r="AG1977" s="9" t="str">
        <x:f>IF(AF1977&gt;0,B1977,"")</x:f>
      </x:c>
      <x:c r="AH1977" s="9" t="n">
        <x:f>IF(F1977&gt;=1,1,(1+v01_LowTiesShare*(AE1977-1))/AE1977)</x:f>
        <x:v>1</x:v>
      </x:c>
      <x:c r="AI1977" s="32" t="n">
        <x:f>(Z1977+v01_ElderCommons*INDEX(LM_Elder,G1977)*AA1977)*AH1977</x:f>
        <x:v>64139.732591141874</x:v>
      </x:c>
      <x:c r="AJ1977" s="32" t="n">
        <x:f>H1977*v01_CommonsCoef*AI1977^v01_CommonsExp*INDEX(LM_Commons,G1977)</x:f>
        <x:v>0</x:v>
      </x:c>
      <x:c r="AK1977" s="32" t="n">
        <x:f>H1977*v01_RoleScale*Arch_Roles*(AE1977*(INDEX(v01_ElderRolePerSett,G1977)*v01_OutElder*INDEX(LM_Elder,G1977)+INDEX(v01_ShamanPerSett,G1977)*v01_OutShaman)+Z1977*(INDEX(v01_PriestShare,G1977)*v01_OutPriest+INDEX(v01_ScribeShare,G1977)*v01_OutScribe*INDEX(LM_Scribe,G1977)+INDEX(v01_ScholarShare,G1977)*v01_OutScholar*INDEX(LM_Scholar,G1977)+INDEX(v01_ResearcherShare,G1977)*v01_OutResearcher*INDEX(LM_Researcher,G1977)))</x:f>
        <x:v>0</x:v>
      </x:c>
      <x:c r="AL1977" s="32" t="n">
        <x:f>H1977*v01_RoleScale*Arch_Roles*AE1977*INDEX(v01_MonasteryPerSett,G1977)*v01_OutMonastery*INDEX(LM_Monastery,G1977)</x:f>
        <x:v>0</x:v>
      </x:c>
      <x:c r="AM1977" s="32" t="n">
        <x:f>(AJ1977+AK1977+AL1977)/4*INDEX(LM_All,G1977)*INDEX(v01_Boon,G1977)*Arch_Insight</x:f>
        <x:v>0</x:v>
      </x:c>
      <x:c r="AN1977" s="32" t="n">
        <x:f>H1977*(v01_KHPerAdult*Z1977+v01_KHOfCommons*AJ1977/4*INDEX(LM_All,G1977))*v01_KHUsable*Arch_KH</x:f>
        <x:v>0</x:v>
      </x:c>
      <x:c r="AO1977" s="32" t="n">
        <x:f>MIN(AP1976+AN1977,AM1977*v01_KHMaxRatio)</x:f>
        <x:v>0</x:v>
      </x:c>
      <x:c r="AP1977" s="32" t="n">
        <x:f>AP1976+AN1977-AO1977</x:f>
        <x:v>0</x:v>
      </x:c>
      <x:c r="AQ1977" s="32" t="n">
        <x:f>AM1977+AO1977</x:f>
        <x:v>0</x:v>
      </x:c>
      <x:c r="AR1977" s="10" t="n">
        <x:f>IF(H1977=1,INDEX(v01_Req,G1977),0)</x:f>
        <x:v>0</x:v>
      </x:c>
      <x:c r="AS1977" s="32" t="n">
        <x:f>IF(H1977=1,IF(E1977=1,AS1976-AR1976,AS1976)+AQ1977,0)</x:f>
        <x:v>0</x:v>
      </x:c>
      <x:c r="AT1977" s="11" t="n">
        <x:f>IF(AR1977&gt;0,MIN(1,AS1977/AR1977),1)</x:f>
        <x:v>1</x:v>
      </x:c>
      <x:c r="AU1977" s="10" t="n">
        <x:f>AB1977/INDEX(v01_RepScale,G1977)</x:f>
        <x:v>90.09519605746344</x:v>
      </x:c>
      <x:c r="AV1977" s="32" t="n">
        <x:f>AM1977*60/v01_SeasonSeconds</x:f>
        <x:v>0</x:v>
      </x:c>
    </x:row>
    <x:row r="1978">
      <x:c r="A1978" s="8" t="n">
        <x:f>A1977+1</x:f>
        <x:v>1975</x:v>
      </x:c>
      <x:c r="B1978" s="9" t="n">
        <x:f>A1978*v01_SeasonSeconds/60</x:f>
        <x:v>493.75</x:v>
      </x:c>
      <x:c r="C1978" s="9" t="n">
        <x:f>A1978/4</x:f>
        <x:v>493.75</x:v>
      </x:c>
      <x:c r="D1978" s="8" t="n">
        <x:f>IF(MOD(A1978,4)=0,1,0)</x:f>
        <x:v>0</x:v>
      </x:c>
      <x:c r="E1978" s="8" t="n">
        <x:f>IF(AND(F1977&lt;=9,AS1977&gt;=AR1977),1,0)</x:f>
        <x:v>0</x:v>
      </x:c>
      <x:c r="F1978" s="8" t="n">
        <x:f>MIN(10,F1977+E1978)</x:f>
        <x:v>10</x:v>
      </x:c>
      <x:c r="G1978" s="8" t="n">
        <x:f>MIN(F1978,9)+1</x:f>
        <x:v>10</x:v>
      </x:c>
      <x:c r="H1978" s="8" t="n">
        <x:f>IF(F1978&lt;=9,1,0)</x:f>
        <x:v>0</x:v>
      </x:c>
      <x:c r="I1978" s="9" t="n">
        <x:f>MIN(10,F1977+IF(AR1977&gt;0,MIN(1,AS1977/AR1977),1))</x:f>
        <x:v>10</x:v>
      </x:c>
      <x:c r="J1978" s="32" t="n">
        <x:f>INDEX(v01_FoodCap,G1978)*Arch_FoodCap*EXP(v01_CapsByProject*SUMPRODUCT((Cap_Point&lt;=I1978)*(Cap_Kind="Food")*Cap_Ln))</x:f>
        <x:v>12000</x:v>
      </x:c>
      <x:c r="K1978" s="32" t="n">
        <x:f>J1978*MIN(1,v01_LeanBase*EXP(v01_CapsByProject*SUMPRODUCT((Cap_Point&lt;=I1978)*(Cap_Kind="Lean")*Cap_Ln)))</x:f>
        <x:v>12000</x:v>
      </x:c>
      <x:c r="L1978" s="10" t="n">
        <x:f>INDEX(v01_HousingCap,G1978)*EXP(v01_CapsByProject*SUMPRODUCT((Cap_Point&lt;=I1978)*(Cap_Kind="Housing")*Cap_Ln))</x:f>
        <x:v>20000</x:v>
      </x:c>
      <x:c r="M1978" s="10" t="n">
        <x:f>INDEX(v01_GroupCap,G1978)*v01_CohesionFactor*EXP(v01_CapsByProject*SUMPRODUCT((Cap_Point&lt;=I1978)*(Cap_Kind="Group")*Cap_Ln))</x:f>
        <x:v>1000000</x:v>
      </x:c>
      <x:c r="N1978" s="32" t="n">
        <x:f>MIN(J1978,L1978,M1978)</x:f>
        <x:v>12000</x:v>
      </x:c>
      <x:c r="O1978" s="10" t="n">
        <x:f>AE1977*N1978</x:f>
        <x:v>180000</x:v>
      </x:c>
      <x:c r="P1978" s="9" t="n">
        <x:f>MIN(1,(AB1977/(AE1977*IF(v01_GroupInCrowding=1,N1978,MIN(J1978,L1978))))^v01_CrowdingExp)</x:f>
        <x:v>0.00024569414295285325</x:v>
      </x:c>
      <x:c r="Q1978" s="9" t="n">
        <x:f>IF(D1978=1,INDEX(v01_WinterMult,G1978),1)</x:f>
        <x:v>1</x:v>
      </x:c>
      <x:c r="R1978" s="9" t="n">
        <x:f>H1978*Z1977*v01_WomenShare*v01_BaseFertility*INDEX(v01_FertMult,G1978)*Arch_Fertility*(1-P1978)</x:f>
        <x:v>0</x:v>
      </x:c>
      <x:c r="S1978" s="9" t="n">
        <x:f>H1978*Y1977*INDEX(v01_MortChild,G1978)/4*Q1978</x:f>
        <x:v>0</x:v>
      </x:c>
      <x:c r="T1978" s="9" t="n">
        <x:f>H1978*Z1977*INDEX(v01_MortAdult,G1978)*Arch_AdultMort/4*Q1978</x:f>
        <x:v>0</x:v>
      </x:c>
      <x:c r="U1978" s="9" t="n">
        <x:f>H1978*AA1977*INDEX(v01_MortElder,G1978)/4*Q1978</x:f>
        <x:v>0</x:v>
      </x:c>
      <x:c r="V1978" s="9" t="n">
        <x:f>H1978*MAX(0,AB1977-O1978)*v01_OvercapLoss</x:f>
        <x:v>0</x:v>
      </x:c>
      <x:c r="W1978" s="9" t="n">
        <x:f>H1978*Y1977/(v01_ChildYears*4)</x:f>
        <x:v>0</x:v>
      </x:c>
      <x:c r="X1978" s="9" t="n">
        <x:f>H1978*Z1977/(v01_AdultYears*4)</x:f>
        <x:v>0</x:v>
      </x:c>
      <x:c r="Y1978" s="32" t="n">
        <x:f>Y1977+R1978-S1978-W1978-Y1977*V1978/AB1977</x:f>
        <x:v>14306.18539759397</x:v>
      </x:c>
      <x:c r="Z1978" s="32" t="n">
        <x:f>Z1977+W1978-X1978-T1978-Z1977*V1978/AB1977</x:f>
        <x:v>19354.456567879548</x:v>
      </x:c>
      <x:c r="AA1978" s="32" t="n">
        <x:f>AA1977+X1978-U1978-AA1977*V1978/AB1977</x:f>
        <x:v>11386.956063258198</x:v>
      </x:c>
      <x:c r="AB1978" s="10" t="n">
        <x:f>Y1978+Z1978+AA1978</x:f>
        <x:v>45047.59802873172</x:v>
      </x:c>
      <x:c r="AC1978" s="8" t="n">
        <x:f>IF(AND(v01_WinterTrigger=1,D1978=1,AB1977/AE1977&gt;=K1978),1,0)</x:f>
        <x:v>0</x:v>
      </x:c>
      <x:c r="AD1978" s="8" t="n">
        <x:f>H1978*IF(AND(OR(AB1977/AE1977&gt;=v01_FissionTrigger*N1978,AC1978=1),AB1977/AE1977*v01_DaughterShare&gt;=v01_MinDaughter),MAX(1,ROUND(AE1977*v01_FissionRate,0)),0)</x:f>
        <x:v>0</x:v>
      </x:c>
      <x:c r="AE1978" s="8" t="n">
        <x:f>IF(H1978=1,MAX(1,MIN(INDEX(v01_Smax,G1978),AE1977+AD1978)),AE1977)</x:f>
        <x:v>15</x:v>
      </x:c>
      <x:c r="AF1978" s="8" t="n">
        <x:f>MAX(0,AE1978-AE1977)</x:f>
        <x:v>0</x:v>
      </x:c>
      <x:c r="AG1978" s="9" t="str">
        <x:f>IF(AF1978&gt;0,B1978,"")</x:f>
      </x:c>
      <x:c r="AH1978" s="9" t="n">
        <x:f>IF(F1978&gt;=1,1,(1+v01_LowTiesShare*(AE1978-1))/AE1978)</x:f>
        <x:v>1</x:v>
      </x:c>
      <x:c r="AI1978" s="32" t="n">
        <x:f>(Z1978+v01_ElderCommons*INDEX(LM_Elder,G1978)*AA1978)*AH1978</x:f>
        <x:v>64139.732591141874</x:v>
      </x:c>
      <x:c r="AJ1978" s="32" t="n">
        <x:f>H1978*v01_CommonsCoef*AI1978^v01_CommonsExp*INDEX(LM_Commons,G1978)</x:f>
        <x:v>0</x:v>
      </x:c>
      <x:c r="AK1978" s="32" t="n">
        <x:f>H1978*v01_RoleScale*Arch_Roles*(AE1978*(INDEX(v01_ElderRolePerSett,G1978)*v01_OutElder*INDEX(LM_Elder,G1978)+INDEX(v01_ShamanPerSett,G1978)*v01_OutShaman)+Z1978*(INDEX(v01_PriestShare,G1978)*v01_OutPriest+INDEX(v01_ScribeShare,G1978)*v01_OutScribe*INDEX(LM_Scribe,G1978)+INDEX(v01_ScholarShare,G1978)*v01_OutScholar*INDEX(LM_Scholar,G1978)+INDEX(v01_ResearcherShare,G1978)*v01_OutResearcher*INDEX(LM_Researcher,G1978)))</x:f>
        <x:v>0</x:v>
      </x:c>
      <x:c r="AL1978" s="32" t="n">
        <x:f>H1978*v01_RoleScale*Arch_Roles*AE1978*INDEX(v01_MonasteryPerSett,G1978)*v01_OutMonastery*INDEX(LM_Monastery,G1978)</x:f>
        <x:v>0</x:v>
      </x:c>
      <x:c r="AM1978" s="32" t="n">
        <x:f>(AJ1978+AK1978+AL1978)/4*INDEX(LM_All,G1978)*INDEX(v01_Boon,G1978)*Arch_Insight</x:f>
        <x:v>0</x:v>
      </x:c>
      <x:c r="AN1978" s="32" t="n">
        <x:f>H1978*(v01_KHPerAdult*Z1978+v01_KHOfCommons*AJ1978/4*INDEX(LM_All,G1978))*v01_KHUsable*Arch_KH</x:f>
        <x:v>0</x:v>
      </x:c>
      <x:c r="AO1978" s="32" t="n">
        <x:f>MIN(AP1977+AN1978,AM1978*v01_KHMaxRatio)</x:f>
        <x:v>0</x:v>
      </x:c>
      <x:c r="AP1978" s="32" t="n">
        <x:f>AP1977+AN1978-AO1978</x:f>
        <x:v>0</x:v>
      </x:c>
      <x:c r="AQ1978" s="32" t="n">
        <x:f>AM1978+AO1978</x:f>
        <x:v>0</x:v>
      </x:c>
      <x:c r="AR1978" s="10" t="n">
        <x:f>IF(H1978=1,INDEX(v01_Req,G1978),0)</x:f>
        <x:v>0</x:v>
      </x:c>
      <x:c r="AS1978" s="32" t="n">
        <x:f>IF(H1978=1,IF(E1978=1,AS1977-AR1977,AS1977)+AQ1978,0)</x:f>
        <x:v>0</x:v>
      </x:c>
      <x:c r="AT1978" s="11" t="n">
        <x:f>IF(AR1978&gt;0,MIN(1,AS1978/AR1978),1)</x:f>
        <x:v>1</x:v>
      </x:c>
      <x:c r="AU1978" s="10" t="n">
        <x:f>AB1978/INDEX(v01_RepScale,G1978)</x:f>
        <x:v>90.09519605746344</x:v>
      </x:c>
      <x:c r="AV1978" s="32" t="n">
        <x:f>AM1978*60/v01_SeasonSeconds</x:f>
        <x:v>0</x:v>
      </x:c>
    </x:row>
    <x:row r="1979">
      <x:c r="A1979" s="8" t="n">
        <x:f>A1978+1</x:f>
        <x:v>1976</x:v>
      </x:c>
      <x:c r="B1979" s="9" t="n">
        <x:f>A1979*v01_SeasonSeconds/60</x:f>
        <x:v>494</x:v>
      </x:c>
      <x:c r="C1979" s="9" t="n">
        <x:f>A1979/4</x:f>
        <x:v>494</x:v>
      </x:c>
      <x:c r="D1979" s="8" t="n">
        <x:f>IF(MOD(A1979,4)=0,1,0)</x:f>
        <x:v>1</x:v>
      </x:c>
      <x:c r="E1979" s="8" t="n">
        <x:f>IF(AND(F1978&lt;=9,AS1978&gt;=AR1978),1,0)</x:f>
        <x:v>0</x:v>
      </x:c>
      <x:c r="F1979" s="8" t="n">
        <x:f>MIN(10,F1978+E1979)</x:f>
        <x:v>10</x:v>
      </x:c>
      <x:c r="G1979" s="8" t="n">
        <x:f>MIN(F1979,9)+1</x:f>
        <x:v>10</x:v>
      </x:c>
      <x:c r="H1979" s="8" t="n">
        <x:f>IF(F1979&lt;=9,1,0)</x:f>
        <x:v>0</x:v>
      </x:c>
      <x:c r="I1979" s="9" t="n">
        <x:f>MIN(10,F1978+IF(AR1978&gt;0,MIN(1,AS1978/AR1978),1))</x:f>
        <x:v>10</x:v>
      </x:c>
      <x:c r="J1979" s="32" t="n">
        <x:f>INDEX(v01_FoodCap,G1979)*Arch_FoodCap*EXP(v01_CapsByProject*SUMPRODUCT((Cap_Point&lt;=I1979)*(Cap_Kind="Food")*Cap_Ln))</x:f>
        <x:v>12000</x:v>
      </x:c>
      <x:c r="K1979" s="32" t="n">
        <x:f>J1979*MIN(1,v01_LeanBase*EXP(v01_CapsByProject*SUMPRODUCT((Cap_Point&lt;=I1979)*(Cap_Kind="Lean")*Cap_Ln)))</x:f>
        <x:v>12000</x:v>
      </x:c>
      <x:c r="L1979" s="10" t="n">
        <x:f>INDEX(v01_HousingCap,G1979)*EXP(v01_CapsByProject*SUMPRODUCT((Cap_Point&lt;=I1979)*(Cap_Kind="Housing")*Cap_Ln))</x:f>
        <x:v>20000</x:v>
      </x:c>
      <x:c r="M1979" s="10" t="n">
        <x:f>INDEX(v01_GroupCap,G1979)*v01_CohesionFactor*EXP(v01_CapsByProject*SUMPRODUCT((Cap_Point&lt;=I1979)*(Cap_Kind="Group")*Cap_Ln))</x:f>
        <x:v>1000000</x:v>
      </x:c>
      <x:c r="N1979" s="32" t="n">
        <x:f>MIN(J1979,L1979,M1979)</x:f>
        <x:v>12000</x:v>
      </x:c>
      <x:c r="O1979" s="10" t="n">
        <x:f>AE1978*N1979</x:f>
        <x:v>180000</x:v>
      </x:c>
      <x:c r="P1979" s="9" t="n">
        <x:f>MIN(1,(AB1978/(AE1978*IF(v01_GroupInCrowding=1,N1979,MIN(J1979,L1979))))^v01_CrowdingExp)</x:f>
        <x:v>0.00024569414295285325</x:v>
      </x:c>
      <x:c r="Q1979" s="9" t="n">
        <x:f>IF(D1979=1,INDEX(v01_WinterMult,G1979),1)</x:f>
        <x:v>1</x:v>
      </x:c>
      <x:c r="R1979" s="9" t="n">
        <x:f>H1979*Z1978*v01_WomenShare*v01_BaseFertility*INDEX(v01_FertMult,G1979)*Arch_Fertility*(1-P1979)</x:f>
        <x:v>0</x:v>
      </x:c>
      <x:c r="S1979" s="9" t="n">
        <x:f>H1979*Y1978*INDEX(v01_MortChild,G1979)/4*Q1979</x:f>
        <x:v>0</x:v>
      </x:c>
      <x:c r="T1979" s="9" t="n">
        <x:f>H1979*Z1978*INDEX(v01_MortAdult,G1979)*Arch_AdultMort/4*Q1979</x:f>
        <x:v>0</x:v>
      </x:c>
      <x:c r="U1979" s="9" t="n">
        <x:f>H1979*AA1978*INDEX(v01_MortElder,G1979)/4*Q1979</x:f>
        <x:v>0</x:v>
      </x:c>
      <x:c r="V1979" s="9" t="n">
        <x:f>H1979*MAX(0,AB1978-O1979)*v01_OvercapLoss</x:f>
        <x:v>0</x:v>
      </x:c>
      <x:c r="W1979" s="9" t="n">
        <x:f>H1979*Y1978/(v01_ChildYears*4)</x:f>
        <x:v>0</x:v>
      </x:c>
      <x:c r="X1979" s="9" t="n">
        <x:f>H1979*Z1978/(v01_AdultYears*4)</x:f>
        <x:v>0</x:v>
      </x:c>
      <x:c r="Y1979" s="32" t="n">
        <x:f>Y1978+R1979-S1979-W1979-Y1978*V1979/AB1978</x:f>
        <x:v>14306.18539759397</x:v>
      </x:c>
      <x:c r="Z1979" s="32" t="n">
        <x:f>Z1978+W1979-X1979-T1979-Z1978*V1979/AB1978</x:f>
        <x:v>19354.456567879548</x:v>
      </x:c>
      <x:c r="AA1979" s="32" t="n">
        <x:f>AA1978+X1979-U1979-AA1978*V1979/AB1978</x:f>
        <x:v>11386.956063258198</x:v>
      </x:c>
      <x:c r="AB1979" s="10" t="n">
        <x:f>Y1979+Z1979+AA1979</x:f>
        <x:v>45047.59802873172</x:v>
      </x:c>
      <x:c r="AC1979" s="8" t="n">
        <x:f>IF(AND(v01_WinterTrigger=1,D1979=1,AB1978/AE1978&gt;=K1979),1,0)</x:f>
        <x:v>0</x:v>
      </x:c>
      <x:c r="AD1979" s="8" t="n">
        <x:f>H1979*IF(AND(OR(AB1978/AE1978&gt;=v01_FissionTrigger*N1979,AC1979=1),AB1978/AE1978*v01_DaughterShare&gt;=v01_MinDaughter),MAX(1,ROUND(AE1978*v01_FissionRate,0)),0)</x:f>
        <x:v>0</x:v>
      </x:c>
      <x:c r="AE1979" s="8" t="n">
        <x:f>IF(H1979=1,MAX(1,MIN(INDEX(v01_Smax,G1979),AE1978+AD1979)),AE1978)</x:f>
        <x:v>15</x:v>
      </x:c>
      <x:c r="AF1979" s="8" t="n">
        <x:f>MAX(0,AE1979-AE1978)</x:f>
        <x:v>0</x:v>
      </x:c>
      <x:c r="AG1979" s="9" t="str">
        <x:f>IF(AF1979&gt;0,B1979,"")</x:f>
      </x:c>
      <x:c r="AH1979" s="9" t="n">
        <x:f>IF(F1979&gt;=1,1,(1+v01_LowTiesShare*(AE1979-1))/AE1979)</x:f>
        <x:v>1</x:v>
      </x:c>
      <x:c r="AI1979" s="32" t="n">
        <x:f>(Z1979+v01_ElderCommons*INDEX(LM_Elder,G1979)*AA1979)*AH1979</x:f>
        <x:v>64139.732591141874</x:v>
      </x:c>
      <x:c r="AJ1979" s="32" t="n">
        <x:f>H1979*v01_CommonsCoef*AI1979^v01_CommonsExp*INDEX(LM_Commons,G1979)</x:f>
        <x:v>0</x:v>
      </x:c>
      <x:c r="AK1979" s="32" t="n">
        <x:f>H1979*v01_RoleScale*Arch_Roles*(AE1979*(INDEX(v01_ElderRolePerSett,G1979)*v01_OutElder*INDEX(LM_Elder,G1979)+INDEX(v01_ShamanPerSett,G1979)*v01_OutShaman)+Z1979*(INDEX(v01_PriestShare,G1979)*v01_OutPriest+INDEX(v01_ScribeShare,G1979)*v01_OutScribe*INDEX(LM_Scribe,G1979)+INDEX(v01_ScholarShare,G1979)*v01_OutScholar*INDEX(LM_Scholar,G1979)+INDEX(v01_ResearcherShare,G1979)*v01_OutResearcher*INDEX(LM_Researcher,G1979)))</x:f>
        <x:v>0</x:v>
      </x:c>
      <x:c r="AL1979" s="32" t="n">
        <x:f>H1979*v01_RoleScale*Arch_Roles*AE1979*INDEX(v01_MonasteryPerSett,G1979)*v01_OutMonastery*INDEX(LM_Monastery,G1979)</x:f>
        <x:v>0</x:v>
      </x:c>
      <x:c r="AM1979" s="32" t="n">
        <x:f>(AJ1979+AK1979+AL1979)/4*INDEX(LM_All,G1979)*INDEX(v01_Boon,G1979)*Arch_Insight</x:f>
        <x:v>0</x:v>
      </x:c>
      <x:c r="AN1979" s="32" t="n">
        <x:f>H1979*(v01_KHPerAdult*Z1979+v01_KHOfCommons*AJ1979/4*INDEX(LM_All,G1979))*v01_KHUsable*Arch_KH</x:f>
        <x:v>0</x:v>
      </x:c>
      <x:c r="AO1979" s="32" t="n">
        <x:f>MIN(AP1978+AN1979,AM1979*v01_KHMaxRatio)</x:f>
        <x:v>0</x:v>
      </x:c>
      <x:c r="AP1979" s="32" t="n">
        <x:f>AP1978+AN1979-AO1979</x:f>
        <x:v>0</x:v>
      </x:c>
      <x:c r="AQ1979" s="32" t="n">
        <x:f>AM1979+AO1979</x:f>
        <x:v>0</x:v>
      </x:c>
      <x:c r="AR1979" s="10" t="n">
        <x:f>IF(H1979=1,INDEX(v01_Req,G1979),0)</x:f>
        <x:v>0</x:v>
      </x:c>
      <x:c r="AS1979" s="32" t="n">
        <x:f>IF(H1979=1,IF(E1979=1,AS1978-AR1978,AS1978)+AQ1979,0)</x:f>
        <x:v>0</x:v>
      </x:c>
      <x:c r="AT1979" s="11" t="n">
        <x:f>IF(AR1979&gt;0,MIN(1,AS1979/AR1979),1)</x:f>
        <x:v>1</x:v>
      </x:c>
      <x:c r="AU1979" s="10" t="n">
        <x:f>AB1979/INDEX(v01_RepScale,G1979)</x:f>
        <x:v>90.09519605746344</x:v>
      </x:c>
      <x:c r="AV1979" s="32" t="n">
        <x:f>AM1979*60/v01_SeasonSeconds</x:f>
        <x:v>0</x:v>
      </x:c>
    </x:row>
    <x:row r="1980">
      <x:c r="A1980" s="8" t="n">
        <x:f>A1979+1</x:f>
        <x:v>1977</x:v>
      </x:c>
      <x:c r="B1980" s="9" t="n">
        <x:f>A1980*v01_SeasonSeconds/60</x:f>
        <x:v>494.25</x:v>
      </x:c>
      <x:c r="C1980" s="9" t="n">
        <x:f>A1980/4</x:f>
        <x:v>494.25</x:v>
      </x:c>
      <x:c r="D1980" s="8" t="n">
        <x:f>IF(MOD(A1980,4)=0,1,0)</x:f>
        <x:v>0</x:v>
      </x:c>
      <x:c r="E1980" s="8" t="n">
        <x:f>IF(AND(F1979&lt;=9,AS1979&gt;=AR1979),1,0)</x:f>
        <x:v>0</x:v>
      </x:c>
      <x:c r="F1980" s="8" t="n">
        <x:f>MIN(10,F1979+E1980)</x:f>
        <x:v>10</x:v>
      </x:c>
      <x:c r="G1980" s="8" t="n">
        <x:f>MIN(F1980,9)+1</x:f>
        <x:v>10</x:v>
      </x:c>
      <x:c r="H1980" s="8" t="n">
        <x:f>IF(F1980&lt;=9,1,0)</x:f>
        <x:v>0</x:v>
      </x:c>
      <x:c r="I1980" s="9" t="n">
        <x:f>MIN(10,F1979+IF(AR1979&gt;0,MIN(1,AS1979/AR1979),1))</x:f>
        <x:v>10</x:v>
      </x:c>
      <x:c r="J1980" s="32" t="n">
        <x:f>INDEX(v01_FoodCap,G1980)*Arch_FoodCap*EXP(v01_CapsByProject*SUMPRODUCT((Cap_Point&lt;=I1980)*(Cap_Kind="Food")*Cap_Ln))</x:f>
        <x:v>12000</x:v>
      </x:c>
      <x:c r="K1980" s="32" t="n">
        <x:f>J1980*MIN(1,v01_LeanBase*EXP(v01_CapsByProject*SUMPRODUCT((Cap_Point&lt;=I1980)*(Cap_Kind="Lean")*Cap_Ln)))</x:f>
        <x:v>12000</x:v>
      </x:c>
      <x:c r="L1980" s="10" t="n">
        <x:f>INDEX(v01_HousingCap,G1980)*EXP(v01_CapsByProject*SUMPRODUCT((Cap_Point&lt;=I1980)*(Cap_Kind="Housing")*Cap_Ln))</x:f>
        <x:v>20000</x:v>
      </x:c>
      <x:c r="M1980" s="10" t="n">
        <x:f>INDEX(v01_GroupCap,G1980)*v01_CohesionFactor*EXP(v01_CapsByProject*SUMPRODUCT((Cap_Point&lt;=I1980)*(Cap_Kind="Group")*Cap_Ln))</x:f>
        <x:v>1000000</x:v>
      </x:c>
      <x:c r="N1980" s="32" t="n">
        <x:f>MIN(J1980,L1980,M1980)</x:f>
        <x:v>12000</x:v>
      </x:c>
      <x:c r="O1980" s="10" t="n">
        <x:f>AE1979*N1980</x:f>
        <x:v>180000</x:v>
      </x:c>
      <x:c r="P1980" s="9" t="n">
        <x:f>MIN(1,(AB1979/(AE1979*IF(v01_GroupInCrowding=1,N1980,MIN(J1980,L1980))))^v01_CrowdingExp)</x:f>
        <x:v>0.00024569414295285325</x:v>
      </x:c>
      <x:c r="Q1980" s="9" t="n">
        <x:f>IF(D1980=1,INDEX(v01_WinterMult,G1980),1)</x:f>
        <x:v>1</x:v>
      </x:c>
      <x:c r="R1980" s="9" t="n">
        <x:f>H1980*Z1979*v01_WomenShare*v01_BaseFertility*INDEX(v01_FertMult,G1980)*Arch_Fertility*(1-P1980)</x:f>
        <x:v>0</x:v>
      </x:c>
      <x:c r="S1980" s="9" t="n">
        <x:f>H1980*Y1979*INDEX(v01_MortChild,G1980)/4*Q1980</x:f>
        <x:v>0</x:v>
      </x:c>
      <x:c r="T1980" s="9" t="n">
        <x:f>H1980*Z1979*INDEX(v01_MortAdult,G1980)*Arch_AdultMort/4*Q1980</x:f>
        <x:v>0</x:v>
      </x:c>
      <x:c r="U1980" s="9" t="n">
        <x:f>H1980*AA1979*INDEX(v01_MortElder,G1980)/4*Q1980</x:f>
        <x:v>0</x:v>
      </x:c>
      <x:c r="V1980" s="9" t="n">
        <x:f>H1980*MAX(0,AB1979-O1980)*v01_OvercapLoss</x:f>
        <x:v>0</x:v>
      </x:c>
      <x:c r="W1980" s="9" t="n">
        <x:f>H1980*Y1979/(v01_ChildYears*4)</x:f>
        <x:v>0</x:v>
      </x:c>
      <x:c r="X1980" s="9" t="n">
        <x:f>H1980*Z1979/(v01_AdultYears*4)</x:f>
        <x:v>0</x:v>
      </x:c>
      <x:c r="Y1980" s="32" t="n">
        <x:f>Y1979+R1980-S1980-W1980-Y1979*V1980/AB1979</x:f>
        <x:v>14306.18539759397</x:v>
      </x:c>
      <x:c r="Z1980" s="32" t="n">
        <x:f>Z1979+W1980-X1980-T1980-Z1979*V1980/AB1979</x:f>
        <x:v>19354.456567879548</x:v>
      </x:c>
      <x:c r="AA1980" s="32" t="n">
        <x:f>AA1979+X1980-U1980-AA1979*V1980/AB1979</x:f>
        <x:v>11386.956063258198</x:v>
      </x:c>
      <x:c r="AB1980" s="10" t="n">
        <x:f>Y1980+Z1980+AA1980</x:f>
        <x:v>45047.59802873172</x:v>
      </x:c>
      <x:c r="AC1980" s="8" t="n">
        <x:f>IF(AND(v01_WinterTrigger=1,D1980=1,AB1979/AE1979&gt;=K1980),1,0)</x:f>
        <x:v>0</x:v>
      </x:c>
      <x:c r="AD1980" s="8" t="n">
        <x:f>H1980*IF(AND(OR(AB1979/AE1979&gt;=v01_FissionTrigger*N1980,AC1980=1),AB1979/AE1979*v01_DaughterShare&gt;=v01_MinDaughter),MAX(1,ROUND(AE1979*v01_FissionRate,0)),0)</x:f>
        <x:v>0</x:v>
      </x:c>
      <x:c r="AE1980" s="8" t="n">
        <x:f>IF(H1980=1,MAX(1,MIN(INDEX(v01_Smax,G1980),AE1979+AD1980)),AE1979)</x:f>
        <x:v>15</x:v>
      </x:c>
      <x:c r="AF1980" s="8" t="n">
        <x:f>MAX(0,AE1980-AE1979)</x:f>
        <x:v>0</x:v>
      </x:c>
      <x:c r="AG1980" s="9" t="str">
        <x:f>IF(AF1980&gt;0,B1980,"")</x:f>
      </x:c>
      <x:c r="AH1980" s="9" t="n">
        <x:f>IF(F1980&gt;=1,1,(1+v01_LowTiesShare*(AE1980-1))/AE1980)</x:f>
        <x:v>1</x:v>
      </x:c>
      <x:c r="AI1980" s="32" t="n">
        <x:f>(Z1980+v01_ElderCommons*INDEX(LM_Elder,G1980)*AA1980)*AH1980</x:f>
        <x:v>64139.732591141874</x:v>
      </x:c>
      <x:c r="AJ1980" s="32" t="n">
        <x:f>H1980*v01_CommonsCoef*AI1980^v01_CommonsExp*INDEX(LM_Commons,G1980)</x:f>
        <x:v>0</x:v>
      </x:c>
      <x:c r="AK1980" s="32" t="n">
        <x:f>H1980*v01_RoleScale*Arch_Roles*(AE1980*(INDEX(v01_ElderRolePerSett,G1980)*v01_OutElder*INDEX(LM_Elder,G1980)+INDEX(v01_ShamanPerSett,G1980)*v01_OutShaman)+Z1980*(INDEX(v01_PriestShare,G1980)*v01_OutPriest+INDEX(v01_ScribeShare,G1980)*v01_OutScribe*INDEX(LM_Scribe,G1980)+INDEX(v01_ScholarShare,G1980)*v01_OutScholar*INDEX(LM_Scholar,G1980)+INDEX(v01_ResearcherShare,G1980)*v01_OutResearcher*INDEX(LM_Researcher,G1980)))</x:f>
        <x:v>0</x:v>
      </x:c>
      <x:c r="AL1980" s="32" t="n">
        <x:f>H1980*v01_RoleScale*Arch_Roles*AE1980*INDEX(v01_MonasteryPerSett,G1980)*v01_OutMonastery*INDEX(LM_Monastery,G1980)</x:f>
        <x:v>0</x:v>
      </x:c>
      <x:c r="AM1980" s="32" t="n">
        <x:f>(AJ1980+AK1980+AL1980)/4*INDEX(LM_All,G1980)*INDEX(v01_Boon,G1980)*Arch_Insight</x:f>
        <x:v>0</x:v>
      </x:c>
      <x:c r="AN1980" s="32" t="n">
        <x:f>H1980*(v01_KHPerAdult*Z1980+v01_KHOfCommons*AJ1980/4*INDEX(LM_All,G1980))*v01_KHUsable*Arch_KH</x:f>
        <x:v>0</x:v>
      </x:c>
      <x:c r="AO1980" s="32" t="n">
        <x:f>MIN(AP1979+AN1980,AM1980*v01_KHMaxRatio)</x:f>
        <x:v>0</x:v>
      </x:c>
      <x:c r="AP1980" s="32" t="n">
        <x:f>AP1979+AN1980-AO1980</x:f>
        <x:v>0</x:v>
      </x:c>
      <x:c r="AQ1980" s="32" t="n">
        <x:f>AM1980+AO1980</x:f>
        <x:v>0</x:v>
      </x:c>
      <x:c r="AR1980" s="10" t="n">
        <x:f>IF(H1980=1,INDEX(v01_Req,G1980),0)</x:f>
        <x:v>0</x:v>
      </x:c>
      <x:c r="AS1980" s="32" t="n">
        <x:f>IF(H1980=1,IF(E1980=1,AS1979-AR1979,AS1979)+AQ1980,0)</x:f>
        <x:v>0</x:v>
      </x:c>
      <x:c r="AT1980" s="11" t="n">
        <x:f>IF(AR1980&gt;0,MIN(1,AS1980/AR1980),1)</x:f>
        <x:v>1</x:v>
      </x:c>
      <x:c r="AU1980" s="10" t="n">
        <x:f>AB1980/INDEX(v01_RepScale,G1980)</x:f>
        <x:v>90.09519605746344</x:v>
      </x:c>
      <x:c r="AV1980" s="32" t="n">
        <x:f>AM1980*60/v01_SeasonSeconds</x:f>
        <x:v>0</x:v>
      </x:c>
    </x:row>
    <x:row r="1981">
      <x:c r="A1981" s="8" t="n">
        <x:f>A1980+1</x:f>
        <x:v>1978</x:v>
      </x:c>
      <x:c r="B1981" s="9" t="n">
        <x:f>A1981*v01_SeasonSeconds/60</x:f>
        <x:v>494.5</x:v>
      </x:c>
      <x:c r="C1981" s="9" t="n">
        <x:f>A1981/4</x:f>
        <x:v>494.5</x:v>
      </x:c>
      <x:c r="D1981" s="8" t="n">
        <x:f>IF(MOD(A1981,4)=0,1,0)</x:f>
        <x:v>0</x:v>
      </x:c>
      <x:c r="E1981" s="8" t="n">
        <x:f>IF(AND(F1980&lt;=9,AS1980&gt;=AR1980),1,0)</x:f>
        <x:v>0</x:v>
      </x:c>
      <x:c r="F1981" s="8" t="n">
        <x:f>MIN(10,F1980+E1981)</x:f>
        <x:v>10</x:v>
      </x:c>
      <x:c r="G1981" s="8" t="n">
        <x:f>MIN(F1981,9)+1</x:f>
        <x:v>10</x:v>
      </x:c>
      <x:c r="H1981" s="8" t="n">
        <x:f>IF(F1981&lt;=9,1,0)</x:f>
        <x:v>0</x:v>
      </x:c>
      <x:c r="I1981" s="9" t="n">
        <x:f>MIN(10,F1980+IF(AR1980&gt;0,MIN(1,AS1980/AR1980),1))</x:f>
        <x:v>10</x:v>
      </x:c>
      <x:c r="J1981" s="32" t="n">
        <x:f>INDEX(v01_FoodCap,G1981)*Arch_FoodCap*EXP(v01_CapsByProject*SUMPRODUCT((Cap_Point&lt;=I1981)*(Cap_Kind="Food")*Cap_Ln))</x:f>
        <x:v>12000</x:v>
      </x:c>
      <x:c r="K1981" s="32" t="n">
        <x:f>J1981*MIN(1,v01_LeanBase*EXP(v01_CapsByProject*SUMPRODUCT((Cap_Point&lt;=I1981)*(Cap_Kind="Lean")*Cap_Ln)))</x:f>
        <x:v>12000</x:v>
      </x:c>
      <x:c r="L1981" s="10" t="n">
        <x:f>INDEX(v01_HousingCap,G1981)*EXP(v01_CapsByProject*SUMPRODUCT((Cap_Point&lt;=I1981)*(Cap_Kind="Housing")*Cap_Ln))</x:f>
        <x:v>20000</x:v>
      </x:c>
      <x:c r="M1981" s="10" t="n">
        <x:f>INDEX(v01_GroupCap,G1981)*v01_CohesionFactor*EXP(v01_CapsByProject*SUMPRODUCT((Cap_Point&lt;=I1981)*(Cap_Kind="Group")*Cap_Ln))</x:f>
        <x:v>1000000</x:v>
      </x:c>
      <x:c r="N1981" s="32" t="n">
        <x:f>MIN(J1981,L1981,M1981)</x:f>
        <x:v>12000</x:v>
      </x:c>
      <x:c r="O1981" s="10" t="n">
        <x:f>AE1980*N1981</x:f>
        <x:v>180000</x:v>
      </x:c>
      <x:c r="P1981" s="9" t="n">
        <x:f>MIN(1,(AB1980/(AE1980*IF(v01_GroupInCrowding=1,N1981,MIN(J1981,L1981))))^v01_CrowdingExp)</x:f>
        <x:v>0.00024569414295285325</x:v>
      </x:c>
      <x:c r="Q1981" s="9" t="n">
        <x:f>IF(D1981=1,INDEX(v01_WinterMult,G1981),1)</x:f>
        <x:v>1</x:v>
      </x:c>
      <x:c r="R1981" s="9" t="n">
        <x:f>H1981*Z1980*v01_WomenShare*v01_BaseFertility*INDEX(v01_FertMult,G1981)*Arch_Fertility*(1-P1981)</x:f>
        <x:v>0</x:v>
      </x:c>
      <x:c r="S1981" s="9" t="n">
        <x:f>H1981*Y1980*INDEX(v01_MortChild,G1981)/4*Q1981</x:f>
        <x:v>0</x:v>
      </x:c>
      <x:c r="T1981" s="9" t="n">
        <x:f>H1981*Z1980*INDEX(v01_MortAdult,G1981)*Arch_AdultMort/4*Q1981</x:f>
        <x:v>0</x:v>
      </x:c>
      <x:c r="U1981" s="9" t="n">
        <x:f>H1981*AA1980*INDEX(v01_MortElder,G1981)/4*Q1981</x:f>
        <x:v>0</x:v>
      </x:c>
      <x:c r="V1981" s="9" t="n">
        <x:f>H1981*MAX(0,AB1980-O1981)*v01_OvercapLoss</x:f>
        <x:v>0</x:v>
      </x:c>
      <x:c r="W1981" s="9" t="n">
        <x:f>H1981*Y1980/(v01_ChildYears*4)</x:f>
        <x:v>0</x:v>
      </x:c>
      <x:c r="X1981" s="9" t="n">
        <x:f>H1981*Z1980/(v01_AdultYears*4)</x:f>
        <x:v>0</x:v>
      </x:c>
      <x:c r="Y1981" s="32" t="n">
        <x:f>Y1980+R1981-S1981-W1981-Y1980*V1981/AB1980</x:f>
        <x:v>14306.18539759397</x:v>
      </x:c>
      <x:c r="Z1981" s="32" t="n">
        <x:f>Z1980+W1981-X1981-T1981-Z1980*V1981/AB1980</x:f>
        <x:v>19354.456567879548</x:v>
      </x:c>
      <x:c r="AA1981" s="32" t="n">
        <x:f>AA1980+X1981-U1981-AA1980*V1981/AB1980</x:f>
        <x:v>11386.956063258198</x:v>
      </x:c>
      <x:c r="AB1981" s="10" t="n">
        <x:f>Y1981+Z1981+AA1981</x:f>
        <x:v>45047.59802873172</x:v>
      </x:c>
      <x:c r="AC1981" s="8" t="n">
        <x:f>IF(AND(v01_WinterTrigger=1,D1981=1,AB1980/AE1980&gt;=K1981),1,0)</x:f>
        <x:v>0</x:v>
      </x:c>
      <x:c r="AD1981" s="8" t="n">
        <x:f>H1981*IF(AND(OR(AB1980/AE1980&gt;=v01_FissionTrigger*N1981,AC1981=1),AB1980/AE1980*v01_DaughterShare&gt;=v01_MinDaughter),MAX(1,ROUND(AE1980*v01_FissionRate,0)),0)</x:f>
        <x:v>0</x:v>
      </x:c>
      <x:c r="AE1981" s="8" t="n">
        <x:f>IF(H1981=1,MAX(1,MIN(INDEX(v01_Smax,G1981),AE1980+AD1981)),AE1980)</x:f>
        <x:v>15</x:v>
      </x:c>
      <x:c r="AF1981" s="8" t="n">
        <x:f>MAX(0,AE1981-AE1980)</x:f>
        <x:v>0</x:v>
      </x:c>
      <x:c r="AG1981" s="9" t="str">
        <x:f>IF(AF1981&gt;0,B1981,"")</x:f>
      </x:c>
      <x:c r="AH1981" s="9" t="n">
        <x:f>IF(F1981&gt;=1,1,(1+v01_LowTiesShare*(AE1981-1))/AE1981)</x:f>
        <x:v>1</x:v>
      </x:c>
      <x:c r="AI1981" s="32" t="n">
        <x:f>(Z1981+v01_ElderCommons*INDEX(LM_Elder,G1981)*AA1981)*AH1981</x:f>
        <x:v>64139.732591141874</x:v>
      </x:c>
      <x:c r="AJ1981" s="32" t="n">
        <x:f>H1981*v01_CommonsCoef*AI1981^v01_CommonsExp*INDEX(LM_Commons,G1981)</x:f>
        <x:v>0</x:v>
      </x:c>
      <x:c r="AK1981" s="32" t="n">
        <x:f>H1981*v01_RoleScale*Arch_Roles*(AE1981*(INDEX(v01_ElderRolePerSett,G1981)*v01_OutElder*INDEX(LM_Elder,G1981)+INDEX(v01_ShamanPerSett,G1981)*v01_OutShaman)+Z1981*(INDEX(v01_PriestShare,G1981)*v01_OutPriest+INDEX(v01_ScribeShare,G1981)*v01_OutScribe*INDEX(LM_Scribe,G1981)+INDEX(v01_ScholarShare,G1981)*v01_OutScholar*INDEX(LM_Scholar,G1981)+INDEX(v01_ResearcherShare,G1981)*v01_OutResearcher*INDEX(LM_Researcher,G1981)))</x:f>
        <x:v>0</x:v>
      </x:c>
      <x:c r="AL1981" s="32" t="n">
        <x:f>H1981*v01_RoleScale*Arch_Roles*AE1981*INDEX(v01_MonasteryPerSett,G1981)*v01_OutMonastery*INDEX(LM_Monastery,G1981)</x:f>
        <x:v>0</x:v>
      </x:c>
      <x:c r="AM1981" s="32" t="n">
        <x:f>(AJ1981+AK1981+AL1981)/4*INDEX(LM_All,G1981)*INDEX(v01_Boon,G1981)*Arch_Insight</x:f>
        <x:v>0</x:v>
      </x:c>
      <x:c r="AN1981" s="32" t="n">
        <x:f>H1981*(v01_KHPerAdult*Z1981+v01_KHOfCommons*AJ1981/4*INDEX(LM_All,G1981))*v01_KHUsable*Arch_KH</x:f>
        <x:v>0</x:v>
      </x:c>
      <x:c r="AO1981" s="32" t="n">
        <x:f>MIN(AP1980+AN1981,AM1981*v01_KHMaxRatio)</x:f>
        <x:v>0</x:v>
      </x:c>
      <x:c r="AP1981" s="32" t="n">
        <x:f>AP1980+AN1981-AO1981</x:f>
        <x:v>0</x:v>
      </x:c>
      <x:c r="AQ1981" s="32" t="n">
        <x:f>AM1981+AO1981</x:f>
        <x:v>0</x:v>
      </x:c>
      <x:c r="AR1981" s="10" t="n">
        <x:f>IF(H1981=1,INDEX(v01_Req,G1981),0)</x:f>
        <x:v>0</x:v>
      </x:c>
      <x:c r="AS1981" s="32" t="n">
        <x:f>IF(H1981=1,IF(E1981=1,AS1980-AR1980,AS1980)+AQ1981,0)</x:f>
        <x:v>0</x:v>
      </x:c>
      <x:c r="AT1981" s="11" t="n">
        <x:f>IF(AR1981&gt;0,MIN(1,AS1981/AR1981),1)</x:f>
        <x:v>1</x:v>
      </x:c>
      <x:c r="AU1981" s="10" t="n">
        <x:f>AB1981/INDEX(v01_RepScale,G1981)</x:f>
        <x:v>90.09519605746344</x:v>
      </x:c>
      <x:c r="AV1981" s="32" t="n">
        <x:f>AM1981*60/v01_SeasonSeconds</x:f>
        <x:v>0</x:v>
      </x:c>
    </x:row>
    <x:row r="1982">
      <x:c r="A1982" s="8" t="n">
        <x:f>A1981+1</x:f>
        <x:v>1979</x:v>
      </x:c>
      <x:c r="B1982" s="9" t="n">
        <x:f>A1982*v01_SeasonSeconds/60</x:f>
        <x:v>494.75</x:v>
      </x:c>
      <x:c r="C1982" s="9" t="n">
        <x:f>A1982/4</x:f>
        <x:v>494.75</x:v>
      </x:c>
      <x:c r="D1982" s="8" t="n">
        <x:f>IF(MOD(A1982,4)=0,1,0)</x:f>
        <x:v>0</x:v>
      </x:c>
      <x:c r="E1982" s="8" t="n">
        <x:f>IF(AND(F1981&lt;=9,AS1981&gt;=AR1981),1,0)</x:f>
        <x:v>0</x:v>
      </x:c>
      <x:c r="F1982" s="8" t="n">
        <x:f>MIN(10,F1981+E1982)</x:f>
        <x:v>10</x:v>
      </x:c>
      <x:c r="G1982" s="8" t="n">
        <x:f>MIN(F1982,9)+1</x:f>
        <x:v>10</x:v>
      </x:c>
      <x:c r="H1982" s="8" t="n">
        <x:f>IF(F1982&lt;=9,1,0)</x:f>
        <x:v>0</x:v>
      </x:c>
      <x:c r="I1982" s="9" t="n">
        <x:f>MIN(10,F1981+IF(AR1981&gt;0,MIN(1,AS1981/AR1981),1))</x:f>
        <x:v>10</x:v>
      </x:c>
      <x:c r="J1982" s="32" t="n">
        <x:f>INDEX(v01_FoodCap,G1982)*Arch_FoodCap*EXP(v01_CapsByProject*SUMPRODUCT((Cap_Point&lt;=I1982)*(Cap_Kind="Food")*Cap_Ln))</x:f>
        <x:v>12000</x:v>
      </x:c>
      <x:c r="K1982" s="32" t="n">
        <x:f>J1982*MIN(1,v01_LeanBase*EXP(v01_CapsByProject*SUMPRODUCT((Cap_Point&lt;=I1982)*(Cap_Kind="Lean")*Cap_Ln)))</x:f>
        <x:v>12000</x:v>
      </x:c>
      <x:c r="L1982" s="10" t="n">
        <x:f>INDEX(v01_HousingCap,G1982)*EXP(v01_CapsByProject*SUMPRODUCT((Cap_Point&lt;=I1982)*(Cap_Kind="Housing")*Cap_Ln))</x:f>
        <x:v>20000</x:v>
      </x:c>
      <x:c r="M1982" s="10" t="n">
        <x:f>INDEX(v01_GroupCap,G1982)*v01_CohesionFactor*EXP(v01_CapsByProject*SUMPRODUCT((Cap_Point&lt;=I1982)*(Cap_Kind="Group")*Cap_Ln))</x:f>
        <x:v>1000000</x:v>
      </x:c>
      <x:c r="N1982" s="32" t="n">
        <x:f>MIN(J1982,L1982,M1982)</x:f>
        <x:v>12000</x:v>
      </x:c>
      <x:c r="O1982" s="10" t="n">
        <x:f>AE1981*N1982</x:f>
        <x:v>180000</x:v>
      </x:c>
      <x:c r="P1982" s="9" t="n">
        <x:f>MIN(1,(AB1981/(AE1981*IF(v01_GroupInCrowding=1,N1982,MIN(J1982,L1982))))^v01_CrowdingExp)</x:f>
        <x:v>0.00024569414295285325</x:v>
      </x:c>
      <x:c r="Q1982" s="9" t="n">
        <x:f>IF(D1982=1,INDEX(v01_WinterMult,G1982),1)</x:f>
        <x:v>1</x:v>
      </x:c>
      <x:c r="R1982" s="9" t="n">
        <x:f>H1982*Z1981*v01_WomenShare*v01_BaseFertility*INDEX(v01_FertMult,G1982)*Arch_Fertility*(1-P1982)</x:f>
        <x:v>0</x:v>
      </x:c>
      <x:c r="S1982" s="9" t="n">
        <x:f>H1982*Y1981*INDEX(v01_MortChild,G1982)/4*Q1982</x:f>
        <x:v>0</x:v>
      </x:c>
      <x:c r="T1982" s="9" t="n">
        <x:f>H1982*Z1981*INDEX(v01_MortAdult,G1982)*Arch_AdultMort/4*Q1982</x:f>
        <x:v>0</x:v>
      </x:c>
      <x:c r="U1982" s="9" t="n">
        <x:f>H1982*AA1981*INDEX(v01_MortElder,G1982)/4*Q1982</x:f>
        <x:v>0</x:v>
      </x:c>
      <x:c r="V1982" s="9" t="n">
        <x:f>H1982*MAX(0,AB1981-O1982)*v01_OvercapLoss</x:f>
        <x:v>0</x:v>
      </x:c>
      <x:c r="W1982" s="9" t="n">
        <x:f>H1982*Y1981/(v01_ChildYears*4)</x:f>
        <x:v>0</x:v>
      </x:c>
      <x:c r="X1982" s="9" t="n">
        <x:f>H1982*Z1981/(v01_AdultYears*4)</x:f>
        <x:v>0</x:v>
      </x:c>
      <x:c r="Y1982" s="32" t="n">
        <x:f>Y1981+R1982-S1982-W1982-Y1981*V1982/AB1981</x:f>
        <x:v>14306.18539759397</x:v>
      </x:c>
      <x:c r="Z1982" s="32" t="n">
        <x:f>Z1981+W1982-X1982-T1982-Z1981*V1982/AB1981</x:f>
        <x:v>19354.456567879548</x:v>
      </x:c>
      <x:c r="AA1982" s="32" t="n">
        <x:f>AA1981+X1982-U1982-AA1981*V1982/AB1981</x:f>
        <x:v>11386.956063258198</x:v>
      </x:c>
      <x:c r="AB1982" s="10" t="n">
        <x:f>Y1982+Z1982+AA1982</x:f>
        <x:v>45047.59802873172</x:v>
      </x:c>
      <x:c r="AC1982" s="8" t="n">
        <x:f>IF(AND(v01_WinterTrigger=1,D1982=1,AB1981/AE1981&gt;=K1982),1,0)</x:f>
        <x:v>0</x:v>
      </x:c>
      <x:c r="AD1982" s="8" t="n">
        <x:f>H1982*IF(AND(OR(AB1981/AE1981&gt;=v01_FissionTrigger*N1982,AC1982=1),AB1981/AE1981*v01_DaughterShare&gt;=v01_MinDaughter),MAX(1,ROUND(AE1981*v01_FissionRate,0)),0)</x:f>
        <x:v>0</x:v>
      </x:c>
      <x:c r="AE1982" s="8" t="n">
        <x:f>IF(H1982=1,MAX(1,MIN(INDEX(v01_Smax,G1982),AE1981+AD1982)),AE1981)</x:f>
        <x:v>15</x:v>
      </x:c>
      <x:c r="AF1982" s="8" t="n">
        <x:f>MAX(0,AE1982-AE1981)</x:f>
        <x:v>0</x:v>
      </x:c>
      <x:c r="AG1982" s="9" t="str">
        <x:f>IF(AF1982&gt;0,B1982,"")</x:f>
      </x:c>
      <x:c r="AH1982" s="9" t="n">
        <x:f>IF(F1982&gt;=1,1,(1+v01_LowTiesShare*(AE1982-1))/AE1982)</x:f>
        <x:v>1</x:v>
      </x:c>
      <x:c r="AI1982" s="32" t="n">
        <x:f>(Z1982+v01_ElderCommons*INDEX(LM_Elder,G1982)*AA1982)*AH1982</x:f>
        <x:v>64139.732591141874</x:v>
      </x:c>
      <x:c r="AJ1982" s="32" t="n">
        <x:f>H1982*v01_CommonsCoef*AI1982^v01_CommonsExp*INDEX(LM_Commons,G1982)</x:f>
        <x:v>0</x:v>
      </x:c>
      <x:c r="AK1982" s="32" t="n">
        <x:f>H1982*v01_RoleScale*Arch_Roles*(AE1982*(INDEX(v01_ElderRolePerSett,G1982)*v01_OutElder*INDEX(LM_Elder,G1982)+INDEX(v01_ShamanPerSett,G1982)*v01_OutShaman)+Z1982*(INDEX(v01_PriestShare,G1982)*v01_OutPriest+INDEX(v01_ScribeShare,G1982)*v01_OutScribe*INDEX(LM_Scribe,G1982)+INDEX(v01_ScholarShare,G1982)*v01_OutScholar*INDEX(LM_Scholar,G1982)+INDEX(v01_ResearcherShare,G1982)*v01_OutResearcher*INDEX(LM_Researcher,G1982)))</x:f>
        <x:v>0</x:v>
      </x:c>
      <x:c r="AL1982" s="32" t="n">
        <x:f>H1982*v01_RoleScale*Arch_Roles*AE1982*INDEX(v01_MonasteryPerSett,G1982)*v01_OutMonastery*INDEX(LM_Monastery,G1982)</x:f>
        <x:v>0</x:v>
      </x:c>
      <x:c r="AM1982" s="32" t="n">
        <x:f>(AJ1982+AK1982+AL1982)/4*INDEX(LM_All,G1982)*INDEX(v01_Boon,G1982)*Arch_Insight</x:f>
        <x:v>0</x:v>
      </x:c>
      <x:c r="AN1982" s="32" t="n">
        <x:f>H1982*(v01_KHPerAdult*Z1982+v01_KHOfCommons*AJ1982/4*INDEX(LM_All,G1982))*v01_KHUsable*Arch_KH</x:f>
        <x:v>0</x:v>
      </x:c>
      <x:c r="AO1982" s="32" t="n">
        <x:f>MIN(AP1981+AN1982,AM1982*v01_KHMaxRatio)</x:f>
        <x:v>0</x:v>
      </x:c>
      <x:c r="AP1982" s="32" t="n">
        <x:f>AP1981+AN1982-AO1982</x:f>
        <x:v>0</x:v>
      </x:c>
      <x:c r="AQ1982" s="32" t="n">
        <x:f>AM1982+AO1982</x:f>
        <x:v>0</x:v>
      </x:c>
      <x:c r="AR1982" s="10" t="n">
        <x:f>IF(H1982=1,INDEX(v01_Req,G1982),0)</x:f>
        <x:v>0</x:v>
      </x:c>
      <x:c r="AS1982" s="32" t="n">
        <x:f>IF(H1982=1,IF(E1982=1,AS1981-AR1981,AS1981)+AQ1982,0)</x:f>
        <x:v>0</x:v>
      </x:c>
      <x:c r="AT1982" s="11" t="n">
        <x:f>IF(AR1982&gt;0,MIN(1,AS1982/AR1982),1)</x:f>
        <x:v>1</x:v>
      </x:c>
      <x:c r="AU1982" s="10" t="n">
        <x:f>AB1982/INDEX(v01_RepScale,G1982)</x:f>
        <x:v>90.09519605746344</x:v>
      </x:c>
      <x:c r="AV1982" s="32" t="n">
        <x:f>AM1982*60/v01_SeasonSeconds</x:f>
        <x:v>0</x:v>
      </x:c>
    </x:row>
    <x:row r="1983">
      <x:c r="A1983" s="8" t="n">
        <x:f>A1982+1</x:f>
        <x:v>1980</x:v>
      </x:c>
      <x:c r="B1983" s="9" t="n">
        <x:f>A1983*v01_SeasonSeconds/60</x:f>
        <x:v>495</x:v>
      </x:c>
      <x:c r="C1983" s="9" t="n">
        <x:f>A1983/4</x:f>
        <x:v>495</x:v>
      </x:c>
      <x:c r="D1983" s="8" t="n">
        <x:f>IF(MOD(A1983,4)=0,1,0)</x:f>
        <x:v>1</x:v>
      </x:c>
      <x:c r="E1983" s="8" t="n">
        <x:f>IF(AND(F1982&lt;=9,AS1982&gt;=AR1982),1,0)</x:f>
        <x:v>0</x:v>
      </x:c>
      <x:c r="F1983" s="8" t="n">
        <x:f>MIN(10,F1982+E1983)</x:f>
        <x:v>10</x:v>
      </x:c>
      <x:c r="G1983" s="8" t="n">
        <x:f>MIN(F1983,9)+1</x:f>
        <x:v>10</x:v>
      </x:c>
      <x:c r="H1983" s="8" t="n">
        <x:f>IF(F1983&lt;=9,1,0)</x:f>
        <x:v>0</x:v>
      </x:c>
      <x:c r="I1983" s="9" t="n">
        <x:f>MIN(10,F1982+IF(AR1982&gt;0,MIN(1,AS1982/AR1982),1))</x:f>
        <x:v>10</x:v>
      </x:c>
      <x:c r="J1983" s="32" t="n">
        <x:f>INDEX(v01_FoodCap,G1983)*Arch_FoodCap*EXP(v01_CapsByProject*SUMPRODUCT((Cap_Point&lt;=I1983)*(Cap_Kind="Food")*Cap_Ln))</x:f>
        <x:v>12000</x:v>
      </x:c>
      <x:c r="K1983" s="32" t="n">
        <x:f>J1983*MIN(1,v01_LeanBase*EXP(v01_CapsByProject*SUMPRODUCT((Cap_Point&lt;=I1983)*(Cap_Kind="Lean")*Cap_Ln)))</x:f>
        <x:v>12000</x:v>
      </x:c>
      <x:c r="L1983" s="10" t="n">
        <x:f>INDEX(v01_HousingCap,G1983)*EXP(v01_CapsByProject*SUMPRODUCT((Cap_Point&lt;=I1983)*(Cap_Kind="Housing")*Cap_Ln))</x:f>
        <x:v>20000</x:v>
      </x:c>
      <x:c r="M1983" s="10" t="n">
        <x:f>INDEX(v01_GroupCap,G1983)*v01_CohesionFactor*EXP(v01_CapsByProject*SUMPRODUCT((Cap_Point&lt;=I1983)*(Cap_Kind="Group")*Cap_Ln))</x:f>
        <x:v>1000000</x:v>
      </x:c>
      <x:c r="N1983" s="32" t="n">
        <x:f>MIN(J1983,L1983,M1983)</x:f>
        <x:v>12000</x:v>
      </x:c>
      <x:c r="O1983" s="10" t="n">
        <x:f>AE1982*N1983</x:f>
        <x:v>180000</x:v>
      </x:c>
      <x:c r="P1983" s="9" t="n">
        <x:f>MIN(1,(AB1982/(AE1982*IF(v01_GroupInCrowding=1,N1983,MIN(J1983,L1983))))^v01_CrowdingExp)</x:f>
        <x:v>0.00024569414295285325</x:v>
      </x:c>
      <x:c r="Q1983" s="9" t="n">
        <x:f>IF(D1983=1,INDEX(v01_WinterMult,G1983),1)</x:f>
        <x:v>1</x:v>
      </x:c>
      <x:c r="R1983" s="9" t="n">
        <x:f>H1983*Z1982*v01_WomenShare*v01_BaseFertility*INDEX(v01_FertMult,G1983)*Arch_Fertility*(1-P1983)</x:f>
        <x:v>0</x:v>
      </x:c>
      <x:c r="S1983" s="9" t="n">
        <x:f>H1983*Y1982*INDEX(v01_MortChild,G1983)/4*Q1983</x:f>
        <x:v>0</x:v>
      </x:c>
      <x:c r="T1983" s="9" t="n">
        <x:f>H1983*Z1982*INDEX(v01_MortAdult,G1983)*Arch_AdultMort/4*Q1983</x:f>
        <x:v>0</x:v>
      </x:c>
      <x:c r="U1983" s="9" t="n">
        <x:f>H1983*AA1982*INDEX(v01_MortElder,G1983)/4*Q1983</x:f>
        <x:v>0</x:v>
      </x:c>
      <x:c r="V1983" s="9" t="n">
        <x:f>H1983*MAX(0,AB1982-O1983)*v01_OvercapLoss</x:f>
        <x:v>0</x:v>
      </x:c>
      <x:c r="W1983" s="9" t="n">
        <x:f>H1983*Y1982/(v01_ChildYears*4)</x:f>
        <x:v>0</x:v>
      </x:c>
      <x:c r="X1983" s="9" t="n">
        <x:f>H1983*Z1982/(v01_AdultYears*4)</x:f>
        <x:v>0</x:v>
      </x:c>
      <x:c r="Y1983" s="32" t="n">
        <x:f>Y1982+R1983-S1983-W1983-Y1982*V1983/AB1982</x:f>
        <x:v>14306.18539759397</x:v>
      </x:c>
      <x:c r="Z1983" s="32" t="n">
        <x:f>Z1982+W1983-X1983-T1983-Z1982*V1983/AB1982</x:f>
        <x:v>19354.456567879548</x:v>
      </x:c>
      <x:c r="AA1983" s="32" t="n">
        <x:f>AA1982+X1983-U1983-AA1982*V1983/AB1982</x:f>
        <x:v>11386.956063258198</x:v>
      </x:c>
      <x:c r="AB1983" s="10" t="n">
        <x:f>Y1983+Z1983+AA1983</x:f>
        <x:v>45047.59802873172</x:v>
      </x:c>
      <x:c r="AC1983" s="8" t="n">
        <x:f>IF(AND(v01_WinterTrigger=1,D1983=1,AB1982/AE1982&gt;=K1983),1,0)</x:f>
        <x:v>0</x:v>
      </x:c>
      <x:c r="AD1983" s="8" t="n">
        <x:f>H1983*IF(AND(OR(AB1982/AE1982&gt;=v01_FissionTrigger*N1983,AC1983=1),AB1982/AE1982*v01_DaughterShare&gt;=v01_MinDaughter),MAX(1,ROUND(AE1982*v01_FissionRate,0)),0)</x:f>
        <x:v>0</x:v>
      </x:c>
      <x:c r="AE1983" s="8" t="n">
        <x:f>IF(H1983=1,MAX(1,MIN(INDEX(v01_Smax,G1983),AE1982+AD1983)),AE1982)</x:f>
        <x:v>15</x:v>
      </x:c>
      <x:c r="AF1983" s="8" t="n">
        <x:f>MAX(0,AE1983-AE1982)</x:f>
        <x:v>0</x:v>
      </x:c>
      <x:c r="AG1983" s="9" t="str">
        <x:f>IF(AF1983&gt;0,B1983,"")</x:f>
      </x:c>
      <x:c r="AH1983" s="9" t="n">
        <x:f>IF(F1983&gt;=1,1,(1+v01_LowTiesShare*(AE1983-1))/AE1983)</x:f>
        <x:v>1</x:v>
      </x:c>
      <x:c r="AI1983" s="32" t="n">
        <x:f>(Z1983+v01_ElderCommons*INDEX(LM_Elder,G1983)*AA1983)*AH1983</x:f>
        <x:v>64139.732591141874</x:v>
      </x:c>
      <x:c r="AJ1983" s="32" t="n">
        <x:f>H1983*v01_CommonsCoef*AI1983^v01_CommonsExp*INDEX(LM_Commons,G1983)</x:f>
        <x:v>0</x:v>
      </x:c>
      <x:c r="AK1983" s="32" t="n">
        <x:f>H1983*v01_RoleScale*Arch_Roles*(AE1983*(INDEX(v01_ElderRolePerSett,G1983)*v01_OutElder*INDEX(LM_Elder,G1983)+INDEX(v01_ShamanPerSett,G1983)*v01_OutShaman)+Z1983*(INDEX(v01_PriestShare,G1983)*v01_OutPriest+INDEX(v01_ScribeShare,G1983)*v01_OutScribe*INDEX(LM_Scribe,G1983)+INDEX(v01_ScholarShare,G1983)*v01_OutScholar*INDEX(LM_Scholar,G1983)+INDEX(v01_ResearcherShare,G1983)*v01_OutResearcher*INDEX(LM_Researcher,G1983)))</x:f>
        <x:v>0</x:v>
      </x:c>
      <x:c r="AL1983" s="32" t="n">
        <x:f>H1983*v01_RoleScale*Arch_Roles*AE1983*INDEX(v01_MonasteryPerSett,G1983)*v01_OutMonastery*INDEX(LM_Monastery,G1983)</x:f>
        <x:v>0</x:v>
      </x:c>
      <x:c r="AM1983" s="32" t="n">
        <x:f>(AJ1983+AK1983+AL1983)/4*INDEX(LM_All,G1983)*INDEX(v01_Boon,G1983)*Arch_Insight</x:f>
        <x:v>0</x:v>
      </x:c>
      <x:c r="AN1983" s="32" t="n">
        <x:f>H1983*(v01_KHPerAdult*Z1983+v01_KHOfCommons*AJ1983/4*INDEX(LM_All,G1983))*v01_KHUsable*Arch_KH</x:f>
        <x:v>0</x:v>
      </x:c>
      <x:c r="AO1983" s="32" t="n">
        <x:f>MIN(AP1982+AN1983,AM1983*v01_KHMaxRatio)</x:f>
        <x:v>0</x:v>
      </x:c>
      <x:c r="AP1983" s="32" t="n">
        <x:f>AP1982+AN1983-AO1983</x:f>
        <x:v>0</x:v>
      </x:c>
      <x:c r="AQ1983" s="32" t="n">
        <x:f>AM1983+AO1983</x:f>
        <x:v>0</x:v>
      </x:c>
      <x:c r="AR1983" s="10" t="n">
        <x:f>IF(H1983=1,INDEX(v01_Req,G1983),0)</x:f>
        <x:v>0</x:v>
      </x:c>
      <x:c r="AS1983" s="32" t="n">
        <x:f>IF(H1983=1,IF(E1983=1,AS1982-AR1982,AS1982)+AQ1983,0)</x:f>
        <x:v>0</x:v>
      </x:c>
      <x:c r="AT1983" s="11" t="n">
        <x:f>IF(AR1983&gt;0,MIN(1,AS1983/AR1983),1)</x:f>
        <x:v>1</x:v>
      </x:c>
      <x:c r="AU1983" s="10" t="n">
        <x:f>AB1983/INDEX(v01_RepScale,G1983)</x:f>
        <x:v>90.09519605746344</x:v>
      </x:c>
      <x:c r="AV1983" s="32" t="n">
        <x:f>AM1983*60/v01_SeasonSeconds</x:f>
        <x:v>0</x:v>
      </x:c>
    </x:row>
    <x:row r="1984">
      <x:c r="A1984" s="8" t="n">
        <x:f>A1983+1</x:f>
        <x:v>1981</x:v>
      </x:c>
      <x:c r="B1984" s="9" t="n">
        <x:f>A1984*v01_SeasonSeconds/60</x:f>
        <x:v>495.25</x:v>
      </x:c>
      <x:c r="C1984" s="9" t="n">
        <x:f>A1984/4</x:f>
        <x:v>495.25</x:v>
      </x:c>
      <x:c r="D1984" s="8" t="n">
        <x:f>IF(MOD(A1984,4)=0,1,0)</x:f>
        <x:v>0</x:v>
      </x:c>
      <x:c r="E1984" s="8" t="n">
        <x:f>IF(AND(F1983&lt;=9,AS1983&gt;=AR1983),1,0)</x:f>
        <x:v>0</x:v>
      </x:c>
      <x:c r="F1984" s="8" t="n">
        <x:f>MIN(10,F1983+E1984)</x:f>
        <x:v>10</x:v>
      </x:c>
      <x:c r="G1984" s="8" t="n">
        <x:f>MIN(F1984,9)+1</x:f>
        <x:v>10</x:v>
      </x:c>
      <x:c r="H1984" s="8" t="n">
        <x:f>IF(F1984&lt;=9,1,0)</x:f>
        <x:v>0</x:v>
      </x:c>
      <x:c r="I1984" s="9" t="n">
        <x:f>MIN(10,F1983+IF(AR1983&gt;0,MIN(1,AS1983/AR1983),1))</x:f>
        <x:v>10</x:v>
      </x:c>
      <x:c r="J1984" s="32" t="n">
        <x:f>INDEX(v01_FoodCap,G1984)*Arch_FoodCap*EXP(v01_CapsByProject*SUMPRODUCT((Cap_Point&lt;=I1984)*(Cap_Kind="Food")*Cap_Ln))</x:f>
        <x:v>12000</x:v>
      </x:c>
      <x:c r="K1984" s="32" t="n">
        <x:f>J1984*MIN(1,v01_LeanBase*EXP(v01_CapsByProject*SUMPRODUCT((Cap_Point&lt;=I1984)*(Cap_Kind="Lean")*Cap_Ln)))</x:f>
        <x:v>12000</x:v>
      </x:c>
      <x:c r="L1984" s="10" t="n">
        <x:f>INDEX(v01_HousingCap,G1984)*EXP(v01_CapsByProject*SUMPRODUCT((Cap_Point&lt;=I1984)*(Cap_Kind="Housing")*Cap_Ln))</x:f>
        <x:v>20000</x:v>
      </x:c>
      <x:c r="M1984" s="10" t="n">
        <x:f>INDEX(v01_GroupCap,G1984)*v01_CohesionFactor*EXP(v01_CapsByProject*SUMPRODUCT((Cap_Point&lt;=I1984)*(Cap_Kind="Group")*Cap_Ln))</x:f>
        <x:v>1000000</x:v>
      </x:c>
      <x:c r="N1984" s="32" t="n">
        <x:f>MIN(J1984,L1984,M1984)</x:f>
        <x:v>12000</x:v>
      </x:c>
      <x:c r="O1984" s="10" t="n">
        <x:f>AE1983*N1984</x:f>
        <x:v>180000</x:v>
      </x:c>
      <x:c r="P1984" s="9" t="n">
        <x:f>MIN(1,(AB1983/(AE1983*IF(v01_GroupInCrowding=1,N1984,MIN(J1984,L1984))))^v01_CrowdingExp)</x:f>
        <x:v>0.00024569414295285325</x:v>
      </x:c>
      <x:c r="Q1984" s="9" t="n">
        <x:f>IF(D1984=1,INDEX(v01_WinterMult,G1984),1)</x:f>
        <x:v>1</x:v>
      </x:c>
      <x:c r="R1984" s="9" t="n">
        <x:f>H1984*Z1983*v01_WomenShare*v01_BaseFertility*INDEX(v01_FertMult,G1984)*Arch_Fertility*(1-P1984)</x:f>
        <x:v>0</x:v>
      </x:c>
      <x:c r="S1984" s="9" t="n">
        <x:f>H1984*Y1983*INDEX(v01_MortChild,G1984)/4*Q1984</x:f>
        <x:v>0</x:v>
      </x:c>
      <x:c r="T1984" s="9" t="n">
        <x:f>H1984*Z1983*INDEX(v01_MortAdult,G1984)*Arch_AdultMort/4*Q1984</x:f>
        <x:v>0</x:v>
      </x:c>
      <x:c r="U1984" s="9" t="n">
        <x:f>H1984*AA1983*INDEX(v01_MortElder,G1984)/4*Q1984</x:f>
        <x:v>0</x:v>
      </x:c>
      <x:c r="V1984" s="9" t="n">
        <x:f>H1984*MAX(0,AB1983-O1984)*v01_OvercapLoss</x:f>
        <x:v>0</x:v>
      </x:c>
      <x:c r="W1984" s="9" t="n">
        <x:f>H1984*Y1983/(v01_ChildYears*4)</x:f>
        <x:v>0</x:v>
      </x:c>
      <x:c r="X1984" s="9" t="n">
        <x:f>H1984*Z1983/(v01_AdultYears*4)</x:f>
        <x:v>0</x:v>
      </x:c>
      <x:c r="Y1984" s="32" t="n">
        <x:f>Y1983+R1984-S1984-W1984-Y1983*V1984/AB1983</x:f>
        <x:v>14306.18539759397</x:v>
      </x:c>
      <x:c r="Z1984" s="32" t="n">
        <x:f>Z1983+W1984-X1984-T1984-Z1983*V1984/AB1983</x:f>
        <x:v>19354.456567879548</x:v>
      </x:c>
      <x:c r="AA1984" s="32" t="n">
        <x:f>AA1983+X1984-U1984-AA1983*V1984/AB1983</x:f>
        <x:v>11386.956063258198</x:v>
      </x:c>
      <x:c r="AB1984" s="10" t="n">
        <x:f>Y1984+Z1984+AA1984</x:f>
        <x:v>45047.59802873172</x:v>
      </x:c>
      <x:c r="AC1984" s="8" t="n">
        <x:f>IF(AND(v01_WinterTrigger=1,D1984=1,AB1983/AE1983&gt;=K1984),1,0)</x:f>
        <x:v>0</x:v>
      </x:c>
      <x:c r="AD1984" s="8" t="n">
        <x:f>H1984*IF(AND(OR(AB1983/AE1983&gt;=v01_FissionTrigger*N1984,AC1984=1),AB1983/AE1983*v01_DaughterShare&gt;=v01_MinDaughter),MAX(1,ROUND(AE1983*v01_FissionRate,0)),0)</x:f>
        <x:v>0</x:v>
      </x:c>
      <x:c r="AE1984" s="8" t="n">
        <x:f>IF(H1984=1,MAX(1,MIN(INDEX(v01_Smax,G1984),AE1983+AD1984)),AE1983)</x:f>
        <x:v>15</x:v>
      </x:c>
      <x:c r="AF1984" s="8" t="n">
        <x:f>MAX(0,AE1984-AE1983)</x:f>
        <x:v>0</x:v>
      </x:c>
      <x:c r="AG1984" s="9" t="str">
        <x:f>IF(AF1984&gt;0,B1984,"")</x:f>
      </x:c>
      <x:c r="AH1984" s="9" t="n">
        <x:f>IF(F1984&gt;=1,1,(1+v01_LowTiesShare*(AE1984-1))/AE1984)</x:f>
        <x:v>1</x:v>
      </x:c>
      <x:c r="AI1984" s="32" t="n">
        <x:f>(Z1984+v01_ElderCommons*INDEX(LM_Elder,G1984)*AA1984)*AH1984</x:f>
        <x:v>64139.732591141874</x:v>
      </x:c>
      <x:c r="AJ1984" s="32" t="n">
        <x:f>H1984*v01_CommonsCoef*AI1984^v01_CommonsExp*INDEX(LM_Commons,G1984)</x:f>
        <x:v>0</x:v>
      </x:c>
      <x:c r="AK1984" s="32" t="n">
        <x:f>H1984*v01_RoleScale*Arch_Roles*(AE1984*(INDEX(v01_ElderRolePerSett,G1984)*v01_OutElder*INDEX(LM_Elder,G1984)+INDEX(v01_ShamanPerSett,G1984)*v01_OutShaman)+Z1984*(INDEX(v01_PriestShare,G1984)*v01_OutPriest+INDEX(v01_ScribeShare,G1984)*v01_OutScribe*INDEX(LM_Scribe,G1984)+INDEX(v01_ScholarShare,G1984)*v01_OutScholar*INDEX(LM_Scholar,G1984)+INDEX(v01_ResearcherShare,G1984)*v01_OutResearcher*INDEX(LM_Researcher,G1984)))</x:f>
        <x:v>0</x:v>
      </x:c>
      <x:c r="AL1984" s="32" t="n">
        <x:f>H1984*v01_RoleScale*Arch_Roles*AE1984*INDEX(v01_MonasteryPerSett,G1984)*v01_OutMonastery*INDEX(LM_Monastery,G1984)</x:f>
        <x:v>0</x:v>
      </x:c>
      <x:c r="AM1984" s="32" t="n">
        <x:f>(AJ1984+AK1984+AL1984)/4*INDEX(LM_All,G1984)*INDEX(v01_Boon,G1984)*Arch_Insight</x:f>
        <x:v>0</x:v>
      </x:c>
      <x:c r="AN1984" s="32" t="n">
        <x:f>H1984*(v01_KHPerAdult*Z1984+v01_KHOfCommons*AJ1984/4*INDEX(LM_All,G1984))*v01_KHUsable*Arch_KH</x:f>
        <x:v>0</x:v>
      </x:c>
      <x:c r="AO1984" s="32" t="n">
        <x:f>MIN(AP1983+AN1984,AM1984*v01_KHMaxRatio)</x:f>
        <x:v>0</x:v>
      </x:c>
      <x:c r="AP1984" s="32" t="n">
        <x:f>AP1983+AN1984-AO1984</x:f>
        <x:v>0</x:v>
      </x:c>
      <x:c r="AQ1984" s="32" t="n">
        <x:f>AM1984+AO1984</x:f>
        <x:v>0</x:v>
      </x:c>
      <x:c r="AR1984" s="10" t="n">
        <x:f>IF(H1984=1,INDEX(v01_Req,G1984),0)</x:f>
        <x:v>0</x:v>
      </x:c>
      <x:c r="AS1984" s="32" t="n">
        <x:f>IF(H1984=1,IF(E1984=1,AS1983-AR1983,AS1983)+AQ1984,0)</x:f>
        <x:v>0</x:v>
      </x:c>
      <x:c r="AT1984" s="11" t="n">
        <x:f>IF(AR1984&gt;0,MIN(1,AS1984/AR1984),1)</x:f>
        <x:v>1</x:v>
      </x:c>
      <x:c r="AU1984" s="10" t="n">
        <x:f>AB1984/INDEX(v01_RepScale,G1984)</x:f>
        <x:v>90.09519605746344</x:v>
      </x:c>
      <x:c r="AV1984" s="32" t="n">
        <x:f>AM1984*60/v01_SeasonSeconds</x:f>
        <x:v>0</x:v>
      </x:c>
    </x:row>
    <x:row r="1985">
      <x:c r="A1985" s="8" t="n">
        <x:f>A1984+1</x:f>
        <x:v>1982</x:v>
      </x:c>
      <x:c r="B1985" s="9" t="n">
        <x:f>A1985*v01_SeasonSeconds/60</x:f>
        <x:v>495.5</x:v>
      </x:c>
      <x:c r="C1985" s="9" t="n">
        <x:f>A1985/4</x:f>
        <x:v>495.5</x:v>
      </x:c>
      <x:c r="D1985" s="8" t="n">
        <x:f>IF(MOD(A1985,4)=0,1,0)</x:f>
        <x:v>0</x:v>
      </x:c>
      <x:c r="E1985" s="8" t="n">
        <x:f>IF(AND(F1984&lt;=9,AS1984&gt;=AR1984),1,0)</x:f>
        <x:v>0</x:v>
      </x:c>
      <x:c r="F1985" s="8" t="n">
        <x:f>MIN(10,F1984+E1985)</x:f>
        <x:v>10</x:v>
      </x:c>
      <x:c r="G1985" s="8" t="n">
        <x:f>MIN(F1985,9)+1</x:f>
        <x:v>10</x:v>
      </x:c>
      <x:c r="H1985" s="8" t="n">
        <x:f>IF(F1985&lt;=9,1,0)</x:f>
        <x:v>0</x:v>
      </x:c>
      <x:c r="I1985" s="9" t="n">
        <x:f>MIN(10,F1984+IF(AR1984&gt;0,MIN(1,AS1984/AR1984),1))</x:f>
        <x:v>10</x:v>
      </x:c>
      <x:c r="J1985" s="32" t="n">
        <x:f>INDEX(v01_FoodCap,G1985)*Arch_FoodCap*EXP(v01_CapsByProject*SUMPRODUCT((Cap_Point&lt;=I1985)*(Cap_Kind="Food")*Cap_Ln))</x:f>
        <x:v>12000</x:v>
      </x:c>
      <x:c r="K1985" s="32" t="n">
        <x:f>J1985*MIN(1,v01_LeanBase*EXP(v01_CapsByProject*SUMPRODUCT((Cap_Point&lt;=I1985)*(Cap_Kind="Lean")*Cap_Ln)))</x:f>
        <x:v>12000</x:v>
      </x:c>
      <x:c r="L1985" s="10" t="n">
        <x:f>INDEX(v01_HousingCap,G1985)*EXP(v01_CapsByProject*SUMPRODUCT((Cap_Point&lt;=I1985)*(Cap_Kind="Housing")*Cap_Ln))</x:f>
        <x:v>20000</x:v>
      </x:c>
      <x:c r="M1985" s="10" t="n">
        <x:f>INDEX(v01_GroupCap,G1985)*v01_CohesionFactor*EXP(v01_CapsByProject*SUMPRODUCT((Cap_Point&lt;=I1985)*(Cap_Kind="Group")*Cap_Ln))</x:f>
        <x:v>1000000</x:v>
      </x:c>
      <x:c r="N1985" s="32" t="n">
        <x:f>MIN(J1985,L1985,M1985)</x:f>
        <x:v>12000</x:v>
      </x:c>
      <x:c r="O1985" s="10" t="n">
        <x:f>AE1984*N1985</x:f>
        <x:v>180000</x:v>
      </x:c>
      <x:c r="P1985" s="9" t="n">
        <x:f>MIN(1,(AB1984/(AE1984*IF(v01_GroupInCrowding=1,N1985,MIN(J1985,L1985))))^v01_CrowdingExp)</x:f>
        <x:v>0.00024569414295285325</x:v>
      </x:c>
      <x:c r="Q1985" s="9" t="n">
        <x:f>IF(D1985=1,INDEX(v01_WinterMult,G1985),1)</x:f>
        <x:v>1</x:v>
      </x:c>
      <x:c r="R1985" s="9" t="n">
        <x:f>H1985*Z1984*v01_WomenShare*v01_BaseFertility*INDEX(v01_FertMult,G1985)*Arch_Fertility*(1-P1985)</x:f>
        <x:v>0</x:v>
      </x:c>
      <x:c r="S1985" s="9" t="n">
        <x:f>H1985*Y1984*INDEX(v01_MortChild,G1985)/4*Q1985</x:f>
        <x:v>0</x:v>
      </x:c>
      <x:c r="T1985" s="9" t="n">
        <x:f>H1985*Z1984*INDEX(v01_MortAdult,G1985)*Arch_AdultMort/4*Q1985</x:f>
        <x:v>0</x:v>
      </x:c>
      <x:c r="U1985" s="9" t="n">
        <x:f>H1985*AA1984*INDEX(v01_MortElder,G1985)/4*Q1985</x:f>
        <x:v>0</x:v>
      </x:c>
      <x:c r="V1985" s="9" t="n">
        <x:f>H1985*MAX(0,AB1984-O1985)*v01_OvercapLoss</x:f>
        <x:v>0</x:v>
      </x:c>
      <x:c r="W1985" s="9" t="n">
        <x:f>H1985*Y1984/(v01_ChildYears*4)</x:f>
        <x:v>0</x:v>
      </x:c>
      <x:c r="X1985" s="9" t="n">
        <x:f>H1985*Z1984/(v01_AdultYears*4)</x:f>
        <x:v>0</x:v>
      </x:c>
      <x:c r="Y1985" s="32" t="n">
        <x:f>Y1984+R1985-S1985-W1985-Y1984*V1985/AB1984</x:f>
        <x:v>14306.18539759397</x:v>
      </x:c>
      <x:c r="Z1985" s="32" t="n">
        <x:f>Z1984+W1985-X1985-T1985-Z1984*V1985/AB1984</x:f>
        <x:v>19354.456567879548</x:v>
      </x:c>
      <x:c r="AA1985" s="32" t="n">
        <x:f>AA1984+X1985-U1985-AA1984*V1985/AB1984</x:f>
        <x:v>11386.956063258198</x:v>
      </x:c>
      <x:c r="AB1985" s="10" t="n">
        <x:f>Y1985+Z1985+AA1985</x:f>
        <x:v>45047.59802873172</x:v>
      </x:c>
      <x:c r="AC1985" s="8" t="n">
        <x:f>IF(AND(v01_WinterTrigger=1,D1985=1,AB1984/AE1984&gt;=K1985),1,0)</x:f>
        <x:v>0</x:v>
      </x:c>
      <x:c r="AD1985" s="8" t="n">
        <x:f>H1985*IF(AND(OR(AB1984/AE1984&gt;=v01_FissionTrigger*N1985,AC1985=1),AB1984/AE1984*v01_DaughterShare&gt;=v01_MinDaughter),MAX(1,ROUND(AE1984*v01_FissionRate,0)),0)</x:f>
        <x:v>0</x:v>
      </x:c>
      <x:c r="AE1985" s="8" t="n">
        <x:f>IF(H1985=1,MAX(1,MIN(INDEX(v01_Smax,G1985),AE1984+AD1985)),AE1984)</x:f>
        <x:v>15</x:v>
      </x:c>
      <x:c r="AF1985" s="8" t="n">
        <x:f>MAX(0,AE1985-AE1984)</x:f>
        <x:v>0</x:v>
      </x:c>
      <x:c r="AG1985" s="9" t="str">
        <x:f>IF(AF1985&gt;0,B1985,"")</x:f>
      </x:c>
      <x:c r="AH1985" s="9" t="n">
        <x:f>IF(F1985&gt;=1,1,(1+v01_LowTiesShare*(AE1985-1))/AE1985)</x:f>
        <x:v>1</x:v>
      </x:c>
      <x:c r="AI1985" s="32" t="n">
        <x:f>(Z1985+v01_ElderCommons*INDEX(LM_Elder,G1985)*AA1985)*AH1985</x:f>
        <x:v>64139.732591141874</x:v>
      </x:c>
      <x:c r="AJ1985" s="32" t="n">
        <x:f>H1985*v01_CommonsCoef*AI1985^v01_CommonsExp*INDEX(LM_Commons,G1985)</x:f>
        <x:v>0</x:v>
      </x:c>
      <x:c r="AK1985" s="32" t="n">
        <x:f>H1985*v01_RoleScale*Arch_Roles*(AE1985*(INDEX(v01_ElderRolePerSett,G1985)*v01_OutElder*INDEX(LM_Elder,G1985)+INDEX(v01_ShamanPerSett,G1985)*v01_OutShaman)+Z1985*(INDEX(v01_PriestShare,G1985)*v01_OutPriest+INDEX(v01_ScribeShare,G1985)*v01_OutScribe*INDEX(LM_Scribe,G1985)+INDEX(v01_ScholarShare,G1985)*v01_OutScholar*INDEX(LM_Scholar,G1985)+INDEX(v01_ResearcherShare,G1985)*v01_OutResearcher*INDEX(LM_Researcher,G1985)))</x:f>
        <x:v>0</x:v>
      </x:c>
      <x:c r="AL1985" s="32" t="n">
        <x:f>H1985*v01_RoleScale*Arch_Roles*AE1985*INDEX(v01_MonasteryPerSett,G1985)*v01_OutMonastery*INDEX(LM_Monastery,G1985)</x:f>
        <x:v>0</x:v>
      </x:c>
      <x:c r="AM1985" s="32" t="n">
        <x:f>(AJ1985+AK1985+AL1985)/4*INDEX(LM_All,G1985)*INDEX(v01_Boon,G1985)*Arch_Insight</x:f>
        <x:v>0</x:v>
      </x:c>
      <x:c r="AN1985" s="32" t="n">
        <x:f>H1985*(v01_KHPerAdult*Z1985+v01_KHOfCommons*AJ1985/4*INDEX(LM_All,G1985))*v01_KHUsable*Arch_KH</x:f>
        <x:v>0</x:v>
      </x:c>
      <x:c r="AO1985" s="32" t="n">
        <x:f>MIN(AP1984+AN1985,AM1985*v01_KHMaxRatio)</x:f>
        <x:v>0</x:v>
      </x:c>
      <x:c r="AP1985" s="32" t="n">
        <x:f>AP1984+AN1985-AO1985</x:f>
        <x:v>0</x:v>
      </x:c>
      <x:c r="AQ1985" s="32" t="n">
        <x:f>AM1985+AO1985</x:f>
        <x:v>0</x:v>
      </x:c>
      <x:c r="AR1985" s="10" t="n">
        <x:f>IF(H1985=1,INDEX(v01_Req,G1985),0)</x:f>
        <x:v>0</x:v>
      </x:c>
      <x:c r="AS1985" s="32" t="n">
        <x:f>IF(H1985=1,IF(E1985=1,AS1984-AR1984,AS1984)+AQ1985,0)</x:f>
        <x:v>0</x:v>
      </x:c>
      <x:c r="AT1985" s="11" t="n">
        <x:f>IF(AR1985&gt;0,MIN(1,AS1985/AR1985),1)</x:f>
        <x:v>1</x:v>
      </x:c>
      <x:c r="AU1985" s="10" t="n">
        <x:f>AB1985/INDEX(v01_RepScale,G1985)</x:f>
        <x:v>90.09519605746344</x:v>
      </x:c>
      <x:c r="AV1985" s="32" t="n">
        <x:f>AM1985*60/v01_SeasonSeconds</x:f>
        <x:v>0</x:v>
      </x:c>
    </x:row>
    <x:row r="1986">
      <x:c r="A1986" s="8" t="n">
        <x:f>A1985+1</x:f>
        <x:v>1983</x:v>
      </x:c>
      <x:c r="B1986" s="9" t="n">
        <x:f>A1986*v01_SeasonSeconds/60</x:f>
        <x:v>495.75</x:v>
      </x:c>
      <x:c r="C1986" s="9" t="n">
        <x:f>A1986/4</x:f>
        <x:v>495.75</x:v>
      </x:c>
      <x:c r="D1986" s="8" t="n">
        <x:f>IF(MOD(A1986,4)=0,1,0)</x:f>
        <x:v>0</x:v>
      </x:c>
      <x:c r="E1986" s="8" t="n">
        <x:f>IF(AND(F1985&lt;=9,AS1985&gt;=AR1985),1,0)</x:f>
        <x:v>0</x:v>
      </x:c>
      <x:c r="F1986" s="8" t="n">
        <x:f>MIN(10,F1985+E1986)</x:f>
        <x:v>10</x:v>
      </x:c>
      <x:c r="G1986" s="8" t="n">
        <x:f>MIN(F1986,9)+1</x:f>
        <x:v>10</x:v>
      </x:c>
      <x:c r="H1986" s="8" t="n">
        <x:f>IF(F1986&lt;=9,1,0)</x:f>
        <x:v>0</x:v>
      </x:c>
      <x:c r="I1986" s="9" t="n">
        <x:f>MIN(10,F1985+IF(AR1985&gt;0,MIN(1,AS1985/AR1985),1))</x:f>
        <x:v>10</x:v>
      </x:c>
      <x:c r="J1986" s="32" t="n">
        <x:f>INDEX(v01_FoodCap,G1986)*Arch_FoodCap*EXP(v01_CapsByProject*SUMPRODUCT((Cap_Point&lt;=I1986)*(Cap_Kind="Food")*Cap_Ln))</x:f>
        <x:v>12000</x:v>
      </x:c>
      <x:c r="K1986" s="32" t="n">
        <x:f>J1986*MIN(1,v01_LeanBase*EXP(v01_CapsByProject*SUMPRODUCT((Cap_Point&lt;=I1986)*(Cap_Kind="Lean")*Cap_Ln)))</x:f>
        <x:v>12000</x:v>
      </x:c>
      <x:c r="L1986" s="10" t="n">
        <x:f>INDEX(v01_HousingCap,G1986)*EXP(v01_CapsByProject*SUMPRODUCT((Cap_Point&lt;=I1986)*(Cap_Kind="Housing")*Cap_Ln))</x:f>
        <x:v>20000</x:v>
      </x:c>
      <x:c r="M1986" s="10" t="n">
        <x:f>INDEX(v01_GroupCap,G1986)*v01_CohesionFactor*EXP(v01_CapsByProject*SUMPRODUCT((Cap_Point&lt;=I1986)*(Cap_Kind="Group")*Cap_Ln))</x:f>
        <x:v>1000000</x:v>
      </x:c>
      <x:c r="N1986" s="32" t="n">
        <x:f>MIN(J1986,L1986,M1986)</x:f>
        <x:v>12000</x:v>
      </x:c>
      <x:c r="O1986" s="10" t="n">
        <x:f>AE1985*N1986</x:f>
        <x:v>180000</x:v>
      </x:c>
      <x:c r="P1986" s="9" t="n">
        <x:f>MIN(1,(AB1985/(AE1985*IF(v01_GroupInCrowding=1,N1986,MIN(J1986,L1986))))^v01_CrowdingExp)</x:f>
        <x:v>0.00024569414295285325</x:v>
      </x:c>
      <x:c r="Q1986" s="9" t="n">
        <x:f>IF(D1986=1,INDEX(v01_WinterMult,G1986),1)</x:f>
        <x:v>1</x:v>
      </x:c>
      <x:c r="R1986" s="9" t="n">
        <x:f>H1986*Z1985*v01_WomenShare*v01_BaseFertility*INDEX(v01_FertMult,G1986)*Arch_Fertility*(1-P1986)</x:f>
        <x:v>0</x:v>
      </x:c>
      <x:c r="S1986" s="9" t="n">
        <x:f>H1986*Y1985*INDEX(v01_MortChild,G1986)/4*Q1986</x:f>
        <x:v>0</x:v>
      </x:c>
      <x:c r="T1986" s="9" t="n">
        <x:f>H1986*Z1985*INDEX(v01_MortAdult,G1986)*Arch_AdultMort/4*Q1986</x:f>
        <x:v>0</x:v>
      </x:c>
      <x:c r="U1986" s="9" t="n">
        <x:f>H1986*AA1985*INDEX(v01_MortElder,G1986)/4*Q1986</x:f>
        <x:v>0</x:v>
      </x:c>
      <x:c r="V1986" s="9" t="n">
        <x:f>H1986*MAX(0,AB1985-O1986)*v01_OvercapLoss</x:f>
        <x:v>0</x:v>
      </x:c>
      <x:c r="W1986" s="9" t="n">
        <x:f>H1986*Y1985/(v01_ChildYears*4)</x:f>
        <x:v>0</x:v>
      </x:c>
      <x:c r="X1986" s="9" t="n">
        <x:f>H1986*Z1985/(v01_AdultYears*4)</x:f>
        <x:v>0</x:v>
      </x:c>
      <x:c r="Y1986" s="32" t="n">
        <x:f>Y1985+R1986-S1986-W1986-Y1985*V1986/AB1985</x:f>
        <x:v>14306.18539759397</x:v>
      </x:c>
      <x:c r="Z1986" s="32" t="n">
        <x:f>Z1985+W1986-X1986-T1986-Z1985*V1986/AB1985</x:f>
        <x:v>19354.456567879548</x:v>
      </x:c>
      <x:c r="AA1986" s="32" t="n">
        <x:f>AA1985+X1986-U1986-AA1985*V1986/AB1985</x:f>
        <x:v>11386.956063258198</x:v>
      </x:c>
      <x:c r="AB1986" s="10" t="n">
        <x:f>Y1986+Z1986+AA1986</x:f>
        <x:v>45047.59802873172</x:v>
      </x:c>
      <x:c r="AC1986" s="8" t="n">
        <x:f>IF(AND(v01_WinterTrigger=1,D1986=1,AB1985/AE1985&gt;=K1986),1,0)</x:f>
        <x:v>0</x:v>
      </x:c>
      <x:c r="AD1986" s="8" t="n">
        <x:f>H1986*IF(AND(OR(AB1985/AE1985&gt;=v01_FissionTrigger*N1986,AC1986=1),AB1985/AE1985*v01_DaughterShare&gt;=v01_MinDaughter),MAX(1,ROUND(AE1985*v01_FissionRate,0)),0)</x:f>
        <x:v>0</x:v>
      </x:c>
      <x:c r="AE1986" s="8" t="n">
        <x:f>IF(H1986=1,MAX(1,MIN(INDEX(v01_Smax,G1986),AE1985+AD1986)),AE1985)</x:f>
        <x:v>15</x:v>
      </x:c>
      <x:c r="AF1986" s="8" t="n">
        <x:f>MAX(0,AE1986-AE1985)</x:f>
        <x:v>0</x:v>
      </x:c>
      <x:c r="AG1986" s="9" t="str">
        <x:f>IF(AF1986&gt;0,B1986,"")</x:f>
      </x:c>
      <x:c r="AH1986" s="9" t="n">
        <x:f>IF(F1986&gt;=1,1,(1+v01_LowTiesShare*(AE1986-1))/AE1986)</x:f>
        <x:v>1</x:v>
      </x:c>
      <x:c r="AI1986" s="32" t="n">
        <x:f>(Z1986+v01_ElderCommons*INDEX(LM_Elder,G1986)*AA1986)*AH1986</x:f>
        <x:v>64139.732591141874</x:v>
      </x:c>
      <x:c r="AJ1986" s="32" t="n">
        <x:f>H1986*v01_CommonsCoef*AI1986^v01_CommonsExp*INDEX(LM_Commons,G1986)</x:f>
        <x:v>0</x:v>
      </x:c>
      <x:c r="AK1986" s="32" t="n">
        <x:f>H1986*v01_RoleScale*Arch_Roles*(AE1986*(INDEX(v01_ElderRolePerSett,G1986)*v01_OutElder*INDEX(LM_Elder,G1986)+INDEX(v01_ShamanPerSett,G1986)*v01_OutShaman)+Z1986*(INDEX(v01_PriestShare,G1986)*v01_OutPriest+INDEX(v01_ScribeShare,G1986)*v01_OutScribe*INDEX(LM_Scribe,G1986)+INDEX(v01_ScholarShare,G1986)*v01_OutScholar*INDEX(LM_Scholar,G1986)+INDEX(v01_ResearcherShare,G1986)*v01_OutResearcher*INDEX(LM_Researcher,G1986)))</x:f>
        <x:v>0</x:v>
      </x:c>
      <x:c r="AL1986" s="32" t="n">
        <x:f>H1986*v01_RoleScale*Arch_Roles*AE1986*INDEX(v01_MonasteryPerSett,G1986)*v01_OutMonastery*INDEX(LM_Monastery,G1986)</x:f>
        <x:v>0</x:v>
      </x:c>
      <x:c r="AM1986" s="32" t="n">
        <x:f>(AJ1986+AK1986+AL1986)/4*INDEX(LM_All,G1986)*INDEX(v01_Boon,G1986)*Arch_Insight</x:f>
        <x:v>0</x:v>
      </x:c>
      <x:c r="AN1986" s="32" t="n">
        <x:f>H1986*(v01_KHPerAdult*Z1986+v01_KHOfCommons*AJ1986/4*INDEX(LM_All,G1986))*v01_KHUsable*Arch_KH</x:f>
        <x:v>0</x:v>
      </x:c>
      <x:c r="AO1986" s="32" t="n">
        <x:f>MIN(AP1985+AN1986,AM1986*v01_KHMaxRatio)</x:f>
        <x:v>0</x:v>
      </x:c>
      <x:c r="AP1986" s="32" t="n">
        <x:f>AP1985+AN1986-AO1986</x:f>
        <x:v>0</x:v>
      </x:c>
      <x:c r="AQ1986" s="32" t="n">
        <x:f>AM1986+AO1986</x:f>
        <x:v>0</x:v>
      </x:c>
      <x:c r="AR1986" s="10" t="n">
        <x:f>IF(H1986=1,INDEX(v01_Req,G1986),0)</x:f>
        <x:v>0</x:v>
      </x:c>
      <x:c r="AS1986" s="32" t="n">
        <x:f>IF(H1986=1,IF(E1986=1,AS1985-AR1985,AS1985)+AQ1986,0)</x:f>
        <x:v>0</x:v>
      </x:c>
      <x:c r="AT1986" s="11" t="n">
        <x:f>IF(AR1986&gt;0,MIN(1,AS1986/AR1986),1)</x:f>
        <x:v>1</x:v>
      </x:c>
      <x:c r="AU1986" s="10" t="n">
        <x:f>AB1986/INDEX(v01_RepScale,G1986)</x:f>
        <x:v>90.09519605746344</x:v>
      </x:c>
      <x:c r="AV1986" s="32" t="n">
        <x:f>AM1986*60/v01_SeasonSeconds</x:f>
        <x:v>0</x:v>
      </x:c>
    </x:row>
    <x:row r="1987">
      <x:c r="A1987" s="8" t="n">
        <x:f>A1986+1</x:f>
        <x:v>1984</x:v>
      </x:c>
      <x:c r="B1987" s="9" t="n">
        <x:f>A1987*v01_SeasonSeconds/60</x:f>
        <x:v>496</x:v>
      </x:c>
      <x:c r="C1987" s="9" t="n">
        <x:f>A1987/4</x:f>
        <x:v>496</x:v>
      </x:c>
      <x:c r="D1987" s="8" t="n">
        <x:f>IF(MOD(A1987,4)=0,1,0)</x:f>
        <x:v>1</x:v>
      </x:c>
      <x:c r="E1987" s="8" t="n">
        <x:f>IF(AND(F1986&lt;=9,AS1986&gt;=AR1986),1,0)</x:f>
        <x:v>0</x:v>
      </x:c>
      <x:c r="F1987" s="8" t="n">
        <x:f>MIN(10,F1986+E1987)</x:f>
        <x:v>10</x:v>
      </x:c>
      <x:c r="G1987" s="8" t="n">
        <x:f>MIN(F1987,9)+1</x:f>
        <x:v>10</x:v>
      </x:c>
      <x:c r="H1987" s="8" t="n">
        <x:f>IF(F1987&lt;=9,1,0)</x:f>
        <x:v>0</x:v>
      </x:c>
      <x:c r="I1987" s="9" t="n">
        <x:f>MIN(10,F1986+IF(AR1986&gt;0,MIN(1,AS1986/AR1986),1))</x:f>
        <x:v>10</x:v>
      </x:c>
      <x:c r="J1987" s="32" t="n">
        <x:f>INDEX(v01_FoodCap,G1987)*Arch_FoodCap*EXP(v01_CapsByProject*SUMPRODUCT((Cap_Point&lt;=I1987)*(Cap_Kind="Food")*Cap_Ln))</x:f>
        <x:v>12000</x:v>
      </x:c>
      <x:c r="K1987" s="32" t="n">
        <x:f>J1987*MIN(1,v01_LeanBase*EXP(v01_CapsByProject*SUMPRODUCT((Cap_Point&lt;=I1987)*(Cap_Kind="Lean")*Cap_Ln)))</x:f>
        <x:v>12000</x:v>
      </x:c>
      <x:c r="L1987" s="10" t="n">
        <x:f>INDEX(v01_HousingCap,G1987)*EXP(v01_CapsByProject*SUMPRODUCT((Cap_Point&lt;=I1987)*(Cap_Kind="Housing")*Cap_Ln))</x:f>
        <x:v>20000</x:v>
      </x:c>
      <x:c r="M1987" s="10" t="n">
        <x:f>INDEX(v01_GroupCap,G1987)*v01_CohesionFactor*EXP(v01_CapsByProject*SUMPRODUCT((Cap_Point&lt;=I1987)*(Cap_Kind="Group")*Cap_Ln))</x:f>
        <x:v>1000000</x:v>
      </x:c>
      <x:c r="N1987" s="32" t="n">
        <x:f>MIN(J1987,L1987,M1987)</x:f>
        <x:v>12000</x:v>
      </x:c>
      <x:c r="O1987" s="10" t="n">
        <x:f>AE1986*N1987</x:f>
        <x:v>180000</x:v>
      </x:c>
      <x:c r="P1987" s="9" t="n">
        <x:f>MIN(1,(AB1986/(AE1986*IF(v01_GroupInCrowding=1,N1987,MIN(J1987,L1987))))^v01_CrowdingExp)</x:f>
        <x:v>0.00024569414295285325</x:v>
      </x:c>
      <x:c r="Q1987" s="9" t="n">
        <x:f>IF(D1987=1,INDEX(v01_WinterMult,G1987),1)</x:f>
        <x:v>1</x:v>
      </x:c>
      <x:c r="R1987" s="9" t="n">
        <x:f>H1987*Z1986*v01_WomenShare*v01_BaseFertility*INDEX(v01_FertMult,G1987)*Arch_Fertility*(1-P1987)</x:f>
        <x:v>0</x:v>
      </x:c>
      <x:c r="S1987" s="9" t="n">
        <x:f>H1987*Y1986*INDEX(v01_MortChild,G1987)/4*Q1987</x:f>
        <x:v>0</x:v>
      </x:c>
      <x:c r="T1987" s="9" t="n">
        <x:f>H1987*Z1986*INDEX(v01_MortAdult,G1987)*Arch_AdultMort/4*Q1987</x:f>
        <x:v>0</x:v>
      </x:c>
      <x:c r="U1987" s="9" t="n">
        <x:f>H1987*AA1986*INDEX(v01_MortElder,G1987)/4*Q1987</x:f>
        <x:v>0</x:v>
      </x:c>
      <x:c r="V1987" s="9" t="n">
        <x:f>H1987*MAX(0,AB1986-O1987)*v01_OvercapLoss</x:f>
        <x:v>0</x:v>
      </x:c>
      <x:c r="W1987" s="9" t="n">
        <x:f>H1987*Y1986/(v01_ChildYears*4)</x:f>
        <x:v>0</x:v>
      </x:c>
      <x:c r="X1987" s="9" t="n">
        <x:f>H1987*Z1986/(v01_AdultYears*4)</x:f>
        <x:v>0</x:v>
      </x:c>
      <x:c r="Y1987" s="32" t="n">
        <x:f>Y1986+R1987-S1987-W1987-Y1986*V1987/AB1986</x:f>
        <x:v>14306.18539759397</x:v>
      </x:c>
      <x:c r="Z1987" s="32" t="n">
        <x:f>Z1986+W1987-X1987-T1987-Z1986*V1987/AB1986</x:f>
        <x:v>19354.456567879548</x:v>
      </x:c>
      <x:c r="AA1987" s="32" t="n">
        <x:f>AA1986+X1987-U1987-AA1986*V1987/AB1986</x:f>
        <x:v>11386.956063258198</x:v>
      </x:c>
      <x:c r="AB1987" s="10" t="n">
        <x:f>Y1987+Z1987+AA1987</x:f>
        <x:v>45047.59802873172</x:v>
      </x:c>
      <x:c r="AC1987" s="8" t="n">
        <x:f>IF(AND(v01_WinterTrigger=1,D1987=1,AB1986/AE1986&gt;=K1987),1,0)</x:f>
        <x:v>0</x:v>
      </x:c>
      <x:c r="AD1987" s="8" t="n">
        <x:f>H1987*IF(AND(OR(AB1986/AE1986&gt;=v01_FissionTrigger*N1987,AC1987=1),AB1986/AE1986*v01_DaughterShare&gt;=v01_MinDaughter),MAX(1,ROUND(AE1986*v01_FissionRate,0)),0)</x:f>
        <x:v>0</x:v>
      </x:c>
      <x:c r="AE1987" s="8" t="n">
        <x:f>IF(H1987=1,MAX(1,MIN(INDEX(v01_Smax,G1987),AE1986+AD1987)),AE1986)</x:f>
        <x:v>15</x:v>
      </x:c>
      <x:c r="AF1987" s="8" t="n">
        <x:f>MAX(0,AE1987-AE1986)</x:f>
        <x:v>0</x:v>
      </x:c>
      <x:c r="AG1987" s="9" t="str">
        <x:f>IF(AF1987&gt;0,B1987,"")</x:f>
      </x:c>
      <x:c r="AH1987" s="9" t="n">
        <x:f>IF(F1987&gt;=1,1,(1+v01_LowTiesShare*(AE1987-1))/AE1987)</x:f>
        <x:v>1</x:v>
      </x:c>
      <x:c r="AI1987" s="32" t="n">
        <x:f>(Z1987+v01_ElderCommons*INDEX(LM_Elder,G1987)*AA1987)*AH1987</x:f>
        <x:v>64139.732591141874</x:v>
      </x:c>
      <x:c r="AJ1987" s="32" t="n">
        <x:f>H1987*v01_CommonsCoef*AI1987^v01_CommonsExp*INDEX(LM_Commons,G1987)</x:f>
        <x:v>0</x:v>
      </x:c>
      <x:c r="AK1987" s="32" t="n">
        <x:f>H1987*v01_RoleScale*Arch_Roles*(AE1987*(INDEX(v01_ElderRolePerSett,G1987)*v01_OutElder*INDEX(LM_Elder,G1987)+INDEX(v01_ShamanPerSett,G1987)*v01_OutShaman)+Z1987*(INDEX(v01_PriestShare,G1987)*v01_OutPriest+INDEX(v01_ScribeShare,G1987)*v01_OutScribe*INDEX(LM_Scribe,G1987)+INDEX(v01_ScholarShare,G1987)*v01_OutScholar*INDEX(LM_Scholar,G1987)+INDEX(v01_ResearcherShare,G1987)*v01_OutResearcher*INDEX(LM_Researcher,G1987)))</x:f>
        <x:v>0</x:v>
      </x:c>
      <x:c r="AL1987" s="32" t="n">
        <x:f>H1987*v01_RoleScale*Arch_Roles*AE1987*INDEX(v01_MonasteryPerSett,G1987)*v01_OutMonastery*INDEX(LM_Monastery,G1987)</x:f>
        <x:v>0</x:v>
      </x:c>
      <x:c r="AM1987" s="32" t="n">
        <x:f>(AJ1987+AK1987+AL1987)/4*INDEX(LM_All,G1987)*INDEX(v01_Boon,G1987)*Arch_Insight</x:f>
        <x:v>0</x:v>
      </x:c>
      <x:c r="AN1987" s="32" t="n">
        <x:f>H1987*(v01_KHPerAdult*Z1987+v01_KHOfCommons*AJ1987/4*INDEX(LM_All,G1987))*v01_KHUsable*Arch_KH</x:f>
        <x:v>0</x:v>
      </x:c>
      <x:c r="AO1987" s="32" t="n">
        <x:f>MIN(AP1986+AN1987,AM1987*v01_KHMaxRatio)</x:f>
        <x:v>0</x:v>
      </x:c>
      <x:c r="AP1987" s="32" t="n">
        <x:f>AP1986+AN1987-AO1987</x:f>
        <x:v>0</x:v>
      </x:c>
      <x:c r="AQ1987" s="32" t="n">
        <x:f>AM1987+AO1987</x:f>
        <x:v>0</x:v>
      </x:c>
      <x:c r="AR1987" s="10" t="n">
        <x:f>IF(H1987=1,INDEX(v01_Req,G1987),0)</x:f>
        <x:v>0</x:v>
      </x:c>
      <x:c r="AS1987" s="32" t="n">
        <x:f>IF(H1987=1,IF(E1987=1,AS1986-AR1986,AS1986)+AQ1987,0)</x:f>
        <x:v>0</x:v>
      </x:c>
      <x:c r="AT1987" s="11" t="n">
        <x:f>IF(AR1987&gt;0,MIN(1,AS1987/AR1987),1)</x:f>
        <x:v>1</x:v>
      </x:c>
      <x:c r="AU1987" s="10" t="n">
        <x:f>AB1987/INDEX(v01_RepScale,G1987)</x:f>
        <x:v>90.09519605746344</x:v>
      </x:c>
      <x:c r="AV1987" s="32" t="n">
        <x:f>AM1987*60/v01_SeasonSeconds</x:f>
        <x:v>0</x:v>
      </x:c>
    </x:row>
    <x:row r="1988">
      <x:c r="A1988" s="8" t="n">
        <x:f>A1987+1</x:f>
        <x:v>1985</x:v>
      </x:c>
      <x:c r="B1988" s="9" t="n">
        <x:f>A1988*v01_SeasonSeconds/60</x:f>
        <x:v>496.25</x:v>
      </x:c>
      <x:c r="C1988" s="9" t="n">
        <x:f>A1988/4</x:f>
        <x:v>496.25</x:v>
      </x:c>
      <x:c r="D1988" s="8" t="n">
        <x:f>IF(MOD(A1988,4)=0,1,0)</x:f>
        <x:v>0</x:v>
      </x:c>
      <x:c r="E1988" s="8" t="n">
        <x:f>IF(AND(F1987&lt;=9,AS1987&gt;=AR1987),1,0)</x:f>
        <x:v>0</x:v>
      </x:c>
      <x:c r="F1988" s="8" t="n">
        <x:f>MIN(10,F1987+E1988)</x:f>
        <x:v>10</x:v>
      </x:c>
      <x:c r="G1988" s="8" t="n">
        <x:f>MIN(F1988,9)+1</x:f>
        <x:v>10</x:v>
      </x:c>
      <x:c r="H1988" s="8" t="n">
        <x:f>IF(F1988&lt;=9,1,0)</x:f>
        <x:v>0</x:v>
      </x:c>
      <x:c r="I1988" s="9" t="n">
        <x:f>MIN(10,F1987+IF(AR1987&gt;0,MIN(1,AS1987/AR1987),1))</x:f>
        <x:v>10</x:v>
      </x:c>
      <x:c r="J1988" s="32" t="n">
        <x:f>INDEX(v01_FoodCap,G1988)*Arch_FoodCap*EXP(v01_CapsByProject*SUMPRODUCT((Cap_Point&lt;=I1988)*(Cap_Kind="Food")*Cap_Ln))</x:f>
        <x:v>12000</x:v>
      </x:c>
      <x:c r="K1988" s="32" t="n">
        <x:f>J1988*MIN(1,v01_LeanBase*EXP(v01_CapsByProject*SUMPRODUCT((Cap_Point&lt;=I1988)*(Cap_Kind="Lean")*Cap_Ln)))</x:f>
        <x:v>12000</x:v>
      </x:c>
      <x:c r="L1988" s="10" t="n">
        <x:f>INDEX(v01_HousingCap,G1988)*EXP(v01_CapsByProject*SUMPRODUCT((Cap_Point&lt;=I1988)*(Cap_Kind="Housing")*Cap_Ln))</x:f>
        <x:v>20000</x:v>
      </x:c>
      <x:c r="M1988" s="10" t="n">
        <x:f>INDEX(v01_GroupCap,G1988)*v01_CohesionFactor*EXP(v01_CapsByProject*SUMPRODUCT((Cap_Point&lt;=I1988)*(Cap_Kind="Group")*Cap_Ln))</x:f>
        <x:v>1000000</x:v>
      </x:c>
      <x:c r="N1988" s="32" t="n">
        <x:f>MIN(J1988,L1988,M1988)</x:f>
        <x:v>12000</x:v>
      </x:c>
      <x:c r="O1988" s="10" t="n">
        <x:f>AE1987*N1988</x:f>
        <x:v>180000</x:v>
      </x:c>
      <x:c r="P1988" s="9" t="n">
        <x:f>MIN(1,(AB1987/(AE1987*IF(v01_GroupInCrowding=1,N1988,MIN(J1988,L1988))))^v01_CrowdingExp)</x:f>
        <x:v>0.00024569414295285325</x:v>
      </x:c>
      <x:c r="Q1988" s="9" t="n">
        <x:f>IF(D1988=1,INDEX(v01_WinterMult,G1988),1)</x:f>
        <x:v>1</x:v>
      </x:c>
      <x:c r="R1988" s="9" t="n">
        <x:f>H1988*Z1987*v01_WomenShare*v01_BaseFertility*INDEX(v01_FertMult,G1988)*Arch_Fertility*(1-P1988)</x:f>
        <x:v>0</x:v>
      </x:c>
      <x:c r="S1988" s="9" t="n">
        <x:f>H1988*Y1987*INDEX(v01_MortChild,G1988)/4*Q1988</x:f>
        <x:v>0</x:v>
      </x:c>
      <x:c r="T1988" s="9" t="n">
        <x:f>H1988*Z1987*INDEX(v01_MortAdult,G1988)*Arch_AdultMort/4*Q1988</x:f>
        <x:v>0</x:v>
      </x:c>
      <x:c r="U1988" s="9" t="n">
        <x:f>H1988*AA1987*INDEX(v01_MortElder,G1988)/4*Q1988</x:f>
        <x:v>0</x:v>
      </x:c>
      <x:c r="V1988" s="9" t="n">
        <x:f>H1988*MAX(0,AB1987-O1988)*v01_OvercapLoss</x:f>
        <x:v>0</x:v>
      </x:c>
      <x:c r="W1988" s="9" t="n">
        <x:f>H1988*Y1987/(v01_ChildYears*4)</x:f>
        <x:v>0</x:v>
      </x:c>
      <x:c r="X1988" s="9" t="n">
        <x:f>H1988*Z1987/(v01_AdultYears*4)</x:f>
        <x:v>0</x:v>
      </x:c>
      <x:c r="Y1988" s="32" t="n">
        <x:f>Y1987+R1988-S1988-W1988-Y1987*V1988/AB1987</x:f>
        <x:v>14306.18539759397</x:v>
      </x:c>
      <x:c r="Z1988" s="32" t="n">
        <x:f>Z1987+W1988-X1988-T1988-Z1987*V1988/AB1987</x:f>
        <x:v>19354.456567879548</x:v>
      </x:c>
      <x:c r="AA1988" s="32" t="n">
        <x:f>AA1987+X1988-U1988-AA1987*V1988/AB1987</x:f>
        <x:v>11386.956063258198</x:v>
      </x:c>
      <x:c r="AB1988" s="10" t="n">
        <x:f>Y1988+Z1988+AA1988</x:f>
        <x:v>45047.59802873172</x:v>
      </x:c>
      <x:c r="AC1988" s="8" t="n">
        <x:f>IF(AND(v01_WinterTrigger=1,D1988=1,AB1987/AE1987&gt;=K1988),1,0)</x:f>
        <x:v>0</x:v>
      </x:c>
      <x:c r="AD1988" s="8" t="n">
        <x:f>H1988*IF(AND(OR(AB1987/AE1987&gt;=v01_FissionTrigger*N1988,AC1988=1),AB1987/AE1987*v01_DaughterShare&gt;=v01_MinDaughter),MAX(1,ROUND(AE1987*v01_FissionRate,0)),0)</x:f>
        <x:v>0</x:v>
      </x:c>
      <x:c r="AE1988" s="8" t="n">
        <x:f>IF(H1988=1,MAX(1,MIN(INDEX(v01_Smax,G1988),AE1987+AD1988)),AE1987)</x:f>
        <x:v>15</x:v>
      </x:c>
      <x:c r="AF1988" s="8" t="n">
        <x:f>MAX(0,AE1988-AE1987)</x:f>
        <x:v>0</x:v>
      </x:c>
      <x:c r="AG1988" s="9" t="str">
        <x:f>IF(AF1988&gt;0,B1988,"")</x:f>
      </x:c>
      <x:c r="AH1988" s="9" t="n">
        <x:f>IF(F1988&gt;=1,1,(1+v01_LowTiesShare*(AE1988-1))/AE1988)</x:f>
        <x:v>1</x:v>
      </x:c>
      <x:c r="AI1988" s="32" t="n">
        <x:f>(Z1988+v01_ElderCommons*INDEX(LM_Elder,G1988)*AA1988)*AH1988</x:f>
        <x:v>64139.732591141874</x:v>
      </x:c>
      <x:c r="AJ1988" s="32" t="n">
        <x:f>H1988*v01_CommonsCoef*AI1988^v01_CommonsExp*INDEX(LM_Commons,G1988)</x:f>
        <x:v>0</x:v>
      </x:c>
      <x:c r="AK1988" s="32" t="n">
        <x:f>H1988*v01_RoleScale*Arch_Roles*(AE1988*(INDEX(v01_ElderRolePerSett,G1988)*v01_OutElder*INDEX(LM_Elder,G1988)+INDEX(v01_ShamanPerSett,G1988)*v01_OutShaman)+Z1988*(INDEX(v01_PriestShare,G1988)*v01_OutPriest+INDEX(v01_ScribeShare,G1988)*v01_OutScribe*INDEX(LM_Scribe,G1988)+INDEX(v01_ScholarShare,G1988)*v01_OutScholar*INDEX(LM_Scholar,G1988)+INDEX(v01_ResearcherShare,G1988)*v01_OutResearcher*INDEX(LM_Researcher,G1988)))</x:f>
        <x:v>0</x:v>
      </x:c>
      <x:c r="AL1988" s="32" t="n">
        <x:f>H1988*v01_RoleScale*Arch_Roles*AE1988*INDEX(v01_MonasteryPerSett,G1988)*v01_OutMonastery*INDEX(LM_Monastery,G1988)</x:f>
        <x:v>0</x:v>
      </x:c>
      <x:c r="AM1988" s="32" t="n">
        <x:f>(AJ1988+AK1988+AL1988)/4*INDEX(LM_All,G1988)*INDEX(v01_Boon,G1988)*Arch_Insight</x:f>
        <x:v>0</x:v>
      </x:c>
      <x:c r="AN1988" s="32" t="n">
        <x:f>H1988*(v01_KHPerAdult*Z1988+v01_KHOfCommons*AJ1988/4*INDEX(LM_All,G1988))*v01_KHUsable*Arch_KH</x:f>
        <x:v>0</x:v>
      </x:c>
      <x:c r="AO1988" s="32" t="n">
        <x:f>MIN(AP1987+AN1988,AM1988*v01_KHMaxRatio)</x:f>
        <x:v>0</x:v>
      </x:c>
      <x:c r="AP1988" s="32" t="n">
        <x:f>AP1987+AN1988-AO1988</x:f>
        <x:v>0</x:v>
      </x:c>
      <x:c r="AQ1988" s="32" t="n">
        <x:f>AM1988+AO1988</x:f>
        <x:v>0</x:v>
      </x:c>
      <x:c r="AR1988" s="10" t="n">
        <x:f>IF(H1988=1,INDEX(v01_Req,G1988),0)</x:f>
        <x:v>0</x:v>
      </x:c>
      <x:c r="AS1988" s="32" t="n">
        <x:f>IF(H1988=1,IF(E1988=1,AS1987-AR1987,AS1987)+AQ1988,0)</x:f>
        <x:v>0</x:v>
      </x:c>
      <x:c r="AT1988" s="11" t="n">
        <x:f>IF(AR1988&gt;0,MIN(1,AS1988/AR1988),1)</x:f>
        <x:v>1</x:v>
      </x:c>
      <x:c r="AU1988" s="10" t="n">
        <x:f>AB1988/INDEX(v01_RepScale,G1988)</x:f>
        <x:v>90.09519605746344</x:v>
      </x:c>
      <x:c r="AV1988" s="32" t="n">
        <x:f>AM1988*60/v01_SeasonSeconds</x:f>
        <x:v>0</x:v>
      </x:c>
    </x:row>
    <x:row r="1989">
      <x:c r="A1989" s="8" t="n">
        <x:f>A1988+1</x:f>
        <x:v>1986</x:v>
      </x:c>
      <x:c r="B1989" s="9" t="n">
        <x:f>A1989*v01_SeasonSeconds/60</x:f>
        <x:v>496.5</x:v>
      </x:c>
      <x:c r="C1989" s="9" t="n">
        <x:f>A1989/4</x:f>
        <x:v>496.5</x:v>
      </x:c>
      <x:c r="D1989" s="8" t="n">
        <x:f>IF(MOD(A1989,4)=0,1,0)</x:f>
        <x:v>0</x:v>
      </x:c>
      <x:c r="E1989" s="8" t="n">
        <x:f>IF(AND(F1988&lt;=9,AS1988&gt;=AR1988),1,0)</x:f>
        <x:v>0</x:v>
      </x:c>
      <x:c r="F1989" s="8" t="n">
        <x:f>MIN(10,F1988+E1989)</x:f>
        <x:v>10</x:v>
      </x:c>
      <x:c r="G1989" s="8" t="n">
        <x:f>MIN(F1989,9)+1</x:f>
        <x:v>10</x:v>
      </x:c>
      <x:c r="H1989" s="8" t="n">
        <x:f>IF(F1989&lt;=9,1,0)</x:f>
        <x:v>0</x:v>
      </x:c>
      <x:c r="I1989" s="9" t="n">
        <x:f>MIN(10,F1988+IF(AR1988&gt;0,MIN(1,AS1988/AR1988),1))</x:f>
        <x:v>10</x:v>
      </x:c>
      <x:c r="J1989" s="32" t="n">
        <x:f>INDEX(v01_FoodCap,G1989)*Arch_FoodCap*EXP(v01_CapsByProject*SUMPRODUCT((Cap_Point&lt;=I1989)*(Cap_Kind="Food")*Cap_Ln))</x:f>
        <x:v>12000</x:v>
      </x:c>
      <x:c r="K1989" s="32" t="n">
        <x:f>J1989*MIN(1,v01_LeanBase*EXP(v01_CapsByProject*SUMPRODUCT((Cap_Point&lt;=I1989)*(Cap_Kind="Lean")*Cap_Ln)))</x:f>
        <x:v>12000</x:v>
      </x:c>
      <x:c r="L1989" s="10" t="n">
        <x:f>INDEX(v01_HousingCap,G1989)*EXP(v01_CapsByProject*SUMPRODUCT((Cap_Point&lt;=I1989)*(Cap_Kind="Housing")*Cap_Ln))</x:f>
        <x:v>20000</x:v>
      </x:c>
      <x:c r="M1989" s="10" t="n">
        <x:f>INDEX(v01_GroupCap,G1989)*v01_CohesionFactor*EXP(v01_CapsByProject*SUMPRODUCT((Cap_Point&lt;=I1989)*(Cap_Kind="Group")*Cap_Ln))</x:f>
        <x:v>1000000</x:v>
      </x:c>
      <x:c r="N1989" s="32" t="n">
        <x:f>MIN(J1989,L1989,M1989)</x:f>
        <x:v>12000</x:v>
      </x:c>
      <x:c r="O1989" s="10" t="n">
        <x:f>AE1988*N1989</x:f>
        <x:v>180000</x:v>
      </x:c>
      <x:c r="P1989" s="9" t="n">
        <x:f>MIN(1,(AB1988/(AE1988*IF(v01_GroupInCrowding=1,N1989,MIN(J1989,L1989))))^v01_CrowdingExp)</x:f>
        <x:v>0.00024569414295285325</x:v>
      </x:c>
      <x:c r="Q1989" s="9" t="n">
        <x:f>IF(D1989=1,INDEX(v01_WinterMult,G1989),1)</x:f>
        <x:v>1</x:v>
      </x:c>
      <x:c r="R1989" s="9" t="n">
        <x:f>H1989*Z1988*v01_WomenShare*v01_BaseFertility*INDEX(v01_FertMult,G1989)*Arch_Fertility*(1-P1989)</x:f>
        <x:v>0</x:v>
      </x:c>
      <x:c r="S1989" s="9" t="n">
        <x:f>H1989*Y1988*INDEX(v01_MortChild,G1989)/4*Q1989</x:f>
        <x:v>0</x:v>
      </x:c>
      <x:c r="T1989" s="9" t="n">
        <x:f>H1989*Z1988*INDEX(v01_MortAdult,G1989)*Arch_AdultMort/4*Q1989</x:f>
        <x:v>0</x:v>
      </x:c>
      <x:c r="U1989" s="9" t="n">
        <x:f>H1989*AA1988*INDEX(v01_MortElder,G1989)/4*Q1989</x:f>
        <x:v>0</x:v>
      </x:c>
      <x:c r="V1989" s="9" t="n">
        <x:f>H1989*MAX(0,AB1988-O1989)*v01_OvercapLoss</x:f>
        <x:v>0</x:v>
      </x:c>
      <x:c r="W1989" s="9" t="n">
        <x:f>H1989*Y1988/(v01_ChildYears*4)</x:f>
        <x:v>0</x:v>
      </x:c>
      <x:c r="X1989" s="9" t="n">
        <x:f>H1989*Z1988/(v01_AdultYears*4)</x:f>
        <x:v>0</x:v>
      </x:c>
      <x:c r="Y1989" s="32" t="n">
        <x:f>Y1988+R1989-S1989-W1989-Y1988*V1989/AB1988</x:f>
        <x:v>14306.18539759397</x:v>
      </x:c>
      <x:c r="Z1989" s="32" t="n">
        <x:f>Z1988+W1989-X1989-T1989-Z1988*V1989/AB1988</x:f>
        <x:v>19354.456567879548</x:v>
      </x:c>
      <x:c r="AA1989" s="32" t="n">
        <x:f>AA1988+X1989-U1989-AA1988*V1989/AB1988</x:f>
        <x:v>11386.956063258198</x:v>
      </x:c>
      <x:c r="AB1989" s="10" t="n">
        <x:f>Y1989+Z1989+AA1989</x:f>
        <x:v>45047.59802873172</x:v>
      </x:c>
      <x:c r="AC1989" s="8" t="n">
        <x:f>IF(AND(v01_WinterTrigger=1,D1989=1,AB1988/AE1988&gt;=K1989),1,0)</x:f>
        <x:v>0</x:v>
      </x:c>
      <x:c r="AD1989" s="8" t="n">
        <x:f>H1989*IF(AND(OR(AB1988/AE1988&gt;=v01_FissionTrigger*N1989,AC1989=1),AB1988/AE1988*v01_DaughterShare&gt;=v01_MinDaughter),MAX(1,ROUND(AE1988*v01_FissionRate,0)),0)</x:f>
        <x:v>0</x:v>
      </x:c>
      <x:c r="AE1989" s="8" t="n">
        <x:f>IF(H1989=1,MAX(1,MIN(INDEX(v01_Smax,G1989),AE1988+AD1989)),AE1988)</x:f>
        <x:v>15</x:v>
      </x:c>
      <x:c r="AF1989" s="8" t="n">
        <x:f>MAX(0,AE1989-AE1988)</x:f>
        <x:v>0</x:v>
      </x:c>
      <x:c r="AG1989" s="9" t="str">
        <x:f>IF(AF1989&gt;0,B1989,"")</x:f>
      </x:c>
      <x:c r="AH1989" s="9" t="n">
        <x:f>IF(F1989&gt;=1,1,(1+v01_LowTiesShare*(AE1989-1))/AE1989)</x:f>
        <x:v>1</x:v>
      </x:c>
      <x:c r="AI1989" s="32" t="n">
        <x:f>(Z1989+v01_ElderCommons*INDEX(LM_Elder,G1989)*AA1989)*AH1989</x:f>
        <x:v>64139.732591141874</x:v>
      </x:c>
      <x:c r="AJ1989" s="32" t="n">
        <x:f>H1989*v01_CommonsCoef*AI1989^v01_CommonsExp*INDEX(LM_Commons,G1989)</x:f>
        <x:v>0</x:v>
      </x:c>
      <x:c r="AK1989" s="32" t="n">
        <x:f>H1989*v01_RoleScale*Arch_Roles*(AE1989*(INDEX(v01_ElderRolePerSett,G1989)*v01_OutElder*INDEX(LM_Elder,G1989)+INDEX(v01_ShamanPerSett,G1989)*v01_OutShaman)+Z1989*(INDEX(v01_PriestShare,G1989)*v01_OutPriest+INDEX(v01_ScribeShare,G1989)*v01_OutScribe*INDEX(LM_Scribe,G1989)+INDEX(v01_ScholarShare,G1989)*v01_OutScholar*INDEX(LM_Scholar,G1989)+INDEX(v01_ResearcherShare,G1989)*v01_OutResearcher*INDEX(LM_Researcher,G1989)))</x:f>
        <x:v>0</x:v>
      </x:c>
      <x:c r="AL1989" s="32" t="n">
        <x:f>H1989*v01_RoleScale*Arch_Roles*AE1989*INDEX(v01_MonasteryPerSett,G1989)*v01_OutMonastery*INDEX(LM_Monastery,G1989)</x:f>
        <x:v>0</x:v>
      </x:c>
      <x:c r="AM1989" s="32" t="n">
        <x:f>(AJ1989+AK1989+AL1989)/4*INDEX(LM_All,G1989)*INDEX(v01_Boon,G1989)*Arch_Insight</x:f>
        <x:v>0</x:v>
      </x:c>
      <x:c r="AN1989" s="32" t="n">
        <x:f>H1989*(v01_KHPerAdult*Z1989+v01_KHOfCommons*AJ1989/4*INDEX(LM_All,G1989))*v01_KHUsable*Arch_KH</x:f>
        <x:v>0</x:v>
      </x:c>
      <x:c r="AO1989" s="32" t="n">
        <x:f>MIN(AP1988+AN1989,AM1989*v01_KHMaxRatio)</x:f>
        <x:v>0</x:v>
      </x:c>
      <x:c r="AP1989" s="32" t="n">
        <x:f>AP1988+AN1989-AO1989</x:f>
        <x:v>0</x:v>
      </x:c>
      <x:c r="AQ1989" s="32" t="n">
        <x:f>AM1989+AO1989</x:f>
        <x:v>0</x:v>
      </x:c>
      <x:c r="AR1989" s="10" t="n">
        <x:f>IF(H1989=1,INDEX(v01_Req,G1989),0)</x:f>
        <x:v>0</x:v>
      </x:c>
      <x:c r="AS1989" s="32" t="n">
        <x:f>IF(H1989=1,IF(E1989=1,AS1988-AR1988,AS1988)+AQ1989,0)</x:f>
        <x:v>0</x:v>
      </x:c>
      <x:c r="AT1989" s="11" t="n">
        <x:f>IF(AR1989&gt;0,MIN(1,AS1989/AR1989),1)</x:f>
        <x:v>1</x:v>
      </x:c>
      <x:c r="AU1989" s="10" t="n">
        <x:f>AB1989/INDEX(v01_RepScale,G1989)</x:f>
        <x:v>90.09519605746344</x:v>
      </x:c>
      <x:c r="AV1989" s="32" t="n">
        <x:f>AM1989*60/v01_SeasonSeconds</x:f>
        <x:v>0</x:v>
      </x:c>
    </x:row>
    <x:row r="1990">
      <x:c r="A1990" s="8" t="n">
        <x:f>A1989+1</x:f>
        <x:v>1987</x:v>
      </x:c>
      <x:c r="B1990" s="9" t="n">
        <x:f>A1990*v01_SeasonSeconds/60</x:f>
        <x:v>496.75</x:v>
      </x:c>
      <x:c r="C1990" s="9" t="n">
        <x:f>A1990/4</x:f>
        <x:v>496.75</x:v>
      </x:c>
      <x:c r="D1990" s="8" t="n">
        <x:f>IF(MOD(A1990,4)=0,1,0)</x:f>
        <x:v>0</x:v>
      </x:c>
      <x:c r="E1990" s="8" t="n">
        <x:f>IF(AND(F1989&lt;=9,AS1989&gt;=AR1989),1,0)</x:f>
        <x:v>0</x:v>
      </x:c>
      <x:c r="F1990" s="8" t="n">
        <x:f>MIN(10,F1989+E1990)</x:f>
        <x:v>10</x:v>
      </x:c>
      <x:c r="G1990" s="8" t="n">
        <x:f>MIN(F1990,9)+1</x:f>
        <x:v>10</x:v>
      </x:c>
      <x:c r="H1990" s="8" t="n">
        <x:f>IF(F1990&lt;=9,1,0)</x:f>
        <x:v>0</x:v>
      </x:c>
      <x:c r="I1990" s="9" t="n">
        <x:f>MIN(10,F1989+IF(AR1989&gt;0,MIN(1,AS1989/AR1989),1))</x:f>
        <x:v>10</x:v>
      </x:c>
      <x:c r="J1990" s="32" t="n">
        <x:f>INDEX(v01_FoodCap,G1990)*Arch_FoodCap*EXP(v01_CapsByProject*SUMPRODUCT((Cap_Point&lt;=I1990)*(Cap_Kind="Food")*Cap_Ln))</x:f>
        <x:v>12000</x:v>
      </x:c>
      <x:c r="K1990" s="32" t="n">
        <x:f>J1990*MIN(1,v01_LeanBase*EXP(v01_CapsByProject*SUMPRODUCT((Cap_Point&lt;=I1990)*(Cap_Kind="Lean")*Cap_Ln)))</x:f>
        <x:v>12000</x:v>
      </x:c>
      <x:c r="L1990" s="10" t="n">
        <x:f>INDEX(v01_HousingCap,G1990)*EXP(v01_CapsByProject*SUMPRODUCT((Cap_Point&lt;=I1990)*(Cap_Kind="Housing")*Cap_Ln))</x:f>
        <x:v>20000</x:v>
      </x:c>
      <x:c r="M1990" s="10" t="n">
        <x:f>INDEX(v01_GroupCap,G1990)*v01_CohesionFactor*EXP(v01_CapsByProject*SUMPRODUCT((Cap_Point&lt;=I1990)*(Cap_Kind="Group")*Cap_Ln))</x:f>
        <x:v>1000000</x:v>
      </x:c>
      <x:c r="N1990" s="32" t="n">
        <x:f>MIN(J1990,L1990,M1990)</x:f>
        <x:v>12000</x:v>
      </x:c>
      <x:c r="O1990" s="10" t="n">
        <x:f>AE1989*N1990</x:f>
        <x:v>180000</x:v>
      </x:c>
      <x:c r="P1990" s="9" t="n">
        <x:f>MIN(1,(AB1989/(AE1989*IF(v01_GroupInCrowding=1,N1990,MIN(J1990,L1990))))^v01_CrowdingExp)</x:f>
        <x:v>0.00024569414295285325</x:v>
      </x:c>
      <x:c r="Q1990" s="9" t="n">
        <x:f>IF(D1990=1,INDEX(v01_WinterMult,G1990),1)</x:f>
        <x:v>1</x:v>
      </x:c>
      <x:c r="R1990" s="9" t="n">
        <x:f>H1990*Z1989*v01_WomenShare*v01_BaseFertility*INDEX(v01_FertMult,G1990)*Arch_Fertility*(1-P1990)</x:f>
        <x:v>0</x:v>
      </x:c>
      <x:c r="S1990" s="9" t="n">
        <x:f>H1990*Y1989*INDEX(v01_MortChild,G1990)/4*Q1990</x:f>
        <x:v>0</x:v>
      </x:c>
      <x:c r="T1990" s="9" t="n">
        <x:f>H1990*Z1989*INDEX(v01_MortAdult,G1990)*Arch_AdultMort/4*Q1990</x:f>
        <x:v>0</x:v>
      </x:c>
      <x:c r="U1990" s="9" t="n">
        <x:f>H1990*AA1989*INDEX(v01_MortElder,G1990)/4*Q1990</x:f>
        <x:v>0</x:v>
      </x:c>
      <x:c r="V1990" s="9" t="n">
        <x:f>H1990*MAX(0,AB1989-O1990)*v01_OvercapLoss</x:f>
        <x:v>0</x:v>
      </x:c>
      <x:c r="W1990" s="9" t="n">
        <x:f>H1990*Y1989/(v01_ChildYears*4)</x:f>
        <x:v>0</x:v>
      </x:c>
      <x:c r="X1990" s="9" t="n">
        <x:f>H1990*Z1989/(v01_AdultYears*4)</x:f>
        <x:v>0</x:v>
      </x:c>
      <x:c r="Y1990" s="32" t="n">
        <x:f>Y1989+R1990-S1990-W1990-Y1989*V1990/AB1989</x:f>
        <x:v>14306.18539759397</x:v>
      </x:c>
      <x:c r="Z1990" s="32" t="n">
        <x:f>Z1989+W1990-X1990-T1990-Z1989*V1990/AB1989</x:f>
        <x:v>19354.456567879548</x:v>
      </x:c>
      <x:c r="AA1990" s="32" t="n">
        <x:f>AA1989+X1990-U1990-AA1989*V1990/AB1989</x:f>
        <x:v>11386.956063258198</x:v>
      </x:c>
      <x:c r="AB1990" s="10" t="n">
        <x:f>Y1990+Z1990+AA1990</x:f>
        <x:v>45047.59802873172</x:v>
      </x:c>
      <x:c r="AC1990" s="8" t="n">
        <x:f>IF(AND(v01_WinterTrigger=1,D1990=1,AB1989/AE1989&gt;=K1990),1,0)</x:f>
        <x:v>0</x:v>
      </x:c>
      <x:c r="AD1990" s="8" t="n">
        <x:f>H1990*IF(AND(OR(AB1989/AE1989&gt;=v01_FissionTrigger*N1990,AC1990=1),AB1989/AE1989*v01_DaughterShare&gt;=v01_MinDaughter),MAX(1,ROUND(AE1989*v01_FissionRate,0)),0)</x:f>
        <x:v>0</x:v>
      </x:c>
      <x:c r="AE1990" s="8" t="n">
        <x:f>IF(H1990=1,MAX(1,MIN(INDEX(v01_Smax,G1990),AE1989+AD1990)),AE1989)</x:f>
        <x:v>15</x:v>
      </x:c>
      <x:c r="AF1990" s="8" t="n">
        <x:f>MAX(0,AE1990-AE1989)</x:f>
        <x:v>0</x:v>
      </x:c>
      <x:c r="AG1990" s="9" t="str">
        <x:f>IF(AF1990&gt;0,B1990,"")</x:f>
      </x:c>
      <x:c r="AH1990" s="9" t="n">
        <x:f>IF(F1990&gt;=1,1,(1+v01_LowTiesShare*(AE1990-1))/AE1990)</x:f>
        <x:v>1</x:v>
      </x:c>
      <x:c r="AI1990" s="32" t="n">
        <x:f>(Z1990+v01_ElderCommons*INDEX(LM_Elder,G1990)*AA1990)*AH1990</x:f>
        <x:v>64139.732591141874</x:v>
      </x:c>
      <x:c r="AJ1990" s="32" t="n">
        <x:f>H1990*v01_CommonsCoef*AI1990^v01_CommonsExp*INDEX(LM_Commons,G1990)</x:f>
        <x:v>0</x:v>
      </x:c>
      <x:c r="AK1990" s="32" t="n">
        <x:f>H1990*v01_RoleScale*Arch_Roles*(AE1990*(INDEX(v01_ElderRolePerSett,G1990)*v01_OutElder*INDEX(LM_Elder,G1990)+INDEX(v01_ShamanPerSett,G1990)*v01_OutShaman)+Z1990*(INDEX(v01_PriestShare,G1990)*v01_OutPriest+INDEX(v01_ScribeShare,G1990)*v01_OutScribe*INDEX(LM_Scribe,G1990)+INDEX(v01_ScholarShare,G1990)*v01_OutScholar*INDEX(LM_Scholar,G1990)+INDEX(v01_ResearcherShare,G1990)*v01_OutResearcher*INDEX(LM_Researcher,G1990)))</x:f>
        <x:v>0</x:v>
      </x:c>
      <x:c r="AL1990" s="32" t="n">
        <x:f>H1990*v01_RoleScale*Arch_Roles*AE1990*INDEX(v01_MonasteryPerSett,G1990)*v01_OutMonastery*INDEX(LM_Monastery,G1990)</x:f>
        <x:v>0</x:v>
      </x:c>
      <x:c r="AM1990" s="32" t="n">
        <x:f>(AJ1990+AK1990+AL1990)/4*INDEX(LM_All,G1990)*INDEX(v01_Boon,G1990)*Arch_Insight</x:f>
        <x:v>0</x:v>
      </x:c>
      <x:c r="AN1990" s="32" t="n">
        <x:f>H1990*(v01_KHPerAdult*Z1990+v01_KHOfCommons*AJ1990/4*INDEX(LM_All,G1990))*v01_KHUsable*Arch_KH</x:f>
        <x:v>0</x:v>
      </x:c>
      <x:c r="AO1990" s="32" t="n">
        <x:f>MIN(AP1989+AN1990,AM1990*v01_KHMaxRatio)</x:f>
        <x:v>0</x:v>
      </x:c>
      <x:c r="AP1990" s="32" t="n">
        <x:f>AP1989+AN1990-AO1990</x:f>
        <x:v>0</x:v>
      </x:c>
      <x:c r="AQ1990" s="32" t="n">
        <x:f>AM1990+AO1990</x:f>
        <x:v>0</x:v>
      </x:c>
      <x:c r="AR1990" s="10" t="n">
        <x:f>IF(H1990=1,INDEX(v01_Req,G1990),0)</x:f>
        <x:v>0</x:v>
      </x:c>
      <x:c r="AS1990" s="32" t="n">
        <x:f>IF(H1990=1,IF(E1990=1,AS1989-AR1989,AS1989)+AQ1990,0)</x:f>
        <x:v>0</x:v>
      </x:c>
      <x:c r="AT1990" s="11" t="n">
        <x:f>IF(AR1990&gt;0,MIN(1,AS1990/AR1990),1)</x:f>
        <x:v>1</x:v>
      </x:c>
      <x:c r="AU1990" s="10" t="n">
        <x:f>AB1990/INDEX(v01_RepScale,G1990)</x:f>
        <x:v>90.09519605746344</x:v>
      </x:c>
      <x:c r="AV1990" s="32" t="n">
        <x:f>AM1990*60/v01_SeasonSeconds</x:f>
        <x:v>0</x:v>
      </x:c>
    </x:row>
    <x:row r="1991">
      <x:c r="A1991" s="8" t="n">
        <x:f>A1990+1</x:f>
        <x:v>1988</x:v>
      </x:c>
      <x:c r="B1991" s="9" t="n">
        <x:f>A1991*v01_SeasonSeconds/60</x:f>
        <x:v>497</x:v>
      </x:c>
      <x:c r="C1991" s="9" t="n">
        <x:f>A1991/4</x:f>
        <x:v>497</x:v>
      </x:c>
      <x:c r="D1991" s="8" t="n">
        <x:f>IF(MOD(A1991,4)=0,1,0)</x:f>
        <x:v>1</x:v>
      </x:c>
      <x:c r="E1991" s="8" t="n">
        <x:f>IF(AND(F1990&lt;=9,AS1990&gt;=AR1990),1,0)</x:f>
        <x:v>0</x:v>
      </x:c>
      <x:c r="F1991" s="8" t="n">
        <x:f>MIN(10,F1990+E1991)</x:f>
        <x:v>10</x:v>
      </x:c>
      <x:c r="G1991" s="8" t="n">
        <x:f>MIN(F1991,9)+1</x:f>
        <x:v>10</x:v>
      </x:c>
      <x:c r="H1991" s="8" t="n">
        <x:f>IF(F1991&lt;=9,1,0)</x:f>
        <x:v>0</x:v>
      </x:c>
      <x:c r="I1991" s="9" t="n">
        <x:f>MIN(10,F1990+IF(AR1990&gt;0,MIN(1,AS1990/AR1990),1))</x:f>
        <x:v>10</x:v>
      </x:c>
      <x:c r="J1991" s="32" t="n">
        <x:f>INDEX(v01_FoodCap,G1991)*Arch_FoodCap*EXP(v01_CapsByProject*SUMPRODUCT((Cap_Point&lt;=I1991)*(Cap_Kind="Food")*Cap_Ln))</x:f>
        <x:v>12000</x:v>
      </x:c>
      <x:c r="K1991" s="32" t="n">
        <x:f>J1991*MIN(1,v01_LeanBase*EXP(v01_CapsByProject*SUMPRODUCT((Cap_Point&lt;=I1991)*(Cap_Kind="Lean")*Cap_Ln)))</x:f>
        <x:v>12000</x:v>
      </x:c>
      <x:c r="L1991" s="10" t="n">
        <x:f>INDEX(v01_HousingCap,G1991)*EXP(v01_CapsByProject*SUMPRODUCT((Cap_Point&lt;=I1991)*(Cap_Kind="Housing")*Cap_Ln))</x:f>
        <x:v>20000</x:v>
      </x:c>
      <x:c r="M1991" s="10" t="n">
        <x:f>INDEX(v01_GroupCap,G1991)*v01_CohesionFactor*EXP(v01_CapsByProject*SUMPRODUCT((Cap_Point&lt;=I1991)*(Cap_Kind="Group")*Cap_Ln))</x:f>
        <x:v>1000000</x:v>
      </x:c>
      <x:c r="N1991" s="32" t="n">
        <x:f>MIN(J1991,L1991,M1991)</x:f>
        <x:v>12000</x:v>
      </x:c>
      <x:c r="O1991" s="10" t="n">
        <x:f>AE1990*N1991</x:f>
        <x:v>180000</x:v>
      </x:c>
      <x:c r="P1991" s="9" t="n">
        <x:f>MIN(1,(AB1990/(AE1990*IF(v01_GroupInCrowding=1,N1991,MIN(J1991,L1991))))^v01_CrowdingExp)</x:f>
        <x:v>0.00024569414295285325</x:v>
      </x:c>
      <x:c r="Q1991" s="9" t="n">
        <x:f>IF(D1991=1,INDEX(v01_WinterMult,G1991),1)</x:f>
        <x:v>1</x:v>
      </x:c>
      <x:c r="R1991" s="9" t="n">
        <x:f>H1991*Z1990*v01_WomenShare*v01_BaseFertility*INDEX(v01_FertMult,G1991)*Arch_Fertility*(1-P1991)</x:f>
        <x:v>0</x:v>
      </x:c>
      <x:c r="S1991" s="9" t="n">
        <x:f>H1991*Y1990*INDEX(v01_MortChild,G1991)/4*Q1991</x:f>
        <x:v>0</x:v>
      </x:c>
      <x:c r="T1991" s="9" t="n">
        <x:f>H1991*Z1990*INDEX(v01_MortAdult,G1991)*Arch_AdultMort/4*Q1991</x:f>
        <x:v>0</x:v>
      </x:c>
      <x:c r="U1991" s="9" t="n">
        <x:f>H1991*AA1990*INDEX(v01_MortElder,G1991)/4*Q1991</x:f>
        <x:v>0</x:v>
      </x:c>
      <x:c r="V1991" s="9" t="n">
        <x:f>H1991*MAX(0,AB1990-O1991)*v01_OvercapLoss</x:f>
        <x:v>0</x:v>
      </x:c>
      <x:c r="W1991" s="9" t="n">
        <x:f>H1991*Y1990/(v01_ChildYears*4)</x:f>
        <x:v>0</x:v>
      </x:c>
      <x:c r="X1991" s="9" t="n">
        <x:f>H1991*Z1990/(v01_AdultYears*4)</x:f>
        <x:v>0</x:v>
      </x:c>
      <x:c r="Y1991" s="32" t="n">
        <x:f>Y1990+R1991-S1991-W1991-Y1990*V1991/AB1990</x:f>
        <x:v>14306.18539759397</x:v>
      </x:c>
      <x:c r="Z1991" s="32" t="n">
        <x:f>Z1990+W1991-X1991-T1991-Z1990*V1991/AB1990</x:f>
        <x:v>19354.456567879548</x:v>
      </x:c>
      <x:c r="AA1991" s="32" t="n">
        <x:f>AA1990+X1991-U1991-AA1990*V1991/AB1990</x:f>
        <x:v>11386.956063258198</x:v>
      </x:c>
      <x:c r="AB1991" s="10" t="n">
        <x:f>Y1991+Z1991+AA1991</x:f>
        <x:v>45047.59802873172</x:v>
      </x:c>
      <x:c r="AC1991" s="8" t="n">
        <x:f>IF(AND(v01_WinterTrigger=1,D1991=1,AB1990/AE1990&gt;=K1991),1,0)</x:f>
        <x:v>0</x:v>
      </x:c>
      <x:c r="AD1991" s="8" t="n">
        <x:f>H1991*IF(AND(OR(AB1990/AE1990&gt;=v01_FissionTrigger*N1991,AC1991=1),AB1990/AE1990*v01_DaughterShare&gt;=v01_MinDaughter),MAX(1,ROUND(AE1990*v01_FissionRate,0)),0)</x:f>
        <x:v>0</x:v>
      </x:c>
      <x:c r="AE1991" s="8" t="n">
        <x:f>IF(H1991=1,MAX(1,MIN(INDEX(v01_Smax,G1991),AE1990+AD1991)),AE1990)</x:f>
        <x:v>15</x:v>
      </x:c>
      <x:c r="AF1991" s="8" t="n">
        <x:f>MAX(0,AE1991-AE1990)</x:f>
        <x:v>0</x:v>
      </x:c>
      <x:c r="AG1991" s="9" t="str">
        <x:f>IF(AF1991&gt;0,B1991,"")</x:f>
      </x:c>
      <x:c r="AH1991" s="9" t="n">
        <x:f>IF(F1991&gt;=1,1,(1+v01_LowTiesShare*(AE1991-1))/AE1991)</x:f>
        <x:v>1</x:v>
      </x:c>
      <x:c r="AI1991" s="32" t="n">
        <x:f>(Z1991+v01_ElderCommons*INDEX(LM_Elder,G1991)*AA1991)*AH1991</x:f>
        <x:v>64139.732591141874</x:v>
      </x:c>
      <x:c r="AJ1991" s="32" t="n">
        <x:f>H1991*v01_CommonsCoef*AI1991^v01_CommonsExp*INDEX(LM_Commons,G1991)</x:f>
        <x:v>0</x:v>
      </x:c>
      <x:c r="AK1991" s="32" t="n">
        <x:f>H1991*v01_RoleScale*Arch_Roles*(AE1991*(INDEX(v01_ElderRolePerSett,G1991)*v01_OutElder*INDEX(LM_Elder,G1991)+INDEX(v01_ShamanPerSett,G1991)*v01_OutShaman)+Z1991*(INDEX(v01_PriestShare,G1991)*v01_OutPriest+INDEX(v01_ScribeShare,G1991)*v01_OutScribe*INDEX(LM_Scribe,G1991)+INDEX(v01_ScholarShare,G1991)*v01_OutScholar*INDEX(LM_Scholar,G1991)+INDEX(v01_ResearcherShare,G1991)*v01_OutResearcher*INDEX(LM_Researcher,G1991)))</x:f>
        <x:v>0</x:v>
      </x:c>
      <x:c r="AL1991" s="32" t="n">
        <x:f>H1991*v01_RoleScale*Arch_Roles*AE1991*INDEX(v01_MonasteryPerSett,G1991)*v01_OutMonastery*INDEX(LM_Monastery,G1991)</x:f>
        <x:v>0</x:v>
      </x:c>
      <x:c r="AM1991" s="32" t="n">
        <x:f>(AJ1991+AK1991+AL1991)/4*INDEX(LM_All,G1991)*INDEX(v01_Boon,G1991)*Arch_Insight</x:f>
        <x:v>0</x:v>
      </x:c>
      <x:c r="AN1991" s="32" t="n">
        <x:f>H1991*(v01_KHPerAdult*Z1991+v01_KHOfCommons*AJ1991/4*INDEX(LM_All,G1991))*v01_KHUsable*Arch_KH</x:f>
        <x:v>0</x:v>
      </x:c>
      <x:c r="AO1991" s="32" t="n">
        <x:f>MIN(AP1990+AN1991,AM1991*v01_KHMaxRatio)</x:f>
        <x:v>0</x:v>
      </x:c>
      <x:c r="AP1991" s="32" t="n">
        <x:f>AP1990+AN1991-AO1991</x:f>
        <x:v>0</x:v>
      </x:c>
      <x:c r="AQ1991" s="32" t="n">
        <x:f>AM1991+AO1991</x:f>
        <x:v>0</x:v>
      </x:c>
      <x:c r="AR1991" s="10" t="n">
        <x:f>IF(H1991=1,INDEX(v01_Req,G1991),0)</x:f>
        <x:v>0</x:v>
      </x:c>
      <x:c r="AS1991" s="32" t="n">
        <x:f>IF(H1991=1,IF(E1991=1,AS1990-AR1990,AS1990)+AQ1991,0)</x:f>
        <x:v>0</x:v>
      </x:c>
      <x:c r="AT1991" s="11" t="n">
        <x:f>IF(AR1991&gt;0,MIN(1,AS1991/AR1991),1)</x:f>
        <x:v>1</x:v>
      </x:c>
      <x:c r="AU1991" s="10" t="n">
        <x:f>AB1991/INDEX(v01_RepScale,G1991)</x:f>
        <x:v>90.09519605746344</x:v>
      </x:c>
      <x:c r="AV1991" s="32" t="n">
        <x:f>AM1991*60/v01_SeasonSeconds</x:f>
        <x:v>0</x:v>
      </x:c>
    </x:row>
    <x:row r="1992">
      <x:c r="A1992" s="8" t="n">
        <x:f>A1991+1</x:f>
        <x:v>1989</x:v>
      </x:c>
      <x:c r="B1992" s="9" t="n">
        <x:f>A1992*v01_SeasonSeconds/60</x:f>
        <x:v>497.25</x:v>
      </x:c>
      <x:c r="C1992" s="9" t="n">
        <x:f>A1992/4</x:f>
        <x:v>497.25</x:v>
      </x:c>
      <x:c r="D1992" s="8" t="n">
        <x:f>IF(MOD(A1992,4)=0,1,0)</x:f>
        <x:v>0</x:v>
      </x:c>
      <x:c r="E1992" s="8" t="n">
        <x:f>IF(AND(F1991&lt;=9,AS1991&gt;=AR1991),1,0)</x:f>
        <x:v>0</x:v>
      </x:c>
      <x:c r="F1992" s="8" t="n">
        <x:f>MIN(10,F1991+E1992)</x:f>
        <x:v>10</x:v>
      </x:c>
      <x:c r="G1992" s="8" t="n">
        <x:f>MIN(F1992,9)+1</x:f>
        <x:v>10</x:v>
      </x:c>
      <x:c r="H1992" s="8" t="n">
        <x:f>IF(F1992&lt;=9,1,0)</x:f>
        <x:v>0</x:v>
      </x:c>
      <x:c r="I1992" s="9" t="n">
        <x:f>MIN(10,F1991+IF(AR1991&gt;0,MIN(1,AS1991/AR1991),1))</x:f>
        <x:v>10</x:v>
      </x:c>
      <x:c r="J1992" s="32" t="n">
        <x:f>INDEX(v01_FoodCap,G1992)*Arch_FoodCap*EXP(v01_CapsByProject*SUMPRODUCT((Cap_Point&lt;=I1992)*(Cap_Kind="Food")*Cap_Ln))</x:f>
        <x:v>12000</x:v>
      </x:c>
      <x:c r="K1992" s="32" t="n">
        <x:f>J1992*MIN(1,v01_LeanBase*EXP(v01_CapsByProject*SUMPRODUCT((Cap_Point&lt;=I1992)*(Cap_Kind="Lean")*Cap_Ln)))</x:f>
        <x:v>12000</x:v>
      </x:c>
      <x:c r="L1992" s="10" t="n">
        <x:f>INDEX(v01_HousingCap,G1992)*EXP(v01_CapsByProject*SUMPRODUCT((Cap_Point&lt;=I1992)*(Cap_Kind="Housing")*Cap_Ln))</x:f>
        <x:v>20000</x:v>
      </x:c>
      <x:c r="M1992" s="10" t="n">
        <x:f>INDEX(v01_GroupCap,G1992)*v01_CohesionFactor*EXP(v01_CapsByProject*SUMPRODUCT((Cap_Point&lt;=I1992)*(Cap_Kind="Group")*Cap_Ln))</x:f>
        <x:v>1000000</x:v>
      </x:c>
      <x:c r="N1992" s="32" t="n">
        <x:f>MIN(J1992,L1992,M1992)</x:f>
        <x:v>12000</x:v>
      </x:c>
      <x:c r="O1992" s="10" t="n">
        <x:f>AE1991*N1992</x:f>
        <x:v>180000</x:v>
      </x:c>
      <x:c r="P1992" s="9" t="n">
        <x:f>MIN(1,(AB1991/(AE1991*IF(v01_GroupInCrowding=1,N1992,MIN(J1992,L1992))))^v01_CrowdingExp)</x:f>
        <x:v>0.00024569414295285325</x:v>
      </x:c>
      <x:c r="Q1992" s="9" t="n">
        <x:f>IF(D1992=1,INDEX(v01_WinterMult,G1992),1)</x:f>
        <x:v>1</x:v>
      </x:c>
      <x:c r="R1992" s="9" t="n">
        <x:f>H1992*Z1991*v01_WomenShare*v01_BaseFertility*INDEX(v01_FertMult,G1992)*Arch_Fertility*(1-P1992)</x:f>
        <x:v>0</x:v>
      </x:c>
      <x:c r="S1992" s="9" t="n">
        <x:f>H1992*Y1991*INDEX(v01_MortChild,G1992)/4*Q1992</x:f>
        <x:v>0</x:v>
      </x:c>
      <x:c r="T1992" s="9" t="n">
        <x:f>H1992*Z1991*INDEX(v01_MortAdult,G1992)*Arch_AdultMort/4*Q1992</x:f>
        <x:v>0</x:v>
      </x:c>
      <x:c r="U1992" s="9" t="n">
        <x:f>H1992*AA1991*INDEX(v01_MortElder,G1992)/4*Q1992</x:f>
        <x:v>0</x:v>
      </x:c>
      <x:c r="V1992" s="9" t="n">
        <x:f>H1992*MAX(0,AB1991-O1992)*v01_OvercapLoss</x:f>
        <x:v>0</x:v>
      </x:c>
      <x:c r="W1992" s="9" t="n">
        <x:f>H1992*Y1991/(v01_ChildYears*4)</x:f>
        <x:v>0</x:v>
      </x:c>
      <x:c r="X1992" s="9" t="n">
        <x:f>H1992*Z1991/(v01_AdultYears*4)</x:f>
        <x:v>0</x:v>
      </x:c>
      <x:c r="Y1992" s="32" t="n">
        <x:f>Y1991+R1992-S1992-W1992-Y1991*V1992/AB1991</x:f>
        <x:v>14306.18539759397</x:v>
      </x:c>
      <x:c r="Z1992" s="32" t="n">
        <x:f>Z1991+W1992-X1992-T1992-Z1991*V1992/AB1991</x:f>
        <x:v>19354.456567879548</x:v>
      </x:c>
      <x:c r="AA1992" s="32" t="n">
        <x:f>AA1991+X1992-U1992-AA1991*V1992/AB1991</x:f>
        <x:v>11386.956063258198</x:v>
      </x:c>
      <x:c r="AB1992" s="10" t="n">
        <x:f>Y1992+Z1992+AA1992</x:f>
        <x:v>45047.59802873172</x:v>
      </x:c>
      <x:c r="AC1992" s="8" t="n">
        <x:f>IF(AND(v01_WinterTrigger=1,D1992=1,AB1991/AE1991&gt;=K1992),1,0)</x:f>
        <x:v>0</x:v>
      </x:c>
      <x:c r="AD1992" s="8" t="n">
        <x:f>H1992*IF(AND(OR(AB1991/AE1991&gt;=v01_FissionTrigger*N1992,AC1992=1),AB1991/AE1991*v01_DaughterShare&gt;=v01_MinDaughter),MAX(1,ROUND(AE1991*v01_FissionRate,0)),0)</x:f>
        <x:v>0</x:v>
      </x:c>
      <x:c r="AE1992" s="8" t="n">
        <x:f>IF(H1992=1,MAX(1,MIN(INDEX(v01_Smax,G1992),AE1991+AD1992)),AE1991)</x:f>
        <x:v>15</x:v>
      </x:c>
      <x:c r="AF1992" s="8" t="n">
        <x:f>MAX(0,AE1992-AE1991)</x:f>
        <x:v>0</x:v>
      </x:c>
      <x:c r="AG1992" s="9" t="str">
        <x:f>IF(AF1992&gt;0,B1992,"")</x:f>
      </x:c>
      <x:c r="AH1992" s="9" t="n">
        <x:f>IF(F1992&gt;=1,1,(1+v01_LowTiesShare*(AE1992-1))/AE1992)</x:f>
        <x:v>1</x:v>
      </x:c>
      <x:c r="AI1992" s="32" t="n">
        <x:f>(Z1992+v01_ElderCommons*INDEX(LM_Elder,G1992)*AA1992)*AH1992</x:f>
        <x:v>64139.732591141874</x:v>
      </x:c>
      <x:c r="AJ1992" s="32" t="n">
        <x:f>H1992*v01_CommonsCoef*AI1992^v01_CommonsExp*INDEX(LM_Commons,G1992)</x:f>
        <x:v>0</x:v>
      </x:c>
      <x:c r="AK1992" s="32" t="n">
        <x:f>H1992*v01_RoleScale*Arch_Roles*(AE1992*(INDEX(v01_ElderRolePerSett,G1992)*v01_OutElder*INDEX(LM_Elder,G1992)+INDEX(v01_ShamanPerSett,G1992)*v01_OutShaman)+Z1992*(INDEX(v01_PriestShare,G1992)*v01_OutPriest+INDEX(v01_ScribeShare,G1992)*v01_OutScribe*INDEX(LM_Scribe,G1992)+INDEX(v01_ScholarShare,G1992)*v01_OutScholar*INDEX(LM_Scholar,G1992)+INDEX(v01_ResearcherShare,G1992)*v01_OutResearcher*INDEX(LM_Researcher,G1992)))</x:f>
        <x:v>0</x:v>
      </x:c>
      <x:c r="AL1992" s="32" t="n">
        <x:f>H1992*v01_RoleScale*Arch_Roles*AE1992*INDEX(v01_MonasteryPerSett,G1992)*v01_OutMonastery*INDEX(LM_Monastery,G1992)</x:f>
        <x:v>0</x:v>
      </x:c>
      <x:c r="AM1992" s="32" t="n">
        <x:f>(AJ1992+AK1992+AL1992)/4*INDEX(LM_All,G1992)*INDEX(v01_Boon,G1992)*Arch_Insight</x:f>
        <x:v>0</x:v>
      </x:c>
      <x:c r="AN1992" s="32" t="n">
        <x:f>H1992*(v01_KHPerAdult*Z1992+v01_KHOfCommons*AJ1992/4*INDEX(LM_All,G1992))*v01_KHUsable*Arch_KH</x:f>
        <x:v>0</x:v>
      </x:c>
      <x:c r="AO1992" s="32" t="n">
        <x:f>MIN(AP1991+AN1992,AM1992*v01_KHMaxRatio)</x:f>
        <x:v>0</x:v>
      </x:c>
      <x:c r="AP1992" s="32" t="n">
        <x:f>AP1991+AN1992-AO1992</x:f>
        <x:v>0</x:v>
      </x:c>
      <x:c r="AQ1992" s="32" t="n">
        <x:f>AM1992+AO1992</x:f>
        <x:v>0</x:v>
      </x:c>
      <x:c r="AR1992" s="10" t="n">
        <x:f>IF(H1992=1,INDEX(v01_Req,G1992),0)</x:f>
        <x:v>0</x:v>
      </x:c>
      <x:c r="AS1992" s="32" t="n">
        <x:f>IF(H1992=1,IF(E1992=1,AS1991-AR1991,AS1991)+AQ1992,0)</x:f>
        <x:v>0</x:v>
      </x:c>
      <x:c r="AT1992" s="11" t="n">
        <x:f>IF(AR1992&gt;0,MIN(1,AS1992/AR1992),1)</x:f>
        <x:v>1</x:v>
      </x:c>
      <x:c r="AU1992" s="10" t="n">
        <x:f>AB1992/INDEX(v01_RepScale,G1992)</x:f>
        <x:v>90.09519605746344</x:v>
      </x:c>
      <x:c r="AV1992" s="32" t="n">
        <x:f>AM1992*60/v01_SeasonSeconds</x:f>
        <x:v>0</x:v>
      </x:c>
    </x:row>
    <x:row r="1993">
      <x:c r="A1993" s="8" t="n">
        <x:f>A1992+1</x:f>
        <x:v>1990</x:v>
      </x:c>
      <x:c r="B1993" s="9" t="n">
        <x:f>A1993*v01_SeasonSeconds/60</x:f>
        <x:v>497.5</x:v>
      </x:c>
      <x:c r="C1993" s="9" t="n">
        <x:f>A1993/4</x:f>
        <x:v>497.5</x:v>
      </x:c>
      <x:c r="D1993" s="8" t="n">
        <x:f>IF(MOD(A1993,4)=0,1,0)</x:f>
        <x:v>0</x:v>
      </x:c>
      <x:c r="E1993" s="8" t="n">
        <x:f>IF(AND(F1992&lt;=9,AS1992&gt;=AR1992),1,0)</x:f>
        <x:v>0</x:v>
      </x:c>
      <x:c r="F1993" s="8" t="n">
        <x:f>MIN(10,F1992+E1993)</x:f>
        <x:v>10</x:v>
      </x:c>
      <x:c r="G1993" s="8" t="n">
        <x:f>MIN(F1993,9)+1</x:f>
        <x:v>10</x:v>
      </x:c>
      <x:c r="H1993" s="8" t="n">
        <x:f>IF(F1993&lt;=9,1,0)</x:f>
        <x:v>0</x:v>
      </x:c>
      <x:c r="I1993" s="9" t="n">
        <x:f>MIN(10,F1992+IF(AR1992&gt;0,MIN(1,AS1992/AR1992),1))</x:f>
        <x:v>10</x:v>
      </x:c>
      <x:c r="J1993" s="32" t="n">
        <x:f>INDEX(v01_FoodCap,G1993)*Arch_FoodCap*EXP(v01_CapsByProject*SUMPRODUCT((Cap_Point&lt;=I1993)*(Cap_Kind="Food")*Cap_Ln))</x:f>
        <x:v>12000</x:v>
      </x:c>
      <x:c r="K1993" s="32" t="n">
        <x:f>J1993*MIN(1,v01_LeanBase*EXP(v01_CapsByProject*SUMPRODUCT((Cap_Point&lt;=I1993)*(Cap_Kind="Lean")*Cap_Ln)))</x:f>
        <x:v>12000</x:v>
      </x:c>
      <x:c r="L1993" s="10" t="n">
        <x:f>INDEX(v01_HousingCap,G1993)*EXP(v01_CapsByProject*SUMPRODUCT((Cap_Point&lt;=I1993)*(Cap_Kind="Housing")*Cap_Ln))</x:f>
        <x:v>20000</x:v>
      </x:c>
      <x:c r="M1993" s="10" t="n">
        <x:f>INDEX(v01_GroupCap,G1993)*v01_CohesionFactor*EXP(v01_CapsByProject*SUMPRODUCT((Cap_Point&lt;=I1993)*(Cap_Kind="Group")*Cap_Ln))</x:f>
        <x:v>1000000</x:v>
      </x:c>
      <x:c r="N1993" s="32" t="n">
        <x:f>MIN(J1993,L1993,M1993)</x:f>
        <x:v>12000</x:v>
      </x:c>
      <x:c r="O1993" s="10" t="n">
        <x:f>AE1992*N1993</x:f>
        <x:v>180000</x:v>
      </x:c>
      <x:c r="P1993" s="9" t="n">
        <x:f>MIN(1,(AB1992/(AE1992*IF(v01_GroupInCrowding=1,N1993,MIN(J1993,L1993))))^v01_CrowdingExp)</x:f>
        <x:v>0.00024569414295285325</x:v>
      </x:c>
      <x:c r="Q1993" s="9" t="n">
        <x:f>IF(D1993=1,INDEX(v01_WinterMult,G1993),1)</x:f>
        <x:v>1</x:v>
      </x:c>
      <x:c r="R1993" s="9" t="n">
        <x:f>H1993*Z1992*v01_WomenShare*v01_BaseFertility*INDEX(v01_FertMult,G1993)*Arch_Fertility*(1-P1993)</x:f>
        <x:v>0</x:v>
      </x:c>
      <x:c r="S1993" s="9" t="n">
        <x:f>H1993*Y1992*INDEX(v01_MortChild,G1993)/4*Q1993</x:f>
        <x:v>0</x:v>
      </x:c>
      <x:c r="T1993" s="9" t="n">
        <x:f>H1993*Z1992*INDEX(v01_MortAdult,G1993)*Arch_AdultMort/4*Q1993</x:f>
        <x:v>0</x:v>
      </x:c>
      <x:c r="U1993" s="9" t="n">
        <x:f>H1993*AA1992*INDEX(v01_MortElder,G1993)/4*Q1993</x:f>
        <x:v>0</x:v>
      </x:c>
      <x:c r="V1993" s="9" t="n">
        <x:f>H1993*MAX(0,AB1992-O1993)*v01_OvercapLoss</x:f>
        <x:v>0</x:v>
      </x:c>
      <x:c r="W1993" s="9" t="n">
        <x:f>H1993*Y1992/(v01_ChildYears*4)</x:f>
        <x:v>0</x:v>
      </x:c>
      <x:c r="X1993" s="9" t="n">
        <x:f>H1993*Z1992/(v01_AdultYears*4)</x:f>
        <x:v>0</x:v>
      </x:c>
      <x:c r="Y1993" s="32" t="n">
        <x:f>Y1992+R1993-S1993-W1993-Y1992*V1993/AB1992</x:f>
        <x:v>14306.18539759397</x:v>
      </x:c>
      <x:c r="Z1993" s="32" t="n">
        <x:f>Z1992+W1993-X1993-T1993-Z1992*V1993/AB1992</x:f>
        <x:v>19354.456567879548</x:v>
      </x:c>
      <x:c r="AA1993" s="32" t="n">
        <x:f>AA1992+X1993-U1993-AA1992*V1993/AB1992</x:f>
        <x:v>11386.956063258198</x:v>
      </x:c>
      <x:c r="AB1993" s="10" t="n">
        <x:f>Y1993+Z1993+AA1993</x:f>
        <x:v>45047.59802873172</x:v>
      </x:c>
      <x:c r="AC1993" s="8" t="n">
        <x:f>IF(AND(v01_WinterTrigger=1,D1993=1,AB1992/AE1992&gt;=K1993),1,0)</x:f>
        <x:v>0</x:v>
      </x:c>
      <x:c r="AD1993" s="8" t="n">
        <x:f>H1993*IF(AND(OR(AB1992/AE1992&gt;=v01_FissionTrigger*N1993,AC1993=1),AB1992/AE1992*v01_DaughterShare&gt;=v01_MinDaughter),MAX(1,ROUND(AE1992*v01_FissionRate,0)),0)</x:f>
        <x:v>0</x:v>
      </x:c>
      <x:c r="AE1993" s="8" t="n">
        <x:f>IF(H1993=1,MAX(1,MIN(INDEX(v01_Smax,G1993),AE1992+AD1993)),AE1992)</x:f>
        <x:v>15</x:v>
      </x:c>
      <x:c r="AF1993" s="8" t="n">
        <x:f>MAX(0,AE1993-AE1992)</x:f>
        <x:v>0</x:v>
      </x:c>
      <x:c r="AG1993" s="9" t="str">
        <x:f>IF(AF1993&gt;0,B1993,"")</x:f>
      </x:c>
      <x:c r="AH1993" s="9" t="n">
        <x:f>IF(F1993&gt;=1,1,(1+v01_LowTiesShare*(AE1993-1))/AE1993)</x:f>
        <x:v>1</x:v>
      </x:c>
      <x:c r="AI1993" s="32" t="n">
        <x:f>(Z1993+v01_ElderCommons*INDEX(LM_Elder,G1993)*AA1993)*AH1993</x:f>
        <x:v>64139.732591141874</x:v>
      </x:c>
      <x:c r="AJ1993" s="32" t="n">
        <x:f>H1993*v01_CommonsCoef*AI1993^v01_CommonsExp*INDEX(LM_Commons,G1993)</x:f>
        <x:v>0</x:v>
      </x:c>
      <x:c r="AK1993" s="32" t="n">
        <x:f>H1993*v01_RoleScale*Arch_Roles*(AE1993*(INDEX(v01_ElderRolePerSett,G1993)*v01_OutElder*INDEX(LM_Elder,G1993)+INDEX(v01_ShamanPerSett,G1993)*v01_OutShaman)+Z1993*(INDEX(v01_PriestShare,G1993)*v01_OutPriest+INDEX(v01_ScribeShare,G1993)*v01_OutScribe*INDEX(LM_Scribe,G1993)+INDEX(v01_ScholarShare,G1993)*v01_OutScholar*INDEX(LM_Scholar,G1993)+INDEX(v01_ResearcherShare,G1993)*v01_OutResearcher*INDEX(LM_Researcher,G1993)))</x:f>
        <x:v>0</x:v>
      </x:c>
      <x:c r="AL1993" s="32" t="n">
        <x:f>H1993*v01_RoleScale*Arch_Roles*AE1993*INDEX(v01_MonasteryPerSett,G1993)*v01_OutMonastery*INDEX(LM_Monastery,G1993)</x:f>
        <x:v>0</x:v>
      </x:c>
      <x:c r="AM1993" s="32" t="n">
        <x:f>(AJ1993+AK1993+AL1993)/4*INDEX(LM_All,G1993)*INDEX(v01_Boon,G1993)*Arch_Insight</x:f>
        <x:v>0</x:v>
      </x:c>
      <x:c r="AN1993" s="32" t="n">
        <x:f>H1993*(v01_KHPerAdult*Z1993+v01_KHOfCommons*AJ1993/4*INDEX(LM_All,G1993))*v01_KHUsable*Arch_KH</x:f>
        <x:v>0</x:v>
      </x:c>
      <x:c r="AO1993" s="32" t="n">
        <x:f>MIN(AP1992+AN1993,AM1993*v01_KHMaxRatio)</x:f>
        <x:v>0</x:v>
      </x:c>
      <x:c r="AP1993" s="32" t="n">
        <x:f>AP1992+AN1993-AO1993</x:f>
        <x:v>0</x:v>
      </x:c>
      <x:c r="AQ1993" s="32" t="n">
        <x:f>AM1993+AO1993</x:f>
        <x:v>0</x:v>
      </x:c>
      <x:c r="AR1993" s="10" t="n">
        <x:f>IF(H1993=1,INDEX(v01_Req,G1993),0)</x:f>
        <x:v>0</x:v>
      </x:c>
      <x:c r="AS1993" s="32" t="n">
        <x:f>IF(H1993=1,IF(E1993=1,AS1992-AR1992,AS1992)+AQ1993,0)</x:f>
        <x:v>0</x:v>
      </x:c>
      <x:c r="AT1993" s="11" t="n">
        <x:f>IF(AR1993&gt;0,MIN(1,AS1993/AR1993),1)</x:f>
        <x:v>1</x:v>
      </x:c>
      <x:c r="AU1993" s="10" t="n">
        <x:f>AB1993/INDEX(v01_RepScale,G1993)</x:f>
        <x:v>90.09519605746344</x:v>
      </x:c>
      <x:c r="AV1993" s="32" t="n">
        <x:f>AM1993*60/v01_SeasonSeconds</x:f>
        <x:v>0</x:v>
      </x:c>
    </x:row>
    <x:row r="1994">
      <x:c r="A1994" s="8" t="n">
        <x:f>A1993+1</x:f>
        <x:v>1991</x:v>
      </x:c>
      <x:c r="B1994" s="9" t="n">
        <x:f>A1994*v01_SeasonSeconds/60</x:f>
        <x:v>497.75</x:v>
      </x:c>
      <x:c r="C1994" s="9" t="n">
        <x:f>A1994/4</x:f>
        <x:v>497.75</x:v>
      </x:c>
      <x:c r="D1994" s="8" t="n">
        <x:f>IF(MOD(A1994,4)=0,1,0)</x:f>
        <x:v>0</x:v>
      </x:c>
      <x:c r="E1994" s="8" t="n">
        <x:f>IF(AND(F1993&lt;=9,AS1993&gt;=AR1993),1,0)</x:f>
        <x:v>0</x:v>
      </x:c>
      <x:c r="F1994" s="8" t="n">
        <x:f>MIN(10,F1993+E1994)</x:f>
        <x:v>10</x:v>
      </x:c>
      <x:c r="G1994" s="8" t="n">
        <x:f>MIN(F1994,9)+1</x:f>
        <x:v>10</x:v>
      </x:c>
      <x:c r="H1994" s="8" t="n">
        <x:f>IF(F1994&lt;=9,1,0)</x:f>
        <x:v>0</x:v>
      </x:c>
      <x:c r="I1994" s="9" t="n">
        <x:f>MIN(10,F1993+IF(AR1993&gt;0,MIN(1,AS1993/AR1993),1))</x:f>
        <x:v>10</x:v>
      </x:c>
      <x:c r="J1994" s="32" t="n">
        <x:f>INDEX(v01_FoodCap,G1994)*Arch_FoodCap*EXP(v01_CapsByProject*SUMPRODUCT((Cap_Point&lt;=I1994)*(Cap_Kind="Food")*Cap_Ln))</x:f>
        <x:v>12000</x:v>
      </x:c>
      <x:c r="K1994" s="32" t="n">
        <x:f>J1994*MIN(1,v01_LeanBase*EXP(v01_CapsByProject*SUMPRODUCT((Cap_Point&lt;=I1994)*(Cap_Kind="Lean")*Cap_Ln)))</x:f>
        <x:v>12000</x:v>
      </x:c>
      <x:c r="L1994" s="10" t="n">
        <x:f>INDEX(v01_HousingCap,G1994)*EXP(v01_CapsByProject*SUMPRODUCT((Cap_Point&lt;=I1994)*(Cap_Kind="Housing")*Cap_Ln))</x:f>
        <x:v>20000</x:v>
      </x:c>
      <x:c r="M1994" s="10" t="n">
        <x:f>INDEX(v01_GroupCap,G1994)*v01_CohesionFactor*EXP(v01_CapsByProject*SUMPRODUCT((Cap_Point&lt;=I1994)*(Cap_Kind="Group")*Cap_Ln))</x:f>
        <x:v>1000000</x:v>
      </x:c>
      <x:c r="N1994" s="32" t="n">
        <x:f>MIN(J1994,L1994,M1994)</x:f>
        <x:v>12000</x:v>
      </x:c>
      <x:c r="O1994" s="10" t="n">
        <x:f>AE1993*N1994</x:f>
        <x:v>180000</x:v>
      </x:c>
      <x:c r="P1994" s="9" t="n">
        <x:f>MIN(1,(AB1993/(AE1993*IF(v01_GroupInCrowding=1,N1994,MIN(J1994,L1994))))^v01_CrowdingExp)</x:f>
        <x:v>0.00024569414295285325</x:v>
      </x:c>
      <x:c r="Q1994" s="9" t="n">
        <x:f>IF(D1994=1,INDEX(v01_WinterMult,G1994),1)</x:f>
        <x:v>1</x:v>
      </x:c>
      <x:c r="R1994" s="9" t="n">
        <x:f>H1994*Z1993*v01_WomenShare*v01_BaseFertility*INDEX(v01_FertMult,G1994)*Arch_Fertility*(1-P1994)</x:f>
        <x:v>0</x:v>
      </x:c>
      <x:c r="S1994" s="9" t="n">
        <x:f>H1994*Y1993*INDEX(v01_MortChild,G1994)/4*Q1994</x:f>
        <x:v>0</x:v>
      </x:c>
      <x:c r="T1994" s="9" t="n">
        <x:f>H1994*Z1993*INDEX(v01_MortAdult,G1994)*Arch_AdultMort/4*Q1994</x:f>
        <x:v>0</x:v>
      </x:c>
      <x:c r="U1994" s="9" t="n">
        <x:f>H1994*AA1993*INDEX(v01_MortElder,G1994)/4*Q1994</x:f>
        <x:v>0</x:v>
      </x:c>
      <x:c r="V1994" s="9" t="n">
        <x:f>H1994*MAX(0,AB1993-O1994)*v01_OvercapLoss</x:f>
        <x:v>0</x:v>
      </x:c>
      <x:c r="W1994" s="9" t="n">
        <x:f>H1994*Y1993/(v01_ChildYears*4)</x:f>
        <x:v>0</x:v>
      </x:c>
      <x:c r="X1994" s="9" t="n">
        <x:f>H1994*Z1993/(v01_AdultYears*4)</x:f>
        <x:v>0</x:v>
      </x:c>
      <x:c r="Y1994" s="32" t="n">
        <x:f>Y1993+R1994-S1994-W1994-Y1993*V1994/AB1993</x:f>
        <x:v>14306.18539759397</x:v>
      </x:c>
      <x:c r="Z1994" s="32" t="n">
        <x:f>Z1993+W1994-X1994-T1994-Z1993*V1994/AB1993</x:f>
        <x:v>19354.456567879548</x:v>
      </x:c>
      <x:c r="AA1994" s="32" t="n">
        <x:f>AA1993+X1994-U1994-AA1993*V1994/AB1993</x:f>
        <x:v>11386.956063258198</x:v>
      </x:c>
      <x:c r="AB1994" s="10" t="n">
        <x:f>Y1994+Z1994+AA1994</x:f>
        <x:v>45047.59802873172</x:v>
      </x:c>
      <x:c r="AC1994" s="8" t="n">
        <x:f>IF(AND(v01_WinterTrigger=1,D1994=1,AB1993/AE1993&gt;=K1994),1,0)</x:f>
        <x:v>0</x:v>
      </x:c>
      <x:c r="AD1994" s="8" t="n">
        <x:f>H1994*IF(AND(OR(AB1993/AE1993&gt;=v01_FissionTrigger*N1994,AC1994=1),AB1993/AE1993*v01_DaughterShare&gt;=v01_MinDaughter),MAX(1,ROUND(AE1993*v01_FissionRate,0)),0)</x:f>
        <x:v>0</x:v>
      </x:c>
      <x:c r="AE1994" s="8" t="n">
        <x:f>IF(H1994=1,MAX(1,MIN(INDEX(v01_Smax,G1994),AE1993+AD1994)),AE1993)</x:f>
        <x:v>15</x:v>
      </x:c>
      <x:c r="AF1994" s="8" t="n">
        <x:f>MAX(0,AE1994-AE1993)</x:f>
        <x:v>0</x:v>
      </x:c>
      <x:c r="AG1994" s="9" t="str">
        <x:f>IF(AF1994&gt;0,B1994,"")</x:f>
      </x:c>
      <x:c r="AH1994" s="9" t="n">
        <x:f>IF(F1994&gt;=1,1,(1+v01_LowTiesShare*(AE1994-1))/AE1994)</x:f>
        <x:v>1</x:v>
      </x:c>
      <x:c r="AI1994" s="32" t="n">
        <x:f>(Z1994+v01_ElderCommons*INDEX(LM_Elder,G1994)*AA1994)*AH1994</x:f>
        <x:v>64139.732591141874</x:v>
      </x:c>
      <x:c r="AJ1994" s="32" t="n">
        <x:f>H1994*v01_CommonsCoef*AI1994^v01_CommonsExp*INDEX(LM_Commons,G1994)</x:f>
        <x:v>0</x:v>
      </x:c>
      <x:c r="AK1994" s="32" t="n">
        <x:f>H1994*v01_RoleScale*Arch_Roles*(AE1994*(INDEX(v01_ElderRolePerSett,G1994)*v01_OutElder*INDEX(LM_Elder,G1994)+INDEX(v01_ShamanPerSett,G1994)*v01_OutShaman)+Z1994*(INDEX(v01_PriestShare,G1994)*v01_OutPriest+INDEX(v01_ScribeShare,G1994)*v01_OutScribe*INDEX(LM_Scribe,G1994)+INDEX(v01_ScholarShare,G1994)*v01_OutScholar*INDEX(LM_Scholar,G1994)+INDEX(v01_ResearcherShare,G1994)*v01_OutResearcher*INDEX(LM_Researcher,G1994)))</x:f>
        <x:v>0</x:v>
      </x:c>
      <x:c r="AL1994" s="32" t="n">
        <x:f>H1994*v01_RoleScale*Arch_Roles*AE1994*INDEX(v01_MonasteryPerSett,G1994)*v01_OutMonastery*INDEX(LM_Monastery,G1994)</x:f>
        <x:v>0</x:v>
      </x:c>
      <x:c r="AM1994" s="32" t="n">
        <x:f>(AJ1994+AK1994+AL1994)/4*INDEX(LM_All,G1994)*INDEX(v01_Boon,G1994)*Arch_Insight</x:f>
        <x:v>0</x:v>
      </x:c>
      <x:c r="AN1994" s="32" t="n">
        <x:f>H1994*(v01_KHPerAdult*Z1994+v01_KHOfCommons*AJ1994/4*INDEX(LM_All,G1994))*v01_KHUsable*Arch_KH</x:f>
        <x:v>0</x:v>
      </x:c>
      <x:c r="AO1994" s="32" t="n">
        <x:f>MIN(AP1993+AN1994,AM1994*v01_KHMaxRatio)</x:f>
        <x:v>0</x:v>
      </x:c>
      <x:c r="AP1994" s="32" t="n">
        <x:f>AP1993+AN1994-AO1994</x:f>
        <x:v>0</x:v>
      </x:c>
      <x:c r="AQ1994" s="32" t="n">
        <x:f>AM1994+AO1994</x:f>
        <x:v>0</x:v>
      </x:c>
      <x:c r="AR1994" s="10" t="n">
        <x:f>IF(H1994=1,INDEX(v01_Req,G1994),0)</x:f>
        <x:v>0</x:v>
      </x:c>
      <x:c r="AS1994" s="32" t="n">
        <x:f>IF(H1994=1,IF(E1994=1,AS1993-AR1993,AS1993)+AQ1994,0)</x:f>
        <x:v>0</x:v>
      </x:c>
      <x:c r="AT1994" s="11" t="n">
        <x:f>IF(AR1994&gt;0,MIN(1,AS1994/AR1994),1)</x:f>
        <x:v>1</x:v>
      </x:c>
      <x:c r="AU1994" s="10" t="n">
        <x:f>AB1994/INDEX(v01_RepScale,G1994)</x:f>
        <x:v>90.09519605746344</x:v>
      </x:c>
      <x:c r="AV1994" s="32" t="n">
        <x:f>AM1994*60/v01_SeasonSeconds</x:f>
        <x:v>0</x:v>
      </x:c>
    </x:row>
    <x:row r="1995">
      <x:c r="A1995" s="8" t="n">
        <x:f>A1994+1</x:f>
        <x:v>1992</x:v>
      </x:c>
      <x:c r="B1995" s="9" t="n">
        <x:f>A1995*v01_SeasonSeconds/60</x:f>
        <x:v>498</x:v>
      </x:c>
      <x:c r="C1995" s="9" t="n">
        <x:f>A1995/4</x:f>
        <x:v>498</x:v>
      </x:c>
      <x:c r="D1995" s="8" t="n">
        <x:f>IF(MOD(A1995,4)=0,1,0)</x:f>
        <x:v>1</x:v>
      </x:c>
      <x:c r="E1995" s="8" t="n">
        <x:f>IF(AND(F1994&lt;=9,AS1994&gt;=AR1994),1,0)</x:f>
        <x:v>0</x:v>
      </x:c>
      <x:c r="F1995" s="8" t="n">
        <x:f>MIN(10,F1994+E1995)</x:f>
        <x:v>10</x:v>
      </x:c>
      <x:c r="G1995" s="8" t="n">
        <x:f>MIN(F1995,9)+1</x:f>
        <x:v>10</x:v>
      </x:c>
      <x:c r="H1995" s="8" t="n">
        <x:f>IF(F1995&lt;=9,1,0)</x:f>
        <x:v>0</x:v>
      </x:c>
      <x:c r="I1995" s="9" t="n">
        <x:f>MIN(10,F1994+IF(AR1994&gt;0,MIN(1,AS1994/AR1994),1))</x:f>
        <x:v>10</x:v>
      </x:c>
      <x:c r="J1995" s="32" t="n">
        <x:f>INDEX(v01_FoodCap,G1995)*Arch_FoodCap*EXP(v01_CapsByProject*SUMPRODUCT((Cap_Point&lt;=I1995)*(Cap_Kind="Food")*Cap_Ln))</x:f>
        <x:v>12000</x:v>
      </x:c>
      <x:c r="K1995" s="32" t="n">
        <x:f>J1995*MIN(1,v01_LeanBase*EXP(v01_CapsByProject*SUMPRODUCT((Cap_Point&lt;=I1995)*(Cap_Kind="Lean")*Cap_Ln)))</x:f>
        <x:v>12000</x:v>
      </x:c>
      <x:c r="L1995" s="10" t="n">
        <x:f>INDEX(v01_HousingCap,G1995)*EXP(v01_CapsByProject*SUMPRODUCT((Cap_Point&lt;=I1995)*(Cap_Kind="Housing")*Cap_Ln))</x:f>
        <x:v>20000</x:v>
      </x:c>
      <x:c r="M1995" s="10" t="n">
        <x:f>INDEX(v01_GroupCap,G1995)*v01_CohesionFactor*EXP(v01_CapsByProject*SUMPRODUCT((Cap_Point&lt;=I1995)*(Cap_Kind="Group")*Cap_Ln))</x:f>
        <x:v>1000000</x:v>
      </x:c>
      <x:c r="N1995" s="32" t="n">
        <x:f>MIN(J1995,L1995,M1995)</x:f>
        <x:v>12000</x:v>
      </x:c>
      <x:c r="O1995" s="10" t="n">
        <x:f>AE1994*N1995</x:f>
        <x:v>180000</x:v>
      </x:c>
      <x:c r="P1995" s="9" t="n">
        <x:f>MIN(1,(AB1994/(AE1994*IF(v01_GroupInCrowding=1,N1995,MIN(J1995,L1995))))^v01_CrowdingExp)</x:f>
        <x:v>0.00024569414295285325</x:v>
      </x:c>
      <x:c r="Q1995" s="9" t="n">
        <x:f>IF(D1995=1,INDEX(v01_WinterMult,G1995),1)</x:f>
        <x:v>1</x:v>
      </x:c>
      <x:c r="R1995" s="9" t="n">
        <x:f>H1995*Z1994*v01_WomenShare*v01_BaseFertility*INDEX(v01_FertMult,G1995)*Arch_Fertility*(1-P1995)</x:f>
        <x:v>0</x:v>
      </x:c>
      <x:c r="S1995" s="9" t="n">
        <x:f>H1995*Y1994*INDEX(v01_MortChild,G1995)/4*Q1995</x:f>
        <x:v>0</x:v>
      </x:c>
      <x:c r="T1995" s="9" t="n">
        <x:f>H1995*Z1994*INDEX(v01_MortAdult,G1995)*Arch_AdultMort/4*Q1995</x:f>
        <x:v>0</x:v>
      </x:c>
      <x:c r="U1995" s="9" t="n">
        <x:f>H1995*AA1994*INDEX(v01_MortElder,G1995)/4*Q1995</x:f>
        <x:v>0</x:v>
      </x:c>
      <x:c r="V1995" s="9" t="n">
        <x:f>H1995*MAX(0,AB1994-O1995)*v01_OvercapLoss</x:f>
        <x:v>0</x:v>
      </x:c>
      <x:c r="W1995" s="9" t="n">
        <x:f>H1995*Y1994/(v01_ChildYears*4)</x:f>
        <x:v>0</x:v>
      </x:c>
      <x:c r="X1995" s="9" t="n">
        <x:f>H1995*Z1994/(v01_AdultYears*4)</x:f>
        <x:v>0</x:v>
      </x:c>
      <x:c r="Y1995" s="32" t="n">
        <x:f>Y1994+R1995-S1995-W1995-Y1994*V1995/AB1994</x:f>
        <x:v>14306.18539759397</x:v>
      </x:c>
      <x:c r="Z1995" s="32" t="n">
        <x:f>Z1994+W1995-X1995-T1995-Z1994*V1995/AB1994</x:f>
        <x:v>19354.456567879548</x:v>
      </x:c>
      <x:c r="AA1995" s="32" t="n">
        <x:f>AA1994+X1995-U1995-AA1994*V1995/AB1994</x:f>
        <x:v>11386.956063258198</x:v>
      </x:c>
      <x:c r="AB1995" s="10" t="n">
        <x:f>Y1995+Z1995+AA1995</x:f>
        <x:v>45047.59802873172</x:v>
      </x:c>
      <x:c r="AC1995" s="8" t="n">
        <x:f>IF(AND(v01_WinterTrigger=1,D1995=1,AB1994/AE1994&gt;=K1995),1,0)</x:f>
        <x:v>0</x:v>
      </x:c>
      <x:c r="AD1995" s="8" t="n">
        <x:f>H1995*IF(AND(OR(AB1994/AE1994&gt;=v01_FissionTrigger*N1995,AC1995=1),AB1994/AE1994*v01_DaughterShare&gt;=v01_MinDaughter),MAX(1,ROUND(AE1994*v01_FissionRate,0)),0)</x:f>
        <x:v>0</x:v>
      </x:c>
      <x:c r="AE1995" s="8" t="n">
        <x:f>IF(H1995=1,MAX(1,MIN(INDEX(v01_Smax,G1995),AE1994+AD1995)),AE1994)</x:f>
        <x:v>15</x:v>
      </x:c>
      <x:c r="AF1995" s="8" t="n">
        <x:f>MAX(0,AE1995-AE1994)</x:f>
        <x:v>0</x:v>
      </x:c>
      <x:c r="AG1995" s="9" t="str">
        <x:f>IF(AF1995&gt;0,B1995,"")</x:f>
      </x:c>
      <x:c r="AH1995" s="9" t="n">
        <x:f>IF(F1995&gt;=1,1,(1+v01_LowTiesShare*(AE1995-1))/AE1995)</x:f>
        <x:v>1</x:v>
      </x:c>
      <x:c r="AI1995" s="32" t="n">
        <x:f>(Z1995+v01_ElderCommons*INDEX(LM_Elder,G1995)*AA1995)*AH1995</x:f>
        <x:v>64139.732591141874</x:v>
      </x:c>
      <x:c r="AJ1995" s="32" t="n">
        <x:f>H1995*v01_CommonsCoef*AI1995^v01_CommonsExp*INDEX(LM_Commons,G1995)</x:f>
        <x:v>0</x:v>
      </x:c>
      <x:c r="AK1995" s="32" t="n">
        <x:f>H1995*v01_RoleScale*Arch_Roles*(AE1995*(INDEX(v01_ElderRolePerSett,G1995)*v01_OutElder*INDEX(LM_Elder,G1995)+INDEX(v01_ShamanPerSett,G1995)*v01_OutShaman)+Z1995*(INDEX(v01_PriestShare,G1995)*v01_OutPriest+INDEX(v01_ScribeShare,G1995)*v01_OutScribe*INDEX(LM_Scribe,G1995)+INDEX(v01_ScholarShare,G1995)*v01_OutScholar*INDEX(LM_Scholar,G1995)+INDEX(v01_ResearcherShare,G1995)*v01_OutResearcher*INDEX(LM_Researcher,G1995)))</x:f>
        <x:v>0</x:v>
      </x:c>
      <x:c r="AL1995" s="32" t="n">
        <x:f>H1995*v01_RoleScale*Arch_Roles*AE1995*INDEX(v01_MonasteryPerSett,G1995)*v01_OutMonastery*INDEX(LM_Monastery,G1995)</x:f>
        <x:v>0</x:v>
      </x:c>
      <x:c r="AM1995" s="32" t="n">
        <x:f>(AJ1995+AK1995+AL1995)/4*INDEX(LM_All,G1995)*INDEX(v01_Boon,G1995)*Arch_Insight</x:f>
        <x:v>0</x:v>
      </x:c>
      <x:c r="AN1995" s="32" t="n">
        <x:f>H1995*(v01_KHPerAdult*Z1995+v01_KHOfCommons*AJ1995/4*INDEX(LM_All,G1995))*v01_KHUsable*Arch_KH</x:f>
        <x:v>0</x:v>
      </x:c>
      <x:c r="AO1995" s="32" t="n">
        <x:f>MIN(AP1994+AN1995,AM1995*v01_KHMaxRatio)</x:f>
        <x:v>0</x:v>
      </x:c>
      <x:c r="AP1995" s="32" t="n">
        <x:f>AP1994+AN1995-AO1995</x:f>
        <x:v>0</x:v>
      </x:c>
      <x:c r="AQ1995" s="32" t="n">
        <x:f>AM1995+AO1995</x:f>
        <x:v>0</x:v>
      </x:c>
      <x:c r="AR1995" s="10" t="n">
        <x:f>IF(H1995=1,INDEX(v01_Req,G1995),0)</x:f>
        <x:v>0</x:v>
      </x:c>
      <x:c r="AS1995" s="32" t="n">
        <x:f>IF(H1995=1,IF(E1995=1,AS1994-AR1994,AS1994)+AQ1995,0)</x:f>
        <x:v>0</x:v>
      </x:c>
      <x:c r="AT1995" s="11" t="n">
        <x:f>IF(AR1995&gt;0,MIN(1,AS1995/AR1995),1)</x:f>
        <x:v>1</x:v>
      </x:c>
      <x:c r="AU1995" s="10" t="n">
        <x:f>AB1995/INDEX(v01_RepScale,G1995)</x:f>
        <x:v>90.09519605746344</x:v>
      </x:c>
      <x:c r="AV1995" s="32" t="n">
        <x:f>AM1995*60/v01_SeasonSeconds</x:f>
        <x:v>0</x:v>
      </x:c>
    </x:row>
    <x:row r="1996">
      <x:c r="A1996" s="8" t="n">
        <x:f>A1995+1</x:f>
        <x:v>1993</x:v>
      </x:c>
      <x:c r="B1996" s="9" t="n">
        <x:f>A1996*v01_SeasonSeconds/60</x:f>
        <x:v>498.25</x:v>
      </x:c>
      <x:c r="C1996" s="9" t="n">
        <x:f>A1996/4</x:f>
        <x:v>498.25</x:v>
      </x:c>
      <x:c r="D1996" s="8" t="n">
        <x:f>IF(MOD(A1996,4)=0,1,0)</x:f>
        <x:v>0</x:v>
      </x:c>
      <x:c r="E1996" s="8" t="n">
        <x:f>IF(AND(F1995&lt;=9,AS1995&gt;=AR1995),1,0)</x:f>
        <x:v>0</x:v>
      </x:c>
      <x:c r="F1996" s="8" t="n">
        <x:f>MIN(10,F1995+E1996)</x:f>
        <x:v>10</x:v>
      </x:c>
      <x:c r="G1996" s="8" t="n">
        <x:f>MIN(F1996,9)+1</x:f>
        <x:v>10</x:v>
      </x:c>
      <x:c r="H1996" s="8" t="n">
        <x:f>IF(F1996&lt;=9,1,0)</x:f>
        <x:v>0</x:v>
      </x:c>
      <x:c r="I1996" s="9" t="n">
        <x:f>MIN(10,F1995+IF(AR1995&gt;0,MIN(1,AS1995/AR1995),1))</x:f>
        <x:v>10</x:v>
      </x:c>
      <x:c r="J1996" s="32" t="n">
        <x:f>INDEX(v01_FoodCap,G1996)*Arch_FoodCap*EXP(v01_CapsByProject*SUMPRODUCT((Cap_Point&lt;=I1996)*(Cap_Kind="Food")*Cap_Ln))</x:f>
        <x:v>12000</x:v>
      </x:c>
      <x:c r="K1996" s="32" t="n">
        <x:f>J1996*MIN(1,v01_LeanBase*EXP(v01_CapsByProject*SUMPRODUCT((Cap_Point&lt;=I1996)*(Cap_Kind="Lean")*Cap_Ln)))</x:f>
        <x:v>12000</x:v>
      </x:c>
      <x:c r="L1996" s="10" t="n">
        <x:f>INDEX(v01_HousingCap,G1996)*EXP(v01_CapsByProject*SUMPRODUCT((Cap_Point&lt;=I1996)*(Cap_Kind="Housing")*Cap_Ln))</x:f>
        <x:v>20000</x:v>
      </x:c>
      <x:c r="M1996" s="10" t="n">
        <x:f>INDEX(v01_GroupCap,G1996)*v01_CohesionFactor*EXP(v01_CapsByProject*SUMPRODUCT((Cap_Point&lt;=I1996)*(Cap_Kind="Group")*Cap_Ln))</x:f>
        <x:v>1000000</x:v>
      </x:c>
      <x:c r="N1996" s="32" t="n">
        <x:f>MIN(J1996,L1996,M1996)</x:f>
        <x:v>12000</x:v>
      </x:c>
      <x:c r="O1996" s="10" t="n">
        <x:f>AE1995*N1996</x:f>
        <x:v>180000</x:v>
      </x:c>
      <x:c r="P1996" s="9" t="n">
        <x:f>MIN(1,(AB1995/(AE1995*IF(v01_GroupInCrowding=1,N1996,MIN(J1996,L1996))))^v01_CrowdingExp)</x:f>
        <x:v>0.00024569414295285325</x:v>
      </x:c>
      <x:c r="Q1996" s="9" t="n">
        <x:f>IF(D1996=1,INDEX(v01_WinterMult,G1996),1)</x:f>
        <x:v>1</x:v>
      </x:c>
      <x:c r="R1996" s="9" t="n">
        <x:f>H1996*Z1995*v01_WomenShare*v01_BaseFertility*INDEX(v01_FertMult,G1996)*Arch_Fertility*(1-P1996)</x:f>
        <x:v>0</x:v>
      </x:c>
      <x:c r="S1996" s="9" t="n">
        <x:f>H1996*Y1995*INDEX(v01_MortChild,G1996)/4*Q1996</x:f>
        <x:v>0</x:v>
      </x:c>
      <x:c r="T1996" s="9" t="n">
        <x:f>H1996*Z1995*INDEX(v01_MortAdult,G1996)*Arch_AdultMort/4*Q1996</x:f>
        <x:v>0</x:v>
      </x:c>
      <x:c r="U1996" s="9" t="n">
        <x:f>H1996*AA1995*INDEX(v01_MortElder,G1996)/4*Q1996</x:f>
        <x:v>0</x:v>
      </x:c>
      <x:c r="V1996" s="9" t="n">
        <x:f>H1996*MAX(0,AB1995-O1996)*v01_OvercapLoss</x:f>
        <x:v>0</x:v>
      </x:c>
      <x:c r="W1996" s="9" t="n">
        <x:f>H1996*Y1995/(v01_ChildYears*4)</x:f>
        <x:v>0</x:v>
      </x:c>
      <x:c r="X1996" s="9" t="n">
        <x:f>H1996*Z1995/(v01_AdultYears*4)</x:f>
        <x:v>0</x:v>
      </x:c>
      <x:c r="Y1996" s="32" t="n">
        <x:f>Y1995+R1996-S1996-W1996-Y1995*V1996/AB1995</x:f>
        <x:v>14306.18539759397</x:v>
      </x:c>
      <x:c r="Z1996" s="32" t="n">
        <x:f>Z1995+W1996-X1996-T1996-Z1995*V1996/AB1995</x:f>
        <x:v>19354.456567879548</x:v>
      </x:c>
      <x:c r="AA1996" s="32" t="n">
        <x:f>AA1995+X1996-U1996-AA1995*V1996/AB1995</x:f>
        <x:v>11386.956063258198</x:v>
      </x:c>
      <x:c r="AB1996" s="10" t="n">
        <x:f>Y1996+Z1996+AA1996</x:f>
        <x:v>45047.59802873172</x:v>
      </x:c>
      <x:c r="AC1996" s="8" t="n">
        <x:f>IF(AND(v01_WinterTrigger=1,D1996=1,AB1995/AE1995&gt;=K1996),1,0)</x:f>
        <x:v>0</x:v>
      </x:c>
      <x:c r="AD1996" s="8" t="n">
        <x:f>H1996*IF(AND(OR(AB1995/AE1995&gt;=v01_FissionTrigger*N1996,AC1996=1),AB1995/AE1995*v01_DaughterShare&gt;=v01_MinDaughter),MAX(1,ROUND(AE1995*v01_FissionRate,0)),0)</x:f>
        <x:v>0</x:v>
      </x:c>
      <x:c r="AE1996" s="8" t="n">
        <x:f>IF(H1996=1,MAX(1,MIN(INDEX(v01_Smax,G1996),AE1995+AD1996)),AE1995)</x:f>
        <x:v>15</x:v>
      </x:c>
      <x:c r="AF1996" s="8" t="n">
        <x:f>MAX(0,AE1996-AE1995)</x:f>
        <x:v>0</x:v>
      </x:c>
      <x:c r="AG1996" s="9" t="str">
        <x:f>IF(AF1996&gt;0,B1996,"")</x:f>
      </x:c>
      <x:c r="AH1996" s="9" t="n">
        <x:f>IF(F1996&gt;=1,1,(1+v01_LowTiesShare*(AE1996-1))/AE1996)</x:f>
        <x:v>1</x:v>
      </x:c>
      <x:c r="AI1996" s="32" t="n">
        <x:f>(Z1996+v01_ElderCommons*INDEX(LM_Elder,G1996)*AA1996)*AH1996</x:f>
        <x:v>64139.732591141874</x:v>
      </x:c>
      <x:c r="AJ1996" s="32" t="n">
        <x:f>H1996*v01_CommonsCoef*AI1996^v01_CommonsExp*INDEX(LM_Commons,G1996)</x:f>
        <x:v>0</x:v>
      </x:c>
      <x:c r="AK1996" s="32" t="n">
        <x:f>H1996*v01_RoleScale*Arch_Roles*(AE1996*(INDEX(v01_ElderRolePerSett,G1996)*v01_OutElder*INDEX(LM_Elder,G1996)+INDEX(v01_ShamanPerSett,G1996)*v01_OutShaman)+Z1996*(INDEX(v01_PriestShare,G1996)*v01_OutPriest+INDEX(v01_ScribeShare,G1996)*v01_OutScribe*INDEX(LM_Scribe,G1996)+INDEX(v01_ScholarShare,G1996)*v01_OutScholar*INDEX(LM_Scholar,G1996)+INDEX(v01_ResearcherShare,G1996)*v01_OutResearcher*INDEX(LM_Researcher,G1996)))</x:f>
        <x:v>0</x:v>
      </x:c>
      <x:c r="AL1996" s="32" t="n">
        <x:f>H1996*v01_RoleScale*Arch_Roles*AE1996*INDEX(v01_MonasteryPerSett,G1996)*v01_OutMonastery*INDEX(LM_Monastery,G1996)</x:f>
        <x:v>0</x:v>
      </x:c>
      <x:c r="AM1996" s="32" t="n">
        <x:f>(AJ1996+AK1996+AL1996)/4*INDEX(LM_All,G1996)*INDEX(v01_Boon,G1996)*Arch_Insight</x:f>
        <x:v>0</x:v>
      </x:c>
      <x:c r="AN1996" s="32" t="n">
        <x:f>H1996*(v01_KHPerAdult*Z1996+v01_KHOfCommons*AJ1996/4*INDEX(LM_All,G1996))*v01_KHUsable*Arch_KH</x:f>
        <x:v>0</x:v>
      </x:c>
      <x:c r="AO1996" s="32" t="n">
        <x:f>MIN(AP1995+AN1996,AM1996*v01_KHMaxRatio)</x:f>
        <x:v>0</x:v>
      </x:c>
      <x:c r="AP1996" s="32" t="n">
        <x:f>AP1995+AN1996-AO1996</x:f>
        <x:v>0</x:v>
      </x:c>
      <x:c r="AQ1996" s="32" t="n">
        <x:f>AM1996+AO1996</x:f>
        <x:v>0</x:v>
      </x:c>
      <x:c r="AR1996" s="10" t="n">
        <x:f>IF(H1996=1,INDEX(v01_Req,G1996),0)</x:f>
        <x:v>0</x:v>
      </x:c>
      <x:c r="AS1996" s="32" t="n">
        <x:f>IF(H1996=1,IF(E1996=1,AS1995-AR1995,AS1995)+AQ1996,0)</x:f>
        <x:v>0</x:v>
      </x:c>
      <x:c r="AT1996" s="11" t="n">
        <x:f>IF(AR1996&gt;0,MIN(1,AS1996/AR1996),1)</x:f>
        <x:v>1</x:v>
      </x:c>
      <x:c r="AU1996" s="10" t="n">
        <x:f>AB1996/INDEX(v01_RepScale,G1996)</x:f>
        <x:v>90.09519605746344</x:v>
      </x:c>
      <x:c r="AV1996" s="32" t="n">
        <x:f>AM1996*60/v01_SeasonSeconds</x:f>
        <x:v>0</x:v>
      </x:c>
    </x:row>
    <x:row r="1997">
      <x:c r="A1997" s="8" t="n">
        <x:f>A1996+1</x:f>
        <x:v>1994</x:v>
      </x:c>
      <x:c r="B1997" s="9" t="n">
        <x:f>A1997*v01_SeasonSeconds/60</x:f>
        <x:v>498.5</x:v>
      </x:c>
      <x:c r="C1997" s="9" t="n">
        <x:f>A1997/4</x:f>
        <x:v>498.5</x:v>
      </x:c>
      <x:c r="D1997" s="8" t="n">
        <x:f>IF(MOD(A1997,4)=0,1,0)</x:f>
        <x:v>0</x:v>
      </x:c>
      <x:c r="E1997" s="8" t="n">
        <x:f>IF(AND(F1996&lt;=9,AS1996&gt;=AR1996),1,0)</x:f>
        <x:v>0</x:v>
      </x:c>
      <x:c r="F1997" s="8" t="n">
        <x:f>MIN(10,F1996+E1997)</x:f>
        <x:v>10</x:v>
      </x:c>
      <x:c r="G1997" s="8" t="n">
        <x:f>MIN(F1997,9)+1</x:f>
        <x:v>10</x:v>
      </x:c>
      <x:c r="H1997" s="8" t="n">
        <x:f>IF(F1997&lt;=9,1,0)</x:f>
        <x:v>0</x:v>
      </x:c>
      <x:c r="I1997" s="9" t="n">
        <x:f>MIN(10,F1996+IF(AR1996&gt;0,MIN(1,AS1996/AR1996),1))</x:f>
        <x:v>10</x:v>
      </x:c>
      <x:c r="J1997" s="32" t="n">
        <x:f>INDEX(v01_FoodCap,G1997)*Arch_FoodCap*EXP(v01_CapsByProject*SUMPRODUCT((Cap_Point&lt;=I1997)*(Cap_Kind="Food")*Cap_Ln))</x:f>
        <x:v>12000</x:v>
      </x:c>
      <x:c r="K1997" s="32" t="n">
        <x:f>J1997*MIN(1,v01_LeanBase*EXP(v01_CapsByProject*SUMPRODUCT((Cap_Point&lt;=I1997)*(Cap_Kind="Lean")*Cap_Ln)))</x:f>
        <x:v>12000</x:v>
      </x:c>
      <x:c r="L1997" s="10" t="n">
        <x:f>INDEX(v01_HousingCap,G1997)*EXP(v01_CapsByProject*SUMPRODUCT((Cap_Point&lt;=I1997)*(Cap_Kind="Housing")*Cap_Ln))</x:f>
        <x:v>20000</x:v>
      </x:c>
      <x:c r="M1997" s="10" t="n">
        <x:f>INDEX(v01_GroupCap,G1997)*v01_CohesionFactor*EXP(v01_CapsByProject*SUMPRODUCT((Cap_Point&lt;=I1997)*(Cap_Kind="Group")*Cap_Ln))</x:f>
        <x:v>1000000</x:v>
      </x:c>
      <x:c r="N1997" s="32" t="n">
        <x:f>MIN(J1997,L1997,M1997)</x:f>
        <x:v>12000</x:v>
      </x:c>
      <x:c r="O1997" s="10" t="n">
        <x:f>AE1996*N1997</x:f>
        <x:v>180000</x:v>
      </x:c>
      <x:c r="P1997" s="9" t="n">
        <x:f>MIN(1,(AB1996/(AE1996*IF(v01_GroupInCrowding=1,N1997,MIN(J1997,L1997))))^v01_CrowdingExp)</x:f>
        <x:v>0.00024569414295285325</x:v>
      </x:c>
      <x:c r="Q1997" s="9" t="n">
        <x:f>IF(D1997=1,INDEX(v01_WinterMult,G1997),1)</x:f>
        <x:v>1</x:v>
      </x:c>
      <x:c r="R1997" s="9" t="n">
        <x:f>H1997*Z1996*v01_WomenShare*v01_BaseFertility*INDEX(v01_FertMult,G1997)*Arch_Fertility*(1-P1997)</x:f>
        <x:v>0</x:v>
      </x:c>
      <x:c r="S1997" s="9" t="n">
        <x:f>H1997*Y1996*INDEX(v01_MortChild,G1997)/4*Q1997</x:f>
        <x:v>0</x:v>
      </x:c>
      <x:c r="T1997" s="9" t="n">
        <x:f>H1997*Z1996*INDEX(v01_MortAdult,G1997)*Arch_AdultMort/4*Q1997</x:f>
        <x:v>0</x:v>
      </x:c>
      <x:c r="U1997" s="9" t="n">
        <x:f>H1997*AA1996*INDEX(v01_MortElder,G1997)/4*Q1997</x:f>
        <x:v>0</x:v>
      </x:c>
      <x:c r="V1997" s="9" t="n">
        <x:f>H1997*MAX(0,AB1996-O1997)*v01_OvercapLoss</x:f>
        <x:v>0</x:v>
      </x:c>
      <x:c r="W1997" s="9" t="n">
        <x:f>H1997*Y1996/(v01_ChildYears*4)</x:f>
        <x:v>0</x:v>
      </x:c>
      <x:c r="X1997" s="9" t="n">
        <x:f>H1997*Z1996/(v01_AdultYears*4)</x:f>
        <x:v>0</x:v>
      </x:c>
      <x:c r="Y1997" s="32" t="n">
        <x:f>Y1996+R1997-S1997-W1997-Y1996*V1997/AB1996</x:f>
        <x:v>14306.18539759397</x:v>
      </x:c>
      <x:c r="Z1997" s="32" t="n">
        <x:f>Z1996+W1997-X1997-T1997-Z1996*V1997/AB1996</x:f>
        <x:v>19354.456567879548</x:v>
      </x:c>
      <x:c r="AA1997" s="32" t="n">
        <x:f>AA1996+X1997-U1997-AA1996*V1997/AB1996</x:f>
        <x:v>11386.956063258198</x:v>
      </x:c>
      <x:c r="AB1997" s="10" t="n">
        <x:f>Y1997+Z1997+AA1997</x:f>
        <x:v>45047.59802873172</x:v>
      </x:c>
      <x:c r="AC1997" s="8" t="n">
        <x:f>IF(AND(v01_WinterTrigger=1,D1997=1,AB1996/AE1996&gt;=K1997),1,0)</x:f>
        <x:v>0</x:v>
      </x:c>
      <x:c r="AD1997" s="8" t="n">
        <x:f>H1997*IF(AND(OR(AB1996/AE1996&gt;=v01_FissionTrigger*N1997,AC1997=1),AB1996/AE1996*v01_DaughterShare&gt;=v01_MinDaughter),MAX(1,ROUND(AE1996*v01_FissionRate,0)),0)</x:f>
        <x:v>0</x:v>
      </x:c>
      <x:c r="AE1997" s="8" t="n">
        <x:f>IF(H1997=1,MAX(1,MIN(INDEX(v01_Smax,G1997),AE1996+AD1997)),AE1996)</x:f>
        <x:v>15</x:v>
      </x:c>
      <x:c r="AF1997" s="8" t="n">
        <x:f>MAX(0,AE1997-AE1996)</x:f>
        <x:v>0</x:v>
      </x:c>
      <x:c r="AG1997" s="9" t="str">
        <x:f>IF(AF1997&gt;0,B1997,"")</x:f>
      </x:c>
      <x:c r="AH1997" s="9" t="n">
        <x:f>IF(F1997&gt;=1,1,(1+v01_LowTiesShare*(AE1997-1))/AE1997)</x:f>
        <x:v>1</x:v>
      </x:c>
      <x:c r="AI1997" s="32" t="n">
        <x:f>(Z1997+v01_ElderCommons*INDEX(LM_Elder,G1997)*AA1997)*AH1997</x:f>
        <x:v>64139.732591141874</x:v>
      </x:c>
      <x:c r="AJ1997" s="32" t="n">
        <x:f>H1997*v01_CommonsCoef*AI1997^v01_CommonsExp*INDEX(LM_Commons,G1997)</x:f>
        <x:v>0</x:v>
      </x:c>
      <x:c r="AK1997" s="32" t="n">
        <x:f>H1997*v01_RoleScale*Arch_Roles*(AE1997*(INDEX(v01_ElderRolePerSett,G1997)*v01_OutElder*INDEX(LM_Elder,G1997)+INDEX(v01_ShamanPerSett,G1997)*v01_OutShaman)+Z1997*(INDEX(v01_PriestShare,G1997)*v01_OutPriest+INDEX(v01_ScribeShare,G1997)*v01_OutScribe*INDEX(LM_Scribe,G1997)+INDEX(v01_ScholarShare,G1997)*v01_OutScholar*INDEX(LM_Scholar,G1997)+INDEX(v01_ResearcherShare,G1997)*v01_OutResearcher*INDEX(LM_Researcher,G1997)))</x:f>
        <x:v>0</x:v>
      </x:c>
      <x:c r="AL1997" s="32" t="n">
        <x:f>H1997*v01_RoleScale*Arch_Roles*AE1997*INDEX(v01_MonasteryPerSett,G1997)*v01_OutMonastery*INDEX(LM_Monastery,G1997)</x:f>
        <x:v>0</x:v>
      </x:c>
      <x:c r="AM1997" s="32" t="n">
        <x:f>(AJ1997+AK1997+AL1997)/4*INDEX(LM_All,G1997)*INDEX(v01_Boon,G1997)*Arch_Insight</x:f>
        <x:v>0</x:v>
      </x:c>
      <x:c r="AN1997" s="32" t="n">
        <x:f>H1997*(v01_KHPerAdult*Z1997+v01_KHOfCommons*AJ1997/4*INDEX(LM_All,G1997))*v01_KHUsable*Arch_KH</x:f>
        <x:v>0</x:v>
      </x:c>
      <x:c r="AO1997" s="32" t="n">
        <x:f>MIN(AP1996+AN1997,AM1997*v01_KHMaxRatio)</x:f>
        <x:v>0</x:v>
      </x:c>
      <x:c r="AP1997" s="32" t="n">
        <x:f>AP1996+AN1997-AO1997</x:f>
        <x:v>0</x:v>
      </x:c>
      <x:c r="AQ1997" s="32" t="n">
        <x:f>AM1997+AO1997</x:f>
        <x:v>0</x:v>
      </x:c>
      <x:c r="AR1997" s="10" t="n">
        <x:f>IF(H1997=1,INDEX(v01_Req,G1997),0)</x:f>
        <x:v>0</x:v>
      </x:c>
      <x:c r="AS1997" s="32" t="n">
        <x:f>IF(H1997=1,IF(E1997=1,AS1996-AR1996,AS1996)+AQ1997,0)</x:f>
        <x:v>0</x:v>
      </x:c>
      <x:c r="AT1997" s="11" t="n">
        <x:f>IF(AR1997&gt;0,MIN(1,AS1997/AR1997),1)</x:f>
        <x:v>1</x:v>
      </x:c>
      <x:c r="AU1997" s="10" t="n">
        <x:f>AB1997/INDEX(v01_RepScale,G1997)</x:f>
        <x:v>90.09519605746344</x:v>
      </x:c>
      <x:c r="AV1997" s="32" t="n">
        <x:f>AM1997*60/v01_SeasonSeconds</x:f>
        <x:v>0</x:v>
      </x:c>
    </x:row>
    <x:row r="1998">
      <x:c r="A1998" s="8" t="n">
        <x:f>A1997+1</x:f>
        <x:v>1995</x:v>
      </x:c>
      <x:c r="B1998" s="9" t="n">
        <x:f>A1998*v01_SeasonSeconds/60</x:f>
        <x:v>498.75</x:v>
      </x:c>
      <x:c r="C1998" s="9" t="n">
        <x:f>A1998/4</x:f>
        <x:v>498.75</x:v>
      </x:c>
      <x:c r="D1998" s="8" t="n">
        <x:f>IF(MOD(A1998,4)=0,1,0)</x:f>
        <x:v>0</x:v>
      </x:c>
      <x:c r="E1998" s="8" t="n">
        <x:f>IF(AND(F1997&lt;=9,AS1997&gt;=AR1997),1,0)</x:f>
        <x:v>0</x:v>
      </x:c>
      <x:c r="F1998" s="8" t="n">
        <x:f>MIN(10,F1997+E1998)</x:f>
        <x:v>10</x:v>
      </x:c>
      <x:c r="G1998" s="8" t="n">
        <x:f>MIN(F1998,9)+1</x:f>
        <x:v>10</x:v>
      </x:c>
      <x:c r="H1998" s="8" t="n">
        <x:f>IF(F1998&lt;=9,1,0)</x:f>
        <x:v>0</x:v>
      </x:c>
      <x:c r="I1998" s="9" t="n">
        <x:f>MIN(10,F1997+IF(AR1997&gt;0,MIN(1,AS1997/AR1997),1))</x:f>
        <x:v>10</x:v>
      </x:c>
      <x:c r="J1998" s="32" t="n">
        <x:f>INDEX(v01_FoodCap,G1998)*Arch_FoodCap*EXP(v01_CapsByProject*SUMPRODUCT((Cap_Point&lt;=I1998)*(Cap_Kind="Food")*Cap_Ln))</x:f>
        <x:v>12000</x:v>
      </x:c>
      <x:c r="K1998" s="32" t="n">
        <x:f>J1998*MIN(1,v01_LeanBase*EXP(v01_CapsByProject*SUMPRODUCT((Cap_Point&lt;=I1998)*(Cap_Kind="Lean")*Cap_Ln)))</x:f>
        <x:v>12000</x:v>
      </x:c>
      <x:c r="L1998" s="10" t="n">
        <x:f>INDEX(v01_HousingCap,G1998)*EXP(v01_CapsByProject*SUMPRODUCT((Cap_Point&lt;=I1998)*(Cap_Kind="Housing")*Cap_Ln))</x:f>
        <x:v>20000</x:v>
      </x:c>
      <x:c r="M1998" s="10" t="n">
        <x:f>INDEX(v01_GroupCap,G1998)*v01_CohesionFactor*EXP(v01_CapsByProject*SUMPRODUCT((Cap_Point&lt;=I1998)*(Cap_Kind="Group")*Cap_Ln))</x:f>
        <x:v>1000000</x:v>
      </x:c>
      <x:c r="N1998" s="32" t="n">
        <x:f>MIN(J1998,L1998,M1998)</x:f>
        <x:v>12000</x:v>
      </x:c>
      <x:c r="O1998" s="10" t="n">
        <x:f>AE1997*N1998</x:f>
        <x:v>180000</x:v>
      </x:c>
      <x:c r="P1998" s="9" t="n">
        <x:f>MIN(1,(AB1997/(AE1997*IF(v01_GroupInCrowding=1,N1998,MIN(J1998,L1998))))^v01_CrowdingExp)</x:f>
        <x:v>0.00024569414295285325</x:v>
      </x:c>
      <x:c r="Q1998" s="9" t="n">
        <x:f>IF(D1998=1,INDEX(v01_WinterMult,G1998),1)</x:f>
        <x:v>1</x:v>
      </x:c>
      <x:c r="R1998" s="9" t="n">
        <x:f>H1998*Z1997*v01_WomenShare*v01_BaseFertility*INDEX(v01_FertMult,G1998)*Arch_Fertility*(1-P1998)</x:f>
        <x:v>0</x:v>
      </x:c>
      <x:c r="S1998" s="9" t="n">
        <x:f>H1998*Y1997*INDEX(v01_MortChild,G1998)/4*Q1998</x:f>
        <x:v>0</x:v>
      </x:c>
      <x:c r="T1998" s="9" t="n">
        <x:f>H1998*Z1997*INDEX(v01_MortAdult,G1998)*Arch_AdultMort/4*Q1998</x:f>
        <x:v>0</x:v>
      </x:c>
      <x:c r="U1998" s="9" t="n">
        <x:f>H1998*AA1997*INDEX(v01_MortElder,G1998)/4*Q1998</x:f>
        <x:v>0</x:v>
      </x:c>
      <x:c r="V1998" s="9" t="n">
        <x:f>H1998*MAX(0,AB1997-O1998)*v01_OvercapLoss</x:f>
        <x:v>0</x:v>
      </x:c>
      <x:c r="W1998" s="9" t="n">
        <x:f>H1998*Y1997/(v01_ChildYears*4)</x:f>
        <x:v>0</x:v>
      </x:c>
      <x:c r="X1998" s="9" t="n">
        <x:f>H1998*Z1997/(v01_AdultYears*4)</x:f>
        <x:v>0</x:v>
      </x:c>
      <x:c r="Y1998" s="32" t="n">
        <x:f>Y1997+R1998-S1998-W1998-Y1997*V1998/AB1997</x:f>
        <x:v>14306.18539759397</x:v>
      </x:c>
      <x:c r="Z1998" s="32" t="n">
        <x:f>Z1997+W1998-X1998-T1998-Z1997*V1998/AB1997</x:f>
        <x:v>19354.456567879548</x:v>
      </x:c>
      <x:c r="AA1998" s="32" t="n">
        <x:f>AA1997+X1998-U1998-AA1997*V1998/AB1997</x:f>
        <x:v>11386.956063258198</x:v>
      </x:c>
      <x:c r="AB1998" s="10" t="n">
        <x:f>Y1998+Z1998+AA1998</x:f>
        <x:v>45047.59802873172</x:v>
      </x:c>
      <x:c r="AC1998" s="8" t="n">
        <x:f>IF(AND(v01_WinterTrigger=1,D1998=1,AB1997/AE1997&gt;=K1998),1,0)</x:f>
        <x:v>0</x:v>
      </x:c>
      <x:c r="AD1998" s="8" t="n">
        <x:f>H1998*IF(AND(OR(AB1997/AE1997&gt;=v01_FissionTrigger*N1998,AC1998=1),AB1997/AE1997*v01_DaughterShare&gt;=v01_MinDaughter),MAX(1,ROUND(AE1997*v01_FissionRate,0)),0)</x:f>
        <x:v>0</x:v>
      </x:c>
      <x:c r="AE1998" s="8" t="n">
        <x:f>IF(H1998=1,MAX(1,MIN(INDEX(v01_Smax,G1998),AE1997+AD1998)),AE1997)</x:f>
        <x:v>15</x:v>
      </x:c>
      <x:c r="AF1998" s="8" t="n">
        <x:f>MAX(0,AE1998-AE1997)</x:f>
        <x:v>0</x:v>
      </x:c>
      <x:c r="AG1998" s="9" t="str">
        <x:f>IF(AF1998&gt;0,B1998,"")</x:f>
      </x:c>
      <x:c r="AH1998" s="9" t="n">
        <x:f>IF(F1998&gt;=1,1,(1+v01_LowTiesShare*(AE1998-1))/AE1998)</x:f>
        <x:v>1</x:v>
      </x:c>
      <x:c r="AI1998" s="32" t="n">
        <x:f>(Z1998+v01_ElderCommons*INDEX(LM_Elder,G1998)*AA1998)*AH1998</x:f>
        <x:v>64139.732591141874</x:v>
      </x:c>
      <x:c r="AJ1998" s="32" t="n">
        <x:f>H1998*v01_CommonsCoef*AI1998^v01_CommonsExp*INDEX(LM_Commons,G1998)</x:f>
        <x:v>0</x:v>
      </x:c>
      <x:c r="AK1998" s="32" t="n">
        <x:f>H1998*v01_RoleScale*Arch_Roles*(AE1998*(INDEX(v01_ElderRolePerSett,G1998)*v01_OutElder*INDEX(LM_Elder,G1998)+INDEX(v01_ShamanPerSett,G1998)*v01_OutShaman)+Z1998*(INDEX(v01_PriestShare,G1998)*v01_OutPriest+INDEX(v01_ScribeShare,G1998)*v01_OutScribe*INDEX(LM_Scribe,G1998)+INDEX(v01_ScholarShare,G1998)*v01_OutScholar*INDEX(LM_Scholar,G1998)+INDEX(v01_ResearcherShare,G1998)*v01_OutResearcher*INDEX(LM_Researcher,G1998)))</x:f>
        <x:v>0</x:v>
      </x:c>
      <x:c r="AL1998" s="32" t="n">
        <x:f>H1998*v01_RoleScale*Arch_Roles*AE1998*INDEX(v01_MonasteryPerSett,G1998)*v01_OutMonastery*INDEX(LM_Monastery,G1998)</x:f>
        <x:v>0</x:v>
      </x:c>
      <x:c r="AM1998" s="32" t="n">
        <x:f>(AJ1998+AK1998+AL1998)/4*INDEX(LM_All,G1998)*INDEX(v01_Boon,G1998)*Arch_Insight</x:f>
        <x:v>0</x:v>
      </x:c>
      <x:c r="AN1998" s="32" t="n">
        <x:f>H1998*(v01_KHPerAdult*Z1998+v01_KHOfCommons*AJ1998/4*INDEX(LM_All,G1998))*v01_KHUsable*Arch_KH</x:f>
        <x:v>0</x:v>
      </x:c>
      <x:c r="AO1998" s="32" t="n">
        <x:f>MIN(AP1997+AN1998,AM1998*v01_KHMaxRatio)</x:f>
        <x:v>0</x:v>
      </x:c>
      <x:c r="AP1998" s="32" t="n">
        <x:f>AP1997+AN1998-AO1998</x:f>
        <x:v>0</x:v>
      </x:c>
      <x:c r="AQ1998" s="32" t="n">
        <x:f>AM1998+AO1998</x:f>
        <x:v>0</x:v>
      </x:c>
      <x:c r="AR1998" s="10" t="n">
        <x:f>IF(H1998=1,INDEX(v01_Req,G1998),0)</x:f>
        <x:v>0</x:v>
      </x:c>
      <x:c r="AS1998" s="32" t="n">
        <x:f>IF(H1998=1,IF(E1998=1,AS1997-AR1997,AS1997)+AQ1998,0)</x:f>
        <x:v>0</x:v>
      </x:c>
      <x:c r="AT1998" s="11" t="n">
        <x:f>IF(AR1998&gt;0,MIN(1,AS1998/AR1998),1)</x:f>
        <x:v>1</x:v>
      </x:c>
      <x:c r="AU1998" s="10" t="n">
        <x:f>AB1998/INDEX(v01_RepScale,G1998)</x:f>
        <x:v>90.09519605746344</x:v>
      </x:c>
      <x:c r="AV1998" s="32" t="n">
        <x:f>AM1998*60/v01_SeasonSeconds</x:f>
        <x:v>0</x:v>
      </x:c>
    </x:row>
    <x:row r="1999">
      <x:c r="A1999" s="8" t="n">
        <x:f>A1998+1</x:f>
        <x:v>1996</x:v>
      </x:c>
      <x:c r="B1999" s="9" t="n">
        <x:f>A1999*v01_SeasonSeconds/60</x:f>
        <x:v>499</x:v>
      </x:c>
      <x:c r="C1999" s="9" t="n">
        <x:f>A1999/4</x:f>
        <x:v>499</x:v>
      </x:c>
      <x:c r="D1999" s="8" t="n">
        <x:f>IF(MOD(A1999,4)=0,1,0)</x:f>
        <x:v>1</x:v>
      </x:c>
      <x:c r="E1999" s="8" t="n">
        <x:f>IF(AND(F1998&lt;=9,AS1998&gt;=AR1998),1,0)</x:f>
        <x:v>0</x:v>
      </x:c>
      <x:c r="F1999" s="8" t="n">
        <x:f>MIN(10,F1998+E1999)</x:f>
        <x:v>10</x:v>
      </x:c>
      <x:c r="G1999" s="8" t="n">
        <x:f>MIN(F1999,9)+1</x:f>
        <x:v>10</x:v>
      </x:c>
      <x:c r="H1999" s="8" t="n">
        <x:f>IF(F1999&lt;=9,1,0)</x:f>
        <x:v>0</x:v>
      </x:c>
      <x:c r="I1999" s="9" t="n">
        <x:f>MIN(10,F1998+IF(AR1998&gt;0,MIN(1,AS1998/AR1998),1))</x:f>
        <x:v>10</x:v>
      </x:c>
      <x:c r="J1999" s="32" t="n">
        <x:f>INDEX(v01_FoodCap,G1999)*Arch_FoodCap*EXP(v01_CapsByProject*SUMPRODUCT((Cap_Point&lt;=I1999)*(Cap_Kind="Food")*Cap_Ln))</x:f>
        <x:v>12000</x:v>
      </x:c>
      <x:c r="K1999" s="32" t="n">
        <x:f>J1999*MIN(1,v01_LeanBase*EXP(v01_CapsByProject*SUMPRODUCT((Cap_Point&lt;=I1999)*(Cap_Kind="Lean")*Cap_Ln)))</x:f>
        <x:v>12000</x:v>
      </x:c>
      <x:c r="L1999" s="10" t="n">
        <x:f>INDEX(v01_HousingCap,G1999)*EXP(v01_CapsByProject*SUMPRODUCT((Cap_Point&lt;=I1999)*(Cap_Kind="Housing")*Cap_Ln))</x:f>
        <x:v>20000</x:v>
      </x:c>
      <x:c r="M1999" s="10" t="n">
        <x:f>INDEX(v01_GroupCap,G1999)*v01_CohesionFactor*EXP(v01_CapsByProject*SUMPRODUCT((Cap_Point&lt;=I1999)*(Cap_Kind="Group")*Cap_Ln))</x:f>
        <x:v>1000000</x:v>
      </x:c>
      <x:c r="N1999" s="32" t="n">
        <x:f>MIN(J1999,L1999,M1999)</x:f>
        <x:v>12000</x:v>
      </x:c>
      <x:c r="O1999" s="10" t="n">
        <x:f>AE1998*N1999</x:f>
        <x:v>180000</x:v>
      </x:c>
      <x:c r="P1999" s="9" t="n">
        <x:f>MIN(1,(AB1998/(AE1998*IF(v01_GroupInCrowding=1,N1999,MIN(J1999,L1999))))^v01_CrowdingExp)</x:f>
        <x:v>0.00024569414295285325</x:v>
      </x:c>
      <x:c r="Q1999" s="9" t="n">
        <x:f>IF(D1999=1,INDEX(v01_WinterMult,G1999),1)</x:f>
        <x:v>1</x:v>
      </x:c>
      <x:c r="R1999" s="9" t="n">
        <x:f>H1999*Z1998*v01_WomenShare*v01_BaseFertility*INDEX(v01_FertMult,G1999)*Arch_Fertility*(1-P1999)</x:f>
        <x:v>0</x:v>
      </x:c>
      <x:c r="S1999" s="9" t="n">
        <x:f>H1999*Y1998*INDEX(v01_MortChild,G1999)/4*Q1999</x:f>
        <x:v>0</x:v>
      </x:c>
      <x:c r="T1999" s="9" t="n">
        <x:f>H1999*Z1998*INDEX(v01_MortAdult,G1999)*Arch_AdultMort/4*Q1999</x:f>
        <x:v>0</x:v>
      </x:c>
      <x:c r="U1999" s="9" t="n">
        <x:f>H1999*AA1998*INDEX(v01_MortElder,G1999)/4*Q1999</x:f>
        <x:v>0</x:v>
      </x:c>
      <x:c r="V1999" s="9" t="n">
        <x:f>H1999*MAX(0,AB1998-O1999)*v01_OvercapLoss</x:f>
        <x:v>0</x:v>
      </x:c>
      <x:c r="W1999" s="9" t="n">
        <x:f>H1999*Y1998/(v01_ChildYears*4)</x:f>
        <x:v>0</x:v>
      </x:c>
      <x:c r="X1999" s="9" t="n">
        <x:f>H1999*Z1998/(v01_AdultYears*4)</x:f>
        <x:v>0</x:v>
      </x:c>
      <x:c r="Y1999" s="32" t="n">
        <x:f>Y1998+R1999-S1999-W1999-Y1998*V1999/AB1998</x:f>
        <x:v>14306.18539759397</x:v>
      </x:c>
      <x:c r="Z1999" s="32" t="n">
        <x:f>Z1998+W1999-X1999-T1999-Z1998*V1999/AB1998</x:f>
        <x:v>19354.456567879548</x:v>
      </x:c>
      <x:c r="AA1999" s="32" t="n">
        <x:f>AA1998+X1999-U1999-AA1998*V1999/AB1998</x:f>
        <x:v>11386.956063258198</x:v>
      </x:c>
      <x:c r="AB1999" s="10" t="n">
        <x:f>Y1999+Z1999+AA1999</x:f>
        <x:v>45047.59802873172</x:v>
      </x:c>
      <x:c r="AC1999" s="8" t="n">
        <x:f>IF(AND(v01_WinterTrigger=1,D1999=1,AB1998/AE1998&gt;=K1999),1,0)</x:f>
        <x:v>0</x:v>
      </x:c>
      <x:c r="AD1999" s="8" t="n">
        <x:f>H1999*IF(AND(OR(AB1998/AE1998&gt;=v01_FissionTrigger*N1999,AC1999=1),AB1998/AE1998*v01_DaughterShare&gt;=v01_MinDaughter),MAX(1,ROUND(AE1998*v01_FissionRate,0)),0)</x:f>
        <x:v>0</x:v>
      </x:c>
      <x:c r="AE1999" s="8" t="n">
        <x:f>IF(H1999=1,MAX(1,MIN(INDEX(v01_Smax,G1999),AE1998+AD1999)),AE1998)</x:f>
        <x:v>15</x:v>
      </x:c>
      <x:c r="AF1999" s="8" t="n">
        <x:f>MAX(0,AE1999-AE1998)</x:f>
        <x:v>0</x:v>
      </x:c>
      <x:c r="AG1999" s="9" t="str">
        <x:f>IF(AF1999&gt;0,B1999,"")</x:f>
      </x:c>
      <x:c r="AH1999" s="9" t="n">
        <x:f>IF(F1999&gt;=1,1,(1+v01_LowTiesShare*(AE1999-1))/AE1999)</x:f>
        <x:v>1</x:v>
      </x:c>
      <x:c r="AI1999" s="32" t="n">
        <x:f>(Z1999+v01_ElderCommons*INDEX(LM_Elder,G1999)*AA1999)*AH1999</x:f>
        <x:v>64139.732591141874</x:v>
      </x:c>
      <x:c r="AJ1999" s="32" t="n">
        <x:f>H1999*v01_CommonsCoef*AI1999^v01_CommonsExp*INDEX(LM_Commons,G1999)</x:f>
        <x:v>0</x:v>
      </x:c>
      <x:c r="AK1999" s="32" t="n">
        <x:f>H1999*v01_RoleScale*Arch_Roles*(AE1999*(INDEX(v01_ElderRolePerSett,G1999)*v01_OutElder*INDEX(LM_Elder,G1999)+INDEX(v01_ShamanPerSett,G1999)*v01_OutShaman)+Z1999*(INDEX(v01_PriestShare,G1999)*v01_OutPriest+INDEX(v01_ScribeShare,G1999)*v01_OutScribe*INDEX(LM_Scribe,G1999)+INDEX(v01_ScholarShare,G1999)*v01_OutScholar*INDEX(LM_Scholar,G1999)+INDEX(v01_ResearcherShare,G1999)*v01_OutResearcher*INDEX(LM_Researcher,G1999)))</x:f>
        <x:v>0</x:v>
      </x:c>
      <x:c r="AL1999" s="32" t="n">
        <x:f>H1999*v01_RoleScale*Arch_Roles*AE1999*INDEX(v01_MonasteryPerSett,G1999)*v01_OutMonastery*INDEX(LM_Monastery,G1999)</x:f>
        <x:v>0</x:v>
      </x:c>
      <x:c r="AM1999" s="32" t="n">
        <x:f>(AJ1999+AK1999+AL1999)/4*INDEX(LM_All,G1999)*INDEX(v01_Boon,G1999)*Arch_Insight</x:f>
        <x:v>0</x:v>
      </x:c>
      <x:c r="AN1999" s="32" t="n">
        <x:f>H1999*(v01_KHPerAdult*Z1999+v01_KHOfCommons*AJ1999/4*INDEX(LM_All,G1999))*v01_KHUsable*Arch_KH</x:f>
        <x:v>0</x:v>
      </x:c>
      <x:c r="AO1999" s="32" t="n">
        <x:f>MIN(AP1998+AN1999,AM1999*v01_KHMaxRatio)</x:f>
        <x:v>0</x:v>
      </x:c>
      <x:c r="AP1999" s="32" t="n">
        <x:f>AP1998+AN1999-AO1999</x:f>
        <x:v>0</x:v>
      </x:c>
      <x:c r="AQ1999" s="32" t="n">
        <x:f>AM1999+AO1999</x:f>
        <x:v>0</x:v>
      </x:c>
      <x:c r="AR1999" s="10" t="n">
        <x:f>IF(H1999=1,INDEX(v01_Req,G1999),0)</x:f>
        <x:v>0</x:v>
      </x:c>
      <x:c r="AS1999" s="32" t="n">
        <x:f>IF(H1999=1,IF(E1999=1,AS1998-AR1998,AS1998)+AQ1999,0)</x:f>
        <x:v>0</x:v>
      </x:c>
      <x:c r="AT1999" s="11" t="n">
        <x:f>IF(AR1999&gt;0,MIN(1,AS1999/AR1999),1)</x:f>
        <x:v>1</x:v>
      </x:c>
      <x:c r="AU1999" s="10" t="n">
        <x:f>AB1999/INDEX(v01_RepScale,G1999)</x:f>
        <x:v>90.09519605746344</x:v>
      </x:c>
      <x:c r="AV1999" s="32" t="n">
        <x:f>AM1999*60/v01_SeasonSeconds</x:f>
        <x:v>0</x:v>
      </x:c>
    </x:row>
    <x:row r="2000">
      <x:c r="A2000" s="8" t="n">
        <x:f>A1999+1</x:f>
        <x:v>1997</x:v>
      </x:c>
      <x:c r="B2000" s="9" t="n">
        <x:f>A2000*v01_SeasonSeconds/60</x:f>
        <x:v>499.25</x:v>
      </x:c>
      <x:c r="C2000" s="9" t="n">
        <x:f>A2000/4</x:f>
        <x:v>499.25</x:v>
      </x:c>
      <x:c r="D2000" s="8" t="n">
        <x:f>IF(MOD(A2000,4)=0,1,0)</x:f>
        <x:v>0</x:v>
      </x:c>
      <x:c r="E2000" s="8" t="n">
        <x:f>IF(AND(F1999&lt;=9,AS1999&gt;=AR1999),1,0)</x:f>
        <x:v>0</x:v>
      </x:c>
      <x:c r="F2000" s="8" t="n">
        <x:f>MIN(10,F1999+E2000)</x:f>
        <x:v>10</x:v>
      </x:c>
      <x:c r="G2000" s="8" t="n">
        <x:f>MIN(F2000,9)+1</x:f>
        <x:v>10</x:v>
      </x:c>
      <x:c r="H2000" s="8" t="n">
        <x:f>IF(F2000&lt;=9,1,0)</x:f>
        <x:v>0</x:v>
      </x:c>
      <x:c r="I2000" s="9" t="n">
        <x:f>MIN(10,F1999+IF(AR1999&gt;0,MIN(1,AS1999/AR1999),1))</x:f>
        <x:v>10</x:v>
      </x:c>
      <x:c r="J2000" s="32" t="n">
        <x:f>INDEX(v01_FoodCap,G2000)*Arch_FoodCap*EXP(v01_CapsByProject*SUMPRODUCT((Cap_Point&lt;=I2000)*(Cap_Kind="Food")*Cap_Ln))</x:f>
        <x:v>12000</x:v>
      </x:c>
      <x:c r="K2000" s="32" t="n">
        <x:f>J2000*MIN(1,v01_LeanBase*EXP(v01_CapsByProject*SUMPRODUCT((Cap_Point&lt;=I2000)*(Cap_Kind="Lean")*Cap_Ln)))</x:f>
        <x:v>12000</x:v>
      </x:c>
      <x:c r="L2000" s="10" t="n">
        <x:f>INDEX(v01_HousingCap,G2000)*EXP(v01_CapsByProject*SUMPRODUCT((Cap_Point&lt;=I2000)*(Cap_Kind="Housing")*Cap_Ln))</x:f>
        <x:v>20000</x:v>
      </x:c>
      <x:c r="M2000" s="10" t="n">
        <x:f>INDEX(v01_GroupCap,G2000)*v01_CohesionFactor*EXP(v01_CapsByProject*SUMPRODUCT((Cap_Point&lt;=I2000)*(Cap_Kind="Group")*Cap_Ln))</x:f>
        <x:v>1000000</x:v>
      </x:c>
      <x:c r="N2000" s="32" t="n">
        <x:f>MIN(J2000,L2000,M2000)</x:f>
        <x:v>12000</x:v>
      </x:c>
      <x:c r="O2000" s="10" t="n">
        <x:f>AE1999*N2000</x:f>
        <x:v>180000</x:v>
      </x:c>
      <x:c r="P2000" s="9" t="n">
        <x:f>MIN(1,(AB1999/(AE1999*IF(v01_GroupInCrowding=1,N2000,MIN(J2000,L2000))))^v01_CrowdingExp)</x:f>
        <x:v>0.00024569414295285325</x:v>
      </x:c>
      <x:c r="Q2000" s="9" t="n">
        <x:f>IF(D2000=1,INDEX(v01_WinterMult,G2000),1)</x:f>
        <x:v>1</x:v>
      </x:c>
      <x:c r="R2000" s="9" t="n">
        <x:f>H2000*Z1999*v01_WomenShare*v01_BaseFertility*INDEX(v01_FertMult,G2000)*Arch_Fertility*(1-P2000)</x:f>
        <x:v>0</x:v>
      </x:c>
      <x:c r="S2000" s="9" t="n">
        <x:f>H2000*Y1999*INDEX(v01_MortChild,G2000)/4*Q2000</x:f>
        <x:v>0</x:v>
      </x:c>
      <x:c r="T2000" s="9" t="n">
        <x:f>H2000*Z1999*INDEX(v01_MortAdult,G2000)*Arch_AdultMort/4*Q2000</x:f>
        <x:v>0</x:v>
      </x:c>
      <x:c r="U2000" s="9" t="n">
        <x:f>H2000*AA1999*INDEX(v01_MortElder,G2000)/4*Q2000</x:f>
        <x:v>0</x:v>
      </x:c>
      <x:c r="V2000" s="9" t="n">
        <x:f>H2000*MAX(0,AB1999-O2000)*v01_OvercapLoss</x:f>
        <x:v>0</x:v>
      </x:c>
      <x:c r="W2000" s="9" t="n">
        <x:f>H2000*Y1999/(v01_ChildYears*4)</x:f>
        <x:v>0</x:v>
      </x:c>
      <x:c r="X2000" s="9" t="n">
        <x:f>H2000*Z1999/(v01_AdultYears*4)</x:f>
        <x:v>0</x:v>
      </x:c>
      <x:c r="Y2000" s="32" t="n">
        <x:f>Y1999+R2000-S2000-W2000-Y1999*V2000/AB1999</x:f>
        <x:v>14306.18539759397</x:v>
      </x:c>
      <x:c r="Z2000" s="32" t="n">
        <x:f>Z1999+W2000-X2000-T2000-Z1999*V2000/AB1999</x:f>
        <x:v>19354.456567879548</x:v>
      </x:c>
      <x:c r="AA2000" s="32" t="n">
        <x:f>AA1999+X2000-U2000-AA1999*V2000/AB1999</x:f>
        <x:v>11386.956063258198</x:v>
      </x:c>
      <x:c r="AB2000" s="10" t="n">
        <x:f>Y2000+Z2000+AA2000</x:f>
        <x:v>45047.59802873172</x:v>
      </x:c>
      <x:c r="AC2000" s="8" t="n">
        <x:f>IF(AND(v01_WinterTrigger=1,D2000=1,AB1999/AE1999&gt;=K2000),1,0)</x:f>
        <x:v>0</x:v>
      </x:c>
      <x:c r="AD2000" s="8" t="n">
        <x:f>H2000*IF(AND(OR(AB1999/AE1999&gt;=v01_FissionTrigger*N2000,AC2000=1),AB1999/AE1999*v01_DaughterShare&gt;=v01_MinDaughter),MAX(1,ROUND(AE1999*v01_FissionRate,0)),0)</x:f>
        <x:v>0</x:v>
      </x:c>
      <x:c r="AE2000" s="8" t="n">
        <x:f>IF(H2000=1,MAX(1,MIN(INDEX(v01_Smax,G2000),AE1999+AD2000)),AE1999)</x:f>
        <x:v>15</x:v>
      </x:c>
      <x:c r="AF2000" s="8" t="n">
        <x:f>MAX(0,AE2000-AE1999)</x:f>
        <x:v>0</x:v>
      </x:c>
      <x:c r="AG2000" s="9" t="str">
        <x:f>IF(AF2000&gt;0,B2000,"")</x:f>
      </x:c>
      <x:c r="AH2000" s="9" t="n">
        <x:f>IF(F2000&gt;=1,1,(1+v01_LowTiesShare*(AE2000-1))/AE2000)</x:f>
        <x:v>1</x:v>
      </x:c>
      <x:c r="AI2000" s="32" t="n">
        <x:f>(Z2000+v01_ElderCommons*INDEX(LM_Elder,G2000)*AA2000)*AH2000</x:f>
        <x:v>64139.732591141874</x:v>
      </x:c>
      <x:c r="AJ2000" s="32" t="n">
        <x:f>H2000*v01_CommonsCoef*AI2000^v01_CommonsExp*INDEX(LM_Commons,G2000)</x:f>
        <x:v>0</x:v>
      </x:c>
      <x:c r="AK2000" s="32" t="n">
        <x:f>H2000*v01_RoleScale*Arch_Roles*(AE2000*(INDEX(v01_ElderRolePerSett,G2000)*v01_OutElder*INDEX(LM_Elder,G2000)+INDEX(v01_ShamanPerSett,G2000)*v01_OutShaman)+Z2000*(INDEX(v01_PriestShare,G2000)*v01_OutPriest+INDEX(v01_ScribeShare,G2000)*v01_OutScribe*INDEX(LM_Scribe,G2000)+INDEX(v01_ScholarShare,G2000)*v01_OutScholar*INDEX(LM_Scholar,G2000)+INDEX(v01_ResearcherShare,G2000)*v01_OutResearcher*INDEX(LM_Researcher,G2000)))</x:f>
        <x:v>0</x:v>
      </x:c>
      <x:c r="AL2000" s="32" t="n">
        <x:f>H2000*v01_RoleScale*Arch_Roles*AE2000*INDEX(v01_MonasteryPerSett,G2000)*v01_OutMonastery*INDEX(LM_Monastery,G2000)</x:f>
        <x:v>0</x:v>
      </x:c>
      <x:c r="AM2000" s="32" t="n">
        <x:f>(AJ2000+AK2000+AL2000)/4*INDEX(LM_All,G2000)*INDEX(v01_Boon,G2000)*Arch_Insight</x:f>
        <x:v>0</x:v>
      </x:c>
      <x:c r="AN2000" s="32" t="n">
        <x:f>H2000*(v01_KHPerAdult*Z2000+v01_KHOfCommons*AJ2000/4*INDEX(LM_All,G2000))*v01_KHUsable*Arch_KH</x:f>
        <x:v>0</x:v>
      </x:c>
      <x:c r="AO2000" s="32" t="n">
        <x:f>MIN(AP1999+AN2000,AM2000*v01_KHMaxRatio)</x:f>
        <x:v>0</x:v>
      </x:c>
      <x:c r="AP2000" s="32" t="n">
        <x:f>AP1999+AN2000-AO2000</x:f>
        <x:v>0</x:v>
      </x:c>
      <x:c r="AQ2000" s="32" t="n">
        <x:f>AM2000+AO2000</x:f>
        <x:v>0</x:v>
      </x:c>
      <x:c r="AR2000" s="10" t="n">
        <x:f>IF(H2000=1,INDEX(v01_Req,G2000),0)</x:f>
        <x:v>0</x:v>
      </x:c>
      <x:c r="AS2000" s="32" t="n">
        <x:f>IF(H2000=1,IF(E2000=1,AS1999-AR1999,AS1999)+AQ2000,0)</x:f>
        <x:v>0</x:v>
      </x:c>
      <x:c r="AT2000" s="11" t="n">
        <x:f>IF(AR2000&gt;0,MIN(1,AS2000/AR2000),1)</x:f>
        <x:v>1</x:v>
      </x:c>
      <x:c r="AU2000" s="10" t="n">
        <x:f>AB2000/INDEX(v01_RepScale,G2000)</x:f>
        <x:v>90.09519605746344</x:v>
      </x:c>
      <x:c r="AV2000" s="32" t="n">
        <x:f>AM2000*60/v01_SeasonSeconds</x:f>
        <x:v>0</x:v>
      </x:c>
    </x:row>
    <x:row r="2001">
      <x:c r="A2001" s="8" t="n">
        <x:f>A2000+1</x:f>
        <x:v>1998</x:v>
      </x:c>
      <x:c r="B2001" s="9" t="n">
        <x:f>A2001*v01_SeasonSeconds/60</x:f>
        <x:v>499.5</x:v>
      </x:c>
      <x:c r="C2001" s="9" t="n">
        <x:f>A2001/4</x:f>
        <x:v>499.5</x:v>
      </x:c>
      <x:c r="D2001" s="8" t="n">
        <x:f>IF(MOD(A2001,4)=0,1,0)</x:f>
        <x:v>0</x:v>
      </x:c>
      <x:c r="E2001" s="8" t="n">
        <x:f>IF(AND(F2000&lt;=9,AS2000&gt;=AR2000),1,0)</x:f>
        <x:v>0</x:v>
      </x:c>
      <x:c r="F2001" s="8" t="n">
        <x:f>MIN(10,F2000+E2001)</x:f>
        <x:v>10</x:v>
      </x:c>
      <x:c r="G2001" s="8" t="n">
        <x:f>MIN(F2001,9)+1</x:f>
        <x:v>10</x:v>
      </x:c>
      <x:c r="H2001" s="8" t="n">
        <x:f>IF(F2001&lt;=9,1,0)</x:f>
        <x:v>0</x:v>
      </x:c>
      <x:c r="I2001" s="9" t="n">
        <x:f>MIN(10,F2000+IF(AR2000&gt;0,MIN(1,AS2000/AR2000),1))</x:f>
        <x:v>10</x:v>
      </x:c>
      <x:c r="J2001" s="32" t="n">
        <x:f>INDEX(v01_FoodCap,G2001)*Arch_FoodCap*EXP(v01_CapsByProject*SUMPRODUCT((Cap_Point&lt;=I2001)*(Cap_Kind="Food")*Cap_Ln))</x:f>
        <x:v>12000</x:v>
      </x:c>
      <x:c r="K2001" s="32" t="n">
        <x:f>J2001*MIN(1,v01_LeanBase*EXP(v01_CapsByProject*SUMPRODUCT((Cap_Point&lt;=I2001)*(Cap_Kind="Lean")*Cap_Ln)))</x:f>
        <x:v>12000</x:v>
      </x:c>
      <x:c r="L2001" s="10" t="n">
        <x:f>INDEX(v01_HousingCap,G2001)*EXP(v01_CapsByProject*SUMPRODUCT((Cap_Point&lt;=I2001)*(Cap_Kind="Housing")*Cap_Ln))</x:f>
        <x:v>20000</x:v>
      </x:c>
      <x:c r="M2001" s="10" t="n">
        <x:f>INDEX(v01_GroupCap,G2001)*v01_CohesionFactor*EXP(v01_CapsByProject*SUMPRODUCT((Cap_Point&lt;=I2001)*(Cap_Kind="Group")*Cap_Ln))</x:f>
        <x:v>1000000</x:v>
      </x:c>
      <x:c r="N2001" s="32" t="n">
        <x:f>MIN(J2001,L2001,M2001)</x:f>
        <x:v>12000</x:v>
      </x:c>
      <x:c r="O2001" s="10" t="n">
        <x:f>AE2000*N2001</x:f>
        <x:v>180000</x:v>
      </x:c>
      <x:c r="P2001" s="9" t="n">
        <x:f>MIN(1,(AB2000/(AE2000*IF(v01_GroupInCrowding=1,N2001,MIN(J2001,L2001))))^v01_CrowdingExp)</x:f>
        <x:v>0.00024569414295285325</x:v>
      </x:c>
      <x:c r="Q2001" s="9" t="n">
        <x:f>IF(D2001=1,INDEX(v01_WinterMult,G2001),1)</x:f>
        <x:v>1</x:v>
      </x:c>
      <x:c r="R2001" s="9" t="n">
        <x:f>H2001*Z2000*v01_WomenShare*v01_BaseFertility*INDEX(v01_FertMult,G2001)*Arch_Fertility*(1-P2001)</x:f>
        <x:v>0</x:v>
      </x:c>
      <x:c r="S2001" s="9" t="n">
        <x:f>H2001*Y2000*INDEX(v01_MortChild,G2001)/4*Q2001</x:f>
        <x:v>0</x:v>
      </x:c>
      <x:c r="T2001" s="9" t="n">
        <x:f>H2001*Z2000*INDEX(v01_MortAdult,G2001)*Arch_AdultMort/4*Q2001</x:f>
        <x:v>0</x:v>
      </x:c>
      <x:c r="U2001" s="9" t="n">
        <x:f>H2001*AA2000*INDEX(v01_MortElder,G2001)/4*Q2001</x:f>
        <x:v>0</x:v>
      </x:c>
      <x:c r="V2001" s="9" t="n">
        <x:f>H2001*MAX(0,AB2000-O2001)*v01_OvercapLoss</x:f>
        <x:v>0</x:v>
      </x:c>
      <x:c r="W2001" s="9" t="n">
        <x:f>H2001*Y2000/(v01_ChildYears*4)</x:f>
        <x:v>0</x:v>
      </x:c>
      <x:c r="X2001" s="9" t="n">
        <x:f>H2001*Z2000/(v01_AdultYears*4)</x:f>
        <x:v>0</x:v>
      </x:c>
      <x:c r="Y2001" s="32" t="n">
        <x:f>Y2000+R2001-S2001-W2001-Y2000*V2001/AB2000</x:f>
        <x:v>14306.18539759397</x:v>
      </x:c>
      <x:c r="Z2001" s="32" t="n">
        <x:f>Z2000+W2001-X2001-T2001-Z2000*V2001/AB2000</x:f>
        <x:v>19354.456567879548</x:v>
      </x:c>
      <x:c r="AA2001" s="32" t="n">
        <x:f>AA2000+X2001-U2001-AA2000*V2001/AB2000</x:f>
        <x:v>11386.956063258198</x:v>
      </x:c>
      <x:c r="AB2001" s="10" t="n">
        <x:f>Y2001+Z2001+AA2001</x:f>
        <x:v>45047.59802873172</x:v>
      </x:c>
      <x:c r="AC2001" s="8" t="n">
        <x:f>IF(AND(v01_WinterTrigger=1,D2001=1,AB2000/AE2000&gt;=K2001),1,0)</x:f>
        <x:v>0</x:v>
      </x:c>
      <x:c r="AD2001" s="8" t="n">
        <x:f>H2001*IF(AND(OR(AB2000/AE2000&gt;=v01_FissionTrigger*N2001,AC2001=1),AB2000/AE2000*v01_DaughterShare&gt;=v01_MinDaughter),MAX(1,ROUND(AE2000*v01_FissionRate,0)),0)</x:f>
        <x:v>0</x:v>
      </x:c>
      <x:c r="AE2001" s="8" t="n">
        <x:f>IF(H2001=1,MAX(1,MIN(INDEX(v01_Smax,G2001),AE2000+AD2001)),AE2000)</x:f>
        <x:v>15</x:v>
      </x:c>
      <x:c r="AF2001" s="8" t="n">
        <x:f>MAX(0,AE2001-AE2000)</x:f>
        <x:v>0</x:v>
      </x:c>
      <x:c r="AG2001" s="9" t="str">
        <x:f>IF(AF2001&gt;0,B2001,"")</x:f>
      </x:c>
      <x:c r="AH2001" s="9" t="n">
        <x:f>IF(F2001&gt;=1,1,(1+v01_LowTiesShare*(AE2001-1))/AE2001)</x:f>
        <x:v>1</x:v>
      </x:c>
      <x:c r="AI2001" s="32" t="n">
        <x:f>(Z2001+v01_ElderCommons*INDEX(LM_Elder,G2001)*AA2001)*AH2001</x:f>
        <x:v>64139.732591141874</x:v>
      </x:c>
      <x:c r="AJ2001" s="32" t="n">
        <x:f>H2001*v01_CommonsCoef*AI2001^v01_CommonsExp*INDEX(LM_Commons,G2001)</x:f>
        <x:v>0</x:v>
      </x:c>
      <x:c r="AK2001" s="32" t="n">
        <x:f>H2001*v01_RoleScale*Arch_Roles*(AE2001*(INDEX(v01_ElderRolePerSett,G2001)*v01_OutElder*INDEX(LM_Elder,G2001)+INDEX(v01_ShamanPerSett,G2001)*v01_OutShaman)+Z2001*(INDEX(v01_PriestShare,G2001)*v01_OutPriest+INDEX(v01_ScribeShare,G2001)*v01_OutScribe*INDEX(LM_Scribe,G2001)+INDEX(v01_ScholarShare,G2001)*v01_OutScholar*INDEX(LM_Scholar,G2001)+INDEX(v01_ResearcherShare,G2001)*v01_OutResearcher*INDEX(LM_Researcher,G2001)))</x:f>
        <x:v>0</x:v>
      </x:c>
      <x:c r="AL2001" s="32" t="n">
        <x:f>H2001*v01_RoleScale*Arch_Roles*AE2001*INDEX(v01_MonasteryPerSett,G2001)*v01_OutMonastery*INDEX(LM_Monastery,G2001)</x:f>
        <x:v>0</x:v>
      </x:c>
      <x:c r="AM2001" s="32" t="n">
        <x:f>(AJ2001+AK2001+AL2001)/4*INDEX(LM_All,G2001)*INDEX(v01_Boon,G2001)*Arch_Insight</x:f>
        <x:v>0</x:v>
      </x:c>
      <x:c r="AN2001" s="32" t="n">
        <x:f>H2001*(v01_KHPerAdult*Z2001+v01_KHOfCommons*AJ2001/4*INDEX(LM_All,G2001))*v01_KHUsable*Arch_KH</x:f>
        <x:v>0</x:v>
      </x:c>
      <x:c r="AO2001" s="32" t="n">
        <x:f>MIN(AP2000+AN2001,AM2001*v01_KHMaxRatio)</x:f>
        <x:v>0</x:v>
      </x:c>
      <x:c r="AP2001" s="32" t="n">
        <x:f>AP2000+AN2001-AO2001</x:f>
        <x:v>0</x:v>
      </x:c>
      <x:c r="AQ2001" s="32" t="n">
        <x:f>AM2001+AO2001</x:f>
        <x:v>0</x:v>
      </x:c>
      <x:c r="AR2001" s="10" t="n">
        <x:f>IF(H2001=1,INDEX(v01_Req,G2001),0)</x:f>
        <x:v>0</x:v>
      </x:c>
      <x:c r="AS2001" s="32" t="n">
        <x:f>IF(H2001=1,IF(E2001=1,AS2000-AR2000,AS2000)+AQ2001,0)</x:f>
        <x:v>0</x:v>
      </x:c>
      <x:c r="AT2001" s="11" t="n">
        <x:f>IF(AR2001&gt;0,MIN(1,AS2001/AR2001),1)</x:f>
        <x:v>1</x:v>
      </x:c>
      <x:c r="AU2001" s="10" t="n">
        <x:f>AB2001/INDEX(v01_RepScale,G2001)</x:f>
        <x:v>90.09519605746344</x:v>
      </x:c>
      <x:c r="AV2001" s="32" t="n">
        <x:f>AM2001*60/v01_SeasonSeconds</x:f>
        <x:v>0</x:v>
      </x:c>
    </x:row>
    <x:row r="2002">
      <x:c r="A2002" s="8" t="n">
        <x:f>A2001+1</x:f>
        <x:v>1999</x:v>
      </x:c>
      <x:c r="B2002" s="9" t="n">
        <x:f>A2002*v01_SeasonSeconds/60</x:f>
        <x:v>499.75</x:v>
      </x:c>
      <x:c r="C2002" s="9" t="n">
        <x:f>A2002/4</x:f>
        <x:v>499.75</x:v>
      </x:c>
      <x:c r="D2002" s="8" t="n">
        <x:f>IF(MOD(A2002,4)=0,1,0)</x:f>
        <x:v>0</x:v>
      </x:c>
      <x:c r="E2002" s="8" t="n">
        <x:f>IF(AND(F2001&lt;=9,AS2001&gt;=AR2001),1,0)</x:f>
        <x:v>0</x:v>
      </x:c>
      <x:c r="F2002" s="8" t="n">
        <x:f>MIN(10,F2001+E2002)</x:f>
        <x:v>10</x:v>
      </x:c>
      <x:c r="G2002" s="8" t="n">
        <x:f>MIN(F2002,9)+1</x:f>
        <x:v>10</x:v>
      </x:c>
      <x:c r="H2002" s="8" t="n">
        <x:f>IF(F2002&lt;=9,1,0)</x:f>
        <x:v>0</x:v>
      </x:c>
      <x:c r="I2002" s="9" t="n">
        <x:f>MIN(10,F2001+IF(AR2001&gt;0,MIN(1,AS2001/AR2001),1))</x:f>
        <x:v>10</x:v>
      </x:c>
      <x:c r="J2002" s="32" t="n">
        <x:f>INDEX(v01_FoodCap,G2002)*Arch_FoodCap*EXP(v01_CapsByProject*SUMPRODUCT((Cap_Point&lt;=I2002)*(Cap_Kind="Food")*Cap_Ln))</x:f>
        <x:v>12000</x:v>
      </x:c>
      <x:c r="K2002" s="32" t="n">
        <x:f>J2002*MIN(1,v01_LeanBase*EXP(v01_CapsByProject*SUMPRODUCT((Cap_Point&lt;=I2002)*(Cap_Kind="Lean")*Cap_Ln)))</x:f>
        <x:v>12000</x:v>
      </x:c>
      <x:c r="L2002" s="10" t="n">
        <x:f>INDEX(v01_HousingCap,G2002)*EXP(v01_CapsByProject*SUMPRODUCT((Cap_Point&lt;=I2002)*(Cap_Kind="Housing")*Cap_Ln))</x:f>
        <x:v>20000</x:v>
      </x:c>
      <x:c r="M2002" s="10" t="n">
        <x:f>INDEX(v01_GroupCap,G2002)*v01_CohesionFactor*EXP(v01_CapsByProject*SUMPRODUCT((Cap_Point&lt;=I2002)*(Cap_Kind="Group")*Cap_Ln))</x:f>
        <x:v>1000000</x:v>
      </x:c>
      <x:c r="N2002" s="32" t="n">
        <x:f>MIN(J2002,L2002,M2002)</x:f>
        <x:v>12000</x:v>
      </x:c>
      <x:c r="O2002" s="10" t="n">
        <x:f>AE2001*N2002</x:f>
        <x:v>180000</x:v>
      </x:c>
      <x:c r="P2002" s="9" t="n">
        <x:f>MIN(1,(AB2001/(AE2001*IF(v01_GroupInCrowding=1,N2002,MIN(J2002,L2002))))^v01_CrowdingExp)</x:f>
        <x:v>0.00024569414295285325</x:v>
      </x:c>
      <x:c r="Q2002" s="9" t="n">
        <x:f>IF(D2002=1,INDEX(v01_WinterMult,G2002),1)</x:f>
        <x:v>1</x:v>
      </x:c>
      <x:c r="R2002" s="9" t="n">
        <x:f>H2002*Z2001*v01_WomenShare*v01_BaseFertility*INDEX(v01_FertMult,G2002)*Arch_Fertility*(1-P2002)</x:f>
        <x:v>0</x:v>
      </x:c>
      <x:c r="S2002" s="9" t="n">
        <x:f>H2002*Y2001*INDEX(v01_MortChild,G2002)/4*Q2002</x:f>
        <x:v>0</x:v>
      </x:c>
      <x:c r="T2002" s="9" t="n">
        <x:f>H2002*Z2001*INDEX(v01_MortAdult,G2002)*Arch_AdultMort/4*Q2002</x:f>
        <x:v>0</x:v>
      </x:c>
      <x:c r="U2002" s="9" t="n">
        <x:f>H2002*AA2001*INDEX(v01_MortElder,G2002)/4*Q2002</x:f>
        <x:v>0</x:v>
      </x:c>
      <x:c r="V2002" s="9" t="n">
        <x:f>H2002*MAX(0,AB2001-O2002)*v01_OvercapLoss</x:f>
        <x:v>0</x:v>
      </x:c>
      <x:c r="W2002" s="9" t="n">
        <x:f>H2002*Y2001/(v01_ChildYears*4)</x:f>
        <x:v>0</x:v>
      </x:c>
      <x:c r="X2002" s="9" t="n">
        <x:f>H2002*Z2001/(v01_AdultYears*4)</x:f>
        <x:v>0</x:v>
      </x:c>
      <x:c r="Y2002" s="32" t="n">
        <x:f>Y2001+R2002-S2002-W2002-Y2001*V2002/AB2001</x:f>
        <x:v>14306.18539759397</x:v>
      </x:c>
      <x:c r="Z2002" s="32" t="n">
        <x:f>Z2001+W2002-X2002-T2002-Z2001*V2002/AB2001</x:f>
        <x:v>19354.456567879548</x:v>
      </x:c>
      <x:c r="AA2002" s="32" t="n">
        <x:f>AA2001+X2002-U2002-AA2001*V2002/AB2001</x:f>
        <x:v>11386.956063258198</x:v>
      </x:c>
      <x:c r="AB2002" s="10" t="n">
        <x:f>Y2002+Z2002+AA2002</x:f>
        <x:v>45047.59802873172</x:v>
      </x:c>
      <x:c r="AC2002" s="8" t="n">
        <x:f>IF(AND(v01_WinterTrigger=1,D2002=1,AB2001/AE2001&gt;=K2002),1,0)</x:f>
        <x:v>0</x:v>
      </x:c>
      <x:c r="AD2002" s="8" t="n">
        <x:f>H2002*IF(AND(OR(AB2001/AE2001&gt;=v01_FissionTrigger*N2002,AC2002=1),AB2001/AE2001*v01_DaughterShare&gt;=v01_MinDaughter),MAX(1,ROUND(AE2001*v01_FissionRate,0)),0)</x:f>
        <x:v>0</x:v>
      </x:c>
      <x:c r="AE2002" s="8" t="n">
        <x:f>IF(H2002=1,MAX(1,MIN(INDEX(v01_Smax,G2002),AE2001+AD2002)),AE2001)</x:f>
        <x:v>15</x:v>
      </x:c>
      <x:c r="AF2002" s="8" t="n">
        <x:f>MAX(0,AE2002-AE2001)</x:f>
        <x:v>0</x:v>
      </x:c>
      <x:c r="AG2002" s="9" t="str">
        <x:f>IF(AF2002&gt;0,B2002,"")</x:f>
      </x:c>
      <x:c r="AH2002" s="9" t="n">
        <x:f>IF(F2002&gt;=1,1,(1+v01_LowTiesShare*(AE2002-1))/AE2002)</x:f>
        <x:v>1</x:v>
      </x:c>
      <x:c r="AI2002" s="32" t="n">
        <x:f>(Z2002+v01_ElderCommons*INDEX(LM_Elder,G2002)*AA2002)*AH2002</x:f>
        <x:v>64139.732591141874</x:v>
      </x:c>
      <x:c r="AJ2002" s="32" t="n">
        <x:f>H2002*v01_CommonsCoef*AI2002^v01_CommonsExp*INDEX(LM_Commons,G2002)</x:f>
        <x:v>0</x:v>
      </x:c>
      <x:c r="AK2002" s="32" t="n">
        <x:f>H2002*v01_RoleScale*Arch_Roles*(AE2002*(INDEX(v01_ElderRolePerSett,G2002)*v01_OutElder*INDEX(LM_Elder,G2002)+INDEX(v01_ShamanPerSett,G2002)*v01_OutShaman)+Z2002*(INDEX(v01_PriestShare,G2002)*v01_OutPriest+INDEX(v01_ScribeShare,G2002)*v01_OutScribe*INDEX(LM_Scribe,G2002)+INDEX(v01_ScholarShare,G2002)*v01_OutScholar*INDEX(LM_Scholar,G2002)+INDEX(v01_ResearcherShare,G2002)*v01_OutResearcher*INDEX(LM_Researcher,G2002)))</x:f>
        <x:v>0</x:v>
      </x:c>
      <x:c r="AL2002" s="32" t="n">
        <x:f>H2002*v01_RoleScale*Arch_Roles*AE2002*INDEX(v01_MonasteryPerSett,G2002)*v01_OutMonastery*INDEX(LM_Monastery,G2002)</x:f>
        <x:v>0</x:v>
      </x:c>
      <x:c r="AM2002" s="32" t="n">
        <x:f>(AJ2002+AK2002+AL2002)/4*INDEX(LM_All,G2002)*INDEX(v01_Boon,G2002)*Arch_Insight</x:f>
        <x:v>0</x:v>
      </x:c>
      <x:c r="AN2002" s="32" t="n">
        <x:f>H2002*(v01_KHPerAdult*Z2002+v01_KHOfCommons*AJ2002/4*INDEX(LM_All,G2002))*v01_KHUsable*Arch_KH</x:f>
        <x:v>0</x:v>
      </x:c>
      <x:c r="AO2002" s="32" t="n">
        <x:f>MIN(AP2001+AN2002,AM2002*v01_KHMaxRatio)</x:f>
        <x:v>0</x:v>
      </x:c>
      <x:c r="AP2002" s="32" t="n">
        <x:f>AP2001+AN2002-AO2002</x:f>
        <x:v>0</x:v>
      </x:c>
      <x:c r="AQ2002" s="32" t="n">
        <x:f>AM2002+AO2002</x:f>
        <x:v>0</x:v>
      </x:c>
      <x:c r="AR2002" s="10" t="n">
        <x:f>IF(H2002=1,INDEX(v01_Req,G2002),0)</x:f>
        <x:v>0</x:v>
      </x:c>
      <x:c r="AS2002" s="32" t="n">
        <x:f>IF(H2002=1,IF(E2002=1,AS2001-AR2001,AS2001)+AQ2002,0)</x:f>
        <x:v>0</x:v>
      </x:c>
      <x:c r="AT2002" s="11" t="n">
        <x:f>IF(AR2002&gt;0,MIN(1,AS2002/AR2002),1)</x:f>
        <x:v>1</x:v>
      </x:c>
      <x:c r="AU2002" s="10" t="n">
        <x:f>AB2002/INDEX(v01_RepScale,G2002)</x:f>
        <x:v>90.09519605746344</x:v>
      </x:c>
      <x:c r="AV2002" s="32" t="n">
        <x:f>AM2002*60/v01_SeasonSeconds</x:f>
        <x:v>0</x:v>
      </x:c>
    </x:row>
    <x:row r="2003">
      <x:c r="A2003" s="8" t="n">
        <x:f>A2002+1</x:f>
        <x:v>2000</x:v>
      </x:c>
      <x:c r="B2003" s="9" t="n">
        <x:f>A2003*v01_SeasonSeconds/60</x:f>
        <x:v>500</x:v>
      </x:c>
      <x:c r="C2003" s="9" t="n">
        <x:f>A2003/4</x:f>
        <x:v>500</x:v>
      </x:c>
      <x:c r="D2003" s="8" t="n">
        <x:f>IF(MOD(A2003,4)=0,1,0)</x:f>
        <x:v>1</x:v>
      </x:c>
      <x:c r="E2003" s="8" t="n">
        <x:f>IF(AND(F2002&lt;=9,AS2002&gt;=AR2002),1,0)</x:f>
        <x:v>0</x:v>
      </x:c>
      <x:c r="F2003" s="8" t="n">
        <x:f>MIN(10,F2002+E2003)</x:f>
        <x:v>10</x:v>
      </x:c>
      <x:c r="G2003" s="8" t="n">
        <x:f>MIN(F2003,9)+1</x:f>
        <x:v>10</x:v>
      </x:c>
      <x:c r="H2003" s="8" t="n">
        <x:f>IF(F2003&lt;=9,1,0)</x:f>
        <x:v>0</x:v>
      </x:c>
      <x:c r="I2003" s="9" t="n">
        <x:f>MIN(10,F2002+IF(AR2002&gt;0,MIN(1,AS2002/AR2002),1))</x:f>
        <x:v>10</x:v>
      </x:c>
      <x:c r="J2003" s="32" t="n">
        <x:f>INDEX(v01_FoodCap,G2003)*Arch_FoodCap*EXP(v01_CapsByProject*SUMPRODUCT((Cap_Point&lt;=I2003)*(Cap_Kind="Food")*Cap_Ln))</x:f>
        <x:v>12000</x:v>
      </x:c>
      <x:c r="K2003" s="32" t="n">
        <x:f>J2003*MIN(1,v01_LeanBase*EXP(v01_CapsByProject*SUMPRODUCT((Cap_Point&lt;=I2003)*(Cap_Kind="Lean")*Cap_Ln)))</x:f>
        <x:v>12000</x:v>
      </x:c>
      <x:c r="L2003" s="10" t="n">
        <x:f>INDEX(v01_HousingCap,G2003)*EXP(v01_CapsByProject*SUMPRODUCT((Cap_Point&lt;=I2003)*(Cap_Kind="Housing")*Cap_Ln))</x:f>
        <x:v>20000</x:v>
      </x:c>
      <x:c r="M2003" s="10" t="n">
        <x:f>INDEX(v01_GroupCap,G2003)*v01_CohesionFactor*EXP(v01_CapsByProject*SUMPRODUCT((Cap_Point&lt;=I2003)*(Cap_Kind="Group")*Cap_Ln))</x:f>
        <x:v>1000000</x:v>
      </x:c>
      <x:c r="N2003" s="32" t="n">
        <x:f>MIN(J2003,L2003,M2003)</x:f>
        <x:v>12000</x:v>
      </x:c>
      <x:c r="O2003" s="10" t="n">
        <x:f>AE2002*N2003</x:f>
        <x:v>180000</x:v>
      </x:c>
      <x:c r="P2003" s="9" t="n">
        <x:f>MIN(1,(AB2002/(AE2002*IF(v01_GroupInCrowding=1,N2003,MIN(J2003,L2003))))^v01_CrowdingExp)</x:f>
        <x:v>0.00024569414295285325</x:v>
      </x:c>
      <x:c r="Q2003" s="9" t="n">
        <x:f>IF(D2003=1,INDEX(v01_WinterMult,G2003),1)</x:f>
        <x:v>1</x:v>
      </x:c>
      <x:c r="R2003" s="9" t="n">
        <x:f>H2003*Z2002*v01_WomenShare*v01_BaseFertility*INDEX(v01_FertMult,G2003)*Arch_Fertility*(1-P2003)</x:f>
        <x:v>0</x:v>
      </x:c>
      <x:c r="S2003" s="9" t="n">
        <x:f>H2003*Y2002*INDEX(v01_MortChild,G2003)/4*Q2003</x:f>
        <x:v>0</x:v>
      </x:c>
      <x:c r="T2003" s="9" t="n">
        <x:f>H2003*Z2002*INDEX(v01_MortAdult,G2003)*Arch_AdultMort/4*Q2003</x:f>
        <x:v>0</x:v>
      </x:c>
      <x:c r="U2003" s="9" t="n">
        <x:f>H2003*AA2002*INDEX(v01_MortElder,G2003)/4*Q2003</x:f>
        <x:v>0</x:v>
      </x:c>
      <x:c r="V2003" s="9" t="n">
        <x:f>H2003*MAX(0,AB2002-O2003)*v01_OvercapLoss</x:f>
        <x:v>0</x:v>
      </x:c>
      <x:c r="W2003" s="9" t="n">
        <x:f>H2003*Y2002/(v01_ChildYears*4)</x:f>
        <x:v>0</x:v>
      </x:c>
      <x:c r="X2003" s="9" t="n">
        <x:f>H2003*Z2002/(v01_AdultYears*4)</x:f>
        <x:v>0</x:v>
      </x:c>
      <x:c r="Y2003" s="32" t="n">
        <x:f>Y2002+R2003-S2003-W2003-Y2002*V2003/AB2002</x:f>
        <x:v>14306.18539759397</x:v>
      </x:c>
      <x:c r="Z2003" s="32" t="n">
        <x:f>Z2002+W2003-X2003-T2003-Z2002*V2003/AB2002</x:f>
        <x:v>19354.456567879548</x:v>
      </x:c>
      <x:c r="AA2003" s="32" t="n">
        <x:f>AA2002+X2003-U2003-AA2002*V2003/AB2002</x:f>
        <x:v>11386.956063258198</x:v>
      </x:c>
      <x:c r="AB2003" s="10" t="n">
        <x:f>Y2003+Z2003+AA2003</x:f>
        <x:v>45047.59802873172</x:v>
      </x:c>
      <x:c r="AC2003" s="8" t="n">
        <x:f>IF(AND(v01_WinterTrigger=1,D2003=1,AB2002/AE2002&gt;=K2003),1,0)</x:f>
        <x:v>0</x:v>
      </x:c>
      <x:c r="AD2003" s="8" t="n">
        <x:f>H2003*IF(AND(OR(AB2002/AE2002&gt;=v01_FissionTrigger*N2003,AC2003=1),AB2002/AE2002*v01_DaughterShare&gt;=v01_MinDaughter),MAX(1,ROUND(AE2002*v01_FissionRate,0)),0)</x:f>
        <x:v>0</x:v>
      </x:c>
      <x:c r="AE2003" s="8" t="n">
        <x:f>IF(H2003=1,MAX(1,MIN(INDEX(v01_Smax,G2003),AE2002+AD2003)),AE2002)</x:f>
        <x:v>15</x:v>
      </x:c>
      <x:c r="AF2003" s="8" t="n">
        <x:f>MAX(0,AE2003-AE2002)</x:f>
        <x:v>0</x:v>
      </x:c>
      <x:c r="AG2003" s="9" t="str">
        <x:f>IF(AF2003&gt;0,B2003,"")</x:f>
      </x:c>
      <x:c r="AH2003" s="9" t="n">
        <x:f>IF(F2003&gt;=1,1,(1+v01_LowTiesShare*(AE2003-1))/AE2003)</x:f>
        <x:v>1</x:v>
      </x:c>
      <x:c r="AI2003" s="32" t="n">
        <x:f>(Z2003+v01_ElderCommons*INDEX(LM_Elder,G2003)*AA2003)*AH2003</x:f>
        <x:v>64139.732591141874</x:v>
      </x:c>
      <x:c r="AJ2003" s="32" t="n">
        <x:f>H2003*v01_CommonsCoef*AI2003^v01_CommonsExp*INDEX(LM_Commons,G2003)</x:f>
        <x:v>0</x:v>
      </x:c>
      <x:c r="AK2003" s="32" t="n">
        <x:f>H2003*v01_RoleScale*Arch_Roles*(AE2003*(INDEX(v01_ElderRolePerSett,G2003)*v01_OutElder*INDEX(LM_Elder,G2003)+INDEX(v01_ShamanPerSett,G2003)*v01_OutShaman)+Z2003*(INDEX(v01_PriestShare,G2003)*v01_OutPriest+INDEX(v01_ScribeShare,G2003)*v01_OutScribe*INDEX(LM_Scribe,G2003)+INDEX(v01_ScholarShare,G2003)*v01_OutScholar*INDEX(LM_Scholar,G2003)+INDEX(v01_ResearcherShare,G2003)*v01_OutResearcher*INDEX(LM_Researcher,G2003)))</x:f>
        <x:v>0</x:v>
      </x:c>
      <x:c r="AL2003" s="32" t="n">
        <x:f>H2003*v01_RoleScale*Arch_Roles*AE2003*INDEX(v01_MonasteryPerSett,G2003)*v01_OutMonastery*INDEX(LM_Monastery,G2003)</x:f>
        <x:v>0</x:v>
      </x:c>
      <x:c r="AM2003" s="32" t="n">
        <x:f>(AJ2003+AK2003+AL2003)/4*INDEX(LM_All,G2003)*INDEX(v01_Boon,G2003)*Arch_Insight</x:f>
        <x:v>0</x:v>
      </x:c>
      <x:c r="AN2003" s="32" t="n">
        <x:f>H2003*(v01_KHPerAdult*Z2003+v01_KHOfCommons*AJ2003/4*INDEX(LM_All,G2003))*v01_KHUsable*Arch_KH</x:f>
        <x:v>0</x:v>
      </x:c>
      <x:c r="AO2003" s="32" t="n">
        <x:f>MIN(AP2002+AN2003,AM2003*v01_KHMaxRatio)</x:f>
        <x:v>0</x:v>
      </x:c>
      <x:c r="AP2003" s="32" t="n">
        <x:f>AP2002+AN2003-AO2003</x:f>
        <x:v>0</x:v>
      </x:c>
      <x:c r="AQ2003" s="32" t="n">
        <x:f>AM2003+AO2003</x:f>
        <x:v>0</x:v>
      </x:c>
      <x:c r="AR2003" s="10" t="n">
        <x:f>IF(H2003=1,INDEX(v01_Req,G2003),0)</x:f>
        <x:v>0</x:v>
      </x:c>
      <x:c r="AS2003" s="32" t="n">
        <x:f>IF(H2003=1,IF(E2003=1,AS2002-AR2002,AS2002)+AQ2003,0)</x:f>
        <x:v>0</x:v>
      </x:c>
      <x:c r="AT2003" s="11" t="n">
        <x:f>IF(AR2003&gt;0,MIN(1,AS2003/AR2003),1)</x:f>
        <x:v>1</x:v>
      </x:c>
      <x:c r="AU2003" s="10" t="n">
        <x:f>AB2003/INDEX(v01_RepScale,G2003)</x:f>
        <x:v>90.09519605746344</x:v>
      </x:c>
      <x:c r="AV2003" s="32" t="n">
        <x:f>AM2003*60/v01_SeasonSeconds</x:f>
        <x:v>0</x:v>
      </x:c>
    </x:row>
    <x:row r="2004">
      <x:c r="A2004" s="8" t="n">
        <x:f>A2003+1</x:f>
        <x:v>2001</x:v>
      </x:c>
      <x:c r="B2004" s="9" t="n">
        <x:f>A2004*v01_SeasonSeconds/60</x:f>
        <x:v>500.25</x:v>
      </x:c>
      <x:c r="C2004" s="9" t="n">
        <x:f>A2004/4</x:f>
        <x:v>500.25</x:v>
      </x:c>
      <x:c r="D2004" s="8" t="n">
        <x:f>IF(MOD(A2004,4)=0,1,0)</x:f>
        <x:v>0</x:v>
      </x:c>
      <x:c r="E2004" s="8" t="n">
        <x:f>IF(AND(F2003&lt;=9,AS2003&gt;=AR2003),1,0)</x:f>
        <x:v>0</x:v>
      </x:c>
      <x:c r="F2004" s="8" t="n">
        <x:f>MIN(10,F2003+E2004)</x:f>
        <x:v>10</x:v>
      </x:c>
      <x:c r="G2004" s="8" t="n">
        <x:f>MIN(F2004,9)+1</x:f>
        <x:v>10</x:v>
      </x:c>
      <x:c r="H2004" s="8" t="n">
        <x:f>IF(F2004&lt;=9,1,0)</x:f>
        <x:v>0</x:v>
      </x:c>
      <x:c r="I2004" s="9" t="n">
        <x:f>MIN(10,F2003+IF(AR2003&gt;0,MIN(1,AS2003/AR2003),1))</x:f>
        <x:v>10</x:v>
      </x:c>
      <x:c r="J2004" s="32" t="n">
        <x:f>INDEX(v01_FoodCap,G2004)*Arch_FoodCap*EXP(v01_CapsByProject*SUMPRODUCT((Cap_Point&lt;=I2004)*(Cap_Kind="Food")*Cap_Ln))</x:f>
        <x:v>12000</x:v>
      </x:c>
      <x:c r="K2004" s="32" t="n">
        <x:f>J2004*MIN(1,v01_LeanBase*EXP(v01_CapsByProject*SUMPRODUCT((Cap_Point&lt;=I2004)*(Cap_Kind="Lean")*Cap_Ln)))</x:f>
        <x:v>12000</x:v>
      </x:c>
      <x:c r="L2004" s="10" t="n">
        <x:f>INDEX(v01_HousingCap,G2004)*EXP(v01_CapsByProject*SUMPRODUCT((Cap_Point&lt;=I2004)*(Cap_Kind="Housing")*Cap_Ln))</x:f>
        <x:v>20000</x:v>
      </x:c>
      <x:c r="M2004" s="10" t="n">
        <x:f>INDEX(v01_GroupCap,G2004)*v01_CohesionFactor*EXP(v01_CapsByProject*SUMPRODUCT((Cap_Point&lt;=I2004)*(Cap_Kind="Group")*Cap_Ln))</x:f>
        <x:v>1000000</x:v>
      </x:c>
      <x:c r="N2004" s="32" t="n">
        <x:f>MIN(J2004,L2004,M2004)</x:f>
        <x:v>12000</x:v>
      </x:c>
      <x:c r="O2004" s="10" t="n">
        <x:f>AE2003*N2004</x:f>
        <x:v>180000</x:v>
      </x:c>
      <x:c r="P2004" s="9" t="n">
        <x:f>MIN(1,(AB2003/(AE2003*IF(v01_GroupInCrowding=1,N2004,MIN(J2004,L2004))))^v01_CrowdingExp)</x:f>
        <x:v>0.00024569414295285325</x:v>
      </x:c>
      <x:c r="Q2004" s="9" t="n">
        <x:f>IF(D2004=1,INDEX(v01_WinterMult,G2004),1)</x:f>
        <x:v>1</x:v>
      </x:c>
      <x:c r="R2004" s="9" t="n">
        <x:f>H2004*Z2003*v01_WomenShare*v01_BaseFertility*INDEX(v01_FertMult,G2004)*Arch_Fertility*(1-P2004)</x:f>
        <x:v>0</x:v>
      </x:c>
      <x:c r="S2004" s="9" t="n">
        <x:f>H2004*Y2003*INDEX(v01_MortChild,G2004)/4*Q2004</x:f>
        <x:v>0</x:v>
      </x:c>
      <x:c r="T2004" s="9" t="n">
        <x:f>H2004*Z2003*INDEX(v01_MortAdult,G2004)*Arch_AdultMort/4*Q2004</x:f>
        <x:v>0</x:v>
      </x:c>
      <x:c r="U2004" s="9" t="n">
        <x:f>H2004*AA2003*INDEX(v01_MortElder,G2004)/4*Q2004</x:f>
        <x:v>0</x:v>
      </x:c>
      <x:c r="V2004" s="9" t="n">
        <x:f>H2004*MAX(0,AB2003-O2004)*v01_OvercapLoss</x:f>
        <x:v>0</x:v>
      </x:c>
      <x:c r="W2004" s="9" t="n">
        <x:f>H2004*Y2003/(v01_ChildYears*4)</x:f>
        <x:v>0</x:v>
      </x:c>
      <x:c r="X2004" s="9" t="n">
        <x:f>H2004*Z2003/(v01_AdultYears*4)</x:f>
        <x:v>0</x:v>
      </x:c>
      <x:c r="Y2004" s="32" t="n">
        <x:f>Y2003+R2004-S2004-W2004-Y2003*V2004/AB2003</x:f>
        <x:v>14306.18539759397</x:v>
      </x:c>
      <x:c r="Z2004" s="32" t="n">
        <x:f>Z2003+W2004-X2004-T2004-Z2003*V2004/AB2003</x:f>
        <x:v>19354.456567879548</x:v>
      </x:c>
      <x:c r="AA2004" s="32" t="n">
        <x:f>AA2003+X2004-U2004-AA2003*V2004/AB2003</x:f>
        <x:v>11386.956063258198</x:v>
      </x:c>
      <x:c r="AB2004" s="10" t="n">
        <x:f>Y2004+Z2004+AA2004</x:f>
        <x:v>45047.59802873172</x:v>
      </x:c>
      <x:c r="AC2004" s="8" t="n">
        <x:f>IF(AND(v01_WinterTrigger=1,D2004=1,AB2003/AE2003&gt;=K2004),1,0)</x:f>
        <x:v>0</x:v>
      </x:c>
      <x:c r="AD2004" s="8" t="n">
        <x:f>H2004*IF(AND(OR(AB2003/AE2003&gt;=v01_FissionTrigger*N2004,AC2004=1),AB2003/AE2003*v01_DaughterShare&gt;=v01_MinDaughter),MAX(1,ROUND(AE2003*v01_FissionRate,0)),0)</x:f>
        <x:v>0</x:v>
      </x:c>
      <x:c r="AE2004" s="8" t="n">
        <x:f>IF(H2004=1,MAX(1,MIN(INDEX(v01_Smax,G2004),AE2003+AD2004)),AE2003)</x:f>
        <x:v>15</x:v>
      </x:c>
      <x:c r="AF2004" s="8" t="n">
        <x:f>MAX(0,AE2004-AE2003)</x:f>
        <x:v>0</x:v>
      </x:c>
      <x:c r="AG2004" s="9" t="str">
        <x:f>IF(AF2004&gt;0,B2004,"")</x:f>
      </x:c>
      <x:c r="AH2004" s="9" t="n">
        <x:f>IF(F2004&gt;=1,1,(1+v01_LowTiesShare*(AE2004-1))/AE2004)</x:f>
        <x:v>1</x:v>
      </x:c>
      <x:c r="AI2004" s="32" t="n">
        <x:f>(Z2004+v01_ElderCommons*INDEX(LM_Elder,G2004)*AA2004)*AH2004</x:f>
        <x:v>64139.732591141874</x:v>
      </x:c>
      <x:c r="AJ2004" s="32" t="n">
        <x:f>H2004*v01_CommonsCoef*AI2004^v01_CommonsExp*INDEX(LM_Commons,G2004)</x:f>
        <x:v>0</x:v>
      </x:c>
      <x:c r="AK2004" s="32" t="n">
        <x:f>H2004*v01_RoleScale*Arch_Roles*(AE2004*(INDEX(v01_ElderRolePerSett,G2004)*v01_OutElder*INDEX(LM_Elder,G2004)+INDEX(v01_ShamanPerSett,G2004)*v01_OutShaman)+Z2004*(INDEX(v01_PriestShare,G2004)*v01_OutPriest+INDEX(v01_ScribeShare,G2004)*v01_OutScribe*INDEX(LM_Scribe,G2004)+INDEX(v01_ScholarShare,G2004)*v01_OutScholar*INDEX(LM_Scholar,G2004)+INDEX(v01_ResearcherShare,G2004)*v01_OutResearcher*INDEX(LM_Researcher,G2004)))</x:f>
        <x:v>0</x:v>
      </x:c>
      <x:c r="AL2004" s="32" t="n">
        <x:f>H2004*v01_RoleScale*Arch_Roles*AE2004*INDEX(v01_MonasteryPerSett,G2004)*v01_OutMonastery*INDEX(LM_Monastery,G2004)</x:f>
        <x:v>0</x:v>
      </x:c>
      <x:c r="AM2004" s="32" t="n">
        <x:f>(AJ2004+AK2004+AL2004)/4*INDEX(LM_All,G2004)*INDEX(v01_Boon,G2004)*Arch_Insight</x:f>
        <x:v>0</x:v>
      </x:c>
      <x:c r="AN2004" s="32" t="n">
        <x:f>H2004*(v01_KHPerAdult*Z2004+v01_KHOfCommons*AJ2004/4*INDEX(LM_All,G2004))*v01_KHUsable*Arch_KH</x:f>
        <x:v>0</x:v>
      </x:c>
      <x:c r="AO2004" s="32" t="n">
        <x:f>MIN(AP2003+AN2004,AM2004*v01_KHMaxRatio)</x:f>
        <x:v>0</x:v>
      </x:c>
      <x:c r="AP2004" s="32" t="n">
        <x:f>AP2003+AN2004-AO2004</x:f>
        <x:v>0</x:v>
      </x:c>
      <x:c r="AQ2004" s="32" t="n">
        <x:f>AM2004+AO2004</x:f>
        <x:v>0</x:v>
      </x:c>
      <x:c r="AR2004" s="10" t="n">
        <x:f>IF(H2004=1,INDEX(v01_Req,G2004),0)</x:f>
        <x:v>0</x:v>
      </x:c>
      <x:c r="AS2004" s="32" t="n">
        <x:f>IF(H2004=1,IF(E2004=1,AS2003-AR2003,AS2003)+AQ2004,0)</x:f>
        <x:v>0</x:v>
      </x:c>
      <x:c r="AT2004" s="11" t="n">
        <x:f>IF(AR2004&gt;0,MIN(1,AS2004/AR2004),1)</x:f>
        <x:v>1</x:v>
      </x:c>
      <x:c r="AU2004" s="10" t="n">
        <x:f>AB2004/INDEX(v01_RepScale,G2004)</x:f>
        <x:v>90.09519605746344</x:v>
      </x:c>
      <x:c r="AV2004" s="32" t="n">
        <x:f>AM2004*60/v01_SeasonSeconds</x:f>
        <x:v>0</x:v>
      </x:c>
    </x:row>
    <x:row r="2005">
      <x:c r="A2005" s="8" t="n">
        <x:f>A2004+1</x:f>
        <x:v>2002</x:v>
      </x:c>
      <x:c r="B2005" s="9" t="n">
        <x:f>A2005*v01_SeasonSeconds/60</x:f>
        <x:v>500.5</x:v>
      </x:c>
      <x:c r="C2005" s="9" t="n">
        <x:f>A2005/4</x:f>
        <x:v>500.5</x:v>
      </x:c>
      <x:c r="D2005" s="8" t="n">
        <x:f>IF(MOD(A2005,4)=0,1,0)</x:f>
        <x:v>0</x:v>
      </x:c>
      <x:c r="E2005" s="8" t="n">
        <x:f>IF(AND(F2004&lt;=9,AS2004&gt;=AR2004),1,0)</x:f>
        <x:v>0</x:v>
      </x:c>
      <x:c r="F2005" s="8" t="n">
        <x:f>MIN(10,F2004+E2005)</x:f>
        <x:v>10</x:v>
      </x:c>
      <x:c r="G2005" s="8" t="n">
        <x:f>MIN(F2005,9)+1</x:f>
        <x:v>10</x:v>
      </x:c>
      <x:c r="H2005" s="8" t="n">
        <x:f>IF(F2005&lt;=9,1,0)</x:f>
        <x:v>0</x:v>
      </x:c>
      <x:c r="I2005" s="9" t="n">
        <x:f>MIN(10,F2004+IF(AR2004&gt;0,MIN(1,AS2004/AR2004),1))</x:f>
        <x:v>10</x:v>
      </x:c>
      <x:c r="J2005" s="32" t="n">
        <x:f>INDEX(v01_FoodCap,G2005)*Arch_FoodCap*EXP(v01_CapsByProject*SUMPRODUCT((Cap_Point&lt;=I2005)*(Cap_Kind="Food")*Cap_Ln))</x:f>
        <x:v>12000</x:v>
      </x:c>
      <x:c r="K2005" s="32" t="n">
        <x:f>J2005*MIN(1,v01_LeanBase*EXP(v01_CapsByProject*SUMPRODUCT((Cap_Point&lt;=I2005)*(Cap_Kind="Lean")*Cap_Ln)))</x:f>
        <x:v>12000</x:v>
      </x:c>
      <x:c r="L2005" s="10" t="n">
        <x:f>INDEX(v01_HousingCap,G2005)*EXP(v01_CapsByProject*SUMPRODUCT((Cap_Point&lt;=I2005)*(Cap_Kind="Housing")*Cap_Ln))</x:f>
        <x:v>20000</x:v>
      </x:c>
      <x:c r="M2005" s="10" t="n">
        <x:f>INDEX(v01_GroupCap,G2005)*v01_CohesionFactor*EXP(v01_CapsByProject*SUMPRODUCT((Cap_Point&lt;=I2005)*(Cap_Kind="Group")*Cap_Ln))</x:f>
        <x:v>1000000</x:v>
      </x:c>
      <x:c r="N2005" s="32" t="n">
        <x:f>MIN(J2005,L2005,M2005)</x:f>
        <x:v>12000</x:v>
      </x:c>
      <x:c r="O2005" s="10" t="n">
        <x:f>AE2004*N2005</x:f>
        <x:v>180000</x:v>
      </x:c>
      <x:c r="P2005" s="9" t="n">
        <x:f>MIN(1,(AB2004/(AE2004*IF(v01_GroupInCrowding=1,N2005,MIN(J2005,L2005))))^v01_CrowdingExp)</x:f>
        <x:v>0.00024569414295285325</x:v>
      </x:c>
      <x:c r="Q2005" s="9" t="n">
        <x:f>IF(D2005=1,INDEX(v01_WinterMult,G2005),1)</x:f>
        <x:v>1</x:v>
      </x:c>
      <x:c r="R2005" s="9" t="n">
        <x:f>H2005*Z2004*v01_WomenShare*v01_BaseFertility*INDEX(v01_FertMult,G2005)*Arch_Fertility*(1-P2005)</x:f>
        <x:v>0</x:v>
      </x:c>
      <x:c r="S2005" s="9" t="n">
        <x:f>H2005*Y2004*INDEX(v01_MortChild,G2005)/4*Q2005</x:f>
        <x:v>0</x:v>
      </x:c>
      <x:c r="T2005" s="9" t="n">
        <x:f>H2005*Z2004*INDEX(v01_MortAdult,G2005)*Arch_AdultMort/4*Q2005</x:f>
        <x:v>0</x:v>
      </x:c>
      <x:c r="U2005" s="9" t="n">
        <x:f>H2005*AA2004*INDEX(v01_MortElder,G2005)/4*Q2005</x:f>
        <x:v>0</x:v>
      </x:c>
      <x:c r="V2005" s="9" t="n">
        <x:f>H2005*MAX(0,AB2004-O2005)*v01_OvercapLoss</x:f>
        <x:v>0</x:v>
      </x:c>
      <x:c r="W2005" s="9" t="n">
        <x:f>H2005*Y2004/(v01_ChildYears*4)</x:f>
        <x:v>0</x:v>
      </x:c>
      <x:c r="X2005" s="9" t="n">
        <x:f>H2005*Z2004/(v01_AdultYears*4)</x:f>
        <x:v>0</x:v>
      </x:c>
      <x:c r="Y2005" s="32" t="n">
        <x:f>Y2004+R2005-S2005-W2005-Y2004*V2005/AB2004</x:f>
        <x:v>14306.18539759397</x:v>
      </x:c>
      <x:c r="Z2005" s="32" t="n">
        <x:f>Z2004+W2005-X2005-T2005-Z2004*V2005/AB2004</x:f>
        <x:v>19354.456567879548</x:v>
      </x:c>
      <x:c r="AA2005" s="32" t="n">
        <x:f>AA2004+X2005-U2005-AA2004*V2005/AB2004</x:f>
        <x:v>11386.956063258198</x:v>
      </x:c>
      <x:c r="AB2005" s="10" t="n">
        <x:f>Y2005+Z2005+AA2005</x:f>
        <x:v>45047.59802873172</x:v>
      </x:c>
      <x:c r="AC2005" s="8" t="n">
        <x:f>IF(AND(v01_WinterTrigger=1,D2005=1,AB2004/AE2004&gt;=K2005),1,0)</x:f>
        <x:v>0</x:v>
      </x:c>
      <x:c r="AD2005" s="8" t="n">
        <x:f>H2005*IF(AND(OR(AB2004/AE2004&gt;=v01_FissionTrigger*N2005,AC2005=1),AB2004/AE2004*v01_DaughterShare&gt;=v01_MinDaughter),MAX(1,ROUND(AE2004*v01_FissionRate,0)),0)</x:f>
        <x:v>0</x:v>
      </x:c>
      <x:c r="AE2005" s="8" t="n">
        <x:f>IF(H2005=1,MAX(1,MIN(INDEX(v01_Smax,G2005),AE2004+AD2005)),AE2004)</x:f>
        <x:v>15</x:v>
      </x:c>
      <x:c r="AF2005" s="8" t="n">
        <x:f>MAX(0,AE2005-AE2004)</x:f>
        <x:v>0</x:v>
      </x:c>
      <x:c r="AG2005" s="9" t="str">
        <x:f>IF(AF2005&gt;0,B2005,"")</x:f>
      </x:c>
      <x:c r="AH2005" s="9" t="n">
        <x:f>IF(F2005&gt;=1,1,(1+v01_LowTiesShare*(AE2005-1))/AE2005)</x:f>
        <x:v>1</x:v>
      </x:c>
      <x:c r="AI2005" s="32" t="n">
        <x:f>(Z2005+v01_ElderCommons*INDEX(LM_Elder,G2005)*AA2005)*AH2005</x:f>
        <x:v>64139.732591141874</x:v>
      </x:c>
      <x:c r="AJ2005" s="32" t="n">
        <x:f>H2005*v01_CommonsCoef*AI2005^v01_CommonsExp*INDEX(LM_Commons,G2005)</x:f>
        <x:v>0</x:v>
      </x:c>
      <x:c r="AK2005" s="32" t="n">
        <x:f>H2005*v01_RoleScale*Arch_Roles*(AE2005*(INDEX(v01_ElderRolePerSett,G2005)*v01_OutElder*INDEX(LM_Elder,G2005)+INDEX(v01_ShamanPerSett,G2005)*v01_OutShaman)+Z2005*(INDEX(v01_PriestShare,G2005)*v01_OutPriest+INDEX(v01_ScribeShare,G2005)*v01_OutScribe*INDEX(LM_Scribe,G2005)+INDEX(v01_ScholarShare,G2005)*v01_OutScholar*INDEX(LM_Scholar,G2005)+INDEX(v01_ResearcherShare,G2005)*v01_OutResearcher*INDEX(LM_Researcher,G2005)))</x:f>
        <x:v>0</x:v>
      </x:c>
      <x:c r="AL2005" s="32" t="n">
        <x:f>H2005*v01_RoleScale*Arch_Roles*AE2005*INDEX(v01_MonasteryPerSett,G2005)*v01_OutMonastery*INDEX(LM_Monastery,G2005)</x:f>
        <x:v>0</x:v>
      </x:c>
      <x:c r="AM2005" s="32" t="n">
        <x:f>(AJ2005+AK2005+AL2005)/4*INDEX(LM_All,G2005)*INDEX(v01_Boon,G2005)*Arch_Insight</x:f>
        <x:v>0</x:v>
      </x:c>
      <x:c r="AN2005" s="32" t="n">
        <x:f>H2005*(v01_KHPerAdult*Z2005+v01_KHOfCommons*AJ2005/4*INDEX(LM_All,G2005))*v01_KHUsable*Arch_KH</x:f>
        <x:v>0</x:v>
      </x:c>
      <x:c r="AO2005" s="32" t="n">
        <x:f>MIN(AP2004+AN2005,AM2005*v01_KHMaxRatio)</x:f>
        <x:v>0</x:v>
      </x:c>
      <x:c r="AP2005" s="32" t="n">
        <x:f>AP2004+AN2005-AO2005</x:f>
        <x:v>0</x:v>
      </x:c>
      <x:c r="AQ2005" s="32" t="n">
        <x:f>AM2005+AO2005</x:f>
        <x:v>0</x:v>
      </x:c>
      <x:c r="AR2005" s="10" t="n">
        <x:f>IF(H2005=1,INDEX(v01_Req,G2005),0)</x:f>
        <x:v>0</x:v>
      </x:c>
      <x:c r="AS2005" s="32" t="n">
        <x:f>IF(H2005=1,IF(E2005=1,AS2004-AR2004,AS2004)+AQ2005,0)</x:f>
        <x:v>0</x:v>
      </x:c>
      <x:c r="AT2005" s="11" t="n">
        <x:f>IF(AR2005&gt;0,MIN(1,AS2005/AR2005),1)</x:f>
        <x:v>1</x:v>
      </x:c>
      <x:c r="AU2005" s="10" t="n">
        <x:f>AB2005/INDEX(v01_RepScale,G2005)</x:f>
        <x:v>90.09519605746344</x:v>
      </x:c>
      <x:c r="AV2005" s="32" t="n">
        <x:f>AM2005*60/v01_SeasonSeconds</x:f>
        <x:v>0</x:v>
      </x:c>
    </x:row>
    <x:row r="2006">
      <x:c r="A2006" s="8" t="n">
        <x:f>A2005+1</x:f>
        <x:v>2003</x:v>
      </x:c>
      <x:c r="B2006" s="9" t="n">
        <x:f>A2006*v01_SeasonSeconds/60</x:f>
        <x:v>500.75</x:v>
      </x:c>
      <x:c r="C2006" s="9" t="n">
        <x:f>A2006/4</x:f>
        <x:v>500.75</x:v>
      </x:c>
      <x:c r="D2006" s="8" t="n">
        <x:f>IF(MOD(A2006,4)=0,1,0)</x:f>
        <x:v>0</x:v>
      </x:c>
      <x:c r="E2006" s="8" t="n">
        <x:f>IF(AND(F2005&lt;=9,AS2005&gt;=AR2005),1,0)</x:f>
        <x:v>0</x:v>
      </x:c>
      <x:c r="F2006" s="8" t="n">
        <x:f>MIN(10,F2005+E2006)</x:f>
        <x:v>10</x:v>
      </x:c>
      <x:c r="G2006" s="8" t="n">
        <x:f>MIN(F2006,9)+1</x:f>
        <x:v>10</x:v>
      </x:c>
      <x:c r="H2006" s="8" t="n">
        <x:f>IF(F2006&lt;=9,1,0)</x:f>
        <x:v>0</x:v>
      </x:c>
      <x:c r="I2006" s="9" t="n">
        <x:f>MIN(10,F2005+IF(AR2005&gt;0,MIN(1,AS2005/AR2005),1))</x:f>
        <x:v>10</x:v>
      </x:c>
      <x:c r="J2006" s="32" t="n">
        <x:f>INDEX(v01_FoodCap,G2006)*Arch_FoodCap*EXP(v01_CapsByProject*SUMPRODUCT((Cap_Point&lt;=I2006)*(Cap_Kind="Food")*Cap_Ln))</x:f>
        <x:v>12000</x:v>
      </x:c>
      <x:c r="K2006" s="32" t="n">
        <x:f>J2006*MIN(1,v01_LeanBase*EXP(v01_CapsByProject*SUMPRODUCT((Cap_Point&lt;=I2006)*(Cap_Kind="Lean")*Cap_Ln)))</x:f>
        <x:v>12000</x:v>
      </x:c>
      <x:c r="L2006" s="10" t="n">
        <x:f>INDEX(v01_HousingCap,G2006)*EXP(v01_CapsByProject*SUMPRODUCT((Cap_Point&lt;=I2006)*(Cap_Kind="Housing")*Cap_Ln))</x:f>
        <x:v>20000</x:v>
      </x:c>
      <x:c r="M2006" s="10" t="n">
        <x:f>INDEX(v01_GroupCap,G2006)*v01_CohesionFactor*EXP(v01_CapsByProject*SUMPRODUCT((Cap_Point&lt;=I2006)*(Cap_Kind="Group")*Cap_Ln))</x:f>
        <x:v>1000000</x:v>
      </x:c>
      <x:c r="N2006" s="32" t="n">
        <x:f>MIN(J2006,L2006,M2006)</x:f>
        <x:v>12000</x:v>
      </x:c>
      <x:c r="O2006" s="10" t="n">
        <x:f>AE2005*N2006</x:f>
        <x:v>180000</x:v>
      </x:c>
      <x:c r="P2006" s="9" t="n">
        <x:f>MIN(1,(AB2005/(AE2005*IF(v01_GroupInCrowding=1,N2006,MIN(J2006,L2006))))^v01_CrowdingExp)</x:f>
        <x:v>0.00024569414295285325</x:v>
      </x:c>
      <x:c r="Q2006" s="9" t="n">
        <x:f>IF(D2006=1,INDEX(v01_WinterMult,G2006),1)</x:f>
        <x:v>1</x:v>
      </x:c>
      <x:c r="R2006" s="9" t="n">
        <x:f>H2006*Z2005*v01_WomenShare*v01_BaseFertility*INDEX(v01_FertMult,G2006)*Arch_Fertility*(1-P2006)</x:f>
        <x:v>0</x:v>
      </x:c>
      <x:c r="S2006" s="9" t="n">
        <x:f>H2006*Y2005*INDEX(v01_MortChild,G2006)/4*Q2006</x:f>
        <x:v>0</x:v>
      </x:c>
      <x:c r="T2006" s="9" t="n">
        <x:f>H2006*Z2005*INDEX(v01_MortAdult,G2006)*Arch_AdultMort/4*Q2006</x:f>
        <x:v>0</x:v>
      </x:c>
      <x:c r="U2006" s="9" t="n">
        <x:f>H2006*AA2005*INDEX(v01_MortElder,G2006)/4*Q2006</x:f>
        <x:v>0</x:v>
      </x:c>
      <x:c r="V2006" s="9" t="n">
        <x:f>H2006*MAX(0,AB2005-O2006)*v01_OvercapLoss</x:f>
        <x:v>0</x:v>
      </x:c>
      <x:c r="W2006" s="9" t="n">
        <x:f>H2006*Y2005/(v01_ChildYears*4)</x:f>
        <x:v>0</x:v>
      </x:c>
      <x:c r="X2006" s="9" t="n">
        <x:f>H2006*Z2005/(v01_AdultYears*4)</x:f>
        <x:v>0</x:v>
      </x:c>
      <x:c r="Y2006" s="32" t="n">
        <x:f>Y2005+R2006-S2006-W2006-Y2005*V2006/AB2005</x:f>
        <x:v>14306.18539759397</x:v>
      </x:c>
      <x:c r="Z2006" s="32" t="n">
        <x:f>Z2005+W2006-X2006-T2006-Z2005*V2006/AB2005</x:f>
        <x:v>19354.456567879548</x:v>
      </x:c>
      <x:c r="AA2006" s="32" t="n">
        <x:f>AA2005+X2006-U2006-AA2005*V2006/AB2005</x:f>
        <x:v>11386.956063258198</x:v>
      </x:c>
      <x:c r="AB2006" s="10" t="n">
        <x:f>Y2006+Z2006+AA2006</x:f>
        <x:v>45047.59802873172</x:v>
      </x:c>
      <x:c r="AC2006" s="8" t="n">
        <x:f>IF(AND(v01_WinterTrigger=1,D2006=1,AB2005/AE2005&gt;=K2006),1,0)</x:f>
        <x:v>0</x:v>
      </x:c>
      <x:c r="AD2006" s="8" t="n">
        <x:f>H2006*IF(AND(OR(AB2005/AE2005&gt;=v01_FissionTrigger*N2006,AC2006=1),AB2005/AE2005*v01_DaughterShare&gt;=v01_MinDaughter),MAX(1,ROUND(AE2005*v01_FissionRate,0)),0)</x:f>
        <x:v>0</x:v>
      </x:c>
      <x:c r="AE2006" s="8" t="n">
        <x:f>IF(H2006=1,MAX(1,MIN(INDEX(v01_Smax,G2006),AE2005+AD2006)),AE2005)</x:f>
        <x:v>15</x:v>
      </x:c>
      <x:c r="AF2006" s="8" t="n">
        <x:f>MAX(0,AE2006-AE2005)</x:f>
        <x:v>0</x:v>
      </x:c>
      <x:c r="AG2006" s="9" t="str">
        <x:f>IF(AF2006&gt;0,B2006,"")</x:f>
      </x:c>
      <x:c r="AH2006" s="9" t="n">
        <x:f>IF(F2006&gt;=1,1,(1+v01_LowTiesShare*(AE2006-1))/AE2006)</x:f>
        <x:v>1</x:v>
      </x:c>
      <x:c r="AI2006" s="32" t="n">
        <x:f>(Z2006+v01_ElderCommons*INDEX(LM_Elder,G2006)*AA2006)*AH2006</x:f>
        <x:v>64139.732591141874</x:v>
      </x:c>
      <x:c r="AJ2006" s="32" t="n">
        <x:f>H2006*v01_CommonsCoef*AI2006^v01_CommonsExp*INDEX(LM_Commons,G2006)</x:f>
        <x:v>0</x:v>
      </x:c>
      <x:c r="AK2006" s="32" t="n">
        <x:f>H2006*v01_RoleScale*Arch_Roles*(AE2006*(INDEX(v01_ElderRolePerSett,G2006)*v01_OutElder*INDEX(LM_Elder,G2006)+INDEX(v01_ShamanPerSett,G2006)*v01_OutShaman)+Z2006*(INDEX(v01_PriestShare,G2006)*v01_OutPriest+INDEX(v01_ScribeShare,G2006)*v01_OutScribe*INDEX(LM_Scribe,G2006)+INDEX(v01_ScholarShare,G2006)*v01_OutScholar*INDEX(LM_Scholar,G2006)+INDEX(v01_ResearcherShare,G2006)*v01_OutResearcher*INDEX(LM_Researcher,G2006)))</x:f>
        <x:v>0</x:v>
      </x:c>
      <x:c r="AL2006" s="32" t="n">
        <x:f>H2006*v01_RoleScale*Arch_Roles*AE2006*INDEX(v01_MonasteryPerSett,G2006)*v01_OutMonastery*INDEX(LM_Monastery,G2006)</x:f>
        <x:v>0</x:v>
      </x:c>
      <x:c r="AM2006" s="32" t="n">
        <x:f>(AJ2006+AK2006+AL2006)/4*INDEX(LM_All,G2006)*INDEX(v01_Boon,G2006)*Arch_Insight</x:f>
        <x:v>0</x:v>
      </x:c>
      <x:c r="AN2006" s="32" t="n">
        <x:f>H2006*(v01_KHPerAdult*Z2006+v01_KHOfCommons*AJ2006/4*INDEX(LM_All,G2006))*v01_KHUsable*Arch_KH</x:f>
        <x:v>0</x:v>
      </x:c>
      <x:c r="AO2006" s="32" t="n">
        <x:f>MIN(AP2005+AN2006,AM2006*v01_KHMaxRatio)</x:f>
        <x:v>0</x:v>
      </x:c>
      <x:c r="AP2006" s="32" t="n">
        <x:f>AP2005+AN2006-AO2006</x:f>
        <x:v>0</x:v>
      </x:c>
      <x:c r="AQ2006" s="32" t="n">
        <x:f>AM2006+AO2006</x:f>
        <x:v>0</x:v>
      </x:c>
      <x:c r="AR2006" s="10" t="n">
        <x:f>IF(H2006=1,INDEX(v01_Req,G2006),0)</x:f>
        <x:v>0</x:v>
      </x:c>
      <x:c r="AS2006" s="32" t="n">
        <x:f>IF(H2006=1,IF(E2006=1,AS2005-AR2005,AS2005)+AQ2006,0)</x:f>
        <x:v>0</x:v>
      </x:c>
      <x:c r="AT2006" s="11" t="n">
        <x:f>IF(AR2006&gt;0,MIN(1,AS2006/AR2006),1)</x:f>
        <x:v>1</x:v>
      </x:c>
      <x:c r="AU2006" s="10" t="n">
        <x:f>AB2006/INDEX(v01_RepScale,G2006)</x:f>
        <x:v>90.09519605746344</x:v>
      </x:c>
      <x:c r="AV2006" s="32" t="n">
        <x:f>AM2006*60/v01_SeasonSeconds</x:f>
        <x:v>0</x:v>
      </x:c>
    </x:row>
    <x:row r="2007">
      <x:c r="A2007" s="8" t="n">
        <x:f>A2006+1</x:f>
        <x:v>2004</x:v>
      </x:c>
      <x:c r="B2007" s="9" t="n">
        <x:f>A2007*v01_SeasonSeconds/60</x:f>
        <x:v>501</x:v>
      </x:c>
      <x:c r="C2007" s="9" t="n">
        <x:f>A2007/4</x:f>
        <x:v>501</x:v>
      </x:c>
      <x:c r="D2007" s="8" t="n">
        <x:f>IF(MOD(A2007,4)=0,1,0)</x:f>
        <x:v>1</x:v>
      </x:c>
      <x:c r="E2007" s="8" t="n">
        <x:f>IF(AND(F2006&lt;=9,AS2006&gt;=AR2006),1,0)</x:f>
        <x:v>0</x:v>
      </x:c>
      <x:c r="F2007" s="8" t="n">
        <x:f>MIN(10,F2006+E2007)</x:f>
        <x:v>10</x:v>
      </x:c>
      <x:c r="G2007" s="8" t="n">
        <x:f>MIN(F2007,9)+1</x:f>
        <x:v>10</x:v>
      </x:c>
      <x:c r="H2007" s="8" t="n">
        <x:f>IF(F2007&lt;=9,1,0)</x:f>
        <x:v>0</x:v>
      </x:c>
      <x:c r="I2007" s="9" t="n">
        <x:f>MIN(10,F2006+IF(AR2006&gt;0,MIN(1,AS2006/AR2006),1))</x:f>
        <x:v>10</x:v>
      </x:c>
      <x:c r="J2007" s="32" t="n">
        <x:f>INDEX(v01_FoodCap,G2007)*Arch_FoodCap*EXP(v01_CapsByProject*SUMPRODUCT((Cap_Point&lt;=I2007)*(Cap_Kind="Food")*Cap_Ln))</x:f>
        <x:v>12000</x:v>
      </x:c>
      <x:c r="K2007" s="32" t="n">
        <x:f>J2007*MIN(1,v01_LeanBase*EXP(v01_CapsByProject*SUMPRODUCT((Cap_Point&lt;=I2007)*(Cap_Kind="Lean")*Cap_Ln)))</x:f>
        <x:v>12000</x:v>
      </x:c>
      <x:c r="L2007" s="10" t="n">
        <x:f>INDEX(v01_HousingCap,G2007)*EXP(v01_CapsByProject*SUMPRODUCT((Cap_Point&lt;=I2007)*(Cap_Kind="Housing")*Cap_Ln))</x:f>
        <x:v>20000</x:v>
      </x:c>
      <x:c r="M2007" s="10" t="n">
        <x:f>INDEX(v01_GroupCap,G2007)*v01_CohesionFactor*EXP(v01_CapsByProject*SUMPRODUCT((Cap_Point&lt;=I2007)*(Cap_Kind="Group")*Cap_Ln))</x:f>
        <x:v>1000000</x:v>
      </x:c>
      <x:c r="N2007" s="32" t="n">
        <x:f>MIN(J2007,L2007,M2007)</x:f>
        <x:v>12000</x:v>
      </x:c>
      <x:c r="O2007" s="10" t="n">
        <x:f>AE2006*N2007</x:f>
        <x:v>180000</x:v>
      </x:c>
      <x:c r="P2007" s="9" t="n">
        <x:f>MIN(1,(AB2006/(AE2006*IF(v01_GroupInCrowding=1,N2007,MIN(J2007,L2007))))^v01_CrowdingExp)</x:f>
        <x:v>0.00024569414295285325</x:v>
      </x:c>
      <x:c r="Q2007" s="9" t="n">
        <x:f>IF(D2007=1,INDEX(v01_WinterMult,G2007),1)</x:f>
        <x:v>1</x:v>
      </x:c>
      <x:c r="R2007" s="9" t="n">
        <x:f>H2007*Z2006*v01_WomenShare*v01_BaseFertility*INDEX(v01_FertMult,G2007)*Arch_Fertility*(1-P2007)</x:f>
        <x:v>0</x:v>
      </x:c>
      <x:c r="S2007" s="9" t="n">
        <x:f>H2007*Y2006*INDEX(v01_MortChild,G2007)/4*Q2007</x:f>
        <x:v>0</x:v>
      </x:c>
      <x:c r="T2007" s="9" t="n">
        <x:f>H2007*Z2006*INDEX(v01_MortAdult,G2007)*Arch_AdultMort/4*Q2007</x:f>
        <x:v>0</x:v>
      </x:c>
      <x:c r="U2007" s="9" t="n">
        <x:f>H2007*AA2006*INDEX(v01_MortElder,G2007)/4*Q2007</x:f>
        <x:v>0</x:v>
      </x:c>
      <x:c r="V2007" s="9" t="n">
        <x:f>H2007*MAX(0,AB2006-O2007)*v01_OvercapLoss</x:f>
        <x:v>0</x:v>
      </x:c>
      <x:c r="W2007" s="9" t="n">
        <x:f>H2007*Y2006/(v01_ChildYears*4)</x:f>
        <x:v>0</x:v>
      </x:c>
      <x:c r="X2007" s="9" t="n">
        <x:f>H2007*Z2006/(v01_AdultYears*4)</x:f>
        <x:v>0</x:v>
      </x:c>
      <x:c r="Y2007" s="32" t="n">
        <x:f>Y2006+R2007-S2007-W2007-Y2006*V2007/AB2006</x:f>
        <x:v>14306.18539759397</x:v>
      </x:c>
      <x:c r="Z2007" s="32" t="n">
        <x:f>Z2006+W2007-X2007-T2007-Z2006*V2007/AB2006</x:f>
        <x:v>19354.456567879548</x:v>
      </x:c>
      <x:c r="AA2007" s="32" t="n">
        <x:f>AA2006+X2007-U2007-AA2006*V2007/AB2006</x:f>
        <x:v>11386.956063258198</x:v>
      </x:c>
      <x:c r="AB2007" s="10" t="n">
        <x:f>Y2007+Z2007+AA2007</x:f>
        <x:v>45047.59802873172</x:v>
      </x:c>
      <x:c r="AC2007" s="8" t="n">
        <x:f>IF(AND(v01_WinterTrigger=1,D2007=1,AB2006/AE2006&gt;=K2007),1,0)</x:f>
        <x:v>0</x:v>
      </x:c>
      <x:c r="AD2007" s="8" t="n">
        <x:f>H2007*IF(AND(OR(AB2006/AE2006&gt;=v01_FissionTrigger*N2007,AC2007=1),AB2006/AE2006*v01_DaughterShare&gt;=v01_MinDaughter),MAX(1,ROUND(AE2006*v01_FissionRate,0)),0)</x:f>
        <x:v>0</x:v>
      </x:c>
      <x:c r="AE2007" s="8" t="n">
        <x:f>IF(H2007=1,MAX(1,MIN(INDEX(v01_Smax,G2007),AE2006+AD2007)),AE2006)</x:f>
        <x:v>15</x:v>
      </x:c>
      <x:c r="AF2007" s="8" t="n">
        <x:f>MAX(0,AE2007-AE2006)</x:f>
        <x:v>0</x:v>
      </x:c>
      <x:c r="AG2007" s="9" t="str">
        <x:f>IF(AF2007&gt;0,B2007,"")</x:f>
      </x:c>
      <x:c r="AH2007" s="9" t="n">
        <x:f>IF(F2007&gt;=1,1,(1+v01_LowTiesShare*(AE2007-1))/AE2007)</x:f>
        <x:v>1</x:v>
      </x:c>
      <x:c r="AI2007" s="32" t="n">
        <x:f>(Z2007+v01_ElderCommons*INDEX(LM_Elder,G2007)*AA2007)*AH2007</x:f>
        <x:v>64139.732591141874</x:v>
      </x:c>
      <x:c r="AJ2007" s="32" t="n">
        <x:f>H2007*v01_CommonsCoef*AI2007^v01_CommonsExp*INDEX(LM_Commons,G2007)</x:f>
        <x:v>0</x:v>
      </x:c>
      <x:c r="AK2007" s="32" t="n">
        <x:f>H2007*v01_RoleScale*Arch_Roles*(AE2007*(INDEX(v01_ElderRolePerSett,G2007)*v01_OutElder*INDEX(LM_Elder,G2007)+INDEX(v01_ShamanPerSett,G2007)*v01_OutShaman)+Z2007*(INDEX(v01_PriestShare,G2007)*v01_OutPriest+INDEX(v01_ScribeShare,G2007)*v01_OutScribe*INDEX(LM_Scribe,G2007)+INDEX(v01_ScholarShare,G2007)*v01_OutScholar*INDEX(LM_Scholar,G2007)+INDEX(v01_ResearcherShare,G2007)*v01_OutResearcher*INDEX(LM_Researcher,G2007)))</x:f>
        <x:v>0</x:v>
      </x:c>
      <x:c r="AL2007" s="32" t="n">
        <x:f>H2007*v01_RoleScale*Arch_Roles*AE2007*INDEX(v01_MonasteryPerSett,G2007)*v01_OutMonastery*INDEX(LM_Monastery,G2007)</x:f>
        <x:v>0</x:v>
      </x:c>
      <x:c r="AM2007" s="32" t="n">
        <x:f>(AJ2007+AK2007+AL2007)/4*INDEX(LM_All,G2007)*INDEX(v01_Boon,G2007)*Arch_Insight</x:f>
        <x:v>0</x:v>
      </x:c>
      <x:c r="AN2007" s="32" t="n">
        <x:f>H2007*(v01_KHPerAdult*Z2007+v01_KHOfCommons*AJ2007/4*INDEX(LM_All,G2007))*v01_KHUsable*Arch_KH</x:f>
        <x:v>0</x:v>
      </x:c>
      <x:c r="AO2007" s="32" t="n">
        <x:f>MIN(AP2006+AN2007,AM2007*v01_KHMaxRatio)</x:f>
        <x:v>0</x:v>
      </x:c>
      <x:c r="AP2007" s="32" t="n">
        <x:f>AP2006+AN2007-AO2007</x:f>
        <x:v>0</x:v>
      </x:c>
      <x:c r="AQ2007" s="32" t="n">
        <x:f>AM2007+AO2007</x:f>
        <x:v>0</x:v>
      </x:c>
      <x:c r="AR2007" s="10" t="n">
        <x:f>IF(H2007=1,INDEX(v01_Req,G2007),0)</x:f>
        <x:v>0</x:v>
      </x:c>
      <x:c r="AS2007" s="32" t="n">
        <x:f>IF(H2007=1,IF(E2007=1,AS2006-AR2006,AS2006)+AQ2007,0)</x:f>
        <x:v>0</x:v>
      </x:c>
      <x:c r="AT2007" s="11" t="n">
        <x:f>IF(AR2007&gt;0,MIN(1,AS2007/AR2007),1)</x:f>
        <x:v>1</x:v>
      </x:c>
      <x:c r="AU2007" s="10" t="n">
        <x:f>AB2007/INDEX(v01_RepScale,G2007)</x:f>
        <x:v>90.09519605746344</x:v>
      </x:c>
      <x:c r="AV2007" s="32" t="n">
        <x:f>AM2007*60/v01_SeasonSeconds</x:f>
        <x:v>0</x:v>
      </x:c>
    </x:row>
    <x:row r="2008">
      <x:c r="A2008" s="8" t="n">
        <x:f>A2007+1</x:f>
        <x:v>2005</x:v>
      </x:c>
      <x:c r="B2008" s="9" t="n">
        <x:f>A2008*v01_SeasonSeconds/60</x:f>
        <x:v>501.25</x:v>
      </x:c>
      <x:c r="C2008" s="9" t="n">
        <x:f>A2008/4</x:f>
        <x:v>501.25</x:v>
      </x:c>
      <x:c r="D2008" s="8" t="n">
        <x:f>IF(MOD(A2008,4)=0,1,0)</x:f>
        <x:v>0</x:v>
      </x:c>
      <x:c r="E2008" s="8" t="n">
        <x:f>IF(AND(F2007&lt;=9,AS2007&gt;=AR2007),1,0)</x:f>
        <x:v>0</x:v>
      </x:c>
      <x:c r="F2008" s="8" t="n">
        <x:f>MIN(10,F2007+E2008)</x:f>
        <x:v>10</x:v>
      </x:c>
      <x:c r="G2008" s="8" t="n">
        <x:f>MIN(F2008,9)+1</x:f>
        <x:v>10</x:v>
      </x:c>
      <x:c r="H2008" s="8" t="n">
        <x:f>IF(F2008&lt;=9,1,0)</x:f>
        <x:v>0</x:v>
      </x:c>
      <x:c r="I2008" s="9" t="n">
        <x:f>MIN(10,F2007+IF(AR2007&gt;0,MIN(1,AS2007/AR2007),1))</x:f>
        <x:v>10</x:v>
      </x:c>
      <x:c r="J2008" s="32" t="n">
        <x:f>INDEX(v01_FoodCap,G2008)*Arch_FoodCap*EXP(v01_CapsByProject*SUMPRODUCT((Cap_Point&lt;=I2008)*(Cap_Kind="Food")*Cap_Ln))</x:f>
        <x:v>12000</x:v>
      </x:c>
      <x:c r="K2008" s="32" t="n">
        <x:f>J2008*MIN(1,v01_LeanBase*EXP(v01_CapsByProject*SUMPRODUCT((Cap_Point&lt;=I2008)*(Cap_Kind="Lean")*Cap_Ln)))</x:f>
        <x:v>12000</x:v>
      </x:c>
      <x:c r="L2008" s="10" t="n">
        <x:f>INDEX(v01_HousingCap,G2008)*EXP(v01_CapsByProject*SUMPRODUCT((Cap_Point&lt;=I2008)*(Cap_Kind="Housing")*Cap_Ln))</x:f>
        <x:v>20000</x:v>
      </x:c>
      <x:c r="M2008" s="10" t="n">
        <x:f>INDEX(v01_GroupCap,G2008)*v01_CohesionFactor*EXP(v01_CapsByProject*SUMPRODUCT((Cap_Point&lt;=I2008)*(Cap_Kind="Group")*Cap_Ln))</x:f>
        <x:v>1000000</x:v>
      </x:c>
      <x:c r="N2008" s="32" t="n">
        <x:f>MIN(J2008,L2008,M2008)</x:f>
        <x:v>12000</x:v>
      </x:c>
      <x:c r="O2008" s="10" t="n">
        <x:f>AE2007*N2008</x:f>
        <x:v>180000</x:v>
      </x:c>
      <x:c r="P2008" s="9" t="n">
        <x:f>MIN(1,(AB2007/(AE2007*IF(v01_GroupInCrowding=1,N2008,MIN(J2008,L2008))))^v01_CrowdingExp)</x:f>
        <x:v>0.00024569414295285325</x:v>
      </x:c>
      <x:c r="Q2008" s="9" t="n">
        <x:f>IF(D2008=1,INDEX(v01_WinterMult,G2008),1)</x:f>
        <x:v>1</x:v>
      </x:c>
      <x:c r="R2008" s="9" t="n">
        <x:f>H2008*Z2007*v01_WomenShare*v01_BaseFertility*INDEX(v01_FertMult,G2008)*Arch_Fertility*(1-P2008)</x:f>
        <x:v>0</x:v>
      </x:c>
      <x:c r="S2008" s="9" t="n">
        <x:f>H2008*Y2007*INDEX(v01_MortChild,G2008)/4*Q2008</x:f>
        <x:v>0</x:v>
      </x:c>
      <x:c r="T2008" s="9" t="n">
        <x:f>H2008*Z2007*INDEX(v01_MortAdult,G2008)*Arch_AdultMort/4*Q2008</x:f>
        <x:v>0</x:v>
      </x:c>
      <x:c r="U2008" s="9" t="n">
        <x:f>H2008*AA2007*INDEX(v01_MortElder,G2008)/4*Q2008</x:f>
        <x:v>0</x:v>
      </x:c>
      <x:c r="V2008" s="9" t="n">
        <x:f>H2008*MAX(0,AB2007-O2008)*v01_OvercapLoss</x:f>
        <x:v>0</x:v>
      </x:c>
      <x:c r="W2008" s="9" t="n">
        <x:f>H2008*Y2007/(v01_ChildYears*4)</x:f>
        <x:v>0</x:v>
      </x:c>
      <x:c r="X2008" s="9" t="n">
        <x:f>H2008*Z2007/(v01_AdultYears*4)</x:f>
        <x:v>0</x:v>
      </x:c>
      <x:c r="Y2008" s="32" t="n">
        <x:f>Y2007+R2008-S2008-W2008-Y2007*V2008/AB2007</x:f>
        <x:v>14306.18539759397</x:v>
      </x:c>
      <x:c r="Z2008" s="32" t="n">
        <x:f>Z2007+W2008-X2008-T2008-Z2007*V2008/AB2007</x:f>
        <x:v>19354.456567879548</x:v>
      </x:c>
      <x:c r="AA2008" s="32" t="n">
        <x:f>AA2007+X2008-U2008-AA2007*V2008/AB2007</x:f>
        <x:v>11386.956063258198</x:v>
      </x:c>
      <x:c r="AB2008" s="10" t="n">
        <x:f>Y2008+Z2008+AA2008</x:f>
        <x:v>45047.59802873172</x:v>
      </x:c>
      <x:c r="AC2008" s="8" t="n">
        <x:f>IF(AND(v01_WinterTrigger=1,D2008=1,AB2007/AE2007&gt;=K2008),1,0)</x:f>
        <x:v>0</x:v>
      </x:c>
      <x:c r="AD2008" s="8" t="n">
        <x:f>H2008*IF(AND(OR(AB2007/AE2007&gt;=v01_FissionTrigger*N2008,AC2008=1),AB2007/AE2007*v01_DaughterShare&gt;=v01_MinDaughter),MAX(1,ROUND(AE2007*v01_FissionRate,0)),0)</x:f>
        <x:v>0</x:v>
      </x:c>
      <x:c r="AE2008" s="8" t="n">
        <x:f>IF(H2008=1,MAX(1,MIN(INDEX(v01_Smax,G2008),AE2007+AD2008)),AE2007)</x:f>
        <x:v>15</x:v>
      </x:c>
      <x:c r="AF2008" s="8" t="n">
        <x:f>MAX(0,AE2008-AE2007)</x:f>
        <x:v>0</x:v>
      </x:c>
      <x:c r="AG2008" s="9" t="str">
        <x:f>IF(AF2008&gt;0,B2008,"")</x:f>
      </x:c>
      <x:c r="AH2008" s="9" t="n">
        <x:f>IF(F2008&gt;=1,1,(1+v01_LowTiesShare*(AE2008-1))/AE2008)</x:f>
        <x:v>1</x:v>
      </x:c>
      <x:c r="AI2008" s="32" t="n">
        <x:f>(Z2008+v01_ElderCommons*INDEX(LM_Elder,G2008)*AA2008)*AH2008</x:f>
        <x:v>64139.732591141874</x:v>
      </x:c>
      <x:c r="AJ2008" s="32" t="n">
        <x:f>H2008*v01_CommonsCoef*AI2008^v01_CommonsExp*INDEX(LM_Commons,G2008)</x:f>
        <x:v>0</x:v>
      </x:c>
      <x:c r="AK2008" s="32" t="n">
        <x:f>H2008*v01_RoleScale*Arch_Roles*(AE2008*(INDEX(v01_ElderRolePerSett,G2008)*v01_OutElder*INDEX(LM_Elder,G2008)+INDEX(v01_ShamanPerSett,G2008)*v01_OutShaman)+Z2008*(INDEX(v01_PriestShare,G2008)*v01_OutPriest+INDEX(v01_ScribeShare,G2008)*v01_OutScribe*INDEX(LM_Scribe,G2008)+INDEX(v01_ScholarShare,G2008)*v01_OutScholar*INDEX(LM_Scholar,G2008)+INDEX(v01_ResearcherShare,G2008)*v01_OutResearcher*INDEX(LM_Researcher,G2008)))</x:f>
        <x:v>0</x:v>
      </x:c>
      <x:c r="AL2008" s="32" t="n">
        <x:f>H2008*v01_RoleScale*Arch_Roles*AE2008*INDEX(v01_MonasteryPerSett,G2008)*v01_OutMonastery*INDEX(LM_Monastery,G2008)</x:f>
        <x:v>0</x:v>
      </x:c>
      <x:c r="AM2008" s="32" t="n">
        <x:f>(AJ2008+AK2008+AL2008)/4*INDEX(LM_All,G2008)*INDEX(v01_Boon,G2008)*Arch_Insight</x:f>
        <x:v>0</x:v>
      </x:c>
      <x:c r="AN2008" s="32" t="n">
        <x:f>H2008*(v01_KHPerAdult*Z2008+v01_KHOfCommons*AJ2008/4*INDEX(LM_All,G2008))*v01_KHUsable*Arch_KH</x:f>
        <x:v>0</x:v>
      </x:c>
      <x:c r="AO2008" s="32" t="n">
        <x:f>MIN(AP2007+AN2008,AM2008*v01_KHMaxRatio)</x:f>
        <x:v>0</x:v>
      </x:c>
      <x:c r="AP2008" s="32" t="n">
        <x:f>AP2007+AN2008-AO2008</x:f>
        <x:v>0</x:v>
      </x:c>
      <x:c r="AQ2008" s="32" t="n">
        <x:f>AM2008+AO2008</x:f>
        <x:v>0</x:v>
      </x:c>
      <x:c r="AR2008" s="10" t="n">
        <x:f>IF(H2008=1,INDEX(v01_Req,G2008),0)</x:f>
        <x:v>0</x:v>
      </x:c>
      <x:c r="AS2008" s="32" t="n">
        <x:f>IF(H2008=1,IF(E2008=1,AS2007-AR2007,AS2007)+AQ2008,0)</x:f>
        <x:v>0</x:v>
      </x:c>
      <x:c r="AT2008" s="11" t="n">
        <x:f>IF(AR2008&gt;0,MIN(1,AS2008/AR2008),1)</x:f>
        <x:v>1</x:v>
      </x:c>
      <x:c r="AU2008" s="10" t="n">
        <x:f>AB2008/INDEX(v01_RepScale,G2008)</x:f>
        <x:v>90.09519605746344</x:v>
      </x:c>
      <x:c r="AV2008" s="32" t="n">
        <x:f>AM2008*60/v01_SeasonSeconds</x:f>
        <x:v>0</x:v>
      </x:c>
    </x:row>
    <x:row r="2009">
      <x:c r="A2009" s="8" t="n">
        <x:f>A2008+1</x:f>
        <x:v>2006</x:v>
      </x:c>
      <x:c r="B2009" s="9" t="n">
        <x:f>A2009*v01_SeasonSeconds/60</x:f>
        <x:v>501.5</x:v>
      </x:c>
      <x:c r="C2009" s="9" t="n">
        <x:f>A2009/4</x:f>
        <x:v>501.5</x:v>
      </x:c>
      <x:c r="D2009" s="8" t="n">
        <x:f>IF(MOD(A2009,4)=0,1,0)</x:f>
        <x:v>0</x:v>
      </x:c>
      <x:c r="E2009" s="8" t="n">
        <x:f>IF(AND(F2008&lt;=9,AS2008&gt;=AR2008),1,0)</x:f>
        <x:v>0</x:v>
      </x:c>
      <x:c r="F2009" s="8" t="n">
        <x:f>MIN(10,F2008+E2009)</x:f>
        <x:v>10</x:v>
      </x:c>
      <x:c r="G2009" s="8" t="n">
        <x:f>MIN(F2009,9)+1</x:f>
        <x:v>10</x:v>
      </x:c>
      <x:c r="H2009" s="8" t="n">
        <x:f>IF(F2009&lt;=9,1,0)</x:f>
        <x:v>0</x:v>
      </x:c>
      <x:c r="I2009" s="9" t="n">
        <x:f>MIN(10,F2008+IF(AR2008&gt;0,MIN(1,AS2008/AR2008),1))</x:f>
        <x:v>10</x:v>
      </x:c>
      <x:c r="J2009" s="32" t="n">
        <x:f>INDEX(v01_FoodCap,G2009)*Arch_FoodCap*EXP(v01_CapsByProject*SUMPRODUCT((Cap_Point&lt;=I2009)*(Cap_Kind="Food")*Cap_Ln))</x:f>
        <x:v>12000</x:v>
      </x:c>
      <x:c r="K2009" s="32" t="n">
        <x:f>J2009*MIN(1,v01_LeanBase*EXP(v01_CapsByProject*SUMPRODUCT((Cap_Point&lt;=I2009)*(Cap_Kind="Lean")*Cap_Ln)))</x:f>
        <x:v>12000</x:v>
      </x:c>
      <x:c r="L2009" s="10" t="n">
        <x:f>INDEX(v01_HousingCap,G2009)*EXP(v01_CapsByProject*SUMPRODUCT((Cap_Point&lt;=I2009)*(Cap_Kind="Housing")*Cap_Ln))</x:f>
        <x:v>20000</x:v>
      </x:c>
      <x:c r="M2009" s="10" t="n">
        <x:f>INDEX(v01_GroupCap,G2009)*v01_CohesionFactor*EXP(v01_CapsByProject*SUMPRODUCT((Cap_Point&lt;=I2009)*(Cap_Kind="Group")*Cap_Ln))</x:f>
        <x:v>1000000</x:v>
      </x:c>
      <x:c r="N2009" s="32" t="n">
        <x:f>MIN(J2009,L2009,M2009)</x:f>
        <x:v>12000</x:v>
      </x:c>
      <x:c r="O2009" s="10" t="n">
        <x:f>AE2008*N2009</x:f>
        <x:v>180000</x:v>
      </x:c>
      <x:c r="P2009" s="9" t="n">
        <x:f>MIN(1,(AB2008/(AE2008*IF(v01_GroupInCrowding=1,N2009,MIN(J2009,L2009))))^v01_CrowdingExp)</x:f>
        <x:v>0.00024569414295285325</x:v>
      </x:c>
      <x:c r="Q2009" s="9" t="n">
        <x:f>IF(D2009=1,INDEX(v01_WinterMult,G2009),1)</x:f>
        <x:v>1</x:v>
      </x:c>
      <x:c r="R2009" s="9" t="n">
        <x:f>H2009*Z2008*v01_WomenShare*v01_BaseFertility*INDEX(v01_FertMult,G2009)*Arch_Fertility*(1-P2009)</x:f>
        <x:v>0</x:v>
      </x:c>
      <x:c r="S2009" s="9" t="n">
        <x:f>H2009*Y2008*INDEX(v01_MortChild,G2009)/4*Q2009</x:f>
        <x:v>0</x:v>
      </x:c>
      <x:c r="T2009" s="9" t="n">
        <x:f>H2009*Z2008*INDEX(v01_MortAdult,G2009)*Arch_AdultMort/4*Q2009</x:f>
        <x:v>0</x:v>
      </x:c>
      <x:c r="U2009" s="9" t="n">
        <x:f>H2009*AA2008*INDEX(v01_MortElder,G2009)/4*Q2009</x:f>
        <x:v>0</x:v>
      </x:c>
      <x:c r="V2009" s="9" t="n">
        <x:f>H2009*MAX(0,AB2008-O2009)*v01_OvercapLoss</x:f>
        <x:v>0</x:v>
      </x:c>
      <x:c r="W2009" s="9" t="n">
        <x:f>H2009*Y2008/(v01_ChildYears*4)</x:f>
        <x:v>0</x:v>
      </x:c>
      <x:c r="X2009" s="9" t="n">
        <x:f>H2009*Z2008/(v01_AdultYears*4)</x:f>
        <x:v>0</x:v>
      </x:c>
      <x:c r="Y2009" s="32" t="n">
        <x:f>Y2008+R2009-S2009-W2009-Y2008*V2009/AB2008</x:f>
        <x:v>14306.18539759397</x:v>
      </x:c>
      <x:c r="Z2009" s="32" t="n">
        <x:f>Z2008+W2009-X2009-T2009-Z2008*V2009/AB2008</x:f>
        <x:v>19354.456567879548</x:v>
      </x:c>
      <x:c r="AA2009" s="32" t="n">
        <x:f>AA2008+X2009-U2009-AA2008*V2009/AB2008</x:f>
        <x:v>11386.956063258198</x:v>
      </x:c>
      <x:c r="AB2009" s="10" t="n">
        <x:f>Y2009+Z2009+AA2009</x:f>
        <x:v>45047.59802873172</x:v>
      </x:c>
      <x:c r="AC2009" s="8" t="n">
        <x:f>IF(AND(v01_WinterTrigger=1,D2009=1,AB2008/AE2008&gt;=K2009),1,0)</x:f>
        <x:v>0</x:v>
      </x:c>
      <x:c r="AD2009" s="8" t="n">
        <x:f>H2009*IF(AND(OR(AB2008/AE2008&gt;=v01_FissionTrigger*N2009,AC2009=1),AB2008/AE2008*v01_DaughterShare&gt;=v01_MinDaughter),MAX(1,ROUND(AE2008*v01_FissionRate,0)),0)</x:f>
        <x:v>0</x:v>
      </x:c>
      <x:c r="AE2009" s="8" t="n">
        <x:f>IF(H2009=1,MAX(1,MIN(INDEX(v01_Smax,G2009),AE2008+AD2009)),AE2008)</x:f>
        <x:v>15</x:v>
      </x:c>
      <x:c r="AF2009" s="8" t="n">
        <x:f>MAX(0,AE2009-AE2008)</x:f>
        <x:v>0</x:v>
      </x:c>
      <x:c r="AG2009" s="9" t="str">
        <x:f>IF(AF2009&gt;0,B2009,"")</x:f>
      </x:c>
      <x:c r="AH2009" s="9" t="n">
        <x:f>IF(F2009&gt;=1,1,(1+v01_LowTiesShare*(AE2009-1))/AE2009)</x:f>
        <x:v>1</x:v>
      </x:c>
      <x:c r="AI2009" s="32" t="n">
        <x:f>(Z2009+v01_ElderCommons*INDEX(LM_Elder,G2009)*AA2009)*AH2009</x:f>
        <x:v>64139.732591141874</x:v>
      </x:c>
      <x:c r="AJ2009" s="32" t="n">
        <x:f>H2009*v01_CommonsCoef*AI2009^v01_CommonsExp*INDEX(LM_Commons,G2009)</x:f>
        <x:v>0</x:v>
      </x:c>
      <x:c r="AK2009" s="32" t="n">
        <x:f>H2009*v01_RoleScale*Arch_Roles*(AE2009*(INDEX(v01_ElderRolePerSett,G2009)*v01_OutElder*INDEX(LM_Elder,G2009)+INDEX(v01_ShamanPerSett,G2009)*v01_OutShaman)+Z2009*(INDEX(v01_PriestShare,G2009)*v01_OutPriest+INDEX(v01_ScribeShare,G2009)*v01_OutScribe*INDEX(LM_Scribe,G2009)+INDEX(v01_ScholarShare,G2009)*v01_OutScholar*INDEX(LM_Scholar,G2009)+INDEX(v01_ResearcherShare,G2009)*v01_OutResearcher*INDEX(LM_Researcher,G2009)))</x:f>
        <x:v>0</x:v>
      </x:c>
      <x:c r="AL2009" s="32" t="n">
        <x:f>H2009*v01_RoleScale*Arch_Roles*AE2009*INDEX(v01_MonasteryPerSett,G2009)*v01_OutMonastery*INDEX(LM_Monastery,G2009)</x:f>
        <x:v>0</x:v>
      </x:c>
      <x:c r="AM2009" s="32" t="n">
        <x:f>(AJ2009+AK2009+AL2009)/4*INDEX(LM_All,G2009)*INDEX(v01_Boon,G2009)*Arch_Insight</x:f>
        <x:v>0</x:v>
      </x:c>
      <x:c r="AN2009" s="32" t="n">
        <x:f>H2009*(v01_KHPerAdult*Z2009+v01_KHOfCommons*AJ2009/4*INDEX(LM_All,G2009))*v01_KHUsable*Arch_KH</x:f>
        <x:v>0</x:v>
      </x:c>
      <x:c r="AO2009" s="32" t="n">
        <x:f>MIN(AP2008+AN2009,AM2009*v01_KHMaxRatio)</x:f>
        <x:v>0</x:v>
      </x:c>
      <x:c r="AP2009" s="32" t="n">
        <x:f>AP2008+AN2009-AO2009</x:f>
        <x:v>0</x:v>
      </x:c>
      <x:c r="AQ2009" s="32" t="n">
        <x:f>AM2009+AO2009</x:f>
        <x:v>0</x:v>
      </x:c>
      <x:c r="AR2009" s="10" t="n">
        <x:f>IF(H2009=1,INDEX(v01_Req,G2009),0)</x:f>
        <x:v>0</x:v>
      </x:c>
      <x:c r="AS2009" s="32" t="n">
        <x:f>IF(H2009=1,IF(E2009=1,AS2008-AR2008,AS2008)+AQ2009,0)</x:f>
        <x:v>0</x:v>
      </x:c>
      <x:c r="AT2009" s="11" t="n">
        <x:f>IF(AR2009&gt;0,MIN(1,AS2009/AR2009),1)</x:f>
        <x:v>1</x:v>
      </x:c>
      <x:c r="AU2009" s="10" t="n">
        <x:f>AB2009/INDEX(v01_RepScale,G2009)</x:f>
        <x:v>90.09519605746344</x:v>
      </x:c>
      <x:c r="AV2009" s="32" t="n">
        <x:f>AM2009*60/v01_SeasonSeconds</x:f>
        <x:v>0</x:v>
      </x:c>
    </x:row>
    <x:row r="2010">
      <x:c r="A2010" s="8" t="n">
        <x:f>A2009+1</x:f>
        <x:v>2007</x:v>
      </x:c>
      <x:c r="B2010" s="9" t="n">
        <x:f>A2010*v01_SeasonSeconds/60</x:f>
        <x:v>501.75</x:v>
      </x:c>
      <x:c r="C2010" s="9" t="n">
        <x:f>A2010/4</x:f>
        <x:v>501.75</x:v>
      </x:c>
      <x:c r="D2010" s="8" t="n">
        <x:f>IF(MOD(A2010,4)=0,1,0)</x:f>
        <x:v>0</x:v>
      </x:c>
      <x:c r="E2010" s="8" t="n">
        <x:f>IF(AND(F2009&lt;=9,AS2009&gt;=AR2009),1,0)</x:f>
        <x:v>0</x:v>
      </x:c>
      <x:c r="F2010" s="8" t="n">
        <x:f>MIN(10,F2009+E2010)</x:f>
        <x:v>10</x:v>
      </x:c>
      <x:c r="G2010" s="8" t="n">
        <x:f>MIN(F2010,9)+1</x:f>
        <x:v>10</x:v>
      </x:c>
      <x:c r="H2010" s="8" t="n">
        <x:f>IF(F2010&lt;=9,1,0)</x:f>
        <x:v>0</x:v>
      </x:c>
      <x:c r="I2010" s="9" t="n">
        <x:f>MIN(10,F2009+IF(AR2009&gt;0,MIN(1,AS2009/AR2009),1))</x:f>
        <x:v>10</x:v>
      </x:c>
      <x:c r="J2010" s="32" t="n">
        <x:f>INDEX(v01_FoodCap,G2010)*Arch_FoodCap*EXP(v01_CapsByProject*SUMPRODUCT((Cap_Point&lt;=I2010)*(Cap_Kind="Food")*Cap_Ln))</x:f>
        <x:v>12000</x:v>
      </x:c>
      <x:c r="K2010" s="32" t="n">
        <x:f>J2010*MIN(1,v01_LeanBase*EXP(v01_CapsByProject*SUMPRODUCT((Cap_Point&lt;=I2010)*(Cap_Kind="Lean")*Cap_Ln)))</x:f>
        <x:v>12000</x:v>
      </x:c>
      <x:c r="L2010" s="10" t="n">
        <x:f>INDEX(v01_HousingCap,G2010)*EXP(v01_CapsByProject*SUMPRODUCT((Cap_Point&lt;=I2010)*(Cap_Kind="Housing")*Cap_Ln))</x:f>
        <x:v>20000</x:v>
      </x:c>
      <x:c r="M2010" s="10" t="n">
        <x:f>INDEX(v01_GroupCap,G2010)*v01_CohesionFactor*EXP(v01_CapsByProject*SUMPRODUCT((Cap_Point&lt;=I2010)*(Cap_Kind="Group")*Cap_Ln))</x:f>
        <x:v>1000000</x:v>
      </x:c>
      <x:c r="N2010" s="32" t="n">
        <x:f>MIN(J2010,L2010,M2010)</x:f>
        <x:v>12000</x:v>
      </x:c>
      <x:c r="O2010" s="10" t="n">
        <x:f>AE2009*N2010</x:f>
        <x:v>180000</x:v>
      </x:c>
      <x:c r="P2010" s="9" t="n">
        <x:f>MIN(1,(AB2009/(AE2009*IF(v01_GroupInCrowding=1,N2010,MIN(J2010,L2010))))^v01_CrowdingExp)</x:f>
        <x:v>0.00024569414295285325</x:v>
      </x:c>
      <x:c r="Q2010" s="9" t="n">
        <x:f>IF(D2010=1,INDEX(v01_WinterMult,G2010),1)</x:f>
        <x:v>1</x:v>
      </x:c>
      <x:c r="R2010" s="9" t="n">
        <x:f>H2010*Z2009*v01_WomenShare*v01_BaseFertility*INDEX(v01_FertMult,G2010)*Arch_Fertility*(1-P2010)</x:f>
        <x:v>0</x:v>
      </x:c>
      <x:c r="S2010" s="9" t="n">
        <x:f>H2010*Y2009*INDEX(v01_MortChild,G2010)/4*Q2010</x:f>
        <x:v>0</x:v>
      </x:c>
      <x:c r="T2010" s="9" t="n">
        <x:f>H2010*Z2009*INDEX(v01_MortAdult,G2010)*Arch_AdultMort/4*Q2010</x:f>
        <x:v>0</x:v>
      </x:c>
      <x:c r="U2010" s="9" t="n">
        <x:f>H2010*AA2009*INDEX(v01_MortElder,G2010)/4*Q2010</x:f>
        <x:v>0</x:v>
      </x:c>
      <x:c r="V2010" s="9" t="n">
        <x:f>H2010*MAX(0,AB2009-O2010)*v01_OvercapLoss</x:f>
        <x:v>0</x:v>
      </x:c>
      <x:c r="W2010" s="9" t="n">
        <x:f>H2010*Y2009/(v01_ChildYears*4)</x:f>
        <x:v>0</x:v>
      </x:c>
      <x:c r="X2010" s="9" t="n">
        <x:f>H2010*Z2009/(v01_AdultYears*4)</x:f>
        <x:v>0</x:v>
      </x:c>
      <x:c r="Y2010" s="32" t="n">
        <x:f>Y2009+R2010-S2010-W2010-Y2009*V2010/AB2009</x:f>
        <x:v>14306.18539759397</x:v>
      </x:c>
      <x:c r="Z2010" s="32" t="n">
        <x:f>Z2009+W2010-X2010-T2010-Z2009*V2010/AB2009</x:f>
        <x:v>19354.456567879548</x:v>
      </x:c>
      <x:c r="AA2010" s="32" t="n">
        <x:f>AA2009+X2010-U2010-AA2009*V2010/AB2009</x:f>
        <x:v>11386.956063258198</x:v>
      </x:c>
      <x:c r="AB2010" s="10" t="n">
        <x:f>Y2010+Z2010+AA2010</x:f>
        <x:v>45047.59802873172</x:v>
      </x:c>
      <x:c r="AC2010" s="8" t="n">
        <x:f>IF(AND(v01_WinterTrigger=1,D2010=1,AB2009/AE2009&gt;=K2010),1,0)</x:f>
        <x:v>0</x:v>
      </x:c>
      <x:c r="AD2010" s="8" t="n">
        <x:f>H2010*IF(AND(OR(AB2009/AE2009&gt;=v01_FissionTrigger*N2010,AC2010=1),AB2009/AE2009*v01_DaughterShare&gt;=v01_MinDaughter),MAX(1,ROUND(AE2009*v01_FissionRate,0)),0)</x:f>
        <x:v>0</x:v>
      </x:c>
      <x:c r="AE2010" s="8" t="n">
        <x:f>IF(H2010=1,MAX(1,MIN(INDEX(v01_Smax,G2010),AE2009+AD2010)),AE2009)</x:f>
        <x:v>15</x:v>
      </x:c>
      <x:c r="AF2010" s="8" t="n">
        <x:f>MAX(0,AE2010-AE2009)</x:f>
        <x:v>0</x:v>
      </x:c>
      <x:c r="AG2010" s="9" t="str">
        <x:f>IF(AF2010&gt;0,B2010,"")</x:f>
      </x:c>
      <x:c r="AH2010" s="9" t="n">
        <x:f>IF(F2010&gt;=1,1,(1+v01_LowTiesShare*(AE2010-1))/AE2010)</x:f>
        <x:v>1</x:v>
      </x:c>
      <x:c r="AI2010" s="32" t="n">
        <x:f>(Z2010+v01_ElderCommons*INDEX(LM_Elder,G2010)*AA2010)*AH2010</x:f>
        <x:v>64139.732591141874</x:v>
      </x:c>
      <x:c r="AJ2010" s="32" t="n">
        <x:f>H2010*v01_CommonsCoef*AI2010^v01_CommonsExp*INDEX(LM_Commons,G2010)</x:f>
        <x:v>0</x:v>
      </x:c>
      <x:c r="AK2010" s="32" t="n">
        <x:f>H2010*v01_RoleScale*Arch_Roles*(AE2010*(INDEX(v01_ElderRolePerSett,G2010)*v01_OutElder*INDEX(LM_Elder,G2010)+INDEX(v01_ShamanPerSett,G2010)*v01_OutShaman)+Z2010*(INDEX(v01_PriestShare,G2010)*v01_OutPriest+INDEX(v01_ScribeShare,G2010)*v01_OutScribe*INDEX(LM_Scribe,G2010)+INDEX(v01_ScholarShare,G2010)*v01_OutScholar*INDEX(LM_Scholar,G2010)+INDEX(v01_ResearcherShare,G2010)*v01_OutResearcher*INDEX(LM_Researcher,G2010)))</x:f>
        <x:v>0</x:v>
      </x:c>
      <x:c r="AL2010" s="32" t="n">
        <x:f>H2010*v01_RoleScale*Arch_Roles*AE2010*INDEX(v01_MonasteryPerSett,G2010)*v01_OutMonastery*INDEX(LM_Monastery,G2010)</x:f>
        <x:v>0</x:v>
      </x:c>
      <x:c r="AM2010" s="32" t="n">
        <x:f>(AJ2010+AK2010+AL2010)/4*INDEX(LM_All,G2010)*INDEX(v01_Boon,G2010)*Arch_Insight</x:f>
        <x:v>0</x:v>
      </x:c>
      <x:c r="AN2010" s="32" t="n">
        <x:f>H2010*(v01_KHPerAdult*Z2010+v01_KHOfCommons*AJ2010/4*INDEX(LM_All,G2010))*v01_KHUsable*Arch_KH</x:f>
        <x:v>0</x:v>
      </x:c>
      <x:c r="AO2010" s="32" t="n">
        <x:f>MIN(AP2009+AN2010,AM2010*v01_KHMaxRatio)</x:f>
        <x:v>0</x:v>
      </x:c>
      <x:c r="AP2010" s="32" t="n">
        <x:f>AP2009+AN2010-AO2010</x:f>
        <x:v>0</x:v>
      </x:c>
      <x:c r="AQ2010" s="32" t="n">
        <x:f>AM2010+AO2010</x:f>
        <x:v>0</x:v>
      </x:c>
      <x:c r="AR2010" s="10" t="n">
        <x:f>IF(H2010=1,INDEX(v01_Req,G2010),0)</x:f>
        <x:v>0</x:v>
      </x:c>
      <x:c r="AS2010" s="32" t="n">
        <x:f>IF(H2010=1,IF(E2010=1,AS2009-AR2009,AS2009)+AQ2010,0)</x:f>
        <x:v>0</x:v>
      </x:c>
      <x:c r="AT2010" s="11" t="n">
        <x:f>IF(AR2010&gt;0,MIN(1,AS2010/AR2010),1)</x:f>
        <x:v>1</x:v>
      </x:c>
      <x:c r="AU2010" s="10" t="n">
        <x:f>AB2010/INDEX(v01_RepScale,G2010)</x:f>
        <x:v>90.09519605746344</x:v>
      </x:c>
      <x:c r="AV2010" s="32" t="n">
        <x:f>AM2010*60/v01_SeasonSeconds</x:f>
        <x:v>0</x:v>
      </x:c>
    </x:row>
    <x:row r="2011">
      <x:c r="A2011" s="8" t="n">
        <x:f>A2010+1</x:f>
        <x:v>2008</x:v>
      </x:c>
      <x:c r="B2011" s="9" t="n">
        <x:f>A2011*v01_SeasonSeconds/60</x:f>
        <x:v>502</x:v>
      </x:c>
      <x:c r="C2011" s="9" t="n">
        <x:f>A2011/4</x:f>
        <x:v>502</x:v>
      </x:c>
      <x:c r="D2011" s="8" t="n">
        <x:f>IF(MOD(A2011,4)=0,1,0)</x:f>
        <x:v>1</x:v>
      </x:c>
      <x:c r="E2011" s="8" t="n">
        <x:f>IF(AND(F2010&lt;=9,AS2010&gt;=AR2010),1,0)</x:f>
        <x:v>0</x:v>
      </x:c>
      <x:c r="F2011" s="8" t="n">
        <x:f>MIN(10,F2010+E2011)</x:f>
        <x:v>10</x:v>
      </x:c>
      <x:c r="G2011" s="8" t="n">
        <x:f>MIN(F2011,9)+1</x:f>
        <x:v>10</x:v>
      </x:c>
      <x:c r="H2011" s="8" t="n">
        <x:f>IF(F2011&lt;=9,1,0)</x:f>
        <x:v>0</x:v>
      </x:c>
      <x:c r="I2011" s="9" t="n">
        <x:f>MIN(10,F2010+IF(AR2010&gt;0,MIN(1,AS2010/AR2010),1))</x:f>
        <x:v>10</x:v>
      </x:c>
      <x:c r="J2011" s="32" t="n">
        <x:f>INDEX(v01_FoodCap,G2011)*Arch_FoodCap*EXP(v01_CapsByProject*SUMPRODUCT((Cap_Point&lt;=I2011)*(Cap_Kind="Food")*Cap_Ln))</x:f>
        <x:v>12000</x:v>
      </x:c>
      <x:c r="K2011" s="32" t="n">
        <x:f>J2011*MIN(1,v01_LeanBase*EXP(v01_CapsByProject*SUMPRODUCT((Cap_Point&lt;=I2011)*(Cap_Kind="Lean")*Cap_Ln)))</x:f>
        <x:v>12000</x:v>
      </x:c>
      <x:c r="L2011" s="10" t="n">
        <x:f>INDEX(v01_HousingCap,G2011)*EXP(v01_CapsByProject*SUMPRODUCT((Cap_Point&lt;=I2011)*(Cap_Kind="Housing")*Cap_Ln))</x:f>
        <x:v>20000</x:v>
      </x:c>
      <x:c r="M2011" s="10" t="n">
        <x:f>INDEX(v01_GroupCap,G2011)*v01_CohesionFactor*EXP(v01_CapsByProject*SUMPRODUCT((Cap_Point&lt;=I2011)*(Cap_Kind="Group")*Cap_Ln))</x:f>
        <x:v>1000000</x:v>
      </x:c>
      <x:c r="N2011" s="32" t="n">
        <x:f>MIN(J2011,L2011,M2011)</x:f>
        <x:v>12000</x:v>
      </x:c>
      <x:c r="O2011" s="10" t="n">
        <x:f>AE2010*N2011</x:f>
        <x:v>180000</x:v>
      </x:c>
      <x:c r="P2011" s="9" t="n">
        <x:f>MIN(1,(AB2010/(AE2010*IF(v01_GroupInCrowding=1,N2011,MIN(J2011,L2011))))^v01_CrowdingExp)</x:f>
        <x:v>0.00024569414295285325</x:v>
      </x:c>
      <x:c r="Q2011" s="9" t="n">
        <x:f>IF(D2011=1,INDEX(v01_WinterMult,G2011),1)</x:f>
        <x:v>1</x:v>
      </x:c>
      <x:c r="R2011" s="9" t="n">
        <x:f>H2011*Z2010*v01_WomenShare*v01_BaseFertility*INDEX(v01_FertMult,G2011)*Arch_Fertility*(1-P2011)</x:f>
        <x:v>0</x:v>
      </x:c>
      <x:c r="S2011" s="9" t="n">
        <x:f>H2011*Y2010*INDEX(v01_MortChild,G2011)/4*Q2011</x:f>
        <x:v>0</x:v>
      </x:c>
      <x:c r="T2011" s="9" t="n">
        <x:f>H2011*Z2010*INDEX(v01_MortAdult,G2011)*Arch_AdultMort/4*Q2011</x:f>
        <x:v>0</x:v>
      </x:c>
      <x:c r="U2011" s="9" t="n">
        <x:f>H2011*AA2010*INDEX(v01_MortElder,G2011)/4*Q2011</x:f>
        <x:v>0</x:v>
      </x:c>
      <x:c r="V2011" s="9" t="n">
        <x:f>H2011*MAX(0,AB2010-O2011)*v01_OvercapLoss</x:f>
        <x:v>0</x:v>
      </x:c>
      <x:c r="W2011" s="9" t="n">
        <x:f>H2011*Y2010/(v01_ChildYears*4)</x:f>
        <x:v>0</x:v>
      </x:c>
      <x:c r="X2011" s="9" t="n">
        <x:f>H2011*Z2010/(v01_AdultYears*4)</x:f>
        <x:v>0</x:v>
      </x:c>
      <x:c r="Y2011" s="32" t="n">
        <x:f>Y2010+R2011-S2011-W2011-Y2010*V2011/AB2010</x:f>
        <x:v>14306.18539759397</x:v>
      </x:c>
      <x:c r="Z2011" s="32" t="n">
        <x:f>Z2010+W2011-X2011-T2011-Z2010*V2011/AB2010</x:f>
        <x:v>19354.456567879548</x:v>
      </x:c>
      <x:c r="AA2011" s="32" t="n">
        <x:f>AA2010+X2011-U2011-AA2010*V2011/AB2010</x:f>
        <x:v>11386.956063258198</x:v>
      </x:c>
      <x:c r="AB2011" s="10" t="n">
        <x:f>Y2011+Z2011+AA2011</x:f>
        <x:v>45047.59802873172</x:v>
      </x:c>
      <x:c r="AC2011" s="8" t="n">
        <x:f>IF(AND(v01_WinterTrigger=1,D2011=1,AB2010/AE2010&gt;=K2011),1,0)</x:f>
        <x:v>0</x:v>
      </x:c>
      <x:c r="AD2011" s="8" t="n">
        <x:f>H2011*IF(AND(OR(AB2010/AE2010&gt;=v01_FissionTrigger*N2011,AC2011=1),AB2010/AE2010*v01_DaughterShare&gt;=v01_MinDaughter),MAX(1,ROUND(AE2010*v01_FissionRate,0)),0)</x:f>
        <x:v>0</x:v>
      </x:c>
      <x:c r="AE2011" s="8" t="n">
        <x:f>IF(H2011=1,MAX(1,MIN(INDEX(v01_Smax,G2011),AE2010+AD2011)),AE2010)</x:f>
        <x:v>15</x:v>
      </x:c>
      <x:c r="AF2011" s="8" t="n">
        <x:f>MAX(0,AE2011-AE2010)</x:f>
        <x:v>0</x:v>
      </x:c>
      <x:c r="AG2011" s="9" t="str">
        <x:f>IF(AF2011&gt;0,B2011,"")</x:f>
      </x:c>
      <x:c r="AH2011" s="9" t="n">
        <x:f>IF(F2011&gt;=1,1,(1+v01_LowTiesShare*(AE2011-1))/AE2011)</x:f>
        <x:v>1</x:v>
      </x:c>
      <x:c r="AI2011" s="32" t="n">
        <x:f>(Z2011+v01_ElderCommons*INDEX(LM_Elder,G2011)*AA2011)*AH2011</x:f>
        <x:v>64139.732591141874</x:v>
      </x:c>
      <x:c r="AJ2011" s="32" t="n">
        <x:f>H2011*v01_CommonsCoef*AI2011^v01_CommonsExp*INDEX(LM_Commons,G2011)</x:f>
        <x:v>0</x:v>
      </x:c>
      <x:c r="AK2011" s="32" t="n">
        <x:f>H2011*v01_RoleScale*Arch_Roles*(AE2011*(INDEX(v01_ElderRolePerSett,G2011)*v01_OutElder*INDEX(LM_Elder,G2011)+INDEX(v01_ShamanPerSett,G2011)*v01_OutShaman)+Z2011*(INDEX(v01_PriestShare,G2011)*v01_OutPriest+INDEX(v01_ScribeShare,G2011)*v01_OutScribe*INDEX(LM_Scribe,G2011)+INDEX(v01_ScholarShare,G2011)*v01_OutScholar*INDEX(LM_Scholar,G2011)+INDEX(v01_ResearcherShare,G2011)*v01_OutResearcher*INDEX(LM_Researcher,G2011)))</x:f>
        <x:v>0</x:v>
      </x:c>
      <x:c r="AL2011" s="32" t="n">
        <x:f>H2011*v01_RoleScale*Arch_Roles*AE2011*INDEX(v01_MonasteryPerSett,G2011)*v01_OutMonastery*INDEX(LM_Monastery,G2011)</x:f>
        <x:v>0</x:v>
      </x:c>
      <x:c r="AM2011" s="32" t="n">
        <x:f>(AJ2011+AK2011+AL2011)/4*INDEX(LM_All,G2011)*INDEX(v01_Boon,G2011)*Arch_Insight</x:f>
        <x:v>0</x:v>
      </x:c>
      <x:c r="AN2011" s="32" t="n">
        <x:f>H2011*(v01_KHPerAdult*Z2011+v01_KHOfCommons*AJ2011/4*INDEX(LM_All,G2011))*v01_KHUsable*Arch_KH</x:f>
        <x:v>0</x:v>
      </x:c>
      <x:c r="AO2011" s="32" t="n">
        <x:f>MIN(AP2010+AN2011,AM2011*v01_KHMaxRatio)</x:f>
        <x:v>0</x:v>
      </x:c>
      <x:c r="AP2011" s="32" t="n">
        <x:f>AP2010+AN2011-AO2011</x:f>
        <x:v>0</x:v>
      </x:c>
      <x:c r="AQ2011" s="32" t="n">
        <x:f>AM2011+AO2011</x:f>
        <x:v>0</x:v>
      </x:c>
      <x:c r="AR2011" s="10" t="n">
        <x:f>IF(H2011=1,INDEX(v01_Req,G2011),0)</x:f>
        <x:v>0</x:v>
      </x:c>
      <x:c r="AS2011" s="32" t="n">
        <x:f>IF(H2011=1,IF(E2011=1,AS2010-AR2010,AS2010)+AQ2011,0)</x:f>
        <x:v>0</x:v>
      </x:c>
      <x:c r="AT2011" s="11" t="n">
        <x:f>IF(AR2011&gt;0,MIN(1,AS2011/AR2011),1)</x:f>
        <x:v>1</x:v>
      </x:c>
      <x:c r="AU2011" s="10" t="n">
        <x:f>AB2011/INDEX(v01_RepScale,G2011)</x:f>
        <x:v>90.09519605746344</x:v>
      </x:c>
      <x:c r="AV2011" s="32" t="n">
        <x:f>AM2011*60/v01_SeasonSeconds</x:f>
        <x:v>0</x:v>
      </x:c>
    </x:row>
    <x:row r="2012">
      <x:c r="A2012" s="8" t="n">
        <x:f>A2011+1</x:f>
        <x:v>2009</x:v>
      </x:c>
      <x:c r="B2012" s="9" t="n">
        <x:f>A2012*v01_SeasonSeconds/60</x:f>
        <x:v>502.25</x:v>
      </x:c>
      <x:c r="C2012" s="9" t="n">
        <x:f>A2012/4</x:f>
        <x:v>502.25</x:v>
      </x:c>
      <x:c r="D2012" s="8" t="n">
        <x:f>IF(MOD(A2012,4)=0,1,0)</x:f>
        <x:v>0</x:v>
      </x:c>
      <x:c r="E2012" s="8" t="n">
        <x:f>IF(AND(F2011&lt;=9,AS2011&gt;=AR2011),1,0)</x:f>
        <x:v>0</x:v>
      </x:c>
      <x:c r="F2012" s="8" t="n">
        <x:f>MIN(10,F2011+E2012)</x:f>
        <x:v>10</x:v>
      </x:c>
      <x:c r="G2012" s="8" t="n">
        <x:f>MIN(F2012,9)+1</x:f>
        <x:v>10</x:v>
      </x:c>
      <x:c r="H2012" s="8" t="n">
        <x:f>IF(F2012&lt;=9,1,0)</x:f>
        <x:v>0</x:v>
      </x:c>
      <x:c r="I2012" s="9" t="n">
        <x:f>MIN(10,F2011+IF(AR2011&gt;0,MIN(1,AS2011/AR2011),1))</x:f>
        <x:v>10</x:v>
      </x:c>
      <x:c r="J2012" s="32" t="n">
        <x:f>INDEX(v01_FoodCap,G2012)*Arch_FoodCap*EXP(v01_CapsByProject*SUMPRODUCT((Cap_Point&lt;=I2012)*(Cap_Kind="Food")*Cap_Ln))</x:f>
        <x:v>12000</x:v>
      </x:c>
      <x:c r="K2012" s="32" t="n">
        <x:f>J2012*MIN(1,v01_LeanBase*EXP(v01_CapsByProject*SUMPRODUCT((Cap_Point&lt;=I2012)*(Cap_Kind="Lean")*Cap_Ln)))</x:f>
        <x:v>12000</x:v>
      </x:c>
      <x:c r="L2012" s="10" t="n">
        <x:f>INDEX(v01_HousingCap,G2012)*EXP(v01_CapsByProject*SUMPRODUCT((Cap_Point&lt;=I2012)*(Cap_Kind="Housing")*Cap_Ln))</x:f>
        <x:v>20000</x:v>
      </x:c>
      <x:c r="M2012" s="10" t="n">
        <x:f>INDEX(v01_GroupCap,G2012)*v01_CohesionFactor*EXP(v01_CapsByProject*SUMPRODUCT((Cap_Point&lt;=I2012)*(Cap_Kind="Group")*Cap_Ln))</x:f>
        <x:v>1000000</x:v>
      </x:c>
      <x:c r="N2012" s="32" t="n">
        <x:f>MIN(J2012,L2012,M2012)</x:f>
        <x:v>12000</x:v>
      </x:c>
      <x:c r="O2012" s="10" t="n">
        <x:f>AE2011*N2012</x:f>
        <x:v>180000</x:v>
      </x:c>
      <x:c r="P2012" s="9" t="n">
        <x:f>MIN(1,(AB2011/(AE2011*IF(v01_GroupInCrowding=1,N2012,MIN(J2012,L2012))))^v01_CrowdingExp)</x:f>
        <x:v>0.00024569414295285325</x:v>
      </x:c>
      <x:c r="Q2012" s="9" t="n">
        <x:f>IF(D2012=1,INDEX(v01_WinterMult,G2012),1)</x:f>
        <x:v>1</x:v>
      </x:c>
      <x:c r="R2012" s="9" t="n">
        <x:f>H2012*Z2011*v01_WomenShare*v01_BaseFertility*INDEX(v01_FertMult,G2012)*Arch_Fertility*(1-P2012)</x:f>
        <x:v>0</x:v>
      </x:c>
      <x:c r="S2012" s="9" t="n">
        <x:f>H2012*Y2011*INDEX(v01_MortChild,G2012)/4*Q2012</x:f>
        <x:v>0</x:v>
      </x:c>
      <x:c r="T2012" s="9" t="n">
        <x:f>H2012*Z2011*INDEX(v01_MortAdult,G2012)*Arch_AdultMort/4*Q2012</x:f>
        <x:v>0</x:v>
      </x:c>
      <x:c r="U2012" s="9" t="n">
        <x:f>H2012*AA2011*INDEX(v01_MortElder,G2012)/4*Q2012</x:f>
        <x:v>0</x:v>
      </x:c>
      <x:c r="V2012" s="9" t="n">
        <x:f>H2012*MAX(0,AB2011-O2012)*v01_OvercapLoss</x:f>
        <x:v>0</x:v>
      </x:c>
      <x:c r="W2012" s="9" t="n">
        <x:f>H2012*Y2011/(v01_ChildYears*4)</x:f>
        <x:v>0</x:v>
      </x:c>
      <x:c r="X2012" s="9" t="n">
        <x:f>H2012*Z2011/(v01_AdultYears*4)</x:f>
        <x:v>0</x:v>
      </x:c>
      <x:c r="Y2012" s="32" t="n">
        <x:f>Y2011+R2012-S2012-W2012-Y2011*V2012/AB2011</x:f>
        <x:v>14306.18539759397</x:v>
      </x:c>
      <x:c r="Z2012" s="32" t="n">
        <x:f>Z2011+W2012-X2012-T2012-Z2011*V2012/AB2011</x:f>
        <x:v>19354.456567879548</x:v>
      </x:c>
      <x:c r="AA2012" s="32" t="n">
        <x:f>AA2011+X2012-U2012-AA2011*V2012/AB2011</x:f>
        <x:v>11386.956063258198</x:v>
      </x:c>
      <x:c r="AB2012" s="10" t="n">
        <x:f>Y2012+Z2012+AA2012</x:f>
        <x:v>45047.59802873172</x:v>
      </x:c>
      <x:c r="AC2012" s="8" t="n">
        <x:f>IF(AND(v01_WinterTrigger=1,D2012=1,AB2011/AE2011&gt;=K2012),1,0)</x:f>
        <x:v>0</x:v>
      </x:c>
      <x:c r="AD2012" s="8" t="n">
        <x:f>H2012*IF(AND(OR(AB2011/AE2011&gt;=v01_FissionTrigger*N2012,AC2012=1),AB2011/AE2011*v01_DaughterShare&gt;=v01_MinDaughter),MAX(1,ROUND(AE2011*v01_FissionRate,0)),0)</x:f>
        <x:v>0</x:v>
      </x:c>
      <x:c r="AE2012" s="8" t="n">
        <x:f>IF(H2012=1,MAX(1,MIN(INDEX(v01_Smax,G2012),AE2011+AD2012)),AE2011)</x:f>
        <x:v>15</x:v>
      </x:c>
      <x:c r="AF2012" s="8" t="n">
        <x:f>MAX(0,AE2012-AE2011)</x:f>
        <x:v>0</x:v>
      </x:c>
      <x:c r="AG2012" s="9" t="str">
        <x:f>IF(AF2012&gt;0,B2012,"")</x:f>
      </x:c>
      <x:c r="AH2012" s="9" t="n">
        <x:f>IF(F2012&gt;=1,1,(1+v01_LowTiesShare*(AE2012-1))/AE2012)</x:f>
        <x:v>1</x:v>
      </x:c>
      <x:c r="AI2012" s="32" t="n">
        <x:f>(Z2012+v01_ElderCommons*INDEX(LM_Elder,G2012)*AA2012)*AH2012</x:f>
        <x:v>64139.732591141874</x:v>
      </x:c>
      <x:c r="AJ2012" s="32" t="n">
        <x:f>H2012*v01_CommonsCoef*AI2012^v01_CommonsExp*INDEX(LM_Commons,G2012)</x:f>
        <x:v>0</x:v>
      </x:c>
      <x:c r="AK2012" s="32" t="n">
        <x:f>H2012*v01_RoleScale*Arch_Roles*(AE2012*(INDEX(v01_ElderRolePerSett,G2012)*v01_OutElder*INDEX(LM_Elder,G2012)+INDEX(v01_ShamanPerSett,G2012)*v01_OutShaman)+Z2012*(INDEX(v01_PriestShare,G2012)*v01_OutPriest+INDEX(v01_ScribeShare,G2012)*v01_OutScribe*INDEX(LM_Scribe,G2012)+INDEX(v01_ScholarShare,G2012)*v01_OutScholar*INDEX(LM_Scholar,G2012)+INDEX(v01_ResearcherShare,G2012)*v01_OutResearcher*INDEX(LM_Researcher,G2012)))</x:f>
        <x:v>0</x:v>
      </x:c>
      <x:c r="AL2012" s="32" t="n">
        <x:f>H2012*v01_RoleScale*Arch_Roles*AE2012*INDEX(v01_MonasteryPerSett,G2012)*v01_OutMonastery*INDEX(LM_Monastery,G2012)</x:f>
        <x:v>0</x:v>
      </x:c>
      <x:c r="AM2012" s="32" t="n">
        <x:f>(AJ2012+AK2012+AL2012)/4*INDEX(LM_All,G2012)*INDEX(v01_Boon,G2012)*Arch_Insight</x:f>
        <x:v>0</x:v>
      </x:c>
      <x:c r="AN2012" s="32" t="n">
        <x:f>H2012*(v01_KHPerAdult*Z2012+v01_KHOfCommons*AJ2012/4*INDEX(LM_All,G2012))*v01_KHUsable*Arch_KH</x:f>
        <x:v>0</x:v>
      </x:c>
      <x:c r="AO2012" s="32" t="n">
        <x:f>MIN(AP2011+AN2012,AM2012*v01_KHMaxRatio)</x:f>
        <x:v>0</x:v>
      </x:c>
      <x:c r="AP2012" s="32" t="n">
        <x:f>AP2011+AN2012-AO2012</x:f>
        <x:v>0</x:v>
      </x:c>
      <x:c r="AQ2012" s="32" t="n">
        <x:f>AM2012+AO2012</x:f>
        <x:v>0</x:v>
      </x:c>
      <x:c r="AR2012" s="10" t="n">
        <x:f>IF(H2012=1,INDEX(v01_Req,G2012),0)</x:f>
        <x:v>0</x:v>
      </x:c>
      <x:c r="AS2012" s="32" t="n">
        <x:f>IF(H2012=1,IF(E2012=1,AS2011-AR2011,AS2011)+AQ2012,0)</x:f>
        <x:v>0</x:v>
      </x:c>
      <x:c r="AT2012" s="11" t="n">
        <x:f>IF(AR2012&gt;0,MIN(1,AS2012/AR2012),1)</x:f>
        <x:v>1</x:v>
      </x:c>
      <x:c r="AU2012" s="10" t="n">
        <x:f>AB2012/INDEX(v01_RepScale,G2012)</x:f>
        <x:v>90.09519605746344</x:v>
      </x:c>
      <x:c r="AV2012" s="32" t="n">
        <x:f>AM2012*60/v01_SeasonSeconds</x:f>
        <x:v>0</x:v>
      </x:c>
    </x:row>
    <x:row r="2013">
      <x:c r="A2013" s="8" t="n">
        <x:f>A2012+1</x:f>
        <x:v>2010</x:v>
      </x:c>
      <x:c r="B2013" s="9" t="n">
        <x:f>A2013*v01_SeasonSeconds/60</x:f>
        <x:v>502.5</x:v>
      </x:c>
      <x:c r="C2013" s="9" t="n">
        <x:f>A2013/4</x:f>
        <x:v>502.5</x:v>
      </x:c>
      <x:c r="D2013" s="8" t="n">
        <x:f>IF(MOD(A2013,4)=0,1,0)</x:f>
        <x:v>0</x:v>
      </x:c>
      <x:c r="E2013" s="8" t="n">
        <x:f>IF(AND(F2012&lt;=9,AS2012&gt;=AR2012),1,0)</x:f>
        <x:v>0</x:v>
      </x:c>
      <x:c r="F2013" s="8" t="n">
        <x:f>MIN(10,F2012+E2013)</x:f>
        <x:v>10</x:v>
      </x:c>
      <x:c r="G2013" s="8" t="n">
        <x:f>MIN(F2013,9)+1</x:f>
        <x:v>10</x:v>
      </x:c>
      <x:c r="H2013" s="8" t="n">
        <x:f>IF(F2013&lt;=9,1,0)</x:f>
        <x:v>0</x:v>
      </x:c>
      <x:c r="I2013" s="9" t="n">
        <x:f>MIN(10,F2012+IF(AR2012&gt;0,MIN(1,AS2012/AR2012),1))</x:f>
        <x:v>10</x:v>
      </x:c>
      <x:c r="J2013" s="32" t="n">
        <x:f>INDEX(v01_FoodCap,G2013)*Arch_FoodCap*EXP(v01_CapsByProject*SUMPRODUCT((Cap_Point&lt;=I2013)*(Cap_Kind="Food")*Cap_Ln))</x:f>
        <x:v>12000</x:v>
      </x:c>
      <x:c r="K2013" s="32" t="n">
        <x:f>J2013*MIN(1,v01_LeanBase*EXP(v01_CapsByProject*SUMPRODUCT((Cap_Point&lt;=I2013)*(Cap_Kind="Lean")*Cap_Ln)))</x:f>
        <x:v>12000</x:v>
      </x:c>
      <x:c r="L2013" s="10" t="n">
        <x:f>INDEX(v01_HousingCap,G2013)*EXP(v01_CapsByProject*SUMPRODUCT((Cap_Point&lt;=I2013)*(Cap_Kind="Housing")*Cap_Ln))</x:f>
        <x:v>20000</x:v>
      </x:c>
      <x:c r="M2013" s="10" t="n">
        <x:f>INDEX(v01_GroupCap,G2013)*v01_CohesionFactor*EXP(v01_CapsByProject*SUMPRODUCT((Cap_Point&lt;=I2013)*(Cap_Kind="Group")*Cap_Ln))</x:f>
        <x:v>1000000</x:v>
      </x:c>
      <x:c r="N2013" s="32" t="n">
        <x:f>MIN(J2013,L2013,M2013)</x:f>
        <x:v>12000</x:v>
      </x:c>
      <x:c r="O2013" s="10" t="n">
        <x:f>AE2012*N2013</x:f>
        <x:v>180000</x:v>
      </x:c>
      <x:c r="P2013" s="9" t="n">
        <x:f>MIN(1,(AB2012/(AE2012*IF(v01_GroupInCrowding=1,N2013,MIN(J2013,L2013))))^v01_CrowdingExp)</x:f>
        <x:v>0.00024569414295285325</x:v>
      </x:c>
      <x:c r="Q2013" s="9" t="n">
        <x:f>IF(D2013=1,INDEX(v01_WinterMult,G2013),1)</x:f>
        <x:v>1</x:v>
      </x:c>
      <x:c r="R2013" s="9" t="n">
        <x:f>H2013*Z2012*v01_WomenShare*v01_BaseFertility*INDEX(v01_FertMult,G2013)*Arch_Fertility*(1-P2013)</x:f>
        <x:v>0</x:v>
      </x:c>
      <x:c r="S2013" s="9" t="n">
        <x:f>H2013*Y2012*INDEX(v01_MortChild,G2013)/4*Q2013</x:f>
        <x:v>0</x:v>
      </x:c>
      <x:c r="T2013" s="9" t="n">
        <x:f>H2013*Z2012*INDEX(v01_MortAdult,G2013)*Arch_AdultMort/4*Q2013</x:f>
        <x:v>0</x:v>
      </x:c>
      <x:c r="U2013" s="9" t="n">
        <x:f>H2013*AA2012*INDEX(v01_MortElder,G2013)/4*Q2013</x:f>
        <x:v>0</x:v>
      </x:c>
      <x:c r="V2013" s="9" t="n">
        <x:f>H2013*MAX(0,AB2012-O2013)*v01_OvercapLoss</x:f>
        <x:v>0</x:v>
      </x:c>
      <x:c r="W2013" s="9" t="n">
        <x:f>H2013*Y2012/(v01_ChildYears*4)</x:f>
        <x:v>0</x:v>
      </x:c>
      <x:c r="X2013" s="9" t="n">
        <x:f>H2013*Z2012/(v01_AdultYears*4)</x:f>
        <x:v>0</x:v>
      </x:c>
      <x:c r="Y2013" s="32" t="n">
        <x:f>Y2012+R2013-S2013-W2013-Y2012*V2013/AB2012</x:f>
        <x:v>14306.18539759397</x:v>
      </x:c>
      <x:c r="Z2013" s="32" t="n">
        <x:f>Z2012+W2013-X2013-T2013-Z2012*V2013/AB2012</x:f>
        <x:v>19354.456567879548</x:v>
      </x:c>
      <x:c r="AA2013" s="32" t="n">
        <x:f>AA2012+X2013-U2013-AA2012*V2013/AB2012</x:f>
        <x:v>11386.956063258198</x:v>
      </x:c>
      <x:c r="AB2013" s="10" t="n">
        <x:f>Y2013+Z2013+AA2013</x:f>
        <x:v>45047.59802873172</x:v>
      </x:c>
      <x:c r="AC2013" s="8" t="n">
        <x:f>IF(AND(v01_WinterTrigger=1,D2013=1,AB2012/AE2012&gt;=K2013),1,0)</x:f>
        <x:v>0</x:v>
      </x:c>
      <x:c r="AD2013" s="8" t="n">
        <x:f>H2013*IF(AND(OR(AB2012/AE2012&gt;=v01_FissionTrigger*N2013,AC2013=1),AB2012/AE2012*v01_DaughterShare&gt;=v01_MinDaughter),MAX(1,ROUND(AE2012*v01_FissionRate,0)),0)</x:f>
        <x:v>0</x:v>
      </x:c>
      <x:c r="AE2013" s="8" t="n">
        <x:f>IF(H2013=1,MAX(1,MIN(INDEX(v01_Smax,G2013),AE2012+AD2013)),AE2012)</x:f>
        <x:v>15</x:v>
      </x:c>
      <x:c r="AF2013" s="8" t="n">
        <x:f>MAX(0,AE2013-AE2012)</x:f>
        <x:v>0</x:v>
      </x:c>
      <x:c r="AG2013" s="9" t="str">
        <x:f>IF(AF2013&gt;0,B2013,"")</x:f>
      </x:c>
      <x:c r="AH2013" s="9" t="n">
        <x:f>IF(F2013&gt;=1,1,(1+v01_LowTiesShare*(AE2013-1))/AE2013)</x:f>
        <x:v>1</x:v>
      </x:c>
      <x:c r="AI2013" s="32" t="n">
        <x:f>(Z2013+v01_ElderCommons*INDEX(LM_Elder,G2013)*AA2013)*AH2013</x:f>
        <x:v>64139.732591141874</x:v>
      </x:c>
      <x:c r="AJ2013" s="32" t="n">
        <x:f>H2013*v01_CommonsCoef*AI2013^v01_CommonsExp*INDEX(LM_Commons,G2013)</x:f>
        <x:v>0</x:v>
      </x:c>
      <x:c r="AK2013" s="32" t="n">
        <x:f>H2013*v01_RoleScale*Arch_Roles*(AE2013*(INDEX(v01_ElderRolePerSett,G2013)*v01_OutElder*INDEX(LM_Elder,G2013)+INDEX(v01_ShamanPerSett,G2013)*v01_OutShaman)+Z2013*(INDEX(v01_PriestShare,G2013)*v01_OutPriest+INDEX(v01_ScribeShare,G2013)*v01_OutScribe*INDEX(LM_Scribe,G2013)+INDEX(v01_ScholarShare,G2013)*v01_OutScholar*INDEX(LM_Scholar,G2013)+INDEX(v01_ResearcherShare,G2013)*v01_OutResearcher*INDEX(LM_Researcher,G2013)))</x:f>
        <x:v>0</x:v>
      </x:c>
      <x:c r="AL2013" s="32" t="n">
        <x:f>H2013*v01_RoleScale*Arch_Roles*AE2013*INDEX(v01_MonasteryPerSett,G2013)*v01_OutMonastery*INDEX(LM_Monastery,G2013)</x:f>
        <x:v>0</x:v>
      </x:c>
      <x:c r="AM2013" s="32" t="n">
        <x:f>(AJ2013+AK2013+AL2013)/4*INDEX(LM_All,G2013)*INDEX(v01_Boon,G2013)*Arch_Insight</x:f>
        <x:v>0</x:v>
      </x:c>
      <x:c r="AN2013" s="32" t="n">
        <x:f>H2013*(v01_KHPerAdult*Z2013+v01_KHOfCommons*AJ2013/4*INDEX(LM_All,G2013))*v01_KHUsable*Arch_KH</x:f>
        <x:v>0</x:v>
      </x:c>
      <x:c r="AO2013" s="32" t="n">
        <x:f>MIN(AP2012+AN2013,AM2013*v01_KHMaxRatio)</x:f>
        <x:v>0</x:v>
      </x:c>
      <x:c r="AP2013" s="32" t="n">
        <x:f>AP2012+AN2013-AO2013</x:f>
        <x:v>0</x:v>
      </x:c>
      <x:c r="AQ2013" s="32" t="n">
        <x:f>AM2013+AO2013</x:f>
        <x:v>0</x:v>
      </x:c>
      <x:c r="AR2013" s="10" t="n">
        <x:f>IF(H2013=1,INDEX(v01_Req,G2013),0)</x:f>
        <x:v>0</x:v>
      </x:c>
      <x:c r="AS2013" s="32" t="n">
        <x:f>IF(H2013=1,IF(E2013=1,AS2012-AR2012,AS2012)+AQ2013,0)</x:f>
        <x:v>0</x:v>
      </x:c>
      <x:c r="AT2013" s="11" t="n">
        <x:f>IF(AR2013&gt;0,MIN(1,AS2013/AR2013),1)</x:f>
        <x:v>1</x:v>
      </x:c>
      <x:c r="AU2013" s="10" t="n">
        <x:f>AB2013/INDEX(v01_RepScale,G2013)</x:f>
        <x:v>90.09519605746344</x:v>
      </x:c>
      <x:c r="AV2013" s="32" t="n">
        <x:f>AM2013*60/v01_SeasonSeconds</x:f>
        <x:v>0</x:v>
      </x:c>
    </x:row>
    <x:row r="2014">
      <x:c r="A2014" s="8" t="n">
        <x:f>A2013+1</x:f>
        <x:v>2011</x:v>
      </x:c>
      <x:c r="B2014" s="9" t="n">
        <x:f>A2014*v01_SeasonSeconds/60</x:f>
        <x:v>502.75</x:v>
      </x:c>
      <x:c r="C2014" s="9" t="n">
        <x:f>A2014/4</x:f>
        <x:v>502.75</x:v>
      </x:c>
      <x:c r="D2014" s="8" t="n">
        <x:f>IF(MOD(A2014,4)=0,1,0)</x:f>
        <x:v>0</x:v>
      </x:c>
      <x:c r="E2014" s="8" t="n">
        <x:f>IF(AND(F2013&lt;=9,AS2013&gt;=AR2013),1,0)</x:f>
        <x:v>0</x:v>
      </x:c>
      <x:c r="F2014" s="8" t="n">
        <x:f>MIN(10,F2013+E2014)</x:f>
        <x:v>10</x:v>
      </x:c>
      <x:c r="G2014" s="8" t="n">
        <x:f>MIN(F2014,9)+1</x:f>
        <x:v>10</x:v>
      </x:c>
      <x:c r="H2014" s="8" t="n">
        <x:f>IF(F2014&lt;=9,1,0)</x:f>
        <x:v>0</x:v>
      </x:c>
      <x:c r="I2014" s="9" t="n">
        <x:f>MIN(10,F2013+IF(AR2013&gt;0,MIN(1,AS2013/AR2013),1))</x:f>
        <x:v>10</x:v>
      </x:c>
      <x:c r="J2014" s="32" t="n">
        <x:f>INDEX(v01_FoodCap,G2014)*Arch_FoodCap*EXP(v01_CapsByProject*SUMPRODUCT((Cap_Point&lt;=I2014)*(Cap_Kind="Food")*Cap_Ln))</x:f>
        <x:v>12000</x:v>
      </x:c>
      <x:c r="K2014" s="32" t="n">
        <x:f>J2014*MIN(1,v01_LeanBase*EXP(v01_CapsByProject*SUMPRODUCT((Cap_Point&lt;=I2014)*(Cap_Kind="Lean")*Cap_Ln)))</x:f>
        <x:v>12000</x:v>
      </x:c>
      <x:c r="L2014" s="10" t="n">
        <x:f>INDEX(v01_HousingCap,G2014)*EXP(v01_CapsByProject*SUMPRODUCT((Cap_Point&lt;=I2014)*(Cap_Kind="Housing")*Cap_Ln))</x:f>
        <x:v>20000</x:v>
      </x:c>
      <x:c r="M2014" s="10" t="n">
        <x:f>INDEX(v01_GroupCap,G2014)*v01_CohesionFactor*EXP(v01_CapsByProject*SUMPRODUCT((Cap_Point&lt;=I2014)*(Cap_Kind="Group")*Cap_Ln))</x:f>
        <x:v>1000000</x:v>
      </x:c>
      <x:c r="N2014" s="32" t="n">
        <x:f>MIN(J2014,L2014,M2014)</x:f>
        <x:v>12000</x:v>
      </x:c>
      <x:c r="O2014" s="10" t="n">
        <x:f>AE2013*N2014</x:f>
        <x:v>180000</x:v>
      </x:c>
      <x:c r="P2014" s="9" t="n">
        <x:f>MIN(1,(AB2013/(AE2013*IF(v01_GroupInCrowding=1,N2014,MIN(J2014,L2014))))^v01_CrowdingExp)</x:f>
        <x:v>0.00024569414295285325</x:v>
      </x:c>
      <x:c r="Q2014" s="9" t="n">
        <x:f>IF(D2014=1,INDEX(v01_WinterMult,G2014),1)</x:f>
        <x:v>1</x:v>
      </x:c>
      <x:c r="R2014" s="9" t="n">
        <x:f>H2014*Z2013*v01_WomenShare*v01_BaseFertility*INDEX(v01_FertMult,G2014)*Arch_Fertility*(1-P2014)</x:f>
        <x:v>0</x:v>
      </x:c>
      <x:c r="S2014" s="9" t="n">
        <x:f>H2014*Y2013*INDEX(v01_MortChild,G2014)/4*Q2014</x:f>
        <x:v>0</x:v>
      </x:c>
      <x:c r="T2014" s="9" t="n">
        <x:f>H2014*Z2013*INDEX(v01_MortAdult,G2014)*Arch_AdultMort/4*Q2014</x:f>
        <x:v>0</x:v>
      </x:c>
      <x:c r="U2014" s="9" t="n">
        <x:f>H2014*AA2013*INDEX(v01_MortElder,G2014)/4*Q2014</x:f>
        <x:v>0</x:v>
      </x:c>
      <x:c r="V2014" s="9" t="n">
        <x:f>H2014*MAX(0,AB2013-O2014)*v01_OvercapLoss</x:f>
        <x:v>0</x:v>
      </x:c>
      <x:c r="W2014" s="9" t="n">
        <x:f>H2014*Y2013/(v01_ChildYears*4)</x:f>
        <x:v>0</x:v>
      </x:c>
      <x:c r="X2014" s="9" t="n">
        <x:f>H2014*Z2013/(v01_AdultYears*4)</x:f>
        <x:v>0</x:v>
      </x:c>
      <x:c r="Y2014" s="32" t="n">
        <x:f>Y2013+R2014-S2014-W2014-Y2013*V2014/AB2013</x:f>
        <x:v>14306.18539759397</x:v>
      </x:c>
      <x:c r="Z2014" s="32" t="n">
        <x:f>Z2013+W2014-X2014-T2014-Z2013*V2014/AB2013</x:f>
        <x:v>19354.456567879548</x:v>
      </x:c>
      <x:c r="AA2014" s="32" t="n">
        <x:f>AA2013+X2014-U2014-AA2013*V2014/AB2013</x:f>
        <x:v>11386.956063258198</x:v>
      </x:c>
      <x:c r="AB2014" s="10" t="n">
        <x:f>Y2014+Z2014+AA2014</x:f>
        <x:v>45047.59802873172</x:v>
      </x:c>
      <x:c r="AC2014" s="8" t="n">
        <x:f>IF(AND(v01_WinterTrigger=1,D2014=1,AB2013/AE2013&gt;=K2014),1,0)</x:f>
        <x:v>0</x:v>
      </x:c>
      <x:c r="AD2014" s="8" t="n">
        <x:f>H2014*IF(AND(OR(AB2013/AE2013&gt;=v01_FissionTrigger*N2014,AC2014=1),AB2013/AE2013*v01_DaughterShare&gt;=v01_MinDaughter),MAX(1,ROUND(AE2013*v01_FissionRate,0)),0)</x:f>
        <x:v>0</x:v>
      </x:c>
      <x:c r="AE2014" s="8" t="n">
        <x:f>IF(H2014=1,MAX(1,MIN(INDEX(v01_Smax,G2014),AE2013+AD2014)),AE2013)</x:f>
        <x:v>15</x:v>
      </x:c>
      <x:c r="AF2014" s="8" t="n">
        <x:f>MAX(0,AE2014-AE2013)</x:f>
        <x:v>0</x:v>
      </x:c>
      <x:c r="AG2014" s="9" t="str">
        <x:f>IF(AF2014&gt;0,B2014,"")</x:f>
      </x:c>
      <x:c r="AH2014" s="9" t="n">
        <x:f>IF(F2014&gt;=1,1,(1+v01_LowTiesShare*(AE2014-1))/AE2014)</x:f>
        <x:v>1</x:v>
      </x:c>
      <x:c r="AI2014" s="32" t="n">
        <x:f>(Z2014+v01_ElderCommons*INDEX(LM_Elder,G2014)*AA2014)*AH2014</x:f>
        <x:v>64139.732591141874</x:v>
      </x:c>
      <x:c r="AJ2014" s="32" t="n">
        <x:f>H2014*v01_CommonsCoef*AI2014^v01_CommonsExp*INDEX(LM_Commons,G2014)</x:f>
        <x:v>0</x:v>
      </x:c>
      <x:c r="AK2014" s="32" t="n">
        <x:f>H2014*v01_RoleScale*Arch_Roles*(AE2014*(INDEX(v01_ElderRolePerSett,G2014)*v01_OutElder*INDEX(LM_Elder,G2014)+INDEX(v01_ShamanPerSett,G2014)*v01_OutShaman)+Z2014*(INDEX(v01_PriestShare,G2014)*v01_OutPriest+INDEX(v01_ScribeShare,G2014)*v01_OutScribe*INDEX(LM_Scribe,G2014)+INDEX(v01_ScholarShare,G2014)*v01_OutScholar*INDEX(LM_Scholar,G2014)+INDEX(v01_ResearcherShare,G2014)*v01_OutResearcher*INDEX(LM_Researcher,G2014)))</x:f>
        <x:v>0</x:v>
      </x:c>
      <x:c r="AL2014" s="32" t="n">
        <x:f>H2014*v01_RoleScale*Arch_Roles*AE2014*INDEX(v01_MonasteryPerSett,G2014)*v01_OutMonastery*INDEX(LM_Monastery,G2014)</x:f>
        <x:v>0</x:v>
      </x:c>
      <x:c r="AM2014" s="32" t="n">
        <x:f>(AJ2014+AK2014+AL2014)/4*INDEX(LM_All,G2014)*INDEX(v01_Boon,G2014)*Arch_Insight</x:f>
        <x:v>0</x:v>
      </x:c>
      <x:c r="AN2014" s="32" t="n">
        <x:f>H2014*(v01_KHPerAdult*Z2014+v01_KHOfCommons*AJ2014/4*INDEX(LM_All,G2014))*v01_KHUsable*Arch_KH</x:f>
        <x:v>0</x:v>
      </x:c>
      <x:c r="AO2014" s="32" t="n">
        <x:f>MIN(AP2013+AN2014,AM2014*v01_KHMaxRatio)</x:f>
        <x:v>0</x:v>
      </x:c>
      <x:c r="AP2014" s="32" t="n">
        <x:f>AP2013+AN2014-AO2014</x:f>
        <x:v>0</x:v>
      </x:c>
      <x:c r="AQ2014" s="32" t="n">
        <x:f>AM2014+AO2014</x:f>
        <x:v>0</x:v>
      </x:c>
      <x:c r="AR2014" s="10" t="n">
        <x:f>IF(H2014=1,INDEX(v01_Req,G2014),0)</x:f>
        <x:v>0</x:v>
      </x:c>
      <x:c r="AS2014" s="32" t="n">
        <x:f>IF(H2014=1,IF(E2014=1,AS2013-AR2013,AS2013)+AQ2014,0)</x:f>
        <x:v>0</x:v>
      </x:c>
      <x:c r="AT2014" s="11" t="n">
        <x:f>IF(AR2014&gt;0,MIN(1,AS2014/AR2014),1)</x:f>
        <x:v>1</x:v>
      </x:c>
      <x:c r="AU2014" s="10" t="n">
        <x:f>AB2014/INDEX(v01_RepScale,G2014)</x:f>
        <x:v>90.09519605746344</x:v>
      </x:c>
      <x:c r="AV2014" s="32" t="n">
        <x:f>AM2014*60/v01_SeasonSeconds</x:f>
        <x:v>0</x:v>
      </x:c>
    </x:row>
    <x:row r="2015">
      <x:c r="A2015" s="8" t="n">
        <x:f>A2014+1</x:f>
        <x:v>2012</x:v>
      </x:c>
      <x:c r="B2015" s="9" t="n">
        <x:f>A2015*v01_SeasonSeconds/60</x:f>
        <x:v>503</x:v>
      </x:c>
      <x:c r="C2015" s="9" t="n">
        <x:f>A2015/4</x:f>
        <x:v>503</x:v>
      </x:c>
      <x:c r="D2015" s="8" t="n">
        <x:f>IF(MOD(A2015,4)=0,1,0)</x:f>
        <x:v>1</x:v>
      </x:c>
      <x:c r="E2015" s="8" t="n">
        <x:f>IF(AND(F2014&lt;=9,AS2014&gt;=AR2014),1,0)</x:f>
        <x:v>0</x:v>
      </x:c>
      <x:c r="F2015" s="8" t="n">
        <x:f>MIN(10,F2014+E2015)</x:f>
        <x:v>10</x:v>
      </x:c>
      <x:c r="G2015" s="8" t="n">
        <x:f>MIN(F2015,9)+1</x:f>
        <x:v>10</x:v>
      </x:c>
      <x:c r="H2015" s="8" t="n">
        <x:f>IF(F2015&lt;=9,1,0)</x:f>
        <x:v>0</x:v>
      </x:c>
      <x:c r="I2015" s="9" t="n">
        <x:f>MIN(10,F2014+IF(AR2014&gt;0,MIN(1,AS2014/AR2014),1))</x:f>
        <x:v>10</x:v>
      </x:c>
      <x:c r="J2015" s="32" t="n">
        <x:f>INDEX(v01_FoodCap,G2015)*Arch_FoodCap*EXP(v01_CapsByProject*SUMPRODUCT((Cap_Point&lt;=I2015)*(Cap_Kind="Food")*Cap_Ln))</x:f>
        <x:v>12000</x:v>
      </x:c>
      <x:c r="K2015" s="32" t="n">
        <x:f>J2015*MIN(1,v01_LeanBase*EXP(v01_CapsByProject*SUMPRODUCT((Cap_Point&lt;=I2015)*(Cap_Kind="Lean")*Cap_Ln)))</x:f>
        <x:v>12000</x:v>
      </x:c>
      <x:c r="L2015" s="10" t="n">
        <x:f>INDEX(v01_HousingCap,G2015)*EXP(v01_CapsByProject*SUMPRODUCT((Cap_Point&lt;=I2015)*(Cap_Kind="Housing")*Cap_Ln))</x:f>
        <x:v>20000</x:v>
      </x:c>
      <x:c r="M2015" s="10" t="n">
        <x:f>INDEX(v01_GroupCap,G2015)*v01_CohesionFactor*EXP(v01_CapsByProject*SUMPRODUCT((Cap_Point&lt;=I2015)*(Cap_Kind="Group")*Cap_Ln))</x:f>
        <x:v>1000000</x:v>
      </x:c>
      <x:c r="N2015" s="32" t="n">
        <x:f>MIN(J2015,L2015,M2015)</x:f>
        <x:v>12000</x:v>
      </x:c>
      <x:c r="O2015" s="10" t="n">
        <x:f>AE2014*N2015</x:f>
        <x:v>180000</x:v>
      </x:c>
      <x:c r="P2015" s="9" t="n">
        <x:f>MIN(1,(AB2014/(AE2014*IF(v01_GroupInCrowding=1,N2015,MIN(J2015,L2015))))^v01_CrowdingExp)</x:f>
        <x:v>0.00024569414295285325</x:v>
      </x:c>
      <x:c r="Q2015" s="9" t="n">
        <x:f>IF(D2015=1,INDEX(v01_WinterMult,G2015),1)</x:f>
        <x:v>1</x:v>
      </x:c>
      <x:c r="R2015" s="9" t="n">
        <x:f>H2015*Z2014*v01_WomenShare*v01_BaseFertility*INDEX(v01_FertMult,G2015)*Arch_Fertility*(1-P2015)</x:f>
        <x:v>0</x:v>
      </x:c>
      <x:c r="S2015" s="9" t="n">
        <x:f>H2015*Y2014*INDEX(v01_MortChild,G2015)/4*Q2015</x:f>
        <x:v>0</x:v>
      </x:c>
      <x:c r="T2015" s="9" t="n">
        <x:f>H2015*Z2014*INDEX(v01_MortAdult,G2015)*Arch_AdultMort/4*Q2015</x:f>
        <x:v>0</x:v>
      </x:c>
      <x:c r="U2015" s="9" t="n">
        <x:f>H2015*AA2014*INDEX(v01_MortElder,G2015)/4*Q2015</x:f>
        <x:v>0</x:v>
      </x:c>
      <x:c r="V2015" s="9" t="n">
        <x:f>H2015*MAX(0,AB2014-O2015)*v01_OvercapLoss</x:f>
        <x:v>0</x:v>
      </x:c>
      <x:c r="W2015" s="9" t="n">
        <x:f>H2015*Y2014/(v01_ChildYears*4)</x:f>
        <x:v>0</x:v>
      </x:c>
      <x:c r="X2015" s="9" t="n">
        <x:f>H2015*Z2014/(v01_AdultYears*4)</x:f>
        <x:v>0</x:v>
      </x:c>
      <x:c r="Y2015" s="32" t="n">
        <x:f>Y2014+R2015-S2015-W2015-Y2014*V2015/AB2014</x:f>
        <x:v>14306.18539759397</x:v>
      </x:c>
      <x:c r="Z2015" s="32" t="n">
        <x:f>Z2014+W2015-X2015-T2015-Z2014*V2015/AB2014</x:f>
        <x:v>19354.456567879548</x:v>
      </x:c>
      <x:c r="AA2015" s="32" t="n">
        <x:f>AA2014+X2015-U2015-AA2014*V2015/AB2014</x:f>
        <x:v>11386.956063258198</x:v>
      </x:c>
      <x:c r="AB2015" s="10" t="n">
        <x:f>Y2015+Z2015+AA2015</x:f>
        <x:v>45047.59802873172</x:v>
      </x:c>
      <x:c r="AC2015" s="8" t="n">
        <x:f>IF(AND(v01_WinterTrigger=1,D2015=1,AB2014/AE2014&gt;=K2015),1,0)</x:f>
        <x:v>0</x:v>
      </x:c>
      <x:c r="AD2015" s="8" t="n">
        <x:f>H2015*IF(AND(OR(AB2014/AE2014&gt;=v01_FissionTrigger*N2015,AC2015=1),AB2014/AE2014*v01_DaughterShare&gt;=v01_MinDaughter),MAX(1,ROUND(AE2014*v01_FissionRate,0)),0)</x:f>
        <x:v>0</x:v>
      </x:c>
      <x:c r="AE2015" s="8" t="n">
        <x:f>IF(H2015=1,MAX(1,MIN(INDEX(v01_Smax,G2015),AE2014+AD2015)),AE2014)</x:f>
        <x:v>15</x:v>
      </x:c>
      <x:c r="AF2015" s="8" t="n">
        <x:f>MAX(0,AE2015-AE2014)</x:f>
        <x:v>0</x:v>
      </x:c>
      <x:c r="AG2015" s="9" t="str">
        <x:f>IF(AF2015&gt;0,B2015,"")</x:f>
      </x:c>
      <x:c r="AH2015" s="9" t="n">
        <x:f>IF(F2015&gt;=1,1,(1+v01_LowTiesShare*(AE2015-1))/AE2015)</x:f>
        <x:v>1</x:v>
      </x:c>
      <x:c r="AI2015" s="32" t="n">
        <x:f>(Z2015+v01_ElderCommons*INDEX(LM_Elder,G2015)*AA2015)*AH2015</x:f>
        <x:v>64139.732591141874</x:v>
      </x:c>
      <x:c r="AJ2015" s="32" t="n">
        <x:f>H2015*v01_CommonsCoef*AI2015^v01_CommonsExp*INDEX(LM_Commons,G2015)</x:f>
        <x:v>0</x:v>
      </x:c>
      <x:c r="AK2015" s="32" t="n">
        <x:f>H2015*v01_RoleScale*Arch_Roles*(AE2015*(INDEX(v01_ElderRolePerSett,G2015)*v01_OutElder*INDEX(LM_Elder,G2015)+INDEX(v01_ShamanPerSett,G2015)*v01_OutShaman)+Z2015*(INDEX(v01_PriestShare,G2015)*v01_OutPriest+INDEX(v01_ScribeShare,G2015)*v01_OutScribe*INDEX(LM_Scribe,G2015)+INDEX(v01_ScholarShare,G2015)*v01_OutScholar*INDEX(LM_Scholar,G2015)+INDEX(v01_ResearcherShare,G2015)*v01_OutResearcher*INDEX(LM_Researcher,G2015)))</x:f>
        <x:v>0</x:v>
      </x:c>
      <x:c r="AL2015" s="32" t="n">
        <x:f>H2015*v01_RoleScale*Arch_Roles*AE2015*INDEX(v01_MonasteryPerSett,G2015)*v01_OutMonastery*INDEX(LM_Monastery,G2015)</x:f>
        <x:v>0</x:v>
      </x:c>
      <x:c r="AM2015" s="32" t="n">
        <x:f>(AJ2015+AK2015+AL2015)/4*INDEX(LM_All,G2015)*INDEX(v01_Boon,G2015)*Arch_Insight</x:f>
        <x:v>0</x:v>
      </x:c>
      <x:c r="AN2015" s="32" t="n">
        <x:f>H2015*(v01_KHPerAdult*Z2015+v01_KHOfCommons*AJ2015/4*INDEX(LM_All,G2015))*v01_KHUsable*Arch_KH</x:f>
        <x:v>0</x:v>
      </x:c>
      <x:c r="AO2015" s="32" t="n">
        <x:f>MIN(AP2014+AN2015,AM2015*v01_KHMaxRatio)</x:f>
        <x:v>0</x:v>
      </x:c>
      <x:c r="AP2015" s="32" t="n">
        <x:f>AP2014+AN2015-AO2015</x:f>
        <x:v>0</x:v>
      </x:c>
      <x:c r="AQ2015" s="32" t="n">
        <x:f>AM2015+AO2015</x:f>
        <x:v>0</x:v>
      </x:c>
      <x:c r="AR2015" s="10" t="n">
        <x:f>IF(H2015=1,INDEX(v01_Req,G2015),0)</x:f>
        <x:v>0</x:v>
      </x:c>
      <x:c r="AS2015" s="32" t="n">
        <x:f>IF(H2015=1,IF(E2015=1,AS2014-AR2014,AS2014)+AQ2015,0)</x:f>
        <x:v>0</x:v>
      </x:c>
      <x:c r="AT2015" s="11" t="n">
        <x:f>IF(AR2015&gt;0,MIN(1,AS2015/AR2015),1)</x:f>
        <x:v>1</x:v>
      </x:c>
      <x:c r="AU2015" s="10" t="n">
        <x:f>AB2015/INDEX(v01_RepScale,G2015)</x:f>
        <x:v>90.09519605746344</x:v>
      </x:c>
      <x:c r="AV2015" s="32" t="n">
        <x:f>AM2015*60/v01_SeasonSeconds</x:f>
        <x:v>0</x:v>
      </x:c>
    </x:row>
    <x:row r="2016">
      <x:c r="A2016" s="8" t="n">
        <x:f>A2015+1</x:f>
        <x:v>2013</x:v>
      </x:c>
      <x:c r="B2016" s="9" t="n">
        <x:f>A2016*v01_SeasonSeconds/60</x:f>
        <x:v>503.25</x:v>
      </x:c>
      <x:c r="C2016" s="9" t="n">
        <x:f>A2016/4</x:f>
        <x:v>503.25</x:v>
      </x:c>
      <x:c r="D2016" s="8" t="n">
        <x:f>IF(MOD(A2016,4)=0,1,0)</x:f>
        <x:v>0</x:v>
      </x:c>
      <x:c r="E2016" s="8" t="n">
        <x:f>IF(AND(F2015&lt;=9,AS2015&gt;=AR2015),1,0)</x:f>
        <x:v>0</x:v>
      </x:c>
      <x:c r="F2016" s="8" t="n">
        <x:f>MIN(10,F2015+E2016)</x:f>
        <x:v>10</x:v>
      </x:c>
      <x:c r="G2016" s="8" t="n">
        <x:f>MIN(F2016,9)+1</x:f>
        <x:v>10</x:v>
      </x:c>
      <x:c r="H2016" s="8" t="n">
        <x:f>IF(F2016&lt;=9,1,0)</x:f>
        <x:v>0</x:v>
      </x:c>
      <x:c r="I2016" s="9" t="n">
        <x:f>MIN(10,F2015+IF(AR2015&gt;0,MIN(1,AS2015/AR2015),1))</x:f>
        <x:v>10</x:v>
      </x:c>
      <x:c r="J2016" s="32" t="n">
        <x:f>INDEX(v01_FoodCap,G2016)*Arch_FoodCap*EXP(v01_CapsByProject*SUMPRODUCT((Cap_Point&lt;=I2016)*(Cap_Kind="Food")*Cap_Ln))</x:f>
        <x:v>12000</x:v>
      </x:c>
      <x:c r="K2016" s="32" t="n">
        <x:f>J2016*MIN(1,v01_LeanBase*EXP(v01_CapsByProject*SUMPRODUCT((Cap_Point&lt;=I2016)*(Cap_Kind="Lean")*Cap_Ln)))</x:f>
        <x:v>12000</x:v>
      </x:c>
      <x:c r="L2016" s="10" t="n">
        <x:f>INDEX(v01_HousingCap,G2016)*EXP(v01_CapsByProject*SUMPRODUCT((Cap_Point&lt;=I2016)*(Cap_Kind="Housing")*Cap_Ln))</x:f>
        <x:v>20000</x:v>
      </x:c>
      <x:c r="M2016" s="10" t="n">
        <x:f>INDEX(v01_GroupCap,G2016)*v01_CohesionFactor*EXP(v01_CapsByProject*SUMPRODUCT((Cap_Point&lt;=I2016)*(Cap_Kind="Group")*Cap_Ln))</x:f>
        <x:v>1000000</x:v>
      </x:c>
      <x:c r="N2016" s="32" t="n">
        <x:f>MIN(J2016,L2016,M2016)</x:f>
        <x:v>12000</x:v>
      </x:c>
      <x:c r="O2016" s="10" t="n">
        <x:f>AE2015*N2016</x:f>
        <x:v>180000</x:v>
      </x:c>
      <x:c r="P2016" s="9" t="n">
        <x:f>MIN(1,(AB2015/(AE2015*IF(v01_GroupInCrowding=1,N2016,MIN(J2016,L2016))))^v01_CrowdingExp)</x:f>
        <x:v>0.00024569414295285325</x:v>
      </x:c>
      <x:c r="Q2016" s="9" t="n">
        <x:f>IF(D2016=1,INDEX(v01_WinterMult,G2016),1)</x:f>
        <x:v>1</x:v>
      </x:c>
      <x:c r="R2016" s="9" t="n">
        <x:f>H2016*Z2015*v01_WomenShare*v01_BaseFertility*INDEX(v01_FertMult,G2016)*Arch_Fertility*(1-P2016)</x:f>
        <x:v>0</x:v>
      </x:c>
      <x:c r="S2016" s="9" t="n">
        <x:f>H2016*Y2015*INDEX(v01_MortChild,G2016)/4*Q2016</x:f>
        <x:v>0</x:v>
      </x:c>
      <x:c r="T2016" s="9" t="n">
        <x:f>H2016*Z2015*INDEX(v01_MortAdult,G2016)*Arch_AdultMort/4*Q2016</x:f>
        <x:v>0</x:v>
      </x:c>
      <x:c r="U2016" s="9" t="n">
        <x:f>H2016*AA2015*INDEX(v01_MortElder,G2016)/4*Q2016</x:f>
        <x:v>0</x:v>
      </x:c>
      <x:c r="V2016" s="9" t="n">
        <x:f>H2016*MAX(0,AB2015-O2016)*v01_OvercapLoss</x:f>
        <x:v>0</x:v>
      </x:c>
      <x:c r="W2016" s="9" t="n">
        <x:f>H2016*Y2015/(v01_ChildYears*4)</x:f>
        <x:v>0</x:v>
      </x:c>
      <x:c r="X2016" s="9" t="n">
        <x:f>H2016*Z2015/(v01_AdultYears*4)</x:f>
        <x:v>0</x:v>
      </x:c>
      <x:c r="Y2016" s="32" t="n">
        <x:f>Y2015+R2016-S2016-W2016-Y2015*V2016/AB2015</x:f>
        <x:v>14306.18539759397</x:v>
      </x:c>
      <x:c r="Z2016" s="32" t="n">
        <x:f>Z2015+W2016-X2016-T2016-Z2015*V2016/AB2015</x:f>
        <x:v>19354.456567879548</x:v>
      </x:c>
      <x:c r="AA2016" s="32" t="n">
        <x:f>AA2015+X2016-U2016-AA2015*V2016/AB2015</x:f>
        <x:v>11386.956063258198</x:v>
      </x:c>
      <x:c r="AB2016" s="10" t="n">
        <x:f>Y2016+Z2016+AA2016</x:f>
        <x:v>45047.59802873172</x:v>
      </x:c>
      <x:c r="AC2016" s="8" t="n">
        <x:f>IF(AND(v01_WinterTrigger=1,D2016=1,AB2015/AE2015&gt;=K2016),1,0)</x:f>
        <x:v>0</x:v>
      </x:c>
      <x:c r="AD2016" s="8" t="n">
        <x:f>H2016*IF(AND(OR(AB2015/AE2015&gt;=v01_FissionTrigger*N2016,AC2016=1),AB2015/AE2015*v01_DaughterShare&gt;=v01_MinDaughter),MAX(1,ROUND(AE2015*v01_FissionRate,0)),0)</x:f>
        <x:v>0</x:v>
      </x:c>
      <x:c r="AE2016" s="8" t="n">
        <x:f>IF(H2016=1,MAX(1,MIN(INDEX(v01_Smax,G2016),AE2015+AD2016)),AE2015)</x:f>
        <x:v>15</x:v>
      </x:c>
      <x:c r="AF2016" s="8" t="n">
        <x:f>MAX(0,AE2016-AE2015)</x:f>
        <x:v>0</x:v>
      </x:c>
      <x:c r="AG2016" s="9" t="str">
        <x:f>IF(AF2016&gt;0,B2016,"")</x:f>
      </x:c>
      <x:c r="AH2016" s="9" t="n">
        <x:f>IF(F2016&gt;=1,1,(1+v01_LowTiesShare*(AE2016-1))/AE2016)</x:f>
        <x:v>1</x:v>
      </x:c>
      <x:c r="AI2016" s="32" t="n">
        <x:f>(Z2016+v01_ElderCommons*INDEX(LM_Elder,G2016)*AA2016)*AH2016</x:f>
        <x:v>64139.732591141874</x:v>
      </x:c>
      <x:c r="AJ2016" s="32" t="n">
        <x:f>H2016*v01_CommonsCoef*AI2016^v01_CommonsExp*INDEX(LM_Commons,G2016)</x:f>
        <x:v>0</x:v>
      </x:c>
      <x:c r="AK2016" s="32" t="n">
        <x:f>H2016*v01_RoleScale*Arch_Roles*(AE2016*(INDEX(v01_ElderRolePerSett,G2016)*v01_OutElder*INDEX(LM_Elder,G2016)+INDEX(v01_ShamanPerSett,G2016)*v01_OutShaman)+Z2016*(INDEX(v01_PriestShare,G2016)*v01_OutPriest+INDEX(v01_ScribeShare,G2016)*v01_OutScribe*INDEX(LM_Scribe,G2016)+INDEX(v01_ScholarShare,G2016)*v01_OutScholar*INDEX(LM_Scholar,G2016)+INDEX(v01_ResearcherShare,G2016)*v01_OutResearcher*INDEX(LM_Researcher,G2016)))</x:f>
        <x:v>0</x:v>
      </x:c>
      <x:c r="AL2016" s="32" t="n">
        <x:f>H2016*v01_RoleScale*Arch_Roles*AE2016*INDEX(v01_MonasteryPerSett,G2016)*v01_OutMonastery*INDEX(LM_Monastery,G2016)</x:f>
        <x:v>0</x:v>
      </x:c>
      <x:c r="AM2016" s="32" t="n">
        <x:f>(AJ2016+AK2016+AL2016)/4*INDEX(LM_All,G2016)*INDEX(v01_Boon,G2016)*Arch_Insight</x:f>
        <x:v>0</x:v>
      </x:c>
      <x:c r="AN2016" s="32" t="n">
        <x:f>H2016*(v01_KHPerAdult*Z2016+v01_KHOfCommons*AJ2016/4*INDEX(LM_All,G2016))*v01_KHUsable*Arch_KH</x:f>
        <x:v>0</x:v>
      </x:c>
      <x:c r="AO2016" s="32" t="n">
        <x:f>MIN(AP2015+AN2016,AM2016*v01_KHMaxRatio)</x:f>
        <x:v>0</x:v>
      </x:c>
      <x:c r="AP2016" s="32" t="n">
        <x:f>AP2015+AN2016-AO2016</x:f>
        <x:v>0</x:v>
      </x:c>
      <x:c r="AQ2016" s="32" t="n">
        <x:f>AM2016+AO2016</x:f>
        <x:v>0</x:v>
      </x:c>
      <x:c r="AR2016" s="10" t="n">
        <x:f>IF(H2016=1,INDEX(v01_Req,G2016),0)</x:f>
        <x:v>0</x:v>
      </x:c>
      <x:c r="AS2016" s="32" t="n">
        <x:f>IF(H2016=1,IF(E2016=1,AS2015-AR2015,AS2015)+AQ2016,0)</x:f>
        <x:v>0</x:v>
      </x:c>
      <x:c r="AT2016" s="11" t="n">
        <x:f>IF(AR2016&gt;0,MIN(1,AS2016/AR2016),1)</x:f>
        <x:v>1</x:v>
      </x:c>
      <x:c r="AU2016" s="10" t="n">
        <x:f>AB2016/INDEX(v01_RepScale,G2016)</x:f>
        <x:v>90.09519605746344</x:v>
      </x:c>
      <x:c r="AV2016" s="32" t="n">
        <x:f>AM2016*60/v01_SeasonSeconds</x:f>
        <x:v>0</x:v>
      </x:c>
    </x:row>
    <x:row r="2017">
      <x:c r="A2017" s="8" t="n">
        <x:f>A2016+1</x:f>
        <x:v>2014</x:v>
      </x:c>
      <x:c r="B2017" s="9" t="n">
        <x:f>A2017*v01_SeasonSeconds/60</x:f>
        <x:v>503.5</x:v>
      </x:c>
      <x:c r="C2017" s="9" t="n">
        <x:f>A2017/4</x:f>
        <x:v>503.5</x:v>
      </x:c>
      <x:c r="D2017" s="8" t="n">
        <x:f>IF(MOD(A2017,4)=0,1,0)</x:f>
        <x:v>0</x:v>
      </x:c>
      <x:c r="E2017" s="8" t="n">
        <x:f>IF(AND(F2016&lt;=9,AS2016&gt;=AR2016),1,0)</x:f>
        <x:v>0</x:v>
      </x:c>
      <x:c r="F2017" s="8" t="n">
        <x:f>MIN(10,F2016+E2017)</x:f>
        <x:v>10</x:v>
      </x:c>
      <x:c r="G2017" s="8" t="n">
        <x:f>MIN(F2017,9)+1</x:f>
        <x:v>10</x:v>
      </x:c>
      <x:c r="H2017" s="8" t="n">
        <x:f>IF(F2017&lt;=9,1,0)</x:f>
        <x:v>0</x:v>
      </x:c>
      <x:c r="I2017" s="9" t="n">
        <x:f>MIN(10,F2016+IF(AR2016&gt;0,MIN(1,AS2016/AR2016),1))</x:f>
        <x:v>10</x:v>
      </x:c>
      <x:c r="J2017" s="32" t="n">
        <x:f>INDEX(v01_FoodCap,G2017)*Arch_FoodCap*EXP(v01_CapsByProject*SUMPRODUCT((Cap_Point&lt;=I2017)*(Cap_Kind="Food")*Cap_Ln))</x:f>
        <x:v>12000</x:v>
      </x:c>
      <x:c r="K2017" s="32" t="n">
        <x:f>J2017*MIN(1,v01_LeanBase*EXP(v01_CapsByProject*SUMPRODUCT((Cap_Point&lt;=I2017)*(Cap_Kind="Lean")*Cap_Ln)))</x:f>
        <x:v>12000</x:v>
      </x:c>
      <x:c r="L2017" s="10" t="n">
        <x:f>INDEX(v01_HousingCap,G2017)*EXP(v01_CapsByProject*SUMPRODUCT((Cap_Point&lt;=I2017)*(Cap_Kind="Housing")*Cap_Ln))</x:f>
        <x:v>20000</x:v>
      </x:c>
      <x:c r="M2017" s="10" t="n">
        <x:f>INDEX(v01_GroupCap,G2017)*v01_CohesionFactor*EXP(v01_CapsByProject*SUMPRODUCT((Cap_Point&lt;=I2017)*(Cap_Kind="Group")*Cap_Ln))</x:f>
        <x:v>1000000</x:v>
      </x:c>
      <x:c r="N2017" s="32" t="n">
        <x:f>MIN(J2017,L2017,M2017)</x:f>
        <x:v>12000</x:v>
      </x:c>
      <x:c r="O2017" s="10" t="n">
        <x:f>AE2016*N2017</x:f>
        <x:v>180000</x:v>
      </x:c>
      <x:c r="P2017" s="9" t="n">
        <x:f>MIN(1,(AB2016/(AE2016*IF(v01_GroupInCrowding=1,N2017,MIN(J2017,L2017))))^v01_CrowdingExp)</x:f>
        <x:v>0.00024569414295285325</x:v>
      </x:c>
      <x:c r="Q2017" s="9" t="n">
        <x:f>IF(D2017=1,INDEX(v01_WinterMult,G2017),1)</x:f>
        <x:v>1</x:v>
      </x:c>
      <x:c r="R2017" s="9" t="n">
        <x:f>H2017*Z2016*v01_WomenShare*v01_BaseFertility*INDEX(v01_FertMult,G2017)*Arch_Fertility*(1-P2017)</x:f>
        <x:v>0</x:v>
      </x:c>
      <x:c r="S2017" s="9" t="n">
        <x:f>H2017*Y2016*INDEX(v01_MortChild,G2017)/4*Q2017</x:f>
        <x:v>0</x:v>
      </x:c>
      <x:c r="T2017" s="9" t="n">
        <x:f>H2017*Z2016*INDEX(v01_MortAdult,G2017)*Arch_AdultMort/4*Q2017</x:f>
        <x:v>0</x:v>
      </x:c>
      <x:c r="U2017" s="9" t="n">
        <x:f>H2017*AA2016*INDEX(v01_MortElder,G2017)/4*Q2017</x:f>
        <x:v>0</x:v>
      </x:c>
      <x:c r="V2017" s="9" t="n">
        <x:f>H2017*MAX(0,AB2016-O2017)*v01_OvercapLoss</x:f>
        <x:v>0</x:v>
      </x:c>
      <x:c r="W2017" s="9" t="n">
        <x:f>H2017*Y2016/(v01_ChildYears*4)</x:f>
        <x:v>0</x:v>
      </x:c>
      <x:c r="X2017" s="9" t="n">
        <x:f>H2017*Z2016/(v01_AdultYears*4)</x:f>
        <x:v>0</x:v>
      </x:c>
      <x:c r="Y2017" s="32" t="n">
        <x:f>Y2016+R2017-S2017-W2017-Y2016*V2017/AB2016</x:f>
        <x:v>14306.18539759397</x:v>
      </x:c>
      <x:c r="Z2017" s="32" t="n">
        <x:f>Z2016+W2017-X2017-T2017-Z2016*V2017/AB2016</x:f>
        <x:v>19354.456567879548</x:v>
      </x:c>
      <x:c r="AA2017" s="32" t="n">
        <x:f>AA2016+X2017-U2017-AA2016*V2017/AB2016</x:f>
        <x:v>11386.956063258198</x:v>
      </x:c>
      <x:c r="AB2017" s="10" t="n">
        <x:f>Y2017+Z2017+AA2017</x:f>
        <x:v>45047.59802873172</x:v>
      </x:c>
      <x:c r="AC2017" s="8" t="n">
        <x:f>IF(AND(v01_WinterTrigger=1,D2017=1,AB2016/AE2016&gt;=K2017),1,0)</x:f>
        <x:v>0</x:v>
      </x:c>
      <x:c r="AD2017" s="8" t="n">
        <x:f>H2017*IF(AND(OR(AB2016/AE2016&gt;=v01_FissionTrigger*N2017,AC2017=1),AB2016/AE2016*v01_DaughterShare&gt;=v01_MinDaughter),MAX(1,ROUND(AE2016*v01_FissionRate,0)),0)</x:f>
        <x:v>0</x:v>
      </x:c>
      <x:c r="AE2017" s="8" t="n">
        <x:f>IF(H2017=1,MAX(1,MIN(INDEX(v01_Smax,G2017),AE2016+AD2017)),AE2016)</x:f>
        <x:v>15</x:v>
      </x:c>
      <x:c r="AF2017" s="8" t="n">
        <x:f>MAX(0,AE2017-AE2016)</x:f>
        <x:v>0</x:v>
      </x:c>
      <x:c r="AG2017" s="9" t="str">
        <x:f>IF(AF2017&gt;0,B2017,"")</x:f>
      </x:c>
      <x:c r="AH2017" s="9" t="n">
        <x:f>IF(F2017&gt;=1,1,(1+v01_LowTiesShare*(AE2017-1))/AE2017)</x:f>
        <x:v>1</x:v>
      </x:c>
      <x:c r="AI2017" s="32" t="n">
        <x:f>(Z2017+v01_ElderCommons*INDEX(LM_Elder,G2017)*AA2017)*AH2017</x:f>
        <x:v>64139.732591141874</x:v>
      </x:c>
      <x:c r="AJ2017" s="32" t="n">
        <x:f>H2017*v01_CommonsCoef*AI2017^v01_CommonsExp*INDEX(LM_Commons,G2017)</x:f>
        <x:v>0</x:v>
      </x:c>
      <x:c r="AK2017" s="32" t="n">
        <x:f>H2017*v01_RoleScale*Arch_Roles*(AE2017*(INDEX(v01_ElderRolePerSett,G2017)*v01_OutElder*INDEX(LM_Elder,G2017)+INDEX(v01_ShamanPerSett,G2017)*v01_OutShaman)+Z2017*(INDEX(v01_PriestShare,G2017)*v01_OutPriest+INDEX(v01_ScribeShare,G2017)*v01_OutScribe*INDEX(LM_Scribe,G2017)+INDEX(v01_ScholarShare,G2017)*v01_OutScholar*INDEX(LM_Scholar,G2017)+INDEX(v01_ResearcherShare,G2017)*v01_OutResearcher*INDEX(LM_Researcher,G2017)))</x:f>
        <x:v>0</x:v>
      </x:c>
      <x:c r="AL2017" s="32" t="n">
        <x:f>H2017*v01_RoleScale*Arch_Roles*AE2017*INDEX(v01_MonasteryPerSett,G2017)*v01_OutMonastery*INDEX(LM_Monastery,G2017)</x:f>
        <x:v>0</x:v>
      </x:c>
      <x:c r="AM2017" s="32" t="n">
        <x:f>(AJ2017+AK2017+AL2017)/4*INDEX(LM_All,G2017)*INDEX(v01_Boon,G2017)*Arch_Insight</x:f>
        <x:v>0</x:v>
      </x:c>
      <x:c r="AN2017" s="32" t="n">
        <x:f>H2017*(v01_KHPerAdult*Z2017+v01_KHOfCommons*AJ2017/4*INDEX(LM_All,G2017))*v01_KHUsable*Arch_KH</x:f>
        <x:v>0</x:v>
      </x:c>
      <x:c r="AO2017" s="32" t="n">
        <x:f>MIN(AP2016+AN2017,AM2017*v01_KHMaxRatio)</x:f>
        <x:v>0</x:v>
      </x:c>
      <x:c r="AP2017" s="32" t="n">
        <x:f>AP2016+AN2017-AO2017</x:f>
        <x:v>0</x:v>
      </x:c>
      <x:c r="AQ2017" s="32" t="n">
        <x:f>AM2017+AO2017</x:f>
        <x:v>0</x:v>
      </x:c>
      <x:c r="AR2017" s="10" t="n">
        <x:f>IF(H2017=1,INDEX(v01_Req,G2017),0)</x:f>
        <x:v>0</x:v>
      </x:c>
      <x:c r="AS2017" s="32" t="n">
        <x:f>IF(H2017=1,IF(E2017=1,AS2016-AR2016,AS2016)+AQ2017,0)</x:f>
        <x:v>0</x:v>
      </x:c>
      <x:c r="AT2017" s="11" t="n">
        <x:f>IF(AR2017&gt;0,MIN(1,AS2017/AR2017),1)</x:f>
        <x:v>1</x:v>
      </x:c>
      <x:c r="AU2017" s="10" t="n">
        <x:f>AB2017/INDEX(v01_RepScale,G2017)</x:f>
        <x:v>90.09519605746344</x:v>
      </x:c>
      <x:c r="AV2017" s="32" t="n">
        <x:f>AM2017*60/v01_SeasonSeconds</x:f>
        <x:v>0</x:v>
      </x:c>
    </x:row>
    <x:row r="2018">
      <x:c r="A2018" s="8" t="n">
        <x:f>A2017+1</x:f>
        <x:v>2015</x:v>
      </x:c>
      <x:c r="B2018" s="9" t="n">
        <x:f>A2018*v01_SeasonSeconds/60</x:f>
        <x:v>503.75</x:v>
      </x:c>
      <x:c r="C2018" s="9" t="n">
        <x:f>A2018/4</x:f>
        <x:v>503.75</x:v>
      </x:c>
      <x:c r="D2018" s="8" t="n">
        <x:f>IF(MOD(A2018,4)=0,1,0)</x:f>
        <x:v>0</x:v>
      </x:c>
      <x:c r="E2018" s="8" t="n">
        <x:f>IF(AND(F2017&lt;=9,AS2017&gt;=AR2017),1,0)</x:f>
        <x:v>0</x:v>
      </x:c>
      <x:c r="F2018" s="8" t="n">
        <x:f>MIN(10,F2017+E2018)</x:f>
        <x:v>10</x:v>
      </x:c>
      <x:c r="G2018" s="8" t="n">
        <x:f>MIN(F2018,9)+1</x:f>
        <x:v>10</x:v>
      </x:c>
      <x:c r="H2018" s="8" t="n">
        <x:f>IF(F2018&lt;=9,1,0)</x:f>
        <x:v>0</x:v>
      </x:c>
      <x:c r="I2018" s="9" t="n">
        <x:f>MIN(10,F2017+IF(AR2017&gt;0,MIN(1,AS2017/AR2017),1))</x:f>
        <x:v>10</x:v>
      </x:c>
      <x:c r="J2018" s="32" t="n">
        <x:f>INDEX(v01_FoodCap,G2018)*Arch_FoodCap*EXP(v01_CapsByProject*SUMPRODUCT((Cap_Point&lt;=I2018)*(Cap_Kind="Food")*Cap_Ln))</x:f>
        <x:v>12000</x:v>
      </x:c>
      <x:c r="K2018" s="32" t="n">
        <x:f>J2018*MIN(1,v01_LeanBase*EXP(v01_CapsByProject*SUMPRODUCT((Cap_Point&lt;=I2018)*(Cap_Kind="Lean")*Cap_Ln)))</x:f>
        <x:v>12000</x:v>
      </x:c>
      <x:c r="L2018" s="10" t="n">
        <x:f>INDEX(v01_HousingCap,G2018)*EXP(v01_CapsByProject*SUMPRODUCT((Cap_Point&lt;=I2018)*(Cap_Kind="Housing")*Cap_Ln))</x:f>
        <x:v>20000</x:v>
      </x:c>
      <x:c r="M2018" s="10" t="n">
        <x:f>INDEX(v01_GroupCap,G2018)*v01_CohesionFactor*EXP(v01_CapsByProject*SUMPRODUCT((Cap_Point&lt;=I2018)*(Cap_Kind="Group")*Cap_Ln))</x:f>
        <x:v>1000000</x:v>
      </x:c>
      <x:c r="N2018" s="32" t="n">
        <x:f>MIN(J2018,L2018,M2018)</x:f>
        <x:v>12000</x:v>
      </x:c>
      <x:c r="O2018" s="10" t="n">
        <x:f>AE2017*N2018</x:f>
        <x:v>180000</x:v>
      </x:c>
      <x:c r="P2018" s="9" t="n">
        <x:f>MIN(1,(AB2017/(AE2017*IF(v01_GroupInCrowding=1,N2018,MIN(J2018,L2018))))^v01_CrowdingExp)</x:f>
        <x:v>0.00024569414295285325</x:v>
      </x:c>
      <x:c r="Q2018" s="9" t="n">
        <x:f>IF(D2018=1,INDEX(v01_WinterMult,G2018),1)</x:f>
        <x:v>1</x:v>
      </x:c>
      <x:c r="R2018" s="9" t="n">
        <x:f>H2018*Z2017*v01_WomenShare*v01_BaseFertility*INDEX(v01_FertMult,G2018)*Arch_Fertility*(1-P2018)</x:f>
        <x:v>0</x:v>
      </x:c>
      <x:c r="S2018" s="9" t="n">
        <x:f>H2018*Y2017*INDEX(v01_MortChild,G2018)/4*Q2018</x:f>
        <x:v>0</x:v>
      </x:c>
      <x:c r="T2018" s="9" t="n">
        <x:f>H2018*Z2017*INDEX(v01_MortAdult,G2018)*Arch_AdultMort/4*Q2018</x:f>
        <x:v>0</x:v>
      </x:c>
      <x:c r="U2018" s="9" t="n">
        <x:f>H2018*AA2017*INDEX(v01_MortElder,G2018)/4*Q2018</x:f>
        <x:v>0</x:v>
      </x:c>
      <x:c r="V2018" s="9" t="n">
        <x:f>H2018*MAX(0,AB2017-O2018)*v01_OvercapLoss</x:f>
        <x:v>0</x:v>
      </x:c>
      <x:c r="W2018" s="9" t="n">
        <x:f>H2018*Y2017/(v01_ChildYears*4)</x:f>
        <x:v>0</x:v>
      </x:c>
      <x:c r="X2018" s="9" t="n">
        <x:f>H2018*Z2017/(v01_AdultYears*4)</x:f>
        <x:v>0</x:v>
      </x:c>
      <x:c r="Y2018" s="32" t="n">
        <x:f>Y2017+R2018-S2018-W2018-Y2017*V2018/AB2017</x:f>
        <x:v>14306.18539759397</x:v>
      </x:c>
      <x:c r="Z2018" s="32" t="n">
        <x:f>Z2017+W2018-X2018-T2018-Z2017*V2018/AB2017</x:f>
        <x:v>19354.456567879548</x:v>
      </x:c>
      <x:c r="AA2018" s="32" t="n">
        <x:f>AA2017+X2018-U2018-AA2017*V2018/AB2017</x:f>
        <x:v>11386.956063258198</x:v>
      </x:c>
      <x:c r="AB2018" s="10" t="n">
        <x:f>Y2018+Z2018+AA2018</x:f>
        <x:v>45047.59802873172</x:v>
      </x:c>
      <x:c r="AC2018" s="8" t="n">
        <x:f>IF(AND(v01_WinterTrigger=1,D2018=1,AB2017/AE2017&gt;=K2018),1,0)</x:f>
        <x:v>0</x:v>
      </x:c>
      <x:c r="AD2018" s="8" t="n">
        <x:f>H2018*IF(AND(OR(AB2017/AE2017&gt;=v01_FissionTrigger*N2018,AC2018=1),AB2017/AE2017*v01_DaughterShare&gt;=v01_MinDaughter),MAX(1,ROUND(AE2017*v01_FissionRate,0)),0)</x:f>
        <x:v>0</x:v>
      </x:c>
      <x:c r="AE2018" s="8" t="n">
        <x:f>IF(H2018=1,MAX(1,MIN(INDEX(v01_Smax,G2018),AE2017+AD2018)),AE2017)</x:f>
        <x:v>15</x:v>
      </x:c>
      <x:c r="AF2018" s="8" t="n">
        <x:f>MAX(0,AE2018-AE2017)</x:f>
        <x:v>0</x:v>
      </x:c>
      <x:c r="AG2018" s="9" t="str">
        <x:f>IF(AF2018&gt;0,B2018,"")</x:f>
      </x:c>
      <x:c r="AH2018" s="9" t="n">
        <x:f>IF(F2018&gt;=1,1,(1+v01_LowTiesShare*(AE2018-1))/AE2018)</x:f>
        <x:v>1</x:v>
      </x:c>
      <x:c r="AI2018" s="32" t="n">
        <x:f>(Z2018+v01_ElderCommons*INDEX(LM_Elder,G2018)*AA2018)*AH2018</x:f>
        <x:v>64139.732591141874</x:v>
      </x:c>
      <x:c r="AJ2018" s="32" t="n">
        <x:f>H2018*v01_CommonsCoef*AI2018^v01_CommonsExp*INDEX(LM_Commons,G2018)</x:f>
        <x:v>0</x:v>
      </x:c>
      <x:c r="AK2018" s="32" t="n">
        <x:f>H2018*v01_RoleScale*Arch_Roles*(AE2018*(INDEX(v01_ElderRolePerSett,G2018)*v01_OutElder*INDEX(LM_Elder,G2018)+INDEX(v01_ShamanPerSett,G2018)*v01_OutShaman)+Z2018*(INDEX(v01_PriestShare,G2018)*v01_OutPriest+INDEX(v01_ScribeShare,G2018)*v01_OutScribe*INDEX(LM_Scribe,G2018)+INDEX(v01_ScholarShare,G2018)*v01_OutScholar*INDEX(LM_Scholar,G2018)+INDEX(v01_ResearcherShare,G2018)*v01_OutResearcher*INDEX(LM_Researcher,G2018)))</x:f>
        <x:v>0</x:v>
      </x:c>
      <x:c r="AL2018" s="32" t="n">
        <x:f>H2018*v01_RoleScale*Arch_Roles*AE2018*INDEX(v01_MonasteryPerSett,G2018)*v01_OutMonastery*INDEX(LM_Monastery,G2018)</x:f>
        <x:v>0</x:v>
      </x:c>
      <x:c r="AM2018" s="32" t="n">
        <x:f>(AJ2018+AK2018+AL2018)/4*INDEX(LM_All,G2018)*INDEX(v01_Boon,G2018)*Arch_Insight</x:f>
        <x:v>0</x:v>
      </x:c>
      <x:c r="AN2018" s="32" t="n">
        <x:f>H2018*(v01_KHPerAdult*Z2018+v01_KHOfCommons*AJ2018/4*INDEX(LM_All,G2018))*v01_KHUsable*Arch_KH</x:f>
        <x:v>0</x:v>
      </x:c>
      <x:c r="AO2018" s="32" t="n">
        <x:f>MIN(AP2017+AN2018,AM2018*v01_KHMaxRatio)</x:f>
        <x:v>0</x:v>
      </x:c>
      <x:c r="AP2018" s="32" t="n">
        <x:f>AP2017+AN2018-AO2018</x:f>
        <x:v>0</x:v>
      </x:c>
      <x:c r="AQ2018" s="32" t="n">
        <x:f>AM2018+AO2018</x:f>
        <x:v>0</x:v>
      </x:c>
      <x:c r="AR2018" s="10" t="n">
        <x:f>IF(H2018=1,INDEX(v01_Req,G2018),0)</x:f>
        <x:v>0</x:v>
      </x:c>
      <x:c r="AS2018" s="32" t="n">
        <x:f>IF(H2018=1,IF(E2018=1,AS2017-AR2017,AS2017)+AQ2018,0)</x:f>
        <x:v>0</x:v>
      </x:c>
      <x:c r="AT2018" s="11" t="n">
        <x:f>IF(AR2018&gt;0,MIN(1,AS2018/AR2018),1)</x:f>
        <x:v>1</x:v>
      </x:c>
      <x:c r="AU2018" s="10" t="n">
        <x:f>AB2018/INDEX(v01_RepScale,G2018)</x:f>
        <x:v>90.09519605746344</x:v>
      </x:c>
      <x:c r="AV2018" s="32" t="n">
        <x:f>AM2018*60/v01_SeasonSeconds</x:f>
        <x:v>0</x:v>
      </x:c>
    </x:row>
    <x:row r="2019">
      <x:c r="A2019" s="8" t="n">
        <x:f>A2018+1</x:f>
        <x:v>2016</x:v>
      </x:c>
      <x:c r="B2019" s="9" t="n">
        <x:f>A2019*v01_SeasonSeconds/60</x:f>
        <x:v>504</x:v>
      </x:c>
      <x:c r="C2019" s="9" t="n">
        <x:f>A2019/4</x:f>
        <x:v>504</x:v>
      </x:c>
      <x:c r="D2019" s="8" t="n">
        <x:f>IF(MOD(A2019,4)=0,1,0)</x:f>
        <x:v>1</x:v>
      </x:c>
      <x:c r="E2019" s="8" t="n">
        <x:f>IF(AND(F2018&lt;=9,AS2018&gt;=AR2018),1,0)</x:f>
        <x:v>0</x:v>
      </x:c>
      <x:c r="F2019" s="8" t="n">
        <x:f>MIN(10,F2018+E2019)</x:f>
        <x:v>10</x:v>
      </x:c>
      <x:c r="G2019" s="8" t="n">
        <x:f>MIN(F2019,9)+1</x:f>
        <x:v>10</x:v>
      </x:c>
      <x:c r="H2019" s="8" t="n">
        <x:f>IF(F2019&lt;=9,1,0)</x:f>
        <x:v>0</x:v>
      </x:c>
      <x:c r="I2019" s="9" t="n">
        <x:f>MIN(10,F2018+IF(AR2018&gt;0,MIN(1,AS2018/AR2018),1))</x:f>
        <x:v>10</x:v>
      </x:c>
      <x:c r="J2019" s="32" t="n">
        <x:f>INDEX(v01_FoodCap,G2019)*Arch_FoodCap*EXP(v01_CapsByProject*SUMPRODUCT((Cap_Point&lt;=I2019)*(Cap_Kind="Food")*Cap_Ln))</x:f>
        <x:v>12000</x:v>
      </x:c>
      <x:c r="K2019" s="32" t="n">
        <x:f>J2019*MIN(1,v01_LeanBase*EXP(v01_CapsByProject*SUMPRODUCT((Cap_Point&lt;=I2019)*(Cap_Kind="Lean")*Cap_Ln)))</x:f>
        <x:v>12000</x:v>
      </x:c>
      <x:c r="L2019" s="10" t="n">
        <x:f>INDEX(v01_HousingCap,G2019)*EXP(v01_CapsByProject*SUMPRODUCT((Cap_Point&lt;=I2019)*(Cap_Kind="Housing")*Cap_Ln))</x:f>
        <x:v>20000</x:v>
      </x:c>
      <x:c r="M2019" s="10" t="n">
        <x:f>INDEX(v01_GroupCap,G2019)*v01_CohesionFactor*EXP(v01_CapsByProject*SUMPRODUCT((Cap_Point&lt;=I2019)*(Cap_Kind="Group")*Cap_Ln))</x:f>
        <x:v>1000000</x:v>
      </x:c>
      <x:c r="N2019" s="32" t="n">
        <x:f>MIN(J2019,L2019,M2019)</x:f>
        <x:v>12000</x:v>
      </x:c>
      <x:c r="O2019" s="10" t="n">
        <x:f>AE2018*N2019</x:f>
        <x:v>180000</x:v>
      </x:c>
      <x:c r="P2019" s="9" t="n">
        <x:f>MIN(1,(AB2018/(AE2018*IF(v01_GroupInCrowding=1,N2019,MIN(J2019,L2019))))^v01_CrowdingExp)</x:f>
        <x:v>0.00024569414295285325</x:v>
      </x:c>
      <x:c r="Q2019" s="9" t="n">
        <x:f>IF(D2019=1,INDEX(v01_WinterMult,G2019),1)</x:f>
        <x:v>1</x:v>
      </x:c>
      <x:c r="R2019" s="9" t="n">
        <x:f>H2019*Z2018*v01_WomenShare*v01_BaseFertility*INDEX(v01_FertMult,G2019)*Arch_Fertility*(1-P2019)</x:f>
        <x:v>0</x:v>
      </x:c>
      <x:c r="S2019" s="9" t="n">
        <x:f>H2019*Y2018*INDEX(v01_MortChild,G2019)/4*Q2019</x:f>
        <x:v>0</x:v>
      </x:c>
      <x:c r="T2019" s="9" t="n">
        <x:f>H2019*Z2018*INDEX(v01_MortAdult,G2019)*Arch_AdultMort/4*Q2019</x:f>
        <x:v>0</x:v>
      </x:c>
      <x:c r="U2019" s="9" t="n">
        <x:f>H2019*AA2018*INDEX(v01_MortElder,G2019)/4*Q2019</x:f>
        <x:v>0</x:v>
      </x:c>
      <x:c r="V2019" s="9" t="n">
        <x:f>H2019*MAX(0,AB2018-O2019)*v01_OvercapLoss</x:f>
        <x:v>0</x:v>
      </x:c>
      <x:c r="W2019" s="9" t="n">
        <x:f>H2019*Y2018/(v01_ChildYears*4)</x:f>
        <x:v>0</x:v>
      </x:c>
      <x:c r="X2019" s="9" t="n">
        <x:f>H2019*Z2018/(v01_AdultYears*4)</x:f>
        <x:v>0</x:v>
      </x:c>
      <x:c r="Y2019" s="32" t="n">
        <x:f>Y2018+R2019-S2019-W2019-Y2018*V2019/AB2018</x:f>
        <x:v>14306.18539759397</x:v>
      </x:c>
      <x:c r="Z2019" s="32" t="n">
        <x:f>Z2018+W2019-X2019-T2019-Z2018*V2019/AB2018</x:f>
        <x:v>19354.456567879548</x:v>
      </x:c>
      <x:c r="AA2019" s="32" t="n">
        <x:f>AA2018+X2019-U2019-AA2018*V2019/AB2018</x:f>
        <x:v>11386.956063258198</x:v>
      </x:c>
      <x:c r="AB2019" s="10" t="n">
        <x:f>Y2019+Z2019+AA2019</x:f>
        <x:v>45047.59802873172</x:v>
      </x:c>
      <x:c r="AC2019" s="8" t="n">
        <x:f>IF(AND(v01_WinterTrigger=1,D2019=1,AB2018/AE2018&gt;=K2019),1,0)</x:f>
        <x:v>0</x:v>
      </x:c>
      <x:c r="AD2019" s="8" t="n">
        <x:f>H2019*IF(AND(OR(AB2018/AE2018&gt;=v01_FissionTrigger*N2019,AC2019=1),AB2018/AE2018*v01_DaughterShare&gt;=v01_MinDaughter),MAX(1,ROUND(AE2018*v01_FissionRate,0)),0)</x:f>
        <x:v>0</x:v>
      </x:c>
      <x:c r="AE2019" s="8" t="n">
        <x:f>IF(H2019=1,MAX(1,MIN(INDEX(v01_Smax,G2019),AE2018+AD2019)),AE2018)</x:f>
        <x:v>15</x:v>
      </x:c>
      <x:c r="AF2019" s="8" t="n">
        <x:f>MAX(0,AE2019-AE2018)</x:f>
        <x:v>0</x:v>
      </x:c>
      <x:c r="AG2019" s="9" t="str">
        <x:f>IF(AF2019&gt;0,B2019,"")</x:f>
      </x:c>
      <x:c r="AH2019" s="9" t="n">
        <x:f>IF(F2019&gt;=1,1,(1+v01_LowTiesShare*(AE2019-1))/AE2019)</x:f>
        <x:v>1</x:v>
      </x:c>
      <x:c r="AI2019" s="32" t="n">
        <x:f>(Z2019+v01_ElderCommons*INDEX(LM_Elder,G2019)*AA2019)*AH2019</x:f>
        <x:v>64139.732591141874</x:v>
      </x:c>
      <x:c r="AJ2019" s="32" t="n">
        <x:f>H2019*v01_CommonsCoef*AI2019^v01_CommonsExp*INDEX(LM_Commons,G2019)</x:f>
        <x:v>0</x:v>
      </x:c>
      <x:c r="AK2019" s="32" t="n">
        <x:f>H2019*v01_RoleScale*Arch_Roles*(AE2019*(INDEX(v01_ElderRolePerSett,G2019)*v01_OutElder*INDEX(LM_Elder,G2019)+INDEX(v01_ShamanPerSett,G2019)*v01_OutShaman)+Z2019*(INDEX(v01_PriestShare,G2019)*v01_OutPriest+INDEX(v01_ScribeShare,G2019)*v01_OutScribe*INDEX(LM_Scribe,G2019)+INDEX(v01_ScholarShare,G2019)*v01_OutScholar*INDEX(LM_Scholar,G2019)+INDEX(v01_ResearcherShare,G2019)*v01_OutResearcher*INDEX(LM_Researcher,G2019)))</x:f>
        <x:v>0</x:v>
      </x:c>
      <x:c r="AL2019" s="32" t="n">
        <x:f>H2019*v01_RoleScale*Arch_Roles*AE2019*INDEX(v01_MonasteryPerSett,G2019)*v01_OutMonastery*INDEX(LM_Monastery,G2019)</x:f>
        <x:v>0</x:v>
      </x:c>
      <x:c r="AM2019" s="32" t="n">
        <x:f>(AJ2019+AK2019+AL2019)/4*INDEX(LM_All,G2019)*INDEX(v01_Boon,G2019)*Arch_Insight</x:f>
        <x:v>0</x:v>
      </x:c>
      <x:c r="AN2019" s="32" t="n">
        <x:f>H2019*(v01_KHPerAdult*Z2019+v01_KHOfCommons*AJ2019/4*INDEX(LM_All,G2019))*v01_KHUsable*Arch_KH</x:f>
        <x:v>0</x:v>
      </x:c>
      <x:c r="AO2019" s="32" t="n">
        <x:f>MIN(AP2018+AN2019,AM2019*v01_KHMaxRatio)</x:f>
        <x:v>0</x:v>
      </x:c>
      <x:c r="AP2019" s="32" t="n">
        <x:f>AP2018+AN2019-AO2019</x:f>
        <x:v>0</x:v>
      </x:c>
      <x:c r="AQ2019" s="32" t="n">
        <x:f>AM2019+AO2019</x:f>
        <x:v>0</x:v>
      </x:c>
      <x:c r="AR2019" s="10" t="n">
        <x:f>IF(H2019=1,INDEX(v01_Req,G2019),0)</x:f>
        <x:v>0</x:v>
      </x:c>
      <x:c r="AS2019" s="32" t="n">
        <x:f>IF(H2019=1,IF(E2019=1,AS2018-AR2018,AS2018)+AQ2019,0)</x:f>
        <x:v>0</x:v>
      </x:c>
      <x:c r="AT2019" s="11" t="n">
        <x:f>IF(AR2019&gt;0,MIN(1,AS2019/AR2019),1)</x:f>
        <x:v>1</x:v>
      </x:c>
      <x:c r="AU2019" s="10" t="n">
        <x:f>AB2019/INDEX(v01_RepScale,G2019)</x:f>
        <x:v>90.09519605746344</x:v>
      </x:c>
      <x:c r="AV2019" s="32" t="n">
        <x:f>AM2019*60/v01_SeasonSeconds</x:f>
        <x:v>0</x:v>
      </x:c>
    </x:row>
    <x:row r="2020">
      <x:c r="A2020" s="8" t="n">
        <x:f>A2019+1</x:f>
        <x:v>2017</x:v>
      </x:c>
      <x:c r="B2020" s="9" t="n">
        <x:f>A2020*v01_SeasonSeconds/60</x:f>
        <x:v>504.25</x:v>
      </x:c>
      <x:c r="C2020" s="9" t="n">
        <x:f>A2020/4</x:f>
        <x:v>504.25</x:v>
      </x:c>
      <x:c r="D2020" s="8" t="n">
        <x:f>IF(MOD(A2020,4)=0,1,0)</x:f>
        <x:v>0</x:v>
      </x:c>
      <x:c r="E2020" s="8" t="n">
        <x:f>IF(AND(F2019&lt;=9,AS2019&gt;=AR2019),1,0)</x:f>
        <x:v>0</x:v>
      </x:c>
      <x:c r="F2020" s="8" t="n">
        <x:f>MIN(10,F2019+E2020)</x:f>
        <x:v>10</x:v>
      </x:c>
      <x:c r="G2020" s="8" t="n">
        <x:f>MIN(F2020,9)+1</x:f>
        <x:v>10</x:v>
      </x:c>
      <x:c r="H2020" s="8" t="n">
        <x:f>IF(F2020&lt;=9,1,0)</x:f>
        <x:v>0</x:v>
      </x:c>
      <x:c r="I2020" s="9" t="n">
        <x:f>MIN(10,F2019+IF(AR2019&gt;0,MIN(1,AS2019/AR2019),1))</x:f>
        <x:v>10</x:v>
      </x:c>
      <x:c r="J2020" s="32" t="n">
        <x:f>INDEX(v01_FoodCap,G2020)*Arch_FoodCap*EXP(v01_CapsByProject*SUMPRODUCT((Cap_Point&lt;=I2020)*(Cap_Kind="Food")*Cap_Ln))</x:f>
        <x:v>12000</x:v>
      </x:c>
      <x:c r="K2020" s="32" t="n">
        <x:f>J2020*MIN(1,v01_LeanBase*EXP(v01_CapsByProject*SUMPRODUCT((Cap_Point&lt;=I2020)*(Cap_Kind="Lean")*Cap_Ln)))</x:f>
        <x:v>12000</x:v>
      </x:c>
      <x:c r="L2020" s="10" t="n">
        <x:f>INDEX(v01_HousingCap,G2020)*EXP(v01_CapsByProject*SUMPRODUCT((Cap_Point&lt;=I2020)*(Cap_Kind="Housing")*Cap_Ln))</x:f>
        <x:v>20000</x:v>
      </x:c>
      <x:c r="M2020" s="10" t="n">
        <x:f>INDEX(v01_GroupCap,G2020)*v01_CohesionFactor*EXP(v01_CapsByProject*SUMPRODUCT((Cap_Point&lt;=I2020)*(Cap_Kind="Group")*Cap_Ln))</x:f>
        <x:v>1000000</x:v>
      </x:c>
      <x:c r="N2020" s="32" t="n">
        <x:f>MIN(J2020,L2020,M2020)</x:f>
        <x:v>12000</x:v>
      </x:c>
      <x:c r="O2020" s="10" t="n">
        <x:f>AE2019*N2020</x:f>
        <x:v>180000</x:v>
      </x:c>
      <x:c r="P2020" s="9" t="n">
        <x:f>MIN(1,(AB2019/(AE2019*IF(v01_GroupInCrowding=1,N2020,MIN(J2020,L2020))))^v01_CrowdingExp)</x:f>
        <x:v>0.00024569414295285325</x:v>
      </x:c>
      <x:c r="Q2020" s="9" t="n">
        <x:f>IF(D2020=1,INDEX(v01_WinterMult,G2020),1)</x:f>
        <x:v>1</x:v>
      </x:c>
      <x:c r="R2020" s="9" t="n">
        <x:f>H2020*Z2019*v01_WomenShare*v01_BaseFertility*INDEX(v01_FertMult,G2020)*Arch_Fertility*(1-P2020)</x:f>
        <x:v>0</x:v>
      </x:c>
      <x:c r="S2020" s="9" t="n">
        <x:f>H2020*Y2019*INDEX(v01_MortChild,G2020)/4*Q2020</x:f>
        <x:v>0</x:v>
      </x:c>
      <x:c r="T2020" s="9" t="n">
        <x:f>H2020*Z2019*INDEX(v01_MortAdult,G2020)*Arch_AdultMort/4*Q2020</x:f>
        <x:v>0</x:v>
      </x:c>
      <x:c r="U2020" s="9" t="n">
        <x:f>H2020*AA2019*INDEX(v01_MortElder,G2020)/4*Q2020</x:f>
        <x:v>0</x:v>
      </x:c>
      <x:c r="V2020" s="9" t="n">
        <x:f>H2020*MAX(0,AB2019-O2020)*v01_OvercapLoss</x:f>
        <x:v>0</x:v>
      </x:c>
      <x:c r="W2020" s="9" t="n">
        <x:f>H2020*Y2019/(v01_ChildYears*4)</x:f>
        <x:v>0</x:v>
      </x:c>
      <x:c r="X2020" s="9" t="n">
        <x:f>H2020*Z2019/(v01_AdultYears*4)</x:f>
        <x:v>0</x:v>
      </x:c>
      <x:c r="Y2020" s="32" t="n">
        <x:f>Y2019+R2020-S2020-W2020-Y2019*V2020/AB2019</x:f>
        <x:v>14306.18539759397</x:v>
      </x:c>
      <x:c r="Z2020" s="32" t="n">
        <x:f>Z2019+W2020-X2020-T2020-Z2019*V2020/AB2019</x:f>
        <x:v>19354.456567879548</x:v>
      </x:c>
      <x:c r="AA2020" s="32" t="n">
        <x:f>AA2019+X2020-U2020-AA2019*V2020/AB2019</x:f>
        <x:v>11386.956063258198</x:v>
      </x:c>
      <x:c r="AB2020" s="10" t="n">
        <x:f>Y2020+Z2020+AA2020</x:f>
        <x:v>45047.59802873172</x:v>
      </x:c>
      <x:c r="AC2020" s="8" t="n">
        <x:f>IF(AND(v01_WinterTrigger=1,D2020=1,AB2019/AE2019&gt;=K2020),1,0)</x:f>
        <x:v>0</x:v>
      </x:c>
      <x:c r="AD2020" s="8" t="n">
        <x:f>H2020*IF(AND(OR(AB2019/AE2019&gt;=v01_FissionTrigger*N2020,AC2020=1),AB2019/AE2019*v01_DaughterShare&gt;=v01_MinDaughter),MAX(1,ROUND(AE2019*v01_FissionRate,0)),0)</x:f>
        <x:v>0</x:v>
      </x:c>
      <x:c r="AE2020" s="8" t="n">
        <x:f>IF(H2020=1,MAX(1,MIN(INDEX(v01_Smax,G2020),AE2019+AD2020)),AE2019)</x:f>
        <x:v>15</x:v>
      </x:c>
      <x:c r="AF2020" s="8" t="n">
        <x:f>MAX(0,AE2020-AE2019)</x:f>
        <x:v>0</x:v>
      </x:c>
      <x:c r="AG2020" s="9" t="str">
        <x:f>IF(AF2020&gt;0,B2020,"")</x:f>
      </x:c>
      <x:c r="AH2020" s="9" t="n">
        <x:f>IF(F2020&gt;=1,1,(1+v01_LowTiesShare*(AE2020-1))/AE2020)</x:f>
        <x:v>1</x:v>
      </x:c>
      <x:c r="AI2020" s="32" t="n">
        <x:f>(Z2020+v01_ElderCommons*INDEX(LM_Elder,G2020)*AA2020)*AH2020</x:f>
        <x:v>64139.732591141874</x:v>
      </x:c>
      <x:c r="AJ2020" s="32" t="n">
        <x:f>H2020*v01_CommonsCoef*AI2020^v01_CommonsExp*INDEX(LM_Commons,G2020)</x:f>
        <x:v>0</x:v>
      </x:c>
      <x:c r="AK2020" s="32" t="n">
        <x:f>H2020*v01_RoleScale*Arch_Roles*(AE2020*(INDEX(v01_ElderRolePerSett,G2020)*v01_OutElder*INDEX(LM_Elder,G2020)+INDEX(v01_ShamanPerSett,G2020)*v01_OutShaman)+Z2020*(INDEX(v01_PriestShare,G2020)*v01_OutPriest+INDEX(v01_ScribeShare,G2020)*v01_OutScribe*INDEX(LM_Scribe,G2020)+INDEX(v01_ScholarShare,G2020)*v01_OutScholar*INDEX(LM_Scholar,G2020)+INDEX(v01_ResearcherShare,G2020)*v01_OutResearcher*INDEX(LM_Researcher,G2020)))</x:f>
        <x:v>0</x:v>
      </x:c>
      <x:c r="AL2020" s="32" t="n">
        <x:f>H2020*v01_RoleScale*Arch_Roles*AE2020*INDEX(v01_MonasteryPerSett,G2020)*v01_OutMonastery*INDEX(LM_Monastery,G2020)</x:f>
        <x:v>0</x:v>
      </x:c>
      <x:c r="AM2020" s="32" t="n">
        <x:f>(AJ2020+AK2020+AL2020)/4*INDEX(LM_All,G2020)*INDEX(v01_Boon,G2020)*Arch_Insight</x:f>
        <x:v>0</x:v>
      </x:c>
      <x:c r="AN2020" s="32" t="n">
        <x:f>H2020*(v01_KHPerAdult*Z2020+v01_KHOfCommons*AJ2020/4*INDEX(LM_All,G2020))*v01_KHUsable*Arch_KH</x:f>
        <x:v>0</x:v>
      </x:c>
      <x:c r="AO2020" s="32" t="n">
        <x:f>MIN(AP2019+AN2020,AM2020*v01_KHMaxRatio)</x:f>
        <x:v>0</x:v>
      </x:c>
      <x:c r="AP2020" s="32" t="n">
        <x:f>AP2019+AN2020-AO2020</x:f>
        <x:v>0</x:v>
      </x:c>
      <x:c r="AQ2020" s="32" t="n">
        <x:f>AM2020+AO2020</x:f>
        <x:v>0</x:v>
      </x:c>
      <x:c r="AR2020" s="10" t="n">
        <x:f>IF(H2020=1,INDEX(v01_Req,G2020),0)</x:f>
        <x:v>0</x:v>
      </x:c>
      <x:c r="AS2020" s="32" t="n">
        <x:f>IF(H2020=1,IF(E2020=1,AS2019-AR2019,AS2019)+AQ2020,0)</x:f>
        <x:v>0</x:v>
      </x:c>
      <x:c r="AT2020" s="11" t="n">
        <x:f>IF(AR2020&gt;0,MIN(1,AS2020/AR2020),1)</x:f>
        <x:v>1</x:v>
      </x:c>
      <x:c r="AU2020" s="10" t="n">
        <x:f>AB2020/INDEX(v01_RepScale,G2020)</x:f>
        <x:v>90.09519605746344</x:v>
      </x:c>
      <x:c r="AV2020" s="32" t="n">
        <x:f>AM2020*60/v01_SeasonSeconds</x:f>
        <x:v>0</x:v>
      </x:c>
    </x:row>
    <x:row r="2021">
      <x:c r="A2021" s="8" t="n">
        <x:f>A2020+1</x:f>
        <x:v>2018</x:v>
      </x:c>
      <x:c r="B2021" s="9" t="n">
        <x:f>A2021*v01_SeasonSeconds/60</x:f>
        <x:v>504.5</x:v>
      </x:c>
      <x:c r="C2021" s="9" t="n">
        <x:f>A2021/4</x:f>
        <x:v>504.5</x:v>
      </x:c>
      <x:c r="D2021" s="8" t="n">
        <x:f>IF(MOD(A2021,4)=0,1,0)</x:f>
        <x:v>0</x:v>
      </x:c>
      <x:c r="E2021" s="8" t="n">
        <x:f>IF(AND(F2020&lt;=9,AS2020&gt;=AR2020),1,0)</x:f>
        <x:v>0</x:v>
      </x:c>
      <x:c r="F2021" s="8" t="n">
        <x:f>MIN(10,F2020+E2021)</x:f>
        <x:v>10</x:v>
      </x:c>
      <x:c r="G2021" s="8" t="n">
        <x:f>MIN(F2021,9)+1</x:f>
        <x:v>10</x:v>
      </x:c>
      <x:c r="H2021" s="8" t="n">
        <x:f>IF(F2021&lt;=9,1,0)</x:f>
        <x:v>0</x:v>
      </x:c>
      <x:c r="I2021" s="9" t="n">
        <x:f>MIN(10,F2020+IF(AR2020&gt;0,MIN(1,AS2020/AR2020),1))</x:f>
        <x:v>10</x:v>
      </x:c>
      <x:c r="J2021" s="32" t="n">
        <x:f>INDEX(v01_FoodCap,G2021)*Arch_FoodCap*EXP(v01_CapsByProject*SUMPRODUCT((Cap_Point&lt;=I2021)*(Cap_Kind="Food")*Cap_Ln))</x:f>
        <x:v>12000</x:v>
      </x:c>
      <x:c r="K2021" s="32" t="n">
        <x:f>J2021*MIN(1,v01_LeanBase*EXP(v01_CapsByProject*SUMPRODUCT((Cap_Point&lt;=I2021)*(Cap_Kind="Lean")*Cap_Ln)))</x:f>
        <x:v>12000</x:v>
      </x:c>
      <x:c r="L2021" s="10" t="n">
        <x:f>INDEX(v01_HousingCap,G2021)*EXP(v01_CapsByProject*SUMPRODUCT((Cap_Point&lt;=I2021)*(Cap_Kind="Housing")*Cap_Ln))</x:f>
        <x:v>20000</x:v>
      </x:c>
      <x:c r="M2021" s="10" t="n">
        <x:f>INDEX(v01_GroupCap,G2021)*v01_CohesionFactor*EXP(v01_CapsByProject*SUMPRODUCT((Cap_Point&lt;=I2021)*(Cap_Kind="Group")*Cap_Ln))</x:f>
        <x:v>1000000</x:v>
      </x:c>
      <x:c r="N2021" s="32" t="n">
        <x:f>MIN(J2021,L2021,M2021)</x:f>
        <x:v>12000</x:v>
      </x:c>
      <x:c r="O2021" s="10" t="n">
        <x:f>AE2020*N2021</x:f>
        <x:v>180000</x:v>
      </x:c>
      <x:c r="P2021" s="9" t="n">
        <x:f>MIN(1,(AB2020/(AE2020*IF(v01_GroupInCrowding=1,N2021,MIN(J2021,L2021))))^v01_CrowdingExp)</x:f>
        <x:v>0.00024569414295285325</x:v>
      </x:c>
      <x:c r="Q2021" s="9" t="n">
        <x:f>IF(D2021=1,INDEX(v01_WinterMult,G2021),1)</x:f>
        <x:v>1</x:v>
      </x:c>
      <x:c r="R2021" s="9" t="n">
        <x:f>H2021*Z2020*v01_WomenShare*v01_BaseFertility*INDEX(v01_FertMult,G2021)*Arch_Fertility*(1-P2021)</x:f>
        <x:v>0</x:v>
      </x:c>
      <x:c r="S2021" s="9" t="n">
        <x:f>H2021*Y2020*INDEX(v01_MortChild,G2021)/4*Q2021</x:f>
        <x:v>0</x:v>
      </x:c>
      <x:c r="T2021" s="9" t="n">
        <x:f>H2021*Z2020*INDEX(v01_MortAdult,G2021)*Arch_AdultMort/4*Q2021</x:f>
        <x:v>0</x:v>
      </x:c>
      <x:c r="U2021" s="9" t="n">
        <x:f>H2021*AA2020*INDEX(v01_MortElder,G2021)/4*Q2021</x:f>
        <x:v>0</x:v>
      </x:c>
      <x:c r="V2021" s="9" t="n">
        <x:f>H2021*MAX(0,AB2020-O2021)*v01_OvercapLoss</x:f>
        <x:v>0</x:v>
      </x:c>
      <x:c r="W2021" s="9" t="n">
        <x:f>H2021*Y2020/(v01_ChildYears*4)</x:f>
        <x:v>0</x:v>
      </x:c>
      <x:c r="X2021" s="9" t="n">
        <x:f>H2021*Z2020/(v01_AdultYears*4)</x:f>
        <x:v>0</x:v>
      </x:c>
      <x:c r="Y2021" s="32" t="n">
        <x:f>Y2020+R2021-S2021-W2021-Y2020*V2021/AB2020</x:f>
        <x:v>14306.18539759397</x:v>
      </x:c>
      <x:c r="Z2021" s="32" t="n">
        <x:f>Z2020+W2021-X2021-T2021-Z2020*V2021/AB2020</x:f>
        <x:v>19354.456567879548</x:v>
      </x:c>
      <x:c r="AA2021" s="32" t="n">
        <x:f>AA2020+X2021-U2021-AA2020*V2021/AB2020</x:f>
        <x:v>11386.956063258198</x:v>
      </x:c>
      <x:c r="AB2021" s="10" t="n">
        <x:f>Y2021+Z2021+AA2021</x:f>
        <x:v>45047.59802873172</x:v>
      </x:c>
      <x:c r="AC2021" s="8" t="n">
        <x:f>IF(AND(v01_WinterTrigger=1,D2021=1,AB2020/AE2020&gt;=K2021),1,0)</x:f>
        <x:v>0</x:v>
      </x:c>
      <x:c r="AD2021" s="8" t="n">
        <x:f>H2021*IF(AND(OR(AB2020/AE2020&gt;=v01_FissionTrigger*N2021,AC2021=1),AB2020/AE2020*v01_DaughterShare&gt;=v01_MinDaughter),MAX(1,ROUND(AE2020*v01_FissionRate,0)),0)</x:f>
        <x:v>0</x:v>
      </x:c>
      <x:c r="AE2021" s="8" t="n">
        <x:f>IF(H2021=1,MAX(1,MIN(INDEX(v01_Smax,G2021),AE2020+AD2021)),AE2020)</x:f>
        <x:v>15</x:v>
      </x:c>
      <x:c r="AF2021" s="8" t="n">
        <x:f>MAX(0,AE2021-AE2020)</x:f>
        <x:v>0</x:v>
      </x:c>
      <x:c r="AG2021" s="9" t="str">
        <x:f>IF(AF2021&gt;0,B2021,"")</x:f>
      </x:c>
      <x:c r="AH2021" s="9" t="n">
        <x:f>IF(F2021&gt;=1,1,(1+v01_LowTiesShare*(AE2021-1))/AE2021)</x:f>
        <x:v>1</x:v>
      </x:c>
      <x:c r="AI2021" s="32" t="n">
        <x:f>(Z2021+v01_ElderCommons*INDEX(LM_Elder,G2021)*AA2021)*AH2021</x:f>
        <x:v>64139.732591141874</x:v>
      </x:c>
      <x:c r="AJ2021" s="32" t="n">
        <x:f>H2021*v01_CommonsCoef*AI2021^v01_CommonsExp*INDEX(LM_Commons,G2021)</x:f>
        <x:v>0</x:v>
      </x:c>
      <x:c r="AK2021" s="32" t="n">
        <x:f>H2021*v01_RoleScale*Arch_Roles*(AE2021*(INDEX(v01_ElderRolePerSett,G2021)*v01_OutElder*INDEX(LM_Elder,G2021)+INDEX(v01_ShamanPerSett,G2021)*v01_OutShaman)+Z2021*(INDEX(v01_PriestShare,G2021)*v01_OutPriest+INDEX(v01_ScribeShare,G2021)*v01_OutScribe*INDEX(LM_Scribe,G2021)+INDEX(v01_ScholarShare,G2021)*v01_OutScholar*INDEX(LM_Scholar,G2021)+INDEX(v01_ResearcherShare,G2021)*v01_OutResearcher*INDEX(LM_Researcher,G2021)))</x:f>
        <x:v>0</x:v>
      </x:c>
      <x:c r="AL2021" s="32" t="n">
        <x:f>H2021*v01_RoleScale*Arch_Roles*AE2021*INDEX(v01_MonasteryPerSett,G2021)*v01_OutMonastery*INDEX(LM_Monastery,G2021)</x:f>
        <x:v>0</x:v>
      </x:c>
      <x:c r="AM2021" s="32" t="n">
        <x:f>(AJ2021+AK2021+AL2021)/4*INDEX(LM_All,G2021)*INDEX(v01_Boon,G2021)*Arch_Insight</x:f>
        <x:v>0</x:v>
      </x:c>
      <x:c r="AN2021" s="32" t="n">
        <x:f>H2021*(v01_KHPerAdult*Z2021+v01_KHOfCommons*AJ2021/4*INDEX(LM_All,G2021))*v01_KHUsable*Arch_KH</x:f>
        <x:v>0</x:v>
      </x:c>
      <x:c r="AO2021" s="32" t="n">
        <x:f>MIN(AP2020+AN2021,AM2021*v01_KHMaxRatio)</x:f>
        <x:v>0</x:v>
      </x:c>
      <x:c r="AP2021" s="32" t="n">
        <x:f>AP2020+AN2021-AO2021</x:f>
        <x:v>0</x:v>
      </x:c>
      <x:c r="AQ2021" s="32" t="n">
        <x:f>AM2021+AO2021</x:f>
        <x:v>0</x:v>
      </x:c>
      <x:c r="AR2021" s="10" t="n">
        <x:f>IF(H2021=1,INDEX(v01_Req,G2021),0)</x:f>
        <x:v>0</x:v>
      </x:c>
      <x:c r="AS2021" s="32" t="n">
        <x:f>IF(H2021=1,IF(E2021=1,AS2020-AR2020,AS2020)+AQ2021,0)</x:f>
        <x:v>0</x:v>
      </x:c>
      <x:c r="AT2021" s="11" t="n">
        <x:f>IF(AR2021&gt;0,MIN(1,AS2021/AR2021),1)</x:f>
        <x:v>1</x:v>
      </x:c>
      <x:c r="AU2021" s="10" t="n">
        <x:f>AB2021/INDEX(v01_RepScale,G2021)</x:f>
        <x:v>90.09519605746344</x:v>
      </x:c>
      <x:c r="AV2021" s="32" t="n">
        <x:f>AM2021*60/v01_SeasonSeconds</x:f>
        <x:v>0</x:v>
      </x:c>
    </x:row>
    <x:row r="2022">
      <x:c r="A2022" s="8" t="n">
        <x:f>A2021+1</x:f>
        <x:v>2019</x:v>
      </x:c>
      <x:c r="B2022" s="9" t="n">
        <x:f>A2022*v01_SeasonSeconds/60</x:f>
        <x:v>504.75</x:v>
      </x:c>
      <x:c r="C2022" s="9" t="n">
        <x:f>A2022/4</x:f>
        <x:v>504.75</x:v>
      </x:c>
      <x:c r="D2022" s="8" t="n">
        <x:f>IF(MOD(A2022,4)=0,1,0)</x:f>
        <x:v>0</x:v>
      </x:c>
      <x:c r="E2022" s="8" t="n">
        <x:f>IF(AND(F2021&lt;=9,AS2021&gt;=AR2021),1,0)</x:f>
        <x:v>0</x:v>
      </x:c>
      <x:c r="F2022" s="8" t="n">
        <x:f>MIN(10,F2021+E2022)</x:f>
        <x:v>10</x:v>
      </x:c>
      <x:c r="G2022" s="8" t="n">
        <x:f>MIN(F2022,9)+1</x:f>
        <x:v>10</x:v>
      </x:c>
      <x:c r="H2022" s="8" t="n">
        <x:f>IF(F2022&lt;=9,1,0)</x:f>
        <x:v>0</x:v>
      </x:c>
      <x:c r="I2022" s="9" t="n">
        <x:f>MIN(10,F2021+IF(AR2021&gt;0,MIN(1,AS2021/AR2021),1))</x:f>
        <x:v>10</x:v>
      </x:c>
      <x:c r="J2022" s="32" t="n">
        <x:f>INDEX(v01_FoodCap,G2022)*Arch_FoodCap*EXP(v01_CapsByProject*SUMPRODUCT((Cap_Point&lt;=I2022)*(Cap_Kind="Food")*Cap_Ln))</x:f>
        <x:v>12000</x:v>
      </x:c>
      <x:c r="K2022" s="32" t="n">
        <x:f>J2022*MIN(1,v01_LeanBase*EXP(v01_CapsByProject*SUMPRODUCT((Cap_Point&lt;=I2022)*(Cap_Kind="Lean")*Cap_Ln)))</x:f>
        <x:v>12000</x:v>
      </x:c>
      <x:c r="L2022" s="10" t="n">
        <x:f>INDEX(v01_HousingCap,G2022)*EXP(v01_CapsByProject*SUMPRODUCT((Cap_Point&lt;=I2022)*(Cap_Kind="Housing")*Cap_Ln))</x:f>
        <x:v>20000</x:v>
      </x:c>
      <x:c r="M2022" s="10" t="n">
        <x:f>INDEX(v01_GroupCap,G2022)*v01_CohesionFactor*EXP(v01_CapsByProject*SUMPRODUCT((Cap_Point&lt;=I2022)*(Cap_Kind="Group")*Cap_Ln))</x:f>
        <x:v>1000000</x:v>
      </x:c>
      <x:c r="N2022" s="32" t="n">
        <x:f>MIN(J2022,L2022,M2022)</x:f>
        <x:v>12000</x:v>
      </x:c>
      <x:c r="O2022" s="10" t="n">
        <x:f>AE2021*N2022</x:f>
        <x:v>180000</x:v>
      </x:c>
      <x:c r="P2022" s="9" t="n">
        <x:f>MIN(1,(AB2021/(AE2021*IF(v01_GroupInCrowding=1,N2022,MIN(J2022,L2022))))^v01_CrowdingExp)</x:f>
        <x:v>0.00024569414295285325</x:v>
      </x:c>
      <x:c r="Q2022" s="9" t="n">
        <x:f>IF(D2022=1,INDEX(v01_WinterMult,G2022),1)</x:f>
        <x:v>1</x:v>
      </x:c>
      <x:c r="R2022" s="9" t="n">
        <x:f>H2022*Z2021*v01_WomenShare*v01_BaseFertility*INDEX(v01_FertMult,G2022)*Arch_Fertility*(1-P2022)</x:f>
        <x:v>0</x:v>
      </x:c>
      <x:c r="S2022" s="9" t="n">
        <x:f>H2022*Y2021*INDEX(v01_MortChild,G2022)/4*Q2022</x:f>
        <x:v>0</x:v>
      </x:c>
      <x:c r="T2022" s="9" t="n">
        <x:f>H2022*Z2021*INDEX(v01_MortAdult,G2022)*Arch_AdultMort/4*Q2022</x:f>
        <x:v>0</x:v>
      </x:c>
      <x:c r="U2022" s="9" t="n">
        <x:f>H2022*AA2021*INDEX(v01_MortElder,G2022)/4*Q2022</x:f>
        <x:v>0</x:v>
      </x:c>
      <x:c r="V2022" s="9" t="n">
        <x:f>H2022*MAX(0,AB2021-O2022)*v01_OvercapLoss</x:f>
        <x:v>0</x:v>
      </x:c>
      <x:c r="W2022" s="9" t="n">
        <x:f>H2022*Y2021/(v01_ChildYears*4)</x:f>
        <x:v>0</x:v>
      </x:c>
      <x:c r="X2022" s="9" t="n">
        <x:f>H2022*Z2021/(v01_AdultYears*4)</x:f>
        <x:v>0</x:v>
      </x:c>
      <x:c r="Y2022" s="32" t="n">
        <x:f>Y2021+R2022-S2022-W2022-Y2021*V2022/AB2021</x:f>
        <x:v>14306.18539759397</x:v>
      </x:c>
      <x:c r="Z2022" s="32" t="n">
        <x:f>Z2021+W2022-X2022-T2022-Z2021*V2022/AB2021</x:f>
        <x:v>19354.456567879548</x:v>
      </x:c>
      <x:c r="AA2022" s="32" t="n">
        <x:f>AA2021+X2022-U2022-AA2021*V2022/AB2021</x:f>
        <x:v>11386.956063258198</x:v>
      </x:c>
      <x:c r="AB2022" s="10" t="n">
        <x:f>Y2022+Z2022+AA2022</x:f>
        <x:v>45047.59802873172</x:v>
      </x:c>
      <x:c r="AC2022" s="8" t="n">
        <x:f>IF(AND(v01_WinterTrigger=1,D2022=1,AB2021/AE2021&gt;=K2022),1,0)</x:f>
        <x:v>0</x:v>
      </x:c>
      <x:c r="AD2022" s="8" t="n">
        <x:f>H2022*IF(AND(OR(AB2021/AE2021&gt;=v01_FissionTrigger*N2022,AC2022=1),AB2021/AE2021*v01_DaughterShare&gt;=v01_MinDaughter),MAX(1,ROUND(AE2021*v01_FissionRate,0)),0)</x:f>
        <x:v>0</x:v>
      </x:c>
      <x:c r="AE2022" s="8" t="n">
        <x:f>IF(H2022=1,MAX(1,MIN(INDEX(v01_Smax,G2022),AE2021+AD2022)),AE2021)</x:f>
        <x:v>15</x:v>
      </x:c>
      <x:c r="AF2022" s="8" t="n">
        <x:f>MAX(0,AE2022-AE2021)</x:f>
        <x:v>0</x:v>
      </x:c>
      <x:c r="AG2022" s="9" t="str">
        <x:f>IF(AF2022&gt;0,B2022,"")</x:f>
      </x:c>
      <x:c r="AH2022" s="9" t="n">
        <x:f>IF(F2022&gt;=1,1,(1+v01_LowTiesShare*(AE2022-1))/AE2022)</x:f>
        <x:v>1</x:v>
      </x:c>
      <x:c r="AI2022" s="32" t="n">
        <x:f>(Z2022+v01_ElderCommons*INDEX(LM_Elder,G2022)*AA2022)*AH2022</x:f>
        <x:v>64139.732591141874</x:v>
      </x:c>
      <x:c r="AJ2022" s="32" t="n">
        <x:f>H2022*v01_CommonsCoef*AI2022^v01_CommonsExp*INDEX(LM_Commons,G2022)</x:f>
        <x:v>0</x:v>
      </x:c>
      <x:c r="AK2022" s="32" t="n">
        <x:f>H2022*v01_RoleScale*Arch_Roles*(AE2022*(INDEX(v01_ElderRolePerSett,G2022)*v01_OutElder*INDEX(LM_Elder,G2022)+INDEX(v01_ShamanPerSett,G2022)*v01_OutShaman)+Z2022*(INDEX(v01_PriestShare,G2022)*v01_OutPriest+INDEX(v01_ScribeShare,G2022)*v01_OutScribe*INDEX(LM_Scribe,G2022)+INDEX(v01_ScholarShare,G2022)*v01_OutScholar*INDEX(LM_Scholar,G2022)+INDEX(v01_ResearcherShare,G2022)*v01_OutResearcher*INDEX(LM_Researcher,G2022)))</x:f>
        <x:v>0</x:v>
      </x:c>
      <x:c r="AL2022" s="32" t="n">
        <x:f>H2022*v01_RoleScale*Arch_Roles*AE2022*INDEX(v01_MonasteryPerSett,G2022)*v01_OutMonastery*INDEX(LM_Monastery,G2022)</x:f>
        <x:v>0</x:v>
      </x:c>
      <x:c r="AM2022" s="32" t="n">
        <x:f>(AJ2022+AK2022+AL2022)/4*INDEX(LM_All,G2022)*INDEX(v01_Boon,G2022)*Arch_Insight</x:f>
        <x:v>0</x:v>
      </x:c>
      <x:c r="AN2022" s="32" t="n">
        <x:f>H2022*(v01_KHPerAdult*Z2022+v01_KHOfCommons*AJ2022/4*INDEX(LM_All,G2022))*v01_KHUsable*Arch_KH</x:f>
        <x:v>0</x:v>
      </x:c>
      <x:c r="AO2022" s="32" t="n">
        <x:f>MIN(AP2021+AN2022,AM2022*v01_KHMaxRatio)</x:f>
        <x:v>0</x:v>
      </x:c>
      <x:c r="AP2022" s="32" t="n">
        <x:f>AP2021+AN2022-AO2022</x:f>
        <x:v>0</x:v>
      </x:c>
      <x:c r="AQ2022" s="32" t="n">
        <x:f>AM2022+AO2022</x:f>
        <x:v>0</x:v>
      </x:c>
      <x:c r="AR2022" s="10" t="n">
        <x:f>IF(H2022=1,INDEX(v01_Req,G2022),0)</x:f>
        <x:v>0</x:v>
      </x:c>
      <x:c r="AS2022" s="32" t="n">
        <x:f>IF(H2022=1,IF(E2022=1,AS2021-AR2021,AS2021)+AQ2022,0)</x:f>
        <x:v>0</x:v>
      </x:c>
      <x:c r="AT2022" s="11" t="n">
        <x:f>IF(AR2022&gt;0,MIN(1,AS2022/AR2022),1)</x:f>
        <x:v>1</x:v>
      </x:c>
      <x:c r="AU2022" s="10" t="n">
        <x:f>AB2022/INDEX(v01_RepScale,G2022)</x:f>
        <x:v>90.09519605746344</x:v>
      </x:c>
      <x:c r="AV2022" s="32" t="n">
        <x:f>AM2022*60/v01_SeasonSeconds</x:f>
        <x:v>0</x:v>
      </x:c>
    </x:row>
    <x:row r="2023">
      <x:c r="A2023" s="8" t="n">
        <x:f>A2022+1</x:f>
        <x:v>2020</x:v>
      </x:c>
      <x:c r="B2023" s="9" t="n">
        <x:f>A2023*v01_SeasonSeconds/60</x:f>
        <x:v>505</x:v>
      </x:c>
      <x:c r="C2023" s="9" t="n">
        <x:f>A2023/4</x:f>
        <x:v>505</x:v>
      </x:c>
      <x:c r="D2023" s="8" t="n">
        <x:f>IF(MOD(A2023,4)=0,1,0)</x:f>
        <x:v>1</x:v>
      </x:c>
      <x:c r="E2023" s="8" t="n">
        <x:f>IF(AND(F2022&lt;=9,AS2022&gt;=AR2022),1,0)</x:f>
        <x:v>0</x:v>
      </x:c>
      <x:c r="F2023" s="8" t="n">
        <x:f>MIN(10,F2022+E2023)</x:f>
        <x:v>10</x:v>
      </x:c>
      <x:c r="G2023" s="8" t="n">
        <x:f>MIN(F2023,9)+1</x:f>
        <x:v>10</x:v>
      </x:c>
      <x:c r="H2023" s="8" t="n">
        <x:f>IF(F2023&lt;=9,1,0)</x:f>
        <x:v>0</x:v>
      </x:c>
      <x:c r="I2023" s="9" t="n">
        <x:f>MIN(10,F2022+IF(AR2022&gt;0,MIN(1,AS2022/AR2022),1))</x:f>
        <x:v>10</x:v>
      </x:c>
      <x:c r="J2023" s="32" t="n">
        <x:f>INDEX(v01_FoodCap,G2023)*Arch_FoodCap*EXP(v01_CapsByProject*SUMPRODUCT((Cap_Point&lt;=I2023)*(Cap_Kind="Food")*Cap_Ln))</x:f>
        <x:v>12000</x:v>
      </x:c>
      <x:c r="K2023" s="32" t="n">
        <x:f>J2023*MIN(1,v01_LeanBase*EXP(v01_CapsByProject*SUMPRODUCT((Cap_Point&lt;=I2023)*(Cap_Kind="Lean")*Cap_Ln)))</x:f>
        <x:v>12000</x:v>
      </x:c>
      <x:c r="L2023" s="10" t="n">
        <x:f>INDEX(v01_HousingCap,G2023)*EXP(v01_CapsByProject*SUMPRODUCT((Cap_Point&lt;=I2023)*(Cap_Kind="Housing")*Cap_Ln))</x:f>
        <x:v>20000</x:v>
      </x:c>
      <x:c r="M2023" s="10" t="n">
        <x:f>INDEX(v01_GroupCap,G2023)*v01_CohesionFactor*EXP(v01_CapsByProject*SUMPRODUCT((Cap_Point&lt;=I2023)*(Cap_Kind="Group")*Cap_Ln))</x:f>
        <x:v>1000000</x:v>
      </x:c>
      <x:c r="N2023" s="32" t="n">
        <x:f>MIN(J2023,L2023,M2023)</x:f>
        <x:v>12000</x:v>
      </x:c>
      <x:c r="O2023" s="10" t="n">
        <x:f>AE2022*N2023</x:f>
        <x:v>180000</x:v>
      </x:c>
      <x:c r="P2023" s="9" t="n">
        <x:f>MIN(1,(AB2022/(AE2022*IF(v01_GroupInCrowding=1,N2023,MIN(J2023,L2023))))^v01_CrowdingExp)</x:f>
        <x:v>0.00024569414295285325</x:v>
      </x:c>
      <x:c r="Q2023" s="9" t="n">
        <x:f>IF(D2023=1,INDEX(v01_WinterMult,G2023),1)</x:f>
        <x:v>1</x:v>
      </x:c>
      <x:c r="R2023" s="9" t="n">
        <x:f>H2023*Z2022*v01_WomenShare*v01_BaseFertility*INDEX(v01_FertMult,G2023)*Arch_Fertility*(1-P2023)</x:f>
        <x:v>0</x:v>
      </x:c>
      <x:c r="S2023" s="9" t="n">
        <x:f>H2023*Y2022*INDEX(v01_MortChild,G2023)/4*Q2023</x:f>
        <x:v>0</x:v>
      </x:c>
      <x:c r="T2023" s="9" t="n">
        <x:f>H2023*Z2022*INDEX(v01_MortAdult,G2023)*Arch_AdultMort/4*Q2023</x:f>
        <x:v>0</x:v>
      </x:c>
      <x:c r="U2023" s="9" t="n">
        <x:f>H2023*AA2022*INDEX(v01_MortElder,G2023)/4*Q2023</x:f>
        <x:v>0</x:v>
      </x:c>
      <x:c r="V2023" s="9" t="n">
        <x:f>H2023*MAX(0,AB2022-O2023)*v01_OvercapLoss</x:f>
        <x:v>0</x:v>
      </x:c>
      <x:c r="W2023" s="9" t="n">
        <x:f>H2023*Y2022/(v01_ChildYears*4)</x:f>
        <x:v>0</x:v>
      </x:c>
      <x:c r="X2023" s="9" t="n">
        <x:f>H2023*Z2022/(v01_AdultYears*4)</x:f>
        <x:v>0</x:v>
      </x:c>
      <x:c r="Y2023" s="32" t="n">
        <x:f>Y2022+R2023-S2023-W2023-Y2022*V2023/AB2022</x:f>
        <x:v>14306.18539759397</x:v>
      </x:c>
      <x:c r="Z2023" s="32" t="n">
        <x:f>Z2022+W2023-X2023-T2023-Z2022*V2023/AB2022</x:f>
        <x:v>19354.456567879548</x:v>
      </x:c>
      <x:c r="AA2023" s="32" t="n">
        <x:f>AA2022+X2023-U2023-AA2022*V2023/AB2022</x:f>
        <x:v>11386.956063258198</x:v>
      </x:c>
      <x:c r="AB2023" s="10" t="n">
        <x:f>Y2023+Z2023+AA2023</x:f>
        <x:v>45047.59802873172</x:v>
      </x:c>
      <x:c r="AC2023" s="8" t="n">
        <x:f>IF(AND(v01_WinterTrigger=1,D2023=1,AB2022/AE2022&gt;=K2023),1,0)</x:f>
        <x:v>0</x:v>
      </x:c>
      <x:c r="AD2023" s="8" t="n">
        <x:f>H2023*IF(AND(OR(AB2022/AE2022&gt;=v01_FissionTrigger*N2023,AC2023=1),AB2022/AE2022*v01_DaughterShare&gt;=v01_MinDaughter),MAX(1,ROUND(AE2022*v01_FissionRate,0)),0)</x:f>
        <x:v>0</x:v>
      </x:c>
      <x:c r="AE2023" s="8" t="n">
        <x:f>IF(H2023=1,MAX(1,MIN(INDEX(v01_Smax,G2023),AE2022+AD2023)),AE2022)</x:f>
        <x:v>15</x:v>
      </x:c>
      <x:c r="AF2023" s="8" t="n">
        <x:f>MAX(0,AE2023-AE2022)</x:f>
        <x:v>0</x:v>
      </x:c>
      <x:c r="AG2023" s="9" t="str">
        <x:f>IF(AF2023&gt;0,B2023,"")</x:f>
      </x:c>
      <x:c r="AH2023" s="9" t="n">
        <x:f>IF(F2023&gt;=1,1,(1+v01_LowTiesShare*(AE2023-1))/AE2023)</x:f>
        <x:v>1</x:v>
      </x:c>
      <x:c r="AI2023" s="32" t="n">
        <x:f>(Z2023+v01_ElderCommons*INDEX(LM_Elder,G2023)*AA2023)*AH2023</x:f>
        <x:v>64139.732591141874</x:v>
      </x:c>
      <x:c r="AJ2023" s="32" t="n">
        <x:f>H2023*v01_CommonsCoef*AI2023^v01_CommonsExp*INDEX(LM_Commons,G2023)</x:f>
        <x:v>0</x:v>
      </x:c>
      <x:c r="AK2023" s="32" t="n">
        <x:f>H2023*v01_RoleScale*Arch_Roles*(AE2023*(INDEX(v01_ElderRolePerSett,G2023)*v01_OutElder*INDEX(LM_Elder,G2023)+INDEX(v01_ShamanPerSett,G2023)*v01_OutShaman)+Z2023*(INDEX(v01_PriestShare,G2023)*v01_OutPriest+INDEX(v01_ScribeShare,G2023)*v01_OutScribe*INDEX(LM_Scribe,G2023)+INDEX(v01_ScholarShare,G2023)*v01_OutScholar*INDEX(LM_Scholar,G2023)+INDEX(v01_ResearcherShare,G2023)*v01_OutResearcher*INDEX(LM_Researcher,G2023)))</x:f>
        <x:v>0</x:v>
      </x:c>
      <x:c r="AL2023" s="32" t="n">
        <x:f>H2023*v01_RoleScale*Arch_Roles*AE2023*INDEX(v01_MonasteryPerSett,G2023)*v01_OutMonastery*INDEX(LM_Monastery,G2023)</x:f>
        <x:v>0</x:v>
      </x:c>
      <x:c r="AM2023" s="32" t="n">
        <x:f>(AJ2023+AK2023+AL2023)/4*INDEX(LM_All,G2023)*INDEX(v01_Boon,G2023)*Arch_Insight</x:f>
        <x:v>0</x:v>
      </x:c>
      <x:c r="AN2023" s="32" t="n">
        <x:f>H2023*(v01_KHPerAdult*Z2023+v01_KHOfCommons*AJ2023/4*INDEX(LM_All,G2023))*v01_KHUsable*Arch_KH</x:f>
        <x:v>0</x:v>
      </x:c>
      <x:c r="AO2023" s="32" t="n">
        <x:f>MIN(AP2022+AN2023,AM2023*v01_KHMaxRatio)</x:f>
        <x:v>0</x:v>
      </x:c>
      <x:c r="AP2023" s="32" t="n">
        <x:f>AP2022+AN2023-AO2023</x:f>
        <x:v>0</x:v>
      </x:c>
      <x:c r="AQ2023" s="32" t="n">
        <x:f>AM2023+AO2023</x:f>
        <x:v>0</x:v>
      </x:c>
      <x:c r="AR2023" s="10" t="n">
        <x:f>IF(H2023=1,INDEX(v01_Req,G2023),0)</x:f>
        <x:v>0</x:v>
      </x:c>
      <x:c r="AS2023" s="32" t="n">
        <x:f>IF(H2023=1,IF(E2023=1,AS2022-AR2022,AS2022)+AQ2023,0)</x:f>
        <x:v>0</x:v>
      </x:c>
      <x:c r="AT2023" s="11" t="n">
        <x:f>IF(AR2023&gt;0,MIN(1,AS2023/AR2023),1)</x:f>
        <x:v>1</x:v>
      </x:c>
      <x:c r="AU2023" s="10" t="n">
        <x:f>AB2023/INDEX(v01_RepScale,G2023)</x:f>
        <x:v>90.09519605746344</x:v>
      </x:c>
      <x:c r="AV2023" s="32" t="n">
        <x:f>AM2023*60/v01_SeasonSeconds</x:f>
        <x:v>0</x:v>
      </x:c>
    </x:row>
    <x:row r="2024">
      <x:c r="A2024" s="8" t="n">
        <x:f>A2023+1</x:f>
        <x:v>2021</x:v>
      </x:c>
      <x:c r="B2024" s="9" t="n">
        <x:f>A2024*v01_SeasonSeconds/60</x:f>
        <x:v>505.25</x:v>
      </x:c>
      <x:c r="C2024" s="9" t="n">
        <x:f>A2024/4</x:f>
        <x:v>505.25</x:v>
      </x:c>
      <x:c r="D2024" s="8" t="n">
        <x:f>IF(MOD(A2024,4)=0,1,0)</x:f>
        <x:v>0</x:v>
      </x:c>
      <x:c r="E2024" s="8" t="n">
        <x:f>IF(AND(F2023&lt;=9,AS2023&gt;=AR2023),1,0)</x:f>
        <x:v>0</x:v>
      </x:c>
      <x:c r="F2024" s="8" t="n">
        <x:f>MIN(10,F2023+E2024)</x:f>
        <x:v>10</x:v>
      </x:c>
      <x:c r="G2024" s="8" t="n">
        <x:f>MIN(F2024,9)+1</x:f>
        <x:v>10</x:v>
      </x:c>
      <x:c r="H2024" s="8" t="n">
        <x:f>IF(F2024&lt;=9,1,0)</x:f>
        <x:v>0</x:v>
      </x:c>
      <x:c r="I2024" s="9" t="n">
        <x:f>MIN(10,F2023+IF(AR2023&gt;0,MIN(1,AS2023/AR2023),1))</x:f>
        <x:v>10</x:v>
      </x:c>
      <x:c r="J2024" s="32" t="n">
        <x:f>INDEX(v01_FoodCap,G2024)*Arch_FoodCap*EXP(v01_CapsByProject*SUMPRODUCT((Cap_Point&lt;=I2024)*(Cap_Kind="Food")*Cap_Ln))</x:f>
        <x:v>12000</x:v>
      </x:c>
      <x:c r="K2024" s="32" t="n">
        <x:f>J2024*MIN(1,v01_LeanBase*EXP(v01_CapsByProject*SUMPRODUCT((Cap_Point&lt;=I2024)*(Cap_Kind="Lean")*Cap_Ln)))</x:f>
        <x:v>12000</x:v>
      </x:c>
      <x:c r="L2024" s="10" t="n">
        <x:f>INDEX(v01_HousingCap,G2024)*EXP(v01_CapsByProject*SUMPRODUCT((Cap_Point&lt;=I2024)*(Cap_Kind="Housing")*Cap_Ln))</x:f>
        <x:v>20000</x:v>
      </x:c>
      <x:c r="M2024" s="10" t="n">
        <x:f>INDEX(v01_GroupCap,G2024)*v01_CohesionFactor*EXP(v01_CapsByProject*SUMPRODUCT((Cap_Point&lt;=I2024)*(Cap_Kind="Group")*Cap_Ln))</x:f>
        <x:v>1000000</x:v>
      </x:c>
      <x:c r="N2024" s="32" t="n">
        <x:f>MIN(J2024,L2024,M2024)</x:f>
        <x:v>12000</x:v>
      </x:c>
      <x:c r="O2024" s="10" t="n">
        <x:f>AE2023*N2024</x:f>
        <x:v>180000</x:v>
      </x:c>
      <x:c r="P2024" s="9" t="n">
        <x:f>MIN(1,(AB2023/(AE2023*IF(v01_GroupInCrowding=1,N2024,MIN(J2024,L2024))))^v01_CrowdingExp)</x:f>
        <x:v>0.00024569414295285325</x:v>
      </x:c>
      <x:c r="Q2024" s="9" t="n">
        <x:f>IF(D2024=1,INDEX(v01_WinterMult,G2024),1)</x:f>
        <x:v>1</x:v>
      </x:c>
      <x:c r="R2024" s="9" t="n">
        <x:f>H2024*Z2023*v01_WomenShare*v01_BaseFertility*INDEX(v01_FertMult,G2024)*Arch_Fertility*(1-P2024)</x:f>
        <x:v>0</x:v>
      </x:c>
      <x:c r="S2024" s="9" t="n">
        <x:f>H2024*Y2023*INDEX(v01_MortChild,G2024)/4*Q2024</x:f>
        <x:v>0</x:v>
      </x:c>
      <x:c r="T2024" s="9" t="n">
        <x:f>H2024*Z2023*INDEX(v01_MortAdult,G2024)*Arch_AdultMort/4*Q2024</x:f>
        <x:v>0</x:v>
      </x:c>
      <x:c r="U2024" s="9" t="n">
        <x:f>H2024*AA2023*INDEX(v01_MortElder,G2024)/4*Q2024</x:f>
        <x:v>0</x:v>
      </x:c>
      <x:c r="V2024" s="9" t="n">
        <x:f>H2024*MAX(0,AB2023-O2024)*v01_OvercapLoss</x:f>
        <x:v>0</x:v>
      </x:c>
      <x:c r="W2024" s="9" t="n">
        <x:f>H2024*Y2023/(v01_ChildYears*4)</x:f>
        <x:v>0</x:v>
      </x:c>
      <x:c r="X2024" s="9" t="n">
        <x:f>H2024*Z2023/(v01_AdultYears*4)</x:f>
        <x:v>0</x:v>
      </x:c>
      <x:c r="Y2024" s="32" t="n">
        <x:f>Y2023+R2024-S2024-W2024-Y2023*V2024/AB2023</x:f>
        <x:v>14306.18539759397</x:v>
      </x:c>
      <x:c r="Z2024" s="32" t="n">
        <x:f>Z2023+W2024-X2024-T2024-Z2023*V2024/AB2023</x:f>
        <x:v>19354.456567879548</x:v>
      </x:c>
      <x:c r="AA2024" s="32" t="n">
        <x:f>AA2023+X2024-U2024-AA2023*V2024/AB2023</x:f>
        <x:v>11386.956063258198</x:v>
      </x:c>
      <x:c r="AB2024" s="10" t="n">
        <x:f>Y2024+Z2024+AA2024</x:f>
        <x:v>45047.59802873172</x:v>
      </x:c>
      <x:c r="AC2024" s="8" t="n">
        <x:f>IF(AND(v01_WinterTrigger=1,D2024=1,AB2023/AE2023&gt;=K2024),1,0)</x:f>
        <x:v>0</x:v>
      </x:c>
      <x:c r="AD2024" s="8" t="n">
        <x:f>H2024*IF(AND(OR(AB2023/AE2023&gt;=v01_FissionTrigger*N2024,AC2024=1),AB2023/AE2023*v01_DaughterShare&gt;=v01_MinDaughter),MAX(1,ROUND(AE2023*v01_FissionRate,0)),0)</x:f>
        <x:v>0</x:v>
      </x:c>
      <x:c r="AE2024" s="8" t="n">
        <x:f>IF(H2024=1,MAX(1,MIN(INDEX(v01_Smax,G2024),AE2023+AD2024)),AE2023)</x:f>
        <x:v>15</x:v>
      </x:c>
      <x:c r="AF2024" s="8" t="n">
        <x:f>MAX(0,AE2024-AE2023)</x:f>
        <x:v>0</x:v>
      </x:c>
      <x:c r="AG2024" s="9" t="str">
        <x:f>IF(AF2024&gt;0,B2024,"")</x:f>
      </x:c>
      <x:c r="AH2024" s="9" t="n">
        <x:f>IF(F2024&gt;=1,1,(1+v01_LowTiesShare*(AE2024-1))/AE2024)</x:f>
        <x:v>1</x:v>
      </x:c>
      <x:c r="AI2024" s="32" t="n">
        <x:f>(Z2024+v01_ElderCommons*INDEX(LM_Elder,G2024)*AA2024)*AH2024</x:f>
        <x:v>64139.732591141874</x:v>
      </x:c>
      <x:c r="AJ2024" s="32" t="n">
        <x:f>H2024*v01_CommonsCoef*AI2024^v01_CommonsExp*INDEX(LM_Commons,G2024)</x:f>
        <x:v>0</x:v>
      </x:c>
      <x:c r="AK2024" s="32" t="n">
        <x:f>H2024*v01_RoleScale*Arch_Roles*(AE2024*(INDEX(v01_ElderRolePerSett,G2024)*v01_OutElder*INDEX(LM_Elder,G2024)+INDEX(v01_ShamanPerSett,G2024)*v01_OutShaman)+Z2024*(INDEX(v01_PriestShare,G2024)*v01_OutPriest+INDEX(v01_ScribeShare,G2024)*v01_OutScribe*INDEX(LM_Scribe,G2024)+INDEX(v01_ScholarShare,G2024)*v01_OutScholar*INDEX(LM_Scholar,G2024)+INDEX(v01_ResearcherShare,G2024)*v01_OutResearcher*INDEX(LM_Researcher,G2024)))</x:f>
        <x:v>0</x:v>
      </x:c>
      <x:c r="AL2024" s="32" t="n">
        <x:f>H2024*v01_RoleScale*Arch_Roles*AE2024*INDEX(v01_MonasteryPerSett,G2024)*v01_OutMonastery*INDEX(LM_Monastery,G2024)</x:f>
        <x:v>0</x:v>
      </x:c>
      <x:c r="AM2024" s="32" t="n">
        <x:f>(AJ2024+AK2024+AL2024)/4*INDEX(LM_All,G2024)*INDEX(v01_Boon,G2024)*Arch_Insight</x:f>
        <x:v>0</x:v>
      </x:c>
      <x:c r="AN2024" s="32" t="n">
        <x:f>H2024*(v01_KHPerAdult*Z2024+v01_KHOfCommons*AJ2024/4*INDEX(LM_All,G2024))*v01_KHUsable*Arch_KH</x:f>
        <x:v>0</x:v>
      </x:c>
      <x:c r="AO2024" s="32" t="n">
        <x:f>MIN(AP2023+AN2024,AM2024*v01_KHMaxRatio)</x:f>
        <x:v>0</x:v>
      </x:c>
      <x:c r="AP2024" s="32" t="n">
        <x:f>AP2023+AN2024-AO2024</x:f>
        <x:v>0</x:v>
      </x:c>
      <x:c r="AQ2024" s="32" t="n">
        <x:f>AM2024+AO2024</x:f>
        <x:v>0</x:v>
      </x:c>
      <x:c r="AR2024" s="10" t="n">
        <x:f>IF(H2024=1,INDEX(v01_Req,G2024),0)</x:f>
        <x:v>0</x:v>
      </x:c>
      <x:c r="AS2024" s="32" t="n">
        <x:f>IF(H2024=1,IF(E2024=1,AS2023-AR2023,AS2023)+AQ2024,0)</x:f>
        <x:v>0</x:v>
      </x:c>
      <x:c r="AT2024" s="11" t="n">
        <x:f>IF(AR2024&gt;0,MIN(1,AS2024/AR2024),1)</x:f>
        <x:v>1</x:v>
      </x:c>
      <x:c r="AU2024" s="10" t="n">
        <x:f>AB2024/INDEX(v01_RepScale,G2024)</x:f>
        <x:v>90.09519605746344</x:v>
      </x:c>
      <x:c r="AV2024" s="32" t="n">
        <x:f>AM2024*60/v01_SeasonSeconds</x:f>
        <x:v>0</x:v>
      </x:c>
    </x:row>
    <x:row r="2025">
      <x:c r="A2025" s="8" t="n">
        <x:f>A2024+1</x:f>
        <x:v>2022</x:v>
      </x:c>
      <x:c r="B2025" s="9" t="n">
        <x:f>A2025*v01_SeasonSeconds/60</x:f>
        <x:v>505.5</x:v>
      </x:c>
      <x:c r="C2025" s="9" t="n">
        <x:f>A2025/4</x:f>
        <x:v>505.5</x:v>
      </x:c>
      <x:c r="D2025" s="8" t="n">
        <x:f>IF(MOD(A2025,4)=0,1,0)</x:f>
        <x:v>0</x:v>
      </x:c>
      <x:c r="E2025" s="8" t="n">
        <x:f>IF(AND(F2024&lt;=9,AS2024&gt;=AR2024),1,0)</x:f>
        <x:v>0</x:v>
      </x:c>
      <x:c r="F2025" s="8" t="n">
        <x:f>MIN(10,F2024+E2025)</x:f>
        <x:v>10</x:v>
      </x:c>
      <x:c r="G2025" s="8" t="n">
        <x:f>MIN(F2025,9)+1</x:f>
        <x:v>10</x:v>
      </x:c>
      <x:c r="H2025" s="8" t="n">
        <x:f>IF(F2025&lt;=9,1,0)</x:f>
        <x:v>0</x:v>
      </x:c>
      <x:c r="I2025" s="9" t="n">
        <x:f>MIN(10,F2024+IF(AR2024&gt;0,MIN(1,AS2024/AR2024),1))</x:f>
        <x:v>10</x:v>
      </x:c>
      <x:c r="J2025" s="32" t="n">
        <x:f>INDEX(v01_FoodCap,G2025)*Arch_FoodCap*EXP(v01_CapsByProject*SUMPRODUCT((Cap_Point&lt;=I2025)*(Cap_Kind="Food")*Cap_Ln))</x:f>
        <x:v>12000</x:v>
      </x:c>
      <x:c r="K2025" s="32" t="n">
        <x:f>J2025*MIN(1,v01_LeanBase*EXP(v01_CapsByProject*SUMPRODUCT((Cap_Point&lt;=I2025)*(Cap_Kind="Lean")*Cap_Ln)))</x:f>
        <x:v>12000</x:v>
      </x:c>
      <x:c r="L2025" s="10" t="n">
        <x:f>INDEX(v01_HousingCap,G2025)*EXP(v01_CapsByProject*SUMPRODUCT((Cap_Point&lt;=I2025)*(Cap_Kind="Housing")*Cap_Ln))</x:f>
        <x:v>20000</x:v>
      </x:c>
      <x:c r="M2025" s="10" t="n">
        <x:f>INDEX(v01_GroupCap,G2025)*v01_CohesionFactor*EXP(v01_CapsByProject*SUMPRODUCT((Cap_Point&lt;=I2025)*(Cap_Kind="Group")*Cap_Ln))</x:f>
        <x:v>1000000</x:v>
      </x:c>
      <x:c r="N2025" s="32" t="n">
        <x:f>MIN(J2025,L2025,M2025)</x:f>
        <x:v>12000</x:v>
      </x:c>
      <x:c r="O2025" s="10" t="n">
        <x:f>AE2024*N2025</x:f>
        <x:v>180000</x:v>
      </x:c>
      <x:c r="P2025" s="9" t="n">
        <x:f>MIN(1,(AB2024/(AE2024*IF(v01_GroupInCrowding=1,N2025,MIN(J2025,L2025))))^v01_CrowdingExp)</x:f>
        <x:v>0.00024569414295285325</x:v>
      </x:c>
      <x:c r="Q2025" s="9" t="n">
        <x:f>IF(D2025=1,INDEX(v01_WinterMult,G2025),1)</x:f>
        <x:v>1</x:v>
      </x:c>
      <x:c r="R2025" s="9" t="n">
        <x:f>H2025*Z2024*v01_WomenShare*v01_BaseFertility*INDEX(v01_FertMult,G2025)*Arch_Fertility*(1-P2025)</x:f>
        <x:v>0</x:v>
      </x:c>
      <x:c r="S2025" s="9" t="n">
        <x:f>H2025*Y2024*INDEX(v01_MortChild,G2025)/4*Q2025</x:f>
        <x:v>0</x:v>
      </x:c>
      <x:c r="T2025" s="9" t="n">
        <x:f>H2025*Z2024*INDEX(v01_MortAdult,G2025)*Arch_AdultMort/4*Q2025</x:f>
        <x:v>0</x:v>
      </x:c>
      <x:c r="U2025" s="9" t="n">
        <x:f>H2025*AA2024*INDEX(v01_MortElder,G2025)/4*Q2025</x:f>
        <x:v>0</x:v>
      </x:c>
      <x:c r="V2025" s="9" t="n">
        <x:f>H2025*MAX(0,AB2024-O2025)*v01_OvercapLoss</x:f>
        <x:v>0</x:v>
      </x:c>
      <x:c r="W2025" s="9" t="n">
        <x:f>H2025*Y2024/(v01_ChildYears*4)</x:f>
        <x:v>0</x:v>
      </x:c>
      <x:c r="X2025" s="9" t="n">
        <x:f>H2025*Z2024/(v01_AdultYears*4)</x:f>
        <x:v>0</x:v>
      </x:c>
      <x:c r="Y2025" s="32" t="n">
        <x:f>Y2024+R2025-S2025-W2025-Y2024*V2025/AB2024</x:f>
        <x:v>14306.18539759397</x:v>
      </x:c>
      <x:c r="Z2025" s="32" t="n">
        <x:f>Z2024+W2025-X2025-T2025-Z2024*V2025/AB2024</x:f>
        <x:v>19354.456567879548</x:v>
      </x:c>
      <x:c r="AA2025" s="32" t="n">
        <x:f>AA2024+X2025-U2025-AA2024*V2025/AB2024</x:f>
        <x:v>11386.956063258198</x:v>
      </x:c>
      <x:c r="AB2025" s="10" t="n">
        <x:f>Y2025+Z2025+AA2025</x:f>
        <x:v>45047.59802873172</x:v>
      </x:c>
      <x:c r="AC2025" s="8" t="n">
        <x:f>IF(AND(v01_WinterTrigger=1,D2025=1,AB2024/AE2024&gt;=K2025),1,0)</x:f>
        <x:v>0</x:v>
      </x:c>
      <x:c r="AD2025" s="8" t="n">
        <x:f>H2025*IF(AND(OR(AB2024/AE2024&gt;=v01_FissionTrigger*N2025,AC2025=1),AB2024/AE2024*v01_DaughterShare&gt;=v01_MinDaughter),MAX(1,ROUND(AE2024*v01_FissionRate,0)),0)</x:f>
        <x:v>0</x:v>
      </x:c>
      <x:c r="AE2025" s="8" t="n">
        <x:f>IF(H2025=1,MAX(1,MIN(INDEX(v01_Smax,G2025),AE2024+AD2025)),AE2024)</x:f>
        <x:v>15</x:v>
      </x:c>
      <x:c r="AF2025" s="8" t="n">
        <x:f>MAX(0,AE2025-AE2024)</x:f>
        <x:v>0</x:v>
      </x:c>
      <x:c r="AG2025" s="9" t="str">
        <x:f>IF(AF2025&gt;0,B2025,"")</x:f>
      </x:c>
      <x:c r="AH2025" s="9" t="n">
        <x:f>IF(F2025&gt;=1,1,(1+v01_LowTiesShare*(AE2025-1))/AE2025)</x:f>
        <x:v>1</x:v>
      </x:c>
      <x:c r="AI2025" s="32" t="n">
        <x:f>(Z2025+v01_ElderCommons*INDEX(LM_Elder,G2025)*AA2025)*AH2025</x:f>
        <x:v>64139.732591141874</x:v>
      </x:c>
      <x:c r="AJ2025" s="32" t="n">
        <x:f>H2025*v01_CommonsCoef*AI2025^v01_CommonsExp*INDEX(LM_Commons,G2025)</x:f>
        <x:v>0</x:v>
      </x:c>
      <x:c r="AK2025" s="32" t="n">
        <x:f>H2025*v01_RoleScale*Arch_Roles*(AE2025*(INDEX(v01_ElderRolePerSett,G2025)*v01_OutElder*INDEX(LM_Elder,G2025)+INDEX(v01_ShamanPerSett,G2025)*v01_OutShaman)+Z2025*(INDEX(v01_PriestShare,G2025)*v01_OutPriest+INDEX(v01_ScribeShare,G2025)*v01_OutScribe*INDEX(LM_Scribe,G2025)+INDEX(v01_ScholarShare,G2025)*v01_OutScholar*INDEX(LM_Scholar,G2025)+INDEX(v01_ResearcherShare,G2025)*v01_OutResearcher*INDEX(LM_Researcher,G2025)))</x:f>
        <x:v>0</x:v>
      </x:c>
      <x:c r="AL2025" s="32" t="n">
        <x:f>H2025*v01_RoleScale*Arch_Roles*AE2025*INDEX(v01_MonasteryPerSett,G2025)*v01_OutMonastery*INDEX(LM_Monastery,G2025)</x:f>
        <x:v>0</x:v>
      </x:c>
      <x:c r="AM2025" s="32" t="n">
        <x:f>(AJ2025+AK2025+AL2025)/4*INDEX(LM_All,G2025)*INDEX(v01_Boon,G2025)*Arch_Insight</x:f>
        <x:v>0</x:v>
      </x:c>
      <x:c r="AN2025" s="32" t="n">
        <x:f>H2025*(v01_KHPerAdult*Z2025+v01_KHOfCommons*AJ2025/4*INDEX(LM_All,G2025))*v01_KHUsable*Arch_KH</x:f>
        <x:v>0</x:v>
      </x:c>
      <x:c r="AO2025" s="32" t="n">
        <x:f>MIN(AP2024+AN2025,AM2025*v01_KHMaxRatio)</x:f>
        <x:v>0</x:v>
      </x:c>
      <x:c r="AP2025" s="32" t="n">
        <x:f>AP2024+AN2025-AO2025</x:f>
        <x:v>0</x:v>
      </x:c>
      <x:c r="AQ2025" s="32" t="n">
        <x:f>AM2025+AO2025</x:f>
        <x:v>0</x:v>
      </x:c>
      <x:c r="AR2025" s="10" t="n">
        <x:f>IF(H2025=1,INDEX(v01_Req,G2025),0)</x:f>
        <x:v>0</x:v>
      </x:c>
      <x:c r="AS2025" s="32" t="n">
        <x:f>IF(H2025=1,IF(E2025=1,AS2024-AR2024,AS2024)+AQ2025,0)</x:f>
        <x:v>0</x:v>
      </x:c>
      <x:c r="AT2025" s="11" t="n">
        <x:f>IF(AR2025&gt;0,MIN(1,AS2025/AR2025),1)</x:f>
        <x:v>1</x:v>
      </x:c>
      <x:c r="AU2025" s="10" t="n">
        <x:f>AB2025/INDEX(v01_RepScale,G2025)</x:f>
        <x:v>90.09519605746344</x:v>
      </x:c>
      <x:c r="AV2025" s="32" t="n">
        <x:f>AM2025*60/v01_SeasonSeconds</x:f>
        <x:v>0</x:v>
      </x:c>
    </x:row>
    <x:row r="2026">
      <x:c r="A2026" s="8" t="n">
        <x:f>A2025+1</x:f>
        <x:v>2023</x:v>
      </x:c>
      <x:c r="B2026" s="9" t="n">
        <x:f>A2026*v01_SeasonSeconds/60</x:f>
        <x:v>505.75</x:v>
      </x:c>
      <x:c r="C2026" s="9" t="n">
        <x:f>A2026/4</x:f>
        <x:v>505.75</x:v>
      </x:c>
      <x:c r="D2026" s="8" t="n">
        <x:f>IF(MOD(A2026,4)=0,1,0)</x:f>
        <x:v>0</x:v>
      </x:c>
      <x:c r="E2026" s="8" t="n">
        <x:f>IF(AND(F2025&lt;=9,AS2025&gt;=AR2025),1,0)</x:f>
        <x:v>0</x:v>
      </x:c>
      <x:c r="F2026" s="8" t="n">
        <x:f>MIN(10,F2025+E2026)</x:f>
        <x:v>10</x:v>
      </x:c>
      <x:c r="G2026" s="8" t="n">
        <x:f>MIN(F2026,9)+1</x:f>
        <x:v>10</x:v>
      </x:c>
      <x:c r="H2026" s="8" t="n">
        <x:f>IF(F2026&lt;=9,1,0)</x:f>
        <x:v>0</x:v>
      </x:c>
      <x:c r="I2026" s="9" t="n">
        <x:f>MIN(10,F2025+IF(AR2025&gt;0,MIN(1,AS2025/AR2025),1))</x:f>
        <x:v>10</x:v>
      </x:c>
      <x:c r="J2026" s="32" t="n">
        <x:f>INDEX(v01_FoodCap,G2026)*Arch_FoodCap*EXP(v01_CapsByProject*SUMPRODUCT((Cap_Point&lt;=I2026)*(Cap_Kind="Food")*Cap_Ln))</x:f>
        <x:v>12000</x:v>
      </x:c>
      <x:c r="K2026" s="32" t="n">
        <x:f>J2026*MIN(1,v01_LeanBase*EXP(v01_CapsByProject*SUMPRODUCT((Cap_Point&lt;=I2026)*(Cap_Kind="Lean")*Cap_Ln)))</x:f>
        <x:v>12000</x:v>
      </x:c>
      <x:c r="L2026" s="10" t="n">
        <x:f>INDEX(v01_HousingCap,G2026)*EXP(v01_CapsByProject*SUMPRODUCT((Cap_Point&lt;=I2026)*(Cap_Kind="Housing")*Cap_Ln))</x:f>
        <x:v>20000</x:v>
      </x:c>
      <x:c r="M2026" s="10" t="n">
        <x:f>INDEX(v01_GroupCap,G2026)*v01_CohesionFactor*EXP(v01_CapsByProject*SUMPRODUCT((Cap_Point&lt;=I2026)*(Cap_Kind="Group")*Cap_Ln))</x:f>
        <x:v>1000000</x:v>
      </x:c>
      <x:c r="N2026" s="32" t="n">
        <x:f>MIN(J2026,L2026,M2026)</x:f>
        <x:v>12000</x:v>
      </x:c>
      <x:c r="O2026" s="10" t="n">
        <x:f>AE2025*N2026</x:f>
        <x:v>180000</x:v>
      </x:c>
      <x:c r="P2026" s="9" t="n">
        <x:f>MIN(1,(AB2025/(AE2025*IF(v01_GroupInCrowding=1,N2026,MIN(J2026,L2026))))^v01_CrowdingExp)</x:f>
        <x:v>0.00024569414295285325</x:v>
      </x:c>
      <x:c r="Q2026" s="9" t="n">
        <x:f>IF(D2026=1,INDEX(v01_WinterMult,G2026),1)</x:f>
        <x:v>1</x:v>
      </x:c>
      <x:c r="R2026" s="9" t="n">
        <x:f>H2026*Z2025*v01_WomenShare*v01_BaseFertility*INDEX(v01_FertMult,G2026)*Arch_Fertility*(1-P2026)</x:f>
        <x:v>0</x:v>
      </x:c>
      <x:c r="S2026" s="9" t="n">
        <x:f>H2026*Y2025*INDEX(v01_MortChild,G2026)/4*Q2026</x:f>
        <x:v>0</x:v>
      </x:c>
      <x:c r="T2026" s="9" t="n">
        <x:f>H2026*Z2025*INDEX(v01_MortAdult,G2026)*Arch_AdultMort/4*Q2026</x:f>
        <x:v>0</x:v>
      </x:c>
      <x:c r="U2026" s="9" t="n">
        <x:f>H2026*AA2025*INDEX(v01_MortElder,G2026)/4*Q2026</x:f>
        <x:v>0</x:v>
      </x:c>
      <x:c r="V2026" s="9" t="n">
        <x:f>H2026*MAX(0,AB2025-O2026)*v01_OvercapLoss</x:f>
        <x:v>0</x:v>
      </x:c>
      <x:c r="W2026" s="9" t="n">
        <x:f>H2026*Y2025/(v01_ChildYears*4)</x:f>
        <x:v>0</x:v>
      </x:c>
      <x:c r="X2026" s="9" t="n">
        <x:f>H2026*Z2025/(v01_AdultYears*4)</x:f>
        <x:v>0</x:v>
      </x:c>
      <x:c r="Y2026" s="32" t="n">
        <x:f>Y2025+R2026-S2026-W2026-Y2025*V2026/AB2025</x:f>
        <x:v>14306.18539759397</x:v>
      </x:c>
      <x:c r="Z2026" s="32" t="n">
        <x:f>Z2025+W2026-X2026-T2026-Z2025*V2026/AB2025</x:f>
        <x:v>19354.456567879548</x:v>
      </x:c>
      <x:c r="AA2026" s="32" t="n">
        <x:f>AA2025+X2026-U2026-AA2025*V2026/AB2025</x:f>
        <x:v>11386.956063258198</x:v>
      </x:c>
      <x:c r="AB2026" s="10" t="n">
        <x:f>Y2026+Z2026+AA2026</x:f>
        <x:v>45047.59802873172</x:v>
      </x:c>
      <x:c r="AC2026" s="8" t="n">
        <x:f>IF(AND(v01_WinterTrigger=1,D2026=1,AB2025/AE2025&gt;=K2026),1,0)</x:f>
        <x:v>0</x:v>
      </x:c>
      <x:c r="AD2026" s="8" t="n">
        <x:f>H2026*IF(AND(OR(AB2025/AE2025&gt;=v01_FissionTrigger*N2026,AC2026=1),AB2025/AE2025*v01_DaughterShare&gt;=v01_MinDaughter),MAX(1,ROUND(AE2025*v01_FissionRate,0)),0)</x:f>
        <x:v>0</x:v>
      </x:c>
      <x:c r="AE2026" s="8" t="n">
        <x:f>IF(H2026=1,MAX(1,MIN(INDEX(v01_Smax,G2026),AE2025+AD2026)),AE2025)</x:f>
        <x:v>15</x:v>
      </x:c>
      <x:c r="AF2026" s="8" t="n">
        <x:f>MAX(0,AE2026-AE2025)</x:f>
        <x:v>0</x:v>
      </x:c>
      <x:c r="AG2026" s="9" t="str">
        <x:f>IF(AF2026&gt;0,B2026,"")</x:f>
      </x:c>
      <x:c r="AH2026" s="9" t="n">
        <x:f>IF(F2026&gt;=1,1,(1+v01_LowTiesShare*(AE2026-1))/AE2026)</x:f>
        <x:v>1</x:v>
      </x:c>
      <x:c r="AI2026" s="32" t="n">
        <x:f>(Z2026+v01_ElderCommons*INDEX(LM_Elder,G2026)*AA2026)*AH2026</x:f>
        <x:v>64139.732591141874</x:v>
      </x:c>
      <x:c r="AJ2026" s="32" t="n">
        <x:f>H2026*v01_CommonsCoef*AI2026^v01_CommonsExp*INDEX(LM_Commons,G2026)</x:f>
        <x:v>0</x:v>
      </x:c>
      <x:c r="AK2026" s="32" t="n">
        <x:f>H2026*v01_RoleScale*Arch_Roles*(AE2026*(INDEX(v01_ElderRolePerSett,G2026)*v01_OutElder*INDEX(LM_Elder,G2026)+INDEX(v01_ShamanPerSett,G2026)*v01_OutShaman)+Z2026*(INDEX(v01_PriestShare,G2026)*v01_OutPriest+INDEX(v01_ScribeShare,G2026)*v01_OutScribe*INDEX(LM_Scribe,G2026)+INDEX(v01_ScholarShare,G2026)*v01_OutScholar*INDEX(LM_Scholar,G2026)+INDEX(v01_ResearcherShare,G2026)*v01_OutResearcher*INDEX(LM_Researcher,G2026)))</x:f>
        <x:v>0</x:v>
      </x:c>
      <x:c r="AL2026" s="32" t="n">
        <x:f>H2026*v01_RoleScale*Arch_Roles*AE2026*INDEX(v01_MonasteryPerSett,G2026)*v01_OutMonastery*INDEX(LM_Monastery,G2026)</x:f>
        <x:v>0</x:v>
      </x:c>
      <x:c r="AM2026" s="32" t="n">
        <x:f>(AJ2026+AK2026+AL2026)/4*INDEX(LM_All,G2026)*INDEX(v01_Boon,G2026)*Arch_Insight</x:f>
        <x:v>0</x:v>
      </x:c>
      <x:c r="AN2026" s="32" t="n">
        <x:f>H2026*(v01_KHPerAdult*Z2026+v01_KHOfCommons*AJ2026/4*INDEX(LM_All,G2026))*v01_KHUsable*Arch_KH</x:f>
        <x:v>0</x:v>
      </x:c>
      <x:c r="AO2026" s="32" t="n">
        <x:f>MIN(AP2025+AN2026,AM2026*v01_KHMaxRatio)</x:f>
        <x:v>0</x:v>
      </x:c>
      <x:c r="AP2026" s="32" t="n">
        <x:f>AP2025+AN2026-AO2026</x:f>
        <x:v>0</x:v>
      </x:c>
      <x:c r="AQ2026" s="32" t="n">
        <x:f>AM2026+AO2026</x:f>
        <x:v>0</x:v>
      </x:c>
      <x:c r="AR2026" s="10" t="n">
        <x:f>IF(H2026=1,INDEX(v01_Req,G2026),0)</x:f>
        <x:v>0</x:v>
      </x:c>
      <x:c r="AS2026" s="32" t="n">
        <x:f>IF(H2026=1,IF(E2026=1,AS2025-AR2025,AS2025)+AQ2026,0)</x:f>
        <x:v>0</x:v>
      </x:c>
      <x:c r="AT2026" s="11" t="n">
        <x:f>IF(AR2026&gt;0,MIN(1,AS2026/AR2026),1)</x:f>
        <x:v>1</x:v>
      </x:c>
      <x:c r="AU2026" s="10" t="n">
        <x:f>AB2026/INDEX(v01_RepScale,G2026)</x:f>
        <x:v>90.09519605746344</x:v>
      </x:c>
      <x:c r="AV2026" s="32" t="n">
        <x:f>AM2026*60/v01_SeasonSeconds</x:f>
        <x:v>0</x:v>
      </x:c>
    </x:row>
    <x:row r="2027">
      <x:c r="A2027" s="8" t="n">
        <x:f>A2026+1</x:f>
        <x:v>2024</x:v>
      </x:c>
      <x:c r="B2027" s="9" t="n">
        <x:f>A2027*v01_SeasonSeconds/60</x:f>
        <x:v>506</x:v>
      </x:c>
      <x:c r="C2027" s="9" t="n">
        <x:f>A2027/4</x:f>
        <x:v>506</x:v>
      </x:c>
      <x:c r="D2027" s="8" t="n">
        <x:f>IF(MOD(A2027,4)=0,1,0)</x:f>
        <x:v>1</x:v>
      </x:c>
      <x:c r="E2027" s="8" t="n">
        <x:f>IF(AND(F2026&lt;=9,AS2026&gt;=AR2026),1,0)</x:f>
        <x:v>0</x:v>
      </x:c>
      <x:c r="F2027" s="8" t="n">
        <x:f>MIN(10,F2026+E2027)</x:f>
        <x:v>10</x:v>
      </x:c>
      <x:c r="G2027" s="8" t="n">
        <x:f>MIN(F2027,9)+1</x:f>
        <x:v>10</x:v>
      </x:c>
      <x:c r="H2027" s="8" t="n">
        <x:f>IF(F2027&lt;=9,1,0)</x:f>
        <x:v>0</x:v>
      </x:c>
      <x:c r="I2027" s="9" t="n">
        <x:f>MIN(10,F2026+IF(AR2026&gt;0,MIN(1,AS2026/AR2026),1))</x:f>
        <x:v>10</x:v>
      </x:c>
      <x:c r="J2027" s="32" t="n">
        <x:f>INDEX(v01_FoodCap,G2027)*Arch_FoodCap*EXP(v01_CapsByProject*SUMPRODUCT((Cap_Point&lt;=I2027)*(Cap_Kind="Food")*Cap_Ln))</x:f>
        <x:v>12000</x:v>
      </x:c>
      <x:c r="K2027" s="32" t="n">
        <x:f>J2027*MIN(1,v01_LeanBase*EXP(v01_CapsByProject*SUMPRODUCT((Cap_Point&lt;=I2027)*(Cap_Kind="Lean")*Cap_Ln)))</x:f>
        <x:v>12000</x:v>
      </x:c>
      <x:c r="L2027" s="10" t="n">
        <x:f>INDEX(v01_HousingCap,G2027)*EXP(v01_CapsByProject*SUMPRODUCT((Cap_Point&lt;=I2027)*(Cap_Kind="Housing")*Cap_Ln))</x:f>
        <x:v>20000</x:v>
      </x:c>
      <x:c r="M2027" s="10" t="n">
        <x:f>INDEX(v01_GroupCap,G2027)*v01_CohesionFactor*EXP(v01_CapsByProject*SUMPRODUCT((Cap_Point&lt;=I2027)*(Cap_Kind="Group")*Cap_Ln))</x:f>
        <x:v>1000000</x:v>
      </x:c>
      <x:c r="N2027" s="32" t="n">
        <x:f>MIN(J2027,L2027,M2027)</x:f>
        <x:v>12000</x:v>
      </x:c>
      <x:c r="O2027" s="10" t="n">
        <x:f>AE2026*N2027</x:f>
        <x:v>180000</x:v>
      </x:c>
      <x:c r="P2027" s="9" t="n">
        <x:f>MIN(1,(AB2026/(AE2026*IF(v01_GroupInCrowding=1,N2027,MIN(J2027,L2027))))^v01_CrowdingExp)</x:f>
        <x:v>0.00024569414295285325</x:v>
      </x:c>
      <x:c r="Q2027" s="9" t="n">
        <x:f>IF(D2027=1,INDEX(v01_WinterMult,G2027),1)</x:f>
        <x:v>1</x:v>
      </x:c>
      <x:c r="R2027" s="9" t="n">
        <x:f>H2027*Z2026*v01_WomenShare*v01_BaseFertility*INDEX(v01_FertMult,G2027)*Arch_Fertility*(1-P2027)</x:f>
        <x:v>0</x:v>
      </x:c>
      <x:c r="S2027" s="9" t="n">
        <x:f>H2027*Y2026*INDEX(v01_MortChild,G2027)/4*Q2027</x:f>
        <x:v>0</x:v>
      </x:c>
      <x:c r="T2027" s="9" t="n">
        <x:f>H2027*Z2026*INDEX(v01_MortAdult,G2027)*Arch_AdultMort/4*Q2027</x:f>
        <x:v>0</x:v>
      </x:c>
      <x:c r="U2027" s="9" t="n">
        <x:f>H2027*AA2026*INDEX(v01_MortElder,G2027)/4*Q2027</x:f>
        <x:v>0</x:v>
      </x:c>
      <x:c r="V2027" s="9" t="n">
        <x:f>H2027*MAX(0,AB2026-O2027)*v01_OvercapLoss</x:f>
        <x:v>0</x:v>
      </x:c>
      <x:c r="W2027" s="9" t="n">
        <x:f>H2027*Y2026/(v01_ChildYears*4)</x:f>
        <x:v>0</x:v>
      </x:c>
      <x:c r="X2027" s="9" t="n">
        <x:f>H2027*Z2026/(v01_AdultYears*4)</x:f>
        <x:v>0</x:v>
      </x:c>
      <x:c r="Y2027" s="32" t="n">
        <x:f>Y2026+R2027-S2027-W2027-Y2026*V2027/AB2026</x:f>
        <x:v>14306.18539759397</x:v>
      </x:c>
      <x:c r="Z2027" s="32" t="n">
        <x:f>Z2026+W2027-X2027-T2027-Z2026*V2027/AB2026</x:f>
        <x:v>19354.456567879548</x:v>
      </x:c>
      <x:c r="AA2027" s="32" t="n">
        <x:f>AA2026+X2027-U2027-AA2026*V2027/AB2026</x:f>
        <x:v>11386.956063258198</x:v>
      </x:c>
      <x:c r="AB2027" s="10" t="n">
        <x:f>Y2027+Z2027+AA2027</x:f>
        <x:v>45047.59802873172</x:v>
      </x:c>
      <x:c r="AC2027" s="8" t="n">
        <x:f>IF(AND(v01_WinterTrigger=1,D2027=1,AB2026/AE2026&gt;=K2027),1,0)</x:f>
        <x:v>0</x:v>
      </x:c>
      <x:c r="AD2027" s="8" t="n">
        <x:f>H2027*IF(AND(OR(AB2026/AE2026&gt;=v01_FissionTrigger*N2027,AC2027=1),AB2026/AE2026*v01_DaughterShare&gt;=v01_MinDaughter),MAX(1,ROUND(AE2026*v01_FissionRate,0)),0)</x:f>
        <x:v>0</x:v>
      </x:c>
      <x:c r="AE2027" s="8" t="n">
        <x:f>IF(H2027=1,MAX(1,MIN(INDEX(v01_Smax,G2027),AE2026+AD2027)),AE2026)</x:f>
        <x:v>15</x:v>
      </x:c>
      <x:c r="AF2027" s="8" t="n">
        <x:f>MAX(0,AE2027-AE2026)</x:f>
        <x:v>0</x:v>
      </x:c>
      <x:c r="AG2027" s="9" t="str">
        <x:f>IF(AF2027&gt;0,B2027,"")</x:f>
      </x:c>
      <x:c r="AH2027" s="9" t="n">
        <x:f>IF(F2027&gt;=1,1,(1+v01_LowTiesShare*(AE2027-1))/AE2027)</x:f>
        <x:v>1</x:v>
      </x:c>
      <x:c r="AI2027" s="32" t="n">
        <x:f>(Z2027+v01_ElderCommons*INDEX(LM_Elder,G2027)*AA2027)*AH2027</x:f>
        <x:v>64139.732591141874</x:v>
      </x:c>
      <x:c r="AJ2027" s="32" t="n">
        <x:f>H2027*v01_CommonsCoef*AI2027^v01_CommonsExp*INDEX(LM_Commons,G2027)</x:f>
        <x:v>0</x:v>
      </x:c>
      <x:c r="AK2027" s="32" t="n">
        <x:f>H2027*v01_RoleScale*Arch_Roles*(AE2027*(INDEX(v01_ElderRolePerSett,G2027)*v01_OutElder*INDEX(LM_Elder,G2027)+INDEX(v01_ShamanPerSett,G2027)*v01_OutShaman)+Z2027*(INDEX(v01_PriestShare,G2027)*v01_OutPriest+INDEX(v01_ScribeShare,G2027)*v01_OutScribe*INDEX(LM_Scribe,G2027)+INDEX(v01_ScholarShare,G2027)*v01_OutScholar*INDEX(LM_Scholar,G2027)+INDEX(v01_ResearcherShare,G2027)*v01_OutResearcher*INDEX(LM_Researcher,G2027)))</x:f>
        <x:v>0</x:v>
      </x:c>
      <x:c r="AL2027" s="32" t="n">
        <x:f>H2027*v01_RoleScale*Arch_Roles*AE2027*INDEX(v01_MonasteryPerSett,G2027)*v01_OutMonastery*INDEX(LM_Monastery,G2027)</x:f>
        <x:v>0</x:v>
      </x:c>
      <x:c r="AM2027" s="32" t="n">
        <x:f>(AJ2027+AK2027+AL2027)/4*INDEX(LM_All,G2027)*INDEX(v01_Boon,G2027)*Arch_Insight</x:f>
        <x:v>0</x:v>
      </x:c>
      <x:c r="AN2027" s="32" t="n">
        <x:f>H2027*(v01_KHPerAdult*Z2027+v01_KHOfCommons*AJ2027/4*INDEX(LM_All,G2027))*v01_KHUsable*Arch_KH</x:f>
        <x:v>0</x:v>
      </x:c>
      <x:c r="AO2027" s="32" t="n">
        <x:f>MIN(AP2026+AN2027,AM2027*v01_KHMaxRatio)</x:f>
        <x:v>0</x:v>
      </x:c>
      <x:c r="AP2027" s="32" t="n">
        <x:f>AP2026+AN2027-AO2027</x:f>
        <x:v>0</x:v>
      </x:c>
      <x:c r="AQ2027" s="32" t="n">
        <x:f>AM2027+AO2027</x:f>
        <x:v>0</x:v>
      </x:c>
      <x:c r="AR2027" s="10" t="n">
        <x:f>IF(H2027=1,INDEX(v01_Req,G2027),0)</x:f>
        <x:v>0</x:v>
      </x:c>
      <x:c r="AS2027" s="32" t="n">
        <x:f>IF(H2027=1,IF(E2027=1,AS2026-AR2026,AS2026)+AQ2027,0)</x:f>
        <x:v>0</x:v>
      </x:c>
      <x:c r="AT2027" s="11" t="n">
        <x:f>IF(AR2027&gt;0,MIN(1,AS2027/AR2027),1)</x:f>
        <x:v>1</x:v>
      </x:c>
      <x:c r="AU2027" s="10" t="n">
        <x:f>AB2027/INDEX(v01_RepScale,G2027)</x:f>
        <x:v>90.09519605746344</x:v>
      </x:c>
      <x:c r="AV2027" s="32" t="n">
        <x:f>AM2027*60/v01_SeasonSeconds</x:f>
        <x:v>0</x:v>
      </x:c>
    </x:row>
    <x:row r="2028">
      <x:c r="A2028" s="8" t="n">
        <x:f>A2027+1</x:f>
        <x:v>2025</x:v>
      </x:c>
      <x:c r="B2028" s="9" t="n">
        <x:f>A2028*v01_SeasonSeconds/60</x:f>
        <x:v>506.25</x:v>
      </x:c>
      <x:c r="C2028" s="9" t="n">
        <x:f>A2028/4</x:f>
        <x:v>506.25</x:v>
      </x:c>
      <x:c r="D2028" s="8" t="n">
        <x:f>IF(MOD(A2028,4)=0,1,0)</x:f>
        <x:v>0</x:v>
      </x:c>
      <x:c r="E2028" s="8" t="n">
        <x:f>IF(AND(F2027&lt;=9,AS2027&gt;=AR2027),1,0)</x:f>
        <x:v>0</x:v>
      </x:c>
      <x:c r="F2028" s="8" t="n">
        <x:f>MIN(10,F2027+E2028)</x:f>
        <x:v>10</x:v>
      </x:c>
      <x:c r="G2028" s="8" t="n">
        <x:f>MIN(F2028,9)+1</x:f>
        <x:v>10</x:v>
      </x:c>
      <x:c r="H2028" s="8" t="n">
        <x:f>IF(F2028&lt;=9,1,0)</x:f>
        <x:v>0</x:v>
      </x:c>
      <x:c r="I2028" s="9" t="n">
        <x:f>MIN(10,F2027+IF(AR2027&gt;0,MIN(1,AS2027/AR2027),1))</x:f>
        <x:v>10</x:v>
      </x:c>
      <x:c r="J2028" s="32" t="n">
        <x:f>INDEX(v01_FoodCap,G2028)*Arch_FoodCap*EXP(v01_CapsByProject*SUMPRODUCT((Cap_Point&lt;=I2028)*(Cap_Kind="Food")*Cap_Ln))</x:f>
        <x:v>12000</x:v>
      </x:c>
      <x:c r="K2028" s="32" t="n">
        <x:f>J2028*MIN(1,v01_LeanBase*EXP(v01_CapsByProject*SUMPRODUCT((Cap_Point&lt;=I2028)*(Cap_Kind="Lean")*Cap_Ln)))</x:f>
        <x:v>12000</x:v>
      </x:c>
      <x:c r="L2028" s="10" t="n">
        <x:f>INDEX(v01_HousingCap,G2028)*EXP(v01_CapsByProject*SUMPRODUCT((Cap_Point&lt;=I2028)*(Cap_Kind="Housing")*Cap_Ln))</x:f>
        <x:v>20000</x:v>
      </x:c>
      <x:c r="M2028" s="10" t="n">
        <x:f>INDEX(v01_GroupCap,G2028)*v01_CohesionFactor*EXP(v01_CapsByProject*SUMPRODUCT((Cap_Point&lt;=I2028)*(Cap_Kind="Group")*Cap_Ln))</x:f>
        <x:v>1000000</x:v>
      </x:c>
      <x:c r="N2028" s="32" t="n">
        <x:f>MIN(J2028,L2028,M2028)</x:f>
        <x:v>12000</x:v>
      </x:c>
      <x:c r="O2028" s="10" t="n">
        <x:f>AE2027*N2028</x:f>
        <x:v>180000</x:v>
      </x:c>
      <x:c r="P2028" s="9" t="n">
        <x:f>MIN(1,(AB2027/(AE2027*IF(v01_GroupInCrowding=1,N2028,MIN(J2028,L2028))))^v01_CrowdingExp)</x:f>
        <x:v>0.00024569414295285325</x:v>
      </x:c>
      <x:c r="Q2028" s="9" t="n">
        <x:f>IF(D2028=1,INDEX(v01_WinterMult,G2028),1)</x:f>
        <x:v>1</x:v>
      </x:c>
      <x:c r="R2028" s="9" t="n">
        <x:f>H2028*Z2027*v01_WomenShare*v01_BaseFertility*INDEX(v01_FertMult,G2028)*Arch_Fertility*(1-P2028)</x:f>
        <x:v>0</x:v>
      </x:c>
      <x:c r="S2028" s="9" t="n">
        <x:f>H2028*Y2027*INDEX(v01_MortChild,G2028)/4*Q2028</x:f>
        <x:v>0</x:v>
      </x:c>
      <x:c r="T2028" s="9" t="n">
        <x:f>H2028*Z2027*INDEX(v01_MortAdult,G2028)*Arch_AdultMort/4*Q2028</x:f>
        <x:v>0</x:v>
      </x:c>
      <x:c r="U2028" s="9" t="n">
        <x:f>H2028*AA2027*INDEX(v01_MortElder,G2028)/4*Q2028</x:f>
        <x:v>0</x:v>
      </x:c>
      <x:c r="V2028" s="9" t="n">
        <x:f>H2028*MAX(0,AB2027-O2028)*v01_OvercapLoss</x:f>
        <x:v>0</x:v>
      </x:c>
      <x:c r="W2028" s="9" t="n">
        <x:f>H2028*Y2027/(v01_ChildYears*4)</x:f>
        <x:v>0</x:v>
      </x:c>
      <x:c r="X2028" s="9" t="n">
        <x:f>H2028*Z2027/(v01_AdultYears*4)</x:f>
        <x:v>0</x:v>
      </x:c>
      <x:c r="Y2028" s="32" t="n">
        <x:f>Y2027+R2028-S2028-W2028-Y2027*V2028/AB2027</x:f>
        <x:v>14306.18539759397</x:v>
      </x:c>
      <x:c r="Z2028" s="32" t="n">
        <x:f>Z2027+W2028-X2028-T2028-Z2027*V2028/AB2027</x:f>
        <x:v>19354.456567879548</x:v>
      </x:c>
      <x:c r="AA2028" s="32" t="n">
        <x:f>AA2027+X2028-U2028-AA2027*V2028/AB2027</x:f>
        <x:v>11386.956063258198</x:v>
      </x:c>
      <x:c r="AB2028" s="10" t="n">
        <x:f>Y2028+Z2028+AA2028</x:f>
        <x:v>45047.59802873172</x:v>
      </x:c>
      <x:c r="AC2028" s="8" t="n">
        <x:f>IF(AND(v01_WinterTrigger=1,D2028=1,AB2027/AE2027&gt;=K2028),1,0)</x:f>
        <x:v>0</x:v>
      </x:c>
      <x:c r="AD2028" s="8" t="n">
        <x:f>H2028*IF(AND(OR(AB2027/AE2027&gt;=v01_FissionTrigger*N2028,AC2028=1),AB2027/AE2027*v01_DaughterShare&gt;=v01_MinDaughter),MAX(1,ROUND(AE2027*v01_FissionRate,0)),0)</x:f>
        <x:v>0</x:v>
      </x:c>
      <x:c r="AE2028" s="8" t="n">
        <x:f>IF(H2028=1,MAX(1,MIN(INDEX(v01_Smax,G2028),AE2027+AD2028)),AE2027)</x:f>
        <x:v>15</x:v>
      </x:c>
      <x:c r="AF2028" s="8" t="n">
        <x:f>MAX(0,AE2028-AE2027)</x:f>
        <x:v>0</x:v>
      </x:c>
      <x:c r="AG2028" s="9" t="str">
        <x:f>IF(AF2028&gt;0,B2028,"")</x:f>
      </x:c>
      <x:c r="AH2028" s="9" t="n">
        <x:f>IF(F2028&gt;=1,1,(1+v01_LowTiesShare*(AE2028-1))/AE2028)</x:f>
        <x:v>1</x:v>
      </x:c>
      <x:c r="AI2028" s="32" t="n">
        <x:f>(Z2028+v01_ElderCommons*INDEX(LM_Elder,G2028)*AA2028)*AH2028</x:f>
        <x:v>64139.732591141874</x:v>
      </x:c>
      <x:c r="AJ2028" s="32" t="n">
        <x:f>H2028*v01_CommonsCoef*AI2028^v01_CommonsExp*INDEX(LM_Commons,G2028)</x:f>
        <x:v>0</x:v>
      </x:c>
      <x:c r="AK2028" s="32" t="n">
        <x:f>H2028*v01_RoleScale*Arch_Roles*(AE2028*(INDEX(v01_ElderRolePerSett,G2028)*v01_OutElder*INDEX(LM_Elder,G2028)+INDEX(v01_ShamanPerSett,G2028)*v01_OutShaman)+Z2028*(INDEX(v01_PriestShare,G2028)*v01_OutPriest+INDEX(v01_ScribeShare,G2028)*v01_OutScribe*INDEX(LM_Scribe,G2028)+INDEX(v01_ScholarShare,G2028)*v01_OutScholar*INDEX(LM_Scholar,G2028)+INDEX(v01_ResearcherShare,G2028)*v01_OutResearcher*INDEX(LM_Researcher,G2028)))</x:f>
        <x:v>0</x:v>
      </x:c>
      <x:c r="AL2028" s="32" t="n">
        <x:f>H2028*v01_RoleScale*Arch_Roles*AE2028*INDEX(v01_MonasteryPerSett,G2028)*v01_OutMonastery*INDEX(LM_Monastery,G2028)</x:f>
        <x:v>0</x:v>
      </x:c>
      <x:c r="AM2028" s="32" t="n">
        <x:f>(AJ2028+AK2028+AL2028)/4*INDEX(LM_All,G2028)*INDEX(v01_Boon,G2028)*Arch_Insight</x:f>
        <x:v>0</x:v>
      </x:c>
      <x:c r="AN2028" s="32" t="n">
        <x:f>H2028*(v01_KHPerAdult*Z2028+v01_KHOfCommons*AJ2028/4*INDEX(LM_All,G2028))*v01_KHUsable*Arch_KH</x:f>
        <x:v>0</x:v>
      </x:c>
      <x:c r="AO2028" s="32" t="n">
        <x:f>MIN(AP2027+AN2028,AM2028*v01_KHMaxRatio)</x:f>
        <x:v>0</x:v>
      </x:c>
      <x:c r="AP2028" s="32" t="n">
        <x:f>AP2027+AN2028-AO2028</x:f>
        <x:v>0</x:v>
      </x:c>
      <x:c r="AQ2028" s="32" t="n">
        <x:f>AM2028+AO2028</x:f>
        <x:v>0</x:v>
      </x:c>
      <x:c r="AR2028" s="10" t="n">
        <x:f>IF(H2028=1,INDEX(v01_Req,G2028),0)</x:f>
        <x:v>0</x:v>
      </x:c>
      <x:c r="AS2028" s="32" t="n">
        <x:f>IF(H2028=1,IF(E2028=1,AS2027-AR2027,AS2027)+AQ2028,0)</x:f>
        <x:v>0</x:v>
      </x:c>
      <x:c r="AT2028" s="11" t="n">
        <x:f>IF(AR2028&gt;0,MIN(1,AS2028/AR2028),1)</x:f>
        <x:v>1</x:v>
      </x:c>
      <x:c r="AU2028" s="10" t="n">
        <x:f>AB2028/INDEX(v01_RepScale,G2028)</x:f>
        <x:v>90.09519605746344</x:v>
      </x:c>
      <x:c r="AV2028" s="32" t="n">
        <x:f>AM2028*60/v01_SeasonSeconds</x:f>
        <x:v>0</x:v>
      </x:c>
    </x:row>
    <x:row r="2029">
      <x:c r="A2029" s="8" t="n">
        <x:f>A2028+1</x:f>
        <x:v>2026</x:v>
      </x:c>
      <x:c r="B2029" s="9" t="n">
        <x:f>A2029*v01_SeasonSeconds/60</x:f>
        <x:v>506.5</x:v>
      </x:c>
      <x:c r="C2029" s="9" t="n">
        <x:f>A2029/4</x:f>
        <x:v>506.5</x:v>
      </x:c>
      <x:c r="D2029" s="8" t="n">
        <x:f>IF(MOD(A2029,4)=0,1,0)</x:f>
        <x:v>0</x:v>
      </x:c>
      <x:c r="E2029" s="8" t="n">
        <x:f>IF(AND(F2028&lt;=9,AS2028&gt;=AR2028),1,0)</x:f>
        <x:v>0</x:v>
      </x:c>
      <x:c r="F2029" s="8" t="n">
        <x:f>MIN(10,F2028+E2029)</x:f>
        <x:v>10</x:v>
      </x:c>
      <x:c r="G2029" s="8" t="n">
        <x:f>MIN(F2029,9)+1</x:f>
        <x:v>10</x:v>
      </x:c>
      <x:c r="H2029" s="8" t="n">
        <x:f>IF(F2029&lt;=9,1,0)</x:f>
        <x:v>0</x:v>
      </x:c>
      <x:c r="I2029" s="9" t="n">
        <x:f>MIN(10,F2028+IF(AR2028&gt;0,MIN(1,AS2028/AR2028),1))</x:f>
        <x:v>10</x:v>
      </x:c>
      <x:c r="J2029" s="32" t="n">
        <x:f>INDEX(v01_FoodCap,G2029)*Arch_FoodCap*EXP(v01_CapsByProject*SUMPRODUCT((Cap_Point&lt;=I2029)*(Cap_Kind="Food")*Cap_Ln))</x:f>
        <x:v>12000</x:v>
      </x:c>
      <x:c r="K2029" s="32" t="n">
        <x:f>J2029*MIN(1,v01_LeanBase*EXP(v01_CapsByProject*SUMPRODUCT((Cap_Point&lt;=I2029)*(Cap_Kind="Lean")*Cap_Ln)))</x:f>
        <x:v>12000</x:v>
      </x:c>
      <x:c r="L2029" s="10" t="n">
        <x:f>INDEX(v01_HousingCap,G2029)*EXP(v01_CapsByProject*SUMPRODUCT((Cap_Point&lt;=I2029)*(Cap_Kind="Housing")*Cap_Ln))</x:f>
        <x:v>20000</x:v>
      </x:c>
      <x:c r="M2029" s="10" t="n">
        <x:f>INDEX(v01_GroupCap,G2029)*v01_CohesionFactor*EXP(v01_CapsByProject*SUMPRODUCT((Cap_Point&lt;=I2029)*(Cap_Kind="Group")*Cap_Ln))</x:f>
        <x:v>1000000</x:v>
      </x:c>
      <x:c r="N2029" s="32" t="n">
        <x:f>MIN(J2029,L2029,M2029)</x:f>
        <x:v>12000</x:v>
      </x:c>
      <x:c r="O2029" s="10" t="n">
        <x:f>AE2028*N2029</x:f>
        <x:v>180000</x:v>
      </x:c>
      <x:c r="P2029" s="9" t="n">
        <x:f>MIN(1,(AB2028/(AE2028*IF(v01_GroupInCrowding=1,N2029,MIN(J2029,L2029))))^v01_CrowdingExp)</x:f>
        <x:v>0.00024569414295285325</x:v>
      </x:c>
      <x:c r="Q2029" s="9" t="n">
        <x:f>IF(D2029=1,INDEX(v01_WinterMult,G2029),1)</x:f>
        <x:v>1</x:v>
      </x:c>
      <x:c r="R2029" s="9" t="n">
        <x:f>H2029*Z2028*v01_WomenShare*v01_BaseFertility*INDEX(v01_FertMult,G2029)*Arch_Fertility*(1-P2029)</x:f>
        <x:v>0</x:v>
      </x:c>
      <x:c r="S2029" s="9" t="n">
        <x:f>H2029*Y2028*INDEX(v01_MortChild,G2029)/4*Q2029</x:f>
        <x:v>0</x:v>
      </x:c>
      <x:c r="T2029" s="9" t="n">
        <x:f>H2029*Z2028*INDEX(v01_MortAdult,G2029)*Arch_AdultMort/4*Q2029</x:f>
        <x:v>0</x:v>
      </x:c>
      <x:c r="U2029" s="9" t="n">
        <x:f>H2029*AA2028*INDEX(v01_MortElder,G2029)/4*Q2029</x:f>
        <x:v>0</x:v>
      </x:c>
      <x:c r="V2029" s="9" t="n">
        <x:f>H2029*MAX(0,AB2028-O2029)*v01_OvercapLoss</x:f>
        <x:v>0</x:v>
      </x:c>
      <x:c r="W2029" s="9" t="n">
        <x:f>H2029*Y2028/(v01_ChildYears*4)</x:f>
        <x:v>0</x:v>
      </x:c>
      <x:c r="X2029" s="9" t="n">
        <x:f>H2029*Z2028/(v01_AdultYears*4)</x:f>
        <x:v>0</x:v>
      </x:c>
      <x:c r="Y2029" s="32" t="n">
        <x:f>Y2028+R2029-S2029-W2029-Y2028*V2029/AB2028</x:f>
        <x:v>14306.18539759397</x:v>
      </x:c>
      <x:c r="Z2029" s="32" t="n">
        <x:f>Z2028+W2029-X2029-T2029-Z2028*V2029/AB2028</x:f>
        <x:v>19354.456567879548</x:v>
      </x:c>
      <x:c r="AA2029" s="32" t="n">
        <x:f>AA2028+X2029-U2029-AA2028*V2029/AB2028</x:f>
        <x:v>11386.956063258198</x:v>
      </x:c>
      <x:c r="AB2029" s="10" t="n">
        <x:f>Y2029+Z2029+AA2029</x:f>
        <x:v>45047.59802873172</x:v>
      </x:c>
      <x:c r="AC2029" s="8" t="n">
        <x:f>IF(AND(v01_WinterTrigger=1,D2029=1,AB2028/AE2028&gt;=K2029),1,0)</x:f>
        <x:v>0</x:v>
      </x:c>
      <x:c r="AD2029" s="8" t="n">
        <x:f>H2029*IF(AND(OR(AB2028/AE2028&gt;=v01_FissionTrigger*N2029,AC2029=1),AB2028/AE2028*v01_DaughterShare&gt;=v01_MinDaughter),MAX(1,ROUND(AE2028*v01_FissionRate,0)),0)</x:f>
        <x:v>0</x:v>
      </x:c>
      <x:c r="AE2029" s="8" t="n">
        <x:f>IF(H2029=1,MAX(1,MIN(INDEX(v01_Smax,G2029),AE2028+AD2029)),AE2028)</x:f>
        <x:v>15</x:v>
      </x:c>
      <x:c r="AF2029" s="8" t="n">
        <x:f>MAX(0,AE2029-AE2028)</x:f>
        <x:v>0</x:v>
      </x:c>
      <x:c r="AG2029" s="9" t="str">
        <x:f>IF(AF2029&gt;0,B2029,"")</x:f>
      </x:c>
      <x:c r="AH2029" s="9" t="n">
        <x:f>IF(F2029&gt;=1,1,(1+v01_LowTiesShare*(AE2029-1))/AE2029)</x:f>
        <x:v>1</x:v>
      </x:c>
      <x:c r="AI2029" s="32" t="n">
        <x:f>(Z2029+v01_ElderCommons*INDEX(LM_Elder,G2029)*AA2029)*AH2029</x:f>
        <x:v>64139.732591141874</x:v>
      </x:c>
      <x:c r="AJ2029" s="32" t="n">
        <x:f>H2029*v01_CommonsCoef*AI2029^v01_CommonsExp*INDEX(LM_Commons,G2029)</x:f>
        <x:v>0</x:v>
      </x:c>
      <x:c r="AK2029" s="32" t="n">
        <x:f>H2029*v01_RoleScale*Arch_Roles*(AE2029*(INDEX(v01_ElderRolePerSett,G2029)*v01_OutElder*INDEX(LM_Elder,G2029)+INDEX(v01_ShamanPerSett,G2029)*v01_OutShaman)+Z2029*(INDEX(v01_PriestShare,G2029)*v01_OutPriest+INDEX(v01_ScribeShare,G2029)*v01_OutScribe*INDEX(LM_Scribe,G2029)+INDEX(v01_ScholarShare,G2029)*v01_OutScholar*INDEX(LM_Scholar,G2029)+INDEX(v01_ResearcherShare,G2029)*v01_OutResearcher*INDEX(LM_Researcher,G2029)))</x:f>
        <x:v>0</x:v>
      </x:c>
      <x:c r="AL2029" s="32" t="n">
        <x:f>H2029*v01_RoleScale*Arch_Roles*AE2029*INDEX(v01_MonasteryPerSett,G2029)*v01_OutMonastery*INDEX(LM_Monastery,G2029)</x:f>
        <x:v>0</x:v>
      </x:c>
      <x:c r="AM2029" s="32" t="n">
        <x:f>(AJ2029+AK2029+AL2029)/4*INDEX(LM_All,G2029)*INDEX(v01_Boon,G2029)*Arch_Insight</x:f>
        <x:v>0</x:v>
      </x:c>
      <x:c r="AN2029" s="32" t="n">
        <x:f>H2029*(v01_KHPerAdult*Z2029+v01_KHOfCommons*AJ2029/4*INDEX(LM_All,G2029))*v01_KHUsable*Arch_KH</x:f>
        <x:v>0</x:v>
      </x:c>
      <x:c r="AO2029" s="32" t="n">
        <x:f>MIN(AP2028+AN2029,AM2029*v01_KHMaxRatio)</x:f>
        <x:v>0</x:v>
      </x:c>
      <x:c r="AP2029" s="32" t="n">
        <x:f>AP2028+AN2029-AO2029</x:f>
        <x:v>0</x:v>
      </x:c>
      <x:c r="AQ2029" s="32" t="n">
        <x:f>AM2029+AO2029</x:f>
        <x:v>0</x:v>
      </x:c>
      <x:c r="AR2029" s="10" t="n">
        <x:f>IF(H2029=1,INDEX(v01_Req,G2029),0)</x:f>
        <x:v>0</x:v>
      </x:c>
      <x:c r="AS2029" s="32" t="n">
        <x:f>IF(H2029=1,IF(E2029=1,AS2028-AR2028,AS2028)+AQ2029,0)</x:f>
        <x:v>0</x:v>
      </x:c>
      <x:c r="AT2029" s="11" t="n">
        <x:f>IF(AR2029&gt;0,MIN(1,AS2029/AR2029),1)</x:f>
        <x:v>1</x:v>
      </x:c>
      <x:c r="AU2029" s="10" t="n">
        <x:f>AB2029/INDEX(v01_RepScale,G2029)</x:f>
        <x:v>90.09519605746344</x:v>
      </x:c>
      <x:c r="AV2029" s="32" t="n">
        <x:f>AM2029*60/v01_SeasonSeconds</x:f>
        <x:v>0</x:v>
      </x:c>
    </x:row>
    <x:row r="2030">
      <x:c r="A2030" s="8" t="n">
        <x:f>A2029+1</x:f>
        <x:v>2027</x:v>
      </x:c>
      <x:c r="B2030" s="9" t="n">
        <x:f>A2030*v01_SeasonSeconds/60</x:f>
        <x:v>506.75</x:v>
      </x:c>
      <x:c r="C2030" s="9" t="n">
        <x:f>A2030/4</x:f>
        <x:v>506.75</x:v>
      </x:c>
      <x:c r="D2030" s="8" t="n">
        <x:f>IF(MOD(A2030,4)=0,1,0)</x:f>
        <x:v>0</x:v>
      </x:c>
      <x:c r="E2030" s="8" t="n">
        <x:f>IF(AND(F2029&lt;=9,AS2029&gt;=AR2029),1,0)</x:f>
        <x:v>0</x:v>
      </x:c>
      <x:c r="F2030" s="8" t="n">
        <x:f>MIN(10,F2029+E2030)</x:f>
        <x:v>10</x:v>
      </x:c>
      <x:c r="G2030" s="8" t="n">
        <x:f>MIN(F2030,9)+1</x:f>
        <x:v>10</x:v>
      </x:c>
      <x:c r="H2030" s="8" t="n">
        <x:f>IF(F2030&lt;=9,1,0)</x:f>
        <x:v>0</x:v>
      </x:c>
      <x:c r="I2030" s="9" t="n">
        <x:f>MIN(10,F2029+IF(AR2029&gt;0,MIN(1,AS2029/AR2029),1))</x:f>
        <x:v>10</x:v>
      </x:c>
      <x:c r="J2030" s="32" t="n">
        <x:f>INDEX(v01_FoodCap,G2030)*Arch_FoodCap*EXP(v01_CapsByProject*SUMPRODUCT((Cap_Point&lt;=I2030)*(Cap_Kind="Food")*Cap_Ln))</x:f>
        <x:v>12000</x:v>
      </x:c>
      <x:c r="K2030" s="32" t="n">
        <x:f>J2030*MIN(1,v01_LeanBase*EXP(v01_CapsByProject*SUMPRODUCT((Cap_Point&lt;=I2030)*(Cap_Kind="Lean")*Cap_Ln)))</x:f>
        <x:v>12000</x:v>
      </x:c>
      <x:c r="L2030" s="10" t="n">
        <x:f>INDEX(v01_HousingCap,G2030)*EXP(v01_CapsByProject*SUMPRODUCT((Cap_Point&lt;=I2030)*(Cap_Kind="Housing")*Cap_Ln))</x:f>
        <x:v>20000</x:v>
      </x:c>
      <x:c r="M2030" s="10" t="n">
        <x:f>INDEX(v01_GroupCap,G2030)*v01_CohesionFactor*EXP(v01_CapsByProject*SUMPRODUCT((Cap_Point&lt;=I2030)*(Cap_Kind="Group")*Cap_Ln))</x:f>
        <x:v>1000000</x:v>
      </x:c>
      <x:c r="N2030" s="32" t="n">
        <x:f>MIN(J2030,L2030,M2030)</x:f>
        <x:v>12000</x:v>
      </x:c>
      <x:c r="O2030" s="10" t="n">
        <x:f>AE2029*N2030</x:f>
        <x:v>180000</x:v>
      </x:c>
      <x:c r="P2030" s="9" t="n">
        <x:f>MIN(1,(AB2029/(AE2029*IF(v01_GroupInCrowding=1,N2030,MIN(J2030,L2030))))^v01_CrowdingExp)</x:f>
        <x:v>0.00024569414295285325</x:v>
      </x:c>
      <x:c r="Q2030" s="9" t="n">
        <x:f>IF(D2030=1,INDEX(v01_WinterMult,G2030),1)</x:f>
        <x:v>1</x:v>
      </x:c>
      <x:c r="R2030" s="9" t="n">
        <x:f>H2030*Z2029*v01_WomenShare*v01_BaseFertility*INDEX(v01_FertMult,G2030)*Arch_Fertility*(1-P2030)</x:f>
        <x:v>0</x:v>
      </x:c>
      <x:c r="S2030" s="9" t="n">
        <x:f>H2030*Y2029*INDEX(v01_MortChild,G2030)/4*Q2030</x:f>
        <x:v>0</x:v>
      </x:c>
      <x:c r="T2030" s="9" t="n">
        <x:f>H2030*Z2029*INDEX(v01_MortAdult,G2030)*Arch_AdultMort/4*Q2030</x:f>
        <x:v>0</x:v>
      </x:c>
      <x:c r="U2030" s="9" t="n">
        <x:f>H2030*AA2029*INDEX(v01_MortElder,G2030)/4*Q2030</x:f>
        <x:v>0</x:v>
      </x:c>
      <x:c r="V2030" s="9" t="n">
        <x:f>H2030*MAX(0,AB2029-O2030)*v01_OvercapLoss</x:f>
        <x:v>0</x:v>
      </x:c>
      <x:c r="W2030" s="9" t="n">
        <x:f>H2030*Y2029/(v01_ChildYears*4)</x:f>
        <x:v>0</x:v>
      </x:c>
      <x:c r="X2030" s="9" t="n">
        <x:f>H2030*Z2029/(v01_AdultYears*4)</x:f>
        <x:v>0</x:v>
      </x:c>
      <x:c r="Y2030" s="32" t="n">
        <x:f>Y2029+R2030-S2030-W2030-Y2029*V2030/AB2029</x:f>
        <x:v>14306.18539759397</x:v>
      </x:c>
      <x:c r="Z2030" s="32" t="n">
        <x:f>Z2029+W2030-X2030-T2030-Z2029*V2030/AB2029</x:f>
        <x:v>19354.456567879548</x:v>
      </x:c>
      <x:c r="AA2030" s="32" t="n">
        <x:f>AA2029+X2030-U2030-AA2029*V2030/AB2029</x:f>
        <x:v>11386.956063258198</x:v>
      </x:c>
      <x:c r="AB2030" s="10" t="n">
        <x:f>Y2030+Z2030+AA2030</x:f>
        <x:v>45047.59802873172</x:v>
      </x:c>
      <x:c r="AC2030" s="8" t="n">
        <x:f>IF(AND(v01_WinterTrigger=1,D2030=1,AB2029/AE2029&gt;=K2030),1,0)</x:f>
        <x:v>0</x:v>
      </x:c>
      <x:c r="AD2030" s="8" t="n">
        <x:f>H2030*IF(AND(OR(AB2029/AE2029&gt;=v01_FissionTrigger*N2030,AC2030=1),AB2029/AE2029*v01_DaughterShare&gt;=v01_MinDaughter),MAX(1,ROUND(AE2029*v01_FissionRate,0)),0)</x:f>
        <x:v>0</x:v>
      </x:c>
      <x:c r="AE2030" s="8" t="n">
        <x:f>IF(H2030=1,MAX(1,MIN(INDEX(v01_Smax,G2030),AE2029+AD2030)),AE2029)</x:f>
        <x:v>15</x:v>
      </x:c>
      <x:c r="AF2030" s="8" t="n">
        <x:f>MAX(0,AE2030-AE2029)</x:f>
        <x:v>0</x:v>
      </x:c>
      <x:c r="AG2030" s="9" t="str">
        <x:f>IF(AF2030&gt;0,B2030,"")</x:f>
      </x:c>
      <x:c r="AH2030" s="9" t="n">
        <x:f>IF(F2030&gt;=1,1,(1+v01_LowTiesShare*(AE2030-1))/AE2030)</x:f>
        <x:v>1</x:v>
      </x:c>
      <x:c r="AI2030" s="32" t="n">
        <x:f>(Z2030+v01_ElderCommons*INDEX(LM_Elder,G2030)*AA2030)*AH2030</x:f>
        <x:v>64139.732591141874</x:v>
      </x:c>
      <x:c r="AJ2030" s="32" t="n">
        <x:f>H2030*v01_CommonsCoef*AI2030^v01_CommonsExp*INDEX(LM_Commons,G2030)</x:f>
        <x:v>0</x:v>
      </x:c>
      <x:c r="AK2030" s="32" t="n">
        <x:f>H2030*v01_RoleScale*Arch_Roles*(AE2030*(INDEX(v01_ElderRolePerSett,G2030)*v01_OutElder*INDEX(LM_Elder,G2030)+INDEX(v01_ShamanPerSett,G2030)*v01_OutShaman)+Z2030*(INDEX(v01_PriestShare,G2030)*v01_OutPriest+INDEX(v01_ScribeShare,G2030)*v01_OutScribe*INDEX(LM_Scribe,G2030)+INDEX(v01_ScholarShare,G2030)*v01_OutScholar*INDEX(LM_Scholar,G2030)+INDEX(v01_ResearcherShare,G2030)*v01_OutResearcher*INDEX(LM_Researcher,G2030)))</x:f>
        <x:v>0</x:v>
      </x:c>
      <x:c r="AL2030" s="32" t="n">
        <x:f>H2030*v01_RoleScale*Arch_Roles*AE2030*INDEX(v01_MonasteryPerSett,G2030)*v01_OutMonastery*INDEX(LM_Monastery,G2030)</x:f>
        <x:v>0</x:v>
      </x:c>
      <x:c r="AM2030" s="32" t="n">
        <x:f>(AJ2030+AK2030+AL2030)/4*INDEX(LM_All,G2030)*INDEX(v01_Boon,G2030)*Arch_Insight</x:f>
        <x:v>0</x:v>
      </x:c>
      <x:c r="AN2030" s="32" t="n">
        <x:f>H2030*(v01_KHPerAdult*Z2030+v01_KHOfCommons*AJ2030/4*INDEX(LM_All,G2030))*v01_KHUsable*Arch_KH</x:f>
        <x:v>0</x:v>
      </x:c>
      <x:c r="AO2030" s="32" t="n">
        <x:f>MIN(AP2029+AN2030,AM2030*v01_KHMaxRatio)</x:f>
        <x:v>0</x:v>
      </x:c>
      <x:c r="AP2030" s="32" t="n">
        <x:f>AP2029+AN2030-AO2030</x:f>
        <x:v>0</x:v>
      </x:c>
      <x:c r="AQ2030" s="32" t="n">
        <x:f>AM2030+AO2030</x:f>
        <x:v>0</x:v>
      </x:c>
      <x:c r="AR2030" s="10" t="n">
        <x:f>IF(H2030=1,INDEX(v01_Req,G2030),0)</x:f>
        <x:v>0</x:v>
      </x:c>
      <x:c r="AS2030" s="32" t="n">
        <x:f>IF(H2030=1,IF(E2030=1,AS2029-AR2029,AS2029)+AQ2030,0)</x:f>
        <x:v>0</x:v>
      </x:c>
      <x:c r="AT2030" s="11" t="n">
        <x:f>IF(AR2030&gt;0,MIN(1,AS2030/AR2030),1)</x:f>
        <x:v>1</x:v>
      </x:c>
      <x:c r="AU2030" s="10" t="n">
        <x:f>AB2030/INDEX(v01_RepScale,G2030)</x:f>
        <x:v>90.09519605746344</x:v>
      </x:c>
      <x:c r="AV2030" s="32" t="n">
        <x:f>AM2030*60/v01_SeasonSeconds</x:f>
        <x:v>0</x:v>
      </x:c>
    </x:row>
    <x:row r="2031">
      <x:c r="A2031" s="8" t="n">
        <x:f>A2030+1</x:f>
        <x:v>2028</x:v>
      </x:c>
      <x:c r="B2031" s="9" t="n">
        <x:f>A2031*v01_SeasonSeconds/60</x:f>
        <x:v>507</x:v>
      </x:c>
      <x:c r="C2031" s="9" t="n">
        <x:f>A2031/4</x:f>
        <x:v>507</x:v>
      </x:c>
      <x:c r="D2031" s="8" t="n">
        <x:f>IF(MOD(A2031,4)=0,1,0)</x:f>
        <x:v>1</x:v>
      </x:c>
      <x:c r="E2031" s="8" t="n">
        <x:f>IF(AND(F2030&lt;=9,AS2030&gt;=AR2030),1,0)</x:f>
        <x:v>0</x:v>
      </x:c>
      <x:c r="F2031" s="8" t="n">
        <x:f>MIN(10,F2030+E2031)</x:f>
        <x:v>10</x:v>
      </x:c>
      <x:c r="G2031" s="8" t="n">
        <x:f>MIN(F2031,9)+1</x:f>
        <x:v>10</x:v>
      </x:c>
      <x:c r="H2031" s="8" t="n">
        <x:f>IF(F2031&lt;=9,1,0)</x:f>
        <x:v>0</x:v>
      </x:c>
      <x:c r="I2031" s="9" t="n">
        <x:f>MIN(10,F2030+IF(AR2030&gt;0,MIN(1,AS2030/AR2030),1))</x:f>
        <x:v>10</x:v>
      </x:c>
      <x:c r="J2031" s="32" t="n">
        <x:f>INDEX(v01_FoodCap,G2031)*Arch_FoodCap*EXP(v01_CapsByProject*SUMPRODUCT((Cap_Point&lt;=I2031)*(Cap_Kind="Food")*Cap_Ln))</x:f>
        <x:v>12000</x:v>
      </x:c>
      <x:c r="K2031" s="32" t="n">
        <x:f>J2031*MIN(1,v01_LeanBase*EXP(v01_CapsByProject*SUMPRODUCT((Cap_Point&lt;=I2031)*(Cap_Kind="Lean")*Cap_Ln)))</x:f>
        <x:v>12000</x:v>
      </x:c>
      <x:c r="L2031" s="10" t="n">
        <x:f>INDEX(v01_HousingCap,G2031)*EXP(v01_CapsByProject*SUMPRODUCT((Cap_Point&lt;=I2031)*(Cap_Kind="Housing")*Cap_Ln))</x:f>
        <x:v>20000</x:v>
      </x:c>
      <x:c r="M2031" s="10" t="n">
        <x:f>INDEX(v01_GroupCap,G2031)*v01_CohesionFactor*EXP(v01_CapsByProject*SUMPRODUCT((Cap_Point&lt;=I2031)*(Cap_Kind="Group")*Cap_Ln))</x:f>
        <x:v>1000000</x:v>
      </x:c>
      <x:c r="N2031" s="32" t="n">
        <x:f>MIN(J2031,L2031,M2031)</x:f>
        <x:v>12000</x:v>
      </x:c>
      <x:c r="O2031" s="10" t="n">
        <x:f>AE2030*N2031</x:f>
        <x:v>180000</x:v>
      </x:c>
      <x:c r="P2031" s="9" t="n">
        <x:f>MIN(1,(AB2030/(AE2030*IF(v01_GroupInCrowding=1,N2031,MIN(J2031,L2031))))^v01_CrowdingExp)</x:f>
        <x:v>0.00024569414295285325</x:v>
      </x:c>
      <x:c r="Q2031" s="9" t="n">
        <x:f>IF(D2031=1,INDEX(v01_WinterMult,G2031),1)</x:f>
        <x:v>1</x:v>
      </x:c>
      <x:c r="R2031" s="9" t="n">
        <x:f>H2031*Z2030*v01_WomenShare*v01_BaseFertility*INDEX(v01_FertMult,G2031)*Arch_Fertility*(1-P2031)</x:f>
        <x:v>0</x:v>
      </x:c>
      <x:c r="S2031" s="9" t="n">
        <x:f>H2031*Y2030*INDEX(v01_MortChild,G2031)/4*Q2031</x:f>
        <x:v>0</x:v>
      </x:c>
      <x:c r="T2031" s="9" t="n">
        <x:f>H2031*Z2030*INDEX(v01_MortAdult,G2031)*Arch_AdultMort/4*Q2031</x:f>
        <x:v>0</x:v>
      </x:c>
      <x:c r="U2031" s="9" t="n">
        <x:f>H2031*AA2030*INDEX(v01_MortElder,G2031)/4*Q2031</x:f>
        <x:v>0</x:v>
      </x:c>
      <x:c r="V2031" s="9" t="n">
        <x:f>H2031*MAX(0,AB2030-O2031)*v01_OvercapLoss</x:f>
        <x:v>0</x:v>
      </x:c>
      <x:c r="W2031" s="9" t="n">
        <x:f>H2031*Y2030/(v01_ChildYears*4)</x:f>
        <x:v>0</x:v>
      </x:c>
      <x:c r="X2031" s="9" t="n">
        <x:f>H2031*Z2030/(v01_AdultYears*4)</x:f>
        <x:v>0</x:v>
      </x:c>
      <x:c r="Y2031" s="32" t="n">
        <x:f>Y2030+R2031-S2031-W2031-Y2030*V2031/AB2030</x:f>
        <x:v>14306.18539759397</x:v>
      </x:c>
      <x:c r="Z2031" s="32" t="n">
        <x:f>Z2030+W2031-X2031-T2031-Z2030*V2031/AB2030</x:f>
        <x:v>19354.456567879548</x:v>
      </x:c>
      <x:c r="AA2031" s="32" t="n">
        <x:f>AA2030+X2031-U2031-AA2030*V2031/AB2030</x:f>
        <x:v>11386.956063258198</x:v>
      </x:c>
      <x:c r="AB2031" s="10" t="n">
        <x:f>Y2031+Z2031+AA2031</x:f>
        <x:v>45047.59802873172</x:v>
      </x:c>
      <x:c r="AC2031" s="8" t="n">
        <x:f>IF(AND(v01_WinterTrigger=1,D2031=1,AB2030/AE2030&gt;=K2031),1,0)</x:f>
        <x:v>0</x:v>
      </x:c>
      <x:c r="AD2031" s="8" t="n">
        <x:f>H2031*IF(AND(OR(AB2030/AE2030&gt;=v01_FissionTrigger*N2031,AC2031=1),AB2030/AE2030*v01_DaughterShare&gt;=v01_MinDaughter),MAX(1,ROUND(AE2030*v01_FissionRate,0)),0)</x:f>
        <x:v>0</x:v>
      </x:c>
      <x:c r="AE2031" s="8" t="n">
        <x:f>IF(H2031=1,MAX(1,MIN(INDEX(v01_Smax,G2031),AE2030+AD2031)),AE2030)</x:f>
        <x:v>15</x:v>
      </x:c>
      <x:c r="AF2031" s="8" t="n">
        <x:f>MAX(0,AE2031-AE2030)</x:f>
        <x:v>0</x:v>
      </x:c>
      <x:c r="AG2031" s="9" t="str">
        <x:f>IF(AF2031&gt;0,B2031,"")</x:f>
      </x:c>
      <x:c r="AH2031" s="9" t="n">
        <x:f>IF(F2031&gt;=1,1,(1+v01_LowTiesShare*(AE2031-1))/AE2031)</x:f>
        <x:v>1</x:v>
      </x:c>
      <x:c r="AI2031" s="32" t="n">
        <x:f>(Z2031+v01_ElderCommons*INDEX(LM_Elder,G2031)*AA2031)*AH2031</x:f>
        <x:v>64139.732591141874</x:v>
      </x:c>
      <x:c r="AJ2031" s="32" t="n">
        <x:f>H2031*v01_CommonsCoef*AI2031^v01_CommonsExp*INDEX(LM_Commons,G2031)</x:f>
        <x:v>0</x:v>
      </x:c>
      <x:c r="AK2031" s="32" t="n">
        <x:f>H2031*v01_RoleScale*Arch_Roles*(AE2031*(INDEX(v01_ElderRolePerSett,G2031)*v01_OutElder*INDEX(LM_Elder,G2031)+INDEX(v01_ShamanPerSett,G2031)*v01_OutShaman)+Z2031*(INDEX(v01_PriestShare,G2031)*v01_OutPriest+INDEX(v01_ScribeShare,G2031)*v01_OutScribe*INDEX(LM_Scribe,G2031)+INDEX(v01_ScholarShare,G2031)*v01_OutScholar*INDEX(LM_Scholar,G2031)+INDEX(v01_ResearcherShare,G2031)*v01_OutResearcher*INDEX(LM_Researcher,G2031)))</x:f>
        <x:v>0</x:v>
      </x:c>
      <x:c r="AL2031" s="32" t="n">
        <x:f>H2031*v01_RoleScale*Arch_Roles*AE2031*INDEX(v01_MonasteryPerSett,G2031)*v01_OutMonastery*INDEX(LM_Monastery,G2031)</x:f>
        <x:v>0</x:v>
      </x:c>
      <x:c r="AM2031" s="32" t="n">
        <x:f>(AJ2031+AK2031+AL2031)/4*INDEX(LM_All,G2031)*INDEX(v01_Boon,G2031)*Arch_Insight</x:f>
        <x:v>0</x:v>
      </x:c>
      <x:c r="AN2031" s="32" t="n">
        <x:f>H2031*(v01_KHPerAdult*Z2031+v01_KHOfCommons*AJ2031/4*INDEX(LM_All,G2031))*v01_KHUsable*Arch_KH</x:f>
        <x:v>0</x:v>
      </x:c>
      <x:c r="AO2031" s="32" t="n">
        <x:f>MIN(AP2030+AN2031,AM2031*v01_KHMaxRatio)</x:f>
        <x:v>0</x:v>
      </x:c>
      <x:c r="AP2031" s="32" t="n">
        <x:f>AP2030+AN2031-AO2031</x:f>
        <x:v>0</x:v>
      </x:c>
      <x:c r="AQ2031" s="32" t="n">
        <x:f>AM2031+AO2031</x:f>
        <x:v>0</x:v>
      </x:c>
      <x:c r="AR2031" s="10" t="n">
        <x:f>IF(H2031=1,INDEX(v01_Req,G2031),0)</x:f>
        <x:v>0</x:v>
      </x:c>
      <x:c r="AS2031" s="32" t="n">
        <x:f>IF(H2031=1,IF(E2031=1,AS2030-AR2030,AS2030)+AQ2031,0)</x:f>
        <x:v>0</x:v>
      </x:c>
      <x:c r="AT2031" s="11" t="n">
        <x:f>IF(AR2031&gt;0,MIN(1,AS2031/AR2031),1)</x:f>
        <x:v>1</x:v>
      </x:c>
      <x:c r="AU2031" s="10" t="n">
        <x:f>AB2031/INDEX(v01_RepScale,G2031)</x:f>
        <x:v>90.09519605746344</x:v>
      </x:c>
      <x:c r="AV2031" s="32" t="n">
        <x:f>AM2031*60/v01_SeasonSeconds</x:f>
        <x:v>0</x:v>
      </x:c>
    </x:row>
    <x:row r="2032">
      <x:c r="A2032" s="8" t="n">
        <x:f>A2031+1</x:f>
        <x:v>2029</x:v>
      </x:c>
      <x:c r="B2032" s="9" t="n">
        <x:f>A2032*v01_SeasonSeconds/60</x:f>
        <x:v>507.25</x:v>
      </x:c>
      <x:c r="C2032" s="9" t="n">
        <x:f>A2032/4</x:f>
        <x:v>507.25</x:v>
      </x:c>
      <x:c r="D2032" s="8" t="n">
        <x:f>IF(MOD(A2032,4)=0,1,0)</x:f>
        <x:v>0</x:v>
      </x:c>
      <x:c r="E2032" s="8" t="n">
        <x:f>IF(AND(F2031&lt;=9,AS2031&gt;=AR2031),1,0)</x:f>
        <x:v>0</x:v>
      </x:c>
      <x:c r="F2032" s="8" t="n">
        <x:f>MIN(10,F2031+E2032)</x:f>
        <x:v>10</x:v>
      </x:c>
      <x:c r="G2032" s="8" t="n">
        <x:f>MIN(F2032,9)+1</x:f>
        <x:v>10</x:v>
      </x:c>
      <x:c r="H2032" s="8" t="n">
        <x:f>IF(F2032&lt;=9,1,0)</x:f>
        <x:v>0</x:v>
      </x:c>
      <x:c r="I2032" s="9" t="n">
        <x:f>MIN(10,F2031+IF(AR2031&gt;0,MIN(1,AS2031/AR2031),1))</x:f>
        <x:v>10</x:v>
      </x:c>
      <x:c r="J2032" s="32" t="n">
        <x:f>INDEX(v01_FoodCap,G2032)*Arch_FoodCap*EXP(v01_CapsByProject*SUMPRODUCT((Cap_Point&lt;=I2032)*(Cap_Kind="Food")*Cap_Ln))</x:f>
        <x:v>12000</x:v>
      </x:c>
      <x:c r="K2032" s="32" t="n">
        <x:f>J2032*MIN(1,v01_LeanBase*EXP(v01_CapsByProject*SUMPRODUCT((Cap_Point&lt;=I2032)*(Cap_Kind="Lean")*Cap_Ln)))</x:f>
        <x:v>12000</x:v>
      </x:c>
      <x:c r="L2032" s="10" t="n">
        <x:f>INDEX(v01_HousingCap,G2032)*EXP(v01_CapsByProject*SUMPRODUCT((Cap_Point&lt;=I2032)*(Cap_Kind="Housing")*Cap_Ln))</x:f>
        <x:v>20000</x:v>
      </x:c>
      <x:c r="M2032" s="10" t="n">
        <x:f>INDEX(v01_GroupCap,G2032)*v01_CohesionFactor*EXP(v01_CapsByProject*SUMPRODUCT((Cap_Point&lt;=I2032)*(Cap_Kind="Group")*Cap_Ln))</x:f>
        <x:v>1000000</x:v>
      </x:c>
      <x:c r="N2032" s="32" t="n">
        <x:f>MIN(J2032,L2032,M2032)</x:f>
        <x:v>12000</x:v>
      </x:c>
      <x:c r="O2032" s="10" t="n">
        <x:f>AE2031*N2032</x:f>
        <x:v>180000</x:v>
      </x:c>
      <x:c r="P2032" s="9" t="n">
        <x:f>MIN(1,(AB2031/(AE2031*IF(v01_GroupInCrowding=1,N2032,MIN(J2032,L2032))))^v01_CrowdingExp)</x:f>
        <x:v>0.00024569414295285325</x:v>
      </x:c>
      <x:c r="Q2032" s="9" t="n">
        <x:f>IF(D2032=1,INDEX(v01_WinterMult,G2032),1)</x:f>
        <x:v>1</x:v>
      </x:c>
      <x:c r="R2032" s="9" t="n">
        <x:f>H2032*Z2031*v01_WomenShare*v01_BaseFertility*INDEX(v01_FertMult,G2032)*Arch_Fertility*(1-P2032)</x:f>
        <x:v>0</x:v>
      </x:c>
      <x:c r="S2032" s="9" t="n">
        <x:f>H2032*Y2031*INDEX(v01_MortChild,G2032)/4*Q2032</x:f>
        <x:v>0</x:v>
      </x:c>
      <x:c r="T2032" s="9" t="n">
        <x:f>H2032*Z2031*INDEX(v01_MortAdult,G2032)*Arch_AdultMort/4*Q2032</x:f>
        <x:v>0</x:v>
      </x:c>
      <x:c r="U2032" s="9" t="n">
        <x:f>H2032*AA2031*INDEX(v01_MortElder,G2032)/4*Q2032</x:f>
        <x:v>0</x:v>
      </x:c>
      <x:c r="V2032" s="9" t="n">
        <x:f>H2032*MAX(0,AB2031-O2032)*v01_OvercapLoss</x:f>
        <x:v>0</x:v>
      </x:c>
      <x:c r="W2032" s="9" t="n">
        <x:f>H2032*Y2031/(v01_ChildYears*4)</x:f>
        <x:v>0</x:v>
      </x:c>
      <x:c r="X2032" s="9" t="n">
        <x:f>H2032*Z2031/(v01_AdultYears*4)</x:f>
        <x:v>0</x:v>
      </x:c>
      <x:c r="Y2032" s="32" t="n">
        <x:f>Y2031+R2032-S2032-W2032-Y2031*V2032/AB2031</x:f>
        <x:v>14306.18539759397</x:v>
      </x:c>
      <x:c r="Z2032" s="32" t="n">
        <x:f>Z2031+W2032-X2032-T2032-Z2031*V2032/AB2031</x:f>
        <x:v>19354.456567879548</x:v>
      </x:c>
      <x:c r="AA2032" s="32" t="n">
        <x:f>AA2031+X2032-U2032-AA2031*V2032/AB2031</x:f>
        <x:v>11386.956063258198</x:v>
      </x:c>
      <x:c r="AB2032" s="10" t="n">
        <x:f>Y2032+Z2032+AA2032</x:f>
        <x:v>45047.59802873172</x:v>
      </x:c>
      <x:c r="AC2032" s="8" t="n">
        <x:f>IF(AND(v01_WinterTrigger=1,D2032=1,AB2031/AE2031&gt;=K2032),1,0)</x:f>
        <x:v>0</x:v>
      </x:c>
      <x:c r="AD2032" s="8" t="n">
        <x:f>H2032*IF(AND(OR(AB2031/AE2031&gt;=v01_FissionTrigger*N2032,AC2032=1),AB2031/AE2031*v01_DaughterShare&gt;=v01_MinDaughter),MAX(1,ROUND(AE2031*v01_FissionRate,0)),0)</x:f>
        <x:v>0</x:v>
      </x:c>
      <x:c r="AE2032" s="8" t="n">
        <x:f>IF(H2032=1,MAX(1,MIN(INDEX(v01_Smax,G2032),AE2031+AD2032)),AE2031)</x:f>
        <x:v>15</x:v>
      </x:c>
      <x:c r="AF2032" s="8" t="n">
        <x:f>MAX(0,AE2032-AE2031)</x:f>
        <x:v>0</x:v>
      </x:c>
      <x:c r="AG2032" s="9" t="str">
        <x:f>IF(AF2032&gt;0,B2032,"")</x:f>
      </x:c>
      <x:c r="AH2032" s="9" t="n">
        <x:f>IF(F2032&gt;=1,1,(1+v01_LowTiesShare*(AE2032-1))/AE2032)</x:f>
        <x:v>1</x:v>
      </x:c>
      <x:c r="AI2032" s="32" t="n">
        <x:f>(Z2032+v01_ElderCommons*INDEX(LM_Elder,G2032)*AA2032)*AH2032</x:f>
        <x:v>64139.732591141874</x:v>
      </x:c>
      <x:c r="AJ2032" s="32" t="n">
        <x:f>H2032*v01_CommonsCoef*AI2032^v01_CommonsExp*INDEX(LM_Commons,G2032)</x:f>
        <x:v>0</x:v>
      </x:c>
      <x:c r="AK2032" s="32" t="n">
        <x:f>H2032*v01_RoleScale*Arch_Roles*(AE2032*(INDEX(v01_ElderRolePerSett,G2032)*v01_OutElder*INDEX(LM_Elder,G2032)+INDEX(v01_ShamanPerSett,G2032)*v01_OutShaman)+Z2032*(INDEX(v01_PriestShare,G2032)*v01_OutPriest+INDEX(v01_ScribeShare,G2032)*v01_OutScribe*INDEX(LM_Scribe,G2032)+INDEX(v01_ScholarShare,G2032)*v01_OutScholar*INDEX(LM_Scholar,G2032)+INDEX(v01_ResearcherShare,G2032)*v01_OutResearcher*INDEX(LM_Researcher,G2032)))</x:f>
        <x:v>0</x:v>
      </x:c>
      <x:c r="AL2032" s="32" t="n">
        <x:f>H2032*v01_RoleScale*Arch_Roles*AE2032*INDEX(v01_MonasteryPerSett,G2032)*v01_OutMonastery*INDEX(LM_Monastery,G2032)</x:f>
        <x:v>0</x:v>
      </x:c>
      <x:c r="AM2032" s="32" t="n">
        <x:f>(AJ2032+AK2032+AL2032)/4*INDEX(LM_All,G2032)*INDEX(v01_Boon,G2032)*Arch_Insight</x:f>
        <x:v>0</x:v>
      </x:c>
      <x:c r="AN2032" s="32" t="n">
        <x:f>H2032*(v01_KHPerAdult*Z2032+v01_KHOfCommons*AJ2032/4*INDEX(LM_All,G2032))*v01_KHUsable*Arch_KH</x:f>
        <x:v>0</x:v>
      </x:c>
      <x:c r="AO2032" s="32" t="n">
        <x:f>MIN(AP2031+AN2032,AM2032*v01_KHMaxRatio)</x:f>
        <x:v>0</x:v>
      </x:c>
      <x:c r="AP2032" s="32" t="n">
        <x:f>AP2031+AN2032-AO2032</x:f>
        <x:v>0</x:v>
      </x:c>
      <x:c r="AQ2032" s="32" t="n">
        <x:f>AM2032+AO2032</x:f>
        <x:v>0</x:v>
      </x:c>
      <x:c r="AR2032" s="10" t="n">
        <x:f>IF(H2032=1,INDEX(v01_Req,G2032),0)</x:f>
        <x:v>0</x:v>
      </x:c>
      <x:c r="AS2032" s="32" t="n">
        <x:f>IF(H2032=1,IF(E2032=1,AS2031-AR2031,AS2031)+AQ2032,0)</x:f>
        <x:v>0</x:v>
      </x:c>
      <x:c r="AT2032" s="11" t="n">
        <x:f>IF(AR2032&gt;0,MIN(1,AS2032/AR2032),1)</x:f>
        <x:v>1</x:v>
      </x:c>
      <x:c r="AU2032" s="10" t="n">
        <x:f>AB2032/INDEX(v01_RepScale,G2032)</x:f>
        <x:v>90.09519605746344</x:v>
      </x:c>
      <x:c r="AV2032" s="32" t="n">
        <x:f>AM2032*60/v01_SeasonSeconds</x:f>
        <x:v>0</x:v>
      </x:c>
    </x:row>
    <x:row r="2033">
      <x:c r="A2033" s="8" t="n">
        <x:f>A2032+1</x:f>
        <x:v>2030</x:v>
      </x:c>
      <x:c r="B2033" s="9" t="n">
        <x:f>A2033*v01_SeasonSeconds/60</x:f>
        <x:v>507.5</x:v>
      </x:c>
      <x:c r="C2033" s="9" t="n">
        <x:f>A2033/4</x:f>
        <x:v>507.5</x:v>
      </x:c>
      <x:c r="D2033" s="8" t="n">
        <x:f>IF(MOD(A2033,4)=0,1,0)</x:f>
        <x:v>0</x:v>
      </x:c>
      <x:c r="E2033" s="8" t="n">
        <x:f>IF(AND(F2032&lt;=9,AS2032&gt;=AR2032),1,0)</x:f>
        <x:v>0</x:v>
      </x:c>
      <x:c r="F2033" s="8" t="n">
        <x:f>MIN(10,F2032+E2033)</x:f>
        <x:v>10</x:v>
      </x:c>
      <x:c r="G2033" s="8" t="n">
        <x:f>MIN(F2033,9)+1</x:f>
        <x:v>10</x:v>
      </x:c>
      <x:c r="H2033" s="8" t="n">
        <x:f>IF(F2033&lt;=9,1,0)</x:f>
        <x:v>0</x:v>
      </x:c>
      <x:c r="I2033" s="9" t="n">
        <x:f>MIN(10,F2032+IF(AR2032&gt;0,MIN(1,AS2032/AR2032),1))</x:f>
        <x:v>10</x:v>
      </x:c>
      <x:c r="J2033" s="32" t="n">
        <x:f>INDEX(v01_FoodCap,G2033)*Arch_FoodCap*EXP(v01_CapsByProject*SUMPRODUCT((Cap_Point&lt;=I2033)*(Cap_Kind="Food")*Cap_Ln))</x:f>
        <x:v>12000</x:v>
      </x:c>
      <x:c r="K2033" s="32" t="n">
        <x:f>J2033*MIN(1,v01_LeanBase*EXP(v01_CapsByProject*SUMPRODUCT((Cap_Point&lt;=I2033)*(Cap_Kind="Lean")*Cap_Ln)))</x:f>
        <x:v>12000</x:v>
      </x:c>
      <x:c r="L2033" s="10" t="n">
        <x:f>INDEX(v01_HousingCap,G2033)*EXP(v01_CapsByProject*SUMPRODUCT((Cap_Point&lt;=I2033)*(Cap_Kind="Housing")*Cap_Ln))</x:f>
        <x:v>20000</x:v>
      </x:c>
      <x:c r="M2033" s="10" t="n">
        <x:f>INDEX(v01_GroupCap,G2033)*v01_CohesionFactor*EXP(v01_CapsByProject*SUMPRODUCT((Cap_Point&lt;=I2033)*(Cap_Kind="Group")*Cap_Ln))</x:f>
        <x:v>1000000</x:v>
      </x:c>
      <x:c r="N2033" s="32" t="n">
        <x:f>MIN(J2033,L2033,M2033)</x:f>
        <x:v>12000</x:v>
      </x:c>
      <x:c r="O2033" s="10" t="n">
        <x:f>AE2032*N2033</x:f>
        <x:v>180000</x:v>
      </x:c>
      <x:c r="P2033" s="9" t="n">
        <x:f>MIN(1,(AB2032/(AE2032*IF(v01_GroupInCrowding=1,N2033,MIN(J2033,L2033))))^v01_CrowdingExp)</x:f>
        <x:v>0.00024569414295285325</x:v>
      </x:c>
      <x:c r="Q2033" s="9" t="n">
        <x:f>IF(D2033=1,INDEX(v01_WinterMult,G2033),1)</x:f>
        <x:v>1</x:v>
      </x:c>
      <x:c r="R2033" s="9" t="n">
        <x:f>H2033*Z2032*v01_WomenShare*v01_BaseFertility*INDEX(v01_FertMult,G2033)*Arch_Fertility*(1-P2033)</x:f>
        <x:v>0</x:v>
      </x:c>
      <x:c r="S2033" s="9" t="n">
        <x:f>H2033*Y2032*INDEX(v01_MortChild,G2033)/4*Q2033</x:f>
        <x:v>0</x:v>
      </x:c>
      <x:c r="T2033" s="9" t="n">
        <x:f>H2033*Z2032*INDEX(v01_MortAdult,G2033)*Arch_AdultMort/4*Q2033</x:f>
        <x:v>0</x:v>
      </x:c>
      <x:c r="U2033" s="9" t="n">
        <x:f>H2033*AA2032*INDEX(v01_MortElder,G2033)/4*Q2033</x:f>
        <x:v>0</x:v>
      </x:c>
      <x:c r="V2033" s="9" t="n">
        <x:f>H2033*MAX(0,AB2032-O2033)*v01_OvercapLoss</x:f>
        <x:v>0</x:v>
      </x:c>
      <x:c r="W2033" s="9" t="n">
        <x:f>H2033*Y2032/(v01_ChildYears*4)</x:f>
        <x:v>0</x:v>
      </x:c>
      <x:c r="X2033" s="9" t="n">
        <x:f>H2033*Z2032/(v01_AdultYears*4)</x:f>
        <x:v>0</x:v>
      </x:c>
      <x:c r="Y2033" s="32" t="n">
        <x:f>Y2032+R2033-S2033-W2033-Y2032*V2033/AB2032</x:f>
        <x:v>14306.18539759397</x:v>
      </x:c>
      <x:c r="Z2033" s="32" t="n">
        <x:f>Z2032+W2033-X2033-T2033-Z2032*V2033/AB2032</x:f>
        <x:v>19354.456567879548</x:v>
      </x:c>
      <x:c r="AA2033" s="32" t="n">
        <x:f>AA2032+X2033-U2033-AA2032*V2033/AB2032</x:f>
        <x:v>11386.956063258198</x:v>
      </x:c>
      <x:c r="AB2033" s="10" t="n">
        <x:f>Y2033+Z2033+AA2033</x:f>
        <x:v>45047.59802873172</x:v>
      </x:c>
      <x:c r="AC2033" s="8" t="n">
        <x:f>IF(AND(v01_WinterTrigger=1,D2033=1,AB2032/AE2032&gt;=K2033),1,0)</x:f>
        <x:v>0</x:v>
      </x:c>
      <x:c r="AD2033" s="8" t="n">
        <x:f>H2033*IF(AND(OR(AB2032/AE2032&gt;=v01_FissionTrigger*N2033,AC2033=1),AB2032/AE2032*v01_DaughterShare&gt;=v01_MinDaughter),MAX(1,ROUND(AE2032*v01_FissionRate,0)),0)</x:f>
        <x:v>0</x:v>
      </x:c>
      <x:c r="AE2033" s="8" t="n">
        <x:f>IF(H2033=1,MAX(1,MIN(INDEX(v01_Smax,G2033),AE2032+AD2033)),AE2032)</x:f>
        <x:v>15</x:v>
      </x:c>
      <x:c r="AF2033" s="8" t="n">
        <x:f>MAX(0,AE2033-AE2032)</x:f>
        <x:v>0</x:v>
      </x:c>
      <x:c r="AG2033" s="9" t="str">
        <x:f>IF(AF2033&gt;0,B2033,"")</x:f>
      </x:c>
      <x:c r="AH2033" s="9" t="n">
        <x:f>IF(F2033&gt;=1,1,(1+v01_LowTiesShare*(AE2033-1))/AE2033)</x:f>
        <x:v>1</x:v>
      </x:c>
      <x:c r="AI2033" s="32" t="n">
        <x:f>(Z2033+v01_ElderCommons*INDEX(LM_Elder,G2033)*AA2033)*AH2033</x:f>
        <x:v>64139.732591141874</x:v>
      </x:c>
      <x:c r="AJ2033" s="32" t="n">
        <x:f>H2033*v01_CommonsCoef*AI2033^v01_CommonsExp*INDEX(LM_Commons,G2033)</x:f>
        <x:v>0</x:v>
      </x:c>
      <x:c r="AK2033" s="32" t="n">
        <x:f>H2033*v01_RoleScale*Arch_Roles*(AE2033*(INDEX(v01_ElderRolePerSett,G2033)*v01_OutElder*INDEX(LM_Elder,G2033)+INDEX(v01_ShamanPerSett,G2033)*v01_OutShaman)+Z2033*(INDEX(v01_PriestShare,G2033)*v01_OutPriest+INDEX(v01_ScribeShare,G2033)*v01_OutScribe*INDEX(LM_Scribe,G2033)+INDEX(v01_ScholarShare,G2033)*v01_OutScholar*INDEX(LM_Scholar,G2033)+INDEX(v01_ResearcherShare,G2033)*v01_OutResearcher*INDEX(LM_Researcher,G2033)))</x:f>
        <x:v>0</x:v>
      </x:c>
      <x:c r="AL2033" s="32" t="n">
        <x:f>H2033*v01_RoleScale*Arch_Roles*AE2033*INDEX(v01_MonasteryPerSett,G2033)*v01_OutMonastery*INDEX(LM_Monastery,G2033)</x:f>
        <x:v>0</x:v>
      </x:c>
      <x:c r="AM2033" s="32" t="n">
        <x:f>(AJ2033+AK2033+AL2033)/4*INDEX(LM_All,G2033)*INDEX(v01_Boon,G2033)*Arch_Insight</x:f>
        <x:v>0</x:v>
      </x:c>
      <x:c r="AN2033" s="32" t="n">
        <x:f>H2033*(v01_KHPerAdult*Z2033+v01_KHOfCommons*AJ2033/4*INDEX(LM_All,G2033))*v01_KHUsable*Arch_KH</x:f>
        <x:v>0</x:v>
      </x:c>
      <x:c r="AO2033" s="32" t="n">
        <x:f>MIN(AP2032+AN2033,AM2033*v01_KHMaxRatio)</x:f>
        <x:v>0</x:v>
      </x:c>
      <x:c r="AP2033" s="32" t="n">
        <x:f>AP2032+AN2033-AO2033</x:f>
        <x:v>0</x:v>
      </x:c>
      <x:c r="AQ2033" s="32" t="n">
        <x:f>AM2033+AO2033</x:f>
        <x:v>0</x:v>
      </x:c>
      <x:c r="AR2033" s="10" t="n">
        <x:f>IF(H2033=1,INDEX(v01_Req,G2033),0)</x:f>
        <x:v>0</x:v>
      </x:c>
      <x:c r="AS2033" s="32" t="n">
        <x:f>IF(H2033=1,IF(E2033=1,AS2032-AR2032,AS2032)+AQ2033,0)</x:f>
        <x:v>0</x:v>
      </x:c>
      <x:c r="AT2033" s="11" t="n">
        <x:f>IF(AR2033&gt;0,MIN(1,AS2033/AR2033),1)</x:f>
        <x:v>1</x:v>
      </x:c>
      <x:c r="AU2033" s="10" t="n">
        <x:f>AB2033/INDEX(v01_RepScale,G2033)</x:f>
        <x:v>90.09519605746344</x:v>
      </x:c>
      <x:c r="AV2033" s="32" t="n">
        <x:f>AM2033*60/v01_SeasonSeconds</x:f>
        <x:v>0</x:v>
      </x:c>
    </x:row>
    <x:row r="2034">
      <x:c r="A2034" s="8" t="n">
        <x:f>A2033+1</x:f>
        <x:v>2031</x:v>
      </x:c>
      <x:c r="B2034" s="9" t="n">
        <x:f>A2034*v01_SeasonSeconds/60</x:f>
        <x:v>507.75</x:v>
      </x:c>
      <x:c r="C2034" s="9" t="n">
        <x:f>A2034/4</x:f>
        <x:v>507.75</x:v>
      </x:c>
      <x:c r="D2034" s="8" t="n">
        <x:f>IF(MOD(A2034,4)=0,1,0)</x:f>
        <x:v>0</x:v>
      </x:c>
      <x:c r="E2034" s="8" t="n">
        <x:f>IF(AND(F2033&lt;=9,AS2033&gt;=AR2033),1,0)</x:f>
        <x:v>0</x:v>
      </x:c>
      <x:c r="F2034" s="8" t="n">
        <x:f>MIN(10,F2033+E2034)</x:f>
        <x:v>10</x:v>
      </x:c>
      <x:c r="G2034" s="8" t="n">
        <x:f>MIN(F2034,9)+1</x:f>
        <x:v>10</x:v>
      </x:c>
      <x:c r="H2034" s="8" t="n">
        <x:f>IF(F2034&lt;=9,1,0)</x:f>
        <x:v>0</x:v>
      </x:c>
      <x:c r="I2034" s="9" t="n">
        <x:f>MIN(10,F2033+IF(AR2033&gt;0,MIN(1,AS2033/AR2033),1))</x:f>
        <x:v>10</x:v>
      </x:c>
      <x:c r="J2034" s="32" t="n">
        <x:f>INDEX(v01_FoodCap,G2034)*Arch_FoodCap*EXP(v01_CapsByProject*SUMPRODUCT((Cap_Point&lt;=I2034)*(Cap_Kind="Food")*Cap_Ln))</x:f>
        <x:v>12000</x:v>
      </x:c>
      <x:c r="K2034" s="32" t="n">
        <x:f>J2034*MIN(1,v01_LeanBase*EXP(v01_CapsByProject*SUMPRODUCT((Cap_Point&lt;=I2034)*(Cap_Kind="Lean")*Cap_Ln)))</x:f>
        <x:v>12000</x:v>
      </x:c>
      <x:c r="L2034" s="10" t="n">
        <x:f>INDEX(v01_HousingCap,G2034)*EXP(v01_CapsByProject*SUMPRODUCT((Cap_Point&lt;=I2034)*(Cap_Kind="Housing")*Cap_Ln))</x:f>
        <x:v>20000</x:v>
      </x:c>
      <x:c r="M2034" s="10" t="n">
        <x:f>INDEX(v01_GroupCap,G2034)*v01_CohesionFactor*EXP(v01_CapsByProject*SUMPRODUCT((Cap_Point&lt;=I2034)*(Cap_Kind="Group")*Cap_Ln))</x:f>
        <x:v>1000000</x:v>
      </x:c>
      <x:c r="N2034" s="32" t="n">
        <x:f>MIN(J2034,L2034,M2034)</x:f>
        <x:v>12000</x:v>
      </x:c>
      <x:c r="O2034" s="10" t="n">
        <x:f>AE2033*N2034</x:f>
        <x:v>180000</x:v>
      </x:c>
      <x:c r="P2034" s="9" t="n">
        <x:f>MIN(1,(AB2033/(AE2033*IF(v01_GroupInCrowding=1,N2034,MIN(J2034,L2034))))^v01_CrowdingExp)</x:f>
        <x:v>0.00024569414295285325</x:v>
      </x:c>
      <x:c r="Q2034" s="9" t="n">
        <x:f>IF(D2034=1,INDEX(v01_WinterMult,G2034),1)</x:f>
        <x:v>1</x:v>
      </x:c>
      <x:c r="R2034" s="9" t="n">
        <x:f>H2034*Z2033*v01_WomenShare*v01_BaseFertility*INDEX(v01_FertMult,G2034)*Arch_Fertility*(1-P2034)</x:f>
        <x:v>0</x:v>
      </x:c>
      <x:c r="S2034" s="9" t="n">
        <x:f>H2034*Y2033*INDEX(v01_MortChild,G2034)/4*Q2034</x:f>
        <x:v>0</x:v>
      </x:c>
      <x:c r="T2034" s="9" t="n">
        <x:f>H2034*Z2033*INDEX(v01_MortAdult,G2034)*Arch_AdultMort/4*Q2034</x:f>
        <x:v>0</x:v>
      </x:c>
      <x:c r="U2034" s="9" t="n">
        <x:f>H2034*AA2033*INDEX(v01_MortElder,G2034)/4*Q2034</x:f>
        <x:v>0</x:v>
      </x:c>
      <x:c r="V2034" s="9" t="n">
        <x:f>H2034*MAX(0,AB2033-O2034)*v01_OvercapLoss</x:f>
        <x:v>0</x:v>
      </x:c>
      <x:c r="W2034" s="9" t="n">
        <x:f>H2034*Y2033/(v01_ChildYears*4)</x:f>
        <x:v>0</x:v>
      </x:c>
      <x:c r="X2034" s="9" t="n">
        <x:f>H2034*Z2033/(v01_AdultYears*4)</x:f>
        <x:v>0</x:v>
      </x:c>
      <x:c r="Y2034" s="32" t="n">
        <x:f>Y2033+R2034-S2034-W2034-Y2033*V2034/AB2033</x:f>
        <x:v>14306.18539759397</x:v>
      </x:c>
      <x:c r="Z2034" s="32" t="n">
        <x:f>Z2033+W2034-X2034-T2034-Z2033*V2034/AB2033</x:f>
        <x:v>19354.456567879548</x:v>
      </x:c>
      <x:c r="AA2034" s="32" t="n">
        <x:f>AA2033+X2034-U2034-AA2033*V2034/AB2033</x:f>
        <x:v>11386.956063258198</x:v>
      </x:c>
      <x:c r="AB2034" s="10" t="n">
        <x:f>Y2034+Z2034+AA2034</x:f>
        <x:v>45047.59802873172</x:v>
      </x:c>
      <x:c r="AC2034" s="8" t="n">
        <x:f>IF(AND(v01_WinterTrigger=1,D2034=1,AB2033/AE2033&gt;=K2034),1,0)</x:f>
        <x:v>0</x:v>
      </x:c>
      <x:c r="AD2034" s="8" t="n">
        <x:f>H2034*IF(AND(OR(AB2033/AE2033&gt;=v01_FissionTrigger*N2034,AC2034=1),AB2033/AE2033*v01_DaughterShare&gt;=v01_MinDaughter),MAX(1,ROUND(AE2033*v01_FissionRate,0)),0)</x:f>
        <x:v>0</x:v>
      </x:c>
      <x:c r="AE2034" s="8" t="n">
        <x:f>IF(H2034=1,MAX(1,MIN(INDEX(v01_Smax,G2034),AE2033+AD2034)),AE2033)</x:f>
        <x:v>15</x:v>
      </x:c>
      <x:c r="AF2034" s="8" t="n">
        <x:f>MAX(0,AE2034-AE2033)</x:f>
        <x:v>0</x:v>
      </x:c>
      <x:c r="AG2034" s="9" t="str">
        <x:f>IF(AF2034&gt;0,B2034,"")</x:f>
      </x:c>
      <x:c r="AH2034" s="9" t="n">
        <x:f>IF(F2034&gt;=1,1,(1+v01_LowTiesShare*(AE2034-1))/AE2034)</x:f>
        <x:v>1</x:v>
      </x:c>
      <x:c r="AI2034" s="32" t="n">
        <x:f>(Z2034+v01_ElderCommons*INDEX(LM_Elder,G2034)*AA2034)*AH2034</x:f>
        <x:v>64139.732591141874</x:v>
      </x:c>
      <x:c r="AJ2034" s="32" t="n">
        <x:f>H2034*v01_CommonsCoef*AI2034^v01_CommonsExp*INDEX(LM_Commons,G2034)</x:f>
        <x:v>0</x:v>
      </x:c>
      <x:c r="AK2034" s="32" t="n">
        <x:f>H2034*v01_RoleScale*Arch_Roles*(AE2034*(INDEX(v01_ElderRolePerSett,G2034)*v01_OutElder*INDEX(LM_Elder,G2034)+INDEX(v01_ShamanPerSett,G2034)*v01_OutShaman)+Z2034*(INDEX(v01_PriestShare,G2034)*v01_OutPriest+INDEX(v01_ScribeShare,G2034)*v01_OutScribe*INDEX(LM_Scribe,G2034)+INDEX(v01_ScholarShare,G2034)*v01_OutScholar*INDEX(LM_Scholar,G2034)+INDEX(v01_ResearcherShare,G2034)*v01_OutResearcher*INDEX(LM_Researcher,G2034)))</x:f>
        <x:v>0</x:v>
      </x:c>
      <x:c r="AL2034" s="32" t="n">
        <x:f>H2034*v01_RoleScale*Arch_Roles*AE2034*INDEX(v01_MonasteryPerSett,G2034)*v01_OutMonastery*INDEX(LM_Monastery,G2034)</x:f>
        <x:v>0</x:v>
      </x:c>
      <x:c r="AM2034" s="32" t="n">
        <x:f>(AJ2034+AK2034+AL2034)/4*INDEX(LM_All,G2034)*INDEX(v01_Boon,G2034)*Arch_Insight</x:f>
        <x:v>0</x:v>
      </x:c>
      <x:c r="AN2034" s="32" t="n">
        <x:f>H2034*(v01_KHPerAdult*Z2034+v01_KHOfCommons*AJ2034/4*INDEX(LM_All,G2034))*v01_KHUsable*Arch_KH</x:f>
        <x:v>0</x:v>
      </x:c>
      <x:c r="AO2034" s="32" t="n">
        <x:f>MIN(AP2033+AN2034,AM2034*v01_KHMaxRatio)</x:f>
        <x:v>0</x:v>
      </x:c>
      <x:c r="AP2034" s="32" t="n">
        <x:f>AP2033+AN2034-AO2034</x:f>
        <x:v>0</x:v>
      </x:c>
      <x:c r="AQ2034" s="32" t="n">
        <x:f>AM2034+AO2034</x:f>
        <x:v>0</x:v>
      </x:c>
      <x:c r="AR2034" s="10" t="n">
        <x:f>IF(H2034=1,INDEX(v01_Req,G2034),0)</x:f>
        <x:v>0</x:v>
      </x:c>
      <x:c r="AS2034" s="32" t="n">
        <x:f>IF(H2034=1,IF(E2034=1,AS2033-AR2033,AS2033)+AQ2034,0)</x:f>
        <x:v>0</x:v>
      </x:c>
      <x:c r="AT2034" s="11" t="n">
        <x:f>IF(AR2034&gt;0,MIN(1,AS2034/AR2034),1)</x:f>
        <x:v>1</x:v>
      </x:c>
      <x:c r="AU2034" s="10" t="n">
        <x:f>AB2034/INDEX(v01_RepScale,G2034)</x:f>
        <x:v>90.09519605746344</x:v>
      </x:c>
      <x:c r="AV2034" s="32" t="n">
        <x:f>AM2034*60/v01_SeasonSeconds</x:f>
        <x:v>0</x:v>
      </x:c>
    </x:row>
    <x:row r="2035">
      <x:c r="A2035" s="8" t="n">
        <x:f>A2034+1</x:f>
        <x:v>2032</x:v>
      </x:c>
      <x:c r="B2035" s="9" t="n">
        <x:f>A2035*v01_SeasonSeconds/60</x:f>
        <x:v>508</x:v>
      </x:c>
      <x:c r="C2035" s="9" t="n">
        <x:f>A2035/4</x:f>
        <x:v>508</x:v>
      </x:c>
      <x:c r="D2035" s="8" t="n">
        <x:f>IF(MOD(A2035,4)=0,1,0)</x:f>
        <x:v>1</x:v>
      </x:c>
      <x:c r="E2035" s="8" t="n">
        <x:f>IF(AND(F2034&lt;=9,AS2034&gt;=AR2034),1,0)</x:f>
        <x:v>0</x:v>
      </x:c>
      <x:c r="F2035" s="8" t="n">
        <x:f>MIN(10,F2034+E2035)</x:f>
        <x:v>10</x:v>
      </x:c>
      <x:c r="G2035" s="8" t="n">
        <x:f>MIN(F2035,9)+1</x:f>
        <x:v>10</x:v>
      </x:c>
      <x:c r="H2035" s="8" t="n">
        <x:f>IF(F2035&lt;=9,1,0)</x:f>
        <x:v>0</x:v>
      </x:c>
      <x:c r="I2035" s="9" t="n">
        <x:f>MIN(10,F2034+IF(AR2034&gt;0,MIN(1,AS2034/AR2034),1))</x:f>
        <x:v>10</x:v>
      </x:c>
      <x:c r="J2035" s="32" t="n">
        <x:f>INDEX(v01_FoodCap,G2035)*Arch_FoodCap*EXP(v01_CapsByProject*SUMPRODUCT((Cap_Point&lt;=I2035)*(Cap_Kind="Food")*Cap_Ln))</x:f>
        <x:v>12000</x:v>
      </x:c>
      <x:c r="K2035" s="32" t="n">
        <x:f>J2035*MIN(1,v01_LeanBase*EXP(v01_CapsByProject*SUMPRODUCT((Cap_Point&lt;=I2035)*(Cap_Kind="Lean")*Cap_Ln)))</x:f>
        <x:v>12000</x:v>
      </x:c>
      <x:c r="L2035" s="10" t="n">
        <x:f>INDEX(v01_HousingCap,G2035)*EXP(v01_CapsByProject*SUMPRODUCT((Cap_Point&lt;=I2035)*(Cap_Kind="Housing")*Cap_Ln))</x:f>
        <x:v>20000</x:v>
      </x:c>
      <x:c r="M2035" s="10" t="n">
        <x:f>INDEX(v01_GroupCap,G2035)*v01_CohesionFactor*EXP(v01_CapsByProject*SUMPRODUCT((Cap_Point&lt;=I2035)*(Cap_Kind="Group")*Cap_Ln))</x:f>
        <x:v>1000000</x:v>
      </x:c>
      <x:c r="N2035" s="32" t="n">
        <x:f>MIN(J2035,L2035,M2035)</x:f>
        <x:v>12000</x:v>
      </x:c>
      <x:c r="O2035" s="10" t="n">
        <x:f>AE2034*N2035</x:f>
        <x:v>180000</x:v>
      </x:c>
      <x:c r="P2035" s="9" t="n">
        <x:f>MIN(1,(AB2034/(AE2034*IF(v01_GroupInCrowding=1,N2035,MIN(J2035,L2035))))^v01_CrowdingExp)</x:f>
        <x:v>0.00024569414295285325</x:v>
      </x:c>
      <x:c r="Q2035" s="9" t="n">
        <x:f>IF(D2035=1,INDEX(v01_WinterMult,G2035),1)</x:f>
        <x:v>1</x:v>
      </x:c>
      <x:c r="R2035" s="9" t="n">
        <x:f>H2035*Z2034*v01_WomenShare*v01_BaseFertility*INDEX(v01_FertMult,G2035)*Arch_Fertility*(1-P2035)</x:f>
        <x:v>0</x:v>
      </x:c>
      <x:c r="S2035" s="9" t="n">
        <x:f>H2035*Y2034*INDEX(v01_MortChild,G2035)/4*Q2035</x:f>
        <x:v>0</x:v>
      </x:c>
      <x:c r="T2035" s="9" t="n">
        <x:f>H2035*Z2034*INDEX(v01_MortAdult,G2035)*Arch_AdultMort/4*Q2035</x:f>
        <x:v>0</x:v>
      </x:c>
      <x:c r="U2035" s="9" t="n">
        <x:f>H2035*AA2034*INDEX(v01_MortElder,G2035)/4*Q2035</x:f>
        <x:v>0</x:v>
      </x:c>
      <x:c r="V2035" s="9" t="n">
        <x:f>H2035*MAX(0,AB2034-O2035)*v01_OvercapLoss</x:f>
        <x:v>0</x:v>
      </x:c>
      <x:c r="W2035" s="9" t="n">
        <x:f>H2035*Y2034/(v01_ChildYears*4)</x:f>
        <x:v>0</x:v>
      </x:c>
      <x:c r="X2035" s="9" t="n">
        <x:f>H2035*Z2034/(v01_AdultYears*4)</x:f>
        <x:v>0</x:v>
      </x:c>
      <x:c r="Y2035" s="32" t="n">
        <x:f>Y2034+R2035-S2035-W2035-Y2034*V2035/AB2034</x:f>
        <x:v>14306.18539759397</x:v>
      </x:c>
      <x:c r="Z2035" s="32" t="n">
        <x:f>Z2034+W2035-X2035-T2035-Z2034*V2035/AB2034</x:f>
        <x:v>19354.456567879548</x:v>
      </x:c>
      <x:c r="AA2035" s="32" t="n">
        <x:f>AA2034+X2035-U2035-AA2034*V2035/AB2034</x:f>
        <x:v>11386.956063258198</x:v>
      </x:c>
      <x:c r="AB2035" s="10" t="n">
        <x:f>Y2035+Z2035+AA2035</x:f>
        <x:v>45047.59802873172</x:v>
      </x:c>
      <x:c r="AC2035" s="8" t="n">
        <x:f>IF(AND(v01_WinterTrigger=1,D2035=1,AB2034/AE2034&gt;=K2035),1,0)</x:f>
        <x:v>0</x:v>
      </x:c>
      <x:c r="AD2035" s="8" t="n">
        <x:f>H2035*IF(AND(OR(AB2034/AE2034&gt;=v01_FissionTrigger*N2035,AC2035=1),AB2034/AE2034*v01_DaughterShare&gt;=v01_MinDaughter),MAX(1,ROUND(AE2034*v01_FissionRate,0)),0)</x:f>
        <x:v>0</x:v>
      </x:c>
      <x:c r="AE2035" s="8" t="n">
        <x:f>IF(H2035=1,MAX(1,MIN(INDEX(v01_Smax,G2035),AE2034+AD2035)),AE2034)</x:f>
        <x:v>15</x:v>
      </x:c>
      <x:c r="AF2035" s="8" t="n">
        <x:f>MAX(0,AE2035-AE2034)</x:f>
        <x:v>0</x:v>
      </x:c>
      <x:c r="AG2035" s="9" t="str">
        <x:f>IF(AF2035&gt;0,B2035,"")</x:f>
      </x:c>
      <x:c r="AH2035" s="9" t="n">
        <x:f>IF(F2035&gt;=1,1,(1+v01_LowTiesShare*(AE2035-1))/AE2035)</x:f>
        <x:v>1</x:v>
      </x:c>
      <x:c r="AI2035" s="32" t="n">
        <x:f>(Z2035+v01_ElderCommons*INDEX(LM_Elder,G2035)*AA2035)*AH2035</x:f>
        <x:v>64139.732591141874</x:v>
      </x:c>
      <x:c r="AJ2035" s="32" t="n">
        <x:f>H2035*v01_CommonsCoef*AI2035^v01_CommonsExp*INDEX(LM_Commons,G2035)</x:f>
        <x:v>0</x:v>
      </x:c>
      <x:c r="AK2035" s="32" t="n">
        <x:f>H2035*v01_RoleScale*Arch_Roles*(AE2035*(INDEX(v01_ElderRolePerSett,G2035)*v01_OutElder*INDEX(LM_Elder,G2035)+INDEX(v01_ShamanPerSett,G2035)*v01_OutShaman)+Z2035*(INDEX(v01_PriestShare,G2035)*v01_OutPriest+INDEX(v01_ScribeShare,G2035)*v01_OutScribe*INDEX(LM_Scribe,G2035)+INDEX(v01_ScholarShare,G2035)*v01_OutScholar*INDEX(LM_Scholar,G2035)+INDEX(v01_ResearcherShare,G2035)*v01_OutResearcher*INDEX(LM_Researcher,G2035)))</x:f>
        <x:v>0</x:v>
      </x:c>
      <x:c r="AL2035" s="32" t="n">
        <x:f>H2035*v01_RoleScale*Arch_Roles*AE2035*INDEX(v01_MonasteryPerSett,G2035)*v01_OutMonastery*INDEX(LM_Monastery,G2035)</x:f>
        <x:v>0</x:v>
      </x:c>
      <x:c r="AM2035" s="32" t="n">
        <x:f>(AJ2035+AK2035+AL2035)/4*INDEX(LM_All,G2035)*INDEX(v01_Boon,G2035)*Arch_Insight</x:f>
        <x:v>0</x:v>
      </x:c>
      <x:c r="AN2035" s="32" t="n">
        <x:f>H2035*(v01_KHPerAdult*Z2035+v01_KHOfCommons*AJ2035/4*INDEX(LM_All,G2035))*v01_KHUsable*Arch_KH</x:f>
        <x:v>0</x:v>
      </x:c>
      <x:c r="AO2035" s="32" t="n">
        <x:f>MIN(AP2034+AN2035,AM2035*v01_KHMaxRatio)</x:f>
        <x:v>0</x:v>
      </x:c>
      <x:c r="AP2035" s="32" t="n">
        <x:f>AP2034+AN2035-AO2035</x:f>
        <x:v>0</x:v>
      </x:c>
      <x:c r="AQ2035" s="32" t="n">
        <x:f>AM2035+AO2035</x:f>
        <x:v>0</x:v>
      </x:c>
      <x:c r="AR2035" s="10" t="n">
        <x:f>IF(H2035=1,INDEX(v01_Req,G2035),0)</x:f>
        <x:v>0</x:v>
      </x:c>
      <x:c r="AS2035" s="32" t="n">
        <x:f>IF(H2035=1,IF(E2035=1,AS2034-AR2034,AS2034)+AQ2035,0)</x:f>
        <x:v>0</x:v>
      </x:c>
      <x:c r="AT2035" s="11" t="n">
        <x:f>IF(AR2035&gt;0,MIN(1,AS2035/AR2035),1)</x:f>
        <x:v>1</x:v>
      </x:c>
      <x:c r="AU2035" s="10" t="n">
        <x:f>AB2035/INDEX(v01_RepScale,G2035)</x:f>
        <x:v>90.09519605746344</x:v>
      </x:c>
      <x:c r="AV2035" s="32" t="n">
        <x:f>AM2035*60/v01_SeasonSeconds</x:f>
        <x:v>0</x:v>
      </x:c>
    </x:row>
    <x:row r="2036">
      <x:c r="A2036" s="8" t="n">
        <x:f>A2035+1</x:f>
        <x:v>2033</x:v>
      </x:c>
      <x:c r="B2036" s="9" t="n">
        <x:f>A2036*v01_SeasonSeconds/60</x:f>
        <x:v>508.25</x:v>
      </x:c>
      <x:c r="C2036" s="9" t="n">
        <x:f>A2036/4</x:f>
        <x:v>508.25</x:v>
      </x:c>
      <x:c r="D2036" s="8" t="n">
        <x:f>IF(MOD(A2036,4)=0,1,0)</x:f>
        <x:v>0</x:v>
      </x:c>
      <x:c r="E2036" s="8" t="n">
        <x:f>IF(AND(F2035&lt;=9,AS2035&gt;=AR2035),1,0)</x:f>
        <x:v>0</x:v>
      </x:c>
      <x:c r="F2036" s="8" t="n">
        <x:f>MIN(10,F2035+E2036)</x:f>
        <x:v>10</x:v>
      </x:c>
      <x:c r="G2036" s="8" t="n">
        <x:f>MIN(F2036,9)+1</x:f>
        <x:v>10</x:v>
      </x:c>
      <x:c r="H2036" s="8" t="n">
        <x:f>IF(F2036&lt;=9,1,0)</x:f>
        <x:v>0</x:v>
      </x:c>
      <x:c r="I2036" s="9" t="n">
        <x:f>MIN(10,F2035+IF(AR2035&gt;0,MIN(1,AS2035/AR2035),1))</x:f>
        <x:v>10</x:v>
      </x:c>
      <x:c r="J2036" s="32" t="n">
        <x:f>INDEX(v01_FoodCap,G2036)*Arch_FoodCap*EXP(v01_CapsByProject*SUMPRODUCT((Cap_Point&lt;=I2036)*(Cap_Kind="Food")*Cap_Ln))</x:f>
        <x:v>12000</x:v>
      </x:c>
      <x:c r="K2036" s="32" t="n">
        <x:f>J2036*MIN(1,v01_LeanBase*EXP(v01_CapsByProject*SUMPRODUCT((Cap_Point&lt;=I2036)*(Cap_Kind="Lean")*Cap_Ln)))</x:f>
        <x:v>12000</x:v>
      </x:c>
      <x:c r="L2036" s="10" t="n">
        <x:f>INDEX(v01_HousingCap,G2036)*EXP(v01_CapsByProject*SUMPRODUCT((Cap_Point&lt;=I2036)*(Cap_Kind="Housing")*Cap_Ln))</x:f>
        <x:v>20000</x:v>
      </x:c>
      <x:c r="M2036" s="10" t="n">
        <x:f>INDEX(v01_GroupCap,G2036)*v01_CohesionFactor*EXP(v01_CapsByProject*SUMPRODUCT((Cap_Point&lt;=I2036)*(Cap_Kind="Group")*Cap_Ln))</x:f>
        <x:v>1000000</x:v>
      </x:c>
      <x:c r="N2036" s="32" t="n">
        <x:f>MIN(J2036,L2036,M2036)</x:f>
        <x:v>12000</x:v>
      </x:c>
      <x:c r="O2036" s="10" t="n">
        <x:f>AE2035*N2036</x:f>
        <x:v>180000</x:v>
      </x:c>
      <x:c r="P2036" s="9" t="n">
        <x:f>MIN(1,(AB2035/(AE2035*IF(v01_GroupInCrowding=1,N2036,MIN(J2036,L2036))))^v01_CrowdingExp)</x:f>
        <x:v>0.00024569414295285325</x:v>
      </x:c>
      <x:c r="Q2036" s="9" t="n">
        <x:f>IF(D2036=1,INDEX(v01_WinterMult,G2036),1)</x:f>
        <x:v>1</x:v>
      </x:c>
      <x:c r="R2036" s="9" t="n">
        <x:f>H2036*Z2035*v01_WomenShare*v01_BaseFertility*INDEX(v01_FertMult,G2036)*Arch_Fertility*(1-P2036)</x:f>
        <x:v>0</x:v>
      </x:c>
      <x:c r="S2036" s="9" t="n">
        <x:f>H2036*Y2035*INDEX(v01_MortChild,G2036)/4*Q2036</x:f>
        <x:v>0</x:v>
      </x:c>
      <x:c r="T2036" s="9" t="n">
        <x:f>H2036*Z2035*INDEX(v01_MortAdult,G2036)*Arch_AdultMort/4*Q2036</x:f>
        <x:v>0</x:v>
      </x:c>
      <x:c r="U2036" s="9" t="n">
        <x:f>H2036*AA2035*INDEX(v01_MortElder,G2036)/4*Q2036</x:f>
        <x:v>0</x:v>
      </x:c>
      <x:c r="V2036" s="9" t="n">
        <x:f>H2036*MAX(0,AB2035-O2036)*v01_OvercapLoss</x:f>
        <x:v>0</x:v>
      </x:c>
      <x:c r="W2036" s="9" t="n">
        <x:f>H2036*Y2035/(v01_ChildYears*4)</x:f>
        <x:v>0</x:v>
      </x:c>
      <x:c r="X2036" s="9" t="n">
        <x:f>H2036*Z2035/(v01_AdultYears*4)</x:f>
        <x:v>0</x:v>
      </x:c>
      <x:c r="Y2036" s="32" t="n">
        <x:f>Y2035+R2036-S2036-W2036-Y2035*V2036/AB2035</x:f>
        <x:v>14306.18539759397</x:v>
      </x:c>
      <x:c r="Z2036" s="32" t="n">
        <x:f>Z2035+W2036-X2036-T2036-Z2035*V2036/AB2035</x:f>
        <x:v>19354.456567879548</x:v>
      </x:c>
      <x:c r="AA2036" s="32" t="n">
        <x:f>AA2035+X2036-U2036-AA2035*V2036/AB2035</x:f>
        <x:v>11386.956063258198</x:v>
      </x:c>
      <x:c r="AB2036" s="10" t="n">
        <x:f>Y2036+Z2036+AA2036</x:f>
        <x:v>45047.59802873172</x:v>
      </x:c>
      <x:c r="AC2036" s="8" t="n">
        <x:f>IF(AND(v01_WinterTrigger=1,D2036=1,AB2035/AE2035&gt;=K2036),1,0)</x:f>
        <x:v>0</x:v>
      </x:c>
      <x:c r="AD2036" s="8" t="n">
        <x:f>H2036*IF(AND(OR(AB2035/AE2035&gt;=v01_FissionTrigger*N2036,AC2036=1),AB2035/AE2035*v01_DaughterShare&gt;=v01_MinDaughter),MAX(1,ROUND(AE2035*v01_FissionRate,0)),0)</x:f>
        <x:v>0</x:v>
      </x:c>
      <x:c r="AE2036" s="8" t="n">
        <x:f>IF(H2036=1,MAX(1,MIN(INDEX(v01_Smax,G2036),AE2035+AD2036)),AE2035)</x:f>
        <x:v>15</x:v>
      </x:c>
      <x:c r="AF2036" s="8" t="n">
        <x:f>MAX(0,AE2036-AE2035)</x:f>
        <x:v>0</x:v>
      </x:c>
      <x:c r="AG2036" s="9" t="str">
        <x:f>IF(AF2036&gt;0,B2036,"")</x:f>
      </x:c>
      <x:c r="AH2036" s="9" t="n">
        <x:f>IF(F2036&gt;=1,1,(1+v01_LowTiesShare*(AE2036-1))/AE2036)</x:f>
        <x:v>1</x:v>
      </x:c>
      <x:c r="AI2036" s="32" t="n">
        <x:f>(Z2036+v01_ElderCommons*INDEX(LM_Elder,G2036)*AA2036)*AH2036</x:f>
        <x:v>64139.732591141874</x:v>
      </x:c>
      <x:c r="AJ2036" s="32" t="n">
        <x:f>H2036*v01_CommonsCoef*AI2036^v01_CommonsExp*INDEX(LM_Commons,G2036)</x:f>
        <x:v>0</x:v>
      </x:c>
      <x:c r="AK2036" s="32" t="n">
        <x:f>H2036*v01_RoleScale*Arch_Roles*(AE2036*(INDEX(v01_ElderRolePerSett,G2036)*v01_OutElder*INDEX(LM_Elder,G2036)+INDEX(v01_ShamanPerSett,G2036)*v01_OutShaman)+Z2036*(INDEX(v01_PriestShare,G2036)*v01_OutPriest+INDEX(v01_ScribeShare,G2036)*v01_OutScribe*INDEX(LM_Scribe,G2036)+INDEX(v01_ScholarShare,G2036)*v01_OutScholar*INDEX(LM_Scholar,G2036)+INDEX(v01_ResearcherShare,G2036)*v01_OutResearcher*INDEX(LM_Researcher,G2036)))</x:f>
        <x:v>0</x:v>
      </x:c>
      <x:c r="AL2036" s="32" t="n">
        <x:f>H2036*v01_RoleScale*Arch_Roles*AE2036*INDEX(v01_MonasteryPerSett,G2036)*v01_OutMonastery*INDEX(LM_Monastery,G2036)</x:f>
        <x:v>0</x:v>
      </x:c>
      <x:c r="AM2036" s="32" t="n">
        <x:f>(AJ2036+AK2036+AL2036)/4*INDEX(LM_All,G2036)*INDEX(v01_Boon,G2036)*Arch_Insight</x:f>
        <x:v>0</x:v>
      </x:c>
      <x:c r="AN2036" s="32" t="n">
        <x:f>H2036*(v01_KHPerAdult*Z2036+v01_KHOfCommons*AJ2036/4*INDEX(LM_All,G2036))*v01_KHUsable*Arch_KH</x:f>
        <x:v>0</x:v>
      </x:c>
      <x:c r="AO2036" s="32" t="n">
        <x:f>MIN(AP2035+AN2036,AM2036*v01_KHMaxRatio)</x:f>
        <x:v>0</x:v>
      </x:c>
      <x:c r="AP2036" s="32" t="n">
        <x:f>AP2035+AN2036-AO2036</x:f>
        <x:v>0</x:v>
      </x:c>
      <x:c r="AQ2036" s="32" t="n">
        <x:f>AM2036+AO2036</x:f>
        <x:v>0</x:v>
      </x:c>
      <x:c r="AR2036" s="10" t="n">
        <x:f>IF(H2036=1,INDEX(v01_Req,G2036),0)</x:f>
        <x:v>0</x:v>
      </x:c>
      <x:c r="AS2036" s="32" t="n">
        <x:f>IF(H2036=1,IF(E2036=1,AS2035-AR2035,AS2035)+AQ2036,0)</x:f>
        <x:v>0</x:v>
      </x:c>
      <x:c r="AT2036" s="11" t="n">
        <x:f>IF(AR2036&gt;0,MIN(1,AS2036/AR2036),1)</x:f>
        <x:v>1</x:v>
      </x:c>
      <x:c r="AU2036" s="10" t="n">
        <x:f>AB2036/INDEX(v01_RepScale,G2036)</x:f>
        <x:v>90.09519605746344</x:v>
      </x:c>
      <x:c r="AV2036" s="32" t="n">
        <x:f>AM2036*60/v01_SeasonSeconds</x:f>
        <x:v>0</x:v>
      </x:c>
    </x:row>
    <x:row r="2037">
      <x:c r="A2037" s="8" t="n">
        <x:f>A2036+1</x:f>
        <x:v>2034</x:v>
      </x:c>
      <x:c r="B2037" s="9" t="n">
        <x:f>A2037*v01_SeasonSeconds/60</x:f>
        <x:v>508.5</x:v>
      </x:c>
      <x:c r="C2037" s="9" t="n">
        <x:f>A2037/4</x:f>
        <x:v>508.5</x:v>
      </x:c>
      <x:c r="D2037" s="8" t="n">
        <x:f>IF(MOD(A2037,4)=0,1,0)</x:f>
        <x:v>0</x:v>
      </x:c>
      <x:c r="E2037" s="8" t="n">
        <x:f>IF(AND(F2036&lt;=9,AS2036&gt;=AR2036),1,0)</x:f>
        <x:v>0</x:v>
      </x:c>
      <x:c r="F2037" s="8" t="n">
        <x:f>MIN(10,F2036+E2037)</x:f>
        <x:v>10</x:v>
      </x:c>
      <x:c r="G2037" s="8" t="n">
        <x:f>MIN(F2037,9)+1</x:f>
        <x:v>10</x:v>
      </x:c>
      <x:c r="H2037" s="8" t="n">
        <x:f>IF(F2037&lt;=9,1,0)</x:f>
        <x:v>0</x:v>
      </x:c>
      <x:c r="I2037" s="9" t="n">
        <x:f>MIN(10,F2036+IF(AR2036&gt;0,MIN(1,AS2036/AR2036),1))</x:f>
        <x:v>10</x:v>
      </x:c>
      <x:c r="J2037" s="32" t="n">
        <x:f>INDEX(v01_FoodCap,G2037)*Arch_FoodCap*EXP(v01_CapsByProject*SUMPRODUCT((Cap_Point&lt;=I2037)*(Cap_Kind="Food")*Cap_Ln))</x:f>
        <x:v>12000</x:v>
      </x:c>
      <x:c r="K2037" s="32" t="n">
        <x:f>J2037*MIN(1,v01_LeanBase*EXP(v01_CapsByProject*SUMPRODUCT((Cap_Point&lt;=I2037)*(Cap_Kind="Lean")*Cap_Ln)))</x:f>
        <x:v>12000</x:v>
      </x:c>
      <x:c r="L2037" s="10" t="n">
        <x:f>INDEX(v01_HousingCap,G2037)*EXP(v01_CapsByProject*SUMPRODUCT((Cap_Point&lt;=I2037)*(Cap_Kind="Housing")*Cap_Ln))</x:f>
        <x:v>20000</x:v>
      </x:c>
      <x:c r="M2037" s="10" t="n">
        <x:f>INDEX(v01_GroupCap,G2037)*v01_CohesionFactor*EXP(v01_CapsByProject*SUMPRODUCT((Cap_Point&lt;=I2037)*(Cap_Kind="Group")*Cap_Ln))</x:f>
        <x:v>1000000</x:v>
      </x:c>
      <x:c r="N2037" s="32" t="n">
        <x:f>MIN(J2037,L2037,M2037)</x:f>
        <x:v>12000</x:v>
      </x:c>
      <x:c r="O2037" s="10" t="n">
        <x:f>AE2036*N2037</x:f>
        <x:v>180000</x:v>
      </x:c>
      <x:c r="P2037" s="9" t="n">
        <x:f>MIN(1,(AB2036/(AE2036*IF(v01_GroupInCrowding=1,N2037,MIN(J2037,L2037))))^v01_CrowdingExp)</x:f>
        <x:v>0.00024569414295285325</x:v>
      </x:c>
      <x:c r="Q2037" s="9" t="n">
        <x:f>IF(D2037=1,INDEX(v01_WinterMult,G2037),1)</x:f>
        <x:v>1</x:v>
      </x:c>
      <x:c r="R2037" s="9" t="n">
        <x:f>H2037*Z2036*v01_WomenShare*v01_BaseFertility*INDEX(v01_FertMult,G2037)*Arch_Fertility*(1-P2037)</x:f>
        <x:v>0</x:v>
      </x:c>
      <x:c r="S2037" s="9" t="n">
        <x:f>H2037*Y2036*INDEX(v01_MortChild,G2037)/4*Q2037</x:f>
        <x:v>0</x:v>
      </x:c>
      <x:c r="T2037" s="9" t="n">
        <x:f>H2037*Z2036*INDEX(v01_MortAdult,G2037)*Arch_AdultMort/4*Q2037</x:f>
        <x:v>0</x:v>
      </x:c>
      <x:c r="U2037" s="9" t="n">
        <x:f>H2037*AA2036*INDEX(v01_MortElder,G2037)/4*Q2037</x:f>
        <x:v>0</x:v>
      </x:c>
      <x:c r="V2037" s="9" t="n">
        <x:f>H2037*MAX(0,AB2036-O2037)*v01_OvercapLoss</x:f>
        <x:v>0</x:v>
      </x:c>
      <x:c r="W2037" s="9" t="n">
        <x:f>H2037*Y2036/(v01_ChildYears*4)</x:f>
        <x:v>0</x:v>
      </x:c>
      <x:c r="X2037" s="9" t="n">
        <x:f>H2037*Z2036/(v01_AdultYears*4)</x:f>
        <x:v>0</x:v>
      </x:c>
      <x:c r="Y2037" s="32" t="n">
        <x:f>Y2036+R2037-S2037-W2037-Y2036*V2037/AB2036</x:f>
        <x:v>14306.18539759397</x:v>
      </x:c>
      <x:c r="Z2037" s="32" t="n">
        <x:f>Z2036+W2037-X2037-T2037-Z2036*V2037/AB2036</x:f>
        <x:v>19354.456567879548</x:v>
      </x:c>
      <x:c r="AA2037" s="32" t="n">
        <x:f>AA2036+X2037-U2037-AA2036*V2037/AB2036</x:f>
        <x:v>11386.956063258198</x:v>
      </x:c>
      <x:c r="AB2037" s="10" t="n">
        <x:f>Y2037+Z2037+AA2037</x:f>
        <x:v>45047.59802873172</x:v>
      </x:c>
      <x:c r="AC2037" s="8" t="n">
        <x:f>IF(AND(v01_WinterTrigger=1,D2037=1,AB2036/AE2036&gt;=K2037),1,0)</x:f>
        <x:v>0</x:v>
      </x:c>
      <x:c r="AD2037" s="8" t="n">
        <x:f>H2037*IF(AND(OR(AB2036/AE2036&gt;=v01_FissionTrigger*N2037,AC2037=1),AB2036/AE2036*v01_DaughterShare&gt;=v01_MinDaughter),MAX(1,ROUND(AE2036*v01_FissionRate,0)),0)</x:f>
        <x:v>0</x:v>
      </x:c>
      <x:c r="AE2037" s="8" t="n">
        <x:f>IF(H2037=1,MAX(1,MIN(INDEX(v01_Smax,G2037),AE2036+AD2037)),AE2036)</x:f>
        <x:v>15</x:v>
      </x:c>
      <x:c r="AF2037" s="8" t="n">
        <x:f>MAX(0,AE2037-AE2036)</x:f>
        <x:v>0</x:v>
      </x:c>
      <x:c r="AG2037" s="9" t="str">
        <x:f>IF(AF2037&gt;0,B2037,"")</x:f>
      </x:c>
      <x:c r="AH2037" s="9" t="n">
        <x:f>IF(F2037&gt;=1,1,(1+v01_LowTiesShare*(AE2037-1))/AE2037)</x:f>
        <x:v>1</x:v>
      </x:c>
      <x:c r="AI2037" s="32" t="n">
        <x:f>(Z2037+v01_ElderCommons*INDEX(LM_Elder,G2037)*AA2037)*AH2037</x:f>
        <x:v>64139.732591141874</x:v>
      </x:c>
      <x:c r="AJ2037" s="32" t="n">
        <x:f>H2037*v01_CommonsCoef*AI2037^v01_CommonsExp*INDEX(LM_Commons,G2037)</x:f>
        <x:v>0</x:v>
      </x:c>
      <x:c r="AK2037" s="32" t="n">
        <x:f>H2037*v01_RoleScale*Arch_Roles*(AE2037*(INDEX(v01_ElderRolePerSett,G2037)*v01_OutElder*INDEX(LM_Elder,G2037)+INDEX(v01_ShamanPerSett,G2037)*v01_OutShaman)+Z2037*(INDEX(v01_PriestShare,G2037)*v01_OutPriest+INDEX(v01_ScribeShare,G2037)*v01_OutScribe*INDEX(LM_Scribe,G2037)+INDEX(v01_ScholarShare,G2037)*v01_OutScholar*INDEX(LM_Scholar,G2037)+INDEX(v01_ResearcherShare,G2037)*v01_OutResearcher*INDEX(LM_Researcher,G2037)))</x:f>
        <x:v>0</x:v>
      </x:c>
      <x:c r="AL2037" s="32" t="n">
        <x:f>H2037*v01_RoleScale*Arch_Roles*AE2037*INDEX(v01_MonasteryPerSett,G2037)*v01_OutMonastery*INDEX(LM_Monastery,G2037)</x:f>
        <x:v>0</x:v>
      </x:c>
      <x:c r="AM2037" s="32" t="n">
        <x:f>(AJ2037+AK2037+AL2037)/4*INDEX(LM_All,G2037)*INDEX(v01_Boon,G2037)*Arch_Insight</x:f>
        <x:v>0</x:v>
      </x:c>
      <x:c r="AN2037" s="32" t="n">
        <x:f>H2037*(v01_KHPerAdult*Z2037+v01_KHOfCommons*AJ2037/4*INDEX(LM_All,G2037))*v01_KHUsable*Arch_KH</x:f>
        <x:v>0</x:v>
      </x:c>
      <x:c r="AO2037" s="32" t="n">
        <x:f>MIN(AP2036+AN2037,AM2037*v01_KHMaxRatio)</x:f>
        <x:v>0</x:v>
      </x:c>
      <x:c r="AP2037" s="32" t="n">
        <x:f>AP2036+AN2037-AO2037</x:f>
        <x:v>0</x:v>
      </x:c>
      <x:c r="AQ2037" s="32" t="n">
        <x:f>AM2037+AO2037</x:f>
        <x:v>0</x:v>
      </x:c>
      <x:c r="AR2037" s="10" t="n">
        <x:f>IF(H2037=1,INDEX(v01_Req,G2037),0)</x:f>
        <x:v>0</x:v>
      </x:c>
      <x:c r="AS2037" s="32" t="n">
        <x:f>IF(H2037=1,IF(E2037=1,AS2036-AR2036,AS2036)+AQ2037,0)</x:f>
        <x:v>0</x:v>
      </x:c>
      <x:c r="AT2037" s="11" t="n">
        <x:f>IF(AR2037&gt;0,MIN(1,AS2037/AR2037),1)</x:f>
        <x:v>1</x:v>
      </x:c>
      <x:c r="AU2037" s="10" t="n">
        <x:f>AB2037/INDEX(v01_RepScale,G2037)</x:f>
        <x:v>90.09519605746344</x:v>
      </x:c>
      <x:c r="AV2037" s="32" t="n">
        <x:f>AM2037*60/v01_SeasonSeconds</x:f>
        <x:v>0</x:v>
      </x:c>
    </x:row>
    <x:row r="2038">
      <x:c r="A2038" s="8" t="n">
        <x:f>A2037+1</x:f>
        <x:v>2035</x:v>
      </x:c>
      <x:c r="B2038" s="9" t="n">
        <x:f>A2038*v01_SeasonSeconds/60</x:f>
        <x:v>508.75</x:v>
      </x:c>
      <x:c r="C2038" s="9" t="n">
        <x:f>A2038/4</x:f>
        <x:v>508.75</x:v>
      </x:c>
      <x:c r="D2038" s="8" t="n">
        <x:f>IF(MOD(A2038,4)=0,1,0)</x:f>
        <x:v>0</x:v>
      </x:c>
      <x:c r="E2038" s="8" t="n">
        <x:f>IF(AND(F2037&lt;=9,AS2037&gt;=AR2037),1,0)</x:f>
        <x:v>0</x:v>
      </x:c>
      <x:c r="F2038" s="8" t="n">
        <x:f>MIN(10,F2037+E2038)</x:f>
        <x:v>10</x:v>
      </x:c>
      <x:c r="G2038" s="8" t="n">
        <x:f>MIN(F2038,9)+1</x:f>
        <x:v>10</x:v>
      </x:c>
      <x:c r="H2038" s="8" t="n">
        <x:f>IF(F2038&lt;=9,1,0)</x:f>
        <x:v>0</x:v>
      </x:c>
      <x:c r="I2038" s="9" t="n">
        <x:f>MIN(10,F2037+IF(AR2037&gt;0,MIN(1,AS2037/AR2037),1))</x:f>
        <x:v>10</x:v>
      </x:c>
      <x:c r="J2038" s="32" t="n">
        <x:f>INDEX(v01_FoodCap,G2038)*Arch_FoodCap*EXP(v01_CapsByProject*SUMPRODUCT((Cap_Point&lt;=I2038)*(Cap_Kind="Food")*Cap_Ln))</x:f>
        <x:v>12000</x:v>
      </x:c>
      <x:c r="K2038" s="32" t="n">
        <x:f>J2038*MIN(1,v01_LeanBase*EXP(v01_CapsByProject*SUMPRODUCT((Cap_Point&lt;=I2038)*(Cap_Kind="Lean")*Cap_Ln)))</x:f>
        <x:v>12000</x:v>
      </x:c>
      <x:c r="L2038" s="10" t="n">
        <x:f>INDEX(v01_HousingCap,G2038)*EXP(v01_CapsByProject*SUMPRODUCT((Cap_Point&lt;=I2038)*(Cap_Kind="Housing")*Cap_Ln))</x:f>
        <x:v>20000</x:v>
      </x:c>
      <x:c r="M2038" s="10" t="n">
        <x:f>INDEX(v01_GroupCap,G2038)*v01_CohesionFactor*EXP(v01_CapsByProject*SUMPRODUCT((Cap_Point&lt;=I2038)*(Cap_Kind="Group")*Cap_Ln))</x:f>
        <x:v>1000000</x:v>
      </x:c>
      <x:c r="N2038" s="32" t="n">
        <x:f>MIN(J2038,L2038,M2038)</x:f>
        <x:v>12000</x:v>
      </x:c>
      <x:c r="O2038" s="10" t="n">
        <x:f>AE2037*N2038</x:f>
        <x:v>180000</x:v>
      </x:c>
      <x:c r="P2038" s="9" t="n">
        <x:f>MIN(1,(AB2037/(AE2037*IF(v01_GroupInCrowding=1,N2038,MIN(J2038,L2038))))^v01_CrowdingExp)</x:f>
        <x:v>0.00024569414295285325</x:v>
      </x:c>
      <x:c r="Q2038" s="9" t="n">
        <x:f>IF(D2038=1,INDEX(v01_WinterMult,G2038),1)</x:f>
        <x:v>1</x:v>
      </x:c>
      <x:c r="R2038" s="9" t="n">
        <x:f>H2038*Z2037*v01_WomenShare*v01_BaseFertility*INDEX(v01_FertMult,G2038)*Arch_Fertility*(1-P2038)</x:f>
        <x:v>0</x:v>
      </x:c>
      <x:c r="S2038" s="9" t="n">
        <x:f>H2038*Y2037*INDEX(v01_MortChild,G2038)/4*Q2038</x:f>
        <x:v>0</x:v>
      </x:c>
      <x:c r="T2038" s="9" t="n">
        <x:f>H2038*Z2037*INDEX(v01_MortAdult,G2038)*Arch_AdultMort/4*Q2038</x:f>
        <x:v>0</x:v>
      </x:c>
      <x:c r="U2038" s="9" t="n">
        <x:f>H2038*AA2037*INDEX(v01_MortElder,G2038)/4*Q2038</x:f>
        <x:v>0</x:v>
      </x:c>
      <x:c r="V2038" s="9" t="n">
        <x:f>H2038*MAX(0,AB2037-O2038)*v01_OvercapLoss</x:f>
        <x:v>0</x:v>
      </x:c>
      <x:c r="W2038" s="9" t="n">
        <x:f>H2038*Y2037/(v01_ChildYears*4)</x:f>
        <x:v>0</x:v>
      </x:c>
      <x:c r="X2038" s="9" t="n">
        <x:f>H2038*Z2037/(v01_AdultYears*4)</x:f>
        <x:v>0</x:v>
      </x:c>
      <x:c r="Y2038" s="32" t="n">
        <x:f>Y2037+R2038-S2038-W2038-Y2037*V2038/AB2037</x:f>
        <x:v>14306.18539759397</x:v>
      </x:c>
      <x:c r="Z2038" s="32" t="n">
        <x:f>Z2037+W2038-X2038-T2038-Z2037*V2038/AB2037</x:f>
        <x:v>19354.456567879548</x:v>
      </x:c>
      <x:c r="AA2038" s="32" t="n">
        <x:f>AA2037+X2038-U2038-AA2037*V2038/AB2037</x:f>
        <x:v>11386.956063258198</x:v>
      </x:c>
      <x:c r="AB2038" s="10" t="n">
        <x:f>Y2038+Z2038+AA2038</x:f>
        <x:v>45047.59802873172</x:v>
      </x:c>
      <x:c r="AC2038" s="8" t="n">
        <x:f>IF(AND(v01_WinterTrigger=1,D2038=1,AB2037/AE2037&gt;=K2038),1,0)</x:f>
        <x:v>0</x:v>
      </x:c>
      <x:c r="AD2038" s="8" t="n">
        <x:f>H2038*IF(AND(OR(AB2037/AE2037&gt;=v01_FissionTrigger*N2038,AC2038=1),AB2037/AE2037*v01_DaughterShare&gt;=v01_MinDaughter),MAX(1,ROUND(AE2037*v01_FissionRate,0)),0)</x:f>
        <x:v>0</x:v>
      </x:c>
      <x:c r="AE2038" s="8" t="n">
        <x:f>IF(H2038=1,MAX(1,MIN(INDEX(v01_Smax,G2038),AE2037+AD2038)),AE2037)</x:f>
        <x:v>15</x:v>
      </x:c>
      <x:c r="AF2038" s="8" t="n">
        <x:f>MAX(0,AE2038-AE2037)</x:f>
        <x:v>0</x:v>
      </x:c>
      <x:c r="AG2038" s="9" t="str">
        <x:f>IF(AF2038&gt;0,B2038,"")</x:f>
      </x:c>
      <x:c r="AH2038" s="9" t="n">
        <x:f>IF(F2038&gt;=1,1,(1+v01_LowTiesShare*(AE2038-1))/AE2038)</x:f>
        <x:v>1</x:v>
      </x:c>
      <x:c r="AI2038" s="32" t="n">
        <x:f>(Z2038+v01_ElderCommons*INDEX(LM_Elder,G2038)*AA2038)*AH2038</x:f>
        <x:v>64139.732591141874</x:v>
      </x:c>
      <x:c r="AJ2038" s="32" t="n">
        <x:f>H2038*v01_CommonsCoef*AI2038^v01_CommonsExp*INDEX(LM_Commons,G2038)</x:f>
        <x:v>0</x:v>
      </x:c>
      <x:c r="AK2038" s="32" t="n">
        <x:f>H2038*v01_RoleScale*Arch_Roles*(AE2038*(INDEX(v01_ElderRolePerSett,G2038)*v01_OutElder*INDEX(LM_Elder,G2038)+INDEX(v01_ShamanPerSett,G2038)*v01_OutShaman)+Z2038*(INDEX(v01_PriestShare,G2038)*v01_OutPriest+INDEX(v01_ScribeShare,G2038)*v01_OutScribe*INDEX(LM_Scribe,G2038)+INDEX(v01_ScholarShare,G2038)*v01_OutScholar*INDEX(LM_Scholar,G2038)+INDEX(v01_ResearcherShare,G2038)*v01_OutResearcher*INDEX(LM_Researcher,G2038)))</x:f>
        <x:v>0</x:v>
      </x:c>
      <x:c r="AL2038" s="32" t="n">
        <x:f>H2038*v01_RoleScale*Arch_Roles*AE2038*INDEX(v01_MonasteryPerSett,G2038)*v01_OutMonastery*INDEX(LM_Monastery,G2038)</x:f>
        <x:v>0</x:v>
      </x:c>
      <x:c r="AM2038" s="32" t="n">
        <x:f>(AJ2038+AK2038+AL2038)/4*INDEX(LM_All,G2038)*INDEX(v01_Boon,G2038)*Arch_Insight</x:f>
        <x:v>0</x:v>
      </x:c>
      <x:c r="AN2038" s="32" t="n">
        <x:f>H2038*(v01_KHPerAdult*Z2038+v01_KHOfCommons*AJ2038/4*INDEX(LM_All,G2038))*v01_KHUsable*Arch_KH</x:f>
        <x:v>0</x:v>
      </x:c>
      <x:c r="AO2038" s="32" t="n">
        <x:f>MIN(AP2037+AN2038,AM2038*v01_KHMaxRatio)</x:f>
        <x:v>0</x:v>
      </x:c>
      <x:c r="AP2038" s="32" t="n">
        <x:f>AP2037+AN2038-AO2038</x:f>
        <x:v>0</x:v>
      </x:c>
      <x:c r="AQ2038" s="32" t="n">
        <x:f>AM2038+AO2038</x:f>
        <x:v>0</x:v>
      </x:c>
      <x:c r="AR2038" s="10" t="n">
        <x:f>IF(H2038=1,INDEX(v01_Req,G2038),0)</x:f>
        <x:v>0</x:v>
      </x:c>
      <x:c r="AS2038" s="32" t="n">
        <x:f>IF(H2038=1,IF(E2038=1,AS2037-AR2037,AS2037)+AQ2038,0)</x:f>
        <x:v>0</x:v>
      </x:c>
      <x:c r="AT2038" s="11" t="n">
        <x:f>IF(AR2038&gt;0,MIN(1,AS2038/AR2038),1)</x:f>
        <x:v>1</x:v>
      </x:c>
      <x:c r="AU2038" s="10" t="n">
        <x:f>AB2038/INDEX(v01_RepScale,G2038)</x:f>
        <x:v>90.09519605746344</x:v>
      </x:c>
      <x:c r="AV2038" s="32" t="n">
        <x:f>AM2038*60/v01_SeasonSeconds</x:f>
        <x:v>0</x:v>
      </x:c>
    </x:row>
    <x:row r="2039">
      <x:c r="A2039" s="8" t="n">
        <x:f>A2038+1</x:f>
        <x:v>2036</x:v>
      </x:c>
      <x:c r="B2039" s="9" t="n">
        <x:f>A2039*v01_SeasonSeconds/60</x:f>
        <x:v>509</x:v>
      </x:c>
      <x:c r="C2039" s="9" t="n">
        <x:f>A2039/4</x:f>
        <x:v>509</x:v>
      </x:c>
      <x:c r="D2039" s="8" t="n">
        <x:f>IF(MOD(A2039,4)=0,1,0)</x:f>
        <x:v>1</x:v>
      </x:c>
      <x:c r="E2039" s="8" t="n">
        <x:f>IF(AND(F2038&lt;=9,AS2038&gt;=AR2038),1,0)</x:f>
        <x:v>0</x:v>
      </x:c>
      <x:c r="F2039" s="8" t="n">
        <x:f>MIN(10,F2038+E2039)</x:f>
        <x:v>10</x:v>
      </x:c>
      <x:c r="G2039" s="8" t="n">
        <x:f>MIN(F2039,9)+1</x:f>
        <x:v>10</x:v>
      </x:c>
      <x:c r="H2039" s="8" t="n">
        <x:f>IF(F2039&lt;=9,1,0)</x:f>
        <x:v>0</x:v>
      </x:c>
      <x:c r="I2039" s="9" t="n">
        <x:f>MIN(10,F2038+IF(AR2038&gt;0,MIN(1,AS2038/AR2038),1))</x:f>
        <x:v>10</x:v>
      </x:c>
      <x:c r="J2039" s="32" t="n">
        <x:f>INDEX(v01_FoodCap,G2039)*Arch_FoodCap*EXP(v01_CapsByProject*SUMPRODUCT((Cap_Point&lt;=I2039)*(Cap_Kind="Food")*Cap_Ln))</x:f>
        <x:v>12000</x:v>
      </x:c>
      <x:c r="K2039" s="32" t="n">
        <x:f>J2039*MIN(1,v01_LeanBase*EXP(v01_CapsByProject*SUMPRODUCT((Cap_Point&lt;=I2039)*(Cap_Kind="Lean")*Cap_Ln)))</x:f>
        <x:v>12000</x:v>
      </x:c>
      <x:c r="L2039" s="10" t="n">
        <x:f>INDEX(v01_HousingCap,G2039)*EXP(v01_CapsByProject*SUMPRODUCT((Cap_Point&lt;=I2039)*(Cap_Kind="Housing")*Cap_Ln))</x:f>
        <x:v>20000</x:v>
      </x:c>
      <x:c r="M2039" s="10" t="n">
        <x:f>INDEX(v01_GroupCap,G2039)*v01_CohesionFactor*EXP(v01_CapsByProject*SUMPRODUCT((Cap_Point&lt;=I2039)*(Cap_Kind="Group")*Cap_Ln))</x:f>
        <x:v>1000000</x:v>
      </x:c>
      <x:c r="N2039" s="32" t="n">
        <x:f>MIN(J2039,L2039,M2039)</x:f>
        <x:v>12000</x:v>
      </x:c>
      <x:c r="O2039" s="10" t="n">
        <x:f>AE2038*N2039</x:f>
        <x:v>180000</x:v>
      </x:c>
      <x:c r="P2039" s="9" t="n">
        <x:f>MIN(1,(AB2038/(AE2038*IF(v01_GroupInCrowding=1,N2039,MIN(J2039,L2039))))^v01_CrowdingExp)</x:f>
        <x:v>0.00024569414295285325</x:v>
      </x:c>
      <x:c r="Q2039" s="9" t="n">
        <x:f>IF(D2039=1,INDEX(v01_WinterMult,G2039),1)</x:f>
        <x:v>1</x:v>
      </x:c>
      <x:c r="R2039" s="9" t="n">
        <x:f>H2039*Z2038*v01_WomenShare*v01_BaseFertility*INDEX(v01_FertMult,G2039)*Arch_Fertility*(1-P2039)</x:f>
        <x:v>0</x:v>
      </x:c>
      <x:c r="S2039" s="9" t="n">
        <x:f>H2039*Y2038*INDEX(v01_MortChild,G2039)/4*Q2039</x:f>
        <x:v>0</x:v>
      </x:c>
      <x:c r="T2039" s="9" t="n">
        <x:f>H2039*Z2038*INDEX(v01_MortAdult,G2039)*Arch_AdultMort/4*Q2039</x:f>
        <x:v>0</x:v>
      </x:c>
      <x:c r="U2039" s="9" t="n">
        <x:f>H2039*AA2038*INDEX(v01_MortElder,G2039)/4*Q2039</x:f>
        <x:v>0</x:v>
      </x:c>
      <x:c r="V2039" s="9" t="n">
        <x:f>H2039*MAX(0,AB2038-O2039)*v01_OvercapLoss</x:f>
        <x:v>0</x:v>
      </x:c>
      <x:c r="W2039" s="9" t="n">
        <x:f>H2039*Y2038/(v01_ChildYears*4)</x:f>
        <x:v>0</x:v>
      </x:c>
      <x:c r="X2039" s="9" t="n">
        <x:f>H2039*Z2038/(v01_AdultYears*4)</x:f>
        <x:v>0</x:v>
      </x:c>
      <x:c r="Y2039" s="32" t="n">
        <x:f>Y2038+R2039-S2039-W2039-Y2038*V2039/AB2038</x:f>
        <x:v>14306.18539759397</x:v>
      </x:c>
      <x:c r="Z2039" s="32" t="n">
        <x:f>Z2038+W2039-X2039-T2039-Z2038*V2039/AB2038</x:f>
        <x:v>19354.456567879548</x:v>
      </x:c>
      <x:c r="AA2039" s="32" t="n">
        <x:f>AA2038+X2039-U2039-AA2038*V2039/AB2038</x:f>
        <x:v>11386.956063258198</x:v>
      </x:c>
      <x:c r="AB2039" s="10" t="n">
        <x:f>Y2039+Z2039+AA2039</x:f>
        <x:v>45047.59802873172</x:v>
      </x:c>
      <x:c r="AC2039" s="8" t="n">
        <x:f>IF(AND(v01_WinterTrigger=1,D2039=1,AB2038/AE2038&gt;=K2039),1,0)</x:f>
        <x:v>0</x:v>
      </x:c>
      <x:c r="AD2039" s="8" t="n">
        <x:f>H2039*IF(AND(OR(AB2038/AE2038&gt;=v01_FissionTrigger*N2039,AC2039=1),AB2038/AE2038*v01_DaughterShare&gt;=v01_MinDaughter),MAX(1,ROUND(AE2038*v01_FissionRate,0)),0)</x:f>
        <x:v>0</x:v>
      </x:c>
      <x:c r="AE2039" s="8" t="n">
        <x:f>IF(H2039=1,MAX(1,MIN(INDEX(v01_Smax,G2039),AE2038+AD2039)),AE2038)</x:f>
        <x:v>15</x:v>
      </x:c>
      <x:c r="AF2039" s="8" t="n">
        <x:f>MAX(0,AE2039-AE2038)</x:f>
        <x:v>0</x:v>
      </x:c>
      <x:c r="AG2039" s="9" t="str">
        <x:f>IF(AF2039&gt;0,B2039,"")</x:f>
      </x:c>
      <x:c r="AH2039" s="9" t="n">
        <x:f>IF(F2039&gt;=1,1,(1+v01_LowTiesShare*(AE2039-1))/AE2039)</x:f>
        <x:v>1</x:v>
      </x:c>
      <x:c r="AI2039" s="32" t="n">
        <x:f>(Z2039+v01_ElderCommons*INDEX(LM_Elder,G2039)*AA2039)*AH2039</x:f>
        <x:v>64139.732591141874</x:v>
      </x:c>
      <x:c r="AJ2039" s="32" t="n">
        <x:f>H2039*v01_CommonsCoef*AI2039^v01_CommonsExp*INDEX(LM_Commons,G2039)</x:f>
        <x:v>0</x:v>
      </x:c>
      <x:c r="AK2039" s="32" t="n">
        <x:f>H2039*v01_RoleScale*Arch_Roles*(AE2039*(INDEX(v01_ElderRolePerSett,G2039)*v01_OutElder*INDEX(LM_Elder,G2039)+INDEX(v01_ShamanPerSett,G2039)*v01_OutShaman)+Z2039*(INDEX(v01_PriestShare,G2039)*v01_OutPriest+INDEX(v01_ScribeShare,G2039)*v01_OutScribe*INDEX(LM_Scribe,G2039)+INDEX(v01_ScholarShare,G2039)*v01_OutScholar*INDEX(LM_Scholar,G2039)+INDEX(v01_ResearcherShare,G2039)*v01_OutResearcher*INDEX(LM_Researcher,G2039)))</x:f>
        <x:v>0</x:v>
      </x:c>
      <x:c r="AL2039" s="32" t="n">
        <x:f>H2039*v01_RoleScale*Arch_Roles*AE2039*INDEX(v01_MonasteryPerSett,G2039)*v01_OutMonastery*INDEX(LM_Monastery,G2039)</x:f>
        <x:v>0</x:v>
      </x:c>
      <x:c r="AM2039" s="32" t="n">
        <x:f>(AJ2039+AK2039+AL2039)/4*INDEX(LM_All,G2039)*INDEX(v01_Boon,G2039)*Arch_Insight</x:f>
        <x:v>0</x:v>
      </x:c>
      <x:c r="AN2039" s="32" t="n">
        <x:f>H2039*(v01_KHPerAdult*Z2039+v01_KHOfCommons*AJ2039/4*INDEX(LM_All,G2039))*v01_KHUsable*Arch_KH</x:f>
        <x:v>0</x:v>
      </x:c>
      <x:c r="AO2039" s="32" t="n">
        <x:f>MIN(AP2038+AN2039,AM2039*v01_KHMaxRatio)</x:f>
        <x:v>0</x:v>
      </x:c>
      <x:c r="AP2039" s="32" t="n">
        <x:f>AP2038+AN2039-AO2039</x:f>
        <x:v>0</x:v>
      </x:c>
      <x:c r="AQ2039" s="32" t="n">
        <x:f>AM2039+AO2039</x:f>
        <x:v>0</x:v>
      </x:c>
      <x:c r="AR2039" s="10" t="n">
        <x:f>IF(H2039=1,INDEX(v01_Req,G2039),0)</x:f>
        <x:v>0</x:v>
      </x:c>
      <x:c r="AS2039" s="32" t="n">
        <x:f>IF(H2039=1,IF(E2039=1,AS2038-AR2038,AS2038)+AQ2039,0)</x:f>
        <x:v>0</x:v>
      </x:c>
      <x:c r="AT2039" s="11" t="n">
        <x:f>IF(AR2039&gt;0,MIN(1,AS2039/AR2039),1)</x:f>
        <x:v>1</x:v>
      </x:c>
      <x:c r="AU2039" s="10" t="n">
        <x:f>AB2039/INDEX(v01_RepScale,G2039)</x:f>
        <x:v>90.09519605746344</x:v>
      </x:c>
      <x:c r="AV2039" s="32" t="n">
        <x:f>AM2039*60/v01_SeasonSeconds</x:f>
        <x:v>0</x:v>
      </x:c>
    </x:row>
    <x:row r="2040">
      <x:c r="A2040" s="8" t="n">
        <x:f>A2039+1</x:f>
        <x:v>2037</x:v>
      </x:c>
      <x:c r="B2040" s="9" t="n">
        <x:f>A2040*v01_SeasonSeconds/60</x:f>
        <x:v>509.25</x:v>
      </x:c>
      <x:c r="C2040" s="9" t="n">
        <x:f>A2040/4</x:f>
        <x:v>509.25</x:v>
      </x:c>
      <x:c r="D2040" s="8" t="n">
        <x:f>IF(MOD(A2040,4)=0,1,0)</x:f>
        <x:v>0</x:v>
      </x:c>
      <x:c r="E2040" s="8" t="n">
        <x:f>IF(AND(F2039&lt;=9,AS2039&gt;=AR2039),1,0)</x:f>
        <x:v>0</x:v>
      </x:c>
      <x:c r="F2040" s="8" t="n">
        <x:f>MIN(10,F2039+E2040)</x:f>
        <x:v>10</x:v>
      </x:c>
      <x:c r="G2040" s="8" t="n">
        <x:f>MIN(F2040,9)+1</x:f>
        <x:v>10</x:v>
      </x:c>
      <x:c r="H2040" s="8" t="n">
        <x:f>IF(F2040&lt;=9,1,0)</x:f>
        <x:v>0</x:v>
      </x:c>
      <x:c r="I2040" s="9" t="n">
        <x:f>MIN(10,F2039+IF(AR2039&gt;0,MIN(1,AS2039/AR2039),1))</x:f>
        <x:v>10</x:v>
      </x:c>
      <x:c r="J2040" s="32" t="n">
        <x:f>INDEX(v01_FoodCap,G2040)*Arch_FoodCap*EXP(v01_CapsByProject*SUMPRODUCT((Cap_Point&lt;=I2040)*(Cap_Kind="Food")*Cap_Ln))</x:f>
        <x:v>12000</x:v>
      </x:c>
      <x:c r="K2040" s="32" t="n">
        <x:f>J2040*MIN(1,v01_LeanBase*EXP(v01_CapsByProject*SUMPRODUCT((Cap_Point&lt;=I2040)*(Cap_Kind="Lean")*Cap_Ln)))</x:f>
        <x:v>12000</x:v>
      </x:c>
      <x:c r="L2040" s="10" t="n">
        <x:f>INDEX(v01_HousingCap,G2040)*EXP(v01_CapsByProject*SUMPRODUCT((Cap_Point&lt;=I2040)*(Cap_Kind="Housing")*Cap_Ln))</x:f>
        <x:v>20000</x:v>
      </x:c>
      <x:c r="M2040" s="10" t="n">
        <x:f>INDEX(v01_GroupCap,G2040)*v01_CohesionFactor*EXP(v01_CapsByProject*SUMPRODUCT((Cap_Point&lt;=I2040)*(Cap_Kind="Group")*Cap_Ln))</x:f>
        <x:v>1000000</x:v>
      </x:c>
      <x:c r="N2040" s="32" t="n">
        <x:f>MIN(J2040,L2040,M2040)</x:f>
        <x:v>12000</x:v>
      </x:c>
      <x:c r="O2040" s="10" t="n">
        <x:f>AE2039*N2040</x:f>
        <x:v>180000</x:v>
      </x:c>
      <x:c r="P2040" s="9" t="n">
        <x:f>MIN(1,(AB2039/(AE2039*IF(v01_GroupInCrowding=1,N2040,MIN(J2040,L2040))))^v01_CrowdingExp)</x:f>
        <x:v>0.00024569414295285325</x:v>
      </x:c>
      <x:c r="Q2040" s="9" t="n">
        <x:f>IF(D2040=1,INDEX(v01_WinterMult,G2040),1)</x:f>
        <x:v>1</x:v>
      </x:c>
      <x:c r="R2040" s="9" t="n">
        <x:f>H2040*Z2039*v01_WomenShare*v01_BaseFertility*INDEX(v01_FertMult,G2040)*Arch_Fertility*(1-P2040)</x:f>
        <x:v>0</x:v>
      </x:c>
      <x:c r="S2040" s="9" t="n">
        <x:f>H2040*Y2039*INDEX(v01_MortChild,G2040)/4*Q2040</x:f>
        <x:v>0</x:v>
      </x:c>
      <x:c r="T2040" s="9" t="n">
        <x:f>H2040*Z2039*INDEX(v01_MortAdult,G2040)*Arch_AdultMort/4*Q2040</x:f>
        <x:v>0</x:v>
      </x:c>
      <x:c r="U2040" s="9" t="n">
        <x:f>H2040*AA2039*INDEX(v01_MortElder,G2040)/4*Q2040</x:f>
        <x:v>0</x:v>
      </x:c>
      <x:c r="V2040" s="9" t="n">
        <x:f>H2040*MAX(0,AB2039-O2040)*v01_OvercapLoss</x:f>
        <x:v>0</x:v>
      </x:c>
      <x:c r="W2040" s="9" t="n">
        <x:f>H2040*Y2039/(v01_ChildYears*4)</x:f>
        <x:v>0</x:v>
      </x:c>
      <x:c r="X2040" s="9" t="n">
        <x:f>H2040*Z2039/(v01_AdultYears*4)</x:f>
        <x:v>0</x:v>
      </x:c>
      <x:c r="Y2040" s="32" t="n">
        <x:f>Y2039+R2040-S2040-W2040-Y2039*V2040/AB2039</x:f>
        <x:v>14306.18539759397</x:v>
      </x:c>
      <x:c r="Z2040" s="32" t="n">
        <x:f>Z2039+W2040-X2040-T2040-Z2039*V2040/AB2039</x:f>
        <x:v>19354.456567879548</x:v>
      </x:c>
      <x:c r="AA2040" s="32" t="n">
        <x:f>AA2039+X2040-U2040-AA2039*V2040/AB2039</x:f>
        <x:v>11386.956063258198</x:v>
      </x:c>
      <x:c r="AB2040" s="10" t="n">
        <x:f>Y2040+Z2040+AA2040</x:f>
        <x:v>45047.59802873172</x:v>
      </x:c>
      <x:c r="AC2040" s="8" t="n">
        <x:f>IF(AND(v01_WinterTrigger=1,D2040=1,AB2039/AE2039&gt;=K2040),1,0)</x:f>
        <x:v>0</x:v>
      </x:c>
      <x:c r="AD2040" s="8" t="n">
        <x:f>H2040*IF(AND(OR(AB2039/AE2039&gt;=v01_FissionTrigger*N2040,AC2040=1),AB2039/AE2039*v01_DaughterShare&gt;=v01_MinDaughter),MAX(1,ROUND(AE2039*v01_FissionRate,0)),0)</x:f>
        <x:v>0</x:v>
      </x:c>
      <x:c r="AE2040" s="8" t="n">
        <x:f>IF(H2040=1,MAX(1,MIN(INDEX(v01_Smax,G2040),AE2039+AD2040)),AE2039)</x:f>
        <x:v>15</x:v>
      </x:c>
      <x:c r="AF2040" s="8" t="n">
        <x:f>MAX(0,AE2040-AE2039)</x:f>
        <x:v>0</x:v>
      </x:c>
      <x:c r="AG2040" s="9" t="str">
        <x:f>IF(AF2040&gt;0,B2040,"")</x:f>
      </x:c>
      <x:c r="AH2040" s="9" t="n">
        <x:f>IF(F2040&gt;=1,1,(1+v01_LowTiesShare*(AE2040-1))/AE2040)</x:f>
        <x:v>1</x:v>
      </x:c>
      <x:c r="AI2040" s="32" t="n">
        <x:f>(Z2040+v01_ElderCommons*INDEX(LM_Elder,G2040)*AA2040)*AH2040</x:f>
        <x:v>64139.732591141874</x:v>
      </x:c>
      <x:c r="AJ2040" s="32" t="n">
        <x:f>H2040*v01_CommonsCoef*AI2040^v01_CommonsExp*INDEX(LM_Commons,G2040)</x:f>
        <x:v>0</x:v>
      </x:c>
      <x:c r="AK2040" s="32" t="n">
        <x:f>H2040*v01_RoleScale*Arch_Roles*(AE2040*(INDEX(v01_ElderRolePerSett,G2040)*v01_OutElder*INDEX(LM_Elder,G2040)+INDEX(v01_ShamanPerSett,G2040)*v01_OutShaman)+Z2040*(INDEX(v01_PriestShare,G2040)*v01_OutPriest+INDEX(v01_ScribeShare,G2040)*v01_OutScribe*INDEX(LM_Scribe,G2040)+INDEX(v01_ScholarShare,G2040)*v01_OutScholar*INDEX(LM_Scholar,G2040)+INDEX(v01_ResearcherShare,G2040)*v01_OutResearcher*INDEX(LM_Researcher,G2040)))</x:f>
        <x:v>0</x:v>
      </x:c>
      <x:c r="AL2040" s="32" t="n">
        <x:f>H2040*v01_RoleScale*Arch_Roles*AE2040*INDEX(v01_MonasteryPerSett,G2040)*v01_OutMonastery*INDEX(LM_Monastery,G2040)</x:f>
        <x:v>0</x:v>
      </x:c>
      <x:c r="AM2040" s="32" t="n">
        <x:f>(AJ2040+AK2040+AL2040)/4*INDEX(LM_All,G2040)*INDEX(v01_Boon,G2040)*Arch_Insight</x:f>
        <x:v>0</x:v>
      </x:c>
      <x:c r="AN2040" s="32" t="n">
        <x:f>H2040*(v01_KHPerAdult*Z2040+v01_KHOfCommons*AJ2040/4*INDEX(LM_All,G2040))*v01_KHUsable*Arch_KH</x:f>
        <x:v>0</x:v>
      </x:c>
      <x:c r="AO2040" s="32" t="n">
        <x:f>MIN(AP2039+AN2040,AM2040*v01_KHMaxRatio)</x:f>
        <x:v>0</x:v>
      </x:c>
      <x:c r="AP2040" s="32" t="n">
        <x:f>AP2039+AN2040-AO2040</x:f>
        <x:v>0</x:v>
      </x:c>
      <x:c r="AQ2040" s="32" t="n">
        <x:f>AM2040+AO2040</x:f>
        <x:v>0</x:v>
      </x:c>
      <x:c r="AR2040" s="10" t="n">
        <x:f>IF(H2040=1,INDEX(v01_Req,G2040),0)</x:f>
        <x:v>0</x:v>
      </x:c>
      <x:c r="AS2040" s="32" t="n">
        <x:f>IF(H2040=1,IF(E2040=1,AS2039-AR2039,AS2039)+AQ2040,0)</x:f>
        <x:v>0</x:v>
      </x:c>
      <x:c r="AT2040" s="11" t="n">
        <x:f>IF(AR2040&gt;0,MIN(1,AS2040/AR2040),1)</x:f>
        <x:v>1</x:v>
      </x:c>
      <x:c r="AU2040" s="10" t="n">
        <x:f>AB2040/INDEX(v01_RepScale,G2040)</x:f>
        <x:v>90.09519605746344</x:v>
      </x:c>
      <x:c r="AV2040" s="32" t="n">
        <x:f>AM2040*60/v01_SeasonSeconds</x:f>
        <x:v>0</x:v>
      </x:c>
    </x:row>
    <x:row r="2041">
      <x:c r="A2041" s="8" t="n">
        <x:f>A2040+1</x:f>
        <x:v>2038</x:v>
      </x:c>
      <x:c r="B2041" s="9" t="n">
        <x:f>A2041*v01_SeasonSeconds/60</x:f>
        <x:v>509.5</x:v>
      </x:c>
      <x:c r="C2041" s="9" t="n">
        <x:f>A2041/4</x:f>
        <x:v>509.5</x:v>
      </x:c>
      <x:c r="D2041" s="8" t="n">
        <x:f>IF(MOD(A2041,4)=0,1,0)</x:f>
        <x:v>0</x:v>
      </x:c>
      <x:c r="E2041" s="8" t="n">
        <x:f>IF(AND(F2040&lt;=9,AS2040&gt;=AR2040),1,0)</x:f>
        <x:v>0</x:v>
      </x:c>
      <x:c r="F2041" s="8" t="n">
        <x:f>MIN(10,F2040+E2041)</x:f>
        <x:v>10</x:v>
      </x:c>
      <x:c r="G2041" s="8" t="n">
        <x:f>MIN(F2041,9)+1</x:f>
        <x:v>10</x:v>
      </x:c>
      <x:c r="H2041" s="8" t="n">
        <x:f>IF(F2041&lt;=9,1,0)</x:f>
        <x:v>0</x:v>
      </x:c>
      <x:c r="I2041" s="9" t="n">
        <x:f>MIN(10,F2040+IF(AR2040&gt;0,MIN(1,AS2040/AR2040),1))</x:f>
        <x:v>10</x:v>
      </x:c>
      <x:c r="J2041" s="32" t="n">
        <x:f>INDEX(v01_FoodCap,G2041)*Arch_FoodCap*EXP(v01_CapsByProject*SUMPRODUCT((Cap_Point&lt;=I2041)*(Cap_Kind="Food")*Cap_Ln))</x:f>
        <x:v>12000</x:v>
      </x:c>
      <x:c r="K2041" s="32" t="n">
        <x:f>J2041*MIN(1,v01_LeanBase*EXP(v01_CapsByProject*SUMPRODUCT((Cap_Point&lt;=I2041)*(Cap_Kind="Lean")*Cap_Ln)))</x:f>
        <x:v>12000</x:v>
      </x:c>
      <x:c r="L2041" s="10" t="n">
        <x:f>INDEX(v01_HousingCap,G2041)*EXP(v01_CapsByProject*SUMPRODUCT((Cap_Point&lt;=I2041)*(Cap_Kind="Housing")*Cap_Ln))</x:f>
        <x:v>20000</x:v>
      </x:c>
      <x:c r="M2041" s="10" t="n">
        <x:f>INDEX(v01_GroupCap,G2041)*v01_CohesionFactor*EXP(v01_CapsByProject*SUMPRODUCT((Cap_Point&lt;=I2041)*(Cap_Kind="Group")*Cap_Ln))</x:f>
        <x:v>1000000</x:v>
      </x:c>
      <x:c r="N2041" s="32" t="n">
        <x:f>MIN(J2041,L2041,M2041)</x:f>
        <x:v>12000</x:v>
      </x:c>
      <x:c r="O2041" s="10" t="n">
        <x:f>AE2040*N2041</x:f>
        <x:v>180000</x:v>
      </x:c>
      <x:c r="P2041" s="9" t="n">
        <x:f>MIN(1,(AB2040/(AE2040*IF(v01_GroupInCrowding=1,N2041,MIN(J2041,L2041))))^v01_CrowdingExp)</x:f>
        <x:v>0.00024569414295285325</x:v>
      </x:c>
      <x:c r="Q2041" s="9" t="n">
        <x:f>IF(D2041=1,INDEX(v01_WinterMult,G2041),1)</x:f>
        <x:v>1</x:v>
      </x:c>
      <x:c r="R2041" s="9" t="n">
        <x:f>H2041*Z2040*v01_WomenShare*v01_BaseFertility*INDEX(v01_FertMult,G2041)*Arch_Fertility*(1-P2041)</x:f>
        <x:v>0</x:v>
      </x:c>
      <x:c r="S2041" s="9" t="n">
        <x:f>H2041*Y2040*INDEX(v01_MortChild,G2041)/4*Q2041</x:f>
        <x:v>0</x:v>
      </x:c>
      <x:c r="T2041" s="9" t="n">
        <x:f>H2041*Z2040*INDEX(v01_MortAdult,G2041)*Arch_AdultMort/4*Q2041</x:f>
        <x:v>0</x:v>
      </x:c>
      <x:c r="U2041" s="9" t="n">
        <x:f>H2041*AA2040*INDEX(v01_MortElder,G2041)/4*Q2041</x:f>
        <x:v>0</x:v>
      </x:c>
      <x:c r="V2041" s="9" t="n">
        <x:f>H2041*MAX(0,AB2040-O2041)*v01_OvercapLoss</x:f>
        <x:v>0</x:v>
      </x:c>
      <x:c r="W2041" s="9" t="n">
        <x:f>H2041*Y2040/(v01_ChildYears*4)</x:f>
        <x:v>0</x:v>
      </x:c>
      <x:c r="X2041" s="9" t="n">
        <x:f>H2041*Z2040/(v01_AdultYears*4)</x:f>
        <x:v>0</x:v>
      </x:c>
      <x:c r="Y2041" s="32" t="n">
        <x:f>Y2040+R2041-S2041-W2041-Y2040*V2041/AB2040</x:f>
        <x:v>14306.18539759397</x:v>
      </x:c>
      <x:c r="Z2041" s="32" t="n">
        <x:f>Z2040+W2041-X2041-T2041-Z2040*V2041/AB2040</x:f>
        <x:v>19354.456567879548</x:v>
      </x:c>
      <x:c r="AA2041" s="32" t="n">
        <x:f>AA2040+X2041-U2041-AA2040*V2041/AB2040</x:f>
        <x:v>11386.956063258198</x:v>
      </x:c>
      <x:c r="AB2041" s="10" t="n">
        <x:f>Y2041+Z2041+AA2041</x:f>
        <x:v>45047.59802873172</x:v>
      </x:c>
      <x:c r="AC2041" s="8" t="n">
        <x:f>IF(AND(v01_WinterTrigger=1,D2041=1,AB2040/AE2040&gt;=K2041),1,0)</x:f>
        <x:v>0</x:v>
      </x:c>
      <x:c r="AD2041" s="8" t="n">
        <x:f>H2041*IF(AND(OR(AB2040/AE2040&gt;=v01_FissionTrigger*N2041,AC2041=1),AB2040/AE2040*v01_DaughterShare&gt;=v01_MinDaughter),MAX(1,ROUND(AE2040*v01_FissionRate,0)),0)</x:f>
        <x:v>0</x:v>
      </x:c>
      <x:c r="AE2041" s="8" t="n">
        <x:f>IF(H2041=1,MAX(1,MIN(INDEX(v01_Smax,G2041),AE2040+AD2041)),AE2040)</x:f>
        <x:v>15</x:v>
      </x:c>
      <x:c r="AF2041" s="8" t="n">
        <x:f>MAX(0,AE2041-AE2040)</x:f>
        <x:v>0</x:v>
      </x:c>
      <x:c r="AG2041" s="9" t="str">
        <x:f>IF(AF2041&gt;0,B2041,"")</x:f>
      </x:c>
      <x:c r="AH2041" s="9" t="n">
        <x:f>IF(F2041&gt;=1,1,(1+v01_LowTiesShare*(AE2041-1))/AE2041)</x:f>
        <x:v>1</x:v>
      </x:c>
      <x:c r="AI2041" s="32" t="n">
        <x:f>(Z2041+v01_ElderCommons*INDEX(LM_Elder,G2041)*AA2041)*AH2041</x:f>
        <x:v>64139.732591141874</x:v>
      </x:c>
      <x:c r="AJ2041" s="32" t="n">
        <x:f>H2041*v01_CommonsCoef*AI2041^v01_CommonsExp*INDEX(LM_Commons,G2041)</x:f>
        <x:v>0</x:v>
      </x:c>
      <x:c r="AK2041" s="32" t="n">
        <x:f>H2041*v01_RoleScale*Arch_Roles*(AE2041*(INDEX(v01_ElderRolePerSett,G2041)*v01_OutElder*INDEX(LM_Elder,G2041)+INDEX(v01_ShamanPerSett,G2041)*v01_OutShaman)+Z2041*(INDEX(v01_PriestShare,G2041)*v01_OutPriest+INDEX(v01_ScribeShare,G2041)*v01_OutScribe*INDEX(LM_Scribe,G2041)+INDEX(v01_ScholarShare,G2041)*v01_OutScholar*INDEX(LM_Scholar,G2041)+INDEX(v01_ResearcherShare,G2041)*v01_OutResearcher*INDEX(LM_Researcher,G2041)))</x:f>
        <x:v>0</x:v>
      </x:c>
      <x:c r="AL2041" s="32" t="n">
        <x:f>H2041*v01_RoleScale*Arch_Roles*AE2041*INDEX(v01_MonasteryPerSett,G2041)*v01_OutMonastery*INDEX(LM_Monastery,G2041)</x:f>
        <x:v>0</x:v>
      </x:c>
      <x:c r="AM2041" s="32" t="n">
        <x:f>(AJ2041+AK2041+AL2041)/4*INDEX(LM_All,G2041)*INDEX(v01_Boon,G2041)*Arch_Insight</x:f>
        <x:v>0</x:v>
      </x:c>
      <x:c r="AN2041" s="32" t="n">
        <x:f>H2041*(v01_KHPerAdult*Z2041+v01_KHOfCommons*AJ2041/4*INDEX(LM_All,G2041))*v01_KHUsable*Arch_KH</x:f>
        <x:v>0</x:v>
      </x:c>
      <x:c r="AO2041" s="32" t="n">
        <x:f>MIN(AP2040+AN2041,AM2041*v01_KHMaxRatio)</x:f>
        <x:v>0</x:v>
      </x:c>
      <x:c r="AP2041" s="32" t="n">
        <x:f>AP2040+AN2041-AO2041</x:f>
        <x:v>0</x:v>
      </x:c>
      <x:c r="AQ2041" s="32" t="n">
        <x:f>AM2041+AO2041</x:f>
        <x:v>0</x:v>
      </x:c>
      <x:c r="AR2041" s="10" t="n">
        <x:f>IF(H2041=1,INDEX(v01_Req,G2041),0)</x:f>
        <x:v>0</x:v>
      </x:c>
      <x:c r="AS2041" s="32" t="n">
        <x:f>IF(H2041=1,IF(E2041=1,AS2040-AR2040,AS2040)+AQ2041,0)</x:f>
        <x:v>0</x:v>
      </x:c>
      <x:c r="AT2041" s="11" t="n">
        <x:f>IF(AR2041&gt;0,MIN(1,AS2041/AR2041),1)</x:f>
        <x:v>1</x:v>
      </x:c>
      <x:c r="AU2041" s="10" t="n">
        <x:f>AB2041/INDEX(v01_RepScale,G2041)</x:f>
        <x:v>90.09519605746344</x:v>
      </x:c>
      <x:c r="AV2041" s="32" t="n">
        <x:f>AM2041*60/v01_SeasonSeconds</x:f>
        <x:v>0</x:v>
      </x:c>
    </x:row>
    <x:row r="2042">
      <x:c r="A2042" s="8" t="n">
        <x:f>A2041+1</x:f>
        <x:v>2039</x:v>
      </x:c>
      <x:c r="B2042" s="9" t="n">
        <x:f>A2042*v01_SeasonSeconds/60</x:f>
        <x:v>509.75</x:v>
      </x:c>
      <x:c r="C2042" s="9" t="n">
        <x:f>A2042/4</x:f>
        <x:v>509.75</x:v>
      </x:c>
      <x:c r="D2042" s="8" t="n">
        <x:f>IF(MOD(A2042,4)=0,1,0)</x:f>
        <x:v>0</x:v>
      </x:c>
      <x:c r="E2042" s="8" t="n">
        <x:f>IF(AND(F2041&lt;=9,AS2041&gt;=AR2041),1,0)</x:f>
        <x:v>0</x:v>
      </x:c>
      <x:c r="F2042" s="8" t="n">
        <x:f>MIN(10,F2041+E2042)</x:f>
        <x:v>10</x:v>
      </x:c>
      <x:c r="G2042" s="8" t="n">
        <x:f>MIN(F2042,9)+1</x:f>
        <x:v>10</x:v>
      </x:c>
      <x:c r="H2042" s="8" t="n">
        <x:f>IF(F2042&lt;=9,1,0)</x:f>
        <x:v>0</x:v>
      </x:c>
      <x:c r="I2042" s="9" t="n">
        <x:f>MIN(10,F2041+IF(AR2041&gt;0,MIN(1,AS2041/AR2041),1))</x:f>
        <x:v>10</x:v>
      </x:c>
      <x:c r="J2042" s="32" t="n">
        <x:f>INDEX(v01_FoodCap,G2042)*Arch_FoodCap*EXP(v01_CapsByProject*SUMPRODUCT((Cap_Point&lt;=I2042)*(Cap_Kind="Food")*Cap_Ln))</x:f>
        <x:v>12000</x:v>
      </x:c>
      <x:c r="K2042" s="32" t="n">
        <x:f>J2042*MIN(1,v01_LeanBase*EXP(v01_CapsByProject*SUMPRODUCT((Cap_Point&lt;=I2042)*(Cap_Kind="Lean")*Cap_Ln)))</x:f>
        <x:v>12000</x:v>
      </x:c>
      <x:c r="L2042" s="10" t="n">
        <x:f>INDEX(v01_HousingCap,G2042)*EXP(v01_CapsByProject*SUMPRODUCT((Cap_Point&lt;=I2042)*(Cap_Kind="Housing")*Cap_Ln))</x:f>
        <x:v>20000</x:v>
      </x:c>
      <x:c r="M2042" s="10" t="n">
        <x:f>INDEX(v01_GroupCap,G2042)*v01_CohesionFactor*EXP(v01_CapsByProject*SUMPRODUCT((Cap_Point&lt;=I2042)*(Cap_Kind="Group")*Cap_Ln))</x:f>
        <x:v>1000000</x:v>
      </x:c>
      <x:c r="N2042" s="32" t="n">
        <x:f>MIN(J2042,L2042,M2042)</x:f>
        <x:v>12000</x:v>
      </x:c>
      <x:c r="O2042" s="10" t="n">
        <x:f>AE2041*N2042</x:f>
        <x:v>180000</x:v>
      </x:c>
      <x:c r="P2042" s="9" t="n">
        <x:f>MIN(1,(AB2041/(AE2041*IF(v01_GroupInCrowding=1,N2042,MIN(J2042,L2042))))^v01_CrowdingExp)</x:f>
        <x:v>0.00024569414295285325</x:v>
      </x:c>
      <x:c r="Q2042" s="9" t="n">
        <x:f>IF(D2042=1,INDEX(v01_WinterMult,G2042),1)</x:f>
        <x:v>1</x:v>
      </x:c>
      <x:c r="R2042" s="9" t="n">
        <x:f>H2042*Z2041*v01_WomenShare*v01_BaseFertility*INDEX(v01_FertMult,G2042)*Arch_Fertility*(1-P2042)</x:f>
        <x:v>0</x:v>
      </x:c>
      <x:c r="S2042" s="9" t="n">
        <x:f>H2042*Y2041*INDEX(v01_MortChild,G2042)/4*Q2042</x:f>
        <x:v>0</x:v>
      </x:c>
      <x:c r="T2042" s="9" t="n">
        <x:f>H2042*Z2041*INDEX(v01_MortAdult,G2042)*Arch_AdultMort/4*Q2042</x:f>
        <x:v>0</x:v>
      </x:c>
      <x:c r="U2042" s="9" t="n">
        <x:f>H2042*AA2041*INDEX(v01_MortElder,G2042)/4*Q2042</x:f>
        <x:v>0</x:v>
      </x:c>
      <x:c r="V2042" s="9" t="n">
        <x:f>H2042*MAX(0,AB2041-O2042)*v01_OvercapLoss</x:f>
        <x:v>0</x:v>
      </x:c>
      <x:c r="W2042" s="9" t="n">
        <x:f>H2042*Y2041/(v01_ChildYears*4)</x:f>
        <x:v>0</x:v>
      </x:c>
      <x:c r="X2042" s="9" t="n">
        <x:f>H2042*Z2041/(v01_AdultYears*4)</x:f>
        <x:v>0</x:v>
      </x:c>
      <x:c r="Y2042" s="32" t="n">
        <x:f>Y2041+R2042-S2042-W2042-Y2041*V2042/AB2041</x:f>
        <x:v>14306.18539759397</x:v>
      </x:c>
      <x:c r="Z2042" s="32" t="n">
        <x:f>Z2041+W2042-X2042-T2042-Z2041*V2042/AB2041</x:f>
        <x:v>19354.456567879548</x:v>
      </x:c>
      <x:c r="AA2042" s="32" t="n">
        <x:f>AA2041+X2042-U2042-AA2041*V2042/AB2041</x:f>
        <x:v>11386.956063258198</x:v>
      </x:c>
      <x:c r="AB2042" s="10" t="n">
        <x:f>Y2042+Z2042+AA2042</x:f>
        <x:v>45047.59802873172</x:v>
      </x:c>
      <x:c r="AC2042" s="8" t="n">
        <x:f>IF(AND(v01_WinterTrigger=1,D2042=1,AB2041/AE2041&gt;=K2042),1,0)</x:f>
        <x:v>0</x:v>
      </x:c>
      <x:c r="AD2042" s="8" t="n">
        <x:f>H2042*IF(AND(OR(AB2041/AE2041&gt;=v01_FissionTrigger*N2042,AC2042=1),AB2041/AE2041*v01_DaughterShare&gt;=v01_MinDaughter),MAX(1,ROUND(AE2041*v01_FissionRate,0)),0)</x:f>
        <x:v>0</x:v>
      </x:c>
      <x:c r="AE2042" s="8" t="n">
        <x:f>IF(H2042=1,MAX(1,MIN(INDEX(v01_Smax,G2042),AE2041+AD2042)),AE2041)</x:f>
        <x:v>15</x:v>
      </x:c>
      <x:c r="AF2042" s="8" t="n">
        <x:f>MAX(0,AE2042-AE2041)</x:f>
        <x:v>0</x:v>
      </x:c>
      <x:c r="AG2042" s="9" t="str">
        <x:f>IF(AF2042&gt;0,B2042,"")</x:f>
      </x:c>
      <x:c r="AH2042" s="9" t="n">
        <x:f>IF(F2042&gt;=1,1,(1+v01_LowTiesShare*(AE2042-1))/AE2042)</x:f>
        <x:v>1</x:v>
      </x:c>
      <x:c r="AI2042" s="32" t="n">
        <x:f>(Z2042+v01_ElderCommons*INDEX(LM_Elder,G2042)*AA2042)*AH2042</x:f>
        <x:v>64139.732591141874</x:v>
      </x:c>
      <x:c r="AJ2042" s="32" t="n">
        <x:f>H2042*v01_CommonsCoef*AI2042^v01_CommonsExp*INDEX(LM_Commons,G2042)</x:f>
        <x:v>0</x:v>
      </x:c>
      <x:c r="AK2042" s="32" t="n">
        <x:f>H2042*v01_RoleScale*Arch_Roles*(AE2042*(INDEX(v01_ElderRolePerSett,G2042)*v01_OutElder*INDEX(LM_Elder,G2042)+INDEX(v01_ShamanPerSett,G2042)*v01_OutShaman)+Z2042*(INDEX(v01_PriestShare,G2042)*v01_OutPriest+INDEX(v01_ScribeShare,G2042)*v01_OutScribe*INDEX(LM_Scribe,G2042)+INDEX(v01_ScholarShare,G2042)*v01_OutScholar*INDEX(LM_Scholar,G2042)+INDEX(v01_ResearcherShare,G2042)*v01_OutResearcher*INDEX(LM_Researcher,G2042)))</x:f>
        <x:v>0</x:v>
      </x:c>
      <x:c r="AL2042" s="32" t="n">
        <x:f>H2042*v01_RoleScale*Arch_Roles*AE2042*INDEX(v01_MonasteryPerSett,G2042)*v01_OutMonastery*INDEX(LM_Monastery,G2042)</x:f>
        <x:v>0</x:v>
      </x:c>
      <x:c r="AM2042" s="32" t="n">
        <x:f>(AJ2042+AK2042+AL2042)/4*INDEX(LM_All,G2042)*INDEX(v01_Boon,G2042)*Arch_Insight</x:f>
        <x:v>0</x:v>
      </x:c>
      <x:c r="AN2042" s="32" t="n">
        <x:f>H2042*(v01_KHPerAdult*Z2042+v01_KHOfCommons*AJ2042/4*INDEX(LM_All,G2042))*v01_KHUsable*Arch_KH</x:f>
        <x:v>0</x:v>
      </x:c>
      <x:c r="AO2042" s="32" t="n">
        <x:f>MIN(AP2041+AN2042,AM2042*v01_KHMaxRatio)</x:f>
        <x:v>0</x:v>
      </x:c>
      <x:c r="AP2042" s="32" t="n">
        <x:f>AP2041+AN2042-AO2042</x:f>
        <x:v>0</x:v>
      </x:c>
      <x:c r="AQ2042" s="32" t="n">
        <x:f>AM2042+AO2042</x:f>
        <x:v>0</x:v>
      </x:c>
      <x:c r="AR2042" s="10" t="n">
        <x:f>IF(H2042=1,INDEX(v01_Req,G2042),0)</x:f>
        <x:v>0</x:v>
      </x:c>
      <x:c r="AS2042" s="32" t="n">
        <x:f>IF(H2042=1,IF(E2042=1,AS2041-AR2041,AS2041)+AQ2042,0)</x:f>
        <x:v>0</x:v>
      </x:c>
      <x:c r="AT2042" s="11" t="n">
        <x:f>IF(AR2042&gt;0,MIN(1,AS2042/AR2042),1)</x:f>
        <x:v>1</x:v>
      </x:c>
      <x:c r="AU2042" s="10" t="n">
        <x:f>AB2042/INDEX(v01_RepScale,G2042)</x:f>
        <x:v>90.09519605746344</x:v>
      </x:c>
      <x:c r="AV2042" s="32" t="n">
        <x:f>AM2042*60/v01_SeasonSeconds</x:f>
        <x:v>0</x:v>
      </x:c>
    </x:row>
    <x:row r="2043">
      <x:c r="A2043" s="8" t="n">
        <x:f>A2042+1</x:f>
        <x:v>2040</x:v>
      </x:c>
      <x:c r="B2043" s="9" t="n">
        <x:f>A2043*v01_SeasonSeconds/60</x:f>
        <x:v>510</x:v>
      </x:c>
      <x:c r="C2043" s="9" t="n">
        <x:f>A2043/4</x:f>
        <x:v>510</x:v>
      </x:c>
      <x:c r="D2043" s="8" t="n">
        <x:f>IF(MOD(A2043,4)=0,1,0)</x:f>
        <x:v>1</x:v>
      </x:c>
      <x:c r="E2043" s="8" t="n">
        <x:f>IF(AND(F2042&lt;=9,AS2042&gt;=AR2042),1,0)</x:f>
        <x:v>0</x:v>
      </x:c>
      <x:c r="F2043" s="8" t="n">
        <x:f>MIN(10,F2042+E2043)</x:f>
        <x:v>10</x:v>
      </x:c>
      <x:c r="G2043" s="8" t="n">
        <x:f>MIN(F2043,9)+1</x:f>
        <x:v>10</x:v>
      </x:c>
      <x:c r="H2043" s="8" t="n">
        <x:f>IF(F2043&lt;=9,1,0)</x:f>
        <x:v>0</x:v>
      </x:c>
      <x:c r="I2043" s="9" t="n">
        <x:f>MIN(10,F2042+IF(AR2042&gt;0,MIN(1,AS2042/AR2042),1))</x:f>
        <x:v>10</x:v>
      </x:c>
      <x:c r="J2043" s="32" t="n">
        <x:f>INDEX(v01_FoodCap,G2043)*Arch_FoodCap*EXP(v01_CapsByProject*SUMPRODUCT((Cap_Point&lt;=I2043)*(Cap_Kind="Food")*Cap_Ln))</x:f>
        <x:v>12000</x:v>
      </x:c>
      <x:c r="K2043" s="32" t="n">
        <x:f>J2043*MIN(1,v01_LeanBase*EXP(v01_CapsByProject*SUMPRODUCT((Cap_Point&lt;=I2043)*(Cap_Kind="Lean")*Cap_Ln)))</x:f>
        <x:v>12000</x:v>
      </x:c>
      <x:c r="L2043" s="10" t="n">
        <x:f>INDEX(v01_HousingCap,G2043)*EXP(v01_CapsByProject*SUMPRODUCT((Cap_Point&lt;=I2043)*(Cap_Kind="Housing")*Cap_Ln))</x:f>
        <x:v>20000</x:v>
      </x:c>
      <x:c r="M2043" s="10" t="n">
        <x:f>INDEX(v01_GroupCap,G2043)*v01_CohesionFactor*EXP(v01_CapsByProject*SUMPRODUCT((Cap_Point&lt;=I2043)*(Cap_Kind="Group")*Cap_Ln))</x:f>
        <x:v>1000000</x:v>
      </x:c>
      <x:c r="N2043" s="32" t="n">
        <x:f>MIN(J2043,L2043,M2043)</x:f>
        <x:v>12000</x:v>
      </x:c>
      <x:c r="O2043" s="10" t="n">
        <x:f>AE2042*N2043</x:f>
        <x:v>180000</x:v>
      </x:c>
      <x:c r="P2043" s="9" t="n">
        <x:f>MIN(1,(AB2042/(AE2042*IF(v01_GroupInCrowding=1,N2043,MIN(J2043,L2043))))^v01_CrowdingExp)</x:f>
        <x:v>0.00024569414295285325</x:v>
      </x:c>
      <x:c r="Q2043" s="9" t="n">
        <x:f>IF(D2043=1,INDEX(v01_WinterMult,G2043),1)</x:f>
        <x:v>1</x:v>
      </x:c>
      <x:c r="R2043" s="9" t="n">
        <x:f>H2043*Z2042*v01_WomenShare*v01_BaseFertility*INDEX(v01_FertMult,G2043)*Arch_Fertility*(1-P2043)</x:f>
        <x:v>0</x:v>
      </x:c>
      <x:c r="S2043" s="9" t="n">
        <x:f>H2043*Y2042*INDEX(v01_MortChild,G2043)/4*Q2043</x:f>
        <x:v>0</x:v>
      </x:c>
      <x:c r="T2043" s="9" t="n">
        <x:f>H2043*Z2042*INDEX(v01_MortAdult,G2043)*Arch_AdultMort/4*Q2043</x:f>
        <x:v>0</x:v>
      </x:c>
      <x:c r="U2043" s="9" t="n">
        <x:f>H2043*AA2042*INDEX(v01_MortElder,G2043)/4*Q2043</x:f>
        <x:v>0</x:v>
      </x:c>
      <x:c r="V2043" s="9" t="n">
        <x:f>H2043*MAX(0,AB2042-O2043)*v01_OvercapLoss</x:f>
        <x:v>0</x:v>
      </x:c>
      <x:c r="W2043" s="9" t="n">
        <x:f>H2043*Y2042/(v01_ChildYears*4)</x:f>
        <x:v>0</x:v>
      </x:c>
      <x:c r="X2043" s="9" t="n">
        <x:f>H2043*Z2042/(v01_AdultYears*4)</x:f>
        <x:v>0</x:v>
      </x:c>
      <x:c r="Y2043" s="32" t="n">
        <x:f>Y2042+R2043-S2043-W2043-Y2042*V2043/AB2042</x:f>
        <x:v>14306.18539759397</x:v>
      </x:c>
      <x:c r="Z2043" s="32" t="n">
        <x:f>Z2042+W2043-X2043-T2043-Z2042*V2043/AB2042</x:f>
        <x:v>19354.456567879548</x:v>
      </x:c>
      <x:c r="AA2043" s="32" t="n">
        <x:f>AA2042+X2043-U2043-AA2042*V2043/AB2042</x:f>
        <x:v>11386.956063258198</x:v>
      </x:c>
      <x:c r="AB2043" s="10" t="n">
        <x:f>Y2043+Z2043+AA2043</x:f>
        <x:v>45047.59802873172</x:v>
      </x:c>
      <x:c r="AC2043" s="8" t="n">
        <x:f>IF(AND(v01_WinterTrigger=1,D2043=1,AB2042/AE2042&gt;=K2043),1,0)</x:f>
        <x:v>0</x:v>
      </x:c>
      <x:c r="AD2043" s="8" t="n">
        <x:f>H2043*IF(AND(OR(AB2042/AE2042&gt;=v01_FissionTrigger*N2043,AC2043=1),AB2042/AE2042*v01_DaughterShare&gt;=v01_MinDaughter),MAX(1,ROUND(AE2042*v01_FissionRate,0)),0)</x:f>
        <x:v>0</x:v>
      </x:c>
      <x:c r="AE2043" s="8" t="n">
        <x:f>IF(H2043=1,MAX(1,MIN(INDEX(v01_Smax,G2043),AE2042+AD2043)),AE2042)</x:f>
        <x:v>15</x:v>
      </x:c>
      <x:c r="AF2043" s="8" t="n">
        <x:f>MAX(0,AE2043-AE2042)</x:f>
        <x:v>0</x:v>
      </x:c>
      <x:c r="AG2043" s="9" t="str">
        <x:f>IF(AF2043&gt;0,B2043,"")</x:f>
      </x:c>
      <x:c r="AH2043" s="9" t="n">
        <x:f>IF(F2043&gt;=1,1,(1+v01_LowTiesShare*(AE2043-1))/AE2043)</x:f>
        <x:v>1</x:v>
      </x:c>
      <x:c r="AI2043" s="32" t="n">
        <x:f>(Z2043+v01_ElderCommons*INDEX(LM_Elder,G2043)*AA2043)*AH2043</x:f>
        <x:v>64139.732591141874</x:v>
      </x:c>
      <x:c r="AJ2043" s="32" t="n">
        <x:f>H2043*v01_CommonsCoef*AI2043^v01_CommonsExp*INDEX(LM_Commons,G2043)</x:f>
        <x:v>0</x:v>
      </x:c>
      <x:c r="AK2043" s="32" t="n">
        <x:f>H2043*v01_RoleScale*Arch_Roles*(AE2043*(INDEX(v01_ElderRolePerSett,G2043)*v01_OutElder*INDEX(LM_Elder,G2043)+INDEX(v01_ShamanPerSett,G2043)*v01_OutShaman)+Z2043*(INDEX(v01_PriestShare,G2043)*v01_OutPriest+INDEX(v01_ScribeShare,G2043)*v01_OutScribe*INDEX(LM_Scribe,G2043)+INDEX(v01_ScholarShare,G2043)*v01_OutScholar*INDEX(LM_Scholar,G2043)+INDEX(v01_ResearcherShare,G2043)*v01_OutResearcher*INDEX(LM_Researcher,G2043)))</x:f>
        <x:v>0</x:v>
      </x:c>
      <x:c r="AL2043" s="32" t="n">
        <x:f>H2043*v01_RoleScale*Arch_Roles*AE2043*INDEX(v01_MonasteryPerSett,G2043)*v01_OutMonastery*INDEX(LM_Monastery,G2043)</x:f>
        <x:v>0</x:v>
      </x:c>
      <x:c r="AM2043" s="32" t="n">
        <x:f>(AJ2043+AK2043+AL2043)/4*INDEX(LM_All,G2043)*INDEX(v01_Boon,G2043)*Arch_Insight</x:f>
        <x:v>0</x:v>
      </x:c>
      <x:c r="AN2043" s="32" t="n">
        <x:f>H2043*(v01_KHPerAdult*Z2043+v01_KHOfCommons*AJ2043/4*INDEX(LM_All,G2043))*v01_KHUsable*Arch_KH</x:f>
        <x:v>0</x:v>
      </x:c>
      <x:c r="AO2043" s="32" t="n">
        <x:f>MIN(AP2042+AN2043,AM2043*v01_KHMaxRatio)</x:f>
        <x:v>0</x:v>
      </x:c>
      <x:c r="AP2043" s="32" t="n">
        <x:f>AP2042+AN2043-AO2043</x:f>
        <x:v>0</x:v>
      </x:c>
      <x:c r="AQ2043" s="32" t="n">
        <x:f>AM2043+AO2043</x:f>
        <x:v>0</x:v>
      </x:c>
      <x:c r="AR2043" s="10" t="n">
        <x:f>IF(H2043=1,INDEX(v01_Req,G2043),0)</x:f>
        <x:v>0</x:v>
      </x:c>
      <x:c r="AS2043" s="32" t="n">
        <x:f>IF(H2043=1,IF(E2043=1,AS2042-AR2042,AS2042)+AQ2043,0)</x:f>
        <x:v>0</x:v>
      </x:c>
      <x:c r="AT2043" s="11" t="n">
        <x:f>IF(AR2043&gt;0,MIN(1,AS2043/AR2043),1)</x:f>
        <x:v>1</x:v>
      </x:c>
      <x:c r="AU2043" s="10" t="n">
        <x:f>AB2043/INDEX(v01_RepScale,G2043)</x:f>
        <x:v>90.09519605746344</x:v>
      </x:c>
      <x:c r="AV2043" s="32" t="n">
        <x:f>AM2043*60/v01_SeasonSeconds</x:f>
        <x:v>0</x:v>
      </x:c>
    </x:row>
    <x:row r="2044">
      <x:c r="A2044" s="8" t="n">
        <x:f>A2043+1</x:f>
        <x:v>2041</x:v>
      </x:c>
      <x:c r="B2044" s="9" t="n">
        <x:f>A2044*v01_SeasonSeconds/60</x:f>
        <x:v>510.25</x:v>
      </x:c>
      <x:c r="C2044" s="9" t="n">
        <x:f>A2044/4</x:f>
        <x:v>510.25</x:v>
      </x:c>
      <x:c r="D2044" s="8" t="n">
        <x:f>IF(MOD(A2044,4)=0,1,0)</x:f>
        <x:v>0</x:v>
      </x:c>
      <x:c r="E2044" s="8" t="n">
        <x:f>IF(AND(F2043&lt;=9,AS2043&gt;=AR2043),1,0)</x:f>
        <x:v>0</x:v>
      </x:c>
      <x:c r="F2044" s="8" t="n">
        <x:f>MIN(10,F2043+E2044)</x:f>
        <x:v>10</x:v>
      </x:c>
      <x:c r="G2044" s="8" t="n">
        <x:f>MIN(F2044,9)+1</x:f>
        <x:v>10</x:v>
      </x:c>
      <x:c r="H2044" s="8" t="n">
        <x:f>IF(F2044&lt;=9,1,0)</x:f>
        <x:v>0</x:v>
      </x:c>
      <x:c r="I2044" s="9" t="n">
        <x:f>MIN(10,F2043+IF(AR2043&gt;0,MIN(1,AS2043/AR2043),1))</x:f>
        <x:v>10</x:v>
      </x:c>
      <x:c r="J2044" s="32" t="n">
        <x:f>INDEX(v01_FoodCap,G2044)*Arch_FoodCap*EXP(v01_CapsByProject*SUMPRODUCT((Cap_Point&lt;=I2044)*(Cap_Kind="Food")*Cap_Ln))</x:f>
        <x:v>12000</x:v>
      </x:c>
      <x:c r="K2044" s="32" t="n">
        <x:f>J2044*MIN(1,v01_LeanBase*EXP(v01_CapsByProject*SUMPRODUCT((Cap_Point&lt;=I2044)*(Cap_Kind="Lean")*Cap_Ln)))</x:f>
        <x:v>12000</x:v>
      </x:c>
      <x:c r="L2044" s="10" t="n">
        <x:f>INDEX(v01_HousingCap,G2044)*EXP(v01_CapsByProject*SUMPRODUCT((Cap_Point&lt;=I2044)*(Cap_Kind="Housing")*Cap_Ln))</x:f>
        <x:v>20000</x:v>
      </x:c>
      <x:c r="M2044" s="10" t="n">
        <x:f>INDEX(v01_GroupCap,G2044)*v01_CohesionFactor*EXP(v01_CapsByProject*SUMPRODUCT((Cap_Point&lt;=I2044)*(Cap_Kind="Group")*Cap_Ln))</x:f>
        <x:v>1000000</x:v>
      </x:c>
      <x:c r="N2044" s="32" t="n">
        <x:f>MIN(J2044,L2044,M2044)</x:f>
        <x:v>12000</x:v>
      </x:c>
      <x:c r="O2044" s="10" t="n">
        <x:f>AE2043*N2044</x:f>
        <x:v>180000</x:v>
      </x:c>
      <x:c r="P2044" s="9" t="n">
        <x:f>MIN(1,(AB2043/(AE2043*IF(v01_GroupInCrowding=1,N2044,MIN(J2044,L2044))))^v01_CrowdingExp)</x:f>
        <x:v>0.00024569414295285325</x:v>
      </x:c>
      <x:c r="Q2044" s="9" t="n">
        <x:f>IF(D2044=1,INDEX(v01_WinterMult,G2044),1)</x:f>
        <x:v>1</x:v>
      </x:c>
      <x:c r="R2044" s="9" t="n">
        <x:f>H2044*Z2043*v01_WomenShare*v01_BaseFertility*INDEX(v01_FertMult,G2044)*Arch_Fertility*(1-P2044)</x:f>
        <x:v>0</x:v>
      </x:c>
      <x:c r="S2044" s="9" t="n">
        <x:f>H2044*Y2043*INDEX(v01_MortChild,G2044)/4*Q2044</x:f>
        <x:v>0</x:v>
      </x:c>
      <x:c r="T2044" s="9" t="n">
        <x:f>H2044*Z2043*INDEX(v01_MortAdult,G2044)*Arch_AdultMort/4*Q2044</x:f>
        <x:v>0</x:v>
      </x:c>
      <x:c r="U2044" s="9" t="n">
        <x:f>H2044*AA2043*INDEX(v01_MortElder,G2044)/4*Q2044</x:f>
        <x:v>0</x:v>
      </x:c>
      <x:c r="V2044" s="9" t="n">
        <x:f>H2044*MAX(0,AB2043-O2044)*v01_OvercapLoss</x:f>
        <x:v>0</x:v>
      </x:c>
      <x:c r="W2044" s="9" t="n">
        <x:f>H2044*Y2043/(v01_ChildYears*4)</x:f>
        <x:v>0</x:v>
      </x:c>
      <x:c r="X2044" s="9" t="n">
        <x:f>H2044*Z2043/(v01_AdultYears*4)</x:f>
        <x:v>0</x:v>
      </x:c>
      <x:c r="Y2044" s="32" t="n">
        <x:f>Y2043+R2044-S2044-W2044-Y2043*V2044/AB2043</x:f>
        <x:v>14306.18539759397</x:v>
      </x:c>
      <x:c r="Z2044" s="32" t="n">
        <x:f>Z2043+W2044-X2044-T2044-Z2043*V2044/AB2043</x:f>
        <x:v>19354.456567879548</x:v>
      </x:c>
      <x:c r="AA2044" s="32" t="n">
        <x:f>AA2043+X2044-U2044-AA2043*V2044/AB2043</x:f>
        <x:v>11386.956063258198</x:v>
      </x:c>
      <x:c r="AB2044" s="10" t="n">
        <x:f>Y2044+Z2044+AA2044</x:f>
        <x:v>45047.59802873172</x:v>
      </x:c>
      <x:c r="AC2044" s="8" t="n">
        <x:f>IF(AND(v01_WinterTrigger=1,D2044=1,AB2043/AE2043&gt;=K2044),1,0)</x:f>
        <x:v>0</x:v>
      </x:c>
      <x:c r="AD2044" s="8" t="n">
        <x:f>H2044*IF(AND(OR(AB2043/AE2043&gt;=v01_FissionTrigger*N2044,AC2044=1),AB2043/AE2043*v01_DaughterShare&gt;=v01_MinDaughter),MAX(1,ROUND(AE2043*v01_FissionRate,0)),0)</x:f>
        <x:v>0</x:v>
      </x:c>
      <x:c r="AE2044" s="8" t="n">
        <x:f>IF(H2044=1,MAX(1,MIN(INDEX(v01_Smax,G2044),AE2043+AD2044)),AE2043)</x:f>
        <x:v>15</x:v>
      </x:c>
      <x:c r="AF2044" s="8" t="n">
        <x:f>MAX(0,AE2044-AE2043)</x:f>
        <x:v>0</x:v>
      </x:c>
      <x:c r="AG2044" s="9" t="str">
        <x:f>IF(AF2044&gt;0,B2044,"")</x:f>
      </x:c>
      <x:c r="AH2044" s="9" t="n">
        <x:f>IF(F2044&gt;=1,1,(1+v01_LowTiesShare*(AE2044-1))/AE2044)</x:f>
        <x:v>1</x:v>
      </x:c>
      <x:c r="AI2044" s="32" t="n">
        <x:f>(Z2044+v01_ElderCommons*INDEX(LM_Elder,G2044)*AA2044)*AH2044</x:f>
        <x:v>64139.732591141874</x:v>
      </x:c>
      <x:c r="AJ2044" s="32" t="n">
        <x:f>H2044*v01_CommonsCoef*AI2044^v01_CommonsExp*INDEX(LM_Commons,G2044)</x:f>
        <x:v>0</x:v>
      </x:c>
      <x:c r="AK2044" s="32" t="n">
        <x:f>H2044*v01_RoleScale*Arch_Roles*(AE2044*(INDEX(v01_ElderRolePerSett,G2044)*v01_OutElder*INDEX(LM_Elder,G2044)+INDEX(v01_ShamanPerSett,G2044)*v01_OutShaman)+Z2044*(INDEX(v01_PriestShare,G2044)*v01_OutPriest+INDEX(v01_ScribeShare,G2044)*v01_OutScribe*INDEX(LM_Scribe,G2044)+INDEX(v01_ScholarShare,G2044)*v01_OutScholar*INDEX(LM_Scholar,G2044)+INDEX(v01_ResearcherShare,G2044)*v01_OutResearcher*INDEX(LM_Researcher,G2044)))</x:f>
        <x:v>0</x:v>
      </x:c>
      <x:c r="AL2044" s="32" t="n">
        <x:f>H2044*v01_RoleScale*Arch_Roles*AE2044*INDEX(v01_MonasteryPerSett,G2044)*v01_OutMonastery*INDEX(LM_Monastery,G2044)</x:f>
        <x:v>0</x:v>
      </x:c>
      <x:c r="AM2044" s="32" t="n">
        <x:f>(AJ2044+AK2044+AL2044)/4*INDEX(LM_All,G2044)*INDEX(v01_Boon,G2044)*Arch_Insight</x:f>
        <x:v>0</x:v>
      </x:c>
      <x:c r="AN2044" s="32" t="n">
        <x:f>H2044*(v01_KHPerAdult*Z2044+v01_KHOfCommons*AJ2044/4*INDEX(LM_All,G2044))*v01_KHUsable*Arch_KH</x:f>
        <x:v>0</x:v>
      </x:c>
      <x:c r="AO2044" s="32" t="n">
        <x:f>MIN(AP2043+AN2044,AM2044*v01_KHMaxRatio)</x:f>
        <x:v>0</x:v>
      </x:c>
      <x:c r="AP2044" s="32" t="n">
        <x:f>AP2043+AN2044-AO2044</x:f>
        <x:v>0</x:v>
      </x:c>
      <x:c r="AQ2044" s="32" t="n">
        <x:f>AM2044+AO2044</x:f>
        <x:v>0</x:v>
      </x:c>
      <x:c r="AR2044" s="10" t="n">
        <x:f>IF(H2044=1,INDEX(v01_Req,G2044),0)</x:f>
        <x:v>0</x:v>
      </x:c>
      <x:c r="AS2044" s="32" t="n">
        <x:f>IF(H2044=1,IF(E2044=1,AS2043-AR2043,AS2043)+AQ2044,0)</x:f>
        <x:v>0</x:v>
      </x:c>
      <x:c r="AT2044" s="11" t="n">
        <x:f>IF(AR2044&gt;0,MIN(1,AS2044/AR2044),1)</x:f>
        <x:v>1</x:v>
      </x:c>
      <x:c r="AU2044" s="10" t="n">
        <x:f>AB2044/INDEX(v01_RepScale,G2044)</x:f>
        <x:v>90.09519605746344</x:v>
      </x:c>
      <x:c r="AV2044" s="32" t="n">
        <x:f>AM2044*60/v01_SeasonSeconds</x:f>
        <x:v>0</x:v>
      </x:c>
    </x:row>
    <x:row r="2045">
      <x:c r="A2045" s="8" t="n">
        <x:f>A2044+1</x:f>
        <x:v>2042</x:v>
      </x:c>
      <x:c r="B2045" s="9" t="n">
        <x:f>A2045*v01_SeasonSeconds/60</x:f>
        <x:v>510.5</x:v>
      </x:c>
      <x:c r="C2045" s="9" t="n">
        <x:f>A2045/4</x:f>
        <x:v>510.5</x:v>
      </x:c>
      <x:c r="D2045" s="8" t="n">
        <x:f>IF(MOD(A2045,4)=0,1,0)</x:f>
        <x:v>0</x:v>
      </x:c>
      <x:c r="E2045" s="8" t="n">
        <x:f>IF(AND(F2044&lt;=9,AS2044&gt;=AR2044),1,0)</x:f>
        <x:v>0</x:v>
      </x:c>
      <x:c r="F2045" s="8" t="n">
        <x:f>MIN(10,F2044+E2045)</x:f>
        <x:v>10</x:v>
      </x:c>
      <x:c r="G2045" s="8" t="n">
        <x:f>MIN(F2045,9)+1</x:f>
        <x:v>10</x:v>
      </x:c>
      <x:c r="H2045" s="8" t="n">
        <x:f>IF(F2045&lt;=9,1,0)</x:f>
        <x:v>0</x:v>
      </x:c>
      <x:c r="I2045" s="9" t="n">
        <x:f>MIN(10,F2044+IF(AR2044&gt;0,MIN(1,AS2044/AR2044),1))</x:f>
        <x:v>10</x:v>
      </x:c>
      <x:c r="J2045" s="32" t="n">
        <x:f>INDEX(v01_FoodCap,G2045)*Arch_FoodCap*EXP(v01_CapsByProject*SUMPRODUCT((Cap_Point&lt;=I2045)*(Cap_Kind="Food")*Cap_Ln))</x:f>
        <x:v>12000</x:v>
      </x:c>
      <x:c r="K2045" s="32" t="n">
        <x:f>J2045*MIN(1,v01_LeanBase*EXP(v01_CapsByProject*SUMPRODUCT((Cap_Point&lt;=I2045)*(Cap_Kind="Lean")*Cap_Ln)))</x:f>
        <x:v>12000</x:v>
      </x:c>
      <x:c r="L2045" s="10" t="n">
        <x:f>INDEX(v01_HousingCap,G2045)*EXP(v01_CapsByProject*SUMPRODUCT((Cap_Point&lt;=I2045)*(Cap_Kind="Housing")*Cap_Ln))</x:f>
        <x:v>20000</x:v>
      </x:c>
      <x:c r="M2045" s="10" t="n">
        <x:f>INDEX(v01_GroupCap,G2045)*v01_CohesionFactor*EXP(v01_CapsByProject*SUMPRODUCT((Cap_Point&lt;=I2045)*(Cap_Kind="Group")*Cap_Ln))</x:f>
        <x:v>1000000</x:v>
      </x:c>
      <x:c r="N2045" s="32" t="n">
        <x:f>MIN(J2045,L2045,M2045)</x:f>
        <x:v>12000</x:v>
      </x:c>
      <x:c r="O2045" s="10" t="n">
        <x:f>AE2044*N2045</x:f>
        <x:v>180000</x:v>
      </x:c>
      <x:c r="P2045" s="9" t="n">
        <x:f>MIN(1,(AB2044/(AE2044*IF(v01_GroupInCrowding=1,N2045,MIN(J2045,L2045))))^v01_CrowdingExp)</x:f>
        <x:v>0.00024569414295285325</x:v>
      </x:c>
      <x:c r="Q2045" s="9" t="n">
        <x:f>IF(D2045=1,INDEX(v01_WinterMult,G2045),1)</x:f>
        <x:v>1</x:v>
      </x:c>
      <x:c r="R2045" s="9" t="n">
        <x:f>H2045*Z2044*v01_WomenShare*v01_BaseFertility*INDEX(v01_FertMult,G2045)*Arch_Fertility*(1-P2045)</x:f>
        <x:v>0</x:v>
      </x:c>
      <x:c r="S2045" s="9" t="n">
        <x:f>H2045*Y2044*INDEX(v01_MortChild,G2045)/4*Q2045</x:f>
        <x:v>0</x:v>
      </x:c>
      <x:c r="T2045" s="9" t="n">
        <x:f>H2045*Z2044*INDEX(v01_MortAdult,G2045)*Arch_AdultMort/4*Q2045</x:f>
        <x:v>0</x:v>
      </x:c>
      <x:c r="U2045" s="9" t="n">
        <x:f>H2045*AA2044*INDEX(v01_MortElder,G2045)/4*Q2045</x:f>
        <x:v>0</x:v>
      </x:c>
      <x:c r="V2045" s="9" t="n">
        <x:f>H2045*MAX(0,AB2044-O2045)*v01_OvercapLoss</x:f>
        <x:v>0</x:v>
      </x:c>
      <x:c r="W2045" s="9" t="n">
        <x:f>H2045*Y2044/(v01_ChildYears*4)</x:f>
        <x:v>0</x:v>
      </x:c>
      <x:c r="X2045" s="9" t="n">
        <x:f>H2045*Z2044/(v01_AdultYears*4)</x:f>
        <x:v>0</x:v>
      </x:c>
      <x:c r="Y2045" s="32" t="n">
        <x:f>Y2044+R2045-S2045-W2045-Y2044*V2045/AB2044</x:f>
        <x:v>14306.18539759397</x:v>
      </x:c>
      <x:c r="Z2045" s="32" t="n">
        <x:f>Z2044+W2045-X2045-T2045-Z2044*V2045/AB2044</x:f>
        <x:v>19354.456567879548</x:v>
      </x:c>
      <x:c r="AA2045" s="32" t="n">
        <x:f>AA2044+X2045-U2045-AA2044*V2045/AB2044</x:f>
        <x:v>11386.956063258198</x:v>
      </x:c>
      <x:c r="AB2045" s="10" t="n">
        <x:f>Y2045+Z2045+AA2045</x:f>
        <x:v>45047.59802873172</x:v>
      </x:c>
      <x:c r="AC2045" s="8" t="n">
        <x:f>IF(AND(v01_WinterTrigger=1,D2045=1,AB2044/AE2044&gt;=K2045),1,0)</x:f>
        <x:v>0</x:v>
      </x:c>
      <x:c r="AD2045" s="8" t="n">
        <x:f>H2045*IF(AND(OR(AB2044/AE2044&gt;=v01_FissionTrigger*N2045,AC2045=1),AB2044/AE2044*v01_DaughterShare&gt;=v01_MinDaughter),MAX(1,ROUND(AE2044*v01_FissionRate,0)),0)</x:f>
        <x:v>0</x:v>
      </x:c>
      <x:c r="AE2045" s="8" t="n">
        <x:f>IF(H2045=1,MAX(1,MIN(INDEX(v01_Smax,G2045),AE2044+AD2045)),AE2044)</x:f>
        <x:v>15</x:v>
      </x:c>
      <x:c r="AF2045" s="8" t="n">
        <x:f>MAX(0,AE2045-AE2044)</x:f>
        <x:v>0</x:v>
      </x:c>
      <x:c r="AG2045" s="9" t="str">
        <x:f>IF(AF2045&gt;0,B2045,"")</x:f>
      </x:c>
      <x:c r="AH2045" s="9" t="n">
        <x:f>IF(F2045&gt;=1,1,(1+v01_LowTiesShare*(AE2045-1))/AE2045)</x:f>
        <x:v>1</x:v>
      </x:c>
      <x:c r="AI2045" s="32" t="n">
        <x:f>(Z2045+v01_ElderCommons*INDEX(LM_Elder,G2045)*AA2045)*AH2045</x:f>
        <x:v>64139.732591141874</x:v>
      </x:c>
      <x:c r="AJ2045" s="32" t="n">
        <x:f>H2045*v01_CommonsCoef*AI2045^v01_CommonsExp*INDEX(LM_Commons,G2045)</x:f>
        <x:v>0</x:v>
      </x:c>
      <x:c r="AK2045" s="32" t="n">
        <x:f>H2045*v01_RoleScale*Arch_Roles*(AE2045*(INDEX(v01_ElderRolePerSett,G2045)*v01_OutElder*INDEX(LM_Elder,G2045)+INDEX(v01_ShamanPerSett,G2045)*v01_OutShaman)+Z2045*(INDEX(v01_PriestShare,G2045)*v01_OutPriest+INDEX(v01_ScribeShare,G2045)*v01_OutScribe*INDEX(LM_Scribe,G2045)+INDEX(v01_ScholarShare,G2045)*v01_OutScholar*INDEX(LM_Scholar,G2045)+INDEX(v01_ResearcherShare,G2045)*v01_OutResearcher*INDEX(LM_Researcher,G2045)))</x:f>
        <x:v>0</x:v>
      </x:c>
      <x:c r="AL2045" s="32" t="n">
        <x:f>H2045*v01_RoleScale*Arch_Roles*AE2045*INDEX(v01_MonasteryPerSett,G2045)*v01_OutMonastery*INDEX(LM_Monastery,G2045)</x:f>
        <x:v>0</x:v>
      </x:c>
      <x:c r="AM2045" s="32" t="n">
        <x:f>(AJ2045+AK2045+AL2045)/4*INDEX(LM_All,G2045)*INDEX(v01_Boon,G2045)*Arch_Insight</x:f>
        <x:v>0</x:v>
      </x:c>
      <x:c r="AN2045" s="32" t="n">
        <x:f>H2045*(v01_KHPerAdult*Z2045+v01_KHOfCommons*AJ2045/4*INDEX(LM_All,G2045))*v01_KHUsable*Arch_KH</x:f>
        <x:v>0</x:v>
      </x:c>
      <x:c r="AO2045" s="32" t="n">
        <x:f>MIN(AP2044+AN2045,AM2045*v01_KHMaxRatio)</x:f>
        <x:v>0</x:v>
      </x:c>
      <x:c r="AP2045" s="32" t="n">
        <x:f>AP2044+AN2045-AO2045</x:f>
        <x:v>0</x:v>
      </x:c>
      <x:c r="AQ2045" s="32" t="n">
        <x:f>AM2045+AO2045</x:f>
        <x:v>0</x:v>
      </x:c>
      <x:c r="AR2045" s="10" t="n">
        <x:f>IF(H2045=1,INDEX(v01_Req,G2045),0)</x:f>
        <x:v>0</x:v>
      </x:c>
      <x:c r="AS2045" s="32" t="n">
        <x:f>IF(H2045=1,IF(E2045=1,AS2044-AR2044,AS2044)+AQ2045,0)</x:f>
        <x:v>0</x:v>
      </x:c>
      <x:c r="AT2045" s="11" t="n">
        <x:f>IF(AR2045&gt;0,MIN(1,AS2045/AR2045),1)</x:f>
        <x:v>1</x:v>
      </x:c>
      <x:c r="AU2045" s="10" t="n">
        <x:f>AB2045/INDEX(v01_RepScale,G2045)</x:f>
        <x:v>90.09519605746344</x:v>
      </x:c>
      <x:c r="AV2045" s="32" t="n">
        <x:f>AM2045*60/v01_SeasonSeconds</x:f>
        <x:v>0</x:v>
      </x:c>
    </x:row>
    <x:row r="2046">
      <x:c r="A2046" s="8" t="n">
        <x:f>A2045+1</x:f>
        <x:v>2043</x:v>
      </x:c>
      <x:c r="B2046" s="9" t="n">
        <x:f>A2046*v01_SeasonSeconds/60</x:f>
        <x:v>510.75</x:v>
      </x:c>
      <x:c r="C2046" s="9" t="n">
        <x:f>A2046/4</x:f>
        <x:v>510.75</x:v>
      </x:c>
      <x:c r="D2046" s="8" t="n">
        <x:f>IF(MOD(A2046,4)=0,1,0)</x:f>
        <x:v>0</x:v>
      </x:c>
      <x:c r="E2046" s="8" t="n">
        <x:f>IF(AND(F2045&lt;=9,AS2045&gt;=AR2045),1,0)</x:f>
        <x:v>0</x:v>
      </x:c>
      <x:c r="F2046" s="8" t="n">
        <x:f>MIN(10,F2045+E2046)</x:f>
        <x:v>10</x:v>
      </x:c>
      <x:c r="G2046" s="8" t="n">
        <x:f>MIN(F2046,9)+1</x:f>
        <x:v>10</x:v>
      </x:c>
      <x:c r="H2046" s="8" t="n">
        <x:f>IF(F2046&lt;=9,1,0)</x:f>
        <x:v>0</x:v>
      </x:c>
      <x:c r="I2046" s="9" t="n">
        <x:f>MIN(10,F2045+IF(AR2045&gt;0,MIN(1,AS2045/AR2045),1))</x:f>
        <x:v>10</x:v>
      </x:c>
      <x:c r="J2046" s="32" t="n">
        <x:f>INDEX(v01_FoodCap,G2046)*Arch_FoodCap*EXP(v01_CapsByProject*SUMPRODUCT((Cap_Point&lt;=I2046)*(Cap_Kind="Food")*Cap_Ln))</x:f>
        <x:v>12000</x:v>
      </x:c>
      <x:c r="K2046" s="32" t="n">
        <x:f>J2046*MIN(1,v01_LeanBase*EXP(v01_CapsByProject*SUMPRODUCT((Cap_Point&lt;=I2046)*(Cap_Kind="Lean")*Cap_Ln)))</x:f>
        <x:v>12000</x:v>
      </x:c>
      <x:c r="L2046" s="10" t="n">
        <x:f>INDEX(v01_HousingCap,G2046)*EXP(v01_CapsByProject*SUMPRODUCT((Cap_Point&lt;=I2046)*(Cap_Kind="Housing")*Cap_Ln))</x:f>
        <x:v>20000</x:v>
      </x:c>
      <x:c r="M2046" s="10" t="n">
        <x:f>INDEX(v01_GroupCap,G2046)*v01_CohesionFactor*EXP(v01_CapsByProject*SUMPRODUCT((Cap_Point&lt;=I2046)*(Cap_Kind="Group")*Cap_Ln))</x:f>
        <x:v>1000000</x:v>
      </x:c>
      <x:c r="N2046" s="32" t="n">
        <x:f>MIN(J2046,L2046,M2046)</x:f>
        <x:v>12000</x:v>
      </x:c>
      <x:c r="O2046" s="10" t="n">
        <x:f>AE2045*N2046</x:f>
        <x:v>180000</x:v>
      </x:c>
      <x:c r="P2046" s="9" t="n">
        <x:f>MIN(1,(AB2045/(AE2045*IF(v01_GroupInCrowding=1,N2046,MIN(J2046,L2046))))^v01_CrowdingExp)</x:f>
        <x:v>0.00024569414295285325</x:v>
      </x:c>
      <x:c r="Q2046" s="9" t="n">
        <x:f>IF(D2046=1,INDEX(v01_WinterMult,G2046),1)</x:f>
        <x:v>1</x:v>
      </x:c>
      <x:c r="R2046" s="9" t="n">
        <x:f>H2046*Z2045*v01_WomenShare*v01_BaseFertility*INDEX(v01_FertMult,G2046)*Arch_Fertility*(1-P2046)</x:f>
        <x:v>0</x:v>
      </x:c>
      <x:c r="S2046" s="9" t="n">
        <x:f>H2046*Y2045*INDEX(v01_MortChild,G2046)/4*Q2046</x:f>
        <x:v>0</x:v>
      </x:c>
      <x:c r="T2046" s="9" t="n">
        <x:f>H2046*Z2045*INDEX(v01_MortAdult,G2046)*Arch_AdultMort/4*Q2046</x:f>
        <x:v>0</x:v>
      </x:c>
      <x:c r="U2046" s="9" t="n">
        <x:f>H2046*AA2045*INDEX(v01_MortElder,G2046)/4*Q2046</x:f>
        <x:v>0</x:v>
      </x:c>
      <x:c r="V2046" s="9" t="n">
        <x:f>H2046*MAX(0,AB2045-O2046)*v01_OvercapLoss</x:f>
        <x:v>0</x:v>
      </x:c>
      <x:c r="W2046" s="9" t="n">
        <x:f>H2046*Y2045/(v01_ChildYears*4)</x:f>
        <x:v>0</x:v>
      </x:c>
      <x:c r="X2046" s="9" t="n">
        <x:f>H2046*Z2045/(v01_AdultYears*4)</x:f>
        <x:v>0</x:v>
      </x:c>
      <x:c r="Y2046" s="32" t="n">
        <x:f>Y2045+R2046-S2046-W2046-Y2045*V2046/AB2045</x:f>
        <x:v>14306.18539759397</x:v>
      </x:c>
      <x:c r="Z2046" s="32" t="n">
        <x:f>Z2045+W2046-X2046-T2046-Z2045*V2046/AB2045</x:f>
        <x:v>19354.456567879548</x:v>
      </x:c>
      <x:c r="AA2046" s="32" t="n">
        <x:f>AA2045+X2046-U2046-AA2045*V2046/AB2045</x:f>
        <x:v>11386.956063258198</x:v>
      </x:c>
      <x:c r="AB2046" s="10" t="n">
        <x:f>Y2046+Z2046+AA2046</x:f>
        <x:v>45047.59802873172</x:v>
      </x:c>
      <x:c r="AC2046" s="8" t="n">
        <x:f>IF(AND(v01_WinterTrigger=1,D2046=1,AB2045/AE2045&gt;=K2046),1,0)</x:f>
        <x:v>0</x:v>
      </x:c>
      <x:c r="AD2046" s="8" t="n">
        <x:f>H2046*IF(AND(OR(AB2045/AE2045&gt;=v01_FissionTrigger*N2046,AC2046=1),AB2045/AE2045*v01_DaughterShare&gt;=v01_MinDaughter),MAX(1,ROUND(AE2045*v01_FissionRate,0)),0)</x:f>
        <x:v>0</x:v>
      </x:c>
      <x:c r="AE2046" s="8" t="n">
        <x:f>IF(H2046=1,MAX(1,MIN(INDEX(v01_Smax,G2046),AE2045+AD2046)),AE2045)</x:f>
        <x:v>15</x:v>
      </x:c>
      <x:c r="AF2046" s="8" t="n">
        <x:f>MAX(0,AE2046-AE2045)</x:f>
        <x:v>0</x:v>
      </x:c>
      <x:c r="AG2046" s="9" t="str">
        <x:f>IF(AF2046&gt;0,B2046,"")</x:f>
      </x:c>
      <x:c r="AH2046" s="9" t="n">
        <x:f>IF(F2046&gt;=1,1,(1+v01_LowTiesShare*(AE2046-1))/AE2046)</x:f>
        <x:v>1</x:v>
      </x:c>
      <x:c r="AI2046" s="32" t="n">
        <x:f>(Z2046+v01_ElderCommons*INDEX(LM_Elder,G2046)*AA2046)*AH2046</x:f>
        <x:v>64139.732591141874</x:v>
      </x:c>
      <x:c r="AJ2046" s="32" t="n">
        <x:f>H2046*v01_CommonsCoef*AI2046^v01_CommonsExp*INDEX(LM_Commons,G2046)</x:f>
        <x:v>0</x:v>
      </x:c>
      <x:c r="AK2046" s="32" t="n">
        <x:f>H2046*v01_RoleScale*Arch_Roles*(AE2046*(INDEX(v01_ElderRolePerSett,G2046)*v01_OutElder*INDEX(LM_Elder,G2046)+INDEX(v01_ShamanPerSett,G2046)*v01_OutShaman)+Z2046*(INDEX(v01_PriestShare,G2046)*v01_OutPriest+INDEX(v01_ScribeShare,G2046)*v01_OutScribe*INDEX(LM_Scribe,G2046)+INDEX(v01_ScholarShare,G2046)*v01_OutScholar*INDEX(LM_Scholar,G2046)+INDEX(v01_ResearcherShare,G2046)*v01_OutResearcher*INDEX(LM_Researcher,G2046)))</x:f>
        <x:v>0</x:v>
      </x:c>
      <x:c r="AL2046" s="32" t="n">
        <x:f>H2046*v01_RoleScale*Arch_Roles*AE2046*INDEX(v01_MonasteryPerSett,G2046)*v01_OutMonastery*INDEX(LM_Monastery,G2046)</x:f>
        <x:v>0</x:v>
      </x:c>
      <x:c r="AM2046" s="32" t="n">
        <x:f>(AJ2046+AK2046+AL2046)/4*INDEX(LM_All,G2046)*INDEX(v01_Boon,G2046)*Arch_Insight</x:f>
        <x:v>0</x:v>
      </x:c>
      <x:c r="AN2046" s="32" t="n">
        <x:f>H2046*(v01_KHPerAdult*Z2046+v01_KHOfCommons*AJ2046/4*INDEX(LM_All,G2046))*v01_KHUsable*Arch_KH</x:f>
        <x:v>0</x:v>
      </x:c>
      <x:c r="AO2046" s="32" t="n">
        <x:f>MIN(AP2045+AN2046,AM2046*v01_KHMaxRatio)</x:f>
        <x:v>0</x:v>
      </x:c>
      <x:c r="AP2046" s="32" t="n">
        <x:f>AP2045+AN2046-AO2046</x:f>
        <x:v>0</x:v>
      </x:c>
      <x:c r="AQ2046" s="32" t="n">
        <x:f>AM2046+AO2046</x:f>
        <x:v>0</x:v>
      </x:c>
      <x:c r="AR2046" s="10" t="n">
        <x:f>IF(H2046=1,INDEX(v01_Req,G2046),0)</x:f>
        <x:v>0</x:v>
      </x:c>
      <x:c r="AS2046" s="32" t="n">
        <x:f>IF(H2046=1,IF(E2046=1,AS2045-AR2045,AS2045)+AQ2046,0)</x:f>
        <x:v>0</x:v>
      </x:c>
      <x:c r="AT2046" s="11" t="n">
        <x:f>IF(AR2046&gt;0,MIN(1,AS2046/AR2046),1)</x:f>
        <x:v>1</x:v>
      </x:c>
      <x:c r="AU2046" s="10" t="n">
        <x:f>AB2046/INDEX(v01_RepScale,G2046)</x:f>
        <x:v>90.09519605746344</x:v>
      </x:c>
      <x:c r="AV2046" s="32" t="n">
        <x:f>AM2046*60/v01_SeasonSeconds</x:f>
        <x:v>0</x:v>
      </x:c>
    </x:row>
    <x:row r="2047">
      <x:c r="A2047" s="8" t="n">
        <x:f>A2046+1</x:f>
        <x:v>2044</x:v>
      </x:c>
      <x:c r="B2047" s="9" t="n">
        <x:f>A2047*v01_SeasonSeconds/60</x:f>
        <x:v>511</x:v>
      </x:c>
      <x:c r="C2047" s="9" t="n">
        <x:f>A2047/4</x:f>
        <x:v>511</x:v>
      </x:c>
      <x:c r="D2047" s="8" t="n">
        <x:f>IF(MOD(A2047,4)=0,1,0)</x:f>
        <x:v>1</x:v>
      </x:c>
      <x:c r="E2047" s="8" t="n">
        <x:f>IF(AND(F2046&lt;=9,AS2046&gt;=AR2046),1,0)</x:f>
        <x:v>0</x:v>
      </x:c>
      <x:c r="F2047" s="8" t="n">
        <x:f>MIN(10,F2046+E2047)</x:f>
        <x:v>10</x:v>
      </x:c>
      <x:c r="G2047" s="8" t="n">
        <x:f>MIN(F2047,9)+1</x:f>
        <x:v>10</x:v>
      </x:c>
      <x:c r="H2047" s="8" t="n">
        <x:f>IF(F2047&lt;=9,1,0)</x:f>
        <x:v>0</x:v>
      </x:c>
      <x:c r="I2047" s="9" t="n">
        <x:f>MIN(10,F2046+IF(AR2046&gt;0,MIN(1,AS2046/AR2046),1))</x:f>
        <x:v>10</x:v>
      </x:c>
      <x:c r="J2047" s="32" t="n">
        <x:f>INDEX(v01_FoodCap,G2047)*Arch_FoodCap*EXP(v01_CapsByProject*SUMPRODUCT((Cap_Point&lt;=I2047)*(Cap_Kind="Food")*Cap_Ln))</x:f>
        <x:v>12000</x:v>
      </x:c>
      <x:c r="K2047" s="32" t="n">
        <x:f>J2047*MIN(1,v01_LeanBase*EXP(v01_CapsByProject*SUMPRODUCT((Cap_Point&lt;=I2047)*(Cap_Kind="Lean")*Cap_Ln)))</x:f>
        <x:v>12000</x:v>
      </x:c>
      <x:c r="L2047" s="10" t="n">
        <x:f>INDEX(v01_HousingCap,G2047)*EXP(v01_CapsByProject*SUMPRODUCT((Cap_Point&lt;=I2047)*(Cap_Kind="Housing")*Cap_Ln))</x:f>
        <x:v>20000</x:v>
      </x:c>
      <x:c r="M2047" s="10" t="n">
        <x:f>INDEX(v01_GroupCap,G2047)*v01_CohesionFactor*EXP(v01_CapsByProject*SUMPRODUCT((Cap_Point&lt;=I2047)*(Cap_Kind="Group")*Cap_Ln))</x:f>
        <x:v>1000000</x:v>
      </x:c>
      <x:c r="N2047" s="32" t="n">
        <x:f>MIN(J2047,L2047,M2047)</x:f>
        <x:v>12000</x:v>
      </x:c>
      <x:c r="O2047" s="10" t="n">
        <x:f>AE2046*N2047</x:f>
        <x:v>180000</x:v>
      </x:c>
      <x:c r="P2047" s="9" t="n">
        <x:f>MIN(1,(AB2046/(AE2046*IF(v01_GroupInCrowding=1,N2047,MIN(J2047,L2047))))^v01_CrowdingExp)</x:f>
        <x:v>0.00024569414295285325</x:v>
      </x:c>
      <x:c r="Q2047" s="9" t="n">
        <x:f>IF(D2047=1,INDEX(v01_WinterMult,G2047),1)</x:f>
        <x:v>1</x:v>
      </x:c>
      <x:c r="R2047" s="9" t="n">
        <x:f>H2047*Z2046*v01_WomenShare*v01_BaseFertility*INDEX(v01_FertMult,G2047)*Arch_Fertility*(1-P2047)</x:f>
        <x:v>0</x:v>
      </x:c>
      <x:c r="S2047" s="9" t="n">
        <x:f>H2047*Y2046*INDEX(v01_MortChild,G2047)/4*Q2047</x:f>
        <x:v>0</x:v>
      </x:c>
      <x:c r="T2047" s="9" t="n">
        <x:f>H2047*Z2046*INDEX(v01_MortAdult,G2047)*Arch_AdultMort/4*Q2047</x:f>
        <x:v>0</x:v>
      </x:c>
      <x:c r="U2047" s="9" t="n">
        <x:f>H2047*AA2046*INDEX(v01_MortElder,G2047)/4*Q2047</x:f>
        <x:v>0</x:v>
      </x:c>
      <x:c r="V2047" s="9" t="n">
        <x:f>H2047*MAX(0,AB2046-O2047)*v01_OvercapLoss</x:f>
        <x:v>0</x:v>
      </x:c>
      <x:c r="W2047" s="9" t="n">
        <x:f>H2047*Y2046/(v01_ChildYears*4)</x:f>
        <x:v>0</x:v>
      </x:c>
      <x:c r="X2047" s="9" t="n">
        <x:f>H2047*Z2046/(v01_AdultYears*4)</x:f>
        <x:v>0</x:v>
      </x:c>
      <x:c r="Y2047" s="32" t="n">
        <x:f>Y2046+R2047-S2047-W2047-Y2046*V2047/AB2046</x:f>
        <x:v>14306.18539759397</x:v>
      </x:c>
      <x:c r="Z2047" s="32" t="n">
        <x:f>Z2046+W2047-X2047-T2047-Z2046*V2047/AB2046</x:f>
        <x:v>19354.456567879548</x:v>
      </x:c>
      <x:c r="AA2047" s="32" t="n">
        <x:f>AA2046+X2047-U2047-AA2046*V2047/AB2046</x:f>
        <x:v>11386.956063258198</x:v>
      </x:c>
      <x:c r="AB2047" s="10" t="n">
        <x:f>Y2047+Z2047+AA2047</x:f>
        <x:v>45047.59802873172</x:v>
      </x:c>
      <x:c r="AC2047" s="8" t="n">
        <x:f>IF(AND(v01_WinterTrigger=1,D2047=1,AB2046/AE2046&gt;=K2047),1,0)</x:f>
        <x:v>0</x:v>
      </x:c>
      <x:c r="AD2047" s="8" t="n">
        <x:f>H2047*IF(AND(OR(AB2046/AE2046&gt;=v01_FissionTrigger*N2047,AC2047=1),AB2046/AE2046*v01_DaughterShare&gt;=v01_MinDaughter),MAX(1,ROUND(AE2046*v01_FissionRate,0)),0)</x:f>
        <x:v>0</x:v>
      </x:c>
      <x:c r="AE2047" s="8" t="n">
        <x:f>IF(H2047=1,MAX(1,MIN(INDEX(v01_Smax,G2047),AE2046+AD2047)),AE2046)</x:f>
        <x:v>15</x:v>
      </x:c>
      <x:c r="AF2047" s="8" t="n">
        <x:f>MAX(0,AE2047-AE2046)</x:f>
        <x:v>0</x:v>
      </x:c>
      <x:c r="AG2047" s="9" t="str">
        <x:f>IF(AF2047&gt;0,B2047,"")</x:f>
      </x:c>
      <x:c r="AH2047" s="9" t="n">
        <x:f>IF(F2047&gt;=1,1,(1+v01_LowTiesShare*(AE2047-1))/AE2047)</x:f>
        <x:v>1</x:v>
      </x:c>
      <x:c r="AI2047" s="32" t="n">
        <x:f>(Z2047+v01_ElderCommons*INDEX(LM_Elder,G2047)*AA2047)*AH2047</x:f>
        <x:v>64139.732591141874</x:v>
      </x:c>
      <x:c r="AJ2047" s="32" t="n">
        <x:f>H2047*v01_CommonsCoef*AI2047^v01_CommonsExp*INDEX(LM_Commons,G2047)</x:f>
        <x:v>0</x:v>
      </x:c>
      <x:c r="AK2047" s="32" t="n">
        <x:f>H2047*v01_RoleScale*Arch_Roles*(AE2047*(INDEX(v01_ElderRolePerSett,G2047)*v01_OutElder*INDEX(LM_Elder,G2047)+INDEX(v01_ShamanPerSett,G2047)*v01_OutShaman)+Z2047*(INDEX(v01_PriestShare,G2047)*v01_OutPriest+INDEX(v01_ScribeShare,G2047)*v01_OutScribe*INDEX(LM_Scribe,G2047)+INDEX(v01_ScholarShare,G2047)*v01_OutScholar*INDEX(LM_Scholar,G2047)+INDEX(v01_ResearcherShare,G2047)*v01_OutResearcher*INDEX(LM_Researcher,G2047)))</x:f>
        <x:v>0</x:v>
      </x:c>
      <x:c r="AL2047" s="32" t="n">
        <x:f>H2047*v01_RoleScale*Arch_Roles*AE2047*INDEX(v01_MonasteryPerSett,G2047)*v01_OutMonastery*INDEX(LM_Monastery,G2047)</x:f>
        <x:v>0</x:v>
      </x:c>
      <x:c r="AM2047" s="32" t="n">
        <x:f>(AJ2047+AK2047+AL2047)/4*INDEX(LM_All,G2047)*INDEX(v01_Boon,G2047)*Arch_Insight</x:f>
        <x:v>0</x:v>
      </x:c>
      <x:c r="AN2047" s="32" t="n">
        <x:f>H2047*(v01_KHPerAdult*Z2047+v01_KHOfCommons*AJ2047/4*INDEX(LM_All,G2047))*v01_KHUsable*Arch_KH</x:f>
        <x:v>0</x:v>
      </x:c>
      <x:c r="AO2047" s="32" t="n">
        <x:f>MIN(AP2046+AN2047,AM2047*v01_KHMaxRatio)</x:f>
        <x:v>0</x:v>
      </x:c>
      <x:c r="AP2047" s="32" t="n">
        <x:f>AP2046+AN2047-AO2047</x:f>
        <x:v>0</x:v>
      </x:c>
      <x:c r="AQ2047" s="32" t="n">
        <x:f>AM2047+AO2047</x:f>
        <x:v>0</x:v>
      </x:c>
      <x:c r="AR2047" s="10" t="n">
        <x:f>IF(H2047=1,INDEX(v01_Req,G2047),0)</x:f>
        <x:v>0</x:v>
      </x:c>
      <x:c r="AS2047" s="32" t="n">
        <x:f>IF(H2047=1,IF(E2047=1,AS2046-AR2046,AS2046)+AQ2047,0)</x:f>
        <x:v>0</x:v>
      </x:c>
      <x:c r="AT2047" s="11" t="n">
        <x:f>IF(AR2047&gt;0,MIN(1,AS2047/AR2047),1)</x:f>
        <x:v>1</x:v>
      </x:c>
      <x:c r="AU2047" s="10" t="n">
        <x:f>AB2047/INDEX(v01_RepScale,G2047)</x:f>
        <x:v>90.09519605746344</x:v>
      </x:c>
      <x:c r="AV2047" s="32" t="n">
        <x:f>AM2047*60/v01_SeasonSeconds</x:f>
        <x:v>0</x:v>
      </x:c>
    </x:row>
    <x:row r="2048">
      <x:c r="A2048" s="8" t="n">
        <x:f>A2047+1</x:f>
        <x:v>2045</x:v>
      </x:c>
      <x:c r="B2048" s="9" t="n">
        <x:f>A2048*v01_SeasonSeconds/60</x:f>
        <x:v>511.25</x:v>
      </x:c>
      <x:c r="C2048" s="9" t="n">
        <x:f>A2048/4</x:f>
        <x:v>511.25</x:v>
      </x:c>
      <x:c r="D2048" s="8" t="n">
        <x:f>IF(MOD(A2048,4)=0,1,0)</x:f>
        <x:v>0</x:v>
      </x:c>
      <x:c r="E2048" s="8" t="n">
        <x:f>IF(AND(F2047&lt;=9,AS2047&gt;=AR2047),1,0)</x:f>
        <x:v>0</x:v>
      </x:c>
      <x:c r="F2048" s="8" t="n">
        <x:f>MIN(10,F2047+E2048)</x:f>
        <x:v>10</x:v>
      </x:c>
      <x:c r="G2048" s="8" t="n">
        <x:f>MIN(F2048,9)+1</x:f>
        <x:v>10</x:v>
      </x:c>
      <x:c r="H2048" s="8" t="n">
        <x:f>IF(F2048&lt;=9,1,0)</x:f>
        <x:v>0</x:v>
      </x:c>
      <x:c r="I2048" s="9" t="n">
        <x:f>MIN(10,F2047+IF(AR2047&gt;0,MIN(1,AS2047/AR2047),1))</x:f>
        <x:v>10</x:v>
      </x:c>
      <x:c r="J2048" s="32" t="n">
        <x:f>INDEX(v01_FoodCap,G2048)*Arch_FoodCap*EXP(v01_CapsByProject*SUMPRODUCT((Cap_Point&lt;=I2048)*(Cap_Kind="Food")*Cap_Ln))</x:f>
        <x:v>12000</x:v>
      </x:c>
      <x:c r="K2048" s="32" t="n">
        <x:f>J2048*MIN(1,v01_LeanBase*EXP(v01_CapsByProject*SUMPRODUCT((Cap_Point&lt;=I2048)*(Cap_Kind="Lean")*Cap_Ln)))</x:f>
        <x:v>12000</x:v>
      </x:c>
      <x:c r="L2048" s="10" t="n">
        <x:f>INDEX(v01_HousingCap,G2048)*EXP(v01_CapsByProject*SUMPRODUCT((Cap_Point&lt;=I2048)*(Cap_Kind="Housing")*Cap_Ln))</x:f>
        <x:v>20000</x:v>
      </x:c>
      <x:c r="M2048" s="10" t="n">
        <x:f>INDEX(v01_GroupCap,G2048)*v01_CohesionFactor*EXP(v01_CapsByProject*SUMPRODUCT((Cap_Point&lt;=I2048)*(Cap_Kind="Group")*Cap_Ln))</x:f>
        <x:v>1000000</x:v>
      </x:c>
      <x:c r="N2048" s="32" t="n">
        <x:f>MIN(J2048,L2048,M2048)</x:f>
        <x:v>12000</x:v>
      </x:c>
      <x:c r="O2048" s="10" t="n">
        <x:f>AE2047*N2048</x:f>
        <x:v>180000</x:v>
      </x:c>
      <x:c r="P2048" s="9" t="n">
        <x:f>MIN(1,(AB2047/(AE2047*IF(v01_GroupInCrowding=1,N2048,MIN(J2048,L2048))))^v01_CrowdingExp)</x:f>
        <x:v>0.00024569414295285325</x:v>
      </x:c>
      <x:c r="Q2048" s="9" t="n">
        <x:f>IF(D2048=1,INDEX(v01_WinterMult,G2048),1)</x:f>
        <x:v>1</x:v>
      </x:c>
      <x:c r="R2048" s="9" t="n">
        <x:f>H2048*Z2047*v01_WomenShare*v01_BaseFertility*INDEX(v01_FertMult,G2048)*Arch_Fertility*(1-P2048)</x:f>
        <x:v>0</x:v>
      </x:c>
      <x:c r="S2048" s="9" t="n">
        <x:f>H2048*Y2047*INDEX(v01_MortChild,G2048)/4*Q2048</x:f>
        <x:v>0</x:v>
      </x:c>
      <x:c r="T2048" s="9" t="n">
        <x:f>H2048*Z2047*INDEX(v01_MortAdult,G2048)*Arch_AdultMort/4*Q2048</x:f>
        <x:v>0</x:v>
      </x:c>
      <x:c r="U2048" s="9" t="n">
        <x:f>H2048*AA2047*INDEX(v01_MortElder,G2048)/4*Q2048</x:f>
        <x:v>0</x:v>
      </x:c>
      <x:c r="V2048" s="9" t="n">
        <x:f>H2048*MAX(0,AB2047-O2048)*v01_OvercapLoss</x:f>
        <x:v>0</x:v>
      </x:c>
      <x:c r="W2048" s="9" t="n">
        <x:f>H2048*Y2047/(v01_ChildYears*4)</x:f>
        <x:v>0</x:v>
      </x:c>
      <x:c r="X2048" s="9" t="n">
        <x:f>H2048*Z2047/(v01_AdultYears*4)</x:f>
        <x:v>0</x:v>
      </x:c>
      <x:c r="Y2048" s="32" t="n">
        <x:f>Y2047+R2048-S2048-W2048-Y2047*V2048/AB2047</x:f>
        <x:v>14306.18539759397</x:v>
      </x:c>
      <x:c r="Z2048" s="32" t="n">
        <x:f>Z2047+W2048-X2048-T2048-Z2047*V2048/AB2047</x:f>
        <x:v>19354.456567879548</x:v>
      </x:c>
      <x:c r="AA2048" s="32" t="n">
        <x:f>AA2047+X2048-U2048-AA2047*V2048/AB2047</x:f>
        <x:v>11386.956063258198</x:v>
      </x:c>
      <x:c r="AB2048" s="10" t="n">
        <x:f>Y2048+Z2048+AA2048</x:f>
        <x:v>45047.59802873172</x:v>
      </x:c>
      <x:c r="AC2048" s="8" t="n">
        <x:f>IF(AND(v01_WinterTrigger=1,D2048=1,AB2047/AE2047&gt;=K2048),1,0)</x:f>
        <x:v>0</x:v>
      </x:c>
      <x:c r="AD2048" s="8" t="n">
        <x:f>H2048*IF(AND(OR(AB2047/AE2047&gt;=v01_FissionTrigger*N2048,AC2048=1),AB2047/AE2047*v01_DaughterShare&gt;=v01_MinDaughter),MAX(1,ROUND(AE2047*v01_FissionRate,0)),0)</x:f>
        <x:v>0</x:v>
      </x:c>
      <x:c r="AE2048" s="8" t="n">
        <x:f>IF(H2048=1,MAX(1,MIN(INDEX(v01_Smax,G2048),AE2047+AD2048)),AE2047)</x:f>
        <x:v>15</x:v>
      </x:c>
      <x:c r="AF2048" s="8" t="n">
        <x:f>MAX(0,AE2048-AE2047)</x:f>
        <x:v>0</x:v>
      </x:c>
      <x:c r="AG2048" s="9" t="str">
        <x:f>IF(AF2048&gt;0,B2048,"")</x:f>
      </x:c>
      <x:c r="AH2048" s="9" t="n">
        <x:f>IF(F2048&gt;=1,1,(1+v01_LowTiesShare*(AE2048-1))/AE2048)</x:f>
        <x:v>1</x:v>
      </x:c>
      <x:c r="AI2048" s="32" t="n">
        <x:f>(Z2048+v01_ElderCommons*INDEX(LM_Elder,G2048)*AA2048)*AH2048</x:f>
        <x:v>64139.732591141874</x:v>
      </x:c>
      <x:c r="AJ2048" s="32" t="n">
        <x:f>H2048*v01_CommonsCoef*AI2048^v01_CommonsExp*INDEX(LM_Commons,G2048)</x:f>
        <x:v>0</x:v>
      </x:c>
      <x:c r="AK2048" s="32" t="n">
        <x:f>H2048*v01_RoleScale*Arch_Roles*(AE2048*(INDEX(v01_ElderRolePerSett,G2048)*v01_OutElder*INDEX(LM_Elder,G2048)+INDEX(v01_ShamanPerSett,G2048)*v01_OutShaman)+Z2048*(INDEX(v01_PriestShare,G2048)*v01_OutPriest+INDEX(v01_ScribeShare,G2048)*v01_OutScribe*INDEX(LM_Scribe,G2048)+INDEX(v01_ScholarShare,G2048)*v01_OutScholar*INDEX(LM_Scholar,G2048)+INDEX(v01_ResearcherShare,G2048)*v01_OutResearcher*INDEX(LM_Researcher,G2048)))</x:f>
        <x:v>0</x:v>
      </x:c>
      <x:c r="AL2048" s="32" t="n">
        <x:f>H2048*v01_RoleScale*Arch_Roles*AE2048*INDEX(v01_MonasteryPerSett,G2048)*v01_OutMonastery*INDEX(LM_Monastery,G2048)</x:f>
        <x:v>0</x:v>
      </x:c>
      <x:c r="AM2048" s="32" t="n">
        <x:f>(AJ2048+AK2048+AL2048)/4*INDEX(LM_All,G2048)*INDEX(v01_Boon,G2048)*Arch_Insight</x:f>
        <x:v>0</x:v>
      </x:c>
      <x:c r="AN2048" s="32" t="n">
        <x:f>H2048*(v01_KHPerAdult*Z2048+v01_KHOfCommons*AJ2048/4*INDEX(LM_All,G2048))*v01_KHUsable*Arch_KH</x:f>
        <x:v>0</x:v>
      </x:c>
      <x:c r="AO2048" s="32" t="n">
        <x:f>MIN(AP2047+AN2048,AM2048*v01_KHMaxRatio)</x:f>
        <x:v>0</x:v>
      </x:c>
      <x:c r="AP2048" s="32" t="n">
        <x:f>AP2047+AN2048-AO2048</x:f>
        <x:v>0</x:v>
      </x:c>
      <x:c r="AQ2048" s="32" t="n">
        <x:f>AM2048+AO2048</x:f>
        <x:v>0</x:v>
      </x:c>
      <x:c r="AR2048" s="10" t="n">
        <x:f>IF(H2048=1,INDEX(v01_Req,G2048),0)</x:f>
        <x:v>0</x:v>
      </x:c>
      <x:c r="AS2048" s="32" t="n">
        <x:f>IF(H2048=1,IF(E2048=1,AS2047-AR2047,AS2047)+AQ2048,0)</x:f>
        <x:v>0</x:v>
      </x:c>
      <x:c r="AT2048" s="11" t="n">
        <x:f>IF(AR2048&gt;0,MIN(1,AS2048/AR2048),1)</x:f>
        <x:v>1</x:v>
      </x:c>
      <x:c r="AU2048" s="10" t="n">
        <x:f>AB2048/INDEX(v01_RepScale,G2048)</x:f>
        <x:v>90.09519605746344</x:v>
      </x:c>
      <x:c r="AV2048" s="32" t="n">
        <x:f>AM2048*60/v01_SeasonSeconds</x:f>
        <x:v>0</x:v>
      </x:c>
    </x:row>
    <x:row r="2049">
      <x:c r="A2049" s="8" t="n">
        <x:f>A2048+1</x:f>
        <x:v>2046</x:v>
      </x:c>
      <x:c r="B2049" s="9" t="n">
        <x:f>A2049*v01_SeasonSeconds/60</x:f>
        <x:v>511.5</x:v>
      </x:c>
      <x:c r="C2049" s="9" t="n">
        <x:f>A2049/4</x:f>
        <x:v>511.5</x:v>
      </x:c>
      <x:c r="D2049" s="8" t="n">
        <x:f>IF(MOD(A2049,4)=0,1,0)</x:f>
        <x:v>0</x:v>
      </x:c>
      <x:c r="E2049" s="8" t="n">
        <x:f>IF(AND(F2048&lt;=9,AS2048&gt;=AR2048),1,0)</x:f>
        <x:v>0</x:v>
      </x:c>
      <x:c r="F2049" s="8" t="n">
        <x:f>MIN(10,F2048+E2049)</x:f>
        <x:v>10</x:v>
      </x:c>
      <x:c r="G2049" s="8" t="n">
        <x:f>MIN(F2049,9)+1</x:f>
        <x:v>10</x:v>
      </x:c>
      <x:c r="H2049" s="8" t="n">
        <x:f>IF(F2049&lt;=9,1,0)</x:f>
        <x:v>0</x:v>
      </x:c>
      <x:c r="I2049" s="9" t="n">
        <x:f>MIN(10,F2048+IF(AR2048&gt;0,MIN(1,AS2048/AR2048),1))</x:f>
        <x:v>10</x:v>
      </x:c>
      <x:c r="J2049" s="32" t="n">
        <x:f>INDEX(v01_FoodCap,G2049)*Arch_FoodCap*EXP(v01_CapsByProject*SUMPRODUCT((Cap_Point&lt;=I2049)*(Cap_Kind="Food")*Cap_Ln))</x:f>
        <x:v>12000</x:v>
      </x:c>
      <x:c r="K2049" s="32" t="n">
        <x:f>J2049*MIN(1,v01_LeanBase*EXP(v01_CapsByProject*SUMPRODUCT((Cap_Point&lt;=I2049)*(Cap_Kind="Lean")*Cap_Ln)))</x:f>
        <x:v>12000</x:v>
      </x:c>
      <x:c r="L2049" s="10" t="n">
        <x:f>INDEX(v01_HousingCap,G2049)*EXP(v01_CapsByProject*SUMPRODUCT((Cap_Point&lt;=I2049)*(Cap_Kind="Housing")*Cap_Ln))</x:f>
        <x:v>20000</x:v>
      </x:c>
      <x:c r="M2049" s="10" t="n">
        <x:f>INDEX(v01_GroupCap,G2049)*v01_CohesionFactor*EXP(v01_CapsByProject*SUMPRODUCT((Cap_Point&lt;=I2049)*(Cap_Kind="Group")*Cap_Ln))</x:f>
        <x:v>1000000</x:v>
      </x:c>
      <x:c r="N2049" s="32" t="n">
        <x:f>MIN(J2049,L2049,M2049)</x:f>
        <x:v>12000</x:v>
      </x:c>
      <x:c r="O2049" s="10" t="n">
        <x:f>AE2048*N2049</x:f>
        <x:v>180000</x:v>
      </x:c>
      <x:c r="P2049" s="9" t="n">
        <x:f>MIN(1,(AB2048/(AE2048*IF(v01_GroupInCrowding=1,N2049,MIN(J2049,L2049))))^v01_CrowdingExp)</x:f>
        <x:v>0.00024569414295285325</x:v>
      </x:c>
      <x:c r="Q2049" s="9" t="n">
        <x:f>IF(D2049=1,INDEX(v01_WinterMult,G2049),1)</x:f>
        <x:v>1</x:v>
      </x:c>
      <x:c r="R2049" s="9" t="n">
        <x:f>H2049*Z2048*v01_WomenShare*v01_BaseFertility*INDEX(v01_FertMult,G2049)*Arch_Fertility*(1-P2049)</x:f>
        <x:v>0</x:v>
      </x:c>
      <x:c r="S2049" s="9" t="n">
        <x:f>H2049*Y2048*INDEX(v01_MortChild,G2049)/4*Q2049</x:f>
        <x:v>0</x:v>
      </x:c>
      <x:c r="T2049" s="9" t="n">
        <x:f>H2049*Z2048*INDEX(v01_MortAdult,G2049)*Arch_AdultMort/4*Q2049</x:f>
        <x:v>0</x:v>
      </x:c>
      <x:c r="U2049" s="9" t="n">
        <x:f>H2049*AA2048*INDEX(v01_MortElder,G2049)/4*Q2049</x:f>
        <x:v>0</x:v>
      </x:c>
      <x:c r="V2049" s="9" t="n">
        <x:f>H2049*MAX(0,AB2048-O2049)*v01_OvercapLoss</x:f>
        <x:v>0</x:v>
      </x:c>
      <x:c r="W2049" s="9" t="n">
        <x:f>H2049*Y2048/(v01_ChildYears*4)</x:f>
        <x:v>0</x:v>
      </x:c>
      <x:c r="X2049" s="9" t="n">
        <x:f>H2049*Z2048/(v01_AdultYears*4)</x:f>
        <x:v>0</x:v>
      </x:c>
      <x:c r="Y2049" s="32" t="n">
        <x:f>Y2048+R2049-S2049-W2049-Y2048*V2049/AB2048</x:f>
        <x:v>14306.18539759397</x:v>
      </x:c>
      <x:c r="Z2049" s="32" t="n">
        <x:f>Z2048+W2049-X2049-T2049-Z2048*V2049/AB2048</x:f>
        <x:v>19354.456567879548</x:v>
      </x:c>
      <x:c r="AA2049" s="32" t="n">
        <x:f>AA2048+X2049-U2049-AA2048*V2049/AB2048</x:f>
        <x:v>11386.956063258198</x:v>
      </x:c>
      <x:c r="AB2049" s="10" t="n">
        <x:f>Y2049+Z2049+AA2049</x:f>
        <x:v>45047.59802873172</x:v>
      </x:c>
      <x:c r="AC2049" s="8" t="n">
        <x:f>IF(AND(v01_WinterTrigger=1,D2049=1,AB2048/AE2048&gt;=K2049),1,0)</x:f>
        <x:v>0</x:v>
      </x:c>
      <x:c r="AD2049" s="8" t="n">
        <x:f>H2049*IF(AND(OR(AB2048/AE2048&gt;=v01_FissionTrigger*N2049,AC2049=1),AB2048/AE2048*v01_DaughterShare&gt;=v01_MinDaughter),MAX(1,ROUND(AE2048*v01_FissionRate,0)),0)</x:f>
        <x:v>0</x:v>
      </x:c>
      <x:c r="AE2049" s="8" t="n">
        <x:f>IF(H2049=1,MAX(1,MIN(INDEX(v01_Smax,G2049),AE2048+AD2049)),AE2048)</x:f>
        <x:v>15</x:v>
      </x:c>
      <x:c r="AF2049" s="8" t="n">
        <x:f>MAX(0,AE2049-AE2048)</x:f>
        <x:v>0</x:v>
      </x:c>
      <x:c r="AG2049" s="9" t="str">
        <x:f>IF(AF2049&gt;0,B2049,"")</x:f>
      </x:c>
      <x:c r="AH2049" s="9" t="n">
        <x:f>IF(F2049&gt;=1,1,(1+v01_LowTiesShare*(AE2049-1))/AE2049)</x:f>
        <x:v>1</x:v>
      </x:c>
      <x:c r="AI2049" s="32" t="n">
        <x:f>(Z2049+v01_ElderCommons*INDEX(LM_Elder,G2049)*AA2049)*AH2049</x:f>
        <x:v>64139.732591141874</x:v>
      </x:c>
      <x:c r="AJ2049" s="32" t="n">
        <x:f>H2049*v01_CommonsCoef*AI2049^v01_CommonsExp*INDEX(LM_Commons,G2049)</x:f>
        <x:v>0</x:v>
      </x:c>
      <x:c r="AK2049" s="32" t="n">
        <x:f>H2049*v01_RoleScale*Arch_Roles*(AE2049*(INDEX(v01_ElderRolePerSett,G2049)*v01_OutElder*INDEX(LM_Elder,G2049)+INDEX(v01_ShamanPerSett,G2049)*v01_OutShaman)+Z2049*(INDEX(v01_PriestShare,G2049)*v01_OutPriest+INDEX(v01_ScribeShare,G2049)*v01_OutScribe*INDEX(LM_Scribe,G2049)+INDEX(v01_ScholarShare,G2049)*v01_OutScholar*INDEX(LM_Scholar,G2049)+INDEX(v01_ResearcherShare,G2049)*v01_OutResearcher*INDEX(LM_Researcher,G2049)))</x:f>
        <x:v>0</x:v>
      </x:c>
      <x:c r="AL2049" s="32" t="n">
        <x:f>H2049*v01_RoleScale*Arch_Roles*AE2049*INDEX(v01_MonasteryPerSett,G2049)*v01_OutMonastery*INDEX(LM_Monastery,G2049)</x:f>
        <x:v>0</x:v>
      </x:c>
      <x:c r="AM2049" s="32" t="n">
        <x:f>(AJ2049+AK2049+AL2049)/4*INDEX(LM_All,G2049)*INDEX(v01_Boon,G2049)*Arch_Insight</x:f>
        <x:v>0</x:v>
      </x:c>
      <x:c r="AN2049" s="32" t="n">
        <x:f>H2049*(v01_KHPerAdult*Z2049+v01_KHOfCommons*AJ2049/4*INDEX(LM_All,G2049))*v01_KHUsable*Arch_KH</x:f>
        <x:v>0</x:v>
      </x:c>
      <x:c r="AO2049" s="32" t="n">
        <x:f>MIN(AP2048+AN2049,AM2049*v01_KHMaxRatio)</x:f>
        <x:v>0</x:v>
      </x:c>
      <x:c r="AP2049" s="32" t="n">
        <x:f>AP2048+AN2049-AO2049</x:f>
        <x:v>0</x:v>
      </x:c>
      <x:c r="AQ2049" s="32" t="n">
        <x:f>AM2049+AO2049</x:f>
        <x:v>0</x:v>
      </x:c>
      <x:c r="AR2049" s="10" t="n">
        <x:f>IF(H2049=1,INDEX(v01_Req,G2049),0)</x:f>
        <x:v>0</x:v>
      </x:c>
      <x:c r="AS2049" s="32" t="n">
        <x:f>IF(H2049=1,IF(E2049=1,AS2048-AR2048,AS2048)+AQ2049,0)</x:f>
        <x:v>0</x:v>
      </x:c>
      <x:c r="AT2049" s="11" t="n">
        <x:f>IF(AR2049&gt;0,MIN(1,AS2049/AR2049),1)</x:f>
        <x:v>1</x:v>
      </x:c>
      <x:c r="AU2049" s="10" t="n">
        <x:f>AB2049/INDEX(v01_RepScale,G2049)</x:f>
        <x:v>90.09519605746344</x:v>
      </x:c>
      <x:c r="AV2049" s="32" t="n">
        <x:f>AM2049*60/v01_SeasonSeconds</x:f>
        <x:v>0</x:v>
      </x:c>
    </x:row>
    <x:row r="2050">
      <x:c r="A2050" s="8" t="n">
        <x:f>A2049+1</x:f>
        <x:v>2047</x:v>
      </x:c>
      <x:c r="B2050" s="9" t="n">
        <x:f>A2050*v01_SeasonSeconds/60</x:f>
        <x:v>511.75</x:v>
      </x:c>
      <x:c r="C2050" s="9" t="n">
        <x:f>A2050/4</x:f>
        <x:v>511.75</x:v>
      </x:c>
      <x:c r="D2050" s="8" t="n">
        <x:f>IF(MOD(A2050,4)=0,1,0)</x:f>
        <x:v>0</x:v>
      </x:c>
      <x:c r="E2050" s="8" t="n">
        <x:f>IF(AND(F2049&lt;=9,AS2049&gt;=AR2049),1,0)</x:f>
        <x:v>0</x:v>
      </x:c>
      <x:c r="F2050" s="8" t="n">
        <x:f>MIN(10,F2049+E2050)</x:f>
        <x:v>10</x:v>
      </x:c>
      <x:c r="G2050" s="8" t="n">
        <x:f>MIN(F2050,9)+1</x:f>
        <x:v>10</x:v>
      </x:c>
      <x:c r="H2050" s="8" t="n">
        <x:f>IF(F2050&lt;=9,1,0)</x:f>
        <x:v>0</x:v>
      </x:c>
      <x:c r="I2050" s="9" t="n">
        <x:f>MIN(10,F2049+IF(AR2049&gt;0,MIN(1,AS2049/AR2049),1))</x:f>
        <x:v>10</x:v>
      </x:c>
      <x:c r="J2050" s="32" t="n">
        <x:f>INDEX(v01_FoodCap,G2050)*Arch_FoodCap*EXP(v01_CapsByProject*SUMPRODUCT((Cap_Point&lt;=I2050)*(Cap_Kind="Food")*Cap_Ln))</x:f>
        <x:v>12000</x:v>
      </x:c>
      <x:c r="K2050" s="32" t="n">
        <x:f>J2050*MIN(1,v01_LeanBase*EXP(v01_CapsByProject*SUMPRODUCT((Cap_Point&lt;=I2050)*(Cap_Kind="Lean")*Cap_Ln)))</x:f>
        <x:v>12000</x:v>
      </x:c>
      <x:c r="L2050" s="10" t="n">
        <x:f>INDEX(v01_HousingCap,G2050)*EXP(v01_CapsByProject*SUMPRODUCT((Cap_Point&lt;=I2050)*(Cap_Kind="Housing")*Cap_Ln))</x:f>
        <x:v>20000</x:v>
      </x:c>
      <x:c r="M2050" s="10" t="n">
        <x:f>INDEX(v01_GroupCap,G2050)*v01_CohesionFactor*EXP(v01_CapsByProject*SUMPRODUCT((Cap_Point&lt;=I2050)*(Cap_Kind="Group")*Cap_Ln))</x:f>
        <x:v>1000000</x:v>
      </x:c>
      <x:c r="N2050" s="32" t="n">
        <x:f>MIN(J2050,L2050,M2050)</x:f>
        <x:v>12000</x:v>
      </x:c>
      <x:c r="O2050" s="10" t="n">
        <x:f>AE2049*N2050</x:f>
        <x:v>180000</x:v>
      </x:c>
      <x:c r="P2050" s="9" t="n">
        <x:f>MIN(1,(AB2049/(AE2049*IF(v01_GroupInCrowding=1,N2050,MIN(J2050,L2050))))^v01_CrowdingExp)</x:f>
        <x:v>0.00024569414295285325</x:v>
      </x:c>
      <x:c r="Q2050" s="9" t="n">
        <x:f>IF(D2050=1,INDEX(v01_WinterMult,G2050),1)</x:f>
        <x:v>1</x:v>
      </x:c>
      <x:c r="R2050" s="9" t="n">
        <x:f>H2050*Z2049*v01_WomenShare*v01_BaseFertility*INDEX(v01_FertMult,G2050)*Arch_Fertility*(1-P2050)</x:f>
        <x:v>0</x:v>
      </x:c>
      <x:c r="S2050" s="9" t="n">
        <x:f>H2050*Y2049*INDEX(v01_MortChild,G2050)/4*Q2050</x:f>
        <x:v>0</x:v>
      </x:c>
      <x:c r="T2050" s="9" t="n">
        <x:f>H2050*Z2049*INDEX(v01_MortAdult,G2050)*Arch_AdultMort/4*Q2050</x:f>
        <x:v>0</x:v>
      </x:c>
      <x:c r="U2050" s="9" t="n">
        <x:f>H2050*AA2049*INDEX(v01_MortElder,G2050)/4*Q2050</x:f>
        <x:v>0</x:v>
      </x:c>
      <x:c r="V2050" s="9" t="n">
        <x:f>H2050*MAX(0,AB2049-O2050)*v01_OvercapLoss</x:f>
        <x:v>0</x:v>
      </x:c>
      <x:c r="W2050" s="9" t="n">
        <x:f>H2050*Y2049/(v01_ChildYears*4)</x:f>
        <x:v>0</x:v>
      </x:c>
      <x:c r="X2050" s="9" t="n">
        <x:f>H2050*Z2049/(v01_AdultYears*4)</x:f>
        <x:v>0</x:v>
      </x:c>
      <x:c r="Y2050" s="32" t="n">
        <x:f>Y2049+R2050-S2050-W2050-Y2049*V2050/AB2049</x:f>
        <x:v>14306.18539759397</x:v>
      </x:c>
      <x:c r="Z2050" s="32" t="n">
        <x:f>Z2049+W2050-X2050-T2050-Z2049*V2050/AB2049</x:f>
        <x:v>19354.456567879548</x:v>
      </x:c>
      <x:c r="AA2050" s="32" t="n">
        <x:f>AA2049+X2050-U2050-AA2049*V2050/AB2049</x:f>
        <x:v>11386.956063258198</x:v>
      </x:c>
      <x:c r="AB2050" s="10" t="n">
        <x:f>Y2050+Z2050+AA2050</x:f>
        <x:v>45047.59802873172</x:v>
      </x:c>
      <x:c r="AC2050" s="8" t="n">
        <x:f>IF(AND(v01_WinterTrigger=1,D2050=1,AB2049/AE2049&gt;=K2050),1,0)</x:f>
        <x:v>0</x:v>
      </x:c>
      <x:c r="AD2050" s="8" t="n">
        <x:f>H2050*IF(AND(OR(AB2049/AE2049&gt;=v01_FissionTrigger*N2050,AC2050=1),AB2049/AE2049*v01_DaughterShare&gt;=v01_MinDaughter),MAX(1,ROUND(AE2049*v01_FissionRate,0)),0)</x:f>
        <x:v>0</x:v>
      </x:c>
      <x:c r="AE2050" s="8" t="n">
        <x:f>IF(H2050=1,MAX(1,MIN(INDEX(v01_Smax,G2050),AE2049+AD2050)),AE2049)</x:f>
        <x:v>15</x:v>
      </x:c>
      <x:c r="AF2050" s="8" t="n">
        <x:f>MAX(0,AE2050-AE2049)</x:f>
        <x:v>0</x:v>
      </x:c>
      <x:c r="AG2050" s="9" t="str">
        <x:f>IF(AF2050&gt;0,B2050,"")</x:f>
      </x:c>
      <x:c r="AH2050" s="9" t="n">
        <x:f>IF(F2050&gt;=1,1,(1+v01_LowTiesShare*(AE2050-1))/AE2050)</x:f>
        <x:v>1</x:v>
      </x:c>
      <x:c r="AI2050" s="32" t="n">
        <x:f>(Z2050+v01_ElderCommons*INDEX(LM_Elder,G2050)*AA2050)*AH2050</x:f>
        <x:v>64139.732591141874</x:v>
      </x:c>
      <x:c r="AJ2050" s="32" t="n">
        <x:f>H2050*v01_CommonsCoef*AI2050^v01_CommonsExp*INDEX(LM_Commons,G2050)</x:f>
        <x:v>0</x:v>
      </x:c>
      <x:c r="AK2050" s="32" t="n">
        <x:f>H2050*v01_RoleScale*Arch_Roles*(AE2050*(INDEX(v01_ElderRolePerSett,G2050)*v01_OutElder*INDEX(LM_Elder,G2050)+INDEX(v01_ShamanPerSett,G2050)*v01_OutShaman)+Z2050*(INDEX(v01_PriestShare,G2050)*v01_OutPriest+INDEX(v01_ScribeShare,G2050)*v01_OutScribe*INDEX(LM_Scribe,G2050)+INDEX(v01_ScholarShare,G2050)*v01_OutScholar*INDEX(LM_Scholar,G2050)+INDEX(v01_ResearcherShare,G2050)*v01_OutResearcher*INDEX(LM_Researcher,G2050)))</x:f>
        <x:v>0</x:v>
      </x:c>
      <x:c r="AL2050" s="32" t="n">
        <x:f>H2050*v01_RoleScale*Arch_Roles*AE2050*INDEX(v01_MonasteryPerSett,G2050)*v01_OutMonastery*INDEX(LM_Monastery,G2050)</x:f>
        <x:v>0</x:v>
      </x:c>
      <x:c r="AM2050" s="32" t="n">
        <x:f>(AJ2050+AK2050+AL2050)/4*INDEX(LM_All,G2050)*INDEX(v01_Boon,G2050)*Arch_Insight</x:f>
        <x:v>0</x:v>
      </x:c>
      <x:c r="AN2050" s="32" t="n">
        <x:f>H2050*(v01_KHPerAdult*Z2050+v01_KHOfCommons*AJ2050/4*INDEX(LM_All,G2050))*v01_KHUsable*Arch_KH</x:f>
        <x:v>0</x:v>
      </x:c>
      <x:c r="AO2050" s="32" t="n">
        <x:f>MIN(AP2049+AN2050,AM2050*v01_KHMaxRatio)</x:f>
        <x:v>0</x:v>
      </x:c>
      <x:c r="AP2050" s="32" t="n">
        <x:f>AP2049+AN2050-AO2050</x:f>
        <x:v>0</x:v>
      </x:c>
      <x:c r="AQ2050" s="32" t="n">
        <x:f>AM2050+AO2050</x:f>
        <x:v>0</x:v>
      </x:c>
      <x:c r="AR2050" s="10" t="n">
        <x:f>IF(H2050=1,INDEX(v01_Req,G2050),0)</x:f>
        <x:v>0</x:v>
      </x:c>
      <x:c r="AS2050" s="32" t="n">
        <x:f>IF(H2050=1,IF(E2050=1,AS2049-AR2049,AS2049)+AQ2050,0)</x:f>
        <x:v>0</x:v>
      </x:c>
      <x:c r="AT2050" s="11" t="n">
        <x:f>IF(AR2050&gt;0,MIN(1,AS2050/AR2050),1)</x:f>
        <x:v>1</x:v>
      </x:c>
      <x:c r="AU2050" s="10" t="n">
        <x:f>AB2050/INDEX(v01_RepScale,G2050)</x:f>
        <x:v>90.09519605746344</x:v>
      </x:c>
      <x:c r="AV2050" s="32" t="n">
        <x:f>AM2050*60/v01_SeasonSeconds</x:f>
        <x:v>0</x:v>
      </x:c>
    </x:row>
    <x:row r="2051">
      <x:c r="A2051" s="8" t="n">
        <x:f>A2050+1</x:f>
        <x:v>2048</x:v>
      </x:c>
      <x:c r="B2051" s="9" t="n">
        <x:f>A2051*v01_SeasonSeconds/60</x:f>
        <x:v>512</x:v>
      </x:c>
      <x:c r="C2051" s="9" t="n">
        <x:f>A2051/4</x:f>
        <x:v>512</x:v>
      </x:c>
      <x:c r="D2051" s="8" t="n">
        <x:f>IF(MOD(A2051,4)=0,1,0)</x:f>
        <x:v>1</x:v>
      </x:c>
      <x:c r="E2051" s="8" t="n">
        <x:f>IF(AND(F2050&lt;=9,AS2050&gt;=AR2050),1,0)</x:f>
        <x:v>0</x:v>
      </x:c>
      <x:c r="F2051" s="8" t="n">
        <x:f>MIN(10,F2050+E2051)</x:f>
        <x:v>10</x:v>
      </x:c>
      <x:c r="G2051" s="8" t="n">
        <x:f>MIN(F2051,9)+1</x:f>
        <x:v>10</x:v>
      </x:c>
      <x:c r="H2051" s="8" t="n">
        <x:f>IF(F2051&lt;=9,1,0)</x:f>
        <x:v>0</x:v>
      </x:c>
      <x:c r="I2051" s="9" t="n">
        <x:f>MIN(10,F2050+IF(AR2050&gt;0,MIN(1,AS2050/AR2050),1))</x:f>
        <x:v>10</x:v>
      </x:c>
      <x:c r="J2051" s="32" t="n">
        <x:f>INDEX(v01_FoodCap,G2051)*Arch_FoodCap*EXP(v01_CapsByProject*SUMPRODUCT((Cap_Point&lt;=I2051)*(Cap_Kind="Food")*Cap_Ln))</x:f>
        <x:v>12000</x:v>
      </x:c>
      <x:c r="K2051" s="32" t="n">
        <x:f>J2051*MIN(1,v01_LeanBase*EXP(v01_CapsByProject*SUMPRODUCT((Cap_Point&lt;=I2051)*(Cap_Kind="Lean")*Cap_Ln)))</x:f>
        <x:v>12000</x:v>
      </x:c>
      <x:c r="L2051" s="10" t="n">
        <x:f>INDEX(v01_HousingCap,G2051)*EXP(v01_CapsByProject*SUMPRODUCT((Cap_Point&lt;=I2051)*(Cap_Kind="Housing")*Cap_Ln))</x:f>
        <x:v>20000</x:v>
      </x:c>
      <x:c r="M2051" s="10" t="n">
        <x:f>INDEX(v01_GroupCap,G2051)*v01_CohesionFactor*EXP(v01_CapsByProject*SUMPRODUCT((Cap_Point&lt;=I2051)*(Cap_Kind="Group")*Cap_Ln))</x:f>
        <x:v>1000000</x:v>
      </x:c>
      <x:c r="N2051" s="32" t="n">
        <x:f>MIN(J2051,L2051,M2051)</x:f>
        <x:v>12000</x:v>
      </x:c>
      <x:c r="O2051" s="10" t="n">
        <x:f>AE2050*N2051</x:f>
        <x:v>180000</x:v>
      </x:c>
      <x:c r="P2051" s="9" t="n">
        <x:f>MIN(1,(AB2050/(AE2050*IF(v01_GroupInCrowding=1,N2051,MIN(J2051,L2051))))^v01_CrowdingExp)</x:f>
        <x:v>0.00024569414295285325</x:v>
      </x:c>
      <x:c r="Q2051" s="9" t="n">
        <x:f>IF(D2051=1,INDEX(v01_WinterMult,G2051),1)</x:f>
        <x:v>1</x:v>
      </x:c>
      <x:c r="R2051" s="9" t="n">
        <x:f>H2051*Z2050*v01_WomenShare*v01_BaseFertility*INDEX(v01_FertMult,G2051)*Arch_Fertility*(1-P2051)</x:f>
        <x:v>0</x:v>
      </x:c>
      <x:c r="S2051" s="9" t="n">
        <x:f>H2051*Y2050*INDEX(v01_MortChild,G2051)/4*Q2051</x:f>
        <x:v>0</x:v>
      </x:c>
      <x:c r="T2051" s="9" t="n">
        <x:f>H2051*Z2050*INDEX(v01_MortAdult,G2051)*Arch_AdultMort/4*Q2051</x:f>
        <x:v>0</x:v>
      </x:c>
      <x:c r="U2051" s="9" t="n">
        <x:f>H2051*AA2050*INDEX(v01_MortElder,G2051)/4*Q2051</x:f>
        <x:v>0</x:v>
      </x:c>
      <x:c r="V2051" s="9" t="n">
        <x:f>H2051*MAX(0,AB2050-O2051)*v01_OvercapLoss</x:f>
        <x:v>0</x:v>
      </x:c>
      <x:c r="W2051" s="9" t="n">
        <x:f>H2051*Y2050/(v01_ChildYears*4)</x:f>
        <x:v>0</x:v>
      </x:c>
      <x:c r="X2051" s="9" t="n">
        <x:f>H2051*Z2050/(v01_AdultYears*4)</x:f>
        <x:v>0</x:v>
      </x:c>
      <x:c r="Y2051" s="32" t="n">
        <x:f>Y2050+R2051-S2051-W2051-Y2050*V2051/AB2050</x:f>
        <x:v>14306.18539759397</x:v>
      </x:c>
      <x:c r="Z2051" s="32" t="n">
        <x:f>Z2050+W2051-X2051-T2051-Z2050*V2051/AB2050</x:f>
        <x:v>19354.456567879548</x:v>
      </x:c>
      <x:c r="AA2051" s="32" t="n">
        <x:f>AA2050+X2051-U2051-AA2050*V2051/AB2050</x:f>
        <x:v>11386.956063258198</x:v>
      </x:c>
      <x:c r="AB2051" s="10" t="n">
        <x:f>Y2051+Z2051+AA2051</x:f>
        <x:v>45047.59802873172</x:v>
      </x:c>
      <x:c r="AC2051" s="8" t="n">
        <x:f>IF(AND(v01_WinterTrigger=1,D2051=1,AB2050/AE2050&gt;=K2051),1,0)</x:f>
        <x:v>0</x:v>
      </x:c>
      <x:c r="AD2051" s="8" t="n">
        <x:f>H2051*IF(AND(OR(AB2050/AE2050&gt;=v01_FissionTrigger*N2051,AC2051=1),AB2050/AE2050*v01_DaughterShare&gt;=v01_MinDaughter),MAX(1,ROUND(AE2050*v01_FissionRate,0)),0)</x:f>
        <x:v>0</x:v>
      </x:c>
      <x:c r="AE2051" s="8" t="n">
        <x:f>IF(H2051=1,MAX(1,MIN(INDEX(v01_Smax,G2051),AE2050+AD2051)),AE2050)</x:f>
        <x:v>15</x:v>
      </x:c>
      <x:c r="AF2051" s="8" t="n">
        <x:f>MAX(0,AE2051-AE2050)</x:f>
        <x:v>0</x:v>
      </x:c>
      <x:c r="AG2051" s="9" t="str">
        <x:f>IF(AF2051&gt;0,B2051,"")</x:f>
      </x:c>
      <x:c r="AH2051" s="9" t="n">
        <x:f>IF(F2051&gt;=1,1,(1+v01_LowTiesShare*(AE2051-1))/AE2051)</x:f>
        <x:v>1</x:v>
      </x:c>
      <x:c r="AI2051" s="32" t="n">
        <x:f>(Z2051+v01_ElderCommons*INDEX(LM_Elder,G2051)*AA2051)*AH2051</x:f>
        <x:v>64139.732591141874</x:v>
      </x:c>
      <x:c r="AJ2051" s="32" t="n">
        <x:f>H2051*v01_CommonsCoef*AI2051^v01_CommonsExp*INDEX(LM_Commons,G2051)</x:f>
        <x:v>0</x:v>
      </x:c>
      <x:c r="AK2051" s="32" t="n">
        <x:f>H2051*v01_RoleScale*Arch_Roles*(AE2051*(INDEX(v01_ElderRolePerSett,G2051)*v01_OutElder*INDEX(LM_Elder,G2051)+INDEX(v01_ShamanPerSett,G2051)*v01_OutShaman)+Z2051*(INDEX(v01_PriestShare,G2051)*v01_OutPriest+INDEX(v01_ScribeShare,G2051)*v01_OutScribe*INDEX(LM_Scribe,G2051)+INDEX(v01_ScholarShare,G2051)*v01_OutScholar*INDEX(LM_Scholar,G2051)+INDEX(v01_ResearcherShare,G2051)*v01_OutResearcher*INDEX(LM_Researcher,G2051)))</x:f>
        <x:v>0</x:v>
      </x:c>
      <x:c r="AL2051" s="32" t="n">
        <x:f>H2051*v01_RoleScale*Arch_Roles*AE2051*INDEX(v01_MonasteryPerSett,G2051)*v01_OutMonastery*INDEX(LM_Monastery,G2051)</x:f>
        <x:v>0</x:v>
      </x:c>
      <x:c r="AM2051" s="32" t="n">
        <x:f>(AJ2051+AK2051+AL2051)/4*INDEX(LM_All,G2051)*INDEX(v01_Boon,G2051)*Arch_Insight</x:f>
        <x:v>0</x:v>
      </x:c>
      <x:c r="AN2051" s="32" t="n">
        <x:f>H2051*(v01_KHPerAdult*Z2051+v01_KHOfCommons*AJ2051/4*INDEX(LM_All,G2051))*v01_KHUsable*Arch_KH</x:f>
        <x:v>0</x:v>
      </x:c>
      <x:c r="AO2051" s="32" t="n">
        <x:f>MIN(AP2050+AN2051,AM2051*v01_KHMaxRatio)</x:f>
        <x:v>0</x:v>
      </x:c>
      <x:c r="AP2051" s="32" t="n">
        <x:f>AP2050+AN2051-AO2051</x:f>
        <x:v>0</x:v>
      </x:c>
      <x:c r="AQ2051" s="32" t="n">
        <x:f>AM2051+AO2051</x:f>
        <x:v>0</x:v>
      </x:c>
      <x:c r="AR2051" s="10" t="n">
        <x:f>IF(H2051=1,INDEX(v01_Req,G2051),0)</x:f>
        <x:v>0</x:v>
      </x:c>
      <x:c r="AS2051" s="32" t="n">
        <x:f>IF(H2051=1,IF(E2051=1,AS2050-AR2050,AS2050)+AQ2051,0)</x:f>
        <x:v>0</x:v>
      </x:c>
      <x:c r="AT2051" s="11" t="n">
        <x:f>IF(AR2051&gt;0,MIN(1,AS2051/AR2051),1)</x:f>
        <x:v>1</x:v>
      </x:c>
      <x:c r="AU2051" s="10" t="n">
        <x:f>AB2051/INDEX(v01_RepScale,G2051)</x:f>
        <x:v>90.09519605746344</x:v>
      </x:c>
      <x:c r="AV2051" s="32" t="n">
        <x:f>AM2051*60/v01_SeasonSeconds</x:f>
        <x:v>0</x:v>
      </x:c>
    </x:row>
    <x:row r="2052">
      <x:c r="A2052" s="8" t="n">
        <x:f>A2051+1</x:f>
        <x:v>2049</x:v>
      </x:c>
      <x:c r="B2052" s="9" t="n">
        <x:f>A2052*v01_SeasonSeconds/60</x:f>
        <x:v>512.25</x:v>
      </x:c>
      <x:c r="C2052" s="9" t="n">
        <x:f>A2052/4</x:f>
        <x:v>512.25</x:v>
      </x:c>
      <x:c r="D2052" s="8" t="n">
        <x:f>IF(MOD(A2052,4)=0,1,0)</x:f>
        <x:v>0</x:v>
      </x:c>
      <x:c r="E2052" s="8" t="n">
        <x:f>IF(AND(F2051&lt;=9,AS2051&gt;=AR2051),1,0)</x:f>
        <x:v>0</x:v>
      </x:c>
      <x:c r="F2052" s="8" t="n">
        <x:f>MIN(10,F2051+E2052)</x:f>
        <x:v>10</x:v>
      </x:c>
      <x:c r="G2052" s="8" t="n">
        <x:f>MIN(F2052,9)+1</x:f>
        <x:v>10</x:v>
      </x:c>
      <x:c r="H2052" s="8" t="n">
        <x:f>IF(F2052&lt;=9,1,0)</x:f>
        <x:v>0</x:v>
      </x:c>
      <x:c r="I2052" s="9" t="n">
        <x:f>MIN(10,F2051+IF(AR2051&gt;0,MIN(1,AS2051/AR2051),1))</x:f>
        <x:v>10</x:v>
      </x:c>
      <x:c r="J2052" s="32" t="n">
        <x:f>INDEX(v01_FoodCap,G2052)*Arch_FoodCap*EXP(v01_CapsByProject*SUMPRODUCT((Cap_Point&lt;=I2052)*(Cap_Kind="Food")*Cap_Ln))</x:f>
        <x:v>12000</x:v>
      </x:c>
      <x:c r="K2052" s="32" t="n">
        <x:f>J2052*MIN(1,v01_LeanBase*EXP(v01_CapsByProject*SUMPRODUCT((Cap_Point&lt;=I2052)*(Cap_Kind="Lean")*Cap_Ln)))</x:f>
        <x:v>12000</x:v>
      </x:c>
      <x:c r="L2052" s="10" t="n">
        <x:f>INDEX(v01_HousingCap,G2052)*EXP(v01_CapsByProject*SUMPRODUCT((Cap_Point&lt;=I2052)*(Cap_Kind="Housing")*Cap_Ln))</x:f>
        <x:v>20000</x:v>
      </x:c>
      <x:c r="M2052" s="10" t="n">
        <x:f>INDEX(v01_GroupCap,G2052)*v01_CohesionFactor*EXP(v01_CapsByProject*SUMPRODUCT((Cap_Point&lt;=I2052)*(Cap_Kind="Group")*Cap_Ln))</x:f>
        <x:v>1000000</x:v>
      </x:c>
      <x:c r="N2052" s="32" t="n">
        <x:f>MIN(J2052,L2052,M2052)</x:f>
        <x:v>12000</x:v>
      </x:c>
      <x:c r="O2052" s="10" t="n">
        <x:f>AE2051*N2052</x:f>
        <x:v>180000</x:v>
      </x:c>
      <x:c r="P2052" s="9" t="n">
        <x:f>MIN(1,(AB2051/(AE2051*IF(v01_GroupInCrowding=1,N2052,MIN(J2052,L2052))))^v01_CrowdingExp)</x:f>
        <x:v>0.00024569414295285325</x:v>
      </x:c>
      <x:c r="Q2052" s="9" t="n">
        <x:f>IF(D2052=1,INDEX(v01_WinterMult,G2052),1)</x:f>
        <x:v>1</x:v>
      </x:c>
      <x:c r="R2052" s="9" t="n">
        <x:f>H2052*Z2051*v01_WomenShare*v01_BaseFertility*INDEX(v01_FertMult,G2052)*Arch_Fertility*(1-P2052)</x:f>
        <x:v>0</x:v>
      </x:c>
      <x:c r="S2052" s="9" t="n">
        <x:f>H2052*Y2051*INDEX(v01_MortChild,G2052)/4*Q2052</x:f>
        <x:v>0</x:v>
      </x:c>
      <x:c r="T2052" s="9" t="n">
        <x:f>H2052*Z2051*INDEX(v01_MortAdult,G2052)*Arch_AdultMort/4*Q2052</x:f>
        <x:v>0</x:v>
      </x:c>
      <x:c r="U2052" s="9" t="n">
        <x:f>H2052*AA2051*INDEX(v01_MortElder,G2052)/4*Q2052</x:f>
        <x:v>0</x:v>
      </x:c>
      <x:c r="V2052" s="9" t="n">
        <x:f>H2052*MAX(0,AB2051-O2052)*v01_OvercapLoss</x:f>
        <x:v>0</x:v>
      </x:c>
      <x:c r="W2052" s="9" t="n">
        <x:f>H2052*Y2051/(v01_ChildYears*4)</x:f>
        <x:v>0</x:v>
      </x:c>
      <x:c r="X2052" s="9" t="n">
        <x:f>H2052*Z2051/(v01_AdultYears*4)</x:f>
        <x:v>0</x:v>
      </x:c>
      <x:c r="Y2052" s="32" t="n">
        <x:f>Y2051+R2052-S2052-W2052-Y2051*V2052/AB2051</x:f>
        <x:v>14306.18539759397</x:v>
      </x:c>
      <x:c r="Z2052" s="32" t="n">
        <x:f>Z2051+W2052-X2052-T2052-Z2051*V2052/AB2051</x:f>
        <x:v>19354.456567879548</x:v>
      </x:c>
      <x:c r="AA2052" s="32" t="n">
        <x:f>AA2051+X2052-U2052-AA2051*V2052/AB2051</x:f>
        <x:v>11386.956063258198</x:v>
      </x:c>
      <x:c r="AB2052" s="10" t="n">
        <x:f>Y2052+Z2052+AA2052</x:f>
        <x:v>45047.59802873172</x:v>
      </x:c>
      <x:c r="AC2052" s="8" t="n">
        <x:f>IF(AND(v01_WinterTrigger=1,D2052=1,AB2051/AE2051&gt;=K2052),1,0)</x:f>
        <x:v>0</x:v>
      </x:c>
      <x:c r="AD2052" s="8" t="n">
        <x:f>H2052*IF(AND(OR(AB2051/AE2051&gt;=v01_FissionTrigger*N2052,AC2052=1),AB2051/AE2051*v01_DaughterShare&gt;=v01_MinDaughter),MAX(1,ROUND(AE2051*v01_FissionRate,0)),0)</x:f>
        <x:v>0</x:v>
      </x:c>
      <x:c r="AE2052" s="8" t="n">
        <x:f>IF(H2052=1,MAX(1,MIN(INDEX(v01_Smax,G2052),AE2051+AD2052)),AE2051)</x:f>
        <x:v>15</x:v>
      </x:c>
      <x:c r="AF2052" s="8" t="n">
        <x:f>MAX(0,AE2052-AE2051)</x:f>
        <x:v>0</x:v>
      </x:c>
      <x:c r="AG2052" s="9" t="str">
        <x:f>IF(AF2052&gt;0,B2052,"")</x:f>
      </x:c>
      <x:c r="AH2052" s="9" t="n">
        <x:f>IF(F2052&gt;=1,1,(1+v01_LowTiesShare*(AE2052-1))/AE2052)</x:f>
        <x:v>1</x:v>
      </x:c>
      <x:c r="AI2052" s="32" t="n">
        <x:f>(Z2052+v01_ElderCommons*INDEX(LM_Elder,G2052)*AA2052)*AH2052</x:f>
        <x:v>64139.732591141874</x:v>
      </x:c>
      <x:c r="AJ2052" s="32" t="n">
        <x:f>H2052*v01_CommonsCoef*AI2052^v01_CommonsExp*INDEX(LM_Commons,G2052)</x:f>
        <x:v>0</x:v>
      </x:c>
      <x:c r="AK2052" s="32" t="n">
        <x:f>H2052*v01_RoleScale*Arch_Roles*(AE2052*(INDEX(v01_ElderRolePerSett,G2052)*v01_OutElder*INDEX(LM_Elder,G2052)+INDEX(v01_ShamanPerSett,G2052)*v01_OutShaman)+Z2052*(INDEX(v01_PriestShare,G2052)*v01_OutPriest+INDEX(v01_ScribeShare,G2052)*v01_OutScribe*INDEX(LM_Scribe,G2052)+INDEX(v01_ScholarShare,G2052)*v01_OutScholar*INDEX(LM_Scholar,G2052)+INDEX(v01_ResearcherShare,G2052)*v01_OutResearcher*INDEX(LM_Researcher,G2052)))</x:f>
        <x:v>0</x:v>
      </x:c>
      <x:c r="AL2052" s="32" t="n">
        <x:f>H2052*v01_RoleScale*Arch_Roles*AE2052*INDEX(v01_MonasteryPerSett,G2052)*v01_OutMonastery*INDEX(LM_Monastery,G2052)</x:f>
        <x:v>0</x:v>
      </x:c>
      <x:c r="AM2052" s="32" t="n">
        <x:f>(AJ2052+AK2052+AL2052)/4*INDEX(LM_All,G2052)*INDEX(v01_Boon,G2052)*Arch_Insight</x:f>
        <x:v>0</x:v>
      </x:c>
      <x:c r="AN2052" s="32" t="n">
        <x:f>H2052*(v01_KHPerAdult*Z2052+v01_KHOfCommons*AJ2052/4*INDEX(LM_All,G2052))*v01_KHUsable*Arch_KH</x:f>
        <x:v>0</x:v>
      </x:c>
      <x:c r="AO2052" s="32" t="n">
        <x:f>MIN(AP2051+AN2052,AM2052*v01_KHMaxRatio)</x:f>
        <x:v>0</x:v>
      </x:c>
      <x:c r="AP2052" s="32" t="n">
        <x:f>AP2051+AN2052-AO2052</x:f>
        <x:v>0</x:v>
      </x:c>
      <x:c r="AQ2052" s="32" t="n">
        <x:f>AM2052+AO2052</x:f>
        <x:v>0</x:v>
      </x:c>
      <x:c r="AR2052" s="10" t="n">
        <x:f>IF(H2052=1,INDEX(v01_Req,G2052),0)</x:f>
        <x:v>0</x:v>
      </x:c>
      <x:c r="AS2052" s="32" t="n">
        <x:f>IF(H2052=1,IF(E2052=1,AS2051-AR2051,AS2051)+AQ2052,0)</x:f>
        <x:v>0</x:v>
      </x:c>
      <x:c r="AT2052" s="11" t="n">
        <x:f>IF(AR2052&gt;0,MIN(1,AS2052/AR2052),1)</x:f>
        <x:v>1</x:v>
      </x:c>
      <x:c r="AU2052" s="10" t="n">
        <x:f>AB2052/INDEX(v01_RepScale,G2052)</x:f>
        <x:v>90.09519605746344</x:v>
      </x:c>
      <x:c r="AV2052" s="32" t="n">
        <x:f>AM2052*60/v01_SeasonSeconds</x:f>
        <x:v>0</x:v>
      </x:c>
    </x:row>
    <x:row r="2053">
      <x:c r="A2053" s="8" t="n">
        <x:f>A2052+1</x:f>
        <x:v>2050</x:v>
      </x:c>
      <x:c r="B2053" s="9" t="n">
        <x:f>A2053*v01_SeasonSeconds/60</x:f>
        <x:v>512.5</x:v>
      </x:c>
      <x:c r="C2053" s="9" t="n">
        <x:f>A2053/4</x:f>
        <x:v>512.5</x:v>
      </x:c>
      <x:c r="D2053" s="8" t="n">
        <x:f>IF(MOD(A2053,4)=0,1,0)</x:f>
        <x:v>0</x:v>
      </x:c>
      <x:c r="E2053" s="8" t="n">
        <x:f>IF(AND(F2052&lt;=9,AS2052&gt;=AR2052),1,0)</x:f>
        <x:v>0</x:v>
      </x:c>
      <x:c r="F2053" s="8" t="n">
        <x:f>MIN(10,F2052+E2053)</x:f>
        <x:v>10</x:v>
      </x:c>
      <x:c r="G2053" s="8" t="n">
        <x:f>MIN(F2053,9)+1</x:f>
        <x:v>10</x:v>
      </x:c>
      <x:c r="H2053" s="8" t="n">
        <x:f>IF(F2053&lt;=9,1,0)</x:f>
        <x:v>0</x:v>
      </x:c>
      <x:c r="I2053" s="9" t="n">
        <x:f>MIN(10,F2052+IF(AR2052&gt;0,MIN(1,AS2052/AR2052),1))</x:f>
        <x:v>10</x:v>
      </x:c>
      <x:c r="J2053" s="32" t="n">
        <x:f>INDEX(v01_FoodCap,G2053)*Arch_FoodCap*EXP(v01_CapsByProject*SUMPRODUCT((Cap_Point&lt;=I2053)*(Cap_Kind="Food")*Cap_Ln))</x:f>
        <x:v>12000</x:v>
      </x:c>
      <x:c r="K2053" s="32" t="n">
        <x:f>J2053*MIN(1,v01_LeanBase*EXP(v01_CapsByProject*SUMPRODUCT((Cap_Point&lt;=I2053)*(Cap_Kind="Lean")*Cap_Ln)))</x:f>
        <x:v>12000</x:v>
      </x:c>
      <x:c r="L2053" s="10" t="n">
        <x:f>INDEX(v01_HousingCap,G2053)*EXP(v01_CapsByProject*SUMPRODUCT((Cap_Point&lt;=I2053)*(Cap_Kind="Housing")*Cap_Ln))</x:f>
        <x:v>20000</x:v>
      </x:c>
      <x:c r="M2053" s="10" t="n">
        <x:f>INDEX(v01_GroupCap,G2053)*v01_CohesionFactor*EXP(v01_CapsByProject*SUMPRODUCT((Cap_Point&lt;=I2053)*(Cap_Kind="Group")*Cap_Ln))</x:f>
        <x:v>1000000</x:v>
      </x:c>
      <x:c r="N2053" s="32" t="n">
        <x:f>MIN(J2053,L2053,M2053)</x:f>
        <x:v>12000</x:v>
      </x:c>
      <x:c r="O2053" s="10" t="n">
        <x:f>AE2052*N2053</x:f>
        <x:v>180000</x:v>
      </x:c>
      <x:c r="P2053" s="9" t="n">
        <x:f>MIN(1,(AB2052/(AE2052*IF(v01_GroupInCrowding=1,N2053,MIN(J2053,L2053))))^v01_CrowdingExp)</x:f>
        <x:v>0.00024569414295285325</x:v>
      </x:c>
      <x:c r="Q2053" s="9" t="n">
        <x:f>IF(D2053=1,INDEX(v01_WinterMult,G2053),1)</x:f>
        <x:v>1</x:v>
      </x:c>
      <x:c r="R2053" s="9" t="n">
        <x:f>H2053*Z2052*v01_WomenShare*v01_BaseFertility*INDEX(v01_FertMult,G2053)*Arch_Fertility*(1-P2053)</x:f>
        <x:v>0</x:v>
      </x:c>
      <x:c r="S2053" s="9" t="n">
        <x:f>H2053*Y2052*INDEX(v01_MortChild,G2053)/4*Q2053</x:f>
        <x:v>0</x:v>
      </x:c>
      <x:c r="T2053" s="9" t="n">
        <x:f>H2053*Z2052*INDEX(v01_MortAdult,G2053)*Arch_AdultMort/4*Q2053</x:f>
        <x:v>0</x:v>
      </x:c>
      <x:c r="U2053" s="9" t="n">
        <x:f>H2053*AA2052*INDEX(v01_MortElder,G2053)/4*Q2053</x:f>
        <x:v>0</x:v>
      </x:c>
      <x:c r="V2053" s="9" t="n">
        <x:f>H2053*MAX(0,AB2052-O2053)*v01_OvercapLoss</x:f>
        <x:v>0</x:v>
      </x:c>
      <x:c r="W2053" s="9" t="n">
        <x:f>H2053*Y2052/(v01_ChildYears*4)</x:f>
        <x:v>0</x:v>
      </x:c>
      <x:c r="X2053" s="9" t="n">
        <x:f>H2053*Z2052/(v01_AdultYears*4)</x:f>
        <x:v>0</x:v>
      </x:c>
      <x:c r="Y2053" s="32" t="n">
        <x:f>Y2052+R2053-S2053-W2053-Y2052*V2053/AB2052</x:f>
        <x:v>14306.18539759397</x:v>
      </x:c>
      <x:c r="Z2053" s="32" t="n">
        <x:f>Z2052+W2053-X2053-T2053-Z2052*V2053/AB2052</x:f>
        <x:v>19354.456567879548</x:v>
      </x:c>
      <x:c r="AA2053" s="32" t="n">
        <x:f>AA2052+X2053-U2053-AA2052*V2053/AB2052</x:f>
        <x:v>11386.956063258198</x:v>
      </x:c>
      <x:c r="AB2053" s="10" t="n">
        <x:f>Y2053+Z2053+AA2053</x:f>
        <x:v>45047.59802873172</x:v>
      </x:c>
      <x:c r="AC2053" s="8" t="n">
        <x:f>IF(AND(v01_WinterTrigger=1,D2053=1,AB2052/AE2052&gt;=K2053),1,0)</x:f>
        <x:v>0</x:v>
      </x:c>
      <x:c r="AD2053" s="8" t="n">
        <x:f>H2053*IF(AND(OR(AB2052/AE2052&gt;=v01_FissionTrigger*N2053,AC2053=1),AB2052/AE2052*v01_DaughterShare&gt;=v01_MinDaughter),MAX(1,ROUND(AE2052*v01_FissionRate,0)),0)</x:f>
        <x:v>0</x:v>
      </x:c>
      <x:c r="AE2053" s="8" t="n">
        <x:f>IF(H2053=1,MAX(1,MIN(INDEX(v01_Smax,G2053),AE2052+AD2053)),AE2052)</x:f>
        <x:v>15</x:v>
      </x:c>
      <x:c r="AF2053" s="8" t="n">
        <x:f>MAX(0,AE2053-AE2052)</x:f>
        <x:v>0</x:v>
      </x:c>
      <x:c r="AG2053" s="9" t="str">
        <x:f>IF(AF2053&gt;0,B2053,"")</x:f>
      </x:c>
      <x:c r="AH2053" s="9" t="n">
        <x:f>IF(F2053&gt;=1,1,(1+v01_LowTiesShare*(AE2053-1))/AE2053)</x:f>
        <x:v>1</x:v>
      </x:c>
      <x:c r="AI2053" s="32" t="n">
        <x:f>(Z2053+v01_ElderCommons*INDEX(LM_Elder,G2053)*AA2053)*AH2053</x:f>
        <x:v>64139.732591141874</x:v>
      </x:c>
      <x:c r="AJ2053" s="32" t="n">
        <x:f>H2053*v01_CommonsCoef*AI2053^v01_CommonsExp*INDEX(LM_Commons,G2053)</x:f>
        <x:v>0</x:v>
      </x:c>
      <x:c r="AK2053" s="32" t="n">
        <x:f>H2053*v01_RoleScale*Arch_Roles*(AE2053*(INDEX(v01_ElderRolePerSett,G2053)*v01_OutElder*INDEX(LM_Elder,G2053)+INDEX(v01_ShamanPerSett,G2053)*v01_OutShaman)+Z2053*(INDEX(v01_PriestShare,G2053)*v01_OutPriest+INDEX(v01_ScribeShare,G2053)*v01_OutScribe*INDEX(LM_Scribe,G2053)+INDEX(v01_ScholarShare,G2053)*v01_OutScholar*INDEX(LM_Scholar,G2053)+INDEX(v01_ResearcherShare,G2053)*v01_OutResearcher*INDEX(LM_Researcher,G2053)))</x:f>
        <x:v>0</x:v>
      </x:c>
      <x:c r="AL2053" s="32" t="n">
        <x:f>H2053*v01_RoleScale*Arch_Roles*AE2053*INDEX(v01_MonasteryPerSett,G2053)*v01_OutMonastery*INDEX(LM_Monastery,G2053)</x:f>
        <x:v>0</x:v>
      </x:c>
      <x:c r="AM2053" s="32" t="n">
        <x:f>(AJ2053+AK2053+AL2053)/4*INDEX(LM_All,G2053)*INDEX(v01_Boon,G2053)*Arch_Insight</x:f>
        <x:v>0</x:v>
      </x:c>
      <x:c r="AN2053" s="32" t="n">
        <x:f>H2053*(v01_KHPerAdult*Z2053+v01_KHOfCommons*AJ2053/4*INDEX(LM_All,G2053))*v01_KHUsable*Arch_KH</x:f>
        <x:v>0</x:v>
      </x:c>
      <x:c r="AO2053" s="32" t="n">
        <x:f>MIN(AP2052+AN2053,AM2053*v01_KHMaxRatio)</x:f>
        <x:v>0</x:v>
      </x:c>
      <x:c r="AP2053" s="32" t="n">
        <x:f>AP2052+AN2053-AO2053</x:f>
        <x:v>0</x:v>
      </x:c>
      <x:c r="AQ2053" s="32" t="n">
        <x:f>AM2053+AO2053</x:f>
        <x:v>0</x:v>
      </x:c>
      <x:c r="AR2053" s="10" t="n">
        <x:f>IF(H2053=1,INDEX(v01_Req,G2053),0)</x:f>
        <x:v>0</x:v>
      </x:c>
      <x:c r="AS2053" s="32" t="n">
        <x:f>IF(H2053=1,IF(E2053=1,AS2052-AR2052,AS2052)+AQ2053,0)</x:f>
        <x:v>0</x:v>
      </x:c>
      <x:c r="AT2053" s="11" t="n">
        <x:f>IF(AR2053&gt;0,MIN(1,AS2053/AR2053),1)</x:f>
        <x:v>1</x:v>
      </x:c>
      <x:c r="AU2053" s="10" t="n">
        <x:f>AB2053/INDEX(v01_RepScale,G2053)</x:f>
        <x:v>90.09519605746344</x:v>
      </x:c>
      <x:c r="AV2053" s="32" t="n">
        <x:f>AM2053*60/v01_SeasonSeconds</x:f>
        <x:v>0</x:v>
      </x:c>
    </x:row>
    <x:row r="2054">
      <x:c r="A2054" s="8" t="n">
        <x:f>A2053+1</x:f>
        <x:v>2051</x:v>
      </x:c>
      <x:c r="B2054" s="9" t="n">
        <x:f>A2054*v01_SeasonSeconds/60</x:f>
        <x:v>512.75</x:v>
      </x:c>
      <x:c r="C2054" s="9" t="n">
        <x:f>A2054/4</x:f>
        <x:v>512.75</x:v>
      </x:c>
      <x:c r="D2054" s="8" t="n">
        <x:f>IF(MOD(A2054,4)=0,1,0)</x:f>
        <x:v>0</x:v>
      </x:c>
      <x:c r="E2054" s="8" t="n">
        <x:f>IF(AND(F2053&lt;=9,AS2053&gt;=AR2053),1,0)</x:f>
        <x:v>0</x:v>
      </x:c>
      <x:c r="F2054" s="8" t="n">
        <x:f>MIN(10,F2053+E2054)</x:f>
        <x:v>10</x:v>
      </x:c>
      <x:c r="G2054" s="8" t="n">
        <x:f>MIN(F2054,9)+1</x:f>
        <x:v>10</x:v>
      </x:c>
      <x:c r="H2054" s="8" t="n">
        <x:f>IF(F2054&lt;=9,1,0)</x:f>
        <x:v>0</x:v>
      </x:c>
      <x:c r="I2054" s="9" t="n">
        <x:f>MIN(10,F2053+IF(AR2053&gt;0,MIN(1,AS2053/AR2053),1))</x:f>
        <x:v>10</x:v>
      </x:c>
      <x:c r="J2054" s="32" t="n">
        <x:f>INDEX(v01_FoodCap,G2054)*Arch_FoodCap*EXP(v01_CapsByProject*SUMPRODUCT((Cap_Point&lt;=I2054)*(Cap_Kind="Food")*Cap_Ln))</x:f>
        <x:v>12000</x:v>
      </x:c>
      <x:c r="K2054" s="32" t="n">
        <x:f>J2054*MIN(1,v01_LeanBase*EXP(v01_CapsByProject*SUMPRODUCT((Cap_Point&lt;=I2054)*(Cap_Kind="Lean")*Cap_Ln)))</x:f>
        <x:v>12000</x:v>
      </x:c>
      <x:c r="L2054" s="10" t="n">
        <x:f>INDEX(v01_HousingCap,G2054)*EXP(v01_CapsByProject*SUMPRODUCT((Cap_Point&lt;=I2054)*(Cap_Kind="Housing")*Cap_Ln))</x:f>
        <x:v>20000</x:v>
      </x:c>
      <x:c r="M2054" s="10" t="n">
        <x:f>INDEX(v01_GroupCap,G2054)*v01_CohesionFactor*EXP(v01_CapsByProject*SUMPRODUCT((Cap_Point&lt;=I2054)*(Cap_Kind="Group")*Cap_Ln))</x:f>
        <x:v>1000000</x:v>
      </x:c>
      <x:c r="N2054" s="32" t="n">
        <x:f>MIN(J2054,L2054,M2054)</x:f>
        <x:v>12000</x:v>
      </x:c>
      <x:c r="O2054" s="10" t="n">
        <x:f>AE2053*N2054</x:f>
        <x:v>180000</x:v>
      </x:c>
      <x:c r="P2054" s="9" t="n">
        <x:f>MIN(1,(AB2053/(AE2053*IF(v01_GroupInCrowding=1,N2054,MIN(J2054,L2054))))^v01_CrowdingExp)</x:f>
        <x:v>0.00024569414295285325</x:v>
      </x:c>
      <x:c r="Q2054" s="9" t="n">
        <x:f>IF(D2054=1,INDEX(v01_WinterMult,G2054),1)</x:f>
        <x:v>1</x:v>
      </x:c>
      <x:c r="R2054" s="9" t="n">
        <x:f>H2054*Z2053*v01_WomenShare*v01_BaseFertility*INDEX(v01_FertMult,G2054)*Arch_Fertility*(1-P2054)</x:f>
        <x:v>0</x:v>
      </x:c>
      <x:c r="S2054" s="9" t="n">
        <x:f>H2054*Y2053*INDEX(v01_MortChild,G2054)/4*Q2054</x:f>
        <x:v>0</x:v>
      </x:c>
      <x:c r="T2054" s="9" t="n">
        <x:f>H2054*Z2053*INDEX(v01_MortAdult,G2054)*Arch_AdultMort/4*Q2054</x:f>
        <x:v>0</x:v>
      </x:c>
      <x:c r="U2054" s="9" t="n">
        <x:f>H2054*AA2053*INDEX(v01_MortElder,G2054)/4*Q2054</x:f>
        <x:v>0</x:v>
      </x:c>
      <x:c r="V2054" s="9" t="n">
        <x:f>H2054*MAX(0,AB2053-O2054)*v01_OvercapLoss</x:f>
        <x:v>0</x:v>
      </x:c>
      <x:c r="W2054" s="9" t="n">
        <x:f>H2054*Y2053/(v01_ChildYears*4)</x:f>
        <x:v>0</x:v>
      </x:c>
      <x:c r="X2054" s="9" t="n">
        <x:f>H2054*Z2053/(v01_AdultYears*4)</x:f>
        <x:v>0</x:v>
      </x:c>
      <x:c r="Y2054" s="32" t="n">
        <x:f>Y2053+R2054-S2054-W2054-Y2053*V2054/AB2053</x:f>
        <x:v>14306.18539759397</x:v>
      </x:c>
      <x:c r="Z2054" s="32" t="n">
        <x:f>Z2053+W2054-X2054-T2054-Z2053*V2054/AB2053</x:f>
        <x:v>19354.456567879548</x:v>
      </x:c>
      <x:c r="AA2054" s="32" t="n">
        <x:f>AA2053+X2054-U2054-AA2053*V2054/AB2053</x:f>
        <x:v>11386.956063258198</x:v>
      </x:c>
      <x:c r="AB2054" s="10" t="n">
        <x:f>Y2054+Z2054+AA2054</x:f>
        <x:v>45047.59802873172</x:v>
      </x:c>
      <x:c r="AC2054" s="8" t="n">
        <x:f>IF(AND(v01_WinterTrigger=1,D2054=1,AB2053/AE2053&gt;=K2054),1,0)</x:f>
        <x:v>0</x:v>
      </x:c>
      <x:c r="AD2054" s="8" t="n">
        <x:f>H2054*IF(AND(OR(AB2053/AE2053&gt;=v01_FissionTrigger*N2054,AC2054=1),AB2053/AE2053*v01_DaughterShare&gt;=v01_MinDaughter),MAX(1,ROUND(AE2053*v01_FissionRate,0)),0)</x:f>
        <x:v>0</x:v>
      </x:c>
      <x:c r="AE2054" s="8" t="n">
        <x:f>IF(H2054=1,MAX(1,MIN(INDEX(v01_Smax,G2054),AE2053+AD2054)),AE2053)</x:f>
        <x:v>15</x:v>
      </x:c>
      <x:c r="AF2054" s="8" t="n">
        <x:f>MAX(0,AE2054-AE2053)</x:f>
        <x:v>0</x:v>
      </x:c>
      <x:c r="AG2054" s="9" t="str">
        <x:f>IF(AF2054&gt;0,B2054,"")</x:f>
      </x:c>
      <x:c r="AH2054" s="9" t="n">
        <x:f>IF(F2054&gt;=1,1,(1+v01_LowTiesShare*(AE2054-1))/AE2054)</x:f>
        <x:v>1</x:v>
      </x:c>
      <x:c r="AI2054" s="32" t="n">
        <x:f>(Z2054+v01_ElderCommons*INDEX(LM_Elder,G2054)*AA2054)*AH2054</x:f>
        <x:v>64139.732591141874</x:v>
      </x:c>
      <x:c r="AJ2054" s="32" t="n">
        <x:f>H2054*v01_CommonsCoef*AI2054^v01_CommonsExp*INDEX(LM_Commons,G2054)</x:f>
        <x:v>0</x:v>
      </x:c>
      <x:c r="AK2054" s="32" t="n">
        <x:f>H2054*v01_RoleScale*Arch_Roles*(AE2054*(INDEX(v01_ElderRolePerSett,G2054)*v01_OutElder*INDEX(LM_Elder,G2054)+INDEX(v01_ShamanPerSett,G2054)*v01_OutShaman)+Z2054*(INDEX(v01_PriestShare,G2054)*v01_OutPriest+INDEX(v01_ScribeShare,G2054)*v01_OutScribe*INDEX(LM_Scribe,G2054)+INDEX(v01_ScholarShare,G2054)*v01_OutScholar*INDEX(LM_Scholar,G2054)+INDEX(v01_ResearcherShare,G2054)*v01_OutResearcher*INDEX(LM_Researcher,G2054)))</x:f>
        <x:v>0</x:v>
      </x:c>
      <x:c r="AL2054" s="32" t="n">
        <x:f>H2054*v01_RoleScale*Arch_Roles*AE2054*INDEX(v01_MonasteryPerSett,G2054)*v01_OutMonastery*INDEX(LM_Monastery,G2054)</x:f>
        <x:v>0</x:v>
      </x:c>
      <x:c r="AM2054" s="32" t="n">
        <x:f>(AJ2054+AK2054+AL2054)/4*INDEX(LM_All,G2054)*INDEX(v01_Boon,G2054)*Arch_Insight</x:f>
        <x:v>0</x:v>
      </x:c>
      <x:c r="AN2054" s="32" t="n">
        <x:f>H2054*(v01_KHPerAdult*Z2054+v01_KHOfCommons*AJ2054/4*INDEX(LM_All,G2054))*v01_KHUsable*Arch_KH</x:f>
        <x:v>0</x:v>
      </x:c>
      <x:c r="AO2054" s="32" t="n">
        <x:f>MIN(AP2053+AN2054,AM2054*v01_KHMaxRatio)</x:f>
        <x:v>0</x:v>
      </x:c>
      <x:c r="AP2054" s="32" t="n">
        <x:f>AP2053+AN2054-AO2054</x:f>
        <x:v>0</x:v>
      </x:c>
      <x:c r="AQ2054" s="32" t="n">
        <x:f>AM2054+AO2054</x:f>
        <x:v>0</x:v>
      </x:c>
      <x:c r="AR2054" s="10" t="n">
        <x:f>IF(H2054=1,INDEX(v01_Req,G2054),0)</x:f>
        <x:v>0</x:v>
      </x:c>
      <x:c r="AS2054" s="32" t="n">
        <x:f>IF(H2054=1,IF(E2054=1,AS2053-AR2053,AS2053)+AQ2054,0)</x:f>
        <x:v>0</x:v>
      </x:c>
      <x:c r="AT2054" s="11" t="n">
        <x:f>IF(AR2054&gt;0,MIN(1,AS2054/AR2054),1)</x:f>
        <x:v>1</x:v>
      </x:c>
      <x:c r="AU2054" s="10" t="n">
        <x:f>AB2054/INDEX(v01_RepScale,G2054)</x:f>
        <x:v>90.09519605746344</x:v>
      </x:c>
      <x:c r="AV2054" s="32" t="n">
        <x:f>AM2054*60/v01_SeasonSeconds</x:f>
        <x:v>0</x:v>
      </x:c>
    </x:row>
    <x:row r="2055">
      <x:c r="A2055" s="8" t="n">
        <x:f>A2054+1</x:f>
        <x:v>2052</x:v>
      </x:c>
      <x:c r="B2055" s="9" t="n">
        <x:f>A2055*v01_SeasonSeconds/60</x:f>
        <x:v>513</x:v>
      </x:c>
      <x:c r="C2055" s="9" t="n">
        <x:f>A2055/4</x:f>
        <x:v>513</x:v>
      </x:c>
      <x:c r="D2055" s="8" t="n">
        <x:f>IF(MOD(A2055,4)=0,1,0)</x:f>
        <x:v>1</x:v>
      </x:c>
      <x:c r="E2055" s="8" t="n">
        <x:f>IF(AND(F2054&lt;=9,AS2054&gt;=AR2054),1,0)</x:f>
        <x:v>0</x:v>
      </x:c>
      <x:c r="F2055" s="8" t="n">
        <x:f>MIN(10,F2054+E2055)</x:f>
        <x:v>10</x:v>
      </x:c>
      <x:c r="G2055" s="8" t="n">
        <x:f>MIN(F2055,9)+1</x:f>
        <x:v>10</x:v>
      </x:c>
      <x:c r="H2055" s="8" t="n">
        <x:f>IF(F2055&lt;=9,1,0)</x:f>
        <x:v>0</x:v>
      </x:c>
      <x:c r="I2055" s="9" t="n">
        <x:f>MIN(10,F2054+IF(AR2054&gt;0,MIN(1,AS2054/AR2054),1))</x:f>
        <x:v>10</x:v>
      </x:c>
      <x:c r="J2055" s="32" t="n">
        <x:f>INDEX(v01_FoodCap,G2055)*Arch_FoodCap*EXP(v01_CapsByProject*SUMPRODUCT((Cap_Point&lt;=I2055)*(Cap_Kind="Food")*Cap_Ln))</x:f>
        <x:v>12000</x:v>
      </x:c>
      <x:c r="K2055" s="32" t="n">
        <x:f>J2055*MIN(1,v01_LeanBase*EXP(v01_CapsByProject*SUMPRODUCT((Cap_Point&lt;=I2055)*(Cap_Kind="Lean")*Cap_Ln)))</x:f>
        <x:v>12000</x:v>
      </x:c>
      <x:c r="L2055" s="10" t="n">
        <x:f>INDEX(v01_HousingCap,G2055)*EXP(v01_CapsByProject*SUMPRODUCT((Cap_Point&lt;=I2055)*(Cap_Kind="Housing")*Cap_Ln))</x:f>
        <x:v>20000</x:v>
      </x:c>
      <x:c r="M2055" s="10" t="n">
        <x:f>INDEX(v01_GroupCap,G2055)*v01_CohesionFactor*EXP(v01_CapsByProject*SUMPRODUCT((Cap_Point&lt;=I2055)*(Cap_Kind="Group")*Cap_Ln))</x:f>
        <x:v>1000000</x:v>
      </x:c>
      <x:c r="N2055" s="32" t="n">
        <x:f>MIN(J2055,L2055,M2055)</x:f>
        <x:v>12000</x:v>
      </x:c>
      <x:c r="O2055" s="10" t="n">
        <x:f>AE2054*N2055</x:f>
        <x:v>180000</x:v>
      </x:c>
      <x:c r="P2055" s="9" t="n">
        <x:f>MIN(1,(AB2054/(AE2054*IF(v01_GroupInCrowding=1,N2055,MIN(J2055,L2055))))^v01_CrowdingExp)</x:f>
        <x:v>0.00024569414295285325</x:v>
      </x:c>
      <x:c r="Q2055" s="9" t="n">
        <x:f>IF(D2055=1,INDEX(v01_WinterMult,G2055),1)</x:f>
        <x:v>1</x:v>
      </x:c>
      <x:c r="R2055" s="9" t="n">
        <x:f>H2055*Z2054*v01_WomenShare*v01_BaseFertility*INDEX(v01_FertMult,G2055)*Arch_Fertility*(1-P2055)</x:f>
        <x:v>0</x:v>
      </x:c>
      <x:c r="S2055" s="9" t="n">
        <x:f>H2055*Y2054*INDEX(v01_MortChild,G2055)/4*Q2055</x:f>
        <x:v>0</x:v>
      </x:c>
      <x:c r="T2055" s="9" t="n">
        <x:f>H2055*Z2054*INDEX(v01_MortAdult,G2055)*Arch_AdultMort/4*Q2055</x:f>
        <x:v>0</x:v>
      </x:c>
      <x:c r="U2055" s="9" t="n">
        <x:f>H2055*AA2054*INDEX(v01_MortElder,G2055)/4*Q2055</x:f>
        <x:v>0</x:v>
      </x:c>
      <x:c r="V2055" s="9" t="n">
        <x:f>H2055*MAX(0,AB2054-O2055)*v01_OvercapLoss</x:f>
        <x:v>0</x:v>
      </x:c>
      <x:c r="W2055" s="9" t="n">
        <x:f>H2055*Y2054/(v01_ChildYears*4)</x:f>
        <x:v>0</x:v>
      </x:c>
      <x:c r="X2055" s="9" t="n">
        <x:f>H2055*Z2054/(v01_AdultYears*4)</x:f>
        <x:v>0</x:v>
      </x:c>
      <x:c r="Y2055" s="32" t="n">
        <x:f>Y2054+R2055-S2055-W2055-Y2054*V2055/AB2054</x:f>
        <x:v>14306.18539759397</x:v>
      </x:c>
      <x:c r="Z2055" s="32" t="n">
        <x:f>Z2054+W2055-X2055-T2055-Z2054*V2055/AB2054</x:f>
        <x:v>19354.456567879548</x:v>
      </x:c>
      <x:c r="AA2055" s="32" t="n">
        <x:f>AA2054+X2055-U2055-AA2054*V2055/AB2054</x:f>
        <x:v>11386.956063258198</x:v>
      </x:c>
      <x:c r="AB2055" s="10" t="n">
        <x:f>Y2055+Z2055+AA2055</x:f>
        <x:v>45047.59802873172</x:v>
      </x:c>
      <x:c r="AC2055" s="8" t="n">
        <x:f>IF(AND(v01_WinterTrigger=1,D2055=1,AB2054/AE2054&gt;=K2055),1,0)</x:f>
        <x:v>0</x:v>
      </x:c>
      <x:c r="AD2055" s="8" t="n">
        <x:f>H2055*IF(AND(OR(AB2054/AE2054&gt;=v01_FissionTrigger*N2055,AC2055=1),AB2054/AE2054*v01_DaughterShare&gt;=v01_MinDaughter),MAX(1,ROUND(AE2054*v01_FissionRate,0)),0)</x:f>
        <x:v>0</x:v>
      </x:c>
      <x:c r="AE2055" s="8" t="n">
        <x:f>IF(H2055=1,MAX(1,MIN(INDEX(v01_Smax,G2055),AE2054+AD2055)),AE2054)</x:f>
        <x:v>15</x:v>
      </x:c>
      <x:c r="AF2055" s="8" t="n">
        <x:f>MAX(0,AE2055-AE2054)</x:f>
        <x:v>0</x:v>
      </x:c>
      <x:c r="AG2055" s="9" t="str">
        <x:f>IF(AF2055&gt;0,B2055,"")</x:f>
      </x:c>
      <x:c r="AH2055" s="9" t="n">
        <x:f>IF(F2055&gt;=1,1,(1+v01_LowTiesShare*(AE2055-1))/AE2055)</x:f>
        <x:v>1</x:v>
      </x:c>
      <x:c r="AI2055" s="32" t="n">
        <x:f>(Z2055+v01_ElderCommons*INDEX(LM_Elder,G2055)*AA2055)*AH2055</x:f>
        <x:v>64139.732591141874</x:v>
      </x:c>
      <x:c r="AJ2055" s="32" t="n">
        <x:f>H2055*v01_CommonsCoef*AI2055^v01_CommonsExp*INDEX(LM_Commons,G2055)</x:f>
        <x:v>0</x:v>
      </x:c>
      <x:c r="AK2055" s="32" t="n">
        <x:f>H2055*v01_RoleScale*Arch_Roles*(AE2055*(INDEX(v01_ElderRolePerSett,G2055)*v01_OutElder*INDEX(LM_Elder,G2055)+INDEX(v01_ShamanPerSett,G2055)*v01_OutShaman)+Z2055*(INDEX(v01_PriestShare,G2055)*v01_OutPriest+INDEX(v01_ScribeShare,G2055)*v01_OutScribe*INDEX(LM_Scribe,G2055)+INDEX(v01_ScholarShare,G2055)*v01_OutScholar*INDEX(LM_Scholar,G2055)+INDEX(v01_ResearcherShare,G2055)*v01_OutResearcher*INDEX(LM_Researcher,G2055)))</x:f>
        <x:v>0</x:v>
      </x:c>
      <x:c r="AL2055" s="32" t="n">
        <x:f>H2055*v01_RoleScale*Arch_Roles*AE2055*INDEX(v01_MonasteryPerSett,G2055)*v01_OutMonastery*INDEX(LM_Monastery,G2055)</x:f>
        <x:v>0</x:v>
      </x:c>
      <x:c r="AM2055" s="32" t="n">
        <x:f>(AJ2055+AK2055+AL2055)/4*INDEX(LM_All,G2055)*INDEX(v01_Boon,G2055)*Arch_Insight</x:f>
        <x:v>0</x:v>
      </x:c>
      <x:c r="AN2055" s="32" t="n">
        <x:f>H2055*(v01_KHPerAdult*Z2055+v01_KHOfCommons*AJ2055/4*INDEX(LM_All,G2055))*v01_KHUsable*Arch_KH</x:f>
        <x:v>0</x:v>
      </x:c>
      <x:c r="AO2055" s="32" t="n">
        <x:f>MIN(AP2054+AN2055,AM2055*v01_KHMaxRatio)</x:f>
        <x:v>0</x:v>
      </x:c>
      <x:c r="AP2055" s="32" t="n">
        <x:f>AP2054+AN2055-AO2055</x:f>
        <x:v>0</x:v>
      </x:c>
      <x:c r="AQ2055" s="32" t="n">
        <x:f>AM2055+AO2055</x:f>
        <x:v>0</x:v>
      </x:c>
      <x:c r="AR2055" s="10" t="n">
        <x:f>IF(H2055=1,INDEX(v01_Req,G2055),0)</x:f>
        <x:v>0</x:v>
      </x:c>
      <x:c r="AS2055" s="32" t="n">
        <x:f>IF(H2055=1,IF(E2055=1,AS2054-AR2054,AS2054)+AQ2055,0)</x:f>
        <x:v>0</x:v>
      </x:c>
      <x:c r="AT2055" s="11" t="n">
        <x:f>IF(AR2055&gt;0,MIN(1,AS2055/AR2055),1)</x:f>
        <x:v>1</x:v>
      </x:c>
      <x:c r="AU2055" s="10" t="n">
        <x:f>AB2055/INDEX(v01_RepScale,G2055)</x:f>
        <x:v>90.09519605746344</x:v>
      </x:c>
      <x:c r="AV2055" s="32" t="n">
        <x:f>AM2055*60/v01_SeasonSeconds</x:f>
        <x:v>0</x:v>
      </x:c>
    </x:row>
    <x:row r="2056">
      <x:c r="A2056" s="8" t="n">
        <x:f>A2055+1</x:f>
        <x:v>2053</x:v>
      </x:c>
      <x:c r="B2056" s="9" t="n">
        <x:f>A2056*v01_SeasonSeconds/60</x:f>
        <x:v>513.25</x:v>
      </x:c>
      <x:c r="C2056" s="9" t="n">
        <x:f>A2056/4</x:f>
        <x:v>513.25</x:v>
      </x:c>
      <x:c r="D2056" s="8" t="n">
        <x:f>IF(MOD(A2056,4)=0,1,0)</x:f>
        <x:v>0</x:v>
      </x:c>
      <x:c r="E2056" s="8" t="n">
        <x:f>IF(AND(F2055&lt;=9,AS2055&gt;=AR2055),1,0)</x:f>
        <x:v>0</x:v>
      </x:c>
      <x:c r="F2056" s="8" t="n">
        <x:f>MIN(10,F2055+E2056)</x:f>
        <x:v>10</x:v>
      </x:c>
      <x:c r="G2056" s="8" t="n">
        <x:f>MIN(F2056,9)+1</x:f>
        <x:v>10</x:v>
      </x:c>
      <x:c r="H2056" s="8" t="n">
        <x:f>IF(F2056&lt;=9,1,0)</x:f>
        <x:v>0</x:v>
      </x:c>
      <x:c r="I2056" s="9" t="n">
        <x:f>MIN(10,F2055+IF(AR2055&gt;0,MIN(1,AS2055/AR2055),1))</x:f>
        <x:v>10</x:v>
      </x:c>
      <x:c r="J2056" s="32" t="n">
        <x:f>INDEX(v01_FoodCap,G2056)*Arch_FoodCap*EXP(v01_CapsByProject*SUMPRODUCT((Cap_Point&lt;=I2056)*(Cap_Kind="Food")*Cap_Ln))</x:f>
        <x:v>12000</x:v>
      </x:c>
      <x:c r="K2056" s="32" t="n">
        <x:f>J2056*MIN(1,v01_LeanBase*EXP(v01_CapsByProject*SUMPRODUCT((Cap_Point&lt;=I2056)*(Cap_Kind="Lean")*Cap_Ln)))</x:f>
        <x:v>12000</x:v>
      </x:c>
      <x:c r="L2056" s="10" t="n">
        <x:f>INDEX(v01_HousingCap,G2056)*EXP(v01_CapsByProject*SUMPRODUCT((Cap_Point&lt;=I2056)*(Cap_Kind="Housing")*Cap_Ln))</x:f>
        <x:v>20000</x:v>
      </x:c>
      <x:c r="M2056" s="10" t="n">
        <x:f>INDEX(v01_GroupCap,G2056)*v01_CohesionFactor*EXP(v01_CapsByProject*SUMPRODUCT((Cap_Point&lt;=I2056)*(Cap_Kind="Group")*Cap_Ln))</x:f>
        <x:v>1000000</x:v>
      </x:c>
      <x:c r="N2056" s="32" t="n">
        <x:f>MIN(J2056,L2056,M2056)</x:f>
        <x:v>12000</x:v>
      </x:c>
      <x:c r="O2056" s="10" t="n">
        <x:f>AE2055*N2056</x:f>
        <x:v>180000</x:v>
      </x:c>
      <x:c r="P2056" s="9" t="n">
        <x:f>MIN(1,(AB2055/(AE2055*IF(v01_GroupInCrowding=1,N2056,MIN(J2056,L2056))))^v01_CrowdingExp)</x:f>
        <x:v>0.00024569414295285325</x:v>
      </x:c>
      <x:c r="Q2056" s="9" t="n">
        <x:f>IF(D2056=1,INDEX(v01_WinterMult,G2056),1)</x:f>
        <x:v>1</x:v>
      </x:c>
      <x:c r="R2056" s="9" t="n">
        <x:f>H2056*Z2055*v01_WomenShare*v01_BaseFertility*INDEX(v01_FertMult,G2056)*Arch_Fertility*(1-P2056)</x:f>
        <x:v>0</x:v>
      </x:c>
      <x:c r="S2056" s="9" t="n">
        <x:f>H2056*Y2055*INDEX(v01_MortChild,G2056)/4*Q2056</x:f>
        <x:v>0</x:v>
      </x:c>
      <x:c r="T2056" s="9" t="n">
        <x:f>H2056*Z2055*INDEX(v01_MortAdult,G2056)*Arch_AdultMort/4*Q2056</x:f>
        <x:v>0</x:v>
      </x:c>
      <x:c r="U2056" s="9" t="n">
        <x:f>H2056*AA2055*INDEX(v01_MortElder,G2056)/4*Q2056</x:f>
        <x:v>0</x:v>
      </x:c>
      <x:c r="V2056" s="9" t="n">
        <x:f>H2056*MAX(0,AB2055-O2056)*v01_OvercapLoss</x:f>
        <x:v>0</x:v>
      </x:c>
      <x:c r="W2056" s="9" t="n">
        <x:f>H2056*Y2055/(v01_ChildYears*4)</x:f>
        <x:v>0</x:v>
      </x:c>
      <x:c r="X2056" s="9" t="n">
        <x:f>H2056*Z2055/(v01_AdultYears*4)</x:f>
        <x:v>0</x:v>
      </x:c>
      <x:c r="Y2056" s="32" t="n">
        <x:f>Y2055+R2056-S2056-W2056-Y2055*V2056/AB2055</x:f>
        <x:v>14306.18539759397</x:v>
      </x:c>
      <x:c r="Z2056" s="32" t="n">
        <x:f>Z2055+W2056-X2056-T2056-Z2055*V2056/AB2055</x:f>
        <x:v>19354.456567879548</x:v>
      </x:c>
      <x:c r="AA2056" s="32" t="n">
        <x:f>AA2055+X2056-U2056-AA2055*V2056/AB2055</x:f>
        <x:v>11386.956063258198</x:v>
      </x:c>
      <x:c r="AB2056" s="10" t="n">
        <x:f>Y2056+Z2056+AA2056</x:f>
        <x:v>45047.59802873172</x:v>
      </x:c>
      <x:c r="AC2056" s="8" t="n">
        <x:f>IF(AND(v01_WinterTrigger=1,D2056=1,AB2055/AE2055&gt;=K2056),1,0)</x:f>
        <x:v>0</x:v>
      </x:c>
      <x:c r="AD2056" s="8" t="n">
        <x:f>H2056*IF(AND(OR(AB2055/AE2055&gt;=v01_FissionTrigger*N2056,AC2056=1),AB2055/AE2055*v01_DaughterShare&gt;=v01_MinDaughter),MAX(1,ROUND(AE2055*v01_FissionRate,0)),0)</x:f>
        <x:v>0</x:v>
      </x:c>
      <x:c r="AE2056" s="8" t="n">
        <x:f>IF(H2056=1,MAX(1,MIN(INDEX(v01_Smax,G2056),AE2055+AD2056)),AE2055)</x:f>
        <x:v>15</x:v>
      </x:c>
      <x:c r="AF2056" s="8" t="n">
        <x:f>MAX(0,AE2056-AE2055)</x:f>
        <x:v>0</x:v>
      </x:c>
      <x:c r="AG2056" s="9" t="str">
        <x:f>IF(AF2056&gt;0,B2056,"")</x:f>
      </x:c>
      <x:c r="AH2056" s="9" t="n">
        <x:f>IF(F2056&gt;=1,1,(1+v01_LowTiesShare*(AE2056-1))/AE2056)</x:f>
        <x:v>1</x:v>
      </x:c>
      <x:c r="AI2056" s="32" t="n">
        <x:f>(Z2056+v01_ElderCommons*INDEX(LM_Elder,G2056)*AA2056)*AH2056</x:f>
        <x:v>64139.732591141874</x:v>
      </x:c>
      <x:c r="AJ2056" s="32" t="n">
        <x:f>H2056*v01_CommonsCoef*AI2056^v01_CommonsExp*INDEX(LM_Commons,G2056)</x:f>
        <x:v>0</x:v>
      </x:c>
      <x:c r="AK2056" s="32" t="n">
        <x:f>H2056*v01_RoleScale*Arch_Roles*(AE2056*(INDEX(v01_ElderRolePerSett,G2056)*v01_OutElder*INDEX(LM_Elder,G2056)+INDEX(v01_ShamanPerSett,G2056)*v01_OutShaman)+Z2056*(INDEX(v01_PriestShare,G2056)*v01_OutPriest+INDEX(v01_ScribeShare,G2056)*v01_OutScribe*INDEX(LM_Scribe,G2056)+INDEX(v01_ScholarShare,G2056)*v01_OutScholar*INDEX(LM_Scholar,G2056)+INDEX(v01_ResearcherShare,G2056)*v01_OutResearcher*INDEX(LM_Researcher,G2056)))</x:f>
        <x:v>0</x:v>
      </x:c>
      <x:c r="AL2056" s="32" t="n">
        <x:f>H2056*v01_RoleScale*Arch_Roles*AE2056*INDEX(v01_MonasteryPerSett,G2056)*v01_OutMonastery*INDEX(LM_Monastery,G2056)</x:f>
        <x:v>0</x:v>
      </x:c>
      <x:c r="AM2056" s="32" t="n">
        <x:f>(AJ2056+AK2056+AL2056)/4*INDEX(LM_All,G2056)*INDEX(v01_Boon,G2056)*Arch_Insight</x:f>
        <x:v>0</x:v>
      </x:c>
      <x:c r="AN2056" s="32" t="n">
        <x:f>H2056*(v01_KHPerAdult*Z2056+v01_KHOfCommons*AJ2056/4*INDEX(LM_All,G2056))*v01_KHUsable*Arch_KH</x:f>
        <x:v>0</x:v>
      </x:c>
      <x:c r="AO2056" s="32" t="n">
        <x:f>MIN(AP2055+AN2056,AM2056*v01_KHMaxRatio)</x:f>
        <x:v>0</x:v>
      </x:c>
      <x:c r="AP2056" s="32" t="n">
        <x:f>AP2055+AN2056-AO2056</x:f>
        <x:v>0</x:v>
      </x:c>
      <x:c r="AQ2056" s="32" t="n">
        <x:f>AM2056+AO2056</x:f>
        <x:v>0</x:v>
      </x:c>
      <x:c r="AR2056" s="10" t="n">
        <x:f>IF(H2056=1,INDEX(v01_Req,G2056),0)</x:f>
        <x:v>0</x:v>
      </x:c>
      <x:c r="AS2056" s="32" t="n">
        <x:f>IF(H2056=1,IF(E2056=1,AS2055-AR2055,AS2055)+AQ2056,0)</x:f>
        <x:v>0</x:v>
      </x:c>
      <x:c r="AT2056" s="11" t="n">
        <x:f>IF(AR2056&gt;0,MIN(1,AS2056/AR2056),1)</x:f>
        <x:v>1</x:v>
      </x:c>
      <x:c r="AU2056" s="10" t="n">
        <x:f>AB2056/INDEX(v01_RepScale,G2056)</x:f>
        <x:v>90.09519605746344</x:v>
      </x:c>
      <x:c r="AV2056" s="32" t="n">
        <x:f>AM2056*60/v01_SeasonSeconds</x:f>
        <x:v>0</x:v>
      </x:c>
    </x:row>
    <x:row r="2057">
      <x:c r="A2057" s="8" t="n">
        <x:f>A2056+1</x:f>
        <x:v>2054</x:v>
      </x:c>
      <x:c r="B2057" s="9" t="n">
        <x:f>A2057*v01_SeasonSeconds/60</x:f>
        <x:v>513.5</x:v>
      </x:c>
      <x:c r="C2057" s="9" t="n">
        <x:f>A2057/4</x:f>
        <x:v>513.5</x:v>
      </x:c>
      <x:c r="D2057" s="8" t="n">
        <x:f>IF(MOD(A2057,4)=0,1,0)</x:f>
        <x:v>0</x:v>
      </x:c>
      <x:c r="E2057" s="8" t="n">
        <x:f>IF(AND(F2056&lt;=9,AS2056&gt;=AR2056),1,0)</x:f>
        <x:v>0</x:v>
      </x:c>
      <x:c r="F2057" s="8" t="n">
        <x:f>MIN(10,F2056+E2057)</x:f>
        <x:v>10</x:v>
      </x:c>
      <x:c r="G2057" s="8" t="n">
        <x:f>MIN(F2057,9)+1</x:f>
        <x:v>10</x:v>
      </x:c>
      <x:c r="H2057" s="8" t="n">
        <x:f>IF(F2057&lt;=9,1,0)</x:f>
        <x:v>0</x:v>
      </x:c>
      <x:c r="I2057" s="9" t="n">
        <x:f>MIN(10,F2056+IF(AR2056&gt;0,MIN(1,AS2056/AR2056),1))</x:f>
        <x:v>10</x:v>
      </x:c>
      <x:c r="J2057" s="32" t="n">
        <x:f>INDEX(v01_FoodCap,G2057)*Arch_FoodCap*EXP(v01_CapsByProject*SUMPRODUCT((Cap_Point&lt;=I2057)*(Cap_Kind="Food")*Cap_Ln))</x:f>
        <x:v>12000</x:v>
      </x:c>
      <x:c r="K2057" s="32" t="n">
        <x:f>J2057*MIN(1,v01_LeanBase*EXP(v01_CapsByProject*SUMPRODUCT((Cap_Point&lt;=I2057)*(Cap_Kind="Lean")*Cap_Ln)))</x:f>
        <x:v>12000</x:v>
      </x:c>
      <x:c r="L2057" s="10" t="n">
        <x:f>INDEX(v01_HousingCap,G2057)*EXP(v01_CapsByProject*SUMPRODUCT((Cap_Point&lt;=I2057)*(Cap_Kind="Housing")*Cap_Ln))</x:f>
        <x:v>20000</x:v>
      </x:c>
      <x:c r="M2057" s="10" t="n">
        <x:f>INDEX(v01_GroupCap,G2057)*v01_CohesionFactor*EXP(v01_CapsByProject*SUMPRODUCT((Cap_Point&lt;=I2057)*(Cap_Kind="Group")*Cap_Ln))</x:f>
        <x:v>1000000</x:v>
      </x:c>
      <x:c r="N2057" s="32" t="n">
        <x:f>MIN(J2057,L2057,M2057)</x:f>
        <x:v>12000</x:v>
      </x:c>
      <x:c r="O2057" s="10" t="n">
        <x:f>AE2056*N2057</x:f>
        <x:v>180000</x:v>
      </x:c>
      <x:c r="P2057" s="9" t="n">
        <x:f>MIN(1,(AB2056/(AE2056*IF(v01_GroupInCrowding=1,N2057,MIN(J2057,L2057))))^v01_CrowdingExp)</x:f>
        <x:v>0.00024569414295285325</x:v>
      </x:c>
      <x:c r="Q2057" s="9" t="n">
        <x:f>IF(D2057=1,INDEX(v01_WinterMult,G2057),1)</x:f>
        <x:v>1</x:v>
      </x:c>
      <x:c r="R2057" s="9" t="n">
        <x:f>H2057*Z2056*v01_WomenShare*v01_BaseFertility*INDEX(v01_FertMult,G2057)*Arch_Fertility*(1-P2057)</x:f>
        <x:v>0</x:v>
      </x:c>
      <x:c r="S2057" s="9" t="n">
        <x:f>H2057*Y2056*INDEX(v01_MortChild,G2057)/4*Q2057</x:f>
        <x:v>0</x:v>
      </x:c>
      <x:c r="T2057" s="9" t="n">
        <x:f>H2057*Z2056*INDEX(v01_MortAdult,G2057)*Arch_AdultMort/4*Q2057</x:f>
        <x:v>0</x:v>
      </x:c>
      <x:c r="U2057" s="9" t="n">
        <x:f>H2057*AA2056*INDEX(v01_MortElder,G2057)/4*Q2057</x:f>
        <x:v>0</x:v>
      </x:c>
      <x:c r="V2057" s="9" t="n">
        <x:f>H2057*MAX(0,AB2056-O2057)*v01_OvercapLoss</x:f>
        <x:v>0</x:v>
      </x:c>
      <x:c r="W2057" s="9" t="n">
        <x:f>H2057*Y2056/(v01_ChildYears*4)</x:f>
        <x:v>0</x:v>
      </x:c>
      <x:c r="X2057" s="9" t="n">
        <x:f>H2057*Z2056/(v01_AdultYears*4)</x:f>
        <x:v>0</x:v>
      </x:c>
      <x:c r="Y2057" s="32" t="n">
        <x:f>Y2056+R2057-S2057-W2057-Y2056*V2057/AB2056</x:f>
        <x:v>14306.18539759397</x:v>
      </x:c>
      <x:c r="Z2057" s="32" t="n">
        <x:f>Z2056+W2057-X2057-T2057-Z2056*V2057/AB2056</x:f>
        <x:v>19354.456567879548</x:v>
      </x:c>
      <x:c r="AA2057" s="32" t="n">
        <x:f>AA2056+X2057-U2057-AA2056*V2057/AB2056</x:f>
        <x:v>11386.956063258198</x:v>
      </x:c>
      <x:c r="AB2057" s="10" t="n">
        <x:f>Y2057+Z2057+AA2057</x:f>
        <x:v>45047.59802873172</x:v>
      </x:c>
      <x:c r="AC2057" s="8" t="n">
        <x:f>IF(AND(v01_WinterTrigger=1,D2057=1,AB2056/AE2056&gt;=K2057),1,0)</x:f>
        <x:v>0</x:v>
      </x:c>
      <x:c r="AD2057" s="8" t="n">
        <x:f>H2057*IF(AND(OR(AB2056/AE2056&gt;=v01_FissionTrigger*N2057,AC2057=1),AB2056/AE2056*v01_DaughterShare&gt;=v01_MinDaughter),MAX(1,ROUND(AE2056*v01_FissionRate,0)),0)</x:f>
        <x:v>0</x:v>
      </x:c>
      <x:c r="AE2057" s="8" t="n">
        <x:f>IF(H2057=1,MAX(1,MIN(INDEX(v01_Smax,G2057),AE2056+AD2057)),AE2056)</x:f>
        <x:v>15</x:v>
      </x:c>
      <x:c r="AF2057" s="8" t="n">
        <x:f>MAX(0,AE2057-AE2056)</x:f>
        <x:v>0</x:v>
      </x:c>
      <x:c r="AG2057" s="9" t="str">
        <x:f>IF(AF2057&gt;0,B2057,"")</x:f>
      </x:c>
      <x:c r="AH2057" s="9" t="n">
        <x:f>IF(F2057&gt;=1,1,(1+v01_LowTiesShare*(AE2057-1))/AE2057)</x:f>
        <x:v>1</x:v>
      </x:c>
      <x:c r="AI2057" s="32" t="n">
        <x:f>(Z2057+v01_ElderCommons*INDEX(LM_Elder,G2057)*AA2057)*AH2057</x:f>
        <x:v>64139.732591141874</x:v>
      </x:c>
      <x:c r="AJ2057" s="32" t="n">
        <x:f>H2057*v01_CommonsCoef*AI2057^v01_CommonsExp*INDEX(LM_Commons,G2057)</x:f>
        <x:v>0</x:v>
      </x:c>
      <x:c r="AK2057" s="32" t="n">
        <x:f>H2057*v01_RoleScale*Arch_Roles*(AE2057*(INDEX(v01_ElderRolePerSett,G2057)*v01_OutElder*INDEX(LM_Elder,G2057)+INDEX(v01_ShamanPerSett,G2057)*v01_OutShaman)+Z2057*(INDEX(v01_PriestShare,G2057)*v01_OutPriest+INDEX(v01_ScribeShare,G2057)*v01_OutScribe*INDEX(LM_Scribe,G2057)+INDEX(v01_ScholarShare,G2057)*v01_OutScholar*INDEX(LM_Scholar,G2057)+INDEX(v01_ResearcherShare,G2057)*v01_OutResearcher*INDEX(LM_Researcher,G2057)))</x:f>
        <x:v>0</x:v>
      </x:c>
      <x:c r="AL2057" s="32" t="n">
        <x:f>H2057*v01_RoleScale*Arch_Roles*AE2057*INDEX(v01_MonasteryPerSett,G2057)*v01_OutMonastery*INDEX(LM_Monastery,G2057)</x:f>
        <x:v>0</x:v>
      </x:c>
      <x:c r="AM2057" s="32" t="n">
        <x:f>(AJ2057+AK2057+AL2057)/4*INDEX(LM_All,G2057)*INDEX(v01_Boon,G2057)*Arch_Insight</x:f>
        <x:v>0</x:v>
      </x:c>
      <x:c r="AN2057" s="32" t="n">
        <x:f>H2057*(v01_KHPerAdult*Z2057+v01_KHOfCommons*AJ2057/4*INDEX(LM_All,G2057))*v01_KHUsable*Arch_KH</x:f>
        <x:v>0</x:v>
      </x:c>
      <x:c r="AO2057" s="32" t="n">
        <x:f>MIN(AP2056+AN2057,AM2057*v01_KHMaxRatio)</x:f>
        <x:v>0</x:v>
      </x:c>
      <x:c r="AP2057" s="32" t="n">
        <x:f>AP2056+AN2057-AO2057</x:f>
        <x:v>0</x:v>
      </x:c>
      <x:c r="AQ2057" s="32" t="n">
        <x:f>AM2057+AO2057</x:f>
        <x:v>0</x:v>
      </x:c>
      <x:c r="AR2057" s="10" t="n">
        <x:f>IF(H2057=1,INDEX(v01_Req,G2057),0)</x:f>
        <x:v>0</x:v>
      </x:c>
      <x:c r="AS2057" s="32" t="n">
        <x:f>IF(H2057=1,IF(E2057=1,AS2056-AR2056,AS2056)+AQ2057,0)</x:f>
        <x:v>0</x:v>
      </x:c>
      <x:c r="AT2057" s="11" t="n">
        <x:f>IF(AR2057&gt;0,MIN(1,AS2057/AR2057),1)</x:f>
        <x:v>1</x:v>
      </x:c>
      <x:c r="AU2057" s="10" t="n">
        <x:f>AB2057/INDEX(v01_RepScale,G2057)</x:f>
        <x:v>90.09519605746344</x:v>
      </x:c>
      <x:c r="AV2057" s="32" t="n">
        <x:f>AM2057*60/v01_SeasonSeconds</x:f>
        <x:v>0</x:v>
      </x:c>
    </x:row>
    <x:row r="2058">
      <x:c r="A2058" s="8" t="n">
        <x:f>A2057+1</x:f>
        <x:v>2055</x:v>
      </x:c>
      <x:c r="B2058" s="9" t="n">
        <x:f>A2058*v01_SeasonSeconds/60</x:f>
        <x:v>513.75</x:v>
      </x:c>
      <x:c r="C2058" s="9" t="n">
        <x:f>A2058/4</x:f>
        <x:v>513.75</x:v>
      </x:c>
      <x:c r="D2058" s="8" t="n">
        <x:f>IF(MOD(A2058,4)=0,1,0)</x:f>
        <x:v>0</x:v>
      </x:c>
      <x:c r="E2058" s="8" t="n">
        <x:f>IF(AND(F2057&lt;=9,AS2057&gt;=AR2057),1,0)</x:f>
        <x:v>0</x:v>
      </x:c>
      <x:c r="F2058" s="8" t="n">
        <x:f>MIN(10,F2057+E2058)</x:f>
        <x:v>10</x:v>
      </x:c>
      <x:c r="G2058" s="8" t="n">
        <x:f>MIN(F2058,9)+1</x:f>
        <x:v>10</x:v>
      </x:c>
      <x:c r="H2058" s="8" t="n">
        <x:f>IF(F2058&lt;=9,1,0)</x:f>
        <x:v>0</x:v>
      </x:c>
      <x:c r="I2058" s="9" t="n">
        <x:f>MIN(10,F2057+IF(AR2057&gt;0,MIN(1,AS2057/AR2057),1))</x:f>
        <x:v>10</x:v>
      </x:c>
      <x:c r="J2058" s="32" t="n">
        <x:f>INDEX(v01_FoodCap,G2058)*Arch_FoodCap*EXP(v01_CapsByProject*SUMPRODUCT((Cap_Point&lt;=I2058)*(Cap_Kind="Food")*Cap_Ln))</x:f>
        <x:v>12000</x:v>
      </x:c>
      <x:c r="K2058" s="32" t="n">
        <x:f>J2058*MIN(1,v01_LeanBase*EXP(v01_CapsByProject*SUMPRODUCT((Cap_Point&lt;=I2058)*(Cap_Kind="Lean")*Cap_Ln)))</x:f>
        <x:v>12000</x:v>
      </x:c>
      <x:c r="L2058" s="10" t="n">
        <x:f>INDEX(v01_HousingCap,G2058)*EXP(v01_CapsByProject*SUMPRODUCT((Cap_Point&lt;=I2058)*(Cap_Kind="Housing")*Cap_Ln))</x:f>
        <x:v>20000</x:v>
      </x:c>
      <x:c r="M2058" s="10" t="n">
        <x:f>INDEX(v01_GroupCap,G2058)*v01_CohesionFactor*EXP(v01_CapsByProject*SUMPRODUCT((Cap_Point&lt;=I2058)*(Cap_Kind="Group")*Cap_Ln))</x:f>
        <x:v>1000000</x:v>
      </x:c>
      <x:c r="N2058" s="32" t="n">
        <x:f>MIN(J2058,L2058,M2058)</x:f>
        <x:v>12000</x:v>
      </x:c>
      <x:c r="O2058" s="10" t="n">
        <x:f>AE2057*N2058</x:f>
        <x:v>180000</x:v>
      </x:c>
      <x:c r="P2058" s="9" t="n">
        <x:f>MIN(1,(AB2057/(AE2057*IF(v01_GroupInCrowding=1,N2058,MIN(J2058,L2058))))^v01_CrowdingExp)</x:f>
        <x:v>0.00024569414295285325</x:v>
      </x:c>
      <x:c r="Q2058" s="9" t="n">
        <x:f>IF(D2058=1,INDEX(v01_WinterMult,G2058),1)</x:f>
        <x:v>1</x:v>
      </x:c>
      <x:c r="R2058" s="9" t="n">
        <x:f>H2058*Z2057*v01_WomenShare*v01_BaseFertility*INDEX(v01_FertMult,G2058)*Arch_Fertility*(1-P2058)</x:f>
        <x:v>0</x:v>
      </x:c>
      <x:c r="S2058" s="9" t="n">
        <x:f>H2058*Y2057*INDEX(v01_MortChild,G2058)/4*Q2058</x:f>
        <x:v>0</x:v>
      </x:c>
      <x:c r="T2058" s="9" t="n">
        <x:f>H2058*Z2057*INDEX(v01_MortAdult,G2058)*Arch_AdultMort/4*Q2058</x:f>
        <x:v>0</x:v>
      </x:c>
      <x:c r="U2058" s="9" t="n">
        <x:f>H2058*AA2057*INDEX(v01_MortElder,G2058)/4*Q2058</x:f>
        <x:v>0</x:v>
      </x:c>
      <x:c r="V2058" s="9" t="n">
        <x:f>H2058*MAX(0,AB2057-O2058)*v01_OvercapLoss</x:f>
        <x:v>0</x:v>
      </x:c>
      <x:c r="W2058" s="9" t="n">
        <x:f>H2058*Y2057/(v01_ChildYears*4)</x:f>
        <x:v>0</x:v>
      </x:c>
      <x:c r="X2058" s="9" t="n">
        <x:f>H2058*Z2057/(v01_AdultYears*4)</x:f>
        <x:v>0</x:v>
      </x:c>
      <x:c r="Y2058" s="32" t="n">
        <x:f>Y2057+R2058-S2058-W2058-Y2057*V2058/AB2057</x:f>
        <x:v>14306.18539759397</x:v>
      </x:c>
      <x:c r="Z2058" s="32" t="n">
        <x:f>Z2057+W2058-X2058-T2058-Z2057*V2058/AB2057</x:f>
        <x:v>19354.456567879548</x:v>
      </x:c>
      <x:c r="AA2058" s="32" t="n">
        <x:f>AA2057+X2058-U2058-AA2057*V2058/AB2057</x:f>
        <x:v>11386.956063258198</x:v>
      </x:c>
      <x:c r="AB2058" s="10" t="n">
        <x:f>Y2058+Z2058+AA2058</x:f>
        <x:v>45047.59802873172</x:v>
      </x:c>
      <x:c r="AC2058" s="8" t="n">
        <x:f>IF(AND(v01_WinterTrigger=1,D2058=1,AB2057/AE2057&gt;=K2058),1,0)</x:f>
        <x:v>0</x:v>
      </x:c>
      <x:c r="AD2058" s="8" t="n">
        <x:f>H2058*IF(AND(OR(AB2057/AE2057&gt;=v01_FissionTrigger*N2058,AC2058=1),AB2057/AE2057*v01_DaughterShare&gt;=v01_MinDaughter),MAX(1,ROUND(AE2057*v01_FissionRate,0)),0)</x:f>
        <x:v>0</x:v>
      </x:c>
      <x:c r="AE2058" s="8" t="n">
        <x:f>IF(H2058=1,MAX(1,MIN(INDEX(v01_Smax,G2058),AE2057+AD2058)),AE2057)</x:f>
        <x:v>15</x:v>
      </x:c>
      <x:c r="AF2058" s="8" t="n">
        <x:f>MAX(0,AE2058-AE2057)</x:f>
        <x:v>0</x:v>
      </x:c>
      <x:c r="AG2058" s="9" t="str">
        <x:f>IF(AF2058&gt;0,B2058,"")</x:f>
      </x:c>
      <x:c r="AH2058" s="9" t="n">
        <x:f>IF(F2058&gt;=1,1,(1+v01_LowTiesShare*(AE2058-1))/AE2058)</x:f>
        <x:v>1</x:v>
      </x:c>
      <x:c r="AI2058" s="32" t="n">
        <x:f>(Z2058+v01_ElderCommons*INDEX(LM_Elder,G2058)*AA2058)*AH2058</x:f>
        <x:v>64139.732591141874</x:v>
      </x:c>
      <x:c r="AJ2058" s="32" t="n">
        <x:f>H2058*v01_CommonsCoef*AI2058^v01_CommonsExp*INDEX(LM_Commons,G2058)</x:f>
        <x:v>0</x:v>
      </x:c>
      <x:c r="AK2058" s="32" t="n">
        <x:f>H2058*v01_RoleScale*Arch_Roles*(AE2058*(INDEX(v01_ElderRolePerSett,G2058)*v01_OutElder*INDEX(LM_Elder,G2058)+INDEX(v01_ShamanPerSett,G2058)*v01_OutShaman)+Z2058*(INDEX(v01_PriestShare,G2058)*v01_OutPriest+INDEX(v01_ScribeShare,G2058)*v01_OutScribe*INDEX(LM_Scribe,G2058)+INDEX(v01_ScholarShare,G2058)*v01_OutScholar*INDEX(LM_Scholar,G2058)+INDEX(v01_ResearcherShare,G2058)*v01_OutResearcher*INDEX(LM_Researcher,G2058)))</x:f>
        <x:v>0</x:v>
      </x:c>
      <x:c r="AL2058" s="32" t="n">
        <x:f>H2058*v01_RoleScale*Arch_Roles*AE2058*INDEX(v01_MonasteryPerSett,G2058)*v01_OutMonastery*INDEX(LM_Monastery,G2058)</x:f>
        <x:v>0</x:v>
      </x:c>
      <x:c r="AM2058" s="32" t="n">
        <x:f>(AJ2058+AK2058+AL2058)/4*INDEX(LM_All,G2058)*INDEX(v01_Boon,G2058)*Arch_Insight</x:f>
        <x:v>0</x:v>
      </x:c>
      <x:c r="AN2058" s="32" t="n">
        <x:f>H2058*(v01_KHPerAdult*Z2058+v01_KHOfCommons*AJ2058/4*INDEX(LM_All,G2058))*v01_KHUsable*Arch_KH</x:f>
        <x:v>0</x:v>
      </x:c>
      <x:c r="AO2058" s="32" t="n">
        <x:f>MIN(AP2057+AN2058,AM2058*v01_KHMaxRatio)</x:f>
        <x:v>0</x:v>
      </x:c>
      <x:c r="AP2058" s="32" t="n">
        <x:f>AP2057+AN2058-AO2058</x:f>
        <x:v>0</x:v>
      </x:c>
      <x:c r="AQ2058" s="32" t="n">
        <x:f>AM2058+AO2058</x:f>
        <x:v>0</x:v>
      </x:c>
      <x:c r="AR2058" s="10" t="n">
        <x:f>IF(H2058=1,INDEX(v01_Req,G2058),0)</x:f>
        <x:v>0</x:v>
      </x:c>
      <x:c r="AS2058" s="32" t="n">
        <x:f>IF(H2058=1,IF(E2058=1,AS2057-AR2057,AS2057)+AQ2058,0)</x:f>
        <x:v>0</x:v>
      </x:c>
      <x:c r="AT2058" s="11" t="n">
        <x:f>IF(AR2058&gt;0,MIN(1,AS2058/AR2058),1)</x:f>
        <x:v>1</x:v>
      </x:c>
      <x:c r="AU2058" s="10" t="n">
        <x:f>AB2058/INDEX(v01_RepScale,G2058)</x:f>
        <x:v>90.09519605746344</x:v>
      </x:c>
      <x:c r="AV2058" s="32" t="n">
        <x:f>AM2058*60/v01_SeasonSeconds</x:f>
        <x:v>0</x:v>
      </x:c>
    </x:row>
    <x:row r="2059">
      <x:c r="A2059" s="8" t="n">
        <x:f>A2058+1</x:f>
        <x:v>2056</x:v>
      </x:c>
      <x:c r="B2059" s="9" t="n">
        <x:f>A2059*v01_SeasonSeconds/60</x:f>
        <x:v>514</x:v>
      </x:c>
      <x:c r="C2059" s="9" t="n">
        <x:f>A2059/4</x:f>
        <x:v>514</x:v>
      </x:c>
      <x:c r="D2059" s="8" t="n">
        <x:f>IF(MOD(A2059,4)=0,1,0)</x:f>
        <x:v>1</x:v>
      </x:c>
      <x:c r="E2059" s="8" t="n">
        <x:f>IF(AND(F2058&lt;=9,AS2058&gt;=AR2058),1,0)</x:f>
        <x:v>0</x:v>
      </x:c>
      <x:c r="F2059" s="8" t="n">
        <x:f>MIN(10,F2058+E2059)</x:f>
        <x:v>10</x:v>
      </x:c>
      <x:c r="G2059" s="8" t="n">
        <x:f>MIN(F2059,9)+1</x:f>
        <x:v>10</x:v>
      </x:c>
      <x:c r="H2059" s="8" t="n">
        <x:f>IF(F2059&lt;=9,1,0)</x:f>
        <x:v>0</x:v>
      </x:c>
      <x:c r="I2059" s="9" t="n">
        <x:f>MIN(10,F2058+IF(AR2058&gt;0,MIN(1,AS2058/AR2058),1))</x:f>
        <x:v>10</x:v>
      </x:c>
      <x:c r="J2059" s="32" t="n">
        <x:f>INDEX(v01_FoodCap,G2059)*Arch_FoodCap*EXP(v01_CapsByProject*SUMPRODUCT((Cap_Point&lt;=I2059)*(Cap_Kind="Food")*Cap_Ln))</x:f>
        <x:v>12000</x:v>
      </x:c>
      <x:c r="K2059" s="32" t="n">
        <x:f>J2059*MIN(1,v01_LeanBase*EXP(v01_CapsByProject*SUMPRODUCT((Cap_Point&lt;=I2059)*(Cap_Kind="Lean")*Cap_Ln)))</x:f>
        <x:v>12000</x:v>
      </x:c>
      <x:c r="L2059" s="10" t="n">
        <x:f>INDEX(v01_HousingCap,G2059)*EXP(v01_CapsByProject*SUMPRODUCT((Cap_Point&lt;=I2059)*(Cap_Kind="Housing")*Cap_Ln))</x:f>
        <x:v>20000</x:v>
      </x:c>
      <x:c r="M2059" s="10" t="n">
        <x:f>INDEX(v01_GroupCap,G2059)*v01_CohesionFactor*EXP(v01_CapsByProject*SUMPRODUCT((Cap_Point&lt;=I2059)*(Cap_Kind="Group")*Cap_Ln))</x:f>
        <x:v>1000000</x:v>
      </x:c>
      <x:c r="N2059" s="32" t="n">
        <x:f>MIN(J2059,L2059,M2059)</x:f>
        <x:v>12000</x:v>
      </x:c>
      <x:c r="O2059" s="10" t="n">
        <x:f>AE2058*N2059</x:f>
        <x:v>180000</x:v>
      </x:c>
      <x:c r="P2059" s="9" t="n">
        <x:f>MIN(1,(AB2058/(AE2058*IF(v01_GroupInCrowding=1,N2059,MIN(J2059,L2059))))^v01_CrowdingExp)</x:f>
        <x:v>0.00024569414295285325</x:v>
      </x:c>
      <x:c r="Q2059" s="9" t="n">
        <x:f>IF(D2059=1,INDEX(v01_WinterMult,G2059),1)</x:f>
        <x:v>1</x:v>
      </x:c>
      <x:c r="R2059" s="9" t="n">
        <x:f>H2059*Z2058*v01_WomenShare*v01_BaseFertility*INDEX(v01_FertMult,G2059)*Arch_Fertility*(1-P2059)</x:f>
        <x:v>0</x:v>
      </x:c>
      <x:c r="S2059" s="9" t="n">
        <x:f>H2059*Y2058*INDEX(v01_MortChild,G2059)/4*Q2059</x:f>
        <x:v>0</x:v>
      </x:c>
      <x:c r="T2059" s="9" t="n">
        <x:f>H2059*Z2058*INDEX(v01_MortAdult,G2059)*Arch_AdultMort/4*Q2059</x:f>
        <x:v>0</x:v>
      </x:c>
      <x:c r="U2059" s="9" t="n">
        <x:f>H2059*AA2058*INDEX(v01_MortElder,G2059)/4*Q2059</x:f>
        <x:v>0</x:v>
      </x:c>
      <x:c r="V2059" s="9" t="n">
        <x:f>H2059*MAX(0,AB2058-O2059)*v01_OvercapLoss</x:f>
        <x:v>0</x:v>
      </x:c>
      <x:c r="W2059" s="9" t="n">
        <x:f>H2059*Y2058/(v01_ChildYears*4)</x:f>
        <x:v>0</x:v>
      </x:c>
      <x:c r="X2059" s="9" t="n">
        <x:f>H2059*Z2058/(v01_AdultYears*4)</x:f>
        <x:v>0</x:v>
      </x:c>
      <x:c r="Y2059" s="32" t="n">
        <x:f>Y2058+R2059-S2059-W2059-Y2058*V2059/AB2058</x:f>
        <x:v>14306.18539759397</x:v>
      </x:c>
      <x:c r="Z2059" s="32" t="n">
        <x:f>Z2058+W2059-X2059-T2059-Z2058*V2059/AB2058</x:f>
        <x:v>19354.456567879548</x:v>
      </x:c>
      <x:c r="AA2059" s="32" t="n">
        <x:f>AA2058+X2059-U2059-AA2058*V2059/AB2058</x:f>
        <x:v>11386.956063258198</x:v>
      </x:c>
      <x:c r="AB2059" s="10" t="n">
        <x:f>Y2059+Z2059+AA2059</x:f>
        <x:v>45047.59802873172</x:v>
      </x:c>
      <x:c r="AC2059" s="8" t="n">
        <x:f>IF(AND(v01_WinterTrigger=1,D2059=1,AB2058/AE2058&gt;=K2059),1,0)</x:f>
        <x:v>0</x:v>
      </x:c>
      <x:c r="AD2059" s="8" t="n">
        <x:f>H2059*IF(AND(OR(AB2058/AE2058&gt;=v01_FissionTrigger*N2059,AC2059=1),AB2058/AE2058*v01_DaughterShare&gt;=v01_MinDaughter),MAX(1,ROUND(AE2058*v01_FissionRate,0)),0)</x:f>
        <x:v>0</x:v>
      </x:c>
      <x:c r="AE2059" s="8" t="n">
        <x:f>IF(H2059=1,MAX(1,MIN(INDEX(v01_Smax,G2059),AE2058+AD2059)),AE2058)</x:f>
        <x:v>15</x:v>
      </x:c>
      <x:c r="AF2059" s="8" t="n">
        <x:f>MAX(0,AE2059-AE2058)</x:f>
        <x:v>0</x:v>
      </x:c>
      <x:c r="AG2059" s="9" t="str">
        <x:f>IF(AF2059&gt;0,B2059,"")</x:f>
      </x:c>
      <x:c r="AH2059" s="9" t="n">
        <x:f>IF(F2059&gt;=1,1,(1+v01_LowTiesShare*(AE2059-1))/AE2059)</x:f>
        <x:v>1</x:v>
      </x:c>
      <x:c r="AI2059" s="32" t="n">
        <x:f>(Z2059+v01_ElderCommons*INDEX(LM_Elder,G2059)*AA2059)*AH2059</x:f>
        <x:v>64139.732591141874</x:v>
      </x:c>
      <x:c r="AJ2059" s="32" t="n">
        <x:f>H2059*v01_CommonsCoef*AI2059^v01_CommonsExp*INDEX(LM_Commons,G2059)</x:f>
        <x:v>0</x:v>
      </x:c>
      <x:c r="AK2059" s="32" t="n">
        <x:f>H2059*v01_RoleScale*Arch_Roles*(AE2059*(INDEX(v01_ElderRolePerSett,G2059)*v01_OutElder*INDEX(LM_Elder,G2059)+INDEX(v01_ShamanPerSett,G2059)*v01_OutShaman)+Z2059*(INDEX(v01_PriestShare,G2059)*v01_OutPriest+INDEX(v01_ScribeShare,G2059)*v01_OutScribe*INDEX(LM_Scribe,G2059)+INDEX(v01_ScholarShare,G2059)*v01_OutScholar*INDEX(LM_Scholar,G2059)+INDEX(v01_ResearcherShare,G2059)*v01_OutResearcher*INDEX(LM_Researcher,G2059)))</x:f>
        <x:v>0</x:v>
      </x:c>
      <x:c r="AL2059" s="32" t="n">
        <x:f>H2059*v01_RoleScale*Arch_Roles*AE2059*INDEX(v01_MonasteryPerSett,G2059)*v01_OutMonastery*INDEX(LM_Monastery,G2059)</x:f>
        <x:v>0</x:v>
      </x:c>
      <x:c r="AM2059" s="32" t="n">
        <x:f>(AJ2059+AK2059+AL2059)/4*INDEX(LM_All,G2059)*INDEX(v01_Boon,G2059)*Arch_Insight</x:f>
        <x:v>0</x:v>
      </x:c>
      <x:c r="AN2059" s="32" t="n">
        <x:f>H2059*(v01_KHPerAdult*Z2059+v01_KHOfCommons*AJ2059/4*INDEX(LM_All,G2059))*v01_KHUsable*Arch_KH</x:f>
        <x:v>0</x:v>
      </x:c>
      <x:c r="AO2059" s="32" t="n">
        <x:f>MIN(AP2058+AN2059,AM2059*v01_KHMaxRatio)</x:f>
        <x:v>0</x:v>
      </x:c>
      <x:c r="AP2059" s="32" t="n">
        <x:f>AP2058+AN2059-AO2059</x:f>
        <x:v>0</x:v>
      </x:c>
      <x:c r="AQ2059" s="32" t="n">
        <x:f>AM2059+AO2059</x:f>
        <x:v>0</x:v>
      </x:c>
      <x:c r="AR2059" s="10" t="n">
        <x:f>IF(H2059=1,INDEX(v01_Req,G2059),0)</x:f>
        <x:v>0</x:v>
      </x:c>
      <x:c r="AS2059" s="32" t="n">
        <x:f>IF(H2059=1,IF(E2059=1,AS2058-AR2058,AS2058)+AQ2059,0)</x:f>
        <x:v>0</x:v>
      </x:c>
      <x:c r="AT2059" s="11" t="n">
        <x:f>IF(AR2059&gt;0,MIN(1,AS2059/AR2059),1)</x:f>
        <x:v>1</x:v>
      </x:c>
      <x:c r="AU2059" s="10" t="n">
        <x:f>AB2059/INDEX(v01_RepScale,G2059)</x:f>
        <x:v>90.09519605746344</x:v>
      </x:c>
      <x:c r="AV2059" s="32" t="n">
        <x:f>AM2059*60/v01_SeasonSeconds</x:f>
        <x:v>0</x:v>
      </x:c>
    </x:row>
    <x:row r="2060">
      <x:c r="A2060" s="8" t="n">
        <x:f>A2059+1</x:f>
        <x:v>2057</x:v>
      </x:c>
      <x:c r="B2060" s="9" t="n">
        <x:f>A2060*v01_SeasonSeconds/60</x:f>
        <x:v>514.25</x:v>
      </x:c>
      <x:c r="C2060" s="9" t="n">
        <x:f>A2060/4</x:f>
        <x:v>514.25</x:v>
      </x:c>
      <x:c r="D2060" s="8" t="n">
        <x:f>IF(MOD(A2060,4)=0,1,0)</x:f>
        <x:v>0</x:v>
      </x:c>
      <x:c r="E2060" s="8" t="n">
        <x:f>IF(AND(F2059&lt;=9,AS2059&gt;=AR2059),1,0)</x:f>
        <x:v>0</x:v>
      </x:c>
      <x:c r="F2060" s="8" t="n">
        <x:f>MIN(10,F2059+E2060)</x:f>
        <x:v>10</x:v>
      </x:c>
      <x:c r="G2060" s="8" t="n">
        <x:f>MIN(F2060,9)+1</x:f>
        <x:v>10</x:v>
      </x:c>
      <x:c r="H2060" s="8" t="n">
        <x:f>IF(F2060&lt;=9,1,0)</x:f>
        <x:v>0</x:v>
      </x:c>
      <x:c r="I2060" s="9" t="n">
        <x:f>MIN(10,F2059+IF(AR2059&gt;0,MIN(1,AS2059/AR2059),1))</x:f>
        <x:v>10</x:v>
      </x:c>
      <x:c r="J2060" s="32" t="n">
        <x:f>INDEX(v01_FoodCap,G2060)*Arch_FoodCap*EXP(v01_CapsByProject*SUMPRODUCT((Cap_Point&lt;=I2060)*(Cap_Kind="Food")*Cap_Ln))</x:f>
        <x:v>12000</x:v>
      </x:c>
      <x:c r="K2060" s="32" t="n">
        <x:f>J2060*MIN(1,v01_LeanBase*EXP(v01_CapsByProject*SUMPRODUCT((Cap_Point&lt;=I2060)*(Cap_Kind="Lean")*Cap_Ln)))</x:f>
        <x:v>12000</x:v>
      </x:c>
      <x:c r="L2060" s="10" t="n">
        <x:f>INDEX(v01_HousingCap,G2060)*EXP(v01_CapsByProject*SUMPRODUCT((Cap_Point&lt;=I2060)*(Cap_Kind="Housing")*Cap_Ln))</x:f>
        <x:v>20000</x:v>
      </x:c>
      <x:c r="M2060" s="10" t="n">
        <x:f>INDEX(v01_GroupCap,G2060)*v01_CohesionFactor*EXP(v01_CapsByProject*SUMPRODUCT((Cap_Point&lt;=I2060)*(Cap_Kind="Group")*Cap_Ln))</x:f>
        <x:v>1000000</x:v>
      </x:c>
      <x:c r="N2060" s="32" t="n">
        <x:f>MIN(J2060,L2060,M2060)</x:f>
        <x:v>12000</x:v>
      </x:c>
      <x:c r="O2060" s="10" t="n">
        <x:f>AE2059*N2060</x:f>
        <x:v>180000</x:v>
      </x:c>
      <x:c r="P2060" s="9" t="n">
        <x:f>MIN(1,(AB2059/(AE2059*IF(v01_GroupInCrowding=1,N2060,MIN(J2060,L2060))))^v01_CrowdingExp)</x:f>
        <x:v>0.00024569414295285325</x:v>
      </x:c>
      <x:c r="Q2060" s="9" t="n">
        <x:f>IF(D2060=1,INDEX(v01_WinterMult,G2060),1)</x:f>
        <x:v>1</x:v>
      </x:c>
      <x:c r="R2060" s="9" t="n">
        <x:f>H2060*Z2059*v01_WomenShare*v01_BaseFertility*INDEX(v01_FertMult,G2060)*Arch_Fertility*(1-P2060)</x:f>
        <x:v>0</x:v>
      </x:c>
      <x:c r="S2060" s="9" t="n">
        <x:f>H2060*Y2059*INDEX(v01_MortChild,G2060)/4*Q2060</x:f>
        <x:v>0</x:v>
      </x:c>
      <x:c r="T2060" s="9" t="n">
        <x:f>H2060*Z2059*INDEX(v01_MortAdult,G2060)*Arch_AdultMort/4*Q2060</x:f>
        <x:v>0</x:v>
      </x:c>
      <x:c r="U2060" s="9" t="n">
        <x:f>H2060*AA2059*INDEX(v01_MortElder,G2060)/4*Q2060</x:f>
        <x:v>0</x:v>
      </x:c>
      <x:c r="V2060" s="9" t="n">
        <x:f>H2060*MAX(0,AB2059-O2060)*v01_OvercapLoss</x:f>
        <x:v>0</x:v>
      </x:c>
      <x:c r="W2060" s="9" t="n">
        <x:f>H2060*Y2059/(v01_ChildYears*4)</x:f>
        <x:v>0</x:v>
      </x:c>
      <x:c r="X2060" s="9" t="n">
        <x:f>H2060*Z2059/(v01_AdultYears*4)</x:f>
        <x:v>0</x:v>
      </x:c>
      <x:c r="Y2060" s="32" t="n">
        <x:f>Y2059+R2060-S2060-W2060-Y2059*V2060/AB2059</x:f>
        <x:v>14306.18539759397</x:v>
      </x:c>
      <x:c r="Z2060" s="32" t="n">
        <x:f>Z2059+W2060-X2060-T2060-Z2059*V2060/AB2059</x:f>
        <x:v>19354.456567879548</x:v>
      </x:c>
      <x:c r="AA2060" s="32" t="n">
        <x:f>AA2059+X2060-U2060-AA2059*V2060/AB2059</x:f>
        <x:v>11386.956063258198</x:v>
      </x:c>
      <x:c r="AB2060" s="10" t="n">
        <x:f>Y2060+Z2060+AA2060</x:f>
        <x:v>45047.59802873172</x:v>
      </x:c>
      <x:c r="AC2060" s="8" t="n">
        <x:f>IF(AND(v01_WinterTrigger=1,D2060=1,AB2059/AE2059&gt;=K2060),1,0)</x:f>
        <x:v>0</x:v>
      </x:c>
      <x:c r="AD2060" s="8" t="n">
        <x:f>H2060*IF(AND(OR(AB2059/AE2059&gt;=v01_FissionTrigger*N2060,AC2060=1),AB2059/AE2059*v01_DaughterShare&gt;=v01_MinDaughter),MAX(1,ROUND(AE2059*v01_FissionRate,0)),0)</x:f>
        <x:v>0</x:v>
      </x:c>
      <x:c r="AE2060" s="8" t="n">
        <x:f>IF(H2060=1,MAX(1,MIN(INDEX(v01_Smax,G2060),AE2059+AD2060)),AE2059)</x:f>
        <x:v>15</x:v>
      </x:c>
      <x:c r="AF2060" s="8" t="n">
        <x:f>MAX(0,AE2060-AE2059)</x:f>
        <x:v>0</x:v>
      </x:c>
      <x:c r="AG2060" s="9" t="str">
        <x:f>IF(AF2060&gt;0,B2060,"")</x:f>
      </x:c>
      <x:c r="AH2060" s="9" t="n">
        <x:f>IF(F2060&gt;=1,1,(1+v01_LowTiesShare*(AE2060-1))/AE2060)</x:f>
        <x:v>1</x:v>
      </x:c>
      <x:c r="AI2060" s="32" t="n">
        <x:f>(Z2060+v01_ElderCommons*INDEX(LM_Elder,G2060)*AA2060)*AH2060</x:f>
        <x:v>64139.732591141874</x:v>
      </x:c>
      <x:c r="AJ2060" s="32" t="n">
        <x:f>H2060*v01_CommonsCoef*AI2060^v01_CommonsExp*INDEX(LM_Commons,G2060)</x:f>
        <x:v>0</x:v>
      </x:c>
      <x:c r="AK2060" s="32" t="n">
        <x:f>H2060*v01_RoleScale*Arch_Roles*(AE2060*(INDEX(v01_ElderRolePerSett,G2060)*v01_OutElder*INDEX(LM_Elder,G2060)+INDEX(v01_ShamanPerSett,G2060)*v01_OutShaman)+Z2060*(INDEX(v01_PriestShare,G2060)*v01_OutPriest+INDEX(v01_ScribeShare,G2060)*v01_OutScribe*INDEX(LM_Scribe,G2060)+INDEX(v01_ScholarShare,G2060)*v01_OutScholar*INDEX(LM_Scholar,G2060)+INDEX(v01_ResearcherShare,G2060)*v01_OutResearcher*INDEX(LM_Researcher,G2060)))</x:f>
        <x:v>0</x:v>
      </x:c>
      <x:c r="AL2060" s="32" t="n">
        <x:f>H2060*v01_RoleScale*Arch_Roles*AE2060*INDEX(v01_MonasteryPerSett,G2060)*v01_OutMonastery*INDEX(LM_Monastery,G2060)</x:f>
        <x:v>0</x:v>
      </x:c>
      <x:c r="AM2060" s="32" t="n">
        <x:f>(AJ2060+AK2060+AL2060)/4*INDEX(LM_All,G2060)*INDEX(v01_Boon,G2060)*Arch_Insight</x:f>
        <x:v>0</x:v>
      </x:c>
      <x:c r="AN2060" s="32" t="n">
        <x:f>H2060*(v01_KHPerAdult*Z2060+v01_KHOfCommons*AJ2060/4*INDEX(LM_All,G2060))*v01_KHUsable*Arch_KH</x:f>
        <x:v>0</x:v>
      </x:c>
      <x:c r="AO2060" s="32" t="n">
        <x:f>MIN(AP2059+AN2060,AM2060*v01_KHMaxRatio)</x:f>
        <x:v>0</x:v>
      </x:c>
      <x:c r="AP2060" s="32" t="n">
        <x:f>AP2059+AN2060-AO2060</x:f>
        <x:v>0</x:v>
      </x:c>
      <x:c r="AQ2060" s="32" t="n">
        <x:f>AM2060+AO2060</x:f>
        <x:v>0</x:v>
      </x:c>
      <x:c r="AR2060" s="10" t="n">
        <x:f>IF(H2060=1,INDEX(v01_Req,G2060),0)</x:f>
        <x:v>0</x:v>
      </x:c>
      <x:c r="AS2060" s="32" t="n">
        <x:f>IF(H2060=1,IF(E2060=1,AS2059-AR2059,AS2059)+AQ2060,0)</x:f>
        <x:v>0</x:v>
      </x:c>
      <x:c r="AT2060" s="11" t="n">
        <x:f>IF(AR2060&gt;0,MIN(1,AS2060/AR2060),1)</x:f>
        <x:v>1</x:v>
      </x:c>
      <x:c r="AU2060" s="10" t="n">
        <x:f>AB2060/INDEX(v01_RepScale,G2060)</x:f>
        <x:v>90.09519605746344</x:v>
      </x:c>
      <x:c r="AV2060" s="32" t="n">
        <x:f>AM2060*60/v01_SeasonSeconds</x:f>
        <x:v>0</x:v>
      </x:c>
    </x:row>
    <x:row r="2061">
      <x:c r="A2061" s="8" t="n">
        <x:f>A2060+1</x:f>
        <x:v>2058</x:v>
      </x:c>
      <x:c r="B2061" s="9" t="n">
        <x:f>A2061*v01_SeasonSeconds/60</x:f>
        <x:v>514.5</x:v>
      </x:c>
      <x:c r="C2061" s="9" t="n">
        <x:f>A2061/4</x:f>
        <x:v>514.5</x:v>
      </x:c>
      <x:c r="D2061" s="8" t="n">
        <x:f>IF(MOD(A2061,4)=0,1,0)</x:f>
        <x:v>0</x:v>
      </x:c>
      <x:c r="E2061" s="8" t="n">
        <x:f>IF(AND(F2060&lt;=9,AS2060&gt;=AR2060),1,0)</x:f>
        <x:v>0</x:v>
      </x:c>
      <x:c r="F2061" s="8" t="n">
        <x:f>MIN(10,F2060+E2061)</x:f>
        <x:v>10</x:v>
      </x:c>
      <x:c r="G2061" s="8" t="n">
        <x:f>MIN(F2061,9)+1</x:f>
        <x:v>10</x:v>
      </x:c>
      <x:c r="H2061" s="8" t="n">
        <x:f>IF(F2061&lt;=9,1,0)</x:f>
        <x:v>0</x:v>
      </x:c>
      <x:c r="I2061" s="9" t="n">
        <x:f>MIN(10,F2060+IF(AR2060&gt;0,MIN(1,AS2060/AR2060),1))</x:f>
        <x:v>10</x:v>
      </x:c>
      <x:c r="J2061" s="32" t="n">
        <x:f>INDEX(v01_FoodCap,G2061)*Arch_FoodCap*EXP(v01_CapsByProject*SUMPRODUCT((Cap_Point&lt;=I2061)*(Cap_Kind="Food")*Cap_Ln))</x:f>
        <x:v>12000</x:v>
      </x:c>
      <x:c r="K2061" s="32" t="n">
        <x:f>J2061*MIN(1,v01_LeanBase*EXP(v01_CapsByProject*SUMPRODUCT((Cap_Point&lt;=I2061)*(Cap_Kind="Lean")*Cap_Ln)))</x:f>
        <x:v>12000</x:v>
      </x:c>
      <x:c r="L2061" s="10" t="n">
        <x:f>INDEX(v01_HousingCap,G2061)*EXP(v01_CapsByProject*SUMPRODUCT((Cap_Point&lt;=I2061)*(Cap_Kind="Housing")*Cap_Ln))</x:f>
        <x:v>20000</x:v>
      </x:c>
      <x:c r="M2061" s="10" t="n">
        <x:f>INDEX(v01_GroupCap,G2061)*v01_CohesionFactor*EXP(v01_CapsByProject*SUMPRODUCT((Cap_Point&lt;=I2061)*(Cap_Kind="Group")*Cap_Ln))</x:f>
        <x:v>1000000</x:v>
      </x:c>
      <x:c r="N2061" s="32" t="n">
        <x:f>MIN(J2061,L2061,M2061)</x:f>
        <x:v>12000</x:v>
      </x:c>
      <x:c r="O2061" s="10" t="n">
        <x:f>AE2060*N2061</x:f>
        <x:v>180000</x:v>
      </x:c>
      <x:c r="P2061" s="9" t="n">
        <x:f>MIN(1,(AB2060/(AE2060*IF(v01_GroupInCrowding=1,N2061,MIN(J2061,L2061))))^v01_CrowdingExp)</x:f>
        <x:v>0.00024569414295285325</x:v>
      </x:c>
      <x:c r="Q2061" s="9" t="n">
        <x:f>IF(D2061=1,INDEX(v01_WinterMult,G2061),1)</x:f>
        <x:v>1</x:v>
      </x:c>
      <x:c r="R2061" s="9" t="n">
        <x:f>H2061*Z2060*v01_WomenShare*v01_BaseFertility*INDEX(v01_FertMult,G2061)*Arch_Fertility*(1-P2061)</x:f>
        <x:v>0</x:v>
      </x:c>
      <x:c r="S2061" s="9" t="n">
        <x:f>H2061*Y2060*INDEX(v01_MortChild,G2061)/4*Q2061</x:f>
        <x:v>0</x:v>
      </x:c>
      <x:c r="T2061" s="9" t="n">
        <x:f>H2061*Z2060*INDEX(v01_MortAdult,G2061)*Arch_AdultMort/4*Q2061</x:f>
        <x:v>0</x:v>
      </x:c>
      <x:c r="U2061" s="9" t="n">
        <x:f>H2061*AA2060*INDEX(v01_MortElder,G2061)/4*Q2061</x:f>
        <x:v>0</x:v>
      </x:c>
      <x:c r="V2061" s="9" t="n">
        <x:f>H2061*MAX(0,AB2060-O2061)*v01_OvercapLoss</x:f>
        <x:v>0</x:v>
      </x:c>
      <x:c r="W2061" s="9" t="n">
        <x:f>H2061*Y2060/(v01_ChildYears*4)</x:f>
        <x:v>0</x:v>
      </x:c>
      <x:c r="X2061" s="9" t="n">
        <x:f>H2061*Z2060/(v01_AdultYears*4)</x:f>
        <x:v>0</x:v>
      </x:c>
      <x:c r="Y2061" s="32" t="n">
        <x:f>Y2060+R2061-S2061-W2061-Y2060*V2061/AB2060</x:f>
        <x:v>14306.18539759397</x:v>
      </x:c>
      <x:c r="Z2061" s="32" t="n">
        <x:f>Z2060+W2061-X2061-T2061-Z2060*V2061/AB2060</x:f>
        <x:v>19354.456567879548</x:v>
      </x:c>
      <x:c r="AA2061" s="32" t="n">
        <x:f>AA2060+X2061-U2061-AA2060*V2061/AB2060</x:f>
        <x:v>11386.956063258198</x:v>
      </x:c>
      <x:c r="AB2061" s="10" t="n">
        <x:f>Y2061+Z2061+AA2061</x:f>
        <x:v>45047.59802873172</x:v>
      </x:c>
      <x:c r="AC2061" s="8" t="n">
        <x:f>IF(AND(v01_WinterTrigger=1,D2061=1,AB2060/AE2060&gt;=K2061),1,0)</x:f>
        <x:v>0</x:v>
      </x:c>
      <x:c r="AD2061" s="8" t="n">
        <x:f>H2061*IF(AND(OR(AB2060/AE2060&gt;=v01_FissionTrigger*N2061,AC2061=1),AB2060/AE2060*v01_DaughterShare&gt;=v01_MinDaughter),MAX(1,ROUND(AE2060*v01_FissionRate,0)),0)</x:f>
        <x:v>0</x:v>
      </x:c>
      <x:c r="AE2061" s="8" t="n">
        <x:f>IF(H2061=1,MAX(1,MIN(INDEX(v01_Smax,G2061),AE2060+AD2061)),AE2060)</x:f>
        <x:v>15</x:v>
      </x:c>
      <x:c r="AF2061" s="8" t="n">
        <x:f>MAX(0,AE2061-AE2060)</x:f>
        <x:v>0</x:v>
      </x:c>
      <x:c r="AG2061" s="9" t="str">
        <x:f>IF(AF2061&gt;0,B2061,"")</x:f>
      </x:c>
      <x:c r="AH2061" s="9" t="n">
        <x:f>IF(F2061&gt;=1,1,(1+v01_LowTiesShare*(AE2061-1))/AE2061)</x:f>
        <x:v>1</x:v>
      </x:c>
      <x:c r="AI2061" s="32" t="n">
        <x:f>(Z2061+v01_ElderCommons*INDEX(LM_Elder,G2061)*AA2061)*AH2061</x:f>
        <x:v>64139.732591141874</x:v>
      </x:c>
      <x:c r="AJ2061" s="32" t="n">
        <x:f>H2061*v01_CommonsCoef*AI2061^v01_CommonsExp*INDEX(LM_Commons,G2061)</x:f>
        <x:v>0</x:v>
      </x:c>
      <x:c r="AK2061" s="32" t="n">
        <x:f>H2061*v01_RoleScale*Arch_Roles*(AE2061*(INDEX(v01_ElderRolePerSett,G2061)*v01_OutElder*INDEX(LM_Elder,G2061)+INDEX(v01_ShamanPerSett,G2061)*v01_OutShaman)+Z2061*(INDEX(v01_PriestShare,G2061)*v01_OutPriest+INDEX(v01_ScribeShare,G2061)*v01_OutScribe*INDEX(LM_Scribe,G2061)+INDEX(v01_ScholarShare,G2061)*v01_OutScholar*INDEX(LM_Scholar,G2061)+INDEX(v01_ResearcherShare,G2061)*v01_OutResearcher*INDEX(LM_Researcher,G2061)))</x:f>
        <x:v>0</x:v>
      </x:c>
      <x:c r="AL2061" s="32" t="n">
        <x:f>H2061*v01_RoleScale*Arch_Roles*AE2061*INDEX(v01_MonasteryPerSett,G2061)*v01_OutMonastery*INDEX(LM_Monastery,G2061)</x:f>
        <x:v>0</x:v>
      </x:c>
      <x:c r="AM2061" s="32" t="n">
        <x:f>(AJ2061+AK2061+AL2061)/4*INDEX(LM_All,G2061)*INDEX(v01_Boon,G2061)*Arch_Insight</x:f>
        <x:v>0</x:v>
      </x:c>
      <x:c r="AN2061" s="32" t="n">
        <x:f>H2061*(v01_KHPerAdult*Z2061+v01_KHOfCommons*AJ2061/4*INDEX(LM_All,G2061))*v01_KHUsable*Arch_KH</x:f>
        <x:v>0</x:v>
      </x:c>
      <x:c r="AO2061" s="32" t="n">
        <x:f>MIN(AP2060+AN2061,AM2061*v01_KHMaxRatio)</x:f>
        <x:v>0</x:v>
      </x:c>
      <x:c r="AP2061" s="32" t="n">
        <x:f>AP2060+AN2061-AO2061</x:f>
        <x:v>0</x:v>
      </x:c>
      <x:c r="AQ2061" s="32" t="n">
        <x:f>AM2061+AO2061</x:f>
        <x:v>0</x:v>
      </x:c>
      <x:c r="AR2061" s="10" t="n">
        <x:f>IF(H2061=1,INDEX(v01_Req,G2061),0)</x:f>
        <x:v>0</x:v>
      </x:c>
      <x:c r="AS2061" s="32" t="n">
        <x:f>IF(H2061=1,IF(E2061=1,AS2060-AR2060,AS2060)+AQ2061,0)</x:f>
        <x:v>0</x:v>
      </x:c>
      <x:c r="AT2061" s="11" t="n">
        <x:f>IF(AR2061&gt;0,MIN(1,AS2061/AR2061),1)</x:f>
        <x:v>1</x:v>
      </x:c>
      <x:c r="AU2061" s="10" t="n">
        <x:f>AB2061/INDEX(v01_RepScale,G2061)</x:f>
        <x:v>90.09519605746344</x:v>
      </x:c>
      <x:c r="AV2061" s="32" t="n">
        <x:f>AM2061*60/v01_SeasonSeconds</x:f>
        <x:v>0</x:v>
      </x:c>
    </x:row>
    <x:row r="2062">
      <x:c r="A2062" s="8" t="n">
        <x:f>A2061+1</x:f>
        <x:v>2059</x:v>
      </x:c>
      <x:c r="B2062" s="9" t="n">
        <x:f>A2062*v01_SeasonSeconds/60</x:f>
        <x:v>514.75</x:v>
      </x:c>
      <x:c r="C2062" s="9" t="n">
        <x:f>A2062/4</x:f>
        <x:v>514.75</x:v>
      </x:c>
      <x:c r="D2062" s="8" t="n">
        <x:f>IF(MOD(A2062,4)=0,1,0)</x:f>
        <x:v>0</x:v>
      </x:c>
      <x:c r="E2062" s="8" t="n">
        <x:f>IF(AND(F2061&lt;=9,AS2061&gt;=AR2061),1,0)</x:f>
        <x:v>0</x:v>
      </x:c>
      <x:c r="F2062" s="8" t="n">
        <x:f>MIN(10,F2061+E2062)</x:f>
        <x:v>10</x:v>
      </x:c>
      <x:c r="G2062" s="8" t="n">
        <x:f>MIN(F2062,9)+1</x:f>
        <x:v>10</x:v>
      </x:c>
      <x:c r="H2062" s="8" t="n">
        <x:f>IF(F2062&lt;=9,1,0)</x:f>
        <x:v>0</x:v>
      </x:c>
      <x:c r="I2062" s="9" t="n">
        <x:f>MIN(10,F2061+IF(AR2061&gt;0,MIN(1,AS2061/AR2061),1))</x:f>
        <x:v>10</x:v>
      </x:c>
      <x:c r="J2062" s="32" t="n">
        <x:f>INDEX(v01_FoodCap,G2062)*Arch_FoodCap*EXP(v01_CapsByProject*SUMPRODUCT((Cap_Point&lt;=I2062)*(Cap_Kind="Food")*Cap_Ln))</x:f>
        <x:v>12000</x:v>
      </x:c>
      <x:c r="K2062" s="32" t="n">
        <x:f>J2062*MIN(1,v01_LeanBase*EXP(v01_CapsByProject*SUMPRODUCT((Cap_Point&lt;=I2062)*(Cap_Kind="Lean")*Cap_Ln)))</x:f>
        <x:v>12000</x:v>
      </x:c>
      <x:c r="L2062" s="10" t="n">
        <x:f>INDEX(v01_HousingCap,G2062)*EXP(v01_CapsByProject*SUMPRODUCT((Cap_Point&lt;=I2062)*(Cap_Kind="Housing")*Cap_Ln))</x:f>
        <x:v>20000</x:v>
      </x:c>
      <x:c r="M2062" s="10" t="n">
        <x:f>INDEX(v01_GroupCap,G2062)*v01_CohesionFactor*EXP(v01_CapsByProject*SUMPRODUCT((Cap_Point&lt;=I2062)*(Cap_Kind="Group")*Cap_Ln))</x:f>
        <x:v>1000000</x:v>
      </x:c>
      <x:c r="N2062" s="32" t="n">
        <x:f>MIN(J2062,L2062,M2062)</x:f>
        <x:v>12000</x:v>
      </x:c>
      <x:c r="O2062" s="10" t="n">
        <x:f>AE2061*N2062</x:f>
        <x:v>180000</x:v>
      </x:c>
      <x:c r="P2062" s="9" t="n">
        <x:f>MIN(1,(AB2061/(AE2061*IF(v01_GroupInCrowding=1,N2062,MIN(J2062,L2062))))^v01_CrowdingExp)</x:f>
        <x:v>0.00024569414295285325</x:v>
      </x:c>
      <x:c r="Q2062" s="9" t="n">
        <x:f>IF(D2062=1,INDEX(v01_WinterMult,G2062),1)</x:f>
        <x:v>1</x:v>
      </x:c>
      <x:c r="R2062" s="9" t="n">
        <x:f>H2062*Z2061*v01_WomenShare*v01_BaseFertility*INDEX(v01_FertMult,G2062)*Arch_Fertility*(1-P2062)</x:f>
        <x:v>0</x:v>
      </x:c>
      <x:c r="S2062" s="9" t="n">
        <x:f>H2062*Y2061*INDEX(v01_MortChild,G2062)/4*Q2062</x:f>
        <x:v>0</x:v>
      </x:c>
      <x:c r="T2062" s="9" t="n">
        <x:f>H2062*Z2061*INDEX(v01_MortAdult,G2062)*Arch_AdultMort/4*Q2062</x:f>
        <x:v>0</x:v>
      </x:c>
      <x:c r="U2062" s="9" t="n">
        <x:f>H2062*AA2061*INDEX(v01_MortElder,G2062)/4*Q2062</x:f>
        <x:v>0</x:v>
      </x:c>
      <x:c r="V2062" s="9" t="n">
        <x:f>H2062*MAX(0,AB2061-O2062)*v01_OvercapLoss</x:f>
        <x:v>0</x:v>
      </x:c>
      <x:c r="W2062" s="9" t="n">
        <x:f>H2062*Y2061/(v01_ChildYears*4)</x:f>
        <x:v>0</x:v>
      </x:c>
      <x:c r="X2062" s="9" t="n">
        <x:f>H2062*Z2061/(v01_AdultYears*4)</x:f>
        <x:v>0</x:v>
      </x:c>
      <x:c r="Y2062" s="32" t="n">
        <x:f>Y2061+R2062-S2062-W2062-Y2061*V2062/AB2061</x:f>
        <x:v>14306.18539759397</x:v>
      </x:c>
      <x:c r="Z2062" s="32" t="n">
        <x:f>Z2061+W2062-X2062-T2062-Z2061*V2062/AB2061</x:f>
        <x:v>19354.456567879548</x:v>
      </x:c>
      <x:c r="AA2062" s="32" t="n">
        <x:f>AA2061+X2062-U2062-AA2061*V2062/AB2061</x:f>
        <x:v>11386.956063258198</x:v>
      </x:c>
      <x:c r="AB2062" s="10" t="n">
        <x:f>Y2062+Z2062+AA2062</x:f>
        <x:v>45047.59802873172</x:v>
      </x:c>
      <x:c r="AC2062" s="8" t="n">
        <x:f>IF(AND(v01_WinterTrigger=1,D2062=1,AB2061/AE2061&gt;=K2062),1,0)</x:f>
        <x:v>0</x:v>
      </x:c>
      <x:c r="AD2062" s="8" t="n">
        <x:f>H2062*IF(AND(OR(AB2061/AE2061&gt;=v01_FissionTrigger*N2062,AC2062=1),AB2061/AE2061*v01_DaughterShare&gt;=v01_MinDaughter),MAX(1,ROUND(AE2061*v01_FissionRate,0)),0)</x:f>
        <x:v>0</x:v>
      </x:c>
      <x:c r="AE2062" s="8" t="n">
        <x:f>IF(H2062=1,MAX(1,MIN(INDEX(v01_Smax,G2062),AE2061+AD2062)),AE2061)</x:f>
        <x:v>15</x:v>
      </x:c>
      <x:c r="AF2062" s="8" t="n">
        <x:f>MAX(0,AE2062-AE2061)</x:f>
        <x:v>0</x:v>
      </x:c>
      <x:c r="AG2062" s="9" t="str">
        <x:f>IF(AF2062&gt;0,B2062,"")</x:f>
      </x:c>
      <x:c r="AH2062" s="9" t="n">
        <x:f>IF(F2062&gt;=1,1,(1+v01_LowTiesShare*(AE2062-1))/AE2062)</x:f>
        <x:v>1</x:v>
      </x:c>
      <x:c r="AI2062" s="32" t="n">
        <x:f>(Z2062+v01_ElderCommons*INDEX(LM_Elder,G2062)*AA2062)*AH2062</x:f>
        <x:v>64139.732591141874</x:v>
      </x:c>
      <x:c r="AJ2062" s="32" t="n">
        <x:f>H2062*v01_CommonsCoef*AI2062^v01_CommonsExp*INDEX(LM_Commons,G2062)</x:f>
        <x:v>0</x:v>
      </x:c>
      <x:c r="AK2062" s="32" t="n">
        <x:f>H2062*v01_RoleScale*Arch_Roles*(AE2062*(INDEX(v01_ElderRolePerSett,G2062)*v01_OutElder*INDEX(LM_Elder,G2062)+INDEX(v01_ShamanPerSett,G2062)*v01_OutShaman)+Z2062*(INDEX(v01_PriestShare,G2062)*v01_OutPriest+INDEX(v01_ScribeShare,G2062)*v01_OutScribe*INDEX(LM_Scribe,G2062)+INDEX(v01_ScholarShare,G2062)*v01_OutScholar*INDEX(LM_Scholar,G2062)+INDEX(v01_ResearcherShare,G2062)*v01_OutResearcher*INDEX(LM_Researcher,G2062)))</x:f>
        <x:v>0</x:v>
      </x:c>
      <x:c r="AL2062" s="32" t="n">
        <x:f>H2062*v01_RoleScale*Arch_Roles*AE2062*INDEX(v01_MonasteryPerSett,G2062)*v01_OutMonastery*INDEX(LM_Monastery,G2062)</x:f>
        <x:v>0</x:v>
      </x:c>
      <x:c r="AM2062" s="32" t="n">
        <x:f>(AJ2062+AK2062+AL2062)/4*INDEX(LM_All,G2062)*INDEX(v01_Boon,G2062)*Arch_Insight</x:f>
        <x:v>0</x:v>
      </x:c>
      <x:c r="AN2062" s="32" t="n">
        <x:f>H2062*(v01_KHPerAdult*Z2062+v01_KHOfCommons*AJ2062/4*INDEX(LM_All,G2062))*v01_KHUsable*Arch_KH</x:f>
        <x:v>0</x:v>
      </x:c>
      <x:c r="AO2062" s="32" t="n">
        <x:f>MIN(AP2061+AN2062,AM2062*v01_KHMaxRatio)</x:f>
        <x:v>0</x:v>
      </x:c>
      <x:c r="AP2062" s="32" t="n">
        <x:f>AP2061+AN2062-AO2062</x:f>
        <x:v>0</x:v>
      </x:c>
      <x:c r="AQ2062" s="32" t="n">
        <x:f>AM2062+AO2062</x:f>
        <x:v>0</x:v>
      </x:c>
      <x:c r="AR2062" s="10" t="n">
        <x:f>IF(H2062=1,INDEX(v01_Req,G2062),0)</x:f>
        <x:v>0</x:v>
      </x:c>
      <x:c r="AS2062" s="32" t="n">
        <x:f>IF(H2062=1,IF(E2062=1,AS2061-AR2061,AS2061)+AQ2062,0)</x:f>
        <x:v>0</x:v>
      </x:c>
      <x:c r="AT2062" s="11" t="n">
        <x:f>IF(AR2062&gt;0,MIN(1,AS2062/AR2062),1)</x:f>
        <x:v>1</x:v>
      </x:c>
      <x:c r="AU2062" s="10" t="n">
        <x:f>AB2062/INDEX(v01_RepScale,G2062)</x:f>
        <x:v>90.09519605746344</x:v>
      </x:c>
      <x:c r="AV2062" s="32" t="n">
        <x:f>AM2062*60/v01_SeasonSeconds</x:f>
        <x:v>0</x:v>
      </x:c>
    </x:row>
    <x:row r="2063">
      <x:c r="A2063" s="8" t="n">
        <x:f>A2062+1</x:f>
        <x:v>2060</x:v>
      </x:c>
      <x:c r="B2063" s="9" t="n">
        <x:f>A2063*v01_SeasonSeconds/60</x:f>
        <x:v>515</x:v>
      </x:c>
      <x:c r="C2063" s="9" t="n">
        <x:f>A2063/4</x:f>
        <x:v>515</x:v>
      </x:c>
      <x:c r="D2063" s="8" t="n">
        <x:f>IF(MOD(A2063,4)=0,1,0)</x:f>
        <x:v>1</x:v>
      </x:c>
      <x:c r="E2063" s="8" t="n">
        <x:f>IF(AND(F2062&lt;=9,AS2062&gt;=AR2062),1,0)</x:f>
        <x:v>0</x:v>
      </x:c>
      <x:c r="F2063" s="8" t="n">
        <x:f>MIN(10,F2062+E2063)</x:f>
        <x:v>10</x:v>
      </x:c>
      <x:c r="G2063" s="8" t="n">
        <x:f>MIN(F2063,9)+1</x:f>
        <x:v>10</x:v>
      </x:c>
      <x:c r="H2063" s="8" t="n">
        <x:f>IF(F2063&lt;=9,1,0)</x:f>
        <x:v>0</x:v>
      </x:c>
      <x:c r="I2063" s="9" t="n">
        <x:f>MIN(10,F2062+IF(AR2062&gt;0,MIN(1,AS2062/AR2062),1))</x:f>
        <x:v>10</x:v>
      </x:c>
      <x:c r="J2063" s="32" t="n">
        <x:f>INDEX(v01_FoodCap,G2063)*Arch_FoodCap*EXP(v01_CapsByProject*SUMPRODUCT((Cap_Point&lt;=I2063)*(Cap_Kind="Food")*Cap_Ln))</x:f>
        <x:v>12000</x:v>
      </x:c>
      <x:c r="K2063" s="32" t="n">
        <x:f>J2063*MIN(1,v01_LeanBase*EXP(v01_CapsByProject*SUMPRODUCT((Cap_Point&lt;=I2063)*(Cap_Kind="Lean")*Cap_Ln)))</x:f>
        <x:v>12000</x:v>
      </x:c>
      <x:c r="L2063" s="10" t="n">
        <x:f>INDEX(v01_HousingCap,G2063)*EXP(v01_CapsByProject*SUMPRODUCT((Cap_Point&lt;=I2063)*(Cap_Kind="Housing")*Cap_Ln))</x:f>
        <x:v>20000</x:v>
      </x:c>
      <x:c r="M2063" s="10" t="n">
        <x:f>INDEX(v01_GroupCap,G2063)*v01_CohesionFactor*EXP(v01_CapsByProject*SUMPRODUCT((Cap_Point&lt;=I2063)*(Cap_Kind="Group")*Cap_Ln))</x:f>
        <x:v>1000000</x:v>
      </x:c>
      <x:c r="N2063" s="32" t="n">
        <x:f>MIN(J2063,L2063,M2063)</x:f>
        <x:v>12000</x:v>
      </x:c>
      <x:c r="O2063" s="10" t="n">
        <x:f>AE2062*N2063</x:f>
        <x:v>180000</x:v>
      </x:c>
      <x:c r="P2063" s="9" t="n">
        <x:f>MIN(1,(AB2062/(AE2062*IF(v01_GroupInCrowding=1,N2063,MIN(J2063,L2063))))^v01_CrowdingExp)</x:f>
        <x:v>0.00024569414295285325</x:v>
      </x:c>
      <x:c r="Q2063" s="9" t="n">
        <x:f>IF(D2063=1,INDEX(v01_WinterMult,G2063),1)</x:f>
        <x:v>1</x:v>
      </x:c>
      <x:c r="R2063" s="9" t="n">
        <x:f>H2063*Z2062*v01_WomenShare*v01_BaseFertility*INDEX(v01_FertMult,G2063)*Arch_Fertility*(1-P2063)</x:f>
        <x:v>0</x:v>
      </x:c>
      <x:c r="S2063" s="9" t="n">
        <x:f>H2063*Y2062*INDEX(v01_MortChild,G2063)/4*Q2063</x:f>
        <x:v>0</x:v>
      </x:c>
      <x:c r="T2063" s="9" t="n">
        <x:f>H2063*Z2062*INDEX(v01_MortAdult,G2063)*Arch_AdultMort/4*Q2063</x:f>
        <x:v>0</x:v>
      </x:c>
      <x:c r="U2063" s="9" t="n">
        <x:f>H2063*AA2062*INDEX(v01_MortElder,G2063)/4*Q2063</x:f>
        <x:v>0</x:v>
      </x:c>
      <x:c r="V2063" s="9" t="n">
        <x:f>H2063*MAX(0,AB2062-O2063)*v01_OvercapLoss</x:f>
        <x:v>0</x:v>
      </x:c>
      <x:c r="W2063" s="9" t="n">
        <x:f>H2063*Y2062/(v01_ChildYears*4)</x:f>
        <x:v>0</x:v>
      </x:c>
      <x:c r="X2063" s="9" t="n">
        <x:f>H2063*Z2062/(v01_AdultYears*4)</x:f>
        <x:v>0</x:v>
      </x:c>
      <x:c r="Y2063" s="32" t="n">
        <x:f>Y2062+R2063-S2063-W2063-Y2062*V2063/AB2062</x:f>
        <x:v>14306.18539759397</x:v>
      </x:c>
      <x:c r="Z2063" s="32" t="n">
        <x:f>Z2062+W2063-X2063-T2063-Z2062*V2063/AB2062</x:f>
        <x:v>19354.456567879548</x:v>
      </x:c>
      <x:c r="AA2063" s="32" t="n">
        <x:f>AA2062+X2063-U2063-AA2062*V2063/AB2062</x:f>
        <x:v>11386.956063258198</x:v>
      </x:c>
      <x:c r="AB2063" s="10" t="n">
        <x:f>Y2063+Z2063+AA2063</x:f>
        <x:v>45047.59802873172</x:v>
      </x:c>
      <x:c r="AC2063" s="8" t="n">
        <x:f>IF(AND(v01_WinterTrigger=1,D2063=1,AB2062/AE2062&gt;=K2063),1,0)</x:f>
        <x:v>0</x:v>
      </x:c>
      <x:c r="AD2063" s="8" t="n">
        <x:f>H2063*IF(AND(OR(AB2062/AE2062&gt;=v01_FissionTrigger*N2063,AC2063=1),AB2062/AE2062*v01_DaughterShare&gt;=v01_MinDaughter),MAX(1,ROUND(AE2062*v01_FissionRate,0)),0)</x:f>
        <x:v>0</x:v>
      </x:c>
      <x:c r="AE2063" s="8" t="n">
        <x:f>IF(H2063=1,MAX(1,MIN(INDEX(v01_Smax,G2063),AE2062+AD2063)),AE2062)</x:f>
        <x:v>15</x:v>
      </x:c>
      <x:c r="AF2063" s="8" t="n">
        <x:f>MAX(0,AE2063-AE2062)</x:f>
        <x:v>0</x:v>
      </x:c>
      <x:c r="AG2063" s="9" t="str">
        <x:f>IF(AF2063&gt;0,B2063,"")</x:f>
      </x:c>
      <x:c r="AH2063" s="9" t="n">
        <x:f>IF(F2063&gt;=1,1,(1+v01_LowTiesShare*(AE2063-1))/AE2063)</x:f>
        <x:v>1</x:v>
      </x:c>
      <x:c r="AI2063" s="32" t="n">
        <x:f>(Z2063+v01_ElderCommons*INDEX(LM_Elder,G2063)*AA2063)*AH2063</x:f>
        <x:v>64139.732591141874</x:v>
      </x:c>
      <x:c r="AJ2063" s="32" t="n">
        <x:f>H2063*v01_CommonsCoef*AI2063^v01_CommonsExp*INDEX(LM_Commons,G2063)</x:f>
        <x:v>0</x:v>
      </x:c>
      <x:c r="AK2063" s="32" t="n">
        <x:f>H2063*v01_RoleScale*Arch_Roles*(AE2063*(INDEX(v01_ElderRolePerSett,G2063)*v01_OutElder*INDEX(LM_Elder,G2063)+INDEX(v01_ShamanPerSett,G2063)*v01_OutShaman)+Z2063*(INDEX(v01_PriestShare,G2063)*v01_OutPriest+INDEX(v01_ScribeShare,G2063)*v01_OutScribe*INDEX(LM_Scribe,G2063)+INDEX(v01_ScholarShare,G2063)*v01_OutScholar*INDEX(LM_Scholar,G2063)+INDEX(v01_ResearcherShare,G2063)*v01_OutResearcher*INDEX(LM_Researcher,G2063)))</x:f>
        <x:v>0</x:v>
      </x:c>
      <x:c r="AL2063" s="32" t="n">
        <x:f>H2063*v01_RoleScale*Arch_Roles*AE2063*INDEX(v01_MonasteryPerSett,G2063)*v01_OutMonastery*INDEX(LM_Monastery,G2063)</x:f>
        <x:v>0</x:v>
      </x:c>
      <x:c r="AM2063" s="32" t="n">
        <x:f>(AJ2063+AK2063+AL2063)/4*INDEX(LM_All,G2063)*INDEX(v01_Boon,G2063)*Arch_Insight</x:f>
        <x:v>0</x:v>
      </x:c>
      <x:c r="AN2063" s="32" t="n">
        <x:f>H2063*(v01_KHPerAdult*Z2063+v01_KHOfCommons*AJ2063/4*INDEX(LM_All,G2063))*v01_KHUsable*Arch_KH</x:f>
        <x:v>0</x:v>
      </x:c>
      <x:c r="AO2063" s="32" t="n">
        <x:f>MIN(AP2062+AN2063,AM2063*v01_KHMaxRatio)</x:f>
        <x:v>0</x:v>
      </x:c>
      <x:c r="AP2063" s="32" t="n">
        <x:f>AP2062+AN2063-AO2063</x:f>
        <x:v>0</x:v>
      </x:c>
      <x:c r="AQ2063" s="32" t="n">
        <x:f>AM2063+AO2063</x:f>
        <x:v>0</x:v>
      </x:c>
      <x:c r="AR2063" s="10" t="n">
        <x:f>IF(H2063=1,INDEX(v01_Req,G2063),0)</x:f>
        <x:v>0</x:v>
      </x:c>
      <x:c r="AS2063" s="32" t="n">
        <x:f>IF(H2063=1,IF(E2063=1,AS2062-AR2062,AS2062)+AQ2063,0)</x:f>
        <x:v>0</x:v>
      </x:c>
      <x:c r="AT2063" s="11" t="n">
        <x:f>IF(AR2063&gt;0,MIN(1,AS2063/AR2063),1)</x:f>
        <x:v>1</x:v>
      </x:c>
      <x:c r="AU2063" s="10" t="n">
        <x:f>AB2063/INDEX(v01_RepScale,G2063)</x:f>
        <x:v>90.09519605746344</x:v>
      </x:c>
      <x:c r="AV2063" s="32" t="n">
        <x:f>AM2063*60/v01_SeasonSeconds</x:f>
        <x:v>0</x:v>
      </x:c>
    </x:row>
    <x:row r="2064">
      <x:c r="A2064" s="8" t="n">
        <x:f>A2063+1</x:f>
        <x:v>2061</x:v>
      </x:c>
      <x:c r="B2064" s="9" t="n">
        <x:f>A2064*v01_SeasonSeconds/60</x:f>
        <x:v>515.25</x:v>
      </x:c>
      <x:c r="C2064" s="9" t="n">
        <x:f>A2064/4</x:f>
        <x:v>515.25</x:v>
      </x:c>
      <x:c r="D2064" s="8" t="n">
        <x:f>IF(MOD(A2064,4)=0,1,0)</x:f>
        <x:v>0</x:v>
      </x:c>
      <x:c r="E2064" s="8" t="n">
        <x:f>IF(AND(F2063&lt;=9,AS2063&gt;=AR2063),1,0)</x:f>
        <x:v>0</x:v>
      </x:c>
      <x:c r="F2064" s="8" t="n">
        <x:f>MIN(10,F2063+E2064)</x:f>
        <x:v>10</x:v>
      </x:c>
      <x:c r="G2064" s="8" t="n">
        <x:f>MIN(F2064,9)+1</x:f>
        <x:v>10</x:v>
      </x:c>
      <x:c r="H2064" s="8" t="n">
        <x:f>IF(F2064&lt;=9,1,0)</x:f>
        <x:v>0</x:v>
      </x:c>
      <x:c r="I2064" s="9" t="n">
        <x:f>MIN(10,F2063+IF(AR2063&gt;0,MIN(1,AS2063/AR2063),1))</x:f>
        <x:v>10</x:v>
      </x:c>
      <x:c r="J2064" s="32" t="n">
        <x:f>INDEX(v01_FoodCap,G2064)*Arch_FoodCap*EXP(v01_CapsByProject*SUMPRODUCT((Cap_Point&lt;=I2064)*(Cap_Kind="Food")*Cap_Ln))</x:f>
        <x:v>12000</x:v>
      </x:c>
      <x:c r="K2064" s="32" t="n">
        <x:f>J2064*MIN(1,v01_LeanBase*EXP(v01_CapsByProject*SUMPRODUCT((Cap_Point&lt;=I2064)*(Cap_Kind="Lean")*Cap_Ln)))</x:f>
        <x:v>12000</x:v>
      </x:c>
      <x:c r="L2064" s="10" t="n">
        <x:f>INDEX(v01_HousingCap,G2064)*EXP(v01_CapsByProject*SUMPRODUCT((Cap_Point&lt;=I2064)*(Cap_Kind="Housing")*Cap_Ln))</x:f>
        <x:v>20000</x:v>
      </x:c>
      <x:c r="M2064" s="10" t="n">
        <x:f>INDEX(v01_GroupCap,G2064)*v01_CohesionFactor*EXP(v01_CapsByProject*SUMPRODUCT((Cap_Point&lt;=I2064)*(Cap_Kind="Group")*Cap_Ln))</x:f>
        <x:v>1000000</x:v>
      </x:c>
      <x:c r="N2064" s="32" t="n">
        <x:f>MIN(J2064,L2064,M2064)</x:f>
        <x:v>12000</x:v>
      </x:c>
      <x:c r="O2064" s="10" t="n">
        <x:f>AE2063*N2064</x:f>
        <x:v>180000</x:v>
      </x:c>
      <x:c r="P2064" s="9" t="n">
        <x:f>MIN(1,(AB2063/(AE2063*IF(v01_GroupInCrowding=1,N2064,MIN(J2064,L2064))))^v01_CrowdingExp)</x:f>
        <x:v>0.00024569414295285325</x:v>
      </x:c>
      <x:c r="Q2064" s="9" t="n">
        <x:f>IF(D2064=1,INDEX(v01_WinterMult,G2064),1)</x:f>
        <x:v>1</x:v>
      </x:c>
      <x:c r="R2064" s="9" t="n">
        <x:f>H2064*Z2063*v01_WomenShare*v01_BaseFertility*INDEX(v01_FertMult,G2064)*Arch_Fertility*(1-P2064)</x:f>
        <x:v>0</x:v>
      </x:c>
      <x:c r="S2064" s="9" t="n">
        <x:f>H2064*Y2063*INDEX(v01_MortChild,G2064)/4*Q2064</x:f>
        <x:v>0</x:v>
      </x:c>
      <x:c r="T2064" s="9" t="n">
        <x:f>H2064*Z2063*INDEX(v01_MortAdult,G2064)*Arch_AdultMort/4*Q2064</x:f>
        <x:v>0</x:v>
      </x:c>
      <x:c r="U2064" s="9" t="n">
        <x:f>H2064*AA2063*INDEX(v01_MortElder,G2064)/4*Q2064</x:f>
        <x:v>0</x:v>
      </x:c>
      <x:c r="V2064" s="9" t="n">
        <x:f>H2064*MAX(0,AB2063-O2064)*v01_OvercapLoss</x:f>
        <x:v>0</x:v>
      </x:c>
      <x:c r="W2064" s="9" t="n">
        <x:f>H2064*Y2063/(v01_ChildYears*4)</x:f>
        <x:v>0</x:v>
      </x:c>
      <x:c r="X2064" s="9" t="n">
        <x:f>H2064*Z2063/(v01_AdultYears*4)</x:f>
        <x:v>0</x:v>
      </x:c>
      <x:c r="Y2064" s="32" t="n">
        <x:f>Y2063+R2064-S2064-W2064-Y2063*V2064/AB2063</x:f>
        <x:v>14306.18539759397</x:v>
      </x:c>
      <x:c r="Z2064" s="32" t="n">
        <x:f>Z2063+W2064-X2064-T2064-Z2063*V2064/AB2063</x:f>
        <x:v>19354.456567879548</x:v>
      </x:c>
      <x:c r="AA2064" s="32" t="n">
        <x:f>AA2063+X2064-U2064-AA2063*V2064/AB2063</x:f>
        <x:v>11386.956063258198</x:v>
      </x:c>
      <x:c r="AB2064" s="10" t="n">
        <x:f>Y2064+Z2064+AA2064</x:f>
        <x:v>45047.59802873172</x:v>
      </x:c>
      <x:c r="AC2064" s="8" t="n">
        <x:f>IF(AND(v01_WinterTrigger=1,D2064=1,AB2063/AE2063&gt;=K2064),1,0)</x:f>
        <x:v>0</x:v>
      </x:c>
      <x:c r="AD2064" s="8" t="n">
        <x:f>H2064*IF(AND(OR(AB2063/AE2063&gt;=v01_FissionTrigger*N2064,AC2064=1),AB2063/AE2063*v01_DaughterShare&gt;=v01_MinDaughter),MAX(1,ROUND(AE2063*v01_FissionRate,0)),0)</x:f>
        <x:v>0</x:v>
      </x:c>
      <x:c r="AE2064" s="8" t="n">
        <x:f>IF(H2064=1,MAX(1,MIN(INDEX(v01_Smax,G2064),AE2063+AD2064)),AE2063)</x:f>
        <x:v>15</x:v>
      </x:c>
      <x:c r="AF2064" s="8" t="n">
        <x:f>MAX(0,AE2064-AE2063)</x:f>
        <x:v>0</x:v>
      </x:c>
      <x:c r="AG2064" s="9" t="str">
        <x:f>IF(AF2064&gt;0,B2064,"")</x:f>
      </x:c>
      <x:c r="AH2064" s="9" t="n">
        <x:f>IF(F2064&gt;=1,1,(1+v01_LowTiesShare*(AE2064-1))/AE2064)</x:f>
        <x:v>1</x:v>
      </x:c>
      <x:c r="AI2064" s="32" t="n">
        <x:f>(Z2064+v01_ElderCommons*INDEX(LM_Elder,G2064)*AA2064)*AH2064</x:f>
        <x:v>64139.732591141874</x:v>
      </x:c>
      <x:c r="AJ2064" s="32" t="n">
        <x:f>H2064*v01_CommonsCoef*AI2064^v01_CommonsExp*INDEX(LM_Commons,G2064)</x:f>
        <x:v>0</x:v>
      </x:c>
      <x:c r="AK2064" s="32" t="n">
        <x:f>H2064*v01_RoleScale*Arch_Roles*(AE2064*(INDEX(v01_ElderRolePerSett,G2064)*v01_OutElder*INDEX(LM_Elder,G2064)+INDEX(v01_ShamanPerSett,G2064)*v01_OutShaman)+Z2064*(INDEX(v01_PriestShare,G2064)*v01_OutPriest+INDEX(v01_ScribeShare,G2064)*v01_OutScribe*INDEX(LM_Scribe,G2064)+INDEX(v01_ScholarShare,G2064)*v01_OutScholar*INDEX(LM_Scholar,G2064)+INDEX(v01_ResearcherShare,G2064)*v01_OutResearcher*INDEX(LM_Researcher,G2064)))</x:f>
        <x:v>0</x:v>
      </x:c>
      <x:c r="AL2064" s="32" t="n">
        <x:f>H2064*v01_RoleScale*Arch_Roles*AE2064*INDEX(v01_MonasteryPerSett,G2064)*v01_OutMonastery*INDEX(LM_Monastery,G2064)</x:f>
        <x:v>0</x:v>
      </x:c>
      <x:c r="AM2064" s="32" t="n">
        <x:f>(AJ2064+AK2064+AL2064)/4*INDEX(LM_All,G2064)*INDEX(v01_Boon,G2064)*Arch_Insight</x:f>
        <x:v>0</x:v>
      </x:c>
      <x:c r="AN2064" s="32" t="n">
        <x:f>H2064*(v01_KHPerAdult*Z2064+v01_KHOfCommons*AJ2064/4*INDEX(LM_All,G2064))*v01_KHUsable*Arch_KH</x:f>
        <x:v>0</x:v>
      </x:c>
      <x:c r="AO2064" s="32" t="n">
        <x:f>MIN(AP2063+AN2064,AM2064*v01_KHMaxRatio)</x:f>
        <x:v>0</x:v>
      </x:c>
      <x:c r="AP2064" s="32" t="n">
        <x:f>AP2063+AN2064-AO2064</x:f>
        <x:v>0</x:v>
      </x:c>
      <x:c r="AQ2064" s="32" t="n">
        <x:f>AM2064+AO2064</x:f>
        <x:v>0</x:v>
      </x:c>
      <x:c r="AR2064" s="10" t="n">
        <x:f>IF(H2064=1,INDEX(v01_Req,G2064),0)</x:f>
        <x:v>0</x:v>
      </x:c>
      <x:c r="AS2064" s="32" t="n">
        <x:f>IF(H2064=1,IF(E2064=1,AS2063-AR2063,AS2063)+AQ2064,0)</x:f>
        <x:v>0</x:v>
      </x:c>
      <x:c r="AT2064" s="11" t="n">
        <x:f>IF(AR2064&gt;0,MIN(1,AS2064/AR2064),1)</x:f>
        <x:v>1</x:v>
      </x:c>
      <x:c r="AU2064" s="10" t="n">
        <x:f>AB2064/INDEX(v01_RepScale,G2064)</x:f>
        <x:v>90.09519605746344</x:v>
      </x:c>
      <x:c r="AV2064" s="32" t="n">
        <x:f>AM2064*60/v01_SeasonSeconds</x:f>
        <x:v>0</x:v>
      </x:c>
    </x:row>
    <x:row r="2065">
      <x:c r="A2065" s="8" t="n">
        <x:f>A2064+1</x:f>
        <x:v>2062</x:v>
      </x:c>
      <x:c r="B2065" s="9" t="n">
        <x:f>A2065*v01_SeasonSeconds/60</x:f>
        <x:v>515.5</x:v>
      </x:c>
      <x:c r="C2065" s="9" t="n">
        <x:f>A2065/4</x:f>
        <x:v>515.5</x:v>
      </x:c>
      <x:c r="D2065" s="8" t="n">
        <x:f>IF(MOD(A2065,4)=0,1,0)</x:f>
        <x:v>0</x:v>
      </x:c>
      <x:c r="E2065" s="8" t="n">
        <x:f>IF(AND(F2064&lt;=9,AS2064&gt;=AR2064),1,0)</x:f>
        <x:v>0</x:v>
      </x:c>
      <x:c r="F2065" s="8" t="n">
        <x:f>MIN(10,F2064+E2065)</x:f>
        <x:v>10</x:v>
      </x:c>
      <x:c r="G2065" s="8" t="n">
        <x:f>MIN(F2065,9)+1</x:f>
        <x:v>10</x:v>
      </x:c>
      <x:c r="H2065" s="8" t="n">
        <x:f>IF(F2065&lt;=9,1,0)</x:f>
        <x:v>0</x:v>
      </x:c>
      <x:c r="I2065" s="9" t="n">
        <x:f>MIN(10,F2064+IF(AR2064&gt;0,MIN(1,AS2064/AR2064),1))</x:f>
        <x:v>10</x:v>
      </x:c>
      <x:c r="J2065" s="32" t="n">
        <x:f>INDEX(v01_FoodCap,G2065)*Arch_FoodCap*EXP(v01_CapsByProject*SUMPRODUCT((Cap_Point&lt;=I2065)*(Cap_Kind="Food")*Cap_Ln))</x:f>
        <x:v>12000</x:v>
      </x:c>
      <x:c r="K2065" s="32" t="n">
        <x:f>J2065*MIN(1,v01_LeanBase*EXP(v01_CapsByProject*SUMPRODUCT((Cap_Point&lt;=I2065)*(Cap_Kind="Lean")*Cap_Ln)))</x:f>
        <x:v>12000</x:v>
      </x:c>
      <x:c r="L2065" s="10" t="n">
        <x:f>INDEX(v01_HousingCap,G2065)*EXP(v01_CapsByProject*SUMPRODUCT((Cap_Point&lt;=I2065)*(Cap_Kind="Housing")*Cap_Ln))</x:f>
        <x:v>20000</x:v>
      </x:c>
      <x:c r="M2065" s="10" t="n">
        <x:f>INDEX(v01_GroupCap,G2065)*v01_CohesionFactor*EXP(v01_CapsByProject*SUMPRODUCT((Cap_Point&lt;=I2065)*(Cap_Kind="Group")*Cap_Ln))</x:f>
        <x:v>1000000</x:v>
      </x:c>
      <x:c r="N2065" s="32" t="n">
        <x:f>MIN(J2065,L2065,M2065)</x:f>
        <x:v>12000</x:v>
      </x:c>
      <x:c r="O2065" s="10" t="n">
        <x:f>AE2064*N2065</x:f>
        <x:v>180000</x:v>
      </x:c>
      <x:c r="P2065" s="9" t="n">
        <x:f>MIN(1,(AB2064/(AE2064*IF(v01_GroupInCrowding=1,N2065,MIN(J2065,L2065))))^v01_CrowdingExp)</x:f>
        <x:v>0.00024569414295285325</x:v>
      </x:c>
      <x:c r="Q2065" s="9" t="n">
        <x:f>IF(D2065=1,INDEX(v01_WinterMult,G2065),1)</x:f>
        <x:v>1</x:v>
      </x:c>
      <x:c r="R2065" s="9" t="n">
        <x:f>H2065*Z2064*v01_WomenShare*v01_BaseFertility*INDEX(v01_FertMult,G2065)*Arch_Fertility*(1-P2065)</x:f>
        <x:v>0</x:v>
      </x:c>
      <x:c r="S2065" s="9" t="n">
        <x:f>H2065*Y2064*INDEX(v01_MortChild,G2065)/4*Q2065</x:f>
        <x:v>0</x:v>
      </x:c>
      <x:c r="T2065" s="9" t="n">
        <x:f>H2065*Z2064*INDEX(v01_MortAdult,G2065)*Arch_AdultMort/4*Q2065</x:f>
        <x:v>0</x:v>
      </x:c>
      <x:c r="U2065" s="9" t="n">
        <x:f>H2065*AA2064*INDEX(v01_MortElder,G2065)/4*Q2065</x:f>
        <x:v>0</x:v>
      </x:c>
      <x:c r="V2065" s="9" t="n">
        <x:f>H2065*MAX(0,AB2064-O2065)*v01_OvercapLoss</x:f>
        <x:v>0</x:v>
      </x:c>
      <x:c r="W2065" s="9" t="n">
        <x:f>H2065*Y2064/(v01_ChildYears*4)</x:f>
        <x:v>0</x:v>
      </x:c>
      <x:c r="X2065" s="9" t="n">
        <x:f>H2065*Z2064/(v01_AdultYears*4)</x:f>
        <x:v>0</x:v>
      </x:c>
      <x:c r="Y2065" s="32" t="n">
        <x:f>Y2064+R2065-S2065-W2065-Y2064*V2065/AB2064</x:f>
        <x:v>14306.18539759397</x:v>
      </x:c>
      <x:c r="Z2065" s="32" t="n">
        <x:f>Z2064+W2065-X2065-T2065-Z2064*V2065/AB2064</x:f>
        <x:v>19354.456567879548</x:v>
      </x:c>
      <x:c r="AA2065" s="32" t="n">
        <x:f>AA2064+X2065-U2065-AA2064*V2065/AB2064</x:f>
        <x:v>11386.956063258198</x:v>
      </x:c>
      <x:c r="AB2065" s="10" t="n">
        <x:f>Y2065+Z2065+AA2065</x:f>
        <x:v>45047.59802873172</x:v>
      </x:c>
      <x:c r="AC2065" s="8" t="n">
        <x:f>IF(AND(v01_WinterTrigger=1,D2065=1,AB2064/AE2064&gt;=K2065),1,0)</x:f>
        <x:v>0</x:v>
      </x:c>
      <x:c r="AD2065" s="8" t="n">
        <x:f>H2065*IF(AND(OR(AB2064/AE2064&gt;=v01_FissionTrigger*N2065,AC2065=1),AB2064/AE2064*v01_DaughterShare&gt;=v01_MinDaughter),MAX(1,ROUND(AE2064*v01_FissionRate,0)),0)</x:f>
        <x:v>0</x:v>
      </x:c>
      <x:c r="AE2065" s="8" t="n">
        <x:f>IF(H2065=1,MAX(1,MIN(INDEX(v01_Smax,G2065),AE2064+AD2065)),AE2064)</x:f>
        <x:v>15</x:v>
      </x:c>
      <x:c r="AF2065" s="8" t="n">
        <x:f>MAX(0,AE2065-AE2064)</x:f>
        <x:v>0</x:v>
      </x:c>
      <x:c r="AG2065" s="9" t="str">
        <x:f>IF(AF2065&gt;0,B2065,"")</x:f>
      </x:c>
      <x:c r="AH2065" s="9" t="n">
        <x:f>IF(F2065&gt;=1,1,(1+v01_LowTiesShare*(AE2065-1))/AE2065)</x:f>
        <x:v>1</x:v>
      </x:c>
      <x:c r="AI2065" s="32" t="n">
        <x:f>(Z2065+v01_ElderCommons*INDEX(LM_Elder,G2065)*AA2065)*AH2065</x:f>
        <x:v>64139.732591141874</x:v>
      </x:c>
      <x:c r="AJ2065" s="32" t="n">
        <x:f>H2065*v01_CommonsCoef*AI2065^v01_CommonsExp*INDEX(LM_Commons,G2065)</x:f>
        <x:v>0</x:v>
      </x:c>
      <x:c r="AK2065" s="32" t="n">
        <x:f>H2065*v01_RoleScale*Arch_Roles*(AE2065*(INDEX(v01_ElderRolePerSett,G2065)*v01_OutElder*INDEX(LM_Elder,G2065)+INDEX(v01_ShamanPerSett,G2065)*v01_OutShaman)+Z2065*(INDEX(v01_PriestShare,G2065)*v01_OutPriest+INDEX(v01_ScribeShare,G2065)*v01_OutScribe*INDEX(LM_Scribe,G2065)+INDEX(v01_ScholarShare,G2065)*v01_OutScholar*INDEX(LM_Scholar,G2065)+INDEX(v01_ResearcherShare,G2065)*v01_OutResearcher*INDEX(LM_Researcher,G2065)))</x:f>
        <x:v>0</x:v>
      </x:c>
      <x:c r="AL2065" s="32" t="n">
        <x:f>H2065*v01_RoleScale*Arch_Roles*AE2065*INDEX(v01_MonasteryPerSett,G2065)*v01_OutMonastery*INDEX(LM_Monastery,G2065)</x:f>
        <x:v>0</x:v>
      </x:c>
      <x:c r="AM2065" s="32" t="n">
        <x:f>(AJ2065+AK2065+AL2065)/4*INDEX(LM_All,G2065)*INDEX(v01_Boon,G2065)*Arch_Insight</x:f>
        <x:v>0</x:v>
      </x:c>
      <x:c r="AN2065" s="32" t="n">
        <x:f>H2065*(v01_KHPerAdult*Z2065+v01_KHOfCommons*AJ2065/4*INDEX(LM_All,G2065))*v01_KHUsable*Arch_KH</x:f>
        <x:v>0</x:v>
      </x:c>
      <x:c r="AO2065" s="32" t="n">
        <x:f>MIN(AP2064+AN2065,AM2065*v01_KHMaxRatio)</x:f>
        <x:v>0</x:v>
      </x:c>
      <x:c r="AP2065" s="32" t="n">
        <x:f>AP2064+AN2065-AO2065</x:f>
        <x:v>0</x:v>
      </x:c>
      <x:c r="AQ2065" s="32" t="n">
        <x:f>AM2065+AO2065</x:f>
        <x:v>0</x:v>
      </x:c>
      <x:c r="AR2065" s="10" t="n">
        <x:f>IF(H2065=1,INDEX(v01_Req,G2065),0)</x:f>
        <x:v>0</x:v>
      </x:c>
      <x:c r="AS2065" s="32" t="n">
        <x:f>IF(H2065=1,IF(E2065=1,AS2064-AR2064,AS2064)+AQ2065,0)</x:f>
        <x:v>0</x:v>
      </x:c>
      <x:c r="AT2065" s="11" t="n">
        <x:f>IF(AR2065&gt;0,MIN(1,AS2065/AR2065),1)</x:f>
        <x:v>1</x:v>
      </x:c>
      <x:c r="AU2065" s="10" t="n">
        <x:f>AB2065/INDEX(v01_RepScale,G2065)</x:f>
        <x:v>90.09519605746344</x:v>
      </x:c>
      <x:c r="AV2065" s="32" t="n">
        <x:f>AM2065*60/v01_SeasonSeconds</x:f>
        <x:v>0</x:v>
      </x:c>
    </x:row>
    <x:row r="2066">
      <x:c r="A2066" s="8" t="n">
        <x:f>A2065+1</x:f>
        <x:v>2063</x:v>
      </x:c>
      <x:c r="B2066" s="9" t="n">
        <x:f>A2066*v01_SeasonSeconds/60</x:f>
        <x:v>515.75</x:v>
      </x:c>
      <x:c r="C2066" s="9" t="n">
        <x:f>A2066/4</x:f>
        <x:v>515.75</x:v>
      </x:c>
      <x:c r="D2066" s="8" t="n">
        <x:f>IF(MOD(A2066,4)=0,1,0)</x:f>
        <x:v>0</x:v>
      </x:c>
      <x:c r="E2066" s="8" t="n">
        <x:f>IF(AND(F2065&lt;=9,AS2065&gt;=AR2065),1,0)</x:f>
        <x:v>0</x:v>
      </x:c>
      <x:c r="F2066" s="8" t="n">
        <x:f>MIN(10,F2065+E2066)</x:f>
        <x:v>10</x:v>
      </x:c>
      <x:c r="G2066" s="8" t="n">
        <x:f>MIN(F2066,9)+1</x:f>
        <x:v>10</x:v>
      </x:c>
      <x:c r="H2066" s="8" t="n">
        <x:f>IF(F2066&lt;=9,1,0)</x:f>
        <x:v>0</x:v>
      </x:c>
      <x:c r="I2066" s="9" t="n">
        <x:f>MIN(10,F2065+IF(AR2065&gt;0,MIN(1,AS2065/AR2065),1))</x:f>
        <x:v>10</x:v>
      </x:c>
      <x:c r="J2066" s="32" t="n">
        <x:f>INDEX(v01_FoodCap,G2066)*Arch_FoodCap*EXP(v01_CapsByProject*SUMPRODUCT((Cap_Point&lt;=I2066)*(Cap_Kind="Food")*Cap_Ln))</x:f>
        <x:v>12000</x:v>
      </x:c>
      <x:c r="K2066" s="32" t="n">
        <x:f>J2066*MIN(1,v01_LeanBase*EXP(v01_CapsByProject*SUMPRODUCT((Cap_Point&lt;=I2066)*(Cap_Kind="Lean")*Cap_Ln)))</x:f>
        <x:v>12000</x:v>
      </x:c>
      <x:c r="L2066" s="10" t="n">
        <x:f>INDEX(v01_HousingCap,G2066)*EXP(v01_CapsByProject*SUMPRODUCT((Cap_Point&lt;=I2066)*(Cap_Kind="Housing")*Cap_Ln))</x:f>
        <x:v>20000</x:v>
      </x:c>
      <x:c r="M2066" s="10" t="n">
        <x:f>INDEX(v01_GroupCap,G2066)*v01_CohesionFactor*EXP(v01_CapsByProject*SUMPRODUCT((Cap_Point&lt;=I2066)*(Cap_Kind="Group")*Cap_Ln))</x:f>
        <x:v>1000000</x:v>
      </x:c>
      <x:c r="N2066" s="32" t="n">
        <x:f>MIN(J2066,L2066,M2066)</x:f>
        <x:v>12000</x:v>
      </x:c>
      <x:c r="O2066" s="10" t="n">
        <x:f>AE2065*N2066</x:f>
        <x:v>180000</x:v>
      </x:c>
      <x:c r="P2066" s="9" t="n">
        <x:f>MIN(1,(AB2065/(AE2065*IF(v01_GroupInCrowding=1,N2066,MIN(J2066,L2066))))^v01_CrowdingExp)</x:f>
        <x:v>0.00024569414295285325</x:v>
      </x:c>
      <x:c r="Q2066" s="9" t="n">
        <x:f>IF(D2066=1,INDEX(v01_WinterMult,G2066),1)</x:f>
        <x:v>1</x:v>
      </x:c>
      <x:c r="R2066" s="9" t="n">
        <x:f>H2066*Z2065*v01_WomenShare*v01_BaseFertility*INDEX(v01_FertMult,G2066)*Arch_Fertility*(1-P2066)</x:f>
        <x:v>0</x:v>
      </x:c>
      <x:c r="S2066" s="9" t="n">
        <x:f>H2066*Y2065*INDEX(v01_MortChild,G2066)/4*Q2066</x:f>
        <x:v>0</x:v>
      </x:c>
      <x:c r="T2066" s="9" t="n">
        <x:f>H2066*Z2065*INDEX(v01_MortAdult,G2066)*Arch_AdultMort/4*Q2066</x:f>
        <x:v>0</x:v>
      </x:c>
      <x:c r="U2066" s="9" t="n">
        <x:f>H2066*AA2065*INDEX(v01_MortElder,G2066)/4*Q2066</x:f>
        <x:v>0</x:v>
      </x:c>
      <x:c r="V2066" s="9" t="n">
        <x:f>H2066*MAX(0,AB2065-O2066)*v01_OvercapLoss</x:f>
        <x:v>0</x:v>
      </x:c>
      <x:c r="W2066" s="9" t="n">
        <x:f>H2066*Y2065/(v01_ChildYears*4)</x:f>
        <x:v>0</x:v>
      </x:c>
      <x:c r="X2066" s="9" t="n">
        <x:f>H2066*Z2065/(v01_AdultYears*4)</x:f>
        <x:v>0</x:v>
      </x:c>
      <x:c r="Y2066" s="32" t="n">
        <x:f>Y2065+R2066-S2066-W2066-Y2065*V2066/AB2065</x:f>
        <x:v>14306.18539759397</x:v>
      </x:c>
      <x:c r="Z2066" s="32" t="n">
        <x:f>Z2065+W2066-X2066-T2066-Z2065*V2066/AB2065</x:f>
        <x:v>19354.456567879548</x:v>
      </x:c>
      <x:c r="AA2066" s="32" t="n">
        <x:f>AA2065+X2066-U2066-AA2065*V2066/AB2065</x:f>
        <x:v>11386.956063258198</x:v>
      </x:c>
      <x:c r="AB2066" s="10" t="n">
        <x:f>Y2066+Z2066+AA2066</x:f>
        <x:v>45047.59802873172</x:v>
      </x:c>
      <x:c r="AC2066" s="8" t="n">
        <x:f>IF(AND(v01_WinterTrigger=1,D2066=1,AB2065/AE2065&gt;=K2066),1,0)</x:f>
        <x:v>0</x:v>
      </x:c>
      <x:c r="AD2066" s="8" t="n">
        <x:f>H2066*IF(AND(OR(AB2065/AE2065&gt;=v01_FissionTrigger*N2066,AC2066=1),AB2065/AE2065*v01_DaughterShare&gt;=v01_MinDaughter),MAX(1,ROUND(AE2065*v01_FissionRate,0)),0)</x:f>
        <x:v>0</x:v>
      </x:c>
      <x:c r="AE2066" s="8" t="n">
        <x:f>IF(H2066=1,MAX(1,MIN(INDEX(v01_Smax,G2066),AE2065+AD2066)),AE2065)</x:f>
        <x:v>15</x:v>
      </x:c>
      <x:c r="AF2066" s="8" t="n">
        <x:f>MAX(0,AE2066-AE2065)</x:f>
        <x:v>0</x:v>
      </x:c>
      <x:c r="AG2066" s="9" t="str">
        <x:f>IF(AF2066&gt;0,B2066,"")</x:f>
      </x:c>
      <x:c r="AH2066" s="9" t="n">
        <x:f>IF(F2066&gt;=1,1,(1+v01_LowTiesShare*(AE2066-1))/AE2066)</x:f>
        <x:v>1</x:v>
      </x:c>
      <x:c r="AI2066" s="32" t="n">
        <x:f>(Z2066+v01_ElderCommons*INDEX(LM_Elder,G2066)*AA2066)*AH2066</x:f>
        <x:v>64139.732591141874</x:v>
      </x:c>
      <x:c r="AJ2066" s="32" t="n">
        <x:f>H2066*v01_CommonsCoef*AI2066^v01_CommonsExp*INDEX(LM_Commons,G2066)</x:f>
        <x:v>0</x:v>
      </x:c>
      <x:c r="AK2066" s="32" t="n">
        <x:f>H2066*v01_RoleScale*Arch_Roles*(AE2066*(INDEX(v01_ElderRolePerSett,G2066)*v01_OutElder*INDEX(LM_Elder,G2066)+INDEX(v01_ShamanPerSett,G2066)*v01_OutShaman)+Z2066*(INDEX(v01_PriestShare,G2066)*v01_OutPriest+INDEX(v01_ScribeShare,G2066)*v01_OutScribe*INDEX(LM_Scribe,G2066)+INDEX(v01_ScholarShare,G2066)*v01_OutScholar*INDEX(LM_Scholar,G2066)+INDEX(v01_ResearcherShare,G2066)*v01_OutResearcher*INDEX(LM_Researcher,G2066)))</x:f>
        <x:v>0</x:v>
      </x:c>
      <x:c r="AL2066" s="32" t="n">
        <x:f>H2066*v01_RoleScale*Arch_Roles*AE2066*INDEX(v01_MonasteryPerSett,G2066)*v01_OutMonastery*INDEX(LM_Monastery,G2066)</x:f>
        <x:v>0</x:v>
      </x:c>
      <x:c r="AM2066" s="32" t="n">
        <x:f>(AJ2066+AK2066+AL2066)/4*INDEX(LM_All,G2066)*INDEX(v01_Boon,G2066)*Arch_Insight</x:f>
        <x:v>0</x:v>
      </x:c>
      <x:c r="AN2066" s="32" t="n">
        <x:f>H2066*(v01_KHPerAdult*Z2066+v01_KHOfCommons*AJ2066/4*INDEX(LM_All,G2066))*v01_KHUsable*Arch_KH</x:f>
        <x:v>0</x:v>
      </x:c>
      <x:c r="AO2066" s="32" t="n">
        <x:f>MIN(AP2065+AN2066,AM2066*v01_KHMaxRatio)</x:f>
        <x:v>0</x:v>
      </x:c>
      <x:c r="AP2066" s="32" t="n">
        <x:f>AP2065+AN2066-AO2066</x:f>
        <x:v>0</x:v>
      </x:c>
      <x:c r="AQ2066" s="32" t="n">
        <x:f>AM2066+AO2066</x:f>
        <x:v>0</x:v>
      </x:c>
      <x:c r="AR2066" s="10" t="n">
        <x:f>IF(H2066=1,INDEX(v01_Req,G2066),0)</x:f>
        <x:v>0</x:v>
      </x:c>
      <x:c r="AS2066" s="32" t="n">
        <x:f>IF(H2066=1,IF(E2066=1,AS2065-AR2065,AS2065)+AQ2066,0)</x:f>
        <x:v>0</x:v>
      </x:c>
      <x:c r="AT2066" s="11" t="n">
        <x:f>IF(AR2066&gt;0,MIN(1,AS2066/AR2066),1)</x:f>
        <x:v>1</x:v>
      </x:c>
      <x:c r="AU2066" s="10" t="n">
        <x:f>AB2066/INDEX(v01_RepScale,G2066)</x:f>
        <x:v>90.09519605746344</x:v>
      </x:c>
      <x:c r="AV2066" s="32" t="n">
        <x:f>AM2066*60/v01_SeasonSeconds</x:f>
        <x:v>0</x:v>
      </x:c>
    </x:row>
    <x:row r="2067">
      <x:c r="A2067" s="8" t="n">
        <x:f>A2066+1</x:f>
        <x:v>2064</x:v>
      </x:c>
      <x:c r="B2067" s="9" t="n">
        <x:f>A2067*v01_SeasonSeconds/60</x:f>
        <x:v>516</x:v>
      </x:c>
      <x:c r="C2067" s="9" t="n">
        <x:f>A2067/4</x:f>
        <x:v>516</x:v>
      </x:c>
      <x:c r="D2067" s="8" t="n">
        <x:f>IF(MOD(A2067,4)=0,1,0)</x:f>
        <x:v>1</x:v>
      </x:c>
      <x:c r="E2067" s="8" t="n">
        <x:f>IF(AND(F2066&lt;=9,AS2066&gt;=AR2066),1,0)</x:f>
        <x:v>0</x:v>
      </x:c>
      <x:c r="F2067" s="8" t="n">
        <x:f>MIN(10,F2066+E2067)</x:f>
        <x:v>10</x:v>
      </x:c>
      <x:c r="G2067" s="8" t="n">
        <x:f>MIN(F2067,9)+1</x:f>
        <x:v>10</x:v>
      </x:c>
      <x:c r="H2067" s="8" t="n">
        <x:f>IF(F2067&lt;=9,1,0)</x:f>
        <x:v>0</x:v>
      </x:c>
      <x:c r="I2067" s="9" t="n">
        <x:f>MIN(10,F2066+IF(AR2066&gt;0,MIN(1,AS2066/AR2066),1))</x:f>
        <x:v>10</x:v>
      </x:c>
      <x:c r="J2067" s="32" t="n">
        <x:f>INDEX(v01_FoodCap,G2067)*Arch_FoodCap*EXP(v01_CapsByProject*SUMPRODUCT((Cap_Point&lt;=I2067)*(Cap_Kind="Food")*Cap_Ln))</x:f>
        <x:v>12000</x:v>
      </x:c>
      <x:c r="K2067" s="32" t="n">
        <x:f>J2067*MIN(1,v01_LeanBase*EXP(v01_CapsByProject*SUMPRODUCT((Cap_Point&lt;=I2067)*(Cap_Kind="Lean")*Cap_Ln)))</x:f>
        <x:v>12000</x:v>
      </x:c>
      <x:c r="L2067" s="10" t="n">
        <x:f>INDEX(v01_HousingCap,G2067)*EXP(v01_CapsByProject*SUMPRODUCT((Cap_Point&lt;=I2067)*(Cap_Kind="Housing")*Cap_Ln))</x:f>
        <x:v>20000</x:v>
      </x:c>
      <x:c r="M2067" s="10" t="n">
        <x:f>INDEX(v01_GroupCap,G2067)*v01_CohesionFactor*EXP(v01_CapsByProject*SUMPRODUCT((Cap_Point&lt;=I2067)*(Cap_Kind="Group")*Cap_Ln))</x:f>
        <x:v>1000000</x:v>
      </x:c>
      <x:c r="N2067" s="32" t="n">
        <x:f>MIN(J2067,L2067,M2067)</x:f>
        <x:v>12000</x:v>
      </x:c>
      <x:c r="O2067" s="10" t="n">
        <x:f>AE2066*N2067</x:f>
        <x:v>180000</x:v>
      </x:c>
      <x:c r="P2067" s="9" t="n">
        <x:f>MIN(1,(AB2066/(AE2066*IF(v01_GroupInCrowding=1,N2067,MIN(J2067,L2067))))^v01_CrowdingExp)</x:f>
        <x:v>0.00024569414295285325</x:v>
      </x:c>
      <x:c r="Q2067" s="9" t="n">
        <x:f>IF(D2067=1,INDEX(v01_WinterMult,G2067),1)</x:f>
        <x:v>1</x:v>
      </x:c>
      <x:c r="R2067" s="9" t="n">
        <x:f>H2067*Z2066*v01_WomenShare*v01_BaseFertility*INDEX(v01_FertMult,G2067)*Arch_Fertility*(1-P2067)</x:f>
        <x:v>0</x:v>
      </x:c>
      <x:c r="S2067" s="9" t="n">
        <x:f>H2067*Y2066*INDEX(v01_MortChild,G2067)/4*Q2067</x:f>
        <x:v>0</x:v>
      </x:c>
      <x:c r="T2067" s="9" t="n">
        <x:f>H2067*Z2066*INDEX(v01_MortAdult,G2067)*Arch_AdultMort/4*Q2067</x:f>
        <x:v>0</x:v>
      </x:c>
      <x:c r="U2067" s="9" t="n">
        <x:f>H2067*AA2066*INDEX(v01_MortElder,G2067)/4*Q2067</x:f>
        <x:v>0</x:v>
      </x:c>
      <x:c r="V2067" s="9" t="n">
        <x:f>H2067*MAX(0,AB2066-O2067)*v01_OvercapLoss</x:f>
        <x:v>0</x:v>
      </x:c>
      <x:c r="W2067" s="9" t="n">
        <x:f>H2067*Y2066/(v01_ChildYears*4)</x:f>
        <x:v>0</x:v>
      </x:c>
      <x:c r="X2067" s="9" t="n">
        <x:f>H2067*Z2066/(v01_AdultYears*4)</x:f>
        <x:v>0</x:v>
      </x:c>
      <x:c r="Y2067" s="32" t="n">
        <x:f>Y2066+R2067-S2067-W2067-Y2066*V2067/AB2066</x:f>
        <x:v>14306.18539759397</x:v>
      </x:c>
      <x:c r="Z2067" s="32" t="n">
        <x:f>Z2066+W2067-X2067-T2067-Z2066*V2067/AB2066</x:f>
        <x:v>19354.456567879548</x:v>
      </x:c>
      <x:c r="AA2067" s="32" t="n">
        <x:f>AA2066+X2067-U2067-AA2066*V2067/AB2066</x:f>
        <x:v>11386.956063258198</x:v>
      </x:c>
      <x:c r="AB2067" s="10" t="n">
        <x:f>Y2067+Z2067+AA2067</x:f>
        <x:v>45047.59802873172</x:v>
      </x:c>
      <x:c r="AC2067" s="8" t="n">
        <x:f>IF(AND(v01_WinterTrigger=1,D2067=1,AB2066/AE2066&gt;=K2067),1,0)</x:f>
        <x:v>0</x:v>
      </x:c>
      <x:c r="AD2067" s="8" t="n">
        <x:f>H2067*IF(AND(OR(AB2066/AE2066&gt;=v01_FissionTrigger*N2067,AC2067=1),AB2066/AE2066*v01_DaughterShare&gt;=v01_MinDaughter),MAX(1,ROUND(AE2066*v01_FissionRate,0)),0)</x:f>
        <x:v>0</x:v>
      </x:c>
      <x:c r="AE2067" s="8" t="n">
        <x:f>IF(H2067=1,MAX(1,MIN(INDEX(v01_Smax,G2067),AE2066+AD2067)),AE2066)</x:f>
        <x:v>15</x:v>
      </x:c>
      <x:c r="AF2067" s="8" t="n">
        <x:f>MAX(0,AE2067-AE2066)</x:f>
        <x:v>0</x:v>
      </x:c>
      <x:c r="AG2067" s="9" t="str">
        <x:f>IF(AF2067&gt;0,B2067,"")</x:f>
      </x:c>
      <x:c r="AH2067" s="9" t="n">
        <x:f>IF(F2067&gt;=1,1,(1+v01_LowTiesShare*(AE2067-1))/AE2067)</x:f>
        <x:v>1</x:v>
      </x:c>
      <x:c r="AI2067" s="32" t="n">
        <x:f>(Z2067+v01_ElderCommons*INDEX(LM_Elder,G2067)*AA2067)*AH2067</x:f>
        <x:v>64139.732591141874</x:v>
      </x:c>
      <x:c r="AJ2067" s="32" t="n">
        <x:f>H2067*v01_CommonsCoef*AI2067^v01_CommonsExp*INDEX(LM_Commons,G2067)</x:f>
        <x:v>0</x:v>
      </x:c>
      <x:c r="AK2067" s="32" t="n">
        <x:f>H2067*v01_RoleScale*Arch_Roles*(AE2067*(INDEX(v01_ElderRolePerSett,G2067)*v01_OutElder*INDEX(LM_Elder,G2067)+INDEX(v01_ShamanPerSett,G2067)*v01_OutShaman)+Z2067*(INDEX(v01_PriestShare,G2067)*v01_OutPriest+INDEX(v01_ScribeShare,G2067)*v01_OutScribe*INDEX(LM_Scribe,G2067)+INDEX(v01_ScholarShare,G2067)*v01_OutScholar*INDEX(LM_Scholar,G2067)+INDEX(v01_ResearcherShare,G2067)*v01_OutResearcher*INDEX(LM_Researcher,G2067)))</x:f>
        <x:v>0</x:v>
      </x:c>
      <x:c r="AL2067" s="32" t="n">
        <x:f>H2067*v01_RoleScale*Arch_Roles*AE2067*INDEX(v01_MonasteryPerSett,G2067)*v01_OutMonastery*INDEX(LM_Monastery,G2067)</x:f>
        <x:v>0</x:v>
      </x:c>
      <x:c r="AM2067" s="32" t="n">
        <x:f>(AJ2067+AK2067+AL2067)/4*INDEX(LM_All,G2067)*INDEX(v01_Boon,G2067)*Arch_Insight</x:f>
        <x:v>0</x:v>
      </x:c>
      <x:c r="AN2067" s="32" t="n">
        <x:f>H2067*(v01_KHPerAdult*Z2067+v01_KHOfCommons*AJ2067/4*INDEX(LM_All,G2067))*v01_KHUsable*Arch_KH</x:f>
        <x:v>0</x:v>
      </x:c>
      <x:c r="AO2067" s="32" t="n">
        <x:f>MIN(AP2066+AN2067,AM2067*v01_KHMaxRatio)</x:f>
        <x:v>0</x:v>
      </x:c>
      <x:c r="AP2067" s="32" t="n">
        <x:f>AP2066+AN2067-AO2067</x:f>
        <x:v>0</x:v>
      </x:c>
      <x:c r="AQ2067" s="32" t="n">
        <x:f>AM2067+AO2067</x:f>
        <x:v>0</x:v>
      </x:c>
      <x:c r="AR2067" s="10" t="n">
        <x:f>IF(H2067=1,INDEX(v01_Req,G2067),0)</x:f>
        <x:v>0</x:v>
      </x:c>
      <x:c r="AS2067" s="32" t="n">
        <x:f>IF(H2067=1,IF(E2067=1,AS2066-AR2066,AS2066)+AQ2067,0)</x:f>
        <x:v>0</x:v>
      </x:c>
      <x:c r="AT2067" s="11" t="n">
        <x:f>IF(AR2067&gt;0,MIN(1,AS2067/AR2067),1)</x:f>
        <x:v>1</x:v>
      </x:c>
      <x:c r="AU2067" s="10" t="n">
        <x:f>AB2067/INDEX(v01_RepScale,G2067)</x:f>
        <x:v>90.09519605746344</x:v>
      </x:c>
      <x:c r="AV2067" s="32" t="n">
        <x:f>AM2067*60/v01_SeasonSeconds</x:f>
        <x:v>0</x:v>
      </x:c>
    </x:row>
    <x:row r="2068">
      <x:c r="A2068" s="8" t="n">
        <x:f>A2067+1</x:f>
        <x:v>2065</x:v>
      </x:c>
      <x:c r="B2068" s="9" t="n">
        <x:f>A2068*v01_SeasonSeconds/60</x:f>
        <x:v>516.25</x:v>
      </x:c>
      <x:c r="C2068" s="9" t="n">
        <x:f>A2068/4</x:f>
        <x:v>516.25</x:v>
      </x:c>
      <x:c r="D2068" s="8" t="n">
        <x:f>IF(MOD(A2068,4)=0,1,0)</x:f>
        <x:v>0</x:v>
      </x:c>
      <x:c r="E2068" s="8" t="n">
        <x:f>IF(AND(F2067&lt;=9,AS2067&gt;=AR2067),1,0)</x:f>
        <x:v>0</x:v>
      </x:c>
      <x:c r="F2068" s="8" t="n">
        <x:f>MIN(10,F2067+E2068)</x:f>
        <x:v>10</x:v>
      </x:c>
      <x:c r="G2068" s="8" t="n">
        <x:f>MIN(F2068,9)+1</x:f>
        <x:v>10</x:v>
      </x:c>
      <x:c r="H2068" s="8" t="n">
        <x:f>IF(F2068&lt;=9,1,0)</x:f>
        <x:v>0</x:v>
      </x:c>
      <x:c r="I2068" s="9" t="n">
        <x:f>MIN(10,F2067+IF(AR2067&gt;0,MIN(1,AS2067/AR2067),1))</x:f>
        <x:v>10</x:v>
      </x:c>
      <x:c r="J2068" s="32" t="n">
        <x:f>INDEX(v01_FoodCap,G2068)*Arch_FoodCap*EXP(v01_CapsByProject*SUMPRODUCT((Cap_Point&lt;=I2068)*(Cap_Kind="Food")*Cap_Ln))</x:f>
        <x:v>12000</x:v>
      </x:c>
      <x:c r="K2068" s="32" t="n">
        <x:f>J2068*MIN(1,v01_LeanBase*EXP(v01_CapsByProject*SUMPRODUCT((Cap_Point&lt;=I2068)*(Cap_Kind="Lean")*Cap_Ln)))</x:f>
        <x:v>12000</x:v>
      </x:c>
      <x:c r="L2068" s="10" t="n">
        <x:f>INDEX(v01_HousingCap,G2068)*EXP(v01_CapsByProject*SUMPRODUCT((Cap_Point&lt;=I2068)*(Cap_Kind="Housing")*Cap_Ln))</x:f>
        <x:v>20000</x:v>
      </x:c>
      <x:c r="M2068" s="10" t="n">
        <x:f>INDEX(v01_GroupCap,G2068)*v01_CohesionFactor*EXP(v01_CapsByProject*SUMPRODUCT((Cap_Point&lt;=I2068)*(Cap_Kind="Group")*Cap_Ln))</x:f>
        <x:v>1000000</x:v>
      </x:c>
      <x:c r="N2068" s="32" t="n">
        <x:f>MIN(J2068,L2068,M2068)</x:f>
        <x:v>12000</x:v>
      </x:c>
      <x:c r="O2068" s="10" t="n">
        <x:f>AE2067*N2068</x:f>
        <x:v>180000</x:v>
      </x:c>
      <x:c r="P2068" s="9" t="n">
        <x:f>MIN(1,(AB2067/(AE2067*IF(v01_GroupInCrowding=1,N2068,MIN(J2068,L2068))))^v01_CrowdingExp)</x:f>
        <x:v>0.00024569414295285325</x:v>
      </x:c>
      <x:c r="Q2068" s="9" t="n">
        <x:f>IF(D2068=1,INDEX(v01_WinterMult,G2068),1)</x:f>
        <x:v>1</x:v>
      </x:c>
      <x:c r="R2068" s="9" t="n">
        <x:f>H2068*Z2067*v01_WomenShare*v01_BaseFertility*INDEX(v01_FertMult,G2068)*Arch_Fertility*(1-P2068)</x:f>
        <x:v>0</x:v>
      </x:c>
      <x:c r="S2068" s="9" t="n">
        <x:f>H2068*Y2067*INDEX(v01_MortChild,G2068)/4*Q2068</x:f>
        <x:v>0</x:v>
      </x:c>
      <x:c r="T2068" s="9" t="n">
        <x:f>H2068*Z2067*INDEX(v01_MortAdult,G2068)*Arch_AdultMort/4*Q2068</x:f>
        <x:v>0</x:v>
      </x:c>
      <x:c r="U2068" s="9" t="n">
        <x:f>H2068*AA2067*INDEX(v01_MortElder,G2068)/4*Q2068</x:f>
        <x:v>0</x:v>
      </x:c>
      <x:c r="V2068" s="9" t="n">
        <x:f>H2068*MAX(0,AB2067-O2068)*v01_OvercapLoss</x:f>
        <x:v>0</x:v>
      </x:c>
      <x:c r="W2068" s="9" t="n">
        <x:f>H2068*Y2067/(v01_ChildYears*4)</x:f>
        <x:v>0</x:v>
      </x:c>
      <x:c r="X2068" s="9" t="n">
        <x:f>H2068*Z2067/(v01_AdultYears*4)</x:f>
        <x:v>0</x:v>
      </x:c>
      <x:c r="Y2068" s="32" t="n">
        <x:f>Y2067+R2068-S2068-W2068-Y2067*V2068/AB2067</x:f>
        <x:v>14306.18539759397</x:v>
      </x:c>
      <x:c r="Z2068" s="32" t="n">
        <x:f>Z2067+W2068-X2068-T2068-Z2067*V2068/AB2067</x:f>
        <x:v>19354.456567879548</x:v>
      </x:c>
      <x:c r="AA2068" s="32" t="n">
        <x:f>AA2067+X2068-U2068-AA2067*V2068/AB2067</x:f>
        <x:v>11386.956063258198</x:v>
      </x:c>
      <x:c r="AB2068" s="10" t="n">
        <x:f>Y2068+Z2068+AA2068</x:f>
        <x:v>45047.59802873172</x:v>
      </x:c>
      <x:c r="AC2068" s="8" t="n">
        <x:f>IF(AND(v01_WinterTrigger=1,D2068=1,AB2067/AE2067&gt;=K2068),1,0)</x:f>
        <x:v>0</x:v>
      </x:c>
      <x:c r="AD2068" s="8" t="n">
        <x:f>H2068*IF(AND(OR(AB2067/AE2067&gt;=v01_FissionTrigger*N2068,AC2068=1),AB2067/AE2067*v01_DaughterShare&gt;=v01_MinDaughter),MAX(1,ROUND(AE2067*v01_FissionRate,0)),0)</x:f>
        <x:v>0</x:v>
      </x:c>
      <x:c r="AE2068" s="8" t="n">
        <x:f>IF(H2068=1,MAX(1,MIN(INDEX(v01_Smax,G2068),AE2067+AD2068)),AE2067)</x:f>
        <x:v>15</x:v>
      </x:c>
      <x:c r="AF2068" s="8" t="n">
        <x:f>MAX(0,AE2068-AE2067)</x:f>
        <x:v>0</x:v>
      </x:c>
      <x:c r="AG2068" s="9" t="str">
        <x:f>IF(AF2068&gt;0,B2068,"")</x:f>
      </x:c>
      <x:c r="AH2068" s="9" t="n">
        <x:f>IF(F2068&gt;=1,1,(1+v01_LowTiesShare*(AE2068-1))/AE2068)</x:f>
        <x:v>1</x:v>
      </x:c>
      <x:c r="AI2068" s="32" t="n">
        <x:f>(Z2068+v01_ElderCommons*INDEX(LM_Elder,G2068)*AA2068)*AH2068</x:f>
        <x:v>64139.732591141874</x:v>
      </x:c>
      <x:c r="AJ2068" s="32" t="n">
        <x:f>H2068*v01_CommonsCoef*AI2068^v01_CommonsExp*INDEX(LM_Commons,G2068)</x:f>
        <x:v>0</x:v>
      </x:c>
      <x:c r="AK2068" s="32" t="n">
        <x:f>H2068*v01_RoleScale*Arch_Roles*(AE2068*(INDEX(v01_ElderRolePerSett,G2068)*v01_OutElder*INDEX(LM_Elder,G2068)+INDEX(v01_ShamanPerSett,G2068)*v01_OutShaman)+Z2068*(INDEX(v01_PriestShare,G2068)*v01_OutPriest+INDEX(v01_ScribeShare,G2068)*v01_OutScribe*INDEX(LM_Scribe,G2068)+INDEX(v01_ScholarShare,G2068)*v01_OutScholar*INDEX(LM_Scholar,G2068)+INDEX(v01_ResearcherShare,G2068)*v01_OutResearcher*INDEX(LM_Researcher,G2068)))</x:f>
        <x:v>0</x:v>
      </x:c>
      <x:c r="AL2068" s="32" t="n">
        <x:f>H2068*v01_RoleScale*Arch_Roles*AE2068*INDEX(v01_MonasteryPerSett,G2068)*v01_OutMonastery*INDEX(LM_Monastery,G2068)</x:f>
        <x:v>0</x:v>
      </x:c>
      <x:c r="AM2068" s="32" t="n">
        <x:f>(AJ2068+AK2068+AL2068)/4*INDEX(LM_All,G2068)*INDEX(v01_Boon,G2068)*Arch_Insight</x:f>
        <x:v>0</x:v>
      </x:c>
      <x:c r="AN2068" s="32" t="n">
        <x:f>H2068*(v01_KHPerAdult*Z2068+v01_KHOfCommons*AJ2068/4*INDEX(LM_All,G2068))*v01_KHUsable*Arch_KH</x:f>
        <x:v>0</x:v>
      </x:c>
      <x:c r="AO2068" s="32" t="n">
        <x:f>MIN(AP2067+AN2068,AM2068*v01_KHMaxRatio)</x:f>
        <x:v>0</x:v>
      </x:c>
      <x:c r="AP2068" s="32" t="n">
        <x:f>AP2067+AN2068-AO2068</x:f>
        <x:v>0</x:v>
      </x:c>
      <x:c r="AQ2068" s="32" t="n">
        <x:f>AM2068+AO2068</x:f>
        <x:v>0</x:v>
      </x:c>
      <x:c r="AR2068" s="10" t="n">
        <x:f>IF(H2068=1,INDEX(v01_Req,G2068),0)</x:f>
        <x:v>0</x:v>
      </x:c>
      <x:c r="AS2068" s="32" t="n">
        <x:f>IF(H2068=1,IF(E2068=1,AS2067-AR2067,AS2067)+AQ2068,0)</x:f>
        <x:v>0</x:v>
      </x:c>
      <x:c r="AT2068" s="11" t="n">
        <x:f>IF(AR2068&gt;0,MIN(1,AS2068/AR2068),1)</x:f>
        <x:v>1</x:v>
      </x:c>
      <x:c r="AU2068" s="10" t="n">
        <x:f>AB2068/INDEX(v01_RepScale,G2068)</x:f>
        <x:v>90.09519605746344</x:v>
      </x:c>
      <x:c r="AV2068" s="32" t="n">
        <x:f>AM2068*60/v01_SeasonSeconds</x:f>
        <x:v>0</x:v>
      </x:c>
    </x:row>
    <x:row r="2069">
      <x:c r="A2069" s="8" t="n">
        <x:f>A2068+1</x:f>
        <x:v>2066</x:v>
      </x:c>
      <x:c r="B2069" s="9" t="n">
        <x:f>A2069*v01_SeasonSeconds/60</x:f>
        <x:v>516.5</x:v>
      </x:c>
      <x:c r="C2069" s="9" t="n">
        <x:f>A2069/4</x:f>
        <x:v>516.5</x:v>
      </x:c>
      <x:c r="D2069" s="8" t="n">
        <x:f>IF(MOD(A2069,4)=0,1,0)</x:f>
        <x:v>0</x:v>
      </x:c>
      <x:c r="E2069" s="8" t="n">
        <x:f>IF(AND(F2068&lt;=9,AS2068&gt;=AR2068),1,0)</x:f>
        <x:v>0</x:v>
      </x:c>
      <x:c r="F2069" s="8" t="n">
        <x:f>MIN(10,F2068+E2069)</x:f>
        <x:v>10</x:v>
      </x:c>
      <x:c r="G2069" s="8" t="n">
        <x:f>MIN(F2069,9)+1</x:f>
        <x:v>10</x:v>
      </x:c>
      <x:c r="H2069" s="8" t="n">
        <x:f>IF(F2069&lt;=9,1,0)</x:f>
        <x:v>0</x:v>
      </x:c>
      <x:c r="I2069" s="9" t="n">
        <x:f>MIN(10,F2068+IF(AR2068&gt;0,MIN(1,AS2068/AR2068),1))</x:f>
        <x:v>10</x:v>
      </x:c>
      <x:c r="J2069" s="32" t="n">
        <x:f>INDEX(v01_FoodCap,G2069)*Arch_FoodCap*EXP(v01_CapsByProject*SUMPRODUCT((Cap_Point&lt;=I2069)*(Cap_Kind="Food")*Cap_Ln))</x:f>
        <x:v>12000</x:v>
      </x:c>
      <x:c r="K2069" s="32" t="n">
        <x:f>J2069*MIN(1,v01_LeanBase*EXP(v01_CapsByProject*SUMPRODUCT((Cap_Point&lt;=I2069)*(Cap_Kind="Lean")*Cap_Ln)))</x:f>
        <x:v>12000</x:v>
      </x:c>
      <x:c r="L2069" s="10" t="n">
        <x:f>INDEX(v01_HousingCap,G2069)*EXP(v01_CapsByProject*SUMPRODUCT((Cap_Point&lt;=I2069)*(Cap_Kind="Housing")*Cap_Ln))</x:f>
        <x:v>20000</x:v>
      </x:c>
      <x:c r="M2069" s="10" t="n">
        <x:f>INDEX(v01_GroupCap,G2069)*v01_CohesionFactor*EXP(v01_CapsByProject*SUMPRODUCT((Cap_Point&lt;=I2069)*(Cap_Kind="Group")*Cap_Ln))</x:f>
        <x:v>1000000</x:v>
      </x:c>
      <x:c r="N2069" s="32" t="n">
        <x:f>MIN(J2069,L2069,M2069)</x:f>
        <x:v>12000</x:v>
      </x:c>
      <x:c r="O2069" s="10" t="n">
        <x:f>AE2068*N2069</x:f>
        <x:v>180000</x:v>
      </x:c>
      <x:c r="P2069" s="9" t="n">
        <x:f>MIN(1,(AB2068/(AE2068*IF(v01_GroupInCrowding=1,N2069,MIN(J2069,L2069))))^v01_CrowdingExp)</x:f>
        <x:v>0.00024569414295285325</x:v>
      </x:c>
      <x:c r="Q2069" s="9" t="n">
        <x:f>IF(D2069=1,INDEX(v01_WinterMult,G2069),1)</x:f>
        <x:v>1</x:v>
      </x:c>
      <x:c r="R2069" s="9" t="n">
        <x:f>H2069*Z2068*v01_WomenShare*v01_BaseFertility*INDEX(v01_FertMult,G2069)*Arch_Fertility*(1-P2069)</x:f>
        <x:v>0</x:v>
      </x:c>
      <x:c r="S2069" s="9" t="n">
        <x:f>H2069*Y2068*INDEX(v01_MortChild,G2069)/4*Q2069</x:f>
        <x:v>0</x:v>
      </x:c>
      <x:c r="T2069" s="9" t="n">
        <x:f>H2069*Z2068*INDEX(v01_MortAdult,G2069)*Arch_AdultMort/4*Q2069</x:f>
        <x:v>0</x:v>
      </x:c>
      <x:c r="U2069" s="9" t="n">
        <x:f>H2069*AA2068*INDEX(v01_MortElder,G2069)/4*Q2069</x:f>
        <x:v>0</x:v>
      </x:c>
      <x:c r="V2069" s="9" t="n">
        <x:f>H2069*MAX(0,AB2068-O2069)*v01_OvercapLoss</x:f>
        <x:v>0</x:v>
      </x:c>
      <x:c r="W2069" s="9" t="n">
        <x:f>H2069*Y2068/(v01_ChildYears*4)</x:f>
        <x:v>0</x:v>
      </x:c>
      <x:c r="X2069" s="9" t="n">
        <x:f>H2069*Z2068/(v01_AdultYears*4)</x:f>
        <x:v>0</x:v>
      </x:c>
      <x:c r="Y2069" s="32" t="n">
        <x:f>Y2068+R2069-S2069-W2069-Y2068*V2069/AB2068</x:f>
        <x:v>14306.18539759397</x:v>
      </x:c>
      <x:c r="Z2069" s="32" t="n">
        <x:f>Z2068+W2069-X2069-T2069-Z2068*V2069/AB2068</x:f>
        <x:v>19354.456567879548</x:v>
      </x:c>
      <x:c r="AA2069" s="32" t="n">
        <x:f>AA2068+X2069-U2069-AA2068*V2069/AB2068</x:f>
        <x:v>11386.956063258198</x:v>
      </x:c>
      <x:c r="AB2069" s="10" t="n">
        <x:f>Y2069+Z2069+AA2069</x:f>
        <x:v>45047.59802873172</x:v>
      </x:c>
      <x:c r="AC2069" s="8" t="n">
        <x:f>IF(AND(v01_WinterTrigger=1,D2069=1,AB2068/AE2068&gt;=K2069),1,0)</x:f>
        <x:v>0</x:v>
      </x:c>
      <x:c r="AD2069" s="8" t="n">
        <x:f>H2069*IF(AND(OR(AB2068/AE2068&gt;=v01_FissionTrigger*N2069,AC2069=1),AB2068/AE2068*v01_DaughterShare&gt;=v01_MinDaughter),MAX(1,ROUND(AE2068*v01_FissionRate,0)),0)</x:f>
        <x:v>0</x:v>
      </x:c>
      <x:c r="AE2069" s="8" t="n">
        <x:f>IF(H2069=1,MAX(1,MIN(INDEX(v01_Smax,G2069),AE2068+AD2069)),AE2068)</x:f>
        <x:v>15</x:v>
      </x:c>
      <x:c r="AF2069" s="8" t="n">
        <x:f>MAX(0,AE2069-AE2068)</x:f>
        <x:v>0</x:v>
      </x:c>
      <x:c r="AG2069" s="9" t="str">
        <x:f>IF(AF2069&gt;0,B2069,"")</x:f>
      </x:c>
      <x:c r="AH2069" s="9" t="n">
        <x:f>IF(F2069&gt;=1,1,(1+v01_LowTiesShare*(AE2069-1))/AE2069)</x:f>
        <x:v>1</x:v>
      </x:c>
      <x:c r="AI2069" s="32" t="n">
        <x:f>(Z2069+v01_ElderCommons*INDEX(LM_Elder,G2069)*AA2069)*AH2069</x:f>
        <x:v>64139.732591141874</x:v>
      </x:c>
      <x:c r="AJ2069" s="32" t="n">
        <x:f>H2069*v01_CommonsCoef*AI2069^v01_CommonsExp*INDEX(LM_Commons,G2069)</x:f>
        <x:v>0</x:v>
      </x:c>
      <x:c r="AK2069" s="32" t="n">
        <x:f>H2069*v01_RoleScale*Arch_Roles*(AE2069*(INDEX(v01_ElderRolePerSett,G2069)*v01_OutElder*INDEX(LM_Elder,G2069)+INDEX(v01_ShamanPerSett,G2069)*v01_OutShaman)+Z2069*(INDEX(v01_PriestShare,G2069)*v01_OutPriest+INDEX(v01_ScribeShare,G2069)*v01_OutScribe*INDEX(LM_Scribe,G2069)+INDEX(v01_ScholarShare,G2069)*v01_OutScholar*INDEX(LM_Scholar,G2069)+INDEX(v01_ResearcherShare,G2069)*v01_OutResearcher*INDEX(LM_Researcher,G2069)))</x:f>
        <x:v>0</x:v>
      </x:c>
      <x:c r="AL2069" s="32" t="n">
        <x:f>H2069*v01_RoleScale*Arch_Roles*AE2069*INDEX(v01_MonasteryPerSett,G2069)*v01_OutMonastery*INDEX(LM_Monastery,G2069)</x:f>
        <x:v>0</x:v>
      </x:c>
      <x:c r="AM2069" s="32" t="n">
        <x:f>(AJ2069+AK2069+AL2069)/4*INDEX(LM_All,G2069)*INDEX(v01_Boon,G2069)*Arch_Insight</x:f>
        <x:v>0</x:v>
      </x:c>
      <x:c r="AN2069" s="32" t="n">
        <x:f>H2069*(v01_KHPerAdult*Z2069+v01_KHOfCommons*AJ2069/4*INDEX(LM_All,G2069))*v01_KHUsable*Arch_KH</x:f>
        <x:v>0</x:v>
      </x:c>
      <x:c r="AO2069" s="32" t="n">
        <x:f>MIN(AP2068+AN2069,AM2069*v01_KHMaxRatio)</x:f>
        <x:v>0</x:v>
      </x:c>
      <x:c r="AP2069" s="32" t="n">
        <x:f>AP2068+AN2069-AO2069</x:f>
        <x:v>0</x:v>
      </x:c>
      <x:c r="AQ2069" s="32" t="n">
        <x:f>AM2069+AO2069</x:f>
        <x:v>0</x:v>
      </x:c>
      <x:c r="AR2069" s="10" t="n">
        <x:f>IF(H2069=1,INDEX(v01_Req,G2069),0)</x:f>
        <x:v>0</x:v>
      </x:c>
      <x:c r="AS2069" s="32" t="n">
        <x:f>IF(H2069=1,IF(E2069=1,AS2068-AR2068,AS2068)+AQ2069,0)</x:f>
        <x:v>0</x:v>
      </x:c>
      <x:c r="AT2069" s="11" t="n">
        <x:f>IF(AR2069&gt;0,MIN(1,AS2069/AR2069),1)</x:f>
        <x:v>1</x:v>
      </x:c>
      <x:c r="AU2069" s="10" t="n">
        <x:f>AB2069/INDEX(v01_RepScale,G2069)</x:f>
        <x:v>90.09519605746344</x:v>
      </x:c>
      <x:c r="AV2069" s="32" t="n">
        <x:f>AM2069*60/v01_SeasonSeconds</x:f>
        <x:v>0</x:v>
      </x:c>
    </x:row>
    <x:row r="2070">
      <x:c r="A2070" s="8" t="n">
        <x:f>A2069+1</x:f>
        <x:v>2067</x:v>
      </x:c>
      <x:c r="B2070" s="9" t="n">
        <x:f>A2070*v01_SeasonSeconds/60</x:f>
        <x:v>516.75</x:v>
      </x:c>
      <x:c r="C2070" s="9" t="n">
        <x:f>A2070/4</x:f>
        <x:v>516.75</x:v>
      </x:c>
      <x:c r="D2070" s="8" t="n">
        <x:f>IF(MOD(A2070,4)=0,1,0)</x:f>
        <x:v>0</x:v>
      </x:c>
      <x:c r="E2070" s="8" t="n">
        <x:f>IF(AND(F2069&lt;=9,AS2069&gt;=AR2069),1,0)</x:f>
        <x:v>0</x:v>
      </x:c>
      <x:c r="F2070" s="8" t="n">
        <x:f>MIN(10,F2069+E2070)</x:f>
        <x:v>10</x:v>
      </x:c>
      <x:c r="G2070" s="8" t="n">
        <x:f>MIN(F2070,9)+1</x:f>
        <x:v>10</x:v>
      </x:c>
      <x:c r="H2070" s="8" t="n">
        <x:f>IF(F2070&lt;=9,1,0)</x:f>
        <x:v>0</x:v>
      </x:c>
      <x:c r="I2070" s="9" t="n">
        <x:f>MIN(10,F2069+IF(AR2069&gt;0,MIN(1,AS2069/AR2069),1))</x:f>
        <x:v>10</x:v>
      </x:c>
      <x:c r="J2070" s="32" t="n">
        <x:f>INDEX(v01_FoodCap,G2070)*Arch_FoodCap*EXP(v01_CapsByProject*SUMPRODUCT((Cap_Point&lt;=I2070)*(Cap_Kind="Food")*Cap_Ln))</x:f>
        <x:v>12000</x:v>
      </x:c>
      <x:c r="K2070" s="32" t="n">
        <x:f>J2070*MIN(1,v01_LeanBase*EXP(v01_CapsByProject*SUMPRODUCT((Cap_Point&lt;=I2070)*(Cap_Kind="Lean")*Cap_Ln)))</x:f>
        <x:v>12000</x:v>
      </x:c>
      <x:c r="L2070" s="10" t="n">
        <x:f>INDEX(v01_HousingCap,G2070)*EXP(v01_CapsByProject*SUMPRODUCT((Cap_Point&lt;=I2070)*(Cap_Kind="Housing")*Cap_Ln))</x:f>
        <x:v>20000</x:v>
      </x:c>
      <x:c r="M2070" s="10" t="n">
        <x:f>INDEX(v01_GroupCap,G2070)*v01_CohesionFactor*EXP(v01_CapsByProject*SUMPRODUCT((Cap_Point&lt;=I2070)*(Cap_Kind="Group")*Cap_Ln))</x:f>
        <x:v>1000000</x:v>
      </x:c>
      <x:c r="N2070" s="32" t="n">
        <x:f>MIN(J2070,L2070,M2070)</x:f>
        <x:v>12000</x:v>
      </x:c>
      <x:c r="O2070" s="10" t="n">
        <x:f>AE2069*N2070</x:f>
        <x:v>180000</x:v>
      </x:c>
      <x:c r="P2070" s="9" t="n">
        <x:f>MIN(1,(AB2069/(AE2069*IF(v01_GroupInCrowding=1,N2070,MIN(J2070,L2070))))^v01_CrowdingExp)</x:f>
        <x:v>0.00024569414295285325</x:v>
      </x:c>
      <x:c r="Q2070" s="9" t="n">
        <x:f>IF(D2070=1,INDEX(v01_WinterMult,G2070),1)</x:f>
        <x:v>1</x:v>
      </x:c>
      <x:c r="R2070" s="9" t="n">
        <x:f>H2070*Z2069*v01_WomenShare*v01_BaseFertility*INDEX(v01_FertMult,G2070)*Arch_Fertility*(1-P2070)</x:f>
        <x:v>0</x:v>
      </x:c>
      <x:c r="S2070" s="9" t="n">
        <x:f>H2070*Y2069*INDEX(v01_MortChild,G2070)/4*Q2070</x:f>
        <x:v>0</x:v>
      </x:c>
      <x:c r="T2070" s="9" t="n">
        <x:f>H2070*Z2069*INDEX(v01_MortAdult,G2070)*Arch_AdultMort/4*Q2070</x:f>
        <x:v>0</x:v>
      </x:c>
      <x:c r="U2070" s="9" t="n">
        <x:f>H2070*AA2069*INDEX(v01_MortElder,G2070)/4*Q2070</x:f>
        <x:v>0</x:v>
      </x:c>
      <x:c r="V2070" s="9" t="n">
        <x:f>H2070*MAX(0,AB2069-O2070)*v01_OvercapLoss</x:f>
        <x:v>0</x:v>
      </x:c>
      <x:c r="W2070" s="9" t="n">
        <x:f>H2070*Y2069/(v01_ChildYears*4)</x:f>
        <x:v>0</x:v>
      </x:c>
      <x:c r="X2070" s="9" t="n">
        <x:f>H2070*Z2069/(v01_AdultYears*4)</x:f>
        <x:v>0</x:v>
      </x:c>
      <x:c r="Y2070" s="32" t="n">
        <x:f>Y2069+R2070-S2070-W2070-Y2069*V2070/AB2069</x:f>
        <x:v>14306.18539759397</x:v>
      </x:c>
      <x:c r="Z2070" s="32" t="n">
        <x:f>Z2069+W2070-X2070-T2070-Z2069*V2070/AB2069</x:f>
        <x:v>19354.456567879548</x:v>
      </x:c>
      <x:c r="AA2070" s="32" t="n">
        <x:f>AA2069+X2070-U2070-AA2069*V2070/AB2069</x:f>
        <x:v>11386.956063258198</x:v>
      </x:c>
      <x:c r="AB2070" s="10" t="n">
        <x:f>Y2070+Z2070+AA2070</x:f>
        <x:v>45047.59802873172</x:v>
      </x:c>
      <x:c r="AC2070" s="8" t="n">
        <x:f>IF(AND(v01_WinterTrigger=1,D2070=1,AB2069/AE2069&gt;=K2070),1,0)</x:f>
        <x:v>0</x:v>
      </x:c>
      <x:c r="AD2070" s="8" t="n">
        <x:f>H2070*IF(AND(OR(AB2069/AE2069&gt;=v01_FissionTrigger*N2070,AC2070=1),AB2069/AE2069*v01_DaughterShare&gt;=v01_MinDaughter),MAX(1,ROUND(AE2069*v01_FissionRate,0)),0)</x:f>
        <x:v>0</x:v>
      </x:c>
      <x:c r="AE2070" s="8" t="n">
        <x:f>IF(H2070=1,MAX(1,MIN(INDEX(v01_Smax,G2070),AE2069+AD2070)),AE2069)</x:f>
        <x:v>15</x:v>
      </x:c>
      <x:c r="AF2070" s="8" t="n">
        <x:f>MAX(0,AE2070-AE2069)</x:f>
        <x:v>0</x:v>
      </x:c>
      <x:c r="AG2070" s="9" t="str">
        <x:f>IF(AF2070&gt;0,B2070,"")</x:f>
      </x:c>
      <x:c r="AH2070" s="9" t="n">
        <x:f>IF(F2070&gt;=1,1,(1+v01_LowTiesShare*(AE2070-1))/AE2070)</x:f>
        <x:v>1</x:v>
      </x:c>
      <x:c r="AI2070" s="32" t="n">
        <x:f>(Z2070+v01_ElderCommons*INDEX(LM_Elder,G2070)*AA2070)*AH2070</x:f>
        <x:v>64139.732591141874</x:v>
      </x:c>
      <x:c r="AJ2070" s="32" t="n">
        <x:f>H2070*v01_CommonsCoef*AI2070^v01_CommonsExp*INDEX(LM_Commons,G2070)</x:f>
        <x:v>0</x:v>
      </x:c>
      <x:c r="AK2070" s="32" t="n">
        <x:f>H2070*v01_RoleScale*Arch_Roles*(AE2070*(INDEX(v01_ElderRolePerSett,G2070)*v01_OutElder*INDEX(LM_Elder,G2070)+INDEX(v01_ShamanPerSett,G2070)*v01_OutShaman)+Z2070*(INDEX(v01_PriestShare,G2070)*v01_OutPriest+INDEX(v01_ScribeShare,G2070)*v01_OutScribe*INDEX(LM_Scribe,G2070)+INDEX(v01_ScholarShare,G2070)*v01_OutScholar*INDEX(LM_Scholar,G2070)+INDEX(v01_ResearcherShare,G2070)*v01_OutResearcher*INDEX(LM_Researcher,G2070)))</x:f>
        <x:v>0</x:v>
      </x:c>
      <x:c r="AL2070" s="32" t="n">
        <x:f>H2070*v01_RoleScale*Arch_Roles*AE2070*INDEX(v01_MonasteryPerSett,G2070)*v01_OutMonastery*INDEX(LM_Monastery,G2070)</x:f>
        <x:v>0</x:v>
      </x:c>
      <x:c r="AM2070" s="32" t="n">
        <x:f>(AJ2070+AK2070+AL2070)/4*INDEX(LM_All,G2070)*INDEX(v01_Boon,G2070)*Arch_Insight</x:f>
        <x:v>0</x:v>
      </x:c>
      <x:c r="AN2070" s="32" t="n">
        <x:f>H2070*(v01_KHPerAdult*Z2070+v01_KHOfCommons*AJ2070/4*INDEX(LM_All,G2070))*v01_KHUsable*Arch_KH</x:f>
        <x:v>0</x:v>
      </x:c>
      <x:c r="AO2070" s="32" t="n">
        <x:f>MIN(AP2069+AN2070,AM2070*v01_KHMaxRatio)</x:f>
        <x:v>0</x:v>
      </x:c>
      <x:c r="AP2070" s="32" t="n">
        <x:f>AP2069+AN2070-AO2070</x:f>
        <x:v>0</x:v>
      </x:c>
      <x:c r="AQ2070" s="32" t="n">
        <x:f>AM2070+AO2070</x:f>
        <x:v>0</x:v>
      </x:c>
      <x:c r="AR2070" s="10" t="n">
        <x:f>IF(H2070=1,INDEX(v01_Req,G2070),0)</x:f>
        <x:v>0</x:v>
      </x:c>
      <x:c r="AS2070" s="32" t="n">
        <x:f>IF(H2070=1,IF(E2070=1,AS2069-AR2069,AS2069)+AQ2070,0)</x:f>
        <x:v>0</x:v>
      </x:c>
      <x:c r="AT2070" s="11" t="n">
        <x:f>IF(AR2070&gt;0,MIN(1,AS2070/AR2070),1)</x:f>
        <x:v>1</x:v>
      </x:c>
      <x:c r="AU2070" s="10" t="n">
        <x:f>AB2070/INDEX(v01_RepScale,G2070)</x:f>
        <x:v>90.09519605746344</x:v>
      </x:c>
      <x:c r="AV2070" s="32" t="n">
        <x:f>AM2070*60/v01_SeasonSeconds</x:f>
        <x:v>0</x:v>
      </x:c>
    </x:row>
    <x:row r="2071">
      <x:c r="A2071" s="8" t="n">
        <x:f>A2070+1</x:f>
        <x:v>2068</x:v>
      </x:c>
      <x:c r="B2071" s="9" t="n">
        <x:f>A2071*v01_SeasonSeconds/60</x:f>
        <x:v>517</x:v>
      </x:c>
      <x:c r="C2071" s="9" t="n">
        <x:f>A2071/4</x:f>
        <x:v>517</x:v>
      </x:c>
      <x:c r="D2071" s="8" t="n">
        <x:f>IF(MOD(A2071,4)=0,1,0)</x:f>
        <x:v>1</x:v>
      </x:c>
      <x:c r="E2071" s="8" t="n">
        <x:f>IF(AND(F2070&lt;=9,AS2070&gt;=AR2070),1,0)</x:f>
        <x:v>0</x:v>
      </x:c>
      <x:c r="F2071" s="8" t="n">
        <x:f>MIN(10,F2070+E2071)</x:f>
        <x:v>10</x:v>
      </x:c>
      <x:c r="G2071" s="8" t="n">
        <x:f>MIN(F2071,9)+1</x:f>
        <x:v>10</x:v>
      </x:c>
      <x:c r="H2071" s="8" t="n">
        <x:f>IF(F2071&lt;=9,1,0)</x:f>
        <x:v>0</x:v>
      </x:c>
      <x:c r="I2071" s="9" t="n">
        <x:f>MIN(10,F2070+IF(AR2070&gt;0,MIN(1,AS2070/AR2070),1))</x:f>
        <x:v>10</x:v>
      </x:c>
      <x:c r="J2071" s="32" t="n">
        <x:f>INDEX(v01_FoodCap,G2071)*Arch_FoodCap*EXP(v01_CapsByProject*SUMPRODUCT((Cap_Point&lt;=I2071)*(Cap_Kind="Food")*Cap_Ln))</x:f>
        <x:v>12000</x:v>
      </x:c>
      <x:c r="K2071" s="32" t="n">
        <x:f>J2071*MIN(1,v01_LeanBase*EXP(v01_CapsByProject*SUMPRODUCT((Cap_Point&lt;=I2071)*(Cap_Kind="Lean")*Cap_Ln)))</x:f>
        <x:v>12000</x:v>
      </x:c>
      <x:c r="L2071" s="10" t="n">
        <x:f>INDEX(v01_HousingCap,G2071)*EXP(v01_CapsByProject*SUMPRODUCT((Cap_Point&lt;=I2071)*(Cap_Kind="Housing")*Cap_Ln))</x:f>
        <x:v>20000</x:v>
      </x:c>
      <x:c r="M2071" s="10" t="n">
        <x:f>INDEX(v01_GroupCap,G2071)*v01_CohesionFactor*EXP(v01_CapsByProject*SUMPRODUCT((Cap_Point&lt;=I2071)*(Cap_Kind="Group")*Cap_Ln))</x:f>
        <x:v>1000000</x:v>
      </x:c>
      <x:c r="N2071" s="32" t="n">
        <x:f>MIN(J2071,L2071,M2071)</x:f>
        <x:v>12000</x:v>
      </x:c>
      <x:c r="O2071" s="10" t="n">
        <x:f>AE2070*N2071</x:f>
        <x:v>180000</x:v>
      </x:c>
      <x:c r="P2071" s="9" t="n">
        <x:f>MIN(1,(AB2070/(AE2070*IF(v01_GroupInCrowding=1,N2071,MIN(J2071,L2071))))^v01_CrowdingExp)</x:f>
        <x:v>0.00024569414295285325</x:v>
      </x:c>
      <x:c r="Q2071" s="9" t="n">
        <x:f>IF(D2071=1,INDEX(v01_WinterMult,G2071),1)</x:f>
        <x:v>1</x:v>
      </x:c>
      <x:c r="R2071" s="9" t="n">
        <x:f>H2071*Z2070*v01_WomenShare*v01_BaseFertility*INDEX(v01_FertMult,G2071)*Arch_Fertility*(1-P2071)</x:f>
        <x:v>0</x:v>
      </x:c>
      <x:c r="S2071" s="9" t="n">
        <x:f>H2071*Y2070*INDEX(v01_MortChild,G2071)/4*Q2071</x:f>
        <x:v>0</x:v>
      </x:c>
      <x:c r="T2071" s="9" t="n">
        <x:f>H2071*Z2070*INDEX(v01_MortAdult,G2071)*Arch_AdultMort/4*Q2071</x:f>
        <x:v>0</x:v>
      </x:c>
      <x:c r="U2071" s="9" t="n">
        <x:f>H2071*AA2070*INDEX(v01_MortElder,G2071)/4*Q2071</x:f>
        <x:v>0</x:v>
      </x:c>
      <x:c r="V2071" s="9" t="n">
        <x:f>H2071*MAX(0,AB2070-O2071)*v01_OvercapLoss</x:f>
        <x:v>0</x:v>
      </x:c>
      <x:c r="W2071" s="9" t="n">
        <x:f>H2071*Y2070/(v01_ChildYears*4)</x:f>
        <x:v>0</x:v>
      </x:c>
      <x:c r="X2071" s="9" t="n">
        <x:f>H2071*Z2070/(v01_AdultYears*4)</x:f>
        <x:v>0</x:v>
      </x:c>
      <x:c r="Y2071" s="32" t="n">
        <x:f>Y2070+R2071-S2071-W2071-Y2070*V2071/AB2070</x:f>
        <x:v>14306.18539759397</x:v>
      </x:c>
      <x:c r="Z2071" s="32" t="n">
        <x:f>Z2070+W2071-X2071-T2071-Z2070*V2071/AB2070</x:f>
        <x:v>19354.456567879548</x:v>
      </x:c>
      <x:c r="AA2071" s="32" t="n">
        <x:f>AA2070+X2071-U2071-AA2070*V2071/AB2070</x:f>
        <x:v>11386.956063258198</x:v>
      </x:c>
      <x:c r="AB2071" s="10" t="n">
        <x:f>Y2071+Z2071+AA2071</x:f>
        <x:v>45047.59802873172</x:v>
      </x:c>
      <x:c r="AC2071" s="8" t="n">
        <x:f>IF(AND(v01_WinterTrigger=1,D2071=1,AB2070/AE2070&gt;=K2071),1,0)</x:f>
        <x:v>0</x:v>
      </x:c>
      <x:c r="AD2071" s="8" t="n">
        <x:f>H2071*IF(AND(OR(AB2070/AE2070&gt;=v01_FissionTrigger*N2071,AC2071=1),AB2070/AE2070*v01_DaughterShare&gt;=v01_MinDaughter),MAX(1,ROUND(AE2070*v01_FissionRate,0)),0)</x:f>
        <x:v>0</x:v>
      </x:c>
      <x:c r="AE2071" s="8" t="n">
        <x:f>IF(H2071=1,MAX(1,MIN(INDEX(v01_Smax,G2071),AE2070+AD2071)),AE2070)</x:f>
        <x:v>15</x:v>
      </x:c>
      <x:c r="AF2071" s="8" t="n">
        <x:f>MAX(0,AE2071-AE2070)</x:f>
        <x:v>0</x:v>
      </x:c>
      <x:c r="AG2071" s="9" t="str">
        <x:f>IF(AF2071&gt;0,B2071,"")</x:f>
      </x:c>
      <x:c r="AH2071" s="9" t="n">
        <x:f>IF(F2071&gt;=1,1,(1+v01_LowTiesShare*(AE2071-1))/AE2071)</x:f>
        <x:v>1</x:v>
      </x:c>
      <x:c r="AI2071" s="32" t="n">
        <x:f>(Z2071+v01_ElderCommons*INDEX(LM_Elder,G2071)*AA2071)*AH2071</x:f>
        <x:v>64139.732591141874</x:v>
      </x:c>
      <x:c r="AJ2071" s="32" t="n">
        <x:f>H2071*v01_CommonsCoef*AI2071^v01_CommonsExp*INDEX(LM_Commons,G2071)</x:f>
        <x:v>0</x:v>
      </x:c>
      <x:c r="AK2071" s="32" t="n">
        <x:f>H2071*v01_RoleScale*Arch_Roles*(AE2071*(INDEX(v01_ElderRolePerSett,G2071)*v01_OutElder*INDEX(LM_Elder,G2071)+INDEX(v01_ShamanPerSett,G2071)*v01_OutShaman)+Z2071*(INDEX(v01_PriestShare,G2071)*v01_OutPriest+INDEX(v01_ScribeShare,G2071)*v01_OutScribe*INDEX(LM_Scribe,G2071)+INDEX(v01_ScholarShare,G2071)*v01_OutScholar*INDEX(LM_Scholar,G2071)+INDEX(v01_ResearcherShare,G2071)*v01_OutResearcher*INDEX(LM_Researcher,G2071)))</x:f>
        <x:v>0</x:v>
      </x:c>
      <x:c r="AL2071" s="32" t="n">
        <x:f>H2071*v01_RoleScale*Arch_Roles*AE2071*INDEX(v01_MonasteryPerSett,G2071)*v01_OutMonastery*INDEX(LM_Monastery,G2071)</x:f>
        <x:v>0</x:v>
      </x:c>
      <x:c r="AM2071" s="32" t="n">
        <x:f>(AJ2071+AK2071+AL2071)/4*INDEX(LM_All,G2071)*INDEX(v01_Boon,G2071)*Arch_Insight</x:f>
        <x:v>0</x:v>
      </x:c>
      <x:c r="AN2071" s="32" t="n">
        <x:f>H2071*(v01_KHPerAdult*Z2071+v01_KHOfCommons*AJ2071/4*INDEX(LM_All,G2071))*v01_KHUsable*Arch_KH</x:f>
        <x:v>0</x:v>
      </x:c>
      <x:c r="AO2071" s="32" t="n">
        <x:f>MIN(AP2070+AN2071,AM2071*v01_KHMaxRatio)</x:f>
        <x:v>0</x:v>
      </x:c>
      <x:c r="AP2071" s="32" t="n">
        <x:f>AP2070+AN2071-AO2071</x:f>
        <x:v>0</x:v>
      </x:c>
      <x:c r="AQ2071" s="32" t="n">
        <x:f>AM2071+AO2071</x:f>
        <x:v>0</x:v>
      </x:c>
      <x:c r="AR2071" s="10" t="n">
        <x:f>IF(H2071=1,INDEX(v01_Req,G2071),0)</x:f>
        <x:v>0</x:v>
      </x:c>
      <x:c r="AS2071" s="32" t="n">
        <x:f>IF(H2071=1,IF(E2071=1,AS2070-AR2070,AS2070)+AQ2071,0)</x:f>
        <x:v>0</x:v>
      </x:c>
      <x:c r="AT2071" s="11" t="n">
        <x:f>IF(AR2071&gt;0,MIN(1,AS2071/AR2071),1)</x:f>
        <x:v>1</x:v>
      </x:c>
      <x:c r="AU2071" s="10" t="n">
        <x:f>AB2071/INDEX(v01_RepScale,G2071)</x:f>
        <x:v>90.09519605746344</x:v>
      </x:c>
      <x:c r="AV2071" s="32" t="n">
        <x:f>AM2071*60/v01_SeasonSeconds</x:f>
        <x:v>0</x:v>
      </x:c>
    </x:row>
    <x:row r="2072">
      <x:c r="A2072" s="8" t="n">
        <x:f>A2071+1</x:f>
        <x:v>2069</x:v>
      </x:c>
      <x:c r="B2072" s="9" t="n">
        <x:f>A2072*v01_SeasonSeconds/60</x:f>
        <x:v>517.25</x:v>
      </x:c>
      <x:c r="C2072" s="9" t="n">
        <x:f>A2072/4</x:f>
        <x:v>517.25</x:v>
      </x:c>
      <x:c r="D2072" s="8" t="n">
        <x:f>IF(MOD(A2072,4)=0,1,0)</x:f>
        <x:v>0</x:v>
      </x:c>
      <x:c r="E2072" s="8" t="n">
        <x:f>IF(AND(F2071&lt;=9,AS2071&gt;=AR2071),1,0)</x:f>
        <x:v>0</x:v>
      </x:c>
      <x:c r="F2072" s="8" t="n">
        <x:f>MIN(10,F2071+E2072)</x:f>
        <x:v>10</x:v>
      </x:c>
      <x:c r="G2072" s="8" t="n">
        <x:f>MIN(F2072,9)+1</x:f>
        <x:v>10</x:v>
      </x:c>
      <x:c r="H2072" s="8" t="n">
        <x:f>IF(F2072&lt;=9,1,0)</x:f>
        <x:v>0</x:v>
      </x:c>
      <x:c r="I2072" s="9" t="n">
        <x:f>MIN(10,F2071+IF(AR2071&gt;0,MIN(1,AS2071/AR2071),1))</x:f>
        <x:v>10</x:v>
      </x:c>
      <x:c r="J2072" s="32" t="n">
        <x:f>INDEX(v01_FoodCap,G2072)*Arch_FoodCap*EXP(v01_CapsByProject*SUMPRODUCT((Cap_Point&lt;=I2072)*(Cap_Kind="Food")*Cap_Ln))</x:f>
        <x:v>12000</x:v>
      </x:c>
      <x:c r="K2072" s="32" t="n">
        <x:f>J2072*MIN(1,v01_LeanBase*EXP(v01_CapsByProject*SUMPRODUCT((Cap_Point&lt;=I2072)*(Cap_Kind="Lean")*Cap_Ln)))</x:f>
        <x:v>12000</x:v>
      </x:c>
      <x:c r="L2072" s="10" t="n">
        <x:f>INDEX(v01_HousingCap,G2072)*EXP(v01_CapsByProject*SUMPRODUCT((Cap_Point&lt;=I2072)*(Cap_Kind="Housing")*Cap_Ln))</x:f>
        <x:v>20000</x:v>
      </x:c>
      <x:c r="M2072" s="10" t="n">
        <x:f>INDEX(v01_GroupCap,G2072)*v01_CohesionFactor*EXP(v01_CapsByProject*SUMPRODUCT((Cap_Point&lt;=I2072)*(Cap_Kind="Group")*Cap_Ln))</x:f>
        <x:v>1000000</x:v>
      </x:c>
      <x:c r="N2072" s="32" t="n">
        <x:f>MIN(J2072,L2072,M2072)</x:f>
        <x:v>12000</x:v>
      </x:c>
      <x:c r="O2072" s="10" t="n">
        <x:f>AE2071*N2072</x:f>
        <x:v>180000</x:v>
      </x:c>
      <x:c r="P2072" s="9" t="n">
        <x:f>MIN(1,(AB2071/(AE2071*IF(v01_GroupInCrowding=1,N2072,MIN(J2072,L2072))))^v01_CrowdingExp)</x:f>
        <x:v>0.00024569414295285325</x:v>
      </x:c>
      <x:c r="Q2072" s="9" t="n">
        <x:f>IF(D2072=1,INDEX(v01_WinterMult,G2072),1)</x:f>
        <x:v>1</x:v>
      </x:c>
      <x:c r="R2072" s="9" t="n">
        <x:f>H2072*Z2071*v01_WomenShare*v01_BaseFertility*INDEX(v01_FertMult,G2072)*Arch_Fertility*(1-P2072)</x:f>
        <x:v>0</x:v>
      </x:c>
      <x:c r="S2072" s="9" t="n">
        <x:f>H2072*Y2071*INDEX(v01_MortChild,G2072)/4*Q2072</x:f>
        <x:v>0</x:v>
      </x:c>
      <x:c r="T2072" s="9" t="n">
        <x:f>H2072*Z2071*INDEX(v01_MortAdult,G2072)*Arch_AdultMort/4*Q2072</x:f>
        <x:v>0</x:v>
      </x:c>
      <x:c r="U2072" s="9" t="n">
        <x:f>H2072*AA2071*INDEX(v01_MortElder,G2072)/4*Q2072</x:f>
        <x:v>0</x:v>
      </x:c>
      <x:c r="V2072" s="9" t="n">
        <x:f>H2072*MAX(0,AB2071-O2072)*v01_OvercapLoss</x:f>
        <x:v>0</x:v>
      </x:c>
      <x:c r="W2072" s="9" t="n">
        <x:f>H2072*Y2071/(v01_ChildYears*4)</x:f>
        <x:v>0</x:v>
      </x:c>
      <x:c r="X2072" s="9" t="n">
        <x:f>H2072*Z2071/(v01_AdultYears*4)</x:f>
        <x:v>0</x:v>
      </x:c>
      <x:c r="Y2072" s="32" t="n">
        <x:f>Y2071+R2072-S2072-W2072-Y2071*V2072/AB2071</x:f>
        <x:v>14306.18539759397</x:v>
      </x:c>
      <x:c r="Z2072" s="32" t="n">
        <x:f>Z2071+W2072-X2072-T2072-Z2071*V2072/AB2071</x:f>
        <x:v>19354.456567879548</x:v>
      </x:c>
      <x:c r="AA2072" s="32" t="n">
        <x:f>AA2071+X2072-U2072-AA2071*V2072/AB2071</x:f>
        <x:v>11386.956063258198</x:v>
      </x:c>
      <x:c r="AB2072" s="10" t="n">
        <x:f>Y2072+Z2072+AA2072</x:f>
        <x:v>45047.59802873172</x:v>
      </x:c>
      <x:c r="AC2072" s="8" t="n">
        <x:f>IF(AND(v01_WinterTrigger=1,D2072=1,AB2071/AE2071&gt;=K2072),1,0)</x:f>
        <x:v>0</x:v>
      </x:c>
      <x:c r="AD2072" s="8" t="n">
        <x:f>H2072*IF(AND(OR(AB2071/AE2071&gt;=v01_FissionTrigger*N2072,AC2072=1),AB2071/AE2071*v01_DaughterShare&gt;=v01_MinDaughter),MAX(1,ROUND(AE2071*v01_FissionRate,0)),0)</x:f>
        <x:v>0</x:v>
      </x:c>
      <x:c r="AE2072" s="8" t="n">
        <x:f>IF(H2072=1,MAX(1,MIN(INDEX(v01_Smax,G2072),AE2071+AD2072)),AE2071)</x:f>
        <x:v>15</x:v>
      </x:c>
      <x:c r="AF2072" s="8" t="n">
        <x:f>MAX(0,AE2072-AE2071)</x:f>
        <x:v>0</x:v>
      </x:c>
      <x:c r="AG2072" s="9" t="str">
        <x:f>IF(AF2072&gt;0,B2072,"")</x:f>
      </x:c>
      <x:c r="AH2072" s="9" t="n">
        <x:f>IF(F2072&gt;=1,1,(1+v01_LowTiesShare*(AE2072-1))/AE2072)</x:f>
        <x:v>1</x:v>
      </x:c>
      <x:c r="AI2072" s="32" t="n">
        <x:f>(Z2072+v01_ElderCommons*INDEX(LM_Elder,G2072)*AA2072)*AH2072</x:f>
        <x:v>64139.732591141874</x:v>
      </x:c>
      <x:c r="AJ2072" s="32" t="n">
        <x:f>H2072*v01_CommonsCoef*AI2072^v01_CommonsExp*INDEX(LM_Commons,G2072)</x:f>
        <x:v>0</x:v>
      </x:c>
      <x:c r="AK2072" s="32" t="n">
        <x:f>H2072*v01_RoleScale*Arch_Roles*(AE2072*(INDEX(v01_ElderRolePerSett,G2072)*v01_OutElder*INDEX(LM_Elder,G2072)+INDEX(v01_ShamanPerSett,G2072)*v01_OutShaman)+Z2072*(INDEX(v01_PriestShare,G2072)*v01_OutPriest+INDEX(v01_ScribeShare,G2072)*v01_OutScribe*INDEX(LM_Scribe,G2072)+INDEX(v01_ScholarShare,G2072)*v01_OutScholar*INDEX(LM_Scholar,G2072)+INDEX(v01_ResearcherShare,G2072)*v01_OutResearcher*INDEX(LM_Researcher,G2072)))</x:f>
        <x:v>0</x:v>
      </x:c>
      <x:c r="AL2072" s="32" t="n">
        <x:f>H2072*v01_RoleScale*Arch_Roles*AE2072*INDEX(v01_MonasteryPerSett,G2072)*v01_OutMonastery*INDEX(LM_Monastery,G2072)</x:f>
        <x:v>0</x:v>
      </x:c>
      <x:c r="AM2072" s="32" t="n">
        <x:f>(AJ2072+AK2072+AL2072)/4*INDEX(LM_All,G2072)*INDEX(v01_Boon,G2072)*Arch_Insight</x:f>
        <x:v>0</x:v>
      </x:c>
      <x:c r="AN2072" s="32" t="n">
        <x:f>H2072*(v01_KHPerAdult*Z2072+v01_KHOfCommons*AJ2072/4*INDEX(LM_All,G2072))*v01_KHUsable*Arch_KH</x:f>
        <x:v>0</x:v>
      </x:c>
      <x:c r="AO2072" s="32" t="n">
        <x:f>MIN(AP2071+AN2072,AM2072*v01_KHMaxRatio)</x:f>
        <x:v>0</x:v>
      </x:c>
      <x:c r="AP2072" s="32" t="n">
        <x:f>AP2071+AN2072-AO2072</x:f>
        <x:v>0</x:v>
      </x:c>
      <x:c r="AQ2072" s="32" t="n">
        <x:f>AM2072+AO2072</x:f>
        <x:v>0</x:v>
      </x:c>
      <x:c r="AR2072" s="10" t="n">
        <x:f>IF(H2072=1,INDEX(v01_Req,G2072),0)</x:f>
        <x:v>0</x:v>
      </x:c>
      <x:c r="AS2072" s="32" t="n">
        <x:f>IF(H2072=1,IF(E2072=1,AS2071-AR2071,AS2071)+AQ2072,0)</x:f>
        <x:v>0</x:v>
      </x:c>
      <x:c r="AT2072" s="11" t="n">
        <x:f>IF(AR2072&gt;0,MIN(1,AS2072/AR2072),1)</x:f>
        <x:v>1</x:v>
      </x:c>
      <x:c r="AU2072" s="10" t="n">
        <x:f>AB2072/INDEX(v01_RepScale,G2072)</x:f>
        <x:v>90.09519605746344</x:v>
      </x:c>
      <x:c r="AV2072" s="32" t="n">
        <x:f>AM2072*60/v01_SeasonSeconds</x:f>
        <x:v>0</x:v>
      </x:c>
    </x:row>
    <x:row r="2073">
      <x:c r="A2073" s="8" t="n">
        <x:f>A2072+1</x:f>
        <x:v>2070</x:v>
      </x:c>
      <x:c r="B2073" s="9" t="n">
        <x:f>A2073*v01_SeasonSeconds/60</x:f>
        <x:v>517.5</x:v>
      </x:c>
      <x:c r="C2073" s="9" t="n">
        <x:f>A2073/4</x:f>
        <x:v>517.5</x:v>
      </x:c>
      <x:c r="D2073" s="8" t="n">
        <x:f>IF(MOD(A2073,4)=0,1,0)</x:f>
        <x:v>0</x:v>
      </x:c>
      <x:c r="E2073" s="8" t="n">
        <x:f>IF(AND(F2072&lt;=9,AS2072&gt;=AR2072),1,0)</x:f>
        <x:v>0</x:v>
      </x:c>
      <x:c r="F2073" s="8" t="n">
        <x:f>MIN(10,F2072+E2073)</x:f>
        <x:v>10</x:v>
      </x:c>
      <x:c r="G2073" s="8" t="n">
        <x:f>MIN(F2073,9)+1</x:f>
        <x:v>10</x:v>
      </x:c>
      <x:c r="H2073" s="8" t="n">
        <x:f>IF(F2073&lt;=9,1,0)</x:f>
        <x:v>0</x:v>
      </x:c>
      <x:c r="I2073" s="9" t="n">
        <x:f>MIN(10,F2072+IF(AR2072&gt;0,MIN(1,AS2072/AR2072),1))</x:f>
        <x:v>10</x:v>
      </x:c>
      <x:c r="J2073" s="32" t="n">
        <x:f>INDEX(v01_FoodCap,G2073)*Arch_FoodCap*EXP(v01_CapsByProject*SUMPRODUCT((Cap_Point&lt;=I2073)*(Cap_Kind="Food")*Cap_Ln))</x:f>
        <x:v>12000</x:v>
      </x:c>
      <x:c r="K2073" s="32" t="n">
        <x:f>J2073*MIN(1,v01_LeanBase*EXP(v01_CapsByProject*SUMPRODUCT((Cap_Point&lt;=I2073)*(Cap_Kind="Lean")*Cap_Ln)))</x:f>
        <x:v>12000</x:v>
      </x:c>
      <x:c r="L2073" s="10" t="n">
        <x:f>INDEX(v01_HousingCap,G2073)*EXP(v01_CapsByProject*SUMPRODUCT((Cap_Point&lt;=I2073)*(Cap_Kind="Housing")*Cap_Ln))</x:f>
        <x:v>20000</x:v>
      </x:c>
      <x:c r="M2073" s="10" t="n">
        <x:f>INDEX(v01_GroupCap,G2073)*v01_CohesionFactor*EXP(v01_CapsByProject*SUMPRODUCT((Cap_Point&lt;=I2073)*(Cap_Kind="Group")*Cap_Ln))</x:f>
        <x:v>1000000</x:v>
      </x:c>
      <x:c r="N2073" s="32" t="n">
        <x:f>MIN(J2073,L2073,M2073)</x:f>
        <x:v>12000</x:v>
      </x:c>
      <x:c r="O2073" s="10" t="n">
        <x:f>AE2072*N2073</x:f>
        <x:v>180000</x:v>
      </x:c>
      <x:c r="P2073" s="9" t="n">
        <x:f>MIN(1,(AB2072/(AE2072*IF(v01_GroupInCrowding=1,N2073,MIN(J2073,L2073))))^v01_CrowdingExp)</x:f>
        <x:v>0.00024569414295285325</x:v>
      </x:c>
      <x:c r="Q2073" s="9" t="n">
        <x:f>IF(D2073=1,INDEX(v01_WinterMult,G2073),1)</x:f>
        <x:v>1</x:v>
      </x:c>
      <x:c r="R2073" s="9" t="n">
        <x:f>H2073*Z2072*v01_WomenShare*v01_BaseFertility*INDEX(v01_FertMult,G2073)*Arch_Fertility*(1-P2073)</x:f>
        <x:v>0</x:v>
      </x:c>
      <x:c r="S2073" s="9" t="n">
        <x:f>H2073*Y2072*INDEX(v01_MortChild,G2073)/4*Q2073</x:f>
        <x:v>0</x:v>
      </x:c>
      <x:c r="T2073" s="9" t="n">
        <x:f>H2073*Z2072*INDEX(v01_MortAdult,G2073)*Arch_AdultMort/4*Q2073</x:f>
        <x:v>0</x:v>
      </x:c>
      <x:c r="U2073" s="9" t="n">
        <x:f>H2073*AA2072*INDEX(v01_MortElder,G2073)/4*Q2073</x:f>
        <x:v>0</x:v>
      </x:c>
      <x:c r="V2073" s="9" t="n">
        <x:f>H2073*MAX(0,AB2072-O2073)*v01_OvercapLoss</x:f>
        <x:v>0</x:v>
      </x:c>
      <x:c r="W2073" s="9" t="n">
        <x:f>H2073*Y2072/(v01_ChildYears*4)</x:f>
        <x:v>0</x:v>
      </x:c>
      <x:c r="X2073" s="9" t="n">
        <x:f>H2073*Z2072/(v01_AdultYears*4)</x:f>
        <x:v>0</x:v>
      </x:c>
      <x:c r="Y2073" s="32" t="n">
        <x:f>Y2072+R2073-S2073-W2073-Y2072*V2073/AB2072</x:f>
        <x:v>14306.18539759397</x:v>
      </x:c>
      <x:c r="Z2073" s="32" t="n">
        <x:f>Z2072+W2073-X2073-T2073-Z2072*V2073/AB2072</x:f>
        <x:v>19354.456567879548</x:v>
      </x:c>
      <x:c r="AA2073" s="32" t="n">
        <x:f>AA2072+X2073-U2073-AA2072*V2073/AB2072</x:f>
        <x:v>11386.956063258198</x:v>
      </x:c>
      <x:c r="AB2073" s="10" t="n">
        <x:f>Y2073+Z2073+AA2073</x:f>
        <x:v>45047.59802873172</x:v>
      </x:c>
      <x:c r="AC2073" s="8" t="n">
        <x:f>IF(AND(v01_WinterTrigger=1,D2073=1,AB2072/AE2072&gt;=K2073),1,0)</x:f>
        <x:v>0</x:v>
      </x:c>
      <x:c r="AD2073" s="8" t="n">
        <x:f>H2073*IF(AND(OR(AB2072/AE2072&gt;=v01_FissionTrigger*N2073,AC2073=1),AB2072/AE2072*v01_DaughterShare&gt;=v01_MinDaughter),MAX(1,ROUND(AE2072*v01_FissionRate,0)),0)</x:f>
        <x:v>0</x:v>
      </x:c>
      <x:c r="AE2073" s="8" t="n">
        <x:f>IF(H2073=1,MAX(1,MIN(INDEX(v01_Smax,G2073),AE2072+AD2073)),AE2072)</x:f>
        <x:v>15</x:v>
      </x:c>
      <x:c r="AF2073" s="8" t="n">
        <x:f>MAX(0,AE2073-AE2072)</x:f>
        <x:v>0</x:v>
      </x:c>
      <x:c r="AG2073" s="9" t="str">
        <x:f>IF(AF2073&gt;0,B2073,"")</x:f>
      </x:c>
      <x:c r="AH2073" s="9" t="n">
        <x:f>IF(F2073&gt;=1,1,(1+v01_LowTiesShare*(AE2073-1))/AE2073)</x:f>
        <x:v>1</x:v>
      </x:c>
      <x:c r="AI2073" s="32" t="n">
        <x:f>(Z2073+v01_ElderCommons*INDEX(LM_Elder,G2073)*AA2073)*AH2073</x:f>
        <x:v>64139.732591141874</x:v>
      </x:c>
      <x:c r="AJ2073" s="32" t="n">
        <x:f>H2073*v01_CommonsCoef*AI2073^v01_CommonsExp*INDEX(LM_Commons,G2073)</x:f>
        <x:v>0</x:v>
      </x:c>
      <x:c r="AK2073" s="32" t="n">
        <x:f>H2073*v01_RoleScale*Arch_Roles*(AE2073*(INDEX(v01_ElderRolePerSett,G2073)*v01_OutElder*INDEX(LM_Elder,G2073)+INDEX(v01_ShamanPerSett,G2073)*v01_OutShaman)+Z2073*(INDEX(v01_PriestShare,G2073)*v01_OutPriest+INDEX(v01_ScribeShare,G2073)*v01_OutScribe*INDEX(LM_Scribe,G2073)+INDEX(v01_ScholarShare,G2073)*v01_OutScholar*INDEX(LM_Scholar,G2073)+INDEX(v01_ResearcherShare,G2073)*v01_OutResearcher*INDEX(LM_Researcher,G2073)))</x:f>
        <x:v>0</x:v>
      </x:c>
      <x:c r="AL2073" s="32" t="n">
        <x:f>H2073*v01_RoleScale*Arch_Roles*AE2073*INDEX(v01_MonasteryPerSett,G2073)*v01_OutMonastery*INDEX(LM_Monastery,G2073)</x:f>
        <x:v>0</x:v>
      </x:c>
      <x:c r="AM2073" s="32" t="n">
        <x:f>(AJ2073+AK2073+AL2073)/4*INDEX(LM_All,G2073)*INDEX(v01_Boon,G2073)*Arch_Insight</x:f>
        <x:v>0</x:v>
      </x:c>
      <x:c r="AN2073" s="32" t="n">
        <x:f>H2073*(v01_KHPerAdult*Z2073+v01_KHOfCommons*AJ2073/4*INDEX(LM_All,G2073))*v01_KHUsable*Arch_KH</x:f>
        <x:v>0</x:v>
      </x:c>
      <x:c r="AO2073" s="32" t="n">
        <x:f>MIN(AP2072+AN2073,AM2073*v01_KHMaxRatio)</x:f>
        <x:v>0</x:v>
      </x:c>
      <x:c r="AP2073" s="32" t="n">
        <x:f>AP2072+AN2073-AO2073</x:f>
        <x:v>0</x:v>
      </x:c>
      <x:c r="AQ2073" s="32" t="n">
        <x:f>AM2073+AO2073</x:f>
        <x:v>0</x:v>
      </x:c>
      <x:c r="AR2073" s="10" t="n">
        <x:f>IF(H2073=1,INDEX(v01_Req,G2073),0)</x:f>
        <x:v>0</x:v>
      </x:c>
      <x:c r="AS2073" s="32" t="n">
        <x:f>IF(H2073=1,IF(E2073=1,AS2072-AR2072,AS2072)+AQ2073,0)</x:f>
        <x:v>0</x:v>
      </x:c>
      <x:c r="AT2073" s="11" t="n">
        <x:f>IF(AR2073&gt;0,MIN(1,AS2073/AR2073),1)</x:f>
        <x:v>1</x:v>
      </x:c>
      <x:c r="AU2073" s="10" t="n">
        <x:f>AB2073/INDEX(v01_RepScale,G2073)</x:f>
        <x:v>90.09519605746344</x:v>
      </x:c>
      <x:c r="AV2073" s="32" t="n">
        <x:f>AM2073*60/v01_SeasonSeconds</x:f>
        <x:v>0</x:v>
      </x:c>
    </x:row>
    <x:row r="2074">
      <x:c r="A2074" s="8" t="n">
        <x:f>A2073+1</x:f>
        <x:v>2071</x:v>
      </x:c>
      <x:c r="B2074" s="9" t="n">
        <x:f>A2074*v01_SeasonSeconds/60</x:f>
        <x:v>517.75</x:v>
      </x:c>
      <x:c r="C2074" s="9" t="n">
        <x:f>A2074/4</x:f>
        <x:v>517.75</x:v>
      </x:c>
      <x:c r="D2074" s="8" t="n">
        <x:f>IF(MOD(A2074,4)=0,1,0)</x:f>
        <x:v>0</x:v>
      </x:c>
      <x:c r="E2074" s="8" t="n">
        <x:f>IF(AND(F2073&lt;=9,AS2073&gt;=AR2073),1,0)</x:f>
        <x:v>0</x:v>
      </x:c>
      <x:c r="F2074" s="8" t="n">
        <x:f>MIN(10,F2073+E2074)</x:f>
        <x:v>10</x:v>
      </x:c>
      <x:c r="G2074" s="8" t="n">
        <x:f>MIN(F2074,9)+1</x:f>
        <x:v>10</x:v>
      </x:c>
      <x:c r="H2074" s="8" t="n">
        <x:f>IF(F2074&lt;=9,1,0)</x:f>
        <x:v>0</x:v>
      </x:c>
      <x:c r="I2074" s="9" t="n">
        <x:f>MIN(10,F2073+IF(AR2073&gt;0,MIN(1,AS2073/AR2073),1))</x:f>
        <x:v>10</x:v>
      </x:c>
      <x:c r="J2074" s="32" t="n">
        <x:f>INDEX(v01_FoodCap,G2074)*Arch_FoodCap*EXP(v01_CapsByProject*SUMPRODUCT((Cap_Point&lt;=I2074)*(Cap_Kind="Food")*Cap_Ln))</x:f>
        <x:v>12000</x:v>
      </x:c>
      <x:c r="K2074" s="32" t="n">
        <x:f>J2074*MIN(1,v01_LeanBase*EXP(v01_CapsByProject*SUMPRODUCT((Cap_Point&lt;=I2074)*(Cap_Kind="Lean")*Cap_Ln)))</x:f>
        <x:v>12000</x:v>
      </x:c>
      <x:c r="L2074" s="10" t="n">
        <x:f>INDEX(v01_HousingCap,G2074)*EXP(v01_CapsByProject*SUMPRODUCT((Cap_Point&lt;=I2074)*(Cap_Kind="Housing")*Cap_Ln))</x:f>
        <x:v>20000</x:v>
      </x:c>
      <x:c r="M2074" s="10" t="n">
        <x:f>INDEX(v01_GroupCap,G2074)*v01_CohesionFactor*EXP(v01_CapsByProject*SUMPRODUCT((Cap_Point&lt;=I2074)*(Cap_Kind="Group")*Cap_Ln))</x:f>
        <x:v>1000000</x:v>
      </x:c>
      <x:c r="N2074" s="32" t="n">
        <x:f>MIN(J2074,L2074,M2074)</x:f>
        <x:v>12000</x:v>
      </x:c>
      <x:c r="O2074" s="10" t="n">
        <x:f>AE2073*N2074</x:f>
        <x:v>180000</x:v>
      </x:c>
      <x:c r="P2074" s="9" t="n">
        <x:f>MIN(1,(AB2073/(AE2073*IF(v01_GroupInCrowding=1,N2074,MIN(J2074,L2074))))^v01_CrowdingExp)</x:f>
        <x:v>0.00024569414295285325</x:v>
      </x:c>
      <x:c r="Q2074" s="9" t="n">
        <x:f>IF(D2074=1,INDEX(v01_WinterMult,G2074),1)</x:f>
        <x:v>1</x:v>
      </x:c>
      <x:c r="R2074" s="9" t="n">
        <x:f>H2074*Z2073*v01_WomenShare*v01_BaseFertility*INDEX(v01_FertMult,G2074)*Arch_Fertility*(1-P2074)</x:f>
        <x:v>0</x:v>
      </x:c>
      <x:c r="S2074" s="9" t="n">
        <x:f>H2074*Y2073*INDEX(v01_MortChild,G2074)/4*Q2074</x:f>
        <x:v>0</x:v>
      </x:c>
      <x:c r="T2074" s="9" t="n">
        <x:f>H2074*Z2073*INDEX(v01_MortAdult,G2074)*Arch_AdultMort/4*Q2074</x:f>
        <x:v>0</x:v>
      </x:c>
      <x:c r="U2074" s="9" t="n">
        <x:f>H2074*AA2073*INDEX(v01_MortElder,G2074)/4*Q2074</x:f>
        <x:v>0</x:v>
      </x:c>
      <x:c r="V2074" s="9" t="n">
        <x:f>H2074*MAX(0,AB2073-O2074)*v01_OvercapLoss</x:f>
        <x:v>0</x:v>
      </x:c>
      <x:c r="W2074" s="9" t="n">
        <x:f>H2074*Y2073/(v01_ChildYears*4)</x:f>
        <x:v>0</x:v>
      </x:c>
      <x:c r="X2074" s="9" t="n">
        <x:f>H2074*Z2073/(v01_AdultYears*4)</x:f>
        <x:v>0</x:v>
      </x:c>
      <x:c r="Y2074" s="32" t="n">
        <x:f>Y2073+R2074-S2074-W2074-Y2073*V2074/AB2073</x:f>
        <x:v>14306.18539759397</x:v>
      </x:c>
      <x:c r="Z2074" s="32" t="n">
        <x:f>Z2073+W2074-X2074-T2074-Z2073*V2074/AB2073</x:f>
        <x:v>19354.456567879548</x:v>
      </x:c>
      <x:c r="AA2074" s="32" t="n">
        <x:f>AA2073+X2074-U2074-AA2073*V2074/AB2073</x:f>
        <x:v>11386.956063258198</x:v>
      </x:c>
      <x:c r="AB2074" s="10" t="n">
        <x:f>Y2074+Z2074+AA2074</x:f>
        <x:v>45047.59802873172</x:v>
      </x:c>
      <x:c r="AC2074" s="8" t="n">
        <x:f>IF(AND(v01_WinterTrigger=1,D2074=1,AB2073/AE2073&gt;=K2074),1,0)</x:f>
        <x:v>0</x:v>
      </x:c>
      <x:c r="AD2074" s="8" t="n">
        <x:f>H2074*IF(AND(OR(AB2073/AE2073&gt;=v01_FissionTrigger*N2074,AC2074=1),AB2073/AE2073*v01_DaughterShare&gt;=v01_MinDaughter),MAX(1,ROUND(AE2073*v01_FissionRate,0)),0)</x:f>
        <x:v>0</x:v>
      </x:c>
      <x:c r="AE2074" s="8" t="n">
        <x:f>IF(H2074=1,MAX(1,MIN(INDEX(v01_Smax,G2074),AE2073+AD2074)),AE2073)</x:f>
        <x:v>15</x:v>
      </x:c>
      <x:c r="AF2074" s="8" t="n">
        <x:f>MAX(0,AE2074-AE2073)</x:f>
        <x:v>0</x:v>
      </x:c>
      <x:c r="AG2074" s="9" t="str">
        <x:f>IF(AF2074&gt;0,B2074,"")</x:f>
      </x:c>
      <x:c r="AH2074" s="9" t="n">
        <x:f>IF(F2074&gt;=1,1,(1+v01_LowTiesShare*(AE2074-1))/AE2074)</x:f>
        <x:v>1</x:v>
      </x:c>
      <x:c r="AI2074" s="32" t="n">
        <x:f>(Z2074+v01_ElderCommons*INDEX(LM_Elder,G2074)*AA2074)*AH2074</x:f>
        <x:v>64139.732591141874</x:v>
      </x:c>
      <x:c r="AJ2074" s="32" t="n">
        <x:f>H2074*v01_CommonsCoef*AI2074^v01_CommonsExp*INDEX(LM_Commons,G2074)</x:f>
        <x:v>0</x:v>
      </x:c>
      <x:c r="AK2074" s="32" t="n">
        <x:f>H2074*v01_RoleScale*Arch_Roles*(AE2074*(INDEX(v01_ElderRolePerSett,G2074)*v01_OutElder*INDEX(LM_Elder,G2074)+INDEX(v01_ShamanPerSett,G2074)*v01_OutShaman)+Z2074*(INDEX(v01_PriestShare,G2074)*v01_OutPriest+INDEX(v01_ScribeShare,G2074)*v01_OutScribe*INDEX(LM_Scribe,G2074)+INDEX(v01_ScholarShare,G2074)*v01_OutScholar*INDEX(LM_Scholar,G2074)+INDEX(v01_ResearcherShare,G2074)*v01_OutResearcher*INDEX(LM_Researcher,G2074)))</x:f>
        <x:v>0</x:v>
      </x:c>
      <x:c r="AL2074" s="32" t="n">
        <x:f>H2074*v01_RoleScale*Arch_Roles*AE2074*INDEX(v01_MonasteryPerSett,G2074)*v01_OutMonastery*INDEX(LM_Monastery,G2074)</x:f>
        <x:v>0</x:v>
      </x:c>
      <x:c r="AM2074" s="32" t="n">
        <x:f>(AJ2074+AK2074+AL2074)/4*INDEX(LM_All,G2074)*INDEX(v01_Boon,G2074)*Arch_Insight</x:f>
        <x:v>0</x:v>
      </x:c>
      <x:c r="AN2074" s="32" t="n">
        <x:f>H2074*(v01_KHPerAdult*Z2074+v01_KHOfCommons*AJ2074/4*INDEX(LM_All,G2074))*v01_KHUsable*Arch_KH</x:f>
        <x:v>0</x:v>
      </x:c>
      <x:c r="AO2074" s="32" t="n">
        <x:f>MIN(AP2073+AN2074,AM2074*v01_KHMaxRatio)</x:f>
        <x:v>0</x:v>
      </x:c>
      <x:c r="AP2074" s="32" t="n">
        <x:f>AP2073+AN2074-AO2074</x:f>
        <x:v>0</x:v>
      </x:c>
      <x:c r="AQ2074" s="32" t="n">
        <x:f>AM2074+AO2074</x:f>
        <x:v>0</x:v>
      </x:c>
      <x:c r="AR2074" s="10" t="n">
        <x:f>IF(H2074=1,INDEX(v01_Req,G2074),0)</x:f>
        <x:v>0</x:v>
      </x:c>
      <x:c r="AS2074" s="32" t="n">
        <x:f>IF(H2074=1,IF(E2074=1,AS2073-AR2073,AS2073)+AQ2074,0)</x:f>
        <x:v>0</x:v>
      </x:c>
      <x:c r="AT2074" s="11" t="n">
        <x:f>IF(AR2074&gt;0,MIN(1,AS2074/AR2074),1)</x:f>
        <x:v>1</x:v>
      </x:c>
      <x:c r="AU2074" s="10" t="n">
        <x:f>AB2074/INDEX(v01_RepScale,G2074)</x:f>
        <x:v>90.09519605746344</x:v>
      </x:c>
      <x:c r="AV2074" s="32" t="n">
        <x:f>AM2074*60/v01_SeasonSeconds</x:f>
        <x:v>0</x:v>
      </x:c>
    </x:row>
    <x:row r="2075">
      <x:c r="A2075" s="8" t="n">
        <x:f>A2074+1</x:f>
        <x:v>2072</x:v>
      </x:c>
      <x:c r="B2075" s="9" t="n">
        <x:f>A2075*v01_SeasonSeconds/60</x:f>
        <x:v>518</x:v>
      </x:c>
      <x:c r="C2075" s="9" t="n">
        <x:f>A2075/4</x:f>
        <x:v>518</x:v>
      </x:c>
      <x:c r="D2075" s="8" t="n">
        <x:f>IF(MOD(A2075,4)=0,1,0)</x:f>
        <x:v>1</x:v>
      </x:c>
      <x:c r="E2075" s="8" t="n">
        <x:f>IF(AND(F2074&lt;=9,AS2074&gt;=AR2074),1,0)</x:f>
        <x:v>0</x:v>
      </x:c>
      <x:c r="F2075" s="8" t="n">
        <x:f>MIN(10,F2074+E2075)</x:f>
        <x:v>10</x:v>
      </x:c>
      <x:c r="G2075" s="8" t="n">
        <x:f>MIN(F2075,9)+1</x:f>
        <x:v>10</x:v>
      </x:c>
      <x:c r="H2075" s="8" t="n">
        <x:f>IF(F2075&lt;=9,1,0)</x:f>
        <x:v>0</x:v>
      </x:c>
      <x:c r="I2075" s="9" t="n">
        <x:f>MIN(10,F2074+IF(AR2074&gt;0,MIN(1,AS2074/AR2074),1))</x:f>
        <x:v>10</x:v>
      </x:c>
      <x:c r="J2075" s="32" t="n">
        <x:f>INDEX(v01_FoodCap,G2075)*Arch_FoodCap*EXP(v01_CapsByProject*SUMPRODUCT((Cap_Point&lt;=I2075)*(Cap_Kind="Food")*Cap_Ln))</x:f>
        <x:v>12000</x:v>
      </x:c>
      <x:c r="K2075" s="32" t="n">
        <x:f>J2075*MIN(1,v01_LeanBase*EXP(v01_CapsByProject*SUMPRODUCT((Cap_Point&lt;=I2075)*(Cap_Kind="Lean")*Cap_Ln)))</x:f>
        <x:v>12000</x:v>
      </x:c>
      <x:c r="L2075" s="10" t="n">
        <x:f>INDEX(v01_HousingCap,G2075)*EXP(v01_CapsByProject*SUMPRODUCT((Cap_Point&lt;=I2075)*(Cap_Kind="Housing")*Cap_Ln))</x:f>
        <x:v>20000</x:v>
      </x:c>
      <x:c r="M2075" s="10" t="n">
        <x:f>INDEX(v01_GroupCap,G2075)*v01_CohesionFactor*EXP(v01_CapsByProject*SUMPRODUCT((Cap_Point&lt;=I2075)*(Cap_Kind="Group")*Cap_Ln))</x:f>
        <x:v>1000000</x:v>
      </x:c>
      <x:c r="N2075" s="32" t="n">
        <x:f>MIN(J2075,L2075,M2075)</x:f>
        <x:v>12000</x:v>
      </x:c>
      <x:c r="O2075" s="10" t="n">
        <x:f>AE2074*N2075</x:f>
        <x:v>180000</x:v>
      </x:c>
      <x:c r="P2075" s="9" t="n">
        <x:f>MIN(1,(AB2074/(AE2074*IF(v01_GroupInCrowding=1,N2075,MIN(J2075,L2075))))^v01_CrowdingExp)</x:f>
        <x:v>0.00024569414295285325</x:v>
      </x:c>
      <x:c r="Q2075" s="9" t="n">
        <x:f>IF(D2075=1,INDEX(v01_WinterMult,G2075),1)</x:f>
        <x:v>1</x:v>
      </x:c>
      <x:c r="R2075" s="9" t="n">
        <x:f>H2075*Z2074*v01_WomenShare*v01_BaseFertility*INDEX(v01_FertMult,G2075)*Arch_Fertility*(1-P2075)</x:f>
        <x:v>0</x:v>
      </x:c>
      <x:c r="S2075" s="9" t="n">
        <x:f>H2075*Y2074*INDEX(v01_MortChild,G2075)/4*Q2075</x:f>
        <x:v>0</x:v>
      </x:c>
      <x:c r="T2075" s="9" t="n">
        <x:f>H2075*Z2074*INDEX(v01_MortAdult,G2075)*Arch_AdultMort/4*Q2075</x:f>
        <x:v>0</x:v>
      </x:c>
      <x:c r="U2075" s="9" t="n">
        <x:f>H2075*AA2074*INDEX(v01_MortElder,G2075)/4*Q2075</x:f>
        <x:v>0</x:v>
      </x:c>
      <x:c r="V2075" s="9" t="n">
        <x:f>H2075*MAX(0,AB2074-O2075)*v01_OvercapLoss</x:f>
        <x:v>0</x:v>
      </x:c>
      <x:c r="W2075" s="9" t="n">
        <x:f>H2075*Y2074/(v01_ChildYears*4)</x:f>
        <x:v>0</x:v>
      </x:c>
      <x:c r="X2075" s="9" t="n">
        <x:f>H2075*Z2074/(v01_AdultYears*4)</x:f>
        <x:v>0</x:v>
      </x:c>
      <x:c r="Y2075" s="32" t="n">
        <x:f>Y2074+R2075-S2075-W2075-Y2074*V2075/AB2074</x:f>
        <x:v>14306.18539759397</x:v>
      </x:c>
      <x:c r="Z2075" s="32" t="n">
        <x:f>Z2074+W2075-X2075-T2075-Z2074*V2075/AB2074</x:f>
        <x:v>19354.456567879548</x:v>
      </x:c>
      <x:c r="AA2075" s="32" t="n">
        <x:f>AA2074+X2075-U2075-AA2074*V2075/AB2074</x:f>
        <x:v>11386.956063258198</x:v>
      </x:c>
      <x:c r="AB2075" s="10" t="n">
        <x:f>Y2075+Z2075+AA2075</x:f>
        <x:v>45047.59802873172</x:v>
      </x:c>
      <x:c r="AC2075" s="8" t="n">
        <x:f>IF(AND(v01_WinterTrigger=1,D2075=1,AB2074/AE2074&gt;=K2075),1,0)</x:f>
        <x:v>0</x:v>
      </x:c>
      <x:c r="AD2075" s="8" t="n">
        <x:f>H2075*IF(AND(OR(AB2074/AE2074&gt;=v01_FissionTrigger*N2075,AC2075=1),AB2074/AE2074*v01_DaughterShare&gt;=v01_MinDaughter),MAX(1,ROUND(AE2074*v01_FissionRate,0)),0)</x:f>
        <x:v>0</x:v>
      </x:c>
      <x:c r="AE2075" s="8" t="n">
        <x:f>IF(H2075=1,MAX(1,MIN(INDEX(v01_Smax,G2075),AE2074+AD2075)),AE2074)</x:f>
        <x:v>15</x:v>
      </x:c>
      <x:c r="AF2075" s="8" t="n">
        <x:f>MAX(0,AE2075-AE2074)</x:f>
        <x:v>0</x:v>
      </x:c>
      <x:c r="AG2075" s="9" t="str">
        <x:f>IF(AF2075&gt;0,B2075,"")</x:f>
      </x:c>
      <x:c r="AH2075" s="9" t="n">
        <x:f>IF(F2075&gt;=1,1,(1+v01_LowTiesShare*(AE2075-1))/AE2075)</x:f>
        <x:v>1</x:v>
      </x:c>
      <x:c r="AI2075" s="32" t="n">
        <x:f>(Z2075+v01_ElderCommons*INDEX(LM_Elder,G2075)*AA2075)*AH2075</x:f>
        <x:v>64139.732591141874</x:v>
      </x:c>
      <x:c r="AJ2075" s="32" t="n">
        <x:f>H2075*v01_CommonsCoef*AI2075^v01_CommonsExp*INDEX(LM_Commons,G2075)</x:f>
        <x:v>0</x:v>
      </x:c>
      <x:c r="AK2075" s="32" t="n">
        <x:f>H2075*v01_RoleScale*Arch_Roles*(AE2075*(INDEX(v01_ElderRolePerSett,G2075)*v01_OutElder*INDEX(LM_Elder,G2075)+INDEX(v01_ShamanPerSett,G2075)*v01_OutShaman)+Z2075*(INDEX(v01_PriestShare,G2075)*v01_OutPriest+INDEX(v01_ScribeShare,G2075)*v01_OutScribe*INDEX(LM_Scribe,G2075)+INDEX(v01_ScholarShare,G2075)*v01_OutScholar*INDEX(LM_Scholar,G2075)+INDEX(v01_ResearcherShare,G2075)*v01_OutResearcher*INDEX(LM_Researcher,G2075)))</x:f>
        <x:v>0</x:v>
      </x:c>
      <x:c r="AL2075" s="32" t="n">
        <x:f>H2075*v01_RoleScale*Arch_Roles*AE2075*INDEX(v01_MonasteryPerSett,G2075)*v01_OutMonastery*INDEX(LM_Monastery,G2075)</x:f>
        <x:v>0</x:v>
      </x:c>
      <x:c r="AM2075" s="32" t="n">
        <x:f>(AJ2075+AK2075+AL2075)/4*INDEX(LM_All,G2075)*INDEX(v01_Boon,G2075)*Arch_Insight</x:f>
        <x:v>0</x:v>
      </x:c>
      <x:c r="AN2075" s="32" t="n">
        <x:f>H2075*(v01_KHPerAdult*Z2075+v01_KHOfCommons*AJ2075/4*INDEX(LM_All,G2075))*v01_KHUsable*Arch_KH</x:f>
        <x:v>0</x:v>
      </x:c>
      <x:c r="AO2075" s="32" t="n">
        <x:f>MIN(AP2074+AN2075,AM2075*v01_KHMaxRatio)</x:f>
        <x:v>0</x:v>
      </x:c>
      <x:c r="AP2075" s="32" t="n">
        <x:f>AP2074+AN2075-AO2075</x:f>
        <x:v>0</x:v>
      </x:c>
      <x:c r="AQ2075" s="32" t="n">
        <x:f>AM2075+AO2075</x:f>
        <x:v>0</x:v>
      </x:c>
      <x:c r="AR2075" s="10" t="n">
        <x:f>IF(H2075=1,INDEX(v01_Req,G2075),0)</x:f>
        <x:v>0</x:v>
      </x:c>
      <x:c r="AS2075" s="32" t="n">
        <x:f>IF(H2075=1,IF(E2075=1,AS2074-AR2074,AS2074)+AQ2075,0)</x:f>
        <x:v>0</x:v>
      </x:c>
      <x:c r="AT2075" s="11" t="n">
        <x:f>IF(AR2075&gt;0,MIN(1,AS2075/AR2075),1)</x:f>
        <x:v>1</x:v>
      </x:c>
      <x:c r="AU2075" s="10" t="n">
        <x:f>AB2075/INDEX(v01_RepScale,G2075)</x:f>
        <x:v>90.09519605746344</x:v>
      </x:c>
      <x:c r="AV2075" s="32" t="n">
        <x:f>AM2075*60/v01_SeasonSeconds</x:f>
        <x:v>0</x:v>
      </x:c>
    </x:row>
    <x:row r="2076">
      <x:c r="A2076" s="8" t="n">
        <x:f>A2075+1</x:f>
        <x:v>2073</x:v>
      </x:c>
      <x:c r="B2076" s="9" t="n">
        <x:f>A2076*v01_SeasonSeconds/60</x:f>
        <x:v>518.25</x:v>
      </x:c>
      <x:c r="C2076" s="9" t="n">
        <x:f>A2076/4</x:f>
        <x:v>518.25</x:v>
      </x:c>
      <x:c r="D2076" s="8" t="n">
        <x:f>IF(MOD(A2076,4)=0,1,0)</x:f>
        <x:v>0</x:v>
      </x:c>
      <x:c r="E2076" s="8" t="n">
        <x:f>IF(AND(F2075&lt;=9,AS2075&gt;=AR2075),1,0)</x:f>
        <x:v>0</x:v>
      </x:c>
      <x:c r="F2076" s="8" t="n">
        <x:f>MIN(10,F2075+E2076)</x:f>
        <x:v>10</x:v>
      </x:c>
      <x:c r="G2076" s="8" t="n">
        <x:f>MIN(F2076,9)+1</x:f>
        <x:v>10</x:v>
      </x:c>
      <x:c r="H2076" s="8" t="n">
        <x:f>IF(F2076&lt;=9,1,0)</x:f>
        <x:v>0</x:v>
      </x:c>
      <x:c r="I2076" s="9" t="n">
        <x:f>MIN(10,F2075+IF(AR2075&gt;0,MIN(1,AS2075/AR2075),1))</x:f>
        <x:v>10</x:v>
      </x:c>
      <x:c r="J2076" s="32" t="n">
        <x:f>INDEX(v01_FoodCap,G2076)*Arch_FoodCap*EXP(v01_CapsByProject*SUMPRODUCT((Cap_Point&lt;=I2076)*(Cap_Kind="Food")*Cap_Ln))</x:f>
        <x:v>12000</x:v>
      </x:c>
      <x:c r="K2076" s="32" t="n">
        <x:f>J2076*MIN(1,v01_LeanBase*EXP(v01_CapsByProject*SUMPRODUCT((Cap_Point&lt;=I2076)*(Cap_Kind="Lean")*Cap_Ln)))</x:f>
        <x:v>12000</x:v>
      </x:c>
      <x:c r="L2076" s="10" t="n">
        <x:f>INDEX(v01_HousingCap,G2076)*EXP(v01_CapsByProject*SUMPRODUCT((Cap_Point&lt;=I2076)*(Cap_Kind="Housing")*Cap_Ln))</x:f>
        <x:v>20000</x:v>
      </x:c>
      <x:c r="M2076" s="10" t="n">
        <x:f>INDEX(v01_GroupCap,G2076)*v01_CohesionFactor*EXP(v01_CapsByProject*SUMPRODUCT((Cap_Point&lt;=I2076)*(Cap_Kind="Group")*Cap_Ln))</x:f>
        <x:v>1000000</x:v>
      </x:c>
      <x:c r="N2076" s="32" t="n">
        <x:f>MIN(J2076,L2076,M2076)</x:f>
        <x:v>12000</x:v>
      </x:c>
      <x:c r="O2076" s="10" t="n">
        <x:f>AE2075*N2076</x:f>
        <x:v>180000</x:v>
      </x:c>
      <x:c r="P2076" s="9" t="n">
        <x:f>MIN(1,(AB2075/(AE2075*IF(v01_GroupInCrowding=1,N2076,MIN(J2076,L2076))))^v01_CrowdingExp)</x:f>
        <x:v>0.00024569414295285325</x:v>
      </x:c>
      <x:c r="Q2076" s="9" t="n">
        <x:f>IF(D2076=1,INDEX(v01_WinterMult,G2076),1)</x:f>
        <x:v>1</x:v>
      </x:c>
      <x:c r="R2076" s="9" t="n">
        <x:f>H2076*Z2075*v01_WomenShare*v01_BaseFertility*INDEX(v01_FertMult,G2076)*Arch_Fertility*(1-P2076)</x:f>
        <x:v>0</x:v>
      </x:c>
      <x:c r="S2076" s="9" t="n">
        <x:f>H2076*Y2075*INDEX(v01_MortChild,G2076)/4*Q2076</x:f>
        <x:v>0</x:v>
      </x:c>
      <x:c r="T2076" s="9" t="n">
        <x:f>H2076*Z2075*INDEX(v01_MortAdult,G2076)*Arch_AdultMort/4*Q2076</x:f>
        <x:v>0</x:v>
      </x:c>
      <x:c r="U2076" s="9" t="n">
        <x:f>H2076*AA2075*INDEX(v01_MortElder,G2076)/4*Q2076</x:f>
        <x:v>0</x:v>
      </x:c>
      <x:c r="V2076" s="9" t="n">
        <x:f>H2076*MAX(0,AB2075-O2076)*v01_OvercapLoss</x:f>
        <x:v>0</x:v>
      </x:c>
      <x:c r="W2076" s="9" t="n">
        <x:f>H2076*Y2075/(v01_ChildYears*4)</x:f>
        <x:v>0</x:v>
      </x:c>
      <x:c r="X2076" s="9" t="n">
        <x:f>H2076*Z2075/(v01_AdultYears*4)</x:f>
        <x:v>0</x:v>
      </x:c>
      <x:c r="Y2076" s="32" t="n">
        <x:f>Y2075+R2076-S2076-W2076-Y2075*V2076/AB2075</x:f>
        <x:v>14306.18539759397</x:v>
      </x:c>
      <x:c r="Z2076" s="32" t="n">
        <x:f>Z2075+W2076-X2076-T2076-Z2075*V2076/AB2075</x:f>
        <x:v>19354.456567879548</x:v>
      </x:c>
      <x:c r="AA2076" s="32" t="n">
        <x:f>AA2075+X2076-U2076-AA2075*V2076/AB2075</x:f>
        <x:v>11386.956063258198</x:v>
      </x:c>
      <x:c r="AB2076" s="10" t="n">
        <x:f>Y2076+Z2076+AA2076</x:f>
        <x:v>45047.59802873172</x:v>
      </x:c>
      <x:c r="AC2076" s="8" t="n">
        <x:f>IF(AND(v01_WinterTrigger=1,D2076=1,AB2075/AE2075&gt;=K2076),1,0)</x:f>
        <x:v>0</x:v>
      </x:c>
      <x:c r="AD2076" s="8" t="n">
        <x:f>H2076*IF(AND(OR(AB2075/AE2075&gt;=v01_FissionTrigger*N2076,AC2076=1),AB2075/AE2075*v01_DaughterShare&gt;=v01_MinDaughter),MAX(1,ROUND(AE2075*v01_FissionRate,0)),0)</x:f>
        <x:v>0</x:v>
      </x:c>
      <x:c r="AE2076" s="8" t="n">
        <x:f>IF(H2076=1,MAX(1,MIN(INDEX(v01_Smax,G2076),AE2075+AD2076)),AE2075)</x:f>
        <x:v>15</x:v>
      </x:c>
      <x:c r="AF2076" s="8" t="n">
        <x:f>MAX(0,AE2076-AE2075)</x:f>
        <x:v>0</x:v>
      </x:c>
      <x:c r="AG2076" s="9" t="str">
        <x:f>IF(AF2076&gt;0,B2076,"")</x:f>
      </x:c>
      <x:c r="AH2076" s="9" t="n">
        <x:f>IF(F2076&gt;=1,1,(1+v01_LowTiesShare*(AE2076-1))/AE2076)</x:f>
        <x:v>1</x:v>
      </x:c>
      <x:c r="AI2076" s="32" t="n">
        <x:f>(Z2076+v01_ElderCommons*INDEX(LM_Elder,G2076)*AA2076)*AH2076</x:f>
        <x:v>64139.732591141874</x:v>
      </x:c>
      <x:c r="AJ2076" s="32" t="n">
        <x:f>H2076*v01_CommonsCoef*AI2076^v01_CommonsExp*INDEX(LM_Commons,G2076)</x:f>
        <x:v>0</x:v>
      </x:c>
      <x:c r="AK2076" s="32" t="n">
        <x:f>H2076*v01_RoleScale*Arch_Roles*(AE2076*(INDEX(v01_ElderRolePerSett,G2076)*v01_OutElder*INDEX(LM_Elder,G2076)+INDEX(v01_ShamanPerSett,G2076)*v01_OutShaman)+Z2076*(INDEX(v01_PriestShare,G2076)*v01_OutPriest+INDEX(v01_ScribeShare,G2076)*v01_OutScribe*INDEX(LM_Scribe,G2076)+INDEX(v01_ScholarShare,G2076)*v01_OutScholar*INDEX(LM_Scholar,G2076)+INDEX(v01_ResearcherShare,G2076)*v01_OutResearcher*INDEX(LM_Researcher,G2076)))</x:f>
        <x:v>0</x:v>
      </x:c>
      <x:c r="AL2076" s="32" t="n">
        <x:f>H2076*v01_RoleScale*Arch_Roles*AE2076*INDEX(v01_MonasteryPerSett,G2076)*v01_OutMonastery*INDEX(LM_Monastery,G2076)</x:f>
        <x:v>0</x:v>
      </x:c>
      <x:c r="AM2076" s="32" t="n">
        <x:f>(AJ2076+AK2076+AL2076)/4*INDEX(LM_All,G2076)*INDEX(v01_Boon,G2076)*Arch_Insight</x:f>
        <x:v>0</x:v>
      </x:c>
      <x:c r="AN2076" s="32" t="n">
        <x:f>H2076*(v01_KHPerAdult*Z2076+v01_KHOfCommons*AJ2076/4*INDEX(LM_All,G2076))*v01_KHUsable*Arch_KH</x:f>
        <x:v>0</x:v>
      </x:c>
      <x:c r="AO2076" s="32" t="n">
        <x:f>MIN(AP2075+AN2076,AM2076*v01_KHMaxRatio)</x:f>
        <x:v>0</x:v>
      </x:c>
      <x:c r="AP2076" s="32" t="n">
        <x:f>AP2075+AN2076-AO2076</x:f>
        <x:v>0</x:v>
      </x:c>
      <x:c r="AQ2076" s="32" t="n">
        <x:f>AM2076+AO2076</x:f>
        <x:v>0</x:v>
      </x:c>
      <x:c r="AR2076" s="10" t="n">
        <x:f>IF(H2076=1,INDEX(v01_Req,G2076),0)</x:f>
        <x:v>0</x:v>
      </x:c>
      <x:c r="AS2076" s="32" t="n">
        <x:f>IF(H2076=1,IF(E2076=1,AS2075-AR2075,AS2075)+AQ2076,0)</x:f>
        <x:v>0</x:v>
      </x:c>
      <x:c r="AT2076" s="11" t="n">
        <x:f>IF(AR2076&gt;0,MIN(1,AS2076/AR2076),1)</x:f>
        <x:v>1</x:v>
      </x:c>
      <x:c r="AU2076" s="10" t="n">
        <x:f>AB2076/INDEX(v01_RepScale,G2076)</x:f>
        <x:v>90.09519605746344</x:v>
      </x:c>
      <x:c r="AV2076" s="32" t="n">
        <x:f>AM2076*60/v01_SeasonSeconds</x:f>
        <x:v>0</x:v>
      </x:c>
    </x:row>
    <x:row r="2077">
      <x:c r="A2077" s="8" t="n">
        <x:f>A2076+1</x:f>
        <x:v>2074</x:v>
      </x:c>
      <x:c r="B2077" s="9" t="n">
        <x:f>A2077*v01_SeasonSeconds/60</x:f>
        <x:v>518.5</x:v>
      </x:c>
      <x:c r="C2077" s="9" t="n">
        <x:f>A2077/4</x:f>
        <x:v>518.5</x:v>
      </x:c>
      <x:c r="D2077" s="8" t="n">
        <x:f>IF(MOD(A2077,4)=0,1,0)</x:f>
        <x:v>0</x:v>
      </x:c>
      <x:c r="E2077" s="8" t="n">
        <x:f>IF(AND(F2076&lt;=9,AS2076&gt;=AR2076),1,0)</x:f>
        <x:v>0</x:v>
      </x:c>
      <x:c r="F2077" s="8" t="n">
        <x:f>MIN(10,F2076+E2077)</x:f>
        <x:v>10</x:v>
      </x:c>
      <x:c r="G2077" s="8" t="n">
        <x:f>MIN(F2077,9)+1</x:f>
        <x:v>10</x:v>
      </x:c>
      <x:c r="H2077" s="8" t="n">
        <x:f>IF(F2077&lt;=9,1,0)</x:f>
        <x:v>0</x:v>
      </x:c>
      <x:c r="I2077" s="9" t="n">
        <x:f>MIN(10,F2076+IF(AR2076&gt;0,MIN(1,AS2076/AR2076),1))</x:f>
        <x:v>10</x:v>
      </x:c>
      <x:c r="J2077" s="32" t="n">
        <x:f>INDEX(v01_FoodCap,G2077)*Arch_FoodCap*EXP(v01_CapsByProject*SUMPRODUCT((Cap_Point&lt;=I2077)*(Cap_Kind="Food")*Cap_Ln))</x:f>
        <x:v>12000</x:v>
      </x:c>
      <x:c r="K2077" s="32" t="n">
        <x:f>J2077*MIN(1,v01_LeanBase*EXP(v01_CapsByProject*SUMPRODUCT((Cap_Point&lt;=I2077)*(Cap_Kind="Lean")*Cap_Ln)))</x:f>
        <x:v>12000</x:v>
      </x:c>
      <x:c r="L2077" s="10" t="n">
        <x:f>INDEX(v01_HousingCap,G2077)*EXP(v01_CapsByProject*SUMPRODUCT((Cap_Point&lt;=I2077)*(Cap_Kind="Housing")*Cap_Ln))</x:f>
        <x:v>20000</x:v>
      </x:c>
      <x:c r="M2077" s="10" t="n">
        <x:f>INDEX(v01_GroupCap,G2077)*v01_CohesionFactor*EXP(v01_CapsByProject*SUMPRODUCT((Cap_Point&lt;=I2077)*(Cap_Kind="Group")*Cap_Ln))</x:f>
        <x:v>1000000</x:v>
      </x:c>
      <x:c r="N2077" s="32" t="n">
        <x:f>MIN(J2077,L2077,M2077)</x:f>
        <x:v>12000</x:v>
      </x:c>
      <x:c r="O2077" s="10" t="n">
        <x:f>AE2076*N2077</x:f>
        <x:v>180000</x:v>
      </x:c>
      <x:c r="P2077" s="9" t="n">
        <x:f>MIN(1,(AB2076/(AE2076*IF(v01_GroupInCrowding=1,N2077,MIN(J2077,L2077))))^v01_CrowdingExp)</x:f>
        <x:v>0.00024569414295285325</x:v>
      </x:c>
      <x:c r="Q2077" s="9" t="n">
        <x:f>IF(D2077=1,INDEX(v01_WinterMult,G2077),1)</x:f>
        <x:v>1</x:v>
      </x:c>
      <x:c r="R2077" s="9" t="n">
        <x:f>H2077*Z2076*v01_WomenShare*v01_BaseFertility*INDEX(v01_FertMult,G2077)*Arch_Fertility*(1-P2077)</x:f>
        <x:v>0</x:v>
      </x:c>
      <x:c r="S2077" s="9" t="n">
        <x:f>H2077*Y2076*INDEX(v01_MortChild,G2077)/4*Q2077</x:f>
        <x:v>0</x:v>
      </x:c>
      <x:c r="T2077" s="9" t="n">
        <x:f>H2077*Z2076*INDEX(v01_MortAdult,G2077)*Arch_AdultMort/4*Q2077</x:f>
        <x:v>0</x:v>
      </x:c>
      <x:c r="U2077" s="9" t="n">
        <x:f>H2077*AA2076*INDEX(v01_MortElder,G2077)/4*Q2077</x:f>
        <x:v>0</x:v>
      </x:c>
      <x:c r="V2077" s="9" t="n">
        <x:f>H2077*MAX(0,AB2076-O2077)*v01_OvercapLoss</x:f>
        <x:v>0</x:v>
      </x:c>
      <x:c r="W2077" s="9" t="n">
        <x:f>H2077*Y2076/(v01_ChildYears*4)</x:f>
        <x:v>0</x:v>
      </x:c>
      <x:c r="X2077" s="9" t="n">
        <x:f>H2077*Z2076/(v01_AdultYears*4)</x:f>
        <x:v>0</x:v>
      </x:c>
      <x:c r="Y2077" s="32" t="n">
        <x:f>Y2076+R2077-S2077-W2077-Y2076*V2077/AB2076</x:f>
        <x:v>14306.18539759397</x:v>
      </x:c>
      <x:c r="Z2077" s="32" t="n">
        <x:f>Z2076+W2077-X2077-T2077-Z2076*V2077/AB2076</x:f>
        <x:v>19354.456567879548</x:v>
      </x:c>
      <x:c r="AA2077" s="32" t="n">
        <x:f>AA2076+X2077-U2077-AA2076*V2077/AB2076</x:f>
        <x:v>11386.956063258198</x:v>
      </x:c>
      <x:c r="AB2077" s="10" t="n">
        <x:f>Y2077+Z2077+AA2077</x:f>
        <x:v>45047.59802873172</x:v>
      </x:c>
      <x:c r="AC2077" s="8" t="n">
        <x:f>IF(AND(v01_WinterTrigger=1,D2077=1,AB2076/AE2076&gt;=K2077),1,0)</x:f>
        <x:v>0</x:v>
      </x:c>
      <x:c r="AD2077" s="8" t="n">
        <x:f>H2077*IF(AND(OR(AB2076/AE2076&gt;=v01_FissionTrigger*N2077,AC2077=1),AB2076/AE2076*v01_DaughterShare&gt;=v01_MinDaughter),MAX(1,ROUND(AE2076*v01_FissionRate,0)),0)</x:f>
        <x:v>0</x:v>
      </x:c>
      <x:c r="AE2077" s="8" t="n">
        <x:f>IF(H2077=1,MAX(1,MIN(INDEX(v01_Smax,G2077),AE2076+AD2077)),AE2076)</x:f>
        <x:v>15</x:v>
      </x:c>
      <x:c r="AF2077" s="8" t="n">
        <x:f>MAX(0,AE2077-AE2076)</x:f>
        <x:v>0</x:v>
      </x:c>
      <x:c r="AG2077" s="9" t="str">
        <x:f>IF(AF2077&gt;0,B2077,"")</x:f>
      </x:c>
      <x:c r="AH2077" s="9" t="n">
        <x:f>IF(F2077&gt;=1,1,(1+v01_LowTiesShare*(AE2077-1))/AE2077)</x:f>
        <x:v>1</x:v>
      </x:c>
      <x:c r="AI2077" s="32" t="n">
        <x:f>(Z2077+v01_ElderCommons*INDEX(LM_Elder,G2077)*AA2077)*AH2077</x:f>
        <x:v>64139.732591141874</x:v>
      </x:c>
      <x:c r="AJ2077" s="32" t="n">
        <x:f>H2077*v01_CommonsCoef*AI2077^v01_CommonsExp*INDEX(LM_Commons,G2077)</x:f>
        <x:v>0</x:v>
      </x:c>
      <x:c r="AK2077" s="32" t="n">
        <x:f>H2077*v01_RoleScale*Arch_Roles*(AE2077*(INDEX(v01_ElderRolePerSett,G2077)*v01_OutElder*INDEX(LM_Elder,G2077)+INDEX(v01_ShamanPerSett,G2077)*v01_OutShaman)+Z2077*(INDEX(v01_PriestShare,G2077)*v01_OutPriest+INDEX(v01_ScribeShare,G2077)*v01_OutScribe*INDEX(LM_Scribe,G2077)+INDEX(v01_ScholarShare,G2077)*v01_OutScholar*INDEX(LM_Scholar,G2077)+INDEX(v01_ResearcherShare,G2077)*v01_OutResearcher*INDEX(LM_Researcher,G2077)))</x:f>
        <x:v>0</x:v>
      </x:c>
      <x:c r="AL2077" s="32" t="n">
        <x:f>H2077*v01_RoleScale*Arch_Roles*AE2077*INDEX(v01_MonasteryPerSett,G2077)*v01_OutMonastery*INDEX(LM_Monastery,G2077)</x:f>
        <x:v>0</x:v>
      </x:c>
      <x:c r="AM2077" s="32" t="n">
        <x:f>(AJ2077+AK2077+AL2077)/4*INDEX(LM_All,G2077)*INDEX(v01_Boon,G2077)*Arch_Insight</x:f>
        <x:v>0</x:v>
      </x:c>
      <x:c r="AN2077" s="32" t="n">
        <x:f>H2077*(v01_KHPerAdult*Z2077+v01_KHOfCommons*AJ2077/4*INDEX(LM_All,G2077))*v01_KHUsable*Arch_KH</x:f>
        <x:v>0</x:v>
      </x:c>
      <x:c r="AO2077" s="32" t="n">
        <x:f>MIN(AP2076+AN2077,AM2077*v01_KHMaxRatio)</x:f>
        <x:v>0</x:v>
      </x:c>
      <x:c r="AP2077" s="32" t="n">
        <x:f>AP2076+AN2077-AO2077</x:f>
        <x:v>0</x:v>
      </x:c>
      <x:c r="AQ2077" s="32" t="n">
        <x:f>AM2077+AO2077</x:f>
        <x:v>0</x:v>
      </x:c>
      <x:c r="AR2077" s="10" t="n">
        <x:f>IF(H2077=1,INDEX(v01_Req,G2077),0)</x:f>
        <x:v>0</x:v>
      </x:c>
      <x:c r="AS2077" s="32" t="n">
        <x:f>IF(H2077=1,IF(E2077=1,AS2076-AR2076,AS2076)+AQ2077,0)</x:f>
        <x:v>0</x:v>
      </x:c>
      <x:c r="AT2077" s="11" t="n">
        <x:f>IF(AR2077&gt;0,MIN(1,AS2077/AR2077),1)</x:f>
        <x:v>1</x:v>
      </x:c>
      <x:c r="AU2077" s="10" t="n">
        <x:f>AB2077/INDEX(v01_RepScale,G2077)</x:f>
        <x:v>90.09519605746344</x:v>
      </x:c>
      <x:c r="AV2077" s="32" t="n">
        <x:f>AM2077*60/v01_SeasonSeconds</x:f>
        <x:v>0</x:v>
      </x:c>
    </x:row>
    <x:row r="2078">
      <x:c r="A2078" s="8" t="n">
        <x:f>A2077+1</x:f>
        <x:v>2075</x:v>
      </x:c>
      <x:c r="B2078" s="9" t="n">
        <x:f>A2078*v01_SeasonSeconds/60</x:f>
        <x:v>518.75</x:v>
      </x:c>
      <x:c r="C2078" s="9" t="n">
        <x:f>A2078/4</x:f>
        <x:v>518.75</x:v>
      </x:c>
      <x:c r="D2078" s="8" t="n">
        <x:f>IF(MOD(A2078,4)=0,1,0)</x:f>
        <x:v>0</x:v>
      </x:c>
      <x:c r="E2078" s="8" t="n">
        <x:f>IF(AND(F2077&lt;=9,AS2077&gt;=AR2077),1,0)</x:f>
        <x:v>0</x:v>
      </x:c>
      <x:c r="F2078" s="8" t="n">
        <x:f>MIN(10,F2077+E2078)</x:f>
        <x:v>10</x:v>
      </x:c>
      <x:c r="G2078" s="8" t="n">
        <x:f>MIN(F2078,9)+1</x:f>
        <x:v>10</x:v>
      </x:c>
      <x:c r="H2078" s="8" t="n">
        <x:f>IF(F2078&lt;=9,1,0)</x:f>
        <x:v>0</x:v>
      </x:c>
      <x:c r="I2078" s="9" t="n">
        <x:f>MIN(10,F2077+IF(AR2077&gt;0,MIN(1,AS2077/AR2077),1))</x:f>
        <x:v>10</x:v>
      </x:c>
      <x:c r="J2078" s="32" t="n">
        <x:f>INDEX(v01_FoodCap,G2078)*Arch_FoodCap*EXP(v01_CapsByProject*SUMPRODUCT((Cap_Point&lt;=I2078)*(Cap_Kind="Food")*Cap_Ln))</x:f>
        <x:v>12000</x:v>
      </x:c>
      <x:c r="K2078" s="32" t="n">
        <x:f>J2078*MIN(1,v01_LeanBase*EXP(v01_CapsByProject*SUMPRODUCT((Cap_Point&lt;=I2078)*(Cap_Kind="Lean")*Cap_Ln)))</x:f>
        <x:v>12000</x:v>
      </x:c>
      <x:c r="L2078" s="10" t="n">
        <x:f>INDEX(v01_HousingCap,G2078)*EXP(v01_CapsByProject*SUMPRODUCT((Cap_Point&lt;=I2078)*(Cap_Kind="Housing")*Cap_Ln))</x:f>
        <x:v>20000</x:v>
      </x:c>
      <x:c r="M2078" s="10" t="n">
        <x:f>INDEX(v01_GroupCap,G2078)*v01_CohesionFactor*EXP(v01_CapsByProject*SUMPRODUCT((Cap_Point&lt;=I2078)*(Cap_Kind="Group")*Cap_Ln))</x:f>
        <x:v>1000000</x:v>
      </x:c>
      <x:c r="N2078" s="32" t="n">
        <x:f>MIN(J2078,L2078,M2078)</x:f>
        <x:v>12000</x:v>
      </x:c>
      <x:c r="O2078" s="10" t="n">
        <x:f>AE2077*N2078</x:f>
        <x:v>180000</x:v>
      </x:c>
      <x:c r="P2078" s="9" t="n">
        <x:f>MIN(1,(AB2077/(AE2077*IF(v01_GroupInCrowding=1,N2078,MIN(J2078,L2078))))^v01_CrowdingExp)</x:f>
        <x:v>0.00024569414295285325</x:v>
      </x:c>
      <x:c r="Q2078" s="9" t="n">
        <x:f>IF(D2078=1,INDEX(v01_WinterMult,G2078),1)</x:f>
        <x:v>1</x:v>
      </x:c>
      <x:c r="R2078" s="9" t="n">
        <x:f>H2078*Z2077*v01_WomenShare*v01_BaseFertility*INDEX(v01_FertMult,G2078)*Arch_Fertility*(1-P2078)</x:f>
        <x:v>0</x:v>
      </x:c>
      <x:c r="S2078" s="9" t="n">
        <x:f>H2078*Y2077*INDEX(v01_MortChild,G2078)/4*Q2078</x:f>
        <x:v>0</x:v>
      </x:c>
      <x:c r="T2078" s="9" t="n">
        <x:f>H2078*Z2077*INDEX(v01_MortAdult,G2078)*Arch_AdultMort/4*Q2078</x:f>
        <x:v>0</x:v>
      </x:c>
      <x:c r="U2078" s="9" t="n">
        <x:f>H2078*AA2077*INDEX(v01_MortElder,G2078)/4*Q2078</x:f>
        <x:v>0</x:v>
      </x:c>
      <x:c r="V2078" s="9" t="n">
        <x:f>H2078*MAX(0,AB2077-O2078)*v01_OvercapLoss</x:f>
        <x:v>0</x:v>
      </x:c>
      <x:c r="W2078" s="9" t="n">
        <x:f>H2078*Y2077/(v01_ChildYears*4)</x:f>
        <x:v>0</x:v>
      </x:c>
      <x:c r="X2078" s="9" t="n">
        <x:f>H2078*Z2077/(v01_AdultYears*4)</x:f>
        <x:v>0</x:v>
      </x:c>
      <x:c r="Y2078" s="32" t="n">
        <x:f>Y2077+R2078-S2078-W2078-Y2077*V2078/AB2077</x:f>
        <x:v>14306.18539759397</x:v>
      </x:c>
      <x:c r="Z2078" s="32" t="n">
        <x:f>Z2077+W2078-X2078-T2078-Z2077*V2078/AB2077</x:f>
        <x:v>19354.456567879548</x:v>
      </x:c>
      <x:c r="AA2078" s="32" t="n">
        <x:f>AA2077+X2078-U2078-AA2077*V2078/AB2077</x:f>
        <x:v>11386.956063258198</x:v>
      </x:c>
      <x:c r="AB2078" s="10" t="n">
        <x:f>Y2078+Z2078+AA2078</x:f>
        <x:v>45047.59802873172</x:v>
      </x:c>
      <x:c r="AC2078" s="8" t="n">
        <x:f>IF(AND(v01_WinterTrigger=1,D2078=1,AB2077/AE2077&gt;=K2078),1,0)</x:f>
        <x:v>0</x:v>
      </x:c>
      <x:c r="AD2078" s="8" t="n">
        <x:f>H2078*IF(AND(OR(AB2077/AE2077&gt;=v01_FissionTrigger*N2078,AC2078=1),AB2077/AE2077*v01_DaughterShare&gt;=v01_MinDaughter),MAX(1,ROUND(AE2077*v01_FissionRate,0)),0)</x:f>
        <x:v>0</x:v>
      </x:c>
      <x:c r="AE2078" s="8" t="n">
        <x:f>IF(H2078=1,MAX(1,MIN(INDEX(v01_Smax,G2078),AE2077+AD2078)),AE2077)</x:f>
        <x:v>15</x:v>
      </x:c>
      <x:c r="AF2078" s="8" t="n">
        <x:f>MAX(0,AE2078-AE2077)</x:f>
        <x:v>0</x:v>
      </x:c>
      <x:c r="AG2078" s="9" t="str">
        <x:f>IF(AF2078&gt;0,B2078,"")</x:f>
      </x:c>
      <x:c r="AH2078" s="9" t="n">
        <x:f>IF(F2078&gt;=1,1,(1+v01_LowTiesShare*(AE2078-1))/AE2078)</x:f>
        <x:v>1</x:v>
      </x:c>
      <x:c r="AI2078" s="32" t="n">
        <x:f>(Z2078+v01_ElderCommons*INDEX(LM_Elder,G2078)*AA2078)*AH2078</x:f>
        <x:v>64139.732591141874</x:v>
      </x:c>
      <x:c r="AJ2078" s="32" t="n">
        <x:f>H2078*v01_CommonsCoef*AI2078^v01_CommonsExp*INDEX(LM_Commons,G2078)</x:f>
        <x:v>0</x:v>
      </x:c>
      <x:c r="AK2078" s="32" t="n">
        <x:f>H2078*v01_RoleScale*Arch_Roles*(AE2078*(INDEX(v01_ElderRolePerSett,G2078)*v01_OutElder*INDEX(LM_Elder,G2078)+INDEX(v01_ShamanPerSett,G2078)*v01_OutShaman)+Z2078*(INDEX(v01_PriestShare,G2078)*v01_OutPriest+INDEX(v01_ScribeShare,G2078)*v01_OutScribe*INDEX(LM_Scribe,G2078)+INDEX(v01_ScholarShare,G2078)*v01_OutScholar*INDEX(LM_Scholar,G2078)+INDEX(v01_ResearcherShare,G2078)*v01_OutResearcher*INDEX(LM_Researcher,G2078)))</x:f>
        <x:v>0</x:v>
      </x:c>
      <x:c r="AL2078" s="32" t="n">
        <x:f>H2078*v01_RoleScale*Arch_Roles*AE2078*INDEX(v01_MonasteryPerSett,G2078)*v01_OutMonastery*INDEX(LM_Monastery,G2078)</x:f>
        <x:v>0</x:v>
      </x:c>
      <x:c r="AM2078" s="32" t="n">
        <x:f>(AJ2078+AK2078+AL2078)/4*INDEX(LM_All,G2078)*INDEX(v01_Boon,G2078)*Arch_Insight</x:f>
        <x:v>0</x:v>
      </x:c>
      <x:c r="AN2078" s="32" t="n">
        <x:f>H2078*(v01_KHPerAdult*Z2078+v01_KHOfCommons*AJ2078/4*INDEX(LM_All,G2078))*v01_KHUsable*Arch_KH</x:f>
        <x:v>0</x:v>
      </x:c>
      <x:c r="AO2078" s="32" t="n">
        <x:f>MIN(AP2077+AN2078,AM2078*v01_KHMaxRatio)</x:f>
        <x:v>0</x:v>
      </x:c>
      <x:c r="AP2078" s="32" t="n">
        <x:f>AP2077+AN2078-AO2078</x:f>
        <x:v>0</x:v>
      </x:c>
      <x:c r="AQ2078" s="32" t="n">
        <x:f>AM2078+AO2078</x:f>
        <x:v>0</x:v>
      </x:c>
      <x:c r="AR2078" s="10" t="n">
        <x:f>IF(H2078=1,INDEX(v01_Req,G2078),0)</x:f>
        <x:v>0</x:v>
      </x:c>
      <x:c r="AS2078" s="32" t="n">
        <x:f>IF(H2078=1,IF(E2078=1,AS2077-AR2077,AS2077)+AQ2078,0)</x:f>
        <x:v>0</x:v>
      </x:c>
      <x:c r="AT2078" s="11" t="n">
        <x:f>IF(AR2078&gt;0,MIN(1,AS2078/AR2078),1)</x:f>
        <x:v>1</x:v>
      </x:c>
      <x:c r="AU2078" s="10" t="n">
        <x:f>AB2078/INDEX(v01_RepScale,G2078)</x:f>
        <x:v>90.09519605746344</x:v>
      </x:c>
      <x:c r="AV2078" s="32" t="n">
        <x:f>AM2078*60/v01_SeasonSeconds</x:f>
        <x:v>0</x:v>
      </x:c>
    </x:row>
    <x:row r="2079">
      <x:c r="A2079" s="8" t="n">
        <x:f>A2078+1</x:f>
        <x:v>2076</x:v>
      </x:c>
      <x:c r="B2079" s="9" t="n">
        <x:f>A2079*v01_SeasonSeconds/60</x:f>
        <x:v>519</x:v>
      </x:c>
      <x:c r="C2079" s="9" t="n">
        <x:f>A2079/4</x:f>
        <x:v>519</x:v>
      </x:c>
      <x:c r="D2079" s="8" t="n">
        <x:f>IF(MOD(A2079,4)=0,1,0)</x:f>
        <x:v>1</x:v>
      </x:c>
      <x:c r="E2079" s="8" t="n">
        <x:f>IF(AND(F2078&lt;=9,AS2078&gt;=AR2078),1,0)</x:f>
        <x:v>0</x:v>
      </x:c>
      <x:c r="F2079" s="8" t="n">
        <x:f>MIN(10,F2078+E2079)</x:f>
        <x:v>10</x:v>
      </x:c>
      <x:c r="G2079" s="8" t="n">
        <x:f>MIN(F2079,9)+1</x:f>
        <x:v>10</x:v>
      </x:c>
      <x:c r="H2079" s="8" t="n">
        <x:f>IF(F2079&lt;=9,1,0)</x:f>
        <x:v>0</x:v>
      </x:c>
      <x:c r="I2079" s="9" t="n">
        <x:f>MIN(10,F2078+IF(AR2078&gt;0,MIN(1,AS2078/AR2078),1))</x:f>
        <x:v>10</x:v>
      </x:c>
      <x:c r="J2079" s="32" t="n">
        <x:f>INDEX(v01_FoodCap,G2079)*Arch_FoodCap*EXP(v01_CapsByProject*SUMPRODUCT((Cap_Point&lt;=I2079)*(Cap_Kind="Food")*Cap_Ln))</x:f>
        <x:v>12000</x:v>
      </x:c>
      <x:c r="K2079" s="32" t="n">
        <x:f>J2079*MIN(1,v01_LeanBase*EXP(v01_CapsByProject*SUMPRODUCT((Cap_Point&lt;=I2079)*(Cap_Kind="Lean")*Cap_Ln)))</x:f>
        <x:v>12000</x:v>
      </x:c>
      <x:c r="L2079" s="10" t="n">
        <x:f>INDEX(v01_HousingCap,G2079)*EXP(v01_CapsByProject*SUMPRODUCT((Cap_Point&lt;=I2079)*(Cap_Kind="Housing")*Cap_Ln))</x:f>
        <x:v>20000</x:v>
      </x:c>
      <x:c r="M2079" s="10" t="n">
        <x:f>INDEX(v01_GroupCap,G2079)*v01_CohesionFactor*EXP(v01_CapsByProject*SUMPRODUCT((Cap_Point&lt;=I2079)*(Cap_Kind="Group")*Cap_Ln))</x:f>
        <x:v>1000000</x:v>
      </x:c>
      <x:c r="N2079" s="32" t="n">
        <x:f>MIN(J2079,L2079,M2079)</x:f>
        <x:v>12000</x:v>
      </x:c>
      <x:c r="O2079" s="10" t="n">
        <x:f>AE2078*N2079</x:f>
        <x:v>180000</x:v>
      </x:c>
      <x:c r="P2079" s="9" t="n">
        <x:f>MIN(1,(AB2078/(AE2078*IF(v01_GroupInCrowding=1,N2079,MIN(J2079,L2079))))^v01_CrowdingExp)</x:f>
        <x:v>0.00024569414295285325</x:v>
      </x:c>
      <x:c r="Q2079" s="9" t="n">
        <x:f>IF(D2079=1,INDEX(v01_WinterMult,G2079),1)</x:f>
        <x:v>1</x:v>
      </x:c>
      <x:c r="R2079" s="9" t="n">
        <x:f>H2079*Z2078*v01_WomenShare*v01_BaseFertility*INDEX(v01_FertMult,G2079)*Arch_Fertility*(1-P2079)</x:f>
        <x:v>0</x:v>
      </x:c>
      <x:c r="S2079" s="9" t="n">
        <x:f>H2079*Y2078*INDEX(v01_MortChild,G2079)/4*Q2079</x:f>
        <x:v>0</x:v>
      </x:c>
      <x:c r="T2079" s="9" t="n">
        <x:f>H2079*Z2078*INDEX(v01_MortAdult,G2079)*Arch_AdultMort/4*Q2079</x:f>
        <x:v>0</x:v>
      </x:c>
      <x:c r="U2079" s="9" t="n">
        <x:f>H2079*AA2078*INDEX(v01_MortElder,G2079)/4*Q2079</x:f>
        <x:v>0</x:v>
      </x:c>
      <x:c r="V2079" s="9" t="n">
        <x:f>H2079*MAX(0,AB2078-O2079)*v01_OvercapLoss</x:f>
        <x:v>0</x:v>
      </x:c>
      <x:c r="W2079" s="9" t="n">
        <x:f>H2079*Y2078/(v01_ChildYears*4)</x:f>
        <x:v>0</x:v>
      </x:c>
      <x:c r="X2079" s="9" t="n">
        <x:f>H2079*Z2078/(v01_AdultYears*4)</x:f>
        <x:v>0</x:v>
      </x:c>
      <x:c r="Y2079" s="32" t="n">
        <x:f>Y2078+R2079-S2079-W2079-Y2078*V2079/AB2078</x:f>
        <x:v>14306.18539759397</x:v>
      </x:c>
      <x:c r="Z2079" s="32" t="n">
        <x:f>Z2078+W2079-X2079-T2079-Z2078*V2079/AB2078</x:f>
        <x:v>19354.456567879548</x:v>
      </x:c>
      <x:c r="AA2079" s="32" t="n">
        <x:f>AA2078+X2079-U2079-AA2078*V2079/AB2078</x:f>
        <x:v>11386.956063258198</x:v>
      </x:c>
      <x:c r="AB2079" s="10" t="n">
        <x:f>Y2079+Z2079+AA2079</x:f>
        <x:v>45047.59802873172</x:v>
      </x:c>
      <x:c r="AC2079" s="8" t="n">
        <x:f>IF(AND(v01_WinterTrigger=1,D2079=1,AB2078/AE2078&gt;=K2079),1,0)</x:f>
        <x:v>0</x:v>
      </x:c>
      <x:c r="AD2079" s="8" t="n">
        <x:f>H2079*IF(AND(OR(AB2078/AE2078&gt;=v01_FissionTrigger*N2079,AC2079=1),AB2078/AE2078*v01_DaughterShare&gt;=v01_MinDaughter),MAX(1,ROUND(AE2078*v01_FissionRate,0)),0)</x:f>
        <x:v>0</x:v>
      </x:c>
      <x:c r="AE2079" s="8" t="n">
        <x:f>IF(H2079=1,MAX(1,MIN(INDEX(v01_Smax,G2079),AE2078+AD2079)),AE2078)</x:f>
        <x:v>15</x:v>
      </x:c>
      <x:c r="AF2079" s="8" t="n">
        <x:f>MAX(0,AE2079-AE2078)</x:f>
        <x:v>0</x:v>
      </x:c>
      <x:c r="AG2079" s="9" t="str">
        <x:f>IF(AF2079&gt;0,B2079,"")</x:f>
      </x:c>
      <x:c r="AH2079" s="9" t="n">
        <x:f>IF(F2079&gt;=1,1,(1+v01_LowTiesShare*(AE2079-1))/AE2079)</x:f>
        <x:v>1</x:v>
      </x:c>
      <x:c r="AI2079" s="32" t="n">
        <x:f>(Z2079+v01_ElderCommons*INDEX(LM_Elder,G2079)*AA2079)*AH2079</x:f>
        <x:v>64139.732591141874</x:v>
      </x:c>
      <x:c r="AJ2079" s="32" t="n">
        <x:f>H2079*v01_CommonsCoef*AI2079^v01_CommonsExp*INDEX(LM_Commons,G2079)</x:f>
        <x:v>0</x:v>
      </x:c>
      <x:c r="AK2079" s="32" t="n">
        <x:f>H2079*v01_RoleScale*Arch_Roles*(AE2079*(INDEX(v01_ElderRolePerSett,G2079)*v01_OutElder*INDEX(LM_Elder,G2079)+INDEX(v01_ShamanPerSett,G2079)*v01_OutShaman)+Z2079*(INDEX(v01_PriestShare,G2079)*v01_OutPriest+INDEX(v01_ScribeShare,G2079)*v01_OutScribe*INDEX(LM_Scribe,G2079)+INDEX(v01_ScholarShare,G2079)*v01_OutScholar*INDEX(LM_Scholar,G2079)+INDEX(v01_ResearcherShare,G2079)*v01_OutResearcher*INDEX(LM_Researcher,G2079)))</x:f>
        <x:v>0</x:v>
      </x:c>
      <x:c r="AL2079" s="32" t="n">
        <x:f>H2079*v01_RoleScale*Arch_Roles*AE2079*INDEX(v01_MonasteryPerSett,G2079)*v01_OutMonastery*INDEX(LM_Monastery,G2079)</x:f>
        <x:v>0</x:v>
      </x:c>
      <x:c r="AM2079" s="32" t="n">
        <x:f>(AJ2079+AK2079+AL2079)/4*INDEX(LM_All,G2079)*INDEX(v01_Boon,G2079)*Arch_Insight</x:f>
        <x:v>0</x:v>
      </x:c>
      <x:c r="AN2079" s="32" t="n">
        <x:f>H2079*(v01_KHPerAdult*Z2079+v01_KHOfCommons*AJ2079/4*INDEX(LM_All,G2079))*v01_KHUsable*Arch_KH</x:f>
        <x:v>0</x:v>
      </x:c>
      <x:c r="AO2079" s="32" t="n">
        <x:f>MIN(AP2078+AN2079,AM2079*v01_KHMaxRatio)</x:f>
        <x:v>0</x:v>
      </x:c>
      <x:c r="AP2079" s="32" t="n">
        <x:f>AP2078+AN2079-AO2079</x:f>
        <x:v>0</x:v>
      </x:c>
      <x:c r="AQ2079" s="32" t="n">
        <x:f>AM2079+AO2079</x:f>
        <x:v>0</x:v>
      </x:c>
      <x:c r="AR2079" s="10" t="n">
        <x:f>IF(H2079=1,INDEX(v01_Req,G2079),0)</x:f>
        <x:v>0</x:v>
      </x:c>
      <x:c r="AS2079" s="32" t="n">
        <x:f>IF(H2079=1,IF(E2079=1,AS2078-AR2078,AS2078)+AQ2079,0)</x:f>
        <x:v>0</x:v>
      </x:c>
      <x:c r="AT2079" s="11" t="n">
        <x:f>IF(AR2079&gt;0,MIN(1,AS2079/AR2079),1)</x:f>
        <x:v>1</x:v>
      </x:c>
      <x:c r="AU2079" s="10" t="n">
        <x:f>AB2079/INDEX(v01_RepScale,G2079)</x:f>
        <x:v>90.09519605746344</x:v>
      </x:c>
      <x:c r="AV2079" s="32" t="n">
        <x:f>AM2079*60/v01_SeasonSeconds</x:f>
        <x:v>0</x:v>
      </x:c>
    </x:row>
    <x:row r="2080">
      <x:c r="A2080" s="8" t="n">
        <x:f>A2079+1</x:f>
        <x:v>2077</x:v>
      </x:c>
      <x:c r="B2080" s="9" t="n">
        <x:f>A2080*v01_SeasonSeconds/60</x:f>
        <x:v>519.25</x:v>
      </x:c>
      <x:c r="C2080" s="9" t="n">
        <x:f>A2080/4</x:f>
        <x:v>519.25</x:v>
      </x:c>
      <x:c r="D2080" s="8" t="n">
        <x:f>IF(MOD(A2080,4)=0,1,0)</x:f>
        <x:v>0</x:v>
      </x:c>
      <x:c r="E2080" s="8" t="n">
        <x:f>IF(AND(F2079&lt;=9,AS2079&gt;=AR2079),1,0)</x:f>
        <x:v>0</x:v>
      </x:c>
      <x:c r="F2080" s="8" t="n">
        <x:f>MIN(10,F2079+E2080)</x:f>
        <x:v>10</x:v>
      </x:c>
      <x:c r="G2080" s="8" t="n">
        <x:f>MIN(F2080,9)+1</x:f>
        <x:v>10</x:v>
      </x:c>
      <x:c r="H2080" s="8" t="n">
        <x:f>IF(F2080&lt;=9,1,0)</x:f>
        <x:v>0</x:v>
      </x:c>
      <x:c r="I2080" s="9" t="n">
        <x:f>MIN(10,F2079+IF(AR2079&gt;0,MIN(1,AS2079/AR2079),1))</x:f>
        <x:v>10</x:v>
      </x:c>
      <x:c r="J2080" s="32" t="n">
        <x:f>INDEX(v01_FoodCap,G2080)*Arch_FoodCap*EXP(v01_CapsByProject*SUMPRODUCT((Cap_Point&lt;=I2080)*(Cap_Kind="Food")*Cap_Ln))</x:f>
        <x:v>12000</x:v>
      </x:c>
      <x:c r="K2080" s="32" t="n">
        <x:f>J2080*MIN(1,v01_LeanBase*EXP(v01_CapsByProject*SUMPRODUCT((Cap_Point&lt;=I2080)*(Cap_Kind="Lean")*Cap_Ln)))</x:f>
        <x:v>12000</x:v>
      </x:c>
      <x:c r="L2080" s="10" t="n">
        <x:f>INDEX(v01_HousingCap,G2080)*EXP(v01_CapsByProject*SUMPRODUCT((Cap_Point&lt;=I2080)*(Cap_Kind="Housing")*Cap_Ln))</x:f>
        <x:v>20000</x:v>
      </x:c>
      <x:c r="M2080" s="10" t="n">
        <x:f>INDEX(v01_GroupCap,G2080)*v01_CohesionFactor*EXP(v01_CapsByProject*SUMPRODUCT((Cap_Point&lt;=I2080)*(Cap_Kind="Group")*Cap_Ln))</x:f>
        <x:v>1000000</x:v>
      </x:c>
      <x:c r="N2080" s="32" t="n">
        <x:f>MIN(J2080,L2080,M2080)</x:f>
        <x:v>12000</x:v>
      </x:c>
      <x:c r="O2080" s="10" t="n">
        <x:f>AE2079*N2080</x:f>
        <x:v>180000</x:v>
      </x:c>
      <x:c r="P2080" s="9" t="n">
        <x:f>MIN(1,(AB2079/(AE2079*IF(v01_GroupInCrowding=1,N2080,MIN(J2080,L2080))))^v01_CrowdingExp)</x:f>
        <x:v>0.00024569414295285325</x:v>
      </x:c>
      <x:c r="Q2080" s="9" t="n">
        <x:f>IF(D2080=1,INDEX(v01_WinterMult,G2080),1)</x:f>
        <x:v>1</x:v>
      </x:c>
      <x:c r="R2080" s="9" t="n">
        <x:f>H2080*Z2079*v01_WomenShare*v01_BaseFertility*INDEX(v01_FertMult,G2080)*Arch_Fertility*(1-P2080)</x:f>
        <x:v>0</x:v>
      </x:c>
      <x:c r="S2080" s="9" t="n">
        <x:f>H2080*Y2079*INDEX(v01_MortChild,G2080)/4*Q2080</x:f>
        <x:v>0</x:v>
      </x:c>
      <x:c r="T2080" s="9" t="n">
        <x:f>H2080*Z2079*INDEX(v01_MortAdult,G2080)*Arch_AdultMort/4*Q2080</x:f>
        <x:v>0</x:v>
      </x:c>
      <x:c r="U2080" s="9" t="n">
        <x:f>H2080*AA2079*INDEX(v01_MortElder,G2080)/4*Q2080</x:f>
        <x:v>0</x:v>
      </x:c>
      <x:c r="V2080" s="9" t="n">
        <x:f>H2080*MAX(0,AB2079-O2080)*v01_OvercapLoss</x:f>
        <x:v>0</x:v>
      </x:c>
      <x:c r="W2080" s="9" t="n">
        <x:f>H2080*Y2079/(v01_ChildYears*4)</x:f>
        <x:v>0</x:v>
      </x:c>
      <x:c r="X2080" s="9" t="n">
        <x:f>H2080*Z2079/(v01_AdultYears*4)</x:f>
        <x:v>0</x:v>
      </x:c>
      <x:c r="Y2080" s="32" t="n">
        <x:f>Y2079+R2080-S2080-W2080-Y2079*V2080/AB2079</x:f>
        <x:v>14306.18539759397</x:v>
      </x:c>
      <x:c r="Z2080" s="32" t="n">
        <x:f>Z2079+W2080-X2080-T2080-Z2079*V2080/AB2079</x:f>
        <x:v>19354.456567879548</x:v>
      </x:c>
      <x:c r="AA2080" s="32" t="n">
        <x:f>AA2079+X2080-U2080-AA2079*V2080/AB2079</x:f>
        <x:v>11386.956063258198</x:v>
      </x:c>
      <x:c r="AB2080" s="10" t="n">
        <x:f>Y2080+Z2080+AA2080</x:f>
        <x:v>45047.59802873172</x:v>
      </x:c>
      <x:c r="AC2080" s="8" t="n">
        <x:f>IF(AND(v01_WinterTrigger=1,D2080=1,AB2079/AE2079&gt;=K2080),1,0)</x:f>
        <x:v>0</x:v>
      </x:c>
      <x:c r="AD2080" s="8" t="n">
        <x:f>H2080*IF(AND(OR(AB2079/AE2079&gt;=v01_FissionTrigger*N2080,AC2080=1),AB2079/AE2079*v01_DaughterShare&gt;=v01_MinDaughter),MAX(1,ROUND(AE2079*v01_FissionRate,0)),0)</x:f>
        <x:v>0</x:v>
      </x:c>
      <x:c r="AE2080" s="8" t="n">
        <x:f>IF(H2080=1,MAX(1,MIN(INDEX(v01_Smax,G2080),AE2079+AD2080)),AE2079)</x:f>
        <x:v>15</x:v>
      </x:c>
      <x:c r="AF2080" s="8" t="n">
        <x:f>MAX(0,AE2080-AE2079)</x:f>
        <x:v>0</x:v>
      </x:c>
      <x:c r="AG2080" s="9" t="str">
        <x:f>IF(AF2080&gt;0,B2080,"")</x:f>
      </x:c>
      <x:c r="AH2080" s="9" t="n">
        <x:f>IF(F2080&gt;=1,1,(1+v01_LowTiesShare*(AE2080-1))/AE2080)</x:f>
        <x:v>1</x:v>
      </x:c>
      <x:c r="AI2080" s="32" t="n">
        <x:f>(Z2080+v01_ElderCommons*INDEX(LM_Elder,G2080)*AA2080)*AH2080</x:f>
        <x:v>64139.732591141874</x:v>
      </x:c>
      <x:c r="AJ2080" s="32" t="n">
        <x:f>H2080*v01_CommonsCoef*AI2080^v01_CommonsExp*INDEX(LM_Commons,G2080)</x:f>
        <x:v>0</x:v>
      </x:c>
      <x:c r="AK2080" s="32" t="n">
        <x:f>H2080*v01_RoleScale*Arch_Roles*(AE2080*(INDEX(v01_ElderRolePerSett,G2080)*v01_OutElder*INDEX(LM_Elder,G2080)+INDEX(v01_ShamanPerSett,G2080)*v01_OutShaman)+Z2080*(INDEX(v01_PriestShare,G2080)*v01_OutPriest+INDEX(v01_ScribeShare,G2080)*v01_OutScribe*INDEX(LM_Scribe,G2080)+INDEX(v01_ScholarShare,G2080)*v01_OutScholar*INDEX(LM_Scholar,G2080)+INDEX(v01_ResearcherShare,G2080)*v01_OutResearcher*INDEX(LM_Researcher,G2080)))</x:f>
        <x:v>0</x:v>
      </x:c>
      <x:c r="AL2080" s="32" t="n">
        <x:f>H2080*v01_RoleScale*Arch_Roles*AE2080*INDEX(v01_MonasteryPerSett,G2080)*v01_OutMonastery*INDEX(LM_Monastery,G2080)</x:f>
        <x:v>0</x:v>
      </x:c>
      <x:c r="AM2080" s="32" t="n">
        <x:f>(AJ2080+AK2080+AL2080)/4*INDEX(LM_All,G2080)*INDEX(v01_Boon,G2080)*Arch_Insight</x:f>
        <x:v>0</x:v>
      </x:c>
      <x:c r="AN2080" s="32" t="n">
        <x:f>H2080*(v01_KHPerAdult*Z2080+v01_KHOfCommons*AJ2080/4*INDEX(LM_All,G2080))*v01_KHUsable*Arch_KH</x:f>
        <x:v>0</x:v>
      </x:c>
      <x:c r="AO2080" s="32" t="n">
        <x:f>MIN(AP2079+AN2080,AM2080*v01_KHMaxRatio)</x:f>
        <x:v>0</x:v>
      </x:c>
      <x:c r="AP2080" s="32" t="n">
        <x:f>AP2079+AN2080-AO2080</x:f>
        <x:v>0</x:v>
      </x:c>
      <x:c r="AQ2080" s="32" t="n">
        <x:f>AM2080+AO2080</x:f>
        <x:v>0</x:v>
      </x:c>
      <x:c r="AR2080" s="10" t="n">
        <x:f>IF(H2080=1,INDEX(v01_Req,G2080),0)</x:f>
        <x:v>0</x:v>
      </x:c>
      <x:c r="AS2080" s="32" t="n">
        <x:f>IF(H2080=1,IF(E2080=1,AS2079-AR2079,AS2079)+AQ2080,0)</x:f>
        <x:v>0</x:v>
      </x:c>
      <x:c r="AT2080" s="11" t="n">
        <x:f>IF(AR2080&gt;0,MIN(1,AS2080/AR2080),1)</x:f>
        <x:v>1</x:v>
      </x:c>
      <x:c r="AU2080" s="10" t="n">
        <x:f>AB2080/INDEX(v01_RepScale,G2080)</x:f>
        <x:v>90.09519605746344</x:v>
      </x:c>
      <x:c r="AV2080" s="32" t="n">
        <x:f>AM2080*60/v01_SeasonSeconds</x:f>
        <x:v>0</x:v>
      </x:c>
    </x:row>
    <x:row r="2081">
      <x:c r="A2081" s="8" t="n">
        <x:f>A2080+1</x:f>
        <x:v>2078</x:v>
      </x:c>
      <x:c r="B2081" s="9" t="n">
        <x:f>A2081*v01_SeasonSeconds/60</x:f>
        <x:v>519.5</x:v>
      </x:c>
      <x:c r="C2081" s="9" t="n">
        <x:f>A2081/4</x:f>
        <x:v>519.5</x:v>
      </x:c>
      <x:c r="D2081" s="8" t="n">
        <x:f>IF(MOD(A2081,4)=0,1,0)</x:f>
        <x:v>0</x:v>
      </x:c>
      <x:c r="E2081" s="8" t="n">
        <x:f>IF(AND(F2080&lt;=9,AS2080&gt;=AR2080),1,0)</x:f>
        <x:v>0</x:v>
      </x:c>
      <x:c r="F2081" s="8" t="n">
        <x:f>MIN(10,F2080+E2081)</x:f>
        <x:v>10</x:v>
      </x:c>
      <x:c r="G2081" s="8" t="n">
        <x:f>MIN(F2081,9)+1</x:f>
        <x:v>10</x:v>
      </x:c>
      <x:c r="H2081" s="8" t="n">
        <x:f>IF(F2081&lt;=9,1,0)</x:f>
        <x:v>0</x:v>
      </x:c>
      <x:c r="I2081" s="9" t="n">
        <x:f>MIN(10,F2080+IF(AR2080&gt;0,MIN(1,AS2080/AR2080),1))</x:f>
        <x:v>10</x:v>
      </x:c>
      <x:c r="J2081" s="32" t="n">
        <x:f>INDEX(v01_FoodCap,G2081)*Arch_FoodCap*EXP(v01_CapsByProject*SUMPRODUCT((Cap_Point&lt;=I2081)*(Cap_Kind="Food")*Cap_Ln))</x:f>
        <x:v>12000</x:v>
      </x:c>
      <x:c r="K2081" s="32" t="n">
        <x:f>J2081*MIN(1,v01_LeanBase*EXP(v01_CapsByProject*SUMPRODUCT((Cap_Point&lt;=I2081)*(Cap_Kind="Lean")*Cap_Ln)))</x:f>
        <x:v>12000</x:v>
      </x:c>
      <x:c r="L2081" s="10" t="n">
        <x:f>INDEX(v01_HousingCap,G2081)*EXP(v01_CapsByProject*SUMPRODUCT((Cap_Point&lt;=I2081)*(Cap_Kind="Housing")*Cap_Ln))</x:f>
        <x:v>20000</x:v>
      </x:c>
      <x:c r="M2081" s="10" t="n">
        <x:f>INDEX(v01_GroupCap,G2081)*v01_CohesionFactor*EXP(v01_CapsByProject*SUMPRODUCT((Cap_Point&lt;=I2081)*(Cap_Kind="Group")*Cap_Ln))</x:f>
        <x:v>1000000</x:v>
      </x:c>
      <x:c r="N2081" s="32" t="n">
        <x:f>MIN(J2081,L2081,M2081)</x:f>
        <x:v>12000</x:v>
      </x:c>
      <x:c r="O2081" s="10" t="n">
        <x:f>AE2080*N2081</x:f>
        <x:v>180000</x:v>
      </x:c>
      <x:c r="P2081" s="9" t="n">
        <x:f>MIN(1,(AB2080/(AE2080*IF(v01_GroupInCrowding=1,N2081,MIN(J2081,L2081))))^v01_CrowdingExp)</x:f>
        <x:v>0.00024569414295285325</x:v>
      </x:c>
      <x:c r="Q2081" s="9" t="n">
        <x:f>IF(D2081=1,INDEX(v01_WinterMult,G2081),1)</x:f>
        <x:v>1</x:v>
      </x:c>
      <x:c r="R2081" s="9" t="n">
        <x:f>H2081*Z2080*v01_WomenShare*v01_BaseFertility*INDEX(v01_FertMult,G2081)*Arch_Fertility*(1-P2081)</x:f>
        <x:v>0</x:v>
      </x:c>
      <x:c r="S2081" s="9" t="n">
        <x:f>H2081*Y2080*INDEX(v01_MortChild,G2081)/4*Q2081</x:f>
        <x:v>0</x:v>
      </x:c>
      <x:c r="T2081" s="9" t="n">
        <x:f>H2081*Z2080*INDEX(v01_MortAdult,G2081)*Arch_AdultMort/4*Q2081</x:f>
        <x:v>0</x:v>
      </x:c>
      <x:c r="U2081" s="9" t="n">
        <x:f>H2081*AA2080*INDEX(v01_MortElder,G2081)/4*Q2081</x:f>
        <x:v>0</x:v>
      </x:c>
      <x:c r="V2081" s="9" t="n">
        <x:f>H2081*MAX(0,AB2080-O2081)*v01_OvercapLoss</x:f>
        <x:v>0</x:v>
      </x:c>
      <x:c r="W2081" s="9" t="n">
        <x:f>H2081*Y2080/(v01_ChildYears*4)</x:f>
        <x:v>0</x:v>
      </x:c>
      <x:c r="X2081" s="9" t="n">
        <x:f>H2081*Z2080/(v01_AdultYears*4)</x:f>
        <x:v>0</x:v>
      </x:c>
      <x:c r="Y2081" s="32" t="n">
        <x:f>Y2080+R2081-S2081-W2081-Y2080*V2081/AB2080</x:f>
        <x:v>14306.18539759397</x:v>
      </x:c>
      <x:c r="Z2081" s="32" t="n">
        <x:f>Z2080+W2081-X2081-T2081-Z2080*V2081/AB2080</x:f>
        <x:v>19354.456567879548</x:v>
      </x:c>
      <x:c r="AA2081" s="32" t="n">
        <x:f>AA2080+X2081-U2081-AA2080*V2081/AB2080</x:f>
        <x:v>11386.956063258198</x:v>
      </x:c>
      <x:c r="AB2081" s="10" t="n">
        <x:f>Y2081+Z2081+AA2081</x:f>
        <x:v>45047.59802873172</x:v>
      </x:c>
      <x:c r="AC2081" s="8" t="n">
        <x:f>IF(AND(v01_WinterTrigger=1,D2081=1,AB2080/AE2080&gt;=K2081),1,0)</x:f>
        <x:v>0</x:v>
      </x:c>
      <x:c r="AD2081" s="8" t="n">
        <x:f>H2081*IF(AND(OR(AB2080/AE2080&gt;=v01_FissionTrigger*N2081,AC2081=1),AB2080/AE2080*v01_DaughterShare&gt;=v01_MinDaughter),MAX(1,ROUND(AE2080*v01_FissionRate,0)),0)</x:f>
        <x:v>0</x:v>
      </x:c>
      <x:c r="AE2081" s="8" t="n">
        <x:f>IF(H2081=1,MAX(1,MIN(INDEX(v01_Smax,G2081),AE2080+AD2081)),AE2080)</x:f>
        <x:v>15</x:v>
      </x:c>
      <x:c r="AF2081" s="8" t="n">
        <x:f>MAX(0,AE2081-AE2080)</x:f>
        <x:v>0</x:v>
      </x:c>
      <x:c r="AG2081" s="9" t="str">
        <x:f>IF(AF2081&gt;0,B2081,"")</x:f>
      </x:c>
      <x:c r="AH2081" s="9" t="n">
        <x:f>IF(F2081&gt;=1,1,(1+v01_LowTiesShare*(AE2081-1))/AE2081)</x:f>
        <x:v>1</x:v>
      </x:c>
      <x:c r="AI2081" s="32" t="n">
        <x:f>(Z2081+v01_ElderCommons*INDEX(LM_Elder,G2081)*AA2081)*AH2081</x:f>
        <x:v>64139.732591141874</x:v>
      </x:c>
      <x:c r="AJ2081" s="32" t="n">
        <x:f>H2081*v01_CommonsCoef*AI2081^v01_CommonsExp*INDEX(LM_Commons,G2081)</x:f>
        <x:v>0</x:v>
      </x:c>
      <x:c r="AK2081" s="32" t="n">
        <x:f>H2081*v01_RoleScale*Arch_Roles*(AE2081*(INDEX(v01_ElderRolePerSett,G2081)*v01_OutElder*INDEX(LM_Elder,G2081)+INDEX(v01_ShamanPerSett,G2081)*v01_OutShaman)+Z2081*(INDEX(v01_PriestShare,G2081)*v01_OutPriest+INDEX(v01_ScribeShare,G2081)*v01_OutScribe*INDEX(LM_Scribe,G2081)+INDEX(v01_ScholarShare,G2081)*v01_OutScholar*INDEX(LM_Scholar,G2081)+INDEX(v01_ResearcherShare,G2081)*v01_OutResearcher*INDEX(LM_Researcher,G2081)))</x:f>
        <x:v>0</x:v>
      </x:c>
      <x:c r="AL2081" s="32" t="n">
        <x:f>H2081*v01_RoleScale*Arch_Roles*AE2081*INDEX(v01_MonasteryPerSett,G2081)*v01_OutMonastery*INDEX(LM_Monastery,G2081)</x:f>
        <x:v>0</x:v>
      </x:c>
      <x:c r="AM2081" s="32" t="n">
        <x:f>(AJ2081+AK2081+AL2081)/4*INDEX(LM_All,G2081)*INDEX(v01_Boon,G2081)*Arch_Insight</x:f>
        <x:v>0</x:v>
      </x:c>
      <x:c r="AN2081" s="32" t="n">
        <x:f>H2081*(v01_KHPerAdult*Z2081+v01_KHOfCommons*AJ2081/4*INDEX(LM_All,G2081))*v01_KHUsable*Arch_KH</x:f>
        <x:v>0</x:v>
      </x:c>
      <x:c r="AO2081" s="32" t="n">
        <x:f>MIN(AP2080+AN2081,AM2081*v01_KHMaxRatio)</x:f>
        <x:v>0</x:v>
      </x:c>
      <x:c r="AP2081" s="32" t="n">
        <x:f>AP2080+AN2081-AO2081</x:f>
        <x:v>0</x:v>
      </x:c>
      <x:c r="AQ2081" s="32" t="n">
        <x:f>AM2081+AO2081</x:f>
        <x:v>0</x:v>
      </x:c>
      <x:c r="AR2081" s="10" t="n">
        <x:f>IF(H2081=1,INDEX(v01_Req,G2081),0)</x:f>
        <x:v>0</x:v>
      </x:c>
      <x:c r="AS2081" s="32" t="n">
        <x:f>IF(H2081=1,IF(E2081=1,AS2080-AR2080,AS2080)+AQ2081,0)</x:f>
        <x:v>0</x:v>
      </x:c>
      <x:c r="AT2081" s="11" t="n">
        <x:f>IF(AR2081&gt;0,MIN(1,AS2081/AR2081),1)</x:f>
        <x:v>1</x:v>
      </x:c>
      <x:c r="AU2081" s="10" t="n">
        <x:f>AB2081/INDEX(v01_RepScale,G2081)</x:f>
        <x:v>90.09519605746344</x:v>
      </x:c>
      <x:c r="AV2081" s="32" t="n">
        <x:f>AM2081*60/v01_SeasonSeconds</x:f>
        <x:v>0</x:v>
      </x:c>
    </x:row>
    <x:row r="2082">
      <x:c r="A2082" s="8" t="n">
        <x:f>A2081+1</x:f>
        <x:v>2079</x:v>
      </x:c>
      <x:c r="B2082" s="9" t="n">
        <x:f>A2082*v01_SeasonSeconds/60</x:f>
        <x:v>519.75</x:v>
      </x:c>
      <x:c r="C2082" s="9" t="n">
        <x:f>A2082/4</x:f>
        <x:v>519.75</x:v>
      </x:c>
      <x:c r="D2082" s="8" t="n">
        <x:f>IF(MOD(A2082,4)=0,1,0)</x:f>
        <x:v>0</x:v>
      </x:c>
      <x:c r="E2082" s="8" t="n">
        <x:f>IF(AND(F2081&lt;=9,AS2081&gt;=AR2081),1,0)</x:f>
        <x:v>0</x:v>
      </x:c>
      <x:c r="F2082" s="8" t="n">
        <x:f>MIN(10,F2081+E2082)</x:f>
        <x:v>10</x:v>
      </x:c>
      <x:c r="G2082" s="8" t="n">
        <x:f>MIN(F2082,9)+1</x:f>
        <x:v>10</x:v>
      </x:c>
      <x:c r="H2082" s="8" t="n">
        <x:f>IF(F2082&lt;=9,1,0)</x:f>
        <x:v>0</x:v>
      </x:c>
      <x:c r="I2082" s="9" t="n">
        <x:f>MIN(10,F2081+IF(AR2081&gt;0,MIN(1,AS2081/AR2081),1))</x:f>
        <x:v>10</x:v>
      </x:c>
      <x:c r="J2082" s="32" t="n">
        <x:f>INDEX(v01_FoodCap,G2082)*Arch_FoodCap*EXP(v01_CapsByProject*SUMPRODUCT((Cap_Point&lt;=I2082)*(Cap_Kind="Food")*Cap_Ln))</x:f>
        <x:v>12000</x:v>
      </x:c>
      <x:c r="K2082" s="32" t="n">
        <x:f>J2082*MIN(1,v01_LeanBase*EXP(v01_CapsByProject*SUMPRODUCT((Cap_Point&lt;=I2082)*(Cap_Kind="Lean")*Cap_Ln)))</x:f>
        <x:v>12000</x:v>
      </x:c>
      <x:c r="L2082" s="10" t="n">
        <x:f>INDEX(v01_HousingCap,G2082)*EXP(v01_CapsByProject*SUMPRODUCT((Cap_Point&lt;=I2082)*(Cap_Kind="Housing")*Cap_Ln))</x:f>
        <x:v>20000</x:v>
      </x:c>
      <x:c r="M2082" s="10" t="n">
        <x:f>INDEX(v01_GroupCap,G2082)*v01_CohesionFactor*EXP(v01_CapsByProject*SUMPRODUCT((Cap_Point&lt;=I2082)*(Cap_Kind="Group")*Cap_Ln))</x:f>
        <x:v>1000000</x:v>
      </x:c>
      <x:c r="N2082" s="32" t="n">
        <x:f>MIN(J2082,L2082,M2082)</x:f>
        <x:v>12000</x:v>
      </x:c>
      <x:c r="O2082" s="10" t="n">
        <x:f>AE2081*N2082</x:f>
        <x:v>180000</x:v>
      </x:c>
      <x:c r="P2082" s="9" t="n">
        <x:f>MIN(1,(AB2081/(AE2081*IF(v01_GroupInCrowding=1,N2082,MIN(J2082,L2082))))^v01_CrowdingExp)</x:f>
        <x:v>0.00024569414295285325</x:v>
      </x:c>
      <x:c r="Q2082" s="9" t="n">
        <x:f>IF(D2082=1,INDEX(v01_WinterMult,G2082),1)</x:f>
        <x:v>1</x:v>
      </x:c>
      <x:c r="R2082" s="9" t="n">
        <x:f>H2082*Z2081*v01_WomenShare*v01_BaseFertility*INDEX(v01_FertMult,G2082)*Arch_Fertility*(1-P2082)</x:f>
        <x:v>0</x:v>
      </x:c>
      <x:c r="S2082" s="9" t="n">
        <x:f>H2082*Y2081*INDEX(v01_MortChild,G2082)/4*Q2082</x:f>
        <x:v>0</x:v>
      </x:c>
      <x:c r="T2082" s="9" t="n">
        <x:f>H2082*Z2081*INDEX(v01_MortAdult,G2082)*Arch_AdultMort/4*Q2082</x:f>
        <x:v>0</x:v>
      </x:c>
      <x:c r="U2082" s="9" t="n">
        <x:f>H2082*AA2081*INDEX(v01_MortElder,G2082)/4*Q2082</x:f>
        <x:v>0</x:v>
      </x:c>
      <x:c r="V2082" s="9" t="n">
        <x:f>H2082*MAX(0,AB2081-O2082)*v01_OvercapLoss</x:f>
        <x:v>0</x:v>
      </x:c>
      <x:c r="W2082" s="9" t="n">
        <x:f>H2082*Y2081/(v01_ChildYears*4)</x:f>
        <x:v>0</x:v>
      </x:c>
      <x:c r="X2082" s="9" t="n">
        <x:f>H2082*Z2081/(v01_AdultYears*4)</x:f>
        <x:v>0</x:v>
      </x:c>
      <x:c r="Y2082" s="32" t="n">
        <x:f>Y2081+R2082-S2082-W2082-Y2081*V2082/AB2081</x:f>
        <x:v>14306.18539759397</x:v>
      </x:c>
      <x:c r="Z2082" s="32" t="n">
        <x:f>Z2081+W2082-X2082-T2082-Z2081*V2082/AB2081</x:f>
        <x:v>19354.456567879548</x:v>
      </x:c>
      <x:c r="AA2082" s="32" t="n">
        <x:f>AA2081+X2082-U2082-AA2081*V2082/AB2081</x:f>
        <x:v>11386.956063258198</x:v>
      </x:c>
      <x:c r="AB2082" s="10" t="n">
        <x:f>Y2082+Z2082+AA2082</x:f>
        <x:v>45047.59802873172</x:v>
      </x:c>
      <x:c r="AC2082" s="8" t="n">
        <x:f>IF(AND(v01_WinterTrigger=1,D2082=1,AB2081/AE2081&gt;=K2082),1,0)</x:f>
        <x:v>0</x:v>
      </x:c>
      <x:c r="AD2082" s="8" t="n">
        <x:f>H2082*IF(AND(OR(AB2081/AE2081&gt;=v01_FissionTrigger*N2082,AC2082=1),AB2081/AE2081*v01_DaughterShare&gt;=v01_MinDaughter),MAX(1,ROUND(AE2081*v01_FissionRate,0)),0)</x:f>
        <x:v>0</x:v>
      </x:c>
      <x:c r="AE2082" s="8" t="n">
        <x:f>IF(H2082=1,MAX(1,MIN(INDEX(v01_Smax,G2082),AE2081+AD2082)),AE2081)</x:f>
        <x:v>15</x:v>
      </x:c>
      <x:c r="AF2082" s="8" t="n">
        <x:f>MAX(0,AE2082-AE2081)</x:f>
        <x:v>0</x:v>
      </x:c>
      <x:c r="AG2082" s="9" t="str">
        <x:f>IF(AF2082&gt;0,B2082,"")</x:f>
      </x:c>
      <x:c r="AH2082" s="9" t="n">
        <x:f>IF(F2082&gt;=1,1,(1+v01_LowTiesShare*(AE2082-1))/AE2082)</x:f>
        <x:v>1</x:v>
      </x:c>
      <x:c r="AI2082" s="32" t="n">
        <x:f>(Z2082+v01_ElderCommons*INDEX(LM_Elder,G2082)*AA2082)*AH2082</x:f>
        <x:v>64139.732591141874</x:v>
      </x:c>
      <x:c r="AJ2082" s="32" t="n">
        <x:f>H2082*v01_CommonsCoef*AI2082^v01_CommonsExp*INDEX(LM_Commons,G2082)</x:f>
        <x:v>0</x:v>
      </x:c>
      <x:c r="AK2082" s="32" t="n">
        <x:f>H2082*v01_RoleScale*Arch_Roles*(AE2082*(INDEX(v01_ElderRolePerSett,G2082)*v01_OutElder*INDEX(LM_Elder,G2082)+INDEX(v01_ShamanPerSett,G2082)*v01_OutShaman)+Z2082*(INDEX(v01_PriestShare,G2082)*v01_OutPriest+INDEX(v01_ScribeShare,G2082)*v01_OutScribe*INDEX(LM_Scribe,G2082)+INDEX(v01_ScholarShare,G2082)*v01_OutScholar*INDEX(LM_Scholar,G2082)+INDEX(v01_ResearcherShare,G2082)*v01_OutResearcher*INDEX(LM_Researcher,G2082)))</x:f>
        <x:v>0</x:v>
      </x:c>
      <x:c r="AL2082" s="32" t="n">
        <x:f>H2082*v01_RoleScale*Arch_Roles*AE2082*INDEX(v01_MonasteryPerSett,G2082)*v01_OutMonastery*INDEX(LM_Monastery,G2082)</x:f>
        <x:v>0</x:v>
      </x:c>
      <x:c r="AM2082" s="32" t="n">
        <x:f>(AJ2082+AK2082+AL2082)/4*INDEX(LM_All,G2082)*INDEX(v01_Boon,G2082)*Arch_Insight</x:f>
        <x:v>0</x:v>
      </x:c>
      <x:c r="AN2082" s="32" t="n">
        <x:f>H2082*(v01_KHPerAdult*Z2082+v01_KHOfCommons*AJ2082/4*INDEX(LM_All,G2082))*v01_KHUsable*Arch_KH</x:f>
        <x:v>0</x:v>
      </x:c>
      <x:c r="AO2082" s="32" t="n">
        <x:f>MIN(AP2081+AN2082,AM2082*v01_KHMaxRatio)</x:f>
        <x:v>0</x:v>
      </x:c>
      <x:c r="AP2082" s="32" t="n">
        <x:f>AP2081+AN2082-AO2082</x:f>
        <x:v>0</x:v>
      </x:c>
      <x:c r="AQ2082" s="32" t="n">
        <x:f>AM2082+AO2082</x:f>
        <x:v>0</x:v>
      </x:c>
      <x:c r="AR2082" s="10" t="n">
        <x:f>IF(H2082=1,INDEX(v01_Req,G2082),0)</x:f>
        <x:v>0</x:v>
      </x:c>
      <x:c r="AS2082" s="32" t="n">
        <x:f>IF(H2082=1,IF(E2082=1,AS2081-AR2081,AS2081)+AQ2082,0)</x:f>
        <x:v>0</x:v>
      </x:c>
      <x:c r="AT2082" s="11" t="n">
        <x:f>IF(AR2082&gt;0,MIN(1,AS2082/AR2082),1)</x:f>
        <x:v>1</x:v>
      </x:c>
      <x:c r="AU2082" s="10" t="n">
        <x:f>AB2082/INDEX(v01_RepScale,G2082)</x:f>
        <x:v>90.09519605746344</x:v>
      </x:c>
      <x:c r="AV2082" s="32" t="n">
        <x:f>AM2082*60/v01_SeasonSeconds</x:f>
        <x:v>0</x:v>
      </x:c>
    </x:row>
    <x:row r="2083">
      <x:c r="A2083" s="8" t="n">
        <x:f>A2082+1</x:f>
        <x:v>2080</x:v>
      </x:c>
      <x:c r="B2083" s="9" t="n">
        <x:f>A2083*v01_SeasonSeconds/60</x:f>
        <x:v>520</x:v>
      </x:c>
      <x:c r="C2083" s="9" t="n">
        <x:f>A2083/4</x:f>
        <x:v>520</x:v>
      </x:c>
      <x:c r="D2083" s="8" t="n">
        <x:f>IF(MOD(A2083,4)=0,1,0)</x:f>
        <x:v>1</x:v>
      </x:c>
      <x:c r="E2083" s="8" t="n">
        <x:f>IF(AND(F2082&lt;=9,AS2082&gt;=AR2082),1,0)</x:f>
        <x:v>0</x:v>
      </x:c>
      <x:c r="F2083" s="8" t="n">
        <x:f>MIN(10,F2082+E2083)</x:f>
        <x:v>10</x:v>
      </x:c>
      <x:c r="G2083" s="8" t="n">
        <x:f>MIN(F2083,9)+1</x:f>
        <x:v>10</x:v>
      </x:c>
      <x:c r="H2083" s="8" t="n">
        <x:f>IF(F2083&lt;=9,1,0)</x:f>
        <x:v>0</x:v>
      </x:c>
      <x:c r="I2083" s="9" t="n">
        <x:f>MIN(10,F2082+IF(AR2082&gt;0,MIN(1,AS2082/AR2082),1))</x:f>
        <x:v>10</x:v>
      </x:c>
      <x:c r="J2083" s="32" t="n">
        <x:f>INDEX(v01_FoodCap,G2083)*Arch_FoodCap*EXP(v01_CapsByProject*SUMPRODUCT((Cap_Point&lt;=I2083)*(Cap_Kind="Food")*Cap_Ln))</x:f>
        <x:v>12000</x:v>
      </x:c>
      <x:c r="K2083" s="32" t="n">
        <x:f>J2083*MIN(1,v01_LeanBase*EXP(v01_CapsByProject*SUMPRODUCT((Cap_Point&lt;=I2083)*(Cap_Kind="Lean")*Cap_Ln)))</x:f>
        <x:v>12000</x:v>
      </x:c>
      <x:c r="L2083" s="10" t="n">
        <x:f>INDEX(v01_HousingCap,G2083)*EXP(v01_CapsByProject*SUMPRODUCT((Cap_Point&lt;=I2083)*(Cap_Kind="Housing")*Cap_Ln))</x:f>
        <x:v>20000</x:v>
      </x:c>
      <x:c r="M2083" s="10" t="n">
        <x:f>INDEX(v01_GroupCap,G2083)*v01_CohesionFactor*EXP(v01_CapsByProject*SUMPRODUCT((Cap_Point&lt;=I2083)*(Cap_Kind="Group")*Cap_Ln))</x:f>
        <x:v>1000000</x:v>
      </x:c>
      <x:c r="N2083" s="32" t="n">
        <x:f>MIN(J2083,L2083,M2083)</x:f>
        <x:v>12000</x:v>
      </x:c>
      <x:c r="O2083" s="10" t="n">
        <x:f>AE2082*N2083</x:f>
        <x:v>180000</x:v>
      </x:c>
      <x:c r="P2083" s="9" t="n">
        <x:f>MIN(1,(AB2082/(AE2082*IF(v01_GroupInCrowding=1,N2083,MIN(J2083,L2083))))^v01_CrowdingExp)</x:f>
        <x:v>0.00024569414295285325</x:v>
      </x:c>
      <x:c r="Q2083" s="9" t="n">
        <x:f>IF(D2083=1,INDEX(v01_WinterMult,G2083),1)</x:f>
        <x:v>1</x:v>
      </x:c>
      <x:c r="R2083" s="9" t="n">
        <x:f>H2083*Z2082*v01_WomenShare*v01_BaseFertility*INDEX(v01_FertMult,G2083)*Arch_Fertility*(1-P2083)</x:f>
        <x:v>0</x:v>
      </x:c>
      <x:c r="S2083" s="9" t="n">
        <x:f>H2083*Y2082*INDEX(v01_MortChild,G2083)/4*Q2083</x:f>
        <x:v>0</x:v>
      </x:c>
      <x:c r="T2083" s="9" t="n">
        <x:f>H2083*Z2082*INDEX(v01_MortAdult,G2083)*Arch_AdultMort/4*Q2083</x:f>
        <x:v>0</x:v>
      </x:c>
      <x:c r="U2083" s="9" t="n">
        <x:f>H2083*AA2082*INDEX(v01_MortElder,G2083)/4*Q2083</x:f>
        <x:v>0</x:v>
      </x:c>
      <x:c r="V2083" s="9" t="n">
        <x:f>H2083*MAX(0,AB2082-O2083)*v01_OvercapLoss</x:f>
        <x:v>0</x:v>
      </x:c>
      <x:c r="W2083" s="9" t="n">
        <x:f>H2083*Y2082/(v01_ChildYears*4)</x:f>
        <x:v>0</x:v>
      </x:c>
      <x:c r="X2083" s="9" t="n">
        <x:f>H2083*Z2082/(v01_AdultYears*4)</x:f>
        <x:v>0</x:v>
      </x:c>
      <x:c r="Y2083" s="32" t="n">
        <x:f>Y2082+R2083-S2083-W2083-Y2082*V2083/AB2082</x:f>
        <x:v>14306.18539759397</x:v>
      </x:c>
      <x:c r="Z2083" s="32" t="n">
        <x:f>Z2082+W2083-X2083-T2083-Z2082*V2083/AB2082</x:f>
        <x:v>19354.456567879548</x:v>
      </x:c>
      <x:c r="AA2083" s="32" t="n">
        <x:f>AA2082+X2083-U2083-AA2082*V2083/AB2082</x:f>
        <x:v>11386.956063258198</x:v>
      </x:c>
      <x:c r="AB2083" s="10" t="n">
        <x:f>Y2083+Z2083+AA2083</x:f>
        <x:v>45047.59802873172</x:v>
      </x:c>
      <x:c r="AC2083" s="8" t="n">
        <x:f>IF(AND(v01_WinterTrigger=1,D2083=1,AB2082/AE2082&gt;=K2083),1,0)</x:f>
        <x:v>0</x:v>
      </x:c>
      <x:c r="AD2083" s="8" t="n">
        <x:f>H2083*IF(AND(OR(AB2082/AE2082&gt;=v01_FissionTrigger*N2083,AC2083=1),AB2082/AE2082*v01_DaughterShare&gt;=v01_MinDaughter),MAX(1,ROUND(AE2082*v01_FissionRate,0)),0)</x:f>
        <x:v>0</x:v>
      </x:c>
      <x:c r="AE2083" s="8" t="n">
        <x:f>IF(H2083=1,MAX(1,MIN(INDEX(v01_Smax,G2083),AE2082+AD2083)),AE2082)</x:f>
        <x:v>15</x:v>
      </x:c>
      <x:c r="AF2083" s="8" t="n">
        <x:f>MAX(0,AE2083-AE2082)</x:f>
        <x:v>0</x:v>
      </x:c>
      <x:c r="AG2083" s="9" t="str">
        <x:f>IF(AF2083&gt;0,B2083,"")</x:f>
      </x:c>
      <x:c r="AH2083" s="9" t="n">
        <x:f>IF(F2083&gt;=1,1,(1+v01_LowTiesShare*(AE2083-1))/AE2083)</x:f>
        <x:v>1</x:v>
      </x:c>
      <x:c r="AI2083" s="32" t="n">
        <x:f>(Z2083+v01_ElderCommons*INDEX(LM_Elder,G2083)*AA2083)*AH2083</x:f>
        <x:v>64139.732591141874</x:v>
      </x:c>
      <x:c r="AJ2083" s="32" t="n">
        <x:f>H2083*v01_CommonsCoef*AI2083^v01_CommonsExp*INDEX(LM_Commons,G2083)</x:f>
        <x:v>0</x:v>
      </x:c>
      <x:c r="AK2083" s="32" t="n">
        <x:f>H2083*v01_RoleScale*Arch_Roles*(AE2083*(INDEX(v01_ElderRolePerSett,G2083)*v01_OutElder*INDEX(LM_Elder,G2083)+INDEX(v01_ShamanPerSett,G2083)*v01_OutShaman)+Z2083*(INDEX(v01_PriestShare,G2083)*v01_OutPriest+INDEX(v01_ScribeShare,G2083)*v01_OutScribe*INDEX(LM_Scribe,G2083)+INDEX(v01_ScholarShare,G2083)*v01_OutScholar*INDEX(LM_Scholar,G2083)+INDEX(v01_ResearcherShare,G2083)*v01_OutResearcher*INDEX(LM_Researcher,G2083)))</x:f>
        <x:v>0</x:v>
      </x:c>
      <x:c r="AL2083" s="32" t="n">
        <x:f>H2083*v01_RoleScale*Arch_Roles*AE2083*INDEX(v01_MonasteryPerSett,G2083)*v01_OutMonastery*INDEX(LM_Monastery,G2083)</x:f>
        <x:v>0</x:v>
      </x:c>
      <x:c r="AM2083" s="32" t="n">
        <x:f>(AJ2083+AK2083+AL2083)/4*INDEX(LM_All,G2083)*INDEX(v01_Boon,G2083)*Arch_Insight</x:f>
        <x:v>0</x:v>
      </x:c>
      <x:c r="AN2083" s="32" t="n">
        <x:f>H2083*(v01_KHPerAdult*Z2083+v01_KHOfCommons*AJ2083/4*INDEX(LM_All,G2083))*v01_KHUsable*Arch_KH</x:f>
        <x:v>0</x:v>
      </x:c>
      <x:c r="AO2083" s="32" t="n">
        <x:f>MIN(AP2082+AN2083,AM2083*v01_KHMaxRatio)</x:f>
        <x:v>0</x:v>
      </x:c>
      <x:c r="AP2083" s="32" t="n">
        <x:f>AP2082+AN2083-AO2083</x:f>
        <x:v>0</x:v>
      </x:c>
      <x:c r="AQ2083" s="32" t="n">
        <x:f>AM2083+AO2083</x:f>
        <x:v>0</x:v>
      </x:c>
      <x:c r="AR2083" s="10" t="n">
        <x:f>IF(H2083=1,INDEX(v01_Req,G2083),0)</x:f>
        <x:v>0</x:v>
      </x:c>
      <x:c r="AS2083" s="32" t="n">
        <x:f>IF(H2083=1,IF(E2083=1,AS2082-AR2082,AS2082)+AQ2083,0)</x:f>
        <x:v>0</x:v>
      </x:c>
      <x:c r="AT2083" s="11" t="n">
        <x:f>IF(AR2083&gt;0,MIN(1,AS2083/AR2083),1)</x:f>
        <x:v>1</x:v>
      </x:c>
      <x:c r="AU2083" s="10" t="n">
        <x:f>AB2083/INDEX(v01_RepScale,G2083)</x:f>
        <x:v>90.09519605746344</x:v>
      </x:c>
      <x:c r="AV2083" s="32" t="n">
        <x:f>AM2083*60/v01_SeasonSeconds</x:f>
        <x:v>0</x:v>
      </x:c>
    </x:row>
    <x:row r="2084">
      <x:c r="A2084" s="8" t="n">
        <x:f>A2083+1</x:f>
        <x:v>2081</x:v>
      </x:c>
      <x:c r="B2084" s="9" t="n">
        <x:f>A2084*v01_SeasonSeconds/60</x:f>
        <x:v>520.25</x:v>
      </x:c>
      <x:c r="C2084" s="9" t="n">
        <x:f>A2084/4</x:f>
        <x:v>520.25</x:v>
      </x:c>
      <x:c r="D2084" s="8" t="n">
        <x:f>IF(MOD(A2084,4)=0,1,0)</x:f>
        <x:v>0</x:v>
      </x:c>
      <x:c r="E2084" s="8" t="n">
        <x:f>IF(AND(F2083&lt;=9,AS2083&gt;=AR2083),1,0)</x:f>
        <x:v>0</x:v>
      </x:c>
      <x:c r="F2084" s="8" t="n">
        <x:f>MIN(10,F2083+E2084)</x:f>
        <x:v>10</x:v>
      </x:c>
      <x:c r="G2084" s="8" t="n">
        <x:f>MIN(F2084,9)+1</x:f>
        <x:v>10</x:v>
      </x:c>
      <x:c r="H2084" s="8" t="n">
        <x:f>IF(F2084&lt;=9,1,0)</x:f>
        <x:v>0</x:v>
      </x:c>
      <x:c r="I2084" s="9" t="n">
        <x:f>MIN(10,F2083+IF(AR2083&gt;0,MIN(1,AS2083/AR2083),1))</x:f>
        <x:v>10</x:v>
      </x:c>
      <x:c r="J2084" s="32" t="n">
        <x:f>INDEX(v01_FoodCap,G2084)*Arch_FoodCap*EXP(v01_CapsByProject*SUMPRODUCT((Cap_Point&lt;=I2084)*(Cap_Kind="Food")*Cap_Ln))</x:f>
        <x:v>12000</x:v>
      </x:c>
      <x:c r="K2084" s="32" t="n">
        <x:f>J2084*MIN(1,v01_LeanBase*EXP(v01_CapsByProject*SUMPRODUCT((Cap_Point&lt;=I2084)*(Cap_Kind="Lean")*Cap_Ln)))</x:f>
        <x:v>12000</x:v>
      </x:c>
      <x:c r="L2084" s="10" t="n">
        <x:f>INDEX(v01_HousingCap,G2084)*EXP(v01_CapsByProject*SUMPRODUCT((Cap_Point&lt;=I2084)*(Cap_Kind="Housing")*Cap_Ln))</x:f>
        <x:v>20000</x:v>
      </x:c>
      <x:c r="M2084" s="10" t="n">
        <x:f>INDEX(v01_GroupCap,G2084)*v01_CohesionFactor*EXP(v01_CapsByProject*SUMPRODUCT((Cap_Point&lt;=I2084)*(Cap_Kind="Group")*Cap_Ln))</x:f>
        <x:v>1000000</x:v>
      </x:c>
      <x:c r="N2084" s="32" t="n">
        <x:f>MIN(J2084,L2084,M2084)</x:f>
        <x:v>12000</x:v>
      </x:c>
      <x:c r="O2084" s="10" t="n">
        <x:f>AE2083*N2084</x:f>
        <x:v>180000</x:v>
      </x:c>
      <x:c r="P2084" s="9" t="n">
        <x:f>MIN(1,(AB2083/(AE2083*IF(v01_GroupInCrowding=1,N2084,MIN(J2084,L2084))))^v01_CrowdingExp)</x:f>
        <x:v>0.00024569414295285325</x:v>
      </x:c>
      <x:c r="Q2084" s="9" t="n">
        <x:f>IF(D2084=1,INDEX(v01_WinterMult,G2084),1)</x:f>
        <x:v>1</x:v>
      </x:c>
      <x:c r="R2084" s="9" t="n">
        <x:f>H2084*Z2083*v01_WomenShare*v01_BaseFertility*INDEX(v01_FertMult,G2084)*Arch_Fertility*(1-P2084)</x:f>
        <x:v>0</x:v>
      </x:c>
      <x:c r="S2084" s="9" t="n">
        <x:f>H2084*Y2083*INDEX(v01_MortChild,G2084)/4*Q2084</x:f>
        <x:v>0</x:v>
      </x:c>
      <x:c r="T2084" s="9" t="n">
        <x:f>H2084*Z2083*INDEX(v01_MortAdult,G2084)*Arch_AdultMort/4*Q2084</x:f>
        <x:v>0</x:v>
      </x:c>
      <x:c r="U2084" s="9" t="n">
        <x:f>H2084*AA2083*INDEX(v01_MortElder,G2084)/4*Q2084</x:f>
        <x:v>0</x:v>
      </x:c>
      <x:c r="V2084" s="9" t="n">
        <x:f>H2084*MAX(0,AB2083-O2084)*v01_OvercapLoss</x:f>
        <x:v>0</x:v>
      </x:c>
      <x:c r="W2084" s="9" t="n">
        <x:f>H2084*Y2083/(v01_ChildYears*4)</x:f>
        <x:v>0</x:v>
      </x:c>
      <x:c r="X2084" s="9" t="n">
        <x:f>H2084*Z2083/(v01_AdultYears*4)</x:f>
        <x:v>0</x:v>
      </x:c>
      <x:c r="Y2084" s="32" t="n">
        <x:f>Y2083+R2084-S2084-W2084-Y2083*V2084/AB2083</x:f>
        <x:v>14306.18539759397</x:v>
      </x:c>
      <x:c r="Z2084" s="32" t="n">
        <x:f>Z2083+W2084-X2084-T2084-Z2083*V2084/AB2083</x:f>
        <x:v>19354.456567879548</x:v>
      </x:c>
      <x:c r="AA2084" s="32" t="n">
        <x:f>AA2083+X2084-U2084-AA2083*V2084/AB2083</x:f>
        <x:v>11386.956063258198</x:v>
      </x:c>
      <x:c r="AB2084" s="10" t="n">
        <x:f>Y2084+Z2084+AA2084</x:f>
        <x:v>45047.59802873172</x:v>
      </x:c>
      <x:c r="AC2084" s="8" t="n">
        <x:f>IF(AND(v01_WinterTrigger=1,D2084=1,AB2083/AE2083&gt;=K2084),1,0)</x:f>
        <x:v>0</x:v>
      </x:c>
      <x:c r="AD2084" s="8" t="n">
        <x:f>H2084*IF(AND(OR(AB2083/AE2083&gt;=v01_FissionTrigger*N2084,AC2084=1),AB2083/AE2083*v01_DaughterShare&gt;=v01_MinDaughter),MAX(1,ROUND(AE2083*v01_FissionRate,0)),0)</x:f>
        <x:v>0</x:v>
      </x:c>
      <x:c r="AE2084" s="8" t="n">
        <x:f>IF(H2084=1,MAX(1,MIN(INDEX(v01_Smax,G2084),AE2083+AD2084)),AE2083)</x:f>
        <x:v>15</x:v>
      </x:c>
      <x:c r="AF2084" s="8" t="n">
        <x:f>MAX(0,AE2084-AE2083)</x:f>
        <x:v>0</x:v>
      </x:c>
      <x:c r="AG2084" s="9" t="str">
        <x:f>IF(AF2084&gt;0,B2084,"")</x:f>
      </x:c>
      <x:c r="AH2084" s="9" t="n">
        <x:f>IF(F2084&gt;=1,1,(1+v01_LowTiesShare*(AE2084-1))/AE2084)</x:f>
        <x:v>1</x:v>
      </x:c>
      <x:c r="AI2084" s="32" t="n">
        <x:f>(Z2084+v01_ElderCommons*INDEX(LM_Elder,G2084)*AA2084)*AH2084</x:f>
        <x:v>64139.732591141874</x:v>
      </x:c>
      <x:c r="AJ2084" s="32" t="n">
        <x:f>H2084*v01_CommonsCoef*AI2084^v01_CommonsExp*INDEX(LM_Commons,G2084)</x:f>
        <x:v>0</x:v>
      </x:c>
      <x:c r="AK2084" s="32" t="n">
        <x:f>H2084*v01_RoleScale*Arch_Roles*(AE2084*(INDEX(v01_ElderRolePerSett,G2084)*v01_OutElder*INDEX(LM_Elder,G2084)+INDEX(v01_ShamanPerSett,G2084)*v01_OutShaman)+Z2084*(INDEX(v01_PriestShare,G2084)*v01_OutPriest+INDEX(v01_ScribeShare,G2084)*v01_OutScribe*INDEX(LM_Scribe,G2084)+INDEX(v01_ScholarShare,G2084)*v01_OutScholar*INDEX(LM_Scholar,G2084)+INDEX(v01_ResearcherShare,G2084)*v01_OutResearcher*INDEX(LM_Researcher,G2084)))</x:f>
        <x:v>0</x:v>
      </x:c>
      <x:c r="AL2084" s="32" t="n">
        <x:f>H2084*v01_RoleScale*Arch_Roles*AE2084*INDEX(v01_MonasteryPerSett,G2084)*v01_OutMonastery*INDEX(LM_Monastery,G2084)</x:f>
        <x:v>0</x:v>
      </x:c>
      <x:c r="AM2084" s="32" t="n">
        <x:f>(AJ2084+AK2084+AL2084)/4*INDEX(LM_All,G2084)*INDEX(v01_Boon,G2084)*Arch_Insight</x:f>
        <x:v>0</x:v>
      </x:c>
      <x:c r="AN2084" s="32" t="n">
        <x:f>H2084*(v01_KHPerAdult*Z2084+v01_KHOfCommons*AJ2084/4*INDEX(LM_All,G2084))*v01_KHUsable*Arch_KH</x:f>
        <x:v>0</x:v>
      </x:c>
      <x:c r="AO2084" s="32" t="n">
        <x:f>MIN(AP2083+AN2084,AM2084*v01_KHMaxRatio)</x:f>
        <x:v>0</x:v>
      </x:c>
      <x:c r="AP2084" s="32" t="n">
        <x:f>AP2083+AN2084-AO2084</x:f>
        <x:v>0</x:v>
      </x:c>
      <x:c r="AQ2084" s="32" t="n">
        <x:f>AM2084+AO2084</x:f>
        <x:v>0</x:v>
      </x:c>
      <x:c r="AR2084" s="10" t="n">
        <x:f>IF(H2084=1,INDEX(v01_Req,G2084),0)</x:f>
        <x:v>0</x:v>
      </x:c>
      <x:c r="AS2084" s="32" t="n">
        <x:f>IF(H2084=1,IF(E2084=1,AS2083-AR2083,AS2083)+AQ2084,0)</x:f>
        <x:v>0</x:v>
      </x:c>
      <x:c r="AT2084" s="11" t="n">
        <x:f>IF(AR2084&gt;0,MIN(1,AS2084/AR2084),1)</x:f>
        <x:v>1</x:v>
      </x:c>
      <x:c r="AU2084" s="10" t="n">
        <x:f>AB2084/INDEX(v01_RepScale,G2084)</x:f>
        <x:v>90.09519605746344</x:v>
      </x:c>
      <x:c r="AV2084" s="32" t="n">
        <x:f>AM2084*60/v01_SeasonSeconds</x:f>
        <x:v>0</x:v>
      </x:c>
    </x:row>
    <x:row r="2085">
      <x:c r="A2085" s="8" t="n">
        <x:f>A2084+1</x:f>
        <x:v>2082</x:v>
      </x:c>
      <x:c r="B2085" s="9" t="n">
        <x:f>A2085*v01_SeasonSeconds/60</x:f>
        <x:v>520.5</x:v>
      </x:c>
      <x:c r="C2085" s="9" t="n">
        <x:f>A2085/4</x:f>
        <x:v>520.5</x:v>
      </x:c>
      <x:c r="D2085" s="8" t="n">
        <x:f>IF(MOD(A2085,4)=0,1,0)</x:f>
        <x:v>0</x:v>
      </x:c>
      <x:c r="E2085" s="8" t="n">
        <x:f>IF(AND(F2084&lt;=9,AS2084&gt;=AR2084),1,0)</x:f>
        <x:v>0</x:v>
      </x:c>
      <x:c r="F2085" s="8" t="n">
        <x:f>MIN(10,F2084+E2085)</x:f>
        <x:v>10</x:v>
      </x:c>
      <x:c r="G2085" s="8" t="n">
        <x:f>MIN(F2085,9)+1</x:f>
        <x:v>10</x:v>
      </x:c>
      <x:c r="H2085" s="8" t="n">
        <x:f>IF(F2085&lt;=9,1,0)</x:f>
        <x:v>0</x:v>
      </x:c>
      <x:c r="I2085" s="9" t="n">
        <x:f>MIN(10,F2084+IF(AR2084&gt;0,MIN(1,AS2084/AR2084),1))</x:f>
        <x:v>10</x:v>
      </x:c>
      <x:c r="J2085" s="32" t="n">
        <x:f>INDEX(v01_FoodCap,G2085)*Arch_FoodCap*EXP(v01_CapsByProject*SUMPRODUCT((Cap_Point&lt;=I2085)*(Cap_Kind="Food")*Cap_Ln))</x:f>
        <x:v>12000</x:v>
      </x:c>
      <x:c r="K2085" s="32" t="n">
        <x:f>J2085*MIN(1,v01_LeanBase*EXP(v01_CapsByProject*SUMPRODUCT((Cap_Point&lt;=I2085)*(Cap_Kind="Lean")*Cap_Ln)))</x:f>
        <x:v>12000</x:v>
      </x:c>
      <x:c r="L2085" s="10" t="n">
        <x:f>INDEX(v01_HousingCap,G2085)*EXP(v01_CapsByProject*SUMPRODUCT((Cap_Point&lt;=I2085)*(Cap_Kind="Housing")*Cap_Ln))</x:f>
        <x:v>20000</x:v>
      </x:c>
      <x:c r="M2085" s="10" t="n">
        <x:f>INDEX(v01_GroupCap,G2085)*v01_CohesionFactor*EXP(v01_CapsByProject*SUMPRODUCT((Cap_Point&lt;=I2085)*(Cap_Kind="Group")*Cap_Ln))</x:f>
        <x:v>1000000</x:v>
      </x:c>
      <x:c r="N2085" s="32" t="n">
        <x:f>MIN(J2085,L2085,M2085)</x:f>
        <x:v>12000</x:v>
      </x:c>
      <x:c r="O2085" s="10" t="n">
        <x:f>AE2084*N2085</x:f>
        <x:v>180000</x:v>
      </x:c>
      <x:c r="P2085" s="9" t="n">
        <x:f>MIN(1,(AB2084/(AE2084*IF(v01_GroupInCrowding=1,N2085,MIN(J2085,L2085))))^v01_CrowdingExp)</x:f>
        <x:v>0.00024569414295285325</x:v>
      </x:c>
      <x:c r="Q2085" s="9" t="n">
        <x:f>IF(D2085=1,INDEX(v01_WinterMult,G2085),1)</x:f>
        <x:v>1</x:v>
      </x:c>
      <x:c r="R2085" s="9" t="n">
        <x:f>H2085*Z2084*v01_WomenShare*v01_BaseFertility*INDEX(v01_FertMult,G2085)*Arch_Fertility*(1-P2085)</x:f>
        <x:v>0</x:v>
      </x:c>
      <x:c r="S2085" s="9" t="n">
        <x:f>H2085*Y2084*INDEX(v01_MortChild,G2085)/4*Q2085</x:f>
        <x:v>0</x:v>
      </x:c>
      <x:c r="T2085" s="9" t="n">
        <x:f>H2085*Z2084*INDEX(v01_MortAdult,G2085)*Arch_AdultMort/4*Q2085</x:f>
        <x:v>0</x:v>
      </x:c>
      <x:c r="U2085" s="9" t="n">
        <x:f>H2085*AA2084*INDEX(v01_MortElder,G2085)/4*Q2085</x:f>
        <x:v>0</x:v>
      </x:c>
      <x:c r="V2085" s="9" t="n">
        <x:f>H2085*MAX(0,AB2084-O2085)*v01_OvercapLoss</x:f>
        <x:v>0</x:v>
      </x:c>
      <x:c r="W2085" s="9" t="n">
        <x:f>H2085*Y2084/(v01_ChildYears*4)</x:f>
        <x:v>0</x:v>
      </x:c>
      <x:c r="X2085" s="9" t="n">
        <x:f>H2085*Z2084/(v01_AdultYears*4)</x:f>
        <x:v>0</x:v>
      </x:c>
      <x:c r="Y2085" s="32" t="n">
        <x:f>Y2084+R2085-S2085-W2085-Y2084*V2085/AB2084</x:f>
        <x:v>14306.18539759397</x:v>
      </x:c>
      <x:c r="Z2085" s="32" t="n">
        <x:f>Z2084+W2085-X2085-T2085-Z2084*V2085/AB2084</x:f>
        <x:v>19354.456567879548</x:v>
      </x:c>
      <x:c r="AA2085" s="32" t="n">
        <x:f>AA2084+X2085-U2085-AA2084*V2085/AB2084</x:f>
        <x:v>11386.956063258198</x:v>
      </x:c>
      <x:c r="AB2085" s="10" t="n">
        <x:f>Y2085+Z2085+AA2085</x:f>
        <x:v>45047.59802873172</x:v>
      </x:c>
      <x:c r="AC2085" s="8" t="n">
        <x:f>IF(AND(v01_WinterTrigger=1,D2085=1,AB2084/AE2084&gt;=K2085),1,0)</x:f>
        <x:v>0</x:v>
      </x:c>
      <x:c r="AD2085" s="8" t="n">
        <x:f>H2085*IF(AND(OR(AB2084/AE2084&gt;=v01_FissionTrigger*N2085,AC2085=1),AB2084/AE2084*v01_DaughterShare&gt;=v01_MinDaughter),MAX(1,ROUND(AE2084*v01_FissionRate,0)),0)</x:f>
        <x:v>0</x:v>
      </x:c>
      <x:c r="AE2085" s="8" t="n">
        <x:f>IF(H2085=1,MAX(1,MIN(INDEX(v01_Smax,G2085),AE2084+AD2085)),AE2084)</x:f>
        <x:v>15</x:v>
      </x:c>
      <x:c r="AF2085" s="8" t="n">
        <x:f>MAX(0,AE2085-AE2084)</x:f>
        <x:v>0</x:v>
      </x:c>
      <x:c r="AG2085" s="9" t="str">
        <x:f>IF(AF2085&gt;0,B2085,"")</x:f>
      </x:c>
      <x:c r="AH2085" s="9" t="n">
        <x:f>IF(F2085&gt;=1,1,(1+v01_LowTiesShare*(AE2085-1))/AE2085)</x:f>
        <x:v>1</x:v>
      </x:c>
      <x:c r="AI2085" s="32" t="n">
        <x:f>(Z2085+v01_ElderCommons*INDEX(LM_Elder,G2085)*AA2085)*AH2085</x:f>
        <x:v>64139.732591141874</x:v>
      </x:c>
      <x:c r="AJ2085" s="32" t="n">
        <x:f>H2085*v01_CommonsCoef*AI2085^v01_CommonsExp*INDEX(LM_Commons,G2085)</x:f>
        <x:v>0</x:v>
      </x:c>
      <x:c r="AK2085" s="32" t="n">
        <x:f>H2085*v01_RoleScale*Arch_Roles*(AE2085*(INDEX(v01_ElderRolePerSett,G2085)*v01_OutElder*INDEX(LM_Elder,G2085)+INDEX(v01_ShamanPerSett,G2085)*v01_OutShaman)+Z2085*(INDEX(v01_PriestShare,G2085)*v01_OutPriest+INDEX(v01_ScribeShare,G2085)*v01_OutScribe*INDEX(LM_Scribe,G2085)+INDEX(v01_ScholarShare,G2085)*v01_OutScholar*INDEX(LM_Scholar,G2085)+INDEX(v01_ResearcherShare,G2085)*v01_OutResearcher*INDEX(LM_Researcher,G2085)))</x:f>
        <x:v>0</x:v>
      </x:c>
      <x:c r="AL2085" s="32" t="n">
        <x:f>H2085*v01_RoleScale*Arch_Roles*AE2085*INDEX(v01_MonasteryPerSett,G2085)*v01_OutMonastery*INDEX(LM_Monastery,G2085)</x:f>
        <x:v>0</x:v>
      </x:c>
      <x:c r="AM2085" s="32" t="n">
        <x:f>(AJ2085+AK2085+AL2085)/4*INDEX(LM_All,G2085)*INDEX(v01_Boon,G2085)*Arch_Insight</x:f>
        <x:v>0</x:v>
      </x:c>
      <x:c r="AN2085" s="32" t="n">
        <x:f>H2085*(v01_KHPerAdult*Z2085+v01_KHOfCommons*AJ2085/4*INDEX(LM_All,G2085))*v01_KHUsable*Arch_KH</x:f>
        <x:v>0</x:v>
      </x:c>
      <x:c r="AO2085" s="32" t="n">
        <x:f>MIN(AP2084+AN2085,AM2085*v01_KHMaxRatio)</x:f>
        <x:v>0</x:v>
      </x:c>
      <x:c r="AP2085" s="32" t="n">
        <x:f>AP2084+AN2085-AO2085</x:f>
        <x:v>0</x:v>
      </x:c>
      <x:c r="AQ2085" s="32" t="n">
        <x:f>AM2085+AO2085</x:f>
        <x:v>0</x:v>
      </x:c>
      <x:c r="AR2085" s="10" t="n">
        <x:f>IF(H2085=1,INDEX(v01_Req,G2085),0)</x:f>
        <x:v>0</x:v>
      </x:c>
      <x:c r="AS2085" s="32" t="n">
        <x:f>IF(H2085=1,IF(E2085=1,AS2084-AR2084,AS2084)+AQ2085,0)</x:f>
        <x:v>0</x:v>
      </x:c>
      <x:c r="AT2085" s="11" t="n">
        <x:f>IF(AR2085&gt;0,MIN(1,AS2085/AR2085),1)</x:f>
        <x:v>1</x:v>
      </x:c>
      <x:c r="AU2085" s="10" t="n">
        <x:f>AB2085/INDEX(v01_RepScale,G2085)</x:f>
        <x:v>90.09519605746344</x:v>
      </x:c>
      <x:c r="AV2085" s="32" t="n">
        <x:f>AM2085*60/v01_SeasonSeconds</x:f>
        <x:v>0</x:v>
      </x:c>
    </x:row>
    <x:row r="2086">
      <x:c r="A2086" s="8" t="n">
        <x:f>A2085+1</x:f>
        <x:v>2083</x:v>
      </x:c>
      <x:c r="B2086" s="9" t="n">
        <x:f>A2086*v01_SeasonSeconds/60</x:f>
        <x:v>520.75</x:v>
      </x:c>
      <x:c r="C2086" s="9" t="n">
        <x:f>A2086/4</x:f>
        <x:v>520.75</x:v>
      </x:c>
      <x:c r="D2086" s="8" t="n">
        <x:f>IF(MOD(A2086,4)=0,1,0)</x:f>
        <x:v>0</x:v>
      </x:c>
      <x:c r="E2086" s="8" t="n">
        <x:f>IF(AND(F2085&lt;=9,AS2085&gt;=AR2085),1,0)</x:f>
        <x:v>0</x:v>
      </x:c>
      <x:c r="F2086" s="8" t="n">
        <x:f>MIN(10,F2085+E2086)</x:f>
        <x:v>10</x:v>
      </x:c>
      <x:c r="G2086" s="8" t="n">
        <x:f>MIN(F2086,9)+1</x:f>
        <x:v>10</x:v>
      </x:c>
      <x:c r="H2086" s="8" t="n">
        <x:f>IF(F2086&lt;=9,1,0)</x:f>
        <x:v>0</x:v>
      </x:c>
      <x:c r="I2086" s="9" t="n">
        <x:f>MIN(10,F2085+IF(AR2085&gt;0,MIN(1,AS2085/AR2085),1))</x:f>
        <x:v>10</x:v>
      </x:c>
      <x:c r="J2086" s="32" t="n">
        <x:f>INDEX(v01_FoodCap,G2086)*Arch_FoodCap*EXP(v01_CapsByProject*SUMPRODUCT((Cap_Point&lt;=I2086)*(Cap_Kind="Food")*Cap_Ln))</x:f>
        <x:v>12000</x:v>
      </x:c>
      <x:c r="K2086" s="32" t="n">
        <x:f>J2086*MIN(1,v01_LeanBase*EXP(v01_CapsByProject*SUMPRODUCT((Cap_Point&lt;=I2086)*(Cap_Kind="Lean")*Cap_Ln)))</x:f>
        <x:v>12000</x:v>
      </x:c>
      <x:c r="L2086" s="10" t="n">
        <x:f>INDEX(v01_HousingCap,G2086)*EXP(v01_CapsByProject*SUMPRODUCT((Cap_Point&lt;=I2086)*(Cap_Kind="Housing")*Cap_Ln))</x:f>
        <x:v>20000</x:v>
      </x:c>
      <x:c r="M2086" s="10" t="n">
        <x:f>INDEX(v01_GroupCap,G2086)*v01_CohesionFactor*EXP(v01_CapsByProject*SUMPRODUCT((Cap_Point&lt;=I2086)*(Cap_Kind="Group")*Cap_Ln))</x:f>
        <x:v>1000000</x:v>
      </x:c>
      <x:c r="N2086" s="32" t="n">
        <x:f>MIN(J2086,L2086,M2086)</x:f>
        <x:v>12000</x:v>
      </x:c>
      <x:c r="O2086" s="10" t="n">
        <x:f>AE2085*N2086</x:f>
        <x:v>180000</x:v>
      </x:c>
      <x:c r="P2086" s="9" t="n">
        <x:f>MIN(1,(AB2085/(AE2085*IF(v01_GroupInCrowding=1,N2086,MIN(J2086,L2086))))^v01_CrowdingExp)</x:f>
        <x:v>0.00024569414295285325</x:v>
      </x:c>
      <x:c r="Q2086" s="9" t="n">
        <x:f>IF(D2086=1,INDEX(v01_WinterMult,G2086),1)</x:f>
        <x:v>1</x:v>
      </x:c>
      <x:c r="R2086" s="9" t="n">
        <x:f>H2086*Z2085*v01_WomenShare*v01_BaseFertility*INDEX(v01_FertMult,G2086)*Arch_Fertility*(1-P2086)</x:f>
        <x:v>0</x:v>
      </x:c>
      <x:c r="S2086" s="9" t="n">
        <x:f>H2086*Y2085*INDEX(v01_MortChild,G2086)/4*Q2086</x:f>
        <x:v>0</x:v>
      </x:c>
      <x:c r="T2086" s="9" t="n">
        <x:f>H2086*Z2085*INDEX(v01_MortAdult,G2086)*Arch_AdultMort/4*Q2086</x:f>
        <x:v>0</x:v>
      </x:c>
      <x:c r="U2086" s="9" t="n">
        <x:f>H2086*AA2085*INDEX(v01_MortElder,G2086)/4*Q2086</x:f>
        <x:v>0</x:v>
      </x:c>
      <x:c r="V2086" s="9" t="n">
        <x:f>H2086*MAX(0,AB2085-O2086)*v01_OvercapLoss</x:f>
        <x:v>0</x:v>
      </x:c>
      <x:c r="W2086" s="9" t="n">
        <x:f>H2086*Y2085/(v01_ChildYears*4)</x:f>
        <x:v>0</x:v>
      </x:c>
      <x:c r="X2086" s="9" t="n">
        <x:f>H2086*Z2085/(v01_AdultYears*4)</x:f>
        <x:v>0</x:v>
      </x:c>
      <x:c r="Y2086" s="32" t="n">
        <x:f>Y2085+R2086-S2086-W2086-Y2085*V2086/AB2085</x:f>
        <x:v>14306.18539759397</x:v>
      </x:c>
      <x:c r="Z2086" s="32" t="n">
        <x:f>Z2085+W2086-X2086-T2086-Z2085*V2086/AB2085</x:f>
        <x:v>19354.456567879548</x:v>
      </x:c>
      <x:c r="AA2086" s="32" t="n">
        <x:f>AA2085+X2086-U2086-AA2085*V2086/AB2085</x:f>
        <x:v>11386.956063258198</x:v>
      </x:c>
      <x:c r="AB2086" s="10" t="n">
        <x:f>Y2086+Z2086+AA2086</x:f>
        <x:v>45047.59802873172</x:v>
      </x:c>
      <x:c r="AC2086" s="8" t="n">
        <x:f>IF(AND(v01_WinterTrigger=1,D2086=1,AB2085/AE2085&gt;=K2086),1,0)</x:f>
        <x:v>0</x:v>
      </x:c>
      <x:c r="AD2086" s="8" t="n">
        <x:f>H2086*IF(AND(OR(AB2085/AE2085&gt;=v01_FissionTrigger*N2086,AC2086=1),AB2085/AE2085*v01_DaughterShare&gt;=v01_MinDaughter),MAX(1,ROUND(AE2085*v01_FissionRate,0)),0)</x:f>
        <x:v>0</x:v>
      </x:c>
      <x:c r="AE2086" s="8" t="n">
        <x:f>IF(H2086=1,MAX(1,MIN(INDEX(v01_Smax,G2086),AE2085+AD2086)),AE2085)</x:f>
        <x:v>15</x:v>
      </x:c>
      <x:c r="AF2086" s="8" t="n">
        <x:f>MAX(0,AE2086-AE2085)</x:f>
        <x:v>0</x:v>
      </x:c>
      <x:c r="AG2086" s="9" t="str">
        <x:f>IF(AF2086&gt;0,B2086,"")</x:f>
      </x:c>
      <x:c r="AH2086" s="9" t="n">
        <x:f>IF(F2086&gt;=1,1,(1+v01_LowTiesShare*(AE2086-1))/AE2086)</x:f>
        <x:v>1</x:v>
      </x:c>
      <x:c r="AI2086" s="32" t="n">
        <x:f>(Z2086+v01_ElderCommons*INDEX(LM_Elder,G2086)*AA2086)*AH2086</x:f>
        <x:v>64139.732591141874</x:v>
      </x:c>
      <x:c r="AJ2086" s="32" t="n">
        <x:f>H2086*v01_CommonsCoef*AI2086^v01_CommonsExp*INDEX(LM_Commons,G2086)</x:f>
        <x:v>0</x:v>
      </x:c>
      <x:c r="AK2086" s="32" t="n">
        <x:f>H2086*v01_RoleScale*Arch_Roles*(AE2086*(INDEX(v01_ElderRolePerSett,G2086)*v01_OutElder*INDEX(LM_Elder,G2086)+INDEX(v01_ShamanPerSett,G2086)*v01_OutShaman)+Z2086*(INDEX(v01_PriestShare,G2086)*v01_OutPriest+INDEX(v01_ScribeShare,G2086)*v01_OutScribe*INDEX(LM_Scribe,G2086)+INDEX(v01_ScholarShare,G2086)*v01_OutScholar*INDEX(LM_Scholar,G2086)+INDEX(v01_ResearcherShare,G2086)*v01_OutResearcher*INDEX(LM_Researcher,G2086)))</x:f>
        <x:v>0</x:v>
      </x:c>
      <x:c r="AL2086" s="32" t="n">
        <x:f>H2086*v01_RoleScale*Arch_Roles*AE2086*INDEX(v01_MonasteryPerSett,G2086)*v01_OutMonastery*INDEX(LM_Monastery,G2086)</x:f>
        <x:v>0</x:v>
      </x:c>
      <x:c r="AM2086" s="32" t="n">
        <x:f>(AJ2086+AK2086+AL2086)/4*INDEX(LM_All,G2086)*INDEX(v01_Boon,G2086)*Arch_Insight</x:f>
        <x:v>0</x:v>
      </x:c>
      <x:c r="AN2086" s="32" t="n">
        <x:f>H2086*(v01_KHPerAdult*Z2086+v01_KHOfCommons*AJ2086/4*INDEX(LM_All,G2086))*v01_KHUsable*Arch_KH</x:f>
        <x:v>0</x:v>
      </x:c>
      <x:c r="AO2086" s="32" t="n">
        <x:f>MIN(AP2085+AN2086,AM2086*v01_KHMaxRatio)</x:f>
        <x:v>0</x:v>
      </x:c>
      <x:c r="AP2086" s="32" t="n">
        <x:f>AP2085+AN2086-AO2086</x:f>
        <x:v>0</x:v>
      </x:c>
      <x:c r="AQ2086" s="32" t="n">
        <x:f>AM2086+AO2086</x:f>
        <x:v>0</x:v>
      </x:c>
      <x:c r="AR2086" s="10" t="n">
        <x:f>IF(H2086=1,INDEX(v01_Req,G2086),0)</x:f>
        <x:v>0</x:v>
      </x:c>
      <x:c r="AS2086" s="32" t="n">
        <x:f>IF(H2086=1,IF(E2086=1,AS2085-AR2085,AS2085)+AQ2086,0)</x:f>
        <x:v>0</x:v>
      </x:c>
      <x:c r="AT2086" s="11" t="n">
        <x:f>IF(AR2086&gt;0,MIN(1,AS2086/AR2086),1)</x:f>
        <x:v>1</x:v>
      </x:c>
      <x:c r="AU2086" s="10" t="n">
        <x:f>AB2086/INDEX(v01_RepScale,G2086)</x:f>
        <x:v>90.09519605746344</x:v>
      </x:c>
      <x:c r="AV2086" s="32" t="n">
        <x:f>AM2086*60/v01_SeasonSeconds</x:f>
        <x:v>0</x:v>
      </x:c>
    </x:row>
    <x:row r="2087">
      <x:c r="A2087" s="8" t="n">
        <x:f>A2086+1</x:f>
        <x:v>2084</x:v>
      </x:c>
      <x:c r="B2087" s="9" t="n">
        <x:f>A2087*v01_SeasonSeconds/60</x:f>
        <x:v>521</x:v>
      </x:c>
      <x:c r="C2087" s="9" t="n">
        <x:f>A2087/4</x:f>
        <x:v>521</x:v>
      </x:c>
      <x:c r="D2087" s="8" t="n">
        <x:f>IF(MOD(A2087,4)=0,1,0)</x:f>
        <x:v>1</x:v>
      </x:c>
      <x:c r="E2087" s="8" t="n">
        <x:f>IF(AND(F2086&lt;=9,AS2086&gt;=AR2086),1,0)</x:f>
        <x:v>0</x:v>
      </x:c>
      <x:c r="F2087" s="8" t="n">
        <x:f>MIN(10,F2086+E2087)</x:f>
        <x:v>10</x:v>
      </x:c>
      <x:c r="G2087" s="8" t="n">
        <x:f>MIN(F2087,9)+1</x:f>
        <x:v>10</x:v>
      </x:c>
      <x:c r="H2087" s="8" t="n">
        <x:f>IF(F2087&lt;=9,1,0)</x:f>
        <x:v>0</x:v>
      </x:c>
      <x:c r="I2087" s="9" t="n">
        <x:f>MIN(10,F2086+IF(AR2086&gt;0,MIN(1,AS2086/AR2086),1))</x:f>
        <x:v>10</x:v>
      </x:c>
      <x:c r="J2087" s="32" t="n">
        <x:f>INDEX(v01_FoodCap,G2087)*Arch_FoodCap*EXP(v01_CapsByProject*SUMPRODUCT((Cap_Point&lt;=I2087)*(Cap_Kind="Food")*Cap_Ln))</x:f>
        <x:v>12000</x:v>
      </x:c>
      <x:c r="K2087" s="32" t="n">
        <x:f>J2087*MIN(1,v01_LeanBase*EXP(v01_CapsByProject*SUMPRODUCT((Cap_Point&lt;=I2087)*(Cap_Kind="Lean")*Cap_Ln)))</x:f>
        <x:v>12000</x:v>
      </x:c>
      <x:c r="L2087" s="10" t="n">
        <x:f>INDEX(v01_HousingCap,G2087)*EXP(v01_CapsByProject*SUMPRODUCT((Cap_Point&lt;=I2087)*(Cap_Kind="Housing")*Cap_Ln))</x:f>
        <x:v>20000</x:v>
      </x:c>
      <x:c r="M2087" s="10" t="n">
        <x:f>INDEX(v01_GroupCap,G2087)*v01_CohesionFactor*EXP(v01_CapsByProject*SUMPRODUCT((Cap_Point&lt;=I2087)*(Cap_Kind="Group")*Cap_Ln))</x:f>
        <x:v>1000000</x:v>
      </x:c>
      <x:c r="N2087" s="32" t="n">
        <x:f>MIN(J2087,L2087,M2087)</x:f>
        <x:v>12000</x:v>
      </x:c>
      <x:c r="O2087" s="10" t="n">
        <x:f>AE2086*N2087</x:f>
        <x:v>180000</x:v>
      </x:c>
      <x:c r="P2087" s="9" t="n">
        <x:f>MIN(1,(AB2086/(AE2086*IF(v01_GroupInCrowding=1,N2087,MIN(J2087,L2087))))^v01_CrowdingExp)</x:f>
        <x:v>0.00024569414295285325</x:v>
      </x:c>
      <x:c r="Q2087" s="9" t="n">
        <x:f>IF(D2087=1,INDEX(v01_WinterMult,G2087),1)</x:f>
        <x:v>1</x:v>
      </x:c>
      <x:c r="R2087" s="9" t="n">
        <x:f>H2087*Z2086*v01_WomenShare*v01_BaseFertility*INDEX(v01_FertMult,G2087)*Arch_Fertility*(1-P2087)</x:f>
        <x:v>0</x:v>
      </x:c>
      <x:c r="S2087" s="9" t="n">
        <x:f>H2087*Y2086*INDEX(v01_MortChild,G2087)/4*Q2087</x:f>
        <x:v>0</x:v>
      </x:c>
      <x:c r="T2087" s="9" t="n">
        <x:f>H2087*Z2086*INDEX(v01_MortAdult,G2087)*Arch_AdultMort/4*Q2087</x:f>
        <x:v>0</x:v>
      </x:c>
      <x:c r="U2087" s="9" t="n">
        <x:f>H2087*AA2086*INDEX(v01_MortElder,G2087)/4*Q2087</x:f>
        <x:v>0</x:v>
      </x:c>
      <x:c r="V2087" s="9" t="n">
        <x:f>H2087*MAX(0,AB2086-O2087)*v01_OvercapLoss</x:f>
        <x:v>0</x:v>
      </x:c>
      <x:c r="W2087" s="9" t="n">
        <x:f>H2087*Y2086/(v01_ChildYears*4)</x:f>
        <x:v>0</x:v>
      </x:c>
      <x:c r="X2087" s="9" t="n">
        <x:f>H2087*Z2086/(v01_AdultYears*4)</x:f>
        <x:v>0</x:v>
      </x:c>
      <x:c r="Y2087" s="32" t="n">
        <x:f>Y2086+R2087-S2087-W2087-Y2086*V2087/AB2086</x:f>
        <x:v>14306.18539759397</x:v>
      </x:c>
      <x:c r="Z2087" s="32" t="n">
        <x:f>Z2086+W2087-X2087-T2087-Z2086*V2087/AB2086</x:f>
        <x:v>19354.456567879548</x:v>
      </x:c>
      <x:c r="AA2087" s="32" t="n">
        <x:f>AA2086+X2087-U2087-AA2086*V2087/AB2086</x:f>
        <x:v>11386.956063258198</x:v>
      </x:c>
      <x:c r="AB2087" s="10" t="n">
        <x:f>Y2087+Z2087+AA2087</x:f>
        <x:v>45047.59802873172</x:v>
      </x:c>
      <x:c r="AC2087" s="8" t="n">
        <x:f>IF(AND(v01_WinterTrigger=1,D2087=1,AB2086/AE2086&gt;=K2087),1,0)</x:f>
        <x:v>0</x:v>
      </x:c>
      <x:c r="AD2087" s="8" t="n">
        <x:f>H2087*IF(AND(OR(AB2086/AE2086&gt;=v01_FissionTrigger*N2087,AC2087=1),AB2086/AE2086*v01_DaughterShare&gt;=v01_MinDaughter),MAX(1,ROUND(AE2086*v01_FissionRate,0)),0)</x:f>
        <x:v>0</x:v>
      </x:c>
      <x:c r="AE2087" s="8" t="n">
        <x:f>IF(H2087=1,MAX(1,MIN(INDEX(v01_Smax,G2087),AE2086+AD2087)),AE2086)</x:f>
        <x:v>15</x:v>
      </x:c>
      <x:c r="AF2087" s="8" t="n">
        <x:f>MAX(0,AE2087-AE2086)</x:f>
        <x:v>0</x:v>
      </x:c>
      <x:c r="AG2087" s="9" t="str">
        <x:f>IF(AF2087&gt;0,B2087,"")</x:f>
      </x:c>
      <x:c r="AH2087" s="9" t="n">
        <x:f>IF(F2087&gt;=1,1,(1+v01_LowTiesShare*(AE2087-1))/AE2087)</x:f>
        <x:v>1</x:v>
      </x:c>
      <x:c r="AI2087" s="32" t="n">
        <x:f>(Z2087+v01_ElderCommons*INDEX(LM_Elder,G2087)*AA2087)*AH2087</x:f>
        <x:v>64139.732591141874</x:v>
      </x:c>
      <x:c r="AJ2087" s="32" t="n">
        <x:f>H2087*v01_CommonsCoef*AI2087^v01_CommonsExp*INDEX(LM_Commons,G2087)</x:f>
        <x:v>0</x:v>
      </x:c>
      <x:c r="AK2087" s="32" t="n">
        <x:f>H2087*v01_RoleScale*Arch_Roles*(AE2087*(INDEX(v01_ElderRolePerSett,G2087)*v01_OutElder*INDEX(LM_Elder,G2087)+INDEX(v01_ShamanPerSett,G2087)*v01_OutShaman)+Z2087*(INDEX(v01_PriestShare,G2087)*v01_OutPriest+INDEX(v01_ScribeShare,G2087)*v01_OutScribe*INDEX(LM_Scribe,G2087)+INDEX(v01_ScholarShare,G2087)*v01_OutScholar*INDEX(LM_Scholar,G2087)+INDEX(v01_ResearcherShare,G2087)*v01_OutResearcher*INDEX(LM_Researcher,G2087)))</x:f>
        <x:v>0</x:v>
      </x:c>
      <x:c r="AL2087" s="32" t="n">
        <x:f>H2087*v01_RoleScale*Arch_Roles*AE2087*INDEX(v01_MonasteryPerSett,G2087)*v01_OutMonastery*INDEX(LM_Monastery,G2087)</x:f>
        <x:v>0</x:v>
      </x:c>
      <x:c r="AM2087" s="32" t="n">
        <x:f>(AJ2087+AK2087+AL2087)/4*INDEX(LM_All,G2087)*INDEX(v01_Boon,G2087)*Arch_Insight</x:f>
        <x:v>0</x:v>
      </x:c>
      <x:c r="AN2087" s="32" t="n">
        <x:f>H2087*(v01_KHPerAdult*Z2087+v01_KHOfCommons*AJ2087/4*INDEX(LM_All,G2087))*v01_KHUsable*Arch_KH</x:f>
        <x:v>0</x:v>
      </x:c>
      <x:c r="AO2087" s="32" t="n">
        <x:f>MIN(AP2086+AN2087,AM2087*v01_KHMaxRatio)</x:f>
        <x:v>0</x:v>
      </x:c>
      <x:c r="AP2087" s="32" t="n">
        <x:f>AP2086+AN2087-AO2087</x:f>
        <x:v>0</x:v>
      </x:c>
      <x:c r="AQ2087" s="32" t="n">
        <x:f>AM2087+AO2087</x:f>
        <x:v>0</x:v>
      </x:c>
      <x:c r="AR2087" s="10" t="n">
        <x:f>IF(H2087=1,INDEX(v01_Req,G2087),0)</x:f>
        <x:v>0</x:v>
      </x:c>
      <x:c r="AS2087" s="32" t="n">
        <x:f>IF(H2087=1,IF(E2087=1,AS2086-AR2086,AS2086)+AQ2087,0)</x:f>
        <x:v>0</x:v>
      </x:c>
      <x:c r="AT2087" s="11" t="n">
        <x:f>IF(AR2087&gt;0,MIN(1,AS2087/AR2087),1)</x:f>
        <x:v>1</x:v>
      </x:c>
      <x:c r="AU2087" s="10" t="n">
        <x:f>AB2087/INDEX(v01_RepScale,G2087)</x:f>
        <x:v>90.09519605746344</x:v>
      </x:c>
      <x:c r="AV2087" s="32" t="n">
        <x:f>AM2087*60/v01_SeasonSeconds</x:f>
        <x:v>0</x:v>
      </x:c>
    </x:row>
    <x:row r="2088">
      <x:c r="A2088" s="8" t="n">
        <x:f>A2087+1</x:f>
        <x:v>2085</x:v>
      </x:c>
      <x:c r="B2088" s="9" t="n">
        <x:f>A2088*v01_SeasonSeconds/60</x:f>
        <x:v>521.25</x:v>
      </x:c>
      <x:c r="C2088" s="9" t="n">
        <x:f>A2088/4</x:f>
        <x:v>521.25</x:v>
      </x:c>
      <x:c r="D2088" s="8" t="n">
        <x:f>IF(MOD(A2088,4)=0,1,0)</x:f>
        <x:v>0</x:v>
      </x:c>
      <x:c r="E2088" s="8" t="n">
        <x:f>IF(AND(F2087&lt;=9,AS2087&gt;=AR2087),1,0)</x:f>
        <x:v>0</x:v>
      </x:c>
      <x:c r="F2088" s="8" t="n">
        <x:f>MIN(10,F2087+E2088)</x:f>
        <x:v>10</x:v>
      </x:c>
      <x:c r="G2088" s="8" t="n">
        <x:f>MIN(F2088,9)+1</x:f>
        <x:v>10</x:v>
      </x:c>
      <x:c r="H2088" s="8" t="n">
        <x:f>IF(F2088&lt;=9,1,0)</x:f>
        <x:v>0</x:v>
      </x:c>
      <x:c r="I2088" s="9" t="n">
        <x:f>MIN(10,F2087+IF(AR2087&gt;0,MIN(1,AS2087/AR2087),1))</x:f>
        <x:v>10</x:v>
      </x:c>
      <x:c r="J2088" s="32" t="n">
        <x:f>INDEX(v01_FoodCap,G2088)*Arch_FoodCap*EXP(v01_CapsByProject*SUMPRODUCT((Cap_Point&lt;=I2088)*(Cap_Kind="Food")*Cap_Ln))</x:f>
        <x:v>12000</x:v>
      </x:c>
      <x:c r="K2088" s="32" t="n">
        <x:f>J2088*MIN(1,v01_LeanBase*EXP(v01_CapsByProject*SUMPRODUCT((Cap_Point&lt;=I2088)*(Cap_Kind="Lean")*Cap_Ln)))</x:f>
        <x:v>12000</x:v>
      </x:c>
      <x:c r="L2088" s="10" t="n">
        <x:f>INDEX(v01_HousingCap,G2088)*EXP(v01_CapsByProject*SUMPRODUCT((Cap_Point&lt;=I2088)*(Cap_Kind="Housing")*Cap_Ln))</x:f>
        <x:v>20000</x:v>
      </x:c>
      <x:c r="M2088" s="10" t="n">
        <x:f>INDEX(v01_GroupCap,G2088)*v01_CohesionFactor*EXP(v01_CapsByProject*SUMPRODUCT((Cap_Point&lt;=I2088)*(Cap_Kind="Group")*Cap_Ln))</x:f>
        <x:v>1000000</x:v>
      </x:c>
      <x:c r="N2088" s="32" t="n">
        <x:f>MIN(J2088,L2088,M2088)</x:f>
        <x:v>12000</x:v>
      </x:c>
      <x:c r="O2088" s="10" t="n">
        <x:f>AE2087*N2088</x:f>
        <x:v>180000</x:v>
      </x:c>
      <x:c r="P2088" s="9" t="n">
        <x:f>MIN(1,(AB2087/(AE2087*IF(v01_GroupInCrowding=1,N2088,MIN(J2088,L2088))))^v01_CrowdingExp)</x:f>
        <x:v>0.00024569414295285325</x:v>
      </x:c>
      <x:c r="Q2088" s="9" t="n">
        <x:f>IF(D2088=1,INDEX(v01_WinterMult,G2088),1)</x:f>
        <x:v>1</x:v>
      </x:c>
      <x:c r="R2088" s="9" t="n">
        <x:f>H2088*Z2087*v01_WomenShare*v01_BaseFertility*INDEX(v01_FertMult,G2088)*Arch_Fertility*(1-P2088)</x:f>
        <x:v>0</x:v>
      </x:c>
      <x:c r="S2088" s="9" t="n">
        <x:f>H2088*Y2087*INDEX(v01_MortChild,G2088)/4*Q2088</x:f>
        <x:v>0</x:v>
      </x:c>
      <x:c r="T2088" s="9" t="n">
        <x:f>H2088*Z2087*INDEX(v01_MortAdult,G2088)*Arch_AdultMort/4*Q2088</x:f>
        <x:v>0</x:v>
      </x:c>
      <x:c r="U2088" s="9" t="n">
        <x:f>H2088*AA2087*INDEX(v01_MortElder,G2088)/4*Q2088</x:f>
        <x:v>0</x:v>
      </x:c>
      <x:c r="V2088" s="9" t="n">
        <x:f>H2088*MAX(0,AB2087-O2088)*v01_OvercapLoss</x:f>
        <x:v>0</x:v>
      </x:c>
      <x:c r="W2088" s="9" t="n">
        <x:f>H2088*Y2087/(v01_ChildYears*4)</x:f>
        <x:v>0</x:v>
      </x:c>
      <x:c r="X2088" s="9" t="n">
        <x:f>H2088*Z2087/(v01_AdultYears*4)</x:f>
        <x:v>0</x:v>
      </x:c>
      <x:c r="Y2088" s="32" t="n">
        <x:f>Y2087+R2088-S2088-W2088-Y2087*V2088/AB2087</x:f>
        <x:v>14306.18539759397</x:v>
      </x:c>
      <x:c r="Z2088" s="32" t="n">
        <x:f>Z2087+W2088-X2088-T2088-Z2087*V2088/AB2087</x:f>
        <x:v>19354.456567879548</x:v>
      </x:c>
      <x:c r="AA2088" s="32" t="n">
        <x:f>AA2087+X2088-U2088-AA2087*V2088/AB2087</x:f>
        <x:v>11386.956063258198</x:v>
      </x:c>
      <x:c r="AB2088" s="10" t="n">
        <x:f>Y2088+Z2088+AA2088</x:f>
        <x:v>45047.59802873172</x:v>
      </x:c>
      <x:c r="AC2088" s="8" t="n">
        <x:f>IF(AND(v01_WinterTrigger=1,D2088=1,AB2087/AE2087&gt;=K2088),1,0)</x:f>
        <x:v>0</x:v>
      </x:c>
      <x:c r="AD2088" s="8" t="n">
        <x:f>H2088*IF(AND(OR(AB2087/AE2087&gt;=v01_FissionTrigger*N2088,AC2088=1),AB2087/AE2087*v01_DaughterShare&gt;=v01_MinDaughter),MAX(1,ROUND(AE2087*v01_FissionRate,0)),0)</x:f>
        <x:v>0</x:v>
      </x:c>
      <x:c r="AE2088" s="8" t="n">
        <x:f>IF(H2088=1,MAX(1,MIN(INDEX(v01_Smax,G2088),AE2087+AD2088)),AE2087)</x:f>
        <x:v>15</x:v>
      </x:c>
      <x:c r="AF2088" s="8" t="n">
        <x:f>MAX(0,AE2088-AE2087)</x:f>
        <x:v>0</x:v>
      </x:c>
      <x:c r="AG2088" s="9" t="str">
        <x:f>IF(AF2088&gt;0,B2088,"")</x:f>
      </x:c>
      <x:c r="AH2088" s="9" t="n">
        <x:f>IF(F2088&gt;=1,1,(1+v01_LowTiesShare*(AE2088-1))/AE2088)</x:f>
        <x:v>1</x:v>
      </x:c>
      <x:c r="AI2088" s="32" t="n">
        <x:f>(Z2088+v01_ElderCommons*INDEX(LM_Elder,G2088)*AA2088)*AH2088</x:f>
        <x:v>64139.732591141874</x:v>
      </x:c>
      <x:c r="AJ2088" s="32" t="n">
        <x:f>H2088*v01_CommonsCoef*AI2088^v01_CommonsExp*INDEX(LM_Commons,G2088)</x:f>
        <x:v>0</x:v>
      </x:c>
      <x:c r="AK2088" s="32" t="n">
        <x:f>H2088*v01_RoleScale*Arch_Roles*(AE2088*(INDEX(v01_ElderRolePerSett,G2088)*v01_OutElder*INDEX(LM_Elder,G2088)+INDEX(v01_ShamanPerSett,G2088)*v01_OutShaman)+Z2088*(INDEX(v01_PriestShare,G2088)*v01_OutPriest+INDEX(v01_ScribeShare,G2088)*v01_OutScribe*INDEX(LM_Scribe,G2088)+INDEX(v01_ScholarShare,G2088)*v01_OutScholar*INDEX(LM_Scholar,G2088)+INDEX(v01_ResearcherShare,G2088)*v01_OutResearcher*INDEX(LM_Researcher,G2088)))</x:f>
        <x:v>0</x:v>
      </x:c>
      <x:c r="AL2088" s="32" t="n">
        <x:f>H2088*v01_RoleScale*Arch_Roles*AE2088*INDEX(v01_MonasteryPerSett,G2088)*v01_OutMonastery*INDEX(LM_Monastery,G2088)</x:f>
        <x:v>0</x:v>
      </x:c>
      <x:c r="AM2088" s="32" t="n">
        <x:f>(AJ2088+AK2088+AL2088)/4*INDEX(LM_All,G2088)*INDEX(v01_Boon,G2088)*Arch_Insight</x:f>
        <x:v>0</x:v>
      </x:c>
      <x:c r="AN2088" s="32" t="n">
        <x:f>H2088*(v01_KHPerAdult*Z2088+v01_KHOfCommons*AJ2088/4*INDEX(LM_All,G2088))*v01_KHUsable*Arch_KH</x:f>
        <x:v>0</x:v>
      </x:c>
      <x:c r="AO2088" s="32" t="n">
        <x:f>MIN(AP2087+AN2088,AM2088*v01_KHMaxRatio)</x:f>
        <x:v>0</x:v>
      </x:c>
      <x:c r="AP2088" s="32" t="n">
        <x:f>AP2087+AN2088-AO2088</x:f>
        <x:v>0</x:v>
      </x:c>
      <x:c r="AQ2088" s="32" t="n">
        <x:f>AM2088+AO2088</x:f>
        <x:v>0</x:v>
      </x:c>
      <x:c r="AR2088" s="10" t="n">
        <x:f>IF(H2088=1,INDEX(v01_Req,G2088),0)</x:f>
        <x:v>0</x:v>
      </x:c>
      <x:c r="AS2088" s="32" t="n">
        <x:f>IF(H2088=1,IF(E2088=1,AS2087-AR2087,AS2087)+AQ2088,0)</x:f>
        <x:v>0</x:v>
      </x:c>
      <x:c r="AT2088" s="11" t="n">
        <x:f>IF(AR2088&gt;0,MIN(1,AS2088/AR2088),1)</x:f>
        <x:v>1</x:v>
      </x:c>
      <x:c r="AU2088" s="10" t="n">
        <x:f>AB2088/INDEX(v01_RepScale,G2088)</x:f>
        <x:v>90.09519605746344</x:v>
      </x:c>
      <x:c r="AV2088" s="32" t="n">
        <x:f>AM2088*60/v01_SeasonSeconds</x:f>
        <x:v>0</x:v>
      </x:c>
    </x:row>
    <x:row r="2089">
      <x:c r="A2089" s="8" t="n">
        <x:f>A2088+1</x:f>
        <x:v>2086</x:v>
      </x:c>
      <x:c r="B2089" s="9" t="n">
        <x:f>A2089*v01_SeasonSeconds/60</x:f>
        <x:v>521.5</x:v>
      </x:c>
      <x:c r="C2089" s="9" t="n">
        <x:f>A2089/4</x:f>
        <x:v>521.5</x:v>
      </x:c>
      <x:c r="D2089" s="8" t="n">
        <x:f>IF(MOD(A2089,4)=0,1,0)</x:f>
        <x:v>0</x:v>
      </x:c>
      <x:c r="E2089" s="8" t="n">
        <x:f>IF(AND(F2088&lt;=9,AS2088&gt;=AR2088),1,0)</x:f>
        <x:v>0</x:v>
      </x:c>
      <x:c r="F2089" s="8" t="n">
        <x:f>MIN(10,F2088+E2089)</x:f>
        <x:v>10</x:v>
      </x:c>
      <x:c r="G2089" s="8" t="n">
        <x:f>MIN(F2089,9)+1</x:f>
        <x:v>10</x:v>
      </x:c>
      <x:c r="H2089" s="8" t="n">
        <x:f>IF(F2089&lt;=9,1,0)</x:f>
        <x:v>0</x:v>
      </x:c>
      <x:c r="I2089" s="9" t="n">
        <x:f>MIN(10,F2088+IF(AR2088&gt;0,MIN(1,AS2088/AR2088),1))</x:f>
        <x:v>10</x:v>
      </x:c>
      <x:c r="J2089" s="32" t="n">
        <x:f>INDEX(v01_FoodCap,G2089)*Arch_FoodCap*EXP(v01_CapsByProject*SUMPRODUCT((Cap_Point&lt;=I2089)*(Cap_Kind="Food")*Cap_Ln))</x:f>
        <x:v>12000</x:v>
      </x:c>
      <x:c r="K2089" s="32" t="n">
        <x:f>J2089*MIN(1,v01_LeanBase*EXP(v01_CapsByProject*SUMPRODUCT((Cap_Point&lt;=I2089)*(Cap_Kind="Lean")*Cap_Ln)))</x:f>
        <x:v>12000</x:v>
      </x:c>
      <x:c r="L2089" s="10" t="n">
        <x:f>INDEX(v01_HousingCap,G2089)*EXP(v01_CapsByProject*SUMPRODUCT((Cap_Point&lt;=I2089)*(Cap_Kind="Housing")*Cap_Ln))</x:f>
        <x:v>20000</x:v>
      </x:c>
      <x:c r="M2089" s="10" t="n">
        <x:f>INDEX(v01_GroupCap,G2089)*v01_CohesionFactor*EXP(v01_CapsByProject*SUMPRODUCT((Cap_Point&lt;=I2089)*(Cap_Kind="Group")*Cap_Ln))</x:f>
        <x:v>1000000</x:v>
      </x:c>
      <x:c r="N2089" s="32" t="n">
        <x:f>MIN(J2089,L2089,M2089)</x:f>
        <x:v>12000</x:v>
      </x:c>
      <x:c r="O2089" s="10" t="n">
        <x:f>AE2088*N2089</x:f>
        <x:v>180000</x:v>
      </x:c>
      <x:c r="P2089" s="9" t="n">
        <x:f>MIN(1,(AB2088/(AE2088*IF(v01_GroupInCrowding=1,N2089,MIN(J2089,L2089))))^v01_CrowdingExp)</x:f>
        <x:v>0.00024569414295285325</x:v>
      </x:c>
      <x:c r="Q2089" s="9" t="n">
        <x:f>IF(D2089=1,INDEX(v01_WinterMult,G2089),1)</x:f>
        <x:v>1</x:v>
      </x:c>
      <x:c r="R2089" s="9" t="n">
        <x:f>H2089*Z2088*v01_WomenShare*v01_BaseFertility*INDEX(v01_FertMult,G2089)*Arch_Fertility*(1-P2089)</x:f>
        <x:v>0</x:v>
      </x:c>
      <x:c r="S2089" s="9" t="n">
        <x:f>H2089*Y2088*INDEX(v01_MortChild,G2089)/4*Q2089</x:f>
        <x:v>0</x:v>
      </x:c>
      <x:c r="T2089" s="9" t="n">
        <x:f>H2089*Z2088*INDEX(v01_MortAdult,G2089)*Arch_AdultMort/4*Q2089</x:f>
        <x:v>0</x:v>
      </x:c>
      <x:c r="U2089" s="9" t="n">
        <x:f>H2089*AA2088*INDEX(v01_MortElder,G2089)/4*Q2089</x:f>
        <x:v>0</x:v>
      </x:c>
      <x:c r="V2089" s="9" t="n">
        <x:f>H2089*MAX(0,AB2088-O2089)*v01_OvercapLoss</x:f>
        <x:v>0</x:v>
      </x:c>
      <x:c r="W2089" s="9" t="n">
        <x:f>H2089*Y2088/(v01_ChildYears*4)</x:f>
        <x:v>0</x:v>
      </x:c>
      <x:c r="X2089" s="9" t="n">
        <x:f>H2089*Z2088/(v01_AdultYears*4)</x:f>
        <x:v>0</x:v>
      </x:c>
      <x:c r="Y2089" s="32" t="n">
        <x:f>Y2088+R2089-S2089-W2089-Y2088*V2089/AB2088</x:f>
        <x:v>14306.18539759397</x:v>
      </x:c>
      <x:c r="Z2089" s="32" t="n">
        <x:f>Z2088+W2089-X2089-T2089-Z2088*V2089/AB2088</x:f>
        <x:v>19354.456567879548</x:v>
      </x:c>
      <x:c r="AA2089" s="32" t="n">
        <x:f>AA2088+X2089-U2089-AA2088*V2089/AB2088</x:f>
        <x:v>11386.956063258198</x:v>
      </x:c>
      <x:c r="AB2089" s="10" t="n">
        <x:f>Y2089+Z2089+AA2089</x:f>
        <x:v>45047.59802873172</x:v>
      </x:c>
      <x:c r="AC2089" s="8" t="n">
        <x:f>IF(AND(v01_WinterTrigger=1,D2089=1,AB2088/AE2088&gt;=K2089),1,0)</x:f>
        <x:v>0</x:v>
      </x:c>
      <x:c r="AD2089" s="8" t="n">
        <x:f>H2089*IF(AND(OR(AB2088/AE2088&gt;=v01_FissionTrigger*N2089,AC2089=1),AB2088/AE2088*v01_DaughterShare&gt;=v01_MinDaughter),MAX(1,ROUND(AE2088*v01_FissionRate,0)),0)</x:f>
        <x:v>0</x:v>
      </x:c>
      <x:c r="AE2089" s="8" t="n">
        <x:f>IF(H2089=1,MAX(1,MIN(INDEX(v01_Smax,G2089),AE2088+AD2089)),AE2088)</x:f>
        <x:v>15</x:v>
      </x:c>
      <x:c r="AF2089" s="8" t="n">
        <x:f>MAX(0,AE2089-AE2088)</x:f>
        <x:v>0</x:v>
      </x:c>
      <x:c r="AG2089" s="9" t="str">
        <x:f>IF(AF2089&gt;0,B2089,"")</x:f>
      </x:c>
      <x:c r="AH2089" s="9" t="n">
        <x:f>IF(F2089&gt;=1,1,(1+v01_LowTiesShare*(AE2089-1))/AE2089)</x:f>
        <x:v>1</x:v>
      </x:c>
      <x:c r="AI2089" s="32" t="n">
        <x:f>(Z2089+v01_ElderCommons*INDEX(LM_Elder,G2089)*AA2089)*AH2089</x:f>
        <x:v>64139.732591141874</x:v>
      </x:c>
      <x:c r="AJ2089" s="32" t="n">
        <x:f>H2089*v01_CommonsCoef*AI2089^v01_CommonsExp*INDEX(LM_Commons,G2089)</x:f>
        <x:v>0</x:v>
      </x:c>
      <x:c r="AK2089" s="32" t="n">
        <x:f>H2089*v01_RoleScale*Arch_Roles*(AE2089*(INDEX(v01_ElderRolePerSett,G2089)*v01_OutElder*INDEX(LM_Elder,G2089)+INDEX(v01_ShamanPerSett,G2089)*v01_OutShaman)+Z2089*(INDEX(v01_PriestShare,G2089)*v01_OutPriest+INDEX(v01_ScribeShare,G2089)*v01_OutScribe*INDEX(LM_Scribe,G2089)+INDEX(v01_ScholarShare,G2089)*v01_OutScholar*INDEX(LM_Scholar,G2089)+INDEX(v01_ResearcherShare,G2089)*v01_OutResearcher*INDEX(LM_Researcher,G2089)))</x:f>
        <x:v>0</x:v>
      </x:c>
      <x:c r="AL2089" s="32" t="n">
        <x:f>H2089*v01_RoleScale*Arch_Roles*AE2089*INDEX(v01_MonasteryPerSett,G2089)*v01_OutMonastery*INDEX(LM_Monastery,G2089)</x:f>
        <x:v>0</x:v>
      </x:c>
      <x:c r="AM2089" s="32" t="n">
        <x:f>(AJ2089+AK2089+AL2089)/4*INDEX(LM_All,G2089)*INDEX(v01_Boon,G2089)*Arch_Insight</x:f>
        <x:v>0</x:v>
      </x:c>
      <x:c r="AN2089" s="32" t="n">
        <x:f>H2089*(v01_KHPerAdult*Z2089+v01_KHOfCommons*AJ2089/4*INDEX(LM_All,G2089))*v01_KHUsable*Arch_KH</x:f>
        <x:v>0</x:v>
      </x:c>
      <x:c r="AO2089" s="32" t="n">
        <x:f>MIN(AP2088+AN2089,AM2089*v01_KHMaxRatio)</x:f>
        <x:v>0</x:v>
      </x:c>
      <x:c r="AP2089" s="32" t="n">
        <x:f>AP2088+AN2089-AO2089</x:f>
        <x:v>0</x:v>
      </x:c>
      <x:c r="AQ2089" s="32" t="n">
        <x:f>AM2089+AO2089</x:f>
        <x:v>0</x:v>
      </x:c>
      <x:c r="AR2089" s="10" t="n">
        <x:f>IF(H2089=1,INDEX(v01_Req,G2089),0)</x:f>
        <x:v>0</x:v>
      </x:c>
      <x:c r="AS2089" s="32" t="n">
        <x:f>IF(H2089=1,IF(E2089=1,AS2088-AR2088,AS2088)+AQ2089,0)</x:f>
        <x:v>0</x:v>
      </x:c>
      <x:c r="AT2089" s="11" t="n">
        <x:f>IF(AR2089&gt;0,MIN(1,AS2089/AR2089),1)</x:f>
        <x:v>1</x:v>
      </x:c>
      <x:c r="AU2089" s="10" t="n">
        <x:f>AB2089/INDEX(v01_RepScale,G2089)</x:f>
        <x:v>90.09519605746344</x:v>
      </x:c>
      <x:c r="AV2089" s="32" t="n">
        <x:f>AM2089*60/v01_SeasonSeconds</x:f>
        <x:v>0</x:v>
      </x:c>
    </x:row>
    <x:row r="2090">
      <x:c r="A2090" s="8" t="n">
        <x:f>A2089+1</x:f>
        <x:v>2087</x:v>
      </x:c>
      <x:c r="B2090" s="9" t="n">
        <x:f>A2090*v01_SeasonSeconds/60</x:f>
        <x:v>521.75</x:v>
      </x:c>
      <x:c r="C2090" s="9" t="n">
        <x:f>A2090/4</x:f>
        <x:v>521.75</x:v>
      </x:c>
      <x:c r="D2090" s="8" t="n">
        <x:f>IF(MOD(A2090,4)=0,1,0)</x:f>
        <x:v>0</x:v>
      </x:c>
      <x:c r="E2090" s="8" t="n">
        <x:f>IF(AND(F2089&lt;=9,AS2089&gt;=AR2089),1,0)</x:f>
        <x:v>0</x:v>
      </x:c>
      <x:c r="F2090" s="8" t="n">
        <x:f>MIN(10,F2089+E2090)</x:f>
        <x:v>10</x:v>
      </x:c>
      <x:c r="G2090" s="8" t="n">
        <x:f>MIN(F2090,9)+1</x:f>
        <x:v>10</x:v>
      </x:c>
      <x:c r="H2090" s="8" t="n">
        <x:f>IF(F2090&lt;=9,1,0)</x:f>
        <x:v>0</x:v>
      </x:c>
      <x:c r="I2090" s="9" t="n">
        <x:f>MIN(10,F2089+IF(AR2089&gt;0,MIN(1,AS2089/AR2089),1))</x:f>
        <x:v>10</x:v>
      </x:c>
      <x:c r="J2090" s="32" t="n">
        <x:f>INDEX(v01_FoodCap,G2090)*Arch_FoodCap*EXP(v01_CapsByProject*SUMPRODUCT((Cap_Point&lt;=I2090)*(Cap_Kind="Food")*Cap_Ln))</x:f>
        <x:v>12000</x:v>
      </x:c>
      <x:c r="K2090" s="32" t="n">
        <x:f>J2090*MIN(1,v01_LeanBase*EXP(v01_CapsByProject*SUMPRODUCT((Cap_Point&lt;=I2090)*(Cap_Kind="Lean")*Cap_Ln)))</x:f>
        <x:v>12000</x:v>
      </x:c>
      <x:c r="L2090" s="10" t="n">
        <x:f>INDEX(v01_HousingCap,G2090)*EXP(v01_CapsByProject*SUMPRODUCT((Cap_Point&lt;=I2090)*(Cap_Kind="Housing")*Cap_Ln))</x:f>
        <x:v>20000</x:v>
      </x:c>
      <x:c r="M2090" s="10" t="n">
        <x:f>INDEX(v01_GroupCap,G2090)*v01_CohesionFactor*EXP(v01_CapsByProject*SUMPRODUCT((Cap_Point&lt;=I2090)*(Cap_Kind="Group")*Cap_Ln))</x:f>
        <x:v>1000000</x:v>
      </x:c>
      <x:c r="N2090" s="32" t="n">
        <x:f>MIN(J2090,L2090,M2090)</x:f>
        <x:v>12000</x:v>
      </x:c>
      <x:c r="O2090" s="10" t="n">
        <x:f>AE2089*N2090</x:f>
        <x:v>180000</x:v>
      </x:c>
      <x:c r="P2090" s="9" t="n">
        <x:f>MIN(1,(AB2089/(AE2089*IF(v01_GroupInCrowding=1,N2090,MIN(J2090,L2090))))^v01_CrowdingExp)</x:f>
        <x:v>0.00024569414295285325</x:v>
      </x:c>
      <x:c r="Q2090" s="9" t="n">
        <x:f>IF(D2090=1,INDEX(v01_WinterMult,G2090),1)</x:f>
        <x:v>1</x:v>
      </x:c>
      <x:c r="R2090" s="9" t="n">
        <x:f>H2090*Z2089*v01_WomenShare*v01_BaseFertility*INDEX(v01_FertMult,G2090)*Arch_Fertility*(1-P2090)</x:f>
        <x:v>0</x:v>
      </x:c>
      <x:c r="S2090" s="9" t="n">
        <x:f>H2090*Y2089*INDEX(v01_MortChild,G2090)/4*Q2090</x:f>
        <x:v>0</x:v>
      </x:c>
      <x:c r="T2090" s="9" t="n">
        <x:f>H2090*Z2089*INDEX(v01_MortAdult,G2090)*Arch_AdultMort/4*Q2090</x:f>
        <x:v>0</x:v>
      </x:c>
      <x:c r="U2090" s="9" t="n">
        <x:f>H2090*AA2089*INDEX(v01_MortElder,G2090)/4*Q2090</x:f>
        <x:v>0</x:v>
      </x:c>
      <x:c r="V2090" s="9" t="n">
        <x:f>H2090*MAX(0,AB2089-O2090)*v01_OvercapLoss</x:f>
        <x:v>0</x:v>
      </x:c>
      <x:c r="W2090" s="9" t="n">
        <x:f>H2090*Y2089/(v01_ChildYears*4)</x:f>
        <x:v>0</x:v>
      </x:c>
      <x:c r="X2090" s="9" t="n">
        <x:f>H2090*Z2089/(v01_AdultYears*4)</x:f>
        <x:v>0</x:v>
      </x:c>
      <x:c r="Y2090" s="32" t="n">
        <x:f>Y2089+R2090-S2090-W2090-Y2089*V2090/AB2089</x:f>
        <x:v>14306.18539759397</x:v>
      </x:c>
      <x:c r="Z2090" s="32" t="n">
        <x:f>Z2089+W2090-X2090-T2090-Z2089*V2090/AB2089</x:f>
        <x:v>19354.456567879548</x:v>
      </x:c>
      <x:c r="AA2090" s="32" t="n">
        <x:f>AA2089+X2090-U2090-AA2089*V2090/AB2089</x:f>
        <x:v>11386.956063258198</x:v>
      </x:c>
      <x:c r="AB2090" s="10" t="n">
        <x:f>Y2090+Z2090+AA2090</x:f>
        <x:v>45047.59802873172</x:v>
      </x:c>
      <x:c r="AC2090" s="8" t="n">
        <x:f>IF(AND(v01_WinterTrigger=1,D2090=1,AB2089/AE2089&gt;=K2090),1,0)</x:f>
        <x:v>0</x:v>
      </x:c>
      <x:c r="AD2090" s="8" t="n">
        <x:f>H2090*IF(AND(OR(AB2089/AE2089&gt;=v01_FissionTrigger*N2090,AC2090=1),AB2089/AE2089*v01_DaughterShare&gt;=v01_MinDaughter),MAX(1,ROUND(AE2089*v01_FissionRate,0)),0)</x:f>
        <x:v>0</x:v>
      </x:c>
      <x:c r="AE2090" s="8" t="n">
        <x:f>IF(H2090=1,MAX(1,MIN(INDEX(v01_Smax,G2090),AE2089+AD2090)),AE2089)</x:f>
        <x:v>15</x:v>
      </x:c>
      <x:c r="AF2090" s="8" t="n">
        <x:f>MAX(0,AE2090-AE2089)</x:f>
        <x:v>0</x:v>
      </x:c>
      <x:c r="AG2090" s="9" t="str">
        <x:f>IF(AF2090&gt;0,B2090,"")</x:f>
      </x:c>
      <x:c r="AH2090" s="9" t="n">
        <x:f>IF(F2090&gt;=1,1,(1+v01_LowTiesShare*(AE2090-1))/AE2090)</x:f>
        <x:v>1</x:v>
      </x:c>
      <x:c r="AI2090" s="32" t="n">
        <x:f>(Z2090+v01_ElderCommons*INDEX(LM_Elder,G2090)*AA2090)*AH2090</x:f>
        <x:v>64139.732591141874</x:v>
      </x:c>
      <x:c r="AJ2090" s="32" t="n">
        <x:f>H2090*v01_CommonsCoef*AI2090^v01_CommonsExp*INDEX(LM_Commons,G2090)</x:f>
        <x:v>0</x:v>
      </x:c>
      <x:c r="AK2090" s="32" t="n">
        <x:f>H2090*v01_RoleScale*Arch_Roles*(AE2090*(INDEX(v01_ElderRolePerSett,G2090)*v01_OutElder*INDEX(LM_Elder,G2090)+INDEX(v01_ShamanPerSett,G2090)*v01_OutShaman)+Z2090*(INDEX(v01_PriestShare,G2090)*v01_OutPriest+INDEX(v01_ScribeShare,G2090)*v01_OutScribe*INDEX(LM_Scribe,G2090)+INDEX(v01_ScholarShare,G2090)*v01_OutScholar*INDEX(LM_Scholar,G2090)+INDEX(v01_ResearcherShare,G2090)*v01_OutResearcher*INDEX(LM_Researcher,G2090)))</x:f>
        <x:v>0</x:v>
      </x:c>
      <x:c r="AL2090" s="32" t="n">
        <x:f>H2090*v01_RoleScale*Arch_Roles*AE2090*INDEX(v01_MonasteryPerSett,G2090)*v01_OutMonastery*INDEX(LM_Monastery,G2090)</x:f>
        <x:v>0</x:v>
      </x:c>
      <x:c r="AM2090" s="32" t="n">
        <x:f>(AJ2090+AK2090+AL2090)/4*INDEX(LM_All,G2090)*INDEX(v01_Boon,G2090)*Arch_Insight</x:f>
        <x:v>0</x:v>
      </x:c>
      <x:c r="AN2090" s="32" t="n">
        <x:f>H2090*(v01_KHPerAdult*Z2090+v01_KHOfCommons*AJ2090/4*INDEX(LM_All,G2090))*v01_KHUsable*Arch_KH</x:f>
        <x:v>0</x:v>
      </x:c>
      <x:c r="AO2090" s="32" t="n">
        <x:f>MIN(AP2089+AN2090,AM2090*v01_KHMaxRatio)</x:f>
        <x:v>0</x:v>
      </x:c>
      <x:c r="AP2090" s="32" t="n">
        <x:f>AP2089+AN2090-AO2090</x:f>
        <x:v>0</x:v>
      </x:c>
      <x:c r="AQ2090" s="32" t="n">
        <x:f>AM2090+AO2090</x:f>
        <x:v>0</x:v>
      </x:c>
      <x:c r="AR2090" s="10" t="n">
        <x:f>IF(H2090=1,INDEX(v01_Req,G2090),0)</x:f>
        <x:v>0</x:v>
      </x:c>
      <x:c r="AS2090" s="32" t="n">
        <x:f>IF(H2090=1,IF(E2090=1,AS2089-AR2089,AS2089)+AQ2090,0)</x:f>
        <x:v>0</x:v>
      </x:c>
      <x:c r="AT2090" s="11" t="n">
        <x:f>IF(AR2090&gt;0,MIN(1,AS2090/AR2090),1)</x:f>
        <x:v>1</x:v>
      </x:c>
      <x:c r="AU2090" s="10" t="n">
        <x:f>AB2090/INDEX(v01_RepScale,G2090)</x:f>
        <x:v>90.09519605746344</x:v>
      </x:c>
      <x:c r="AV2090" s="32" t="n">
        <x:f>AM2090*60/v01_SeasonSeconds</x:f>
        <x:v>0</x:v>
      </x:c>
    </x:row>
    <x:row r="2091">
      <x:c r="A2091" s="8" t="n">
        <x:f>A2090+1</x:f>
        <x:v>2088</x:v>
      </x:c>
      <x:c r="B2091" s="9" t="n">
        <x:f>A2091*v01_SeasonSeconds/60</x:f>
        <x:v>522</x:v>
      </x:c>
      <x:c r="C2091" s="9" t="n">
        <x:f>A2091/4</x:f>
        <x:v>522</x:v>
      </x:c>
      <x:c r="D2091" s="8" t="n">
        <x:f>IF(MOD(A2091,4)=0,1,0)</x:f>
        <x:v>1</x:v>
      </x:c>
      <x:c r="E2091" s="8" t="n">
        <x:f>IF(AND(F2090&lt;=9,AS2090&gt;=AR2090),1,0)</x:f>
        <x:v>0</x:v>
      </x:c>
      <x:c r="F2091" s="8" t="n">
        <x:f>MIN(10,F2090+E2091)</x:f>
        <x:v>10</x:v>
      </x:c>
      <x:c r="G2091" s="8" t="n">
        <x:f>MIN(F2091,9)+1</x:f>
        <x:v>10</x:v>
      </x:c>
      <x:c r="H2091" s="8" t="n">
        <x:f>IF(F2091&lt;=9,1,0)</x:f>
        <x:v>0</x:v>
      </x:c>
      <x:c r="I2091" s="9" t="n">
        <x:f>MIN(10,F2090+IF(AR2090&gt;0,MIN(1,AS2090/AR2090),1))</x:f>
        <x:v>10</x:v>
      </x:c>
      <x:c r="J2091" s="32" t="n">
        <x:f>INDEX(v01_FoodCap,G2091)*Arch_FoodCap*EXP(v01_CapsByProject*SUMPRODUCT((Cap_Point&lt;=I2091)*(Cap_Kind="Food")*Cap_Ln))</x:f>
        <x:v>12000</x:v>
      </x:c>
      <x:c r="K2091" s="32" t="n">
        <x:f>J2091*MIN(1,v01_LeanBase*EXP(v01_CapsByProject*SUMPRODUCT((Cap_Point&lt;=I2091)*(Cap_Kind="Lean")*Cap_Ln)))</x:f>
        <x:v>12000</x:v>
      </x:c>
      <x:c r="L2091" s="10" t="n">
        <x:f>INDEX(v01_HousingCap,G2091)*EXP(v01_CapsByProject*SUMPRODUCT((Cap_Point&lt;=I2091)*(Cap_Kind="Housing")*Cap_Ln))</x:f>
        <x:v>20000</x:v>
      </x:c>
      <x:c r="M2091" s="10" t="n">
        <x:f>INDEX(v01_GroupCap,G2091)*v01_CohesionFactor*EXP(v01_CapsByProject*SUMPRODUCT((Cap_Point&lt;=I2091)*(Cap_Kind="Group")*Cap_Ln))</x:f>
        <x:v>1000000</x:v>
      </x:c>
      <x:c r="N2091" s="32" t="n">
        <x:f>MIN(J2091,L2091,M2091)</x:f>
        <x:v>12000</x:v>
      </x:c>
      <x:c r="O2091" s="10" t="n">
        <x:f>AE2090*N2091</x:f>
        <x:v>180000</x:v>
      </x:c>
      <x:c r="P2091" s="9" t="n">
        <x:f>MIN(1,(AB2090/(AE2090*IF(v01_GroupInCrowding=1,N2091,MIN(J2091,L2091))))^v01_CrowdingExp)</x:f>
        <x:v>0.00024569414295285325</x:v>
      </x:c>
      <x:c r="Q2091" s="9" t="n">
        <x:f>IF(D2091=1,INDEX(v01_WinterMult,G2091),1)</x:f>
        <x:v>1</x:v>
      </x:c>
      <x:c r="R2091" s="9" t="n">
        <x:f>H2091*Z2090*v01_WomenShare*v01_BaseFertility*INDEX(v01_FertMult,G2091)*Arch_Fertility*(1-P2091)</x:f>
        <x:v>0</x:v>
      </x:c>
      <x:c r="S2091" s="9" t="n">
        <x:f>H2091*Y2090*INDEX(v01_MortChild,G2091)/4*Q2091</x:f>
        <x:v>0</x:v>
      </x:c>
      <x:c r="T2091" s="9" t="n">
        <x:f>H2091*Z2090*INDEX(v01_MortAdult,G2091)*Arch_AdultMort/4*Q2091</x:f>
        <x:v>0</x:v>
      </x:c>
      <x:c r="U2091" s="9" t="n">
        <x:f>H2091*AA2090*INDEX(v01_MortElder,G2091)/4*Q2091</x:f>
        <x:v>0</x:v>
      </x:c>
      <x:c r="V2091" s="9" t="n">
        <x:f>H2091*MAX(0,AB2090-O2091)*v01_OvercapLoss</x:f>
        <x:v>0</x:v>
      </x:c>
      <x:c r="W2091" s="9" t="n">
        <x:f>H2091*Y2090/(v01_ChildYears*4)</x:f>
        <x:v>0</x:v>
      </x:c>
      <x:c r="X2091" s="9" t="n">
        <x:f>H2091*Z2090/(v01_AdultYears*4)</x:f>
        <x:v>0</x:v>
      </x:c>
      <x:c r="Y2091" s="32" t="n">
        <x:f>Y2090+R2091-S2091-W2091-Y2090*V2091/AB2090</x:f>
        <x:v>14306.18539759397</x:v>
      </x:c>
      <x:c r="Z2091" s="32" t="n">
        <x:f>Z2090+W2091-X2091-T2091-Z2090*V2091/AB2090</x:f>
        <x:v>19354.456567879548</x:v>
      </x:c>
      <x:c r="AA2091" s="32" t="n">
        <x:f>AA2090+X2091-U2091-AA2090*V2091/AB2090</x:f>
        <x:v>11386.956063258198</x:v>
      </x:c>
      <x:c r="AB2091" s="10" t="n">
        <x:f>Y2091+Z2091+AA2091</x:f>
        <x:v>45047.59802873172</x:v>
      </x:c>
      <x:c r="AC2091" s="8" t="n">
        <x:f>IF(AND(v01_WinterTrigger=1,D2091=1,AB2090/AE2090&gt;=K2091),1,0)</x:f>
        <x:v>0</x:v>
      </x:c>
      <x:c r="AD2091" s="8" t="n">
        <x:f>H2091*IF(AND(OR(AB2090/AE2090&gt;=v01_FissionTrigger*N2091,AC2091=1),AB2090/AE2090*v01_DaughterShare&gt;=v01_MinDaughter),MAX(1,ROUND(AE2090*v01_FissionRate,0)),0)</x:f>
        <x:v>0</x:v>
      </x:c>
      <x:c r="AE2091" s="8" t="n">
        <x:f>IF(H2091=1,MAX(1,MIN(INDEX(v01_Smax,G2091),AE2090+AD2091)),AE2090)</x:f>
        <x:v>15</x:v>
      </x:c>
      <x:c r="AF2091" s="8" t="n">
        <x:f>MAX(0,AE2091-AE2090)</x:f>
        <x:v>0</x:v>
      </x:c>
      <x:c r="AG2091" s="9" t="str">
        <x:f>IF(AF2091&gt;0,B2091,"")</x:f>
      </x:c>
      <x:c r="AH2091" s="9" t="n">
        <x:f>IF(F2091&gt;=1,1,(1+v01_LowTiesShare*(AE2091-1))/AE2091)</x:f>
        <x:v>1</x:v>
      </x:c>
      <x:c r="AI2091" s="32" t="n">
        <x:f>(Z2091+v01_ElderCommons*INDEX(LM_Elder,G2091)*AA2091)*AH2091</x:f>
        <x:v>64139.732591141874</x:v>
      </x:c>
      <x:c r="AJ2091" s="32" t="n">
        <x:f>H2091*v01_CommonsCoef*AI2091^v01_CommonsExp*INDEX(LM_Commons,G2091)</x:f>
        <x:v>0</x:v>
      </x:c>
      <x:c r="AK2091" s="32" t="n">
        <x:f>H2091*v01_RoleScale*Arch_Roles*(AE2091*(INDEX(v01_ElderRolePerSett,G2091)*v01_OutElder*INDEX(LM_Elder,G2091)+INDEX(v01_ShamanPerSett,G2091)*v01_OutShaman)+Z2091*(INDEX(v01_PriestShare,G2091)*v01_OutPriest+INDEX(v01_ScribeShare,G2091)*v01_OutScribe*INDEX(LM_Scribe,G2091)+INDEX(v01_ScholarShare,G2091)*v01_OutScholar*INDEX(LM_Scholar,G2091)+INDEX(v01_ResearcherShare,G2091)*v01_OutResearcher*INDEX(LM_Researcher,G2091)))</x:f>
        <x:v>0</x:v>
      </x:c>
      <x:c r="AL2091" s="32" t="n">
        <x:f>H2091*v01_RoleScale*Arch_Roles*AE2091*INDEX(v01_MonasteryPerSett,G2091)*v01_OutMonastery*INDEX(LM_Monastery,G2091)</x:f>
        <x:v>0</x:v>
      </x:c>
      <x:c r="AM2091" s="32" t="n">
        <x:f>(AJ2091+AK2091+AL2091)/4*INDEX(LM_All,G2091)*INDEX(v01_Boon,G2091)*Arch_Insight</x:f>
        <x:v>0</x:v>
      </x:c>
      <x:c r="AN2091" s="32" t="n">
        <x:f>H2091*(v01_KHPerAdult*Z2091+v01_KHOfCommons*AJ2091/4*INDEX(LM_All,G2091))*v01_KHUsable*Arch_KH</x:f>
        <x:v>0</x:v>
      </x:c>
      <x:c r="AO2091" s="32" t="n">
        <x:f>MIN(AP2090+AN2091,AM2091*v01_KHMaxRatio)</x:f>
        <x:v>0</x:v>
      </x:c>
      <x:c r="AP2091" s="32" t="n">
        <x:f>AP2090+AN2091-AO2091</x:f>
        <x:v>0</x:v>
      </x:c>
      <x:c r="AQ2091" s="32" t="n">
        <x:f>AM2091+AO2091</x:f>
        <x:v>0</x:v>
      </x:c>
      <x:c r="AR2091" s="10" t="n">
        <x:f>IF(H2091=1,INDEX(v01_Req,G2091),0)</x:f>
        <x:v>0</x:v>
      </x:c>
      <x:c r="AS2091" s="32" t="n">
        <x:f>IF(H2091=1,IF(E2091=1,AS2090-AR2090,AS2090)+AQ2091,0)</x:f>
        <x:v>0</x:v>
      </x:c>
      <x:c r="AT2091" s="11" t="n">
        <x:f>IF(AR2091&gt;0,MIN(1,AS2091/AR2091),1)</x:f>
        <x:v>1</x:v>
      </x:c>
      <x:c r="AU2091" s="10" t="n">
        <x:f>AB2091/INDEX(v01_RepScale,G2091)</x:f>
        <x:v>90.09519605746344</x:v>
      </x:c>
      <x:c r="AV2091" s="32" t="n">
        <x:f>AM2091*60/v01_SeasonSeconds</x:f>
        <x:v>0</x:v>
      </x:c>
    </x:row>
    <x:row r="2092">
      <x:c r="A2092" s="8" t="n">
        <x:f>A2091+1</x:f>
        <x:v>2089</x:v>
      </x:c>
      <x:c r="B2092" s="9" t="n">
        <x:f>A2092*v01_SeasonSeconds/60</x:f>
        <x:v>522.25</x:v>
      </x:c>
      <x:c r="C2092" s="9" t="n">
        <x:f>A2092/4</x:f>
        <x:v>522.25</x:v>
      </x:c>
      <x:c r="D2092" s="8" t="n">
        <x:f>IF(MOD(A2092,4)=0,1,0)</x:f>
        <x:v>0</x:v>
      </x:c>
      <x:c r="E2092" s="8" t="n">
        <x:f>IF(AND(F2091&lt;=9,AS2091&gt;=AR2091),1,0)</x:f>
        <x:v>0</x:v>
      </x:c>
      <x:c r="F2092" s="8" t="n">
        <x:f>MIN(10,F2091+E2092)</x:f>
        <x:v>10</x:v>
      </x:c>
      <x:c r="G2092" s="8" t="n">
        <x:f>MIN(F2092,9)+1</x:f>
        <x:v>10</x:v>
      </x:c>
      <x:c r="H2092" s="8" t="n">
        <x:f>IF(F2092&lt;=9,1,0)</x:f>
        <x:v>0</x:v>
      </x:c>
      <x:c r="I2092" s="9" t="n">
        <x:f>MIN(10,F2091+IF(AR2091&gt;0,MIN(1,AS2091/AR2091),1))</x:f>
        <x:v>10</x:v>
      </x:c>
      <x:c r="J2092" s="32" t="n">
        <x:f>INDEX(v01_FoodCap,G2092)*Arch_FoodCap*EXP(v01_CapsByProject*SUMPRODUCT((Cap_Point&lt;=I2092)*(Cap_Kind="Food")*Cap_Ln))</x:f>
        <x:v>12000</x:v>
      </x:c>
      <x:c r="K2092" s="32" t="n">
        <x:f>J2092*MIN(1,v01_LeanBase*EXP(v01_CapsByProject*SUMPRODUCT((Cap_Point&lt;=I2092)*(Cap_Kind="Lean")*Cap_Ln)))</x:f>
        <x:v>12000</x:v>
      </x:c>
      <x:c r="L2092" s="10" t="n">
        <x:f>INDEX(v01_HousingCap,G2092)*EXP(v01_CapsByProject*SUMPRODUCT((Cap_Point&lt;=I2092)*(Cap_Kind="Housing")*Cap_Ln))</x:f>
        <x:v>20000</x:v>
      </x:c>
      <x:c r="M2092" s="10" t="n">
        <x:f>INDEX(v01_GroupCap,G2092)*v01_CohesionFactor*EXP(v01_CapsByProject*SUMPRODUCT((Cap_Point&lt;=I2092)*(Cap_Kind="Group")*Cap_Ln))</x:f>
        <x:v>1000000</x:v>
      </x:c>
      <x:c r="N2092" s="32" t="n">
        <x:f>MIN(J2092,L2092,M2092)</x:f>
        <x:v>12000</x:v>
      </x:c>
      <x:c r="O2092" s="10" t="n">
        <x:f>AE2091*N2092</x:f>
        <x:v>180000</x:v>
      </x:c>
      <x:c r="P2092" s="9" t="n">
        <x:f>MIN(1,(AB2091/(AE2091*IF(v01_GroupInCrowding=1,N2092,MIN(J2092,L2092))))^v01_CrowdingExp)</x:f>
        <x:v>0.00024569414295285325</x:v>
      </x:c>
      <x:c r="Q2092" s="9" t="n">
        <x:f>IF(D2092=1,INDEX(v01_WinterMult,G2092),1)</x:f>
        <x:v>1</x:v>
      </x:c>
      <x:c r="R2092" s="9" t="n">
        <x:f>H2092*Z2091*v01_WomenShare*v01_BaseFertility*INDEX(v01_FertMult,G2092)*Arch_Fertility*(1-P2092)</x:f>
        <x:v>0</x:v>
      </x:c>
      <x:c r="S2092" s="9" t="n">
        <x:f>H2092*Y2091*INDEX(v01_MortChild,G2092)/4*Q2092</x:f>
        <x:v>0</x:v>
      </x:c>
      <x:c r="T2092" s="9" t="n">
        <x:f>H2092*Z2091*INDEX(v01_MortAdult,G2092)*Arch_AdultMort/4*Q2092</x:f>
        <x:v>0</x:v>
      </x:c>
      <x:c r="U2092" s="9" t="n">
        <x:f>H2092*AA2091*INDEX(v01_MortElder,G2092)/4*Q2092</x:f>
        <x:v>0</x:v>
      </x:c>
      <x:c r="V2092" s="9" t="n">
        <x:f>H2092*MAX(0,AB2091-O2092)*v01_OvercapLoss</x:f>
        <x:v>0</x:v>
      </x:c>
      <x:c r="W2092" s="9" t="n">
        <x:f>H2092*Y2091/(v01_ChildYears*4)</x:f>
        <x:v>0</x:v>
      </x:c>
      <x:c r="X2092" s="9" t="n">
        <x:f>H2092*Z2091/(v01_AdultYears*4)</x:f>
        <x:v>0</x:v>
      </x:c>
      <x:c r="Y2092" s="32" t="n">
        <x:f>Y2091+R2092-S2092-W2092-Y2091*V2092/AB2091</x:f>
        <x:v>14306.18539759397</x:v>
      </x:c>
      <x:c r="Z2092" s="32" t="n">
        <x:f>Z2091+W2092-X2092-T2092-Z2091*V2092/AB2091</x:f>
        <x:v>19354.456567879548</x:v>
      </x:c>
      <x:c r="AA2092" s="32" t="n">
        <x:f>AA2091+X2092-U2092-AA2091*V2092/AB2091</x:f>
        <x:v>11386.956063258198</x:v>
      </x:c>
      <x:c r="AB2092" s="10" t="n">
        <x:f>Y2092+Z2092+AA2092</x:f>
        <x:v>45047.59802873172</x:v>
      </x:c>
      <x:c r="AC2092" s="8" t="n">
        <x:f>IF(AND(v01_WinterTrigger=1,D2092=1,AB2091/AE2091&gt;=K2092),1,0)</x:f>
        <x:v>0</x:v>
      </x:c>
      <x:c r="AD2092" s="8" t="n">
        <x:f>H2092*IF(AND(OR(AB2091/AE2091&gt;=v01_FissionTrigger*N2092,AC2092=1),AB2091/AE2091*v01_DaughterShare&gt;=v01_MinDaughter),MAX(1,ROUND(AE2091*v01_FissionRate,0)),0)</x:f>
        <x:v>0</x:v>
      </x:c>
      <x:c r="AE2092" s="8" t="n">
        <x:f>IF(H2092=1,MAX(1,MIN(INDEX(v01_Smax,G2092),AE2091+AD2092)),AE2091)</x:f>
        <x:v>15</x:v>
      </x:c>
      <x:c r="AF2092" s="8" t="n">
        <x:f>MAX(0,AE2092-AE2091)</x:f>
        <x:v>0</x:v>
      </x:c>
      <x:c r="AG2092" s="9" t="str">
        <x:f>IF(AF2092&gt;0,B2092,"")</x:f>
      </x:c>
      <x:c r="AH2092" s="9" t="n">
        <x:f>IF(F2092&gt;=1,1,(1+v01_LowTiesShare*(AE2092-1))/AE2092)</x:f>
        <x:v>1</x:v>
      </x:c>
      <x:c r="AI2092" s="32" t="n">
        <x:f>(Z2092+v01_ElderCommons*INDEX(LM_Elder,G2092)*AA2092)*AH2092</x:f>
        <x:v>64139.732591141874</x:v>
      </x:c>
      <x:c r="AJ2092" s="32" t="n">
        <x:f>H2092*v01_CommonsCoef*AI2092^v01_CommonsExp*INDEX(LM_Commons,G2092)</x:f>
        <x:v>0</x:v>
      </x:c>
      <x:c r="AK2092" s="32" t="n">
        <x:f>H2092*v01_RoleScale*Arch_Roles*(AE2092*(INDEX(v01_ElderRolePerSett,G2092)*v01_OutElder*INDEX(LM_Elder,G2092)+INDEX(v01_ShamanPerSett,G2092)*v01_OutShaman)+Z2092*(INDEX(v01_PriestShare,G2092)*v01_OutPriest+INDEX(v01_ScribeShare,G2092)*v01_OutScribe*INDEX(LM_Scribe,G2092)+INDEX(v01_ScholarShare,G2092)*v01_OutScholar*INDEX(LM_Scholar,G2092)+INDEX(v01_ResearcherShare,G2092)*v01_OutResearcher*INDEX(LM_Researcher,G2092)))</x:f>
        <x:v>0</x:v>
      </x:c>
      <x:c r="AL2092" s="32" t="n">
        <x:f>H2092*v01_RoleScale*Arch_Roles*AE2092*INDEX(v01_MonasteryPerSett,G2092)*v01_OutMonastery*INDEX(LM_Monastery,G2092)</x:f>
        <x:v>0</x:v>
      </x:c>
      <x:c r="AM2092" s="32" t="n">
        <x:f>(AJ2092+AK2092+AL2092)/4*INDEX(LM_All,G2092)*INDEX(v01_Boon,G2092)*Arch_Insight</x:f>
        <x:v>0</x:v>
      </x:c>
      <x:c r="AN2092" s="32" t="n">
        <x:f>H2092*(v01_KHPerAdult*Z2092+v01_KHOfCommons*AJ2092/4*INDEX(LM_All,G2092))*v01_KHUsable*Arch_KH</x:f>
        <x:v>0</x:v>
      </x:c>
      <x:c r="AO2092" s="32" t="n">
        <x:f>MIN(AP2091+AN2092,AM2092*v01_KHMaxRatio)</x:f>
        <x:v>0</x:v>
      </x:c>
      <x:c r="AP2092" s="32" t="n">
        <x:f>AP2091+AN2092-AO2092</x:f>
        <x:v>0</x:v>
      </x:c>
      <x:c r="AQ2092" s="32" t="n">
        <x:f>AM2092+AO2092</x:f>
        <x:v>0</x:v>
      </x:c>
      <x:c r="AR2092" s="10" t="n">
        <x:f>IF(H2092=1,INDEX(v01_Req,G2092),0)</x:f>
        <x:v>0</x:v>
      </x:c>
      <x:c r="AS2092" s="32" t="n">
        <x:f>IF(H2092=1,IF(E2092=1,AS2091-AR2091,AS2091)+AQ2092,0)</x:f>
        <x:v>0</x:v>
      </x:c>
      <x:c r="AT2092" s="11" t="n">
        <x:f>IF(AR2092&gt;0,MIN(1,AS2092/AR2092),1)</x:f>
        <x:v>1</x:v>
      </x:c>
      <x:c r="AU2092" s="10" t="n">
        <x:f>AB2092/INDEX(v01_RepScale,G2092)</x:f>
        <x:v>90.09519605746344</x:v>
      </x:c>
      <x:c r="AV2092" s="32" t="n">
        <x:f>AM2092*60/v01_SeasonSeconds</x:f>
        <x:v>0</x:v>
      </x:c>
    </x:row>
    <x:row r="2093">
      <x:c r="A2093" s="8" t="n">
        <x:f>A2092+1</x:f>
        <x:v>2090</x:v>
      </x:c>
      <x:c r="B2093" s="9" t="n">
        <x:f>A2093*v01_SeasonSeconds/60</x:f>
        <x:v>522.5</x:v>
      </x:c>
      <x:c r="C2093" s="9" t="n">
        <x:f>A2093/4</x:f>
        <x:v>522.5</x:v>
      </x:c>
      <x:c r="D2093" s="8" t="n">
        <x:f>IF(MOD(A2093,4)=0,1,0)</x:f>
        <x:v>0</x:v>
      </x:c>
      <x:c r="E2093" s="8" t="n">
        <x:f>IF(AND(F2092&lt;=9,AS2092&gt;=AR2092),1,0)</x:f>
        <x:v>0</x:v>
      </x:c>
      <x:c r="F2093" s="8" t="n">
        <x:f>MIN(10,F2092+E2093)</x:f>
        <x:v>10</x:v>
      </x:c>
      <x:c r="G2093" s="8" t="n">
        <x:f>MIN(F2093,9)+1</x:f>
        <x:v>10</x:v>
      </x:c>
      <x:c r="H2093" s="8" t="n">
        <x:f>IF(F2093&lt;=9,1,0)</x:f>
        <x:v>0</x:v>
      </x:c>
      <x:c r="I2093" s="9" t="n">
        <x:f>MIN(10,F2092+IF(AR2092&gt;0,MIN(1,AS2092/AR2092),1))</x:f>
        <x:v>10</x:v>
      </x:c>
      <x:c r="J2093" s="32" t="n">
        <x:f>INDEX(v01_FoodCap,G2093)*Arch_FoodCap*EXP(v01_CapsByProject*SUMPRODUCT((Cap_Point&lt;=I2093)*(Cap_Kind="Food")*Cap_Ln))</x:f>
        <x:v>12000</x:v>
      </x:c>
      <x:c r="K2093" s="32" t="n">
        <x:f>J2093*MIN(1,v01_LeanBase*EXP(v01_CapsByProject*SUMPRODUCT((Cap_Point&lt;=I2093)*(Cap_Kind="Lean")*Cap_Ln)))</x:f>
        <x:v>12000</x:v>
      </x:c>
      <x:c r="L2093" s="10" t="n">
        <x:f>INDEX(v01_HousingCap,G2093)*EXP(v01_CapsByProject*SUMPRODUCT((Cap_Point&lt;=I2093)*(Cap_Kind="Housing")*Cap_Ln))</x:f>
        <x:v>20000</x:v>
      </x:c>
      <x:c r="M2093" s="10" t="n">
        <x:f>INDEX(v01_GroupCap,G2093)*v01_CohesionFactor*EXP(v01_CapsByProject*SUMPRODUCT((Cap_Point&lt;=I2093)*(Cap_Kind="Group")*Cap_Ln))</x:f>
        <x:v>1000000</x:v>
      </x:c>
      <x:c r="N2093" s="32" t="n">
        <x:f>MIN(J2093,L2093,M2093)</x:f>
        <x:v>12000</x:v>
      </x:c>
      <x:c r="O2093" s="10" t="n">
        <x:f>AE2092*N2093</x:f>
        <x:v>180000</x:v>
      </x:c>
      <x:c r="P2093" s="9" t="n">
        <x:f>MIN(1,(AB2092/(AE2092*IF(v01_GroupInCrowding=1,N2093,MIN(J2093,L2093))))^v01_CrowdingExp)</x:f>
        <x:v>0.00024569414295285325</x:v>
      </x:c>
      <x:c r="Q2093" s="9" t="n">
        <x:f>IF(D2093=1,INDEX(v01_WinterMult,G2093),1)</x:f>
        <x:v>1</x:v>
      </x:c>
      <x:c r="R2093" s="9" t="n">
        <x:f>H2093*Z2092*v01_WomenShare*v01_BaseFertility*INDEX(v01_FertMult,G2093)*Arch_Fertility*(1-P2093)</x:f>
        <x:v>0</x:v>
      </x:c>
      <x:c r="S2093" s="9" t="n">
        <x:f>H2093*Y2092*INDEX(v01_MortChild,G2093)/4*Q2093</x:f>
        <x:v>0</x:v>
      </x:c>
      <x:c r="T2093" s="9" t="n">
        <x:f>H2093*Z2092*INDEX(v01_MortAdult,G2093)*Arch_AdultMort/4*Q2093</x:f>
        <x:v>0</x:v>
      </x:c>
      <x:c r="U2093" s="9" t="n">
        <x:f>H2093*AA2092*INDEX(v01_MortElder,G2093)/4*Q2093</x:f>
        <x:v>0</x:v>
      </x:c>
      <x:c r="V2093" s="9" t="n">
        <x:f>H2093*MAX(0,AB2092-O2093)*v01_OvercapLoss</x:f>
        <x:v>0</x:v>
      </x:c>
      <x:c r="W2093" s="9" t="n">
        <x:f>H2093*Y2092/(v01_ChildYears*4)</x:f>
        <x:v>0</x:v>
      </x:c>
      <x:c r="X2093" s="9" t="n">
        <x:f>H2093*Z2092/(v01_AdultYears*4)</x:f>
        <x:v>0</x:v>
      </x:c>
      <x:c r="Y2093" s="32" t="n">
        <x:f>Y2092+R2093-S2093-W2093-Y2092*V2093/AB2092</x:f>
        <x:v>14306.18539759397</x:v>
      </x:c>
      <x:c r="Z2093" s="32" t="n">
        <x:f>Z2092+W2093-X2093-T2093-Z2092*V2093/AB2092</x:f>
        <x:v>19354.456567879548</x:v>
      </x:c>
      <x:c r="AA2093" s="32" t="n">
        <x:f>AA2092+X2093-U2093-AA2092*V2093/AB2092</x:f>
        <x:v>11386.956063258198</x:v>
      </x:c>
      <x:c r="AB2093" s="10" t="n">
        <x:f>Y2093+Z2093+AA2093</x:f>
        <x:v>45047.59802873172</x:v>
      </x:c>
      <x:c r="AC2093" s="8" t="n">
        <x:f>IF(AND(v01_WinterTrigger=1,D2093=1,AB2092/AE2092&gt;=K2093),1,0)</x:f>
        <x:v>0</x:v>
      </x:c>
      <x:c r="AD2093" s="8" t="n">
        <x:f>H2093*IF(AND(OR(AB2092/AE2092&gt;=v01_FissionTrigger*N2093,AC2093=1),AB2092/AE2092*v01_DaughterShare&gt;=v01_MinDaughter),MAX(1,ROUND(AE2092*v01_FissionRate,0)),0)</x:f>
        <x:v>0</x:v>
      </x:c>
      <x:c r="AE2093" s="8" t="n">
        <x:f>IF(H2093=1,MAX(1,MIN(INDEX(v01_Smax,G2093),AE2092+AD2093)),AE2092)</x:f>
        <x:v>15</x:v>
      </x:c>
      <x:c r="AF2093" s="8" t="n">
        <x:f>MAX(0,AE2093-AE2092)</x:f>
        <x:v>0</x:v>
      </x:c>
      <x:c r="AG2093" s="9" t="str">
        <x:f>IF(AF2093&gt;0,B2093,"")</x:f>
      </x:c>
      <x:c r="AH2093" s="9" t="n">
        <x:f>IF(F2093&gt;=1,1,(1+v01_LowTiesShare*(AE2093-1))/AE2093)</x:f>
        <x:v>1</x:v>
      </x:c>
      <x:c r="AI2093" s="32" t="n">
        <x:f>(Z2093+v01_ElderCommons*INDEX(LM_Elder,G2093)*AA2093)*AH2093</x:f>
        <x:v>64139.732591141874</x:v>
      </x:c>
      <x:c r="AJ2093" s="32" t="n">
        <x:f>H2093*v01_CommonsCoef*AI2093^v01_CommonsExp*INDEX(LM_Commons,G2093)</x:f>
        <x:v>0</x:v>
      </x:c>
      <x:c r="AK2093" s="32" t="n">
        <x:f>H2093*v01_RoleScale*Arch_Roles*(AE2093*(INDEX(v01_ElderRolePerSett,G2093)*v01_OutElder*INDEX(LM_Elder,G2093)+INDEX(v01_ShamanPerSett,G2093)*v01_OutShaman)+Z2093*(INDEX(v01_PriestShare,G2093)*v01_OutPriest+INDEX(v01_ScribeShare,G2093)*v01_OutScribe*INDEX(LM_Scribe,G2093)+INDEX(v01_ScholarShare,G2093)*v01_OutScholar*INDEX(LM_Scholar,G2093)+INDEX(v01_ResearcherShare,G2093)*v01_OutResearcher*INDEX(LM_Researcher,G2093)))</x:f>
        <x:v>0</x:v>
      </x:c>
      <x:c r="AL2093" s="32" t="n">
        <x:f>H2093*v01_RoleScale*Arch_Roles*AE2093*INDEX(v01_MonasteryPerSett,G2093)*v01_OutMonastery*INDEX(LM_Monastery,G2093)</x:f>
        <x:v>0</x:v>
      </x:c>
      <x:c r="AM2093" s="32" t="n">
        <x:f>(AJ2093+AK2093+AL2093)/4*INDEX(LM_All,G2093)*INDEX(v01_Boon,G2093)*Arch_Insight</x:f>
        <x:v>0</x:v>
      </x:c>
      <x:c r="AN2093" s="32" t="n">
        <x:f>H2093*(v01_KHPerAdult*Z2093+v01_KHOfCommons*AJ2093/4*INDEX(LM_All,G2093))*v01_KHUsable*Arch_KH</x:f>
        <x:v>0</x:v>
      </x:c>
      <x:c r="AO2093" s="32" t="n">
        <x:f>MIN(AP2092+AN2093,AM2093*v01_KHMaxRatio)</x:f>
        <x:v>0</x:v>
      </x:c>
      <x:c r="AP2093" s="32" t="n">
        <x:f>AP2092+AN2093-AO2093</x:f>
        <x:v>0</x:v>
      </x:c>
      <x:c r="AQ2093" s="32" t="n">
        <x:f>AM2093+AO2093</x:f>
        <x:v>0</x:v>
      </x:c>
      <x:c r="AR2093" s="10" t="n">
        <x:f>IF(H2093=1,INDEX(v01_Req,G2093),0)</x:f>
        <x:v>0</x:v>
      </x:c>
      <x:c r="AS2093" s="32" t="n">
        <x:f>IF(H2093=1,IF(E2093=1,AS2092-AR2092,AS2092)+AQ2093,0)</x:f>
        <x:v>0</x:v>
      </x:c>
      <x:c r="AT2093" s="11" t="n">
        <x:f>IF(AR2093&gt;0,MIN(1,AS2093/AR2093),1)</x:f>
        <x:v>1</x:v>
      </x:c>
      <x:c r="AU2093" s="10" t="n">
        <x:f>AB2093/INDEX(v01_RepScale,G2093)</x:f>
        <x:v>90.09519605746344</x:v>
      </x:c>
      <x:c r="AV2093" s="32" t="n">
        <x:f>AM2093*60/v01_SeasonSeconds</x:f>
        <x:v>0</x:v>
      </x:c>
    </x:row>
    <x:row r="2094">
      <x:c r="A2094" s="8" t="n">
        <x:f>A2093+1</x:f>
        <x:v>2091</x:v>
      </x:c>
      <x:c r="B2094" s="9" t="n">
        <x:f>A2094*v01_SeasonSeconds/60</x:f>
        <x:v>522.75</x:v>
      </x:c>
      <x:c r="C2094" s="9" t="n">
        <x:f>A2094/4</x:f>
        <x:v>522.75</x:v>
      </x:c>
      <x:c r="D2094" s="8" t="n">
        <x:f>IF(MOD(A2094,4)=0,1,0)</x:f>
        <x:v>0</x:v>
      </x:c>
      <x:c r="E2094" s="8" t="n">
        <x:f>IF(AND(F2093&lt;=9,AS2093&gt;=AR2093),1,0)</x:f>
        <x:v>0</x:v>
      </x:c>
      <x:c r="F2094" s="8" t="n">
        <x:f>MIN(10,F2093+E2094)</x:f>
        <x:v>10</x:v>
      </x:c>
      <x:c r="G2094" s="8" t="n">
        <x:f>MIN(F2094,9)+1</x:f>
        <x:v>10</x:v>
      </x:c>
      <x:c r="H2094" s="8" t="n">
        <x:f>IF(F2094&lt;=9,1,0)</x:f>
        <x:v>0</x:v>
      </x:c>
      <x:c r="I2094" s="9" t="n">
        <x:f>MIN(10,F2093+IF(AR2093&gt;0,MIN(1,AS2093/AR2093),1))</x:f>
        <x:v>10</x:v>
      </x:c>
      <x:c r="J2094" s="32" t="n">
        <x:f>INDEX(v01_FoodCap,G2094)*Arch_FoodCap*EXP(v01_CapsByProject*SUMPRODUCT((Cap_Point&lt;=I2094)*(Cap_Kind="Food")*Cap_Ln))</x:f>
        <x:v>12000</x:v>
      </x:c>
      <x:c r="K2094" s="32" t="n">
        <x:f>J2094*MIN(1,v01_LeanBase*EXP(v01_CapsByProject*SUMPRODUCT((Cap_Point&lt;=I2094)*(Cap_Kind="Lean")*Cap_Ln)))</x:f>
        <x:v>12000</x:v>
      </x:c>
      <x:c r="L2094" s="10" t="n">
        <x:f>INDEX(v01_HousingCap,G2094)*EXP(v01_CapsByProject*SUMPRODUCT((Cap_Point&lt;=I2094)*(Cap_Kind="Housing")*Cap_Ln))</x:f>
        <x:v>20000</x:v>
      </x:c>
      <x:c r="M2094" s="10" t="n">
        <x:f>INDEX(v01_GroupCap,G2094)*v01_CohesionFactor*EXP(v01_CapsByProject*SUMPRODUCT((Cap_Point&lt;=I2094)*(Cap_Kind="Group")*Cap_Ln))</x:f>
        <x:v>1000000</x:v>
      </x:c>
      <x:c r="N2094" s="32" t="n">
        <x:f>MIN(J2094,L2094,M2094)</x:f>
        <x:v>12000</x:v>
      </x:c>
      <x:c r="O2094" s="10" t="n">
        <x:f>AE2093*N2094</x:f>
        <x:v>180000</x:v>
      </x:c>
      <x:c r="P2094" s="9" t="n">
        <x:f>MIN(1,(AB2093/(AE2093*IF(v01_GroupInCrowding=1,N2094,MIN(J2094,L2094))))^v01_CrowdingExp)</x:f>
        <x:v>0.00024569414295285325</x:v>
      </x:c>
      <x:c r="Q2094" s="9" t="n">
        <x:f>IF(D2094=1,INDEX(v01_WinterMult,G2094),1)</x:f>
        <x:v>1</x:v>
      </x:c>
      <x:c r="R2094" s="9" t="n">
        <x:f>H2094*Z2093*v01_WomenShare*v01_BaseFertility*INDEX(v01_FertMult,G2094)*Arch_Fertility*(1-P2094)</x:f>
        <x:v>0</x:v>
      </x:c>
      <x:c r="S2094" s="9" t="n">
        <x:f>H2094*Y2093*INDEX(v01_MortChild,G2094)/4*Q2094</x:f>
        <x:v>0</x:v>
      </x:c>
      <x:c r="T2094" s="9" t="n">
        <x:f>H2094*Z2093*INDEX(v01_MortAdult,G2094)*Arch_AdultMort/4*Q2094</x:f>
        <x:v>0</x:v>
      </x:c>
      <x:c r="U2094" s="9" t="n">
        <x:f>H2094*AA2093*INDEX(v01_MortElder,G2094)/4*Q2094</x:f>
        <x:v>0</x:v>
      </x:c>
      <x:c r="V2094" s="9" t="n">
        <x:f>H2094*MAX(0,AB2093-O2094)*v01_OvercapLoss</x:f>
        <x:v>0</x:v>
      </x:c>
      <x:c r="W2094" s="9" t="n">
        <x:f>H2094*Y2093/(v01_ChildYears*4)</x:f>
        <x:v>0</x:v>
      </x:c>
      <x:c r="X2094" s="9" t="n">
        <x:f>H2094*Z2093/(v01_AdultYears*4)</x:f>
        <x:v>0</x:v>
      </x:c>
      <x:c r="Y2094" s="32" t="n">
        <x:f>Y2093+R2094-S2094-W2094-Y2093*V2094/AB2093</x:f>
        <x:v>14306.18539759397</x:v>
      </x:c>
      <x:c r="Z2094" s="32" t="n">
        <x:f>Z2093+W2094-X2094-T2094-Z2093*V2094/AB2093</x:f>
        <x:v>19354.456567879548</x:v>
      </x:c>
      <x:c r="AA2094" s="32" t="n">
        <x:f>AA2093+X2094-U2094-AA2093*V2094/AB2093</x:f>
        <x:v>11386.956063258198</x:v>
      </x:c>
      <x:c r="AB2094" s="10" t="n">
        <x:f>Y2094+Z2094+AA2094</x:f>
        <x:v>45047.59802873172</x:v>
      </x:c>
      <x:c r="AC2094" s="8" t="n">
        <x:f>IF(AND(v01_WinterTrigger=1,D2094=1,AB2093/AE2093&gt;=K2094),1,0)</x:f>
        <x:v>0</x:v>
      </x:c>
      <x:c r="AD2094" s="8" t="n">
        <x:f>H2094*IF(AND(OR(AB2093/AE2093&gt;=v01_FissionTrigger*N2094,AC2094=1),AB2093/AE2093*v01_DaughterShare&gt;=v01_MinDaughter),MAX(1,ROUND(AE2093*v01_FissionRate,0)),0)</x:f>
        <x:v>0</x:v>
      </x:c>
      <x:c r="AE2094" s="8" t="n">
        <x:f>IF(H2094=1,MAX(1,MIN(INDEX(v01_Smax,G2094),AE2093+AD2094)),AE2093)</x:f>
        <x:v>15</x:v>
      </x:c>
      <x:c r="AF2094" s="8" t="n">
        <x:f>MAX(0,AE2094-AE2093)</x:f>
        <x:v>0</x:v>
      </x:c>
      <x:c r="AG2094" s="9" t="str">
        <x:f>IF(AF2094&gt;0,B2094,"")</x:f>
      </x:c>
      <x:c r="AH2094" s="9" t="n">
        <x:f>IF(F2094&gt;=1,1,(1+v01_LowTiesShare*(AE2094-1))/AE2094)</x:f>
        <x:v>1</x:v>
      </x:c>
      <x:c r="AI2094" s="32" t="n">
        <x:f>(Z2094+v01_ElderCommons*INDEX(LM_Elder,G2094)*AA2094)*AH2094</x:f>
        <x:v>64139.732591141874</x:v>
      </x:c>
      <x:c r="AJ2094" s="32" t="n">
        <x:f>H2094*v01_CommonsCoef*AI2094^v01_CommonsExp*INDEX(LM_Commons,G2094)</x:f>
        <x:v>0</x:v>
      </x:c>
      <x:c r="AK2094" s="32" t="n">
        <x:f>H2094*v01_RoleScale*Arch_Roles*(AE2094*(INDEX(v01_ElderRolePerSett,G2094)*v01_OutElder*INDEX(LM_Elder,G2094)+INDEX(v01_ShamanPerSett,G2094)*v01_OutShaman)+Z2094*(INDEX(v01_PriestShare,G2094)*v01_OutPriest+INDEX(v01_ScribeShare,G2094)*v01_OutScribe*INDEX(LM_Scribe,G2094)+INDEX(v01_ScholarShare,G2094)*v01_OutScholar*INDEX(LM_Scholar,G2094)+INDEX(v01_ResearcherShare,G2094)*v01_OutResearcher*INDEX(LM_Researcher,G2094)))</x:f>
        <x:v>0</x:v>
      </x:c>
      <x:c r="AL2094" s="32" t="n">
        <x:f>H2094*v01_RoleScale*Arch_Roles*AE2094*INDEX(v01_MonasteryPerSett,G2094)*v01_OutMonastery*INDEX(LM_Monastery,G2094)</x:f>
        <x:v>0</x:v>
      </x:c>
      <x:c r="AM2094" s="32" t="n">
        <x:f>(AJ2094+AK2094+AL2094)/4*INDEX(LM_All,G2094)*INDEX(v01_Boon,G2094)*Arch_Insight</x:f>
        <x:v>0</x:v>
      </x:c>
      <x:c r="AN2094" s="32" t="n">
        <x:f>H2094*(v01_KHPerAdult*Z2094+v01_KHOfCommons*AJ2094/4*INDEX(LM_All,G2094))*v01_KHUsable*Arch_KH</x:f>
        <x:v>0</x:v>
      </x:c>
      <x:c r="AO2094" s="32" t="n">
        <x:f>MIN(AP2093+AN2094,AM2094*v01_KHMaxRatio)</x:f>
        <x:v>0</x:v>
      </x:c>
      <x:c r="AP2094" s="32" t="n">
        <x:f>AP2093+AN2094-AO2094</x:f>
        <x:v>0</x:v>
      </x:c>
      <x:c r="AQ2094" s="32" t="n">
        <x:f>AM2094+AO2094</x:f>
        <x:v>0</x:v>
      </x:c>
      <x:c r="AR2094" s="10" t="n">
        <x:f>IF(H2094=1,INDEX(v01_Req,G2094),0)</x:f>
        <x:v>0</x:v>
      </x:c>
      <x:c r="AS2094" s="32" t="n">
        <x:f>IF(H2094=1,IF(E2094=1,AS2093-AR2093,AS2093)+AQ2094,0)</x:f>
        <x:v>0</x:v>
      </x:c>
      <x:c r="AT2094" s="11" t="n">
        <x:f>IF(AR2094&gt;0,MIN(1,AS2094/AR2094),1)</x:f>
        <x:v>1</x:v>
      </x:c>
      <x:c r="AU2094" s="10" t="n">
        <x:f>AB2094/INDEX(v01_RepScale,G2094)</x:f>
        <x:v>90.09519605746344</x:v>
      </x:c>
      <x:c r="AV2094" s="32" t="n">
        <x:f>AM2094*60/v01_SeasonSeconds</x:f>
        <x:v>0</x:v>
      </x:c>
    </x:row>
    <x:row r="2095">
      <x:c r="A2095" s="8" t="n">
        <x:f>A2094+1</x:f>
        <x:v>2092</x:v>
      </x:c>
      <x:c r="B2095" s="9" t="n">
        <x:f>A2095*v01_SeasonSeconds/60</x:f>
        <x:v>523</x:v>
      </x:c>
      <x:c r="C2095" s="9" t="n">
        <x:f>A2095/4</x:f>
        <x:v>523</x:v>
      </x:c>
      <x:c r="D2095" s="8" t="n">
        <x:f>IF(MOD(A2095,4)=0,1,0)</x:f>
        <x:v>1</x:v>
      </x:c>
      <x:c r="E2095" s="8" t="n">
        <x:f>IF(AND(F2094&lt;=9,AS2094&gt;=AR2094),1,0)</x:f>
        <x:v>0</x:v>
      </x:c>
      <x:c r="F2095" s="8" t="n">
        <x:f>MIN(10,F2094+E2095)</x:f>
        <x:v>10</x:v>
      </x:c>
      <x:c r="G2095" s="8" t="n">
        <x:f>MIN(F2095,9)+1</x:f>
        <x:v>10</x:v>
      </x:c>
      <x:c r="H2095" s="8" t="n">
        <x:f>IF(F2095&lt;=9,1,0)</x:f>
        <x:v>0</x:v>
      </x:c>
      <x:c r="I2095" s="9" t="n">
        <x:f>MIN(10,F2094+IF(AR2094&gt;0,MIN(1,AS2094/AR2094),1))</x:f>
        <x:v>10</x:v>
      </x:c>
      <x:c r="J2095" s="32" t="n">
        <x:f>INDEX(v01_FoodCap,G2095)*Arch_FoodCap*EXP(v01_CapsByProject*SUMPRODUCT((Cap_Point&lt;=I2095)*(Cap_Kind="Food")*Cap_Ln))</x:f>
        <x:v>12000</x:v>
      </x:c>
      <x:c r="K2095" s="32" t="n">
        <x:f>J2095*MIN(1,v01_LeanBase*EXP(v01_CapsByProject*SUMPRODUCT((Cap_Point&lt;=I2095)*(Cap_Kind="Lean")*Cap_Ln)))</x:f>
        <x:v>12000</x:v>
      </x:c>
      <x:c r="L2095" s="10" t="n">
        <x:f>INDEX(v01_HousingCap,G2095)*EXP(v01_CapsByProject*SUMPRODUCT((Cap_Point&lt;=I2095)*(Cap_Kind="Housing")*Cap_Ln))</x:f>
        <x:v>20000</x:v>
      </x:c>
      <x:c r="M2095" s="10" t="n">
        <x:f>INDEX(v01_GroupCap,G2095)*v01_CohesionFactor*EXP(v01_CapsByProject*SUMPRODUCT((Cap_Point&lt;=I2095)*(Cap_Kind="Group")*Cap_Ln))</x:f>
        <x:v>1000000</x:v>
      </x:c>
      <x:c r="N2095" s="32" t="n">
        <x:f>MIN(J2095,L2095,M2095)</x:f>
        <x:v>12000</x:v>
      </x:c>
      <x:c r="O2095" s="10" t="n">
        <x:f>AE2094*N2095</x:f>
        <x:v>180000</x:v>
      </x:c>
      <x:c r="P2095" s="9" t="n">
        <x:f>MIN(1,(AB2094/(AE2094*IF(v01_GroupInCrowding=1,N2095,MIN(J2095,L2095))))^v01_CrowdingExp)</x:f>
        <x:v>0.00024569414295285325</x:v>
      </x:c>
      <x:c r="Q2095" s="9" t="n">
        <x:f>IF(D2095=1,INDEX(v01_WinterMult,G2095),1)</x:f>
        <x:v>1</x:v>
      </x:c>
      <x:c r="R2095" s="9" t="n">
        <x:f>H2095*Z2094*v01_WomenShare*v01_BaseFertility*INDEX(v01_FertMult,G2095)*Arch_Fertility*(1-P2095)</x:f>
        <x:v>0</x:v>
      </x:c>
      <x:c r="S2095" s="9" t="n">
        <x:f>H2095*Y2094*INDEX(v01_MortChild,G2095)/4*Q2095</x:f>
        <x:v>0</x:v>
      </x:c>
      <x:c r="T2095" s="9" t="n">
        <x:f>H2095*Z2094*INDEX(v01_MortAdult,G2095)*Arch_AdultMort/4*Q2095</x:f>
        <x:v>0</x:v>
      </x:c>
      <x:c r="U2095" s="9" t="n">
        <x:f>H2095*AA2094*INDEX(v01_MortElder,G2095)/4*Q2095</x:f>
        <x:v>0</x:v>
      </x:c>
      <x:c r="V2095" s="9" t="n">
        <x:f>H2095*MAX(0,AB2094-O2095)*v01_OvercapLoss</x:f>
        <x:v>0</x:v>
      </x:c>
      <x:c r="W2095" s="9" t="n">
        <x:f>H2095*Y2094/(v01_ChildYears*4)</x:f>
        <x:v>0</x:v>
      </x:c>
      <x:c r="X2095" s="9" t="n">
        <x:f>H2095*Z2094/(v01_AdultYears*4)</x:f>
        <x:v>0</x:v>
      </x:c>
      <x:c r="Y2095" s="32" t="n">
        <x:f>Y2094+R2095-S2095-W2095-Y2094*V2095/AB2094</x:f>
        <x:v>14306.18539759397</x:v>
      </x:c>
      <x:c r="Z2095" s="32" t="n">
        <x:f>Z2094+W2095-X2095-T2095-Z2094*V2095/AB2094</x:f>
        <x:v>19354.456567879548</x:v>
      </x:c>
      <x:c r="AA2095" s="32" t="n">
        <x:f>AA2094+X2095-U2095-AA2094*V2095/AB2094</x:f>
        <x:v>11386.956063258198</x:v>
      </x:c>
      <x:c r="AB2095" s="10" t="n">
        <x:f>Y2095+Z2095+AA2095</x:f>
        <x:v>45047.59802873172</x:v>
      </x:c>
      <x:c r="AC2095" s="8" t="n">
        <x:f>IF(AND(v01_WinterTrigger=1,D2095=1,AB2094/AE2094&gt;=K2095),1,0)</x:f>
        <x:v>0</x:v>
      </x:c>
      <x:c r="AD2095" s="8" t="n">
        <x:f>H2095*IF(AND(OR(AB2094/AE2094&gt;=v01_FissionTrigger*N2095,AC2095=1),AB2094/AE2094*v01_DaughterShare&gt;=v01_MinDaughter),MAX(1,ROUND(AE2094*v01_FissionRate,0)),0)</x:f>
        <x:v>0</x:v>
      </x:c>
      <x:c r="AE2095" s="8" t="n">
        <x:f>IF(H2095=1,MAX(1,MIN(INDEX(v01_Smax,G2095),AE2094+AD2095)),AE2094)</x:f>
        <x:v>15</x:v>
      </x:c>
      <x:c r="AF2095" s="8" t="n">
        <x:f>MAX(0,AE2095-AE2094)</x:f>
        <x:v>0</x:v>
      </x:c>
      <x:c r="AG2095" s="9" t="str">
        <x:f>IF(AF2095&gt;0,B2095,"")</x:f>
      </x:c>
      <x:c r="AH2095" s="9" t="n">
        <x:f>IF(F2095&gt;=1,1,(1+v01_LowTiesShare*(AE2095-1))/AE2095)</x:f>
        <x:v>1</x:v>
      </x:c>
      <x:c r="AI2095" s="32" t="n">
        <x:f>(Z2095+v01_ElderCommons*INDEX(LM_Elder,G2095)*AA2095)*AH2095</x:f>
        <x:v>64139.732591141874</x:v>
      </x:c>
      <x:c r="AJ2095" s="32" t="n">
        <x:f>H2095*v01_CommonsCoef*AI2095^v01_CommonsExp*INDEX(LM_Commons,G2095)</x:f>
        <x:v>0</x:v>
      </x:c>
      <x:c r="AK2095" s="32" t="n">
        <x:f>H2095*v01_RoleScale*Arch_Roles*(AE2095*(INDEX(v01_ElderRolePerSett,G2095)*v01_OutElder*INDEX(LM_Elder,G2095)+INDEX(v01_ShamanPerSett,G2095)*v01_OutShaman)+Z2095*(INDEX(v01_PriestShare,G2095)*v01_OutPriest+INDEX(v01_ScribeShare,G2095)*v01_OutScribe*INDEX(LM_Scribe,G2095)+INDEX(v01_ScholarShare,G2095)*v01_OutScholar*INDEX(LM_Scholar,G2095)+INDEX(v01_ResearcherShare,G2095)*v01_OutResearcher*INDEX(LM_Researcher,G2095)))</x:f>
        <x:v>0</x:v>
      </x:c>
      <x:c r="AL2095" s="32" t="n">
        <x:f>H2095*v01_RoleScale*Arch_Roles*AE2095*INDEX(v01_MonasteryPerSett,G2095)*v01_OutMonastery*INDEX(LM_Monastery,G2095)</x:f>
        <x:v>0</x:v>
      </x:c>
      <x:c r="AM2095" s="32" t="n">
        <x:f>(AJ2095+AK2095+AL2095)/4*INDEX(LM_All,G2095)*INDEX(v01_Boon,G2095)*Arch_Insight</x:f>
        <x:v>0</x:v>
      </x:c>
      <x:c r="AN2095" s="32" t="n">
        <x:f>H2095*(v01_KHPerAdult*Z2095+v01_KHOfCommons*AJ2095/4*INDEX(LM_All,G2095))*v01_KHUsable*Arch_KH</x:f>
        <x:v>0</x:v>
      </x:c>
      <x:c r="AO2095" s="32" t="n">
        <x:f>MIN(AP2094+AN2095,AM2095*v01_KHMaxRatio)</x:f>
        <x:v>0</x:v>
      </x:c>
      <x:c r="AP2095" s="32" t="n">
        <x:f>AP2094+AN2095-AO2095</x:f>
        <x:v>0</x:v>
      </x:c>
      <x:c r="AQ2095" s="32" t="n">
        <x:f>AM2095+AO2095</x:f>
        <x:v>0</x:v>
      </x:c>
      <x:c r="AR2095" s="10" t="n">
        <x:f>IF(H2095=1,INDEX(v01_Req,G2095),0)</x:f>
        <x:v>0</x:v>
      </x:c>
      <x:c r="AS2095" s="32" t="n">
        <x:f>IF(H2095=1,IF(E2095=1,AS2094-AR2094,AS2094)+AQ2095,0)</x:f>
        <x:v>0</x:v>
      </x:c>
      <x:c r="AT2095" s="11" t="n">
        <x:f>IF(AR2095&gt;0,MIN(1,AS2095/AR2095),1)</x:f>
        <x:v>1</x:v>
      </x:c>
      <x:c r="AU2095" s="10" t="n">
        <x:f>AB2095/INDEX(v01_RepScale,G2095)</x:f>
        <x:v>90.09519605746344</x:v>
      </x:c>
      <x:c r="AV2095" s="32" t="n">
        <x:f>AM2095*60/v01_SeasonSeconds</x:f>
        <x:v>0</x:v>
      </x:c>
    </x:row>
    <x:row r="2096">
      <x:c r="A2096" s="8" t="n">
        <x:f>A2095+1</x:f>
        <x:v>2093</x:v>
      </x:c>
      <x:c r="B2096" s="9" t="n">
        <x:f>A2096*v01_SeasonSeconds/60</x:f>
        <x:v>523.25</x:v>
      </x:c>
      <x:c r="C2096" s="9" t="n">
        <x:f>A2096/4</x:f>
        <x:v>523.25</x:v>
      </x:c>
      <x:c r="D2096" s="8" t="n">
        <x:f>IF(MOD(A2096,4)=0,1,0)</x:f>
        <x:v>0</x:v>
      </x:c>
      <x:c r="E2096" s="8" t="n">
        <x:f>IF(AND(F2095&lt;=9,AS2095&gt;=AR2095),1,0)</x:f>
        <x:v>0</x:v>
      </x:c>
      <x:c r="F2096" s="8" t="n">
        <x:f>MIN(10,F2095+E2096)</x:f>
        <x:v>10</x:v>
      </x:c>
      <x:c r="G2096" s="8" t="n">
        <x:f>MIN(F2096,9)+1</x:f>
        <x:v>10</x:v>
      </x:c>
      <x:c r="H2096" s="8" t="n">
        <x:f>IF(F2096&lt;=9,1,0)</x:f>
        <x:v>0</x:v>
      </x:c>
      <x:c r="I2096" s="9" t="n">
        <x:f>MIN(10,F2095+IF(AR2095&gt;0,MIN(1,AS2095/AR2095),1))</x:f>
        <x:v>10</x:v>
      </x:c>
      <x:c r="J2096" s="32" t="n">
        <x:f>INDEX(v01_FoodCap,G2096)*Arch_FoodCap*EXP(v01_CapsByProject*SUMPRODUCT((Cap_Point&lt;=I2096)*(Cap_Kind="Food")*Cap_Ln))</x:f>
        <x:v>12000</x:v>
      </x:c>
      <x:c r="K2096" s="32" t="n">
        <x:f>J2096*MIN(1,v01_LeanBase*EXP(v01_CapsByProject*SUMPRODUCT((Cap_Point&lt;=I2096)*(Cap_Kind="Lean")*Cap_Ln)))</x:f>
        <x:v>12000</x:v>
      </x:c>
      <x:c r="L2096" s="10" t="n">
        <x:f>INDEX(v01_HousingCap,G2096)*EXP(v01_CapsByProject*SUMPRODUCT((Cap_Point&lt;=I2096)*(Cap_Kind="Housing")*Cap_Ln))</x:f>
        <x:v>20000</x:v>
      </x:c>
      <x:c r="M2096" s="10" t="n">
        <x:f>INDEX(v01_GroupCap,G2096)*v01_CohesionFactor*EXP(v01_CapsByProject*SUMPRODUCT((Cap_Point&lt;=I2096)*(Cap_Kind="Group")*Cap_Ln))</x:f>
        <x:v>1000000</x:v>
      </x:c>
      <x:c r="N2096" s="32" t="n">
        <x:f>MIN(J2096,L2096,M2096)</x:f>
        <x:v>12000</x:v>
      </x:c>
      <x:c r="O2096" s="10" t="n">
        <x:f>AE2095*N2096</x:f>
        <x:v>180000</x:v>
      </x:c>
      <x:c r="P2096" s="9" t="n">
        <x:f>MIN(1,(AB2095/(AE2095*IF(v01_GroupInCrowding=1,N2096,MIN(J2096,L2096))))^v01_CrowdingExp)</x:f>
        <x:v>0.00024569414295285325</x:v>
      </x:c>
      <x:c r="Q2096" s="9" t="n">
        <x:f>IF(D2096=1,INDEX(v01_WinterMult,G2096),1)</x:f>
        <x:v>1</x:v>
      </x:c>
      <x:c r="R2096" s="9" t="n">
        <x:f>H2096*Z2095*v01_WomenShare*v01_BaseFertility*INDEX(v01_FertMult,G2096)*Arch_Fertility*(1-P2096)</x:f>
        <x:v>0</x:v>
      </x:c>
      <x:c r="S2096" s="9" t="n">
        <x:f>H2096*Y2095*INDEX(v01_MortChild,G2096)/4*Q2096</x:f>
        <x:v>0</x:v>
      </x:c>
      <x:c r="T2096" s="9" t="n">
        <x:f>H2096*Z2095*INDEX(v01_MortAdult,G2096)*Arch_AdultMort/4*Q2096</x:f>
        <x:v>0</x:v>
      </x:c>
      <x:c r="U2096" s="9" t="n">
        <x:f>H2096*AA2095*INDEX(v01_MortElder,G2096)/4*Q2096</x:f>
        <x:v>0</x:v>
      </x:c>
      <x:c r="V2096" s="9" t="n">
        <x:f>H2096*MAX(0,AB2095-O2096)*v01_OvercapLoss</x:f>
        <x:v>0</x:v>
      </x:c>
      <x:c r="W2096" s="9" t="n">
        <x:f>H2096*Y2095/(v01_ChildYears*4)</x:f>
        <x:v>0</x:v>
      </x:c>
      <x:c r="X2096" s="9" t="n">
        <x:f>H2096*Z2095/(v01_AdultYears*4)</x:f>
        <x:v>0</x:v>
      </x:c>
      <x:c r="Y2096" s="32" t="n">
        <x:f>Y2095+R2096-S2096-W2096-Y2095*V2096/AB2095</x:f>
        <x:v>14306.18539759397</x:v>
      </x:c>
      <x:c r="Z2096" s="32" t="n">
        <x:f>Z2095+W2096-X2096-T2096-Z2095*V2096/AB2095</x:f>
        <x:v>19354.456567879548</x:v>
      </x:c>
      <x:c r="AA2096" s="32" t="n">
        <x:f>AA2095+X2096-U2096-AA2095*V2096/AB2095</x:f>
        <x:v>11386.956063258198</x:v>
      </x:c>
      <x:c r="AB2096" s="10" t="n">
        <x:f>Y2096+Z2096+AA2096</x:f>
        <x:v>45047.59802873172</x:v>
      </x:c>
      <x:c r="AC2096" s="8" t="n">
        <x:f>IF(AND(v01_WinterTrigger=1,D2096=1,AB2095/AE2095&gt;=K2096),1,0)</x:f>
        <x:v>0</x:v>
      </x:c>
      <x:c r="AD2096" s="8" t="n">
        <x:f>H2096*IF(AND(OR(AB2095/AE2095&gt;=v01_FissionTrigger*N2096,AC2096=1),AB2095/AE2095*v01_DaughterShare&gt;=v01_MinDaughter),MAX(1,ROUND(AE2095*v01_FissionRate,0)),0)</x:f>
        <x:v>0</x:v>
      </x:c>
      <x:c r="AE2096" s="8" t="n">
        <x:f>IF(H2096=1,MAX(1,MIN(INDEX(v01_Smax,G2096),AE2095+AD2096)),AE2095)</x:f>
        <x:v>15</x:v>
      </x:c>
      <x:c r="AF2096" s="8" t="n">
        <x:f>MAX(0,AE2096-AE2095)</x:f>
        <x:v>0</x:v>
      </x:c>
      <x:c r="AG2096" s="9" t="str">
        <x:f>IF(AF2096&gt;0,B2096,"")</x:f>
      </x:c>
      <x:c r="AH2096" s="9" t="n">
        <x:f>IF(F2096&gt;=1,1,(1+v01_LowTiesShare*(AE2096-1))/AE2096)</x:f>
        <x:v>1</x:v>
      </x:c>
      <x:c r="AI2096" s="32" t="n">
        <x:f>(Z2096+v01_ElderCommons*INDEX(LM_Elder,G2096)*AA2096)*AH2096</x:f>
        <x:v>64139.732591141874</x:v>
      </x:c>
      <x:c r="AJ2096" s="32" t="n">
        <x:f>H2096*v01_CommonsCoef*AI2096^v01_CommonsExp*INDEX(LM_Commons,G2096)</x:f>
        <x:v>0</x:v>
      </x:c>
      <x:c r="AK2096" s="32" t="n">
        <x:f>H2096*v01_RoleScale*Arch_Roles*(AE2096*(INDEX(v01_ElderRolePerSett,G2096)*v01_OutElder*INDEX(LM_Elder,G2096)+INDEX(v01_ShamanPerSett,G2096)*v01_OutShaman)+Z2096*(INDEX(v01_PriestShare,G2096)*v01_OutPriest+INDEX(v01_ScribeShare,G2096)*v01_OutScribe*INDEX(LM_Scribe,G2096)+INDEX(v01_ScholarShare,G2096)*v01_OutScholar*INDEX(LM_Scholar,G2096)+INDEX(v01_ResearcherShare,G2096)*v01_OutResearcher*INDEX(LM_Researcher,G2096)))</x:f>
        <x:v>0</x:v>
      </x:c>
      <x:c r="AL2096" s="32" t="n">
        <x:f>H2096*v01_RoleScale*Arch_Roles*AE2096*INDEX(v01_MonasteryPerSett,G2096)*v01_OutMonastery*INDEX(LM_Monastery,G2096)</x:f>
        <x:v>0</x:v>
      </x:c>
      <x:c r="AM2096" s="32" t="n">
        <x:f>(AJ2096+AK2096+AL2096)/4*INDEX(LM_All,G2096)*INDEX(v01_Boon,G2096)*Arch_Insight</x:f>
        <x:v>0</x:v>
      </x:c>
      <x:c r="AN2096" s="32" t="n">
        <x:f>H2096*(v01_KHPerAdult*Z2096+v01_KHOfCommons*AJ2096/4*INDEX(LM_All,G2096))*v01_KHUsable*Arch_KH</x:f>
        <x:v>0</x:v>
      </x:c>
      <x:c r="AO2096" s="32" t="n">
        <x:f>MIN(AP2095+AN2096,AM2096*v01_KHMaxRatio)</x:f>
        <x:v>0</x:v>
      </x:c>
      <x:c r="AP2096" s="32" t="n">
        <x:f>AP2095+AN2096-AO2096</x:f>
        <x:v>0</x:v>
      </x:c>
      <x:c r="AQ2096" s="32" t="n">
        <x:f>AM2096+AO2096</x:f>
        <x:v>0</x:v>
      </x:c>
      <x:c r="AR2096" s="10" t="n">
        <x:f>IF(H2096=1,INDEX(v01_Req,G2096),0)</x:f>
        <x:v>0</x:v>
      </x:c>
      <x:c r="AS2096" s="32" t="n">
        <x:f>IF(H2096=1,IF(E2096=1,AS2095-AR2095,AS2095)+AQ2096,0)</x:f>
        <x:v>0</x:v>
      </x:c>
      <x:c r="AT2096" s="11" t="n">
        <x:f>IF(AR2096&gt;0,MIN(1,AS2096/AR2096),1)</x:f>
        <x:v>1</x:v>
      </x:c>
      <x:c r="AU2096" s="10" t="n">
        <x:f>AB2096/INDEX(v01_RepScale,G2096)</x:f>
        <x:v>90.09519605746344</x:v>
      </x:c>
      <x:c r="AV2096" s="32" t="n">
        <x:f>AM2096*60/v01_SeasonSeconds</x:f>
        <x:v>0</x:v>
      </x:c>
    </x:row>
    <x:row r="2097">
      <x:c r="A2097" s="8" t="n">
        <x:f>A2096+1</x:f>
        <x:v>2094</x:v>
      </x:c>
      <x:c r="B2097" s="9" t="n">
        <x:f>A2097*v01_SeasonSeconds/60</x:f>
        <x:v>523.5</x:v>
      </x:c>
      <x:c r="C2097" s="9" t="n">
        <x:f>A2097/4</x:f>
        <x:v>523.5</x:v>
      </x:c>
      <x:c r="D2097" s="8" t="n">
        <x:f>IF(MOD(A2097,4)=0,1,0)</x:f>
        <x:v>0</x:v>
      </x:c>
      <x:c r="E2097" s="8" t="n">
        <x:f>IF(AND(F2096&lt;=9,AS2096&gt;=AR2096),1,0)</x:f>
        <x:v>0</x:v>
      </x:c>
      <x:c r="F2097" s="8" t="n">
        <x:f>MIN(10,F2096+E2097)</x:f>
        <x:v>10</x:v>
      </x:c>
      <x:c r="G2097" s="8" t="n">
        <x:f>MIN(F2097,9)+1</x:f>
        <x:v>10</x:v>
      </x:c>
      <x:c r="H2097" s="8" t="n">
        <x:f>IF(F2097&lt;=9,1,0)</x:f>
        <x:v>0</x:v>
      </x:c>
      <x:c r="I2097" s="9" t="n">
        <x:f>MIN(10,F2096+IF(AR2096&gt;0,MIN(1,AS2096/AR2096),1))</x:f>
        <x:v>10</x:v>
      </x:c>
      <x:c r="J2097" s="32" t="n">
        <x:f>INDEX(v01_FoodCap,G2097)*Arch_FoodCap*EXP(v01_CapsByProject*SUMPRODUCT((Cap_Point&lt;=I2097)*(Cap_Kind="Food")*Cap_Ln))</x:f>
        <x:v>12000</x:v>
      </x:c>
      <x:c r="K2097" s="32" t="n">
        <x:f>J2097*MIN(1,v01_LeanBase*EXP(v01_CapsByProject*SUMPRODUCT((Cap_Point&lt;=I2097)*(Cap_Kind="Lean")*Cap_Ln)))</x:f>
        <x:v>12000</x:v>
      </x:c>
      <x:c r="L2097" s="10" t="n">
        <x:f>INDEX(v01_HousingCap,G2097)*EXP(v01_CapsByProject*SUMPRODUCT((Cap_Point&lt;=I2097)*(Cap_Kind="Housing")*Cap_Ln))</x:f>
        <x:v>20000</x:v>
      </x:c>
      <x:c r="M2097" s="10" t="n">
        <x:f>INDEX(v01_GroupCap,G2097)*v01_CohesionFactor*EXP(v01_CapsByProject*SUMPRODUCT((Cap_Point&lt;=I2097)*(Cap_Kind="Group")*Cap_Ln))</x:f>
        <x:v>1000000</x:v>
      </x:c>
      <x:c r="N2097" s="32" t="n">
        <x:f>MIN(J2097,L2097,M2097)</x:f>
        <x:v>12000</x:v>
      </x:c>
      <x:c r="O2097" s="10" t="n">
        <x:f>AE2096*N2097</x:f>
        <x:v>180000</x:v>
      </x:c>
      <x:c r="P2097" s="9" t="n">
        <x:f>MIN(1,(AB2096/(AE2096*IF(v01_GroupInCrowding=1,N2097,MIN(J2097,L2097))))^v01_CrowdingExp)</x:f>
        <x:v>0.00024569414295285325</x:v>
      </x:c>
      <x:c r="Q2097" s="9" t="n">
        <x:f>IF(D2097=1,INDEX(v01_WinterMult,G2097),1)</x:f>
        <x:v>1</x:v>
      </x:c>
      <x:c r="R2097" s="9" t="n">
        <x:f>H2097*Z2096*v01_WomenShare*v01_BaseFertility*INDEX(v01_FertMult,G2097)*Arch_Fertility*(1-P2097)</x:f>
        <x:v>0</x:v>
      </x:c>
      <x:c r="S2097" s="9" t="n">
        <x:f>H2097*Y2096*INDEX(v01_MortChild,G2097)/4*Q2097</x:f>
        <x:v>0</x:v>
      </x:c>
      <x:c r="T2097" s="9" t="n">
        <x:f>H2097*Z2096*INDEX(v01_MortAdult,G2097)*Arch_AdultMort/4*Q2097</x:f>
        <x:v>0</x:v>
      </x:c>
      <x:c r="U2097" s="9" t="n">
        <x:f>H2097*AA2096*INDEX(v01_MortElder,G2097)/4*Q2097</x:f>
        <x:v>0</x:v>
      </x:c>
      <x:c r="V2097" s="9" t="n">
        <x:f>H2097*MAX(0,AB2096-O2097)*v01_OvercapLoss</x:f>
        <x:v>0</x:v>
      </x:c>
      <x:c r="W2097" s="9" t="n">
        <x:f>H2097*Y2096/(v01_ChildYears*4)</x:f>
        <x:v>0</x:v>
      </x:c>
      <x:c r="X2097" s="9" t="n">
        <x:f>H2097*Z2096/(v01_AdultYears*4)</x:f>
        <x:v>0</x:v>
      </x:c>
      <x:c r="Y2097" s="32" t="n">
        <x:f>Y2096+R2097-S2097-W2097-Y2096*V2097/AB2096</x:f>
        <x:v>14306.18539759397</x:v>
      </x:c>
      <x:c r="Z2097" s="32" t="n">
        <x:f>Z2096+W2097-X2097-T2097-Z2096*V2097/AB2096</x:f>
        <x:v>19354.456567879548</x:v>
      </x:c>
      <x:c r="AA2097" s="32" t="n">
        <x:f>AA2096+X2097-U2097-AA2096*V2097/AB2096</x:f>
        <x:v>11386.956063258198</x:v>
      </x:c>
      <x:c r="AB2097" s="10" t="n">
        <x:f>Y2097+Z2097+AA2097</x:f>
        <x:v>45047.59802873172</x:v>
      </x:c>
      <x:c r="AC2097" s="8" t="n">
        <x:f>IF(AND(v01_WinterTrigger=1,D2097=1,AB2096/AE2096&gt;=K2097),1,0)</x:f>
        <x:v>0</x:v>
      </x:c>
      <x:c r="AD2097" s="8" t="n">
        <x:f>H2097*IF(AND(OR(AB2096/AE2096&gt;=v01_FissionTrigger*N2097,AC2097=1),AB2096/AE2096*v01_DaughterShare&gt;=v01_MinDaughter),MAX(1,ROUND(AE2096*v01_FissionRate,0)),0)</x:f>
        <x:v>0</x:v>
      </x:c>
      <x:c r="AE2097" s="8" t="n">
        <x:f>IF(H2097=1,MAX(1,MIN(INDEX(v01_Smax,G2097),AE2096+AD2097)),AE2096)</x:f>
        <x:v>15</x:v>
      </x:c>
      <x:c r="AF2097" s="8" t="n">
        <x:f>MAX(0,AE2097-AE2096)</x:f>
        <x:v>0</x:v>
      </x:c>
      <x:c r="AG2097" s="9" t="str">
        <x:f>IF(AF2097&gt;0,B2097,"")</x:f>
      </x:c>
      <x:c r="AH2097" s="9" t="n">
        <x:f>IF(F2097&gt;=1,1,(1+v01_LowTiesShare*(AE2097-1))/AE2097)</x:f>
        <x:v>1</x:v>
      </x:c>
      <x:c r="AI2097" s="32" t="n">
        <x:f>(Z2097+v01_ElderCommons*INDEX(LM_Elder,G2097)*AA2097)*AH2097</x:f>
        <x:v>64139.732591141874</x:v>
      </x:c>
      <x:c r="AJ2097" s="32" t="n">
        <x:f>H2097*v01_CommonsCoef*AI2097^v01_CommonsExp*INDEX(LM_Commons,G2097)</x:f>
        <x:v>0</x:v>
      </x:c>
      <x:c r="AK2097" s="32" t="n">
        <x:f>H2097*v01_RoleScale*Arch_Roles*(AE2097*(INDEX(v01_ElderRolePerSett,G2097)*v01_OutElder*INDEX(LM_Elder,G2097)+INDEX(v01_ShamanPerSett,G2097)*v01_OutShaman)+Z2097*(INDEX(v01_PriestShare,G2097)*v01_OutPriest+INDEX(v01_ScribeShare,G2097)*v01_OutScribe*INDEX(LM_Scribe,G2097)+INDEX(v01_ScholarShare,G2097)*v01_OutScholar*INDEX(LM_Scholar,G2097)+INDEX(v01_ResearcherShare,G2097)*v01_OutResearcher*INDEX(LM_Researcher,G2097)))</x:f>
        <x:v>0</x:v>
      </x:c>
      <x:c r="AL2097" s="32" t="n">
        <x:f>H2097*v01_RoleScale*Arch_Roles*AE2097*INDEX(v01_MonasteryPerSett,G2097)*v01_OutMonastery*INDEX(LM_Monastery,G2097)</x:f>
        <x:v>0</x:v>
      </x:c>
      <x:c r="AM2097" s="32" t="n">
        <x:f>(AJ2097+AK2097+AL2097)/4*INDEX(LM_All,G2097)*INDEX(v01_Boon,G2097)*Arch_Insight</x:f>
        <x:v>0</x:v>
      </x:c>
      <x:c r="AN2097" s="32" t="n">
        <x:f>H2097*(v01_KHPerAdult*Z2097+v01_KHOfCommons*AJ2097/4*INDEX(LM_All,G2097))*v01_KHUsable*Arch_KH</x:f>
        <x:v>0</x:v>
      </x:c>
      <x:c r="AO2097" s="32" t="n">
        <x:f>MIN(AP2096+AN2097,AM2097*v01_KHMaxRatio)</x:f>
        <x:v>0</x:v>
      </x:c>
      <x:c r="AP2097" s="32" t="n">
        <x:f>AP2096+AN2097-AO2097</x:f>
        <x:v>0</x:v>
      </x:c>
      <x:c r="AQ2097" s="32" t="n">
        <x:f>AM2097+AO2097</x:f>
        <x:v>0</x:v>
      </x:c>
      <x:c r="AR2097" s="10" t="n">
        <x:f>IF(H2097=1,INDEX(v01_Req,G2097),0)</x:f>
        <x:v>0</x:v>
      </x:c>
      <x:c r="AS2097" s="32" t="n">
        <x:f>IF(H2097=1,IF(E2097=1,AS2096-AR2096,AS2096)+AQ2097,0)</x:f>
        <x:v>0</x:v>
      </x:c>
      <x:c r="AT2097" s="11" t="n">
        <x:f>IF(AR2097&gt;0,MIN(1,AS2097/AR2097),1)</x:f>
        <x:v>1</x:v>
      </x:c>
      <x:c r="AU2097" s="10" t="n">
        <x:f>AB2097/INDEX(v01_RepScale,G2097)</x:f>
        <x:v>90.09519605746344</x:v>
      </x:c>
      <x:c r="AV2097" s="32" t="n">
        <x:f>AM2097*60/v01_SeasonSeconds</x:f>
        <x:v>0</x:v>
      </x:c>
    </x:row>
    <x:row r="2098">
      <x:c r="A2098" s="8" t="n">
        <x:f>A2097+1</x:f>
        <x:v>2095</x:v>
      </x:c>
      <x:c r="B2098" s="9" t="n">
        <x:f>A2098*v01_SeasonSeconds/60</x:f>
        <x:v>523.75</x:v>
      </x:c>
      <x:c r="C2098" s="9" t="n">
        <x:f>A2098/4</x:f>
        <x:v>523.75</x:v>
      </x:c>
      <x:c r="D2098" s="8" t="n">
        <x:f>IF(MOD(A2098,4)=0,1,0)</x:f>
        <x:v>0</x:v>
      </x:c>
      <x:c r="E2098" s="8" t="n">
        <x:f>IF(AND(F2097&lt;=9,AS2097&gt;=AR2097),1,0)</x:f>
        <x:v>0</x:v>
      </x:c>
      <x:c r="F2098" s="8" t="n">
        <x:f>MIN(10,F2097+E2098)</x:f>
        <x:v>10</x:v>
      </x:c>
      <x:c r="G2098" s="8" t="n">
        <x:f>MIN(F2098,9)+1</x:f>
        <x:v>10</x:v>
      </x:c>
      <x:c r="H2098" s="8" t="n">
        <x:f>IF(F2098&lt;=9,1,0)</x:f>
        <x:v>0</x:v>
      </x:c>
      <x:c r="I2098" s="9" t="n">
        <x:f>MIN(10,F2097+IF(AR2097&gt;0,MIN(1,AS2097/AR2097),1))</x:f>
        <x:v>10</x:v>
      </x:c>
      <x:c r="J2098" s="32" t="n">
        <x:f>INDEX(v01_FoodCap,G2098)*Arch_FoodCap*EXP(v01_CapsByProject*SUMPRODUCT((Cap_Point&lt;=I2098)*(Cap_Kind="Food")*Cap_Ln))</x:f>
        <x:v>12000</x:v>
      </x:c>
      <x:c r="K2098" s="32" t="n">
        <x:f>J2098*MIN(1,v01_LeanBase*EXP(v01_CapsByProject*SUMPRODUCT((Cap_Point&lt;=I2098)*(Cap_Kind="Lean")*Cap_Ln)))</x:f>
        <x:v>12000</x:v>
      </x:c>
      <x:c r="L2098" s="10" t="n">
        <x:f>INDEX(v01_HousingCap,G2098)*EXP(v01_CapsByProject*SUMPRODUCT((Cap_Point&lt;=I2098)*(Cap_Kind="Housing")*Cap_Ln))</x:f>
        <x:v>20000</x:v>
      </x:c>
      <x:c r="M2098" s="10" t="n">
        <x:f>INDEX(v01_GroupCap,G2098)*v01_CohesionFactor*EXP(v01_CapsByProject*SUMPRODUCT((Cap_Point&lt;=I2098)*(Cap_Kind="Group")*Cap_Ln))</x:f>
        <x:v>1000000</x:v>
      </x:c>
      <x:c r="N2098" s="32" t="n">
        <x:f>MIN(J2098,L2098,M2098)</x:f>
        <x:v>12000</x:v>
      </x:c>
      <x:c r="O2098" s="10" t="n">
        <x:f>AE2097*N2098</x:f>
        <x:v>180000</x:v>
      </x:c>
      <x:c r="P2098" s="9" t="n">
        <x:f>MIN(1,(AB2097/(AE2097*IF(v01_GroupInCrowding=1,N2098,MIN(J2098,L2098))))^v01_CrowdingExp)</x:f>
        <x:v>0.00024569414295285325</x:v>
      </x:c>
      <x:c r="Q2098" s="9" t="n">
        <x:f>IF(D2098=1,INDEX(v01_WinterMult,G2098),1)</x:f>
        <x:v>1</x:v>
      </x:c>
      <x:c r="R2098" s="9" t="n">
        <x:f>H2098*Z2097*v01_WomenShare*v01_BaseFertility*INDEX(v01_FertMult,G2098)*Arch_Fertility*(1-P2098)</x:f>
        <x:v>0</x:v>
      </x:c>
      <x:c r="S2098" s="9" t="n">
        <x:f>H2098*Y2097*INDEX(v01_MortChild,G2098)/4*Q2098</x:f>
        <x:v>0</x:v>
      </x:c>
      <x:c r="T2098" s="9" t="n">
        <x:f>H2098*Z2097*INDEX(v01_MortAdult,G2098)*Arch_AdultMort/4*Q2098</x:f>
        <x:v>0</x:v>
      </x:c>
      <x:c r="U2098" s="9" t="n">
        <x:f>H2098*AA2097*INDEX(v01_MortElder,G2098)/4*Q2098</x:f>
        <x:v>0</x:v>
      </x:c>
      <x:c r="V2098" s="9" t="n">
        <x:f>H2098*MAX(0,AB2097-O2098)*v01_OvercapLoss</x:f>
        <x:v>0</x:v>
      </x:c>
      <x:c r="W2098" s="9" t="n">
        <x:f>H2098*Y2097/(v01_ChildYears*4)</x:f>
        <x:v>0</x:v>
      </x:c>
      <x:c r="X2098" s="9" t="n">
        <x:f>H2098*Z2097/(v01_AdultYears*4)</x:f>
        <x:v>0</x:v>
      </x:c>
      <x:c r="Y2098" s="32" t="n">
        <x:f>Y2097+R2098-S2098-W2098-Y2097*V2098/AB2097</x:f>
        <x:v>14306.18539759397</x:v>
      </x:c>
      <x:c r="Z2098" s="32" t="n">
        <x:f>Z2097+W2098-X2098-T2098-Z2097*V2098/AB2097</x:f>
        <x:v>19354.456567879548</x:v>
      </x:c>
      <x:c r="AA2098" s="32" t="n">
        <x:f>AA2097+X2098-U2098-AA2097*V2098/AB2097</x:f>
        <x:v>11386.956063258198</x:v>
      </x:c>
      <x:c r="AB2098" s="10" t="n">
        <x:f>Y2098+Z2098+AA2098</x:f>
        <x:v>45047.59802873172</x:v>
      </x:c>
      <x:c r="AC2098" s="8" t="n">
        <x:f>IF(AND(v01_WinterTrigger=1,D2098=1,AB2097/AE2097&gt;=K2098),1,0)</x:f>
        <x:v>0</x:v>
      </x:c>
      <x:c r="AD2098" s="8" t="n">
        <x:f>H2098*IF(AND(OR(AB2097/AE2097&gt;=v01_FissionTrigger*N2098,AC2098=1),AB2097/AE2097*v01_DaughterShare&gt;=v01_MinDaughter),MAX(1,ROUND(AE2097*v01_FissionRate,0)),0)</x:f>
        <x:v>0</x:v>
      </x:c>
      <x:c r="AE2098" s="8" t="n">
        <x:f>IF(H2098=1,MAX(1,MIN(INDEX(v01_Smax,G2098),AE2097+AD2098)),AE2097)</x:f>
        <x:v>15</x:v>
      </x:c>
      <x:c r="AF2098" s="8" t="n">
        <x:f>MAX(0,AE2098-AE2097)</x:f>
        <x:v>0</x:v>
      </x:c>
      <x:c r="AG2098" s="9" t="str">
        <x:f>IF(AF2098&gt;0,B2098,"")</x:f>
      </x:c>
      <x:c r="AH2098" s="9" t="n">
        <x:f>IF(F2098&gt;=1,1,(1+v01_LowTiesShare*(AE2098-1))/AE2098)</x:f>
        <x:v>1</x:v>
      </x:c>
      <x:c r="AI2098" s="32" t="n">
        <x:f>(Z2098+v01_ElderCommons*INDEX(LM_Elder,G2098)*AA2098)*AH2098</x:f>
        <x:v>64139.732591141874</x:v>
      </x:c>
      <x:c r="AJ2098" s="32" t="n">
        <x:f>H2098*v01_CommonsCoef*AI2098^v01_CommonsExp*INDEX(LM_Commons,G2098)</x:f>
        <x:v>0</x:v>
      </x:c>
      <x:c r="AK2098" s="32" t="n">
        <x:f>H2098*v01_RoleScale*Arch_Roles*(AE2098*(INDEX(v01_ElderRolePerSett,G2098)*v01_OutElder*INDEX(LM_Elder,G2098)+INDEX(v01_ShamanPerSett,G2098)*v01_OutShaman)+Z2098*(INDEX(v01_PriestShare,G2098)*v01_OutPriest+INDEX(v01_ScribeShare,G2098)*v01_OutScribe*INDEX(LM_Scribe,G2098)+INDEX(v01_ScholarShare,G2098)*v01_OutScholar*INDEX(LM_Scholar,G2098)+INDEX(v01_ResearcherShare,G2098)*v01_OutResearcher*INDEX(LM_Researcher,G2098)))</x:f>
        <x:v>0</x:v>
      </x:c>
      <x:c r="AL2098" s="32" t="n">
        <x:f>H2098*v01_RoleScale*Arch_Roles*AE2098*INDEX(v01_MonasteryPerSett,G2098)*v01_OutMonastery*INDEX(LM_Monastery,G2098)</x:f>
        <x:v>0</x:v>
      </x:c>
      <x:c r="AM2098" s="32" t="n">
        <x:f>(AJ2098+AK2098+AL2098)/4*INDEX(LM_All,G2098)*INDEX(v01_Boon,G2098)*Arch_Insight</x:f>
        <x:v>0</x:v>
      </x:c>
      <x:c r="AN2098" s="32" t="n">
        <x:f>H2098*(v01_KHPerAdult*Z2098+v01_KHOfCommons*AJ2098/4*INDEX(LM_All,G2098))*v01_KHUsable*Arch_KH</x:f>
        <x:v>0</x:v>
      </x:c>
      <x:c r="AO2098" s="32" t="n">
        <x:f>MIN(AP2097+AN2098,AM2098*v01_KHMaxRatio)</x:f>
        <x:v>0</x:v>
      </x:c>
      <x:c r="AP2098" s="32" t="n">
        <x:f>AP2097+AN2098-AO2098</x:f>
        <x:v>0</x:v>
      </x:c>
      <x:c r="AQ2098" s="32" t="n">
        <x:f>AM2098+AO2098</x:f>
        <x:v>0</x:v>
      </x:c>
      <x:c r="AR2098" s="10" t="n">
        <x:f>IF(H2098=1,INDEX(v01_Req,G2098),0)</x:f>
        <x:v>0</x:v>
      </x:c>
      <x:c r="AS2098" s="32" t="n">
        <x:f>IF(H2098=1,IF(E2098=1,AS2097-AR2097,AS2097)+AQ2098,0)</x:f>
        <x:v>0</x:v>
      </x:c>
      <x:c r="AT2098" s="11" t="n">
        <x:f>IF(AR2098&gt;0,MIN(1,AS2098/AR2098),1)</x:f>
        <x:v>1</x:v>
      </x:c>
      <x:c r="AU2098" s="10" t="n">
        <x:f>AB2098/INDEX(v01_RepScale,G2098)</x:f>
        <x:v>90.09519605746344</x:v>
      </x:c>
      <x:c r="AV2098" s="32" t="n">
        <x:f>AM2098*60/v01_SeasonSeconds</x:f>
        <x:v>0</x:v>
      </x:c>
    </x:row>
    <x:row r="2099">
      <x:c r="A2099" s="8" t="n">
        <x:f>A2098+1</x:f>
        <x:v>2096</x:v>
      </x:c>
      <x:c r="B2099" s="9" t="n">
        <x:f>A2099*v01_SeasonSeconds/60</x:f>
        <x:v>524</x:v>
      </x:c>
      <x:c r="C2099" s="9" t="n">
        <x:f>A2099/4</x:f>
        <x:v>524</x:v>
      </x:c>
      <x:c r="D2099" s="8" t="n">
        <x:f>IF(MOD(A2099,4)=0,1,0)</x:f>
        <x:v>1</x:v>
      </x:c>
      <x:c r="E2099" s="8" t="n">
        <x:f>IF(AND(F2098&lt;=9,AS2098&gt;=AR2098),1,0)</x:f>
        <x:v>0</x:v>
      </x:c>
      <x:c r="F2099" s="8" t="n">
        <x:f>MIN(10,F2098+E2099)</x:f>
        <x:v>10</x:v>
      </x:c>
      <x:c r="G2099" s="8" t="n">
        <x:f>MIN(F2099,9)+1</x:f>
        <x:v>10</x:v>
      </x:c>
      <x:c r="H2099" s="8" t="n">
        <x:f>IF(F2099&lt;=9,1,0)</x:f>
        <x:v>0</x:v>
      </x:c>
      <x:c r="I2099" s="9" t="n">
        <x:f>MIN(10,F2098+IF(AR2098&gt;0,MIN(1,AS2098/AR2098),1))</x:f>
        <x:v>10</x:v>
      </x:c>
      <x:c r="J2099" s="32" t="n">
        <x:f>INDEX(v01_FoodCap,G2099)*Arch_FoodCap*EXP(v01_CapsByProject*SUMPRODUCT((Cap_Point&lt;=I2099)*(Cap_Kind="Food")*Cap_Ln))</x:f>
        <x:v>12000</x:v>
      </x:c>
      <x:c r="K2099" s="32" t="n">
        <x:f>J2099*MIN(1,v01_LeanBase*EXP(v01_CapsByProject*SUMPRODUCT((Cap_Point&lt;=I2099)*(Cap_Kind="Lean")*Cap_Ln)))</x:f>
        <x:v>12000</x:v>
      </x:c>
      <x:c r="L2099" s="10" t="n">
        <x:f>INDEX(v01_HousingCap,G2099)*EXP(v01_CapsByProject*SUMPRODUCT((Cap_Point&lt;=I2099)*(Cap_Kind="Housing")*Cap_Ln))</x:f>
        <x:v>20000</x:v>
      </x:c>
      <x:c r="M2099" s="10" t="n">
        <x:f>INDEX(v01_GroupCap,G2099)*v01_CohesionFactor*EXP(v01_CapsByProject*SUMPRODUCT((Cap_Point&lt;=I2099)*(Cap_Kind="Group")*Cap_Ln))</x:f>
        <x:v>1000000</x:v>
      </x:c>
      <x:c r="N2099" s="32" t="n">
        <x:f>MIN(J2099,L2099,M2099)</x:f>
        <x:v>12000</x:v>
      </x:c>
      <x:c r="O2099" s="10" t="n">
        <x:f>AE2098*N2099</x:f>
        <x:v>180000</x:v>
      </x:c>
      <x:c r="P2099" s="9" t="n">
        <x:f>MIN(1,(AB2098/(AE2098*IF(v01_GroupInCrowding=1,N2099,MIN(J2099,L2099))))^v01_CrowdingExp)</x:f>
        <x:v>0.00024569414295285325</x:v>
      </x:c>
      <x:c r="Q2099" s="9" t="n">
        <x:f>IF(D2099=1,INDEX(v01_WinterMult,G2099),1)</x:f>
        <x:v>1</x:v>
      </x:c>
      <x:c r="R2099" s="9" t="n">
        <x:f>H2099*Z2098*v01_WomenShare*v01_BaseFertility*INDEX(v01_FertMult,G2099)*Arch_Fertility*(1-P2099)</x:f>
        <x:v>0</x:v>
      </x:c>
      <x:c r="S2099" s="9" t="n">
        <x:f>H2099*Y2098*INDEX(v01_MortChild,G2099)/4*Q2099</x:f>
        <x:v>0</x:v>
      </x:c>
      <x:c r="T2099" s="9" t="n">
        <x:f>H2099*Z2098*INDEX(v01_MortAdult,G2099)*Arch_AdultMort/4*Q2099</x:f>
        <x:v>0</x:v>
      </x:c>
      <x:c r="U2099" s="9" t="n">
        <x:f>H2099*AA2098*INDEX(v01_MortElder,G2099)/4*Q2099</x:f>
        <x:v>0</x:v>
      </x:c>
      <x:c r="V2099" s="9" t="n">
        <x:f>H2099*MAX(0,AB2098-O2099)*v01_OvercapLoss</x:f>
        <x:v>0</x:v>
      </x:c>
      <x:c r="W2099" s="9" t="n">
        <x:f>H2099*Y2098/(v01_ChildYears*4)</x:f>
        <x:v>0</x:v>
      </x:c>
      <x:c r="X2099" s="9" t="n">
        <x:f>H2099*Z2098/(v01_AdultYears*4)</x:f>
        <x:v>0</x:v>
      </x:c>
      <x:c r="Y2099" s="32" t="n">
        <x:f>Y2098+R2099-S2099-W2099-Y2098*V2099/AB2098</x:f>
        <x:v>14306.18539759397</x:v>
      </x:c>
      <x:c r="Z2099" s="32" t="n">
        <x:f>Z2098+W2099-X2099-T2099-Z2098*V2099/AB2098</x:f>
        <x:v>19354.456567879548</x:v>
      </x:c>
      <x:c r="AA2099" s="32" t="n">
        <x:f>AA2098+X2099-U2099-AA2098*V2099/AB2098</x:f>
        <x:v>11386.956063258198</x:v>
      </x:c>
      <x:c r="AB2099" s="10" t="n">
        <x:f>Y2099+Z2099+AA2099</x:f>
        <x:v>45047.59802873172</x:v>
      </x:c>
      <x:c r="AC2099" s="8" t="n">
        <x:f>IF(AND(v01_WinterTrigger=1,D2099=1,AB2098/AE2098&gt;=K2099),1,0)</x:f>
        <x:v>0</x:v>
      </x:c>
      <x:c r="AD2099" s="8" t="n">
        <x:f>H2099*IF(AND(OR(AB2098/AE2098&gt;=v01_FissionTrigger*N2099,AC2099=1),AB2098/AE2098*v01_DaughterShare&gt;=v01_MinDaughter),MAX(1,ROUND(AE2098*v01_FissionRate,0)),0)</x:f>
        <x:v>0</x:v>
      </x:c>
      <x:c r="AE2099" s="8" t="n">
        <x:f>IF(H2099=1,MAX(1,MIN(INDEX(v01_Smax,G2099),AE2098+AD2099)),AE2098)</x:f>
        <x:v>15</x:v>
      </x:c>
      <x:c r="AF2099" s="8" t="n">
        <x:f>MAX(0,AE2099-AE2098)</x:f>
        <x:v>0</x:v>
      </x:c>
      <x:c r="AG2099" s="9" t="str">
        <x:f>IF(AF2099&gt;0,B2099,"")</x:f>
      </x:c>
      <x:c r="AH2099" s="9" t="n">
        <x:f>IF(F2099&gt;=1,1,(1+v01_LowTiesShare*(AE2099-1))/AE2099)</x:f>
        <x:v>1</x:v>
      </x:c>
      <x:c r="AI2099" s="32" t="n">
        <x:f>(Z2099+v01_ElderCommons*INDEX(LM_Elder,G2099)*AA2099)*AH2099</x:f>
        <x:v>64139.732591141874</x:v>
      </x:c>
      <x:c r="AJ2099" s="32" t="n">
        <x:f>H2099*v01_CommonsCoef*AI2099^v01_CommonsExp*INDEX(LM_Commons,G2099)</x:f>
        <x:v>0</x:v>
      </x:c>
      <x:c r="AK2099" s="32" t="n">
        <x:f>H2099*v01_RoleScale*Arch_Roles*(AE2099*(INDEX(v01_ElderRolePerSett,G2099)*v01_OutElder*INDEX(LM_Elder,G2099)+INDEX(v01_ShamanPerSett,G2099)*v01_OutShaman)+Z2099*(INDEX(v01_PriestShare,G2099)*v01_OutPriest+INDEX(v01_ScribeShare,G2099)*v01_OutScribe*INDEX(LM_Scribe,G2099)+INDEX(v01_ScholarShare,G2099)*v01_OutScholar*INDEX(LM_Scholar,G2099)+INDEX(v01_ResearcherShare,G2099)*v01_OutResearcher*INDEX(LM_Researcher,G2099)))</x:f>
        <x:v>0</x:v>
      </x:c>
      <x:c r="AL2099" s="32" t="n">
        <x:f>H2099*v01_RoleScale*Arch_Roles*AE2099*INDEX(v01_MonasteryPerSett,G2099)*v01_OutMonastery*INDEX(LM_Monastery,G2099)</x:f>
        <x:v>0</x:v>
      </x:c>
      <x:c r="AM2099" s="32" t="n">
        <x:f>(AJ2099+AK2099+AL2099)/4*INDEX(LM_All,G2099)*INDEX(v01_Boon,G2099)*Arch_Insight</x:f>
        <x:v>0</x:v>
      </x:c>
      <x:c r="AN2099" s="32" t="n">
        <x:f>H2099*(v01_KHPerAdult*Z2099+v01_KHOfCommons*AJ2099/4*INDEX(LM_All,G2099))*v01_KHUsable*Arch_KH</x:f>
        <x:v>0</x:v>
      </x:c>
      <x:c r="AO2099" s="32" t="n">
        <x:f>MIN(AP2098+AN2099,AM2099*v01_KHMaxRatio)</x:f>
        <x:v>0</x:v>
      </x:c>
      <x:c r="AP2099" s="32" t="n">
        <x:f>AP2098+AN2099-AO2099</x:f>
        <x:v>0</x:v>
      </x:c>
      <x:c r="AQ2099" s="32" t="n">
        <x:f>AM2099+AO2099</x:f>
        <x:v>0</x:v>
      </x:c>
      <x:c r="AR2099" s="10" t="n">
        <x:f>IF(H2099=1,INDEX(v01_Req,G2099),0)</x:f>
        <x:v>0</x:v>
      </x:c>
      <x:c r="AS2099" s="32" t="n">
        <x:f>IF(H2099=1,IF(E2099=1,AS2098-AR2098,AS2098)+AQ2099,0)</x:f>
        <x:v>0</x:v>
      </x:c>
      <x:c r="AT2099" s="11" t="n">
        <x:f>IF(AR2099&gt;0,MIN(1,AS2099/AR2099),1)</x:f>
        <x:v>1</x:v>
      </x:c>
      <x:c r="AU2099" s="10" t="n">
        <x:f>AB2099/INDEX(v01_RepScale,G2099)</x:f>
        <x:v>90.09519605746344</x:v>
      </x:c>
      <x:c r="AV2099" s="32" t="n">
        <x:f>AM2099*60/v01_SeasonSeconds</x:f>
        <x:v>0</x:v>
      </x:c>
    </x:row>
    <x:row r="2100">
      <x:c r="A2100" s="8" t="n">
        <x:f>A2099+1</x:f>
        <x:v>2097</x:v>
      </x:c>
      <x:c r="B2100" s="9" t="n">
        <x:f>A2100*v01_SeasonSeconds/60</x:f>
        <x:v>524.25</x:v>
      </x:c>
      <x:c r="C2100" s="9" t="n">
        <x:f>A2100/4</x:f>
        <x:v>524.25</x:v>
      </x:c>
      <x:c r="D2100" s="8" t="n">
        <x:f>IF(MOD(A2100,4)=0,1,0)</x:f>
        <x:v>0</x:v>
      </x:c>
      <x:c r="E2100" s="8" t="n">
        <x:f>IF(AND(F2099&lt;=9,AS2099&gt;=AR2099),1,0)</x:f>
        <x:v>0</x:v>
      </x:c>
      <x:c r="F2100" s="8" t="n">
        <x:f>MIN(10,F2099+E2100)</x:f>
        <x:v>10</x:v>
      </x:c>
      <x:c r="G2100" s="8" t="n">
        <x:f>MIN(F2100,9)+1</x:f>
        <x:v>10</x:v>
      </x:c>
      <x:c r="H2100" s="8" t="n">
        <x:f>IF(F2100&lt;=9,1,0)</x:f>
        <x:v>0</x:v>
      </x:c>
      <x:c r="I2100" s="9" t="n">
        <x:f>MIN(10,F2099+IF(AR2099&gt;0,MIN(1,AS2099/AR2099),1))</x:f>
        <x:v>10</x:v>
      </x:c>
      <x:c r="J2100" s="32" t="n">
        <x:f>INDEX(v01_FoodCap,G2100)*Arch_FoodCap*EXP(v01_CapsByProject*SUMPRODUCT((Cap_Point&lt;=I2100)*(Cap_Kind="Food")*Cap_Ln))</x:f>
        <x:v>12000</x:v>
      </x:c>
      <x:c r="K2100" s="32" t="n">
        <x:f>J2100*MIN(1,v01_LeanBase*EXP(v01_CapsByProject*SUMPRODUCT((Cap_Point&lt;=I2100)*(Cap_Kind="Lean")*Cap_Ln)))</x:f>
        <x:v>12000</x:v>
      </x:c>
      <x:c r="L2100" s="10" t="n">
        <x:f>INDEX(v01_HousingCap,G2100)*EXP(v01_CapsByProject*SUMPRODUCT((Cap_Point&lt;=I2100)*(Cap_Kind="Housing")*Cap_Ln))</x:f>
        <x:v>20000</x:v>
      </x:c>
      <x:c r="M2100" s="10" t="n">
        <x:f>INDEX(v01_GroupCap,G2100)*v01_CohesionFactor*EXP(v01_CapsByProject*SUMPRODUCT((Cap_Point&lt;=I2100)*(Cap_Kind="Group")*Cap_Ln))</x:f>
        <x:v>1000000</x:v>
      </x:c>
      <x:c r="N2100" s="32" t="n">
        <x:f>MIN(J2100,L2100,M2100)</x:f>
        <x:v>12000</x:v>
      </x:c>
      <x:c r="O2100" s="10" t="n">
        <x:f>AE2099*N2100</x:f>
        <x:v>180000</x:v>
      </x:c>
      <x:c r="P2100" s="9" t="n">
        <x:f>MIN(1,(AB2099/(AE2099*IF(v01_GroupInCrowding=1,N2100,MIN(J2100,L2100))))^v01_CrowdingExp)</x:f>
        <x:v>0.00024569414295285325</x:v>
      </x:c>
      <x:c r="Q2100" s="9" t="n">
        <x:f>IF(D2100=1,INDEX(v01_WinterMult,G2100),1)</x:f>
        <x:v>1</x:v>
      </x:c>
      <x:c r="R2100" s="9" t="n">
        <x:f>H2100*Z2099*v01_WomenShare*v01_BaseFertility*INDEX(v01_FertMult,G2100)*Arch_Fertility*(1-P2100)</x:f>
        <x:v>0</x:v>
      </x:c>
      <x:c r="S2100" s="9" t="n">
        <x:f>H2100*Y2099*INDEX(v01_MortChild,G2100)/4*Q2100</x:f>
        <x:v>0</x:v>
      </x:c>
      <x:c r="T2100" s="9" t="n">
        <x:f>H2100*Z2099*INDEX(v01_MortAdult,G2100)*Arch_AdultMort/4*Q2100</x:f>
        <x:v>0</x:v>
      </x:c>
      <x:c r="U2100" s="9" t="n">
        <x:f>H2100*AA2099*INDEX(v01_MortElder,G2100)/4*Q2100</x:f>
        <x:v>0</x:v>
      </x:c>
      <x:c r="V2100" s="9" t="n">
        <x:f>H2100*MAX(0,AB2099-O2100)*v01_OvercapLoss</x:f>
        <x:v>0</x:v>
      </x:c>
      <x:c r="W2100" s="9" t="n">
        <x:f>H2100*Y2099/(v01_ChildYears*4)</x:f>
        <x:v>0</x:v>
      </x:c>
      <x:c r="X2100" s="9" t="n">
        <x:f>H2100*Z2099/(v01_AdultYears*4)</x:f>
        <x:v>0</x:v>
      </x:c>
      <x:c r="Y2100" s="32" t="n">
        <x:f>Y2099+R2100-S2100-W2100-Y2099*V2100/AB2099</x:f>
        <x:v>14306.18539759397</x:v>
      </x:c>
      <x:c r="Z2100" s="32" t="n">
        <x:f>Z2099+W2100-X2100-T2100-Z2099*V2100/AB2099</x:f>
        <x:v>19354.456567879548</x:v>
      </x:c>
      <x:c r="AA2100" s="32" t="n">
        <x:f>AA2099+X2100-U2100-AA2099*V2100/AB2099</x:f>
        <x:v>11386.956063258198</x:v>
      </x:c>
      <x:c r="AB2100" s="10" t="n">
        <x:f>Y2100+Z2100+AA2100</x:f>
        <x:v>45047.59802873172</x:v>
      </x:c>
      <x:c r="AC2100" s="8" t="n">
        <x:f>IF(AND(v01_WinterTrigger=1,D2100=1,AB2099/AE2099&gt;=K2100),1,0)</x:f>
        <x:v>0</x:v>
      </x:c>
      <x:c r="AD2100" s="8" t="n">
        <x:f>H2100*IF(AND(OR(AB2099/AE2099&gt;=v01_FissionTrigger*N2100,AC2100=1),AB2099/AE2099*v01_DaughterShare&gt;=v01_MinDaughter),MAX(1,ROUND(AE2099*v01_FissionRate,0)),0)</x:f>
        <x:v>0</x:v>
      </x:c>
      <x:c r="AE2100" s="8" t="n">
        <x:f>IF(H2100=1,MAX(1,MIN(INDEX(v01_Smax,G2100),AE2099+AD2100)),AE2099)</x:f>
        <x:v>15</x:v>
      </x:c>
      <x:c r="AF2100" s="8" t="n">
        <x:f>MAX(0,AE2100-AE2099)</x:f>
        <x:v>0</x:v>
      </x:c>
      <x:c r="AG2100" s="9" t="str">
        <x:f>IF(AF2100&gt;0,B2100,"")</x:f>
      </x:c>
      <x:c r="AH2100" s="9" t="n">
        <x:f>IF(F2100&gt;=1,1,(1+v01_LowTiesShare*(AE2100-1))/AE2100)</x:f>
        <x:v>1</x:v>
      </x:c>
      <x:c r="AI2100" s="32" t="n">
        <x:f>(Z2100+v01_ElderCommons*INDEX(LM_Elder,G2100)*AA2100)*AH2100</x:f>
        <x:v>64139.732591141874</x:v>
      </x:c>
      <x:c r="AJ2100" s="32" t="n">
        <x:f>H2100*v01_CommonsCoef*AI2100^v01_CommonsExp*INDEX(LM_Commons,G2100)</x:f>
        <x:v>0</x:v>
      </x:c>
      <x:c r="AK2100" s="32" t="n">
        <x:f>H2100*v01_RoleScale*Arch_Roles*(AE2100*(INDEX(v01_ElderRolePerSett,G2100)*v01_OutElder*INDEX(LM_Elder,G2100)+INDEX(v01_ShamanPerSett,G2100)*v01_OutShaman)+Z2100*(INDEX(v01_PriestShare,G2100)*v01_OutPriest+INDEX(v01_ScribeShare,G2100)*v01_OutScribe*INDEX(LM_Scribe,G2100)+INDEX(v01_ScholarShare,G2100)*v01_OutScholar*INDEX(LM_Scholar,G2100)+INDEX(v01_ResearcherShare,G2100)*v01_OutResearcher*INDEX(LM_Researcher,G2100)))</x:f>
        <x:v>0</x:v>
      </x:c>
      <x:c r="AL2100" s="32" t="n">
        <x:f>H2100*v01_RoleScale*Arch_Roles*AE2100*INDEX(v01_MonasteryPerSett,G2100)*v01_OutMonastery*INDEX(LM_Monastery,G2100)</x:f>
        <x:v>0</x:v>
      </x:c>
      <x:c r="AM2100" s="32" t="n">
        <x:f>(AJ2100+AK2100+AL2100)/4*INDEX(LM_All,G2100)*INDEX(v01_Boon,G2100)*Arch_Insight</x:f>
        <x:v>0</x:v>
      </x:c>
      <x:c r="AN2100" s="32" t="n">
        <x:f>H2100*(v01_KHPerAdult*Z2100+v01_KHOfCommons*AJ2100/4*INDEX(LM_All,G2100))*v01_KHUsable*Arch_KH</x:f>
        <x:v>0</x:v>
      </x:c>
      <x:c r="AO2100" s="32" t="n">
        <x:f>MIN(AP2099+AN2100,AM2100*v01_KHMaxRatio)</x:f>
        <x:v>0</x:v>
      </x:c>
      <x:c r="AP2100" s="32" t="n">
        <x:f>AP2099+AN2100-AO2100</x:f>
        <x:v>0</x:v>
      </x:c>
      <x:c r="AQ2100" s="32" t="n">
        <x:f>AM2100+AO2100</x:f>
        <x:v>0</x:v>
      </x:c>
      <x:c r="AR2100" s="10" t="n">
        <x:f>IF(H2100=1,INDEX(v01_Req,G2100),0)</x:f>
        <x:v>0</x:v>
      </x:c>
      <x:c r="AS2100" s="32" t="n">
        <x:f>IF(H2100=1,IF(E2100=1,AS2099-AR2099,AS2099)+AQ2100,0)</x:f>
        <x:v>0</x:v>
      </x:c>
      <x:c r="AT2100" s="11" t="n">
        <x:f>IF(AR2100&gt;0,MIN(1,AS2100/AR2100),1)</x:f>
        <x:v>1</x:v>
      </x:c>
      <x:c r="AU2100" s="10" t="n">
        <x:f>AB2100/INDEX(v01_RepScale,G2100)</x:f>
        <x:v>90.09519605746344</x:v>
      </x:c>
      <x:c r="AV2100" s="32" t="n">
        <x:f>AM2100*60/v01_SeasonSeconds</x:f>
        <x:v>0</x:v>
      </x:c>
    </x:row>
    <x:row r="2101">
      <x:c r="A2101" s="8" t="n">
        <x:f>A2100+1</x:f>
        <x:v>2098</x:v>
      </x:c>
      <x:c r="B2101" s="9" t="n">
        <x:f>A2101*v01_SeasonSeconds/60</x:f>
        <x:v>524.5</x:v>
      </x:c>
      <x:c r="C2101" s="9" t="n">
        <x:f>A2101/4</x:f>
        <x:v>524.5</x:v>
      </x:c>
      <x:c r="D2101" s="8" t="n">
        <x:f>IF(MOD(A2101,4)=0,1,0)</x:f>
        <x:v>0</x:v>
      </x:c>
      <x:c r="E2101" s="8" t="n">
        <x:f>IF(AND(F2100&lt;=9,AS2100&gt;=AR2100),1,0)</x:f>
        <x:v>0</x:v>
      </x:c>
      <x:c r="F2101" s="8" t="n">
        <x:f>MIN(10,F2100+E2101)</x:f>
        <x:v>10</x:v>
      </x:c>
      <x:c r="G2101" s="8" t="n">
        <x:f>MIN(F2101,9)+1</x:f>
        <x:v>10</x:v>
      </x:c>
      <x:c r="H2101" s="8" t="n">
        <x:f>IF(F2101&lt;=9,1,0)</x:f>
        <x:v>0</x:v>
      </x:c>
      <x:c r="I2101" s="9" t="n">
        <x:f>MIN(10,F2100+IF(AR2100&gt;0,MIN(1,AS2100/AR2100),1))</x:f>
        <x:v>10</x:v>
      </x:c>
      <x:c r="J2101" s="32" t="n">
        <x:f>INDEX(v01_FoodCap,G2101)*Arch_FoodCap*EXP(v01_CapsByProject*SUMPRODUCT((Cap_Point&lt;=I2101)*(Cap_Kind="Food")*Cap_Ln))</x:f>
        <x:v>12000</x:v>
      </x:c>
      <x:c r="K2101" s="32" t="n">
        <x:f>J2101*MIN(1,v01_LeanBase*EXP(v01_CapsByProject*SUMPRODUCT((Cap_Point&lt;=I2101)*(Cap_Kind="Lean")*Cap_Ln)))</x:f>
        <x:v>12000</x:v>
      </x:c>
      <x:c r="L2101" s="10" t="n">
        <x:f>INDEX(v01_HousingCap,G2101)*EXP(v01_CapsByProject*SUMPRODUCT((Cap_Point&lt;=I2101)*(Cap_Kind="Housing")*Cap_Ln))</x:f>
        <x:v>20000</x:v>
      </x:c>
      <x:c r="M2101" s="10" t="n">
        <x:f>INDEX(v01_GroupCap,G2101)*v01_CohesionFactor*EXP(v01_CapsByProject*SUMPRODUCT((Cap_Point&lt;=I2101)*(Cap_Kind="Group")*Cap_Ln))</x:f>
        <x:v>1000000</x:v>
      </x:c>
      <x:c r="N2101" s="32" t="n">
        <x:f>MIN(J2101,L2101,M2101)</x:f>
        <x:v>12000</x:v>
      </x:c>
      <x:c r="O2101" s="10" t="n">
        <x:f>AE2100*N2101</x:f>
        <x:v>180000</x:v>
      </x:c>
      <x:c r="P2101" s="9" t="n">
        <x:f>MIN(1,(AB2100/(AE2100*IF(v01_GroupInCrowding=1,N2101,MIN(J2101,L2101))))^v01_CrowdingExp)</x:f>
        <x:v>0.00024569414295285325</x:v>
      </x:c>
      <x:c r="Q2101" s="9" t="n">
        <x:f>IF(D2101=1,INDEX(v01_WinterMult,G2101),1)</x:f>
        <x:v>1</x:v>
      </x:c>
      <x:c r="R2101" s="9" t="n">
        <x:f>H2101*Z2100*v01_WomenShare*v01_BaseFertility*INDEX(v01_FertMult,G2101)*Arch_Fertility*(1-P2101)</x:f>
        <x:v>0</x:v>
      </x:c>
      <x:c r="S2101" s="9" t="n">
        <x:f>H2101*Y2100*INDEX(v01_MortChild,G2101)/4*Q2101</x:f>
        <x:v>0</x:v>
      </x:c>
      <x:c r="T2101" s="9" t="n">
        <x:f>H2101*Z2100*INDEX(v01_MortAdult,G2101)*Arch_AdultMort/4*Q2101</x:f>
        <x:v>0</x:v>
      </x:c>
      <x:c r="U2101" s="9" t="n">
        <x:f>H2101*AA2100*INDEX(v01_MortElder,G2101)/4*Q2101</x:f>
        <x:v>0</x:v>
      </x:c>
      <x:c r="V2101" s="9" t="n">
        <x:f>H2101*MAX(0,AB2100-O2101)*v01_OvercapLoss</x:f>
        <x:v>0</x:v>
      </x:c>
      <x:c r="W2101" s="9" t="n">
        <x:f>H2101*Y2100/(v01_ChildYears*4)</x:f>
        <x:v>0</x:v>
      </x:c>
      <x:c r="X2101" s="9" t="n">
        <x:f>H2101*Z2100/(v01_AdultYears*4)</x:f>
        <x:v>0</x:v>
      </x:c>
      <x:c r="Y2101" s="32" t="n">
        <x:f>Y2100+R2101-S2101-W2101-Y2100*V2101/AB2100</x:f>
        <x:v>14306.18539759397</x:v>
      </x:c>
      <x:c r="Z2101" s="32" t="n">
        <x:f>Z2100+W2101-X2101-T2101-Z2100*V2101/AB2100</x:f>
        <x:v>19354.456567879548</x:v>
      </x:c>
      <x:c r="AA2101" s="32" t="n">
        <x:f>AA2100+X2101-U2101-AA2100*V2101/AB2100</x:f>
        <x:v>11386.956063258198</x:v>
      </x:c>
      <x:c r="AB2101" s="10" t="n">
        <x:f>Y2101+Z2101+AA2101</x:f>
        <x:v>45047.59802873172</x:v>
      </x:c>
      <x:c r="AC2101" s="8" t="n">
        <x:f>IF(AND(v01_WinterTrigger=1,D2101=1,AB2100/AE2100&gt;=K2101),1,0)</x:f>
        <x:v>0</x:v>
      </x:c>
      <x:c r="AD2101" s="8" t="n">
        <x:f>H2101*IF(AND(OR(AB2100/AE2100&gt;=v01_FissionTrigger*N2101,AC2101=1),AB2100/AE2100*v01_DaughterShare&gt;=v01_MinDaughter),MAX(1,ROUND(AE2100*v01_FissionRate,0)),0)</x:f>
        <x:v>0</x:v>
      </x:c>
      <x:c r="AE2101" s="8" t="n">
        <x:f>IF(H2101=1,MAX(1,MIN(INDEX(v01_Smax,G2101),AE2100+AD2101)),AE2100)</x:f>
        <x:v>15</x:v>
      </x:c>
      <x:c r="AF2101" s="8" t="n">
        <x:f>MAX(0,AE2101-AE2100)</x:f>
        <x:v>0</x:v>
      </x:c>
      <x:c r="AG2101" s="9" t="str">
        <x:f>IF(AF2101&gt;0,B2101,"")</x:f>
      </x:c>
      <x:c r="AH2101" s="9" t="n">
        <x:f>IF(F2101&gt;=1,1,(1+v01_LowTiesShare*(AE2101-1))/AE2101)</x:f>
        <x:v>1</x:v>
      </x:c>
      <x:c r="AI2101" s="32" t="n">
        <x:f>(Z2101+v01_ElderCommons*INDEX(LM_Elder,G2101)*AA2101)*AH2101</x:f>
        <x:v>64139.732591141874</x:v>
      </x:c>
      <x:c r="AJ2101" s="32" t="n">
        <x:f>H2101*v01_CommonsCoef*AI2101^v01_CommonsExp*INDEX(LM_Commons,G2101)</x:f>
        <x:v>0</x:v>
      </x:c>
      <x:c r="AK2101" s="32" t="n">
        <x:f>H2101*v01_RoleScale*Arch_Roles*(AE2101*(INDEX(v01_ElderRolePerSett,G2101)*v01_OutElder*INDEX(LM_Elder,G2101)+INDEX(v01_ShamanPerSett,G2101)*v01_OutShaman)+Z2101*(INDEX(v01_PriestShare,G2101)*v01_OutPriest+INDEX(v01_ScribeShare,G2101)*v01_OutScribe*INDEX(LM_Scribe,G2101)+INDEX(v01_ScholarShare,G2101)*v01_OutScholar*INDEX(LM_Scholar,G2101)+INDEX(v01_ResearcherShare,G2101)*v01_OutResearcher*INDEX(LM_Researcher,G2101)))</x:f>
        <x:v>0</x:v>
      </x:c>
      <x:c r="AL2101" s="32" t="n">
        <x:f>H2101*v01_RoleScale*Arch_Roles*AE2101*INDEX(v01_MonasteryPerSett,G2101)*v01_OutMonastery*INDEX(LM_Monastery,G2101)</x:f>
        <x:v>0</x:v>
      </x:c>
      <x:c r="AM2101" s="32" t="n">
        <x:f>(AJ2101+AK2101+AL2101)/4*INDEX(LM_All,G2101)*INDEX(v01_Boon,G2101)*Arch_Insight</x:f>
        <x:v>0</x:v>
      </x:c>
      <x:c r="AN2101" s="32" t="n">
        <x:f>H2101*(v01_KHPerAdult*Z2101+v01_KHOfCommons*AJ2101/4*INDEX(LM_All,G2101))*v01_KHUsable*Arch_KH</x:f>
        <x:v>0</x:v>
      </x:c>
      <x:c r="AO2101" s="32" t="n">
        <x:f>MIN(AP2100+AN2101,AM2101*v01_KHMaxRatio)</x:f>
        <x:v>0</x:v>
      </x:c>
      <x:c r="AP2101" s="32" t="n">
        <x:f>AP2100+AN2101-AO2101</x:f>
        <x:v>0</x:v>
      </x:c>
      <x:c r="AQ2101" s="32" t="n">
        <x:f>AM2101+AO2101</x:f>
        <x:v>0</x:v>
      </x:c>
      <x:c r="AR2101" s="10" t="n">
        <x:f>IF(H2101=1,INDEX(v01_Req,G2101),0)</x:f>
        <x:v>0</x:v>
      </x:c>
      <x:c r="AS2101" s="32" t="n">
        <x:f>IF(H2101=1,IF(E2101=1,AS2100-AR2100,AS2100)+AQ2101,0)</x:f>
        <x:v>0</x:v>
      </x:c>
      <x:c r="AT2101" s="11" t="n">
        <x:f>IF(AR2101&gt;0,MIN(1,AS2101/AR2101),1)</x:f>
        <x:v>1</x:v>
      </x:c>
      <x:c r="AU2101" s="10" t="n">
        <x:f>AB2101/INDEX(v01_RepScale,G2101)</x:f>
        <x:v>90.09519605746344</x:v>
      </x:c>
      <x:c r="AV2101" s="32" t="n">
        <x:f>AM2101*60/v01_SeasonSeconds</x:f>
        <x:v>0</x:v>
      </x:c>
    </x:row>
    <x:row r="2102">
      <x:c r="A2102" s="8" t="n">
        <x:f>A2101+1</x:f>
        <x:v>2099</x:v>
      </x:c>
      <x:c r="B2102" s="9" t="n">
        <x:f>A2102*v01_SeasonSeconds/60</x:f>
        <x:v>524.75</x:v>
      </x:c>
      <x:c r="C2102" s="9" t="n">
        <x:f>A2102/4</x:f>
        <x:v>524.75</x:v>
      </x:c>
      <x:c r="D2102" s="8" t="n">
        <x:f>IF(MOD(A2102,4)=0,1,0)</x:f>
        <x:v>0</x:v>
      </x:c>
      <x:c r="E2102" s="8" t="n">
        <x:f>IF(AND(F2101&lt;=9,AS2101&gt;=AR2101),1,0)</x:f>
        <x:v>0</x:v>
      </x:c>
      <x:c r="F2102" s="8" t="n">
        <x:f>MIN(10,F2101+E2102)</x:f>
        <x:v>10</x:v>
      </x:c>
      <x:c r="G2102" s="8" t="n">
        <x:f>MIN(F2102,9)+1</x:f>
        <x:v>10</x:v>
      </x:c>
      <x:c r="H2102" s="8" t="n">
        <x:f>IF(F2102&lt;=9,1,0)</x:f>
        <x:v>0</x:v>
      </x:c>
      <x:c r="I2102" s="9" t="n">
        <x:f>MIN(10,F2101+IF(AR2101&gt;0,MIN(1,AS2101/AR2101),1))</x:f>
        <x:v>10</x:v>
      </x:c>
      <x:c r="J2102" s="32" t="n">
        <x:f>INDEX(v01_FoodCap,G2102)*Arch_FoodCap*EXP(v01_CapsByProject*SUMPRODUCT((Cap_Point&lt;=I2102)*(Cap_Kind="Food")*Cap_Ln))</x:f>
        <x:v>12000</x:v>
      </x:c>
      <x:c r="K2102" s="32" t="n">
        <x:f>J2102*MIN(1,v01_LeanBase*EXP(v01_CapsByProject*SUMPRODUCT((Cap_Point&lt;=I2102)*(Cap_Kind="Lean")*Cap_Ln)))</x:f>
        <x:v>12000</x:v>
      </x:c>
      <x:c r="L2102" s="10" t="n">
        <x:f>INDEX(v01_HousingCap,G2102)*EXP(v01_CapsByProject*SUMPRODUCT((Cap_Point&lt;=I2102)*(Cap_Kind="Housing")*Cap_Ln))</x:f>
        <x:v>20000</x:v>
      </x:c>
      <x:c r="M2102" s="10" t="n">
        <x:f>INDEX(v01_GroupCap,G2102)*v01_CohesionFactor*EXP(v01_CapsByProject*SUMPRODUCT((Cap_Point&lt;=I2102)*(Cap_Kind="Group")*Cap_Ln))</x:f>
        <x:v>1000000</x:v>
      </x:c>
      <x:c r="N2102" s="32" t="n">
        <x:f>MIN(J2102,L2102,M2102)</x:f>
        <x:v>12000</x:v>
      </x:c>
      <x:c r="O2102" s="10" t="n">
        <x:f>AE2101*N2102</x:f>
        <x:v>180000</x:v>
      </x:c>
      <x:c r="P2102" s="9" t="n">
        <x:f>MIN(1,(AB2101/(AE2101*IF(v01_GroupInCrowding=1,N2102,MIN(J2102,L2102))))^v01_CrowdingExp)</x:f>
        <x:v>0.00024569414295285325</x:v>
      </x:c>
      <x:c r="Q2102" s="9" t="n">
        <x:f>IF(D2102=1,INDEX(v01_WinterMult,G2102),1)</x:f>
        <x:v>1</x:v>
      </x:c>
      <x:c r="R2102" s="9" t="n">
        <x:f>H2102*Z2101*v01_WomenShare*v01_BaseFertility*INDEX(v01_FertMult,G2102)*Arch_Fertility*(1-P2102)</x:f>
        <x:v>0</x:v>
      </x:c>
      <x:c r="S2102" s="9" t="n">
        <x:f>H2102*Y2101*INDEX(v01_MortChild,G2102)/4*Q2102</x:f>
        <x:v>0</x:v>
      </x:c>
      <x:c r="T2102" s="9" t="n">
        <x:f>H2102*Z2101*INDEX(v01_MortAdult,G2102)*Arch_AdultMort/4*Q2102</x:f>
        <x:v>0</x:v>
      </x:c>
      <x:c r="U2102" s="9" t="n">
        <x:f>H2102*AA2101*INDEX(v01_MortElder,G2102)/4*Q2102</x:f>
        <x:v>0</x:v>
      </x:c>
      <x:c r="V2102" s="9" t="n">
        <x:f>H2102*MAX(0,AB2101-O2102)*v01_OvercapLoss</x:f>
        <x:v>0</x:v>
      </x:c>
      <x:c r="W2102" s="9" t="n">
        <x:f>H2102*Y2101/(v01_ChildYears*4)</x:f>
        <x:v>0</x:v>
      </x:c>
      <x:c r="X2102" s="9" t="n">
        <x:f>H2102*Z2101/(v01_AdultYears*4)</x:f>
        <x:v>0</x:v>
      </x:c>
      <x:c r="Y2102" s="32" t="n">
        <x:f>Y2101+R2102-S2102-W2102-Y2101*V2102/AB2101</x:f>
        <x:v>14306.18539759397</x:v>
      </x:c>
      <x:c r="Z2102" s="32" t="n">
        <x:f>Z2101+W2102-X2102-T2102-Z2101*V2102/AB2101</x:f>
        <x:v>19354.456567879548</x:v>
      </x:c>
      <x:c r="AA2102" s="32" t="n">
        <x:f>AA2101+X2102-U2102-AA2101*V2102/AB2101</x:f>
        <x:v>11386.956063258198</x:v>
      </x:c>
      <x:c r="AB2102" s="10" t="n">
        <x:f>Y2102+Z2102+AA2102</x:f>
        <x:v>45047.59802873172</x:v>
      </x:c>
      <x:c r="AC2102" s="8" t="n">
        <x:f>IF(AND(v01_WinterTrigger=1,D2102=1,AB2101/AE2101&gt;=K2102),1,0)</x:f>
        <x:v>0</x:v>
      </x:c>
      <x:c r="AD2102" s="8" t="n">
        <x:f>H2102*IF(AND(OR(AB2101/AE2101&gt;=v01_FissionTrigger*N2102,AC2102=1),AB2101/AE2101*v01_DaughterShare&gt;=v01_MinDaughter),MAX(1,ROUND(AE2101*v01_FissionRate,0)),0)</x:f>
        <x:v>0</x:v>
      </x:c>
      <x:c r="AE2102" s="8" t="n">
        <x:f>IF(H2102=1,MAX(1,MIN(INDEX(v01_Smax,G2102),AE2101+AD2102)),AE2101)</x:f>
        <x:v>15</x:v>
      </x:c>
      <x:c r="AF2102" s="8" t="n">
        <x:f>MAX(0,AE2102-AE2101)</x:f>
        <x:v>0</x:v>
      </x:c>
      <x:c r="AG2102" s="9" t="str">
        <x:f>IF(AF2102&gt;0,B2102,"")</x:f>
      </x:c>
      <x:c r="AH2102" s="9" t="n">
        <x:f>IF(F2102&gt;=1,1,(1+v01_LowTiesShare*(AE2102-1))/AE2102)</x:f>
        <x:v>1</x:v>
      </x:c>
      <x:c r="AI2102" s="32" t="n">
        <x:f>(Z2102+v01_ElderCommons*INDEX(LM_Elder,G2102)*AA2102)*AH2102</x:f>
        <x:v>64139.732591141874</x:v>
      </x:c>
      <x:c r="AJ2102" s="32" t="n">
        <x:f>H2102*v01_CommonsCoef*AI2102^v01_CommonsExp*INDEX(LM_Commons,G2102)</x:f>
        <x:v>0</x:v>
      </x:c>
      <x:c r="AK2102" s="32" t="n">
        <x:f>H2102*v01_RoleScale*Arch_Roles*(AE2102*(INDEX(v01_ElderRolePerSett,G2102)*v01_OutElder*INDEX(LM_Elder,G2102)+INDEX(v01_ShamanPerSett,G2102)*v01_OutShaman)+Z2102*(INDEX(v01_PriestShare,G2102)*v01_OutPriest+INDEX(v01_ScribeShare,G2102)*v01_OutScribe*INDEX(LM_Scribe,G2102)+INDEX(v01_ScholarShare,G2102)*v01_OutScholar*INDEX(LM_Scholar,G2102)+INDEX(v01_ResearcherShare,G2102)*v01_OutResearcher*INDEX(LM_Researcher,G2102)))</x:f>
        <x:v>0</x:v>
      </x:c>
      <x:c r="AL2102" s="32" t="n">
        <x:f>H2102*v01_RoleScale*Arch_Roles*AE2102*INDEX(v01_MonasteryPerSett,G2102)*v01_OutMonastery*INDEX(LM_Monastery,G2102)</x:f>
        <x:v>0</x:v>
      </x:c>
      <x:c r="AM2102" s="32" t="n">
        <x:f>(AJ2102+AK2102+AL2102)/4*INDEX(LM_All,G2102)*INDEX(v01_Boon,G2102)*Arch_Insight</x:f>
        <x:v>0</x:v>
      </x:c>
      <x:c r="AN2102" s="32" t="n">
        <x:f>H2102*(v01_KHPerAdult*Z2102+v01_KHOfCommons*AJ2102/4*INDEX(LM_All,G2102))*v01_KHUsable*Arch_KH</x:f>
        <x:v>0</x:v>
      </x:c>
      <x:c r="AO2102" s="32" t="n">
        <x:f>MIN(AP2101+AN2102,AM2102*v01_KHMaxRatio)</x:f>
        <x:v>0</x:v>
      </x:c>
      <x:c r="AP2102" s="32" t="n">
        <x:f>AP2101+AN2102-AO2102</x:f>
        <x:v>0</x:v>
      </x:c>
      <x:c r="AQ2102" s="32" t="n">
        <x:f>AM2102+AO2102</x:f>
        <x:v>0</x:v>
      </x:c>
      <x:c r="AR2102" s="10" t="n">
        <x:f>IF(H2102=1,INDEX(v01_Req,G2102),0)</x:f>
        <x:v>0</x:v>
      </x:c>
      <x:c r="AS2102" s="32" t="n">
        <x:f>IF(H2102=1,IF(E2102=1,AS2101-AR2101,AS2101)+AQ2102,0)</x:f>
        <x:v>0</x:v>
      </x:c>
      <x:c r="AT2102" s="11" t="n">
        <x:f>IF(AR2102&gt;0,MIN(1,AS2102/AR2102),1)</x:f>
        <x:v>1</x:v>
      </x:c>
      <x:c r="AU2102" s="10" t="n">
        <x:f>AB2102/INDEX(v01_RepScale,G2102)</x:f>
        <x:v>90.09519605746344</x:v>
      </x:c>
      <x:c r="AV2102" s="32" t="n">
        <x:f>AM2102*60/v01_SeasonSeconds</x:f>
        <x:v>0</x:v>
      </x:c>
    </x:row>
    <x:row r="2103">
      <x:c r="A2103" s="8" t="n">
        <x:f>A2102+1</x:f>
        <x:v>2100</x:v>
      </x:c>
      <x:c r="B2103" s="9" t="n">
        <x:f>A2103*v01_SeasonSeconds/60</x:f>
        <x:v>525</x:v>
      </x:c>
      <x:c r="C2103" s="9" t="n">
        <x:f>A2103/4</x:f>
        <x:v>525</x:v>
      </x:c>
      <x:c r="D2103" s="8" t="n">
        <x:f>IF(MOD(A2103,4)=0,1,0)</x:f>
        <x:v>1</x:v>
      </x:c>
      <x:c r="E2103" s="8" t="n">
        <x:f>IF(AND(F2102&lt;=9,AS2102&gt;=AR2102),1,0)</x:f>
        <x:v>0</x:v>
      </x:c>
      <x:c r="F2103" s="8" t="n">
        <x:f>MIN(10,F2102+E2103)</x:f>
        <x:v>10</x:v>
      </x:c>
      <x:c r="G2103" s="8" t="n">
        <x:f>MIN(F2103,9)+1</x:f>
        <x:v>10</x:v>
      </x:c>
      <x:c r="H2103" s="8" t="n">
        <x:f>IF(F2103&lt;=9,1,0)</x:f>
        <x:v>0</x:v>
      </x:c>
      <x:c r="I2103" s="9" t="n">
        <x:f>MIN(10,F2102+IF(AR2102&gt;0,MIN(1,AS2102/AR2102),1))</x:f>
        <x:v>10</x:v>
      </x:c>
      <x:c r="J2103" s="32" t="n">
        <x:f>INDEX(v01_FoodCap,G2103)*Arch_FoodCap*EXP(v01_CapsByProject*SUMPRODUCT((Cap_Point&lt;=I2103)*(Cap_Kind="Food")*Cap_Ln))</x:f>
        <x:v>12000</x:v>
      </x:c>
      <x:c r="K2103" s="32" t="n">
        <x:f>J2103*MIN(1,v01_LeanBase*EXP(v01_CapsByProject*SUMPRODUCT((Cap_Point&lt;=I2103)*(Cap_Kind="Lean")*Cap_Ln)))</x:f>
        <x:v>12000</x:v>
      </x:c>
      <x:c r="L2103" s="10" t="n">
        <x:f>INDEX(v01_HousingCap,G2103)*EXP(v01_CapsByProject*SUMPRODUCT((Cap_Point&lt;=I2103)*(Cap_Kind="Housing")*Cap_Ln))</x:f>
        <x:v>20000</x:v>
      </x:c>
      <x:c r="M2103" s="10" t="n">
        <x:f>INDEX(v01_GroupCap,G2103)*v01_CohesionFactor*EXP(v01_CapsByProject*SUMPRODUCT((Cap_Point&lt;=I2103)*(Cap_Kind="Group")*Cap_Ln))</x:f>
        <x:v>1000000</x:v>
      </x:c>
      <x:c r="N2103" s="32" t="n">
        <x:f>MIN(J2103,L2103,M2103)</x:f>
        <x:v>12000</x:v>
      </x:c>
      <x:c r="O2103" s="10" t="n">
        <x:f>AE2102*N2103</x:f>
        <x:v>180000</x:v>
      </x:c>
      <x:c r="P2103" s="9" t="n">
        <x:f>MIN(1,(AB2102/(AE2102*IF(v01_GroupInCrowding=1,N2103,MIN(J2103,L2103))))^v01_CrowdingExp)</x:f>
        <x:v>0.00024569414295285325</x:v>
      </x:c>
      <x:c r="Q2103" s="9" t="n">
        <x:f>IF(D2103=1,INDEX(v01_WinterMult,G2103),1)</x:f>
        <x:v>1</x:v>
      </x:c>
      <x:c r="R2103" s="9" t="n">
        <x:f>H2103*Z2102*v01_WomenShare*v01_BaseFertility*INDEX(v01_FertMult,G2103)*Arch_Fertility*(1-P2103)</x:f>
        <x:v>0</x:v>
      </x:c>
      <x:c r="S2103" s="9" t="n">
        <x:f>H2103*Y2102*INDEX(v01_MortChild,G2103)/4*Q2103</x:f>
        <x:v>0</x:v>
      </x:c>
      <x:c r="T2103" s="9" t="n">
        <x:f>H2103*Z2102*INDEX(v01_MortAdult,G2103)*Arch_AdultMort/4*Q2103</x:f>
        <x:v>0</x:v>
      </x:c>
      <x:c r="U2103" s="9" t="n">
        <x:f>H2103*AA2102*INDEX(v01_MortElder,G2103)/4*Q2103</x:f>
        <x:v>0</x:v>
      </x:c>
      <x:c r="V2103" s="9" t="n">
        <x:f>H2103*MAX(0,AB2102-O2103)*v01_OvercapLoss</x:f>
        <x:v>0</x:v>
      </x:c>
      <x:c r="W2103" s="9" t="n">
        <x:f>H2103*Y2102/(v01_ChildYears*4)</x:f>
        <x:v>0</x:v>
      </x:c>
      <x:c r="X2103" s="9" t="n">
        <x:f>H2103*Z2102/(v01_AdultYears*4)</x:f>
        <x:v>0</x:v>
      </x:c>
      <x:c r="Y2103" s="32" t="n">
        <x:f>Y2102+R2103-S2103-W2103-Y2102*V2103/AB2102</x:f>
        <x:v>14306.18539759397</x:v>
      </x:c>
      <x:c r="Z2103" s="32" t="n">
        <x:f>Z2102+W2103-X2103-T2103-Z2102*V2103/AB2102</x:f>
        <x:v>19354.456567879548</x:v>
      </x:c>
      <x:c r="AA2103" s="32" t="n">
        <x:f>AA2102+X2103-U2103-AA2102*V2103/AB2102</x:f>
        <x:v>11386.956063258198</x:v>
      </x:c>
      <x:c r="AB2103" s="10" t="n">
        <x:f>Y2103+Z2103+AA2103</x:f>
        <x:v>45047.59802873172</x:v>
      </x:c>
      <x:c r="AC2103" s="8" t="n">
        <x:f>IF(AND(v01_WinterTrigger=1,D2103=1,AB2102/AE2102&gt;=K2103),1,0)</x:f>
        <x:v>0</x:v>
      </x:c>
      <x:c r="AD2103" s="8" t="n">
        <x:f>H2103*IF(AND(OR(AB2102/AE2102&gt;=v01_FissionTrigger*N2103,AC2103=1),AB2102/AE2102*v01_DaughterShare&gt;=v01_MinDaughter),MAX(1,ROUND(AE2102*v01_FissionRate,0)),0)</x:f>
        <x:v>0</x:v>
      </x:c>
      <x:c r="AE2103" s="8" t="n">
        <x:f>IF(H2103=1,MAX(1,MIN(INDEX(v01_Smax,G2103),AE2102+AD2103)),AE2102)</x:f>
        <x:v>15</x:v>
      </x:c>
      <x:c r="AF2103" s="8" t="n">
        <x:f>MAX(0,AE2103-AE2102)</x:f>
        <x:v>0</x:v>
      </x:c>
      <x:c r="AG2103" s="9" t="str">
        <x:f>IF(AF2103&gt;0,B2103,"")</x:f>
      </x:c>
      <x:c r="AH2103" s="9" t="n">
        <x:f>IF(F2103&gt;=1,1,(1+v01_LowTiesShare*(AE2103-1))/AE2103)</x:f>
        <x:v>1</x:v>
      </x:c>
      <x:c r="AI2103" s="32" t="n">
        <x:f>(Z2103+v01_ElderCommons*INDEX(LM_Elder,G2103)*AA2103)*AH2103</x:f>
        <x:v>64139.732591141874</x:v>
      </x:c>
      <x:c r="AJ2103" s="32" t="n">
        <x:f>H2103*v01_CommonsCoef*AI2103^v01_CommonsExp*INDEX(LM_Commons,G2103)</x:f>
        <x:v>0</x:v>
      </x:c>
      <x:c r="AK2103" s="32" t="n">
        <x:f>H2103*v01_RoleScale*Arch_Roles*(AE2103*(INDEX(v01_ElderRolePerSett,G2103)*v01_OutElder*INDEX(LM_Elder,G2103)+INDEX(v01_ShamanPerSett,G2103)*v01_OutShaman)+Z2103*(INDEX(v01_PriestShare,G2103)*v01_OutPriest+INDEX(v01_ScribeShare,G2103)*v01_OutScribe*INDEX(LM_Scribe,G2103)+INDEX(v01_ScholarShare,G2103)*v01_OutScholar*INDEX(LM_Scholar,G2103)+INDEX(v01_ResearcherShare,G2103)*v01_OutResearcher*INDEX(LM_Researcher,G2103)))</x:f>
        <x:v>0</x:v>
      </x:c>
      <x:c r="AL2103" s="32" t="n">
        <x:f>H2103*v01_RoleScale*Arch_Roles*AE2103*INDEX(v01_MonasteryPerSett,G2103)*v01_OutMonastery*INDEX(LM_Monastery,G2103)</x:f>
        <x:v>0</x:v>
      </x:c>
      <x:c r="AM2103" s="32" t="n">
        <x:f>(AJ2103+AK2103+AL2103)/4*INDEX(LM_All,G2103)*INDEX(v01_Boon,G2103)*Arch_Insight</x:f>
        <x:v>0</x:v>
      </x:c>
      <x:c r="AN2103" s="32" t="n">
        <x:f>H2103*(v01_KHPerAdult*Z2103+v01_KHOfCommons*AJ2103/4*INDEX(LM_All,G2103))*v01_KHUsable*Arch_KH</x:f>
        <x:v>0</x:v>
      </x:c>
      <x:c r="AO2103" s="32" t="n">
        <x:f>MIN(AP2102+AN2103,AM2103*v01_KHMaxRatio)</x:f>
        <x:v>0</x:v>
      </x:c>
      <x:c r="AP2103" s="32" t="n">
        <x:f>AP2102+AN2103-AO2103</x:f>
        <x:v>0</x:v>
      </x:c>
      <x:c r="AQ2103" s="32" t="n">
        <x:f>AM2103+AO2103</x:f>
        <x:v>0</x:v>
      </x:c>
      <x:c r="AR2103" s="10" t="n">
        <x:f>IF(H2103=1,INDEX(v01_Req,G2103),0)</x:f>
        <x:v>0</x:v>
      </x:c>
      <x:c r="AS2103" s="32" t="n">
        <x:f>IF(H2103=1,IF(E2103=1,AS2102-AR2102,AS2102)+AQ2103,0)</x:f>
        <x:v>0</x:v>
      </x:c>
      <x:c r="AT2103" s="11" t="n">
        <x:f>IF(AR2103&gt;0,MIN(1,AS2103/AR2103),1)</x:f>
        <x:v>1</x:v>
      </x:c>
      <x:c r="AU2103" s="10" t="n">
        <x:f>AB2103/INDEX(v01_RepScale,G2103)</x:f>
        <x:v>90.09519605746344</x:v>
      </x:c>
      <x:c r="AV2103" s="32" t="n">
        <x:f>AM2103*60/v01_SeasonSeconds</x:f>
        <x:v>0</x:v>
      </x:c>
    </x:row>
    <x:row r="2104">
      <x:c r="A2104" s="8" t="n">
        <x:f>A2103+1</x:f>
        <x:v>2101</x:v>
      </x:c>
      <x:c r="B2104" s="9" t="n">
        <x:f>A2104*v01_SeasonSeconds/60</x:f>
        <x:v>525.25</x:v>
      </x:c>
      <x:c r="C2104" s="9" t="n">
        <x:f>A2104/4</x:f>
        <x:v>525.25</x:v>
      </x:c>
      <x:c r="D2104" s="8" t="n">
        <x:f>IF(MOD(A2104,4)=0,1,0)</x:f>
        <x:v>0</x:v>
      </x:c>
      <x:c r="E2104" s="8" t="n">
        <x:f>IF(AND(F2103&lt;=9,AS2103&gt;=AR2103),1,0)</x:f>
        <x:v>0</x:v>
      </x:c>
      <x:c r="F2104" s="8" t="n">
        <x:f>MIN(10,F2103+E2104)</x:f>
        <x:v>10</x:v>
      </x:c>
      <x:c r="G2104" s="8" t="n">
        <x:f>MIN(F2104,9)+1</x:f>
        <x:v>10</x:v>
      </x:c>
      <x:c r="H2104" s="8" t="n">
        <x:f>IF(F2104&lt;=9,1,0)</x:f>
        <x:v>0</x:v>
      </x:c>
      <x:c r="I2104" s="9" t="n">
        <x:f>MIN(10,F2103+IF(AR2103&gt;0,MIN(1,AS2103/AR2103),1))</x:f>
        <x:v>10</x:v>
      </x:c>
      <x:c r="J2104" s="32" t="n">
        <x:f>INDEX(v01_FoodCap,G2104)*Arch_FoodCap*EXP(v01_CapsByProject*SUMPRODUCT((Cap_Point&lt;=I2104)*(Cap_Kind="Food")*Cap_Ln))</x:f>
        <x:v>12000</x:v>
      </x:c>
      <x:c r="K2104" s="32" t="n">
        <x:f>J2104*MIN(1,v01_LeanBase*EXP(v01_CapsByProject*SUMPRODUCT((Cap_Point&lt;=I2104)*(Cap_Kind="Lean")*Cap_Ln)))</x:f>
        <x:v>12000</x:v>
      </x:c>
      <x:c r="L2104" s="10" t="n">
        <x:f>INDEX(v01_HousingCap,G2104)*EXP(v01_CapsByProject*SUMPRODUCT((Cap_Point&lt;=I2104)*(Cap_Kind="Housing")*Cap_Ln))</x:f>
        <x:v>20000</x:v>
      </x:c>
      <x:c r="M2104" s="10" t="n">
        <x:f>INDEX(v01_GroupCap,G2104)*v01_CohesionFactor*EXP(v01_CapsByProject*SUMPRODUCT((Cap_Point&lt;=I2104)*(Cap_Kind="Group")*Cap_Ln))</x:f>
        <x:v>1000000</x:v>
      </x:c>
      <x:c r="N2104" s="32" t="n">
        <x:f>MIN(J2104,L2104,M2104)</x:f>
        <x:v>12000</x:v>
      </x:c>
      <x:c r="O2104" s="10" t="n">
        <x:f>AE2103*N2104</x:f>
        <x:v>180000</x:v>
      </x:c>
      <x:c r="P2104" s="9" t="n">
        <x:f>MIN(1,(AB2103/(AE2103*IF(v01_GroupInCrowding=1,N2104,MIN(J2104,L2104))))^v01_CrowdingExp)</x:f>
        <x:v>0.00024569414295285325</x:v>
      </x:c>
      <x:c r="Q2104" s="9" t="n">
        <x:f>IF(D2104=1,INDEX(v01_WinterMult,G2104),1)</x:f>
        <x:v>1</x:v>
      </x:c>
      <x:c r="R2104" s="9" t="n">
        <x:f>H2104*Z2103*v01_WomenShare*v01_BaseFertility*INDEX(v01_FertMult,G2104)*Arch_Fertility*(1-P2104)</x:f>
        <x:v>0</x:v>
      </x:c>
      <x:c r="S2104" s="9" t="n">
        <x:f>H2104*Y2103*INDEX(v01_MortChild,G2104)/4*Q2104</x:f>
        <x:v>0</x:v>
      </x:c>
      <x:c r="T2104" s="9" t="n">
        <x:f>H2104*Z2103*INDEX(v01_MortAdult,G2104)*Arch_AdultMort/4*Q2104</x:f>
        <x:v>0</x:v>
      </x:c>
      <x:c r="U2104" s="9" t="n">
        <x:f>H2104*AA2103*INDEX(v01_MortElder,G2104)/4*Q2104</x:f>
        <x:v>0</x:v>
      </x:c>
      <x:c r="V2104" s="9" t="n">
        <x:f>H2104*MAX(0,AB2103-O2104)*v01_OvercapLoss</x:f>
        <x:v>0</x:v>
      </x:c>
      <x:c r="W2104" s="9" t="n">
        <x:f>H2104*Y2103/(v01_ChildYears*4)</x:f>
        <x:v>0</x:v>
      </x:c>
      <x:c r="X2104" s="9" t="n">
        <x:f>H2104*Z2103/(v01_AdultYears*4)</x:f>
        <x:v>0</x:v>
      </x:c>
      <x:c r="Y2104" s="32" t="n">
        <x:f>Y2103+R2104-S2104-W2104-Y2103*V2104/AB2103</x:f>
        <x:v>14306.18539759397</x:v>
      </x:c>
      <x:c r="Z2104" s="32" t="n">
        <x:f>Z2103+W2104-X2104-T2104-Z2103*V2104/AB2103</x:f>
        <x:v>19354.456567879548</x:v>
      </x:c>
      <x:c r="AA2104" s="32" t="n">
        <x:f>AA2103+X2104-U2104-AA2103*V2104/AB2103</x:f>
        <x:v>11386.956063258198</x:v>
      </x:c>
      <x:c r="AB2104" s="10" t="n">
        <x:f>Y2104+Z2104+AA2104</x:f>
        <x:v>45047.59802873172</x:v>
      </x:c>
      <x:c r="AC2104" s="8" t="n">
        <x:f>IF(AND(v01_WinterTrigger=1,D2104=1,AB2103/AE2103&gt;=K2104),1,0)</x:f>
        <x:v>0</x:v>
      </x:c>
      <x:c r="AD2104" s="8" t="n">
        <x:f>H2104*IF(AND(OR(AB2103/AE2103&gt;=v01_FissionTrigger*N2104,AC2104=1),AB2103/AE2103*v01_DaughterShare&gt;=v01_MinDaughter),MAX(1,ROUND(AE2103*v01_FissionRate,0)),0)</x:f>
        <x:v>0</x:v>
      </x:c>
      <x:c r="AE2104" s="8" t="n">
        <x:f>IF(H2104=1,MAX(1,MIN(INDEX(v01_Smax,G2104),AE2103+AD2104)),AE2103)</x:f>
        <x:v>15</x:v>
      </x:c>
      <x:c r="AF2104" s="8" t="n">
        <x:f>MAX(0,AE2104-AE2103)</x:f>
        <x:v>0</x:v>
      </x:c>
      <x:c r="AG2104" s="9" t="str">
        <x:f>IF(AF2104&gt;0,B2104,"")</x:f>
      </x:c>
      <x:c r="AH2104" s="9" t="n">
        <x:f>IF(F2104&gt;=1,1,(1+v01_LowTiesShare*(AE2104-1))/AE2104)</x:f>
        <x:v>1</x:v>
      </x:c>
      <x:c r="AI2104" s="32" t="n">
        <x:f>(Z2104+v01_ElderCommons*INDEX(LM_Elder,G2104)*AA2104)*AH2104</x:f>
        <x:v>64139.732591141874</x:v>
      </x:c>
      <x:c r="AJ2104" s="32" t="n">
        <x:f>H2104*v01_CommonsCoef*AI2104^v01_CommonsExp*INDEX(LM_Commons,G2104)</x:f>
        <x:v>0</x:v>
      </x:c>
      <x:c r="AK2104" s="32" t="n">
        <x:f>H2104*v01_RoleScale*Arch_Roles*(AE2104*(INDEX(v01_ElderRolePerSett,G2104)*v01_OutElder*INDEX(LM_Elder,G2104)+INDEX(v01_ShamanPerSett,G2104)*v01_OutShaman)+Z2104*(INDEX(v01_PriestShare,G2104)*v01_OutPriest+INDEX(v01_ScribeShare,G2104)*v01_OutScribe*INDEX(LM_Scribe,G2104)+INDEX(v01_ScholarShare,G2104)*v01_OutScholar*INDEX(LM_Scholar,G2104)+INDEX(v01_ResearcherShare,G2104)*v01_OutResearcher*INDEX(LM_Researcher,G2104)))</x:f>
        <x:v>0</x:v>
      </x:c>
      <x:c r="AL2104" s="32" t="n">
        <x:f>H2104*v01_RoleScale*Arch_Roles*AE2104*INDEX(v01_MonasteryPerSett,G2104)*v01_OutMonastery*INDEX(LM_Monastery,G2104)</x:f>
        <x:v>0</x:v>
      </x:c>
      <x:c r="AM2104" s="32" t="n">
        <x:f>(AJ2104+AK2104+AL2104)/4*INDEX(LM_All,G2104)*INDEX(v01_Boon,G2104)*Arch_Insight</x:f>
        <x:v>0</x:v>
      </x:c>
      <x:c r="AN2104" s="32" t="n">
        <x:f>H2104*(v01_KHPerAdult*Z2104+v01_KHOfCommons*AJ2104/4*INDEX(LM_All,G2104))*v01_KHUsable*Arch_KH</x:f>
        <x:v>0</x:v>
      </x:c>
      <x:c r="AO2104" s="32" t="n">
        <x:f>MIN(AP2103+AN2104,AM2104*v01_KHMaxRatio)</x:f>
        <x:v>0</x:v>
      </x:c>
      <x:c r="AP2104" s="32" t="n">
        <x:f>AP2103+AN2104-AO2104</x:f>
        <x:v>0</x:v>
      </x:c>
      <x:c r="AQ2104" s="32" t="n">
        <x:f>AM2104+AO2104</x:f>
        <x:v>0</x:v>
      </x:c>
      <x:c r="AR2104" s="10" t="n">
        <x:f>IF(H2104=1,INDEX(v01_Req,G2104),0)</x:f>
        <x:v>0</x:v>
      </x:c>
      <x:c r="AS2104" s="32" t="n">
        <x:f>IF(H2104=1,IF(E2104=1,AS2103-AR2103,AS2103)+AQ2104,0)</x:f>
        <x:v>0</x:v>
      </x:c>
      <x:c r="AT2104" s="11" t="n">
        <x:f>IF(AR2104&gt;0,MIN(1,AS2104/AR2104),1)</x:f>
        <x:v>1</x:v>
      </x:c>
      <x:c r="AU2104" s="10" t="n">
        <x:f>AB2104/INDEX(v01_RepScale,G2104)</x:f>
        <x:v>90.09519605746344</x:v>
      </x:c>
      <x:c r="AV2104" s="32" t="n">
        <x:f>AM2104*60/v01_SeasonSeconds</x:f>
        <x:v>0</x:v>
      </x:c>
    </x:row>
    <x:row r="2105">
      <x:c r="A2105" s="8" t="n">
        <x:f>A2104+1</x:f>
        <x:v>2102</x:v>
      </x:c>
      <x:c r="B2105" s="9" t="n">
        <x:f>A2105*v01_SeasonSeconds/60</x:f>
        <x:v>525.5</x:v>
      </x:c>
      <x:c r="C2105" s="9" t="n">
        <x:f>A2105/4</x:f>
        <x:v>525.5</x:v>
      </x:c>
      <x:c r="D2105" s="8" t="n">
        <x:f>IF(MOD(A2105,4)=0,1,0)</x:f>
        <x:v>0</x:v>
      </x:c>
      <x:c r="E2105" s="8" t="n">
        <x:f>IF(AND(F2104&lt;=9,AS2104&gt;=AR2104),1,0)</x:f>
        <x:v>0</x:v>
      </x:c>
      <x:c r="F2105" s="8" t="n">
        <x:f>MIN(10,F2104+E2105)</x:f>
        <x:v>10</x:v>
      </x:c>
      <x:c r="G2105" s="8" t="n">
        <x:f>MIN(F2105,9)+1</x:f>
        <x:v>10</x:v>
      </x:c>
      <x:c r="H2105" s="8" t="n">
        <x:f>IF(F2105&lt;=9,1,0)</x:f>
        <x:v>0</x:v>
      </x:c>
      <x:c r="I2105" s="9" t="n">
        <x:f>MIN(10,F2104+IF(AR2104&gt;0,MIN(1,AS2104/AR2104),1))</x:f>
        <x:v>10</x:v>
      </x:c>
      <x:c r="J2105" s="32" t="n">
        <x:f>INDEX(v01_FoodCap,G2105)*Arch_FoodCap*EXP(v01_CapsByProject*SUMPRODUCT((Cap_Point&lt;=I2105)*(Cap_Kind="Food")*Cap_Ln))</x:f>
        <x:v>12000</x:v>
      </x:c>
      <x:c r="K2105" s="32" t="n">
        <x:f>J2105*MIN(1,v01_LeanBase*EXP(v01_CapsByProject*SUMPRODUCT((Cap_Point&lt;=I2105)*(Cap_Kind="Lean")*Cap_Ln)))</x:f>
        <x:v>12000</x:v>
      </x:c>
      <x:c r="L2105" s="10" t="n">
        <x:f>INDEX(v01_HousingCap,G2105)*EXP(v01_CapsByProject*SUMPRODUCT((Cap_Point&lt;=I2105)*(Cap_Kind="Housing")*Cap_Ln))</x:f>
        <x:v>20000</x:v>
      </x:c>
      <x:c r="M2105" s="10" t="n">
        <x:f>INDEX(v01_GroupCap,G2105)*v01_CohesionFactor*EXP(v01_CapsByProject*SUMPRODUCT((Cap_Point&lt;=I2105)*(Cap_Kind="Group")*Cap_Ln))</x:f>
        <x:v>1000000</x:v>
      </x:c>
      <x:c r="N2105" s="32" t="n">
        <x:f>MIN(J2105,L2105,M2105)</x:f>
        <x:v>12000</x:v>
      </x:c>
      <x:c r="O2105" s="10" t="n">
        <x:f>AE2104*N2105</x:f>
        <x:v>180000</x:v>
      </x:c>
      <x:c r="P2105" s="9" t="n">
        <x:f>MIN(1,(AB2104/(AE2104*IF(v01_GroupInCrowding=1,N2105,MIN(J2105,L2105))))^v01_CrowdingExp)</x:f>
        <x:v>0.00024569414295285325</x:v>
      </x:c>
      <x:c r="Q2105" s="9" t="n">
        <x:f>IF(D2105=1,INDEX(v01_WinterMult,G2105),1)</x:f>
        <x:v>1</x:v>
      </x:c>
      <x:c r="R2105" s="9" t="n">
        <x:f>H2105*Z2104*v01_WomenShare*v01_BaseFertility*INDEX(v01_FertMult,G2105)*Arch_Fertility*(1-P2105)</x:f>
        <x:v>0</x:v>
      </x:c>
      <x:c r="S2105" s="9" t="n">
        <x:f>H2105*Y2104*INDEX(v01_MortChild,G2105)/4*Q2105</x:f>
        <x:v>0</x:v>
      </x:c>
      <x:c r="T2105" s="9" t="n">
        <x:f>H2105*Z2104*INDEX(v01_MortAdult,G2105)*Arch_AdultMort/4*Q2105</x:f>
        <x:v>0</x:v>
      </x:c>
      <x:c r="U2105" s="9" t="n">
        <x:f>H2105*AA2104*INDEX(v01_MortElder,G2105)/4*Q2105</x:f>
        <x:v>0</x:v>
      </x:c>
      <x:c r="V2105" s="9" t="n">
        <x:f>H2105*MAX(0,AB2104-O2105)*v01_OvercapLoss</x:f>
        <x:v>0</x:v>
      </x:c>
      <x:c r="W2105" s="9" t="n">
        <x:f>H2105*Y2104/(v01_ChildYears*4)</x:f>
        <x:v>0</x:v>
      </x:c>
      <x:c r="X2105" s="9" t="n">
        <x:f>H2105*Z2104/(v01_AdultYears*4)</x:f>
        <x:v>0</x:v>
      </x:c>
      <x:c r="Y2105" s="32" t="n">
        <x:f>Y2104+R2105-S2105-W2105-Y2104*V2105/AB2104</x:f>
        <x:v>14306.18539759397</x:v>
      </x:c>
      <x:c r="Z2105" s="32" t="n">
        <x:f>Z2104+W2105-X2105-T2105-Z2104*V2105/AB2104</x:f>
        <x:v>19354.456567879548</x:v>
      </x:c>
      <x:c r="AA2105" s="32" t="n">
        <x:f>AA2104+X2105-U2105-AA2104*V2105/AB2104</x:f>
        <x:v>11386.956063258198</x:v>
      </x:c>
      <x:c r="AB2105" s="10" t="n">
        <x:f>Y2105+Z2105+AA2105</x:f>
        <x:v>45047.59802873172</x:v>
      </x:c>
      <x:c r="AC2105" s="8" t="n">
        <x:f>IF(AND(v01_WinterTrigger=1,D2105=1,AB2104/AE2104&gt;=K2105),1,0)</x:f>
        <x:v>0</x:v>
      </x:c>
      <x:c r="AD2105" s="8" t="n">
        <x:f>H2105*IF(AND(OR(AB2104/AE2104&gt;=v01_FissionTrigger*N2105,AC2105=1),AB2104/AE2104*v01_DaughterShare&gt;=v01_MinDaughter),MAX(1,ROUND(AE2104*v01_FissionRate,0)),0)</x:f>
        <x:v>0</x:v>
      </x:c>
      <x:c r="AE2105" s="8" t="n">
        <x:f>IF(H2105=1,MAX(1,MIN(INDEX(v01_Smax,G2105),AE2104+AD2105)),AE2104)</x:f>
        <x:v>15</x:v>
      </x:c>
      <x:c r="AF2105" s="8" t="n">
        <x:f>MAX(0,AE2105-AE2104)</x:f>
        <x:v>0</x:v>
      </x:c>
      <x:c r="AG2105" s="9" t="str">
        <x:f>IF(AF2105&gt;0,B2105,"")</x:f>
      </x:c>
      <x:c r="AH2105" s="9" t="n">
        <x:f>IF(F2105&gt;=1,1,(1+v01_LowTiesShare*(AE2105-1))/AE2105)</x:f>
        <x:v>1</x:v>
      </x:c>
      <x:c r="AI2105" s="32" t="n">
        <x:f>(Z2105+v01_ElderCommons*INDEX(LM_Elder,G2105)*AA2105)*AH2105</x:f>
        <x:v>64139.732591141874</x:v>
      </x:c>
      <x:c r="AJ2105" s="32" t="n">
        <x:f>H2105*v01_CommonsCoef*AI2105^v01_CommonsExp*INDEX(LM_Commons,G2105)</x:f>
        <x:v>0</x:v>
      </x:c>
      <x:c r="AK2105" s="32" t="n">
        <x:f>H2105*v01_RoleScale*Arch_Roles*(AE2105*(INDEX(v01_ElderRolePerSett,G2105)*v01_OutElder*INDEX(LM_Elder,G2105)+INDEX(v01_ShamanPerSett,G2105)*v01_OutShaman)+Z2105*(INDEX(v01_PriestShare,G2105)*v01_OutPriest+INDEX(v01_ScribeShare,G2105)*v01_OutScribe*INDEX(LM_Scribe,G2105)+INDEX(v01_ScholarShare,G2105)*v01_OutScholar*INDEX(LM_Scholar,G2105)+INDEX(v01_ResearcherShare,G2105)*v01_OutResearcher*INDEX(LM_Researcher,G2105)))</x:f>
        <x:v>0</x:v>
      </x:c>
      <x:c r="AL2105" s="32" t="n">
        <x:f>H2105*v01_RoleScale*Arch_Roles*AE2105*INDEX(v01_MonasteryPerSett,G2105)*v01_OutMonastery*INDEX(LM_Monastery,G2105)</x:f>
        <x:v>0</x:v>
      </x:c>
      <x:c r="AM2105" s="32" t="n">
        <x:f>(AJ2105+AK2105+AL2105)/4*INDEX(LM_All,G2105)*INDEX(v01_Boon,G2105)*Arch_Insight</x:f>
        <x:v>0</x:v>
      </x:c>
      <x:c r="AN2105" s="32" t="n">
        <x:f>H2105*(v01_KHPerAdult*Z2105+v01_KHOfCommons*AJ2105/4*INDEX(LM_All,G2105))*v01_KHUsable*Arch_KH</x:f>
        <x:v>0</x:v>
      </x:c>
      <x:c r="AO2105" s="32" t="n">
        <x:f>MIN(AP2104+AN2105,AM2105*v01_KHMaxRatio)</x:f>
        <x:v>0</x:v>
      </x:c>
      <x:c r="AP2105" s="32" t="n">
        <x:f>AP2104+AN2105-AO2105</x:f>
        <x:v>0</x:v>
      </x:c>
      <x:c r="AQ2105" s="32" t="n">
        <x:f>AM2105+AO2105</x:f>
        <x:v>0</x:v>
      </x:c>
      <x:c r="AR2105" s="10" t="n">
        <x:f>IF(H2105=1,INDEX(v01_Req,G2105),0)</x:f>
        <x:v>0</x:v>
      </x:c>
      <x:c r="AS2105" s="32" t="n">
        <x:f>IF(H2105=1,IF(E2105=1,AS2104-AR2104,AS2104)+AQ2105,0)</x:f>
        <x:v>0</x:v>
      </x:c>
      <x:c r="AT2105" s="11" t="n">
        <x:f>IF(AR2105&gt;0,MIN(1,AS2105/AR2105),1)</x:f>
        <x:v>1</x:v>
      </x:c>
      <x:c r="AU2105" s="10" t="n">
        <x:f>AB2105/INDEX(v01_RepScale,G2105)</x:f>
        <x:v>90.09519605746344</x:v>
      </x:c>
      <x:c r="AV2105" s="32" t="n">
        <x:f>AM2105*60/v01_SeasonSeconds</x:f>
        <x:v>0</x:v>
      </x:c>
    </x:row>
    <x:row r="2106">
      <x:c r="A2106" s="8" t="n">
        <x:f>A2105+1</x:f>
        <x:v>2103</x:v>
      </x:c>
      <x:c r="B2106" s="9" t="n">
        <x:f>A2106*v01_SeasonSeconds/60</x:f>
        <x:v>525.75</x:v>
      </x:c>
      <x:c r="C2106" s="9" t="n">
        <x:f>A2106/4</x:f>
        <x:v>525.75</x:v>
      </x:c>
      <x:c r="D2106" s="8" t="n">
        <x:f>IF(MOD(A2106,4)=0,1,0)</x:f>
        <x:v>0</x:v>
      </x:c>
      <x:c r="E2106" s="8" t="n">
        <x:f>IF(AND(F2105&lt;=9,AS2105&gt;=AR2105),1,0)</x:f>
        <x:v>0</x:v>
      </x:c>
      <x:c r="F2106" s="8" t="n">
        <x:f>MIN(10,F2105+E2106)</x:f>
        <x:v>10</x:v>
      </x:c>
      <x:c r="G2106" s="8" t="n">
        <x:f>MIN(F2106,9)+1</x:f>
        <x:v>10</x:v>
      </x:c>
      <x:c r="H2106" s="8" t="n">
        <x:f>IF(F2106&lt;=9,1,0)</x:f>
        <x:v>0</x:v>
      </x:c>
      <x:c r="I2106" s="9" t="n">
        <x:f>MIN(10,F2105+IF(AR2105&gt;0,MIN(1,AS2105/AR2105),1))</x:f>
        <x:v>10</x:v>
      </x:c>
      <x:c r="J2106" s="32" t="n">
        <x:f>INDEX(v01_FoodCap,G2106)*Arch_FoodCap*EXP(v01_CapsByProject*SUMPRODUCT((Cap_Point&lt;=I2106)*(Cap_Kind="Food")*Cap_Ln))</x:f>
        <x:v>12000</x:v>
      </x:c>
      <x:c r="K2106" s="32" t="n">
        <x:f>J2106*MIN(1,v01_LeanBase*EXP(v01_CapsByProject*SUMPRODUCT((Cap_Point&lt;=I2106)*(Cap_Kind="Lean")*Cap_Ln)))</x:f>
        <x:v>12000</x:v>
      </x:c>
      <x:c r="L2106" s="10" t="n">
        <x:f>INDEX(v01_HousingCap,G2106)*EXP(v01_CapsByProject*SUMPRODUCT((Cap_Point&lt;=I2106)*(Cap_Kind="Housing")*Cap_Ln))</x:f>
        <x:v>20000</x:v>
      </x:c>
      <x:c r="M2106" s="10" t="n">
        <x:f>INDEX(v01_GroupCap,G2106)*v01_CohesionFactor*EXP(v01_CapsByProject*SUMPRODUCT((Cap_Point&lt;=I2106)*(Cap_Kind="Group")*Cap_Ln))</x:f>
        <x:v>1000000</x:v>
      </x:c>
      <x:c r="N2106" s="32" t="n">
        <x:f>MIN(J2106,L2106,M2106)</x:f>
        <x:v>12000</x:v>
      </x:c>
      <x:c r="O2106" s="10" t="n">
        <x:f>AE2105*N2106</x:f>
        <x:v>180000</x:v>
      </x:c>
      <x:c r="P2106" s="9" t="n">
        <x:f>MIN(1,(AB2105/(AE2105*IF(v01_GroupInCrowding=1,N2106,MIN(J2106,L2106))))^v01_CrowdingExp)</x:f>
        <x:v>0.00024569414295285325</x:v>
      </x:c>
      <x:c r="Q2106" s="9" t="n">
        <x:f>IF(D2106=1,INDEX(v01_WinterMult,G2106),1)</x:f>
        <x:v>1</x:v>
      </x:c>
      <x:c r="R2106" s="9" t="n">
        <x:f>H2106*Z2105*v01_WomenShare*v01_BaseFertility*INDEX(v01_FertMult,G2106)*Arch_Fertility*(1-P2106)</x:f>
        <x:v>0</x:v>
      </x:c>
      <x:c r="S2106" s="9" t="n">
        <x:f>H2106*Y2105*INDEX(v01_MortChild,G2106)/4*Q2106</x:f>
        <x:v>0</x:v>
      </x:c>
      <x:c r="T2106" s="9" t="n">
        <x:f>H2106*Z2105*INDEX(v01_MortAdult,G2106)*Arch_AdultMort/4*Q2106</x:f>
        <x:v>0</x:v>
      </x:c>
      <x:c r="U2106" s="9" t="n">
        <x:f>H2106*AA2105*INDEX(v01_MortElder,G2106)/4*Q2106</x:f>
        <x:v>0</x:v>
      </x:c>
      <x:c r="V2106" s="9" t="n">
        <x:f>H2106*MAX(0,AB2105-O2106)*v01_OvercapLoss</x:f>
        <x:v>0</x:v>
      </x:c>
      <x:c r="W2106" s="9" t="n">
        <x:f>H2106*Y2105/(v01_ChildYears*4)</x:f>
        <x:v>0</x:v>
      </x:c>
      <x:c r="X2106" s="9" t="n">
        <x:f>H2106*Z2105/(v01_AdultYears*4)</x:f>
        <x:v>0</x:v>
      </x:c>
      <x:c r="Y2106" s="32" t="n">
        <x:f>Y2105+R2106-S2106-W2106-Y2105*V2106/AB2105</x:f>
        <x:v>14306.18539759397</x:v>
      </x:c>
      <x:c r="Z2106" s="32" t="n">
        <x:f>Z2105+W2106-X2106-T2106-Z2105*V2106/AB2105</x:f>
        <x:v>19354.456567879548</x:v>
      </x:c>
      <x:c r="AA2106" s="32" t="n">
        <x:f>AA2105+X2106-U2106-AA2105*V2106/AB2105</x:f>
        <x:v>11386.956063258198</x:v>
      </x:c>
      <x:c r="AB2106" s="10" t="n">
        <x:f>Y2106+Z2106+AA2106</x:f>
        <x:v>45047.59802873172</x:v>
      </x:c>
      <x:c r="AC2106" s="8" t="n">
        <x:f>IF(AND(v01_WinterTrigger=1,D2106=1,AB2105/AE2105&gt;=K2106),1,0)</x:f>
        <x:v>0</x:v>
      </x:c>
      <x:c r="AD2106" s="8" t="n">
        <x:f>H2106*IF(AND(OR(AB2105/AE2105&gt;=v01_FissionTrigger*N2106,AC2106=1),AB2105/AE2105*v01_DaughterShare&gt;=v01_MinDaughter),MAX(1,ROUND(AE2105*v01_FissionRate,0)),0)</x:f>
        <x:v>0</x:v>
      </x:c>
      <x:c r="AE2106" s="8" t="n">
        <x:f>IF(H2106=1,MAX(1,MIN(INDEX(v01_Smax,G2106),AE2105+AD2106)),AE2105)</x:f>
        <x:v>15</x:v>
      </x:c>
      <x:c r="AF2106" s="8" t="n">
        <x:f>MAX(0,AE2106-AE2105)</x:f>
        <x:v>0</x:v>
      </x:c>
      <x:c r="AG2106" s="9" t="str">
        <x:f>IF(AF2106&gt;0,B2106,"")</x:f>
      </x:c>
      <x:c r="AH2106" s="9" t="n">
        <x:f>IF(F2106&gt;=1,1,(1+v01_LowTiesShare*(AE2106-1))/AE2106)</x:f>
        <x:v>1</x:v>
      </x:c>
      <x:c r="AI2106" s="32" t="n">
        <x:f>(Z2106+v01_ElderCommons*INDEX(LM_Elder,G2106)*AA2106)*AH2106</x:f>
        <x:v>64139.732591141874</x:v>
      </x:c>
      <x:c r="AJ2106" s="32" t="n">
        <x:f>H2106*v01_CommonsCoef*AI2106^v01_CommonsExp*INDEX(LM_Commons,G2106)</x:f>
        <x:v>0</x:v>
      </x:c>
      <x:c r="AK2106" s="32" t="n">
        <x:f>H2106*v01_RoleScale*Arch_Roles*(AE2106*(INDEX(v01_ElderRolePerSett,G2106)*v01_OutElder*INDEX(LM_Elder,G2106)+INDEX(v01_ShamanPerSett,G2106)*v01_OutShaman)+Z2106*(INDEX(v01_PriestShare,G2106)*v01_OutPriest+INDEX(v01_ScribeShare,G2106)*v01_OutScribe*INDEX(LM_Scribe,G2106)+INDEX(v01_ScholarShare,G2106)*v01_OutScholar*INDEX(LM_Scholar,G2106)+INDEX(v01_ResearcherShare,G2106)*v01_OutResearcher*INDEX(LM_Researcher,G2106)))</x:f>
        <x:v>0</x:v>
      </x:c>
      <x:c r="AL2106" s="32" t="n">
        <x:f>H2106*v01_RoleScale*Arch_Roles*AE2106*INDEX(v01_MonasteryPerSett,G2106)*v01_OutMonastery*INDEX(LM_Monastery,G2106)</x:f>
        <x:v>0</x:v>
      </x:c>
      <x:c r="AM2106" s="32" t="n">
        <x:f>(AJ2106+AK2106+AL2106)/4*INDEX(LM_All,G2106)*INDEX(v01_Boon,G2106)*Arch_Insight</x:f>
        <x:v>0</x:v>
      </x:c>
      <x:c r="AN2106" s="32" t="n">
        <x:f>H2106*(v01_KHPerAdult*Z2106+v01_KHOfCommons*AJ2106/4*INDEX(LM_All,G2106))*v01_KHUsable*Arch_KH</x:f>
        <x:v>0</x:v>
      </x:c>
      <x:c r="AO2106" s="32" t="n">
        <x:f>MIN(AP2105+AN2106,AM2106*v01_KHMaxRatio)</x:f>
        <x:v>0</x:v>
      </x:c>
      <x:c r="AP2106" s="32" t="n">
        <x:f>AP2105+AN2106-AO2106</x:f>
        <x:v>0</x:v>
      </x:c>
      <x:c r="AQ2106" s="32" t="n">
        <x:f>AM2106+AO2106</x:f>
        <x:v>0</x:v>
      </x:c>
      <x:c r="AR2106" s="10" t="n">
        <x:f>IF(H2106=1,INDEX(v01_Req,G2106),0)</x:f>
        <x:v>0</x:v>
      </x:c>
      <x:c r="AS2106" s="32" t="n">
        <x:f>IF(H2106=1,IF(E2106=1,AS2105-AR2105,AS2105)+AQ2106,0)</x:f>
        <x:v>0</x:v>
      </x:c>
      <x:c r="AT2106" s="11" t="n">
        <x:f>IF(AR2106&gt;0,MIN(1,AS2106/AR2106),1)</x:f>
        <x:v>1</x:v>
      </x:c>
      <x:c r="AU2106" s="10" t="n">
        <x:f>AB2106/INDEX(v01_RepScale,G2106)</x:f>
        <x:v>90.09519605746344</x:v>
      </x:c>
      <x:c r="AV2106" s="32" t="n">
        <x:f>AM2106*60/v01_SeasonSeconds</x:f>
        <x:v>0</x:v>
      </x:c>
    </x:row>
    <x:row r="2107">
      <x:c r="A2107" s="8" t="n">
        <x:f>A2106+1</x:f>
        <x:v>2104</x:v>
      </x:c>
      <x:c r="B2107" s="9" t="n">
        <x:f>A2107*v01_SeasonSeconds/60</x:f>
        <x:v>526</x:v>
      </x:c>
      <x:c r="C2107" s="9" t="n">
        <x:f>A2107/4</x:f>
        <x:v>526</x:v>
      </x:c>
      <x:c r="D2107" s="8" t="n">
        <x:f>IF(MOD(A2107,4)=0,1,0)</x:f>
        <x:v>1</x:v>
      </x:c>
      <x:c r="E2107" s="8" t="n">
        <x:f>IF(AND(F2106&lt;=9,AS2106&gt;=AR2106),1,0)</x:f>
        <x:v>0</x:v>
      </x:c>
      <x:c r="F2107" s="8" t="n">
        <x:f>MIN(10,F2106+E2107)</x:f>
        <x:v>10</x:v>
      </x:c>
      <x:c r="G2107" s="8" t="n">
        <x:f>MIN(F2107,9)+1</x:f>
        <x:v>10</x:v>
      </x:c>
      <x:c r="H2107" s="8" t="n">
        <x:f>IF(F2107&lt;=9,1,0)</x:f>
        <x:v>0</x:v>
      </x:c>
      <x:c r="I2107" s="9" t="n">
        <x:f>MIN(10,F2106+IF(AR2106&gt;0,MIN(1,AS2106/AR2106),1))</x:f>
        <x:v>10</x:v>
      </x:c>
      <x:c r="J2107" s="32" t="n">
        <x:f>INDEX(v01_FoodCap,G2107)*Arch_FoodCap*EXP(v01_CapsByProject*SUMPRODUCT((Cap_Point&lt;=I2107)*(Cap_Kind="Food")*Cap_Ln))</x:f>
        <x:v>12000</x:v>
      </x:c>
      <x:c r="K2107" s="32" t="n">
        <x:f>J2107*MIN(1,v01_LeanBase*EXP(v01_CapsByProject*SUMPRODUCT((Cap_Point&lt;=I2107)*(Cap_Kind="Lean")*Cap_Ln)))</x:f>
        <x:v>12000</x:v>
      </x:c>
      <x:c r="L2107" s="10" t="n">
        <x:f>INDEX(v01_HousingCap,G2107)*EXP(v01_CapsByProject*SUMPRODUCT((Cap_Point&lt;=I2107)*(Cap_Kind="Housing")*Cap_Ln))</x:f>
        <x:v>20000</x:v>
      </x:c>
      <x:c r="M2107" s="10" t="n">
        <x:f>INDEX(v01_GroupCap,G2107)*v01_CohesionFactor*EXP(v01_CapsByProject*SUMPRODUCT((Cap_Point&lt;=I2107)*(Cap_Kind="Group")*Cap_Ln))</x:f>
        <x:v>1000000</x:v>
      </x:c>
      <x:c r="N2107" s="32" t="n">
        <x:f>MIN(J2107,L2107,M2107)</x:f>
        <x:v>12000</x:v>
      </x:c>
      <x:c r="O2107" s="10" t="n">
        <x:f>AE2106*N2107</x:f>
        <x:v>180000</x:v>
      </x:c>
      <x:c r="P2107" s="9" t="n">
        <x:f>MIN(1,(AB2106/(AE2106*IF(v01_GroupInCrowding=1,N2107,MIN(J2107,L2107))))^v01_CrowdingExp)</x:f>
        <x:v>0.00024569414295285325</x:v>
      </x:c>
      <x:c r="Q2107" s="9" t="n">
        <x:f>IF(D2107=1,INDEX(v01_WinterMult,G2107),1)</x:f>
        <x:v>1</x:v>
      </x:c>
      <x:c r="R2107" s="9" t="n">
        <x:f>H2107*Z2106*v01_WomenShare*v01_BaseFertility*INDEX(v01_FertMult,G2107)*Arch_Fertility*(1-P2107)</x:f>
        <x:v>0</x:v>
      </x:c>
      <x:c r="S2107" s="9" t="n">
        <x:f>H2107*Y2106*INDEX(v01_MortChild,G2107)/4*Q2107</x:f>
        <x:v>0</x:v>
      </x:c>
      <x:c r="T2107" s="9" t="n">
        <x:f>H2107*Z2106*INDEX(v01_MortAdult,G2107)*Arch_AdultMort/4*Q2107</x:f>
        <x:v>0</x:v>
      </x:c>
      <x:c r="U2107" s="9" t="n">
        <x:f>H2107*AA2106*INDEX(v01_MortElder,G2107)/4*Q2107</x:f>
        <x:v>0</x:v>
      </x:c>
      <x:c r="V2107" s="9" t="n">
        <x:f>H2107*MAX(0,AB2106-O2107)*v01_OvercapLoss</x:f>
        <x:v>0</x:v>
      </x:c>
      <x:c r="W2107" s="9" t="n">
        <x:f>H2107*Y2106/(v01_ChildYears*4)</x:f>
        <x:v>0</x:v>
      </x:c>
      <x:c r="X2107" s="9" t="n">
        <x:f>H2107*Z2106/(v01_AdultYears*4)</x:f>
        <x:v>0</x:v>
      </x:c>
      <x:c r="Y2107" s="32" t="n">
        <x:f>Y2106+R2107-S2107-W2107-Y2106*V2107/AB2106</x:f>
        <x:v>14306.18539759397</x:v>
      </x:c>
      <x:c r="Z2107" s="32" t="n">
        <x:f>Z2106+W2107-X2107-T2107-Z2106*V2107/AB2106</x:f>
        <x:v>19354.456567879548</x:v>
      </x:c>
      <x:c r="AA2107" s="32" t="n">
        <x:f>AA2106+X2107-U2107-AA2106*V2107/AB2106</x:f>
        <x:v>11386.956063258198</x:v>
      </x:c>
      <x:c r="AB2107" s="10" t="n">
        <x:f>Y2107+Z2107+AA2107</x:f>
        <x:v>45047.59802873172</x:v>
      </x:c>
      <x:c r="AC2107" s="8" t="n">
        <x:f>IF(AND(v01_WinterTrigger=1,D2107=1,AB2106/AE2106&gt;=K2107),1,0)</x:f>
        <x:v>0</x:v>
      </x:c>
      <x:c r="AD2107" s="8" t="n">
        <x:f>H2107*IF(AND(OR(AB2106/AE2106&gt;=v01_FissionTrigger*N2107,AC2107=1),AB2106/AE2106*v01_DaughterShare&gt;=v01_MinDaughter),MAX(1,ROUND(AE2106*v01_FissionRate,0)),0)</x:f>
        <x:v>0</x:v>
      </x:c>
      <x:c r="AE2107" s="8" t="n">
        <x:f>IF(H2107=1,MAX(1,MIN(INDEX(v01_Smax,G2107),AE2106+AD2107)),AE2106)</x:f>
        <x:v>15</x:v>
      </x:c>
      <x:c r="AF2107" s="8" t="n">
        <x:f>MAX(0,AE2107-AE2106)</x:f>
        <x:v>0</x:v>
      </x:c>
      <x:c r="AG2107" s="9" t="str">
        <x:f>IF(AF2107&gt;0,B2107,"")</x:f>
      </x:c>
      <x:c r="AH2107" s="9" t="n">
        <x:f>IF(F2107&gt;=1,1,(1+v01_LowTiesShare*(AE2107-1))/AE2107)</x:f>
        <x:v>1</x:v>
      </x:c>
      <x:c r="AI2107" s="32" t="n">
        <x:f>(Z2107+v01_ElderCommons*INDEX(LM_Elder,G2107)*AA2107)*AH2107</x:f>
        <x:v>64139.732591141874</x:v>
      </x:c>
      <x:c r="AJ2107" s="32" t="n">
        <x:f>H2107*v01_CommonsCoef*AI2107^v01_CommonsExp*INDEX(LM_Commons,G2107)</x:f>
        <x:v>0</x:v>
      </x:c>
      <x:c r="AK2107" s="32" t="n">
        <x:f>H2107*v01_RoleScale*Arch_Roles*(AE2107*(INDEX(v01_ElderRolePerSett,G2107)*v01_OutElder*INDEX(LM_Elder,G2107)+INDEX(v01_ShamanPerSett,G2107)*v01_OutShaman)+Z2107*(INDEX(v01_PriestShare,G2107)*v01_OutPriest+INDEX(v01_ScribeShare,G2107)*v01_OutScribe*INDEX(LM_Scribe,G2107)+INDEX(v01_ScholarShare,G2107)*v01_OutScholar*INDEX(LM_Scholar,G2107)+INDEX(v01_ResearcherShare,G2107)*v01_OutResearcher*INDEX(LM_Researcher,G2107)))</x:f>
        <x:v>0</x:v>
      </x:c>
      <x:c r="AL2107" s="32" t="n">
        <x:f>H2107*v01_RoleScale*Arch_Roles*AE2107*INDEX(v01_MonasteryPerSett,G2107)*v01_OutMonastery*INDEX(LM_Monastery,G2107)</x:f>
        <x:v>0</x:v>
      </x:c>
      <x:c r="AM2107" s="32" t="n">
        <x:f>(AJ2107+AK2107+AL2107)/4*INDEX(LM_All,G2107)*INDEX(v01_Boon,G2107)*Arch_Insight</x:f>
        <x:v>0</x:v>
      </x:c>
      <x:c r="AN2107" s="32" t="n">
        <x:f>H2107*(v01_KHPerAdult*Z2107+v01_KHOfCommons*AJ2107/4*INDEX(LM_All,G2107))*v01_KHUsable*Arch_KH</x:f>
        <x:v>0</x:v>
      </x:c>
      <x:c r="AO2107" s="32" t="n">
        <x:f>MIN(AP2106+AN2107,AM2107*v01_KHMaxRatio)</x:f>
        <x:v>0</x:v>
      </x:c>
      <x:c r="AP2107" s="32" t="n">
        <x:f>AP2106+AN2107-AO2107</x:f>
        <x:v>0</x:v>
      </x:c>
      <x:c r="AQ2107" s="32" t="n">
        <x:f>AM2107+AO2107</x:f>
        <x:v>0</x:v>
      </x:c>
      <x:c r="AR2107" s="10" t="n">
        <x:f>IF(H2107=1,INDEX(v01_Req,G2107),0)</x:f>
        <x:v>0</x:v>
      </x:c>
      <x:c r="AS2107" s="32" t="n">
        <x:f>IF(H2107=1,IF(E2107=1,AS2106-AR2106,AS2106)+AQ2107,0)</x:f>
        <x:v>0</x:v>
      </x:c>
      <x:c r="AT2107" s="11" t="n">
        <x:f>IF(AR2107&gt;0,MIN(1,AS2107/AR2107),1)</x:f>
        <x:v>1</x:v>
      </x:c>
      <x:c r="AU2107" s="10" t="n">
        <x:f>AB2107/INDEX(v01_RepScale,G2107)</x:f>
        <x:v>90.09519605746344</x:v>
      </x:c>
      <x:c r="AV2107" s="32" t="n">
        <x:f>AM2107*60/v01_SeasonSeconds</x:f>
        <x:v>0</x:v>
      </x:c>
    </x:row>
    <x:row r="2108">
      <x:c r="A2108" s="8" t="n">
        <x:f>A2107+1</x:f>
        <x:v>2105</x:v>
      </x:c>
      <x:c r="B2108" s="9" t="n">
        <x:f>A2108*v01_SeasonSeconds/60</x:f>
        <x:v>526.25</x:v>
      </x:c>
      <x:c r="C2108" s="9" t="n">
        <x:f>A2108/4</x:f>
        <x:v>526.25</x:v>
      </x:c>
      <x:c r="D2108" s="8" t="n">
        <x:f>IF(MOD(A2108,4)=0,1,0)</x:f>
        <x:v>0</x:v>
      </x:c>
      <x:c r="E2108" s="8" t="n">
        <x:f>IF(AND(F2107&lt;=9,AS2107&gt;=AR2107),1,0)</x:f>
        <x:v>0</x:v>
      </x:c>
      <x:c r="F2108" s="8" t="n">
        <x:f>MIN(10,F2107+E2108)</x:f>
        <x:v>10</x:v>
      </x:c>
      <x:c r="G2108" s="8" t="n">
        <x:f>MIN(F2108,9)+1</x:f>
        <x:v>10</x:v>
      </x:c>
      <x:c r="H2108" s="8" t="n">
        <x:f>IF(F2108&lt;=9,1,0)</x:f>
        <x:v>0</x:v>
      </x:c>
      <x:c r="I2108" s="9" t="n">
        <x:f>MIN(10,F2107+IF(AR2107&gt;0,MIN(1,AS2107/AR2107),1))</x:f>
        <x:v>10</x:v>
      </x:c>
      <x:c r="J2108" s="32" t="n">
        <x:f>INDEX(v01_FoodCap,G2108)*Arch_FoodCap*EXP(v01_CapsByProject*SUMPRODUCT((Cap_Point&lt;=I2108)*(Cap_Kind="Food")*Cap_Ln))</x:f>
        <x:v>12000</x:v>
      </x:c>
      <x:c r="K2108" s="32" t="n">
        <x:f>J2108*MIN(1,v01_LeanBase*EXP(v01_CapsByProject*SUMPRODUCT((Cap_Point&lt;=I2108)*(Cap_Kind="Lean")*Cap_Ln)))</x:f>
        <x:v>12000</x:v>
      </x:c>
      <x:c r="L2108" s="10" t="n">
        <x:f>INDEX(v01_HousingCap,G2108)*EXP(v01_CapsByProject*SUMPRODUCT((Cap_Point&lt;=I2108)*(Cap_Kind="Housing")*Cap_Ln))</x:f>
        <x:v>20000</x:v>
      </x:c>
      <x:c r="M2108" s="10" t="n">
        <x:f>INDEX(v01_GroupCap,G2108)*v01_CohesionFactor*EXP(v01_CapsByProject*SUMPRODUCT((Cap_Point&lt;=I2108)*(Cap_Kind="Group")*Cap_Ln))</x:f>
        <x:v>1000000</x:v>
      </x:c>
      <x:c r="N2108" s="32" t="n">
        <x:f>MIN(J2108,L2108,M2108)</x:f>
        <x:v>12000</x:v>
      </x:c>
      <x:c r="O2108" s="10" t="n">
        <x:f>AE2107*N2108</x:f>
        <x:v>180000</x:v>
      </x:c>
      <x:c r="P2108" s="9" t="n">
        <x:f>MIN(1,(AB2107/(AE2107*IF(v01_GroupInCrowding=1,N2108,MIN(J2108,L2108))))^v01_CrowdingExp)</x:f>
        <x:v>0.00024569414295285325</x:v>
      </x:c>
      <x:c r="Q2108" s="9" t="n">
        <x:f>IF(D2108=1,INDEX(v01_WinterMult,G2108),1)</x:f>
        <x:v>1</x:v>
      </x:c>
      <x:c r="R2108" s="9" t="n">
        <x:f>H2108*Z2107*v01_WomenShare*v01_BaseFertility*INDEX(v01_FertMult,G2108)*Arch_Fertility*(1-P2108)</x:f>
        <x:v>0</x:v>
      </x:c>
      <x:c r="S2108" s="9" t="n">
        <x:f>H2108*Y2107*INDEX(v01_MortChild,G2108)/4*Q2108</x:f>
        <x:v>0</x:v>
      </x:c>
      <x:c r="T2108" s="9" t="n">
        <x:f>H2108*Z2107*INDEX(v01_MortAdult,G2108)*Arch_AdultMort/4*Q2108</x:f>
        <x:v>0</x:v>
      </x:c>
      <x:c r="U2108" s="9" t="n">
        <x:f>H2108*AA2107*INDEX(v01_MortElder,G2108)/4*Q2108</x:f>
        <x:v>0</x:v>
      </x:c>
      <x:c r="V2108" s="9" t="n">
        <x:f>H2108*MAX(0,AB2107-O2108)*v01_OvercapLoss</x:f>
        <x:v>0</x:v>
      </x:c>
      <x:c r="W2108" s="9" t="n">
        <x:f>H2108*Y2107/(v01_ChildYears*4)</x:f>
        <x:v>0</x:v>
      </x:c>
      <x:c r="X2108" s="9" t="n">
        <x:f>H2108*Z2107/(v01_AdultYears*4)</x:f>
        <x:v>0</x:v>
      </x:c>
      <x:c r="Y2108" s="32" t="n">
        <x:f>Y2107+R2108-S2108-W2108-Y2107*V2108/AB2107</x:f>
        <x:v>14306.18539759397</x:v>
      </x:c>
      <x:c r="Z2108" s="32" t="n">
        <x:f>Z2107+W2108-X2108-T2108-Z2107*V2108/AB2107</x:f>
        <x:v>19354.456567879548</x:v>
      </x:c>
      <x:c r="AA2108" s="32" t="n">
        <x:f>AA2107+X2108-U2108-AA2107*V2108/AB2107</x:f>
        <x:v>11386.956063258198</x:v>
      </x:c>
      <x:c r="AB2108" s="10" t="n">
        <x:f>Y2108+Z2108+AA2108</x:f>
        <x:v>45047.59802873172</x:v>
      </x:c>
      <x:c r="AC2108" s="8" t="n">
        <x:f>IF(AND(v01_WinterTrigger=1,D2108=1,AB2107/AE2107&gt;=K2108),1,0)</x:f>
        <x:v>0</x:v>
      </x:c>
      <x:c r="AD2108" s="8" t="n">
        <x:f>H2108*IF(AND(OR(AB2107/AE2107&gt;=v01_FissionTrigger*N2108,AC2108=1),AB2107/AE2107*v01_DaughterShare&gt;=v01_MinDaughter),MAX(1,ROUND(AE2107*v01_FissionRate,0)),0)</x:f>
        <x:v>0</x:v>
      </x:c>
      <x:c r="AE2108" s="8" t="n">
        <x:f>IF(H2108=1,MAX(1,MIN(INDEX(v01_Smax,G2108),AE2107+AD2108)),AE2107)</x:f>
        <x:v>15</x:v>
      </x:c>
      <x:c r="AF2108" s="8" t="n">
        <x:f>MAX(0,AE2108-AE2107)</x:f>
        <x:v>0</x:v>
      </x:c>
      <x:c r="AG2108" s="9" t="str">
        <x:f>IF(AF2108&gt;0,B2108,"")</x:f>
      </x:c>
      <x:c r="AH2108" s="9" t="n">
        <x:f>IF(F2108&gt;=1,1,(1+v01_LowTiesShare*(AE2108-1))/AE2108)</x:f>
        <x:v>1</x:v>
      </x:c>
      <x:c r="AI2108" s="32" t="n">
        <x:f>(Z2108+v01_ElderCommons*INDEX(LM_Elder,G2108)*AA2108)*AH2108</x:f>
        <x:v>64139.732591141874</x:v>
      </x:c>
      <x:c r="AJ2108" s="32" t="n">
        <x:f>H2108*v01_CommonsCoef*AI2108^v01_CommonsExp*INDEX(LM_Commons,G2108)</x:f>
        <x:v>0</x:v>
      </x:c>
      <x:c r="AK2108" s="32" t="n">
        <x:f>H2108*v01_RoleScale*Arch_Roles*(AE2108*(INDEX(v01_ElderRolePerSett,G2108)*v01_OutElder*INDEX(LM_Elder,G2108)+INDEX(v01_ShamanPerSett,G2108)*v01_OutShaman)+Z2108*(INDEX(v01_PriestShare,G2108)*v01_OutPriest+INDEX(v01_ScribeShare,G2108)*v01_OutScribe*INDEX(LM_Scribe,G2108)+INDEX(v01_ScholarShare,G2108)*v01_OutScholar*INDEX(LM_Scholar,G2108)+INDEX(v01_ResearcherShare,G2108)*v01_OutResearcher*INDEX(LM_Researcher,G2108)))</x:f>
        <x:v>0</x:v>
      </x:c>
      <x:c r="AL2108" s="32" t="n">
        <x:f>H2108*v01_RoleScale*Arch_Roles*AE2108*INDEX(v01_MonasteryPerSett,G2108)*v01_OutMonastery*INDEX(LM_Monastery,G2108)</x:f>
        <x:v>0</x:v>
      </x:c>
      <x:c r="AM2108" s="32" t="n">
        <x:f>(AJ2108+AK2108+AL2108)/4*INDEX(LM_All,G2108)*INDEX(v01_Boon,G2108)*Arch_Insight</x:f>
        <x:v>0</x:v>
      </x:c>
      <x:c r="AN2108" s="32" t="n">
        <x:f>H2108*(v01_KHPerAdult*Z2108+v01_KHOfCommons*AJ2108/4*INDEX(LM_All,G2108))*v01_KHUsable*Arch_KH</x:f>
        <x:v>0</x:v>
      </x:c>
      <x:c r="AO2108" s="32" t="n">
        <x:f>MIN(AP2107+AN2108,AM2108*v01_KHMaxRatio)</x:f>
        <x:v>0</x:v>
      </x:c>
      <x:c r="AP2108" s="32" t="n">
        <x:f>AP2107+AN2108-AO2108</x:f>
        <x:v>0</x:v>
      </x:c>
      <x:c r="AQ2108" s="32" t="n">
        <x:f>AM2108+AO2108</x:f>
        <x:v>0</x:v>
      </x:c>
      <x:c r="AR2108" s="10" t="n">
        <x:f>IF(H2108=1,INDEX(v01_Req,G2108),0)</x:f>
        <x:v>0</x:v>
      </x:c>
      <x:c r="AS2108" s="32" t="n">
        <x:f>IF(H2108=1,IF(E2108=1,AS2107-AR2107,AS2107)+AQ2108,0)</x:f>
        <x:v>0</x:v>
      </x:c>
      <x:c r="AT2108" s="11" t="n">
        <x:f>IF(AR2108&gt;0,MIN(1,AS2108/AR2108),1)</x:f>
        <x:v>1</x:v>
      </x:c>
      <x:c r="AU2108" s="10" t="n">
        <x:f>AB2108/INDEX(v01_RepScale,G2108)</x:f>
        <x:v>90.09519605746344</x:v>
      </x:c>
      <x:c r="AV2108" s="32" t="n">
        <x:f>AM2108*60/v01_SeasonSeconds</x:f>
        <x:v>0</x:v>
      </x:c>
    </x:row>
    <x:row r="2109">
      <x:c r="A2109" s="8" t="n">
        <x:f>A2108+1</x:f>
        <x:v>2106</x:v>
      </x:c>
      <x:c r="B2109" s="9" t="n">
        <x:f>A2109*v01_SeasonSeconds/60</x:f>
        <x:v>526.5</x:v>
      </x:c>
      <x:c r="C2109" s="9" t="n">
        <x:f>A2109/4</x:f>
        <x:v>526.5</x:v>
      </x:c>
      <x:c r="D2109" s="8" t="n">
        <x:f>IF(MOD(A2109,4)=0,1,0)</x:f>
        <x:v>0</x:v>
      </x:c>
      <x:c r="E2109" s="8" t="n">
        <x:f>IF(AND(F2108&lt;=9,AS2108&gt;=AR2108),1,0)</x:f>
        <x:v>0</x:v>
      </x:c>
      <x:c r="F2109" s="8" t="n">
        <x:f>MIN(10,F2108+E2109)</x:f>
        <x:v>10</x:v>
      </x:c>
      <x:c r="G2109" s="8" t="n">
        <x:f>MIN(F2109,9)+1</x:f>
        <x:v>10</x:v>
      </x:c>
      <x:c r="H2109" s="8" t="n">
        <x:f>IF(F2109&lt;=9,1,0)</x:f>
        <x:v>0</x:v>
      </x:c>
      <x:c r="I2109" s="9" t="n">
        <x:f>MIN(10,F2108+IF(AR2108&gt;0,MIN(1,AS2108/AR2108),1))</x:f>
        <x:v>10</x:v>
      </x:c>
      <x:c r="J2109" s="32" t="n">
        <x:f>INDEX(v01_FoodCap,G2109)*Arch_FoodCap*EXP(v01_CapsByProject*SUMPRODUCT((Cap_Point&lt;=I2109)*(Cap_Kind="Food")*Cap_Ln))</x:f>
        <x:v>12000</x:v>
      </x:c>
      <x:c r="K2109" s="32" t="n">
        <x:f>J2109*MIN(1,v01_LeanBase*EXP(v01_CapsByProject*SUMPRODUCT((Cap_Point&lt;=I2109)*(Cap_Kind="Lean")*Cap_Ln)))</x:f>
        <x:v>12000</x:v>
      </x:c>
      <x:c r="L2109" s="10" t="n">
        <x:f>INDEX(v01_HousingCap,G2109)*EXP(v01_CapsByProject*SUMPRODUCT((Cap_Point&lt;=I2109)*(Cap_Kind="Housing")*Cap_Ln))</x:f>
        <x:v>20000</x:v>
      </x:c>
      <x:c r="M2109" s="10" t="n">
        <x:f>INDEX(v01_GroupCap,G2109)*v01_CohesionFactor*EXP(v01_CapsByProject*SUMPRODUCT((Cap_Point&lt;=I2109)*(Cap_Kind="Group")*Cap_Ln))</x:f>
        <x:v>1000000</x:v>
      </x:c>
      <x:c r="N2109" s="32" t="n">
        <x:f>MIN(J2109,L2109,M2109)</x:f>
        <x:v>12000</x:v>
      </x:c>
      <x:c r="O2109" s="10" t="n">
        <x:f>AE2108*N2109</x:f>
        <x:v>180000</x:v>
      </x:c>
      <x:c r="P2109" s="9" t="n">
        <x:f>MIN(1,(AB2108/(AE2108*IF(v01_GroupInCrowding=1,N2109,MIN(J2109,L2109))))^v01_CrowdingExp)</x:f>
        <x:v>0.00024569414295285325</x:v>
      </x:c>
      <x:c r="Q2109" s="9" t="n">
        <x:f>IF(D2109=1,INDEX(v01_WinterMult,G2109),1)</x:f>
        <x:v>1</x:v>
      </x:c>
      <x:c r="R2109" s="9" t="n">
        <x:f>H2109*Z2108*v01_WomenShare*v01_BaseFertility*INDEX(v01_FertMult,G2109)*Arch_Fertility*(1-P2109)</x:f>
        <x:v>0</x:v>
      </x:c>
      <x:c r="S2109" s="9" t="n">
        <x:f>H2109*Y2108*INDEX(v01_MortChild,G2109)/4*Q2109</x:f>
        <x:v>0</x:v>
      </x:c>
      <x:c r="T2109" s="9" t="n">
        <x:f>H2109*Z2108*INDEX(v01_MortAdult,G2109)*Arch_AdultMort/4*Q2109</x:f>
        <x:v>0</x:v>
      </x:c>
      <x:c r="U2109" s="9" t="n">
        <x:f>H2109*AA2108*INDEX(v01_MortElder,G2109)/4*Q2109</x:f>
        <x:v>0</x:v>
      </x:c>
      <x:c r="V2109" s="9" t="n">
        <x:f>H2109*MAX(0,AB2108-O2109)*v01_OvercapLoss</x:f>
        <x:v>0</x:v>
      </x:c>
      <x:c r="W2109" s="9" t="n">
        <x:f>H2109*Y2108/(v01_ChildYears*4)</x:f>
        <x:v>0</x:v>
      </x:c>
      <x:c r="X2109" s="9" t="n">
        <x:f>H2109*Z2108/(v01_AdultYears*4)</x:f>
        <x:v>0</x:v>
      </x:c>
      <x:c r="Y2109" s="32" t="n">
        <x:f>Y2108+R2109-S2109-W2109-Y2108*V2109/AB2108</x:f>
        <x:v>14306.18539759397</x:v>
      </x:c>
      <x:c r="Z2109" s="32" t="n">
        <x:f>Z2108+W2109-X2109-T2109-Z2108*V2109/AB2108</x:f>
        <x:v>19354.456567879548</x:v>
      </x:c>
      <x:c r="AA2109" s="32" t="n">
        <x:f>AA2108+X2109-U2109-AA2108*V2109/AB2108</x:f>
        <x:v>11386.956063258198</x:v>
      </x:c>
      <x:c r="AB2109" s="10" t="n">
        <x:f>Y2109+Z2109+AA2109</x:f>
        <x:v>45047.59802873172</x:v>
      </x:c>
      <x:c r="AC2109" s="8" t="n">
        <x:f>IF(AND(v01_WinterTrigger=1,D2109=1,AB2108/AE2108&gt;=K2109),1,0)</x:f>
        <x:v>0</x:v>
      </x:c>
      <x:c r="AD2109" s="8" t="n">
        <x:f>H2109*IF(AND(OR(AB2108/AE2108&gt;=v01_FissionTrigger*N2109,AC2109=1),AB2108/AE2108*v01_DaughterShare&gt;=v01_MinDaughter),MAX(1,ROUND(AE2108*v01_FissionRate,0)),0)</x:f>
        <x:v>0</x:v>
      </x:c>
      <x:c r="AE2109" s="8" t="n">
        <x:f>IF(H2109=1,MAX(1,MIN(INDEX(v01_Smax,G2109),AE2108+AD2109)),AE2108)</x:f>
        <x:v>15</x:v>
      </x:c>
      <x:c r="AF2109" s="8" t="n">
        <x:f>MAX(0,AE2109-AE2108)</x:f>
        <x:v>0</x:v>
      </x:c>
      <x:c r="AG2109" s="9" t="str">
        <x:f>IF(AF2109&gt;0,B2109,"")</x:f>
      </x:c>
      <x:c r="AH2109" s="9" t="n">
        <x:f>IF(F2109&gt;=1,1,(1+v01_LowTiesShare*(AE2109-1))/AE2109)</x:f>
        <x:v>1</x:v>
      </x:c>
      <x:c r="AI2109" s="32" t="n">
        <x:f>(Z2109+v01_ElderCommons*INDEX(LM_Elder,G2109)*AA2109)*AH2109</x:f>
        <x:v>64139.732591141874</x:v>
      </x:c>
      <x:c r="AJ2109" s="32" t="n">
        <x:f>H2109*v01_CommonsCoef*AI2109^v01_CommonsExp*INDEX(LM_Commons,G2109)</x:f>
        <x:v>0</x:v>
      </x:c>
      <x:c r="AK2109" s="32" t="n">
        <x:f>H2109*v01_RoleScale*Arch_Roles*(AE2109*(INDEX(v01_ElderRolePerSett,G2109)*v01_OutElder*INDEX(LM_Elder,G2109)+INDEX(v01_ShamanPerSett,G2109)*v01_OutShaman)+Z2109*(INDEX(v01_PriestShare,G2109)*v01_OutPriest+INDEX(v01_ScribeShare,G2109)*v01_OutScribe*INDEX(LM_Scribe,G2109)+INDEX(v01_ScholarShare,G2109)*v01_OutScholar*INDEX(LM_Scholar,G2109)+INDEX(v01_ResearcherShare,G2109)*v01_OutResearcher*INDEX(LM_Researcher,G2109)))</x:f>
        <x:v>0</x:v>
      </x:c>
      <x:c r="AL2109" s="32" t="n">
        <x:f>H2109*v01_RoleScale*Arch_Roles*AE2109*INDEX(v01_MonasteryPerSett,G2109)*v01_OutMonastery*INDEX(LM_Monastery,G2109)</x:f>
        <x:v>0</x:v>
      </x:c>
      <x:c r="AM2109" s="32" t="n">
        <x:f>(AJ2109+AK2109+AL2109)/4*INDEX(LM_All,G2109)*INDEX(v01_Boon,G2109)*Arch_Insight</x:f>
        <x:v>0</x:v>
      </x:c>
      <x:c r="AN2109" s="32" t="n">
        <x:f>H2109*(v01_KHPerAdult*Z2109+v01_KHOfCommons*AJ2109/4*INDEX(LM_All,G2109))*v01_KHUsable*Arch_KH</x:f>
        <x:v>0</x:v>
      </x:c>
      <x:c r="AO2109" s="32" t="n">
        <x:f>MIN(AP2108+AN2109,AM2109*v01_KHMaxRatio)</x:f>
        <x:v>0</x:v>
      </x:c>
      <x:c r="AP2109" s="32" t="n">
        <x:f>AP2108+AN2109-AO2109</x:f>
        <x:v>0</x:v>
      </x:c>
      <x:c r="AQ2109" s="32" t="n">
        <x:f>AM2109+AO2109</x:f>
        <x:v>0</x:v>
      </x:c>
      <x:c r="AR2109" s="10" t="n">
        <x:f>IF(H2109=1,INDEX(v01_Req,G2109),0)</x:f>
        <x:v>0</x:v>
      </x:c>
      <x:c r="AS2109" s="32" t="n">
        <x:f>IF(H2109=1,IF(E2109=1,AS2108-AR2108,AS2108)+AQ2109,0)</x:f>
        <x:v>0</x:v>
      </x:c>
      <x:c r="AT2109" s="11" t="n">
        <x:f>IF(AR2109&gt;0,MIN(1,AS2109/AR2109),1)</x:f>
        <x:v>1</x:v>
      </x:c>
      <x:c r="AU2109" s="10" t="n">
        <x:f>AB2109/INDEX(v01_RepScale,G2109)</x:f>
        <x:v>90.09519605746344</x:v>
      </x:c>
      <x:c r="AV2109" s="32" t="n">
        <x:f>AM2109*60/v01_SeasonSeconds</x:f>
        <x:v>0</x:v>
      </x:c>
    </x:row>
    <x:row r="2110">
      <x:c r="A2110" s="8" t="n">
        <x:f>A2109+1</x:f>
        <x:v>2107</x:v>
      </x:c>
      <x:c r="B2110" s="9" t="n">
        <x:f>A2110*v01_SeasonSeconds/60</x:f>
        <x:v>526.75</x:v>
      </x:c>
      <x:c r="C2110" s="9" t="n">
        <x:f>A2110/4</x:f>
        <x:v>526.75</x:v>
      </x:c>
      <x:c r="D2110" s="8" t="n">
        <x:f>IF(MOD(A2110,4)=0,1,0)</x:f>
        <x:v>0</x:v>
      </x:c>
      <x:c r="E2110" s="8" t="n">
        <x:f>IF(AND(F2109&lt;=9,AS2109&gt;=AR2109),1,0)</x:f>
        <x:v>0</x:v>
      </x:c>
      <x:c r="F2110" s="8" t="n">
        <x:f>MIN(10,F2109+E2110)</x:f>
        <x:v>10</x:v>
      </x:c>
      <x:c r="G2110" s="8" t="n">
        <x:f>MIN(F2110,9)+1</x:f>
        <x:v>10</x:v>
      </x:c>
      <x:c r="H2110" s="8" t="n">
        <x:f>IF(F2110&lt;=9,1,0)</x:f>
        <x:v>0</x:v>
      </x:c>
      <x:c r="I2110" s="9" t="n">
        <x:f>MIN(10,F2109+IF(AR2109&gt;0,MIN(1,AS2109/AR2109),1))</x:f>
        <x:v>10</x:v>
      </x:c>
      <x:c r="J2110" s="32" t="n">
        <x:f>INDEX(v01_FoodCap,G2110)*Arch_FoodCap*EXP(v01_CapsByProject*SUMPRODUCT((Cap_Point&lt;=I2110)*(Cap_Kind="Food")*Cap_Ln))</x:f>
        <x:v>12000</x:v>
      </x:c>
      <x:c r="K2110" s="32" t="n">
        <x:f>J2110*MIN(1,v01_LeanBase*EXP(v01_CapsByProject*SUMPRODUCT((Cap_Point&lt;=I2110)*(Cap_Kind="Lean")*Cap_Ln)))</x:f>
        <x:v>12000</x:v>
      </x:c>
      <x:c r="L2110" s="10" t="n">
        <x:f>INDEX(v01_HousingCap,G2110)*EXP(v01_CapsByProject*SUMPRODUCT((Cap_Point&lt;=I2110)*(Cap_Kind="Housing")*Cap_Ln))</x:f>
        <x:v>20000</x:v>
      </x:c>
      <x:c r="M2110" s="10" t="n">
        <x:f>INDEX(v01_GroupCap,G2110)*v01_CohesionFactor*EXP(v01_CapsByProject*SUMPRODUCT((Cap_Point&lt;=I2110)*(Cap_Kind="Group")*Cap_Ln))</x:f>
        <x:v>1000000</x:v>
      </x:c>
      <x:c r="N2110" s="32" t="n">
        <x:f>MIN(J2110,L2110,M2110)</x:f>
        <x:v>12000</x:v>
      </x:c>
      <x:c r="O2110" s="10" t="n">
        <x:f>AE2109*N2110</x:f>
        <x:v>180000</x:v>
      </x:c>
      <x:c r="P2110" s="9" t="n">
        <x:f>MIN(1,(AB2109/(AE2109*IF(v01_GroupInCrowding=1,N2110,MIN(J2110,L2110))))^v01_CrowdingExp)</x:f>
        <x:v>0.00024569414295285325</x:v>
      </x:c>
      <x:c r="Q2110" s="9" t="n">
        <x:f>IF(D2110=1,INDEX(v01_WinterMult,G2110),1)</x:f>
        <x:v>1</x:v>
      </x:c>
      <x:c r="R2110" s="9" t="n">
        <x:f>H2110*Z2109*v01_WomenShare*v01_BaseFertility*INDEX(v01_FertMult,G2110)*Arch_Fertility*(1-P2110)</x:f>
        <x:v>0</x:v>
      </x:c>
      <x:c r="S2110" s="9" t="n">
        <x:f>H2110*Y2109*INDEX(v01_MortChild,G2110)/4*Q2110</x:f>
        <x:v>0</x:v>
      </x:c>
      <x:c r="T2110" s="9" t="n">
        <x:f>H2110*Z2109*INDEX(v01_MortAdult,G2110)*Arch_AdultMort/4*Q2110</x:f>
        <x:v>0</x:v>
      </x:c>
      <x:c r="U2110" s="9" t="n">
        <x:f>H2110*AA2109*INDEX(v01_MortElder,G2110)/4*Q2110</x:f>
        <x:v>0</x:v>
      </x:c>
      <x:c r="V2110" s="9" t="n">
        <x:f>H2110*MAX(0,AB2109-O2110)*v01_OvercapLoss</x:f>
        <x:v>0</x:v>
      </x:c>
      <x:c r="W2110" s="9" t="n">
        <x:f>H2110*Y2109/(v01_ChildYears*4)</x:f>
        <x:v>0</x:v>
      </x:c>
      <x:c r="X2110" s="9" t="n">
        <x:f>H2110*Z2109/(v01_AdultYears*4)</x:f>
        <x:v>0</x:v>
      </x:c>
      <x:c r="Y2110" s="32" t="n">
        <x:f>Y2109+R2110-S2110-W2110-Y2109*V2110/AB2109</x:f>
        <x:v>14306.18539759397</x:v>
      </x:c>
      <x:c r="Z2110" s="32" t="n">
        <x:f>Z2109+W2110-X2110-T2110-Z2109*V2110/AB2109</x:f>
        <x:v>19354.456567879548</x:v>
      </x:c>
      <x:c r="AA2110" s="32" t="n">
        <x:f>AA2109+X2110-U2110-AA2109*V2110/AB2109</x:f>
        <x:v>11386.956063258198</x:v>
      </x:c>
      <x:c r="AB2110" s="10" t="n">
        <x:f>Y2110+Z2110+AA2110</x:f>
        <x:v>45047.59802873172</x:v>
      </x:c>
      <x:c r="AC2110" s="8" t="n">
        <x:f>IF(AND(v01_WinterTrigger=1,D2110=1,AB2109/AE2109&gt;=K2110),1,0)</x:f>
        <x:v>0</x:v>
      </x:c>
      <x:c r="AD2110" s="8" t="n">
        <x:f>H2110*IF(AND(OR(AB2109/AE2109&gt;=v01_FissionTrigger*N2110,AC2110=1),AB2109/AE2109*v01_DaughterShare&gt;=v01_MinDaughter),MAX(1,ROUND(AE2109*v01_FissionRate,0)),0)</x:f>
        <x:v>0</x:v>
      </x:c>
      <x:c r="AE2110" s="8" t="n">
        <x:f>IF(H2110=1,MAX(1,MIN(INDEX(v01_Smax,G2110),AE2109+AD2110)),AE2109)</x:f>
        <x:v>15</x:v>
      </x:c>
      <x:c r="AF2110" s="8" t="n">
        <x:f>MAX(0,AE2110-AE2109)</x:f>
        <x:v>0</x:v>
      </x:c>
      <x:c r="AG2110" s="9" t="str">
        <x:f>IF(AF2110&gt;0,B2110,"")</x:f>
      </x:c>
      <x:c r="AH2110" s="9" t="n">
        <x:f>IF(F2110&gt;=1,1,(1+v01_LowTiesShare*(AE2110-1))/AE2110)</x:f>
        <x:v>1</x:v>
      </x:c>
      <x:c r="AI2110" s="32" t="n">
        <x:f>(Z2110+v01_ElderCommons*INDEX(LM_Elder,G2110)*AA2110)*AH2110</x:f>
        <x:v>64139.732591141874</x:v>
      </x:c>
      <x:c r="AJ2110" s="32" t="n">
        <x:f>H2110*v01_CommonsCoef*AI2110^v01_CommonsExp*INDEX(LM_Commons,G2110)</x:f>
        <x:v>0</x:v>
      </x:c>
      <x:c r="AK2110" s="32" t="n">
        <x:f>H2110*v01_RoleScale*Arch_Roles*(AE2110*(INDEX(v01_ElderRolePerSett,G2110)*v01_OutElder*INDEX(LM_Elder,G2110)+INDEX(v01_ShamanPerSett,G2110)*v01_OutShaman)+Z2110*(INDEX(v01_PriestShare,G2110)*v01_OutPriest+INDEX(v01_ScribeShare,G2110)*v01_OutScribe*INDEX(LM_Scribe,G2110)+INDEX(v01_ScholarShare,G2110)*v01_OutScholar*INDEX(LM_Scholar,G2110)+INDEX(v01_ResearcherShare,G2110)*v01_OutResearcher*INDEX(LM_Researcher,G2110)))</x:f>
        <x:v>0</x:v>
      </x:c>
      <x:c r="AL2110" s="32" t="n">
        <x:f>H2110*v01_RoleScale*Arch_Roles*AE2110*INDEX(v01_MonasteryPerSett,G2110)*v01_OutMonastery*INDEX(LM_Monastery,G2110)</x:f>
        <x:v>0</x:v>
      </x:c>
      <x:c r="AM2110" s="32" t="n">
        <x:f>(AJ2110+AK2110+AL2110)/4*INDEX(LM_All,G2110)*INDEX(v01_Boon,G2110)*Arch_Insight</x:f>
        <x:v>0</x:v>
      </x:c>
      <x:c r="AN2110" s="32" t="n">
        <x:f>H2110*(v01_KHPerAdult*Z2110+v01_KHOfCommons*AJ2110/4*INDEX(LM_All,G2110))*v01_KHUsable*Arch_KH</x:f>
        <x:v>0</x:v>
      </x:c>
      <x:c r="AO2110" s="32" t="n">
        <x:f>MIN(AP2109+AN2110,AM2110*v01_KHMaxRatio)</x:f>
        <x:v>0</x:v>
      </x:c>
      <x:c r="AP2110" s="32" t="n">
        <x:f>AP2109+AN2110-AO2110</x:f>
        <x:v>0</x:v>
      </x:c>
      <x:c r="AQ2110" s="32" t="n">
        <x:f>AM2110+AO2110</x:f>
        <x:v>0</x:v>
      </x:c>
      <x:c r="AR2110" s="10" t="n">
        <x:f>IF(H2110=1,INDEX(v01_Req,G2110),0)</x:f>
        <x:v>0</x:v>
      </x:c>
      <x:c r="AS2110" s="32" t="n">
        <x:f>IF(H2110=1,IF(E2110=1,AS2109-AR2109,AS2109)+AQ2110,0)</x:f>
        <x:v>0</x:v>
      </x:c>
      <x:c r="AT2110" s="11" t="n">
        <x:f>IF(AR2110&gt;0,MIN(1,AS2110/AR2110),1)</x:f>
        <x:v>1</x:v>
      </x:c>
      <x:c r="AU2110" s="10" t="n">
        <x:f>AB2110/INDEX(v01_RepScale,G2110)</x:f>
        <x:v>90.09519605746344</x:v>
      </x:c>
      <x:c r="AV2110" s="32" t="n">
        <x:f>AM2110*60/v01_SeasonSeconds</x:f>
        <x:v>0</x:v>
      </x:c>
    </x:row>
    <x:row r="2111">
      <x:c r="A2111" s="8" t="n">
        <x:f>A2110+1</x:f>
        <x:v>2108</x:v>
      </x:c>
      <x:c r="B2111" s="9" t="n">
        <x:f>A2111*v01_SeasonSeconds/60</x:f>
        <x:v>527</x:v>
      </x:c>
      <x:c r="C2111" s="9" t="n">
        <x:f>A2111/4</x:f>
        <x:v>527</x:v>
      </x:c>
      <x:c r="D2111" s="8" t="n">
        <x:f>IF(MOD(A2111,4)=0,1,0)</x:f>
        <x:v>1</x:v>
      </x:c>
      <x:c r="E2111" s="8" t="n">
        <x:f>IF(AND(F2110&lt;=9,AS2110&gt;=AR2110),1,0)</x:f>
        <x:v>0</x:v>
      </x:c>
      <x:c r="F2111" s="8" t="n">
        <x:f>MIN(10,F2110+E2111)</x:f>
        <x:v>10</x:v>
      </x:c>
      <x:c r="G2111" s="8" t="n">
        <x:f>MIN(F2111,9)+1</x:f>
        <x:v>10</x:v>
      </x:c>
      <x:c r="H2111" s="8" t="n">
        <x:f>IF(F2111&lt;=9,1,0)</x:f>
        <x:v>0</x:v>
      </x:c>
      <x:c r="I2111" s="9" t="n">
        <x:f>MIN(10,F2110+IF(AR2110&gt;0,MIN(1,AS2110/AR2110),1))</x:f>
        <x:v>10</x:v>
      </x:c>
      <x:c r="J2111" s="32" t="n">
        <x:f>INDEX(v01_FoodCap,G2111)*Arch_FoodCap*EXP(v01_CapsByProject*SUMPRODUCT((Cap_Point&lt;=I2111)*(Cap_Kind="Food")*Cap_Ln))</x:f>
        <x:v>12000</x:v>
      </x:c>
      <x:c r="K2111" s="32" t="n">
        <x:f>J2111*MIN(1,v01_LeanBase*EXP(v01_CapsByProject*SUMPRODUCT((Cap_Point&lt;=I2111)*(Cap_Kind="Lean")*Cap_Ln)))</x:f>
        <x:v>12000</x:v>
      </x:c>
      <x:c r="L2111" s="10" t="n">
        <x:f>INDEX(v01_HousingCap,G2111)*EXP(v01_CapsByProject*SUMPRODUCT((Cap_Point&lt;=I2111)*(Cap_Kind="Housing")*Cap_Ln))</x:f>
        <x:v>20000</x:v>
      </x:c>
      <x:c r="M2111" s="10" t="n">
        <x:f>INDEX(v01_GroupCap,G2111)*v01_CohesionFactor*EXP(v01_CapsByProject*SUMPRODUCT((Cap_Point&lt;=I2111)*(Cap_Kind="Group")*Cap_Ln))</x:f>
        <x:v>1000000</x:v>
      </x:c>
      <x:c r="N2111" s="32" t="n">
        <x:f>MIN(J2111,L2111,M2111)</x:f>
        <x:v>12000</x:v>
      </x:c>
      <x:c r="O2111" s="10" t="n">
        <x:f>AE2110*N2111</x:f>
        <x:v>180000</x:v>
      </x:c>
      <x:c r="P2111" s="9" t="n">
        <x:f>MIN(1,(AB2110/(AE2110*IF(v01_GroupInCrowding=1,N2111,MIN(J2111,L2111))))^v01_CrowdingExp)</x:f>
        <x:v>0.00024569414295285325</x:v>
      </x:c>
      <x:c r="Q2111" s="9" t="n">
        <x:f>IF(D2111=1,INDEX(v01_WinterMult,G2111),1)</x:f>
        <x:v>1</x:v>
      </x:c>
      <x:c r="R2111" s="9" t="n">
        <x:f>H2111*Z2110*v01_WomenShare*v01_BaseFertility*INDEX(v01_FertMult,G2111)*Arch_Fertility*(1-P2111)</x:f>
        <x:v>0</x:v>
      </x:c>
      <x:c r="S2111" s="9" t="n">
        <x:f>H2111*Y2110*INDEX(v01_MortChild,G2111)/4*Q2111</x:f>
        <x:v>0</x:v>
      </x:c>
      <x:c r="T2111" s="9" t="n">
        <x:f>H2111*Z2110*INDEX(v01_MortAdult,G2111)*Arch_AdultMort/4*Q2111</x:f>
        <x:v>0</x:v>
      </x:c>
      <x:c r="U2111" s="9" t="n">
        <x:f>H2111*AA2110*INDEX(v01_MortElder,G2111)/4*Q2111</x:f>
        <x:v>0</x:v>
      </x:c>
      <x:c r="V2111" s="9" t="n">
        <x:f>H2111*MAX(0,AB2110-O2111)*v01_OvercapLoss</x:f>
        <x:v>0</x:v>
      </x:c>
      <x:c r="W2111" s="9" t="n">
        <x:f>H2111*Y2110/(v01_ChildYears*4)</x:f>
        <x:v>0</x:v>
      </x:c>
      <x:c r="X2111" s="9" t="n">
        <x:f>H2111*Z2110/(v01_AdultYears*4)</x:f>
        <x:v>0</x:v>
      </x:c>
      <x:c r="Y2111" s="32" t="n">
        <x:f>Y2110+R2111-S2111-W2111-Y2110*V2111/AB2110</x:f>
        <x:v>14306.18539759397</x:v>
      </x:c>
      <x:c r="Z2111" s="32" t="n">
        <x:f>Z2110+W2111-X2111-T2111-Z2110*V2111/AB2110</x:f>
        <x:v>19354.456567879548</x:v>
      </x:c>
      <x:c r="AA2111" s="32" t="n">
        <x:f>AA2110+X2111-U2111-AA2110*V2111/AB2110</x:f>
        <x:v>11386.956063258198</x:v>
      </x:c>
      <x:c r="AB2111" s="10" t="n">
        <x:f>Y2111+Z2111+AA2111</x:f>
        <x:v>45047.59802873172</x:v>
      </x:c>
      <x:c r="AC2111" s="8" t="n">
        <x:f>IF(AND(v01_WinterTrigger=1,D2111=1,AB2110/AE2110&gt;=K2111),1,0)</x:f>
        <x:v>0</x:v>
      </x:c>
      <x:c r="AD2111" s="8" t="n">
        <x:f>H2111*IF(AND(OR(AB2110/AE2110&gt;=v01_FissionTrigger*N2111,AC2111=1),AB2110/AE2110*v01_DaughterShare&gt;=v01_MinDaughter),MAX(1,ROUND(AE2110*v01_FissionRate,0)),0)</x:f>
        <x:v>0</x:v>
      </x:c>
      <x:c r="AE2111" s="8" t="n">
        <x:f>IF(H2111=1,MAX(1,MIN(INDEX(v01_Smax,G2111),AE2110+AD2111)),AE2110)</x:f>
        <x:v>15</x:v>
      </x:c>
      <x:c r="AF2111" s="8" t="n">
        <x:f>MAX(0,AE2111-AE2110)</x:f>
        <x:v>0</x:v>
      </x:c>
      <x:c r="AG2111" s="9" t="str">
        <x:f>IF(AF2111&gt;0,B2111,"")</x:f>
      </x:c>
      <x:c r="AH2111" s="9" t="n">
        <x:f>IF(F2111&gt;=1,1,(1+v01_LowTiesShare*(AE2111-1))/AE2111)</x:f>
        <x:v>1</x:v>
      </x:c>
      <x:c r="AI2111" s="32" t="n">
        <x:f>(Z2111+v01_ElderCommons*INDEX(LM_Elder,G2111)*AA2111)*AH2111</x:f>
        <x:v>64139.732591141874</x:v>
      </x:c>
      <x:c r="AJ2111" s="32" t="n">
        <x:f>H2111*v01_CommonsCoef*AI2111^v01_CommonsExp*INDEX(LM_Commons,G2111)</x:f>
        <x:v>0</x:v>
      </x:c>
      <x:c r="AK2111" s="32" t="n">
        <x:f>H2111*v01_RoleScale*Arch_Roles*(AE2111*(INDEX(v01_ElderRolePerSett,G2111)*v01_OutElder*INDEX(LM_Elder,G2111)+INDEX(v01_ShamanPerSett,G2111)*v01_OutShaman)+Z2111*(INDEX(v01_PriestShare,G2111)*v01_OutPriest+INDEX(v01_ScribeShare,G2111)*v01_OutScribe*INDEX(LM_Scribe,G2111)+INDEX(v01_ScholarShare,G2111)*v01_OutScholar*INDEX(LM_Scholar,G2111)+INDEX(v01_ResearcherShare,G2111)*v01_OutResearcher*INDEX(LM_Researcher,G2111)))</x:f>
        <x:v>0</x:v>
      </x:c>
      <x:c r="AL2111" s="32" t="n">
        <x:f>H2111*v01_RoleScale*Arch_Roles*AE2111*INDEX(v01_MonasteryPerSett,G2111)*v01_OutMonastery*INDEX(LM_Monastery,G2111)</x:f>
        <x:v>0</x:v>
      </x:c>
      <x:c r="AM2111" s="32" t="n">
        <x:f>(AJ2111+AK2111+AL2111)/4*INDEX(LM_All,G2111)*INDEX(v01_Boon,G2111)*Arch_Insight</x:f>
        <x:v>0</x:v>
      </x:c>
      <x:c r="AN2111" s="32" t="n">
        <x:f>H2111*(v01_KHPerAdult*Z2111+v01_KHOfCommons*AJ2111/4*INDEX(LM_All,G2111))*v01_KHUsable*Arch_KH</x:f>
        <x:v>0</x:v>
      </x:c>
      <x:c r="AO2111" s="32" t="n">
        <x:f>MIN(AP2110+AN2111,AM2111*v01_KHMaxRatio)</x:f>
        <x:v>0</x:v>
      </x:c>
      <x:c r="AP2111" s="32" t="n">
        <x:f>AP2110+AN2111-AO2111</x:f>
        <x:v>0</x:v>
      </x:c>
      <x:c r="AQ2111" s="32" t="n">
        <x:f>AM2111+AO2111</x:f>
        <x:v>0</x:v>
      </x:c>
      <x:c r="AR2111" s="10" t="n">
        <x:f>IF(H2111=1,INDEX(v01_Req,G2111),0)</x:f>
        <x:v>0</x:v>
      </x:c>
      <x:c r="AS2111" s="32" t="n">
        <x:f>IF(H2111=1,IF(E2111=1,AS2110-AR2110,AS2110)+AQ2111,0)</x:f>
        <x:v>0</x:v>
      </x:c>
      <x:c r="AT2111" s="11" t="n">
        <x:f>IF(AR2111&gt;0,MIN(1,AS2111/AR2111),1)</x:f>
        <x:v>1</x:v>
      </x:c>
      <x:c r="AU2111" s="10" t="n">
        <x:f>AB2111/INDEX(v01_RepScale,G2111)</x:f>
        <x:v>90.09519605746344</x:v>
      </x:c>
      <x:c r="AV2111" s="32" t="n">
        <x:f>AM2111*60/v01_SeasonSeconds</x:f>
        <x:v>0</x:v>
      </x:c>
    </x:row>
    <x:row r="2112">
      <x:c r="A2112" s="8" t="n">
        <x:f>A2111+1</x:f>
        <x:v>2109</x:v>
      </x:c>
      <x:c r="B2112" s="9" t="n">
        <x:f>A2112*v01_SeasonSeconds/60</x:f>
        <x:v>527.25</x:v>
      </x:c>
      <x:c r="C2112" s="9" t="n">
        <x:f>A2112/4</x:f>
        <x:v>527.25</x:v>
      </x:c>
      <x:c r="D2112" s="8" t="n">
        <x:f>IF(MOD(A2112,4)=0,1,0)</x:f>
        <x:v>0</x:v>
      </x:c>
      <x:c r="E2112" s="8" t="n">
        <x:f>IF(AND(F2111&lt;=9,AS2111&gt;=AR2111),1,0)</x:f>
        <x:v>0</x:v>
      </x:c>
      <x:c r="F2112" s="8" t="n">
        <x:f>MIN(10,F2111+E2112)</x:f>
        <x:v>10</x:v>
      </x:c>
      <x:c r="G2112" s="8" t="n">
        <x:f>MIN(F2112,9)+1</x:f>
        <x:v>10</x:v>
      </x:c>
      <x:c r="H2112" s="8" t="n">
        <x:f>IF(F2112&lt;=9,1,0)</x:f>
        <x:v>0</x:v>
      </x:c>
      <x:c r="I2112" s="9" t="n">
        <x:f>MIN(10,F2111+IF(AR2111&gt;0,MIN(1,AS2111/AR2111),1))</x:f>
        <x:v>10</x:v>
      </x:c>
      <x:c r="J2112" s="32" t="n">
        <x:f>INDEX(v01_FoodCap,G2112)*Arch_FoodCap*EXP(v01_CapsByProject*SUMPRODUCT((Cap_Point&lt;=I2112)*(Cap_Kind="Food")*Cap_Ln))</x:f>
        <x:v>12000</x:v>
      </x:c>
      <x:c r="K2112" s="32" t="n">
        <x:f>J2112*MIN(1,v01_LeanBase*EXP(v01_CapsByProject*SUMPRODUCT((Cap_Point&lt;=I2112)*(Cap_Kind="Lean")*Cap_Ln)))</x:f>
        <x:v>12000</x:v>
      </x:c>
      <x:c r="L2112" s="10" t="n">
        <x:f>INDEX(v01_HousingCap,G2112)*EXP(v01_CapsByProject*SUMPRODUCT((Cap_Point&lt;=I2112)*(Cap_Kind="Housing")*Cap_Ln))</x:f>
        <x:v>20000</x:v>
      </x:c>
      <x:c r="M2112" s="10" t="n">
        <x:f>INDEX(v01_GroupCap,G2112)*v01_CohesionFactor*EXP(v01_CapsByProject*SUMPRODUCT((Cap_Point&lt;=I2112)*(Cap_Kind="Group")*Cap_Ln))</x:f>
        <x:v>1000000</x:v>
      </x:c>
      <x:c r="N2112" s="32" t="n">
        <x:f>MIN(J2112,L2112,M2112)</x:f>
        <x:v>12000</x:v>
      </x:c>
      <x:c r="O2112" s="10" t="n">
        <x:f>AE2111*N2112</x:f>
        <x:v>180000</x:v>
      </x:c>
      <x:c r="P2112" s="9" t="n">
        <x:f>MIN(1,(AB2111/(AE2111*IF(v01_GroupInCrowding=1,N2112,MIN(J2112,L2112))))^v01_CrowdingExp)</x:f>
        <x:v>0.00024569414295285325</x:v>
      </x:c>
      <x:c r="Q2112" s="9" t="n">
        <x:f>IF(D2112=1,INDEX(v01_WinterMult,G2112),1)</x:f>
        <x:v>1</x:v>
      </x:c>
      <x:c r="R2112" s="9" t="n">
        <x:f>H2112*Z2111*v01_WomenShare*v01_BaseFertility*INDEX(v01_FertMult,G2112)*Arch_Fertility*(1-P2112)</x:f>
        <x:v>0</x:v>
      </x:c>
      <x:c r="S2112" s="9" t="n">
        <x:f>H2112*Y2111*INDEX(v01_MortChild,G2112)/4*Q2112</x:f>
        <x:v>0</x:v>
      </x:c>
      <x:c r="T2112" s="9" t="n">
        <x:f>H2112*Z2111*INDEX(v01_MortAdult,G2112)*Arch_AdultMort/4*Q2112</x:f>
        <x:v>0</x:v>
      </x:c>
      <x:c r="U2112" s="9" t="n">
        <x:f>H2112*AA2111*INDEX(v01_MortElder,G2112)/4*Q2112</x:f>
        <x:v>0</x:v>
      </x:c>
      <x:c r="V2112" s="9" t="n">
        <x:f>H2112*MAX(0,AB2111-O2112)*v01_OvercapLoss</x:f>
        <x:v>0</x:v>
      </x:c>
      <x:c r="W2112" s="9" t="n">
        <x:f>H2112*Y2111/(v01_ChildYears*4)</x:f>
        <x:v>0</x:v>
      </x:c>
      <x:c r="X2112" s="9" t="n">
        <x:f>H2112*Z2111/(v01_AdultYears*4)</x:f>
        <x:v>0</x:v>
      </x:c>
      <x:c r="Y2112" s="32" t="n">
        <x:f>Y2111+R2112-S2112-W2112-Y2111*V2112/AB2111</x:f>
        <x:v>14306.18539759397</x:v>
      </x:c>
      <x:c r="Z2112" s="32" t="n">
        <x:f>Z2111+W2112-X2112-T2112-Z2111*V2112/AB2111</x:f>
        <x:v>19354.456567879548</x:v>
      </x:c>
      <x:c r="AA2112" s="32" t="n">
        <x:f>AA2111+X2112-U2112-AA2111*V2112/AB2111</x:f>
        <x:v>11386.956063258198</x:v>
      </x:c>
      <x:c r="AB2112" s="10" t="n">
        <x:f>Y2112+Z2112+AA2112</x:f>
        <x:v>45047.59802873172</x:v>
      </x:c>
      <x:c r="AC2112" s="8" t="n">
        <x:f>IF(AND(v01_WinterTrigger=1,D2112=1,AB2111/AE2111&gt;=K2112),1,0)</x:f>
        <x:v>0</x:v>
      </x:c>
      <x:c r="AD2112" s="8" t="n">
        <x:f>H2112*IF(AND(OR(AB2111/AE2111&gt;=v01_FissionTrigger*N2112,AC2112=1),AB2111/AE2111*v01_DaughterShare&gt;=v01_MinDaughter),MAX(1,ROUND(AE2111*v01_FissionRate,0)),0)</x:f>
        <x:v>0</x:v>
      </x:c>
      <x:c r="AE2112" s="8" t="n">
        <x:f>IF(H2112=1,MAX(1,MIN(INDEX(v01_Smax,G2112),AE2111+AD2112)),AE2111)</x:f>
        <x:v>15</x:v>
      </x:c>
      <x:c r="AF2112" s="8" t="n">
        <x:f>MAX(0,AE2112-AE2111)</x:f>
        <x:v>0</x:v>
      </x:c>
      <x:c r="AG2112" s="9" t="str">
        <x:f>IF(AF2112&gt;0,B2112,"")</x:f>
      </x:c>
      <x:c r="AH2112" s="9" t="n">
        <x:f>IF(F2112&gt;=1,1,(1+v01_LowTiesShare*(AE2112-1))/AE2112)</x:f>
        <x:v>1</x:v>
      </x:c>
      <x:c r="AI2112" s="32" t="n">
        <x:f>(Z2112+v01_ElderCommons*INDEX(LM_Elder,G2112)*AA2112)*AH2112</x:f>
        <x:v>64139.732591141874</x:v>
      </x:c>
      <x:c r="AJ2112" s="32" t="n">
        <x:f>H2112*v01_CommonsCoef*AI2112^v01_CommonsExp*INDEX(LM_Commons,G2112)</x:f>
        <x:v>0</x:v>
      </x:c>
      <x:c r="AK2112" s="32" t="n">
        <x:f>H2112*v01_RoleScale*Arch_Roles*(AE2112*(INDEX(v01_ElderRolePerSett,G2112)*v01_OutElder*INDEX(LM_Elder,G2112)+INDEX(v01_ShamanPerSett,G2112)*v01_OutShaman)+Z2112*(INDEX(v01_PriestShare,G2112)*v01_OutPriest+INDEX(v01_ScribeShare,G2112)*v01_OutScribe*INDEX(LM_Scribe,G2112)+INDEX(v01_ScholarShare,G2112)*v01_OutScholar*INDEX(LM_Scholar,G2112)+INDEX(v01_ResearcherShare,G2112)*v01_OutResearcher*INDEX(LM_Researcher,G2112)))</x:f>
        <x:v>0</x:v>
      </x:c>
      <x:c r="AL2112" s="32" t="n">
        <x:f>H2112*v01_RoleScale*Arch_Roles*AE2112*INDEX(v01_MonasteryPerSett,G2112)*v01_OutMonastery*INDEX(LM_Monastery,G2112)</x:f>
        <x:v>0</x:v>
      </x:c>
      <x:c r="AM2112" s="32" t="n">
        <x:f>(AJ2112+AK2112+AL2112)/4*INDEX(LM_All,G2112)*INDEX(v01_Boon,G2112)*Arch_Insight</x:f>
        <x:v>0</x:v>
      </x:c>
      <x:c r="AN2112" s="32" t="n">
        <x:f>H2112*(v01_KHPerAdult*Z2112+v01_KHOfCommons*AJ2112/4*INDEX(LM_All,G2112))*v01_KHUsable*Arch_KH</x:f>
        <x:v>0</x:v>
      </x:c>
      <x:c r="AO2112" s="32" t="n">
        <x:f>MIN(AP2111+AN2112,AM2112*v01_KHMaxRatio)</x:f>
        <x:v>0</x:v>
      </x:c>
      <x:c r="AP2112" s="32" t="n">
        <x:f>AP2111+AN2112-AO2112</x:f>
        <x:v>0</x:v>
      </x:c>
      <x:c r="AQ2112" s="32" t="n">
        <x:f>AM2112+AO2112</x:f>
        <x:v>0</x:v>
      </x:c>
      <x:c r="AR2112" s="10" t="n">
        <x:f>IF(H2112=1,INDEX(v01_Req,G2112),0)</x:f>
        <x:v>0</x:v>
      </x:c>
      <x:c r="AS2112" s="32" t="n">
        <x:f>IF(H2112=1,IF(E2112=1,AS2111-AR2111,AS2111)+AQ2112,0)</x:f>
        <x:v>0</x:v>
      </x:c>
      <x:c r="AT2112" s="11" t="n">
        <x:f>IF(AR2112&gt;0,MIN(1,AS2112/AR2112),1)</x:f>
        <x:v>1</x:v>
      </x:c>
      <x:c r="AU2112" s="10" t="n">
        <x:f>AB2112/INDEX(v01_RepScale,G2112)</x:f>
        <x:v>90.09519605746344</x:v>
      </x:c>
      <x:c r="AV2112" s="32" t="n">
        <x:f>AM2112*60/v01_SeasonSeconds</x:f>
        <x:v>0</x:v>
      </x:c>
    </x:row>
    <x:row r="2113">
      <x:c r="A2113" s="8" t="n">
        <x:f>A2112+1</x:f>
        <x:v>2110</x:v>
      </x:c>
      <x:c r="B2113" s="9" t="n">
        <x:f>A2113*v01_SeasonSeconds/60</x:f>
        <x:v>527.5</x:v>
      </x:c>
      <x:c r="C2113" s="9" t="n">
        <x:f>A2113/4</x:f>
        <x:v>527.5</x:v>
      </x:c>
      <x:c r="D2113" s="8" t="n">
        <x:f>IF(MOD(A2113,4)=0,1,0)</x:f>
        <x:v>0</x:v>
      </x:c>
      <x:c r="E2113" s="8" t="n">
        <x:f>IF(AND(F2112&lt;=9,AS2112&gt;=AR2112),1,0)</x:f>
        <x:v>0</x:v>
      </x:c>
      <x:c r="F2113" s="8" t="n">
        <x:f>MIN(10,F2112+E2113)</x:f>
        <x:v>10</x:v>
      </x:c>
      <x:c r="G2113" s="8" t="n">
        <x:f>MIN(F2113,9)+1</x:f>
        <x:v>10</x:v>
      </x:c>
      <x:c r="H2113" s="8" t="n">
        <x:f>IF(F2113&lt;=9,1,0)</x:f>
        <x:v>0</x:v>
      </x:c>
      <x:c r="I2113" s="9" t="n">
        <x:f>MIN(10,F2112+IF(AR2112&gt;0,MIN(1,AS2112/AR2112),1))</x:f>
        <x:v>10</x:v>
      </x:c>
      <x:c r="J2113" s="32" t="n">
        <x:f>INDEX(v01_FoodCap,G2113)*Arch_FoodCap*EXP(v01_CapsByProject*SUMPRODUCT((Cap_Point&lt;=I2113)*(Cap_Kind="Food")*Cap_Ln))</x:f>
        <x:v>12000</x:v>
      </x:c>
      <x:c r="K2113" s="32" t="n">
        <x:f>J2113*MIN(1,v01_LeanBase*EXP(v01_CapsByProject*SUMPRODUCT((Cap_Point&lt;=I2113)*(Cap_Kind="Lean")*Cap_Ln)))</x:f>
        <x:v>12000</x:v>
      </x:c>
      <x:c r="L2113" s="10" t="n">
        <x:f>INDEX(v01_HousingCap,G2113)*EXP(v01_CapsByProject*SUMPRODUCT((Cap_Point&lt;=I2113)*(Cap_Kind="Housing")*Cap_Ln))</x:f>
        <x:v>20000</x:v>
      </x:c>
      <x:c r="M2113" s="10" t="n">
        <x:f>INDEX(v01_GroupCap,G2113)*v01_CohesionFactor*EXP(v01_CapsByProject*SUMPRODUCT((Cap_Point&lt;=I2113)*(Cap_Kind="Group")*Cap_Ln))</x:f>
        <x:v>1000000</x:v>
      </x:c>
      <x:c r="N2113" s="32" t="n">
        <x:f>MIN(J2113,L2113,M2113)</x:f>
        <x:v>12000</x:v>
      </x:c>
      <x:c r="O2113" s="10" t="n">
        <x:f>AE2112*N2113</x:f>
        <x:v>180000</x:v>
      </x:c>
      <x:c r="P2113" s="9" t="n">
        <x:f>MIN(1,(AB2112/(AE2112*IF(v01_GroupInCrowding=1,N2113,MIN(J2113,L2113))))^v01_CrowdingExp)</x:f>
        <x:v>0.00024569414295285325</x:v>
      </x:c>
      <x:c r="Q2113" s="9" t="n">
        <x:f>IF(D2113=1,INDEX(v01_WinterMult,G2113),1)</x:f>
        <x:v>1</x:v>
      </x:c>
      <x:c r="R2113" s="9" t="n">
        <x:f>H2113*Z2112*v01_WomenShare*v01_BaseFertility*INDEX(v01_FertMult,G2113)*Arch_Fertility*(1-P2113)</x:f>
        <x:v>0</x:v>
      </x:c>
      <x:c r="S2113" s="9" t="n">
        <x:f>H2113*Y2112*INDEX(v01_MortChild,G2113)/4*Q2113</x:f>
        <x:v>0</x:v>
      </x:c>
      <x:c r="T2113" s="9" t="n">
        <x:f>H2113*Z2112*INDEX(v01_MortAdult,G2113)*Arch_AdultMort/4*Q2113</x:f>
        <x:v>0</x:v>
      </x:c>
      <x:c r="U2113" s="9" t="n">
        <x:f>H2113*AA2112*INDEX(v01_MortElder,G2113)/4*Q2113</x:f>
        <x:v>0</x:v>
      </x:c>
      <x:c r="V2113" s="9" t="n">
        <x:f>H2113*MAX(0,AB2112-O2113)*v01_OvercapLoss</x:f>
        <x:v>0</x:v>
      </x:c>
      <x:c r="W2113" s="9" t="n">
        <x:f>H2113*Y2112/(v01_ChildYears*4)</x:f>
        <x:v>0</x:v>
      </x:c>
      <x:c r="X2113" s="9" t="n">
        <x:f>H2113*Z2112/(v01_AdultYears*4)</x:f>
        <x:v>0</x:v>
      </x:c>
      <x:c r="Y2113" s="32" t="n">
        <x:f>Y2112+R2113-S2113-W2113-Y2112*V2113/AB2112</x:f>
        <x:v>14306.18539759397</x:v>
      </x:c>
      <x:c r="Z2113" s="32" t="n">
        <x:f>Z2112+W2113-X2113-T2113-Z2112*V2113/AB2112</x:f>
        <x:v>19354.456567879548</x:v>
      </x:c>
      <x:c r="AA2113" s="32" t="n">
        <x:f>AA2112+X2113-U2113-AA2112*V2113/AB2112</x:f>
        <x:v>11386.956063258198</x:v>
      </x:c>
      <x:c r="AB2113" s="10" t="n">
        <x:f>Y2113+Z2113+AA2113</x:f>
        <x:v>45047.59802873172</x:v>
      </x:c>
      <x:c r="AC2113" s="8" t="n">
        <x:f>IF(AND(v01_WinterTrigger=1,D2113=1,AB2112/AE2112&gt;=K2113),1,0)</x:f>
        <x:v>0</x:v>
      </x:c>
      <x:c r="AD2113" s="8" t="n">
        <x:f>H2113*IF(AND(OR(AB2112/AE2112&gt;=v01_FissionTrigger*N2113,AC2113=1),AB2112/AE2112*v01_DaughterShare&gt;=v01_MinDaughter),MAX(1,ROUND(AE2112*v01_FissionRate,0)),0)</x:f>
        <x:v>0</x:v>
      </x:c>
      <x:c r="AE2113" s="8" t="n">
        <x:f>IF(H2113=1,MAX(1,MIN(INDEX(v01_Smax,G2113),AE2112+AD2113)),AE2112)</x:f>
        <x:v>15</x:v>
      </x:c>
      <x:c r="AF2113" s="8" t="n">
        <x:f>MAX(0,AE2113-AE2112)</x:f>
        <x:v>0</x:v>
      </x:c>
      <x:c r="AG2113" s="9" t="str">
        <x:f>IF(AF2113&gt;0,B2113,"")</x:f>
      </x:c>
      <x:c r="AH2113" s="9" t="n">
        <x:f>IF(F2113&gt;=1,1,(1+v01_LowTiesShare*(AE2113-1))/AE2113)</x:f>
        <x:v>1</x:v>
      </x:c>
      <x:c r="AI2113" s="32" t="n">
        <x:f>(Z2113+v01_ElderCommons*INDEX(LM_Elder,G2113)*AA2113)*AH2113</x:f>
        <x:v>64139.732591141874</x:v>
      </x:c>
      <x:c r="AJ2113" s="32" t="n">
        <x:f>H2113*v01_CommonsCoef*AI2113^v01_CommonsExp*INDEX(LM_Commons,G2113)</x:f>
        <x:v>0</x:v>
      </x:c>
      <x:c r="AK2113" s="32" t="n">
        <x:f>H2113*v01_RoleScale*Arch_Roles*(AE2113*(INDEX(v01_ElderRolePerSett,G2113)*v01_OutElder*INDEX(LM_Elder,G2113)+INDEX(v01_ShamanPerSett,G2113)*v01_OutShaman)+Z2113*(INDEX(v01_PriestShare,G2113)*v01_OutPriest+INDEX(v01_ScribeShare,G2113)*v01_OutScribe*INDEX(LM_Scribe,G2113)+INDEX(v01_ScholarShare,G2113)*v01_OutScholar*INDEX(LM_Scholar,G2113)+INDEX(v01_ResearcherShare,G2113)*v01_OutResearcher*INDEX(LM_Researcher,G2113)))</x:f>
        <x:v>0</x:v>
      </x:c>
      <x:c r="AL2113" s="32" t="n">
        <x:f>H2113*v01_RoleScale*Arch_Roles*AE2113*INDEX(v01_MonasteryPerSett,G2113)*v01_OutMonastery*INDEX(LM_Monastery,G2113)</x:f>
        <x:v>0</x:v>
      </x:c>
      <x:c r="AM2113" s="32" t="n">
        <x:f>(AJ2113+AK2113+AL2113)/4*INDEX(LM_All,G2113)*INDEX(v01_Boon,G2113)*Arch_Insight</x:f>
        <x:v>0</x:v>
      </x:c>
      <x:c r="AN2113" s="32" t="n">
        <x:f>H2113*(v01_KHPerAdult*Z2113+v01_KHOfCommons*AJ2113/4*INDEX(LM_All,G2113))*v01_KHUsable*Arch_KH</x:f>
        <x:v>0</x:v>
      </x:c>
      <x:c r="AO2113" s="32" t="n">
        <x:f>MIN(AP2112+AN2113,AM2113*v01_KHMaxRatio)</x:f>
        <x:v>0</x:v>
      </x:c>
      <x:c r="AP2113" s="32" t="n">
        <x:f>AP2112+AN2113-AO2113</x:f>
        <x:v>0</x:v>
      </x:c>
      <x:c r="AQ2113" s="32" t="n">
        <x:f>AM2113+AO2113</x:f>
        <x:v>0</x:v>
      </x:c>
      <x:c r="AR2113" s="10" t="n">
        <x:f>IF(H2113=1,INDEX(v01_Req,G2113),0)</x:f>
        <x:v>0</x:v>
      </x:c>
      <x:c r="AS2113" s="32" t="n">
        <x:f>IF(H2113=1,IF(E2113=1,AS2112-AR2112,AS2112)+AQ2113,0)</x:f>
        <x:v>0</x:v>
      </x:c>
      <x:c r="AT2113" s="11" t="n">
        <x:f>IF(AR2113&gt;0,MIN(1,AS2113/AR2113),1)</x:f>
        <x:v>1</x:v>
      </x:c>
      <x:c r="AU2113" s="10" t="n">
        <x:f>AB2113/INDEX(v01_RepScale,G2113)</x:f>
        <x:v>90.09519605746344</x:v>
      </x:c>
      <x:c r="AV2113" s="32" t="n">
        <x:f>AM2113*60/v01_SeasonSeconds</x:f>
        <x:v>0</x:v>
      </x:c>
    </x:row>
    <x:row r="2114">
      <x:c r="A2114" s="8" t="n">
        <x:f>A2113+1</x:f>
        <x:v>2111</x:v>
      </x:c>
      <x:c r="B2114" s="9" t="n">
        <x:f>A2114*v01_SeasonSeconds/60</x:f>
        <x:v>527.75</x:v>
      </x:c>
      <x:c r="C2114" s="9" t="n">
        <x:f>A2114/4</x:f>
        <x:v>527.75</x:v>
      </x:c>
      <x:c r="D2114" s="8" t="n">
        <x:f>IF(MOD(A2114,4)=0,1,0)</x:f>
        <x:v>0</x:v>
      </x:c>
      <x:c r="E2114" s="8" t="n">
        <x:f>IF(AND(F2113&lt;=9,AS2113&gt;=AR2113),1,0)</x:f>
        <x:v>0</x:v>
      </x:c>
      <x:c r="F2114" s="8" t="n">
        <x:f>MIN(10,F2113+E2114)</x:f>
        <x:v>10</x:v>
      </x:c>
      <x:c r="G2114" s="8" t="n">
        <x:f>MIN(F2114,9)+1</x:f>
        <x:v>10</x:v>
      </x:c>
      <x:c r="H2114" s="8" t="n">
        <x:f>IF(F2114&lt;=9,1,0)</x:f>
        <x:v>0</x:v>
      </x:c>
      <x:c r="I2114" s="9" t="n">
        <x:f>MIN(10,F2113+IF(AR2113&gt;0,MIN(1,AS2113/AR2113),1))</x:f>
        <x:v>10</x:v>
      </x:c>
      <x:c r="J2114" s="32" t="n">
        <x:f>INDEX(v01_FoodCap,G2114)*Arch_FoodCap*EXP(v01_CapsByProject*SUMPRODUCT((Cap_Point&lt;=I2114)*(Cap_Kind="Food")*Cap_Ln))</x:f>
        <x:v>12000</x:v>
      </x:c>
      <x:c r="K2114" s="32" t="n">
        <x:f>J2114*MIN(1,v01_LeanBase*EXP(v01_CapsByProject*SUMPRODUCT((Cap_Point&lt;=I2114)*(Cap_Kind="Lean")*Cap_Ln)))</x:f>
        <x:v>12000</x:v>
      </x:c>
      <x:c r="L2114" s="10" t="n">
        <x:f>INDEX(v01_HousingCap,G2114)*EXP(v01_CapsByProject*SUMPRODUCT((Cap_Point&lt;=I2114)*(Cap_Kind="Housing")*Cap_Ln))</x:f>
        <x:v>20000</x:v>
      </x:c>
      <x:c r="M2114" s="10" t="n">
        <x:f>INDEX(v01_GroupCap,G2114)*v01_CohesionFactor*EXP(v01_CapsByProject*SUMPRODUCT((Cap_Point&lt;=I2114)*(Cap_Kind="Group")*Cap_Ln))</x:f>
        <x:v>1000000</x:v>
      </x:c>
      <x:c r="N2114" s="32" t="n">
        <x:f>MIN(J2114,L2114,M2114)</x:f>
        <x:v>12000</x:v>
      </x:c>
      <x:c r="O2114" s="10" t="n">
        <x:f>AE2113*N2114</x:f>
        <x:v>180000</x:v>
      </x:c>
      <x:c r="P2114" s="9" t="n">
        <x:f>MIN(1,(AB2113/(AE2113*IF(v01_GroupInCrowding=1,N2114,MIN(J2114,L2114))))^v01_CrowdingExp)</x:f>
        <x:v>0.00024569414295285325</x:v>
      </x:c>
      <x:c r="Q2114" s="9" t="n">
        <x:f>IF(D2114=1,INDEX(v01_WinterMult,G2114),1)</x:f>
        <x:v>1</x:v>
      </x:c>
      <x:c r="R2114" s="9" t="n">
        <x:f>H2114*Z2113*v01_WomenShare*v01_BaseFertility*INDEX(v01_FertMult,G2114)*Arch_Fertility*(1-P2114)</x:f>
        <x:v>0</x:v>
      </x:c>
      <x:c r="S2114" s="9" t="n">
        <x:f>H2114*Y2113*INDEX(v01_MortChild,G2114)/4*Q2114</x:f>
        <x:v>0</x:v>
      </x:c>
      <x:c r="T2114" s="9" t="n">
        <x:f>H2114*Z2113*INDEX(v01_MortAdult,G2114)*Arch_AdultMort/4*Q2114</x:f>
        <x:v>0</x:v>
      </x:c>
      <x:c r="U2114" s="9" t="n">
        <x:f>H2114*AA2113*INDEX(v01_MortElder,G2114)/4*Q2114</x:f>
        <x:v>0</x:v>
      </x:c>
      <x:c r="V2114" s="9" t="n">
        <x:f>H2114*MAX(0,AB2113-O2114)*v01_OvercapLoss</x:f>
        <x:v>0</x:v>
      </x:c>
      <x:c r="W2114" s="9" t="n">
        <x:f>H2114*Y2113/(v01_ChildYears*4)</x:f>
        <x:v>0</x:v>
      </x:c>
      <x:c r="X2114" s="9" t="n">
        <x:f>H2114*Z2113/(v01_AdultYears*4)</x:f>
        <x:v>0</x:v>
      </x:c>
      <x:c r="Y2114" s="32" t="n">
        <x:f>Y2113+R2114-S2114-W2114-Y2113*V2114/AB2113</x:f>
        <x:v>14306.18539759397</x:v>
      </x:c>
      <x:c r="Z2114" s="32" t="n">
        <x:f>Z2113+W2114-X2114-T2114-Z2113*V2114/AB2113</x:f>
        <x:v>19354.456567879548</x:v>
      </x:c>
      <x:c r="AA2114" s="32" t="n">
        <x:f>AA2113+X2114-U2114-AA2113*V2114/AB2113</x:f>
        <x:v>11386.956063258198</x:v>
      </x:c>
      <x:c r="AB2114" s="10" t="n">
        <x:f>Y2114+Z2114+AA2114</x:f>
        <x:v>45047.59802873172</x:v>
      </x:c>
      <x:c r="AC2114" s="8" t="n">
        <x:f>IF(AND(v01_WinterTrigger=1,D2114=1,AB2113/AE2113&gt;=K2114),1,0)</x:f>
        <x:v>0</x:v>
      </x:c>
      <x:c r="AD2114" s="8" t="n">
        <x:f>H2114*IF(AND(OR(AB2113/AE2113&gt;=v01_FissionTrigger*N2114,AC2114=1),AB2113/AE2113*v01_DaughterShare&gt;=v01_MinDaughter),MAX(1,ROUND(AE2113*v01_FissionRate,0)),0)</x:f>
        <x:v>0</x:v>
      </x:c>
      <x:c r="AE2114" s="8" t="n">
        <x:f>IF(H2114=1,MAX(1,MIN(INDEX(v01_Smax,G2114),AE2113+AD2114)),AE2113)</x:f>
        <x:v>15</x:v>
      </x:c>
      <x:c r="AF2114" s="8" t="n">
        <x:f>MAX(0,AE2114-AE2113)</x:f>
        <x:v>0</x:v>
      </x:c>
      <x:c r="AG2114" s="9" t="str">
        <x:f>IF(AF2114&gt;0,B2114,"")</x:f>
      </x:c>
      <x:c r="AH2114" s="9" t="n">
        <x:f>IF(F2114&gt;=1,1,(1+v01_LowTiesShare*(AE2114-1))/AE2114)</x:f>
        <x:v>1</x:v>
      </x:c>
      <x:c r="AI2114" s="32" t="n">
        <x:f>(Z2114+v01_ElderCommons*INDEX(LM_Elder,G2114)*AA2114)*AH2114</x:f>
        <x:v>64139.732591141874</x:v>
      </x:c>
      <x:c r="AJ2114" s="32" t="n">
        <x:f>H2114*v01_CommonsCoef*AI2114^v01_CommonsExp*INDEX(LM_Commons,G2114)</x:f>
        <x:v>0</x:v>
      </x:c>
      <x:c r="AK2114" s="32" t="n">
        <x:f>H2114*v01_RoleScale*Arch_Roles*(AE2114*(INDEX(v01_ElderRolePerSett,G2114)*v01_OutElder*INDEX(LM_Elder,G2114)+INDEX(v01_ShamanPerSett,G2114)*v01_OutShaman)+Z2114*(INDEX(v01_PriestShare,G2114)*v01_OutPriest+INDEX(v01_ScribeShare,G2114)*v01_OutScribe*INDEX(LM_Scribe,G2114)+INDEX(v01_ScholarShare,G2114)*v01_OutScholar*INDEX(LM_Scholar,G2114)+INDEX(v01_ResearcherShare,G2114)*v01_OutResearcher*INDEX(LM_Researcher,G2114)))</x:f>
        <x:v>0</x:v>
      </x:c>
      <x:c r="AL2114" s="32" t="n">
        <x:f>H2114*v01_RoleScale*Arch_Roles*AE2114*INDEX(v01_MonasteryPerSett,G2114)*v01_OutMonastery*INDEX(LM_Monastery,G2114)</x:f>
        <x:v>0</x:v>
      </x:c>
      <x:c r="AM2114" s="32" t="n">
        <x:f>(AJ2114+AK2114+AL2114)/4*INDEX(LM_All,G2114)*INDEX(v01_Boon,G2114)*Arch_Insight</x:f>
        <x:v>0</x:v>
      </x:c>
      <x:c r="AN2114" s="32" t="n">
        <x:f>H2114*(v01_KHPerAdult*Z2114+v01_KHOfCommons*AJ2114/4*INDEX(LM_All,G2114))*v01_KHUsable*Arch_KH</x:f>
        <x:v>0</x:v>
      </x:c>
      <x:c r="AO2114" s="32" t="n">
        <x:f>MIN(AP2113+AN2114,AM2114*v01_KHMaxRatio)</x:f>
        <x:v>0</x:v>
      </x:c>
      <x:c r="AP2114" s="32" t="n">
        <x:f>AP2113+AN2114-AO2114</x:f>
        <x:v>0</x:v>
      </x:c>
      <x:c r="AQ2114" s="32" t="n">
        <x:f>AM2114+AO2114</x:f>
        <x:v>0</x:v>
      </x:c>
      <x:c r="AR2114" s="10" t="n">
        <x:f>IF(H2114=1,INDEX(v01_Req,G2114),0)</x:f>
        <x:v>0</x:v>
      </x:c>
      <x:c r="AS2114" s="32" t="n">
        <x:f>IF(H2114=1,IF(E2114=1,AS2113-AR2113,AS2113)+AQ2114,0)</x:f>
        <x:v>0</x:v>
      </x:c>
      <x:c r="AT2114" s="11" t="n">
        <x:f>IF(AR2114&gt;0,MIN(1,AS2114/AR2114),1)</x:f>
        <x:v>1</x:v>
      </x:c>
      <x:c r="AU2114" s="10" t="n">
        <x:f>AB2114/INDEX(v01_RepScale,G2114)</x:f>
        <x:v>90.09519605746344</x:v>
      </x:c>
      <x:c r="AV2114" s="32" t="n">
        <x:f>AM2114*60/v01_SeasonSeconds</x:f>
        <x:v>0</x:v>
      </x:c>
    </x:row>
    <x:row r="2115">
      <x:c r="A2115" s="8" t="n">
        <x:f>A2114+1</x:f>
        <x:v>2112</x:v>
      </x:c>
      <x:c r="B2115" s="9" t="n">
        <x:f>A2115*v01_SeasonSeconds/60</x:f>
        <x:v>528</x:v>
      </x:c>
      <x:c r="C2115" s="9" t="n">
        <x:f>A2115/4</x:f>
        <x:v>528</x:v>
      </x:c>
      <x:c r="D2115" s="8" t="n">
        <x:f>IF(MOD(A2115,4)=0,1,0)</x:f>
        <x:v>1</x:v>
      </x:c>
      <x:c r="E2115" s="8" t="n">
        <x:f>IF(AND(F2114&lt;=9,AS2114&gt;=AR2114),1,0)</x:f>
        <x:v>0</x:v>
      </x:c>
      <x:c r="F2115" s="8" t="n">
        <x:f>MIN(10,F2114+E2115)</x:f>
        <x:v>10</x:v>
      </x:c>
      <x:c r="G2115" s="8" t="n">
        <x:f>MIN(F2115,9)+1</x:f>
        <x:v>10</x:v>
      </x:c>
      <x:c r="H2115" s="8" t="n">
        <x:f>IF(F2115&lt;=9,1,0)</x:f>
        <x:v>0</x:v>
      </x:c>
      <x:c r="I2115" s="9" t="n">
        <x:f>MIN(10,F2114+IF(AR2114&gt;0,MIN(1,AS2114/AR2114),1))</x:f>
        <x:v>10</x:v>
      </x:c>
      <x:c r="J2115" s="32" t="n">
        <x:f>INDEX(v01_FoodCap,G2115)*Arch_FoodCap*EXP(v01_CapsByProject*SUMPRODUCT((Cap_Point&lt;=I2115)*(Cap_Kind="Food")*Cap_Ln))</x:f>
        <x:v>12000</x:v>
      </x:c>
      <x:c r="K2115" s="32" t="n">
        <x:f>J2115*MIN(1,v01_LeanBase*EXP(v01_CapsByProject*SUMPRODUCT((Cap_Point&lt;=I2115)*(Cap_Kind="Lean")*Cap_Ln)))</x:f>
        <x:v>12000</x:v>
      </x:c>
      <x:c r="L2115" s="10" t="n">
        <x:f>INDEX(v01_HousingCap,G2115)*EXP(v01_CapsByProject*SUMPRODUCT((Cap_Point&lt;=I2115)*(Cap_Kind="Housing")*Cap_Ln))</x:f>
        <x:v>20000</x:v>
      </x:c>
      <x:c r="M2115" s="10" t="n">
        <x:f>INDEX(v01_GroupCap,G2115)*v01_CohesionFactor*EXP(v01_CapsByProject*SUMPRODUCT((Cap_Point&lt;=I2115)*(Cap_Kind="Group")*Cap_Ln))</x:f>
        <x:v>1000000</x:v>
      </x:c>
      <x:c r="N2115" s="32" t="n">
        <x:f>MIN(J2115,L2115,M2115)</x:f>
        <x:v>12000</x:v>
      </x:c>
      <x:c r="O2115" s="10" t="n">
        <x:f>AE2114*N2115</x:f>
        <x:v>180000</x:v>
      </x:c>
      <x:c r="P2115" s="9" t="n">
        <x:f>MIN(1,(AB2114/(AE2114*IF(v01_GroupInCrowding=1,N2115,MIN(J2115,L2115))))^v01_CrowdingExp)</x:f>
        <x:v>0.00024569414295285325</x:v>
      </x:c>
      <x:c r="Q2115" s="9" t="n">
        <x:f>IF(D2115=1,INDEX(v01_WinterMult,G2115),1)</x:f>
        <x:v>1</x:v>
      </x:c>
      <x:c r="R2115" s="9" t="n">
        <x:f>H2115*Z2114*v01_WomenShare*v01_BaseFertility*INDEX(v01_FertMult,G2115)*Arch_Fertility*(1-P2115)</x:f>
        <x:v>0</x:v>
      </x:c>
      <x:c r="S2115" s="9" t="n">
        <x:f>H2115*Y2114*INDEX(v01_MortChild,G2115)/4*Q2115</x:f>
        <x:v>0</x:v>
      </x:c>
      <x:c r="T2115" s="9" t="n">
        <x:f>H2115*Z2114*INDEX(v01_MortAdult,G2115)*Arch_AdultMort/4*Q2115</x:f>
        <x:v>0</x:v>
      </x:c>
      <x:c r="U2115" s="9" t="n">
        <x:f>H2115*AA2114*INDEX(v01_MortElder,G2115)/4*Q2115</x:f>
        <x:v>0</x:v>
      </x:c>
      <x:c r="V2115" s="9" t="n">
        <x:f>H2115*MAX(0,AB2114-O2115)*v01_OvercapLoss</x:f>
        <x:v>0</x:v>
      </x:c>
      <x:c r="W2115" s="9" t="n">
        <x:f>H2115*Y2114/(v01_ChildYears*4)</x:f>
        <x:v>0</x:v>
      </x:c>
      <x:c r="X2115" s="9" t="n">
        <x:f>H2115*Z2114/(v01_AdultYears*4)</x:f>
        <x:v>0</x:v>
      </x:c>
      <x:c r="Y2115" s="32" t="n">
        <x:f>Y2114+R2115-S2115-W2115-Y2114*V2115/AB2114</x:f>
        <x:v>14306.18539759397</x:v>
      </x:c>
      <x:c r="Z2115" s="32" t="n">
        <x:f>Z2114+W2115-X2115-T2115-Z2114*V2115/AB2114</x:f>
        <x:v>19354.456567879548</x:v>
      </x:c>
      <x:c r="AA2115" s="32" t="n">
        <x:f>AA2114+X2115-U2115-AA2114*V2115/AB2114</x:f>
        <x:v>11386.956063258198</x:v>
      </x:c>
      <x:c r="AB2115" s="10" t="n">
        <x:f>Y2115+Z2115+AA2115</x:f>
        <x:v>45047.59802873172</x:v>
      </x:c>
      <x:c r="AC2115" s="8" t="n">
        <x:f>IF(AND(v01_WinterTrigger=1,D2115=1,AB2114/AE2114&gt;=K2115),1,0)</x:f>
        <x:v>0</x:v>
      </x:c>
      <x:c r="AD2115" s="8" t="n">
        <x:f>H2115*IF(AND(OR(AB2114/AE2114&gt;=v01_FissionTrigger*N2115,AC2115=1),AB2114/AE2114*v01_DaughterShare&gt;=v01_MinDaughter),MAX(1,ROUND(AE2114*v01_FissionRate,0)),0)</x:f>
        <x:v>0</x:v>
      </x:c>
      <x:c r="AE2115" s="8" t="n">
        <x:f>IF(H2115=1,MAX(1,MIN(INDEX(v01_Smax,G2115),AE2114+AD2115)),AE2114)</x:f>
        <x:v>15</x:v>
      </x:c>
      <x:c r="AF2115" s="8" t="n">
        <x:f>MAX(0,AE2115-AE2114)</x:f>
        <x:v>0</x:v>
      </x:c>
      <x:c r="AG2115" s="9" t="str">
        <x:f>IF(AF2115&gt;0,B2115,"")</x:f>
      </x:c>
      <x:c r="AH2115" s="9" t="n">
        <x:f>IF(F2115&gt;=1,1,(1+v01_LowTiesShare*(AE2115-1))/AE2115)</x:f>
        <x:v>1</x:v>
      </x:c>
      <x:c r="AI2115" s="32" t="n">
        <x:f>(Z2115+v01_ElderCommons*INDEX(LM_Elder,G2115)*AA2115)*AH2115</x:f>
        <x:v>64139.732591141874</x:v>
      </x:c>
      <x:c r="AJ2115" s="32" t="n">
        <x:f>H2115*v01_CommonsCoef*AI2115^v01_CommonsExp*INDEX(LM_Commons,G2115)</x:f>
        <x:v>0</x:v>
      </x:c>
      <x:c r="AK2115" s="32" t="n">
        <x:f>H2115*v01_RoleScale*Arch_Roles*(AE2115*(INDEX(v01_ElderRolePerSett,G2115)*v01_OutElder*INDEX(LM_Elder,G2115)+INDEX(v01_ShamanPerSett,G2115)*v01_OutShaman)+Z2115*(INDEX(v01_PriestShare,G2115)*v01_OutPriest+INDEX(v01_ScribeShare,G2115)*v01_OutScribe*INDEX(LM_Scribe,G2115)+INDEX(v01_ScholarShare,G2115)*v01_OutScholar*INDEX(LM_Scholar,G2115)+INDEX(v01_ResearcherShare,G2115)*v01_OutResearcher*INDEX(LM_Researcher,G2115)))</x:f>
        <x:v>0</x:v>
      </x:c>
      <x:c r="AL2115" s="32" t="n">
        <x:f>H2115*v01_RoleScale*Arch_Roles*AE2115*INDEX(v01_MonasteryPerSett,G2115)*v01_OutMonastery*INDEX(LM_Monastery,G2115)</x:f>
        <x:v>0</x:v>
      </x:c>
      <x:c r="AM2115" s="32" t="n">
        <x:f>(AJ2115+AK2115+AL2115)/4*INDEX(LM_All,G2115)*INDEX(v01_Boon,G2115)*Arch_Insight</x:f>
        <x:v>0</x:v>
      </x:c>
      <x:c r="AN2115" s="32" t="n">
        <x:f>H2115*(v01_KHPerAdult*Z2115+v01_KHOfCommons*AJ2115/4*INDEX(LM_All,G2115))*v01_KHUsable*Arch_KH</x:f>
        <x:v>0</x:v>
      </x:c>
      <x:c r="AO2115" s="32" t="n">
        <x:f>MIN(AP2114+AN2115,AM2115*v01_KHMaxRatio)</x:f>
        <x:v>0</x:v>
      </x:c>
      <x:c r="AP2115" s="32" t="n">
        <x:f>AP2114+AN2115-AO2115</x:f>
        <x:v>0</x:v>
      </x:c>
      <x:c r="AQ2115" s="32" t="n">
        <x:f>AM2115+AO2115</x:f>
        <x:v>0</x:v>
      </x:c>
      <x:c r="AR2115" s="10" t="n">
        <x:f>IF(H2115=1,INDEX(v01_Req,G2115),0)</x:f>
        <x:v>0</x:v>
      </x:c>
      <x:c r="AS2115" s="32" t="n">
        <x:f>IF(H2115=1,IF(E2115=1,AS2114-AR2114,AS2114)+AQ2115,0)</x:f>
        <x:v>0</x:v>
      </x:c>
      <x:c r="AT2115" s="11" t="n">
        <x:f>IF(AR2115&gt;0,MIN(1,AS2115/AR2115),1)</x:f>
        <x:v>1</x:v>
      </x:c>
      <x:c r="AU2115" s="10" t="n">
        <x:f>AB2115/INDEX(v01_RepScale,G2115)</x:f>
        <x:v>90.09519605746344</x:v>
      </x:c>
      <x:c r="AV2115" s="32" t="n">
        <x:f>AM2115*60/v01_SeasonSeconds</x:f>
        <x:v>0</x:v>
      </x:c>
    </x:row>
    <x:row r="2116">
      <x:c r="A2116" s="8" t="n">
        <x:f>A2115+1</x:f>
        <x:v>2113</x:v>
      </x:c>
      <x:c r="B2116" s="9" t="n">
        <x:f>A2116*v01_SeasonSeconds/60</x:f>
        <x:v>528.25</x:v>
      </x:c>
      <x:c r="C2116" s="9" t="n">
        <x:f>A2116/4</x:f>
        <x:v>528.25</x:v>
      </x:c>
      <x:c r="D2116" s="8" t="n">
        <x:f>IF(MOD(A2116,4)=0,1,0)</x:f>
        <x:v>0</x:v>
      </x:c>
      <x:c r="E2116" s="8" t="n">
        <x:f>IF(AND(F2115&lt;=9,AS2115&gt;=AR2115),1,0)</x:f>
        <x:v>0</x:v>
      </x:c>
      <x:c r="F2116" s="8" t="n">
        <x:f>MIN(10,F2115+E2116)</x:f>
        <x:v>10</x:v>
      </x:c>
      <x:c r="G2116" s="8" t="n">
        <x:f>MIN(F2116,9)+1</x:f>
        <x:v>10</x:v>
      </x:c>
      <x:c r="H2116" s="8" t="n">
        <x:f>IF(F2116&lt;=9,1,0)</x:f>
        <x:v>0</x:v>
      </x:c>
      <x:c r="I2116" s="9" t="n">
        <x:f>MIN(10,F2115+IF(AR2115&gt;0,MIN(1,AS2115/AR2115),1))</x:f>
        <x:v>10</x:v>
      </x:c>
      <x:c r="J2116" s="32" t="n">
        <x:f>INDEX(v01_FoodCap,G2116)*Arch_FoodCap*EXP(v01_CapsByProject*SUMPRODUCT((Cap_Point&lt;=I2116)*(Cap_Kind="Food")*Cap_Ln))</x:f>
        <x:v>12000</x:v>
      </x:c>
      <x:c r="K2116" s="32" t="n">
        <x:f>J2116*MIN(1,v01_LeanBase*EXP(v01_CapsByProject*SUMPRODUCT((Cap_Point&lt;=I2116)*(Cap_Kind="Lean")*Cap_Ln)))</x:f>
        <x:v>12000</x:v>
      </x:c>
      <x:c r="L2116" s="10" t="n">
        <x:f>INDEX(v01_HousingCap,G2116)*EXP(v01_CapsByProject*SUMPRODUCT((Cap_Point&lt;=I2116)*(Cap_Kind="Housing")*Cap_Ln))</x:f>
        <x:v>20000</x:v>
      </x:c>
      <x:c r="M2116" s="10" t="n">
        <x:f>INDEX(v01_GroupCap,G2116)*v01_CohesionFactor*EXP(v01_CapsByProject*SUMPRODUCT((Cap_Point&lt;=I2116)*(Cap_Kind="Group")*Cap_Ln))</x:f>
        <x:v>1000000</x:v>
      </x:c>
      <x:c r="N2116" s="32" t="n">
        <x:f>MIN(J2116,L2116,M2116)</x:f>
        <x:v>12000</x:v>
      </x:c>
      <x:c r="O2116" s="10" t="n">
        <x:f>AE2115*N2116</x:f>
        <x:v>180000</x:v>
      </x:c>
      <x:c r="P2116" s="9" t="n">
        <x:f>MIN(1,(AB2115/(AE2115*IF(v01_GroupInCrowding=1,N2116,MIN(J2116,L2116))))^v01_CrowdingExp)</x:f>
        <x:v>0.00024569414295285325</x:v>
      </x:c>
      <x:c r="Q2116" s="9" t="n">
        <x:f>IF(D2116=1,INDEX(v01_WinterMult,G2116),1)</x:f>
        <x:v>1</x:v>
      </x:c>
      <x:c r="R2116" s="9" t="n">
        <x:f>H2116*Z2115*v01_WomenShare*v01_BaseFertility*INDEX(v01_FertMult,G2116)*Arch_Fertility*(1-P2116)</x:f>
        <x:v>0</x:v>
      </x:c>
      <x:c r="S2116" s="9" t="n">
        <x:f>H2116*Y2115*INDEX(v01_MortChild,G2116)/4*Q2116</x:f>
        <x:v>0</x:v>
      </x:c>
      <x:c r="T2116" s="9" t="n">
        <x:f>H2116*Z2115*INDEX(v01_MortAdult,G2116)*Arch_AdultMort/4*Q2116</x:f>
        <x:v>0</x:v>
      </x:c>
      <x:c r="U2116" s="9" t="n">
        <x:f>H2116*AA2115*INDEX(v01_MortElder,G2116)/4*Q2116</x:f>
        <x:v>0</x:v>
      </x:c>
      <x:c r="V2116" s="9" t="n">
        <x:f>H2116*MAX(0,AB2115-O2116)*v01_OvercapLoss</x:f>
        <x:v>0</x:v>
      </x:c>
      <x:c r="W2116" s="9" t="n">
        <x:f>H2116*Y2115/(v01_ChildYears*4)</x:f>
        <x:v>0</x:v>
      </x:c>
      <x:c r="X2116" s="9" t="n">
        <x:f>H2116*Z2115/(v01_AdultYears*4)</x:f>
        <x:v>0</x:v>
      </x:c>
      <x:c r="Y2116" s="32" t="n">
        <x:f>Y2115+R2116-S2116-W2116-Y2115*V2116/AB2115</x:f>
        <x:v>14306.18539759397</x:v>
      </x:c>
      <x:c r="Z2116" s="32" t="n">
        <x:f>Z2115+W2116-X2116-T2116-Z2115*V2116/AB2115</x:f>
        <x:v>19354.456567879548</x:v>
      </x:c>
      <x:c r="AA2116" s="32" t="n">
        <x:f>AA2115+X2116-U2116-AA2115*V2116/AB2115</x:f>
        <x:v>11386.956063258198</x:v>
      </x:c>
      <x:c r="AB2116" s="10" t="n">
        <x:f>Y2116+Z2116+AA2116</x:f>
        <x:v>45047.59802873172</x:v>
      </x:c>
      <x:c r="AC2116" s="8" t="n">
        <x:f>IF(AND(v01_WinterTrigger=1,D2116=1,AB2115/AE2115&gt;=K2116),1,0)</x:f>
        <x:v>0</x:v>
      </x:c>
      <x:c r="AD2116" s="8" t="n">
        <x:f>H2116*IF(AND(OR(AB2115/AE2115&gt;=v01_FissionTrigger*N2116,AC2116=1),AB2115/AE2115*v01_DaughterShare&gt;=v01_MinDaughter),MAX(1,ROUND(AE2115*v01_FissionRate,0)),0)</x:f>
        <x:v>0</x:v>
      </x:c>
      <x:c r="AE2116" s="8" t="n">
        <x:f>IF(H2116=1,MAX(1,MIN(INDEX(v01_Smax,G2116),AE2115+AD2116)),AE2115)</x:f>
        <x:v>15</x:v>
      </x:c>
      <x:c r="AF2116" s="8" t="n">
        <x:f>MAX(0,AE2116-AE2115)</x:f>
        <x:v>0</x:v>
      </x:c>
      <x:c r="AG2116" s="9" t="str">
        <x:f>IF(AF2116&gt;0,B2116,"")</x:f>
      </x:c>
      <x:c r="AH2116" s="9" t="n">
        <x:f>IF(F2116&gt;=1,1,(1+v01_LowTiesShare*(AE2116-1))/AE2116)</x:f>
        <x:v>1</x:v>
      </x:c>
      <x:c r="AI2116" s="32" t="n">
        <x:f>(Z2116+v01_ElderCommons*INDEX(LM_Elder,G2116)*AA2116)*AH2116</x:f>
        <x:v>64139.732591141874</x:v>
      </x:c>
      <x:c r="AJ2116" s="32" t="n">
        <x:f>H2116*v01_CommonsCoef*AI2116^v01_CommonsExp*INDEX(LM_Commons,G2116)</x:f>
        <x:v>0</x:v>
      </x:c>
      <x:c r="AK2116" s="32" t="n">
        <x:f>H2116*v01_RoleScale*Arch_Roles*(AE2116*(INDEX(v01_ElderRolePerSett,G2116)*v01_OutElder*INDEX(LM_Elder,G2116)+INDEX(v01_ShamanPerSett,G2116)*v01_OutShaman)+Z2116*(INDEX(v01_PriestShare,G2116)*v01_OutPriest+INDEX(v01_ScribeShare,G2116)*v01_OutScribe*INDEX(LM_Scribe,G2116)+INDEX(v01_ScholarShare,G2116)*v01_OutScholar*INDEX(LM_Scholar,G2116)+INDEX(v01_ResearcherShare,G2116)*v01_OutResearcher*INDEX(LM_Researcher,G2116)))</x:f>
        <x:v>0</x:v>
      </x:c>
      <x:c r="AL2116" s="32" t="n">
        <x:f>H2116*v01_RoleScale*Arch_Roles*AE2116*INDEX(v01_MonasteryPerSett,G2116)*v01_OutMonastery*INDEX(LM_Monastery,G2116)</x:f>
        <x:v>0</x:v>
      </x:c>
      <x:c r="AM2116" s="32" t="n">
        <x:f>(AJ2116+AK2116+AL2116)/4*INDEX(LM_All,G2116)*INDEX(v01_Boon,G2116)*Arch_Insight</x:f>
        <x:v>0</x:v>
      </x:c>
      <x:c r="AN2116" s="32" t="n">
        <x:f>H2116*(v01_KHPerAdult*Z2116+v01_KHOfCommons*AJ2116/4*INDEX(LM_All,G2116))*v01_KHUsable*Arch_KH</x:f>
        <x:v>0</x:v>
      </x:c>
      <x:c r="AO2116" s="32" t="n">
        <x:f>MIN(AP2115+AN2116,AM2116*v01_KHMaxRatio)</x:f>
        <x:v>0</x:v>
      </x:c>
      <x:c r="AP2116" s="32" t="n">
        <x:f>AP2115+AN2116-AO2116</x:f>
        <x:v>0</x:v>
      </x:c>
      <x:c r="AQ2116" s="32" t="n">
        <x:f>AM2116+AO2116</x:f>
        <x:v>0</x:v>
      </x:c>
      <x:c r="AR2116" s="10" t="n">
        <x:f>IF(H2116=1,INDEX(v01_Req,G2116),0)</x:f>
        <x:v>0</x:v>
      </x:c>
      <x:c r="AS2116" s="32" t="n">
        <x:f>IF(H2116=1,IF(E2116=1,AS2115-AR2115,AS2115)+AQ2116,0)</x:f>
        <x:v>0</x:v>
      </x:c>
      <x:c r="AT2116" s="11" t="n">
        <x:f>IF(AR2116&gt;0,MIN(1,AS2116/AR2116),1)</x:f>
        <x:v>1</x:v>
      </x:c>
      <x:c r="AU2116" s="10" t="n">
        <x:f>AB2116/INDEX(v01_RepScale,G2116)</x:f>
        <x:v>90.09519605746344</x:v>
      </x:c>
      <x:c r="AV2116" s="32" t="n">
        <x:f>AM2116*60/v01_SeasonSeconds</x:f>
        <x:v>0</x:v>
      </x:c>
    </x:row>
    <x:row r="2117">
      <x:c r="A2117" s="8" t="n">
        <x:f>A2116+1</x:f>
        <x:v>2114</x:v>
      </x:c>
      <x:c r="B2117" s="9" t="n">
        <x:f>A2117*v01_SeasonSeconds/60</x:f>
        <x:v>528.5</x:v>
      </x:c>
      <x:c r="C2117" s="9" t="n">
        <x:f>A2117/4</x:f>
        <x:v>528.5</x:v>
      </x:c>
      <x:c r="D2117" s="8" t="n">
        <x:f>IF(MOD(A2117,4)=0,1,0)</x:f>
        <x:v>0</x:v>
      </x:c>
      <x:c r="E2117" s="8" t="n">
        <x:f>IF(AND(F2116&lt;=9,AS2116&gt;=AR2116),1,0)</x:f>
        <x:v>0</x:v>
      </x:c>
      <x:c r="F2117" s="8" t="n">
        <x:f>MIN(10,F2116+E2117)</x:f>
        <x:v>10</x:v>
      </x:c>
      <x:c r="G2117" s="8" t="n">
        <x:f>MIN(F2117,9)+1</x:f>
        <x:v>10</x:v>
      </x:c>
      <x:c r="H2117" s="8" t="n">
        <x:f>IF(F2117&lt;=9,1,0)</x:f>
        <x:v>0</x:v>
      </x:c>
      <x:c r="I2117" s="9" t="n">
        <x:f>MIN(10,F2116+IF(AR2116&gt;0,MIN(1,AS2116/AR2116),1))</x:f>
        <x:v>10</x:v>
      </x:c>
      <x:c r="J2117" s="32" t="n">
        <x:f>INDEX(v01_FoodCap,G2117)*Arch_FoodCap*EXP(v01_CapsByProject*SUMPRODUCT((Cap_Point&lt;=I2117)*(Cap_Kind="Food")*Cap_Ln))</x:f>
        <x:v>12000</x:v>
      </x:c>
      <x:c r="K2117" s="32" t="n">
        <x:f>J2117*MIN(1,v01_LeanBase*EXP(v01_CapsByProject*SUMPRODUCT((Cap_Point&lt;=I2117)*(Cap_Kind="Lean")*Cap_Ln)))</x:f>
        <x:v>12000</x:v>
      </x:c>
      <x:c r="L2117" s="10" t="n">
        <x:f>INDEX(v01_HousingCap,G2117)*EXP(v01_CapsByProject*SUMPRODUCT((Cap_Point&lt;=I2117)*(Cap_Kind="Housing")*Cap_Ln))</x:f>
        <x:v>20000</x:v>
      </x:c>
      <x:c r="M2117" s="10" t="n">
        <x:f>INDEX(v01_GroupCap,G2117)*v01_CohesionFactor*EXP(v01_CapsByProject*SUMPRODUCT((Cap_Point&lt;=I2117)*(Cap_Kind="Group")*Cap_Ln))</x:f>
        <x:v>1000000</x:v>
      </x:c>
      <x:c r="N2117" s="32" t="n">
        <x:f>MIN(J2117,L2117,M2117)</x:f>
        <x:v>12000</x:v>
      </x:c>
      <x:c r="O2117" s="10" t="n">
        <x:f>AE2116*N2117</x:f>
        <x:v>180000</x:v>
      </x:c>
      <x:c r="P2117" s="9" t="n">
        <x:f>MIN(1,(AB2116/(AE2116*IF(v01_GroupInCrowding=1,N2117,MIN(J2117,L2117))))^v01_CrowdingExp)</x:f>
        <x:v>0.00024569414295285325</x:v>
      </x:c>
      <x:c r="Q2117" s="9" t="n">
        <x:f>IF(D2117=1,INDEX(v01_WinterMult,G2117),1)</x:f>
        <x:v>1</x:v>
      </x:c>
      <x:c r="R2117" s="9" t="n">
        <x:f>H2117*Z2116*v01_WomenShare*v01_BaseFertility*INDEX(v01_FertMult,G2117)*Arch_Fertility*(1-P2117)</x:f>
        <x:v>0</x:v>
      </x:c>
      <x:c r="S2117" s="9" t="n">
        <x:f>H2117*Y2116*INDEX(v01_MortChild,G2117)/4*Q2117</x:f>
        <x:v>0</x:v>
      </x:c>
      <x:c r="T2117" s="9" t="n">
        <x:f>H2117*Z2116*INDEX(v01_MortAdult,G2117)*Arch_AdultMort/4*Q2117</x:f>
        <x:v>0</x:v>
      </x:c>
      <x:c r="U2117" s="9" t="n">
        <x:f>H2117*AA2116*INDEX(v01_MortElder,G2117)/4*Q2117</x:f>
        <x:v>0</x:v>
      </x:c>
      <x:c r="V2117" s="9" t="n">
        <x:f>H2117*MAX(0,AB2116-O2117)*v01_OvercapLoss</x:f>
        <x:v>0</x:v>
      </x:c>
      <x:c r="W2117" s="9" t="n">
        <x:f>H2117*Y2116/(v01_ChildYears*4)</x:f>
        <x:v>0</x:v>
      </x:c>
      <x:c r="X2117" s="9" t="n">
        <x:f>H2117*Z2116/(v01_AdultYears*4)</x:f>
        <x:v>0</x:v>
      </x:c>
      <x:c r="Y2117" s="32" t="n">
        <x:f>Y2116+R2117-S2117-W2117-Y2116*V2117/AB2116</x:f>
        <x:v>14306.18539759397</x:v>
      </x:c>
      <x:c r="Z2117" s="32" t="n">
        <x:f>Z2116+W2117-X2117-T2117-Z2116*V2117/AB2116</x:f>
        <x:v>19354.456567879548</x:v>
      </x:c>
      <x:c r="AA2117" s="32" t="n">
        <x:f>AA2116+X2117-U2117-AA2116*V2117/AB2116</x:f>
        <x:v>11386.956063258198</x:v>
      </x:c>
      <x:c r="AB2117" s="10" t="n">
        <x:f>Y2117+Z2117+AA2117</x:f>
        <x:v>45047.59802873172</x:v>
      </x:c>
      <x:c r="AC2117" s="8" t="n">
        <x:f>IF(AND(v01_WinterTrigger=1,D2117=1,AB2116/AE2116&gt;=K2117),1,0)</x:f>
        <x:v>0</x:v>
      </x:c>
      <x:c r="AD2117" s="8" t="n">
        <x:f>H2117*IF(AND(OR(AB2116/AE2116&gt;=v01_FissionTrigger*N2117,AC2117=1),AB2116/AE2116*v01_DaughterShare&gt;=v01_MinDaughter),MAX(1,ROUND(AE2116*v01_FissionRate,0)),0)</x:f>
        <x:v>0</x:v>
      </x:c>
      <x:c r="AE2117" s="8" t="n">
        <x:f>IF(H2117=1,MAX(1,MIN(INDEX(v01_Smax,G2117),AE2116+AD2117)),AE2116)</x:f>
        <x:v>15</x:v>
      </x:c>
      <x:c r="AF2117" s="8" t="n">
        <x:f>MAX(0,AE2117-AE2116)</x:f>
        <x:v>0</x:v>
      </x:c>
      <x:c r="AG2117" s="9" t="str">
        <x:f>IF(AF2117&gt;0,B2117,"")</x:f>
      </x:c>
      <x:c r="AH2117" s="9" t="n">
        <x:f>IF(F2117&gt;=1,1,(1+v01_LowTiesShare*(AE2117-1))/AE2117)</x:f>
        <x:v>1</x:v>
      </x:c>
      <x:c r="AI2117" s="32" t="n">
        <x:f>(Z2117+v01_ElderCommons*INDEX(LM_Elder,G2117)*AA2117)*AH2117</x:f>
        <x:v>64139.732591141874</x:v>
      </x:c>
      <x:c r="AJ2117" s="32" t="n">
        <x:f>H2117*v01_CommonsCoef*AI2117^v01_CommonsExp*INDEX(LM_Commons,G2117)</x:f>
        <x:v>0</x:v>
      </x:c>
      <x:c r="AK2117" s="32" t="n">
        <x:f>H2117*v01_RoleScale*Arch_Roles*(AE2117*(INDEX(v01_ElderRolePerSett,G2117)*v01_OutElder*INDEX(LM_Elder,G2117)+INDEX(v01_ShamanPerSett,G2117)*v01_OutShaman)+Z2117*(INDEX(v01_PriestShare,G2117)*v01_OutPriest+INDEX(v01_ScribeShare,G2117)*v01_OutScribe*INDEX(LM_Scribe,G2117)+INDEX(v01_ScholarShare,G2117)*v01_OutScholar*INDEX(LM_Scholar,G2117)+INDEX(v01_ResearcherShare,G2117)*v01_OutResearcher*INDEX(LM_Researcher,G2117)))</x:f>
        <x:v>0</x:v>
      </x:c>
      <x:c r="AL2117" s="32" t="n">
        <x:f>H2117*v01_RoleScale*Arch_Roles*AE2117*INDEX(v01_MonasteryPerSett,G2117)*v01_OutMonastery*INDEX(LM_Monastery,G2117)</x:f>
        <x:v>0</x:v>
      </x:c>
      <x:c r="AM2117" s="32" t="n">
        <x:f>(AJ2117+AK2117+AL2117)/4*INDEX(LM_All,G2117)*INDEX(v01_Boon,G2117)*Arch_Insight</x:f>
        <x:v>0</x:v>
      </x:c>
      <x:c r="AN2117" s="32" t="n">
        <x:f>H2117*(v01_KHPerAdult*Z2117+v01_KHOfCommons*AJ2117/4*INDEX(LM_All,G2117))*v01_KHUsable*Arch_KH</x:f>
        <x:v>0</x:v>
      </x:c>
      <x:c r="AO2117" s="32" t="n">
        <x:f>MIN(AP2116+AN2117,AM2117*v01_KHMaxRatio)</x:f>
        <x:v>0</x:v>
      </x:c>
      <x:c r="AP2117" s="32" t="n">
        <x:f>AP2116+AN2117-AO2117</x:f>
        <x:v>0</x:v>
      </x:c>
      <x:c r="AQ2117" s="32" t="n">
        <x:f>AM2117+AO2117</x:f>
        <x:v>0</x:v>
      </x:c>
      <x:c r="AR2117" s="10" t="n">
        <x:f>IF(H2117=1,INDEX(v01_Req,G2117),0)</x:f>
        <x:v>0</x:v>
      </x:c>
      <x:c r="AS2117" s="32" t="n">
        <x:f>IF(H2117=1,IF(E2117=1,AS2116-AR2116,AS2116)+AQ2117,0)</x:f>
        <x:v>0</x:v>
      </x:c>
      <x:c r="AT2117" s="11" t="n">
        <x:f>IF(AR2117&gt;0,MIN(1,AS2117/AR2117),1)</x:f>
        <x:v>1</x:v>
      </x:c>
      <x:c r="AU2117" s="10" t="n">
        <x:f>AB2117/INDEX(v01_RepScale,G2117)</x:f>
        <x:v>90.09519605746344</x:v>
      </x:c>
      <x:c r="AV2117" s="32" t="n">
        <x:f>AM2117*60/v01_SeasonSeconds</x:f>
        <x:v>0</x:v>
      </x:c>
    </x:row>
    <x:row r="2118">
      <x:c r="A2118" s="8" t="n">
        <x:f>A2117+1</x:f>
        <x:v>2115</x:v>
      </x:c>
      <x:c r="B2118" s="9" t="n">
        <x:f>A2118*v01_SeasonSeconds/60</x:f>
        <x:v>528.75</x:v>
      </x:c>
      <x:c r="C2118" s="9" t="n">
        <x:f>A2118/4</x:f>
        <x:v>528.75</x:v>
      </x:c>
      <x:c r="D2118" s="8" t="n">
        <x:f>IF(MOD(A2118,4)=0,1,0)</x:f>
        <x:v>0</x:v>
      </x:c>
      <x:c r="E2118" s="8" t="n">
        <x:f>IF(AND(F2117&lt;=9,AS2117&gt;=AR2117),1,0)</x:f>
        <x:v>0</x:v>
      </x:c>
      <x:c r="F2118" s="8" t="n">
        <x:f>MIN(10,F2117+E2118)</x:f>
        <x:v>10</x:v>
      </x:c>
      <x:c r="G2118" s="8" t="n">
        <x:f>MIN(F2118,9)+1</x:f>
        <x:v>10</x:v>
      </x:c>
      <x:c r="H2118" s="8" t="n">
        <x:f>IF(F2118&lt;=9,1,0)</x:f>
        <x:v>0</x:v>
      </x:c>
      <x:c r="I2118" s="9" t="n">
        <x:f>MIN(10,F2117+IF(AR2117&gt;0,MIN(1,AS2117/AR2117),1))</x:f>
        <x:v>10</x:v>
      </x:c>
      <x:c r="J2118" s="32" t="n">
        <x:f>INDEX(v01_FoodCap,G2118)*Arch_FoodCap*EXP(v01_CapsByProject*SUMPRODUCT((Cap_Point&lt;=I2118)*(Cap_Kind="Food")*Cap_Ln))</x:f>
        <x:v>12000</x:v>
      </x:c>
      <x:c r="K2118" s="32" t="n">
        <x:f>J2118*MIN(1,v01_LeanBase*EXP(v01_CapsByProject*SUMPRODUCT((Cap_Point&lt;=I2118)*(Cap_Kind="Lean")*Cap_Ln)))</x:f>
        <x:v>12000</x:v>
      </x:c>
      <x:c r="L2118" s="10" t="n">
        <x:f>INDEX(v01_HousingCap,G2118)*EXP(v01_CapsByProject*SUMPRODUCT((Cap_Point&lt;=I2118)*(Cap_Kind="Housing")*Cap_Ln))</x:f>
        <x:v>20000</x:v>
      </x:c>
      <x:c r="M2118" s="10" t="n">
        <x:f>INDEX(v01_GroupCap,G2118)*v01_CohesionFactor*EXP(v01_CapsByProject*SUMPRODUCT((Cap_Point&lt;=I2118)*(Cap_Kind="Group")*Cap_Ln))</x:f>
        <x:v>1000000</x:v>
      </x:c>
      <x:c r="N2118" s="32" t="n">
        <x:f>MIN(J2118,L2118,M2118)</x:f>
        <x:v>12000</x:v>
      </x:c>
      <x:c r="O2118" s="10" t="n">
        <x:f>AE2117*N2118</x:f>
        <x:v>180000</x:v>
      </x:c>
      <x:c r="P2118" s="9" t="n">
        <x:f>MIN(1,(AB2117/(AE2117*IF(v01_GroupInCrowding=1,N2118,MIN(J2118,L2118))))^v01_CrowdingExp)</x:f>
        <x:v>0.00024569414295285325</x:v>
      </x:c>
      <x:c r="Q2118" s="9" t="n">
        <x:f>IF(D2118=1,INDEX(v01_WinterMult,G2118),1)</x:f>
        <x:v>1</x:v>
      </x:c>
      <x:c r="R2118" s="9" t="n">
        <x:f>H2118*Z2117*v01_WomenShare*v01_BaseFertility*INDEX(v01_FertMult,G2118)*Arch_Fertility*(1-P2118)</x:f>
        <x:v>0</x:v>
      </x:c>
      <x:c r="S2118" s="9" t="n">
        <x:f>H2118*Y2117*INDEX(v01_MortChild,G2118)/4*Q2118</x:f>
        <x:v>0</x:v>
      </x:c>
      <x:c r="T2118" s="9" t="n">
        <x:f>H2118*Z2117*INDEX(v01_MortAdult,G2118)*Arch_AdultMort/4*Q2118</x:f>
        <x:v>0</x:v>
      </x:c>
      <x:c r="U2118" s="9" t="n">
        <x:f>H2118*AA2117*INDEX(v01_MortElder,G2118)/4*Q2118</x:f>
        <x:v>0</x:v>
      </x:c>
      <x:c r="V2118" s="9" t="n">
        <x:f>H2118*MAX(0,AB2117-O2118)*v01_OvercapLoss</x:f>
        <x:v>0</x:v>
      </x:c>
      <x:c r="W2118" s="9" t="n">
        <x:f>H2118*Y2117/(v01_ChildYears*4)</x:f>
        <x:v>0</x:v>
      </x:c>
      <x:c r="X2118" s="9" t="n">
        <x:f>H2118*Z2117/(v01_AdultYears*4)</x:f>
        <x:v>0</x:v>
      </x:c>
      <x:c r="Y2118" s="32" t="n">
        <x:f>Y2117+R2118-S2118-W2118-Y2117*V2118/AB2117</x:f>
        <x:v>14306.18539759397</x:v>
      </x:c>
      <x:c r="Z2118" s="32" t="n">
        <x:f>Z2117+W2118-X2118-T2118-Z2117*V2118/AB2117</x:f>
        <x:v>19354.456567879548</x:v>
      </x:c>
      <x:c r="AA2118" s="32" t="n">
        <x:f>AA2117+X2118-U2118-AA2117*V2118/AB2117</x:f>
        <x:v>11386.956063258198</x:v>
      </x:c>
      <x:c r="AB2118" s="10" t="n">
        <x:f>Y2118+Z2118+AA2118</x:f>
        <x:v>45047.59802873172</x:v>
      </x:c>
      <x:c r="AC2118" s="8" t="n">
        <x:f>IF(AND(v01_WinterTrigger=1,D2118=1,AB2117/AE2117&gt;=K2118),1,0)</x:f>
        <x:v>0</x:v>
      </x:c>
      <x:c r="AD2118" s="8" t="n">
        <x:f>H2118*IF(AND(OR(AB2117/AE2117&gt;=v01_FissionTrigger*N2118,AC2118=1),AB2117/AE2117*v01_DaughterShare&gt;=v01_MinDaughter),MAX(1,ROUND(AE2117*v01_FissionRate,0)),0)</x:f>
        <x:v>0</x:v>
      </x:c>
      <x:c r="AE2118" s="8" t="n">
        <x:f>IF(H2118=1,MAX(1,MIN(INDEX(v01_Smax,G2118),AE2117+AD2118)),AE2117)</x:f>
        <x:v>15</x:v>
      </x:c>
      <x:c r="AF2118" s="8" t="n">
        <x:f>MAX(0,AE2118-AE2117)</x:f>
        <x:v>0</x:v>
      </x:c>
      <x:c r="AG2118" s="9" t="str">
        <x:f>IF(AF2118&gt;0,B2118,"")</x:f>
      </x:c>
      <x:c r="AH2118" s="9" t="n">
        <x:f>IF(F2118&gt;=1,1,(1+v01_LowTiesShare*(AE2118-1))/AE2118)</x:f>
        <x:v>1</x:v>
      </x:c>
      <x:c r="AI2118" s="32" t="n">
        <x:f>(Z2118+v01_ElderCommons*INDEX(LM_Elder,G2118)*AA2118)*AH2118</x:f>
        <x:v>64139.732591141874</x:v>
      </x:c>
      <x:c r="AJ2118" s="32" t="n">
        <x:f>H2118*v01_CommonsCoef*AI2118^v01_CommonsExp*INDEX(LM_Commons,G2118)</x:f>
        <x:v>0</x:v>
      </x:c>
      <x:c r="AK2118" s="32" t="n">
        <x:f>H2118*v01_RoleScale*Arch_Roles*(AE2118*(INDEX(v01_ElderRolePerSett,G2118)*v01_OutElder*INDEX(LM_Elder,G2118)+INDEX(v01_ShamanPerSett,G2118)*v01_OutShaman)+Z2118*(INDEX(v01_PriestShare,G2118)*v01_OutPriest+INDEX(v01_ScribeShare,G2118)*v01_OutScribe*INDEX(LM_Scribe,G2118)+INDEX(v01_ScholarShare,G2118)*v01_OutScholar*INDEX(LM_Scholar,G2118)+INDEX(v01_ResearcherShare,G2118)*v01_OutResearcher*INDEX(LM_Researcher,G2118)))</x:f>
        <x:v>0</x:v>
      </x:c>
      <x:c r="AL2118" s="32" t="n">
        <x:f>H2118*v01_RoleScale*Arch_Roles*AE2118*INDEX(v01_MonasteryPerSett,G2118)*v01_OutMonastery*INDEX(LM_Monastery,G2118)</x:f>
        <x:v>0</x:v>
      </x:c>
      <x:c r="AM2118" s="32" t="n">
        <x:f>(AJ2118+AK2118+AL2118)/4*INDEX(LM_All,G2118)*INDEX(v01_Boon,G2118)*Arch_Insight</x:f>
        <x:v>0</x:v>
      </x:c>
      <x:c r="AN2118" s="32" t="n">
        <x:f>H2118*(v01_KHPerAdult*Z2118+v01_KHOfCommons*AJ2118/4*INDEX(LM_All,G2118))*v01_KHUsable*Arch_KH</x:f>
        <x:v>0</x:v>
      </x:c>
      <x:c r="AO2118" s="32" t="n">
        <x:f>MIN(AP2117+AN2118,AM2118*v01_KHMaxRatio)</x:f>
        <x:v>0</x:v>
      </x:c>
      <x:c r="AP2118" s="32" t="n">
        <x:f>AP2117+AN2118-AO2118</x:f>
        <x:v>0</x:v>
      </x:c>
      <x:c r="AQ2118" s="32" t="n">
        <x:f>AM2118+AO2118</x:f>
        <x:v>0</x:v>
      </x:c>
      <x:c r="AR2118" s="10" t="n">
        <x:f>IF(H2118=1,INDEX(v01_Req,G2118),0)</x:f>
        <x:v>0</x:v>
      </x:c>
      <x:c r="AS2118" s="32" t="n">
        <x:f>IF(H2118=1,IF(E2118=1,AS2117-AR2117,AS2117)+AQ2118,0)</x:f>
        <x:v>0</x:v>
      </x:c>
      <x:c r="AT2118" s="11" t="n">
        <x:f>IF(AR2118&gt;0,MIN(1,AS2118/AR2118),1)</x:f>
        <x:v>1</x:v>
      </x:c>
      <x:c r="AU2118" s="10" t="n">
        <x:f>AB2118/INDEX(v01_RepScale,G2118)</x:f>
        <x:v>90.09519605746344</x:v>
      </x:c>
      <x:c r="AV2118" s="32" t="n">
        <x:f>AM2118*60/v01_SeasonSeconds</x:f>
        <x:v>0</x:v>
      </x:c>
    </x:row>
    <x:row r="2119">
      <x:c r="A2119" s="8" t="n">
        <x:f>A2118+1</x:f>
        <x:v>2116</x:v>
      </x:c>
      <x:c r="B2119" s="9" t="n">
        <x:f>A2119*v01_SeasonSeconds/60</x:f>
        <x:v>529</x:v>
      </x:c>
      <x:c r="C2119" s="9" t="n">
        <x:f>A2119/4</x:f>
        <x:v>529</x:v>
      </x:c>
      <x:c r="D2119" s="8" t="n">
        <x:f>IF(MOD(A2119,4)=0,1,0)</x:f>
        <x:v>1</x:v>
      </x:c>
      <x:c r="E2119" s="8" t="n">
        <x:f>IF(AND(F2118&lt;=9,AS2118&gt;=AR2118),1,0)</x:f>
        <x:v>0</x:v>
      </x:c>
      <x:c r="F2119" s="8" t="n">
        <x:f>MIN(10,F2118+E2119)</x:f>
        <x:v>10</x:v>
      </x:c>
      <x:c r="G2119" s="8" t="n">
        <x:f>MIN(F2119,9)+1</x:f>
        <x:v>10</x:v>
      </x:c>
      <x:c r="H2119" s="8" t="n">
        <x:f>IF(F2119&lt;=9,1,0)</x:f>
        <x:v>0</x:v>
      </x:c>
      <x:c r="I2119" s="9" t="n">
        <x:f>MIN(10,F2118+IF(AR2118&gt;0,MIN(1,AS2118/AR2118),1))</x:f>
        <x:v>10</x:v>
      </x:c>
      <x:c r="J2119" s="32" t="n">
        <x:f>INDEX(v01_FoodCap,G2119)*Arch_FoodCap*EXP(v01_CapsByProject*SUMPRODUCT((Cap_Point&lt;=I2119)*(Cap_Kind="Food")*Cap_Ln))</x:f>
        <x:v>12000</x:v>
      </x:c>
      <x:c r="K2119" s="32" t="n">
        <x:f>J2119*MIN(1,v01_LeanBase*EXP(v01_CapsByProject*SUMPRODUCT((Cap_Point&lt;=I2119)*(Cap_Kind="Lean")*Cap_Ln)))</x:f>
        <x:v>12000</x:v>
      </x:c>
      <x:c r="L2119" s="10" t="n">
        <x:f>INDEX(v01_HousingCap,G2119)*EXP(v01_CapsByProject*SUMPRODUCT((Cap_Point&lt;=I2119)*(Cap_Kind="Housing")*Cap_Ln))</x:f>
        <x:v>20000</x:v>
      </x:c>
      <x:c r="M2119" s="10" t="n">
        <x:f>INDEX(v01_GroupCap,G2119)*v01_CohesionFactor*EXP(v01_CapsByProject*SUMPRODUCT((Cap_Point&lt;=I2119)*(Cap_Kind="Group")*Cap_Ln))</x:f>
        <x:v>1000000</x:v>
      </x:c>
      <x:c r="N2119" s="32" t="n">
        <x:f>MIN(J2119,L2119,M2119)</x:f>
        <x:v>12000</x:v>
      </x:c>
      <x:c r="O2119" s="10" t="n">
        <x:f>AE2118*N2119</x:f>
        <x:v>180000</x:v>
      </x:c>
      <x:c r="P2119" s="9" t="n">
        <x:f>MIN(1,(AB2118/(AE2118*IF(v01_GroupInCrowding=1,N2119,MIN(J2119,L2119))))^v01_CrowdingExp)</x:f>
        <x:v>0.00024569414295285325</x:v>
      </x:c>
      <x:c r="Q2119" s="9" t="n">
        <x:f>IF(D2119=1,INDEX(v01_WinterMult,G2119),1)</x:f>
        <x:v>1</x:v>
      </x:c>
      <x:c r="R2119" s="9" t="n">
        <x:f>H2119*Z2118*v01_WomenShare*v01_BaseFertility*INDEX(v01_FertMult,G2119)*Arch_Fertility*(1-P2119)</x:f>
        <x:v>0</x:v>
      </x:c>
      <x:c r="S2119" s="9" t="n">
        <x:f>H2119*Y2118*INDEX(v01_MortChild,G2119)/4*Q2119</x:f>
        <x:v>0</x:v>
      </x:c>
      <x:c r="T2119" s="9" t="n">
        <x:f>H2119*Z2118*INDEX(v01_MortAdult,G2119)*Arch_AdultMort/4*Q2119</x:f>
        <x:v>0</x:v>
      </x:c>
      <x:c r="U2119" s="9" t="n">
        <x:f>H2119*AA2118*INDEX(v01_MortElder,G2119)/4*Q2119</x:f>
        <x:v>0</x:v>
      </x:c>
      <x:c r="V2119" s="9" t="n">
        <x:f>H2119*MAX(0,AB2118-O2119)*v01_OvercapLoss</x:f>
        <x:v>0</x:v>
      </x:c>
      <x:c r="W2119" s="9" t="n">
        <x:f>H2119*Y2118/(v01_ChildYears*4)</x:f>
        <x:v>0</x:v>
      </x:c>
      <x:c r="X2119" s="9" t="n">
        <x:f>H2119*Z2118/(v01_AdultYears*4)</x:f>
        <x:v>0</x:v>
      </x:c>
      <x:c r="Y2119" s="32" t="n">
        <x:f>Y2118+R2119-S2119-W2119-Y2118*V2119/AB2118</x:f>
        <x:v>14306.18539759397</x:v>
      </x:c>
      <x:c r="Z2119" s="32" t="n">
        <x:f>Z2118+W2119-X2119-T2119-Z2118*V2119/AB2118</x:f>
        <x:v>19354.456567879548</x:v>
      </x:c>
      <x:c r="AA2119" s="32" t="n">
        <x:f>AA2118+X2119-U2119-AA2118*V2119/AB2118</x:f>
        <x:v>11386.956063258198</x:v>
      </x:c>
      <x:c r="AB2119" s="10" t="n">
        <x:f>Y2119+Z2119+AA2119</x:f>
        <x:v>45047.59802873172</x:v>
      </x:c>
      <x:c r="AC2119" s="8" t="n">
        <x:f>IF(AND(v01_WinterTrigger=1,D2119=1,AB2118/AE2118&gt;=K2119),1,0)</x:f>
        <x:v>0</x:v>
      </x:c>
      <x:c r="AD2119" s="8" t="n">
        <x:f>H2119*IF(AND(OR(AB2118/AE2118&gt;=v01_FissionTrigger*N2119,AC2119=1),AB2118/AE2118*v01_DaughterShare&gt;=v01_MinDaughter),MAX(1,ROUND(AE2118*v01_FissionRate,0)),0)</x:f>
        <x:v>0</x:v>
      </x:c>
      <x:c r="AE2119" s="8" t="n">
        <x:f>IF(H2119=1,MAX(1,MIN(INDEX(v01_Smax,G2119),AE2118+AD2119)),AE2118)</x:f>
        <x:v>15</x:v>
      </x:c>
      <x:c r="AF2119" s="8" t="n">
        <x:f>MAX(0,AE2119-AE2118)</x:f>
        <x:v>0</x:v>
      </x:c>
      <x:c r="AG2119" s="9" t="str">
        <x:f>IF(AF2119&gt;0,B2119,"")</x:f>
      </x:c>
      <x:c r="AH2119" s="9" t="n">
        <x:f>IF(F2119&gt;=1,1,(1+v01_LowTiesShare*(AE2119-1))/AE2119)</x:f>
        <x:v>1</x:v>
      </x:c>
      <x:c r="AI2119" s="32" t="n">
        <x:f>(Z2119+v01_ElderCommons*INDEX(LM_Elder,G2119)*AA2119)*AH2119</x:f>
        <x:v>64139.732591141874</x:v>
      </x:c>
      <x:c r="AJ2119" s="32" t="n">
        <x:f>H2119*v01_CommonsCoef*AI2119^v01_CommonsExp*INDEX(LM_Commons,G2119)</x:f>
        <x:v>0</x:v>
      </x:c>
      <x:c r="AK2119" s="32" t="n">
        <x:f>H2119*v01_RoleScale*Arch_Roles*(AE2119*(INDEX(v01_ElderRolePerSett,G2119)*v01_OutElder*INDEX(LM_Elder,G2119)+INDEX(v01_ShamanPerSett,G2119)*v01_OutShaman)+Z2119*(INDEX(v01_PriestShare,G2119)*v01_OutPriest+INDEX(v01_ScribeShare,G2119)*v01_OutScribe*INDEX(LM_Scribe,G2119)+INDEX(v01_ScholarShare,G2119)*v01_OutScholar*INDEX(LM_Scholar,G2119)+INDEX(v01_ResearcherShare,G2119)*v01_OutResearcher*INDEX(LM_Researcher,G2119)))</x:f>
        <x:v>0</x:v>
      </x:c>
      <x:c r="AL2119" s="32" t="n">
        <x:f>H2119*v01_RoleScale*Arch_Roles*AE2119*INDEX(v01_MonasteryPerSett,G2119)*v01_OutMonastery*INDEX(LM_Monastery,G2119)</x:f>
        <x:v>0</x:v>
      </x:c>
      <x:c r="AM2119" s="32" t="n">
        <x:f>(AJ2119+AK2119+AL2119)/4*INDEX(LM_All,G2119)*INDEX(v01_Boon,G2119)*Arch_Insight</x:f>
        <x:v>0</x:v>
      </x:c>
      <x:c r="AN2119" s="32" t="n">
        <x:f>H2119*(v01_KHPerAdult*Z2119+v01_KHOfCommons*AJ2119/4*INDEX(LM_All,G2119))*v01_KHUsable*Arch_KH</x:f>
        <x:v>0</x:v>
      </x:c>
      <x:c r="AO2119" s="32" t="n">
        <x:f>MIN(AP2118+AN2119,AM2119*v01_KHMaxRatio)</x:f>
        <x:v>0</x:v>
      </x:c>
      <x:c r="AP2119" s="32" t="n">
        <x:f>AP2118+AN2119-AO2119</x:f>
        <x:v>0</x:v>
      </x:c>
      <x:c r="AQ2119" s="32" t="n">
        <x:f>AM2119+AO2119</x:f>
        <x:v>0</x:v>
      </x:c>
      <x:c r="AR2119" s="10" t="n">
        <x:f>IF(H2119=1,INDEX(v01_Req,G2119),0)</x:f>
        <x:v>0</x:v>
      </x:c>
      <x:c r="AS2119" s="32" t="n">
        <x:f>IF(H2119=1,IF(E2119=1,AS2118-AR2118,AS2118)+AQ2119,0)</x:f>
        <x:v>0</x:v>
      </x:c>
      <x:c r="AT2119" s="11" t="n">
        <x:f>IF(AR2119&gt;0,MIN(1,AS2119/AR2119),1)</x:f>
        <x:v>1</x:v>
      </x:c>
      <x:c r="AU2119" s="10" t="n">
        <x:f>AB2119/INDEX(v01_RepScale,G2119)</x:f>
        <x:v>90.09519605746344</x:v>
      </x:c>
      <x:c r="AV2119" s="32" t="n">
        <x:f>AM2119*60/v01_SeasonSeconds</x:f>
        <x:v>0</x:v>
      </x:c>
    </x:row>
    <x:row r="2120">
      <x:c r="A2120" s="8" t="n">
        <x:f>A2119+1</x:f>
        <x:v>2117</x:v>
      </x:c>
      <x:c r="B2120" s="9" t="n">
        <x:f>A2120*v01_SeasonSeconds/60</x:f>
        <x:v>529.25</x:v>
      </x:c>
      <x:c r="C2120" s="9" t="n">
        <x:f>A2120/4</x:f>
        <x:v>529.25</x:v>
      </x:c>
      <x:c r="D2120" s="8" t="n">
        <x:f>IF(MOD(A2120,4)=0,1,0)</x:f>
        <x:v>0</x:v>
      </x:c>
      <x:c r="E2120" s="8" t="n">
        <x:f>IF(AND(F2119&lt;=9,AS2119&gt;=AR2119),1,0)</x:f>
        <x:v>0</x:v>
      </x:c>
      <x:c r="F2120" s="8" t="n">
        <x:f>MIN(10,F2119+E2120)</x:f>
        <x:v>10</x:v>
      </x:c>
      <x:c r="G2120" s="8" t="n">
        <x:f>MIN(F2120,9)+1</x:f>
        <x:v>10</x:v>
      </x:c>
      <x:c r="H2120" s="8" t="n">
        <x:f>IF(F2120&lt;=9,1,0)</x:f>
        <x:v>0</x:v>
      </x:c>
      <x:c r="I2120" s="9" t="n">
        <x:f>MIN(10,F2119+IF(AR2119&gt;0,MIN(1,AS2119/AR2119),1))</x:f>
        <x:v>10</x:v>
      </x:c>
      <x:c r="J2120" s="32" t="n">
        <x:f>INDEX(v01_FoodCap,G2120)*Arch_FoodCap*EXP(v01_CapsByProject*SUMPRODUCT((Cap_Point&lt;=I2120)*(Cap_Kind="Food")*Cap_Ln))</x:f>
        <x:v>12000</x:v>
      </x:c>
      <x:c r="K2120" s="32" t="n">
        <x:f>J2120*MIN(1,v01_LeanBase*EXP(v01_CapsByProject*SUMPRODUCT((Cap_Point&lt;=I2120)*(Cap_Kind="Lean")*Cap_Ln)))</x:f>
        <x:v>12000</x:v>
      </x:c>
      <x:c r="L2120" s="10" t="n">
        <x:f>INDEX(v01_HousingCap,G2120)*EXP(v01_CapsByProject*SUMPRODUCT((Cap_Point&lt;=I2120)*(Cap_Kind="Housing")*Cap_Ln))</x:f>
        <x:v>20000</x:v>
      </x:c>
      <x:c r="M2120" s="10" t="n">
        <x:f>INDEX(v01_GroupCap,G2120)*v01_CohesionFactor*EXP(v01_CapsByProject*SUMPRODUCT((Cap_Point&lt;=I2120)*(Cap_Kind="Group")*Cap_Ln))</x:f>
        <x:v>1000000</x:v>
      </x:c>
      <x:c r="N2120" s="32" t="n">
        <x:f>MIN(J2120,L2120,M2120)</x:f>
        <x:v>12000</x:v>
      </x:c>
      <x:c r="O2120" s="10" t="n">
        <x:f>AE2119*N2120</x:f>
        <x:v>180000</x:v>
      </x:c>
      <x:c r="P2120" s="9" t="n">
        <x:f>MIN(1,(AB2119/(AE2119*IF(v01_GroupInCrowding=1,N2120,MIN(J2120,L2120))))^v01_CrowdingExp)</x:f>
        <x:v>0.00024569414295285325</x:v>
      </x:c>
      <x:c r="Q2120" s="9" t="n">
        <x:f>IF(D2120=1,INDEX(v01_WinterMult,G2120),1)</x:f>
        <x:v>1</x:v>
      </x:c>
      <x:c r="R2120" s="9" t="n">
        <x:f>H2120*Z2119*v01_WomenShare*v01_BaseFertility*INDEX(v01_FertMult,G2120)*Arch_Fertility*(1-P2120)</x:f>
        <x:v>0</x:v>
      </x:c>
      <x:c r="S2120" s="9" t="n">
        <x:f>H2120*Y2119*INDEX(v01_MortChild,G2120)/4*Q2120</x:f>
        <x:v>0</x:v>
      </x:c>
      <x:c r="T2120" s="9" t="n">
        <x:f>H2120*Z2119*INDEX(v01_MortAdult,G2120)*Arch_AdultMort/4*Q2120</x:f>
        <x:v>0</x:v>
      </x:c>
      <x:c r="U2120" s="9" t="n">
        <x:f>H2120*AA2119*INDEX(v01_MortElder,G2120)/4*Q2120</x:f>
        <x:v>0</x:v>
      </x:c>
      <x:c r="V2120" s="9" t="n">
        <x:f>H2120*MAX(0,AB2119-O2120)*v01_OvercapLoss</x:f>
        <x:v>0</x:v>
      </x:c>
      <x:c r="W2120" s="9" t="n">
        <x:f>H2120*Y2119/(v01_ChildYears*4)</x:f>
        <x:v>0</x:v>
      </x:c>
      <x:c r="X2120" s="9" t="n">
        <x:f>H2120*Z2119/(v01_AdultYears*4)</x:f>
        <x:v>0</x:v>
      </x:c>
      <x:c r="Y2120" s="32" t="n">
        <x:f>Y2119+R2120-S2120-W2120-Y2119*V2120/AB2119</x:f>
        <x:v>14306.18539759397</x:v>
      </x:c>
      <x:c r="Z2120" s="32" t="n">
        <x:f>Z2119+W2120-X2120-T2120-Z2119*V2120/AB2119</x:f>
        <x:v>19354.456567879548</x:v>
      </x:c>
      <x:c r="AA2120" s="32" t="n">
        <x:f>AA2119+X2120-U2120-AA2119*V2120/AB2119</x:f>
        <x:v>11386.956063258198</x:v>
      </x:c>
      <x:c r="AB2120" s="10" t="n">
        <x:f>Y2120+Z2120+AA2120</x:f>
        <x:v>45047.59802873172</x:v>
      </x:c>
      <x:c r="AC2120" s="8" t="n">
        <x:f>IF(AND(v01_WinterTrigger=1,D2120=1,AB2119/AE2119&gt;=K2120),1,0)</x:f>
        <x:v>0</x:v>
      </x:c>
      <x:c r="AD2120" s="8" t="n">
        <x:f>H2120*IF(AND(OR(AB2119/AE2119&gt;=v01_FissionTrigger*N2120,AC2120=1),AB2119/AE2119*v01_DaughterShare&gt;=v01_MinDaughter),MAX(1,ROUND(AE2119*v01_FissionRate,0)),0)</x:f>
        <x:v>0</x:v>
      </x:c>
      <x:c r="AE2120" s="8" t="n">
        <x:f>IF(H2120=1,MAX(1,MIN(INDEX(v01_Smax,G2120),AE2119+AD2120)),AE2119)</x:f>
        <x:v>15</x:v>
      </x:c>
      <x:c r="AF2120" s="8" t="n">
        <x:f>MAX(0,AE2120-AE2119)</x:f>
        <x:v>0</x:v>
      </x:c>
      <x:c r="AG2120" s="9" t="str">
        <x:f>IF(AF2120&gt;0,B2120,"")</x:f>
      </x:c>
      <x:c r="AH2120" s="9" t="n">
        <x:f>IF(F2120&gt;=1,1,(1+v01_LowTiesShare*(AE2120-1))/AE2120)</x:f>
        <x:v>1</x:v>
      </x:c>
      <x:c r="AI2120" s="32" t="n">
        <x:f>(Z2120+v01_ElderCommons*INDEX(LM_Elder,G2120)*AA2120)*AH2120</x:f>
        <x:v>64139.732591141874</x:v>
      </x:c>
      <x:c r="AJ2120" s="32" t="n">
        <x:f>H2120*v01_CommonsCoef*AI2120^v01_CommonsExp*INDEX(LM_Commons,G2120)</x:f>
        <x:v>0</x:v>
      </x:c>
      <x:c r="AK2120" s="32" t="n">
        <x:f>H2120*v01_RoleScale*Arch_Roles*(AE2120*(INDEX(v01_ElderRolePerSett,G2120)*v01_OutElder*INDEX(LM_Elder,G2120)+INDEX(v01_ShamanPerSett,G2120)*v01_OutShaman)+Z2120*(INDEX(v01_PriestShare,G2120)*v01_OutPriest+INDEX(v01_ScribeShare,G2120)*v01_OutScribe*INDEX(LM_Scribe,G2120)+INDEX(v01_ScholarShare,G2120)*v01_OutScholar*INDEX(LM_Scholar,G2120)+INDEX(v01_ResearcherShare,G2120)*v01_OutResearcher*INDEX(LM_Researcher,G2120)))</x:f>
        <x:v>0</x:v>
      </x:c>
      <x:c r="AL2120" s="32" t="n">
        <x:f>H2120*v01_RoleScale*Arch_Roles*AE2120*INDEX(v01_MonasteryPerSett,G2120)*v01_OutMonastery*INDEX(LM_Monastery,G2120)</x:f>
        <x:v>0</x:v>
      </x:c>
      <x:c r="AM2120" s="32" t="n">
        <x:f>(AJ2120+AK2120+AL2120)/4*INDEX(LM_All,G2120)*INDEX(v01_Boon,G2120)*Arch_Insight</x:f>
        <x:v>0</x:v>
      </x:c>
      <x:c r="AN2120" s="32" t="n">
        <x:f>H2120*(v01_KHPerAdult*Z2120+v01_KHOfCommons*AJ2120/4*INDEX(LM_All,G2120))*v01_KHUsable*Arch_KH</x:f>
        <x:v>0</x:v>
      </x:c>
      <x:c r="AO2120" s="32" t="n">
        <x:f>MIN(AP2119+AN2120,AM2120*v01_KHMaxRatio)</x:f>
        <x:v>0</x:v>
      </x:c>
      <x:c r="AP2120" s="32" t="n">
        <x:f>AP2119+AN2120-AO2120</x:f>
        <x:v>0</x:v>
      </x:c>
      <x:c r="AQ2120" s="32" t="n">
        <x:f>AM2120+AO2120</x:f>
        <x:v>0</x:v>
      </x:c>
      <x:c r="AR2120" s="10" t="n">
        <x:f>IF(H2120=1,INDEX(v01_Req,G2120),0)</x:f>
        <x:v>0</x:v>
      </x:c>
      <x:c r="AS2120" s="32" t="n">
        <x:f>IF(H2120=1,IF(E2120=1,AS2119-AR2119,AS2119)+AQ2120,0)</x:f>
        <x:v>0</x:v>
      </x:c>
      <x:c r="AT2120" s="11" t="n">
        <x:f>IF(AR2120&gt;0,MIN(1,AS2120/AR2120),1)</x:f>
        <x:v>1</x:v>
      </x:c>
      <x:c r="AU2120" s="10" t="n">
        <x:f>AB2120/INDEX(v01_RepScale,G2120)</x:f>
        <x:v>90.09519605746344</x:v>
      </x:c>
      <x:c r="AV2120" s="32" t="n">
        <x:f>AM2120*60/v01_SeasonSeconds</x:f>
        <x:v>0</x:v>
      </x:c>
    </x:row>
    <x:row r="2121">
      <x:c r="A2121" s="8" t="n">
        <x:f>A2120+1</x:f>
        <x:v>2118</x:v>
      </x:c>
      <x:c r="B2121" s="9" t="n">
        <x:f>A2121*v01_SeasonSeconds/60</x:f>
        <x:v>529.5</x:v>
      </x:c>
      <x:c r="C2121" s="9" t="n">
        <x:f>A2121/4</x:f>
        <x:v>529.5</x:v>
      </x:c>
      <x:c r="D2121" s="8" t="n">
        <x:f>IF(MOD(A2121,4)=0,1,0)</x:f>
        <x:v>0</x:v>
      </x:c>
      <x:c r="E2121" s="8" t="n">
        <x:f>IF(AND(F2120&lt;=9,AS2120&gt;=AR2120),1,0)</x:f>
        <x:v>0</x:v>
      </x:c>
      <x:c r="F2121" s="8" t="n">
        <x:f>MIN(10,F2120+E2121)</x:f>
        <x:v>10</x:v>
      </x:c>
      <x:c r="G2121" s="8" t="n">
        <x:f>MIN(F2121,9)+1</x:f>
        <x:v>10</x:v>
      </x:c>
      <x:c r="H2121" s="8" t="n">
        <x:f>IF(F2121&lt;=9,1,0)</x:f>
        <x:v>0</x:v>
      </x:c>
      <x:c r="I2121" s="9" t="n">
        <x:f>MIN(10,F2120+IF(AR2120&gt;0,MIN(1,AS2120/AR2120),1))</x:f>
        <x:v>10</x:v>
      </x:c>
      <x:c r="J2121" s="32" t="n">
        <x:f>INDEX(v01_FoodCap,G2121)*Arch_FoodCap*EXP(v01_CapsByProject*SUMPRODUCT((Cap_Point&lt;=I2121)*(Cap_Kind="Food")*Cap_Ln))</x:f>
        <x:v>12000</x:v>
      </x:c>
      <x:c r="K2121" s="32" t="n">
        <x:f>J2121*MIN(1,v01_LeanBase*EXP(v01_CapsByProject*SUMPRODUCT((Cap_Point&lt;=I2121)*(Cap_Kind="Lean")*Cap_Ln)))</x:f>
        <x:v>12000</x:v>
      </x:c>
      <x:c r="L2121" s="10" t="n">
        <x:f>INDEX(v01_HousingCap,G2121)*EXP(v01_CapsByProject*SUMPRODUCT((Cap_Point&lt;=I2121)*(Cap_Kind="Housing")*Cap_Ln))</x:f>
        <x:v>20000</x:v>
      </x:c>
      <x:c r="M2121" s="10" t="n">
        <x:f>INDEX(v01_GroupCap,G2121)*v01_CohesionFactor*EXP(v01_CapsByProject*SUMPRODUCT((Cap_Point&lt;=I2121)*(Cap_Kind="Group")*Cap_Ln))</x:f>
        <x:v>1000000</x:v>
      </x:c>
      <x:c r="N2121" s="32" t="n">
        <x:f>MIN(J2121,L2121,M2121)</x:f>
        <x:v>12000</x:v>
      </x:c>
      <x:c r="O2121" s="10" t="n">
        <x:f>AE2120*N2121</x:f>
        <x:v>180000</x:v>
      </x:c>
      <x:c r="P2121" s="9" t="n">
        <x:f>MIN(1,(AB2120/(AE2120*IF(v01_GroupInCrowding=1,N2121,MIN(J2121,L2121))))^v01_CrowdingExp)</x:f>
        <x:v>0.00024569414295285325</x:v>
      </x:c>
      <x:c r="Q2121" s="9" t="n">
        <x:f>IF(D2121=1,INDEX(v01_WinterMult,G2121),1)</x:f>
        <x:v>1</x:v>
      </x:c>
      <x:c r="R2121" s="9" t="n">
        <x:f>H2121*Z2120*v01_WomenShare*v01_BaseFertility*INDEX(v01_FertMult,G2121)*Arch_Fertility*(1-P2121)</x:f>
        <x:v>0</x:v>
      </x:c>
      <x:c r="S2121" s="9" t="n">
        <x:f>H2121*Y2120*INDEX(v01_MortChild,G2121)/4*Q2121</x:f>
        <x:v>0</x:v>
      </x:c>
      <x:c r="T2121" s="9" t="n">
        <x:f>H2121*Z2120*INDEX(v01_MortAdult,G2121)*Arch_AdultMort/4*Q2121</x:f>
        <x:v>0</x:v>
      </x:c>
      <x:c r="U2121" s="9" t="n">
        <x:f>H2121*AA2120*INDEX(v01_MortElder,G2121)/4*Q2121</x:f>
        <x:v>0</x:v>
      </x:c>
      <x:c r="V2121" s="9" t="n">
        <x:f>H2121*MAX(0,AB2120-O2121)*v01_OvercapLoss</x:f>
        <x:v>0</x:v>
      </x:c>
      <x:c r="W2121" s="9" t="n">
        <x:f>H2121*Y2120/(v01_ChildYears*4)</x:f>
        <x:v>0</x:v>
      </x:c>
      <x:c r="X2121" s="9" t="n">
        <x:f>H2121*Z2120/(v01_AdultYears*4)</x:f>
        <x:v>0</x:v>
      </x:c>
      <x:c r="Y2121" s="32" t="n">
        <x:f>Y2120+R2121-S2121-W2121-Y2120*V2121/AB2120</x:f>
        <x:v>14306.18539759397</x:v>
      </x:c>
      <x:c r="Z2121" s="32" t="n">
        <x:f>Z2120+W2121-X2121-T2121-Z2120*V2121/AB2120</x:f>
        <x:v>19354.456567879548</x:v>
      </x:c>
      <x:c r="AA2121" s="32" t="n">
        <x:f>AA2120+X2121-U2121-AA2120*V2121/AB2120</x:f>
        <x:v>11386.956063258198</x:v>
      </x:c>
      <x:c r="AB2121" s="10" t="n">
        <x:f>Y2121+Z2121+AA2121</x:f>
        <x:v>45047.59802873172</x:v>
      </x:c>
      <x:c r="AC2121" s="8" t="n">
        <x:f>IF(AND(v01_WinterTrigger=1,D2121=1,AB2120/AE2120&gt;=K2121),1,0)</x:f>
        <x:v>0</x:v>
      </x:c>
      <x:c r="AD2121" s="8" t="n">
        <x:f>H2121*IF(AND(OR(AB2120/AE2120&gt;=v01_FissionTrigger*N2121,AC2121=1),AB2120/AE2120*v01_DaughterShare&gt;=v01_MinDaughter),MAX(1,ROUND(AE2120*v01_FissionRate,0)),0)</x:f>
        <x:v>0</x:v>
      </x:c>
      <x:c r="AE2121" s="8" t="n">
        <x:f>IF(H2121=1,MAX(1,MIN(INDEX(v01_Smax,G2121),AE2120+AD2121)),AE2120)</x:f>
        <x:v>15</x:v>
      </x:c>
      <x:c r="AF2121" s="8" t="n">
        <x:f>MAX(0,AE2121-AE2120)</x:f>
        <x:v>0</x:v>
      </x:c>
      <x:c r="AG2121" s="9" t="str">
        <x:f>IF(AF2121&gt;0,B2121,"")</x:f>
      </x:c>
      <x:c r="AH2121" s="9" t="n">
        <x:f>IF(F2121&gt;=1,1,(1+v01_LowTiesShare*(AE2121-1))/AE2121)</x:f>
        <x:v>1</x:v>
      </x:c>
      <x:c r="AI2121" s="32" t="n">
        <x:f>(Z2121+v01_ElderCommons*INDEX(LM_Elder,G2121)*AA2121)*AH2121</x:f>
        <x:v>64139.732591141874</x:v>
      </x:c>
      <x:c r="AJ2121" s="32" t="n">
        <x:f>H2121*v01_CommonsCoef*AI2121^v01_CommonsExp*INDEX(LM_Commons,G2121)</x:f>
        <x:v>0</x:v>
      </x:c>
      <x:c r="AK2121" s="32" t="n">
        <x:f>H2121*v01_RoleScale*Arch_Roles*(AE2121*(INDEX(v01_ElderRolePerSett,G2121)*v01_OutElder*INDEX(LM_Elder,G2121)+INDEX(v01_ShamanPerSett,G2121)*v01_OutShaman)+Z2121*(INDEX(v01_PriestShare,G2121)*v01_OutPriest+INDEX(v01_ScribeShare,G2121)*v01_OutScribe*INDEX(LM_Scribe,G2121)+INDEX(v01_ScholarShare,G2121)*v01_OutScholar*INDEX(LM_Scholar,G2121)+INDEX(v01_ResearcherShare,G2121)*v01_OutResearcher*INDEX(LM_Researcher,G2121)))</x:f>
        <x:v>0</x:v>
      </x:c>
      <x:c r="AL2121" s="32" t="n">
        <x:f>H2121*v01_RoleScale*Arch_Roles*AE2121*INDEX(v01_MonasteryPerSett,G2121)*v01_OutMonastery*INDEX(LM_Monastery,G2121)</x:f>
        <x:v>0</x:v>
      </x:c>
      <x:c r="AM2121" s="32" t="n">
        <x:f>(AJ2121+AK2121+AL2121)/4*INDEX(LM_All,G2121)*INDEX(v01_Boon,G2121)*Arch_Insight</x:f>
        <x:v>0</x:v>
      </x:c>
      <x:c r="AN2121" s="32" t="n">
        <x:f>H2121*(v01_KHPerAdult*Z2121+v01_KHOfCommons*AJ2121/4*INDEX(LM_All,G2121))*v01_KHUsable*Arch_KH</x:f>
        <x:v>0</x:v>
      </x:c>
      <x:c r="AO2121" s="32" t="n">
        <x:f>MIN(AP2120+AN2121,AM2121*v01_KHMaxRatio)</x:f>
        <x:v>0</x:v>
      </x:c>
      <x:c r="AP2121" s="32" t="n">
        <x:f>AP2120+AN2121-AO2121</x:f>
        <x:v>0</x:v>
      </x:c>
      <x:c r="AQ2121" s="32" t="n">
        <x:f>AM2121+AO2121</x:f>
        <x:v>0</x:v>
      </x:c>
      <x:c r="AR2121" s="10" t="n">
        <x:f>IF(H2121=1,INDEX(v01_Req,G2121),0)</x:f>
        <x:v>0</x:v>
      </x:c>
      <x:c r="AS2121" s="32" t="n">
        <x:f>IF(H2121=1,IF(E2121=1,AS2120-AR2120,AS2120)+AQ2121,0)</x:f>
        <x:v>0</x:v>
      </x:c>
      <x:c r="AT2121" s="11" t="n">
        <x:f>IF(AR2121&gt;0,MIN(1,AS2121/AR2121),1)</x:f>
        <x:v>1</x:v>
      </x:c>
      <x:c r="AU2121" s="10" t="n">
        <x:f>AB2121/INDEX(v01_RepScale,G2121)</x:f>
        <x:v>90.09519605746344</x:v>
      </x:c>
      <x:c r="AV2121" s="32" t="n">
        <x:f>AM2121*60/v01_SeasonSeconds</x:f>
        <x:v>0</x:v>
      </x:c>
    </x:row>
    <x:row r="2122">
      <x:c r="A2122" s="8" t="n">
        <x:f>A2121+1</x:f>
        <x:v>2119</x:v>
      </x:c>
      <x:c r="B2122" s="9" t="n">
        <x:f>A2122*v01_SeasonSeconds/60</x:f>
        <x:v>529.75</x:v>
      </x:c>
      <x:c r="C2122" s="9" t="n">
        <x:f>A2122/4</x:f>
        <x:v>529.75</x:v>
      </x:c>
      <x:c r="D2122" s="8" t="n">
        <x:f>IF(MOD(A2122,4)=0,1,0)</x:f>
        <x:v>0</x:v>
      </x:c>
      <x:c r="E2122" s="8" t="n">
        <x:f>IF(AND(F2121&lt;=9,AS2121&gt;=AR2121),1,0)</x:f>
        <x:v>0</x:v>
      </x:c>
      <x:c r="F2122" s="8" t="n">
        <x:f>MIN(10,F2121+E2122)</x:f>
        <x:v>10</x:v>
      </x:c>
      <x:c r="G2122" s="8" t="n">
        <x:f>MIN(F2122,9)+1</x:f>
        <x:v>10</x:v>
      </x:c>
      <x:c r="H2122" s="8" t="n">
        <x:f>IF(F2122&lt;=9,1,0)</x:f>
        <x:v>0</x:v>
      </x:c>
      <x:c r="I2122" s="9" t="n">
        <x:f>MIN(10,F2121+IF(AR2121&gt;0,MIN(1,AS2121/AR2121),1))</x:f>
        <x:v>10</x:v>
      </x:c>
      <x:c r="J2122" s="32" t="n">
        <x:f>INDEX(v01_FoodCap,G2122)*Arch_FoodCap*EXP(v01_CapsByProject*SUMPRODUCT((Cap_Point&lt;=I2122)*(Cap_Kind="Food")*Cap_Ln))</x:f>
        <x:v>12000</x:v>
      </x:c>
      <x:c r="K2122" s="32" t="n">
        <x:f>J2122*MIN(1,v01_LeanBase*EXP(v01_CapsByProject*SUMPRODUCT((Cap_Point&lt;=I2122)*(Cap_Kind="Lean")*Cap_Ln)))</x:f>
        <x:v>12000</x:v>
      </x:c>
      <x:c r="L2122" s="10" t="n">
        <x:f>INDEX(v01_HousingCap,G2122)*EXP(v01_CapsByProject*SUMPRODUCT((Cap_Point&lt;=I2122)*(Cap_Kind="Housing")*Cap_Ln))</x:f>
        <x:v>20000</x:v>
      </x:c>
      <x:c r="M2122" s="10" t="n">
        <x:f>INDEX(v01_GroupCap,G2122)*v01_CohesionFactor*EXP(v01_CapsByProject*SUMPRODUCT((Cap_Point&lt;=I2122)*(Cap_Kind="Group")*Cap_Ln))</x:f>
        <x:v>1000000</x:v>
      </x:c>
      <x:c r="N2122" s="32" t="n">
        <x:f>MIN(J2122,L2122,M2122)</x:f>
        <x:v>12000</x:v>
      </x:c>
      <x:c r="O2122" s="10" t="n">
        <x:f>AE2121*N2122</x:f>
        <x:v>180000</x:v>
      </x:c>
      <x:c r="P2122" s="9" t="n">
        <x:f>MIN(1,(AB2121/(AE2121*IF(v01_GroupInCrowding=1,N2122,MIN(J2122,L2122))))^v01_CrowdingExp)</x:f>
        <x:v>0.00024569414295285325</x:v>
      </x:c>
      <x:c r="Q2122" s="9" t="n">
        <x:f>IF(D2122=1,INDEX(v01_WinterMult,G2122),1)</x:f>
        <x:v>1</x:v>
      </x:c>
      <x:c r="R2122" s="9" t="n">
        <x:f>H2122*Z2121*v01_WomenShare*v01_BaseFertility*INDEX(v01_FertMult,G2122)*Arch_Fertility*(1-P2122)</x:f>
        <x:v>0</x:v>
      </x:c>
      <x:c r="S2122" s="9" t="n">
        <x:f>H2122*Y2121*INDEX(v01_MortChild,G2122)/4*Q2122</x:f>
        <x:v>0</x:v>
      </x:c>
      <x:c r="T2122" s="9" t="n">
        <x:f>H2122*Z2121*INDEX(v01_MortAdult,G2122)*Arch_AdultMort/4*Q2122</x:f>
        <x:v>0</x:v>
      </x:c>
      <x:c r="U2122" s="9" t="n">
        <x:f>H2122*AA2121*INDEX(v01_MortElder,G2122)/4*Q2122</x:f>
        <x:v>0</x:v>
      </x:c>
      <x:c r="V2122" s="9" t="n">
        <x:f>H2122*MAX(0,AB2121-O2122)*v01_OvercapLoss</x:f>
        <x:v>0</x:v>
      </x:c>
      <x:c r="W2122" s="9" t="n">
        <x:f>H2122*Y2121/(v01_ChildYears*4)</x:f>
        <x:v>0</x:v>
      </x:c>
      <x:c r="X2122" s="9" t="n">
        <x:f>H2122*Z2121/(v01_AdultYears*4)</x:f>
        <x:v>0</x:v>
      </x:c>
      <x:c r="Y2122" s="32" t="n">
        <x:f>Y2121+R2122-S2122-W2122-Y2121*V2122/AB2121</x:f>
        <x:v>14306.18539759397</x:v>
      </x:c>
      <x:c r="Z2122" s="32" t="n">
        <x:f>Z2121+W2122-X2122-T2122-Z2121*V2122/AB2121</x:f>
        <x:v>19354.456567879548</x:v>
      </x:c>
      <x:c r="AA2122" s="32" t="n">
        <x:f>AA2121+X2122-U2122-AA2121*V2122/AB2121</x:f>
        <x:v>11386.956063258198</x:v>
      </x:c>
      <x:c r="AB2122" s="10" t="n">
        <x:f>Y2122+Z2122+AA2122</x:f>
        <x:v>45047.59802873172</x:v>
      </x:c>
      <x:c r="AC2122" s="8" t="n">
        <x:f>IF(AND(v01_WinterTrigger=1,D2122=1,AB2121/AE2121&gt;=K2122),1,0)</x:f>
        <x:v>0</x:v>
      </x:c>
      <x:c r="AD2122" s="8" t="n">
        <x:f>H2122*IF(AND(OR(AB2121/AE2121&gt;=v01_FissionTrigger*N2122,AC2122=1),AB2121/AE2121*v01_DaughterShare&gt;=v01_MinDaughter),MAX(1,ROUND(AE2121*v01_FissionRate,0)),0)</x:f>
        <x:v>0</x:v>
      </x:c>
      <x:c r="AE2122" s="8" t="n">
        <x:f>IF(H2122=1,MAX(1,MIN(INDEX(v01_Smax,G2122),AE2121+AD2122)),AE2121)</x:f>
        <x:v>15</x:v>
      </x:c>
      <x:c r="AF2122" s="8" t="n">
        <x:f>MAX(0,AE2122-AE2121)</x:f>
        <x:v>0</x:v>
      </x:c>
      <x:c r="AG2122" s="9" t="str">
        <x:f>IF(AF2122&gt;0,B2122,"")</x:f>
      </x:c>
      <x:c r="AH2122" s="9" t="n">
        <x:f>IF(F2122&gt;=1,1,(1+v01_LowTiesShare*(AE2122-1))/AE2122)</x:f>
        <x:v>1</x:v>
      </x:c>
      <x:c r="AI2122" s="32" t="n">
        <x:f>(Z2122+v01_ElderCommons*INDEX(LM_Elder,G2122)*AA2122)*AH2122</x:f>
        <x:v>64139.732591141874</x:v>
      </x:c>
      <x:c r="AJ2122" s="32" t="n">
        <x:f>H2122*v01_CommonsCoef*AI2122^v01_CommonsExp*INDEX(LM_Commons,G2122)</x:f>
        <x:v>0</x:v>
      </x:c>
      <x:c r="AK2122" s="32" t="n">
        <x:f>H2122*v01_RoleScale*Arch_Roles*(AE2122*(INDEX(v01_ElderRolePerSett,G2122)*v01_OutElder*INDEX(LM_Elder,G2122)+INDEX(v01_ShamanPerSett,G2122)*v01_OutShaman)+Z2122*(INDEX(v01_PriestShare,G2122)*v01_OutPriest+INDEX(v01_ScribeShare,G2122)*v01_OutScribe*INDEX(LM_Scribe,G2122)+INDEX(v01_ScholarShare,G2122)*v01_OutScholar*INDEX(LM_Scholar,G2122)+INDEX(v01_ResearcherShare,G2122)*v01_OutResearcher*INDEX(LM_Researcher,G2122)))</x:f>
        <x:v>0</x:v>
      </x:c>
      <x:c r="AL2122" s="32" t="n">
        <x:f>H2122*v01_RoleScale*Arch_Roles*AE2122*INDEX(v01_MonasteryPerSett,G2122)*v01_OutMonastery*INDEX(LM_Monastery,G2122)</x:f>
        <x:v>0</x:v>
      </x:c>
      <x:c r="AM2122" s="32" t="n">
        <x:f>(AJ2122+AK2122+AL2122)/4*INDEX(LM_All,G2122)*INDEX(v01_Boon,G2122)*Arch_Insight</x:f>
        <x:v>0</x:v>
      </x:c>
      <x:c r="AN2122" s="32" t="n">
        <x:f>H2122*(v01_KHPerAdult*Z2122+v01_KHOfCommons*AJ2122/4*INDEX(LM_All,G2122))*v01_KHUsable*Arch_KH</x:f>
        <x:v>0</x:v>
      </x:c>
      <x:c r="AO2122" s="32" t="n">
        <x:f>MIN(AP2121+AN2122,AM2122*v01_KHMaxRatio)</x:f>
        <x:v>0</x:v>
      </x:c>
      <x:c r="AP2122" s="32" t="n">
        <x:f>AP2121+AN2122-AO2122</x:f>
        <x:v>0</x:v>
      </x:c>
      <x:c r="AQ2122" s="32" t="n">
        <x:f>AM2122+AO2122</x:f>
        <x:v>0</x:v>
      </x:c>
      <x:c r="AR2122" s="10" t="n">
        <x:f>IF(H2122=1,INDEX(v01_Req,G2122),0)</x:f>
        <x:v>0</x:v>
      </x:c>
      <x:c r="AS2122" s="32" t="n">
        <x:f>IF(H2122=1,IF(E2122=1,AS2121-AR2121,AS2121)+AQ2122,0)</x:f>
        <x:v>0</x:v>
      </x:c>
      <x:c r="AT2122" s="11" t="n">
        <x:f>IF(AR2122&gt;0,MIN(1,AS2122/AR2122),1)</x:f>
        <x:v>1</x:v>
      </x:c>
      <x:c r="AU2122" s="10" t="n">
        <x:f>AB2122/INDEX(v01_RepScale,G2122)</x:f>
        <x:v>90.09519605746344</x:v>
      </x:c>
      <x:c r="AV2122" s="32" t="n">
        <x:f>AM2122*60/v01_SeasonSeconds</x:f>
        <x:v>0</x:v>
      </x:c>
    </x:row>
    <x:row r="2123">
      <x:c r="A2123" s="8" t="n">
        <x:f>A2122+1</x:f>
        <x:v>2120</x:v>
      </x:c>
      <x:c r="B2123" s="9" t="n">
        <x:f>A2123*v01_SeasonSeconds/60</x:f>
        <x:v>530</x:v>
      </x:c>
      <x:c r="C2123" s="9" t="n">
        <x:f>A2123/4</x:f>
        <x:v>530</x:v>
      </x:c>
      <x:c r="D2123" s="8" t="n">
        <x:f>IF(MOD(A2123,4)=0,1,0)</x:f>
        <x:v>1</x:v>
      </x:c>
      <x:c r="E2123" s="8" t="n">
        <x:f>IF(AND(F2122&lt;=9,AS2122&gt;=AR2122),1,0)</x:f>
        <x:v>0</x:v>
      </x:c>
      <x:c r="F2123" s="8" t="n">
        <x:f>MIN(10,F2122+E2123)</x:f>
        <x:v>10</x:v>
      </x:c>
      <x:c r="G2123" s="8" t="n">
        <x:f>MIN(F2123,9)+1</x:f>
        <x:v>10</x:v>
      </x:c>
      <x:c r="H2123" s="8" t="n">
        <x:f>IF(F2123&lt;=9,1,0)</x:f>
        <x:v>0</x:v>
      </x:c>
      <x:c r="I2123" s="9" t="n">
        <x:f>MIN(10,F2122+IF(AR2122&gt;0,MIN(1,AS2122/AR2122),1))</x:f>
        <x:v>10</x:v>
      </x:c>
      <x:c r="J2123" s="32" t="n">
        <x:f>INDEX(v01_FoodCap,G2123)*Arch_FoodCap*EXP(v01_CapsByProject*SUMPRODUCT((Cap_Point&lt;=I2123)*(Cap_Kind="Food")*Cap_Ln))</x:f>
        <x:v>12000</x:v>
      </x:c>
      <x:c r="K2123" s="32" t="n">
        <x:f>J2123*MIN(1,v01_LeanBase*EXP(v01_CapsByProject*SUMPRODUCT((Cap_Point&lt;=I2123)*(Cap_Kind="Lean")*Cap_Ln)))</x:f>
        <x:v>12000</x:v>
      </x:c>
      <x:c r="L2123" s="10" t="n">
        <x:f>INDEX(v01_HousingCap,G2123)*EXP(v01_CapsByProject*SUMPRODUCT((Cap_Point&lt;=I2123)*(Cap_Kind="Housing")*Cap_Ln))</x:f>
        <x:v>20000</x:v>
      </x:c>
      <x:c r="M2123" s="10" t="n">
        <x:f>INDEX(v01_GroupCap,G2123)*v01_CohesionFactor*EXP(v01_CapsByProject*SUMPRODUCT((Cap_Point&lt;=I2123)*(Cap_Kind="Group")*Cap_Ln))</x:f>
        <x:v>1000000</x:v>
      </x:c>
      <x:c r="N2123" s="32" t="n">
        <x:f>MIN(J2123,L2123,M2123)</x:f>
        <x:v>12000</x:v>
      </x:c>
      <x:c r="O2123" s="10" t="n">
        <x:f>AE2122*N2123</x:f>
        <x:v>180000</x:v>
      </x:c>
      <x:c r="P2123" s="9" t="n">
        <x:f>MIN(1,(AB2122/(AE2122*IF(v01_GroupInCrowding=1,N2123,MIN(J2123,L2123))))^v01_CrowdingExp)</x:f>
        <x:v>0.00024569414295285325</x:v>
      </x:c>
      <x:c r="Q2123" s="9" t="n">
        <x:f>IF(D2123=1,INDEX(v01_WinterMult,G2123),1)</x:f>
        <x:v>1</x:v>
      </x:c>
      <x:c r="R2123" s="9" t="n">
        <x:f>H2123*Z2122*v01_WomenShare*v01_BaseFertility*INDEX(v01_FertMult,G2123)*Arch_Fertility*(1-P2123)</x:f>
        <x:v>0</x:v>
      </x:c>
      <x:c r="S2123" s="9" t="n">
        <x:f>H2123*Y2122*INDEX(v01_MortChild,G2123)/4*Q2123</x:f>
        <x:v>0</x:v>
      </x:c>
      <x:c r="T2123" s="9" t="n">
        <x:f>H2123*Z2122*INDEX(v01_MortAdult,G2123)*Arch_AdultMort/4*Q2123</x:f>
        <x:v>0</x:v>
      </x:c>
      <x:c r="U2123" s="9" t="n">
        <x:f>H2123*AA2122*INDEX(v01_MortElder,G2123)/4*Q2123</x:f>
        <x:v>0</x:v>
      </x:c>
      <x:c r="V2123" s="9" t="n">
        <x:f>H2123*MAX(0,AB2122-O2123)*v01_OvercapLoss</x:f>
        <x:v>0</x:v>
      </x:c>
      <x:c r="W2123" s="9" t="n">
        <x:f>H2123*Y2122/(v01_ChildYears*4)</x:f>
        <x:v>0</x:v>
      </x:c>
      <x:c r="X2123" s="9" t="n">
        <x:f>H2123*Z2122/(v01_AdultYears*4)</x:f>
        <x:v>0</x:v>
      </x:c>
      <x:c r="Y2123" s="32" t="n">
        <x:f>Y2122+R2123-S2123-W2123-Y2122*V2123/AB2122</x:f>
        <x:v>14306.18539759397</x:v>
      </x:c>
      <x:c r="Z2123" s="32" t="n">
        <x:f>Z2122+W2123-X2123-T2123-Z2122*V2123/AB2122</x:f>
        <x:v>19354.456567879548</x:v>
      </x:c>
      <x:c r="AA2123" s="32" t="n">
        <x:f>AA2122+X2123-U2123-AA2122*V2123/AB2122</x:f>
        <x:v>11386.956063258198</x:v>
      </x:c>
      <x:c r="AB2123" s="10" t="n">
        <x:f>Y2123+Z2123+AA2123</x:f>
        <x:v>45047.59802873172</x:v>
      </x:c>
      <x:c r="AC2123" s="8" t="n">
        <x:f>IF(AND(v01_WinterTrigger=1,D2123=1,AB2122/AE2122&gt;=K2123),1,0)</x:f>
        <x:v>0</x:v>
      </x:c>
      <x:c r="AD2123" s="8" t="n">
        <x:f>H2123*IF(AND(OR(AB2122/AE2122&gt;=v01_FissionTrigger*N2123,AC2123=1),AB2122/AE2122*v01_DaughterShare&gt;=v01_MinDaughter),MAX(1,ROUND(AE2122*v01_FissionRate,0)),0)</x:f>
        <x:v>0</x:v>
      </x:c>
      <x:c r="AE2123" s="8" t="n">
        <x:f>IF(H2123=1,MAX(1,MIN(INDEX(v01_Smax,G2123),AE2122+AD2123)),AE2122)</x:f>
        <x:v>15</x:v>
      </x:c>
      <x:c r="AF2123" s="8" t="n">
        <x:f>MAX(0,AE2123-AE2122)</x:f>
        <x:v>0</x:v>
      </x:c>
      <x:c r="AG2123" s="9" t="str">
        <x:f>IF(AF2123&gt;0,B2123,"")</x:f>
      </x:c>
      <x:c r="AH2123" s="9" t="n">
        <x:f>IF(F2123&gt;=1,1,(1+v01_LowTiesShare*(AE2123-1))/AE2123)</x:f>
        <x:v>1</x:v>
      </x:c>
      <x:c r="AI2123" s="32" t="n">
        <x:f>(Z2123+v01_ElderCommons*INDEX(LM_Elder,G2123)*AA2123)*AH2123</x:f>
        <x:v>64139.732591141874</x:v>
      </x:c>
      <x:c r="AJ2123" s="32" t="n">
        <x:f>H2123*v01_CommonsCoef*AI2123^v01_CommonsExp*INDEX(LM_Commons,G2123)</x:f>
        <x:v>0</x:v>
      </x:c>
      <x:c r="AK2123" s="32" t="n">
        <x:f>H2123*v01_RoleScale*Arch_Roles*(AE2123*(INDEX(v01_ElderRolePerSett,G2123)*v01_OutElder*INDEX(LM_Elder,G2123)+INDEX(v01_ShamanPerSett,G2123)*v01_OutShaman)+Z2123*(INDEX(v01_PriestShare,G2123)*v01_OutPriest+INDEX(v01_ScribeShare,G2123)*v01_OutScribe*INDEX(LM_Scribe,G2123)+INDEX(v01_ScholarShare,G2123)*v01_OutScholar*INDEX(LM_Scholar,G2123)+INDEX(v01_ResearcherShare,G2123)*v01_OutResearcher*INDEX(LM_Researcher,G2123)))</x:f>
        <x:v>0</x:v>
      </x:c>
      <x:c r="AL2123" s="32" t="n">
        <x:f>H2123*v01_RoleScale*Arch_Roles*AE2123*INDEX(v01_MonasteryPerSett,G2123)*v01_OutMonastery*INDEX(LM_Monastery,G2123)</x:f>
        <x:v>0</x:v>
      </x:c>
      <x:c r="AM2123" s="32" t="n">
        <x:f>(AJ2123+AK2123+AL2123)/4*INDEX(LM_All,G2123)*INDEX(v01_Boon,G2123)*Arch_Insight</x:f>
        <x:v>0</x:v>
      </x:c>
      <x:c r="AN2123" s="32" t="n">
        <x:f>H2123*(v01_KHPerAdult*Z2123+v01_KHOfCommons*AJ2123/4*INDEX(LM_All,G2123))*v01_KHUsable*Arch_KH</x:f>
        <x:v>0</x:v>
      </x:c>
      <x:c r="AO2123" s="32" t="n">
        <x:f>MIN(AP2122+AN2123,AM2123*v01_KHMaxRatio)</x:f>
        <x:v>0</x:v>
      </x:c>
      <x:c r="AP2123" s="32" t="n">
        <x:f>AP2122+AN2123-AO2123</x:f>
        <x:v>0</x:v>
      </x:c>
      <x:c r="AQ2123" s="32" t="n">
        <x:f>AM2123+AO2123</x:f>
        <x:v>0</x:v>
      </x:c>
      <x:c r="AR2123" s="10" t="n">
        <x:f>IF(H2123=1,INDEX(v01_Req,G2123),0)</x:f>
        <x:v>0</x:v>
      </x:c>
      <x:c r="AS2123" s="32" t="n">
        <x:f>IF(H2123=1,IF(E2123=1,AS2122-AR2122,AS2122)+AQ2123,0)</x:f>
        <x:v>0</x:v>
      </x:c>
      <x:c r="AT2123" s="11" t="n">
        <x:f>IF(AR2123&gt;0,MIN(1,AS2123/AR2123),1)</x:f>
        <x:v>1</x:v>
      </x:c>
      <x:c r="AU2123" s="10" t="n">
        <x:f>AB2123/INDEX(v01_RepScale,G2123)</x:f>
        <x:v>90.09519605746344</x:v>
      </x:c>
      <x:c r="AV2123" s="32" t="n">
        <x:f>AM2123*60/v01_SeasonSeconds</x:f>
        <x:v>0</x:v>
      </x:c>
    </x:row>
    <x:row r="2124">
      <x:c r="A2124" s="8" t="n">
        <x:f>A2123+1</x:f>
        <x:v>2121</x:v>
      </x:c>
      <x:c r="B2124" s="9" t="n">
        <x:f>A2124*v01_SeasonSeconds/60</x:f>
        <x:v>530.25</x:v>
      </x:c>
      <x:c r="C2124" s="9" t="n">
        <x:f>A2124/4</x:f>
        <x:v>530.25</x:v>
      </x:c>
      <x:c r="D2124" s="8" t="n">
        <x:f>IF(MOD(A2124,4)=0,1,0)</x:f>
        <x:v>0</x:v>
      </x:c>
      <x:c r="E2124" s="8" t="n">
        <x:f>IF(AND(F2123&lt;=9,AS2123&gt;=AR2123),1,0)</x:f>
        <x:v>0</x:v>
      </x:c>
      <x:c r="F2124" s="8" t="n">
        <x:f>MIN(10,F2123+E2124)</x:f>
        <x:v>10</x:v>
      </x:c>
      <x:c r="G2124" s="8" t="n">
        <x:f>MIN(F2124,9)+1</x:f>
        <x:v>10</x:v>
      </x:c>
      <x:c r="H2124" s="8" t="n">
        <x:f>IF(F2124&lt;=9,1,0)</x:f>
        <x:v>0</x:v>
      </x:c>
      <x:c r="I2124" s="9" t="n">
        <x:f>MIN(10,F2123+IF(AR2123&gt;0,MIN(1,AS2123/AR2123),1))</x:f>
        <x:v>10</x:v>
      </x:c>
      <x:c r="J2124" s="32" t="n">
        <x:f>INDEX(v01_FoodCap,G2124)*Arch_FoodCap*EXP(v01_CapsByProject*SUMPRODUCT((Cap_Point&lt;=I2124)*(Cap_Kind="Food")*Cap_Ln))</x:f>
        <x:v>12000</x:v>
      </x:c>
      <x:c r="K2124" s="32" t="n">
        <x:f>J2124*MIN(1,v01_LeanBase*EXP(v01_CapsByProject*SUMPRODUCT((Cap_Point&lt;=I2124)*(Cap_Kind="Lean")*Cap_Ln)))</x:f>
        <x:v>12000</x:v>
      </x:c>
      <x:c r="L2124" s="10" t="n">
        <x:f>INDEX(v01_HousingCap,G2124)*EXP(v01_CapsByProject*SUMPRODUCT((Cap_Point&lt;=I2124)*(Cap_Kind="Housing")*Cap_Ln))</x:f>
        <x:v>20000</x:v>
      </x:c>
      <x:c r="M2124" s="10" t="n">
        <x:f>INDEX(v01_GroupCap,G2124)*v01_CohesionFactor*EXP(v01_CapsByProject*SUMPRODUCT((Cap_Point&lt;=I2124)*(Cap_Kind="Group")*Cap_Ln))</x:f>
        <x:v>1000000</x:v>
      </x:c>
      <x:c r="N2124" s="32" t="n">
        <x:f>MIN(J2124,L2124,M2124)</x:f>
        <x:v>12000</x:v>
      </x:c>
      <x:c r="O2124" s="10" t="n">
        <x:f>AE2123*N2124</x:f>
        <x:v>180000</x:v>
      </x:c>
      <x:c r="P2124" s="9" t="n">
        <x:f>MIN(1,(AB2123/(AE2123*IF(v01_GroupInCrowding=1,N2124,MIN(J2124,L2124))))^v01_CrowdingExp)</x:f>
        <x:v>0.00024569414295285325</x:v>
      </x:c>
      <x:c r="Q2124" s="9" t="n">
        <x:f>IF(D2124=1,INDEX(v01_WinterMult,G2124),1)</x:f>
        <x:v>1</x:v>
      </x:c>
      <x:c r="R2124" s="9" t="n">
        <x:f>H2124*Z2123*v01_WomenShare*v01_BaseFertility*INDEX(v01_FertMult,G2124)*Arch_Fertility*(1-P2124)</x:f>
        <x:v>0</x:v>
      </x:c>
      <x:c r="S2124" s="9" t="n">
        <x:f>H2124*Y2123*INDEX(v01_MortChild,G2124)/4*Q2124</x:f>
        <x:v>0</x:v>
      </x:c>
      <x:c r="T2124" s="9" t="n">
        <x:f>H2124*Z2123*INDEX(v01_MortAdult,G2124)*Arch_AdultMort/4*Q2124</x:f>
        <x:v>0</x:v>
      </x:c>
      <x:c r="U2124" s="9" t="n">
        <x:f>H2124*AA2123*INDEX(v01_MortElder,G2124)/4*Q2124</x:f>
        <x:v>0</x:v>
      </x:c>
      <x:c r="V2124" s="9" t="n">
        <x:f>H2124*MAX(0,AB2123-O2124)*v01_OvercapLoss</x:f>
        <x:v>0</x:v>
      </x:c>
      <x:c r="W2124" s="9" t="n">
        <x:f>H2124*Y2123/(v01_ChildYears*4)</x:f>
        <x:v>0</x:v>
      </x:c>
      <x:c r="X2124" s="9" t="n">
        <x:f>H2124*Z2123/(v01_AdultYears*4)</x:f>
        <x:v>0</x:v>
      </x:c>
      <x:c r="Y2124" s="32" t="n">
        <x:f>Y2123+R2124-S2124-W2124-Y2123*V2124/AB2123</x:f>
        <x:v>14306.18539759397</x:v>
      </x:c>
      <x:c r="Z2124" s="32" t="n">
        <x:f>Z2123+W2124-X2124-T2124-Z2123*V2124/AB2123</x:f>
        <x:v>19354.456567879548</x:v>
      </x:c>
      <x:c r="AA2124" s="32" t="n">
        <x:f>AA2123+X2124-U2124-AA2123*V2124/AB2123</x:f>
        <x:v>11386.956063258198</x:v>
      </x:c>
      <x:c r="AB2124" s="10" t="n">
        <x:f>Y2124+Z2124+AA2124</x:f>
        <x:v>45047.59802873172</x:v>
      </x:c>
      <x:c r="AC2124" s="8" t="n">
        <x:f>IF(AND(v01_WinterTrigger=1,D2124=1,AB2123/AE2123&gt;=K2124),1,0)</x:f>
        <x:v>0</x:v>
      </x:c>
      <x:c r="AD2124" s="8" t="n">
        <x:f>H2124*IF(AND(OR(AB2123/AE2123&gt;=v01_FissionTrigger*N2124,AC2124=1),AB2123/AE2123*v01_DaughterShare&gt;=v01_MinDaughter),MAX(1,ROUND(AE2123*v01_FissionRate,0)),0)</x:f>
        <x:v>0</x:v>
      </x:c>
      <x:c r="AE2124" s="8" t="n">
        <x:f>IF(H2124=1,MAX(1,MIN(INDEX(v01_Smax,G2124),AE2123+AD2124)),AE2123)</x:f>
        <x:v>15</x:v>
      </x:c>
      <x:c r="AF2124" s="8" t="n">
        <x:f>MAX(0,AE2124-AE2123)</x:f>
        <x:v>0</x:v>
      </x:c>
      <x:c r="AG2124" s="9" t="str">
        <x:f>IF(AF2124&gt;0,B2124,"")</x:f>
      </x:c>
      <x:c r="AH2124" s="9" t="n">
        <x:f>IF(F2124&gt;=1,1,(1+v01_LowTiesShare*(AE2124-1))/AE2124)</x:f>
        <x:v>1</x:v>
      </x:c>
      <x:c r="AI2124" s="32" t="n">
        <x:f>(Z2124+v01_ElderCommons*INDEX(LM_Elder,G2124)*AA2124)*AH2124</x:f>
        <x:v>64139.732591141874</x:v>
      </x:c>
      <x:c r="AJ2124" s="32" t="n">
        <x:f>H2124*v01_CommonsCoef*AI2124^v01_CommonsExp*INDEX(LM_Commons,G2124)</x:f>
        <x:v>0</x:v>
      </x:c>
      <x:c r="AK2124" s="32" t="n">
        <x:f>H2124*v01_RoleScale*Arch_Roles*(AE2124*(INDEX(v01_ElderRolePerSett,G2124)*v01_OutElder*INDEX(LM_Elder,G2124)+INDEX(v01_ShamanPerSett,G2124)*v01_OutShaman)+Z2124*(INDEX(v01_PriestShare,G2124)*v01_OutPriest+INDEX(v01_ScribeShare,G2124)*v01_OutScribe*INDEX(LM_Scribe,G2124)+INDEX(v01_ScholarShare,G2124)*v01_OutScholar*INDEX(LM_Scholar,G2124)+INDEX(v01_ResearcherShare,G2124)*v01_OutResearcher*INDEX(LM_Researcher,G2124)))</x:f>
        <x:v>0</x:v>
      </x:c>
      <x:c r="AL2124" s="32" t="n">
        <x:f>H2124*v01_RoleScale*Arch_Roles*AE2124*INDEX(v01_MonasteryPerSett,G2124)*v01_OutMonastery*INDEX(LM_Monastery,G2124)</x:f>
        <x:v>0</x:v>
      </x:c>
      <x:c r="AM2124" s="32" t="n">
        <x:f>(AJ2124+AK2124+AL2124)/4*INDEX(LM_All,G2124)*INDEX(v01_Boon,G2124)*Arch_Insight</x:f>
        <x:v>0</x:v>
      </x:c>
      <x:c r="AN2124" s="32" t="n">
        <x:f>H2124*(v01_KHPerAdult*Z2124+v01_KHOfCommons*AJ2124/4*INDEX(LM_All,G2124))*v01_KHUsable*Arch_KH</x:f>
        <x:v>0</x:v>
      </x:c>
      <x:c r="AO2124" s="32" t="n">
        <x:f>MIN(AP2123+AN2124,AM2124*v01_KHMaxRatio)</x:f>
        <x:v>0</x:v>
      </x:c>
      <x:c r="AP2124" s="32" t="n">
        <x:f>AP2123+AN2124-AO2124</x:f>
        <x:v>0</x:v>
      </x:c>
      <x:c r="AQ2124" s="32" t="n">
        <x:f>AM2124+AO2124</x:f>
        <x:v>0</x:v>
      </x:c>
      <x:c r="AR2124" s="10" t="n">
        <x:f>IF(H2124=1,INDEX(v01_Req,G2124),0)</x:f>
        <x:v>0</x:v>
      </x:c>
      <x:c r="AS2124" s="32" t="n">
        <x:f>IF(H2124=1,IF(E2124=1,AS2123-AR2123,AS2123)+AQ2124,0)</x:f>
        <x:v>0</x:v>
      </x:c>
      <x:c r="AT2124" s="11" t="n">
        <x:f>IF(AR2124&gt;0,MIN(1,AS2124/AR2124),1)</x:f>
        <x:v>1</x:v>
      </x:c>
      <x:c r="AU2124" s="10" t="n">
        <x:f>AB2124/INDEX(v01_RepScale,G2124)</x:f>
        <x:v>90.09519605746344</x:v>
      </x:c>
      <x:c r="AV2124" s="32" t="n">
        <x:f>AM2124*60/v01_SeasonSeconds</x:f>
        <x:v>0</x:v>
      </x:c>
    </x:row>
    <x:row r="2125">
      <x:c r="A2125" s="8" t="n">
        <x:f>A2124+1</x:f>
        <x:v>2122</x:v>
      </x:c>
      <x:c r="B2125" s="9" t="n">
        <x:f>A2125*v01_SeasonSeconds/60</x:f>
        <x:v>530.5</x:v>
      </x:c>
      <x:c r="C2125" s="9" t="n">
        <x:f>A2125/4</x:f>
        <x:v>530.5</x:v>
      </x:c>
      <x:c r="D2125" s="8" t="n">
        <x:f>IF(MOD(A2125,4)=0,1,0)</x:f>
        <x:v>0</x:v>
      </x:c>
      <x:c r="E2125" s="8" t="n">
        <x:f>IF(AND(F2124&lt;=9,AS2124&gt;=AR2124),1,0)</x:f>
        <x:v>0</x:v>
      </x:c>
      <x:c r="F2125" s="8" t="n">
        <x:f>MIN(10,F2124+E2125)</x:f>
        <x:v>10</x:v>
      </x:c>
      <x:c r="G2125" s="8" t="n">
        <x:f>MIN(F2125,9)+1</x:f>
        <x:v>10</x:v>
      </x:c>
      <x:c r="H2125" s="8" t="n">
        <x:f>IF(F2125&lt;=9,1,0)</x:f>
        <x:v>0</x:v>
      </x:c>
      <x:c r="I2125" s="9" t="n">
        <x:f>MIN(10,F2124+IF(AR2124&gt;0,MIN(1,AS2124/AR2124),1))</x:f>
        <x:v>10</x:v>
      </x:c>
      <x:c r="J2125" s="32" t="n">
        <x:f>INDEX(v01_FoodCap,G2125)*Arch_FoodCap*EXP(v01_CapsByProject*SUMPRODUCT((Cap_Point&lt;=I2125)*(Cap_Kind="Food")*Cap_Ln))</x:f>
        <x:v>12000</x:v>
      </x:c>
      <x:c r="K2125" s="32" t="n">
        <x:f>J2125*MIN(1,v01_LeanBase*EXP(v01_CapsByProject*SUMPRODUCT((Cap_Point&lt;=I2125)*(Cap_Kind="Lean")*Cap_Ln)))</x:f>
        <x:v>12000</x:v>
      </x:c>
      <x:c r="L2125" s="10" t="n">
        <x:f>INDEX(v01_HousingCap,G2125)*EXP(v01_CapsByProject*SUMPRODUCT((Cap_Point&lt;=I2125)*(Cap_Kind="Housing")*Cap_Ln))</x:f>
        <x:v>20000</x:v>
      </x:c>
      <x:c r="M2125" s="10" t="n">
        <x:f>INDEX(v01_GroupCap,G2125)*v01_CohesionFactor*EXP(v01_CapsByProject*SUMPRODUCT((Cap_Point&lt;=I2125)*(Cap_Kind="Group")*Cap_Ln))</x:f>
        <x:v>1000000</x:v>
      </x:c>
      <x:c r="N2125" s="32" t="n">
        <x:f>MIN(J2125,L2125,M2125)</x:f>
        <x:v>12000</x:v>
      </x:c>
      <x:c r="O2125" s="10" t="n">
        <x:f>AE2124*N2125</x:f>
        <x:v>180000</x:v>
      </x:c>
      <x:c r="P2125" s="9" t="n">
        <x:f>MIN(1,(AB2124/(AE2124*IF(v01_GroupInCrowding=1,N2125,MIN(J2125,L2125))))^v01_CrowdingExp)</x:f>
        <x:v>0.00024569414295285325</x:v>
      </x:c>
      <x:c r="Q2125" s="9" t="n">
        <x:f>IF(D2125=1,INDEX(v01_WinterMult,G2125),1)</x:f>
        <x:v>1</x:v>
      </x:c>
      <x:c r="R2125" s="9" t="n">
        <x:f>H2125*Z2124*v01_WomenShare*v01_BaseFertility*INDEX(v01_FertMult,G2125)*Arch_Fertility*(1-P2125)</x:f>
        <x:v>0</x:v>
      </x:c>
      <x:c r="S2125" s="9" t="n">
        <x:f>H2125*Y2124*INDEX(v01_MortChild,G2125)/4*Q2125</x:f>
        <x:v>0</x:v>
      </x:c>
      <x:c r="T2125" s="9" t="n">
        <x:f>H2125*Z2124*INDEX(v01_MortAdult,G2125)*Arch_AdultMort/4*Q2125</x:f>
        <x:v>0</x:v>
      </x:c>
      <x:c r="U2125" s="9" t="n">
        <x:f>H2125*AA2124*INDEX(v01_MortElder,G2125)/4*Q2125</x:f>
        <x:v>0</x:v>
      </x:c>
      <x:c r="V2125" s="9" t="n">
        <x:f>H2125*MAX(0,AB2124-O2125)*v01_OvercapLoss</x:f>
        <x:v>0</x:v>
      </x:c>
      <x:c r="W2125" s="9" t="n">
        <x:f>H2125*Y2124/(v01_ChildYears*4)</x:f>
        <x:v>0</x:v>
      </x:c>
      <x:c r="X2125" s="9" t="n">
        <x:f>H2125*Z2124/(v01_AdultYears*4)</x:f>
        <x:v>0</x:v>
      </x:c>
      <x:c r="Y2125" s="32" t="n">
        <x:f>Y2124+R2125-S2125-W2125-Y2124*V2125/AB2124</x:f>
        <x:v>14306.18539759397</x:v>
      </x:c>
      <x:c r="Z2125" s="32" t="n">
        <x:f>Z2124+W2125-X2125-T2125-Z2124*V2125/AB2124</x:f>
        <x:v>19354.456567879548</x:v>
      </x:c>
      <x:c r="AA2125" s="32" t="n">
        <x:f>AA2124+X2125-U2125-AA2124*V2125/AB2124</x:f>
        <x:v>11386.956063258198</x:v>
      </x:c>
      <x:c r="AB2125" s="10" t="n">
        <x:f>Y2125+Z2125+AA2125</x:f>
        <x:v>45047.59802873172</x:v>
      </x:c>
      <x:c r="AC2125" s="8" t="n">
        <x:f>IF(AND(v01_WinterTrigger=1,D2125=1,AB2124/AE2124&gt;=K2125),1,0)</x:f>
        <x:v>0</x:v>
      </x:c>
      <x:c r="AD2125" s="8" t="n">
        <x:f>H2125*IF(AND(OR(AB2124/AE2124&gt;=v01_FissionTrigger*N2125,AC2125=1),AB2124/AE2124*v01_DaughterShare&gt;=v01_MinDaughter),MAX(1,ROUND(AE2124*v01_FissionRate,0)),0)</x:f>
        <x:v>0</x:v>
      </x:c>
      <x:c r="AE2125" s="8" t="n">
        <x:f>IF(H2125=1,MAX(1,MIN(INDEX(v01_Smax,G2125),AE2124+AD2125)),AE2124)</x:f>
        <x:v>15</x:v>
      </x:c>
      <x:c r="AF2125" s="8" t="n">
        <x:f>MAX(0,AE2125-AE2124)</x:f>
        <x:v>0</x:v>
      </x:c>
      <x:c r="AG2125" s="9" t="str">
        <x:f>IF(AF2125&gt;0,B2125,"")</x:f>
      </x:c>
      <x:c r="AH2125" s="9" t="n">
        <x:f>IF(F2125&gt;=1,1,(1+v01_LowTiesShare*(AE2125-1))/AE2125)</x:f>
        <x:v>1</x:v>
      </x:c>
      <x:c r="AI2125" s="32" t="n">
        <x:f>(Z2125+v01_ElderCommons*INDEX(LM_Elder,G2125)*AA2125)*AH2125</x:f>
        <x:v>64139.732591141874</x:v>
      </x:c>
      <x:c r="AJ2125" s="32" t="n">
        <x:f>H2125*v01_CommonsCoef*AI2125^v01_CommonsExp*INDEX(LM_Commons,G2125)</x:f>
        <x:v>0</x:v>
      </x:c>
      <x:c r="AK2125" s="32" t="n">
        <x:f>H2125*v01_RoleScale*Arch_Roles*(AE2125*(INDEX(v01_ElderRolePerSett,G2125)*v01_OutElder*INDEX(LM_Elder,G2125)+INDEX(v01_ShamanPerSett,G2125)*v01_OutShaman)+Z2125*(INDEX(v01_PriestShare,G2125)*v01_OutPriest+INDEX(v01_ScribeShare,G2125)*v01_OutScribe*INDEX(LM_Scribe,G2125)+INDEX(v01_ScholarShare,G2125)*v01_OutScholar*INDEX(LM_Scholar,G2125)+INDEX(v01_ResearcherShare,G2125)*v01_OutResearcher*INDEX(LM_Researcher,G2125)))</x:f>
        <x:v>0</x:v>
      </x:c>
      <x:c r="AL2125" s="32" t="n">
        <x:f>H2125*v01_RoleScale*Arch_Roles*AE2125*INDEX(v01_MonasteryPerSett,G2125)*v01_OutMonastery*INDEX(LM_Monastery,G2125)</x:f>
        <x:v>0</x:v>
      </x:c>
      <x:c r="AM2125" s="32" t="n">
        <x:f>(AJ2125+AK2125+AL2125)/4*INDEX(LM_All,G2125)*INDEX(v01_Boon,G2125)*Arch_Insight</x:f>
        <x:v>0</x:v>
      </x:c>
      <x:c r="AN2125" s="32" t="n">
        <x:f>H2125*(v01_KHPerAdult*Z2125+v01_KHOfCommons*AJ2125/4*INDEX(LM_All,G2125))*v01_KHUsable*Arch_KH</x:f>
        <x:v>0</x:v>
      </x:c>
      <x:c r="AO2125" s="32" t="n">
        <x:f>MIN(AP2124+AN2125,AM2125*v01_KHMaxRatio)</x:f>
        <x:v>0</x:v>
      </x:c>
      <x:c r="AP2125" s="32" t="n">
        <x:f>AP2124+AN2125-AO2125</x:f>
        <x:v>0</x:v>
      </x:c>
      <x:c r="AQ2125" s="32" t="n">
        <x:f>AM2125+AO2125</x:f>
        <x:v>0</x:v>
      </x:c>
      <x:c r="AR2125" s="10" t="n">
        <x:f>IF(H2125=1,INDEX(v01_Req,G2125),0)</x:f>
        <x:v>0</x:v>
      </x:c>
      <x:c r="AS2125" s="32" t="n">
        <x:f>IF(H2125=1,IF(E2125=1,AS2124-AR2124,AS2124)+AQ2125,0)</x:f>
        <x:v>0</x:v>
      </x:c>
      <x:c r="AT2125" s="11" t="n">
        <x:f>IF(AR2125&gt;0,MIN(1,AS2125/AR2125),1)</x:f>
        <x:v>1</x:v>
      </x:c>
      <x:c r="AU2125" s="10" t="n">
        <x:f>AB2125/INDEX(v01_RepScale,G2125)</x:f>
        <x:v>90.09519605746344</x:v>
      </x:c>
      <x:c r="AV2125" s="32" t="n">
        <x:f>AM2125*60/v01_SeasonSeconds</x:f>
        <x:v>0</x:v>
      </x:c>
    </x:row>
    <x:row r="2126">
      <x:c r="A2126" s="8" t="n">
        <x:f>A2125+1</x:f>
        <x:v>2123</x:v>
      </x:c>
      <x:c r="B2126" s="9" t="n">
        <x:f>A2126*v01_SeasonSeconds/60</x:f>
        <x:v>530.75</x:v>
      </x:c>
      <x:c r="C2126" s="9" t="n">
        <x:f>A2126/4</x:f>
        <x:v>530.75</x:v>
      </x:c>
      <x:c r="D2126" s="8" t="n">
        <x:f>IF(MOD(A2126,4)=0,1,0)</x:f>
        <x:v>0</x:v>
      </x:c>
      <x:c r="E2126" s="8" t="n">
        <x:f>IF(AND(F2125&lt;=9,AS2125&gt;=AR2125),1,0)</x:f>
        <x:v>0</x:v>
      </x:c>
      <x:c r="F2126" s="8" t="n">
        <x:f>MIN(10,F2125+E2126)</x:f>
        <x:v>10</x:v>
      </x:c>
      <x:c r="G2126" s="8" t="n">
        <x:f>MIN(F2126,9)+1</x:f>
        <x:v>10</x:v>
      </x:c>
      <x:c r="H2126" s="8" t="n">
        <x:f>IF(F2126&lt;=9,1,0)</x:f>
        <x:v>0</x:v>
      </x:c>
      <x:c r="I2126" s="9" t="n">
        <x:f>MIN(10,F2125+IF(AR2125&gt;0,MIN(1,AS2125/AR2125),1))</x:f>
        <x:v>10</x:v>
      </x:c>
      <x:c r="J2126" s="32" t="n">
        <x:f>INDEX(v01_FoodCap,G2126)*Arch_FoodCap*EXP(v01_CapsByProject*SUMPRODUCT((Cap_Point&lt;=I2126)*(Cap_Kind="Food")*Cap_Ln))</x:f>
        <x:v>12000</x:v>
      </x:c>
      <x:c r="K2126" s="32" t="n">
        <x:f>J2126*MIN(1,v01_LeanBase*EXP(v01_CapsByProject*SUMPRODUCT((Cap_Point&lt;=I2126)*(Cap_Kind="Lean")*Cap_Ln)))</x:f>
        <x:v>12000</x:v>
      </x:c>
      <x:c r="L2126" s="10" t="n">
        <x:f>INDEX(v01_HousingCap,G2126)*EXP(v01_CapsByProject*SUMPRODUCT((Cap_Point&lt;=I2126)*(Cap_Kind="Housing")*Cap_Ln))</x:f>
        <x:v>20000</x:v>
      </x:c>
      <x:c r="M2126" s="10" t="n">
        <x:f>INDEX(v01_GroupCap,G2126)*v01_CohesionFactor*EXP(v01_CapsByProject*SUMPRODUCT((Cap_Point&lt;=I2126)*(Cap_Kind="Group")*Cap_Ln))</x:f>
        <x:v>1000000</x:v>
      </x:c>
      <x:c r="N2126" s="32" t="n">
        <x:f>MIN(J2126,L2126,M2126)</x:f>
        <x:v>12000</x:v>
      </x:c>
      <x:c r="O2126" s="10" t="n">
        <x:f>AE2125*N2126</x:f>
        <x:v>180000</x:v>
      </x:c>
      <x:c r="P2126" s="9" t="n">
        <x:f>MIN(1,(AB2125/(AE2125*IF(v01_GroupInCrowding=1,N2126,MIN(J2126,L2126))))^v01_CrowdingExp)</x:f>
        <x:v>0.00024569414295285325</x:v>
      </x:c>
      <x:c r="Q2126" s="9" t="n">
        <x:f>IF(D2126=1,INDEX(v01_WinterMult,G2126),1)</x:f>
        <x:v>1</x:v>
      </x:c>
      <x:c r="R2126" s="9" t="n">
        <x:f>H2126*Z2125*v01_WomenShare*v01_BaseFertility*INDEX(v01_FertMult,G2126)*Arch_Fertility*(1-P2126)</x:f>
        <x:v>0</x:v>
      </x:c>
      <x:c r="S2126" s="9" t="n">
        <x:f>H2126*Y2125*INDEX(v01_MortChild,G2126)/4*Q2126</x:f>
        <x:v>0</x:v>
      </x:c>
      <x:c r="T2126" s="9" t="n">
        <x:f>H2126*Z2125*INDEX(v01_MortAdult,G2126)*Arch_AdultMort/4*Q2126</x:f>
        <x:v>0</x:v>
      </x:c>
      <x:c r="U2126" s="9" t="n">
        <x:f>H2126*AA2125*INDEX(v01_MortElder,G2126)/4*Q2126</x:f>
        <x:v>0</x:v>
      </x:c>
      <x:c r="V2126" s="9" t="n">
        <x:f>H2126*MAX(0,AB2125-O2126)*v01_OvercapLoss</x:f>
        <x:v>0</x:v>
      </x:c>
      <x:c r="W2126" s="9" t="n">
        <x:f>H2126*Y2125/(v01_ChildYears*4)</x:f>
        <x:v>0</x:v>
      </x:c>
      <x:c r="X2126" s="9" t="n">
        <x:f>H2126*Z2125/(v01_AdultYears*4)</x:f>
        <x:v>0</x:v>
      </x:c>
      <x:c r="Y2126" s="32" t="n">
        <x:f>Y2125+R2126-S2126-W2126-Y2125*V2126/AB2125</x:f>
        <x:v>14306.18539759397</x:v>
      </x:c>
      <x:c r="Z2126" s="32" t="n">
        <x:f>Z2125+W2126-X2126-T2126-Z2125*V2126/AB2125</x:f>
        <x:v>19354.456567879548</x:v>
      </x:c>
      <x:c r="AA2126" s="32" t="n">
        <x:f>AA2125+X2126-U2126-AA2125*V2126/AB2125</x:f>
        <x:v>11386.956063258198</x:v>
      </x:c>
      <x:c r="AB2126" s="10" t="n">
        <x:f>Y2126+Z2126+AA2126</x:f>
        <x:v>45047.59802873172</x:v>
      </x:c>
      <x:c r="AC2126" s="8" t="n">
        <x:f>IF(AND(v01_WinterTrigger=1,D2126=1,AB2125/AE2125&gt;=K2126),1,0)</x:f>
        <x:v>0</x:v>
      </x:c>
      <x:c r="AD2126" s="8" t="n">
        <x:f>H2126*IF(AND(OR(AB2125/AE2125&gt;=v01_FissionTrigger*N2126,AC2126=1),AB2125/AE2125*v01_DaughterShare&gt;=v01_MinDaughter),MAX(1,ROUND(AE2125*v01_FissionRate,0)),0)</x:f>
        <x:v>0</x:v>
      </x:c>
      <x:c r="AE2126" s="8" t="n">
        <x:f>IF(H2126=1,MAX(1,MIN(INDEX(v01_Smax,G2126),AE2125+AD2126)),AE2125)</x:f>
        <x:v>15</x:v>
      </x:c>
      <x:c r="AF2126" s="8" t="n">
        <x:f>MAX(0,AE2126-AE2125)</x:f>
        <x:v>0</x:v>
      </x:c>
      <x:c r="AG2126" s="9" t="str">
        <x:f>IF(AF2126&gt;0,B2126,"")</x:f>
      </x:c>
      <x:c r="AH2126" s="9" t="n">
        <x:f>IF(F2126&gt;=1,1,(1+v01_LowTiesShare*(AE2126-1))/AE2126)</x:f>
        <x:v>1</x:v>
      </x:c>
      <x:c r="AI2126" s="32" t="n">
        <x:f>(Z2126+v01_ElderCommons*INDEX(LM_Elder,G2126)*AA2126)*AH2126</x:f>
        <x:v>64139.732591141874</x:v>
      </x:c>
      <x:c r="AJ2126" s="32" t="n">
        <x:f>H2126*v01_CommonsCoef*AI2126^v01_CommonsExp*INDEX(LM_Commons,G2126)</x:f>
        <x:v>0</x:v>
      </x:c>
      <x:c r="AK2126" s="32" t="n">
        <x:f>H2126*v01_RoleScale*Arch_Roles*(AE2126*(INDEX(v01_ElderRolePerSett,G2126)*v01_OutElder*INDEX(LM_Elder,G2126)+INDEX(v01_ShamanPerSett,G2126)*v01_OutShaman)+Z2126*(INDEX(v01_PriestShare,G2126)*v01_OutPriest+INDEX(v01_ScribeShare,G2126)*v01_OutScribe*INDEX(LM_Scribe,G2126)+INDEX(v01_ScholarShare,G2126)*v01_OutScholar*INDEX(LM_Scholar,G2126)+INDEX(v01_ResearcherShare,G2126)*v01_OutResearcher*INDEX(LM_Researcher,G2126)))</x:f>
        <x:v>0</x:v>
      </x:c>
      <x:c r="AL2126" s="32" t="n">
        <x:f>H2126*v01_RoleScale*Arch_Roles*AE2126*INDEX(v01_MonasteryPerSett,G2126)*v01_OutMonastery*INDEX(LM_Monastery,G2126)</x:f>
        <x:v>0</x:v>
      </x:c>
      <x:c r="AM2126" s="32" t="n">
        <x:f>(AJ2126+AK2126+AL2126)/4*INDEX(LM_All,G2126)*INDEX(v01_Boon,G2126)*Arch_Insight</x:f>
        <x:v>0</x:v>
      </x:c>
      <x:c r="AN2126" s="32" t="n">
        <x:f>H2126*(v01_KHPerAdult*Z2126+v01_KHOfCommons*AJ2126/4*INDEX(LM_All,G2126))*v01_KHUsable*Arch_KH</x:f>
        <x:v>0</x:v>
      </x:c>
      <x:c r="AO2126" s="32" t="n">
        <x:f>MIN(AP2125+AN2126,AM2126*v01_KHMaxRatio)</x:f>
        <x:v>0</x:v>
      </x:c>
      <x:c r="AP2126" s="32" t="n">
        <x:f>AP2125+AN2126-AO2126</x:f>
        <x:v>0</x:v>
      </x:c>
      <x:c r="AQ2126" s="32" t="n">
        <x:f>AM2126+AO2126</x:f>
        <x:v>0</x:v>
      </x:c>
      <x:c r="AR2126" s="10" t="n">
        <x:f>IF(H2126=1,INDEX(v01_Req,G2126),0)</x:f>
        <x:v>0</x:v>
      </x:c>
      <x:c r="AS2126" s="32" t="n">
        <x:f>IF(H2126=1,IF(E2126=1,AS2125-AR2125,AS2125)+AQ2126,0)</x:f>
        <x:v>0</x:v>
      </x:c>
      <x:c r="AT2126" s="11" t="n">
        <x:f>IF(AR2126&gt;0,MIN(1,AS2126/AR2126),1)</x:f>
        <x:v>1</x:v>
      </x:c>
      <x:c r="AU2126" s="10" t="n">
        <x:f>AB2126/INDEX(v01_RepScale,G2126)</x:f>
        <x:v>90.09519605746344</x:v>
      </x:c>
      <x:c r="AV2126" s="32" t="n">
        <x:f>AM2126*60/v01_SeasonSeconds</x:f>
        <x:v>0</x:v>
      </x:c>
    </x:row>
    <x:row r="2127">
      <x:c r="A2127" s="8" t="n">
        <x:f>A2126+1</x:f>
        <x:v>2124</x:v>
      </x:c>
      <x:c r="B2127" s="9" t="n">
        <x:f>A2127*v01_SeasonSeconds/60</x:f>
        <x:v>531</x:v>
      </x:c>
      <x:c r="C2127" s="9" t="n">
        <x:f>A2127/4</x:f>
        <x:v>531</x:v>
      </x:c>
      <x:c r="D2127" s="8" t="n">
        <x:f>IF(MOD(A2127,4)=0,1,0)</x:f>
        <x:v>1</x:v>
      </x:c>
      <x:c r="E2127" s="8" t="n">
        <x:f>IF(AND(F2126&lt;=9,AS2126&gt;=AR2126),1,0)</x:f>
        <x:v>0</x:v>
      </x:c>
      <x:c r="F2127" s="8" t="n">
        <x:f>MIN(10,F2126+E2127)</x:f>
        <x:v>10</x:v>
      </x:c>
      <x:c r="G2127" s="8" t="n">
        <x:f>MIN(F2127,9)+1</x:f>
        <x:v>10</x:v>
      </x:c>
      <x:c r="H2127" s="8" t="n">
        <x:f>IF(F2127&lt;=9,1,0)</x:f>
        <x:v>0</x:v>
      </x:c>
      <x:c r="I2127" s="9" t="n">
        <x:f>MIN(10,F2126+IF(AR2126&gt;0,MIN(1,AS2126/AR2126),1))</x:f>
        <x:v>10</x:v>
      </x:c>
      <x:c r="J2127" s="32" t="n">
        <x:f>INDEX(v01_FoodCap,G2127)*Arch_FoodCap*EXP(v01_CapsByProject*SUMPRODUCT((Cap_Point&lt;=I2127)*(Cap_Kind="Food")*Cap_Ln))</x:f>
        <x:v>12000</x:v>
      </x:c>
      <x:c r="K2127" s="32" t="n">
        <x:f>J2127*MIN(1,v01_LeanBase*EXP(v01_CapsByProject*SUMPRODUCT((Cap_Point&lt;=I2127)*(Cap_Kind="Lean")*Cap_Ln)))</x:f>
        <x:v>12000</x:v>
      </x:c>
      <x:c r="L2127" s="10" t="n">
        <x:f>INDEX(v01_HousingCap,G2127)*EXP(v01_CapsByProject*SUMPRODUCT((Cap_Point&lt;=I2127)*(Cap_Kind="Housing")*Cap_Ln))</x:f>
        <x:v>20000</x:v>
      </x:c>
      <x:c r="M2127" s="10" t="n">
        <x:f>INDEX(v01_GroupCap,G2127)*v01_CohesionFactor*EXP(v01_CapsByProject*SUMPRODUCT((Cap_Point&lt;=I2127)*(Cap_Kind="Group")*Cap_Ln))</x:f>
        <x:v>1000000</x:v>
      </x:c>
      <x:c r="N2127" s="32" t="n">
        <x:f>MIN(J2127,L2127,M2127)</x:f>
        <x:v>12000</x:v>
      </x:c>
      <x:c r="O2127" s="10" t="n">
        <x:f>AE2126*N2127</x:f>
        <x:v>180000</x:v>
      </x:c>
      <x:c r="P2127" s="9" t="n">
        <x:f>MIN(1,(AB2126/(AE2126*IF(v01_GroupInCrowding=1,N2127,MIN(J2127,L2127))))^v01_CrowdingExp)</x:f>
        <x:v>0.00024569414295285325</x:v>
      </x:c>
      <x:c r="Q2127" s="9" t="n">
        <x:f>IF(D2127=1,INDEX(v01_WinterMult,G2127),1)</x:f>
        <x:v>1</x:v>
      </x:c>
      <x:c r="R2127" s="9" t="n">
        <x:f>H2127*Z2126*v01_WomenShare*v01_BaseFertility*INDEX(v01_FertMult,G2127)*Arch_Fertility*(1-P2127)</x:f>
        <x:v>0</x:v>
      </x:c>
      <x:c r="S2127" s="9" t="n">
        <x:f>H2127*Y2126*INDEX(v01_MortChild,G2127)/4*Q2127</x:f>
        <x:v>0</x:v>
      </x:c>
      <x:c r="T2127" s="9" t="n">
        <x:f>H2127*Z2126*INDEX(v01_MortAdult,G2127)*Arch_AdultMort/4*Q2127</x:f>
        <x:v>0</x:v>
      </x:c>
      <x:c r="U2127" s="9" t="n">
        <x:f>H2127*AA2126*INDEX(v01_MortElder,G2127)/4*Q2127</x:f>
        <x:v>0</x:v>
      </x:c>
      <x:c r="V2127" s="9" t="n">
        <x:f>H2127*MAX(0,AB2126-O2127)*v01_OvercapLoss</x:f>
        <x:v>0</x:v>
      </x:c>
      <x:c r="W2127" s="9" t="n">
        <x:f>H2127*Y2126/(v01_ChildYears*4)</x:f>
        <x:v>0</x:v>
      </x:c>
      <x:c r="X2127" s="9" t="n">
        <x:f>H2127*Z2126/(v01_AdultYears*4)</x:f>
        <x:v>0</x:v>
      </x:c>
      <x:c r="Y2127" s="32" t="n">
        <x:f>Y2126+R2127-S2127-W2127-Y2126*V2127/AB2126</x:f>
        <x:v>14306.18539759397</x:v>
      </x:c>
      <x:c r="Z2127" s="32" t="n">
        <x:f>Z2126+W2127-X2127-T2127-Z2126*V2127/AB2126</x:f>
        <x:v>19354.456567879548</x:v>
      </x:c>
      <x:c r="AA2127" s="32" t="n">
        <x:f>AA2126+X2127-U2127-AA2126*V2127/AB2126</x:f>
        <x:v>11386.956063258198</x:v>
      </x:c>
      <x:c r="AB2127" s="10" t="n">
        <x:f>Y2127+Z2127+AA2127</x:f>
        <x:v>45047.59802873172</x:v>
      </x:c>
      <x:c r="AC2127" s="8" t="n">
        <x:f>IF(AND(v01_WinterTrigger=1,D2127=1,AB2126/AE2126&gt;=K2127),1,0)</x:f>
        <x:v>0</x:v>
      </x:c>
      <x:c r="AD2127" s="8" t="n">
        <x:f>H2127*IF(AND(OR(AB2126/AE2126&gt;=v01_FissionTrigger*N2127,AC2127=1),AB2126/AE2126*v01_DaughterShare&gt;=v01_MinDaughter),MAX(1,ROUND(AE2126*v01_FissionRate,0)),0)</x:f>
        <x:v>0</x:v>
      </x:c>
      <x:c r="AE2127" s="8" t="n">
        <x:f>IF(H2127=1,MAX(1,MIN(INDEX(v01_Smax,G2127),AE2126+AD2127)),AE2126)</x:f>
        <x:v>15</x:v>
      </x:c>
      <x:c r="AF2127" s="8" t="n">
        <x:f>MAX(0,AE2127-AE2126)</x:f>
        <x:v>0</x:v>
      </x:c>
      <x:c r="AG2127" s="9" t="str">
        <x:f>IF(AF2127&gt;0,B2127,"")</x:f>
      </x:c>
      <x:c r="AH2127" s="9" t="n">
        <x:f>IF(F2127&gt;=1,1,(1+v01_LowTiesShare*(AE2127-1))/AE2127)</x:f>
        <x:v>1</x:v>
      </x:c>
      <x:c r="AI2127" s="32" t="n">
        <x:f>(Z2127+v01_ElderCommons*INDEX(LM_Elder,G2127)*AA2127)*AH2127</x:f>
        <x:v>64139.732591141874</x:v>
      </x:c>
      <x:c r="AJ2127" s="32" t="n">
        <x:f>H2127*v01_CommonsCoef*AI2127^v01_CommonsExp*INDEX(LM_Commons,G2127)</x:f>
        <x:v>0</x:v>
      </x:c>
      <x:c r="AK2127" s="32" t="n">
        <x:f>H2127*v01_RoleScale*Arch_Roles*(AE2127*(INDEX(v01_ElderRolePerSett,G2127)*v01_OutElder*INDEX(LM_Elder,G2127)+INDEX(v01_ShamanPerSett,G2127)*v01_OutShaman)+Z2127*(INDEX(v01_PriestShare,G2127)*v01_OutPriest+INDEX(v01_ScribeShare,G2127)*v01_OutScribe*INDEX(LM_Scribe,G2127)+INDEX(v01_ScholarShare,G2127)*v01_OutScholar*INDEX(LM_Scholar,G2127)+INDEX(v01_ResearcherShare,G2127)*v01_OutResearcher*INDEX(LM_Researcher,G2127)))</x:f>
        <x:v>0</x:v>
      </x:c>
      <x:c r="AL2127" s="32" t="n">
        <x:f>H2127*v01_RoleScale*Arch_Roles*AE2127*INDEX(v01_MonasteryPerSett,G2127)*v01_OutMonastery*INDEX(LM_Monastery,G2127)</x:f>
        <x:v>0</x:v>
      </x:c>
      <x:c r="AM2127" s="32" t="n">
        <x:f>(AJ2127+AK2127+AL2127)/4*INDEX(LM_All,G2127)*INDEX(v01_Boon,G2127)*Arch_Insight</x:f>
        <x:v>0</x:v>
      </x:c>
      <x:c r="AN2127" s="32" t="n">
        <x:f>H2127*(v01_KHPerAdult*Z2127+v01_KHOfCommons*AJ2127/4*INDEX(LM_All,G2127))*v01_KHUsable*Arch_KH</x:f>
        <x:v>0</x:v>
      </x:c>
      <x:c r="AO2127" s="32" t="n">
        <x:f>MIN(AP2126+AN2127,AM2127*v01_KHMaxRatio)</x:f>
        <x:v>0</x:v>
      </x:c>
      <x:c r="AP2127" s="32" t="n">
        <x:f>AP2126+AN2127-AO2127</x:f>
        <x:v>0</x:v>
      </x:c>
      <x:c r="AQ2127" s="32" t="n">
        <x:f>AM2127+AO2127</x:f>
        <x:v>0</x:v>
      </x:c>
      <x:c r="AR2127" s="10" t="n">
        <x:f>IF(H2127=1,INDEX(v01_Req,G2127),0)</x:f>
        <x:v>0</x:v>
      </x:c>
      <x:c r="AS2127" s="32" t="n">
        <x:f>IF(H2127=1,IF(E2127=1,AS2126-AR2126,AS2126)+AQ2127,0)</x:f>
        <x:v>0</x:v>
      </x:c>
      <x:c r="AT2127" s="11" t="n">
        <x:f>IF(AR2127&gt;0,MIN(1,AS2127/AR2127),1)</x:f>
        <x:v>1</x:v>
      </x:c>
      <x:c r="AU2127" s="10" t="n">
        <x:f>AB2127/INDEX(v01_RepScale,G2127)</x:f>
        <x:v>90.09519605746344</x:v>
      </x:c>
      <x:c r="AV2127" s="32" t="n">
        <x:f>AM2127*60/v01_SeasonSeconds</x:f>
        <x:v>0</x:v>
      </x:c>
    </x:row>
    <x:row r="2128">
      <x:c r="A2128" s="8" t="n">
        <x:f>A2127+1</x:f>
        <x:v>2125</x:v>
      </x:c>
      <x:c r="B2128" s="9" t="n">
        <x:f>A2128*v01_SeasonSeconds/60</x:f>
        <x:v>531.25</x:v>
      </x:c>
      <x:c r="C2128" s="9" t="n">
        <x:f>A2128/4</x:f>
        <x:v>531.25</x:v>
      </x:c>
      <x:c r="D2128" s="8" t="n">
        <x:f>IF(MOD(A2128,4)=0,1,0)</x:f>
        <x:v>0</x:v>
      </x:c>
      <x:c r="E2128" s="8" t="n">
        <x:f>IF(AND(F2127&lt;=9,AS2127&gt;=AR2127),1,0)</x:f>
        <x:v>0</x:v>
      </x:c>
      <x:c r="F2128" s="8" t="n">
        <x:f>MIN(10,F2127+E2128)</x:f>
        <x:v>10</x:v>
      </x:c>
      <x:c r="G2128" s="8" t="n">
        <x:f>MIN(F2128,9)+1</x:f>
        <x:v>10</x:v>
      </x:c>
      <x:c r="H2128" s="8" t="n">
        <x:f>IF(F2128&lt;=9,1,0)</x:f>
        <x:v>0</x:v>
      </x:c>
      <x:c r="I2128" s="9" t="n">
        <x:f>MIN(10,F2127+IF(AR2127&gt;0,MIN(1,AS2127/AR2127),1))</x:f>
        <x:v>10</x:v>
      </x:c>
      <x:c r="J2128" s="32" t="n">
        <x:f>INDEX(v01_FoodCap,G2128)*Arch_FoodCap*EXP(v01_CapsByProject*SUMPRODUCT((Cap_Point&lt;=I2128)*(Cap_Kind="Food")*Cap_Ln))</x:f>
        <x:v>12000</x:v>
      </x:c>
      <x:c r="K2128" s="32" t="n">
        <x:f>J2128*MIN(1,v01_LeanBase*EXP(v01_CapsByProject*SUMPRODUCT((Cap_Point&lt;=I2128)*(Cap_Kind="Lean")*Cap_Ln)))</x:f>
        <x:v>12000</x:v>
      </x:c>
      <x:c r="L2128" s="10" t="n">
        <x:f>INDEX(v01_HousingCap,G2128)*EXP(v01_CapsByProject*SUMPRODUCT((Cap_Point&lt;=I2128)*(Cap_Kind="Housing")*Cap_Ln))</x:f>
        <x:v>20000</x:v>
      </x:c>
      <x:c r="M2128" s="10" t="n">
        <x:f>INDEX(v01_GroupCap,G2128)*v01_CohesionFactor*EXP(v01_CapsByProject*SUMPRODUCT((Cap_Point&lt;=I2128)*(Cap_Kind="Group")*Cap_Ln))</x:f>
        <x:v>1000000</x:v>
      </x:c>
      <x:c r="N2128" s="32" t="n">
        <x:f>MIN(J2128,L2128,M2128)</x:f>
        <x:v>12000</x:v>
      </x:c>
      <x:c r="O2128" s="10" t="n">
        <x:f>AE2127*N2128</x:f>
        <x:v>180000</x:v>
      </x:c>
      <x:c r="P2128" s="9" t="n">
        <x:f>MIN(1,(AB2127/(AE2127*IF(v01_GroupInCrowding=1,N2128,MIN(J2128,L2128))))^v01_CrowdingExp)</x:f>
        <x:v>0.00024569414295285325</x:v>
      </x:c>
      <x:c r="Q2128" s="9" t="n">
        <x:f>IF(D2128=1,INDEX(v01_WinterMult,G2128),1)</x:f>
        <x:v>1</x:v>
      </x:c>
      <x:c r="R2128" s="9" t="n">
        <x:f>H2128*Z2127*v01_WomenShare*v01_BaseFertility*INDEX(v01_FertMult,G2128)*Arch_Fertility*(1-P2128)</x:f>
        <x:v>0</x:v>
      </x:c>
      <x:c r="S2128" s="9" t="n">
        <x:f>H2128*Y2127*INDEX(v01_MortChild,G2128)/4*Q2128</x:f>
        <x:v>0</x:v>
      </x:c>
      <x:c r="T2128" s="9" t="n">
        <x:f>H2128*Z2127*INDEX(v01_MortAdult,G2128)*Arch_AdultMort/4*Q2128</x:f>
        <x:v>0</x:v>
      </x:c>
      <x:c r="U2128" s="9" t="n">
        <x:f>H2128*AA2127*INDEX(v01_MortElder,G2128)/4*Q2128</x:f>
        <x:v>0</x:v>
      </x:c>
      <x:c r="V2128" s="9" t="n">
        <x:f>H2128*MAX(0,AB2127-O2128)*v01_OvercapLoss</x:f>
        <x:v>0</x:v>
      </x:c>
      <x:c r="W2128" s="9" t="n">
        <x:f>H2128*Y2127/(v01_ChildYears*4)</x:f>
        <x:v>0</x:v>
      </x:c>
      <x:c r="X2128" s="9" t="n">
        <x:f>H2128*Z2127/(v01_AdultYears*4)</x:f>
        <x:v>0</x:v>
      </x:c>
      <x:c r="Y2128" s="32" t="n">
        <x:f>Y2127+R2128-S2128-W2128-Y2127*V2128/AB2127</x:f>
        <x:v>14306.18539759397</x:v>
      </x:c>
      <x:c r="Z2128" s="32" t="n">
        <x:f>Z2127+W2128-X2128-T2128-Z2127*V2128/AB2127</x:f>
        <x:v>19354.456567879548</x:v>
      </x:c>
      <x:c r="AA2128" s="32" t="n">
        <x:f>AA2127+X2128-U2128-AA2127*V2128/AB2127</x:f>
        <x:v>11386.956063258198</x:v>
      </x:c>
      <x:c r="AB2128" s="10" t="n">
        <x:f>Y2128+Z2128+AA2128</x:f>
        <x:v>45047.59802873172</x:v>
      </x:c>
      <x:c r="AC2128" s="8" t="n">
        <x:f>IF(AND(v01_WinterTrigger=1,D2128=1,AB2127/AE2127&gt;=K2128),1,0)</x:f>
        <x:v>0</x:v>
      </x:c>
      <x:c r="AD2128" s="8" t="n">
        <x:f>H2128*IF(AND(OR(AB2127/AE2127&gt;=v01_FissionTrigger*N2128,AC2128=1),AB2127/AE2127*v01_DaughterShare&gt;=v01_MinDaughter),MAX(1,ROUND(AE2127*v01_FissionRate,0)),0)</x:f>
        <x:v>0</x:v>
      </x:c>
      <x:c r="AE2128" s="8" t="n">
        <x:f>IF(H2128=1,MAX(1,MIN(INDEX(v01_Smax,G2128),AE2127+AD2128)),AE2127)</x:f>
        <x:v>15</x:v>
      </x:c>
      <x:c r="AF2128" s="8" t="n">
        <x:f>MAX(0,AE2128-AE2127)</x:f>
        <x:v>0</x:v>
      </x:c>
      <x:c r="AG2128" s="9" t="str">
        <x:f>IF(AF2128&gt;0,B2128,"")</x:f>
      </x:c>
      <x:c r="AH2128" s="9" t="n">
        <x:f>IF(F2128&gt;=1,1,(1+v01_LowTiesShare*(AE2128-1))/AE2128)</x:f>
        <x:v>1</x:v>
      </x:c>
      <x:c r="AI2128" s="32" t="n">
        <x:f>(Z2128+v01_ElderCommons*INDEX(LM_Elder,G2128)*AA2128)*AH2128</x:f>
        <x:v>64139.732591141874</x:v>
      </x:c>
      <x:c r="AJ2128" s="32" t="n">
        <x:f>H2128*v01_CommonsCoef*AI2128^v01_CommonsExp*INDEX(LM_Commons,G2128)</x:f>
        <x:v>0</x:v>
      </x:c>
      <x:c r="AK2128" s="32" t="n">
        <x:f>H2128*v01_RoleScale*Arch_Roles*(AE2128*(INDEX(v01_ElderRolePerSett,G2128)*v01_OutElder*INDEX(LM_Elder,G2128)+INDEX(v01_ShamanPerSett,G2128)*v01_OutShaman)+Z2128*(INDEX(v01_PriestShare,G2128)*v01_OutPriest+INDEX(v01_ScribeShare,G2128)*v01_OutScribe*INDEX(LM_Scribe,G2128)+INDEX(v01_ScholarShare,G2128)*v01_OutScholar*INDEX(LM_Scholar,G2128)+INDEX(v01_ResearcherShare,G2128)*v01_OutResearcher*INDEX(LM_Researcher,G2128)))</x:f>
        <x:v>0</x:v>
      </x:c>
      <x:c r="AL2128" s="32" t="n">
        <x:f>H2128*v01_RoleScale*Arch_Roles*AE2128*INDEX(v01_MonasteryPerSett,G2128)*v01_OutMonastery*INDEX(LM_Monastery,G2128)</x:f>
        <x:v>0</x:v>
      </x:c>
      <x:c r="AM2128" s="32" t="n">
        <x:f>(AJ2128+AK2128+AL2128)/4*INDEX(LM_All,G2128)*INDEX(v01_Boon,G2128)*Arch_Insight</x:f>
        <x:v>0</x:v>
      </x:c>
      <x:c r="AN2128" s="32" t="n">
        <x:f>H2128*(v01_KHPerAdult*Z2128+v01_KHOfCommons*AJ2128/4*INDEX(LM_All,G2128))*v01_KHUsable*Arch_KH</x:f>
        <x:v>0</x:v>
      </x:c>
      <x:c r="AO2128" s="32" t="n">
        <x:f>MIN(AP2127+AN2128,AM2128*v01_KHMaxRatio)</x:f>
        <x:v>0</x:v>
      </x:c>
      <x:c r="AP2128" s="32" t="n">
        <x:f>AP2127+AN2128-AO2128</x:f>
        <x:v>0</x:v>
      </x:c>
      <x:c r="AQ2128" s="32" t="n">
        <x:f>AM2128+AO2128</x:f>
        <x:v>0</x:v>
      </x:c>
      <x:c r="AR2128" s="10" t="n">
        <x:f>IF(H2128=1,INDEX(v01_Req,G2128),0)</x:f>
        <x:v>0</x:v>
      </x:c>
      <x:c r="AS2128" s="32" t="n">
        <x:f>IF(H2128=1,IF(E2128=1,AS2127-AR2127,AS2127)+AQ2128,0)</x:f>
        <x:v>0</x:v>
      </x:c>
      <x:c r="AT2128" s="11" t="n">
        <x:f>IF(AR2128&gt;0,MIN(1,AS2128/AR2128),1)</x:f>
        <x:v>1</x:v>
      </x:c>
      <x:c r="AU2128" s="10" t="n">
        <x:f>AB2128/INDEX(v01_RepScale,G2128)</x:f>
        <x:v>90.09519605746344</x:v>
      </x:c>
      <x:c r="AV2128" s="32" t="n">
        <x:f>AM2128*60/v01_SeasonSeconds</x:f>
        <x:v>0</x:v>
      </x:c>
    </x:row>
    <x:row r="2129">
      <x:c r="A2129" s="8" t="n">
        <x:f>A2128+1</x:f>
        <x:v>2126</x:v>
      </x:c>
      <x:c r="B2129" s="9" t="n">
        <x:f>A2129*v01_SeasonSeconds/60</x:f>
        <x:v>531.5</x:v>
      </x:c>
      <x:c r="C2129" s="9" t="n">
        <x:f>A2129/4</x:f>
        <x:v>531.5</x:v>
      </x:c>
      <x:c r="D2129" s="8" t="n">
        <x:f>IF(MOD(A2129,4)=0,1,0)</x:f>
        <x:v>0</x:v>
      </x:c>
      <x:c r="E2129" s="8" t="n">
        <x:f>IF(AND(F2128&lt;=9,AS2128&gt;=AR2128),1,0)</x:f>
        <x:v>0</x:v>
      </x:c>
      <x:c r="F2129" s="8" t="n">
        <x:f>MIN(10,F2128+E2129)</x:f>
        <x:v>10</x:v>
      </x:c>
      <x:c r="G2129" s="8" t="n">
        <x:f>MIN(F2129,9)+1</x:f>
        <x:v>10</x:v>
      </x:c>
      <x:c r="H2129" s="8" t="n">
        <x:f>IF(F2129&lt;=9,1,0)</x:f>
        <x:v>0</x:v>
      </x:c>
      <x:c r="I2129" s="9" t="n">
        <x:f>MIN(10,F2128+IF(AR2128&gt;0,MIN(1,AS2128/AR2128),1))</x:f>
        <x:v>10</x:v>
      </x:c>
      <x:c r="J2129" s="32" t="n">
        <x:f>INDEX(v01_FoodCap,G2129)*Arch_FoodCap*EXP(v01_CapsByProject*SUMPRODUCT((Cap_Point&lt;=I2129)*(Cap_Kind="Food")*Cap_Ln))</x:f>
        <x:v>12000</x:v>
      </x:c>
      <x:c r="K2129" s="32" t="n">
        <x:f>J2129*MIN(1,v01_LeanBase*EXP(v01_CapsByProject*SUMPRODUCT((Cap_Point&lt;=I2129)*(Cap_Kind="Lean")*Cap_Ln)))</x:f>
        <x:v>12000</x:v>
      </x:c>
      <x:c r="L2129" s="10" t="n">
        <x:f>INDEX(v01_HousingCap,G2129)*EXP(v01_CapsByProject*SUMPRODUCT((Cap_Point&lt;=I2129)*(Cap_Kind="Housing")*Cap_Ln))</x:f>
        <x:v>20000</x:v>
      </x:c>
      <x:c r="M2129" s="10" t="n">
        <x:f>INDEX(v01_GroupCap,G2129)*v01_CohesionFactor*EXP(v01_CapsByProject*SUMPRODUCT((Cap_Point&lt;=I2129)*(Cap_Kind="Group")*Cap_Ln))</x:f>
        <x:v>1000000</x:v>
      </x:c>
      <x:c r="N2129" s="32" t="n">
        <x:f>MIN(J2129,L2129,M2129)</x:f>
        <x:v>12000</x:v>
      </x:c>
      <x:c r="O2129" s="10" t="n">
        <x:f>AE2128*N2129</x:f>
        <x:v>180000</x:v>
      </x:c>
      <x:c r="P2129" s="9" t="n">
        <x:f>MIN(1,(AB2128/(AE2128*IF(v01_GroupInCrowding=1,N2129,MIN(J2129,L2129))))^v01_CrowdingExp)</x:f>
        <x:v>0.00024569414295285325</x:v>
      </x:c>
      <x:c r="Q2129" s="9" t="n">
        <x:f>IF(D2129=1,INDEX(v01_WinterMult,G2129),1)</x:f>
        <x:v>1</x:v>
      </x:c>
      <x:c r="R2129" s="9" t="n">
        <x:f>H2129*Z2128*v01_WomenShare*v01_BaseFertility*INDEX(v01_FertMult,G2129)*Arch_Fertility*(1-P2129)</x:f>
        <x:v>0</x:v>
      </x:c>
      <x:c r="S2129" s="9" t="n">
        <x:f>H2129*Y2128*INDEX(v01_MortChild,G2129)/4*Q2129</x:f>
        <x:v>0</x:v>
      </x:c>
      <x:c r="T2129" s="9" t="n">
        <x:f>H2129*Z2128*INDEX(v01_MortAdult,G2129)*Arch_AdultMort/4*Q2129</x:f>
        <x:v>0</x:v>
      </x:c>
      <x:c r="U2129" s="9" t="n">
        <x:f>H2129*AA2128*INDEX(v01_MortElder,G2129)/4*Q2129</x:f>
        <x:v>0</x:v>
      </x:c>
      <x:c r="V2129" s="9" t="n">
        <x:f>H2129*MAX(0,AB2128-O2129)*v01_OvercapLoss</x:f>
        <x:v>0</x:v>
      </x:c>
      <x:c r="W2129" s="9" t="n">
        <x:f>H2129*Y2128/(v01_ChildYears*4)</x:f>
        <x:v>0</x:v>
      </x:c>
      <x:c r="X2129" s="9" t="n">
        <x:f>H2129*Z2128/(v01_AdultYears*4)</x:f>
        <x:v>0</x:v>
      </x:c>
      <x:c r="Y2129" s="32" t="n">
        <x:f>Y2128+R2129-S2129-W2129-Y2128*V2129/AB2128</x:f>
        <x:v>14306.18539759397</x:v>
      </x:c>
      <x:c r="Z2129" s="32" t="n">
        <x:f>Z2128+W2129-X2129-T2129-Z2128*V2129/AB2128</x:f>
        <x:v>19354.456567879548</x:v>
      </x:c>
      <x:c r="AA2129" s="32" t="n">
        <x:f>AA2128+X2129-U2129-AA2128*V2129/AB2128</x:f>
        <x:v>11386.956063258198</x:v>
      </x:c>
      <x:c r="AB2129" s="10" t="n">
        <x:f>Y2129+Z2129+AA2129</x:f>
        <x:v>45047.59802873172</x:v>
      </x:c>
      <x:c r="AC2129" s="8" t="n">
        <x:f>IF(AND(v01_WinterTrigger=1,D2129=1,AB2128/AE2128&gt;=K2129),1,0)</x:f>
        <x:v>0</x:v>
      </x:c>
      <x:c r="AD2129" s="8" t="n">
        <x:f>H2129*IF(AND(OR(AB2128/AE2128&gt;=v01_FissionTrigger*N2129,AC2129=1),AB2128/AE2128*v01_DaughterShare&gt;=v01_MinDaughter),MAX(1,ROUND(AE2128*v01_FissionRate,0)),0)</x:f>
        <x:v>0</x:v>
      </x:c>
      <x:c r="AE2129" s="8" t="n">
        <x:f>IF(H2129=1,MAX(1,MIN(INDEX(v01_Smax,G2129),AE2128+AD2129)),AE2128)</x:f>
        <x:v>15</x:v>
      </x:c>
      <x:c r="AF2129" s="8" t="n">
        <x:f>MAX(0,AE2129-AE2128)</x:f>
        <x:v>0</x:v>
      </x:c>
      <x:c r="AG2129" s="9" t="str">
        <x:f>IF(AF2129&gt;0,B2129,"")</x:f>
      </x:c>
      <x:c r="AH2129" s="9" t="n">
        <x:f>IF(F2129&gt;=1,1,(1+v01_LowTiesShare*(AE2129-1))/AE2129)</x:f>
        <x:v>1</x:v>
      </x:c>
      <x:c r="AI2129" s="32" t="n">
        <x:f>(Z2129+v01_ElderCommons*INDEX(LM_Elder,G2129)*AA2129)*AH2129</x:f>
        <x:v>64139.732591141874</x:v>
      </x:c>
      <x:c r="AJ2129" s="32" t="n">
        <x:f>H2129*v01_CommonsCoef*AI2129^v01_CommonsExp*INDEX(LM_Commons,G2129)</x:f>
        <x:v>0</x:v>
      </x:c>
      <x:c r="AK2129" s="32" t="n">
        <x:f>H2129*v01_RoleScale*Arch_Roles*(AE2129*(INDEX(v01_ElderRolePerSett,G2129)*v01_OutElder*INDEX(LM_Elder,G2129)+INDEX(v01_ShamanPerSett,G2129)*v01_OutShaman)+Z2129*(INDEX(v01_PriestShare,G2129)*v01_OutPriest+INDEX(v01_ScribeShare,G2129)*v01_OutScribe*INDEX(LM_Scribe,G2129)+INDEX(v01_ScholarShare,G2129)*v01_OutScholar*INDEX(LM_Scholar,G2129)+INDEX(v01_ResearcherShare,G2129)*v01_OutResearcher*INDEX(LM_Researcher,G2129)))</x:f>
        <x:v>0</x:v>
      </x:c>
      <x:c r="AL2129" s="32" t="n">
        <x:f>H2129*v01_RoleScale*Arch_Roles*AE2129*INDEX(v01_MonasteryPerSett,G2129)*v01_OutMonastery*INDEX(LM_Monastery,G2129)</x:f>
        <x:v>0</x:v>
      </x:c>
      <x:c r="AM2129" s="32" t="n">
        <x:f>(AJ2129+AK2129+AL2129)/4*INDEX(LM_All,G2129)*INDEX(v01_Boon,G2129)*Arch_Insight</x:f>
        <x:v>0</x:v>
      </x:c>
      <x:c r="AN2129" s="32" t="n">
        <x:f>H2129*(v01_KHPerAdult*Z2129+v01_KHOfCommons*AJ2129/4*INDEX(LM_All,G2129))*v01_KHUsable*Arch_KH</x:f>
        <x:v>0</x:v>
      </x:c>
      <x:c r="AO2129" s="32" t="n">
        <x:f>MIN(AP2128+AN2129,AM2129*v01_KHMaxRatio)</x:f>
        <x:v>0</x:v>
      </x:c>
      <x:c r="AP2129" s="32" t="n">
        <x:f>AP2128+AN2129-AO2129</x:f>
        <x:v>0</x:v>
      </x:c>
      <x:c r="AQ2129" s="32" t="n">
        <x:f>AM2129+AO2129</x:f>
        <x:v>0</x:v>
      </x:c>
      <x:c r="AR2129" s="10" t="n">
        <x:f>IF(H2129=1,INDEX(v01_Req,G2129),0)</x:f>
        <x:v>0</x:v>
      </x:c>
      <x:c r="AS2129" s="32" t="n">
        <x:f>IF(H2129=1,IF(E2129=1,AS2128-AR2128,AS2128)+AQ2129,0)</x:f>
        <x:v>0</x:v>
      </x:c>
      <x:c r="AT2129" s="11" t="n">
        <x:f>IF(AR2129&gt;0,MIN(1,AS2129/AR2129),1)</x:f>
        <x:v>1</x:v>
      </x:c>
      <x:c r="AU2129" s="10" t="n">
        <x:f>AB2129/INDEX(v01_RepScale,G2129)</x:f>
        <x:v>90.09519605746344</x:v>
      </x:c>
      <x:c r="AV2129" s="32" t="n">
        <x:f>AM2129*60/v01_SeasonSeconds</x:f>
        <x:v>0</x:v>
      </x:c>
    </x:row>
    <x:row r="2130">
      <x:c r="A2130" s="8" t="n">
        <x:f>A2129+1</x:f>
        <x:v>2127</x:v>
      </x:c>
      <x:c r="B2130" s="9" t="n">
        <x:f>A2130*v01_SeasonSeconds/60</x:f>
        <x:v>531.75</x:v>
      </x:c>
      <x:c r="C2130" s="9" t="n">
        <x:f>A2130/4</x:f>
        <x:v>531.75</x:v>
      </x:c>
      <x:c r="D2130" s="8" t="n">
        <x:f>IF(MOD(A2130,4)=0,1,0)</x:f>
        <x:v>0</x:v>
      </x:c>
      <x:c r="E2130" s="8" t="n">
        <x:f>IF(AND(F2129&lt;=9,AS2129&gt;=AR2129),1,0)</x:f>
        <x:v>0</x:v>
      </x:c>
      <x:c r="F2130" s="8" t="n">
        <x:f>MIN(10,F2129+E2130)</x:f>
        <x:v>10</x:v>
      </x:c>
      <x:c r="G2130" s="8" t="n">
        <x:f>MIN(F2130,9)+1</x:f>
        <x:v>10</x:v>
      </x:c>
      <x:c r="H2130" s="8" t="n">
        <x:f>IF(F2130&lt;=9,1,0)</x:f>
        <x:v>0</x:v>
      </x:c>
      <x:c r="I2130" s="9" t="n">
        <x:f>MIN(10,F2129+IF(AR2129&gt;0,MIN(1,AS2129/AR2129),1))</x:f>
        <x:v>10</x:v>
      </x:c>
      <x:c r="J2130" s="32" t="n">
        <x:f>INDEX(v01_FoodCap,G2130)*Arch_FoodCap*EXP(v01_CapsByProject*SUMPRODUCT((Cap_Point&lt;=I2130)*(Cap_Kind="Food")*Cap_Ln))</x:f>
        <x:v>12000</x:v>
      </x:c>
      <x:c r="K2130" s="32" t="n">
        <x:f>J2130*MIN(1,v01_LeanBase*EXP(v01_CapsByProject*SUMPRODUCT((Cap_Point&lt;=I2130)*(Cap_Kind="Lean")*Cap_Ln)))</x:f>
        <x:v>12000</x:v>
      </x:c>
      <x:c r="L2130" s="10" t="n">
        <x:f>INDEX(v01_HousingCap,G2130)*EXP(v01_CapsByProject*SUMPRODUCT((Cap_Point&lt;=I2130)*(Cap_Kind="Housing")*Cap_Ln))</x:f>
        <x:v>20000</x:v>
      </x:c>
      <x:c r="M2130" s="10" t="n">
        <x:f>INDEX(v01_GroupCap,G2130)*v01_CohesionFactor*EXP(v01_CapsByProject*SUMPRODUCT((Cap_Point&lt;=I2130)*(Cap_Kind="Group")*Cap_Ln))</x:f>
        <x:v>1000000</x:v>
      </x:c>
      <x:c r="N2130" s="32" t="n">
        <x:f>MIN(J2130,L2130,M2130)</x:f>
        <x:v>12000</x:v>
      </x:c>
      <x:c r="O2130" s="10" t="n">
        <x:f>AE2129*N2130</x:f>
        <x:v>180000</x:v>
      </x:c>
      <x:c r="P2130" s="9" t="n">
        <x:f>MIN(1,(AB2129/(AE2129*IF(v01_GroupInCrowding=1,N2130,MIN(J2130,L2130))))^v01_CrowdingExp)</x:f>
        <x:v>0.00024569414295285325</x:v>
      </x:c>
      <x:c r="Q2130" s="9" t="n">
        <x:f>IF(D2130=1,INDEX(v01_WinterMult,G2130),1)</x:f>
        <x:v>1</x:v>
      </x:c>
      <x:c r="R2130" s="9" t="n">
        <x:f>H2130*Z2129*v01_WomenShare*v01_BaseFertility*INDEX(v01_FertMult,G2130)*Arch_Fertility*(1-P2130)</x:f>
        <x:v>0</x:v>
      </x:c>
      <x:c r="S2130" s="9" t="n">
        <x:f>H2130*Y2129*INDEX(v01_MortChild,G2130)/4*Q2130</x:f>
        <x:v>0</x:v>
      </x:c>
      <x:c r="T2130" s="9" t="n">
        <x:f>H2130*Z2129*INDEX(v01_MortAdult,G2130)*Arch_AdultMort/4*Q2130</x:f>
        <x:v>0</x:v>
      </x:c>
      <x:c r="U2130" s="9" t="n">
        <x:f>H2130*AA2129*INDEX(v01_MortElder,G2130)/4*Q2130</x:f>
        <x:v>0</x:v>
      </x:c>
      <x:c r="V2130" s="9" t="n">
        <x:f>H2130*MAX(0,AB2129-O2130)*v01_OvercapLoss</x:f>
        <x:v>0</x:v>
      </x:c>
      <x:c r="W2130" s="9" t="n">
        <x:f>H2130*Y2129/(v01_ChildYears*4)</x:f>
        <x:v>0</x:v>
      </x:c>
      <x:c r="X2130" s="9" t="n">
        <x:f>H2130*Z2129/(v01_AdultYears*4)</x:f>
        <x:v>0</x:v>
      </x:c>
      <x:c r="Y2130" s="32" t="n">
        <x:f>Y2129+R2130-S2130-W2130-Y2129*V2130/AB2129</x:f>
        <x:v>14306.18539759397</x:v>
      </x:c>
      <x:c r="Z2130" s="32" t="n">
        <x:f>Z2129+W2130-X2130-T2130-Z2129*V2130/AB2129</x:f>
        <x:v>19354.456567879548</x:v>
      </x:c>
      <x:c r="AA2130" s="32" t="n">
        <x:f>AA2129+X2130-U2130-AA2129*V2130/AB2129</x:f>
        <x:v>11386.956063258198</x:v>
      </x:c>
      <x:c r="AB2130" s="10" t="n">
        <x:f>Y2130+Z2130+AA2130</x:f>
        <x:v>45047.59802873172</x:v>
      </x:c>
      <x:c r="AC2130" s="8" t="n">
        <x:f>IF(AND(v01_WinterTrigger=1,D2130=1,AB2129/AE2129&gt;=K2130),1,0)</x:f>
        <x:v>0</x:v>
      </x:c>
      <x:c r="AD2130" s="8" t="n">
        <x:f>H2130*IF(AND(OR(AB2129/AE2129&gt;=v01_FissionTrigger*N2130,AC2130=1),AB2129/AE2129*v01_DaughterShare&gt;=v01_MinDaughter),MAX(1,ROUND(AE2129*v01_FissionRate,0)),0)</x:f>
        <x:v>0</x:v>
      </x:c>
      <x:c r="AE2130" s="8" t="n">
        <x:f>IF(H2130=1,MAX(1,MIN(INDEX(v01_Smax,G2130),AE2129+AD2130)),AE2129)</x:f>
        <x:v>15</x:v>
      </x:c>
      <x:c r="AF2130" s="8" t="n">
        <x:f>MAX(0,AE2130-AE2129)</x:f>
        <x:v>0</x:v>
      </x:c>
      <x:c r="AG2130" s="9" t="str">
        <x:f>IF(AF2130&gt;0,B2130,"")</x:f>
      </x:c>
      <x:c r="AH2130" s="9" t="n">
        <x:f>IF(F2130&gt;=1,1,(1+v01_LowTiesShare*(AE2130-1))/AE2130)</x:f>
        <x:v>1</x:v>
      </x:c>
      <x:c r="AI2130" s="32" t="n">
        <x:f>(Z2130+v01_ElderCommons*INDEX(LM_Elder,G2130)*AA2130)*AH2130</x:f>
        <x:v>64139.732591141874</x:v>
      </x:c>
      <x:c r="AJ2130" s="32" t="n">
        <x:f>H2130*v01_CommonsCoef*AI2130^v01_CommonsExp*INDEX(LM_Commons,G2130)</x:f>
        <x:v>0</x:v>
      </x:c>
      <x:c r="AK2130" s="32" t="n">
        <x:f>H2130*v01_RoleScale*Arch_Roles*(AE2130*(INDEX(v01_ElderRolePerSett,G2130)*v01_OutElder*INDEX(LM_Elder,G2130)+INDEX(v01_ShamanPerSett,G2130)*v01_OutShaman)+Z2130*(INDEX(v01_PriestShare,G2130)*v01_OutPriest+INDEX(v01_ScribeShare,G2130)*v01_OutScribe*INDEX(LM_Scribe,G2130)+INDEX(v01_ScholarShare,G2130)*v01_OutScholar*INDEX(LM_Scholar,G2130)+INDEX(v01_ResearcherShare,G2130)*v01_OutResearcher*INDEX(LM_Researcher,G2130)))</x:f>
        <x:v>0</x:v>
      </x:c>
      <x:c r="AL2130" s="32" t="n">
        <x:f>H2130*v01_RoleScale*Arch_Roles*AE2130*INDEX(v01_MonasteryPerSett,G2130)*v01_OutMonastery*INDEX(LM_Monastery,G2130)</x:f>
        <x:v>0</x:v>
      </x:c>
      <x:c r="AM2130" s="32" t="n">
        <x:f>(AJ2130+AK2130+AL2130)/4*INDEX(LM_All,G2130)*INDEX(v01_Boon,G2130)*Arch_Insight</x:f>
        <x:v>0</x:v>
      </x:c>
      <x:c r="AN2130" s="32" t="n">
        <x:f>H2130*(v01_KHPerAdult*Z2130+v01_KHOfCommons*AJ2130/4*INDEX(LM_All,G2130))*v01_KHUsable*Arch_KH</x:f>
        <x:v>0</x:v>
      </x:c>
      <x:c r="AO2130" s="32" t="n">
        <x:f>MIN(AP2129+AN2130,AM2130*v01_KHMaxRatio)</x:f>
        <x:v>0</x:v>
      </x:c>
      <x:c r="AP2130" s="32" t="n">
        <x:f>AP2129+AN2130-AO2130</x:f>
        <x:v>0</x:v>
      </x:c>
      <x:c r="AQ2130" s="32" t="n">
        <x:f>AM2130+AO2130</x:f>
        <x:v>0</x:v>
      </x:c>
      <x:c r="AR2130" s="10" t="n">
        <x:f>IF(H2130=1,INDEX(v01_Req,G2130),0)</x:f>
        <x:v>0</x:v>
      </x:c>
      <x:c r="AS2130" s="32" t="n">
        <x:f>IF(H2130=1,IF(E2130=1,AS2129-AR2129,AS2129)+AQ2130,0)</x:f>
        <x:v>0</x:v>
      </x:c>
      <x:c r="AT2130" s="11" t="n">
        <x:f>IF(AR2130&gt;0,MIN(1,AS2130/AR2130),1)</x:f>
        <x:v>1</x:v>
      </x:c>
      <x:c r="AU2130" s="10" t="n">
        <x:f>AB2130/INDEX(v01_RepScale,G2130)</x:f>
        <x:v>90.09519605746344</x:v>
      </x:c>
      <x:c r="AV2130" s="32" t="n">
        <x:f>AM2130*60/v01_SeasonSeconds</x:f>
        <x:v>0</x:v>
      </x:c>
    </x:row>
    <x:row r="2131">
      <x:c r="A2131" s="8" t="n">
        <x:f>A2130+1</x:f>
        <x:v>2128</x:v>
      </x:c>
      <x:c r="B2131" s="9" t="n">
        <x:f>A2131*v01_SeasonSeconds/60</x:f>
        <x:v>532</x:v>
      </x:c>
      <x:c r="C2131" s="9" t="n">
        <x:f>A2131/4</x:f>
        <x:v>532</x:v>
      </x:c>
      <x:c r="D2131" s="8" t="n">
        <x:f>IF(MOD(A2131,4)=0,1,0)</x:f>
        <x:v>1</x:v>
      </x:c>
      <x:c r="E2131" s="8" t="n">
        <x:f>IF(AND(F2130&lt;=9,AS2130&gt;=AR2130),1,0)</x:f>
        <x:v>0</x:v>
      </x:c>
      <x:c r="F2131" s="8" t="n">
        <x:f>MIN(10,F2130+E2131)</x:f>
        <x:v>10</x:v>
      </x:c>
      <x:c r="G2131" s="8" t="n">
        <x:f>MIN(F2131,9)+1</x:f>
        <x:v>10</x:v>
      </x:c>
      <x:c r="H2131" s="8" t="n">
        <x:f>IF(F2131&lt;=9,1,0)</x:f>
        <x:v>0</x:v>
      </x:c>
      <x:c r="I2131" s="9" t="n">
        <x:f>MIN(10,F2130+IF(AR2130&gt;0,MIN(1,AS2130/AR2130),1))</x:f>
        <x:v>10</x:v>
      </x:c>
      <x:c r="J2131" s="32" t="n">
        <x:f>INDEX(v01_FoodCap,G2131)*Arch_FoodCap*EXP(v01_CapsByProject*SUMPRODUCT((Cap_Point&lt;=I2131)*(Cap_Kind="Food")*Cap_Ln))</x:f>
        <x:v>12000</x:v>
      </x:c>
      <x:c r="K2131" s="32" t="n">
        <x:f>J2131*MIN(1,v01_LeanBase*EXP(v01_CapsByProject*SUMPRODUCT((Cap_Point&lt;=I2131)*(Cap_Kind="Lean")*Cap_Ln)))</x:f>
        <x:v>12000</x:v>
      </x:c>
      <x:c r="L2131" s="10" t="n">
        <x:f>INDEX(v01_HousingCap,G2131)*EXP(v01_CapsByProject*SUMPRODUCT((Cap_Point&lt;=I2131)*(Cap_Kind="Housing")*Cap_Ln))</x:f>
        <x:v>20000</x:v>
      </x:c>
      <x:c r="M2131" s="10" t="n">
        <x:f>INDEX(v01_GroupCap,G2131)*v01_CohesionFactor*EXP(v01_CapsByProject*SUMPRODUCT((Cap_Point&lt;=I2131)*(Cap_Kind="Group")*Cap_Ln))</x:f>
        <x:v>1000000</x:v>
      </x:c>
      <x:c r="N2131" s="32" t="n">
        <x:f>MIN(J2131,L2131,M2131)</x:f>
        <x:v>12000</x:v>
      </x:c>
      <x:c r="O2131" s="10" t="n">
        <x:f>AE2130*N2131</x:f>
        <x:v>180000</x:v>
      </x:c>
      <x:c r="P2131" s="9" t="n">
        <x:f>MIN(1,(AB2130/(AE2130*IF(v01_GroupInCrowding=1,N2131,MIN(J2131,L2131))))^v01_CrowdingExp)</x:f>
        <x:v>0.00024569414295285325</x:v>
      </x:c>
      <x:c r="Q2131" s="9" t="n">
        <x:f>IF(D2131=1,INDEX(v01_WinterMult,G2131),1)</x:f>
        <x:v>1</x:v>
      </x:c>
      <x:c r="R2131" s="9" t="n">
        <x:f>H2131*Z2130*v01_WomenShare*v01_BaseFertility*INDEX(v01_FertMult,G2131)*Arch_Fertility*(1-P2131)</x:f>
        <x:v>0</x:v>
      </x:c>
      <x:c r="S2131" s="9" t="n">
        <x:f>H2131*Y2130*INDEX(v01_MortChild,G2131)/4*Q2131</x:f>
        <x:v>0</x:v>
      </x:c>
      <x:c r="T2131" s="9" t="n">
        <x:f>H2131*Z2130*INDEX(v01_MortAdult,G2131)*Arch_AdultMort/4*Q2131</x:f>
        <x:v>0</x:v>
      </x:c>
      <x:c r="U2131" s="9" t="n">
        <x:f>H2131*AA2130*INDEX(v01_MortElder,G2131)/4*Q2131</x:f>
        <x:v>0</x:v>
      </x:c>
      <x:c r="V2131" s="9" t="n">
        <x:f>H2131*MAX(0,AB2130-O2131)*v01_OvercapLoss</x:f>
        <x:v>0</x:v>
      </x:c>
      <x:c r="W2131" s="9" t="n">
        <x:f>H2131*Y2130/(v01_ChildYears*4)</x:f>
        <x:v>0</x:v>
      </x:c>
      <x:c r="X2131" s="9" t="n">
        <x:f>H2131*Z2130/(v01_AdultYears*4)</x:f>
        <x:v>0</x:v>
      </x:c>
      <x:c r="Y2131" s="32" t="n">
        <x:f>Y2130+R2131-S2131-W2131-Y2130*V2131/AB2130</x:f>
        <x:v>14306.18539759397</x:v>
      </x:c>
      <x:c r="Z2131" s="32" t="n">
        <x:f>Z2130+W2131-X2131-T2131-Z2130*V2131/AB2130</x:f>
        <x:v>19354.456567879548</x:v>
      </x:c>
      <x:c r="AA2131" s="32" t="n">
        <x:f>AA2130+X2131-U2131-AA2130*V2131/AB2130</x:f>
        <x:v>11386.956063258198</x:v>
      </x:c>
      <x:c r="AB2131" s="10" t="n">
        <x:f>Y2131+Z2131+AA2131</x:f>
        <x:v>45047.59802873172</x:v>
      </x:c>
      <x:c r="AC2131" s="8" t="n">
        <x:f>IF(AND(v01_WinterTrigger=1,D2131=1,AB2130/AE2130&gt;=K2131),1,0)</x:f>
        <x:v>0</x:v>
      </x:c>
      <x:c r="AD2131" s="8" t="n">
        <x:f>H2131*IF(AND(OR(AB2130/AE2130&gt;=v01_FissionTrigger*N2131,AC2131=1),AB2130/AE2130*v01_DaughterShare&gt;=v01_MinDaughter),MAX(1,ROUND(AE2130*v01_FissionRate,0)),0)</x:f>
        <x:v>0</x:v>
      </x:c>
      <x:c r="AE2131" s="8" t="n">
        <x:f>IF(H2131=1,MAX(1,MIN(INDEX(v01_Smax,G2131),AE2130+AD2131)),AE2130)</x:f>
        <x:v>15</x:v>
      </x:c>
      <x:c r="AF2131" s="8" t="n">
        <x:f>MAX(0,AE2131-AE2130)</x:f>
        <x:v>0</x:v>
      </x:c>
      <x:c r="AG2131" s="9" t="str">
        <x:f>IF(AF2131&gt;0,B2131,"")</x:f>
      </x:c>
      <x:c r="AH2131" s="9" t="n">
        <x:f>IF(F2131&gt;=1,1,(1+v01_LowTiesShare*(AE2131-1))/AE2131)</x:f>
        <x:v>1</x:v>
      </x:c>
      <x:c r="AI2131" s="32" t="n">
        <x:f>(Z2131+v01_ElderCommons*INDEX(LM_Elder,G2131)*AA2131)*AH2131</x:f>
        <x:v>64139.732591141874</x:v>
      </x:c>
      <x:c r="AJ2131" s="32" t="n">
        <x:f>H2131*v01_CommonsCoef*AI2131^v01_CommonsExp*INDEX(LM_Commons,G2131)</x:f>
        <x:v>0</x:v>
      </x:c>
      <x:c r="AK2131" s="32" t="n">
        <x:f>H2131*v01_RoleScale*Arch_Roles*(AE2131*(INDEX(v01_ElderRolePerSett,G2131)*v01_OutElder*INDEX(LM_Elder,G2131)+INDEX(v01_ShamanPerSett,G2131)*v01_OutShaman)+Z2131*(INDEX(v01_PriestShare,G2131)*v01_OutPriest+INDEX(v01_ScribeShare,G2131)*v01_OutScribe*INDEX(LM_Scribe,G2131)+INDEX(v01_ScholarShare,G2131)*v01_OutScholar*INDEX(LM_Scholar,G2131)+INDEX(v01_ResearcherShare,G2131)*v01_OutResearcher*INDEX(LM_Researcher,G2131)))</x:f>
        <x:v>0</x:v>
      </x:c>
      <x:c r="AL2131" s="32" t="n">
        <x:f>H2131*v01_RoleScale*Arch_Roles*AE2131*INDEX(v01_MonasteryPerSett,G2131)*v01_OutMonastery*INDEX(LM_Monastery,G2131)</x:f>
        <x:v>0</x:v>
      </x:c>
      <x:c r="AM2131" s="32" t="n">
        <x:f>(AJ2131+AK2131+AL2131)/4*INDEX(LM_All,G2131)*INDEX(v01_Boon,G2131)*Arch_Insight</x:f>
        <x:v>0</x:v>
      </x:c>
      <x:c r="AN2131" s="32" t="n">
        <x:f>H2131*(v01_KHPerAdult*Z2131+v01_KHOfCommons*AJ2131/4*INDEX(LM_All,G2131))*v01_KHUsable*Arch_KH</x:f>
        <x:v>0</x:v>
      </x:c>
      <x:c r="AO2131" s="32" t="n">
        <x:f>MIN(AP2130+AN2131,AM2131*v01_KHMaxRatio)</x:f>
        <x:v>0</x:v>
      </x:c>
      <x:c r="AP2131" s="32" t="n">
        <x:f>AP2130+AN2131-AO2131</x:f>
        <x:v>0</x:v>
      </x:c>
      <x:c r="AQ2131" s="32" t="n">
        <x:f>AM2131+AO2131</x:f>
        <x:v>0</x:v>
      </x:c>
      <x:c r="AR2131" s="10" t="n">
        <x:f>IF(H2131=1,INDEX(v01_Req,G2131),0)</x:f>
        <x:v>0</x:v>
      </x:c>
      <x:c r="AS2131" s="32" t="n">
        <x:f>IF(H2131=1,IF(E2131=1,AS2130-AR2130,AS2130)+AQ2131,0)</x:f>
        <x:v>0</x:v>
      </x:c>
      <x:c r="AT2131" s="11" t="n">
        <x:f>IF(AR2131&gt;0,MIN(1,AS2131/AR2131),1)</x:f>
        <x:v>1</x:v>
      </x:c>
      <x:c r="AU2131" s="10" t="n">
        <x:f>AB2131/INDEX(v01_RepScale,G2131)</x:f>
        <x:v>90.09519605746344</x:v>
      </x:c>
      <x:c r="AV2131" s="32" t="n">
        <x:f>AM2131*60/v01_SeasonSeconds</x:f>
        <x:v>0</x:v>
      </x:c>
    </x:row>
    <x:row r="2132">
      <x:c r="A2132" s="8" t="n">
        <x:f>A2131+1</x:f>
        <x:v>2129</x:v>
      </x:c>
      <x:c r="B2132" s="9" t="n">
        <x:f>A2132*v01_SeasonSeconds/60</x:f>
        <x:v>532.25</x:v>
      </x:c>
      <x:c r="C2132" s="9" t="n">
        <x:f>A2132/4</x:f>
        <x:v>532.25</x:v>
      </x:c>
      <x:c r="D2132" s="8" t="n">
        <x:f>IF(MOD(A2132,4)=0,1,0)</x:f>
        <x:v>0</x:v>
      </x:c>
      <x:c r="E2132" s="8" t="n">
        <x:f>IF(AND(F2131&lt;=9,AS2131&gt;=AR2131),1,0)</x:f>
        <x:v>0</x:v>
      </x:c>
      <x:c r="F2132" s="8" t="n">
        <x:f>MIN(10,F2131+E2132)</x:f>
        <x:v>10</x:v>
      </x:c>
      <x:c r="G2132" s="8" t="n">
        <x:f>MIN(F2132,9)+1</x:f>
        <x:v>10</x:v>
      </x:c>
      <x:c r="H2132" s="8" t="n">
        <x:f>IF(F2132&lt;=9,1,0)</x:f>
        <x:v>0</x:v>
      </x:c>
      <x:c r="I2132" s="9" t="n">
        <x:f>MIN(10,F2131+IF(AR2131&gt;0,MIN(1,AS2131/AR2131),1))</x:f>
        <x:v>10</x:v>
      </x:c>
      <x:c r="J2132" s="32" t="n">
        <x:f>INDEX(v01_FoodCap,G2132)*Arch_FoodCap*EXP(v01_CapsByProject*SUMPRODUCT((Cap_Point&lt;=I2132)*(Cap_Kind="Food")*Cap_Ln))</x:f>
        <x:v>12000</x:v>
      </x:c>
      <x:c r="K2132" s="32" t="n">
        <x:f>J2132*MIN(1,v01_LeanBase*EXP(v01_CapsByProject*SUMPRODUCT((Cap_Point&lt;=I2132)*(Cap_Kind="Lean")*Cap_Ln)))</x:f>
        <x:v>12000</x:v>
      </x:c>
      <x:c r="L2132" s="10" t="n">
        <x:f>INDEX(v01_HousingCap,G2132)*EXP(v01_CapsByProject*SUMPRODUCT((Cap_Point&lt;=I2132)*(Cap_Kind="Housing")*Cap_Ln))</x:f>
        <x:v>20000</x:v>
      </x:c>
      <x:c r="M2132" s="10" t="n">
        <x:f>INDEX(v01_GroupCap,G2132)*v01_CohesionFactor*EXP(v01_CapsByProject*SUMPRODUCT((Cap_Point&lt;=I2132)*(Cap_Kind="Group")*Cap_Ln))</x:f>
        <x:v>1000000</x:v>
      </x:c>
      <x:c r="N2132" s="32" t="n">
        <x:f>MIN(J2132,L2132,M2132)</x:f>
        <x:v>12000</x:v>
      </x:c>
      <x:c r="O2132" s="10" t="n">
        <x:f>AE2131*N2132</x:f>
        <x:v>180000</x:v>
      </x:c>
      <x:c r="P2132" s="9" t="n">
        <x:f>MIN(1,(AB2131/(AE2131*IF(v01_GroupInCrowding=1,N2132,MIN(J2132,L2132))))^v01_CrowdingExp)</x:f>
        <x:v>0.00024569414295285325</x:v>
      </x:c>
      <x:c r="Q2132" s="9" t="n">
        <x:f>IF(D2132=1,INDEX(v01_WinterMult,G2132),1)</x:f>
        <x:v>1</x:v>
      </x:c>
      <x:c r="R2132" s="9" t="n">
        <x:f>H2132*Z2131*v01_WomenShare*v01_BaseFertility*INDEX(v01_FertMult,G2132)*Arch_Fertility*(1-P2132)</x:f>
        <x:v>0</x:v>
      </x:c>
      <x:c r="S2132" s="9" t="n">
        <x:f>H2132*Y2131*INDEX(v01_MortChild,G2132)/4*Q2132</x:f>
        <x:v>0</x:v>
      </x:c>
      <x:c r="T2132" s="9" t="n">
        <x:f>H2132*Z2131*INDEX(v01_MortAdult,G2132)*Arch_AdultMort/4*Q2132</x:f>
        <x:v>0</x:v>
      </x:c>
      <x:c r="U2132" s="9" t="n">
        <x:f>H2132*AA2131*INDEX(v01_MortElder,G2132)/4*Q2132</x:f>
        <x:v>0</x:v>
      </x:c>
      <x:c r="V2132" s="9" t="n">
        <x:f>H2132*MAX(0,AB2131-O2132)*v01_OvercapLoss</x:f>
        <x:v>0</x:v>
      </x:c>
      <x:c r="W2132" s="9" t="n">
        <x:f>H2132*Y2131/(v01_ChildYears*4)</x:f>
        <x:v>0</x:v>
      </x:c>
      <x:c r="X2132" s="9" t="n">
        <x:f>H2132*Z2131/(v01_AdultYears*4)</x:f>
        <x:v>0</x:v>
      </x:c>
      <x:c r="Y2132" s="32" t="n">
        <x:f>Y2131+R2132-S2132-W2132-Y2131*V2132/AB2131</x:f>
        <x:v>14306.18539759397</x:v>
      </x:c>
      <x:c r="Z2132" s="32" t="n">
        <x:f>Z2131+W2132-X2132-T2132-Z2131*V2132/AB2131</x:f>
        <x:v>19354.456567879548</x:v>
      </x:c>
      <x:c r="AA2132" s="32" t="n">
        <x:f>AA2131+X2132-U2132-AA2131*V2132/AB2131</x:f>
        <x:v>11386.956063258198</x:v>
      </x:c>
      <x:c r="AB2132" s="10" t="n">
        <x:f>Y2132+Z2132+AA2132</x:f>
        <x:v>45047.59802873172</x:v>
      </x:c>
      <x:c r="AC2132" s="8" t="n">
        <x:f>IF(AND(v01_WinterTrigger=1,D2132=1,AB2131/AE2131&gt;=K2132),1,0)</x:f>
        <x:v>0</x:v>
      </x:c>
      <x:c r="AD2132" s="8" t="n">
        <x:f>H2132*IF(AND(OR(AB2131/AE2131&gt;=v01_FissionTrigger*N2132,AC2132=1),AB2131/AE2131*v01_DaughterShare&gt;=v01_MinDaughter),MAX(1,ROUND(AE2131*v01_FissionRate,0)),0)</x:f>
        <x:v>0</x:v>
      </x:c>
      <x:c r="AE2132" s="8" t="n">
        <x:f>IF(H2132=1,MAX(1,MIN(INDEX(v01_Smax,G2132),AE2131+AD2132)),AE2131)</x:f>
        <x:v>15</x:v>
      </x:c>
      <x:c r="AF2132" s="8" t="n">
        <x:f>MAX(0,AE2132-AE2131)</x:f>
        <x:v>0</x:v>
      </x:c>
      <x:c r="AG2132" s="9" t="str">
        <x:f>IF(AF2132&gt;0,B2132,"")</x:f>
      </x:c>
      <x:c r="AH2132" s="9" t="n">
        <x:f>IF(F2132&gt;=1,1,(1+v01_LowTiesShare*(AE2132-1))/AE2132)</x:f>
        <x:v>1</x:v>
      </x:c>
      <x:c r="AI2132" s="32" t="n">
        <x:f>(Z2132+v01_ElderCommons*INDEX(LM_Elder,G2132)*AA2132)*AH2132</x:f>
        <x:v>64139.732591141874</x:v>
      </x:c>
      <x:c r="AJ2132" s="32" t="n">
        <x:f>H2132*v01_CommonsCoef*AI2132^v01_CommonsExp*INDEX(LM_Commons,G2132)</x:f>
        <x:v>0</x:v>
      </x:c>
      <x:c r="AK2132" s="32" t="n">
        <x:f>H2132*v01_RoleScale*Arch_Roles*(AE2132*(INDEX(v01_ElderRolePerSett,G2132)*v01_OutElder*INDEX(LM_Elder,G2132)+INDEX(v01_ShamanPerSett,G2132)*v01_OutShaman)+Z2132*(INDEX(v01_PriestShare,G2132)*v01_OutPriest+INDEX(v01_ScribeShare,G2132)*v01_OutScribe*INDEX(LM_Scribe,G2132)+INDEX(v01_ScholarShare,G2132)*v01_OutScholar*INDEX(LM_Scholar,G2132)+INDEX(v01_ResearcherShare,G2132)*v01_OutResearcher*INDEX(LM_Researcher,G2132)))</x:f>
        <x:v>0</x:v>
      </x:c>
      <x:c r="AL2132" s="32" t="n">
        <x:f>H2132*v01_RoleScale*Arch_Roles*AE2132*INDEX(v01_MonasteryPerSett,G2132)*v01_OutMonastery*INDEX(LM_Monastery,G2132)</x:f>
        <x:v>0</x:v>
      </x:c>
      <x:c r="AM2132" s="32" t="n">
        <x:f>(AJ2132+AK2132+AL2132)/4*INDEX(LM_All,G2132)*INDEX(v01_Boon,G2132)*Arch_Insight</x:f>
        <x:v>0</x:v>
      </x:c>
      <x:c r="AN2132" s="32" t="n">
        <x:f>H2132*(v01_KHPerAdult*Z2132+v01_KHOfCommons*AJ2132/4*INDEX(LM_All,G2132))*v01_KHUsable*Arch_KH</x:f>
        <x:v>0</x:v>
      </x:c>
      <x:c r="AO2132" s="32" t="n">
        <x:f>MIN(AP2131+AN2132,AM2132*v01_KHMaxRatio)</x:f>
        <x:v>0</x:v>
      </x:c>
      <x:c r="AP2132" s="32" t="n">
        <x:f>AP2131+AN2132-AO2132</x:f>
        <x:v>0</x:v>
      </x:c>
      <x:c r="AQ2132" s="32" t="n">
        <x:f>AM2132+AO2132</x:f>
        <x:v>0</x:v>
      </x:c>
      <x:c r="AR2132" s="10" t="n">
        <x:f>IF(H2132=1,INDEX(v01_Req,G2132),0)</x:f>
        <x:v>0</x:v>
      </x:c>
      <x:c r="AS2132" s="32" t="n">
        <x:f>IF(H2132=1,IF(E2132=1,AS2131-AR2131,AS2131)+AQ2132,0)</x:f>
        <x:v>0</x:v>
      </x:c>
      <x:c r="AT2132" s="11" t="n">
        <x:f>IF(AR2132&gt;0,MIN(1,AS2132/AR2132),1)</x:f>
        <x:v>1</x:v>
      </x:c>
      <x:c r="AU2132" s="10" t="n">
        <x:f>AB2132/INDEX(v01_RepScale,G2132)</x:f>
        <x:v>90.09519605746344</x:v>
      </x:c>
      <x:c r="AV2132" s="32" t="n">
        <x:f>AM2132*60/v01_SeasonSeconds</x:f>
        <x:v>0</x:v>
      </x:c>
    </x:row>
    <x:row r="2133">
      <x:c r="A2133" s="8" t="n">
        <x:f>A2132+1</x:f>
        <x:v>2130</x:v>
      </x:c>
      <x:c r="B2133" s="9" t="n">
        <x:f>A2133*v01_SeasonSeconds/60</x:f>
        <x:v>532.5</x:v>
      </x:c>
      <x:c r="C2133" s="9" t="n">
        <x:f>A2133/4</x:f>
        <x:v>532.5</x:v>
      </x:c>
      <x:c r="D2133" s="8" t="n">
        <x:f>IF(MOD(A2133,4)=0,1,0)</x:f>
        <x:v>0</x:v>
      </x:c>
      <x:c r="E2133" s="8" t="n">
        <x:f>IF(AND(F2132&lt;=9,AS2132&gt;=AR2132),1,0)</x:f>
        <x:v>0</x:v>
      </x:c>
      <x:c r="F2133" s="8" t="n">
        <x:f>MIN(10,F2132+E2133)</x:f>
        <x:v>10</x:v>
      </x:c>
      <x:c r="G2133" s="8" t="n">
        <x:f>MIN(F2133,9)+1</x:f>
        <x:v>10</x:v>
      </x:c>
      <x:c r="H2133" s="8" t="n">
        <x:f>IF(F2133&lt;=9,1,0)</x:f>
        <x:v>0</x:v>
      </x:c>
      <x:c r="I2133" s="9" t="n">
        <x:f>MIN(10,F2132+IF(AR2132&gt;0,MIN(1,AS2132/AR2132),1))</x:f>
        <x:v>10</x:v>
      </x:c>
      <x:c r="J2133" s="32" t="n">
        <x:f>INDEX(v01_FoodCap,G2133)*Arch_FoodCap*EXP(v01_CapsByProject*SUMPRODUCT((Cap_Point&lt;=I2133)*(Cap_Kind="Food")*Cap_Ln))</x:f>
        <x:v>12000</x:v>
      </x:c>
      <x:c r="K2133" s="32" t="n">
        <x:f>J2133*MIN(1,v01_LeanBase*EXP(v01_CapsByProject*SUMPRODUCT((Cap_Point&lt;=I2133)*(Cap_Kind="Lean")*Cap_Ln)))</x:f>
        <x:v>12000</x:v>
      </x:c>
      <x:c r="L2133" s="10" t="n">
        <x:f>INDEX(v01_HousingCap,G2133)*EXP(v01_CapsByProject*SUMPRODUCT((Cap_Point&lt;=I2133)*(Cap_Kind="Housing")*Cap_Ln))</x:f>
        <x:v>20000</x:v>
      </x:c>
      <x:c r="M2133" s="10" t="n">
        <x:f>INDEX(v01_GroupCap,G2133)*v01_CohesionFactor*EXP(v01_CapsByProject*SUMPRODUCT((Cap_Point&lt;=I2133)*(Cap_Kind="Group")*Cap_Ln))</x:f>
        <x:v>1000000</x:v>
      </x:c>
      <x:c r="N2133" s="32" t="n">
        <x:f>MIN(J2133,L2133,M2133)</x:f>
        <x:v>12000</x:v>
      </x:c>
      <x:c r="O2133" s="10" t="n">
        <x:f>AE2132*N2133</x:f>
        <x:v>180000</x:v>
      </x:c>
      <x:c r="P2133" s="9" t="n">
        <x:f>MIN(1,(AB2132/(AE2132*IF(v01_GroupInCrowding=1,N2133,MIN(J2133,L2133))))^v01_CrowdingExp)</x:f>
        <x:v>0.00024569414295285325</x:v>
      </x:c>
      <x:c r="Q2133" s="9" t="n">
        <x:f>IF(D2133=1,INDEX(v01_WinterMult,G2133),1)</x:f>
        <x:v>1</x:v>
      </x:c>
      <x:c r="R2133" s="9" t="n">
        <x:f>H2133*Z2132*v01_WomenShare*v01_BaseFertility*INDEX(v01_FertMult,G2133)*Arch_Fertility*(1-P2133)</x:f>
        <x:v>0</x:v>
      </x:c>
      <x:c r="S2133" s="9" t="n">
        <x:f>H2133*Y2132*INDEX(v01_MortChild,G2133)/4*Q2133</x:f>
        <x:v>0</x:v>
      </x:c>
      <x:c r="T2133" s="9" t="n">
        <x:f>H2133*Z2132*INDEX(v01_MortAdult,G2133)*Arch_AdultMort/4*Q2133</x:f>
        <x:v>0</x:v>
      </x:c>
      <x:c r="U2133" s="9" t="n">
        <x:f>H2133*AA2132*INDEX(v01_MortElder,G2133)/4*Q2133</x:f>
        <x:v>0</x:v>
      </x:c>
      <x:c r="V2133" s="9" t="n">
        <x:f>H2133*MAX(0,AB2132-O2133)*v01_OvercapLoss</x:f>
        <x:v>0</x:v>
      </x:c>
      <x:c r="W2133" s="9" t="n">
        <x:f>H2133*Y2132/(v01_ChildYears*4)</x:f>
        <x:v>0</x:v>
      </x:c>
      <x:c r="X2133" s="9" t="n">
        <x:f>H2133*Z2132/(v01_AdultYears*4)</x:f>
        <x:v>0</x:v>
      </x:c>
      <x:c r="Y2133" s="32" t="n">
        <x:f>Y2132+R2133-S2133-W2133-Y2132*V2133/AB2132</x:f>
        <x:v>14306.18539759397</x:v>
      </x:c>
      <x:c r="Z2133" s="32" t="n">
        <x:f>Z2132+W2133-X2133-T2133-Z2132*V2133/AB2132</x:f>
        <x:v>19354.456567879548</x:v>
      </x:c>
      <x:c r="AA2133" s="32" t="n">
        <x:f>AA2132+X2133-U2133-AA2132*V2133/AB2132</x:f>
        <x:v>11386.956063258198</x:v>
      </x:c>
      <x:c r="AB2133" s="10" t="n">
        <x:f>Y2133+Z2133+AA2133</x:f>
        <x:v>45047.59802873172</x:v>
      </x:c>
      <x:c r="AC2133" s="8" t="n">
        <x:f>IF(AND(v01_WinterTrigger=1,D2133=1,AB2132/AE2132&gt;=K2133),1,0)</x:f>
        <x:v>0</x:v>
      </x:c>
      <x:c r="AD2133" s="8" t="n">
        <x:f>H2133*IF(AND(OR(AB2132/AE2132&gt;=v01_FissionTrigger*N2133,AC2133=1),AB2132/AE2132*v01_DaughterShare&gt;=v01_MinDaughter),MAX(1,ROUND(AE2132*v01_FissionRate,0)),0)</x:f>
        <x:v>0</x:v>
      </x:c>
      <x:c r="AE2133" s="8" t="n">
        <x:f>IF(H2133=1,MAX(1,MIN(INDEX(v01_Smax,G2133),AE2132+AD2133)),AE2132)</x:f>
        <x:v>15</x:v>
      </x:c>
      <x:c r="AF2133" s="8" t="n">
        <x:f>MAX(0,AE2133-AE2132)</x:f>
        <x:v>0</x:v>
      </x:c>
      <x:c r="AG2133" s="9" t="str">
        <x:f>IF(AF2133&gt;0,B2133,"")</x:f>
      </x:c>
      <x:c r="AH2133" s="9" t="n">
        <x:f>IF(F2133&gt;=1,1,(1+v01_LowTiesShare*(AE2133-1))/AE2133)</x:f>
        <x:v>1</x:v>
      </x:c>
      <x:c r="AI2133" s="32" t="n">
        <x:f>(Z2133+v01_ElderCommons*INDEX(LM_Elder,G2133)*AA2133)*AH2133</x:f>
        <x:v>64139.732591141874</x:v>
      </x:c>
      <x:c r="AJ2133" s="32" t="n">
        <x:f>H2133*v01_CommonsCoef*AI2133^v01_CommonsExp*INDEX(LM_Commons,G2133)</x:f>
        <x:v>0</x:v>
      </x:c>
      <x:c r="AK2133" s="32" t="n">
        <x:f>H2133*v01_RoleScale*Arch_Roles*(AE2133*(INDEX(v01_ElderRolePerSett,G2133)*v01_OutElder*INDEX(LM_Elder,G2133)+INDEX(v01_ShamanPerSett,G2133)*v01_OutShaman)+Z2133*(INDEX(v01_PriestShare,G2133)*v01_OutPriest+INDEX(v01_ScribeShare,G2133)*v01_OutScribe*INDEX(LM_Scribe,G2133)+INDEX(v01_ScholarShare,G2133)*v01_OutScholar*INDEX(LM_Scholar,G2133)+INDEX(v01_ResearcherShare,G2133)*v01_OutResearcher*INDEX(LM_Researcher,G2133)))</x:f>
        <x:v>0</x:v>
      </x:c>
      <x:c r="AL2133" s="32" t="n">
        <x:f>H2133*v01_RoleScale*Arch_Roles*AE2133*INDEX(v01_MonasteryPerSett,G2133)*v01_OutMonastery*INDEX(LM_Monastery,G2133)</x:f>
        <x:v>0</x:v>
      </x:c>
      <x:c r="AM2133" s="32" t="n">
        <x:f>(AJ2133+AK2133+AL2133)/4*INDEX(LM_All,G2133)*INDEX(v01_Boon,G2133)*Arch_Insight</x:f>
        <x:v>0</x:v>
      </x:c>
      <x:c r="AN2133" s="32" t="n">
        <x:f>H2133*(v01_KHPerAdult*Z2133+v01_KHOfCommons*AJ2133/4*INDEX(LM_All,G2133))*v01_KHUsable*Arch_KH</x:f>
        <x:v>0</x:v>
      </x:c>
      <x:c r="AO2133" s="32" t="n">
        <x:f>MIN(AP2132+AN2133,AM2133*v01_KHMaxRatio)</x:f>
        <x:v>0</x:v>
      </x:c>
      <x:c r="AP2133" s="32" t="n">
        <x:f>AP2132+AN2133-AO2133</x:f>
        <x:v>0</x:v>
      </x:c>
      <x:c r="AQ2133" s="32" t="n">
        <x:f>AM2133+AO2133</x:f>
        <x:v>0</x:v>
      </x:c>
      <x:c r="AR2133" s="10" t="n">
        <x:f>IF(H2133=1,INDEX(v01_Req,G2133),0)</x:f>
        <x:v>0</x:v>
      </x:c>
      <x:c r="AS2133" s="32" t="n">
        <x:f>IF(H2133=1,IF(E2133=1,AS2132-AR2132,AS2132)+AQ2133,0)</x:f>
        <x:v>0</x:v>
      </x:c>
      <x:c r="AT2133" s="11" t="n">
        <x:f>IF(AR2133&gt;0,MIN(1,AS2133/AR2133),1)</x:f>
        <x:v>1</x:v>
      </x:c>
      <x:c r="AU2133" s="10" t="n">
        <x:f>AB2133/INDEX(v01_RepScale,G2133)</x:f>
        <x:v>90.09519605746344</x:v>
      </x:c>
      <x:c r="AV2133" s="32" t="n">
        <x:f>AM2133*60/v01_SeasonSeconds</x:f>
        <x:v>0</x:v>
      </x:c>
    </x:row>
    <x:row r="2134">
      <x:c r="A2134" s="8" t="n">
        <x:f>A2133+1</x:f>
        <x:v>2131</x:v>
      </x:c>
      <x:c r="B2134" s="9" t="n">
        <x:f>A2134*v01_SeasonSeconds/60</x:f>
        <x:v>532.75</x:v>
      </x:c>
      <x:c r="C2134" s="9" t="n">
        <x:f>A2134/4</x:f>
        <x:v>532.75</x:v>
      </x:c>
      <x:c r="D2134" s="8" t="n">
        <x:f>IF(MOD(A2134,4)=0,1,0)</x:f>
        <x:v>0</x:v>
      </x:c>
      <x:c r="E2134" s="8" t="n">
        <x:f>IF(AND(F2133&lt;=9,AS2133&gt;=AR2133),1,0)</x:f>
        <x:v>0</x:v>
      </x:c>
      <x:c r="F2134" s="8" t="n">
        <x:f>MIN(10,F2133+E2134)</x:f>
        <x:v>10</x:v>
      </x:c>
      <x:c r="G2134" s="8" t="n">
        <x:f>MIN(F2134,9)+1</x:f>
        <x:v>10</x:v>
      </x:c>
      <x:c r="H2134" s="8" t="n">
        <x:f>IF(F2134&lt;=9,1,0)</x:f>
        <x:v>0</x:v>
      </x:c>
      <x:c r="I2134" s="9" t="n">
        <x:f>MIN(10,F2133+IF(AR2133&gt;0,MIN(1,AS2133/AR2133),1))</x:f>
        <x:v>10</x:v>
      </x:c>
      <x:c r="J2134" s="32" t="n">
        <x:f>INDEX(v01_FoodCap,G2134)*Arch_FoodCap*EXP(v01_CapsByProject*SUMPRODUCT((Cap_Point&lt;=I2134)*(Cap_Kind="Food")*Cap_Ln))</x:f>
        <x:v>12000</x:v>
      </x:c>
      <x:c r="K2134" s="32" t="n">
        <x:f>J2134*MIN(1,v01_LeanBase*EXP(v01_CapsByProject*SUMPRODUCT((Cap_Point&lt;=I2134)*(Cap_Kind="Lean")*Cap_Ln)))</x:f>
        <x:v>12000</x:v>
      </x:c>
      <x:c r="L2134" s="10" t="n">
        <x:f>INDEX(v01_HousingCap,G2134)*EXP(v01_CapsByProject*SUMPRODUCT((Cap_Point&lt;=I2134)*(Cap_Kind="Housing")*Cap_Ln))</x:f>
        <x:v>20000</x:v>
      </x:c>
      <x:c r="M2134" s="10" t="n">
        <x:f>INDEX(v01_GroupCap,G2134)*v01_CohesionFactor*EXP(v01_CapsByProject*SUMPRODUCT((Cap_Point&lt;=I2134)*(Cap_Kind="Group")*Cap_Ln))</x:f>
        <x:v>1000000</x:v>
      </x:c>
      <x:c r="N2134" s="32" t="n">
        <x:f>MIN(J2134,L2134,M2134)</x:f>
        <x:v>12000</x:v>
      </x:c>
      <x:c r="O2134" s="10" t="n">
        <x:f>AE2133*N2134</x:f>
        <x:v>180000</x:v>
      </x:c>
      <x:c r="P2134" s="9" t="n">
        <x:f>MIN(1,(AB2133/(AE2133*IF(v01_GroupInCrowding=1,N2134,MIN(J2134,L2134))))^v01_CrowdingExp)</x:f>
        <x:v>0.00024569414295285325</x:v>
      </x:c>
      <x:c r="Q2134" s="9" t="n">
        <x:f>IF(D2134=1,INDEX(v01_WinterMult,G2134),1)</x:f>
        <x:v>1</x:v>
      </x:c>
      <x:c r="R2134" s="9" t="n">
        <x:f>H2134*Z2133*v01_WomenShare*v01_BaseFertility*INDEX(v01_FertMult,G2134)*Arch_Fertility*(1-P2134)</x:f>
        <x:v>0</x:v>
      </x:c>
      <x:c r="S2134" s="9" t="n">
        <x:f>H2134*Y2133*INDEX(v01_MortChild,G2134)/4*Q2134</x:f>
        <x:v>0</x:v>
      </x:c>
      <x:c r="T2134" s="9" t="n">
        <x:f>H2134*Z2133*INDEX(v01_MortAdult,G2134)*Arch_AdultMort/4*Q2134</x:f>
        <x:v>0</x:v>
      </x:c>
      <x:c r="U2134" s="9" t="n">
        <x:f>H2134*AA2133*INDEX(v01_MortElder,G2134)/4*Q2134</x:f>
        <x:v>0</x:v>
      </x:c>
      <x:c r="V2134" s="9" t="n">
        <x:f>H2134*MAX(0,AB2133-O2134)*v01_OvercapLoss</x:f>
        <x:v>0</x:v>
      </x:c>
      <x:c r="W2134" s="9" t="n">
        <x:f>H2134*Y2133/(v01_ChildYears*4)</x:f>
        <x:v>0</x:v>
      </x:c>
      <x:c r="X2134" s="9" t="n">
        <x:f>H2134*Z2133/(v01_AdultYears*4)</x:f>
        <x:v>0</x:v>
      </x:c>
      <x:c r="Y2134" s="32" t="n">
        <x:f>Y2133+R2134-S2134-W2134-Y2133*V2134/AB2133</x:f>
        <x:v>14306.18539759397</x:v>
      </x:c>
      <x:c r="Z2134" s="32" t="n">
        <x:f>Z2133+W2134-X2134-T2134-Z2133*V2134/AB2133</x:f>
        <x:v>19354.456567879548</x:v>
      </x:c>
      <x:c r="AA2134" s="32" t="n">
        <x:f>AA2133+X2134-U2134-AA2133*V2134/AB2133</x:f>
        <x:v>11386.956063258198</x:v>
      </x:c>
      <x:c r="AB2134" s="10" t="n">
        <x:f>Y2134+Z2134+AA2134</x:f>
        <x:v>45047.59802873172</x:v>
      </x:c>
      <x:c r="AC2134" s="8" t="n">
        <x:f>IF(AND(v01_WinterTrigger=1,D2134=1,AB2133/AE2133&gt;=K2134),1,0)</x:f>
        <x:v>0</x:v>
      </x:c>
      <x:c r="AD2134" s="8" t="n">
        <x:f>H2134*IF(AND(OR(AB2133/AE2133&gt;=v01_FissionTrigger*N2134,AC2134=1),AB2133/AE2133*v01_DaughterShare&gt;=v01_MinDaughter),MAX(1,ROUND(AE2133*v01_FissionRate,0)),0)</x:f>
        <x:v>0</x:v>
      </x:c>
      <x:c r="AE2134" s="8" t="n">
        <x:f>IF(H2134=1,MAX(1,MIN(INDEX(v01_Smax,G2134),AE2133+AD2134)),AE2133)</x:f>
        <x:v>15</x:v>
      </x:c>
      <x:c r="AF2134" s="8" t="n">
        <x:f>MAX(0,AE2134-AE2133)</x:f>
        <x:v>0</x:v>
      </x:c>
      <x:c r="AG2134" s="9" t="str">
        <x:f>IF(AF2134&gt;0,B2134,"")</x:f>
      </x:c>
      <x:c r="AH2134" s="9" t="n">
        <x:f>IF(F2134&gt;=1,1,(1+v01_LowTiesShare*(AE2134-1))/AE2134)</x:f>
        <x:v>1</x:v>
      </x:c>
      <x:c r="AI2134" s="32" t="n">
        <x:f>(Z2134+v01_ElderCommons*INDEX(LM_Elder,G2134)*AA2134)*AH2134</x:f>
        <x:v>64139.732591141874</x:v>
      </x:c>
      <x:c r="AJ2134" s="32" t="n">
        <x:f>H2134*v01_CommonsCoef*AI2134^v01_CommonsExp*INDEX(LM_Commons,G2134)</x:f>
        <x:v>0</x:v>
      </x:c>
      <x:c r="AK2134" s="32" t="n">
        <x:f>H2134*v01_RoleScale*Arch_Roles*(AE2134*(INDEX(v01_ElderRolePerSett,G2134)*v01_OutElder*INDEX(LM_Elder,G2134)+INDEX(v01_ShamanPerSett,G2134)*v01_OutShaman)+Z2134*(INDEX(v01_PriestShare,G2134)*v01_OutPriest+INDEX(v01_ScribeShare,G2134)*v01_OutScribe*INDEX(LM_Scribe,G2134)+INDEX(v01_ScholarShare,G2134)*v01_OutScholar*INDEX(LM_Scholar,G2134)+INDEX(v01_ResearcherShare,G2134)*v01_OutResearcher*INDEX(LM_Researcher,G2134)))</x:f>
        <x:v>0</x:v>
      </x:c>
      <x:c r="AL2134" s="32" t="n">
        <x:f>H2134*v01_RoleScale*Arch_Roles*AE2134*INDEX(v01_MonasteryPerSett,G2134)*v01_OutMonastery*INDEX(LM_Monastery,G2134)</x:f>
        <x:v>0</x:v>
      </x:c>
      <x:c r="AM2134" s="32" t="n">
        <x:f>(AJ2134+AK2134+AL2134)/4*INDEX(LM_All,G2134)*INDEX(v01_Boon,G2134)*Arch_Insight</x:f>
        <x:v>0</x:v>
      </x:c>
      <x:c r="AN2134" s="32" t="n">
        <x:f>H2134*(v01_KHPerAdult*Z2134+v01_KHOfCommons*AJ2134/4*INDEX(LM_All,G2134))*v01_KHUsable*Arch_KH</x:f>
        <x:v>0</x:v>
      </x:c>
      <x:c r="AO2134" s="32" t="n">
        <x:f>MIN(AP2133+AN2134,AM2134*v01_KHMaxRatio)</x:f>
        <x:v>0</x:v>
      </x:c>
      <x:c r="AP2134" s="32" t="n">
        <x:f>AP2133+AN2134-AO2134</x:f>
        <x:v>0</x:v>
      </x:c>
      <x:c r="AQ2134" s="32" t="n">
        <x:f>AM2134+AO2134</x:f>
        <x:v>0</x:v>
      </x:c>
      <x:c r="AR2134" s="10" t="n">
        <x:f>IF(H2134=1,INDEX(v01_Req,G2134),0)</x:f>
        <x:v>0</x:v>
      </x:c>
      <x:c r="AS2134" s="32" t="n">
        <x:f>IF(H2134=1,IF(E2134=1,AS2133-AR2133,AS2133)+AQ2134,0)</x:f>
        <x:v>0</x:v>
      </x:c>
      <x:c r="AT2134" s="11" t="n">
        <x:f>IF(AR2134&gt;0,MIN(1,AS2134/AR2134),1)</x:f>
        <x:v>1</x:v>
      </x:c>
      <x:c r="AU2134" s="10" t="n">
        <x:f>AB2134/INDEX(v01_RepScale,G2134)</x:f>
        <x:v>90.09519605746344</x:v>
      </x:c>
      <x:c r="AV2134" s="32" t="n">
        <x:f>AM2134*60/v01_SeasonSeconds</x:f>
        <x:v>0</x:v>
      </x:c>
    </x:row>
    <x:row r="2135">
      <x:c r="A2135" s="8" t="n">
        <x:f>A2134+1</x:f>
        <x:v>2132</x:v>
      </x:c>
      <x:c r="B2135" s="9" t="n">
        <x:f>A2135*v01_SeasonSeconds/60</x:f>
        <x:v>533</x:v>
      </x:c>
      <x:c r="C2135" s="9" t="n">
        <x:f>A2135/4</x:f>
        <x:v>533</x:v>
      </x:c>
      <x:c r="D2135" s="8" t="n">
        <x:f>IF(MOD(A2135,4)=0,1,0)</x:f>
        <x:v>1</x:v>
      </x:c>
      <x:c r="E2135" s="8" t="n">
        <x:f>IF(AND(F2134&lt;=9,AS2134&gt;=AR2134),1,0)</x:f>
        <x:v>0</x:v>
      </x:c>
      <x:c r="F2135" s="8" t="n">
        <x:f>MIN(10,F2134+E2135)</x:f>
        <x:v>10</x:v>
      </x:c>
      <x:c r="G2135" s="8" t="n">
        <x:f>MIN(F2135,9)+1</x:f>
        <x:v>10</x:v>
      </x:c>
      <x:c r="H2135" s="8" t="n">
        <x:f>IF(F2135&lt;=9,1,0)</x:f>
        <x:v>0</x:v>
      </x:c>
      <x:c r="I2135" s="9" t="n">
        <x:f>MIN(10,F2134+IF(AR2134&gt;0,MIN(1,AS2134/AR2134),1))</x:f>
        <x:v>10</x:v>
      </x:c>
      <x:c r="J2135" s="32" t="n">
        <x:f>INDEX(v01_FoodCap,G2135)*Arch_FoodCap*EXP(v01_CapsByProject*SUMPRODUCT((Cap_Point&lt;=I2135)*(Cap_Kind="Food")*Cap_Ln))</x:f>
        <x:v>12000</x:v>
      </x:c>
      <x:c r="K2135" s="32" t="n">
        <x:f>J2135*MIN(1,v01_LeanBase*EXP(v01_CapsByProject*SUMPRODUCT((Cap_Point&lt;=I2135)*(Cap_Kind="Lean")*Cap_Ln)))</x:f>
        <x:v>12000</x:v>
      </x:c>
      <x:c r="L2135" s="10" t="n">
        <x:f>INDEX(v01_HousingCap,G2135)*EXP(v01_CapsByProject*SUMPRODUCT((Cap_Point&lt;=I2135)*(Cap_Kind="Housing")*Cap_Ln))</x:f>
        <x:v>20000</x:v>
      </x:c>
      <x:c r="M2135" s="10" t="n">
        <x:f>INDEX(v01_GroupCap,G2135)*v01_CohesionFactor*EXP(v01_CapsByProject*SUMPRODUCT((Cap_Point&lt;=I2135)*(Cap_Kind="Group")*Cap_Ln))</x:f>
        <x:v>1000000</x:v>
      </x:c>
      <x:c r="N2135" s="32" t="n">
        <x:f>MIN(J2135,L2135,M2135)</x:f>
        <x:v>12000</x:v>
      </x:c>
      <x:c r="O2135" s="10" t="n">
        <x:f>AE2134*N2135</x:f>
        <x:v>180000</x:v>
      </x:c>
      <x:c r="P2135" s="9" t="n">
        <x:f>MIN(1,(AB2134/(AE2134*IF(v01_GroupInCrowding=1,N2135,MIN(J2135,L2135))))^v01_CrowdingExp)</x:f>
        <x:v>0.00024569414295285325</x:v>
      </x:c>
      <x:c r="Q2135" s="9" t="n">
        <x:f>IF(D2135=1,INDEX(v01_WinterMult,G2135),1)</x:f>
        <x:v>1</x:v>
      </x:c>
      <x:c r="R2135" s="9" t="n">
        <x:f>H2135*Z2134*v01_WomenShare*v01_BaseFertility*INDEX(v01_FertMult,G2135)*Arch_Fertility*(1-P2135)</x:f>
        <x:v>0</x:v>
      </x:c>
      <x:c r="S2135" s="9" t="n">
        <x:f>H2135*Y2134*INDEX(v01_MortChild,G2135)/4*Q2135</x:f>
        <x:v>0</x:v>
      </x:c>
      <x:c r="T2135" s="9" t="n">
        <x:f>H2135*Z2134*INDEX(v01_MortAdult,G2135)*Arch_AdultMort/4*Q2135</x:f>
        <x:v>0</x:v>
      </x:c>
      <x:c r="U2135" s="9" t="n">
        <x:f>H2135*AA2134*INDEX(v01_MortElder,G2135)/4*Q2135</x:f>
        <x:v>0</x:v>
      </x:c>
      <x:c r="V2135" s="9" t="n">
        <x:f>H2135*MAX(0,AB2134-O2135)*v01_OvercapLoss</x:f>
        <x:v>0</x:v>
      </x:c>
      <x:c r="W2135" s="9" t="n">
        <x:f>H2135*Y2134/(v01_ChildYears*4)</x:f>
        <x:v>0</x:v>
      </x:c>
      <x:c r="X2135" s="9" t="n">
        <x:f>H2135*Z2134/(v01_AdultYears*4)</x:f>
        <x:v>0</x:v>
      </x:c>
      <x:c r="Y2135" s="32" t="n">
        <x:f>Y2134+R2135-S2135-W2135-Y2134*V2135/AB2134</x:f>
        <x:v>14306.18539759397</x:v>
      </x:c>
      <x:c r="Z2135" s="32" t="n">
        <x:f>Z2134+W2135-X2135-T2135-Z2134*V2135/AB2134</x:f>
        <x:v>19354.456567879548</x:v>
      </x:c>
      <x:c r="AA2135" s="32" t="n">
        <x:f>AA2134+X2135-U2135-AA2134*V2135/AB2134</x:f>
        <x:v>11386.956063258198</x:v>
      </x:c>
      <x:c r="AB2135" s="10" t="n">
        <x:f>Y2135+Z2135+AA2135</x:f>
        <x:v>45047.59802873172</x:v>
      </x:c>
      <x:c r="AC2135" s="8" t="n">
        <x:f>IF(AND(v01_WinterTrigger=1,D2135=1,AB2134/AE2134&gt;=K2135),1,0)</x:f>
        <x:v>0</x:v>
      </x:c>
      <x:c r="AD2135" s="8" t="n">
        <x:f>H2135*IF(AND(OR(AB2134/AE2134&gt;=v01_FissionTrigger*N2135,AC2135=1),AB2134/AE2134*v01_DaughterShare&gt;=v01_MinDaughter),MAX(1,ROUND(AE2134*v01_FissionRate,0)),0)</x:f>
        <x:v>0</x:v>
      </x:c>
      <x:c r="AE2135" s="8" t="n">
        <x:f>IF(H2135=1,MAX(1,MIN(INDEX(v01_Smax,G2135),AE2134+AD2135)),AE2134)</x:f>
        <x:v>15</x:v>
      </x:c>
      <x:c r="AF2135" s="8" t="n">
        <x:f>MAX(0,AE2135-AE2134)</x:f>
        <x:v>0</x:v>
      </x:c>
      <x:c r="AG2135" s="9" t="str">
        <x:f>IF(AF2135&gt;0,B2135,"")</x:f>
      </x:c>
      <x:c r="AH2135" s="9" t="n">
        <x:f>IF(F2135&gt;=1,1,(1+v01_LowTiesShare*(AE2135-1))/AE2135)</x:f>
        <x:v>1</x:v>
      </x:c>
      <x:c r="AI2135" s="32" t="n">
        <x:f>(Z2135+v01_ElderCommons*INDEX(LM_Elder,G2135)*AA2135)*AH2135</x:f>
        <x:v>64139.732591141874</x:v>
      </x:c>
      <x:c r="AJ2135" s="32" t="n">
        <x:f>H2135*v01_CommonsCoef*AI2135^v01_CommonsExp*INDEX(LM_Commons,G2135)</x:f>
        <x:v>0</x:v>
      </x:c>
      <x:c r="AK2135" s="32" t="n">
        <x:f>H2135*v01_RoleScale*Arch_Roles*(AE2135*(INDEX(v01_ElderRolePerSett,G2135)*v01_OutElder*INDEX(LM_Elder,G2135)+INDEX(v01_ShamanPerSett,G2135)*v01_OutShaman)+Z2135*(INDEX(v01_PriestShare,G2135)*v01_OutPriest+INDEX(v01_ScribeShare,G2135)*v01_OutScribe*INDEX(LM_Scribe,G2135)+INDEX(v01_ScholarShare,G2135)*v01_OutScholar*INDEX(LM_Scholar,G2135)+INDEX(v01_ResearcherShare,G2135)*v01_OutResearcher*INDEX(LM_Researcher,G2135)))</x:f>
        <x:v>0</x:v>
      </x:c>
      <x:c r="AL2135" s="32" t="n">
        <x:f>H2135*v01_RoleScale*Arch_Roles*AE2135*INDEX(v01_MonasteryPerSett,G2135)*v01_OutMonastery*INDEX(LM_Monastery,G2135)</x:f>
        <x:v>0</x:v>
      </x:c>
      <x:c r="AM2135" s="32" t="n">
        <x:f>(AJ2135+AK2135+AL2135)/4*INDEX(LM_All,G2135)*INDEX(v01_Boon,G2135)*Arch_Insight</x:f>
        <x:v>0</x:v>
      </x:c>
      <x:c r="AN2135" s="32" t="n">
        <x:f>H2135*(v01_KHPerAdult*Z2135+v01_KHOfCommons*AJ2135/4*INDEX(LM_All,G2135))*v01_KHUsable*Arch_KH</x:f>
        <x:v>0</x:v>
      </x:c>
      <x:c r="AO2135" s="32" t="n">
        <x:f>MIN(AP2134+AN2135,AM2135*v01_KHMaxRatio)</x:f>
        <x:v>0</x:v>
      </x:c>
      <x:c r="AP2135" s="32" t="n">
        <x:f>AP2134+AN2135-AO2135</x:f>
        <x:v>0</x:v>
      </x:c>
      <x:c r="AQ2135" s="32" t="n">
        <x:f>AM2135+AO2135</x:f>
        <x:v>0</x:v>
      </x:c>
      <x:c r="AR2135" s="10" t="n">
        <x:f>IF(H2135=1,INDEX(v01_Req,G2135),0)</x:f>
        <x:v>0</x:v>
      </x:c>
      <x:c r="AS2135" s="32" t="n">
        <x:f>IF(H2135=1,IF(E2135=1,AS2134-AR2134,AS2134)+AQ2135,0)</x:f>
        <x:v>0</x:v>
      </x:c>
      <x:c r="AT2135" s="11" t="n">
        <x:f>IF(AR2135&gt;0,MIN(1,AS2135/AR2135),1)</x:f>
        <x:v>1</x:v>
      </x:c>
      <x:c r="AU2135" s="10" t="n">
        <x:f>AB2135/INDEX(v01_RepScale,G2135)</x:f>
        <x:v>90.09519605746344</x:v>
      </x:c>
      <x:c r="AV2135" s="32" t="n">
        <x:f>AM2135*60/v01_SeasonSeconds</x:f>
        <x:v>0</x:v>
      </x:c>
    </x:row>
    <x:row r="2136">
      <x:c r="A2136" s="8" t="n">
        <x:f>A2135+1</x:f>
        <x:v>2133</x:v>
      </x:c>
      <x:c r="B2136" s="9" t="n">
        <x:f>A2136*v01_SeasonSeconds/60</x:f>
        <x:v>533.25</x:v>
      </x:c>
      <x:c r="C2136" s="9" t="n">
        <x:f>A2136/4</x:f>
        <x:v>533.25</x:v>
      </x:c>
      <x:c r="D2136" s="8" t="n">
        <x:f>IF(MOD(A2136,4)=0,1,0)</x:f>
        <x:v>0</x:v>
      </x:c>
      <x:c r="E2136" s="8" t="n">
        <x:f>IF(AND(F2135&lt;=9,AS2135&gt;=AR2135),1,0)</x:f>
        <x:v>0</x:v>
      </x:c>
      <x:c r="F2136" s="8" t="n">
        <x:f>MIN(10,F2135+E2136)</x:f>
        <x:v>10</x:v>
      </x:c>
      <x:c r="G2136" s="8" t="n">
        <x:f>MIN(F2136,9)+1</x:f>
        <x:v>10</x:v>
      </x:c>
      <x:c r="H2136" s="8" t="n">
        <x:f>IF(F2136&lt;=9,1,0)</x:f>
        <x:v>0</x:v>
      </x:c>
      <x:c r="I2136" s="9" t="n">
        <x:f>MIN(10,F2135+IF(AR2135&gt;0,MIN(1,AS2135/AR2135),1))</x:f>
        <x:v>10</x:v>
      </x:c>
      <x:c r="J2136" s="32" t="n">
        <x:f>INDEX(v01_FoodCap,G2136)*Arch_FoodCap*EXP(v01_CapsByProject*SUMPRODUCT((Cap_Point&lt;=I2136)*(Cap_Kind="Food")*Cap_Ln))</x:f>
        <x:v>12000</x:v>
      </x:c>
      <x:c r="K2136" s="32" t="n">
        <x:f>J2136*MIN(1,v01_LeanBase*EXP(v01_CapsByProject*SUMPRODUCT((Cap_Point&lt;=I2136)*(Cap_Kind="Lean")*Cap_Ln)))</x:f>
        <x:v>12000</x:v>
      </x:c>
      <x:c r="L2136" s="10" t="n">
        <x:f>INDEX(v01_HousingCap,G2136)*EXP(v01_CapsByProject*SUMPRODUCT((Cap_Point&lt;=I2136)*(Cap_Kind="Housing")*Cap_Ln))</x:f>
        <x:v>20000</x:v>
      </x:c>
      <x:c r="M2136" s="10" t="n">
        <x:f>INDEX(v01_GroupCap,G2136)*v01_CohesionFactor*EXP(v01_CapsByProject*SUMPRODUCT((Cap_Point&lt;=I2136)*(Cap_Kind="Group")*Cap_Ln))</x:f>
        <x:v>1000000</x:v>
      </x:c>
      <x:c r="N2136" s="32" t="n">
        <x:f>MIN(J2136,L2136,M2136)</x:f>
        <x:v>12000</x:v>
      </x:c>
      <x:c r="O2136" s="10" t="n">
        <x:f>AE2135*N2136</x:f>
        <x:v>180000</x:v>
      </x:c>
      <x:c r="P2136" s="9" t="n">
        <x:f>MIN(1,(AB2135/(AE2135*IF(v01_GroupInCrowding=1,N2136,MIN(J2136,L2136))))^v01_CrowdingExp)</x:f>
        <x:v>0.00024569414295285325</x:v>
      </x:c>
      <x:c r="Q2136" s="9" t="n">
        <x:f>IF(D2136=1,INDEX(v01_WinterMult,G2136),1)</x:f>
        <x:v>1</x:v>
      </x:c>
      <x:c r="R2136" s="9" t="n">
        <x:f>H2136*Z2135*v01_WomenShare*v01_BaseFertility*INDEX(v01_FertMult,G2136)*Arch_Fertility*(1-P2136)</x:f>
        <x:v>0</x:v>
      </x:c>
      <x:c r="S2136" s="9" t="n">
        <x:f>H2136*Y2135*INDEX(v01_MortChild,G2136)/4*Q2136</x:f>
        <x:v>0</x:v>
      </x:c>
      <x:c r="T2136" s="9" t="n">
        <x:f>H2136*Z2135*INDEX(v01_MortAdult,G2136)*Arch_AdultMort/4*Q2136</x:f>
        <x:v>0</x:v>
      </x:c>
      <x:c r="U2136" s="9" t="n">
        <x:f>H2136*AA2135*INDEX(v01_MortElder,G2136)/4*Q2136</x:f>
        <x:v>0</x:v>
      </x:c>
      <x:c r="V2136" s="9" t="n">
        <x:f>H2136*MAX(0,AB2135-O2136)*v01_OvercapLoss</x:f>
        <x:v>0</x:v>
      </x:c>
      <x:c r="W2136" s="9" t="n">
        <x:f>H2136*Y2135/(v01_ChildYears*4)</x:f>
        <x:v>0</x:v>
      </x:c>
      <x:c r="X2136" s="9" t="n">
        <x:f>H2136*Z2135/(v01_AdultYears*4)</x:f>
        <x:v>0</x:v>
      </x:c>
      <x:c r="Y2136" s="32" t="n">
        <x:f>Y2135+R2136-S2136-W2136-Y2135*V2136/AB2135</x:f>
        <x:v>14306.18539759397</x:v>
      </x:c>
      <x:c r="Z2136" s="32" t="n">
        <x:f>Z2135+W2136-X2136-T2136-Z2135*V2136/AB2135</x:f>
        <x:v>19354.456567879548</x:v>
      </x:c>
      <x:c r="AA2136" s="32" t="n">
        <x:f>AA2135+X2136-U2136-AA2135*V2136/AB2135</x:f>
        <x:v>11386.956063258198</x:v>
      </x:c>
      <x:c r="AB2136" s="10" t="n">
        <x:f>Y2136+Z2136+AA2136</x:f>
        <x:v>45047.59802873172</x:v>
      </x:c>
      <x:c r="AC2136" s="8" t="n">
        <x:f>IF(AND(v01_WinterTrigger=1,D2136=1,AB2135/AE2135&gt;=K2136),1,0)</x:f>
        <x:v>0</x:v>
      </x:c>
      <x:c r="AD2136" s="8" t="n">
        <x:f>H2136*IF(AND(OR(AB2135/AE2135&gt;=v01_FissionTrigger*N2136,AC2136=1),AB2135/AE2135*v01_DaughterShare&gt;=v01_MinDaughter),MAX(1,ROUND(AE2135*v01_FissionRate,0)),0)</x:f>
        <x:v>0</x:v>
      </x:c>
      <x:c r="AE2136" s="8" t="n">
        <x:f>IF(H2136=1,MAX(1,MIN(INDEX(v01_Smax,G2136),AE2135+AD2136)),AE2135)</x:f>
        <x:v>15</x:v>
      </x:c>
      <x:c r="AF2136" s="8" t="n">
        <x:f>MAX(0,AE2136-AE2135)</x:f>
        <x:v>0</x:v>
      </x:c>
      <x:c r="AG2136" s="9" t="str">
        <x:f>IF(AF2136&gt;0,B2136,"")</x:f>
      </x:c>
      <x:c r="AH2136" s="9" t="n">
        <x:f>IF(F2136&gt;=1,1,(1+v01_LowTiesShare*(AE2136-1))/AE2136)</x:f>
        <x:v>1</x:v>
      </x:c>
      <x:c r="AI2136" s="32" t="n">
        <x:f>(Z2136+v01_ElderCommons*INDEX(LM_Elder,G2136)*AA2136)*AH2136</x:f>
        <x:v>64139.732591141874</x:v>
      </x:c>
      <x:c r="AJ2136" s="32" t="n">
        <x:f>H2136*v01_CommonsCoef*AI2136^v01_CommonsExp*INDEX(LM_Commons,G2136)</x:f>
        <x:v>0</x:v>
      </x:c>
      <x:c r="AK2136" s="32" t="n">
        <x:f>H2136*v01_RoleScale*Arch_Roles*(AE2136*(INDEX(v01_ElderRolePerSett,G2136)*v01_OutElder*INDEX(LM_Elder,G2136)+INDEX(v01_ShamanPerSett,G2136)*v01_OutShaman)+Z2136*(INDEX(v01_PriestShare,G2136)*v01_OutPriest+INDEX(v01_ScribeShare,G2136)*v01_OutScribe*INDEX(LM_Scribe,G2136)+INDEX(v01_ScholarShare,G2136)*v01_OutScholar*INDEX(LM_Scholar,G2136)+INDEX(v01_ResearcherShare,G2136)*v01_OutResearcher*INDEX(LM_Researcher,G2136)))</x:f>
        <x:v>0</x:v>
      </x:c>
      <x:c r="AL2136" s="32" t="n">
        <x:f>H2136*v01_RoleScale*Arch_Roles*AE2136*INDEX(v01_MonasteryPerSett,G2136)*v01_OutMonastery*INDEX(LM_Monastery,G2136)</x:f>
        <x:v>0</x:v>
      </x:c>
      <x:c r="AM2136" s="32" t="n">
        <x:f>(AJ2136+AK2136+AL2136)/4*INDEX(LM_All,G2136)*INDEX(v01_Boon,G2136)*Arch_Insight</x:f>
        <x:v>0</x:v>
      </x:c>
      <x:c r="AN2136" s="32" t="n">
        <x:f>H2136*(v01_KHPerAdult*Z2136+v01_KHOfCommons*AJ2136/4*INDEX(LM_All,G2136))*v01_KHUsable*Arch_KH</x:f>
        <x:v>0</x:v>
      </x:c>
      <x:c r="AO2136" s="32" t="n">
        <x:f>MIN(AP2135+AN2136,AM2136*v01_KHMaxRatio)</x:f>
        <x:v>0</x:v>
      </x:c>
      <x:c r="AP2136" s="32" t="n">
        <x:f>AP2135+AN2136-AO2136</x:f>
        <x:v>0</x:v>
      </x:c>
      <x:c r="AQ2136" s="32" t="n">
        <x:f>AM2136+AO2136</x:f>
        <x:v>0</x:v>
      </x:c>
      <x:c r="AR2136" s="10" t="n">
        <x:f>IF(H2136=1,INDEX(v01_Req,G2136),0)</x:f>
        <x:v>0</x:v>
      </x:c>
      <x:c r="AS2136" s="32" t="n">
        <x:f>IF(H2136=1,IF(E2136=1,AS2135-AR2135,AS2135)+AQ2136,0)</x:f>
        <x:v>0</x:v>
      </x:c>
      <x:c r="AT2136" s="11" t="n">
        <x:f>IF(AR2136&gt;0,MIN(1,AS2136/AR2136),1)</x:f>
        <x:v>1</x:v>
      </x:c>
      <x:c r="AU2136" s="10" t="n">
        <x:f>AB2136/INDEX(v01_RepScale,G2136)</x:f>
        <x:v>90.09519605746344</x:v>
      </x:c>
      <x:c r="AV2136" s="32" t="n">
        <x:f>AM2136*60/v01_SeasonSeconds</x:f>
        <x:v>0</x:v>
      </x:c>
    </x:row>
    <x:row r="2137">
      <x:c r="A2137" s="8" t="n">
        <x:f>A2136+1</x:f>
        <x:v>2134</x:v>
      </x:c>
      <x:c r="B2137" s="9" t="n">
        <x:f>A2137*v01_SeasonSeconds/60</x:f>
        <x:v>533.5</x:v>
      </x:c>
      <x:c r="C2137" s="9" t="n">
        <x:f>A2137/4</x:f>
        <x:v>533.5</x:v>
      </x:c>
      <x:c r="D2137" s="8" t="n">
        <x:f>IF(MOD(A2137,4)=0,1,0)</x:f>
        <x:v>0</x:v>
      </x:c>
      <x:c r="E2137" s="8" t="n">
        <x:f>IF(AND(F2136&lt;=9,AS2136&gt;=AR2136),1,0)</x:f>
        <x:v>0</x:v>
      </x:c>
      <x:c r="F2137" s="8" t="n">
        <x:f>MIN(10,F2136+E2137)</x:f>
        <x:v>10</x:v>
      </x:c>
      <x:c r="G2137" s="8" t="n">
        <x:f>MIN(F2137,9)+1</x:f>
        <x:v>10</x:v>
      </x:c>
      <x:c r="H2137" s="8" t="n">
        <x:f>IF(F2137&lt;=9,1,0)</x:f>
        <x:v>0</x:v>
      </x:c>
      <x:c r="I2137" s="9" t="n">
        <x:f>MIN(10,F2136+IF(AR2136&gt;0,MIN(1,AS2136/AR2136),1))</x:f>
        <x:v>10</x:v>
      </x:c>
      <x:c r="J2137" s="32" t="n">
        <x:f>INDEX(v01_FoodCap,G2137)*Arch_FoodCap*EXP(v01_CapsByProject*SUMPRODUCT((Cap_Point&lt;=I2137)*(Cap_Kind="Food")*Cap_Ln))</x:f>
        <x:v>12000</x:v>
      </x:c>
      <x:c r="K2137" s="32" t="n">
        <x:f>J2137*MIN(1,v01_LeanBase*EXP(v01_CapsByProject*SUMPRODUCT((Cap_Point&lt;=I2137)*(Cap_Kind="Lean")*Cap_Ln)))</x:f>
        <x:v>12000</x:v>
      </x:c>
      <x:c r="L2137" s="10" t="n">
        <x:f>INDEX(v01_HousingCap,G2137)*EXP(v01_CapsByProject*SUMPRODUCT((Cap_Point&lt;=I2137)*(Cap_Kind="Housing")*Cap_Ln))</x:f>
        <x:v>20000</x:v>
      </x:c>
      <x:c r="M2137" s="10" t="n">
        <x:f>INDEX(v01_GroupCap,G2137)*v01_CohesionFactor*EXP(v01_CapsByProject*SUMPRODUCT((Cap_Point&lt;=I2137)*(Cap_Kind="Group")*Cap_Ln))</x:f>
        <x:v>1000000</x:v>
      </x:c>
      <x:c r="N2137" s="32" t="n">
        <x:f>MIN(J2137,L2137,M2137)</x:f>
        <x:v>12000</x:v>
      </x:c>
      <x:c r="O2137" s="10" t="n">
        <x:f>AE2136*N2137</x:f>
        <x:v>180000</x:v>
      </x:c>
      <x:c r="P2137" s="9" t="n">
        <x:f>MIN(1,(AB2136/(AE2136*IF(v01_GroupInCrowding=1,N2137,MIN(J2137,L2137))))^v01_CrowdingExp)</x:f>
        <x:v>0.00024569414295285325</x:v>
      </x:c>
      <x:c r="Q2137" s="9" t="n">
        <x:f>IF(D2137=1,INDEX(v01_WinterMult,G2137),1)</x:f>
        <x:v>1</x:v>
      </x:c>
      <x:c r="R2137" s="9" t="n">
        <x:f>H2137*Z2136*v01_WomenShare*v01_BaseFertility*INDEX(v01_FertMult,G2137)*Arch_Fertility*(1-P2137)</x:f>
        <x:v>0</x:v>
      </x:c>
      <x:c r="S2137" s="9" t="n">
        <x:f>H2137*Y2136*INDEX(v01_MortChild,G2137)/4*Q2137</x:f>
        <x:v>0</x:v>
      </x:c>
      <x:c r="T2137" s="9" t="n">
        <x:f>H2137*Z2136*INDEX(v01_MortAdult,G2137)*Arch_AdultMort/4*Q2137</x:f>
        <x:v>0</x:v>
      </x:c>
      <x:c r="U2137" s="9" t="n">
        <x:f>H2137*AA2136*INDEX(v01_MortElder,G2137)/4*Q2137</x:f>
        <x:v>0</x:v>
      </x:c>
      <x:c r="V2137" s="9" t="n">
        <x:f>H2137*MAX(0,AB2136-O2137)*v01_OvercapLoss</x:f>
        <x:v>0</x:v>
      </x:c>
      <x:c r="W2137" s="9" t="n">
        <x:f>H2137*Y2136/(v01_ChildYears*4)</x:f>
        <x:v>0</x:v>
      </x:c>
      <x:c r="X2137" s="9" t="n">
        <x:f>H2137*Z2136/(v01_AdultYears*4)</x:f>
        <x:v>0</x:v>
      </x:c>
      <x:c r="Y2137" s="32" t="n">
        <x:f>Y2136+R2137-S2137-W2137-Y2136*V2137/AB2136</x:f>
        <x:v>14306.18539759397</x:v>
      </x:c>
      <x:c r="Z2137" s="32" t="n">
        <x:f>Z2136+W2137-X2137-T2137-Z2136*V2137/AB2136</x:f>
        <x:v>19354.456567879548</x:v>
      </x:c>
      <x:c r="AA2137" s="32" t="n">
        <x:f>AA2136+X2137-U2137-AA2136*V2137/AB2136</x:f>
        <x:v>11386.956063258198</x:v>
      </x:c>
      <x:c r="AB2137" s="10" t="n">
        <x:f>Y2137+Z2137+AA2137</x:f>
        <x:v>45047.59802873172</x:v>
      </x:c>
      <x:c r="AC2137" s="8" t="n">
        <x:f>IF(AND(v01_WinterTrigger=1,D2137=1,AB2136/AE2136&gt;=K2137),1,0)</x:f>
        <x:v>0</x:v>
      </x:c>
      <x:c r="AD2137" s="8" t="n">
        <x:f>H2137*IF(AND(OR(AB2136/AE2136&gt;=v01_FissionTrigger*N2137,AC2137=1),AB2136/AE2136*v01_DaughterShare&gt;=v01_MinDaughter),MAX(1,ROUND(AE2136*v01_FissionRate,0)),0)</x:f>
        <x:v>0</x:v>
      </x:c>
      <x:c r="AE2137" s="8" t="n">
        <x:f>IF(H2137=1,MAX(1,MIN(INDEX(v01_Smax,G2137),AE2136+AD2137)),AE2136)</x:f>
        <x:v>15</x:v>
      </x:c>
      <x:c r="AF2137" s="8" t="n">
        <x:f>MAX(0,AE2137-AE2136)</x:f>
        <x:v>0</x:v>
      </x:c>
      <x:c r="AG2137" s="9" t="str">
        <x:f>IF(AF2137&gt;0,B2137,"")</x:f>
      </x:c>
      <x:c r="AH2137" s="9" t="n">
        <x:f>IF(F2137&gt;=1,1,(1+v01_LowTiesShare*(AE2137-1))/AE2137)</x:f>
        <x:v>1</x:v>
      </x:c>
      <x:c r="AI2137" s="32" t="n">
        <x:f>(Z2137+v01_ElderCommons*INDEX(LM_Elder,G2137)*AA2137)*AH2137</x:f>
        <x:v>64139.732591141874</x:v>
      </x:c>
      <x:c r="AJ2137" s="32" t="n">
        <x:f>H2137*v01_CommonsCoef*AI2137^v01_CommonsExp*INDEX(LM_Commons,G2137)</x:f>
        <x:v>0</x:v>
      </x:c>
      <x:c r="AK2137" s="32" t="n">
        <x:f>H2137*v01_RoleScale*Arch_Roles*(AE2137*(INDEX(v01_ElderRolePerSett,G2137)*v01_OutElder*INDEX(LM_Elder,G2137)+INDEX(v01_ShamanPerSett,G2137)*v01_OutShaman)+Z2137*(INDEX(v01_PriestShare,G2137)*v01_OutPriest+INDEX(v01_ScribeShare,G2137)*v01_OutScribe*INDEX(LM_Scribe,G2137)+INDEX(v01_ScholarShare,G2137)*v01_OutScholar*INDEX(LM_Scholar,G2137)+INDEX(v01_ResearcherShare,G2137)*v01_OutResearcher*INDEX(LM_Researcher,G2137)))</x:f>
        <x:v>0</x:v>
      </x:c>
      <x:c r="AL2137" s="32" t="n">
        <x:f>H2137*v01_RoleScale*Arch_Roles*AE2137*INDEX(v01_MonasteryPerSett,G2137)*v01_OutMonastery*INDEX(LM_Monastery,G2137)</x:f>
        <x:v>0</x:v>
      </x:c>
      <x:c r="AM2137" s="32" t="n">
        <x:f>(AJ2137+AK2137+AL2137)/4*INDEX(LM_All,G2137)*INDEX(v01_Boon,G2137)*Arch_Insight</x:f>
        <x:v>0</x:v>
      </x:c>
      <x:c r="AN2137" s="32" t="n">
        <x:f>H2137*(v01_KHPerAdult*Z2137+v01_KHOfCommons*AJ2137/4*INDEX(LM_All,G2137))*v01_KHUsable*Arch_KH</x:f>
        <x:v>0</x:v>
      </x:c>
      <x:c r="AO2137" s="32" t="n">
        <x:f>MIN(AP2136+AN2137,AM2137*v01_KHMaxRatio)</x:f>
        <x:v>0</x:v>
      </x:c>
      <x:c r="AP2137" s="32" t="n">
        <x:f>AP2136+AN2137-AO2137</x:f>
        <x:v>0</x:v>
      </x:c>
      <x:c r="AQ2137" s="32" t="n">
        <x:f>AM2137+AO2137</x:f>
        <x:v>0</x:v>
      </x:c>
      <x:c r="AR2137" s="10" t="n">
        <x:f>IF(H2137=1,INDEX(v01_Req,G2137),0)</x:f>
        <x:v>0</x:v>
      </x:c>
      <x:c r="AS2137" s="32" t="n">
        <x:f>IF(H2137=1,IF(E2137=1,AS2136-AR2136,AS2136)+AQ2137,0)</x:f>
        <x:v>0</x:v>
      </x:c>
      <x:c r="AT2137" s="11" t="n">
        <x:f>IF(AR2137&gt;0,MIN(1,AS2137/AR2137),1)</x:f>
        <x:v>1</x:v>
      </x:c>
      <x:c r="AU2137" s="10" t="n">
        <x:f>AB2137/INDEX(v01_RepScale,G2137)</x:f>
        <x:v>90.09519605746344</x:v>
      </x:c>
      <x:c r="AV2137" s="32" t="n">
        <x:f>AM2137*60/v01_SeasonSeconds</x:f>
        <x:v>0</x:v>
      </x:c>
    </x:row>
    <x:row r="2138">
      <x:c r="A2138" s="8" t="n">
        <x:f>A2137+1</x:f>
        <x:v>2135</x:v>
      </x:c>
      <x:c r="B2138" s="9" t="n">
        <x:f>A2138*v01_SeasonSeconds/60</x:f>
        <x:v>533.75</x:v>
      </x:c>
      <x:c r="C2138" s="9" t="n">
        <x:f>A2138/4</x:f>
        <x:v>533.75</x:v>
      </x:c>
      <x:c r="D2138" s="8" t="n">
        <x:f>IF(MOD(A2138,4)=0,1,0)</x:f>
        <x:v>0</x:v>
      </x:c>
      <x:c r="E2138" s="8" t="n">
        <x:f>IF(AND(F2137&lt;=9,AS2137&gt;=AR2137),1,0)</x:f>
        <x:v>0</x:v>
      </x:c>
      <x:c r="F2138" s="8" t="n">
        <x:f>MIN(10,F2137+E2138)</x:f>
        <x:v>10</x:v>
      </x:c>
      <x:c r="G2138" s="8" t="n">
        <x:f>MIN(F2138,9)+1</x:f>
        <x:v>10</x:v>
      </x:c>
      <x:c r="H2138" s="8" t="n">
        <x:f>IF(F2138&lt;=9,1,0)</x:f>
        <x:v>0</x:v>
      </x:c>
      <x:c r="I2138" s="9" t="n">
        <x:f>MIN(10,F2137+IF(AR2137&gt;0,MIN(1,AS2137/AR2137),1))</x:f>
        <x:v>10</x:v>
      </x:c>
      <x:c r="J2138" s="32" t="n">
        <x:f>INDEX(v01_FoodCap,G2138)*Arch_FoodCap*EXP(v01_CapsByProject*SUMPRODUCT((Cap_Point&lt;=I2138)*(Cap_Kind="Food")*Cap_Ln))</x:f>
        <x:v>12000</x:v>
      </x:c>
      <x:c r="K2138" s="32" t="n">
        <x:f>J2138*MIN(1,v01_LeanBase*EXP(v01_CapsByProject*SUMPRODUCT((Cap_Point&lt;=I2138)*(Cap_Kind="Lean")*Cap_Ln)))</x:f>
        <x:v>12000</x:v>
      </x:c>
      <x:c r="L2138" s="10" t="n">
        <x:f>INDEX(v01_HousingCap,G2138)*EXP(v01_CapsByProject*SUMPRODUCT((Cap_Point&lt;=I2138)*(Cap_Kind="Housing")*Cap_Ln))</x:f>
        <x:v>20000</x:v>
      </x:c>
      <x:c r="M2138" s="10" t="n">
        <x:f>INDEX(v01_GroupCap,G2138)*v01_CohesionFactor*EXP(v01_CapsByProject*SUMPRODUCT((Cap_Point&lt;=I2138)*(Cap_Kind="Group")*Cap_Ln))</x:f>
        <x:v>1000000</x:v>
      </x:c>
      <x:c r="N2138" s="32" t="n">
        <x:f>MIN(J2138,L2138,M2138)</x:f>
        <x:v>12000</x:v>
      </x:c>
      <x:c r="O2138" s="10" t="n">
        <x:f>AE2137*N2138</x:f>
        <x:v>180000</x:v>
      </x:c>
      <x:c r="P2138" s="9" t="n">
        <x:f>MIN(1,(AB2137/(AE2137*IF(v01_GroupInCrowding=1,N2138,MIN(J2138,L2138))))^v01_CrowdingExp)</x:f>
        <x:v>0.00024569414295285325</x:v>
      </x:c>
      <x:c r="Q2138" s="9" t="n">
        <x:f>IF(D2138=1,INDEX(v01_WinterMult,G2138),1)</x:f>
        <x:v>1</x:v>
      </x:c>
      <x:c r="R2138" s="9" t="n">
        <x:f>H2138*Z2137*v01_WomenShare*v01_BaseFertility*INDEX(v01_FertMult,G2138)*Arch_Fertility*(1-P2138)</x:f>
        <x:v>0</x:v>
      </x:c>
      <x:c r="S2138" s="9" t="n">
        <x:f>H2138*Y2137*INDEX(v01_MortChild,G2138)/4*Q2138</x:f>
        <x:v>0</x:v>
      </x:c>
      <x:c r="T2138" s="9" t="n">
        <x:f>H2138*Z2137*INDEX(v01_MortAdult,G2138)*Arch_AdultMort/4*Q2138</x:f>
        <x:v>0</x:v>
      </x:c>
      <x:c r="U2138" s="9" t="n">
        <x:f>H2138*AA2137*INDEX(v01_MortElder,G2138)/4*Q2138</x:f>
        <x:v>0</x:v>
      </x:c>
      <x:c r="V2138" s="9" t="n">
        <x:f>H2138*MAX(0,AB2137-O2138)*v01_OvercapLoss</x:f>
        <x:v>0</x:v>
      </x:c>
      <x:c r="W2138" s="9" t="n">
        <x:f>H2138*Y2137/(v01_ChildYears*4)</x:f>
        <x:v>0</x:v>
      </x:c>
      <x:c r="X2138" s="9" t="n">
        <x:f>H2138*Z2137/(v01_AdultYears*4)</x:f>
        <x:v>0</x:v>
      </x:c>
      <x:c r="Y2138" s="32" t="n">
        <x:f>Y2137+R2138-S2138-W2138-Y2137*V2138/AB2137</x:f>
        <x:v>14306.18539759397</x:v>
      </x:c>
      <x:c r="Z2138" s="32" t="n">
        <x:f>Z2137+W2138-X2138-T2138-Z2137*V2138/AB2137</x:f>
        <x:v>19354.456567879548</x:v>
      </x:c>
      <x:c r="AA2138" s="32" t="n">
        <x:f>AA2137+X2138-U2138-AA2137*V2138/AB2137</x:f>
        <x:v>11386.956063258198</x:v>
      </x:c>
      <x:c r="AB2138" s="10" t="n">
        <x:f>Y2138+Z2138+AA2138</x:f>
        <x:v>45047.59802873172</x:v>
      </x:c>
      <x:c r="AC2138" s="8" t="n">
        <x:f>IF(AND(v01_WinterTrigger=1,D2138=1,AB2137/AE2137&gt;=K2138),1,0)</x:f>
        <x:v>0</x:v>
      </x:c>
      <x:c r="AD2138" s="8" t="n">
        <x:f>H2138*IF(AND(OR(AB2137/AE2137&gt;=v01_FissionTrigger*N2138,AC2138=1),AB2137/AE2137*v01_DaughterShare&gt;=v01_MinDaughter),MAX(1,ROUND(AE2137*v01_FissionRate,0)),0)</x:f>
        <x:v>0</x:v>
      </x:c>
      <x:c r="AE2138" s="8" t="n">
        <x:f>IF(H2138=1,MAX(1,MIN(INDEX(v01_Smax,G2138),AE2137+AD2138)),AE2137)</x:f>
        <x:v>15</x:v>
      </x:c>
      <x:c r="AF2138" s="8" t="n">
        <x:f>MAX(0,AE2138-AE2137)</x:f>
        <x:v>0</x:v>
      </x:c>
      <x:c r="AG2138" s="9" t="str">
        <x:f>IF(AF2138&gt;0,B2138,"")</x:f>
      </x:c>
      <x:c r="AH2138" s="9" t="n">
        <x:f>IF(F2138&gt;=1,1,(1+v01_LowTiesShare*(AE2138-1))/AE2138)</x:f>
        <x:v>1</x:v>
      </x:c>
      <x:c r="AI2138" s="32" t="n">
        <x:f>(Z2138+v01_ElderCommons*INDEX(LM_Elder,G2138)*AA2138)*AH2138</x:f>
        <x:v>64139.732591141874</x:v>
      </x:c>
      <x:c r="AJ2138" s="32" t="n">
        <x:f>H2138*v01_CommonsCoef*AI2138^v01_CommonsExp*INDEX(LM_Commons,G2138)</x:f>
        <x:v>0</x:v>
      </x:c>
      <x:c r="AK2138" s="32" t="n">
        <x:f>H2138*v01_RoleScale*Arch_Roles*(AE2138*(INDEX(v01_ElderRolePerSett,G2138)*v01_OutElder*INDEX(LM_Elder,G2138)+INDEX(v01_ShamanPerSett,G2138)*v01_OutShaman)+Z2138*(INDEX(v01_PriestShare,G2138)*v01_OutPriest+INDEX(v01_ScribeShare,G2138)*v01_OutScribe*INDEX(LM_Scribe,G2138)+INDEX(v01_ScholarShare,G2138)*v01_OutScholar*INDEX(LM_Scholar,G2138)+INDEX(v01_ResearcherShare,G2138)*v01_OutResearcher*INDEX(LM_Researcher,G2138)))</x:f>
        <x:v>0</x:v>
      </x:c>
      <x:c r="AL2138" s="32" t="n">
        <x:f>H2138*v01_RoleScale*Arch_Roles*AE2138*INDEX(v01_MonasteryPerSett,G2138)*v01_OutMonastery*INDEX(LM_Monastery,G2138)</x:f>
        <x:v>0</x:v>
      </x:c>
      <x:c r="AM2138" s="32" t="n">
        <x:f>(AJ2138+AK2138+AL2138)/4*INDEX(LM_All,G2138)*INDEX(v01_Boon,G2138)*Arch_Insight</x:f>
        <x:v>0</x:v>
      </x:c>
      <x:c r="AN2138" s="32" t="n">
        <x:f>H2138*(v01_KHPerAdult*Z2138+v01_KHOfCommons*AJ2138/4*INDEX(LM_All,G2138))*v01_KHUsable*Arch_KH</x:f>
        <x:v>0</x:v>
      </x:c>
      <x:c r="AO2138" s="32" t="n">
        <x:f>MIN(AP2137+AN2138,AM2138*v01_KHMaxRatio)</x:f>
        <x:v>0</x:v>
      </x:c>
      <x:c r="AP2138" s="32" t="n">
        <x:f>AP2137+AN2138-AO2138</x:f>
        <x:v>0</x:v>
      </x:c>
      <x:c r="AQ2138" s="32" t="n">
        <x:f>AM2138+AO2138</x:f>
        <x:v>0</x:v>
      </x:c>
      <x:c r="AR2138" s="10" t="n">
        <x:f>IF(H2138=1,INDEX(v01_Req,G2138),0)</x:f>
        <x:v>0</x:v>
      </x:c>
      <x:c r="AS2138" s="32" t="n">
        <x:f>IF(H2138=1,IF(E2138=1,AS2137-AR2137,AS2137)+AQ2138,0)</x:f>
        <x:v>0</x:v>
      </x:c>
      <x:c r="AT2138" s="11" t="n">
        <x:f>IF(AR2138&gt;0,MIN(1,AS2138/AR2138),1)</x:f>
        <x:v>1</x:v>
      </x:c>
      <x:c r="AU2138" s="10" t="n">
        <x:f>AB2138/INDEX(v01_RepScale,G2138)</x:f>
        <x:v>90.09519605746344</x:v>
      </x:c>
      <x:c r="AV2138" s="32" t="n">
        <x:f>AM2138*60/v01_SeasonSeconds</x:f>
        <x:v>0</x:v>
      </x:c>
    </x:row>
    <x:row r="2139">
      <x:c r="A2139" s="8" t="n">
        <x:f>A2138+1</x:f>
        <x:v>2136</x:v>
      </x:c>
      <x:c r="B2139" s="9" t="n">
        <x:f>A2139*v01_SeasonSeconds/60</x:f>
        <x:v>534</x:v>
      </x:c>
      <x:c r="C2139" s="9" t="n">
        <x:f>A2139/4</x:f>
        <x:v>534</x:v>
      </x:c>
      <x:c r="D2139" s="8" t="n">
        <x:f>IF(MOD(A2139,4)=0,1,0)</x:f>
        <x:v>1</x:v>
      </x:c>
      <x:c r="E2139" s="8" t="n">
        <x:f>IF(AND(F2138&lt;=9,AS2138&gt;=AR2138),1,0)</x:f>
        <x:v>0</x:v>
      </x:c>
      <x:c r="F2139" s="8" t="n">
        <x:f>MIN(10,F2138+E2139)</x:f>
        <x:v>10</x:v>
      </x:c>
      <x:c r="G2139" s="8" t="n">
        <x:f>MIN(F2139,9)+1</x:f>
        <x:v>10</x:v>
      </x:c>
      <x:c r="H2139" s="8" t="n">
        <x:f>IF(F2139&lt;=9,1,0)</x:f>
        <x:v>0</x:v>
      </x:c>
      <x:c r="I2139" s="9" t="n">
        <x:f>MIN(10,F2138+IF(AR2138&gt;0,MIN(1,AS2138/AR2138),1))</x:f>
        <x:v>10</x:v>
      </x:c>
      <x:c r="J2139" s="32" t="n">
        <x:f>INDEX(v01_FoodCap,G2139)*Arch_FoodCap*EXP(v01_CapsByProject*SUMPRODUCT((Cap_Point&lt;=I2139)*(Cap_Kind="Food")*Cap_Ln))</x:f>
        <x:v>12000</x:v>
      </x:c>
      <x:c r="K2139" s="32" t="n">
        <x:f>J2139*MIN(1,v01_LeanBase*EXP(v01_CapsByProject*SUMPRODUCT((Cap_Point&lt;=I2139)*(Cap_Kind="Lean")*Cap_Ln)))</x:f>
        <x:v>12000</x:v>
      </x:c>
      <x:c r="L2139" s="10" t="n">
        <x:f>INDEX(v01_HousingCap,G2139)*EXP(v01_CapsByProject*SUMPRODUCT((Cap_Point&lt;=I2139)*(Cap_Kind="Housing")*Cap_Ln))</x:f>
        <x:v>20000</x:v>
      </x:c>
      <x:c r="M2139" s="10" t="n">
        <x:f>INDEX(v01_GroupCap,G2139)*v01_CohesionFactor*EXP(v01_CapsByProject*SUMPRODUCT((Cap_Point&lt;=I2139)*(Cap_Kind="Group")*Cap_Ln))</x:f>
        <x:v>1000000</x:v>
      </x:c>
      <x:c r="N2139" s="32" t="n">
        <x:f>MIN(J2139,L2139,M2139)</x:f>
        <x:v>12000</x:v>
      </x:c>
      <x:c r="O2139" s="10" t="n">
        <x:f>AE2138*N2139</x:f>
        <x:v>180000</x:v>
      </x:c>
      <x:c r="P2139" s="9" t="n">
        <x:f>MIN(1,(AB2138/(AE2138*IF(v01_GroupInCrowding=1,N2139,MIN(J2139,L2139))))^v01_CrowdingExp)</x:f>
        <x:v>0.00024569414295285325</x:v>
      </x:c>
      <x:c r="Q2139" s="9" t="n">
        <x:f>IF(D2139=1,INDEX(v01_WinterMult,G2139),1)</x:f>
        <x:v>1</x:v>
      </x:c>
      <x:c r="R2139" s="9" t="n">
        <x:f>H2139*Z2138*v01_WomenShare*v01_BaseFertility*INDEX(v01_FertMult,G2139)*Arch_Fertility*(1-P2139)</x:f>
        <x:v>0</x:v>
      </x:c>
      <x:c r="S2139" s="9" t="n">
        <x:f>H2139*Y2138*INDEX(v01_MortChild,G2139)/4*Q2139</x:f>
        <x:v>0</x:v>
      </x:c>
      <x:c r="T2139" s="9" t="n">
        <x:f>H2139*Z2138*INDEX(v01_MortAdult,G2139)*Arch_AdultMort/4*Q2139</x:f>
        <x:v>0</x:v>
      </x:c>
      <x:c r="U2139" s="9" t="n">
        <x:f>H2139*AA2138*INDEX(v01_MortElder,G2139)/4*Q2139</x:f>
        <x:v>0</x:v>
      </x:c>
      <x:c r="V2139" s="9" t="n">
        <x:f>H2139*MAX(0,AB2138-O2139)*v01_OvercapLoss</x:f>
        <x:v>0</x:v>
      </x:c>
      <x:c r="W2139" s="9" t="n">
        <x:f>H2139*Y2138/(v01_ChildYears*4)</x:f>
        <x:v>0</x:v>
      </x:c>
      <x:c r="X2139" s="9" t="n">
        <x:f>H2139*Z2138/(v01_AdultYears*4)</x:f>
        <x:v>0</x:v>
      </x:c>
      <x:c r="Y2139" s="32" t="n">
        <x:f>Y2138+R2139-S2139-W2139-Y2138*V2139/AB2138</x:f>
        <x:v>14306.18539759397</x:v>
      </x:c>
      <x:c r="Z2139" s="32" t="n">
        <x:f>Z2138+W2139-X2139-T2139-Z2138*V2139/AB2138</x:f>
        <x:v>19354.456567879548</x:v>
      </x:c>
      <x:c r="AA2139" s="32" t="n">
        <x:f>AA2138+X2139-U2139-AA2138*V2139/AB2138</x:f>
        <x:v>11386.956063258198</x:v>
      </x:c>
      <x:c r="AB2139" s="10" t="n">
        <x:f>Y2139+Z2139+AA2139</x:f>
        <x:v>45047.59802873172</x:v>
      </x:c>
      <x:c r="AC2139" s="8" t="n">
        <x:f>IF(AND(v01_WinterTrigger=1,D2139=1,AB2138/AE2138&gt;=K2139),1,0)</x:f>
        <x:v>0</x:v>
      </x:c>
      <x:c r="AD2139" s="8" t="n">
        <x:f>H2139*IF(AND(OR(AB2138/AE2138&gt;=v01_FissionTrigger*N2139,AC2139=1),AB2138/AE2138*v01_DaughterShare&gt;=v01_MinDaughter),MAX(1,ROUND(AE2138*v01_FissionRate,0)),0)</x:f>
        <x:v>0</x:v>
      </x:c>
      <x:c r="AE2139" s="8" t="n">
        <x:f>IF(H2139=1,MAX(1,MIN(INDEX(v01_Smax,G2139),AE2138+AD2139)),AE2138)</x:f>
        <x:v>15</x:v>
      </x:c>
      <x:c r="AF2139" s="8" t="n">
        <x:f>MAX(0,AE2139-AE2138)</x:f>
        <x:v>0</x:v>
      </x:c>
      <x:c r="AG2139" s="9" t="str">
        <x:f>IF(AF2139&gt;0,B2139,"")</x:f>
      </x:c>
      <x:c r="AH2139" s="9" t="n">
        <x:f>IF(F2139&gt;=1,1,(1+v01_LowTiesShare*(AE2139-1))/AE2139)</x:f>
        <x:v>1</x:v>
      </x:c>
      <x:c r="AI2139" s="32" t="n">
        <x:f>(Z2139+v01_ElderCommons*INDEX(LM_Elder,G2139)*AA2139)*AH2139</x:f>
        <x:v>64139.732591141874</x:v>
      </x:c>
      <x:c r="AJ2139" s="32" t="n">
        <x:f>H2139*v01_CommonsCoef*AI2139^v01_CommonsExp*INDEX(LM_Commons,G2139)</x:f>
        <x:v>0</x:v>
      </x:c>
      <x:c r="AK2139" s="32" t="n">
        <x:f>H2139*v01_RoleScale*Arch_Roles*(AE2139*(INDEX(v01_ElderRolePerSett,G2139)*v01_OutElder*INDEX(LM_Elder,G2139)+INDEX(v01_ShamanPerSett,G2139)*v01_OutShaman)+Z2139*(INDEX(v01_PriestShare,G2139)*v01_OutPriest+INDEX(v01_ScribeShare,G2139)*v01_OutScribe*INDEX(LM_Scribe,G2139)+INDEX(v01_ScholarShare,G2139)*v01_OutScholar*INDEX(LM_Scholar,G2139)+INDEX(v01_ResearcherShare,G2139)*v01_OutResearcher*INDEX(LM_Researcher,G2139)))</x:f>
        <x:v>0</x:v>
      </x:c>
      <x:c r="AL2139" s="32" t="n">
        <x:f>H2139*v01_RoleScale*Arch_Roles*AE2139*INDEX(v01_MonasteryPerSett,G2139)*v01_OutMonastery*INDEX(LM_Monastery,G2139)</x:f>
        <x:v>0</x:v>
      </x:c>
      <x:c r="AM2139" s="32" t="n">
        <x:f>(AJ2139+AK2139+AL2139)/4*INDEX(LM_All,G2139)*INDEX(v01_Boon,G2139)*Arch_Insight</x:f>
        <x:v>0</x:v>
      </x:c>
      <x:c r="AN2139" s="32" t="n">
        <x:f>H2139*(v01_KHPerAdult*Z2139+v01_KHOfCommons*AJ2139/4*INDEX(LM_All,G2139))*v01_KHUsable*Arch_KH</x:f>
        <x:v>0</x:v>
      </x:c>
      <x:c r="AO2139" s="32" t="n">
        <x:f>MIN(AP2138+AN2139,AM2139*v01_KHMaxRatio)</x:f>
        <x:v>0</x:v>
      </x:c>
      <x:c r="AP2139" s="32" t="n">
        <x:f>AP2138+AN2139-AO2139</x:f>
        <x:v>0</x:v>
      </x:c>
      <x:c r="AQ2139" s="32" t="n">
        <x:f>AM2139+AO2139</x:f>
        <x:v>0</x:v>
      </x:c>
      <x:c r="AR2139" s="10" t="n">
        <x:f>IF(H2139=1,INDEX(v01_Req,G2139),0)</x:f>
        <x:v>0</x:v>
      </x:c>
      <x:c r="AS2139" s="32" t="n">
        <x:f>IF(H2139=1,IF(E2139=1,AS2138-AR2138,AS2138)+AQ2139,0)</x:f>
        <x:v>0</x:v>
      </x:c>
      <x:c r="AT2139" s="11" t="n">
        <x:f>IF(AR2139&gt;0,MIN(1,AS2139/AR2139),1)</x:f>
        <x:v>1</x:v>
      </x:c>
      <x:c r="AU2139" s="10" t="n">
        <x:f>AB2139/INDEX(v01_RepScale,G2139)</x:f>
        <x:v>90.09519605746344</x:v>
      </x:c>
      <x:c r="AV2139" s="32" t="n">
        <x:f>AM2139*60/v01_SeasonSeconds</x:f>
        <x:v>0</x:v>
      </x:c>
    </x:row>
    <x:row r="2140">
      <x:c r="A2140" s="8" t="n">
        <x:f>A2139+1</x:f>
        <x:v>2137</x:v>
      </x:c>
      <x:c r="B2140" s="9" t="n">
        <x:f>A2140*v01_SeasonSeconds/60</x:f>
        <x:v>534.25</x:v>
      </x:c>
      <x:c r="C2140" s="9" t="n">
        <x:f>A2140/4</x:f>
        <x:v>534.25</x:v>
      </x:c>
      <x:c r="D2140" s="8" t="n">
        <x:f>IF(MOD(A2140,4)=0,1,0)</x:f>
        <x:v>0</x:v>
      </x:c>
      <x:c r="E2140" s="8" t="n">
        <x:f>IF(AND(F2139&lt;=9,AS2139&gt;=AR2139),1,0)</x:f>
        <x:v>0</x:v>
      </x:c>
      <x:c r="F2140" s="8" t="n">
        <x:f>MIN(10,F2139+E2140)</x:f>
        <x:v>10</x:v>
      </x:c>
      <x:c r="G2140" s="8" t="n">
        <x:f>MIN(F2140,9)+1</x:f>
        <x:v>10</x:v>
      </x:c>
      <x:c r="H2140" s="8" t="n">
        <x:f>IF(F2140&lt;=9,1,0)</x:f>
        <x:v>0</x:v>
      </x:c>
      <x:c r="I2140" s="9" t="n">
        <x:f>MIN(10,F2139+IF(AR2139&gt;0,MIN(1,AS2139/AR2139),1))</x:f>
        <x:v>10</x:v>
      </x:c>
      <x:c r="J2140" s="32" t="n">
        <x:f>INDEX(v01_FoodCap,G2140)*Arch_FoodCap*EXP(v01_CapsByProject*SUMPRODUCT((Cap_Point&lt;=I2140)*(Cap_Kind="Food")*Cap_Ln))</x:f>
        <x:v>12000</x:v>
      </x:c>
      <x:c r="K2140" s="32" t="n">
        <x:f>J2140*MIN(1,v01_LeanBase*EXP(v01_CapsByProject*SUMPRODUCT((Cap_Point&lt;=I2140)*(Cap_Kind="Lean")*Cap_Ln)))</x:f>
        <x:v>12000</x:v>
      </x:c>
      <x:c r="L2140" s="10" t="n">
        <x:f>INDEX(v01_HousingCap,G2140)*EXP(v01_CapsByProject*SUMPRODUCT((Cap_Point&lt;=I2140)*(Cap_Kind="Housing")*Cap_Ln))</x:f>
        <x:v>20000</x:v>
      </x:c>
      <x:c r="M2140" s="10" t="n">
        <x:f>INDEX(v01_GroupCap,G2140)*v01_CohesionFactor*EXP(v01_CapsByProject*SUMPRODUCT((Cap_Point&lt;=I2140)*(Cap_Kind="Group")*Cap_Ln))</x:f>
        <x:v>1000000</x:v>
      </x:c>
      <x:c r="N2140" s="32" t="n">
        <x:f>MIN(J2140,L2140,M2140)</x:f>
        <x:v>12000</x:v>
      </x:c>
      <x:c r="O2140" s="10" t="n">
        <x:f>AE2139*N2140</x:f>
        <x:v>180000</x:v>
      </x:c>
      <x:c r="P2140" s="9" t="n">
        <x:f>MIN(1,(AB2139/(AE2139*IF(v01_GroupInCrowding=1,N2140,MIN(J2140,L2140))))^v01_CrowdingExp)</x:f>
        <x:v>0.00024569414295285325</x:v>
      </x:c>
      <x:c r="Q2140" s="9" t="n">
        <x:f>IF(D2140=1,INDEX(v01_WinterMult,G2140),1)</x:f>
        <x:v>1</x:v>
      </x:c>
      <x:c r="R2140" s="9" t="n">
        <x:f>H2140*Z2139*v01_WomenShare*v01_BaseFertility*INDEX(v01_FertMult,G2140)*Arch_Fertility*(1-P2140)</x:f>
        <x:v>0</x:v>
      </x:c>
      <x:c r="S2140" s="9" t="n">
        <x:f>H2140*Y2139*INDEX(v01_MortChild,G2140)/4*Q2140</x:f>
        <x:v>0</x:v>
      </x:c>
      <x:c r="T2140" s="9" t="n">
        <x:f>H2140*Z2139*INDEX(v01_MortAdult,G2140)*Arch_AdultMort/4*Q2140</x:f>
        <x:v>0</x:v>
      </x:c>
      <x:c r="U2140" s="9" t="n">
        <x:f>H2140*AA2139*INDEX(v01_MortElder,G2140)/4*Q2140</x:f>
        <x:v>0</x:v>
      </x:c>
      <x:c r="V2140" s="9" t="n">
        <x:f>H2140*MAX(0,AB2139-O2140)*v01_OvercapLoss</x:f>
        <x:v>0</x:v>
      </x:c>
      <x:c r="W2140" s="9" t="n">
        <x:f>H2140*Y2139/(v01_ChildYears*4)</x:f>
        <x:v>0</x:v>
      </x:c>
      <x:c r="X2140" s="9" t="n">
        <x:f>H2140*Z2139/(v01_AdultYears*4)</x:f>
        <x:v>0</x:v>
      </x:c>
      <x:c r="Y2140" s="32" t="n">
        <x:f>Y2139+R2140-S2140-W2140-Y2139*V2140/AB2139</x:f>
        <x:v>14306.18539759397</x:v>
      </x:c>
      <x:c r="Z2140" s="32" t="n">
        <x:f>Z2139+W2140-X2140-T2140-Z2139*V2140/AB2139</x:f>
        <x:v>19354.456567879548</x:v>
      </x:c>
      <x:c r="AA2140" s="32" t="n">
        <x:f>AA2139+X2140-U2140-AA2139*V2140/AB2139</x:f>
        <x:v>11386.956063258198</x:v>
      </x:c>
      <x:c r="AB2140" s="10" t="n">
        <x:f>Y2140+Z2140+AA2140</x:f>
        <x:v>45047.59802873172</x:v>
      </x:c>
      <x:c r="AC2140" s="8" t="n">
        <x:f>IF(AND(v01_WinterTrigger=1,D2140=1,AB2139/AE2139&gt;=K2140),1,0)</x:f>
        <x:v>0</x:v>
      </x:c>
      <x:c r="AD2140" s="8" t="n">
        <x:f>H2140*IF(AND(OR(AB2139/AE2139&gt;=v01_FissionTrigger*N2140,AC2140=1),AB2139/AE2139*v01_DaughterShare&gt;=v01_MinDaughter),MAX(1,ROUND(AE2139*v01_FissionRate,0)),0)</x:f>
        <x:v>0</x:v>
      </x:c>
      <x:c r="AE2140" s="8" t="n">
        <x:f>IF(H2140=1,MAX(1,MIN(INDEX(v01_Smax,G2140),AE2139+AD2140)),AE2139)</x:f>
        <x:v>15</x:v>
      </x:c>
      <x:c r="AF2140" s="8" t="n">
        <x:f>MAX(0,AE2140-AE2139)</x:f>
        <x:v>0</x:v>
      </x:c>
      <x:c r="AG2140" s="9" t="str">
        <x:f>IF(AF2140&gt;0,B2140,"")</x:f>
      </x:c>
      <x:c r="AH2140" s="9" t="n">
        <x:f>IF(F2140&gt;=1,1,(1+v01_LowTiesShare*(AE2140-1))/AE2140)</x:f>
        <x:v>1</x:v>
      </x:c>
      <x:c r="AI2140" s="32" t="n">
        <x:f>(Z2140+v01_ElderCommons*INDEX(LM_Elder,G2140)*AA2140)*AH2140</x:f>
        <x:v>64139.732591141874</x:v>
      </x:c>
      <x:c r="AJ2140" s="32" t="n">
        <x:f>H2140*v01_CommonsCoef*AI2140^v01_CommonsExp*INDEX(LM_Commons,G2140)</x:f>
        <x:v>0</x:v>
      </x:c>
      <x:c r="AK2140" s="32" t="n">
        <x:f>H2140*v01_RoleScale*Arch_Roles*(AE2140*(INDEX(v01_ElderRolePerSett,G2140)*v01_OutElder*INDEX(LM_Elder,G2140)+INDEX(v01_ShamanPerSett,G2140)*v01_OutShaman)+Z2140*(INDEX(v01_PriestShare,G2140)*v01_OutPriest+INDEX(v01_ScribeShare,G2140)*v01_OutScribe*INDEX(LM_Scribe,G2140)+INDEX(v01_ScholarShare,G2140)*v01_OutScholar*INDEX(LM_Scholar,G2140)+INDEX(v01_ResearcherShare,G2140)*v01_OutResearcher*INDEX(LM_Researcher,G2140)))</x:f>
        <x:v>0</x:v>
      </x:c>
      <x:c r="AL2140" s="32" t="n">
        <x:f>H2140*v01_RoleScale*Arch_Roles*AE2140*INDEX(v01_MonasteryPerSett,G2140)*v01_OutMonastery*INDEX(LM_Monastery,G2140)</x:f>
        <x:v>0</x:v>
      </x:c>
      <x:c r="AM2140" s="32" t="n">
        <x:f>(AJ2140+AK2140+AL2140)/4*INDEX(LM_All,G2140)*INDEX(v01_Boon,G2140)*Arch_Insight</x:f>
        <x:v>0</x:v>
      </x:c>
      <x:c r="AN2140" s="32" t="n">
        <x:f>H2140*(v01_KHPerAdult*Z2140+v01_KHOfCommons*AJ2140/4*INDEX(LM_All,G2140))*v01_KHUsable*Arch_KH</x:f>
        <x:v>0</x:v>
      </x:c>
      <x:c r="AO2140" s="32" t="n">
        <x:f>MIN(AP2139+AN2140,AM2140*v01_KHMaxRatio)</x:f>
        <x:v>0</x:v>
      </x:c>
      <x:c r="AP2140" s="32" t="n">
        <x:f>AP2139+AN2140-AO2140</x:f>
        <x:v>0</x:v>
      </x:c>
      <x:c r="AQ2140" s="32" t="n">
        <x:f>AM2140+AO2140</x:f>
        <x:v>0</x:v>
      </x:c>
      <x:c r="AR2140" s="10" t="n">
        <x:f>IF(H2140=1,INDEX(v01_Req,G2140),0)</x:f>
        <x:v>0</x:v>
      </x:c>
      <x:c r="AS2140" s="32" t="n">
        <x:f>IF(H2140=1,IF(E2140=1,AS2139-AR2139,AS2139)+AQ2140,0)</x:f>
        <x:v>0</x:v>
      </x:c>
      <x:c r="AT2140" s="11" t="n">
        <x:f>IF(AR2140&gt;0,MIN(1,AS2140/AR2140),1)</x:f>
        <x:v>1</x:v>
      </x:c>
      <x:c r="AU2140" s="10" t="n">
        <x:f>AB2140/INDEX(v01_RepScale,G2140)</x:f>
        <x:v>90.09519605746344</x:v>
      </x:c>
      <x:c r="AV2140" s="32" t="n">
        <x:f>AM2140*60/v01_SeasonSeconds</x:f>
        <x:v>0</x:v>
      </x:c>
    </x:row>
    <x:row r="2141">
      <x:c r="A2141" s="8" t="n">
        <x:f>A2140+1</x:f>
        <x:v>2138</x:v>
      </x:c>
      <x:c r="B2141" s="9" t="n">
        <x:f>A2141*v01_SeasonSeconds/60</x:f>
        <x:v>534.5</x:v>
      </x:c>
      <x:c r="C2141" s="9" t="n">
        <x:f>A2141/4</x:f>
        <x:v>534.5</x:v>
      </x:c>
      <x:c r="D2141" s="8" t="n">
        <x:f>IF(MOD(A2141,4)=0,1,0)</x:f>
        <x:v>0</x:v>
      </x:c>
      <x:c r="E2141" s="8" t="n">
        <x:f>IF(AND(F2140&lt;=9,AS2140&gt;=AR2140),1,0)</x:f>
        <x:v>0</x:v>
      </x:c>
      <x:c r="F2141" s="8" t="n">
        <x:f>MIN(10,F2140+E2141)</x:f>
        <x:v>10</x:v>
      </x:c>
      <x:c r="G2141" s="8" t="n">
        <x:f>MIN(F2141,9)+1</x:f>
        <x:v>10</x:v>
      </x:c>
      <x:c r="H2141" s="8" t="n">
        <x:f>IF(F2141&lt;=9,1,0)</x:f>
        <x:v>0</x:v>
      </x:c>
      <x:c r="I2141" s="9" t="n">
        <x:f>MIN(10,F2140+IF(AR2140&gt;0,MIN(1,AS2140/AR2140),1))</x:f>
        <x:v>10</x:v>
      </x:c>
      <x:c r="J2141" s="32" t="n">
        <x:f>INDEX(v01_FoodCap,G2141)*Arch_FoodCap*EXP(v01_CapsByProject*SUMPRODUCT((Cap_Point&lt;=I2141)*(Cap_Kind="Food")*Cap_Ln))</x:f>
        <x:v>12000</x:v>
      </x:c>
      <x:c r="K2141" s="32" t="n">
        <x:f>J2141*MIN(1,v01_LeanBase*EXP(v01_CapsByProject*SUMPRODUCT((Cap_Point&lt;=I2141)*(Cap_Kind="Lean")*Cap_Ln)))</x:f>
        <x:v>12000</x:v>
      </x:c>
      <x:c r="L2141" s="10" t="n">
        <x:f>INDEX(v01_HousingCap,G2141)*EXP(v01_CapsByProject*SUMPRODUCT((Cap_Point&lt;=I2141)*(Cap_Kind="Housing")*Cap_Ln))</x:f>
        <x:v>20000</x:v>
      </x:c>
      <x:c r="M2141" s="10" t="n">
        <x:f>INDEX(v01_GroupCap,G2141)*v01_CohesionFactor*EXP(v01_CapsByProject*SUMPRODUCT((Cap_Point&lt;=I2141)*(Cap_Kind="Group")*Cap_Ln))</x:f>
        <x:v>1000000</x:v>
      </x:c>
      <x:c r="N2141" s="32" t="n">
        <x:f>MIN(J2141,L2141,M2141)</x:f>
        <x:v>12000</x:v>
      </x:c>
      <x:c r="O2141" s="10" t="n">
        <x:f>AE2140*N2141</x:f>
        <x:v>180000</x:v>
      </x:c>
      <x:c r="P2141" s="9" t="n">
        <x:f>MIN(1,(AB2140/(AE2140*IF(v01_GroupInCrowding=1,N2141,MIN(J2141,L2141))))^v01_CrowdingExp)</x:f>
        <x:v>0.00024569414295285325</x:v>
      </x:c>
      <x:c r="Q2141" s="9" t="n">
        <x:f>IF(D2141=1,INDEX(v01_WinterMult,G2141),1)</x:f>
        <x:v>1</x:v>
      </x:c>
      <x:c r="R2141" s="9" t="n">
        <x:f>H2141*Z2140*v01_WomenShare*v01_BaseFertility*INDEX(v01_FertMult,G2141)*Arch_Fertility*(1-P2141)</x:f>
        <x:v>0</x:v>
      </x:c>
      <x:c r="S2141" s="9" t="n">
        <x:f>H2141*Y2140*INDEX(v01_MortChild,G2141)/4*Q2141</x:f>
        <x:v>0</x:v>
      </x:c>
      <x:c r="T2141" s="9" t="n">
        <x:f>H2141*Z2140*INDEX(v01_MortAdult,G2141)*Arch_AdultMort/4*Q2141</x:f>
        <x:v>0</x:v>
      </x:c>
      <x:c r="U2141" s="9" t="n">
        <x:f>H2141*AA2140*INDEX(v01_MortElder,G2141)/4*Q2141</x:f>
        <x:v>0</x:v>
      </x:c>
      <x:c r="V2141" s="9" t="n">
        <x:f>H2141*MAX(0,AB2140-O2141)*v01_OvercapLoss</x:f>
        <x:v>0</x:v>
      </x:c>
      <x:c r="W2141" s="9" t="n">
        <x:f>H2141*Y2140/(v01_ChildYears*4)</x:f>
        <x:v>0</x:v>
      </x:c>
      <x:c r="X2141" s="9" t="n">
        <x:f>H2141*Z2140/(v01_AdultYears*4)</x:f>
        <x:v>0</x:v>
      </x:c>
      <x:c r="Y2141" s="32" t="n">
        <x:f>Y2140+R2141-S2141-W2141-Y2140*V2141/AB2140</x:f>
        <x:v>14306.18539759397</x:v>
      </x:c>
      <x:c r="Z2141" s="32" t="n">
        <x:f>Z2140+W2141-X2141-T2141-Z2140*V2141/AB2140</x:f>
        <x:v>19354.456567879548</x:v>
      </x:c>
      <x:c r="AA2141" s="32" t="n">
        <x:f>AA2140+X2141-U2141-AA2140*V2141/AB2140</x:f>
        <x:v>11386.956063258198</x:v>
      </x:c>
      <x:c r="AB2141" s="10" t="n">
        <x:f>Y2141+Z2141+AA2141</x:f>
        <x:v>45047.59802873172</x:v>
      </x:c>
      <x:c r="AC2141" s="8" t="n">
        <x:f>IF(AND(v01_WinterTrigger=1,D2141=1,AB2140/AE2140&gt;=K2141),1,0)</x:f>
        <x:v>0</x:v>
      </x:c>
      <x:c r="AD2141" s="8" t="n">
        <x:f>H2141*IF(AND(OR(AB2140/AE2140&gt;=v01_FissionTrigger*N2141,AC2141=1),AB2140/AE2140*v01_DaughterShare&gt;=v01_MinDaughter),MAX(1,ROUND(AE2140*v01_FissionRate,0)),0)</x:f>
        <x:v>0</x:v>
      </x:c>
      <x:c r="AE2141" s="8" t="n">
        <x:f>IF(H2141=1,MAX(1,MIN(INDEX(v01_Smax,G2141),AE2140+AD2141)),AE2140)</x:f>
        <x:v>15</x:v>
      </x:c>
      <x:c r="AF2141" s="8" t="n">
        <x:f>MAX(0,AE2141-AE2140)</x:f>
        <x:v>0</x:v>
      </x:c>
      <x:c r="AG2141" s="9" t="str">
        <x:f>IF(AF2141&gt;0,B2141,"")</x:f>
      </x:c>
      <x:c r="AH2141" s="9" t="n">
        <x:f>IF(F2141&gt;=1,1,(1+v01_LowTiesShare*(AE2141-1))/AE2141)</x:f>
        <x:v>1</x:v>
      </x:c>
      <x:c r="AI2141" s="32" t="n">
        <x:f>(Z2141+v01_ElderCommons*INDEX(LM_Elder,G2141)*AA2141)*AH2141</x:f>
        <x:v>64139.732591141874</x:v>
      </x:c>
      <x:c r="AJ2141" s="32" t="n">
        <x:f>H2141*v01_CommonsCoef*AI2141^v01_CommonsExp*INDEX(LM_Commons,G2141)</x:f>
        <x:v>0</x:v>
      </x:c>
      <x:c r="AK2141" s="32" t="n">
        <x:f>H2141*v01_RoleScale*Arch_Roles*(AE2141*(INDEX(v01_ElderRolePerSett,G2141)*v01_OutElder*INDEX(LM_Elder,G2141)+INDEX(v01_ShamanPerSett,G2141)*v01_OutShaman)+Z2141*(INDEX(v01_PriestShare,G2141)*v01_OutPriest+INDEX(v01_ScribeShare,G2141)*v01_OutScribe*INDEX(LM_Scribe,G2141)+INDEX(v01_ScholarShare,G2141)*v01_OutScholar*INDEX(LM_Scholar,G2141)+INDEX(v01_ResearcherShare,G2141)*v01_OutResearcher*INDEX(LM_Researcher,G2141)))</x:f>
        <x:v>0</x:v>
      </x:c>
      <x:c r="AL2141" s="32" t="n">
        <x:f>H2141*v01_RoleScale*Arch_Roles*AE2141*INDEX(v01_MonasteryPerSett,G2141)*v01_OutMonastery*INDEX(LM_Monastery,G2141)</x:f>
        <x:v>0</x:v>
      </x:c>
      <x:c r="AM2141" s="32" t="n">
        <x:f>(AJ2141+AK2141+AL2141)/4*INDEX(LM_All,G2141)*INDEX(v01_Boon,G2141)*Arch_Insight</x:f>
        <x:v>0</x:v>
      </x:c>
      <x:c r="AN2141" s="32" t="n">
        <x:f>H2141*(v01_KHPerAdult*Z2141+v01_KHOfCommons*AJ2141/4*INDEX(LM_All,G2141))*v01_KHUsable*Arch_KH</x:f>
        <x:v>0</x:v>
      </x:c>
      <x:c r="AO2141" s="32" t="n">
        <x:f>MIN(AP2140+AN2141,AM2141*v01_KHMaxRatio)</x:f>
        <x:v>0</x:v>
      </x:c>
      <x:c r="AP2141" s="32" t="n">
        <x:f>AP2140+AN2141-AO2141</x:f>
        <x:v>0</x:v>
      </x:c>
      <x:c r="AQ2141" s="32" t="n">
        <x:f>AM2141+AO2141</x:f>
        <x:v>0</x:v>
      </x:c>
      <x:c r="AR2141" s="10" t="n">
        <x:f>IF(H2141=1,INDEX(v01_Req,G2141),0)</x:f>
        <x:v>0</x:v>
      </x:c>
      <x:c r="AS2141" s="32" t="n">
        <x:f>IF(H2141=1,IF(E2141=1,AS2140-AR2140,AS2140)+AQ2141,0)</x:f>
        <x:v>0</x:v>
      </x:c>
      <x:c r="AT2141" s="11" t="n">
        <x:f>IF(AR2141&gt;0,MIN(1,AS2141/AR2141),1)</x:f>
        <x:v>1</x:v>
      </x:c>
      <x:c r="AU2141" s="10" t="n">
        <x:f>AB2141/INDEX(v01_RepScale,G2141)</x:f>
        <x:v>90.09519605746344</x:v>
      </x:c>
      <x:c r="AV2141" s="32" t="n">
        <x:f>AM2141*60/v01_SeasonSeconds</x:f>
        <x:v>0</x:v>
      </x:c>
    </x:row>
    <x:row r="2142">
      <x:c r="A2142" s="8" t="n">
        <x:f>A2141+1</x:f>
        <x:v>2139</x:v>
      </x:c>
      <x:c r="B2142" s="9" t="n">
        <x:f>A2142*v01_SeasonSeconds/60</x:f>
        <x:v>534.75</x:v>
      </x:c>
      <x:c r="C2142" s="9" t="n">
        <x:f>A2142/4</x:f>
        <x:v>534.75</x:v>
      </x:c>
      <x:c r="D2142" s="8" t="n">
        <x:f>IF(MOD(A2142,4)=0,1,0)</x:f>
        <x:v>0</x:v>
      </x:c>
      <x:c r="E2142" s="8" t="n">
        <x:f>IF(AND(F2141&lt;=9,AS2141&gt;=AR2141),1,0)</x:f>
        <x:v>0</x:v>
      </x:c>
      <x:c r="F2142" s="8" t="n">
        <x:f>MIN(10,F2141+E2142)</x:f>
        <x:v>10</x:v>
      </x:c>
      <x:c r="G2142" s="8" t="n">
        <x:f>MIN(F2142,9)+1</x:f>
        <x:v>10</x:v>
      </x:c>
      <x:c r="H2142" s="8" t="n">
        <x:f>IF(F2142&lt;=9,1,0)</x:f>
        <x:v>0</x:v>
      </x:c>
      <x:c r="I2142" s="9" t="n">
        <x:f>MIN(10,F2141+IF(AR2141&gt;0,MIN(1,AS2141/AR2141),1))</x:f>
        <x:v>10</x:v>
      </x:c>
      <x:c r="J2142" s="32" t="n">
        <x:f>INDEX(v01_FoodCap,G2142)*Arch_FoodCap*EXP(v01_CapsByProject*SUMPRODUCT((Cap_Point&lt;=I2142)*(Cap_Kind="Food")*Cap_Ln))</x:f>
        <x:v>12000</x:v>
      </x:c>
      <x:c r="K2142" s="32" t="n">
        <x:f>J2142*MIN(1,v01_LeanBase*EXP(v01_CapsByProject*SUMPRODUCT((Cap_Point&lt;=I2142)*(Cap_Kind="Lean")*Cap_Ln)))</x:f>
        <x:v>12000</x:v>
      </x:c>
      <x:c r="L2142" s="10" t="n">
        <x:f>INDEX(v01_HousingCap,G2142)*EXP(v01_CapsByProject*SUMPRODUCT((Cap_Point&lt;=I2142)*(Cap_Kind="Housing")*Cap_Ln))</x:f>
        <x:v>20000</x:v>
      </x:c>
      <x:c r="M2142" s="10" t="n">
        <x:f>INDEX(v01_GroupCap,G2142)*v01_CohesionFactor*EXP(v01_CapsByProject*SUMPRODUCT((Cap_Point&lt;=I2142)*(Cap_Kind="Group")*Cap_Ln))</x:f>
        <x:v>1000000</x:v>
      </x:c>
      <x:c r="N2142" s="32" t="n">
        <x:f>MIN(J2142,L2142,M2142)</x:f>
        <x:v>12000</x:v>
      </x:c>
      <x:c r="O2142" s="10" t="n">
        <x:f>AE2141*N2142</x:f>
        <x:v>180000</x:v>
      </x:c>
      <x:c r="P2142" s="9" t="n">
        <x:f>MIN(1,(AB2141/(AE2141*IF(v01_GroupInCrowding=1,N2142,MIN(J2142,L2142))))^v01_CrowdingExp)</x:f>
        <x:v>0.00024569414295285325</x:v>
      </x:c>
      <x:c r="Q2142" s="9" t="n">
        <x:f>IF(D2142=1,INDEX(v01_WinterMult,G2142),1)</x:f>
        <x:v>1</x:v>
      </x:c>
      <x:c r="R2142" s="9" t="n">
        <x:f>H2142*Z2141*v01_WomenShare*v01_BaseFertility*INDEX(v01_FertMult,G2142)*Arch_Fertility*(1-P2142)</x:f>
        <x:v>0</x:v>
      </x:c>
      <x:c r="S2142" s="9" t="n">
        <x:f>H2142*Y2141*INDEX(v01_MortChild,G2142)/4*Q2142</x:f>
        <x:v>0</x:v>
      </x:c>
      <x:c r="T2142" s="9" t="n">
        <x:f>H2142*Z2141*INDEX(v01_MortAdult,G2142)*Arch_AdultMort/4*Q2142</x:f>
        <x:v>0</x:v>
      </x:c>
      <x:c r="U2142" s="9" t="n">
        <x:f>H2142*AA2141*INDEX(v01_MortElder,G2142)/4*Q2142</x:f>
        <x:v>0</x:v>
      </x:c>
      <x:c r="V2142" s="9" t="n">
        <x:f>H2142*MAX(0,AB2141-O2142)*v01_OvercapLoss</x:f>
        <x:v>0</x:v>
      </x:c>
      <x:c r="W2142" s="9" t="n">
        <x:f>H2142*Y2141/(v01_ChildYears*4)</x:f>
        <x:v>0</x:v>
      </x:c>
      <x:c r="X2142" s="9" t="n">
        <x:f>H2142*Z2141/(v01_AdultYears*4)</x:f>
        <x:v>0</x:v>
      </x:c>
      <x:c r="Y2142" s="32" t="n">
        <x:f>Y2141+R2142-S2142-W2142-Y2141*V2142/AB2141</x:f>
        <x:v>14306.18539759397</x:v>
      </x:c>
      <x:c r="Z2142" s="32" t="n">
        <x:f>Z2141+W2142-X2142-T2142-Z2141*V2142/AB2141</x:f>
        <x:v>19354.456567879548</x:v>
      </x:c>
      <x:c r="AA2142" s="32" t="n">
        <x:f>AA2141+X2142-U2142-AA2141*V2142/AB2141</x:f>
        <x:v>11386.956063258198</x:v>
      </x:c>
      <x:c r="AB2142" s="10" t="n">
        <x:f>Y2142+Z2142+AA2142</x:f>
        <x:v>45047.59802873172</x:v>
      </x:c>
      <x:c r="AC2142" s="8" t="n">
        <x:f>IF(AND(v01_WinterTrigger=1,D2142=1,AB2141/AE2141&gt;=K2142),1,0)</x:f>
        <x:v>0</x:v>
      </x:c>
      <x:c r="AD2142" s="8" t="n">
        <x:f>H2142*IF(AND(OR(AB2141/AE2141&gt;=v01_FissionTrigger*N2142,AC2142=1),AB2141/AE2141*v01_DaughterShare&gt;=v01_MinDaughter),MAX(1,ROUND(AE2141*v01_FissionRate,0)),0)</x:f>
        <x:v>0</x:v>
      </x:c>
      <x:c r="AE2142" s="8" t="n">
        <x:f>IF(H2142=1,MAX(1,MIN(INDEX(v01_Smax,G2142),AE2141+AD2142)),AE2141)</x:f>
        <x:v>15</x:v>
      </x:c>
      <x:c r="AF2142" s="8" t="n">
        <x:f>MAX(0,AE2142-AE2141)</x:f>
        <x:v>0</x:v>
      </x:c>
      <x:c r="AG2142" s="9" t="str">
        <x:f>IF(AF2142&gt;0,B2142,"")</x:f>
      </x:c>
      <x:c r="AH2142" s="9" t="n">
        <x:f>IF(F2142&gt;=1,1,(1+v01_LowTiesShare*(AE2142-1))/AE2142)</x:f>
        <x:v>1</x:v>
      </x:c>
      <x:c r="AI2142" s="32" t="n">
        <x:f>(Z2142+v01_ElderCommons*INDEX(LM_Elder,G2142)*AA2142)*AH2142</x:f>
        <x:v>64139.732591141874</x:v>
      </x:c>
      <x:c r="AJ2142" s="32" t="n">
        <x:f>H2142*v01_CommonsCoef*AI2142^v01_CommonsExp*INDEX(LM_Commons,G2142)</x:f>
        <x:v>0</x:v>
      </x:c>
      <x:c r="AK2142" s="32" t="n">
        <x:f>H2142*v01_RoleScale*Arch_Roles*(AE2142*(INDEX(v01_ElderRolePerSett,G2142)*v01_OutElder*INDEX(LM_Elder,G2142)+INDEX(v01_ShamanPerSett,G2142)*v01_OutShaman)+Z2142*(INDEX(v01_PriestShare,G2142)*v01_OutPriest+INDEX(v01_ScribeShare,G2142)*v01_OutScribe*INDEX(LM_Scribe,G2142)+INDEX(v01_ScholarShare,G2142)*v01_OutScholar*INDEX(LM_Scholar,G2142)+INDEX(v01_ResearcherShare,G2142)*v01_OutResearcher*INDEX(LM_Researcher,G2142)))</x:f>
        <x:v>0</x:v>
      </x:c>
      <x:c r="AL2142" s="32" t="n">
        <x:f>H2142*v01_RoleScale*Arch_Roles*AE2142*INDEX(v01_MonasteryPerSett,G2142)*v01_OutMonastery*INDEX(LM_Monastery,G2142)</x:f>
        <x:v>0</x:v>
      </x:c>
      <x:c r="AM2142" s="32" t="n">
        <x:f>(AJ2142+AK2142+AL2142)/4*INDEX(LM_All,G2142)*INDEX(v01_Boon,G2142)*Arch_Insight</x:f>
        <x:v>0</x:v>
      </x:c>
      <x:c r="AN2142" s="32" t="n">
        <x:f>H2142*(v01_KHPerAdult*Z2142+v01_KHOfCommons*AJ2142/4*INDEX(LM_All,G2142))*v01_KHUsable*Arch_KH</x:f>
        <x:v>0</x:v>
      </x:c>
      <x:c r="AO2142" s="32" t="n">
        <x:f>MIN(AP2141+AN2142,AM2142*v01_KHMaxRatio)</x:f>
        <x:v>0</x:v>
      </x:c>
      <x:c r="AP2142" s="32" t="n">
        <x:f>AP2141+AN2142-AO2142</x:f>
        <x:v>0</x:v>
      </x:c>
      <x:c r="AQ2142" s="32" t="n">
        <x:f>AM2142+AO2142</x:f>
        <x:v>0</x:v>
      </x:c>
      <x:c r="AR2142" s="10" t="n">
        <x:f>IF(H2142=1,INDEX(v01_Req,G2142),0)</x:f>
        <x:v>0</x:v>
      </x:c>
      <x:c r="AS2142" s="32" t="n">
        <x:f>IF(H2142=1,IF(E2142=1,AS2141-AR2141,AS2141)+AQ2142,0)</x:f>
        <x:v>0</x:v>
      </x:c>
      <x:c r="AT2142" s="11" t="n">
        <x:f>IF(AR2142&gt;0,MIN(1,AS2142/AR2142),1)</x:f>
        <x:v>1</x:v>
      </x:c>
      <x:c r="AU2142" s="10" t="n">
        <x:f>AB2142/INDEX(v01_RepScale,G2142)</x:f>
        <x:v>90.09519605746344</x:v>
      </x:c>
      <x:c r="AV2142" s="32" t="n">
        <x:f>AM2142*60/v01_SeasonSeconds</x:f>
        <x:v>0</x:v>
      </x:c>
    </x:row>
    <x:row r="2143">
      <x:c r="A2143" s="8" t="n">
        <x:f>A2142+1</x:f>
        <x:v>2140</x:v>
      </x:c>
      <x:c r="B2143" s="9" t="n">
        <x:f>A2143*v01_SeasonSeconds/60</x:f>
        <x:v>535</x:v>
      </x:c>
      <x:c r="C2143" s="9" t="n">
        <x:f>A2143/4</x:f>
        <x:v>535</x:v>
      </x:c>
      <x:c r="D2143" s="8" t="n">
        <x:f>IF(MOD(A2143,4)=0,1,0)</x:f>
        <x:v>1</x:v>
      </x:c>
      <x:c r="E2143" s="8" t="n">
        <x:f>IF(AND(F2142&lt;=9,AS2142&gt;=AR2142),1,0)</x:f>
        <x:v>0</x:v>
      </x:c>
      <x:c r="F2143" s="8" t="n">
        <x:f>MIN(10,F2142+E2143)</x:f>
        <x:v>10</x:v>
      </x:c>
      <x:c r="G2143" s="8" t="n">
        <x:f>MIN(F2143,9)+1</x:f>
        <x:v>10</x:v>
      </x:c>
      <x:c r="H2143" s="8" t="n">
        <x:f>IF(F2143&lt;=9,1,0)</x:f>
        <x:v>0</x:v>
      </x:c>
      <x:c r="I2143" s="9" t="n">
        <x:f>MIN(10,F2142+IF(AR2142&gt;0,MIN(1,AS2142/AR2142),1))</x:f>
        <x:v>10</x:v>
      </x:c>
      <x:c r="J2143" s="32" t="n">
        <x:f>INDEX(v01_FoodCap,G2143)*Arch_FoodCap*EXP(v01_CapsByProject*SUMPRODUCT((Cap_Point&lt;=I2143)*(Cap_Kind="Food")*Cap_Ln))</x:f>
        <x:v>12000</x:v>
      </x:c>
      <x:c r="K2143" s="32" t="n">
        <x:f>J2143*MIN(1,v01_LeanBase*EXP(v01_CapsByProject*SUMPRODUCT((Cap_Point&lt;=I2143)*(Cap_Kind="Lean")*Cap_Ln)))</x:f>
        <x:v>12000</x:v>
      </x:c>
      <x:c r="L2143" s="10" t="n">
        <x:f>INDEX(v01_HousingCap,G2143)*EXP(v01_CapsByProject*SUMPRODUCT((Cap_Point&lt;=I2143)*(Cap_Kind="Housing")*Cap_Ln))</x:f>
        <x:v>20000</x:v>
      </x:c>
      <x:c r="M2143" s="10" t="n">
        <x:f>INDEX(v01_GroupCap,G2143)*v01_CohesionFactor*EXP(v01_CapsByProject*SUMPRODUCT((Cap_Point&lt;=I2143)*(Cap_Kind="Group")*Cap_Ln))</x:f>
        <x:v>1000000</x:v>
      </x:c>
      <x:c r="N2143" s="32" t="n">
        <x:f>MIN(J2143,L2143,M2143)</x:f>
        <x:v>12000</x:v>
      </x:c>
      <x:c r="O2143" s="10" t="n">
        <x:f>AE2142*N2143</x:f>
        <x:v>180000</x:v>
      </x:c>
      <x:c r="P2143" s="9" t="n">
        <x:f>MIN(1,(AB2142/(AE2142*IF(v01_GroupInCrowding=1,N2143,MIN(J2143,L2143))))^v01_CrowdingExp)</x:f>
        <x:v>0.00024569414295285325</x:v>
      </x:c>
      <x:c r="Q2143" s="9" t="n">
        <x:f>IF(D2143=1,INDEX(v01_WinterMult,G2143),1)</x:f>
        <x:v>1</x:v>
      </x:c>
      <x:c r="R2143" s="9" t="n">
        <x:f>H2143*Z2142*v01_WomenShare*v01_BaseFertility*INDEX(v01_FertMult,G2143)*Arch_Fertility*(1-P2143)</x:f>
        <x:v>0</x:v>
      </x:c>
      <x:c r="S2143" s="9" t="n">
        <x:f>H2143*Y2142*INDEX(v01_MortChild,G2143)/4*Q2143</x:f>
        <x:v>0</x:v>
      </x:c>
      <x:c r="T2143" s="9" t="n">
        <x:f>H2143*Z2142*INDEX(v01_MortAdult,G2143)*Arch_AdultMort/4*Q2143</x:f>
        <x:v>0</x:v>
      </x:c>
      <x:c r="U2143" s="9" t="n">
        <x:f>H2143*AA2142*INDEX(v01_MortElder,G2143)/4*Q2143</x:f>
        <x:v>0</x:v>
      </x:c>
      <x:c r="V2143" s="9" t="n">
        <x:f>H2143*MAX(0,AB2142-O2143)*v01_OvercapLoss</x:f>
        <x:v>0</x:v>
      </x:c>
      <x:c r="W2143" s="9" t="n">
        <x:f>H2143*Y2142/(v01_ChildYears*4)</x:f>
        <x:v>0</x:v>
      </x:c>
      <x:c r="X2143" s="9" t="n">
        <x:f>H2143*Z2142/(v01_AdultYears*4)</x:f>
        <x:v>0</x:v>
      </x:c>
      <x:c r="Y2143" s="32" t="n">
        <x:f>Y2142+R2143-S2143-W2143-Y2142*V2143/AB2142</x:f>
        <x:v>14306.18539759397</x:v>
      </x:c>
      <x:c r="Z2143" s="32" t="n">
        <x:f>Z2142+W2143-X2143-T2143-Z2142*V2143/AB2142</x:f>
        <x:v>19354.456567879548</x:v>
      </x:c>
      <x:c r="AA2143" s="32" t="n">
        <x:f>AA2142+X2143-U2143-AA2142*V2143/AB2142</x:f>
        <x:v>11386.956063258198</x:v>
      </x:c>
      <x:c r="AB2143" s="10" t="n">
        <x:f>Y2143+Z2143+AA2143</x:f>
        <x:v>45047.59802873172</x:v>
      </x:c>
      <x:c r="AC2143" s="8" t="n">
        <x:f>IF(AND(v01_WinterTrigger=1,D2143=1,AB2142/AE2142&gt;=K2143),1,0)</x:f>
        <x:v>0</x:v>
      </x:c>
      <x:c r="AD2143" s="8" t="n">
        <x:f>H2143*IF(AND(OR(AB2142/AE2142&gt;=v01_FissionTrigger*N2143,AC2143=1),AB2142/AE2142*v01_DaughterShare&gt;=v01_MinDaughter),MAX(1,ROUND(AE2142*v01_FissionRate,0)),0)</x:f>
        <x:v>0</x:v>
      </x:c>
      <x:c r="AE2143" s="8" t="n">
        <x:f>IF(H2143=1,MAX(1,MIN(INDEX(v01_Smax,G2143),AE2142+AD2143)),AE2142)</x:f>
        <x:v>15</x:v>
      </x:c>
      <x:c r="AF2143" s="8" t="n">
        <x:f>MAX(0,AE2143-AE2142)</x:f>
        <x:v>0</x:v>
      </x:c>
      <x:c r="AG2143" s="9" t="str">
        <x:f>IF(AF2143&gt;0,B2143,"")</x:f>
      </x:c>
      <x:c r="AH2143" s="9" t="n">
        <x:f>IF(F2143&gt;=1,1,(1+v01_LowTiesShare*(AE2143-1))/AE2143)</x:f>
        <x:v>1</x:v>
      </x:c>
      <x:c r="AI2143" s="32" t="n">
        <x:f>(Z2143+v01_ElderCommons*INDEX(LM_Elder,G2143)*AA2143)*AH2143</x:f>
        <x:v>64139.732591141874</x:v>
      </x:c>
      <x:c r="AJ2143" s="32" t="n">
        <x:f>H2143*v01_CommonsCoef*AI2143^v01_CommonsExp*INDEX(LM_Commons,G2143)</x:f>
        <x:v>0</x:v>
      </x:c>
      <x:c r="AK2143" s="32" t="n">
        <x:f>H2143*v01_RoleScale*Arch_Roles*(AE2143*(INDEX(v01_ElderRolePerSett,G2143)*v01_OutElder*INDEX(LM_Elder,G2143)+INDEX(v01_ShamanPerSett,G2143)*v01_OutShaman)+Z2143*(INDEX(v01_PriestShare,G2143)*v01_OutPriest+INDEX(v01_ScribeShare,G2143)*v01_OutScribe*INDEX(LM_Scribe,G2143)+INDEX(v01_ScholarShare,G2143)*v01_OutScholar*INDEX(LM_Scholar,G2143)+INDEX(v01_ResearcherShare,G2143)*v01_OutResearcher*INDEX(LM_Researcher,G2143)))</x:f>
        <x:v>0</x:v>
      </x:c>
      <x:c r="AL2143" s="32" t="n">
        <x:f>H2143*v01_RoleScale*Arch_Roles*AE2143*INDEX(v01_MonasteryPerSett,G2143)*v01_OutMonastery*INDEX(LM_Monastery,G2143)</x:f>
        <x:v>0</x:v>
      </x:c>
      <x:c r="AM2143" s="32" t="n">
        <x:f>(AJ2143+AK2143+AL2143)/4*INDEX(LM_All,G2143)*INDEX(v01_Boon,G2143)*Arch_Insight</x:f>
        <x:v>0</x:v>
      </x:c>
      <x:c r="AN2143" s="32" t="n">
        <x:f>H2143*(v01_KHPerAdult*Z2143+v01_KHOfCommons*AJ2143/4*INDEX(LM_All,G2143))*v01_KHUsable*Arch_KH</x:f>
        <x:v>0</x:v>
      </x:c>
      <x:c r="AO2143" s="32" t="n">
        <x:f>MIN(AP2142+AN2143,AM2143*v01_KHMaxRatio)</x:f>
        <x:v>0</x:v>
      </x:c>
      <x:c r="AP2143" s="32" t="n">
        <x:f>AP2142+AN2143-AO2143</x:f>
        <x:v>0</x:v>
      </x:c>
      <x:c r="AQ2143" s="32" t="n">
        <x:f>AM2143+AO2143</x:f>
        <x:v>0</x:v>
      </x:c>
      <x:c r="AR2143" s="10" t="n">
        <x:f>IF(H2143=1,INDEX(v01_Req,G2143),0)</x:f>
        <x:v>0</x:v>
      </x:c>
      <x:c r="AS2143" s="32" t="n">
        <x:f>IF(H2143=1,IF(E2143=1,AS2142-AR2142,AS2142)+AQ2143,0)</x:f>
        <x:v>0</x:v>
      </x:c>
      <x:c r="AT2143" s="11" t="n">
        <x:f>IF(AR2143&gt;0,MIN(1,AS2143/AR2143),1)</x:f>
        <x:v>1</x:v>
      </x:c>
      <x:c r="AU2143" s="10" t="n">
        <x:f>AB2143/INDEX(v01_RepScale,G2143)</x:f>
        <x:v>90.09519605746344</x:v>
      </x:c>
      <x:c r="AV2143" s="32" t="n">
        <x:f>AM2143*60/v01_SeasonSeconds</x:f>
        <x:v>0</x:v>
      </x:c>
    </x:row>
    <x:row r="2144">
      <x:c r="A2144" s="8" t="n">
        <x:f>A2143+1</x:f>
        <x:v>2141</x:v>
      </x:c>
      <x:c r="B2144" s="9" t="n">
        <x:f>A2144*v01_SeasonSeconds/60</x:f>
        <x:v>535.25</x:v>
      </x:c>
      <x:c r="C2144" s="9" t="n">
        <x:f>A2144/4</x:f>
        <x:v>535.25</x:v>
      </x:c>
      <x:c r="D2144" s="8" t="n">
        <x:f>IF(MOD(A2144,4)=0,1,0)</x:f>
        <x:v>0</x:v>
      </x:c>
      <x:c r="E2144" s="8" t="n">
        <x:f>IF(AND(F2143&lt;=9,AS2143&gt;=AR2143),1,0)</x:f>
        <x:v>0</x:v>
      </x:c>
      <x:c r="F2144" s="8" t="n">
        <x:f>MIN(10,F2143+E2144)</x:f>
        <x:v>10</x:v>
      </x:c>
      <x:c r="G2144" s="8" t="n">
        <x:f>MIN(F2144,9)+1</x:f>
        <x:v>10</x:v>
      </x:c>
      <x:c r="H2144" s="8" t="n">
        <x:f>IF(F2144&lt;=9,1,0)</x:f>
        <x:v>0</x:v>
      </x:c>
      <x:c r="I2144" s="9" t="n">
        <x:f>MIN(10,F2143+IF(AR2143&gt;0,MIN(1,AS2143/AR2143),1))</x:f>
        <x:v>10</x:v>
      </x:c>
      <x:c r="J2144" s="32" t="n">
        <x:f>INDEX(v01_FoodCap,G2144)*Arch_FoodCap*EXP(v01_CapsByProject*SUMPRODUCT((Cap_Point&lt;=I2144)*(Cap_Kind="Food")*Cap_Ln))</x:f>
        <x:v>12000</x:v>
      </x:c>
      <x:c r="K2144" s="32" t="n">
        <x:f>J2144*MIN(1,v01_LeanBase*EXP(v01_CapsByProject*SUMPRODUCT((Cap_Point&lt;=I2144)*(Cap_Kind="Lean")*Cap_Ln)))</x:f>
        <x:v>12000</x:v>
      </x:c>
      <x:c r="L2144" s="10" t="n">
        <x:f>INDEX(v01_HousingCap,G2144)*EXP(v01_CapsByProject*SUMPRODUCT((Cap_Point&lt;=I2144)*(Cap_Kind="Housing")*Cap_Ln))</x:f>
        <x:v>20000</x:v>
      </x:c>
      <x:c r="M2144" s="10" t="n">
        <x:f>INDEX(v01_GroupCap,G2144)*v01_CohesionFactor*EXP(v01_CapsByProject*SUMPRODUCT((Cap_Point&lt;=I2144)*(Cap_Kind="Group")*Cap_Ln))</x:f>
        <x:v>1000000</x:v>
      </x:c>
      <x:c r="N2144" s="32" t="n">
        <x:f>MIN(J2144,L2144,M2144)</x:f>
        <x:v>12000</x:v>
      </x:c>
      <x:c r="O2144" s="10" t="n">
        <x:f>AE2143*N2144</x:f>
        <x:v>180000</x:v>
      </x:c>
      <x:c r="P2144" s="9" t="n">
        <x:f>MIN(1,(AB2143/(AE2143*IF(v01_GroupInCrowding=1,N2144,MIN(J2144,L2144))))^v01_CrowdingExp)</x:f>
        <x:v>0.00024569414295285325</x:v>
      </x:c>
      <x:c r="Q2144" s="9" t="n">
        <x:f>IF(D2144=1,INDEX(v01_WinterMult,G2144),1)</x:f>
        <x:v>1</x:v>
      </x:c>
      <x:c r="R2144" s="9" t="n">
        <x:f>H2144*Z2143*v01_WomenShare*v01_BaseFertility*INDEX(v01_FertMult,G2144)*Arch_Fertility*(1-P2144)</x:f>
        <x:v>0</x:v>
      </x:c>
      <x:c r="S2144" s="9" t="n">
        <x:f>H2144*Y2143*INDEX(v01_MortChild,G2144)/4*Q2144</x:f>
        <x:v>0</x:v>
      </x:c>
      <x:c r="T2144" s="9" t="n">
        <x:f>H2144*Z2143*INDEX(v01_MortAdult,G2144)*Arch_AdultMort/4*Q2144</x:f>
        <x:v>0</x:v>
      </x:c>
      <x:c r="U2144" s="9" t="n">
        <x:f>H2144*AA2143*INDEX(v01_MortElder,G2144)/4*Q2144</x:f>
        <x:v>0</x:v>
      </x:c>
      <x:c r="V2144" s="9" t="n">
        <x:f>H2144*MAX(0,AB2143-O2144)*v01_OvercapLoss</x:f>
        <x:v>0</x:v>
      </x:c>
      <x:c r="W2144" s="9" t="n">
        <x:f>H2144*Y2143/(v01_ChildYears*4)</x:f>
        <x:v>0</x:v>
      </x:c>
      <x:c r="X2144" s="9" t="n">
        <x:f>H2144*Z2143/(v01_AdultYears*4)</x:f>
        <x:v>0</x:v>
      </x:c>
      <x:c r="Y2144" s="32" t="n">
        <x:f>Y2143+R2144-S2144-W2144-Y2143*V2144/AB2143</x:f>
        <x:v>14306.18539759397</x:v>
      </x:c>
      <x:c r="Z2144" s="32" t="n">
        <x:f>Z2143+W2144-X2144-T2144-Z2143*V2144/AB2143</x:f>
        <x:v>19354.456567879548</x:v>
      </x:c>
      <x:c r="AA2144" s="32" t="n">
        <x:f>AA2143+X2144-U2144-AA2143*V2144/AB2143</x:f>
        <x:v>11386.956063258198</x:v>
      </x:c>
      <x:c r="AB2144" s="10" t="n">
        <x:f>Y2144+Z2144+AA2144</x:f>
        <x:v>45047.59802873172</x:v>
      </x:c>
      <x:c r="AC2144" s="8" t="n">
        <x:f>IF(AND(v01_WinterTrigger=1,D2144=1,AB2143/AE2143&gt;=K2144),1,0)</x:f>
        <x:v>0</x:v>
      </x:c>
      <x:c r="AD2144" s="8" t="n">
        <x:f>H2144*IF(AND(OR(AB2143/AE2143&gt;=v01_FissionTrigger*N2144,AC2144=1),AB2143/AE2143*v01_DaughterShare&gt;=v01_MinDaughter),MAX(1,ROUND(AE2143*v01_FissionRate,0)),0)</x:f>
        <x:v>0</x:v>
      </x:c>
      <x:c r="AE2144" s="8" t="n">
        <x:f>IF(H2144=1,MAX(1,MIN(INDEX(v01_Smax,G2144),AE2143+AD2144)),AE2143)</x:f>
        <x:v>15</x:v>
      </x:c>
      <x:c r="AF2144" s="8" t="n">
        <x:f>MAX(0,AE2144-AE2143)</x:f>
        <x:v>0</x:v>
      </x:c>
      <x:c r="AG2144" s="9" t="str">
        <x:f>IF(AF2144&gt;0,B2144,"")</x:f>
      </x:c>
      <x:c r="AH2144" s="9" t="n">
        <x:f>IF(F2144&gt;=1,1,(1+v01_LowTiesShare*(AE2144-1))/AE2144)</x:f>
        <x:v>1</x:v>
      </x:c>
      <x:c r="AI2144" s="32" t="n">
        <x:f>(Z2144+v01_ElderCommons*INDEX(LM_Elder,G2144)*AA2144)*AH2144</x:f>
        <x:v>64139.732591141874</x:v>
      </x:c>
      <x:c r="AJ2144" s="32" t="n">
        <x:f>H2144*v01_CommonsCoef*AI2144^v01_CommonsExp*INDEX(LM_Commons,G2144)</x:f>
        <x:v>0</x:v>
      </x:c>
      <x:c r="AK2144" s="32" t="n">
        <x:f>H2144*v01_RoleScale*Arch_Roles*(AE2144*(INDEX(v01_ElderRolePerSett,G2144)*v01_OutElder*INDEX(LM_Elder,G2144)+INDEX(v01_ShamanPerSett,G2144)*v01_OutShaman)+Z2144*(INDEX(v01_PriestShare,G2144)*v01_OutPriest+INDEX(v01_ScribeShare,G2144)*v01_OutScribe*INDEX(LM_Scribe,G2144)+INDEX(v01_ScholarShare,G2144)*v01_OutScholar*INDEX(LM_Scholar,G2144)+INDEX(v01_ResearcherShare,G2144)*v01_OutResearcher*INDEX(LM_Researcher,G2144)))</x:f>
        <x:v>0</x:v>
      </x:c>
      <x:c r="AL2144" s="32" t="n">
        <x:f>H2144*v01_RoleScale*Arch_Roles*AE2144*INDEX(v01_MonasteryPerSett,G2144)*v01_OutMonastery*INDEX(LM_Monastery,G2144)</x:f>
        <x:v>0</x:v>
      </x:c>
      <x:c r="AM2144" s="32" t="n">
        <x:f>(AJ2144+AK2144+AL2144)/4*INDEX(LM_All,G2144)*INDEX(v01_Boon,G2144)*Arch_Insight</x:f>
        <x:v>0</x:v>
      </x:c>
      <x:c r="AN2144" s="32" t="n">
        <x:f>H2144*(v01_KHPerAdult*Z2144+v01_KHOfCommons*AJ2144/4*INDEX(LM_All,G2144))*v01_KHUsable*Arch_KH</x:f>
        <x:v>0</x:v>
      </x:c>
      <x:c r="AO2144" s="32" t="n">
        <x:f>MIN(AP2143+AN2144,AM2144*v01_KHMaxRatio)</x:f>
        <x:v>0</x:v>
      </x:c>
      <x:c r="AP2144" s="32" t="n">
        <x:f>AP2143+AN2144-AO2144</x:f>
        <x:v>0</x:v>
      </x:c>
      <x:c r="AQ2144" s="32" t="n">
        <x:f>AM2144+AO2144</x:f>
        <x:v>0</x:v>
      </x:c>
      <x:c r="AR2144" s="10" t="n">
        <x:f>IF(H2144=1,INDEX(v01_Req,G2144),0)</x:f>
        <x:v>0</x:v>
      </x:c>
      <x:c r="AS2144" s="32" t="n">
        <x:f>IF(H2144=1,IF(E2144=1,AS2143-AR2143,AS2143)+AQ2144,0)</x:f>
        <x:v>0</x:v>
      </x:c>
      <x:c r="AT2144" s="11" t="n">
        <x:f>IF(AR2144&gt;0,MIN(1,AS2144/AR2144),1)</x:f>
        <x:v>1</x:v>
      </x:c>
      <x:c r="AU2144" s="10" t="n">
        <x:f>AB2144/INDEX(v01_RepScale,G2144)</x:f>
        <x:v>90.09519605746344</x:v>
      </x:c>
      <x:c r="AV2144" s="32" t="n">
        <x:f>AM2144*60/v01_SeasonSeconds</x:f>
        <x:v>0</x:v>
      </x:c>
    </x:row>
    <x:row r="2145">
      <x:c r="A2145" s="8" t="n">
        <x:f>A2144+1</x:f>
        <x:v>2142</x:v>
      </x:c>
      <x:c r="B2145" s="9" t="n">
        <x:f>A2145*v01_SeasonSeconds/60</x:f>
        <x:v>535.5</x:v>
      </x:c>
      <x:c r="C2145" s="9" t="n">
        <x:f>A2145/4</x:f>
        <x:v>535.5</x:v>
      </x:c>
      <x:c r="D2145" s="8" t="n">
        <x:f>IF(MOD(A2145,4)=0,1,0)</x:f>
        <x:v>0</x:v>
      </x:c>
      <x:c r="E2145" s="8" t="n">
        <x:f>IF(AND(F2144&lt;=9,AS2144&gt;=AR2144),1,0)</x:f>
        <x:v>0</x:v>
      </x:c>
      <x:c r="F2145" s="8" t="n">
        <x:f>MIN(10,F2144+E2145)</x:f>
        <x:v>10</x:v>
      </x:c>
      <x:c r="G2145" s="8" t="n">
        <x:f>MIN(F2145,9)+1</x:f>
        <x:v>10</x:v>
      </x:c>
      <x:c r="H2145" s="8" t="n">
        <x:f>IF(F2145&lt;=9,1,0)</x:f>
        <x:v>0</x:v>
      </x:c>
      <x:c r="I2145" s="9" t="n">
        <x:f>MIN(10,F2144+IF(AR2144&gt;0,MIN(1,AS2144/AR2144),1))</x:f>
        <x:v>10</x:v>
      </x:c>
      <x:c r="J2145" s="32" t="n">
        <x:f>INDEX(v01_FoodCap,G2145)*Arch_FoodCap*EXP(v01_CapsByProject*SUMPRODUCT((Cap_Point&lt;=I2145)*(Cap_Kind="Food")*Cap_Ln))</x:f>
        <x:v>12000</x:v>
      </x:c>
      <x:c r="K2145" s="32" t="n">
        <x:f>J2145*MIN(1,v01_LeanBase*EXP(v01_CapsByProject*SUMPRODUCT((Cap_Point&lt;=I2145)*(Cap_Kind="Lean")*Cap_Ln)))</x:f>
        <x:v>12000</x:v>
      </x:c>
      <x:c r="L2145" s="10" t="n">
        <x:f>INDEX(v01_HousingCap,G2145)*EXP(v01_CapsByProject*SUMPRODUCT((Cap_Point&lt;=I2145)*(Cap_Kind="Housing")*Cap_Ln))</x:f>
        <x:v>20000</x:v>
      </x:c>
      <x:c r="M2145" s="10" t="n">
        <x:f>INDEX(v01_GroupCap,G2145)*v01_CohesionFactor*EXP(v01_CapsByProject*SUMPRODUCT((Cap_Point&lt;=I2145)*(Cap_Kind="Group")*Cap_Ln))</x:f>
        <x:v>1000000</x:v>
      </x:c>
      <x:c r="N2145" s="32" t="n">
        <x:f>MIN(J2145,L2145,M2145)</x:f>
        <x:v>12000</x:v>
      </x:c>
      <x:c r="O2145" s="10" t="n">
        <x:f>AE2144*N2145</x:f>
        <x:v>180000</x:v>
      </x:c>
      <x:c r="P2145" s="9" t="n">
        <x:f>MIN(1,(AB2144/(AE2144*IF(v01_GroupInCrowding=1,N2145,MIN(J2145,L2145))))^v01_CrowdingExp)</x:f>
        <x:v>0.00024569414295285325</x:v>
      </x:c>
      <x:c r="Q2145" s="9" t="n">
        <x:f>IF(D2145=1,INDEX(v01_WinterMult,G2145),1)</x:f>
        <x:v>1</x:v>
      </x:c>
      <x:c r="R2145" s="9" t="n">
        <x:f>H2145*Z2144*v01_WomenShare*v01_BaseFertility*INDEX(v01_FertMult,G2145)*Arch_Fertility*(1-P2145)</x:f>
        <x:v>0</x:v>
      </x:c>
      <x:c r="S2145" s="9" t="n">
        <x:f>H2145*Y2144*INDEX(v01_MortChild,G2145)/4*Q2145</x:f>
        <x:v>0</x:v>
      </x:c>
      <x:c r="T2145" s="9" t="n">
        <x:f>H2145*Z2144*INDEX(v01_MortAdult,G2145)*Arch_AdultMort/4*Q2145</x:f>
        <x:v>0</x:v>
      </x:c>
      <x:c r="U2145" s="9" t="n">
        <x:f>H2145*AA2144*INDEX(v01_MortElder,G2145)/4*Q2145</x:f>
        <x:v>0</x:v>
      </x:c>
      <x:c r="V2145" s="9" t="n">
        <x:f>H2145*MAX(0,AB2144-O2145)*v01_OvercapLoss</x:f>
        <x:v>0</x:v>
      </x:c>
      <x:c r="W2145" s="9" t="n">
        <x:f>H2145*Y2144/(v01_ChildYears*4)</x:f>
        <x:v>0</x:v>
      </x:c>
      <x:c r="X2145" s="9" t="n">
        <x:f>H2145*Z2144/(v01_AdultYears*4)</x:f>
        <x:v>0</x:v>
      </x:c>
      <x:c r="Y2145" s="32" t="n">
        <x:f>Y2144+R2145-S2145-W2145-Y2144*V2145/AB2144</x:f>
        <x:v>14306.18539759397</x:v>
      </x:c>
      <x:c r="Z2145" s="32" t="n">
        <x:f>Z2144+W2145-X2145-T2145-Z2144*V2145/AB2144</x:f>
        <x:v>19354.456567879548</x:v>
      </x:c>
      <x:c r="AA2145" s="32" t="n">
        <x:f>AA2144+X2145-U2145-AA2144*V2145/AB2144</x:f>
        <x:v>11386.956063258198</x:v>
      </x:c>
      <x:c r="AB2145" s="10" t="n">
        <x:f>Y2145+Z2145+AA2145</x:f>
        <x:v>45047.59802873172</x:v>
      </x:c>
      <x:c r="AC2145" s="8" t="n">
        <x:f>IF(AND(v01_WinterTrigger=1,D2145=1,AB2144/AE2144&gt;=K2145),1,0)</x:f>
        <x:v>0</x:v>
      </x:c>
      <x:c r="AD2145" s="8" t="n">
        <x:f>H2145*IF(AND(OR(AB2144/AE2144&gt;=v01_FissionTrigger*N2145,AC2145=1),AB2144/AE2144*v01_DaughterShare&gt;=v01_MinDaughter),MAX(1,ROUND(AE2144*v01_FissionRate,0)),0)</x:f>
        <x:v>0</x:v>
      </x:c>
      <x:c r="AE2145" s="8" t="n">
        <x:f>IF(H2145=1,MAX(1,MIN(INDEX(v01_Smax,G2145),AE2144+AD2145)),AE2144)</x:f>
        <x:v>15</x:v>
      </x:c>
      <x:c r="AF2145" s="8" t="n">
        <x:f>MAX(0,AE2145-AE2144)</x:f>
        <x:v>0</x:v>
      </x:c>
      <x:c r="AG2145" s="9" t="str">
        <x:f>IF(AF2145&gt;0,B2145,"")</x:f>
      </x:c>
      <x:c r="AH2145" s="9" t="n">
        <x:f>IF(F2145&gt;=1,1,(1+v01_LowTiesShare*(AE2145-1))/AE2145)</x:f>
        <x:v>1</x:v>
      </x:c>
      <x:c r="AI2145" s="32" t="n">
        <x:f>(Z2145+v01_ElderCommons*INDEX(LM_Elder,G2145)*AA2145)*AH2145</x:f>
        <x:v>64139.732591141874</x:v>
      </x:c>
      <x:c r="AJ2145" s="32" t="n">
        <x:f>H2145*v01_CommonsCoef*AI2145^v01_CommonsExp*INDEX(LM_Commons,G2145)</x:f>
        <x:v>0</x:v>
      </x:c>
      <x:c r="AK2145" s="32" t="n">
        <x:f>H2145*v01_RoleScale*Arch_Roles*(AE2145*(INDEX(v01_ElderRolePerSett,G2145)*v01_OutElder*INDEX(LM_Elder,G2145)+INDEX(v01_ShamanPerSett,G2145)*v01_OutShaman)+Z2145*(INDEX(v01_PriestShare,G2145)*v01_OutPriest+INDEX(v01_ScribeShare,G2145)*v01_OutScribe*INDEX(LM_Scribe,G2145)+INDEX(v01_ScholarShare,G2145)*v01_OutScholar*INDEX(LM_Scholar,G2145)+INDEX(v01_ResearcherShare,G2145)*v01_OutResearcher*INDEX(LM_Researcher,G2145)))</x:f>
        <x:v>0</x:v>
      </x:c>
      <x:c r="AL2145" s="32" t="n">
        <x:f>H2145*v01_RoleScale*Arch_Roles*AE2145*INDEX(v01_MonasteryPerSett,G2145)*v01_OutMonastery*INDEX(LM_Monastery,G2145)</x:f>
        <x:v>0</x:v>
      </x:c>
      <x:c r="AM2145" s="32" t="n">
        <x:f>(AJ2145+AK2145+AL2145)/4*INDEX(LM_All,G2145)*INDEX(v01_Boon,G2145)*Arch_Insight</x:f>
        <x:v>0</x:v>
      </x:c>
      <x:c r="AN2145" s="32" t="n">
        <x:f>H2145*(v01_KHPerAdult*Z2145+v01_KHOfCommons*AJ2145/4*INDEX(LM_All,G2145))*v01_KHUsable*Arch_KH</x:f>
        <x:v>0</x:v>
      </x:c>
      <x:c r="AO2145" s="32" t="n">
        <x:f>MIN(AP2144+AN2145,AM2145*v01_KHMaxRatio)</x:f>
        <x:v>0</x:v>
      </x:c>
      <x:c r="AP2145" s="32" t="n">
        <x:f>AP2144+AN2145-AO2145</x:f>
        <x:v>0</x:v>
      </x:c>
      <x:c r="AQ2145" s="32" t="n">
        <x:f>AM2145+AO2145</x:f>
        <x:v>0</x:v>
      </x:c>
      <x:c r="AR2145" s="10" t="n">
        <x:f>IF(H2145=1,INDEX(v01_Req,G2145),0)</x:f>
        <x:v>0</x:v>
      </x:c>
      <x:c r="AS2145" s="32" t="n">
        <x:f>IF(H2145=1,IF(E2145=1,AS2144-AR2144,AS2144)+AQ2145,0)</x:f>
        <x:v>0</x:v>
      </x:c>
      <x:c r="AT2145" s="11" t="n">
        <x:f>IF(AR2145&gt;0,MIN(1,AS2145/AR2145),1)</x:f>
        <x:v>1</x:v>
      </x:c>
      <x:c r="AU2145" s="10" t="n">
        <x:f>AB2145/INDEX(v01_RepScale,G2145)</x:f>
        <x:v>90.09519605746344</x:v>
      </x:c>
      <x:c r="AV2145" s="32" t="n">
        <x:f>AM2145*60/v01_SeasonSeconds</x:f>
        <x:v>0</x:v>
      </x:c>
    </x:row>
    <x:row r="2146">
      <x:c r="A2146" s="8" t="n">
        <x:f>A2145+1</x:f>
        <x:v>2143</x:v>
      </x:c>
      <x:c r="B2146" s="9" t="n">
        <x:f>A2146*v01_SeasonSeconds/60</x:f>
        <x:v>535.75</x:v>
      </x:c>
      <x:c r="C2146" s="9" t="n">
        <x:f>A2146/4</x:f>
        <x:v>535.75</x:v>
      </x:c>
      <x:c r="D2146" s="8" t="n">
        <x:f>IF(MOD(A2146,4)=0,1,0)</x:f>
        <x:v>0</x:v>
      </x:c>
      <x:c r="E2146" s="8" t="n">
        <x:f>IF(AND(F2145&lt;=9,AS2145&gt;=AR2145),1,0)</x:f>
        <x:v>0</x:v>
      </x:c>
      <x:c r="F2146" s="8" t="n">
        <x:f>MIN(10,F2145+E2146)</x:f>
        <x:v>10</x:v>
      </x:c>
      <x:c r="G2146" s="8" t="n">
        <x:f>MIN(F2146,9)+1</x:f>
        <x:v>10</x:v>
      </x:c>
      <x:c r="H2146" s="8" t="n">
        <x:f>IF(F2146&lt;=9,1,0)</x:f>
        <x:v>0</x:v>
      </x:c>
      <x:c r="I2146" s="9" t="n">
        <x:f>MIN(10,F2145+IF(AR2145&gt;0,MIN(1,AS2145/AR2145),1))</x:f>
        <x:v>10</x:v>
      </x:c>
      <x:c r="J2146" s="32" t="n">
        <x:f>INDEX(v01_FoodCap,G2146)*Arch_FoodCap*EXP(v01_CapsByProject*SUMPRODUCT((Cap_Point&lt;=I2146)*(Cap_Kind="Food")*Cap_Ln))</x:f>
        <x:v>12000</x:v>
      </x:c>
      <x:c r="K2146" s="32" t="n">
        <x:f>J2146*MIN(1,v01_LeanBase*EXP(v01_CapsByProject*SUMPRODUCT((Cap_Point&lt;=I2146)*(Cap_Kind="Lean")*Cap_Ln)))</x:f>
        <x:v>12000</x:v>
      </x:c>
      <x:c r="L2146" s="10" t="n">
        <x:f>INDEX(v01_HousingCap,G2146)*EXP(v01_CapsByProject*SUMPRODUCT((Cap_Point&lt;=I2146)*(Cap_Kind="Housing")*Cap_Ln))</x:f>
        <x:v>20000</x:v>
      </x:c>
      <x:c r="M2146" s="10" t="n">
        <x:f>INDEX(v01_GroupCap,G2146)*v01_CohesionFactor*EXP(v01_CapsByProject*SUMPRODUCT((Cap_Point&lt;=I2146)*(Cap_Kind="Group")*Cap_Ln))</x:f>
        <x:v>1000000</x:v>
      </x:c>
      <x:c r="N2146" s="32" t="n">
        <x:f>MIN(J2146,L2146,M2146)</x:f>
        <x:v>12000</x:v>
      </x:c>
      <x:c r="O2146" s="10" t="n">
        <x:f>AE2145*N2146</x:f>
        <x:v>180000</x:v>
      </x:c>
      <x:c r="P2146" s="9" t="n">
        <x:f>MIN(1,(AB2145/(AE2145*IF(v01_GroupInCrowding=1,N2146,MIN(J2146,L2146))))^v01_CrowdingExp)</x:f>
        <x:v>0.00024569414295285325</x:v>
      </x:c>
      <x:c r="Q2146" s="9" t="n">
        <x:f>IF(D2146=1,INDEX(v01_WinterMult,G2146),1)</x:f>
        <x:v>1</x:v>
      </x:c>
      <x:c r="R2146" s="9" t="n">
        <x:f>H2146*Z2145*v01_WomenShare*v01_BaseFertility*INDEX(v01_FertMult,G2146)*Arch_Fertility*(1-P2146)</x:f>
        <x:v>0</x:v>
      </x:c>
      <x:c r="S2146" s="9" t="n">
        <x:f>H2146*Y2145*INDEX(v01_MortChild,G2146)/4*Q2146</x:f>
        <x:v>0</x:v>
      </x:c>
      <x:c r="T2146" s="9" t="n">
        <x:f>H2146*Z2145*INDEX(v01_MortAdult,G2146)*Arch_AdultMort/4*Q2146</x:f>
        <x:v>0</x:v>
      </x:c>
      <x:c r="U2146" s="9" t="n">
        <x:f>H2146*AA2145*INDEX(v01_MortElder,G2146)/4*Q2146</x:f>
        <x:v>0</x:v>
      </x:c>
      <x:c r="V2146" s="9" t="n">
        <x:f>H2146*MAX(0,AB2145-O2146)*v01_OvercapLoss</x:f>
        <x:v>0</x:v>
      </x:c>
      <x:c r="W2146" s="9" t="n">
        <x:f>H2146*Y2145/(v01_ChildYears*4)</x:f>
        <x:v>0</x:v>
      </x:c>
      <x:c r="X2146" s="9" t="n">
        <x:f>H2146*Z2145/(v01_AdultYears*4)</x:f>
        <x:v>0</x:v>
      </x:c>
      <x:c r="Y2146" s="32" t="n">
        <x:f>Y2145+R2146-S2146-W2146-Y2145*V2146/AB2145</x:f>
        <x:v>14306.18539759397</x:v>
      </x:c>
      <x:c r="Z2146" s="32" t="n">
        <x:f>Z2145+W2146-X2146-T2146-Z2145*V2146/AB2145</x:f>
        <x:v>19354.456567879548</x:v>
      </x:c>
      <x:c r="AA2146" s="32" t="n">
        <x:f>AA2145+X2146-U2146-AA2145*V2146/AB2145</x:f>
        <x:v>11386.956063258198</x:v>
      </x:c>
      <x:c r="AB2146" s="10" t="n">
        <x:f>Y2146+Z2146+AA2146</x:f>
        <x:v>45047.59802873172</x:v>
      </x:c>
      <x:c r="AC2146" s="8" t="n">
        <x:f>IF(AND(v01_WinterTrigger=1,D2146=1,AB2145/AE2145&gt;=K2146),1,0)</x:f>
        <x:v>0</x:v>
      </x:c>
      <x:c r="AD2146" s="8" t="n">
        <x:f>H2146*IF(AND(OR(AB2145/AE2145&gt;=v01_FissionTrigger*N2146,AC2146=1),AB2145/AE2145*v01_DaughterShare&gt;=v01_MinDaughter),MAX(1,ROUND(AE2145*v01_FissionRate,0)),0)</x:f>
        <x:v>0</x:v>
      </x:c>
      <x:c r="AE2146" s="8" t="n">
        <x:f>IF(H2146=1,MAX(1,MIN(INDEX(v01_Smax,G2146),AE2145+AD2146)),AE2145)</x:f>
        <x:v>15</x:v>
      </x:c>
      <x:c r="AF2146" s="8" t="n">
        <x:f>MAX(0,AE2146-AE2145)</x:f>
        <x:v>0</x:v>
      </x:c>
      <x:c r="AG2146" s="9" t="str">
        <x:f>IF(AF2146&gt;0,B2146,"")</x:f>
      </x:c>
      <x:c r="AH2146" s="9" t="n">
        <x:f>IF(F2146&gt;=1,1,(1+v01_LowTiesShare*(AE2146-1))/AE2146)</x:f>
        <x:v>1</x:v>
      </x:c>
      <x:c r="AI2146" s="32" t="n">
        <x:f>(Z2146+v01_ElderCommons*INDEX(LM_Elder,G2146)*AA2146)*AH2146</x:f>
        <x:v>64139.732591141874</x:v>
      </x:c>
      <x:c r="AJ2146" s="32" t="n">
        <x:f>H2146*v01_CommonsCoef*AI2146^v01_CommonsExp*INDEX(LM_Commons,G2146)</x:f>
        <x:v>0</x:v>
      </x:c>
      <x:c r="AK2146" s="32" t="n">
        <x:f>H2146*v01_RoleScale*Arch_Roles*(AE2146*(INDEX(v01_ElderRolePerSett,G2146)*v01_OutElder*INDEX(LM_Elder,G2146)+INDEX(v01_ShamanPerSett,G2146)*v01_OutShaman)+Z2146*(INDEX(v01_PriestShare,G2146)*v01_OutPriest+INDEX(v01_ScribeShare,G2146)*v01_OutScribe*INDEX(LM_Scribe,G2146)+INDEX(v01_ScholarShare,G2146)*v01_OutScholar*INDEX(LM_Scholar,G2146)+INDEX(v01_ResearcherShare,G2146)*v01_OutResearcher*INDEX(LM_Researcher,G2146)))</x:f>
        <x:v>0</x:v>
      </x:c>
      <x:c r="AL2146" s="32" t="n">
        <x:f>H2146*v01_RoleScale*Arch_Roles*AE2146*INDEX(v01_MonasteryPerSett,G2146)*v01_OutMonastery*INDEX(LM_Monastery,G2146)</x:f>
        <x:v>0</x:v>
      </x:c>
      <x:c r="AM2146" s="32" t="n">
        <x:f>(AJ2146+AK2146+AL2146)/4*INDEX(LM_All,G2146)*INDEX(v01_Boon,G2146)*Arch_Insight</x:f>
        <x:v>0</x:v>
      </x:c>
      <x:c r="AN2146" s="32" t="n">
        <x:f>H2146*(v01_KHPerAdult*Z2146+v01_KHOfCommons*AJ2146/4*INDEX(LM_All,G2146))*v01_KHUsable*Arch_KH</x:f>
        <x:v>0</x:v>
      </x:c>
      <x:c r="AO2146" s="32" t="n">
        <x:f>MIN(AP2145+AN2146,AM2146*v01_KHMaxRatio)</x:f>
        <x:v>0</x:v>
      </x:c>
      <x:c r="AP2146" s="32" t="n">
        <x:f>AP2145+AN2146-AO2146</x:f>
        <x:v>0</x:v>
      </x:c>
      <x:c r="AQ2146" s="32" t="n">
        <x:f>AM2146+AO2146</x:f>
        <x:v>0</x:v>
      </x:c>
      <x:c r="AR2146" s="10" t="n">
        <x:f>IF(H2146=1,INDEX(v01_Req,G2146),0)</x:f>
        <x:v>0</x:v>
      </x:c>
      <x:c r="AS2146" s="32" t="n">
        <x:f>IF(H2146=1,IF(E2146=1,AS2145-AR2145,AS2145)+AQ2146,0)</x:f>
        <x:v>0</x:v>
      </x:c>
      <x:c r="AT2146" s="11" t="n">
        <x:f>IF(AR2146&gt;0,MIN(1,AS2146/AR2146),1)</x:f>
        <x:v>1</x:v>
      </x:c>
      <x:c r="AU2146" s="10" t="n">
        <x:f>AB2146/INDEX(v01_RepScale,G2146)</x:f>
        <x:v>90.09519605746344</x:v>
      </x:c>
      <x:c r="AV2146" s="32" t="n">
        <x:f>AM2146*60/v01_SeasonSeconds</x:f>
        <x:v>0</x:v>
      </x:c>
    </x:row>
    <x:row r="2147">
      <x:c r="A2147" s="8" t="n">
        <x:f>A2146+1</x:f>
        <x:v>2144</x:v>
      </x:c>
      <x:c r="B2147" s="9" t="n">
        <x:f>A2147*v01_SeasonSeconds/60</x:f>
        <x:v>536</x:v>
      </x:c>
      <x:c r="C2147" s="9" t="n">
        <x:f>A2147/4</x:f>
        <x:v>536</x:v>
      </x:c>
      <x:c r="D2147" s="8" t="n">
        <x:f>IF(MOD(A2147,4)=0,1,0)</x:f>
        <x:v>1</x:v>
      </x:c>
      <x:c r="E2147" s="8" t="n">
        <x:f>IF(AND(F2146&lt;=9,AS2146&gt;=AR2146),1,0)</x:f>
        <x:v>0</x:v>
      </x:c>
      <x:c r="F2147" s="8" t="n">
        <x:f>MIN(10,F2146+E2147)</x:f>
        <x:v>10</x:v>
      </x:c>
      <x:c r="G2147" s="8" t="n">
        <x:f>MIN(F2147,9)+1</x:f>
        <x:v>10</x:v>
      </x:c>
      <x:c r="H2147" s="8" t="n">
        <x:f>IF(F2147&lt;=9,1,0)</x:f>
        <x:v>0</x:v>
      </x:c>
      <x:c r="I2147" s="9" t="n">
        <x:f>MIN(10,F2146+IF(AR2146&gt;0,MIN(1,AS2146/AR2146),1))</x:f>
        <x:v>10</x:v>
      </x:c>
      <x:c r="J2147" s="32" t="n">
        <x:f>INDEX(v01_FoodCap,G2147)*Arch_FoodCap*EXP(v01_CapsByProject*SUMPRODUCT((Cap_Point&lt;=I2147)*(Cap_Kind="Food")*Cap_Ln))</x:f>
        <x:v>12000</x:v>
      </x:c>
      <x:c r="K2147" s="32" t="n">
        <x:f>J2147*MIN(1,v01_LeanBase*EXP(v01_CapsByProject*SUMPRODUCT((Cap_Point&lt;=I2147)*(Cap_Kind="Lean")*Cap_Ln)))</x:f>
        <x:v>12000</x:v>
      </x:c>
      <x:c r="L2147" s="10" t="n">
        <x:f>INDEX(v01_HousingCap,G2147)*EXP(v01_CapsByProject*SUMPRODUCT((Cap_Point&lt;=I2147)*(Cap_Kind="Housing")*Cap_Ln))</x:f>
        <x:v>20000</x:v>
      </x:c>
      <x:c r="M2147" s="10" t="n">
        <x:f>INDEX(v01_GroupCap,G2147)*v01_CohesionFactor*EXP(v01_CapsByProject*SUMPRODUCT((Cap_Point&lt;=I2147)*(Cap_Kind="Group")*Cap_Ln))</x:f>
        <x:v>1000000</x:v>
      </x:c>
      <x:c r="N2147" s="32" t="n">
        <x:f>MIN(J2147,L2147,M2147)</x:f>
        <x:v>12000</x:v>
      </x:c>
      <x:c r="O2147" s="10" t="n">
        <x:f>AE2146*N2147</x:f>
        <x:v>180000</x:v>
      </x:c>
      <x:c r="P2147" s="9" t="n">
        <x:f>MIN(1,(AB2146/(AE2146*IF(v01_GroupInCrowding=1,N2147,MIN(J2147,L2147))))^v01_CrowdingExp)</x:f>
        <x:v>0.00024569414295285325</x:v>
      </x:c>
      <x:c r="Q2147" s="9" t="n">
        <x:f>IF(D2147=1,INDEX(v01_WinterMult,G2147),1)</x:f>
        <x:v>1</x:v>
      </x:c>
      <x:c r="R2147" s="9" t="n">
        <x:f>H2147*Z2146*v01_WomenShare*v01_BaseFertility*INDEX(v01_FertMult,G2147)*Arch_Fertility*(1-P2147)</x:f>
        <x:v>0</x:v>
      </x:c>
      <x:c r="S2147" s="9" t="n">
        <x:f>H2147*Y2146*INDEX(v01_MortChild,G2147)/4*Q2147</x:f>
        <x:v>0</x:v>
      </x:c>
      <x:c r="T2147" s="9" t="n">
        <x:f>H2147*Z2146*INDEX(v01_MortAdult,G2147)*Arch_AdultMort/4*Q2147</x:f>
        <x:v>0</x:v>
      </x:c>
      <x:c r="U2147" s="9" t="n">
        <x:f>H2147*AA2146*INDEX(v01_MortElder,G2147)/4*Q2147</x:f>
        <x:v>0</x:v>
      </x:c>
      <x:c r="V2147" s="9" t="n">
        <x:f>H2147*MAX(0,AB2146-O2147)*v01_OvercapLoss</x:f>
        <x:v>0</x:v>
      </x:c>
      <x:c r="W2147" s="9" t="n">
        <x:f>H2147*Y2146/(v01_ChildYears*4)</x:f>
        <x:v>0</x:v>
      </x:c>
      <x:c r="X2147" s="9" t="n">
        <x:f>H2147*Z2146/(v01_AdultYears*4)</x:f>
        <x:v>0</x:v>
      </x:c>
      <x:c r="Y2147" s="32" t="n">
        <x:f>Y2146+R2147-S2147-W2147-Y2146*V2147/AB2146</x:f>
        <x:v>14306.18539759397</x:v>
      </x:c>
      <x:c r="Z2147" s="32" t="n">
        <x:f>Z2146+W2147-X2147-T2147-Z2146*V2147/AB2146</x:f>
        <x:v>19354.456567879548</x:v>
      </x:c>
      <x:c r="AA2147" s="32" t="n">
        <x:f>AA2146+X2147-U2147-AA2146*V2147/AB2146</x:f>
        <x:v>11386.956063258198</x:v>
      </x:c>
      <x:c r="AB2147" s="10" t="n">
        <x:f>Y2147+Z2147+AA2147</x:f>
        <x:v>45047.59802873172</x:v>
      </x:c>
      <x:c r="AC2147" s="8" t="n">
        <x:f>IF(AND(v01_WinterTrigger=1,D2147=1,AB2146/AE2146&gt;=K2147),1,0)</x:f>
        <x:v>0</x:v>
      </x:c>
      <x:c r="AD2147" s="8" t="n">
        <x:f>H2147*IF(AND(OR(AB2146/AE2146&gt;=v01_FissionTrigger*N2147,AC2147=1),AB2146/AE2146*v01_DaughterShare&gt;=v01_MinDaughter),MAX(1,ROUND(AE2146*v01_FissionRate,0)),0)</x:f>
        <x:v>0</x:v>
      </x:c>
      <x:c r="AE2147" s="8" t="n">
        <x:f>IF(H2147=1,MAX(1,MIN(INDEX(v01_Smax,G2147),AE2146+AD2147)),AE2146)</x:f>
        <x:v>15</x:v>
      </x:c>
      <x:c r="AF2147" s="8" t="n">
        <x:f>MAX(0,AE2147-AE2146)</x:f>
        <x:v>0</x:v>
      </x:c>
      <x:c r="AG2147" s="9" t="str">
        <x:f>IF(AF2147&gt;0,B2147,"")</x:f>
      </x:c>
      <x:c r="AH2147" s="9" t="n">
        <x:f>IF(F2147&gt;=1,1,(1+v01_LowTiesShare*(AE2147-1))/AE2147)</x:f>
        <x:v>1</x:v>
      </x:c>
      <x:c r="AI2147" s="32" t="n">
        <x:f>(Z2147+v01_ElderCommons*INDEX(LM_Elder,G2147)*AA2147)*AH2147</x:f>
        <x:v>64139.732591141874</x:v>
      </x:c>
      <x:c r="AJ2147" s="32" t="n">
        <x:f>H2147*v01_CommonsCoef*AI2147^v01_CommonsExp*INDEX(LM_Commons,G2147)</x:f>
        <x:v>0</x:v>
      </x:c>
      <x:c r="AK2147" s="32" t="n">
        <x:f>H2147*v01_RoleScale*Arch_Roles*(AE2147*(INDEX(v01_ElderRolePerSett,G2147)*v01_OutElder*INDEX(LM_Elder,G2147)+INDEX(v01_ShamanPerSett,G2147)*v01_OutShaman)+Z2147*(INDEX(v01_PriestShare,G2147)*v01_OutPriest+INDEX(v01_ScribeShare,G2147)*v01_OutScribe*INDEX(LM_Scribe,G2147)+INDEX(v01_ScholarShare,G2147)*v01_OutScholar*INDEX(LM_Scholar,G2147)+INDEX(v01_ResearcherShare,G2147)*v01_OutResearcher*INDEX(LM_Researcher,G2147)))</x:f>
        <x:v>0</x:v>
      </x:c>
      <x:c r="AL2147" s="32" t="n">
        <x:f>H2147*v01_RoleScale*Arch_Roles*AE2147*INDEX(v01_MonasteryPerSett,G2147)*v01_OutMonastery*INDEX(LM_Monastery,G2147)</x:f>
        <x:v>0</x:v>
      </x:c>
      <x:c r="AM2147" s="32" t="n">
        <x:f>(AJ2147+AK2147+AL2147)/4*INDEX(LM_All,G2147)*INDEX(v01_Boon,G2147)*Arch_Insight</x:f>
        <x:v>0</x:v>
      </x:c>
      <x:c r="AN2147" s="32" t="n">
        <x:f>H2147*(v01_KHPerAdult*Z2147+v01_KHOfCommons*AJ2147/4*INDEX(LM_All,G2147))*v01_KHUsable*Arch_KH</x:f>
        <x:v>0</x:v>
      </x:c>
      <x:c r="AO2147" s="32" t="n">
        <x:f>MIN(AP2146+AN2147,AM2147*v01_KHMaxRatio)</x:f>
        <x:v>0</x:v>
      </x:c>
      <x:c r="AP2147" s="32" t="n">
        <x:f>AP2146+AN2147-AO2147</x:f>
        <x:v>0</x:v>
      </x:c>
      <x:c r="AQ2147" s="32" t="n">
        <x:f>AM2147+AO2147</x:f>
        <x:v>0</x:v>
      </x:c>
      <x:c r="AR2147" s="10" t="n">
        <x:f>IF(H2147=1,INDEX(v01_Req,G2147),0)</x:f>
        <x:v>0</x:v>
      </x:c>
      <x:c r="AS2147" s="32" t="n">
        <x:f>IF(H2147=1,IF(E2147=1,AS2146-AR2146,AS2146)+AQ2147,0)</x:f>
        <x:v>0</x:v>
      </x:c>
      <x:c r="AT2147" s="11" t="n">
        <x:f>IF(AR2147&gt;0,MIN(1,AS2147/AR2147),1)</x:f>
        <x:v>1</x:v>
      </x:c>
      <x:c r="AU2147" s="10" t="n">
        <x:f>AB2147/INDEX(v01_RepScale,G2147)</x:f>
        <x:v>90.09519605746344</x:v>
      </x:c>
      <x:c r="AV2147" s="32" t="n">
        <x:f>AM2147*60/v01_SeasonSeconds</x:f>
        <x:v>0</x:v>
      </x:c>
    </x:row>
    <x:row r="2148">
      <x:c r="A2148" s="8" t="n">
        <x:f>A2147+1</x:f>
        <x:v>2145</x:v>
      </x:c>
      <x:c r="B2148" s="9" t="n">
        <x:f>A2148*v01_SeasonSeconds/60</x:f>
        <x:v>536.25</x:v>
      </x:c>
      <x:c r="C2148" s="9" t="n">
        <x:f>A2148/4</x:f>
        <x:v>536.25</x:v>
      </x:c>
      <x:c r="D2148" s="8" t="n">
        <x:f>IF(MOD(A2148,4)=0,1,0)</x:f>
        <x:v>0</x:v>
      </x:c>
      <x:c r="E2148" s="8" t="n">
        <x:f>IF(AND(F2147&lt;=9,AS2147&gt;=AR2147),1,0)</x:f>
        <x:v>0</x:v>
      </x:c>
      <x:c r="F2148" s="8" t="n">
        <x:f>MIN(10,F2147+E2148)</x:f>
        <x:v>10</x:v>
      </x:c>
      <x:c r="G2148" s="8" t="n">
        <x:f>MIN(F2148,9)+1</x:f>
        <x:v>10</x:v>
      </x:c>
      <x:c r="H2148" s="8" t="n">
        <x:f>IF(F2148&lt;=9,1,0)</x:f>
        <x:v>0</x:v>
      </x:c>
      <x:c r="I2148" s="9" t="n">
        <x:f>MIN(10,F2147+IF(AR2147&gt;0,MIN(1,AS2147/AR2147),1))</x:f>
        <x:v>10</x:v>
      </x:c>
      <x:c r="J2148" s="32" t="n">
        <x:f>INDEX(v01_FoodCap,G2148)*Arch_FoodCap*EXP(v01_CapsByProject*SUMPRODUCT((Cap_Point&lt;=I2148)*(Cap_Kind="Food")*Cap_Ln))</x:f>
        <x:v>12000</x:v>
      </x:c>
      <x:c r="K2148" s="32" t="n">
        <x:f>J2148*MIN(1,v01_LeanBase*EXP(v01_CapsByProject*SUMPRODUCT((Cap_Point&lt;=I2148)*(Cap_Kind="Lean")*Cap_Ln)))</x:f>
        <x:v>12000</x:v>
      </x:c>
      <x:c r="L2148" s="10" t="n">
        <x:f>INDEX(v01_HousingCap,G2148)*EXP(v01_CapsByProject*SUMPRODUCT((Cap_Point&lt;=I2148)*(Cap_Kind="Housing")*Cap_Ln))</x:f>
        <x:v>20000</x:v>
      </x:c>
      <x:c r="M2148" s="10" t="n">
        <x:f>INDEX(v01_GroupCap,G2148)*v01_CohesionFactor*EXP(v01_CapsByProject*SUMPRODUCT((Cap_Point&lt;=I2148)*(Cap_Kind="Group")*Cap_Ln))</x:f>
        <x:v>1000000</x:v>
      </x:c>
      <x:c r="N2148" s="32" t="n">
        <x:f>MIN(J2148,L2148,M2148)</x:f>
        <x:v>12000</x:v>
      </x:c>
      <x:c r="O2148" s="10" t="n">
        <x:f>AE2147*N2148</x:f>
        <x:v>180000</x:v>
      </x:c>
      <x:c r="P2148" s="9" t="n">
        <x:f>MIN(1,(AB2147/(AE2147*IF(v01_GroupInCrowding=1,N2148,MIN(J2148,L2148))))^v01_CrowdingExp)</x:f>
        <x:v>0.00024569414295285325</x:v>
      </x:c>
      <x:c r="Q2148" s="9" t="n">
        <x:f>IF(D2148=1,INDEX(v01_WinterMult,G2148),1)</x:f>
        <x:v>1</x:v>
      </x:c>
      <x:c r="R2148" s="9" t="n">
        <x:f>H2148*Z2147*v01_WomenShare*v01_BaseFertility*INDEX(v01_FertMult,G2148)*Arch_Fertility*(1-P2148)</x:f>
        <x:v>0</x:v>
      </x:c>
      <x:c r="S2148" s="9" t="n">
        <x:f>H2148*Y2147*INDEX(v01_MortChild,G2148)/4*Q2148</x:f>
        <x:v>0</x:v>
      </x:c>
      <x:c r="T2148" s="9" t="n">
        <x:f>H2148*Z2147*INDEX(v01_MortAdult,G2148)*Arch_AdultMort/4*Q2148</x:f>
        <x:v>0</x:v>
      </x:c>
      <x:c r="U2148" s="9" t="n">
        <x:f>H2148*AA2147*INDEX(v01_MortElder,G2148)/4*Q2148</x:f>
        <x:v>0</x:v>
      </x:c>
      <x:c r="V2148" s="9" t="n">
        <x:f>H2148*MAX(0,AB2147-O2148)*v01_OvercapLoss</x:f>
        <x:v>0</x:v>
      </x:c>
      <x:c r="W2148" s="9" t="n">
        <x:f>H2148*Y2147/(v01_ChildYears*4)</x:f>
        <x:v>0</x:v>
      </x:c>
      <x:c r="X2148" s="9" t="n">
        <x:f>H2148*Z2147/(v01_AdultYears*4)</x:f>
        <x:v>0</x:v>
      </x:c>
      <x:c r="Y2148" s="32" t="n">
        <x:f>Y2147+R2148-S2148-W2148-Y2147*V2148/AB2147</x:f>
        <x:v>14306.18539759397</x:v>
      </x:c>
      <x:c r="Z2148" s="32" t="n">
        <x:f>Z2147+W2148-X2148-T2148-Z2147*V2148/AB2147</x:f>
        <x:v>19354.456567879548</x:v>
      </x:c>
      <x:c r="AA2148" s="32" t="n">
        <x:f>AA2147+X2148-U2148-AA2147*V2148/AB2147</x:f>
        <x:v>11386.956063258198</x:v>
      </x:c>
      <x:c r="AB2148" s="10" t="n">
        <x:f>Y2148+Z2148+AA2148</x:f>
        <x:v>45047.59802873172</x:v>
      </x:c>
      <x:c r="AC2148" s="8" t="n">
        <x:f>IF(AND(v01_WinterTrigger=1,D2148=1,AB2147/AE2147&gt;=K2148),1,0)</x:f>
        <x:v>0</x:v>
      </x:c>
      <x:c r="AD2148" s="8" t="n">
        <x:f>H2148*IF(AND(OR(AB2147/AE2147&gt;=v01_FissionTrigger*N2148,AC2148=1),AB2147/AE2147*v01_DaughterShare&gt;=v01_MinDaughter),MAX(1,ROUND(AE2147*v01_FissionRate,0)),0)</x:f>
        <x:v>0</x:v>
      </x:c>
      <x:c r="AE2148" s="8" t="n">
        <x:f>IF(H2148=1,MAX(1,MIN(INDEX(v01_Smax,G2148),AE2147+AD2148)),AE2147)</x:f>
        <x:v>15</x:v>
      </x:c>
      <x:c r="AF2148" s="8" t="n">
        <x:f>MAX(0,AE2148-AE2147)</x:f>
        <x:v>0</x:v>
      </x:c>
      <x:c r="AG2148" s="9" t="str">
        <x:f>IF(AF2148&gt;0,B2148,"")</x:f>
      </x:c>
      <x:c r="AH2148" s="9" t="n">
        <x:f>IF(F2148&gt;=1,1,(1+v01_LowTiesShare*(AE2148-1))/AE2148)</x:f>
        <x:v>1</x:v>
      </x:c>
      <x:c r="AI2148" s="32" t="n">
        <x:f>(Z2148+v01_ElderCommons*INDEX(LM_Elder,G2148)*AA2148)*AH2148</x:f>
        <x:v>64139.732591141874</x:v>
      </x:c>
      <x:c r="AJ2148" s="32" t="n">
        <x:f>H2148*v01_CommonsCoef*AI2148^v01_CommonsExp*INDEX(LM_Commons,G2148)</x:f>
        <x:v>0</x:v>
      </x:c>
      <x:c r="AK2148" s="32" t="n">
        <x:f>H2148*v01_RoleScale*Arch_Roles*(AE2148*(INDEX(v01_ElderRolePerSett,G2148)*v01_OutElder*INDEX(LM_Elder,G2148)+INDEX(v01_ShamanPerSett,G2148)*v01_OutShaman)+Z2148*(INDEX(v01_PriestShare,G2148)*v01_OutPriest+INDEX(v01_ScribeShare,G2148)*v01_OutScribe*INDEX(LM_Scribe,G2148)+INDEX(v01_ScholarShare,G2148)*v01_OutScholar*INDEX(LM_Scholar,G2148)+INDEX(v01_ResearcherShare,G2148)*v01_OutResearcher*INDEX(LM_Researcher,G2148)))</x:f>
        <x:v>0</x:v>
      </x:c>
      <x:c r="AL2148" s="32" t="n">
        <x:f>H2148*v01_RoleScale*Arch_Roles*AE2148*INDEX(v01_MonasteryPerSett,G2148)*v01_OutMonastery*INDEX(LM_Monastery,G2148)</x:f>
        <x:v>0</x:v>
      </x:c>
      <x:c r="AM2148" s="32" t="n">
        <x:f>(AJ2148+AK2148+AL2148)/4*INDEX(LM_All,G2148)*INDEX(v01_Boon,G2148)*Arch_Insight</x:f>
        <x:v>0</x:v>
      </x:c>
      <x:c r="AN2148" s="32" t="n">
        <x:f>H2148*(v01_KHPerAdult*Z2148+v01_KHOfCommons*AJ2148/4*INDEX(LM_All,G2148))*v01_KHUsable*Arch_KH</x:f>
        <x:v>0</x:v>
      </x:c>
      <x:c r="AO2148" s="32" t="n">
        <x:f>MIN(AP2147+AN2148,AM2148*v01_KHMaxRatio)</x:f>
        <x:v>0</x:v>
      </x:c>
      <x:c r="AP2148" s="32" t="n">
        <x:f>AP2147+AN2148-AO2148</x:f>
        <x:v>0</x:v>
      </x:c>
      <x:c r="AQ2148" s="32" t="n">
        <x:f>AM2148+AO2148</x:f>
        <x:v>0</x:v>
      </x:c>
      <x:c r="AR2148" s="10" t="n">
        <x:f>IF(H2148=1,INDEX(v01_Req,G2148),0)</x:f>
        <x:v>0</x:v>
      </x:c>
      <x:c r="AS2148" s="32" t="n">
        <x:f>IF(H2148=1,IF(E2148=1,AS2147-AR2147,AS2147)+AQ2148,0)</x:f>
        <x:v>0</x:v>
      </x:c>
      <x:c r="AT2148" s="11" t="n">
        <x:f>IF(AR2148&gt;0,MIN(1,AS2148/AR2148),1)</x:f>
        <x:v>1</x:v>
      </x:c>
      <x:c r="AU2148" s="10" t="n">
        <x:f>AB2148/INDEX(v01_RepScale,G2148)</x:f>
        <x:v>90.09519605746344</x:v>
      </x:c>
      <x:c r="AV2148" s="32" t="n">
        <x:f>AM2148*60/v01_SeasonSeconds</x:f>
        <x:v>0</x:v>
      </x:c>
    </x:row>
    <x:row r="2149">
      <x:c r="A2149" s="8" t="n">
        <x:f>A2148+1</x:f>
        <x:v>2146</x:v>
      </x:c>
      <x:c r="B2149" s="9" t="n">
        <x:f>A2149*v01_SeasonSeconds/60</x:f>
        <x:v>536.5</x:v>
      </x:c>
      <x:c r="C2149" s="9" t="n">
        <x:f>A2149/4</x:f>
        <x:v>536.5</x:v>
      </x:c>
      <x:c r="D2149" s="8" t="n">
        <x:f>IF(MOD(A2149,4)=0,1,0)</x:f>
        <x:v>0</x:v>
      </x:c>
      <x:c r="E2149" s="8" t="n">
        <x:f>IF(AND(F2148&lt;=9,AS2148&gt;=AR2148),1,0)</x:f>
        <x:v>0</x:v>
      </x:c>
      <x:c r="F2149" s="8" t="n">
        <x:f>MIN(10,F2148+E2149)</x:f>
        <x:v>10</x:v>
      </x:c>
      <x:c r="G2149" s="8" t="n">
        <x:f>MIN(F2149,9)+1</x:f>
        <x:v>10</x:v>
      </x:c>
      <x:c r="H2149" s="8" t="n">
        <x:f>IF(F2149&lt;=9,1,0)</x:f>
        <x:v>0</x:v>
      </x:c>
      <x:c r="I2149" s="9" t="n">
        <x:f>MIN(10,F2148+IF(AR2148&gt;0,MIN(1,AS2148/AR2148),1))</x:f>
        <x:v>10</x:v>
      </x:c>
      <x:c r="J2149" s="32" t="n">
        <x:f>INDEX(v01_FoodCap,G2149)*Arch_FoodCap*EXP(v01_CapsByProject*SUMPRODUCT((Cap_Point&lt;=I2149)*(Cap_Kind="Food")*Cap_Ln))</x:f>
        <x:v>12000</x:v>
      </x:c>
      <x:c r="K2149" s="32" t="n">
        <x:f>J2149*MIN(1,v01_LeanBase*EXP(v01_CapsByProject*SUMPRODUCT((Cap_Point&lt;=I2149)*(Cap_Kind="Lean")*Cap_Ln)))</x:f>
        <x:v>12000</x:v>
      </x:c>
      <x:c r="L2149" s="10" t="n">
        <x:f>INDEX(v01_HousingCap,G2149)*EXP(v01_CapsByProject*SUMPRODUCT((Cap_Point&lt;=I2149)*(Cap_Kind="Housing")*Cap_Ln))</x:f>
        <x:v>20000</x:v>
      </x:c>
      <x:c r="M2149" s="10" t="n">
        <x:f>INDEX(v01_GroupCap,G2149)*v01_CohesionFactor*EXP(v01_CapsByProject*SUMPRODUCT((Cap_Point&lt;=I2149)*(Cap_Kind="Group")*Cap_Ln))</x:f>
        <x:v>1000000</x:v>
      </x:c>
      <x:c r="N2149" s="32" t="n">
        <x:f>MIN(J2149,L2149,M2149)</x:f>
        <x:v>12000</x:v>
      </x:c>
      <x:c r="O2149" s="10" t="n">
        <x:f>AE2148*N2149</x:f>
        <x:v>180000</x:v>
      </x:c>
      <x:c r="P2149" s="9" t="n">
        <x:f>MIN(1,(AB2148/(AE2148*IF(v01_GroupInCrowding=1,N2149,MIN(J2149,L2149))))^v01_CrowdingExp)</x:f>
        <x:v>0.00024569414295285325</x:v>
      </x:c>
      <x:c r="Q2149" s="9" t="n">
        <x:f>IF(D2149=1,INDEX(v01_WinterMult,G2149),1)</x:f>
        <x:v>1</x:v>
      </x:c>
      <x:c r="R2149" s="9" t="n">
        <x:f>H2149*Z2148*v01_WomenShare*v01_BaseFertility*INDEX(v01_FertMult,G2149)*Arch_Fertility*(1-P2149)</x:f>
        <x:v>0</x:v>
      </x:c>
      <x:c r="S2149" s="9" t="n">
        <x:f>H2149*Y2148*INDEX(v01_MortChild,G2149)/4*Q2149</x:f>
        <x:v>0</x:v>
      </x:c>
      <x:c r="T2149" s="9" t="n">
        <x:f>H2149*Z2148*INDEX(v01_MortAdult,G2149)*Arch_AdultMort/4*Q2149</x:f>
        <x:v>0</x:v>
      </x:c>
      <x:c r="U2149" s="9" t="n">
        <x:f>H2149*AA2148*INDEX(v01_MortElder,G2149)/4*Q2149</x:f>
        <x:v>0</x:v>
      </x:c>
      <x:c r="V2149" s="9" t="n">
        <x:f>H2149*MAX(0,AB2148-O2149)*v01_OvercapLoss</x:f>
        <x:v>0</x:v>
      </x:c>
      <x:c r="W2149" s="9" t="n">
        <x:f>H2149*Y2148/(v01_ChildYears*4)</x:f>
        <x:v>0</x:v>
      </x:c>
      <x:c r="X2149" s="9" t="n">
        <x:f>H2149*Z2148/(v01_AdultYears*4)</x:f>
        <x:v>0</x:v>
      </x:c>
      <x:c r="Y2149" s="32" t="n">
        <x:f>Y2148+R2149-S2149-W2149-Y2148*V2149/AB2148</x:f>
        <x:v>14306.18539759397</x:v>
      </x:c>
      <x:c r="Z2149" s="32" t="n">
        <x:f>Z2148+W2149-X2149-T2149-Z2148*V2149/AB2148</x:f>
        <x:v>19354.456567879548</x:v>
      </x:c>
      <x:c r="AA2149" s="32" t="n">
        <x:f>AA2148+X2149-U2149-AA2148*V2149/AB2148</x:f>
        <x:v>11386.956063258198</x:v>
      </x:c>
      <x:c r="AB2149" s="10" t="n">
        <x:f>Y2149+Z2149+AA2149</x:f>
        <x:v>45047.59802873172</x:v>
      </x:c>
      <x:c r="AC2149" s="8" t="n">
        <x:f>IF(AND(v01_WinterTrigger=1,D2149=1,AB2148/AE2148&gt;=K2149),1,0)</x:f>
        <x:v>0</x:v>
      </x:c>
      <x:c r="AD2149" s="8" t="n">
        <x:f>H2149*IF(AND(OR(AB2148/AE2148&gt;=v01_FissionTrigger*N2149,AC2149=1),AB2148/AE2148*v01_DaughterShare&gt;=v01_MinDaughter),MAX(1,ROUND(AE2148*v01_FissionRate,0)),0)</x:f>
        <x:v>0</x:v>
      </x:c>
      <x:c r="AE2149" s="8" t="n">
        <x:f>IF(H2149=1,MAX(1,MIN(INDEX(v01_Smax,G2149),AE2148+AD2149)),AE2148)</x:f>
        <x:v>15</x:v>
      </x:c>
      <x:c r="AF2149" s="8" t="n">
        <x:f>MAX(0,AE2149-AE2148)</x:f>
        <x:v>0</x:v>
      </x:c>
      <x:c r="AG2149" s="9" t="str">
        <x:f>IF(AF2149&gt;0,B2149,"")</x:f>
      </x:c>
      <x:c r="AH2149" s="9" t="n">
        <x:f>IF(F2149&gt;=1,1,(1+v01_LowTiesShare*(AE2149-1))/AE2149)</x:f>
        <x:v>1</x:v>
      </x:c>
      <x:c r="AI2149" s="32" t="n">
        <x:f>(Z2149+v01_ElderCommons*INDEX(LM_Elder,G2149)*AA2149)*AH2149</x:f>
        <x:v>64139.732591141874</x:v>
      </x:c>
      <x:c r="AJ2149" s="32" t="n">
        <x:f>H2149*v01_CommonsCoef*AI2149^v01_CommonsExp*INDEX(LM_Commons,G2149)</x:f>
        <x:v>0</x:v>
      </x:c>
      <x:c r="AK2149" s="32" t="n">
        <x:f>H2149*v01_RoleScale*Arch_Roles*(AE2149*(INDEX(v01_ElderRolePerSett,G2149)*v01_OutElder*INDEX(LM_Elder,G2149)+INDEX(v01_ShamanPerSett,G2149)*v01_OutShaman)+Z2149*(INDEX(v01_PriestShare,G2149)*v01_OutPriest+INDEX(v01_ScribeShare,G2149)*v01_OutScribe*INDEX(LM_Scribe,G2149)+INDEX(v01_ScholarShare,G2149)*v01_OutScholar*INDEX(LM_Scholar,G2149)+INDEX(v01_ResearcherShare,G2149)*v01_OutResearcher*INDEX(LM_Researcher,G2149)))</x:f>
        <x:v>0</x:v>
      </x:c>
      <x:c r="AL2149" s="32" t="n">
        <x:f>H2149*v01_RoleScale*Arch_Roles*AE2149*INDEX(v01_MonasteryPerSett,G2149)*v01_OutMonastery*INDEX(LM_Monastery,G2149)</x:f>
        <x:v>0</x:v>
      </x:c>
      <x:c r="AM2149" s="32" t="n">
        <x:f>(AJ2149+AK2149+AL2149)/4*INDEX(LM_All,G2149)*INDEX(v01_Boon,G2149)*Arch_Insight</x:f>
        <x:v>0</x:v>
      </x:c>
      <x:c r="AN2149" s="32" t="n">
        <x:f>H2149*(v01_KHPerAdult*Z2149+v01_KHOfCommons*AJ2149/4*INDEX(LM_All,G2149))*v01_KHUsable*Arch_KH</x:f>
        <x:v>0</x:v>
      </x:c>
      <x:c r="AO2149" s="32" t="n">
        <x:f>MIN(AP2148+AN2149,AM2149*v01_KHMaxRatio)</x:f>
        <x:v>0</x:v>
      </x:c>
      <x:c r="AP2149" s="32" t="n">
        <x:f>AP2148+AN2149-AO2149</x:f>
        <x:v>0</x:v>
      </x:c>
      <x:c r="AQ2149" s="32" t="n">
        <x:f>AM2149+AO2149</x:f>
        <x:v>0</x:v>
      </x:c>
      <x:c r="AR2149" s="10" t="n">
        <x:f>IF(H2149=1,INDEX(v01_Req,G2149),0)</x:f>
        <x:v>0</x:v>
      </x:c>
      <x:c r="AS2149" s="32" t="n">
        <x:f>IF(H2149=1,IF(E2149=1,AS2148-AR2148,AS2148)+AQ2149,0)</x:f>
        <x:v>0</x:v>
      </x:c>
      <x:c r="AT2149" s="11" t="n">
        <x:f>IF(AR2149&gt;0,MIN(1,AS2149/AR2149),1)</x:f>
        <x:v>1</x:v>
      </x:c>
      <x:c r="AU2149" s="10" t="n">
        <x:f>AB2149/INDEX(v01_RepScale,G2149)</x:f>
        <x:v>90.09519605746344</x:v>
      </x:c>
      <x:c r="AV2149" s="32" t="n">
        <x:f>AM2149*60/v01_SeasonSeconds</x:f>
        <x:v>0</x:v>
      </x:c>
    </x:row>
    <x:row r="2150">
      <x:c r="A2150" s="8" t="n">
        <x:f>A2149+1</x:f>
        <x:v>2147</x:v>
      </x:c>
      <x:c r="B2150" s="9" t="n">
        <x:f>A2150*v01_SeasonSeconds/60</x:f>
        <x:v>536.75</x:v>
      </x:c>
      <x:c r="C2150" s="9" t="n">
        <x:f>A2150/4</x:f>
        <x:v>536.75</x:v>
      </x:c>
      <x:c r="D2150" s="8" t="n">
        <x:f>IF(MOD(A2150,4)=0,1,0)</x:f>
        <x:v>0</x:v>
      </x:c>
      <x:c r="E2150" s="8" t="n">
        <x:f>IF(AND(F2149&lt;=9,AS2149&gt;=AR2149),1,0)</x:f>
        <x:v>0</x:v>
      </x:c>
      <x:c r="F2150" s="8" t="n">
        <x:f>MIN(10,F2149+E2150)</x:f>
        <x:v>10</x:v>
      </x:c>
      <x:c r="G2150" s="8" t="n">
        <x:f>MIN(F2150,9)+1</x:f>
        <x:v>10</x:v>
      </x:c>
      <x:c r="H2150" s="8" t="n">
        <x:f>IF(F2150&lt;=9,1,0)</x:f>
        <x:v>0</x:v>
      </x:c>
      <x:c r="I2150" s="9" t="n">
        <x:f>MIN(10,F2149+IF(AR2149&gt;0,MIN(1,AS2149/AR2149),1))</x:f>
        <x:v>10</x:v>
      </x:c>
      <x:c r="J2150" s="32" t="n">
        <x:f>INDEX(v01_FoodCap,G2150)*Arch_FoodCap*EXP(v01_CapsByProject*SUMPRODUCT((Cap_Point&lt;=I2150)*(Cap_Kind="Food")*Cap_Ln))</x:f>
        <x:v>12000</x:v>
      </x:c>
      <x:c r="K2150" s="32" t="n">
        <x:f>J2150*MIN(1,v01_LeanBase*EXP(v01_CapsByProject*SUMPRODUCT((Cap_Point&lt;=I2150)*(Cap_Kind="Lean")*Cap_Ln)))</x:f>
        <x:v>12000</x:v>
      </x:c>
      <x:c r="L2150" s="10" t="n">
        <x:f>INDEX(v01_HousingCap,G2150)*EXP(v01_CapsByProject*SUMPRODUCT((Cap_Point&lt;=I2150)*(Cap_Kind="Housing")*Cap_Ln))</x:f>
        <x:v>20000</x:v>
      </x:c>
      <x:c r="M2150" s="10" t="n">
        <x:f>INDEX(v01_GroupCap,G2150)*v01_CohesionFactor*EXP(v01_CapsByProject*SUMPRODUCT((Cap_Point&lt;=I2150)*(Cap_Kind="Group")*Cap_Ln))</x:f>
        <x:v>1000000</x:v>
      </x:c>
      <x:c r="N2150" s="32" t="n">
        <x:f>MIN(J2150,L2150,M2150)</x:f>
        <x:v>12000</x:v>
      </x:c>
      <x:c r="O2150" s="10" t="n">
        <x:f>AE2149*N2150</x:f>
        <x:v>180000</x:v>
      </x:c>
      <x:c r="P2150" s="9" t="n">
        <x:f>MIN(1,(AB2149/(AE2149*IF(v01_GroupInCrowding=1,N2150,MIN(J2150,L2150))))^v01_CrowdingExp)</x:f>
        <x:v>0.00024569414295285325</x:v>
      </x:c>
      <x:c r="Q2150" s="9" t="n">
        <x:f>IF(D2150=1,INDEX(v01_WinterMult,G2150),1)</x:f>
        <x:v>1</x:v>
      </x:c>
      <x:c r="R2150" s="9" t="n">
        <x:f>H2150*Z2149*v01_WomenShare*v01_BaseFertility*INDEX(v01_FertMult,G2150)*Arch_Fertility*(1-P2150)</x:f>
        <x:v>0</x:v>
      </x:c>
      <x:c r="S2150" s="9" t="n">
        <x:f>H2150*Y2149*INDEX(v01_MortChild,G2150)/4*Q2150</x:f>
        <x:v>0</x:v>
      </x:c>
      <x:c r="T2150" s="9" t="n">
        <x:f>H2150*Z2149*INDEX(v01_MortAdult,G2150)*Arch_AdultMort/4*Q2150</x:f>
        <x:v>0</x:v>
      </x:c>
      <x:c r="U2150" s="9" t="n">
        <x:f>H2150*AA2149*INDEX(v01_MortElder,G2150)/4*Q2150</x:f>
        <x:v>0</x:v>
      </x:c>
      <x:c r="V2150" s="9" t="n">
        <x:f>H2150*MAX(0,AB2149-O2150)*v01_OvercapLoss</x:f>
        <x:v>0</x:v>
      </x:c>
      <x:c r="W2150" s="9" t="n">
        <x:f>H2150*Y2149/(v01_ChildYears*4)</x:f>
        <x:v>0</x:v>
      </x:c>
      <x:c r="X2150" s="9" t="n">
        <x:f>H2150*Z2149/(v01_AdultYears*4)</x:f>
        <x:v>0</x:v>
      </x:c>
      <x:c r="Y2150" s="32" t="n">
        <x:f>Y2149+R2150-S2150-W2150-Y2149*V2150/AB2149</x:f>
        <x:v>14306.18539759397</x:v>
      </x:c>
      <x:c r="Z2150" s="32" t="n">
        <x:f>Z2149+W2150-X2150-T2150-Z2149*V2150/AB2149</x:f>
        <x:v>19354.456567879548</x:v>
      </x:c>
      <x:c r="AA2150" s="32" t="n">
        <x:f>AA2149+X2150-U2150-AA2149*V2150/AB2149</x:f>
        <x:v>11386.956063258198</x:v>
      </x:c>
      <x:c r="AB2150" s="10" t="n">
        <x:f>Y2150+Z2150+AA2150</x:f>
        <x:v>45047.59802873172</x:v>
      </x:c>
      <x:c r="AC2150" s="8" t="n">
        <x:f>IF(AND(v01_WinterTrigger=1,D2150=1,AB2149/AE2149&gt;=K2150),1,0)</x:f>
        <x:v>0</x:v>
      </x:c>
      <x:c r="AD2150" s="8" t="n">
        <x:f>H2150*IF(AND(OR(AB2149/AE2149&gt;=v01_FissionTrigger*N2150,AC2150=1),AB2149/AE2149*v01_DaughterShare&gt;=v01_MinDaughter),MAX(1,ROUND(AE2149*v01_FissionRate,0)),0)</x:f>
        <x:v>0</x:v>
      </x:c>
      <x:c r="AE2150" s="8" t="n">
        <x:f>IF(H2150=1,MAX(1,MIN(INDEX(v01_Smax,G2150),AE2149+AD2150)),AE2149)</x:f>
        <x:v>15</x:v>
      </x:c>
      <x:c r="AF2150" s="8" t="n">
        <x:f>MAX(0,AE2150-AE2149)</x:f>
        <x:v>0</x:v>
      </x:c>
      <x:c r="AG2150" s="9" t="str">
        <x:f>IF(AF2150&gt;0,B2150,"")</x:f>
      </x:c>
      <x:c r="AH2150" s="9" t="n">
        <x:f>IF(F2150&gt;=1,1,(1+v01_LowTiesShare*(AE2150-1))/AE2150)</x:f>
        <x:v>1</x:v>
      </x:c>
      <x:c r="AI2150" s="32" t="n">
        <x:f>(Z2150+v01_ElderCommons*INDEX(LM_Elder,G2150)*AA2150)*AH2150</x:f>
        <x:v>64139.732591141874</x:v>
      </x:c>
      <x:c r="AJ2150" s="32" t="n">
        <x:f>H2150*v01_CommonsCoef*AI2150^v01_CommonsExp*INDEX(LM_Commons,G2150)</x:f>
        <x:v>0</x:v>
      </x:c>
      <x:c r="AK2150" s="32" t="n">
        <x:f>H2150*v01_RoleScale*Arch_Roles*(AE2150*(INDEX(v01_ElderRolePerSett,G2150)*v01_OutElder*INDEX(LM_Elder,G2150)+INDEX(v01_ShamanPerSett,G2150)*v01_OutShaman)+Z2150*(INDEX(v01_PriestShare,G2150)*v01_OutPriest+INDEX(v01_ScribeShare,G2150)*v01_OutScribe*INDEX(LM_Scribe,G2150)+INDEX(v01_ScholarShare,G2150)*v01_OutScholar*INDEX(LM_Scholar,G2150)+INDEX(v01_ResearcherShare,G2150)*v01_OutResearcher*INDEX(LM_Researcher,G2150)))</x:f>
        <x:v>0</x:v>
      </x:c>
      <x:c r="AL2150" s="32" t="n">
        <x:f>H2150*v01_RoleScale*Arch_Roles*AE2150*INDEX(v01_MonasteryPerSett,G2150)*v01_OutMonastery*INDEX(LM_Monastery,G2150)</x:f>
        <x:v>0</x:v>
      </x:c>
      <x:c r="AM2150" s="32" t="n">
        <x:f>(AJ2150+AK2150+AL2150)/4*INDEX(LM_All,G2150)*INDEX(v01_Boon,G2150)*Arch_Insight</x:f>
        <x:v>0</x:v>
      </x:c>
      <x:c r="AN2150" s="32" t="n">
        <x:f>H2150*(v01_KHPerAdult*Z2150+v01_KHOfCommons*AJ2150/4*INDEX(LM_All,G2150))*v01_KHUsable*Arch_KH</x:f>
        <x:v>0</x:v>
      </x:c>
      <x:c r="AO2150" s="32" t="n">
        <x:f>MIN(AP2149+AN2150,AM2150*v01_KHMaxRatio)</x:f>
        <x:v>0</x:v>
      </x:c>
      <x:c r="AP2150" s="32" t="n">
        <x:f>AP2149+AN2150-AO2150</x:f>
        <x:v>0</x:v>
      </x:c>
      <x:c r="AQ2150" s="32" t="n">
        <x:f>AM2150+AO2150</x:f>
        <x:v>0</x:v>
      </x:c>
      <x:c r="AR2150" s="10" t="n">
        <x:f>IF(H2150=1,INDEX(v01_Req,G2150),0)</x:f>
        <x:v>0</x:v>
      </x:c>
      <x:c r="AS2150" s="32" t="n">
        <x:f>IF(H2150=1,IF(E2150=1,AS2149-AR2149,AS2149)+AQ2150,0)</x:f>
        <x:v>0</x:v>
      </x:c>
      <x:c r="AT2150" s="11" t="n">
        <x:f>IF(AR2150&gt;0,MIN(1,AS2150/AR2150),1)</x:f>
        <x:v>1</x:v>
      </x:c>
      <x:c r="AU2150" s="10" t="n">
        <x:f>AB2150/INDEX(v01_RepScale,G2150)</x:f>
        <x:v>90.09519605746344</x:v>
      </x:c>
      <x:c r="AV2150" s="32" t="n">
        <x:f>AM2150*60/v01_SeasonSeconds</x:f>
        <x:v>0</x:v>
      </x:c>
    </x:row>
    <x:row r="2151">
      <x:c r="A2151" s="8" t="n">
        <x:f>A2150+1</x:f>
        <x:v>2148</x:v>
      </x:c>
      <x:c r="B2151" s="9" t="n">
        <x:f>A2151*v01_SeasonSeconds/60</x:f>
        <x:v>537</x:v>
      </x:c>
      <x:c r="C2151" s="9" t="n">
        <x:f>A2151/4</x:f>
        <x:v>537</x:v>
      </x:c>
      <x:c r="D2151" s="8" t="n">
        <x:f>IF(MOD(A2151,4)=0,1,0)</x:f>
        <x:v>1</x:v>
      </x:c>
      <x:c r="E2151" s="8" t="n">
        <x:f>IF(AND(F2150&lt;=9,AS2150&gt;=AR2150),1,0)</x:f>
        <x:v>0</x:v>
      </x:c>
      <x:c r="F2151" s="8" t="n">
        <x:f>MIN(10,F2150+E2151)</x:f>
        <x:v>10</x:v>
      </x:c>
      <x:c r="G2151" s="8" t="n">
        <x:f>MIN(F2151,9)+1</x:f>
        <x:v>10</x:v>
      </x:c>
      <x:c r="H2151" s="8" t="n">
        <x:f>IF(F2151&lt;=9,1,0)</x:f>
        <x:v>0</x:v>
      </x:c>
      <x:c r="I2151" s="9" t="n">
        <x:f>MIN(10,F2150+IF(AR2150&gt;0,MIN(1,AS2150/AR2150),1))</x:f>
        <x:v>10</x:v>
      </x:c>
      <x:c r="J2151" s="32" t="n">
        <x:f>INDEX(v01_FoodCap,G2151)*Arch_FoodCap*EXP(v01_CapsByProject*SUMPRODUCT((Cap_Point&lt;=I2151)*(Cap_Kind="Food")*Cap_Ln))</x:f>
        <x:v>12000</x:v>
      </x:c>
      <x:c r="K2151" s="32" t="n">
        <x:f>J2151*MIN(1,v01_LeanBase*EXP(v01_CapsByProject*SUMPRODUCT((Cap_Point&lt;=I2151)*(Cap_Kind="Lean")*Cap_Ln)))</x:f>
        <x:v>12000</x:v>
      </x:c>
      <x:c r="L2151" s="10" t="n">
        <x:f>INDEX(v01_HousingCap,G2151)*EXP(v01_CapsByProject*SUMPRODUCT((Cap_Point&lt;=I2151)*(Cap_Kind="Housing")*Cap_Ln))</x:f>
        <x:v>20000</x:v>
      </x:c>
      <x:c r="M2151" s="10" t="n">
        <x:f>INDEX(v01_GroupCap,G2151)*v01_CohesionFactor*EXP(v01_CapsByProject*SUMPRODUCT((Cap_Point&lt;=I2151)*(Cap_Kind="Group")*Cap_Ln))</x:f>
        <x:v>1000000</x:v>
      </x:c>
      <x:c r="N2151" s="32" t="n">
        <x:f>MIN(J2151,L2151,M2151)</x:f>
        <x:v>12000</x:v>
      </x:c>
      <x:c r="O2151" s="10" t="n">
        <x:f>AE2150*N2151</x:f>
        <x:v>180000</x:v>
      </x:c>
      <x:c r="P2151" s="9" t="n">
        <x:f>MIN(1,(AB2150/(AE2150*IF(v01_GroupInCrowding=1,N2151,MIN(J2151,L2151))))^v01_CrowdingExp)</x:f>
        <x:v>0.00024569414295285325</x:v>
      </x:c>
      <x:c r="Q2151" s="9" t="n">
        <x:f>IF(D2151=1,INDEX(v01_WinterMult,G2151),1)</x:f>
        <x:v>1</x:v>
      </x:c>
      <x:c r="R2151" s="9" t="n">
        <x:f>H2151*Z2150*v01_WomenShare*v01_BaseFertility*INDEX(v01_FertMult,G2151)*Arch_Fertility*(1-P2151)</x:f>
        <x:v>0</x:v>
      </x:c>
      <x:c r="S2151" s="9" t="n">
        <x:f>H2151*Y2150*INDEX(v01_MortChild,G2151)/4*Q2151</x:f>
        <x:v>0</x:v>
      </x:c>
      <x:c r="T2151" s="9" t="n">
        <x:f>H2151*Z2150*INDEX(v01_MortAdult,G2151)*Arch_AdultMort/4*Q2151</x:f>
        <x:v>0</x:v>
      </x:c>
      <x:c r="U2151" s="9" t="n">
        <x:f>H2151*AA2150*INDEX(v01_MortElder,G2151)/4*Q2151</x:f>
        <x:v>0</x:v>
      </x:c>
      <x:c r="V2151" s="9" t="n">
        <x:f>H2151*MAX(0,AB2150-O2151)*v01_OvercapLoss</x:f>
        <x:v>0</x:v>
      </x:c>
      <x:c r="W2151" s="9" t="n">
        <x:f>H2151*Y2150/(v01_ChildYears*4)</x:f>
        <x:v>0</x:v>
      </x:c>
      <x:c r="X2151" s="9" t="n">
        <x:f>H2151*Z2150/(v01_AdultYears*4)</x:f>
        <x:v>0</x:v>
      </x:c>
      <x:c r="Y2151" s="32" t="n">
        <x:f>Y2150+R2151-S2151-W2151-Y2150*V2151/AB2150</x:f>
        <x:v>14306.18539759397</x:v>
      </x:c>
      <x:c r="Z2151" s="32" t="n">
        <x:f>Z2150+W2151-X2151-T2151-Z2150*V2151/AB2150</x:f>
        <x:v>19354.456567879548</x:v>
      </x:c>
      <x:c r="AA2151" s="32" t="n">
        <x:f>AA2150+X2151-U2151-AA2150*V2151/AB2150</x:f>
        <x:v>11386.956063258198</x:v>
      </x:c>
      <x:c r="AB2151" s="10" t="n">
        <x:f>Y2151+Z2151+AA2151</x:f>
        <x:v>45047.59802873172</x:v>
      </x:c>
      <x:c r="AC2151" s="8" t="n">
        <x:f>IF(AND(v01_WinterTrigger=1,D2151=1,AB2150/AE2150&gt;=K2151),1,0)</x:f>
        <x:v>0</x:v>
      </x:c>
      <x:c r="AD2151" s="8" t="n">
        <x:f>H2151*IF(AND(OR(AB2150/AE2150&gt;=v01_FissionTrigger*N2151,AC2151=1),AB2150/AE2150*v01_DaughterShare&gt;=v01_MinDaughter),MAX(1,ROUND(AE2150*v01_FissionRate,0)),0)</x:f>
        <x:v>0</x:v>
      </x:c>
      <x:c r="AE2151" s="8" t="n">
        <x:f>IF(H2151=1,MAX(1,MIN(INDEX(v01_Smax,G2151),AE2150+AD2151)),AE2150)</x:f>
        <x:v>15</x:v>
      </x:c>
      <x:c r="AF2151" s="8" t="n">
        <x:f>MAX(0,AE2151-AE2150)</x:f>
        <x:v>0</x:v>
      </x:c>
      <x:c r="AG2151" s="9" t="str">
        <x:f>IF(AF2151&gt;0,B2151,"")</x:f>
      </x:c>
      <x:c r="AH2151" s="9" t="n">
        <x:f>IF(F2151&gt;=1,1,(1+v01_LowTiesShare*(AE2151-1))/AE2151)</x:f>
        <x:v>1</x:v>
      </x:c>
      <x:c r="AI2151" s="32" t="n">
        <x:f>(Z2151+v01_ElderCommons*INDEX(LM_Elder,G2151)*AA2151)*AH2151</x:f>
        <x:v>64139.732591141874</x:v>
      </x:c>
      <x:c r="AJ2151" s="32" t="n">
        <x:f>H2151*v01_CommonsCoef*AI2151^v01_CommonsExp*INDEX(LM_Commons,G2151)</x:f>
        <x:v>0</x:v>
      </x:c>
      <x:c r="AK2151" s="32" t="n">
        <x:f>H2151*v01_RoleScale*Arch_Roles*(AE2151*(INDEX(v01_ElderRolePerSett,G2151)*v01_OutElder*INDEX(LM_Elder,G2151)+INDEX(v01_ShamanPerSett,G2151)*v01_OutShaman)+Z2151*(INDEX(v01_PriestShare,G2151)*v01_OutPriest+INDEX(v01_ScribeShare,G2151)*v01_OutScribe*INDEX(LM_Scribe,G2151)+INDEX(v01_ScholarShare,G2151)*v01_OutScholar*INDEX(LM_Scholar,G2151)+INDEX(v01_ResearcherShare,G2151)*v01_OutResearcher*INDEX(LM_Researcher,G2151)))</x:f>
        <x:v>0</x:v>
      </x:c>
      <x:c r="AL2151" s="32" t="n">
        <x:f>H2151*v01_RoleScale*Arch_Roles*AE2151*INDEX(v01_MonasteryPerSett,G2151)*v01_OutMonastery*INDEX(LM_Monastery,G2151)</x:f>
        <x:v>0</x:v>
      </x:c>
      <x:c r="AM2151" s="32" t="n">
        <x:f>(AJ2151+AK2151+AL2151)/4*INDEX(LM_All,G2151)*INDEX(v01_Boon,G2151)*Arch_Insight</x:f>
        <x:v>0</x:v>
      </x:c>
      <x:c r="AN2151" s="32" t="n">
        <x:f>H2151*(v01_KHPerAdult*Z2151+v01_KHOfCommons*AJ2151/4*INDEX(LM_All,G2151))*v01_KHUsable*Arch_KH</x:f>
        <x:v>0</x:v>
      </x:c>
      <x:c r="AO2151" s="32" t="n">
        <x:f>MIN(AP2150+AN2151,AM2151*v01_KHMaxRatio)</x:f>
        <x:v>0</x:v>
      </x:c>
      <x:c r="AP2151" s="32" t="n">
        <x:f>AP2150+AN2151-AO2151</x:f>
        <x:v>0</x:v>
      </x:c>
      <x:c r="AQ2151" s="32" t="n">
        <x:f>AM2151+AO2151</x:f>
        <x:v>0</x:v>
      </x:c>
      <x:c r="AR2151" s="10" t="n">
        <x:f>IF(H2151=1,INDEX(v01_Req,G2151),0)</x:f>
        <x:v>0</x:v>
      </x:c>
      <x:c r="AS2151" s="32" t="n">
        <x:f>IF(H2151=1,IF(E2151=1,AS2150-AR2150,AS2150)+AQ2151,0)</x:f>
        <x:v>0</x:v>
      </x:c>
      <x:c r="AT2151" s="11" t="n">
        <x:f>IF(AR2151&gt;0,MIN(1,AS2151/AR2151),1)</x:f>
        <x:v>1</x:v>
      </x:c>
      <x:c r="AU2151" s="10" t="n">
        <x:f>AB2151/INDEX(v01_RepScale,G2151)</x:f>
        <x:v>90.09519605746344</x:v>
      </x:c>
      <x:c r="AV2151" s="32" t="n">
        <x:f>AM2151*60/v01_SeasonSeconds</x:f>
        <x:v>0</x:v>
      </x:c>
    </x:row>
    <x:row r="2152">
      <x:c r="A2152" s="8" t="n">
        <x:f>A2151+1</x:f>
        <x:v>2149</x:v>
      </x:c>
      <x:c r="B2152" s="9" t="n">
        <x:f>A2152*v01_SeasonSeconds/60</x:f>
        <x:v>537.25</x:v>
      </x:c>
      <x:c r="C2152" s="9" t="n">
        <x:f>A2152/4</x:f>
        <x:v>537.25</x:v>
      </x:c>
      <x:c r="D2152" s="8" t="n">
        <x:f>IF(MOD(A2152,4)=0,1,0)</x:f>
        <x:v>0</x:v>
      </x:c>
      <x:c r="E2152" s="8" t="n">
        <x:f>IF(AND(F2151&lt;=9,AS2151&gt;=AR2151),1,0)</x:f>
        <x:v>0</x:v>
      </x:c>
      <x:c r="F2152" s="8" t="n">
        <x:f>MIN(10,F2151+E2152)</x:f>
        <x:v>10</x:v>
      </x:c>
      <x:c r="G2152" s="8" t="n">
        <x:f>MIN(F2152,9)+1</x:f>
        <x:v>10</x:v>
      </x:c>
      <x:c r="H2152" s="8" t="n">
        <x:f>IF(F2152&lt;=9,1,0)</x:f>
        <x:v>0</x:v>
      </x:c>
      <x:c r="I2152" s="9" t="n">
        <x:f>MIN(10,F2151+IF(AR2151&gt;0,MIN(1,AS2151/AR2151),1))</x:f>
        <x:v>10</x:v>
      </x:c>
      <x:c r="J2152" s="32" t="n">
        <x:f>INDEX(v01_FoodCap,G2152)*Arch_FoodCap*EXP(v01_CapsByProject*SUMPRODUCT((Cap_Point&lt;=I2152)*(Cap_Kind="Food")*Cap_Ln))</x:f>
        <x:v>12000</x:v>
      </x:c>
      <x:c r="K2152" s="32" t="n">
        <x:f>J2152*MIN(1,v01_LeanBase*EXP(v01_CapsByProject*SUMPRODUCT((Cap_Point&lt;=I2152)*(Cap_Kind="Lean")*Cap_Ln)))</x:f>
        <x:v>12000</x:v>
      </x:c>
      <x:c r="L2152" s="10" t="n">
        <x:f>INDEX(v01_HousingCap,G2152)*EXP(v01_CapsByProject*SUMPRODUCT((Cap_Point&lt;=I2152)*(Cap_Kind="Housing")*Cap_Ln))</x:f>
        <x:v>20000</x:v>
      </x:c>
      <x:c r="M2152" s="10" t="n">
        <x:f>INDEX(v01_GroupCap,G2152)*v01_CohesionFactor*EXP(v01_CapsByProject*SUMPRODUCT((Cap_Point&lt;=I2152)*(Cap_Kind="Group")*Cap_Ln))</x:f>
        <x:v>1000000</x:v>
      </x:c>
      <x:c r="N2152" s="32" t="n">
        <x:f>MIN(J2152,L2152,M2152)</x:f>
        <x:v>12000</x:v>
      </x:c>
      <x:c r="O2152" s="10" t="n">
        <x:f>AE2151*N2152</x:f>
        <x:v>180000</x:v>
      </x:c>
      <x:c r="P2152" s="9" t="n">
        <x:f>MIN(1,(AB2151/(AE2151*IF(v01_GroupInCrowding=1,N2152,MIN(J2152,L2152))))^v01_CrowdingExp)</x:f>
        <x:v>0.00024569414295285325</x:v>
      </x:c>
      <x:c r="Q2152" s="9" t="n">
        <x:f>IF(D2152=1,INDEX(v01_WinterMult,G2152),1)</x:f>
        <x:v>1</x:v>
      </x:c>
      <x:c r="R2152" s="9" t="n">
        <x:f>H2152*Z2151*v01_WomenShare*v01_BaseFertility*INDEX(v01_FertMult,G2152)*Arch_Fertility*(1-P2152)</x:f>
        <x:v>0</x:v>
      </x:c>
      <x:c r="S2152" s="9" t="n">
        <x:f>H2152*Y2151*INDEX(v01_MortChild,G2152)/4*Q2152</x:f>
        <x:v>0</x:v>
      </x:c>
      <x:c r="T2152" s="9" t="n">
        <x:f>H2152*Z2151*INDEX(v01_MortAdult,G2152)*Arch_AdultMort/4*Q2152</x:f>
        <x:v>0</x:v>
      </x:c>
      <x:c r="U2152" s="9" t="n">
        <x:f>H2152*AA2151*INDEX(v01_MortElder,G2152)/4*Q2152</x:f>
        <x:v>0</x:v>
      </x:c>
      <x:c r="V2152" s="9" t="n">
        <x:f>H2152*MAX(0,AB2151-O2152)*v01_OvercapLoss</x:f>
        <x:v>0</x:v>
      </x:c>
      <x:c r="W2152" s="9" t="n">
        <x:f>H2152*Y2151/(v01_ChildYears*4)</x:f>
        <x:v>0</x:v>
      </x:c>
      <x:c r="X2152" s="9" t="n">
        <x:f>H2152*Z2151/(v01_AdultYears*4)</x:f>
        <x:v>0</x:v>
      </x:c>
      <x:c r="Y2152" s="32" t="n">
        <x:f>Y2151+R2152-S2152-W2152-Y2151*V2152/AB2151</x:f>
        <x:v>14306.18539759397</x:v>
      </x:c>
      <x:c r="Z2152" s="32" t="n">
        <x:f>Z2151+W2152-X2152-T2152-Z2151*V2152/AB2151</x:f>
        <x:v>19354.456567879548</x:v>
      </x:c>
      <x:c r="AA2152" s="32" t="n">
        <x:f>AA2151+X2152-U2152-AA2151*V2152/AB2151</x:f>
        <x:v>11386.956063258198</x:v>
      </x:c>
      <x:c r="AB2152" s="10" t="n">
        <x:f>Y2152+Z2152+AA2152</x:f>
        <x:v>45047.59802873172</x:v>
      </x:c>
      <x:c r="AC2152" s="8" t="n">
        <x:f>IF(AND(v01_WinterTrigger=1,D2152=1,AB2151/AE2151&gt;=K2152),1,0)</x:f>
        <x:v>0</x:v>
      </x:c>
      <x:c r="AD2152" s="8" t="n">
        <x:f>H2152*IF(AND(OR(AB2151/AE2151&gt;=v01_FissionTrigger*N2152,AC2152=1),AB2151/AE2151*v01_DaughterShare&gt;=v01_MinDaughter),MAX(1,ROUND(AE2151*v01_FissionRate,0)),0)</x:f>
        <x:v>0</x:v>
      </x:c>
      <x:c r="AE2152" s="8" t="n">
        <x:f>IF(H2152=1,MAX(1,MIN(INDEX(v01_Smax,G2152),AE2151+AD2152)),AE2151)</x:f>
        <x:v>15</x:v>
      </x:c>
      <x:c r="AF2152" s="8" t="n">
        <x:f>MAX(0,AE2152-AE2151)</x:f>
        <x:v>0</x:v>
      </x:c>
      <x:c r="AG2152" s="9" t="str">
        <x:f>IF(AF2152&gt;0,B2152,"")</x:f>
      </x:c>
      <x:c r="AH2152" s="9" t="n">
        <x:f>IF(F2152&gt;=1,1,(1+v01_LowTiesShare*(AE2152-1))/AE2152)</x:f>
        <x:v>1</x:v>
      </x:c>
      <x:c r="AI2152" s="32" t="n">
        <x:f>(Z2152+v01_ElderCommons*INDEX(LM_Elder,G2152)*AA2152)*AH2152</x:f>
        <x:v>64139.732591141874</x:v>
      </x:c>
      <x:c r="AJ2152" s="32" t="n">
        <x:f>H2152*v01_CommonsCoef*AI2152^v01_CommonsExp*INDEX(LM_Commons,G2152)</x:f>
        <x:v>0</x:v>
      </x:c>
      <x:c r="AK2152" s="32" t="n">
        <x:f>H2152*v01_RoleScale*Arch_Roles*(AE2152*(INDEX(v01_ElderRolePerSett,G2152)*v01_OutElder*INDEX(LM_Elder,G2152)+INDEX(v01_ShamanPerSett,G2152)*v01_OutShaman)+Z2152*(INDEX(v01_PriestShare,G2152)*v01_OutPriest+INDEX(v01_ScribeShare,G2152)*v01_OutScribe*INDEX(LM_Scribe,G2152)+INDEX(v01_ScholarShare,G2152)*v01_OutScholar*INDEX(LM_Scholar,G2152)+INDEX(v01_ResearcherShare,G2152)*v01_OutResearcher*INDEX(LM_Researcher,G2152)))</x:f>
        <x:v>0</x:v>
      </x:c>
      <x:c r="AL2152" s="32" t="n">
        <x:f>H2152*v01_RoleScale*Arch_Roles*AE2152*INDEX(v01_MonasteryPerSett,G2152)*v01_OutMonastery*INDEX(LM_Monastery,G2152)</x:f>
        <x:v>0</x:v>
      </x:c>
      <x:c r="AM2152" s="32" t="n">
        <x:f>(AJ2152+AK2152+AL2152)/4*INDEX(LM_All,G2152)*INDEX(v01_Boon,G2152)*Arch_Insight</x:f>
        <x:v>0</x:v>
      </x:c>
      <x:c r="AN2152" s="32" t="n">
        <x:f>H2152*(v01_KHPerAdult*Z2152+v01_KHOfCommons*AJ2152/4*INDEX(LM_All,G2152))*v01_KHUsable*Arch_KH</x:f>
        <x:v>0</x:v>
      </x:c>
      <x:c r="AO2152" s="32" t="n">
        <x:f>MIN(AP2151+AN2152,AM2152*v01_KHMaxRatio)</x:f>
        <x:v>0</x:v>
      </x:c>
      <x:c r="AP2152" s="32" t="n">
        <x:f>AP2151+AN2152-AO2152</x:f>
        <x:v>0</x:v>
      </x:c>
      <x:c r="AQ2152" s="32" t="n">
        <x:f>AM2152+AO2152</x:f>
        <x:v>0</x:v>
      </x:c>
      <x:c r="AR2152" s="10" t="n">
        <x:f>IF(H2152=1,INDEX(v01_Req,G2152),0)</x:f>
        <x:v>0</x:v>
      </x:c>
      <x:c r="AS2152" s="32" t="n">
        <x:f>IF(H2152=1,IF(E2152=1,AS2151-AR2151,AS2151)+AQ2152,0)</x:f>
        <x:v>0</x:v>
      </x:c>
      <x:c r="AT2152" s="11" t="n">
        <x:f>IF(AR2152&gt;0,MIN(1,AS2152/AR2152),1)</x:f>
        <x:v>1</x:v>
      </x:c>
      <x:c r="AU2152" s="10" t="n">
        <x:f>AB2152/INDEX(v01_RepScale,G2152)</x:f>
        <x:v>90.09519605746344</x:v>
      </x:c>
      <x:c r="AV2152" s="32" t="n">
        <x:f>AM2152*60/v01_SeasonSeconds</x:f>
        <x:v>0</x:v>
      </x:c>
    </x:row>
    <x:row r="2153">
      <x:c r="A2153" s="8" t="n">
        <x:f>A2152+1</x:f>
        <x:v>2150</x:v>
      </x:c>
      <x:c r="B2153" s="9" t="n">
        <x:f>A2153*v01_SeasonSeconds/60</x:f>
        <x:v>537.5</x:v>
      </x:c>
      <x:c r="C2153" s="9" t="n">
        <x:f>A2153/4</x:f>
        <x:v>537.5</x:v>
      </x:c>
      <x:c r="D2153" s="8" t="n">
        <x:f>IF(MOD(A2153,4)=0,1,0)</x:f>
        <x:v>0</x:v>
      </x:c>
      <x:c r="E2153" s="8" t="n">
        <x:f>IF(AND(F2152&lt;=9,AS2152&gt;=AR2152),1,0)</x:f>
        <x:v>0</x:v>
      </x:c>
      <x:c r="F2153" s="8" t="n">
        <x:f>MIN(10,F2152+E2153)</x:f>
        <x:v>10</x:v>
      </x:c>
      <x:c r="G2153" s="8" t="n">
        <x:f>MIN(F2153,9)+1</x:f>
        <x:v>10</x:v>
      </x:c>
      <x:c r="H2153" s="8" t="n">
        <x:f>IF(F2153&lt;=9,1,0)</x:f>
        <x:v>0</x:v>
      </x:c>
      <x:c r="I2153" s="9" t="n">
        <x:f>MIN(10,F2152+IF(AR2152&gt;0,MIN(1,AS2152/AR2152),1))</x:f>
        <x:v>10</x:v>
      </x:c>
      <x:c r="J2153" s="32" t="n">
        <x:f>INDEX(v01_FoodCap,G2153)*Arch_FoodCap*EXP(v01_CapsByProject*SUMPRODUCT((Cap_Point&lt;=I2153)*(Cap_Kind="Food")*Cap_Ln))</x:f>
        <x:v>12000</x:v>
      </x:c>
      <x:c r="K2153" s="32" t="n">
        <x:f>J2153*MIN(1,v01_LeanBase*EXP(v01_CapsByProject*SUMPRODUCT((Cap_Point&lt;=I2153)*(Cap_Kind="Lean")*Cap_Ln)))</x:f>
        <x:v>12000</x:v>
      </x:c>
      <x:c r="L2153" s="10" t="n">
        <x:f>INDEX(v01_HousingCap,G2153)*EXP(v01_CapsByProject*SUMPRODUCT((Cap_Point&lt;=I2153)*(Cap_Kind="Housing")*Cap_Ln))</x:f>
        <x:v>20000</x:v>
      </x:c>
      <x:c r="M2153" s="10" t="n">
        <x:f>INDEX(v01_GroupCap,G2153)*v01_CohesionFactor*EXP(v01_CapsByProject*SUMPRODUCT((Cap_Point&lt;=I2153)*(Cap_Kind="Group")*Cap_Ln))</x:f>
        <x:v>1000000</x:v>
      </x:c>
      <x:c r="N2153" s="32" t="n">
        <x:f>MIN(J2153,L2153,M2153)</x:f>
        <x:v>12000</x:v>
      </x:c>
      <x:c r="O2153" s="10" t="n">
        <x:f>AE2152*N2153</x:f>
        <x:v>180000</x:v>
      </x:c>
      <x:c r="P2153" s="9" t="n">
        <x:f>MIN(1,(AB2152/(AE2152*IF(v01_GroupInCrowding=1,N2153,MIN(J2153,L2153))))^v01_CrowdingExp)</x:f>
        <x:v>0.00024569414295285325</x:v>
      </x:c>
      <x:c r="Q2153" s="9" t="n">
        <x:f>IF(D2153=1,INDEX(v01_WinterMult,G2153),1)</x:f>
        <x:v>1</x:v>
      </x:c>
      <x:c r="R2153" s="9" t="n">
        <x:f>H2153*Z2152*v01_WomenShare*v01_BaseFertility*INDEX(v01_FertMult,G2153)*Arch_Fertility*(1-P2153)</x:f>
        <x:v>0</x:v>
      </x:c>
      <x:c r="S2153" s="9" t="n">
        <x:f>H2153*Y2152*INDEX(v01_MortChild,G2153)/4*Q2153</x:f>
        <x:v>0</x:v>
      </x:c>
      <x:c r="T2153" s="9" t="n">
        <x:f>H2153*Z2152*INDEX(v01_MortAdult,G2153)*Arch_AdultMort/4*Q2153</x:f>
        <x:v>0</x:v>
      </x:c>
      <x:c r="U2153" s="9" t="n">
        <x:f>H2153*AA2152*INDEX(v01_MortElder,G2153)/4*Q2153</x:f>
        <x:v>0</x:v>
      </x:c>
      <x:c r="V2153" s="9" t="n">
        <x:f>H2153*MAX(0,AB2152-O2153)*v01_OvercapLoss</x:f>
        <x:v>0</x:v>
      </x:c>
      <x:c r="W2153" s="9" t="n">
        <x:f>H2153*Y2152/(v01_ChildYears*4)</x:f>
        <x:v>0</x:v>
      </x:c>
      <x:c r="X2153" s="9" t="n">
        <x:f>H2153*Z2152/(v01_AdultYears*4)</x:f>
        <x:v>0</x:v>
      </x:c>
      <x:c r="Y2153" s="32" t="n">
        <x:f>Y2152+R2153-S2153-W2153-Y2152*V2153/AB2152</x:f>
        <x:v>14306.18539759397</x:v>
      </x:c>
      <x:c r="Z2153" s="32" t="n">
        <x:f>Z2152+W2153-X2153-T2153-Z2152*V2153/AB2152</x:f>
        <x:v>19354.456567879548</x:v>
      </x:c>
      <x:c r="AA2153" s="32" t="n">
        <x:f>AA2152+X2153-U2153-AA2152*V2153/AB2152</x:f>
        <x:v>11386.956063258198</x:v>
      </x:c>
      <x:c r="AB2153" s="10" t="n">
        <x:f>Y2153+Z2153+AA2153</x:f>
        <x:v>45047.59802873172</x:v>
      </x:c>
      <x:c r="AC2153" s="8" t="n">
        <x:f>IF(AND(v01_WinterTrigger=1,D2153=1,AB2152/AE2152&gt;=K2153),1,0)</x:f>
        <x:v>0</x:v>
      </x:c>
      <x:c r="AD2153" s="8" t="n">
        <x:f>H2153*IF(AND(OR(AB2152/AE2152&gt;=v01_FissionTrigger*N2153,AC2153=1),AB2152/AE2152*v01_DaughterShare&gt;=v01_MinDaughter),MAX(1,ROUND(AE2152*v01_FissionRate,0)),0)</x:f>
        <x:v>0</x:v>
      </x:c>
      <x:c r="AE2153" s="8" t="n">
        <x:f>IF(H2153=1,MAX(1,MIN(INDEX(v01_Smax,G2153),AE2152+AD2153)),AE2152)</x:f>
        <x:v>15</x:v>
      </x:c>
      <x:c r="AF2153" s="8" t="n">
        <x:f>MAX(0,AE2153-AE2152)</x:f>
        <x:v>0</x:v>
      </x:c>
      <x:c r="AG2153" s="9" t="str">
        <x:f>IF(AF2153&gt;0,B2153,"")</x:f>
      </x:c>
      <x:c r="AH2153" s="9" t="n">
        <x:f>IF(F2153&gt;=1,1,(1+v01_LowTiesShare*(AE2153-1))/AE2153)</x:f>
        <x:v>1</x:v>
      </x:c>
      <x:c r="AI2153" s="32" t="n">
        <x:f>(Z2153+v01_ElderCommons*INDEX(LM_Elder,G2153)*AA2153)*AH2153</x:f>
        <x:v>64139.732591141874</x:v>
      </x:c>
      <x:c r="AJ2153" s="32" t="n">
        <x:f>H2153*v01_CommonsCoef*AI2153^v01_CommonsExp*INDEX(LM_Commons,G2153)</x:f>
        <x:v>0</x:v>
      </x:c>
      <x:c r="AK2153" s="32" t="n">
        <x:f>H2153*v01_RoleScale*Arch_Roles*(AE2153*(INDEX(v01_ElderRolePerSett,G2153)*v01_OutElder*INDEX(LM_Elder,G2153)+INDEX(v01_ShamanPerSett,G2153)*v01_OutShaman)+Z2153*(INDEX(v01_PriestShare,G2153)*v01_OutPriest+INDEX(v01_ScribeShare,G2153)*v01_OutScribe*INDEX(LM_Scribe,G2153)+INDEX(v01_ScholarShare,G2153)*v01_OutScholar*INDEX(LM_Scholar,G2153)+INDEX(v01_ResearcherShare,G2153)*v01_OutResearcher*INDEX(LM_Researcher,G2153)))</x:f>
        <x:v>0</x:v>
      </x:c>
      <x:c r="AL2153" s="32" t="n">
        <x:f>H2153*v01_RoleScale*Arch_Roles*AE2153*INDEX(v01_MonasteryPerSett,G2153)*v01_OutMonastery*INDEX(LM_Monastery,G2153)</x:f>
        <x:v>0</x:v>
      </x:c>
      <x:c r="AM2153" s="32" t="n">
        <x:f>(AJ2153+AK2153+AL2153)/4*INDEX(LM_All,G2153)*INDEX(v01_Boon,G2153)*Arch_Insight</x:f>
        <x:v>0</x:v>
      </x:c>
      <x:c r="AN2153" s="32" t="n">
        <x:f>H2153*(v01_KHPerAdult*Z2153+v01_KHOfCommons*AJ2153/4*INDEX(LM_All,G2153))*v01_KHUsable*Arch_KH</x:f>
        <x:v>0</x:v>
      </x:c>
      <x:c r="AO2153" s="32" t="n">
        <x:f>MIN(AP2152+AN2153,AM2153*v01_KHMaxRatio)</x:f>
        <x:v>0</x:v>
      </x:c>
      <x:c r="AP2153" s="32" t="n">
        <x:f>AP2152+AN2153-AO2153</x:f>
        <x:v>0</x:v>
      </x:c>
      <x:c r="AQ2153" s="32" t="n">
        <x:f>AM2153+AO2153</x:f>
        <x:v>0</x:v>
      </x:c>
      <x:c r="AR2153" s="10" t="n">
        <x:f>IF(H2153=1,INDEX(v01_Req,G2153),0)</x:f>
        <x:v>0</x:v>
      </x:c>
      <x:c r="AS2153" s="32" t="n">
        <x:f>IF(H2153=1,IF(E2153=1,AS2152-AR2152,AS2152)+AQ2153,0)</x:f>
        <x:v>0</x:v>
      </x:c>
      <x:c r="AT2153" s="11" t="n">
        <x:f>IF(AR2153&gt;0,MIN(1,AS2153/AR2153),1)</x:f>
        <x:v>1</x:v>
      </x:c>
      <x:c r="AU2153" s="10" t="n">
        <x:f>AB2153/INDEX(v01_RepScale,G2153)</x:f>
        <x:v>90.09519605746344</x:v>
      </x:c>
      <x:c r="AV2153" s="32" t="n">
        <x:f>AM2153*60/v01_SeasonSeconds</x:f>
        <x:v>0</x:v>
      </x:c>
    </x:row>
    <x:row r="2154">
      <x:c r="A2154" s="8" t="n">
        <x:f>A2153+1</x:f>
        <x:v>2151</x:v>
      </x:c>
      <x:c r="B2154" s="9" t="n">
        <x:f>A2154*v01_SeasonSeconds/60</x:f>
        <x:v>537.75</x:v>
      </x:c>
      <x:c r="C2154" s="9" t="n">
        <x:f>A2154/4</x:f>
        <x:v>537.75</x:v>
      </x:c>
      <x:c r="D2154" s="8" t="n">
        <x:f>IF(MOD(A2154,4)=0,1,0)</x:f>
        <x:v>0</x:v>
      </x:c>
      <x:c r="E2154" s="8" t="n">
        <x:f>IF(AND(F2153&lt;=9,AS2153&gt;=AR2153),1,0)</x:f>
        <x:v>0</x:v>
      </x:c>
      <x:c r="F2154" s="8" t="n">
        <x:f>MIN(10,F2153+E2154)</x:f>
        <x:v>10</x:v>
      </x:c>
      <x:c r="G2154" s="8" t="n">
        <x:f>MIN(F2154,9)+1</x:f>
        <x:v>10</x:v>
      </x:c>
      <x:c r="H2154" s="8" t="n">
        <x:f>IF(F2154&lt;=9,1,0)</x:f>
        <x:v>0</x:v>
      </x:c>
      <x:c r="I2154" s="9" t="n">
        <x:f>MIN(10,F2153+IF(AR2153&gt;0,MIN(1,AS2153/AR2153),1))</x:f>
        <x:v>10</x:v>
      </x:c>
      <x:c r="J2154" s="32" t="n">
        <x:f>INDEX(v01_FoodCap,G2154)*Arch_FoodCap*EXP(v01_CapsByProject*SUMPRODUCT((Cap_Point&lt;=I2154)*(Cap_Kind="Food")*Cap_Ln))</x:f>
        <x:v>12000</x:v>
      </x:c>
      <x:c r="K2154" s="32" t="n">
        <x:f>J2154*MIN(1,v01_LeanBase*EXP(v01_CapsByProject*SUMPRODUCT((Cap_Point&lt;=I2154)*(Cap_Kind="Lean")*Cap_Ln)))</x:f>
        <x:v>12000</x:v>
      </x:c>
      <x:c r="L2154" s="10" t="n">
        <x:f>INDEX(v01_HousingCap,G2154)*EXP(v01_CapsByProject*SUMPRODUCT((Cap_Point&lt;=I2154)*(Cap_Kind="Housing")*Cap_Ln))</x:f>
        <x:v>20000</x:v>
      </x:c>
      <x:c r="M2154" s="10" t="n">
        <x:f>INDEX(v01_GroupCap,G2154)*v01_CohesionFactor*EXP(v01_CapsByProject*SUMPRODUCT((Cap_Point&lt;=I2154)*(Cap_Kind="Group")*Cap_Ln))</x:f>
        <x:v>1000000</x:v>
      </x:c>
      <x:c r="N2154" s="32" t="n">
        <x:f>MIN(J2154,L2154,M2154)</x:f>
        <x:v>12000</x:v>
      </x:c>
      <x:c r="O2154" s="10" t="n">
        <x:f>AE2153*N2154</x:f>
        <x:v>180000</x:v>
      </x:c>
      <x:c r="P2154" s="9" t="n">
        <x:f>MIN(1,(AB2153/(AE2153*IF(v01_GroupInCrowding=1,N2154,MIN(J2154,L2154))))^v01_CrowdingExp)</x:f>
        <x:v>0.00024569414295285325</x:v>
      </x:c>
      <x:c r="Q2154" s="9" t="n">
        <x:f>IF(D2154=1,INDEX(v01_WinterMult,G2154),1)</x:f>
        <x:v>1</x:v>
      </x:c>
      <x:c r="R2154" s="9" t="n">
        <x:f>H2154*Z2153*v01_WomenShare*v01_BaseFertility*INDEX(v01_FertMult,G2154)*Arch_Fertility*(1-P2154)</x:f>
        <x:v>0</x:v>
      </x:c>
      <x:c r="S2154" s="9" t="n">
        <x:f>H2154*Y2153*INDEX(v01_MortChild,G2154)/4*Q2154</x:f>
        <x:v>0</x:v>
      </x:c>
      <x:c r="T2154" s="9" t="n">
        <x:f>H2154*Z2153*INDEX(v01_MortAdult,G2154)*Arch_AdultMort/4*Q2154</x:f>
        <x:v>0</x:v>
      </x:c>
      <x:c r="U2154" s="9" t="n">
        <x:f>H2154*AA2153*INDEX(v01_MortElder,G2154)/4*Q2154</x:f>
        <x:v>0</x:v>
      </x:c>
      <x:c r="V2154" s="9" t="n">
        <x:f>H2154*MAX(0,AB2153-O2154)*v01_OvercapLoss</x:f>
        <x:v>0</x:v>
      </x:c>
      <x:c r="W2154" s="9" t="n">
        <x:f>H2154*Y2153/(v01_ChildYears*4)</x:f>
        <x:v>0</x:v>
      </x:c>
      <x:c r="X2154" s="9" t="n">
        <x:f>H2154*Z2153/(v01_AdultYears*4)</x:f>
        <x:v>0</x:v>
      </x:c>
      <x:c r="Y2154" s="32" t="n">
        <x:f>Y2153+R2154-S2154-W2154-Y2153*V2154/AB2153</x:f>
        <x:v>14306.18539759397</x:v>
      </x:c>
      <x:c r="Z2154" s="32" t="n">
        <x:f>Z2153+W2154-X2154-T2154-Z2153*V2154/AB2153</x:f>
        <x:v>19354.456567879548</x:v>
      </x:c>
      <x:c r="AA2154" s="32" t="n">
        <x:f>AA2153+X2154-U2154-AA2153*V2154/AB2153</x:f>
        <x:v>11386.956063258198</x:v>
      </x:c>
      <x:c r="AB2154" s="10" t="n">
        <x:f>Y2154+Z2154+AA2154</x:f>
        <x:v>45047.59802873172</x:v>
      </x:c>
      <x:c r="AC2154" s="8" t="n">
        <x:f>IF(AND(v01_WinterTrigger=1,D2154=1,AB2153/AE2153&gt;=K2154),1,0)</x:f>
        <x:v>0</x:v>
      </x:c>
      <x:c r="AD2154" s="8" t="n">
        <x:f>H2154*IF(AND(OR(AB2153/AE2153&gt;=v01_FissionTrigger*N2154,AC2154=1),AB2153/AE2153*v01_DaughterShare&gt;=v01_MinDaughter),MAX(1,ROUND(AE2153*v01_FissionRate,0)),0)</x:f>
        <x:v>0</x:v>
      </x:c>
      <x:c r="AE2154" s="8" t="n">
        <x:f>IF(H2154=1,MAX(1,MIN(INDEX(v01_Smax,G2154),AE2153+AD2154)),AE2153)</x:f>
        <x:v>15</x:v>
      </x:c>
      <x:c r="AF2154" s="8" t="n">
        <x:f>MAX(0,AE2154-AE2153)</x:f>
        <x:v>0</x:v>
      </x:c>
      <x:c r="AG2154" s="9" t="str">
        <x:f>IF(AF2154&gt;0,B2154,"")</x:f>
      </x:c>
      <x:c r="AH2154" s="9" t="n">
        <x:f>IF(F2154&gt;=1,1,(1+v01_LowTiesShare*(AE2154-1))/AE2154)</x:f>
        <x:v>1</x:v>
      </x:c>
      <x:c r="AI2154" s="32" t="n">
        <x:f>(Z2154+v01_ElderCommons*INDEX(LM_Elder,G2154)*AA2154)*AH2154</x:f>
        <x:v>64139.732591141874</x:v>
      </x:c>
      <x:c r="AJ2154" s="32" t="n">
        <x:f>H2154*v01_CommonsCoef*AI2154^v01_CommonsExp*INDEX(LM_Commons,G2154)</x:f>
        <x:v>0</x:v>
      </x:c>
      <x:c r="AK2154" s="32" t="n">
        <x:f>H2154*v01_RoleScale*Arch_Roles*(AE2154*(INDEX(v01_ElderRolePerSett,G2154)*v01_OutElder*INDEX(LM_Elder,G2154)+INDEX(v01_ShamanPerSett,G2154)*v01_OutShaman)+Z2154*(INDEX(v01_PriestShare,G2154)*v01_OutPriest+INDEX(v01_ScribeShare,G2154)*v01_OutScribe*INDEX(LM_Scribe,G2154)+INDEX(v01_ScholarShare,G2154)*v01_OutScholar*INDEX(LM_Scholar,G2154)+INDEX(v01_ResearcherShare,G2154)*v01_OutResearcher*INDEX(LM_Researcher,G2154)))</x:f>
        <x:v>0</x:v>
      </x:c>
      <x:c r="AL2154" s="32" t="n">
        <x:f>H2154*v01_RoleScale*Arch_Roles*AE2154*INDEX(v01_MonasteryPerSett,G2154)*v01_OutMonastery*INDEX(LM_Monastery,G2154)</x:f>
        <x:v>0</x:v>
      </x:c>
      <x:c r="AM2154" s="32" t="n">
        <x:f>(AJ2154+AK2154+AL2154)/4*INDEX(LM_All,G2154)*INDEX(v01_Boon,G2154)*Arch_Insight</x:f>
        <x:v>0</x:v>
      </x:c>
      <x:c r="AN2154" s="32" t="n">
        <x:f>H2154*(v01_KHPerAdult*Z2154+v01_KHOfCommons*AJ2154/4*INDEX(LM_All,G2154))*v01_KHUsable*Arch_KH</x:f>
        <x:v>0</x:v>
      </x:c>
      <x:c r="AO2154" s="32" t="n">
        <x:f>MIN(AP2153+AN2154,AM2154*v01_KHMaxRatio)</x:f>
        <x:v>0</x:v>
      </x:c>
      <x:c r="AP2154" s="32" t="n">
        <x:f>AP2153+AN2154-AO2154</x:f>
        <x:v>0</x:v>
      </x:c>
      <x:c r="AQ2154" s="32" t="n">
        <x:f>AM2154+AO2154</x:f>
        <x:v>0</x:v>
      </x:c>
      <x:c r="AR2154" s="10" t="n">
        <x:f>IF(H2154=1,INDEX(v01_Req,G2154),0)</x:f>
        <x:v>0</x:v>
      </x:c>
      <x:c r="AS2154" s="32" t="n">
        <x:f>IF(H2154=1,IF(E2154=1,AS2153-AR2153,AS2153)+AQ2154,0)</x:f>
        <x:v>0</x:v>
      </x:c>
      <x:c r="AT2154" s="11" t="n">
        <x:f>IF(AR2154&gt;0,MIN(1,AS2154/AR2154),1)</x:f>
        <x:v>1</x:v>
      </x:c>
      <x:c r="AU2154" s="10" t="n">
        <x:f>AB2154/INDEX(v01_RepScale,G2154)</x:f>
        <x:v>90.09519605746344</x:v>
      </x:c>
      <x:c r="AV2154" s="32" t="n">
        <x:f>AM2154*60/v01_SeasonSeconds</x:f>
        <x:v>0</x:v>
      </x:c>
    </x:row>
    <x:row r="2155">
      <x:c r="A2155" s="8" t="n">
        <x:f>A2154+1</x:f>
        <x:v>2152</x:v>
      </x:c>
      <x:c r="B2155" s="9" t="n">
        <x:f>A2155*v01_SeasonSeconds/60</x:f>
        <x:v>538</x:v>
      </x:c>
      <x:c r="C2155" s="9" t="n">
        <x:f>A2155/4</x:f>
        <x:v>538</x:v>
      </x:c>
      <x:c r="D2155" s="8" t="n">
        <x:f>IF(MOD(A2155,4)=0,1,0)</x:f>
        <x:v>1</x:v>
      </x:c>
      <x:c r="E2155" s="8" t="n">
        <x:f>IF(AND(F2154&lt;=9,AS2154&gt;=AR2154),1,0)</x:f>
        <x:v>0</x:v>
      </x:c>
      <x:c r="F2155" s="8" t="n">
        <x:f>MIN(10,F2154+E2155)</x:f>
        <x:v>10</x:v>
      </x:c>
      <x:c r="G2155" s="8" t="n">
        <x:f>MIN(F2155,9)+1</x:f>
        <x:v>10</x:v>
      </x:c>
      <x:c r="H2155" s="8" t="n">
        <x:f>IF(F2155&lt;=9,1,0)</x:f>
        <x:v>0</x:v>
      </x:c>
      <x:c r="I2155" s="9" t="n">
        <x:f>MIN(10,F2154+IF(AR2154&gt;0,MIN(1,AS2154/AR2154),1))</x:f>
        <x:v>10</x:v>
      </x:c>
      <x:c r="J2155" s="32" t="n">
        <x:f>INDEX(v01_FoodCap,G2155)*Arch_FoodCap*EXP(v01_CapsByProject*SUMPRODUCT((Cap_Point&lt;=I2155)*(Cap_Kind="Food")*Cap_Ln))</x:f>
        <x:v>12000</x:v>
      </x:c>
      <x:c r="K2155" s="32" t="n">
        <x:f>J2155*MIN(1,v01_LeanBase*EXP(v01_CapsByProject*SUMPRODUCT((Cap_Point&lt;=I2155)*(Cap_Kind="Lean")*Cap_Ln)))</x:f>
        <x:v>12000</x:v>
      </x:c>
      <x:c r="L2155" s="10" t="n">
        <x:f>INDEX(v01_HousingCap,G2155)*EXP(v01_CapsByProject*SUMPRODUCT((Cap_Point&lt;=I2155)*(Cap_Kind="Housing")*Cap_Ln))</x:f>
        <x:v>20000</x:v>
      </x:c>
      <x:c r="M2155" s="10" t="n">
        <x:f>INDEX(v01_GroupCap,G2155)*v01_CohesionFactor*EXP(v01_CapsByProject*SUMPRODUCT((Cap_Point&lt;=I2155)*(Cap_Kind="Group")*Cap_Ln))</x:f>
        <x:v>1000000</x:v>
      </x:c>
      <x:c r="N2155" s="32" t="n">
        <x:f>MIN(J2155,L2155,M2155)</x:f>
        <x:v>12000</x:v>
      </x:c>
      <x:c r="O2155" s="10" t="n">
        <x:f>AE2154*N2155</x:f>
        <x:v>180000</x:v>
      </x:c>
      <x:c r="P2155" s="9" t="n">
        <x:f>MIN(1,(AB2154/(AE2154*IF(v01_GroupInCrowding=1,N2155,MIN(J2155,L2155))))^v01_CrowdingExp)</x:f>
        <x:v>0.00024569414295285325</x:v>
      </x:c>
      <x:c r="Q2155" s="9" t="n">
        <x:f>IF(D2155=1,INDEX(v01_WinterMult,G2155),1)</x:f>
        <x:v>1</x:v>
      </x:c>
      <x:c r="R2155" s="9" t="n">
        <x:f>H2155*Z2154*v01_WomenShare*v01_BaseFertility*INDEX(v01_FertMult,G2155)*Arch_Fertility*(1-P2155)</x:f>
        <x:v>0</x:v>
      </x:c>
      <x:c r="S2155" s="9" t="n">
        <x:f>H2155*Y2154*INDEX(v01_MortChild,G2155)/4*Q2155</x:f>
        <x:v>0</x:v>
      </x:c>
      <x:c r="T2155" s="9" t="n">
        <x:f>H2155*Z2154*INDEX(v01_MortAdult,G2155)*Arch_AdultMort/4*Q2155</x:f>
        <x:v>0</x:v>
      </x:c>
      <x:c r="U2155" s="9" t="n">
        <x:f>H2155*AA2154*INDEX(v01_MortElder,G2155)/4*Q2155</x:f>
        <x:v>0</x:v>
      </x:c>
      <x:c r="V2155" s="9" t="n">
        <x:f>H2155*MAX(0,AB2154-O2155)*v01_OvercapLoss</x:f>
        <x:v>0</x:v>
      </x:c>
      <x:c r="W2155" s="9" t="n">
        <x:f>H2155*Y2154/(v01_ChildYears*4)</x:f>
        <x:v>0</x:v>
      </x:c>
      <x:c r="X2155" s="9" t="n">
        <x:f>H2155*Z2154/(v01_AdultYears*4)</x:f>
        <x:v>0</x:v>
      </x:c>
      <x:c r="Y2155" s="32" t="n">
        <x:f>Y2154+R2155-S2155-W2155-Y2154*V2155/AB2154</x:f>
        <x:v>14306.18539759397</x:v>
      </x:c>
      <x:c r="Z2155" s="32" t="n">
        <x:f>Z2154+W2155-X2155-T2155-Z2154*V2155/AB2154</x:f>
        <x:v>19354.456567879548</x:v>
      </x:c>
      <x:c r="AA2155" s="32" t="n">
        <x:f>AA2154+X2155-U2155-AA2154*V2155/AB2154</x:f>
        <x:v>11386.956063258198</x:v>
      </x:c>
      <x:c r="AB2155" s="10" t="n">
        <x:f>Y2155+Z2155+AA2155</x:f>
        <x:v>45047.59802873172</x:v>
      </x:c>
      <x:c r="AC2155" s="8" t="n">
        <x:f>IF(AND(v01_WinterTrigger=1,D2155=1,AB2154/AE2154&gt;=K2155),1,0)</x:f>
        <x:v>0</x:v>
      </x:c>
      <x:c r="AD2155" s="8" t="n">
        <x:f>H2155*IF(AND(OR(AB2154/AE2154&gt;=v01_FissionTrigger*N2155,AC2155=1),AB2154/AE2154*v01_DaughterShare&gt;=v01_MinDaughter),MAX(1,ROUND(AE2154*v01_FissionRate,0)),0)</x:f>
        <x:v>0</x:v>
      </x:c>
      <x:c r="AE2155" s="8" t="n">
        <x:f>IF(H2155=1,MAX(1,MIN(INDEX(v01_Smax,G2155),AE2154+AD2155)),AE2154)</x:f>
        <x:v>15</x:v>
      </x:c>
      <x:c r="AF2155" s="8" t="n">
        <x:f>MAX(0,AE2155-AE2154)</x:f>
        <x:v>0</x:v>
      </x:c>
      <x:c r="AG2155" s="9" t="str">
        <x:f>IF(AF2155&gt;0,B2155,"")</x:f>
      </x:c>
      <x:c r="AH2155" s="9" t="n">
        <x:f>IF(F2155&gt;=1,1,(1+v01_LowTiesShare*(AE2155-1))/AE2155)</x:f>
        <x:v>1</x:v>
      </x:c>
      <x:c r="AI2155" s="32" t="n">
        <x:f>(Z2155+v01_ElderCommons*INDEX(LM_Elder,G2155)*AA2155)*AH2155</x:f>
        <x:v>64139.732591141874</x:v>
      </x:c>
      <x:c r="AJ2155" s="32" t="n">
        <x:f>H2155*v01_CommonsCoef*AI2155^v01_CommonsExp*INDEX(LM_Commons,G2155)</x:f>
        <x:v>0</x:v>
      </x:c>
      <x:c r="AK2155" s="32" t="n">
        <x:f>H2155*v01_RoleScale*Arch_Roles*(AE2155*(INDEX(v01_ElderRolePerSett,G2155)*v01_OutElder*INDEX(LM_Elder,G2155)+INDEX(v01_ShamanPerSett,G2155)*v01_OutShaman)+Z2155*(INDEX(v01_PriestShare,G2155)*v01_OutPriest+INDEX(v01_ScribeShare,G2155)*v01_OutScribe*INDEX(LM_Scribe,G2155)+INDEX(v01_ScholarShare,G2155)*v01_OutScholar*INDEX(LM_Scholar,G2155)+INDEX(v01_ResearcherShare,G2155)*v01_OutResearcher*INDEX(LM_Researcher,G2155)))</x:f>
        <x:v>0</x:v>
      </x:c>
      <x:c r="AL2155" s="32" t="n">
        <x:f>H2155*v01_RoleScale*Arch_Roles*AE2155*INDEX(v01_MonasteryPerSett,G2155)*v01_OutMonastery*INDEX(LM_Monastery,G2155)</x:f>
        <x:v>0</x:v>
      </x:c>
      <x:c r="AM2155" s="32" t="n">
        <x:f>(AJ2155+AK2155+AL2155)/4*INDEX(LM_All,G2155)*INDEX(v01_Boon,G2155)*Arch_Insight</x:f>
        <x:v>0</x:v>
      </x:c>
      <x:c r="AN2155" s="32" t="n">
        <x:f>H2155*(v01_KHPerAdult*Z2155+v01_KHOfCommons*AJ2155/4*INDEX(LM_All,G2155))*v01_KHUsable*Arch_KH</x:f>
        <x:v>0</x:v>
      </x:c>
      <x:c r="AO2155" s="32" t="n">
        <x:f>MIN(AP2154+AN2155,AM2155*v01_KHMaxRatio)</x:f>
        <x:v>0</x:v>
      </x:c>
      <x:c r="AP2155" s="32" t="n">
        <x:f>AP2154+AN2155-AO2155</x:f>
        <x:v>0</x:v>
      </x:c>
      <x:c r="AQ2155" s="32" t="n">
        <x:f>AM2155+AO2155</x:f>
        <x:v>0</x:v>
      </x:c>
      <x:c r="AR2155" s="10" t="n">
        <x:f>IF(H2155=1,INDEX(v01_Req,G2155),0)</x:f>
        <x:v>0</x:v>
      </x:c>
      <x:c r="AS2155" s="32" t="n">
        <x:f>IF(H2155=1,IF(E2155=1,AS2154-AR2154,AS2154)+AQ2155,0)</x:f>
        <x:v>0</x:v>
      </x:c>
      <x:c r="AT2155" s="11" t="n">
        <x:f>IF(AR2155&gt;0,MIN(1,AS2155/AR2155),1)</x:f>
        <x:v>1</x:v>
      </x:c>
      <x:c r="AU2155" s="10" t="n">
        <x:f>AB2155/INDEX(v01_RepScale,G2155)</x:f>
        <x:v>90.09519605746344</x:v>
      </x:c>
      <x:c r="AV2155" s="32" t="n">
        <x:f>AM2155*60/v01_SeasonSeconds</x:f>
        <x:v>0</x:v>
      </x:c>
    </x:row>
    <x:row r="2156">
      <x:c r="A2156" s="8" t="n">
        <x:f>A2155+1</x:f>
        <x:v>2153</x:v>
      </x:c>
      <x:c r="B2156" s="9" t="n">
        <x:f>A2156*v01_SeasonSeconds/60</x:f>
        <x:v>538.25</x:v>
      </x:c>
      <x:c r="C2156" s="9" t="n">
        <x:f>A2156/4</x:f>
        <x:v>538.25</x:v>
      </x:c>
      <x:c r="D2156" s="8" t="n">
        <x:f>IF(MOD(A2156,4)=0,1,0)</x:f>
        <x:v>0</x:v>
      </x:c>
      <x:c r="E2156" s="8" t="n">
        <x:f>IF(AND(F2155&lt;=9,AS2155&gt;=AR2155),1,0)</x:f>
        <x:v>0</x:v>
      </x:c>
      <x:c r="F2156" s="8" t="n">
        <x:f>MIN(10,F2155+E2156)</x:f>
        <x:v>10</x:v>
      </x:c>
      <x:c r="G2156" s="8" t="n">
        <x:f>MIN(F2156,9)+1</x:f>
        <x:v>10</x:v>
      </x:c>
      <x:c r="H2156" s="8" t="n">
        <x:f>IF(F2156&lt;=9,1,0)</x:f>
        <x:v>0</x:v>
      </x:c>
      <x:c r="I2156" s="9" t="n">
        <x:f>MIN(10,F2155+IF(AR2155&gt;0,MIN(1,AS2155/AR2155),1))</x:f>
        <x:v>10</x:v>
      </x:c>
      <x:c r="J2156" s="32" t="n">
        <x:f>INDEX(v01_FoodCap,G2156)*Arch_FoodCap*EXP(v01_CapsByProject*SUMPRODUCT((Cap_Point&lt;=I2156)*(Cap_Kind="Food")*Cap_Ln))</x:f>
        <x:v>12000</x:v>
      </x:c>
      <x:c r="K2156" s="32" t="n">
        <x:f>J2156*MIN(1,v01_LeanBase*EXP(v01_CapsByProject*SUMPRODUCT((Cap_Point&lt;=I2156)*(Cap_Kind="Lean")*Cap_Ln)))</x:f>
        <x:v>12000</x:v>
      </x:c>
      <x:c r="L2156" s="10" t="n">
        <x:f>INDEX(v01_HousingCap,G2156)*EXP(v01_CapsByProject*SUMPRODUCT((Cap_Point&lt;=I2156)*(Cap_Kind="Housing")*Cap_Ln))</x:f>
        <x:v>20000</x:v>
      </x:c>
      <x:c r="M2156" s="10" t="n">
        <x:f>INDEX(v01_GroupCap,G2156)*v01_CohesionFactor*EXP(v01_CapsByProject*SUMPRODUCT((Cap_Point&lt;=I2156)*(Cap_Kind="Group")*Cap_Ln))</x:f>
        <x:v>1000000</x:v>
      </x:c>
      <x:c r="N2156" s="32" t="n">
        <x:f>MIN(J2156,L2156,M2156)</x:f>
        <x:v>12000</x:v>
      </x:c>
      <x:c r="O2156" s="10" t="n">
        <x:f>AE2155*N2156</x:f>
        <x:v>180000</x:v>
      </x:c>
      <x:c r="P2156" s="9" t="n">
        <x:f>MIN(1,(AB2155/(AE2155*IF(v01_GroupInCrowding=1,N2156,MIN(J2156,L2156))))^v01_CrowdingExp)</x:f>
        <x:v>0.00024569414295285325</x:v>
      </x:c>
      <x:c r="Q2156" s="9" t="n">
        <x:f>IF(D2156=1,INDEX(v01_WinterMult,G2156),1)</x:f>
        <x:v>1</x:v>
      </x:c>
      <x:c r="R2156" s="9" t="n">
        <x:f>H2156*Z2155*v01_WomenShare*v01_BaseFertility*INDEX(v01_FertMult,G2156)*Arch_Fertility*(1-P2156)</x:f>
        <x:v>0</x:v>
      </x:c>
      <x:c r="S2156" s="9" t="n">
        <x:f>H2156*Y2155*INDEX(v01_MortChild,G2156)/4*Q2156</x:f>
        <x:v>0</x:v>
      </x:c>
      <x:c r="T2156" s="9" t="n">
        <x:f>H2156*Z2155*INDEX(v01_MortAdult,G2156)*Arch_AdultMort/4*Q2156</x:f>
        <x:v>0</x:v>
      </x:c>
      <x:c r="U2156" s="9" t="n">
        <x:f>H2156*AA2155*INDEX(v01_MortElder,G2156)/4*Q2156</x:f>
        <x:v>0</x:v>
      </x:c>
      <x:c r="V2156" s="9" t="n">
        <x:f>H2156*MAX(0,AB2155-O2156)*v01_OvercapLoss</x:f>
        <x:v>0</x:v>
      </x:c>
      <x:c r="W2156" s="9" t="n">
        <x:f>H2156*Y2155/(v01_ChildYears*4)</x:f>
        <x:v>0</x:v>
      </x:c>
      <x:c r="X2156" s="9" t="n">
        <x:f>H2156*Z2155/(v01_AdultYears*4)</x:f>
        <x:v>0</x:v>
      </x:c>
      <x:c r="Y2156" s="32" t="n">
        <x:f>Y2155+R2156-S2156-W2156-Y2155*V2156/AB2155</x:f>
        <x:v>14306.18539759397</x:v>
      </x:c>
      <x:c r="Z2156" s="32" t="n">
        <x:f>Z2155+W2156-X2156-T2156-Z2155*V2156/AB2155</x:f>
        <x:v>19354.456567879548</x:v>
      </x:c>
      <x:c r="AA2156" s="32" t="n">
        <x:f>AA2155+X2156-U2156-AA2155*V2156/AB2155</x:f>
        <x:v>11386.956063258198</x:v>
      </x:c>
      <x:c r="AB2156" s="10" t="n">
        <x:f>Y2156+Z2156+AA2156</x:f>
        <x:v>45047.59802873172</x:v>
      </x:c>
      <x:c r="AC2156" s="8" t="n">
        <x:f>IF(AND(v01_WinterTrigger=1,D2156=1,AB2155/AE2155&gt;=K2156),1,0)</x:f>
        <x:v>0</x:v>
      </x:c>
      <x:c r="AD2156" s="8" t="n">
        <x:f>H2156*IF(AND(OR(AB2155/AE2155&gt;=v01_FissionTrigger*N2156,AC2156=1),AB2155/AE2155*v01_DaughterShare&gt;=v01_MinDaughter),MAX(1,ROUND(AE2155*v01_FissionRate,0)),0)</x:f>
        <x:v>0</x:v>
      </x:c>
      <x:c r="AE2156" s="8" t="n">
        <x:f>IF(H2156=1,MAX(1,MIN(INDEX(v01_Smax,G2156),AE2155+AD2156)),AE2155)</x:f>
        <x:v>15</x:v>
      </x:c>
      <x:c r="AF2156" s="8" t="n">
        <x:f>MAX(0,AE2156-AE2155)</x:f>
        <x:v>0</x:v>
      </x:c>
      <x:c r="AG2156" s="9" t="str">
        <x:f>IF(AF2156&gt;0,B2156,"")</x:f>
      </x:c>
      <x:c r="AH2156" s="9" t="n">
        <x:f>IF(F2156&gt;=1,1,(1+v01_LowTiesShare*(AE2156-1))/AE2156)</x:f>
        <x:v>1</x:v>
      </x:c>
      <x:c r="AI2156" s="32" t="n">
        <x:f>(Z2156+v01_ElderCommons*INDEX(LM_Elder,G2156)*AA2156)*AH2156</x:f>
        <x:v>64139.732591141874</x:v>
      </x:c>
      <x:c r="AJ2156" s="32" t="n">
        <x:f>H2156*v01_CommonsCoef*AI2156^v01_CommonsExp*INDEX(LM_Commons,G2156)</x:f>
        <x:v>0</x:v>
      </x:c>
      <x:c r="AK2156" s="32" t="n">
        <x:f>H2156*v01_RoleScale*Arch_Roles*(AE2156*(INDEX(v01_ElderRolePerSett,G2156)*v01_OutElder*INDEX(LM_Elder,G2156)+INDEX(v01_ShamanPerSett,G2156)*v01_OutShaman)+Z2156*(INDEX(v01_PriestShare,G2156)*v01_OutPriest+INDEX(v01_ScribeShare,G2156)*v01_OutScribe*INDEX(LM_Scribe,G2156)+INDEX(v01_ScholarShare,G2156)*v01_OutScholar*INDEX(LM_Scholar,G2156)+INDEX(v01_ResearcherShare,G2156)*v01_OutResearcher*INDEX(LM_Researcher,G2156)))</x:f>
        <x:v>0</x:v>
      </x:c>
      <x:c r="AL2156" s="32" t="n">
        <x:f>H2156*v01_RoleScale*Arch_Roles*AE2156*INDEX(v01_MonasteryPerSett,G2156)*v01_OutMonastery*INDEX(LM_Monastery,G2156)</x:f>
        <x:v>0</x:v>
      </x:c>
      <x:c r="AM2156" s="32" t="n">
        <x:f>(AJ2156+AK2156+AL2156)/4*INDEX(LM_All,G2156)*INDEX(v01_Boon,G2156)*Arch_Insight</x:f>
        <x:v>0</x:v>
      </x:c>
      <x:c r="AN2156" s="32" t="n">
        <x:f>H2156*(v01_KHPerAdult*Z2156+v01_KHOfCommons*AJ2156/4*INDEX(LM_All,G2156))*v01_KHUsable*Arch_KH</x:f>
        <x:v>0</x:v>
      </x:c>
      <x:c r="AO2156" s="32" t="n">
        <x:f>MIN(AP2155+AN2156,AM2156*v01_KHMaxRatio)</x:f>
        <x:v>0</x:v>
      </x:c>
      <x:c r="AP2156" s="32" t="n">
        <x:f>AP2155+AN2156-AO2156</x:f>
        <x:v>0</x:v>
      </x:c>
      <x:c r="AQ2156" s="32" t="n">
        <x:f>AM2156+AO2156</x:f>
        <x:v>0</x:v>
      </x:c>
      <x:c r="AR2156" s="10" t="n">
        <x:f>IF(H2156=1,INDEX(v01_Req,G2156),0)</x:f>
        <x:v>0</x:v>
      </x:c>
      <x:c r="AS2156" s="32" t="n">
        <x:f>IF(H2156=1,IF(E2156=1,AS2155-AR2155,AS2155)+AQ2156,0)</x:f>
        <x:v>0</x:v>
      </x:c>
      <x:c r="AT2156" s="11" t="n">
        <x:f>IF(AR2156&gt;0,MIN(1,AS2156/AR2156),1)</x:f>
        <x:v>1</x:v>
      </x:c>
      <x:c r="AU2156" s="10" t="n">
        <x:f>AB2156/INDEX(v01_RepScale,G2156)</x:f>
        <x:v>90.09519605746344</x:v>
      </x:c>
      <x:c r="AV2156" s="32" t="n">
        <x:f>AM2156*60/v01_SeasonSeconds</x:f>
        <x:v>0</x:v>
      </x:c>
    </x:row>
    <x:row r="2157">
      <x:c r="A2157" s="8" t="n">
        <x:f>A2156+1</x:f>
        <x:v>2154</x:v>
      </x:c>
      <x:c r="B2157" s="9" t="n">
        <x:f>A2157*v01_SeasonSeconds/60</x:f>
        <x:v>538.5</x:v>
      </x:c>
      <x:c r="C2157" s="9" t="n">
        <x:f>A2157/4</x:f>
        <x:v>538.5</x:v>
      </x:c>
      <x:c r="D2157" s="8" t="n">
        <x:f>IF(MOD(A2157,4)=0,1,0)</x:f>
        <x:v>0</x:v>
      </x:c>
      <x:c r="E2157" s="8" t="n">
        <x:f>IF(AND(F2156&lt;=9,AS2156&gt;=AR2156),1,0)</x:f>
        <x:v>0</x:v>
      </x:c>
      <x:c r="F2157" s="8" t="n">
        <x:f>MIN(10,F2156+E2157)</x:f>
        <x:v>10</x:v>
      </x:c>
      <x:c r="G2157" s="8" t="n">
        <x:f>MIN(F2157,9)+1</x:f>
        <x:v>10</x:v>
      </x:c>
      <x:c r="H2157" s="8" t="n">
        <x:f>IF(F2157&lt;=9,1,0)</x:f>
        <x:v>0</x:v>
      </x:c>
      <x:c r="I2157" s="9" t="n">
        <x:f>MIN(10,F2156+IF(AR2156&gt;0,MIN(1,AS2156/AR2156),1))</x:f>
        <x:v>10</x:v>
      </x:c>
      <x:c r="J2157" s="32" t="n">
        <x:f>INDEX(v01_FoodCap,G2157)*Arch_FoodCap*EXP(v01_CapsByProject*SUMPRODUCT((Cap_Point&lt;=I2157)*(Cap_Kind="Food")*Cap_Ln))</x:f>
        <x:v>12000</x:v>
      </x:c>
      <x:c r="K2157" s="32" t="n">
        <x:f>J2157*MIN(1,v01_LeanBase*EXP(v01_CapsByProject*SUMPRODUCT((Cap_Point&lt;=I2157)*(Cap_Kind="Lean")*Cap_Ln)))</x:f>
        <x:v>12000</x:v>
      </x:c>
      <x:c r="L2157" s="10" t="n">
        <x:f>INDEX(v01_HousingCap,G2157)*EXP(v01_CapsByProject*SUMPRODUCT((Cap_Point&lt;=I2157)*(Cap_Kind="Housing")*Cap_Ln))</x:f>
        <x:v>20000</x:v>
      </x:c>
      <x:c r="M2157" s="10" t="n">
        <x:f>INDEX(v01_GroupCap,G2157)*v01_CohesionFactor*EXP(v01_CapsByProject*SUMPRODUCT((Cap_Point&lt;=I2157)*(Cap_Kind="Group")*Cap_Ln))</x:f>
        <x:v>1000000</x:v>
      </x:c>
      <x:c r="N2157" s="32" t="n">
        <x:f>MIN(J2157,L2157,M2157)</x:f>
        <x:v>12000</x:v>
      </x:c>
      <x:c r="O2157" s="10" t="n">
        <x:f>AE2156*N2157</x:f>
        <x:v>180000</x:v>
      </x:c>
      <x:c r="P2157" s="9" t="n">
        <x:f>MIN(1,(AB2156/(AE2156*IF(v01_GroupInCrowding=1,N2157,MIN(J2157,L2157))))^v01_CrowdingExp)</x:f>
        <x:v>0.00024569414295285325</x:v>
      </x:c>
      <x:c r="Q2157" s="9" t="n">
        <x:f>IF(D2157=1,INDEX(v01_WinterMult,G2157),1)</x:f>
        <x:v>1</x:v>
      </x:c>
      <x:c r="R2157" s="9" t="n">
        <x:f>H2157*Z2156*v01_WomenShare*v01_BaseFertility*INDEX(v01_FertMult,G2157)*Arch_Fertility*(1-P2157)</x:f>
        <x:v>0</x:v>
      </x:c>
      <x:c r="S2157" s="9" t="n">
        <x:f>H2157*Y2156*INDEX(v01_MortChild,G2157)/4*Q2157</x:f>
        <x:v>0</x:v>
      </x:c>
      <x:c r="T2157" s="9" t="n">
        <x:f>H2157*Z2156*INDEX(v01_MortAdult,G2157)*Arch_AdultMort/4*Q2157</x:f>
        <x:v>0</x:v>
      </x:c>
      <x:c r="U2157" s="9" t="n">
        <x:f>H2157*AA2156*INDEX(v01_MortElder,G2157)/4*Q2157</x:f>
        <x:v>0</x:v>
      </x:c>
      <x:c r="V2157" s="9" t="n">
        <x:f>H2157*MAX(0,AB2156-O2157)*v01_OvercapLoss</x:f>
        <x:v>0</x:v>
      </x:c>
      <x:c r="W2157" s="9" t="n">
        <x:f>H2157*Y2156/(v01_ChildYears*4)</x:f>
        <x:v>0</x:v>
      </x:c>
      <x:c r="X2157" s="9" t="n">
        <x:f>H2157*Z2156/(v01_AdultYears*4)</x:f>
        <x:v>0</x:v>
      </x:c>
      <x:c r="Y2157" s="32" t="n">
        <x:f>Y2156+R2157-S2157-W2157-Y2156*V2157/AB2156</x:f>
        <x:v>14306.18539759397</x:v>
      </x:c>
      <x:c r="Z2157" s="32" t="n">
        <x:f>Z2156+W2157-X2157-T2157-Z2156*V2157/AB2156</x:f>
        <x:v>19354.456567879548</x:v>
      </x:c>
      <x:c r="AA2157" s="32" t="n">
        <x:f>AA2156+X2157-U2157-AA2156*V2157/AB2156</x:f>
        <x:v>11386.956063258198</x:v>
      </x:c>
      <x:c r="AB2157" s="10" t="n">
        <x:f>Y2157+Z2157+AA2157</x:f>
        <x:v>45047.59802873172</x:v>
      </x:c>
      <x:c r="AC2157" s="8" t="n">
        <x:f>IF(AND(v01_WinterTrigger=1,D2157=1,AB2156/AE2156&gt;=K2157),1,0)</x:f>
        <x:v>0</x:v>
      </x:c>
      <x:c r="AD2157" s="8" t="n">
        <x:f>H2157*IF(AND(OR(AB2156/AE2156&gt;=v01_FissionTrigger*N2157,AC2157=1),AB2156/AE2156*v01_DaughterShare&gt;=v01_MinDaughter),MAX(1,ROUND(AE2156*v01_FissionRate,0)),0)</x:f>
        <x:v>0</x:v>
      </x:c>
      <x:c r="AE2157" s="8" t="n">
        <x:f>IF(H2157=1,MAX(1,MIN(INDEX(v01_Smax,G2157),AE2156+AD2157)),AE2156)</x:f>
        <x:v>15</x:v>
      </x:c>
      <x:c r="AF2157" s="8" t="n">
        <x:f>MAX(0,AE2157-AE2156)</x:f>
        <x:v>0</x:v>
      </x:c>
      <x:c r="AG2157" s="9" t="str">
        <x:f>IF(AF2157&gt;0,B2157,"")</x:f>
      </x:c>
      <x:c r="AH2157" s="9" t="n">
        <x:f>IF(F2157&gt;=1,1,(1+v01_LowTiesShare*(AE2157-1))/AE2157)</x:f>
        <x:v>1</x:v>
      </x:c>
      <x:c r="AI2157" s="32" t="n">
        <x:f>(Z2157+v01_ElderCommons*INDEX(LM_Elder,G2157)*AA2157)*AH2157</x:f>
        <x:v>64139.732591141874</x:v>
      </x:c>
      <x:c r="AJ2157" s="32" t="n">
        <x:f>H2157*v01_CommonsCoef*AI2157^v01_CommonsExp*INDEX(LM_Commons,G2157)</x:f>
        <x:v>0</x:v>
      </x:c>
      <x:c r="AK2157" s="32" t="n">
        <x:f>H2157*v01_RoleScale*Arch_Roles*(AE2157*(INDEX(v01_ElderRolePerSett,G2157)*v01_OutElder*INDEX(LM_Elder,G2157)+INDEX(v01_ShamanPerSett,G2157)*v01_OutShaman)+Z2157*(INDEX(v01_PriestShare,G2157)*v01_OutPriest+INDEX(v01_ScribeShare,G2157)*v01_OutScribe*INDEX(LM_Scribe,G2157)+INDEX(v01_ScholarShare,G2157)*v01_OutScholar*INDEX(LM_Scholar,G2157)+INDEX(v01_ResearcherShare,G2157)*v01_OutResearcher*INDEX(LM_Researcher,G2157)))</x:f>
        <x:v>0</x:v>
      </x:c>
      <x:c r="AL2157" s="32" t="n">
        <x:f>H2157*v01_RoleScale*Arch_Roles*AE2157*INDEX(v01_MonasteryPerSett,G2157)*v01_OutMonastery*INDEX(LM_Monastery,G2157)</x:f>
        <x:v>0</x:v>
      </x:c>
      <x:c r="AM2157" s="32" t="n">
        <x:f>(AJ2157+AK2157+AL2157)/4*INDEX(LM_All,G2157)*INDEX(v01_Boon,G2157)*Arch_Insight</x:f>
        <x:v>0</x:v>
      </x:c>
      <x:c r="AN2157" s="32" t="n">
        <x:f>H2157*(v01_KHPerAdult*Z2157+v01_KHOfCommons*AJ2157/4*INDEX(LM_All,G2157))*v01_KHUsable*Arch_KH</x:f>
        <x:v>0</x:v>
      </x:c>
      <x:c r="AO2157" s="32" t="n">
        <x:f>MIN(AP2156+AN2157,AM2157*v01_KHMaxRatio)</x:f>
        <x:v>0</x:v>
      </x:c>
      <x:c r="AP2157" s="32" t="n">
        <x:f>AP2156+AN2157-AO2157</x:f>
        <x:v>0</x:v>
      </x:c>
      <x:c r="AQ2157" s="32" t="n">
        <x:f>AM2157+AO2157</x:f>
        <x:v>0</x:v>
      </x:c>
      <x:c r="AR2157" s="10" t="n">
        <x:f>IF(H2157=1,INDEX(v01_Req,G2157),0)</x:f>
        <x:v>0</x:v>
      </x:c>
      <x:c r="AS2157" s="32" t="n">
        <x:f>IF(H2157=1,IF(E2157=1,AS2156-AR2156,AS2156)+AQ2157,0)</x:f>
        <x:v>0</x:v>
      </x:c>
      <x:c r="AT2157" s="11" t="n">
        <x:f>IF(AR2157&gt;0,MIN(1,AS2157/AR2157),1)</x:f>
        <x:v>1</x:v>
      </x:c>
      <x:c r="AU2157" s="10" t="n">
        <x:f>AB2157/INDEX(v01_RepScale,G2157)</x:f>
        <x:v>90.09519605746344</x:v>
      </x:c>
      <x:c r="AV2157" s="32" t="n">
        <x:f>AM2157*60/v01_SeasonSeconds</x:f>
        <x:v>0</x:v>
      </x:c>
    </x:row>
    <x:row r="2158">
      <x:c r="A2158" s="8" t="n">
        <x:f>A2157+1</x:f>
        <x:v>2155</x:v>
      </x:c>
      <x:c r="B2158" s="9" t="n">
        <x:f>A2158*v01_SeasonSeconds/60</x:f>
        <x:v>538.75</x:v>
      </x:c>
      <x:c r="C2158" s="9" t="n">
        <x:f>A2158/4</x:f>
        <x:v>538.75</x:v>
      </x:c>
      <x:c r="D2158" s="8" t="n">
        <x:f>IF(MOD(A2158,4)=0,1,0)</x:f>
        <x:v>0</x:v>
      </x:c>
      <x:c r="E2158" s="8" t="n">
        <x:f>IF(AND(F2157&lt;=9,AS2157&gt;=AR2157),1,0)</x:f>
        <x:v>0</x:v>
      </x:c>
      <x:c r="F2158" s="8" t="n">
        <x:f>MIN(10,F2157+E2158)</x:f>
        <x:v>10</x:v>
      </x:c>
      <x:c r="G2158" s="8" t="n">
        <x:f>MIN(F2158,9)+1</x:f>
        <x:v>10</x:v>
      </x:c>
      <x:c r="H2158" s="8" t="n">
        <x:f>IF(F2158&lt;=9,1,0)</x:f>
        <x:v>0</x:v>
      </x:c>
      <x:c r="I2158" s="9" t="n">
        <x:f>MIN(10,F2157+IF(AR2157&gt;0,MIN(1,AS2157/AR2157),1))</x:f>
        <x:v>10</x:v>
      </x:c>
      <x:c r="J2158" s="32" t="n">
        <x:f>INDEX(v01_FoodCap,G2158)*Arch_FoodCap*EXP(v01_CapsByProject*SUMPRODUCT((Cap_Point&lt;=I2158)*(Cap_Kind="Food")*Cap_Ln))</x:f>
        <x:v>12000</x:v>
      </x:c>
      <x:c r="K2158" s="32" t="n">
        <x:f>J2158*MIN(1,v01_LeanBase*EXP(v01_CapsByProject*SUMPRODUCT((Cap_Point&lt;=I2158)*(Cap_Kind="Lean")*Cap_Ln)))</x:f>
        <x:v>12000</x:v>
      </x:c>
      <x:c r="L2158" s="10" t="n">
        <x:f>INDEX(v01_HousingCap,G2158)*EXP(v01_CapsByProject*SUMPRODUCT((Cap_Point&lt;=I2158)*(Cap_Kind="Housing")*Cap_Ln))</x:f>
        <x:v>20000</x:v>
      </x:c>
      <x:c r="M2158" s="10" t="n">
        <x:f>INDEX(v01_GroupCap,G2158)*v01_CohesionFactor*EXP(v01_CapsByProject*SUMPRODUCT((Cap_Point&lt;=I2158)*(Cap_Kind="Group")*Cap_Ln))</x:f>
        <x:v>1000000</x:v>
      </x:c>
      <x:c r="N2158" s="32" t="n">
        <x:f>MIN(J2158,L2158,M2158)</x:f>
        <x:v>12000</x:v>
      </x:c>
      <x:c r="O2158" s="10" t="n">
        <x:f>AE2157*N2158</x:f>
        <x:v>180000</x:v>
      </x:c>
      <x:c r="P2158" s="9" t="n">
        <x:f>MIN(1,(AB2157/(AE2157*IF(v01_GroupInCrowding=1,N2158,MIN(J2158,L2158))))^v01_CrowdingExp)</x:f>
        <x:v>0.00024569414295285325</x:v>
      </x:c>
      <x:c r="Q2158" s="9" t="n">
        <x:f>IF(D2158=1,INDEX(v01_WinterMult,G2158),1)</x:f>
        <x:v>1</x:v>
      </x:c>
      <x:c r="R2158" s="9" t="n">
        <x:f>H2158*Z2157*v01_WomenShare*v01_BaseFertility*INDEX(v01_FertMult,G2158)*Arch_Fertility*(1-P2158)</x:f>
        <x:v>0</x:v>
      </x:c>
      <x:c r="S2158" s="9" t="n">
        <x:f>H2158*Y2157*INDEX(v01_MortChild,G2158)/4*Q2158</x:f>
        <x:v>0</x:v>
      </x:c>
      <x:c r="T2158" s="9" t="n">
        <x:f>H2158*Z2157*INDEX(v01_MortAdult,G2158)*Arch_AdultMort/4*Q2158</x:f>
        <x:v>0</x:v>
      </x:c>
      <x:c r="U2158" s="9" t="n">
        <x:f>H2158*AA2157*INDEX(v01_MortElder,G2158)/4*Q2158</x:f>
        <x:v>0</x:v>
      </x:c>
      <x:c r="V2158" s="9" t="n">
        <x:f>H2158*MAX(0,AB2157-O2158)*v01_OvercapLoss</x:f>
        <x:v>0</x:v>
      </x:c>
      <x:c r="W2158" s="9" t="n">
        <x:f>H2158*Y2157/(v01_ChildYears*4)</x:f>
        <x:v>0</x:v>
      </x:c>
      <x:c r="X2158" s="9" t="n">
        <x:f>H2158*Z2157/(v01_AdultYears*4)</x:f>
        <x:v>0</x:v>
      </x:c>
      <x:c r="Y2158" s="32" t="n">
        <x:f>Y2157+R2158-S2158-W2158-Y2157*V2158/AB2157</x:f>
        <x:v>14306.18539759397</x:v>
      </x:c>
      <x:c r="Z2158" s="32" t="n">
        <x:f>Z2157+W2158-X2158-T2158-Z2157*V2158/AB2157</x:f>
        <x:v>19354.456567879548</x:v>
      </x:c>
      <x:c r="AA2158" s="32" t="n">
        <x:f>AA2157+X2158-U2158-AA2157*V2158/AB2157</x:f>
        <x:v>11386.956063258198</x:v>
      </x:c>
      <x:c r="AB2158" s="10" t="n">
        <x:f>Y2158+Z2158+AA2158</x:f>
        <x:v>45047.59802873172</x:v>
      </x:c>
      <x:c r="AC2158" s="8" t="n">
        <x:f>IF(AND(v01_WinterTrigger=1,D2158=1,AB2157/AE2157&gt;=K2158),1,0)</x:f>
        <x:v>0</x:v>
      </x:c>
      <x:c r="AD2158" s="8" t="n">
        <x:f>H2158*IF(AND(OR(AB2157/AE2157&gt;=v01_FissionTrigger*N2158,AC2158=1),AB2157/AE2157*v01_DaughterShare&gt;=v01_MinDaughter),MAX(1,ROUND(AE2157*v01_FissionRate,0)),0)</x:f>
        <x:v>0</x:v>
      </x:c>
      <x:c r="AE2158" s="8" t="n">
        <x:f>IF(H2158=1,MAX(1,MIN(INDEX(v01_Smax,G2158),AE2157+AD2158)),AE2157)</x:f>
        <x:v>15</x:v>
      </x:c>
      <x:c r="AF2158" s="8" t="n">
        <x:f>MAX(0,AE2158-AE2157)</x:f>
        <x:v>0</x:v>
      </x:c>
      <x:c r="AG2158" s="9" t="str">
        <x:f>IF(AF2158&gt;0,B2158,"")</x:f>
      </x:c>
      <x:c r="AH2158" s="9" t="n">
        <x:f>IF(F2158&gt;=1,1,(1+v01_LowTiesShare*(AE2158-1))/AE2158)</x:f>
        <x:v>1</x:v>
      </x:c>
      <x:c r="AI2158" s="32" t="n">
        <x:f>(Z2158+v01_ElderCommons*INDEX(LM_Elder,G2158)*AA2158)*AH2158</x:f>
        <x:v>64139.732591141874</x:v>
      </x:c>
      <x:c r="AJ2158" s="32" t="n">
        <x:f>H2158*v01_CommonsCoef*AI2158^v01_CommonsExp*INDEX(LM_Commons,G2158)</x:f>
        <x:v>0</x:v>
      </x:c>
      <x:c r="AK2158" s="32" t="n">
        <x:f>H2158*v01_RoleScale*Arch_Roles*(AE2158*(INDEX(v01_ElderRolePerSett,G2158)*v01_OutElder*INDEX(LM_Elder,G2158)+INDEX(v01_ShamanPerSett,G2158)*v01_OutShaman)+Z2158*(INDEX(v01_PriestShare,G2158)*v01_OutPriest+INDEX(v01_ScribeShare,G2158)*v01_OutScribe*INDEX(LM_Scribe,G2158)+INDEX(v01_ScholarShare,G2158)*v01_OutScholar*INDEX(LM_Scholar,G2158)+INDEX(v01_ResearcherShare,G2158)*v01_OutResearcher*INDEX(LM_Researcher,G2158)))</x:f>
        <x:v>0</x:v>
      </x:c>
      <x:c r="AL2158" s="32" t="n">
        <x:f>H2158*v01_RoleScale*Arch_Roles*AE2158*INDEX(v01_MonasteryPerSett,G2158)*v01_OutMonastery*INDEX(LM_Monastery,G2158)</x:f>
        <x:v>0</x:v>
      </x:c>
      <x:c r="AM2158" s="32" t="n">
        <x:f>(AJ2158+AK2158+AL2158)/4*INDEX(LM_All,G2158)*INDEX(v01_Boon,G2158)*Arch_Insight</x:f>
        <x:v>0</x:v>
      </x:c>
      <x:c r="AN2158" s="32" t="n">
        <x:f>H2158*(v01_KHPerAdult*Z2158+v01_KHOfCommons*AJ2158/4*INDEX(LM_All,G2158))*v01_KHUsable*Arch_KH</x:f>
        <x:v>0</x:v>
      </x:c>
      <x:c r="AO2158" s="32" t="n">
        <x:f>MIN(AP2157+AN2158,AM2158*v01_KHMaxRatio)</x:f>
        <x:v>0</x:v>
      </x:c>
      <x:c r="AP2158" s="32" t="n">
        <x:f>AP2157+AN2158-AO2158</x:f>
        <x:v>0</x:v>
      </x:c>
      <x:c r="AQ2158" s="32" t="n">
        <x:f>AM2158+AO2158</x:f>
        <x:v>0</x:v>
      </x:c>
      <x:c r="AR2158" s="10" t="n">
        <x:f>IF(H2158=1,INDEX(v01_Req,G2158),0)</x:f>
        <x:v>0</x:v>
      </x:c>
      <x:c r="AS2158" s="32" t="n">
        <x:f>IF(H2158=1,IF(E2158=1,AS2157-AR2157,AS2157)+AQ2158,0)</x:f>
        <x:v>0</x:v>
      </x:c>
      <x:c r="AT2158" s="11" t="n">
        <x:f>IF(AR2158&gt;0,MIN(1,AS2158/AR2158),1)</x:f>
        <x:v>1</x:v>
      </x:c>
      <x:c r="AU2158" s="10" t="n">
        <x:f>AB2158/INDEX(v01_RepScale,G2158)</x:f>
        <x:v>90.09519605746344</x:v>
      </x:c>
      <x:c r="AV2158" s="32" t="n">
        <x:f>AM2158*60/v01_SeasonSeconds</x:f>
        <x:v>0</x:v>
      </x:c>
    </x:row>
    <x:row r="2159">
      <x:c r="A2159" s="8" t="n">
        <x:f>A2158+1</x:f>
        <x:v>2156</x:v>
      </x:c>
      <x:c r="B2159" s="9" t="n">
        <x:f>A2159*v01_SeasonSeconds/60</x:f>
        <x:v>539</x:v>
      </x:c>
      <x:c r="C2159" s="9" t="n">
        <x:f>A2159/4</x:f>
        <x:v>539</x:v>
      </x:c>
      <x:c r="D2159" s="8" t="n">
        <x:f>IF(MOD(A2159,4)=0,1,0)</x:f>
        <x:v>1</x:v>
      </x:c>
      <x:c r="E2159" s="8" t="n">
        <x:f>IF(AND(F2158&lt;=9,AS2158&gt;=AR2158),1,0)</x:f>
        <x:v>0</x:v>
      </x:c>
      <x:c r="F2159" s="8" t="n">
        <x:f>MIN(10,F2158+E2159)</x:f>
        <x:v>10</x:v>
      </x:c>
      <x:c r="G2159" s="8" t="n">
        <x:f>MIN(F2159,9)+1</x:f>
        <x:v>10</x:v>
      </x:c>
      <x:c r="H2159" s="8" t="n">
        <x:f>IF(F2159&lt;=9,1,0)</x:f>
        <x:v>0</x:v>
      </x:c>
      <x:c r="I2159" s="9" t="n">
        <x:f>MIN(10,F2158+IF(AR2158&gt;0,MIN(1,AS2158/AR2158),1))</x:f>
        <x:v>10</x:v>
      </x:c>
      <x:c r="J2159" s="32" t="n">
        <x:f>INDEX(v01_FoodCap,G2159)*Arch_FoodCap*EXP(v01_CapsByProject*SUMPRODUCT((Cap_Point&lt;=I2159)*(Cap_Kind="Food")*Cap_Ln))</x:f>
        <x:v>12000</x:v>
      </x:c>
      <x:c r="K2159" s="32" t="n">
        <x:f>J2159*MIN(1,v01_LeanBase*EXP(v01_CapsByProject*SUMPRODUCT((Cap_Point&lt;=I2159)*(Cap_Kind="Lean")*Cap_Ln)))</x:f>
        <x:v>12000</x:v>
      </x:c>
      <x:c r="L2159" s="10" t="n">
        <x:f>INDEX(v01_HousingCap,G2159)*EXP(v01_CapsByProject*SUMPRODUCT((Cap_Point&lt;=I2159)*(Cap_Kind="Housing")*Cap_Ln))</x:f>
        <x:v>20000</x:v>
      </x:c>
      <x:c r="M2159" s="10" t="n">
        <x:f>INDEX(v01_GroupCap,G2159)*v01_CohesionFactor*EXP(v01_CapsByProject*SUMPRODUCT((Cap_Point&lt;=I2159)*(Cap_Kind="Group")*Cap_Ln))</x:f>
        <x:v>1000000</x:v>
      </x:c>
      <x:c r="N2159" s="32" t="n">
        <x:f>MIN(J2159,L2159,M2159)</x:f>
        <x:v>12000</x:v>
      </x:c>
      <x:c r="O2159" s="10" t="n">
        <x:f>AE2158*N2159</x:f>
        <x:v>180000</x:v>
      </x:c>
      <x:c r="P2159" s="9" t="n">
        <x:f>MIN(1,(AB2158/(AE2158*IF(v01_GroupInCrowding=1,N2159,MIN(J2159,L2159))))^v01_CrowdingExp)</x:f>
        <x:v>0.00024569414295285325</x:v>
      </x:c>
      <x:c r="Q2159" s="9" t="n">
        <x:f>IF(D2159=1,INDEX(v01_WinterMult,G2159),1)</x:f>
        <x:v>1</x:v>
      </x:c>
      <x:c r="R2159" s="9" t="n">
        <x:f>H2159*Z2158*v01_WomenShare*v01_BaseFertility*INDEX(v01_FertMult,G2159)*Arch_Fertility*(1-P2159)</x:f>
        <x:v>0</x:v>
      </x:c>
      <x:c r="S2159" s="9" t="n">
        <x:f>H2159*Y2158*INDEX(v01_MortChild,G2159)/4*Q2159</x:f>
        <x:v>0</x:v>
      </x:c>
      <x:c r="T2159" s="9" t="n">
        <x:f>H2159*Z2158*INDEX(v01_MortAdult,G2159)*Arch_AdultMort/4*Q2159</x:f>
        <x:v>0</x:v>
      </x:c>
      <x:c r="U2159" s="9" t="n">
        <x:f>H2159*AA2158*INDEX(v01_MortElder,G2159)/4*Q2159</x:f>
        <x:v>0</x:v>
      </x:c>
      <x:c r="V2159" s="9" t="n">
        <x:f>H2159*MAX(0,AB2158-O2159)*v01_OvercapLoss</x:f>
        <x:v>0</x:v>
      </x:c>
      <x:c r="W2159" s="9" t="n">
        <x:f>H2159*Y2158/(v01_ChildYears*4)</x:f>
        <x:v>0</x:v>
      </x:c>
      <x:c r="X2159" s="9" t="n">
        <x:f>H2159*Z2158/(v01_AdultYears*4)</x:f>
        <x:v>0</x:v>
      </x:c>
      <x:c r="Y2159" s="32" t="n">
        <x:f>Y2158+R2159-S2159-W2159-Y2158*V2159/AB2158</x:f>
        <x:v>14306.18539759397</x:v>
      </x:c>
      <x:c r="Z2159" s="32" t="n">
        <x:f>Z2158+W2159-X2159-T2159-Z2158*V2159/AB2158</x:f>
        <x:v>19354.456567879548</x:v>
      </x:c>
      <x:c r="AA2159" s="32" t="n">
        <x:f>AA2158+X2159-U2159-AA2158*V2159/AB2158</x:f>
        <x:v>11386.956063258198</x:v>
      </x:c>
      <x:c r="AB2159" s="10" t="n">
        <x:f>Y2159+Z2159+AA2159</x:f>
        <x:v>45047.59802873172</x:v>
      </x:c>
      <x:c r="AC2159" s="8" t="n">
        <x:f>IF(AND(v01_WinterTrigger=1,D2159=1,AB2158/AE2158&gt;=K2159),1,0)</x:f>
        <x:v>0</x:v>
      </x:c>
      <x:c r="AD2159" s="8" t="n">
        <x:f>H2159*IF(AND(OR(AB2158/AE2158&gt;=v01_FissionTrigger*N2159,AC2159=1),AB2158/AE2158*v01_DaughterShare&gt;=v01_MinDaughter),MAX(1,ROUND(AE2158*v01_FissionRate,0)),0)</x:f>
        <x:v>0</x:v>
      </x:c>
      <x:c r="AE2159" s="8" t="n">
        <x:f>IF(H2159=1,MAX(1,MIN(INDEX(v01_Smax,G2159),AE2158+AD2159)),AE2158)</x:f>
        <x:v>15</x:v>
      </x:c>
      <x:c r="AF2159" s="8" t="n">
        <x:f>MAX(0,AE2159-AE2158)</x:f>
        <x:v>0</x:v>
      </x:c>
      <x:c r="AG2159" s="9" t="str">
        <x:f>IF(AF2159&gt;0,B2159,"")</x:f>
      </x:c>
      <x:c r="AH2159" s="9" t="n">
        <x:f>IF(F2159&gt;=1,1,(1+v01_LowTiesShare*(AE2159-1))/AE2159)</x:f>
        <x:v>1</x:v>
      </x:c>
      <x:c r="AI2159" s="32" t="n">
        <x:f>(Z2159+v01_ElderCommons*INDEX(LM_Elder,G2159)*AA2159)*AH2159</x:f>
        <x:v>64139.732591141874</x:v>
      </x:c>
      <x:c r="AJ2159" s="32" t="n">
        <x:f>H2159*v01_CommonsCoef*AI2159^v01_CommonsExp*INDEX(LM_Commons,G2159)</x:f>
        <x:v>0</x:v>
      </x:c>
      <x:c r="AK2159" s="32" t="n">
        <x:f>H2159*v01_RoleScale*Arch_Roles*(AE2159*(INDEX(v01_ElderRolePerSett,G2159)*v01_OutElder*INDEX(LM_Elder,G2159)+INDEX(v01_ShamanPerSett,G2159)*v01_OutShaman)+Z2159*(INDEX(v01_PriestShare,G2159)*v01_OutPriest+INDEX(v01_ScribeShare,G2159)*v01_OutScribe*INDEX(LM_Scribe,G2159)+INDEX(v01_ScholarShare,G2159)*v01_OutScholar*INDEX(LM_Scholar,G2159)+INDEX(v01_ResearcherShare,G2159)*v01_OutResearcher*INDEX(LM_Researcher,G2159)))</x:f>
        <x:v>0</x:v>
      </x:c>
      <x:c r="AL2159" s="32" t="n">
        <x:f>H2159*v01_RoleScale*Arch_Roles*AE2159*INDEX(v01_MonasteryPerSett,G2159)*v01_OutMonastery*INDEX(LM_Monastery,G2159)</x:f>
        <x:v>0</x:v>
      </x:c>
      <x:c r="AM2159" s="32" t="n">
        <x:f>(AJ2159+AK2159+AL2159)/4*INDEX(LM_All,G2159)*INDEX(v01_Boon,G2159)*Arch_Insight</x:f>
        <x:v>0</x:v>
      </x:c>
      <x:c r="AN2159" s="32" t="n">
        <x:f>H2159*(v01_KHPerAdult*Z2159+v01_KHOfCommons*AJ2159/4*INDEX(LM_All,G2159))*v01_KHUsable*Arch_KH</x:f>
        <x:v>0</x:v>
      </x:c>
      <x:c r="AO2159" s="32" t="n">
        <x:f>MIN(AP2158+AN2159,AM2159*v01_KHMaxRatio)</x:f>
        <x:v>0</x:v>
      </x:c>
      <x:c r="AP2159" s="32" t="n">
        <x:f>AP2158+AN2159-AO2159</x:f>
        <x:v>0</x:v>
      </x:c>
      <x:c r="AQ2159" s="32" t="n">
        <x:f>AM2159+AO2159</x:f>
        <x:v>0</x:v>
      </x:c>
      <x:c r="AR2159" s="10" t="n">
        <x:f>IF(H2159=1,INDEX(v01_Req,G2159),0)</x:f>
        <x:v>0</x:v>
      </x:c>
      <x:c r="AS2159" s="32" t="n">
        <x:f>IF(H2159=1,IF(E2159=1,AS2158-AR2158,AS2158)+AQ2159,0)</x:f>
        <x:v>0</x:v>
      </x:c>
      <x:c r="AT2159" s="11" t="n">
        <x:f>IF(AR2159&gt;0,MIN(1,AS2159/AR2159),1)</x:f>
        <x:v>1</x:v>
      </x:c>
      <x:c r="AU2159" s="10" t="n">
        <x:f>AB2159/INDEX(v01_RepScale,G2159)</x:f>
        <x:v>90.09519605746344</x:v>
      </x:c>
      <x:c r="AV2159" s="32" t="n">
        <x:f>AM2159*60/v01_SeasonSeconds</x:f>
        <x:v>0</x:v>
      </x:c>
    </x:row>
    <x:row r="2160">
      <x:c r="A2160" s="8" t="n">
        <x:f>A2159+1</x:f>
        <x:v>2157</x:v>
      </x:c>
      <x:c r="B2160" s="9" t="n">
        <x:f>A2160*v01_SeasonSeconds/60</x:f>
        <x:v>539.25</x:v>
      </x:c>
      <x:c r="C2160" s="9" t="n">
        <x:f>A2160/4</x:f>
        <x:v>539.25</x:v>
      </x:c>
      <x:c r="D2160" s="8" t="n">
        <x:f>IF(MOD(A2160,4)=0,1,0)</x:f>
        <x:v>0</x:v>
      </x:c>
      <x:c r="E2160" s="8" t="n">
        <x:f>IF(AND(F2159&lt;=9,AS2159&gt;=AR2159),1,0)</x:f>
        <x:v>0</x:v>
      </x:c>
      <x:c r="F2160" s="8" t="n">
        <x:f>MIN(10,F2159+E2160)</x:f>
        <x:v>10</x:v>
      </x:c>
      <x:c r="G2160" s="8" t="n">
        <x:f>MIN(F2160,9)+1</x:f>
        <x:v>10</x:v>
      </x:c>
      <x:c r="H2160" s="8" t="n">
        <x:f>IF(F2160&lt;=9,1,0)</x:f>
        <x:v>0</x:v>
      </x:c>
      <x:c r="I2160" s="9" t="n">
        <x:f>MIN(10,F2159+IF(AR2159&gt;0,MIN(1,AS2159/AR2159),1))</x:f>
        <x:v>10</x:v>
      </x:c>
      <x:c r="J2160" s="32" t="n">
        <x:f>INDEX(v01_FoodCap,G2160)*Arch_FoodCap*EXP(v01_CapsByProject*SUMPRODUCT((Cap_Point&lt;=I2160)*(Cap_Kind="Food")*Cap_Ln))</x:f>
        <x:v>12000</x:v>
      </x:c>
      <x:c r="K2160" s="32" t="n">
        <x:f>J2160*MIN(1,v01_LeanBase*EXP(v01_CapsByProject*SUMPRODUCT((Cap_Point&lt;=I2160)*(Cap_Kind="Lean")*Cap_Ln)))</x:f>
        <x:v>12000</x:v>
      </x:c>
      <x:c r="L2160" s="10" t="n">
        <x:f>INDEX(v01_HousingCap,G2160)*EXP(v01_CapsByProject*SUMPRODUCT((Cap_Point&lt;=I2160)*(Cap_Kind="Housing")*Cap_Ln))</x:f>
        <x:v>20000</x:v>
      </x:c>
      <x:c r="M2160" s="10" t="n">
        <x:f>INDEX(v01_GroupCap,G2160)*v01_CohesionFactor*EXP(v01_CapsByProject*SUMPRODUCT((Cap_Point&lt;=I2160)*(Cap_Kind="Group")*Cap_Ln))</x:f>
        <x:v>1000000</x:v>
      </x:c>
      <x:c r="N2160" s="32" t="n">
        <x:f>MIN(J2160,L2160,M2160)</x:f>
        <x:v>12000</x:v>
      </x:c>
      <x:c r="O2160" s="10" t="n">
        <x:f>AE2159*N2160</x:f>
        <x:v>180000</x:v>
      </x:c>
      <x:c r="P2160" s="9" t="n">
        <x:f>MIN(1,(AB2159/(AE2159*IF(v01_GroupInCrowding=1,N2160,MIN(J2160,L2160))))^v01_CrowdingExp)</x:f>
        <x:v>0.00024569414295285325</x:v>
      </x:c>
      <x:c r="Q2160" s="9" t="n">
        <x:f>IF(D2160=1,INDEX(v01_WinterMult,G2160),1)</x:f>
        <x:v>1</x:v>
      </x:c>
      <x:c r="R2160" s="9" t="n">
        <x:f>H2160*Z2159*v01_WomenShare*v01_BaseFertility*INDEX(v01_FertMult,G2160)*Arch_Fertility*(1-P2160)</x:f>
        <x:v>0</x:v>
      </x:c>
      <x:c r="S2160" s="9" t="n">
        <x:f>H2160*Y2159*INDEX(v01_MortChild,G2160)/4*Q2160</x:f>
        <x:v>0</x:v>
      </x:c>
      <x:c r="T2160" s="9" t="n">
        <x:f>H2160*Z2159*INDEX(v01_MortAdult,G2160)*Arch_AdultMort/4*Q2160</x:f>
        <x:v>0</x:v>
      </x:c>
      <x:c r="U2160" s="9" t="n">
        <x:f>H2160*AA2159*INDEX(v01_MortElder,G2160)/4*Q2160</x:f>
        <x:v>0</x:v>
      </x:c>
      <x:c r="V2160" s="9" t="n">
        <x:f>H2160*MAX(0,AB2159-O2160)*v01_OvercapLoss</x:f>
        <x:v>0</x:v>
      </x:c>
      <x:c r="W2160" s="9" t="n">
        <x:f>H2160*Y2159/(v01_ChildYears*4)</x:f>
        <x:v>0</x:v>
      </x:c>
      <x:c r="X2160" s="9" t="n">
        <x:f>H2160*Z2159/(v01_AdultYears*4)</x:f>
        <x:v>0</x:v>
      </x:c>
      <x:c r="Y2160" s="32" t="n">
        <x:f>Y2159+R2160-S2160-W2160-Y2159*V2160/AB2159</x:f>
        <x:v>14306.18539759397</x:v>
      </x:c>
      <x:c r="Z2160" s="32" t="n">
        <x:f>Z2159+W2160-X2160-T2160-Z2159*V2160/AB2159</x:f>
        <x:v>19354.456567879548</x:v>
      </x:c>
      <x:c r="AA2160" s="32" t="n">
        <x:f>AA2159+X2160-U2160-AA2159*V2160/AB2159</x:f>
        <x:v>11386.956063258198</x:v>
      </x:c>
      <x:c r="AB2160" s="10" t="n">
        <x:f>Y2160+Z2160+AA2160</x:f>
        <x:v>45047.59802873172</x:v>
      </x:c>
      <x:c r="AC2160" s="8" t="n">
        <x:f>IF(AND(v01_WinterTrigger=1,D2160=1,AB2159/AE2159&gt;=K2160),1,0)</x:f>
        <x:v>0</x:v>
      </x:c>
      <x:c r="AD2160" s="8" t="n">
        <x:f>H2160*IF(AND(OR(AB2159/AE2159&gt;=v01_FissionTrigger*N2160,AC2160=1),AB2159/AE2159*v01_DaughterShare&gt;=v01_MinDaughter),MAX(1,ROUND(AE2159*v01_FissionRate,0)),0)</x:f>
        <x:v>0</x:v>
      </x:c>
      <x:c r="AE2160" s="8" t="n">
        <x:f>IF(H2160=1,MAX(1,MIN(INDEX(v01_Smax,G2160),AE2159+AD2160)),AE2159)</x:f>
        <x:v>15</x:v>
      </x:c>
      <x:c r="AF2160" s="8" t="n">
        <x:f>MAX(0,AE2160-AE2159)</x:f>
        <x:v>0</x:v>
      </x:c>
      <x:c r="AG2160" s="9" t="str">
        <x:f>IF(AF2160&gt;0,B2160,"")</x:f>
      </x:c>
      <x:c r="AH2160" s="9" t="n">
        <x:f>IF(F2160&gt;=1,1,(1+v01_LowTiesShare*(AE2160-1))/AE2160)</x:f>
        <x:v>1</x:v>
      </x:c>
      <x:c r="AI2160" s="32" t="n">
        <x:f>(Z2160+v01_ElderCommons*INDEX(LM_Elder,G2160)*AA2160)*AH2160</x:f>
        <x:v>64139.732591141874</x:v>
      </x:c>
      <x:c r="AJ2160" s="32" t="n">
        <x:f>H2160*v01_CommonsCoef*AI2160^v01_CommonsExp*INDEX(LM_Commons,G2160)</x:f>
        <x:v>0</x:v>
      </x:c>
      <x:c r="AK2160" s="32" t="n">
        <x:f>H2160*v01_RoleScale*Arch_Roles*(AE2160*(INDEX(v01_ElderRolePerSett,G2160)*v01_OutElder*INDEX(LM_Elder,G2160)+INDEX(v01_ShamanPerSett,G2160)*v01_OutShaman)+Z2160*(INDEX(v01_PriestShare,G2160)*v01_OutPriest+INDEX(v01_ScribeShare,G2160)*v01_OutScribe*INDEX(LM_Scribe,G2160)+INDEX(v01_ScholarShare,G2160)*v01_OutScholar*INDEX(LM_Scholar,G2160)+INDEX(v01_ResearcherShare,G2160)*v01_OutResearcher*INDEX(LM_Researcher,G2160)))</x:f>
        <x:v>0</x:v>
      </x:c>
      <x:c r="AL2160" s="32" t="n">
        <x:f>H2160*v01_RoleScale*Arch_Roles*AE2160*INDEX(v01_MonasteryPerSett,G2160)*v01_OutMonastery*INDEX(LM_Monastery,G2160)</x:f>
        <x:v>0</x:v>
      </x:c>
      <x:c r="AM2160" s="32" t="n">
        <x:f>(AJ2160+AK2160+AL2160)/4*INDEX(LM_All,G2160)*INDEX(v01_Boon,G2160)*Arch_Insight</x:f>
        <x:v>0</x:v>
      </x:c>
      <x:c r="AN2160" s="32" t="n">
        <x:f>H2160*(v01_KHPerAdult*Z2160+v01_KHOfCommons*AJ2160/4*INDEX(LM_All,G2160))*v01_KHUsable*Arch_KH</x:f>
        <x:v>0</x:v>
      </x:c>
      <x:c r="AO2160" s="32" t="n">
        <x:f>MIN(AP2159+AN2160,AM2160*v01_KHMaxRatio)</x:f>
        <x:v>0</x:v>
      </x:c>
      <x:c r="AP2160" s="32" t="n">
        <x:f>AP2159+AN2160-AO2160</x:f>
        <x:v>0</x:v>
      </x:c>
      <x:c r="AQ2160" s="32" t="n">
        <x:f>AM2160+AO2160</x:f>
        <x:v>0</x:v>
      </x:c>
      <x:c r="AR2160" s="10" t="n">
        <x:f>IF(H2160=1,INDEX(v01_Req,G2160),0)</x:f>
        <x:v>0</x:v>
      </x:c>
      <x:c r="AS2160" s="32" t="n">
        <x:f>IF(H2160=1,IF(E2160=1,AS2159-AR2159,AS2159)+AQ2160,0)</x:f>
        <x:v>0</x:v>
      </x:c>
      <x:c r="AT2160" s="11" t="n">
        <x:f>IF(AR2160&gt;0,MIN(1,AS2160/AR2160),1)</x:f>
        <x:v>1</x:v>
      </x:c>
      <x:c r="AU2160" s="10" t="n">
        <x:f>AB2160/INDEX(v01_RepScale,G2160)</x:f>
        <x:v>90.09519605746344</x:v>
      </x:c>
      <x:c r="AV2160" s="32" t="n">
        <x:f>AM2160*60/v01_SeasonSeconds</x:f>
        <x:v>0</x:v>
      </x:c>
    </x:row>
    <x:row r="2161">
      <x:c r="A2161" s="8" t="n">
        <x:f>A2160+1</x:f>
        <x:v>2158</x:v>
      </x:c>
      <x:c r="B2161" s="9" t="n">
        <x:f>A2161*v01_SeasonSeconds/60</x:f>
        <x:v>539.5</x:v>
      </x:c>
      <x:c r="C2161" s="9" t="n">
        <x:f>A2161/4</x:f>
        <x:v>539.5</x:v>
      </x:c>
      <x:c r="D2161" s="8" t="n">
        <x:f>IF(MOD(A2161,4)=0,1,0)</x:f>
        <x:v>0</x:v>
      </x:c>
      <x:c r="E2161" s="8" t="n">
        <x:f>IF(AND(F2160&lt;=9,AS2160&gt;=AR2160),1,0)</x:f>
        <x:v>0</x:v>
      </x:c>
      <x:c r="F2161" s="8" t="n">
        <x:f>MIN(10,F2160+E2161)</x:f>
        <x:v>10</x:v>
      </x:c>
      <x:c r="G2161" s="8" t="n">
        <x:f>MIN(F2161,9)+1</x:f>
        <x:v>10</x:v>
      </x:c>
      <x:c r="H2161" s="8" t="n">
        <x:f>IF(F2161&lt;=9,1,0)</x:f>
        <x:v>0</x:v>
      </x:c>
      <x:c r="I2161" s="9" t="n">
        <x:f>MIN(10,F2160+IF(AR2160&gt;0,MIN(1,AS2160/AR2160),1))</x:f>
        <x:v>10</x:v>
      </x:c>
      <x:c r="J2161" s="32" t="n">
        <x:f>INDEX(v01_FoodCap,G2161)*Arch_FoodCap*EXP(v01_CapsByProject*SUMPRODUCT((Cap_Point&lt;=I2161)*(Cap_Kind="Food")*Cap_Ln))</x:f>
        <x:v>12000</x:v>
      </x:c>
      <x:c r="K2161" s="32" t="n">
        <x:f>J2161*MIN(1,v01_LeanBase*EXP(v01_CapsByProject*SUMPRODUCT((Cap_Point&lt;=I2161)*(Cap_Kind="Lean")*Cap_Ln)))</x:f>
        <x:v>12000</x:v>
      </x:c>
      <x:c r="L2161" s="10" t="n">
        <x:f>INDEX(v01_HousingCap,G2161)*EXP(v01_CapsByProject*SUMPRODUCT((Cap_Point&lt;=I2161)*(Cap_Kind="Housing")*Cap_Ln))</x:f>
        <x:v>20000</x:v>
      </x:c>
      <x:c r="M2161" s="10" t="n">
        <x:f>INDEX(v01_GroupCap,G2161)*v01_CohesionFactor*EXP(v01_CapsByProject*SUMPRODUCT((Cap_Point&lt;=I2161)*(Cap_Kind="Group")*Cap_Ln))</x:f>
        <x:v>1000000</x:v>
      </x:c>
      <x:c r="N2161" s="32" t="n">
        <x:f>MIN(J2161,L2161,M2161)</x:f>
        <x:v>12000</x:v>
      </x:c>
      <x:c r="O2161" s="10" t="n">
        <x:f>AE2160*N2161</x:f>
        <x:v>180000</x:v>
      </x:c>
      <x:c r="P2161" s="9" t="n">
        <x:f>MIN(1,(AB2160/(AE2160*IF(v01_GroupInCrowding=1,N2161,MIN(J2161,L2161))))^v01_CrowdingExp)</x:f>
        <x:v>0.00024569414295285325</x:v>
      </x:c>
      <x:c r="Q2161" s="9" t="n">
        <x:f>IF(D2161=1,INDEX(v01_WinterMult,G2161),1)</x:f>
        <x:v>1</x:v>
      </x:c>
      <x:c r="R2161" s="9" t="n">
        <x:f>H2161*Z2160*v01_WomenShare*v01_BaseFertility*INDEX(v01_FertMult,G2161)*Arch_Fertility*(1-P2161)</x:f>
        <x:v>0</x:v>
      </x:c>
      <x:c r="S2161" s="9" t="n">
        <x:f>H2161*Y2160*INDEX(v01_MortChild,G2161)/4*Q2161</x:f>
        <x:v>0</x:v>
      </x:c>
      <x:c r="T2161" s="9" t="n">
        <x:f>H2161*Z2160*INDEX(v01_MortAdult,G2161)*Arch_AdultMort/4*Q2161</x:f>
        <x:v>0</x:v>
      </x:c>
      <x:c r="U2161" s="9" t="n">
        <x:f>H2161*AA2160*INDEX(v01_MortElder,G2161)/4*Q2161</x:f>
        <x:v>0</x:v>
      </x:c>
      <x:c r="V2161" s="9" t="n">
        <x:f>H2161*MAX(0,AB2160-O2161)*v01_OvercapLoss</x:f>
        <x:v>0</x:v>
      </x:c>
      <x:c r="W2161" s="9" t="n">
        <x:f>H2161*Y2160/(v01_ChildYears*4)</x:f>
        <x:v>0</x:v>
      </x:c>
      <x:c r="X2161" s="9" t="n">
        <x:f>H2161*Z2160/(v01_AdultYears*4)</x:f>
        <x:v>0</x:v>
      </x:c>
      <x:c r="Y2161" s="32" t="n">
        <x:f>Y2160+R2161-S2161-W2161-Y2160*V2161/AB2160</x:f>
        <x:v>14306.18539759397</x:v>
      </x:c>
      <x:c r="Z2161" s="32" t="n">
        <x:f>Z2160+W2161-X2161-T2161-Z2160*V2161/AB2160</x:f>
        <x:v>19354.456567879548</x:v>
      </x:c>
      <x:c r="AA2161" s="32" t="n">
        <x:f>AA2160+X2161-U2161-AA2160*V2161/AB2160</x:f>
        <x:v>11386.956063258198</x:v>
      </x:c>
      <x:c r="AB2161" s="10" t="n">
        <x:f>Y2161+Z2161+AA2161</x:f>
        <x:v>45047.59802873172</x:v>
      </x:c>
      <x:c r="AC2161" s="8" t="n">
        <x:f>IF(AND(v01_WinterTrigger=1,D2161=1,AB2160/AE2160&gt;=K2161),1,0)</x:f>
        <x:v>0</x:v>
      </x:c>
      <x:c r="AD2161" s="8" t="n">
        <x:f>H2161*IF(AND(OR(AB2160/AE2160&gt;=v01_FissionTrigger*N2161,AC2161=1),AB2160/AE2160*v01_DaughterShare&gt;=v01_MinDaughter),MAX(1,ROUND(AE2160*v01_FissionRate,0)),0)</x:f>
        <x:v>0</x:v>
      </x:c>
      <x:c r="AE2161" s="8" t="n">
        <x:f>IF(H2161=1,MAX(1,MIN(INDEX(v01_Smax,G2161),AE2160+AD2161)),AE2160)</x:f>
        <x:v>15</x:v>
      </x:c>
      <x:c r="AF2161" s="8" t="n">
        <x:f>MAX(0,AE2161-AE2160)</x:f>
        <x:v>0</x:v>
      </x:c>
      <x:c r="AG2161" s="9" t="str">
        <x:f>IF(AF2161&gt;0,B2161,"")</x:f>
      </x:c>
      <x:c r="AH2161" s="9" t="n">
        <x:f>IF(F2161&gt;=1,1,(1+v01_LowTiesShare*(AE2161-1))/AE2161)</x:f>
        <x:v>1</x:v>
      </x:c>
      <x:c r="AI2161" s="32" t="n">
        <x:f>(Z2161+v01_ElderCommons*INDEX(LM_Elder,G2161)*AA2161)*AH2161</x:f>
        <x:v>64139.732591141874</x:v>
      </x:c>
      <x:c r="AJ2161" s="32" t="n">
        <x:f>H2161*v01_CommonsCoef*AI2161^v01_CommonsExp*INDEX(LM_Commons,G2161)</x:f>
        <x:v>0</x:v>
      </x:c>
      <x:c r="AK2161" s="32" t="n">
        <x:f>H2161*v01_RoleScale*Arch_Roles*(AE2161*(INDEX(v01_ElderRolePerSett,G2161)*v01_OutElder*INDEX(LM_Elder,G2161)+INDEX(v01_ShamanPerSett,G2161)*v01_OutShaman)+Z2161*(INDEX(v01_PriestShare,G2161)*v01_OutPriest+INDEX(v01_ScribeShare,G2161)*v01_OutScribe*INDEX(LM_Scribe,G2161)+INDEX(v01_ScholarShare,G2161)*v01_OutScholar*INDEX(LM_Scholar,G2161)+INDEX(v01_ResearcherShare,G2161)*v01_OutResearcher*INDEX(LM_Researcher,G2161)))</x:f>
        <x:v>0</x:v>
      </x:c>
      <x:c r="AL2161" s="32" t="n">
        <x:f>H2161*v01_RoleScale*Arch_Roles*AE2161*INDEX(v01_MonasteryPerSett,G2161)*v01_OutMonastery*INDEX(LM_Monastery,G2161)</x:f>
        <x:v>0</x:v>
      </x:c>
      <x:c r="AM2161" s="32" t="n">
        <x:f>(AJ2161+AK2161+AL2161)/4*INDEX(LM_All,G2161)*INDEX(v01_Boon,G2161)*Arch_Insight</x:f>
        <x:v>0</x:v>
      </x:c>
      <x:c r="AN2161" s="32" t="n">
        <x:f>H2161*(v01_KHPerAdult*Z2161+v01_KHOfCommons*AJ2161/4*INDEX(LM_All,G2161))*v01_KHUsable*Arch_KH</x:f>
        <x:v>0</x:v>
      </x:c>
      <x:c r="AO2161" s="32" t="n">
        <x:f>MIN(AP2160+AN2161,AM2161*v01_KHMaxRatio)</x:f>
        <x:v>0</x:v>
      </x:c>
      <x:c r="AP2161" s="32" t="n">
        <x:f>AP2160+AN2161-AO2161</x:f>
        <x:v>0</x:v>
      </x:c>
      <x:c r="AQ2161" s="32" t="n">
        <x:f>AM2161+AO2161</x:f>
        <x:v>0</x:v>
      </x:c>
      <x:c r="AR2161" s="10" t="n">
        <x:f>IF(H2161=1,INDEX(v01_Req,G2161),0)</x:f>
        <x:v>0</x:v>
      </x:c>
      <x:c r="AS2161" s="32" t="n">
        <x:f>IF(H2161=1,IF(E2161=1,AS2160-AR2160,AS2160)+AQ2161,0)</x:f>
        <x:v>0</x:v>
      </x:c>
      <x:c r="AT2161" s="11" t="n">
        <x:f>IF(AR2161&gt;0,MIN(1,AS2161/AR2161),1)</x:f>
        <x:v>1</x:v>
      </x:c>
      <x:c r="AU2161" s="10" t="n">
        <x:f>AB2161/INDEX(v01_RepScale,G2161)</x:f>
        <x:v>90.09519605746344</x:v>
      </x:c>
      <x:c r="AV2161" s="32" t="n">
        <x:f>AM2161*60/v01_SeasonSeconds</x:f>
        <x:v>0</x:v>
      </x:c>
    </x:row>
    <x:row r="2162">
      <x:c r="A2162" s="8" t="n">
        <x:f>A2161+1</x:f>
        <x:v>2159</x:v>
      </x:c>
      <x:c r="B2162" s="9" t="n">
        <x:f>A2162*v01_SeasonSeconds/60</x:f>
        <x:v>539.75</x:v>
      </x:c>
      <x:c r="C2162" s="9" t="n">
        <x:f>A2162/4</x:f>
        <x:v>539.75</x:v>
      </x:c>
      <x:c r="D2162" s="8" t="n">
        <x:f>IF(MOD(A2162,4)=0,1,0)</x:f>
        <x:v>0</x:v>
      </x:c>
      <x:c r="E2162" s="8" t="n">
        <x:f>IF(AND(F2161&lt;=9,AS2161&gt;=AR2161),1,0)</x:f>
        <x:v>0</x:v>
      </x:c>
      <x:c r="F2162" s="8" t="n">
        <x:f>MIN(10,F2161+E2162)</x:f>
        <x:v>10</x:v>
      </x:c>
      <x:c r="G2162" s="8" t="n">
        <x:f>MIN(F2162,9)+1</x:f>
        <x:v>10</x:v>
      </x:c>
      <x:c r="H2162" s="8" t="n">
        <x:f>IF(F2162&lt;=9,1,0)</x:f>
        <x:v>0</x:v>
      </x:c>
      <x:c r="I2162" s="9" t="n">
        <x:f>MIN(10,F2161+IF(AR2161&gt;0,MIN(1,AS2161/AR2161),1))</x:f>
        <x:v>10</x:v>
      </x:c>
      <x:c r="J2162" s="32" t="n">
        <x:f>INDEX(v01_FoodCap,G2162)*Arch_FoodCap*EXP(v01_CapsByProject*SUMPRODUCT((Cap_Point&lt;=I2162)*(Cap_Kind="Food")*Cap_Ln))</x:f>
        <x:v>12000</x:v>
      </x:c>
      <x:c r="K2162" s="32" t="n">
        <x:f>J2162*MIN(1,v01_LeanBase*EXP(v01_CapsByProject*SUMPRODUCT((Cap_Point&lt;=I2162)*(Cap_Kind="Lean")*Cap_Ln)))</x:f>
        <x:v>12000</x:v>
      </x:c>
      <x:c r="L2162" s="10" t="n">
        <x:f>INDEX(v01_HousingCap,G2162)*EXP(v01_CapsByProject*SUMPRODUCT((Cap_Point&lt;=I2162)*(Cap_Kind="Housing")*Cap_Ln))</x:f>
        <x:v>20000</x:v>
      </x:c>
      <x:c r="M2162" s="10" t="n">
        <x:f>INDEX(v01_GroupCap,G2162)*v01_CohesionFactor*EXP(v01_CapsByProject*SUMPRODUCT((Cap_Point&lt;=I2162)*(Cap_Kind="Group")*Cap_Ln))</x:f>
        <x:v>1000000</x:v>
      </x:c>
      <x:c r="N2162" s="32" t="n">
        <x:f>MIN(J2162,L2162,M2162)</x:f>
        <x:v>12000</x:v>
      </x:c>
      <x:c r="O2162" s="10" t="n">
        <x:f>AE2161*N2162</x:f>
        <x:v>180000</x:v>
      </x:c>
      <x:c r="P2162" s="9" t="n">
        <x:f>MIN(1,(AB2161/(AE2161*IF(v01_GroupInCrowding=1,N2162,MIN(J2162,L2162))))^v01_CrowdingExp)</x:f>
        <x:v>0.00024569414295285325</x:v>
      </x:c>
      <x:c r="Q2162" s="9" t="n">
        <x:f>IF(D2162=1,INDEX(v01_WinterMult,G2162),1)</x:f>
        <x:v>1</x:v>
      </x:c>
      <x:c r="R2162" s="9" t="n">
        <x:f>H2162*Z2161*v01_WomenShare*v01_BaseFertility*INDEX(v01_FertMult,G2162)*Arch_Fertility*(1-P2162)</x:f>
        <x:v>0</x:v>
      </x:c>
      <x:c r="S2162" s="9" t="n">
        <x:f>H2162*Y2161*INDEX(v01_MortChild,G2162)/4*Q2162</x:f>
        <x:v>0</x:v>
      </x:c>
      <x:c r="T2162" s="9" t="n">
        <x:f>H2162*Z2161*INDEX(v01_MortAdult,G2162)*Arch_AdultMort/4*Q2162</x:f>
        <x:v>0</x:v>
      </x:c>
      <x:c r="U2162" s="9" t="n">
        <x:f>H2162*AA2161*INDEX(v01_MortElder,G2162)/4*Q2162</x:f>
        <x:v>0</x:v>
      </x:c>
      <x:c r="V2162" s="9" t="n">
        <x:f>H2162*MAX(0,AB2161-O2162)*v01_OvercapLoss</x:f>
        <x:v>0</x:v>
      </x:c>
      <x:c r="W2162" s="9" t="n">
        <x:f>H2162*Y2161/(v01_ChildYears*4)</x:f>
        <x:v>0</x:v>
      </x:c>
      <x:c r="X2162" s="9" t="n">
        <x:f>H2162*Z2161/(v01_AdultYears*4)</x:f>
        <x:v>0</x:v>
      </x:c>
      <x:c r="Y2162" s="32" t="n">
        <x:f>Y2161+R2162-S2162-W2162-Y2161*V2162/AB2161</x:f>
        <x:v>14306.18539759397</x:v>
      </x:c>
      <x:c r="Z2162" s="32" t="n">
        <x:f>Z2161+W2162-X2162-T2162-Z2161*V2162/AB2161</x:f>
        <x:v>19354.456567879548</x:v>
      </x:c>
      <x:c r="AA2162" s="32" t="n">
        <x:f>AA2161+X2162-U2162-AA2161*V2162/AB2161</x:f>
        <x:v>11386.956063258198</x:v>
      </x:c>
      <x:c r="AB2162" s="10" t="n">
        <x:f>Y2162+Z2162+AA2162</x:f>
        <x:v>45047.59802873172</x:v>
      </x:c>
      <x:c r="AC2162" s="8" t="n">
        <x:f>IF(AND(v01_WinterTrigger=1,D2162=1,AB2161/AE2161&gt;=K2162),1,0)</x:f>
        <x:v>0</x:v>
      </x:c>
      <x:c r="AD2162" s="8" t="n">
        <x:f>H2162*IF(AND(OR(AB2161/AE2161&gt;=v01_FissionTrigger*N2162,AC2162=1),AB2161/AE2161*v01_DaughterShare&gt;=v01_MinDaughter),MAX(1,ROUND(AE2161*v01_FissionRate,0)),0)</x:f>
        <x:v>0</x:v>
      </x:c>
      <x:c r="AE2162" s="8" t="n">
        <x:f>IF(H2162=1,MAX(1,MIN(INDEX(v01_Smax,G2162),AE2161+AD2162)),AE2161)</x:f>
        <x:v>15</x:v>
      </x:c>
      <x:c r="AF2162" s="8" t="n">
        <x:f>MAX(0,AE2162-AE2161)</x:f>
        <x:v>0</x:v>
      </x:c>
      <x:c r="AG2162" s="9" t="str">
        <x:f>IF(AF2162&gt;0,B2162,"")</x:f>
      </x:c>
      <x:c r="AH2162" s="9" t="n">
        <x:f>IF(F2162&gt;=1,1,(1+v01_LowTiesShare*(AE2162-1))/AE2162)</x:f>
        <x:v>1</x:v>
      </x:c>
      <x:c r="AI2162" s="32" t="n">
        <x:f>(Z2162+v01_ElderCommons*INDEX(LM_Elder,G2162)*AA2162)*AH2162</x:f>
        <x:v>64139.732591141874</x:v>
      </x:c>
      <x:c r="AJ2162" s="32" t="n">
        <x:f>H2162*v01_CommonsCoef*AI2162^v01_CommonsExp*INDEX(LM_Commons,G2162)</x:f>
        <x:v>0</x:v>
      </x:c>
      <x:c r="AK2162" s="32" t="n">
        <x:f>H2162*v01_RoleScale*Arch_Roles*(AE2162*(INDEX(v01_ElderRolePerSett,G2162)*v01_OutElder*INDEX(LM_Elder,G2162)+INDEX(v01_ShamanPerSett,G2162)*v01_OutShaman)+Z2162*(INDEX(v01_PriestShare,G2162)*v01_OutPriest+INDEX(v01_ScribeShare,G2162)*v01_OutScribe*INDEX(LM_Scribe,G2162)+INDEX(v01_ScholarShare,G2162)*v01_OutScholar*INDEX(LM_Scholar,G2162)+INDEX(v01_ResearcherShare,G2162)*v01_OutResearcher*INDEX(LM_Researcher,G2162)))</x:f>
        <x:v>0</x:v>
      </x:c>
      <x:c r="AL2162" s="32" t="n">
        <x:f>H2162*v01_RoleScale*Arch_Roles*AE2162*INDEX(v01_MonasteryPerSett,G2162)*v01_OutMonastery*INDEX(LM_Monastery,G2162)</x:f>
        <x:v>0</x:v>
      </x:c>
      <x:c r="AM2162" s="32" t="n">
        <x:f>(AJ2162+AK2162+AL2162)/4*INDEX(LM_All,G2162)*INDEX(v01_Boon,G2162)*Arch_Insight</x:f>
        <x:v>0</x:v>
      </x:c>
      <x:c r="AN2162" s="32" t="n">
        <x:f>H2162*(v01_KHPerAdult*Z2162+v01_KHOfCommons*AJ2162/4*INDEX(LM_All,G2162))*v01_KHUsable*Arch_KH</x:f>
        <x:v>0</x:v>
      </x:c>
      <x:c r="AO2162" s="32" t="n">
        <x:f>MIN(AP2161+AN2162,AM2162*v01_KHMaxRatio)</x:f>
        <x:v>0</x:v>
      </x:c>
      <x:c r="AP2162" s="32" t="n">
        <x:f>AP2161+AN2162-AO2162</x:f>
        <x:v>0</x:v>
      </x:c>
      <x:c r="AQ2162" s="32" t="n">
        <x:f>AM2162+AO2162</x:f>
        <x:v>0</x:v>
      </x:c>
      <x:c r="AR2162" s="10" t="n">
        <x:f>IF(H2162=1,INDEX(v01_Req,G2162),0)</x:f>
        <x:v>0</x:v>
      </x:c>
      <x:c r="AS2162" s="32" t="n">
        <x:f>IF(H2162=1,IF(E2162=1,AS2161-AR2161,AS2161)+AQ2162,0)</x:f>
        <x:v>0</x:v>
      </x:c>
      <x:c r="AT2162" s="11" t="n">
        <x:f>IF(AR2162&gt;0,MIN(1,AS2162/AR2162),1)</x:f>
        <x:v>1</x:v>
      </x:c>
      <x:c r="AU2162" s="10" t="n">
        <x:f>AB2162/INDEX(v01_RepScale,G2162)</x:f>
        <x:v>90.09519605746344</x:v>
      </x:c>
      <x:c r="AV2162" s="32" t="n">
        <x:f>AM2162*60/v01_SeasonSeconds</x:f>
        <x:v>0</x:v>
      </x:c>
    </x:row>
    <x:row r="2163">
      <x:c r="A2163" s="8" t="n">
        <x:f>A2162+1</x:f>
        <x:v>2160</x:v>
      </x:c>
      <x:c r="B2163" s="9" t="n">
        <x:f>A2163*v01_SeasonSeconds/60</x:f>
        <x:v>540</x:v>
      </x:c>
      <x:c r="C2163" s="9" t="n">
        <x:f>A2163/4</x:f>
        <x:v>540</x:v>
      </x:c>
      <x:c r="D2163" s="8" t="n">
        <x:f>IF(MOD(A2163,4)=0,1,0)</x:f>
        <x:v>1</x:v>
      </x:c>
      <x:c r="E2163" s="8" t="n">
        <x:f>IF(AND(F2162&lt;=9,AS2162&gt;=AR2162),1,0)</x:f>
        <x:v>0</x:v>
      </x:c>
      <x:c r="F2163" s="8" t="n">
        <x:f>MIN(10,F2162+E2163)</x:f>
        <x:v>10</x:v>
      </x:c>
      <x:c r="G2163" s="8" t="n">
        <x:f>MIN(F2163,9)+1</x:f>
        <x:v>10</x:v>
      </x:c>
      <x:c r="H2163" s="8" t="n">
        <x:f>IF(F2163&lt;=9,1,0)</x:f>
        <x:v>0</x:v>
      </x:c>
      <x:c r="I2163" s="9" t="n">
        <x:f>MIN(10,F2162+IF(AR2162&gt;0,MIN(1,AS2162/AR2162),1))</x:f>
        <x:v>10</x:v>
      </x:c>
      <x:c r="J2163" s="32" t="n">
        <x:f>INDEX(v01_FoodCap,G2163)*Arch_FoodCap*EXP(v01_CapsByProject*SUMPRODUCT((Cap_Point&lt;=I2163)*(Cap_Kind="Food")*Cap_Ln))</x:f>
        <x:v>12000</x:v>
      </x:c>
      <x:c r="K2163" s="32" t="n">
        <x:f>J2163*MIN(1,v01_LeanBase*EXP(v01_CapsByProject*SUMPRODUCT((Cap_Point&lt;=I2163)*(Cap_Kind="Lean")*Cap_Ln)))</x:f>
        <x:v>12000</x:v>
      </x:c>
      <x:c r="L2163" s="10" t="n">
        <x:f>INDEX(v01_HousingCap,G2163)*EXP(v01_CapsByProject*SUMPRODUCT((Cap_Point&lt;=I2163)*(Cap_Kind="Housing")*Cap_Ln))</x:f>
        <x:v>20000</x:v>
      </x:c>
      <x:c r="M2163" s="10" t="n">
        <x:f>INDEX(v01_GroupCap,G2163)*v01_CohesionFactor*EXP(v01_CapsByProject*SUMPRODUCT((Cap_Point&lt;=I2163)*(Cap_Kind="Group")*Cap_Ln))</x:f>
        <x:v>1000000</x:v>
      </x:c>
      <x:c r="N2163" s="32" t="n">
        <x:f>MIN(J2163,L2163,M2163)</x:f>
        <x:v>12000</x:v>
      </x:c>
      <x:c r="O2163" s="10" t="n">
        <x:f>AE2162*N2163</x:f>
        <x:v>180000</x:v>
      </x:c>
      <x:c r="P2163" s="9" t="n">
        <x:f>MIN(1,(AB2162/(AE2162*IF(v01_GroupInCrowding=1,N2163,MIN(J2163,L2163))))^v01_CrowdingExp)</x:f>
        <x:v>0.00024569414295285325</x:v>
      </x:c>
      <x:c r="Q2163" s="9" t="n">
        <x:f>IF(D2163=1,INDEX(v01_WinterMult,G2163),1)</x:f>
        <x:v>1</x:v>
      </x:c>
      <x:c r="R2163" s="9" t="n">
        <x:f>H2163*Z2162*v01_WomenShare*v01_BaseFertility*INDEX(v01_FertMult,G2163)*Arch_Fertility*(1-P2163)</x:f>
        <x:v>0</x:v>
      </x:c>
      <x:c r="S2163" s="9" t="n">
        <x:f>H2163*Y2162*INDEX(v01_MortChild,G2163)/4*Q2163</x:f>
        <x:v>0</x:v>
      </x:c>
      <x:c r="T2163" s="9" t="n">
        <x:f>H2163*Z2162*INDEX(v01_MortAdult,G2163)*Arch_AdultMort/4*Q2163</x:f>
        <x:v>0</x:v>
      </x:c>
      <x:c r="U2163" s="9" t="n">
        <x:f>H2163*AA2162*INDEX(v01_MortElder,G2163)/4*Q2163</x:f>
        <x:v>0</x:v>
      </x:c>
      <x:c r="V2163" s="9" t="n">
        <x:f>H2163*MAX(0,AB2162-O2163)*v01_OvercapLoss</x:f>
        <x:v>0</x:v>
      </x:c>
      <x:c r="W2163" s="9" t="n">
        <x:f>H2163*Y2162/(v01_ChildYears*4)</x:f>
        <x:v>0</x:v>
      </x:c>
      <x:c r="X2163" s="9" t="n">
        <x:f>H2163*Z2162/(v01_AdultYears*4)</x:f>
        <x:v>0</x:v>
      </x:c>
      <x:c r="Y2163" s="32" t="n">
        <x:f>Y2162+R2163-S2163-W2163-Y2162*V2163/AB2162</x:f>
        <x:v>14306.18539759397</x:v>
      </x:c>
      <x:c r="Z2163" s="32" t="n">
        <x:f>Z2162+W2163-X2163-T2163-Z2162*V2163/AB2162</x:f>
        <x:v>19354.456567879548</x:v>
      </x:c>
      <x:c r="AA2163" s="32" t="n">
        <x:f>AA2162+X2163-U2163-AA2162*V2163/AB2162</x:f>
        <x:v>11386.956063258198</x:v>
      </x:c>
      <x:c r="AB2163" s="10" t="n">
        <x:f>Y2163+Z2163+AA2163</x:f>
        <x:v>45047.59802873172</x:v>
      </x:c>
      <x:c r="AC2163" s="8" t="n">
        <x:f>IF(AND(v01_WinterTrigger=1,D2163=1,AB2162/AE2162&gt;=K2163),1,0)</x:f>
        <x:v>0</x:v>
      </x:c>
      <x:c r="AD2163" s="8" t="n">
        <x:f>H2163*IF(AND(OR(AB2162/AE2162&gt;=v01_FissionTrigger*N2163,AC2163=1),AB2162/AE2162*v01_DaughterShare&gt;=v01_MinDaughter),MAX(1,ROUND(AE2162*v01_FissionRate,0)),0)</x:f>
        <x:v>0</x:v>
      </x:c>
      <x:c r="AE2163" s="8" t="n">
        <x:f>IF(H2163=1,MAX(1,MIN(INDEX(v01_Smax,G2163),AE2162+AD2163)),AE2162)</x:f>
        <x:v>15</x:v>
      </x:c>
      <x:c r="AF2163" s="8" t="n">
        <x:f>MAX(0,AE2163-AE2162)</x:f>
        <x:v>0</x:v>
      </x:c>
      <x:c r="AG2163" s="9" t="str">
        <x:f>IF(AF2163&gt;0,B2163,"")</x:f>
      </x:c>
      <x:c r="AH2163" s="9" t="n">
        <x:f>IF(F2163&gt;=1,1,(1+v01_LowTiesShare*(AE2163-1))/AE2163)</x:f>
        <x:v>1</x:v>
      </x:c>
      <x:c r="AI2163" s="32" t="n">
        <x:f>(Z2163+v01_ElderCommons*INDEX(LM_Elder,G2163)*AA2163)*AH2163</x:f>
        <x:v>64139.732591141874</x:v>
      </x:c>
      <x:c r="AJ2163" s="32" t="n">
        <x:f>H2163*v01_CommonsCoef*AI2163^v01_CommonsExp*INDEX(LM_Commons,G2163)</x:f>
        <x:v>0</x:v>
      </x:c>
      <x:c r="AK2163" s="32" t="n">
        <x:f>H2163*v01_RoleScale*Arch_Roles*(AE2163*(INDEX(v01_ElderRolePerSett,G2163)*v01_OutElder*INDEX(LM_Elder,G2163)+INDEX(v01_ShamanPerSett,G2163)*v01_OutShaman)+Z2163*(INDEX(v01_PriestShare,G2163)*v01_OutPriest+INDEX(v01_ScribeShare,G2163)*v01_OutScribe*INDEX(LM_Scribe,G2163)+INDEX(v01_ScholarShare,G2163)*v01_OutScholar*INDEX(LM_Scholar,G2163)+INDEX(v01_ResearcherShare,G2163)*v01_OutResearcher*INDEX(LM_Researcher,G2163)))</x:f>
        <x:v>0</x:v>
      </x:c>
      <x:c r="AL2163" s="32" t="n">
        <x:f>H2163*v01_RoleScale*Arch_Roles*AE2163*INDEX(v01_MonasteryPerSett,G2163)*v01_OutMonastery*INDEX(LM_Monastery,G2163)</x:f>
        <x:v>0</x:v>
      </x:c>
      <x:c r="AM2163" s="32" t="n">
        <x:f>(AJ2163+AK2163+AL2163)/4*INDEX(LM_All,G2163)*INDEX(v01_Boon,G2163)*Arch_Insight</x:f>
        <x:v>0</x:v>
      </x:c>
      <x:c r="AN2163" s="32" t="n">
        <x:f>H2163*(v01_KHPerAdult*Z2163+v01_KHOfCommons*AJ2163/4*INDEX(LM_All,G2163))*v01_KHUsable*Arch_KH</x:f>
        <x:v>0</x:v>
      </x:c>
      <x:c r="AO2163" s="32" t="n">
        <x:f>MIN(AP2162+AN2163,AM2163*v01_KHMaxRatio)</x:f>
        <x:v>0</x:v>
      </x:c>
      <x:c r="AP2163" s="32" t="n">
        <x:f>AP2162+AN2163-AO2163</x:f>
        <x:v>0</x:v>
      </x:c>
      <x:c r="AQ2163" s="32" t="n">
        <x:f>AM2163+AO2163</x:f>
        <x:v>0</x:v>
      </x:c>
      <x:c r="AR2163" s="10" t="n">
        <x:f>IF(H2163=1,INDEX(v01_Req,G2163),0)</x:f>
        <x:v>0</x:v>
      </x:c>
      <x:c r="AS2163" s="32" t="n">
        <x:f>IF(H2163=1,IF(E2163=1,AS2162-AR2162,AS2162)+AQ2163,0)</x:f>
        <x:v>0</x:v>
      </x:c>
      <x:c r="AT2163" s="11" t="n">
        <x:f>IF(AR2163&gt;0,MIN(1,AS2163/AR2163),1)</x:f>
        <x:v>1</x:v>
      </x:c>
      <x:c r="AU2163" s="10" t="n">
        <x:f>AB2163/INDEX(v01_RepScale,G2163)</x:f>
        <x:v>90.09519605746344</x:v>
      </x:c>
      <x:c r="AV2163" s="32" t="n">
        <x:f>AM2163*60/v01_SeasonSeconds</x:f>
        <x:v>0</x:v>
      </x:c>
    </x:row>
    <x:row r="2164">
      <x:c r="A2164" s="8" t="n">
        <x:f>A2163+1</x:f>
        <x:v>2161</x:v>
      </x:c>
      <x:c r="B2164" s="9" t="n">
        <x:f>A2164*v01_SeasonSeconds/60</x:f>
        <x:v>540.25</x:v>
      </x:c>
      <x:c r="C2164" s="9" t="n">
        <x:f>A2164/4</x:f>
        <x:v>540.25</x:v>
      </x:c>
      <x:c r="D2164" s="8" t="n">
        <x:f>IF(MOD(A2164,4)=0,1,0)</x:f>
        <x:v>0</x:v>
      </x:c>
      <x:c r="E2164" s="8" t="n">
        <x:f>IF(AND(F2163&lt;=9,AS2163&gt;=AR2163),1,0)</x:f>
        <x:v>0</x:v>
      </x:c>
      <x:c r="F2164" s="8" t="n">
        <x:f>MIN(10,F2163+E2164)</x:f>
        <x:v>10</x:v>
      </x:c>
      <x:c r="G2164" s="8" t="n">
        <x:f>MIN(F2164,9)+1</x:f>
        <x:v>10</x:v>
      </x:c>
      <x:c r="H2164" s="8" t="n">
        <x:f>IF(F2164&lt;=9,1,0)</x:f>
        <x:v>0</x:v>
      </x:c>
      <x:c r="I2164" s="9" t="n">
        <x:f>MIN(10,F2163+IF(AR2163&gt;0,MIN(1,AS2163/AR2163),1))</x:f>
        <x:v>10</x:v>
      </x:c>
      <x:c r="J2164" s="32" t="n">
        <x:f>INDEX(v01_FoodCap,G2164)*Arch_FoodCap*EXP(v01_CapsByProject*SUMPRODUCT((Cap_Point&lt;=I2164)*(Cap_Kind="Food")*Cap_Ln))</x:f>
        <x:v>12000</x:v>
      </x:c>
      <x:c r="K2164" s="32" t="n">
        <x:f>J2164*MIN(1,v01_LeanBase*EXP(v01_CapsByProject*SUMPRODUCT((Cap_Point&lt;=I2164)*(Cap_Kind="Lean")*Cap_Ln)))</x:f>
        <x:v>12000</x:v>
      </x:c>
      <x:c r="L2164" s="10" t="n">
        <x:f>INDEX(v01_HousingCap,G2164)*EXP(v01_CapsByProject*SUMPRODUCT((Cap_Point&lt;=I2164)*(Cap_Kind="Housing")*Cap_Ln))</x:f>
        <x:v>20000</x:v>
      </x:c>
      <x:c r="M2164" s="10" t="n">
        <x:f>INDEX(v01_GroupCap,G2164)*v01_CohesionFactor*EXP(v01_CapsByProject*SUMPRODUCT((Cap_Point&lt;=I2164)*(Cap_Kind="Group")*Cap_Ln))</x:f>
        <x:v>1000000</x:v>
      </x:c>
      <x:c r="N2164" s="32" t="n">
        <x:f>MIN(J2164,L2164,M2164)</x:f>
        <x:v>12000</x:v>
      </x:c>
      <x:c r="O2164" s="10" t="n">
        <x:f>AE2163*N2164</x:f>
        <x:v>180000</x:v>
      </x:c>
      <x:c r="P2164" s="9" t="n">
        <x:f>MIN(1,(AB2163/(AE2163*IF(v01_GroupInCrowding=1,N2164,MIN(J2164,L2164))))^v01_CrowdingExp)</x:f>
        <x:v>0.00024569414295285325</x:v>
      </x:c>
      <x:c r="Q2164" s="9" t="n">
        <x:f>IF(D2164=1,INDEX(v01_WinterMult,G2164),1)</x:f>
        <x:v>1</x:v>
      </x:c>
      <x:c r="R2164" s="9" t="n">
        <x:f>H2164*Z2163*v01_WomenShare*v01_BaseFertility*INDEX(v01_FertMult,G2164)*Arch_Fertility*(1-P2164)</x:f>
        <x:v>0</x:v>
      </x:c>
      <x:c r="S2164" s="9" t="n">
        <x:f>H2164*Y2163*INDEX(v01_MortChild,G2164)/4*Q2164</x:f>
        <x:v>0</x:v>
      </x:c>
      <x:c r="T2164" s="9" t="n">
        <x:f>H2164*Z2163*INDEX(v01_MortAdult,G2164)*Arch_AdultMort/4*Q2164</x:f>
        <x:v>0</x:v>
      </x:c>
      <x:c r="U2164" s="9" t="n">
        <x:f>H2164*AA2163*INDEX(v01_MortElder,G2164)/4*Q2164</x:f>
        <x:v>0</x:v>
      </x:c>
      <x:c r="V2164" s="9" t="n">
        <x:f>H2164*MAX(0,AB2163-O2164)*v01_OvercapLoss</x:f>
        <x:v>0</x:v>
      </x:c>
      <x:c r="W2164" s="9" t="n">
        <x:f>H2164*Y2163/(v01_ChildYears*4)</x:f>
        <x:v>0</x:v>
      </x:c>
      <x:c r="X2164" s="9" t="n">
        <x:f>H2164*Z2163/(v01_AdultYears*4)</x:f>
        <x:v>0</x:v>
      </x:c>
      <x:c r="Y2164" s="32" t="n">
        <x:f>Y2163+R2164-S2164-W2164-Y2163*V2164/AB2163</x:f>
        <x:v>14306.18539759397</x:v>
      </x:c>
      <x:c r="Z2164" s="32" t="n">
        <x:f>Z2163+W2164-X2164-T2164-Z2163*V2164/AB2163</x:f>
        <x:v>19354.456567879548</x:v>
      </x:c>
      <x:c r="AA2164" s="32" t="n">
        <x:f>AA2163+X2164-U2164-AA2163*V2164/AB2163</x:f>
        <x:v>11386.956063258198</x:v>
      </x:c>
      <x:c r="AB2164" s="10" t="n">
        <x:f>Y2164+Z2164+AA2164</x:f>
        <x:v>45047.59802873172</x:v>
      </x:c>
      <x:c r="AC2164" s="8" t="n">
        <x:f>IF(AND(v01_WinterTrigger=1,D2164=1,AB2163/AE2163&gt;=K2164),1,0)</x:f>
        <x:v>0</x:v>
      </x:c>
      <x:c r="AD2164" s="8" t="n">
        <x:f>H2164*IF(AND(OR(AB2163/AE2163&gt;=v01_FissionTrigger*N2164,AC2164=1),AB2163/AE2163*v01_DaughterShare&gt;=v01_MinDaughter),MAX(1,ROUND(AE2163*v01_FissionRate,0)),0)</x:f>
        <x:v>0</x:v>
      </x:c>
      <x:c r="AE2164" s="8" t="n">
        <x:f>IF(H2164=1,MAX(1,MIN(INDEX(v01_Smax,G2164),AE2163+AD2164)),AE2163)</x:f>
        <x:v>15</x:v>
      </x:c>
      <x:c r="AF2164" s="8" t="n">
        <x:f>MAX(0,AE2164-AE2163)</x:f>
        <x:v>0</x:v>
      </x:c>
      <x:c r="AG2164" s="9" t="str">
        <x:f>IF(AF2164&gt;0,B2164,"")</x:f>
      </x:c>
      <x:c r="AH2164" s="9" t="n">
        <x:f>IF(F2164&gt;=1,1,(1+v01_LowTiesShare*(AE2164-1))/AE2164)</x:f>
        <x:v>1</x:v>
      </x:c>
      <x:c r="AI2164" s="32" t="n">
        <x:f>(Z2164+v01_ElderCommons*INDEX(LM_Elder,G2164)*AA2164)*AH2164</x:f>
        <x:v>64139.732591141874</x:v>
      </x:c>
      <x:c r="AJ2164" s="32" t="n">
        <x:f>H2164*v01_CommonsCoef*AI2164^v01_CommonsExp*INDEX(LM_Commons,G2164)</x:f>
        <x:v>0</x:v>
      </x:c>
      <x:c r="AK2164" s="32" t="n">
        <x:f>H2164*v01_RoleScale*Arch_Roles*(AE2164*(INDEX(v01_ElderRolePerSett,G2164)*v01_OutElder*INDEX(LM_Elder,G2164)+INDEX(v01_ShamanPerSett,G2164)*v01_OutShaman)+Z2164*(INDEX(v01_PriestShare,G2164)*v01_OutPriest+INDEX(v01_ScribeShare,G2164)*v01_OutScribe*INDEX(LM_Scribe,G2164)+INDEX(v01_ScholarShare,G2164)*v01_OutScholar*INDEX(LM_Scholar,G2164)+INDEX(v01_ResearcherShare,G2164)*v01_OutResearcher*INDEX(LM_Researcher,G2164)))</x:f>
        <x:v>0</x:v>
      </x:c>
      <x:c r="AL2164" s="32" t="n">
        <x:f>H2164*v01_RoleScale*Arch_Roles*AE2164*INDEX(v01_MonasteryPerSett,G2164)*v01_OutMonastery*INDEX(LM_Monastery,G2164)</x:f>
        <x:v>0</x:v>
      </x:c>
      <x:c r="AM2164" s="32" t="n">
        <x:f>(AJ2164+AK2164+AL2164)/4*INDEX(LM_All,G2164)*INDEX(v01_Boon,G2164)*Arch_Insight</x:f>
        <x:v>0</x:v>
      </x:c>
      <x:c r="AN2164" s="32" t="n">
        <x:f>H2164*(v01_KHPerAdult*Z2164+v01_KHOfCommons*AJ2164/4*INDEX(LM_All,G2164))*v01_KHUsable*Arch_KH</x:f>
        <x:v>0</x:v>
      </x:c>
      <x:c r="AO2164" s="32" t="n">
        <x:f>MIN(AP2163+AN2164,AM2164*v01_KHMaxRatio)</x:f>
        <x:v>0</x:v>
      </x:c>
      <x:c r="AP2164" s="32" t="n">
        <x:f>AP2163+AN2164-AO2164</x:f>
        <x:v>0</x:v>
      </x:c>
      <x:c r="AQ2164" s="32" t="n">
        <x:f>AM2164+AO2164</x:f>
        <x:v>0</x:v>
      </x:c>
      <x:c r="AR2164" s="10" t="n">
        <x:f>IF(H2164=1,INDEX(v01_Req,G2164),0)</x:f>
        <x:v>0</x:v>
      </x:c>
      <x:c r="AS2164" s="32" t="n">
        <x:f>IF(H2164=1,IF(E2164=1,AS2163-AR2163,AS2163)+AQ2164,0)</x:f>
        <x:v>0</x:v>
      </x:c>
      <x:c r="AT2164" s="11" t="n">
        <x:f>IF(AR2164&gt;0,MIN(1,AS2164/AR2164),1)</x:f>
        <x:v>1</x:v>
      </x:c>
      <x:c r="AU2164" s="10" t="n">
        <x:f>AB2164/INDEX(v01_RepScale,G2164)</x:f>
        <x:v>90.09519605746344</x:v>
      </x:c>
      <x:c r="AV2164" s="32" t="n">
        <x:f>AM2164*60/v01_SeasonSeconds</x:f>
        <x:v>0</x:v>
      </x:c>
    </x:row>
    <x:row r="2165">
      <x:c r="A2165" s="8" t="n">
        <x:f>A2164+1</x:f>
        <x:v>2162</x:v>
      </x:c>
      <x:c r="B2165" s="9" t="n">
        <x:f>A2165*v01_SeasonSeconds/60</x:f>
        <x:v>540.5</x:v>
      </x:c>
      <x:c r="C2165" s="9" t="n">
        <x:f>A2165/4</x:f>
        <x:v>540.5</x:v>
      </x:c>
      <x:c r="D2165" s="8" t="n">
        <x:f>IF(MOD(A2165,4)=0,1,0)</x:f>
        <x:v>0</x:v>
      </x:c>
      <x:c r="E2165" s="8" t="n">
        <x:f>IF(AND(F2164&lt;=9,AS2164&gt;=AR2164),1,0)</x:f>
        <x:v>0</x:v>
      </x:c>
      <x:c r="F2165" s="8" t="n">
        <x:f>MIN(10,F2164+E2165)</x:f>
        <x:v>10</x:v>
      </x:c>
      <x:c r="G2165" s="8" t="n">
        <x:f>MIN(F2165,9)+1</x:f>
        <x:v>10</x:v>
      </x:c>
      <x:c r="H2165" s="8" t="n">
        <x:f>IF(F2165&lt;=9,1,0)</x:f>
        <x:v>0</x:v>
      </x:c>
      <x:c r="I2165" s="9" t="n">
        <x:f>MIN(10,F2164+IF(AR2164&gt;0,MIN(1,AS2164/AR2164),1))</x:f>
        <x:v>10</x:v>
      </x:c>
      <x:c r="J2165" s="32" t="n">
        <x:f>INDEX(v01_FoodCap,G2165)*Arch_FoodCap*EXP(v01_CapsByProject*SUMPRODUCT((Cap_Point&lt;=I2165)*(Cap_Kind="Food")*Cap_Ln))</x:f>
        <x:v>12000</x:v>
      </x:c>
      <x:c r="K2165" s="32" t="n">
        <x:f>J2165*MIN(1,v01_LeanBase*EXP(v01_CapsByProject*SUMPRODUCT((Cap_Point&lt;=I2165)*(Cap_Kind="Lean")*Cap_Ln)))</x:f>
        <x:v>12000</x:v>
      </x:c>
      <x:c r="L2165" s="10" t="n">
        <x:f>INDEX(v01_HousingCap,G2165)*EXP(v01_CapsByProject*SUMPRODUCT((Cap_Point&lt;=I2165)*(Cap_Kind="Housing")*Cap_Ln))</x:f>
        <x:v>20000</x:v>
      </x:c>
      <x:c r="M2165" s="10" t="n">
        <x:f>INDEX(v01_GroupCap,G2165)*v01_CohesionFactor*EXP(v01_CapsByProject*SUMPRODUCT((Cap_Point&lt;=I2165)*(Cap_Kind="Group")*Cap_Ln))</x:f>
        <x:v>1000000</x:v>
      </x:c>
      <x:c r="N2165" s="32" t="n">
        <x:f>MIN(J2165,L2165,M2165)</x:f>
        <x:v>12000</x:v>
      </x:c>
      <x:c r="O2165" s="10" t="n">
        <x:f>AE2164*N2165</x:f>
        <x:v>180000</x:v>
      </x:c>
      <x:c r="P2165" s="9" t="n">
        <x:f>MIN(1,(AB2164/(AE2164*IF(v01_GroupInCrowding=1,N2165,MIN(J2165,L2165))))^v01_CrowdingExp)</x:f>
        <x:v>0.00024569414295285325</x:v>
      </x:c>
      <x:c r="Q2165" s="9" t="n">
        <x:f>IF(D2165=1,INDEX(v01_WinterMult,G2165),1)</x:f>
        <x:v>1</x:v>
      </x:c>
      <x:c r="R2165" s="9" t="n">
        <x:f>H2165*Z2164*v01_WomenShare*v01_BaseFertility*INDEX(v01_FertMult,G2165)*Arch_Fertility*(1-P2165)</x:f>
        <x:v>0</x:v>
      </x:c>
      <x:c r="S2165" s="9" t="n">
        <x:f>H2165*Y2164*INDEX(v01_MortChild,G2165)/4*Q2165</x:f>
        <x:v>0</x:v>
      </x:c>
      <x:c r="T2165" s="9" t="n">
        <x:f>H2165*Z2164*INDEX(v01_MortAdult,G2165)*Arch_AdultMort/4*Q2165</x:f>
        <x:v>0</x:v>
      </x:c>
      <x:c r="U2165" s="9" t="n">
        <x:f>H2165*AA2164*INDEX(v01_MortElder,G2165)/4*Q2165</x:f>
        <x:v>0</x:v>
      </x:c>
      <x:c r="V2165" s="9" t="n">
        <x:f>H2165*MAX(0,AB2164-O2165)*v01_OvercapLoss</x:f>
        <x:v>0</x:v>
      </x:c>
      <x:c r="W2165" s="9" t="n">
        <x:f>H2165*Y2164/(v01_ChildYears*4)</x:f>
        <x:v>0</x:v>
      </x:c>
      <x:c r="X2165" s="9" t="n">
        <x:f>H2165*Z2164/(v01_AdultYears*4)</x:f>
        <x:v>0</x:v>
      </x:c>
      <x:c r="Y2165" s="32" t="n">
        <x:f>Y2164+R2165-S2165-W2165-Y2164*V2165/AB2164</x:f>
        <x:v>14306.18539759397</x:v>
      </x:c>
      <x:c r="Z2165" s="32" t="n">
        <x:f>Z2164+W2165-X2165-T2165-Z2164*V2165/AB2164</x:f>
        <x:v>19354.456567879548</x:v>
      </x:c>
      <x:c r="AA2165" s="32" t="n">
        <x:f>AA2164+X2165-U2165-AA2164*V2165/AB2164</x:f>
        <x:v>11386.956063258198</x:v>
      </x:c>
      <x:c r="AB2165" s="10" t="n">
        <x:f>Y2165+Z2165+AA2165</x:f>
        <x:v>45047.59802873172</x:v>
      </x:c>
      <x:c r="AC2165" s="8" t="n">
        <x:f>IF(AND(v01_WinterTrigger=1,D2165=1,AB2164/AE2164&gt;=K2165),1,0)</x:f>
        <x:v>0</x:v>
      </x:c>
      <x:c r="AD2165" s="8" t="n">
        <x:f>H2165*IF(AND(OR(AB2164/AE2164&gt;=v01_FissionTrigger*N2165,AC2165=1),AB2164/AE2164*v01_DaughterShare&gt;=v01_MinDaughter),MAX(1,ROUND(AE2164*v01_FissionRate,0)),0)</x:f>
        <x:v>0</x:v>
      </x:c>
      <x:c r="AE2165" s="8" t="n">
        <x:f>IF(H2165=1,MAX(1,MIN(INDEX(v01_Smax,G2165),AE2164+AD2165)),AE2164)</x:f>
        <x:v>15</x:v>
      </x:c>
      <x:c r="AF2165" s="8" t="n">
        <x:f>MAX(0,AE2165-AE2164)</x:f>
        <x:v>0</x:v>
      </x:c>
      <x:c r="AG2165" s="9" t="str">
        <x:f>IF(AF2165&gt;0,B2165,"")</x:f>
      </x:c>
      <x:c r="AH2165" s="9" t="n">
        <x:f>IF(F2165&gt;=1,1,(1+v01_LowTiesShare*(AE2165-1))/AE2165)</x:f>
        <x:v>1</x:v>
      </x:c>
      <x:c r="AI2165" s="32" t="n">
        <x:f>(Z2165+v01_ElderCommons*INDEX(LM_Elder,G2165)*AA2165)*AH2165</x:f>
        <x:v>64139.732591141874</x:v>
      </x:c>
      <x:c r="AJ2165" s="32" t="n">
        <x:f>H2165*v01_CommonsCoef*AI2165^v01_CommonsExp*INDEX(LM_Commons,G2165)</x:f>
        <x:v>0</x:v>
      </x:c>
      <x:c r="AK2165" s="32" t="n">
        <x:f>H2165*v01_RoleScale*Arch_Roles*(AE2165*(INDEX(v01_ElderRolePerSett,G2165)*v01_OutElder*INDEX(LM_Elder,G2165)+INDEX(v01_ShamanPerSett,G2165)*v01_OutShaman)+Z2165*(INDEX(v01_PriestShare,G2165)*v01_OutPriest+INDEX(v01_ScribeShare,G2165)*v01_OutScribe*INDEX(LM_Scribe,G2165)+INDEX(v01_ScholarShare,G2165)*v01_OutScholar*INDEX(LM_Scholar,G2165)+INDEX(v01_ResearcherShare,G2165)*v01_OutResearcher*INDEX(LM_Researcher,G2165)))</x:f>
        <x:v>0</x:v>
      </x:c>
      <x:c r="AL2165" s="32" t="n">
        <x:f>H2165*v01_RoleScale*Arch_Roles*AE2165*INDEX(v01_MonasteryPerSett,G2165)*v01_OutMonastery*INDEX(LM_Monastery,G2165)</x:f>
        <x:v>0</x:v>
      </x:c>
      <x:c r="AM2165" s="32" t="n">
        <x:f>(AJ2165+AK2165+AL2165)/4*INDEX(LM_All,G2165)*INDEX(v01_Boon,G2165)*Arch_Insight</x:f>
        <x:v>0</x:v>
      </x:c>
      <x:c r="AN2165" s="32" t="n">
        <x:f>H2165*(v01_KHPerAdult*Z2165+v01_KHOfCommons*AJ2165/4*INDEX(LM_All,G2165))*v01_KHUsable*Arch_KH</x:f>
        <x:v>0</x:v>
      </x:c>
      <x:c r="AO2165" s="32" t="n">
        <x:f>MIN(AP2164+AN2165,AM2165*v01_KHMaxRatio)</x:f>
        <x:v>0</x:v>
      </x:c>
      <x:c r="AP2165" s="32" t="n">
        <x:f>AP2164+AN2165-AO2165</x:f>
        <x:v>0</x:v>
      </x:c>
      <x:c r="AQ2165" s="32" t="n">
        <x:f>AM2165+AO2165</x:f>
        <x:v>0</x:v>
      </x:c>
      <x:c r="AR2165" s="10" t="n">
        <x:f>IF(H2165=1,INDEX(v01_Req,G2165),0)</x:f>
        <x:v>0</x:v>
      </x:c>
      <x:c r="AS2165" s="32" t="n">
        <x:f>IF(H2165=1,IF(E2165=1,AS2164-AR2164,AS2164)+AQ2165,0)</x:f>
        <x:v>0</x:v>
      </x:c>
      <x:c r="AT2165" s="11" t="n">
        <x:f>IF(AR2165&gt;0,MIN(1,AS2165/AR2165),1)</x:f>
        <x:v>1</x:v>
      </x:c>
      <x:c r="AU2165" s="10" t="n">
        <x:f>AB2165/INDEX(v01_RepScale,G2165)</x:f>
        <x:v>90.09519605746344</x:v>
      </x:c>
      <x:c r="AV2165" s="32" t="n">
        <x:f>AM2165*60/v01_SeasonSeconds</x:f>
        <x:v>0</x:v>
      </x:c>
    </x:row>
    <x:row r="2166">
      <x:c r="A2166" s="8" t="n">
        <x:f>A2165+1</x:f>
        <x:v>2163</x:v>
      </x:c>
      <x:c r="B2166" s="9" t="n">
        <x:f>A2166*v01_SeasonSeconds/60</x:f>
        <x:v>540.75</x:v>
      </x:c>
      <x:c r="C2166" s="9" t="n">
        <x:f>A2166/4</x:f>
        <x:v>540.75</x:v>
      </x:c>
      <x:c r="D2166" s="8" t="n">
        <x:f>IF(MOD(A2166,4)=0,1,0)</x:f>
        <x:v>0</x:v>
      </x:c>
      <x:c r="E2166" s="8" t="n">
        <x:f>IF(AND(F2165&lt;=9,AS2165&gt;=AR2165),1,0)</x:f>
        <x:v>0</x:v>
      </x:c>
      <x:c r="F2166" s="8" t="n">
        <x:f>MIN(10,F2165+E2166)</x:f>
        <x:v>10</x:v>
      </x:c>
      <x:c r="G2166" s="8" t="n">
        <x:f>MIN(F2166,9)+1</x:f>
        <x:v>10</x:v>
      </x:c>
      <x:c r="H2166" s="8" t="n">
        <x:f>IF(F2166&lt;=9,1,0)</x:f>
        <x:v>0</x:v>
      </x:c>
      <x:c r="I2166" s="9" t="n">
        <x:f>MIN(10,F2165+IF(AR2165&gt;0,MIN(1,AS2165/AR2165),1))</x:f>
        <x:v>10</x:v>
      </x:c>
      <x:c r="J2166" s="32" t="n">
        <x:f>INDEX(v01_FoodCap,G2166)*Arch_FoodCap*EXP(v01_CapsByProject*SUMPRODUCT((Cap_Point&lt;=I2166)*(Cap_Kind="Food")*Cap_Ln))</x:f>
        <x:v>12000</x:v>
      </x:c>
      <x:c r="K2166" s="32" t="n">
        <x:f>J2166*MIN(1,v01_LeanBase*EXP(v01_CapsByProject*SUMPRODUCT((Cap_Point&lt;=I2166)*(Cap_Kind="Lean")*Cap_Ln)))</x:f>
        <x:v>12000</x:v>
      </x:c>
      <x:c r="L2166" s="10" t="n">
        <x:f>INDEX(v01_HousingCap,G2166)*EXP(v01_CapsByProject*SUMPRODUCT((Cap_Point&lt;=I2166)*(Cap_Kind="Housing")*Cap_Ln))</x:f>
        <x:v>20000</x:v>
      </x:c>
      <x:c r="M2166" s="10" t="n">
        <x:f>INDEX(v01_GroupCap,G2166)*v01_CohesionFactor*EXP(v01_CapsByProject*SUMPRODUCT((Cap_Point&lt;=I2166)*(Cap_Kind="Group")*Cap_Ln))</x:f>
        <x:v>1000000</x:v>
      </x:c>
      <x:c r="N2166" s="32" t="n">
        <x:f>MIN(J2166,L2166,M2166)</x:f>
        <x:v>12000</x:v>
      </x:c>
      <x:c r="O2166" s="10" t="n">
        <x:f>AE2165*N2166</x:f>
        <x:v>180000</x:v>
      </x:c>
      <x:c r="P2166" s="9" t="n">
        <x:f>MIN(1,(AB2165/(AE2165*IF(v01_GroupInCrowding=1,N2166,MIN(J2166,L2166))))^v01_CrowdingExp)</x:f>
        <x:v>0.00024569414295285325</x:v>
      </x:c>
      <x:c r="Q2166" s="9" t="n">
        <x:f>IF(D2166=1,INDEX(v01_WinterMult,G2166),1)</x:f>
        <x:v>1</x:v>
      </x:c>
      <x:c r="R2166" s="9" t="n">
        <x:f>H2166*Z2165*v01_WomenShare*v01_BaseFertility*INDEX(v01_FertMult,G2166)*Arch_Fertility*(1-P2166)</x:f>
        <x:v>0</x:v>
      </x:c>
      <x:c r="S2166" s="9" t="n">
        <x:f>H2166*Y2165*INDEX(v01_MortChild,G2166)/4*Q2166</x:f>
        <x:v>0</x:v>
      </x:c>
      <x:c r="T2166" s="9" t="n">
        <x:f>H2166*Z2165*INDEX(v01_MortAdult,G2166)*Arch_AdultMort/4*Q2166</x:f>
        <x:v>0</x:v>
      </x:c>
      <x:c r="U2166" s="9" t="n">
        <x:f>H2166*AA2165*INDEX(v01_MortElder,G2166)/4*Q2166</x:f>
        <x:v>0</x:v>
      </x:c>
      <x:c r="V2166" s="9" t="n">
        <x:f>H2166*MAX(0,AB2165-O2166)*v01_OvercapLoss</x:f>
        <x:v>0</x:v>
      </x:c>
      <x:c r="W2166" s="9" t="n">
        <x:f>H2166*Y2165/(v01_ChildYears*4)</x:f>
        <x:v>0</x:v>
      </x:c>
      <x:c r="X2166" s="9" t="n">
        <x:f>H2166*Z2165/(v01_AdultYears*4)</x:f>
        <x:v>0</x:v>
      </x:c>
      <x:c r="Y2166" s="32" t="n">
        <x:f>Y2165+R2166-S2166-W2166-Y2165*V2166/AB2165</x:f>
        <x:v>14306.18539759397</x:v>
      </x:c>
      <x:c r="Z2166" s="32" t="n">
        <x:f>Z2165+W2166-X2166-T2166-Z2165*V2166/AB2165</x:f>
        <x:v>19354.456567879548</x:v>
      </x:c>
      <x:c r="AA2166" s="32" t="n">
        <x:f>AA2165+X2166-U2166-AA2165*V2166/AB2165</x:f>
        <x:v>11386.956063258198</x:v>
      </x:c>
      <x:c r="AB2166" s="10" t="n">
        <x:f>Y2166+Z2166+AA2166</x:f>
        <x:v>45047.59802873172</x:v>
      </x:c>
      <x:c r="AC2166" s="8" t="n">
        <x:f>IF(AND(v01_WinterTrigger=1,D2166=1,AB2165/AE2165&gt;=K2166),1,0)</x:f>
        <x:v>0</x:v>
      </x:c>
      <x:c r="AD2166" s="8" t="n">
        <x:f>H2166*IF(AND(OR(AB2165/AE2165&gt;=v01_FissionTrigger*N2166,AC2166=1),AB2165/AE2165*v01_DaughterShare&gt;=v01_MinDaughter),MAX(1,ROUND(AE2165*v01_FissionRate,0)),0)</x:f>
        <x:v>0</x:v>
      </x:c>
      <x:c r="AE2166" s="8" t="n">
        <x:f>IF(H2166=1,MAX(1,MIN(INDEX(v01_Smax,G2166),AE2165+AD2166)),AE2165)</x:f>
        <x:v>15</x:v>
      </x:c>
      <x:c r="AF2166" s="8" t="n">
        <x:f>MAX(0,AE2166-AE2165)</x:f>
        <x:v>0</x:v>
      </x:c>
      <x:c r="AG2166" s="9" t="str">
        <x:f>IF(AF2166&gt;0,B2166,"")</x:f>
      </x:c>
      <x:c r="AH2166" s="9" t="n">
        <x:f>IF(F2166&gt;=1,1,(1+v01_LowTiesShare*(AE2166-1))/AE2166)</x:f>
        <x:v>1</x:v>
      </x:c>
      <x:c r="AI2166" s="32" t="n">
        <x:f>(Z2166+v01_ElderCommons*INDEX(LM_Elder,G2166)*AA2166)*AH2166</x:f>
        <x:v>64139.732591141874</x:v>
      </x:c>
      <x:c r="AJ2166" s="32" t="n">
        <x:f>H2166*v01_CommonsCoef*AI2166^v01_CommonsExp*INDEX(LM_Commons,G2166)</x:f>
        <x:v>0</x:v>
      </x:c>
      <x:c r="AK2166" s="32" t="n">
        <x:f>H2166*v01_RoleScale*Arch_Roles*(AE2166*(INDEX(v01_ElderRolePerSett,G2166)*v01_OutElder*INDEX(LM_Elder,G2166)+INDEX(v01_ShamanPerSett,G2166)*v01_OutShaman)+Z2166*(INDEX(v01_PriestShare,G2166)*v01_OutPriest+INDEX(v01_ScribeShare,G2166)*v01_OutScribe*INDEX(LM_Scribe,G2166)+INDEX(v01_ScholarShare,G2166)*v01_OutScholar*INDEX(LM_Scholar,G2166)+INDEX(v01_ResearcherShare,G2166)*v01_OutResearcher*INDEX(LM_Researcher,G2166)))</x:f>
        <x:v>0</x:v>
      </x:c>
      <x:c r="AL2166" s="32" t="n">
        <x:f>H2166*v01_RoleScale*Arch_Roles*AE2166*INDEX(v01_MonasteryPerSett,G2166)*v01_OutMonastery*INDEX(LM_Monastery,G2166)</x:f>
        <x:v>0</x:v>
      </x:c>
      <x:c r="AM2166" s="32" t="n">
        <x:f>(AJ2166+AK2166+AL2166)/4*INDEX(LM_All,G2166)*INDEX(v01_Boon,G2166)*Arch_Insight</x:f>
        <x:v>0</x:v>
      </x:c>
      <x:c r="AN2166" s="32" t="n">
        <x:f>H2166*(v01_KHPerAdult*Z2166+v01_KHOfCommons*AJ2166/4*INDEX(LM_All,G2166))*v01_KHUsable*Arch_KH</x:f>
        <x:v>0</x:v>
      </x:c>
      <x:c r="AO2166" s="32" t="n">
        <x:f>MIN(AP2165+AN2166,AM2166*v01_KHMaxRatio)</x:f>
        <x:v>0</x:v>
      </x:c>
      <x:c r="AP2166" s="32" t="n">
        <x:f>AP2165+AN2166-AO2166</x:f>
        <x:v>0</x:v>
      </x:c>
      <x:c r="AQ2166" s="32" t="n">
        <x:f>AM2166+AO2166</x:f>
        <x:v>0</x:v>
      </x:c>
      <x:c r="AR2166" s="10" t="n">
        <x:f>IF(H2166=1,INDEX(v01_Req,G2166),0)</x:f>
        <x:v>0</x:v>
      </x:c>
      <x:c r="AS2166" s="32" t="n">
        <x:f>IF(H2166=1,IF(E2166=1,AS2165-AR2165,AS2165)+AQ2166,0)</x:f>
        <x:v>0</x:v>
      </x:c>
      <x:c r="AT2166" s="11" t="n">
        <x:f>IF(AR2166&gt;0,MIN(1,AS2166/AR2166),1)</x:f>
        <x:v>1</x:v>
      </x:c>
      <x:c r="AU2166" s="10" t="n">
        <x:f>AB2166/INDEX(v01_RepScale,G2166)</x:f>
        <x:v>90.09519605746344</x:v>
      </x:c>
      <x:c r="AV2166" s="32" t="n">
        <x:f>AM2166*60/v01_SeasonSeconds</x:f>
        <x:v>0</x:v>
      </x:c>
    </x:row>
    <x:row r="2167">
      <x:c r="A2167" s="8" t="n">
        <x:f>A2166+1</x:f>
        <x:v>2164</x:v>
      </x:c>
      <x:c r="B2167" s="9" t="n">
        <x:f>A2167*v01_SeasonSeconds/60</x:f>
        <x:v>541</x:v>
      </x:c>
      <x:c r="C2167" s="9" t="n">
        <x:f>A2167/4</x:f>
        <x:v>541</x:v>
      </x:c>
      <x:c r="D2167" s="8" t="n">
        <x:f>IF(MOD(A2167,4)=0,1,0)</x:f>
        <x:v>1</x:v>
      </x:c>
      <x:c r="E2167" s="8" t="n">
        <x:f>IF(AND(F2166&lt;=9,AS2166&gt;=AR2166),1,0)</x:f>
        <x:v>0</x:v>
      </x:c>
      <x:c r="F2167" s="8" t="n">
        <x:f>MIN(10,F2166+E2167)</x:f>
        <x:v>10</x:v>
      </x:c>
      <x:c r="G2167" s="8" t="n">
        <x:f>MIN(F2167,9)+1</x:f>
        <x:v>10</x:v>
      </x:c>
      <x:c r="H2167" s="8" t="n">
        <x:f>IF(F2167&lt;=9,1,0)</x:f>
        <x:v>0</x:v>
      </x:c>
      <x:c r="I2167" s="9" t="n">
        <x:f>MIN(10,F2166+IF(AR2166&gt;0,MIN(1,AS2166/AR2166),1))</x:f>
        <x:v>10</x:v>
      </x:c>
      <x:c r="J2167" s="32" t="n">
        <x:f>INDEX(v01_FoodCap,G2167)*Arch_FoodCap*EXP(v01_CapsByProject*SUMPRODUCT((Cap_Point&lt;=I2167)*(Cap_Kind="Food")*Cap_Ln))</x:f>
        <x:v>12000</x:v>
      </x:c>
      <x:c r="K2167" s="32" t="n">
        <x:f>J2167*MIN(1,v01_LeanBase*EXP(v01_CapsByProject*SUMPRODUCT((Cap_Point&lt;=I2167)*(Cap_Kind="Lean")*Cap_Ln)))</x:f>
        <x:v>12000</x:v>
      </x:c>
      <x:c r="L2167" s="10" t="n">
        <x:f>INDEX(v01_HousingCap,G2167)*EXP(v01_CapsByProject*SUMPRODUCT((Cap_Point&lt;=I2167)*(Cap_Kind="Housing")*Cap_Ln))</x:f>
        <x:v>20000</x:v>
      </x:c>
      <x:c r="M2167" s="10" t="n">
        <x:f>INDEX(v01_GroupCap,G2167)*v01_CohesionFactor*EXP(v01_CapsByProject*SUMPRODUCT((Cap_Point&lt;=I2167)*(Cap_Kind="Group")*Cap_Ln))</x:f>
        <x:v>1000000</x:v>
      </x:c>
      <x:c r="N2167" s="32" t="n">
        <x:f>MIN(J2167,L2167,M2167)</x:f>
        <x:v>12000</x:v>
      </x:c>
      <x:c r="O2167" s="10" t="n">
        <x:f>AE2166*N2167</x:f>
        <x:v>180000</x:v>
      </x:c>
      <x:c r="P2167" s="9" t="n">
        <x:f>MIN(1,(AB2166/(AE2166*IF(v01_GroupInCrowding=1,N2167,MIN(J2167,L2167))))^v01_CrowdingExp)</x:f>
        <x:v>0.00024569414295285325</x:v>
      </x:c>
      <x:c r="Q2167" s="9" t="n">
        <x:f>IF(D2167=1,INDEX(v01_WinterMult,G2167),1)</x:f>
        <x:v>1</x:v>
      </x:c>
      <x:c r="R2167" s="9" t="n">
        <x:f>H2167*Z2166*v01_WomenShare*v01_BaseFertility*INDEX(v01_FertMult,G2167)*Arch_Fertility*(1-P2167)</x:f>
        <x:v>0</x:v>
      </x:c>
      <x:c r="S2167" s="9" t="n">
        <x:f>H2167*Y2166*INDEX(v01_MortChild,G2167)/4*Q2167</x:f>
        <x:v>0</x:v>
      </x:c>
      <x:c r="T2167" s="9" t="n">
        <x:f>H2167*Z2166*INDEX(v01_MortAdult,G2167)*Arch_AdultMort/4*Q2167</x:f>
        <x:v>0</x:v>
      </x:c>
      <x:c r="U2167" s="9" t="n">
        <x:f>H2167*AA2166*INDEX(v01_MortElder,G2167)/4*Q2167</x:f>
        <x:v>0</x:v>
      </x:c>
      <x:c r="V2167" s="9" t="n">
        <x:f>H2167*MAX(0,AB2166-O2167)*v01_OvercapLoss</x:f>
        <x:v>0</x:v>
      </x:c>
      <x:c r="W2167" s="9" t="n">
        <x:f>H2167*Y2166/(v01_ChildYears*4)</x:f>
        <x:v>0</x:v>
      </x:c>
      <x:c r="X2167" s="9" t="n">
        <x:f>H2167*Z2166/(v01_AdultYears*4)</x:f>
        <x:v>0</x:v>
      </x:c>
      <x:c r="Y2167" s="32" t="n">
        <x:f>Y2166+R2167-S2167-W2167-Y2166*V2167/AB2166</x:f>
        <x:v>14306.18539759397</x:v>
      </x:c>
      <x:c r="Z2167" s="32" t="n">
        <x:f>Z2166+W2167-X2167-T2167-Z2166*V2167/AB2166</x:f>
        <x:v>19354.456567879548</x:v>
      </x:c>
      <x:c r="AA2167" s="32" t="n">
        <x:f>AA2166+X2167-U2167-AA2166*V2167/AB2166</x:f>
        <x:v>11386.956063258198</x:v>
      </x:c>
      <x:c r="AB2167" s="10" t="n">
        <x:f>Y2167+Z2167+AA2167</x:f>
        <x:v>45047.59802873172</x:v>
      </x:c>
      <x:c r="AC2167" s="8" t="n">
        <x:f>IF(AND(v01_WinterTrigger=1,D2167=1,AB2166/AE2166&gt;=K2167),1,0)</x:f>
        <x:v>0</x:v>
      </x:c>
      <x:c r="AD2167" s="8" t="n">
        <x:f>H2167*IF(AND(OR(AB2166/AE2166&gt;=v01_FissionTrigger*N2167,AC2167=1),AB2166/AE2166*v01_DaughterShare&gt;=v01_MinDaughter),MAX(1,ROUND(AE2166*v01_FissionRate,0)),0)</x:f>
        <x:v>0</x:v>
      </x:c>
      <x:c r="AE2167" s="8" t="n">
        <x:f>IF(H2167=1,MAX(1,MIN(INDEX(v01_Smax,G2167),AE2166+AD2167)),AE2166)</x:f>
        <x:v>15</x:v>
      </x:c>
      <x:c r="AF2167" s="8" t="n">
        <x:f>MAX(0,AE2167-AE2166)</x:f>
        <x:v>0</x:v>
      </x:c>
      <x:c r="AG2167" s="9" t="str">
        <x:f>IF(AF2167&gt;0,B2167,"")</x:f>
      </x:c>
      <x:c r="AH2167" s="9" t="n">
        <x:f>IF(F2167&gt;=1,1,(1+v01_LowTiesShare*(AE2167-1))/AE2167)</x:f>
        <x:v>1</x:v>
      </x:c>
      <x:c r="AI2167" s="32" t="n">
        <x:f>(Z2167+v01_ElderCommons*INDEX(LM_Elder,G2167)*AA2167)*AH2167</x:f>
        <x:v>64139.732591141874</x:v>
      </x:c>
      <x:c r="AJ2167" s="32" t="n">
        <x:f>H2167*v01_CommonsCoef*AI2167^v01_CommonsExp*INDEX(LM_Commons,G2167)</x:f>
        <x:v>0</x:v>
      </x:c>
      <x:c r="AK2167" s="32" t="n">
        <x:f>H2167*v01_RoleScale*Arch_Roles*(AE2167*(INDEX(v01_ElderRolePerSett,G2167)*v01_OutElder*INDEX(LM_Elder,G2167)+INDEX(v01_ShamanPerSett,G2167)*v01_OutShaman)+Z2167*(INDEX(v01_PriestShare,G2167)*v01_OutPriest+INDEX(v01_ScribeShare,G2167)*v01_OutScribe*INDEX(LM_Scribe,G2167)+INDEX(v01_ScholarShare,G2167)*v01_OutScholar*INDEX(LM_Scholar,G2167)+INDEX(v01_ResearcherShare,G2167)*v01_OutResearcher*INDEX(LM_Researcher,G2167)))</x:f>
        <x:v>0</x:v>
      </x:c>
      <x:c r="AL2167" s="32" t="n">
        <x:f>H2167*v01_RoleScale*Arch_Roles*AE2167*INDEX(v01_MonasteryPerSett,G2167)*v01_OutMonastery*INDEX(LM_Monastery,G2167)</x:f>
        <x:v>0</x:v>
      </x:c>
      <x:c r="AM2167" s="32" t="n">
        <x:f>(AJ2167+AK2167+AL2167)/4*INDEX(LM_All,G2167)*INDEX(v01_Boon,G2167)*Arch_Insight</x:f>
        <x:v>0</x:v>
      </x:c>
      <x:c r="AN2167" s="32" t="n">
        <x:f>H2167*(v01_KHPerAdult*Z2167+v01_KHOfCommons*AJ2167/4*INDEX(LM_All,G2167))*v01_KHUsable*Arch_KH</x:f>
        <x:v>0</x:v>
      </x:c>
      <x:c r="AO2167" s="32" t="n">
        <x:f>MIN(AP2166+AN2167,AM2167*v01_KHMaxRatio)</x:f>
        <x:v>0</x:v>
      </x:c>
      <x:c r="AP2167" s="32" t="n">
        <x:f>AP2166+AN2167-AO2167</x:f>
        <x:v>0</x:v>
      </x:c>
      <x:c r="AQ2167" s="32" t="n">
        <x:f>AM2167+AO2167</x:f>
        <x:v>0</x:v>
      </x:c>
      <x:c r="AR2167" s="10" t="n">
        <x:f>IF(H2167=1,INDEX(v01_Req,G2167),0)</x:f>
        <x:v>0</x:v>
      </x:c>
      <x:c r="AS2167" s="32" t="n">
        <x:f>IF(H2167=1,IF(E2167=1,AS2166-AR2166,AS2166)+AQ2167,0)</x:f>
        <x:v>0</x:v>
      </x:c>
      <x:c r="AT2167" s="11" t="n">
        <x:f>IF(AR2167&gt;0,MIN(1,AS2167/AR2167),1)</x:f>
        <x:v>1</x:v>
      </x:c>
      <x:c r="AU2167" s="10" t="n">
        <x:f>AB2167/INDEX(v01_RepScale,G2167)</x:f>
        <x:v>90.09519605746344</x:v>
      </x:c>
      <x:c r="AV2167" s="32" t="n">
        <x:f>AM2167*60/v01_SeasonSeconds</x:f>
        <x:v>0</x:v>
      </x:c>
    </x:row>
    <x:row r="2168">
      <x:c r="A2168" s="8" t="n">
        <x:f>A2167+1</x:f>
        <x:v>2165</x:v>
      </x:c>
      <x:c r="B2168" s="9" t="n">
        <x:f>A2168*v01_SeasonSeconds/60</x:f>
        <x:v>541.25</x:v>
      </x:c>
      <x:c r="C2168" s="9" t="n">
        <x:f>A2168/4</x:f>
        <x:v>541.25</x:v>
      </x:c>
      <x:c r="D2168" s="8" t="n">
        <x:f>IF(MOD(A2168,4)=0,1,0)</x:f>
        <x:v>0</x:v>
      </x:c>
      <x:c r="E2168" s="8" t="n">
        <x:f>IF(AND(F2167&lt;=9,AS2167&gt;=AR2167),1,0)</x:f>
        <x:v>0</x:v>
      </x:c>
      <x:c r="F2168" s="8" t="n">
        <x:f>MIN(10,F2167+E2168)</x:f>
        <x:v>10</x:v>
      </x:c>
      <x:c r="G2168" s="8" t="n">
        <x:f>MIN(F2168,9)+1</x:f>
        <x:v>10</x:v>
      </x:c>
      <x:c r="H2168" s="8" t="n">
        <x:f>IF(F2168&lt;=9,1,0)</x:f>
        <x:v>0</x:v>
      </x:c>
      <x:c r="I2168" s="9" t="n">
        <x:f>MIN(10,F2167+IF(AR2167&gt;0,MIN(1,AS2167/AR2167),1))</x:f>
        <x:v>10</x:v>
      </x:c>
      <x:c r="J2168" s="32" t="n">
        <x:f>INDEX(v01_FoodCap,G2168)*Arch_FoodCap*EXP(v01_CapsByProject*SUMPRODUCT((Cap_Point&lt;=I2168)*(Cap_Kind="Food")*Cap_Ln))</x:f>
        <x:v>12000</x:v>
      </x:c>
      <x:c r="K2168" s="32" t="n">
        <x:f>J2168*MIN(1,v01_LeanBase*EXP(v01_CapsByProject*SUMPRODUCT((Cap_Point&lt;=I2168)*(Cap_Kind="Lean")*Cap_Ln)))</x:f>
        <x:v>12000</x:v>
      </x:c>
      <x:c r="L2168" s="10" t="n">
        <x:f>INDEX(v01_HousingCap,G2168)*EXP(v01_CapsByProject*SUMPRODUCT((Cap_Point&lt;=I2168)*(Cap_Kind="Housing")*Cap_Ln))</x:f>
        <x:v>20000</x:v>
      </x:c>
      <x:c r="M2168" s="10" t="n">
        <x:f>INDEX(v01_GroupCap,G2168)*v01_CohesionFactor*EXP(v01_CapsByProject*SUMPRODUCT((Cap_Point&lt;=I2168)*(Cap_Kind="Group")*Cap_Ln))</x:f>
        <x:v>1000000</x:v>
      </x:c>
      <x:c r="N2168" s="32" t="n">
        <x:f>MIN(J2168,L2168,M2168)</x:f>
        <x:v>12000</x:v>
      </x:c>
      <x:c r="O2168" s="10" t="n">
        <x:f>AE2167*N2168</x:f>
        <x:v>180000</x:v>
      </x:c>
      <x:c r="P2168" s="9" t="n">
        <x:f>MIN(1,(AB2167/(AE2167*IF(v01_GroupInCrowding=1,N2168,MIN(J2168,L2168))))^v01_CrowdingExp)</x:f>
        <x:v>0.00024569414295285325</x:v>
      </x:c>
      <x:c r="Q2168" s="9" t="n">
        <x:f>IF(D2168=1,INDEX(v01_WinterMult,G2168),1)</x:f>
        <x:v>1</x:v>
      </x:c>
      <x:c r="R2168" s="9" t="n">
        <x:f>H2168*Z2167*v01_WomenShare*v01_BaseFertility*INDEX(v01_FertMult,G2168)*Arch_Fertility*(1-P2168)</x:f>
        <x:v>0</x:v>
      </x:c>
      <x:c r="S2168" s="9" t="n">
        <x:f>H2168*Y2167*INDEX(v01_MortChild,G2168)/4*Q2168</x:f>
        <x:v>0</x:v>
      </x:c>
      <x:c r="T2168" s="9" t="n">
        <x:f>H2168*Z2167*INDEX(v01_MortAdult,G2168)*Arch_AdultMort/4*Q2168</x:f>
        <x:v>0</x:v>
      </x:c>
      <x:c r="U2168" s="9" t="n">
        <x:f>H2168*AA2167*INDEX(v01_MortElder,G2168)/4*Q2168</x:f>
        <x:v>0</x:v>
      </x:c>
      <x:c r="V2168" s="9" t="n">
        <x:f>H2168*MAX(0,AB2167-O2168)*v01_OvercapLoss</x:f>
        <x:v>0</x:v>
      </x:c>
      <x:c r="W2168" s="9" t="n">
        <x:f>H2168*Y2167/(v01_ChildYears*4)</x:f>
        <x:v>0</x:v>
      </x:c>
      <x:c r="X2168" s="9" t="n">
        <x:f>H2168*Z2167/(v01_AdultYears*4)</x:f>
        <x:v>0</x:v>
      </x:c>
      <x:c r="Y2168" s="32" t="n">
        <x:f>Y2167+R2168-S2168-W2168-Y2167*V2168/AB2167</x:f>
        <x:v>14306.18539759397</x:v>
      </x:c>
      <x:c r="Z2168" s="32" t="n">
        <x:f>Z2167+W2168-X2168-T2168-Z2167*V2168/AB2167</x:f>
        <x:v>19354.456567879548</x:v>
      </x:c>
      <x:c r="AA2168" s="32" t="n">
        <x:f>AA2167+X2168-U2168-AA2167*V2168/AB2167</x:f>
        <x:v>11386.956063258198</x:v>
      </x:c>
      <x:c r="AB2168" s="10" t="n">
        <x:f>Y2168+Z2168+AA2168</x:f>
        <x:v>45047.59802873172</x:v>
      </x:c>
      <x:c r="AC2168" s="8" t="n">
        <x:f>IF(AND(v01_WinterTrigger=1,D2168=1,AB2167/AE2167&gt;=K2168),1,0)</x:f>
        <x:v>0</x:v>
      </x:c>
      <x:c r="AD2168" s="8" t="n">
        <x:f>H2168*IF(AND(OR(AB2167/AE2167&gt;=v01_FissionTrigger*N2168,AC2168=1),AB2167/AE2167*v01_DaughterShare&gt;=v01_MinDaughter),MAX(1,ROUND(AE2167*v01_FissionRate,0)),0)</x:f>
        <x:v>0</x:v>
      </x:c>
      <x:c r="AE2168" s="8" t="n">
        <x:f>IF(H2168=1,MAX(1,MIN(INDEX(v01_Smax,G2168),AE2167+AD2168)),AE2167)</x:f>
        <x:v>15</x:v>
      </x:c>
      <x:c r="AF2168" s="8" t="n">
        <x:f>MAX(0,AE2168-AE2167)</x:f>
        <x:v>0</x:v>
      </x:c>
      <x:c r="AG2168" s="9" t="str">
        <x:f>IF(AF2168&gt;0,B2168,"")</x:f>
      </x:c>
      <x:c r="AH2168" s="9" t="n">
        <x:f>IF(F2168&gt;=1,1,(1+v01_LowTiesShare*(AE2168-1))/AE2168)</x:f>
        <x:v>1</x:v>
      </x:c>
      <x:c r="AI2168" s="32" t="n">
        <x:f>(Z2168+v01_ElderCommons*INDEX(LM_Elder,G2168)*AA2168)*AH2168</x:f>
        <x:v>64139.732591141874</x:v>
      </x:c>
      <x:c r="AJ2168" s="32" t="n">
        <x:f>H2168*v01_CommonsCoef*AI2168^v01_CommonsExp*INDEX(LM_Commons,G2168)</x:f>
        <x:v>0</x:v>
      </x:c>
      <x:c r="AK2168" s="32" t="n">
        <x:f>H2168*v01_RoleScale*Arch_Roles*(AE2168*(INDEX(v01_ElderRolePerSett,G2168)*v01_OutElder*INDEX(LM_Elder,G2168)+INDEX(v01_ShamanPerSett,G2168)*v01_OutShaman)+Z2168*(INDEX(v01_PriestShare,G2168)*v01_OutPriest+INDEX(v01_ScribeShare,G2168)*v01_OutScribe*INDEX(LM_Scribe,G2168)+INDEX(v01_ScholarShare,G2168)*v01_OutScholar*INDEX(LM_Scholar,G2168)+INDEX(v01_ResearcherShare,G2168)*v01_OutResearcher*INDEX(LM_Researcher,G2168)))</x:f>
        <x:v>0</x:v>
      </x:c>
      <x:c r="AL2168" s="32" t="n">
        <x:f>H2168*v01_RoleScale*Arch_Roles*AE2168*INDEX(v01_MonasteryPerSett,G2168)*v01_OutMonastery*INDEX(LM_Monastery,G2168)</x:f>
        <x:v>0</x:v>
      </x:c>
      <x:c r="AM2168" s="32" t="n">
        <x:f>(AJ2168+AK2168+AL2168)/4*INDEX(LM_All,G2168)*INDEX(v01_Boon,G2168)*Arch_Insight</x:f>
        <x:v>0</x:v>
      </x:c>
      <x:c r="AN2168" s="32" t="n">
        <x:f>H2168*(v01_KHPerAdult*Z2168+v01_KHOfCommons*AJ2168/4*INDEX(LM_All,G2168))*v01_KHUsable*Arch_KH</x:f>
        <x:v>0</x:v>
      </x:c>
      <x:c r="AO2168" s="32" t="n">
        <x:f>MIN(AP2167+AN2168,AM2168*v01_KHMaxRatio)</x:f>
        <x:v>0</x:v>
      </x:c>
      <x:c r="AP2168" s="32" t="n">
        <x:f>AP2167+AN2168-AO2168</x:f>
        <x:v>0</x:v>
      </x:c>
      <x:c r="AQ2168" s="32" t="n">
        <x:f>AM2168+AO2168</x:f>
        <x:v>0</x:v>
      </x:c>
      <x:c r="AR2168" s="10" t="n">
        <x:f>IF(H2168=1,INDEX(v01_Req,G2168),0)</x:f>
        <x:v>0</x:v>
      </x:c>
      <x:c r="AS2168" s="32" t="n">
        <x:f>IF(H2168=1,IF(E2168=1,AS2167-AR2167,AS2167)+AQ2168,0)</x:f>
        <x:v>0</x:v>
      </x:c>
      <x:c r="AT2168" s="11" t="n">
        <x:f>IF(AR2168&gt;0,MIN(1,AS2168/AR2168),1)</x:f>
        <x:v>1</x:v>
      </x:c>
      <x:c r="AU2168" s="10" t="n">
        <x:f>AB2168/INDEX(v01_RepScale,G2168)</x:f>
        <x:v>90.09519605746344</x:v>
      </x:c>
      <x:c r="AV2168" s="32" t="n">
        <x:f>AM2168*60/v01_SeasonSeconds</x:f>
        <x:v>0</x:v>
      </x:c>
    </x:row>
    <x:row r="2169">
      <x:c r="A2169" s="8" t="n">
        <x:f>A2168+1</x:f>
        <x:v>2166</x:v>
      </x:c>
      <x:c r="B2169" s="9" t="n">
        <x:f>A2169*v01_SeasonSeconds/60</x:f>
        <x:v>541.5</x:v>
      </x:c>
      <x:c r="C2169" s="9" t="n">
        <x:f>A2169/4</x:f>
        <x:v>541.5</x:v>
      </x:c>
      <x:c r="D2169" s="8" t="n">
        <x:f>IF(MOD(A2169,4)=0,1,0)</x:f>
        <x:v>0</x:v>
      </x:c>
      <x:c r="E2169" s="8" t="n">
        <x:f>IF(AND(F2168&lt;=9,AS2168&gt;=AR2168),1,0)</x:f>
        <x:v>0</x:v>
      </x:c>
      <x:c r="F2169" s="8" t="n">
        <x:f>MIN(10,F2168+E2169)</x:f>
        <x:v>10</x:v>
      </x:c>
      <x:c r="G2169" s="8" t="n">
        <x:f>MIN(F2169,9)+1</x:f>
        <x:v>10</x:v>
      </x:c>
      <x:c r="H2169" s="8" t="n">
        <x:f>IF(F2169&lt;=9,1,0)</x:f>
        <x:v>0</x:v>
      </x:c>
      <x:c r="I2169" s="9" t="n">
        <x:f>MIN(10,F2168+IF(AR2168&gt;0,MIN(1,AS2168/AR2168),1))</x:f>
        <x:v>10</x:v>
      </x:c>
      <x:c r="J2169" s="32" t="n">
        <x:f>INDEX(v01_FoodCap,G2169)*Arch_FoodCap*EXP(v01_CapsByProject*SUMPRODUCT((Cap_Point&lt;=I2169)*(Cap_Kind="Food")*Cap_Ln))</x:f>
        <x:v>12000</x:v>
      </x:c>
      <x:c r="K2169" s="32" t="n">
        <x:f>J2169*MIN(1,v01_LeanBase*EXP(v01_CapsByProject*SUMPRODUCT((Cap_Point&lt;=I2169)*(Cap_Kind="Lean")*Cap_Ln)))</x:f>
        <x:v>12000</x:v>
      </x:c>
      <x:c r="L2169" s="10" t="n">
        <x:f>INDEX(v01_HousingCap,G2169)*EXP(v01_CapsByProject*SUMPRODUCT((Cap_Point&lt;=I2169)*(Cap_Kind="Housing")*Cap_Ln))</x:f>
        <x:v>20000</x:v>
      </x:c>
      <x:c r="M2169" s="10" t="n">
        <x:f>INDEX(v01_GroupCap,G2169)*v01_CohesionFactor*EXP(v01_CapsByProject*SUMPRODUCT((Cap_Point&lt;=I2169)*(Cap_Kind="Group")*Cap_Ln))</x:f>
        <x:v>1000000</x:v>
      </x:c>
      <x:c r="N2169" s="32" t="n">
        <x:f>MIN(J2169,L2169,M2169)</x:f>
        <x:v>12000</x:v>
      </x:c>
      <x:c r="O2169" s="10" t="n">
        <x:f>AE2168*N2169</x:f>
        <x:v>180000</x:v>
      </x:c>
      <x:c r="P2169" s="9" t="n">
        <x:f>MIN(1,(AB2168/(AE2168*IF(v01_GroupInCrowding=1,N2169,MIN(J2169,L2169))))^v01_CrowdingExp)</x:f>
        <x:v>0.00024569414295285325</x:v>
      </x:c>
      <x:c r="Q2169" s="9" t="n">
        <x:f>IF(D2169=1,INDEX(v01_WinterMult,G2169),1)</x:f>
        <x:v>1</x:v>
      </x:c>
      <x:c r="R2169" s="9" t="n">
        <x:f>H2169*Z2168*v01_WomenShare*v01_BaseFertility*INDEX(v01_FertMult,G2169)*Arch_Fertility*(1-P2169)</x:f>
        <x:v>0</x:v>
      </x:c>
      <x:c r="S2169" s="9" t="n">
        <x:f>H2169*Y2168*INDEX(v01_MortChild,G2169)/4*Q2169</x:f>
        <x:v>0</x:v>
      </x:c>
      <x:c r="T2169" s="9" t="n">
        <x:f>H2169*Z2168*INDEX(v01_MortAdult,G2169)*Arch_AdultMort/4*Q2169</x:f>
        <x:v>0</x:v>
      </x:c>
      <x:c r="U2169" s="9" t="n">
        <x:f>H2169*AA2168*INDEX(v01_MortElder,G2169)/4*Q2169</x:f>
        <x:v>0</x:v>
      </x:c>
      <x:c r="V2169" s="9" t="n">
        <x:f>H2169*MAX(0,AB2168-O2169)*v01_OvercapLoss</x:f>
        <x:v>0</x:v>
      </x:c>
      <x:c r="W2169" s="9" t="n">
        <x:f>H2169*Y2168/(v01_ChildYears*4)</x:f>
        <x:v>0</x:v>
      </x:c>
      <x:c r="X2169" s="9" t="n">
        <x:f>H2169*Z2168/(v01_AdultYears*4)</x:f>
        <x:v>0</x:v>
      </x:c>
      <x:c r="Y2169" s="32" t="n">
        <x:f>Y2168+R2169-S2169-W2169-Y2168*V2169/AB2168</x:f>
        <x:v>14306.18539759397</x:v>
      </x:c>
      <x:c r="Z2169" s="32" t="n">
        <x:f>Z2168+W2169-X2169-T2169-Z2168*V2169/AB2168</x:f>
        <x:v>19354.456567879548</x:v>
      </x:c>
      <x:c r="AA2169" s="32" t="n">
        <x:f>AA2168+X2169-U2169-AA2168*V2169/AB2168</x:f>
        <x:v>11386.956063258198</x:v>
      </x:c>
      <x:c r="AB2169" s="10" t="n">
        <x:f>Y2169+Z2169+AA2169</x:f>
        <x:v>45047.59802873172</x:v>
      </x:c>
      <x:c r="AC2169" s="8" t="n">
        <x:f>IF(AND(v01_WinterTrigger=1,D2169=1,AB2168/AE2168&gt;=K2169),1,0)</x:f>
        <x:v>0</x:v>
      </x:c>
      <x:c r="AD2169" s="8" t="n">
        <x:f>H2169*IF(AND(OR(AB2168/AE2168&gt;=v01_FissionTrigger*N2169,AC2169=1),AB2168/AE2168*v01_DaughterShare&gt;=v01_MinDaughter),MAX(1,ROUND(AE2168*v01_FissionRate,0)),0)</x:f>
        <x:v>0</x:v>
      </x:c>
      <x:c r="AE2169" s="8" t="n">
        <x:f>IF(H2169=1,MAX(1,MIN(INDEX(v01_Smax,G2169),AE2168+AD2169)),AE2168)</x:f>
        <x:v>15</x:v>
      </x:c>
      <x:c r="AF2169" s="8" t="n">
        <x:f>MAX(0,AE2169-AE2168)</x:f>
        <x:v>0</x:v>
      </x:c>
      <x:c r="AG2169" s="9" t="str">
        <x:f>IF(AF2169&gt;0,B2169,"")</x:f>
      </x:c>
      <x:c r="AH2169" s="9" t="n">
        <x:f>IF(F2169&gt;=1,1,(1+v01_LowTiesShare*(AE2169-1))/AE2169)</x:f>
        <x:v>1</x:v>
      </x:c>
      <x:c r="AI2169" s="32" t="n">
        <x:f>(Z2169+v01_ElderCommons*INDEX(LM_Elder,G2169)*AA2169)*AH2169</x:f>
        <x:v>64139.732591141874</x:v>
      </x:c>
      <x:c r="AJ2169" s="32" t="n">
        <x:f>H2169*v01_CommonsCoef*AI2169^v01_CommonsExp*INDEX(LM_Commons,G2169)</x:f>
        <x:v>0</x:v>
      </x:c>
      <x:c r="AK2169" s="32" t="n">
        <x:f>H2169*v01_RoleScale*Arch_Roles*(AE2169*(INDEX(v01_ElderRolePerSett,G2169)*v01_OutElder*INDEX(LM_Elder,G2169)+INDEX(v01_ShamanPerSett,G2169)*v01_OutShaman)+Z2169*(INDEX(v01_PriestShare,G2169)*v01_OutPriest+INDEX(v01_ScribeShare,G2169)*v01_OutScribe*INDEX(LM_Scribe,G2169)+INDEX(v01_ScholarShare,G2169)*v01_OutScholar*INDEX(LM_Scholar,G2169)+INDEX(v01_ResearcherShare,G2169)*v01_OutResearcher*INDEX(LM_Researcher,G2169)))</x:f>
        <x:v>0</x:v>
      </x:c>
      <x:c r="AL2169" s="32" t="n">
        <x:f>H2169*v01_RoleScale*Arch_Roles*AE2169*INDEX(v01_MonasteryPerSett,G2169)*v01_OutMonastery*INDEX(LM_Monastery,G2169)</x:f>
        <x:v>0</x:v>
      </x:c>
      <x:c r="AM2169" s="32" t="n">
        <x:f>(AJ2169+AK2169+AL2169)/4*INDEX(LM_All,G2169)*INDEX(v01_Boon,G2169)*Arch_Insight</x:f>
        <x:v>0</x:v>
      </x:c>
      <x:c r="AN2169" s="32" t="n">
        <x:f>H2169*(v01_KHPerAdult*Z2169+v01_KHOfCommons*AJ2169/4*INDEX(LM_All,G2169))*v01_KHUsable*Arch_KH</x:f>
        <x:v>0</x:v>
      </x:c>
      <x:c r="AO2169" s="32" t="n">
        <x:f>MIN(AP2168+AN2169,AM2169*v01_KHMaxRatio)</x:f>
        <x:v>0</x:v>
      </x:c>
      <x:c r="AP2169" s="32" t="n">
        <x:f>AP2168+AN2169-AO2169</x:f>
        <x:v>0</x:v>
      </x:c>
      <x:c r="AQ2169" s="32" t="n">
        <x:f>AM2169+AO2169</x:f>
        <x:v>0</x:v>
      </x:c>
      <x:c r="AR2169" s="10" t="n">
        <x:f>IF(H2169=1,INDEX(v01_Req,G2169),0)</x:f>
        <x:v>0</x:v>
      </x:c>
      <x:c r="AS2169" s="32" t="n">
        <x:f>IF(H2169=1,IF(E2169=1,AS2168-AR2168,AS2168)+AQ2169,0)</x:f>
        <x:v>0</x:v>
      </x:c>
      <x:c r="AT2169" s="11" t="n">
        <x:f>IF(AR2169&gt;0,MIN(1,AS2169/AR2169),1)</x:f>
        <x:v>1</x:v>
      </x:c>
      <x:c r="AU2169" s="10" t="n">
        <x:f>AB2169/INDEX(v01_RepScale,G2169)</x:f>
        <x:v>90.09519605746344</x:v>
      </x:c>
      <x:c r="AV2169" s="32" t="n">
        <x:f>AM2169*60/v01_SeasonSeconds</x:f>
        <x:v>0</x:v>
      </x:c>
    </x:row>
    <x:row r="2170">
      <x:c r="A2170" s="8" t="n">
        <x:f>A2169+1</x:f>
        <x:v>2167</x:v>
      </x:c>
      <x:c r="B2170" s="9" t="n">
        <x:f>A2170*v01_SeasonSeconds/60</x:f>
        <x:v>541.75</x:v>
      </x:c>
      <x:c r="C2170" s="9" t="n">
        <x:f>A2170/4</x:f>
        <x:v>541.75</x:v>
      </x:c>
      <x:c r="D2170" s="8" t="n">
        <x:f>IF(MOD(A2170,4)=0,1,0)</x:f>
        <x:v>0</x:v>
      </x:c>
      <x:c r="E2170" s="8" t="n">
        <x:f>IF(AND(F2169&lt;=9,AS2169&gt;=AR2169),1,0)</x:f>
        <x:v>0</x:v>
      </x:c>
      <x:c r="F2170" s="8" t="n">
        <x:f>MIN(10,F2169+E2170)</x:f>
        <x:v>10</x:v>
      </x:c>
      <x:c r="G2170" s="8" t="n">
        <x:f>MIN(F2170,9)+1</x:f>
        <x:v>10</x:v>
      </x:c>
      <x:c r="H2170" s="8" t="n">
        <x:f>IF(F2170&lt;=9,1,0)</x:f>
        <x:v>0</x:v>
      </x:c>
      <x:c r="I2170" s="9" t="n">
        <x:f>MIN(10,F2169+IF(AR2169&gt;0,MIN(1,AS2169/AR2169),1))</x:f>
        <x:v>10</x:v>
      </x:c>
      <x:c r="J2170" s="32" t="n">
        <x:f>INDEX(v01_FoodCap,G2170)*Arch_FoodCap*EXP(v01_CapsByProject*SUMPRODUCT((Cap_Point&lt;=I2170)*(Cap_Kind="Food")*Cap_Ln))</x:f>
        <x:v>12000</x:v>
      </x:c>
      <x:c r="K2170" s="32" t="n">
        <x:f>J2170*MIN(1,v01_LeanBase*EXP(v01_CapsByProject*SUMPRODUCT((Cap_Point&lt;=I2170)*(Cap_Kind="Lean")*Cap_Ln)))</x:f>
        <x:v>12000</x:v>
      </x:c>
      <x:c r="L2170" s="10" t="n">
        <x:f>INDEX(v01_HousingCap,G2170)*EXP(v01_CapsByProject*SUMPRODUCT((Cap_Point&lt;=I2170)*(Cap_Kind="Housing")*Cap_Ln))</x:f>
        <x:v>20000</x:v>
      </x:c>
      <x:c r="M2170" s="10" t="n">
        <x:f>INDEX(v01_GroupCap,G2170)*v01_CohesionFactor*EXP(v01_CapsByProject*SUMPRODUCT((Cap_Point&lt;=I2170)*(Cap_Kind="Group")*Cap_Ln))</x:f>
        <x:v>1000000</x:v>
      </x:c>
      <x:c r="N2170" s="32" t="n">
        <x:f>MIN(J2170,L2170,M2170)</x:f>
        <x:v>12000</x:v>
      </x:c>
      <x:c r="O2170" s="10" t="n">
        <x:f>AE2169*N2170</x:f>
        <x:v>180000</x:v>
      </x:c>
      <x:c r="P2170" s="9" t="n">
        <x:f>MIN(1,(AB2169/(AE2169*IF(v01_GroupInCrowding=1,N2170,MIN(J2170,L2170))))^v01_CrowdingExp)</x:f>
        <x:v>0.00024569414295285325</x:v>
      </x:c>
      <x:c r="Q2170" s="9" t="n">
        <x:f>IF(D2170=1,INDEX(v01_WinterMult,G2170),1)</x:f>
        <x:v>1</x:v>
      </x:c>
      <x:c r="R2170" s="9" t="n">
        <x:f>H2170*Z2169*v01_WomenShare*v01_BaseFertility*INDEX(v01_FertMult,G2170)*Arch_Fertility*(1-P2170)</x:f>
        <x:v>0</x:v>
      </x:c>
      <x:c r="S2170" s="9" t="n">
        <x:f>H2170*Y2169*INDEX(v01_MortChild,G2170)/4*Q2170</x:f>
        <x:v>0</x:v>
      </x:c>
      <x:c r="T2170" s="9" t="n">
        <x:f>H2170*Z2169*INDEX(v01_MortAdult,G2170)*Arch_AdultMort/4*Q2170</x:f>
        <x:v>0</x:v>
      </x:c>
      <x:c r="U2170" s="9" t="n">
        <x:f>H2170*AA2169*INDEX(v01_MortElder,G2170)/4*Q2170</x:f>
        <x:v>0</x:v>
      </x:c>
      <x:c r="V2170" s="9" t="n">
        <x:f>H2170*MAX(0,AB2169-O2170)*v01_OvercapLoss</x:f>
        <x:v>0</x:v>
      </x:c>
      <x:c r="W2170" s="9" t="n">
        <x:f>H2170*Y2169/(v01_ChildYears*4)</x:f>
        <x:v>0</x:v>
      </x:c>
      <x:c r="X2170" s="9" t="n">
        <x:f>H2170*Z2169/(v01_AdultYears*4)</x:f>
        <x:v>0</x:v>
      </x:c>
      <x:c r="Y2170" s="32" t="n">
        <x:f>Y2169+R2170-S2170-W2170-Y2169*V2170/AB2169</x:f>
        <x:v>14306.18539759397</x:v>
      </x:c>
      <x:c r="Z2170" s="32" t="n">
        <x:f>Z2169+W2170-X2170-T2170-Z2169*V2170/AB2169</x:f>
        <x:v>19354.456567879548</x:v>
      </x:c>
      <x:c r="AA2170" s="32" t="n">
        <x:f>AA2169+X2170-U2170-AA2169*V2170/AB2169</x:f>
        <x:v>11386.956063258198</x:v>
      </x:c>
      <x:c r="AB2170" s="10" t="n">
        <x:f>Y2170+Z2170+AA2170</x:f>
        <x:v>45047.59802873172</x:v>
      </x:c>
      <x:c r="AC2170" s="8" t="n">
        <x:f>IF(AND(v01_WinterTrigger=1,D2170=1,AB2169/AE2169&gt;=K2170),1,0)</x:f>
        <x:v>0</x:v>
      </x:c>
      <x:c r="AD2170" s="8" t="n">
        <x:f>H2170*IF(AND(OR(AB2169/AE2169&gt;=v01_FissionTrigger*N2170,AC2170=1),AB2169/AE2169*v01_DaughterShare&gt;=v01_MinDaughter),MAX(1,ROUND(AE2169*v01_FissionRate,0)),0)</x:f>
        <x:v>0</x:v>
      </x:c>
      <x:c r="AE2170" s="8" t="n">
        <x:f>IF(H2170=1,MAX(1,MIN(INDEX(v01_Smax,G2170),AE2169+AD2170)),AE2169)</x:f>
        <x:v>15</x:v>
      </x:c>
      <x:c r="AF2170" s="8" t="n">
        <x:f>MAX(0,AE2170-AE2169)</x:f>
        <x:v>0</x:v>
      </x:c>
      <x:c r="AG2170" s="9" t="str">
        <x:f>IF(AF2170&gt;0,B2170,"")</x:f>
      </x:c>
      <x:c r="AH2170" s="9" t="n">
        <x:f>IF(F2170&gt;=1,1,(1+v01_LowTiesShare*(AE2170-1))/AE2170)</x:f>
        <x:v>1</x:v>
      </x:c>
      <x:c r="AI2170" s="32" t="n">
        <x:f>(Z2170+v01_ElderCommons*INDEX(LM_Elder,G2170)*AA2170)*AH2170</x:f>
        <x:v>64139.732591141874</x:v>
      </x:c>
      <x:c r="AJ2170" s="32" t="n">
        <x:f>H2170*v01_CommonsCoef*AI2170^v01_CommonsExp*INDEX(LM_Commons,G2170)</x:f>
        <x:v>0</x:v>
      </x:c>
      <x:c r="AK2170" s="32" t="n">
        <x:f>H2170*v01_RoleScale*Arch_Roles*(AE2170*(INDEX(v01_ElderRolePerSett,G2170)*v01_OutElder*INDEX(LM_Elder,G2170)+INDEX(v01_ShamanPerSett,G2170)*v01_OutShaman)+Z2170*(INDEX(v01_PriestShare,G2170)*v01_OutPriest+INDEX(v01_ScribeShare,G2170)*v01_OutScribe*INDEX(LM_Scribe,G2170)+INDEX(v01_ScholarShare,G2170)*v01_OutScholar*INDEX(LM_Scholar,G2170)+INDEX(v01_ResearcherShare,G2170)*v01_OutResearcher*INDEX(LM_Researcher,G2170)))</x:f>
        <x:v>0</x:v>
      </x:c>
      <x:c r="AL2170" s="32" t="n">
        <x:f>H2170*v01_RoleScale*Arch_Roles*AE2170*INDEX(v01_MonasteryPerSett,G2170)*v01_OutMonastery*INDEX(LM_Monastery,G2170)</x:f>
        <x:v>0</x:v>
      </x:c>
      <x:c r="AM2170" s="32" t="n">
        <x:f>(AJ2170+AK2170+AL2170)/4*INDEX(LM_All,G2170)*INDEX(v01_Boon,G2170)*Arch_Insight</x:f>
        <x:v>0</x:v>
      </x:c>
      <x:c r="AN2170" s="32" t="n">
        <x:f>H2170*(v01_KHPerAdult*Z2170+v01_KHOfCommons*AJ2170/4*INDEX(LM_All,G2170))*v01_KHUsable*Arch_KH</x:f>
        <x:v>0</x:v>
      </x:c>
      <x:c r="AO2170" s="32" t="n">
        <x:f>MIN(AP2169+AN2170,AM2170*v01_KHMaxRatio)</x:f>
        <x:v>0</x:v>
      </x:c>
      <x:c r="AP2170" s="32" t="n">
        <x:f>AP2169+AN2170-AO2170</x:f>
        <x:v>0</x:v>
      </x:c>
      <x:c r="AQ2170" s="32" t="n">
        <x:f>AM2170+AO2170</x:f>
        <x:v>0</x:v>
      </x:c>
      <x:c r="AR2170" s="10" t="n">
        <x:f>IF(H2170=1,INDEX(v01_Req,G2170),0)</x:f>
        <x:v>0</x:v>
      </x:c>
      <x:c r="AS2170" s="32" t="n">
        <x:f>IF(H2170=1,IF(E2170=1,AS2169-AR2169,AS2169)+AQ2170,0)</x:f>
        <x:v>0</x:v>
      </x:c>
      <x:c r="AT2170" s="11" t="n">
        <x:f>IF(AR2170&gt;0,MIN(1,AS2170/AR2170),1)</x:f>
        <x:v>1</x:v>
      </x:c>
      <x:c r="AU2170" s="10" t="n">
        <x:f>AB2170/INDEX(v01_RepScale,G2170)</x:f>
        <x:v>90.09519605746344</x:v>
      </x:c>
      <x:c r="AV2170" s="32" t="n">
        <x:f>AM2170*60/v01_SeasonSeconds</x:f>
        <x:v>0</x:v>
      </x:c>
    </x:row>
    <x:row r="2171">
      <x:c r="A2171" s="8" t="n">
        <x:f>A2170+1</x:f>
        <x:v>2168</x:v>
      </x:c>
      <x:c r="B2171" s="9" t="n">
        <x:f>A2171*v01_SeasonSeconds/60</x:f>
        <x:v>542</x:v>
      </x:c>
      <x:c r="C2171" s="9" t="n">
        <x:f>A2171/4</x:f>
        <x:v>542</x:v>
      </x:c>
      <x:c r="D2171" s="8" t="n">
        <x:f>IF(MOD(A2171,4)=0,1,0)</x:f>
        <x:v>1</x:v>
      </x:c>
      <x:c r="E2171" s="8" t="n">
        <x:f>IF(AND(F2170&lt;=9,AS2170&gt;=AR2170),1,0)</x:f>
        <x:v>0</x:v>
      </x:c>
      <x:c r="F2171" s="8" t="n">
        <x:f>MIN(10,F2170+E2171)</x:f>
        <x:v>10</x:v>
      </x:c>
      <x:c r="G2171" s="8" t="n">
        <x:f>MIN(F2171,9)+1</x:f>
        <x:v>10</x:v>
      </x:c>
      <x:c r="H2171" s="8" t="n">
        <x:f>IF(F2171&lt;=9,1,0)</x:f>
        <x:v>0</x:v>
      </x:c>
      <x:c r="I2171" s="9" t="n">
        <x:f>MIN(10,F2170+IF(AR2170&gt;0,MIN(1,AS2170/AR2170),1))</x:f>
        <x:v>10</x:v>
      </x:c>
      <x:c r="J2171" s="32" t="n">
        <x:f>INDEX(v01_FoodCap,G2171)*Arch_FoodCap*EXP(v01_CapsByProject*SUMPRODUCT((Cap_Point&lt;=I2171)*(Cap_Kind="Food")*Cap_Ln))</x:f>
        <x:v>12000</x:v>
      </x:c>
      <x:c r="K2171" s="32" t="n">
        <x:f>J2171*MIN(1,v01_LeanBase*EXP(v01_CapsByProject*SUMPRODUCT((Cap_Point&lt;=I2171)*(Cap_Kind="Lean")*Cap_Ln)))</x:f>
        <x:v>12000</x:v>
      </x:c>
      <x:c r="L2171" s="10" t="n">
        <x:f>INDEX(v01_HousingCap,G2171)*EXP(v01_CapsByProject*SUMPRODUCT((Cap_Point&lt;=I2171)*(Cap_Kind="Housing")*Cap_Ln))</x:f>
        <x:v>20000</x:v>
      </x:c>
      <x:c r="M2171" s="10" t="n">
        <x:f>INDEX(v01_GroupCap,G2171)*v01_CohesionFactor*EXP(v01_CapsByProject*SUMPRODUCT((Cap_Point&lt;=I2171)*(Cap_Kind="Group")*Cap_Ln))</x:f>
        <x:v>1000000</x:v>
      </x:c>
      <x:c r="N2171" s="32" t="n">
        <x:f>MIN(J2171,L2171,M2171)</x:f>
        <x:v>12000</x:v>
      </x:c>
      <x:c r="O2171" s="10" t="n">
        <x:f>AE2170*N2171</x:f>
        <x:v>180000</x:v>
      </x:c>
      <x:c r="P2171" s="9" t="n">
        <x:f>MIN(1,(AB2170/(AE2170*IF(v01_GroupInCrowding=1,N2171,MIN(J2171,L2171))))^v01_CrowdingExp)</x:f>
        <x:v>0.00024569414295285325</x:v>
      </x:c>
      <x:c r="Q2171" s="9" t="n">
        <x:f>IF(D2171=1,INDEX(v01_WinterMult,G2171),1)</x:f>
        <x:v>1</x:v>
      </x:c>
      <x:c r="R2171" s="9" t="n">
        <x:f>H2171*Z2170*v01_WomenShare*v01_BaseFertility*INDEX(v01_FertMult,G2171)*Arch_Fertility*(1-P2171)</x:f>
        <x:v>0</x:v>
      </x:c>
      <x:c r="S2171" s="9" t="n">
        <x:f>H2171*Y2170*INDEX(v01_MortChild,G2171)/4*Q2171</x:f>
        <x:v>0</x:v>
      </x:c>
      <x:c r="T2171" s="9" t="n">
        <x:f>H2171*Z2170*INDEX(v01_MortAdult,G2171)*Arch_AdultMort/4*Q2171</x:f>
        <x:v>0</x:v>
      </x:c>
      <x:c r="U2171" s="9" t="n">
        <x:f>H2171*AA2170*INDEX(v01_MortElder,G2171)/4*Q2171</x:f>
        <x:v>0</x:v>
      </x:c>
      <x:c r="V2171" s="9" t="n">
        <x:f>H2171*MAX(0,AB2170-O2171)*v01_OvercapLoss</x:f>
        <x:v>0</x:v>
      </x:c>
      <x:c r="W2171" s="9" t="n">
        <x:f>H2171*Y2170/(v01_ChildYears*4)</x:f>
        <x:v>0</x:v>
      </x:c>
      <x:c r="X2171" s="9" t="n">
        <x:f>H2171*Z2170/(v01_AdultYears*4)</x:f>
        <x:v>0</x:v>
      </x:c>
      <x:c r="Y2171" s="32" t="n">
        <x:f>Y2170+R2171-S2171-W2171-Y2170*V2171/AB2170</x:f>
        <x:v>14306.18539759397</x:v>
      </x:c>
      <x:c r="Z2171" s="32" t="n">
        <x:f>Z2170+W2171-X2171-T2171-Z2170*V2171/AB2170</x:f>
        <x:v>19354.456567879548</x:v>
      </x:c>
      <x:c r="AA2171" s="32" t="n">
        <x:f>AA2170+X2171-U2171-AA2170*V2171/AB2170</x:f>
        <x:v>11386.956063258198</x:v>
      </x:c>
      <x:c r="AB2171" s="10" t="n">
        <x:f>Y2171+Z2171+AA2171</x:f>
        <x:v>45047.59802873172</x:v>
      </x:c>
      <x:c r="AC2171" s="8" t="n">
        <x:f>IF(AND(v01_WinterTrigger=1,D2171=1,AB2170/AE2170&gt;=K2171),1,0)</x:f>
        <x:v>0</x:v>
      </x:c>
      <x:c r="AD2171" s="8" t="n">
        <x:f>H2171*IF(AND(OR(AB2170/AE2170&gt;=v01_FissionTrigger*N2171,AC2171=1),AB2170/AE2170*v01_DaughterShare&gt;=v01_MinDaughter),MAX(1,ROUND(AE2170*v01_FissionRate,0)),0)</x:f>
        <x:v>0</x:v>
      </x:c>
      <x:c r="AE2171" s="8" t="n">
        <x:f>IF(H2171=1,MAX(1,MIN(INDEX(v01_Smax,G2171),AE2170+AD2171)),AE2170)</x:f>
        <x:v>15</x:v>
      </x:c>
      <x:c r="AF2171" s="8" t="n">
        <x:f>MAX(0,AE2171-AE2170)</x:f>
        <x:v>0</x:v>
      </x:c>
      <x:c r="AG2171" s="9" t="str">
        <x:f>IF(AF2171&gt;0,B2171,"")</x:f>
      </x:c>
      <x:c r="AH2171" s="9" t="n">
        <x:f>IF(F2171&gt;=1,1,(1+v01_LowTiesShare*(AE2171-1))/AE2171)</x:f>
        <x:v>1</x:v>
      </x:c>
      <x:c r="AI2171" s="32" t="n">
        <x:f>(Z2171+v01_ElderCommons*INDEX(LM_Elder,G2171)*AA2171)*AH2171</x:f>
        <x:v>64139.732591141874</x:v>
      </x:c>
      <x:c r="AJ2171" s="32" t="n">
        <x:f>H2171*v01_CommonsCoef*AI2171^v01_CommonsExp*INDEX(LM_Commons,G2171)</x:f>
        <x:v>0</x:v>
      </x:c>
      <x:c r="AK2171" s="32" t="n">
        <x:f>H2171*v01_RoleScale*Arch_Roles*(AE2171*(INDEX(v01_ElderRolePerSett,G2171)*v01_OutElder*INDEX(LM_Elder,G2171)+INDEX(v01_ShamanPerSett,G2171)*v01_OutShaman)+Z2171*(INDEX(v01_PriestShare,G2171)*v01_OutPriest+INDEX(v01_ScribeShare,G2171)*v01_OutScribe*INDEX(LM_Scribe,G2171)+INDEX(v01_ScholarShare,G2171)*v01_OutScholar*INDEX(LM_Scholar,G2171)+INDEX(v01_ResearcherShare,G2171)*v01_OutResearcher*INDEX(LM_Researcher,G2171)))</x:f>
        <x:v>0</x:v>
      </x:c>
      <x:c r="AL2171" s="32" t="n">
        <x:f>H2171*v01_RoleScale*Arch_Roles*AE2171*INDEX(v01_MonasteryPerSett,G2171)*v01_OutMonastery*INDEX(LM_Monastery,G2171)</x:f>
        <x:v>0</x:v>
      </x:c>
      <x:c r="AM2171" s="32" t="n">
        <x:f>(AJ2171+AK2171+AL2171)/4*INDEX(LM_All,G2171)*INDEX(v01_Boon,G2171)*Arch_Insight</x:f>
        <x:v>0</x:v>
      </x:c>
      <x:c r="AN2171" s="32" t="n">
        <x:f>H2171*(v01_KHPerAdult*Z2171+v01_KHOfCommons*AJ2171/4*INDEX(LM_All,G2171))*v01_KHUsable*Arch_KH</x:f>
        <x:v>0</x:v>
      </x:c>
      <x:c r="AO2171" s="32" t="n">
        <x:f>MIN(AP2170+AN2171,AM2171*v01_KHMaxRatio)</x:f>
        <x:v>0</x:v>
      </x:c>
      <x:c r="AP2171" s="32" t="n">
        <x:f>AP2170+AN2171-AO2171</x:f>
        <x:v>0</x:v>
      </x:c>
      <x:c r="AQ2171" s="32" t="n">
        <x:f>AM2171+AO2171</x:f>
        <x:v>0</x:v>
      </x:c>
      <x:c r="AR2171" s="10" t="n">
        <x:f>IF(H2171=1,INDEX(v01_Req,G2171),0)</x:f>
        <x:v>0</x:v>
      </x:c>
      <x:c r="AS2171" s="32" t="n">
        <x:f>IF(H2171=1,IF(E2171=1,AS2170-AR2170,AS2170)+AQ2171,0)</x:f>
        <x:v>0</x:v>
      </x:c>
      <x:c r="AT2171" s="11" t="n">
        <x:f>IF(AR2171&gt;0,MIN(1,AS2171/AR2171),1)</x:f>
        <x:v>1</x:v>
      </x:c>
      <x:c r="AU2171" s="10" t="n">
        <x:f>AB2171/INDEX(v01_RepScale,G2171)</x:f>
        <x:v>90.09519605746344</x:v>
      </x:c>
      <x:c r="AV2171" s="32" t="n">
        <x:f>AM2171*60/v01_SeasonSeconds</x:f>
        <x:v>0</x:v>
      </x:c>
    </x:row>
    <x:row r="2172">
      <x:c r="A2172" s="8" t="n">
        <x:f>A2171+1</x:f>
        <x:v>2169</x:v>
      </x:c>
      <x:c r="B2172" s="9" t="n">
        <x:f>A2172*v01_SeasonSeconds/60</x:f>
        <x:v>542.25</x:v>
      </x:c>
      <x:c r="C2172" s="9" t="n">
        <x:f>A2172/4</x:f>
        <x:v>542.25</x:v>
      </x:c>
      <x:c r="D2172" s="8" t="n">
        <x:f>IF(MOD(A2172,4)=0,1,0)</x:f>
        <x:v>0</x:v>
      </x:c>
      <x:c r="E2172" s="8" t="n">
        <x:f>IF(AND(F2171&lt;=9,AS2171&gt;=AR2171),1,0)</x:f>
        <x:v>0</x:v>
      </x:c>
      <x:c r="F2172" s="8" t="n">
        <x:f>MIN(10,F2171+E2172)</x:f>
        <x:v>10</x:v>
      </x:c>
      <x:c r="G2172" s="8" t="n">
        <x:f>MIN(F2172,9)+1</x:f>
        <x:v>10</x:v>
      </x:c>
      <x:c r="H2172" s="8" t="n">
        <x:f>IF(F2172&lt;=9,1,0)</x:f>
        <x:v>0</x:v>
      </x:c>
      <x:c r="I2172" s="9" t="n">
        <x:f>MIN(10,F2171+IF(AR2171&gt;0,MIN(1,AS2171/AR2171),1))</x:f>
        <x:v>10</x:v>
      </x:c>
      <x:c r="J2172" s="32" t="n">
        <x:f>INDEX(v01_FoodCap,G2172)*Arch_FoodCap*EXP(v01_CapsByProject*SUMPRODUCT((Cap_Point&lt;=I2172)*(Cap_Kind="Food")*Cap_Ln))</x:f>
        <x:v>12000</x:v>
      </x:c>
      <x:c r="K2172" s="32" t="n">
        <x:f>J2172*MIN(1,v01_LeanBase*EXP(v01_CapsByProject*SUMPRODUCT((Cap_Point&lt;=I2172)*(Cap_Kind="Lean")*Cap_Ln)))</x:f>
        <x:v>12000</x:v>
      </x:c>
      <x:c r="L2172" s="10" t="n">
        <x:f>INDEX(v01_HousingCap,G2172)*EXP(v01_CapsByProject*SUMPRODUCT((Cap_Point&lt;=I2172)*(Cap_Kind="Housing")*Cap_Ln))</x:f>
        <x:v>20000</x:v>
      </x:c>
      <x:c r="M2172" s="10" t="n">
        <x:f>INDEX(v01_GroupCap,G2172)*v01_CohesionFactor*EXP(v01_CapsByProject*SUMPRODUCT((Cap_Point&lt;=I2172)*(Cap_Kind="Group")*Cap_Ln))</x:f>
        <x:v>1000000</x:v>
      </x:c>
      <x:c r="N2172" s="32" t="n">
        <x:f>MIN(J2172,L2172,M2172)</x:f>
        <x:v>12000</x:v>
      </x:c>
      <x:c r="O2172" s="10" t="n">
        <x:f>AE2171*N2172</x:f>
        <x:v>180000</x:v>
      </x:c>
      <x:c r="P2172" s="9" t="n">
        <x:f>MIN(1,(AB2171/(AE2171*IF(v01_GroupInCrowding=1,N2172,MIN(J2172,L2172))))^v01_CrowdingExp)</x:f>
        <x:v>0.00024569414295285325</x:v>
      </x:c>
      <x:c r="Q2172" s="9" t="n">
        <x:f>IF(D2172=1,INDEX(v01_WinterMult,G2172),1)</x:f>
        <x:v>1</x:v>
      </x:c>
      <x:c r="R2172" s="9" t="n">
        <x:f>H2172*Z2171*v01_WomenShare*v01_BaseFertility*INDEX(v01_FertMult,G2172)*Arch_Fertility*(1-P2172)</x:f>
        <x:v>0</x:v>
      </x:c>
      <x:c r="S2172" s="9" t="n">
        <x:f>H2172*Y2171*INDEX(v01_MortChild,G2172)/4*Q2172</x:f>
        <x:v>0</x:v>
      </x:c>
      <x:c r="T2172" s="9" t="n">
        <x:f>H2172*Z2171*INDEX(v01_MortAdult,G2172)*Arch_AdultMort/4*Q2172</x:f>
        <x:v>0</x:v>
      </x:c>
      <x:c r="U2172" s="9" t="n">
        <x:f>H2172*AA2171*INDEX(v01_MortElder,G2172)/4*Q2172</x:f>
        <x:v>0</x:v>
      </x:c>
      <x:c r="V2172" s="9" t="n">
        <x:f>H2172*MAX(0,AB2171-O2172)*v01_OvercapLoss</x:f>
        <x:v>0</x:v>
      </x:c>
      <x:c r="W2172" s="9" t="n">
        <x:f>H2172*Y2171/(v01_ChildYears*4)</x:f>
        <x:v>0</x:v>
      </x:c>
      <x:c r="X2172" s="9" t="n">
        <x:f>H2172*Z2171/(v01_AdultYears*4)</x:f>
        <x:v>0</x:v>
      </x:c>
      <x:c r="Y2172" s="32" t="n">
        <x:f>Y2171+R2172-S2172-W2172-Y2171*V2172/AB2171</x:f>
        <x:v>14306.18539759397</x:v>
      </x:c>
      <x:c r="Z2172" s="32" t="n">
        <x:f>Z2171+W2172-X2172-T2172-Z2171*V2172/AB2171</x:f>
        <x:v>19354.456567879548</x:v>
      </x:c>
      <x:c r="AA2172" s="32" t="n">
        <x:f>AA2171+X2172-U2172-AA2171*V2172/AB2171</x:f>
        <x:v>11386.956063258198</x:v>
      </x:c>
      <x:c r="AB2172" s="10" t="n">
        <x:f>Y2172+Z2172+AA2172</x:f>
        <x:v>45047.59802873172</x:v>
      </x:c>
      <x:c r="AC2172" s="8" t="n">
        <x:f>IF(AND(v01_WinterTrigger=1,D2172=1,AB2171/AE2171&gt;=K2172),1,0)</x:f>
        <x:v>0</x:v>
      </x:c>
      <x:c r="AD2172" s="8" t="n">
        <x:f>H2172*IF(AND(OR(AB2171/AE2171&gt;=v01_FissionTrigger*N2172,AC2172=1),AB2171/AE2171*v01_DaughterShare&gt;=v01_MinDaughter),MAX(1,ROUND(AE2171*v01_FissionRate,0)),0)</x:f>
        <x:v>0</x:v>
      </x:c>
      <x:c r="AE2172" s="8" t="n">
        <x:f>IF(H2172=1,MAX(1,MIN(INDEX(v01_Smax,G2172),AE2171+AD2172)),AE2171)</x:f>
        <x:v>15</x:v>
      </x:c>
      <x:c r="AF2172" s="8" t="n">
        <x:f>MAX(0,AE2172-AE2171)</x:f>
        <x:v>0</x:v>
      </x:c>
      <x:c r="AG2172" s="9" t="str">
        <x:f>IF(AF2172&gt;0,B2172,"")</x:f>
      </x:c>
      <x:c r="AH2172" s="9" t="n">
        <x:f>IF(F2172&gt;=1,1,(1+v01_LowTiesShare*(AE2172-1))/AE2172)</x:f>
        <x:v>1</x:v>
      </x:c>
      <x:c r="AI2172" s="32" t="n">
        <x:f>(Z2172+v01_ElderCommons*INDEX(LM_Elder,G2172)*AA2172)*AH2172</x:f>
        <x:v>64139.732591141874</x:v>
      </x:c>
      <x:c r="AJ2172" s="32" t="n">
        <x:f>H2172*v01_CommonsCoef*AI2172^v01_CommonsExp*INDEX(LM_Commons,G2172)</x:f>
        <x:v>0</x:v>
      </x:c>
      <x:c r="AK2172" s="32" t="n">
        <x:f>H2172*v01_RoleScale*Arch_Roles*(AE2172*(INDEX(v01_ElderRolePerSett,G2172)*v01_OutElder*INDEX(LM_Elder,G2172)+INDEX(v01_ShamanPerSett,G2172)*v01_OutShaman)+Z2172*(INDEX(v01_PriestShare,G2172)*v01_OutPriest+INDEX(v01_ScribeShare,G2172)*v01_OutScribe*INDEX(LM_Scribe,G2172)+INDEX(v01_ScholarShare,G2172)*v01_OutScholar*INDEX(LM_Scholar,G2172)+INDEX(v01_ResearcherShare,G2172)*v01_OutResearcher*INDEX(LM_Researcher,G2172)))</x:f>
        <x:v>0</x:v>
      </x:c>
      <x:c r="AL2172" s="32" t="n">
        <x:f>H2172*v01_RoleScale*Arch_Roles*AE2172*INDEX(v01_MonasteryPerSett,G2172)*v01_OutMonastery*INDEX(LM_Monastery,G2172)</x:f>
        <x:v>0</x:v>
      </x:c>
      <x:c r="AM2172" s="32" t="n">
        <x:f>(AJ2172+AK2172+AL2172)/4*INDEX(LM_All,G2172)*INDEX(v01_Boon,G2172)*Arch_Insight</x:f>
        <x:v>0</x:v>
      </x:c>
      <x:c r="AN2172" s="32" t="n">
        <x:f>H2172*(v01_KHPerAdult*Z2172+v01_KHOfCommons*AJ2172/4*INDEX(LM_All,G2172))*v01_KHUsable*Arch_KH</x:f>
        <x:v>0</x:v>
      </x:c>
      <x:c r="AO2172" s="32" t="n">
        <x:f>MIN(AP2171+AN2172,AM2172*v01_KHMaxRatio)</x:f>
        <x:v>0</x:v>
      </x:c>
      <x:c r="AP2172" s="32" t="n">
        <x:f>AP2171+AN2172-AO2172</x:f>
        <x:v>0</x:v>
      </x:c>
      <x:c r="AQ2172" s="32" t="n">
        <x:f>AM2172+AO2172</x:f>
        <x:v>0</x:v>
      </x:c>
      <x:c r="AR2172" s="10" t="n">
        <x:f>IF(H2172=1,INDEX(v01_Req,G2172),0)</x:f>
        <x:v>0</x:v>
      </x:c>
      <x:c r="AS2172" s="32" t="n">
        <x:f>IF(H2172=1,IF(E2172=1,AS2171-AR2171,AS2171)+AQ2172,0)</x:f>
        <x:v>0</x:v>
      </x:c>
      <x:c r="AT2172" s="11" t="n">
        <x:f>IF(AR2172&gt;0,MIN(1,AS2172/AR2172),1)</x:f>
        <x:v>1</x:v>
      </x:c>
      <x:c r="AU2172" s="10" t="n">
        <x:f>AB2172/INDEX(v01_RepScale,G2172)</x:f>
        <x:v>90.09519605746344</x:v>
      </x:c>
      <x:c r="AV2172" s="32" t="n">
        <x:f>AM2172*60/v01_SeasonSeconds</x:f>
        <x:v>0</x:v>
      </x:c>
    </x:row>
    <x:row r="2173">
      <x:c r="A2173" s="8" t="n">
        <x:f>A2172+1</x:f>
        <x:v>2170</x:v>
      </x:c>
      <x:c r="B2173" s="9" t="n">
        <x:f>A2173*v01_SeasonSeconds/60</x:f>
        <x:v>542.5</x:v>
      </x:c>
      <x:c r="C2173" s="9" t="n">
        <x:f>A2173/4</x:f>
        <x:v>542.5</x:v>
      </x:c>
      <x:c r="D2173" s="8" t="n">
        <x:f>IF(MOD(A2173,4)=0,1,0)</x:f>
        <x:v>0</x:v>
      </x:c>
      <x:c r="E2173" s="8" t="n">
        <x:f>IF(AND(F2172&lt;=9,AS2172&gt;=AR2172),1,0)</x:f>
        <x:v>0</x:v>
      </x:c>
      <x:c r="F2173" s="8" t="n">
        <x:f>MIN(10,F2172+E2173)</x:f>
        <x:v>10</x:v>
      </x:c>
      <x:c r="G2173" s="8" t="n">
        <x:f>MIN(F2173,9)+1</x:f>
        <x:v>10</x:v>
      </x:c>
      <x:c r="H2173" s="8" t="n">
        <x:f>IF(F2173&lt;=9,1,0)</x:f>
        <x:v>0</x:v>
      </x:c>
      <x:c r="I2173" s="9" t="n">
        <x:f>MIN(10,F2172+IF(AR2172&gt;0,MIN(1,AS2172/AR2172),1))</x:f>
        <x:v>10</x:v>
      </x:c>
      <x:c r="J2173" s="32" t="n">
        <x:f>INDEX(v01_FoodCap,G2173)*Arch_FoodCap*EXP(v01_CapsByProject*SUMPRODUCT((Cap_Point&lt;=I2173)*(Cap_Kind="Food")*Cap_Ln))</x:f>
        <x:v>12000</x:v>
      </x:c>
      <x:c r="K2173" s="32" t="n">
        <x:f>J2173*MIN(1,v01_LeanBase*EXP(v01_CapsByProject*SUMPRODUCT((Cap_Point&lt;=I2173)*(Cap_Kind="Lean")*Cap_Ln)))</x:f>
        <x:v>12000</x:v>
      </x:c>
      <x:c r="L2173" s="10" t="n">
        <x:f>INDEX(v01_HousingCap,G2173)*EXP(v01_CapsByProject*SUMPRODUCT((Cap_Point&lt;=I2173)*(Cap_Kind="Housing")*Cap_Ln))</x:f>
        <x:v>20000</x:v>
      </x:c>
      <x:c r="M2173" s="10" t="n">
        <x:f>INDEX(v01_GroupCap,G2173)*v01_CohesionFactor*EXP(v01_CapsByProject*SUMPRODUCT((Cap_Point&lt;=I2173)*(Cap_Kind="Group")*Cap_Ln))</x:f>
        <x:v>1000000</x:v>
      </x:c>
      <x:c r="N2173" s="32" t="n">
        <x:f>MIN(J2173,L2173,M2173)</x:f>
        <x:v>12000</x:v>
      </x:c>
      <x:c r="O2173" s="10" t="n">
        <x:f>AE2172*N2173</x:f>
        <x:v>180000</x:v>
      </x:c>
      <x:c r="P2173" s="9" t="n">
        <x:f>MIN(1,(AB2172/(AE2172*IF(v01_GroupInCrowding=1,N2173,MIN(J2173,L2173))))^v01_CrowdingExp)</x:f>
        <x:v>0.00024569414295285325</x:v>
      </x:c>
      <x:c r="Q2173" s="9" t="n">
        <x:f>IF(D2173=1,INDEX(v01_WinterMult,G2173),1)</x:f>
        <x:v>1</x:v>
      </x:c>
      <x:c r="R2173" s="9" t="n">
        <x:f>H2173*Z2172*v01_WomenShare*v01_BaseFertility*INDEX(v01_FertMult,G2173)*Arch_Fertility*(1-P2173)</x:f>
        <x:v>0</x:v>
      </x:c>
      <x:c r="S2173" s="9" t="n">
        <x:f>H2173*Y2172*INDEX(v01_MortChild,G2173)/4*Q2173</x:f>
        <x:v>0</x:v>
      </x:c>
      <x:c r="T2173" s="9" t="n">
        <x:f>H2173*Z2172*INDEX(v01_MortAdult,G2173)*Arch_AdultMort/4*Q2173</x:f>
        <x:v>0</x:v>
      </x:c>
      <x:c r="U2173" s="9" t="n">
        <x:f>H2173*AA2172*INDEX(v01_MortElder,G2173)/4*Q2173</x:f>
        <x:v>0</x:v>
      </x:c>
      <x:c r="V2173" s="9" t="n">
        <x:f>H2173*MAX(0,AB2172-O2173)*v01_OvercapLoss</x:f>
        <x:v>0</x:v>
      </x:c>
      <x:c r="W2173" s="9" t="n">
        <x:f>H2173*Y2172/(v01_ChildYears*4)</x:f>
        <x:v>0</x:v>
      </x:c>
      <x:c r="X2173" s="9" t="n">
        <x:f>H2173*Z2172/(v01_AdultYears*4)</x:f>
        <x:v>0</x:v>
      </x:c>
      <x:c r="Y2173" s="32" t="n">
        <x:f>Y2172+R2173-S2173-W2173-Y2172*V2173/AB2172</x:f>
        <x:v>14306.18539759397</x:v>
      </x:c>
      <x:c r="Z2173" s="32" t="n">
        <x:f>Z2172+W2173-X2173-T2173-Z2172*V2173/AB2172</x:f>
        <x:v>19354.456567879548</x:v>
      </x:c>
      <x:c r="AA2173" s="32" t="n">
        <x:f>AA2172+X2173-U2173-AA2172*V2173/AB2172</x:f>
        <x:v>11386.956063258198</x:v>
      </x:c>
      <x:c r="AB2173" s="10" t="n">
        <x:f>Y2173+Z2173+AA2173</x:f>
        <x:v>45047.59802873172</x:v>
      </x:c>
      <x:c r="AC2173" s="8" t="n">
        <x:f>IF(AND(v01_WinterTrigger=1,D2173=1,AB2172/AE2172&gt;=K2173),1,0)</x:f>
        <x:v>0</x:v>
      </x:c>
      <x:c r="AD2173" s="8" t="n">
        <x:f>H2173*IF(AND(OR(AB2172/AE2172&gt;=v01_FissionTrigger*N2173,AC2173=1),AB2172/AE2172*v01_DaughterShare&gt;=v01_MinDaughter),MAX(1,ROUND(AE2172*v01_FissionRate,0)),0)</x:f>
        <x:v>0</x:v>
      </x:c>
      <x:c r="AE2173" s="8" t="n">
        <x:f>IF(H2173=1,MAX(1,MIN(INDEX(v01_Smax,G2173),AE2172+AD2173)),AE2172)</x:f>
        <x:v>15</x:v>
      </x:c>
      <x:c r="AF2173" s="8" t="n">
        <x:f>MAX(0,AE2173-AE2172)</x:f>
        <x:v>0</x:v>
      </x:c>
      <x:c r="AG2173" s="9" t="str">
        <x:f>IF(AF2173&gt;0,B2173,"")</x:f>
      </x:c>
      <x:c r="AH2173" s="9" t="n">
        <x:f>IF(F2173&gt;=1,1,(1+v01_LowTiesShare*(AE2173-1))/AE2173)</x:f>
        <x:v>1</x:v>
      </x:c>
      <x:c r="AI2173" s="32" t="n">
        <x:f>(Z2173+v01_ElderCommons*INDEX(LM_Elder,G2173)*AA2173)*AH2173</x:f>
        <x:v>64139.732591141874</x:v>
      </x:c>
      <x:c r="AJ2173" s="32" t="n">
        <x:f>H2173*v01_CommonsCoef*AI2173^v01_CommonsExp*INDEX(LM_Commons,G2173)</x:f>
        <x:v>0</x:v>
      </x:c>
      <x:c r="AK2173" s="32" t="n">
        <x:f>H2173*v01_RoleScale*Arch_Roles*(AE2173*(INDEX(v01_ElderRolePerSett,G2173)*v01_OutElder*INDEX(LM_Elder,G2173)+INDEX(v01_ShamanPerSett,G2173)*v01_OutShaman)+Z2173*(INDEX(v01_PriestShare,G2173)*v01_OutPriest+INDEX(v01_ScribeShare,G2173)*v01_OutScribe*INDEX(LM_Scribe,G2173)+INDEX(v01_ScholarShare,G2173)*v01_OutScholar*INDEX(LM_Scholar,G2173)+INDEX(v01_ResearcherShare,G2173)*v01_OutResearcher*INDEX(LM_Researcher,G2173)))</x:f>
        <x:v>0</x:v>
      </x:c>
      <x:c r="AL2173" s="32" t="n">
        <x:f>H2173*v01_RoleScale*Arch_Roles*AE2173*INDEX(v01_MonasteryPerSett,G2173)*v01_OutMonastery*INDEX(LM_Monastery,G2173)</x:f>
        <x:v>0</x:v>
      </x:c>
      <x:c r="AM2173" s="32" t="n">
        <x:f>(AJ2173+AK2173+AL2173)/4*INDEX(LM_All,G2173)*INDEX(v01_Boon,G2173)*Arch_Insight</x:f>
        <x:v>0</x:v>
      </x:c>
      <x:c r="AN2173" s="32" t="n">
        <x:f>H2173*(v01_KHPerAdult*Z2173+v01_KHOfCommons*AJ2173/4*INDEX(LM_All,G2173))*v01_KHUsable*Arch_KH</x:f>
        <x:v>0</x:v>
      </x:c>
      <x:c r="AO2173" s="32" t="n">
        <x:f>MIN(AP2172+AN2173,AM2173*v01_KHMaxRatio)</x:f>
        <x:v>0</x:v>
      </x:c>
      <x:c r="AP2173" s="32" t="n">
        <x:f>AP2172+AN2173-AO2173</x:f>
        <x:v>0</x:v>
      </x:c>
      <x:c r="AQ2173" s="32" t="n">
        <x:f>AM2173+AO2173</x:f>
        <x:v>0</x:v>
      </x:c>
      <x:c r="AR2173" s="10" t="n">
        <x:f>IF(H2173=1,INDEX(v01_Req,G2173),0)</x:f>
        <x:v>0</x:v>
      </x:c>
      <x:c r="AS2173" s="32" t="n">
        <x:f>IF(H2173=1,IF(E2173=1,AS2172-AR2172,AS2172)+AQ2173,0)</x:f>
        <x:v>0</x:v>
      </x:c>
      <x:c r="AT2173" s="11" t="n">
        <x:f>IF(AR2173&gt;0,MIN(1,AS2173/AR2173),1)</x:f>
        <x:v>1</x:v>
      </x:c>
      <x:c r="AU2173" s="10" t="n">
        <x:f>AB2173/INDEX(v01_RepScale,G2173)</x:f>
        <x:v>90.09519605746344</x:v>
      </x:c>
      <x:c r="AV2173" s="32" t="n">
        <x:f>AM2173*60/v01_SeasonSeconds</x:f>
        <x:v>0</x:v>
      </x:c>
    </x:row>
    <x:row r="2174">
      <x:c r="A2174" s="8" t="n">
        <x:f>A2173+1</x:f>
        <x:v>2171</x:v>
      </x:c>
      <x:c r="B2174" s="9" t="n">
        <x:f>A2174*v01_SeasonSeconds/60</x:f>
        <x:v>542.75</x:v>
      </x:c>
      <x:c r="C2174" s="9" t="n">
        <x:f>A2174/4</x:f>
        <x:v>542.75</x:v>
      </x:c>
      <x:c r="D2174" s="8" t="n">
        <x:f>IF(MOD(A2174,4)=0,1,0)</x:f>
        <x:v>0</x:v>
      </x:c>
      <x:c r="E2174" s="8" t="n">
        <x:f>IF(AND(F2173&lt;=9,AS2173&gt;=AR2173),1,0)</x:f>
        <x:v>0</x:v>
      </x:c>
      <x:c r="F2174" s="8" t="n">
        <x:f>MIN(10,F2173+E2174)</x:f>
        <x:v>10</x:v>
      </x:c>
      <x:c r="G2174" s="8" t="n">
        <x:f>MIN(F2174,9)+1</x:f>
        <x:v>10</x:v>
      </x:c>
      <x:c r="H2174" s="8" t="n">
        <x:f>IF(F2174&lt;=9,1,0)</x:f>
        <x:v>0</x:v>
      </x:c>
      <x:c r="I2174" s="9" t="n">
        <x:f>MIN(10,F2173+IF(AR2173&gt;0,MIN(1,AS2173/AR2173),1))</x:f>
        <x:v>10</x:v>
      </x:c>
      <x:c r="J2174" s="32" t="n">
        <x:f>INDEX(v01_FoodCap,G2174)*Arch_FoodCap*EXP(v01_CapsByProject*SUMPRODUCT((Cap_Point&lt;=I2174)*(Cap_Kind="Food")*Cap_Ln))</x:f>
        <x:v>12000</x:v>
      </x:c>
      <x:c r="K2174" s="32" t="n">
        <x:f>J2174*MIN(1,v01_LeanBase*EXP(v01_CapsByProject*SUMPRODUCT((Cap_Point&lt;=I2174)*(Cap_Kind="Lean")*Cap_Ln)))</x:f>
        <x:v>12000</x:v>
      </x:c>
      <x:c r="L2174" s="10" t="n">
        <x:f>INDEX(v01_HousingCap,G2174)*EXP(v01_CapsByProject*SUMPRODUCT((Cap_Point&lt;=I2174)*(Cap_Kind="Housing")*Cap_Ln))</x:f>
        <x:v>20000</x:v>
      </x:c>
      <x:c r="M2174" s="10" t="n">
        <x:f>INDEX(v01_GroupCap,G2174)*v01_CohesionFactor*EXP(v01_CapsByProject*SUMPRODUCT((Cap_Point&lt;=I2174)*(Cap_Kind="Group")*Cap_Ln))</x:f>
        <x:v>1000000</x:v>
      </x:c>
      <x:c r="N2174" s="32" t="n">
        <x:f>MIN(J2174,L2174,M2174)</x:f>
        <x:v>12000</x:v>
      </x:c>
      <x:c r="O2174" s="10" t="n">
        <x:f>AE2173*N2174</x:f>
        <x:v>180000</x:v>
      </x:c>
      <x:c r="P2174" s="9" t="n">
        <x:f>MIN(1,(AB2173/(AE2173*IF(v01_GroupInCrowding=1,N2174,MIN(J2174,L2174))))^v01_CrowdingExp)</x:f>
        <x:v>0.00024569414295285325</x:v>
      </x:c>
      <x:c r="Q2174" s="9" t="n">
        <x:f>IF(D2174=1,INDEX(v01_WinterMult,G2174),1)</x:f>
        <x:v>1</x:v>
      </x:c>
      <x:c r="R2174" s="9" t="n">
        <x:f>H2174*Z2173*v01_WomenShare*v01_BaseFertility*INDEX(v01_FertMult,G2174)*Arch_Fertility*(1-P2174)</x:f>
        <x:v>0</x:v>
      </x:c>
      <x:c r="S2174" s="9" t="n">
        <x:f>H2174*Y2173*INDEX(v01_MortChild,G2174)/4*Q2174</x:f>
        <x:v>0</x:v>
      </x:c>
      <x:c r="T2174" s="9" t="n">
        <x:f>H2174*Z2173*INDEX(v01_MortAdult,G2174)*Arch_AdultMort/4*Q2174</x:f>
        <x:v>0</x:v>
      </x:c>
      <x:c r="U2174" s="9" t="n">
        <x:f>H2174*AA2173*INDEX(v01_MortElder,G2174)/4*Q2174</x:f>
        <x:v>0</x:v>
      </x:c>
      <x:c r="V2174" s="9" t="n">
        <x:f>H2174*MAX(0,AB2173-O2174)*v01_OvercapLoss</x:f>
        <x:v>0</x:v>
      </x:c>
      <x:c r="W2174" s="9" t="n">
        <x:f>H2174*Y2173/(v01_ChildYears*4)</x:f>
        <x:v>0</x:v>
      </x:c>
      <x:c r="X2174" s="9" t="n">
        <x:f>H2174*Z2173/(v01_AdultYears*4)</x:f>
        <x:v>0</x:v>
      </x:c>
      <x:c r="Y2174" s="32" t="n">
        <x:f>Y2173+R2174-S2174-W2174-Y2173*V2174/AB2173</x:f>
        <x:v>14306.18539759397</x:v>
      </x:c>
      <x:c r="Z2174" s="32" t="n">
        <x:f>Z2173+W2174-X2174-T2174-Z2173*V2174/AB2173</x:f>
        <x:v>19354.456567879548</x:v>
      </x:c>
      <x:c r="AA2174" s="32" t="n">
        <x:f>AA2173+X2174-U2174-AA2173*V2174/AB2173</x:f>
        <x:v>11386.956063258198</x:v>
      </x:c>
      <x:c r="AB2174" s="10" t="n">
        <x:f>Y2174+Z2174+AA2174</x:f>
        <x:v>45047.59802873172</x:v>
      </x:c>
      <x:c r="AC2174" s="8" t="n">
        <x:f>IF(AND(v01_WinterTrigger=1,D2174=1,AB2173/AE2173&gt;=K2174),1,0)</x:f>
        <x:v>0</x:v>
      </x:c>
      <x:c r="AD2174" s="8" t="n">
        <x:f>H2174*IF(AND(OR(AB2173/AE2173&gt;=v01_FissionTrigger*N2174,AC2174=1),AB2173/AE2173*v01_DaughterShare&gt;=v01_MinDaughter),MAX(1,ROUND(AE2173*v01_FissionRate,0)),0)</x:f>
        <x:v>0</x:v>
      </x:c>
      <x:c r="AE2174" s="8" t="n">
        <x:f>IF(H2174=1,MAX(1,MIN(INDEX(v01_Smax,G2174),AE2173+AD2174)),AE2173)</x:f>
        <x:v>15</x:v>
      </x:c>
      <x:c r="AF2174" s="8" t="n">
        <x:f>MAX(0,AE2174-AE2173)</x:f>
        <x:v>0</x:v>
      </x:c>
      <x:c r="AG2174" s="9" t="str">
        <x:f>IF(AF2174&gt;0,B2174,"")</x:f>
      </x:c>
      <x:c r="AH2174" s="9" t="n">
        <x:f>IF(F2174&gt;=1,1,(1+v01_LowTiesShare*(AE2174-1))/AE2174)</x:f>
        <x:v>1</x:v>
      </x:c>
      <x:c r="AI2174" s="32" t="n">
        <x:f>(Z2174+v01_ElderCommons*INDEX(LM_Elder,G2174)*AA2174)*AH2174</x:f>
        <x:v>64139.732591141874</x:v>
      </x:c>
      <x:c r="AJ2174" s="32" t="n">
        <x:f>H2174*v01_CommonsCoef*AI2174^v01_CommonsExp*INDEX(LM_Commons,G2174)</x:f>
        <x:v>0</x:v>
      </x:c>
      <x:c r="AK2174" s="32" t="n">
        <x:f>H2174*v01_RoleScale*Arch_Roles*(AE2174*(INDEX(v01_ElderRolePerSett,G2174)*v01_OutElder*INDEX(LM_Elder,G2174)+INDEX(v01_ShamanPerSett,G2174)*v01_OutShaman)+Z2174*(INDEX(v01_PriestShare,G2174)*v01_OutPriest+INDEX(v01_ScribeShare,G2174)*v01_OutScribe*INDEX(LM_Scribe,G2174)+INDEX(v01_ScholarShare,G2174)*v01_OutScholar*INDEX(LM_Scholar,G2174)+INDEX(v01_ResearcherShare,G2174)*v01_OutResearcher*INDEX(LM_Researcher,G2174)))</x:f>
        <x:v>0</x:v>
      </x:c>
      <x:c r="AL2174" s="32" t="n">
        <x:f>H2174*v01_RoleScale*Arch_Roles*AE2174*INDEX(v01_MonasteryPerSett,G2174)*v01_OutMonastery*INDEX(LM_Monastery,G2174)</x:f>
        <x:v>0</x:v>
      </x:c>
      <x:c r="AM2174" s="32" t="n">
        <x:f>(AJ2174+AK2174+AL2174)/4*INDEX(LM_All,G2174)*INDEX(v01_Boon,G2174)*Arch_Insight</x:f>
        <x:v>0</x:v>
      </x:c>
      <x:c r="AN2174" s="32" t="n">
        <x:f>H2174*(v01_KHPerAdult*Z2174+v01_KHOfCommons*AJ2174/4*INDEX(LM_All,G2174))*v01_KHUsable*Arch_KH</x:f>
        <x:v>0</x:v>
      </x:c>
      <x:c r="AO2174" s="32" t="n">
        <x:f>MIN(AP2173+AN2174,AM2174*v01_KHMaxRatio)</x:f>
        <x:v>0</x:v>
      </x:c>
      <x:c r="AP2174" s="32" t="n">
        <x:f>AP2173+AN2174-AO2174</x:f>
        <x:v>0</x:v>
      </x:c>
      <x:c r="AQ2174" s="32" t="n">
        <x:f>AM2174+AO2174</x:f>
        <x:v>0</x:v>
      </x:c>
      <x:c r="AR2174" s="10" t="n">
        <x:f>IF(H2174=1,INDEX(v01_Req,G2174),0)</x:f>
        <x:v>0</x:v>
      </x:c>
      <x:c r="AS2174" s="32" t="n">
        <x:f>IF(H2174=1,IF(E2174=1,AS2173-AR2173,AS2173)+AQ2174,0)</x:f>
        <x:v>0</x:v>
      </x:c>
      <x:c r="AT2174" s="11" t="n">
        <x:f>IF(AR2174&gt;0,MIN(1,AS2174/AR2174),1)</x:f>
        <x:v>1</x:v>
      </x:c>
      <x:c r="AU2174" s="10" t="n">
        <x:f>AB2174/INDEX(v01_RepScale,G2174)</x:f>
        <x:v>90.09519605746344</x:v>
      </x:c>
      <x:c r="AV2174" s="32" t="n">
        <x:f>AM2174*60/v01_SeasonSeconds</x:f>
        <x:v>0</x:v>
      </x:c>
    </x:row>
    <x:row r="2175">
      <x:c r="A2175" s="8" t="n">
        <x:f>A2174+1</x:f>
        <x:v>2172</x:v>
      </x:c>
      <x:c r="B2175" s="9" t="n">
        <x:f>A2175*v01_SeasonSeconds/60</x:f>
        <x:v>543</x:v>
      </x:c>
      <x:c r="C2175" s="9" t="n">
        <x:f>A2175/4</x:f>
        <x:v>543</x:v>
      </x:c>
      <x:c r="D2175" s="8" t="n">
        <x:f>IF(MOD(A2175,4)=0,1,0)</x:f>
        <x:v>1</x:v>
      </x:c>
      <x:c r="E2175" s="8" t="n">
        <x:f>IF(AND(F2174&lt;=9,AS2174&gt;=AR2174),1,0)</x:f>
        <x:v>0</x:v>
      </x:c>
      <x:c r="F2175" s="8" t="n">
        <x:f>MIN(10,F2174+E2175)</x:f>
        <x:v>10</x:v>
      </x:c>
      <x:c r="G2175" s="8" t="n">
        <x:f>MIN(F2175,9)+1</x:f>
        <x:v>10</x:v>
      </x:c>
      <x:c r="H2175" s="8" t="n">
        <x:f>IF(F2175&lt;=9,1,0)</x:f>
        <x:v>0</x:v>
      </x:c>
      <x:c r="I2175" s="9" t="n">
        <x:f>MIN(10,F2174+IF(AR2174&gt;0,MIN(1,AS2174/AR2174),1))</x:f>
        <x:v>10</x:v>
      </x:c>
      <x:c r="J2175" s="32" t="n">
        <x:f>INDEX(v01_FoodCap,G2175)*Arch_FoodCap*EXP(v01_CapsByProject*SUMPRODUCT((Cap_Point&lt;=I2175)*(Cap_Kind="Food")*Cap_Ln))</x:f>
        <x:v>12000</x:v>
      </x:c>
      <x:c r="K2175" s="32" t="n">
        <x:f>J2175*MIN(1,v01_LeanBase*EXP(v01_CapsByProject*SUMPRODUCT((Cap_Point&lt;=I2175)*(Cap_Kind="Lean")*Cap_Ln)))</x:f>
        <x:v>12000</x:v>
      </x:c>
      <x:c r="L2175" s="10" t="n">
        <x:f>INDEX(v01_HousingCap,G2175)*EXP(v01_CapsByProject*SUMPRODUCT((Cap_Point&lt;=I2175)*(Cap_Kind="Housing")*Cap_Ln))</x:f>
        <x:v>20000</x:v>
      </x:c>
      <x:c r="M2175" s="10" t="n">
        <x:f>INDEX(v01_GroupCap,G2175)*v01_CohesionFactor*EXP(v01_CapsByProject*SUMPRODUCT((Cap_Point&lt;=I2175)*(Cap_Kind="Group")*Cap_Ln))</x:f>
        <x:v>1000000</x:v>
      </x:c>
      <x:c r="N2175" s="32" t="n">
        <x:f>MIN(J2175,L2175,M2175)</x:f>
        <x:v>12000</x:v>
      </x:c>
      <x:c r="O2175" s="10" t="n">
        <x:f>AE2174*N2175</x:f>
        <x:v>180000</x:v>
      </x:c>
      <x:c r="P2175" s="9" t="n">
        <x:f>MIN(1,(AB2174/(AE2174*IF(v01_GroupInCrowding=1,N2175,MIN(J2175,L2175))))^v01_CrowdingExp)</x:f>
        <x:v>0.00024569414295285325</x:v>
      </x:c>
      <x:c r="Q2175" s="9" t="n">
        <x:f>IF(D2175=1,INDEX(v01_WinterMult,G2175),1)</x:f>
        <x:v>1</x:v>
      </x:c>
      <x:c r="R2175" s="9" t="n">
        <x:f>H2175*Z2174*v01_WomenShare*v01_BaseFertility*INDEX(v01_FertMult,G2175)*Arch_Fertility*(1-P2175)</x:f>
        <x:v>0</x:v>
      </x:c>
      <x:c r="S2175" s="9" t="n">
        <x:f>H2175*Y2174*INDEX(v01_MortChild,G2175)/4*Q2175</x:f>
        <x:v>0</x:v>
      </x:c>
      <x:c r="T2175" s="9" t="n">
        <x:f>H2175*Z2174*INDEX(v01_MortAdult,G2175)*Arch_AdultMort/4*Q2175</x:f>
        <x:v>0</x:v>
      </x:c>
      <x:c r="U2175" s="9" t="n">
        <x:f>H2175*AA2174*INDEX(v01_MortElder,G2175)/4*Q2175</x:f>
        <x:v>0</x:v>
      </x:c>
      <x:c r="V2175" s="9" t="n">
        <x:f>H2175*MAX(0,AB2174-O2175)*v01_OvercapLoss</x:f>
        <x:v>0</x:v>
      </x:c>
      <x:c r="W2175" s="9" t="n">
        <x:f>H2175*Y2174/(v01_ChildYears*4)</x:f>
        <x:v>0</x:v>
      </x:c>
      <x:c r="X2175" s="9" t="n">
        <x:f>H2175*Z2174/(v01_AdultYears*4)</x:f>
        <x:v>0</x:v>
      </x:c>
      <x:c r="Y2175" s="32" t="n">
        <x:f>Y2174+R2175-S2175-W2175-Y2174*V2175/AB2174</x:f>
        <x:v>14306.18539759397</x:v>
      </x:c>
      <x:c r="Z2175" s="32" t="n">
        <x:f>Z2174+W2175-X2175-T2175-Z2174*V2175/AB2174</x:f>
        <x:v>19354.456567879548</x:v>
      </x:c>
      <x:c r="AA2175" s="32" t="n">
        <x:f>AA2174+X2175-U2175-AA2174*V2175/AB2174</x:f>
        <x:v>11386.956063258198</x:v>
      </x:c>
      <x:c r="AB2175" s="10" t="n">
        <x:f>Y2175+Z2175+AA2175</x:f>
        <x:v>45047.59802873172</x:v>
      </x:c>
      <x:c r="AC2175" s="8" t="n">
        <x:f>IF(AND(v01_WinterTrigger=1,D2175=1,AB2174/AE2174&gt;=K2175),1,0)</x:f>
        <x:v>0</x:v>
      </x:c>
      <x:c r="AD2175" s="8" t="n">
        <x:f>H2175*IF(AND(OR(AB2174/AE2174&gt;=v01_FissionTrigger*N2175,AC2175=1),AB2174/AE2174*v01_DaughterShare&gt;=v01_MinDaughter),MAX(1,ROUND(AE2174*v01_FissionRate,0)),0)</x:f>
        <x:v>0</x:v>
      </x:c>
      <x:c r="AE2175" s="8" t="n">
        <x:f>IF(H2175=1,MAX(1,MIN(INDEX(v01_Smax,G2175),AE2174+AD2175)),AE2174)</x:f>
        <x:v>15</x:v>
      </x:c>
      <x:c r="AF2175" s="8" t="n">
        <x:f>MAX(0,AE2175-AE2174)</x:f>
        <x:v>0</x:v>
      </x:c>
      <x:c r="AG2175" s="9" t="str">
        <x:f>IF(AF2175&gt;0,B2175,"")</x:f>
      </x:c>
      <x:c r="AH2175" s="9" t="n">
        <x:f>IF(F2175&gt;=1,1,(1+v01_LowTiesShare*(AE2175-1))/AE2175)</x:f>
        <x:v>1</x:v>
      </x:c>
      <x:c r="AI2175" s="32" t="n">
        <x:f>(Z2175+v01_ElderCommons*INDEX(LM_Elder,G2175)*AA2175)*AH2175</x:f>
        <x:v>64139.732591141874</x:v>
      </x:c>
      <x:c r="AJ2175" s="32" t="n">
        <x:f>H2175*v01_CommonsCoef*AI2175^v01_CommonsExp*INDEX(LM_Commons,G2175)</x:f>
        <x:v>0</x:v>
      </x:c>
      <x:c r="AK2175" s="32" t="n">
        <x:f>H2175*v01_RoleScale*Arch_Roles*(AE2175*(INDEX(v01_ElderRolePerSett,G2175)*v01_OutElder*INDEX(LM_Elder,G2175)+INDEX(v01_ShamanPerSett,G2175)*v01_OutShaman)+Z2175*(INDEX(v01_PriestShare,G2175)*v01_OutPriest+INDEX(v01_ScribeShare,G2175)*v01_OutScribe*INDEX(LM_Scribe,G2175)+INDEX(v01_ScholarShare,G2175)*v01_OutScholar*INDEX(LM_Scholar,G2175)+INDEX(v01_ResearcherShare,G2175)*v01_OutResearcher*INDEX(LM_Researcher,G2175)))</x:f>
        <x:v>0</x:v>
      </x:c>
      <x:c r="AL2175" s="32" t="n">
        <x:f>H2175*v01_RoleScale*Arch_Roles*AE2175*INDEX(v01_MonasteryPerSett,G2175)*v01_OutMonastery*INDEX(LM_Monastery,G2175)</x:f>
        <x:v>0</x:v>
      </x:c>
      <x:c r="AM2175" s="32" t="n">
        <x:f>(AJ2175+AK2175+AL2175)/4*INDEX(LM_All,G2175)*INDEX(v01_Boon,G2175)*Arch_Insight</x:f>
        <x:v>0</x:v>
      </x:c>
      <x:c r="AN2175" s="32" t="n">
        <x:f>H2175*(v01_KHPerAdult*Z2175+v01_KHOfCommons*AJ2175/4*INDEX(LM_All,G2175))*v01_KHUsable*Arch_KH</x:f>
        <x:v>0</x:v>
      </x:c>
      <x:c r="AO2175" s="32" t="n">
        <x:f>MIN(AP2174+AN2175,AM2175*v01_KHMaxRatio)</x:f>
        <x:v>0</x:v>
      </x:c>
      <x:c r="AP2175" s="32" t="n">
        <x:f>AP2174+AN2175-AO2175</x:f>
        <x:v>0</x:v>
      </x:c>
      <x:c r="AQ2175" s="32" t="n">
        <x:f>AM2175+AO2175</x:f>
        <x:v>0</x:v>
      </x:c>
      <x:c r="AR2175" s="10" t="n">
        <x:f>IF(H2175=1,INDEX(v01_Req,G2175),0)</x:f>
        <x:v>0</x:v>
      </x:c>
      <x:c r="AS2175" s="32" t="n">
        <x:f>IF(H2175=1,IF(E2175=1,AS2174-AR2174,AS2174)+AQ2175,0)</x:f>
        <x:v>0</x:v>
      </x:c>
      <x:c r="AT2175" s="11" t="n">
        <x:f>IF(AR2175&gt;0,MIN(1,AS2175/AR2175),1)</x:f>
        <x:v>1</x:v>
      </x:c>
      <x:c r="AU2175" s="10" t="n">
        <x:f>AB2175/INDEX(v01_RepScale,G2175)</x:f>
        <x:v>90.09519605746344</x:v>
      </x:c>
      <x:c r="AV2175" s="32" t="n">
        <x:f>AM2175*60/v01_SeasonSeconds</x:f>
        <x:v>0</x:v>
      </x:c>
    </x:row>
    <x:row r="2176">
      <x:c r="A2176" s="8" t="n">
        <x:f>A2175+1</x:f>
        <x:v>2173</x:v>
      </x:c>
      <x:c r="B2176" s="9" t="n">
        <x:f>A2176*v01_SeasonSeconds/60</x:f>
        <x:v>543.25</x:v>
      </x:c>
      <x:c r="C2176" s="9" t="n">
        <x:f>A2176/4</x:f>
        <x:v>543.25</x:v>
      </x:c>
      <x:c r="D2176" s="8" t="n">
        <x:f>IF(MOD(A2176,4)=0,1,0)</x:f>
        <x:v>0</x:v>
      </x:c>
      <x:c r="E2176" s="8" t="n">
        <x:f>IF(AND(F2175&lt;=9,AS2175&gt;=AR2175),1,0)</x:f>
        <x:v>0</x:v>
      </x:c>
      <x:c r="F2176" s="8" t="n">
        <x:f>MIN(10,F2175+E2176)</x:f>
        <x:v>10</x:v>
      </x:c>
      <x:c r="G2176" s="8" t="n">
        <x:f>MIN(F2176,9)+1</x:f>
        <x:v>10</x:v>
      </x:c>
      <x:c r="H2176" s="8" t="n">
        <x:f>IF(F2176&lt;=9,1,0)</x:f>
        <x:v>0</x:v>
      </x:c>
      <x:c r="I2176" s="9" t="n">
        <x:f>MIN(10,F2175+IF(AR2175&gt;0,MIN(1,AS2175/AR2175),1))</x:f>
        <x:v>10</x:v>
      </x:c>
      <x:c r="J2176" s="32" t="n">
        <x:f>INDEX(v01_FoodCap,G2176)*Arch_FoodCap*EXP(v01_CapsByProject*SUMPRODUCT((Cap_Point&lt;=I2176)*(Cap_Kind="Food")*Cap_Ln))</x:f>
        <x:v>12000</x:v>
      </x:c>
      <x:c r="K2176" s="32" t="n">
        <x:f>J2176*MIN(1,v01_LeanBase*EXP(v01_CapsByProject*SUMPRODUCT((Cap_Point&lt;=I2176)*(Cap_Kind="Lean")*Cap_Ln)))</x:f>
        <x:v>12000</x:v>
      </x:c>
      <x:c r="L2176" s="10" t="n">
        <x:f>INDEX(v01_HousingCap,G2176)*EXP(v01_CapsByProject*SUMPRODUCT((Cap_Point&lt;=I2176)*(Cap_Kind="Housing")*Cap_Ln))</x:f>
        <x:v>20000</x:v>
      </x:c>
      <x:c r="M2176" s="10" t="n">
        <x:f>INDEX(v01_GroupCap,G2176)*v01_CohesionFactor*EXP(v01_CapsByProject*SUMPRODUCT((Cap_Point&lt;=I2176)*(Cap_Kind="Group")*Cap_Ln))</x:f>
        <x:v>1000000</x:v>
      </x:c>
      <x:c r="N2176" s="32" t="n">
        <x:f>MIN(J2176,L2176,M2176)</x:f>
        <x:v>12000</x:v>
      </x:c>
      <x:c r="O2176" s="10" t="n">
        <x:f>AE2175*N2176</x:f>
        <x:v>180000</x:v>
      </x:c>
      <x:c r="P2176" s="9" t="n">
        <x:f>MIN(1,(AB2175/(AE2175*IF(v01_GroupInCrowding=1,N2176,MIN(J2176,L2176))))^v01_CrowdingExp)</x:f>
        <x:v>0.00024569414295285325</x:v>
      </x:c>
      <x:c r="Q2176" s="9" t="n">
        <x:f>IF(D2176=1,INDEX(v01_WinterMult,G2176),1)</x:f>
        <x:v>1</x:v>
      </x:c>
      <x:c r="R2176" s="9" t="n">
        <x:f>H2176*Z2175*v01_WomenShare*v01_BaseFertility*INDEX(v01_FertMult,G2176)*Arch_Fertility*(1-P2176)</x:f>
        <x:v>0</x:v>
      </x:c>
      <x:c r="S2176" s="9" t="n">
        <x:f>H2176*Y2175*INDEX(v01_MortChild,G2176)/4*Q2176</x:f>
        <x:v>0</x:v>
      </x:c>
      <x:c r="T2176" s="9" t="n">
        <x:f>H2176*Z2175*INDEX(v01_MortAdult,G2176)*Arch_AdultMort/4*Q2176</x:f>
        <x:v>0</x:v>
      </x:c>
      <x:c r="U2176" s="9" t="n">
        <x:f>H2176*AA2175*INDEX(v01_MortElder,G2176)/4*Q2176</x:f>
        <x:v>0</x:v>
      </x:c>
      <x:c r="V2176" s="9" t="n">
        <x:f>H2176*MAX(0,AB2175-O2176)*v01_OvercapLoss</x:f>
        <x:v>0</x:v>
      </x:c>
      <x:c r="W2176" s="9" t="n">
        <x:f>H2176*Y2175/(v01_ChildYears*4)</x:f>
        <x:v>0</x:v>
      </x:c>
      <x:c r="X2176" s="9" t="n">
        <x:f>H2176*Z2175/(v01_AdultYears*4)</x:f>
        <x:v>0</x:v>
      </x:c>
      <x:c r="Y2176" s="32" t="n">
        <x:f>Y2175+R2176-S2176-W2176-Y2175*V2176/AB2175</x:f>
        <x:v>14306.18539759397</x:v>
      </x:c>
      <x:c r="Z2176" s="32" t="n">
        <x:f>Z2175+W2176-X2176-T2176-Z2175*V2176/AB2175</x:f>
        <x:v>19354.456567879548</x:v>
      </x:c>
      <x:c r="AA2176" s="32" t="n">
        <x:f>AA2175+X2176-U2176-AA2175*V2176/AB2175</x:f>
        <x:v>11386.956063258198</x:v>
      </x:c>
      <x:c r="AB2176" s="10" t="n">
        <x:f>Y2176+Z2176+AA2176</x:f>
        <x:v>45047.59802873172</x:v>
      </x:c>
      <x:c r="AC2176" s="8" t="n">
        <x:f>IF(AND(v01_WinterTrigger=1,D2176=1,AB2175/AE2175&gt;=K2176),1,0)</x:f>
        <x:v>0</x:v>
      </x:c>
      <x:c r="AD2176" s="8" t="n">
        <x:f>H2176*IF(AND(OR(AB2175/AE2175&gt;=v01_FissionTrigger*N2176,AC2176=1),AB2175/AE2175*v01_DaughterShare&gt;=v01_MinDaughter),MAX(1,ROUND(AE2175*v01_FissionRate,0)),0)</x:f>
        <x:v>0</x:v>
      </x:c>
      <x:c r="AE2176" s="8" t="n">
        <x:f>IF(H2176=1,MAX(1,MIN(INDEX(v01_Smax,G2176),AE2175+AD2176)),AE2175)</x:f>
        <x:v>15</x:v>
      </x:c>
      <x:c r="AF2176" s="8" t="n">
        <x:f>MAX(0,AE2176-AE2175)</x:f>
        <x:v>0</x:v>
      </x:c>
      <x:c r="AG2176" s="9" t="str">
        <x:f>IF(AF2176&gt;0,B2176,"")</x:f>
      </x:c>
      <x:c r="AH2176" s="9" t="n">
        <x:f>IF(F2176&gt;=1,1,(1+v01_LowTiesShare*(AE2176-1))/AE2176)</x:f>
        <x:v>1</x:v>
      </x:c>
      <x:c r="AI2176" s="32" t="n">
        <x:f>(Z2176+v01_ElderCommons*INDEX(LM_Elder,G2176)*AA2176)*AH2176</x:f>
        <x:v>64139.732591141874</x:v>
      </x:c>
      <x:c r="AJ2176" s="32" t="n">
        <x:f>H2176*v01_CommonsCoef*AI2176^v01_CommonsExp*INDEX(LM_Commons,G2176)</x:f>
        <x:v>0</x:v>
      </x:c>
      <x:c r="AK2176" s="32" t="n">
        <x:f>H2176*v01_RoleScale*Arch_Roles*(AE2176*(INDEX(v01_ElderRolePerSett,G2176)*v01_OutElder*INDEX(LM_Elder,G2176)+INDEX(v01_ShamanPerSett,G2176)*v01_OutShaman)+Z2176*(INDEX(v01_PriestShare,G2176)*v01_OutPriest+INDEX(v01_ScribeShare,G2176)*v01_OutScribe*INDEX(LM_Scribe,G2176)+INDEX(v01_ScholarShare,G2176)*v01_OutScholar*INDEX(LM_Scholar,G2176)+INDEX(v01_ResearcherShare,G2176)*v01_OutResearcher*INDEX(LM_Researcher,G2176)))</x:f>
        <x:v>0</x:v>
      </x:c>
      <x:c r="AL2176" s="32" t="n">
        <x:f>H2176*v01_RoleScale*Arch_Roles*AE2176*INDEX(v01_MonasteryPerSett,G2176)*v01_OutMonastery*INDEX(LM_Monastery,G2176)</x:f>
        <x:v>0</x:v>
      </x:c>
      <x:c r="AM2176" s="32" t="n">
        <x:f>(AJ2176+AK2176+AL2176)/4*INDEX(LM_All,G2176)*INDEX(v01_Boon,G2176)*Arch_Insight</x:f>
        <x:v>0</x:v>
      </x:c>
      <x:c r="AN2176" s="32" t="n">
        <x:f>H2176*(v01_KHPerAdult*Z2176+v01_KHOfCommons*AJ2176/4*INDEX(LM_All,G2176))*v01_KHUsable*Arch_KH</x:f>
        <x:v>0</x:v>
      </x:c>
      <x:c r="AO2176" s="32" t="n">
        <x:f>MIN(AP2175+AN2176,AM2176*v01_KHMaxRatio)</x:f>
        <x:v>0</x:v>
      </x:c>
      <x:c r="AP2176" s="32" t="n">
        <x:f>AP2175+AN2176-AO2176</x:f>
        <x:v>0</x:v>
      </x:c>
      <x:c r="AQ2176" s="32" t="n">
        <x:f>AM2176+AO2176</x:f>
        <x:v>0</x:v>
      </x:c>
      <x:c r="AR2176" s="10" t="n">
        <x:f>IF(H2176=1,INDEX(v01_Req,G2176),0)</x:f>
        <x:v>0</x:v>
      </x:c>
      <x:c r="AS2176" s="32" t="n">
        <x:f>IF(H2176=1,IF(E2176=1,AS2175-AR2175,AS2175)+AQ2176,0)</x:f>
        <x:v>0</x:v>
      </x:c>
      <x:c r="AT2176" s="11" t="n">
        <x:f>IF(AR2176&gt;0,MIN(1,AS2176/AR2176),1)</x:f>
        <x:v>1</x:v>
      </x:c>
      <x:c r="AU2176" s="10" t="n">
        <x:f>AB2176/INDEX(v01_RepScale,G2176)</x:f>
        <x:v>90.09519605746344</x:v>
      </x:c>
      <x:c r="AV2176" s="32" t="n">
        <x:f>AM2176*60/v01_SeasonSeconds</x:f>
        <x:v>0</x:v>
      </x:c>
    </x:row>
    <x:row r="2177">
      <x:c r="A2177" s="8" t="n">
        <x:f>A2176+1</x:f>
        <x:v>2174</x:v>
      </x:c>
      <x:c r="B2177" s="9" t="n">
        <x:f>A2177*v01_SeasonSeconds/60</x:f>
        <x:v>543.5</x:v>
      </x:c>
      <x:c r="C2177" s="9" t="n">
        <x:f>A2177/4</x:f>
        <x:v>543.5</x:v>
      </x:c>
      <x:c r="D2177" s="8" t="n">
        <x:f>IF(MOD(A2177,4)=0,1,0)</x:f>
        <x:v>0</x:v>
      </x:c>
      <x:c r="E2177" s="8" t="n">
        <x:f>IF(AND(F2176&lt;=9,AS2176&gt;=AR2176),1,0)</x:f>
        <x:v>0</x:v>
      </x:c>
      <x:c r="F2177" s="8" t="n">
        <x:f>MIN(10,F2176+E2177)</x:f>
        <x:v>10</x:v>
      </x:c>
      <x:c r="G2177" s="8" t="n">
        <x:f>MIN(F2177,9)+1</x:f>
        <x:v>10</x:v>
      </x:c>
      <x:c r="H2177" s="8" t="n">
        <x:f>IF(F2177&lt;=9,1,0)</x:f>
        <x:v>0</x:v>
      </x:c>
      <x:c r="I2177" s="9" t="n">
        <x:f>MIN(10,F2176+IF(AR2176&gt;0,MIN(1,AS2176/AR2176),1))</x:f>
        <x:v>10</x:v>
      </x:c>
      <x:c r="J2177" s="32" t="n">
        <x:f>INDEX(v01_FoodCap,G2177)*Arch_FoodCap*EXP(v01_CapsByProject*SUMPRODUCT((Cap_Point&lt;=I2177)*(Cap_Kind="Food")*Cap_Ln))</x:f>
        <x:v>12000</x:v>
      </x:c>
      <x:c r="K2177" s="32" t="n">
        <x:f>J2177*MIN(1,v01_LeanBase*EXP(v01_CapsByProject*SUMPRODUCT((Cap_Point&lt;=I2177)*(Cap_Kind="Lean")*Cap_Ln)))</x:f>
        <x:v>12000</x:v>
      </x:c>
      <x:c r="L2177" s="10" t="n">
        <x:f>INDEX(v01_HousingCap,G2177)*EXP(v01_CapsByProject*SUMPRODUCT((Cap_Point&lt;=I2177)*(Cap_Kind="Housing")*Cap_Ln))</x:f>
        <x:v>20000</x:v>
      </x:c>
      <x:c r="M2177" s="10" t="n">
        <x:f>INDEX(v01_GroupCap,G2177)*v01_CohesionFactor*EXP(v01_CapsByProject*SUMPRODUCT((Cap_Point&lt;=I2177)*(Cap_Kind="Group")*Cap_Ln))</x:f>
        <x:v>1000000</x:v>
      </x:c>
      <x:c r="N2177" s="32" t="n">
        <x:f>MIN(J2177,L2177,M2177)</x:f>
        <x:v>12000</x:v>
      </x:c>
      <x:c r="O2177" s="10" t="n">
        <x:f>AE2176*N2177</x:f>
        <x:v>180000</x:v>
      </x:c>
      <x:c r="P2177" s="9" t="n">
        <x:f>MIN(1,(AB2176/(AE2176*IF(v01_GroupInCrowding=1,N2177,MIN(J2177,L2177))))^v01_CrowdingExp)</x:f>
        <x:v>0.00024569414295285325</x:v>
      </x:c>
      <x:c r="Q2177" s="9" t="n">
        <x:f>IF(D2177=1,INDEX(v01_WinterMult,G2177),1)</x:f>
        <x:v>1</x:v>
      </x:c>
      <x:c r="R2177" s="9" t="n">
        <x:f>H2177*Z2176*v01_WomenShare*v01_BaseFertility*INDEX(v01_FertMult,G2177)*Arch_Fertility*(1-P2177)</x:f>
        <x:v>0</x:v>
      </x:c>
      <x:c r="S2177" s="9" t="n">
        <x:f>H2177*Y2176*INDEX(v01_MortChild,G2177)/4*Q2177</x:f>
        <x:v>0</x:v>
      </x:c>
      <x:c r="T2177" s="9" t="n">
        <x:f>H2177*Z2176*INDEX(v01_MortAdult,G2177)*Arch_AdultMort/4*Q2177</x:f>
        <x:v>0</x:v>
      </x:c>
      <x:c r="U2177" s="9" t="n">
        <x:f>H2177*AA2176*INDEX(v01_MortElder,G2177)/4*Q2177</x:f>
        <x:v>0</x:v>
      </x:c>
      <x:c r="V2177" s="9" t="n">
        <x:f>H2177*MAX(0,AB2176-O2177)*v01_OvercapLoss</x:f>
        <x:v>0</x:v>
      </x:c>
      <x:c r="W2177" s="9" t="n">
        <x:f>H2177*Y2176/(v01_ChildYears*4)</x:f>
        <x:v>0</x:v>
      </x:c>
      <x:c r="X2177" s="9" t="n">
        <x:f>H2177*Z2176/(v01_AdultYears*4)</x:f>
        <x:v>0</x:v>
      </x:c>
      <x:c r="Y2177" s="32" t="n">
        <x:f>Y2176+R2177-S2177-W2177-Y2176*V2177/AB2176</x:f>
        <x:v>14306.18539759397</x:v>
      </x:c>
      <x:c r="Z2177" s="32" t="n">
        <x:f>Z2176+W2177-X2177-T2177-Z2176*V2177/AB2176</x:f>
        <x:v>19354.456567879548</x:v>
      </x:c>
      <x:c r="AA2177" s="32" t="n">
        <x:f>AA2176+X2177-U2177-AA2176*V2177/AB2176</x:f>
        <x:v>11386.956063258198</x:v>
      </x:c>
      <x:c r="AB2177" s="10" t="n">
        <x:f>Y2177+Z2177+AA2177</x:f>
        <x:v>45047.59802873172</x:v>
      </x:c>
      <x:c r="AC2177" s="8" t="n">
        <x:f>IF(AND(v01_WinterTrigger=1,D2177=1,AB2176/AE2176&gt;=K2177),1,0)</x:f>
        <x:v>0</x:v>
      </x:c>
      <x:c r="AD2177" s="8" t="n">
        <x:f>H2177*IF(AND(OR(AB2176/AE2176&gt;=v01_FissionTrigger*N2177,AC2177=1),AB2176/AE2176*v01_DaughterShare&gt;=v01_MinDaughter),MAX(1,ROUND(AE2176*v01_FissionRate,0)),0)</x:f>
        <x:v>0</x:v>
      </x:c>
      <x:c r="AE2177" s="8" t="n">
        <x:f>IF(H2177=1,MAX(1,MIN(INDEX(v01_Smax,G2177),AE2176+AD2177)),AE2176)</x:f>
        <x:v>15</x:v>
      </x:c>
      <x:c r="AF2177" s="8" t="n">
        <x:f>MAX(0,AE2177-AE2176)</x:f>
        <x:v>0</x:v>
      </x:c>
      <x:c r="AG2177" s="9" t="str">
        <x:f>IF(AF2177&gt;0,B2177,"")</x:f>
      </x:c>
      <x:c r="AH2177" s="9" t="n">
        <x:f>IF(F2177&gt;=1,1,(1+v01_LowTiesShare*(AE2177-1))/AE2177)</x:f>
        <x:v>1</x:v>
      </x:c>
      <x:c r="AI2177" s="32" t="n">
        <x:f>(Z2177+v01_ElderCommons*INDEX(LM_Elder,G2177)*AA2177)*AH2177</x:f>
        <x:v>64139.732591141874</x:v>
      </x:c>
      <x:c r="AJ2177" s="32" t="n">
        <x:f>H2177*v01_CommonsCoef*AI2177^v01_CommonsExp*INDEX(LM_Commons,G2177)</x:f>
        <x:v>0</x:v>
      </x:c>
      <x:c r="AK2177" s="32" t="n">
        <x:f>H2177*v01_RoleScale*Arch_Roles*(AE2177*(INDEX(v01_ElderRolePerSett,G2177)*v01_OutElder*INDEX(LM_Elder,G2177)+INDEX(v01_ShamanPerSett,G2177)*v01_OutShaman)+Z2177*(INDEX(v01_PriestShare,G2177)*v01_OutPriest+INDEX(v01_ScribeShare,G2177)*v01_OutScribe*INDEX(LM_Scribe,G2177)+INDEX(v01_ScholarShare,G2177)*v01_OutScholar*INDEX(LM_Scholar,G2177)+INDEX(v01_ResearcherShare,G2177)*v01_OutResearcher*INDEX(LM_Researcher,G2177)))</x:f>
        <x:v>0</x:v>
      </x:c>
      <x:c r="AL2177" s="32" t="n">
        <x:f>H2177*v01_RoleScale*Arch_Roles*AE2177*INDEX(v01_MonasteryPerSett,G2177)*v01_OutMonastery*INDEX(LM_Monastery,G2177)</x:f>
        <x:v>0</x:v>
      </x:c>
      <x:c r="AM2177" s="32" t="n">
        <x:f>(AJ2177+AK2177+AL2177)/4*INDEX(LM_All,G2177)*INDEX(v01_Boon,G2177)*Arch_Insight</x:f>
        <x:v>0</x:v>
      </x:c>
      <x:c r="AN2177" s="32" t="n">
        <x:f>H2177*(v01_KHPerAdult*Z2177+v01_KHOfCommons*AJ2177/4*INDEX(LM_All,G2177))*v01_KHUsable*Arch_KH</x:f>
        <x:v>0</x:v>
      </x:c>
      <x:c r="AO2177" s="32" t="n">
        <x:f>MIN(AP2176+AN2177,AM2177*v01_KHMaxRatio)</x:f>
        <x:v>0</x:v>
      </x:c>
      <x:c r="AP2177" s="32" t="n">
        <x:f>AP2176+AN2177-AO2177</x:f>
        <x:v>0</x:v>
      </x:c>
      <x:c r="AQ2177" s="32" t="n">
        <x:f>AM2177+AO2177</x:f>
        <x:v>0</x:v>
      </x:c>
      <x:c r="AR2177" s="10" t="n">
        <x:f>IF(H2177=1,INDEX(v01_Req,G2177),0)</x:f>
        <x:v>0</x:v>
      </x:c>
      <x:c r="AS2177" s="32" t="n">
        <x:f>IF(H2177=1,IF(E2177=1,AS2176-AR2176,AS2176)+AQ2177,0)</x:f>
        <x:v>0</x:v>
      </x:c>
      <x:c r="AT2177" s="11" t="n">
        <x:f>IF(AR2177&gt;0,MIN(1,AS2177/AR2177),1)</x:f>
        <x:v>1</x:v>
      </x:c>
      <x:c r="AU2177" s="10" t="n">
        <x:f>AB2177/INDEX(v01_RepScale,G2177)</x:f>
        <x:v>90.09519605746344</x:v>
      </x:c>
      <x:c r="AV2177" s="32" t="n">
        <x:f>AM2177*60/v01_SeasonSeconds</x:f>
        <x:v>0</x:v>
      </x:c>
    </x:row>
    <x:row r="2178">
      <x:c r="A2178" s="8" t="n">
        <x:f>A2177+1</x:f>
        <x:v>2175</x:v>
      </x:c>
      <x:c r="B2178" s="9" t="n">
        <x:f>A2178*v01_SeasonSeconds/60</x:f>
        <x:v>543.75</x:v>
      </x:c>
      <x:c r="C2178" s="9" t="n">
        <x:f>A2178/4</x:f>
        <x:v>543.75</x:v>
      </x:c>
      <x:c r="D2178" s="8" t="n">
        <x:f>IF(MOD(A2178,4)=0,1,0)</x:f>
        <x:v>0</x:v>
      </x:c>
      <x:c r="E2178" s="8" t="n">
        <x:f>IF(AND(F2177&lt;=9,AS2177&gt;=AR2177),1,0)</x:f>
        <x:v>0</x:v>
      </x:c>
      <x:c r="F2178" s="8" t="n">
        <x:f>MIN(10,F2177+E2178)</x:f>
        <x:v>10</x:v>
      </x:c>
      <x:c r="G2178" s="8" t="n">
        <x:f>MIN(F2178,9)+1</x:f>
        <x:v>10</x:v>
      </x:c>
      <x:c r="H2178" s="8" t="n">
        <x:f>IF(F2178&lt;=9,1,0)</x:f>
        <x:v>0</x:v>
      </x:c>
      <x:c r="I2178" s="9" t="n">
        <x:f>MIN(10,F2177+IF(AR2177&gt;0,MIN(1,AS2177/AR2177),1))</x:f>
        <x:v>10</x:v>
      </x:c>
      <x:c r="J2178" s="32" t="n">
        <x:f>INDEX(v01_FoodCap,G2178)*Arch_FoodCap*EXP(v01_CapsByProject*SUMPRODUCT((Cap_Point&lt;=I2178)*(Cap_Kind="Food")*Cap_Ln))</x:f>
        <x:v>12000</x:v>
      </x:c>
      <x:c r="K2178" s="32" t="n">
        <x:f>J2178*MIN(1,v01_LeanBase*EXP(v01_CapsByProject*SUMPRODUCT((Cap_Point&lt;=I2178)*(Cap_Kind="Lean")*Cap_Ln)))</x:f>
        <x:v>12000</x:v>
      </x:c>
      <x:c r="L2178" s="10" t="n">
        <x:f>INDEX(v01_HousingCap,G2178)*EXP(v01_CapsByProject*SUMPRODUCT((Cap_Point&lt;=I2178)*(Cap_Kind="Housing")*Cap_Ln))</x:f>
        <x:v>20000</x:v>
      </x:c>
      <x:c r="M2178" s="10" t="n">
        <x:f>INDEX(v01_GroupCap,G2178)*v01_CohesionFactor*EXP(v01_CapsByProject*SUMPRODUCT((Cap_Point&lt;=I2178)*(Cap_Kind="Group")*Cap_Ln))</x:f>
        <x:v>1000000</x:v>
      </x:c>
      <x:c r="N2178" s="32" t="n">
        <x:f>MIN(J2178,L2178,M2178)</x:f>
        <x:v>12000</x:v>
      </x:c>
      <x:c r="O2178" s="10" t="n">
        <x:f>AE2177*N2178</x:f>
        <x:v>180000</x:v>
      </x:c>
      <x:c r="P2178" s="9" t="n">
        <x:f>MIN(1,(AB2177/(AE2177*IF(v01_GroupInCrowding=1,N2178,MIN(J2178,L2178))))^v01_CrowdingExp)</x:f>
        <x:v>0.00024569414295285325</x:v>
      </x:c>
      <x:c r="Q2178" s="9" t="n">
        <x:f>IF(D2178=1,INDEX(v01_WinterMult,G2178),1)</x:f>
        <x:v>1</x:v>
      </x:c>
      <x:c r="R2178" s="9" t="n">
        <x:f>H2178*Z2177*v01_WomenShare*v01_BaseFertility*INDEX(v01_FertMult,G2178)*Arch_Fertility*(1-P2178)</x:f>
        <x:v>0</x:v>
      </x:c>
      <x:c r="S2178" s="9" t="n">
        <x:f>H2178*Y2177*INDEX(v01_MortChild,G2178)/4*Q2178</x:f>
        <x:v>0</x:v>
      </x:c>
      <x:c r="T2178" s="9" t="n">
        <x:f>H2178*Z2177*INDEX(v01_MortAdult,G2178)*Arch_AdultMort/4*Q2178</x:f>
        <x:v>0</x:v>
      </x:c>
      <x:c r="U2178" s="9" t="n">
        <x:f>H2178*AA2177*INDEX(v01_MortElder,G2178)/4*Q2178</x:f>
        <x:v>0</x:v>
      </x:c>
      <x:c r="V2178" s="9" t="n">
        <x:f>H2178*MAX(0,AB2177-O2178)*v01_OvercapLoss</x:f>
        <x:v>0</x:v>
      </x:c>
      <x:c r="W2178" s="9" t="n">
        <x:f>H2178*Y2177/(v01_ChildYears*4)</x:f>
        <x:v>0</x:v>
      </x:c>
      <x:c r="X2178" s="9" t="n">
        <x:f>H2178*Z2177/(v01_AdultYears*4)</x:f>
        <x:v>0</x:v>
      </x:c>
      <x:c r="Y2178" s="32" t="n">
        <x:f>Y2177+R2178-S2178-W2178-Y2177*V2178/AB2177</x:f>
        <x:v>14306.18539759397</x:v>
      </x:c>
      <x:c r="Z2178" s="32" t="n">
        <x:f>Z2177+W2178-X2178-T2178-Z2177*V2178/AB2177</x:f>
        <x:v>19354.456567879548</x:v>
      </x:c>
      <x:c r="AA2178" s="32" t="n">
        <x:f>AA2177+X2178-U2178-AA2177*V2178/AB2177</x:f>
        <x:v>11386.956063258198</x:v>
      </x:c>
      <x:c r="AB2178" s="10" t="n">
        <x:f>Y2178+Z2178+AA2178</x:f>
        <x:v>45047.59802873172</x:v>
      </x:c>
      <x:c r="AC2178" s="8" t="n">
        <x:f>IF(AND(v01_WinterTrigger=1,D2178=1,AB2177/AE2177&gt;=K2178),1,0)</x:f>
        <x:v>0</x:v>
      </x:c>
      <x:c r="AD2178" s="8" t="n">
        <x:f>H2178*IF(AND(OR(AB2177/AE2177&gt;=v01_FissionTrigger*N2178,AC2178=1),AB2177/AE2177*v01_DaughterShare&gt;=v01_MinDaughter),MAX(1,ROUND(AE2177*v01_FissionRate,0)),0)</x:f>
        <x:v>0</x:v>
      </x:c>
      <x:c r="AE2178" s="8" t="n">
        <x:f>IF(H2178=1,MAX(1,MIN(INDEX(v01_Smax,G2178),AE2177+AD2178)),AE2177)</x:f>
        <x:v>15</x:v>
      </x:c>
      <x:c r="AF2178" s="8" t="n">
        <x:f>MAX(0,AE2178-AE2177)</x:f>
        <x:v>0</x:v>
      </x:c>
      <x:c r="AG2178" s="9" t="str">
        <x:f>IF(AF2178&gt;0,B2178,"")</x:f>
      </x:c>
      <x:c r="AH2178" s="9" t="n">
        <x:f>IF(F2178&gt;=1,1,(1+v01_LowTiesShare*(AE2178-1))/AE2178)</x:f>
        <x:v>1</x:v>
      </x:c>
      <x:c r="AI2178" s="32" t="n">
        <x:f>(Z2178+v01_ElderCommons*INDEX(LM_Elder,G2178)*AA2178)*AH2178</x:f>
        <x:v>64139.732591141874</x:v>
      </x:c>
      <x:c r="AJ2178" s="32" t="n">
        <x:f>H2178*v01_CommonsCoef*AI2178^v01_CommonsExp*INDEX(LM_Commons,G2178)</x:f>
        <x:v>0</x:v>
      </x:c>
      <x:c r="AK2178" s="32" t="n">
        <x:f>H2178*v01_RoleScale*Arch_Roles*(AE2178*(INDEX(v01_ElderRolePerSett,G2178)*v01_OutElder*INDEX(LM_Elder,G2178)+INDEX(v01_ShamanPerSett,G2178)*v01_OutShaman)+Z2178*(INDEX(v01_PriestShare,G2178)*v01_OutPriest+INDEX(v01_ScribeShare,G2178)*v01_OutScribe*INDEX(LM_Scribe,G2178)+INDEX(v01_ScholarShare,G2178)*v01_OutScholar*INDEX(LM_Scholar,G2178)+INDEX(v01_ResearcherShare,G2178)*v01_OutResearcher*INDEX(LM_Researcher,G2178)))</x:f>
        <x:v>0</x:v>
      </x:c>
      <x:c r="AL2178" s="32" t="n">
        <x:f>H2178*v01_RoleScale*Arch_Roles*AE2178*INDEX(v01_MonasteryPerSett,G2178)*v01_OutMonastery*INDEX(LM_Monastery,G2178)</x:f>
        <x:v>0</x:v>
      </x:c>
      <x:c r="AM2178" s="32" t="n">
        <x:f>(AJ2178+AK2178+AL2178)/4*INDEX(LM_All,G2178)*INDEX(v01_Boon,G2178)*Arch_Insight</x:f>
        <x:v>0</x:v>
      </x:c>
      <x:c r="AN2178" s="32" t="n">
        <x:f>H2178*(v01_KHPerAdult*Z2178+v01_KHOfCommons*AJ2178/4*INDEX(LM_All,G2178))*v01_KHUsable*Arch_KH</x:f>
        <x:v>0</x:v>
      </x:c>
      <x:c r="AO2178" s="32" t="n">
        <x:f>MIN(AP2177+AN2178,AM2178*v01_KHMaxRatio)</x:f>
        <x:v>0</x:v>
      </x:c>
      <x:c r="AP2178" s="32" t="n">
        <x:f>AP2177+AN2178-AO2178</x:f>
        <x:v>0</x:v>
      </x:c>
      <x:c r="AQ2178" s="32" t="n">
        <x:f>AM2178+AO2178</x:f>
        <x:v>0</x:v>
      </x:c>
      <x:c r="AR2178" s="10" t="n">
        <x:f>IF(H2178=1,INDEX(v01_Req,G2178),0)</x:f>
        <x:v>0</x:v>
      </x:c>
      <x:c r="AS2178" s="32" t="n">
        <x:f>IF(H2178=1,IF(E2178=1,AS2177-AR2177,AS2177)+AQ2178,0)</x:f>
        <x:v>0</x:v>
      </x:c>
      <x:c r="AT2178" s="11" t="n">
        <x:f>IF(AR2178&gt;0,MIN(1,AS2178/AR2178),1)</x:f>
        <x:v>1</x:v>
      </x:c>
      <x:c r="AU2178" s="10" t="n">
        <x:f>AB2178/INDEX(v01_RepScale,G2178)</x:f>
        <x:v>90.09519605746344</x:v>
      </x:c>
      <x:c r="AV2178" s="32" t="n">
        <x:f>AM2178*60/v01_SeasonSeconds</x:f>
        <x:v>0</x:v>
      </x:c>
    </x:row>
    <x:row r="2179">
      <x:c r="A2179" s="8" t="n">
        <x:f>A2178+1</x:f>
        <x:v>2176</x:v>
      </x:c>
      <x:c r="B2179" s="9" t="n">
        <x:f>A2179*v01_SeasonSeconds/60</x:f>
        <x:v>544</x:v>
      </x:c>
      <x:c r="C2179" s="9" t="n">
        <x:f>A2179/4</x:f>
        <x:v>544</x:v>
      </x:c>
      <x:c r="D2179" s="8" t="n">
        <x:f>IF(MOD(A2179,4)=0,1,0)</x:f>
        <x:v>1</x:v>
      </x:c>
      <x:c r="E2179" s="8" t="n">
        <x:f>IF(AND(F2178&lt;=9,AS2178&gt;=AR2178),1,0)</x:f>
        <x:v>0</x:v>
      </x:c>
      <x:c r="F2179" s="8" t="n">
        <x:f>MIN(10,F2178+E2179)</x:f>
        <x:v>10</x:v>
      </x:c>
      <x:c r="G2179" s="8" t="n">
        <x:f>MIN(F2179,9)+1</x:f>
        <x:v>10</x:v>
      </x:c>
      <x:c r="H2179" s="8" t="n">
        <x:f>IF(F2179&lt;=9,1,0)</x:f>
        <x:v>0</x:v>
      </x:c>
      <x:c r="I2179" s="9" t="n">
        <x:f>MIN(10,F2178+IF(AR2178&gt;0,MIN(1,AS2178/AR2178),1))</x:f>
        <x:v>10</x:v>
      </x:c>
      <x:c r="J2179" s="32" t="n">
        <x:f>INDEX(v01_FoodCap,G2179)*Arch_FoodCap*EXP(v01_CapsByProject*SUMPRODUCT((Cap_Point&lt;=I2179)*(Cap_Kind="Food")*Cap_Ln))</x:f>
        <x:v>12000</x:v>
      </x:c>
      <x:c r="K2179" s="32" t="n">
        <x:f>J2179*MIN(1,v01_LeanBase*EXP(v01_CapsByProject*SUMPRODUCT((Cap_Point&lt;=I2179)*(Cap_Kind="Lean")*Cap_Ln)))</x:f>
        <x:v>12000</x:v>
      </x:c>
      <x:c r="L2179" s="10" t="n">
        <x:f>INDEX(v01_HousingCap,G2179)*EXP(v01_CapsByProject*SUMPRODUCT((Cap_Point&lt;=I2179)*(Cap_Kind="Housing")*Cap_Ln))</x:f>
        <x:v>20000</x:v>
      </x:c>
      <x:c r="M2179" s="10" t="n">
        <x:f>INDEX(v01_GroupCap,G2179)*v01_CohesionFactor*EXP(v01_CapsByProject*SUMPRODUCT((Cap_Point&lt;=I2179)*(Cap_Kind="Group")*Cap_Ln))</x:f>
        <x:v>1000000</x:v>
      </x:c>
      <x:c r="N2179" s="32" t="n">
        <x:f>MIN(J2179,L2179,M2179)</x:f>
        <x:v>12000</x:v>
      </x:c>
      <x:c r="O2179" s="10" t="n">
        <x:f>AE2178*N2179</x:f>
        <x:v>180000</x:v>
      </x:c>
      <x:c r="P2179" s="9" t="n">
        <x:f>MIN(1,(AB2178/(AE2178*IF(v01_GroupInCrowding=1,N2179,MIN(J2179,L2179))))^v01_CrowdingExp)</x:f>
        <x:v>0.00024569414295285325</x:v>
      </x:c>
      <x:c r="Q2179" s="9" t="n">
        <x:f>IF(D2179=1,INDEX(v01_WinterMult,G2179),1)</x:f>
        <x:v>1</x:v>
      </x:c>
      <x:c r="R2179" s="9" t="n">
        <x:f>H2179*Z2178*v01_WomenShare*v01_BaseFertility*INDEX(v01_FertMult,G2179)*Arch_Fertility*(1-P2179)</x:f>
        <x:v>0</x:v>
      </x:c>
      <x:c r="S2179" s="9" t="n">
        <x:f>H2179*Y2178*INDEX(v01_MortChild,G2179)/4*Q2179</x:f>
        <x:v>0</x:v>
      </x:c>
      <x:c r="T2179" s="9" t="n">
        <x:f>H2179*Z2178*INDEX(v01_MortAdult,G2179)*Arch_AdultMort/4*Q2179</x:f>
        <x:v>0</x:v>
      </x:c>
      <x:c r="U2179" s="9" t="n">
        <x:f>H2179*AA2178*INDEX(v01_MortElder,G2179)/4*Q2179</x:f>
        <x:v>0</x:v>
      </x:c>
      <x:c r="V2179" s="9" t="n">
        <x:f>H2179*MAX(0,AB2178-O2179)*v01_OvercapLoss</x:f>
        <x:v>0</x:v>
      </x:c>
      <x:c r="W2179" s="9" t="n">
        <x:f>H2179*Y2178/(v01_ChildYears*4)</x:f>
        <x:v>0</x:v>
      </x:c>
      <x:c r="X2179" s="9" t="n">
        <x:f>H2179*Z2178/(v01_AdultYears*4)</x:f>
        <x:v>0</x:v>
      </x:c>
      <x:c r="Y2179" s="32" t="n">
        <x:f>Y2178+R2179-S2179-W2179-Y2178*V2179/AB2178</x:f>
        <x:v>14306.18539759397</x:v>
      </x:c>
      <x:c r="Z2179" s="32" t="n">
        <x:f>Z2178+W2179-X2179-T2179-Z2178*V2179/AB2178</x:f>
        <x:v>19354.456567879548</x:v>
      </x:c>
      <x:c r="AA2179" s="32" t="n">
        <x:f>AA2178+X2179-U2179-AA2178*V2179/AB2178</x:f>
        <x:v>11386.956063258198</x:v>
      </x:c>
      <x:c r="AB2179" s="10" t="n">
        <x:f>Y2179+Z2179+AA2179</x:f>
        <x:v>45047.59802873172</x:v>
      </x:c>
      <x:c r="AC2179" s="8" t="n">
        <x:f>IF(AND(v01_WinterTrigger=1,D2179=1,AB2178/AE2178&gt;=K2179),1,0)</x:f>
        <x:v>0</x:v>
      </x:c>
      <x:c r="AD2179" s="8" t="n">
        <x:f>H2179*IF(AND(OR(AB2178/AE2178&gt;=v01_FissionTrigger*N2179,AC2179=1),AB2178/AE2178*v01_DaughterShare&gt;=v01_MinDaughter),MAX(1,ROUND(AE2178*v01_FissionRate,0)),0)</x:f>
        <x:v>0</x:v>
      </x:c>
      <x:c r="AE2179" s="8" t="n">
        <x:f>IF(H2179=1,MAX(1,MIN(INDEX(v01_Smax,G2179),AE2178+AD2179)),AE2178)</x:f>
        <x:v>15</x:v>
      </x:c>
      <x:c r="AF2179" s="8" t="n">
        <x:f>MAX(0,AE2179-AE2178)</x:f>
        <x:v>0</x:v>
      </x:c>
      <x:c r="AG2179" s="9" t="str">
        <x:f>IF(AF2179&gt;0,B2179,"")</x:f>
      </x:c>
      <x:c r="AH2179" s="9" t="n">
        <x:f>IF(F2179&gt;=1,1,(1+v01_LowTiesShare*(AE2179-1))/AE2179)</x:f>
        <x:v>1</x:v>
      </x:c>
      <x:c r="AI2179" s="32" t="n">
        <x:f>(Z2179+v01_ElderCommons*INDEX(LM_Elder,G2179)*AA2179)*AH2179</x:f>
        <x:v>64139.732591141874</x:v>
      </x:c>
      <x:c r="AJ2179" s="32" t="n">
        <x:f>H2179*v01_CommonsCoef*AI2179^v01_CommonsExp*INDEX(LM_Commons,G2179)</x:f>
        <x:v>0</x:v>
      </x:c>
      <x:c r="AK2179" s="32" t="n">
        <x:f>H2179*v01_RoleScale*Arch_Roles*(AE2179*(INDEX(v01_ElderRolePerSett,G2179)*v01_OutElder*INDEX(LM_Elder,G2179)+INDEX(v01_ShamanPerSett,G2179)*v01_OutShaman)+Z2179*(INDEX(v01_PriestShare,G2179)*v01_OutPriest+INDEX(v01_ScribeShare,G2179)*v01_OutScribe*INDEX(LM_Scribe,G2179)+INDEX(v01_ScholarShare,G2179)*v01_OutScholar*INDEX(LM_Scholar,G2179)+INDEX(v01_ResearcherShare,G2179)*v01_OutResearcher*INDEX(LM_Researcher,G2179)))</x:f>
        <x:v>0</x:v>
      </x:c>
      <x:c r="AL2179" s="32" t="n">
        <x:f>H2179*v01_RoleScale*Arch_Roles*AE2179*INDEX(v01_MonasteryPerSett,G2179)*v01_OutMonastery*INDEX(LM_Monastery,G2179)</x:f>
        <x:v>0</x:v>
      </x:c>
      <x:c r="AM2179" s="32" t="n">
        <x:f>(AJ2179+AK2179+AL2179)/4*INDEX(LM_All,G2179)*INDEX(v01_Boon,G2179)*Arch_Insight</x:f>
        <x:v>0</x:v>
      </x:c>
      <x:c r="AN2179" s="32" t="n">
        <x:f>H2179*(v01_KHPerAdult*Z2179+v01_KHOfCommons*AJ2179/4*INDEX(LM_All,G2179))*v01_KHUsable*Arch_KH</x:f>
        <x:v>0</x:v>
      </x:c>
      <x:c r="AO2179" s="32" t="n">
        <x:f>MIN(AP2178+AN2179,AM2179*v01_KHMaxRatio)</x:f>
        <x:v>0</x:v>
      </x:c>
      <x:c r="AP2179" s="32" t="n">
        <x:f>AP2178+AN2179-AO2179</x:f>
        <x:v>0</x:v>
      </x:c>
      <x:c r="AQ2179" s="32" t="n">
        <x:f>AM2179+AO2179</x:f>
        <x:v>0</x:v>
      </x:c>
      <x:c r="AR2179" s="10" t="n">
        <x:f>IF(H2179=1,INDEX(v01_Req,G2179),0)</x:f>
        <x:v>0</x:v>
      </x:c>
      <x:c r="AS2179" s="32" t="n">
        <x:f>IF(H2179=1,IF(E2179=1,AS2178-AR2178,AS2178)+AQ2179,0)</x:f>
        <x:v>0</x:v>
      </x:c>
      <x:c r="AT2179" s="11" t="n">
        <x:f>IF(AR2179&gt;0,MIN(1,AS2179/AR2179),1)</x:f>
        <x:v>1</x:v>
      </x:c>
      <x:c r="AU2179" s="10" t="n">
        <x:f>AB2179/INDEX(v01_RepScale,G2179)</x:f>
        <x:v>90.09519605746344</x:v>
      </x:c>
      <x:c r="AV2179" s="32" t="n">
        <x:f>AM2179*60/v01_SeasonSeconds</x:f>
        <x:v>0</x:v>
      </x:c>
    </x:row>
    <x:row r="2180">
      <x:c r="A2180" s="8" t="n">
        <x:f>A2179+1</x:f>
        <x:v>2177</x:v>
      </x:c>
      <x:c r="B2180" s="9" t="n">
        <x:f>A2180*v01_SeasonSeconds/60</x:f>
        <x:v>544.25</x:v>
      </x:c>
      <x:c r="C2180" s="9" t="n">
        <x:f>A2180/4</x:f>
        <x:v>544.25</x:v>
      </x:c>
      <x:c r="D2180" s="8" t="n">
        <x:f>IF(MOD(A2180,4)=0,1,0)</x:f>
        <x:v>0</x:v>
      </x:c>
      <x:c r="E2180" s="8" t="n">
        <x:f>IF(AND(F2179&lt;=9,AS2179&gt;=AR2179),1,0)</x:f>
        <x:v>0</x:v>
      </x:c>
      <x:c r="F2180" s="8" t="n">
        <x:f>MIN(10,F2179+E2180)</x:f>
        <x:v>10</x:v>
      </x:c>
      <x:c r="G2180" s="8" t="n">
        <x:f>MIN(F2180,9)+1</x:f>
        <x:v>10</x:v>
      </x:c>
      <x:c r="H2180" s="8" t="n">
        <x:f>IF(F2180&lt;=9,1,0)</x:f>
        <x:v>0</x:v>
      </x:c>
      <x:c r="I2180" s="9" t="n">
        <x:f>MIN(10,F2179+IF(AR2179&gt;0,MIN(1,AS2179/AR2179),1))</x:f>
        <x:v>10</x:v>
      </x:c>
      <x:c r="J2180" s="32" t="n">
        <x:f>INDEX(v01_FoodCap,G2180)*Arch_FoodCap*EXP(v01_CapsByProject*SUMPRODUCT((Cap_Point&lt;=I2180)*(Cap_Kind="Food")*Cap_Ln))</x:f>
        <x:v>12000</x:v>
      </x:c>
      <x:c r="K2180" s="32" t="n">
        <x:f>J2180*MIN(1,v01_LeanBase*EXP(v01_CapsByProject*SUMPRODUCT((Cap_Point&lt;=I2180)*(Cap_Kind="Lean")*Cap_Ln)))</x:f>
        <x:v>12000</x:v>
      </x:c>
      <x:c r="L2180" s="10" t="n">
        <x:f>INDEX(v01_HousingCap,G2180)*EXP(v01_CapsByProject*SUMPRODUCT((Cap_Point&lt;=I2180)*(Cap_Kind="Housing")*Cap_Ln))</x:f>
        <x:v>20000</x:v>
      </x:c>
      <x:c r="M2180" s="10" t="n">
        <x:f>INDEX(v01_GroupCap,G2180)*v01_CohesionFactor*EXP(v01_CapsByProject*SUMPRODUCT((Cap_Point&lt;=I2180)*(Cap_Kind="Group")*Cap_Ln))</x:f>
        <x:v>1000000</x:v>
      </x:c>
      <x:c r="N2180" s="32" t="n">
        <x:f>MIN(J2180,L2180,M2180)</x:f>
        <x:v>12000</x:v>
      </x:c>
      <x:c r="O2180" s="10" t="n">
        <x:f>AE2179*N2180</x:f>
        <x:v>180000</x:v>
      </x:c>
      <x:c r="P2180" s="9" t="n">
        <x:f>MIN(1,(AB2179/(AE2179*IF(v01_GroupInCrowding=1,N2180,MIN(J2180,L2180))))^v01_CrowdingExp)</x:f>
        <x:v>0.00024569414295285325</x:v>
      </x:c>
      <x:c r="Q2180" s="9" t="n">
        <x:f>IF(D2180=1,INDEX(v01_WinterMult,G2180),1)</x:f>
        <x:v>1</x:v>
      </x:c>
      <x:c r="R2180" s="9" t="n">
        <x:f>H2180*Z2179*v01_WomenShare*v01_BaseFertility*INDEX(v01_FertMult,G2180)*Arch_Fertility*(1-P2180)</x:f>
        <x:v>0</x:v>
      </x:c>
      <x:c r="S2180" s="9" t="n">
        <x:f>H2180*Y2179*INDEX(v01_MortChild,G2180)/4*Q2180</x:f>
        <x:v>0</x:v>
      </x:c>
      <x:c r="T2180" s="9" t="n">
        <x:f>H2180*Z2179*INDEX(v01_MortAdult,G2180)*Arch_AdultMort/4*Q2180</x:f>
        <x:v>0</x:v>
      </x:c>
      <x:c r="U2180" s="9" t="n">
        <x:f>H2180*AA2179*INDEX(v01_MortElder,G2180)/4*Q2180</x:f>
        <x:v>0</x:v>
      </x:c>
      <x:c r="V2180" s="9" t="n">
        <x:f>H2180*MAX(0,AB2179-O2180)*v01_OvercapLoss</x:f>
        <x:v>0</x:v>
      </x:c>
      <x:c r="W2180" s="9" t="n">
        <x:f>H2180*Y2179/(v01_ChildYears*4)</x:f>
        <x:v>0</x:v>
      </x:c>
      <x:c r="X2180" s="9" t="n">
        <x:f>H2180*Z2179/(v01_AdultYears*4)</x:f>
        <x:v>0</x:v>
      </x:c>
      <x:c r="Y2180" s="32" t="n">
        <x:f>Y2179+R2180-S2180-W2180-Y2179*V2180/AB2179</x:f>
        <x:v>14306.18539759397</x:v>
      </x:c>
      <x:c r="Z2180" s="32" t="n">
        <x:f>Z2179+W2180-X2180-T2180-Z2179*V2180/AB2179</x:f>
        <x:v>19354.456567879548</x:v>
      </x:c>
      <x:c r="AA2180" s="32" t="n">
        <x:f>AA2179+X2180-U2180-AA2179*V2180/AB2179</x:f>
        <x:v>11386.956063258198</x:v>
      </x:c>
      <x:c r="AB2180" s="10" t="n">
        <x:f>Y2180+Z2180+AA2180</x:f>
        <x:v>45047.59802873172</x:v>
      </x:c>
      <x:c r="AC2180" s="8" t="n">
        <x:f>IF(AND(v01_WinterTrigger=1,D2180=1,AB2179/AE2179&gt;=K2180),1,0)</x:f>
        <x:v>0</x:v>
      </x:c>
      <x:c r="AD2180" s="8" t="n">
        <x:f>H2180*IF(AND(OR(AB2179/AE2179&gt;=v01_FissionTrigger*N2180,AC2180=1),AB2179/AE2179*v01_DaughterShare&gt;=v01_MinDaughter),MAX(1,ROUND(AE2179*v01_FissionRate,0)),0)</x:f>
        <x:v>0</x:v>
      </x:c>
      <x:c r="AE2180" s="8" t="n">
        <x:f>IF(H2180=1,MAX(1,MIN(INDEX(v01_Smax,G2180),AE2179+AD2180)),AE2179)</x:f>
        <x:v>15</x:v>
      </x:c>
      <x:c r="AF2180" s="8" t="n">
        <x:f>MAX(0,AE2180-AE2179)</x:f>
        <x:v>0</x:v>
      </x:c>
      <x:c r="AG2180" s="9" t="str">
        <x:f>IF(AF2180&gt;0,B2180,"")</x:f>
      </x:c>
      <x:c r="AH2180" s="9" t="n">
        <x:f>IF(F2180&gt;=1,1,(1+v01_LowTiesShare*(AE2180-1))/AE2180)</x:f>
        <x:v>1</x:v>
      </x:c>
      <x:c r="AI2180" s="32" t="n">
        <x:f>(Z2180+v01_ElderCommons*INDEX(LM_Elder,G2180)*AA2180)*AH2180</x:f>
        <x:v>64139.732591141874</x:v>
      </x:c>
      <x:c r="AJ2180" s="32" t="n">
        <x:f>H2180*v01_CommonsCoef*AI2180^v01_CommonsExp*INDEX(LM_Commons,G2180)</x:f>
        <x:v>0</x:v>
      </x:c>
      <x:c r="AK2180" s="32" t="n">
        <x:f>H2180*v01_RoleScale*Arch_Roles*(AE2180*(INDEX(v01_ElderRolePerSett,G2180)*v01_OutElder*INDEX(LM_Elder,G2180)+INDEX(v01_ShamanPerSett,G2180)*v01_OutShaman)+Z2180*(INDEX(v01_PriestShare,G2180)*v01_OutPriest+INDEX(v01_ScribeShare,G2180)*v01_OutScribe*INDEX(LM_Scribe,G2180)+INDEX(v01_ScholarShare,G2180)*v01_OutScholar*INDEX(LM_Scholar,G2180)+INDEX(v01_ResearcherShare,G2180)*v01_OutResearcher*INDEX(LM_Researcher,G2180)))</x:f>
        <x:v>0</x:v>
      </x:c>
      <x:c r="AL2180" s="32" t="n">
        <x:f>H2180*v01_RoleScale*Arch_Roles*AE2180*INDEX(v01_MonasteryPerSett,G2180)*v01_OutMonastery*INDEX(LM_Monastery,G2180)</x:f>
        <x:v>0</x:v>
      </x:c>
      <x:c r="AM2180" s="32" t="n">
        <x:f>(AJ2180+AK2180+AL2180)/4*INDEX(LM_All,G2180)*INDEX(v01_Boon,G2180)*Arch_Insight</x:f>
        <x:v>0</x:v>
      </x:c>
      <x:c r="AN2180" s="32" t="n">
        <x:f>H2180*(v01_KHPerAdult*Z2180+v01_KHOfCommons*AJ2180/4*INDEX(LM_All,G2180))*v01_KHUsable*Arch_KH</x:f>
        <x:v>0</x:v>
      </x:c>
      <x:c r="AO2180" s="32" t="n">
        <x:f>MIN(AP2179+AN2180,AM2180*v01_KHMaxRatio)</x:f>
        <x:v>0</x:v>
      </x:c>
      <x:c r="AP2180" s="32" t="n">
        <x:f>AP2179+AN2180-AO2180</x:f>
        <x:v>0</x:v>
      </x:c>
      <x:c r="AQ2180" s="32" t="n">
        <x:f>AM2180+AO2180</x:f>
        <x:v>0</x:v>
      </x:c>
      <x:c r="AR2180" s="10" t="n">
        <x:f>IF(H2180=1,INDEX(v01_Req,G2180),0)</x:f>
        <x:v>0</x:v>
      </x:c>
      <x:c r="AS2180" s="32" t="n">
        <x:f>IF(H2180=1,IF(E2180=1,AS2179-AR2179,AS2179)+AQ2180,0)</x:f>
        <x:v>0</x:v>
      </x:c>
      <x:c r="AT2180" s="11" t="n">
        <x:f>IF(AR2180&gt;0,MIN(1,AS2180/AR2180),1)</x:f>
        <x:v>1</x:v>
      </x:c>
      <x:c r="AU2180" s="10" t="n">
        <x:f>AB2180/INDEX(v01_RepScale,G2180)</x:f>
        <x:v>90.09519605746344</x:v>
      </x:c>
      <x:c r="AV2180" s="32" t="n">
        <x:f>AM2180*60/v01_SeasonSeconds</x:f>
        <x:v>0</x:v>
      </x:c>
    </x:row>
    <x:row r="2181">
      <x:c r="A2181" s="8" t="n">
        <x:f>A2180+1</x:f>
        <x:v>2178</x:v>
      </x:c>
      <x:c r="B2181" s="9" t="n">
        <x:f>A2181*v01_SeasonSeconds/60</x:f>
        <x:v>544.5</x:v>
      </x:c>
      <x:c r="C2181" s="9" t="n">
        <x:f>A2181/4</x:f>
        <x:v>544.5</x:v>
      </x:c>
      <x:c r="D2181" s="8" t="n">
        <x:f>IF(MOD(A2181,4)=0,1,0)</x:f>
        <x:v>0</x:v>
      </x:c>
      <x:c r="E2181" s="8" t="n">
        <x:f>IF(AND(F2180&lt;=9,AS2180&gt;=AR2180),1,0)</x:f>
        <x:v>0</x:v>
      </x:c>
      <x:c r="F2181" s="8" t="n">
        <x:f>MIN(10,F2180+E2181)</x:f>
        <x:v>10</x:v>
      </x:c>
      <x:c r="G2181" s="8" t="n">
        <x:f>MIN(F2181,9)+1</x:f>
        <x:v>10</x:v>
      </x:c>
      <x:c r="H2181" s="8" t="n">
        <x:f>IF(F2181&lt;=9,1,0)</x:f>
        <x:v>0</x:v>
      </x:c>
      <x:c r="I2181" s="9" t="n">
        <x:f>MIN(10,F2180+IF(AR2180&gt;0,MIN(1,AS2180/AR2180),1))</x:f>
        <x:v>10</x:v>
      </x:c>
      <x:c r="J2181" s="32" t="n">
        <x:f>INDEX(v01_FoodCap,G2181)*Arch_FoodCap*EXP(v01_CapsByProject*SUMPRODUCT((Cap_Point&lt;=I2181)*(Cap_Kind="Food")*Cap_Ln))</x:f>
        <x:v>12000</x:v>
      </x:c>
      <x:c r="K2181" s="32" t="n">
        <x:f>J2181*MIN(1,v01_LeanBase*EXP(v01_CapsByProject*SUMPRODUCT((Cap_Point&lt;=I2181)*(Cap_Kind="Lean")*Cap_Ln)))</x:f>
        <x:v>12000</x:v>
      </x:c>
      <x:c r="L2181" s="10" t="n">
        <x:f>INDEX(v01_HousingCap,G2181)*EXP(v01_CapsByProject*SUMPRODUCT((Cap_Point&lt;=I2181)*(Cap_Kind="Housing")*Cap_Ln))</x:f>
        <x:v>20000</x:v>
      </x:c>
      <x:c r="M2181" s="10" t="n">
        <x:f>INDEX(v01_GroupCap,G2181)*v01_CohesionFactor*EXP(v01_CapsByProject*SUMPRODUCT((Cap_Point&lt;=I2181)*(Cap_Kind="Group")*Cap_Ln))</x:f>
        <x:v>1000000</x:v>
      </x:c>
      <x:c r="N2181" s="32" t="n">
        <x:f>MIN(J2181,L2181,M2181)</x:f>
        <x:v>12000</x:v>
      </x:c>
      <x:c r="O2181" s="10" t="n">
        <x:f>AE2180*N2181</x:f>
        <x:v>180000</x:v>
      </x:c>
      <x:c r="P2181" s="9" t="n">
        <x:f>MIN(1,(AB2180/(AE2180*IF(v01_GroupInCrowding=1,N2181,MIN(J2181,L2181))))^v01_CrowdingExp)</x:f>
        <x:v>0.00024569414295285325</x:v>
      </x:c>
      <x:c r="Q2181" s="9" t="n">
        <x:f>IF(D2181=1,INDEX(v01_WinterMult,G2181),1)</x:f>
        <x:v>1</x:v>
      </x:c>
      <x:c r="R2181" s="9" t="n">
        <x:f>H2181*Z2180*v01_WomenShare*v01_BaseFertility*INDEX(v01_FertMult,G2181)*Arch_Fertility*(1-P2181)</x:f>
        <x:v>0</x:v>
      </x:c>
      <x:c r="S2181" s="9" t="n">
        <x:f>H2181*Y2180*INDEX(v01_MortChild,G2181)/4*Q2181</x:f>
        <x:v>0</x:v>
      </x:c>
      <x:c r="T2181" s="9" t="n">
        <x:f>H2181*Z2180*INDEX(v01_MortAdult,G2181)*Arch_AdultMort/4*Q2181</x:f>
        <x:v>0</x:v>
      </x:c>
      <x:c r="U2181" s="9" t="n">
        <x:f>H2181*AA2180*INDEX(v01_MortElder,G2181)/4*Q2181</x:f>
        <x:v>0</x:v>
      </x:c>
      <x:c r="V2181" s="9" t="n">
        <x:f>H2181*MAX(0,AB2180-O2181)*v01_OvercapLoss</x:f>
        <x:v>0</x:v>
      </x:c>
      <x:c r="W2181" s="9" t="n">
        <x:f>H2181*Y2180/(v01_ChildYears*4)</x:f>
        <x:v>0</x:v>
      </x:c>
      <x:c r="X2181" s="9" t="n">
        <x:f>H2181*Z2180/(v01_AdultYears*4)</x:f>
        <x:v>0</x:v>
      </x:c>
      <x:c r="Y2181" s="32" t="n">
        <x:f>Y2180+R2181-S2181-W2181-Y2180*V2181/AB2180</x:f>
        <x:v>14306.18539759397</x:v>
      </x:c>
      <x:c r="Z2181" s="32" t="n">
        <x:f>Z2180+W2181-X2181-T2181-Z2180*V2181/AB2180</x:f>
        <x:v>19354.456567879548</x:v>
      </x:c>
      <x:c r="AA2181" s="32" t="n">
        <x:f>AA2180+X2181-U2181-AA2180*V2181/AB2180</x:f>
        <x:v>11386.956063258198</x:v>
      </x:c>
      <x:c r="AB2181" s="10" t="n">
        <x:f>Y2181+Z2181+AA2181</x:f>
        <x:v>45047.59802873172</x:v>
      </x:c>
      <x:c r="AC2181" s="8" t="n">
        <x:f>IF(AND(v01_WinterTrigger=1,D2181=1,AB2180/AE2180&gt;=K2181),1,0)</x:f>
        <x:v>0</x:v>
      </x:c>
      <x:c r="AD2181" s="8" t="n">
        <x:f>H2181*IF(AND(OR(AB2180/AE2180&gt;=v01_FissionTrigger*N2181,AC2181=1),AB2180/AE2180*v01_DaughterShare&gt;=v01_MinDaughter),MAX(1,ROUND(AE2180*v01_FissionRate,0)),0)</x:f>
        <x:v>0</x:v>
      </x:c>
      <x:c r="AE2181" s="8" t="n">
        <x:f>IF(H2181=1,MAX(1,MIN(INDEX(v01_Smax,G2181),AE2180+AD2181)),AE2180)</x:f>
        <x:v>15</x:v>
      </x:c>
      <x:c r="AF2181" s="8" t="n">
        <x:f>MAX(0,AE2181-AE2180)</x:f>
        <x:v>0</x:v>
      </x:c>
      <x:c r="AG2181" s="9" t="str">
        <x:f>IF(AF2181&gt;0,B2181,"")</x:f>
      </x:c>
      <x:c r="AH2181" s="9" t="n">
        <x:f>IF(F2181&gt;=1,1,(1+v01_LowTiesShare*(AE2181-1))/AE2181)</x:f>
        <x:v>1</x:v>
      </x:c>
      <x:c r="AI2181" s="32" t="n">
        <x:f>(Z2181+v01_ElderCommons*INDEX(LM_Elder,G2181)*AA2181)*AH2181</x:f>
        <x:v>64139.732591141874</x:v>
      </x:c>
      <x:c r="AJ2181" s="32" t="n">
        <x:f>H2181*v01_CommonsCoef*AI2181^v01_CommonsExp*INDEX(LM_Commons,G2181)</x:f>
        <x:v>0</x:v>
      </x:c>
      <x:c r="AK2181" s="32" t="n">
        <x:f>H2181*v01_RoleScale*Arch_Roles*(AE2181*(INDEX(v01_ElderRolePerSett,G2181)*v01_OutElder*INDEX(LM_Elder,G2181)+INDEX(v01_ShamanPerSett,G2181)*v01_OutShaman)+Z2181*(INDEX(v01_PriestShare,G2181)*v01_OutPriest+INDEX(v01_ScribeShare,G2181)*v01_OutScribe*INDEX(LM_Scribe,G2181)+INDEX(v01_ScholarShare,G2181)*v01_OutScholar*INDEX(LM_Scholar,G2181)+INDEX(v01_ResearcherShare,G2181)*v01_OutResearcher*INDEX(LM_Researcher,G2181)))</x:f>
        <x:v>0</x:v>
      </x:c>
      <x:c r="AL2181" s="32" t="n">
        <x:f>H2181*v01_RoleScale*Arch_Roles*AE2181*INDEX(v01_MonasteryPerSett,G2181)*v01_OutMonastery*INDEX(LM_Monastery,G2181)</x:f>
        <x:v>0</x:v>
      </x:c>
      <x:c r="AM2181" s="32" t="n">
        <x:f>(AJ2181+AK2181+AL2181)/4*INDEX(LM_All,G2181)*INDEX(v01_Boon,G2181)*Arch_Insight</x:f>
        <x:v>0</x:v>
      </x:c>
      <x:c r="AN2181" s="32" t="n">
        <x:f>H2181*(v01_KHPerAdult*Z2181+v01_KHOfCommons*AJ2181/4*INDEX(LM_All,G2181))*v01_KHUsable*Arch_KH</x:f>
        <x:v>0</x:v>
      </x:c>
      <x:c r="AO2181" s="32" t="n">
        <x:f>MIN(AP2180+AN2181,AM2181*v01_KHMaxRatio)</x:f>
        <x:v>0</x:v>
      </x:c>
      <x:c r="AP2181" s="32" t="n">
        <x:f>AP2180+AN2181-AO2181</x:f>
        <x:v>0</x:v>
      </x:c>
      <x:c r="AQ2181" s="32" t="n">
        <x:f>AM2181+AO2181</x:f>
        <x:v>0</x:v>
      </x:c>
      <x:c r="AR2181" s="10" t="n">
        <x:f>IF(H2181=1,INDEX(v01_Req,G2181),0)</x:f>
        <x:v>0</x:v>
      </x:c>
      <x:c r="AS2181" s="32" t="n">
        <x:f>IF(H2181=1,IF(E2181=1,AS2180-AR2180,AS2180)+AQ2181,0)</x:f>
        <x:v>0</x:v>
      </x:c>
      <x:c r="AT2181" s="11" t="n">
        <x:f>IF(AR2181&gt;0,MIN(1,AS2181/AR2181),1)</x:f>
        <x:v>1</x:v>
      </x:c>
      <x:c r="AU2181" s="10" t="n">
        <x:f>AB2181/INDEX(v01_RepScale,G2181)</x:f>
        <x:v>90.09519605746344</x:v>
      </x:c>
      <x:c r="AV2181" s="32" t="n">
        <x:f>AM2181*60/v01_SeasonSeconds</x:f>
        <x:v>0</x:v>
      </x:c>
    </x:row>
    <x:row r="2182">
      <x:c r="A2182" s="8" t="n">
        <x:f>A2181+1</x:f>
        <x:v>2179</x:v>
      </x:c>
      <x:c r="B2182" s="9" t="n">
        <x:f>A2182*v01_SeasonSeconds/60</x:f>
        <x:v>544.75</x:v>
      </x:c>
      <x:c r="C2182" s="9" t="n">
        <x:f>A2182/4</x:f>
        <x:v>544.75</x:v>
      </x:c>
      <x:c r="D2182" s="8" t="n">
        <x:f>IF(MOD(A2182,4)=0,1,0)</x:f>
        <x:v>0</x:v>
      </x:c>
      <x:c r="E2182" s="8" t="n">
        <x:f>IF(AND(F2181&lt;=9,AS2181&gt;=AR2181),1,0)</x:f>
        <x:v>0</x:v>
      </x:c>
      <x:c r="F2182" s="8" t="n">
        <x:f>MIN(10,F2181+E2182)</x:f>
        <x:v>10</x:v>
      </x:c>
      <x:c r="G2182" s="8" t="n">
        <x:f>MIN(F2182,9)+1</x:f>
        <x:v>10</x:v>
      </x:c>
      <x:c r="H2182" s="8" t="n">
        <x:f>IF(F2182&lt;=9,1,0)</x:f>
        <x:v>0</x:v>
      </x:c>
      <x:c r="I2182" s="9" t="n">
        <x:f>MIN(10,F2181+IF(AR2181&gt;0,MIN(1,AS2181/AR2181),1))</x:f>
        <x:v>10</x:v>
      </x:c>
      <x:c r="J2182" s="32" t="n">
        <x:f>INDEX(v01_FoodCap,G2182)*Arch_FoodCap*EXP(v01_CapsByProject*SUMPRODUCT((Cap_Point&lt;=I2182)*(Cap_Kind="Food")*Cap_Ln))</x:f>
        <x:v>12000</x:v>
      </x:c>
      <x:c r="K2182" s="32" t="n">
        <x:f>J2182*MIN(1,v01_LeanBase*EXP(v01_CapsByProject*SUMPRODUCT((Cap_Point&lt;=I2182)*(Cap_Kind="Lean")*Cap_Ln)))</x:f>
        <x:v>12000</x:v>
      </x:c>
      <x:c r="L2182" s="10" t="n">
        <x:f>INDEX(v01_HousingCap,G2182)*EXP(v01_CapsByProject*SUMPRODUCT((Cap_Point&lt;=I2182)*(Cap_Kind="Housing")*Cap_Ln))</x:f>
        <x:v>20000</x:v>
      </x:c>
      <x:c r="M2182" s="10" t="n">
        <x:f>INDEX(v01_GroupCap,G2182)*v01_CohesionFactor*EXP(v01_CapsByProject*SUMPRODUCT((Cap_Point&lt;=I2182)*(Cap_Kind="Group")*Cap_Ln))</x:f>
        <x:v>1000000</x:v>
      </x:c>
      <x:c r="N2182" s="32" t="n">
        <x:f>MIN(J2182,L2182,M2182)</x:f>
        <x:v>12000</x:v>
      </x:c>
      <x:c r="O2182" s="10" t="n">
        <x:f>AE2181*N2182</x:f>
        <x:v>180000</x:v>
      </x:c>
      <x:c r="P2182" s="9" t="n">
        <x:f>MIN(1,(AB2181/(AE2181*IF(v01_GroupInCrowding=1,N2182,MIN(J2182,L2182))))^v01_CrowdingExp)</x:f>
        <x:v>0.00024569414295285325</x:v>
      </x:c>
      <x:c r="Q2182" s="9" t="n">
        <x:f>IF(D2182=1,INDEX(v01_WinterMult,G2182),1)</x:f>
        <x:v>1</x:v>
      </x:c>
      <x:c r="R2182" s="9" t="n">
        <x:f>H2182*Z2181*v01_WomenShare*v01_BaseFertility*INDEX(v01_FertMult,G2182)*Arch_Fertility*(1-P2182)</x:f>
        <x:v>0</x:v>
      </x:c>
      <x:c r="S2182" s="9" t="n">
        <x:f>H2182*Y2181*INDEX(v01_MortChild,G2182)/4*Q2182</x:f>
        <x:v>0</x:v>
      </x:c>
      <x:c r="T2182" s="9" t="n">
        <x:f>H2182*Z2181*INDEX(v01_MortAdult,G2182)*Arch_AdultMort/4*Q2182</x:f>
        <x:v>0</x:v>
      </x:c>
      <x:c r="U2182" s="9" t="n">
        <x:f>H2182*AA2181*INDEX(v01_MortElder,G2182)/4*Q2182</x:f>
        <x:v>0</x:v>
      </x:c>
      <x:c r="V2182" s="9" t="n">
        <x:f>H2182*MAX(0,AB2181-O2182)*v01_OvercapLoss</x:f>
        <x:v>0</x:v>
      </x:c>
      <x:c r="W2182" s="9" t="n">
        <x:f>H2182*Y2181/(v01_ChildYears*4)</x:f>
        <x:v>0</x:v>
      </x:c>
      <x:c r="X2182" s="9" t="n">
        <x:f>H2182*Z2181/(v01_AdultYears*4)</x:f>
        <x:v>0</x:v>
      </x:c>
      <x:c r="Y2182" s="32" t="n">
        <x:f>Y2181+R2182-S2182-W2182-Y2181*V2182/AB2181</x:f>
        <x:v>14306.18539759397</x:v>
      </x:c>
      <x:c r="Z2182" s="32" t="n">
        <x:f>Z2181+W2182-X2182-T2182-Z2181*V2182/AB2181</x:f>
        <x:v>19354.456567879548</x:v>
      </x:c>
      <x:c r="AA2182" s="32" t="n">
        <x:f>AA2181+X2182-U2182-AA2181*V2182/AB2181</x:f>
        <x:v>11386.956063258198</x:v>
      </x:c>
      <x:c r="AB2182" s="10" t="n">
        <x:f>Y2182+Z2182+AA2182</x:f>
        <x:v>45047.59802873172</x:v>
      </x:c>
      <x:c r="AC2182" s="8" t="n">
        <x:f>IF(AND(v01_WinterTrigger=1,D2182=1,AB2181/AE2181&gt;=K2182),1,0)</x:f>
        <x:v>0</x:v>
      </x:c>
      <x:c r="AD2182" s="8" t="n">
        <x:f>H2182*IF(AND(OR(AB2181/AE2181&gt;=v01_FissionTrigger*N2182,AC2182=1),AB2181/AE2181*v01_DaughterShare&gt;=v01_MinDaughter),MAX(1,ROUND(AE2181*v01_FissionRate,0)),0)</x:f>
        <x:v>0</x:v>
      </x:c>
      <x:c r="AE2182" s="8" t="n">
        <x:f>IF(H2182=1,MAX(1,MIN(INDEX(v01_Smax,G2182),AE2181+AD2182)),AE2181)</x:f>
        <x:v>15</x:v>
      </x:c>
      <x:c r="AF2182" s="8" t="n">
        <x:f>MAX(0,AE2182-AE2181)</x:f>
        <x:v>0</x:v>
      </x:c>
      <x:c r="AG2182" s="9" t="str">
        <x:f>IF(AF2182&gt;0,B2182,"")</x:f>
      </x:c>
      <x:c r="AH2182" s="9" t="n">
        <x:f>IF(F2182&gt;=1,1,(1+v01_LowTiesShare*(AE2182-1))/AE2182)</x:f>
        <x:v>1</x:v>
      </x:c>
      <x:c r="AI2182" s="32" t="n">
        <x:f>(Z2182+v01_ElderCommons*INDEX(LM_Elder,G2182)*AA2182)*AH2182</x:f>
        <x:v>64139.732591141874</x:v>
      </x:c>
      <x:c r="AJ2182" s="32" t="n">
        <x:f>H2182*v01_CommonsCoef*AI2182^v01_CommonsExp*INDEX(LM_Commons,G2182)</x:f>
        <x:v>0</x:v>
      </x:c>
      <x:c r="AK2182" s="32" t="n">
        <x:f>H2182*v01_RoleScale*Arch_Roles*(AE2182*(INDEX(v01_ElderRolePerSett,G2182)*v01_OutElder*INDEX(LM_Elder,G2182)+INDEX(v01_ShamanPerSett,G2182)*v01_OutShaman)+Z2182*(INDEX(v01_PriestShare,G2182)*v01_OutPriest+INDEX(v01_ScribeShare,G2182)*v01_OutScribe*INDEX(LM_Scribe,G2182)+INDEX(v01_ScholarShare,G2182)*v01_OutScholar*INDEX(LM_Scholar,G2182)+INDEX(v01_ResearcherShare,G2182)*v01_OutResearcher*INDEX(LM_Researcher,G2182)))</x:f>
        <x:v>0</x:v>
      </x:c>
      <x:c r="AL2182" s="32" t="n">
        <x:f>H2182*v01_RoleScale*Arch_Roles*AE2182*INDEX(v01_MonasteryPerSett,G2182)*v01_OutMonastery*INDEX(LM_Monastery,G2182)</x:f>
        <x:v>0</x:v>
      </x:c>
      <x:c r="AM2182" s="32" t="n">
        <x:f>(AJ2182+AK2182+AL2182)/4*INDEX(LM_All,G2182)*INDEX(v01_Boon,G2182)*Arch_Insight</x:f>
        <x:v>0</x:v>
      </x:c>
      <x:c r="AN2182" s="32" t="n">
        <x:f>H2182*(v01_KHPerAdult*Z2182+v01_KHOfCommons*AJ2182/4*INDEX(LM_All,G2182))*v01_KHUsable*Arch_KH</x:f>
        <x:v>0</x:v>
      </x:c>
      <x:c r="AO2182" s="32" t="n">
        <x:f>MIN(AP2181+AN2182,AM2182*v01_KHMaxRatio)</x:f>
        <x:v>0</x:v>
      </x:c>
      <x:c r="AP2182" s="32" t="n">
        <x:f>AP2181+AN2182-AO2182</x:f>
        <x:v>0</x:v>
      </x:c>
      <x:c r="AQ2182" s="32" t="n">
        <x:f>AM2182+AO2182</x:f>
        <x:v>0</x:v>
      </x:c>
      <x:c r="AR2182" s="10" t="n">
        <x:f>IF(H2182=1,INDEX(v01_Req,G2182),0)</x:f>
        <x:v>0</x:v>
      </x:c>
      <x:c r="AS2182" s="32" t="n">
        <x:f>IF(H2182=1,IF(E2182=1,AS2181-AR2181,AS2181)+AQ2182,0)</x:f>
        <x:v>0</x:v>
      </x:c>
      <x:c r="AT2182" s="11" t="n">
        <x:f>IF(AR2182&gt;0,MIN(1,AS2182/AR2182),1)</x:f>
        <x:v>1</x:v>
      </x:c>
      <x:c r="AU2182" s="10" t="n">
        <x:f>AB2182/INDEX(v01_RepScale,G2182)</x:f>
        <x:v>90.09519605746344</x:v>
      </x:c>
      <x:c r="AV2182" s="32" t="n">
        <x:f>AM2182*60/v01_SeasonSeconds</x:f>
        <x:v>0</x:v>
      </x:c>
    </x:row>
    <x:row r="2183">
      <x:c r="A2183" s="8" t="n">
        <x:f>A2182+1</x:f>
        <x:v>2180</x:v>
      </x:c>
      <x:c r="B2183" s="9" t="n">
        <x:f>A2183*v01_SeasonSeconds/60</x:f>
        <x:v>545</x:v>
      </x:c>
      <x:c r="C2183" s="9" t="n">
        <x:f>A2183/4</x:f>
        <x:v>545</x:v>
      </x:c>
      <x:c r="D2183" s="8" t="n">
        <x:f>IF(MOD(A2183,4)=0,1,0)</x:f>
        <x:v>1</x:v>
      </x:c>
      <x:c r="E2183" s="8" t="n">
        <x:f>IF(AND(F2182&lt;=9,AS2182&gt;=AR2182),1,0)</x:f>
        <x:v>0</x:v>
      </x:c>
      <x:c r="F2183" s="8" t="n">
        <x:f>MIN(10,F2182+E2183)</x:f>
        <x:v>10</x:v>
      </x:c>
      <x:c r="G2183" s="8" t="n">
        <x:f>MIN(F2183,9)+1</x:f>
        <x:v>10</x:v>
      </x:c>
      <x:c r="H2183" s="8" t="n">
        <x:f>IF(F2183&lt;=9,1,0)</x:f>
        <x:v>0</x:v>
      </x:c>
      <x:c r="I2183" s="9" t="n">
        <x:f>MIN(10,F2182+IF(AR2182&gt;0,MIN(1,AS2182/AR2182),1))</x:f>
        <x:v>10</x:v>
      </x:c>
      <x:c r="J2183" s="32" t="n">
        <x:f>INDEX(v01_FoodCap,G2183)*Arch_FoodCap*EXP(v01_CapsByProject*SUMPRODUCT((Cap_Point&lt;=I2183)*(Cap_Kind="Food")*Cap_Ln))</x:f>
        <x:v>12000</x:v>
      </x:c>
      <x:c r="K2183" s="32" t="n">
        <x:f>J2183*MIN(1,v01_LeanBase*EXP(v01_CapsByProject*SUMPRODUCT((Cap_Point&lt;=I2183)*(Cap_Kind="Lean")*Cap_Ln)))</x:f>
        <x:v>12000</x:v>
      </x:c>
      <x:c r="L2183" s="10" t="n">
        <x:f>INDEX(v01_HousingCap,G2183)*EXP(v01_CapsByProject*SUMPRODUCT((Cap_Point&lt;=I2183)*(Cap_Kind="Housing")*Cap_Ln))</x:f>
        <x:v>20000</x:v>
      </x:c>
      <x:c r="M2183" s="10" t="n">
        <x:f>INDEX(v01_GroupCap,G2183)*v01_CohesionFactor*EXP(v01_CapsByProject*SUMPRODUCT((Cap_Point&lt;=I2183)*(Cap_Kind="Group")*Cap_Ln))</x:f>
        <x:v>1000000</x:v>
      </x:c>
      <x:c r="N2183" s="32" t="n">
        <x:f>MIN(J2183,L2183,M2183)</x:f>
        <x:v>12000</x:v>
      </x:c>
      <x:c r="O2183" s="10" t="n">
        <x:f>AE2182*N2183</x:f>
        <x:v>180000</x:v>
      </x:c>
      <x:c r="P2183" s="9" t="n">
        <x:f>MIN(1,(AB2182/(AE2182*IF(v01_GroupInCrowding=1,N2183,MIN(J2183,L2183))))^v01_CrowdingExp)</x:f>
        <x:v>0.00024569414295285325</x:v>
      </x:c>
      <x:c r="Q2183" s="9" t="n">
        <x:f>IF(D2183=1,INDEX(v01_WinterMult,G2183),1)</x:f>
        <x:v>1</x:v>
      </x:c>
      <x:c r="R2183" s="9" t="n">
        <x:f>H2183*Z2182*v01_WomenShare*v01_BaseFertility*INDEX(v01_FertMult,G2183)*Arch_Fertility*(1-P2183)</x:f>
        <x:v>0</x:v>
      </x:c>
      <x:c r="S2183" s="9" t="n">
        <x:f>H2183*Y2182*INDEX(v01_MortChild,G2183)/4*Q2183</x:f>
        <x:v>0</x:v>
      </x:c>
      <x:c r="T2183" s="9" t="n">
        <x:f>H2183*Z2182*INDEX(v01_MortAdult,G2183)*Arch_AdultMort/4*Q2183</x:f>
        <x:v>0</x:v>
      </x:c>
      <x:c r="U2183" s="9" t="n">
        <x:f>H2183*AA2182*INDEX(v01_MortElder,G2183)/4*Q2183</x:f>
        <x:v>0</x:v>
      </x:c>
      <x:c r="V2183" s="9" t="n">
        <x:f>H2183*MAX(0,AB2182-O2183)*v01_OvercapLoss</x:f>
        <x:v>0</x:v>
      </x:c>
      <x:c r="W2183" s="9" t="n">
        <x:f>H2183*Y2182/(v01_ChildYears*4)</x:f>
        <x:v>0</x:v>
      </x:c>
      <x:c r="X2183" s="9" t="n">
        <x:f>H2183*Z2182/(v01_AdultYears*4)</x:f>
        <x:v>0</x:v>
      </x:c>
      <x:c r="Y2183" s="32" t="n">
        <x:f>Y2182+R2183-S2183-W2183-Y2182*V2183/AB2182</x:f>
        <x:v>14306.18539759397</x:v>
      </x:c>
      <x:c r="Z2183" s="32" t="n">
        <x:f>Z2182+W2183-X2183-T2183-Z2182*V2183/AB2182</x:f>
        <x:v>19354.456567879548</x:v>
      </x:c>
      <x:c r="AA2183" s="32" t="n">
        <x:f>AA2182+X2183-U2183-AA2182*V2183/AB2182</x:f>
        <x:v>11386.956063258198</x:v>
      </x:c>
      <x:c r="AB2183" s="10" t="n">
        <x:f>Y2183+Z2183+AA2183</x:f>
        <x:v>45047.59802873172</x:v>
      </x:c>
      <x:c r="AC2183" s="8" t="n">
        <x:f>IF(AND(v01_WinterTrigger=1,D2183=1,AB2182/AE2182&gt;=K2183),1,0)</x:f>
        <x:v>0</x:v>
      </x:c>
      <x:c r="AD2183" s="8" t="n">
        <x:f>H2183*IF(AND(OR(AB2182/AE2182&gt;=v01_FissionTrigger*N2183,AC2183=1),AB2182/AE2182*v01_DaughterShare&gt;=v01_MinDaughter),MAX(1,ROUND(AE2182*v01_FissionRate,0)),0)</x:f>
        <x:v>0</x:v>
      </x:c>
      <x:c r="AE2183" s="8" t="n">
        <x:f>IF(H2183=1,MAX(1,MIN(INDEX(v01_Smax,G2183),AE2182+AD2183)),AE2182)</x:f>
        <x:v>15</x:v>
      </x:c>
      <x:c r="AF2183" s="8" t="n">
        <x:f>MAX(0,AE2183-AE2182)</x:f>
        <x:v>0</x:v>
      </x:c>
      <x:c r="AG2183" s="9" t="str">
        <x:f>IF(AF2183&gt;0,B2183,"")</x:f>
      </x:c>
      <x:c r="AH2183" s="9" t="n">
        <x:f>IF(F2183&gt;=1,1,(1+v01_LowTiesShare*(AE2183-1))/AE2183)</x:f>
        <x:v>1</x:v>
      </x:c>
      <x:c r="AI2183" s="32" t="n">
        <x:f>(Z2183+v01_ElderCommons*INDEX(LM_Elder,G2183)*AA2183)*AH2183</x:f>
        <x:v>64139.732591141874</x:v>
      </x:c>
      <x:c r="AJ2183" s="32" t="n">
        <x:f>H2183*v01_CommonsCoef*AI2183^v01_CommonsExp*INDEX(LM_Commons,G2183)</x:f>
        <x:v>0</x:v>
      </x:c>
      <x:c r="AK2183" s="32" t="n">
        <x:f>H2183*v01_RoleScale*Arch_Roles*(AE2183*(INDEX(v01_ElderRolePerSett,G2183)*v01_OutElder*INDEX(LM_Elder,G2183)+INDEX(v01_ShamanPerSett,G2183)*v01_OutShaman)+Z2183*(INDEX(v01_PriestShare,G2183)*v01_OutPriest+INDEX(v01_ScribeShare,G2183)*v01_OutScribe*INDEX(LM_Scribe,G2183)+INDEX(v01_ScholarShare,G2183)*v01_OutScholar*INDEX(LM_Scholar,G2183)+INDEX(v01_ResearcherShare,G2183)*v01_OutResearcher*INDEX(LM_Researcher,G2183)))</x:f>
        <x:v>0</x:v>
      </x:c>
      <x:c r="AL2183" s="32" t="n">
        <x:f>H2183*v01_RoleScale*Arch_Roles*AE2183*INDEX(v01_MonasteryPerSett,G2183)*v01_OutMonastery*INDEX(LM_Monastery,G2183)</x:f>
        <x:v>0</x:v>
      </x:c>
      <x:c r="AM2183" s="32" t="n">
        <x:f>(AJ2183+AK2183+AL2183)/4*INDEX(LM_All,G2183)*INDEX(v01_Boon,G2183)*Arch_Insight</x:f>
        <x:v>0</x:v>
      </x:c>
      <x:c r="AN2183" s="32" t="n">
        <x:f>H2183*(v01_KHPerAdult*Z2183+v01_KHOfCommons*AJ2183/4*INDEX(LM_All,G2183))*v01_KHUsable*Arch_KH</x:f>
        <x:v>0</x:v>
      </x:c>
      <x:c r="AO2183" s="32" t="n">
        <x:f>MIN(AP2182+AN2183,AM2183*v01_KHMaxRatio)</x:f>
        <x:v>0</x:v>
      </x:c>
      <x:c r="AP2183" s="32" t="n">
        <x:f>AP2182+AN2183-AO2183</x:f>
        <x:v>0</x:v>
      </x:c>
      <x:c r="AQ2183" s="32" t="n">
        <x:f>AM2183+AO2183</x:f>
        <x:v>0</x:v>
      </x:c>
      <x:c r="AR2183" s="10" t="n">
        <x:f>IF(H2183=1,INDEX(v01_Req,G2183),0)</x:f>
        <x:v>0</x:v>
      </x:c>
      <x:c r="AS2183" s="32" t="n">
        <x:f>IF(H2183=1,IF(E2183=1,AS2182-AR2182,AS2182)+AQ2183,0)</x:f>
        <x:v>0</x:v>
      </x:c>
      <x:c r="AT2183" s="11" t="n">
        <x:f>IF(AR2183&gt;0,MIN(1,AS2183/AR2183),1)</x:f>
        <x:v>1</x:v>
      </x:c>
      <x:c r="AU2183" s="10" t="n">
        <x:f>AB2183/INDEX(v01_RepScale,G2183)</x:f>
        <x:v>90.09519605746344</x:v>
      </x:c>
      <x:c r="AV2183" s="32" t="n">
        <x:f>AM2183*60/v01_SeasonSeconds</x:f>
        <x:v>0</x:v>
      </x:c>
    </x:row>
    <x:row r="2184">
      <x:c r="A2184" s="8" t="n">
        <x:f>A2183+1</x:f>
        <x:v>2181</x:v>
      </x:c>
      <x:c r="B2184" s="9" t="n">
        <x:f>A2184*v01_SeasonSeconds/60</x:f>
        <x:v>545.25</x:v>
      </x:c>
      <x:c r="C2184" s="9" t="n">
        <x:f>A2184/4</x:f>
        <x:v>545.25</x:v>
      </x:c>
      <x:c r="D2184" s="8" t="n">
        <x:f>IF(MOD(A2184,4)=0,1,0)</x:f>
        <x:v>0</x:v>
      </x:c>
      <x:c r="E2184" s="8" t="n">
        <x:f>IF(AND(F2183&lt;=9,AS2183&gt;=AR2183),1,0)</x:f>
        <x:v>0</x:v>
      </x:c>
      <x:c r="F2184" s="8" t="n">
        <x:f>MIN(10,F2183+E2184)</x:f>
        <x:v>10</x:v>
      </x:c>
      <x:c r="G2184" s="8" t="n">
        <x:f>MIN(F2184,9)+1</x:f>
        <x:v>10</x:v>
      </x:c>
      <x:c r="H2184" s="8" t="n">
        <x:f>IF(F2184&lt;=9,1,0)</x:f>
        <x:v>0</x:v>
      </x:c>
      <x:c r="I2184" s="9" t="n">
        <x:f>MIN(10,F2183+IF(AR2183&gt;0,MIN(1,AS2183/AR2183),1))</x:f>
        <x:v>10</x:v>
      </x:c>
      <x:c r="J2184" s="32" t="n">
        <x:f>INDEX(v01_FoodCap,G2184)*Arch_FoodCap*EXP(v01_CapsByProject*SUMPRODUCT((Cap_Point&lt;=I2184)*(Cap_Kind="Food")*Cap_Ln))</x:f>
        <x:v>12000</x:v>
      </x:c>
      <x:c r="K2184" s="32" t="n">
        <x:f>J2184*MIN(1,v01_LeanBase*EXP(v01_CapsByProject*SUMPRODUCT((Cap_Point&lt;=I2184)*(Cap_Kind="Lean")*Cap_Ln)))</x:f>
        <x:v>12000</x:v>
      </x:c>
      <x:c r="L2184" s="10" t="n">
        <x:f>INDEX(v01_HousingCap,G2184)*EXP(v01_CapsByProject*SUMPRODUCT((Cap_Point&lt;=I2184)*(Cap_Kind="Housing")*Cap_Ln))</x:f>
        <x:v>20000</x:v>
      </x:c>
      <x:c r="M2184" s="10" t="n">
        <x:f>INDEX(v01_GroupCap,G2184)*v01_CohesionFactor*EXP(v01_CapsByProject*SUMPRODUCT((Cap_Point&lt;=I2184)*(Cap_Kind="Group")*Cap_Ln))</x:f>
        <x:v>1000000</x:v>
      </x:c>
      <x:c r="N2184" s="32" t="n">
        <x:f>MIN(J2184,L2184,M2184)</x:f>
        <x:v>12000</x:v>
      </x:c>
      <x:c r="O2184" s="10" t="n">
        <x:f>AE2183*N2184</x:f>
        <x:v>180000</x:v>
      </x:c>
      <x:c r="P2184" s="9" t="n">
        <x:f>MIN(1,(AB2183/(AE2183*IF(v01_GroupInCrowding=1,N2184,MIN(J2184,L2184))))^v01_CrowdingExp)</x:f>
        <x:v>0.00024569414295285325</x:v>
      </x:c>
      <x:c r="Q2184" s="9" t="n">
        <x:f>IF(D2184=1,INDEX(v01_WinterMult,G2184),1)</x:f>
        <x:v>1</x:v>
      </x:c>
      <x:c r="R2184" s="9" t="n">
        <x:f>H2184*Z2183*v01_WomenShare*v01_BaseFertility*INDEX(v01_FertMult,G2184)*Arch_Fertility*(1-P2184)</x:f>
        <x:v>0</x:v>
      </x:c>
      <x:c r="S2184" s="9" t="n">
        <x:f>H2184*Y2183*INDEX(v01_MortChild,G2184)/4*Q2184</x:f>
        <x:v>0</x:v>
      </x:c>
      <x:c r="T2184" s="9" t="n">
        <x:f>H2184*Z2183*INDEX(v01_MortAdult,G2184)*Arch_AdultMort/4*Q2184</x:f>
        <x:v>0</x:v>
      </x:c>
      <x:c r="U2184" s="9" t="n">
        <x:f>H2184*AA2183*INDEX(v01_MortElder,G2184)/4*Q2184</x:f>
        <x:v>0</x:v>
      </x:c>
      <x:c r="V2184" s="9" t="n">
        <x:f>H2184*MAX(0,AB2183-O2184)*v01_OvercapLoss</x:f>
        <x:v>0</x:v>
      </x:c>
      <x:c r="W2184" s="9" t="n">
        <x:f>H2184*Y2183/(v01_ChildYears*4)</x:f>
        <x:v>0</x:v>
      </x:c>
      <x:c r="X2184" s="9" t="n">
        <x:f>H2184*Z2183/(v01_AdultYears*4)</x:f>
        <x:v>0</x:v>
      </x:c>
      <x:c r="Y2184" s="32" t="n">
        <x:f>Y2183+R2184-S2184-W2184-Y2183*V2184/AB2183</x:f>
        <x:v>14306.18539759397</x:v>
      </x:c>
      <x:c r="Z2184" s="32" t="n">
        <x:f>Z2183+W2184-X2184-T2184-Z2183*V2184/AB2183</x:f>
        <x:v>19354.456567879548</x:v>
      </x:c>
      <x:c r="AA2184" s="32" t="n">
        <x:f>AA2183+X2184-U2184-AA2183*V2184/AB2183</x:f>
        <x:v>11386.956063258198</x:v>
      </x:c>
      <x:c r="AB2184" s="10" t="n">
        <x:f>Y2184+Z2184+AA2184</x:f>
        <x:v>45047.59802873172</x:v>
      </x:c>
      <x:c r="AC2184" s="8" t="n">
        <x:f>IF(AND(v01_WinterTrigger=1,D2184=1,AB2183/AE2183&gt;=K2184),1,0)</x:f>
        <x:v>0</x:v>
      </x:c>
      <x:c r="AD2184" s="8" t="n">
        <x:f>H2184*IF(AND(OR(AB2183/AE2183&gt;=v01_FissionTrigger*N2184,AC2184=1),AB2183/AE2183*v01_DaughterShare&gt;=v01_MinDaughter),MAX(1,ROUND(AE2183*v01_FissionRate,0)),0)</x:f>
        <x:v>0</x:v>
      </x:c>
      <x:c r="AE2184" s="8" t="n">
        <x:f>IF(H2184=1,MAX(1,MIN(INDEX(v01_Smax,G2184),AE2183+AD2184)),AE2183)</x:f>
        <x:v>15</x:v>
      </x:c>
      <x:c r="AF2184" s="8" t="n">
        <x:f>MAX(0,AE2184-AE2183)</x:f>
        <x:v>0</x:v>
      </x:c>
      <x:c r="AG2184" s="9" t="str">
        <x:f>IF(AF2184&gt;0,B2184,"")</x:f>
      </x:c>
      <x:c r="AH2184" s="9" t="n">
        <x:f>IF(F2184&gt;=1,1,(1+v01_LowTiesShare*(AE2184-1))/AE2184)</x:f>
        <x:v>1</x:v>
      </x:c>
      <x:c r="AI2184" s="32" t="n">
        <x:f>(Z2184+v01_ElderCommons*INDEX(LM_Elder,G2184)*AA2184)*AH2184</x:f>
        <x:v>64139.732591141874</x:v>
      </x:c>
      <x:c r="AJ2184" s="32" t="n">
        <x:f>H2184*v01_CommonsCoef*AI2184^v01_CommonsExp*INDEX(LM_Commons,G2184)</x:f>
        <x:v>0</x:v>
      </x:c>
      <x:c r="AK2184" s="32" t="n">
        <x:f>H2184*v01_RoleScale*Arch_Roles*(AE2184*(INDEX(v01_ElderRolePerSett,G2184)*v01_OutElder*INDEX(LM_Elder,G2184)+INDEX(v01_ShamanPerSett,G2184)*v01_OutShaman)+Z2184*(INDEX(v01_PriestShare,G2184)*v01_OutPriest+INDEX(v01_ScribeShare,G2184)*v01_OutScribe*INDEX(LM_Scribe,G2184)+INDEX(v01_ScholarShare,G2184)*v01_OutScholar*INDEX(LM_Scholar,G2184)+INDEX(v01_ResearcherShare,G2184)*v01_OutResearcher*INDEX(LM_Researcher,G2184)))</x:f>
        <x:v>0</x:v>
      </x:c>
      <x:c r="AL2184" s="32" t="n">
        <x:f>H2184*v01_RoleScale*Arch_Roles*AE2184*INDEX(v01_MonasteryPerSett,G2184)*v01_OutMonastery*INDEX(LM_Monastery,G2184)</x:f>
        <x:v>0</x:v>
      </x:c>
      <x:c r="AM2184" s="32" t="n">
        <x:f>(AJ2184+AK2184+AL2184)/4*INDEX(LM_All,G2184)*INDEX(v01_Boon,G2184)*Arch_Insight</x:f>
        <x:v>0</x:v>
      </x:c>
      <x:c r="AN2184" s="32" t="n">
        <x:f>H2184*(v01_KHPerAdult*Z2184+v01_KHOfCommons*AJ2184/4*INDEX(LM_All,G2184))*v01_KHUsable*Arch_KH</x:f>
        <x:v>0</x:v>
      </x:c>
      <x:c r="AO2184" s="32" t="n">
        <x:f>MIN(AP2183+AN2184,AM2184*v01_KHMaxRatio)</x:f>
        <x:v>0</x:v>
      </x:c>
      <x:c r="AP2184" s="32" t="n">
        <x:f>AP2183+AN2184-AO2184</x:f>
        <x:v>0</x:v>
      </x:c>
      <x:c r="AQ2184" s="32" t="n">
        <x:f>AM2184+AO2184</x:f>
        <x:v>0</x:v>
      </x:c>
      <x:c r="AR2184" s="10" t="n">
        <x:f>IF(H2184=1,INDEX(v01_Req,G2184),0)</x:f>
        <x:v>0</x:v>
      </x:c>
      <x:c r="AS2184" s="32" t="n">
        <x:f>IF(H2184=1,IF(E2184=1,AS2183-AR2183,AS2183)+AQ2184,0)</x:f>
        <x:v>0</x:v>
      </x:c>
      <x:c r="AT2184" s="11" t="n">
        <x:f>IF(AR2184&gt;0,MIN(1,AS2184/AR2184),1)</x:f>
        <x:v>1</x:v>
      </x:c>
      <x:c r="AU2184" s="10" t="n">
        <x:f>AB2184/INDEX(v01_RepScale,G2184)</x:f>
        <x:v>90.09519605746344</x:v>
      </x:c>
      <x:c r="AV2184" s="32" t="n">
        <x:f>AM2184*60/v01_SeasonSeconds</x:f>
        <x:v>0</x:v>
      </x:c>
    </x:row>
    <x:row r="2185">
      <x:c r="A2185" s="8" t="n">
        <x:f>A2184+1</x:f>
        <x:v>2182</x:v>
      </x:c>
      <x:c r="B2185" s="9" t="n">
        <x:f>A2185*v01_SeasonSeconds/60</x:f>
        <x:v>545.5</x:v>
      </x:c>
      <x:c r="C2185" s="9" t="n">
        <x:f>A2185/4</x:f>
        <x:v>545.5</x:v>
      </x:c>
      <x:c r="D2185" s="8" t="n">
        <x:f>IF(MOD(A2185,4)=0,1,0)</x:f>
        <x:v>0</x:v>
      </x:c>
      <x:c r="E2185" s="8" t="n">
        <x:f>IF(AND(F2184&lt;=9,AS2184&gt;=AR2184),1,0)</x:f>
        <x:v>0</x:v>
      </x:c>
      <x:c r="F2185" s="8" t="n">
        <x:f>MIN(10,F2184+E2185)</x:f>
        <x:v>10</x:v>
      </x:c>
      <x:c r="G2185" s="8" t="n">
        <x:f>MIN(F2185,9)+1</x:f>
        <x:v>10</x:v>
      </x:c>
      <x:c r="H2185" s="8" t="n">
        <x:f>IF(F2185&lt;=9,1,0)</x:f>
        <x:v>0</x:v>
      </x:c>
      <x:c r="I2185" s="9" t="n">
        <x:f>MIN(10,F2184+IF(AR2184&gt;0,MIN(1,AS2184/AR2184),1))</x:f>
        <x:v>10</x:v>
      </x:c>
      <x:c r="J2185" s="32" t="n">
        <x:f>INDEX(v01_FoodCap,G2185)*Arch_FoodCap*EXP(v01_CapsByProject*SUMPRODUCT((Cap_Point&lt;=I2185)*(Cap_Kind="Food")*Cap_Ln))</x:f>
        <x:v>12000</x:v>
      </x:c>
      <x:c r="K2185" s="32" t="n">
        <x:f>J2185*MIN(1,v01_LeanBase*EXP(v01_CapsByProject*SUMPRODUCT((Cap_Point&lt;=I2185)*(Cap_Kind="Lean")*Cap_Ln)))</x:f>
        <x:v>12000</x:v>
      </x:c>
      <x:c r="L2185" s="10" t="n">
        <x:f>INDEX(v01_HousingCap,G2185)*EXP(v01_CapsByProject*SUMPRODUCT((Cap_Point&lt;=I2185)*(Cap_Kind="Housing")*Cap_Ln))</x:f>
        <x:v>20000</x:v>
      </x:c>
      <x:c r="M2185" s="10" t="n">
        <x:f>INDEX(v01_GroupCap,G2185)*v01_CohesionFactor*EXP(v01_CapsByProject*SUMPRODUCT((Cap_Point&lt;=I2185)*(Cap_Kind="Group")*Cap_Ln))</x:f>
        <x:v>1000000</x:v>
      </x:c>
      <x:c r="N2185" s="32" t="n">
        <x:f>MIN(J2185,L2185,M2185)</x:f>
        <x:v>12000</x:v>
      </x:c>
      <x:c r="O2185" s="10" t="n">
        <x:f>AE2184*N2185</x:f>
        <x:v>180000</x:v>
      </x:c>
      <x:c r="P2185" s="9" t="n">
        <x:f>MIN(1,(AB2184/(AE2184*IF(v01_GroupInCrowding=1,N2185,MIN(J2185,L2185))))^v01_CrowdingExp)</x:f>
        <x:v>0.00024569414295285325</x:v>
      </x:c>
      <x:c r="Q2185" s="9" t="n">
        <x:f>IF(D2185=1,INDEX(v01_WinterMult,G2185),1)</x:f>
        <x:v>1</x:v>
      </x:c>
      <x:c r="R2185" s="9" t="n">
        <x:f>H2185*Z2184*v01_WomenShare*v01_BaseFertility*INDEX(v01_FertMult,G2185)*Arch_Fertility*(1-P2185)</x:f>
        <x:v>0</x:v>
      </x:c>
      <x:c r="S2185" s="9" t="n">
        <x:f>H2185*Y2184*INDEX(v01_MortChild,G2185)/4*Q2185</x:f>
        <x:v>0</x:v>
      </x:c>
      <x:c r="T2185" s="9" t="n">
        <x:f>H2185*Z2184*INDEX(v01_MortAdult,G2185)*Arch_AdultMort/4*Q2185</x:f>
        <x:v>0</x:v>
      </x:c>
      <x:c r="U2185" s="9" t="n">
        <x:f>H2185*AA2184*INDEX(v01_MortElder,G2185)/4*Q2185</x:f>
        <x:v>0</x:v>
      </x:c>
      <x:c r="V2185" s="9" t="n">
        <x:f>H2185*MAX(0,AB2184-O2185)*v01_OvercapLoss</x:f>
        <x:v>0</x:v>
      </x:c>
      <x:c r="W2185" s="9" t="n">
        <x:f>H2185*Y2184/(v01_ChildYears*4)</x:f>
        <x:v>0</x:v>
      </x:c>
      <x:c r="X2185" s="9" t="n">
        <x:f>H2185*Z2184/(v01_AdultYears*4)</x:f>
        <x:v>0</x:v>
      </x:c>
      <x:c r="Y2185" s="32" t="n">
        <x:f>Y2184+R2185-S2185-W2185-Y2184*V2185/AB2184</x:f>
        <x:v>14306.18539759397</x:v>
      </x:c>
      <x:c r="Z2185" s="32" t="n">
        <x:f>Z2184+W2185-X2185-T2185-Z2184*V2185/AB2184</x:f>
        <x:v>19354.456567879548</x:v>
      </x:c>
      <x:c r="AA2185" s="32" t="n">
        <x:f>AA2184+X2185-U2185-AA2184*V2185/AB2184</x:f>
        <x:v>11386.956063258198</x:v>
      </x:c>
      <x:c r="AB2185" s="10" t="n">
        <x:f>Y2185+Z2185+AA2185</x:f>
        <x:v>45047.59802873172</x:v>
      </x:c>
      <x:c r="AC2185" s="8" t="n">
        <x:f>IF(AND(v01_WinterTrigger=1,D2185=1,AB2184/AE2184&gt;=K2185),1,0)</x:f>
        <x:v>0</x:v>
      </x:c>
      <x:c r="AD2185" s="8" t="n">
        <x:f>H2185*IF(AND(OR(AB2184/AE2184&gt;=v01_FissionTrigger*N2185,AC2185=1),AB2184/AE2184*v01_DaughterShare&gt;=v01_MinDaughter),MAX(1,ROUND(AE2184*v01_FissionRate,0)),0)</x:f>
        <x:v>0</x:v>
      </x:c>
      <x:c r="AE2185" s="8" t="n">
        <x:f>IF(H2185=1,MAX(1,MIN(INDEX(v01_Smax,G2185),AE2184+AD2185)),AE2184)</x:f>
        <x:v>15</x:v>
      </x:c>
      <x:c r="AF2185" s="8" t="n">
        <x:f>MAX(0,AE2185-AE2184)</x:f>
        <x:v>0</x:v>
      </x:c>
      <x:c r="AG2185" s="9" t="str">
        <x:f>IF(AF2185&gt;0,B2185,"")</x:f>
      </x:c>
      <x:c r="AH2185" s="9" t="n">
        <x:f>IF(F2185&gt;=1,1,(1+v01_LowTiesShare*(AE2185-1))/AE2185)</x:f>
        <x:v>1</x:v>
      </x:c>
      <x:c r="AI2185" s="32" t="n">
        <x:f>(Z2185+v01_ElderCommons*INDEX(LM_Elder,G2185)*AA2185)*AH2185</x:f>
        <x:v>64139.732591141874</x:v>
      </x:c>
      <x:c r="AJ2185" s="32" t="n">
        <x:f>H2185*v01_CommonsCoef*AI2185^v01_CommonsExp*INDEX(LM_Commons,G2185)</x:f>
        <x:v>0</x:v>
      </x:c>
      <x:c r="AK2185" s="32" t="n">
        <x:f>H2185*v01_RoleScale*Arch_Roles*(AE2185*(INDEX(v01_ElderRolePerSett,G2185)*v01_OutElder*INDEX(LM_Elder,G2185)+INDEX(v01_ShamanPerSett,G2185)*v01_OutShaman)+Z2185*(INDEX(v01_PriestShare,G2185)*v01_OutPriest+INDEX(v01_ScribeShare,G2185)*v01_OutScribe*INDEX(LM_Scribe,G2185)+INDEX(v01_ScholarShare,G2185)*v01_OutScholar*INDEX(LM_Scholar,G2185)+INDEX(v01_ResearcherShare,G2185)*v01_OutResearcher*INDEX(LM_Researcher,G2185)))</x:f>
        <x:v>0</x:v>
      </x:c>
      <x:c r="AL2185" s="32" t="n">
        <x:f>H2185*v01_RoleScale*Arch_Roles*AE2185*INDEX(v01_MonasteryPerSett,G2185)*v01_OutMonastery*INDEX(LM_Monastery,G2185)</x:f>
        <x:v>0</x:v>
      </x:c>
      <x:c r="AM2185" s="32" t="n">
        <x:f>(AJ2185+AK2185+AL2185)/4*INDEX(LM_All,G2185)*INDEX(v01_Boon,G2185)*Arch_Insight</x:f>
        <x:v>0</x:v>
      </x:c>
      <x:c r="AN2185" s="32" t="n">
        <x:f>H2185*(v01_KHPerAdult*Z2185+v01_KHOfCommons*AJ2185/4*INDEX(LM_All,G2185))*v01_KHUsable*Arch_KH</x:f>
        <x:v>0</x:v>
      </x:c>
      <x:c r="AO2185" s="32" t="n">
        <x:f>MIN(AP2184+AN2185,AM2185*v01_KHMaxRatio)</x:f>
        <x:v>0</x:v>
      </x:c>
      <x:c r="AP2185" s="32" t="n">
        <x:f>AP2184+AN2185-AO2185</x:f>
        <x:v>0</x:v>
      </x:c>
      <x:c r="AQ2185" s="32" t="n">
        <x:f>AM2185+AO2185</x:f>
        <x:v>0</x:v>
      </x:c>
      <x:c r="AR2185" s="10" t="n">
        <x:f>IF(H2185=1,INDEX(v01_Req,G2185),0)</x:f>
        <x:v>0</x:v>
      </x:c>
      <x:c r="AS2185" s="32" t="n">
        <x:f>IF(H2185=1,IF(E2185=1,AS2184-AR2184,AS2184)+AQ2185,0)</x:f>
        <x:v>0</x:v>
      </x:c>
      <x:c r="AT2185" s="11" t="n">
        <x:f>IF(AR2185&gt;0,MIN(1,AS2185/AR2185),1)</x:f>
        <x:v>1</x:v>
      </x:c>
      <x:c r="AU2185" s="10" t="n">
        <x:f>AB2185/INDEX(v01_RepScale,G2185)</x:f>
        <x:v>90.09519605746344</x:v>
      </x:c>
      <x:c r="AV2185" s="32" t="n">
        <x:f>AM2185*60/v01_SeasonSeconds</x:f>
        <x:v>0</x:v>
      </x:c>
    </x:row>
    <x:row r="2186">
      <x:c r="A2186" s="8" t="n">
        <x:f>A2185+1</x:f>
        <x:v>2183</x:v>
      </x:c>
      <x:c r="B2186" s="9" t="n">
        <x:f>A2186*v01_SeasonSeconds/60</x:f>
        <x:v>545.75</x:v>
      </x:c>
      <x:c r="C2186" s="9" t="n">
        <x:f>A2186/4</x:f>
        <x:v>545.75</x:v>
      </x:c>
      <x:c r="D2186" s="8" t="n">
        <x:f>IF(MOD(A2186,4)=0,1,0)</x:f>
        <x:v>0</x:v>
      </x:c>
      <x:c r="E2186" s="8" t="n">
        <x:f>IF(AND(F2185&lt;=9,AS2185&gt;=AR2185),1,0)</x:f>
        <x:v>0</x:v>
      </x:c>
      <x:c r="F2186" s="8" t="n">
        <x:f>MIN(10,F2185+E2186)</x:f>
        <x:v>10</x:v>
      </x:c>
      <x:c r="G2186" s="8" t="n">
        <x:f>MIN(F2186,9)+1</x:f>
        <x:v>10</x:v>
      </x:c>
      <x:c r="H2186" s="8" t="n">
        <x:f>IF(F2186&lt;=9,1,0)</x:f>
        <x:v>0</x:v>
      </x:c>
      <x:c r="I2186" s="9" t="n">
        <x:f>MIN(10,F2185+IF(AR2185&gt;0,MIN(1,AS2185/AR2185),1))</x:f>
        <x:v>10</x:v>
      </x:c>
      <x:c r="J2186" s="32" t="n">
        <x:f>INDEX(v01_FoodCap,G2186)*Arch_FoodCap*EXP(v01_CapsByProject*SUMPRODUCT((Cap_Point&lt;=I2186)*(Cap_Kind="Food")*Cap_Ln))</x:f>
        <x:v>12000</x:v>
      </x:c>
      <x:c r="K2186" s="32" t="n">
        <x:f>J2186*MIN(1,v01_LeanBase*EXP(v01_CapsByProject*SUMPRODUCT((Cap_Point&lt;=I2186)*(Cap_Kind="Lean")*Cap_Ln)))</x:f>
        <x:v>12000</x:v>
      </x:c>
      <x:c r="L2186" s="10" t="n">
        <x:f>INDEX(v01_HousingCap,G2186)*EXP(v01_CapsByProject*SUMPRODUCT((Cap_Point&lt;=I2186)*(Cap_Kind="Housing")*Cap_Ln))</x:f>
        <x:v>20000</x:v>
      </x:c>
      <x:c r="M2186" s="10" t="n">
        <x:f>INDEX(v01_GroupCap,G2186)*v01_CohesionFactor*EXP(v01_CapsByProject*SUMPRODUCT((Cap_Point&lt;=I2186)*(Cap_Kind="Group")*Cap_Ln))</x:f>
        <x:v>1000000</x:v>
      </x:c>
      <x:c r="N2186" s="32" t="n">
        <x:f>MIN(J2186,L2186,M2186)</x:f>
        <x:v>12000</x:v>
      </x:c>
      <x:c r="O2186" s="10" t="n">
        <x:f>AE2185*N2186</x:f>
        <x:v>180000</x:v>
      </x:c>
      <x:c r="P2186" s="9" t="n">
        <x:f>MIN(1,(AB2185/(AE2185*IF(v01_GroupInCrowding=1,N2186,MIN(J2186,L2186))))^v01_CrowdingExp)</x:f>
        <x:v>0.00024569414295285325</x:v>
      </x:c>
      <x:c r="Q2186" s="9" t="n">
        <x:f>IF(D2186=1,INDEX(v01_WinterMult,G2186),1)</x:f>
        <x:v>1</x:v>
      </x:c>
      <x:c r="R2186" s="9" t="n">
        <x:f>H2186*Z2185*v01_WomenShare*v01_BaseFertility*INDEX(v01_FertMult,G2186)*Arch_Fertility*(1-P2186)</x:f>
        <x:v>0</x:v>
      </x:c>
      <x:c r="S2186" s="9" t="n">
        <x:f>H2186*Y2185*INDEX(v01_MortChild,G2186)/4*Q2186</x:f>
        <x:v>0</x:v>
      </x:c>
      <x:c r="T2186" s="9" t="n">
        <x:f>H2186*Z2185*INDEX(v01_MortAdult,G2186)*Arch_AdultMort/4*Q2186</x:f>
        <x:v>0</x:v>
      </x:c>
      <x:c r="U2186" s="9" t="n">
        <x:f>H2186*AA2185*INDEX(v01_MortElder,G2186)/4*Q2186</x:f>
        <x:v>0</x:v>
      </x:c>
      <x:c r="V2186" s="9" t="n">
        <x:f>H2186*MAX(0,AB2185-O2186)*v01_OvercapLoss</x:f>
        <x:v>0</x:v>
      </x:c>
      <x:c r="W2186" s="9" t="n">
        <x:f>H2186*Y2185/(v01_ChildYears*4)</x:f>
        <x:v>0</x:v>
      </x:c>
      <x:c r="X2186" s="9" t="n">
        <x:f>H2186*Z2185/(v01_AdultYears*4)</x:f>
        <x:v>0</x:v>
      </x:c>
      <x:c r="Y2186" s="32" t="n">
        <x:f>Y2185+R2186-S2186-W2186-Y2185*V2186/AB2185</x:f>
        <x:v>14306.18539759397</x:v>
      </x:c>
      <x:c r="Z2186" s="32" t="n">
        <x:f>Z2185+W2186-X2186-T2186-Z2185*V2186/AB2185</x:f>
        <x:v>19354.456567879548</x:v>
      </x:c>
      <x:c r="AA2186" s="32" t="n">
        <x:f>AA2185+X2186-U2186-AA2185*V2186/AB2185</x:f>
        <x:v>11386.956063258198</x:v>
      </x:c>
      <x:c r="AB2186" s="10" t="n">
        <x:f>Y2186+Z2186+AA2186</x:f>
        <x:v>45047.59802873172</x:v>
      </x:c>
      <x:c r="AC2186" s="8" t="n">
        <x:f>IF(AND(v01_WinterTrigger=1,D2186=1,AB2185/AE2185&gt;=K2186),1,0)</x:f>
        <x:v>0</x:v>
      </x:c>
      <x:c r="AD2186" s="8" t="n">
        <x:f>H2186*IF(AND(OR(AB2185/AE2185&gt;=v01_FissionTrigger*N2186,AC2186=1),AB2185/AE2185*v01_DaughterShare&gt;=v01_MinDaughter),MAX(1,ROUND(AE2185*v01_FissionRate,0)),0)</x:f>
        <x:v>0</x:v>
      </x:c>
      <x:c r="AE2186" s="8" t="n">
        <x:f>IF(H2186=1,MAX(1,MIN(INDEX(v01_Smax,G2186),AE2185+AD2186)),AE2185)</x:f>
        <x:v>15</x:v>
      </x:c>
      <x:c r="AF2186" s="8" t="n">
        <x:f>MAX(0,AE2186-AE2185)</x:f>
        <x:v>0</x:v>
      </x:c>
      <x:c r="AG2186" s="9" t="str">
        <x:f>IF(AF2186&gt;0,B2186,"")</x:f>
      </x:c>
      <x:c r="AH2186" s="9" t="n">
        <x:f>IF(F2186&gt;=1,1,(1+v01_LowTiesShare*(AE2186-1))/AE2186)</x:f>
        <x:v>1</x:v>
      </x:c>
      <x:c r="AI2186" s="32" t="n">
        <x:f>(Z2186+v01_ElderCommons*INDEX(LM_Elder,G2186)*AA2186)*AH2186</x:f>
        <x:v>64139.732591141874</x:v>
      </x:c>
      <x:c r="AJ2186" s="32" t="n">
        <x:f>H2186*v01_CommonsCoef*AI2186^v01_CommonsExp*INDEX(LM_Commons,G2186)</x:f>
        <x:v>0</x:v>
      </x:c>
      <x:c r="AK2186" s="32" t="n">
        <x:f>H2186*v01_RoleScale*Arch_Roles*(AE2186*(INDEX(v01_ElderRolePerSett,G2186)*v01_OutElder*INDEX(LM_Elder,G2186)+INDEX(v01_ShamanPerSett,G2186)*v01_OutShaman)+Z2186*(INDEX(v01_PriestShare,G2186)*v01_OutPriest+INDEX(v01_ScribeShare,G2186)*v01_OutScribe*INDEX(LM_Scribe,G2186)+INDEX(v01_ScholarShare,G2186)*v01_OutScholar*INDEX(LM_Scholar,G2186)+INDEX(v01_ResearcherShare,G2186)*v01_OutResearcher*INDEX(LM_Researcher,G2186)))</x:f>
        <x:v>0</x:v>
      </x:c>
      <x:c r="AL2186" s="32" t="n">
        <x:f>H2186*v01_RoleScale*Arch_Roles*AE2186*INDEX(v01_MonasteryPerSett,G2186)*v01_OutMonastery*INDEX(LM_Monastery,G2186)</x:f>
        <x:v>0</x:v>
      </x:c>
      <x:c r="AM2186" s="32" t="n">
        <x:f>(AJ2186+AK2186+AL2186)/4*INDEX(LM_All,G2186)*INDEX(v01_Boon,G2186)*Arch_Insight</x:f>
        <x:v>0</x:v>
      </x:c>
      <x:c r="AN2186" s="32" t="n">
        <x:f>H2186*(v01_KHPerAdult*Z2186+v01_KHOfCommons*AJ2186/4*INDEX(LM_All,G2186))*v01_KHUsable*Arch_KH</x:f>
        <x:v>0</x:v>
      </x:c>
      <x:c r="AO2186" s="32" t="n">
        <x:f>MIN(AP2185+AN2186,AM2186*v01_KHMaxRatio)</x:f>
        <x:v>0</x:v>
      </x:c>
      <x:c r="AP2186" s="32" t="n">
        <x:f>AP2185+AN2186-AO2186</x:f>
        <x:v>0</x:v>
      </x:c>
      <x:c r="AQ2186" s="32" t="n">
        <x:f>AM2186+AO2186</x:f>
        <x:v>0</x:v>
      </x:c>
      <x:c r="AR2186" s="10" t="n">
        <x:f>IF(H2186=1,INDEX(v01_Req,G2186),0)</x:f>
        <x:v>0</x:v>
      </x:c>
      <x:c r="AS2186" s="32" t="n">
        <x:f>IF(H2186=1,IF(E2186=1,AS2185-AR2185,AS2185)+AQ2186,0)</x:f>
        <x:v>0</x:v>
      </x:c>
      <x:c r="AT2186" s="11" t="n">
        <x:f>IF(AR2186&gt;0,MIN(1,AS2186/AR2186),1)</x:f>
        <x:v>1</x:v>
      </x:c>
      <x:c r="AU2186" s="10" t="n">
        <x:f>AB2186/INDEX(v01_RepScale,G2186)</x:f>
        <x:v>90.09519605746344</x:v>
      </x:c>
      <x:c r="AV2186" s="32" t="n">
        <x:f>AM2186*60/v01_SeasonSeconds</x:f>
        <x:v>0</x:v>
      </x:c>
    </x:row>
    <x:row r="2187">
      <x:c r="A2187" s="8" t="n">
        <x:f>A2186+1</x:f>
        <x:v>2184</x:v>
      </x:c>
      <x:c r="B2187" s="9" t="n">
        <x:f>A2187*v01_SeasonSeconds/60</x:f>
        <x:v>546</x:v>
      </x:c>
      <x:c r="C2187" s="9" t="n">
        <x:f>A2187/4</x:f>
        <x:v>546</x:v>
      </x:c>
      <x:c r="D2187" s="8" t="n">
        <x:f>IF(MOD(A2187,4)=0,1,0)</x:f>
        <x:v>1</x:v>
      </x:c>
      <x:c r="E2187" s="8" t="n">
        <x:f>IF(AND(F2186&lt;=9,AS2186&gt;=AR2186),1,0)</x:f>
        <x:v>0</x:v>
      </x:c>
      <x:c r="F2187" s="8" t="n">
        <x:f>MIN(10,F2186+E2187)</x:f>
        <x:v>10</x:v>
      </x:c>
      <x:c r="G2187" s="8" t="n">
        <x:f>MIN(F2187,9)+1</x:f>
        <x:v>10</x:v>
      </x:c>
      <x:c r="H2187" s="8" t="n">
        <x:f>IF(F2187&lt;=9,1,0)</x:f>
        <x:v>0</x:v>
      </x:c>
      <x:c r="I2187" s="9" t="n">
        <x:f>MIN(10,F2186+IF(AR2186&gt;0,MIN(1,AS2186/AR2186),1))</x:f>
        <x:v>10</x:v>
      </x:c>
      <x:c r="J2187" s="32" t="n">
        <x:f>INDEX(v01_FoodCap,G2187)*Arch_FoodCap*EXP(v01_CapsByProject*SUMPRODUCT((Cap_Point&lt;=I2187)*(Cap_Kind="Food")*Cap_Ln))</x:f>
        <x:v>12000</x:v>
      </x:c>
      <x:c r="K2187" s="32" t="n">
        <x:f>J2187*MIN(1,v01_LeanBase*EXP(v01_CapsByProject*SUMPRODUCT((Cap_Point&lt;=I2187)*(Cap_Kind="Lean")*Cap_Ln)))</x:f>
        <x:v>12000</x:v>
      </x:c>
      <x:c r="L2187" s="10" t="n">
        <x:f>INDEX(v01_HousingCap,G2187)*EXP(v01_CapsByProject*SUMPRODUCT((Cap_Point&lt;=I2187)*(Cap_Kind="Housing")*Cap_Ln))</x:f>
        <x:v>20000</x:v>
      </x:c>
      <x:c r="M2187" s="10" t="n">
        <x:f>INDEX(v01_GroupCap,G2187)*v01_CohesionFactor*EXP(v01_CapsByProject*SUMPRODUCT((Cap_Point&lt;=I2187)*(Cap_Kind="Group")*Cap_Ln))</x:f>
        <x:v>1000000</x:v>
      </x:c>
      <x:c r="N2187" s="32" t="n">
        <x:f>MIN(J2187,L2187,M2187)</x:f>
        <x:v>12000</x:v>
      </x:c>
      <x:c r="O2187" s="10" t="n">
        <x:f>AE2186*N2187</x:f>
        <x:v>180000</x:v>
      </x:c>
      <x:c r="P2187" s="9" t="n">
        <x:f>MIN(1,(AB2186/(AE2186*IF(v01_GroupInCrowding=1,N2187,MIN(J2187,L2187))))^v01_CrowdingExp)</x:f>
        <x:v>0.00024569414295285325</x:v>
      </x:c>
      <x:c r="Q2187" s="9" t="n">
        <x:f>IF(D2187=1,INDEX(v01_WinterMult,G2187),1)</x:f>
        <x:v>1</x:v>
      </x:c>
      <x:c r="R2187" s="9" t="n">
        <x:f>H2187*Z2186*v01_WomenShare*v01_BaseFertility*INDEX(v01_FertMult,G2187)*Arch_Fertility*(1-P2187)</x:f>
        <x:v>0</x:v>
      </x:c>
      <x:c r="S2187" s="9" t="n">
        <x:f>H2187*Y2186*INDEX(v01_MortChild,G2187)/4*Q2187</x:f>
        <x:v>0</x:v>
      </x:c>
      <x:c r="T2187" s="9" t="n">
        <x:f>H2187*Z2186*INDEX(v01_MortAdult,G2187)*Arch_AdultMort/4*Q2187</x:f>
        <x:v>0</x:v>
      </x:c>
      <x:c r="U2187" s="9" t="n">
        <x:f>H2187*AA2186*INDEX(v01_MortElder,G2187)/4*Q2187</x:f>
        <x:v>0</x:v>
      </x:c>
      <x:c r="V2187" s="9" t="n">
        <x:f>H2187*MAX(0,AB2186-O2187)*v01_OvercapLoss</x:f>
        <x:v>0</x:v>
      </x:c>
      <x:c r="W2187" s="9" t="n">
        <x:f>H2187*Y2186/(v01_ChildYears*4)</x:f>
        <x:v>0</x:v>
      </x:c>
      <x:c r="X2187" s="9" t="n">
        <x:f>H2187*Z2186/(v01_AdultYears*4)</x:f>
        <x:v>0</x:v>
      </x:c>
      <x:c r="Y2187" s="32" t="n">
        <x:f>Y2186+R2187-S2187-W2187-Y2186*V2187/AB2186</x:f>
        <x:v>14306.18539759397</x:v>
      </x:c>
      <x:c r="Z2187" s="32" t="n">
        <x:f>Z2186+W2187-X2187-T2187-Z2186*V2187/AB2186</x:f>
        <x:v>19354.456567879548</x:v>
      </x:c>
      <x:c r="AA2187" s="32" t="n">
        <x:f>AA2186+X2187-U2187-AA2186*V2187/AB2186</x:f>
        <x:v>11386.956063258198</x:v>
      </x:c>
      <x:c r="AB2187" s="10" t="n">
        <x:f>Y2187+Z2187+AA2187</x:f>
        <x:v>45047.59802873172</x:v>
      </x:c>
      <x:c r="AC2187" s="8" t="n">
        <x:f>IF(AND(v01_WinterTrigger=1,D2187=1,AB2186/AE2186&gt;=K2187),1,0)</x:f>
        <x:v>0</x:v>
      </x:c>
      <x:c r="AD2187" s="8" t="n">
        <x:f>H2187*IF(AND(OR(AB2186/AE2186&gt;=v01_FissionTrigger*N2187,AC2187=1),AB2186/AE2186*v01_DaughterShare&gt;=v01_MinDaughter),MAX(1,ROUND(AE2186*v01_FissionRate,0)),0)</x:f>
        <x:v>0</x:v>
      </x:c>
      <x:c r="AE2187" s="8" t="n">
        <x:f>IF(H2187=1,MAX(1,MIN(INDEX(v01_Smax,G2187),AE2186+AD2187)),AE2186)</x:f>
        <x:v>15</x:v>
      </x:c>
      <x:c r="AF2187" s="8" t="n">
        <x:f>MAX(0,AE2187-AE2186)</x:f>
        <x:v>0</x:v>
      </x:c>
      <x:c r="AG2187" s="9" t="str">
        <x:f>IF(AF2187&gt;0,B2187,"")</x:f>
      </x:c>
      <x:c r="AH2187" s="9" t="n">
        <x:f>IF(F2187&gt;=1,1,(1+v01_LowTiesShare*(AE2187-1))/AE2187)</x:f>
        <x:v>1</x:v>
      </x:c>
      <x:c r="AI2187" s="32" t="n">
        <x:f>(Z2187+v01_ElderCommons*INDEX(LM_Elder,G2187)*AA2187)*AH2187</x:f>
        <x:v>64139.732591141874</x:v>
      </x:c>
      <x:c r="AJ2187" s="32" t="n">
        <x:f>H2187*v01_CommonsCoef*AI2187^v01_CommonsExp*INDEX(LM_Commons,G2187)</x:f>
        <x:v>0</x:v>
      </x:c>
      <x:c r="AK2187" s="32" t="n">
        <x:f>H2187*v01_RoleScale*Arch_Roles*(AE2187*(INDEX(v01_ElderRolePerSett,G2187)*v01_OutElder*INDEX(LM_Elder,G2187)+INDEX(v01_ShamanPerSett,G2187)*v01_OutShaman)+Z2187*(INDEX(v01_PriestShare,G2187)*v01_OutPriest+INDEX(v01_ScribeShare,G2187)*v01_OutScribe*INDEX(LM_Scribe,G2187)+INDEX(v01_ScholarShare,G2187)*v01_OutScholar*INDEX(LM_Scholar,G2187)+INDEX(v01_ResearcherShare,G2187)*v01_OutResearcher*INDEX(LM_Researcher,G2187)))</x:f>
        <x:v>0</x:v>
      </x:c>
      <x:c r="AL2187" s="32" t="n">
        <x:f>H2187*v01_RoleScale*Arch_Roles*AE2187*INDEX(v01_MonasteryPerSett,G2187)*v01_OutMonastery*INDEX(LM_Monastery,G2187)</x:f>
        <x:v>0</x:v>
      </x:c>
      <x:c r="AM2187" s="32" t="n">
        <x:f>(AJ2187+AK2187+AL2187)/4*INDEX(LM_All,G2187)*INDEX(v01_Boon,G2187)*Arch_Insight</x:f>
        <x:v>0</x:v>
      </x:c>
      <x:c r="AN2187" s="32" t="n">
        <x:f>H2187*(v01_KHPerAdult*Z2187+v01_KHOfCommons*AJ2187/4*INDEX(LM_All,G2187))*v01_KHUsable*Arch_KH</x:f>
        <x:v>0</x:v>
      </x:c>
      <x:c r="AO2187" s="32" t="n">
        <x:f>MIN(AP2186+AN2187,AM2187*v01_KHMaxRatio)</x:f>
        <x:v>0</x:v>
      </x:c>
      <x:c r="AP2187" s="32" t="n">
        <x:f>AP2186+AN2187-AO2187</x:f>
        <x:v>0</x:v>
      </x:c>
      <x:c r="AQ2187" s="32" t="n">
        <x:f>AM2187+AO2187</x:f>
        <x:v>0</x:v>
      </x:c>
      <x:c r="AR2187" s="10" t="n">
        <x:f>IF(H2187=1,INDEX(v01_Req,G2187),0)</x:f>
        <x:v>0</x:v>
      </x:c>
      <x:c r="AS2187" s="32" t="n">
        <x:f>IF(H2187=1,IF(E2187=1,AS2186-AR2186,AS2186)+AQ2187,0)</x:f>
        <x:v>0</x:v>
      </x:c>
      <x:c r="AT2187" s="11" t="n">
        <x:f>IF(AR2187&gt;0,MIN(1,AS2187/AR2187),1)</x:f>
        <x:v>1</x:v>
      </x:c>
      <x:c r="AU2187" s="10" t="n">
        <x:f>AB2187/INDEX(v01_RepScale,G2187)</x:f>
        <x:v>90.09519605746344</x:v>
      </x:c>
      <x:c r="AV2187" s="32" t="n">
        <x:f>AM2187*60/v01_SeasonSeconds</x:f>
        <x:v>0</x:v>
      </x:c>
    </x:row>
    <x:row r="2188">
      <x:c r="A2188" s="8" t="n">
        <x:f>A2187+1</x:f>
        <x:v>2185</x:v>
      </x:c>
      <x:c r="B2188" s="9" t="n">
        <x:f>A2188*v01_SeasonSeconds/60</x:f>
        <x:v>546.25</x:v>
      </x:c>
      <x:c r="C2188" s="9" t="n">
        <x:f>A2188/4</x:f>
        <x:v>546.25</x:v>
      </x:c>
      <x:c r="D2188" s="8" t="n">
        <x:f>IF(MOD(A2188,4)=0,1,0)</x:f>
        <x:v>0</x:v>
      </x:c>
      <x:c r="E2188" s="8" t="n">
        <x:f>IF(AND(F2187&lt;=9,AS2187&gt;=AR2187),1,0)</x:f>
        <x:v>0</x:v>
      </x:c>
      <x:c r="F2188" s="8" t="n">
        <x:f>MIN(10,F2187+E2188)</x:f>
        <x:v>10</x:v>
      </x:c>
      <x:c r="G2188" s="8" t="n">
        <x:f>MIN(F2188,9)+1</x:f>
        <x:v>10</x:v>
      </x:c>
      <x:c r="H2188" s="8" t="n">
        <x:f>IF(F2188&lt;=9,1,0)</x:f>
        <x:v>0</x:v>
      </x:c>
      <x:c r="I2188" s="9" t="n">
        <x:f>MIN(10,F2187+IF(AR2187&gt;0,MIN(1,AS2187/AR2187),1))</x:f>
        <x:v>10</x:v>
      </x:c>
      <x:c r="J2188" s="32" t="n">
        <x:f>INDEX(v01_FoodCap,G2188)*Arch_FoodCap*EXP(v01_CapsByProject*SUMPRODUCT((Cap_Point&lt;=I2188)*(Cap_Kind="Food")*Cap_Ln))</x:f>
        <x:v>12000</x:v>
      </x:c>
      <x:c r="K2188" s="32" t="n">
        <x:f>J2188*MIN(1,v01_LeanBase*EXP(v01_CapsByProject*SUMPRODUCT((Cap_Point&lt;=I2188)*(Cap_Kind="Lean")*Cap_Ln)))</x:f>
        <x:v>12000</x:v>
      </x:c>
      <x:c r="L2188" s="10" t="n">
        <x:f>INDEX(v01_HousingCap,G2188)*EXP(v01_CapsByProject*SUMPRODUCT((Cap_Point&lt;=I2188)*(Cap_Kind="Housing")*Cap_Ln))</x:f>
        <x:v>20000</x:v>
      </x:c>
      <x:c r="M2188" s="10" t="n">
        <x:f>INDEX(v01_GroupCap,G2188)*v01_CohesionFactor*EXP(v01_CapsByProject*SUMPRODUCT((Cap_Point&lt;=I2188)*(Cap_Kind="Group")*Cap_Ln))</x:f>
        <x:v>1000000</x:v>
      </x:c>
      <x:c r="N2188" s="32" t="n">
        <x:f>MIN(J2188,L2188,M2188)</x:f>
        <x:v>12000</x:v>
      </x:c>
      <x:c r="O2188" s="10" t="n">
        <x:f>AE2187*N2188</x:f>
        <x:v>180000</x:v>
      </x:c>
      <x:c r="P2188" s="9" t="n">
        <x:f>MIN(1,(AB2187/(AE2187*IF(v01_GroupInCrowding=1,N2188,MIN(J2188,L2188))))^v01_CrowdingExp)</x:f>
        <x:v>0.00024569414295285325</x:v>
      </x:c>
      <x:c r="Q2188" s="9" t="n">
        <x:f>IF(D2188=1,INDEX(v01_WinterMult,G2188),1)</x:f>
        <x:v>1</x:v>
      </x:c>
      <x:c r="R2188" s="9" t="n">
        <x:f>H2188*Z2187*v01_WomenShare*v01_BaseFertility*INDEX(v01_FertMult,G2188)*Arch_Fertility*(1-P2188)</x:f>
        <x:v>0</x:v>
      </x:c>
      <x:c r="S2188" s="9" t="n">
        <x:f>H2188*Y2187*INDEX(v01_MortChild,G2188)/4*Q2188</x:f>
        <x:v>0</x:v>
      </x:c>
      <x:c r="T2188" s="9" t="n">
        <x:f>H2188*Z2187*INDEX(v01_MortAdult,G2188)*Arch_AdultMort/4*Q2188</x:f>
        <x:v>0</x:v>
      </x:c>
      <x:c r="U2188" s="9" t="n">
        <x:f>H2188*AA2187*INDEX(v01_MortElder,G2188)/4*Q2188</x:f>
        <x:v>0</x:v>
      </x:c>
      <x:c r="V2188" s="9" t="n">
        <x:f>H2188*MAX(0,AB2187-O2188)*v01_OvercapLoss</x:f>
        <x:v>0</x:v>
      </x:c>
      <x:c r="W2188" s="9" t="n">
        <x:f>H2188*Y2187/(v01_ChildYears*4)</x:f>
        <x:v>0</x:v>
      </x:c>
      <x:c r="X2188" s="9" t="n">
        <x:f>H2188*Z2187/(v01_AdultYears*4)</x:f>
        <x:v>0</x:v>
      </x:c>
      <x:c r="Y2188" s="32" t="n">
        <x:f>Y2187+R2188-S2188-W2188-Y2187*V2188/AB2187</x:f>
        <x:v>14306.18539759397</x:v>
      </x:c>
      <x:c r="Z2188" s="32" t="n">
        <x:f>Z2187+W2188-X2188-T2188-Z2187*V2188/AB2187</x:f>
        <x:v>19354.456567879548</x:v>
      </x:c>
      <x:c r="AA2188" s="32" t="n">
        <x:f>AA2187+X2188-U2188-AA2187*V2188/AB2187</x:f>
        <x:v>11386.956063258198</x:v>
      </x:c>
      <x:c r="AB2188" s="10" t="n">
        <x:f>Y2188+Z2188+AA2188</x:f>
        <x:v>45047.59802873172</x:v>
      </x:c>
      <x:c r="AC2188" s="8" t="n">
        <x:f>IF(AND(v01_WinterTrigger=1,D2188=1,AB2187/AE2187&gt;=K2188),1,0)</x:f>
        <x:v>0</x:v>
      </x:c>
      <x:c r="AD2188" s="8" t="n">
        <x:f>H2188*IF(AND(OR(AB2187/AE2187&gt;=v01_FissionTrigger*N2188,AC2188=1),AB2187/AE2187*v01_DaughterShare&gt;=v01_MinDaughter),MAX(1,ROUND(AE2187*v01_FissionRate,0)),0)</x:f>
        <x:v>0</x:v>
      </x:c>
      <x:c r="AE2188" s="8" t="n">
        <x:f>IF(H2188=1,MAX(1,MIN(INDEX(v01_Smax,G2188),AE2187+AD2188)),AE2187)</x:f>
        <x:v>15</x:v>
      </x:c>
      <x:c r="AF2188" s="8" t="n">
        <x:f>MAX(0,AE2188-AE2187)</x:f>
        <x:v>0</x:v>
      </x:c>
      <x:c r="AG2188" s="9" t="str">
        <x:f>IF(AF2188&gt;0,B2188,"")</x:f>
      </x:c>
      <x:c r="AH2188" s="9" t="n">
        <x:f>IF(F2188&gt;=1,1,(1+v01_LowTiesShare*(AE2188-1))/AE2188)</x:f>
        <x:v>1</x:v>
      </x:c>
      <x:c r="AI2188" s="32" t="n">
        <x:f>(Z2188+v01_ElderCommons*INDEX(LM_Elder,G2188)*AA2188)*AH2188</x:f>
        <x:v>64139.732591141874</x:v>
      </x:c>
      <x:c r="AJ2188" s="32" t="n">
        <x:f>H2188*v01_CommonsCoef*AI2188^v01_CommonsExp*INDEX(LM_Commons,G2188)</x:f>
        <x:v>0</x:v>
      </x:c>
      <x:c r="AK2188" s="32" t="n">
        <x:f>H2188*v01_RoleScale*Arch_Roles*(AE2188*(INDEX(v01_ElderRolePerSett,G2188)*v01_OutElder*INDEX(LM_Elder,G2188)+INDEX(v01_ShamanPerSett,G2188)*v01_OutShaman)+Z2188*(INDEX(v01_PriestShare,G2188)*v01_OutPriest+INDEX(v01_ScribeShare,G2188)*v01_OutScribe*INDEX(LM_Scribe,G2188)+INDEX(v01_ScholarShare,G2188)*v01_OutScholar*INDEX(LM_Scholar,G2188)+INDEX(v01_ResearcherShare,G2188)*v01_OutResearcher*INDEX(LM_Researcher,G2188)))</x:f>
        <x:v>0</x:v>
      </x:c>
      <x:c r="AL2188" s="32" t="n">
        <x:f>H2188*v01_RoleScale*Arch_Roles*AE2188*INDEX(v01_MonasteryPerSett,G2188)*v01_OutMonastery*INDEX(LM_Monastery,G2188)</x:f>
        <x:v>0</x:v>
      </x:c>
      <x:c r="AM2188" s="32" t="n">
        <x:f>(AJ2188+AK2188+AL2188)/4*INDEX(LM_All,G2188)*INDEX(v01_Boon,G2188)*Arch_Insight</x:f>
        <x:v>0</x:v>
      </x:c>
      <x:c r="AN2188" s="32" t="n">
        <x:f>H2188*(v01_KHPerAdult*Z2188+v01_KHOfCommons*AJ2188/4*INDEX(LM_All,G2188))*v01_KHUsable*Arch_KH</x:f>
        <x:v>0</x:v>
      </x:c>
      <x:c r="AO2188" s="32" t="n">
        <x:f>MIN(AP2187+AN2188,AM2188*v01_KHMaxRatio)</x:f>
        <x:v>0</x:v>
      </x:c>
      <x:c r="AP2188" s="32" t="n">
        <x:f>AP2187+AN2188-AO2188</x:f>
        <x:v>0</x:v>
      </x:c>
      <x:c r="AQ2188" s="32" t="n">
        <x:f>AM2188+AO2188</x:f>
        <x:v>0</x:v>
      </x:c>
      <x:c r="AR2188" s="10" t="n">
        <x:f>IF(H2188=1,INDEX(v01_Req,G2188),0)</x:f>
        <x:v>0</x:v>
      </x:c>
      <x:c r="AS2188" s="32" t="n">
        <x:f>IF(H2188=1,IF(E2188=1,AS2187-AR2187,AS2187)+AQ2188,0)</x:f>
        <x:v>0</x:v>
      </x:c>
      <x:c r="AT2188" s="11" t="n">
        <x:f>IF(AR2188&gt;0,MIN(1,AS2188/AR2188),1)</x:f>
        <x:v>1</x:v>
      </x:c>
      <x:c r="AU2188" s="10" t="n">
        <x:f>AB2188/INDEX(v01_RepScale,G2188)</x:f>
        <x:v>90.09519605746344</x:v>
      </x:c>
      <x:c r="AV2188" s="32" t="n">
        <x:f>AM2188*60/v01_SeasonSeconds</x:f>
        <x:v>0</x:v>
      </x:c>
    </x:row>
    <x:row r="2189">
      <x:c r="A2189" s="8" t="n">
        <x:f>A2188+1</x:f>
        <x:v>2186</x:v>
      </x:c>
      <x:c r="B2189" s="9" t="n">
        <x:f>A2189*v01_SeasonSeconds/60</x:f>
        <x:v>546.5</x:v>
      </x:c>
      <x:c r="C2189" s="9" t="n">
        <x:f>A2189/4</x:f>
        <x:v>546.5</x:v>
      </x:c>
      <x:c r="D2189" s="8" t="n">
        <x:f>IF(MOD(A2189,4)=0,1,0)</x:f>
        <x:v>0</x:v>
      </x:c>
      <x:c r="E2189" s="8" t="n">
        <x:f>IF(AND(F2188&lt;=9,AS2188&gt;=AR2188),1,0)</x:f>
        <x:v>0</x:v>
      </x:c>
      <x:c r="F2189" s="8" t="n">
        <x:f>MIN(10,F2188+E2189)</x:f>
        <x:v>10</x:v>
      </x:c>
      <x:c r="G2189" s="8" t="n">
        <x:f>MIN(F2189,9)+1</x:f>
        <x:v>10</x:v>
      </x:c>
      <x:c r="H2189" s="8" t="n">
        <x:f>IF(F2189&lt;=9,1,0)</x:f>
        <x:v>0</x:v>
      </x:c>
      <x:c r="I2189" s="9" t="n">
        <x:f>MIN(10,F2188+IF(AR2188&gt;0,MIN(1,AS2188/AR2188),1))</x:f>
        <x:v>10</x:v>
      </x:c>
      <x:c r="J2189" s="32" t="n">
        <x:f>INDEX(v01_FoodCap,G2189)*Arch_FoodCap*EXP(v01_CapsByProject*SUMPRODUCT((Cap_Point&lt;=I2189)*(Cap_Kind="Food")*Cap_Ln))</x:f>
        <x:v>12000</x:v>
      </x:c>
      <x:c r="K2189" s="32" t="n">
        <x:f>J2189*MIN(1,v01_LeanBase*EXP(v01_CapsByProject*SUMPRODUCT((Cap_Point&lt;=I2189)*(Cap_Kind="Lean")*Cap_Ln)))</x:f>
        <x:v>12000</x:v>
      </x:c>
      <x:c r="L2189" s="10" t="n">
        <x:f>INDEX(v01_HousingCap,G2189)*EXP(v01_CapsByProject*SUMPRODUCT((Cap_Point&lt;=I2189)*(Cap_Kind="Housing")*Cap_Ln))</x:f>
        <x:v>20000</x:v>
      </x:c>
      <x:c r="M2189" s="10" t="n">
        <x:f>INDEX(v01_GroupCap,G2189)*v01_CohesionFactor*EXP(v01_CapsByProject*SUMPRODUCT((Cap_Point&lt;=I2189)*(Cap_Kind="Group")*Cap_Ln))</x:f>
        <x:v>1000000</x:v>
      </x:c>
      <x:c r="N2189" s="32" t="n">
        <x:f>MIN(J2189,L2189,M2189)</x:f>
        <x:v>12000</x:v>
      </x:c>
      <x:c r="O2189" s="10" t="n">
        <x:f>AE2188*N2189</x:f>
        <x:v>180000</x:v>
      </x:c>
      <x:c r="P2189" s="9" t="n">
        <x:f>MIN(1,(AB2188/(AE2188*IF(v01_GroupInCrowding=1,N2189,MIN(J2189,L2189))))^v01_CrowdingExp)</x:f>
        <x:v>0.00024569414295285325</x:v>
      </x:c>
      <x:c r="Q2189" s="9" t="n">
        <x:f>IF(D2189=1,INDEX(v01_WinterMult,G2189),1)</x:f>
        <x:v>1</x:v>
      </x:c>
      <x:c r="R2189" s="9" t="n">
        <x:f>H2189*Z2188*v01_WomenShare*v01_BaseFertility*INDEX(v01_FertMult,G2189)*Arch_Fertility*(1-P2189)</x:f>
        <x:v>0</x:v>
      </x:c>
      <x:c r="S2189" s="9" t="n">
        <x:f>H2189*Y2188*INDEX(v01_MortChild,G2189)/4*Q2189</x:f>
        <x:v>0</x:v>
      </x:c>
      <x:c r="T2189" s="9" t="n">
        <x:f>H2189*Z2188*INDEX(v01_MortAdult,G2189)*Arch_AdultMort/4*Q2189</x:f>
        <x:v>0</x:v>
      </x:c>
      <x:c r="U2189" s="9" t="n">
        <x:f>H2189*AA2188*INDEX(v01_MortElder,G2189)/4*Q2189</x:f>
        <x:v>0</x:v>
      </x:c>
      <x:c r="V2189" s="9" t="n">
        <x:f>H2189*MAX(0,AB2188-O2189)*v01_OvercapLoss</x:f>
        <x:v>0</x:v>
      </x:c>
      <x:c r="W2189" s="9" t="n">
        <x:f>H2189*Y2188/(v01_ChildYears*4)</x:f>
        <x:v>0</x:v>
      </x:c>
      <x:c r="X2189" s="9" t="n">
        <x:f>H2189*Z2188/(v01_AdultYears*4)</x:f>
        <x:v>0</x:v>
      </x:c>
      <x:c r="Y2189" s="32" t="n">
        <x:f>Y2188+R2189-S2189-W2189-Y2188*V2189/AB2188</x:f>
        <x:v>14306.18539759397</x:v>
      </x:c>
      <x:c r="Z2189" s="32" t="n">
        <x:f>Z2188+W2189-X2189-T2189-Z2188*V2189/AB2188</x:f>
        <x:v>19354.456567879548</x:v>
      </x:c>
      <x:c r="AA2189" s="32" t="n">
        <x:f>AA2188+X2189-U2189-AA2188*V2189/AB2188</x:f>
        <x:v>11386.956063258198</x:v>
      </x:c>
      <x:c r="AB2189" s="10" t="n">
        <x:f>Y2189+Z2189+AA2189</x:f>
        <x:v>45047.59802873172</x:v>
      </x:c>
      <x:c r="AC2189" s="8" t="n">
        <x:f>IF(AND(v01_WinterTrigger=1,D2189=1,AB2188/AE2188&gt;=K2189),1,0)</x:f>
        <x:v>0</x:v>
      </x:c>
      <x:c r="AD2189" s="8" t="n">
        <x:f>H2189*IF(AND(OR(AB2188/AE2188&gt;=v01_FissionTrigger*N2189,AC2189=1),AB2188/AE2188*v01_DaughterShare&gt;=v01_MinDaughter),MAX(1,ROUND(AE2188*v01_FissionRate,0)),0)</x:f>
        <x:v>0</x:v>
      </x:c>
      <x:c r="AE2189" s="8" t="n">
        <x:f>IF(H2189=1,MAX(1,MIN(INDEX(v01_Smax,G2189),AE2188+AD2189)),AE2188)</x:f>
        <x:v>15</x:v>
      </x:c>
      <x:c r="AF2189" s="8" t="n">
        <x:f>MAX(0,AE2189-AE2188)</x:f>
        <x:v>0</x:v>
      </x:c>
      <x:c r="AG2189" s="9" t="str">
        <x:f>IF(AF2189&gt;0,B2189,"")</x:f>
      </x:c>
      <x:c r="AH2189" s="9" t="n">
        <x:f>IF(F2189&gt;=1,1,(1+v01_LowTiesShare*(AE2189-1))/AE2189)</x:f>
        <x:v>1</x:v>
      </x:c>
      <x:c r="AI2189" s="32" t="n">
        <x:f>(Z2189+v01_ElderCommons*INDEX(LM_Elder,G2189)*AA2189)*AH2189</x:f>
        <x:v>64139.732591141874</x:v>
      </x:c>
      <x:c r="AJ2189" s="32" t="n">
        <x:f>H2189*v01_CommonsCoef*AI2189^v01_CommonsExp*INDEX(LM_Commons,G2189)</x:f>
        <x:v>0</x:v>
      </x:c>
      <x:c r="AK2189" s="32" t="n">
        <x:f>H2189*v01_RoleScale*Arch_Roles*(AE2189*(INDEX(v01_ElderRolePerSett,G2189)*v01_OutElder*INDEX(LM_Elder,G2189)+INDEX(v01_ShamanPerSett,G2189)*v01_OutShaman)+Z2189*(INDEX(v01_PriestShare,G2189)*v01_OutPriest+INDEX(v01_ScribeShare,G2189)*v01_OutScribe*INDEX(LM_Scribe,G2189)+INDEX(v01_ScholarShare,G2189)*v01_OutScholar*INDEX(LM_Scholar,G2189)+INDEX(v01_ResearcherShare,G2189)*v01_OutResearcher*INDEX(LM_Researcher,G2189)))</x:f>
        <x:v>0</x:v>
      </x:c>
      <x:c r="AL2189" s="32" t="n">
        <x:f>H2189*v01_RoleScale*Arch_Roles*AE2189*INDEX(v01_MonasteryPerSett,G2189)*v01_OutMonastery*INDEX(LM_Monastery,G2189)</x:f>
        <x:v>0</x:v>
      </x:c>
      <x:c r="AM2189" s="32" t="n">
        <x:f>(AJ2189+AK2189+AL2189)/4*INDEX(LM_All,G2189)*INDEX(v01_Boon,G2189)*Arch_Insight</x:f>
        <x:v>0</x:v>
      </x:c>
      <x:c r="AN2189" s="32" t="n">
        <x:f>H2189*(v01_KHPerAdult*Z2189+v01_KHOfCommons*AJ2189/4*INDEX(LM_All,G2189))*v01_KHUsable*Arch_KH</x:f>
        <x:v>0</x:v>
      </x:c>
      <x:c r="AO2189" s="32" t="n">
        <x:f>MIN(AP2188+AN2189,AM2189*v01_KHMaxRatio)</x:f>
        <x:v>0</x:v>
      </x:c>
      <x:c r="AP2189" s="32" t="n">
        <x:f>AP2188+AN2189-AO2189</x:f>
        <x:v>0</x:v>
      </x:c>
      <x:c r="AQ2189" s="32" t="n">
        <x:f>AM2189+AO2189</x:f>
        <x:v>0</x:v>
      </x:c>
      <x:c r="AR2189" s="10" t="n">
        <x:f>IF(H2189=1,INDEX(v01_Req,G2189),0)</x:f>
        <x:v>0</x:v>
      </x:c>
      <x:c r="AS2189" s="32" t="n">
        <x:f>IF(H2189=1,IF(E2189=1,AS2188-AR2188,AS2188)+AQ2189,0)</x:f>
        <x:v>0</x:v>
      </x:c>
      <x:c r="AT2189" s="11" t="n">
        <x:f>IF(AR2189&gt;0,MIN(1,AS2189/AR2189),1)</x:f>
        <x:v>1</x:v>
      </x:c>
      <x:c r="AU2189" s="10" t="n">
        <x:f>AB2189/INDEX(v01_RepScale,G2189)</x:f>
        <x:v>90.09519605746344</x:v>
      </x:c>
      <x:c r="AV2189" s="32" t="n">
        <x:f>AM2189*60/v01_SeasonSeconds</x:f>
        <x:v>0</x:v>
      </x:c>
    </x:row>
    <x:row r="2190">
      <x:c r="A2190" s="8" t="n">
        <x:f>A2189+1</x:f>
        <x:v>2187</x:v>
      </x:c>
      <x:c r="B2190" s="9" t="n">
        <x:f>A2190*v01_SeasonSeconds/60</x:f>
        <x:v>546.75</x:v>
      </x:c>
      <x:c r="C2190" s="9" t="n">
        <x:f>A2190/4</x:f>
        <x:v>546.75</x:v>
      </x:c>
      <x:c r="D2190" s="8" t="n">
        <x:f>IF(MOD(A2190,4)=0,1,0)</x:f>
        <x:v>0</x:v>
      </x:c>
      <x:c r="E2190" s="8" t="n">
        <x:f>IF(AND(F2189&lt;=9,AS2189&gt;=AR2189),1,0)</x:f>
        <x:v>0</x:v>
      </x:c>
      <x:c r="F2190" s="8" t="n">
        <x:f>MIN(10,F2189+E2190)</x:f>
        <x:v>10</x:v>
      </x:c>
      <x:c r="G2190" s="8" t="n">
        <x:f>MIN(F2190,9)+1</x:f>
        <x:v>10</x:v>
      </x:c>
      <x:c r="H2190" s="8" t="n">
        <x:f>IF(F2190&lt;=9,1,0)</x:f>
        <x:v>0</x:v>
      </x:c>
      <x:c r="I2190" s="9" t="n">
        <x:f>MIN(10,F2189+IF(AR2189&gt;0,MIN(1,AS2189/AR2189),1))</x:f>
        <x:v>10</x:v>
      </x:c>
      <x:c r="J2190" s="32" t="n">
        <x:f>INDEX(v01_FoodCap,G2190)*Arch_FoodCap*EXP(v01_CapsByProject*SUMPRODUCT((Cap_Point&lt;=I2190)*(Cap_Kind="Food")*Cap_Ln))</x:f>
        <x:v>12000</x:v>
      </x:c>
      <x:c r="K2190" s="32" t="n">
        <x:f>J2190*MIN(1,v01_LeanBase*EXP(v01_CapsByProject*SUMPRODUCT((Cap_Point&lt;=I2190)*(Cap_Kind="Lean")*Cap_Ln)))</x:f>
        <x:v>12000</x:v>
      </x:c>
      <x:c r="L2190" s="10" t="n">
        <x:f>INDEX(v01_HousingCap,G2190)*EXP(v01_CapsByProject*SUMPRODUCT((Cap_Point&lt;=I2190)*(Cap_Kind="Housing")*Cap_Ln))</x:f>
        <x:v>20000</x:v>
      </x:c>
      <x:c r="M2190" s="10" t="n">
        <x:f>INDEX(v01_GroupCap,G2190)*v01_CohesionFactor*EXP(v01_CapsByProject*SUMPRODUCT((Cap_Point&lt;=I2190)*(Cap_Kind="Group")*Cap_Ln))</x:f>
        <x:v>1000000</x:v>
      </x:c>
      <x:c r="N2190" s="32" t="n">
        <x:f>MIN(J2190,L2190,M2190)</x:f>
        <x:v>12000</x:v>
      </x:c>
      <x:c r="O2190" s="10" t="n">
        <x:f>AE2189*N2190</x:f>
        <x:v>180000</x:v>
      </x:c>
      <x:c r="P2190" s="9" t="n">
        <x:f>MIN(1,(AB2189/(AE2189*IF(v01_GroupInCrowding=1,N2190,MIN(J2190,L2190))))^v01_CrowdingExp)</x:f>
        <x:v>0.00024569414295285325</x:v>
      </x:c>
      <x:c r="Q2190" s="9" t="n">
        <x:f>IF(D2190=1,INDEX(v01_WinterMult,G2190),1)</x:f>
        <x:v>1</x:v>
      </x:c>
      <x:c r="R2190" s="9" t="n">
        <x:f>H2190*Z2189*v01_WomenShare*v01_BaseFertility*INDEX(v01_FertMult,G2190)*Arch_Fertility*(1-P2190)</x:f>
        <x:v>0</x:v>
      </x:c>
      <x:c r="S2190" s="9" t="n">
        <x:f>H2190*Y2189*INDEX(v01_MortChild,G2190)/4*Q2190</x:f>
        <x:v>0</x:v>
      </x:c>
      <x:c r="T2190" s="9" t="n">
        <x:f>H2190*Z2189*INDEX(v01_MortAdult,G2190)*Arch_AdultMort/4*Q2190</x:f>
        <x:v>0</x:v>
      </x:c>
      <x:c r="U2190" s="9" t="n">
        <x:f>H2190*AA2189*INDEX(v01_MortElder,G2190)/4*Q2190</x:f>
        <x:v>0</x:v>
      </x:c>
      <x:c r="V2190" s="9" t="n">
        <x:f>H2190*MAX(0,AB2189-O2190)*v01_OvercapLoss</x:f>
        <x:v>0</x:v>
      </x:c>
      <x:c r="W2190" s="9" t="n">
        <x:f>H2190*Y2189/(v01_ChildYears*4)</x:f>
        <x:v>0</x:v>
      </x:c>
      <x:c r="X2190" s="9" t="n">
        <x:f>H2190*Z2189/(v01_AdultYears*4)</x:f>
        <x:v>0</x:v>
      </x:c>
      <x:c r="Y2190" s="32" t="n">
        <x:f>Y2189+R2190-S2190-W2190-Y2189*V2190/AB2189</x:f>
        <x:v>14306.18539759397</x:v>
      </x:c>
      <x:c r="Z2190" s="32" t="n">
        <x:f>Z2189+W2190-X2190-T2190-Z2189*V2190/AB2189</x:f>
        <x:v>19354.456567879548</x:v>
      </x:c>
      <x:c r="AA2190" s="32" t="n">
        <x:f>AA2189+X2190-U2190-AA2189*V2190/AB2189</x:f>
        <x:v>11386.956063258198</x:v>
      </x:c>
      <x:c r="AB2190" s="10" t="n">
        <x:f>Y2190+Z2190+AA2190</x:f>
        <x:v>45047.59802873172</x:v>
      </x:c>
      <x:c r="AC2190" s="8" t="n">
        <x:f>IF(AND(v01_WinterTrigger=1,D2190=1,AB2189/AE2189&gt;=K2190),1,0)</x:f>
        <x:v>0</x:v>
      </x:c>
      <x:c r="AD2190" s="8" t="n">
        <x:f>H2190*IF(AND(OR(AB2189/AE2189&gt;=v01_FissionTrigger*N2190,AC2190=1),AB2189/AE2189*v01_DaughterShare&gt;=v01_MinDaughter),MAX(1,ROUND(AE2189*v01_FissionRate,0)),0)</x:f>
        <x:v>0</x:v>
      </x:c>
      <x:c r="AE2190" s="8" t="n">
        <x:f>IF(H2190=1,MAX(1,MIN(INDEX(v01_Smax,G2190),AE2189+AD2190)),AE2189)</x:f>
        <x:v>15</x:v>
      </x:c>
      <x:c r="AF2190" s="8" t="n">
        <x:f>MAX(0,AE2190-AE2189)</x:f>
        <x:v>0</x:v>
      </x:c>
      <x:c r="AG2190" s="9" t="str">
        <x:f>IF(AF2190&gt;0,B2190,"")</x:f>
      </x:c>
      <x:c r="AH2190" s="9" t="n">
        <x:f>IF(F2190&gt;=1,1,(1+v01_LowTiesShare*(AE2190-1))/AE2190)</x:f>
        <x:v>1</x:v>
      </x:c>
      <x:c r="AI2190" s="32" t="n">
        <x:f>(Z2190+v01_ElderCommons*INDEX(LM_Elder,G2190)*AA2190)*AH2190</x:f>
        <x:v>64139.732591141874</x:v>
      </x:c>
      <x:c r="AJ2190" s="32" t="n">
        <x:f>H2190*v01_CommonsCoef*AI2190^v01_CommonsExp*INDEX(LM_Commons,G2190)</x:f>
        <x:v>0</x:v>
      </x:c>
      <x:c r="AK2190" s="32" t="n">
        <x:f>H2190*v01_RoleScale*Arch_Roles*(AE2190*(INDEX(v01_ElderRolePerSett,G2190)*v01_OutElder*INDEX(LM_Elder,G2190)+INDEX(v01_ShamanPerSett,G2190)*v01_OutShaman)+Z2190*(INDEX(v01_PriestShare,G2190)*v01_OutPriest+INDEX(v01_ScribeShare,G2190)*v01_OutScribe*INDEX(LM_Scribe,G2190)+INDEX(v01_ScholarShare,G2190)*v01_OutScholar*INDEX(LM_Scholar,G2190)+INDEX(v01_ResearcherShare,G2190)*v01_OutResearcher*INDEX(LM_Researcher,G2190)))</x:f>
        <x:v>0</x:v>
      </x:c>
      <x:c r="AL2190" s="32" t="n">
        <x:f>H2190*v01_RoleScale*Arch_Roles*AE2190*INDEX(v01_MonasteryPerSett,G2190)*v01_OutMonastery*INDEX(LM_Monastery,G2190)</x:f>
        <x:v>0</x:v>
      </x:c>
      <x:c r="AM2190" s="32" t="n">
        <x:f>(AJ2190+AK2190+AL2190)/4*INDEX(LM_All,G2190)*INDEX(v01_Boon,G2190)*Arch_Insight</x:f>
        <x:v>0</x:v>
      </x:c>
      <x:c r="AN2190" s="32" t="n">
        <x:f>H2190*(v01_KHPerAdult*Z2190+v01_KHOfCommons*AJ2190/4*INDEX(LM_All,G2190))*v01_KHUsable*Arch_KH</x:f>
        <x:v>0</x:v>
      </x:c>
      <x:c r="AO2190" s="32" t="n">
        <x:f>MIN(AP2189+AN2190,AM2190*v01_KHMaxRatio)</x:f>
        <x:v>0</x:v>
      </x:c>
      <x:c r="AP2190" s="32" t="n">
        <x:f>AP2189+AN2190-AO2190</x:f>
        <x:v>0</x:v>
      </x:c>
      <x:c r="AQ2190" s="32" t="n">
        <x:f>AM2190+AO2190</x:f>
        <x:v>0</x:v>
      </x:c>
      <x:c r="AR2190" s="10" t="n">
        <x:f>IF(H2190=1,INDEX(v01_Req,G2190),0)</x:f>
        <x:v>0</x:v>
      </x:c>
      <x:c r="AS2190" s="32" t="n">
        <x:f>IF(H2190=1,IF(E2190=1,AS2189-AR2189,AS2189)+AQ2190,0)</x:f>
        <x:v>0</x:v>
      </x:c>
      <x:c r="AT2190" s="11" t="n">
        <x:f>IF(AR2190&gt;0,MIN(1,AS2190/AR2190),1)</x:f>
        <x:v>1</x:v>
      </x:c>
      <x:c r="AU2190" s="10" t="n">
        <x:f>AB2190/INDEX(v01_RepScale,G2190)</x:f>
        <x:v>90.09519605746344</x:v>
      </x:c>
      <x:c r="AV2190" s="32" t="n">
        <x:f>AM2190*60/v01_SeasonSeconds</x:f>
        <x:v>0</x:v>
      </x:c>
    </x:row>
    <x:row r="2191">
      <x:c r="A2191" s="8" t="n">
        <x:f>A2190+1</x:f>
        <x:v>2188</x:v>
      </x:c>
      <x:c r="B2191" s="9" t="n">
        <x:f>A2191*v01_SeasonSeconds/60</x:f>
        <x:v>547</x:v>
      </x:c>
      <x:c r="C2191" s="9" t="n">
        <x:f>A2191/4</x:f>
        <x:v>547</x:v>
      </x:c>
      <x:c r="D2191" s="8" t="n">
        <x:f>IF(MOD(A2191,4)=0,1,0)</x:f>
        <x:v>1</x:v>
      </x:c>
      <x:c r="E2191" s="8" t="n">
        <x:f>IF(AND(F2190&lt;=9,AS2190&gt;=AR2190),1,0)</x:f>
        <x:v>0</x:v>
      </x:c>
      <x:c r="F2191" s="8" t="n">
        <x:f>MIN(10,F2190+E2191)</x:f>
        <x:v>10</x:v>
      </x:c>
      <x:c r="G2191" s="8" t="n">
        <x:f>MIN(F2191,9)+1</x:f>
        <x:v>10</x:v>
      </x:c>
      <x:c r="H2191" s="8" t="n">
        <x:f>IF(F2191&lt;=9,1,0)</x:f>
        <x:v>0</x:v>
      </x:c>
      <x:c r="I2191" s="9" t="n">
        <x:f>MIN(10,F2190+IF(AR2190&gt;0,MIN(1,AS2190/AR2190),1))</x:f>
        <x:v>10</x:v>
      </x:c>
      <x:c r="J2191" s="32" t="n">
        <x:f>INDEX(v01_FoodCap,G2191)*Arch_FoodCap*EXP(v01_CapsByProject*SUMPRODUCT((Cap_Point&lt;=I2191)*(Cap_Kind="Food")*Cap_Ln))</x:f>
        <x:v>12000</x:v>
      </x:c>
      <x:c r="K2191" s="32" t="n">
        <x:f>J2191*MIN(1,v01_LeanBase*EXP(v01_CapsByProject*SUMPRODUCT((Cap_Point&lt;=I2191)*(Cap_Kind="Lean")*Cap_Ln)))</x:f>
        <x:v>12000</x:v>
      </x:c>
      <x:c r="L2191" s="10" t="n">
        <x:f>INDEX(v01_HousingCap,G2191)*EXP(v01_CapsByProject*SUMPRODUCT((Cap_Point&lt;=I2191)*(Cap_Kind="Housing")*Cap_Ln))</x:f>
        <x:v>20000</x:v>
      </x:c>
      <x:c r="M2191" s="10" t="n">
        <x:f>INDEX(v01_GroupCap,G2191)*v01_CohesionFactor*EXP(v01_CapsByProject*SUMPRODUCT((Cap_Point&lt;=I2191)*(Cap_Kind="Group")*Cap_Ln))</x:f>
        <x:v>1000000</x:v>
      </x:c>
      <x:c r="N2191" s="32" t="n">
        <x:f>MIN(J2191,L2191,M2191)</x:f>
        <x:v>12000</x:v>
      </x:c>
      <x:c r="O2191" s="10" t="n">
        <x:f>AE2190*N2191</x:f>
        <x:v>180000</x:v>
      </x:c>
      <x:c r="P2191" s="9" t="n">
        <x:f>MIN(1,(AB2190/(AE2190*IF(v01_GroupInCrowding=1,N2191,MIN(J2191,L2191))))^v01_CrowdingExp)</x:f>
        <x:v>0.00024569414295285325</x:v>
      </x:c>
      <x:c r="Q2191" s="9" t="n">
        <x:f>IF(D2191=1,INDEX(v01_WinterMult,G2191),1)</x:f>
        <x:v>1</x:v>
      </x:c>
      <x:c r="R2191" s="9" t="n">
        <x:f>H2191*Z2190*v01_WomenShare*v01_BaseFertility*INDEX(v01_FertMult,G2191)*Arch_Fertility*(1-P2191)</x:f>
        <x:v>0</x:v>
      </x:c>
      <x:c r="S2191" s="9" t="n">
        <x:f>H2191*Y2190*INDEX(v01_MortChild,G2191)/4*Q2191</x:f>
        <x:v>0</x:v>
      </x:c>
      <x:c r="T2191" s="9" t="n">
        <x:f>H2191*Z2190*INDEX(v01_MortAdult,G2191)*Arch_AdultMort/4*Q2191</x:f>
        <x:v>0</x:v>
      </x:c>
      <x:c r="U2191" s="9" t="n">
        <x:f>H2191*AA2190*INDEX(v01_MortElder,G2191)/4*Q2191</x:f>
        <x:v>0</x:v>
      </x:c>
      <x:c r="V2191" s="9" t="n">
        <x:f>H2191*MAX(0,AB2190-O2191)*v01_OvercapLoss</x:f>
        <x:v>0</x:v>
      </x:c>
      <x:c r="W2191" s="9" t="n">
        <x:f>H2191*Y2190/(v01_ChildYears*4)</x:f>
        <x:v>0</x:v>
      </x:c>
      <x:c r="X2191" s="9" t="n">
        <x:f>H2191*Z2190/(v01_AdultYears*4)</x:f>
        <x:v>0</x:v>
      </x:c>
      <x:c r="Y2191" s="32" t="n">
        <x:f>Y2190+R2191-S2191-W2191-Y2190*V2191/AB2190</x:f>
        <x:v>14306.18539759397</x:v>
      </x:c>
      <x:c r="Z2191" s="32" t="n">
        <x:f>Z2190+W2191-X2191-T2191-Z2190*V2191/AB2190</x:f>
        <x:v>19354.456567879548</x:v>
      </x:c>
      <x:c r="AA2191" s="32" t="n">
        <x:f>AA2190+X2191-U2191-AA2190*V2191/AB2190</x:f>
        <x:v>11386.956063258198</x:v>
      </x:c>
      <x:c r="AB2191" s="10" t="n">
        <x:f>Y2191+Z2191+AA2191</x:f>
        <x:v>45047.59802873172</x:v>
      </x:c>
      <x:c r="AC2191" s="8" t="n">
        <x:f>IF(AND(v01_WinterTrigger=1,D2191=1,AB2190/AE2190&gt;=K2191),1,0)</x:f>
        <x:v>0</x:v>
      </x:c>
      <x:c r="AD2191" s="8" t="n">
        <x:f>H2191*IF(AND(OR(AB2190/AE2190&gt;=v01_FissionTrigger*N2191,AC2191=1),AB2190/AE2190*v01_DaughterShare&gt;=v01_MinDaughter),MAX(1,ROUND(AE2190*v01_FissionRate,0)),0)</x:f>
        <x:v>0</x:v>
      </x:c>
      <x:c r="AE2191" s="8" t="n">
        <x:f>IF(H2191=1,MAX(1,MIN(INDEX(v01_Smax,G2191),AE2190+AD2191)),AE2190)</x:f>
        <x:v>15</x:v>
      </x:c>
      <x:c r="AF2191" s="8" t="n">
        <x:f>MAX(0,AE2191-AE2190)</x:f>
        <x:v>0</x:v>
      </x:c>
      <x:c r="AG2191" s="9" t="str">
        <x:f>IF(AF2191&gt;0,B2191,"")</x:f>
      </x:c>
      <x:c r="AH2191" s="9" t="n">
        <x:f>IF(F2191&gt;=1,1,(1+v01_LowTiesShare*(AE2191-1))/AE2191)</x:f>
        <x:v>1</x:v>
      </x:c>
      <x:c r="AI2191" s="32" t="n">
        <x:f>(Z2191+v01_ElderCommons*INDEX(LM_Elder,G2191)*AA2191)*AH2191</x:f>
        <x:v>64139.732591141874</x:v>
      </x:c>
      <x:c r="AJ2191" s="32" t="n">
        <x:f>H2191*v01_CommonsCoef*AI2191^v01_CommonsExp*INDEX(LM_Commons,G2191)</x:f>
        <x:v>0</x:v>
      </x:c>
      <x:c r="AK2191" s="32" t="n">
        <x:f>H2191*v01_RoleScale*Arch_Roles*(AE2191*(INDEX(v01_ElderRolePerSett,G2191)*v01_OutElder*INDEX(LM_Elder,G2191)+INDEX(v01_ShamanPerSett,G2191)*v01_OutShaman)+Z2191*(INDEX(v01_PriestShare,G2191)*v01_OutPriest+INDEX(v01_ScribeShare,G2191)*v01_OutScribe*INDEX(LM_Scribe,G2191)+INDEX(v01_ScholarShare,G2191)*v01_OutScholar*INDEX(LM_Scholar,G2191)+INDEX(v01_ResearcherShare,G2191)*v01_OutResearcher*INDEX(LM_Researcher,G2191)))</x:f>
        <x:v>0</x:v>
      </x:c>
      <x:c r="AL2191" s="32" t="n">
        <x:f>H2191*v01_RoleScale*Arch_Roles*AE2191*INDEX(v01_MonasteryPerSett,G2191)*v01_OutMonastery*INDEX(LM_Monastery,G2191)</x:f>
        <x:v>0</x:v>
      </x:c>
      <x:c r="AM2191" s="32" t="n">
        <x:f>(AJ2191+AK2191+AL2191)/4*INDEX(LM_All,G2191)*INDEX(v01_Boon,G2191)*Arch_Insight</x:f>
        <x:v>0</x:v>
      </x:c>
      <x:c r="AN2191" s="32" t="n">
        <x:f>H2191*(v01_KHPerAdult*Z2191+v01_KHOfCommons*AJ2191/4*INDEX(LM_All,G2191))*v01_KHUsable*Arch_KH</x:f>
        <x:v>0</x:v>
      </x:c>
      <x:c r="AO2191" s="32" t="n">
        <x:f>MIN(AP2190+AN2191,AM2191*v01_KHMaxRatio)</x:f>
        <x:v>0</x:v>
      </x:c>
      <x:c r="AP2191" s="32" t="n">
        <x:f>AP2190+AN2191-AO2191</x:f>
        <x:v>0</x:v>
      </x:c>
      <x:c r="AQ2191" s="32" t="n">
        <x:f>AM2191+AO2191</x:f>
        <x:v>0</x:v>
      </x:c>
      <x:c r="AR2191" s="10" t="n">
        <x:f>IF(H2191=1,INDEX(v01_Req,G2191),0)</x:f>
        <x:v>0</x:v>
      </x:c>
      <x:c r="AS2191" s="32" t="n">
        <x:f>IF(H2191=1,IF(E2191=1,AS2190-AR2190,AS2190)+AQ2191,0)</x:f>
        <x:v>0</x:v>
      </x:c>
      <x:c r="AT2191" s="11" t="n">
        <x:f>IF(AR2191&gt;0,MIN(1,AS2191/AR2191),1)</x:f>
        <x:v>1</x:v>
      </x:c>
      <x:c r="AU2191" s="10" t="n">
        <x:f>AB2191/INDEX(v01_RepScale,G2191)</x:f>
        <x:v>90.09519605746344</x:v>
      </x:c>
      <x:c r="AV2191" s="32" t="n">
        <x:f>AM2191*60/v01_SeasonSeconds</x:f>
        <x:v>0</x:v>
      </x:c>
    </x:row>
    <x:row r="2192">
      <x:c r="A2192" s="8" t="n">
        <x:f>A2191+1</x:f>
        <x:v>2189</x:v>
      </x:c>
      <x:c r="B2192" s="9" t="n">
        <x:f>A2192*v01_SeasonSeconds/60</x:f>
        <x:v>547.25</x:v>
      </x:c>
      <x:c r="C2192" s="9" t="n">
        <x:f>A2192/4</x:f>
        <x:v>547.25</x:v>
      </x:c>
      <x:c r="D2192" s="8" t="n">
        <x:f>IF(MOD(A2192,4)=0,1,0)</x:f>
        <x:v>0</x:v>
      </x:c>
      <x:c r="E2192" s="8" t="n">
        <x:f>IF(AND(F2191&lt;=9,AS2191&gt;=AR2191),1,0)</x:f>
        <x:v>0</x:v>
      </x:c>
      <x:c r="F2192" s="8" t="n">
        <x:f>MIN(10,F2191+E2192)</x:f>
        <x:v>10</x:v>
      </x:c>
      <x:c r="G2192" s="8" t="n">
        <x:f>MIN(F2192,9)+1</x:f>
        <x:v>10</x:v>
      </x:c>
      <x:c r="H2192" s="8" t="n">
        <x:f>IF(F2192&lt;=9,1,0)</x:f>
        <x:v>0</x:v>
      </x:c>
      <x:c r="I2192" s="9" t="n">
        <x:f>MIN(10,F2191+IF(AR2191&gt;0,MIN(1,AS2191/AR2191),1))</x:f>
        <x:v>10</x:v>
      </x:c>
      <x:c r="J2192" s="32" t="n">
        <x:f>INDEX(v01_FoodCap,G2192)*Arch_FoodCap*EXP(v01_CapsByProject*SUMPRODUCT((Cap_Point&lt;=I2192)*(Cap_Kind="Food")*Cap_Ln))</x:f>
        <x:v>12000</x:v>
      </x:c>
      <x:c r="K2192" s="32" t="n">
        <x:f>J2192*MIN(1,v01_LeanBase*EXP(v01_CapsByProject*SUMPRODUCT((Cap_Point&lt;=I2192)*(Cap_Kind="Lean")*Cap_Ln)))</x:f>
        <x:v>12000</x:v>
      </x:c>
      <x:c r="L2192" s="10" t="n">
        <x:f>INDEX(v01_HousingCap,G2192)*EXP(v01_CapsByProject*SUMPRODUCT((Cap_Point&lt;=I2192)*(Cap_Kind="Housing")*Cap_Ln))</x:f>
        <x:v>20000</x:v>
      </x:c>
      <x:c r="M2192" s="10" t="n">
        <x:f>INDEX(v01_GroupCap,G2192)*v01_CohesionFactor*EXP(v01_CapsByProject*SUMPRODUCT((Cap_Point&lt;=I2192)*(Cap_Kind="Group")*Cap_Ln))</x:f>
        <x:v>1000000</x:v>
      </x:c>
      <x:c r="N2192" s="32" t="n">
        <x:f>MIN(J2192,L2192,M2192)</x:f>
        <x:v>12000</x:v>
      </x:c>
      <x:c r="O2192" s="10" t="n">
        <x:f>AE2191*N2192</x:f>
        <x:v>180000</x:v>
      </x:c>
      <x:c r="P2192" s="9" t="n">
        <x:f>MIN(1,(AB2191/(AE2191*IF(v01_GroupInCrowding=1,N2192,MIN(J2192,L2192))))^v01_CrowdingExp)</x:f>
        <x:v>0.00024569414295285325</x:v>
      </x:c>
      <x:c r="Q2192" s="9" t="n">
        <x:f>IF(D2192=1,INDEX(v01_WinterMult,G2192),1)</x:f>
        <x:v>1</x:v>
      </x:c>
      <x:c r="R2192" s="9" t="n">
        <x:f>H2192*Z2191*v01_WomenShare*v01_BaseFertility*INDEX(v01_FertMult,G2192)*Arch_Fertility*(1-P2192)</x:f>
        <x:v>0</x:v>
      </x:c>
      <x:c r="S2192" s="9" t="n">
        <x:f>H2192*Y2191*INDEX(v01_MortChild,G2192)/4*Q2192</x:f>
        <x:v>0</x:v>
      </x:c>
      <x:c r="T2192" s="9" t="n">
        <x:f>H2192*Z2191*INDEX(v01_MortAdult,G2192)*Arch_AdultMort/4*Q2192</x:f>
        <x:v>0</x:v>
      </x:c>
      <x:c r="U2192" s="9" t="n">
        <x:f>H2192*AA2191*INDEX(v01_MortElder,G2192)/4*Q2192</x:f>
        <x:v>0</x:v>
      </x:c>
      <x:c r="V2192" s="9" t="n">
        <x:f>H2192*MAX(0,AB2191-O2192)*v01_OvercapLoss</x:f>
        <x:v>0</x:v>
      </x:c>
      <x:c r="W2192" s="9" t="n">
        <x:f>H2192*Y2191/(v01_ChildYears*4)</x:f>
        <x:v>0</x:v>
      </x:c>
      <x:c r="X2192" s="9" t="n">
        <x:f>H2192*Z2191/(v01_AdultYears*4)</x:f>
        <x:v>0</x:v>
      </x:c>
      <x:c r="Y2192" s="32" t="n">
        <x:f>Y2191+R2192-S2192-W2192-Y2191*V2192/AB2191</x:f>
        <x:v>14306.18539759397</x:v>
      </x:c>
      <x:c r="Z2192" s="32" t="n">
        <x:f>Z2191+W2192-X2192-T2192-Z2191*V2192/AB2191</x:f>
        <x:v>19354.456567879548</x:v>
      </x:c>
      <x:c r="AA2192" s="32" t="n">
        <x:f>AA2191+X2192-U2192-AA2191*V2192/AB2191</x:f>
        <x:v>11386.956063258198</x:v>
      </x:c>
      <x:c r="AB2192" s="10" t="n">
        <x:f>Y2192+Z2192+AA2192</x:f>
        <x:v>45047.59802873172</x:v>
      </x:c>
      <x:c r="AC2192" s="8" t="n">
        <x:f>IF(AND(v01_WinterTrigger=1,D2192=1,AB2191/AE2191&gt;=K2192),1,0)</x:f>
        <x:v>0</x:v>
      </x:c>
      <x:c r="AD2192" s="8" t="n">
        <x:f>H2192*IF(AND(OR(AB2191/AE2191&gt;=v01_FissionTrigger*N2192,AC2192=1),AB2191/AE2191*v01_DaughterShare&gt;=v01_MinDaughter),MAX(1,ROUND(AE2191*v01_FissionRate,0)),0)</x:f>
        <x:v>0</x:v>
      </x:c>
      <x:c r="AE2192" s="8" t="n">
        <x:f>IF(H2192=1,MAX(1,MIN(INDEX(v01_Smax,G2192),AE2191+AD2192)),AE2191)</x:f>
        <x:v>15</x:v>
      </x:c>
      <x:c r="AF2192" s="8" t="n">
        <x:f>MAX(0,AE2192-AE2191)</x:f>
        <x:v>0</x:v>
      </x:c>
      <x:c r="AG2192" s="9" t="str">
        <x:f>IF(AF2192&gt;0,B2192,"")</x:f>
      </x:c>
      <x:c r="AH2192" s="9" t="n">
        <x:f>IF(F2192&gt;=1,1,(1+v01_LowTiesShare*(AE2192-1))/AE2192)</x:f>
        <x:v>1</x:v>
      </x:c>
      <x:c r="AI2192" s="32" t="n">
        <x:f>(Z2192+v01_ElderCommons*INDEX(LM_Elder,G2192)*AA2192)*AH2192</x:f>
        <x:v>64139.732591141874</x:v>
      </x:c>
      <x:c r="AJ2192" s="32" t="n">
        <x:f>H2192*v01_CommonsCoef*AI2192^v01_CommonsExp*INDEX(LM_Commons,G2192)</x:f>
        <x:v>0</x:v>
      </x:c>
      <x:c r="AK2192" s="32" t="n">
        <x:f>H2192*v01_RoleScale*Arch_Roles*(AE2192*(INDEX(v01_ElderRolePerSett,G2192)*v01_OutElder*INDEX(LM_Elder,G2192)+INDEX(v01_ShamanPerSett,G2192)*v01_OutShaman)+Z2192*(INDEX(v01_PriestShare,G2192)*v01_OutPriest+INDEX(v01_ScribeShare,G2192)*v01_OutScribe*INDEX(LM_Scribe,G2192)+INDEX(v01_ScholarShare,G2192)*v01_OutScholar*INDEX(LM_Scholar,G2192)+INDEX(v01_ResearcherShare,G2192)*v01_OutResearcher*INDEX(LM_Researcher,G2192)))</x:f>
        <x:v>0</x:v>
      </x:c>
      <x:c r="AL2192" s="32" t="n">
        <x:f>H2192*v01_RoleScale*Arch_Roles*AE2192*INDEX(v01_MonasteryPerSett,G2192)*v01_OutMonastery*INDEX(LM_Monastery,G2192)</x:f>
        <x:v>0</x:v>
      </x:c>
      <x:c r="AM2192" s="32" t="n">
        <x:f>(AJ2192+AK2192+AL2192)/4*INDEX(LM_All,G2192)*INDEX(v01_Boon,G2192)*Arch_Insight</x:f>
        <x:v>0</x:v>
      </x:c>
      <x:c r="AN2192" s="32" t="n">
        <x:f>H2192*(v01_KHPerAdult*Z2192+v01_KHOfCommons*AJ2192/4*INDEX(LM_All,G2192))*v01_KHUsable*Arch_KH</x:f>
        <x:v>0</x:v>
      </x:c>
      <x:c r="AO2192" s="32" t="n">
        <x:f>MIN(AP2191+AN2192,AM2192*v01_KHMaxRatio)</x:f>
        <x:v>0</x:v>
      </x:c>
      <x:c r="AP2192" s="32" t="n">
        <x:f>AP2191+AN2192-AO2192</x:f>
        <x:v>0</x:v>
      </x:c>
      <x:c r="AQ2192" s="32" t="n">
        <x:f>AM2192+AO2192</x:f>
        <x:v>0</x:v>
      </x:c>
      <x:c r="AR2192" s="10" t="n">
        <x:f>IF(H2192=1,INDEX(v01_Req,G2192),0)</x:f>
        <x:v>0</x:v>
      </x:c>
      <x:c r="AS2192" s="32" t="n">
        <x:f>IF(H2192=1,IF(E2192=1,AS2191-AR2191,AS2191)+AQ2192,0)</x:f>
        <x:v>0</x:v>
      </x:c>
      <x:c r="AT2192" s="11" t="n">
        <x:f>IF(AR2192&gt;0,MIN(1,AS2192/AR2192),1)</x:f>
        <x:v>1</x:v>
      </x:c>
      <x:c r="AU2192" s="10" t="n">
        <x:f>AB2192/INDEX(v01_RepScale,G2192)</x:f>
        <x:v>90.09519605746344</x:v>
      </x:c>
      <x:c r="AV2192" s="32" t="n">
        <x:f>AM2192*60/v01_SeasonSeconds</x:f>
        <x:v>0</x:v>
      </x:c>
    </x:row>
    <x:row r="2193">
      <x:c r="A2193" s="8" t="n">
        <x:f>A2192+1</x:f>
        <x:v>2190</x:v>
      </x:c>
      <x:c r="B2193" s="9" t="n">
        <x:f>A2193*v01_SeasonSeconds/60</x:f>
        <x:v>547.5</x:v>
      </x:c>
      <x:c r="C2193" s="9" t="n">
        <x:f>A2193/4</x:f>
        <x:v>547.5</x:v>
      </x:c>
      <x:c r="D2193" s="8" t="n">
        <x:f>IF(MOD(A2193,4)=0,1,0)</x:f>
        <x:v>0</x:v>
      </x:c>
      <x:c r="E2193" s="8" t="n">
        <x:f>IF(AND(F2192&lt;=9,AS2192&gt;=AR2192),1,0)</x:f>
        <x:v>0</x:v>
      </x:c>
      <x:c r="F2193" s="8" t="n">
        <x:f>MIN(10,F2192+E2193)</x:f>
        <x:v>10</x:v>
      </x:c>
      <x:c r="G2193" s="8" t="n">
        <x:f>MIN(F2193,9)+1</x:f>
        <x:v>10</x:v>
      </x:c>
      <x:c r="H2193" s="8" t="n">
        <x:f>IF(F2193&lt;=9,1,0)</x:f>
        <x:v>0</x:v>
      </x:c>
      <x:c r="I2193" s="9" t="n">
        <x:f>MIN(10,F2192+IF(AR2192&gt;0,MIN(1,AS2192/AR2192),1))</x:f>
        <x:v>10</x:v>
      </x:c>
      <x:c r="J2193" s="32" t="n">
        <x:f>INDEX(v01_FoodCap,G2193)*Arch_FoodCap*EXP(v01_CapsByProject*SUMPRODUCT((Cap_Point&lt;=I2193)*(Cap_Kind="Food")*Cap_Ln))</x:f>
        <x:v>12000</x:v>
      </x:c>
      <x:c r="K2193" s="32" t="n">
        <x:f>J2193*MIN(1,v01_LeanBase*EXP(v01_CapsByProject*SUMPRODUCT((Cap_Point&lt;=I2193)*(Cap_Kind="Lean")*Cap_Ln)))</x:f>
        <x:v>12000</x:v>
      </x:c>
      <x:c r="L2193" s="10" t="n">
        <x:f>INDEX(v01_HousingCap,G2193)*EXP(v01_CapsByProject*SUMPRODUCT((Cap_Point&lt;=I2193)*(Cap_Kind="Housing")*Cap_Ln))</x:f>
        <x:v>20000</x:v>
      </x:c>
      <x:c r="M2193" s="10" t="n">
        <x:f>INDEX(v01_GroupCap,G2193)*v01_CohesionFactor*EXP(v01_CapsByProject*SUMPRODUCT((Cap_Point&lt;=I2193)*(Cap_Kind="Group")*Cap_Ln))</x:f>
        <x:v>1000000</x:v>
      </x:c>
      <x:c r="N2193" s="32" t="n">
        <x:f>MIN(J2193,L2193,M2193)</x:f>
        <x:v>12000</x:v>
      </x:c>
      <x:c r="O2193" s="10" t="n">
        <x:f>AE2192*N2193</x:f>
        <x:v>180000</x:v>
      </x:c>
      <x:c r="P2193" s="9" t="n">
        <x:f>MIN(1,(AB2192/(AE2192*IF(v01_GroupInCrowding=1,N2193,MIN(J2193,L2193))))^v01_CrowdingExp)</x:f>
        <x:v>0.00024569414295285325</x:v>
      </x:c>
      <x:c r="Q2193" s="9" t="n">
        <x:f>IF(D2193=1,INDEX(v01_WinterMult,G2193),1)</x:f>
        <x:v>1</x:v>
      </x:c>
      <x:c r="R2193" s="9" t="n">
        <x:f>H2193*Z2192*v01_WomenShare*v01_BaseFertility*INDEX(v01_FertMult,G2193)*Arch_Fertility*(1-P2193)</x:f>
        <x:v>0</x:v>
      </x:c>
      <x:c r="S2193" s="9" t="n">
        <x:f>H2193*Y2192*INDEX(v01_MortChild,G2193)/4*Q2193</x:f>
        <x:v>0</x:v>
      </x:c>
      <x:c r="T2193" s="9" t="n">
        <x:f>H2193*Z2192*INDEX(v01_MortAdult,G2193)*Arch_AdultMort/4*Q2193</x:f>
        <x:v>0</x:v>
      </x:c>
      <x:c r="U2193" s="9" t="n">
        <x:f>H2193*AA2192*INDEX(v01_MortElder,G2193)/4*Q2193</x:f>
        <x:v>0</x:v>
      </x:c>
      <x:c r="V2193" s="9" t="n">
        <x:f>H2193*MAX(0,AB2192-O2193)*v01_OvercapLoss</x:f>
        <x:v>0</x:v>
      </x:c>
      <x:c r="W2193" s="9" t="n">
        <x:f>H2193*Y2192/(v01_ChildYears*4)</x:f>
        <x:v>0</x:v>
      </x:c>
      <x:c r="X2193" s="9" t="n">
        <x:f>H2193*Z2192/(v01_AdultYears*4)</x:f>
        <x:v>0</x:v>
      </x:c>
      <x:c r="Y2193" s="32" t="n">
        <x:f>Y2192+R2193-S2193-W2193-Y2192*V2193/AB2192</x:f>
        <x:v>14306.18539759397</x:v>
      </x:c>
      <x:c r="Z2193" s="32" t="n">
        <x:f>Z2192+W2193-X2193-T2193-Z2192*V2193/AB2192</x:f>
        <x:v>19354.456567879548</x:v>
      </x:c>
      <x:c r="AA2193" s="32" t="n">
        <x:f>AA2192+X2193-U2193-AA2192*V2193/AB2192</x:f>
        <x:v>11386.956063258198</x:v>
      </x:c>
      <x:c r="AB2193" s="10" t="n">
        <x:f>Y2193+Z2193+AA2193</x:f>
        <x:v>45047.59802873172</x:v>
      </x:c>
      <x:c r="AC2193" s="8" t="n">
        <x:f>IF(AND(v01_WinterTrigger=1,D2193=1,AB2192/AE2192&gt;=K2193),1,0)</x:f>
        <x:v>0</x:v>
      </x:c>
      <x:c r="AD2193" s="8" t="n">
        <x:f>H2193*IF(AND(OR(AB2192/AE2192&gt;=v01_FissionTrigger*N2193,AC2193=1),AB2192/AE2192*v01_DaughterShare&gt;=v01_MinDaughter),MAX(1,ROUND(AE2192*v01_FissionRate,0)),0)</x:f>
        <x:v>0</x:v>
      </x:c>
      <x:c r="AE2193" s="8" t="n">
        <x:f>IF(H2193=1,MAX(1,MIN(INDEX(v01_Smax,G2193),AE2192+AD2193)),AE2192)</x:f>
        <x:v>15</x:v>
      </x:c>
      <x:c r="AF2193" s="8" t="n">
        <x:f>MAX(0,AE2193-AE2192)</x:f>
        <x:v>0</x:v>
      </x:c>
      <x:c r="AG2193" s="9" t="str">
        <x:f>IF(AF2193&gt;0,B2193,"")</x:f>
      </x:c>
      <x:c r="AH2193" s="9" t="n">
        <x:f>IF(F2193&gt;=1,1,(1+v01_LowTiesShare*(AE2193-1))/AE2193)</x:f>
        <x:v>1</x:v>
      </x:c>
      <x:c r="AI2193" s="32" t="n">
        <x:f>(Z2193+v01_ElderCommons*INDEX(LM_Elder,G2193)*AA2193)*AH2193</x:f>
        <x:v>64139.732591141874</x:v>
      </x:c>
      <x:c r="AJ2193" s="32" t="n">
        <x:f>H2193*v01_CommonsCoef*AI2193^v01_CommonsExp*INDEX(LM_Commons,G2193)</x:f>
        <x:v>0</x:v>
      </x:c>
      <x:c r="AK2193" s="32" t="n">
        <x:f>H2193*v01_RoleScale*Arch_Roles*(AE2193*(INDEX(v01_ElderRolePerSett,G2193)*v01_OutElder*INDEX(LM_Elder,G2193)+INDEX(v01_ShamanPerSett,G2193)*v01_OutShaman)+Z2193*(INDEX(v01_PriestShare,G2193)*v01_OutPriest+INDEX(v01_ScribeShare,G2193)*v01_OutScribe*INDEX(LM_Scribe,G2193)+INDEX(v01_ScholarShare,G2193)*v01_OutScholar*INDEX(LM_Scholar,G2193)+INDEX(v01_ResearcherShare,G2193)*v01_OutResearcher*INDEX(LM_Researcher,G2193)))</x:f>
        <x:v>0</x:v>
      </x:c>
      <x:c r="AL2193" s="32" t="n">
        <x:f>H2193*v01_RoleScale*Arch_Roles*AE2193*INDEX(v01_MonasteryPerSett,G2193)*v01_OutMonastery*INDEX(LM_Monastery,G2193)</x:f>
        <x:v>0</x:v>
      </x:c>
      <x:c r="AM2193" s="32" t="n">
        <x:f>(AJ2193+AK2193+AL2193)/4*INDEX(LM_All,G2193)*INDEX(v01_Boon,G2193)*Arch_Insight</x:f>
        <x:v>0</x:v>
      </x:c>
      <x:c r="AN2193" s="32" t="n">
        <x:f>H2193*(v01_KHPerAdult*Z2193+v01_KHOfCommons*AJ2193/4*INDEX(LM_All,G2193))*v01_KHUsable*Arch_KH</x:f>
        <x:v>0</x:v>
      </x:c>
      <x:c r="AO2193" s="32" t="n">
        <x:f>MIN(AP2192+AN2193,AM2193*v01_KHMaxRatio)</x:f>
        <x:v>0</x:v>
      </x:c>
      <x:c r="AP2193" s="32" t="n">
        <x:f>AP2192+AN2193-AO2193</x:f>
        <x:v>0</x:v>
      </x:c>
      <x:c r="AQ2193" s="32" t="n">
        <x:f>AM2193+AO2193</x:f>
        <x:v>0</x:v>
      </x:c>
      <x:c r="AR2193" s="10" t="n">
        <x:f>IF(H2193=1,INDEX(v01_Req,G2193),0)</x:f>
        <x:v>0</x:v>
      </x:c>
      <x:c r="AS2193" s="32" t="n">
        <x:f>IF(H2193=1,IF(E2193=1,AS2192-AR2192,AS2192)+AQ2193,0)</x:f>
        <x:v>0</x:v>
      </x:c>
      <x:c r="AT2193" s="11" t="n">
        <x:f>IF(AR2193&gt;0,MIN(1,AS2193/AR2193),1)</x:f>
        <x:v>1</x:v>
      </x:c>
      <x:c r="AU2193" s="10" t="n">
        <x:f>AB2193/INDEX(v01_RepScale,G2193)</x:f>
        <x:v>90.09519605746344</x:v>
      </x:c>
      <x:c r="AV2193" s="32" t="n">
        <x:f>AM2193*60/v01_SeasonSeconds</x:f>
        <x:v>0</x:v>
      </x:c>
    </x:row>
    <x:row r="2194">
      <x:c r="A2194" s="8" t="n">
        <x:f>A2193+1</x:f>
        <x:v>2191</x:v>
      </x:c>
      <x:c r="B2194" s="9" t="n">
        <x:f>A2194*v01_SeasonSeconds/60</x:f>
        <x:v>547.75</x:v>
      </x:c>
      <x:c r="C2194" s="9" t="n">
        <x:f>A2194/4</x:f>
        <x:v>547.75</x:v>
      </x:c>
      <x:c r="D2194" s="8" t="n">
        <x:f>IF(MOD(A2194,4)=0,1,0)</x:f>
        <x:v>0</x:v>
      </x:c>
      <x:c r="E2194" s="8" t="n">
        <x:f>IF(AND(F2193&lt;=9,AS2193&gt;=AR2193),1,0)</x:f>
        <x:v>0</x:v>
      </x:c>
      <x:c r="F2194" s="8" t="n">
        <x:f>MIN(10,F2193+E2194)</x:f>
        <x:v>10</x:v>
      </x:c>
      <x:c r="G2194" s="8" t="n">
        <x:f>MIN(F2194,9)+1</x:f>
        <x:v>10</x:v>
      </x:c>
      <x:c r="H2194" s="8" t="n">
        <x:f>IF(F2194&lt;=9,1,0)</x:f>
        <x:v>0</x:v>
      </x:c>
      <x:c r="I2194" s="9" t="n">
        <x:f>MIN(10,F2193+IF(AR2193&gt;0,MIN(1,AS2193/AR2193),1))</x:f>
        <x:v>10</x:v>
      </x:c>
      <x:c r="J2194" s="32" t="n">
        <x:f>INDEX(v01_FoodCap,G2194)*Arch_FoodCap*EXP(v01_CapsByProject*SUMPRODUCT((Cap_Point&lt;=I2194)*(Cap_Kind="Food")*Cap_Ln))</x:f>
        <x:v>12000</x:v>
      </x:c>
      <x:c r="K2194" s="32" t="n">
        <x:f>J2194*MIN(1,v01_LeanBase*EXP(v01_CapsByProject*SUMPRODUCT((Cap_Point&lt;=I2194)*(Cap_Kind="Lean")*Cap_Ln)))</x:f>
        <x:v>12000</x:v>
      </x:c>
      <x:c r="L2194" s="10" t="n">
        <x:f>INDEX(v01_HousingCap,G2194)*EXP(v01_CapsByProject*SUMPRODUCT((Cap_Point&lt;=I2194)*(Cap_Kind="Housing")*Cap_Ln))</x:f>
        <x:v>20000</x:v>
      </x:c>
      <x:c r="M2194" s="10" t="n">
        <x:f>INDEX(v01_GroupCap,G2194)*v01_CohesionFactor*EXP(v01_CapsByProject*SUMPRODUCT((Cap_Point&lt;=I2194)*(Cap_Kind="Group")*Cap_Ln))</x:f>
        <x:v>1000000</x:v>
      </x:c>
      <x:c r="N2194" s="32" t="n">
        <x:f>MIN(J2194,L2194,M2194)</x:f>
        <x:v>12000</x:v>
      </x:c>
      <x:c r="O2194" s="10" t="n">
        <x:f>AE2193*N2194</x:f>
        <x:v>180000</x:v>
      </x:c>
      <x:c r="P2194" s="9" t="n">
        <x:f>MIN(1,(AB2193/(AE2193*IF(v01_GroupInCrowding=1,N2194,MIN(J2194,L2194))))^v01_CrowdingExp)</x:f>
        <x:v>0.00024569414295285325</x:v>
      </x:c>
      <x:c r="Q2194" s="9" t="n">
        <x:f>IF(D2194=1,INDEX(v01_WinterMult,G2194),1)</x:f>
        <x:v>1</x:v>
      </x:c>
      <x:c r="R2194" s="9" t="n">
        <x:f>H2194*Z2193*v01_WomenShare*v01_BaseFertility*INDEX(v01_FertMult,G2194)*Arch_Fertility*(1-P2194)</x:f>
        <x:v>0</x:v>
      </x:c>
      <x:c r="S2194" s="9" t="n">
        <x:f>H2194*Y2193*INDEX(v01_MortChild,G2194)/4*Q2194</x:f>
        <x:v>0</x:v>
      </x:c>
      <x:c r="T2194" s="9" t="n">
        <x:f>H2194*Z2193*INDEX(v01_MortAdult,G2194)*Arch_AdultMort/4*Q2194</x:f>
        <x:v>0</x:v>
      </x:c>
      <x:c r="U2194" s="9" t="n">
        <x:f>H2194*AA2193*INDEX(v01_MortElder,G2194)/4*Q2194</x:f>
        <x:v>0</x:v>
      </x:c>
      <x:c r="V2194" s="9" t="n">
        <x:f>H2194*MAX(0,AB2193-O2194)*v01_OvercapLoss</x:f>
        <x:v>0</x:v>
      </x:c>
      <x:c r="W2194" s="9" t="n">
        <x:f>H2194*Y2193/(v01_ChildYears*4)</x:f>
        <x:v>0</x:v>
      </x:c>
      <x:c r="X2194" s="9" t="n">
        <x:f>H2194*Z2193/(v01_AdultYears*4)</x:f>
        <x:v>0</x:v>
      </x:c>
      <x:c r="Y2194" s="32" t="n">
        <x:f>Y2193+R2194-S2194-W2194-Y2193*V2194/AB2193</x:f>
        <x:v>14306.18539759397</x:v>
      </x:c>
      <x:c r="Z2194" s="32" t="n">
        <x:f>Z2193+W2194-X2194-T2194-Z2193*V2194/AB2193</x:f>
        <x:v>19354.456567879548</x:v>
      </x:c>
      <x:c r="AA2194" s="32" t="n">
        <x:f>AA2193+X2194-U2194-AA2193*V2194/AB2193</x:f>
        <x:v>11386.956063258198</x:v>
      </x:c>
      <x:c r="AB2194" s="10" t="n">
        <x:f>Y2194+Z2194+AA2194</x:f>
        <x:v>45047.59802873172</x:v>
      </x:c>
      <x:c r="AC2194" s="8" t="n">
        <x:f>IF(AND(v01_WinterTrigger=1,D2194=1,AB2193/AE2193&gt;=K2194),1,0)</x:f>
        <x:v>0</x:v>
      </x:c>
      <x:c r="AD2194" s="8" t="n">
        <x:f>H2194*IF(AND(OR(AB2193/AE2193&gt;=v01_FissionTrigger*N2194,AC2194=1),AB2193/AE2193*v01_DaughterShare&gt;=v01_MinDaughter),MAX(1,ROUND(AE2193*v01_FissionRate,0)),0)</x:f>
        <x:v>0</x:v>
      </x:c>
      <x:c r="AE2194" s="8" t="n">
        <x:f>IF(H2194=1,MAX(1,MIN(INDEX(v01_Smax,G2194),AE2193+AD2194)),AE2193)</x:f>
        <x:v>15</x:v>
      </x:c>
      <x:c r="AF2194" s="8" t="n">
        <x:f>MAX(0,AE2194-AE2193)</x:f>
        <x:v>0</x:v>
      </x:c>
      <x:c r="AG2194" s="9" t="str">
        <x:f>IF(AF2194&gt;0,B2194,"")</x:f>
      </x:c>
      <x:c r="AH2194" s="9" t="n">
        <x:f>IF(F2194&gt;=1,1,(1+v01_LowTiesShare*(AE2194-1))/AE2194)</x:f>
        <x:v>1</x:v>
      </x:c>
      <x:c r="AI2194" s="32" t="n">
        <x:f>(Z2194+v01_ElderCommons*INDEX(LM_Elder,G2194)*AA2194)*AH2194</x:f>
        <x:v>64139.732591141874</x:v>
      </x:c>
      <x:c r="AJ2194" s="32" t="n">
        <x:f>H2194*v01_CommonsCoef*AI2194^v01_CommonsExp*INDEX(LM_Commons,G2194)</x:f>
        <x:v>0</x:v>
      </x:c>
      <x:c r="AK2194" s="32" t="n">
        <x:f>H2194*v01_RoleScale*Arch_Roles*(AE2194*(INDEX(v01_ElderRolePerSett,G2194)*v01_OutElder*INDEX(LM_Elder,G2194)+INDEX(v01_ShamanPerSett,G2194)*v01_OutShaman)+Z2194*(INDEX(v01_PriestShare,G2194)*v01_OutPriest+INDEX(v01_ScribeShare,G2194)*v01_OutScribe*INDEX(LM_Scribe,G2194)+INDEX(v01_ScholarShare,G2194)*v01_OutScholar*INDEX(LM_Scholar,G2194)+INDEX(v01_ResearcherShare,G2194)*v01_OutResearcher*INDEX(LM_Researcher,G2194)))</x:f>
        <x:v>0</x:v>
      </x:c>
      <x:c r="AL2194" s="32" t="n">
        <x:f>H2194*v01_RoleScale*Arch_Roles*AE2194*INDEX(v01_MonasteryPerSett,G2194)*v01_OutMonastery*INDEX(LM_Monastery,G2194)</x:f>
        <x:v>0</x:v>
      </x:c>
      <x:c r="AM2194" s="32" t="n">
        <x:f>(AJ2194+AK2194+AL2194)/4*INDEX(LM_All,G2194)*INDEX(v01_Boon,G2194)*Arch_Insight</x:f>
        <x:v>0</x:v>
      </x:c>
      <x:c r="AN2194" s="32" t="n">
        <x:f>H2194*(v01_KHPerAdult*Z2194+v01_KHOfCommons*AJ2194/4*INDEX(LM_All,G2194))*v01_KHUsable*Arch_KH</x:f>
        <x:v>0</x:v>
      </x:c>
      <x:c r="AO2194" s="32" t="n">
        <x:f>MIN(AP2193+AN2194,AM2194*v01_KHMaxRatio)</x:f>
        <x:v>0</x:v>
      </x:c>
      <x:c r="AP2194" s="32" t="n">
        <x:f>AP2193+AN2194-AO2194</x:f>
        <x:v>0</x:v>
      </x:c>
      <x:c r="AQ2194" s="32" t="n">
        <x:f>AM2194+AO2194</x:f>
        <x:v>0</x:v>
      </x:c>
      <x:c r="AR2194" s="10" t="n">
        <x:f>IF(H2194=1,INDEX(v01_Req,G2194),0)</x:f>
        <x:v>0</x:v>
      </x:c>
      <x:c r="AS2194" s="32" t="n">
        <x:f>IF(H2194=1,IF(E2194=1,AS2193-AR2193,AS2193)+AQ2194,0)</x:f>
        <x:v>0</x:v>
      </x:c>
      <x:c r="AT2194" s="11" t="n">
        <x:f>IF(AR2194&gt;0,MIN(1,AS2194/AR2194),1)</x:f>
        <x:v>1</x:v>
      </x:c>
      <x:c r="AU2194" s="10" t="n">
        <x:f>AB2194/INDEX(v01_RepScale,G2194)</x:f>
        <x:v>90.09519605746344</x:v>
      </x:c>
      <x:c r="AV2194" s="32" t="n">
        <x:f>AM2194*60/v01_SeasonSeconds</x:f>
        <x:v>0</x:v>
      </x:c>
    </x:row>
    <x:row r="2195">
      <x:c r="A2195" s="8" t="n">
        <x:f>A2194+1</x:f>
        <x:v>2192</x:v>
      </x:c>
      <x:c r="B2195" s="9" t="n">
        <x:f>A2195*v01_SeasonSeconds/60</x:f>
        <x:v>548</x:v>
      </x:c>
      <x:c r="C2195" s="9" t="n">
        <x:f>A2195/4</x:f>
        <x:v>548</x:v>
      </x:c>
      <x:c r="D2195" s="8" t="n">
        <x:f>IF(MOD(A2195,4)=0,1,0)</x:f>
        <x:v>1</x:v>
      </x:c>
      <x:c r="E2195" s="8" t="n">
        <x:f>IF(AND(F2194&lt;=9,AS2194&gt;=AR2194),1,0)</x:f>
        <x:v>0</x:v>
      </x:c>
      <x:c r="F2195" s="8" t="n">
        <x:f>MIN(10,F2194+E2195)</x:f>
        <x:v>10</x:v>
      </x:c>
      <x:c r="G2195" s="8" t="n">
        <x:f>MIN(F2195,9)+1</x:f>
        <x:v>10</x:v>
      </x:c>
      <x:c r="H2195" s="8" t="n">
        <x:f>IF(F2195&lt;=9,1,0)</x:f>
        <x:v>0</x:v>
      </x:c>
      <x:c r="I2195" s="9" t="n">
        <x:f>MIN(10,F2194+IF(AR2194&gt;0,MIN(1,AS2194/AR2194),1))</x:f>
        <x:v>10</x:v>
      </x:c>
      <x:c r="J2195" s="32" t="n">
        <x:f>INDEX(v01_FoodCap,G2195)*Arch_FoodCap*EXP(v01_CapsByProject*SUMPRODUCT((Cap_Point&lt;=I2195)*(Cap_Kind="Food")*Cap_Ln))</x:f>
        <x:v>12000</x:v>
      </x:c>
      <x:c r="K2195" s="32" t="n">
        <x:f>J2195*MIN(1,v01_LeanBase*EXP(v01_CapsByProject*SUMPRODUCT((Cap_Point&lt;=I2195)*(Cap_Kind="Lean")*Cap_Ln)))</x:f>
        <x:v>12000</x:v>
      </x:c>
      <x:c r="L2195" s="10" t="n">
        <x:f>INDEX(v01_HousingCap,G2195)*EXP(v01_CapsByProject*SUMPRODUCT((Cap_Point&lt;=I2195)*(Cap_Kind="Housing")*Cap_Ln))</x:f>
        <x:v>20000</x:v>
      </x:c>
      <x:c r="M2195" s="10" t="n">
        <x:f>INDEX(v01_GroupCap,G2195)*v01_CohesionFactor*EXP(v01_CapsByProject*SUMPRODUCT((Cap_Point&lt;=I2195)*(Cap_Kind="Group")*Cap_Ln))</x:f>
        <x:v>1000000</x:v>
      </x:c>
      <x:c r="N2195" s="32" t="n">
        <x:f>MIN(J2195,L2195,M2195)</x:f>
        <x:v>12000</x:v>
      </x:c>
      <x:c r="O2195" s="10" t="n">
        <x:f>AE2194*N2195</x:f>
        <x:v>180000</x:v>
      </x:c>
      <x:c r="P2195" s="9" t="n">
        <x:f>MIN(1,(AB2194/(AE2194*IF(v01_GroupInCrowding=1,N2195,MIN(J2195,L2195))))^v01_CrowdingExp)</x:f>
        <x:v>0.00024569414295285325</x:v>
      </x:c>
      <x:c r="Q2195" s="9" t="n">
        <x:f>IF(D2195=1,INDEX(v01_WinterMult,G2195),1)</x:f>
        <x:v>1</x:v>
      </x:c>
      <x:c r="R2195" s="9" t="n">
        <x:f>H2195*Z2194*v01_WomenShare*v01_BaseFertility*INDEX(v01_FertMult,G2195)*Arch_Fertility*(1-P2195)</x:f>
        <x:v>0</x:v>
      </x:c>
      <x:c r="S2195" s="9" t="n">
        <x:f>H2195*Y2194*INDEX(v01_MortChild,G2195)/4*Q2195</x:f>
        <x:v>0</x:v>
      </x:c>
      <x:c r="T2195" s="9" t="n">
        <x:f>H2195*Z2194*INDEX(v01_MortAdult,G2195)*Arch_AdultMort/4*Q2195</x:f>
        <x:v>0</x:v>
      </x:c>
      <x:c r="U2195" s="9" t="n">
        <x:f>H2195*AA2194*INDEX(v01_MortElder,G2195)/4*Q2195</x:f>
        <x:v>0</x:v>
      </x:c>
      <x:c r="V2195" s="9" t="n">
        <x:f>H2195*MAX(0,AB2194-O2195)*v01_OvercapLoss</x:f>
        <x:v>0</x:v>
      </x:c>
      <x:c r="W2195" s="9" t="n">
        <x:f>H2195*Y2194/(v01_ChildYears*4)</x:f>
        <x:v>0</x:v>
      </x:c>
      <x:c r="X2195" s="9" t="n">
        <x:f>H2195*Z2194/(v01_AdultYears*4)</x:f>
        <x:v>0</x:v>
      </x:c>
      <x:c r="Y2195" s="32" t="n">
        <x:f>Y2194+R2195-S2195-W2195-Y2194*V2195/AB2194</x:f>
        <x:v>14306.18539759397</x:v>
      </x:c>
      <x:c r="Z2195" s="32" t="n">
        <x:f>Z2194+W2195-X2195-T2195-Z2194*V2195/AB2194</x:f>
        <x:v>19354.456567879548</x:v>
      </x:c>
      <x:c r="AA2195" s="32" t="n">
        <x:f>AA2194+X2195-U2195-AA2194*V2195/AB2194</x:f>
        <x:v>11386.956063258198</x:v>
      </x:c>
      <x:c r="AB2195" s="10" t="n">
        <x:f>Y2195+Z2195+AA2195</x:f>
        <x:v>45047.59802873172</x:v>
      </x:c>
      <x:c r="AC2195" s="8" t="n">
        <x:f>IF(AND(v01_WinterTrigger=1,D2195=1,AB2194/AE2194&gt;=K2195),1,0)</x:f>
        <x:v>0</x:v>
      </x:c>
      <x:c r="AD2195" s="8" t="n">
        <x:f>H2195*IF(AND(OR(AB2194/AE2194&gt;=v01_FissionTrigger*N2195,AC2195=1),AB2194/AE2194*v01_DaughterShare&gt;=v01_MinDaughter),MAX(1,ROUND(AE2194*v01_FissionRate,0)),0)</x:f>
        <x:v>0</x:v>
      </x:c>
      <x:c r="AE2195" s="8" t="n">
        <x:f>IF(H2195=1,MAX(1,MIN(INDEX(v01_Smax,G2195),AE2194+AD2195)),AE2194)</x:f>
        <x:v>15</x:v>
      </x:c>
      <x:c r="AF2195" s="8" t="n">
        <x:f>MAX(0,AE2195-AE2194)</x:f>
        <x:v>0</x:v>
      </x:c>
      <x:c r="AG2195" s="9" t="str">
        <x:f>IF(AF2195&gt;0,B2195,"")</x:f>
      </x:c>
      <x:c r="AH2195" s="9" t="n">
        <x:f>IF(F2195&gt;=1,1,(1+v01_LowTiesShare*(AE2195-1))/AE2195)</x:f>
        <x:v>1</x:v>
      </x:c>
      <x:c r="AI2195" s="32" t="n">
        <x:f>(Z2195+v01_ElderCommons*INDEX(LM_Elder,G2195)*AA2195)*AH2195</x:f>
        <x:v>64139.732591141874</x:v>
      </x:c>
      <x:c r="AJ2195" s="32" t="n">
        <x:f>H2195*v01_CommonsCoef*AI2195^v01_CommonsExp*INDEX(LM_Commons,G2195)</x:f>
        <x:v>0</x:v>
      </x:c>
      <x:c r="AK2195" s="32" t="n">
        <x:f>H2195*v01_RoleScale*Arch_Roles*(AE2195*(INDEX(v01_ElderRolePerSett,G2195)*v01_OutElder*INDEX(LM_Elder,G2195)+INDEX(v01_ShamanPerSett,G2195)*v01_OutShaman)+Z2195*(INDEX(v01_PriestShare,G2195)*v01_OutPriest+INDEX(v01_ScribeShare,G2195)*v01_OutScribe*INDEX(LM_Scribe,G2195)+INDEX(v01_ScholarShare,G2195)*v01_OutScholar*INDEX(LM_Scholar,G2195)+INDEX(v01_ResearcherShare,G2195)*v01_OutResearcher*INDEX(LM_Researcher,G2195)))</x:f>
        <x:v>0</x:v>
      </x:c>
      <x:c r="AL2195" s="32" t="n">
        <x:f>H2195*v01_RoleScale*Arch_Roles*AE2195*INDEX(v01_MonasteryPerSett,G2195)*v01_OutMonastery*INDEX(LM_Monastery,G2195)</x:f>
        <x:v>0</x:v>
      </x:c>
      <x:c r="AM2195" s="32" t="n">
        <x:f>(AJ2195+AK2195+AL2195)/4*INDEX(LM_All,G2195)*INDEX(v01_Boon,G2195)*Arch_Insight</x:f>
        <x:v>0</x:v>
      </x:c>
      <x:c r="AN2195" s="32" t="n">
        <x:f>H2195*(v01_KHPerAdult*Z2195+v01_KHOfCommons*AJ2195/4*INDEX(LM_All,G2195))*v01_KHUsable*Arch_KH</x:f>
        <x:v>0</x:v>
      </x:c>
      <x:c r="AO2195" s="32" t="n">
        <x:f>MIN(AP2194+AN2195,AM2195*v01_KHMaxRatio)</x:f>
        <x:v>0</x:v>
      </x:c>
      <x:c r="AP2195" s="32" t="n">
        <x:f>AP2194+AN2195-AO2195</x:f>
        <x:v>0</x:v>
      </x:c>
      <x:c r="AQ2195" s="32" t="n">
        <x:f>AM2195+AO2195</x:f>
        <x:v>0</x:v>
      </x:c>
      <x:c r="AR2195" s="10" t="n">
        <x:f>IF(H2195=1,INDEX(v01_Req,G2195),0)</x:f>
        <x:v>0</x:v>
      </x:c>
      <x:c r="AS2195" s="32" t="n">
        <x:f>IF(H2195=1,IF(E2195=1,AS2194-AR2194,AS2194)+AQ2195,0)</x:f>
        <x:v>0</x:v>
      </x:c>
      <x:c r="AT2195" s="11" t="n">
        <x:f>IF(AR2195&gt;0,MIN(1,AS2195/AR2195),1)</x:f>
        <x:v>1</x:v>
      </x:c>
      <x:c r="AU2195" s="10" t="n">
        <x:f>AB2195/INDEX(v01_RepScale,G2195)</x:f>
        <x:v>90.09519605746344</x:v>
      </x:c>
      <x:c r="AV2195" s="32" t="n">
        <x:f>AM2195*60/v01_SeasonSeconds</x:f>
        <x:v>0</x:v>
      </x:c>
    </x:row>
    <x:row r="2196">
      <x:c r="A2196" s="8" t="n">
        <x:f>A2195+1</x:f>
        <x:v>2193</x:v>
      </x:c>
      <x:c r="B2196" s="9" t="n">
        <x:f>A2196*v01_SeasonSeconds/60</x:f>
        <x:v>548.25</x:v>
      </x:c>
      <x:c r="C2196" s="9" t="n">
        <x:f>A2196/4</x:f>
        <x:v>548.25</x:v>
      </x:c>
      <x:c r="D2196" s="8" t="n">
        <x:f>IF(MOD(A2196,4)=0,1,0)</x:f>
        <x:v>0</x:v>
      </x:c>
      <x:c r="E2196" s="8" t="n">
        <x:f>IF(AND(F2195&lt;=9,AS2195&gt;=AR2195),1,0)</x:f>
        <x:v>0</x:v>
      </x:c>
      <x:c r="F2196" s="8" t="n">
        <x:f>MIN(10,F2195+E2196)</x:f>
        <x:v>10</x:v>
      </x:c>
      <x:c r="G2196" s="8" t="n">
        <x:f>MIN(F2196,9)+1</x:f>
        <x:v>10</x:v>
      </x:c>
      <x:c r="H2196" s="8" t="n">
        <x:f>IF(F2196&lt;=9,1,0)</x:f>
        <x:v>0</x:v>
      </x:c>
      <x:c r="I2196" s="9" t="n">
        <x:f>MIN(10,F2195+IF(AR2195&gt;0,MIN(1,AS2195/AR2195),1))</x:f>
        <x:v>10</x:v>
      </x:c>
      <x:c r="J2196" s="32" t="n">
        <x:f>INDEX(v01_FoodCap,G2196)*Arch_FoodCap*EXP(v01_CapsByProject*SUMPRODUCT((Cap_Point&lt;=I2196)*(Cap_Kind="Food")*Cap_Ln))</x:f>
        <x:v>12000</x:v>
      </x:c>
      <x:c r="K2196" s="32" t="n">
        <x:f>J2196*MIN(1,v01_LeanBase*EXP(v01_CapsByProject*SUMPRODUCT((Cap_Point&lt;=I2196)*(Cap_Kind="Lean")*Cap_Ln)))</x:f>
        <x:v>12000</x:v>
      </x:c>
      <x:c r="L2196" s="10" t="n">
        <x:f>INDEX(v01_HousingCap,G2196)*EXP(v01_CapsByProject*SUMPRODUCT((Cap_Point&lt;=I2196)*(Cap_Kind="Housing")*Cap_Ln))</x:f>
        <x:v>20000</x:v>
      </x:c>
      <x:c r="M2196" s="10" t="n">
        <x:f>INDEX(v01_GroupCap,G2196)*v01_CohesionFactor*EXP(v01_CapsByProject*SUMPRODUCT((Cap_Point&lt;=I2196)*(Cap_Kind="Group")*Cap_Ln))</x:f>
        <x:v>1000000</x:v>
      </x:c>
      <x:c r="N2196" s="32" t="n">
        <x:f>MIN(J2196,L2196,M2196)</x:f>
        <x:v>12000</x:v>
      </x:c>
      <x:c r="O2196" s="10" t="n">
        <x:f>AE2195*N2196</x:f>
        <x:v>180000</x:v>
      </x:c>
      <x:c r="P2196" s="9" t="n">
        <x:f>MIN(1,(AB2195/(AE2195*IF(v01_GroupInCrowding=1,N2196,MIN(J2196,L2196))))^v01_CrowdingExp)</x:f>
        <x:v>0.00024569414295285325</x:v>
      </x:c>
      <x:c r="Q2196" s="9" t="n">
        <x:f>IF(D2196=1,INDEX(v01_WinterMult,G2196),1)</x:f>
        <x:v>1</x:v>
      </x:c>
      <x:c r="R2196" s="9" t="n">
        <x:f>H2196*Z2195*v01_WomenShare*v01_BaseFertility*INDEX(v01_FertMult,G2196)*Arch_Fertility*(1-P2196)</x:f>
        <x:v>0</x:v>
      </x:c>
      <x:c r="S2196" s="9" t="n">
        <x:f>H2196*Y2195*INDEX(v01_MortChild,G2196)/4*Q2196</x:f>
        <x:v>0</x:v>
      </x:c>
      <x:c r="T2196" s="9" t="n">
        <x:f>H2196*Z2195*INDEX(v01_MortAdult,G2196)*Arch_AdultMort/4*Q2196</x:f>
        <x:v>0</x:v>
      </x:c>
      <x:c r="U2196" s="9" t="n">
        <x:f>H2196*AA2195*INDEX(v01_MortElder,G2196)/4*Q2196</x:f>
        <x:v>0</x:v>
      </x:c>
      <x:c r="V2196" s="9" t="n">
        <x:f>H2196*MAX(0,AB2195-O2196)*v01_OvercapLoss</x:f>
        <x:v>0</x:v>
      </x:c>
      <x:c r="W2196" s="9" t="n">
        <x:f>H2196*Y2195/(v01_ChildYears*4)</x:f>
        <x:v>0</x:v>
      </x:c>
      <x:c r="X2196" s="9" t="n">
        <x:f>H2196*Z2195/(v01_AdultYears*4)</x:f>
        <x:v>0</x:v>
      </x:c>
      <x:c r="Y2196" s="32" t="n">
        <x:f>Y2195+R2196-S2196-W2196-Y2195*V2196/AB2195</x:f>
        <x:v>14306.18539759397</x:v>
      </x:c>
      <x:c r="Z2196" s="32" t="n">
        <x:f>Z2195+W2196-X2196-T2196-Z2195*V2196/AB2195</x:f>
        <x:v>19354.456567879548</x:v>
      </x:c>
      <x:c r="AA2196" s="32" t="n">
        <x:f>AA2195+X2196-U2196-AA2195*V2196/AB2195</x:f>
        <x:v>11386.956063258198</x:v>
      </x:c>
      <x:c r="AB2196" s="10" t="n">
        <x:f>Y2196+Z2196+AA2196</x:f>
        <x:v>45047.59802873172</x:v>
      </x:c>
      <x:c r="AC2196" s="8" t="n">
        <x:f>IF(AND(v01_WinterTrigger=1,D2196=1,AB2195/AE2195&gt;=K2196),1,0)</x:f>
        <x:v>0</x:v>
      </x:c>
      <x:c r="AD2196" s="8" t="n">
        <x:f>H2196*IF(AND(OR(AB2195/AE2195&gt;=v01_FissionTrigger*N2196,AC2196=1),AB2195/AE2195*v01_DaughterShare&gt;=v01_MinDaughter),MAX(1,ROUND(AE2195*v01_FissionRate,0)),0)</x:f>
        <x:v>0</x:v>
      </x:c>
      <x:c r="AE2196" s="8" t="n">
        <x:f>IF(H2196=1,MAX(1,MIN(INDEX(v01_Smax,G2196),AE2195+AD2196)),AE2195)</x:f>
        <x:v>15</x:v>
      </x:c>
      <x:c r="AF2196" s="8" t="n">
        <x:f>MAX(0,AE2196-AE2195)</x:f>
        <x:v>0</x:v>
      </x:c>
      <x:c r="AG2196" s="9" t="str">
        <x:f>IF(AF2196&gt;0,B2196,"")</x:f>
      </x:c>
      <x:c r="AH2196" s="9" t="n">
        <x:f>IF(F2196&gt;=1,1,(1+v01_LowTiesShare*(AE2196-1))/AE2196)</x:f>
        <x:v>1</x:v>
      </x:c>
      <x:c r="AI2196" s="32" t="n">
        <x:f>(Z2196+v01_ElderCommons*INDEX(LM_Elder,G2196)*AA2196)*AH2196</x:f>
        <x:v>64139.732591141874</x:v>
      </x:c>
      <x:c r="AJ2196" s="32" t="n">
        <x:f>H2196*v01_CommonsCoef*AI2196^v01_CommonsExp*INDEX(LM_Commons,G2196)</x:f>
        <x:v>0</x:v>
      </x:c>
      <x:c r="AK2196" s="32" t="n">
        <x:f>H2196*v01_RoleScale*Arch_Roles*(AE2196*(INDEX(v01_ElderRolePerSett,G2196)*v01_OutElder*INDEX(LM_Elder,G2196)+INDEX(v01_ShamanPerSett,G2196)*v01_OutShaman)+Z2196*(INDEX(v01_PriestShare,G2196)*v01_OutPriest+INDEX(v01_ScribeShare,G2196)*v01_OutScribe*INDEX(LM_Scribe,G2196)+INDEX(v01_ScholarShare,G2196)*v01_OutScholar*INDEX(LM_Scholar,G2196)+INDEX(v01_ResearcherShare,G2196)*v01_OutResearcher*INDEX(LM_Researcher,G2196)))</x:f>
        <x:v>0</x:v>
      </x:c>
      <x:c r="AL2196" s="32" t="n">
        <x:f>H2196*v01_RoleScale*Arch_Roles*AE2196*INDEX(v01_MonasteryPerSett,G2196)*v01_OutMonastery*INDEX(LM_Monastery,G2196)</x:f>
        <x:v>0</x:v>
      </x:c>
      <x:c r="AM2196" s="32" t="n">
        <x:f>(AJ2196+AK2196+AL2196)/4*INDEX(LM_All,G2196)*INDEX(v01_Boon,G2196)*Arch_Insight</x:f>
        <x:v>0</x:v>
      </x:c>
      <x:c r="AN2196" s="32" t="n">
        <x:f>H2196*(v01_KHPerAdult*Z2196+v01_KHOfCommons*AJ2196/4*INDEX(LM_All,G2196))*v01_KHUsable*Arch_KH</x:f>
        <x:v>0</x:v>
      </x:c>
      <x:c r="AO2196" s="32" t="n">
        <x:f>MIN(AP2195+AN2196,AM2196*v01_KHMaxRatio)</x:f>
        <x:v>0</x:v>
      </x:c>
      <x:c r="AP2196" s="32" t="n">
        <x:f>AP2195+AN2196-AO2196</x:f>
        <x:v>0</x:v>
      </x:c>
      <x:c r="AQ2196" s="32" t="n">
        <x:f>AM2196+AO2196</x:f>
        <x:v>0</x:v>
      </x:c>
      <x:c r="AR2196" s="10" t="n">
        <x:f>IF(H2196=1,INDEX(v01_Req,G2196),0)</x:f>
        <x:v>0</x:v>
      </x:c>
      <x:c r="AS2196" s="32" t="n">
        <x:f>IF(H2196=1,IF(E2196=1,AS2195-AR2195,AS2195)+AQ2196,0)</x:f>
        <x:v>0</x:v>
      </x:c>
      <x:c r="AT2196" s="11" t="n">
        <x:f>IF(AR2196&gt;0,MIN(1,AS2196/AR2196),1)</x:f>
        <x:v>1</x:v>
      </x:c>
      <x:c r="AU2196" s="10" t="n">
        <x:f>AB2196/INDEX(v01_RepScale,G2196)</x:f>
        <x:v>90.09519605746344</x:v>
      </x:c>
      <x:c r="AV2196" s="32" t="n">
        <x:f>AM2196*60/v01_SeasonSeconds</x:f>
        <x:v>0</x:v>
      </x:c>
    </x:row>
    <x:row r="2197">
      <x:c r="A2197" s="8" t="n">
        <x:f>A2196+1</x:f>
        <x:v>2194</x:v>
      </x:c>
      <x:c r="B2197" s="9" t="n">
        <x:f>A2197*v01_SeasonSeconds/60</x:f>
        <x:v>548.5</x:v>
      </x:c>
      <x:c r="C2197" s="9" t="n">
        <x:f>A2197/4</x:f>
        <x:v>548.5</x:v>
      </x:c>
      <x:c r="D2197" s="8" t="n">
        <x:f>IF(MOD(A2197,4)=0,1,0)</x:f>
        <x:v>0</x:v>
      </x:c>
      <x:c r="E2197" s="8" t="n">
        <x:f>IF(AND(F2196&lt;=9,AS2196&gt;=AR2196),1,0)</x:f>
        <x:v>0</x:v>
      </x:c>
      <x:c r="F2197" s="8" t="n">
        <x:f>MIN(10,F2196+E2197)</x:f>
        <x:v>10</x:v>
      </x:c>
      <x:c r="G2197" s="8" t="n">
        <x:f>MIN(F2197,9)+1</x:f>
        <x:v>10</x:v>
      </x:c>
      <x:c r="H2197" s="8" t="n">
        <x:f>IF(F2197&lt;=9,1,0)</x:f>
        <x:v>0</x:v>
      </x:c>
      <x:c r="I2197" s="9" t="n">
        <x:f>MIN(10,F2196+IF(AR2196&gt;0,MIN(1,AS2196/AR2196),1))</x:f>
        <x:v>10</x:v>
      </x:c>
      <x:c r="J2197" s="32" t="n">
        <x:f>INDEX(v01_FoodCap,G2197)*Arch_FoodCap*EXP(v01_CapsByProject*SUMPRODUCT((Cap_Point&lt;=I2197)*(Cap_Kind="Food")*Cap_Ln))</x:f>
        <x:v>12000</x:v>
      </x:c>
      <x:c r="K2197" s="32" t="n">
        <x:f>J2197*MIN(1,v01_LeanBase*EXP(v01_CapsByProject*SUMPRODUCT((Cap_Point&lt;=I2197)*(Cap_Kind="Lean")*Cap_Ln)))</x:f>
        <x:v>12000</x:v>
      </x:c>
      <x:c r="L2197" s="10" t="n">
        <x:f>INDEX(v01_HousingCap,G2197)*EXP(v01_CapsByProject*SUMPRODUCT((Cap_Point&lt;=I2197)*(Cap_Kind="Housing")*Cap_Ln))</x:f>
        <x:v>20000</x:v>
      </x:c>
      <x:c r="M2197" s="10" t="n">
        <x:f>INDEX(v01_GroupCap,G2197)*v01_CohesionFactor*EXP(v01_CapsByProject*SUMPRODUCT((Cap_Point&lt;=I2197)*(Cap_Kind="Group")*Cap_Ln))</x:f>
        <x:v>1000000</x:v>
      </x:c>
      <x:c r="N2197" s="32" t="n">
        <x:f>MIN(J2197,L2197,M2197)</x:f>
        <x:v>12000</x:v>
      </x:c>
      <x:c r="O2197" s="10" t="n">
        <x:f>AE2196*N2197</x:f>
        <x:v>180000</x:v>
      </x:c>
      <x:c r="P2197" s="9" t="n">
        <x:f>MIN(1,(AB2196/(AE2196*IF(v01_GroupInCrowding=1,N2197,MIN(J2197,L2197))))^v01_CrowdingExp)</x:f>
        <x:v>0.00024569414295285325</x:v>
      </x:c>
      <x:c r="Q2197" s="9" t="n">
        <x:f>IF(D2197=1,INDEX(v01_WinterMult,G2197),1)</x:f>
        <x:v>1</x:v>
      </x:c>
      <x:c r="R2197" s="9" t="n">
        <x:f>H2197*Z2196*v01_WomenShare*v01_BaseFertility*INDEX(v01_FertMult,G2197)*Arch_Fertility*(1-P2197)</x:f>
        <x:v>0</x:v>
      </x:c>
      <x:c r="S2197" s="9" t="n">
        <x:f>H2197*Y2196*INDEX(v01_MortChild,G2197)/4*Q2197</x:f>
        <x:v>0</x:v>
      </x:c>
      <x:c r="T2197" s="9" t="n">
        <x:f>H2197*Z2196*INDEX(v01_MortAdult,G2197)*Arch_AdultMort/4*Q2197</x:f>
        <x:v>0</x:v>
      </x:c>
      <x:c r="U2197" s="9" t="n">
        <x:f>H2197*AA2196*INDEX(v01_MortElder,G2197)/4*Q2197</x:f>
        <x:v>0</x:v>
      </x:c>
      <x:c r="V2197" s="9" t="n">
        <x:f>H2197*MAX(0,AB2196-O2197)*v01_OvercapLoss</x:f>
        <x:v>0</x:v>
      </x:c>
      <x:c r="W2197" s="9" t="n">
        <x:f>H2197*Y2196/(v01_ChildYears*4)</x:f>
        <x:v>0</x:v>
      </x:c>
      <x:c r="X2197" s="9" t="n">
        <x:f>H2197*Z2196/(v01_AdultYears*4)</x:f>
        <x:v>0</x:v>
      </x:c>
      <x:c r="Y2197" s="32" t="n">
        <x:f>Y2196+R2197-S2197-W2197-Y2196*V2197/AB2196</x:f>
        <x:v>14306.18539759397</x:v>
      </x:c>
      <x:c r="Z2197" s="32" t="n">
        <x:f>Z2196+W2197-X2197-T2197-Z2196*V2197/AB2196</x:f>
        <x:v>19354.456567879548</x:v>
      </x:c>
      <x:c r="AA2197" s="32" t="n">
        <x:f>AA2196+X2197-U2197-AA2196*V2197/AB2196</x:f>
        <x:v>11386.956063258198</x:v>
      </x:c>
      <x:c r="AB2197" s="10" t="n">
        <x:f>Y2197+Z2197+AA2197</x:f>
        <x:v>45047.59802873172</x:v>
      </x:c>
      <x:c r="AC2197" s="8" t="n">
        <x:f>IF(AND(v01_WinterTrigger=1,D2197=1,AB2196/AE2196&gt;=K2197),1,0)</x:f>
        <x:v>0</x:v>
      </x:c>
      <x:c r="AD2197" s="8" t="n">
        <x:f>H2197*IF(AND(OR(AB2196/AE2196&gt;=v01_FissionTrigger*N2197,AC2197=1),AB2196/AE2196*v01_DaughterShare&gt;=v01_MinDaughter),MAX(1,ROUND(AE2196*v01_FissionRate,0)),0)</x:f>
        <x:v>0</x:v>
      </x:c>
      <x:c r="AE2197" s="8" t="n">
        <x:f>IF(H2197=1,MAX(1,MIN(INDEX(v01_Smax,G2197),AE2196+AD2197)),AE2196)</x:f>
        <x:v>15</x:v>
      </x:c>
      <x:c r="AF2197" s="8" t="n">
        <x:f>MAX(0,AE2197-AE2196)</x:f>
        <x:v>0</x:v>
      </x:c>
      <x:c r="AG2197" s="9" t="str">
        <x:f>IF(AF2197&gt;0,B2197,"")</x:f>
      </x:c>
      <x:c r="AH2197" s="9" t="n">
        <x:f>IF(F2197&gt;=1,1,(1+v01_LowTiesShare*(AE2197-1))/AE2197)</x:f>
        <x:v>1</x:v>
      </x:c>
      <x:c r="AI2197" s="32" t="n">
        <x:f>(Z2197+v01_ElderCommons*INDEX(LM_Elder,G2197)*AA2197)*AH2197</x:f>
        <x:v>64139.732591141874</x:v>
      </x:c>
      <x:c r="AJ2197" s="32" t="n">
        <x:f>H2197*v01_CommonsCoef*AI2197^v01_CommonsExp*INDEX(LM_Commons,G2197)</x:f>
        <x:v>0</x:v>
      </x:c>
      <x:c r="AK2197" s="32" t="n">
        <x:f>H2197*v01_RoleScale*Arch_Roles*(AE2197*(INDEX(v01_ElderRolePerSett,G2197)*v01_OutElder*INDEX(LM_Elder,G2197)+INDEX(v01_ShamanPerSett,G2197)*v01_OutShaman)+Z2197*(INDEX(v01_PriestShare,G2197)*v01_OutPriest+INDEX(v01_ScribeShare,G2197)*v01_OutScribe*INDEX(LM_Scribe,G2197)+INDEX(v01_ScholarShare,G2197)*v01_OutScholar*INDEX(LM_Scholar,G2197)+INDEX(v01_ResearcherShare,G2197)*v01_OutResearcher*INDEX(LM_Researcher,G2197)))</x:f>
        <x:v>0</x:v>
      </x:c>
      <x:c r="AL2197" s="32" t="n">
        <x:f>H2197*v01_RoleScale*Arch_Roles*AE2197*INDEX(v01_MonasteryPerSett,G2197)*v01_OutMonastery*INDEX(LM_Monastery,G2197)</x:f>
        <x:v>0</x:v>
      </x:c>
      <x:c r="AM2197" s="32" t="n">
        <x:f>(AJ2197+AK2197+AL2197)/4*INDEX(LM_All,G2197)*INDEX(v01_Boon,G2197)*Arch_Insight</x:f>
        <x:v>0</x:v>
      </x:c>
      <x:c r="AN2197" s="32" t="n">
        <x:f>H2197*(v01_KHPerAdult*Z2197+v01_KHOfCommons*AJ2197/4*INDEX(LM_All,G2197))*v01_KHUsable*Arch_KH</x:f>
        <x:v>0</x:v>
      </x:c>
      <x:c r="AO2197" s="32" t="n">
        <x:f>MIN(AP2196+AN2197,AM2197*v01_KHMaxRatio)</x:f>
        <x:v>0</x:v>
      </x:c>
      <x:c r="AP2197" s="32" t="n">
        <x:f>AP2196+AN2197-AO2197</x:f>
        <x:v>0</x:v>
      </x:c>
      <x:c r="AQ2197" s="32" t="n">
        <x:f>AM2197+AO2197</x:f>
        <x:v>0</x:v>
      </x:c>
      <x:c r="AR2197" s="10" t="n">
        <x:f>IF(H2197=1,INDEX(v01_Req,G2197),0)</x:f>
        <x:v>0</x:v>
      </x:c>
      <x:c r="AS2197" s="32" t="n">
        <x:f>IF(H2197=1,IF(E2197=1,AS2196-AR2196,AS2196)+AQ2197,0)</x:f>
        <x:v>0</x:v>
      </x:c>
      <x:c r="AT2197" s="11" t="n">
        <x:f>IF(AR2197&gt;0,MIN(1,AS2197/AR2197),1)</x:f>
        <x:v>1</x:v>
      </x:c>
      <x:c r="AU2197" s="10" t="n">
        <x:f>AB2197/INDEX(v01_RepScale,G2197)</x:f>
        <x:v>90.09519605746344</x:v>
      </x:c>
      <x:c r="AV2197" s="32" t="n">
        <x:f>AM2197*60/v01_SeasonSeconds</x:f>
        <x:v>0</x:v>
      </x:c>
    </x:row>
    <x:row r="2198">
      <x:c r="A2198" s="8" t="n">
        <x:f>A2197+1</x:f>
        <x:v>2195</x:v>
      </x:c>
      <x:c r="B2198" s="9" t="n">
        <x:f>A2198*v01_SeasonSeconds/60</x:f>
        <x:v>548.75</x:v>
      </x:c>
      <x:c r="C2198" s="9" t="n">
        <x:f>A2198/4</x:f>
        <x:v>548.75</x:v>
      </x:c>
      <x:c r="D2198" s="8" t="n">
        <x:f>IF(MOD(A2198,4)=0,1,0)</x:f>
        <x:v>0</x:v>
      </x:c>
      <x:c r="E2198" s="8" t="n">
        <x:f>IF(AND(F2197&lt;=9,AS2197&gt;=AR2197),1,0)</x:f>
        <x:v>0</x:v>
      </x:c>
      <x:c r="F2198" s="8" t="n">
        <x:f>MIN(10,F2197+E2198)</x:f>
        <x:v>10</x:v>
      </x:c>
      <x:c r="G2198" s="8" t="n">
        <x:f>MIN(F2198,9)+1</x:f>
        <x:v>10</x:v>
      </x:c>
      <x:c r="H2198" s="8" t="n">
        <x:f>IF(F2198&lt;=9,1,0)</x:f>
        <x:v>0</x:v>
      </x:c>
      <x:c r="I2198" s="9" t="n">
        <x:f>MIN(10,F2197+IF(AR2197&gt;0,MIN(1,AS2197/AR2197),1))</x:f>
        <x:v>10</x:v>
      </x:c>
      <x:c r="J2198" s="32" t="n">
        <x:f>INDEX(v01_FoodCap,G2198)*Arch_FoodCap*EXP(v01_CapsByProject*SUMPRODUCT((Cap_Point&lt;=I2198)*(Cap_Kind="Food")*Cap_Ln))</x:f>
        <x:v>12000</x:v>
      </x:c>
      <x:c r="K2198" s="32" t="n">
        <x:f>J2198*MIN(1,v01_LeanBase*EXP(v01_CapsByProject*SUMPRODUCT((Cap_Point&lt;=I2198)*(Cap_Kind="Lean")*Cap_Ln)))</x:f>
        <x:v>12000</x:v>
      </x:c>
      <x:c r="L2198" s="10" t="n">
        <x:f>INDEX(v01_HousingCap,G2198)*EXP(v01_CapsByProject*SUMPRODUCT((Cap_Point&lt;=I2198)*(Cap_Kind="Housing")*Cap_Ln))</x:f>
        <x:v>20000</x:v>
      </x:c>
      <x:c r="M2198" s="10" t="n">
        <x:f>INDEX(v01_GroupCap,G2198)*v01_CohesionFactor*EXP(v01_CapsByProject*SUMPRODUCT((Cap_Point&lt;=I2198)*(Cap_Kind="Group")*Cap_Ln))</x:f>
        <x:v>1000000</x:v>
      </x:c>
      <x:c r="N2198" s="32" t="n">
        <x:f>MIN(J2198,L2198,M2198)</x:f>
        <x:v>12000</x:v>
      </x:c>
      <x:c r="O2198" s="10" t="n">
        <x:f>AE2197*N2198</x:f>
        <x:v>180000</x:v>
      </x:c>
      <x:c r="P2198" s="9" t="n">
        <x:f>MIN(1,(AB2197/(AE2197*IF(v01_GroupInCrowding=1,N2198,MIN(J2198,L2198))))^v01_CrowdingExp)</x:f>
        <x:v>0.00024569414295285325</x:v>
      </x:c>
      <x:c r="Q2198" s="9" t="n">
        <x:f>IF(D2198=1,INDEX(v01_WinterMult,G2198),1)</x:f>
        <x:v>1</x:v>
      </x:c>
      <x:c r="R2198" s="9" t="n">
        <x:f>H2198*Z2197*v01_WomenShare*v01_BaseFertility*INDEX(v01_FertMult,G2198)*Arch_Fertility*(1-P2198)</x:f>
        <x:v>0</x:v>
      </x:c>
      <x:c r="S2198" s="9" t="n">
        <x:f>H2198*Y2197*INDEX(v01_MortChild,G2198)/4*Q2198</x:f>
        <x:v>0</x:v>
      </x:c>
      <x:c r="T2198" s="9" t="n">
        <x:f>H2198*Z2197*INDEX(v01_MortAdult,G2198)*Arch_AdultMort/4*Q2198</x:f>
        <x:v>0</x:v>
      </x:c>
      <x:c r="U2198" s="9" t="n">
        <x:f>H2198*AA2197*INDEX(v01_MortElder,G2198)/4*Q2198</x:f>
        <x:v>0</x:v>
      </x:c>
      <x:c r="V2198" s="9" t="n">
        <x:f>H2198*MAX(0,AB2197-O2198)*v01_OvercapLoss</x:f>
        <x:v>0</x:v>
      </x:c>
      <x:c r="W2198" s="9" t="n">
        <x:f>H2198*Y2197/(v01_ChildYears*4)</x:f>
        <x:v>0</x:v>
      </x:c>
      <x:c r="X2198" s="9" t="n">
        <x:f>H2198*Z2197/(v01_AdultYears*4)</x:f>
        <x:v>0</x:v>
      </x:c>
      <x:c r="Y2198" s="32" t="n">
        <x:f>Y2197+R2198-S2198-W2198-Y2197*V2198/AB2197</x:f>
        <x:v>14306.18539759397</x:v>
      </x:c>
      <x:c r="Z2198" s="32" t="n">
        <x:f>Z2197+W2198-X2198-T2198-Z2197*V2198/AB2197</x:f>
        <x:v>19354.456567879548</x:v>
      </x:c>
      <x:c r="AA2198" s="32" t="n">
        <x:f>AA2197+X2198-U2198-AA2197*V2198/AB2197</x:f>
        <x:v>11386.956063258198</x:v>
      </x:c>
      <x:c r="AB2198" s="10" t="n">
        <x:f>Y2198+Z2198+AA2198</x:f>
        <x:v>45047.59802873172</x:v>
      </x:c>
      <x:c r="AC2198" s="8" t="n">
        <x:f>IF(AND(v01_WinterTrigger=1,D2198=1,AB2197/AE2197&gt;=K2198),1,0)</x:f>
        <x:v>0</x:v>
      </x:c>
      <x:c r="AD2198" s="8" t="n">
        <x:f>H2198*IF(AND(OR(AB2197/AE2197&gt;=v01_FissionTrigger*N2198,AC2198=1),AB2197/AE2197*v01_DaughterShare&gt;=v01_MinDaughter),MAX(1,ROUND(AE2197*v01_FissionRate,0)),0)</x:f>
        <x:v>0</x:v>
      </x:c>
      <x:c r="AE2198" s="8" t="n">
        <x:f>IF(H2198=1,MAX(1,MIN(INDEX(v01_Smax,G2198),AE2197+AD2198)),AE2197)</x:f>
        <x:v>15</x:v>
      </x:c>
      <x:c r="AF2198" s="8" t="n">
        <x:f>MAX(0,AE2198-AE2197)</x:f>
        <x:v>0</x:v>
      </x:c>
      <x:c r="AG2198" s="9" t="str">
        <x:f>IF(AF2198&gt;0,B2198,"")</x:f>
      </x:c>
      <x:c r="AH2198" s="9" t="n">
        <x:f>IF(F2198&gt;=1,1,(1+v01_LowTiesShare*(AE2198-1))/AE2198)</x:f>
        <x:v>1</x:v>
      </x:c>
      <x:c r="AI2198" s="32" t="n">
        <x:f>(Z2198+v01_ElderCommons*INDEX(LM_Elder,G2198)*AA2198)*AH2198</x:f>
        <x:v>64139.732591141874</x:v>
      </x:c>
      <x:c r="AJ2198" s="32" t="n">
        <x:f>H2198*v01_CommonsCoef*AI2198^v01_CommonsExp*INDEX(LM_Commons,G2198)</x:f>
        <x:v>0</x:v>
      </x:c>
      <x:c r="AK2198" s="32" t="n">
        <x:f>H2198*v01_RoleScale*Arch_Roles*(AE2198*(INDEX(v01_ElderRolePerSett,G2198)*v01_OutElder*INDEX(LM_Elder,G2198)+INDEX(v01_ShamanPerSett,G2198)*v01_OutShaman)+Z2198*(INDEX(v01_PriestShare,G2198)*v01_OutPriest+INDEX(v01_ScribeShare,G2198)*v01_OutScribe*INDEX(LM_Scribe,G2198)+INDEX(v01_ScholarShare,G2198)*v01_OutScholar*INDEX(LM_Scholar,G2198)+INDEX(v01_ResearcherShare,G2198)*v01_OutResearcher*INDEX(LM_Researcher,G2198)))</x:f>
        <x:v>0</x:v>
      </x:c>
      <x:c r="AL2198" s="32" t="n">
        <x:f>H2198*v01_RoleScale*Arch_Roles*AE2198*INDEX(v01_MonasteryPerSett,G2198)*v01_OutMonastery*INDEX(LM_Monastery,G2198)</x:f>
        <x:v>0</x:v>
      </x:c>
      <x:c r="AM2198" s="32" t="n">
        <x:f>(AJ2198+AK2198+AL2198)/4*INDEX(LM_All,G2198)*INDEX(v01_Boon,G2198)*Arch_Insight</x:f>
        <x:v>0</x:v>
      </x:c>
      <x:c r="AN2198" s="32" t="n">
        <x:f>H2198*(v01_KHPerAdult*Z2198+v01_KHOfCommons*AJ2198/4*INDEX(LM_All,G2198))*v01_KHUsable*Arch_KH</x:f>
        <x:v>0</x:v>
      </x:c>
      <x:c r="AO2198" s="32" t="n">
        <x:f>MIN(AP2197+AN2198,AM2198*v01_KHMaxRatio)</x:f>
        <x:v>0</x:v>
      </x:c>
      <x:c r="AP2198" s="32" t="n">
        <x:f>AP2197+AN2198-AO2198</x:f>
        <x:v>0</x:v>
      </x:c>
      <x:c r="AQ2198" s="32" t="n">
        <x:f>AM2198+AO2198</x:f>
        <x:v>0</x:v>
      </x:c>
      <x:c r="AR2198" s="10" t="n">
        <x:f>IF(H2198=1,INDEX(v01_Req,G2198),0)</x:f>
        <x:v>0</x:v>
      </x:c>
      <x:c r="AS2198" s="32" t="n">
        <x:f>IF(H2198=1,IF(E2198=1,AS2197-AR2197,AS2197)+AQ2198,0)</x:f>
        <x:v>0</x:v>
      </x:c>
      <x:c r="AT2198" s="11" t="n">
        <x:f>IF(AR2198&gt;0,MIN(1,AS2198/AR2198),1)</x:f>
        <x:v>1</x:v>
      </x:c>
      <x:c r="AU2198" s="10" t="n">
        <x:f>AB2198/INDEX(v01_RepScale,G2198)</x:f>
        <x:v>90.09519605746344</x:v>
      </x:c>
      <x:c r="AV2198" s="32" t="n">
        <x:f>AM2198*60/v01_SeasonSeconds</x:f>
        <x:v>0</x:v>
      </x:c>
    </x:row>
    <x:row r="2199">
      <x:c r="A2199" s="8" t="n">
        <x:f>A2198+1</x:f>
        <x:v>2196</x:v>
      </x:c>
      <x:c r="B2199" s="9" t="n">
        <x:f>A2199*v01_SeasonSeconds/60</x:f>
        <x:v>549</x:v>
      </x:c>
      <x:c r="C2199" s="9" t="n">
        <x:f>A2199/4</x:f>
        <x:v>549</x:v>
      </x:c>
      <x:c r="D2199" s="8" t="n">
        <x:f>IF(MOD(A2199,4)=0,1,0)</x:f>
        <x:v>1</x:v>
      </x:c>
      <x:c r="E2199" s="8" t="n">
        <x:f>IF(AND(F2198&lt;=9,AS2198&gt;=AR2198),1,0)</x:f>
        <x:v>0</x:v>
      </x:c>
      <x:c r="F2199" s="8" t="n">
        <x:f>MIN(10,F2198+E2199)</x:f>
        <x:v>10</x:v>
      </x:c>
      <x:c r="G2199" s="8" t="n">
        <x:f>MIN(F2199,9)+1</x:f>
        <x:v>10</x:v>
      </x:c>
      <x:c r="H2199" s="8" t="n">
        <x:f>IF(F2199&lt;=9,1,0)</x:f>
        <x:v>0</x:v>
      </x:c>
      <x:c r="I2199" s="9" t="n">
        <x:f>MIN(10,F2198+IF(AR2198&gt;0,MIN(1,AS2198/AR2198),1))</x:f>
        <x:v>10</x:v>
      </x:c>
      <x:c r="J2199" s="32" t="n">
        <x:f>INDEX(v01_FoodCap,G2199)*Arch_FoodCap*EXP(v01_CapsByProject*SUMPRODUCT((Cap_Point&lt;=I2199)*(Cap_Kind="Food")*Cap_Ln))</x:f>
        <x:v>12000</x:v>
      </x:c>
      <x:c r="K2199" s="32" t="n">
        <x:f>J2199*MIN(1,v01_LeanBase*EXP(v01_CapsByProject*SUMPRODUCT((Cap_Point&lt;=I2199)*(Cap_Kind="Lean")*Cap_Ln)))</x:f>
        <x:v>12000</x:v>
      </x:c>
      <x:c r="L2199" s="10" t="n">
        <x:f>INDEX(v01_HousingCap,G2199)*EXP(v01_CapsByProject*SUMPRODUCT((Cap_Point&lt;=I2199)*(Cap_Kind="Housing")*Cap_Ln))</x:f>
        <x:v>20000</x:v>
      </x:c>
      <x:c r="M2199" s="10" t="n">
        <x:f>INDEX(v01_GroupCap,G2199)*v01_CohesionFactor*EXP(v01_CapsByProject*SUMPRODUCT((Cap_Point&lt;=I2199)*(Cap_Kind="Group")*Cap_Ln))</x:f>
        <x:v>1000000</x:v>
      </x:c>
      <x:c r="N2199" s="32" t="n">
        <x:f>MIN(J2199,L2199,M2199)</x:f>
        <x:v>12000</x:v>
      </x:c>
      <x:c r="O2199" s="10" t="n">
        <x:f>AE2198*N2199</x:f>
        <x:v>180000</x:v>
      </x:c>
      <x:c r="P2199" s="9" t="n">
        <x:f>MIN(1,(AB2198/(AE2198*IF(v01_GroupInCrowding=1,N2199,MIN(J2199,L2199))))^v01_CrowdingExp)</x:f>
        <x:v>0.00024569414295285325</x:v>
      </x:c>
      <x:c r="Q2199" s="9" t="n">
        <x:f>IF(D2199=1,INDEX(v01_WinterMult,G2199),1)</x:f>
        <x:v>1</x:v>
      </x:c>
      <x:c r="R2199" s="9" t="n">
        <x:f>H2199*Z2198*v01_WomenShare*v01_BaseFertility*INDEX(v01_FertMult,G2199)*Arch_Fertility*(1-P2199)</x:f>
        <x:v>0</x:v>
      </x:c>
      <x:c r="S2199" s="9" t="n">
        <x:f>H2199*Y2198*INDEX(v01_MortChild,G2199)/4*Q2199</x:f>
        <x:v>0</x:v>
      </x:c>
      <x:c r="T2199" s="9" t="n">
        <x:f>H2199*Z2198*INDEX(v01_MortAdult,G2199)*Arch_AdultMort/4*Q2199</x:f>
        <x:v>0</x:v>
      </x:c>
      <x:c r="U2199" s="9" t="n">
        <x:f>H2199*AA2198*INDEX(v01_MortElder,G2199)/4*Q2199</x:f>
        <x:v>0</x:v>
      </x:c>
      <x:c r="V2199" s="9" t="n">
        <x:f>H2199*MAX(0,AB2198-O2199)*v01_OvercapLoss</x:f>
        <x:v>0</x:v>
      </x:c>
      <x:c r="W2199" s="9" t="n">
        <x:f>H2199*Y2198/(v01_ChildYears*4)</x:f>
        <x:v>0</x:v>
      </x:c>
      <x:c r="X2199" s="9" t="n">
        <x:f>H2199*Z2198/(v01_AdultYears*4)</x:f>
        <x:v>0</x:v>
      </x:c>
      <x:c r="Y2199" s="32" t="n">
        <x:f>Y2198+R2199-S2199-W2199-Y2198*V2199/AB2198</x:f>
        <x:v>14306.18539759397</x:v>
      </x:c>
      <x:c r="Z2199" s="32" t="n">
        <x:f>Z2198+W2199-X2199-T2199-Z2198*V2199/AB2198</x:f>
        <x:v>19354.456567879548</x:v>
      </x:c>
      <x:c r="AA2199" s="32" t="n">
        <x:f>AA2198+X2199-U2199-AA2198*V2199/AB2198</x:f>
        <x:v>11386.956063258198</x:v>
      </x:c>
      <x:c r="AB2199" s="10" t="n">
        <x:f>Y2199+Z2199+AA2199</x:f>
        <x:v>45047.59802873172</x:v>
      </x:c>
      <x:c r="AC2199" s="8" t="n">
        <x:f>IF(AND(v01_WinterTrigger=1,D2199=1,AB2198/AE2198&gt;=K2199),1,0)</x:f>
        <x:v>0</x:v>
      </x:c>
      <x:c r="AD2199" s="8" t="n">
        <x:f>H2199*IF(AND(OR(AB2198/AE2198&gt;=v01_FissionTrigger*N2199,AC2199=1),AB2198/AE2198*v01_DaughterShare&gt;=v01_MinDaughter),MAX(1,ROUND(AE2198*v01_FissionRate,0)),0)</x:f>
        <x:v>0</x:v>
      </x:c>
      <x:c r="AE2199" s="8" t="n">
        <x:f>IF(H2199=1,MAX(1,MIN(INDEX(v01_Smax,G2199),AE2198+AD2199)),AE2198)</x:f>
        <x:v>15</x:v>
      </x:c>
      <x:c r="AF2199" s="8" t="n">
        <x:f>MAX(0,AE2199-AE2198)</x:f>
        <x:v>0</x:v>
      </x:c>
      <x:c r="AG2199" s="9" t="str">
        <x:f>IF(AF2199&gt;0,B2199,"")</x:f>
      </x:c>
      <x:c r="AH2199" s="9" t="n">
        <x:f>IF(F2199&gt;=1,1,(1+v01_LowTiesShare*(AE2199-1))/AE2199)</x:f>
        <x:v>1</x:v>
      </x:c>
      <x:c r="AI2199" s="32" t="n">
        <x:f>(Z2199+v01_ElderCommons*INDEX(LM_Elder,G2199)*AA2199)*AH2199</x:f>
        <x:v>64139.732591141874</x:v>
      </x:c>
      <x:c r="AJ2199" s="32" t="n">
        <x:f>H2199*v01_CommonsCoef*AI2199^v01_CommonsExp*INDEX(LM_Commons,G2199)</x:f>
        <x:v>0</x:v>
      </x:c>
      <x:c r="AK2199" s="32" t="n">
        <x:f>H2199*v01_RoleScale*Arch_Roles*(AE2199*(INDEX(v01_ElderRolePerSett,G2199)*v01_OutElder*INDEX(LM_Elder,G2199)+INDEX(v01_ShamanPerSett,G2199)*v01_OutShaman)+Z2199*(INDEX(v01_PriestShare,G2199)*v01_OutPriest+INDEX(v01_ScribeShare,G2199)*v01_OutScribe*INDEX(LM_Scribe,G2199)+INDEX(v01_ScholarShare,G2199)*v01_OutScholar*INDEX(LM_Scholar,G2199)+INDEX(v01_ResearcherShare,G2199)*v01_OutResearcher*INDEX(LM_Researcher,G2199)))</x:f>
        <x:v>0</x:v>
      </x:c>
      <x:c r="AL2199" s="32" t="n">
        <x:f>H2199*v01_RoleScale*Arch_Roles*AE2199*INDEX(v01_MonasteryPerSett,G2199)*v01_OutMonastery*INDEX(LM_Monastery,G2199)</x:f>
        <x:v>0</x:v>
      </x:c>
      <x:c r="AM2199" s="32" t="n">
        <x:f>(AJ2199+AK2199+AL2199)/4*INDEX(LM_All,G2199)*INDEX(v01_Boon,G2199)*Arch_Insight</x:f>
        <x:v>0</x:v>
      </x:c>
      <x:c r="AN2199" s="32" t="n">
        <x:f>H2199*(v01_KHPerAdult*Z2199+v01_KHOfCommons*AJ2199/4*INDEX(LM_All,G2199))*v01_KHUsable*Arch_KH</x:f>
        <x:v>0</x:v>
      </x:c>
      <x:c r="AO2199" s="32" t="n">
        <x:f>MIN(AP2198+AN2199,AM2199*v01_KHMaxRatio)</x:f>
        <x:v>0</x:v>
      </x:c>
      <x:c r="AP2199" s="32" t="n">
        <x:f>AP2198+AN2199-AO2199</x:f>
        <x:v>0</x:v>
      </x:c>
      <x:c r="AQ2199" s="32" t="n">
        <x:f>AM2199+AO2199</x:f>
        <x:v>0</x:v>
      </x:c>
      <x:c r="AR2199" s="10" t="n">
        <x:f>IF(H2199=1,INDEX(v01_Req,G2199),0)</x:f>
        <x:v>0</x:v>
      </x:c>
      <x:c r="AS2199" s="32" t="n">
        <x:f>IF(H2199=1,IF(E2199=1,AS2198-AR2198,AS2198)+AQ2199,0)</x:f>
        <x:v>0</x:v>
      </x:c>
      <x:c r="AT2199" s="11" t="n">
        <x:f>IF(AR2199&gt;0,MIN(1,AS2199/AR2199),1)</x:f>
        <x:v>1</x:v>
      </x:c>
      <x:c r="AU2199" s="10" t="n">
        <x:f>AB2199/INDEX(v01_RepScale,G2199)</x:f>
        <x:v>90.09519605746344</x:v>
      </x:c>
      <x:c r="AV2199" s="32" t="n">
        <x:f>AM2199*60/v01_SeasonSeconds</x:f>
        <x:v>0</x:v>
      </x:c>
    </x:row>
    <x:row r="2200">
      <x:c r="A2200" s="8" t="n">
        <x:f>A2199+1</x:f>
        <x:v>2197</x:v>
      </x:c>
      <x:c r="B2200" s="9" t="n">
        <x:f>A2200*v01_SeasonSeconds/60</x:f>
        <x:v>549.25</x:v>
      </x:c>
      <x:c r="C2200" s="9" t="n">
        <x:f>A2200/4</x:f>
        <x:v>549.25</x:v>
      </x:c>
      <x:c r="D2200" s="8" t="n">
        <x:f>IF(MOD(A2200,4)=0,1,0)</x:f>
        <x:v>0</x:v>
      </x:c>
      <x:c r="E2200" s="8" t="n">
        <x:f>IF(AND(F2199&lt;=9,AS2199&gt;=AR2199),1,0)</x:f>
        <x:v>0</x:v>
      </x:c>
      <x:c r="F2200" s="8" t="n">
        <x:f>MIN(10,F2199+E2200)</x:f>
        <x:v>10</x:v>
      </x:c>
      <x:c r="G2200" s="8" t="n">
        <x:f>MIN(F2200,9)+1</x:f>
        <x:v>10</x:v>
      </x:c>
      <x:c r="H2200" s="8" t="n">
        <x:f>IF(F2200&lt;=9,1,0)</x:f>
        <x:v>0</x:v>
      </x:c>
      <x:c r="I2200" s="9" t="n">
        <x:f>MIN(10,F2199+IF(AR2199&gt;0,MIN(1,AS2199/AR2199),1))</x:f>
        <x:v>10</x:v>
      </x:c>
      <x:c r="J2200" s="32" t="n">
        <x:f>INDEX(v01_FoodCap,G2200)*Arch_FoodCap*EXP(v01_CapsByProject*SUMPRODUCT((Cap_Point&lt;=I2200)*(Cap_Kind="Food")*Cap_Ln))</x:f>
        <x:v>12000</x:v>
      </x:c>
      <x:c r="K2200" s="32" t="n">
        <x:f>J2200*MIN(1,v01_LeanBase*EXP(v01_CapsByProject*SUMPRODUCT((Cap_Point&lt;=I2200)*(Cap_Kind="Lean")*Cap_Ln)))</x:f>
        <x:v>12000</x:v>
      </x:c>
      <x:c r="L2200" s="10" t="n">
        <x:f>INDEX(v01_HousingCap,G2200)*EXP(v01_CapsByProject*SUMPRODUCT((Cap_Point&lt;=I2200)*(Cap_Kind="Housing")*Cap_Ln))</x:f>
        <x:v>20000</x:v>
      </x:c>
      <x:c r="M2200" s="10" t="n">
        <x:f>INDEX(v01_GroupCap,G2200)*v01_CohesionFactor*EXP(v01_CapsByProject*SUMPRODUCT((Cap_Point&lt;=I2200)*(Cap_Kind="Group")*Cap_Ln))</x:f>
        <x:v>1000000</x:v>
      </x:c>
      <x:c r="N2200" s="32" t="n">
        <x:f>MIN(J2200,L2200,M2200)</x:f>
        <x:v>12000</x:v>
      </x:c>
      <x:c r="O2200" s="10" t="n">
        <x:f>AE2199*N2200</x:f>
        <x:v>180000</x:v>
      </x:c>
      <x:c r="P2200" s="9" t="n">
        <x:f>MIN(1,(AB2199/(AE2199*IF(v01_GroupInCrowding=1,N2200,MIN(J2200,L2200))))^v01_CrowdingExp)</x:f>
        <x:v>0.00024569414295285325</x:v>
      </x:c>
      <x:c r="Q2200" s="9" t="n">
        <x:f>IF(D2200=1,INDEX(v01_WinterMult,G2200),1)</x:f>
        <x:v>1</x:v>
      </x:c>
      <x:c r="R2200" s="9" t="n">
        <x:f>H2200*Z2199*v01_WomenShare*v01_BaseFertility*INDEX(v01_FertMult,G2200)*Arch_Fertility*(1-P2200)</x:f>
        <x:v>0</x:v>
      </x:c>
      <x:c r="S2200" s="9" t="n">
        <x:f>H2200*Y2199*INDEX(v01_MortChild,G2200)/4*Q2200</x:f>
        <x:v>0</x:v>
      </x:c>
      <x:c r="T2200" s="9" t="n">
        <x:f>H2200*Z2199*INDEX(v01_MortAdult,G2200)*Arch_AdultMort/4*Q2200</x:f>
        <x:v>0</x:v>
      </x:c>
      <x:c r="U2200" s="9" t="n">
        <x:f>H2200*AA2199*INDEX(v01_MortElder,G2200)/4*Q2200</x:f>
        <x:v>0</x:v>
      </x:c>
      <x:c r="V2200" s="9" t="n">
        <x:f>H2200*MAX(0,AB2199-O2200)*v01_OvercapLoss</x:f>
        <x:v>0</x:v>
      </x:c>
      <x:c r="W2200" s="9" t="n">
        <x:f>H2200*Y2199/(v01_ChildYears*4)</x:f>
        <x:v>0</x:v>
      </x:c>
      <x:c r="X2200" s="9" t="n">
        <x:f>H2200*Z2199/(v01_AdultYears*4)</x:f>
        <x:v>0</x:v>
      </x:c>
      <x:c r="Y2200" s="32" t="n">
        <x:f>Y2199+R2200-S2200-W2200-Y2199*V2200/AB2199</x:f>
        <x:v>14306.18539759397</x:v>
      </x:c>
      <x:c r="Z2200" s="32" t="n">
        <x:f>Z2199+W2200-X2200-T2200-Z2199*V2200/AB2199</x:f>
        <x:v>19354.456567879548</x:v>
      </x:c>
      <x:c r="AA2200" s="32" t="n">
        <x:f>AA2199+X2200-U2200-AA2199*V2200/AB2199</x:f>
        <x:v>11386.956063258198</x:v>
      </x:c>
      <x:c r="AB2200" s="10" t="n">
        <x:f>Y2200+Z2200+AA2200</x:f>
        <x:v>45047.59802873172</x:v>
      </x:c>
      <x:c r="AC2200" s="8" t="n">
        <x:f>IF(AND(v01_WinterTrigger=1,D2200=1,AB2199/AE2199&gt;=K2200),1,0)</x:f>
        <x:v>0</x:v>
      </x:c>
      <x:c r="AD2200" s="8" t="n">
        <x:f>H2200*IF(AND(OR(AB2199/AE2199&gt;=v01_FissionTrigger*N2200,AC2200=1),AB2199/AE2199*v01_DaughterShare&gt;=v01_MinDaughter),MAX(1,ROUND(AE2199*v01_FissionRate,0)),0)</x:f>
        <x:v>0</x:v>
      </x:c>
      <x:c r="AE2200" s="8" t="n">
        <x:f>IF(H2200=1,MAX(1,MIN(INDEX(v01_Smax,G2200),AE2199+AD2200)),AE2199)</x:f>
        <x:v>15</x:v>
      </x:c>
      <x:c r="AF2200" s="8" t="n">
        <x:f>MAX(0,AE2200-AE2199)</x:f>
        <x:v>0</x:v>
      </x:c>
      <x:c r="AG2200" s="9" t="str">
        <x:f>IF(AF2200&gt;0,B2200,"")</x:f>
      </x:c>
      <x:c r="AH2200" s="9" t="n">
        <x:f>IF(F2200&gt;=1,1,(1+v01_LowTiesShare*(AE2200-1))/AE2200)</x:f>
        <x:v>1</x:v>
      </x:c>
      <x:c r="AI2200" s="32" t="n">
        <x:f>(Z2200+v01_ElderCommons*INDEX(LM_Elder,G2200)*AA2200)*AH2200</x:f>
        <x:v>64139.732591141874</x:v>
      </x:c>
      <x:c r="AJ2200" s="32" t="n">
        <x:f>H2200*v01_CommonsCoef*AI2200^v01_CommonsExp*INDEX(LM_Commons,G2200)</x:f>
        <x:v>0</x:v>
      </x:c>
      <x:c r="AK2200" s="32" t="n">
        <x:f>H2200*v01_RoleScale*Arch_Roles*(AE2200*(INDEX(v01_ElderRolePerSett,G2200)*v01_OutElder*INDEX(LM_Elder,G2200)+INDEX(v01_ShamanPerSett,G2200)*v01_OutShaman)+Z2200*(INDEX(v01_PriestShare,G2200)*v01_OutPriest+INDEX(v01_ScribeShare,G2200)*v01_OutScribe*INDEX(LM_Scribe,G2200)+INDEX(v01_ScholarShare,G2200)*v01_OutScholar*INDEX(LM_Scholar,G2200)+INDEX(v01_ResearcherShare,G2200)*v01_OutResearcher*INDEX(LM_Researcher,G2200)))</x:f>
        <x:v>0</x:v>
      </x:c>
      <x:c r="AL2200" s="32" t="n">
        <x:f>H2200*v01_RoleScale*Arch_Roles*AE2200*INDEX(v01_MonasteryPerSett,G2200)*v01_OutMonastery*INDEX(LM_Monastery,G2200)</x:f>
        <x:v>0</x:v>
      </x:c>
      <x:c r="AM2200" s="32" t="n">
        <x:f>(AJ2200+AK2200+AL2200)/4*INDEX(LM_All,G2200)*INDEX(v01_Boon,G2200)*Arch_Insight</x:f>
        <x:v>0</x:v>
      </x:c>
      <x:c r="AN2200" s="32" t="n">
        <x:f>H2200*(v01_KHPerAdult*Z2200+v01_KHOfCommons*AJ2200/4*INDEX(LM_All,G2200))*v01_KHUsable*Arch_KH</x:f>
        <x:v>0</x:v>
      </x:c>
      <x:c r="AO2200" s="32" t="n">
        <x:f>MIN(AP2199+AN2200,AM2200*v01_KHMaxRatio)</x:f>
        <x:v>0</x:v>
      </x:c>
      <x:c r="AP2200" s="32" t="n">
        <x:f>AP2199+AN2200-AO2200</x:f>
        <x:v>0</x:v>
      </x:c>
      <x:c r="AQ2200" s="32" t="n">
        <x:f>AM2200+AO2200</x:f>
        <x:v>0</x:v>
      </x:c>
      <x:c r="AR2200" s="10" t="n">
        <x:f>IF(H2200=1,INDEX(v01_Req,G2200),0)</x:f>
        <x:v>0</x:v>
      </x:c>
      <x:c r="AS2200" s="32" t="n">
        <x:f>IF(H2200=1,IF(E2200=1,AS2199-AR2199,AS2199)+AQ2200,0)</x:f>
        <x:v>0</x:v>
      </x:c>
      <x:c r="AT2200" s="11" t="n">
        <x:f>IF(AR2200&gt;0,MIN(1,AS2200/AR2200),1)</x:f>
        <x:v>1</x:v>
      </x:c>
      <x:c r="AU2200" s="10" t="n">
        <x:f>AB2200/INDEX(v01_RepScale,G2200)</x:f>
        <x:v>90.09519605746344</x:v>
      </x:c>
      <x:c r="AV2200" s="32" t="n">
        <x:f>AM2200*60/v01_SeasonSeconds</x:f>
        <x:v>0</x:v>
      </x:c>
    </x:row>
    <x:row r="2201">
      <x:c r="A2201" s="8" t="n">
        <x:f>A2200+1</x:f>
        <x:v>2198</x:v>
      </x:c>
      <x:c r="B2201" s="9" t="n">
        <x:f>A2201*v01_SeasonSeconds/60</x:f>
        <x:v>549.5</x:v>
      </x:c>
      <x:c r="C2201" s="9" t="n">
        <x:f>A2201/4</x:f>
        <x:v>549.5</x:v>
      </x:c>
      <x:c r="D2201" s="8" t="n">
        <x:f>IF(MOD(A2201,4)=0,1,0)</x:f>
        <x:v>0</x:v>
      </x:c>
      <x:c r="E2201" s="8" t="n">
        <x:f>IF(AND(F2200&lt;=9,AS2200&gt;=AR2200),1,0)</x:f>
        <x:v>0</x:v>
      </x:c>
      <x:c r="F2201" s="8" t="n">
        <x:f>MIN(10,F2200+E2201)</x:f>
        <x:v>10</x:v>
      </x:c>
      <x:c r="G2201" s="8" t="n">
        <x:f>MIN(F2201,9)+1</x:f>
        <x:v>10</x:v>
      </x:c>
      <x:c r="H2201" s="8" t="n">
        <x:f>IF(F2201&lt;=9,1,0)</x:f>
        <x:v>0</x:v>
      </x:c>
      <x:c r="I2201" s="9" t="n">
        <x:f>MIN(10,F2200+IF(AR2200&gt;0,MIN(1,AS2200/AR2200),1))</x:f>
        <x:v>10</x:v>
      </x:c>
      <x:c r="J2201" s="32" t="n">
        <x:f>INDEX(v01_FoodCap,G2201)*Arch_FoodCap*EXP(v01_CapsByProject*SUMPRODUCT((Cap_Point&lt;=I2201)*(Cap_Kind="Food")*Cap_Ln))</x:f>
        <x:v>12000</x:v>
      </x:c>
      <x:c r="K2201" s="32" t="n">
        <x:f>J2201*MIN(1,v01_LeanBase*EXP(v01_CapsByProject*SUMPRODUCT((Cap_Point&lt;=I2201)*(Cap_Kind="Lean")*Cap_Ln)))</x:f>
        <x:v>12000</x:v>
      </x:c>
      <x:c r="L2201" s="10" t="n">
        <x:f>INDEX(v01_HousingCap,G2201)*EXP(v01_CapsByProject*SUMPRODUCT((Cap_Point&lt;=I2201)*(Cap_Kind="Housing")*Cap_Ln))</x:f>
        <x:v>20000</x:v>
      </x:c>
      <x:c r="M2201" s="10" t="n">
        <x:f>INDEX(v01_GroupCap,G2201)*v01_CohesionFactor*EXP(v01_CapsByProject*SUMPRODUCT((Cap_Point&lt;=I2201)*(Cap_Kind="Group")*Cap_Ln))</x:f>
        <x:v>1000000</x:v>
      </x:c>
      <x:c r="N2201" s="32" t="n">
        <x:f>MIN(J2201,L2201,M2201)</x:f>
        <x:v>12000</x:v>
      </x:c>
      <x:c r="O2201" s="10" t="n">
        <x:f>AE2200*N2201</x:f>
        <x:v>180000</x:v>
      </x:c>
      <x:c r="P2201" s="9" t="n">
        <x:f>MIN(1,(AB2200/(AE2200*IF(v01_GroupInCrowding=1,N2201,MIN(J2201,L2201))))^v01_CrowdingExp)</x:f>
        <x:v>0.00024569414295285325</x:v>
      </x:c>
      <x:c r="Q2201" s="9" t="n">
        <x:f>IF(D2201=1,INDEX(v01_WinterMult,G2201),1)</x:f>
        <x:v>1</x:v>
      </x:c>
      <x:c r="R2201" s="9" t="n">
        <x:f>H2201*Z2200*v01_WomenShare*v01_BaseFertility*INDEX(v01_FertMult,G2201)*Arch_Fertility*(1-P2201)</x:f>
        <x:v>0</x:v>
      </x:c>
      <x:c r="S2201" s="9" t="n">
        <x:f>H2201*Y2200*INDEX(v01_MortChild,G2201)/4*Q2201</x:f>
        <x:v>0</x:v>
      </x:c>
      <x:c r="T2201" s="9" t="n">
        <x:f>H2201*Z2200*INDEX(v01_MortAdult,G2201)*Arch_AdultMort/4*Q2201</x:f>
        <x:v>0</x:v>
      </x:c>
      <x:c r="U2201" s="9" t="n">
        <x:f>H2201*AA2200*INDEX(v01_MortElder,G2201)/4*Q2201</x:f>
        <x:v>0</x:v>
      </x:c>
      <x:c r="V2201" s="9" t="n">
        <x:f>H2201*MAX(0,AB2200-O2201)*v01_OvercapLoss</x:f>
        <x:v>0</x:v>
      </x:c>
      <x:c r="W2201" s="9" t="n">
        <x:f>H2201*Y2200/(v01_ChildYears*4)</x:f>
        <x:v>0</x:v>
      </x:c>
      <x:c r="X2201" s="9" t="n">
        <x:f>H2201*Z2200/(v01_AdultYears*4)</x:f>
        <x:v>0</x:v>
      </x:c>
      <x:c r="Y2201" s="32" t="n">
        <x:f>Y2200+R2201-S2201-W2201-Y2200*V2201/AB2200</x:f>
        <x:v>14306.18539759397</x:v>
      </x:c>
      <x:c r="Z2201" s="32" t="n">
        <x:f>Z2200+W2201-X2201-T2201-Z2200*V2201/AB2200</x:f>
        <x:v>19354.456567879548</x:v>
      </x:c>
      <x:c r="AA2201" s="32" t="n">
        <x:f>AA2200+X2201-U2201-AA2200*V2201/AB2200</x:f>
        <x:v>11386.956063258198</x:v>
      </x:c>
      <x:c r="AB2201" s="10" t="n">
        <x:f>Y2201+Z2201+AA2201</x:f>
        <x:v>45047.59802873172</x:v>
      </x:c>
      <x:c r="AC2201" s="8" t="n">
        <x:f>IF(AND(v01_WinterTrigger=1,D2201=1,AB2200/AE2200&gt;=K2201),1,0)</x:f>
        <x:v>0</x:v>
      </x:c>
      <x:c r="AD2201" s="8" t="n">
        <x:f>H2201*IF(AND(OR(AB2200/AE2200&gt;=v01_FissionTrigger*N2201,AC2201=1),AB2200/AE2200*v01_DaughterShare&gt;=v01_MinDaughter),MAX(1,ROUND(AE2200*v01_FissionRate,0)),0)</x:f>
        <x:v>0</x:v>
      </x:c>
      <x:c r="AE2201" s="8" t="n">
        <x:f>IF(H2201=1,MAX(1,MIN(INDEX(v01_Smax,G2201),AE2200+AD2201)),AE2200)</x:f>
        <x:v>15</x:v>
      </x:c>
      <x:c r="AF2201" s="8" t="n">
        <x:f>MAX(0,AE2201-AE2200)</x:f>
        <x:v>0</x:v>
      </x:c>
      <x:c r="AG2201" s="9" t="str">
        <x:f>IF(AF2201&gt;0,B2201,"")</x:f>
      </x:c>
      <x:c r="AH2201" s="9" t="n">
        <x:f>IF(F2201&gt;=1,1,(1+v01_LowTiesShare*(AE2201-1))/AE2201)</x:f>
        <x:v>1</x:v>
      </x:c>
      <x:c r="AI2201" s="32" t="n">
        <x:f>(Z2201+v01_ElderCommons*INDEX(LM_Elder,G2201)*AA2201)*AH2201</x:f>
        <x:v>64139.732591141874</x:v>
      </x:c>
      <x:c r="AJ2201" s="32" t="n">
        <x:f>H2201*v01_CommonsCoef*AI2201^v01_CommonsExp*INDEX(LM_Commons,G2201)</x:f>
        <x:v>0</x:v>
      </x:c>
      <x:c r="AK2201" s="32" t="n">
        <x:f>H2201*v01_RoleScale*Arch_Roles*(AE2201*(INDEX(v01_ElderRolePerSett,G2201)*v01_OutElder*INDEX(LM_Elder,G2201)+INDEX(v01_ShamanPerSett,G2201)*v01_OutShaman)+Z2201*(INDEX(v01_PriestShare,G2201)*v01_OutPriest+INDEX(v01_ScribeShare,G2201)*v01_OutScribe*INDEX(LM_Scribe,G2201)+INDEX(v01_ScholarShare,G2201)*v01_OutScholar*INDEX(LM_Scholar,G2201)+INDEX(v01_ResearcherShare,G2201)*v01_OutResearcher*INDEX(LM_Researcher,G2201)))</x:f>
        <x:v>0</x:v>
      </x:c>
      <x:c r="AL2201" s="32" t="n">
        <x:f>H2201*v01_RoleScale*Arch_Roles*AE2201*INDEX(v01_MonasteryPerSett,G2201)*v01_OutMonastery*INDEX(LM_Monastery,G2201)</x:f>
        <x:v>0</x:v>
      </x:c>
      <x:c r="AM2201" s="32" t="n">
        <x:f>(AJ2201+AK2201+AL2201)/4*INDEX(LM_All,G2201)*INDEX(v01_Boon,G2201)*Arch_Insight</x:f>
        <x:v>0</x:v>
      </x:c>
      <x:c r="AN2201" s="32" t="n">
        <x:f>H2201*(v01_KHPerAdult*Z2201+v01_KHOfCommons*AJ2201/4*INDEX(LM_All,G2201))*v01_KHUsable*Arch_KH</x:f>
        <x:v>0</x:v>
      </x:c>
      <x:c r="AO2201" s="32" t="n">
        <x:f>MIN(AP2200+AN2201,AM2201*v01_KHMaxRatio)</x:f>
        <x:v>0</x:v>
      </x:c>
      <x:c r="AP2201" s="32" t="n">
        <x:f>AP2200+AN2201-AO2201</x:f>
        <x:v>0</x:v>
      </x:c>
      <x:c r="AQ2201" s="32" t="n">
        <x:f>AM2201+AO2201</x:f>
        <x:v>0</x:v>
      </x:c>
      <x:c r="AR2201" s="10" t="n">
        <x:f>IF(H2201=1,INDEX(v01_Req,G2201),0)</x:f>
        <x:v>0</x:v>
      </x:c>
      <x:c r="AS2201" s="32" t="n">
        <x:f>IF(H2201=1,IF(E2201=1,AS2200-AR2200,AS2200)+AQ2201,0)</x:f>
        <x:v>0</x:v>
      </x:c>
      <x:c r="AT2201" s="11" t="n">
        <x:f>IF(AR2201&gt;0,MIN(1,AS2201/AR2201),1)</x:f>
        <x:v>1</x:v>
      </x:c>
      <x:c r="AU2201" s="10" t="n">
        <x:f>AB2201/INDEX(v01_RepScale,G2201)</x:f>
        <x:v>90.09519605746344</x:v>
      </x:c>
      <x:c r="AV2201" s="32" t="n">
        <x:f>AM2201*60/v01_SeasonSeconds</x:f>
        <x:v>0</x:v>
      </x:c>
    </x:row>
    <x:row r="2202">
      <x:c r="A2202" s="8" t="n">
        <x:f>A2201+1</x:f>
        <x:v>2199</x:v>
      </x:c>
      <x:c r="B2202" s="9" t="n">
        <x:f>A2202*v01_SeasonSeconds/60</x:f>
        <x:v>549.75</x:v>
      </x:c>
      <x:c r="C2202" s="9" t="n">
        <x:f>A2202/4</x:f>
        <x:v>549.75</x:v>
      </x:c>
      <x:c r="D2202" s="8" t="n">
        <x:f>IF(MOD(A2202,4)=0,1,0)</x:f>
        <x:v>0</x:v>
      </x:c>
      <x:c r="E2202" s="8" t="n">
        <x:f>IF(AND(F2201&lt;=9,AS2201&gt;=AR2201),1,0)</x:f>
        <x:v>0</x:v>
      </x:c>
      <x:c r="F2202" s="8" t="n">
        <x:f>MIN(10,F2201+E2202)</x:f>
        <x:v>10</x:v>
      </x:c>
      <x:c r="G2202" s="8" t="n">
        <x:f>MIN(F2202,9)+1</x:f>
        <x:v>10</x:v>
      </x:c>
      <x:c r="H2202" s="8" t="n">
        <x:f>IF(F2202&lt;=9,1,0)</x:f>
        <x:v>0</x:v>
      </x:c>
      <x:c r="I2202" s="9" t="n">
        <x:f>MIN(10,F2201+IF(AR2201&gt;0,MIN(1,AS2201/AR2201),1))</x:f>
        <x:v>10</x:v>
      </x:c>
      <x:c r="J2202" s="32" t="n">
        <x:f>INDEX(v01_FoodCap,G2202)*Arch_FoodCap*EXP(v01_CapsByProject*SUMPRODUCT((Cap_Point&lt;=I2202)*(Cap_Kind="Food")*Cap_Ln))</x:f>
        <x:v>12000</x:v>
      </x:c>
      <x:c r="K2202" s="32" t="n">
        <x:f>J2202*MIN(1,v01_LeanBase*EXP(v01_CapsByProject*SUMPRODUCT((Cap_Point&lt;=I2202)*(Cap_Kind="Lean")*Cap_Ln)))</x:f>
        <x:v>12000</x:v>
      </x:c>
      <x:c r="L2202" s="10" t="n">
        <x:f>INDEX(v01_HousingCap,G2202)*EXP(v01_CapsByProject*SUMPRODUCT((Cap_Point&lt;=I2202)*(Cap_Kind="Housing")*Cap_Ln))</x:f>
        <x:v>20000</x:v>
      </x:c>
      <x:c r="M2202" s="10" t="n">
        <x:f>INDEX(v01_GroupCap,G2202)*v01_CohesionFactor*EXP(v01_CapsByProject*SUMPRODUCT((Cap_Point&lt;=I2202)*(Cap_Kind="Group")*Cap_Ln))</x:f>
        <x:v>1000000</x:v>
      </x:c>
      <x:c r="N2202" s="32" t="n">
        <x:f>MIN(J2202,L2202,M2202)</x:f>
        <x:v>12000</x:v>
      </x:c>
      <x:c r="O2202" s="10" t="n">
        <x:f>AE2201*N2202</x:f>
        <x:v>180000</x:v>
      </x:c>
      <x:c r="P2202" s="9" t="n">
        <x:f>MIN(1,(AB2201/(AE2201*IF(v01_GroupInCrowding=1,N2202,MIN(J2202,L2202))))^v01_CrowdingExp)</x:f>
        <x:v>0.00024569414295285325</x:v>
      </x:c>
      <x:c r="Q2202" s="9" t="n">
        <x:f>IF(D2202=1,INDEX(v01_WinterMult,G2202),1)</x:f>
        <x:v>1</x:v>
      </x:c>
      <x:c r="R2202" s="9" t="n">
        <x:f>H2202*Z2201*v01_WomenShare*v01_BaseFertility*INDEX(v01_FertMult,G2202)*Arch_Fertility*(1-P2202)</x:f>
        <x:v>0</x:v>
      </x:c>
      <x:c r="S2202" s="9" t="n">
        <x:f>H2202*Y2201*INDEX(v01_MortChild,G2202)/4*Q2202</x:f>
        <x:v>0</x:v>
      </x:c>
      <x:c r="T2202" s="9" t="n">
        <x:f>H2202*Z2201*INDEX(v01_MortAdult,G2202)*Arch_AdultMort/4*Q2202</x:f>
        <x:v>0</x:v>
      </x:c>
      <x:c r="U2202" s="9" t="n">
        <x:f>H2202*AA2201*INDEX(v01_MortElder,G2202)/4*Q2202</x:f>
        <x:v>0</x:v>
      </x:c>
      <x:c r="V2202" s="9" t="n">
        <x:f>H2202*MAX(0,AB2201-O2202)*v01_OvercapLoss</x:f>
        <x:v>0</x:v>
      </x:c>
      <x:c r="W2202" s="9" t="n">
        <x:f>H2202*Y2201/(v01_ChildYears*4)</x:f>
        <x:v>0</x:v>
      </x:c>
      <x:c r="X2202" s="9" t="n">
        <x:f>H2202*Z2201/(v01_AdultYears*4)</x:f>
        <x:v>0</x:v>
      </x:c>
      <x:c r="Y2202" s="32" t="n">
        <x:f>Y2201+R2202-S2202-W2202-Y2201*V2202/AB2201</x:f>
        <x:v>14306.18539759397</x:v>
      </x:c>
      <x:c r="Z2202" s="32" t="n">
        <x:f>Z2201+W2202-X2202-T2202-Z2201*V2202/AB2201</x:f>
        <x:v>19354.456567879548</x:v>
      </x:c>
      <x:c r="AA2202" s="32" t="n">
        <x:f>AA2201+X2202-U2202-AA2201*V2202/AB2201</x:f>
        <x:v>11386.956063258198</x:v>
      </x:c>
      <x:c r="AB2202" s="10" t="n">
        <x:f>Y2202+Z2202+AA2202</x:f>
        <x:v>45047.59802873172</x:v>
      </x:c>
      <x:c r="AC2202" s="8" t="n">
        <x:f>IF(AND(v01_WinterTrigger=1,D2202=1,AB2201/AE2201&gt;=K2202),1,0)</x:f>
        <x:v>0</x:v>
      </x:c>
      <x:c r="AD2202" s="8" t="n">
        <x:f>H2202*IF(AND(OR(AB2201/AE2201&gt;=v01_FissionTrigger*N2202,AC2202=1),AB2201/AE2201*v01_DaughterShare&gt;=v01_MinDaughter),MAX(1,ROUND(AE2201*v01_FissionRate,0)),0)</x:f>
        <x:v>0</x:v>
      </x:c>
      <x:c r="AE2202" s="8" t="n">
        <x:f>IF(H2202=1,MAX(1,MIN(INDEX(v01_Smax,G2202),AE2201+AD2202)),AE2201)</x:f>
        <x:v>15</x:v>
      </x:c>
      <x:c r="AF2202" s="8" t="n">
        <x:f>MAX(0,AE2202-AE2201)</x:f>
        <x:v>0</x:v>
      </x:c>
      <x:c r="AG2202" s="9" t="str">
        <x:f>IF(AF2202&gt;0,B2202,"")</x:f>
      </x:c>
      <x:c r="AH2202" s="9" t="n">
        <x:f>IF(F2202&gt;=1,1,(1+v01_LowTiesShare*(AE2202-1))/AE2202)</x:f>
        <x:v>1</x:v>
      </x:c>
      <x:c r="AI2202" s="32" t="n">
        <x:f>(Z2202+v01_ElderCommons*INDEX(LM_Elder,G2202)*AA2202)*AH2202</x:f>
        <x:v>64139.732591141874</x:v>
      </x:c>
      <x:c r="AJ2202" s="32" t="n">
        <x:f>H2202*v01_CommonsCoef*AI2202^v01_CommonsExp*INDEX(LM_Commons,G2202)</x:f>
        <x:v>0</x:v>
      </x:c>
      <x:c r="AK2202" s="32" t="n">
        <x:f>H2202*v01_RoleScale*Arch_Roles*(AE2202*(INDEX(v01_ElderRolePerSett,G2202)*v01_OutElder*INDEX(LM_Elder,G2202)+INDEX(v01_ShamanPerSett,G2202)*v01_OutShaman)+Z2202*(INDEX(v01_PriestShare,G2202)*v01_OutPriest+INDEX(v01_ScribeShare,G2202)*v01_OutScribe*INDEX(LM_Scribe,G2202)+INDEX(v01_ScholarShare,G2202)*v01_OutScholar*INDEX(LM_Scholar,G2202)+INDEX(v01_ResearcherShare,G2202)*v01_OutResearcher*INDEX(LM_Researcher,G2202)))</x:f>
        <x:v>0</x:v>
      </x:c>
      <x:c r="AL2202" s="32" t="n">
        <x:f>H2202*v01_RoleScale*Arch_Roles*AE2202*INDEX(v01_MonasteryPerSett,G2202)*v01_OutMonastery*INDEX(LM_Monastery,G2202)</x:f>
        <x:v>0</x:v>
      </x:c>
      <x:c r="AM2202" s="32" t="n">
        <x:f>(AJ2202+AK2202+AL2202)/4*INDEX(LM_All,G2202)*INDEX(v01_Boon,G2202)*Arch_Insight</x:f>
        <x:v>0</x:v>
      </x:c>
      <x:c r="AN2202" s="32" t="n">
        <x:f>H2202*(v01_KHPerAdult*Z2202+v01_KHOfCommons*AJ2202/4*INDEX(LM_All,G2202))*v01_KHUsable*Arch_KH</x:f>
        <x:v>0</x:v>
      </x:c>
      <x:c r="AO2202" s="32" t="n">
        <x:f>MIN(AP2201+AN2202,AM2202*v01_KHMaxRatio)</x:f>
        <x:v>0</x:v>
      </x:c>
      <x:c r="AP2202" s="32" t="n">
        <x:f>AP2201+AN2202-AO2202</x:f>
        <x:v>0</x:v>
      </x:c>
      <x:c r="AQ2202" s="32" t="n">
        <x:f>AM2202+AO2202</x:f>
        <x:v>0</x:v>
      </x:c>
      <x:c r="AR2202" s="10" t="n">
        <x:f>IF(H2202=1,INDEX(v01_Req,G2202),0)</x:f>
        <x:v>0</x:v>
      </x:c>
      <x:c r="AS2202" s="32" t="n">
        <x:f>IF(H2202=1,IF(E2202=1,AS2201-AR2201,AS2201)+AQ2202,0)</x:f>
        <x:v>0</x:v>
      </x:c>
      <x:c r="AT2202" s="11" t="n">
        <x:f>IF(AR2202&gt;0,MIN(1,AS2202/AR2202),1)</x:f>
        <x:v>1</x:v>
      </x:c>
      <x:c r="AU2202" s="10" t="n">
        <x:f>AB2202/INDEX(v01_RepScale,G2202)</x:f>
        <x:v>90.09519605746344</x:v>
      </x:c>
      <x:c r="AV2202" s="32" t="n">
        <x:f>AM2202*60/v01_SeasonSeconds</x:f>
        <x:v>0</x:v>
      </x:c>
    </x:row>
    <x:row r="2203">
      <x:c r="A2203" s="8" t="n">
        <x:f>A2202+1</x:f>
        <x:v>2200</x:v>
      </x:c>
      <x:c r="B2203" s="9" t="n">
        <x:f>A2203*v01_SeasonSeconds/60</x:f>
        <x:v>550</x:v>
      </x:c>
      <x:c r="C2203" s="9" t="n">
        <x:f>A2203/4</x:f>
        <x:v>550</x:v>
      </x:c>
      <x:c r="D2203" s="8" t="n">
        <x:f>IF(MOD(A2203,4)=0,1,0)</x:f>
        <x:v>1</x:v>
      </x:c>
      <x:c r="E2203" s="8" t="n">
        <x:f>IF(AND(F2202&lt;=9,AS2202&gt;=AR2202),1,0)</x:f>
        <x:v>0</x:v>
      </x:c>
      <x:c r="F2203" s="8" t="n">
        <x:f>MIN(10,F2202+E2203)</x:f>
        <x:v>10</x:v>
      </x:c>
      <x:c r="G2203" s="8" t="n">
        <x:f>MIN(F2203,9)+1</x:f>
        <x:v>10</x:v>
      </x:c>
      <x:c r="H2203" s="8" t="n">
        <x:f>IF(F2203&lt;=9,1,0)</x:f>
        <x:v>0</x:v>
      </x:c>
      <x:c r="I2203" s="9" t="n">
        <x:f>MIN(10,F2202+IF(AR2202&gt;0,MIN(1,AS2202/AR2202),1))</x:f>
        <x:v>10</x:v>
      </x:c>
      <x:c r="J2203" s="32" t="n">
        <x:f>INDEX(v01_FoodCap,G2203)*Arch_FoodCap*EXP(v01_CapsByProject*SUMPRODUCT((Cap_Point&lt;=I2203)*(Cap_Kind="Food")*Cap_Ln))</x:f>
        <x:v>12000</x:v>
      </x:c>
      <x:c r="K2203" s="32" t="n">
        <x:f>J2203*MIN(1,v01_LeanBase*EXP(v01_CapsByProject*SUMPRODUCT((Cap_Point&lt;=I2203)*(Cap_Kind="Lean")*Cap_Ln)))</x:f>
        <x:v>12000</x:v>
      </x:c>
      <x:c r="L2203" s="10" t="n">
        <x:f>INDEX(v01_HousingCap,G2203)*EXP(v01_CapsByProject*SUMPRODUCT((Cap_Point&lt;=I2203)*(Cap_Kind="Housing")*Cap_Ln))</x:f>
        <x:v>20000</x:v>
      </x:c>
      <x:c r="M2203" s="10" t="n">
        <x:f>INDEX(v01_GroupCap,G2203)*v01_CohesionFactor*EXP(v01_CapsByProject*SUMPRODUCT((Cap_Point&lt;=I2203)*(Cap_Kind="Group")*Cap_Ln))</x:f>
        <x:v>1000000</x:v>
      </x:c>
      <x:c r="N2203" s="32" t="n">
        <x:f>MIN(J2203,L2203,M2203)</x:f>
        <x:v>12000</x:v>
      </x:c>
      <x:c r="O2203" s="10" t="n">
        <x:f>AE2202*N2203</x:f>
        <x:v>180000</x:v>
      </x:c>
      <x:c r="P2203" s="9" t="n">
        <x:f>MIN(1,(AB2202/(AE2202*IF(v01_GroupInCrowding=1,N2203,MIN(J2203,L2203))))^v01_CrowdingExp)</x:f>
        <x:v>0.00024569414295285325</x:v>
      </x:c>
      <x:c r="Q2203" s="9" t="n">
        <x:f>IF(D2203=1,INDEX(v01_WinterMult,G2203),1)</x:f>
        <x:v>1</x:v>
      </x:c>
      <x:c r="R2203" s="9" t="n">
        <x:f>H2203*Z2202*v01_WomenShare*v01_BaseFertility*INDEX(v01_FertMult,G2203)*Arch_Fertility*(1-P2203)</x:f>
        <x:v>0</x:v>
      </x:c>
      <x:c r="S2203" s="9" t="n">
        <x:f>H2203*Y2202*INDEX(v01_MortChild,G2203)/4*Q2203</x:f>
        <x:v>0</x:v>
      </x:c>
      <x:c r="T2203" s="9" t="n">
        <x:f>H2203*Z2202*INDEX(v01_MortAdult,G2203)*Arch_AdultMort/4*Q2203</x:f>
        <x:v>0</x:v>
      </x:c>
      <x:c r="U2203" s="9" t="n">
        <x:f>H2203*AA2202*INDEX(v01_MortElder,G2203)/4*Q2203</x:f>
        <x:v>0</x:v>
      </x:c>
      <x:c r="V2203" s="9" t="n">
        <x:f>H2203*MAX(0,AB2202-O2203)*v01_OvercapLoss</x:f>
        <x:v>0</x:v>
      </x:c>
      <x:c r="W2203" s="9" t="n">
        <x:f>H2203*Y2202/(v01_ChildYears*4)</x:f>
        <x:v>0</x:v>
      </x:c>
      <x:c r="X2203" s="9" t="n">
        <x:f>H2203*Z2202/(v01_AdultYears*4)</x:f>
        <x:v>0</x:v>
      </x:c>
      <x:c r="Y2203" s="32" t="n">
        <x:f>Y2202+R2203-S2203-W2203-Y2202*V2203/AB2202</x:f>
        <x:v>14306.18539759397</x:v>
      </x:c>
      <x:c r="Z2203" s="32" t="n">
        <x:f>Z2202+W2203-X2203-T2203-Z2202*V2203/AB2202</x:f>
        <x:v>19354.456567879548</x:v>
      </x:c>
      <x:c r="AA2203" s="32" t="n">
        <x:f>AA2202+X2203-U2203-AA2202*V2203/AB2202</x:f>
        <x:v>11386.956063258198</x:v>
      </x:c>
      <x:c r="AB2203" s="10" t="n">
        <x:f>Y2203+Z2203+AA2203</x:f>
        <x:v>45047.59802873172</x:v>
      </x:c>
      <x:c r="AC2203" s="8" t="n">
        <x:f>IF(AND(v01_WinterTrigger=1,D2203=1,AB2202/AE2202&gt;=K2203),1,0)</x:f>
        <x:v>0</x:v>
      </x:c>
      <x:c r="AD2203" s="8" t="n">
        <x:f>H2203*IF(AND(OR(AB2202/AE2202&gt;=v01_FissionTrigger*N2203,AC2203=1),AB2202/AE2202*v01_DaughterShare&gt;=v01_MinDaughter),MAX(1,ROUND(AE2202*v01_FissionRate,0)),0)</x:f>
        <x:v>0</x:v>
      </x:c>
      <x:c r="AE2203" s="8" t="n">
        <x:f>IF(H2203=1,MAX(1,MIN(INDEX(v01_Smax,G2203),AE2202+AD2203)),AE2202)</x:f>
        <x:v>15</x:v>
      </x:c>
      <x:c r="AF2203" s="8" t="n">
        <x:f>MAX(0,AE2203-AE2202)</x:f>
        <x:v>0</x:v>
      </x:c>
      <x:c r="AG2203" s="9" t="str">
        <x:f>IF(AF2203&gt;0,B2203,"")</x:f>
      </x:c>
      <x:c r="AH2203" s="9" t="n">
        <x:f>IF(F2203&gt;=1,1,(1+v01_LowTiesShare*(AE2203-1))/AE2203)</x:f>
        <x:v>1</x:v>
      </x:c>
      <x:c r="AI2203" s="32" t="n">
        <x:f>(Z2203+v01_ElderCommons*INDEX(LM_Elder,G2203)*AA2203)*AH2203</x:f>
        <x:v>64139.732591141874</x:v>
      </x:c>
      <x:c r="AJ2203" s="32" t="n">
        <x:f>H2203*v01_CommonsCoef*AI2203^v01_CommonsExp*INDEX(LM_Commons,G2203)</x:f>
        <x:v>0</x:v>
      </x:c>
      <x:c r="AK2203" s="32" t="n">
        <x:f>H2203*v01_RoleScale*Arch_Roles*(AE2203*(INDEX(v01_ElderRolePerSett,G2203)*v01_OutElder*INDEX(LM_Elder,G2203)+INDEX(v01_ShamanPerSett,G2203)*v01_OutShaman)+Z2203*(INDEX(v01_PriestShare,G2203)*v01_OutPriest+INDEX(v01_ScribeShare,G2203)*v01_OutScribe*INDEX(LM_Scribe,G2203)+INDEX(v01_ScholarShare,G2203)*v01_OutScholar*INDEX(LM_Scholar,G2203)+INDEX(v01_ResearcherShare,G2203)*v01_OutResearcher*INDEX(LM_Researcher,G2203)))</x:f>
        <x:v>0</x:v>
      </x:c>
      <x:c r="AL2203" s="32" t="n">
        <x:f>H2203*v01_RoleScale*Arch_Roles*AE2203*INDEX(v01_MonasteryPerSett,G2203)*v01_OutMonastery*INDEX(LM_Monastery,G2203)</x:f>
        <x:v>0</x:v>
      </x:c>
      <x:c r="AM2203" s="32" t="n">
        <x:f>(AJ2203+AK2203+AL2203)/4*INDEX(LM_All,G2203)*INDEX(v01_Boon,G2203)*Arch_Insight</x:f>
        <x:v>0</x:v>
      </x:c>
      <x:c r="AN2203" s="32" t="n">
        <x:f>H2203*(v01_KHPerAdult*Z2203+v01_KHOfCommons*AJ2203/4*INDEX(LM_All,G2203))*v01_KHUsable*Arch_KH</x:f>
        <x:v>0</x:v>
      </x:c>
      <x:c r="AO2203" s="32" t="n">
        <x:f>MIN(AP2202+AN2203,AM2203*v01_KHMaxRatio)</x:f>
        <x:v>0</x:v>
      </x:c>
      <x:c r="AP2203" s="32" t="n">
        <x:f>AP2202+AN2203-AO2203</x:f>
        <x:v>0</x:v>
      </x:c>
      <x:c r="AQ2203" s="32" t="n">
        <x:f>AM2203+AO2203</x:f>
        <x:v>0</x:v>
      </x:c>
      <x:c r="AR2203" s="10" t="n">
        <x:f>IF(H2203=1,INDEX(v01_Req,G2203),0)</x:f>
        <x:v>0</x:v>
      </x:c>
      <x:c r="AS2203" s="32" t="n">
        <x:f>IF(H2203=1,IF(E2203=1,AS2202-AR2202,AS2202)+AQ2203,0)</x:f>
        <x:v>0</x:v>
      </x:c>
      <x:c r="AT2203" s="11" t="n">
        <x:f>IF(AR2203&gt;0,MIN(1,AS2203/AR2203),1)</x:f>
        <x:v>1</x:v>
      </x:c>
      <x:c r="AU2203" s="10" t="n">
        <x:f>AB2203/INDEX(v01_RepScale,G2203)</x:f>
        <x:v>90.09519605746344</x:v>
      </x:c>
      <x:c r="AV2203" s="32" t="n">
        <x:f>AM2203*60/v01_SeasonSeconds</x:f>
        <x:v>0</x:v>
      </x:c>
    </x:row>
    <x:row r="2204">
      <x:c r="A2204" s="8" t="n">
        <x:f>A2203+1</x:f>
        <x:v>2201</x:v>
      </x:c>
      <x:c r="B2204" s="9" t="n">
        <x:f>A2204*v01_SeasonSeconds/60</x:f>
        <x:v>550.25</x:v>
      </x:c>
      <x:c r="C2204" s="9" t="n">
        <x:f>A2204/4</x:f>
        <x:v>550.25</x:v>
      </x:c>
      <x:c r="D2204" s="8" t="n">
        <x:f>IF(MOD(A2204,4)=0,1,0)</x:f>
        <x:v>0</x:v>
      </x:c>
      <x:c r="E2204" s="8" t="n">
        <x:f>IF(AND(F2203&lt;=9,AS2203&gt;=AR2203),1,0)</x:f>
        <x:v>0</x:v>
      </x:c>
      <x:c r="F2204" s="8" t="n">
        <x:f>MIN(10,F2203+E2204)</x:f>
        <x:v>10</x:v>
      </x:c>
      <x:c r="G2204" s="8" t="n">
        <x:f>MIN(F2204,9)+1</x:f>
        <x:v>10</x:v>
      </x:c>
      <x:c r="H2204" s="8" t="n">
        <x:f>IF(F2204&lt;=9,1,0)</x:f>
        <x:v>0</x:v>
      </x:c>
      <x:c r="I2204" s="9" t="n">
        <x:f>MIN(10,F2203+IF(AR2203&gt;0,MIN(1,AS2203/AR2203),1))</x:f>
        <x:v>10</x:v>
      </x:c>
      <x:c r="J2204" s="32" t="n">
        <x:f>INDEX(v01_FoodCap,G2204)*Arch_FoodCap*EXP(v01_CapsByProject*SUMPRODUCT((Cap_Point&lt;=I2204)*(Cap_Kind="Food")*Cap_Ln))</x:f>
        <x:v>12000</x:v>
      </x:c>
      <x:c r="K2204" s="32" t="n">
        <x:f>J2204*MIN(1,v01_LeanBase*EXP(v01_CapsByProject*SUMPRODUCT((Cap_Point&lt;=I2204)*(Cap_Kind="Lean")*Cap_Ln)))</x:f>
        <x:v>12000</x:v>
      </x:c>
      <x:c r="L2204" s="10" t="n">
        <x:f>INDEX(v01_HousingCap,G2204)*EXP(v01_CapsByProject*SUMPRODUCT((Cap_Point&lt;=I2204)*(Cap_Kind="Housing")*Cap_Ln))</x:f>
        <x:v>20000</x:v>
      </x:c>
      <x:c r="M2204" s="10" t="n">
        <x:f>INDEX(v01_GroupCap,G2204)*v01_CohesionFactor*EXP(v01_CapsByProject*SUMPRODUCT((Cap_Point&lt;=I2204)*(Cap_Kind="Group")*Cap_Ln))</x:f>
        <x:v>1000000</x:v>
      </x:c>
      <x:c r="N2204" s="32" t="n">
        <x:f>MIN(J2204,L2204,M2204)</x:f>
        <x:v>12000</x:v>
      </x:c>
      <x:c r="O2204" s="10" t="n">
        <x:f>AE2203*N2204</x:f>
        <x:v>180000</x:v>
      </x:c>
      <x:c r="P2204" s="9" t="n">
        <x:f>MIN(1,(AB2203/(AE2203*IF(v01_GroupInCrowding=1,N2204,MIN(J2204,L2204))))^v01_CrowdingExp)</x:f>
        <x:v>0.00024569414295285325</x:v>
      </x:c>
      <x:c r="Q2204" s="9" t="n">
        <x:f>IF(D2204=1,INDEX(v01_WinterMult,G2204),1)</x:f>
        <x:v>1</x:v>
      </x:c>
      <x:c r="R2204" s="9" t="n">
        <x:f>H2204*Z2203*v01_WomenShare*v01_BaseFertility*INDEX(v01_FertMult,G2204)*Arch_Fertility*(1-P2204)</x:f>
        <x:v>0</x:v>
      </x:c>
      <x:c r="S2204" s="9" t="n">
        <x:f>H2204*Y2203*INDEX(v01_MortChild,G2204)/4*Q2204</x:f>
        <x:v>0</x:v>
      </x:c>
      <x:c r="T2204" s="9" t="n">
        <x:f>H2204*Z2203*INDEX(v01_MortAdult,G2204)*Arch_AdultMort/4*Q2204</x:f>
        <x:v>0</x:v>
      </x:c>
      <x:c r="U2204" s="9" t="n">
        <x:f>H2204*AA2203*INDEX(v01_MortElder,G2204)/4*Q2204</x:f>
        <x:v>0</x:v>
      </x:c>
      <x:c r="V2204" s="9" t="n">
        <x:f>H2204*MAX(0,AB2203-O2204)*v01_OvercapLoss</x:f>
        <x:v>0</x:v>
      </x:c>
      <x:c r="W2204" s="9" t="n">
        <x:f>H2204*Y2203/(v01_ChildYears*4)</x:f>
        <x:v>0</x:v>
      </x:c>
      <x:c r="X2204" s="9" t="n">
        <x:f>H2204*Z2203/(v01_AdultYears*4)</x:f>
        <x:v>0</x:v>
      </x:c>
      <x:c r="Y2204" s="32" t="n">
        <x:f>Y2203+R2204-S2204-W2204-Y2203*V2204/AB2203</x:f>
        <x:v>14306.18539759397</x:v>
      </x:c>
      <x:c r="Z2204" s="32" t="n">
        <x:f>Z2203+W2204-X2204-T2204-Z2203*V2204/AB2203</x:f>
        <x:v>19354.456567879548</x:v>
      </x:c>
      <x:c r="AA2204" s="32" t="n">
        <x:f>AA2203+X2204-U2204-AA2203*V2204/AB2203</x:f>
        <x:v>11386.956063258198</x:v>
      </x:c>
      <x:c r="AB2204" s="10" t="n">
        <x:f>Y2204+Z2204+AA2204</x:f>
        <x:v>45047.59802873172</x:v>
      </x:c>
      <x:c r="AC2204" s="8" t="n">
        <x:f>IF(AND(v01_WinterTrigger=1,D2204=1,AB2203/AE2203&gt;=K2204),1,0)</x:f>
        <x:v>0</x:v>
      </x:c>
      <x:c r="AD2204" s="8" t="n">
        <x:f>H2204*IF(AND(OR(AB2203/AE2203&gt;=v01_FissionTrigger*N2204,AC2204=1),AB2203/AE2203*v01_DaughterShare&gt;=v01_MinDaughter),MAX(1,ROUND(AE2203*v01_FissionRate,0)),0)</x:f>
        <x:v>0</x:v>
      </x:c>
      <x:c r="AE2204" s="8" t="n">
        <x:f>IF(H2204=1,MAX(1,MIN(INDEX(v01_Smax,G2204),AE2203+AD2204)),AE2203)</x:f>
        <x:v>15</x:v>
      </x:c>
      <x:c r="AF2204" s="8" t="n">
        <x:f>MAX(0,AE2204-AE2203)</x:f>
        <x:v>0</x:v>
      </x:c>
      <x:c r="AG2204" s="9" t="str">
        <x:f>IF(AF2204&gt;0,B2204,"")</x:f>
      </x:c>
      <x:c r="AH2204" s="9" t="n">
        <x:f>IF(F2204&gt;=1,1,(1+v01_LowTiesShare*(AE2204-1))/AE2204)</x:f>
        <x:v>1</x:v>
      </x:c>
      <x:c r="AI2204" s="32" t="n">
        <x:f>(Z2204+v01_ElderCommons*INDEX(LM_Elder,G2204)*AA2204)*AH2204</x:f>
        <x:v>64139.732591141874</x:v>
      </x:c>
      <x:c r="AJ2204" s="32" t="n">
        <x:f>H2204*v01_CommonsCoef*AI2204^v01_CommonsExp*INDEX(LM_Commons,G2204)</x:f>
        <x:v>0</x:v>
      </x:c>
      <x:c r="AK2204" s="32" t="n">
        <x:f>H2204*v01_RoleScale*Arch_Roles*(AE2204*(INDEX(v01_ElderRolePerSett,G2204)*v01_OutElder*INDEX(LM_Elder,G2204)+INDEX(v01_ShamanPerSett,G2204)*v01_OutShaman)+Z2204*(INDEX(v01_PriestShare,G2204)*v01_OutPriest+INDEX(v01_ScribeShare,G2204)*v01_OutScribe*INDEX(LM_Scribe,G2204)+INDEX(v01_ScholarShare,G2204)*v01_OutScholar*INDEX(LM_Scholar,G2204)+INDEX(v01_ResearcherShare,G2204)*v01_OutResearcher*INDEX(LM_Researcher,G2204)))</x:f>
        <x:v>0</x:v>
      </x:c>
      <x:c r="AL2204" s="32" t="n">
        <x:f>H2204*v01_RoleScale*Arch_Roles*AE2204*INDEX(v01_MonasteryPerSett,G2204)*v01_OutMonastery*INDEX(LM_Monastery,G2204)</x:f>
        <x:v>0</x:v>
      </x:c>
      <x:c r="AM2204" s="32" t="n">
        <x:f>(AJ2204+AK2204+AL2204)/4*INDEX(LM_All,G2204)*INDEX(v01_Boon,G2204)*Arch_Insight</x:f>
        <x:v>0</x:v>
      </x:c>
      <x:c r="AN2204" s="32" t="n">
        <x:f>H2204*(v01_KHPerAdult*Z2204+v01_KHOfCommons*AJ2204/4*INDEX(LM_All,G2204))*v01_KHUsable*Arch_KH</x:f>
        <x:v>0</x:v>
      </x:c>
      <x:c r="AO2204" s="32" t="n">
        <x:f>MIN(AP2203+AN2204,AM2204*v01_KHMaxRatio)</x:f>
        <x:v>0</x:v>
      </x:c>
      <x:c r="AP2204" s="32" t="n">
        <x:f>AP2203+AN2204-AO2204</x:f>
        <x:v>0</x:v>
      </x:c>
      <x:c r="AQ2204" s="32" t="n">
        <x:f>AM2204+AO2204</x:f>
        <x:v>0</x:v>
      </x:c>
      <x:c r="AR2204" s="10" t="n">
        <x:f>IF(H2204=1,INDEX(v01_Req,G2204),0)</x:f>
        <x:v>0</x:v>
      </x:c>
      <x:c r="AS2204" s="32" t="n">
        <x:f>IF(H2204=1,IF(E2204=1,AS2203-AR2203,AS2203)+AQ2204,0)</x:f>
        <x:v>0</x:v>
      </x:c>
      <x:c r="AT2204" s="11" t="n">
        <x:f>IF(AR2204&gt;0,MIN(1,AS2204/AR2204),1)</x:f>
        <x:v>1</x:v>
      </x:c>
      <x:c r="AU2204" s="10" t="n">
        <x:f>AB2204/INDEX(v01_RepScale,G2204)</x:f>
        <x:v>90.09519605746344</x:v>
      </x:c>
      <x:c r="AV2204" s="32" t="n">
        <x:f>AM2204*60/v01_SeasonSeconds</x:f>
        <x:v>0</x:v>
      </x:c>
    </x:row>
    <x:row r="2205">
      <x:c r="A2205" s="8" t="n">
        <x:f>A2204+1</x:f>
        <x:v>2202</x:v>
      </x:c>
      <x:c r="B2205" s="9" t="n">
        <x:f>A2205*v01_SeasonSeconds/60</x:f>
        <x:v>550.5</x:v>
      </x:c>
      <x:c r="C2205" s="9" t="n">
        <x:f>A2205/4</x:f>
        <x:v>550.5</x:v>
      </x:c>
      <x:c r="D2205" s="8" t="n">
        <x:f>IF(MOD(A2205,4)=0,1,0)</x:f>
        <x:v>0</x:v>
      </x:c>
      <x:c r="E2205" s="8" t="n">
        <x:f>IF(AND(F2204&lt;=9,AS2204&gt;=AR2204),1,0)</x:f>
        <x:v>0</x:v>
      </x:c>
      <x:c r="F2205" s="8" t="n">
        <x:f>MIN(10,F2204+E2205)</x:f>
        <x:v>10</x:v>
      </x:c>
      <x:c r="G2205" s="8" t="n">
        <x:f>MIN(F2205,9)+1</x:f>
        <x:v>10</x:v>
      </x:c>
      <x:c r="H2205" s="8" t="n">
        <x:f>IF(F2205&lt;=9,1,0)</x:f>
        <x:v>0</x:v>
      </x:c>
      <x:c r="I2205" s="9" t="n">
        <x:f>MIN(10,F2204+IF(AR2204&gt;0,MIN(1,AS2204/AR2204),1))</x:f>
        <x:v>10</x:v>
      </x:c>
      <x:c r="J2205" s="32" t="n">
        <x:f>INDEX(v01_FoodCap,G2205)*Arch_FoodCap*EXP(v01_CapsByProject*SUMPRODUCT((Cap_Point&lt;=I2205)*(Cap_Kind="Food")*Cap_Ln))</x:f>
        <x:v>12000</x:v>
      </x:c>
      <x:c r="K2205" s="32" t="n">
        <x:f>J2205*MIN(1,v01_LeanBase*EXP(v01_CapsByProject*SUMPRODUCT((Cap_Point&lt;=I2205)*(Cap_Kind="Lean")*Cap_Ln)))</x:f>
        <x:v>12000</x:v>
      </x:c>
      <x:c r="L2205" s="10" t="n">
        <x:f>INDEX(v01_HousingCap,G2205)*EXP(v01_CapsByProject*SUMPRODUCT((Cap_Point&lt;=I2205)*(Cap_Kind="Housing")*Cap_Ln))</x:f>
        <x:v>20000</x:v>
      </x:c>
      <x:c r="M2205" s="10" t="n">
        <x:f>INDEX(v01_GroupCap,G2205)*v01_CohesionFactor*EXP(v01_CapsByProject*SUMPRODUCT((Cap_Point&lt;=I2205)*(Cap_Kind="Group")*Cap_Ln))</x:f>
        <x:v>1000000</x:v>
      </x:c>
      <x:c r="N2205" s="32" t="n">
        <x:f>MIN(J2205,L2205,M2205)</x:f>
        <x:v>12000</x:v>
      </x:c>
      <x:c r="O2205" s="10" t="n">
        <x:f>AE2204*N2205</x:f>
        <x:v>180000</x:v>
      </x:c>
      <x:c r="P2205" s="9" t="n">
        <x:f>MIN(1,(AB2204/(AE2204*IF(v01_GroupInCrowding=1,N2205,MIN(J2205,L2205))))^v01_CrowdingExp)</x:f>
        <x:v>0.00024569414295285325</x:v>
      </x:c>
      <x:c r="Q2205" s="9" t="n">
        <x:f>IF(D2205=1,INDEX(v01_WinterMult,G2205),1)</x:f>
        <x:v>1</x:v>
      </x:c>
      <x:c r="R2205" s="9" t="n">
        <x:f>H2205*Z2204*v01_WomenShare*v01_BaseFertility*INDEX(v01_FertMult,G2205)*Arch_Fertility*(1-P2205)</x:f>
        <x:v>0</x:v>
      </x:c>
      <x:c r="S2205" s="9" t="n">
        <x:f>H2205*Y2204*INDEX(v01_MortChild,G2205)/4*Q2205</x:f>
        <x:v>0</x:v>
      </x:c>
      <x:c r="T2205" s="9" t="n">
        <x:f>H2205*Z2204*INDEX(v01_MortAdult,G2205)*Arch_AdultMort/4*Q2205</x:f>
        <x:v>0</x:v>
      </x:c>
      <x:c r="U2205" s="9" t="n">
        <x:f>H2205*AA2204*INDEX(v01_MortElder,G2205)/4*Q2205</x:f>
        <x:v>0</x:v>
      </x:c>
      <x:c r="V2205" s="9" t="n">
        <x:f>H2205*MAX(0,AB2204-O2205)*v01_OvercapLoss</x:f>
        <x:v>0</x:v>
      </x:c>
      <x:c r="W2205" s="9" t="n">
        <x:f>H2205*Y2204/(v01_ChildYears*4)</x:f>
        <x:v>0</x:v>
      </x:c>
      <x:c r="X2205" s="9" t="n">
        <x:f>H2205*Z2204/(v01_AdultYears*4)</x:f>
        <x:v>0</x:v>
      </x:c>
      <x:c r="Y2205" s="32" t="n">
        <x:f>Y2204+R2205-S2205-W2205-Y2204*V2205/AB2204</x:f>
        <x:v>14306.18539759397</x:v>
      </x:c>
      <x:c r="Z2205" s="32" t="n">
        <x:f>Z2204+W2205-X2205-T2205-Z2204*V2205/AB2204</x:f>
        <x:v>19354.456567879548</x:v>
      </x:c>
      <x:c r="AA2205" s="32" t="n">
        <x:f>AA2204+X2205-U2205-AA2204*V2205/AB2204</x:f>
        <x:v>11386.956063258198</x:v>
      </x:c>
      <x:c r="AB2205" s="10" t="n">
        <x:f>Y2205+Z2205+AA2205</x:f>
        <x:v>45047.59802873172</x:v>
      </x:c>
      <x:c r="AC2205" s="8" t="n">
        <x:f>IF(AND(v01_WinterTrigger=1,D2205=1,AB2204/AE2204&gt;=K2205),1,0)</x:f>
        <x:v>0</x:v>
      </x:c>
      <x:c r="AD2205" s="8" t="n">
        <x:f>H2205*IF(AND(OR(AB2204/AE2204&gt;=v01_FissionTrigger*N2205,AC2205=1),AB2204/AE2204*v01_DaughterShare&gt;=v01_MinDaughter),MAX(1,ROUND(AE2204*v01_FissionRate,0)),0)</x:f>
        <x:v>0</x:v>
      </x:c>
      <x:c r="AE2205" s="8" t="n">
        <x:f>IF(H2205=1,MAX(1,MIN(INDEX(v01_Smax,G2205),AE2204+AD2205)),AE2204)</x:f>
        <x:v>15</x:v>
      </x:c>
      <x:c r="AF2205" s="8" t="n">
        <x:f>MAX(0,AE2205-AE2204)</x:f>
        <x:v>0</x:v>
      </x:c>
      <x:c r="AG2205" s="9" t="str">
        <x:f>IF(AF2205&gt;0,B2205,"")</x:f>
      </x:c>
      <x:c r="AH2205" s="9" t="n">
        <x:f>IF(F2205&gt;=1,1,(1+v01_LowTiesShare*(AE2205-1))/AE2205)</x:f>
        <x:v>1</x:v>
      </x:c>
      <x:c r="AI2205" s="32" t="n">
        <x:f>(Z2205+v01_ElderCommons*INDEX(LM_Elder,G2205)*AA2205)*AH2205</x:f>
        <x:v>64139.732591141874</x:v>
      </x:c>
      <x:c r="AJ2205" s="32" t="n">
        <x:f>H2205*v01_CommonsCoef*AI2205^v01_CommonsExp*INDEX(LM_Commons,G2205)</x:f>
        <x:v>0</x:v>
      </x:c>
      <x:c r="AK2205" s="32" t="n">
        <x:f>H2205*v01_RoleScale*Arch_Roles*(AE2205*(INDEX(v01_ElderRolePerSett,G2205)*v01_OutElder*INDEX(LM_Elder,G2205)+INDEX(v01_ShamanPerSett,G2205)*v01_OutShaman)+Z2205*(INDEX(v01_PriestShare,G2205)*v01_OutPriest+INDEX(v01_ScribeShare,G2205)*v01_OutScribe*INDEX(LM_Scribe,G2205)+INDEX(v01_ScholarShare,G2205)*v01_OutScholar*INDEX(LM_Scholar,G2205)+INDEX(v01_ResearcherShare,G2205)*v01_OutResearcher*INDEX(LM_Researcher,G2205)))</x:f>
        <x:v>0</x:v>
      </x:c>
      <x:c r="AL2205" s="32" t="n">
        <x:f>H2205*v01_RoleScale*Arch_Roles*AE2205*INDEX(v01_MonasteryPerSett,G2205)*v01_OutMonastery*INDEX(LM_Monastery,G2205)</x:f>
        <x:v>0</x:v>
      </x:c>
      <x:c r="AM2205" s="32" t="n">
        <x:f>(AJ2205+AK2205+AL2205)/4*INDEX(LM_All,G2205)*INDEX(v01_Boon,G2205)*Arch_Insight</x:f>
        <x:v>0</x:v>
      </x:c>
      <x:c r="AN2205" s="32" t="n">
        <x:f>H2205*(v01_KHPerAdult*Z2205+v01_KHOfCommons*AJ2205/4*INDEX(LM_All,G2205))*v01_KHUsable*Arch_KH</x:f>
        <x:v>0</x:v>
      </x:c>
      <x:c r="AO2205" s="32" t="n">
        <x:f>MIN(AP2204+AN2205,AM2205*v01_KHMaxRatio)</x:f>
        <x:v>0</x:v>
      </x:c>
      <x:c r="AP2205" s="32" t="n">
        <x:f>AP2204+AN2205-AO2205</x:f>
        <x:v>0</x:v>
      </x:c>
      <x:c r="AQ2205" s="32" t="n">
        <x:f>AM2205+AO2205</x:f>
        <x:v>0</x:v>
      </x:c>
      <x:c r="AR2205" s="10" t="n">
        <x:f>IF(H2205=1,INDEX(v01_Req,G2205),0)</x:f>
        <x:v>0</x:v>
      </x:c>
      <x:c r="AS2205" s="32" t="n">
        <x:f>IF(H2205=1,IF(E2205=1,AS2204-AR2204,AS2204)+AQ2205,0)</x:f>
        <x:v>0</x:v>
      </x:c>
      <x:c r="AT2205" s="11" t="n">
        <x:f>IF(AR2205&gt;0,MIN(1,AS2205/AR2205),1)</x:f>
        <x:v>1</x:v>
      </x:c>
      <x:c r="AU2205" s="10" t="n">
        <x:f>AB2205/INDEX(v01_RepScale,G2205)</x:f>
        <x:v>90.09519605746344</x:v>
      </x:c>
      <x:c r="AV2205" s="32" t="n">
        <x:f>AM2205*60/v01_SeasonSeconds</x:f>
        <x:v>0</x:v>
      </x:c>
    </x:row>
    <x:row r="2206">
      <x:c r="A2206" s="8" t="n">
        <x:f>A2205+1</x:f>
        <x:v>2203</x:v>
      </x:c>
      <x:c r="B2206" s="9" t="n">
        <x:f>A2206*v01_SeasonSeconds/60</x:f>
        <x:v>550.75</x:v>
      </x:c>
      <x:c r="C2206" s="9" t="n">
        <x:f>A2206/4</x:f>
        <x:v>550.75</x:v>
      </x:c>
      <x:c r="D2206" s="8" t="n">
        <x:f>IF(MOD(A2206,4)=0,1,0)</x:f>
        <x:v>0</x:v>
      </x:c>
      <x:c r="E2206" s="8" t="n">
        <x:f>IF(AND(F2205&lt;=9,AS2205&gt;=AR2205),1,0)</x:f>
        <x:v>0</x:v>
      </x:c>
      <x:c r="F2206" s="8" t="n">
        <x:f>MIN(10,F2205+E2206)</x:f>
        <x:v>10</x:v>
      </x:c>
      <x:c r="G2206" s="8" t="n">
        <x:f>MIN(F2206,9)+1</x:f>
        <x:v>10</x:v>
      </x:c>
      <x:c r="H2206" s="8" t="n">
        <x:f>IF(F2206&lt;=9,1,0)</x:f>
        <x:v>0</x:v>
      </x:c>
      <x:c r="I2206" s="9" t="n">
        <x:f>MIN(10,F2205+IF(AR2205&gt;0,MIN(1,AS2205/AR2205),1))</x:f>
        <x:v>10</x:v>
      </x:c>
      <x:c r="J2206" s="32" t="n">
        <x:f>INDEX(v01_FoodCap,G2206)*Arch_FoodCap*EXP(v01_CapsByProject*SUMPRODUCT((Cap_Point&lt;=I2206)*(Cap_Kind="Food")*Cap_Ln))</x:f>
        <x:v>12000</x:v>
      </x:c>
      <x:c r="K2206" s="32" t="n">
        <x:f>J2206*MIN(1,v01_LeanBase*EXP(v01_CapsByProject*SUMPRODUCT((Cap_Point&lt;=I2206)*(Cap_Kind="Lean")*Cap_Ln)))</x:f>
        <x:v>12000</x:v>
      </x:c>
      <x:c r="L2206" s="10" t="n">
        <x:f>INDEX(v01_HousingCap,G2206)*EXP(v01_CapsByProject*SUMPRODUCT((Cap_Point&lt;=I2206)*(Cap_Kind="Housing")*Cap_Ln))</x:f>
        <x:v>20000</x:v>
      </x:c>
      <x:c r="M2206" s="10" t="n">
        <x:f>INDEX(v01_GroupCap,G2206)*v01_CohesionFactor*EXP(v01_CapsByProject*SUMPRODUCT((Cap_Point&lt;=I2206)*(Cap_Kind="Group")*Cap_Ln))</x:f>
        <x:v>1000000</x:v>
      </x:c>
      <x:c r="N2206" s="32" t="n">
        <x:f>MIN(J2206,L2206,M2206)</x:f>
        <x:v>12000</x:v>
      </x:c>
      <x:c r="O2206" s="10" t="n">
        <x:f>AE2205*N2206</x:f>
        <x:v>180000</x:v>
      </x:c>
      <x:c r="P2206" s="9" t="n">
        <x:f>MIN(1,(AB2205/(AE2205*IF(v01_GroupInCrowding=1,N2206,MIN(J2206,L2206))))^v01_CrowdingExp)</x:f>
        <x:v>0.00024569414295285325</x:v>
      </x:c>
      <x:c r="Q2206" s="9" t="n">
        <x:f>IF(D2206=1,INDEX(v01_WinterMult,G2206),1)</x:f>
        <x:v>1</x:v>
      </x:c>
      <x:c r="R2206" s="9" t="n">
        <x:f>H2206*Z2205*v01_WomenShare*v01_BaseFertility*INDEX(v01_FertMult,G2206)*Arch_Fertility*(1-P2206)</x:f>
        <x:v>0</x:v>
      </x:c>
      <x:c r="S2206" s="9" t="n">
        <x:f>H2206*Y2205*INDEX(v01_MortChild,G2206)/4*Q2206</x:f>
        <x:v>0</x:v>
      </x:c>
      <x:c r="T2206" s="9" t="n">
        <x:f>H2206*Z2205*INDEX(v01_MortAdult,G2206)*Arch_AdultMort/4*Q2206</x:f>
        <x:v>0</x:v>
      </x:c>
      <x:c r="U2206" s="9" t="n">
        <x:f>H2206*AA2205*INDEX(v01_MortElder,G2206)/4*Q2206</x:f>
        <x:v>0</x:v>
      </x:c>
      <x:c r="V2206" s="9" t="n">
        <x:f>H2206*MAX(0,AB2205-O2206)*v01_OvercapLoss</x:f>
        <x:v>0</x:v>
      </x:c>
      <x:c r="W2206" s="9" t="n">
        <x:f>H2206*Y2205/(v01_ChildYears*4)</x:f>
        <x:v>0</x:v>
      </x:c>
      <x:c r="X2206" s="9" t="n">
        <x:f>H2206*Z2205/(v01_AdultYears*4)</x:f>
        <x:v>0</x:v>
      </x:c>
      <x:c r="Y2206" s="32" t="n">
        <x:f>Y2205+R2206-S2206-W2206-Y2205*V2206/AB2205</x:f>
        <x:v>14306.18539759397</x:v>
      </x:c>
      <x:c r="Z2206" s="32" t="n">
        <x:f>Z2205+W2206-X2206-T2206-Z2205*V2206/AB2205</x:f>
        <x:v>19354.456567879548</x:v>
      </x:c>
      <x:c r="AA2206" s="32" t="n">
        <x:f>AA2205+X2206-U2206-AA2205*V2206/AB2205</x:f>
        <x:v>11386.956063258198</x:v>
      </x:c>
      <x:c r="AB2206" s="10" t="n">
        <x:f>Y2206+Z2206+AA2206</x:f>
        <x:v>45047.59802873172</x:v>
      </x:c>
      <x:c r="AC2206" s="8" t="n">
        <x:f>IF(AND(v01_WinterTrigger=1,D2206=1,AB2205/AE2205&gt;=K2206),1,0)</x:f>
        <x:v>0</x:v>
      </x:c>
      <x:c r="AD2206" s="8" t="n">
        <x:f>H2206*IF(AND(OR(AB2205/AE2205&gt;=v01_FissionTrigger*N2206,AC2206=1),AB2205/AE2205*v01_DaughterShare&gt;=v01_MinDaughter),MAX(1,ROUND(AE2205*v01_FissionRate,0)),0)</x:f>
        <x:v>0</x:v>
      </x:c>
      <x:c r="AE2206" s="8" t="n">
        <x:f>IF(H2206=1,MAX(1,MIN(INDEX(v01_Smax,G2206),AE2205+AD2206)),AE2205)</x:f>
        <x:v>15</x:v>
      </x:c>
      <x:c r="AF2206" s="8" t="n">
        <x:f>MAX(0,AE2206-AE2205)</x:f>
        <x:v>0</x:v>
      </x:c>
      <x:c r="AG2206" s="9" t="str">
        <x:f>IF(AF2206&gt;0,B2206,"")</x:f>
      </x:c>
      <x:c r="AH2206" s="9" t="n">
        <x:f>IF(F2206&gt;=1,1,(1+v01_LowTiesShare*(AE2206-1))/AE2206)</x:f>
        <x:v>1</x:v>
      </x:c>
      <x:c r="AI2206" s="32" t="n">
        <x:f>(Z2206+v01_ElderCommons*INDEX(LM_Elder,G2206)*AA2206)*AH2206</x:f>
        <x:v>64139.732591141874</x:v>
      </x:c>
      <x:c r="AJ2206" s="32" t="n">
        <x:f>H2206*v01_CommonsCoef*AI2206^v01_CommonsExp*INDEX(LM_Commons,G2206)</x:f>
        <x:v>0</x:v>
      </x:c>
      <x:c r="AK2206" s="32" t="n">
        <x:f>H2206*v01_RoleScale*Arch_Roles*(AE2206*(INDEX(v01_ElderRolePerSett,G2206)*v01_OutElder*INDEX(LM_Elder,G2206)+INDEX(v01_ShamanPerSett,G2206)*v01_OutShaman)+Z2206*(INDEX(v01_PriestShare,G2206)*v01_OutPriest+INDEX(v01_ScribeShare,G2206)*v01_OutScribe*INDEX(LM_Scribe,G2206)+INDEX(v01_ScholarShare,G2206)*v01_OutScholar*INDEX(LM_Scholar,G2206)+INDEX(v01_ResearcherShare,G2206)*v01_OutResearcher*INDEX(LM_Researcher,G2206)))</x:f>
        <x:v>0</x:v>
      </x:c>
      <x:c r="AL2206" s="32" t="n">
        <x:f>H2206*v01_RoleScale*Arch_Roles*AE2206*INDEX(v01_MonasteryPerSett,G2206)*v01_OutMonastery*INDEX(LM_Monastery,G2206)</x:f>
        <x:v>0</x:v>
      </x:c>
      <x:c r="AM2206" s="32" t="n">
        <x:f>(AJ2206+AK2206+AL2206)/4*INDEX(LM_All,G2206)*INDEX(v01_Boon,G2206)*Arch_Insight</x:f>
        <x:v>0</x:v>
      </x:c>
      <x:c r="AN2206" s="32" t="n">
        <x:f>H2206*(v01_KHPerAdult*Z2206+v01_KHOfCommons*AJ2206/4*INDEX(LM_All,G2206))*v01_KHUsable*Arch_KH</x:f>
        <x:v>0</x:v>
      </x:c>
      <x:c r="AO2206" s="32" t="n">
        <x:f>MIN(AP2205+AN2206,AM2206*v01_KHMaxRatio)</x:f>
        <x:v>0</x:v>
      </x:c>
      <x:c r="AP2206" s="32" t="n">
        <x:f>AP2205+AN2206-AO2206</x:f>
        <x:v>0</x:v>
      </x:c>
      <x:c r="AQ2206" s="32" t="n">
        <x:f>AM2206+AO2206</x:f>
        <x:v>0</x:v>
      </x:c>
      <x:c r="AR2206" s="10" t="n">
        <x:f>IF(H2206=1,INDEX(v01_Req,G2206),0)</x:f>
        <x:v>0</x:v>
      </x:c>
      <x:c r="AS2206" s="32" t="n">
        <x:f>IF(H2206=1,IF(E2206=1,AS2205-AR2205,AS2205)+AQ2206,0)</x:f>
        <x:v>0</x:v>
      </x:c>
      <x:c r="AT2206" s="11" t="n">
        <x:f>IF(AR2206&gt;0,MIN(1,AS2206/AR2206),1)</x:f>
        <x:v>1</x:v>
      </x:c>
      <x:c r="AU2206" s="10" t="n">
        <x:f>AB2206/INDEX(v01_RepScale,G2206)</x:f>
        <x:v>90.09519605746344</x:v>
      </x:c>
      <x:c r="AV2206" s="32" t="n">
        <x:f>AM2206*60/v01_SeasonSeconds</x:f>
        <x:v>0</x:v>
      </x:c>
    </x:row>
    <x:row r="2207">
      <x:c r="A2207" s="8" t="n">
        <x:f>A2206+1</x:f>
        <x:v>2204</x:v>
      </x:c>
      <x:c r="B2207" s="9" t="n">
        <x:f>A2207*v01_SeasonSeconds/60</x:f>
        <x:v>551</x:v>
      </x:c>
      <x:c r="C2207" s="9" t="n">
        <x:f>A2207/4</x:f>
        <x:v>551</x:v>
      </x:c>
      <x:c r="D2207" s="8" t="n">
        <x:f>IF(MOD(A2207,4)=0,1,0)</x:f>
        <x:v>1</x:v>
      </x:c>
      <x:c r="E2207" s="8" t="n">
        <x:f>IF(AND(F2206&lt;=9,AS2206&gt;=AR2206),1,0)</x:f>
        <x:v>0</x:v>
      </x:c>
      <x:c r="F2207" s="8" t="n">
        <x:f>MIN(10,F2206+E2207)</x:f>
        <x:v>10</x:v>
      </x:c>
      <x:c r="G2207" s="8" t="n">
        <x:f>MIN(F2207,9)+1</x:f>
        <x:v>10</x:v>
      </x:c>
      <x:c r="H2207" s="8" t="n">
        <x:f>IF(F2207&lt;=9,1,0)</x:f>
        <x:v>0</x:v>
      </x:c>
      <x:c r="I2207" s="9" t="n">
        <x:f>MIN(10,F2206+IF(AR2206&gt;0,MIN(1,AS2206/AR2206),1))</x:f>
        <x:v>10</x:v>
      </x:c>
      <x:c r="J2207" s="32" t="n">
        <x:f>INDEX(v01_FoodCap,G2207)*Arch_FoodCap*EXP(v01_CapsByProject*SUMPRODUCT((Cap_Point&lt;=I2207)*(Cap_Kind="Food")*Cap_Ln))</x:f>
        <x:v>12000</x:v>
      </x:c>
      <x:c r="K2207" s="32" t="n">
        <x:f>J2207*MIN(1,v01_LeanBase*EXP(v01_CapsByProject*SUMPRODUCT((Cap_Point&lt;=I2207)*(Cap_Kind="Lean")*Cap_Ln)))</x:f>
        <x:v>12000</x:v>
      </x:c>
      <x:c r="L2207" s="10" t="n">
        <x:f>INDEX(v01_HousingCap,G2207)*EXP(v01_CapsByProject*SUMPRODUCT((Cap_Point&lt;=I2207)*(Cap_Kind="Housing")*Cap_Ln))</x:f>
        <x:v>20000</x:v>
      </x:c>
      <x:c r="M2207" s="10" t="n">
        <x:f>INDEX(v01_GroupCap,G2207)*v01_CohesionFactor*EXP(v01_CapsByProject*SUMPRODUCT((Cap_Point&lt;=I2207)*(Cap_Kind="Group")*Cap_Ln))</x:f>
        <x:v>1000000</x:v>
      </x:c>
      <x:c r="N2207" s="32" t="n">
        <x:f>MIN(J2207,L2207,M2207)</x:f>
        <x:v>12000</x:v>
      </x:c>
      <x:c r="O2207" s="10" t="n">
        <x:f>AE2206*N2207</x:f>
        <x:v>180000</x:v>
      </x:c>
      <x:c r="P2207" s="9" t="n">
        <x:f>MIN(1,(AB2206/(AE2206*IF(v01_GroupInCrowding=1,N2207,MIN(J2207,L2207))))^v01_CrowdingExp)</x:f>
        <x:v>0.00024569414295285325</x:v>
      </x:c>
      <x:c r="Q2207" s="9" t="n">
        <x:f>IF(D2207=1,INDEX(v01_WinterMult,G2207),1)</x:f>
        <x:v>1</x:v>
      </x:c>
      <x:c r="R2207" s="9" t="n">
        <x:f>H2207*Z2206*v01_WomenShare*v01_BaseFertility*INDEX(v01_FertMult,G2207)*Arch_Fertility*(1-P2207)</x:f>
        <x:v>0</x:v>
      </x:c>
      <x:c r="S2207" s="9" t="n">
        <x:f>H2207*Y2206*INDEX(v01_MortChild,G2207)/4*Q2207</x:f>
        <x:v>0</x:v>
      </x:c>
      <x:c r="T2207" s="9" t="n">
        <x:f>H2207*Z2206*INDEX(v01_MortAdult,G2207)*Arch_AdultMort/4*Q2207</x:f>
        <x:v>0</x:v>
      </x:c>
      <x:c r="U2207" s="9" t="n">
        <x:f>H2207*AA2206*INDEX(v01_MortElder,G2207)/4*Q2207</x:f>
        <x:v>0</x:v>
      </x:c>
      <x:c r="V2207" s="9" t="n">
        <x:f>H2207*MAX(0,AB2206-O2207)*v01_OvercapLoss</x:f>
        <x:v>0</x:v>
      </x:c>
      <x:c r="W2207" s="9" t="n">
        <x:f>H2207*Y2206/(v01_ChildYears*4)</x:f>
        <x:v>0</x:v>
      </x:c>
      <x:c r="X2207" s="9" t="n">
        <x:f>H2207*Z2206/(v01_AdultYears*4)</x:f>
        <x:v>0</x:v>
      </x:c>
      <x:c r="Y2207" s="32" t="n">
        <x:f>Y2206+R2207-S2207-W2207-Y2206*V2207/AB2206</x:f>
        <x:v>14306.18539759397</x:v>
      </x:c>
      <x:c r="Z2207" s="32" t="n">
        <x:f>Z2206+W2207-X2207-T2207-Z2206*V2207/AB2206</x:f>
        <x:v>19354.456567879548</x:v>
      </x:c>
      <x:c r="AA2207" s="32" t="n">
        <x:f>AA2206+X2207-U2207-AA2206*V2207/AB2206</x:f>
        <x:v>11386.956063258198</x:v>
      </x:c>
      <x:c r="AB2207" s="10" t="n">
        <x:f>Y2207+Z2207+AA2207</x:f>
        <x:v>45047.59802873172</x:v>
      </x:c>
      <x:c r="AC2207" s="8" t="n">
        <x:f>IF(AND(v01_WinterTrigger=1,D2207=1,AB2206/AE2206&gt;=K2207),1,0)</x:f>
        <x:v>0</x:v>
      </x:c>
      <x:c r="AD2207" s="8" t="n">
        <x:f>H2207*IF(AND(OR(AB2206/AE2206&gt;=v01_FissionTrigger*N2207,AC2207=1),AB2206/AE2206*v01_DaughterShare&gt;=v01_MinDaughter),MAX(1,ROUND(AE2206*v01_FissionRate,0)),0)</x:f>
        <x:v>0</x:v>
      </x:c>
      <x:c r="AE2207" s="8" t="n">
        <x:f>IF(H2207=1,MAX(1,MIN(INDEX(v01_Smax,G2207),AE2206+AD2207)),AE2206)</x:f>
        <x:v>15</x:v>
      </x:c>
      <x:c r="AF2207" s="8" t="n">
        <x:f>MAX(0,AE2207-AE2206)</x:f>
        <x:v>0</x:v>
      </x:c>
      <x:c r="AG2207" s="9" t="str">
        <x:f>IF(AF2207&gt;0,B2207,"")</x:f>
      </x:c>
      <x:c r="AH2207" s="9" t="n">
        <x:f>IF(F2207&gt;=1,1,(1+v01_LowTiesShare*(AE2207-1))/AE2207)</x:f>
        <x:v>1</x:v>
      </x:c>
      <x:c r="AI2207" s="32" t="n">
        <x:f>(Z2207+v01_ElderCommons*INDEX(LM_Elder,G2207)*AA2207)*AH2207</x:f>
        <x:v>64139.732591141874</x:v>
      </x:c>
      <x:c r="AJ2207" s="32" t="n">
        <x:f>H2207*v01_CommonsCoef*AI2207^v01_CommonsExp*INDEX(LM_Commons,G2207)</x:f>
        <x:v>0</x:v>
      </x:c>
      <x:c r="AK2207" s="32" t="n">
        <x:f>H2207*v01_RoleScale*Arch_Roles*(AE2207*(INDEX(v01_ElderRolePerSett,G2207)*v01_OutElder*INDEX(LM_Elder,G2207)+INDEX(v01_ShamanPerSett,G2207)*v01_OutShaman)+Z2207*(INDEX(v01_PriestShare,G2207)*v01_OutPriest+INDEX(v01_ScribeShare,G2207)*v01_OutScribe*INDEX(LM_Scribe,G2207)+INDEX(v01_ScholarShare,G2207)*v01_OutScholar*INDEX(LM_Scholar,G2207)+INDEX(v01_ResearcherShare,G2207)*v01_OutResearcher*INDEX(LM_Researcher,G2207)))</x:f>
        <x:v>0</x:v>
      </x:c>
      <x:c r="AL2207" s="32" t="n">
        <x:f>H2207*v01_RoleScale*Arch_Roles*AE2207*INDEX(v01_MonasteryPerSett,G2207)*v01_OutMonastery*INDEX(LM_Monastery,G2207)</x:f>
        <x:v>0</x:v>
      </x:c>
      <x:c r="AM2207" s="32" t="n">
        <x:f>(AJ2207+AK2207+AL2207)/4*INDEX(LM_All,G2207)*INDEX(v01_Boon,G2207)*Arch_Insight</x:f>
        <x:v>0</x:v>
      </x:c>
      <x:c r="AN2207" s="32" t="n">
        <x:f>H2207*(v01_KHPerAdult*Z2207+v01_KHOfCommons*AJ2207/4*INDEX(LM_All,G2207))*v01_KHUsable*Arch_KH</x:f>
        <x:v>0</x:v>
      </x:c>
      <x:c r="AO2207" s="32" t="n">
        <x:f>MIN(AP2206+AN2207,AM2207*v01_KHMaxRatio)</x:f>
        <x:v>0</x:v>
      </x:c>
      <x:c r="AP2207" s="32" t="n">
        <x:f>AP2206+AN2207-AO2207</x:f>
        <x:v>0</x:v>
      </x:c>
      <x:c r="AQ2207" s="32" t="n">
        <x:f>AM2207+AO2207</x:f>
        <x:v>0</x:v>
      </x:c>
      <x:c r="AR2207" s="10" t="n">
        <x:f>IF(H2207=1,INDEX(v01_Req,G2207),0)</x:f>
        <x:v>0</x:v>
      </x:c>
      <x:c r="AS2207" s="32" t="n">
        <x:f>IF(H2207=1,IF(E2207=1,AS2206-AR2206,AS2206)+AQ2207,0)</x:f>
        <x:v>0</x:v>
      </x:c>
      <x:c r="AT2207" s="11" t="n">
        <x:f>IF(AR2207&gt;0,MIN(1,AS2207/AR2207),1)</x:f>
        <x:v>1</x:v>
      </x:c>
      <x:c r="AU2207" s="10" t="n">
        <x:f>AB2207/INDEX(v01_RepScale,G2207)</x:f>
        <x:v>90.09519605746344</x:v>
      </x:c>
      <x:c r="AV2207" s="32" t="n">
        <x:f>AM2207*60/v01_SeasonSeconds</x:f>
        <x:v>0</x:v>
      </x:c>
    </x:row>
    <x:row r="2208">
      <x:c r="A2208" s="8" t="n">
        <x:f>A2207+1</x:f>
        <x:v>2205</x:v>
      </x:c>
      <x:c r="B2208" s="9" t="n">
        <x:f>A2208*v01_SeasonSeconds/60</x:f>
        <x:v>551.25</x:v>
      </x:c>
      <x:c r="C2208" s="9" t="n">
        <x:f>A2208/4</x:f>
        <x:v>551.25</x:v>
      </x:c>
      <x:c r="D2208" s="8" t="n">
        <x:f>IF(MOD(A2208,4)=0,1,0)</x:f>
        <x:v>0</x:v>
      </x:c>
      <x:c r="E2208" s="8" t="n">
        <x:f>IF(AND(F2207&lt;=9,AS2207&gt;=AR2207),1,0)</x:f>
        <x:v>0</x:v>
      </x:c>
      <x:c r="F2208" s="8" t="n">
        <x:f>MIN(10,F2207+E2208)</x:f>
        <x:v>10</x:v>
      </x:c>
      <x:c r="G2208" s="8" t="n">
        <x:f>MIN(F2208,9)+1</x:f>
        <x:v>10</x:v>
      </x:c>
      <x:c r="H2208" s="8" t="n">
        <x:f>IF(F2208&lt;=9,1,0)</x:f>
        <x:v>0</x:v>
      </x:c>
      <x:c r="I2208" s="9" t="n">
        <x:f>MIN(10,F2207+IF(AR2207&gt;0,MIN(1,AS2207/AR2207),1))</x:f>
        <x:v>10</x:v>
      </x:c>
      <x:c r="J2208" s="32" t="n">
        <x:f>INDEX(v01_FoodCap,G2208)*Arch_FoodCap*EXP(v01_CapsByProject*SUMPRODUCT((Cap_Point&lt;=I2208)*(Cap_Kind="Food")*Cap_Ln))</x:f>
        <x:v>12000</x:v>
      </x:c>
      <x:c r="K2208" s="32" t="n">
        <x:f>J2208*MIN(1,v01_LeanBase*EXP(v01_CapsByProject*SUMPRODUCT((Cap_Point&lt;=I2208)*(Cap_Kind="Lean")*Cap_Ln)))</x:f>
        <x:v>12000</x:v>
      </x:c>
      <x:c r="L2208" s="10" t="n">
        <x:f>INDEX(v01_HousingCap,G2208)*EXP(v01_CapsByProject*SUMPRODUCT((Cap_Point&lt;=I2208)*(Cap_Kind="Housing")*Cap_Ln))</x:f>
        <x:v>20000</x:v>
      </x:c>
      <x:c r="M2208" s="10" t="n">
        <x:f>INDEX(v01_GroupCap,G2208)*v01_CohesionFactor*EXP(v01_CapsByProject*SUMPRODUCT((Cap_Point&lt;=I2208)*(Cap_Kind="Group")*Cap_Ln))</x:f>
        <x:v>1000000</x:v>
      </x:c>
      <x:c r="N2208" s="32" t="n">
        <x:f>MIN(J2208,L2208,M2208)</x:f>
        <x:v>12000</x:v>
      </x:c>
      <x:c r="O2208" s="10" t="n">
        <x:f>AE2207*N2208</x:f>
        <x:v>180000</x:v>
      </x:c>
      <x:c r="P2208" s="9" t="n">
        <x:f>MIN(1,(AB2207/(AE2207*IF(v01_GroupInCrowding=1,N2208,MIN(J2208,L2208))))^v01_CrowdingExp)</x:f>
        <x:v>0.00024569414295285325</x:v>
      </x:c>
      <x:c r="Q2208" s="9" t="n">
        <x:f>IF(D2208=1,INDEX(v01_WinterMult,G2208),1)</x:f>
        <x:v>1</x:v>
      </x:c>
      <x:c r="R2208" s="9" t="n">
        <x:f>H2208*Z2207*v01_WomenShare*v01_BaseFertility*INDEX(v01_FertMult,G2208)*Arch_Fertility*(1-P2208)</x:f>
        <x:v>0</x:v>
      </x:c>
      <x:c r="S2208" s="9" t="n">
        <x:f>H2208*Y2207*INDEX(v01_MortChild,G2208)/4*Q2208</x:f>
        <x:v>0</x:v>
      </x:c>
      <x:c r="T2208" s="9" t="n">
        <x:f>H2208*Z2207*INDEX(v01_MortAdult,G2208)*Arch_AdultMort/4*Q2208</x:f>
        <x:v>0</x:v>
      </x:c>
      <x:c r="U2208" s="9" t="n">
        <x:f>H2208*AA2207*INDEX(v01_MortElder,G2208)/4*Q2208</x:f>
        <x:v>0</x:v>
      </x:c>
      <x:c r="V2208" s="9" t="n">
        <x:f>H2208*MAX(0,AB2207-O2208)*v01_OvercapLoss</x:f>
        <x:v>0</x:v>
      </x:c>
      <x:c r="W2208" s="9" t="n">
        <x:f>H2208*Y2207/(v01_ChildYears*4)</x:f>
        <x:v>0</x:v>
      </x:c>
      <x:c r="X2208" s="9" t="n">
        <x:f>H2208*Z2207/(v01_AdultYears*4)</x:f>
        <x:v>0</x:v>
      </x:c>
      <x:c r="Y2208" s="32" t="n">
        <x:f>Y2207+R2208-S2208-W2208-Y2207*V2208/AB2207</x:f>
        <x:v>14306.18539759397</x:v>
      </x:c>
      <x:c r="Z2208" s="32" t="n">
        <x:f>Z2207+W2208-X2208-T2208-Z2207*V2208/AB2207</x:f>
        <x:v>19354.456567879548</x:v>
      </x:c>
      <x:c r="AA2208" s="32" t="n">
        <x:f>AA2207+X2208-U2208-AA2207*V2208/AB2207</x:f>
        <x:v>11386.956063258198</x:v>
      </x:c>
      <x:c r="AB2208" s="10" t="n">
        <x:f>Y2208+Z2208+AA2208</x:f>
        <x:v>45047.59802873172</x:v>
      </x:c>
      <x:c r="AC2208" s="8" t="n">
        <x:f>IF(AND(v01_WinterTrigger=1,D2208=1,AB2207/AE2207&gt;=K2208),1,0)</x:f>
        <x:v>0</x:v>
      </x:c>
      <x:c r="AD2208" s="8" t="n">
        <x:f>H2208*IF(AND(OR(AB2207/AE2207&gt;=v01_FissionTrigger*N2208,AC2208=1),AB2207/AE2207*v01_DaughterShare&gt;=v01_MinDaughter),MAX(1,ROUND(AE2207*v01_FissionRate,0)),0)</x:f>
        <x:v>0</x:v>
      </x:c>
      <x:c r="AE2208" s="8" t="n">
        <x:f>IF(H2208=1,MAX(1,MIN(INDEX(v01_Smax,G2208),AE2207+AD2208)),AE2207)</x:f>
        <x:v>15</x:v>
      </x:c>
      <x:c r="AF2208" s="8" t="n">
        <x:f>MAX(0,AE2208-AE2207)</x:f>
        <x:v>0</x:v>
      </x:c>
      <x:c r="AG2208" s="9" t="str">
        <x:f>IF(AF2208&gt;0,B2208,"")</x:f>
      </x:c>
      <x:c r="AH2208" s="9" t="n">
        <x:f>IF(F2208&gt;=1,1,(1+v01_LowTiesShare*(AE2208-1))/AE2208)</x:f>
        <x:v>1</x:v>
      </x:c>
      <x:c r="AI2208" s="32" t="n">
        <x:f>(Z2208+v01_ElderCommons*INDEX(LM_Elder,G2208)*AA2208)*AH2208</x:f>
        <x:v>64139.732591141874</x:v>
      </x:c>
      <x:c r="AJ2208" s="32" t="n">
        <x:f>H2208*v01_CommonsCoef*AI2208^v01_CommonsExp*INDEX(LM_Commons,G2208)</x:f>
        <x:v>0</x:v>
      </x:c>
      <x:c r="AK2208" s="32" t="n">
        <x:f>H2208*v01_RoleScale*Arch_Roles*(AE2208*(INDEX(v01_ElderRolePerSett,G2208)*v01_OutElder*INDEX(LM_Elder,G2208)+INDEX(v01_ShamanPerSett,G2208)*v01_OutShaman)+Z2208*(INDEX(v01_PriestShare,G2208)*v01_OutPriest+INDEX(v01_ScribeShare,G2208)*v01_OutScribe*INDEX(LM_Scribe,G2208)+INDEX(v01_ScholarShare,G2208)*v01_OutScholar*INDEX(LM_Scholar,G2208)+INDEX(v01_ResearcherShare,G2208)*v01_OutResearcher*INDEX(LM_Researcher,G2208)))</x:f>
        <x:v>0</x:v>
      </x:c>
      <x:c r="AL2208" s="32" t="n">
        <x:f>H2208*v01_RoleScale*Arch_Roles*AE2208*INDEX(v01_MonasteryPerSett,G2208)*v01_OutMonastery*INDEX(LM_Monastery,G2208)</x:f>
        <x:v>0</x:v>
      </x:c>
      <x:c r="AM2208" s="32" t="n">
        <x:f>(AJ2208+AK2208+AL2208)/4*INDEX(LM_All,G2208)*INDEX(v01_Boon,G2208)*Arch_Insight</x:f>
        <x:v>0</x:v>
      </x:c>
      <x:c r="AN2208" s="32" t="n">
        <x:f>H2208*(v01_KHPerAdult*Z2208+v01_KHOfCommons*AJ2208/4*INDEX(LM_All,G2208))*v01_KHUsable*Arch_KH</x:f>
        <x:v>0</x:v>
      </x:c>
      <x:c r="AO2208" s="32" t="n">
        <x:f>MIN(AP2207+AN2208,AM2208*v01_KHMaxRatio)</x:f>
        <x:v>0</x:v>
      </x:c>
      <x:c r="AP2208" s="32" t="n">
        <x:f>AP2207+AN2208-AO2208</x:f>
        <x:v>0</x:v>
      </x:c>
      <x:c r="AQ2208" s="32" t="n">
        <x:f>AM2208+AO2208</x:f>
        <x:v>0</x:v>
      </x:c>
      <x:c r="AR2208" s="10" t="n">
        <x:f>IF(H2208=1,INDEX(v01_Req,G2208),0)</x:f>
        <x:v>0</x:v>
      </x:c>
      <x:c r="AS2208" s="32" t="n">
        <x:f>IF(H2208=1,IF(E2208=1,AS2207-AR2207,AS2207)+AQ2208,0)</x:f>
        <x:v>0</x:v>
      </x:c>
      <x:c r="AT2208" s="11" t="n">
        <x:f>IF(AR2208&gt;0,MIN(1,AS2208/AR2208),1)</x:f>
        <x:v>1</x:v>
      </x:c>
      <x:c r="AU2208" s="10" t="n">
        <x:f>AB2208/INDEX(v01_RepScale,G2208)</x:f>
        <x:v>90.09519605746344</x:v>
      </x:c>
      <x:c r="AV2208" s="32" t="n">
        <x:f>AM2208*60/v01_SeasonSeconds</x:f>
        <x:v>0</x:v>
      </x:c>
    </x:row>
    <x:row r="2209">
      <x:c r="A2209" s="8" t="n">
        <x:f>A2208+1</x:f>
        <x:v>2206</x:v>
      </x:c>
      <x:c r="B2209" s="9" t="n">
        <x:f>A2209*v01_SeasonSeconds/60</x:f>
        <x:v>551.5</x:v>
      </x:c>
      <x:c r="C2209" s="9" t="n">
        <x:f>A2209/4</x:f>
        <x:v>551.5</x:v>
      </x:c>
      <x:c r="D2209" s="8" t="n">
        <x:f>IF(MOD(A2209,4)=0,1,0)</x:f>
        <x:v>0</x:v>
      </x:c>
      <x:c r="E2209" s="8" t="n">
        <x:f>IF(AND(F2208&lt;=9,AS2208&gt;=AR2208),1,0)</x:f>
        <x:v>0</x:v>
      </x:c>
      <x:c r="F2209" s="8" t="n">
        <x:f>MIN(10,F2208+E2209)</x:f>
        <x:v>10</x:v>
      </x:c>
      <x:c r="G2209" s="8" t="n">
        <x:f>MIN(F2209,9)+1</x:f>
        <x:v>10</x:v>
      </x:c>
      <x:c r="H2209" s="8" t="n">
        <x:f>IF(F2209&lt;=9,1,0)</x:f>
        <x:v>0</x:v>
      </x:c>
      <x:c r="I2209" s="9" t="n">
        <x:f>MIN(10,F2208+IF(AR2208&gt;0,MIN(1,AS2208/AR2208),1))</x:f>
        <x:v>10</x:v>
      </x:c>
      <x:c r="J2209" s="32" t="n">
        <x:f>INDEX(v01_FoodCap,G2209)*Arch_FoodCap*EXP(v01_CapsByProject*SUMPRODUCT((Cap_Point&lt;=I2209)*(Cap_Kind="Food")*Cap_Ln))</x:f>
        <x:v>12000</x:v>
      </x:c>
      <x:c r="K2209" s="32" t="n">
        <x:f>J2209*MIN(1,v01_LeanBase*EXP(v01_CapsByProject*SUMPRODUCT((Cap_Point&lt;=I2209)*(Cap_Kind="Lean")*Cap_Ln)))</x:f>
        <x:v>12000</x:v>
      </x:c>
      <x:c r="L2209" s="10" t="n">
        <x:f>INDEX(v01_HousingCap,G2209)*EXP(v01_CapsByProject*SUMPRODUCT((Cap_Point&lt;=I2209)*(Cap_Kind="Housing")*Cap_Ln))</x:f>
        <x:v>20000</x:v>
      </x:c>
      <x:c r="M2209" s="10" t="n">
        <x:f>INDEX(v01_GroupCap,G2209)*v01_CohesionFactor*EXP(v01_CapsByProject*SUMPRODUCT((Cap_Point&lt;=I2209)*(Cap_Kind="Group")*Cap_Ln))</x:f>
        <x:v>1000000</x:v>
      </x:c>
      <x:c r="N2209" s="32" t="n">
        <x:f>MIN(J2209,L2209,M2209)</x:f>
        <x:v>12000</x:v>
      </x:c>
      <x:c r="O2209" s="10" t="n">
        <x:f>AE2208*N2209</x:f>
        <x:v>180000</x:v>
      </x:c>
      <x:c r="P2209" s="9" t="n">
        <x:f>MIN(1,(AB2208/(AE2208*IF(v01_GroupInCrowding=1,N2209,MIN(J2209,L2209))))^v01_CrowdingExp)</x:f>
        <x:v>0.00024569414295285325</x:v>
      </x:c>
      <x:c r="Q2209" s="9" t="n">
        <x:f>IF(D2209=1,INDEX(v01_WinterMult,G2209),1)</x:f>
        <x:v>1</x:v>
      </x:c>
      <x:c r="R2209" s="9" t="n">
        <x:f>H2209*Z2208*v01_WomenShare*v01_BaseFertility*INDEX(v01_FertMult,G2209)*Arch_Fertility*(1-P2209)</x:f>
        <x:v>0</x:v>
      </x:c>
      <x:c r="S2209" s="9" t="n">
        <x:f>H2209*Y2208*INDEX(v01_MortChild,G2209)/4*Q2209</x:f>
        <x:v>0</x:v>
      </x:c>
      <x:c r="T2209" s="9" t="n">
        <x:f>H2209*Z2208*INDEX(v01_MortAdult,G2209)*Arch_AdultMort/4*Q2209</x:f>
        <x:v>0</x:v>
      </x:c>
      <x:c r="U2209" s="9" t="n">
        <x:f>H2209*AA2208*INDEX(v01_MortElder,G2209)/4*Q2209</x:f>
        <x:v>0</x:v>
      </x:c>
      <x:c r="V2209" s="9" t="n">
        <x:f>H2209*MAX(0,AB2208-O2209)*v01_OvercapLoss</x:f>
        <x:v>0</x:v>
      </x:c>
      <x:c r="W2209" s="9" t="n">
        <x:f>H2209*Y2208/(v01_ChildYears*4)</x:f>
        <x:v>0</x:v>
      </x:c>
      <x:c r="X2209" s="9" t="n">
        <x:f>H2209*Z2208/(v01_AdultYears*4)</x:f>
        <x:v>0</x:v>
      </x:c>
      <x:c r="Y2209" s="32" t="n">
        <x:f>Y2208+R2209-S2209-W2209-Y2208*V2209/AB2208</x:f>
        <x:v>14306.18539759397</x:v>
      </x:c>
      <x:c r="Z2209" s="32" t="n">
        <x:f>Z2208+W2209-X2209-T2209-Z2208*V2209/AB2208</x:f>
        <x:v>19354.456567879548</x:v>
      </x:c>
      <x:c r="AA2209" s="32" t="n">
        <x:f>AA2208+X2209-U2209-AA2208*V2209/AB2208</x:f>
        <x:v>11386.956063258198</x:v>
      </x:c>
      <x:c r="AB2209" s="10" t="n">
        <x:f>Y2209+Z2209+AA2209</x:f>
        <x:v>45047.59802873172</x:v>
      </x:c>
      <x:c r="AC2209" s="8" t="n">
        <x:f>IF(AND(v01_WinterTrigger=1,D2209=1,AB2208/AE2208&gt;=K2209),1,0)</x:f>
        <x:v>0</x:v>
      </x:c>
      <x:c r="AD2209" s="8" t="n">
        <x:f>H2209*IF(AND(OR(AB2208/AE2208&gt;=v01_FissionTrigger*N2209,AC2209=1),AB2208/AE2208*v01_DaughterShare&gt;=v01_MinDaughter),MAX(1,ROUND(AE2208*v01_FissionRate,0)),0)</x:f>
        <x:v>0</x:v>
      </x:c>
      <x:c r="AE2209" s="8" t="n">
        <x:f>IF(H2209=1,MAX(1,MIN(INDEX(v01_Smax,G2209),AE2208+AD2209)),AE2208)</x:f>
        <x:v>15</x:v>
      </x:c>
      <x:c r="AF2209" s="8" t="n">
        <x:f>MAX(0,AE2209-AE2208)</x:f>
        <x:v>0</x:v>
      </x:c>
      <x:c r="AG2209" s="9" t="str">
        <x:f>IF(AF2209&gt;0,B2209,"")</x:f>
      </x:c>
      <x:c r="AH2209" s="9" t="n">
        <x:f>IF(F2209&gt;=1,1,(1+v01_LowTiesShare*(AE2209-1))/AE2209)</x:f>
        <x:v>1</x:v>
      </x:c>
      <x:c r="AI2209" s="32" t="n">
        <x:f>(Z2209+v01_ElderCommons*INDEX(LM_Elder,G2209)*AA2209)*AH2209</x:f>
        <x:v>64139.732591141874</x:v>
      </x:c>
      <x:c r="AJ2209" s="32" t="n">
        <x:f>H2209*v01_CommonsCoef*AI2209^v01_CommonsExp*INDEX(LM_Commons,G2209)</x:f>
        <x:v>0</x:v>
      </x:c>
      <x:c r="AK2209" s="32" t="n">
        <x:f>H2209*v01_RoleScale*Arch_Roles*(AE2209*(INDEX(v01_ElderRolePerSett,G2209)*v01_OutElder*INDEX(LM_Elder,G2209)+INDEX(v01_ShamanPerSett,G2209)*v01_OutShaman)+Z2209*(INDEX(v01_PriestShare,G2209)*v01_OutPriest+INDEX(v01_ScribeShare,G2209)*v01_OutScribe*INDEX(LM_Scribe,G2209)+INDEX(v01_ScholarShare,G2209)*v01_OutScholar*INDEX(LM_Scholar,G2209)+INDEX(v01_ResearcherShare,G2209)*v01_OutResearcher*INDEX(LM_Researcher,G2209)))</x:f>
        <x:v>0</x:v>
      </x:c>
      <x:c r="AL2209" s="32" t="n">
        <x:f>H2209*v01_RoleScale*Arch_Roles*AE2209*INDEX(v01_MonasteryPerSett,G2209)*v01_OutMonastery*INDEX(LM_Monastery,G2209)</x:f>
        <x:v>0</x:v>
      </x:c>
      <x:c r="AM2209" s="32" t="n">
        <x:f>(AJ2209+AK2209+AL2209)/4*INDEX(LM_All,G2209)*INDEX(v01_Boon,G2209)*Arch_Insight</x:f>
        <x:v>0</x:v>
      </x:c>
      <x:c r="AN2209" s="32" t="n">
        <x:f>H2209*(v01_KHPerAdult*Z2209+v01_KHOfCommons*AJ2209/4*INDEX(LM_All,G2209))*v01_KHUsable*Arch_KH</x:f>
        <x:v>0</x:v>
      </x:c>
      <x:c r="AO2209" s="32" t="n">
        <x:f>MIN(AP2208+AN2209,AM2209*v01_KHMaxRatio)</x:f>
        <x:v>0</x:v>
      </x:c>
      <x:c r="AP2209" s="32" t="n">
        <x:f>AP2208+AN2209-AO2209</x:f>
        <x:v>0</x:v>
      </x:c>
      <x:c r="AQ2209" s="32" t="n">
        <x:f>AM2209+AO2209</x:f>
        <x:v>0</x:v>
      </x:c>
      <x:c r="AR2209" s="10" t="n">
        <x:f>IF(H2209=1,INDEX(v01_Req,G2209),0)</x:f>
        <x:v>0</x:v>
      </x:c>
      <x:c r="AS2209" s="32" t="n">
        <x:f>IF(H2209=1,IF(E2209=1,AS2208-AR2208,AS2208)+AQ2209,0)</x:f>
        <x:v>0</x:v>
      </x:c>
      <x:c r="AT2209" s="11" t="n">
        <x:f>IF(AR2209&gt;0,MIN(1,AS2209/AR2209),1)</x:f>
        <x:v>1</x:v>
      </x:c>
      <x:c r="AU2209" s="10" t="n">
        <x:f>AB2209/INDEX(v01_RepScale,G2209)</x:f>
        <x:v>90.09519605746344</x:v>
      </x:c>
      <x:c r="AV2209" s="32" t="n">
        <x:f>AM2209*60/v01_SeasonSeconds</x:f>
        <x:v>0</x:v>
      </x:c>
    </x:row>
    <x:row r="2210">
      <x:c r="A2210" s="8" t="n">
        <x:f>A2209+1</x:f>
        <x:v>2207</x:v>
      </x:c>
      <x:c r="B2210" s="9" t="n">
        <x:f>A2210*v01_SeasonSeconds/60</x:f>
        <x:v>551.75</x:v>
      </x:c>
      <x:c r="C2210" s="9" t="n">
        <x:f>A2210/4</x:f>
        <x:v>551.75</x:v>
      </x:c>
      <x:c r="D2210" s="8" t="n">
        <x:f>IF(MOD(A2210,4)=0,1,0)</x:f>
        <x:v>0</x:v>
      </x:c>
      <x:c r="E2210" s="8" t="n">
        <x:f>IF(AND(F2209&lt;=9,AS2209&gt;=AR2209),1,0)</x:f>
        <x:v>0</x:v>
      </x:c>
      <x:c r="F2210" s="8" t="n">
        <x:f>MIN(10,F2209+E2210)</x:f>
        <x:v>10</x:v>
      </x:c>
      <x:c r="G2210" s="8" t="n">
        <x:f>MIN(F2210,9)+1</x:f>
        <x:v>10</x:v>
      </x:c>
      <x:c r="H2210" s="8" t="n">
        <x:f>IF(F2210&lt;=9,1,0)</x:f>
        <x:v>0</x:v>
      </x:c>
      <x:c r="I2210" s="9" t="n">
        <x:f>MIN(10,F2209+IF(AR2209&gt;0,MIN(1,AS2209/AR2209),1))</x:f>
        <x:v>10</x:v>
      </x:c>
      <x:c r="J2210" s="32" t="n">
        <x:f>INDEX(v01_FoodCap,G2210)*Arch_FoodCap*EXP(v01_CapsByProject*SUMPRODUCT((Cap_Point&lt;=I2210)*(Cap_Kind="Food")*Cap_Ln))</x:f>
        <x:v>12000</x:v>
      </x:c>
      <x:c r="K2210" s="32" t="n">
        <x:f>J2210*MIN(1,v01_LeanBase*EXP(v01_CapsByProject*SUMPRODUCT((Cap_Point&lt;=I2210)*(Cap_Kind="Lean")*Cap_Ln)))</x:f>
        <x:v>12000</x:v>
      </x:c>
      <x:c r="L2210" s="10" t="n">
        <x:f>INDEX(v01_HousingCap,G2210)*EXP(v01_CapsByProject*SUMPRODUCT((Cap_Point&lt;=I2210)*(Cap_Kind="Housing")*Cap_Ln))</x:f>
        <x:v>20000</x:v>
      </x:c>
      <x:c r="M2210" s="10" t="n">
        <x:f>INDEX(v01_GroupCap,G2210)*v01_CohesionFactor*EXP(v01_CapsByProject*SUMPRODUCT((Cap_Point&lt;=I2210)*(Cap_Kind="Group")*Cap_Ln))</x:f>
        <x:v>1000000</x:v>
      </x:c>
      <x:c r="N2210" s="32" t="n">
        <x:f>MIN(J2210,L2210,M2210)</x:f>
        <x:v>12000</x:v>
      </x:c>
      <x:c r="O2210" s="10" t="n">
        <x:f>AE2209*N2210</x:f>
        <x:v>180000</x:v>
      </x:c>
      <x:c r="P2210" s="9" t="n">
        <x:f>MIN(1,(AB2209/(AE2209*IF(v01_GroupInCrowding=1,N2210,MIN(J2210,L2210))))^v01_CrowdingExp)</x:f>
        <x:v>0.00024569414295285325</x:v>
      </x:c>
      <x:c r="Q2210" s="9" t="n">
        <x:f>IF(D2210=1,INDEX(v01_WinterMult,G2210),1)</x:f>
        <x:v>1</x:v>
      </x:c>
      <x:c r="R2210" s="9" t="n">
        <x:f>H2210*Z2209*v01_WomenShare*v01_BaseFertility*INDEX(v01_FertMult,G2210)*Arch_Fertility*(1-P2210)</x:f>
        <x:v>0</x:v>
      </x:c>
      <x:c r="S2210" s="9" t="n">
        <x:f>H2210*Y2209*INDEX(v01_MortChild,G2210)/4*Q2210</x:f>
        <x:v>0</x:v>
      </x:c>
      <x:c r="T2210" s="9" t="n">
        <x:f>H2210*Z2209*INDEX(v01_MortAdult,G2210)*Arch_AdultMort/4*Q2210</x:f>
        <x:v>0</x:v>
      </x:c>
      <x:c r="U2210" s="9" t="n">
        <x:f>H2210*AA2209*INDEX(v01_MortElder,G2210)/4*Q2210</x:f>
        <x:v>0</x:v>
      </x:c>
      <x:c r="V2210" s="9" t="n">
        <x:f>H2210*MAX(0,AB2209-O2210)*v01_OvercapLoss</x:f>
        <x:v>0</x:v>
      </x:c>
      <x:c r="W2210" s="9" t="n">
        <x:f>H2210*Y2209/(v01_ChildYears*4)</x:f>
        <x:v>0</x:v>
      </x:c>
      <x:c r="X2210" s="9" t="n">
        <x:f>H2210*Z2209/(v01_AdultYears*4)</x:f>
        <x:v>0</x:v>
      </x:c>
      <x:c r="Y2210" s="32" t="n">
        <x:f>Y2209+R2210-S2210-W2210-Y2209*V2210/AB2209</x:f>
        <x:v>14306.18539759397</x:v>
      </x:c>
      <x:c r="Z2210" s="32" t="n">
        <x:f>Z2209+W2210-X2210-T2210-Z2209*V2210/AB2209</x:f>
        <x:v>19354.456567879548</x:v>
      </x:c>
      <x:c r="AA2210" s="32" t="n">
        <x:f>AA2209+X2210-U2210-AA2209*V2210/AB2209</x:f>
        <x:v>11386.956063258198</x:v>
      </x:c>
      <x:c r="AB2210" s="10" t="n">
        <x:f>Y2210+Z2210+AA2210</x:f>
        <x:v>45047.59802873172</x:v>
      </x:c>
      <x:c r="AC2210" s="8" t="n">
        <x:f>IF(AND(v01_WinterTrigger=1,D2210=1,AB2209/AE2209&gt;=K2210),1,0)</x:f>
        <x:v>0</x:v>
      </x:c>
      <x:c r="AD2210" s="8" t="n">
        <x:f>H2210*IF(AND(OR(AB2209/AE2209&gt;=v01_FissionTrigger*N2210,AC2210=1),AB2209/AE2209*v01_DaughterShare&gt;=v01_MinDaughter),MAX(1,ROUND(AE2209*v01_FissionRate,0)),0)</x:f>
        <x:v>0</x:v>
      </x:c>
      <x:c r="AE2210" s="8" t="n">
        <x:f>IF(H2210=1,MAX(1,MIN(INDEX(v01_Smax,G2210),AE2209+AD2210)),AE2209)</x:f>
        <x:v>15</x:v>
      </x:c>
      <x:c r="AF2210" s="8" t="n">
        <x:f>MAX(0,AE2210-AE2209)</x:f>
        <x:v>0</x:v>
      </x:c>
      <x:c r="AG2210" s="9" t="str">
        <x:f>IF(AF2210&gt;0,B2210,"")</x:f>
      </x:c>
      <x:c r="AH2210" s="9" t="n">
        <x:f>IF(F2210&gt;=1,1,(1+v01_LowTiesShare*(AE2210-1))/AE2210)</x:f>
        <x:v>1</x:v>
      </x:c>
      <x:c r="AI2210" s="32" t="n">
        <x:f>(Z2210+v01_ElderCommons*INDEX(LM_Elder,G2210)*AA2210)*AH2210</x:f>
        <x:v>64139.732591141874</x:v>
      </x:c>
      <x:c r="AJ2210" s="32" t="n">
        <x:f>H2210*v01_CommonsCoef*AI2210^v01_CommonsExp*INDEX(LM_Commons,G2210)</x:f>
        <x:v>0</x:v>
      </x:c>
      <x:c r="AK2210" s="32" t="n">
        <x:f>H2210*v01_RoleScale*Arch_Roles*(AE2210*(INDEX(v01_ElderRolePerSett,G2210)*v01_OutElder*INDEX(LM_Elder,G2210)+INDEX(v01_ShamanPerSett,G2210)*v01_OutShaman)+Z2210*(INDEX(v01_PriestShare,G2210)*v01_OutPriest+INDEX(v01_ScribeShare,G2210)*v01_OutScribe*INDEX(LM_Scribe,G2210)+INDEX(v01_ScholarShare,G2210)*v01_OutScholar*INDEX(LM_Scholar,G2210)+INDEX(v01_ResearcherShare,G2210)*v01_OutResearcher*INDEX(LM_Researcher,G2210)))</x:f>
        <x:v>0</x:v>
      </x:c>
      <x:c r="AL2210" s="32" t="n">
        <x:f>H2210*v01_RoleScale*Arch_Roles*AE2210*INDEX(v01_MonasteryPerSett,G2210)*v01_OutMonastery*INDEX(LM_Monastery,G2210)</x:f>
        <x:v>0</x:v>
      </x:c>
      <x:c r="AM2210" s="32" t="n">
        <x:f>(AJ2210+AK2210+AL2210)/4*INDEX(LM_All,G2210)*INDEX(v01_Boon,G2210)*Arch_Insight</x:f>
        <x:v>0</x:v>
      </x:c>
      <x:c r="AN2210" s="32" t="n">
        <x:f>H2210*(v01_KHPerAdult*Z2210+v01_KHOfCommons*AJ2210/4*INDEX(LM_All,G2210))*v01_KHUsable*Arch_KH</x:f>
        <x:v>0</x:v>
      </x:c>
      <x:c r="AO2210" s="32" t="n">
        <x:f>MIN(AP2209+AN2210,AM2210*v01_KHMaxRatio)</x:f>
        <x:v>0</x:v>
      </x:c>
      <x:c r="AP2210" s="32" t="n">
        <x:f>AP2209+AN2210-AO2210</x:f>
        <x:v>0</x:v>
      </x:c>
      <x:c r="AQ2210" s="32" t="n">
        <x:f>AM2210+AO2210</x:f>
        <x:v>0</x:v>
      </x:c>
      <x:c r="AR2210" s="10" t="n">
        <x:f>IF(H2210=1,INDEX(v01_Req,G2210),0)</x:f>
        <x:v>0</x:v>
      </x:c>
      <x:c r="AS2210" s="32" t="n">
        <x:f>IF(H2210=1,IF(E2210=1,AS2209-AR2209,AS2209)+AQ2210,0)</x:f>
        <x:v>0</x:v>
      </x:c>
      <x:c r="AT2210" s="11" t="n">
        <x:f>IF(AR2210&gt;0,MIN(1,AS2210/AR2210),1)</x:f>
        <x:v>1</x:v>
      </x:c>
      <x:c r="AU2210" s="10" t="n">
        <x:f>AB2210/INDEX(v01_RepScale,G2210)</x:f>
        <x:v>90.09519605746344</x:v>
      </x:c>
      <x:c r="AV2210" s="32" t="n">
        <x:f>AM2210*60/v01_SeasonSeconds</x:f>
        <x:v>0</x:v>
      </x:c>
    </x:row>
    <x:row r="2211">
      <x:c r="A2211" s="8" t="n">
        <x:f>A2210+1</x:f>
        <x:v>2208</x:v>
      </x:c>
      <x:c r="B2211" s="9" t="n">
        <x:f>A2211*v01_SeasonSeconds/60</x:f>
        <x:v>552</x:v>
      </x:c>
      <x:c r="C2211" s="9" t="n">
        <x:f>A2211/4</x:f>
        <x:v>552</x:v>
      </x:c>
      <x:c r="D2211" s="8" t="n">
        <x:f>IF(MOD(A2211,4)=0,1,0)</x:f>
        <x:v>1</x:v>
      </x:c>
      <x:c r="E2211" s="8" t="n">
        <x:f>IF(AND(F2210&lt;=9,AS2210&gt;=AR2210),1,0)</x:f>
        <x:v>0</x:v>
      </x:c>
      <x:c r="F2211" s="8" t="n">
        <x:f>MIN(10,F2210+E2211)</x:f>
        <x:v>10</x:v>
      </x:c>
      <x:c r="G2211" s="8" t="n">
        <x:f>MIN(F2211,9)+1</x:f>
        <x:v>10</x:v>
      </x:c>
      <x:c r="H2211" s="8" t="n">
        <x:f>IF(F2211&lt;=9,1,0)</x:f>
        <x:v>0</x:v>
      </x:c>
      <x:c r="I2211" s="9" t="n">
        <x:f>MIN(10,F2210+IF(AR2210&gt;0,MIN(1,AS2210/AR2210),1))</x:f>
        <x:v>10</x:v>
      </x:c>
      <x:c r="J2211" s="32" t="n">
        <x:f>INDEX(v01_FoodCap,G2211)*Arch_FoodCap*EXP(v01_CapsByProject*SUMPRODUCT((Cap_Point&lt;=I2211)*(Cap_Kind="Food")*Cap_Ln))</x:f>
        <x:v>12000</x:v>
      </x:c>
      <x:c r="K2211" s="32" t="n">
        <x:f>J2211*MIN(1,v01_LeanBase*EXP(v01_CapsByProject*SUMPRODUCT((Cap_Point&lt;=I2211)*(Cap_Kind="Lean")*Cap_Ln)))</x:f>
        <x:v>12000</x:v>
      </x:c>
      <x:c r="L2211" s="10" t="n">
        <x:f>INDEX(v01_HousingCap,G2211)*EXP(v01_CapsByProject*SUMPRODUCT((Cap_Point&lt;=I2211)*(Cap_Kind="Housing")*Cap_Ln))</x:f>
        <x:v>20000</x:v>
      </x:c>
      <x:c r="M2211" s="10" t="n">
        <x:f>INDEX(v01_GroupCap,G2211)*v01_CohesionFactor*EXP(v01_CapsByProject*SUMPRODUCT((Cap_Point&lt;=I2211)*(Cap_Kind="Group")*Cap_Ln))</x:f>
        <x:v>1000000</x:v>
      </x:c>
      <x:c r="N2211" s="32" t="n">
        <x:f>MIN(J2211,L2211,M2211)</x:f>
        <x:v>12000</x:v>
      </x:c>
      <x:c r="O2211" s="10" t="n">
        <x:f>AE2210*N2211</x:f>
        <x:v>180000</x:v>
      </x:c>
      <x:c r="P2211" s="9" t="n">
        <x:f>MIN(1,(AB2210/(AE2210*IF(v01_GroupInCrowding=1,N2211,MIN(J2211,L2211))))^v01_CrowdingExp)</x:f>
        <x:v>0.00024569414295285325</x:v>
      </x:c>
      <x:c r="Q2211" s="9" t="n">
        <x:f>IF(D2211=1,INDEX(v01_WinterMult,G2211),1)</x:f>
        <x:v>1</x:v>
      </x:c>
      <x:c r="R2211" s="9" t="n">
        <x:f>H2211*Z2210*v01_WomenShare*v01_BaseFertility*INDEX(v01_FertMult,G2211)*Arch_Fertility*(1-P2211)</x:f>
        <x:v>0</x:v>
      </x:c>
      <x:c r="S2211" s="9" t="n">
        <x:f>H2211*Y2210*INDEX(v01_MortChild,G2211)/4*Q2211</x:f>
        <x:v>0</x:v>
      </x:c>
      <x:c r="T2211" s="9" t="n">
        <x:f>H2211*Z2210*INDEX(v01_MortAdult,G2211)*Arch_AdultMort/4*Q2211</x:f>
        <x:v>0</x:v>
      </x:c>
      <x:c r="U2211" s="9" t="n">
        <x:f>H2211*AA2210*INDEX(v01_MortElder,G2211)/4*Q2211</x:f>
        <x:v>0</x:v>
      </x:c>
      <x:c r="V2211" s="9" t="n">
        <x:f>H2211*MAX(0,AB2210-O2211)*v01_OvercapLoss</x:f>
        <x:v>0</x:v>
      </x:c>
      <x:c r="W2211" s="9" t="n">
        <x:f>H2211*Y2210/(v01_ChildYears*4)</x:f>
        <x:v>0</x:v>
      </x:c>
      <x:c r="X2211" s="9" t="n">
        <x:f>H2211*Z2210/(v01_AdultYears*4)</x:f>
        <x:v>0</x:v>
      </x:c>
      <x:c r="Y2211" s="32" t="n">
        <x:f>Y2210+R2211-S2211-W2211-Y2210*V2211/AB2210</x:f>
        <x:v>14306.18539759397</x:v>
      </x:c>
      <x:c r="Z2211" s="32" t="n">
        <x:f>Z2210+W2211-X2211-T2211-Z2210*V2211/AB2210</x:f>
        <x:v>19354.456567879548</x:v>
      </x:c>
      <x:c r="AA2211" s="32" t="n">
        <x:f>AA2210+X2211-U2211-AA2210*V2211/AB2210</x:f>
        <x:v>11386.956063258198</x:v>
      </x:c>
      <x:c r="AB2211" s="10" t="n">
        <x:f>Y2211+Z2211+AA2211</x:f>
        <x:v>45047.59802873172</x:v>
      </x:c>
      <x:c r="AC2211" s="8" t="n">
        <x:f>IF(AND(v01_WinterTrigger=1,D2211=1,AB2210/AE2210&gt;=K2211),1,0)</x:f>
        <x:v>0</x:v>
      </x:c>
      <x:c r="AD2211" s="8" t="n">
        <x:f>H2211*IF(AND(OR(AB2210/AE2210&gt;=v01_FissionTrigger*N2211,AC2211=1),AB2210/AE2210*v01_DaughterShare&gt;=v01_MinDaughter),MAX(1,ROUND(AE2210*v01_FissionRate,0)),0)</x:f>
        <x:v>0</x:v>
      </x:c>
      <x:c r="AE2211" s="8" t="n">
        <x:f>IF(H2211=1,MAX(1,MIN(INDEX(v01_Smax,G2211),AE2210+AD2211)),AE2210)</x:f>
        <x:v>15</x:v>
      </x:c>
      <x:c r="AF2211" s="8" t="n">
        <x:f>MAX(0,AE2211-AE2210)</x:f>
        <x:v>0</x:v>
      </x:c>
      <x:c r="AG2211" s="9" t="str">
        <x:f>IF(AF2211&gt;0,B2211,"")</x:f>
      </x:c>
      <x:c r="AH2211" s="9" t="n">
        <x:f>IF(F2211&gt;=1,1,(1+v01_LowTiesShare*(AE2211-1))/AE2211)</x:f>
        <x:v>1</x:v>
      </x:c>
      <x:c r="AI2211" s="32" t="n">
        <x:f>(Z2211+v01_ElderCommons*INDEX(LM_Elder,G2211)*AA2211)*AH2211</x:f>
        <x:v>64139.732591141874</x:v>
      </x:c>
      <x:c r="AJ2211" s="32" t="n">
        <x:f>H2211*v01_CommonsCoef*AI2211^v01_CommonsExp*INDEX(LM_Commons,G2211)</x:f>
        <x:v>0</x:v>
      </x:c>
      <x:c r="AK2211" s="32" t="n">
        <x:f>H2211*v01_RoleScale*Arch_Roles*(AE2211*(INDEX(v01_ElderRolePerSett,G2211)*v01_OutElder*INDEX(LM_Elder,G2211)+INDEX(v01_ShamanPerSett,G2211)*v01_OutShaman)+Z2211*(INDEX(v01_PriestShare,G2211)*v01_OutPriest+INDEX(v01_ScribeShare,G2211)*v01_OutScribe*INDEX(LM_Scribe,G2211)+INDEX(v01_ScholarShare,G2211)*v01_OutScholar*INDEX(LM_Scholar,G2211)+INDEX(v01_ResearcherShare,G2211)*v01_OutResearcher*INDEX(LM_Researcher,G2211)))</x:f>
        <x:v>0</x:v>
      </x:c>
      <x:c r="AL2211" s="32" t="n">
        <x:f>H2211*v01_RoleScale*Arch_Roles*AE2211*INDEX(v01_MonasteryPerSett,G2211)*v01_OutMonastery*INDEX(LM_Monastery,G2211)</x:f>
        <x:v>0</x:v>
      </x:c>
      <x:c r="AM2211" s="32" t="n">
        <x:f>(AJ2211+AK2211+AL2211)/4*INDEX(LM_All,G2211)*INDEX(v01_Boon,G2211)*Arch_Insight</x:f>
        <x:v>0</x:v>
      </x:c>
      <x:c r="AN2211" s="32" t="n">
        <x:f>H2211*(v01_KHPerAdult*Z2211+v01_KHOfCommons*AJ2211/4*INDEX(LM_All,G2211))*v01_KHUsable*Arch_KH</x:f>
        <x:v>0</x:v>
      </x:c>
      <x:c r="AO2211" s="32" t="n">
        <x:f>MIN(AP2210+AN2211,AM2211*v01_KHMaxRatio)</x:f>
        <x:v>0</x:v>
      </x:c>
      <x:c r="AP2211" s="32" t="n">
        <x:f>AP2210+AN2211-AO2211</x:f>
        <x:v>0</x:v>
      </x:c>
      <x:c r="AQ2211" s="32" t="n">
        <x:f>AM2211+AO2211</x:f>
        <x:v>0</x:v>
      </x:c>
      <x:c r="AR2211" s="10" t="n">
        <x:f>IF(H2211=1,INDEX(v01_Req,G2211),0)</x:f>
        <x:v>0</x:v>
      </x:c>
      <x:c r="AS2211" s="32" t="n">
        <x:f>IF(H2211=1,IF(E2211=1,AS2210-AR2210,AS2210)+AQ2211,0)</x:f>
        <x:v>0</x:v>
      </x:c>
      <x:c r="AT2211" s="11" t="n">
        <x:f>IF(AR2211&gt;0,MIN(1,AS2211/AR2211),1)</x:f>
        <x:v>1</x:v>
      </x:c>
      <x:c r="AU2211" s="10" t="n">
        <x:f>AB2211/INDEX(v01_RepScale,G2211)</x:f>
        <x:v>90.09519605746344</x:v>
      </x:c>
      <x:c r="AV2211" s="32" t="n">
        <x:f>AM2211*60/v01_SeasonSeconds</x:f>
        <x:v>0</x:v>
      </x:c>
    </x:row>
    <x:row r="2212">
      <x:c r="A2212" s="8" t="n">
        <x:f>A2211+1</x:f>
        <x:v>2209</x:v>
      </x:c>
      <x:c r="B2212" s="9" t="n">
        <x:f>A2212*v01_SeasonSeconds/60</x:f>
        <x:v>552.25</x:v>
      </x:c>
      <x:c r="C2212" s="9" t="n">
        <x:f>A2212/4</x:f>
        <x:v>552.25</x:v>
      </x:c>
      <x:c r="D2212" s="8" t="n">
        <x:f>IF(MOD(A2212,4)=0,1,0)</x:f>
        <x:v>0</x:v>
      </x:c>
      <x:c r="E2212" s="8" t="n">
        <x:f>IF(AND(F2211&lt;=9,AS2211&gt;=AR2211),1,0)</x:f>
        <x:v>0</x:v>
      </x:c>
      <x:c r="F2212" s="8" t="n">
        <x:f>MIN(10,F2211+E2212)</x:f>
        <x:v>10</x:v>
      </x:c>
      <x:c r="G2212" s="8" t="n">
        <x:f>MIN(F2212,9)+1</x:f>
        <x:v>10</x:v>
      </x:c>
      <x:c r="H2212" s="8" t="n">
        <x:f>IF(F2212&lt;=9,1,0)</x:f>
        <x:v>0</x:v>
      </x:c>
      <x:c r="I2212" s="9" t="n">
        <x:f>MIN(10,F2211+IF(AR2211&gt;0,MIN(1,AS2211/AR2211),1))</x:f>
        <x:v>10</x:v>
      </x:c>
      <x:c r="J2212" s="32" t="n">
        <x:f>INDEX(v01_FoodCap,G2212)*Arch_FoodCap*EXP(v01_CapsByProject*SUMPRODUCT((Cap_Point&lt;=I2212)*(Cap_Kind="Food")*Cap_Ln))</x:f>
        <x:v>12000</x:v>
      </x:c>
      <x:c r="K2212" s="32" t="n">
        <x:f>J2212*MIN(1,v01_LeanBase*EXP(v01_CapsByProject*SUMPRODUCT((Cap_Point&lt;=I2212)*(Cap_Kind="Lean")*Cap_Ln)))</x:f>
        <x:v>12000</x:v>
      </x:c>
      <x:c r="L2212" s="10" t="n">
        <x:f>INDEX(v01_HousingCap,G2212)*EXP(v01_CapsByProject*SUMPRODUCT((Cap_Point&lt;=I2212)*(Cap_Kind="Housing")*Cap_Ln))</x:f>
        <x:v>20000</x:v>
      </x:c>
      <x:c r="M2212" s="10" t="n">
        <x:f>INDEX(v01_GroupCap,G2212)*v01_CohesionFactor*EXP(v01_CapsByProject*SUMPRODUCT((Cap_Point&lt;=I2212)*(Cap_Kind="Group")*Cap_Ln))</x:f>
        <x:v>1000000</x:v>
      </x:c>
      <x:c r="N2212" s="32" t="n">
        <x:f>MIN(J2212,L2212,M2212)</x:f>
        <x:v>12000</x:v>
      </x:c>
      <x:c r="O2212" s="10" t="n">
        <x:f>AE2211*N2212</x:f>
        <x:v>180000</x:v>
      </x:c>
      <x:c r="P2212" s="9" t="n">
        <x:f>MIN(1,(AB2211/(AE2211*IF(v01_GroupInCrowding=1,N2212,MIN(J2212,L2212))))^v01_CrowdingExp)</x:f>
        <x:v>0.00024569414295285325</x:v>
      </x:c>
      <x:c r="Q2212" s="9" t="n">
        <x:f>IF(D2212=1,INDEX(v01_WinterMult,G2212),1)</x:f>
        <x:v>1</x:v>
      </x:c>
      <x:c r="R2212" s="9" t="n">
        <x:f>H2212*Z2211*v01_WomenShare*v01_BaseFertility*INDEX(v01_FertMult,G2212)*Arch_Fertility*(1-P2212)</x:f>
        <x:v>0</x:v>
      </x:c>
      <x:c r="S2212" s="9" t="n">
        <x:f>H2212*Y2211*INDEX(v01_MortChild,G2212)/4*Q2212</x:f>
        <x:v>0</x:v>
      </x:c>
      <x:c r="T2212" s="9" t="n">
        <x:f>H2212*Z2211*INDEX(v01_MortAdult,G2212)*Arch_AdultMort/4*Q2212</x:f>
        <x:v>0</x:v>
      </x:c>
      <x:c r="U2212" s="9" t="n">
        <x:f>H2212*AA2211*INDEX(v01_MortElder,G2212)/4*Q2212</x:f>
        <x:v>0</x:v>
      </x:c>
      <x:c r="V2212" s="9" t="n">
        <x:f>H2212*MAX(0,AB2211-O2212)*v01_OvercapLoss</x:f>
        <x:v>0</x:v>
      </x:c>
      <x:c r="W2212" s="9" t="n">
        <x:f>H2212*Y2211/(v01_ChildYears*4)</x:f>
        <x:v>0</x:v>
      </x:c>
      <x:c r="X2212" s="9" t="n">
        <x:f>H2212*Z2211/(v01_AdultYears*4)</x:f>
        <x:v>0</x:v>
      </x:c>
      <x:c r="Y2212" s="32" t="n">
        <x:f>Y2211+R2212-S2212-W2212-Y2211*V2212/AB2211</x:f>
        <x:v>14306.18539759397</x:v>
      </x:c>
      <x:c r="Z2212" s="32" t="n">
        <x:f>Z2211+W2212-X2212-T2212-Z2211*V2212/AB2211</x:f>
        <x:v>19354.456567879548</x:v>
      </x:c>
      <x:c r="AA2212" s="32" t="n">
        <x:f>AA2211+X2212-U2212-AA2211*V2212/AB2211</x:f>
        <x:v>11386.956063258198</x:v>
      </x:c>
      <x:c r="AB2212" s="10" t="n">
        <x:f>Y2212+Z2212+AA2212</x:f>
        <x:v>45047.59802873172</x:v>
      </x:c>
      <x:c r="AC2212" s="8" t="n">
        <x:f>IF(AND(v01_WinterTrigger=1,D2212=1,AB2211/AE2211&gt;=K2212),1,0)</x:f>
        <x:v>0</x:v>
      </x:c>
      <x:c r="AD2212" s="8" t="n">
        <x:f>H2212*IF(AND(OR(AB2211/AE2211&gt;=v01_FissionTrigger*N2212,AC2212=1),AB2211/AE2211*v01_DaughterShare&gt;=v01_MinDaughter),MAX(1,ROUND(AE2211*v01_FissionRate,0)),0)</x:f>
        <x:v>0</x:v>
      </x:c>
      <x:c r="AE2212" s="8" t="n">
        <x:f>IF(H2212=1,MAX(1,MIN(INDEX(v01_Smax,G2212),AE2211+AD2212)),AE2211)</x:f>
        <x:v>15</x:v>
      </x:c>
      <x:c r="AF2212" s="8" t="n">
        <x:f>MAX(0,AE2212-AE2211)</x:f>
        <x:v>0</x:v>
      </x:c>
      <x:c r="AG2212" s="9" t="str">
        <x:f>IF(AF2212&gt;0,B2212,"")</x:f>
      </x:c>
      <x:c r="AH2212" s="9" t="n">
        <x:f>IF(F2212&gt;=1,1,(1+v01_LowTiesShare*(AE2212-1))/AE2212)</x:f>
        <x:v>1</x:v>
      </x:c>
      <x:c r="AI2212" s="32" t="n">
        <x:f>(Z2212+v01_ElderCommons*INDEX(LM_Elder,G2212)*AA2212)*AH2212</x:f>
        <x:v>64139.732591141874</x:v>
      </x:c>
      <x:c r="AJ2212" s="32" t="n">
        <x:f>H2212*v01_CommonsCoef*AI2212^v01_CommonsExp*INDEX(LM_Commons,G2212)</x:f>
        <x:v>0</x:v>
      </x:c>
      <x:c r="AK2212" s="32" t="n">
        <x:f>H2212*v01_RoleScale*Arch_Roles*(AE2212*(INDEX(v01_ElderRolePerSett,G2212)*v01_OutElder*INDEX(LM_Elder,G2212)+INDEX(v01_ShamanPerSett,G2212)*v01_OutShaman)+Z2212*(INDEX(v01_PriestShare,G2212)*v01_OutPriest+INDEX(v01_ScribeShare,G2212)*v01_OutScribe*INDEX(LM_Scribe,G2212)+INDEX(v01_ScholarShare,G2212)*v01_OutScholar*INDEX(LM_Scholar,G2212)+INDEX(v01_ResearcherShare,G2212)*v01_OutResearcher*INDEX(LM_Researcher,G2212)))</x:f>
        <x:v>0</x:v>
      </x:c>
      <x:c r="AL2212" s="32" t="n">
        <x:f>H2212*v01_RoleScale*Arch_Roles*AE2212*INDEX(v01_MonasteryPerSett,G2212)*v01_OutMonastery*INDEX(LM_Monastery,G2212)</x:f>
        <x:v>0</x:v>
      </x:c>
      <x:c r="AM2212" s="32" t="n">
        <x:f>(AJ2212+AK2212+AL2212)/4*INDEX(LM_All,G2212)*INDEX(v01_Boon,G2212)*Arch_Insight</x:f>
        <x:v>0</x:v>
      </x:c>
      <x:c r="AN2212" s="32" t="n">
        <x:f>H2212*(v01_KHPerAdult*Z2212+v01_KHOfCommons*AJ2212/4*INDEX(LM_All,G2212))*v01_KHUsable*Arch_KH</x:f>
        <x:v>0</x:v>
      </x:c>
      <x:c r="AO2212" s="32" t="n">
        <x:f>MIN(AP2211+AN2212,AM2212*v01_KHMaxRatio)</x:f>
        <x:v>0</x:v>
      </x:c>
      <x:c r="AP2212" s="32" t="n">
        <x:f>AP2211+AN2212-AO2212</x:f>
        <x:v>0</x:v>
      </x:c>
      <x:c r="AQ2212" s="32" t="n">
        <x:f>AM2212+AO2212</x:f>
        <x:v>0</x:v>
      </x:c>
      <x:c r="AR2212" s="10" t="n">
        <x:f>IF(H2212=1,INDEX(v01_Req,G2212),0)</x:f>
        <x:v>0</x:v>
      </x:c>
      <x:c r="AS2212" s="32" t="n">
        <x:f>IF(H2212=1,IF(E2212=1,AS2211-AR2211,AS2211)+AQ2212,0)</x:f>
        <x:v>0</x:v>
      </x:c>
      <x:c r="AT2212" s="11" t="n">
        <x:f>IF(AR2212&gt;0,MIN(1,AS2212/AR2212),1)</x:f>
        <x:v>1</x:v>
      </x:c>
      <x:c r="AU2212" s="10" t="n">
        <x:f>AB2212/INDEX(v01_RepScale,G2212)</x:f>
        <x:v>90.09519605746344</x:v>
      </x:c>
      <x:c r="AV2212" s="32" t="n">
        <x:f>AM2212*60/v01_SeasonSeconds</x:f>
        <x:v>0</x:v>
      </x:c>
    </x:row>
    <x:row r="2213">
      <x:c r="A2213" s="8" t="n">
        <x:f>A2212+1</x:f>
        <x:v>2210</x:v>
      </x:c>
      <x:c r="B2213" s="9" t="n">
        <x:f>A2213*v01_SeasonSeconds/60</x:f>
        <x:v>552.5</x:v>
      </x:c>
      <x:c r="C2213" s="9" t="n">
        <x:f>A2213/4</x:f>
        <x:v>552.5</x:v>
      </x:c>
      <x:c r="D2213" s="8" t="n">
        <x:f>IF(MOD(A2213,4)=0,1,0)</x:f>
        <x:v>0</x:v>
      </x:c>
      <x:c r="E2213" s="8" t="n">
        <x:f>IF(AND(F2212&lt;=9,AS2212&gt;=AR2212),1,0)</x:f>
        <x:v>0</x:v>
      </x:c>
      <x:c r="F2213" s="8" t="n">
        <x:f>MIN(10,F2212+E2213)</x:f>
        <x:v>10</x:v>
      </x:c>
      <x:c r="G2213" s="8" t="n">
        <x:f>MIN(F2213,9)+1</x:f>
        <x:v>10</x:v>
      </x:c>
      <x:c r="H2213" s="8" t="n">
        <x:f>IF(F2213&lt;=9,1,0)</x:f>
        <x:v>0</x:v>
      </x:c>
      <x:c r="I2213" s="9" t="n">
        <x:f>MIN(10,F2212+IF(AR2212&gt;0,MIN(1,AS2212/AR2212),1))</x:f>
        <x:v>10</x:v>
      </x:c>
      <x:c r="J2213" s="32" t="n">
        <x:f>INDEX(v01_FoodCap,G2213)*Arch_FoodCap*EXP(v01_CapsByProject*SUMPRODUCT((Cap_Point&lt;=I2213)*(Cap_Kind="Food")*Cap_Ln))</x:f>
        <x:v>12000</x:v>
      </x:c>
      <x:c r="K2213" s="32" t="n">
        <x:f>J2213*MIN(1,v01_LeanBase*EXP(v01_CapsByProject*SUMPRODUCT((Cap_Point&lt;=I2213)*(Cap_Kind="Lean")*Cap_Ln)))</x:f>
        <x:v>12000</x:v>
      </x:c>
      <x:c r="L2213" s="10" t="n">
        <x:f>INDEX(v01_HousingCap,G2213)*EXP(v01_CapsByProject*SUMPRODUCT((Cap_Point&lt;=I2213)*(Cap_Kind="Housing")*Cap_Ln))</x:f>
        <x:v>20000</x:v>
      </x:c>
      <x:c r="M2213" s="10" t="n">
        <x:f>INDEX(v01_GroupCap,G2213)*v01_CohesionFactor*EXP(v01_CapsByProject*SUMPRODUCT((Cap_Point&lt;=I2213)*(Cap_Kind="Group")*Cap_Ln))</x:f>
        <x:v>1000000</x:v>
      </x:c>
      <x:c r="N2213" s="32" t="n">
        <x:f>MIN(J2213,L2213,M2213)</x:f>
        <x:v>12000</x:v>
      </x:c>
      <x:c r="O2213" s="10" t="n">
        <x:f>AE2212*N2213</x:f>
        <x:v>180000</x:v>
      </x:c>
      <x:c r="P2213" s="9" t="n">
        <x:f>MIN(1,(AB2212/(AE2212*IF(v01_GroupInCrowding=1,N2213,MIN(J2213,L2213))))^v01_CrowdingExp)</x:f>
        <x:v>0.00024569414295285325</x:v>
      </x:c>
      <x:c r="Q2213" s="9" t="n">
        <x:f>IF(D2213=1,INDEX(v01_WinterMult,G2213),1)</x:f>
        <x:v>1</x:v>
      </x:c>
      <x:c r="R2213" s="9" t="n">
        <x:f>H2213*Z2212*v01_WomenShare*v01_BaseFertility*INDEX(v01_FertMult,G2213)*Arch_Fertility*(1-P2213)</x:f>
        <x:v>0</x:v>
      </x:c>
      <x:c r="S2213" s="9" t="n">
        <x:f>H2213*Y2212*INDEX(v01_MortChild,G2213)/4*Q2213</x:f>
        <x:v>0</x:v>
      </x:c>
      <x:c r="T2213" s="9" t="n">
        <x:f>H2213*Z2212*INDEX(v01_MortAdult,G2213)*Arch_AdultMort/4*Q2213</x:f>
        <x:v>0</x:v>
      </x:c>
      <x:c r="U2213" s="9" t="n">
        <x:f>H2213*AA2212*INDEX(v01_MortElder,G2213)/4*Q2213</x:f>
        <x:v>0</x:v>
      </x:c>
      <x:c r="V2213" s="9" t="n">
        <x:f>H2213*MAX(0,AB2212-O2213)*v01_OvercapLoss</x:f>
        <x:v>0</x:v>
      </x:c>
      <x:c r="W2213" s="9" t="n">
        <x:f>H2213*Y2212/(v01_ChildYears*4)</x:f>
        <x:v>0</x:v>
      </x:c>
      <x:c r="X2213" s="9" t="n">
        <x:f>H2213*Z2212/(v01_AdultYears*4)</x:f>
        <x:v>0</x:v>
      </x:c>
      <x:c r="Y2213" s="32" t="n">
        <x:f>Y2212+R2213-S2213-W2213-Y2212*V2213/AB2212</x:f>
        <x:v>14306.18539759397</x:v>
      </x:c>
      <x:c r="Z2213" s="32" t="n">
        <x:f>Z2212+W2213-X2213-T2213-Z2212*V2213/AB2212</x:f>
        <x:v>19354.456567879548</x:v>
      </x:c>
      <x:c r="AA2213" s="32" t="n">
        <x:f>AA2212+X2213-U2213-AA2212*V2213/AB2212</x:f>
        <x:v>11386.956063258198</x:v>
      </x:c>
      <x:c r="AB2213" s="10" t="n">
        <x:f>Y2213+Z2213+AA2213</x:f>
        <x:v>45047.59802873172</x:v>
      </x:c>
      <x:c r="AC2213" s="8" t="n">
        <x:f>IF(AND(v01_WinterTrigger=1,D2213=1,AB2212/AE2212&gt;=K2213),1,0)</x:f>
        <x:v>0</x:v>
      </x:c>
      <x:c r="AD2213" s="8" t="n">
        <x:f>H2213*IF(AND(OR(AB2212/AE2212&gt;=v01_FissionTrigger*N2213,AC2213=1),AB2212/AE2212*v01_DaughterShare&gt;=v01_MinDaughter),MAX(1,ROUND(AE2212*v01_FissionRate,0)),0)</x:f>
        <x:v>0</x:v>
      </x:c>
      <x:c r="AE2213" s="8" t="n">
        <x:f>IF(H2213=1,MAX(1,MIN(INDEX(v01_Smax,G2213),AE2212+AD2213)),AE2212)</x:f>
        <x:v>15</x:v>
      </x:c>
      <x:c r="AF2213" s="8" t="n">
        <x:f>MAX(0,AE2213-AE2212)</x:f>
        <x:v>0</x:v>
      </x:c>
      <x:c r="AG2213" s="9" t="str">
        <x:f>IF(AF2213&gt;0,B2213,"")</x:f>
      </x:c>
      <x:c r="AH2213" s="9" t="n">
        <x:f>IF(F2213&gt;=1,1,(1+v01_LowTiesShare*(AE2213-1))/AE2213)</x:f>
        <x:v>1</x:v>
      </x:c>
      <x:c r="AI2213" s="32" t="n">
        <x:f>(Z2213+v01_ElderCommons*INDEX(LM_Elder,G2213)*AA2213)*AH2213</x:f>
        <x:v>64139.732591141874</x:v>
      </x:c>
      <x:c r="AJ2213" s="32" t="n">
        <x:f>H2213*v01_CommonsCoef*AI2213^v01_CommonsExp*INDEX(LM_Commons,G2213)</x:f>
        <x:v>0</x:v>
      </x:c>
      <x:c r="AK2213" s="32" t="n">
        <x:f>H2213*v01_RoleScale*Arch_Roles*(AE2213*(INDEX(v01_ElderRolePerSett,G2213)*v01_OutElder*INDEX(LM_Elder,G2213)+INDEX(v01_ShamanPerSett,G2213)*v01_OutShaman)+Z2213*(INDEX(v01_PriestShare,G2213)*v01_OutPriest+INDEX(v01_ScribeShare,G2213)*v01_OutScribe*INDEX(LM_Scribe,G2213)+INDEX(v01_ScholarShare,G2213)*v01_OutScholar*INDEX(LM_Scholar,G2213)+INDEX(v01_ResearcherShare,G2213)*v01_OutResearcher*INDEX(LM_Researcher,G2213)))</x:f>
        <x:v>0</x:v>
      </x:c>
      <x:c r="AL2213" s="32" t="n">
        <x:f>H2213*v01_RoleScale*Arch_Roles*AE2213*INDEX(v01_MonasteryPerSett,G2213)*v01_OutMonastery*INDEX(LM_Monastery,G2213)</x:f>
        <x:v>0</x:v>
      </x:c>
      <x:c r="AM2213" s="32" t="n">
        <x:f>(AJ2213+AK2213+AL2213)/4*INDEX(LM_All,G2213)*INDEX(v01_Boon,G2213)*Arch_Insight</x:f>
        <x:v>0</x:v>
      </x:c>
      <x:c r="AN2213" s="32" t="n">
        <x:f>H2213*(v01_KHPerAdult*Z2213+v01_KHOfCommons*AJ2213/4*INDEX(LM_All,G2213))*v01_KHUsable*Arch_KH</x:f>
        <x:v>0</x:v>
      </x:c>
      <x:c r="AO2213" s="32" t="n">
        <x:f>MIN(AP2212+AN2213,AM2213*v01_KHMaxRatio)</x:f>
        <x:v>0</x:v>
      </x:c>
      <x:c r="AP2213" s="32" t="n">
        <x:f>AP2212+AN2213-AO2213</x:f>
        <x:v>0</x:v>
      </x:c>
      <x:c r="AQ2213" s="32" t="n">
        <x:f>AM2213+AO2213</x:f>
        <x:v>0</x:v>
      </x:c>
      <x:c r="AR2213" s="10" t="n">
        <x:f>IF(H2213=1,INDEX(v01_Req,G2213),0)</x:f>
        <x:v>0</x:v>
      </x:c>
      <x:c r="AS2213" s="32" t="n">
        <x:f>IF(H2213=1,IF(E2213=1,AS2212-AR2212,AS2212)+AQ2213,0)</x:f>
        <x:v>0</x:v>
      </x:c>
      <x:c r="AT2213" s="11" t="n">
        <x:f>IF(AR2213&gt;0,MIN(1,AS2213/AR2213),1)</x:f>
        <x:v>1</x:v>
      </x:c>
      <x:c r="AU2213" s="10" t="n">
        <x:f>AB2213/INDEX(v01_RepScale,G2213)</x:f>
        <x:v>90.09519605746344</x:v>
      </x:c>
      <x:c r="AV2213" s="32" t="n">
        <x:f>AM2213*60/v01_SeasonSeconds</x:f>
        <x:v>0</x:v>
      </x:c>
    </x:row>
    <x:row r="2214">
      <x:c r="A2214" s="8" t="n">
        <x:f>A2213+1</x:f>
        <x:v>2211</x:v>
      </x:c>
      <x:c r="B2214" s="9" t="n">
        <x:f>A2214*v01_SeasonSeconds/60</x:f>
        <x:v>552.75</x:v>
      </x:c>
      <x:c r="C2214" s="9" t="n">
        <x:f>A2214/4</x:f>
        <x:v>552.75</x:v>
      </x:c>
      <x:c r="D2214" s="8" t="n">
        <x:f>IF(MOD(A2214,4)=0,1,0)</x:f>
        <x:v>0</x:v>
      </x:c>
      <x:c r="E2214" s="8" t="n">
        <x:f>IF(AND(F2213&lt;=9,AS2213&gt;=AR2213),1,0)</x:f>
        <x:v>0</x:v>
      </x:c>
      <x:c r="F2214" s="8" t="n">
        <x:f>MIN(10,F2213+E2214)</x:f>
        <x:v>10</x:v>
      </x:c>
      <x:c r="G2214" s="8" t="n">
        <x:f>MIN(F2214,9)+1</x:f>
        <x:v>10</x:v>
      </x:c>
      <x:c r="H2214" s="8" t="n">
        <x:f>IF(F2214&lt;=9,1,0)</x:f>
        <x:v>0</x:v>
      </x:c>
      <x:c r="I2214" s="9" t="n">
        <x:f>MIN(10,F2213+IF(AR2213&gt;0,MIN(1,AS2213/AR2213),1))</x:f>
        <x:v>10</x:v>
      </x:c>
      <x:c r="J2214" s="32" t="n">
        <x:f>INDEX(v01_FoodCap,G2214)*Arch_FoodCap*EXP(v01_CapsByProject*SUMPRODUCT((Cap_Point&lt;=I2214)*(Cap_Kind="Food")*Cap_Ln))</x:f>
        <x:v>12000</x:v>
      </x:c>
      <x:c r="K2214" s="32" t="n">
        <x:f>J2214*MIN(1,v01_LeanBase*EXP(v01_CapsByProject*SUMPRODUCT((Cap_Point&lt;=I2214)*(Cap_Kind="Lean")*Cap_Ln)))</x:f>
        <x:v>12000</x:v>
      </x:c>
      <x:c r="L2214" s="10" t="n">
        <x:f>INDEX(v01_HousingCap,G2214)*EXP(v01_CapsByProject*SUMPRODUCT((Cap_Point&lt;=I2214)*(Cap_Kind="Housing")*Cap_Ln))</x:f>
        <x:v>20000</x:v>
      </x:c>
      <x:c r="M2214" s="10" t="n">
        <x:f>INDEX(v01_GroupCap,G2214)*v01_CohesionFactor*EXP(v01_CapsByProject*SUMPRODUCT((Cap_Point&lt;=I2214)*(Cap_Kind="Group")*Cap_Ln))</x:f>
        <x:v>1000000</x:v>
      </x:c>
      <x:c r="N2214" s="32" t="n">
        <x:f>MIN(J2214,L2214,M2214)</x:f>
        <x:v>12000</x:v>
      </x:c>
      <x:c r="O2214" s="10" t="n">
        <x:f>AE2213*N2214</x:f>
        <x:v>180000</x:v>
      </x:c>
      <x:c r="P2214" s="9" t="n">
        <x:f>MIN(1,(AB2213/(AE2213*IF(v01_GroupInCrowding=1,N2214,MIN(J2214,L2214))))^v01_CrowdingExp)</x:f>
        <x:v>0.00024569414295285325</x:v>
      </x:c>
      <x:c r="Q2214" s="9" t="n">
        <x:f>IF(D2214=1,INDEX(v01_WinterMult,G2214),1)</x:f>
        <x:v>1</x:v>
      </x:c>
      <x:c r="R2214" s="9" t="n">
        <x:f>H2214*Z2213*v01_WomenShare*v01_BaseFertility*INDEX(v01_FertMult,G2214)*Arch_Fertility*(1-P2214)</x:f>
        <x:v>0</x:v>
      </x:c>
      <x:c r="S2214" s="9" t="n">
        <x:f>H2214*Y2213*INDEX(v01_MortChild,G2214)/4*Q2214</x:f>
        <x:v>0</x:v>
      </x:c>
      <x:c r="T2214" s="9" t="n">
        <x:f>H2214*Z2213*INDEX(v01_MortAdult,G2214)*Arch_AdultMort/4*Q2214</x:f>
        <x:v>0</x:v>
      </x:c>
      <x:c r="U2214" s="9" t="n">
        <x:f>H2214*AA2213*INDEX(v01_MortElder,G2214)/4*Q2214</x:f>
        <x:v>0</x:v>
      </x:c>
      <x:c r="V2214" s="9" t="n">
        <x:f>H2214*MAX(0,AB2213-O2214)*v01_OvercapLoss</x:f>
        <x:v>0</x:v>
      </x:c>
      <x:c r="W2214" s="9" t="n">
        <x:f>H2214*Y2213/(v01_ChildYears*4)</x:f>
        <x:v>0</x:v>
      </x:c>
      <x:c r="X2214" s="9" t="n">
        <x:f>H2214*Z2213/(v01_AdultYears*4)</x:f>
        <x:v>0</x:v>
      </x:c>
      <x:c r="Y2214" s="32" t="n">
        <x:f>Y2213+R2214-S2214-W2214-Y2213*V2214/AB2213</x:f>
        <x:v>14306.18539759397</x:v>
      </x:c>
      <x:c r="Z2214" s="32" t="n">
        <x:f>Z2213+W2214-X2214-T2214-Z2213*V2214/AB2213</x:f>
        <x:v>19354.456567879548</x:v>
      </x:c>
      <x:c r="AA2214" s="32" t="n">
        <x:f>AA2213+X2214-U2214-AA2213*V2214/AB2213</x:f>
        <x:v>11386.956063258198</x:v>
      </x:c>
      <x:c r="AB2214" s="10" t="n">
        <x:f>Y2214+Z2214+AA2214</x:f>
        <x:v>45047.59802873172</x:v>
      </x:c>
      <x:c r="AC2214" s="8" t="n">
        <x:f>IF(AND(v01_WinterTrigger=1,D2214=1,AB2213/AE2213&gt;=K2214),1,0)</x:f>
        <x:v>0</x:v>
      </x:c>
      <x:c r="AD2214" s="8" t="n">
        <x:f>H2214*IF(AND(OR(AB2213/AE2213&gt;=v01_FissionTrigger*N2214,AC2214=1),AB2213/AE2213*v01_DaughterShare&gt;=v01_MinDaughter),MAX(1,ROUND(AE2213*v01_FissionRate,0)),0)</x:f>
        <x:v>0</x:v>
      </x:c>
      <x:c r="AE2214" s="8" t="n">
        <x:f>IF(H2214=1,MAX(1,MIN(INDEX(v01_Smax,G2214),AE2213+AD2214)),AE2213)</x:f>
        <x:v>15</x:v>
      </x:c>
      <x:c r="AF2214" s="8" t="n">
        <x:f>MAX(0,AE2214-AE2213)</x:f>
        <x:v>0</x:v>
      </x:c>
      <x:c r="AG2214" s="9" t="str">
        <x:f>IF(AF2214&gt;0,B2214,"")</x:f>
      </x:c>
      <x:c r="AH2214" s="9" t="n">
        <x:f>IF(F2214&gt;=1,1,(1+v01_LowTiesShare*(AE2214-1))/AE2214)</x:f>
        <x:v>1</x:v>
      </x:c>
      <x:c r="AI2214" s="32" t="n">
        <x:f>(Z2214+v01_ElderCommons*INDEX(LM_Elder,G2214)*AA2214)*AH2214</x:f>
        <x:v>64139.732591141874</x:v>
      </x:c>
      <x:c r="AJ2214" s="32" t="n">
        <x:f>H2214*v01_CommonsCoef*AI2214^v01_CommonsExp*INDEX(LM_Commons,G2214)</x:f>
        <x:v>0</x:v>
      </x:c>
      <x:c r="AK2214" s="32" t="n">
        <x:f>H2214*v01_RoleScale*Arch_Roles*(AE2214*(INDEX(v01_ElderRolePerSett,G2214)*v01_OutElder*INDEX(LM_Elder,G2214)+INDEX(v01_ShamanPerSett,G2214)*v01_OutShaman)+Z2214*(INDEX(v01_PriestShare,G2214)*v01_OutPriest+INDEX(v01_ScribeShare,G2214)*v01_OutScribe*INDEX(LM_Scribe,G2214)+INDEX(v01_ScholarShare,G2214)*v01_OutScholar*INDEX(LM_Scholar,G2214)+INDEX(v01_ResearcherShare,G2214)*v01_OutResearcher*INDEX(LM_Researcher,G2214)))</x:f>
        <x:v>0</x:v>
      </x:c>
      <x:c r="AL2214" s="32" t="n">
        <x:f>H2214*v01_RoleScale*Arch_Roles*AE2214*INDEX(v01_MonasteryPerSett,G2214)*v01_OutMonastery*INDEX(LM_Monastery,G2214)</x:f>
        <x:v>0</x:v>
      </x:c>
      <x:c r="AM2214" s="32" t="n">
        <x:f>(AJ2214+AK2214+AL2214)/4*INDEX(LM_All,G2214)*INDEX(v01_Boon,G2214)*Arch_Insight</x:f>
        <x:v>0</x:v>
      </x:c>
      <x:c r="AN2214" s="32" t="n">
        <x:f>H2214*(v01_KHPerAdult*Z2214+v01_KHOfCommons*AJ2214/4*INDEX(LM_All,G2214))*v01_KHUsable*Arch_KH</x:f>
        <x:v>0</x:v>
      </x:c>
      <x:c r="AO2214" s="32" t="n">
        <x:f>MIN(AP2213+AN2214,AM2214*v01_KHMaxRatio)</x:f>
        <x:v>0</x:v>
      </x:c>
      <x:c r="AP2214" s="32" t="n">
        <x:f>AP2213+AN2214-AO2214</x:f>
        <x:v>0</x:v>
      </x:c>
      <x:c r="AQ2214" s="32" t="n">
        <x:f>AM2214+AO2214</x:f>
        <x:v>0</x:v>
      </x:c>
      <x:c r="AR2214" s="10" t="n">
        <x:f>IF(H2214=1,INDEX(v01_Req,G2214),0)</x:f>
        <x:v>0</x:v>
      </x:c>
      <x:c r="AS2214" s="32" t="n">
        <x:f>IF(H2214=1,IF(E2214=1,AS2213-AR2213,AS2213)+AQ2214,0)</x:f>
        <x:v>0</x:v>
      </x:c>
      <x:c r="AT2214" s="11" t="n">
        <x:f>IF(AR2214&gt;0,MIN(1,AS2214/AR2214),1)</x:f>
        <x:v>1</x:v>
      </x:c>
      <x:c r="AU2214" s="10" t="n">
        <x:f>AB2214/INDEX(v01_RepScale,G2214)</x:f>
        <x:v>90.09519605746344</x:v>
      </x:c>
      <x:c r="AV2214" s="32" t="n">
        <x:f>AM2214*60/v01_SeasonSeconds</x:f>
        <x:v>0</x:v>
      </x:c>
    </x:row>
    <x:row r="2215">
      <x:c r="A2215" s="8" t="n">
        <x:f>A2214+1</x:f>
        <x:v>2212</x:v>
      </x:c>
      <x:c r="B2215" s="9" t="n">
        <x:f>A2215*v01_SeasonSeconds/60</x:f>
        <x:v>553</x:v>
      </x:c>
      <x:c r="C2215" s="9" t="n">
        <x:f>A2215/4</x:f>
        <x:v>553</x:v>
      </x:c>
      <x:c r="D2215" s="8" t="n">
        <x:f>IF(MOD(A2215,4)=0,1,0)</x:f>
        <x:v>1</x:v>
      </x:c>
      <x:c r="E2215" s="8" t="n">
        <x:f>IF(AND(F2214&lt;=9,AS2214&gt;=AR2214),1,0)</x:f>
        <x:v>0</x:v>
      </x:c>
      <x:c r="F2215" s="8" t="n">
        <x:f>MIN(10,F2214+E2215)</x:f>
        <x:v>10</x:v>
      </x:c>
      <x:c r="G2215" s="8" t="n">
        <x:f>MIN(F2215,9)+1</x:f>
        <x:v>10</x:v>
      </x:c>
      <x:c r="H2215" s="8" t="n">
        <x:f>IF(F2215&lt;=9,1,0)</x:f>
        <x:v>0</x:v>
      </x:c>
      <x:c r="I2215" s="9" t="n">
        <x:f>MIN(10,F2214+IF(AR2214&gt;0,MIN(1,AS2214/AR2214),1))</x:f>
        <x:v>10</x:v>
      </x:c>
      <x:c r="J2215" s="32" t="n">
        <x:f>INDEX(v01_FoodCap,G2215)*Arch_FoodCap*EXP(v01_CapsByProject*SUMPRODUCT((Cap_Point&lt;=I2215)*(Cap_Kind="Food")*Cap_Ln))</x:f>
        <x:v>12000</x:v>
      </x:c>
      <x:c r="K2215" s="32" t="n">
        <x:f>J2215*MIN(1,v01_LeanBase*EXP(v01_CapsByProject*SUMPRODUCT((Cap_Point&lt;=I2215)*(Cap_Kind="Lean")*Cap_Ln)))</x:f>
        <x:v>12000</x:v>
      </x:c>
      <x:c r="L2215" s="10" t="n">
        <x:f>INDEX(v01_HousingCap,G2215)*EXP(v01_CapsByProject*SUMPRODUCT((Cap_Point&lt;=I2215)*(Cap_Kind="Housing")*Cap_Ln))</x:f>
        <x:v>20000</x:v>
      </x:c>
      <x:c r="M2215" s="10" t="n">
        <x:f>INDEX(v01_GroupCap,G2215)*v01_CohesionFactor*EXP(v01_CapsByProject*SUMPRODUCT((Cap_Point&lt;=I2215)*(Cap_Kind="Group")*Cap_Ln))</x:f>
        <x:v>1000000</x:v>
      </x:c>
      <x:c r="N2215" s="32" t="n">
        <x:f>MIN(J2215,L2215,M2215)</x:f>
        <x:v>12000</x:v>
      </x:c>
      <x:c r="O2215" s="10" t="n">
        <x:f>AE2214*N2215</x:f>
        <x:v>180000</x:v>
      </x:c>
      <x:c r="P2215" s="9" t="n">
        <x:f>MIN(1,(AB2214/(AE2214*IF(v01_GroupInCrowding=1,N2215,MIN(J2215,L2215))))^v01_CrowdingExp)</x:f>
        <x:v>0.00024569414295285325</x:v>
      </x:c>
      <x:c r="Q2215" s="9" t="n">
        <x:f>IF(D2215=1,INDEX(v01_WinterMult,G2215),1)</x:f>
        <x:v>1</x:v>
      </x:c>
      <x:c r="R2215" s="9" t="n">
        <x:f>H2215*Z2214*v01_WomenShare*v01_BaseFertility*INDEX(v01_FertMult,G2215)*Arch_Fertility*(1-P2215)</x:f>
        <x:v>0</x:v>
      </x:c>
      <x:c r="S2215" s="9" t="n">
        <x:f>H2215*Y2214*INDEX(v01_MortChild,G2215)/4*Q2215</x:f>
        <x:v>0</x:v>
      </x:c>
      <x:c r="T2215" s="9" t="n">
        <x:f>H2215*Z2214*INDEX(v01_MortAdult,G2215)*Arch_AdultMort/4*Q2215</x:f>
        <x:v>0</x:v>
      </x:c>
      <x:c r="U2215" s="9" t="n">
        <x:f>H2215*AA2214*INDEX(v01_MortElder,G2215)/4*Q2215</x:f>
        <x:v>0</x:v>
      </x:c>
      <x:c r="V2215" s="9" t="n">
        <x:f>H2215*MAX(0,AB2214-O2215)*v01_OvercapLoss</x:f>
        <x:v>0</x:v>
      </x:c>
      <x:c r="W2215" s="9" t="n">
        <x:f>H2215*Y2214/(v01_ChildYears*4)</x:f>
        <x:v>0</x:v>
      </x:c>
      <x:c r="X2215" s="9" t="n">
        <x:f>H2215*Z2214/(v01_AdultYears*4)</x:f>
        <x:v>0</x:v>
      </x:c>
      <x:c r="Y2215" s="32" t="n">
        <x:f>Y2214+R2215-S2215-W2215-Y2214*V2215/AB2214</x:f>
        <x:v>14306.18539759397</x:v>
      </x:c>
      <x:c r="Z2215" s="32" t="n">
        <x:f>Z2214+W2215-X2215-T2215-Z2214*V2215/AB2214</x:f>
        <x:v>19354.456567879548</x:v>
      </x:c>
      <x:c r="AA2215" s="32" t="n">
        <x:f>AA2214+X2215-U2215-AA2214*V2215/AB2214</x:f>
        <x:v>11386.956063258198</x:v>
      </x:c>
      <x:c r="AB2215" s="10" t="n">
        <x:f>Y2215+Z2215+AA2215</x:f>
        <x:v>45047.59802873172</x:v>
      </x:c>
      <x:c r="AC2215" s="8" t="n">
        <x:f>IF(AND(v01_WinterTrigger=1,D2215=1,AB2214/AE2214&gt;=K2215),1,0)</x:f>
        <x:v>0</x:v>
      </x:c>
      <x:c r="AD2215" s="8" t="n">
        <x:f>H2215*IF(AND(OR(AB2214/AE2214&gt;=v01_FissionTrigger*N2215,AC2215=1),AB2214/AE2214*v01_DaughterShare&gt;=v01_MinDaughter),MAX(1,ROUND(AE2214*v01_FissionRate,0)),0)</x:f>
        <x:v>0</x:v>
      </x:c>
      <x:c r="AE2215" s="8" t="n">
        <x:f>IF(H2215=1,MAX(1,MIN(INDEX(v01_Smax,G2215),AE2214+AD2215)),AE2214)</x:f>
        <x:v>15</x:v>
      </x:c>
      <x:c r="AF2215" s="8" t="n">
        <x:f>MAX(0,AE2215-AE2214)</x:f>
        <x:v>0</x:v>
      </x:c>
      <x:c r="AG2215" s="9" t="str">
        <x:f>IF(AF2215&gt;0,B2215,"")</x:f>
      </x:c>
      <x:c r="AH2215" s="9" t="n">
        <x:f>IF(F2215&gt;=1,1,(1+v01_LowTiesShare*(AE2215-1))/AE2215)</x:f>
        <x:v>1</x:v>
      </x:c>
      <x:c r="AI2215" s="32" t="n">
        <x:f>(Z2215+v01_ElderCommons*INDEX(LM_Elder,G2215)*AA2215)*AH2215</x:f>
        <x:v>64139.732591141874</x:v>
      </x:c>
      <x:c r="AJ2215" s="32" t="n">
        <x:f>H2215*v01_CommonsCoef*AI2215^v01_CommonsExp*INDEX(LM_Commons,G2215)</x:f>
        <x:v>0</x:v>
      </x:c>
      <x:c r="AK2215" s="32" t="n">
        <x:f>H2215*v01_RoleScale*Arch_Roles*(AE2215*(INDEX(v01_ElderRolePerSett,G2215)*v01_OutElder*INDEX(LM_Elder,G2215)+INDEX(v01_ShamanPerSett,G2215)*v01_OutShaman)+Z2215*(INDEX(v01_PriestShare,G2215)*v01_OutPriest+INDEX(v01_ScribeShare,G2215)*v01_OutScribe*INDEX(LM_Scribe,G2215)+INDEX(v01_ScholarShare,G2215)*v01_OutScholar*INDEX(LM_Scholar,G2215)+INDEX(v01_ResearcherShare,G2215)*v01_OutResearcher*INDEX(LM_Researcher,G2215)))</x:f>
        <x:v>0</x:v>
      </x:c>
      <x:c r="AL2215" s="32" t="n">
        <x:f>H2215*v01_RoleScale*Arch_Roles*AE2215*INDEX(v01_MonasteryPerSett,G2215)*v01_OutMonastery*INDEX(LM_Monastery,G2215)</x:f>
        <x:v>0</x:v>
      </x:c>
      <x:c r="AM2215" s="32" t="n">
        <x:f>(AJ2215+AK2215+AL2215)/4*INDEX(LM_All,G2215)*INDEX(v01_Boon,G2215)*Arch_Insight</x:f>
        <x:v>0</x:v>
      </x:c>
      <x:c r="AN2215" s="32" t="n">
        <x:f>H2215*(v01_KHPerAdult*Z2215+v01_KHOfCommons*AJ2215/4*INDEX(LM_All,G2215))*v01_KHUsable*Arch_KH</x:f>
        <x:v>0</x:v>
      </x:c>
      <x:c r="AO2215" s="32" t="n">
        <x:f>MIN(AP2214+AN2215,AM2215*v01_KHMaxRatio)</x:f>
        <x:v>0</x:v>
      </x:c>
      <x:c r="AP2215" s="32" t="n">
        <x:f>AP2214+AN2215-AO2215</x:f>
        <x:v>0</x:v>
      </x:c>
      <x:c r="AQ2215" s="32" t="n">
        <x:f>AM2215+AO2215</x:f>
        <x:v>0</x:v>
      </x:c>
      <x:c r="AR2215" s="10" t="n">
        <x:f>IF(H2215=1,INDEX(v01_Req,G2215),0)</x:f>
        <x:v>0</x:v>
      </x:c>
      <x:c r="AS2215" s="32" t="n">
        <x:f>IF(H2215=1,IF(E2215=1,AS2214-AR2214,AS2214)+AQ2215,0)</x:f>
        <x:v>0</x:v>
      </x:c>
      <x:c r="AT2215" s="11" t="n">
        <x:f>IF(AR2215&gt;0,MIN(1,AS2215/AR2215),1)</x:f>
        <x:v>1</x:v>
      </x:c>
      <x:c r="AU2215" s="10" t="n">
        <x:f>AB2215/INDEX(v01_RepScale,G2215)</x:f>
        <x:v>90.09519605746344</x:v>
      </x:c>
      <x:c r="AV2215" s="32" t="n">
        <x:f>AM2215*60/v01_SeasonSeconds</x:f>
        <x:v>0</x:v>
      </x:c>
    </x:row>
    <x:row r="2216">
      <x:c r="A2216" s="8" t="n">
        <x:f>A2215+1</x:f>
        <x:v>2213</x:v>
      </x:c>
      <x:c r="B2216" s="9" t="n">
        <x:f>A2216*v01_SeasonSeconds/60</x:f>
        <x:v>553.25</x:v>
      </x:c>
      <x:c r="C2216" s="9" t="n">
        <x:f>A2216/4</x:f>
        <x:v>553.25</x:v>
      </x:c>
      <x:c r="D2216" s="8" t="n">
        <x:f>IF(MOD(A2216,4)=0,1,0)</x:f>
        <x:v>0</x:v>
      </x:c>
      <x:c r="E2216" s="8" t="n">
        <x:f>IF(AND(F2215&lt;=9,AS2215&gt;=AR2215),1,0)</x:f>
        <x:v>0</x:v>
      </x:c>
      <x:c r="F2216" s="8" t="n">
        <x:f>MIN(10,F2215+E2216)</x:f>
        <x:v>10</x:v>
      </x:c>
      <x:c r="G2216" s="8" t="n">
        <x:f>MIN(F2216,9)+1</x:f>
        <x:v>10</x:v>
      </x:c>
      <x:c r="H2216" s="8" t="n">
        <x:f>IF(F2216&lt;=9,1,0)</x:f>
        <x:v>0</x:v>
      </x:c>
      <x:c r="I2216" s="9" t="n">
        <x:f>MIN(10,F2215+IF(AR2215&gt;0,MIN(1,AS2215/AR2215),1))</x:f>
        <x:v>10</x:v>
      </x:c>
      <x:c r="J2216" s="32" t="n">
        <x:f>INDEX(v01_FoodCap,G2216)*Arch_FoodCap*EXP(v01_CapsByProject*SUMPRODUCT((Cap_Point&lt;=I2216)*(Cap_Kind="Food")*Cap_Ln))</x:f>
        <x:v>12000</x:v>
      </x:c>
      <x:c r="K2216" s="32" t="n">
        <x:f>J2216*MIN(1,v01_LeanBase*EXP(v01_CapsByProject*SUMPRODUCT((Cap_Point&lt;=I2216)*(Cap_Kind="Lean")*Cap_Ln)))</x:f>
        <x:v>12000</x:v>
      </x:c>
      <x:c r="L2216" s="10" t="n">
        <x:f>INDEX(v01_HousingCap,G2216)*EXP(v01_CapsByProject*SUMPRODUCT((Cap_Point&lt;=I2216)*(Cap_Kind="Housing")*Cap_Ln))</x:f>
        <x:v>20000</x:v>
      </x:c>
      <x:c r="M2216" s="10" t="n">
        <x:f>INDEX(v01_GroupCap,G2216)*v01_CohesionFactor*EXP(v01_CapsByProject*SUMPRODUCT((Cap_Point&lt;=I2216)*(Cap_Kind="Group")*Cap_Ln))</x:f>
        <x:v>1000000</x:v>
      </x:c>
      <x:c r="N2216" s="32" t="n">
        <x:f>MIN(J2216,L2216,M2216)</x:f>
        <x:v>12000</x:v>
      </x:c>
      <x:c r="O2216" s="10" t="n">
        <x:f>AE2215*N2216</x:f>
        <x:v>180000</x:v>
      </x:c>
      <x:c r="P2216" s="9" t="n">
        <x:f>MIN(1,(AB2215/(AE2215*IF(v01_GroupInCrowding=1,N2216,MIN(J2216,L2216))))^v01_CrowdingExp)</x:f>
        <x:v>0.00024569414295285325</x:v>
      </x:c>
      <x:c r="Q2216" s="9" t="n">
        <x:f>IF(D2216=1,INDEX(v01_WinterMult,G2216),1)</x:f>
        <x:v>1</x:v>
      </x:c>
      <x:c r="R2216" s="9" t="n">
        <x:f>H2216*Z2215*v01_WomenShare*v01_BaseFertility*INDEX(v01_FertMult,G2216)*Arch_Fertility*(1-P2216)</x:f>
        <x:v>0</x:v>
      </x:c>
      <x:c r="S2216" s="9" t="n">
        <x:f>H2216*Y2215*INDEX(v01_MortChild,G2216)/4*Q2216</x:f>
        <x:v>0</x:v>
      </x:c>
      <x:c r="T2216" s="9" t="n">
        <x:f>H2216*Z2215*INDEX(v01_MortAdult,G2216)*Arch_AdultMort/4*Q2216</x:f>
        <x:v>0</x:v>
      </x:c>
      <x:c r="U2216" s="9" t="n">
        <x:f>H2216*AA2215*INDEX(v01_MortElder,G2216)/4*Q2216</x:f>
        <x:v>0</x:v>
      </x:c>
      <x:c r="V2216" s="9" t="n">
        <x:f>H2216*MAX(0,AB2215-O2216)*v01_OvercapLoss</x:f>
        <x:v>0</x:v>
      </x:c>
      <x:c r="W2216" s="9" t="n">
        <x:f>H2216*Y2215/(v01_ChildYears*4)</x:f>
        <x:v>0</x:v>
      </x:c>
      <x:c r="X2216" s="9" t="n">
        <x:f>H2216*Z2215/(v01_AdultYears*4)</x:f>
        <x:v>0</x:v>
      </x:c>
      <x:c r="Y2216" s="32" t="n">
        <x:f>Y2215+R2216-S2216-W2216-Y2215*V2216/AB2215</x:f>
        <x:v>14306.18539759397</x:v>
      </x:c>
      <x:c r="Z2216" s="32" t="n">
        <x:f>Z2215+W2216-X2216-T2216-Z2215*V2216/AB2215</x:f>
        <x:v>19354.456567879548</x:v>
      </x:c>
      <x:c r="AA2216" s="32" t="n">
        <x:f>AA2215+X2216-U2216-AA2215*V2216/AB2215</x:f>
        <x:v>11386.956063258198</x:v>
      </x:c>
      <x:c r="AB2216" s="10" t="n">
        <x:f>Y2216+Z2216+AA2216</x:f>
        <x:v>45047.59802873172</x:v>
      </x:c>
      <x:c r="AC2216" s="8" t="n">
        <x:f>IF(AND(v01_WinterTrigger=1,D2216=1,AB2215/AE2215&gt;=K2216),1,0)</x:f>
        <x:v>0</x:v>
      </x:c>
      <x:c r="AD2216" s="8" t="n">
        <x:f>H2216*IF(AND(OR(AB2215/AE2215&gt;=v01_FissionTrigger*N2216,AC2216=1),AB2215/AE2215*v01_DaughterShare&gt;=v01_MinDaughter),MAX(1,ROUND(AE2215*v01_FissionRate,0)),0)</x:f>
        <x:v>0</x:v>
      </x:c>
      <x:c r="AE2216" s="8" t="n">
        <x:f>IF(H2216=1,MAX(1,MIN(INDEX(v01_Smax,G2216),AE2215+AD2216)),AE2215)</x:f>
        <x:v>15</x:v>
      </x:c>
      <x:c r="AF2216" s="8" t="n">
        <x:f>MAX(0,AE2216-AE2215)</x:f>
        <x:v>0</x:v>
      </x:c>
      <x:c r="AG2216" s="9" t="str">
        <x:f>IF(AF2216&gt;0,B2216,"")</x:f>
      </x:c>
      <x:c r="AH2216" s="9" t="n">
        <x:f>IF(F2216&gt;=1,1,(1+v01_LowTiesShare*(AE2216-1))/AE2216)</x:f>
        <x:v>1</x:v>
      </x:c>
      <x:c r="AI2216" s="32" t="n">
        <x:f>(Z2216+v01_ElderCommons*INDEX(LM_Elder,G2216)*AA2216)*AH2216</x:f>
        <x:v>64139.732591141874</x:v>
      </x:c>
      <x:c r="AJ2216" s="32" t="n">
        <x:f>H2216*v01_CommonsCoef*AI2216^v01_CommonsExp*INDEX(LM_Commons,G2216)</x:f>
        <x:v>0</x:v>
      </x:c>
      <x:c r="AK2216" s="32" t="n">
        <x:f>H2216*v01_RoleScale*Arch_Roles*(AE2216*(INDEX(v01_ElderRolePerSett,G2216)*v01_OutElder*INDEX(LM_Elder,G2216)+INDEX(v01_ShamanPerSett,G2216)*v01_OutShaman)+Z2216*(INDEX(v01_PriestShare,G2216)*v01_OutPriest+INDEX(v01_ScribeShare,G2216)*v01_OutScribe*INDEX(LM_Scribe,G2216)+INDEX(v01_ScholarShare,G2216)*v01_OutScholar*INDEX(LM_Scholar,G2216)+INDEX(v01_ResearcherShare,G2216)*v01_OutResearcher*INDEX(LM_Researcher,G2216)))</x:f>
        <x:v>0</x:v>
      </x:c>
      <x:c r="AL2216" s="32" t="n">
        <x:f>H2216*v01_RoleScale*Arch_Roles*AE2216*INDEX(v01_MonasteryPerSett,G2216)*v01_OutMonastery*INDEX(LM_Monastery,G2216)</x:f>
        <x:v>0</x:v>
      </x:c>
      <x:c r="AM2216" s="32" t="n">
        <x:f>(AJ2216+AK2216+AL2216)/4*INDEX(LM_All,G2216)*INDEX(v01_Boon,G2216)*Arch_Insight</x:f>
        <x:v>0</x:v>
      </x:c>
      <x:c r="AN2216" s="32" t="n">
        <x:f>H2216*(v01_KHPerAdult*Z2216+v01_KHOfCommons*AJ2216/4*INDEX(LM_All,G2216))*v01_KHUsable*Arch_KH</x:f>
        <x:v>0</x:v>
      </x:c>
      <x:c r="AO2216" s="32" t="n">
        <x:f>MIN(AP2215+AN2216,AM2216*v01_KHMaxRatio)</x:f>
        <x:v>0</x:v>
      </x:c>
      <x:c r="AP2216" s="32" t="n">
        <x:f>AP2215+AN2216-AO2216</x:f>
        <x:v>0</x:v>
      </x:c>
      <x:c r="AQ2216" s="32" t="n">
        <x:f>AM2216+AO2216</x:f>
        <x:v>0</x:v>
      </x:c>
      <x:c r="AR2216" s="10" t="n">
        <x:f>IF(H2216=1,INDEX(v01_Req,G2216),0)</x:f>
        <x:v>0</x:v>
      </x:c>
      <x:c r="AS2216" s="32" t="n">
        <x:f>IF(H2216=1,IF(E2216=1,AS2215-AR2215,AS2215)+AQ2216,0)</x:f>
        <x:v>0</x:v>
      </x:c>
      <x:c r="AT2216" s="11" t="n">
        <x:f>IF(AR2216&gt;0,MIN(1,AS2216/AR2216),1)</x:f>
        <x:v>1</x:v>
      </x:c>
      <x:c r="AU2216" s="10" t="n">
        <x:f>AB2216/INDEX(v01_RepScale,G2216)</x:f>
        <x:v>90.09519605746344</x:v>
      </x:c>
      <x:c r="AV2216" s="32" t="n">
        <x:f>AM2216*60/v01_SeasonSeconds</x:f>
        <x:v>0</x:v>
      </x:c>
    </x:row>
    <x:row r="2217">
      <x:c r="A2217" s="8" t="n">
        <x:f>A2216+1</x:f>
        <x:v>2214</x:v>
      </x:c>
      <x:c r="B2217" s="9" t="n">
        <x:f>A2217*v01_SeasonSeconds/60</x:f>
        <x:v>553.5</x:v>
      </x:c>
      <x:c r="C2217" s="9" t="n">
        <x:f>A2217/4</x:f>
        <x:v>553.5</x:v>
      </x:c>
      <x:c r="D2217" s="8" t="n">
        <x:f>IF(MOD(A2217,4)=0,1,0)</x:f>
        <x:v>0</x:v>
      </x:c>
      <x:c r="E2217" s="8" t="n">
        <x:f>IF(AND(F2216&lt;=9,AS2216&gt;=AR2216),1,0)</x:f>
        <x:v>0</x:v>
      </x:c>
      <x:c r="F2217" s="8" t="n">
        <x:f>MIN(10,F2216+E2217)</x:f>
        <x:v>10</x:v>
      </x:c>
      <x:c r="G2217" s="8" t="n">
        <x:f>MIN(F2217,9)+1</x:f>
        <x:v>10</x:v>
      </x:c>
      <x:c r="H2217" s="8" t="n">
        <x:f>IF(F2217&lt;=9,1,0)</x:f>
        <x:v>0</x:v>
      </x:c>
      <x:c r="I2217" s="9" t="n">
        <x:f>MIN(10,F2216+IF(AR2216&gt;0,MIN(1,AS2216/AR2216),1))</x:f>
        <x:v>10</x:v>
      </x:c>
      <x:c r="J2217" s="32" t="n">
        <x:f>INDEX(v01_FoodCap,G2217)*Arch_FoodCap*EXP(v01_CapsByProject*SUMPRODUCT((Cap_Point&lt;=I2217)*(Cap_Kind="Food")*Cap_Ln))</x:f>
        <x:v>12000</x:v>
      </x:c>
      <x:c r="K2217" s="32" t="n">
        <x:f>J2217*MIN(1,v01_LeanBase*EXP(v01_CapsByProject*SUMPRODUCT((Cap_Point&lt;=I2217)*(Cap_Kind="Lean")*Cap_Ln)))</x:f>
        <x:v>12000</x:v>
      </x:c>
      <x:c r="L2217" s="10" t="n">
        <x:f>INDEX(v01_HousingCap,G2217)*EXP(v01_CapsByProject*SUMPRODUCT((Cap_Point&lt;=I2217)*(Cap_Kind="Housing")*Cap_Ln))</x:f>
        <x:v>20000</x:v>
      </x:c>
      <x:c r="M2217" s="10" t="n">
        <x:f>INDEX(v01_GroupCap,G2217)*v01_CohesionFactor*EXP(v01_CapsByProject*SUMPRODUCT((Cap_Point&lt;=I2217)*(Cap_Kind="Group")*Cap_Ln))</x:f>
        <x:v>1000000</x:v>
      </x:c>
      <x:c r="N2217" s="32" t="n">
        <x:f>MIN(J2217,L2217,M2217)</x:f>
        <x:v>12000</x:v>
      </x:c>
      <x:c r="O2217" s="10" t="n">
        <x:f>AE2216*N2217</x:f>
        <x:v>180000</x:v>
      </x:c>
      <x:c r="P2217" s="9" t="n">
        <x:f>MIN(1,(AB2216/(AE2216*IF(v01_GroupInCrowding=1,N2217,MIN(J2217,L2217))))^v01_CrowdingExp)</x:f>
        <x:v>0.00024569414295285325</x:v>
      </x:c>
      <x:c r="Q2217" s="9" t="n">
        <x:f>IF(D2217=1,INDEX(v01_WinterMult,G2217),1)</x:f>
        <x:v>1</x:v>
      </x:c>
      <x:c r="R2217" s="9" t="n">
        <x:f>H2217*Z2216*v01_WomenShare*v01_BaseFertility*INDEX(v01_FertMult,G2217)*Arch_Fertility*(1-P2217)</x:f>
        <x:v>0</x:v>
      </x:c>
      <x:c r="S2217" s="9" t="n">
        <x:f>H2217*Y2216*INDEX(v01_MortChild,G2217)/4*Q2217</x:f>
        <x:v>0</x:v>
      </x:c>
      <x:c r="T2217" s="9" t="n">
        <x:f>H2217*Z2216*INDEX(v01_MortAdult,G2217)*Arch_AdultMort/4*Q2217</x:f>
        <x:v>0</x:v>
      </x:c>
      <x:c r="U2217" s="9" t="n">
        <x:f>H2217*AA2216*INDEX(v01_MortElder,G2217)/4*Q2217</x:f>
        <x:v>0</x:v>
      </x:c>
      <x:c r="V2217" s="9" t="n">
        <x:f>H2217*MAX(0,AB2216-O2217)*v01_OvercapLoss</x:f>
        <x:v>0</x:v>
      </x:c>
      <x:c r="W2217" s="9" t="n">
        <x:f>H2217*Y2216/(v01_ChildYears*4)</x:f>
        <x:v>0</x:v>
      </x:c>
      <x:c r="X2217" s="9" t="n">
        <x:f>H2217*Z2216/(v01_AdultYears*4)</x:f>
        <x:v>0</x:v>
      </x:c>
      <x:c r="Y2217" s="32" t="n">
        <x:f>Y2216+R2217-S2217-W2217-Y2216*V2217/AB2216</x:f>
        <x:v>14306.18539759397</x:v>
      </x:c>
      <x:c r="Z2217" s="32" t="n">
        <x:f>Z2216+W2217-X2217-T2217-Z2216*V2217/AB2216</x:f>
        <x:v>19354.456567879548</x:v>
      </x:c>
      <x:c r="AA2217" s="32" t="n">
        <x:f>AA2216+X2217-U2217-AA2216*V2217/AB2216</x:f>
        <x:v>11386.956063258198</x:v>
      </x:c>
      <x:c r="AB2217" s="10" t="n">
        <x:f>Y2217+Z2217+AA2217</x:f>
        <x:v>45047.59802873172</x:v>
      </x:c>
      <x:c r="AC2217" s="8" t="n">
        <x:f>IF(AND(v01_WinterTrigger=1,D2217=1,AB2216/AE2216&gt;=K2217),1,0)</x:f>
        <x:v>0</x:v>
      </x:c>
      <x:c r="AD2217" s="8" t="n">
        <x:f>H2217*IF(AND(OR(AB2216/AE2216&gt;=v01_FissionTrigger*N2217,AC2217=1),AB2216/AE2216*v01_DaughterShare&gt;=v01_MinDaughter),MAX(1,ROUND(AE2216*v01_FissionRate,0)),0)</x:f>
        <x:v>0</x:v>
      </x:c>
      <x:c r="AE2217" s="8" t="n">
        <x:f>IF(H2217=1,MAX(1,MIN(INDEX(v01_Smax,G2217),AE2216+AD2217)),AE2216)</x:f>
        <x:v>15</x:v>
      </x:c>
      <x:c r="AF2217" s="8" t="n">
        <x:f>MAX(0,AE2217-AE2216)</x:f>
        <x:v>0</x:v>
      </x:c>
      <x:c r="AG2217" s="9" t="str">
        <x:f>IF(AF2217&gt;0,B2217,"")</x:f>
      </x:c>
      <x:c r="AH2217" s="9" t="n">
        <x:f>IF(F2217&gt;=1,1,(1+v01_LowTiesShare*(AE2217-1))/AE2217)</x:f>
        <x:v>1</x:v>
      </x:c>
      <x:c r="AI2217" s="32" t="n">
        <x:f>(Z2217+v01_ElderCommons*INDEX(LM_Elder,G2217)*AA2217)*AH2217</x:f>
        <x:v>64139.732591141874</x:v>
      </x:c>
      <x:c r="AJ2217" s="32" t="n">
        <x:f>H2217*v01_CommonsCoef*AI2217^v01_CommonsExp*INDEX(LM_Commons,G2217)</x:f>
        <x:v>0</x:v>
      </x:c>
      <x:c r="AK2217" s="32" t="n">
        <x:f>H2217*v01_RoleScale*Arch_Roles*(AE2217*(INDEX(v01_ElderRolePerSett,G2217)*v01_OutElder*INDEX(LM_Elder,G2217)+INDEX(v01_ShamanPerSett,G2217)*v01_OutShaman)+Z2217*(INDEX(v01_PriestShare,G2217)*v01_OutPriest+INDEX(v01_ScribeShare,G2217)*v01_OutScribe*INDEX(LM_Scribe,G2217)+INDEX(v01_ScholarShare,G2217)*v01_OutScholar*INDEX(LM_Scholar,G2217)+INDEX(v01_ResearcherShare,G2217)*v01_OutResearcher*INDEX(LM_Researcher,G2217)))</x:f>
        <x:v>0</x:v>
      </x:c>
      <x:c r="AL2217" s="32" t="n">
        <x:f>H2217*v01_RoleScale*Arch_Roles*AE2217*INDEX(v01_MonasteryPerSett,G2217)*v01_OutMonastery*INDEX(LM_Monastery,G2217)</x:f>
        <x:v>0</x:v>
      </x:c>
      <x:c r="AM2217" s="32" t="n">
        <x:f>(AJ2217+AK2217+AL2217)/4*INDEX(LM_All,G2217)*INDEX(v01_Boon,G2217)*Arch_Insight</x:f>
        <x:v>0</x:v>
      </x:c>
      <x:c r="AN2217" s="32" t="n">
        <x:f>H2217*(v01_KHPerAdult*Z2217+v01_KHOfCommons*AJ2217/4*INDEX(LM_All,G2217))*v01_KHUsable*Arch_KH</x:f>
        <x:v>0</x:v>
      </x:c>
      <x:c r="AO2217" s="32" t="n">
        <x:f>MIN(AP2216+AN2217,AM2217*v01_KHMaxRatio)</x:f>
        <x:v>0</x:v>
      </x:c>
      <x:c r="AP2217" s="32" t="n">
        <x:f>AP2216+AN2217-AO2217</x:f>
        <x:v>0</x:v>
      </x:c>
      <x:c r="AQ2217" s="32" t="n">
        <x:f>AM2217+AO2217</x:f>
        <x:v>0</x:v>
      </x:c>
      <x:c r="AR2217" s="10" t="n">
        <x:f>IF(H2217=1,INDEX(v01_Req,G2217),0)</x:f>
        <x:v>0</x:v>
      </x:c>
      <x:c r="AS2217" s="32" t="n">
        <x:f>IF(H2217=1,IF(E2217=1,AS2216-AR2216,AS2216)+AQ2217,0)</x:f>
        <x:v>0</x:v>
      </x:c>
      <x:c r="AT2217" s="11" t="n">
        <x:f>IF(AR2217&gt;0,MIN(1,AS2217/AR2217),1)</x:f>
        <x:v>1</x:v>
      </x:c>
      <x:c r="AU2217" s="10" t="n">
        <x:f>AB2217/INDEX(v01_RepScale,G2217)</x:f>
        <x:v>90.09519605746344</x:v>
      </x:c>
      <x:c r="AV2217" s="32" t="n">
        <x:f>AM2217*60/v01_SeasonSeconds</x:f>
        <x:v>0</x:v>
      </x:c>
    </x:row>
    <x:row r="2218">
      <x:c r="A2218" s="8" t="n">
        <x:f>A2217+1</x:f>
        <x:v>2215</x:v>
      </x:c>
      <x:c r="B2218" s="9" t="n">
        <x:f>A2218*v01_SeasonSeconds/60</x:f>
        <x:v>553.75</x:v>
      </x:c>
      <x:c r="C2218" s="9" t="n">
        <x:f>A2218/4</x:f>
        <x:v>553.75</x:v>
      </x:c>
      <x:c r="D2218" s="8" t="n">
        <x:f>IF(MOD(A2218,4)=0,1,0)</x:f>
        <x:v>0</x:v>
      </x:c>
      <x:c r="E2218" s="8" t="n">
        <x:f>IF(AND(F2217&lt;=9,AS2217&gt;=AR2217),1,0)</x:f>
        <x:v>0</x:v>
      </x:c>
      <x:c r="F2218" s="8" t="n">
        <x:f>MIN(10,F2217+E2218)</x:f>
        <x:v>10</x:v>
      </x:c>
      <x:c r="G2218" s="8" t="n">
        <x:f>MIN(F2218,9)+1</x:f>
        <x:v>10</x:v>
      </x:c>
      <x:c r="H2218" s="8" t="n">
        <x:f>IF(F2218&lt;=9,1,0)</x:f>
        <x:v>0</x:v>
      </x:c>
      <x:c r="I2218" s="9" t="n">
        <x:f>MIN(10,F2217+IF(AR2217&gt;0,MIN(1,AS2217/AR2217),1))</x:f>
        <x:v>10</x:v>
      </x:c>
      <x:c r="J2218" s="32" t="n">
        <x:f>INDEX(v01_FoodCap,G2218)*Arch_FoodCap*EXP(v01_CapsByProject*SUMPRODUCT((Cap_Point&lt;=I2218)*(Cap_Kind="Food")*Cap_Ln))</x:f>
        <x:v>12000</x:v>
      </x:c>
      <x:c r="K2218" s="32" t="n">
        <x:f>J2218*MIN(1,v01_LeanBase*EXP(v01_CapsByProject*SUMPRODUCT((Cap_Point&lt;=I2218)*(Cap_Kind="Lean")*Cap_Ln)))</x:f>
        <x:v>12000</x:v>
      </x:c>
      <x:c r="L2218" s="10" t="n">
        <x:f>INDEX(v01_HousingCap,G2218)*EXP(v01_CapsByProject*SUMPRODUCT((Cap_Point&lt;=I2218)*(Cap_Kind="Housing")*Cap_Ln))</x:f>
        <x:v>20000</x:v>
      </x:c>
      <x:c r="M2218" s="10" t="n">
        <x:f>INDEX(v01_GroupCap,G2218)*v01_CohesionFactor*EXP(v01_CapsByProject*SUMPRODUCT((Cap_Point&lt;=I2218)*(Cap_Kind="Group")*Cap_Ln))</x:f>
        <x:v>1000000</x:v>
      </x:c>
      <x:c r="N2218" s="32" t="n">
        <x:f>MIN(J2218,L2218,M2218)</x:f>
        <x:v>12000</x:v>
      </x:c>
      <x:c r="O2218" s="10" t="n">
        <x:f>AE2217*N2218</x:f>
        <x:v>180000</x:v>
      </x:c>
      <x:c r="P2218" s="9" t="n">
        <x:f>MIN(1,(AB2217/(AE2217*IF(v01_GroupInCrowding=1,N2218,MIN(J2218,L2218))))^v01_CrowdingExp)</x:f>
        <x:v>0.00024569414295285325</x:v>
      </x:c>
      <x:c r="Q2218" s="9" t="n">
        <x:f>IF(D2218=1,INDEX(v01_WinterMult,G2218),1)</x:f>
        <x:v>1</x:v>
      </x:c>
      <x:c r="R2218" s="9" t="n">
        <x:f>H2218*Z2217*v01_WomenShare*v01_BaseFertility*INDEX(v01_FertMult,G2218)*Arch_Fertility*(1-P2218)</x:f>
        <x:v>0</x:v>
      </x:c>
      <x:c r="S2218" s="9" t="n">
        <x:f>H2218*Y2217*INDEX(v01_MortChild,G2218)/4*Q2218</x:f>
        <x:v>0</x:v>
      </x:c>
      <x:c r="T2218" s="9" t="n">
        <x:f>H2218*Z2217*INDEX(v01_MortAdult,G2218)*Arch_AdultMort/4*Q2218</x:f>
        <x:v>0</x:v>
      </x:c>
      <x:c r="U2218" s="9" t="n">
        <x:f>H2218*AA2217*INDEX(v01_MortElder,G2218)/4*Q2218</x:f>
        <x:v>0</x:v>
      </x:c>
      <x:c r="V2218" s="9" t="n">
        <x:f>H2218*MAX(0,AB2217-O2218)*v01_OvercapLoss</x:f>
        <x:v>0</x:v>
      </x:c>
      <x:c r="W2218" s="9" t="n">
        <x:f>H2218*Y2217/(v01_ChildYears*4)</x:f>
        <x:v>0</x:v>
      </x:c>
      <x:c r="X2218" s="9" t="n">
        <x:f>H2218*Z2217/(v01_AdultYears*4)</x:f>
        <x:v>0</x:v>
      </x:c>
      <x:c r="Y2218" s="32" t="n">
        <x:f>Y2217+R2218-S2218-W2218-Y2217*V2218/AB2217</x:f>
        <x:v>14306.18539759397</x:v>
      </x:c>
      <x:c r="Z2218" s="32" t="n">
        <x:f>Z2217+W2218-X2218-T2218-Z2217*V2218/AB2217</x:f>
        <x:v>19354.456567879548</x:v>
      </x:c>
      <x:c r="AA2218" s="32" t="n">
        <x:f>AA2217+X2218-U2218-AA2217*V2218/AB2217</x:f>
        <x:v>11386.956063258198</x:v>
      </x:c>
      <x:c r="AB2218" s="10" t="n">
        <x:f>Y2218+Z2218+AA2218</x:f>
        <x:v>45047.59802873172</x:v>
      </x:c>
      <x:c r="AC2218" s="8" t="n">
        <x:f>IF(AND(v01_WinterTrigger=1,D2218=1,AB2217/AE2217&gt;=K2218),1,0)</x:f>
        <x:v>0</x:v>
      </x:c>
      <x:c r="AD2218" s="8" t="n">
        <x:f>H2218*IF(AND(OR(AB2217/AE2217&gt;=v01_FissionTrigger*N2218,AC2218=1),AB2217/AE2217*v01_DaughterShare&gt;=v01_MinDaughter),MAX(1,ROUND(AE2217*v01_FissionRate,0)),0)</x:f>
        <x:v>0</x:v>
      </x:c>
      <x:c r="AE2218" s="8" t="n">
        <x:f>IF(H2218=1,MAX(1,MIN(INDEX(v01_Smax,G2218),AE2217+AD2218)),AE2217)</x:f>
        <x:v>15</x:v>
      </x:c>
      <x:c r="AF2218" s="8" t="n">
        <x:f>MAX(0,AE2218-AE2217)</x:f>
        <x:v>0</x:v>
      </x:c>
      <x:c r="AG2218" s="9" t="str">
        <x:f>IF(AF2218&gt;0,B2218,"")</x:f>
      </x:c>
      <x:c r="AH2218" s="9" t="n">
        <x:f>IF(F2218&gt;=1,1,(1+v01_LowTiesShare*(AE2218-1))/AE2218)</x:f>
        <x:v>1</x:v>
      </x:c>
      <x:c r="AI2218" s="32" t="n">
        <x:f>(Z2218+v01_ElderCommons*INDEX(LM_Elder,G2218)*AA2218)*AH2218</x:f>
        <x:v>64139.732591141874</x:v>
      </x:c>
      <x:c r="AJ2218" s="32" t="n">
        <x:f>H2218*v01_CommonsCoef*AI2218^v01_CommonsExp*INDEX(LM_Commons,G2218)</x:f>
        <x:v>0</x:v>
      </x:c>
      <x:c r="AK2218" s="32" t="n">
        <x:f>H2218*v01_RoleScale*Arch_Roles*(AE2218*(INDEX(v01_ElderRolePerSett,G2218)*v01_OutElder*INDEX(LM_Elder,G2218)+INDEX(v01_ShamanPerSett,G2218)*v01_OutShaman)+Z2218*(INDEX(v01_PriestShare,G2218)*v01_OutPriest+INDEX(v01_ScribeShare,G2218)*v01_OutScribe*INDEX(LM_Scribe,G2218)+INDEX(v01_ScholarShare,G2218)*v01_OutScholar*INDEX(LM_Scholar,G2218)+INDEX(v01_ResearcherShare,G2218)*v01_OutResearcher*INDEX(LM_Researcher,G2218)))</x:f>
        <x:v>0</x:v>
      </x:c>
      <x:c r="AL2218" s="32" t="n">
        <x:f>H2218*v01_RoleScale*Arch_Roles*AE2218*INDEX(v01_MonasteryPerSett,G2218)*v01_OutMonastery*INDEX(LM_Monastery,G2218)</x:f>
        <x:v>0</x:v>
      </x:c>
      <x:c r="AM2218" s="32" t="n">
        <x:f>(AJ2218+AK2218+AL2218)/4*INDEX(LM_All,G2218)*INDEX(v01_Boon,G2218)*Arch_Insight</x:f>
        <x:v>0</x:v>
      </x:c>
      <x:c r="AN2218" s="32" t="n">
        <x:f>H2218*(v01_KHPerAdult*Z2218+v01_KHOfCommons*AJ2218/4*INDEX(LM_All,G2218))*v01_KHUsable*Arch_KH</x:f>
        <x:v>0</x:v>
      </x:c>
      <x:c r="AO2218" s="32" t="n">
        <x:f>MIN(AP2217+AN2218,AM2218*v01_KHMaxRatio)</x:f>
        <x:v>0</x:v>
      </x:c>
      <x:c r="AP2218" s="32" t="n">
        <x:f>AP2217+AN2218-AO2218</x:f>
        <x:v>0</x:v>
      </x:c>
      <x:c r="AQ2218" s="32" t="n">
        <x:f>AM2218+AO2218</x:f>
        <x:v>0</x:v>
      </x:c>
      <x:c r="AR2218" s="10" t="n">
        <x:f>IF(H2218=1,INDEX(v01_Req,G2218),0)</x:f>
        <x:v>0</x:v>
      </x:c>
      <x:c r="AS2218" s="32" t="n">
        <x:f>IF(H2218=1,IF(E2218=1,AS2217-AR2217,AS2217)+AQ2218,0)</x:f>
        <x:v>0</x:v>
      </x:c>
      <x:c r="AT2218" s="11" t="n">
        <x:f>IF(AR2218&gt;0,MIN(1,AS2218/AR2218),1)</x:f>
        <x:v>1</x:v>
      </x:c>
      <x:c r="AU2218" s="10" t="n">
        <x:f>AB2218/INDEX(v01_RepScale,G2218)</x:f>
        <x:v>90.09519605746344</x:v>
      </x:c>
      <x:c r="AV2218" s="32" t="n">
        <x:f>AM2218*60/v01_SeasonSeconds</x:f>
        <x:v>0</x:v>
      </x:c>
    </x:row>
    <x:row r="2219">
      <x:c r="A2219" s="8" t="n">
        <x:f>A2218+1</x:f>
        <x:v>2216</x:v>
      </x:c>
      <x:c r="B2219" s="9" t="n">
        <x:f>A2219*v01_SeasonSeconds/60</x:f>
        <x:v>554</x:v>
      </x:c>
      <x:c r="C2219" s="9" t="n">
        <x:f>A2219/4</x:f>
        <x:v>554</x:v>
      </x:c>
      <x:c r="D2219" s="8" t="n">
        <x:f>IF(MOD(A2219,4)=0,1,0)</x:f>
        <x:v>1</x:v>
      </x:c>
      <x:c r="E2219" s="8" t="n">
        <x:f>IF(AND(F2218&lt;=9,AS2218&gt;=AR2218),1,0)</x:f>
        <x:v>0</x:v>
      </x:c>
      <x:c r="F2219" s="8" t="n">
        <x:f>MIN(10,F2218+E2219)</x:f>
        <x:v>10</x:v>
      </x:c>
      <x:c r="G2219" s="8" t="n">
        <x:f>MIN(F2219,9)+1</x:f>
        <x:v>10</x:v>
      </x:c>
      <x:c r="H2219" s="8" t="n">
        <x:f>IF(F2219&lt;=9,1,0)</x:f>
        <x:v>0</x:v>
      </x:c>
      <x:c r="I2219" s="9" t="n">
        <x:f>MIN(10,F2218+IF(AR2218&gt;0,MIN(1,AS2218/AR2218),1))</x:f>
        <x:v>10</x:v>
      </x:c>
      <x:c r="J2219" s="32" t="n">
        <x:f>INDEX(v01_FoodCap,G2219)*Arch_FoodCap*EXP(v01_CapsByProject*SUMPRODUCT((Cap_Point&lt;=I2219)*(Cap_Kind="Food")*Cap_Ln))</x:f>
        <x:v>12000</x:v>
      </x:c>
      <x:c r="K2219" s="32" t="n">
        <x:f>J2219*MIN(1,v01_LeanBase*EXP(v01_CapsByProject*SUMPRODUCT((Cap_Point&lt;=I2219)*(Cap_Kind="Lean")*Cap_Ln)))</x:f>
        <x:v>12000</x:v>
      </x:c>
      <x:c r="L2219" s="10" t="n">
        <x:f>INDEX(v01_HousingCap,G2219)*EXP(v01_CapsByProject*SUMPRODUCT((Cap_Point&lt;=I2219)*(Cap_Kind="Housing")*Cap_Ln))</x:f>
        <x:v>20000</x:v>
      </x:c>
      <x:c r="M2219" s="10" t="n">
        <x:f>INDEX(v01_GroupCap,G2219)*v01_CohesionFactor*EXP(v01_CapsByProject*SUMPRODUCT((Cap_Point&lt;=I2219)*(Cap_Kind="Group")*Cap_Ln))</x:f>
        <x:v>1000000</x:v>
      </x:c>
      <x:c r="N2219" s="32" t="n">
        <x:f>MIN(J2219,L2219,M2219)</x:f>
        <x:v>12000</x:v>
      </x:c>
      <x:c r="O2219" s="10" t="n">
        <x:f>AE2218*N2219</x:f>
        <x:v>180000</x:v>
      </x:c>
      <x:c r="P2219" s="9" t="n">
        <x:f>MIN(1,(AB2218/(AE2218*IF(v01_GroupInCrowding=1,N2219,MIN(J2219,L2219))))^v01_CrowdingExp)</x:f>
        <x:v>0.00024569414295285325</x:v>
      </x:c>
      <x:c r="Q2219" s="9" t="n">
        <x:f>IF(D2219=1,INDEX(v01_WinterMult,G2219),1)</x:f>
        <x:v>1</x:v>
      </x:c>
      <x:c r="R2219" s="9" t="n">
        <x:f>H2219*Z2218*v01_WomenShare*v01_BaseFertility*INDEX(v01_FertMult,G2219)*Arch_Fertility*(1-P2219)</x:f>
        <x:v>0</x:v>
      </x:c>
      <x:c r="S2219" s="9" t="n">
        <x:f>H2219*Y2218*INDEX(v01_MortChild,G2219)/4*Q2219</x:f>
        <x:v>0</x:v>
      </x:c>
      <x:c r="T2219" s="9" t="n">
        <x:f>H2219*Z2218*INDEX(v01_MortAdult,G2219)*Arch_AdultMort/4*Q2219</x:f>
        <x:v>0</x:v>
      </x:c>
      <x:c r="U2219" s="9" t="n">
        <x:f>H2219*AA2218*INDEX(v01_MortElder,G2219)/4*Q2219</x:f>
        <x:v>0</x:v>
      </x:c>
      <x:c r="V2219" s="9" t="n">
        <x:f>H2219*MAX(0,AB2218-O2219)*v01_OvercapLoss</x:f>
        <x:v>0</x:v>
      </x:c>
      <x:c r="W2219" s="9" t="n">
        <x:f>H2219*Y2218/(v01_ChildYears*4)</x:f>
        <x:v>0</x:v>
      </x:c>
      <x:c r="X2219" s="9" t="n">
        <x:f>H2219*Z2218/(v01_AdultYears*4)</x:f>
        <x:v>0</x:v>
      </x:c>
      <x:c r="Y2219" s="32" t="n">
        <x:f>Y2218+R2219-S2219-W2219-Y2218*V2219/AB2218</x:f>
        <x:v>14306.18539759397</x:v>
      </x:c>
      <x:c r="Z2219" s="32" t="n">
        <x:f>Z2218+W2219-X2219-T2219-Z2218*V2219/AB2218</x:f>
        <x:v>19354.456567879548</x:v>
      </x:c>
      <x:c r="AA2219" s="32" t="n">
        <x:f>AA2218+X2219-U2219-AA2218*V2219/AB2218</x:f>
        <x:v>11386.956063258198</x:v>
      </x:c>
      <x:c r="AB2219" s="10" t="n">
        <x:f>Y2219+Z2219+AA2219</x:f>
        <x:v>45047.59802873172</x:v>
      </x:c>
      <x:c r="AC2219" s="8" t="n">
        <x:f>IF(AND(v01_WinterTrigger=1,D2219=1,AB2218/AE2218&gt;=K2219),1,0)</x:f>
        <x:v>0</x:v>
      </x:c>
      <x:c r="AD2219" s="8" t="n">
        <x:f>H2219*IF(AND(OR(AB2218/AE2218&gt;=v01_FissionTrigger*N2219,AC2219=1),AB2218/AE2218*v01_DaughterShare&gt;=v01_MinDaughter),MAX(1,ROUND(AE2218*v01_FissionRate,0)),0)</x:f>
        <x:v>0</x:v>
      </x:c>
      <x:c r="AE2219" s="8" t="n">
        <x:f>IF(H2219=1,MAX(1,MIN(INDEX(v01_Smax,G2219),AE2218+AD2219)),AE2218)</x:f>
        <x:v>15</x:v>
      </x:c>
      <x:c r="AF2219" s="8" t="n">
        <x:f>MAX(0,AE2219-AE2218)</x:f>
        <x:v>0</x:v>
      </x:c>
      <x:c r="AG2219" s="9" t="str">
        <x:f>IF(AF2219&gt;0,B2219,"")</x:f>
      </x:c>
      <x:c r="AH2219" s="9" t="n">
        <x:f>IF(F2219&gt;=1,1,(1+v01_LowTiesShare*(AE2219-1))/AE2219)</x:f>
        <x:v>1</x:v>
      </x:c>
      <x:c r="AI2219" s="32" t="n">
        <x:f>(Z2219+v01_ElderCommons*INDEX(LM_Elder,G2219)*AA2219)*AH2219</x:f>
        <x:v>64139.732591141874</x:v>
      </x:c>
      <x:c r="AJ2219" s="32" t="n">
        <x:f>H2219*v01_CommonsCoef*AI2219^v01_CommonsExp*INDEX(LM_Commons,G2219)</x:f>
        <x:v>0</x:v>
      </x:c>
      <x:c r="AK2219" s="32" t="n">
        <x:f>H2219*v01_RoleScale*Arch_Roles*(AE2219*(INDEX(v01_ElderRolePerSett,G2219)*v01_OutElder*INDEX(LM_Elder,G2219)+INDEX(v01_ShamanPerSett,G2219)*v01_OutShaman)+Z2219*(INDEX(v01_PriestShare,G2219)*v01_OutPriest+INDEX(v01_ScribeShare,G2219)*v01_OutScribe*INDEX(LM_Scribe,G2219)+INDEX(v01_ScholarShare,G2219)*v01_OutScholar*INDEX(LM_Scholar,G2219)+INDEX(v01_ResearcherShare,G2219)*v01_OutResearcher*INDEX(LM_Researcher,G2219)))</x:f>
        <x:v>0</x:v>
      </x:c>
      <x:c r="AL2219" s="32" t="n">
        <x:f>H2219*v01_RoleScale*Arch_Roles*AE2219*INDEX(v01_MonasteryPerSett,G2219)*v01_OutMonastery*INDEX(LM_Monastery,G2219)</x:f>
        <x:v>0</x:v>
      </x:c>
      <x:c r="AM2219" s="32" t="n">
        <x:f>(AJ2219+AK2219+AL2219)/4*INDEX(LM_All,G2219)*INDEX(v01_Boon,G2219)*Arch_Insight</x:f>
        <x:v>0</x:v>
      </x:c>
      <x:c r="AN2219" s="32" t="n">
        <x:f>H2219*(v01_KHPerAdult*Z2219+v01_KHOfCommons*AJ2219/4*INDEX(LM_All,G2219))*v01_KHUsable*Arch_KH</x:f>
        <x:v>0</x:v>
      </x:c>
      <x:c r="AO2219" s="32" t="n">
        <x:f>MIN(AP2218+AN2219,AM2219*v01_KHMaxRatio)</x:f>
        <x:v>0</x:v>
      </x:c>
      <x:c r="AP2219" s="32" t="n">
        <x:f>AP2218+AN2219-AO2219</x:f>
        <x:v>0</x:v>
      </x:c>
      <x:c r="AQ2219" s="32" t="n">
        <x:f>AM2219+AO2219</x:f>
        <x:v>0</x:v>
      </x:c>
      <x:c r="AR2219" s="10" t="n">
        <x:f>IF(H2219=1,INDEX(v01_Req,G2219),0)</x:f>
        <x:v>0</x:v>
      </x:c>
      <x:c r="AS2219" s="32" t="n">
        <x:f>IF(H2219=1,IF(E2219=1,AS2218-AR2218,AS2218)+AQ2219,0)</x:f>
        <x:v>0</x:v>
      </x:c>
      <x:c r="AT2219" s="11" t="n">
        <x:f>IF(AR2219&gt;0,MIN(1,AS2219/AR2219),1)</x:f>
        <x:v>1</x:v>
      </x:c>
      <x:c r="AU2219" s="10" t="n">
        <x:f>AB2219/INDEX(v01_RepScale,G2219)</x:f>
        <x:v>90.09519605746344</x:v>
      </x:c>
      <x:c r="AV2219" s="32" t="n">
        <x:f>AM2219*60/v01_SeasonSeconds</x:f>
        <x:v>0</x:v>
      </x:c>
    </x:row>
    <x:row r="2220">
      <x:c r="A2220" s="8" t="n">
        <x:f>A2219+1</x:f>
        <x:v>2217</x:v>
      </x:c>
      <x:c r="B2220" s="9" t="n">
        <x:f>A2220*v01_SeasonSeconds/60</x:f>
        <x:v>554.25</x:v>
      </x:c>
      <x:c r="C2220" s="9" t="n">
        <x:f>A2220/4</x:f>
        <x:v>554.25</x:v>
      </x:c>
      <x:c r="D2220" s="8" t="n">
        <x:f>IF(MOD(A2220,4)=0,1,0)</x:f>
        <x:v>0</x:v>
      </x:c>
      <x:c r="E2220" s="8" t="n">
        <x:f>IF(AND(F2219&lt;=9,AS2219&gt;=AR2219),1,0)</x:f>
        <x:v>0</x:v>
      </x:c>
      <x:c r="F2220" s="8" t="n">
        <x:f>MIN(10,F2219+E2220)</x:f>
        <x:v>10</x:v>
      </x:c>
      <x:c r="G2220" s="8" t="n">
        <x:f>MIN(F2220,9)+1</x:f>
        <x:v>10</x:v>
      </x:c>
      <x:c r="H2220" s="8" t="n">
        <x:f>IF(F2220&lt;=9,1,0)</x:f>
        <x:v>0</x:v>
      </x:c>
      <x:c r="I2220" s="9" t="n">
        <x:f>MIN(10,F2219+IF(AR2219&gt;0,MIN(1,AS2219/AR2219),1))</x:f>
        <x:v>10</x:v>
      </x:c>
      <x:c r="J2220" s="32" t="n">
        <x:f>INDEX(v01_FoodCap,G2220)*Arch_FoodCap*EXP(v01_CapsByProject*SUMPRODUCT((Cap_Point&lt;=I2220)*(Cap_Kind="Food")*Cap_Ln))</x:f>
        <x:v>12000</x:v>
      </x:c>
      <x:c r="K2220" s="32" t="n">
        <x:f>J2220*MIN(1,v01_LeanBase*EXP(v01_CapsByProject*SUMPRODUCT((Cap_Point&lt;=I2220)*(Cap_Kind="Lean")*Cap_Ln)))</x:f>
        <x:v>12000</x:v>
      </x:c>
      <x:c r="L2220" s="10" t="n">
        <x:f>INDEX(v01_HousingCap,G2220)*EXP(v01_CapsByProject*SUMPRODUCT((Cap_Point&lt;=I2220)*(Cap_Kind="Housing")*Cap_Ln))</x:f>
        <x:v>20000</x:v>
      </x:c>
      <x:c r="M2220" s="10" t="n">
        <x:f>INDEX(v01_GroupCap,G2220)*v01_CohesionFactor*EXP(v01_CapsByProject*SUMPRODUCT((Cap_Point&lt;=I2220)*(Cap_Kind="Group")*Cap_Ln))</x:f>
        <x:v>1000000</x:v>
      </x:c>
      <x:c r="N2220" s="32" t="n">
        <x:f>MIN(J2220,L2220,M2220)</x:f>
        <x:v>12000</x:v>
      </x:c>
      <x:c r="O2220" s="10" t="n">
        <x:f>AE2219*N2220</x:f>
        <x:v>180000</x:v>
      </x:c>
      <x:c r="P2220" s="9" t="n">
        <x:f>MIN(1,(AB2219/(AE2219*IF(v01_GroupInCrowding=1,N2220,MIN(J2220,L2220))))^v01_CrowdingExp)</x:f>
        <x:v>0.00024569414295285325</x:v>
      </x:c>
      <x:c r="Q2220" s="9" t="n">
        <x:f>IF(D2220=1,INDEX(v01_WinterMult,G2220),1)</x:f>
        <x:v>1</x:v>
      </x:c>
      <x:c r="R2220" s="9" t="n">
        <x:f>H2220*Z2219*v01_WomenShare*v01_BaseFertility*INDEX(v01_FertMult,G2220)*Arch_Fertility*(1-P2220)</x:f>
        <x:v>0</x:v>
      </x:c>
      <x:c r="S2220" s="9" t="n">
        <x:f>H2220*Y2219*INDEX(v01_MortChild,G2220)/4*Q2220</x:f>
        <x:v>0</x:v>
      </x:c>
      <x:c r="T2220" s="9" t="n">
        <x:f>H2220*Z2219*INDEX(v01_MortAdult,G2220)*Arch_AdultMort/4*Q2220</x:f>
        <x:v>0</x:v>
      </x:c>
      <x:c r="U2220" s="9" t="n">
        <x:f>H2220*AA2219*INDEX(v01_MortElder,G2220)/4*Q2220</x:f>
        <x:v>0</x:v>
      </x:c>
      <x:c r="V2220" s="9" t="n">
        <x:f>H2220*MAX(0,AB2219-O2220)*v01_OvercapLoss</x:f>
        <x:v>0</x:v>
      </x:c>
      <x:c r="W2220" s="9" t="n">
        <x:f>H2220*Y2219/(v01_ChildYears*4)</x:f>
        <x:v>0</x:v>
      </x:c>
      <x:c r="X2220" s="9" t="n">
        <x:f>H2220*Z2219/(v01_AdultYears*4)</x:f>
        <x:v>0</x:v>
      </x:c>
      <x:c r="Y2220" s="32" t="n">
        <x:f>Y2219+R2220-S2220-W2220-Y2219*V2220/AB2219</x:f>
        <x:v>14306.18539759397</x:v>
      </x:c>
      <x:c r="Z2220" s="32" t="n">
        <x:f>Z2219+W2220-X2220-T2220-Z2219*V2220/AB2219</x:f>
        <x:v>19354.456567879548</x:v>
      </x:c>
      <x:c r="AA2220" s="32" t="n">
        <x:f>AA2219+X2220-U2220-AA2219*V2220/AB2219</x:f>
        <x:v>11386.956063258198</x:v>
      </x:c>
      <x:c r="AB2220" s="10" t="n">
        <x:f>Y2220+Z2220+AA2220</x:f>
        <x:v>45047.59802873172</x:v>
      </x:c>
      <x:c r="AC2220" s="8" t="n">
        <x:f>IF(AND(v01_WinterTrigger=1,D2220=1,AB2219/AE2219&gt;=K2220),1,0)</x:f>
        <x:v>0</x:v>
      </x:c>
      <x:c r="AD2220" s="8" t="n">
        <x:f>H2220*IF(AND(OR(AB2219/AE2219&gt;=v01_FissionTrigger*N2220,AC2220=1),AB2219/AE2219*v01_DaughterShare&gt;=v01_MinDaughter),MAX(1,ROUND(AE2219*v01_FissionRate,0)),0)</x:f>
        <x:v>0</x:v>
      </x:c>
      <x:c r="AE2220" s="8" t="n">
        <x:f>IF(H2220=1,MAX(1,MIN(INDEX(v01_Smax,G2220),AE2219+AD2220)),AE2219)</x:f>
        <x:v>15</x:v>
      </x:c>
      <x:c r="AF2220" s="8" t="n">
        <x:f>MAX(0,AE2220-AE2219)</x:f>
        <x:v>0</x:v>
      </x:c>
      <x:c r="AG2220" s="9" t="str">
        <x:f>IF(AF2220&gt;0,B2220,"")</x:f>
      </x:c>
      <x:c r="AH2220" s="9" t="n">
        <x:f>IF(F2220&gt;=1,1,(1+v01_LowTiesShare*(AE2220-1))/AE2220)</x:f>
        <x:v>1</x:v>
      </x:c>
      <x:c r="AI2220" s="32" t="n">
        <x:f>(Z2220+v01_ElderCommons*INDEX(LM_Elder,G2220)*AA2220)*AH2220</x:f>
        <x:v>64139.732591141874</x:v>
      </x:c>
      <x:c r="AJ2220" s="32" t="n">
        <x:f>H2220*v01_CommonsCoef*AI2220^v01_CommonsExp*INDEX(LM_Commons,G2220)</x:f>
        <x:v>0</x:v>
      </x:c>
      <x:c r="AK2220" s="32" t="n">
        <x:f>H2220*v01_RoleScale*Arch_Roles*(AE2220*(INDEX(v01_ElderRolePerSett,G2220)*v01_OutElder*INDEX(LM_Elder,G2220)+INDEX(v01_ShamanPerSett,G2220)*v01_OutShaman)+Z2220*(INDEX(v01_PriestShare,G2220)*v01_OutPriest+INDEX(v01_ScribeShare,G2220)*v01_OutScribe*INDEX(LM_Scribe,G2220)+INDEX(v01_ScholarShare,G2220)*v01_OutScholar*INDEX(LM_Scholar,G2220)+INDEX(v01_ResearcherShare,G2220)*v01_OutResearcher*INDEX(LM_Researcher,G2220)))</x:f>
        <x:v>0</x:v>
      </x:c>
      <x:c r="AL2220" s="32" t="n">
        <x:f>H2220*v01_RoleScale*Arch_Roles*AE2220*INDEX(v01_MonasteryPerSett,G2220)*v01_OutMonastery*INDEX(LM_Monastery,G2220)</x:f>
        <x:v>0</x:v>
      </x:c>
      <x:c r="AM2220" s="32" t="n">
        <x:f>(AJ2220+AK2220+AL2220)/4*INDEX(LM_All,G2220)*INDEX(v01_Boon,G2220)*Arch_Insight</x:f>
        <x:v>0</x:v>
      </x:c>
      <x:c r="AN2220" s="32" t="n">
        <x:f>H2220*(v01_KHPerAdult*Z2220+v01_KHOfCommons*AJ2220/4*INDEX(LM_All,G2220))*v01_KHUsable*Arch_KH</x:f>
        <x:v>0</x:v>
      </x:c>
      <x:c r="AO2220" s="32" t="n">
        <x:f>MIN(AP2219+AN2220,AM2220*v01_KHMaxRatio)</x:f>
        <x:v>0</x:v>
      </x:c>
      <x:c r="AP2220" s="32" t="n">
        <x:f>AP2219+AN2220-AO2220</x:f>
        <x:v>0</x:v>
      </x:c>
      <x:c r="AQ2220" s="32" t="n">
        <x:f>AM2220+AO2220</x:f>
        <x:v>0</x:v>
      </x:c>
      <x:c r="AR2220" s="10" t="n">
        <x:f>IF(H2220=1,INDEX(v01_Req,G2220),0)</x:f>
        <x:v>0</x:v>
      </x:c>
      <x:c r="AS2220" s="32" t="n">
        <x:f>IF(H2220=1,IF(E2220=1,AS2219-AR2219,AS2219)+AQ2220,0)</x:f>
        <x:v>0</x:v>
      </x:c>
      <x:c r="AT2220" s="11" t="n">
        <x:f>IF(AR2220&gt;0,MIN(1,AS2220/AR2220),1)</x:f>
        <x:v>1</x:v>
      </x:c>
      <x:c r="AU2220" s="10" t="n">
        <x:f>AB2220/INDEX(v01_RepScale,G2220)</x:f>
        <x:v>90.09519605746344</x:v>
      </x:c>
      <x:c r="AV2220" s="32" t="n">
        <x:f>AM2220*60/v01_SeasonSeconds</x:f>
        <x:v>0</x:v>
      </x:c>
    </x:row>
    <x:row r="2221">
      <x:c r="A2221" s="8" t="n">
        <x:f>A2220+1</x:f>
        <x:v>2218</x:v>
      </x:c>
      <x:c r="B2221" s="9" t="n">
        <x:f>A2221*v01_SeasonSeconds/60</x:f>
        <x:v>554.5</x:v>
      </x:c>
      <x:c r="C2221" s="9" t="n">
        <x:f>A2221/4</x:f>
        <x:v>554.5</x:v>
      </x:c>
      <x:c r="D2221" s="8" t="n">
        <x:f>IF(MOD(A2221,4)=0,1,0)</x:f>
        <x:v>0</x:v>
      </x:c>
      <x:c r="E2221" s="8" t="n">
        <x:f>IF(AND(F2220&lt;=9,AS2220&gt;=AR2220),1,0)</x:f>
        <x:v>0</x:v>
      </x:c>
      <x:c r="F2221" s="8" t="n">
        <x:f>MIN(10,F2220+E2221)</x:f>
        <x:v>10</x:v>
      </x:c>
      <x:c r="G2221" s="8" t="n">
        <x:f>MIN(F2221,9)+1</x:f>
        <x:v>10</x:v>
      </x:c>
      <x:c r="H2221" s="8" t="n">
        <x:f>IF(F2221&lt;=9,1,0)</x:f>
        <x:v>0</x:v>
      </x:c>
      <x:c r="I2221" s="9" t="n">
        <x:f>MIN(10,F2220+IF(AR2220&gt;0,MIN(1,AS2220/AR2220),1))</x:f>
        <x:v>10</x:v>
      </x:c>
      <x:c r="J2221" s="32" t="n">
        <x:f>INDEX(v01_FoodCap,G2221)*Arch_FoodCap*EXP(v01_CapsByProject*SUMPRODUCT((Cap_Point&lt;=I2221)*(Cap_Kind="Food")*Cap_Ln))</x:f>
        <x:v>12000</x:v>
      </x:c>
      <x:c r="K2221" s="32" t="n">
        <x:f>J2221*MIN(1,v01_LeanBase*EXP(v01_CapsByProject*SUMPRODUCT((Cap_Point&lt;=I2221)*(Cap_Kind="Lean")*Cap_Ln)))</x:f>
        <x:v>12000</x:v>
      </x:c>
      <x:c r="L2221" s="10" t="n">
        <x:f>INDEX(v01_HousingCap,G2221)*EXP(v01_CapsByProject*SUMPRODUCT((Cap_Point&lt;=I2221)*(Cap_Kind="Housing")*Cap_Ln))</x:f>
        <x:v>20000</x:v>
      </x:c>
      <x:c r="M2221" s="10" t="n">
        <x:f>INDEX(v01_GroupCap,G2221)*v01_CohesionFactor*EXP(v01_CapsByProject*SUMPRODUCT((Cap_Point&lt;=I2221)*(Cap_Kind="Group")*Cap_Ln))</x:f>
        <x:v>1000000</x:v>
      </x:c>
      <x:c r="N2221" s="32" t="n">
        <x:f>MIN(J2221,L2221,M2221)</x:f>
        <x:v>12000</x:v>
      </x:c>
      <x:c r="O2221" s="10" t="n">
        <x:f>AE2220*N2221</x:f>
        <x:v>180000</x:v>
      </x:c>
      <x:c r="P2221" s="9" t="n">
        <x:f>MIN(1,(AB2220/(AE2220*IF(v01_GroupInCrowding=1,N2221,MIN(J2221,L2221))))^v01_CrowdingExp)</x:f>
        <x:v>0.00024569414295285325</x:v>
      </x:c>
      <x:c r="Q2221" s="9" t="n">
        <x:f>IF(D2221=1,INDEX(v01_WinterMult,G2221),1)</x:f>
        <x:v>1</x:v>
      </x:c>
      <x:c r="R2221" s="9" t="n">
        <x:f>H2221*Z2220*v01_WomenShare*v01_BaseFertility*INDEX(v01_FertMult,G2221)*Arch_Fertility*(1-P2221)</x:f>
        <x:v>0</x:v>
      </x:c>
      <x:c r="S2221" s="9" t="n">
        <x:f>H2221*Y2220*INDEX(v01_MortChild,G2221)/4*Q2221</x:f>
        <x:v>0</x:v>
      </x:c>
      <x:c r="T2221" s="9" t="n">
        <x:f>H2221*Z2220*INDEX(v01_MortAdult,G2221)*Arch_AdultMort/4*Q2221</x:f>
        <x:v>0</x:v>
      </x:c>
      <x:c r="U2221" s="9" t="n">
        <x:f>H2221*AA2220*INDEX(v01_MortElder,G2221)/4*Q2221</x:f>
        <x:v>0</x:v>
      </x:c>
      <x:c r="V2221" s="9" t="n">
        <x:f>H2221*MAX(0,AB2220-O2221)*v01_OvercapLoss</x:f>
        <x:v>0</x:v>
      </x:c>
      <x:c r="W2221" s="9" t="n">
        <x:f>H2221*Y2220/(v01_ChildYears*4)</x:f>
        <x:v>0</x:v>
      </x:c>
      <x:c r="X2221" s="9" t="n">
        <x:f>H2221*Z2220/(v01_AdultYears*4)</x:f>
        <x:v>0</x:v>
      </x:c>
      <x:c r="Y2221" s="32" t="n">
        <x:f>Y2220+R2221-S2221-W2221-Y2220*V2221/AB2220</x:f>
        <x:v>14306.18539759397</x:v>
      </x:c>
      <x:c r="Z2221" s="32" t="n">
        <x:f>Z2220+W2221-X2221-T2221-Z2220*V2221/AB2220</x:f>
        <x:v>19354.456567879548</x:v>
      </x:c>
      <x:c r="AA2221" s="32" t="n">
        <x:f>AA2220+X2221-U2221-AA2220*V2221/AB2220</x:f>
        <x:v>11386.956063258198</x:v>
      </x:c>
      <x:c r="AB2221" s="10" t="n">
        <x:f>Y2221+Z2221+AA2221</x:f>
        <x:v>45047.59802873172</x:v>
      </x:c>
      <x:c r="AC2221" s="8" t="n">
        <x:f>IF(AND(v01_WinterTrigger=1,D2221=1,AB2220/AE2220&gt;=K2221),1,0)</x:f>
        <x:v>0</x:v>
      </x:c>
      <x:c r="AD2221" s="8" t="n">
        <x:f>H2221*IF(AND(OR(AB2220/AE2220&gt;=v01_FissionTrigger*N2221,AC2221=1),AB2220/AE2220*v01_DaughterShare&gt;=v01_MinDaughter),MAX(1,ROUND(AE2220*v01_FissionRate,0)),0)</x:f>
        <x:v>0</x:v>
      </x:c>
      <x:c r="AE2221" s="8" t="n">
        <x:f>IF(H2221=1,MAX(1,MIN(INDEX(v01_Smax,G2221),AE2220+AD2221)),AE2220)</x:f>
        <x:v>15</x:v>
      </x:c>
      <x:c r="AF2221" s="8" t="n">
        <x:f>MAX(0,AE2221-AE2220)</x:f>
        <x:v>0</x:v>
      </x:c>
      <x:c r="AG2221" s="9" t="str">
        <x:f>IF(AF2221&gt;0,B2221,"")</x:f>
      </x:c>
      <x:c r="AH2221" s="9" t="n">
        <x:f>IF(F2221&gt;=1,1,(1+v01_LowTiesShare*(AE2221-1))/AE2221)</x:f>
        <x:v>1</x:v>
      </x:c>
      <x:c r="AI2221" s="32" t="n">
        <x:f>(Z2221+v01_ElderCommons*INDEX(LM_Elder,G2221)*AA2221)*AH2221</x:f>
        <x:v>64139.732591141874</x:v>
      </x:c>
      <x:c r="AJ2221" s="32" t="n">
        <x:f>H2221*v01_CommonsCoef*AI2221^v01_CommonsExp*INDEX(LM_Commons,G2221)</x:f>
        <x:v>0</x:v>
      </x:c>
      <x:c r="AK2221" s="32" t="n">
        <x:f>H2221*v01_RoleScale*Arch_Roles*(AE2221*(INDEX(v01_ElderRolePerSett,G2221)*v01_OutElder*INDEX(LM_Elder,G2221)+INDEX(v01_ShamanPerSett,G2221)*v01_OutShaman)+Z2221*(INDEX(v01_PriestShare,G2221)*v01_OutPriest+INDEX(v01_ScribeShare,G2221)*v01_OutScribe*INDEX(LM_Scribe,G2221)+INDEX(v01_ScholarShare,G2221)*v01_OutScholar*INDEX(LM_Scholar,G2221)+INDEX(v01_ResearcherShare,G2221)*v01_OutResearcher*INDEX(LM_Researcher,G2221)))</x:f>
        <x:v>0</x:v>
      </x:c>
      <x:c r="AL2221" s="32" t="n">
        <x:f>H2221*v01_RoleScale*Arch_Roles*AE2221*INDEX(v01_MonasteryPerSett,G2221)*v01_OutMonastery*INDEX(LM_Monastery,G2221)</x:f>
        <x:v>0</x:v>
      </x:c>
      <x:c r="AM2221" s="32" t="n">
        <x:f>(AJ2221+AK2221+AL2221)/4*INDEX(LM_All,G2221)*INDEX(v01_Boon,G2221)*Arch_Insight</x:f>
        <x:v>0</x:v>
      </x:c>
      <x:c r="AN2221" s="32" t="n">
        <x:f>H2221*(v01_KHPerAdult*Z2221+v01_KHOfCommons*AJ2221/4*INDEX(LM_All,G2221))*v01_KHUsable*Arch_KH</x:f>
        <x:v>0</x:v>
      </x:c>
      <x:c r="AO2221" s="32" t="n">
        <x:f>MIN(AP2220+AN2221,AM2221*v01_KHMaxRatio)</x:f>
        <x:v>0</x:v>
      </x:c>
      <x:c r="AP2221" s="32" t="n">
        <x:f>AP2220+AN2221-AO2221</x:f>
        <x:v>0</x:v>
      </x:c>
      <x:c r="AQ2221" s="32" t="n">
        <x:f>AM2221+AO2221</x:f>
        <x:v>0</x:v>
      </x:c>
      <x:c r="AR2221" s="10" t="n">
        <x:f>IF(H2221=1,INDEX(v01_Req,G2221),0)</x:f>
        <x:v>0</x:v>
      </x:c>
      <x:c r="AS2221" s="32" t="n">
        <x:f>IF(H2221=1,IF(E2221=1,AS2220-AR2220,AS2220)+AQ2221,0)</x:f>
        <x:v>0</x:v>
      </x:c>
      <x:c r="AT2221" s="11" t="n">
        <x:f>IF(AR2221&gt;0,MIN(1,AS2221/AR2221),1)</x:f>
        <x:v>1</x:v>
      </x:c>
      <x:c r="AU2221" s="10" t="n">
        <x:f>AB2221/INDEX(v01_RepScale,G2221)</x:f>
        <x:v>90.09519605746344</x:v>
      </x:c>
      <x:c r="AV2221" s="32" t="n">
        <x:f>AM2221*60/v01_SeasonSeconds</x:f>
        <x:v>0</x:v>
      </x:c>
    </x:row>
    <x:row r="2222">
      <x:c r="A2222" s="8" t="n">
        <x:f>A2221+1</x:f>
        <x:v>2219</x:v>
      </x:c>
      <x:c r="B2222" s="9" t="n">
        <x:f>A2222*v01_SeasonSeconds/60</x:f>
        <x:v>554.75</x:v>
      </x:c>
      <x:c r="C2222" s="9" t="n">
        <x:f>A2222/4</x:f>
        <x:v>554.75</x:v>
      </x:c>
      <x:c r="D2222" s="8" t="n">
        <x:f>IF(MOD(A2222,4)=0,1,0)</x:f>
        <x:v>0</x:v>
      </x:c>
      <x:c r="E2222" s="8" t="n">
        <x:f>IF(AND(F2221&lt;=9,AS2221&gt;=AR2221),1,0)</x:f>
        <x:v>0</x:v>
      </x:c>
      <x:c r="F2222" s="8" t="n">
        <x:f>MIN(10,F2221+E2222)</x:f>
        <x:v>10</x:v>
      </x:c>
      <x:c r="G2222" s="8" t="n">
        <x:f>MIN(F2222,9)+1</x:f>
        <x:v>10</x:v>
      </x:c>
      <x:c r="H2222" s="8" t="n">
        <x:f>IF(F2222&lt;=9,1,0)</x:f>
        <x:v>0</x:v>
      </x:c>
      <x:c r="I2222" s="9" t="n">
        <x:f>MIN(10,F2221+IF(AR2221&gt;0,MIN(1,AS2221/AR2221),1))</x:f>
        <x:v>10</x:v>
      </x:c>
      <x:c r="J2222" s="32" t="n">
        <x:f>INDEX(v01_FoodCap,G2222)*Arch_FoodCap*EXP(v01_CapsByProject*SUMPRODUCT((Cap_Point&lt;=I2222)*(Cap_Kind="Food")*Cap_Ln))</x:f>
        <x:v>12000</x:v>
      </x:c>
      <x:c r="K2222" s="32" t="n">
        <x:f>J2222*MIN(1,v01_LeanBase*EXP(v01_CapsByProject*SUMPRODUCT((Cap_Point&lt;=I2222)*(Cap_Kind="Lean")*Cap_Ln)))</x:f>
        <x:v>12000</x:v>
      </x:c>
      <x:c r="L2222" s="10" t="n">
        <x:f>INDEX(v01_HousingCap,G2222)*EXP(v01_CapsByProject*SUMPRODUCT((Cap_Point&lt;=I2222)*(Cap_Kind="Housing")*Cap_Ln))</x:f>
        <x:v>20000</x:v>
      </x:c>
      <x:c r="M2222" s="10" t="n">
        <x:f>INDEX(v01_GroupCap,G2222)*v01_CohesionFactor*EXP(v01_CapsByProject*SUMPRODUCT((Cap_Point&lt;=I2222)*(Cap_Kind="Group")*Cap_Ln))</x:f>
        <x:v>1000000</x:v>
      </x:c>
      <x:c r="N2222" s="32" t="n">
        <x:f>MIN(J2222,L2222,M2222)</x:f>
        <x:v>12000</x:v>
      </x:c>
      <x:c r="O2222" s="10" t="n">
        <x:f>AE2221*N2222</x:f>
        <x:v>180000</x:v>
      </x:c>
      <x:c r="P2222" s="9" t="n">
        <x:f>MIN(1,(AB2221/(AE2221*IF(v01_GroupInCrowding=1,N2222,MIN(J2222,L2222))))^v01_CrowdingExp)</x:f>
        <x:v>0.00024569414295285325</x:v>
      </x:c>
      <x:c r="Q2222" s="9" t="n">
        <x:f>IF(D2222=1,INDEX(v01_WinterMult,G2222),1)</x:f>
        <x:v>1</x:v>
      </x:c>
      <x:c r="R2222" s="9" t="n">
        <x:f>H2222*Z2221*v01_WomenShare*v01_BaseFertility*INDEX(v01_FertMult,G2222)*Arch_Fertility*(1-P2222)</x:f>
        <x:v>0</x:v>
      </x:c>
      <x:c r="S2222" s="9" t="n">
        <x:f>H2222*Y2221*INDEX(v01_MortChild,G2222)/4*Q2222</x:f>
        <x:v>0</x:v>
      </x:c>
      <x:c r="T2222" s="9" t="n">
        <x:f>H2222*Z2221*INDEX(v01_MortAdult,G2222)*Arch_AdultMort/4*Q2222</x:f>
        <x:v>0</x:v>
      </x:c>
      <x:c r="U2222" s="9" t="n">
        <x:f>H2222*AA2221*INDEX(v01_MortElder,G2222)/4*Q2222</x:f>
        <x:v>0</x:v>
      </x:c>
      <x:c r="V2222" s="9" t="n">
        <x:f>H2222*MAX(0,AB2221-O2222)*v01_OvercapLoss</x:f>
        <x:v>0</x:v>
      </x:c>
      <x:c r="W2222" s="9" t="n">
        <x:f>H2222*Y2221/(v01_ChildYears*4)</x:f>
        <x:v>0</x:v>
      </x:c>
      <x:c r="X2222" s="9" t="n">
        <x:f>H2222*Z2221/(v01_AdultYears*4)</x:f>
        <x:v>0</x:v>
      </x:c>
      <x:c r="Y2222" s="32" t="n">
        <x:f>Y2221+R2222-S2222-W2222-Y2221*V2222/AB2221</x:f>
        <x:v>14306.18539759397</x:v>
      </x:c>
      <x:c r="Z2222" s="32" t="n">
        <x:f>Z2221+W2222-X2222-T2222-Z2221*V2222/AB2221</x:f>
        <x:v>19354.456567879548</x:v>
      </x:c>
      <x:c r="AA2222" s="32" t="n">
        <x:f>AA2221+X2222-U2222-AA2221*V2222/AB2221</x:f>
        <x:v>11386.956063258198</x:v>
      </x:c>
      <x:c r="AB2222" s="10" t="n">
        <x:f>Y2222+Z2222+AA2222</x:f>
        <x:v>45047.59802873172</x:v>
      </x:c>
      <x:c r="AC2222" s="8" t="n">
        <x:f>IF(AND(v01_WinterTrigger=1,D2222=1,AB2221/AE2221&gt;=K2222),1,0)</x:f>
        <x:v>0</x:v>
      </x:c>
      <x:c r="AD2222" s="8" t="n">
        <x:f>H2222*IF(AND(OR(AB2221/AE2221&gt;=v01_FissionTrigger*N2222,AC2222=1),AB2221/AE2221*v01_DaughterShare&gt;=v01_MinDaughter),MAX(1,ROUND(AE2221*v01_FissionRate,0)),0)</x:f>
        <x:v>0</x:v>
      </x:c>
      <x:c r="AE2222" s="8" t="n">
        <x:f>IF(H2222=1,MAX(1,MIN(INDEX(v01_Smax,G2222),AE2221+AD2222)),AE2221)</x:f>
        <x:v>15</x:v>
      </x:c>
      <x:c r="AF2222" s="8" t="n">
        <x:f>MAX(0,AE2222-AE2221)</x:f>
        <x:v>0</x:v>
      </x:c>
      <x:c r="AG2222" s="9" t="str">
        <x:f>IF(AF2222&gt;0,B2222,"")</x:f>
      </x:c>
      <x:c r="AH2222" s="9" t="n">
        <x:f>IF(F2222&gt;=1,1,(1+v01_LowTiesShare*(AE2222-1))/AE2222)</x:f>
        <x:v>1</x:v>
      </x:c>
      <x:c r="AI2222" s="32" t="n">
        <x:f>(Z2222+v01_ElderCommons*INDEX(LM_Elder,G2222)*AA2222)*AH2222</x:f>
        <x:v>64139.732591141874</x:v>
      </x:c>
      <x:c r="AJ2222" s="32" t="n">
        <x:f>H2222*v01_CommonsCoef*AI2222^v01_CommonsExp*INDEX(LM_Commons,G2222)</x:f>
        <x:v>0</x:v>
      </x:c>
      <x:c r="AK2222" s="32" t="n">
        <x:f>H2222*v01_RoleScale*Arch_Roles*(AE2222*(INDEX(v01_ElderRolePerSett,G2222)*v01_OutElder*INDEX(LM_Elder,G2222)+INDEX(v01_ShamanPerSett,G2222)*v01_OutShaman)+Z2222*(INDEX(v01_PriestShare,G2222)*v01_OutPriest+INDEX(v01_ScribeShare,G2222)*v01_OutScribe*INDEX(LM_Scribe,G2222)+INDEX(v01_ScholarShare,G2222)*v01_OutScholar*INDEX(LM_Scholar,G2222)+INDEX(v01_ResearcherShare,G2222)*v01_OutResearcher*INDEX(LM_Researcher,G2222)))</x:f>
        <x:v>0</x:v>
      </x:c>
      <x:c r="AL2222" s="32" t="n">
        <x:f>H2222*v01_RoleScale*Arch_Roles*AE2222*INDEX(v01_MonasteryPerSett,G2222)*v01_OutMonastery*INDEX(LM_Monastery,G2222)</x:f>
        <x:v>0</x:v>
      </x:c>
      <x:c r="AM2222" s="32" t="n">
        <x:f>(AJ2222+AK2222+AL2222)/4*INDEX(LM_All,G2222)*INDEX(v01_Boon,G2222)*Arch_Insight</x:f>
        <x:v>0</x:v>
      </x:c>
      <x:c r="AN2222" s="32" t="n">
        <x:f>H2222*(v01_KHPerAdult*Z2222+v01_KHOfCommons*AJ2222/4*INDEX(LM_All,G2222))*v01_KHUsable*Arch_KH</x:f>
        <x:v>0</x:v>
      </x:c>
      <x:c r="AO2222" s="32" t="n">
        <x:f>MIN(AP2221+AN2222,AM2222*v01_KHMaxRatio)</x:f>
        <x:v>0</x:v>
      </x:c>
      <x:c r="AP2222" s="32" t="n">
        <x:f>AP2221+AN2222-AO2222</x:f>
        <x:v>0</x:v>
      </x:c>
      <x:c r="AQ2222" s="32" t="n">
        <x:f>AM2222+AO2222</x:f>
        <x:v>0</x:v>
      </x:c>
      <x:c r="AR2222" s="10" t="n">
        <x:f>IF(H2222=1,INDEX(v01_Req,G2222),0)</x:f>
        <x:v>0</x:v>
      </x:c>
      <x:c r="AS2222" s="32" t="n">
        <x:f>IF(H2222=1,IF(E2222=1,AS2221-AR2221,AS2221)+AQ2222,0)</x:f>
        <x:v>0</x:v>
      </x:c>
      <x:c r="AT2222" s="11" t="n">
        <x:f>IF(AR2222&gt;0,MIN(1,AS2222/AR2222),1)</x:f>
        <x:v>1</x:v>
      </x:c>
      <x:c r="AU2222" s="10" t="n">
        <x:f>AB2222/INDEX(v01_RepScale,G2222)</x:f>
        <x:v>90.09519605746344</x:v>
      </x:c>
      <x:c r="AV2222" s="32" t="n">
        <x:f>AM2222*60/v01_SeasonSeconds</x:f>
        <x:v>0</x:v>
      </x:c>
    </x:row>
    <x:row r="2223">
      <x:c r="A2223" s="8" t="n">
        <x:f>A2222+1</x:f>
        <x:v>2220</x:v>
      </x:c>
      <x:c r="B2223" s="9" t="n">
        <x:f>A2223*v01_SeasonSeconds/60</x:f>
        <x:v>555</x:v>
      </x:c>
      <x:c r="C2223" s="9" t="n">
        <x:f>A2223/4</x:f>
        <x:v>555</x:v>
      </x:c>
      <x:c r="D2223" s="8" t="n">
        <x:f>IF(MOD(A2223,4)=0,1,0)</x:f>
        <x:v>1</x:v>
      </x:c>
      <x:c r="E2223" s="8" t="n">
        <x:f>IF(AND(F2222&lt;=9,AS2222&gt;=AR2222),1,0)</x:f>
        <x:v>0</x:v>
      </x:c>
      <x:c r="F2223" s="8" t="n">
        <x:f>MIN(10,F2222+E2223)</x:f>
        <x:v>10</x:v>
      </x:c>
      <x:c r="G2223" s="8" t="n">
        <x:f>MIN(F2223,9)+1</x:f>
        <x:v>10</x:v>
      </x:c>
      <x:c r="H2223" s="8" t="n">
        <x:f>IF(F2223&lt;=9,1,0)</x:f>
        <x:v>0</x:v>
      </x:c>
      <x:c r="I2223" s="9" t="n">
        <x:f>MIN(10,F2222+IF(AR2222&gt;0,MIN(1,AS2222/AR2222),1))</x:f>
        <x:v>10</x:v>
      </x:c>
      <x:c r="J2223" s="32" t="n">
        <x:f>INDEX(v01_FoodCap,G2223)*Arch_FoodCap*EXP(v01_CapsByProject*SUMPRODUCT((Cap_Point&lt;=I2223)*(Cap_Kind="Food")*Cap_Ln))</x:f>
        <x:v>12000</x:v>
      </x:c>
      <x:c r="K2223" s="32" t="n">
        <x:f>J2223*MIN(1,v01_LeanBase*EXP(v01_CapsByProject*SUMPRODUCT((Cap_Point&lt;=I2223)*(Cap_Kind="Lean")*Cap_Ln)))</x:f>
        <x:v>12000</x:v>
      </x:c>
      <x:c r="L2223" s="10" t="n">
        <x:f>INDEX(v01_HousingCap,G2223)*EXP(v01_CapsByProject*SUMPRODUCT((Cap_Point&lt;=I2223)*(Cap_Kind="Housing")*Cap_Ln))</x:f>
        <x:v>20000</x:v>
      </x:c>
      <x:c r="M2223" s="10" t="n">
        <x:f>INDEX(v01_GroupCap,G2223)*v01_CohesionFactor*EXP(v01_CapsByProject*SUMPRODUCT((Cap_Point&lt;=I2223)*(Cap_Kind="Group")*Cap_Ln))</x:f>
        <x:v>1000000</x:v>
      </x:c>
      <x:c r="N2223" s="32" t="n">
        <x:f>MIN(J2223,L2223,M2223)</x:f>
        <x:v>12000</x:v>
      </x:c>
      <x:c r="O2223" s="10" t="n">
        <x:f>AE2222*N2223</x:f>
        <x:v>180000</x:v>
      </x:c>
      <x:c r="P2223" s="9" t="n">
        <x:f>MIN(1,(AB2222/(AE2222*IF(v01_GroupInCrowding=1,N2223,MIN(J2223,L2223))))^v01_CrowdingExp)</x:f>
        <x:v>0.00024569414295285325</x:v>
      </x:c>
      <x:c r="Q2223" s="9" t="n">
        <x:f>IF(D2223=1,INDEX(v01_WinterMult,G2223),1)</x:f>
        <x:v>1</x:v>
      </x:c>
      <x:c r="R2223" s="9" t="n">
        <x:f>H2223*Z2222*v01_WomenShare*v01_BaseFertility*INDEX(v01_FertMult,G2223)*Arch_Fertility*(1-P2223)</x:f>
        <x:v>0</x:v>
      </x:c>
      <x:c r="S2223" s="9" t="n">
        <x:f>H2223*Y2222*INDEX(v01_MortChild,G2223)/4*Q2223</x:f>
        <x:v>0</x:v>
      </x:c>
      <x:c r="T2223" s="9" t="n">
        <x:f>H2223*Z2222*INDEX(v01_MortAdult,G2223)*Arch_AdultMort/4*Q2223</x:f>
        <x:v>0</x:v>
      </x:c>
      <x:c r="U2223" s="9" t="n">
        <x:f>H2223*AA2222*INDEX(v01_MortElder,G2223)/4*Q2223</x:f>
        <x:v>0</x:v>
      </x:c>
      <x:c r="V2223" s="9" t="n">
        <x:f>H2223*MAX(0,AB2222-O2223)*v01_OvercapLoss</x:f>
        <x:v>0</x:v>
      </x:c>
      <x:c r="W2223" s="9" t="n">
        <x:f>H2223*Y2222/(v01_ChildYears*4)</x:f>
        <x:v>0</x:v>
      </x:c>
      <x:c r="X2223" s="9" t="n">
        <x:f>H2223*Z2222/(v01_AdultYears*4)</x:f>
        <x:v>0</x:v>
      </x:c>
      <x:c r="Y2223" s="32" t="n">
        <x:f>Y2222+R2223-S2223-W2223-Y2222*V2223/AB2222</x:f>
        <x:v>14306.18539759397</x:v>
      </x:c>
      <x:c r="Z2223" s="32" t="n">
        <x:f>Z2222+W2223-X2223-T2223-Z2222*V2223/AB2222</x:f>
        <x:v>19354.456567879548</x:v>
      </x:c>
      <x:c r="AA2223" s="32" t="n">
        <x:f>AA2222+X2223-U2223-AA2222*V2223/AB2222</x:f>
        <x:v>11386.956063258198</x:v>
      </x:c>
      <x:c r="AB2223" s="10" t="n">
        <x:f>Y2223+Z2223+AA2223</x:f>
        <x:v>45047.59802873172</x:v>
      </x:c>
      <x:c r="AC2223" s="8" t="n">
        <x:f>IF(AND(v01_WinterTrigger=1,D2223=1,AB2222/AE2222&gt;=K2223),1,0)</x:f>
        <x:v>0</x:v>
      </x:c>
      <x:c r="AD2223" s="8" t="n">
        <x:f>H2223*IF(AND(OR(AB2222/AE2222&gt;=v01_FissionTrigger*N2223,AC2223=1),AB2222/AE2222*v01_DaughterShare&gt;=v01_MinDaughter),MAX(1,ROUND(AE2222*v01_FissionRate,0)),0)</x:f>
        <x:v>0</x:v>
      </x:c>
      <x:c r="AE2223" s="8" t="n">
        <x:f>IF(H2223=1,MAX(1,MIN(INDEX(v01_Smax,G2223),AE2222+AD2223)),AE2222)</x:f>
        <x:v>15</x:v>
      </x:c>
      <x:c r="AF2223" s="8" t="n">
        <x:f>MAX(0,AE2223-AE2222)</x:f>
        <x:v>0</x:v>
      </x:c>
      <x:c r="AG2223" s="9" t="str">
        <x:f>IF(AF2223&gt;0,B2223,"")</x:f>
      </x:c>
      <x:c r="AH2223" s="9" t="n">
        <x:f>IF(F2223&gt;=1,1,(1+v01_LowTiesShare*(AE2223-1))/AE2223)</x:f>
        <x:v>1</x:v>
      </x:c>
      <x:c r="AI2223" s="32" t="n">
        <x:f>(Z2223+v01_ElderCommons*INDEX(LM_Elder,G2223)*AA2223)*AH2223</x:f>
        <x:v>64139.732591141874</x:v>
      </x:c>
      <x:c r="AJ2223" s="32" t="n">
        <x:f>H2223*v01_CommonsCoef*AI2223^v01_CommonsExp*INDEX(LM_Commons,G2223)</x:f>
        <x:v>0</x:v>
      </x:c>
      <x:c r="AK2223" s="32" t="n">
        <x:f>H2223*v01_RoleScale*Arch_Roles*(AE2223*(INDEX(v01_ElderRolePerSett,G2223)*v01_OutElder*INDEX(LM_Elder,G2223)+INDEX(v01_ShamanPerSett,G2223)*v01_OutShaman)+Z2223*(INDEX(v01_PriestShare,G2223)*v01_OutPriest+INDEX(v01_ScribeShare,G2223)*v01_OutScribe*INDEX(LM_Scribe,G2223)+INDEX(v01_ScholarShare,G2223)*v01_OutScholar*INDEX(LM_Scholar,G2223)+INDEX(v01_ResearcherShare,G2223)*v01_OutResearcher*INDEX(LM_Researcher,G2223)))</x:f>
        <x:v>0</x:v>
      </x:c>
      <x:c r="AL2223" s="32" t="n">
        <x:f>H2223*v01_RoleScale*Arch_Roles*AE2223*INDEX(v01_MonasteryPerSett,G2223)*v01_OutMonastery*INDEX(LM_Monastery,G2223)</x:f>
        <x:v>0</x:v>
      </x:c>
      <x:c r="AM2223" s="32" t="n">
        <x:f>(AJ2223+AK2223+AL2223)/4*INDEX(LM_All,G2223)*INDEX(v01_Boon,G2223)*Arch_Insight</x:f>
        <x:v>0</x:v>
      </x:c>
      <x:c r="AN2223" s="32" t="n">
        <x:f>H2223*(v01_KHPerAdult*Z2223+v01_KHOfCommons*AJ2223/4*INDEX(LM_All,G2223))*v01_KHUsable*Arch_KH</x:f>
        <x:v>0</x:v>
      </x:c>
      <x:c r="AO2223" s="32" t="n">
        <x:f>MIN(AP2222+AN2223,AM2223*v01_KHMaxRatio)</x:f>
        <x:v>0</x:v>
      </x:c>
      <x:c r="AP2223" s="32" t="n">
        <x:f>AP2222+AN2223-AO2223</x:f>
        <x:v>0</x:v>
      </x:c>
      <x:c r="AQ2223" s="32" t="n">
        <x:f>AM2223+AO2223</x:f>
        <x:v>0</x:v>
      </x:c>
      <x:c r="AR2223" s="10" t="n">
        <x:f>IF(H2223=1,INDEX(v01_Req,G2223),0)</x:f>
        <x:v>0</x:v>
      </x:c>
      <x:c r="AS2223" s="32" t="n">
        <x:f>IF(H2223=1,IF(E2223=1,AS2222-AR2222,AS2222)+AQ2223,0)</x:f>
        <x:v>0</x:v>
      </x:c>
      <x:c r="AT2223" s="11" t="n">
        <x:f>IF(AR2223&gt;0,MIN(1,AS2223/AR2223),1)</x:f>
        <x:v>1</x:v>
      </x:c>
      <x:c r="AU2223" s="10" t="n">
        <x:f>AB2223/INDEX(v01_RepScale,G2223)</x:f>
        <x:v>90.09519605746344</x:v>
      </x:c>
      <x:c r="AV2223" s="32" t="n">
        <x:f>AM2223*60/v01_SeasonSeconds</x:f>
        <x:v>0</x:v>
      </x:c>
    </x:row>
    <x:row r="2224">
      <x:c r="A2224" s="8" t="n">
        <x:f>A2223+1</x:f>
        <x:v>2221</x:v>
      </x:c>
      <x:c r="B2224" s="9" t="n">
        <x:f>A2224*v01_SeasonSeconds/60</x:f>
        <x:v>555.25</x:v>
      </x:c>
      <x:c r="C2224" s="9" t="n">
        <x:f>A2224/4</x:f>
        <x:v>555.25</x:v>
      </x:c>
      <x:c r="D2224" s="8" t="n">
        <x:f>IF(MOD(A2224,4)=0,1,0)</x:f>
        <x:v>0</x:v>
      </x:c>
      <x:c r="E2224" s="8" t="n">
        <x:f>IF(AND(F2223&lt;=9,AS2223&gt;=AR2223),1,0)</x:f>
        <x:v>0</x:v>
      </x:c>
      <x:c r="F2224" s="8" t="n">
        <x:f>MIN(10,F2223+E2224)</x:f>
        <x:v>10</x:v>
      </x:c>
      <x:c r="G2224" s="8" t="n">
        <x:f>MIN(F2224,9)+1</x:f>
        <x:v>10</x:v>
      </x:c>
      <x:c r="H2224" s="8" t="n">
        <x:f>IF(F2224&lt;=9,1,0)</x:f>
        <x:v>0</x:v>
      </x:c>
      <x:c r="I2224" s="9" t="n">
        <x:f>MIN(10,F2223+IF(AR2223&gt;0,MIN(1,AS2223/AR2223),1))</x:f>
        <x:v>10</x:v>
      </x:c>
      <x:c r="J2224" s="32" t="n">
        <x:f>INDEX(v01_FoodCap,G2224)*Arch_FoodCap*EXP(v01_CapsByProject*SUMPRODUCT((Cap_Point&lt;=I2224)*(Cap_Kind="Food")*Cap_Ln))</x:f>
        <x:v>12000</x:v>
      </x:c>
      <x:c r="K2224" s="32" t="n">
        <x:f>J2224*MIN(1,v01_LeanBase*EXP(v01_CapsByProject*SUMPRODUCT((Cap_Point&lt;=I2224)*(Cap_Kind="Lean")*Cap_Ln)))</x:f>
        <x:v>12000</x:v>
      </x:c>
      <x:c r="L2224" s="10" t="n">
        <x:f>INDEX(v01_HousingCap,G2224)*EXP(v01_CapsByProject*SUMPRODUCT((Cap_Point&lt;=I2224)*(Cap_Kind="Housing")*Cap_Ln))</x:f>
        <x:v>20000</x:v>
      </x:c>
      <x:c r="M2224" s="10" t="n">
        <x:f>INDEX(v01_GroupCap,G2224)*v01_CohesionFactor*EXP(v01_CapsByProject*SUMPRODUCT((Cap_Point&lt;=I2224)*(Cap_Kind="Group")*Cap_Ln))</x:f>
        <x:v>1000000</x:v>
      </x:c>
      <x:c r="N2224" s="32" t="n">
        <x:f>MIN(J2224,L2224,M2224)</x:f>
        <x:v>12000</x:v>
      </x:c>
      <x:c r="O2224" s="10" t="n">
        <x:f>AE2223*N2224</x:f>
        <x:v>180000</x:v>
      </x:c>
      <x:c r="P2224" s="9" t="n">
        <x:f>MIN(1,(AB2223/(AE2223*IF(v01_GroupInCrowding=1,N2224,MIN(J2224,L2224))))^v01_CrowdingExp)</x:f>
        <x:v>0.00024569414295285325</x:v>
      </x:c>
      <x:c r="Q2224" s="9" t="n">
        <x:f>IF(D2224=1,INDEX(v01_WinterMult,G2224),1)</x:f>
        <x:v>1</x:v>
      </x:c>
      <x:c r="R2224" s="9" t="n">
        <x:f>H2224*Z2223*v01_WomenShare*v01_BaseFertility*INDEX(v01_FertMult,G2224)*Arch_Fertility*(1-P2224)</x:f>
        <x:v>0</x:v>
      </x:c>
      <x:c r="S2224" s="9" t="n">
        <x:f>H2224*Y2223*INDEX(v01_MortChild,G2224)/4*Q2224</x:f>
        <x:v>0</x:v>
      </x:c>
      <x:c r="T2224" s="9" t="n">
        <x:f>H2224*Z2223*INDEX(v01_MortAdult,G2224)*Arch_AdultMort/4*Q2224</x:f>
        <x:v>0</x:v>
      </x:c>
      <x:c r="U2224" s="9" t="n">
        <x:f>H2224*AA2223*INDEX(v01_MortElder,G2224)/4*Q2224</x:f>
        <x:v>0</x:v>
      </x:c>
      <x:c r="V2224" s="9" t="n">
        <x:f>H2224*MAX(0,AB2223-O2224)*v01_OvercapLoss</x:f>
        <x:v>0</x:v>
      </x:c>
      <x:c r="W2224" s="9" t="n">
        <x:f>H2224*Y2223/(v01_ChildYears*4)</x:f>
        <x:v>0</x:v>
      </x:c>
      <x:c r="X2224" s="9" t="n">
        <x:f>H2224*Z2223/(v01_AdultYears*4)</x:f>
        <x:v>0</x:v>
      </x:c>
      <x:c r="Y2224" s="32" t="n">
        <x:f>Y2223+R2224-S2224-W2224-Y2223*V2224/AB2223</x:f>
        <x:v>14306.18539759397</x:v>
      </x:c>
      <x:c r="Z2224" s="32" t="n">
        <x:f>Z2223+W2224-X2224-T2224-Z2223*V2224/AB2223</x:f>
        <x:v>19354.456567879548</x:v>
      </x:c>
      <x:c r="AA2224" s="32" t="n">
        <x:f>AA2223+X2224-U2224-AA2223*V2224/AB2223</x:f>
        <x:v>11386.956063258198</x:v>
      </x:c>
      <x:c r="AB2224" s="10" t="n">
        <x:f>Y2224+Z2224+AA2224</x:f>
        <x:v>45047.59802873172</x:v>
      </x:c>
      <x:c r="AC2224" s="8" t="n">
        <x:f>IF(AND(v01_WinterTrigger=1,D2224=1,AB2223/AE2223&gt;=K2224),1,0)</x:f>
        <x:v>0</x:v>
      </x:c>
      <x:c r="AD2224" s="8" t="n">
        <x:f>H2224*IF(AND(OR(AB2223/AE2223&gt;=v01_FissionTrigger*N2224,AC2224=1),AB2223/AE2223*v01_DaughterShare&gt;=v01_MinDaughter),MAX(1,ROUND(AE2223*v01_FissionRate,0)),0)</x:f>
        <x:v>0</x:v>
      </x:c>
      <x:c r="AE2224" s="8" t="n">
        <x:f>IF(H2224=1,MAX(1,MIN(INDEX(v01_Smax,G2224),AE2223+AD2224)),AE2223)</x:f>
        <x:v>15</x:v>
      </x:c>
      <x:c r="AF2224" s="8" t="n">
        <x:f>MAX(0,AE2224-AE2223)</x:f>
        <x:v>0</x:v>
      </x:c>
      <x:c r="AG2224" s="9" t="str">
        <x:f>IF(AF2224&gt;0,B2224,"")</x:f>
      </x:c>
      <x:c r="AH2224" s="9" t="n">
        <x:f>IF(F2224&gt;=1,1,(1+v01_LowTiesShare*(AE2224-1))/AE2224)</x:f>
        <x:v>1</x:v>
      </x:c>
      <x:c r="AI2224" s="32" t="n">
        <x:f>(Z2224+v01_ElderCommons*INDEX(LM_Elder,G2224)*AA2224)*AH2224</x:f>
        <x:v>64139.732591141874</x:v>
      </x:c>
      <x:c r="AJ2224" s="32" t="n">
        <x:f>H2224*v01_CommonsCoef*AI2224^v01_CommonsExp*INDEX(LM_Commons,G2224)</x:f>
        <x:v>0</x:v>
      </x:c>
      <x:c r="AK2224" s="32" t="n">
        <x:f>H2224*v01_RoleScale*Arch_Roles*(AE2224*(INDEX(v01_ElderRolePerSett,G2224)*v01_OutElder*INDEX(LM_Elder,G2224)+INDEX(v01_ShamanPerSett,G2224)*v01_OutShaman)+Z2224*(INDEX(v01_PriestShare,G2224)*v01_OutPriest+INDEX(v01_ScribeShare,G2224)*v01_OutScribe*INDEX(LM_Scribe,G2224)+INDEX(v01_ScholarShare,G2224)*v01_OutScholar*INDEX(LM_Scholar,G2224)+INDEX(v01_ResearcherShare,G2224)*v01_OutResearcher*INDEX(LM_Researcher,G2224)))</x:f>
        <x:v>0</x:v>
      </x:c>
      <x:c r="AL2224" s="32" t="n">
        <x:f>H2224*v01_RoleScale*Arch_Roles*AE2224*INDEX(v01_MonasteryPerSett,G2224)*v01_OutMonastery*INDEX(LM_Monastery,G2224)</x:f>
        <x:v>0</x:v>
      </x:c>
      <x:c r="AM2224" s="32" t="n">
        <x:f>(AJ2224+AK2224+AL2224)/4*INDEX(LM_All,G2224)*INDEX(v01_Boon,G2224)*Arch_Insight</x:f>
        <x:v>0</x:v>
      </x:c>
      <x:c r="AN2224" s="32" t="n">
        <x:f>H2224*(v01_KHPerAdult*Z2224+v01_KHOfCommons*AJ2224/4*INDEX(LM_All,G2224))*v01_KHUsable*Arch_KH</x:f>
        <x:v>0</x:v>
      </x:c>
      <x:c r="AO2224" s="32" t="n">
        <x:f>MIN(AP2223+AN2224,AM2224*v01_KHMaxRatio)</x:f>
        <x:v>0</x:v>
      </x:c>
      <x:c r="AP2224" s="32" t="n">
        <x:f>AP2223+AN2224-AO2224</x:f>
        <x:v>0</x:v>
      </x:c>
      <x:c r="AQ2224" s="32" t="n">
        <x:f>AM2224+AO2224</x:f>
        <x:v>0</x:v>
      </x:c>
      <x:c r="AR2224" s="10" t="n">
        <x:f>IF(H2224=1,INDEX(v01_Req,G2224),0)</x:f>
        <x:v>0</x:v>
      </x:c>
      <x:c r="AS2224" s="32" t="n">
        <x:f>IF(H2224=1,IF(E2224=1,AS2223-AR2223,AS2223)+AQ2224,0)</x:f>
        <x:v>0</x:v>
      </x:c>
      <x:c r="AT2224" s="11" t="n">
        <x:f>IF(AR2224&gt;0,MIN(1,AS2224/AR2224),1)</x:f>
        <x:v>1</x:v>
      </x:c>
      <x:c r="AU2224" s="10" t="n">
        <x:f>AB2224/INDEX(v01_RepScale,G2224)</x:f>
        <x:v>90.09519605746344</x:v>
      </x:c>
      <x:c r="AV2224" s="32" t="n">
        <x:f>AM2224*60/v01_SeasonSeconds</x:f>
        <x:v>0</x:v>
      </x:c>
    </x:row>
    <x:row r="2225">
      <x:c r="A2225" s="8" t="n">
        <x:f>A2224+1</x:f>
        <x:v>2222</x:v>
      </x:c>
      <x:c r="B2225" s="9" t="n">
        <x:f>A2225*v01_SeasonSeconds/60</x:f>
        <x:v>555.5</x:v>
      </x:c>
      <x:c r="C2225" s="9" t="n">
        <x:f>A2225/4</x:f>
        <x:v>555.5</x:v>
      </x:c>
      <x:c r="D2225" s="8" t="n">
        <x:f>IF(MOD(A2225,4)=0,1,0)</x:f>
        <x:v>0</x:v>
      </x:c>
      <x:c r="E2225" s="8" t="n">
        <x:f>IF(AND(F2224&lt;=9,AS2224&gt;=AR2224),1,0)</x:f>
        <x:v>0</x:v>
      </x:c>
      <x:c r="F2225" s="8" t="n">
        <x:f>MIN(10,F2224+E2225)</x:f>
        <x:v>10</x:v>
      </x:c>
      <x:c r="G2225" s="8" t="n">
        <x:f>MIN(F2225,9)+1</x:f>
        <x:v>10</x:v>
      </x:c>
      <x:c r="H2225" s="8" t="n">
        <x:f>IF(F2225&lt;=9,1,0)</x:f>
        <x:v>0</x:v>
      </x:c>
      <x:c r="I2225" s="9" t="n">
        <x:f>MIN(10,F2224+IF(AR2224&gt;0,MIN(1,AS2224/AR2224),1))</x:f>
        <x:v>10</x:v>
      </x:c>
      <x:c r="J2225" s="32" t="n">
        <x:f>INDEX(v01_FoodCap,G2225)*Arch_FoodCap*EXP(v01_CapsByProject*SUMPRODUCT((Cap_Point&lt;=I2225)*(Cap_Kind="Food")*Cap_Ln))</x:f>
        <x:v>12000</x:v>
      </x:c>
      <x:c r="K2225" s="32" t="n">
        <x:f>J2225*MIN(1,v01_LeanBase*EXP(v01_CapsByProject*SUMPRODUCT((Cap_Point&lt;=I2225)*(Cap_Kind="Lean")*Cap_Ln)))</x:f>
        <x:v>12000</x:v>
      </x:c>
      <x:c r="L2225" s="10" t="n">
        <x:f>INDEX(v01_HousingCap,G2225)*EXP(v01_CapsByProject*SUMPRODUCT((Cap_Point&lt;=I2225)*(Cap_Kind="Housing")*Cap_Ln))</x:f>
        <x:v>20000</x:v>
      </x:c>
      <x:c r="M2225" s="10" t="n">
        <x:f>INDEX(v01_GroupCap,G2225)*v01_CohesionFactor*EXP(v01_CapsByProject*SUMPRODUCT((Cap_Point&lt;=I2225)*(Cap_Kind="Group")*Cap_Ln))</x:f>
        <x:v>1000000</x:v>
      </x:c>
      <x:c r="N2225" s="32" t="n">
        <x:f>MIN(J2225,L2225,M2225)</x:f>
        <x:v>12000</x:v>
      </x:c>
      <x:c r="O2225" s="10" t="n">
        <x:f>AE2224*N2225</x:f>
        <x:v>180000</x:v>
      </x:c>
      <x:c r="P2225" s="9" t="n">
        <x:f>MIN(1,(AB2224/(AE2224*IF(v01_GroupInCrowding=1,N2225,MIN(J2225,L2225))))^v01_CrowdingExp)</x:f>
        <x:v>0.00024569414295285325</x:v>
      </x:c>
      <x:c r="Q2225" s="9" t="n">
        <x:f>IF(D2225=1,INDEX(v01_WinterMult,G2225),1)</x:f>
        <x:v>1</x:v>
      </x:c>
      <x:c r="R2225" s="9" t="n">
        <x:f>H2225*Z2224*v01_WomenShare*v01_BaseFertility*INDEX(v01_FertMult,G2225)*Arch_Fertility*(1-P2225)</x:f>
        <x:v>0</x:v>
      </x:c>
      <x:c r="S2225" s="9" t="n">
        <x:f>H2225*Y2224*INDEX(v01_MortChild,G2225)/4*Q2225</x:f>
        <x:v>0</x:v>
      </x:c>
      <x:c r="T2225" s="9" t="n">
        <x:f>H2225*Z2224*INDEX(v01_MortAdult,G2225)*Arch_AdultMort/4*Q2225</x:f>
        <x:v>0</x:v>
      </x:c>
      <x:c r="U2225" s="9" t="n">
        <x:f>H2225*AA2224*INDEX(v01_MortElder,G2225)/4*Q2225</x:f>
        <x:v>0</x:v>
      </x:c>
      <x:c r="V2225" s="9" t="n">
        <x:f>H2225*MAX(0,AB2224-O2225)*v01_OvercapLoss</x:f>
        <x:v>0</x:v>
      </x:c>
      <x:c r="W2225" s="9" t="n">
        <x:f>H2225*Y2224/(v01_ChildYears*4)</x:f>
        <x:v>0</x:v>
      </x:c>
      <x:c r="X2225" s="9" t="n">
        <x:f>H2225*Z2224/(v01_AdultYears*4)</x:f>
        <x:v>0</x:v>
      </x:c>
      <x:c r="Y2225" s="32" t="n">
        <x:f>Y2224+R2225-S2225-W2225-Y2224*V2225/AB2224</x:f>
        <x:v>14306.18539759397</x:v>
      </x:c>
      <x:c r="Z2225" s="32" t="n">
        <x:f>Z2224+W2225-X2225-T2225-Z2224*V2225/AB2224</x:f>
        <x:v>19354.456567879548</x:v>
      </x:c>
      <x:c r="AA2225" s="32" t="n">
        <x:f>AA2224+X2225-U2225-AA2224*V2225/AB2224</x:f>
        <x:v>11386.956063258198</x:v>
      </x:c>
      <x:c r="AB2225" s="10" t="n">
        <x:f>Y2225+Z2225+AA2225</x:f>
        <x:v>45047.59802873172</x:v>
      </x:c>
      <x:c r="AC2225" s="8" t="n">
        <x:f>IF(AND(v01_WinterTrigger=1,D2225=1,AB2224/AE2224&gt;=K2225),1,0)</x:f>
        <x:v>0</x:v>
      </x:c>
      <x:c r="AD2225" s="8" t="n">
        <x:f>H2225*IF(AND(OR(AB2224/AE2224&gt;=v01_FissionTrigger*N2225,AC2225=1),AB2224/AE2224*v01_DaughterShare&gt;=v01_MinDaughter),MAX(1,ROUND(AE2224*v01_FissionRate,0)),0)</x:f>
        <x:v>0</x:v>
      </x:c>
      <x:c r="AE2225" s="8" t="n">
        <x:f>IF(H2225=1,MAX(1,MIN(INDEX(v01_Smax,G2225),AE2224+AD2225)),AE2224)</x:f>
        <x:v>15</x:v>
      </x:c>
      <x:c r="AF2225" s="8" t="n">
        <x:f>MAX(0,AE2225-AE2224)</x:f>
        <x:v>0</x:v>
      </x:c>
      <x:c r="AG2225" s="9" t="str">
        <x:f>IF(AF2225&gt;0,B2225,"")</x:f>
      </x:c>
      <x:c r="AH2225" s="9" t="n">
        <x:f>IF(F2225&gt;=1,1,(1+v01_LowTiesShare*(AE2225-1))/AE2225)</x:f>
        <x:v>1</x:v>
      </x:c>
      <x:c r="AI2225" s="32" t="n">
        <x:f>(Z2225+v01_ElderCommons*INDEX(LM_Elder,G2225)*AA2225)*AH2225</x:f>
        <x:v>64139.732591141874</x:v>
      </x:c>
      <x:c r="AJ2225" s="32" t="n">
        <x:f>H2225*v01_CommonsCoef*AI2225^v01_CommonsExp*INDEX(LM_Commons,G2225)</x:f>
        <x:v>0</x:v>
      </x:c>
      <x:c r="AK2225" s="32" t="n">
        <x:f>H2225*v01_RoleScale*Arch_Roles*(AE2225*(INDEX(v01_ElderRolePerSett,G2225)*v01_OutElder*INDEX(LM_Elder,G2225)+INDEX(v01_ShamanPerSett,G2225)*v01_OutShaman)+Z2225*(INDEX(v01_PriestShare,G2225)*v01_OutPriest+INDEX(v01_ScribeShare,G2225)*v01_OutScribe*INDEX(LM_Scribe,G2225)+INDEX(v01_ScholarShare,G2225)*v01_OutScholar*INDEX(LM_Scholar,G2225)+INDEX(v01_ResearcherShare,G2225)*v01_OutResearcher*INDEX(LM_Researcher,G2225)))</x:f>
        <x:v>0</x:v>
      </x:c>
      <x:c r="AL2225" s="32" t="n">
        <x:f>H2225*v01_RoleScale*Arch_Roles*AE2225*INDEX(v01_MonasteryPerSett,G2225)*v01_OutMonastery*INDEX(LM_Monastery,G2225)</x:f>
        <x:v>0</x:v>
      </x:c>
      <x:c r="AM2225" s="32" t="n">
        <x:f>(AJ2225+AK2225+AL2225)/4*INDEX(LM_All,G2225)*INDEX(v01_Boon,G2225)*Arch_Insight</x:f>
        <x:v>0</x:v>
      </x:c>
      <x:c r="AN2225" s="32" t="n">
        <x:f>H2225*(v01_KHPerAdult*Z2225+v01_KHOfCommons*AJ2225/4*INDEX(LM_All,G2225))*v01_KHUsable*Arch_KH</x:f>
        <x:v>0</x:v>
      </x:c>
      <x:c r="AO2225" s="32" t="n">
        <x:f>MIN(AP2224+AN2225,AM2225*v01_KHMaxRatio)</x:f>
        <x:v>0</x:v>
      </x:c>
      <x:c r="AP2225" s="32" t="n">
        <x:f>AP2224+AN2225-AO2225</x:f>
        <x:v>0</x:v>
      </x:c>
      <x:c r="AQ2225" s="32" t="n">
        <x:f>AM2225+AO2225</x:f>
        <x:v>0</x:v>
      </x:c>
      <x:c r="AR2225" s="10" t="n">
        <x:f>IF(H2225=1,INDEX(v01_Req,G2225),0)</x:f>
        <x:v>0</x:v>
      </x:c>
      <x:c r="AS2225" s="32" t="n">
        <x:f>IF(H2225=1,IF(E2225=1,AS2224-AR2224,AS2224)+AQ2225,0)</x:f>
        <x:v>0</x:v>
      </x:c>
      <x:c r="AT2225" s="11" t="n">
        <x:f>IF(AR2225&gt;0,MIN(1,AS2225/AR2225),1)</x:f>
        <x:v>1</x:v>
      </x:c>
      <x:c r="AU2225" s="10" t="n">
        <x:f>AB2225/INDEX(v01_RepScale,G2225)</x:f>
        <x:v>90.09519605746344</x:v>
      </x:c>
      <x:c r="AV2225" s="32" t="n">
        <x:f>AM2225*60/v01_SeasonSeconds</x:f>
        <x:v>0</x:v>
      </x:c>
    </x:row>
    <x:row r="2226">
      <x:c r="A2226" s="8" t="n">
        <x:f>A2225+1</x:f>
        <x:v>2223</x:v>
      </x:c>
      <x:c r="B2226" s="9" t="n">
        <x:f>A2226*v01_SeasonSeconds/60</x:f>
        <x:v>555.75</x:v>
      </x:c>
      <x:c r="C2226" s="9" t="n">
        <x:f>A2226/4</x:f>
        <x:v>555.75</x:v>
      </x:c>
      <x:c r="D2226" s="8" t="n">
        <x:f>IF(MOD(A2226,4)=0,1,0)</x:f>
        <x:v>0</x:v>
      </x:c>
      <x:c r="E2226" s="8" t="n">
        <x:f>IF(AND(F2225&lt;=9,AS2225&gt;=AR2225),1,0)</x:f>
        <x:v>0</x:v>
      </x:c>
      <x:c r="F2226" s="8" t="n">
        <x:f>MIN(10,F2225+E2226)</x:f>
        <x:v>10</x:v>
      </x:c>
      <x:c r="G2226" s="8" t="n">
        <x:f>MIN(F2226,9)+1</x:f>
        <x:v>10</x:v>
      </x:c>
      <x:c r="H2226" s="8" t="n">
        <x:f>IF(F2226&lt;=9,1,0)</x:f>
        <x:v>0</x:v>
      </x:c>
      <x:c r="I2226" s="9" t="n">
        <x:f>MIN(10,F2225+IF(AR2225&gt;0,MIN(1,AS2225/AR2225),1))</x:f>
        <x:v>10</x:v>
      </x:c>
      <x:c r="J2226" s="32" t="n">
        <x:f>INDEX(v01_FoodCap,G2226)*Arch_FoodCap*EXP(v01_CapsByProject*SUMPRODUCT((Cap_Point&lt;=I2226)*(Cap_Kind="Food")*Cap_Ln))</x:f>
        <x:v>12000</x:v>
      </x:c>
      <x:c r="K2226" s="32" t="n">
        <x:f>J2226*MIN(1,v01_LeanBase*EXP(v01_CapsByProject*SUMPRODUCT((Cap_Point&lt;=I2226)*(Cap_Kind="Lean")*Cap_Ln)))</x:f>
        <x:v>12000</x:v>
      </x:c>
      <x:c r="L2226" s="10" t="n">
        <x:f>INDEX(v01_HousingCap,G2226)*EXP(v01_CapsByProject*SUMPRODUCT((Cap_Point&lt;=I2226)*(Cap_Kind="Housing")*Cap_Ln))</x:f>
        <x:v>20000</x:v>
      </x:c>
      <x:c r="M2226" s="10" t="n">
        <x:f>INDEX(v01_GroupCap,G2226)*v01_CohesionFactor*EXP(v01_CapsByProject*SUMPRODUCT((Cap_Point&lt;=I2226)*(Cap_Kind="Group")*Cap_Ln))</x:f>
        <x:v>1000000</x:v>
      </x:c>
      <x:c r="N2226" s="32" t="n">
        <x:f>MIN(J2226,L2226,M2226)</x:f>
        <x:v>12000</x:v>
      </x:c>
      <x:c r="O2226" s="10" t="n">
        <x:f>AE2225*N2226</x:f>
        <x:v>180000</x:v>
      </x:c>
      <x:c r="P2226" s="9" t="n">
        <x:f>MIN(1,(AB2225/(AE2225*IF(v01_GroupInCrowding=1,N2226,MIN(J2226,L2226))))^v01_CrowdingExp)</x:f>
        <x:v>0.00024569414295285325</x:v>
      </x:c>
      <x:c r="Q2226" s="9" t="n">
        <x:f>IF(D2226=1,INDEX(v01_WinterMult,G2226),1)</x:f>
        <x:v>1</x:v>
      </x:c>
      <x:c r="R2226" s="9" t="n">
        <x:f>H2226*Z2225*v01_WomenShare*v01_BaseFertility*INDEX(v01_FertMult,G2226)*Arch_Fertility*(1-P2226)</x:f>
        <x:v>0</x:v>
      </x:c>
      <x:c r="S2226" s="9" t="n">
        <x:f>H2226*Y2225*INDEX(v01_MortChild,G2226)/4*Q2226</x:f>
        <x:v>0</x:v>
      </x:c>
      <x:c r="T2226" s="9" t="n">
        <x:f>H2226*Z2225*INDEX(v01_MortAdult,G2226)*Arch_AdultMort/4*Q2226</x:f>
        <x:v>0</x:v>
      </x:c>
      <x:c r="U2226" s="9" t="n">
        <x:f>H2226*AA2225*INDEX(v01_MortElder,G2226)/4*Q2226</x:f>
        <x:v>0</x:v>
      </x:c>
      <x:c r="V2226" s="9" t="n">
        <x:f>H2226*MAX(0,AB2225-O2226)*v01_OvercapLoss</x:f>
        <x:v>0</x:v>
      </x:c>
      <x:c r="W2226" s="9" t="n">
        <x:f>H2226*Y2225/(v01_ChildYears*4)</x:f>
        <x:v>0</x:v>
      </x:c>
      <x:c r="X2226" s="9" t="n">
        <x:f>H2226*Z2225/(v01_AdultYears*4)</x:f>
        <x:v>0</x:v>
      </x:c>
      <x:c r="Y2226" s="32" t="n">
        <x:f>Y2225+R2226-S2226-W2226-Y2225*V2226/AB2225</x:f>
        <x:v>14306.18539759397</x:v>
      </x:c>
      <x:c r="Z2226" s="32" t="n">
        <x:f>Z2225+W2226-X2226-T2226-Z2225*V2226/AB2225</x:f>
        <x:v>19354.456567879548</x:v>
      </x:c>
      <x:c r="AA2226" s="32" t="n">
        <x:f>AA2225+X2226-U2226-AA2225*V2226/AB2225</x:f>
        <x:v>11386.956063258198</x:v>
      </x:c>
      <x:c r="AB2226" s="10" t="n">
        <x:f>Y2226+Z2226+AA2226</x:f>
        <x:v>45047.59802873172</x:v>
      </x:c>
      <x:c r="AC2226" s="8" t="n">
        <x:f>IF(AND(v01_WinterTrigger=1,D2226=1,AB2225/AE2225&gt;=K2226),1,0)</x:f>
        <x:v>0</x:v>
      </x:c>
      <x:c r="AD2226" s="8" t="n">
        <x:f>H2226*IF(AND(OR(AB2225/AE2225&gt;=v01_FissionTrigger*N2226,AC2226=1),AB2225/AE2225*v01_DaughterShare&gt;=v01_MinDaughter),MAX(1,ROUND(AE2225*v01_FissionRate,0)),0)</x:f>
        <x:v>0</x:v>
      </x:c>
      <x:c r="AE2226" s="8" t="n">
        <x:f>IF(H2226=1,MAX(1,MIN(INDEX(v01_Smax,G2226),AE2225+AD2226)),AE2225)</x:f>
        <x:v>15</x:v>
      </x:c>
      <x:c r="AF2226" s="8" t="n">
        <x:f>MAX(0,AE2226-AE2225)</x:f>
        <x:v>0</x:v>
      </x:c>
      <x:c r="AG2226" s="9" t="str">
        <x:f>IF(AF2226&gt;0,B2226,"")</x:f>
      </x:c>
      <x:c r="AH2226" s="9" t="n">
        <x:f>IF(F2226&gt;=1,1,(1+v01_LowTiesShare*(AE2226-1))/AE2226)</x:f>
        <x:v>1</x:v>
      </x:c>
      <x:c r="AI2226" s="32" t="n">
        <x:f>(Z2226+v01_ElderCommons*INDEX(LM_Elder,G2226)*AA2226)*AH2226</x:f>
        <x:v>64139.732591141874</x:v>
      </x:c>
      <x:c r="AJ2226" s="32" t="n">
        <x:f>H2226*v01_CommonsCoef*AI2226^v01_CommonsExp*INDEX(LM_Commons,G2226)</x:f>
        <x:v>0</x:v>
      </x:c>
      <x:c r="AK2226" s="32" t="n">
        <x:f>H2226*v01_RoleScale*Arch_Roles*(AE2226*(INDEX(v01_ElderRolePerSett,G2226)*v01_OutElder*INDEX(LM_Elder,G2226)+INDEX(v01_ShamanPerSett,G2226)*v01_OutShaman)+Z2226*(INDEX(v01_PriestShare,G2226)*v01_OutPriest+INDEX(v01_ScribeShare,G2226)*v01_OutScribe*INDEX(LM_Scribe,G2226)+INDEX(v01_ScholarShare,G2226)*v01_OutScholar*INDEX(LM_Scholar,G2226)+INDEX(v01_ResearcherShare,G2226)*v01_OutResearcher*INDEX(LM_Researcher,G2226)))</x:f>
        <x:v>0</x:v>
      </x:c>
      <x:c r="AL2226" s="32" t="n">
        <x:f>H2226*v01_RoleScale*Arch_Roles*AE2226*INDEX(v01_MonasteryPerSett,G2226)*v01_OutMonastery*INDEX(LM_Monastery,G2226)</x:f>
        <x:v>0</x:v>
      </x:c>
      <x:c r="AM2226" s="32" t="n">
        <x:f>(AJ2226+AK2226+AL2226)/4*INDEX(LM_All,G2226)*INDEX(v01_Boon,G2226)*Arch_Insight</x:f>
        <x:v>0</x:v>
      </x:c>
      <x:c r="AN2226" s="32" t="n">
        <x:f>H2226*(v01_KHPerAdult*Z2226+v01_KHOfCommons*AJ2226/4*INDEX(LM_All,G2226))*v01_KHUsable*Arch_KH</x:f>
        <x:v>0</x:v>
      </x:c>
      <x:c r="AO2226" s="32" t="n">
        <x:f>MIN(AP2225+AN2226,AM2226*v01_KHMaxRatio)</x:f>
        <x:v>0</x:v>
      </x:c>
      <x:c r="AP2226" s="32" t="n">
        <x:f>AP2225+AN2226-AO2226</x:f>
        <x:v>0</x:v>
      </x:c>
      <x:c r="AQ2226" s="32" t="n">
        <x:f>AM2226+AO2226</x:f>
        <x:v>0</x:v>
      </x:c>
      <x:c r="AR2226" s="10" t="n">
        <x:f>IF(H2226=1,INDEX(v01_Req,G2226),0)</x:f>
        <x:v>0</x:v>
      </x:c>
      <x:c r="AS2226" s="32" t="n">
        <x:f>IF(H2226=1,IF(E2226=1,AS2225-AR2225,AS2225)+AQ2226,0)</x:f>
        <x:v>0</x:v>
      </x:c>
      <x:c r="AT2226" s="11" t="n">
        <x:f>IF(AR2226&gt;0,MIN(1,AS2226/AR2226),1)</x:f>
        <x:v>1</x:v>
      </x:c>
      <x:c r="AU2226" s="10" t="n">
        <x:f>AB2226/INDEX(v01_RepScale,G2226)</x:f>
        <x:v>90.09519605746344</x:v>
      </x:c>
      <x:c r="AV2226" s="32" t="n">
        <x:f>AM2226*60/v01_SeasonSeconds</x:f>
        <x:v>0</x:v>
      </x:c>
    </x:row>
    <x:row r="2227">
      <x:c r="A2227" s="8" t="n">
        <x:f>A2226+1</x:f>
        <x:v>2224</x:v>
      </x:c>
      <x:c r="B2227" s="9" t="n">
        <x:f>A2227*v01_SeasonSeconds/60</x:f>
        <x:v>556</x:v>
      </x:c>
      <x:c r="C2227" s="9" t="n">
        <x:f>A2227/4</x:f>
        <x:v>556</x:v>
      </x:c>
      <x:c r="D2227" s="8" t="n">
        <x:f>IF(MOD(A2227,4)=0,1,0)</x:f>
        <x:v>1</x:v>
      </x:c>
      <x:c r="E2227" s="8" t="n">
        <x:f>IF(AND(F2226&lt;=9,AS2226&gt;=AR2226),1,0)</x:f>
        <x:v>0</x:v>
      </x:c>
      <x:c r="F2227" s="8" t="n">
        <x:f>MIN(10,F2226+E2227)</x:f>
        <x:v>10</x:v>
      </x:c>
      <x:c r="G2227" s="8" t="n">
        <x:f>MIN(F2227,9)+1</x:f>
        <x:v>10</x:v>
      </x:c>
      <x:c r="H2227" s="8" t="n">
        <x:f>IF(F2227&lt;=9,1,0)</x:f>
        <x:v>0</x:v>
      </x:c>
      <x:c r="I2227" s="9" t="n">
        <x:f>MIN(10,F2226+IF(AR2226&gt;0,MIN(1,AS2226/AR2226),1))</x:f>
        <x:v>10</x:v>
      </x:c>
      <x:c r="J2227" s="32" t="n">
        <x:f>INDEX(v01_FoodCap,G2227)*Arch_FoodCap*EXP(v01_CapsByProject*SUMPRODUCT((Cap_Point&lt;=I2227)*(Cap_Kind="Food")*Cap_Ln))</x:f>
        <x:v>12000</x:v>
      </x:c>
      <x:c r="K2227" s="32" t="n">
        <x:f>J2227*MIN(1,v01_LeanBase*EXP(v01_CapsByProject*SUMPRODUCT((Cap_Point&lt;=I2227)*(Cap_Kind="Lean")*Cap_Ln)))</x:f>
        <x:v>12000</x:v>
      </x:c>
      <x:c r="L2227" s="10" t="n">
        <x:f>INDEX(v01_HousingCap,G2227)*EXP(v01_CapsByProject*SUMPRODUCT((Cap_Point&lt;=I2227)*(Cap_Kind="Housing")*Cap_Ln))</x:f>
        <x:v>20000</x:v>
      </x:c>
      <x:c r="M2227" s="10" t="n">
        <x:f>INDEX(v01_GroupCap,G2227)*v01_CohesionFactor*EXP(v01_CapsByProject*SUMPRODUCT((Cap_Point&lt;=I2227)*(Cap_Kind="Group")*Cap_Ln))</x:f>
        <x:v>1000000</x:v>
      </x:c>
      <x:c r="N2227" s="32" t="n">
        <x:f>MIN(J2227,L2227,M2227)</x:f>
        <x:v>12000</x:v>
      </x:c>
      <x:c r="O2227" s="10" t="n">
        <x:f>AE2226*N2227</x:f>
        <x:v>180000</x:v>
      </x:c>
      <x:c r="P2227" s="9" t="n">
        <x:f>MIN(1,(AB2226/(AE2226*IF(v01_GroupInCrowding=1,N2227,MIN(J2227,L2227))))^v01_CrowdingExp)</x:f>
        <x:v>0.00024569414295285325</x:v>
      </x:c>
      <x:c r="Q2227" s="9" t="n">
        <x:f>IF(D2227=1,INDEX(v01_WinterMult,G2227),1)</x:f>
        <x:v>1</x:v>
      </x:c>
      <x:c r="R2227" s="9" t="n">
        <x:f>H2227*Z2226*v01_WomenShare*v01_BaseFertility*INDEX(v01_FertMult,G2227)*Arch_Fertility*(1-P2227)</x:f>
        <x:v>0</x:v>
      </x:c>
      <x:c r="S2227" s="9" t="n">
        <x:f>H2227*Y2226*INDEX(v01_MortChild,G2227)/4*Q2227</x:f>
        <x:v>0</x:v>
      </x:c>
      <x:c r="T2227" s="9" t="n">
        <x:f>H2227*Z2226*INDEX(v01_MortAdult,G2227)*Arch_AdultMort/4*Q2227</x:f>
        <x:v>0</x:v>
      </x:c>
      <x:c r="U2227" s="9" t="n">
        <x:f>H2227*AA2226*INDEX(v01_MortElder,G2227)/4*Q2227</x:f>
        <x:v>0</x:v>
      </x:c>
      <x:c r="V2227" s="9" t="n">
        <x:f>H2227*MAX(0,AB2226-O2227)*v01_OvercapLoss</x:f>
        <x:v>0</x:v>
      </x:c>
      <x:c r="W2227" s="9" t="n">
        <x:f>H2227*Y2226/(v01_ChildYears*4)</x:f>
        <x:v>0</x:v>
      </x:c>
      <x:c r="X2227" s="9" t="n">
        <x:f>H2227*Z2226/(v01_AdultYears*4)</x:f>
        <x:v>0</x:v>
      </x:c>
      <x:c r="Y2227" s="32" t="n">
        <x:f>Y2226+R2227-S2227-W2227-Y2226*V2227/AB2226</x:f>
        <x:v>14306.18539759397</x:v>
      </x:c>
      <x:c r="Z2227" s="32" t="n">
        <x:f>Z2226+W2227-X2227-T2227-Z2226*V2227/AB2226</x:f>
        <x:v>19354.456567879548</x:v>
      </x:c>
      <x:c r="AA2227" s="32" t="n">
        <x:f>AA2226+X2227-U2227-AA2226*V2227/AB2226</x:f>
        <x:v>11386.956063258198</x:v>
      </x:c>
      <x:c r="AB2227" s="10" t="n">
        <x:f>Y2227+Z2227+AA2227</x:f>
        <x:v>45047.59802873172</x:v>
      </x:c>
      <x:c r="AC2227" s="8" t="n">
        <x:f>IF(AND(v01_WinterTrigger=1,D2227=1,AB2226/AE2226&gt;=K2227),1,0)</x:f>
        <x:v>0</x:v>
      </x:c>
      <x:c r="AD2227" s="8" t="n">
        <x:f>H2227*IF(AND(OR(AB2226/AE2226&gt;=v01_FissionTrigger*N2227,AC2227=1),AB2226/AE2226*v01_DaughterShare&gt;=v01_MinDaughter),MAX(1,ROUND(AE2226*v01_FissionRate,0)),0)</x:f>
        <x:v>0</x:v>
      </x:c>
      <x:c r="AE2227" s="8" t="n">
        <x:f>IF(H2227=1,MAX(1,MIN(INDEX(v01_Smax,G2227),AE2226+AD2227)),AE2226)</x:f>
        <x:v>15</x:v>
      </x:c>
      <x:c r="AF2227" s="8" t="n">
        <x:f>MAX(0,AE2227-AE2226)</x:f>
        <x:v>0</x:v>
      </x:c>
      <x:c r="AG2227" s="9" t="str">
        <x:f>IF(AF2227&gt;0,B2227,"")</x:f>
      </x:c>
      <x:c r="AH2227" s="9" t="n">
        <x:f>IF(F2227&gt;=1,1,(1+v01_LowTiesShare*(AE2227-1))/AE2227)</x:f>
        <x:v>1</x:v>
      </x:c>
      <x:c r="AI2227" s="32" t="n">
        <x:f>(Z2227+v01_ElderCommons*INDEX(LM_Elder,G2227)*AA2227)*AH2227</x:f>
        <x:v>64139.732591141874</x:v>
      </x:c>
      <x:c r="AJ2227" s="32" t="n">
        <x:f>H2227*v01_CommonsCoef*AI2227^v01_CommonsExp*INDEX(LM_Commons,G2227)</x:f>
        <x:v>0</x:v>
      </x:c>
      <x:c r="AK2227" s="32" t="n">
        <x:f>H2227*v01_RoleScale*Arch_Roles*(AE2227*(INDEX(v01_ElderRolePerSett,G2227)*v01_OutElder*INDEX(LM_Elder,G2227)+INDEX(v01_ShamanPerSett,G2227)*v01_OutShaman)+Z2227*(INDEX(v01_PriestShare,G2227)*v01_OutPriest+INDEX(v01_ScribeShare,G2227)*v01_OutScribe*INDEX(LM_Scribe,G2227)+INDEX(v01_ScholarShare,G2227)*v01_OutScholar*INDEX(LM_Scholar,G2227)+INDEX(v01_ResearcherShare,G2227)*v01_OutResearcher*INDEX(LM_Researcher,G2227)))</x:f>
        <x:v>0</x:v>
      </x:c>
      <x:c r="AL2227" s="32" t="n">
        <x:f>H2227*v01_RoleScale*Arch_Roles*AE2227*INDEX(v01_MonasteryPerSett,G2227)*v01_OutMonastery*INDEX(LM_Monastery,G2227)</x:f>
        <x:v>0</x:v>
      </x:c>
      <x:c r="AM2227" s="32" t="n">
        <x:f>(AJ2227+AK2227+AL2227)/4*INDEX(LM_All,G2227)*INDEX(v01_Boon,G2227)*Arch_Insight</x:f>
        <x:v>0</x:v>
      </x:c>
      <x:c r="AN2227" s="32" t="n">
        <x:f>H2227*(v01_KHPerAdult*Z2227+v01_KHOfCommons*AJ2227/4*INDEX(LM_All,G2227))*v01_KHUsable*Arch_KH</x:f>
        <x:v>0</x:v>
      </x:c>
      <x:c r="AO2227" s="32" t="n">
        <x:f>MIN(AP2226+AN2227,AM2227*v01_KHMaxRatio)</x:f>
        <x:v>0</x:v>
      </x:c>
      <x:c r="AP2227" s="32" t="n">
        <x:f>AP2226+AN2227-AO2227</x:f>
        <x:v>0</x:v>
      </x:c>
      <x:c r="AQ2227" s="32" t="n">
        <x:f>AM2227+AO2227</x:f>
        <x:v>0</x:v>
      </x:c>
      <x:c r="AR2227" s="10" t="n">
        <x:f>IF(H2227=1,INDEX(v01_Req,G2227),0)</x:f>
        <x:v>0</x:v>
      </x:c>
      <x:c r="AS2227" s="32" t="n">
        <x:f>IF(H2227=1,IF(E2227=1,AS2226-AR2226,AS2226)+AQ2227,0)</x:f>
        <x:v>0</x:v>
      </x:c>
      <x:c r="AT2227" s="11" t="n">
        <x:f>IF(AR2227&gt;0,MIN(1,AS2227/AR2227),1)</x:f>
        <x:v>1</x:v>
      </x:c>
      <x:c r="AU2227" s="10" t="n">
        <x:f>AB2227/INDEX(v01_RepScale,G2227)</x:f>
        <x:v>90.09519605746344</x:v>
      </x:c>
      <x:c r="AV2227" s="32" t="n">
        <x:f>AM2227*60/v01_SeasonSeconds</x:f>
        <x:v>0</x:v>
      </x:c>
    </x:row>
    <x:row r="2228">
      <x:c r="A2228" s="8" t="n">
        <x:f>A2227+1</x:f>
        <x:v>2225</x:v>
      </x:c>
      <x:c r="B2228" s="9" t="n">
        <x:f>A2228*v01_SeasonSeconds/60</x:f>
        <x:v>556.25</x:v>
      </x:c>
      <x:c r="C2228" s="9" t="n">
        <x:f>A2228/4</x:f>
        <x:v>556.25</x:v>
      </x:c>
      <x:c r="D2228" s="8" t="n">
        <x:f>IF(MOD(A2228,4)=0,1,0)</x:f>
        <x:v>0</x:v>
      </x:c>
      <x:c r="E2228" s="8" t="n">
        <x:f>IF(AND(F2227&lt;=9,AS2227&gt;=AR2227),1,0)</x:f>
        <x:v>0</x:v>
      </x:c>
      <x:c r="F2228" s="8" t="n">
        <x:f>MIN(10,F2227+E2228)</x:f>
        <x:v>10</x:v>
      </x:c>
      <x:c r="G2228" s="8" t="n">
        <x:f>MIN(F2228,9)+1</x:f>
        <x:v>10</x:v>
      </x:c>
      <x:c r="H2228" s="8" t="n">
        <x:f>IF(F2228&lt;=9,1,0)</x:f>
        <x:v>0</x:v>
      </x:c>
      <x:c r="I2228" s="9" t="n">
        <x:f>MIN(10,F2227+IF(AR2227&gt;0,MIN(1,AS2227/AR2227),1))</x:f>
        <x:v>10</x:v>
      </x:c>
      <x:c r="J2228" s="32" t="n">
        <x:f>INDEX(v01_FoodCap,G2228)*Arch_FoodCap*EXP(v01_CapsByProject*SUMPRODUCT((Cap_Point&lt;=I2228)*(Cap_Kind="Food")*Cap_Ln))</x:f>
        <x:v>12000</x:v>
      </x:c>
      <x:c r="K2228" s="32" t="n">
        <x:f>J2228*MIN(1,v01_LeanBase*EXP(v01_CapsByProject*SUMPRODUCT((Cap_Point&lt;=I2228)*(Cap_Kind="Lean")*Cap_Ln)))</x:f>
        <x:v>12000</x:v>
      </x:c>
      <x:c r="L2228" s="10" t="n">
        <x:f>INDEX(v01_HousingCap,G2228)*EXP(v01_CapsByProject*SUMPRODUCT((Cap_Point&lt;=I2228)*(Cap_Kind="Housing")*Cap_Ln))</x:f>
        <x:v>20000</x:v>
      </x:c>
      <x:c r="M2228" s="10" t="n">
        <x:f>INDEX(v01_GroupCap,G2228)*v01_CohesionFactor*EXP(v01_CapsByProject*SUMPRODUCT((Cap_Point&lt;=I2228)*(Cap_Kind="Group")*Cap_Ln))</x:f>
        <x:v>1000000</x:v>
      </x:c>
      <x:c r="N2228" s="32" t="n">
        <x:f>MIN(J2228,L2228,M2228)</x:f>
        <x:v>12000</x:v>
      </x:c>
      <x:c r="O2228" s="10" t="n">
        <x:f>AE2227*N2228</x:f>
        <x:v>180000</x:v>
      </x:c>
      <x:c r="P2228" s="9" t="n">
        <x:f>MIN(1,(AB2227/(AE2227*IF(v01_GroupInCrowding=1,N2228,MIN(J2228,L2228))))^v01_CrowdingExp)</x:f>
        <x:v>0.00024569414295285325</x:v>
      </x:c>
      <x:c r="Q2228" s="9" t="n">
        <x:f>IF(D2228=1,INDEX(v01_WinterMult,G2228),1)</x:f>
        <x:v>1</x:v>
      </x:c>
      <x:c r="R2228" s="9" t="n">
        <x:f>H2228*Z2227*v01_WomenShare*v01_BaseFertility*INDEX(v01_FertMult,G2228)*Arch_Fertility*(1-P2228)</x:f>
        <x:v>0</x:v>
      </x:c>
      <x:c r="S2228" s="9" t="n">
        <x:f>H2228*Y2227*INDEX(v01_MortChild,G2228)/4*Q2228</x:f>
        <x:v>0</x:v>
      </x:c>
      <x:c r="T2228" s="9" t="n">
        <x:f>H2228*Z2227*INDEX(v01_MortAdult,G2228)*Arch_AdultMort/4*Q2228</x:f>
        <x:v>0</x:v>
      </x:c>
      <x:c r="U2228" s="9" t="n">
        <x:f>H2228*AA2227*INDEX(v01_MortElder,G2228)/4*Q2228</x:f>
        <x:v>0</x:v>
      </x:c>
      <x:c r="V2228" s="9" t="n">
        <x:f>H2228*MAX(0,AB2227-O2228)*v01_OvercapLoss</x:f>
        <x:v>0</x:v>
      </x:c>
      <x:c r="W2228" s="9" t="n">
        <x:f>H2228*Y2227/(v01_ChildYears*4)</x:f>
        <x:v>0</x:v>
      </x:c>
      <x:c r="X2228" s="9" t="n">
        <x:f>H2228*Z2227/(v01_AdultYears*4)</x:f>
        <x:v>0</x:v>
      </x:c>
      <x:c r="Y2228" s="32" t="n">
        <x:f>Y2227+R2228-S2228-W2228-Y2227*V2228/AB2227</x:f>
        <x:v>14306.18539759397</x:v>
      </x:c>
      <x:c r="Z2228" s="32" t="n">
        <x:f>Z2227+W2228-X2228-T2228-Z2227*V2228/AB2227</x:f>
        <x:v>19354.456567879548</x:v>
      </x:c>
      <x:c r="AA2228" s="32" t="n">
        <x:f>AA2227+X2228-U2228-AA2227*V2228/AB2227</x:f>
        <x:v>11386.956063258198</x:v>
      </x:c>
      <x:c r="AB2228" s="10" t="n">
        <x:f>Y2228+Z2228+AA2228</x:f>
        <x:v>45047.59802873172</x:v>
      </x:c>
      <x:c r="AC2228" s="8" t="n">
        <x:f>IF(AND(v01_WinterTrigger=1,D2228=1,AB2227/AE2227&gt;=K2228),1,0)</x:f>
        <x:v>0</x:v>
      </x:c>
      <x:c r="AD2228" s="8" t="n">
        <x:f>H2228*IF(AND(OR(AB2227/AE2227&gt;=v01_FissionTrigger*N2228,AC2228=1),AB2227/AE2227*v01_DaughterShare&gt;=v01_MinDaughter),MAX(1,ROUND(AE2227*v01_FissionRate,0)),0)</x:f>
        <x:v>0</x:v>
      </x:c>
      <x:c r="AE2228" s="8" t="n">
        <x:f>IF(H2228=1,MAX(1,MIN(INDEX(v01_Smax,G2228),AE2227+AD2228)),AE2227)</x:f>
        <x:v>15</x:v>
      </x:c>
      <x:c r="AF2228" s="8" t="n">
        <x:f>MAX(0,AE2228-AE2227)</x:f>
        <x:v>0</x:v>
      </x:c>
      <x:c r="AG2228" s="9" t="str">
        <x:f>IF(AF2228&gt;0,B2228,"")</x:f>
      </x:c>
      <x:c r="AH2228" s="9" t="n">
        <x:f>IF(F2228&gt;=1,1,(1+v01_LowTiesShare*(AE2228-1))/AE2228)</x:f>
        <x:v>1</x:v>
      </x:c>
      <x:c r="AI2228" s="32" t="n">
        <x:f>(Z2228+v01_ElderCommons*INDEX(LM_Elder,G2228)*AA2228)*AH2228</x:f>
        <x:v>64139.732591141874</x:v>
      </x:c>
      <x:c r="AJ2228" s="32" t="n">
        <x:f>H2228*v01_CommonsCoef*AI2228^v01_CommonsExp*INDEX(LM_Commons,G2228)</x:f>
        <x:v>0</x:v>
      </x:c>
      <x:c r="AK2228" s="32" t="n">
        <x:f>H2228*v01_RoleScale*Arch_Roles*(AE2228*(INDEX(v01_ElderRolePerSett,G2228)*v01_OutElder*INDEX(LM_Elder,G2228)+INDEX(v01_ShamanPerSett,G2228)*v01_OutShaman)+Z2228*(INDEX(v01_PriestShare,G2228)*v01_OutPriest+INDEX(v01_ScribeShare,G2228)*v01_OutScribe*INDEX(LM_Scribe,G2228)+INDEX(v01_ScholarShare,G2228)*v01_OutScholar*INDEX(LM_Scholar,G2228)+INDEX(v01_ResearcherShare,G2228)*v01_OutResearcher*INDEX(LM_Researcher,G2228)))</x:f>
        <x:v>0</x:v>
      </x:c>
      <x:c r="AL2228" s="32" t="n">
        <x:f>H2228*v01_RoleScale*Arch_Roles*AE2228*INDEX(v01_MonasteryPerSett,G2228)*v01_OutMonastery*INDEX(LM_Monastery,G2228)</x:f>
        <x:v>0</x:v>
      </x:c>
      <x:c r="AM2228" s="32" t="n">
        <x:f>(AJ2228+AK2228+AL2228)/4*INDEX(LM_All,G2228)*INDEX(v01_Boon,G2228)*Arch_Insight</x:f>
        <x:v>0</x:v>
      </x:c>
      <x:c r="AN2228" s="32" t="n">
        <x:f>H2228*(v01_KHPerAdult*Z2228+v01_KHOfCommons*AJ2228/4*INDEX(LM_All,G2228))*v01_KHUsable*Arch_KH</x:f>
        <x:v>0</x:v>
      </x:c>
      <x:c r="AO2228" s="32" t="n">
        <x:f>MIN(AP2227+AN2228,AM2228*v01_KHMaxRatio)</x:f>
        <x:v>0</x:v>
      </x:c>
      <x:c r="AP2228" s="32" t="n">
        <x:f>AP2227+AN2228-AO2228</x:f>
        <x:v>0</x:v>
      </x:c>
      <x:c r="AQ2228" s="32" t="n">
        <x:f>AM2228+AO2228</x:f>
        <x:v>0</x:v>
      </x:c>
      <x:c r="AR2228" s="10" t="n">
        <x:f>IF(H2228=1,INDEX(v01_Req,G2228),0)</x:f>
        <x:v>0</x:v>
      </x:c>
      <x:c r="AS2228" s="32" t="n">
        <x:f>IF(H2228=1,IF(E2228=1,AS2227-AR2227,AS2227)+AQ2228,0)</x:f>
        <x:v>0</x:v>
      </x:c>
      <x:c r="AT2228" s="11" t="n">
        <x:f>IF(AR2228&gt;0,MIN(1,AS2228/AR2228),1)</x:f>
        <x:v>1</x:v>
      </x:c>
      <x:c r="AU2228" s="10" t="n">
        <x:f>AB2228/INDEX(v01_RepScale,G2228)</x:f>
        <x:v>90.09519605746344</x:v>
      </x:c>
      <x:c r="AV2228" s="32" t="n">
        <x:f>AM2228*60/v01_SeasonSeconds</x:f>
        <x:v>0</x:v>
      </x:c>
    </x:row>
    <x:row r="2229">
      <x:c r="A2229" s="8" t="n">
        <x:f>A2228+1</x:f>
        <x:v>2226</x:v>
      </x:c>
      <x:c r="B2229" s="9" t="n">
        <x:f>A2229*v01_SeasonSeconds/60</x:f>
        <x:v>556.5</x:v>
      </x:c>
      <x:c r="C2229" s="9" t="n">
        <x:f>A2229/4</x:f>
        <x:v>556.5</x:v>
      </x:c>
      <x:c r="D2229" s="8" t="n">
        <x:f>IF(MOD(A2229,4)=0,1,0)</x:f>
        <x:v>0</x:v>
      </x:c>
      <x:c r="E2229" s="8" t="n">
        <x:f>IF(AND(F2228&lt;=9,AS2228&gt;=AR2228),1,0)</x:f>
        <x:v>0</x:v>
      </x:c>
      <x:c r="F2229" s="8" t="n">
        <x:f>MIN(10,F2228+E2229)</x:f>
        <x:v>10</x:v>
      </x:c>
      <x:c r="G2229" s="8" t="n">
        <x:f>MIN(F2229,9)+1</x:f>
        <x:v>10</x:v>
      </x:c>
      <x:c r="H2229" s="8" t="n">
        <x:f>IF(F2229&lt;=9,1,0)</x:f>
        <x:v>0</x:v>
      </x:c>
      <x:c r="I2229" s="9" t="n">
        <x:f>MIN(10,F2228+IF(AR2228&gt;0,MIN(1,AS2228/AR2228),1))</x:f>
        <x:v>10</x:v>
      </x:c>
      <x:c r="J2229" s="32" t="n">
        <x:f>INDEX(v01_FoodCap,G2229)*Arch_FoodCap*EXP(v01_CapsByProject*SUMPRODUCT((Cap_Point&lt;=I2229)*(Cap_Kind="Food")*Cap_Ln))</x:f>
        <x:v>12000</x:v>
      </x:c>
      <x:c r="K2229" s="32" t="n">
        <x:f>J2229*MIN(1,v01_LeanBase*EXP(v01_CapsByProject*SUMPRODUCT((Cap_Point&lt;=I2229)*(Cap_Kind="Lean")*Cap_Ln)))</x:f>
        <x:v>12000</x:v>
      </x:c>
      <x:c r="L2229" s="10" t="n">
        <x:f>INDEX(v01_HousingCap,G2229)*EXP(v01_CapsByProject*SUMPRODUCT((Cap_Point&lt;=I2229)*(Cap_Kind="Housing")*Cap_Ln))</x:f>
        <x:v>20000</x:v>
      </x:c>
      <x:c r="M2229" s="10" t="n">
        <x:f>INDEX(v01_GroupCap,G2229)*v01_CohesionFactor*EXP(v01_CapsByProject*SUMPRODUCT((Cap_Point&lt;=I2229)*(Cap_Kind="Group")*Cap_Ln))</x:f>
        <x:v>1000000</x:v>
      </x:c>
      <x:c r="N2229" s="32" t="n">
        <x:f>MIN(J2229,L2229,M2229)</x:f>
        <x:v>12000</x:v>
      </x:c>
      <x:c r="O2229" s="10" t="n">
        <x:f>AE2228*N2229</x:f>
        <x:v>180000</x:v>
      </x:c>
      <x:c r="P2229" s="9" t="n">
        <x:f>MIN(1,(AB2228/(AE2228*IF(v01_GroupInCrowding=1,N2229,MIN(J2229,L2229))))^v01_CrowdingExp)</x:f>
        <x:v>0.00024569414295285325</x:v>
      </x:c>
      <x:c r="Q2229" s="9" t="n">
        <x:f>IF(D2229=1,INDEX(v01_WinterMult,G2229),1)</x:f>
        <x:v>1</x:v>
      </x:c>
      <x:c r="R2229" s="9" t="n">
        <x:f>H2229*Z2228*v01_WomenShare*v01_BaseFertility*INDEX(v01_FertMult,G2229)*Arch_Fertility*(1-P2229)</x:f>
        <x:v>0</x:v>
      </x:c>
      <x:c r="S2229" s="9" t="n">
        <x:f>H2229*Y2228*INDEX(v01_MortChild,G2229)/4*Q2229</x:f>
        <x:v>0</x:v>
      </x:c>
      <x:c r="T2229" s="9" t="n">
        <x:f>H2229*Z2228*INDEX(v01_MortAdult,G2229)*Arch_AdultMort/4*Q2229</x:f>
        <x:v>0</x:v>
      </x:c>
      <x:c r="U2229" s="9" t="n">
        <x:f>H2229*AA2228*INDEX(v01_MortElder,G2229)/4*Q2229</x:f>
        <x:v>0</x:v>
      </x:c>
      <x:c r="V2229" s="9" t="n">
        <x:f>H2229*MAX(0,AB2228-O2229)*v01_OvercapLoss</x:f>
        <x:v>0</x:v>
      </x:c>
      <x:c r="W2229" s="9" t="n">
        <x:f>H2229*Y2228/(v01_ChildYears*4)</x:f>
        <x:v>0</x:v>
      </x:c>
      <x:c r="X2229" s="9" t="n">
        <x:f>H2229*Z2228/(v01_AdultYears*4)</x:f>
        <x:v>0</x:v>
      </x:c>
      <x:c r="Y2229" s="32" t="n">
        <x:f>Y2228+R2229-S2229-W2229-Y2228*V2229/AB2228</x:f>
        <x:v>14306.18539759397</x:v>
      </x:c>
      <x:c r="Z2229" s="32" t="n">
        <x:f>Z2228+W2229-X2229-T2229-Z2228*V2229/AB2228</x:f>
        <x:v>19354.456567879548</x:v>
      </x:c>
      <x:c r="AA2229" s="32" t="n">
        <x:f>AA2228+X2229-U2229-AA2228*V2229/AB2228</x:f>
        <x:v>11386.956063258198</x:v>
      </x:c>
      <x:c r="AB2229" s="10" t="n">
        <x:f>Y2229+Z2229+AA2229</x:f>
        <x:v>45047.59802873172</x:v>
      </x:c>
      <x:c r="AC2229" s="8" t="n">
        <x:f>IF(AND(v01_WinterTrigger=1,D2229=1,AB2228/AE2228&gt;=K2229),1,0)</x:f>
        <x:v>0</x:v>
      </x:c>
      <x:c r="AD2229" s="8" t="n">
        <x:f>H2229*IF(AND(OR(AB2228/AE2228&gt;=v01_FissionTrigger*N2229,AC2229=1),AB2228/AE2228*v01_DaughterShare&gt;=v01_MinDaughter),MAX(1,ROUND(AE2228*v01_FissionRate,0)),0)</x:f>
        <x:v>0</x:v>
      </x:c>
      <x:c r="AE2229" s="8" t="n">
        <x:f>IF(H2229=1,MAX(1,MIN(INDEX(v01_Smax,G2229),AE2228+AD2229)),AE2228)</x:f>
        <x:v>15</x:v>
      </x:c>
      <x:c r="AF2229" s="8" t="n">
        <x:f>MAX(0,AE2229-AE2228)</x:f>
        <x:v>0</x:v>
      </x:c>
      <x:c r="AG2229" s="9" t="str">
        <x:f>IF(AF2229&gt;0,B2229,"")</x:f>
      </x:c>
      <x:c r="AH2229" s="9" t="n">
        <x:f>IF(F2229&gt;=1,1,(1+v01_LowTiesShare*(AE2229-1))/AE2229)</x:f>
        <x:v>1</x:v>
      </x:c>
      <x:c r="AI2229" s="32" t="n">
        <x:f>(Z2229+v01_ElderCommons*INDEX(LM_Elder,G2229)*AA2229)*AH2229</x:f>
        <x:v>64139.732591141874</x:v>
      </x:c>
      <x:c r="AJ2229" s="32" t="n">
        <x:f>H2229*v01_CommonsCoef*AI2229^v01_CommonsExp*INDEX(LM_Commons,G2229)</x:f>
        <x:v>0</x:v>
      </x:c>
      <x:c r="AK2229" s="32" t="n">
        <x:f>H2229*v01_RoleScale*Arch_Roles*(AE2229*(INDEX(v01_ElderRolePerSett,G2229)*v01_OutElder*INDEX(LM_Elder,G2229)+INDEX(v01_ShamanPerSett,G2229)*v01_OutShaman)+Z2229*(INDEX(v01_PriestShare,G2229)*v01_OutPriest+INDEX(v01_ScribeShare,G2229)*v01_OutScribe*INDEX(LM_Scribe,G2229)+INDEX(v01_ScholarShare,G2229)*v01_OutScholar*INDEX(LM_Scholar,G2229)+INDEX(v01_ResearcherShare,G2229)*v01_OutResearcher*INDEX(LM_Researcher,G2229)))</x:f>
        <x:v>0</x:v>
      </x:c>
      <x:c r="AL2229" s="32" t="n">
        <x:f>H2229*v01_RoleScale*Arch_Roles*AE2229*INDEX(v01_MonasteryPerSett,G2229)*v01_OutMonastery*INDEX(LM_Monastery,G2229)</x:f>
        <x:v>0</x:v>
      </x:c>
      <x:c r="AM2229" s="32" t="n">
        <x:f>(AJ2229+AK2229+AL2229)/4*INDEX(LM_All,G2229)*INDEX(v01_Boon,G2229)*Arch_Insight</x:f>
        <x:v>0</x:v>
      </x:c>
      <x:c r="AN2229" s="32" t="n">
        <x:f>H2229*(v01_KHPerAdult*Z2229+v01_KHOfCommons*AJ2229/4*INDEX(LM_All,G2229))*v01_KHUsable*Arch_KH</x:f>
        <x:v>0</x:v>
      </x:c>
      <x:c r="AO2229" s="32" t="n">
        <x:f>MIN(AP2228+AN2229,AM2229*v01_KHMaxRatio)</x:f>
        <x:v>0</x:v>
      </x:c>
      <x:c r="AP2229" s="32" t="n">
        <x:f>AP2228+AN2229-AO2229</x:f>
        <x:v>0</x:v>
      </x:c>
      <x:c r="AQ2229" s="32" t="n">
        <x:f>AM2229+AO2229</x:f>
        <x:v>0</x:v>
      </x:c>
      <x:c r="AR2229" s="10" t="n">
        <x:f>IF(H2229=1,INDEX(v01_Req,G2229),0)</x:f>
        <x:v>0</x:v>
      </x:c>
      <x:c r="AS2229" s="32" t="n">
        <x:f>IF(H2229=1,IF(E2229=1,AS2228-AR2228,AS2228)+AQ2229,0)</x:f>
        <x:v>0</x:v>
      </x:c>
      <x:c r="AT2229" s="11" t="n">
        <x:f>IF(AR2229&gt;0,MIN(1,AS2229/AR2229),1)</x:f>
        <x:v>1</x:v>
      </x:c>
      <x:c r="AU2229" s="10" t="n">
        <x:f>AB2229/INDEX(v01_RepScale,G2229)</x:f>
        <x:v>90.09519605746344</x:v>
      </x:c>
      <x:c r="AV2229" s="32" t="n">
        <x:f>AM2229*60/v01_SeasonSeconds</x:f>
        <x:v>0</x:v>
      </x:c>
    </x:row>
    <x:row r="2230">
      <x:c r="A2230" s="8" t="n">
        <x:f>A2229+1</x:f>
        <x:v>2227</x:v>
      </x:c>
      <x:c r="B2230" s="9" t="n">
        <x:f>A2230*v01_SeasonSeconds/60</x:f>
        <x:v>556.75</x:v>
      </x:c>
      <x:c r="C2230" s="9" t="n">
        <x:f>A2230/4</x:f>
        <x:v>556.75</x:v>
      </x:c>
      <x:c r="D2230" s="8" t="n">
        <x:f>IF(MOD(A2230,4)=0,1,0)</x:f>
        <x:v>0</x:v>
      </x:c>
      <x:c r="E2230" s="8" t="n">
        <x:f>IF(AND(F2229&lt;=9,AS2229&gt;=AR2229),1,0)</x:f>
        <x:v>0</x:v>
      </x:c>
      <x:c r="F2230" s="8" t="n">
        <x:f>MIN(10,F2229+E2230)</x:f>
        <x:v>10</x:v>
      </x:c>
      <x:c r="G2230" s="8" t="n">
        <x:f>MIN(F2230,9)+1</x:f>
        <x:v>10</x:v>
      </x:c>
      <x:c r="H2230" s="8" t="n">
        <x:f>IF(F2230&lt;=9,1,0)</x:f>
        <x:v>0</x:v>
      </x:c>
      <x:c r="I2230" s="9" t="n">
        <x:f>MIN(10,F2229+IF(AR2229&gt;0,MIN(1,AS2229/AR2229),1))</x:f>
        <x:v>10</x:v>
      </x:c>
      <x:c r="J2230" s="32" t="n">
        <x:f>INDEX(v01_FoodCap,G2230)*Arch_FoodCap*EXP(v01_CapsByProject*SUMPRODUCT((Cap_Point&lt;=I2230)*(Cap_Kind="Food")*Cap_Ln))</x:f>
        <x:v>12000</x:v>
      </x:c>
      <x:c r="K2230" s="32" t="n">
        <x:f>J2230*MIN(1,v01_LeanBase*EXP(v01_CapsByProject*SUMPRODUCT((Cap_Point&lt;=I2230)*(Cap_Kind="Lean")*Cap_Ln)))</x:f>
        <x:v>12000</x:v>
      </x:c>
      <x:c r="L2230" s="10" t="n">
        <x:f>INDEX(v01_HousingCap,G2230)*EXP(v01_CapsByProject*SUMPRODUCT((Cap_Point&lt;=I2230)*(Cap_Kind="Housing")*Cap_Ln))</x:f>
        <x:v>20000</x:v>
      </x:c>
      <x:c r="M2230" s="10" t="n">
        <x:f>INDEX(v01_GroupCap,G2230)*v01_CohesionFactor*EXP(v01_CapsByProject*SUMPRODUCT((Cap_Point&lt;=I2230)*(Cap_Kind="Group")*Cap_Ln))</x:f>
        <x:v>1000000</x:v>
      </x:c>
      <x:c r="N2230" s="32" t="n">
        <x:f>MIN(J2230,L2230,M2230)</x:f>
        <x:v>12000</x:v>
      </x:c>
      <x:c r="O2230" s="10" t="n">
        <x:f>AE2229*N2230</x:f>
        <x:v>180000</x:v>
      </x:c>
      <x:c r="P2230" s="9" t="n">
        <x:f>MIN(1,(AB2229/(AE2229*IF(v01_GroupInCrowding=1,N2230,MIN(J2230,L2230))))^v01_CrowdingExp)</x:f>
        <x:v>0.00024569414295285325</x:v>
      </x:c>
      <x:c r="Q2230" s="9" t="n">
        <x:f>IF(D2230=1,INDEX(v01_WinterMult,G2230),1)</x:f>
        <x:v>1</x:v>
      </x:c>
      <x:c r="R2230" s="9" t="n">
        <x:f>H2230*Z2229*v01_WomenShare*v01_BaseFertility*INDEX(v01_FertMult,G2230)*Arch_Fertility*(1-P2230)</x:f>
        <x:v>0</x:v>
      </x:c>
      <x:c r="S2230" s="9" t="n">
        <x:f>H2230*Y2229*INDEX(v01_MortChild,G2230)/4*Q2230</x:f>
        <x:v>0</x:v>
      </x:c>
      <x:c r="T2230" s="9" t="n">
        <x:f>H2230*Z2229*INDEX(v01_MortAdult,G2230)*Arch_AdultMort/4*Q2230</x:f>
        <x:v>0</x:v>
      </x:c>
      <x:c r="U2230" s="9" t="n">
        <x:f>H2230*AA2229*INDEX(v01_MortElder,G2230)/4*Q2230</x:f>
        <x:v>0</x:v>
      </x:c>
      <x:c r="V2230" s="9" t="n">
        <x:f>H2230*MAX(0,AB2229-O2230)*v01_OvercapLoss</x:f>
        <x:v>0</x:v>
      </x:c>
      <x:c r="W2230" s="9" t="n">
        <x:f>H2230*Y2229/(v01_ChildYears*4)</x:f>
        <x:v>0</x:v>
      </x:c>
      <x:c r="X2230" s="9" t="n">
        <x:f>H2230*Z2229/(v01_AdultYears*4)</x:f>
        <x:v>0</x:v>
      </x:c>
      <x:c r="Y2230" s="32" t="n">
        <x:f>Y2229+R2230-S2230-W2230-Y2229*V2230/AB2229</x:f>
        <x:v>14306.18539759397</x:v>
      </x:c>
      <x:c r="Z2230" s="32" t="n">
        <x:f>Z2229+W2230-X2230-T2230-Z2229*V2230/AB2229</x:f>
        <x:v>19354.456567879548</x:v>
      </x:c>
      <x:c r="AA2230" s="32" t="n">
        <x:f>AA2229+X2230-U2230-AA2229*V2230/AB2229</x:f>
        <x:v>11386.956063258198</x:v>
      </x:c>
      <x:c r="AB2230" s="10" t="n">
        <x:f>Y2230+Z2230+AA2230</x:f>
        <x:v>45047.59802873172</x:v>
      </x:c>
      <x:c r="AC2230" s="8" t="n">
        <x:f>IF(AND(v01_WinterTrigger=1,D2230=1,AB2229/AE2229&gt;=K2230),1,0)</x:f>
        <x:v>0</x:v>
      </x:c>
      <x:c r="AD2230" s="8" t="n">
        <x:f>H2230*IF(AND(OR(AB2229/AE2229&gt;=v01_FissionTrigger*N2230,AC2230=1),AB2229/AE2229*v01_DaughterShare&gt;=v01_MinDaughter),MAX(1,ROUND(AE2229*v01_FissionRate,0)),0)</x:f>
        <x:v>0</x:v>
      </x:c>
      <x:c r="AE2230" s="8" t="n">
        <x:f>IF(H2230=1,MAX(1,MIN(INDEX(v01_Smax,G2230),AE2229+AD2230)),AE2229)</x:f>
        <x:v>15</x:v>
      </x:c>
      <x:c r="AF2230" s="8" t="n">
        <x:f>MAX(0,AE2230-AE2229)</x:f>
        <x:v>0</x:v>
      </x:c>
      <x:c r="AG2230" s="9" t="str">
        <x:f>IF(AF2230&gt;0,B2230,"")</x:f>
      </x:c>
      <x:c r="AH2230" s="9" t="n">
        <x:f>IF(F2230&gt;=1,1,(1+v01_LowTiesShare*(AE2230-1))/AE2230)</x:f>
        <x:v>1</x:v>
      </x:c>
      <x:c r="AI2230" s="32" t="n">
        <x:f>(Z2230+v01_ElderCommons*INDEX(LM_Elder,G2230)*AA2230)*AH2230</x:f>
        <x:v>64139.732591141874</x:v>
      </x:c>
      <x:c r="AJ2230" s="32" t="n">
        <x:f>H2230*v01_CommonsCoef*AI2230^v01_CommonsExp*INDEX(LM_Commons,G2230)</x:f>
        <x:v>0</x:v>
      </x:c>
      <x:c r="AK2230" s="32" t="n">
        <x:f>H2230*v01_RoleScale*Arch_Roles*(AE2230*(INDEX(v01_ElderRolePerSett,G2230)*v01_OutElder*INDEX(LM_Elder,G2230)+INDEX(v01_ShamanPerSett,G2230)*v01_OutShaman)+Z2230*(INDEX(v01_PriestShare,G2230)*v01_OutPriest+INDEX(v01_ScribeShare,G2230)*v01_OutScribe*INDEX(LM_Scribe,G2230)+INDEX(v01_ScholarShare,G2230)*v01_OutScholar*INDEX(LM_Scholar,G2230)+INDEX(v01_ResearcherShare,G2230)*v01_OutResearcher*INDEX(LM_Researcher,G2230)))</x:f>
        <x:v>0</x:v>
      </x:c>
      <x:c r="AL2230" s="32" t="n">
        <x:f>H2230*v01_RoleScale*Arch_Roles*AE2230*INDEX(v01_MonasteryPerSett,G2230)*v01_OutMonastery*INDEX(LM_Monastery,G2230)</x:f>
        <x:v>0</x:v>
      </x:c>
      <x:c r="AM2230" s="32" t="n">
        <x:f>(AJ2230+AK2230+AL2230)/4*INDEX(LM_All,G2230)*INDEX(v01_Boon,G2230)*Arch_Insight</x:f>
        <x:v>0</x:v>
      </x:c>
      <x:c r="AN2230" s="32" t="n">
        <x:f>H2230*(v01_KHPerAdult*Z2230+v01_KHOfCommons*AJ2230/4*INDEX(LM_All,G2230))*v01_KHUsable*Arch_KH</x:f>
        <x:v>0</x:v>
      </x:c>
      <x:c r="AO2230" s="32" t="n">
        <x:f>MIN(AP2229+AN2230,AM2230*v01_KHMaxRatio)</x:f>
        <x:v>0</x:v>
      </x:c>
      <x:c r="AP2230" s="32" t="n">
        <x:f>AP2229+AN2230-AO2230</x:f>
        <x:v>0</x:v>
      </x:c>
      <x:c r="AQ2230" s="32" t="n">
        <x:f>AM2230+AO2230</x:f>
        <x:v>0</x:v>
      </x:c>
      <x:c r="AR2230" s="10" t="n">
        <x:f>IF(H2230=1,INDEX(v01_Req,G2230),0)</x:f>
        <x:v>0</x:v>
      </x:c>
      <x:c r="AS2230" s="32" t="n">
        <x:f>IF(H2230=1,IF(E2230=1,AS2229-AR2229,AS2229)+AQ2230,0)</x:f>
        <x:v>0</x:v>
      </x:c>
      <x:c r="AT2230" s="11" t="n">
        <x:f>IF(AR2230&gt;0,MIN(1,AS2230/AR2230),1)</x:f>
        <x:v>1</x:v>
      </x:c>
      <x:c r="AU2230" s="10" t="n">
        <x:f>AB2230/INDEX(v01_RepScale,G2230)</x:f>
        <x:v>90.09519605746344</x:v>
      </x:c>
      <x:c r="AV2230" s="32" t="n">
        <x:f>AM2230*60/v01_SeasonSeconds</x:f>
        <x:v>0</x:v>
      </x:c>
    </x:row>
    <x:row r="2231">
      <x:c r="A2231" s="8" t="n">
        <x:f>A2230+1</x:f>
        <x:v>2228</x:v>
      </x:c>
      <x:c r="B2231" s="9" t="n">
        <x:f>A2231*v01_SeasonSeconds/60</x:f>
        <x:v>557</x:v>
      </x:c>
      <x:c r="C2231" s="9" t="n">
        <x:f>A2231/4</x:f>
        <x:v>557</x:v>
      </x:c>
      <x:c r="D2231" s="8" t="n">
        <x:f>IF(MOD(A2231,4)=0,1,0)</x:f>
        <x:v>1</x:v>
      </x:c>
      <x:c r="E2231" s="8" t="n">
        <x:f>IF(AND(F2230&lt;=9,AS2230&gt;=AR2230),1,0)</x:f>
        <x:v>0</x:v>
      </x:c>
      <x:c r="F2231" s="8" t="n">
        <x:f>MIN(10,F2230+E2231)</x:f>
        <x:v>10</x:v>
      </x:c>
      <x:c r="G2231" s="8" t="n">
        <x:f>MIN(F2231,9)+1</x:f>
        <x:v>10</x:v>
      </x:c>
      <x:c r="H2231" s="8" t="n">
        <x:f>IF(F2231&lt;=9,1,0)</x:f>
        <x:v>0</x:v>
      </x:c>
      <x:c r="I2231" s="9" t="n">
        <x:f>MIN(10,F2230+IF(AR2230&gt;0,MIN(1,AS2230/AR2230),1))</x:f>
        <x:v>10</x:v>
      </x:c>
      <x:c r="J2231" s="32" t="n">
        <x:f>INDEX(v01_FoodCap,G2231)*Arch_FoodCap*EXP(v01_CapsByProject*SUMPRODUCT((Cap_Point&lt;=I2231)*(Cap_Kind="Food")*Cap_Ln))</x:f>
        <x:v>12000</x:v>
      </x:c>
      <x:c r="K2231" s="32" t="n">
        <x:f>J2231*MIN(1,v01_LeanBase*EXP(v01_CapsByProject*SUMPRODUCT((Cap_Point&lt;=I2231)*(Cap_Kind="Lean")*Cap_Ln)))</x:f>
        <x:v>12000</x:v>
      </x:c>
      <x:c r="L2231" s="10" t="n">
        <x:f>INDEX(v01_HousingCap,G2231)*EXP(v01_CapsByProject*SUMPRODUCT((Cap_Point&lt;=I2231)*(Cap_Kind="Housing")*Cap_Ln))</x:f>
        <x:v>20000</x:v>
      </x:c>
      <x:c r="M2231" s="10" t="n">
        <x:f>INDEX(v01_GroupCap,G2231)*v01_CohesionFactor*EXP(v01_CapsByProject*SUMPRODUCT((Cap_Point&lt;=I2231)*(Cap_Kind="Group")*Cap_Ln))</x:f>
        <x:v>1000000</x:v>
      </x:c>
      <x:c r="N2231" s="32" t="n">
        <x:f>MIN(J2231,L2231,M2231)</x:f>
        <x:v>12000</x:v>
      </x:c>
      <x:c r="O2231" s="10" t="n">
        <x:f>AE2230*N2231</x:f>
        <x:v>180000</x:v>
      </x:c>
      <x:c r="P2231" s="9" t="n">
        <x:f>MIN(1,(AB2230/(AE2230*IF(v01_GroupInCrowding=1,N2231,MIN(J2231,L2231))))^v01_CrowdingExp)</x:f>
        <x:v>0.00024569414295285325</x:v>
      </x:c>
      <x:c r="Q2231" s="9" t="n">
        <x:f>IF(D2231=1,INDEX(v01_WinterMult,G2231),1)</x:f>
        <x:v>1</x:v>
      </x:c>
      <x:c r="R2231" s="9" t="n">
        <x:f>H2231*Z2230*v01_WomenShare*v01_BaseFertility*INDEX(v01_FertMult,G2231)*Arch_Fertility*(1-P2231)</x:f>
        <x:v>0</x:v>
      </x:c>
      <x:c r="S2231" s="9" t="n">
        <x:f>H2231*Y2230*INDEX(v01_MortChild,G2231)/4*Q2231</x:f>
        <x:v>0</x:v>
      </x:c>
      <x:c r="T2231" s="9" t="n">
        <x:f>H2231*Z2230*INDEX(v01_MortAdult,G2231)*Arch_AdultMort/4*Q2231</x:f>
        <x:v>0</x:v>
      </x:c>
      <x:c r="U2231" s="9" t="n">
        <x:f>H2231*AA2230*INDEX(v01_MortElder,G2231)/4*Q2231</x:f>
        <x:v>0</x:v>
      </x:c>
      <x:c r="V2231" s="9" t="n">
        <x:f>H2231*MAX(0,AB2230-O2231)*v01_OvercapLoss</x:f>
        <x:v>0</x:v>
      </x:c>
      <x:c r="W2231" s="9" t="n">
        <x:f>H2231*Y2230/(v01_ChildYears*4)</x:f>
        <x:v>0</x:v>
      </x:c>
      <x:c r="X2231" s="9" t="n">
        <x:f>H2231*Z2230/(v01_AdultYears*4)</x:f>
        <x:v>0</x:v>
      </x:c>
      <x:c r="Y2231" s="32" t="n">
        <x:f>Y2230+R2231-S2231-W2231-Y2230*V2231/AB2230</x:f>
        <x:v>14306.18539759397</x:v>
      </x:c>
      <x:c r="Z2231" s="32" t="n">
        <x:f>Z2230+W2231-X2231-T2231-Z2230*V2231/AB2230</x:f>
        <x:v>19354.456567879548</x:v>
      </x:c>
      <x:c r="AA2231" s="32" t="n">
        <x:f>AA2230+X2231-U2231-AA2230*V2231/AB2230</x:f>
        <x:v>11386.956063258198</x:v>
      </x:c>
      <x:c r="AB2231" s="10" t="n">
        <x:f>Y2231+Z2231+AA2231</x:f>
        <x:v>45047.59802873172</x:v>
      </x:c>
      <x:c r="AC2231" s="8" t="n">
        <x:f>IF(AND(v01_WinterTrigger=1,D2231=1,AB2230/AE2230&gt;=K2231),1,0)</x:f>
        <x:v>0</x:v>
      </x:c>
      <x:c r="AD2231" s="8" t="n">
        <x:f>H2231*IF(AND(OR(AB2230/AE2230&gt;=v01_FissionTrigger*N2231,AC2231=1),AB2230/AE2230*v01_DaughterShare&gt;=v01_MinDaughter),MAX(1,ROUND(AE2230*v01_FissionRate,0)),0)</x:f>
        <x:v>0</x:v>
      </x:c>
      <x:c r="AE2231" s="8" t="n">
        <x:f>IF(H2231=1,MAX(1,MIN(INDEX(v01_Smax,G2231),AE2230+AD2231)),AE2230)</x:f>
        <x:v>15</x:v>
      </x:c>
      <x:c r="AF2231" s="8" t="n">
        <x:f>MAX(0,AE2231-AE2230)</x:f>
        <x:v>0</x:v>
      </x:c>
      <x:c r="AG2231" s="9" t="str">
        <x:f>IF(AF2231&gt;0,B2231,"")</x:f>
      </x:c>
      <x:c r="AH2231" s="9" t="n">
        <x:f>IF(F2231&gt;=1,1,(1+v01_LowTiesShare*(AE2231-1))/AE2231)</x:f>
        <x:v>1</x:v>
      </x:c>
      <x:c r="AI2231" s="32" t="n">
        <x:f>(Z2231+v01_ElderCommons*INDEX(LM_Elder,G2231)*AA2231)*AH2231</x:f>
        <x:v>64139.732591141874</x:v>
      </x:c>
      <x:c r="AJ2231" s="32" t="n">
        <x:f>H2231*v01_CommonsCoef*AI2231^v01_CommonsExp*INDEX(LM_Commons,G2231)</x:f>
        <x:v>0</x:v>
      </x:c>
      <x:c r="AK2231" s="32" t="n">
        <x:f>H2231*v01_RoleScale*Arch_Roles*(AE2231*(INDEX(v01_ElderRolePerSett,G2231)*v01_OutElder*INDEX(LM_Elder,G2231)+INDEX(v01_ShamanPerSett,G2231)*v01_OutShaman)+Z2231*(INDEX(v01_PriestShare,G2231)*v01_OutPriest+INDEX(v01_ScribeShare,G2231)*v01_OutScribe*INDEX(LM_Scribe,G2231)+INDEX(v01_ScholarShare,G2231)*v01_OutScholar*INDEX(LM_Scholar,G2231)+INDEX(v01_ResearcherShare,G2231)*v01_OutResearcher*INDEX(LM_Researcher,G2231)))</x:f>
        <x:v>0</x:v>
      </x:c>
      <x:c r="AL2231" s="32" t="n">
        <x:f>H2231*v01_RoleScale*Arch_Roles*AE2231*INDEX(v01_MonasteryPerSett,G2231)*v01_OutMonastery*INDEX(LM_Monastery,G2231)</x:f>
        <x:v>0</x:v>
      </x:c>
      <x:c r="AM2231" s="32" t="n">
        <x:f>(AJ2231+AK2231+AL2231)/4*INDEX(LM_All,G2231)*INDEX(v01_Boon,G2231)*Arch_Insight</x:f>
        <x:v>0</x:v>
      </x:c>
      <x:c r="AN2231" s="32" t="n">
        <x:f>H2231*(v01_KHPerAdult*Z2231+v01_KHOfCommons*AJ2231/4*INDEX(LM_All,G2231))*v01_KHUsable*Arch_KH</x:f>
        <x:v>0</x:v>
      </x:c>
      <x:c r="AO2231" s="32" t="n">
        <x:f>MIN(AP2230+AN2231,AM2231*v01_KHMaxRatio)</x:f>
        <x:v>0</x:v>
      </x:c>
      <x:c r="AP2231" s="32" t="n">
        <x:f>AP2230+AN2231-AO2231</x:f>
        <x:v>0</x:v>
      </x:c>
      <x:c r="AQ2231" s="32" t="n">
        <x:f>AM2231+AO2231</x:f>
        <x:v>0</x:v>
      </x:c>
      <x:c r="AR2231" s="10" t="n">
        <x:f>IF(H2231=1,INDEX(v01_Req,G2231),0)</x:f>
        <x:v>0</x:v>
      </x:c>
      <x:c r="AS2231" s="32" t="n">
        <x:f>IF(H2231=1,IF(E2231=1,AS2230-AR2230,AS2230)+AQ2231,0)</x:f>
        <x:v>0</x:v>
      </x:c>
      <x:c r="AT2231" s="11" t="n">
        <x:f>IF(AR2231&gt;0,MIN(1,AS2231/AR2231),1)</x:f>
        <x:v>1</x:v>
      </x:c>
      <x:c r="AU2231" s="10" t="n">
        <x:f>AB2231/INDEX(v01_RepScale,G2231)</x:f>
        <x:v>90.09519605746344</x:v>
      </x:c>
      <x:c r="AV2231" s="32" t="n">
        <x:f>AM2231*60/v01_SeasonSeconds</x:f>
        <x:v>0</x:v>
      </x:c>
    </x:row>
    <x:row r="2232">
      <x:c r="A2232" s="8" t="n">
        <x:f>A2231+1</x:f>
        <x:v>2229</x:v>
      </x:c>
      <x:c r="B2232" s="9" t="n">
        <x:f>A2232*v01_SeasonSeconds/60</x:f>
        <x:v>557.25</x:v>
      </x:c>
      <x:c r="C2232" s="9" t="n">
        <x:f>A2232/4</x:f>
        <x:v>557.25</x:v>
      </x:c>
      <x:c r="D2232" s="8" t="n">
        <x:f>IF(MOD(A2232,4)=0,1,0)</x:f>
        <x:v>0</x:v>
      </x:c>
      <x:c r="E2232" s="8" t="n">
        <x:f>IF(AND(F2231&lt;=9,AS2231&gt;=AR2231),1,0)</x:f>
        <x:v>0</x:v>
      </x:c>
      <x:c r="F2232" s="8" t="n">
        <x:f>MIN(10,F2231+E2232)</x:f>
        <x:v>10</x:v>
      </x:c>
      <x:c r="G2232" s="8" t="n">
        <x:f>MIN(F2232,9)+1</x:f>
        <x:v>10</x:v>
      </x:c>
      <x:c r="H2232" s="8" t="n">
        <x:f>IF(F2232&lt;=9,1,0)</x:f>
        <x:v>0</x:v>
      </x:c>
      <x:c r="I2232" s="9" t="n">
        <x:f>MIN(10,F2231+IF(AR2231&gt;0,MIN(1,AS2231/AR2231),1))</x:f>
        <x:v>10</x:v>
      </x:c>
      <x:c r="J2232" s="32" t="n">
        <x:f>INDEX(v01_FoodCap,G2232)*Arch_FoodCap*EXP(v01_CapsByProject*SUMPRODUCT((Cap_Point&lt;=I2232)*(Cap_Kind="Food")*Cap_Ln))</x:f>
        <x:v>12000</x:v>
      </x:c>
      <x:c r="K2232" s="32" t="n">
        <x:f>J2232*MIN(1,v01_LeanBase*EXP(v01_CapsByProject*SUMPRODUCT((Cap_Point&lt;=I2232)*(Cap_Kind="Lean")*Cap_Ln)))</x:f>
        <x:v>12000</x:v>
      </x:c>
      <x:c r="L2232" s="10" t="n">
        <x:f>INDEX(v01_HousingCap,G2232)*EXP(v01_CapsByProject*SUMPRODUCT((Cap_Point&lt;=I2232)*(Cap_Kind="Housing")*Cap_Ln))</x:f>
        <x:v>20000</x:v>
      </x:c>
      <x:c r="M2232" s="10" t="n">
        <x:f>INDEX(v01_GroupCap,G2232)*v01_CohesionFactor*EXP(v01_CapsByProject*SUMPRODUCT((Cap_Point&lt;=I2232)*(Cap_Kind="Group")*Cap_Ln))</x:f>
        <x:v>1000000</x:v>
      </x:c>
      <x:c r="N2232" s="32" t="n">
        <x:f>MIN(J2232,L2232,M2232)</x:f>
        <x:v>12000</x:v>
      </x:c>
      <x:c r="O2232" s="10" t="n">
        <x:f>AE2231*N2232</x:f>
        <x:v>180000</x:v>
      </x:c>
      <x:c r="P2232" s="9" t="n">
        <x:f>MIN(1,(AB2231/(AE2231*IF(v01_GroupInCrowding=1,N2232,MIN(J2232,L2232))))^v01_CrowdingExp)</x:f>
        <x:v>0.00024569414295285325</x:v>
      </x:c>
      <x:c r="Q2232" s="9" t="n">
        <x:f>IF(D2232=1,INDEX(v01_WinterMult,G2232),1)</x:f>
        <x:v>1</x:v>
      </x:c>
      <x:c r="R2232" s="9" t="n">
        <x:f>H2232*Z2231*v01_WomenShare*v01_BaseFertility*INDEX(v01_FertMult,G2232)*Arch_Fertility*(1-P2232)</x:f>
        <x:v>0</x:v>
      </x:c>
      <x:c r="S2232" s="9" t="n">
        <x:f>H2232*Y2231*INDEX(v01_MortChild,G2232)/4*Q2232</x:f>
        <x:v>0</x:v>
      </x:c>
      <x:c r="T2232" s="9" t="n">
        <x:f>H2232*Z2231*INDEX(v01_MortAdult,G2232)*Arch_AdultMort/4*Q2232</x:f>
        <x:v>0</x:v>
      </x:c>
      <x:c r="U2232" s="9" t="n">
        <x:f>H2232*AA2231*INDEX(v01_MortElder,G2232)/4*Q2232</x:f>
        <x:v>0</x:v>
      </x:c>
      <x:c r="V2232" s="9" t="n">
        <x:f>H2232*MAX(0,AB2231-O2232)*v01_OvercapLoss</x:f>
        <x:v>0</x:v>
      </x:c>
      <x:c r="W2232" s="9" t="n">
        <x:f>H2232*Y2231/(v01_ChildYears*4)</x:f>
        <x:v>0</x:v>
      </x:c>
      <x:c r="X2232" s="9" t="n">
        <x:f>H2232*Z2231/(v01_AdultYears*4)</x:f>
        <x:v>0</x:v>
      </x:c>
      <x:c r="Y2232" s="32" t="n">
        <x:f>Y2231+R2232-S2232-W2232-Y2231*V2232/AB2231</x:f>
        <x:v>14306.18539759397</x:v>
      </x:c>
      <x:c r="Z2232" s="32" t="n">
        <x:f>Z2231+W2232-X2232-T2232-Z2231*V2232/AB2231</x:f>
        <x:v>19354.456567879548</x:v>
      </x:c>
      <x:c r="AA2232" s="32" t="n">
        <x:f>AA2231+X2232-U2232-AA2231*V2232/AB2231</x:f>
        <x:v>11386.956063258198</x:v>
      </x:c>
      <x:c r="AB2232" s="10" t="n">
        <x:f>Y2232+Z2232+AA2232</x:f>
        <x:v>45047.59802873172</x:v>
      </x:c>
      <x:c r="AC2232" s="8" t="n">
        <x:f>IF(AND(v01_WinterTrigger=1,D2232=1,AB2231/AE2231&gt;=K2232),1,0)</x:f>
        <x:v>0</x:v>
      </x:c>
      <x:c r="AD2232" s="8" t="n">
        <x:f>H2232*IF(AND(OR(AB2231/AE2231&gt;=v01_FissionTrigger*N2232,AC2232=1),AB2231/AE2231*v01_DaughterShare&gt;=v01_MinDaughter),MAX(1,ROUND(AE2231*v01_FissionRate,0)),0)</x:f>
        <x:v>0</x:v>
      </x:c>
      <x:c r="AE2232" s="8" t="n">
        <x:f>IF(H2232=1,MAX(1,MIN(INDEX(v01_Smax,G2232),AE2231+AD2232)),AE2231)</x:f>
        <x:v>15</x:v>
      </x:c>
      <x:c r="AF2232" s="8" t="n">
        <x:f>MAX(0,AE2232-AE2231)</x:f>
        <x:v>0</x:v>
      </x:c>
      <x:c r="AG2232" s="9" t="str">
        <x:f>IF(AF2232&gt;0,B2232,"")</x:f>
      </x:c>
      <x:c r="AH2232" s="9" t="n">
        <x:f>IF(F2232&gt;=1,1,(1+v01_LowTiesShare*(AE2232-1))/AE2232)</x:f>
        <x:v>1</x:v>
      </x:c>
      <x:c r="AI2232" s="32" t="n">
        <x:f>(Z2232+v01_ElderCommons*INDEX(LM_Elder,G2232)*AA2232)*AH2232</x:f>
        <x:v>64139.732591141874</x:v>
      </x:c>
      <x:c r="AJ2232" s="32" t="n">
        <x:f>H2232*v01_CommonsCoef*AI2232^v01_CommonsExp*INDEX(LM_Commons,G2232)</x:f>
        <x:v>0</x:v>
      </x:c>
      <x:c r="AK2232" s="32" t="n">
        <x:f>H2232*v01_RoleScale*Arch_Roles*(AE2232*(INDEX(v01_ElderRolePerSett,G2232)*v01_OutElder*INDEX(LM_Elder,G2232)+INDEX(v01_ShamanPerSett,G2232)*v01_OutShaman)+Z2232*(INDEX(v01_PriestShare,G2232)*v01_OutPriest+INDEX(v01_ScribeShare,G2232)*v01_OutScribe*INDEX(LM_Scribe,G2232)+INDEX(v01_ScholarShare,G2232)*v01_OutScholar*INDEX(LM_Scholar,G2232)+INDEX(v01_ResearcherShare,G2232)*v01_OutResearcher*INDEX(LM_Researcher,G2232)))</x:f>
        <x:v>0</x:v>
      </x:c>
      <x:c r="AL2232" s="32" t="n">
        <x:f>H2232*v01_RoleScale*Arch_Roles*AE2232*INDEX(v01_MonasteryPerSett,G2232)*v01_OutMonastery*INDEX(LM_Monastery,G2232)</x:f>
        <x:v>0</x:v>
      </x:c>
      <x:c r="AM2232" s="32" t="n">
        <x:f>(AJ2232+AK2232+AL2232)/4*INDEX(LM_All,G2232)*INDEX(v01_Boon,G2232)*Arch_Insight</x:f>
        <x:v>0</x:v>
      </x:c>
      <x:c r="AN2232" s="32" t="n">
        <x:f>H2232*(v01_KHPerAdult*Z2232+v01_KHOfCommons*AJ2232/4*INDEX(LM_All,G2232))*v01_KHUsable*Arch_KH</x:f>
        <x:v>0</x:v>
      </x:c>
      <x:c r="AO2232" s="32" t="n">
        <x:f>MIN(AP2231+AN2232,AM2232*v01_KHMaxRatio)</x:f>
        <x:v>0</x:v>
      </x:c>
      <x:c r="AP2232" s="32" t="n">
        <x:f>AP2231+AN2232-AO2232</x:f>
        <x:v>0</x:v>
      </x:c>
      <x:c r="AQ2232" s="32" t="n">
        <x:f>AM2232+AO2232</x:f>
        <x:v>0</x:v>
      </x:c>
      <x:c r="AR2232" s="10" t="n">
        <x:f>IF(H2232=1,INDEX(v01_Req,G2232),0)</x:f>
        <x:v>0</x:v>
      </x:c>
      <x:c r="AS2232" s="32" t="n">
        <x:f>IF(H2232=1,IF(E2232=1,AS2231-AR2231,AS2231)+AQ2232,0)</x:f>
        <x:v>0</x:v>
      </x:c>
      <x:c r="AT2232" s="11" t="n">
        <x:f>IF(AR2232&gt;0,MIN(1,AS2232/AR2232),1)</x:f>
        <x:v>1</x:v>
      </x:c>
      <x:c r="AU2232" s="10" t="n">
        <x:f>AB2232/INDEX(v01_RepScale,G2232)</x:f>
        <x:v>90.09519605746344</x:v>
      </x:c>
      <x:c r="AV2232" s="32" t="n">
        <x:f>AM2232*60/v01_SeasonSeconds</x:f>
        <x:v>0</x:v>
      </x:c>
    </x:row>
    <x:row r="2233">
      <x:c r="A2233" s="8" t="n">
        <x:f>A2232+1</x:f>
        <x:v>2230</x:v>
      </x:c>
      <x:c r="B2233" s="9" t="n">
        <x:f>A2233*v01_SeasonSeconds/60</x:f>
        <x:v>557.5</x:v>
      </x:c>
      <x:c r="C2233" s="9" t="n">
        <x:f>A2233/4</x:f>
        <x:v>557.5</x:v>
      </x:c>
      <x:c r="D2233" s="8" t="n">
        <x:f>IF(MOD(A2233,4)=0,1,0)</x:f>
        <x:v>0</x:v>
      </x:c>
      <x:c r="E2233" s="8" t="n">
        <x:f>IF(AND(F2232&lt;=9,AS2232&gt;=AR2232),1,0)</x:f>
        <x:v>0</x:v>
      </x:c>
      <x:c r="F2233" s="8" t="n">
        <x:f>MIN(10,F2232+E2233)</x:f>
        <x:v>10</x:v>
      </x:c>
      <x:c r="G2233" s="8" t="n">
        <x:f>MIN(F2233,9)+1</x:f>
        <x:v>10</x:v>
      </x:c>
      <x:c r="H2233" s="8" t="n">
        <x:f>IF(F2233&lt;=9,1,0)</x:f>
        <x:v>0</x:v>
      </x:c>
      <x:c r="I2233" s="9" t="n">
        <x:f>MIN(10,F2232+IF(AR2232&gt;0,MIN(1,AS2232/AR2232),1))</x:f>
        <x:v>10</x:v>
      </x:c>
      <x:c r="J2233" s="32" t="n">
        <x:f>INDEX(v01_FoodCap,G2233)*Arch_FoodCap*EXP(v01_CapsByProject*SUMPRODUCT((Cap_Point&lt;=I2233)*(Cap_Kind="Food")*Cap_Ln))</x:f>
        <x:v>12000</x:v>
      </x:c>
      <x:c r="K2233" s="32" t="n">
        <x:f>J2233*MIN(1,v01_LeanBase*EXP(v01_CapsByProject*SUMPRODUCT((Cap_Point&lt;=I2233)*(Cap_Kind="Lean")*Cap_Ln)))</x:f>
        <x:v>12000</x:v>
      </x:c>
      <x:c r="L2233" s="10" t="n">
        <x:f>INDEX(v01_HousingCap,G2233)*EXP(v01_CapsByProject*SUMPRODUCT((Cap_Point&lt;=I2233)*(Cap_Kind="Housing")*Cap_Ln))</x:f>
        <x:v>20000</x:v>
      </x:c>
      <x:c r="M2233" s="10" t="n">
        <x:f>INDEX(v01_GroupCap,G2233)*v01_CohesionFactor*EXP(v01_CapsByProject*SUMPRODUCT((Cap_Point&lt;=I2233)*(Cap_Kind="Group")*Cap_Ln))</x:f>
        <x:v>1000000</x:v>
      </x:c>
      <x:c r="N2233" s="32" t="n">
        <x:f>MIN(J2233,L2233,M2233)</x:f>
        <x:v>12000</x:v>
      </x:c>
      <x:c r="O2233" s="10" t="n">
        <x:f>AE2232*N2233</x:f>
        <x:v>180000</x:v>
      </x:c>
      <x:c r="P2233" s="9" t="n">
        <x:f>MIN(1,(AB2232/(AE2232*IF(v01_GroupInCrowding=1,N2233,MIN(J2233,L2233))))^v01_CrowdingExp)</x:f>
        <x:v>0.00024569414295285325</x:v>
      </x:c>
      <x:c r="Q2233" s="9" t="n">
        <x:f>IF(D2233=1,INDEX(v01_WinterMult,G2233),1)</x:f>
        <x:v>1</x:v>
      </x:c>
      <x:c r="R2233" s="9" t="n">
        <x:f>H2233*Z2232*v01_WomenShare*v01_BaseFertility*INDEX(v01_FertMult,G2233)*Arch_Fertility*(1-P2233)</x:f>
        <x:v>0</x:v>
      </x:c>
      <x:c r="S2233" s="9" t="n">
        <x:f>H2233*Y2232*INDEX(v01_MortChild,G2233)/4*Q2233</x:f>
        <x:v>0</x:v>
      </x:c>
      <x:c r="T2233" s="9" t="n">
        <x:f>H2233*Z2232*INDEX(v01_MortAdult,G2233)*Arch_AdultMort/4*Q2233</x:f>
        <x:v>0</x:v>
      </x:c>
      <x:c r="U2233" s="9" t="n">
        <x:f>H2233*AA2232*INDEX(v01_MortElder,G2233)/4*Q2233</x:f>
        <x:v>0</x:v>
      </x:c>
      <x:c r="V2233" s="9" t="n">
        <x:f>H2233*MAX(0,AB2232-O2233)*v01_OvercapLoss</x:f>
        <x:v>0</x:v>
      </x:c>
      <x:c r="W2233" s="9" t="n">
        <x:f>H2233*Y2232/(v01_ChildYears*4)</x:f>
        <x:v>0</x:v>
      </x:c>
      <x:c r="X2233" s="9" t="n">
        <x:f>H2233*Z2232/(v01_AdultYears*4)</x:f>
        <x:v>0</x:v>
      </x:c>
      <x:c r="Y2233" s="32" t="n">
        <x:f>Y2232+R2233-S2233-W2233-Y2232*V2233/AB2232</x:f>
        <x:v>14306.18539759397</x:v>
      </x:c>
      <x:c r="Z2233" s="32" t="n">
        <x:f>Z2232+W2233-X2233-T2233-Z2232*V2233/AB2232</x:f>
        <x:v>19354.456567879548</x:v>
      </x:c>
      <x:c r="AA2233" s="32" t="n">
        <x:f>AA2232+X2233-U2233-AA2232*V2233/AB2232</x:f>
        <x:v>11386.956063258198</x:v>
      </x:c>
      <x:c r="AB2233" s="10" t="n">
        <x:f>Y2233+Z2233+AA2233</x:f>
        <x:v>45047.59802873172</x:v>
      </x:c>
      <x:c r="AC2233" s="8" t="n">
        <x:f>IF(AND(v01_WinterTrigger=1,D2233=1,AB2232/AE2232&gt;=K2233),1,0)</x:f>
        <x:v>0</x:v>
      </x:c>
      <x:c r="AD2233" s="8" t="n">
        <x:f>H2233*IF(AND(OR(AB2232/AE2232&gt;=v01_FissionTrigger*N2233,AC2233=1),AB2232/AE2232*v01_DaughterShare&gt;=v01_MinDaughter),MAX(1,ROUND(AE2232*v01_FissionRate,0)),0)</x:f>
        <x:v>0</x:v>
      </x:c>
      <x:c r="AE2233" s="8" t="n">
        <x:f>IF(H2233=1,MAX(1,MIN(INDEX(v01_Smax,G2233),AE2232+AD2233)),AE2232)</x:f>
        <x:v>15</x:v>
      </x:c>
      <x:c r="AF2233" s="8" t="n">
        <x:f>MAX(0,AE2233-AE2232)</x:f>
        <x:v>0</x:v>
      </x:c>
      <x:c r="AG2233" s="9" t="str">
        <x:f>IF(AF2233&gt;0,B2233,"")</x:f>
      </x:c>
      <x:c r="AH2233" s="9" t="n">
        <x:f>IF(F2233&gt;=1,1,(1+v01_LowTiesShare*(AE2233-1))/AE2233)</x:f>
        <x:v>1</x:v>
      </x:c>
      <x:c r="AI2233" s="32" t="n">
        <x:f>(Z2233+v01_ElderCommons*INDEX(LM_Elder,G2233)*AA2233)*AH2233</x:f>
        <x:v>64139.732591141874</x:v>
      </x:c>
      <x:c r="AJ2233" s="32" t="n">
        <x:f>H2233*v01_CommonsCoef*AI2233^v01_CommonsExp*INDEX(LM_Commons,G2233)</x:f>
        <x:v>0</x:v>
      </x:c>
      <x:c r="AK2233" s="32" t="n">
        <x:f>H2233*v01_RoleScale*Arch_Roles*(AE2233*(INDEX(v01_ElderRolePerSett,G2233)*v01_OutElder*INDEX(LM_Elder,G2233)+INDEX(v01_ShamanPerSett,G2233)*v01_OutShaman)+Z2233*(INDEX(v01_PriestShare,G2233)*v01_OutPriest+INDEX(v01_ScribeShare,G2233)*v01_OutScribe*INDEX(LM_Scribe,G2233)+INDEX(v01_ScholarShare,G2233)*v01_OutScholar*INDEX(LM_Scholar,G2233)+INDEX(v01_ResearcherShare,G2233)*v01_OutResearcher*INDEX(LM_Researcher,G2233)))</x:f>
        <x:v>0</x:v>
      </x:c>
      <x:c r="AL2233" s="32" t="n">
        <x:f>H2233*v01_RoleScale*Arch_Roles*AE2233*INDEX(v01_MonasteryPerSett,G2233)*v01_OutMonastery*INDEX(LM_Monastery,G2233)</x:f>
        <x:v>0</x:v>
      </x:c>
      <x:c r="AM2233" s="32" t="n">
        <x:f>(AJ2233+AK2233+AL2233)/4*INDEX(LM_All,G2233)*INDEX(v01_Boon,G2233)*Arch_Insight</x:f>
        <x:v>0</x:v>
      </x:c>
      <x:c r="AN2233" s="32" t="n">
        <x:f>H2233*(v01_KHPerAdult*Z2233+v01_KHOfCommons*AJ2233/4*INDEX(LM_All,G2233))*v01_KHUsable*Arch_KH</x:f>
        <x:v>0</x:v>
      </x:c>
      <x:c r="AO2233" s="32" t="n">
        <x:f>MIN(AP2232+AN2233,AM2233*v01_KHMaxRatio)</x:f>
        <x:v>0</x:v>
      </x:c>
      <x:c r="AP2233" s="32" t="n">
        <x:f>AP2232+AN2233-AO2233</x:f>
        <x:v>0</x:v>
      </x:c>
      <x:c r="AQ2233" s="32" t="n">
        <x:f>AM2233+AO2233</x:f>
        <x:v>0</x:v>
      </x:c>
      <x:c r="AR2233" s="10" t="n">
        <x:f>IF(H2233=1,INDEX(v01_Req,G2233),0)</x:f>
        <x:v>0</x:v>
      </x:c>
      <x:c r="AS2233" s="32" t="n">
        <x:f>IF(H2233=1,IF(E2233=1,AS2232-AR2232,AS2232)+AQ2233,0)</x:f>
        <x:v>0</x:v>
      </x:c>
      <x:c r="AT2233" s="11" t="n">
        <x:f>IF(AR2233&gt;0,MIN(1,AS2233/AR2233),1)</x:f>
        <x:v>1</x:v>
      </x:c>
      <x:c r="AU2233" s="10" t="n">
        <x:f>AB2233/INDEX(v01_RepScale,G2233)</x:f>
        <x:v>90.09519605746344</x:v>
      </x:c>
      <x:c r="AV2233" s="32" t="n">
        <x:f>AM2233*60/v01_SeasonSeconds</x:f>
        <x:v>0</x:v>
      </x:c>
    </x:row>
    <x:row r="2234">
      <x:c r="A2234" s="8" t="n">
        <x:f>A2233+1</x:f>
        <x:v>2231</x:v>
      </x:c>
      <x:c r="B2234" s="9" t="n">
        <x:f>A2234*v01_SeasonSeconds/60</x:f>
        <x:v>557.75</x:v>
      </x:c>
      <x:c r="C2234" s="9" t="n">
        <x:f>A2234/4</x:f>
        <x:v>557.75</x:v>
      </x:c>
      <x:c r="D2234" s="8" t="n">
        <x:f>IF(MOD(A2234,4)=0,1,0)</x:f>
        <x:v>0</x:v>
      </x:c>
      <x:c r="E2234" s="8" t="n">
        <x:f>IF(AND(F2233&lt;=9,AS2233&gt;=AR2233),1,0)</x:f>
        <x:v>0</x:v>
      </x:c>
      <x:c r="F2234" s="8" t="n">
        <x:f>MIN(10,F2233+E2234)</x:f>
        <x:v>10</x:v>
      </x:c>
      <x:c r="G2234" s="8" t="n">
        <x:f>MIN(F2234,9)+1</x:f>
        <x:v>10</x:v>
      </x:c>
      <x:c r="H2234" s="8" t="n">
        <x:f>IF(F2234&lt;=9,1,0)</x:f>
        <x:v>0</x:v>
      </x:c>
      <x:c r="I2234" s="9" t="n">
        <x:f>MIN(10,F2233+IF(AR2233&gt;0,MIN(1,AS2233/AR2233),1))</x:f>
        <x:v>10</x:v>
      </x:c>
      <x:c r="J2234" s="32" t="n">
        <x:f>INDEX(v01_FoodCap,G2234)*Arch_FoodCap*EXP(v01_CapsByProject*SUMPRODUCT((Cap_Point&lt;=I2234)*(Cap_Kind="Food")*Cap_Ln))</x:f>
        <x:v>12000</x:v>
      </x:c>
      <x:c r="K2234" s="32" t="n">
        <x:f>J2234*MIN(1,v01_LeanBase*EXP(v01_CapsByProject*SUMPRODUCT((Cap_Point&lt;=I2234)*(Cap_Kind="Lean")*Cap_Ln)))</x:f>
        <x:v>12000</x:v>
      </x:c>
      <x:c r="L2234" s="10" t="n">
        <x:f>INDEX(v01_HousingCap,G2234)*EXP(v01_CapsByProject*SUMPRODUCT((Cap_Point&lt;=I2234)*(Cap_Kind="Housing")*Cap_Ln))</x:f>
        <x:v>20000</x:v>
      </x:c>
      <x:c r="M2234" s="10" t="n">
        <x:f>INDEX(v01_GroupCap,G2234)*v01_CohesionFactor*EXP(v01_CapsByProject*SUMPRODUCT((Cap_Point&lt;=I2234)*(Cap_Kind="Group")*Cap_Ln))</x:f>
        <x:v>1000000</x:v>
      </x:c>
      <x:c r="N2234" s="32" t="n">
        <x:f>MIN(J2234,L2234,M2234)</x:f>
        <x:v>12000</x:v>
      </x:c>
      <x:c r="O2234" s="10" t="n">
        <x:f>AE2233*N2234</x:f>
        <x:v>180000</x:v>
      </x:c>
      <x:c r="P2234" s="9" t="n">
        <x:f>MIN(1,(AB2233/(AE2233*IF(v01_GroupInCrowding=1,N2234,MIN(J2234,L2234))))^v01_CrowdingExp)</x:f>
        <x:v>0.00024569414295285325</x:v>
      </x:c>
      <x:c r="Q2234" s="9" t="n">
        <x:f>IF(D2234=1,INDEX(v01_WinterMult,G2234),1)</x:f>
        <x:v>1</x:v>
      </x:c>
      <x:c r="R2234" s="9" t="n">
        <x:f>H2234*Z2233*v01_WomenShare*v01_BaseFertility*INDEX(v01_FertMult,G2234)*Arch_Fertility*(1-P2234)</x:f>
        <x:v>0</x:v>
      </x:c>
      <x:c r="S2234" s="9" t="n">
        <x:f>H2234*Y2233*INDEX(v01_MortChild,G2234)/4*Q2234</x:f>
        <x:v>0</x:v>
      </x:c>
      <x:c r="T2234" s="9" t="n">
        <x:f>H2234*Z2233*INDEX(v01_MortAdult,G2234)*Arch_AdultMort/4*Q2234</x:f>
        <x:v>0</x:v>
      </x:c>
      <x:c r="U2234" s="9" t="n">
        <x:f>H2234*AA2233*INDEX(v01_MortElder,G2234)/4*Q2234</x:f>
        <x:v>0</x:v>
      </x:c>
      <x:c r="V2234" s="9" t="n">
        <x:f>H2234*MAX(0,AB2233-O2234)*v01_OvercapLoss</x:f>
        <x:v>0</x:v>
      </x:c>
      <x:c r="W2234" s="9" t="n">
        <x:f>H2234*Y2233/(v01_ChildYears*4)</x:f>
        <x:v>0</x:v>
      </x:c>
      <x:c r="X2234" s="9" t="n">
        <x:f>H2234*Z2233/(v01_AdultYears*4)</x:f>
        <x:v>0</x:v>
      </x:c>
      <x:c r="Y2234" s="32" t="n">
        <x:f>Y2233+R2234-S2234-W2234-Y2233*V2234/AB2233</x:f>
        <x:v>14306.18539759397</x:v>
      </x:c>
      <x:c r="Z2234" s="32" t="n">
        <x:f>Z2233+W2234-X2234-T2234-Z2233*V2234/AB2233</x:f>
        <x:v>19354.456567879548</x:v>
      </x:c>
      <x:c r="AA2234" s="32" t="n">
        <x:f>AA2233+X2234-U2234-AA2233*V2234/AB2233</x:f>
        <x:v>11386.956063258198</x:v>
      </x:c>
      <x:c r="AB2234" s="10" t="n">
        <x:f>Y2234+Z2234+AA2234</x:f>
        <x:v>45047.59802873172</x:v>
      </x:c>
      <x:c r="AC2234" s="8" t="n">
        <x:f>IF(AND(v01_WinterTrigger=1,D2234=1,AB2233/AE2233&gt;=K2234),1,0)</x:f>
        <x:v>0</x:v>
      </x:c>
      <x:c r="AD2234" s="8" t="n">
        <x:f>H2234*IF(AND(OR(AB2233/AE2233&gt;=v01_FissionTrigger*N2234,AC2234=1),AB2233/AE2233*v01_DaughterShare&gt;=v01_MinDaughter),MAX(1,ROUND(AE2233*v01_FissionRate,0)),0)</x:f>
        <x:v>0</x:v>
      </x:c>
      <x:c r="AE2234" s="8" t="n">
        <x:f>IF(H2234=1,MAX(1,MIN(INDEX(v01_Smax,G2234),AE2233+AD2234)),AE2233)</x:f>
        <x:v>15</x:v>
      </x:c>
      <x:c r="AF2234" s="8" t="n">
        <x:f>MAX(0,AE2234-AE2233)</x:f>
        <x:v>0</x:v>
      </x:c>
      <x:c r="AG2234" s="9" t="str">
        <x:f>IF(AF2234&gt;0,B2234,"")</x:f>
      </x:c>
      <x:c r="AH2234" s="9" t="n">
        <x:f>IF(F2234&gt;=1,1,(1+v01_LowTiesShare*(AE2234-1))/AE2234)</x:f>
        <x:v>1</x:v>
      </x:c>
      <x:c r="AI2234" s="32" t="n">
        <x:f>(Z2234+v01_ElderCommons*INDEX(LM_Elder,G2234)*AA2234)*AH2234</x:f>
        <x:v>64139.732591141874</x:v>
      </x:c>
      <x:c r="AJ2234" s="32" t="n">
        <x:f>H2234*v01_CommonsCoef*AI2234^v01_CommonsExp*INDEX(LM_Commons,G2234)</x:f>
        <x:v>0</x:v>
      </x:c>
      <x:c r="AK2234" s="32" t="n">
        <x:f>H2234*v01_RoleScale*Arch_Roles*(AE2234*(INDEX(v01_ElderRolePerSett,G2234)*v01_OutElder*INDEX(LM_Elder,G2234)+INDEX(v01_ShamanPerSett,G2234)*v01_OutShaman)+Z2234*(INDEX(v01_PriestShare,G2234)*v01_OutPriest+INDEX(v01_ScribeShare,G2234)*v01_OutScribe*INDEX(LM_Scribe,G2234)+INDEX(v01_ScholarShare,G2234)*v01_OutScholar*INDEX(LM_Scholar,G2234)+INDEX(v01_ResearcherShare,G2234)*v01_OutResearcher*INDEX(LM_Researcher,G2234)))</x:f>
        <x:v>0</x:v>
      </x:c>
      <x:c r="AL2234" s="32" t="n">
        <x:f>H2234*v01_RoleScale*Arch_Roles*AE2234*INDEX(v01_MonasteryPerSett,G2234)*v01_OutMonastery*INDEX(LM_Monastery,G2234)</x:f>
        <x:v>0</x:v>
      </x:c>
      <x:c r="AM2234" s="32" t="n">
        <x:f>(AJ2234+AK2234+AL2234)/4*INDEX(LM_All,G2234)*INDEX(v01_Boon,G2234)*Arch_Insight</x:f>
        <x:v>0</x:v>
      </x:c>
      <x:c r="AN2234" s="32" t="n">
        <x:f>H2234*(v01_KHPerAdult*Z2234+v01_KHOfCommons*AJ2234/4*INDEX(LM_All,G2234))*v01_KHUsable*Arch_KH</x:f>
        <x:v>0</x:v>
      </x:c>
      <x:c r="AO2234" s="32" t="n">
        <x:f>MIN(AP2233+AN2234,AM2234*v01_KHMaxRatio)</x:f>
        <x:v>0</x:v>
      </x:c>
      <x:c r="AP2234" s="32" t="n">
        <x:f>AP2233+AN2234-AO2234</x:f>
        <x:v>0</x:v>
      </x:c>
      <x:c r="AQ2234" s="32" t="n">
        <x:f>AM2234+AO2234</x:f>
        <x:v>0</x:v>
      </x:c>
      <x:c r="AR2234" s="10" t="n">
        <x:f>IF(H2234=1,INDEX(v01_Req,G2234),0)</x:f>
        <x:v>0</x:v>
      </x:c>
      <x:c r="AS2234" s="32" t="n">
        <x:f>IF(H2234=1,IF(E2234=1,AS2233-AR2233,AS2233)+AQ2234,0)</x:f>
        <x:v>0</x:v>
      </x:c>
      <x:c r="AT2234" s="11" t="n">
        <x:f>IF(AR2234&gt;0,MIN(1,AS2234/AR2234),1)</x:f>
        <x:v>1</x:v>
      </x:c>
      <x:c r="AU2234" s="10" t="n">
        <x:f>AB2234/INDEX(v01_RepScale,G2234)</x:f>
        <x:v>90.09519605746344</x:v>
      </x:c>
      <x:c r="AV2234" s="32" t="n">
        <x:f>AM2234*60/v01_SeasonSeconds</x:f>
        <x:v>0</x:v>
      </x:c>
    </x:row>
    <x:row r="2235">
      <x:c r="A2235" s="8" t="n">
        <x:f>A2234+1</x:f>
        <x:v>2232</x:v>
      </x:c>
      <x:c r="B2235" s="9" t="n">
        <x:f>A2235*v01_SeasonSeconds/60</x:f>
        <x:v>558</x:v>
      </x:c>
      <x:c r="C2235" s="9" t="n">
        <x:f>A2235/4</x:f>
        <x:v>558</x:v>
      </x:c>
      <x:c r="D2235" s="8" t="n">
        <x:f>IF(MOD(A2235,4)=0,1,0)</x:f>
        <x:v>1</x:v>
      </x:c>
      <x:c r="E2235" s="8" t="n">
        <x:f>IF(AND(F2234&lt;=9,AS2234&gt;=AR2234),1,0)</x:f>
        <x:v>0</x:v>
      </x:c>
      <x:c r="F2235" s="8" t="n">
        <x:f>MIN(10,F2234+E2235)</x:f>
        <x:v>10</x:v>
      </x:c>
      <x:c r="G2235" s="8" t="n">
        <x:f>MIN(F2235,9)+1</x:f>
        <x:v>10</x:v>
      </x:c>
      <x:c r="H2235" s="8" t="n">
        <x:f>IF(F2235&lt;=9,1,0)</x:f>
        <x:v>0</x:v>
      </x:c>
      <x:c r="I2235" s="9" t="n">
        <x:f>MIN(10,F2234+IF(AR2234&gt;0,MIN(1,AS2234/AR2234),1))</x:f>
        <x:v>10</x:v>
      </x:c>
      <x:c r="J2235" s="32" t="n">
        <x:f>INDEX(v01_FoodCap,G2235)*Arch_FoodCap*EXP(v01_CapsByProject*SUMPRODUCT((Cap_Point&lt;=I2235)*(Cap_Kind="Food")*Cap_Ln))</x:f>
        <x:v>12000</x:v>
      </x:c>
      <x:c r="K2235" s="32" t="n">
        <x:f>J2235*MIN(1,v01_LeanBase*EXP(v01_CapsByProject*SUMPRODUCT((Cap_Point&lt;=I2235)*(Cap_Kind="Lean")*Cap_Ln)))</x:f>
        <x:v>12000</x:v>
      </x:c>
      <x:c r="L2235" s="10" t="n">
        <x:f>INDEX(v01_HousingCap,G2235)*EXP(v01_CapsByProject*SUMPRODUCT((Cap_Point&lt;=I2235)*(Cap_Kind="Housing")*Cap_Ln))</x:f>
        <x:v>20000</x:v>
      </x:c>
      <x:c r="M2235" s="10" t="n">
        <x:f>INDEX(v01_GroupCap,G2235)*v01_CohesionFactor*EXP(v01_CapsByProject*SUMPRODUCT((Cap_Point&lt;=I2235)*(Cap_Kind="Group")*Cap_Ln))</x:f>
        <x:v>1000000</x:v>
      </x:c>
      <x:c r="N2235" s="32" t="n">
        <x:f>MIN(J2235,L2235,M2235)</x:f>
        <x:v>12000</x:v>
      </x:c>
      <x:c r="O2235" s="10" t="n">
        <x:f>AE2234*N2235</x:f>
        <x:v>180000</x:v>
      </x:c>
      <x:c r="P2235" s="9" t="n">
        <x:f>MIN(1,(AB2234/(AE2234*IF(v01_GroupInCrowding=1,N2235,MIN(J2235,L2235))))^v01_CrowdingExp)</x:f>
        <x:v>0.00024569414295285325</x:v>
      </x:c>
      <x:c r="Q2235" s="9" t="n">
        <x:f>IF(D2235=1,INDEX(v01_WinterMult,G2235),1)</x:f>
        <x:v>1</x:v>
      </x:c>
      <x:c r="R2235" s="9" t="n">
        <x:f>H2235*Z2234*v01_WomenShare*v01_BaseFertility*INDEX(v01_FertMult,G2235)*Arch_Fertility*(1-P2235)</x:f>
        <x:v>0</x:v>
      </x:c>
      <x:c r="S2235" s="9" t="n">
        <x:f>H2235*Y2234*INDEX(v01_MortChild,G2235)/4*Q2235</x:f>
        <x:v>0</x:v>
      </x:c>
      <x:c r="T2235" s="9" t="n">
        <x:f>H2235*Z2234*INDEX(v01_MortAdult,G2235)*Arch_AdultMort/4*Q2235</x:f>
        <x:v>0</x:v>
      </x:c>
      <x:c r="U2235" s="9" t="n">
        <x:f>H2235*AA2234*INDEX(v01_MortElder,G2235)/4*Q2235</x:f>
        <x:v>0</x:v>
      </x:c>
      <x:c r="V2235" s="9" t="n">
        <x:f>H2235*MAX(0,AB2234-O2235)*v01_OvercapLoss</x:f>
        <x:v>0</x:v>
      </x:c>
      <x:c r="W2235" s="9" t="n">
        <x:f>H2235*Y2234/(v01_ChildYears*4)</x:f>
        <x:v>0</x:v>
      </x:c>
      <x:c r="X2235" s="9" t="n">
        <x:f>H2235*Z2234/(v01_AdultYears*4)</x:f>
        <x:v>0</x:v>
      </x:c>
      <x:c r="Y2235" s="32" t="n">
        <x:f>Y2234+R2235-S2235-W2235-Y2234*V2235/AB2234</x:f>
        <x:v>14306.18539759397</x:v>
      </x:c>
      <x:c r="Z2235" s="32" t="n">
        <x:f>Z2234+W2235-X2235-T2235-Z2234*V2235/AB2234</x:f>
        <x:v>19354.456567879548</x:v>
      </x:c>
      <x:c r="AA2235" s="32" t="n">
        <x:f>AA2234+X2235-U2235-AA2234*V2235/AB2234</x:f>
        <x:v>11386.956063258198</x:v>
      </x:c>
      <x:c r="AB2235" s="10" t="n">
        <x:f>Y2235+Z2235+AA2235</x:f>
        <x:v>45047.59802873172</x:v>
      </x:c>
      <x:c r="AC2235" s="8" t="n">
        <x:f>IF(AND(v01_WinterTrigger=1,D2235=1,AB2234/AE2234&gt;=K2235),1,0)</x:f>
        <x:v>0</x:v>
      </x:c>
      <x:c r="AD2235" s="8" t="n">
        <x:f>H2235*IF(AND(OR(AB2234/AE2234&gt;=v01_FissionTrigger*N2235,AC2235=1),AB2234/AE2234*v01_DaughterShare&gt;=v01_MinDaughter),MAX(1,ROUND(AE2234*v01_FissionRate,0)),0)</x:f>
        <x:v>0</x:v>
      </x:c>
      <x:c r="AE2235" s="8" t="n">
        <x:f>IF(H2235=1,MAX(1,MIN(INDEX(v01_Smax,G2235),AE2234+AD2235)),AE2234)</x:f>
        <x:v>15</x:v>
      </x:c>
      <x:c r="AF2235" s="8" t="n">
        <x:f>MAX(0,AE2235-AE2234)</x:f>
        <x:v>0</x:v>
      </x:c>
      <x:c r="AG2235" s="9" t="str">
        <x:f>IF(AF2235&gt;0,B2235,"")</x:f>
      </x:c>
      <x:c r="AH2235" s="9" t="n">
        <x:f>IF(F2235&gt;=1,1,(1+v01_LowTiesShare*(AE2235-1))/AE2235)</x:f>
        <x:v>1</x:v>
      </x:c>
      <x:c r="AI2235" s="32" t="n">
        <x:f>(Z2235+v01_ElderCommons*INDEX(LM_Elder,G2235)*AA2235)*AH2235</x:f>
        <x:v>64139.732591141874</x:v>
      </x:c>
      <x:c r="AJ2235" s="32" t="n">
        <x:f>H2235*v01_CommonsCoef*AI2235^v01_CommonsExp*INDEX(LM_Commons,G2235)</x:f>
        <x:v>0</x:v>
      </x:c>
      <x:c r="AK2235" s="32" t="n">
        <x:f>H2235*v01_RoleScale*Arch_Roles*(AE2235*(INDEX(v01_ElderRolePerSett,G2235)*v01_OutElder*INDEX(LM_Elder,G2235)+INDEX(v01_ShamanPerSett,G2235)*v01_OutShaman)+Z2235*(INDEX(v01_PriestShare,G2235)*v01_OutPriest+INDEX(v01_ScribeShare,G2235)*v01_OutScribe*INDEX(LM_Scribe,G2235)+INDEX(v01_ScholarShare,G2235)*v01_OutScholar*INDEX(LM_Scholar,G2235)+INDEX(v01_ResearcherShare,G2235)*v01_OutResearcher*INDEX(LM_Researcher,G2235)))</x:f>
        <x:v>0</x:v>
      </x:c>
      <x:c r="AL2235" s="32" t="n">
        <x:f>H2235*v01_RoleScale*Arch_Roles*AE2235*INDEX(v01_MonasteryPerSett,G2235)*v01_OutMonastery*INDEX(LM_Monastery,G2235)</x:f>
        <x:v>0</x:v>
      </x:c>
      <x:c r="AM2235" s="32" t="n">
        <x:f>(AJ2235+AK2235+AL2235)/4*INDEX(LM_All,G2235)*INDEX(v01_Boon,G2235)*Arch_Insight</x:f>
        <x:v>0</x:v>
      </x:c>
      <x:c r="AN2235" s="32" t="n">
        <x:f>H2235*(v01_KHPerAdult*Z2235+v01_KHOfCommons*AJ2235/4*INDEX(LM_All,G2235))*v01_KHUsable*Arch_KH</x:f>
        <x:v>0</x:v>
      </x:c>
      <x:c r="AO2235" s="32" t="n">
        <x:f>MIN(AP2234+AN2235,AM2235*v01_KHMaxRatio)</x:f>
        <x:v>0</x:v>
      </x:c>
      <x:c r="AP2235" s="32" t="n">
        <x:f>AP2234+AN2235-AO2235</x:f>
        <x:v>0</x:v>
      </x:c>
      <x:c r="AQ2235" s="32" t="n">
        <x:f>AM2235+AO2235</x:f>
        <x:v>0</x:v>
      </x:c>
      <x:c r="AR2235" s="10" t="n">
        <x:f>IF(H2235=1,INDEX(v01_Req,G2235),0)</x:f>
        <x:v>0</x:v>
      </x:c>
      <x:c r="AS2235" s="32" t="n">
        <x:f>IF(H2235=1,IF(E2235=1,AS2234-AR2234,AS2234)+AQ2235,0)</x:f>
        <x:v>0</x:v>
      </x:c>
      <x:c r="AT2235" s="11" t="n">
        <x:f>IF(AR2235&gt;0,MIN(1,AS2235/AR2235),1)</x:f>
        <x:v>1</x:v>
      </x:c>
      <x:c r="AU2235" s="10" t="n">
        <x:f>AB2235/INDEX(v01_RepScale,G2235)</x:f>
        <x:v>90.09519605746344</x:v>
      </x:c>
      <x:c r="AV2235" s="32" t="n">
        <x:f>AM2235*60/v01_SeasonSeconds</x:f>
        <x:v>0</x:v>
      </x:c>
    </x:row>
    <x:row r="2236">
      <x:c r="A2236" s="8" t="n">
        <x:f>A2235+1</x:f>
        <x:v>2233</x:v>
      </x:c>
      <x:c r="B2236" s="9" t="n">
        <x:f>A2236*v01_SeasonSeconds/60</x:f>
        <x:v>558.25</x:v>
      </x:c>
      <x:c r="C2236" s="9" t="n">
        <x:f>A2236/4</x:f>
        <x:v>558.25</x:v>
      </x:c>
      <x:c r="D2236" s="8" t="n">
        <x:f>IF(MOD(A2236,4)=0,1,0)</x:f>
        <x:v>0</x:v>
      </x:c>
      <x:c r="E2236" s="8" t="n">
        <x:f>IF(AND(F2235&lt;=9,AS2235&gt;=AR2235),1,0)</x:f>
        <x:v>0</x:v>
      </x:c>
      <x:c r="F2236" s="8" t="n">
        <x:f>MIN(10,F2235+E2236)</x:f>
        <x:v>10</x:v>
      </x:c>
      <x:c r="G2236" s="8" t="n">
        <x:f>MIN(F2236,9)+1</x:f>
        <x:v>10</x:v>
      </x:c>
      <x:c r="H2236" s="8" t="n">
        <x:f>IF(F2236&lt;=9,1,0)</x:f>
        <x:v>0</x:v>
      </x:c>
      <x:c r="I2236" s="9" t="n">
        <x:f>MIN(10,F2235+IF(AR2235&gt;0,MIN(1,AS2235/AR2235),1))</x:f>
        <x:v>10</x:v>
      </x:c>
      <x:c r="J2236" s="32" t="n">
        <x:f>INDEX(v01_FoodCap,G2236)*Arch_FoodCap*EXP(v01_CapsByProject*SUMPRODUCT((Cap_Point&lt;=I2236)*(Cap_Kind="Food")*Cap_Ln))</x:f>
        <x:v>12000</x:v>
      </x:c>
      <x:c r="K2236" s="32" t="n">
        <x:f>J2236*MIN(1,v01_LeanBase*EXP(v01_CapsByProject*SUMPRODUCT((Cap_Point&lt;=I2236)*(Cap_Kind="Lean")*Cap_Ln)))</x:f>
        <x:v>12000</x:v>
      </x:c>
      <x:c r="L2236" s="10" t="n">
        <x:f>INDEX(v01_HousingCap,G2236)*EXP(v01_CapsByProject*SUMPRODUCT((Cap_Point&lt;=I2236)*(Cap_Kind="Housing")*Cap_Ln))</x:f>
        <x:v>20000</x:v>
      </x:c>
      <x:c r="M2236" s="10" t="n">
        <x:f>INDEX(v01_GroupCap,G2236)*v01_CohesionFactor*EXP(v01_CapsByProject*SUMPRODUCT((Cap_Point&lt;=I2236)*(Cap_Kind="Group")*Cap_Ln))</x:f>
        <x:v>1000000</x:v>
      </x:c>
      <x:c r="N2236" s="32" t="n">
        <x:f>MIN(J2236,L2236,M2236)</x:f>
        <x:v>12000</x:v>
      </x:c>
      <x:c r="O2236" s="10" t="n">
        <x:f>AE2235*N2236</x:f>
        <x:v>180000</x:v>
      </x:c>
      <x:c r="P2236" s="9" t="n">
        <x:f>MIN(1,(AB2235/(AE2235*IF(v01_GroupInCrowding=1,N2236,MIN(J2236,L2236))))^v01_CrowdingExp)</x:f>
        <x:v>0.00024569414295285325</x:v>
      </x:c>
      <x:c r="Q2236" s="9" t="n">
        <x:f>IF(D2236=1,INDEX(v01_WinterMult,G2236),1)</x:f>
        <x:v>1</x:v>
      </x:c>
      <x:c r="R2236" s="9" t="n">
        <x:f>H2236*Z2235*v01_WomenShare*v01_BaseFertility*INDEX(v01_FertMult,G2236)*Arch_Fertility*(1-P2236)</x:f>
        <x:v>0</x:v>
      </x:c>
      <x:c r="S2236" s="9" t="n">
        <x:f>H2236*Y2235*INDEX(v01_MortChild,G2236)/4*Q2236</x:f>
        <x:v>0</x:v>
      </x:c>
      <x:c r="T2236" s="9" t="n">
        <x:f>H2236*Z2235*INDEX(v01_MortAdult,G2236)*Arch_AdultMort/4*Q2236</x:f>
        <x:v>0</x:v>
      </x:c>
      <x:c r="U2236" s="9" t="n">
        <x:f>H2236*AA2235*INDEX(v01_MortElder,G2236)/4*Q2236</x:f>
        <x:v>0</x:v>
      </x:c>
      <x:c r="V2236" s="9" t="n">
        <x:f>H2236*MAX(0,AB2235-O2236)*v01_OvercapLoss</x:f>
        <x:v>0</x:v>
      </x:c>
      <x:c r="W2236" s="9" t="n">
        <x:f>H2236*Y2235/(v01_ChildYears*4)</x:f>
        <x:v>0</x:v>
      </x:c>
      <x:c r="X2236" s="9" t="n">
        <x:f>H2236*Z2235/(v01_AdultYears*4)</x:f>
        <x:v>0</x:v>
      </x:c>
      <x:c r="Y2236" s="32" t="n">
        <x:f>Y2235+R2236-S2236-W2236-Y2235*V2236/AB2235</x:f>
        <x:v>14306.18539759397</x:v>
      </x:c>
      <x:c r="Z2236" s="32" t="n">
        <x:f>Z2235+W2236-X2236-T2236-Z2235*V2236/AB2235</x:f>
        <x:v>19354.456567879548</x:v>
      </x:c>
      <x:c r="AA2236" s="32" t="n">
        <x:f>AA2235+X2236-U2236-AA2235*V2236/AB2235</x:f>
        <x:v>11386.956063258198</x:v>
      </x:c>
      <x:c r="AB2236" s="10" t="n">
        <x:f>Y2236+Z2236+AA2236</x:f>
        <x:v>45047.59802873172</x:v>
      </x:c>
      <x:c r="AC2236" s="8" t="n">
        <x:f>IF(AND(v01_WinterTrigger=1,D2236=1,AB2235/AE2235&gt;=K2236),1,0)</x:f>
        <x:v>0</x:v>
      </x:c>
      <x:c r="AD2236" s="8" t="n">
        <x:f>H2236*IF(AND(OR(AB2235/AE2235&gt;=v01_FissionTrigger*N2236,AC2236=1),AB2235/AE2235*v01_DaughterShare&gt;=v01_MinDaughter),MAX(1,ROUND(AE2235*v01_FissionRate,0)),0)</x:f>
        <x:v>0</x:v>
      </x:c>
      <x:c r="AE2236" s="8" t="n">
        <x:f>IF(H2236=1,MAX(1,MIN(INDEX(v01_Smax,G2236),AE2235+AD2236)),AE2235)</x:f>
        <x:v>15</x:v>
      </x:c>
      <x:c r="AF2236" s="8" t="n">
        <x:f>MAX(0,AE2236-AE2235)</x:f>
        <x:v>0</x:v>
      </x:c>
      <x:c r="AG2236" s="9" t="str">
        <x:f>IF(AF2236&gt;0,B2236,"")</x:f>
      </x:c>
      <x:c r="AH2236" s="9" t="n">
        <x:f>IF(F2236&gt;=1,1,(1+v01_LowTiesShare*(AE2236-1))/AE2236)</x:f>
        <x:v>1</x:v>
      </x:c>
      <x:c r="AI2236" s="32" t="n">
        <x:f>(Z2236+v01_ElderCommons*INDEX(LM_Elder,G2236)*AA2236)*AH2236</x:f>
        <x:v>64139.732591141874</x:v>
      </x:c>
      <x:c r="AJ2236" s="32" t="n">
        <x:f>H2236*v01_CommonsCoef*AI2236^v01_CommonsExp*INDEX(LM_Commons,G2236)</x:f>
        <x:v>0</x:v>
      </x:c>
      <x:c r="AK2236" s="32" t="n">
        <x:f>H2236*v01_RoleScale*Arch_Roles*(AE2236*(INDEX(v01_ElderRolePerSett,G2236)*v01_OutElder*INDEX(LM_Elder,G2236)+INDEX(v01_ShamanPerSett,G2236)*v01_OutShaman)+Z2236*(INDEX(v01_PriestShare,G2236)*v01_OutPriest+INDEX(v01_ScribeShare,G2236)*v01_OutScribe*INDEX(LM_Scribe,G2236)+INDEX(v01_ScholarShare,G2236)*v01_OutScholar*INDEX(LM_Scholar,G2236)+INDEX(v01_ResearcherShare,G2236)*v01_OutResearcher*INDEX(LM_Researcher,G2236)))</x:f>
        <x:v>0</x:v>
      </x:c>
      <x:c r="AL2236" s="32" t="n">
        <x:f>H2236*v01_RoleScale*Arch_Roles*AE2236*INDEX(v01_MonasteryPerSett,G2236)*v01_OutMonastery*INDEX(LM_Monastery,G2236)</x:f>
        <x:v>0</x:v>
      </x:c>
      <x:c r="AM2236" s="32" t="n">
        <x:f>(AJ2236+AK2236+AL2236)/4*INDEX(LM_All,G2236)*INDEX(v01_Boon,G2236)*Arch_Insight</x:f>
        <x:v>0</x:v>
      </x:c>
      <x:c r="AN2236" s="32" t="n">
        <x:f>H2236*(v01_KHPerAdult*Z2236+v01_KHOfCommons*AJ2236/4*INDEX(LM_All,G2236))*v01_KHUsable*Arch_KH</x:f>
        <x:v>0</x:v>
      </x:c>
      <x:c r="AO2236" s="32" t="n">
        <x:f>MIN(AP2235+AN2236,AM2236*v01_KHMaxRatio)</x:f>
        <x:v>0</x:v>
      </x:c>
      <x:c r="AP2236" s="32" t="n">
        <x:f>AP2235+AN2236-AO2236</x:f>
        <x:v>0</x:v>
      </x:c>
      <x:c r="AQ2236" s="32" t="n">
        <x:f>AM2236+AO2236</x:f>
        <x:v>0</x:v>
      </x:c>
      <x:c r="AR2236" s="10" t="n">
        <x:f>IF(H2236=1,INDEX(v01_Req,G2236),0)</x:f>
        <x:v>0</x:v>
      </x:c>
      <x:c r="AS2236" s="32" t="n">
        <x:f>IF(H2236=1,IF(E2236=1,AS2235-AR2235,AS2235)+AQ2236,0)</x:f>
        <x:v>0</x:v>
      </x:c>
      <x:c r="AT2236" s="11" t="n">
        <x:f>IF(AR2236&gt;0,MIN(1,AS2236/AR2236),1)</x:f>
        <x:v>1</x:v>
      </x:c>
      <x:c r="AU2236" s="10" t="n">
        <x:f>AB2236/INDEX(v01_RepScale,G2236)</x:f>
        <x:v>90.09519605746344</x:v>
      </x:c>
      <x:c r="AV2236" s="32" t="n">
        <x:f>AM2236*60/v01_SeasonSeconds</x:f>
        <x:v>0</x:v>
      </x:c>
    </x:row>
    <x:row r="2237">
      <x:c r="A2237" s="8" t="n">
        <x:f>A2236+1</x:f>
        <x:v>2234</x:v>
      </x:c>
      <x:c r="B2237" s="9" t="n">
        <x:f>A2237*v01_SeasonSeconds/60</x:f>
        <x:v>558.5</x:v>
      </x:c>
      <x:c r="C2237" s="9" t="n">
        <x:f>A2237/4</x:f>
        <x:v>558.5</x:v>
      </x:c>
      <x:c r="D2237" s="8" t="n">
        <x:f>IF(MOD(A2237,4)=0,1,0)</x:f>
        <x:v>0</x:v>
      </x:c>
      <x:c r="E2237" s="8" t="n">
        <x:f>IF(AND(F2236&lt;=9,AS2236&gt;=AR2236),1,0)</x:f>
        <x:v>0</x:v>
      </x:c>
      <x:c r="F2237" s="8" t="n">
        <x:f>MIN(10,F2236+E2237)</x:f>
        <x:v>10</x:v>
      </x:c>
      <x:c r="G2237" s="8" t="n">
        <x:f>MIN(F2237,9)+1</x:f>
        <x:v>10</x:v>
      </x:c>
      <x:c r="H2237" s="8" t="n">
        <x:f>IF(F2237&lt;=9,1,0)</x:f>
        <x:v>0</x:v>
      </x:c>
      <x:c r="I2237" s="9" t="n">
        <x:f>MIN(10,F2236+IF(AR2236&gt;0,MIN(1,AS2236/AR2236),1))</x:f>
        <x:v>10</x:v>
      </x:c>
      <x:c r="J2237" s="32" t="n">
        <x:f>INDEX(v01_FoodCap,G2237)*Arch_FoodCap*EXP(v01_CapsByProject*SUMPRODUCT((Cap_Point&lt;=I2237)*(Cap_Kind="Food")*Cap_Ln))</x:f>
        <x:v>12000</x:v>
      </x:c>
      <x:c r="K2237" s="32" t="n">
        <x:f>J2237*MIN(1,v01_LeanBase*EXP(v01_CapsByProject*SUMPRODUCT((Cap_Point&lt;=I2237)*(Cap_Kind="Lean")*Cap_Ln)))</x:f>
        <x:v>12000</x:v>
      </x:c>
      <x:c r="L2237" s="10" t="n">
        <x:f>INDEX(v01_HousingCap,G2237)*EXP(v01_CapsByProject*SUMPRODUCT((Cap_Point&lt;=I2237)*(Cap_Kind="Housing")*Cap_Ln))</x:f>
        <x:v>20000</x:v>
      </x:c>
      <x:c r="M2237" s="10" t="n">
        <x:f>INDEX(v01_GroupCap,G2237)*v01_CohesionFactor*EXP(v01_CapsByProject*SUMPRODUCT((Cap_Point&lt;=I2237)*(Cap_Kind="Group")*Cap_Ln))</x:f>
        <x:v>1000000</x:v>
      </x:c>
      <x:c r="N2237" s="32" t="n">
        <x:f>MIN(J2237,L2237,M2237)</x:f>
        <x:v>12000</x:v>
      </x:c>
      <x:c r="O2237" s="10" t="n">
        <x:f>AE2236*N2237</x:f>
        <x:v>180000</x:v>
      </x:c>
      <x:c r="P2237" s="9" t="n">
        <x:f>MIN(1,(AB2236/(AE2236*IF(v01_GroupInCrowding=1,N2237,MIN(J2237,L2237))))^v01_CrowdingExp)</x:f>
        <x:v>0.00024569414295285325</x:v>
      </x:c>
      <x:c r="Q2237" s="9" t="n">
        <x:f>IF(D2237=1,INDEX(v01_WinterMult,G2237),1)</x:f>
        <x:v>1</x:v>
      </x:c>
      <x:c r="R2237" s="9" t="n">
        <x:f>H2237*Z2236*v01_WomenShare*v01_BaseFertility*INDEX(v01_FertMult,G2237)*Arch_Fertility*(1-P2237)</x:f>
        <x:v>0</x:v>
      </x:c>
      <x:c r="S2237" s="9" t="n">
        <x:f>H2237*Y2236*INDEX(v01_MortChild,G2237)/4*Q2237</x:f>
        <x:v>0</x:v>
      </x:c>
      <x:c r="T2237" s="9" t="n">
        <x:f>H2237*Z2236*INDEX(v01_MortAdult,G2237)*Arch_AdultMort/4*Q2237</x:f>
        <x:v>0</x:v>
      </x:c>
      <x:c r="U2237" s="9" t="n">
        <x:f>H2237*AA2236*INDEX(v01_MortElder,G2237)/4*Q2237</x:f>
        <x:v>0</x:v>
      </x:c>
      <x:c r="V2237" s="9" t="n">
        <x:f>H2237*MAX(0,AB2236-O2237)*v01_OvercapLoss</x:f>
        <x:v>0</x:v>
      </x:c>
      <x:c r="W2237" s="9" t="n">
        <x:f>H2237*Y2236/(v01_ChildYears*4)</x:f>
        <x:v>0</x:v>
      </x:c>
      <x:c r="X2237" s="9" t="n">
        <x:f>H2237*Z2236/(v01_AdultYears*4)</x:f>
        <x:v>0</x:v>
      </x:c>
      <x:c r="Y2237" s="32" t="n">
        <x:f>Y2236+R2237-S2237-W2237-Y2236*V2237/AB2236</x:f>
        <x:v>14306.18539759397</x:v>
      </x:c>
      <x:c r="Z2237" s="32" t="n">
        <x:f>Z2236+W2237-X2237-T2237-Z2236*V2237/AB2236</x:f>
        <x:v>19354.456567879548</x:v>
      </x:c>
      <x:c r="AA2237" s="32" t="n">
        <x:f>AA2236+X2237-U2237-AA2236*V2237/AB2236</x:f>
        <x:v>11386.956063258198</x:v>
      </x:c>
      <x:c r="AB2237" s="10" t="n">
        <x:f>Y2237+Z2237+AA2237</x:f>
        <x:v>45047.59802873172</x:v>
      </x:c>
      <x:c r="AC2237" s="8" t="n">
        <x:f>IF(AND(v01_WinterTrigger=1,D2237=1,AB2236/AE2236&gt;=K2237),1,0)</x:f>
        <x:v>0</x:v>
      </x:c>
      <x:c r="AD2237" s="8" t="n">
        <x:f>H2237*IF(AND(OR(AB2236/AE2236&gt;=v01_FissionTrigger*N2237,AC2237=1),AB2236/AE2236*v01_DaughterShare&gt;=v01_MinDaughter),MAX(1,ROUND(AE2236*v01_FissionRate,0)),0)</x:f>
        <x:v>0</x:v>
      </x:c>
      <x:c r="AE2237" s="8" t="n">
        <x:f>IF(H2237=1,MAX(1,MIN(INDEX(v01_Smax,G2237),AE2236+AD2237)),AE2236)</x:f>
        <x:v>15</x:v>
      </x:c>
      <x:c r="AF2237" s="8" t="n">
        <x:f>MAX(0,AE2237-AE2236)</x:f>
        <x:v>0</x:v>
      </x:c>
      <x:c r="AG2237" s="9" t="str">
        <x:f>IF(AF2237&gt;0,B2237,"")</x:f>
      </x:c>
      <x:c r="AH2237" s="9" t="n">
        <x:f>IF(F2237&gt;=1,1,(1+v01_LowTiesShare*(AE2237-1))/AE2237)</x:f>
        <x:v>1</x:v>
      </x:c>
      <x:c r="AI2237" s="32" t="n">
        <x:f>(Z2237+v01_ElderCommons*INDEX(LM_Elder,G2237)*AA2237)*AH2237</x:f>
        <x:v>64139.732591141874</x:v>
      </x:c>
      <x:c r="AJ2237" s="32" t="n">
        <x:f>H2237*v01_CommonsCoef*AI2237^v01_CommonsExp*INDEX(LM_Commons,G2237)</x:f>
        <x:v>0</x:v>
      </x:c>
      <x:c r="AK2237" s="32" t="n">
        <x:f>H2237*v01_RoleScale*Arch_Roles*(AE2237*(INDEX(v01_ElderRolePerSett,G2237)*v01_OutElder*INDEX(LM_Elder,G2237)+INDEX(v01_ShamanPerSett,G2237)*v01_OutShaman)+Z2237*(INDEX(v01_PriestShare,G2237)*v01_OutPriest+INDEX(v01_ScribeShare,G2237)*v01_OutScribe*INDEX(LM_Scribe,G2237)+INDEX(v01_ScholarShare,G2237)*v01_OutScholar*INDEX(LM_Scholar,G2237)+INDEX(v01_ResearcherShare,G2237)*v01_OutResearcher*INDEX(LM_Researcher,G2237)))</x:f>
        <x:v>0</x:v>
      </x:c>
      <x:c r="AL2237" s="32" t="n">
        <x:f>H2237*v01_RoleScale*Arch_Roles*AE2237*INDEX(v01_MonasteryPerSett,G2237)*v01_OutMonastery*INDEX(LM_Monastery,G2237)</x:f>
        <x:v>0</x:v>
      </x:c>
      <x:c r="AM2237" s="32" t="n">
        <x:f>(AJ2237+AK2237+AL2237)/4*INDEX(LM_All,G2237)*INDEX(v01_Boon,G2237)*Arch_Insight</x:f>
        <x:v>0</x:v>
      </x:c>
      <x:c r="AN2237" s="32" t="n">
        <x:f>H2237*(v01_KHPerAdult*Z2237+v01_KHOfCommons*AJ2237/4*INDEX(LM_All,G2237))*v01_KHUsable*Arch_KH</x:f>
        <x:v>0</x:v>
      </x:c>
      <x:c r="AO2237" s="32" t="n">
        <x:f>MIN(AP2236+AN2237,AM2237*v01_KHMaxRatio)</x:f>
        <x:v>0</x:v>
      </x:c>
      <x:c r="AP2237" s="32" t="n">
        <x:f>AP2236+AN2237-AO2237</x:f>
        <x:v>0</x:v>
      </x:c>
      <x:c r="AQ2237" s="32" t="n">
        <x:f>AM2237+AO2237</x:f>
        <x:v>0</x:v>
      </x:c>
      <x:c r="AR2237" s="10" t="n">
        <x:f>IF(H2237=1,INDEX(v01_Req,G2237),0)</x:f>
        <x:v>0</x:v>
      </x:c>
      <x:c r="AS2237" s="32" t="n">
        <x:f>IF(H2237=1,IF(E2237=1,AS2236-AR2236,AS2236)+AQ2237,0)</x:f>
        <x:v>0</x:v>
      </x:c>
      <x:c r="AT2237" s="11" t="n">
        <x:f>IF(AR2237&gt;0,MIN(1,AS2237/AR2237),1)</x:f>
        <x:v>1</x:v>
      </x:c>
      <x:c r="AU2237" s="10" t="n">
        <x:f>AB2237/INDEX(v01_RepScale,G2237)</x:f>
        <x:v>90.09519605746344</x:v>
      </x:c>
      <x:c r="AV2237" s="32" t="n">
        <x:f>AM2237*60/v01_SeasonSeconds</x:f>
        <x:v>0</x:v>
      </x:c>
    </x:row>
    <x:row r="2238">
      <x:c r="A2238" s="8" t="n">
        <x:f>A2237+1</x:f>
        <x:v>2235</x:v>
      </x:c>
      <x:c r="B2238" s="9" t="n">
        <x:f>A2238*v01_SeasonSeconds/60</x:f>
        <x:v>558.75</x:v>
      </x:c>
      <x:c r="C2238" s="9" t="n">
        <x:f>A2238/4</x:f>
        <x:v>558.75</x:v>
      </x:c>
      <x:c r="D2238" s="8" t="n">
        <x:f>IF(MOD(A2238,4)=0,1,0)</x:f>
        <x:v>0</x:v>
      </x:c>
      <x:c r="E2238" s="8" t="n">
        <x:f>IF(AND(F2237&lt;=9,AS2237&gt;=AR2237),1,0)</x:f>
        <x:v>0</x:v>
      </x:c>
      <x:c r="F2238" s="8" t="n">
        <x:f>MIN(10,F2237+E2238)</x:f>
        <x:v>10</x:v>
      </x:c>
      <x:c r="G2238" s="8" t="n">
        <x:f>MIN(F2238,9)+1</x:f>
        <x:v>10</x:v>
      </x:c>
      <x:c r="H2238" s="8" t="n">
        <x:f>IF(F2238&lt;=9,1,0)</x:f>
        <x:v>0</x:v>
      </x:c>
      <x:c r="I2238" s="9" t="n">
        <x:f>MIN(10,F2237+IF(AR2237&gt;0,MIN(1,AS2237/AR2237),1))</x:f>
        <x:v>10</x:v>
      </x:c>
      <x:c r="J2238" s="32" t="n">
        <x:f>INDEX(v01_FoodCap,G2238)*Arch_FoodCap*EXP(v01_CapsByProject*SUMPRODUCT((Cap_Point&lt;=I2238)*(Cap_Kind="Food")*Cap_Ln))</x:f>
        <x:v>12000</x:v>
      </x:c>
      <x:c r="K2238" s="32" t="n">
        <x:f>J2238*MIN(1,v01_LeanBase*EXP(v01_CapsByProject*SUMPRODUCT((Cap_Point&lt;=I2238)*(Cap_Kind="Lean")*Cap_Ln)))</x:f>
        <x:v>12000</x:v>
      </x:c>
      <x:c r="L2238" s="10" t="n">
        <x:f>INDEX(v01_HousingCap,G2238)*EXP(v01_CapsByProject*SUMPRODUCT((Cap_Point&lt;=I2238)*(Cap_Kind="Housing")*Cap_Ln))</x:f>
        <x:v>20000</x:v>
      </x:c>
      <x:c r="M2238" s="10" t="n">
        <x:f>INDEX(v01_GroupCap,G2238)*v01_CohesionFactor*EXP(v01_CapsByProject*SUMPRODUCT((Cap_Point&lt;=I2238)*(Cap_Kind="Group")*Cap_Ln))</x:f>
        <x:v>1000000</x:v>
      </x:c>
      <x:c r="N2238" s="32" t="n">
        <x:f>MIN(J2238,L2238,M2238)</x:f>
        <x:v>12000</x:v>
      </x:c>
      <x:c r="O2238" s="10" t="n">
        <x:f>AE2237*N2238</x:f>
        <x:v>180000</x:v>
      </x:c>
      <x:c r="P2238" s="9" t="n">
        <x:f>MIN(1,(AB2237/(AE2237*IF(v01_GroupInCrowding=1,N2238,MIN(J2238,L2238))))^v01_CrowdingExp)</x:f>
        <x:v>0.00024569414295285325</x:v>
      </x:c>
      <x:c r="Q2238" s="9" t="n">
        <x:f>IF(D2238=1,INDEX(v01_WinterMult,G2238),1)</x:f>
        <x:v>1</x:v>
      </x:c>
      <x:c r="R2238" s="9" t="n">
        <x:f>H2238*Z2237*v01_WomenShare*v01_BaseFertility*INDEX(v01_FertMult,G2238)*Arch_Fertility*(1-P2238)</x:f>
        <x:v>0</x:v>
      </x:c>
      <x:c r="S2238" s="9" t="n">
        <x:f>H2238*Y2237*INDEX(v01_MortChild,G2238)/4*Q2238</x:f>
        <x:v>0</x:v>
      </x:c>
      <x:c r="T2238" s="9" t="n">
        <x:f>H2238*Z2237*INDEX(v01_MortAdult,G2238)*Arch_AdultMort/4*Q2238</x:f>
        <x:v>0</x:v>
      </x:c>
      <x:c r="U2238" s="9" t="n">
        <x:f>H2238*AA2237*INDEX(v01_MortElder,G2238)/4*Q2238</x:f>
        <x:v>0</x:v>
      </x:c>
      <x:c r="V2238" s="9" t="n">
        <x:f>H2238*MAX(0,AB2237-O2238)*v01_OvercapLoss</x:f>
        <x:v>0</x:v>
      </x:c>
      <x:c r="W2238" s="9" t="n">
        <x:f>H2238*Y2237/(v01_ChildYears*4)</x:f>
        <x:v>0</x:v>
      </x:c>
      <x:c r="X2238" s="9" t="n">
        <x:f>H2238*Z2237/(v01_AdultYears*4)</x:f>
        <x:v>0</x:v>
      </x:c>
      <x:c r="Y2238" s="32" t="n">
        <x:f>Y2237+R2238-S2238-W2238-Y2237*V2238/AB2237</x:f>
        <x:v>14306.18539759397</x:v>
      </x:c>
      <x:c r="Z2238" s="32" t="n">
        <x:f>Z2237+W2238-X2238-T2238-Z2237*V2238/AB2237</x:f>
        <x:v>19354.456567879548</x:v>
      </x:c>
      <x:c r="AA2238" s="32" t="n">
        <x:f>AA2237+X2238-U2238-AA2237*V2238/AB2237</x:f>
        <x:v>11386.956063258198</x:v>
      </x:c>
      <x:c r="AB2238" s="10" t="n">
        <x:f>Y2238+Z2238+AA2238</x:f>
        <x:v>45047.59802873172</x:v>
      </x:c>
      <x:c r="AC2238" s="8" t="n">
        <x:f>IF(AND(v01_WinterTrigger=1,D2238=1,AB2237/AE2237&gt;=K2238),1,0)</x:f>
        <x:v>0</x:v>
      </x:c>
      <x:c r="AD2238" s="8" t="n">
        <x:f>H2238*IF(AND(OR(AB2237/AE2237&gt;=v01_FissionTrigger*N2238,AC2238=1),AB2237/AE2237*v01_DaughterShare&gt;=v01_MinDaughter),MAX(1,ROUND(AE2237*v01_FissionRate,0)),0)</x:f>
        <x:v>0</x:v>
      </x:c>
      <x:c r="AE2238" s="8" t="n">
        <x:f>IF(H2238=1,MAX(1,MIN(INDEX(v01_Smax,G2238),AE2237+AD2238)),AE2237)</x:f>
        <x:v>15</x:v>
      </x:c>
      <x:c r="AF2238" s="8" t="n">
        <x:f>MAX(0,AE2238-AE2237)</x:f>
        <x:v>0</x:v>
      </x:c>
      <x:c r="AG2238" s="9" t="str">
        <x:f>IF(AF2238&gt;0,B2238,"")</x:f>
      </x:c>
      <x:c r="AH2238" s="9" t="n">
        <x:f>IF(F2238&gt;=1,1,(1+v01_LowTiesShare*(AE2238-1))/AE2238)</x:f>
        <x:v>1</x:v>
      </x:c>
      <x:c r="AI2238" s="32" t="n">
        <x:f>(Z2238+v01_ElderCommons*INDEX(LM_Elder,G2238)*AA2238)*AH2238</x:f>
        <x:v>64139.732591141874</x:v>
      </x:c>
      <x:c r="AJ2238" s="32" t="n">
        <x:f>H2238*v01_CommonsCoef*AI2238^v01_CommonsExp*INDEX(LM_Commons,G2238)</x:f>
        <x:v>0</x:v>
      </x:c>
      <x:c r="AK2238" s="32" t="n">
        <x:f>H2238*v01_RoleScale*Arch_Roles*(AE2238*(INDEX(v01_ElderRolePerSett,G2238)*v01_OutElder*INDEX(LM_Elder,G2238)+INDEX(v01_ShamanPerSett,G2238)*v01_OutShaman)+Z2238*(INDEX(v01_PriestShare,G2238)*v01_OutPriest+INDEX(v01_ScribeShare,G2238)*v01_OutScribe*INDEX(LM_Scribe,G2238)+INDEX(v01_ScholarShare,G2238)*v01_OutScholar*INDEX(LM_Scholar,G2238)+INDEX(v01_ResearcherShare,G2238)*v01_OutResearcher*INDEX(LM_Researcher,G2238)))</x:f>
        <x:v>0</x:v>
      </x:c>
      <x:c r="AL2238" s="32" t="n">
        <x:f>H2238*v01_RoleScale*Arch_Roles*AE2238*INDEX(v01_MonasteryPerSett,G2238)*v01_OutMonastery*INDEX(LM_Monastery,G2238)</x:f>
        <x:v>0</x:v>
      </x:c>
      <x:c r="AM2238" s="32" t="n">
        <x:f>(AJ2238+AK2238+AL2238)/4*INDEX(LM_All,G2238)*INDEX(v01_Boon,G2238)*Arch_Insight</x:f>
        <x:v>0</x:v>
      </x:c>
      <x:c r="AN2238" s="32" t="n">
        <x:f>H2238*(v01_KHPerAdult*Z2238+v01_KHOfCommons*AJ2238/4*INDEX(LM_All,G2238))*v01_KHUsable*Arch_KH</x:f>
        <x:v>0</x:v>
      </x:c>
      <x:c r="AO2238" s="32" t="n">
        <x:f>MIN(AP2237+AN2238,AM2238*v01_KHMaxRatio)</x:f>
        <x:v>0</x:v>
      </x:c>
      <x:c r="AP2238" s="32" t="n">
        <x:f>AP2237+AN2238-AO2238</x:f>
        <x:v>0</x:v>
      </x:c>
      <x:c r="AQ2238" s="32" t="n">
        <x:f>AM2238+AO2238</x:f>
        <x:v>0</x:v>
      </x:c>
      <x:c r="AR2238" s="10" t="n">
        <x:f>IF(H2238=1,INDEX(v01_Req,G2238),0)</x:f>
        <x:v>0</x:v>
      </x:c>
      <x:c r="AS2238" s="32" t="n">
        <x:f>IF(H2238=1,IF(E2238=1,AS2237-AR2237,AS2237)+AQ2238,0)</x:f>
        <x:v>0</x:v>
      </x:c>
      <x:c r="AT2238" s="11" t="n">
        <x:f>IF(AR2238&gt;0,MIN(1,AS2238/AR2238),1)</x:f>
        <x:v>1</x:v>
      </x:c>
      <x:c r="AU2238" s="10" t="n">
        <x:f>AB2238/INDEX(v01_RepScale,G2238)</x:f>
        <x:v>90.09519605746344</x:v>
      </x:c>
      <x:c r="AV2238" s="32" t="n">
        <x:f>AM2238*60/v01_SeasonSeconds</x:f>
        <x:v>0</x:v>
      </x:c>
    </x:row>
    <x:row r="2239">
      <x:c r="A2239" s="8" t="n">
        <x:f>A2238+1</x:f>
        <x:v>2236</x:v>
      </x:c>
      <x:c r="B2239" s="9" t="n">
        <x:f>A2239*v01_SeasonSeconds/60</x:f>
        <x:v>559</x:v>
      </x:c>
      <x:c r="C2239" s="9" t="n">
        <x:f>A2239/4</x:f>
        <x:v>559</x:v>
      </x:c>
      <x:c r="D2239" s="8" t="n">
        <x:f>IF(MOD(A2239,4)=0,1,0)</x:f>
        <x:v>1</x:v>
      </x:c>
      <x:c r="E2239" s="8" t="n">
        <x:f>IF(AND(F2238&lt;=9,AS2238&gt;=AR2238),1,0)</x:f>
        <x:v>0</x:v>
      </x:c>
      <x:c r="F2239" s="8" t="n">
        <x:f>MIN(10,F2238+E2239)</x:f>
        <x:v>10</x:v>
      </x:c>
      <x:c r="G2239" s="8" t="n">
        <x:f>MIN(F2239,9)+1</x:f>
        <x:v>10</x:v>
      </x:c>
      <x:c r="H2239" s="8" t="n">
        <x:f>IF(F2239&lt;=9,1,0)</x:f>
        <x:v>0</x:v>
      </x:c>
      <x:c r="I2239" s="9" t="n">
        <x:f>MIN(10,F2238+IF(AR2238&gt;0,MIN(1,AS2238/AR2238),1))</x:f>
        <x:v>10</x:v>
      </x:c>
      <x:c r="J2239" s="32" t="n">
        <x:f>INDEX(v01_FoodCap,G2239)*Arch_FoodCap*EXP(v01_CapsByProject*SUMPRODUCT((Cap_Point&lt;=I2239)*(Cap_Kind="Food")*Cap_Ln))</x:f>
        <x:v>12000</x:v>
      </x:c>
      <x:c r="K2239" s="32" t="n">
        <x:f>J2239*MIN(1,v01_LeanBase*EXP(v01_CapsByProject*SUMPRODUCT((Cap_Point&lt;=I2239)*(Cap_Kind="Lean")*Cap_Ln)))</x:f>
        <x:v>12000</x:v>
      </x:c>
      <x:c r="L2239" s="10" t="n">
        <x:f>INDEX(v01_HousingCap,G2239)*EXP(v01_CapsByProject*SUMPRODUCT((Cap_Point&lt;=I2239)*(Cap_Kind="Housing")*Cap_Ln))</x:f>
        <x:v>20000</x:v>
      </x:c>
      <x:c r="M2239" s="10" t="n">
        <x:f>INDEX(v01_GroupCap,G2239)*v01_CohesionFactor*EXP(v01_CapsByProject*SUMPRODUCT((Cap_Point&lt;=I2239)*(Cap_Kind="Group")*Cap_Ln))</x:f>
        <x:v>1000000</x:v>
      </x:c>
      <x:c r="N2239" s="32" t="n">
        <x:f>MIN(J2239,L2239,M2239)</x:f>
        <x:v>12000</x:v>
      </x:c>
      <x:c r="O2239" s="10" t="n">
        <x:f>AE2238*N2239</x:f>
        <x:v>180000</x:v>
      </x:c>
      <x:c r="P2239" s="9" t="n">
        <x:f>MIN(1,(AB2238/(AE2238*IF(v01_GroupInCrowding=1,N2239,MIN(J2239,L2239))))^v01_CrowdingExp)</x:f>
        <x:v>0.00024569414295285325</x:v>
      </x:c>
      <x:c r="Q2239" s="9" t="n">
        <x:f>IF(D2239=1,INDEX(v01_WinterMult,G2239),1)</x:f>
        <x:v>1</x:v>
      </x:c>
      <x:c r="R2239" s="9" t="n">
        <x:f>H2239*Z2238*v01_WomenShare*v01_BaseFertility*INDEX(v01_FertMult,G2239)*Arch_Fertility*(1-P2239)</x:f>
        <x:v>0</x:v>
      </x:c>
      <x:c r="S2239" s="9" t="n">
        <x:f>H2239*Y2238*INDEX(v01_MortChild,G2239)/4*Q2239</x:f>
        <x:v>0</x:v>
      </x:c>
      <x:c r="T2239" s="9" t="n">
        <x:f>H2239*Z2238*INDEX(v01_MortAdult,G2239)*Arch_AdultMort/4*Q2239</x:f>
        <x:v>0</x:v>
      </x:c>
      <x:c r="U2239" s="9" t="n">
        <x:f>H2239*AA2238*INDEX(v01_MortElder,G2239)/4*Q2239</x:f>
        <x:v>0</x:v>
      </x:c>
      <x:c r="V2239" s="9" t="n">
        <x:f>H2239*MAX(0,AB2238-O2239)*v01_OvercapLoss</x:f>
        <x:v>0</x:v>
      </x:c>
      <x:c r="W2239" s="9" t="n">
        <x:f>H2239*Y2238/(v01_ChildYears*4)</x:f>
        <x:v>0</x:v>
      </x:c>
      <x:c r="X2239" s="9" t="n">
        <x:f>H2239*Z2238/(v01_AdultYears*4)</x:f>
        <x:v>0</x:v>
      </x:c>
      <x:c r="Y2239" s="32" t="n">
        <x:f>Y2238+R2239-S2239-W2239-Y2238*V2239/AB2238</x:f>
        <x:v>14306.18539759397</x:v>
      </x:c>
      <x:c r="Z2239" s="32" t="n">
        <x:f>Z2238+W2239-X2239-T2239-Z2238*V2239/AB2238</x:f>
        <x:v>19354.456567879548</x:v>
      </x:c>
      <x:c r="AA2239" s="32" t="n">
        <x:f>AA2238+X2239-U2239-AA2238*V2239/AB2238</x:f>
        <x:v>11386.956063258198</x:v>
      </x:c>
      <x:c r="AB2239" s="10" t="n">
        <x:f>Y2239+Z2239+AA2239</x:f>
        <x:v>45047.59802873172</x:v>
      </x:c>
      <x:c r="AC2239" s="8" t="n">
        <x:f>IF(AND(v01_WinterTrigger=1,D2239=1,AB2238/AE2238&gt;=K2239),1,0)</x:f>
        <x:v>0</x:v>
      </x:c>
      <x:c r="AD2239" s="8" t="n">
        <x:f>H2239*IF(AND(OR(AB2238/AE2238&gt;=v01_FissionTrigger*N2239,AC2239=1),AB2238/AE2238*v01_DaughterShare&gt;=v01_MinDaughter),MAX(1,ROUND(AE2238*v01_FissionRate,0)),0)</x:f>
        <x:v>0</x:v>
      </x:c>
      <x:c r="AE2239" s="8" t="n">
        <x:f>IF(H2239=1,MAX(1,MIN(INDEX(v01_Smax,G2239),AE2238+AD2239)),AE2238)</x:f>
        <x:v>15</x:v>
      </x:c>
      <x:c r="AF2239" s="8" t="n">
        <x:f>MAX(0,AE2239-AE2238)</x:f>
        <x:v>0</x:v>
      </x:c>
      <x:c r="AG2239" s="9" t="str">
        <x:f>IF(AF2239&gt;0,B2239,"")</x:f>
      </x:c>
      <x:c r="AH2239" s="9" t="n">
        <x:f>IF(F2239&gt;=1,1,(1+v01_LowTiesShare*(AE2239-1))/AE2239)</x:f>
        <x:v>1</x:v>
      </x:c>
      <x:c r="AI2239" s="32" t="n">
        <x:f>(Z2239+v01_ElderCommons*INDEX(LM_Elder,G2239)*AA2239)*AH2239</x:f>
        <x:v>64139.732591141874</x:v>
      </x:c>
      <x:c r="AJ2239" s="32" t="n">
        <x:f>H2239*v01_CommonsCoef*AI2239^v01_CommonsExp*INDEX(LM_Commons,G2239)</x:f>
        <x:v>0</x:v>
      </x:c>
      <x:c r="AK2239" s="32" t="n">
        <x:f>H2239*v01_RoleScale*Arch_Roles*(AE2239*(INDEX(v01_ElderRolePerSett,G2239)*v01_OutElder*INDEX(LM_Elder,G2239)+INDEX(v01_ShamanPerSett,G2239)*v01_OutShaman)+Z2239*(INDEX(v01_PriestShare,G2239)*v01_OutPriest+INDEX(v01_ScribeShare,G2239)*v01_OutScribe*INDEX(LM_Scribe,G2239)+INDEX(v01_ScholarShare,G2239)*v01_OutScholar*INDEX(LM_Scholar,G2239)+INDEX(v01_ResearcherShare,G2239)*v01_OutResearcher*INDEX(LM_Researcher,G2239)))</x:f>
        <x:v>0</x:v>
      </x:c>
      <x:c r="AL2239" s="32" t="n">
        <x:f>H2239*v01_RoleScale*Arch_Roles*AE2239*INDEX(v01_MonasteryPerSett,G2239)*v01_OutMonastery*INDEX(LM_Monastery,G2239)</x:f>
        <x:v>0</x:v>
      </x:c>
      <x:c r="AM2239" s="32" t="n">
        <x:f>(AJ2239+AK2239+AL2239)/4*INDEX(LM_All,G2239)*INDEX(v01_Boon,G2239)*Arch_Insight</x:f>
        <x:v>0</x:v>
      </x:c>
      <x:c r="AN2239" s="32" t="n">
        <x:f>H2239*(v01_KHPerAdult*Z2239+v01_KHOfCommons*AJ2239/4*INDEX(LM_All,G2239))*v01_KHUsable*Arch_KH</x:f>
        <x:v>0</x:v>
      </x:c>
      <x:c r="AO2239" s="32" t="n">
        <x:f>MIN(AP2238+AN2239,AM2239*v01_KHMaxRatio)</x:f>
        <x:v>0</x:v>
      </x:c>
      <x:c r="AP2239" s="32" t="n">
        <x:f>AP2238+AN2239-AO2239</x:f>
        <x:v>0</x:v>
      </x:c>
      <x:c r="AQ2239" s="32" t="n">
        <x:f>AM2239+AO2239</x:f>
        <x:v>0</x:v>
      </x:c>
      <x:c r="AR2239" s="10" t="n">
        <x:f>IF(H2239=1,INDEX(v01_Req,G2239),0)</x:f>
        <x:v>0</x:v>
      </x:c>
      <x:c r="AS2239" s="32" t="n">
        <x:f>IF(H2239=1,IF(E2239=1,AS2238-AR2238,AS2238)+AQ2239,0)</x:f>
        <x:v>0</x:v>
      </x:c>
      <x:c r="AT2239" s="11" t="n">
        <x:f>IF(AR2239&gt;0,MIN(1,AS2239/AR2239),1)</x:f>
        <x:v>1</x:v>
      </x:c>
      <x:c r="AU2239" s="10" t="n">
        <x:f>AB2239/INDEX(v01_RepScale,G2239)</x:f>
        <x:v>90.09519605746344</x:v>
      </x:c>
      <x:c r="AV2239" s="32" t="n">
        <x:f>AM2239*60/v01_SeasonSeconds</x:f>
        <x:v>0</x:v>
      </x:c>
    </x:row>
    <x:row r="2240">
      <x:c r="A2240" s="8" t="n">
        <x:f>A2239+1</x:f>
        <x:v>2237</x:v>
      </x:c>
      <x:c r="B2240" s="9" t="n">
        <x:f>A2240*v01_SeasonSeconds/60</x:f>
        <x:v>559.25</x:v>
      </x:c>
      <x:c r="C2240" s="9" t="n">
        <x:f>A2240/4</x:f>
        <x:v>559.25</x:v>
      </x:c>
      <x:c r="D2240" s="8" t="n">
        <x:f>IF(MOD(A2240,4)=0,1,0)</x:f>
        <x:v>0</x:v>
      </x:c>
      <x:c r="E2240" s="8" t="n">
        <x:f>IF(AND(F2239&lt;=9,AS2239&gt;=AR2239),1,0)</x:f>
        <x:v>0</x:v>
      </x:c>
      <x:c r="F2240" s="8" t="n">
        <x:f>MIN(10,F2239+E2240)</x:f>
        <x:v>10</x:v>
      </x:c>
      <x:c r="G2240" s="8" t="n">
        <x:f>MIN(F2240,9)+1</x:f>
        <x:v>10</x:v>
      </x:c>
      <x:c r="H2240" s="8" t="n">
        <x:f>IF(F2240&lt;=9,1,0)</x:f>
        <x:v>0</x:v>
      </x:c>
      <x:c r="I2240" s="9" t="n">
        <x:f>MIN(10,F2239+IF(AR2239&gt;0,MIN(1,AS2239/AR2239),1))</x:f>
        <x:v>10</x:v>
      </x:c>
      <x:c r="J2240" s="32" t="n">
        <x:f>INDEX(v01_FoodCap,G2240)*Arch_FoodCap*EXP(v01_CapsByProject*SUMPRODUCT((Cap_Point&lt;=I2240)*(Cap_Kind="Food")*Cap_Ln))</x:f>
        <x:v>12000</x:v>
      </x:c>
      <x:c r="K2240" s="32" t="n">
        <x:f>J2240*MIN(1,v01_LeanBase*EXP(v01_CapsByProject*SUMPRODUCT((Cap_Point&lt;=I2240)*(Cap_Kind="Lean")*Cap_Ln)))</x:f>
        <x:v>12000</x:v>
      </x:c>
      <x:c r="L2240" s="10" t="n">
        <x:f>INDEX(v01_HousingCap,G2240)*EXP(v01_CapsByProject*SUMPRODUCT((Cap_Point&lt;=I2240)*(Cap_Kind="Housing")*Cap_Ln))</x:f>
        <x:v>20000</x:v>
      </x:c>
      <x:c r="M2240" s="10" t="n">
        <x:f>INDEX(v01_GroupCap,G2240)*v01_CohesionFactor*EXP(v01_CapsByProject*SUMPRODUCT((Cap_Point&lt;=I2240)*(Cap_Kind="Group")*Cap_Ln))</x:f>
        <x:v>1000000</x:v>
      </x:c>
      <x:c r="N2240" s="32" t="n">
        <x:f>MIN(J2240,L2240,M2240)</x:f>
        <x:v>12000</x:v>
      </x:c>
      <x:c r="O2240" s="10" t="n">
        <x:f>AE2239*N2240</x:f>
        <x:v>180000</x:v>
      </x:c>
      <x:c r="P2240" s="9" t="n">
        <x:f>MIN(1,(AB2239/(AE2239*IF(v01_GroupInCrowding=1,N2240,MIN(J2240,L2240))))^v01_CrowdingExp)</x:f>
        <x:v>0.00024569414295285325</x:v>
      </x:c>
      <x:c r="Q2240" s="9" t="n">
        <x:f>IF(D2240=1,INDEX(v01_WinterMult,G2240),1)</x:f>
        <x:v>1</x:v>
      </x:c>
      <x:c r="R2240" s="9" t="n">
        <x:f>H2240*Z2239*v01_WomenShare*v01_BaseFertility*INDEX(v01_FertMult,G2240)*Arch_Fertility*(1-P2240)</x:f>
        <x:v>0</x:v>
      </x:c>
      <x:c r="S2240" s="9" t="n">
        <x:f>H2240*Y2239*INDEX(v01_MortChild,G2240)/4*Q2240</x:f>
        <x:v>0</x:v>
      </x:c>
      <x:c r="T2240" s="9" t="n">
        <x:f>H2240*Z2239*INDEX(v01_MortAdult,G2240)*Arch_AdultMort/4*Q2240</x:f>
        <x:v>0</x:v>
      </x:c>
      <x:c r="U2240" s="9" t="n">
        <x:f>H2240*AA2239*INDEX(v01_MortElder,G2240)/4*Q2240</x:f>
        <x:v>0</x:v>
      </x:c>
      <x:c r="V2240" s="9" t="n">
        <x:f>H2240*MAX(0,AB2239-O2240)*v01_OvercapLoss</x:f>
        <x:v>0</x:v>
      </x:c>
      <x:c r="W2240" s="9" t="n">
        <x:f>H2240*Y2239/(v01_ChildYears*4)</x:f>
        <x:v>0</x:v>
      </x:c>
      <x:c r="X2240" s="9" t="n">
        <x:f>H2240*Z2239/(v01_AdultYears*4)</x:f>
        <x:v>0</x:v>
      </x:c>
      <x:c r="Y2240" s="32" t="n">
        <x:f>Y2239+R2240-S2240-W2240-Y2239*V2240/AB2239</x:f>
        <x:v>14306.18539759397</x:v>
      </x:c>
      <x:c r="Z2240" s="32" t="n">
        <x:f>Z2239+W2240-X2240-T2240-Z2239*V2240/AB2239</x:f>
        <x:v>19354.456567879548</x:v>
      </x:c>
      <x:c r="AA2240" s="32" t="n">
        <x:f>AA2239+X2240-U2240-AA2239*V2240/AB2239</x:f>
        <x:v>11386.956063258198</x:v>
      </x:c>
      <x:c r="AB2240" s="10" t="n">
        <x:f>Y2240+Z2240+AA2240</x:f>
        <x:v>45047.59802873172</x:v>
      </x:c>
      <x:c r="AC2240" s="8" t="n">
        <x:f>IF(AND(v01_WinterTrigger=1,D2240=1,AB2239/AE2239&gt;=K2240),1,0)</x:f>
        <x:v>0</x:v>
      </x:c>
      <x:c r="AD2240" s="8" t="n">
        <x:f>H2240*IF(AND(OR(AB2239/AE2239&gt;=v01_FissionTrigger*N2240,AC2240=1),AB2239/AE2239*v01_DaughterShare&gt;=v01_MinDaughter),MAX(1,ROUND(AE2239*v01_FissionRate,0)),0)</x:f>
        <x:v>0</x:v>
      </x:c>
      <x:c r="AE2240" s="8" t="n">
        <x:f>IF(H2240=1,MAX(1,MIN(INDEX(v01_Smax,G2240),AE2239+AD2240)),AE2239)</x:f>
        <x:v>15</x:v>
      </x:c>
      <x:c r="AF2240" s="8" t="n">
        <x:f>MAX(0,AE2240-AE2239)</x:f>
        <x:v>0</x:v>
      </x:c>
      <x:c r="AG2240" s="9" t="str">
        <x:f>IF(AF2240&gt;0,B2240,"")</x:f>
      </x:c>
      <x:c r="AH2240" s="9" t="n">
        <x:f>IF(F2240&gt;=1,1,(1+v01_LowTiesShare*(AE2240-1))/AE2240)</x:f>
        <x:v>1</x:v>
      </x:c>
      <x:c r="AI2240" s="32" t="n">
        <x:f>(Z2240+v01_ElderCommons*INDEX(LM_Elder,G2240)*AA2240)*AH2240</x:f>
        <x:v>64139.732591141874</x:v>
      </x:c>
      <x:c r="AJ2240" s="32" t="n">
        <x:f>H2240*v01_CommonsCoef*AI2240^v01_CommonsExp*INDEX(LM_Commons,G2240)</x:f>
        <x:v>0</x:v>
      </x:c>
      <x:c r="AK2240" s="32" t="n">
        <x:f>H2240*v01_RoleScale*Arch_Roles*(AE2240*(INDEX(v01_ElderRolePerSett,G2240)*v01_OutElder*INDEX(LM_Elder,G2240)+INDEX(v01_ShamanPerSett,G2240)*v01_OutShaman)+Z2240*(INDEX(v01_PriestShare,G2240)*v01_OutPriest+INDEX(v01_ScribeShare,G2240)*v01_OutScribe*INDEX(LM_Scribe,G2240)+INDEX(v01_ScholarShare,G2240)*v01_OutScholar*INDEX(LM_Scholar,G2240)+INDEX(v01_ResearcherShare,G2240)*v01_OutResearcher*INDEX(LM_Researcher,G2240)))</x:f>
        <x:v>0</x:v>
      </x:c>
      <x:c r="AL2240" s="32" t="n">
        <x:f>H2240*v01_RoleScale*Arch_Roles*AE2240*INDEX(v01_MonasteryPerSett,G2240)*v01_OutMonastery*INDEX(LM_Monastery,G2240)</x:f>
        <x:v>0</x:v>
      </x:c>
      <x:c r="AM2240" s="32" t="n">
        <x:f>(AJ2240+AK2240+AL2240)/4*INDEX(LM_All,G2240)*INDEX(v01_Boon,G2240)*Arch_Insight</x:f>
        <x:v>0</x:v>
      </x:c>
      <x:c r="AN2240" s="32" t="n">
        <x:f>H2240*(v01_KHPerAdult*Z2240+v01_KHOfCommons*AJ2240/4*INDEX(LM_All,G2240))*v01_KHUsable*Arch_KH</x:f>
        <x:v>0</x:v>
      </x:c>
      <x:c r="AO2240" s="32" t="n">
        <x:f>MIN(AP2239+AN2240,AM2240*v01_KHMaxRatio)</x:f>
        <x:v>0</x:v>
      </x:c>
      <x:c r="AP2240" s="32" t="n">
        <x:f>AP2239+AN2240-AO2240</x:f>
        <x:v>0</x:v>
      </x:c>
      <x:c r="AQ2240" s="32" t="n">
        <x:f>AM2240+AO2240</x:f>
        <x:v>0</x:v>
      </x:c>
      <x:c r="AR2240" s="10" t="n">
        <x:f>IF(H2240=1,INDEX(v01_Req,G2240),0)</x:f>
        <x:v>0</x:v>
      </x:c>
      <x:c r="AS2240" s="32" t="n">
        <x:f>IF(H2240=1,IF(E2240=1,AS2239-AR2239,AS2239)+AQ2240,0)</x:f>
        <x:v>0</x:v>
      </x:c>
      <x:c r="AT2240" s="11" t="n">
        <x:f>IF(AR2240&gt;0,MIN(1,AS2240/AR2240),1)</x:f>
        <x:v>1</x:v>
      </x:c>
      <x:c r="AU2240" s="10" t="n">
        <x:f>AB2240/INDEX(v01_RepScale,G2240)</x:f>
        <x:v>90.09519605746344</x:v>
      </x:c>
      <x:c r="AV2240" s="32" t="n">
        <x:f>AM2240*60/v01_SeasonSeconds</x:f>
        <x:v>0</x:v>
      </x:c>
    </x:row>
    <x:row r="2241">
      <x:c r="A2241" s="8" t="n">
        <x:f>A2240+1</x:f>
        <x:v>2238</x:v>
      </x:c>
      <x:c r="B2241" s="9" t="n">
        <x:f>A2241*v01_SeasonSeconds/60</x:f>
        <x:v>559.5</x:v>
      </x:c>
      <x:c r="C2241" s="9" t="n">
        <x:f>A2241/4</x:f>
        <x:v>559.5</x:v>
      </x:c>
      <x:c r="D2241" s="8" t="n">
        <x:f>IF(MOD(A2241,4)=0,1,0)</x:f>
        <x:v>0</x:v>
      </x:c>
      <x:c r="E2241" s="8" t="n">
        <x:f>IF(AND(F2240&lt;=9,AS2240&gt;=AR2240),1,0)</x:f>
        <x:v>0</x:v>
      </x:c>
      <x:c r="F2241" s="8" t="n">
        <x:f>MIN(10,F2240+E2241)</x:f>
        <x:v>10</x:v>
      </x:c>
      <x:c r="G2241" s="8" t="n">
        <x:f>MIN(F2241,9)+1</x:f>
        <x:v>10</x:v>
      </x:c>
      <x:c r="H2241" s="8" t="n">
        <x:f>IF(F2241&lt;=9,1,0)</x:f>
        <x:v>0</x:v>
      </x:c>
      <x:c r="I2241" s="9" t="n">
        <x:f>MIN(10,F2240+IF(AR2240&gt;0,MIN(1,AS2240/AR2240),1))</x:f>
        <x:v>10</x:v>
      </x:c>
      <x:c r="J2241" s="32" t="n">
        <x:f>INDEX(v01_FoodCap,G2241)*Arch_FoodCap*EXP(v01_CapsByProject*SUMPRODUCT((Cap_Point&lt;=I2241)*(Cap_Kind="Food")*Cap_Ln))</x:f>
        <x:v>12000</x:v>
      </x:c>
      <x:c r="K2241" s="32" t="n">
        <x:f>J2241*MIN(1,v01_LeanBase*EXP(v01_CapsByProject*SUMPRODUCT((Cap_Point&lt;=I2241)*(Cap_Kind="Lean")*Cap_Ln)))</x:f>
        <x:v>12000</x:v>
      </x:c>
      <x:c r="L2241" s="10" t="n">
        <x:f>INDEX(v01_HousingCap,G2241)*EXP(v01_CapsByProject*SUMPRODUCT((Cap_Point&lt;=I2241)*(Cap_Kind="Housing")*Cap_Ln))</x:f>
        <x:v>20000</x:v>
      </x:c>
      <x:c r="M2241" s="10" t="n">
        <x:f>INDEX(v01_GroupCap,G2241)*v01_CohesionFactor*EXP(v01_CapsByProject*SUMPRODUCT((Cap_Point&lt;=I2241)*(Cap_Kind="Group")*Cap_Ln))</x:f>
        <x:v>1000000</x:v>
      </x:c>
      <x:c r="N2241" s="32" t="n">
        <x:f>MIN(J2241,L2241,M2241)</x:f>
        <x:v>12000</x:v>
      </x:c>
      <x:c r="O2241" s="10" t="n">
        <x:f>AE2240*N2241</x:f>
        <x:v>180000</x:v>
      </x:c>
      <x:c r="P2241" s="9" t="n">
        <x:f>MIN(1,(AB2240/(AE2240*IF(v01_GroupInCrowding=1,N2241,MIN(J2241,L2241))))^v01_CrowdingExp)</x:f>
        <x:v>0.00024569414295285325</x:v>
      </x:c>
      <x:c r="Q2241" s="9" t="n">
        <x:f>IF(D2241=1,INDEX(v01_WinterMult,G2241),1)</x:f>
        <x:v>1</x:v>
      </x:c>
      <x:c r="R2241" s="9" t="n">
        <x:f>H2241*Z2240*v01_WomenShare*v01_BaseFertility*INDEX(v01_FertMult,G2241)*Arch_Fertility*(1-P2241)</x:f>
        <x:v>0</x:v>
      </x:c>
      <x:c r="S2241" s="9" t="n">
        <x:f>H2241*Y2240*INDEX(v01_MortChild,G2241)/4*Q2241</x:f>
        <x:v>0</x:v>
      </x:c>
      <x:c r="T2241" s="9" t="n">
        <x:f>H2241*Z2240*INDEX(v01_MortAdult,G2241)*Arch_AdultMort/4*Q2241</x:f>
        <x:v>0</x:v>
      </x:c>
      <x:c r="U2241" s="9" t="n">
        <x:f>H2241*AA2240*INDEX(v01_MortElder,G2241)/4*Q2241</x:f>
        <x:v>0</x:v>
      </x:c>
      <x:c r="V2241" s="9" t="n">
        <x:f>H2241*MAX(0,AB2240-O2241)*v01_OvercapLoss</x:f>
        <x:v>0</x:v>
      </x:c>
      <x:c r="W2241" s="9" t="n">
        <x:f>H2241*Y2240/(v01_ChildYears*4)</x:f>
        <x:v>0</x:v>
      </x:c>
      <x:c r="X2241" s="9" t="n">
        <x:f>H2241*Z2240/(v01_AdultYears*4)</x:f>
        <x:v>0</x:v>
      </x:c>
      <x:c r="Y2241" s="32" t="n">
        <x:f>Y2240+R2241-S2241-W2241-Y2240*V2241/AB2240</x:f>
        <x:v>14306.18539759397</x:v>
      </x:c>
      <x:c r="Z2241" s="32" t="n">
        <x:f>Z2240+W2241-X2241-T2241-Z2240*V2241/AB2240</x:f>
        <x:v>19354.456567879548</x:v>
      </x:c>
      <x:c r="AA2241" s="32" t="n">
        <x:f>AA2240+X2241-U2241-AA2240*V2241/AB2240</x:f>
        <x:v>11386.956063258198</x:v>
      </x:c>
      <x:c r="AB2241" s="10" t="n">
        <x:f>Y2241+Z2241+AA2241</x:f>
        <x:v>45047.59802873172</x:v>
      </x:c>
      <x:c r="AC2241" s="8" t="n">
        <x:f>IF(AND(v01_WinterTrigger=1,D2241=1,AB2240/AE2240&gt;=K2241),1,0)</x:f>
        <x:v>0</x:v>
      </x:c>
      <x:c r="AD2241" s="8" t="n">
        <x:f>H2241*IF(AND(OR(AB2240/AE2240&gt;=v01_FissionTrigger*N2241,AC2241=1),AB2240/AE2240*v01_DaughterShare&gt;=v01_MinDaughter),MAX(1,ROUND(AE2240*v01_FissionRate,0)),0)</x:f>
        <x:v>0</x:v>
      </x:c>
      <x:c r="AE2241" s="8" t="n">
        <x:f>IF(H2241=1,MAX(1,MIN(INDEX(v01_Smax,G2241),AE2240+AD2241)),AE2240)</x:f>
        <x:v>15</x:v>
      </x:c>
      <x:c r="AF2241" s="8" t="n">
        <x:f>MAX(0,AE2241-AE2240)</x:f>
        <x:v>0</x:v>
      </x:c>
      <x:c r="AG2241" s="9" t="str">
        <x:f>IF(AF2241&gt;0,B2241,"")</x:f>
      </x:c>
      <x:c r="AH2241" s="9" t="n">
        <x:f>IF(F2241&gt;=1,1,(1+v01_LowTiesShare*(AE2241-1))/AE2241)</x:f>
        <x:v>1</x:v>
      </x:c>
      <x:c r="AI2241" s="32" t="n">
        <x:f>(Z2241+v01_ElderCommons*INDEX(LM_Elder,G2241)*AA2241)*AH2241</x:f>
        <x:v>64139.732591141874</x:v>
      </x:c>
      <x:c r="AJ2241" s="32" t="n">
        <x:f>H2241*v01_CommonsCoef*AI2241^v01_CommonsExp*INDEX(LM_Commons,G2241)</x:f>
        <x:v>0</x:v>
      </x:c>
      <x:c r="AK2241" s="32" t="n">
        <x:f>H2241*v01_RoleScale*Arch_Roles*(AE2241*(INDEX(v01_ElderRolePerSett,G2241)*v01_OutElder*INDEX(LM_Elder,G2241)+INDEX(v01_ShamanPerSett,G2241)*v01_OutShaman)+Z2241*(INDEX(v01_PriestShare,G2241)*v01_OutPriest+INDEX(v01_ScribeShare,G2241)*v01_OutScribe*INDEX(LM_Scribe,G2241)+INDEX(v01_ScholarShare,G2241)*v01_OutScholar*INDEX(LM_Scholar,G2241)+INDEX(v01_ResearcherShare,G2241)*v01_OutResearcher*INDEX(LM_Researcher,G2241)))</x:f>
        <x:v>0</x:v>
      </x:c>
      <x:c r="AL2241" s="32" t="n">
        <x:f>H2241*v01_RoleScale*Arch_Roles*AE2241*INDEX(v01_MonasteryPerSett,G2241)*v01_OutMonastery*INDEX(LM_Monastery,G2241)</x:f>
        <x:v>0</x:v>
      </x:c>
      <x:c r="AM2241" s="32" t="n">
        <x:f>(AJ2241+AK2241+AL2241)/4*INDEX(LM_All,G2241)*INDEX(v01_Boon,G2241)*Arch_Insight</x:f>
        <x:v>0</x:v>
      </x:c>
      <x:c r="AN2241" s="32" t="n">
        <x:f>H2241*(v01_KHPerAdult*Z2241+v01_KHOfCommons*AJ2241/4*INDEX(LM_All,G2241))*v01_KHUsable*Arch_KH</x:f>
        <x:v>0</x:v>
      </x:c>
      <x:c r="AO2241" s="32" t="n">
        <x:f>MIN(AP2240+AN2241,AM2241*v01_KHMaxRatio)</x:f>
        <x:v>0</x:v>
      </x:c>
      <x:c r="AP2241" s="32" t="n">
        <x:f>AP2240+AN2241-AO2241</x:f>
        <x:v>0</x:v>
      </x:c>
      <x:c r="AQ2241" s="32" t="n">
        <x:f>AM2241+AO2241</x:f>
        <x:v>0</x:v>
      </x:c>
      <x:c r="AR2241" s="10" t="n">
        <x:f>IF(H2241=1,INDEX(v01_Req,G2241),0)</x:f>
        <x:v>0</x:v>
      </x:c>
      <x:c r="AS2241" s="32" t="n">
        <x:f>IF(H2241=1,IF(E2241=1,AS2240-AR2240,AS2240)+AQ2241,0)</x:f>
        <x:v>0</x:v>
      </x:c>
      <x:c r="AT2241" s="11" t="n">
        <x:f>IF(AR2241&gt;0,MIN(1,AS2241/AR2241),1)</x:f>
        <x:v>1</x:v>
      </x:c>
      <x:c r="AU2241" s="10" t="n">
        <x:f>AB2241/INDEX(v01_RepScale,G2241)</x:f>
        <x:v>90.09519605746344</x:v>
      </x:c>
      <x:c r="AV2241" s="32" t="n">
        <x:f>AM2241*60/v01_SeasonSeconds</x:f>
        <x:v>0</x:v>
      </x:c>
    </x:row>
    <x:row r="2242">
      <x:c r="A2242" s="8" t="n">
        <x:f>A2241+1</x:f>
        <x:v>2239</x:v>
      </x:c>
      <x:c r="B2242" s="9" t="n">
        <x:f>A2242*v01_SeasonSeconds/60</x:f>
        <x:v>559.75</x:v>
      </x:c>
      <x:c r="C2242" s="9" t="n">
        <x:f>A2242/4</x:f>
        <x:v>559.75</x:v>
      </x:c>
      <x:c r="D2242" s="8" t="n">
        <x:f>IF(MOD(A2242,4)=0,1,0)</x:f>
        <x:v>0</x:v>
      </x:c>
      <x:c r="E2242" s="8" t="n">
        <x:f>IF(AND(F2241&lt;=9,AS2241&gt;=AR2241),1,0)</x:f>
        <x:v>0</x:v>
      </x:c>
      <x:c r="F2242" s="8" t="n">
        <x:f>MIN(10,F2241+E2242)</x:f>
        <x:v>10</x:v>
      </x:c>
      <x:c r="G2242" s="8" t="n">
        <x:f>MIN(F2242,9)+1</x:f>
        <x:v>10</x:v>
      </x:c>
      <x:c r="H2242" s="8" t="n">
        <x:f>IF(F2242&lt;=9,1,0)</x:f>
        <x:v>0</x:v>
      </x:c>
      <x:c r="I2242" s="9" t="n">
        <x:f>MIN(10,F2241+IF(AR2241&gt;0,MIN(1,AS2241/AR2241),1))</x:f>
        <x:v>10</x:v>
      </x:c>
      <x:c r="J2242" s="32" t="n">
        <x:f>INDEX(v01_FoodCap,G2242)*Arch_FoodCap*EXP(v01_CapsByProject*SUMPRODUCT((Cap_Point&lt;=I2242)*(Cap_Kind="Food")*Cap_Ln))</x:f>
        <x:v>12000</x:v>
      </x:c>
      <x:c r="K2242" s="32" t="n">
        <x:f>J2242*MIN(1,v01_LeanBase*EXP(v01_CapsByProject*SUMPRODUCT((Cap_Point&lt;=I2242)*(Cap_Kind="Lean")*Cap_Ln)))</x:f>
        <x:v>12000</x:v>
      </x:c>
      <x:c r="L2242" s="10" t="n">
        <x:f>INDEX(v01_HousingCap,G2242)*EXP(v01_CapsByProject*SUMPRODUCT((Cap_Point&lt;=I2242)*(Cap_Kind="Housing")*Cap_Ln))</x:f>
        <x:v>20000</x:v>
      </x:c>
      <x:c r="M2242" s="10" t="n">
        <x:f>INDEX(v01_GroupCap,G2242)*v01_CohesionFactor*EXP(v01_CapsByProject*SUMPRODUCT((Cap_Point&lt;=I2242)*(Cap_Kind="Group")*Cap_Ln))</x:f>
        <x:v>1000000</x:v>
      </x:c>
      <x:c r="N2242" s="32" t="n">
        <x:f>MIN(J2242,L2242,M2242)</x:f>
        <x:v>12000</x:v>
      </x:c>
      <x:c r="O2242" s="10" t="n">
        <x:f>AE2241*N2242</x:f>
        <x:v>180000</x:v>
      </x:c>
      <x:c r="P2242" s="9" t="n">
        <x:f>MIN(1,(AB2241/(AE2241*IF(v01_GroupInCrowding=1,N2242,MIN(J2242,L2242))))^v01_CrowdingExp)</x:f>
        <x:v>0.00024569414295285325</x:v>
      </x:c>
      <x:c r="Q2242" s="9" t="n">
        <x:f>IF(D2242=1,INDEX(v01_WinterMult,G2242),1)</x:f>
        <x:v>1</x:v>
      </x:c>
      <x:c r="R2242" s="9" t="n">
        <x:f>H2242*Z2241*v01_WomenShare*v01_BaseFertility*INDEX(v01_FertMult,G2242)*Arch_Fertility*(1-P2242)</x:f>
        <x:v>0</x:v>
      </x:c>
      <x:c r="S2242" s="9" t="n">
        <x:f>H2242*Y2241*INDEX(v01_MortChild,G2242)/4*Q2242</x:f>
        <x:v>0</x:v>
      </x:c>
      <x:c r="T2242" s="9" t="n">
        <x:f>H2242*Z2241*INDEX(v01_MortAdult,G2242)*Arch_AdultMort/4*Q2242</x:f>
        <x:v>0</x:v>
      </x:c>
      <x:c r="U2242" s="9" t="n">
        <x:f>H2242*AA2241*INDEX(v01_MortElder,G2242)/4*Q2242</x:f>
        <x:v>0</x:v>
      </x:c>
      <x:c r="V2242" s="9" t="n">
        <x:f>H2242*MAX(0,AB2241-O2242)*v01_OvercapLoss</x:f>
        <x:v>0</x:v>
      </x:c>
      <x:c r="W2242" s="9" t="n">
        <x:f>H2242*Y2241/(v01_ChildYears*4)</x:f>
        <x:v>0</x:v>
      </x:c>
      <x:c r="X2242" s="9" t="n">
        <x:f>H2242*Z2241/(v01_AdultYears*4)</x:f>
        <x:v>0</x:v>
      </x:c>
      <x:c r="Y2242" s="32" t="n">
        <x:f>Y2241+R2242-S2242-W2242-Y2241*V2242/AB2241</x:f>
        <x:v>14306.18539759397</x:v>
      </x:c>
      <x:c r="Z2242" s="32" t="n">
        <x:f>Z2241+W2242-X2242-T2242-Z2241*V2242/AB2241</x:f>
        <x:v>19354.456567879548</x:v>
      </x:c>
      <x:c r="AA2242" s="32" t="n">
        <x:f>AA2241+X2242-U2242-AA2241*V2242/AB2241</x:f>
        <x:v>11386.956063258198</x:v>
      </x:c>
      <x:c r="AB2242" s="10" t="n">
        <x:f>Y2242+Z2242+AA2242</x:f>
        <x:v>45047.59802873172</x:v>
      </x:c>
      <x:c r="AC2242" s="8" t="n">
        <x:f>IF(AND(v01_WinterTrigger=1,D2242=1,AB2241/AE2241&gt;=K2242),1,0)</x:f>
        <x:v>0</x:v>
      </x:c>
      <x:c r="AD2242" s="8" t="n">
        <x:f>H2242*IF(AND(OR(AB2241/AE2241&gt;=v01_FissionTrigger*N2242,AC2242=1),AB2241/AE2241*v01_DaughterShare&gt;=v01_MinDaughter),MAX(1,ROUND(AE2241*v01_FissionRate,0)),0)</x:f>
        <x:v>0</x:v>
      </x:c>
      <x:c r="AE2242" s="8" t="n">
        <x:f>IF(H2242=1,MAX(1,MIN(INDEX(v01_Smax,G2242),AE2241+AD2242)),AE2241)</x:f>
        <x:v>15</x:v>
      </x:c>
      <x:c r="AF2242" s="8" t="n">
        <x:f>MAX(0,AE2242-AE2241)</x:f>
        <x:v>0</x:v>
      </x:c>
      <x:c r="AG2242" s="9" t="str">
        <x:f>IF(AF2242&gt;0,B2242,"")</x:f>
      </x:c>
      <x:c r="AH2242" s="9" t="n">
        <x:f>IF(F2242&gt;=1,1,(1+v01_LowTiesShare*(AE2242-1))/AE2242)</x:f>
        <x:v>1</x:v>
      </x:c>
      <x:c r="AI2242" s="32" t="n">
        <x:f>(Z2242+v01_ElderCommons*INDEX(LM_Elder,G2242)*AA2242)*AH2242</x:f>
        <x:v>64139.732591141874</x:v>
      </x:c>
      <x:c r="AJ2242" s="32" t="n">
        <x:f>H2242*v01_CommonsCoef*AI2242^v01_CommonsExp*INDEX(LM_Commons,G2242)</x:f>
        <x:v>0</x:v>
      </x:c>
      <x:c r="AK2242" s="32" t="n">
        <x:f>H2242*v01_RoleScale*Arch_Roles*(AE2242*(INDEX(v01_ElderRolePerSett,G2242)*v01_OutElder*INDEX(LM_Elder,G2242)+INDEX(v01_ShamanPerSett,G2242)*v01_OutShaman)+Z2242*(INDEX(v01_PriestShare,G2242)*v01_OutPriest+INDEX(v01_ScribeShare,G2242)*v01_OutScribe*INDEX(LM_Scribe,G2242)+INDEX(v01_ScholarShare,G2242)*v01_OutScholar*INDEX(LM_Scholar,G2242)+INDEX(v01_ResearcherShare,G2242)*v01_OutResearcher*INDEX(LM_Researcher,G2242)))</x:f>
        <x:v>0</x:v>
      </x:c>
      <x:c r="AL2242" s="32" t="n">
        <x:f>H2242*v01_RoleScale*Arch_Roles*AE2242*INDEX(v01_MonasteryPerSett,G2242)*v01_OutMonastery*INDEX(LM_Monastery,G2242)</x:f>
        <x:v>0</x:v>
      </x:c>
      <x:c r="AM2242" s="32" t="n">
        <x:f>(AJ2242+AK2242+AL2242)/4*INDEX(LM_All,G2242)*INDEX(v01_Boon,G2242)*Arch_Insight</x:f>
        <x:v>0</x:v>
      </x:c>
      <x:c r="AN2242" s="32" t="n">
        <x:f>H2242*(v01_KHPerAdult*Z2242+v01_KHOfCommons*AJ2242/4*INDEX(LM_All,G2242))*v01_KHUsable*Arch_KH</x:f>
        <x:v>0</x:v>
      </x:c>
      <x:c r="AO2242" s="32" t="n">
        <x:f>MIN(AP2241+AN2242,AM2242*v01_KHMaxRatio)</x:f>
        <x:v>0</x:v>
      </x:c>
      <x:c r="AP2242" s="32" t="n">
        <x:f>AP2241+AN2242-AO2242</x:f>
        <x:v>0</x:v>
      </x:c>
      <x:c r="AQ2242" s="32" t="n">
        <x:f>AM2242+AO2242</x:f>
        <x:v>0</x:v>
      </x:c>
      <x:c r="AR2242" s="10" t="n">
        <x:f>IF(H2242=1,INDEX(v01_Req,G2242),0)</x:f>
        <x:v>0</x:v>
      </x:c>
      <x:c r="AS2242" s="32" t="n">
        <x:f>IF(H2242=1,IF(E2242=1,AS2241-AR2241,AS2241)+AQ2242,0)</x:f>
        <x:v>0</x:v>
      </x:c>
      <x:c r="AT2242" s="11" t="n">
        <x:f>IF(AR2242&gt;0,MIN(1,AS2242/AR2242),1)</x:f>
        <x:v>1</x:v>
      </x:c>
      <x:c r="AU2242" s="10" t="n">
        <x:f>AB2242/INDEX(v01_RepScale,G2242)</x:f>
        <x:v>90.09519605746344</x:v>
      </x:c>
      <x:c r="AV2242" s="32" t="n">
        <x:f>AM2242*60/v01_SeasonSeconds</x:f>
        <x:v>0</x:v>
      </x:c>
    </x:row>
    <x:row r="2243">
      <x:c r="A2243" s="8" t="n">
        <x:f>A2242+1</x:f>
        <x:v>2240</x:v>
      </x:c>
      <x:c r="B2243" s="9" t="n">
        <x:f>A2243*v01_SeasonSeconds/60</x:f>
        <x:v>560</x:v>
      </x:c>
      <x:c r="C2243" s="9" t="n">
        <x:f>A2243/4</x:f>
        <x:v>560</x:v>
      </x:c>
      <x:c r="D2243" s="8" t="n">
        <x:f>IF(MOD(A2243,4)=0,1,0)</x:f>
        <x:v>1</x:v>
      </x:c>
      <x:c r="E2243" s="8" t="n">
        <x:f>IF(AND(F2242&lt;=9,AS2242&gt;=AR2242),1,0)</x:f>
        <x:v>0</x:v>
      </x:c>
      <x:c r="F2243" s="8" t="n">
        <x:f>MIN(10,F2242+E2243)</x:f>
        <x:v>10</x:v>
      </x:c>
      <x:c r="G2243" s="8" t="n">
        <x:f>MIN(F2243,9)+1</x:f>
        <x:v>10</x:v>
      </x:c>
      <x:c r="H2243" s="8" t="n">
        <x:f>IF(F2243&lt;=9,1,0)</x:f>
        <x:v>0</x:v>
      </x:c>
      <x:c r="I2243" s="9" t="n">
        <x:f>MIN(10,F2242+IF(AR2242&gt;0,MIN(1,AS2242/AR2242),1))</x:f>
        <x:v>10</x:v>
      </x:c>
      <x:c r="J2243" s="32" t="n">
        <x:f>INDEX(v01_FoodCap,G2243)*Arch_FoodCap*EXP(v01_CapsByProject*SUMPRODUCT((Cap_Point&lt;=I2243)*(Cap_Kind="Food")*Cap_Ln))</x:f>
        <x:v>12000</x:v>
      </x:c>
      <x:c r="K2243" s="32" t="n">
        <x:f>J2243*MIN(1,v01_LeanBase*EXP(v01_CapsByProject*SUMPRODUCT((Cap_Point&lt;=I2243)*(Cap_Kind="Lean")*Cap_Ln)))</x:f>
        <x:v>12000</x:v>
      </x:c>
      <x:c r="L2243" s="10" t="n">
        <x:f>INDEX(v01_HousingCap,G2243)*EXP(v01_CapsByProject*SUMPRODUCT((Cap_Point&lt;=I2243)*(Cap_Kind="Housing")*Cap_Ln))</x:f>
        <x:v>20000</x:v>
      </x:c>
      <x:c r="M2243" s="10" t="n">
        <x:f>INDEX(v01_GroupCap,G2243)*v01_CohesionFactor*EXP(v01_CapsByProject*SUMPRODUCT((Cap_Point&lt;=I2243)*(Cap_Kind="Group")*Cap_Ln))</x:f>
        <x:v>1000000</x:v>
      </x:c>
      <x:c r="N2243" s="32" t="n">
        <x:f>MIN(J2243,L2243,M2243)</x:f>
        <x:v>12000</x:v>
      </x:c>
      <x:c r="O2243" s="10" t="n">
        <x:f>AE2242*N2243</x:f>
        <x:v>180000</x:v>
      </x:c>
      <x:c r="P2243" s="9" t="n">
        <x:f>MIN(1,(AB2242/(AE2242*IF(v01_GroupInCrowding=1,N2243,MIN(J2243,L2243))))^v01_CrowdingExp)</x:f>
        <x:v>0.00024569414295285325</x:v>
      </x:c>
      <x:c r="Q2243" s="9" t="n">
        <x:f>IF(D2243=1,INDEX(v01_WinterMult,G2243),1)</x:f>
        <x:v>1</x:v>
      </x:c>
      <x:c r="R2243" s="9" t="n">
        <x:f>H2243*Z2242*v01_WomenShare*v01_BaseFertility*INDEX(v01_FertMult,G2243)*Arch_Fertility*(1-P2243)</x:f>
        <x:v>0</x:v>
      </x:c>
      <x:c r="S2243" s="9" t="n">
        <x:f>H2243*Y2242*INDEX(v01_MortChild,G2243)/4*Q2243</x:f>
        <x:v>0</x:v>
      </x:c>
      <x:c r="T2243" s="9" t="n">
        <x:f>H2243*Z2242*INDEX(v01_MortAdult,G2243)*Arch_AdultMort/4*Q2243</x:f>
        <x:v>0</x:v>
      </x:c>
      <x:c r="U2243" s="9" t="n">
        <x:f>H2243*AA2242*INDEX(v01_MortElder,G2243)/4*Q2243</x:f>
        <x:v>0</x:v>
      </x:c>
      <x:c r="V2243" s="9" t="n">
        <x:f>H2243*MAX(0,AB2242-O2243)*v01_OvercapLoss</x:f>
        <x:v>0</x:v>
      </x:c>
      <x:c r="W2243" s="9" t="n">
        <x:f>H2243*Y2242/(v01_ChildYears*4)</x:f>
        <x:v>0</x:v>
      </x:c>
      <x:c r="X2243" s="9" t="n">
        <x:f>H2243*Z2242/(v01_AdultYears*4)</x:f>
        <x:v>0</x:v>
      </x:c>
      <x:c r="Y2243" s="32" t="n">
        <x:f>Y2242+R2243-S2243-W2243-Y2242*V2243/AB2242</x:f>
        <x:v>14306.18539759397</x:v>
      </x:c>
      <x:c r="Z2243" s="32" t="n">
        <x:f>Z2242+W2243-X2243-T2243-Z2242*V2243/AB2242</x:f>
        <x:v>19354.456567879548</x:v>
      </x:c>
      <x:c r="AA2243" s="32" t="n">
        <x:f>AA2242+X2243-U2243-AA2242*V2243/AB2242</x:f>
        <x:v>11386.956063258198</x:v>
      </x:c>
      <x:c r="AB2243" s="10" t="n">
        <x:f>Y2243+Z2243+AA2243</x:f>
        <x:v>45047.59802873172</x:v>
      </x:c>
      <x:c r="AC2243" s="8" t="n">
        <x:f>IF(AND(v01_WinterTrigger=1,D2243=1,AB2242/AE2242&gt;=K2243),1,0)</x:f>
        <x:v>0</x:v>
      </x:c>
      <x:c r="AD2243" s="8" t="n">
        <x:f>H2243*IF(AND(OR(AB2242/AE2242&gt;=v01_FissionTrigger*N2243,AC2243=1),AB2242/AE2242*v01_DaughterShare&gt;=v01_MinDaughter),MAX(1,ROUND(AE2242*v01_FissionRate,0)),0)</x:f>
        <x:v>0</x:v>
      </x:c>
      <x:c r="AE2243" s="8" t="n">
        <x:f>IF(H2243=1,MAX(1,MIN(INDEX(v01_Smax,G2243),AE2242+AD2243)),AE2242)</x:f>
        <x:v>15</x:v>
      </x:c>
      <x:c r="AF2243" s="8" t="n">
        <x:f>MAX(0,AE2243-AE2242)</x:f>
        <x:v>0</x:v>
      </x:c>
      <x:c r="AG2243" s="9" t="str">
        <x:f>IF(AF2243&gt;0,B2243,"")</x:f>
      </x:c>
      <x:c r="AH2243" s="9" t="n">
        <x:f>IF(F2243&gt;=1,1,(1+v01_LowTiesShare*(AE2243-1))/AE2243)</x:f>
        <x:v>1</x:v>
      </x:c>
      <x:c r="AI2243" s="32" t="n">
        <x:f>(Z2243+v01_ElderCommons*INDEX(LM_Elder,G2243)*AA2243)*AH2243</x:f>
        <x:v>64139.732591141874</x:v>
      </x:c>
      <x:c r="AJ2243" s="32" t="n">
        <x:f>H2243*v01_CommonsCoef*AI2243^v01_CommonsExp*INDEX(LM_Commons,G2243)</x:f>
        <x:v>0</x:v>
      </x:c>
      <x:c r="AK2243" s="32" t="n">
        <x:f>H2243*v01_RoleScale*Arch_Roles*(AE2243*(INDEX(v01_ElderRolePerSett,G2243)*v01_OutElder*INDEX(LM_Elder,G2243)+INDEX(v01_ShamanPerSett,G2243)*v01_OutShaman)+Z2243*(INDEX(v01_PriestShare,G2243)*v01_OutPriest+INDEX(v01_ScribeShare,G2243)*v01_OutScribe*INDEX(LM_Scribe,G2243)+INDEX(v01_ScholarShare,G2243)*v01_OutScholar*INDEX(LM_Scholar,G2243)+INDEX(v01_ResearcherShare,G2243)*v01_OutResearcher*INDEX(LM_Researcher,G2243)))</x:f>
        <x:v>0</x:v>
      </x:c>
      <x:c r="AL2243" s="32" t="n">
        <x:f>H2243*v01_RoleScale*Arch_Roles*AE2243*INDEX(v01_MonasteryPerSett,G2243)*v01_OutMonastery*INDEX(LM_Monastery,G2243)</x:f>
        <x:v>0</x:v>
      </x:c>
      <x:c r="AM2243" s="32" t="n">
        <x:f>(AJ2243+AK2243+AL2243)/4*INDEX(LM_All,G2243)*INDEX(v01_Boon,G2243)*Arch_Insight</x:f>
        <x:v>0</x:v>
      </x:c>
      <x:c r="AN2243" s="32" t="n">
        <x:f>H2243*(v01_KHPerAdult*Z2243+v01_KHOfCommons*AJ2243/4*INDEX(LM_All,G2243))*v01_KHUsable*Arch_KH</x:f>
        <x:v>0</x:v>
      </x:c>
      <x:c r="AO2243" s="32" t="n">
        <x:f>MIN(AP2242+AN2243,AM2243*v01_KHMaxRatio)</x:f>
        <x:v>0</x:v>
      </x:c>
      <x:c r="AP2243" s="32" t="n">
        <x:f>AP2242+AN2243-AO2243</x:f>
        <x:v>0</x:v>
      </x:c>
      <x:c r="AQ2243" s="32" t="n">
        <x:f>AM2243+AO2243</x:f>
        <x:v>0</x:v>
      </x:c>
      <x:c r="AR2243" s="10" t="n">
        <x:f>IF(H2243=1,INDEX(v01_Req,G2243),0)</x:f>
        <x:v>0</x:v>
      </x:c>
      <x:c r="AS2243" s="32" t="n">
        <x:f>IF(H2243=1,IF(E2243=1,AS2242-AR2242,AS2242)+AQ2243,0)</x:f>
        <x:v>0</x:v>
      </x:c>
      <x:c r="AT2243" s="11" t="n">
        <x:f>IF(AR2243&gt;0,MIN(1,AS2243/AR2243),1)</x:f>
        <x:v>1</x:v>
      </x:c>
      <x:c r="AU2243" s="10" t="n">
        <x:f>AB2243/INDEX(v01_RepScale,G2243)</x:f>
        <x:v>90.09519605746344</x:v>
      </x:c>
      <x:c r="AV2243" s="32" t="n">
        <x:f>AM2243*60/v01_SeasonSeconds</x:f>
        <x:v>0</x:v>
      </x:c>
    </x:row>
    <x:row r="2244">
      <x:c r="A2244" s="8" t="n">
        <x:f>A2243+1</x:f>
        <x:v>2241</x:v>
      </x:c>
      <x:c r="B2244" s="9" t="n">
        <x:f>A2244*v01_SeasonSeconds/60</x:f>
        <x:v>560.25</x:v>
      </x:c>
      <x:c r="C2244" s="9" t="n">
        <x:f>A2244/4</x:f>
        <x:v>560.25</x:v>
      </x:c>
      <x:c r="D2244" s="8" t="n">
        <x:f>IF(MOD(A2244,4)=0,1,0)</x:f>
        <x:v>0</x:v>
      </x:c>
      <x:c r="E2244" s="8" t="n">
        <x:f>IF(AND(F2243&lt;=9,AS2243&gt;=AR2243),1,0)</x:f>
        <x:v>0</x:v>
      </x:c>
      <x:c r="F2244" s="8" t="n">
        <x:f>MIN(10,F2243+E2244)</x:f>
        <x:v>10</x:v>
      </x:c>
      <x:c r="G2244" s="8" t="n">
        <x:f>MIN(F2244,9)+1</x:f>
        <x:v>10</x:v>
      </x:c>
      <x:c r="H2244" s="8" t="n">
        <x:f>IF(F2244&lt;=9,1,0)</x:f>
        <x:v>0</x:v>
      </x:c>
      <x:c r="I2244" s="9" t="n">
        <x:f>MIN(10,F2243+IF(AR2243&gt;0,MIN(1,AS2243/AR2243),1))</x:f>
        <x:v>10</x:v>
      </x:c>
      <x:c r="J2244" s="32" t="n">
        <x:f>INDEX(v01_FoodCap,G2244)*Arch_FoodCap*EXP(v01_CapsByProject*SUMPRODUCT((Cap_Point&lt;=I2244)*(Cap_Kind="Food")*Cap_Ln))</x:f>
        <x:v>12000</x:v>
      </x:c>
      <x:c r="K2244" s="32" t="n">
        <x:f>J2244*MIN(1,v01_LeanBase*EXP(v01_CapsByProject*SUMPRODUCT((Cap_Point&lt;=I2244)*(Cap_Kind="Lean")*Cap_Ln)))</x:f>
        <x:v>12000</x:v>
      </x:c>
      <x:c r="L2244" s="10" t="n">
        <x:f>INDEX(v01_HousingCap,G2244)*EXP(v01_CapsByProject*SUMPRODUCT((Cap_Point&lt;=I2244)*(Cap_Kind="Housing")*Cap_Ln))</x:f>
        <x:v>20000</x:v>
      </x:c>
      <x:c r="M2244" s="10" t="n">
        <x:f>INDEX(v01_GroupCap,G2244)*v01_CohesionFactor*EXP(v01_CapsByProject*SUMPRODUCT((Cap_Point&lt;=I2244)*(Cap_Kind="Group")*Cap_Ln))</x:f>
        <x:v>1000000</x:v>
      </x:c>
      <x:c r="N2244" s="32" t="n">
        <x:f>MIN(J2244,L2244,M2244)</x:f>
        <x:v>12000</x:v>
      </x:c>
      <x:c r="O2244" s="10" t="n">
        <x:f>AE2243*N2244</x:f>
        <x:v>180000</x:v>
      </x:c>
      <x:c r="P2244" s="9" t="n">
        <x:f>MIN(1,(AB2243/(AE2243*IF(v01_GroupInCrowding=1,N2244,MIN(J2244,L2244))))^v01_CrowdingExp)</x:f>
        <x:v>0.00024569414295285325</x:v>
      </x:c>
      <x:c r="Q2244" s="9" t="n">
        <x:f>IF(D2244=1,INDEX(v01_WinterMult,G2244),1)</x:f>
        <x:v>1</x:v>
      </x:c>
      <x:c r="R2244" s="9" t="n">
        <x:f>H2244*Z2243*v01_WomenShare*v01_BaseFertility*INDEX(v01_FertMult,G2244)*Arch_Fertility*(1-P2244)</x:f>
        <x:v>0</x:v>
      </x:c>
      <x:c r="S2244" s="9" t="n">
        <x:f>H2244*Y2243*INDEX(v01_MortChild,G2244)/4*Q2244</x:f>
        <x:v>0</x:v>
      </x:c>
      <x:c r="T2244" s="9" t="n">
        <x:f>H2244*Z2243*INDEX(v01_MortAdult,G2244)*Arch_AdultMort/4*Q2244</x:f>
        <x:v>0</x:v>
      </x:c>
      <x:c r="U2244" s="9" t="n">
        <x:f>H2244*AA2243*INDEX(v01_MortElder,G2244)/4*Q2244</x:f>
        <x:v>0</x:v>
      </x:c>
      <x:c r="V2244" s="9" t="n">
        <x:f>H2244*MAX(0,AB2243-O2244)*v01_OvercapLoss</x:f>
        <x:v>0</x:v>
      </x:c>
      <x:c r="W2244" s="9" t="n">
        <x:f>H2244*Y2243/(v01_ChildYears*4)</x:f>
        <x:v>0</x:v>
      </x:c>
      <x:c r="X2244" s="9" t="n">
        <x:f>H2244*Z2243/(v01_AdultYears*4)</x:f>
        <x:v>0</x:v>
      </x:c>
      <x:c r="Y2244" s="32" t="n">
        <x:f>Y2243+R2244-S2244-W2244-Y2243*V2244/AB2243</x:f>
        <x:v>14306.18539759397</x:v>
      </x:c>
      <x:c r="Z2244" s="32" t="n">
        <x:f>Z2243+W2244-X2244-T2244-Z2243*V2244/AB2243</x:f>
        <x:v>19354.456567879548</x:v>
      </x:c>
      <x:c r="AA2244" s="32" t="n">
        <x:f>AA2243+X2244-U2244-AA2243*V2244/AB2243</x:f>
        <x:v>11386.956063258198</x:v>
      </x:c>
      <x:c r="AB2244" s="10" t="n">
        <x:f>Y2244+Z2244+AA2244</x:f>
        <x:v>45047.59802873172</x:v>
      </x:c>
      <x:c r="AC2244" s="8" t="n">
        <x:f>IF(AND(v01_WinterTrigger=1,D2244=1,AB2243/AE2243&gt;=K2244),1,0)</x:f>
        <x:v>0</x:v>
      </x:c>
      <x:c r="AD2244" s="8" t="n">
        <x:f>H2244*IF(AND(OR(AB2243/AE2243&gt;=v01_FissionTrigger*N2244,AC2244=1),AB2243/AE2243*v01_DaughterShare&gt;=v01_MinDaughter),MAX(1,ROUND(AE2243*v01_FissionRate,0)),0)</x:f>
        <x:v>0</x:v>
      </x:c>
      <x:c r="AE2244" s="8" t="n">
        <x:f>IF(H2244=1,MAX(1,MIN(INDEX(v01_Smax,G2244),AE2243+AD2244)),AE2243)</x:f>
        <x:v>15</x:v>
      </x:c>
      <x:c r="AF2244" s="8" t="n">
        <x:f>MAX(0,AE2244-AE2243)</x:f>
        <x:v>0</x:v>
      </x:c>
      <x:c r="AG2244" s="9" t="str">
        <x:f>IF(AF2244&gt;0,B2244,"")</x:f>
      </x:c>
      <x:c r="AH2244" s="9" t="n">
        <x:f>IF(F2244&gt;=1,1,(1+v01_LowTiesShare*(AE2244-1))/AE2244)</x:f>
        <x:v>1</x:v>
      </x:c>
      <x:c r="AI2244" s="32" t="n">
        <x:f>(Z2244+v01_ElderCommons*INDEX(LM_Elder,G2244)*AA2244)*AH2244</x:f>
        <x:v>64139.732591141874</x:v>
      </x:c>
      <x:c r="AJ2244" s="32" t="n">
        <x:f>H2244*v01_CommonsCoef*AI2244^v01_CommonsExp*INDEX(LM_Commons,G2244)</x:f>
        <x:v>0</x:v>
      </x:c>
      <x:c r="AK2244" s="32" t="n">
        <x:f>H2244*v01_RoleScale*Arch_Roles*(AE2244*(INDEX(v01_ElderRolePerSett,G2244)*v01_OutElder*INDEX(LM_Elder,G2244)+INDEX(v01_ShamanPerSett,G2244)*v01_OutShaman)+Z2244*(INDEX(v01_PriestShare,G2244)*v01_OutPriest+INDEX(v01_ScribeShare,G2244)*v01_OutScribe*INDEX(LM_Scribe,G2244)+INDEX(v01_ScholarShare,G2244)*v01_OutScholar*INDEX(LM_Scholar,G2244)+INDEX(v01_ResearcherShare,G2244)*v01_OutResearcher*INDEX(LM_Researcher,G2244)))</x:f>
        <x:v>0</x:v>
      </x:c>
      <x:c r="AL2244" s="32" t="n">
        <x:f>H2244*v01_RoleScale*Arch_Roles*AE2244*INDEX(v01_MonasteryPerSett,G2244)*v01_OutMonastery*INDEX(LM_Monastery,G2244)</x:f>
        <x:v>0</x:v>
      </x:c>
      <x:c r="AM2244" s="32" t="n">
        <x:f>(AJ2244+AK2244+AL2244)/4*INDEX(LM_All,G2244)*INDEX(v01_Boon,G2244)*Arch_Insight</x:f>
        <x:v>0</x:v>
      </x:c>
      <x:c r="AN2244" s="32" t="n">
        <x:f>H2244*(v01_KHPerAdult*Z2244+v01_KHOfCommons*AJ2244/4*INDEX(LM_All,G2244))*v01_KHUsable*Arch_KH</x:f>
        <x:v>0</x:v>
      </x:c>
      <x:c r="AO2244" s="32" t="n">
        <x:f>MIN(AP2243+AN2244,AM2244*v01_KHMaxRatio)</x:f>
        <x:v>0</x:v>
      </x:c>
      <x:c r="AP2244" s="32" t="n">
        <x:f>AP2243+AN2244-AO2244</x:f>
        <x:v>0</x:v>
      </x:c>
      <x:c r="AQ2244" s="32" t="n">
        <x:f>AM2244+AO2244</x:f>
        <x:v>0</x:v>
      </x:c>
      <x:c r="AR2244" s="10" t="n">
        <x:f>IF(H2244=1,INDEX(v01_Req,G2244),0)</x:f>
        <x:v>0</x:v>
      </x:c>
      <x:c r="AS2244" s="32" t="n">
        <x:f>IF(H2244=1,IF(E2244=1,AS2243-AR2243,AS2243)+AQ2244,0)</x:f>
        <x:v>0</x:v>
      </x:c>
      <x:c r="AT2244" s="11" t="n">
        <x:f>IF(AR2244&gt;0,MIN(1,AS2244/AR2244),1)</x:f>
        <x:v>1</x:v>
      </x:c>
      <x:c r="AU2244" s="10" t="n">
        <x:f>AB2244/INDEX(v01_RepScale,G2244)</x:f>
        <x:v>90.09519605746344</x:v>
      </x:c>
      <x:c r="AV2244" s="32" t="n">
        <x:f>AM2244*60/v01_SeasonSeconds</x:f>
        <x:v>0</x:v>
      </x:c>
    </x:row>
    <x:row r="2245">
      <x:c r="A2245" s="8" t="n">
        <x:f>A2244+1</x:f>
        <x:v>2242</x:v>
      </x:c>
      <x:c r="B2245" s="9" t="n">
        <x:f>A2245*v01_SeasonSeconds/60</x:f>
        <x:v>560.5</x:v>
      </x:c>
      <x:c r="C2245" s="9" t="n">
        <x:f>A2245/4</x:f>
        <x:v>560.5</x:v>
      </x:c>
      <x:c r="D2245" s="8" t="n">
        <x:f>IF(MOD(A2245,4)=0,1,0)</x:f>
        <x:v>0</x:v>
      </x:c>
      <x:c r="E2245" s="8" t="n">
        <x:f>IF(AND(F2244&lt;=9,AS2244&gt;=AR2244),1,0)</x:f>
        <x:v>0</x:v>
      </x:c>
      <x:c r="F2245" s="8" t="n">
        <x:f>MIN(10,F2244+E2245)</x:f>
        <x:v>10</x:v>
      </x:c>
      <x:c r="G2245" s="8" t="n">
        <x:f>MIN(F2245,9)+1</x:f>
        <x:v>10</x:v>
      </x:c>
      <x:c r="H2245" s="8" t="n">
        <x:f>IF(F2245&lt;=9,1,0)</x:f>
        <x:v>0</x:v>
      </x:c>
      <x:c r="I2245" s="9" t="n">
        <x:f>MIN(10,F2244+IF(AR2244&gt;0,MIN(1,AS2244/AR2244),1))</x:f>
        <x:v>10</x:v>
      </x:c>
      <x:c r="J2245" s="32" t="n">
        <x:f>INDEX(v01_FoodCap,G2245)*Arch_FoodCap*EXP(v01_CapsByProject*SUMPRODUCT((Cap_Point&lt;=I2245)*(Cap_Kind="Food")*Cap_Ln))</x:f>
        <x:v>12000</x:v>
      </x:c>
      <x:c r="K2245" s="32" t="n">
        <x:f>J2245*MIN(1,v01_LeanBase*EXP(v01_CapsByProject*SUMPRODUCT((Cap_Point&lt;=I2245)*(Cap_Kind="Lean")*Cap_Ln)))</x:f>
        <x:v>12000</x:v>
      </x:c>
      <x:c r="L2245" s="10" t="n">
        <x:f>INDEX(v01_HousingCap,G2245)*EXP(v01_CapsByProject*SUMPRODUCT((Cap_Point&lt;=I2245)*(Cap_Kind="Housing")*Cap_Ln))</x:f>
        <x:v>20000</x:v>
      </x:c>
      <x:c r="M2245" s="10" t="n">
        <x:f>INDEX(v01_GroupCap,G2245)*v01_CohesionFactor*EXP(v01_CapsByProject*SUMPRODUCT((Cap_Point&lt;=I2245)*(Cap_Kind="Group")*Cap_Ln))</x:f>
        <x:v>1000000</x:v>
      </x:c>
      <x:c r="N2245" s="32" t="n">
        <x:f>MIN(J2245,L2245,M2245)</x:f>
        <x:v>12000</x:v>
      </x:c>
      <x:c r="O2245" s="10" t="n">
        <x:f>AE2244*N2245</x:f>
        <x:v>180000</x:v>
      </x:c>
      <x:c r="P2245" s="9" t="n">
        <x:f>MIN(1,(AB2244/(AE2244*IF(v01_GroupInCrowding=1,N2245,MIN(J2245,L2245))))^v01_CrowdingExp)</x:f>
        <x:v>0.00024569414295285325</x:v>
      </x:c>
      <x:c r="Q2245" s="9" t="n">
        <x:f>IF(D2245=1,INDEX(v01_WinterMult,G2245),1)</x:f>
        <x:v>1</x:v>
      </x:c>
      <x:c r="R2245" s="9" t="n">
        <x:f>H2245*Z2244*v01_WomenShare*v01_BaseFertility*INDEX(v01_FertMult,G2245)*Arch_Fertility*(1-P2245)</x:f>
        <x:v>0</x:v>
      </x:c>
      <x:c r="S2245" s="9" t="n">
        <x:f>H2245*Y2244*INDEX(v01_MortChild,G2245)/4*Q2245</x:f>
        <x:v>0</x:v>
      </x:c>
      <x:c r="T2245" s="9" t="n">
        <x:f>H2245*Z2244*INDEX(v01_MortAdult,G2245)*Arch_AdultMort/4*Q2245</x:f>
        <x:v>0</x:v>
      </x:c>
      <x:c r="U2245" s="9" t="n">
        <x:f>H2245*AA2244*INDEX(v01_MortElder,G2245)/4*Q2245</x:f>
        <x:v>0</x:v>
      </x:c>
      <x:c r="V2245" s="9" t="n">
        <x:f>H2245*MAX(0,AB2244-O2245)*v01_OvercapLoss</x:f>
        <x:v>0</x:v>
      </x:c>
      <x:c r="W2245" s="9" t="n">
        <x:f>H2245*Y2244/(v01_ChildYears*4)</x:f>
        <x:v>0</x:v>
      </x:c>
      <x:c r="X2245" s="9" t="n">
        <x:f>H2245*Z2244/(v01_AdultYears*4)</x:f>
        <x:v>0</x:v>
      </x:c>
      <x:c r="Y2245" s="32" t="n">
        <x:f>Y2244+R2245-S2245-W2245-Y2244*V2245/AB2244</x:f>
        <x:v>14306.18539759397</x:v>
      </x:c>
      <x:c r="Z2245" s="32" t="n">
        <x:f>Z2244+W2245-X2245-T2245-Z2244*V2245/AB2244</x:f>
        <x:v>19354.456567879548</x:v>
      </x:c>
      <x:c r="AA2245" s="32" t="n">
        <x:f>AA2244+X2245-U2245-AA2244*V2245/AB2244</x:f>
        <x:v>11386.956063258198</x:v>
      </x:c>
      <x:c r="AB2245" s="10" t="n">
        <x:f>Y2245+Z2245+AA2245</x:f>
        <x:v>45047.59802873172</x:v>
      </x:c>
      <x:c r="AC2245" s="8" t="n">
        <x:f>IF(AND(v01_WinterTrigger=1,D2245=1,AB2244/AE2244&gt;=K2245),1,0)</x:f>
        <x:v>0</x:v>
      </x:c>
      <x:c r="AD2245" s="8" t="n">
        <x:f>H2245*IF(AND(OR(AB2244/AE2244&gt;=v01_FissionTrigger*N2245,AC2245=1),AB2244/AE2244*v01_DaughterShare&gt;=v01_MinDaughter),MAX(1,ROUND(AE2244*v01_FissionRate,0)),0)</x:f>
        <x:v>0</x:v>
      </x:c>
      <x:c r="AE2245" s="8" t="n">
        <x:f>IF(H2245=1,MAX(1,MIN(INDEX(v01_Smax,G2245),AE2244+AD2245)),AE2244)</x:f>
        <x:v>15</x:v>
      </x:c>
      <x:c r="AF2245" s="8" t="n">
        <x:f>MAX(0,AE2245-AE2244)</x:f>
        <x:v>0</x:v>
      </x:c>
      <x:c r="AG2245" s="9" t="str">
        <x:f>IF(AF2245&gt;0,B2245,"")</x:f>
      </x:c>
      <x:c r="AH2245" s="9" t="n">
        <x:f>IF(F2245&gt;=1,1,(1+v01_LowTiesShare*(AE2245-1))/AE2245)</x:f>
        <x:v>1</x:v>
      </x:c>
      <x:c r="AI2245" s="32" t="n">
        <x:f>(Z2245+v01_ElderCommons*INDEX(LM_Elder,G2245)*AA2245)*AH2245</x:f>
        <x:v>64139.732591141874</x:v>
      </x:c>
      <x:c r="AJ2245" s="32" t="n">
        <x:f>H2245*v01_CommonsCoef*AI2245^v01_CommonsExp*INDEX(LM_Commons,G2245)</x:f>
        <x:v>0</x:v>
      </x:c>
      <x:c r="AK2245" s="32" t="n">
        <x:f>H2245*v01_RoleScale*Arch_Roles*(AE2245*(INDEX(v01_ElderRolePerSett,G2245)*v01_OutElder*INDEX(LM_Elder,G2245)+INDEX(v01_ShamanPerSett,G2245)*v01_OutShaman)+Z2245*(INDEX(v01_PriestShare,G2245)*v01_OutPriest+INDEX(v01_ScribeShare,G2245)*v01_OutScribe*INDEX(LM_Scribe,G2245)+INDEX(v01_ScholarShare,G2245)*v01_OutScholar*INDEX(LM_Scholar,G2245)+INDEX(v01_ResearcherShare,G2245)*v01_OutResearcher*INDEX(LM_Researcher,G2245)))</x:f>
        <x:v>0</x:v>
      </x:c>
      <x:c r="AL2245" s="32" t="n">
        <x:f>H2245*v01_RoleScale*Arch_Roles*AE2245*INDEX(v01_MonasteryPerSett,G2245)*v01_OutMonastery*INDEX(LM_Monastery,G2245)</x:f>
        <x:v>0</x:v>
      </x:c>
      <x:c r="AM2245" s="32" t="n">
        <x:f>(AJ2245+AK2245+AL2245)/4*INDEX(LM_All,G2245)*INDEX(v01_Boon,G2245)*Arch_Insight</x:f>
        <x:v>0</x:v>
      </x:c>
      <x:c r="AN2245" s="32" t="n">
        <x:f>H2245*(v01_KHPerAdult*Z2245+v01_KHOfCommons*AJ2245/4*INDEX(LM_All,G2245))*v01_KHUsable*Arch_KH</x:f>
        <x:v>0</x:v>
      </x:c>
      <x:c r="AO2245" s="32" t="n">
        <x:f>MIN(AP2244+AN2245,AM2245*v01_KHMaxRatio)</x:f>
        <x:v>0</x:v>
      </x:c>
      <x:c r="AP2245" s="32" t="n">
        <x:f>AP2244+AN2245-AO2245</x:f>
        <x:v>0</x:v>
      </x:c>
      <x:c r="AQ2245" s="32" t="n">
        <x:f>AM2245+AO2245</x:f>
        <x:v>0</x:v>
      </x:c>
      <x:c r="AR2245" s="10" t="n">
        <x:f>IF(H2245=1,INDEX(v01_Req,G2245),0)</x:f>
        <x:v>0</x:v>
      </x:c>
      <x:c r="AS2245" s="32" t="n">
        <x:f>IF(H2245=1,IF(E2245=1,AS2244-AR2244,AS2244)+AQ2245,0)</x:f>
        <x:v>0</x:v>
      </x:c>
      <x:c r="AT2245" s="11" t="n">
        <x:f>IF(AR2245&gt;0,MIN(1,AS2245/AR2245),1)</x:f>
        <x:v>1</x:v>
      </x:c>
      <x:c r="AU2245" s="10" t="n">
        <x:f>AB2245/INDEX(v01_RepScale,G2245)</x:f>
        <x:v>90.09519605746344</x:v>
      </x:c>
      <x:c r="AV2245" s="32" t="n">
        <x:f>AM2245*60/v01_SeasonSeconds</x:f>
        <x:v>0</x:v>
      </x:c>
    </x:row>
    <x:row r="2246">
      <x:c r="A2246" s="8" t="n">
        <x:f>A2245+1</x:f>
        <x:v>2243</x:v>
      </x:c>
      <x:c r="B2246" s="9" t="n">
        <x:f>A2246*v01_SeasonSeconds/60</x:f>
        <x:v>560.75</x:v>
      </x:c>
      <x:c r="C2246" s="9" t="n">
        <x:f>A2246/4</x:f>
        <x:v>560.75</x:v>
      </x:c>
      <x:c r="D2246" s="8" t="n">
        <x:f>IF(MOD(A2246,4)=0,1,0)</x:f>
        <x:v>0</x:v>
      </x:c>
      <x:c r="E2246" s="8" t="n">
        <x:f>IF(AND(F2245&lt;=9,AS2245&gt;=AR2245),1,0)</x:f>
        <x:v>0</x:v>
      </x:c>
      <x:c r="F2246" s="8" t="n">
        <x:f>MIN(10,F2245+E2246)</x:f>
        <x:v>10</x:v>
      </x:c>
      <x:c r="G2246" s="8" t="n">
        <x:f>MIN(F2246,9)+1</x:f>
        <x:v>10</x:v>
      </x:c>
      <x:c r="H2246" s="8" t="n">
        <x:f>IF(F2246&lt;=9,1,0)</x:f>
        <x:v>0</x:v>
      </x:c>
      <x:c r="I2246" s="9" t="n">
        <x:f>MIN(10,F2245+IF(AR2245&gt;0,MIN(1,AS2245/AR2245),1))</x:f>
        <x:v>10</x:v>
      </x:c>
      <x:c r="J2246" s="32" t="n">
        <x:f>INDEX(v01_FoodCap,G2246)*Arch_FoodCap*EXP(v01_CapsByProject*SUMPRODUCT((Cap_Point&lt;=I2246)*(Cap_Kind="Food")*Cap_Ln))</x:f>
        <x:v>12000</x:v>
      </x:c>
      <x:c r="K2246" s="32" t="n">
        <x:f>J2246*MIN(1,v01_LeanBase*EXP(v01_CapsByProject*SUMPRODUCT((Cap_Point&lt;=I2246)*(Cap_Kind="Lean")*Cap_Ln)))</x:f>
        <x:v>12000</x:v>
      </x:c>
      <x:c r="L2246" s="10" t="n">
        <x:f>INDEX(v01_HousingCap,G2246)*EXP(v01_CapsByProject*SUMPRODUCT((Cap_Point&lt;=I2246)*(Cap_Kind="Housing")*Cap_Ln))</x:f>
        <x:v>20000</x:v>
      </x:c>
      <x:c r="M2246" s="10" t="n">
        <x:f>INDEX(v01_GroupCap,G2246)*v01_CohesionFactor*EXP(v01_CapsByProject*SUMPRODUCT((Cap_Point&lt;=I2246)*(Cap_Kind="Group")*Cap_Ln))</x:f>
        <x:v>1000000</x:v>
      </x:c>
      <x:c r="N2246" s="32" t="n">
        <x:f>MIN(J2246,L2246,M2246)</x:f>
        <x:v>12000</x:v>
      </x:c>
      <x:c r="O2246" s="10" t="n">
        <x:f>AE2245*N2246</x:f>
        <x:v>180000</x:v>
      </x:c>
      <x:c r="P2246" s="9" t="n">
        <x:f>MIN(1,(AB2245/(AE2245*IF(v01_GroupInCrowding=1,N2246,MIN(J2246,L2246))))^v01_CrowdingExp)</x:f>
        <x:v>0.00024569414295285325</x:v>
      </x:c>
      <x:c r="Q2246" s="9" t="n">
        <x:f>IF(D2246=1,INDEX(v01_WinterMult,G2246),1)</x:f>
        <x:v>1</x:v>
      </x:c>
      <x:c r="R2246" s="9" t="n">
        <x:f>H2246*Z2245*v01_WomenShare*v01_BaseFertility*INDEX(v01_FertMult,G2246)*Arch_Fertility*(1-P2246)</x:f>
        <x:v>0</x:v>
      </x:c>
      <x:c r="S2246" s="9" t="n">
        <x:f>H2246*Y2245*INDEX(v01_MortChild,G2246)/4*Q2246</x:f>
        <x:v>0</x:v>
      </x:c>
      <x:c r="T2246" s="9" t="n">
        <x:f>H2246*Z2245*INDEX(v01_MortAdult,G2246)*Arch_AdultMort/4*Q2246</x:f>
        <x:v>0</x:v>
      </x:c>
      <x:c r="U2246" s="9" t="n">
        <x:f>H2246*AA2245*INDEX(v01_MortElder,G2246)/4*Q2246</x:f>
        <x:v>0</x:v>
      </x:c>
      <x:c r="V2246" s="9" t="n">
        <x:f>H2246*MAX(0,AB2245-O2246)*v01_OvercapLoss</x:f>
        <x:v>0</x:v>
      </x:c>
      <x:c r="W2246" s="9" t="n">
        <x:f>H2246*Y2245/(v01_ChildYears*4)</x:f>
        <x:v>0</x:v>
      </x:c>
      <x:c r="X2246" s="9" t="n">
        <x:f>H2246*Z2245/(v01_AdultYears*4)</x:f>
        <x:v>0</x:v>
      </x:c>
      <x:c r="Y2246" s="32" t="n">
        <x:f>Y2245+R2246-S2246-W2246-Y2245*V2246/AB2245</x:f>
        <x:v>14306.18539759397</x:v>
      </x:c>
      <x:c r="Z2246" s="32" t="n">
        <x:f>Z2245+W2246-X2246-T2246-Z2245*V2246/AB2245</x:f>
        <x:v>19354.456567879548</x:v>
      </x:c>
      <x:c r="AA2246" s="32" t="n">
        <x:f>AA2245+X2246-U2246-AA2245*V2246/AB2245</x:f>
        <x:v>11386.956063258198</x:v>
      </x:c>
      <x:c r="AB2246" s="10" t="n">
        <x:f>Y2246+Z2246+AA2246</x:f>
        <x:v>45047.59802873172</x:v>
      </x:c>
      <x:c r="AC2246" s="8" t="n">
        <x:f>IF(AND(v01_WinterTrigger=1,D2246=1,AB2245/AE2245&gt;=K2246),1,0)</x:f>
        <x:v>0</x:v>
      </x:c>
      <x:c r="AD2246" s="8" t="n">
        <x:f>H2246*IF(AND(OR(AB2245/AE2245&gt;=v01_FissionTrigger*N2246,AC2246=1),AB2245/AE2245*v01_DaughterShare&gt;=v01_MinDaughter),MAX(1,ROUND(AE2245*v01_FissionRate,0)),0)</x:f>
        <x:v>0</x:v>
      </x:c>
      <x:c r="AE2246" s="8" t="n">
        <x:f>IF(H2246=1,MAX(1,MIN(INDEX(v01_Smax,G2246),AE2245+AD2246)),AE2245)</x:f>
        <x:v>15</x:v>
      </x:c>
      <x:c r="AF2246" s="8" t="n">
        <x:f>MAX(0,AE2246-AE2245)</x:f>
        <x:v>0</x:v>
      </x:c>
      <x:c r="AG2246" s="9" t="str">
        <x:f>IF(AF2246&gt;0,B2246,"")</x:f>
      </x:c>
      <x:c r="AH2246" s="9" t="n">
        <x:f>IF(F2246&gt;=1,1,(1+v01_LowTiesShare*(AE2246-1))/AE2246)</x:f>
        <x:v>1</x:v>
      </x:c>
      <x:c r="AI2246" s="32" t="n">
        <x:f>(Z2246+v01_ElderCommons*INDEX(LM_Elder,G2246)*AA2246)*AH2246</x:f>
        <x:v>64139.732591141874</x:v>
      </x:c>
      <x:c r="AJ2246" s="32" t="n">
        <x:f>H2246*v01_CommonsCoef*AI2246^v01_CommonsExp*INDEX(LM_Commons,G2246)</x:f>
        <x:v>0</x:v>
      </x:c>
      <x:c r="AK2246" s="32" t="n">
        <x:f>H2246*v01_RoleScale*Arch_Roles*(AE2246*(INDEX(v01_ElderRolePerSett,G2246)*v01_OutElder*INDEX(LM_Elder,G2246)+INDEX(v01_ShamanPerSett,G2246)*v01_OutShaman)+Z2246*(INDEX(v01_PriestShare,G2246)*v01_OutPriest+INDEX(v01_ScribeShare,G2246)*v01_OutScribe*INDEX(LM_Scribe,G2246)+INDEX(v01_ScholarShare,G2246)*v01_OutScholar*INDEX(LM_Scholar,G2246)+INDEX(v01_ResearcherShare,G2246)*v01_OutResearcher*INDEX(LM_Researcher,G2246)))</x:f>
        <x:v>0</x:v>
      </x:c>
      <x:c r="AL2246" s="32" t="n">
        <x:f>H2246*v01_RoleScale*Arch_Roles*AE2246*INDEX(v01_MonasteryPerSett,G2246)*v01_OutMonastery*INDEX(LM_Monastery,G2246)</x:f>
        <x:v>0</x:v>
      </x:c>
      <x:c r="AM2246" s="32" t="n">
        <x:f>(AJ2246+AK2246+AL2246)/4*INDEX(LM_All,G2246)*INDEX(v01_Boon,G2246)*Arch_Insight</x:f>
        <x:v>0</x:v>
      </x:c>
      <x:c r="AN2246" s="32" t="n">
        <x:f>H2246*(v01_KHPerAdult*Z2246+v01_KHOfCommons*AJ2246/4*INDEX(LM_All,G2246))*v01_KHUsable*Arch_KH</x:f>
        <x:v>0</x:v>
      </x:c>
      <x:c r="AO2246" s="32" t="n">
        <x:f>MIN(AP2245+AN2246,AM2246*v01_KHMaxRatio)</x:f>
        <x:v>0</x:v>
      </x:c>
      <x:c r="AP2246" s="32" t="n">
        <x:f>AP2245+AN2246-AO2246</x:f>
        <x:v>0</x:v>
      </x:c>
      <x:c r="AQ2246" s="32" t="n">
        <x:f>AM2246+AO2246</x:f>
        <x:v>0</x:v>
      </x:c>
      <x:c r="AR2246" s="10" t="n">
        <x:f>IF(H2246=1,INDEX(v01_Req,G2246),0)</x:f>
        <x:v>0</x:v>
      </x:c>
      <x:c r="AS2246" s="32" t="n">
        <x:f>IF(H2246=1,IF(E2246=1,AS2245-AR2245,AS2245)+AQ2246,0)</x:f>
        <x:v>0</x:v>
      </x:c>
      <x:c r="AT2246" s="11" t="n">
        <x:f>IF(AR2246&gt;0,MIN(1,AS2246/AR2246),1)</x:f>
        <x:v>1</x:v>
      </x:c>
      <x:c r="AU2246" s="10" t="n">
        <x:f>AB2246/INDEX(v01_RepScale,G2246)</x:f>
        <x:v>90.09519605746344</x:v>
      </x:c>
      <x:c r="AV2246" s="32" t="n">
        <x:f>AM2246*60/v01_SeasonSeconds</x:f>
        <x:v>0</x:v>
      </x:c>
    </x:row>
    <x:row r="2247">
      <x:c r="A2247" s="8" t="n">
        <x:f>A2246+1</x:f>
        <x:v>2244</x:v>
      </x:c>
      <x:c r="B2247" s="9" t="n">
        <x:f>A2247*v01_SeasonSeconds/60</x:f>
        <x:v>561</x:v>
      </x:c>
      <x:c r="C2247" s="9" t="n">
        <x:f>A2247/4</x:f>
        <x:v>561</x:v>
      </x:c>
      <x:c r="D2247" s="8" t="n">
        <x:f>IF(MOD(A2247,4)=0,1,0)</x:f>
        <x:v>1</x:v>
      </x:c>
      <x:c r="E2247" s="8" t="n">
        <x:f>IF(AND(F2246&lt;=9,AS2246&gt;=AR2246),1,0)</x:f>
        <x:v>0</x:v>
      </x:c>
      <x:c r="F2247" s="8" t="n">
        <x:f>MIN(10,F2246+E2247)</x:f>
        <x:v>10</x:v>
      </x:c>
      <x:c r="G2247" s="8" t="n">
        <x:f>MIN(F2247,9)+1</x:f>
        <x:v>10</x:v>
      </x:c>
      <x:c r="H2247" s="8" t="n">
        <x:f>IF(F2247&lt;=9,1,0)</x:f>
        <x:v>0</x:v>
      </x:c>
      <x:c r="I2247" s="9" t="n">
        <x:f>MIN(10,F2246+IF(AR2246&gt;0,MIN(1,AS2246/AR2246),1))</x:f>
        <x:v>10</x:v>
      </x:c>
      <x:c r="J2247" s="32" t="n">
        <x:f>INDEX(v01_FoodCap,G2247)*Arch_FoodCap*EXP(v01_CapsByProject*SUMPRODUCT((Cap_Point&lt;=I2247)*(Cap_Kind="Food")*Cap_Ln))</x:f>
        <x:v>12000</x:v>
      </x:c>
      <x:c r="K2247" s="32" t="n">
        <x:f>J2247*MIN(1,v01_LeanBase*EXP(v01_CapsByProject*SUMPRODUCT((Cap_Point&lt;=I2247)*(Cap_Kind="Lean")*Cap_Ln)))</x:f>
        <x:v>12000</x:v>
      </x:c>
      <x:c r="L2247" s="10" t="n">
        <x:f>INDEX(v01_HousingCap,G2247)*EXP(v01_CapsByProject*SUMPRODUCT((Cap_Point&lt;=I2247)*(Cap_Kind="Housing")*Cap_Ln))</x:f>
        <x:v>20000</x:v>
      </x:c>
      <x:c r="M2247" s="10" t="n">
        <x:f>INDEX(v01_GroupCap,G2247)*v01_CohesionFactor*EXP(v01_CapsByProject*SUMPRODUCT((Cap_Point&lt;=I2247)*(Cap_Kind="Group")*Cap_Ln))</x:f>
        <x:v>1000000</x:v>
      </x:c>
      <x:c r="N2247" s="32" t="n">
        <x:f>MIN(J2247,L2247,M2247)</x:f>
        <x:v>12000</x:v>
      </x:c>
      <x:c r="O2247" s="10" t="n">
        <x:f>AE2246*N2247</x:f>
        <x:v>180000</x:v>
      </x:c>
      <x:c r="P2247" s="9" t="n">
        <x:f>MIN(1,(AB2246/(AE2246*IF(v01_GroupInCrowding=1,N2247,MIN(J2247,L2247))))^v01_CrowdingExp)</x:f>
        <x:v>0.00024569414295285325</x:v>
      </x:c>
      <x:c r="Q2247" s="9" t="n">
        <x:f>IF(D2247=1,INDEX(v01_WinterMult,G2247),1)</x:f>
        <x:v>1</x:v>
      </x:c>
      <x:c r="R2247" s="9" t="n">
        <x:f>H2247*Z2246*v01_WomenShare*v01_BaseFertility*INDEX(v01_FertMult,G2247)*Arch_Fertility*(1-P2247)</x:f>
        <x:v>0</x:v>
      </x:c>
      <x:c r="S2247" s="9" t="n">
        <x:f>H2247*Y2246*INDEX(v01_MortChild,G2247)/4*Q2247</x:f>
        <x:v>0</x:v>
      </x:c>
      <x:c r="T2247" s="9" t="n">
        <x:f>H2247*Z2246*INDEX(v01_MortAdult,G2247)*Arch_AdultMort/4*Q2247</x:f>
        <x:v>0</x:v>
      </x:c>
      <x:c r="U2247" s="9" t="n">
        <x:f>H2247*AA2246*INDEX(v01_MortElder,G2247)/4*Q2247</x:f>
        <x:v>0</x:v>
      </x:c>
      <x:c r="V2247" s="9" t="n">
        <x:f>H2247*MAX(0,AB2246-O2247)*v01_OvercapLoss</x:f>
        <x:v>0</x:v>
      </x:c>
      <x:c r="W2247" s="9" t="n">
        <x:f>H2247*Y2246/(v01_ChildYears*4)</x:f>
        <x:v>0</x:v>
      </x:c>
      <x:c r="X2247" s="9" t="n">
        <x:f>H2247*Z2246/(v01_AdultYears*4)</x:f>
        <x:v>0</x:v>
      </x:c>
      <x:c r="Y2247" s="32" t="n">
        <x:f>Y2246+R2247-S2247-W2247-Y2246*V2247/AB2246</x:f>
        <x:v>14306.18539759397</x:v>
      </x:c>
      <x:c r="Z2247" s="32" t="n">
        <x:f>Z2246+W2247-X2247-T2247-Z2246*V2247/AB2246</x:f>
        <x:v>19354.456567879548</x:v>
      </x:c>
      <x:c r="AA2247" s="32" t="n">
        <x:f>AA2246+X2247-U2247-AA2246*V2247/AB2246</x:f>
        <x:v>11386.956063258198</x:v>
      </x:c>
      <x:c r="AB2247" s="10" t="n">
        <x:f>Y2247+Z2247+AA2247</x:f>
        <x:v>45047.59802873172</x:v>
      </x:c>
      <x:c r="AC2247" s="8" t="n">
        <x:f>IF(AND(v01_WinterTrigger=1,D2247=1,AB2246/AE2246&gt;=K2247),1,0)</x:f>
        <x:v>0</x:v>
      </x:c>
      <x:c r="AD2247" s="8" t="n">
        <x:f>H2247*IF(AND(OR(AB2246/AE2246&gt;=v01_FissionTrigger*N2247,AC2247=1),AB2246/AE2246*v01_DaughterShare&gt;=v01_MinDaughter),MAX(1,ROUND(AE2246*v01_FissionRate,0)),0)</x:f>
        <x:v>0</x:v>
      </x:c>
      <x:c r="AE2247" s="8" t="n">
        <x:f>IF(H2247=1,MAX(1,MIN(INDEX(v01_Smax,G2247),AE2246+AD2247)),AE2246)</x:f>
        <x:v>15</x:v>
      </x:c>
      <x:c r="AF2247" s="8" t="n">
        <x:f>MAX(0,AE2247-AE2246)</x:f>
        <x:v>0</x:v>
      </x:c>
      <x:c r="AG2247" s="9" t="str">
        <x:f>IF(AF2247&gt;0,B2247,"")</x:f>
      </x:c>
      <x:c r="AH2247" s="9" t="n">
        <x:f>IF(F2247&gt;=1,1,(1+v01_LowTiesShare*(AE2247-1))/AE2247)</x:f>
        <x:v>1</x:v>
      </x:c>
      <x:c r="AI2247" s="32" t="n">
        <x:f>(Z2247+v01_ElderCommons*INDEX(LM_Elder,G2247)*AA2247)*AH2247</x:f>
        <x:v>64139.732591141874</x:v>
      </x:c>
      <x:c r="AJ2247" s="32" t="n">
        <x:f>H2247*v01_CommonsCoef*AI2247^v01_CommonsExp*INDEX(LM_Commons,G2247)</x:f>
        <x:v>0</x:v>
      </x:c>
      <x:c r="AK2247" s="32" t="n">
        <x:f>H2247*v01_RoleScale*Arch_Roles*(AE2247*(INDEX(v01_ElderRolePerSett,G2247)*v01_OutElder*INDEX(LM_Elder,G2247)+INDEX(v01_ShamanPerSett,G2247)*v01_OutShaman)+Z2247*(INDEX(v01_PriestShare,G2247)*v01_OutPriest+INDEX(v01_ScribeShare,G2247)*v01_OutScribe*INDEX(LM_Scribe,G2247)+INDEX(v01_ScholarShare,G2247)*v01_OutScholar*INDEX(LM_Scholar,G2247)+INDEX(v01_ResearcherShare,G2247)*v01_OutResearcher*INDEX(LM_Researcher,G2247)))</x:f>
        <x:v>0</x:v>
      </x:c>
      <x:c r="AL2247" s="32" t="n">
        <x:f>H2247*v01_RoleScale*Arch_Roles*AE2247*INDEX(v01_MonasteryPerSett,G2247)*v01_OutMonastery*INDEX(LM_Monastery,G2247)</x:f>
        <x:v>0</x:v>
      </x:c>
      <x:c r="AM2247" s="32" t="n">
        <x:f>(AJ2247+AK2247+AL2247)/4*INDEX(LM_All,G2247)*INDEX(v01_Boon,G2247)*Arch_Insight</x:f>
        <x:v>0</x:v>
      </x:c>
      <x:c r="AN2247" s="32" t="n">
        <x:f>H2247*(v01_KHPerAdult*Z2247+v01_KHOfCommons*AJ2247/4*INDEX(LM_All,G2247))*v01_KHUsable*Arch_KH</x:f>
        <x:v>0</x:v>
      </x:c>
      <x:c r="AO2247" s="32" t="n">
        <x:f>MIN(AP2246+AN2247,AM2247*v01_KHMaxRatio)</x:f>
        <x:v>0</x:v>
      </x:c>
      <x:c r="AP2247" s="32" t="n">
        <x:f>AP2246+AN2247-AO2247</x:f>
        <x:v>0</x:v>
      </x:c>
      <x:c r="AQ2247" s="32" t="n">
        <x:f>AM2247+AO2247</x:f>
        <x:v>0</x:v>
      </x:c>
      <x:c r="AR2247" s="10" t="n">
        <x:f>IF(H2247=1,INDEX(v01_Req,G2247),0)</x:f>
        <x:v>0</x:v>
      </x:c>
      <x:c r="AS2247" s="32" t="n">
        <x:f>IF(H2247=1,IF(E2247=1,AS2246-AR2246,AS2246)+AQ2247,0)</x:f>
        <x:v>0</x:v>
      </x:c>
      <x:c r="AT2247" s="11" t="n">
        <x:f>IF(AR2247&gt;0,MIN(1,AS2247/AR2247),1)</x:f>
        <x:v>1</x:v>
      </x:c>
      <x:c r="AU2247" s="10" t="n">
        <x:f>AB2247/INDEX(v01_RepScale,G2247)</x:f>
        <x:v>90.09519605746344</x:v>
      </x:c>
      <x:c r="AV2247" s="32" t="n">
        <x:f>AM2247*60/v01_SeasonSeconds</x:f>
        <x:v>0</x:v>
      </x:c>
    </x:row>
    <x:row r="2248">
      <x:c r="A2248" s="8" t="n">
        <x:f>A2247+1</x:f>
        <x:v>2245</x:v>
      </x:c>
      <x:c r="B2248" s="9" t="n">
        <x:f>A2248*v01_SeasonSeconds/60</x:f>
        <x:v>561.25</x:v>
      </x:c>
      <x:c r="C2248" s="9" t="n">
        <x:f>A2248/4</x:f>
        <x:v>561.25</x:v>
      </x:c>
      <x:c r="D2248" s="8" t="n">
        <x:f>IF(MOD(A2248,4)=0,1,0)</x:f>
        <x:v>0</x:v>
      </x:c>
      <x:c r="E2248" s="8" t="n">
        <x:f>IF(AND(F2247&lt;=9,AS2247&gt;=AR2247),1,0)</x:f>
        <x:v>0</x:v>
      </x:c>
      <x:c r="F2248" s="8" t="n">
        <x:f>MIN(10,F2247+E2248)</x:f>
        <x:v>10</x:v>
      </x:c>
      <x:c r="G2248" s="8" t="n">
        <x:f>MIN(F2248,9)+1</x:f>
        <x:v>10</x:v>
      </x:c>
      <x:c r="H2248" s="8" t="n">
        <x:f>IF(F2248&lt;=9,1,0)</x:f>
        <x:v>0</x:v>
      </x:c>
      <x:c r="I2248" s="9" t="n">
        <x:f>MIN(10,F2247+IF(AR2247&gt;0,MIN(1,AS2247/AR2247),1))</x:f>
        <x:v>10</x:v>
      </x:c>
      <x:c r="J2248" s="32" t="n">
        <x:f>INDEX(v01_FoodCap,G2248)*Arch_FoodCap*EXP(v01_CapsByProject*SUMPRODUCT((Cap_Point&lt;=I2248)*(Cap_Kind="Food")*Cap_Ln))</x:f>
        <x:v>12000</x:v>
      </x:c>
      <x:c r="K2248" s="32" t="n">
        <x:f>J2248*MIN(1,v01_LeanBase*EXP(v01_CapsByProject*SUMPRODUCT((Cap_Point&lt;=I2248)*(Cap_Kind="Lean")*Cap_Ln)))</x:f>
        <x:v>12000</x:v>
      </x:c>
      <x:c r="L2248" s="10" t="n">
        <x:f>INDEX(v01_HousingCap,G2248)*EXP(v01_CapsByProject*SUMPRODUCT((Cap_Point&lt;=I2248)*(Cap_Kind="Housing")*Cap_Ln))</x:f>
        <x:v>20000</x:v>
      </x:c>
      <x:c r="M2248" s="10" t="n">
        <x:f>INDEX(v01_GroupCap,G2248)*v01_CohesionFactor*EXP(v01_CapsByProject*SUMPRODUCT((Cap_Point&lt;=I2248)*(Cap_Kind="Group")*Cap_Ln))</x:f>
        <x:v>1000000</x:v>
      </x:c>
      <x:c r="N2248" s="32" t="n">
        <x:f>MIN(J2248,L2248,M2248)</x:f>
        <x:v>12000</x:v>
      </x:c>
      <x:c r="O2248" s="10" t="n">
        <x:f>AE2247*N2248</x:f>
        <x:v>180000</x:v>
      </x:c>
      <x:c r="P2248" s="9" t="n">
        <x:f>MIN(1,(AB2247/(AE2247*IF(v01_GroupInCrowding=1,N2248,MIN(J2248,L2248))))^v01_CrowdingExp)</x:f>
        <x:v>0.00024569414295285325</x:v>
      </x:c>
      <x:c r="Q2248" s="9" t="n">
        <x:f>IF(D2248=1,INDEX(v01_WinterMult,G2248),1)</x:f>
        <x:v>1</x:v>
      </x:c>
      <x:c r="R2248" s="9" t="n">
        <x:f>H2248*Z2247*v01_WomenShare*v01_BaseFertility*INDEX(v01_FertMult,G2248)*Arch_Fertility*(1-P2248)</x:f>
        <x:v>0</x:v>
      </x:c>
      <x:c r="S2248" s="9" t="n">
        <x:f>H2248*Y2247*INDEX(v01_MortChild,G2248)/4*Q2248</x:f>
        <x:v>0</x:v>
      </x:c>
      <x:c r="T2248" s="9" t="n">
        <x:f>H2248*Z2247*INDEX(v01_MortAdult,G2248)*Arch_AdultMort/4*Q2248</x:f>
        <x:v>0</x:v>
      </x:c>
      <x:c r="U2248" s="9" t="n">
        <x:f>H2248*AA2247*INDEX(v01_MortElder,G2248)/4*Q2248</x:f>
        <x:v>0</x:v>
      </x:c>
      <x:c r="V2248" s="9" t="n">
        <x:f>H2248*MAX(0,AB2247-O2248)*v01_OvercapLoss</x:f>
        <x:v>0</x:v>
      </x:c>
      <x:c r="W2248" s="9" t="n">
        <x:f>H2248*Y2247/(v01_ChildYears*4)</x:f>
        <x:v>0</x:v>
      </x:c>
      <x:c r="X2248" s="9" t="n">
        <x:f>H2248*Z2247/(v01_AdultYears*4)</x:f>
        <x:v>0</x:v>
      </x:c>
      <x:c r="Y2248" s="32" t="n">
        <x:f>Y2247+R2248-S2248-W2248-Y2247*V2248/AB2247</x:f>
        <x:v>14306.18539759397</x:v>
      </x:c>
      <x:c r="Z2248" s="32" t="n">
        <x:f>Z2247+W2248-X2248-T2248-Z2247*V2248/AB2247</x:f>
        <x:v>19354.456567879548</x:v>
      </x:c>
      <x:c r="AA2248" s="32" t="n">
        <x:f>AA2247+X2248-U2248-AA2247*V2248/AB2247</x:f>
        <x:v>11386.956063258198</x:v>
      </x:c>
      <x:c r="AB2248" s="10" t="n">
        <x:f>Y2248+Z2248+AA2248</x:f>
        <x:v>45047.59802873172</x:v>
      </x:c>
      <x:c r="AC2248" s="8" t="n">
        <x:f>IF(AND(v01_WinterTrigger=1,D2248=1,AB2247/AE2247&gt;=K2248),1,0)</x:f>
        <x:v>0</x:v>
      </x:c>
      <x:c r="AD2248" s="8" t="n">
        <x:f>H2248*IF(AND(OR(AB2247/AE2247&gt;=v01_FissionTrigger*N2248,AC2248=1),AB2247/AE2247*v01_DaughterShare&gt;=v01_MinDaughter),MAX(1,ROUND(AE2247*v01_FissionRate,0)),0)</x:f>
        <x:v>0</x:v>
      </x:c>
      <x:c r="AE2248" s="8" t="n">
        <x:f>IF(H2248=1,MAX(1,MIN(INDEX(v01_Smax,G2248),AE2247+AD2248)),AE2247)</x:f>
        <x:v>15</x:v>
      </x:c>
      <x:c r="AF2248" s="8" t="n">
        <x:f>MAX(0,AE2248-AE2247)</x:f>
        <x:v>0</x:v>
      </x:c>
      <x:c r="AG2248" s="9" t="str">
        <x:f>IF(AF2248&gt;0,B2248,"")</x:f>
      </x:c>
      <x:c r="AH2248" s="9" t="n">
        <x:f>IF(F2248&gt;=1,1,(1+v01_LowTiesShare*(AE2248-1))/AE2248)</x:f>
        <x:v>1</x:v>
      </x:c>
      <x:c r="AI2248" s="32" t="n">
        <x:f>(Z2248+v01_ElderCommons*INDEX(LM_Elder,G2248)*AA2248)*AH2248</x:f>
        <x:v>64139.732591141874</x:v>
      </x:c>
      <x:c r="AJ2248" s="32" t="n">
        <x:f>H2248*v01_CommonsCoef*AI2248^v01_CommonsExp*INDEX(LM_Commons,G2248)</x:f>
        <x:v>0</x:v>
      </x:c>
      <x:c r="AK2248" s="32" t="n">
        <x:f>H2248*v01_RoleScale*Arch_Roles*(AE2248*(INDEX(v01_ElderRolePerSett,G2248)*v01_OutElder*INDEX(LM_Elder,G2248)+INDEX(v01_ShamanPerSett,G2248)*v01_OutShaman)+Z2248*(INDEX(v01_PriestShare,G2248)*v01_OutPriest+INDEX(v01_ScribeShare,G2248)*v01_OutScribe*INDEX(LM_Scribe,G2248)+INDEX(v01_ScholarShare,G2248)*v01_OutScholar*INDEX(LM_Scholar,G2248)+INDEX(v01_ResearcherShare,G2248)*v01_OutResearcher*INDEX(LM_Researcher,G2248)))</x:f>
        <x:v>0</x:v>
      </x:c>
      <x:c r="AL2248" s="32" t="n">
        <x:f>H2248*v01_RoleScale*Arch_Roles*AE2248*INDEX(v01_MonasteryPerSett,G2248)*v01_OutMonastery*INDEX(LM_Monastery,G2248)</x:f>
        <x:v>0</x:v>
      </x:c>
      <x:c r="AM2248" s="32" t="n">
        <x:f>(AJ2248+AK2248+AL2248)/4*INDEX(LM_All,G2248)*INDEX(v01_Boon,G2248)*Arch_Insight</x:f>
        <x:v>0</x:v>
      </x:c>
      <x:c r="AN2248" s="32" t="n">
        <x:f>H2248*(v01_KHPerAdult*Z2248+v01_KHOfCommons*AJ2248/4*INDEX(LM_All,G2248))*v01_KHUsable*Arch_KH</x:f>
        <x:v>0</x:v>
      </x:c>
      <x:c r="AO2248" s="32" t="n">
        <x:f>MIN(AP2247+AN2248,AM2248*v01_KHMaxRatio)</x:f>
        <x:v>0</x:v>
      </x:c>
      <x:c r="AP2248" s="32" t="n">
        <x:f>AP2247+AN2248-AO2248</x:f>
        <x:v>0</x:v>
      </x:c>
      <x:c r="AQ2248" s="32" t="n">
        <x:f>AM2248+AO2248</x:f>
        <x:v>0</x:v>
      </x:c>
      <x:c r="AR2248" s="10" t="n">
        <x:f>IF(H2248=1,INDEX(v01_Req,G2248),0)</x:f>
        <x:v>0</x:v>
      </x:c>
      <x:c r="AS2248" s="32" t="n">
        <x:f>IF(H2248=1,IF(E2248=1,AS2247-AR2247,AS2247)+AQ2248,0)</x:f>
        <x:v>0</x:v>
      </x:c>
      <x:c r="AT2248" s="11" t="n">
        <x:f>IF(AR2248&gt;0,MIN(1,AS2248/AR2248),1)</x:f>
        <x:v>1</x:v>
      </x:c>
      <x:c r="AU2248" s="10" t="n">
        <x:f>AB2248/INDEX(v01_RepScale,G2248)</x:f>
        <x:v>90.09519605746344</x:v>
      </x:c>
      <x:c r="AV2248" s="32" t="n">
        <x:f>AM2248*60/v01_SeasonSeconds</x:f>
        <x:v>0</x:v>
      </x:c>
    </x:row>
    <x:row r="2249">
      <x:c r="A2249" s="8" t="n">
        <x:f>A2248+1</x:f>
        <x:v>2246</x:v>
      </x:c>
      <x:c r="B2249" s="9" t="n">
        <x:f>A2249*v01_SeasonSeconds/60</x:f>
        <x:v>561.5</x:v>
      </x:c>
      <x:c r="C2249" s="9" t="n">
        <x:f>A2249/4</x:f>
        <x:v>561.5</x:v>
      </x:c>
      <x:c r="D2249" s="8" t="n">
        <x:f>IF(MOD(A2249,4)=0,1,0)</x:f>
        <x:v>0</x:v>
      </x:c>
      <x:c r="E2249" s="8" t="n">
        <x:f>IF(AND(F2248&lt;=9,AS2248&gt;=AR2248),1,0)</x:f>
        <x:v>0</x:v>
      </x:c>
      <x:c r="F2249" s="8" t="n">
        <x:f>MIN(10,F2248+E2249)</x:f>
        <x:v>10</x:v>
      </x:c>
      <x:c r="G2249" s="8" t="n">
        <x:f>MIN(F2249,9)+1</x:f>
        <x:v>10</x:v>
      </x:c>
      <x:c r="H2249" s="8" t="n">
        <x:f>IF(F2249&lt;=9,1,0)</x:f>
        <x:v>0</x:v>
      </x:c>
      <x:c r="I2249" s="9" t="n">
        <x:f>MIN(10,F2248+IF(AR2248&gt;0,MIN(1,AS2248/AR2248),1))</x:f>
        <x:v>10</x:v>
      </x:c>
      <x:c r="J2249" s="32" t="n">
        <x:f>INDEX(v01_FoodCap,G2249)*Arch_FoodCap*EXP(v01_CapsByProject*SUMPRODUCT((Cap_Point&lt;=I2249)*(Cap_Kind="Food")*Cap_Ln))</x:f>
        <x:v>12000</x:v>
      </x:c>
      <x:c r="K2249" s="32" t="n">
        <x:f>J2249*MIN(1,v01_LeanBase*EXP(v01_CapsByProject*SUMPRODUCT((Cap_Point&lt;=I2249)*(Cap_Kind="Lean")*Cap_Ln)))</x:f>
        <x:v>12000</x:v>
      </x:c>
      <x:c r="L2249" s="10" t="n">
        <x:f>INDEX(v01_HousingCap,G2249)*EXP(v01_CapsByProject*SUMPRODUCT((Cap_Point&lt;=I2249)*(Cap_Kind="Housing")*Cap_Ln))</x:f>
        <x:v>20000</x:v>
      </x:c>
      <x:c r="M2249" s="10" t="n">
        <x:f>INDEX(v01_GroupCap,G2249)*v01_CohesionFactor*EXP(v01_CapsByProject*SUMPRODUCT((Cap_Point&lt;=I2249)*(Cap_Kind="Group")*Cap_Ln))</x:f>
        <x:v>1000000</x:v>
      </x:c>
      <x:c r="N2249" s="32" t="n">
        <x:f>MIN(J2249,L2249,M2249)</x:f>
        <x:v>12000</x:v>
      </x:c>
      <x:c r="O2249" s="10" t="n">
        <x:f>AE2248*N2249</x:f>
        <x:v>180000</x:v>
      </x:c>
      <x:c r="P2249" s="9" t="n">
        <x:f>MIN(1,(AB2248/(AE2248*IF(v01_GroupInCrowding=1,N2249,MIN(J2249,L2249))))^v01_CrowdingExp)</x:f>
        <x:v>0.00024569414295285325</x:v>
      </x:c>
      <x:c r="Q2249" s="9" t="n">
        <x:f>IF(D2249=1,INDEX(v01_WinterMult,G2249),1)</x:f>
        <x:v>1</x:v>
      </x:c>
      <x:c r="R2249" s="9" t="n">
        <x:f>H2249*Z2248*v01_WomenShare*v01_BaseFertility*INDEX(v01_FertMult,G2249)*Arch_Fertility*(1-P2249)</x:f>
        <x:v>0</x:v>
      </x:c>
      <x:c r="S2249" s="9" t="n">
        <x:f>H2249*Y2248*INDEX(v01_MortChild,G2249)/4*Q2249</x:f>
        <x:v>0</x:v>
      </x:c>
      <x:c r="T2249" s="9" t="n">
        <x:f>H2249*Z2248*INDEX(v01_MortAdult,G2249)*Arch_AdultMort/4*Q2249</x:f>
        <x:v>0</x:v>
      </x:c>
      <x:c r="U2249" s="9" t="n">
        <x:f>H2249*AA2248*INDEX(v01_MortElder,G2249)/4*Q2249</x:f>
        <x:v>0</x:v>
      </x:c>
      <x:c r="V2249" s="9" t="n">
        <x:f>H2249*MAX(0,AB2248-O2249)*v01_OvercapLoss</x:f>
        <x:v>0</x:v>
      </x:c>
      <x:c r="W2249" s="9" t="n">
        <x:f>H2249*Y2248/(v01_ChildYears*4)</x:f>
        <x:v>0</x:v>
      </x:c>
      <x:c r="X2249" s="9" t="n">
        <x:f>H2249*Z2248/(v01_AdultYears*4)</x:f>
        <x:v>0</x:v>
      </x:c>
      <x:c r="Y2249" s="32" t="n">
        <x:f>Y2248+R2249-S2249-W2249-Y2248*V2249/AB2248</x:f>
        <x:v>14306.18539759397</x:v>
      </x:c>
      <x:c r="Z2249" s="32" t="n">
        <x:f>Z2248+W2249-X2249-T2249-Z2248*V2249/AB2248</x:f>
        <x:v>19354.456567879548</x:v>
      </x:c>
      <x:c r="AA2249" s="32" t="n">
        <x:f>AA2248+X2249-U2249-AA2248*V2249/AB2248</x:f>
        <x:v>11386.956063258198</x:v>
      </x:c>
      <x:c r="AB2249" s="10" t="n">
        <x:f>Y2249+Z2249+AA2249</x:f>
        <x:v>45047.59802873172</x:v>
      </x:c>
      <x:c r="AC2249" s="8" t="n">
        <x:f>IF(AND(v01_WinterTrigger=1,D2249=1,AB2248/AE2248&gt;=K2249),1,0)</x:f>
        <x:v>0</x:v>
      </x:c>
      <x:c r="AD2249" s="8" t="n">
        <x:f>H2249*IF(AND(OR(AB2248/AE2248&gt;=v01_FissionTrigger*N2249,AC2249=1),AB2248/AE2248*v01_DaughterShare&gt;=v01_MinDaughter),MAX(1,ROUND(AE2248*v01_FissionRate,0)),0)</x:f>
        <x:v>0</x:v>
      </x:c>
      <x:c r="AE2249" s="8" t="n">
        <x:f>IF(H2249=1,MAX(1,MIN(INDEX(v01_Smax,G2249),AE2248+AD2249)),AE2248)</x:f>
        <x:v>15</x:v>
      </x:c>
      <x:c r="AF2249" s="8" t="n">
        <x:f>MAX(0,AE2249-AE2248)</x:f>
        <x:v>0</x:v>
      </x:c>
      <x:c r="AG2249" s="9" t="str">
        <x:f>IF(AF2249&gt;0,B2249,"")</x:f>
      </x:c>
      <x:c r="AH2249" s="9" t="n">
        <x:f>IF(F2249&gt;=1,1,(1+v01_LowTiesShare*(AE2249-1))/AE2249)</x:f>
        <x:v>1</x:v>
      </x:c>
      <x:c r="AI2249" s="32" t="n">
        <x:f>(Z2249+v01_ElderCommons*INDEX(LM_Elder,G2249)*AA2249)*AH2249</x:f>
        <x:v>64139.732591141874</x:v>
      </x:c>
      <x:c r="AJ2249" s="32" t="n">
        <x:f>H2249*v01_CommonsCoef*AI2249^v01_CommonsExp*INDEX(LM_Commons,G2249)</x:f>
        <x:v>0</x:v>
      </x:c>
      <x:c r="AK2249" s="32" t="n">
        <x:f>H2249*v01_RoleScale*Arch_Roles*(AE2249*(INDEX(v01_ElderRolePerSett,G2249)*v01_OutElder*INDEX(LM_Elder,G2249)+INDEX(v01_ShamanPerSett,G2249)*v01_OutShaman)+Z2249*(INDEX(v01_PriestShare,G2249)*v01_OutPriest+INDEX(v01_ScribeShare,G2249)*v01_OutScribe*INDEX(LM_Scribe,G2249)+INDEX(v01_ScholarShare,G2249)*v01_OutScholar*INDEX(LM_Scholar,G2249)+INDEX(v01_ResearcherShare,G2249)*v01_OutResearcher*INDEX(LM_Researcher,G2249)))</x:f>
        <x:v>0</x:v>
      </x:c>
      <x:c r="AL2249" s="32" t="n">
        <x:f>H2249*v01_RoleScale*Arch_Roles*AE2249*INDEX(v01_MonasteryPerSett,G2249)*v01_OutMonastery*INDEX(LM_Monastery,G2249)</x:f>
        <x:v>0</x:v>
      </x:c>
      <x:c r="AM2249" s="32" t="n">
        <x:f>(AJ2249+AK2249+AL2249)/4*INDEX(LM_All,G2249)*INDEX(v01_Boon,G2249)*Arch_Insight</x:f>
        <x:v>0</x:v>
      </x:c>
      <x:c r="AN2249" s="32" t="n">
        <x:f>H2249*(v01_KHPerAdult*Z2249+v01_KHOfCommons*AJ2249/4*INDEX(LM_All,G2249))*v01_KHUsable*Arch_KH</x:f>
        <x:v>0</x:v>
      </x:c>
      <x:c r="AO2249" s="32" t="n">
        <x:f>MIN(AP2248+AN2249,AM2249*v01_KHMaxRatio)</x:f>
        <x:v>0</x:v>
      </x:c>
      <x:c r="AP2249" s="32" t="n">
        <x:f>AP2248+AN2249-AO2249</x:f>
        <x:v>0</x:v>
      </x:c>
      <x:c r="AQ2249" s="32" t="n">
        <x:f>AM2249+AO2249</x:f>
        <x:v>0</x:v>
      </x:c>
      <x:c r="AR2249" s="10" t="n">
        <x:f>IF(H2249=1,INDEX(v01_Req,G2249),0)</x:f>
        <x:v>0</x:v>
      </x:c>
      <x:c r="AS2249" s="32" t="n">
        <x:f>IF(H2249=1,IF(E2249=1,AS2248-AR2248,AS2248)+AQ2249,0)</x:f>
        <x:v>0</x:v>
      </x:c>
      <x:c r="AT2249" s="11" t="n">
        <x:f>IF(AR2249&gt;0,MIN(1,AS2249/AR2249),1)</x:f>
        <x:v>1</x:v>
      </x:c>
      <x:c r="AU2249" s="10" t="n">
        <x:f>AB2249/INDEX(v01_RepScale,G2249)</x:f>
        <x:v>90.09519605746344</x:v>
      </x:c>
      <x:c r="AV2249" s="32" t="n">
        <x:f>AM2249*60/v01_SeasonSeconds</x:f>
        <x:v>0</x:v>
      </x:c>
    </x:row>
    <x:row r="2250">
      <x:c r="A2250" s="8" t="n">
        <x:f>A2249+1</x:f>
        <x:v>2247</x:v>
      </x:c>
      <x:c r="B2250" s="9" t="n">
        <x:f>A2250*v01_SeasonSeconds/60</x:f>
        <x:v>561.75</x:v>
      </x:c>
      <x:c r="C2250" s="9" t="n">
        <x:f>A2250/4</x:f>
        <x:v>561.75</x:v>
      </x:c>
      <x:c r="D2250" s="8" t="n">
        <x:f>IF(MOD(A2250,4)=0,1,0)</x:f>
        <x:v>0</x:v>
      </x:c>
      <x:c r="E2250" s="8" t="n">
        <x:f>IF(AND(F2249&lt;=9,AS2249&gt;=AR2249),1,0)</x:f>
        <x:v>0</x:v>
      </x:c>
      <x:c r="F2250" s="8" t="n">
        <x:f>MIN(10,F2249+E2250)</x:f>
        <x:v>10</x:v>
      </x:c>
      <x:c r="G2250" s="8" t="n">
        <x:f>MIN(F2250,9)+1</x:f>
        <x:v>10</x:v>
      </x:c>
      <x:c r="H2250" s="8" t="n">
        <x:f>IF(F2250&lt;=9,1,0)</x:f>
        <x:v>0</x:v>
      </x:c>
      <x:c r="I2250" s="9" t="n">
        <x:f>MIN(10,F2249+IF(AR2249&gt;0,MIN(1,AS2249/AR2249),1))</x:f>
        <x:v>10</x:v>
      </x:c>
      <x:c r="J2250" s="32" t="n">
        <x:f>INDEX(v01_FoodCap,G2250)*Arch_FoodCap*EXP(v01_CapsByProject*SUMPRODUCT((Cap_Point&lt;=I2250)*(Cap_Kind="Food")*Cap_Ln))</x:f>
        <x:v>12000</x:v>
      </x:c>
      <x:c r="K2250" s="32" t="n">
        <x:f>J2250*MIN(1,v01_LeanBase*EXP(v01_CapsByProject*SUMPRODUCT((Cap_Point&lt;=I2250)*(Cap_Kind="Lean")*Cap_Ln)))</x:f>
        <x:v>12000</x:v>
      </x:c>
      <x:c r="L2250" s="10" t="n">
        <x:f>INDEX(v01_HousingCap,G2250)*EXP(v01_CapsByProject*SUMPRODUCT((Cap_Point&lt;=I2250)*(Cap_Kind="Housing")*Cap_Ln))</x:f>
        <x:v>20000</x:v>
      </x:c>
      <x:c r="M2250" s="10" t="n">
        <x:f>INDEX(v01_GroupCap,G2250)*v01_CohesionFactor*EXP(v01_CapsByProject*SUMPRODUCT((Cap_Point&lt;=I2250)*(Cap_Kind="Group")*Cap_Ln))</x:f>
        <x:v>1000000</x:v>
      </x:c>
      <x:c r="N2250" s="32" t="n">
        <x:f>MIN(J2250,L2250,M2250)</x:f>
        <x:v>12000</x:v>
      </x:c>
      <x:c r="O2250" s="10" t="n">
        <x:f>AE2249*N2250</x:f>
        <x:v>180000</x:v>
      </x:c>
      <x:c r="P2250" s="9" t="n">
        <x:f>MIN(1,(AB2249/(AE2249*IF(v01_GroupInCrowding=1,N2250,MIN(J2250,L2250))))^v01_CrowdingExp)</x:f>
        <x:v>0.00024569414295285325</x:v>
      </x:c>
      <x:c r="Q2250" s="9" t="n">
        <x:f>IF(D2250=1,INDEX(v01_WinterMult,G2250),1)</x:f>
        <x:v>1</x:v>
      </x:c>
      <x:c r="R2250" s="9" t="n">
        <x:f>H2250*Z2249*v01_WomenShare*v01_BaseFertility*INDEX(v01_FertMult,G2250)*Arch_Fertility*(1-P2250)</x:f>
        <x:v>0</x:v>
      </x:c>
      <x:c r="S2250" s="9" t="n">
        <x:f>H2250*Y2249*INDEX(v01_MortChild,G2250)/4*Q2250</x:f>
        <x:v>0</x:v>
      </x:c>
      <x:c r="T2250" s="9" t="n">
        <x:f>H2250*Z2249*INDEX(v01_MortAdult,G2250)*Arch_AdultMort/4*Q2250</x:f>
        <x:v>0</x:v>
      </x:c>
      <x:c r="U2250" s="9" t="n">
        <x:f>H2250*AA2249*INDEX(v01_MortElder,G2250)/4*Q2250</x:f>
        <x:v>0</x:v>
      </x:c>
      <x:c r="V2250" s="9" t="n">
        <x:f>H2250*MAX(0,AB2249-O2250)*v01_OvercapLoss</x:f>
        <x:v>0</x:v>
      </x:c>
      <x:c r="W2250" s="9" t="n">
        <x:f>H2250*Y2249/(v01_ChildYears*4)</x:f>
        <x:v>0</x:v>
      </x:c>
      <x:c r="X2250" s="9" t="n">
        <x:f>H2250*Z2249/(v01_AdultYears*4)</x:f>
        <x:v>0</x:v>
      </x:c>
      <x:c r="Y2250" s="32" t="n">
        <x:f>Y2249+R2250-S2250-W2250-Y2249*V2250/AB2249</x:f>
        <x:v>14306.18539759397</x:v>
      </x:c>
      <x:c r="Z2250" s="32" t="n">
        <x:f>Z2249+W2250-X2250-T2250-Z2249*V2250/AB2249</x:f>
        <x:v>19354.456567879548</x:v>
      </x:c>
      <x:c r="AA2250" s="32" t="n">
        <x:f>AA2249+X2250-U2250-AA2249*V2250/AB2249</x:f>
        <x:v>11386.956063258198</x:v>
      </x:c>
      <x:c r="AB2250" s="10" t="n">
        <x:f>Y2250+Z2250+AA2250</x:f>
        <x:v>45047.59802873172</x:v>
      </x:c>
      <x:c r="AC2250" s="8" t="n">
        <x:f>IF(AND(v01_WinterTrigger=1,D2250=1,AB2249/AE2249&gt;=K2250),1,0)</x:f>
        <x:v>0</x:v>
      </x:c>
      <x:c r="AD2250" s="8" t="n">
        <x:f>H2250*IF(AND(OR(AB2249/AE2249&gt;=v01_FissionTrigger*N2250,AC2250=1),AB2249/AE2249*v01_DaughterShare&gt;=v01_MinDaughter),MAX(1,ROUND(AE2249*v01_FissionRate,0)),0)</x:f>
        <x:v>0</x:v>
      </x:c>
      <x:c r="AE2250" s="8" t="n">
        <x:f>IF(H2250=1,MAX(1,MIN(INDEX(v01_Smax,G2250),AE2249+AD2250)),AE2249)</x:f>
        <x:v>15</x:v>
      </x:c>
      <x:c r="AF2250" s="8" t="n">
        <x:f>MAX(0,AE2250-AE2249)</x:f>
        <x:v>0</x:v>
      </x:c>
      <x:c r="AG2250" s="9" t="str">
        <x:f>IF(AF2250&gt;0,B2250,"")</x:f>
      </x:c>
      <x:c r="AH2250" s="9" t="n">
        <x:f>IF(F2250&gt;=1,1,(1+v01_LowTiesShare*(AE2250-1))/AE2250)</x:f>
        <x:v>1</x:v>
      </x:c>
      <x:c r="AI2250" s="32" t="n">
        <x:f>(Z2250+v01_ElderCommons*INDEX(LM_Elder,G2250)*AA2250)*AH2250</x:f>
        <x:v>64139.732591141874</x:v>
      </x:c>
      <x:c r="AJ2250" s="32" t="n">
        <x:f>H2250*v01_CommonsCoef*AI2250^v01_CommonsExp*INDEX(LM_Commons,G2250)</x:f>
        <x:v>0</x:v>
      </x:c>
      <x:c r="AK2250" s="32" t="n">
        <x:f>H2250*v01_RoleScale*Arch_Roles*(AE2250*(INDEX(v01_ElderRolePerSett,G2250)*v01_OutElder*INDEX(LM_Elder,G2250)+INDEX(v01_ShamanPerSett,G2250)*v01_OutShaman)+Z2250*(INDEX(v01_PriestShare,G2250)*v01_OutPriest+INDEX(v01_ScribeShare,G2250)*v01_OutScribe*INDEX(LM_Scribe,G2250)+INDEX(v01_ScholarShare,G2250)*v01_OutScholar*INDEX(LM_Scholar,G2250)+INDEX(v01_ResearcherShare,G2250)*v01_OutResearcher*INDEX(LM_Researcher,G2250)))</x:f>
        <x:v>0</x:v>
      </x:c>
      <x:c r="AL2250" s="32" t="n">
        <x:f>H2250*v01_RoleScale*Arch_Roles*AE2250*INDEX(v01_MonasteryPerSett,G2250)*v01_OutMonastery*INDEX(LM_Monastery,G2250)</x:f>
        <x:v>0</x:v>
      </x:c>
      <x:c r="AM2250" s="32" t="n">
        <x:f>(AJ2250+AK2250+AL2250)/4*INDEX(LM_All,G2250)*INDEX(v01_Boon,G2250)*Arch_Insight</x:f>
        <x:v>0</x:v>
      </x:c>
      <x:c r="AN2250" s="32" t="n">
        <x:f>H2250*(v01_KHPerAdult*Z2250+v01_KHOfCommons*AJ2250/4*INDEX(LM_All,G2250))*v01_KHUsable*Arch_KH</x:f>
        <x:v>0</x:v>
      </x:c>
      <x:c r="AO2250" s="32" t="n">
        <x:f>MIN(AP2249+AN2250,AM2250*v01_KHMaxRatio)</x:f>
        <x:v>0</x:v>
      </x:c>
      <x:c r="AP2250" s="32" t="n">
        <x:f>AP2249+AN2250-AO2250</x:f>
        <x:v>0</x:v>
      </x:c>
      <x:c r="AQ2250" s="32" t="n">
        <x:f>AM2250+AO2250</x:f>
        <x:v>0</x:v>
      </x:c>
      <x:c r="AR2250" s="10" t="n">
        <x:f>IF(H2250=1,INDEX(v01_Req,G2250),0)</x:f>
        <x:v>0</x:v>
      </x:c>
      <x:c r="AS2250" s="32" t="n">
        <x:f>IF(H2250=1,IF(E2250=1,AS2249-AR2249,AS2249)+AQ2250,0)</x:f>
        <x:v>0</x:v>
      </x:c>
      <x:c r="AT2250" s="11" t="n">
        <x:f>IF(AR2250&gt;0,MIN(1,AS2250/AR2250),1)</x:f>
        <x:v>1</x:v>
      </x:c>
      <x:c r="AU2250" s="10" t="n">
        <x:f>AB2250/INDEX(v01_RepScale,G2250)</x:f>
        <x:v>90.09519605746344</x:v>
      </x:c>
      <x:c r="AV2250" s="32" t="n">
        <x:f>AM2250*60/v01_SeasonSeconds</x:f>
        <x:v>0</x:v>
      </x:c>
    </x:row>
    <x:row r="2251">
      <x:c r="A2251" s="8" t="n">
        <x:f>A2250+1</x:f>
        <x:v>2248</x:v>
      </x:c>
      <x:c r="B2251" s="9" t="n">
        <x:f>A2251*v01_SeasonSeconds/60</x:f>
        <x:v>562</x:v>
      </x:c>
      <x:c r="C2251" s="9" t="n">
        <x:f>A2251/4</x:f>
        <x:v>562</x:v>
      </x:c>
      <x:c r="D2251" s="8" t="n">
        <x:f>IF(MOD(A2251,4)=0,1,0)</x:f>
        <x:v>1</x:v>
      </x:c>
      <x:c r="E2251" s="8" t="n">
        <x:f>IF(AND(F2250&lt;=9,AS2250&gt;=AR2250),1,0)</x:f>
        <x:v>0</x:v>
      </x:c>
      <x:c r="F2251" s="8" t="n">
        <x:f>MIN(10,F2250+E2251)</x:f>
        <x:v>10</x:v>
      </x:c>
      <x:c r="G2251" s="8" t="n">
        <x:f>MIN(F2251,9)+1</x:f>
        <x:v>10</x:v>
      </x:c>
      <x:c r="H2251" s="8" t="n">
        <x:f>IF(F2251&lt;=9,1,0)</x:f>
        <x:v>0</x:v>
      </x:c>
      <x:c r="I2251" s="9" t="n">
        <x:f>MIN(10,F2250+IF(AR2250&gt;0,MIN(1,AS2250/AR2250),1))</x:f>
        <x:v>10</x:v>
      </x:c>
      <x:c r="J2251" s="32" t="n">
        <x:f>INDEX(v01_FoodCap,G2251)*Arch_FoodCap*EXP(v01_CapsByProject*SUMPRODUCT((Cap_Point&lt;=I2251)*(Cap_Kind="Food")*Cap_Ln))</x:f>
        <x:v>12000</x:v>
      </x:c>
      <x:c r="K2251" s="32" t="n">
        <x:f>J2251*MIN(1,v01_LeanBase*EXP(v01_CapsByProject*SUMPRODUCT((Cap_Point&lt;=I2251)*(Cap_Kind="Lean")*Cap_Ln)))</x:f>
        <x:v>12000</x:v>
      </x:c>
      <x:c r="L2251" s="10" t="n">
        <x:f>INDEX(v01_HousingCap,G2251)*EXP(v01_CapsByProject*SUMPRODUCT((Cap_Point&lt;=I2251)*(Cap_Kind="Housing")*Cap_Ln))</x:f>
        <x:v>20000</x:v>
      </x:c>
      <x:c r="M2251" s="10" t="n">
        <x:f>INDEX(v01_GroupCap,G2251)*v01_CohesionFactor*EXP(v01_CapsByProject*SUMPRODUCT((Cap_Point&lt;=I2251)*(Cap_Kind="Group")*Cap_Ln))</x:f>
        <x:v>1000000</x:v>
      </x:c>
      <x:c r="N2251" s="32" t="n">
        <x:f>MIN(J2251,L2251,M2251)</x:f>
        <x:v>12000</x:v>
      </x:c>
      <x:c r="O2251" s="10" t="n">
        <x:f>AE2250*N2251</x:f>
        <x:v>180000</x:v>
      </x:c>
      <x:c r="P2251" s="9" t="n">
        <x:f>MIN(1,(AB2250/(AE2250*IF(v01_GroupInCrowding=1,N2251,MIN(J2251,L2251))))^v01_CrowdingExp)</x:f>
        <x:v>0.00024569414295285325</x:v>
      </x:c>
      <x:c r="Q2251" s="9" t="n">
        <x:f>IF(D2251=1,INDEX(v01_WinterMult,G2251),1)</x:f>
        <x:v>1</x:v>
      </x:c>
      <x:c r="R2251" s="9" t="n">
        <x:f>H2251*Z2250*v01_WomenShare*v01_BaseFertility*INDEX(v01_FertMult,G2251)*Arch_Fertility*(1-P2251)</x:f>
        <x:v>0</x:v>
      </x:c>
      <x:c r="S2251" s="9" t="n">
        <x:f>H2251*Y2250*INDEX(v01_MortChild,G2251)/4*Q2251</x:f>
        <x:v>0</x:v>
      </x:c>
      <x:c r="T2251" s="9" t="n">
        <x:f>H2251*Z2250*INDEX(v01_MortAdult,G2251)*Arch_AdultMort/4*Q2251</x:f>
        <x:v>0</x:v>
      </x:c>
      <x:c r="U2251" s="9" t="n">
        <x:f>H2251*AA2250*INDEX(v01_MortElder,G2251)/4*Q2251</x:f>
        <x:v>0</x:v>
      </x:c>
      <x:c r="V2251" s="9" t="n">
        <x:f>H2251*MAX(0,AB2250-O2251)*v01_OvercapLoss</x:f>
        <x:v>0</x:v>
      </x:c>
      <x:c r="W2251" s="9" t="n">
        <x:f>H2251*Y2250/(v01_ChildYears*4)</x:f>
        <x:v>0</x:v>
      </x:c>
      <x:c r="X2251" s="9" t="n">
        <x:f>H2251*Z2250/(v01_AdultYears*4)</x:f>
        <x:v>0</x:v>
      </x:c>
      <x:c r="Y2251" s="32" t="n">
        <x:f>Y2250+R2251-S2251-W2251-Y2250*V2251/AB2250</x:f>
        <x:v>14306.18539759397</x:v>
      </x:c>
      <x:c r="Z2251" s="32" t="n">
        <x:f>Z2250+W2251-X2251-T2251-Z2250*V2251/AB2250</x:f>
        <x:v>19354.456567879548</x:v>
      </x:c>
      <x:c r="AA2251" s="32" t="n">
        <x:f>AA2250+X2251-U2251-AA2250*V2251/AB2250</x:f>
        <x:v>11386.956063258198</x:v>
      </x:c>
      <x:c r="AB2251" s="10" t="n">
        <x:f>Y2251+Z2251+AA2251</x:f>
        <x:v>45047.59802873172</x:v>
      </x:c>
      <x:c r="AC2251" s="8" t="n">
        <x:f>IF(AND(v01_WinterTrigger=1,D2251=1,AB2250/AE2250&gt;=K2251),1,0)</x:f>
        <x:v>0</x:v>
      </x:c>
      <x:c r="AD2251" s="8" t="n">
        <x:f>H2251*IF(AND(OR(AB2250/AE2250&gt;=v01_FissionTrigger*N2251,AC2251=1),AB2250/AE2250*v01_DaughterShare&gt;=v01_MinDaughter),MAX(1,ROUND(AE2250*v01_FissionRate,0)),0)</x:f>
        <x:v>0</x:v>
      </x:c>
      <x:c r="AE2251" s="8" t="n">
        <x:f>IF(H2251=1,MAX(1,MIN(INDEX(v01_Smax,G2251),AE2250+AD2251)),AE2250)</x:f>
        <x:v>15</x:v>
      </x:c>
      <x:c r="AF2251" s="8" t="n">
        <x:f>MAX(0,AE2251-AE2250)</x:f>
        <x:v>0</x:v>
      </x:c>
      <x:c r="AG2251" s="9" t="str">
        <x:f>IF(AF2251&gt;0,B2251,"")</x:f>
      </x:c>
      <x:c r="AH2251" s="9" t="n">
        <x:f>IF(F2251&gt;=1,1,(1+v01_LowTiesShare*(AE2251-1))/AE2251)</x:f>
        <x:v>1</x:v>
      </x:c>
      <x:c r="AI2251" s="32" t="n">
        <x:f>(Z2251+v01_ElderCommons*INDEX(LM_Elder,G2251)*AA2251)*AH2251</x:f>
        <x:v>64139.732591141874</x:v>
      </x:c>
      <x:c r="AJ2251" s="32" t="n">
        <x:f>H2251*v01_CommonsCoef*AI2251^v01_CommonsExp*INDEX(LM_Commons,G2251)</x:f>
        <x:v>0</x:v>
      </x:c>
      <x:c r="AK2251" s="32" t="n">
        <x:f>H2251*v01_RoleScale*Arch_Roles*(AE2251*(INDEX(v01_ElderRolePerSett,G2251)*v01_OutElder*INDEX(LM_Elder,G2251)+INDEX(v01_ShamanPerSett,G2251)*v01_OutShaman)+Z2251*(INDEX(v01_PriestShare,G2251)*v01_OutPriest+INDEX(v01_ScribeShare,G2251)*v01_OutScribe*INDEX(LM_Scribe,G2251)+INDEX(v01_ScholarShare,G2251)*v01_OutScholar*INDEX(LM_Scholar,G2251)+INDEX(v01_ResearcherShare,G2251)*v01_OutResearcher*INDEX(LM_Researcher,G2251)))</x:f>
        <x:v>0</x:v>
      </x:c>
      <x:c r="AL2251" s="32" t="n">
        <x:f>H2251*v01_RoleScale*Arch_Roles*AE2251*INDEX(v01_MonasteryPerSett,G2251)*v01_OutMonastery*INDEX(LM_Monastery,G2251)</x:f>
        <x:v>0</x:v>
      </x:c>
      <x:c r="AM2251" s="32" t="n">
        <x:f>(AJ2251+AK2251+AL2251)/4*INDEX(LM_All,G2251)*INDEX(v01_Boon,G2251)*Arch_Insight</x:f>
        <x:v>0</x:v>
      </x:c>
      <x:c r="AN2251" s="32" t="n">
        <x:f>H2251*(v01_KHPerAdult*Z2251+v01_KHOfCommons*AJ2251/4*INDEX(LM_All,G2251))*v01_KHUsable*Arch_KH</x:f>
        <x:v>0</x:v>
      </x:c>
      <x:c r="AO2251" s="32" t="n">
        <x:f>MIN(AP2250+AN2251,AM2251*v01_KHMaxRatio)</x:f>
        <x:v>0</x:v>
      </x:c>
      <x:c r="AP2251" s="32" t="n">
        <x:f>AP2250+AN2251-AO2251</x:f>
        <x:v>0</x:v>
      </x:c>
      <x:c r="AQ2251" s="32" t="n">
        <x:f>AM2251+AO2251</x:f>
        <x:v>0</x:v>
      </x:c>
      <x:c r="AR2251" s="10" t="n">
        <x:f>IF(H2251=1,INDEX(v01_Req,G2251),0)</x:f>
        <x:v>0</x:v>
      </x:c>
      <x:c r="AS2251" s="32" t="n">
        <x:f>IF(H2251=1,IF(E2251=1,AS2250-AR2250,AS2250)+AQ2251,0)</x:f>
        <x:v>0</x:v>
      </x:c>
      <x:c r="AT2251" s="11" t="n">
        <x:f>IF(AR2251&gt;0,MIN(1,AS2251/AR2251),1)</x:f>
        <x:v>1</x:v>
      </x:c>
      <x:c r="AU2251" s="10" t="n">
        <x:f>AB2251/INDEX(v01_RepScale,G2251)</x:f>
        <x:v>90.09519605746344</x:v>
      </x:c>
      <x:c r="AV2251" s="32" t="n">
        <x:f>AM2251*60/v01_SeasonSeconds</x:f>
        <x:v>0</x:v>
      </x:c>
    </x:row>
    <x:row r="2252">
      <x:c r="A2252" s="8" t="n">
        <x:f>A2251+1</x:f>
        <x:v>2249</x:v>
      </x:c>
      <x:c r="B2252" s="9" t="n">
        <x:f>A2252*v01_SeasonSeconds/60</x:f>
        <x:v>562.25</x:v>
      </x:c>
      <x:c r="C2252" s="9" t="n">
        <x:f>A2252/4</x:f>
        <x:v>562.25</x:v>
      </x:c>
      <x:c r="D2252" s="8" t="n">
        <x:f>IF(MOD(A2252,4)=0,1,0)</x:f>
        <x:v>0</x:v>
      </x:c>
      <x:c r="E2252" s="8" t="n">
        <x:f>IF(AND(F2251&lt;=9,AS2251&gt;=AR2251),1,0)</x:f>
        <x:v>0</x:v>
      </x:c>
      <x:c r="F2252" s="8" t="n">
        <x:f>MIN(10,F2251+E2252)</x:f>
        <x:v>10</x:v>
      </x:c>
      <x:c r="G2252" s="8" t="n">
        <x:f>MIN(F2252,9)+1</x:f>
        <x:v>10</x:v>
      </x:c>
      <x:c r="H2252" s="8" t="n">
        <x:f>IF(F2252&lt;=9,1,0)</x:f>
        <x:v>0</x:v>
      </x:c>
      <x:c r="I2252" s="9" t="n">
        <x:f>MIN(10,F2251+IF(AR2251&gt;0,MIN(1,AS2251/AR2251),1))</x:f>
        <x:v>10</x:v>
      </x:c>
      <x:c r="J2252" s="32" t="n">
        <x:f>INDEX(v01_FoodCap,G2252)*Arch_FoodCap*EXP(v01_CapsByProject*SUMPRODUCT((Cap_Point&lt;=I2252)*(Cap_Kind="Food")*Cap_Ln))</x:f>
        <x:v>12000</x:v>
      </x:c>
      <x:c r="K2252" s="32" t="n">
        <x:f>J2252*MIN(1,v01_LeanBase*EXP(v01_CapsByProject*SUMPRODUCT((Cap_Point&lt;=I2252)*(Cap_Kind="Lean")*Cap_Ln)))</x:f>
        <x:v>12000</x:v>
      </x:c>
      <x:c r="L2252" s="10" t="n">
        <x:f>INDEX(v01_HousingCap,G2252)*EXP(v01_CapsByProject*SUMPRODUCT((Cap_Point&lt;=I2252)*(Cap_Kind="Housing")*Cap_Ln))</x:f>
        <x:v>20000</x:v>
      </x:c>
      <x:c r="M2252" s="10" t="n">
        <x:f>INDEX(v01_GroupCap,G2252)*v01_CohesionFactor*EXP(v01_CapsByProject*SUMPRODUCT((Cap_Point&lt;=I2252)*(Cap_Kind="Group")*Cap_Ln))</x:f>
        <x:v>1000000</x:v>
      </x:c>
      <x:c r="N2252" s="32" t="n">
        <x:f>MIN(J2252,L2252,M2252)</x:f>
        <x:v>12000</x:v>
      </x:c>
      <x:c r="O2252" s="10" t="n">
        <x:f>AE2251*N2252</x:f>
        <x:v>180000</x:v>
      </x:c>
      <x:c r="P2252" s="9" t="n">
        <x:f>MIN(1,(AB2251/(AE2251*IF(v01_GroupInCrowding=1,N2252,MIN(J2252,L2252))))^v01_CrowdingExp)</x:f>
        <x:v>0.00024569414295285325</x:v>
      </x:c>
      <x:c r="Q2252" s="9" t="n">
        <x:f>IF(D2252=1,INDEX(v01_WinterMult,G2252),1)</x:f>
        <x:v>1</x:v>
      </x:c>
      <x:c r="R2252" s="9" t="n">
        <x:f>H2252*Z2251*v01_WomenShare*v01_BaseFertility*INDEX(v01_FertMult,G2252)*Arch_Fertility*(1-P2252)</x:f>
        <x:v>0</x:v>
      </x:c>
      <x:c r="S2252" s="9" t="n">
        <x:f>H2252*Y2251*INDEX(v01_MortChild,G2252)/4*Q2252</x:f>
        <x:v>0</x:v>
      </x:c>
      <x:c r="T2252" s="9" t="n">
        <x:f>H2252*Z2251*INDEX(v01_MortAdult,G2252)*Arch_AdultMort/4*Q2252</x:f>
        <x:v>0</x:v>
      </x:c>
      <x:c r="U2252" s="9" t="n">
        <x:f>H2252*AA2251*INDEX(v01_MortElder,G2252)/4*Q2252</x:f>
        <x:v>0</x:v>
      </x:c>
      <x:c r="V2252" s="9" t="n">
        <x:f>H2252*MAX(0,AB2251-O2252)*v01_OvercapLoss</x:f>
        <x:v>0</x:v>
      </x:c>
      <x:c r="W2252" s="9" t="n">
        <x:f>H2252*Y2251/(v01_ChildYears*4)</x:f>
        <x:v>0</x:v>
      </x:c>
      <x:c r="X2252" s="9" t="n">
        <x:f>H2252*Z2251/(v01_AdultYears*4)</x:f>
        <x:v>0</x:v>
      </x:c>
      <x:c r="Y2252" s="32" t="n">
        <x:f>Y2251+R2252-S2252-W2252-Y2251*V2252/AB2251</x:f>
        <x:v>14306.18539759397</x:v>
      </x:c>
      <x:c r="Z2252" s="32" t="n">
        <x:f>Z2251+W2252-X2252-T2252-Z2251*V2252/AB2251</x:f>
        <x:v>19354.456567879548</x:v>
      </x:c>
      <x:c r="AA2252" s="32" t="n">
        <x:f>AA2251+X2252-U2252-AA2251*V2252/AB2251</x:f>
        <x:v>11386.956063258198</x:v>
      </x:c>
      <x:c r="AB2252" s="10" t="n">
        <x:f>Y2252+Z2252+AA2252</x:f>
        <x:v>45047.59802873172</x:v>
      </x:c>
      <x:c r="AC2252" s="8" t="n">
        <x:f>IF(AND(v01_WinterTrigger=1,D2252=1,AB2251/AE2251&gt;=K2252),1,0)</x:f>
        <x:v>0</x:v>
      </x:c>
      <x:c r="AD2252" s="8" t="n">
        <x:f>H2252*IF(AND(OR(AB2251/AE2251&gt;=v01_FissionTrigger*N2252,AC2252=1),AB2251/AE2251*v01_DaughterShare&gt;=v01_MinDaughter),MAX(1,ROUND(AE2251*v01_FissionRate,0)),0)</x:f>
        <x:v>0</x:v>
      </x:c>
      <x:c r="AE2252" s="8" t="n">
        <x:f>IF(H2252=1,MAX(1,MIN(INDEX(v01_Smax,G2252),AE2251+AD2252)),AE2251)</x:f>
        <x:v>15</x:v>
      </x:c>
      <x:c r="AF2252" s="8" t="n">
        <x:f>MAX(0,AE2252-AE2251)</x:f>
        <x:v>0</x:v>
      </x:c>
      <x:c r="AG2252" s="9" t="str">
        <x:f>IF(AF2252&gt;0,B2252,"")</x:f>
      </x:c>
      <x:c r="AH2252" s="9" t="n">
        <x:f>IF(F2252&gt;=1,1,(1+v01_LowTiesShare*(AE2252-1))/AE2252)</x:f>
        <x:v>1</x:v>
      </x:c>
      <x:c r="AI2252" s="32" t="n">
        <x:f>(Z2252+v01_ElderCommons*INDEX(LM_Elder,G2252)*AA2252)*AH2252</x:f>
        <x:v>64139.732591141874</x:v>
      </x:c>
      <x:c r="AJ2252" s="32" t="n">
        <x:f>H2252*v01_CommonsCoef*AI2252^v01_CommonsExp*INDEX(LM_Commons,G2252)</x:f>
        <x:v>0</x:v>
      </x:c>
      <x:c r="AK2252" s="32" t="n">
        <x:f>H2252*v01_RoleScale*Arch_Roles*(AE2252*(INDEX(v01_ElderRolePerSett,G2252)*v01_OutElder*INDEX(LM_Elder,G2252)+INDEX(v01_ShamanPerSett,G2252)*v01_OutShaman)+Z2252*(INDEX(v01_PriestShare,G2252)*v01_OutPriest+INDEX(v01_ScribeShare,G2252)*v01_OutScribe*INDEX(LM_Scribe,G2252)+INDEX(v01_ScholarShare,G2252)*v01_OutScholar*INDEX(LM_Scholar,G2252)+INDEX(v01_ResearcherShare,G2252)*v01_OutResearcher*INDEX(LM_Researcher,G2252)))</x:f>
        <x:v>0</x:v>
      </x:c>
      <x:c r="AL2252" s="32" t="n">
        <x:f>H2252*v01_RoleScale*Arch_Roles*AE2252*INDEX(v01_MonasteryPerSett,G2252)*v01_OutMonastery*INDEX(LM_Monastery,G2252)</x:f>
        <x:v>0</x:v>
      </x:c>
      <x:c r="AM2252" s="32" t="n">
        <x:f>(AJ2252+AK2252+AL2252)/4*INDEX(LM_All,G2252)*INDEX(v01_Boon,G2252)*Arch_Insight</x:f>
        <x:v>0</x:v>
      </x:c>
      <x:c r="AN2252" s="32" t="n">
        <x:f>H2252*(v01_KHPerAdult*Z2252+v01_KHOfCommons*AJ2252/4*INDEX(LM_All,G2252))*v01_KHUsable*Arch_KH</x:f>
        <x:v>0</x:v>
      </x:c>
      <x:c r="AO2252" s="32" t="n">
        <x:f>MIN(AP2251+AN2252,AM2252*v01_KHMaxRatio)</x:f>
        <x:v>0</x:v>
      </x:c>
      <x:c r="AP2252" s="32" t="n">
        <x:f>AP2251+AN2252-AO2252</x:f>
        <x:v>0</x:v>
      </x:c>
      <x:c r="AQ2252" s="32" t="n">
        <x:f>AM2252+AO2252</x:f>
        <x:v>0</x:v>
      </x:c>
      <x:c r="AR2252" s="10" t="n">
        <x:f>IF(H2252=1,INDEX(v01_Req,G2252),0)</x:f>
        <x:v>0</x:v>
      </x:c>
      <x:c r="AS2252" s="32" t="n">
        <x:f>IF(H2252=1,IF(E2252=1,AS2251-AR2251,AS2251)+AQ2252,0)</x:f>
        <x:v>0</x:v>
      </x:c>
      <x:c r="AT2252" s="11" t="n">
        <x:f>IF(AR2252&gt;0,MIN(1,AS2252/AR2252),1)</x:f>
        <x:v>1</x:v>
      </x:c>
      <x:c r="AU2252" s="10" t="n">
        <x:f>AB2252/INDEX(v01_RepScale,G2252)</x:f>
        <x:v>90.09519605746344</x:v>
      </x:c>
      <x:c r="AV2252" s="32" t="n">
        <x:f>AM2252*60/v01_SeasonSeconds</x:f>
        <x:v>0</x:v>
      </x:c>
    </x:row>
    <x:row r="2253">
      <x:c r="A2253" s="8" t="n">
        <x:f>A2252+1</x:f>
        <x:v>2250</x:v>
      </x:c>
      <x:c r="B2253" s="9" t="n">
        <x:f>A2253*v01_SeasonSeconds/60</x:f>
        <x:v>562.5</x:v>
      </x:c>
      <x:c r="C2253" s="9" t="n">
        <x:f>A2253/4</x:f>
        <x:v>562.5</x:v>
      </x:c>
      <x:c r="D2253" s="8" t="n">
        <x:f>IF(MOD(A2253,4)=0,1,0)</x:f>
        <x:v>0</x:v>
      </x:c>
      <x:c r="E2253" s="8" t="n">
        <x:f>IF(AND(F2252&lt;=9,AS2252&gt;=AR2252),1,0)</x:f>
        <x:v>0</x:v>
      </x:c>
      <x:c r="F2253" s="8" t="n">
        <x:f>MIN(10,F2252+E2253)</x:f>
        <x:v>10</x:v>
      </x:c>
      <x:c r="G2253" s="8" t="n">
        <x:f>MIN(F2253,9)+1</x:f>
        <x:v>10</x:v>
      </x:c>
      <x:c r="H2253" s="8" t="n">
        <x:f>IF(F2253&lt;=9,1,0)</x:f>
        <x:v>0</x:v>
      </x:c>
      <x:c r="I2253" s="9" t="n">
        <x:f>MIN(10,F2252+IF(AR2252&gt;0,MIN(1,AS2252/AR2252),1))</x:f>
        <x:v>10</x:v>
      </x:c>
      <x:c r="J2253" s="32" t="n">
        <x:f>INDEX(v01_FoodCap,G2253)*Arch_FoodCap*EXP(v01_CapsByProject*SUMPRODUCT((Cap_Point&lt;=I2253)*(Cap_Kind="Food")*Cap_Ln))</x:f>
        <x:v>12000</x:v>
      </x:c>
      <x:c r="K2253" s="32" t="n">
        <x:f>J2253*MIN(1,v01_LeanBase*EXP(v01_CapsByProject*SUMPRODUCT((Cap_Point&lt;=I2253)*(Cap_Kind="Lean")*Cap_Ln)))</x:f>
        <x:v>12000</x:v>
      </x:c>
      <x:c r="L2253" s="10" t="n">
        <x:f>INDEX(v01_HousingCap,G2253)*EXP(v01_CapsByProject*SUMPRODUCT((Cap_Point&lt;=I2253)*(Cap_Kind="Housing")*Cap_Ln))</x:f>
        <x:v>20000</x:v>
      </x:c>
      <x:c r="M2253" s="10" t="n">
        <x:f>INDEX(v01_GroupCap,G2253)*v01_CohesionFactor*EXP(v01_CapsByProject*SUMPRODUCT((Cap_Point&lt;=I2253)*(Cap_Kind="Group")*Cap_Ln))</x:f>
        <x:v>1000000</x:v>
      </x:c>
      <x:c r="N2253" s="32" t="n">
        <x:f>MIN(J2253,L2253,M2253)</x:f>
        <x:v>12000</x:v>
      </x:c>
      <x:c r="O2253" s="10" t="n">
        <x:f>AE2252*N2253</x:f>
        <x:v>180000</x:v>
      </x:c>
      <x:c r="P2253" s="9" t="n">
        <x:f>MIN(1,(AB2252/(AE2252*IF(v01_GroupInCrowding=1,N2253,MIN(J2253,L2253))))^v01_CrowdingExp)</x:f>
        <x:v>0.00024569414295285325</x:v>
      </x:c>
      <x:c r="Q2253" s="9" t="n">
        <x:f>IF(D2253=1,INDEX(v01_WinterMult,G2253),1)</x:f>
        <x:v>1</x:v>
      </x:c>
      <x:c r="R2253" s="9" t="n">
        <x:f>H2253*Z2252*v01_WomenShare*v01_BaseFertility*INDEX(v01_FertMult,G2253)*Arch_Fertility*(1-P2253)</x:f>
        <x:v>0</x:v>
      </x:c>
      <x:c r="S2253" s="9" t="n">
        <x:f>H2253*Y2252*INDEX(v01_MortChild,G2253)/4*Q2253</x:f>
        <x:v>0</x:v>
      </x:c>
      <x:c r="T2253" s="9" t="n">
        <x:f>H2253*Z2252*INDEX(v01_MortAdult,G2253)*Arch_AdultMort/4*Q2253</x:f>
        <x:v>0</x:v>
      </x:c>
      <x:c r="U2253" s="9" t="n">
        <x:f>H2253*AA2252*INDEX(v01_MortElder,G2253)/4*Q2253</x:f>
        <x:v>0</x:v>
      </x:c>
      <x:c r="V2253" s="9" t="n">
        <x:f>H2253*MAX(0,AB2252-O2253)*v01_OvercapLoss</x:f>
        <x:v>0</x:v>
      </x:c>
      <x:c r="W2253" s="9" t="n">
        <x:f>H2253*Y2252/(v01_ChildYears*4)</x:f>
        <x:v>0</x:v>
      </x:c>
      <x:c r="X2253" s="9" t="n">
        <x:f>H2253*Z2252/(v01_AdultYears*4)</x:f>
        <x:v>0</x:v>
      </x:c>
      <x:c r="Y2253" s="32" t="n">
        <x:f>Y2252+R2253-S2253-W2253-Y2252*V2253/AB2252</x:f>
        <x:v>14306.18539759397</x:v>
      </x:c>
      <x:c r="Z2253" s="32" t="n">
        <x:f>Z2252+W2253-X2253-T2253-Z2252*V2253/AB2252</x:f>
        <x:v>19354.456567879548</x:v>
      </x:c>
      <x:c r="AA2253" s="32" t="n">
        <x:f>AA2252+X2253-U2253-AA2252*V2253/AB2252</x:f>
        <x:v>11386.956063258198</x:v>
      </x:c>
      <x:c r="AB2253" s="10" t="n">
        <x:f>Y2253+Z2253+AA2253</x:f>
        <x:v>45047.59802873172</x:v>
      </x:c>
      <x:c r="AC2253" s="8" t="n">
        <x:f>IF(AND(v01_WinterTrigger=1,D2253=1,AB2252/AE2252&gt;=K2253),1,0)</x:f>
        <x:v>0</x:v>
      </x:c>
      <x:c r="AD2253" s="8" t="n">
        <x:f>H2253*IF(AND(OR(AB2252/AE2252&gt;=v01_FissionTrigger*N2253,AC2253=1),AB2252/AE2252*v01_DaughterShare&gt;=v01_MinDaughter),MAX(1,ROUND(AE2252*v01_FissionRate,0)),0)</x:f>
        <x:v>0</x:v>
      </x:c>
      <x:c r="AE2253" s="8" t="n">
        <x:f>IF(H2253=1,MAX(1,MIN(INDEX(v01_Smax,G2253),AE2252+AD2253)),AE2252)</x:f>
        <x:v>15</x:v>
      </x:c>
      <x:c r="AF2253" s="8" t="n">
        <x:f>MAX(0,AE2253-AE2252)</x:f>
        <x:v>0</x:v>
      </x:c>
      <x:c r="AG2253" s="9" t="str">
        <x:f>IF(AF2253&gt;0,B2253,"")</x:f>
      </x:c>
      <x:c r="AH2253" s="9" t="n">
        <x:f>IF(F2253&gt;=1,1,(1+v01_LowTiesShare*(AE2253-1))/AE2253)</x:f>
        <x:v>1</x:v>
      </x:c>
      <x:c r="AI2253" s="32" t="n">
        <x:f>(Z2253+v01_ElderCommons*INDEX(LM_Elder,G2253)*AA2253)*AH2253</x:f>
        <x:v>64139.732591141874</x:v>
      </x:c>
      <x:c r="AJ2253" s="32" t="n">
        <x:f>H2253*v01_CommonsCoef*AI2253^v01_CommonsExp*INDEX(LM_Commons,G2253)</x:f>
        <x:v>0</x:v>
      </x:c>
      <x:c r="AK2253" s="32" t="n">
        <x:f>H2253*v01_RoleScale*Arch_Roles*(AE2253*(INDEX(v01_ElderRolePerSett,G2253)*v01_OutElder*INDEX(LM_Elder,G2253)+INDEX(v01_ShamanPerSett,G2253)*v01_OutShaman)+Z2253*(INDEX(v01_PriestShare,G2253)*v01_OutPriest+INDEX(v01_ScribeShare,G2253)*v01_OutScribe*INDEX(LM_Scribe,G2253)+INDEX(v01_ScholarShare,G2253)*v01_OutScholar*INDEX(LM_Scholar,G2253)+INDEX(v01_ResearcherShare,G2253)*v01_OutResearcher*INDEX(LM_Researcher,G2253)))</x:f>
        <x:v>0</x:v>
      </x:c>
      <x:c r="AL2253" s="32" t="n">
        <x:f>H2253*v01_RoleScale*Arch_Roles*AE2253*INDEX(v01_MonasteryPerSett,G2253)*v01_OutMonastery*INDEX(LM_Monastery,G2253)</x:f>
        <x:v>0</x:v>
      </x:c>
      <x:c r="AM2253" s="32" t="n">
        <x:f>(AJ2253+AK2253+AL2253)/4*INDEX(LM_All,G2253)*INDEX(v01_Boon,G2253)*Arch_Insight</x:f>
        <x:v>0</x:v>
      </x:c>
      <x:c r="AN2253" s="32" t="n">
        <x:f>H2253*(v01_KHPerAdult*Z2253+v01_KHOfCommons*AJ2253/4*INDEX(LM_All,G2253))*v01_KHUsable*Arch_KH</x:f>
        <x:v>0</x:v>
      </x:c>
      <x:c r="AO2253" s="32" t="n">
        <x:f>MIN(AP2252+AN2253,AM2253*v01_KHMaxRatio)</x:f>
        <x:v>0</x:v>
      </x:c>
      <x:c r="AP2253" s="32" t="n">
        <x:f>AP2252+AN2253-AO2253</x:f>
        <x:v>0</x:v>
      </x:c>
      <x:c r="AQ2253" s="32" t="n">
        <x:f>AM2253+AO2253</x:f>
        <x:v>0</x:v>
      </x:c>
      <x:c r="AR2253" s="10" t="n">
        <x:f>IF(H2253=1,INDEX(v01_Req,G2253),0)</x:f>
        <x:v>0</x:v>
      </x:c>
      <x:c r="AS2253" s="32" t="n">
        <x:f>IF(H2253=1,IF(E2253=1,AS2252-AR2252,AS2252)+AQ2253,0)</x:f>
        <x:v>0</x:v>
      </x:c>
      <x:c r="AT2253" s="11" t="n">
        <x:f>IF(AR2253&gt;0,MIN(1,AS2253/AR2253),1)</x:f>
        <x:v>1</x:v>
      </x:c>
      <x:c r="AU2253" s="10" t="n">
        <x:f>AB2253/INDEX(v01_RepScale,G2253)</x:f>
        <x:v>90.09519605746344</x:v>
      </x:c>
      <x:c r="AV2253" s="32" t="n">
        <x:f>AM2253*60/v01_SeasonSeconds</x:f>
        <x:v>0</x:v>
      </x:c>
    </x:row>
    <x:row r="2254">
      <x:c r="A2254" s="8" t="n">
        <x:f>A2253+1</x:f>
        <x:v>2251</x:v>
      </x:c>
      <x:c r="B2254" s="9" t="n">
        <x:f>A2254*v01_SeasonSeconds/60</x:f>
        <x:v>562.75</x:v>
      </x:c>
      <x:c r="C2254" s="9" t="n">
        <x:f>A2254/4</x:f>
        <x:v>562.75</x:v>
      </x:c>
      <x:c r="D2254" s="8" t="n">
        <x:f>IF(MOD(A2254,4)=0,1,0)</x:f>
        <x:v>0</x:v>
      </x:c>
      <x:c r="E2254" s="8" t="n">
        <x:f>IF(AND(F2253&lt;=9,AS2253&gt;=AR2253),1,0)</x:f>
        <x:v>0</x:v>
      </x:c>
      <x:c r="F2254" s="8" t="n">
        <x:f>MIN(10,F2253+E2254)</x:f>
        <x:v>10</x:v>
      </x:c>
      <x:c r="G2254" s="8" t="n">
        <x:f>MIN(F2254,9)+1</x:f>
        <x:v>10</x:v>
      </x:c>
      <x:c r="H2254" s="8" t="n">
        <x:f>IF(F2254&lt;=9,1,0)</x:f>
        <x:v>0</x:v>
      </x:c>
      <x:c r="I2254" s="9" t="n">
        <x:f>MIN(10,F2253+IF(AR2253&gt;0,MIN(1,AS2253/AR2253),1))</x:f>
        <x:v>10</x:v>
      </x:c>
      <x:c r="J2254" s="32" t="n">
        <x:f>INDEX(v01_FoodCap,G2254)*Arch_FoodCap*EXP(v01_CapsByProject*SUMPRODUCT((Cap_Point&lt;=I2254)*(Cap_Kind="Food")*Cap_Ln))</x:f>
        <x:v>12000</x:v>
      </x:c>
      <x:c r="K2254" s="32" t="n">
        <x:f>J2254*MIN(1,v01_LeanBase*EXP(v01_CapsByProject*SUMPRODUCT((Cap_Point&lt;=I2254)*(Cap_Kind="Lean")*Cap_Ln)))</x:f>
        <x:v>12000</x:v>
      </x:c>
      <x:c r="L2254" s="10" t="n">
        <x:f>INDEX(v01_HousingCap,G2254)*EXP(v01_CapsByProject*SUMPRODUCT((Cap_Point&lt;=I2254)*(Cap_Kind="Housing")*Cap_Ln))</x:f>
        <x:v>20000</x:v>
      </x:c>
      <x:c r="M2254" s="10" t="n">
        <x:f>INDEX(v01_GroupCap,G2254)*v01_CohesionFactor*EXP(v01_CapsByProject*SUMPRODUCT((Cap_Point&lt;=I2254)*(Cap_Kind="Group")*Cap_Ln))</x:f>
        <x:v>1000000</x:v>
      </x:c>
      <x:c r="N2254" s="32" t="n">
        <x:f>MIN(J2254,L2254,M2254)</x:f>
        <x:v>12000</x:v>
      </x:c>
      <x:c r="O2254" s="10" t="n">
        <x:f>AE2253*N2254</x:f>
        <x:v>180000</x:v>
      </x:c>
      <x:c r="P2254" s="9" t="n">
        <x:f>MIN(1,(AB2253/(AE2253*IF(v01_GroupInCrowding=1,N2254,MIN(J2254,L2254))))^v01_CrowdingExp)</x:f>
        <x:v>0.00024569414295285325</x:v>
      </x:c>
      <x:c r="Q2254" s="9" t="n">
        <x:f>IF(D2254=1,INDEX(v01_WinterMult,G2254),1)</x:f>
        <x:v>1</x:v>
      </x:c>
      <x:c r="R2254" s="9" t="n">
        <x:f>H2254*Z2253*v01_WomenShare*v01_BaseFertility*INDEX(v01_FertMult,G2254)*Arch_Fertility*(1-P2254)</x:f>
        <x:v>0</x:v>
      </x:c>
      <x:c r="S2254" s="9" t="n">
        <x:f>H2254*Y2253*INDEX(v01_MortChild,G2254)/4*Q2254</x:f>
        <x:v>0</x:v>
      </x:c>
      <x:c r="T2254" s="9" t="n">
        <x:f>H2254*Z2253*INDEX(v01_MortAdult,G2254)*Arch_AdultMort/4*Q2254</x:f>
        <x:v>0</x:v>
      </x:c>
      <x:c r="U2254" s="9" t="n">
        <x:f>H2254*AA2253*INDEX(v01_MortElder,G2254)/4*Q2254</x:f>
        <x:v>0</x:v>
      </x:c>
      <x:c r="V2254" s="9" t="n">
        <x:f>H2254*MAX(0,AB2253-O2254)*v01_OvercapLoss</x:f>
        <x:v>0</x:v>
      </x:c>
      <x:c r="W2254" s="9" t="n">
        <x:f>H2254*Y2253/(v01_ChildYears*4)</x:f>
        <x:v>0</x:v>
      </x:c>
      <x:c r="X2254" s="9" t="n">
        <x:f>H2254*Z2253/(v01_AdultYears*4)</x:f>
        <x:v>0</x:v>
      </x:c>
      <x:c r="Y2254" s="32" t="n">
        <x:f>Y2253+R2254-S2254-W2254-Y2253*V2254/AB2253</x:f>
        <x:v>14306.18539759397</x:v>
      </x:c>
      <x:c r="Z2254" s="32" t="n">
        <x:f>Z2253+W2254-X2254-T2254-Z2253*V2254/AB2253</x:f>
        <x:v>19354.456567879548</x:v>
      </x:c>
      <x:c r="AA2254" s="32" t="n">
        <x:f>AA2253+X2254-U2254-AA2253*V2254/AB2253</x:f>
        <x:v>11386.956063258198</x:v>
      </x:c>
      <x:c r="AB2254" s="10" t="n">
        <x:f>Y2254+Z2254+AA2254</x:f>
        <x:v>45047.59802873172</x:v>
      </x:c>
      <x:c r="AC2254" s="8" t="n">
        <x:f>IF(AND(v01_WinterTrigger=1,D2254=1,AB2253/AE2253&gt;=K2254),1,0)</x:f>
        <x:v>0</x:v>
      </x:c>
      <x:c r="AD2254" s="8" t="n">
        <x:f>H2254*IF(AND(OR(AB2253/AE2253&gt;=v01_FissionTrigger*N2254,AC2254=1),AB2253/AE2253*v01_DaughterShare&gt;=v01_MinDaughter),MAX(1,ROUND(AE2253*v01_FissionRate,0)),0)</x:f>
        <x:v>0</x:v>
      </x:c>
      <x:c r="AE2254" s="8" t="n">
        <x:f>IF(H2254=1,MAX(1,MIN(INDEX(v01_Smax,G2254),AE2253+AD2254)),AE2253)</x:f>
        <x:v>15</x:v>
      </x:c>
      <x:c r="AF2254" s="8" t="n">
        <x:f>MAX(0,AE2254-AE2253)</x:f>
        <x:v>0</x:v>
      </x:c>
      <x:c r="AG2254" s="9" t="str">
        <x:f>IF(AF2254&gt;0,B2254,"")</x:f>
      </x:c>
      <x:c r="AH2254" s="9" t="n">
        <x:f>IF(F2254&gt;=1,1,(1+v01_LowTiesShare*(AE2254-1))/AE2254)</x:f>
        <x:v>1</x:v>
      </x:c>
      <x:c r="AI2254" s="32" t="n">
        <x:f>(Z2254+v01_ElderCommons*INDEX(LM_Elder,G2254)*AA2254)*AH2254</x:f>
        <x:v>64139.732591141874</x:v>
      </x:c>
      <x:c r="AJ2254" s="32" t="n">
        <x:f>H2254*v01_CommonsCoef*AI2254^v01_CommonsExp*INDEX(LM_Commons,G2254)</x:f>
        <x:v>0</x:v>
      </x:c>
      <x:c r="AK2254" s="32" t="n">
        <x:f>H2254*v01_RoleScale*Arch_Roles*(AE2254*(INDEX(v01_ElderRolePerSett,G2254)*v01_OutElder*INDEX(LM_Elder,G2254)+INDEX(v01_ShamanPerSett,G2254)*v01_OutShaman)+Z2254*(INDEX(v01_PriestShare,G2254)*v01_OutPriest+INDEX(v01_ScribeShare,G2254)*v01_OutScribe*INDEX(LM_Scribe,G2254)+INDEX(v01_ScholarShare,G2254)*v01_OutScholar*INDEX(LM_Scholar,G2254)+INDEX(v01_ResearcherShare,G2254)*v01_OutResearcher*INDEX(LM_Researcher,G2254)))</x:f>
        <x:v>0</x:v>
      </x:c>
      <x:c r="AL2254" s="32" t="n">
        <x:f>H2254*v01_RoleScale*Arch_Roles*AE2254*INDEX(v01_MonasteryPerSett,G2254)*v01_OutMonastery*INDEX(LM_Monastery,G2254)</x:f>
        <x:v>0</x:v>
      </x:c>
      <x:c r="AM2254" s="32" t="n">
        <x:f>(AJ2254+AK2254+AL2254)/4*INDEX(LM_All,G2254)*INDEX(v01_Boon,G2254)*Arch_Insight</x:f>
        <x:v>0</x:v>
      </x:c>
      <x:c r="AN2254" s="32" t="n">
        <x:f>H2254*(v01_KHPerAdult*Z2254+v01_KHOfCommons*AJ2254/4*INDEX(LM_All,G2254))*v01_KHUsable*Arch_KH</x:f>
        <x:v>0</x:v>
      </x:c>
      <x:c r="AO2254" s="32" t="n">
        <x:f>MIN(AP2253+AN2254,AM2254*v01_KHMaxRatio)</x:f>
        <x:v>0</x:v>
      </x:c>
      <x:c r="AP2254" s="32" t="n">
        <x:f>AP2253+AN2254-AO2254</x:f>
        <x:v>0</x:v>
      </x:c>
      <x:c r="AQ2254" s="32" t="n">
        <x:f>AM2254+AO2254</x:f>
        <x:v>0</x:v>
      </x:c>
      <x:c r="AR2254" s="10" t="n">
        <x:f>IF(H2254=1,INDEX(v01_Req,G2254),0)</x:f>
        <x:v>0</x:v>
      </x:c>
      <x:c r="AS2254" s="32" t="n">
        <x:f>IF(H2254=1,IF(E2254=1,AS2253-AR2253,AS2253)+AQ2254,0)</x:f>
        <x:v>0</x:v>
      </x:c>
      <x:c r="AT2254" s="11" t="n">
        <x:f>IF(AR2254&gt;0,MIN(1,AS2254/AR2254),1)</x:f>
        <x:v>1</x:v>
      </x:c>
      <x:c r="AU2254" s="10" t="n">
        <x:f>AB2254/INDEX(v01_RepScale,G2254)</x:f>
        <x:v>90.09519605746344</x:v>
      </x:c>
      <x:c r="AV2254" s="32" t="n">
        <x:f>AM2254*60/v01_SeasonSeconds</x:f>
        <x:v>0</x:v>
      </x:c>
    </x:row>
    <x:row r="2255">
      <x:c r="A2255" s="8" t="n">
        <x:f>A2254+1</x:f>
        <x:v>2252</x:v>
      </x:c>
      <x:c r="B2255" s="9" t="n">
        <x:f>A2255*v01_SeasonSeconds/60</x:f>
        <x:v>563</x:v>
      </x:c>
      <x:c r="C2255" s="9" t="n">
        <x:f>A2255/4</x:f>
        <x:v>563</x:v>
      </x:c>
      <x:c r="D2255" s="8" t="n">
        <x:f>IF(MOD(A2255,4)=0,1,0)</x:f>
        <x:v>1</x:v>
      </x:c>
      <x:c r="E2255" s="8" t="n">
        <x:f>IF(AND(F2254&lt;=9,AS2254&gt;=AR2254),1,0)</x:f>
        <x:v>0</x:v>
      </x:c>
      <x:c r="F2255" s="8" t="n">
        <x:f>MIN(10,F2254+E2255)</x:f>
        <x:v>10</x:v>
      </x:c>
      <x:c r="G2255" s="8" t="n">
        <x:f>MIN(F2255,9)+1</x:f>
        <x:v>10</x:v>
      </x:c>
      <x:c r="H2255" s="8" t="n">
        <x:f>IF(F2255&lt;=9,1,0)</x:f>
        <x:v>0</x:v>
      </x:c>
      <x:c r="I2255" s="9" t="n">
        <x:f>MIN(10,F2254+IF(AR2254&gt;0,MIN(1,AS2254/AR2254),1))</x:f>
        <x:v>10</x:v>
      </x:c>
      <x:c r="J2255" s="32" t="n">
        <x:f>INDEX(v01_FoodCap,G2255)*Arch_FoodCap*EXP(v01_CapsByProject*SUMPRODUCT((Cap_Point&lt;=I2255)*(Cap_Kind="Food")*Cap_Ln))</x:f>
        <x:v>12000</x:v>
      </x:c>
      <x:c r="K2255" s="32" t="n">
        <x:f>J2255*MIN(1,v01_LeanBase*EXP(v01_CapsByProject*SUMPRODUCT((Cap_Point&lt;=I2255)*(Cap_Kind="Lean")*Cap_Ln)))</x:f>
        <x:v>12000</x:v>
      </x:c>
      <x:c r="L2255" s="10" t="n">
        <x:f>INDEX(v01_HousingCap,G2255)*EXP(v01_CapsByProject*SUMPRODUCT((Cap_Point&lt;=I2255)*(Cap_Kind="Housing")*Cap_Ln))</x:f>
        <x:v>20000</x:v>
      </x:c>
      <x:c r="M2255" s="10" t="n">
        <x:f>INDEX(v01_GroupCap,G2255)*v01_CohesionFactor*EXP(v01_CapsByProject*SUMPRODUCT((Cap_Point&lt;=I2255)*(Cap_Kind="Group")*Cap_Ln))</x:f>
        <x:v>1000000</x:v>
      </x:c>
      <x:c r="N2255" s="32" t="n">
        <x:f>MIN(J2255,L2255,M2255)</x:f>
        <x:v>12000</x:v>
      </x:c>
      <x:c r="O2255" s="10" t="n">
        <x:f>AE2254*N2255</x:f>
        <x:v>180000</x:v>
      </x:c>
      <x:c r="P2255" s="9" t="n">
        <x:f>MIN(1,(AB2254/(AE2254*IF(v01_GroupInCrowding=1,N2255,MIN(J2255,L2255))))^v01_CrowdingExp)</x:f>
        <x:v>0.00024569414295285325</x:v>
      </x:c>
      <x:c r="Q2255" s="9" t="n">
        <x:f>IF(D2255=1,INDEX(v01_WinterMult,G2255),1)</x:f>
        <x:v>1</x:v>
      </x:c>
      <x:c r="R2255" s="9" t="n">
        <x:f>H2255*Z2254*v01_WomenShare*v01_BaseFertility*INDEX(v01_FertMult,G2255)*Arch_Fertility*(1-P2255)</x:f>
        <x:v>0</x:v>
      </x:c>
      <x:c r="S2255" s="9" t="n">
        <x:f>H2255*Y2254*INDEX(v01_MortChild,G2255)/4*Q2255</x:f>
        <x:v>0</x:v>
      </x:c>
      <x:c r="T2255" s="9" t="n">
        <x:f>H2255*Z2254*INDEX(v01_MortAdult,G2255)*Arch_AdultMort/4*Q2255</x:f>
        <x:v>0</x:v>
      </x:c>
      <x:c r="U2255" s="9" t="n">
        <x:f>H2255*AA2254*INDEX(v01_MortElder,G2255)/4*Q2255</x:f>
        <x:v>0</x:v>
      </x:c>
      <x:c r="V2255" s="9" t="n">
        <x:f>H2255*MAX(0,AB2254-O2255)*v01_OvercapLoss</x:f>
        <x:v>0</x:v>
      </x:c>
      <x:c r="W2255" s="9" t="n">
        <x:f>H2255*Y2254/(v01_ChildYears*4)</x:f>
        <x:v>0</x:v>
      </x:c>
      <x:c r="X2255" s="9" t="n">
        <x:f>H2255*Z2254/(v01_AdultYears*4)</x:f>
        <x:v>0</x:v>
      </x:c>
      <x:c r="Y2255" s="32" t="n">
        <x:f>Y2254+R2255-S2255-W2255-Y2254*V2255/AB2254</x:f>
        <x:v>14306.18539759397</x:v>
      </x:c>
      <x:c r="Z2255" s="32" t="n">
        <x:f>Z2254+W2255-X2255-T2255-Z2254*V2255/AB2254</x:f>
        <x:v>19354.456567879548</x:v>
      </x:c>
      <x:c r="AA2255" s="32" t="n">
        <x:f>AA2254+X2255-U2255-AA2254*V2255/AB2254</x:f>
        <x:v>11386.956063258198</x:v>
      </x:c>
      <x:c r="AB2255" s="10" t="n">
        <x:f>Y2255+Z2255+AA2255</x:f>
        <x:v>45047.59802873172</x:v>
      </x:c>
      <x:c r="AC2255" s="8" t="n">
        <x:f>IF(AND(v01_WinterTrigger=1,D2255=1,AB2254/AE2254&gt;=K2255),1,0)</x:f>
        <x:v>0</x:v>
      </x:c>
      <x:c r="AD2255" s="8" t="n">
        <x:f>H2255*IF(AND(OR(AB2254/AE2254&gt;=v01_FissionTrigger*N2255,AC2255=1),AB2254/AE2254*v01_DaughterShare&gt;=v01_MinDaughter),MAX(1,ROUND(AE2254*v01_FissionRate,0)),0)</x:f>
        <x:v>0</x:v>
      </x:c>
      <x:c r="AE2255" s="8" t="n">
        <x:f>IF(H2255=1,MAX(1,MIN(INDEX(v01_Smax,G2255),AE2254+AD2255)),AE2254)</x:f>
        <x:v>15</x:v>
      </x:c>
      <x:c r="AF2255" s="8" t="n">
        <x:f>MAX(0,AE2255-AE2254)</x:f>
        <x:v>0</x:v>
      </x:c>
      <x:c r="AG2255" s="9" t="str">
        <x:f>IF(AF2255&gt;0,B2255,"")</x:f>
      </x:c>
      <x:c r="AH2255" s="9" t="n">
        <x:f>IF(F2255&gt;=1,1,(1+v01_LowTiesShare*(AE2255-1))/AE2255)</x:f>
        <x:v>1</x:v>
      </x:c>
      <x:c r="AI2255" s="32" t="n">
        <x:f>(Z2255+v01_ElderCommons*INDEX(LM_Elder,G2255)*AA2255)*AH2255</x:f>
        <x:v>64139.732591141874</x:v>
      </x:c>
      <x:c r="AJ2255" s="32" t="n">
        <x:f>H2255*v01_CommonsCoef*AI2255^v01_CommonsExp*INDEX(LM_Commons,G2255)</x:f>
        <x:v>0</x:v>
      </x:c>
      <x:c r="AK2255" s="32" t="n">
        <x:f>H2255*v01_RoleScale*Arch_Roles*(AE2255*(INDEX(v01_ElderRolePerSett,G2255)*v01_OutElder*INDEX(LM_Elder,G2255)+INDEX(v01_ShamanPerSett,G2255)*v01_OutShaman)+Z2255*(INDEX(v01_PriestShare,G2255)*v01_OutPriest+INDEX(v01_ScribeShare,G2255)*v01_OutScribe*INDEX(LM_Scribe,G2255)+INDEX(v01_ScholarShare,G2255)*v01_OutScholar*INDEX(LM_Scholar,G2255)+INDEX(v01_ResearcherShare,G2255)*v01_OutResearcher*INDEX(LM_Researcher,G2255)))</x:f>
        <x:v>0</x:v>
      </x:c>
      <x:c r="AL2255" s="32" t="n">
        <x:f>H2255*v01_RoleScale*Arch_Roles*AE2255*INDEX(v01_MonasteryPerSett,G2255)*v01_OutMonastery*INDEX(LM_Monastery,G2255)</x:f>
        <x:v>0</x:v>
      </x:c>
      <x:c r="AM2255" s="32" t="n">
        <x:f>(AJ2255+AK2255+AL2255)/4*INDEX(LM_All,G2255)*INDEX(v01_Boon,G2255)*Arch_Insight</x:f>
        <x:v>0</x:v>
      </x:c>
      <x:c r="AN2255" s="32" t="n">
        <x:f>H2255*(v01_KHPerAdult*Z2255+v01_KHOfCommons*AJ2255/4*INDEX(LM_All,G2255))*v01_KHUsable*Arch_KH</x:f>
        <x:v>0</x:v>
      </x:c>
      <x:c r="AO2255" s="32" t="n">
        <x:f>MIN(AP2254+AN2255,AM2255*v01_KHMaxRatio)</x:f>
        <x:v>0</x:v>
      </x:c>
      <x:c r="AP2255" s="32" t="n">
        <x:f>AP2254+AN2255-AO2255</x:f>
        <x:v>0</x:v>
      </x:c>
      <x:c r="AQ2255" s="32" t="n">
        <x:f>AM2255+AO2255</x:f>
        <x:v>0</x:v>
      </x:c>
      <x:c r="AR2255" s="10" t="n">
        <x:f>IF(H2255=1,INDEX(v01_Req,G2255),0)</x:f>
        <x:v>0</x:v>
      </x:c>
      <x:c r="AS2255" s="32" t="n">
        <x:f>IF(H2255=1,IF(E2255=1,AS2254-AR2254,AS2254)+AQ2255,0)</x:f>
        <x:v>0</x:v>
      </x:c>
      <x:c r="AT2255" s="11" t="n">
        <x:f>IF(AR2255&gt;0,MIN(1,AS2255/AR2255),1)</x:f>
        <x:v>1</x:v>
      </x:c>
      <x:c r="AU2255" s="10" t="n">
        <x:f>AB2255/INDEX(v01_RepScale,G2255)</x:f>
        <x:v>90.09519605746344</x:v>
      </x:c>
      <x:c r="AV2255" s="32" t="n">
        <x:f>AM2255*60/v01_SeasonSeconds</x:f>
        <x:v>0</x:v>
      </x:c>
    </x:row>
    <x:row r="2256">
      <x:c r="A2256" s="8" t="n">
        <x:f>A2255+1</x:f>
        <x:v>2253</x:v>
      </x:c>
      <x:c r="B2256" s="9" t="n">
        <x:f>A2256*v01_SeasonSeconds/60</x:f>
        <x:v>563.25</x:v>
      </x:c>
      <x:c r="C2256" s="9" t="n">
        <x:f>A2256/4</x:f>
        <x:v>563.25</x:v>
      </x:c>
      <x:c r="D2256" s="8" t="n">
        <x:f>IF(MOD(A2256,4)=0,1,0)</x:f>
        <x:v>0</x:v>
      </x:c>
      <x:c r="E2256" s="8" t="n">
        <x:f>IF(AND(F2255&lt;=9,AS2255&gt;=AR2255),1,0)</x:f>
        <x:v>0</x:v>
      </x:c>
      <x:c r="F2256" s="8" t="n">
        <x:f>MIN(10,F2255+E2256)</x:f>
        <x:v>10</x:v>
      </x:c>
      <x:c r="G2256" s="8" t="n">
        <x:f>MIN(F2256,9)+1</x:f>
        <x:v>10</x:v>
      </x:c>
      <x:c r="H2256" s="8" t="n">
        <x:f>IF(F2256&lt;=9,1,0)</x:f>
        <x:v>0</x:v>
      </x:c>
      <x:c r="I2256" s="9" t="n">
        <x:f>MIN(10,F2255+IF(AR2255&gt;0,MIN(1,AS2255/AR2255),1))</x:f>
        <x:v>10</x:v>
      </x:c>
      <x:c r="J2256" s="32" t="n">
        <x:f>INDEX(v01_FoodCap,G2256)*Arch_FoodCap*EXP(v01_CapsByProject*SUMPRODUCT((Cap_Point&lt;=I2256)*(Cap_Kind="Food")*Cap_Ln))</x:f>
        <x:v>12000</x:v>
      </x:c>
      <x:c r="K2256" s="32" t="n">
        <x:f>J2256*MIN(1,v01_LeanBase*EXP(v01_CapsByProject*SUMPRODUCT((Cap_Point&lt;=I2256)*(Cap_Kind="Lean")*Cap_Ln)))</x:f>
        <x:v>12000</x:v>
      </x:c>
      <x:c r="L2256" s="10" t="n">
        <x:f>INDEX(v01_HousingCap,G2256)*EXP(v01_CapsByProject*SUMPRODUCT((Cap_Point&lt;=I2256)*(Cap_Kind="Housing")*Cap_Ln))</x:f>
        <x:v>20000</x:v>
      </x:c>
      <x:c r="M2256" s="10" t="n">
        <x:f>INDEX(v01_GroupCap,G2256)*v01_CohesionFactor*EXP(v01_CapsByProject*SUMPRODUCT((Cap_Point&lt;=I2256)*(Cap_Kind="Group")*Cap_Ln))</x:f>
        <x:v>1000000</x:v>
      </x:c>
      <x:c r="N2256" s="32" t="n">
        <x:f>MIN(J2256,L2256,M2256)</x:f>
        <x:v>12000</x:v>
      </x:c>
      <x:c r="O2256" s="10" t="n">
        <x:f>AE2255*N2256</x:f>
        <x:v>180000</x:v>
      </x:c>
      <x:c r="P2256" s="9" t="n">
        <x:f>MIN(1,(AB2255/(AE2255*IF(v01_GroupInCrowding=1,N2256,MIN(J2256,L2256))))^v01_CrowdingExp)</x:f>
        <x:v>0.00024569414295285325</x:v>
      </x:c>
      <x:c r="Q2256" s="9" t="n">
        <x:f>IF(D2256=1,INDEX(v01_WinterMult,G2256),1)</x:f>
        <x:v>1</x:v>
      </x:c>
      <x:c r="R2256" s="9" t="n">
        <x:f>H2256*Z2255*v01_WomenShare*v01_BaseFertility*INDEX(v01_FertMult,G2256)*Arch_Fertility*(1-P2256)</x:f>
        <x:v>0</x:v>
      </x:c>
      <x:c r="S2256" s="9" t="n">
        <x:f>H2256*Y2255*INDEX(v01_MortChild,G2256)/4*Q2256</x:f>
        <x:v>0</x:v>
      </x:c>
      <x:c r="T2256" s="9" t="n">
        <x:f>H2256*Z2255*INDEX(v01_MortAdult,G2256)*Arch_AdultMort/4*Q2256</x:f>
        <x:v>0</x:v>
      </x:c>
      <x:c r="U2256" s="9" t="n">
        <x:f>H2256*AA2255*INDEX(v01_MortElder,G2256)/4*Q2256</x:f>
        <x:v>0</x:v>
      </x:c>
      <x:c r="V2256" s="9" t="n">
        <x:f>H2256*MAX(0,AB2255-O2256)*v01_OvercapLoss</x:f>
        <x:v>0</x:v>
      </x:c>
      <x:c r="W2256" s="9" t="n">
        <x:f>H2256*Y2255/(v01_ChildYears*4)</x:f>
        <x:v>0</x:v>
      </x:c>
      <x:c r="X2256" s="9" t="n">
        <x:f>H2256*Z2255/(v01_AdultYears*4)</x:f>
        <x:v>0</x:v>
      </x:c>
      <x:c r="Y2256" s="32" t="n">
        <x:f>Y2255+R2256-S2256-W2256-Y2255*V2256/AB2255</x:f>
        <x:v>14306.18539759397</x:v>
      </x:c>
      <x:c r="Z2256" s="32" t="n">
        <x:f>Z2255+W2256-X2256-T2256-Z2255*V2256/AB2255</x:f>
        <x:v>19354.456567879548</x:v>
      </x:c>
      <x:c r="AA2256" s="32" t="n">
        <x:f>AA2255+X2256-U2256-AA2255*V2256/AB2255</x:f>
        <x:v>11386.956063258198</x:v>
      </x:c>
      <x:c r="AB2256" s="10" t="n">
        <x:f>Y2256+Z2256+AA2256</x:f>
        <x:v>45047.59802873172</x:v>
      </x:c>
      <x:c r="AC2256" s="8" t="n">
        <x:f>IF(AND(v01_WinterTrigger=1,D2256=1,AB2255/AE2255&gt;=K2256),1,0)</x:f>
        <x:v>0</x:v>
      </x:c>
      <x:c r="AD2256" s="8" t="n">
        <x:f>H2256*IF(AND(OR(AB2255/AE2255&gt;=v01_FissionTrigger*N2256,AC2256=1),AB2255/AE2255*v01_DaughterShare&gt;=v01_MinDaughter),MAX(1,ROUND(AE2255*v01_FissionRate,0)),0)</x:f>
        <x:v>0</x:v>
      </x:c>
      <x:c r="AE2256" s="8" t="n">
        <x:f>IF(H2256=1,MAX(1,MIN(INDEX(v01_Smax,G2256),AE2255+AD2256)),AE2255)</x:f>
        <x:v>15</x:v>
      </x:c>
      <x:c r="AF2256" s="8" t="n">
        <x:f>MAX(0,AE2256-AE2255)</x:f>
        <x:v>0</x:v>
      </x:c>
      <x:c r="AG2256" s="9" t="str">
        <x:f>IF(AF2256&gt;0,B2256,"")</x:f>
      </x:c>
      <x:c r="AH2256" s="9" t="n">
        <x:f>IF(F2256&gt;=1,1,(1+v01_LowTiesShare*(AE2256-1))/AE2256)</x:f>
        <x:v>1</x:v>
      </x:c>
      <x:c r="AI2256" s="32" t="n">
        <x:f>(Z2256+v01_ElderCommons*INDEX(LM_Elder,G2256)*AA2256)*AH2256</x:f>
        <x:v>64139.732591141874</x:v>
      </x:c>
      <x:c r="AJ2256" s="32" t="n">
        <x:f>H2256*v01_CommonsCoef*AI2256^v01_CommonsExp*INDEX(LM_Commons,G2256)</x:f>
        <x:v>0</x:v>
      </x:c>
      <x:c r="AK2256" s="32" t="n">
        <x:f>H2256*v01_RoleScale*Arch_Roles*(AE2256*(INDEX(v01_ElderRolePerSett,G2256)*v01_OutElder*INDEX(LM_Elder,G2256)+INDEX(v01_ShamanPerSett,G2256)*v01_OutShaman)+Z2256*(INDEX(v01_PriestShare,G2256)*v01_OutPriest+INDEX(v01_ScribeShare,G2256)*v01_OutScribe*INDEX(LM_Scribe,G2256)+INDEX(v01_ScholarShare,G2256)*v01_OutScholar*INDEX(LM_Scholar,G2256)+INDEX(v01_ResearcherShare,G2256)*v01_OutResearcher*INDEX(LM_Researcher,G2256)))</x:f>
        <x:v>0</x:v>
      </x:c>
      <x:c r="AL2256" s="32" t="n">
        <x:f>H2256*v01_RoleScale*Arch_Roles*AE2256*INDEX(v01_MonasteryPerSett,G2256)*v01_OutMonastery*INDEX(LM_Monastery,G2256)</x:f>
        <x:v>0</x:v>
      </x:c>
      <x:c r="AM2256" s="32" t="n">
        <x:f>(AJ2256+AK2256+AL2256)/4*INDEX(LM_All,G2256)*INDEX(v01_Boon,G2256)*Arch_Insight</x:f>
        <x:v>0</x:v>
      </x:c>
      <x:c r="AN2256" s="32" t="n">
        <x:f>H2256*(v01_KHPerAdult*Z2256+v01_KHOfCommons*AJ2256/4*INDEX(LM_All,G2256))*v01_KHUsable*Arch_KH</x:f>
        <x:v>0</x:v>
      </x:c>
      <x:c r="AO2256" s="32" t="n">
        <x:f>MIN(AP2255+AN2256,AM2256*v01_KHMaxRatio)</x:f>
        <x:v>0</x:v>
      </x:c>
      <x:c r="AP2256" s="32" t="n">
        <x:f>AP2255+AN2256-AO2256</x:f>
        <x:v>0</x:v>
      </x:c>
      <x:c r="AQ2256" s="32" t="n">
        <x:f>AM2256+AO2256</x:f>
        <x:v>0</x:v>
      </x:c>
      <x:c r="AR2256" s="10" t="n">
        <x:f>IF(H2256=1,INDEX(v01_Req,G2256),0)</x:f>
        <x:v>0</x:v>
      </x:c>
      <x:c r="AS2256" s="32" t="n">
        <x:f>IF(H2256=1,IF(E2256=1,AS2255-AR2255,AS2255)+AQ2256,0)</x:f>
        <x:v>0</x:v>
      </x:c>
      <x:c r="AT2256" s="11" t="n">
        <x:f>IF(AR2256&gt;0,MIN(1,AS2256/AR2256),1)</x:f>
        <x:v>1</x:v>
      </x:c>
      <x:c r="AU2256" s="10" t="n">
        <x:f>AB2256/INDEX(v01_RepScale,G2256)</x:f>
        <x:v>90.09519605746344</x:v>
      </x:c>
      <x:c r="AV2256" s="32" t="n">
        <x:f>AM2256*60/v01_SeasonSeconds</x:f>
        <x:v>0</x:v>
      </x:c>
    </x:row>
    <x:row r="2257">
      <x:c r="A2257" s="8" t="n">
        <x:f>A2256+1</x:f>
        <x:v>2254</x:v>
      </x:c>
      <x:c r="B2257" s="9" t="n">
        <x:f>A2257*v01_SeasonSeconds/60</x:f>
        <x:v>563.5</x:v>
      </x:c>
      <x:c r="C2257" s="9" t="n">
        <x:f>A2257/4</x:f>
        <x:v>563.5</x:v>
      </x:c>
      <x:c r="D2257" s="8" t="n">
        <x:f>IF(MOD(A2257,4)=0,1,0)</x:f>
        <x:v>0</x:v>
      </x:c>
      <x:c r="E2257" s="8" t="n">
        <x:f>IF(AND(F2256&lt;=9,AS2256&gt;=AR2256),1,0)</x:f>
        <x:v>0</x:v>
      </x:c>
      <x:c r="F2257" s="8" t="n">
        <x:f>MIN(10,F2256+E2257)</x:f>
        <x:v>10</x:v>
      </x:c>
      <x:c r="G2257" s="8" t="n">
        <x:f>MIN(F2257,9)+1</x:f>
        <x:v>10</x:v>
      </x:c>
      <x:c r="H2257" s="8" t="n">
        <x:f>IF(F2257&lt;=9,1,0)</x:f>
        <x:v>0</x:v>
      </x:c>
      <x:c r="I2257" s="9" t="n">
        <x:f>MIN(10,F2256+IF(AR2256&gt;0,MIN(1,AS2256/AR2256),1))</x:f>
        <x:v>10</x:v>
      </x:c>
      <x:c r="J2257" s="32" t="n">
        <x:f>INDEX(v01_FoodCap,G2257)*Arch_FoodCap*EXP(v01_CapsByProject*SUMPRODUCT((Cap_Point&lt;=I2257)*(Cap_Kind="Food")*Cap_Ln))</x:f>
        <x:v>12000</x:v>
      </x:c>
      <x:c r="K2257" s="32" t="n">
        <x:f>J2257*MIN(1,v01_LeanBase*EXP(v01_CapsByProject*SUMPRODUCT((Cap_Point&lt;=I2257)*(Cap_Kind="Lean")*Cap_Ln)))</x:f>
        <x:v>12000</x:v>
      </x:c>
      <x:c r="L2257" s="10" t="n">
        <x:f>INDEX(v01_HousingCap,G2257)*EXP(v01_CapsByProject*SUMPRODUCT((Cap_Point&lt;=I2257)*(Cap_Kind="Housing")*Cap_Ln))</x:f>
        <x:v>20000</x:v>
      </x:c>
      <x:c r="M2257" s="10" t="n">
        <x:f>INDEX(v01_GroupCap,G2257)*v01_CohesionFactor*EXP(v01_CapsByProject*SUMPRODUCT((Cap_Point&lt;=I2257)*(Cap_Kind="Group")*Cap_Ln))</x:f>
        <x:v>1000000</x:v>
      </x:c>
      <x:c r="N2257" s="32" t="n">
        <x:f>MIN(J2257,L2257,M2257)</x:f>
        <x:v>12000</x:v>
      </x:c>
      <x:c r="O2257" s="10" t="n">
        <x:f>AE2256*N2257</x:f>
        <x:v>180000</x:v>
      </x:c>
      <x:c r="P2257" s="9" t="n">
        <x:f>MIN(1,(AB2256/(AE2256*IF(v01_GroupInCrowding=1,N2257,MIN(J2257,L2257))))^v01_CrowdingExp)</x:f>
        <x:v>0.00024569414295285325</x:v>
      </x:c>
      <x:c r="Q2257" s="9" t="n">
        <x:f>IF(D2257=1,INDEX(v01_WinterMult,G2257),1)</x:f>
        <x:v>1</x:v>
      </x:c>
      <x:c r="R2257" s="9" t="n">
        <x:f>H2257*Z2256*v01_WomenShare*v01_BaseFertility*INDEX(v01_FertMult,G2257)*Arch_Fertility*(1-P2257)</x:f>
        <x:v>0</x:v>
      </x:c>
      <x:c r="S2257" s="9" t="n">
        <x:f>H2257*Y2256*INDEX(v01_MortChild,G2257)/4*Q2257</x:f>
        <x:v>0</x:v>
      </x:c>
      <x:c r="T2257" s="9" t="n">
        <x:f>H2257*Z2256*INDEX(v01_MortAdult,G2257)*Arch_AdultMort/4*Q2257</x:f>
        <x:v>0</x:v>
      </x:c>
      <x:c r="U2257" s="9" t="n">
        <x:f>H2257*AA2256*INDEX(v01_MortElder,G2257)/4*Q2257</x:f>
        <x:v>0</x:v>
      </x:c>
      <x:c r="V2257" s="9" t="n">
        <x:f>H2257*MAX(0,AB2256-O2257)*v01_OvercapLoss</x:f>
        <x:v>0</x:v>
      </x:c>
      <x:c r="W2257" s="9" t="n">
        <x:f>H2257*Y2256/(v01_ChildYears*4)</x:f>
        <x:v>0</x:v>
      </x:c>
      <x:c r="X2257" s="9" t="n">
        <x:f>H2257*Z2256/(v01_AdultYears*4)</x:f>
        <x:v>0</x:v>
      </x:c>
      <x:c r="Y2257" s="32" t="n">
        <x:f>Y2256+R2257-S2257-W2257-Y2256*V2257/AB2256</x:f>
        <x:v>14306.18539759397</x:v>
      </x:c>
      <x:c r="Z2257" s="32" t="n">
        <x:f>Z2256+W2257-X2257-T2257-Z2256*V2257/AB2256</x:f>
        <x:v>19354.456567879548</x:v>
      </x:c>
      <x:c r="AA2257" s="32" t="n">
        <x:f>AA2256+X2257-U2257-AA2256*V2257/AB2256</x:f>
        <x:v>11386.956063258198</x:v>
      </x:c>
      <x:c r="AB2257" s="10" t="n">
        <x:f>Y2257+Z2257+AA2257</x:f>
        <x:v>45047.59802873172</x:v>
      </x:c>
      <x:c r="AC2257" s="8" t="n">
        <x:f>IF(AND(v01_WinterTrigger=1,D2257=1,AB2256/AE2256&gt;=K2257),1,0)</x:f>
        <x:v>0</x:v>
      </x:c>
      <x:c r="AD2257" s="8" t="n">
        <x:f>H2257*IF(AND(OR(AB2256/AE2256&gt;=v01_FissionTrigger*N2257,AC2257=1),AB2256/AE2256*v01_DaughterShare&gt;=v01_MinDaughter),MAX(1,ROUND(AE2256*v01_FissionRate,0)),0)</x:f>
        <x:v>0</x:v>
      </x:c>
      <x:c r="AE2257" s="8" t="n">
        <x:f>IF(H2257=1,MAX(1,MIN(INDEX(v01_Smax,G2257),AE2256+AD2257)),AE2256)</x:f>
        <x:v>15</x:v>
      </x:c>
      <x:c r="AF2257" s="8" t="n">
        <x:f>MAX(0,AE2257-AE2256)</x:f>
        <x:v>0</x:v>
      </x:c>
      <x:c r="AG2257" s="9" t="str">
        <x:f>IF(AF2257&gt;0,B2257,"")</x:f>
      </x:c>
      <x:c r="AH2257" s="9" t="n">
        <x:f>IF(F2257&gt;=1,1,(1+v01_LowTiesShare*(AE2257-1))/AE2257)</x:f>
        <x:v>1</x:v>
      </x:c>
      <x:c r="AI2257" s="32" t="n">
        <x:f>(Z2257+v01_ElderCommons*INDEX(LM_Elder,G2257)*AA2257)*AH2257</x:f>
        <x:v>64139.732591141874</x:v>
      </x:c>
      <x:c r="AJ2257" s="32" t="n">
        <x:f>H2257*v01_CommonsCoef*AI2257^v01_CommonsExp*INDEX(LM_Commons,G2257)</x:f>
        <x:v>0</x:v>
      </x:c>
      <x:c r="AK2257" s="32" t="n">
        <x:f>H2257*v01_RoleScale*Arch_Roles*(AE2257*(INDEX(v01_ElderRolePerSett,G2257)*v01_OutElder*INDEX(LM_Elder,G2257)+INDEX(v01_ShamanPerSett,G2257)*v01_OutShaman)+Z2257*(INDEX(v01_PriestShare,G2257)*v01_OutPriest+INDEX(v01_ScribeShare,G2257)*v01_OutScribe*INDEX(LM_Scribe,G2257)+INDEX(v01_ScholarShare,G2257)*v01_OutScholar*INDEX(LM_Scholar,G2257)+INDEX(v01_ResearcherShare,G2257)*v01_OutResearcher*INDEX(LM_Researcher,G2257)))</x:f>
        <x:v>0</x:v>
      </x:c>
      <x:c r="AL2257" s="32" t="n">
        <x:f>H2257*v01_RoleScale*Arch_Roles*AE2257*INDEX(v01_MonasteryPerSett,G2257)*v01_OutMonastery*INDEX(LM_Monastery,G2257)</x:f>
        <x:v>0</x:v>
      </x:c>
      <x:c r="AM2257" s="32" t="n">
        <x:f>(AJ2257+AK2257+AL2257)/4*INDEX(LM_All,G2257)*INDEX(v01_Boon,G2257)*Arch_Insight</x:f>
        <x:v>0</x:v>
      </x:c>
      <x:c r="AN2257" s="32" t="n">
        <x:f>H2257*(v01_KHPerAdult*Z2257+v01_KHOfCommons*AJ2257/4*INDEX(LM_All,G2257))*v01_KHUsable*Arch_KH</x:f>
        <x:v>0</x:v>
      </x:c>
      <x:c r="AO2257" s="32" t="n">
        <x:f>MIN(AP2256+AN2257,AM2257*v01_KHMaxRatio)</x:f>
        <x:v>0</x:v>
      </x:c>
      <x:c r="AP2257" s="32" t="n">
        <x:f>AP2256+AN2257-AO2257</x:f>
        <x:v>0</x:v>
      </x:c>
      <x:c r="AQ2257" s="32" t="n">
        <x:f>AM2257+AO2257</x:f>
        <x:v>0</x:v>
      </x:c>
      <x:c r="AR2257" s="10" t="n">
        <x:f>IF(H2257=1,INDEX(v01_Req,G2257),0)</x:f>
        <x:v>0</x:v>
      </x:c>
      <x:c r="AS2257" s="32" t="n">
        <x:f>IF(H2257=1,IF(E2257=1,AS2256-AR2256,AS2256)+AQ2257,0)</x:f>
        <x:v>0</x:v>
      </x:c>
      <x:c r="AT2257" s="11" t="n">
        <x:f>IF(AR2257&gt;0,MIN(1,AS2257/AR2257),1)</x:f>
        <x:v>1</x:v>
      </x:c>
      <x:c r="AU2257" s="10" t="n">
        <x:f>AB2257/INDEX(v01_RepScale,G2257)</x:f>
        <x:v>90.09519605746344</x:v>
      </x:c>
      <x:c r="AV2257" s="32" t="n">
        <x:f>AM2257*60/v01_SeasonSeconds</x:f>
        <x:v>0</x:v>
      </x:c>
    </x:row>
    <x:row r="2258">
      <x:c r="A2258" s="8" t="n">
        <x:f>A2257+1</x:f>
        <x:v>2255</x:v>
      </x:c>
      <x:c r="B2258" s="9" t="n">
        <x:f>A2258*v01_SeasonSeconds/60</x:f>
        <x:v>563.75</x:v>
      </x:c>
      <x:c r="C2258" s="9" t="n">
        <x:f>A2258/4</x:f>
        <x:v>563.75</x:v>
      </x:c>
      <x:c r="D2258" s="8" t="n">
        <x:f>IF(MOD(A2258,4)=0,1,0)</x:f>
        <x:v>0</x:v>
      </x:c>
      <x:c r="E2258" s="8" t="n">
        <x:f>IF(AND(F2257&lt;=9,AS2257&gt;=AR2257),1,0)</x:f>
        <x:v>0</x:v>
      </x:c>
      <x:c r="F2258" s="8" t="n">
        <x:f>MIN(10,F2257+E2258)</x:f>
        <x:v>10</x:v>
      </x:c>
      <x:c r="G2258" s="8" t="n">
        <x:f>MIN(F2258,9)+1</x:f>
        <x:v>10</x:v>
      </x:c>
      <x:c r="H2258" s="8" t="n">
        <x:f>IF(F2258&lt;=9,1,0)</x:f>
        <x:v>0</x:v>
      </x:c>
      <x:c r="I2258" s="9" t="n">
        <x:f>MIN(10,F2257+IF(AR2257&gt;0,MIN(1,AS2257/AR2257),1))</x:f>
        <x:v>10</x:v>
      </x:c>
      <x:c r="J2258" s="32" t="n">
        <x:f>INDEX(v01_FoodCap,G2258)*Arch_FoodCap*EXP(v01_CapsByProject*SUMPRODUCT((Cap_Point&lt;=I2258)*(Cap_Kind="Food")*Cap_Ln))</x:f>
        <x:v>12000</x:v>
      </x:c>
      <x:c r="K2258" s="32" t="n">
        <x:f>J2258*MIN(1,v01_LeanBase*EXP(v01_CapsByProject*SUMPRODUCT((Cap_Point&lt;=I2258)*(Cap_Kind="Lean")*Cap_Ln)))</x:f>
        <x:v>12000</x:v>
      </x:c>
      <x:c r="L2258" s="10" t="n">
        <x:f>INDEX(v01_HousingCap,G2258)*EXP(v01_CapsByProject*SUMPRODUCT((Cap_Point&lt;=I2258)*(Cap_Kind="Housing")*Cap_Ln))</x:f>
        <x:v>20000</x:v>
      </x:c>
      <x:c r="M2258" s="10" t="n">
        <x:f>INDEX(v01_GroupCap,G2258)*v01_CohesionFactor*EXP(v01_CapsByProject*SUMPRODUCT((Cap_Point&lt;=I2258)*(Cap_Kind="Group")*Cap_Ln))</x:f>
        <x:v>1000000</x:v>
      </x:c>
      <x:c r="N2258" s="32" t="n">
        <x:f>MIN(J2258,L2258,M2258)</x:f>
        <x:v>12000</x:v>
      </x:c>
      <x:c r="O2258" s="10" t="n">
        <x:f>AE2257*N2258</x:f>
        <x:v>180000</x:v>
      </x:c>
      <x:c r="P2258" s="9" t="n">
        <x:f>MIN(1,(AB2257/(AE2257*IF(v01_GroupInCrowding=1,N2258,MIN(J2258,L2258))))^v01_CrowdingExp)</x:f>
        <x:v>0.00024569414295285325</x:v>
      </x:c>
      <x:c r="Q2258" s="9" t="n">
        <x:f>IF(D2258=1,INDEX(v01_WinterMult,G2258),1)</x:f>
        <x:v>1</x:v>
      </x:c>
      <x:c r="R2258" s="9" t="n">
        <x:f>H2258*Z2257*v01_WomenShare*v01_BaseFertility*INDEX(v01_FertMult,G2258)*Arch_Fertility*(1-P2258)</x:f>
        <x:v>0</x:v>
      </x:c>
      <x:c r="S2258" s="9" t="n">
        <x:f>H2258*Y2257*INDEX(v01_MortChild,G2258)/4*Q2258</x:f>
        <x:v>0</x:v>
      </x:c>
      <x:c r="T2258" s="9" t="n">
        <x:f>H2258*Z2257*INDEX(v01_MortAdult,G2258)*Arch_AdultMort/4*Q2258</x:f>
        <x:v>0</x:v>
      </x:c>
      <x:c r="U2258" s="9" t="n">
        <x:f>H2258*AA2257*INDEX(v01_MortElder,G2258)/4*Q2258</x:f>
        <x:v>0</x:v>
      </x:c>
      <x:c r="V2258" s="9" t="n">
        <x:f>H2258*MAX(0,AB2257-O2258)*v01_OvercapLoss</x:f>
        <x:v>0</x:v>
      </x:c>
      <x:c r="W2258" s="9" t="n">
        <x:f>H2258*Y2257/(v01_ChildYears*4)</x:f>
        <x:v>0</x:v>
      </x:c>
      <x:c r="X2258" s="9" t="n">
        <x:f>H2258*Z2257/(v01_AdultYears*4)</x:f>
        <x:v>0</x:v>
      </x:c>
      <x:c r="Y2258" s="32" t="n">
        <x:f>Y2257+R2258-S2258-W2258-Y2257*V2258/AB2257</x:f>
        <x:v>14306.18539759397</x:v>
      </x:c>
      <x:c r="Z2258" s="32" t="n">
        <x:f>Z2257+W2258-X2258-T2258-Z2257*V2258/AB2257</x:f>
        <x:v>19354.456567879548</x:v>
      </x:c>
      <x:c r="AA2258" s="32" t="n">
        <x:f>AA2257+X2258-U2258-AA2257*V2258/AB2257</x:f>
        <x:v>11386.956063258198</x:v>
      </x:c>
      <x:c r="AB2258" s="10" t="n">
        <x:f>Y2258+Z2258+AA2258</x:f>
        <x:v>45047.59802873172</x:v>
      </x:c>
      <x:c r="AC2258" s="8" t="n">
        <x:f>IF(AND(v01_WinterTrigger=1,D2258=1,AB2257/AE2257&gt;=K2258),1,0)</x:f>
        <x:v>0</x:v>
      </x:c>
      <x:c r="AD2258" s="8" t="n">
        <x:f>H2258*IF(AND(OR(AB2257/AE2257&gt;=v01_FissionTrigger*N2258,AC2258=1),AB2257/AE2257*v01_DaughterShare&gt;=v01_MinDaughter),MAX(1,ROUND(AE2257*v01_FissionRate,0)),0)</x:f>
        <x:v>0</x:v>
      </x:c>
      <x:c r="AE2258" s="8" t="n">
        <x:f>IF(H2258=1,MAX(1,MIN(INDEX(v01_Smax,G2258),AE2257+AD2258)),AE2257)</x:f>
        <x:v>15</x:v>
      </x:c>
      <x:c r="AF2258" s="8" t="n">
        <x:f>MAX(0,AE2258-AE2257)</x:f>
        <x:v>0</x:v>
      </x:c>
      <x:c r="AG2258" s="9" t="str">
        <x:f>IF(AF2258&gt;0,B2258,"")</x:f>
      </x:c>
      <x:c r="AH2258" s="9" t="n">
        <x:f>IF(F2258&gt;=1,1,(1+v01_LowTiesShare*(AE2258-1))/AE2258)</x:f>
        <x:v>1</x:v>
      </x:c>
      <x:c r="AI2258" s="32" t="n">
        <x:f>(Z2258+v01_ElderCommons*INDEX(LM_Elder,G2258)*AA2258)*AH2258</x:f>
        <x:v>64139.732591141874</x:v>
      </x:c>
      <x:c r="AJ2258" s="32" t="n">
        <x:f>H2258*v01_CommonsCoef*AI2258^v01_CommonsExp*INDEX(LM_Commons,G2258)</x:f>
        <x:v>0</x:v>
      </x:c>
      <x:c r="AK2258" s="32" t="n">
        <x:f>H2258*v01_RoleScale*Arch_Roles*(AE2258*(INDEX(v01_ElderRolePerSett,G2258)*v01_OutElder*INDEX(LM_Elder,G2258)+INDEX(v01_ShamanPerSett,G2258)*v01_OutShaman)+Z2258*(INDEX(v01_PriestShare,G2258)*v01_OutPriest+INDEX(v01_ScribeShare,G2258)*v01_OutScribe*INDEX(LM_Scribe,G2258)+INDEX(v01_ScholarShare,G2258)*v01_OutScholar*INDEX(LM_Scholar,G2258)+INDEX(v01_ResearcherShare,G2258)*v01_OutResearcher*INDEX(LM_Researcher,G2258)))</x:f>
        <x:v>0</x:v>
      </x:c>
      <x:c r="AL2258" s="32" t="n">
        <x:f>H2258*v01_RoleScale*Arch_Roles*AE2258*INDEX(v01_MonasteryPerSett,G2258)*v01_OutMonastery*INDEX(LM_Monastery,G2258)</x:f>
        <x:v>0</x:v>
      </x:c>
      <x:c r="AM2258" s="32" t="n">
        <x:f>(AJ2258+AK2258+AL2258)/4*INDEX(LM_All,G2258)*INDEX(v01_Boon,G2258)*Arch_Insight</x:f>
        <x:v>0</x:v>
      </x:c>
      <x:c r="AN2258" s="32" t="n">
        <x:f>H2258*(v01_KHPerAdult*Z2258+v01_KHOfCommons*AJ2258/4*INDEX(LM_All,G2258))*v01_KHUsable*Arch_KH</x:f>
        <x:v>0</x:v>
      </x:c>
      <x:c r="AO2258" s="32" t="n">
        <x:f>MIN(AP2257+AN2258,AM2258*v01_KHMaxRatio)</x:f>
        <x:v>0</x:v>
      </x:c>
      <x:c r="AP2258" s="32" t="n">
        <x:f>AP2257+AN2258-AO2258</x:f>
        <x:v>0</x:v>
      </x:c>
      <x:c r="AQ2258" s="32" t="n">
        <x:f>AM2258+AO2258</x:f>
        <x:v>0</x:v>
      </x:c>
      <x:c r="AR2258" s="10" t="n">
        <x:f>IF(H2258=1,INDEX(v01_Req,G2258),0)</x:f>
        <x:v>0</x:v>
      </x:c>
      <x:c r="AS2258" s="32" t="n">
        <x:f>IF(H2258=1,IF(E2258=1,AS2257-AR2257,AS2257)+AQ2258,0)</x:f>
        <x:v>0</x:v>
      </x:c>
      <x:c r="AT2258" s="11" t="n">
        <x:f>IF(AR2258&gt;0,MIN(1,AS2258/AR2258),1)</x:f>
        <x:v>1</x:v>
      </x:c>
      <x:c r="AU2258" s="10" t="n">
        <x:f>AB2258/INDEX(v01_RepScale,G2258)</x:f>
        <x:v>90.09519605746344</x:v>
      </x:c>
      <x:c r="AV2258" s="32" t="n">
        <x:f>AM2258*60/v01_SeasonSeconds</x:f>
        <x:v>0</x:v>
      </x:c>
    </x:row>
    <x:row r="2259">
      <x:c r="A2259" s="8" t="n">
        <x:f>A2258+1</x:f>
        <x:v>2256</x:v>
      </x:c>
      <x:c r="B2259" s="9" t="n">
        <x:f>A2259*v01_SeasonSeconds/60</x:f>
        <x:v>564</x:v>
      </x:c>
      <x:c r="C2259" s="9" t="n">
        <x:f>A2259/4</x:f>
        <x:v>564</x:v>
      </x:c>
      <x:c r="D2259" s="8" t="n">
        <x:f>IF(MOD(A2259,4)=0,1,0)</x:f>
        <x:v>1</x:v>
      </x:c>
      <x:c r="E2259" s="8" t="n">
        <x:f>IF(AND(F2258&lt;=9,AS2258&gt;=AR2258),1,0)</x:f>
        <x:v>0</x:v>
      </x:c>
      <x:c r="F2259" s="8" t="n">
        <x:f>MIN(10,F2258+E2259)</x:f>
        <x:v>10</x:v>
      </x:c>
      <x:c r="G2259" s="8" t="n">
        <x:f>MIN(F2259,9)+1</x:f>
        <x:v>10</x:v>
      </x:c>
      <x:c r="H2259" s="8" t="n">
        <x:f>IF(F2259&lt;=9,1,0)</x:f>
        <x:v>0</x:v>
      </x:c>
      <x:c r="I2259" s="9" t="n">
        <x:f>MIN(10,F2258+IF(AR2258&gt;0,MIN(1,AS2258/AR2258),1))</x:f>
        <x:v>10</x:v>
      </x:c>
      <x:c r="J2259" s="32" t="n">
        <x:f>INDEX(v01_FoodCap,G2259)*Arch_FoodCap*EXP(v01_CapsByProject*SUMPRODUCT((Cap_Point&lt;=I2259)*(Cap_Kind="Food")*Cap_Ln))</x:f>
        <x:v>12000</x:v>
      </x:c>
      <x:c r="K2259" s="32" t="n">
        <x:f>J2259*MIN(1,v01_LeanBase*EXP(v01_CapsByProject*SUMPRODUCT((Cap_Point&lt;=I2259)*(Cap_Kind="Lean")*Cap_Ln)))</x:f>
        <x:v>12000</x:v>
      </x:c>
      <x:c r="L2259" s="10" t="n">
        <x:f>INDEX(v01_HousingCap,G2259)*EXP(v01_CapsByProject*SUMPRODUCT((Cap_Point&lt;=I2259)*(Cap_Kind="Housing")*Cap_Ln))</x:f>
        <x:v>20000</x:v>
      </x:c>
      <x:c r="M2259" s="10" t="n">
        <x:f>INDEX(v01_GroupCap,G2259)*v01_CohesionFactor*EXP(v01_CapsByProject*SUMPRODUCT((Cap_Point&lt;=I2259)*(Cap_Kind="Group")*Cap_Ln))</x:f>
        <x:v>1000000</x:v>
      </x:c>
      <x:c r="N2259" s="32" t="n">
        <x:f>MIN(J2259,L2259,M2259)</x:f>
        <x:v>12000</x:v>
      </x:c>
      <x:c r="O2259" s="10" t="n">
        <x:f>AE2258*N2259</x:f>
        <x:v>180000</x:v>
      </x:c>
      <x:c r="P2259" s="9" t="n">
        <x:f>MIN(1,(AB2258/(AE2258*IF(v01_GroupInCrowding=1,N2259,MIN(J2259,L2259))))^v01_CrowdingExp)</x:f>
        <x:v>0.00024569414295285325</x:v>
      </x:c>
      <x:c r="Q2259" s="9" t="n">
        <x:f>IF(D2259=1,INDEX(v01_WinterMult,G2259),1)</x:f>
        <x:v>1</x:v>
      </x:c>
      <x:c r="R2259" s="9" t="n">
        <x:f>H2259*Z2258*v01_WomenShare*v01_BaseFertility*INDEX(v01_FertMult,G2259)*Arch_Fertility*(1-P2259)</x:f>
        <x:v>0</x:v>
      </x:c>
      <x:c r="S2259" s="9" t="n">
        <x:f>H2259*Y2258*INDEX(v01_MortChild,G2259)/4*Q2259</x:f>
        <x:v>0</x:v>
      </x:c>
      <x:c r="T2259" s="9" t="n">
        <x:f>H2259*Z2258*INDEX(v01_MortAdult,G2259)*Arch_AdultMort/4*Q2259</x:f>
        <x:v>0</x:v>
      </x:c>
      <x:c r="U2259" s="9" t="n">
        <x:f>H2259*AA2258*INDEX(v01_MortElder,G2259)/4*Q2259</x:f>
        <x:v>0</x:v>
      </x:c>
      <x:c r="V2259" s="9" t="n">
        <x:f>H2259*MAX(0,AB2258-O2259)*v01_OvercapLoss</x:f>
        <x:v>0</x:v>
      </x:c>
      <x:c r="W2259" s="9" t="n">
        <x:f>H2259*Y2258/(v01_ChildYears*4)</x:f>
        <x:v>0</x:v>
      </x:c>
      <x:c r="X2259" s="9" t="n">
        <x:f>H2259*Z2258/(v01_AdultYears*4)</x:f>
        <x:v>0</x:v>
      </x:c>
      <x:c r="Y2259" s="32" t="n">
        <x:f>Y2258+R2259-S2259-W2259-Y2258*V2259/AB2258</x:f>
        <x:v>14306.18539759397</x:v>
      </x:c>
      <x:c r="Z2259" s="32" t="n">
        <x:f>Z2258+W2259-X2259-T2259-Z2258*V2259/AB2258</x:f>
        <x:v>19354.456567879548</x:v>
      </x:c>
      <x:c r="AA2259" s="32" t="n">
        <x:f>AA2258+X2259-U2259-AA2258*V2259/AB2258</x:f>
        <x:v>11386.956063258198</x:v>
      </x:c>
      <x:c r="AB2259" s="10" t="n">
        <x:f>Y2259+Z2259+AA2259</x:f>
        <x:v>45047.59802873172</x:v>
      </x:c>
      <x:c r="AC2259" s="8" t="n">
        <x:f>IF(AND(v01_WinterTrigger=1,D2259=1,AB2258/AE2258&gt;=K2259),1,0)</x:f>
        <x:v>0</x:v>
      </x:c>
      <x:c r="AD2259" s="8" t="n">
        <x:f>H2259*IF(AND(OR(AB2258/AE2258&gt;=v01_FissionTrigger*N2259,AC2259=1),AB2258/AE2258*v01_DaughterShare&gt;=v01_MinDaughter),MAX(1,ROUND(AE2258*v01_FissionRate,0)),0)</x:f>
        <x:v>0</x:v>
      </x:c>
      <x:c r="AE2259" s="8" t="n">
        <x:f>IF(H2259=1,MAX(1,MIN(INDEX(v01_Smax,G2259),AE2258+AD2259)),AE2258)</x:f>
        <x:v>15</x:v>
      </x:c>
      <x:c r="AF2259" s="8" t="n">
        <x:f>MAX(0,AE2259-AE2258)</x:f>
        <x:v>0</x:v>
      </x:c>
      <x:c r="AG2259" s="9" t="str">
        <x:f>IF(AF2259&gt;0,B2259,"")</x:f>
      </x:c>
      <x:c r="AH2259" s="9" t="n">
        <x:f>IF(F2259&gt;=1,1,(1+v01_LowTiesShare*(AE2259-1))/AE2259)</x:f>
        <x:v>1</x:v>
      </x:c>
      <x:c r="AI2259" s="32" t="n">
        <x:f>(Z2259+v01_ElderCommons*INDEX(LM_Elder,G2259)*AA2259)*AH2259</x:f>
        <x:v>64139.732591141874</x:v>
      </x:c>
      <x:c r="AJ2259" s="32" t="n">
        <x:f>H2259*v01_CommonsCoef*AI2259^v01_CommonsExp*INDEX(LM_Commons,G2259)</x:f>
        <x:v>0</x:v>
      </x:c>
      <x:c r="AK2259" s="32" t="n">
        <x:f>H2259*v01_RoleScale*Arch_Roles*(AE2259*(INDEX(v01_ElderRolePerSett,G2259)*v01_OutElder*INDEX(LM_Elder,G2259)+INDEX(v01_ShamanPerSett,G2259)*v01_OutShaman)+Z2259*(INDEX(v01_PriestShare,G2259)*v01_OutPriest+INDEX(v01_ScribeShare,G2259)*v01_OutScribe*INDEX(LM_Scribe,G2259)+INDEX(v01_ScholarShare,G2259)*v01_OutScholar*INDEX(LM_Scholar,G2259)+INDEX(v01_ResearcherShare,G2259)*v01_OutResearcher*INDEX(LM_Researcher,G2259)))</x:f>
        <x:v>0</x:v>
      </x:c>
      <x:c r="AL2259" s="32" t="n">
        <x:f>H2259*v01_RoleScale*Arch_Roles*AE2259*INDEX(v01_MonasteryPerSett,G2259)*v01_OutMonastery*INDEX(LM_Monastery,G2259)</x:f>
        <x:v>0</x:v>
      </x:c>
      <x:c r="AM2259" s="32" t="n">
        <x:f>(AJ2259+AK2259+AL2259)/4*INDEX(LM_All,G2259)*INDEX(v01_Boon,G2259)*Arch_Insight</x:f>
        <x:v>0</x:v>
      </x:c>
      <x:c r="AN2259" s="32" t="n">
        <x:f>H2259*(v01_KHPerAdult*Z2259+v01_KHOfCommons*AJ2259/4*INDEX(LM_All,G2259))*v01_KHUsable*Arch_KH</x:f>
        <x:v>0</x:v>
      </x:c>
      <x:c r="AO2259" s="32" t="n">
        <x:f>MIN(AP2258+AN2259,AM2259*v01_KHMaxRatio)</x:f>
        <x:v>0</x:v>
      </x:c>
      <x:c r="AP2259" s="32" t="n">
        <x:f>AP2258+AN2259-AO2259</x:f>
        <x:v>0</x:v>
      </x:c>
      <x:c r="AQ2259" s="32" t="n">
        <x:f>AM2259+AO2259</x:f>
        <x:v>0</x:v>
      </x:c>
      <x:c r="AR2259" s="10" t="n">
        <x:f>IF(H2259=1,INDEX(v01_Req,G2259),0)</x:f>
        <x:v>0</x:v>
      </x:c>
      <x:c r="AS2259" s="32" t="n">
        <x:f>IF(H2259=1,IF(E2259=1,AS2258-AR2258,AS2258)+AQ2259,0)</x:f>
        <x:v>0</x:v>
      </x:c>
      <x:c r="AT2259" s="11" t="n">
        <x:f>IF(AR2259&gt;0,MIN(1,AS2259/AR2259),1)</x:f>
        <x:v>1</x:v>
      </x:c>
      <x:c r="AU2259" s="10" t="n">
        <x:f>AB2259/INDEX(v01_RepScale,G2259)</x:f>
        <x:v>90.09519605746344</x:v>
      </x:c>
      <x:c r="AV2259" s="32" t="n">
        <x:f>AM2259*60/v01_SeasonSeconds</x:f>
        <x:v>0</x:v>
      </x:c>
    </x:row>
    <x:row r="2260">
      <x:c r="A2260" s="8" t="n">
        <x:f>A2259+1</x:f>
        <x:v>2257</x:v>
      </x:c>
      <x:c r="B2260" s="9" t="n">
        <x:f>A2260*v01_SeasonSeconds/60</x:f>
        <x:v>564.25</x:v>
      </x:c>
      <x:c r="C2260" s="9" t="n">
        <x:f>A2260/4</x:f>
        <x:v>564.25</x:v>
      </x:c>
      <x:c r="D2260" s="8" t="n">
        <x:f>IF(MOD(A2260,4)=0,1,0)</x:f>
        <x:v>0</x:v>
      </x:c>
      <x:c r="E2260" s="8" t="n">
        <x:f>IF(AND(F2259&lt;=9,AS2259&gt;=AR2259),1,0)</x:f>
        <x:v>0</x:v>
      </x:c>
      <x:c r="F2260" s="8" t="n">
        <x:f>MIN(10,F2259+E2260)</x:f>
        <x:v>10</x:v>
      </x:c>
      <x:c r="G2260" s="8" t="n">
        <x:f>MIN(F2260,9)+1</x:f>
        <x:v>10</x:v>
      </x:c>
      <x:c r="H2260" s="8" t="n">
        <x:f>IF(F2260&lt;=9,1,0)</x:f>
        <x:v>0</x:v>
      </x:c>
      <x:c r="I2260" s="9" t="n">
        <x:f>MIN(10,F2259+IF(AR2259&gt;0,MIN(1,AS2259/AR2259),1))</x:f>
        <x:v>10</x:v>
      </x:c>
      <x:c r="J2260" s="32" t="n">
        <x:f>INDEX(v01_FoodCap,G2260)*Arch_FoodCap*EXP(v01_CapsByProject*SUMPRODUCT((Cap_Point&lt;=I2260)*(Cap_Kind="Food")*Cap_Ln))</x:f>
        <x:v>12000</x:v>
      </x:c>
      <x:c r="K2260" s="32" t="n">
        <x:f>J2260*MIN(1,v01_LeanBase*EXP(v01_CapsByProject*SUMPRODUCT((Cap_Point&lt;=I2260)*(Cap_Kind="Lean")*Cap_Ln)))</x:f>
        <x:v>12000</x:v>
      </x:c>
      <x:c r="L2260" s="10" t="n">
        <x:f>INDEX(v01_HousingCap,G2260)*EXP(v01_CapsByProject*SUMPRODUCT((Cap_Point&lt;=I2260)*(Cap_Kind="Housing")*Cap_Ln))</x:f>
        <x:v>20000</x:v>
      </x:c>
      <x:c r="M2260" s="10" t="n">
        <x:f>INDEX(v01_GroupCap,G2260)*v01_CohesionFactor*EXP(v01_CapsByProject*SUMPRODUCT((Cap_Point&lt;=I2260)*(Cap_Kind="Group")*Cap_Ln))</x:f>
        <x:v>1000000</x:v>
      </x:c>
      <x:c r="N2260" s="32" t="n">
        <x:f>MIN(J2260,L2260,M2260)</x:f>
        <x:v>12000</x:v>
      </x:c>
      <x:c r="O2260" s="10" t="n">
        <x:f>AE2259*N2260</x:f>
        <x:v>180000</x:v>
      </x:c>
      <x:c r="P2260" s="9" t="n">
        <x:f>MIN(1,(AB2259/(AE2259*IF(v01_GroupInCrowding=1,N2260,MIN(J2260,L2260))))^v01_CrowdingExp)</x:f>
        <x:v>0.00024569414295285325</x:v>
      </x:c>
      <x:c r="Q2260" s="9" t="n">
        <x:f>IF(D2260=1,INDEX(v01_WinterMult,G2260),1)</x:f>
        <x:v>1</x:v>
      </x:c>
      <x:c r="R2260" s="9" t="n">
        <x:f>H2260*Z2259*v01_WomenShare*v01_BaseFertility*INDEX(v01_FertMult,G2260)*Arch_Fertility*(1-P2260)</x:f>
        <x:v>0</x:v>
      </x:c>
      <x:c r="S2260" s="9" t="n">
        <x:f>H2260*Y2259*INDEX(v01_MortChild,G2260)/4*Q2260</x:f>
        <x:v>0</x:v>
      </x:c>
      <x:c r="T2260" s="9" t="n">
        <x:f>H2260*Z2259*INDEX(v01_MortAdult,G2260)*Arch_AdultMort/4*Q2260</x:f>
        <x:v>0</x:v>
      </x:c>
      <x:c r="U2260" s="9" t="n">
        <x:f>H2260*AA2259*INDEX(v01_MortElder,G2260)/4*Q2260</x:f>
        <x:v>0</x:v>
      </x:c>
      <x:c r="V2260" s="9" t="n">
        <x:f>H2260*MAX(0,AB2259-O2260)*v01_OvercapLoss</x:f>
        <x:v>0</x:v>
      </x:c>
      <x:c r="W2260" s="9" t="n">
        <x:f>H2260*Y2259/(v01_ChildYears*4)</x:f>
        <x:v>0</x:v>
      </x:c>
      <x:c r="X2260" s="9" t="n">
        <x:f>H2260*Z2259/(v01_AdultYears*4)</x:f>
        <x:v>0</x:v>
      </x:c>
      <x:c r="Y2260" s="32" t="n">
        <x:f>Y2259+R2260-S2260-W2260-Y2259*V2260/AB2259</x:f>
        <x:v>14306.18539759397</x:v>
      </x:c>
      <x:c r="Z2260" s="32" t="n">
        <x:f>Z2259+W2260-X2260-T2260-Z2259*V2260/AB2259</x:f>
        <x:v>19354.456567879548</x:v>
      </x:c>
      <x:c r="AA2260" s="32" t="n">
        <x:f>AA2259+X2260-U2260-AA2259*V2260/AB2259</x:f>
        <x:v>11386.956063258198</x:v>
      </x:c>
      <x:c r="AB2260" s="10" t="n">
        <x:f>Y2260+Z2260+AA2260</x:f>
        <x:v>45047.59802873172</x:v>
      </x:c>
      <x:c r="AC2260" s="8" t="n">
        <x:f>IF(AND(v01_WinterTrigger=1,D2260=1,AB2259/AE2259&gt;=K2260),1,0)</x:f>
        <x:v>0</x:v>
      </x:c>
      <x:c r="AD2260" s="8" t="n">
        <x:f>H2260*IF(AND(OR(AB2259/AE2259&gt;=v01_FissionTrigger*N2260,AC2260=1),AB2259/AE2259*v01_DaughterShare&gt;=v01_MinDaughter),MAX(1,ROUND(AE2259*v01_FissionRate,0)),0)</x:f>
        <x:v>0</x:v>
      </x:c>
      <x:c r="AE2260" s="8" t="n">
        <x:f>IF(H2260=1,MAX(1,MIN(INDEX(v01_Smax,G2260),AE2259+AD2260)),AE2259)</x:f>
        <x:v>15</x:v>
      </x:c>
      <x:c r="AF2260" s="8" t="n">
        <x:f>MAX(0,AE2260-AE2259)</x:f>
        <x:v>0</x:v>
      </x:c>
      <x:c r="AG2260" s="9" t="str">
        <x:f>IF(AF2260&gt;0,B2260,"")</x:f>
      </x:c>
      <x:c r="AH2260" s="9" t="n">
        <x:f>IF(F2260&gt;=1,1,(1+v01_LowTiesShare*(AE2260-1))/AE2260)</x:f>
        <x:v>1</x:v>
      </x:c>
      <x:c r="AI2260" s="32" t="n">
        <x:f>(Z2260+v01_ElderCommons*INDEX(LM_Elder,G2260)*AA2260)*AH2260</x:f>
        <x:v>64139.732591141874</x:v>
      </x:c>
      <x:c r="AJ2260" s="32" t="n">
        <x:f>H2260*v01_CommonsCoef*AI2260^v01_CommonsExp*INDEX(LM_Commons,G2260)</x:f>
        <x:v>0</x:v>
      </x:c>
      <x:c r="AK2260" s="32" t="n">
        <x:f>H2260*v01_RoleScale*Arch_Roles*(AE2260*(INDEX(v01_ElderRolePerSett,G2260)*v01_OutElder*INDEX(LM_Elder,G2260)+INDEX(v01_ShamanPerSett,G2260)*v01_OutShaman)+Z2260*(INDEX(v01_PriestShare,G2260)*v01_OutPriest+INDEX(v01_ScribeShare,G2260)*v01_OutScribe*INDEX(LM_Scribe,G2260)+INDEX(v01_ScholarShare,G2260)*v01_OutScholar*INDEX(LM_Scholar,G2260)+INDEX(v01_ResearcherShare,G2260)*v01_OutResearcher*INDEX(LM_Researcher,G2260)))</x:f>
        <x:v>0</x:v>
      </x:c>
      <x:c r="AL2260" s="32" t="n">
        <x:f>H2260*v01_RoleScale*Arch_Roles*AE2260*INDEX(v01_MonasteryPerSett,G2260)*v01_OutMonastery*INDEX(LM_Monastery,G2260)</x:f>
        <x:v>0</x:v>
      </x:c>
      <x:c r="AM2260" s="32" t="n">
        <x:f>(AJ2260+AK2260+AL2260)/4*INDEX(LM_All,G2260)*INDEX(v01_Boon,G2260)*Arch_Insight</x:f>
        <x:v>0</x:v>
      </x:c>
      <x:c r="AN2260" s="32" t="n">
        <x:f>H2260*(v01_KHPerAdult*Z2260+v01_KHOfCommons*AJ2260/4*INDEX(LM_All,G2260))*v01_KHUsable*Arch_KH</x:f>
        <x:v>0</x:v>
      </x:c>
      <x:c r="AO2260" s="32" t="n">
        <x:f>MIN(AP2259+AN2260,AM2260*v01_KHMaxRatio)</x:f>
        <x:v>0</x:v>
      </x:c>
      <x:c r="AP2260" s="32" t="n">
        <x:f>AP2259+AN2260-AO2260</x:f>
        <x:v>0</x:v>
      </x:c>
      <x:c r="AQ2260" s="32" t="n">
        <x:f>AM2260+AO2260</x:f>
        <x:v>0</x:v>
      </x:c>
      <x:c r="AR2260" s="10" t="n">
        <x:f>IF(H2260=1,INDEX(v01_Req,G2260),0)</x:f>
        <x:v>0</x:v>
      </x:c>
      <x:c r="AS2260" s="32" t="n">
        <x:f>IF(H2260=1,IF(E2260=1,AS2259-AR2259,AS2259)+AQ2260,0)</x:f>
        <x:v>0</x:v>
      </x:c>
      <x:c r="AT2260" s="11" t="n">
        <x:f>IF(AR2260&gt;0,MIN(1,AS2260/AR2260),1)</x:f>
        <x:v>1</x:v>
      </x:c>
      <x:c r="AU2260" s="10" t="n">
        <x:f>AB2260/INDEX(v01_RepScale,G2260)</x:f>
        <x:v>90.09519605746344</x:v>
      </x:c>
      <x:c r="AV2260" s="32" t="n">
        <x:f>AM2260*60/v01_SeasonSeconds</x:f>
        <x:v>0</x:v>
      </x:c>
    </x:row>
    <x:row r="2261">
      <x:c r="A2261" s="8" t="n">
        <x:f>A2260+1</x:f>
        <x:v>2258</x:v>
      </x:c>
      <x:c r="B2261" s="9" t="n">
        <x:f>A2261*v01_SeasonSeconds/60</x:f>
        <x:v>564.5</x:v>
      </x:c>
      <x:c r="C2261" s="9" t="n">
        <x:f>A2261/4</x:f>
        <x:v>564.5</x:v>
      </x:c>
      <x:c r="D2261" s="8" t="n">
        <x:f>IF(MOD(A2261,4)=0,1,0)</x:f>
        <x:v>0</x:v>
      </x:c>
      <x:c r="E2261" s="8" t="n">
        <x:f>IF(AND(F2260&lt;=9,AS2260&gt;=AR2260),1,0)</x:f>
        <x:v>0</x:v>
      </x:c>
      <x:c r="F2261" s="8" t="n">
        <x:f>MIN(10,F2260+E2261)</x:f>
        <x:v>10</x:v>
      </x:c>
      <x:c r="G2261" s="8" t="n">
        <x:f>MIN(F2261,9)+1</x:f>
        <x:v>10</x:v>
      </x:c>
      <x:c r="H2261" s="8" t="n">
        <x:f>IF(F2261&lt;=9,1,0)</x:f>
        <x:v>0</x:v>
      </x:c>
      <x:c r="I2261" s="9" t="n">
        <x:f>MIN(10,F2260+IF(AR2260&gt;0,MIN(1,AS2260/AR2260),1))</x:f>
        <x:v>10</x:v>
      </x:c>
      <x:c r="J2261" s="32" t="n">
        <x:f>INDEX(v01_FoodCap,G2261)*Arch_FoodCap*EXP(v01_CapsByProject*SUMPRODUCT((Cap_Point&lt;=I2261)*(Cap_Kind="Food")*Cap_Ln))</x:f>
        <x:v>12000</x:v>
      </x:c>
      <x:c r="K2261" s="32" t="n">
        <x:f>J2261*MIN(1,v01_LeanBase*EXP(v01_CapsByProject*SUMPRODUCT((Cap_Point&lt;=I2261)*(Cap_Kind="Lean")*Cap_Ln)))</x:f>
        <x:v>12000</x:v>
      </x:c>
      <x:c r="L2261" s="10" t="n">
        <x:f>INDEX(v01_HousingCap,G2261)*EXP(v01_CapsByProject*SUMPRODUCT((Cap_Point&lt;=I2261)*(Cap_Kind="Housing")*Cap_Ln))</x:f>
        <x:v>20000</x:v>
      </x:c>
      <x:c r="M2261" s="10" t="n">
        <x:f>INDEX(v01_GroupCap,G2261)*v01_CohesionFactor*EXP(v01_CapsByProject*SUMPRODUCT((Cap_Point&lt;=I2261)*(Cap_Kind="Group")*Cap_Ln))</x:f>
        <x:v>1000000</x:v>
      </x:c>
      <x:c r="N2261" s="32" t="n">
        <x:f>MIN(J2261,L2261,M2261)</x:f>
        <x:v>12000</x:v>
      </x:c>
      <x:c r="O2261" s="10" t="n">
        <x:f>AE2260*N2261</x:f>
        <x:v>180000</x:v>
      </x:c>
      <x:c r="P2261" s="9" t="n">
        <x:f>MIN(1,(AB2260/(AE2260*IF(v01_GroupInCrowding=1,N2261,MIN(J2261,L2261))))^v01_CrowdingExp)</x:f>
        <x:v>0.00024569414295285325</x:v>
      </x:c>
      <x:c r="Q2261" s="9" t="n">
        <x:f>IF(D2261=1,INDEX(v01_WinterMult,G2261),1)</x:f>
        <x:v>1</x:v>
      </x:c>
      <x:c r="R2261" s="9" t="n">
        <x:f>H2261*Z2260*v01_WomenShare*v01_BaseFertility*INDEX(v01_FertMult,G2261)*Arch_Fertility*(1-P2261)</x:f>
        <x:v>0</x:v>
      </x:c>
      <x:c r="S2261" s="9" t="n">
        <x:f>H2261*Y2260*INDEX(v01_MortChild,G2261)/4*Q2261</x:f>
        <x:v>0</x:v>
      </x:c>
      <x:c r="T2261" s="9" t="n">
        <x:f>H2261*Z2260*INDEX(v01_MortAdult,G2261)*Arch_AdultMort/4*Q2261</x:f>
        <x:v>0</x:v>
      </x:c>
      <x:c r="U2261" s="9" t="n">
        <x:f>H2261*AA2260*INDEX(v01_MortElder,G2261)/4*Q2261</x:f>
        <x:v>0</x:v>
      </x:c>
      <x:c r="V2261" s="9" t="n">
        <x:f>H2261*MAX(0,AB2260-O2261)*v01_OvercapLoss</x:f>
        <x:v>0</x:v>
      </x:c>
      <x:c r="W2261" s="9" t="n">
        <x:f>H2261*Y2260/(v01_ChildYears*4)</x:f>
        <x:v>0</x:v>
      </x:c>
      <x:c r="X2261" s="9" t="n">
        <x:f>H2261*Z2260/(v01_AdultYears*4)</x:f>
        <x:v>0</x:v>
      </x:c>
      <x:c r="Y2261" s="32" t="n">
        <x:f>Y2260+R2261-S2261-W2261-Y2260*V2261/AB2260</x:f>
        <x:v>14306.18539759397</x:v>
      </x:c>
      <x:c r="Z2261" s="32" t="n">
        <x:f>Z2260+W2261-X2261-T2261-Z2260*V2261/AB2260</x:f>
        <x:v>19354.456567879548</x:v>
      </x:c>
      <x:c r="AA2261" s="32" t="n">
        <x:f>AA2260+X2261-U2261-AA2260*V2261/AB2260</x:f>
        <x:v>11386.956063258198</x:v>
      </x:c>
      <x:c r="AB2261" s="10" t="n">
        <x:f>Y2261+Z2261+AA2261</x:f>
        <x:v>45047.59802873172</x:v>
      </x:c>
      <x:c r="AC2261" s="8" t="n">
        <x:f>IF(AND(v01_WinterTrigger=1,D2261=1,AB2260/AE2260&gt;=K2261),1,0)</x:f>
        <x:v>0</x:v>
      </x:c>
      <x:c r="AD2261" s="8" t="n">
        <x:f>H2261*IF(AND(OR(AB2260/AE2260&gt;=v01_FissionTrigger*N2261,AC2261=1),AB2260/AE2260*v01_DaughterShare&gt;=v01_MinDaughter),MAX(1,ROUND(AE2260*v01_FissionRate,0)),0)</x:f>
        <x:v>0</x:v>
      </x:c>
      <x:c r="AE2261" s="8" t="n">
        <x:f>IF(H2261=1,MAX(1,MIN(INDEX(v01_Smax,G2261),AE2260+AD2261)),AE2260)</x:f>
        <x:v>15</x:v>
      </x:c>
      <x:c r="AF2261" s="8" t="n">
        <x:f>MAX(0,AE2261-AE2260)</x:f>
        <x:v>0</x:v>
      </x:c>
      <x:c r="AG2261" s="9" t="str">
        <x:f>IF(AF2261&gt;0,B2261,"")</x:f>
      </x:c>
      <x:c r="AH2261" s="9" t="n">
        <x:f>IF(F2261&gt;=1,1,(1+v01_LowTiesShare*(AE2261-1))/AE2261)</x:f>
        <x:v>1</x:v>
      </x:c>
      <x:c r="AI2261" s="32" t="n">
        <x:f>(Z2261+v01_ElderCommons*INDEX(LM_Elder,G2261)*AA2261)*AH2261</x:f>
        <x:v>64139.732591141874</x:v>
      </x:c>
      <x:c r="AJ2261" s="32" t="n">
        <x:f>H2261*v01_CommonsCoef*AI2261^v01_CommonsExp*INDEX(LM_Commons,G2261)</x:f>
        <x:v>0</x:v>
      </x:c>
      <x:c r="AK2261" s="32" t="n">
        <x:f>H2261*v01_RoleScale*Arch_Roles*(AE2261*(INDEX(v01_ElderRolePerSett,G2261)*v01_OutElder*INDEX(LM_Elder,G2261)+INDEX(v01_ShamanPerSett,G2261)*v01_OutShaman)+Z2261*(INDEX(v01_PriestShare,G2261)*v01_OutPriest+INDEX(v01_ScribeShare,G2261)*v01_OutScribe*INDEX(LM_Scribe,G2261)+INDEX(v01_ScholarShare,G2261)*v01_OutScholar*INDEX(LM_Scholar,G2261)+INDEX(v01_ResearcherShare,G2261)*v01_OutResearcher*INDEX(LM_Researcher,G2261)))</x:f>
        <x:v>0</x:v>
      </x:c>
      <x:c r="AL2261" s="32" t="n">
        <x:f>H2261*v01_RoleScale*Arch_Roles*AE2261*INDEX(v01_MonasteryPerSett,G2261)*v01_OutMonastery*INDEX(LM_Monastery,G2261)</x:f>
        <x:v>0</x:v>
      </x:c>
      <x:c r="AM2261" s="32" t="n">
        <x:f>(AJ2261+AK2261+AL2261)/4*INDEX(LM_All,G2261)*INDEX(v01_Boon,G2261)*Arch_Insight</x:f>
        <x:v>0</x:v>
      </x:c>
      <x:c r="AN2261" s="32" t="n">
        <x:f>H2261*(v01_KHPerAdult*Z2261+v01_KHOfCommons*AJ2261/4*INDEX(LM_All,G2261))*v01_KHUsable*Arch_KH</x:f>
        <x:v>0</x:v>
      </x:c>
      <x:c r="AO2261" s="32" t="n">
        <x:f>MIN(AP2260+AN2261,AM2261*v01_KHMaxRatio)</x:f>
        <x:v>0</x:v>
      </x:c>
      <x:c r="AP2261" s="32" t="n">
        <x:f>AP2260+AN2261-AO2261</x:f>
        <x:v>0</x:v>
      </x:c>
      <x:c r="AQ2261" s="32" t="n">
        <x:f>AM2261+AO2261</x:f>
        <x:v>0</x:v>
      </x:c>
      <x:c r="AR2261" s="10" t="n">
        <x:f>IF(H2261=1,INDEX(v01_Req,G2261),0)</x:f>
        <x:v>0</x:v>
      </x:c>
      <x:c r="AS2261" s="32" t="n">
        <x:f>IF(H2261=1,IF(E2261=1,AS2260-AR2260,AS2260)+AQ2261,0)</x:f>
        <x:v>0</x:v>
      </x:c>
      <x:c r="AT2261" s="11" t="n">
        <x:f>IF(AR2261&gt;0,MIN(1,AS2261/AR2261),1)</x:f>
        <x:v>1</x:v>
      </x:c>
      <x:c r="AU2261" s="10" t="n">
        <x:f>AB2261/INDEX(v01_RepScale,G2261)</x:f>
        <x:v>90.09519605746344</x:v>
      </x:c>
      <x:c r="AV2261" s="32" t="n">
        <x:f>AM2261*60/v01_SeasonSeconds</x:f>
        <x:v>0</x:v>
      </x:c>
    </x:row>
    <x:row r="2262">
      <x:c r="A2262" s="8" t="n">
        <x:f>A2261+1</x:f>
        <x:v>2259</x:v>
      </x:c>
      <x:c r="B2262" s="9" t="n">
        <x:f>A2262*v01_SeasonSeconds/60</x:f>
        <x:v>564.75</x:v>
      </x:c>
      <x:c r="C2262" s="9" t="n">
        <x:f>A2262/4</x:f>
        <x:v>564.75</x:v>
      </x:c>
      <x:c r="D2262" s="8" t="n">
        <x:f>IF(MOD(A2262,4)=0,1,0)</x:f>
        <x:v>0</x:v>
      </x:c>
      <x:c r="E2262" s="8" t="n">
        <x:f>IF(AND(F2261&lt;=9,AS2261&gt;=AR2261),1,0)</x:f>
        <x:v>0</x:v>
      </x:c>
      <x:c r="F2262" s="8" t="n">
        <x:f>MIN(10,F2261+E2262)</x:f>
        <x:v>10</x:v>
      </x:c>
      <x:c r="G2262" s="8" t="n">
        <x:f>MIN(F2262,9)+1</x:f>
        <x:v>10</x:v>
      </x:c>
      <x:c r="H2262" s="8" t="n">
        <x:f>IF(F2262&lt;=9,1,0)</x:f>
        <x:v>0</x:v>
      </x:c>
      <x:c r="I2262" s="9" t="n">
        <x:f>MIN(10,F2261+IF(AR2261&gt;0,MIN(1,AS2261/AR2261),1))</x:f>
        <x:v>10</x:v>
      </x:c>
      <x:c r="J2262" s="32" t="n">
        <x:f>INDEX(v01_FoodCap,G2262)*Arch_FoodCap*EXP(v01_CapsByProject*SUMPRODUCT((Cap_Point&lt;=I2262)*(Cap_Kind="Food")*Cap_Ln))</x:f>
        <x:v>12000</x:v>
      </x:c>
      <x:c r="K2262" s="32" t="n">
        <x:f>J2262*MIN(1,v01_LeanBase*EXP(v01_CapsByProject*SUMPRODUCT((Cap_Point&lt;=I2262)*(Cap_Kind="Lean")*Cap_Ln)))</x:f>
        <x:v>12000</x:v>
      </x:c>
      <x:c r="L2262" s="10" t="n">
        <x:f>INDEX(v01_HousingCap,G2262)*EXP(v01_CapsByProject*SUMPRODUCT((Cap_Point&lt;=I2262)*(Cap_Kind="Housing")*Cap_Ln))</x:f>
        <x:v>20000</x:v>
      </x:c>
      <x:c r="M2262" s="10" t="n">
        <x:f>INDEX(v01_GroupCap,G2262)*v01_CohesionFactor*EXP(v01_CapsByProject*SUMPRODUCT((Cap_Point&lt;=I2262)*(Cap_Kind="Group")*Cap_Ln))</x:f>
        <x:v>1000000</x:v>
      </x:c>
      <x:c r="N2262" s="32" t="n">
        <x:f>MIN(J2262,L2262,M2262)</x:f>
        <x:v>12000</x:v>
      </x:c>
      <x:c r="O2262" s="10" t="n">
        <x:f>AE2261*N2262</x:f>
        <x:v>180000</x:v>
      </x:c>
      <x:c r="P2262" s="9" t="n">
        <x:f>MIN(1,(AB2261/(AE2261*IF(v01_GroupInCrowding=1,N2262,MIN(J2262,L2262))))^v01_CrowdingExp)</x:f>
        <x:v>0.00024569414295285325</x:v>
      </x:c>
      <x:c r="Q2262" s="9" t="n">
        <x:f>IF(D2262=1,INDEX(v01_WinterMult,G2262),1)</x:f>
        <x:v>1</x:v>
      </x:c>
      <x:c r="R2262" s="9" t="n">
        <x:f>H2262*Z2261*v01_WomenShare*v01_BaseFertility*INDEX(v01_FertMult,G2262)*Arch_Fertility*(1-P2262)</x:f>
        <x:v>0</x:v>
      </x:c>
      <x:c r="S2262" s="9" t="n">
        <x:f>H2262*Y2261*INDEX(v01_MortChild,G2262)/4*Q2262</x:f>
        <x:v>0</x:v>
      </x:c>
      <x:c r="T2262" s="9" t="n">
        <x:f>H2262*Z2261*INDEX(v01_MortAdult,G2262)*Arch_AdultMort/4*Q2262</x:f>
        <x:v>0</x:v>
      </x:c>
      <x:c r="U2262" s="9" t="n">
        <x:f>H2262*AA2261*INDEX(v01_MortElder,G2262)/4*Q2262</x:f>
        <x:v>0</x:v>
      </x:c>
      <x:c r="V2262" s="9" t="n">
        <x:f>H2262*MAX(0,AB2261-O2262)*v01_OvercapLoss</x:f>
        <x:v>0</x:v>
      </x:c>
      <x:c r="W2262" s="9" t="n">
        <x:f>H2262*Y2261/(v01_ChildYears*4)</x:f>
        <x:v>0</x:v>
      </x:c>
      <x:c r="X2262" s="9" t="n">
        <x:f>H2262*Z2261/(v01_AdultYears*4)</x:f>
        <x:v>0</x:v>
      </x:c>
      <x:c r="Y2262" s="32" t="n">
        <x:f>Y2261+R2262-S2262-W2262-Y2261*V2262/AB2261</x:f>
        <x:v>14306.18539759397</x:v>
      </x:c>
      <x:c r="Z2262" s="32" t="n">
        <x:f>Z2261+W2262-X2262-T2262-Z2261*V2262/AB2261</x:f>
        <x:v>19354.456567879548</x:v>
      </x:c>
      <x:c r="AA2262" s="32" t="n">
        <x:f>AA2261+X2262-U2262-AA2261*V2262/AB2261</x:f>
        <x:v>11386.956063258198</x:v>
      </x:c>
      <x:c r="AB2262" s="10" t="n">
        <x:f>Y2262+Z2262+AA2262</x:f>
        <x:v>45047.59802873172</x:v>
      </x:c>
      <x:c r="AC2262" s="8" t="n">
        <x:f>IF(AND(v01_WinterTrigger=1,D2262=1,AB2261/AE2261&gt;=K2262),1,0)</x:f>
        <x:v>0</x:v>
      </x:c>
      <x:c r="AD2262" s="8" t="n">
        <x:f>H2262*IF(AND(OR(AB2261/AE2261&gt;=v01_FissionTrigger*N2262,AC2262=1),AB2261/AE2261*v01_DaughterShare&gt;=v01_MinDaughter),MAX(1,ROUND(AE2261*v01_FissionRate,0)),0)</x:f>
        <x:v>0</x:v>
      </x:c>
      <x:c r="AE2262" s="8" t="n">
        <x:f>IF(H2262=1,MAX(1,MIN(INDEX(v01_Smax,G2262),AE2261+AD2262)),AE2261)</x:f>
        <x:v>15</x:v>
      </x:c>
      <x:c r="AF2262" s="8" t="n">
        <x:f>MAX(0,AE2262-AE2261)</x:f>
        <x:v>0</x:v>
      </x:c>
      <x:c r="AG2262" s="9" t="str">
        <x:f>IF(AF2262&gt;0,B2262,"")</x:f>
      </x:c>
      <x:c r="AH2262" s="9" t="n">
        <x:f>IF(F2262&gt;=1,1,(1+v01_LowTiesShare*(AE2262-1))/AE2262)</x:f>
        <x:v>1</x:v>
      </x:c>
      <x:c r="AI2262" s="32" t="n">
        <x:f>(Z2262+v01_ElderCommons*INDEX(LM_Elder,G2262)*AA2262)*AH2262</x:f>
        <x:v>64139.732591141874</x:v>
      </x:c>
      <x:c r="AJ2262" s="32" t="n">
        <x:f>H2262*v01_CommonsCoef*AI2262^v01_CommonsExp*INDEX(LM_Commons,G2262)</x:f>
        <x:v>0</x:v>
      </x:c>
      <x:c r="AK2262" s="32" t="n">
        <x:f>H2262*v01_RoleScale*Arch_Roles*(AE2262*(INDEX(v01_ElderRolePerSett,G2262)*v01_OutElder*INDEX(LM_Elder,G2262)+INDEX(v01_ShamanPerSett,G2262)*v01_OutShaman)+Z2262*(INDEX(v01_PriestShare,G2262)*v01_OutPriest+INDEX(v01_ScribeShare,G2262)*v01_OutScribe*INDEX(LM_Scribe,G2262)+INDEX(v01_ScholarShare,G2262)*v01_OutScholar*INDEX(LM_Scholar,G2262)+INDEX(v01_ResearcherShare,G2262)*v01_OutResearcher*INDEX(LM_Researcher,G2262)))</x:f>
        <x:v>0</x:v>
      </x:c>
      <x:c r="AL2262" s="32" t="n">
        <x:f>H2262*v01_RoleScale*Arch_Roles*AE2262*INDEX(v01_MonasteryPerSett,G2262)*v01_OutMonastery*INDEX(LM_Monastery,G2262)</x:f>
        <x:v>0</x:v>
      </x:c>
      <x:c r="AM2262" s="32" t="n">
        <x:f>(AJ2262+AK2262+AL2262)/4*INDEX(LM_All,G2262)*INDEX(v01_Boon,G2262)*Arch_Insight</x:f>
        <x:v>0</x:v>
      </x:c>
      <x:c r="AN2262" s="32" t="n">
        <x:f>H2262*(v01_KHPerAdult*Z2262+v01_KHOfCommons*AJ2262/4*INDEX(LM_All,G2262))*v01_KHUsable*Arch_KH</x:f>
        <x:v>0</x:v>
      </x:c>
      <x:c r="AO2262" s="32" t="n">
        <x:f>MIN(AP2261+AN2262,AM2262*v01_KHMaxRatio)</x:f>
        <x:v>0</x:v>
      </x:c>
      <x:c r="AP2262" s="32" t="n">
        <x:f>AP2261+AN2262-AO2262</x:f>
        <x:v>0</x:v>
      </x:c>
      <x:c r="AQ2262" s="32" t="n">
        <x:f>AM2262+AO2262</x:f>
        <x:v>0</x:v>
      </x:c>
      <x:c r="AR2262" s="10" t="n">
        <x:f>IF(H2262=1,INDEX(v01_Req,G2262),0)</x:f>
        <x:v>0</x:v>
      </x:c>
      <x:c r="AS2262" s="32" t="n">
        <x:f>IF(H2262=1,IF(E2262=1,AS2261-AR2261,AS2261)+AQ2262,0)</x:f>
        <x:v>0</x:v>
      </x:c>
      <x:c r="AT2262" s="11" t="n">
        <x:f>IF(AR2262&gt;0,MIN(1,AS2262/AR2262),1)</x:f>
        <x:v>1</x:v>
      </x:c>
      <x:c r="AU2262" s="10" t="n">
        <x:f>AB2262/INDEX(v01_RepScale,G2262)</x:f>
        <x:v>90.09519605746344</x:v>
      </x:c>
      <x:c r="AV2262" s="32" t="n">
        <x:f>AM2262*60/v01_SeasonSeconds</x:f>
        <x:v>0</x:v>
      </x:c>
    </x:row>
    <x:row r="2263">
      <x:c r="A2263" s="8" t="n">
        <x:f>A2262+1</x:f>
        <x:v>2260</x:v>
      </x:c>
      <x:c r="B2263" s="9" t="n">
        <x:f>A2263*v01_SeasonSeconds/60</x:f>
        <x:v>565</x:v>
      </x:c>
      <x:c r="C2263" s="9" t="n">
        <x:f>A2263/4</x:f>
        <x:v>565</x:v>
      </x:c>
      <x:c r="D2263" s="8" t="n">
        <x:f>IF(MOD(A2263,4)=0,1,0)</x:f>
        <x:v>1</x:v>
      </x:c>
      <x:c r="E2263" s="8" t="n">
        <x:f>IF(AND(F2262&lt;=9,AS2262&gt;=AR2262),1,0)</x:f>
        <x:v>0</x:v>
      </x:c>
      <x:c r="F2263" s="8" t="n">
        <x:f>MIN(10,F2262+E2263)</x:f>
        <x:v>10</x:v>
      </x:c>
      <x:c r="G2263" s="8" t="n">
        <x:f>MIN(F2263,9)+1</x:f>
        <x:v>10</x:v>
      </x:c>
      <x:c r="H2263" s="8" t="n">
        <x:f>IF(F2263&lt;=9,1,0)</x:f>
        <x:v>0</x:v>
      </x:c>
      <x:c r="I2263" s="9" t="n">
        <x:f>MIN(10,F2262+IF(AR2262&gt;0,MIN(1,AS2262/AR2262),1))</x:f>
        <x:v>10</x:v>
      </x:c>
      <x:c r="J2263" s="32" t="n">
        <x:f>INDEX(v01_FoodCap,G2263)*Arch_FoodCap*EXP(v01_CapsByProject*SUMPRODUCT((Cap_Point&lt;=I2263)*(Cap_Kind="Food")*Cap_Ln))</x:f>
        <x:v>12000</x:v>
      </x:c>
      <x:c r="K2263" s="32" t="n">
        <x:f>J2263*MIN(1,v01_LeanBase*EXP(v01_CapsByProject*SUMPRODUCT((Cap_Point&lt;=I2263)*(Cap_Kind="Lean")*Cap_Ln)))</x:f>
        <x:v>12000</x:v>
      </x:c>
      <x:c r="L2263" s="10" t="n">
        <x:f>INDEX(v01_HousingCap,G2263)*EXP(v01_CapsByProject*SUMPRODUCT((Cap_Point&lt;=I2263)*(Cap_Kind="Housing")*Cap_Ln))</x:f>
        <x:v>20000</x:v>
      </x:c>
      <x:c r="M2263" s="10" t="n">
        <x:f>INDEX(v01_GroupCap,G2263)*v01_CohesionFactor*EXP(v01_CapsByProject*SUMPRODUCT((Cap_Point&lt;=I2263)*(Cap_Kind="Group")*Cap_Ln))</x:f>
        <x:v>1000000</x:v>
      </x:c>
      <x:c r="N2263" s="32" t="n">
        <x:f>MIN(J2263,L2263,M2263)</x:f>
        <x:v>12000</x:v>
      </x:c>
      <x:c r="O2263" s="10" t="n">
        <x:f>AE2262*N2263</x:f>
        <x:v>180000</x:v>
      </x:c>
      <x:c r="P2263" s="9" t="n">
        <x:f>MIN(1,(AB2262/(AE2262*IF(v01_GroupInCrowding=1,N2263,MIN(J2263,L2263))))^v01_CrowdingExp)</x:f>
        <x:v>0.00024569414295285325</x:v>
      </x:c>
      <x:c r="Q2263" s="9" t="n">
        <x:f>IF(D2263=1,INDEX(v01_WinterMult,G2263),1)</x:f>
        <x:v>1</x:v>
      </x:c>
      <x:c r="R2263" s="9" t="n">
        <x:f>H2263*Z2262*v01_WomenShare*v01_BaseFertility*INDEX(v01_FertMult,G2263)*Arch_Fertility*(1-P2263)</x:f>
        <x:v>0</x:v>
      </x:c>
      <x:c r="S2263" s="9" t="n">
        <x:f>H2263*Y2262*INDEX(v01_MortChild,G2263)/4*Q2263</x:f>
        <x:v>0</x:v>
      </x:c>
      <x:c r="T2263" s="9" t="n">
        <x:f>H2263*Z2262*INDEX(v01_MortAdult,G2263)*Arch_AdultMort/4*Q2263</x:f>
        <x:v>0</x:v>
      </x:c>
      <x:c r="U2263" s="9" t="n">
        <x:f>H2263*AA2262*INDEX(v01_MortElder,G2263)/4*Q2263</x:f>
        <x:v>0</x:v>
      </x:c>
      <x:c r="V2263" s="9" t="n">
        <x:f>H2263*MAX(0,AB2262-O2263)*v01_OvercapLoss</x:f>
        <x:v>0</x:v>
      </x:c>
      <x:c r="W2263" s="9" t="n">
        <x:f>H2263*Y2262/(v01_ChildYears*4)</x:f>
        <x:v>0</x:v>
      </x:c>
      <x:c r="X2263" s="9" t="n">
        <x:f>H2263*Z2262/(v01_AdultYears*4)</x:f>
        <x:v>0</x:v>
      </x:c>
      <x:c r="Y2263" s="32" t="n">
        <x:f>Y2262+R2263-S2263-W2263-Y2262*V2263/AB2262</x:f>
        <x:v>14306.18539759397</x:v>
      </x:c>
      <x:c r="Z2263" s="32" t="n">
        <x:f>Z2262+W2263-X2263-T2263-Z2262*V2263/AB2262</x:f>
        <x:v>19354.456567879548</x:v>
      </x:c>
      <x:c r="AA2263" s="32" t="n">
        <x:f>AA2262+X2263-U2263-AA2262*V2263/AB2262</x:f>
        <x:v>11386.956063258198</x:v>
      </x:c>
      <x:c r="AB2263" s="10" t="n">
        <x:f>Y2263+Z2263+AA2263</x:f>
        <x:v>45047.59802873172</x:v>
      </x:c>
      <x:c r="AC2263" s="8" t="n">
        <x:f>IF(AND(v01_WinterTrigger=1,D2263=1,AB2262/AE2262&gt;=K2263),1,0)</x:f>
        <x:v>0</x:v>
      </x:c>
      <x:c r="AD2263" s="8" t="n">
        <x:f>H2263*IF(AND(OR(AB2262/AE2262&gt;=v01_FissionTrigger*N2263,AC2263=1),AB2262/AE2262*v01_DaughterShare&gt;=v01_MinDaughter),MAX(1,ROUND(AE2262*v01_FissionRate,0)),0)</x:f>
        <x:v>0</x:v>
      </x:c>
      <x:c r="AE2263" s="8" t="n">
        <x:f>IF(H2263=1,MAX(1,MIN(INDEX(v01_Smax,G2263),AE2262+AD2263)),AE2262)</x:f>
        <x:v>15</x:v>
      </x:c>
      <x:c r="AF2263" s="8" t="n">
        <x:f>MAX(0,AE2263-AE2262)</x:f>
        <x:v>0</x:v>
      </x:c>
      <x:c r="AG2263" s="9" t="str">
        <x:f>IF(AF2263&gt;0,B2263,"")</x:f>
      </x:c>
      <x:c r="AH2263" s="9" t="n">
        <x:f>IF(F2263&gt;=1,1,(1+v01_LowTiesShare*(AE2263-1))/AE2263)</x:f>
        <x:v>1</x:v>
      </x:c>
      <x:c r="AI2263" s="32" t="n">
        <x:f>(Z2263+v01_ElderCommons*INDEX(LM_Elder,G2263)*AA2263)*AH2263</x:f>
        <x:v>64139.732591141874</x:v>
      </x:c>
      <x:c r="AJ2263" s="32" t="n">
        <x:f>H2263*v01_CommonsCoef*AI2263^v01_CommonsExp*INDEX(LM_Commons,G2263)</x:f>
        <x:v>0</x:v>
      </x:c>
      <x:c r="AK2263" s="32" t="n">
        <x:f>H2263*v01_RoleScale*Arch_Roles*(AE2263*(INDEX(v01_ElderRolePerSett,G2263)*v01_OutElder*INDEX(LM_Elder,G2263)+INDEX(v01_ShamanPerSett,G2263)*v01_OutShaman)+Z2263*(INDEX(v01_PriestShare,G2263)*v01_OutPriest+INDEX(v01_ScribeShare,G2263)*v01_OutScribe*INDEX(LM_Scribe,G2263)+INDEX(v01_ScholarShare,G2263)*v01_OutScholar*INDEX(LM_Scholar,G2263)+INDEX(v01_ResearcherShare,G2263)*v01_OutResearcher*INDEX(LM_Researcher,G2263)))</x:f>
        <x:v>0</x:v>
      </x:c>
      <x:c r="AL2263" s="32" t="n">
        <x:f>H2263*v01_RoleScale*Arch_Roles*AE2263*INDEX(v01_MonasteryPerSett,G2263)*v01_OutMonastery*INDEX(LM_Monastery,G2263)</x:f>
        <x:v>0</x:v>
      </x:c>
      <x:c r="AM2263" s="32" t="n">
        <x:f>(AJ2263+AK2263+AL2263)/4*INDEX(LM_All,G2263)*INDEX(v01_Boon,G2263)*Arch_Insight</x:f>
        <x:v>0</x:v>
      </x:c>
      <x:c r="AN2263" s="32" t="n">
        <x:f>H2263*(v01_KHPerAdult*Z2263+v01_KHOfCommons*AJ2263/4*INDEX(LM_All,G2263))*v01_KHUsable*Arch_KH</x:f>
        <x:v>0</x:v>
      </x:c>
      <x:c r="AO2263" s="32" t="n">
        <x:f>MIN(AP2262+AN2263,AM2263*v01_KHMaxRatio)</x:f>
        <x:v>0</x:v>
      </x:c>
      <x:c r="AP2263" s="32" t="n">
        <x:f>AP2262+AN2263-AO2263</x:f>
        <x:v>0</x:v>
      </x:c>
      <x:c r="AQ2263" s="32" t="n">
        <x:f>AM2263+AO2263</x:f>
        <x:v>0</x:v>
      </x:c>
      <x:c r="AR2263" s="10" t="n">
        <x:f>IF(H2263=1,INDEX(v01_Req,G2263),0)</x:f>
        <x:v>0</x:v>
      </x:c>
      <x:c r="AS2263" s="32" t="n">
        <x:f>IF(H2263=1,IF(E2263=1,AS2262-AR2262,AS2262)+AQ2263,0)</x:f>
        <x:v>0</x:v>
      </x:c>
      <x:c r="AT2263" s="11" t="n">
        <x:f>IF(AR2263&gt;0,MIN(1,AS2263/AR2263),1)</x:f>
        <x:v>1</x:v>
      </x:c>
      <x:c r="AU2263" s="10" t="n">
        <x:f>AB2263/INDEX(v01_RepScale,G2263)</x:f>
        <x:v>90.09519605746344</x:v>
      </x:c>
      <x:c r="AV2263" s="32" t="n">
        <x:f>AM2263*60/v01_SeasonSeconds</x:f>
        <x:v>0</x:v>
      </x:c>
    </x:row>
    <x:row r="2264">
      <x:c r="A2264" s="8" t="n">
        <x:f>A2263+1</x:f>
        <x:v>2261</x:v>
      </x:c>
      <x:c r="B2264" s="9" t="n">
        <x:f>A2264*v01_SeasonSeconds/60</x:f>
        <x:v>565.25</x:v>
      </x:c>
      <x:c r="C2264" s="9" t="n">
        <x:f>A2264/4</x:f>
        <x:v>565.25</x:v>
      </x:c>
      <x:c r="D2264" s="8" t="n">
        <x:f>IF(MOD(A2264,4)=0,1,0)</x:f>
        <x:v>0</x:v>
      </x:c>
      <x:c r="E2264" s="8" t="n">
        <x:f>IF(AND(F2263&lt;=9,AS2263&gt;=AR2263),1,0)</x:f>
        <x:v>0</x:v>
      </x:c>
      <x:c r="F2264" s="8" t="n">
        <x:f>MIN(10,F2263+E2264)</x:f>
        <x:v>10</x:v>
      </x:c>
      <x:c r="G2264" s="8" t="n">
        <x:f>MIN(F2264,9)+1</x:f>
        <x:v>10</x:v>
      </x:c>
      <x:c r="H2264" s="8" t="n">
        <x:f>IF(F2264&lt;=9,1,0)</x:f>
        <x:v>0</x:v>
      </x:c>
      <x:c r="I2264" s="9" t="n">
        <x:f>MIN(10,F2263+IF(AR2263&gt;0,MIN(1,AS2263/AR2263),1))</x:f>
        <x:v>10</x:v>
      </x:c>
      <x:c r="J2264" s="32" t="n">
        <x:f>INDEX(v01_FoodCap,G2264)*Arch_FoodCap*EXP(v01_CapsByProject*SUMPRODUCT((Cap_Point&lt;=I2264)*(Cap_Kind="Food")*Cap_Ln))</x:f>
        <x:v>12000</x:v>
      </x:c>
      <x:c r="K2264" s="32" t="n">
        <x:f>J2264*MIN(1,v01_LeanBase*EXP(v01_CapsByProject*SUMPRODUCT((Cap_Point&lt;=I2264)*(Cap_Kind="Lean")*Cap_Ln)))</x:f>
        <x:v>12000</x:v>
      </x:c>
      <x:c r="L2264" s="10" t="n">
        <x:f>INDEX(v01_HousingCap,G2264)*EXP(v01_CapsByProject*SUMPRODUCT((Cap_Point&lt;=I2264)*(Cap_Kind="Housing")*Cap_Ln))</x:f>
        <x:v>20000</x:v>
      </x:c>
      <x:c r="M2264" s="10" t="n">
        <x:f>INDEX(v01_GroupCap,G2264)*v01_CohesionFactor*EXP(v01_CapsByProject*SUMPRODUCT((Cap_Point&lt;=I2264)*(Cap_Kind="Group")*Cap_Ln))</x:f>
        <x:v>1000000</x:v>
      </x:c>
      <x:c r="N2264" s="32" t="n">
        <x:f>MIN(J2264,L2264,M2264)</x:f>
        <x:v>12000</x:v>
      </x:c>
      <x:c r="O2264" s="10" t="n">
        <x:f>AE2263*N2264</x:f>
        <x:v>180000</x:v>
      </x:c>
      <x:c r="P2264" s="9" t="n">
        <x:f>MIN(1,(AB2263/(AE2263*IF(v01_GroupInCrowding=1,N2264,MIN(J2264,L2264))))^v01_CrowdingExp)</x:f>
        <x:v>0.00024569414295285325</x:v>
      </x:c>
      <x:c r="Q2264" s="9" t="n">
        <x:f>IF(D2264=1,INDEX(v01_WinterMult,G2264),1)</x:f>
        <x:v>1</x:v>
      </x:c>
      <x:c r="R2264" s="9" t="n">
        <x:f>H2264*Z2263*v01_WomenShare*v01_BaseFertility*INDEX(v01_FertMult,G2264)*Arch_Fertility*(1-P2264)</x:f>
        <x:v>0</x:v>
      </x:c>
      <x:c r="S2264" s="9" t="n">
        <x:f>H2264*Y2263*INDEX(v01_MortChild,G2264)/4*Q2264</x:f>
        <x:v>0</x:v>
      </x:c>
      <x:c r="T2264" s="9" t="n">
        <x:f>H2264*Z2263*INDEX(v01_MortAdult,G2264)*Arch_AdultMort/4*Q2264</x:f>
        <x:v>0</x:v>
      </x:c>
      <x:c r="U2264" s="9" t="n">
        <x:f>H2264*AA2263*INDEX(v01_MortElder,G2264)/4*Q2264</x:f>
        <x:v>0</x:v>
      </x:c>
      <x:c r="V2264" s="9" t="n">
        <x:f>H2264*MAX(0,AB2263-O2264)*v01_OvercapLoss</x:f>
        <x:v>0</x:v>
      </x:c>
      <x:c r="W2264" s="9" t="n">
        <x:f>H2264*Y2263/(v01_ChildYears*4)</x:f>
        <x:v>0</x:v>
      </x:c>
      <x:c r="X2264" s="9" t="n">
        <x:f>H2264*Z2263/(v01_AdultYears*4)</x:f>
        <x:v>0</x:v>
      </x:c>
      <x:c r="Y2264" s="32" t="n">
        <x:f>Y2263+R2264-S2264-W2264-Y2263*V2264/AB2263</x:f>
        <x:v>14306.18539759397</x:v>
      </x:c>
      <x:c r="Z2264" s="32" t="n">
        <x:f>Z2263+W2264-X2264-T2264-Z2263*V2264/AB2263</x:f>
        <x:v>19354.456567879548</x:v>
      </x:c>
      <x:c r="AA2264" s="32" t="n">
        <x:f>AA2263+X2264-U2264-AA2263*V2264/AB2263</x:f>
        <x:v>11386.956063258198</x:v>
      </x:c>
      <x:c r="AB2264" s="10" t="n">
        <x:f>Y2264+Z2264+AA2264</x:f>
        <x:v>45047.59802873172</x:v>
      </x:c>
      <x:c r="AC2264" s="8" t="n">
        <x:f>IF(AND(v01_WinterTrigger=1,D2264=1,AB2263/AE2263&gt;=K2264),1,0)</x:f>
        <x:v>0</x:v>
      </x:c>
      <x:c r="AD2264" s="8" t="n">
        <x:f>H2264*IF(AND(OR(AB2263/AE2263&gt;=v01_FissionTrigger*N2264,AC2264=1),AB2263/AE2263*v01_DaughterShare&gt;=v01_MinDaughter),MAX(1,ROUND(AE2263*v01_FissionRate,0)),0)</x:f>
        <x:v>0</x:v>
      </x:c>
      <x:c r="AE2264" s="8" t="n">
        <x:f>IF(H2264=1,MAX(1,MIN(INDEX(v01_Smax,G2264),AE2263+AD2264)),AE2263)</x:f>
        <x:v>15</x:v>
      </x:c>
      <x:c r="AF2264" s="8" t="n">
        <x:f>MAX(0,AE2264-AE2263)</x:f>
        <x:v>0</x:v>
      </x:c>
      <x:c r="AG2264" s="9" t="str">
        <x:f>IF(AF2264&gt;0,B2264,"")</x:f>
      </x:c>
      <x:c r="AH2264" s="9" t="n">
        <x:f>IF(F2264&gt;=1,1,(1+v01_LowTiesShare*(AE2264-1))/AE2264)</x:f>
        <x:v>1</x:v>
      </x:c>
      <x:c r="AI2264" s="32" t="n">
        <x:f>(Z2264+v01_ElderCommons*INDEX(LM_Elder,G2264)*AA2264)*AH2264</x:f>
        <x:v>64139.732591141874</x:v>
      </x:c>
      <x:c r="AJ2264" s="32" t="n">
        <x:f>H2264*v01_CommonsCoef*AI2264^v01_CommonsExp*INDEX(LM_Commons,G2264)</x:f>
        <x:v>0</x:v>
      </x:c>
      <x:c r="AK2264" s="32" t="n">
        <x:f>H2264*v01_RoleScale*Arch_Roles*(AE2264*(INDEX(v01_ElderRolePerSett,G2264)*v01_OutElder*INDEX(LM_Elder,G2264)+INDEX(v01_ShamanPerSett,G2264)*v01_OutShaman)+Z2264*(INDEX(v01_PriestShare,G2264)*v01_OutPriest+INDEX(v01_ScribeShare,G2264)*v01_OutScribe*INDEX(LM_Scribe,G2264)+INDEX(v01_ScholarShare,G2264)*v01_OutScholar*INDEX(LM_Scholar,G2264)+INDEX(v01_ResearcherShare,G2264)*v01_OutResearcher*INDEX(LM_Researcher,G2264)))</x:f>
        <x:v>0</x:v>
      </x:c>
      <x:c r="AL2264" s="32" t="n">
        <x:f>H2264*v01_RoleScale*Arch_Roles*AE2264*INDEX(v01_MonasteryPerSett,G2264)*v01_OutMonastery*INDEX(LM_Monastery,G2264)</x:f>
        <x:v>0</x:v>
      </x:c>
      <x:c r="AM2264" s="32" t="n">
        <x:f>(AJ2264+AK2264+AL2264)/4*INDEX(LM_All,G2264)*INDEX(v01_Boon,G2264)*Arch_Insight</x:f>
        <x:v>0</x:v>
      </x:c>
      <x:c r="AN2264" s="32" t="n">
        <x:f>H2264*(v01_KHPerAdult*Z2264+v01_KHOfCommons*AJ2264/4*INDEX(LM_All,G2264))*v01_KHUsable*Arch_KH</x:f>
        <x:v>0</x:v>
      </x:c>
      <x:c r="AO2264" s="32" t="n">
        <x:f>MIN(AP2263+AN2264,AM2264*v01_KHMaxRatio)</x:f>
        <x:v>0</x:v>
      </x:c>
      <x:c r="AP2264" s="32" t="n">
        <x:f>AP2263+AN2264-AO2264</x:f>
        <x:v>0</x:v>
      </x:c>
      <x:c r="AQ2264" s="32" t="n">
        <x:f>AM2264+AO2264</x:f>
        <x:v>0</x:v>
      </x:c>
      <x:c r="AR2264" s="10" t="n">
        <x:f>IF(H2264=1,INDEX(v01_Req,G2264),0)</x:f>
        <x:v>0</x:v>
      </x:c>
      <x:c r="AS2264" s="32" t="n">
        <x:f>IF(H2264=1,IF(E2264=1,AS2263-AR2263,AS2263)+AQ2264,0)</x:f>
        <x:v>0</x:v>
      </x:c>
      <x:c r="AT2264" s="11" t="n">
        <x:f>IF(AR2264&gt;0,MIN(1,AS2264/AR2264),1)</x:f>
        <x:v>1</x:v>
      </x:c>
      <x:c r="AU2264" s="10" t="n">
        <x:f>AB2264/INDEX(v01_RepScale,G2264)</x:f>
        <x:v>90.09519605746344</x:v>
      </x:c>
      <x:c r="AV2264" s="32" t="n">
        <x:f>AM2264*60/v01_SeasonSeconds</x:f>
        <x:v>0</x:v>
      </x:c>
    </x:row>
    <x:row r="2265">
      <x:c r="A2265" s="8" t="n">
        <x:f>A2264+1</x:f>
        <x:v>2262</x:v>
      </x:c>
      <x:c r="B2265" s="9" t="n">
        <x:f>A2265*v01_SeasonSeconds/60</x:f>
        <x:v>565.5</x:v>
      </x:c>
      <x:c r="C2265" s="9" t="n">
        <x:f>A2265/4</x:f>
        <x:v>565.5</x:v>
      </x:c>
      <x:c r="D2265" s="8" t="n">
        <x:f>IF(MOD(A2265,4)=0,1,0)</x:f>
        <x:v>0</x:v>
      </x:c>
      <x:c r="E2265" s="8" t="n">
        <x:f>IF(AND(F2264&lt;=9,AS2264&gt;=AR2264),1,0)</x:f>
        <x:v>0</x:v>
      </x:c>
      <x:c r="F2265" s="8" t="n">
        <x:f>MIN(10,F2264+E2265)</x:f>
        <x:v>10</x:v>
      </x:c>
      <x:c r="G2265" s="8" t="n">
        <x:f>MIN(F2265,9)+1</x:f>
        <x:v>10</x:v>
      </x:c>
      <x:c r="H2265" s="8" t="n">
        <x:f>IF(F2265&lt;=9,1,0)</x:f>
        <x:v>0</x:v>
      </x:c>
      <x:c r="I2265" s="9" t="n">
        <x:f>MIN(10,F2264+IF(AR2264&gt;0,MIN(1,AS2264/AR2264),1))</x:f>
        <x:v>10</x:v>
      </x:c>
      <x:c r="J2265" s="32" t="n">
        <x:f>INDEX(v01_FoodCap,G2265)*Arch_FoodCap*EXP(v01_CapsByProject*SUMPRODUCT((Cap_Point&lt;=I2265)*(Cap_Kind="Food")*Cap_Ln))</x:f>
        <x:v>12000</x:v>
      </x:c>
      <x:c r="K2265" s="32" t="n">
        <x:f>J2265*MIN(1,v01_LeanBase*EXP(v01_CapsByProject*SUMPRODUCT((Cap_Point&lt;=I2265)*(Cap_Kind="Lean")*Cap_Ln)))</x:f>
        <x:v>12000</x:v>
      </x:c>
      <x:c r="L2265" s="10" t="n">
        <x:f>INDEX(v01_HousingCap,G2265)*EXP(v01_CapsByProject*SUMPRODUCT((Cap_Point&lt;=I2265)*(Cap_Kind="Housing")*Cap_Ln))</x:f>
        <x:v>20000</x:v>
      </x:c>
      <x:c r="M2265" s="10" t="n">
        <x:f>INDEX(v01_GroupCap,G2265)*v01_CohesionFactor*EXP(v01_CapsByProject*SUMPRODUCT((Cap_Point&lt;=I2265)*(Cap_Kind="Group")*Cap_Ln))</x:f>
        <x:v>1000000</x:v>
      </x:c>
      <x:c r="N2265" s="32" t="n">
        <x:f>MIN(J2265,L2265,M2265)</x:f>
        <x:v>12000</x:v>
      </x:c>
      <x:c r="O2265" s="10" t="n">
        <x:f>AE2264*N2265</x:f>
        <x:v>180000</x:v>
      </x:c>
      <x:c r="P2265" s="9" t="n">
        <x:f>MIN(1,(AB2264/(AE2264*IF(v01_GroupInCrowding=1,N2265,MIN(J2265,L2265))))^v01_CrowdingExp)</x:f>
        <x:v>0.00024569414295285325</x:v>
      </x:c>
      <x:c r="Q2265" s="9" t="n">
        <x:f>IF(D2265=1,INDEX(v01_WinterMult,G2265),1)</x:f>
        <x:v>1</x:v>
      </x:c>
      <x:c r="R2265" s="9" t="n">
        <x:f>H2265*Z2264*v01_WomenShare*v01_BaseFertility*INDEX(v01_FertMult,G2265)*Arch_Fertility*(1-P2265)</x:f>
        <x:v>0</x:v>
      </x:c>
      <x:c r="S2265" s="9" t="n">
        <x:f>H2265*Y2264*INDEX(v01_MortChild,G2265)/4*Q2265</x:f>
        <x:v>0</x:v>
      </x:c>
      <x:c r="T2265" s="9" t="n">
        <x:f>H2265*Z2264*INDEX(v01_MortAdult,G2265)*Arch_AdultMort/4*Q2265</x:f>
        <x:v>0</x:v>
      </x:c>
      <x:c r="U2265" s="9" t="n">
        <x:f>H2265*AA2264*INDEX(v01_MortElder,G2265)/4*Q2265</x:f>
        <x:v>0</x:v>
      </x:c>
      <x:c r="V2265" s="9" t="n">
        <x:f>H2265*MAX(0,AB2264-O2265)*v01_OvercapLoss</x:f>
        <x:v>0</x:v>
      </x:c>
      <x:c r="W2265" s="9" t="n">
        <x:f>H2265*Y2264/(v01_ChildYears*4)</x:f>
        <x:v>0</x:v>
      </x:c>
      <x:c r="X2265" s="9" t="n">
        <x:f>H2265*Z2264/(v01_AdultYears*4)</x:f>
        <x:v>0</x:v>
      </x:c>
      <x:c r="Y2265" s="32" t="n">
        <x:f>Y2264+R2265-S2265-W2265-Y2264*V2265/AB2264</x:f>
        <x:v>14306.18539759397</x:v>
      </x:c>
      <x:c r="Z2265" s="32" t="n">
        <x:f>Z2264+W2265-X2265-T2265-Z2264*V2265/AB2264</x:f>
        <x:v>19354.456567879548</x:v>
      </x:c>
      <x:c r="AA2265" s="32" t="n">
        <x:f>AA2264+X2265-U2265-AA2264*V2265/AB2264</x:f>
        <x:v>11386.956063258198</x:v>
      </x:c>
      <x:c r="AB2265" s="10" t="n">
        <x:f>Y2265+Z2265+AA2265</x:f>
        <x:v>45047.59802873172</x:v>
      </x:c>
      <x:c r="AC2265" s="8" t="n">
        <x:f>IF(AND(v01_WinterTrigger=1,D2265=1,AB2264/AE2264&gt;=K2265),1,0)</x:f>
        <x:v>0</x:v>
      </x:c>
      <x:c r="AD2265" s="8" t="n">
        <x:f>H2265*IF(AND(OR(AB2264/AE2264&gt;=v01_FissionTrigger*N2265,AC2265=1),AB2264/AE2264*v01_DaughterShare&gt;=v01_MinDaughter),MAX(1,ROUND(AE2264*v01_FissionRate,0)),0)</x:f>
        <x:v>0</x:v>
      </x:c>
      <x:c r="AE2265" s="8" t="n">
        <x:f>IF(H2265=1,MAX(1,MIN(INDEX(v01_Smax,G2265),AE2264+AD2265)),AE2264)</x:f>
        <x:v>15</x:v>
      </x:c>
      <x:c r="AF2265" s="8" t="n">
        <x:f>MAX(0,AE2265-AE2264)</x:f>
        <x:v>0</x:v>
      </x:c>
      <x:c r="AG2265" s="9" t="str">
        <x:f>IF(AF2265&gt;0,B2265,"")</x:f>
      </x:c>
      <x:c r="AH2265" s="9" t="n">
        <x:f>IF(F2265&gt;=1,1,(1+v01_LowTiesShare*(AE2265-1))/AE2265)</x:f>
        <x:v>1</x:v>
      </x:c>
      <x:c r="AI2265" s="32" t="n">
        <x:f>(Z2265+v01_ElderCommons*INDEX(LM_Elder,G2265)*AA2265)*AH2265</x:f>
        <x:v>64139.732591141874</x:v>
      </x:c>
      <x:c r="AJ2265" s="32" t="n">
        <x:f>H2265*v01_CommonsCoef*AI2265^v01_CommonsExp*INDEX(LM_Commons,G2265)</x:f>
        <x:v>0</x:v>
      </x:c>
      <x:c r="AK2265" s="32" t="n">
        <x:f>H2265*v01_RoleScale*Arch_Roles*(AE2265*(INDEX(v01_ElderRolePerSett,G2265)*v01_OutElder*INDEX(LM_Elder,G2265)+INDEX(v01_ShamanPerSett,G2265)*v01_OutShaman)+Z2265*(INDEX(v01_PriestShare,G2265)*v01_OutPriest+INDEX(v01_ScribeShare,G2265)*v01_OutScribe*INDEX(LM_Scribe,G2265)+INDEX(v01_ScholarShare,G2265)*v01_OutScholar*INDEX(LM_Scholar,G2265)+INDEX(v01_ResearcherShare,G2265)*v01_OutResearcher*INDEX(LM_Researcher,G2265)))</x:f>
        <x:v>0</x:v>
      </x:c>
      <x:c r="AL2265" s="32" t="n">
        <x:f>H2265*v01_RoleScale*Arch_Roles*AE2265*INDEX(v01_MonasteryPerSett,G2265)*v01_OutMonastery*INDEX(LM_Monastery,G2265)</x:f>
        <x:v>0</x:v>
      </x:c>
      <x:c r="AM2265" s="32" t="n">
        <x:f>(AJ2265+AK2265+AL2265)/4*INDEX(LM_All,G2265)*INDEX(v01_Boon,G2265)*Arch_Insight</x:f>
        <x:v>0</x:v>
      </x:c>
      <x:c r="AN2265" s="32" t="n">
        <x:f>H2265*(v01_KHPerAdult*Z2265+v01_KHOfCommons*AJ2265/4*INDEX(LM_All,G2265))*v01_KHUsable*Arch_KH</x:f>
        <x:v>0</x:v>
      </x:c>
      <x:c r="AO2265" s="32" t="n">
        <x:f>MIN(AP2264+AN2265,AM2265*v01_KHMaxRatio)</x:f>
        <x:v>0</x:v>
      </x:c>
      <x:c r="AP2265" s="32" t="n">
        <x:f>AP2264+AN2265-AO2265</x:f>
        <x:v>0</x:v>
      </x:c>
      <x:c r="AQ2265" s="32" t="n">
        <x:f>AM2265+AO2265</x:f>
        <x:v>0</x:v>
      </x:c>
      <x:c r="AR2265" s="10" t="n">
        <x:f>IF(H2265=1,INDEX(v01_Req,G2265),0)</x:f>
        <x:v>0</x:v>
      </x:c>
      <x:c r="AS2265" s="32" t="n">
        <x:f>IF(H2265=1,IF(E2265=1,AS2264-AR2264,AS2264)+AQ2265,0)</x:f>
        <x:v>0</x:v>
      </x:c>
      <x:c r="AT2265" s="11" t="n">
        <x:f>IF(AR2265&gt;0,MIN(1,AS2265/AR2265),1)</x:f>
        <x:v>1</x:v>
      </x:c>
      <x:c r="AU2265" s="10" t="n">
        <x:f>AB2265/INDEX(v01_RepScale,G2265)</x:f>
        <x:v>90.09519605746344</x:v>
      </x:c>
      <x:c r="AV2265" s="32" t="n">
        <x:f>AM2265*60/v01_SeasonSeconds</x:f>
        <x:v>0</x:v>
      </x:c>
    </x:row>
    <x:row r="2266">
      <x:c r="A2266" s="8" t="n">
        <x:f>A2265+1</x:f>
        <x:v>2263</x:v>
      </x:c>
      <x:c r="B2266" s="9" t="n">
        <x:f>A2266*v01_SeasonSeconds/60</x:f>
        <x:v>565.75</x:v>
      </x:c>
      <x:c r="C2266" s="9" t="n">
        <x:f>A2266/4</x:f>
        <x:v>565.75</x:v>
      </x:c>
      <x:c r="D2266" s="8" t="n">
        <x:f>IF(MOD(A2266,4)=0,1,0)</x:f>
        <x:v>0</x:v>
      </x:c>
      <x:c r="E2266" s="8" t="n">
        <x:f>IF(AND(F2265&lt;=9,AS2265&gt;=AR2265),1,0)</x:f>
        <x:v>0</x:v>
      </x:c>
      <x:c r="F2266" s="8" t="n">
        <x:f>MIN(10,F2265+E2266)</x:f>
        <x:v>10</x:v>
      </x:c>
      <x:c r="G2266" s="8" t="n">
        <x:f>MIN(F2266,9)+1</x:f>
        <x:v>10</x:v>
      </x:c>
      <x:c r="H2266" s="8" t="n">
        <x:f>IF(F2266&lt;=9,1,0)</x:f>
        <x:v>0</x:v>
      </x:c>
      <x:c r="I2266" s="9" t="n">
        <x:f>MIN(10,F2265+IF(AR2265&gt;0,MIN(1,AS2265/AR2265),1))</x:f>
        <x:v>10</x:v>
      </x:c>
      <x:c r="J2266" s="32" t="n">
        <x:f>INDEX(v01_FoodCap,G2266)*Arch_FoodCap*EXP(v01_CapsByProject*SUMPRODUCT((Cap_Point&lt;=I2266)*(Cap_Kind="Food")*Cap_Ln))</x:f>
        <x:v>12000</x:v>
      </x:c>
      <x:c r="K2266" s="32" t="n">
        <x:f>J2266*MIN(1,v01_LeanBase*EXP(v01_CapsByProject*SUMPRODUCT((Cap_Point&lt;=I2266)*(Cap_Kind="Lean")*Cap_Ln)))</x:f>
        <x:v>12000</x:v>
      </x:c>
      <x:c r="L2266" s="10" t="n">
        <x:f>INDEX(v01_HousingCap,G2266)*EXP(v01_CapsByProject*SUMPRODUCT((Cap_Point&lt;=I2266)*(Cap_Kind="Housing")*Cap_Ln))</x:f>
        <x:v>20000</x:v>
      </x:c>
      <x:c r="M2266" s="10" t="n">
        <x:f>INDEX(v01_GroupCap,G2266)*v01_CohesionFactor*EXP(v01_CapsByProject*SUMPRODUCT((Cap_Point&lt;=I2266)*(Cap_Kind="Group")*Cap_Ln))</x:f>
        <x:v>1000000</x:v>
      </x:c>
      <x:c r="N2266" s="32" t="n">
        <x:f>MIN(J2266,L2266,M2266)</x:f>
        <x:v>12000</x:v>
      </x:c>
      <x:c r="O2266" s="10" t="n">
        <x:f>AE2265*N2266</x:f>
        <x:v>180000</x:v>
      </x:c>
      <x:c r="P2266" s="9" t="n">
        <x:f>MIN(1,(AB2265/(AE2265*IF(v01_GroupInCrowding=1,N2266,MIN(J2266,L2266))))^v01_CrowdingExp)</x:f>
        <x:v>0.00024569414295285325</x:v>
      </x:c>
      <x:c r="Q2266" s="9" t="n">
        <x:f>IF(D2266=1,INDEX(v01_WinterMult,G2266),1)</x:f>
        <x:v>1</x:v>
      </x:c>
      <x:c r="R2266" s="9" t="n">
        <x:f>H2266*Z2265*v01_WomenShare*v01_BaseFertility*INDEX(v01_FertMult,G2266)*Arch_Fertility*(1-P2266)</x:f>
        <x:v>0</x:v>
      </x:c>
      <x:c r="S2266" s="9" t="n">
        <x:f>H2266*Y2265*INDEX(v01_MortChild,G2266)/4*Q2266</x:f>
        <x:v>0</x:v>
      </x:c>
      <x:c r="T2266" s="9" t="n">
        <x:f>H2266*Z2265*INDEX(v01_MortAdult,G2266)*Arch_AdultMort/4*Q2266</x:f>
        <x:v>0</x:v>
      </x:c>
      <x:c r="U2266" s="9" t="n">
        <x:f>H2266*AA2265*INDEX(v01_MortElder,G2266)/4*Q2266</x:f>
        <x:v>0</x:v>
      </x:c>
      <x:c r="V2266" s="9" t="n">
        <x:f>H2266*MAX(0,AB2265-O2266)*v01_OvercapLoss</x:f>
        <x:v>0</x:v>
      </x:c>
      <x:c r="W2266" s="9" t="n">
        <x:f>H2266*Y2265/(v01_ChildYears*4)</x:f>
        <x:v>0</x:v>
      </x:c>
      <x:c r="X2266" s="9" t="n">
        <x:f>H2266*Z2265/(v01_AdultYears*4)</x:f>
        <x:v>0</x:v>
      </x:c>
      <x:c r="Y2266" s="32" t="n">
        <x:f>Y2265+R2266-S2266-W2266-Y2265*V2266/AB2265</x:f>
        <x:v>14306.18539759397</x:v>
      </x:c>
      <x:c r="Z2266" s="32" t="n">
        <x:f>Z2265+W2266-X2266-T2266-Z2265*V2266/AB2265</x:f>
        <x:v>19354.456567879548</x:v>
      </x:c>
      <x:c r="AA2266" s="32" t="n">
        <x:f>AA2265+X2266-U2266-AA2265*V2266/AB2265</x:f>
        <x:v>11386.956063258198</x:v>
      </x:c>
      <x:c r="AB2266" s="10" t="n">
        <x:f>Y2266+Z2266+AA2266</x:f>
        <x:v>45047.59802873172</x:v>
      </x:c>
      <x:c r="AC2266" s="8" t="n">
        <x:f>IF(AND(v01_WinterTrigger=1,D2266=1,AB2265/AE2265&gt;=K2266),1,0)</x:f>
        <x:v>0</x:v>
      </x:c>
      <x:c r="AD2266" s="8" t="n">
        <x:f>H2266*IF(AND(OR(AB2265/AE2265&gt;=v01_FissionTrigger*N2266,AC2266=1),AB2265/AE2265*v01_DaughterShare&gt;=v01_MinDaughter),MAX(1,ROUND(AE2265*v01_FissionRate,0)),0)</x:f>
        <x:v>0</x:v>
      </x:c>
      <x:c r="AE2266" s="8" t="n">
        <x:f>IF(H2266=1,MAX(1,MIN(INDEX(v01_Smax,G2266),AE2265+AD2266)),AE2265)</x:f>
        <x:v>15</x:v>
      </x:c>
      <x:c r="AF2266" s="8" t="n">
        <x:f>MAX(0,AE2266-AE2265)</x:f>
        <x:v>0</x:v>
      </x:c>
      <x:c r="AG2266" s="9" t="str">
        <x:f>IF(AF2266&gt;0,B2266,"")</x:f>
      </x:c>
      <x:c r="AH2266" s="9" t="n">
        <x:f>IF(F2266&gt;=1,1,(1+v01_LowTiesShare*(AE2266-1))/AE2266)</x:f>
        <x:v>1</x:v>
      </x:c>
      <x:c r="AI2266" s="32" t="n">
        <x:f>(Z2266+v01_ElderCommons*INDEX(LM_Elder,G2266)*AA2266)*AH2266</x:f>
        <x:v>64139.732591141874</x:v>
      </x:c>
      <x:c r="AJ2266" s="32" t="n">
        <x:f>H2266*v01_CommonsCoef*AI2266^v01_CommonsExp*INDEX(LM_Commons,G2266)</x:f>
        <x:v>0</x:v>
      </x:c>
      <x:c r="AK2266" s="32" t="n">
        <x:f>H2266*v01_RoleScale*Arch_Roles*(AE2266*(INDEX(v01_ElderRolePerSett,G2266)*v01_OutElder*INDEX(LM_Elder,G2266)+INDEX(v01_ShamanPerSett,G2266)*v01_OutShaman)+Z2266*(INDEX(v01_PriestShare,G2266)*v01_OutPriest+INDEX(v01_ScribeShare,G2266)*v01_OutScribe*INDEX(LM_Scribe,G2266)+INDEX(v01_ScholarShare,G2266)*v01_OutScholar*INDEX(LM_Scholar,G2266)+INDEX(v01_ResearcherShare,G2266)*v01_OutResearcher*INDEX(LM_Researcher,G2266)))</x:f>
        <x:v>0</x:v>
      </x:c>
      <x:c r="AL2266" s="32" t="n">
        <x:f>H2266*v01_RoleScale*Arch_Roles*AE2266*INDEX(v01_MonasteryPerSett,G2266)*v01_OutMonastery*INDEX(LM_Monastery,G2266)</x:f>
        <x:v>0</x:v>
      </x:c>
      <x:c r="AM2266" s="32" t="n">
        <x:f>(AJ2266+AK2266+AL2266)/4*INDEX(LM_All,G2266)*INDEX(v01_Boon,G2266)*Arch_Insight</x:f>
        <x:v>0</x:v>
      </x:c>
      <x:c r="AN2266" s="32" t="n">
        <x:f>H2266*(v01_KHPerAdult*Z2266+v01_KHOfCommons*AJ2266/4*INDEX(LM_All,G2266))*v01_KHUsable*Arch_KH</x:f>
        <x:v>0</x:v>
      </x:c>
      <x:c r="AO2266" s="32" t="n">
        <x:f>MIN(AP2265+AN2266,AM2266*v01_KHMaxRatio)</x:f>
        <x:v>0</x:v>
      </x:c>
      <x:c r="AP2266" s="32" t="n">
        <x:f>AP2265+AN2266-AO2266</x:f>
        <x:v>0</x:v>
      </x:c>
      <x:c r="AQ2266" s="32" t="n">
        <x:f>AM2266+AO2266</x:f>
        <x:v>0</x:v>
      </x:c>
      <x:c r="AR2266" s="10" t="n">
        <x:f>IF(H2266=1,INDEX(v01_Req,G2266),0)</x:f>
        <x:v>0</x:v>
      </x:c>
      <x:c r="AS2266" s="32" t="n">
        <x:f>IF(H2266=1,IF(E2266=1,AS2265-AR2265,AS2265)+AQ2266,0)</x:f>
        <x:v>0</x:v>
      </x:c>
      <x:c r="AT2266" s="11" t="n">
        <x:f>IF(AR2266&gt;0,MIN(1,AS2266/AR2266),1)</x:f>
        <x:v>1</x:v>
      </x:c>
      <x:c r="AU2266" s="10" t="n">
        <x:f>AB2266/INDEX(v01_RepScale,G2266)</x:f>
        <x:v>90.09519605746344</x:v>
      </x:c>
      <x:c r="AV2266" s="32" t="n">
        <x:f>AM2266*60/v01_SeasonSeconds</x:f>
        <x:v>0</x:v>
      </x:c>
    </x:row>
    <x:row r="2267">
      <x:c r="A2267" s="8" t="n">
        <x:f>A2266+1</x:f>
        <x:v>2264</x:v>
      </x:c>
      <x:c r="B2267" s="9" t="n">
        <x:f>A2267*v01_SeasonSeconds/60</x:f>
        <x:v>566</x:v>
      </x:c>
      <x:c r="C2267" s="9" t="n">
        <x:f>A2267/4</x:f>
        <x:v>566</x:v>
      </x:c>
      <x:c r="D2267" s="8" t="n">
        <x:f>IF(MOD(A2267,4)=0,1,0)</x:f>
        <x:v>1</x:v>
      </x:c>
      <x:c r="E2267" s="8" t="n">
        <x:f>IF(AND(F2266&lt;=9,AS2266&gt;=AR2266),1,0)</x:f>
        <x:v>0</x:v>
      </x:c>
      <x:c r="F2267" s="8" t="n">
        <x:f>MIN(10,F2266+E2267)</x:f>
        <x:v>10</x:v>
      </x:c>
      <x:c r="G2267" s="8" t="n">
        <x:f>MIN(F2267,9)+1</x:f>
        <x:v>10</x:v>
      </x:c>
      <x:c r="H2267" s="8" t="n">
        <x:f>IF(F2267&lt;=9,1,0)</x:f>
        <x:v>0</x:v>
      </x:c>
      <x:c r="I2267" s="9" t="n">
        <x:f>MIN(10,F2266+IF(AR2266&gt;0,MIN(1,AS2266/AR2266),1))</x:f>
        <x:v>10</x:v>
      </x:c>
      <x:c r="J2267" s="32" t="n">
        <x:f>INDEX(v01_FoodCap,G2267)*Arch_FoodCap*EXP(v01_CapsByProject*SUMPRODUCT((Cap_Point&lt;=I2267)*(Cap_Kind="Food")*Cap_Ln))</x:f>
        <x:v>12000</x:v>
      </x:c>
      <x:c r="K2267" s="32" t="n">
        <x:f>J2267*MIN(1,v01_LeanBase*EXP(v01_CapsByProject*SUMPRODUCT((Cap_Point&lt;=I2267)*(Cap_Kind="Lean")*Cap_Ln)))</x:f>
        <x:v>12000</x:v>
      </x:c>
      <x:c r="L2267" s="10" t="n">
        <x:f>INDEX(v01_HousingCap,G2267)*EXP(v01_CapsByProject*SUMPRODUCT((Cap_Point&lt;=I2267)*(Cap_Kind="Housing")*Cap_Ln))</x:f>
        <x:v>20000</x:v>
      </x:c>
      <x:c r="M2267" s="10" t="n">
        <x:f>INDEX(v01_GroupCap,G2267)*v01_CohesionFactor*EXP(v01_CapsByProject*SUMPRODUCT((Cap_Point&lt;=I2267)*(Cap_Kind="Group")*Cap_Ln))</x:f>
        <x:v>1000000</x:v>
      </x:c>
      <x:c r="N2267" s="32" t="n">
        <x:f>MIN(J2267,L2267,M2267)</x:f>
        <x:v>12000</x:v>
      </x:c>
      <x:c r="O2267" s="10" t="n">
        <x:f>AE2266*N2267</x:f>
        <x:v>180000</x:v>
      </x:c>
      <x:c r="P2267" s="9" t="n">
        <x:f>MIN(1,(AB2266/(AE2266*IF(v01_GroupInCrowding=1,N2267,MIN(J2267,L2267))))^v01_CrowdingExp)</x:f>
        <x:v>0.00024569414295285325</x:v>
      </x:c>
      <x:c r="Q2267" s="9" t="n">
        <x:f>IF(D2267=1,INDEX(v01_WinterMult,G2267),1)</x:f>
        <x:v>1</x:v>
      </x:c>
      <x:c r="R2267" s="9" t="n">
        <x:f>H2267*Z2266*v01_WomenShare*v01_BaseFertility*INDEX(v01_FertMult,G2267)*Arch_Fertility*(1-P2267)</x:f>
        <x:v>0</x:v>
      </x:c>
      <x:c r="S2267" s="9" t="n">
        <x:f>H2267*Y2266*INDEX(v01_MortChild,G2267)/4*Q2267</x:f>
        <x:v>0</x:v>
      </x:c>
      <x:c r="T2267" s="9" t="n">
        <x:f>H2267*Z2266*INDEX(v01_MortAdult,G2267)*Arch_AdultMort/4*Q2267</x:f>
        <x:v>0</x:v>
      </x:c>
      <x:c r="U2267" s="9" t="n">
        <x:f>H2267*AA2266*INDEX(v01_MortElder,G2267)/4*Q2267</x:f>
        <x:v>0</x:v>
      </x:c>
      <x:c r="V2267" s="9" t="n">
        <x:f>H2267*MAX(0,AB2266-O2267)*v01_OvercapLoss</x:f>
        <x:v>0</x:v>
      </x:c>
      <x:c r="W2267" s="9" t="n">
        <x:f>H2267*Y2266/(v01_ChildYears*4)</x:f>
        <x:v>0</x:v>
      </x:c>
      <x:c r="X2267" s="9" t="n">
        <x:f>H2267*Z2266/(v01_AdultYears*4)</x:f>
        <x:v>0</x:v>
      </x:c>
      <x:c r="Y2267" s="32" t="n">
        <x:f>Y2266+R2267-S2267-W2267-Y2266*V2267/AB2266</x:f>
        <x:v>14306.18539759397</x:v>
      </x:c>
      <x:c r="Z2267" s="32" t="n">
        <x:f>Z2266+W2267-X2267-T2267-Z2266*V2267/AB2266</x:f>
        <x:v>19354.456567879548</x:v>
      </x:c>
      <x:c r="AA2267" s="32" t="n">
        <x:f>AA2266+X2267-U2267-AA2266*V2267/AB2266</x:f>
        <x:v>11386.956063258198</x:v>
      </x:c>
      <x:c r="AB2267" s="10" t="n">
        <x:f>Y2267+Z2267+AA2267</x:f>
        <x:v>45047.59802873172</x:v>
      </x:c>
      <x:c r="AC2267" s="8" t="n">
        <x:f>IF(AND(v01_WinterTrigger=1,D2267=1,AB2266/AE2266&gt;=K2267),1,0)</x:f>
        <x:v>0</x:v>
      </x:c>
      <x:c r="AD2267" s="8" t="n">
        <x:f>H2267*IF(AND(OR(AB2266/AE2266&gt;=v01_FissionTrigger*N2267,AC2267=1),AB2266/AE2266*v01_DaughterShare&gt;=v01_MinDaughter),MAX(1,ROUND(AE2266*v01_FissionRate,0)),0)</x:f>
        <x:v>0</x:v>
      </x:c>
      <x:c r="AE2267" s="8" t="n">
        <x:f>IF(H2267=1,MAX(1,MIN(INDEX(v01_Smax,G2267),AE2266+AD2267)),AE2266)</x:f>
        <x:v>15</x:v>
      </x:c>
      <x:c r="AF2267" s="8" t="n">
        <x:f>MAX(0,AE2267-AE2266)</x:f>
        <x:v>0</x:v>
      </x:c>
      <x:c r="AG2267" s="9" t="str">
        <x:f>IF(AF2267&gt;0,B2267,"")</x:f>
      </x:c>
      <x:c r="AH2267" s="9" t="n">
        <x:f>IF(F2267&gt;=1,1,(1+v01_LowTiesShare*(AE2267-1))/AE2267)</x:f>
        <x:v>1</x:v>
      </x:c>
      <x:c r="AI2267" s="32" t="n">
        <x:f>(Z2267+v01_ElderCommons*INDEX(LM_Elder,G2267)*AA2267)*AH2267</x:f>
        <x:v>64139.732591141874</x:v>
      </x:c>
      <x:c r="AJ2267" s="32" t="n">
        <x:f>H2267*v01_CommonsCoef*AI2267^v01_CommonsExp*INDEX(LM_Commons,G2267)</x:f>
        <x:v>0</x:v>
      </x:c>
      <x:c r="AK2267" s="32" t="n">
        <x:f>H2267*v01_RoleScale*Arch_Roles*(AE2267*(INDEX(v01_ElderRolePerSett,G2267)*v01_OutElder*INDEX(LM_Elder,G2267)+INDEX(v01_ShamanPerSett,G2267)*v01_OutShaman)+Z2267*(INDEX(v01_PriestShare,G2267)*v01_OutPriest+INDEX(v01_ScribeShare,G2267)*v01_OutScribe*INDEX(LM_Scribe,G2267)+INDEX(v01_ScholarShare,G2267)*v01_OutScholar*INDEX(LM_Scholar,G2267)+INDEX(v01_ResearcherShare,G2267)*v01_OutResearcher*INDEX(LM_Researcher,G2267)))</x:f>
        <x:v>0</x:v>
      </x:c>
      <x:c r="AL2267" s="32" t="n">
        <x:f>H2267*v01_RoleScale*Arch_Roles*AE2267*INDEX(v01_MonasteryPerSett,G2267)*v01_OutMonastery*INDEX(LM_Monastery,G2267)</x:f>
        <x:v>0</x:v>
      </x:c>
      <x:c r="AM2267" s="32" t="n">
        <x:f>(AJ2267+AK2267+AL2267)/4*INDEX(LM_All,G2267)*INDEX(v01_Boon,G2267)*Arch_Insight</x:f>
        <x:v>0</x:v>
      </x:c>
      <x:c r="AN2267" s="32" t="n">
        <x:f>H2267*(v01_KHPerAdult*Z2267+v01_KHOfCommons*AJ2267/4*INDEX(LM_All,G2267))*v01_KHUsable*Arch_KH</x:f>
        <x:v>0</x:v>
      </x:c>
      <x:c r="AO2267" s="32" t="n">
        <x:f>MIN(AP2266+AN2267,AM2267*v01_KHMaxRatio)</x:f>
        <x:v>0</x:v>
      </x:c>
      <x:c r="AP2267" s="32" t="n">
        <x:f>AP2266+AN2267-AO2267</x:f>
        <x:v>0</x:v>
      </x:c>
      <x:c r="AQ2267" s="32" t="n">
        <x:f>AM2267+AO2267</x:f>
        <x:v>0</x:v>
      </x:c>
      <x:c r="AR2267" s="10" t="n">
        <x:f>IF(H2267=1,INDEX(v01_Req,G2267),0)</x:f>
        <x:v>0</x:v>
      </x:c>
      <x:c r="AS2267" s="32" t="n">
        <x:f>IF(H2267=1,IF(E2267=1,AS2266-AR2266,AS2266)+AQ2267,0)</x:f>
        <x:v>0</x:v>
      </x:c>
      <x:c r="AT2267" s="11" t="n">
        <x:f>IF(AR2267&gt;0,MIN(1,AS2267/AR2267),1)</x:f>
        <x:v>1</x:v>
      </x:c>
      <x:c r="AU2267" s="10" t="n">
        <x:f>AB2267/INDEX(v01_RepScale,G2267)</x:f>
        <x:v>90.09519605746344</x:v>
      </x:c>
      <x:c r="AV2267" s="32" t="n">
        <x:f>AM2267*60/v01_SeasonSeconds</x:f>
        <x:v>0</x:v>
      </x:c>
    </x:row>
    <x:row r="2268">
      <x:c r="A2268" s="8" t="n">
        <x:f>A2267+1</x:f>
        <x:v>2265</x:v>
      </x:c>
      <x:c r="B2268" s="9" t="n">
        <x:f>A2268*v01_SeasonSeconds/60</x:f>
        <x:v>566.25</x:v>
      </x:c>
      <x:c r="C2268" s="9" t="n">
        <x:f>A2268/4</x:f>
        <x:v>566.25</x:v>
      </x:c>
      <x:c r="D2268" s="8" t="n">
        <x:f>IF(MOD(A2268,4)=0,1,0)</x:f>
        <x:v>0</x:v>
      </x:c>
      <x:c r="E2268" s="8" t="n">
        <x:f>IF(AND(F2267&lt;=9,AS2267&gt;=AR2267),1,0)</x:f>
        <x:v>0</x:v>
      </x:c>
      <x:c r="F2268" s="8" t="n">
        <x:f>MIN(10,F2267+E2268)</x:f>
        <x:v>10</x:v>
      </x:c>
      <x:c r="G2268" s="8" t="n">
        <x:f>MIN(F2268,9)+1</x:f>
        <x:v>10</x:v>
      </x:c>
      <x:c r="H2268" s="8" t="n">
        <x:f>IF(F2268&lt;=9,1,0)</x:f>
        <x:v>0</x:v>
      </x:c>
      <x:c r="I2268" s="9" t="n">
        <x:f>MIN(10,F2267+IF(AR2267&gt;0,MIN(1,AS2267/AR2267),1))</x:f>
        <x:v>10</x:v>
      </x:c>
      <x:c r="J2268" s="32" t="n">
        <x:f>INDEX(v01_FoodCap,G2268)*Arch_FoodCap*EXP(v01_CapsByProject*SUMPRODUCT((Cap_Point&lt;=I2268)*(Cap_Kind="Food")*Cap_Ln))</x:f>
        <x:v>12000</x:v>
      </x:c>
      <x:c r="K2268" s="32" t="n">
        <x:f>J2268*MIN(1,v01_LeanBase*EXP(v01_CapsByProject*SUMPRODUCT((Cap_Point&lt;=I2268)*(Cap_Kind="Lean")*Cap_Ln)))</x:f>
        <x:v>12000</x:v>
      </x:c>
      <x:c r="L2268" s="10" t="n">
        <x:f>INDEX(v01_HousingCap,G2268)*EXP(v01_CapsByProject*SUMPRODUCT((Cap_Point&lt;=I2268)*(Cap_Kind="Housing")*Cap_Ln))</x:f>
        <x:v>20000</x:v>
      </x:c>
      <x:c r="M2268" s="10" t="n">
        <x:f>INDEX(v01_GroupCap,G2268)*v01_CohesionFactor*EXP(v01_CapsByProject*SUMPRODUCT((Cap_Point&lt;=I2268)*(Cap_Kind="Group")*Cap_Ln))</x:f>
        <x:v>1000000</x:v>
      </x:c>
      <x:c r="N2268" s="32" t="n">
        <x:f>MIN(J2268,L2268,M2268)</x:f>
        <x:v>12000</x:v>
      </x:c>
      <x:c r="O2268" s="10" t="n">
        <x:f>AE2267*N2268</x:f>
        <x:v>180000</x:v>
      </x:c>
      <x:c r="P2268" s="9" t="n">
        <x:f>MIN(1,(AB2267/(AE2267*IF(v01_GroupInCrowding=1,N2268,MIN(J2268,L2268))))^v01_CrowdingExp)</x:f>
        <x:v>0.00024569414295285325</x:v>
      </x:c>
      <x:c r="Q2268" s="9" t="n">
        <x:f>IF(D2268=1,INDEX(v01_WinterMult,G2268),1)</x:f>
        <x:v>1</x:v>
      </x:c>
      <x:c r="R2268" s="9" t="n">
        <x:f>H2268*Z2267*v01_WomenShare*v01_BaseFertility*INDEX(v01_FertMult,G2268)*Arch_Fertility*(1-P2268)</x:f>
        <x:v>0</x:v>
      </x:c>
      <x:c r="S2268" s="9" t="n">
        <x:f>H2268*Y2267*INDEX(v01_MortChild,G2268)/4*Q2268</x:f>
        <x:v>0</x:v>
      </x:c>
      <x:c r="T2268" s="9" t="n">
        <x:f>H2268*Z2267*INDEX(v01_MortAdult,G2268)*Arch_AdultMort/4*Q2268</x:f>
        <x:v>0</x:v>
      </x:c>
      <x:c r="U2268" s="9" t="n">
        <x:f>H2268*AA2267*INDEX(v01_MortElder,G2268)/4*Q2268</x:f>
        <x:v>0</x:v>
      </x:c>
      <x:c r="V2268" s="9" t="n">
        <x:f>H2268*MAX(0,AB2267-O2268)*v01_OvercapLoss</x:f>
        <x:v>0</x:v>
      </x:c>
      <x:c r="W2268" s="9" t="n">
        <x:f>H2268*Y2267/(v01_ChildYears*4)</x:f>
        <x:v>0</x:v>
      </x:c>
      <x:c r="X2268" s="9" t="n">
        <x:f>H2268*Z2267/(v01_AdultYears*4)</x:f>
        <x:v>0</x:v>
      </x:c>
      <x:c r="Y2268" s="32" t="n">
        <x:f>Y2267+R2268-S2268-W2268-Y2267*V2268/AB2267</x:f>
        <x:v>14306.18539759397</x:v>
      </x:c>
      <x:c r="Z2268" s="32" t="n">
        <x:f>Z2267+W2268-X2268-T2268-Z2267*V2268/AB2267</x:f>
        <x:v>19354.456567879548</x:v>
      </x:c>
      <x:c r="AA2268" s="32" t="n">
        <x:f>AA2267+X2268-U2268-AA2267*V2268/AB2267</x:f>
        <x:v>11386.956063258198</x:v>
      </x:c>
      <x:c r="AB2268" s="10" t="n">
        <x:f>Y2268+Z2268+AA2268</x:f>
        <x:v>45047.59802873172</x:v>
      </x:c>
      <x:c r="AC2268" s="8" t="n">
        <x:f>IF(AND(v01_WinterTrigger=1,D2268=1,AB2267/AE2267&gt;=K2268),1,0)</x:f>
        <x:v>0</x:v>
      </x:c>
      <x:c r="AD2268" s="8" t="n">
        <x:f>H2268*IF(AND(OR(AB2267/AE2267&gt;=v01_FissionTrigger*N2268,AC2268=1),AB2267/AE2267*v01_DaughterShare&gt;=v01_MinDaughter),MAX(1,ROUND(AE2267*v01_FissionRate,0)),0)</x:f>
        <x:v>0</x:v>
      </x:c>
      <x:c r="AE2268" s="8" t="n">
        <x:f>IF(H2268=1,MAX(1,MIN(INDEX(v01_Smax,G2268),AE2267+AD2268)),AE2267)</x:f>
        <x:v>15</x:v>
      </x:c>
      <x:c r="AF2268" s="8" t="n">
        <x:f>MAX(0,AE2268-AE2267)</x:f>
        <x:v>0</x:v>
      </x:c>
      <x:c r="AG2268" s="9" t="str">
        <x:f>IF(AF2268&gt;0,B2268,"")</x:f>
      </x:c>
      <x:c r="AH2268" s="9" t="n">
        <x:f>IF(F2268&gt;=1,1,(1+v01_LowTiesShare*(AE2268-1))/AE2268)</x:f>
        <x:v>1</x:v>
      </x:c>
      <x:c r="AI2268" s="32" t="n">
        <x:f>(Z2268+v01_ElderCommons*INDEX(LM_Elder,G2268)*AA2268)*AH2268</x:f>
        <x:v>64139.732591141874</x:v>
      </x:c>
      <x:c r="AJ2268" s="32" t="n">
        <x:f>H2268*v01_CommonsCoef*AI2268^v01_CommonsExp*INDEX(LM_Commons,G2268)</x:f>
        <x:v>0</x:v>
      </x:c>
      <x:c r="AK2268" s="32" t="n">
        <x:f>H2268*v01_RoleScale*Arch_Roles*(AE2268*(INDEX(v01_ElderRolePerSett,G2268)*v01_OutElder*INDEX(LM_Elder,G2268)+INDEX(v01_ShamanPerSett,G2268)*v01_OutShaman)+Z2268*(INDEX(v01_PriestShare,G2268)*v01_OutPriest+INDEX(v01_ScribeShare,G2268)*v01_OutScribe*INDEX(LM_Scribe,G2268)+INDEX(v01_ScholarShare,G2268)*v01_OutScholar*INDEX(LM_Scholar,G2268)+INDEX(v01_ResearcherShare,G2268)*v01_OutResearcher*INDEX(LM_Researcher,G2268)))</x:f>
        <x:v>0</x:v>
      </x:c>
      <x:c r="AL2268" s="32" t="n">
        <x:f>H2268*v01_RoleScale*Arch_Roles*AE2268*INDEX(v01_MonasteryPerSett,G2268)*v01_OutMonastery*INDEX(LM_Monastery,G2268)</x:f>
        <x:v>0</x:v>
      </x:c>
      <x:c r="AM2268" s="32" t="n">
        <x:f>(AJ2268+AK2268+AL2268)/4*INDEX(LM_All,G2268)*INDEX(v01_Boon,G2268)*Arch_Insight</x:f>
        <x:v>0</x:v>
      </x:c>
      <x:c r="AN2268" s="32" t="n">
        <x:f>H2268*(v01_KHPerAdult*Z2268+v01_KHOfCommons*AJ2268/4*INDEX(LM_All,G2268))*v01_KHUsable*Arch_KH</x:f>
        <x:v>0</x:v>
      </x:c>
      <x:c r="AO2268" s="32" t="n">
        <x:f>MIN(AP2267+AN2268,AM2268*v01_KHMaxRatio)</x:f>
        <x:v>0</x:v>
      </x:c>
      <x:c r="AP2268" s="32" t="n">
        <x:f>AP2267+AN2268-AO2268</x:f>
        <x:v>0</x:v>
      </x:c>
      <x:c r="AQ2268" s="32" t="n">
        <x:f>AM2268+AO2268</x:f>
        <x:v>0</x:v>
      </x:c>
      <x:c r="AR2268" s="10" t="n">
        <x:f>IF(H2268=1,INDEX(v01_Req,G2268),0)</x:f>
        <x:v>0</x:v>
      </x:c>
      <x:c r="AS2268" s="32" t="n">
        <x:f>IF(H2268=1,IF(E2268=1,AS2267-AR2267,AS2267)+AQ2268,0)</x:f>
        <x:v>0</x:v>
      </x:c>
      <x:c r="AT2268" s="11" t="n">
        <x:f>IF(AR2268&gt;0,MIN(1,AS2268/AR2268),1)</x:f>
        <x:v>1</x:v>
      </x:c>
      <x:c r="AU2268" s="10" t="n">
        <x:f>AB2268/INDEX(v01_RepScale,G2268)</x:f>
        <x:v>90.09519605746344</x:v>
      </x:c>
      <x:c r="AV2268" s="32" t="n">
        <x:f>AM2268*60/v01_SeasonSeconds</x:f>
        <x:v>0</x:v>
      </x:c>
    </x:row>
    <x:row r="2269">
      <x:c r="A2269" s="8" t="n">
        <x:f>A2268+1</x:f>
        <x:v>2266</x:v>
      </x:c>
      <x:c r="B2269" s="9" t="n">
        <x:f>A2269*v01_SeasonSeconds/60</x:f>
        <x:v>566.5</x:v>
      </x:c>
      <x:c r="C2269" s="9" t="n">
        <x:f>A2269/4</x:f>
        <x:v>566.5</x:v>
      </x:c>
      <x:c r="D2269" s="8" t="n">
        <x:f>IF(MOD(A2269,4)=0,1,0)</x:f>
        <x:v>0</x:v>
      </x:c>
      <x:c r="E2269" s="8" t="n">
        <x:f>IF(AND(F2268&lt;=9,AS2268&gt;=AR2268),1,0)</x:f>
        <x:v>0</x:v>
      </x:c>
      <x:c r="F2269" s="8" t="n">
        <x:f>MIN(10,F2268+E2269)</x:f>
        <x:v>10</x:v>
      </x:c>
      <x:c r="G2269" s="8" t="n">
        <x:f>MIN(F2269,9)+1</x:f>
        <x:v>10</x:v>
      </x:c>
      <x:c r="H2269" s="8" t="n">
        <x:f>IF(F2269&lt;=9,1,0)</x:f>
        <x:v>0</x:v>
      </x:c>
      <x:c r="I2269" s="9" t="n">
        <x:f>MIN(10,F2268+IF(AR2268&gt;0,MIN(1,AS2268/AR2268),1))</x:f>
        <x:v>10</x:v>
      </x:c>
      <x:c r="J2269" s="32" t="n">
        <x:f>INDEX(v01_FoodCap,G2269)*Arch_FoodCap*EXP(v01_CapsByProject*SUMPRODUCT((Cap_Point&lt;=I2269)*(Cap_Kind="Food")*Cap_Ln))</x:f>
        <x:v>12000</x:v>
      </x:c>
      <x:c r="K2269" s="32" t="n">
        <x:f>J2269*MIN(1,v01_LeanBase*EXP(v01_CapsByProject*SUMPRODUCT((Cap_Point&lt;=I2269)*(Cap_Kind="Lean")*Cap_Ln)))</x:f>
        <x:v>12000</x:v>
      </x:c>
      <x:c r="L2269" s="10" t="n">
        <x:f>INDEX(v01_HousingCap,G2269)*EXP(v01_CapsByProject*SUMPRODUCT((Cap_Point&lt;=I2269)*(Cap_Kind="Housing")*Cap_Ln))</x:f>
        <x:v>20000</x:v>
      </x:c>
      <x:c r="M2269" s="10" t="n">
        <x:f>INDEX(v01_GroupCap,G2269)*v01_CohesionFactor*EXP(v01_CapsByProject*SUMPRODUCT((Cap_Point&lt;=I2269)*(Cap_Kind="Group")*Cap_Ln))</x:f>
        <x:v>1000000</x:v>
      </x:c>
      <x:c r="N2269" s="32" t="n">
        <x:f>MIN(J2269,L2269,M2269)</x:f>
        <x:v>12000</x:v>
      </x:c>
      <x:c r="O2269" s="10" t="n">
        <x:f>AE2268*N2269</x:f>
        <x:v>180000</x:v>
      </x:c>
      <x:c r="P2269" s="9" t="n">
        <x:f>MIN(1,(AB2268/(AE2268*IF(v01_GroupInCrowding=1,N2269,MIN(J2269,L2269))))^v01_CrowdingExp)</x:f>
        <x:v>0.00024569414295285325</x:v>
      </x:c>
      <x:c r="Q2269" s="9" t="n">
        <x:f>IF(D2269=1,INDEX(v01_WinterMult,G2269),1)</x:f>
        <x:v>1</x:v>
      </x:c>
      <x:c r="R2269" s="9" t="n">
        <x:f>H2269*Z2268*v01_WomenShare*v01_BaseFertility*INDEX(v01_FertMult,G2269)*Arch_Fertility*(1-P2269)</x:f>
        <x:v>0</x:v>
      </x:c>
      <x:c r="S2269" s="9" t="n">
        <x:f>H2269*Y2268*INDEX(v01_MortChild,G2269)/4*Q2269</x:f>
        <x:v>0</x:v>
      </x:c>
      <x:c r="T2269" s="9" t="n">
        <x:f>H2269*Z2268*INDEX(v01_MortAdult,G2269)*Arch_AdultMort/4*Q2269</x:f>
        <x:v>0</x:v>
      </x:c>
      <x:c r="U2269" s="9" t="n">
        <x:f>H2269*AA2268*INDEX(v01_MortElder,G2269)/4*Q2269</x:f>
        <x:v>0</x:v>
      </x:c>
      <x:c r="V2269" s="9" t="n">
        <x:f>H2269*MAX(0,AB2268-O2269)*v01_OvercapLoss</x:f>
        <x:v>0</x:v>
      </x:c>
      <x:c r="W2269" s="9" t="n">
        <x:f>H2269*Y2268/(v01_ChildYears*4)</x:f>
        <x:v>0</x:v>
      </x:c>
      <x:c r="X2269" s="9" t="n">
        <x:f>H2269*Z2268/(v01_AdultYears*4)</x:f>
        <x:v>0</x:v>
      </x:c>
      <x:c r="Y2269" s="32" t="n">
        <x:f>Y2268+R2269-S2269-W2269-Y2268*V2269/AB2268</x:f>
        <x:v>14306.18539759397</x:v>
      </x:c>
      <x:c r="Z2269" s="32" t="n">
        <x:f>Z2268+W2269-X2269-T2269-Z2268*V2269/AB2268</x:f>
        <x:v>19354.456567879548</x:v>
      </x:c>
      <x:c r="AA2269" s="32" t="n">
        <x:f>AA2268+X2269-U2269-AA2268*V2269/AB2268</x:f>
        <x:v>11386.956063258198</x:v>
      </x:c>
      <x:c r="AB2269" s="10" t="n">
        <x:f>Y2269+Z2269+AA2269</x:f>
        <x:v>45047.59802873172</x:v>
      </x:c>
      <x:c r="AC2269" s="8" t="n">
        <x:f>IF(AND(v01_WinterTrigger=1,D2269=1,AB2268/AE2268&gt;=K2269),1,0)</x:f>
        <x:v>0</x:v>
      </x:c>
      <x:c r="AD2269" s="8" t="n">
        <x:f>H2269*IF(AND(OR(AB2268/AE2268&gt;=v01_FissionTrigger*N2269,AC2269=1),AB2268/AE2268*v01_DaughterShare&gt;=v01_MinDaughter),MAX(1,ROUND(AE2268*v01_FissionRate,0)),0)</x:f>
        <x:v>0</x:v>
      </x:c>
      <x:c r="AE2269" s="8" t="n">
        <x:f>IF(H2269=1,MAX(1,MIN(INDEX(v01_Smax,G2269),AE2268+AD2269)),AE2268)</x:f>
        <x:v>15</x:v>
      </x:c>
      <x:c r="AF2269" s="8" t="n">
        <x:f>MAX(0,AE2269-AE2268)</x:f>
        <x:v>0</x:v>
      </x:c>
      <x:c r="AG2269" s="9" t="str">
        <x:f>IF(AF2269&gt;0,B2269,"")</x:f>
      </x:c>
      <x:c r="AH2269" s="9" t="n">
        <x:f>IF(F2269&gt;=1,1,(1+v01_LowTiesShare*(AE2269-1))/AE2269)</x:f>
        <x:v>1</x:v>
      </x:c>
      <x:c r="AI2269" s="32" t="n">
        <x:f>(Z2269+v01_ElderCommons*INDEX(LM_Elder,G2269)*AA2269)*AH2269</x:f>
        <x:v>64139.732591141874</x:v>
      </x:c>
      <x:c r="AJ2269" s="32" t="n">
        <x:f>H2269*v01_CommonsCoef*AI2269^v01_CommonsExp*INDEX(LM_Commons,G2269)</x:f>
        <x:v>0</x:v>
      </x:c>
      <x:c r="AK2269" s="32" t="n">
        <x:f>H2269*v01_RoleScale*Arch_Roles*(AE2269*(INDEX(v01_ElderRolePerSett,G2269)*v01_OutElder*INDEX(LM_Elder,G2269)+INDEX(v01_ShamanPerSett,G2269)*v01_OutShaman)+Z2269*(INDEX(v01_PriestShare,G2269)*v01_OutPriest+INDEX(v01_ScribeShare,G2269)*v01_OutScribe*INDEX(LM_Scribe,G2269)+INDEX(v01_ScholarShare,G2269)*v01_OutScholar*INDEX(LM_Scholar,G2269)+INDEX(v01_ResearcherShare,G2269)*v01_OutResearcher*INDEX(LM_Researcher,G2269)))</x:f>
        <x:v>0</x:v>
      </x:c>
      <x:c r="AL2269" s="32" t="n">
        <x:f>H2269*v01_RoleScale*Arch_Roles*AE2269*INDEX(v01_MonasteryPerSett,G2269)*v01_OutMonastery*INDEX(LM_Monastery,G2269)</x:f>
        <x:v>0</x:v>
      </x:c>
      <x:c r="AM2269" s="32" t="n">
        <x:f>(AJ2269+AK2269+AL2269)/4*INDEX(LM_All,G2269)*INDEX(v01_Boon,G2269)*Arch_Insight</x:f>
        <x:v>0</x:v>
      </x:c>
      <x:c r="AN2269" s="32" t="n">
        <x:f>H2269*(v01_KHPerAdult*Z2269+v01_KHOfCommons*AJ2269/4*INDEX(LM_All,G2269))*v01_KHUsable*Arch_KH</x:f>
        <x:v>0</x:v>
      </x:c>
      <x:c r="AO2269" s="32" t="n">
        <x:f>MIN(AP2268+AN2269,AM2269*v01_KHMaxRatio)</x:f>
        <x:v>0</x:v>
      </x:c>
      <x:c r="AP2269" s="32" t="n">
        <x:f>AP2268+AN2269-AO2269</x:f>
        <x:v>0</x:v>
      </x:c>
      <x:c r="AQ2269" s="32" t="n">
        <x:f>AM2269+AO2269</x:f>
        <x:v>0</x:v>
      </x:c>
      <x:c r="AR2269" s="10" t="n">
        <x:f>IF(H2269=1,INDEX(v01_Req,G2269),0)</x:f>
        <x:v>0</x:v>
      </x:c>
      <x:c r="AS2269" s="32" t="n">
        <x:f>IF(H2269=1,IF(E2269=1,AS2268-AR2268,AS2268)+AQ2269,0)</x:f>
        <x:v>0</x:v>
      </x:c>
      <x:c r="AT2269" s="11" t="n">
        <x:f>IF(AR2269&gt;0,MIN(1,AS2269/AR2269),1)</x:f>
        <x:v>1</x:v>
      </x:c>
      <x:c r="AU2269" s="10" t="n">
        <x:f>AB2269/INDEX(v01_RepScale,G2269)</x:f>
        <x:v>90.09519605746344</x:v>
      </x:c>
      <x:c r="AV2269" s="32" t="n">
        <x:f>AM2269*60/v01_SeasonSeconds</x:f>
        <x:v>0</x:v>
      </x:c>
    </x:row>
    <x:row r="2270">
      <x:c r="A2270" s="8" t="n">
        <x:f>A2269+1</x:f>
        <x:v>2267</x:v>
      </x:c>
      <x:c r="B2270" s="9" t="n">
        <x:f>A2270*v01_SeasonSeconds/60</x:f>
        <x:v>566.75</x:v>
      </x:c>
      <x:c r="C2270" s="9" t="n">
        <x:f>A2270/4</x:f>
        <x:v>566.75</x:v>
      </x:c>
      <x:c r="D2270" s="8" t="n">
        <x:f>IF(MOD(A2270,4)=0,1,0)</x:f>
        <x:v>0</x:v>
      </x:c>
      <x:c r="E2270" s="8" t="n">
        <x:f>IF(AND(F2269&lt;=9,AS2269&gt;=AR2269),1,0)</x:f>
        <x:v>0</x:v>
      </x:c>
      <x:c r="F2270" s="8" t="n">
        <x:f>MIN(10,F2269+E2270)</x:f>
        <x:v>10</x:v>
      </x:c>
      <x:c r="G2270" s="8" t="n">
        <x:f>MIN(F2270,9)+1</x:f>
        <x:v>10</x:v>
      </x:c>
      <x:c r="H2270" s="8" t="n">
        <x:f>IF(F2270&lt;=9,1,0)</x:f>
        <x:v>0</x:v>
      </x:c>
      <x:c r="I2270" s="9" t="n">
        <x:f>MIN(10,F2269+IF(AR2269&gt;0,MIN(1,AS2269/AR2269),1))</x:f>
        <x:v>10</x:v>
      </x:c>
      <x:c r="J2270" s="32" t="n">
        <x:f>INDEX(v01_FoodCap,G2270)*Arch_FoodCap*EXP(v01_CapsByProject*SUMPRODUCT((Cap_Point&lt;=I2270)*(Cap_Kind="Food")*Cap_Ln))</x:f>
        <x:v>12000</x:v>
      </x:c>
      <x:c r="K2270" s="32" t="n">
        <x:f>J2270*MIN(1,v01_LeanBase*EXP(v01_CapsByProject*SUMPRODUCT((Cap_Point&lt;=I2270)*(Cap_Kind="Lean")*Cap_Ln)))</x:f>
        <x:v>12000</x:v>
      </x:c>
      <x:c r="L2270" s="10" t="n">
        <x:f>INDEX(v01_HousingCap,G2270)*EXP(v01_CapsByProject*SUMPRODUCT((Cap_Point&lt;=I2270)*(Cap_Kind="Housing")*Cap_Ln))</x:f>
        <x:v>20000</x:v>
      </x:c>
      <x:c r="M2270" s="10" t="n">
        <x:f>INDEX(v01_GroupCap,G2270)*v01_CohesionFactor*EXP(v01_CapsByProject*SUMPRODUCT((Cap_Point&lt;=I2270)*(Cap_Kind="Group")*Cap_Ln))</x:f>
        <x:v>1000000</x:v>
      </x:c>
      <x:c r="N2270" s="32" t="n">
        <x:f>MIN(J2270,L2270,M2270)</x:f>
        <x:v>12000</x:v>
      </x:c>
      <x:c r="O2270" s="10" t="n">
        <x:f>AE2269*N2270</x:f>
        <x:v>180000</x:v>
      </x:c>
      <x:c r="P2270" s="9" t="n">
        <x:f>MIN(1,(AB2269/(AE2269*IF(v01_GroupInCrowding=1,N2270,MIN(J2270,L2270))))^v01_CrowdingExp)</x:f>
        <x:v>0.00024569414295285325</x:v>
      </x:c>
      <x:c r="Q2270" s="9" t="n">
        <x:f>IF(D2270=1,INDEX(v01_WinterMult,G2270),1)</x:f>
        <x:v>1</x:v>
      </x:c>
      <x:c r="R2270" s="9" t="n">
        <x:f>H2270*Z2269*v01_WomenShare*v01_BaseFertility*INDEX(v01_FertMult,G2270)*Arch_Fertility*(1-P2270)</x:f>
        <x:v>0</x:v>
      </x:c>
      <x:c r="S2270" s="9" t="n">
        <x:f>H2270*Y2269*INDEX(v01_MortChild,G2270)/4*Q2270</x:f>
        <x:v>0</x:v>
      </x:c>
      <x:c r="T2270" s="9" t="n">
        <x:f>H2270*Z2269*INDEX(v01_MortAdult,G2270)*Arch_AdultMort/4*Q2270</x:f>
        <x:v>0</x:v>
      </x:c>
      <x:c r="U2270" s="9" t="n">
        <x:f>H2270*AA2269*INDEX(v01_MortElder,G2270)/4*Q2270</x:f>
        <x:v>0</x:v>
      </x:c>
      <x:c r="V2270" s="9" t="n">
        <x:f>H2270*MAX(0,AB2269-O2270)*v01_OvercapLoss</x:f>
        <x:v>0</x:v>
      </x:c>
      <x:c r="W2270" s="9" t="n">
        <x:f>H2270*Y2269/(v01_ChildYears*4)</x:f>
        <x:v>0</x:v>
      </x:c>
      <x:c r="X2270" s="9" t="n">
        <x:f>H2270*Z2269/(v01_AdultYears*4)</x:f>
        <x:v>0</x:v>
      </x:c>
      <x:c r="Y2270" s="32" t="n">
        <x:f>Y2269+R2270-S2270-W2270-Y2269*V2270/AB2269</x:f>
        <x:v>14306.18539759397</x:v>
      </x:c>
      <x:c r="Z2270" s="32" t="n">
        <x:f>Z2269+W2270-X2270-T2270-Z2269*V2270/AB2269</x:f>
        <x:v>19354.456567879548</x:v>
      </x:c>
      <x:c r="AA2270" s="32" t="n">
        <x:f>AA2269+X2270-U2270-AA2269*V2270/AB2269</x:f>
        <x:v>11386.956063258198</x:v>
      </x:c>
      <x:c r="AB2270" s="10" t="n">
        <x:f>Y2270+Z2270+AA2270</x:f>
        <x:v>45047.59802873172</x:v>
      </x:c>
      <x:c r="AC2270" s="8" t="n">
        <x:f>IF(AND(v01_WinterTrigger=1,D2270=1,AB2269/AE2269&gt;=K2270),1,0)</x:f>
        <x:v>0</x:v>
      </x:c>
      <x:c r="AD2270" s="8" t="n">
        <x:f>H2270*IF(AND(OR(AB2269/AE2269&gt;=v01_FissionTrigger*N2270,AC2270=1),AB2269/AE2269*v01_DaughterShare&gt;=v01_MinDaughter),MAX(1,ROUND(AE2269*v01_FissionRate,0)),0)</x:f>
        <x:v>0</x:v>
      </x:c>
      <x:c r="AE2270" s="8" t="n">
        <x:f>IF(H2270=1,MAX(1,MIN(INDEX(v01_Smax,G2270),AE2269+AD2270)),AE2269)</x:f>
        <x:v>15</x:v>
      </x:c>
      <x:c r="AF2270" s="8" t="n">
        <x:f>MAX(0,AE2270-AE2269)</x:f>
        <x:v>0</x:v>
      </x:c>
      <x:c r="AG2270" s="9" t="str">
        <x:f>IF(AF2270&gt;0,B2270,"")</x:f>
      </x:c>
      <x:c r="AH2270" s="9" t="n">
        <x:f>IF(F2270&gt;=1,1,(1+v01_LowTiesShare*(AE2270-1))/AE2270)</x:f>
        <x:v>1</x:v>
      </x:c>
      <x:c r="AI2270" s="32" t="n">
        <x:f>(Z2270+v01_ElderCommons*INDEX(LM_Elder,G2270)*AA2270)*AH2270</x:f>
        <x:v>64139.732591141874</x:v>
      </x:c>
      <x:c r="AJ2270" s="32" t="n">
        <x:f>H2270*v01_CommonsCoef*AI2270^v01_CommonsExp*INDEX(LM_Commons,G2270)</x:f>
        <x:v>0</x:v>
      </x:c>
      <x:c r="AK2270" s="32" t="n">
        <x:f>H2270*v01_RoleScale*Arch_Roles*(AE2270*(INDEX(v01_ElderRolePerSett,G2270)*v01_OutElder*INDEX(LM_Elder,G2270)+INDEX(v01_ShamanPerSett,G2270)*v01_OutShaman)+Z2270*(INDEX(v01_PriestShare,G2270)*v01_OutPriest+INDEX(v01_ScribeShare,G2270)*v01_OutScribe*INDEX(LM_Scribe,G2270)+INDEX(v01_ScholarShare,G2270)*v01_OutScholar*INDEX(LM_Scholar,G2270)+INDEX(v01_ResearcherShare,G2270)*v01_OutResearcher*INDEX(LM_Researcher,G2270)))</x:f>
        <x:v>0</x:v>
      </x:c>
      <x:c r="AL2270" s="32" t="n">
        <x:f>H2270*v01_RoleScale*Arch_Roles*AE2270*INDEX(v01_MonasteryPerSett,G2270)*v01_OutMonastery*INDEX(LM_Monastery,G2270)</x:f>
        <x:v>0</x:v>
      </x:c>
      <x:c r="AM2270" s="32" t="n">
        <x:f>(AJ2270+AK2270+AL2270)/4*INDEX(LM_All,G2270)*INDEX(v01_Boon,G2270)*Arch_Insight</x:f>
        <x:v>0</x:v>
      </x:c>
      <x:c r="AN2270" s="32" t="n">
        <x:f>H2270*(v01_KHPerAdult*Z2270+v01_KHOfCommons*AJ2270/4*INDEX(LM_All,G2270))*v01_KHUsable*Arch_KH</x:f>
        <x:v>0</x:v>
      </x:c>
      <x:c r="AO2270" s="32" t="n">
        <x:f>MIN(AP2269+AN2270,AM2270*v01_KHMaxRatio)</x:f>
        <x:v>0</x:v>
      </x:c>
      <x:c r="AP2270" s="32" t="n">
        <x:f>AP2269+AN2270-AO2270</x:f>
        <x:v>0</x:v>
      </x:c>
      <x:c r="AQ2270" s="32" t="n">
        <x:f>AM2270+AO2270</x:f>
        <x:v>0</x:v>
      </x:c>
      <x:c r="AR2270" s="10" t="n">
        <x:f>IF(H2270=1,INDEX(v01_Req,G2270),0)</x:f>
        <x:v>0</x:v>
      </x:c>
      <x:c r="AS2270" s="32" t="n">
        <x:f>IF(H2270=1,IF(E2270=1,AS2269-AR2269,AS2269)+AQ2270,0)</x:f>
        <x:v>0</x:v>
      </x:c>
      <x:c r="AT2270" s="11" t="n">
        <x:f>IF(AR2270&gt;0,MIN(1,AS2270/AR2270),1)</x:f>
        <x:v>1</x:v>
      </x:c>
      <x:c r="AU2270" s="10" t="n">
        <x:f>AB2270/INDEX(v01_RepScale,G2270)</x:f>
        <x:v>90.09519605746344</x:v>
      </x:c>
      <x:c r="AV2270" s="32" t="n">
        <x:f>AM2270*60/v01_SeasonSeconds</x:f>
        <x:v>0</x:v>
      </x:c>
    </x:row>
    <x:row r="2271">
      <x:c r="A2271" s="8" t="n">
        <x:f>A2270+1</x:f>
        <x:v>2268</x:v>
      </x:c>
      <x:c r="B2271" s="9" t="n">
        <x:f>A2271*v01_SeasonSeconds/60</x:f>
        <x:v>567</x:v>
      </x:c>
      <x:c r="C2271" s="9" t="n">
        <x:f>A2271/4</x:f>
        <x:v>567</x:v>
      </x:c>
      <x:c r="D2271" s="8" t="n">
        <x:f>IF(MOD(A2271,4)=0,1,0)</x:f>
        <x:v>1</x:v>
      </x:c>
      <x:c r="E2271" s="8" t="n">
        <x:f>IF(AND(F2270&lt;=9,AS2270&gt;=AR2270),1,0)</x:f>
        <x:v>0</x:v>
      </x:c>
      <x:c r="F2271" s="8" t="n">
        <x:f>MIN(10,F2270+E2271)</x:f>
        <x:v>10</x:v>
      </x:c>
      <x:c r="G2271" s="8" t="n">
        <x:f>MIN(F2271,9)+1</x:f>
        <x:v>10</x:v>
      </x:c>
      <x:c r="H2271" s="8" t="n">
        <x:f>IF(F2271&lt;=9,1,0)</x:f>
        <x:v>0</x:v>
      </x:c>
      <x:c r="I2271" s="9" t="n">
        <x:f>MIN(10,F2270+IF(AR2270&gt;0,MIN(1,AS2270/AR2270),1))</x:f>
        <x:v>10</x:v>
      </x:c>
      <x:c r="J2271" s="32" t="n">
        <x:f>INDEX(v01_FoodCap,G2271)*Arch_FoodCap*EXP(v01_CapsByProject*SUMPRODUCT((Cap_Point&lt;=I2271)*(Cap_Kind="Food")*Cap_Ln))</x:f>
        <x:v>12000</x:v>
      </x:c>
      <x:c r="K2271" s="32" t="n">
        <x:f>J2271*MIN(1,v01_LeanBase*EXP(v01_CapsByProject*SUMPRODUCT((Cap_Point&lt;=I2271)*(Cap_Kind="Lean")*Cap_Ln)))</x:f>
        <x:v>12000</x:v>
      </x:c>
      <x:c r="L2271" s="10" t="n">
        <x:f>INDEX(v01_HousingCap,G2271)*EXP(v01_CapsByProject*SUMPRODUCT((Cap_Point&lt;=I2271)*(Cap_Kind="Housing")*Cap_Ln))</x:f>
        <x:v>20000</x:v>
      </x:c>
      <x:c r="M2271" s="10" t="n">
        <x:f>INDEX(v01_GroupCap,G2271)*v01_CohesionFactor*EXP(v01_CapsByProject*SUMPRODUCT((Cap_Point&lt;=I2271)*(Cap_Kind="Group")*Cap_Ln))</x:f>
        <x:v>1000000</x:v>
      </x:c>
      <x:c r="N2271" s="32" t="n">
        <x:f>MIN(J2271,L2271,M2271)</x:f>
        <x:v>12000</x:v>
      </x:c>
      <x:c r="O2271" s="10" t="n">
        <x:f>AE2270*N2271</x:f>
        <x:v>180000</x:v>
      </x:c>
      <x:c r="P2271" s="9" t="n">
        <x:f>MIN(1,(AB2270/(AE2270*IF(v01_GroupInCrowding=1,N2271,MIN(J2271,L2271))))^v01_CrowdingExp)</x:f>
        <x:v>0.00024569414295285325</x:v>
      </x:c>
      <x:c r="Q2271" s="9" t="n">
        <x:f>IF(D2271=1,INDEX(v01_WinterMult,G2271),1)</x:f>
        <x:v>1</x:v>
      </x:c>
      <x:c r="R2271" s="9" t="n">
        <x:f>H2271*Z2270*v01_WomenShare*v01_BaseFertility*INDEX(v01_FertMult,G2271)*Arch_Fertility*(1-P2271)</x:f>
        <x:v>0</x:v>
      </x:c>
      <x:c r="S2271" s="9" t="n">
        <x:f>H2271*Y2270*INDEX(v01_MortChild,G2271)/4*Q2271</x:f>
        <x:v>0</x:v>
      </x:c>
      <x:c r="T2271" s="9" t="n">
        <x:f>H2271*Z2270*INDEX(v01_MortAdult,G2271)*Arch_AdultMort/4*Q2271</x:f>
        <x:v>0</x:v>
      </x:c>
      <x:c r="U2271" s="9" t="n">
        <x:f>H2271*AA2270*INDEX(v01_MortElder,G2271)/4*Q2271</x:f>
        <x:v>0</x:v>
      </x:c>
      <x:c r="V2271" s="9" t="n">
        <x:f>H2271*MAX(0,AB2270-O2271)*v01_OvercapLoss</x:f>
        <x:v>0</x:v>
      </x:c>
      <x:c r="W2271" s="9" t="n">
        <x:f>H2271*Y2270/(v01_ChildYears*4)</x:f>
        <x:v>0</x:v>
      </x:c>
      <x:c r="X2271" s="9" t="n">
        <x:f>H2271*Z2270/(v01_AdultYears*4)</x:f>
        <x:v>0</x:v>
      </x:c>
      <x:c r="Y2271" s="32" t="n">
        <x:f>Y2270+R2271-S2271-W2271-Y2270*V2271/AB2270</x:f>
        <x:v>14306.18539759397</x:v>
      </x:c>
      <x:c r="Z2271" s="32" t="n">
        <x:f>Z2270+W2271-X2271-T2271-Z2270*V2271/AB2270</x:f>
        <x:v>19354.456567879548</x:v>
      </x:c>
      <x:c r="AA2271" s="32" t="n">
        <x:f>AA2270+X2271-U2271-AA2270*V2271/AB2270</x:f>
        <x:v>11386.956063258198</x:v>
      </x:c>
      <x:c r="AB2271" s="10" t="n">
        <x:f>Y2271+Z2271+AA2271</x:f>
        <x:v>45047.59802873172</x:v>
      </x:c>
      <x:c r="AC2271" s="8" t="n">
        <x:f>IF(AND(v01_WinterTrigger=1,D2271=1,AB2270/AE2270&gt;=K2271),1,0)</x:f>
        <x:v>0</x:v>
      </x:c>
      <x:c r="AD2271" s="8" t="n">
        <x:f>H2271*IF(AND(OR(AB2270/AE2270&gt;=v01_FissionTrigger*N2271,AC2271=1),AB2270/AE2270*v01_DaughterShare&gt;=v01_MinDaughter),MAX(1,ROUND(AE2270*v01_FissionRate,0)),0)</x:f>
        <x:v>0</x:v>
      </x:c>
      <x:c r="AE2271" s="8" t="n">
        <x:f>IF(H2271=1,MAX(1,MIN(INDEX(v01_Smax,G2271),AE2270+AD2271)),AE2270)</x:f>
        <x:v>15</x:v>
      </x:c>
      <x:c r="AF2271" s="8" t="n">
        <x:f>MAX(0,AE2271-AE2270)</x:f>
        <x:v>0</x:v>
      </x:c>
      <x:c r="AG2271" s="9" t="str">
        <x:f>IF(AF2271&gt;0,B2271,"")</x:f>
      </x:c>
      <x:c r="AH2271" s="9" t="n">
        <x:f>IF(F2271&gt;=1,1,(1+v01_LowTiesShare*(AE2271-1))/AE2271)</x:f>
        <x:v>1</x:v>
      </x:c>
      <x:c r="AI2271" s="32" t="n">
        <x:f>(Z2271+v01_ElderCommons*INDEX(LM_Elder,G2271)*AA2271)*AH2271</x:f>
        <x:v>64139.732591141874</x:v>
      </x:c>
      <x:c r="AJ2271" s="32" t="n">
        <x:f>H2271*v01_CommonsCoef*AI2271^v01_CommonsExp*INDEX(LM_Commons,G2271)</x:f>
        <x:v>0</x:v>
      </x:c>
      <x:c r="AK2271" s="32" t="n">
        <x:f>H2271*v01_RoleScale*Arch_Roles*(AE2271*(INDEX(v01_ElderRolePerSett,G2271)*v01_OutElder*INDEX(LM_Elder,G2271)+INDEX(v01_ShamanPerSett,G2271)*v01_OutShaman)+Z2271*(INDEX(v01_PriestShare,G2271)*v01_OutPriest+INDEX(v01_ScribeShare,G2271)*v01_OutScribe*INDEX(LM_Scribe,G2271)+INDEX(v01_ScholarShare,G2271)*v01_OutScholar*INDEX(LM_Scholar,G2271)+INDEX(v01_ResearcherShare,G2271)*v01_OutResearcher*INDEX(LM_Researcher,G2271)))</x:f>
        <x:v>0</x:v>
      </x:c>
      <x:c r="AL2271" s="32" t="n">
        <x:f>H2271*v01_RoleScale*Arch_Roles*AE2271*INDEX(v01_MonasteryPerSett,G2271)*v01_OutMonastery*INDEX(LM_Monastery,G2271)</x:f>
        <x:v>0</x:v>
      </x:c>
      <x:c r="AM2271" s="32" t="n">
        <x:f>(AJ2271+AK2271+AL2271)/4*INDEX(LM_All,G2271)*INDEX(v01_Boon,G2271)*Arch_Insight</x:f>
        <x:v>0</x:v>
      </x:c>
      <x:c r="AN2271" s="32" t="n">
        <x:f>H2271*(v01_KHPerAdult*Z2271+v01_KHOfCommons*AJ2271/4*INDEX(LM_All,G2271))*v01_KHUsable*Arch_KH</x:f>
        <x:v>0</x:v>
      </x:c>
      <x:c r="AO2271" s="32" t="n">
        <x:f>MIN(AP2270+AN2271,AM2271*v01_KHMaxRatio)</x:f>
        <x:v>0</x:v>
      </x:c>
      <x:c r="AP2271" s="32" t="n">
        <x:f>AP2270+AN2271-AO2271</x:f>
        <x:v>0</x:v>
      </x:c>
      <x:c r="AQ2271" s="32" t="n">
        <x:f>AM2271+AO2271</x:f>
        <x:v>0</x:v>
      </x:c>
      <x:c r="AR2271" s="10" t="n">
        <x:f>IF(H2271=1,INDEX(v01_Req,G2271),0)</x:f>
        <x:v>0</x:v>
      </x:c>
      <x:c r="AS2271" s="32" t="n">
        <x:f>IF(H2271=1,IF(E2271=1,AS2270-AR2270,AS2270)+AQ2271,0)</x:f>
        <x:v>0</x:v>
      </x:c>
      <x:c r="AT2271" s="11" t="n">
        <x:f>IF(AR2271&gt;0,MIN(1,AS2271/AR2271),1)</x:f>
        <x:v>1</x:v>
      </x:c>
      <x:c r="AU2271" s="10" t="n">
        <x:f>AB2271/INDEX(v01_RepScale,G2271)</x:f>
        <x:v>90.09519605746344</x:v>
      </x:c>
      <x:c r="AV2271" s="32" t="n">
        <x:f>AM2271*60/v01_SeasonSeconds</x:f>
        <x:v>0</x:v>
      </x:c>
    </x:row>
    <x:row r="2272">
      <x:c r="A2272" s="8" t="n">
        <x:f>A2271+1</x:f>
        <x:v>2269</x:v>
      </x:c>
      <x:c r="B2272" s="9" t="n">
        <x:f>A2272*v01_SeasonSeconds/60</x:f>
        <x:v>567.25</x:v>
      </x:c>
      <x:c r="C2272" s="9" t="n">
        <x:f>A2272/4</x:f>
        <x:v>567.25</x:v>
      </x:c>
      <x:c r="D2272" s="8" t="n">
        <x:f>IF(MOD(A2272,4)=0,1,0)</x:f>
        <x:v>0</x:v>
      </x:c>
      <x:c r="E2272" s="8" t="n">
        <x:f>IF(AND(F2271&lt;=9,AS2271&gt;=AR2271),1,0)</x:f>
        <x:v>0</x:v>
      </x:c>
      <x:c r="F2272" s="8" t="n">
        <x:f>MIN(10,F2271+E2272)</x:f>
        <x:v>10</x:v>
      </x:c>
      <x:c r="G2272" s="8" t="n">
        <x:f>MIN(F2272,9)+1</x:f>
        <x:v>10</x:v>
      </x:c>
      <x:c r="H2272" s="8" t="n">
        <x:f>IF(F2272&lt;=9,1,0)</x:f>
        <x:v>0</x:v>
      </x:c>
      <x:c r="I2272" s="9" t="n">
        <x:f>MIN(10,F2271+IF(AR2271&gt;0,MIN(1,AS2271/AR2271),1))</x:f>
        <x:v>10</x:v>
      </x:c>
      <x:c r="J2272" s="32" t="n">
        <x:f>INDEX(v01_FoodCap,G2272)*Arch_FoodCap*EXP(v01_CapsByProject*SUMPRODUCT((Cap_Point&lt;=I2272)*(Cap_Kind="Food")*Cap_Ln))</x:f>
        <x:v>12000</x:v>
      </x:c>
      <x:c r="K2272" s="32" t="n">
        <x:f>J2272*MIN(1,v01_LeanBase*EXP(v01_CapsByProject*SUMPRODUCT((Cap_Point&lt;=I2272)*(Cap_Kind="Lean")*Cap_Ln)))</x:f>
        <x:v>12000</x:v>
      </x:c>
      <x:c r="L2272" s="10" t="n">
        <x:f>INDEX(v01_HousingCap,G2272)*EXP(v01_CapsByProject*SUMPRODUCT((Cap_Point&lt;=I2272)*(Cap_Kind="Housing")*Cap_Ln))</x:f>
        <x:v>20000</x:v>
      </x:c>
      <x:c r="M2272" s="10" t="n">
        <x:f>INDEX(v01_GroupCap,G2272)*v01_CohesionFactor*EXP(v01_CapsByProject*SUMPRODUCT((Cap_Point&lt;=I2272)*(Cap_Kind="Group")*Cap_Ln))</x:f>
        <x:v>1000000</x:v>
      </x:c>
      <x:c r="N2272" s="32" t="n">
        <x:f>MIN(J2272,L2272,M2272)</x:f>
        <x:v>12000</x:v>
      </x:c>
      <x:c r="O2272" s="10" t="n">
        <x:f>AE2271*N2272</x:f>
        <x:v>180000</x:v>
      </x:c>
      <x:c r="P2272" s="9" t="n">
        <x:f>MIN(1,(AB2271/(AE2271*IF(v01_GroupInCrowding=1,N2272,MIN(J2272,L2272))))^v01_CrowdingExp)</x:f>
        <x:v>0.00024569414295285325</x:v>
      </x:c>
      <x:c r="Q2272" s="9" t="n">
        <x:f>IF(D2272=1,INDEX(v01_WinterMult,G2272),1)</x:f>
        <x:v>1</x:v>
      </x:c>
      <x:c r="R2272" s="9" t="n">
        <x:f>H2272*Z2271*v01_WomenShare*v01_BaseFertility*INDEX(v01_FertMult,G2272)*Arch_Fertility*(1-P2272)</x:f>
        <x:v>0</x:v>
      </x:c>
      <x:c r="S2272" s="9" t="n">
        <x:f>H2272*Y2271*INDEX(v01_MortChild,G2272)/4*Q2272</x:f>
        <x:v>0</x:v>
      </x:c>
      <x:c r="T2272" s="9" t="n">
        <x:f>H2272*Z2271*INDEX(v01_MortAdult,G2272)*Arch_AdultMort/4*Q2272</x:f>
        <x:v>0</x:v>
      </x:c>
      <x:c r="U2272" s="9" t="n">
        <x:f>H2272*AA2271*INDEX(v01_MortElder,G2272)/4*Q2272</x:f>
        <x:v>0</x:v>
      </x:c>
      <x:c r="V2272" s="9" t="n">
        <x:f>H2272*MAX(0,AB2271-O2272)*v01_OvercapLoss</x:f>
        <x:v>0</x:v>
      </x:c>
      <x:c r="W2272" s="9" t="n">
        <x:f>H2272*Y2271/(v01_ChildYears*4)</x:f>
        <x:v>0</x:v>
      </x:c>
      <x:c r="X2272" s="9" t="n">
        <x:f>H2272*Z2271/(v01_AdultYears*4)</x:f>
        <x:v>0</x:v>
      </x:c>
      <x:c r="Y2272" s="32" t="n">
        <x:f>Y2271+R2272-S2272-W2272-Y2271*V2272/AB2271</x:f>
        <x:v>14306.18539759397</x:v>
      </x:c>
      <x:c r="Z2272" s="32" t="n">
        <x:f>Z2271+W2272-X2272-T2272-Z2271*V2272/AB2271</x:f>
        <x:v>19354.456567879548</x:v>
      </x:c>
      <x:c r="AA2272" s="32" t="n">
        <x:f>AA2271+X2272-U2272-AA2271*V2272/AB2271</x:f>
        <x:v>11386.956063258198</x:v>
      </x:c>
      <x:c r="AB2272" s="10" t="n">
        <x:f>Y2272+Z2272+AA2272</x:f>
        <x:v>45047.59802873172</x:v>
      </x:c>
      <x:c r="AC2272" s="8" t="n">
        <x:f>IF(AND(v01_WinterTrigger=1,D2272=1,AB2271/AE2271&gt;=K2272),1,0)</x:f>
        <x:v>0</x:v>
      </x:c>
      <x:c r="AD2272" s="8" t="n">
        <x:f>H2272*IF(AND(OR(AB2271/AE2271&gt;=v01_FissionTrigger*N2272,AC2272=1),AB2271/AE2271*v01_DaughterShare&gt;=v01_MinDaughter),MAX(1,ROUND(AE2271*v01_FissionRate,0)),0)</x:f>
        <x:v>0</x:v>
      </x:c>
      <x:c r="AE2272" s="8" t="n">
        <x:f>IF(H2272=1,MAX(1,MIN(INDEX(v01_Smax,G2272),AE2271+AD2272)),AE2271)</x:f>
        <x:v>15</x:v>
      </x:c>
      <x:c r="AF2272" s="8" t="n">
        <x:f>MAX(0,AE2272-AE2271)</x:f>
        <x:v>0</x:v>
      </x:c>
      <x:c r="AG2272" s="9" t="str">
        <x:f>IF(AF2272&gt;0,B2272,"")</x:f>
      </x:c>
      <x:c r="AH2272" s="9" t="n">
        <x:f>IF(F2272&gt;=1,1,(1+v01_LowTiesShare*(AE2272-1))/AE2272)</x:f>
        <x:v>1</x:v>
      </x:c>
      <x:c r="AI2272" s="32" t="n">
        <x:f>(Z2272+v01_ElderCommons*INDEX(LM_Elder,G2272)*AA2272)*AH2272</x:f>
        <x:v>64139.732591141874</x:v>
      </x:c>
      <x:c r="AJ2272" s="32" t="n">
        <x:f>H2272*v01_CommonsCoef*AI2272^v01_CommonsExp*INDEX(LM_Commons,G2272)</x:f>
        <x:v>0</x:v>
      </x:c>
      <x:c r="AK2272" s="32" t="n">
        <x:f>H2272*v01_RoleScale*Arch_Roles*(AE2272*(INDEX(v01_ElderRolePerSett,G2272)*v01_OutElder*INDEX(LM_Elder,G2272)+INDEX(v01_ShamanPerSett,G2272)*v01_OutShaman)+Z2272*(INDEX(v01_PriestShare,G2272)*v01_OutPriest+INDEX(v01_ScribeShare,G2272)*v01_OutScribe*INDEX(LM_Scribe,G2272)+INDEX(v01_ScholarShare,G2272)*v01_OutScholar*INDEX(LM_Scholar,G2272)+INDEX(v01_ResearcherShare,G2272)*v01_OutResearcher*INDEX(LM_Researcher,G2272)))</x:f>
        <x:v>0</x:v>
      </x:c>
      <x:c r="AL2272" s="32" t="n">
        <x:f>H2272*v01_RoleScale*Arch_Roles*AE2272*INDEX(v01_MonasteryPerSett,G2272)*v01_OutMonastery*INDEX(LM_Monastery,G2272)</x:f>
        <x:v>0</x:v>
      </x:c>
      <x:c r="AM2272" s="32" t="n">
        <x:f>(AJ2272+AK2272+AL2272)/4*INDEX(LM_All,G2272)*INDEX(v01_Boon,G2272)*Arch_Insight</x:f>
        <x:v>0</x:v>
      </x:c>
      <x:c r="AN2272" s="32" t="n">
        <x:f>H2272*(v01_KHPerAdult*Z2272+v01_KHOfCommons*AJ2272/4*INDEX(LM_All,G2272))*v01_KHUsable*Arch_KH</x:f>
        <x:v>0</x:v>
      </x:c>
      <x:c r="AO2272" s="32" t="n">
        <x:f>MIN(AP2271+AN2272,AM2272*v01_KHMaxRatio)</x:f>
        <x:v>0</x:v>
      </x:c>
      <x:c r="AP2272" s="32" t="n">
        <x:f>AP2271+AN2272-AO2272</x:f>
        <x:v>0</x:v>
      </x:c>
      <x:c r="AQ2272" s="32" t="n">
        <x:f>AM2272+AO2272</x:f>
        <x:v>0</x:v>
      </x:c>
      <x:c r="AR2272" s="10" t="n">
        <x:f>IF(H2272=1,INDEX(v01_Req,G2272),0)</x:f>
        <x:v>0</x:v>
      </x:c>
      <x:c r="AS2272" s="32" t="n">
        <x:f>IF(H2272=1,IF(E2272=1,AS2271-AR2271,AS2271)+AQ2272,0)</x:f>
        <x:v>0</x:v>
      </x:c>
      <x:c r="AT2272" s="11" t="n">
        <x:f>IF(AR2272&gt;0,MIN(1,AS2272/AR2272),1)</x:f>
        <x:v>1</x:v>
      </x:c>
      <x:c r="AU2272" s="10" t="n">
        <x:f>AB2272/INDEX(v01_RepScale,G2272)</x:f>
        <x:v>90.09519605746344</x:v>
      </x:c>
      <x:c r="AV2272" s="32" t="n">
        <x:f>AM2272*60/v01_SeasonSeconds</x:f>
        <x:v>0</x:v>
      </x:c>
    </x:row>
    <x:row r="2273">
      <x:c r="A2273" s="8" t="n">
        <x:f>A2272+1</x:f>
        <x:v>2270</x:v>
      </x:c>
      <x:c r="B2273" s="9" t="n">
        <x:f>A2273*v01_SeasonSeconds/60</x:f>
        <x:v>567.5</x:v>
      </x:c>
      <x:c r="C2273" s="9" t="n">
        <x:f>A2273/4</x:f>
        <x:v>567.5</x:v>
      </x:c>
      <x:c r="D2273" s="8" t="n">
        <x:f>IF(MOD(A2273,4)=0,1,0)</x:f>
        <x:v>0</x:v>
      </x:c>
      <x:c r="E2273" s="8" t="n">
        <x:f>IF(AND(F2272&lt;=9,AS2272&gt;=AR2272),1,0)</x:f>
        <x:v>0</x:v>
      </x:c>
      <x:c r="F2273" s="8" t="n">
        <x:f>MIN(10,F2272+E2273)</x:f>
        <x:v>10</x:v>
      </x:c>
      <x:c r="G2273" s="8" t="n">
        <x:f>MIN(F2273,9)+1</x:f>
        <x:v>10</x:v>
      </x:c>
      <x:c r="H2273" s="8" t="n">
        <x:f>IF(F2273&lt;=9,1,0)</x:f>
        <x:v>0</x:v>
      </x:c>
      <x:c r="I2273" s="9" t="n">
        <x:f>MIN(10,F2272+IF(AR2272&gt;0,MIN(1,AS2272/AR2272),1))</x:f>
        <x:v>10</x:v>
      </x:c>
      <x:c r="J2273" s="32" t="n">
        <x:f>INDEX(v01_FoodCap,G2273)*Arch_FoodCap*EXP(v01_CapsByProject*SUMPRODUCT((Cap_Point&lt;=I2273)*(Cap_Kind="Food")*Cap_Ln))</x:f>
        <x:v>12000</x:v>
      </x:c>
      <x:c r="K2273" s="32" t="n">
        <x:f>J2273*MIN(1,v01_LeanBase*EXP(v01_CapsByProject*SUMPRODUCT((Cap_Point&lt;=I2273)*(Cap_Kind="Lean")*Cap_Ln)))</x:f>
        <x:v>12000</x:v>
      </x:c>
      <x:c r="L2273" s="10" t="n">
        <x:f>INDEX(v01_HousingCap,G2273)*EXP(v01_CapsByProject*SUMPRODUCT((Cap_Point&lt;=I2273)*(Cap_Kind="Housing")*Cap_Ln))</x:f>
        <x:v>20000</x:v>
      </x:c>
      <x:c r="M2273" s="10" t="n">
        <x:f>INDEX(v01_GroupCap,G2273)*v01_CohesionFactor*EXP(v01_CapsByProject*SUMPRODUCT((Cap_Point&lt;=I2273)*(Cap_Kind="Group")*Cap_Ln))</x:f>
        <x:v>1000000</x:v>
      </x:c>
      <x:c r="N2273" s="32" t="n">
        <x:f>MIN(J2273,L2273,M2273)</x:f>
        <x:v>12000</x:v>
      </x:c>
      <x:c r="O2273" s="10" t="n">
        <x:f>AE2272*N2273</x:f>
        <x:v>180000</x:v>
      </x:c>
      <x:c r="P2273" s="9" t="n">
        <x:f>MIN(1,(AB2272/(AE2272*IF(v01_GroupInCrowding=1,N2273,MIN(J2273,L2273))))^v01_CrowdingExp)</x:f>
        <x:v>0.00024569414295285325</x:v>
      </x:c>
      <x:c r="Q2273" s="9" t="n">
        <x:f>IF(D2273=1,INDEX(v01_WinterMult,G2273),1)</x:f>
        <x:v>1</x:v>
      </x:c>
      <x:c r="R2273" s="9" t="n">
        <x:f>H2273*Z2272*v01_WomenShare*v01_BaseFertility*INDEX(v01_FertMult,G2273)*Arch_Fertility*(1-P2273)</x:f>
        <x:v>0</x:v>
      </x:c>
      <x:c r="S2273" s="9" t="n">
        <x:f>H2273*Y2272*INDEX(v01_MortChild,G2273)/4*Q2273</x:f>
        <x:v>0</x:v>
      </x:c>
      <x:c r="T2273" s="9" t="n">
        <x:f>H2273*Z2272*INDEX(v01_MortAdult,G2273)*Arch_AdultMort/4*Q2273</x:f>
        <x:v>0</x:v>
      </x:c>
      <x:c r="U2273" s="9" t="n">
        <x:f>H2273*AA2272*INDEX(v01_MortElder,G2273)/4*Q2273</x:f>
        <x:v>0</x:v>
      </x:c>
      <x:c r="V2273" s="9" t="n">
        <x:f>H2273*MAX(0,AB2272-O2273)*v01_OvercapLoss</x:f>
        <x:v>0</x:v>
      </x:c>
      <x:c r="W2273" s="9" t="n">
        <x:f>H2273*Y2272/(v01_ChildYears*4)</x:f>
        <x:v>0</x:v>
      </x:c>
      <x:c r="X2273" s="9" t="n">
        <x:f>H2273*Z2272/(v01_AdultYears*4)</x:f>
        <x:v>0</x:v>
      </x:c>
      <x:c r="Y2273" s="32" t="n">
        <x:f>Y2272+R2273-S2273-W2273-Y2272*V2273/AB2272</x:f>
        <x:v>14306.18539759397</x:v>
      </x:c>
      <x:c r="Z2273" s="32" t="n">
        <x:f>Z2272+W2273-X2273-T2273-Z2272*V2273/AB2272</x:f>
        <x:v>19354.456567879548</x:v>
      </x:c>
      <x:c r="AA2273" s="32" t="n">
        <x:f>AA2272+X2273-U2273-AA2272*V2273/AB2272</x:f>
        <x:v>11386.956063258198</x:v>
      </x:c>
      <x:c r="AB2273" s="10" t="n">
        <x:f>Y2273+Z2273+AA2273</x:f>
        <x:v>45047.59802873172</x:v>
      </x:c>
      <x:c r="AC2273" s="8" t="n">
        <x:f>IF(AND(v01_WinterTrigger=1,D2273=1,AB2272/AE2272&gt;=K2273),1,0)</x:f>
        <x:v>0</x:v>
      </x:c>
      <x:c r="AD2273" s="8" t="n">
        <x:f>H2273*IF(AND(OR(AB2272/AE2272&gt;=v01_FissionTrigger*N2273,AC2273=1),AB2272/AE2272*v01_DaughterShare&gt;=v01_MinDaughter),MAX(1,ROUND(AE2272*v01_FissionRate,0)),0)</x:f>
        <x:v>0</x:v>
      </x:c>
      <x:c r="AE2273" s="8" t="n">
        <x:f>IF(H2273=1,MAX(1,MIN(INDEX(v01_Smax,G2273),AE2272+AD2273)),AE2272)</x:f>
        <x:v>15</x:v>
      </x:c>
      <x:c r="AF2273" s="8" t="n">
        <x:f>MAX(0,AE2273-AE2272)</x:f>
        <x:v>0</x:v>
      </x:c>
      <x:c r="AG2273" s="9" t="str">
        <x:f>IF(AF2273&gt;0,B2273,"")</x:f>
      </x:c>
      <x:c r="AH2273" s="9" t="n">
        <x:f>IF(F2273&gt;=1,1,(1+v01_LowTiesShare*(AE2273-1))/AE2273)</x:f>
        <x:v>1</x:v>
      </x:c>
      <x:c r="AI2273" s="32" t="n">
        <x:f>(Z2273+v01_ElderCommons*INDEX(LM_Elder,G2273)*AA2273)*AH2273</x:f>
        <x:v>64139.732591141874</x:v>
      </x:c>
      <x:c r="AJ2273" s="32" t="n">
        <x:f>H2273*v01_CommonsCoef*AI2273^v01_CommonsExp*INDEX(LM_Commons,G2273)</x:f>
        <x:v>0</x:v>
      </x:c>
      <x:c r="AK2273" s="32" t="n">
        <x:f>H2273*v01_RoleScale*Arch_Roles*(AE2273*(INDEX(v01_ElderRolePerSett,G2273)*v01_OutElder*INDEX(LM_Elder,G2273)+INDEX(v01_ShamanPerSett,G2273)*v01_OutShaman)+Z2273*(INDEX(v01_PriestShare,G2273)*v01_OutPriest+INDEX(v01_ScribeShare,G2273)*v01_OutScribe*INDEX(LM_Scribe,G2273)+INDEX(v01_ScholarShare,G2273)*v01_OutScholar*INDEX(LM_Scholar,G2273)+INDEX(v01_ResearcherShare,G2273)*v01_OutResearcher*INDEX(LM_Researcher,G2273)))</x:f>
        <x:v>0</x:v>
      </x:c>
      <x:c r="AL2273" s="32" t="n">
        <x:f>H2273*v01_RoleScale*Arch_Roles*AE2273*INDEX(v01_MonasteryPerSett,G2273)*v01_OutMonastery*INDEX(LM_Monastery,G2273)</x:f>
        <x:v>0</x:v>
      </x:c>
      <x:c r="AM2273" s="32" t="n">
        <x:f>(AJ2273+AK2273+AL2273)/4*INDEX(LM_All,G2273)*INDEX(v01_Boon,G2273)*Arch_Insight</x:f>
        <x:v>0</x:v>
      </x:c>
      <x:c r="AN2273" s="32" t="n">
        <x:f>H2273*(v01_KHPerAdult*Z2273+v01_KHOfCommons*AJ2273/4*INDEX(LM_All,G2273))*v01_KHUsable*Arch_KH</x:f>
        <x:v>0</x:v>
      </x:c>
      <x:c r="AO2273" s="32" t="n">
        <x:f>MIN(AP2272+AN2273,AM2273*v01_KHMaxRatio)</x:f>
        <x:v>0</x:v>
      </x:c>
      <x:c r="AP2273" s="32" t="n">
        <x:f>AP2272+AN2273-AO2273</x:f>
        <x:v>0</x:v>
      </x:c>
      <x:c r="AQ2273" s="32" t="n">
        <x:f>AM2273+AO2273</x:f>
        <x:v>0</x:v>
      </x:c>
      <x:c r="AR2273" s="10" t="n">
        <x:f>IF(H2273=1,INDEX(v01_Req,G2273),0)</x:f>
        <x:v>0</x:v>
      </x:c>
      <x:c r="AS2273" s="32" t="n">
        <x:f>IF(H2273=1,IF(E2273=1,AS2272-AR2272,AS2272)+AQ2273,0)</x:f>
        <x:v>0</x:v>
      </x:c>
      <x:c r="AT2273" s="11" t="n">
        <x:f>IF(AR2273&gt;0,MIN(1,AS2273/AR2273),1)</x:f>
        <x:v>1</x:v>
      </x:c>
      <x:c r="AU2273" s="10" t="n">
        <x:f>AB2273/INDEX(v01_RepScale,G2273)</x:f>
        <x:v>90.09519605746344</x:v>
      </x:c>
      <x:c r="AV2273" s="32" t="n">
        <x:f>AM2273*60/v01_SeasonSeconds</x:f>
        <x:v>0</x:v>
      </x:c>
    </x:row>
    <x:row r="2274">
      <x:c r="A2274" s="8" t="n">
        <x:f>A2273+1</x:f>
        <x:v>2271</x:v>
      </x:c>
      <x:c r="B2274" s="9" t="n">
        <x:f>A2274*v01_SeasonSeconds/60</x:f>
        <x:v>567.75</x:v>
      </x:c>
      <x:c r="C2274" s="9" t="n">
        <x:f>A2274/4</x:f>
        <x:v>567.75</x:v>
      </x:c>
      <x:c r="D2274" s="8" t="n">
        <x:f>IF(MOD(A2274,4)=0,1,0)</x:f>
        <x:v>0</x:v>
      </x:c>
      <x:c r="E2274" s="8" t="n">
        <x:f>IF(AND(F2273&lt;=9,AS2273&gt;=AR2273),1,0)</x:f>
        <x:v>0</x:v>
      </x:c>
      <x:c r="F2274" s="8" t="n">
        <x:f>MIN(10,F2273+E2274)</x:f>
        <x:v>10</x:v>
      </x:c>
      <x:c r="G2274" s="8" t="n">
        <x:f>MIN(F2274,9)+1</x:f>
        <x:v>10</x:v>
      </x:c>
      <x:c r="H2274" s="8" t="n">
        <x:f>IF(F2274&lt;=9,1,0)</x:f>
        <x:v>0</x:v>
      </x:c>
      <x:c r="I2274" s="9" t="n">
        <x:f>MIN(10,F2273+IF(AR2273&gt;0,MIN(1,AS2273/AR2273),1))</x:f>
        <x:v>10</x:v>
      </x:c>
      <x:c r="J2274" s="32" t="n">
        <x:f>INDEX(v01_FoodCap,G2274)*Arch_FoodCap*EXP(v01_CapsByProject*SUMPRODUCT((Cap_Point&lt;=I2274)*(Cap_Kind="Food")*Cap_Ln))</x:f>
        <x:v>12000</x:v>
      </x:c>
      <x:c r="K2274" s="32" t="n">
        <x:f>J2274*MIN(1,v01_LeanBase*EXP(v01_CapsByProject*SUMPRODUCT((Cap_Point&lt;=I2274)*(Cap_Kind="Lean")*Cap_Ln)))</x:f>
        <x:v>12000</x:v>
      </x:c>
      <x:c r="L2274" s="10" t="n">
        <x:f>INDEX(v01_HousingCap,G2274)*EXP(v01_CapsByProject*SUMPRODUCT((Cap_Point&lt;=I2274)*(Cap_Kind="Housing")*Cap_Ln))</x:f>
        <x:v>20000</x:v>
      </x:c>
      <x:c r="M2274" s="10" t="n">
        <x:f>INDEX(v01_GroupCap,G2274)*v01_CohesionFactor*EXP(v01_CapsByProject*SUMPRODUCT((Cap_Point&lt;=I2274)*(Cap_Kind="Group")*Cap_Ln))</x:f>
        <x:v>1000000</x:v>
      </x:c>
      <x:c r="N2274" s="32" t="n">
        <x:f>MIN(J2274,L2274,M2274)</x:f>
        <x:v>12000</x:v>
      </x:c>
      <x:c r="O2274" s="10" t="n">
        <x:f>AE2273*N2274</x:f>
        <x:v>180000</x:v>
      </x:c>
      <x:c r="P2274" s="9" t="n">
        <x:f>MIN(1,(AB2273/(AE2273*IF(v01_GroupInCrowding=1,N2274,MIN(J2274,L2274))))^v01_CrowdingExp)</x:f>
        <x:v>0.00024569414295285325</x:v>
      </x:c>
      <x:c r="Q2274" s="9" t="n">
        <x:f>IF(D2274=1,INDEX(v01_WinterMult,G2274),1)</x:f>
        <x:v>1</x:v>
      </x:c>
      <x:c r="R2274" s="9" t="n">
        <x:f>H2274*Z2273*v01_WomenShare*v01_BaseFertility*INDEX(v01_FertMult,G2274)*Arch_Fertility*(1-P2274)</x:f>
        <x:v>0</x:v>
      </x:c>
      <x:c r="S2274" s="9" t="n">
        <x:f>H2274*Y2273*INDEX(v01_MortChild,G2274)/4*Q2274</x:f>
        <x:v>0</x:v>
      </x:c>
      <x:c r="T2274" s="9" t="n">
        <x:f>H2274*Z2273*INDEX(v01_MortAdult,G2274)*Arch_AdultMort/4*Q2274</x:f>
        <x:v>0</x:v>
      </x:c>
      <x:c r="U2274" s="9" t="n">
        <x:f>H2274*AA2273*INDEX(v01_MortElder,G2274)/4*Q2274</x:f>
        <x:v>0</x:v>
      </x:c>
      <x:c r="V2274" s="9" t="n">
        <x:f>H2274*MAX(0,AB2273-O2274)*v01_OvercapLoss</x:f>
        <x:v>0</x:v>
      </x:c>
      <x:c r="W2274" s="9" t="n">
        <x:f>H2274*Y2273/(v01_ChildYears*4)</x:f>
        <x:v>0</x:v>
      </x:c>
      <x:c r="X2274" s="9" t="n">
        <x:f>H2274*Z2273/(v01_AdultYears*4)</x:f>
        <x:v>0</x:v>
      </x:c>
      <x:c r="Y2274" s="32" t="n">
        <x:f>Y2273+R2274-S2274-W2274-Y2273*V2274/AB2273</x:f>
        <x:v>14306.18539759397</x:v>
      </x:c>
      <x:c r="Z2274" s="32" t="n">
        <x:f>Z2273+W2274-X2274-T2274-Z2273*V2274/AB2273</x:f>
        <x:v>19354.456567879548</x:v>
      </x:c>
      <x:c r="AA2274" s="32" t="n">
        <x:f>AA2273+X2274-U2274-AA2273*V2274/AB2273</x:f>
        <x:v>11386.956063258198</x:v>
      </x:c>
      <x:c r="AB2274" s="10" t="n">
        <x:f>Y2274+Z2274+AA2274</x:f>
        <x:v>45047.59802873172</x:v>
      </x:c>
      <x:c r="AC2274" s="8" t="n">
        <x:f>IF(AND(v01_WinterTrigger=1,D2274=1,AB2273/AE2273&gt;=K2274),1,0)</x:f>
        <x:v>0</x:v>
      </x:c>
      <x:c r="AD2274" s="8" t="n">
        <x:f>H2274*IF(AND(OR(AB2273/AE2273&gt;=v01_FissionTrigger*N2274,AC2274=1),AB2273/AE2273*v01_DaughterShare&gt;=v01_MinDaughter),MAX(1,ROUND(AE2273*v01_FissionRate,0)),0)</x:f>
        <x:v>0</x:v>
      </x:c>
      <x:c r="AE2274" s="8" t="n">
        <x:f>IF(H2274=1,MAX(1,MIN(INDEX(v01_Smax,G2274),AE2273+AD2274)),AE2273)</x:f>
        <x:v>15</x:v>
      </x:c>
      <x:c r="AF2274" s="8" t="n">
        <x:f>MAX(0,AE2274-AE2273)</x:f>
        <x:v>0</x:v>
      </x:c>
      <x:c r="AG2274" s="9" t="str">
        <x:f>IF(AF2274&gt;0,B2274,"")</x:f>
      </x:c>
      <x:c r="AH2274" s="9" t="n">
        <x:f>IF(F2274&gt;=1,1,(1+v01_LowTiesShare*(AE2274-1))/AE2274)</x:f>
        <x:v>1</x:v>
      </x:c>
      <x:c r="AI2274" s="32" t="n">
        <x:f>(Z2274+v01_ElderCommons*INDEX(LM_Elder,G2274)*AA2274)*AH2274</x:f>
        <x:v>64139.732591141874</x:v>
      </x:c>
      <x:c r="AJ2274" s="32" t="n">
        <x:f>H2274*v01_CommonsCoef*AI2274^v01_CommonsExp*INDEX(LM_Commons,G2274)</x:f>
        <x:v>0</x:v>
      </x:c>
      <x:c r="AK2274" s="32" t="n">
        <x:f>H2274*v01_RoleScale*Arch_Roles*(AE2274*(INDEX(v01_ElderRolePerSett,G2274)*v01_OutElder*INDEX(LM_Elder,G2274)+INDEX(v01_ShamanPerSett,G2274)*v01_OutShaman)+Z2274*(INDEX(v01_PriestShare,G2274)*v01_OutPriest+INDEX(v01_ScribeShare,G2274)*v01_OutScribe*INDEX(LM_Scribe,G2274)+INDEX(v01_ScholarShare,G2274)*v01_OutScholar*INDEX(LM_Scholar,G2274)+INDEX(v01_ResearcherShare,G2274)*v01_OutResearcher*INDEX(LM_Researcher,G2274)))</x:f>
        <x:v>0</x:v>
      </x:c>
      <x:c r="AL2274" s="32" t="n">
        <x:f>H2274*v01_RoleScale*Arch_Roles*AE2274*INDEX(v01_MonasteryPerSett,G2274)*v01_OutMonastery*INDEX(LM_Monastery,G2274)</x:f>
        <x:v>0</x:v>
      </x:c>
      <x:c r="AM2274" s="32" t="n">
        <x:f>(AJ2274+AK2274+AL2274)/4*INDEX(LM_All,G2274)*INDEX(v01_Boon,G2274)*Arch_Insight</x:f>
        <x:v>0</x:v>
      </x:c>
      <x:c r="AN2274" s="32" t="n">
        <x:f>H2274*(v01_KHPerAdult*Z2274+v01_KHOfCommons*AJ2274/4*INDEX(LM_All,G2274))*v01_KHUsable*Arch_KH</x:f>
        <x:v>0</x:v>
      </x:c>
      <x:c r="AO2274" s="32" t="n">
        <x:f>MIN(AP2273+AN2274,AM2274*v01_KHMaxRatio)</x:f>
        <x:v>0</x:v>
      </x:c>
      <x:c r="AP2274" s="32" t="n">
        <x:f>AP2273+AN2274-AO2274</x:f>
        <x:v>0</x:v>
      </x:c>
      <x:c r="AQ2274" s="32" t="n">
        <x:f>AM2274+AO2274</x:f>
        <x:v>0</x:v>
      </x:c>
      <x:c r="AR2274" s="10" t="n">
        <x:f>IF(H2274=1,INDEX(v01_Req,G2274),0)</x:f>
        <x:v>0</x:v>
      </x:c>
      <x:c r="AS2274" s="32" t="n">
        <x:f>IF(H2274=1,IF(E2274=1,AS2273-AR2273,AS2273)+AQ2274,0)</x:f>
        <x:v>0</x:v>
      </x:c>
      <x:c r="AT2274" s="11" t="n">
        <x:f>IF(AR2274&gt;0,MIN(1,AS2274/AR2274),1)</x:f>
        <x:v>1</x:v>
      </x:c>
      <x:c r="AU2274" s="10" t="n">
        <x:f>AB2274/INDEX(v01_RepScale,G2274)</x:f>
        <x:v>90.09519605746344</x:v>
      </x:c>
      <x:c r="AV2274" s="32" t="n">
        <x:f>AM2274*60/v01_SeasonSeconds</x:f>
        <x:v>0</x:v>
      </x:c>
    </x:row>
    <x:row r="2275">
      <x:c r="A2275" s="8" t="n">
        <x:f>A2274+1</x:f>
        <x:v>2272</x:v>
      </x:c>
      <x:c r="B2275" s="9" t="n">
        <x:f>A2275*v01_SeasonSeconds/60</x:f>
        <x:v>568</x:v>
      </x:c>
      <x:c r="C2275" s="9" t="n">
        <x:f>A2275/4</x:f>
        <x:v>568</x:v>
      </x:c>
      <x:c r="D2275" s="8" t="n">
        <x:f>IF(MOD(A2275,4)=0,1,0)</x:f>
        <x:v>1</x:v>
      </x:c>
      <x:c r="E2275" s="8" t="n">
        <x:f>IF(AND(F2274&lt;=9,AS2274&gt;=AR2274),1,0)</x:f>
        <x:v>0</x:v>
      </x:c>
      <x:c r="F2275" s="8" t="n">
        <x:f>MIN(10,F2274+E2275)</x:f>
        <x:v>10</x:v>
      </x:c>
      <x:c r="G2275" s="8" t="n">
        <x:f>MIN(F2275,9)+1</x:f>
        <x:v>10</x:v>
      </x:c>
      <x:c r="H2275" s="8" t="n">
        <x:f>IF(F2275&lt;=9,1,0)</x:f>
        <x:v>0</x:v>
      </x:c>
      <x:c r="I2275" s="9" t="n">
        <x:f>MIN(10,F2274+IF(AR2274&gt;0,MIN(1,AS2274/AR2274),1))</x:f>
        <x:v>10</x:v>
      </x:c>
      <x:c r="J2275" s="32" t="n">
        <x:f>INDEX(v01_FoodCap,G2275)*Arch_FoodCap*EXP(v01_CapsByProject*SUMPRODUCT((Cap_Point&lt;=I2275)*(Cap_Kind="Food")*Cap_Ln))</x:f>
        <x:v>12000</x:v>
      </x:c>
      <x:c r="K2275" s="32" t="n">
        <x:f>J2275*MIN(1,v01_LeanBase*EXP(v01_CapsByProject*SUMPRODUCT((Cap_Point&lt;=I2275)*(Cap_Kind="Lean")*Cap_Ln)))</x:f>
        <x:v>12000</x:v>
      </x:c>
      <x:c r="L2275" s="10" t="n">
        <x:f>INDEX(v01_HousingCap,G2275)*EXP(v01_CapsByProject*SUMPRODUCT((Cap_Point&lt;=I2275)*(Cap_Kind="Housing")*Cap_Ln))</x:f>
        <x:v>20000</x:v>
      </x:c>
      <x:c r="M2275" s="10" t="n">
        <x:f>INDEX(v01_GroupCap,G2275)*v01_CohesionFactor*EXP(v01_CapsByProject*SUMPRODUCT((Cap_Point&lt;=I2275)*(Cap_Kind="Group")*Cap_Ln))</x:f>
        <x:v>1000000</x:v>
      </x:c>
      <x:c r="N2275" s="32" t="n">
        <x:f>MIN(J2275,L2275,M2275)</x:f>
        <x:v>12000</x:v>
      </x:c>
      <x:c r="O2275" s="10" t="n">
        <x:f>AE2274*N2275</x:f>
        <x:v>180000</x:v>
      </x:c>
      <x:c r="P2275" s="9" t="n">
        <x:f>MIN(1,(AB2274/(AE2274*IF(v01_GroupInCrowding=1,N2275,MIN(J2275,L2275))))^v01_CrowdingExp)</x:f>
        <x:v>0.00024569414295285325</x:v>
      </x:c>
      <x:c r="Q2275" s="9" t="n">
        <x:f>IF(D2275=1,INDEX(v01_WinterMult,G2275),1)</x:f>
        <x:v>1</x:v>
      </x:c>
      <x:c r="R2275" s="9" t="n">
        <x:f>H2275*Z2274*v01_WomenShare*v01_BaseFertility*INDEX(v01_FertMult,G2275)*Arch_Fertility*(1-P2275)</x:f>
        <x:v>0</x:v>
      </x:c>
      <x:c r="S2275" s="9" t="n">
        <x:f>H2275*Y2274*INDEX(v01_MortChild,G2275)/4*Q2275</x:f>
        <x:v>0</x:v>
      </x:c>
      <x:c r="T2275" s="9" t="n">
        <x:f>H2275*Z2274*INDEX(v01_MortAdult,G2275)*Arch_AdultMort/4*Q2275</x:f>
        <x:v>0</x:v>
      </x:c>
      <x:c r="U2275" s="9" t="n">
        <x:f>H2275*AA2274*INDEX(v01_MortElder,G2275)/4*Q2275</x:f>
        <x:v>0</x:v>
      </x:c>
      <x:c r="V2275" s="9" t="n">
        <x:f>H2275*MAX(0,AB2274-O2275)*v01_OvercapLoss</x:f>
        <x:v>0</x:v>
      </x:c>
      <x:c r="W2275" s="9" t="n">
        <x:f>H2275*Y2274/(v01_ChildYears*4)</x:f>
        <x:v>0</x:v>
      </x:c>
      <x:c r="X2275" s="9" t="n">
        <x:f>H2275*Z2274/(v01_AdultYears*4)</x:f>
        <x:v>0</x:v>
      </x:c>
      <x:c r="Y2275" s="32" t="n">
        <x:f>Y2274+R2275-S2275-W2275-Y2274*V2275/AB2274</x:f>
        <x:v>14306.18539759397</x:v>
      </x:c>
      <x:c r="Z2275" s="32" t="n">
        <x:f>Z2274+W2275-X2275-T2275-Z2274*V2275/AB2274</x:f>
        <x:v>19354.456567879548</x:v>
      </x:c>
      <x:c r="AA2275" s="32" t="n">
        <x:f>AA2274+X2275-U2275-AA2274*V2275/AB2274</x:f>
        <x:v>11386.956063258198</x:v>
      </x:c>
      <x:c r="AB2275" s="10" t="n">
        <x:f>Y2275+Z2275+AA2275</x:f>
        <x:v>45047.59802873172</x:v>
      </x:c>
      <x:c r="AC2275" s="8" t="n">
        <x:f>IF(AND(v01_WinterTrigger=1,D2275=1,AB2274/AE2274&gt;=K2275),1,0)</x:f>
        <x:v>0</x:v>
      </x:c>
      <x:c r="AD2275" s="8" t="n">
        <x:f>H2275*IF(AND(OR(AB2274/AE2274&gt;=v01_FissionTrigger*N2275,AC2275=1),AB2274/AE2274*v01_DaughterShare&gt;=v01_MinDaughter),MAX(1,ROUND(AE2274*v01_FissionRate,0)),0)</x:f>
        <x:v>0</x:v>
      </x:c>
      <x:c r="AE2275" s="8" t="n">
        <x:f>IF(H2275=1,MAX(1,MIN(INDEX(v01_Smax,G2275),AE2274+AD2275)),AE2274)</x:f>
        <x:v>15</x:v>
      </x:c>
      <x:c r="AF2275" s="8" t="n">
        <x:f>MAX(0,AE2275-AE2274)</x:f>
        <x:v>0</x:v>
      </x:c>
      <x:c r="AG2275" s="9" t="str">
        <x:f>IF(AF2275&gt;0,B2275,"")</x:f>
      </x:c>
      <x:c r="AH2275" s="9" t="n">
        <x:f>IF(F2275&gt;=1,1,(1+v01_LowTiesShare*(AE2275-1))/AE2275)</x:f>
        <x:v>1</x:v>
      </x:c>
      <x:c r="AI2275" s="32" t="n">
        <x:f>(Z2275+v01_ElderCommons*INDEX(LM_Elder,G2275)*AA2275)*AH2275</x:f>
        <x:v>64139.732591141874</x:v>
      </x:c>
      <x:c r="AJ2275" s="32" t="n">
        <x:f>H2275*v01_CommonsCoef*AI2275^v01_CommonsExp*INDEX(LM_Commons,G2275)</x:f>
        <x:v>0</x:v>
      </x:c>
      <x:c r="AK2275" s="32" t="n">
        <x:f>H2275*v01_RoleScale*Arch_Roles*(AE2275*(INDEX(v01_ElderRolePerSett,G2275)*v01_OutElder*INDEX(LM_Elder,G2275)+INDEX(v01_ShamanPerSett,G2275)*v01_OutShaman)+Z2275*(INDEX(v01_PriestShare,G2275)*v01_OutPriest+INDEX(v01_ScribeShare,G2275)*v01_OutScribe*INDEX(LM_Scribe,G2275)+INDEX(v01_ScholarShare,G2275)*v01_OutScholar*INDEX(LM_Scholar,G2275)+INDEX(v01_ResearcherShare,G2275)*v01_OutResearcher*INDEX(LM_Researcher,G2275)))</x:f>
        <x:v>0</x:v>
      </x:c>
      <x:c r="AL2275" s="32" t="n">
        <x:f>H2275*v01_RoleScale*Arch_Roles*AE2275*INDEX(v01_MonasteryPerSett,G2275)*v01_OutMonastery*INDEX(LM_Monastery,G2275)</x:f>
        <x:v>0</x:v>
      </x:c>
      <x:c r="AM2275" s="32" t="n">
        <x:f>(AJ2275+AK2275+AL2275)/4*INDEX(LM_All,G2275)*INDEX(v01_Boon,G2275)*Arch_Insight</x:f>
        <x:v>0</x:v>
      </x:c>
      <x:c r="AN2275" s="32" t="n">
        <x:f>H2275*(v01_KHPerAdult*Z2275+v01_KHOfCommons*AJ2275/4*INDEX(LM_All,G2275))*v01_KHUsable*Arch_KH</x:f>
        <x:v>0</x:v>
      </x:c>
      <x:c r="AO2275" s="32" t="n">
        <x:f>MIN(AP2274+AN2275,AM2275*v01_KHMaxRatio)</x:f>
        <x:v>0</x:v>
      </x:c>
      <x:c r="AP2275" s="32" t="n">
        <x:f>AP2274+AN2275-AO2275</x:f>
        <x:v>0</x:v>
      </x:c>
      <x:c r="AQ2275" s="32" t="n">
        <x:f>AM2275+AO2275</x:f>
        <x:v>0</x:v>
      </x:c>
      <x:c r="AR2275" s="10" t="n">
        <x:f>IF(H2275=1,INDEX(v01_Req,G2275),0)</x:f>
        <x:v>0</x:v>
      </x:c>
      <x:c r="AS2275" s="32" t="n">
        <x:f>IF(H2275=1,IF(E2275=1,AS2274-AR2274,AS2274)+AQ2275,0)</x:f>
        <x:v>0</x:v>
      </x:c>
      <x:c r="AT2275" s="11" t="n">
        <x:f>IF(AR2275&gt;0,MIN(1,AS2275/AR2275),1)</x:f>
        <x:v>1</x:v>
      </x:c>
      <x:c r="AU2275" s="10" t="n">
        <x:f>AB2275/INDEX(v01_RepScale,G2275)</x:f>
        <x:v>90.09519605746344</x:v>
      </x:c>
      <x:c r="AV2275" s="32" t="n">
        <x:f>AM2275*60/v01_SeasonSeconds</x:f>
        <x:v>0</x:v>
      </x:c>
    </x:row>
    <x:row r="2276">
      <x:c r="A2276" s="8" t="n">
        <x:f>A2275+1</x:f>
        <x:v>2273</x:v>
      </x:c>
      <x:c r="B2276" s="9" t="n">
        <x:f>A2276*v01_SeasonSeconds/60</x:f>
        <x:v>568.25</x:v>
      </x:c>
      <x:c r="C2276" s="9" t="n">
        <x:f>A2276/4</x:f>
        <x:v>568.25</x:v>
      </x:c>
      <x:c r="D2276" s="8" t="n">
        <x:f>IF(MOD(A2276,4)=0,1,0)</x:f>
        <x:v>0</x:v>
      </x:c>
      <x:c r="E2276" s="8" t="n">
        <x:f>IF(AND(F2275&lt;=9,AS2275&gt;=AR2275),1,0)</x:f>
        <x:v>0</x:v>
      </x:c>
      <x:c r="F2276" s="8" t="n">
        <x:f>MIN(10,F2275+E2276)</x:f>
        <x:v>10</x:v>
      </x:c>
      <x:c r="G2276" s="8" t="n">
        <x:f>MIN(F2276,9)+1</x:f>
        <x:v>10</x:v>
      </x:c>
      <x:c r="H2276" s="8" t="n">
        <x:f>IF(F2276&lt;=9,1,0)</x:f>
        <x:v>0</x:v>
      </x:c>
      <x:c r="I2276" s="9" t="n">
        <x:f>MIN(10,F2275+IF(AR2275&gt;0,MIN(1,AS2275/AR2275),1))</x:f>
        <x:v>10</x:v>
      </x:c>
      <x:c r="J2276" s="32" t="n">
        <x:f>INDEX(v01_FoodCap,G2276)*Arch_FoodCap*EXP(v01_CapsByProject*SUMPRODUCT((Cap_Point&lt;=I2276)*(Cap_Kind="Food")*Cap_Ln))</x:f>
        <x:v>12000</x:v>
      </x:c>
      <x:c r="K2276" s="32" t="n">
        <x:f>J2276*MIN(1,v01_LeanBase*EXP(v01_CapsByProject*SUMPRODUCT((Cap_Point&lt;=I2276)*(Cap_Kind="Lean")*Cap_Ln)))</x:f>
        <x:v>12000</x:v>
      </x:c>
      <x:c r="L2276" s="10" t="n">
        <x:f>INDEX(v01_HousingCap,G2276)*EXP(v01_CapsByProject*SUMPRODUCT((Cap_Point&lt;=I2276)*(Cap_Kind="Housing")*Cap_Ln))</x:f>
        <x:v>20000</x:v>
      </x:c>
      <x:c r="M2276" s="10" t="n">
        <x:f>INDEX(v01_GroupCap,G2276)*v01_CohesionFactor*EXP(v01_CapsByProject*SUMPRODUCT((Cap_Point&lt;=I2276)*(Cap_Kind="Group")*Cap_Ln))</x:f>
        <x:v>1000000</x:v>
      </x:c>
      <x:c r="N2276" s="32" t="n">
        <x:f>MIN(J2276,L2276,M2276)</x:f>
        <x:v>12000</x:v>
      </x:c>
      <x:c r="O2276" s="10" t="n">
        <x:f>AE2275*N2276</x:f>
        <x:v>180000</x:v>
      </x:c>
      <x:c r="P2276" s="9" t="n">
        <x:f>MIN(1,(AB2275/(AE2275*IF(v01_GroupInCrowding=1,N2276,MIN(J2276,L2276))))^v01_CrowdingExp)</x:f>
        <x:v>0.00024569414295285325</x:v>
      </x:c>
      <x:c r="Q2276" s="9" t="n">
        <x:f>IF(D2276=1,INDEX(v01_WinterMult,G2276),1)</x:f>
        <x:v>1</x:v>
      </x:c>
      <x:c r="R2276" s="9" t="n">
        <x:f>H2276*Z2275*v01_WomenShare*v01_BaseFertility*INDEX(v01_FertMult,G2276)*Arch_Fertility*(1-P2276)</x:f>
        <x:v>0</x:v>
      </x:c>
      <x:c r="S2276" s="9" t="n">
        <x:f>H2276*Y2275*INDEX(v01_MortChild,G2276)/4*Q2276</x:f>
        <x:v>0</x:v>
      </x:c>
      <x:c r="T2276" s="9" t="n">
        <x:f>H2276*Z2275*INDEX(v01_MortAdult,G2276)*Arch_AdultMort/4*Q2276</x:f>
        <x:v>0</x:v>
      </x:c>
      <x:c r="U2276" s="9" t="n">
        <x:f>H2276*AA2275*INDEX(v01_MortElder,G2276)/4*Q2276</x:f>
        <x:v>0</x:v>
      </x:c>
      <x:c r="V2276" s="9" t="n">
        <x:f>H2276*MAX(0,AB2275-O2276)*v01_OvercapLoss</x:f>
        <x:v>0</x:v>
      </x:c>
      <x:c r="W2276" s="9" t="n">
        <x:f>H2276*Y2275/(v01_ChildYears*4)</x:f>
        <x:v>0</x:v>
      </x:c>
      <x:c r="X2276" s="9" t="n">
        <x:f>H2276*Z2275/(v01_AdultYears*4)</x:f>
        <x:v>0</x:v>
      </x:c>
      <x:c r="Y2276" s="32" t="n">
        <x:f>Y2275+R2276-S2276-W2276-Y2275*V2276/AB2275</x:f>
        <x:v>14306.18539759397</x:v>
      </x:c>
      <x:c r="Z2276" s="32" t="n">
        <x:f>Z2275+W2276-X2276-T2276-Z2275*V2276/AB2275</x:f>
        <x:v>19354.456567879548</x:v>
      </x:c>
      <x:c r="AA2276" s="32" t="n">
        <x:f>AA2275+X2276-U2276-AA2275*V2276/AB2275</x:f>
        <x:v>11386.956063258198</x:v>
      </x:c>
      <x:c r="AB2276" s="10" t="n">
        <x:f>Y2276+Z2276+AA2276</x:f>
        <x:v>45047.59802873172</x:v>
      </x:c>
      <x:c r="AC2276" s="8" t="n">
        <x:f>IF(AND(v01_WinterTrigger=1,D2276=1,AB2275/AE2275&gt;=K2276),1,0)</x:f>
        <x:v>0</x:v>
      </x:c>
      <x:c r="AD2276" s="8" t="n">
        <x:f>H2276*IF(AND(OR(AB2275/AE2275&gt;=v01_FissionTrigger*N2276,AC2276=1),AB2275/AE2275*v01_DaughterShare&gt;=v01_MinDaughter),MAX(1,ROUND(AE2275*v01_FissionRate,0)),0)</x:f>
        <x:v>0</x:v>
      </x:c>
      <x:c r="AE2276" s="8" t="n">
        <x:f>IF(H2276=1,MAX(1,MIN(INDEX(v01_Smax,G2276),AE2275+AD2276)),AE2275)</x:f>
        <x:v>15</x:v>
      </x:c>
      <x:c r="AF2276" s="8" t="n">
        <x:f>MAX(0,AE2276-AE2275)</x:f>
        <x:v>0</x:v>
      </x:c>
      <x:c r="AG2276" s="9" t="str">
        <x:f>IF(AF2276&gt;0,B2276,"")</x:f>
      </x:c>
      <x:c r="AH2276" s="9" t="n">
        <x:f>IF(F2276&gt;=1,1,(1+v01_LowTiesShare*(AE2276-1))/AE2276)</x:f>
        <x:v>1</x:v>
      </x:c>
      <x:c r="AI2276" s="32" t="n">
        <x:f>(Z2276+v01_ElderCommons*INDEX(LM_Elder,G2276)*AA2276)*AH2276</x:f>
        <x:v>64139.732591141874</x:v>
      </x:c>
      <x:c r="AJ2276" s="32" t="n">
        <x:f>H2276*v01_CommonsCoef*AI2276^v01_CommonsExp*INDEX(LM_Commons,G2276)</x:f>
        <x:v>0</x:v>
      </x:c>
      <x:c r="AK2276" s="32" t="n">
        <x:f>H2276*v01_RoleScale*Arch_Roles*(AE2276*(INDEX(v01_ElderRolePerSett,G2276)*v01_OutElder*INDEX(LM_Elder,G2276)+INDEX(v01_ShamanPerSett,G2276)*v01_OutShaman)+Z2276*(INDEX(v01_PriestShare,G2276)*v01_OutPriest+INDEX(v01_ScribeShare,G2276)*v01_OutScribe*INDEX(LM_Scribe,G2276)+INDEX(v01_ScholarShare,G2276)*v01_OutScholar*INDEX(LM_Scholar,G2276)+INDEX(v01_ResearcherShare,G2276)*v01_OutResearcher*INDEX(LM_Researcher,G2276)))</x:f>
        <x:v>0</x:v>
      </x:c>
      <x:c r="AL2276" s="32" t="n">
        <x:f>H2276*v01_RoleScale*Arch_Roles*AE2276*INDEX(v01_MonasteryPerSett,G2276)*v01_OutMonastery*INDEX(LM_Monastery,G2276)</x:f>
        <x:v>0</x:v>
      </x:c>
      <x:c r="AM2276" s="32" t="n">
        <x:f>(AJ2276+AK2276+AL2276)/4*INDEX(LM_All,G2276)*INDEX(v01_Boon,G2276)*Arch_Insight</x:f>
        <x:v>0</x:v>
      </x:c>
      <x:c r="AN2276" s="32" t="n">
        <x:f>H2276*(v01_KHPerAdult*Z2276+v01_KHOfCommons*AJ2276/4*INDEX(LM_All,G2276))*v01_KHUsable*Arch_KH</x:f>
        <x:v>0</x:v>
      </x:c>
      <x:c r="AO2276" s="32" t="n">
        <x:f>MIN(AP2275+AN2276,AM2276*v01_KHMaxRatio)</x:f>
        <x:v>0</x:v>
      </x:c>
      <x:c r="AP2276" s="32" t="n">
        <x:f>AP2275+AN2276-AO2276</x:f>
        <x:v>0</x:v>
      </x:c>
      <x:c r="AQ2276" s="32" t="n">
        <x:f>AM2276+AO2276</x:f>
        <x:v>0</x:v>
      </x:c>
      <x:c r="AR2276" s="10" t="n">
        <x:f>IF(H2276=1,INDEX(v01_Req,G2276),0)</x:f>
        <x:v>0</x:v>
      </x:c>
      <x:c r="AS2276" s="32" t="n">
        <x:f>IF(H2276=1,IF(E2276=1,AS2275-AR2275,AS2275)+AQ2276,0)</x:f>
        <x:v>0</x:v>
      </x:c>
      <x:c r="AT2276" s="11" t="n">
        <x:f>IF(AR2276&gt;0,MIN(1,AS2276/AR2276),1)</x:f>
        <x:v>1</x:v>
      </x:c>
      <x:c r="AU2276" s="10" t="n">
        <x:f>AB2276/INDEX(v01_RepScale,G2276)</x:f>
        <x:v>90.09519605746344</x:v>
      </x:c>
      <x:c r="AV2276" s="32" t="n">
        <x:f>AM2276*60/v01_SeasonSeconds</x:f>
        <x:v>0</x:v>
      </x:c>
    </x:row>
    <x:row r="2277">
      <x:c r="A2277" s="8" t="n">
        <x:f>A2276+1</x:f>
        <x:v>2274</x:v>
      </x:c>
      <x:c r="B2277" s="9" t="n">
        <x:f>A2277*v01_SeasonSeconds/60</x:f>
        <x:v>568.5</x:v>
      </x:c>
      <x:c r="C2277" s="9" t="n">
        <x:f>A2277/4</x:f>
        <x:v>568.5</x:v>
      </x:c>
      <x:c r="D2277" s="8" t="n">
        <x:f>IF(MOD(A2277,4)=0,1,0)</x:f>
        <x:v>0</x:v>
      </x:c>
      <x:c r="E2277" s="8" t="n">
        <x:f>IF(AND(F2276&lt;=9,AS2276&gt;=AR2276),1,0)</x:f>
        <x:v>0</x:v>
      </x:c>
      <x:c r="F2277" s="8" t="n">
        <x:f>MIN(10,F2276+E2277)</x:f>
        <x:v>10</x:v>
      </x:c>
      <x:c r="G2277" s="8" t="n">
        <x:f>MIN(F2277,9)+1</x:f>
        <x:v>10</x:v>
      </x:c>
      <x:c r="H2277" s="8" t="n">
        <x:f>IF(F2277&lt;=9,1,0)</x:f>
        <x:v>0</x:v>
      </x:c>
      <x:c r="I2277" s="9" t="n">
        <x:f>MIN(10,F2276+IF(AR2276&gt;0,MIN(1,AS2276/AR2276),1))</x:f>
        <x:v>10</x:v>
      </x:c>
      <x:c r="J2277" s="32" t="n">
        <x:f>INDEX(v01_FoodCap,G2277)*Arch_FoodCap*EXP(v01_CapsByProject*SUMPRODUCT((Cap_Point&lt;=I2277)*(Cap_Kind="Food")*Cap_Ln))</x:f>
        <x:v>12000</x:v>
      </x:c>
      <x:c r="K2277" s="32" t="n">
        <x:f>J2277*MIN(1,v01_LeanBase*EXP(v01_CapsByProject*SUMPRODUCT((Cap_Point&lt;=I2277)*(Cap_Kind="Lean")*Cap_Ln)))</x:f>
        <x:v>12000</x:v>
      </x:c>
      <x:c r="L2277" s="10" t="n">
        <x:f>INDEX(v01_HousingCap,G2277)*EXP(v01_CapsByProject*SUMPRODUCT((Cap_Point&lt;=I2277)*(Cap_Kind="Housing")*Cap_Ln))</x:f>
        <x:v>20000</x:v>
      </x:c>
      <x:c r="M2277" s="10" t="n">
        <x:f>INDEX(v01_GroupCap,G2277)*v01_CohesionFactor*EXP(v01_CapsByProject*SUMPRODUCT((Cap_Point&lt;=I2277)*(Cap_Kind="Group")*Cap_Ln))</x:f>
        <x:v>1000000</x:v>
      </x:c>
      <x:c r="N2277" s="32" t="n">
        <x:f>MIN(J2277,L2277,M2277)</x:f>
        <x:v>12000</x:v>
      </x:c>
      <x:c r="O2277" s="10" t="n">
        <x:f>AE2276*N2277</x:f>
        <x:v>180000</x:v>
      </x:c>
      <x:c r="P2277" s="9" t="n">
        <x:f>MIN(1,(AB2276/(AE2276*IF(v01_GroupInCrowding=1,N2277,MIN(J2277,L2277))))^v01_CrowdingExp)</x:f>
        <x:v>0.00024569414295285325</x:v>
      </x:c>
      <x:c r="Q2277" s="9" t="n">
        <x:f>IF(D2277=1,INDEX(v01_WinterMult,G2277),1)</x:f>
        <x:v>1</x:v>
      </x:c>
      <x:c r="R2277" s="9" t="n">
        <x:f>H2277*Z2276*v01_WomenShare*v01_BaseFertility*INDEX(v01_FertMult,G2277)*Arch_Fertility*(1-P2277)</x:f>
        <x:v>0</x:v>
      </x:c>
      <x:c r="S2277" s="9" t="n">
        <x:f>H2277*Y2276*INDEX(v01_MortChild,G2277)/4*Q2277</x:f>
        <x:v>0</x:v>
      </x:c>
      <x:c r="T2277" s="9" t="n">
        <x:f>H2277*Z2276*INDEX(v01_MortAdult,G2277)*Arch_AdultMort/4*Q2277</x:f>
        <x:v>0</x:v>
      </x:c>
      <x:c r="U2277" s="9" t="n">
        <x:f>H2277*AA2276*INDEX(v01_MortElder,G2277)/4*Q2277</x:f>
        <x:v>0</x:v>
      </x:c>
      <x:c r="V2277" s="9" t="n">
        <x:f>H2277*MAX(0,AB2276-O2277)*v01_OvercapLoss</x:f>
        <x:v>0</x:v>
      </x:c>
      <x:c r="W2277" s="9" t="n">
        <x:f>H2277*Y2276/(v01_ChildYears*4)</x:f>
        <x:v>0</x:v>
      </x:c>
      <x:c r="X2277" s="9" t="n">
        <x:f>H2277*Z2276/(v01_AdultYears*4)</x:f>
        <x:v>0</x:v>
      </x:c>
      <x:c r="Y2277" s="32" t="n">
        <x:f>Y2276+R2277-S2277-W2277-Y2276*V2277/AB2276</x:f>
        <x:v>14306.18539759397</x:v>
      </x:c>
      <x:c r="Z2277" s="32" t="n">
        <x:f>Z2276+W2277-X2277-T2277-Z2276*V2277/AB2276</x:f>
        <x:v>19354.456567879548</x:v>
      </x:c>
      <x:c r="AA2277" s="32" t="n">
        <x:f>AA2276+X2277-U2277-AA2276*V2277/AB2276</x:f>
        <x:v>11386.956063258198</x:v>
      </x:c>
      <x:c r="AB2277" s="10" t="n">
        <x:f>Y2277+Z2277+AA2277</x:f>
        <x:v>45047.59802873172</x:v>
      </x:c>
      <x:c r="AC2277" s="8" t="n">
        <x:f>IF(AND(v01_WinterTrigger=1,D2277=1,AB2276/AE2276&gt;=K2277),1,0)</x:f>
        <x:v>0</x:v>
      </x:c>
      <x:c r="AD2277" s="8" t="n">
        <x:f>H2277*IF(AND(OR(AB2276/AE2276&gt;=v01_FissionTrigger*N2277,AC2277=1),AB2276/AE2276*v01_DaughterShare&gt;=v01_MinDaughter),MAX(1,ROUND(AE2276*v01_FissionRate,0)),0)</x:f>
        <x:v>0</x:v>
      </x:c>
      <x:c r="AE2277" s="8" t="n">
        <x:f>IF(H2277=1,MAX(1,MIN(INDEX(v01_Smax,G2277),AE2276+AD2277)),AE2276)</x:f>
        <x:v>15</x:v>
      </x:c>
      <x:c r="AF2277" s="8" t="n">
        <x:f>MAX(0,AE2277-AE2276)</x:f>
        <x:v>0</x:v>
      </x:c>
      <x:c r="AG2277" s="9" t="str">
        <x:f>IF(AF2277&gt;0,B2277,"")</x:f>
      </x:c>
      <x:c r="AH2277" s="9" t="n">
        <x:f>IF(F2277&gt;=1,1,(1+v01_LowTiesShare*(AE2277-1))/AE2277)</x:f>
        <x:v>1</x:v>
      </x:c>
      <x:c r="AI2277" s="32" t="n">
        <x:f>(Z2277+v01_ElderCommons*INDEX(LM_Elder,G2277)*AA2277)*AH2277</x:f>
        <x:v>64139.732591141874</x:v>
      </x:c>
      <x:c r="AJ2277" s="32" t="n">
        <x:f>H2277*v01_CommonsCoef*AI2277^v01_CommonsExp*INDEX(LM_Commons,G2277)</x:f>
        <x:v>0</x:v>
      </x:c>
      <x:c r="AK2277" s="32" t="n">
        <x:f>H2277*v01_RoleScale*Arch_Roles*(AE2277*(INDEX(v01_ElderRolePerSett,G2277)*v01_OutElder*INDEX(LM_Elder,G2277)+INDEX(v01_ShamanPerSett,G2277)*v01_OutShaman)+Z2277*(INDEX(v01_PriestShare,G2277)*v01_OutPriest+INDEX(v01_ScribeShare,G2277)*v01_OutScribe*INDEX(LM_Scribe,G2277)+INDEX(v01_ScholarShare,G2277)*v01_OutScholar*INDEX(LM_Scholar,G2277)+INDEX(v01_ResearcherShare,G2277)*v01_OutResearcher*INDEX(LM_Researcher,G2277)))</x:f>
        <x:v>0</x:v>
      </x:c>
      <x:c r="AL2277" s="32" t="n">
        <x:f>H2277*v01_RoleScale*Arch_Roles*AE2277*INDEX(v01_MonasteryPerSett,G2277)*v01_OutMonastery*INDEX(LM_Monastery,G2277)</x:f>
        <x:v>0</x:v>
      </x:c>
      <x:c r="AM2277" s="32" t="n">
        <x:f>(AJ2277+AK2277+AL2277)/4*INDEX(LM_All,G2277)*INDEX(v01_Boon,G2277)*Arch_Insight</x:f>
        <x:v>0</x:v>
      </x:c>
      <x:c r="AN2277" s="32" t="n">
        <x:f>H2277*(v01_KHPerAdult*Z2277+v01_KHOfCommons*AJ2277/4*INDEX(LM_All,G2277))*v01_KHUsable*Arch_KH</x:f>
        <x:v>0</x:v>
      </x:c>
      <x:c r="AO2277" s="32" t="n">
        <x:f>MIN(AP2276+AN2277,AM2277*v01_KHMaxRatio)</x:f>
        <x:v>0</x:v>
      </x:c>
      <x:c r="AP2277" s="32" t="n">
        <x:f>AP2276+AN2277-AO2277</x:f>
        <x:v>0</x:v>
      </x:c>
      <x:c r="AQ2277" s="32" t="n">
        <x:f>AM2277+AO2277</x:f>
        <x:v>0</x:v>
      </x:c>
      <x:c r="AR2277" s="10" t="n">
        <x:f>IF(H2277=1,INDEX(v01_Req,G2277),0)</x:f>
        <x:v>0</x:v>
      </x:c>
      <x:c r="AS2277" s="32" t="n">
        <x:f>IF(H2277=1,IF(E2277=1,AS2276-AR2276,AS2276)+AQ2277,0)</x:f>
        <x:v>0</x:v>
      </x:c>
      <x:c r="AT2277" s="11" t="n">
        <x:f>IF(AR2277&gt;0,MIN(1,AS2277/AR2277),1)</x:f>
        <x:v>1</x:v>
      </x:c>
      <x:c r="AU2277" s="10" t="n">
        <x:f>AB2277/INDEX(v01_RepScale,G2277)</x:f>
        <x:v>90.09519605746344</x:v>
      </x:c>
      <x:c r="AV2277" s="32" t="n">
        <x:f>AM2277*60/v01_SeasonSeconds</x:f>
        <x:v>0</x:v>
      </x:c>
    </x:row>
    <x:row r="2278">
      <x:c r="A2278" s="8" t="n">
        <x:f>A2277+1</x:f>
        <x:v>2275</x:v>
      </x:c>
      <x:c r="B2278" s="9" t="n">
        <x:f>A2278*v01_SeasonSeconds/60</x:f>
        <x:v>568.75</x:v>
      </x:c>
      <x:c r="C2278" s="9" t="n">
        <x:f>A2278/4</x:f>
        <x:v>568.75</x:v>
      </x:c>
      <x:c r="D2278" s="8" t="n">
        <x:f>IF(MOD(A2278,4)=0,1,0)</x:f>
        <x:v>0</x:v>
      </x:c>
      <x:c r="E2278" s="8" t="n">
        <x:f>IF(AND(F2277&lt;=9,AS2277&gt;=AR2277),1,0)</x:f>
        <x:v>0</x:v>
      </x:c>
      <x:c r="F2278" s="8" t="n">
        <x:f>MIN(10,F2277+E2278)</x:f>
        <x:v>10</x:v>
      </x:c>
      <x:c r="G2278" s="8" t="n">
        <x:f>MIN(F2278,9)+1</x:f>
        <x:v>10</x:v>
      </x:c>
      <x:c r="H2278" s="8" t="n">
        <x:f>IF(F2278&lt;=9,1,0)</x:f>
        <x:v>0</x:v>
      </x:c>
      <x:c r="I2278" s="9" t="n">
        <x:f>MIN(10,F2277+IF(AR2277&gt;0,MIN(1,AS2277/AR2277),1))</x:f>
        <x:v>10</x:v>
      </x:c>
      <x:c r="J2278" s="32" t="n">
        <x:f>INDEX(v01_FoodCap,G2278)*Arch_FoodCap*EXP(v01_CapsByProject*SUMPRODUCT((Cap_Point&lt;=I2278)*(Cap_Kind="Food")*Cap_Ln))</x:f>
        <x:v>12000</x:v>
      </x:c>
      <x:c r="K2278" s="32" t="n">
        <x:f>J2278*MIN(1,v01_LeanBase*EXP(v01_CapsByProject*SUMPRODUCT((Cap_Point&lt;=I2278)*(Cap_Kind="Lean")*Cap_Ln)))</x:f>
        <x:v>12000</x:v>
      </x:c>
      <x:c r="L2278" s="10" t="n">
        <x:f>INDEX(v01_HousingCap,G2278)*EXP(v01_CapsByProject*SUMPRODUCT((Cap_Point&lt;=I2278)*(Cap_Kind="Housing")*Cap_Ln))</x:f>
        <x:v>20000</x:v>
      </x:c>
      <x:c r="M2278" s="10" t="n">
        <x:f>INDEX(v01_GroupCap,G2278)*v01_CohesionFactor*EXP(v01_CapsByProject*SUMPRODUCT((Cap_Point&lt;=I2278)*(Cap_Kind="Group")*Cap_Ln))</x:f>
        <x:v>1000000</x:v>
      </x:c>
      <x:c r="N2278" s="32" t="n">
        <x:f>MIN(J2278,L2278,M2278)</x:f>
        <x:v>12000</x:v>
      </x:c>
      <x:c r="O2278" s="10" t="n">
        <x:f>AE2277*N2278</x:f>
        <x:v>180000</x:v>
      </x:c>
      <x:c r="P2278" s="9" t="n">
        <x:f>MIN(1,(AB2277/(AE2277*IF(v01_GroupInCrowding=1,N2278,MIN(J2278,L2278))))^v01_CrowdingExp)</x:f>
        <x:v>0.00024569414295285325</x:v>
      </x:c>
      <x:c r="Q2278" s="9" t="n">
        <x:f>IF(D2278=1,INDEX(v01_WinterMult,G2278),1)</x:f>
        <x:v>1</x:v>
      </x:c>
      <x:c r="R2278" s="9" t="n">
        <x:f>H2278*Z2277*v01_WomenShare*v01_BaseFertility*INDEX(v01_FertMult,G2278)*Arch_Fertility*(1-P2278)</x:f>
        <x:v>0</x:v>
      </x:c>
      <x:c r="S2278" s="9" t="n">
        <x:f>H2278*Y2277*INDEX(v01_MortChild,G2278)/4*Q2278</x:f>
        <x:v>0</x:v>
      </x:c>
      <x:c r="T2278" s="9" t="n">
        <x:f>H2278*Z2277*INDEX(v01_MortAdult,G2278)*Arch_AdultMort/4*Q2278</x:f>
        <x:v>0</x:v>
      </x:c>
      <x:c r="U2278" s="9" t="n">
        <x:f>H2278*AA2277*INDEX(v01_MortElder,G2278)/4*Q2278</x:f>
        <x:v>0</x:v>
      </x:c>
      <x:c r="V2278" s="9" t="n">
        <x:f>H2278*MAX(0,AB2277-O2278)*v01_OvercapLoss</x:f>
        <x:v>0</x:v>
      </x:c>
      <x:c r="W2278" s="9" t="n">
        <x:f>H2278*Y2277/(v01_ChildYears*4)</x:f>
        <x:v>0</x:v>
      </x:c>
      <x:c r="X2278" s="9" t="n">
        <x:f>H2278*Z2277/(v01_AdultYears*4)</x:f>
        <x:v>0</x:v>
      </x:c>
      <x:c r="Y2278" s="32" t="n">
        <x:f>Y2277+R2278-S2278-W2278-Y2277*V2278/AB2277</x:f>
        <x:v>14306.18539759397</x:v>
      </x:c>
      <x:c r="Z2278" s="32" t="n">
        <x:f>Z2277+W2278-X2278-T2278-Z2277*V2278/AB2277</x:f>
        <x:v>19354.456567879548</x:v>
      </x:c>
      <x:c r="AA2278" s="32" t="n">
        <x:f>AA2277+X2278-U2278-AA2277*V2278/AB2277</x:f>
        <x:v>11386.956063258198</x:v>
      </x:c>
      <x:c r="AB2278" s="10" t="n">
        <x:f>Y2278+Z2278+AA2278</x:f>
        <x:v>45047.59802873172</x:v>
      </x:c>
      <x:c r="AC2278" s="8" t="n">
        <x:f>IF(AND(v01_WinterTrigger=1,D2278=1,AB2277/AE2277&gt;=K2278),1,0)</x:f>
        <x:v>0</x:v>
      </x:c>
      <x:c r="AD2278" s="8" t="n">
        <x:f>H2278*IF(AND(OR(AB2277/AE2277&gt;=v01_FissionTrigger*N2278,AC2278=1),AB2277/AE2277*v01_DaughterShare&gt;=v01_MinDaughter),MAX(1,ROUND(AE2277*v01_FissionRate,0)),0)</x:f>
        <x:v>0</x:v>
      </x:c>
      <x:c r="AE2278" s="8" t="n">
        <x:f>IF(H2278=1,MAX(1,MIN(INDEX(v01_Smax,G2278),AE2277+AD2278)),AE2277)</x:f>
        <x:v>15</x:v>
      </x:c>
      <x:c r="AF2278" s="8" t="n">
        <x:f>MAX(0,AE2278-AE2277)</x:f>
        <x:v>0</x:v>
      </x:c>
      <x:c r="AG2278" s="9" t="str">
        <x:f>IF(AF2278&gt;0,B2278,"")</x:f>
      </x:c>
      <x:c r="AH2278" s="9" t="n">
        <x:f>IF(F2278&gt;=1,1,(1+v01_LowTiesShare*(AE2278-1))/AE2278)</x:f>
        <x:v>1</x:v>
      </x:c>
      <x:c r="AI2278" s="32" t="n">
        <x:f>(Z2278+v01_ElderCommons*INDEX(LM_Elder,G2278)*AA2278)*AH2278</x:f>
        <x:v>64139.732591141874</x:v>
      </x:c>
      <x:c r="AJ2278" s="32" t="n">
        <x:f>H2278*v01_CommonsCoef*AI2278^v01_CommonsExp*INDEX(LM_Commons,G2278)</x:f>
        <x:v>0</x:v>
      </x:c>
      <x:c r="AK2278" s="32" t="n">
        <x:f>H2278*v01_RoleScale*Arch_Roles*(AE2278*(INDEX(v01_ElderRolePerSett,G2278)*v01_OutElder*INDEX(LM_Elder,G2278)+INDEX(v01_ShamanPerSett,G2278)*v01_OutShaman)+Z2278*(INDEX(v01_PriestShare,G2278)*v01_OutPriest+INDEX(v01_ScribeShare,G2278)*v01_OutScribe*INDEX(LM_Scribe,G2278)+INDEX(v01_ScholarShare,G2278)*v01_OutScholar*INDEX(LM_Scholar,G2278)+INDEX(v01_ResearcherShare,G2278)*v01_OutResearcher*INDEX(LM_Researcher,G2278)))</x:f>
        <x:v>0</x:v>
      </x:c>
      <x:c r="AL2278" s="32" t="n">
        <x:f>H2278*v01_RoleScale*Arch_Roles*AE2278*INDEX(v01_MonasteryPerSett,G2278)*v01_OutMonastery*INDEX(LM_Monastery,G2278)</x:f>
        <x:v>0</x:v>
      </x:c>
      <x:c r="AM2278" s="32" t="n">
        <x:f>(AJ2278+AK2278+AL2278)/4*INDEX(LM_All,G2278)*INDEX(v01_Boon,G2278)*Arch_Insight</x:f>
        <x:v>0</x:v>
      </x:c>
      <x:c r="AN2278" s="32" t="n">
        <x:f>H2278*(v01_KHPerAdult*Z2278+v01_KHOfCommons*AJ2278/4*INDEX(LM_All,G2278))*v01_KHUsable*Arch_KH</x:f>
        <x:v>0</x:v>
      </x:c>
      <x:c r="AO2278" s="32" t="n">
        <x:f>MIN(AP2277+AN2278,AM2278*v01_KHMaxRatio)</x:f>
        <x:v>0</x:v>
      </x:c>
      <x:c r="AP2278" s="32" t="n">
        <x:f>AP2277+AN2278-AO2278</x:f>
        <x:v>0</x:v>
      </x:c>
      <x:c r="AQ2278" s="32" t="n">
        <x:f>AM2278+AO2278</x:f>
        <x:v>0</x:v>
      </x:c>
      <x:c r="AR2278" s="10" t="n">
        <x:f>IF(H2278=1,INDEX(v01_Req,G2278),0)</x:f>
        <x:v>0</x:v>
      </x:c>
      <x:c r="AS2278" s="32" t="n">
        <x:f>IF(H2278=1,IF(E2278=1,AS2277-AR2277,AS2277)+AQ2278,0)</x:f>
        <x:v>0</x:v>
      </x:c>
      <x:c r="AT2278" s="11" t="n">
        <x:f>IF(AR2278&gt;0,MIN(1,AS2278/AR2278),1)</x:f>
        <x:v>1</x:v>
      </x:c>
      <x:c r="AU2278" s="10" t="n">
        <x:f>AB2278/INDEX(v01_RepScale,G2278)</x:f>
        <x:v>90.09519605746344</x:v>
      </x:c>
      <x:c r="AV2278" s="32" t="n">
        <x:f>AM2278*60/v01_SeasonSeconds</x:f>
        <x:v>0</x:v>
      </x:c>
    </x:row>
    <x:row r="2279">
      <x:c r="A2279" s="8" t="n">
        <x:f>A2278+1</x:f>
        <x:v>2276</x:v>
      </x:c>
      <x:c r="B2279" s="9" t="n">
        <x:f>A2279*v01_SeasonSeconds/60</x:f>
        <x:v>569</x:v>
      </x:c>
      <x:c r="C2279" s="9" t="n">
        <x:f>A2279/4</x:f>
        <x:v>569</x:v>
      </x:c>
      <x:c r="D2279" s="8" t="n">
        <x:f>IF(MOD(A2279,4)=0,1,0)</x:f>
        <x:v>1</x:v>
      </x:c>
      <x:c r="E2279" s="8" t="n">
        <x:f>IF(AND(F2278&lt;=9,AS2278&gt;=AR2278),1,0)</x:f>
        <x:v>0</x:v>
      </x:c>
      <x:c r="F2279" s="8" t="n">
        <x:f>MIN(10,F2278+E2279)</x:f>
        <x:v>10</x:v>
      </x:c>
      <x:c r="G2279" s="8" t="n">
        <x:f>MIN(F2279,9)+1</x:f>
        <x:v>10</x:v>
      </x:c>
      <x:c r="H2279" s="8" t="n">
        <x:f>IF(F2279&lt;=9,1,0)</x:f>
        <x:v>0</x:v>
      </x:c>
      <x:c r="I2279" s="9" t="n">
        <x:f>MIN(10,F2278+IF(AR2278&gt;0,MIN(1,AS2278/AR2278),1))</x:f>
        <x:v>10</x:v>
      </x:c>
      <x:c r="J2279" s="32" t="n">
        <x:f>INDEX(v01_FoodCap,G2279)*Arch_FoodCap*EXP(v01_CapsByProject*SUMPRODUCT((Cap_Point&lt;=I2279)*(Cap_Kind="Food")*Cap_Ln))</x:f>
        <x:v>12000</x:v>
      </x:c>
      <x:c r="K2279" s="32" t="n">
        <x:f>J2279*MIN(1,v01_LeanBase*EXP(v01_CapsByProject*SUMPRODUCT((Cap_Point&lt;=I2279)*(Cap_Kind="Lean")*Cap_Ln)))</x:f>
        <x:v>12000</x:v>
      </x:c>
      <x:c r="L2279" s="10" t="n">
        <x:f>INDEX(v01_HousingCap,G2279)*EXP(v01_CapsByProject*SUMPRODUCT((Cap_Point&lt;=I2279)*(Cap_Kind="Housing")*Cap_Ln))</x:f>
        <x:v>20000</x:v>
      </x:c>
      <x:c r="M2279" s="10" t="n">
        <x:f>INDEX(v01_GroupCap,G2279)*v01_CohesionFactor*EXP(v01_CapsByProject*SUMPRODUCT((Cap_Point&lt;=I2279)*(Cap_Kind="Group")*Cap_Ln))</x:f>
        <x:v>1000000</x:v>
      </x:c>
      <x:c r="N2279" s="32" t="n">
        <x:f>MIN(J2279,L2279,M2279)</x:f>
        <x:v>12000</x:v>
      </x:c>
      <x:c r="O2279" s="10" t="n">
        <x:f>AE2278*N2279</x:f>
        <x:v>180000</x:v>
      </x:c>
      <x:c r="P2279" s="9" t="n">
        <x:f>MIN(1,(AB2278/(AE2278*IF(v01_GroupInCrowding=1,N2279,MIN(J2279,L2279))))^v01_CrowdingExp)</x:f>
        <x:v>0.00024569414295285325</x:v>
      </x:c>
      <x:c r="Q2279" s="9" t="n">
        <x:f>IF(D2279=1,INDEX(v01_WinterMult,G2279),1)</x:f>
        <x:v>1</x:v>
      </x:c>
      <x:c r="R2279" s="9" t="n">
        <x:f>H2279*Z2278*v01_WomenShare*v01_BaseFertility*INDEX(v01_FertMult,G2279)*Arch_Fertility*(1-P2279)</x:f>
        <x:v>0</x:v>
      </x:c>
      <x:c r="S2279" s="9" t="n">
        <x:f>H2279*Y2278*INDEX(v01_MortChild,G2279)/4*Q2279</x:f>
        <x:v>0</x:v>
      </x:c>
      <x:c r="T2279" s="9" t="n">
        <x:f>H2279*Z2278*INDEX(v01_MortAdult,G2279)*Arch_AdultMort/4*Q2279</x:f>
        <x:v>0</x:v>
      </x:c>
      <x:c r="U2279" s="9" t="n">
        <x:f>H2279*AA2278*INDEX(v01_MortElder,G2279)/4*Q2279</x:f>
        <x:v>0</x:v>
      </x:c>
      <x:c r="V2279" s="9" t="n">
        <x:f>H2279*MAX(0,AB2278-O2279)*v01_OvercapLoss</x:f>
        <x:v>0</x:v>
      </x:c>
      <x:c r="W2279" s="9" t="n">
        <x:f>H2279*Y2278/(v01_ChildYears*4)</x:f>
        <x:v>0</x:v>
      </x:c>
      <x:c r="X2279" s="9" t="n">
        <x:f>H2279*Z2278/(v01_AdultYears*4)</x:f>
        <x:v>0</x:v>
      </x:c>
      <x:c r="Y2279" s="32" t="n">
        <x:f>Y2278+R2279-S2279-W2279-Y2278*V2279/AB2278</x:f>
        <x:v>14306.18539759397</x:v>
      </x:c>
      <x:c r="Z2279" s="32" t="n">
        <x:f>Z2278+W2279-X2279-T2279-Z2278*V2279/AB2278</x:f>
        <x:v>19354.456567879548</x:v>
      </x:c>
      <x:c r="AA2279" s="32" t="n">
        <x:f>AA2278+X2279-U2279-AA2278*V2279/AB2278</x:f>
        <x:v>11386.956063258198</x:v>
      </x:c>
      <x:c r="AB2279" s="10" t="n">
        <x:f>Y2279+Z2279+AA2279</x:f>
        <x:v>45047.59802873172</x:v>
      </x:c>
      <x:c r="AC2279" s="8" t="n">
        <x:f>IF(AND(v01_WinterTrigger=1,D2279=1,AB2278/AE2278&gt;=K2279),1,0)</x:f>
        <x:v>0</x:v>
      </x:c>
      <x:c r="AD2279" s="8" t="n">
        <x:f>H2279*IF(AND(OR(AB2278/AE2278&gt;=v01_FissionTrigger*N2279,AC2279=1),AB2278/AE2278*v01_DaughterShare&gt;=v01_MinDaughter),MAX(1,ROUND(AE2278*v01_FissionRate,0)),0)</x:f>
        <x:v>0</x:v>
      </x:c>
      <x:c r="AE2279" s="8" t="n">
        <x:f>IF(H2279=1,MAX(1,MIN(INDEX(v01_Smax,G2279),AE2278+AD2279)),AE2278)</x:f>
        <x:v>15</x:v>
      </x:c>
      <x:c r="AF2279" s="8" t="n">
        <x:f>MAX(0,AE2279-AE2278)</x:f>
        <x:v>0</x:v>
      </x:c>
      <x:c r="AG2279" s="9" t="str">
        <x:f>IF(AF2279&gt;0,B2279,"")</x:f>
      </x:c>
      <x:c r="AH2279" s="9" t="n">
        <x:f>IF(F2279&gt;=1,1,(1+v01_LowTiesShare*(AE2279-1))/AE2279)</x:f>
        <x:v>1</x:v>
      </x:c>
      <x:c r="AI2279" s="32" t="n">
        <x:f>(Z2279+v01_ElderCommons*INDEX(LM_Elder,G2279)*AA2279)*AH2279</x:f>
        <x:v>64139.732591141874</x:v>
      </x:c>
      <x:c r="AJ2279" s="32" t="n">
        <x:f>H2279*v01_CommonsCoef*AI2279^v01_CommonsExp*INDEX(LM_Commons,G2279)</x:f>
        <x:v>0</x:v>
      </x:c>
      <x:c r="AK2279" s="32" t="n">
        <x:f>H2279*v01_RoleScale*Arch_Roles*(AE2279*(INDEX(v01_ElderRolePerSett,G2279)*v01_OutElder*INDEX(LM_Elder,G2279)+INDEX(v01_ShamanPerSett,G2279)*v01_OutShaman)+Z2279*(INDEX(v01_PriestShare,G2279)*v01_OutPriest+INDEX(v01_ScribeShare,G2279)*v01_OutScribe*INDEX(LM_Scribe,G2279)+INDEX(v01_ScholarShare,G2279)*v01_OutScholar*INDEX(LM_Scholar,G2279)+INDEX(v01_ResearcherShare,G2279)*v01_OutResearcher*INDEX(LM_Researcher,G2279)))</x:f>
        <x:v>0</x:v>
      </x:c>
      <x:c r="AL2279" s="32" t="n">
        <x:f>H2279*v01_RoleScale*Arch_Roles*AE2279*INDEX(v01_MonasteryPerSett,G2279)*v01_OutMonastery*INDEX(LM_Monastery,G2279)</x:f>
        <x:v>0</x:v>
      </x:c>
      <x:c r="AM2279" s="32" t="n">
        <x:f>(AJ2279+AK2279+AL2279)/4*INDEX(LM_All,G2279)*INDEX(v01_Boon,G2279)*Arch_Insight</x:f>
        <x:v>0</x:v>
      </x:c>
      <x:c r="AN2279" s="32" t="n">
        <x:f>H2279*(v01_KHPerAdult*Z2279+v01_KHOfCommons*AJ2279/4*INDEX(LM_All,G2279))*v01_KHUsable*Arch_KH</x:f>
        <x:v>0</x:v>
      </x:c>
      <x:c r="AO2279" s="32" t="n">
        <x:f>MIN(AP2278+AN2279,AM2279*v01_KHMaxRatio)</x:f>
        <x:v>0</x:v>
      </x:c>
      <x:c r="AP2279" s="32" t="n">
        <x:f>AP2278+AN2279-AO2279</x:f>
        <x:v>0</x:v>
      </x:c>
      <x:c r="AQ2279" s="32" t="n">
        <x:f>AM2279+AO2279</x:f>
        <x:v>0</x:v>
      </x:c>
      <x:c r="AR2279" s="10" t="n">
        <x:f>IF(H2279=1,INDEX(v01_Req,G2279),0)</x:f>
        <x:v>0</x:v>
      </x:c>
      <x:c r="AS2279" s="32" t="n">
        <x:f>IF(H2279=1,IF(E2279=1,AS2278-AR2278,AS2278)+AQ2279,0)</x:f>
        <x:v>0</x:v>
      </x:c>
      <x:c r="AT2279" s="11" t="n">
        <x:f>IF(AR2279&gt;0,MIN(1,AS2279/AR2279),1)</x:f>
        <x:v>1</x:v>
      </x:c>
      <x:c r="AU2279" s="10" t="n">
        <x:f>AB2279/INDEX(v01_RepScale,G2279)</x:f>
        <x:v>90.09519605746344</x:v>
      </x:c>
      <x:c r="AV2279" s="32" t="n">
        <x:f>AM2279*60/v01_SeasonSeconds</x:f>
        <x:v>0</x:v>
      </x:c>
    </x:row>
    <x:row r="2280">
      <x:c r="A2280" s="8" t="n">
        <x:f>A2279+1</x:f>
        <x:v>2277</x:v>
      </x:c>
      <x:c r="B2280" s="9" t="n">
        <x:f>A2280*v01_SeasonSeconds/60</x:f>
        <x:v>569.25</x:v>
      </x:c>
      <x:c r="C2280" s="9" t="n">
        <x:f>A2280/4</x:f>
        <x:v>569.25</x:v>
      </x:c>
      <x:c r="D2280" s="8" t="n">
        <x:f>IF(MOD(A2280,4)=0,1,0)</x:f>
        <x:v>0</x:v>
      </x:c>
      <x:c r="E2280" s="8" t="n">
        <x:f>IF(AND(F2279&lt;=9,AS2279&gt;=AR2279),1,0)</x:f>
        <x:v>0</x:v>
      </x:c>
      <x:c r="F2280" s="8" t="n">
        <x:f>MIN(10,F2279+E2280)</x:f>
        <x:v>10</x:v>
      </x:c>
      <x:c r="G2280" s="8" t="n">
        <x:f>MIN(F2280,9)+1</x:f>
        <x:v>10</x:v>
      </x:c>
      <x:c r="H2280" s="8" t="n">
        <x:f>IF(F2280&lt;=9,1,0)</x:f>
        <x:v>0</x:v>
      </x:c>
      <x:c r="I2280" s="9" t="n">
        <x:f>MIN(10,F2279+IF(AR2279&gt;0,MIN(1,AS2279/AR2279),1))</x:f>
        <x:v>10</x:v>
      </x:c>
      <x:c r="J2280" s="32" t="n">
        <x:f>INDEX(v01_FoodCap,G2280)*Arch_FoodCap*EXP(v01_CapsByProject*SUMPRODUCT((Cap_Point&lt;=I2280)*(Cap_Kind="Food")*Cap_Ln))</x:f>
        <x:v>12000</x:v>
      </x:c>
      <x:c r="K2280" s="32" t="n">
        <x:f>J2280*MIN(1,v01_LeanBase*EXP(v01_CapsByProject*SUMPRODUCT((Cap_Point&lt;=I2280)*(Cap_Kind="Lean")*Cap_Ln)))</x:f>
        <x:v>12000</x:v>
      </x:c>
      <x:c r="L2280" s="10" t="n">
        <x:f>INDEX(v01_HousingCap,G2280)*EXP(v01_CapsByProject*SUMPRODUCT((Cap_Point&lt;=I2280)*(Cap_Kind="Housing")*Cap_Ln))</x:f>
        <x:v>20000</x:v>
      </x:c>
      <x:c r="M2280" s="10" t="n">
        <x:f>INDEX(v01_GroupCap,G2280)*v01_CohesionFactor*EXP(v01_CapsByProject*SUMPRODUCT((Cap_Point&lt;=I2280)*(Cap_Kind="Group")*Cap_Ln))</x:f>
        <x:v>1000000</x:v>
      </x:c>
      <x:c r="N2280" s="32" t="n">
        <x:f>MIN(J2280,L2280,M2280)</x:f>
        <x:v>12000</x:v>
      </x:c>
      <x:c r="O2280" s="10" t="n">
        <x:f>AE2279*N2280</x:f>
        <x:v>180000</x:v>
      </x:c>
      <x:c r="P2280" s="9" t="n">
        <x:f>MIN(1,(AB2279/(AE2279*IF(v01_GroupInCrowding=1,N2280,MIN(J2280,L2280))))^v01_CrowdingExp)</x:f>
        <x:v>0.00024569414295285325</x:v>
      </x:c>
      <x:c r="Q2280" s="9" t="n">
        <x:f>IF(D2280=1,INDEX(v01_WinterMult,G2280),1)</x:f>
        <x:v>1</x:v>
      </x:c>
      <x:c r="R2280" s="9" t="n">
        <x:f>H2280*Z2279*v01_WomenShare*v01_BaseFertility*INDEX(v01_FertMult,G2280)*Arch_Fertility*(1-P2280)</x:f>
        <x:v>0</x:v>
      </x:c>
      <x:c r="S2280" s="9" t="n">
        <x:f>H2280*Y2279*INDEX(v01_MortChild,G2280)/4*Q2280</x:f>
        <x:v>0</x:v>
      </x:c>
      <x:c r="T2280" s="9" t="n">
        <x:f>H2280*Z2279*INDEX(v01_MortAdult,G2280)*Arch_AdultMort/4*Q2280</x:f>
        <x:v>0</x:v>
      </x:c>
      <x:c r="U2280" s="9" t="n">
        <x:f>H2280*AA2279*INDEX(v01_MortElder,G2280)/4*Q2280</x:f>
        <x:v>0</x:v>
      </x:c>
      <x:c r="V2280" s="9" t="n">
        <x:f>H2280*MAX(0,AB2279-O2280)*v01_OvercapLoss</x:f>
        <x:v>0</x:v>
      </x:c>
      <x:c r="W2280" s="9" t="n">
        <x:f>H2280*Y2279/(v01_ChildYears*4)</x:f>
        <x:v>0</x:v>
      </x:c>
      <x:c r="X2280" s="9" t="n">
        <x:f>H2280*Z2279/(v01_AdultYears*4)</x:f>
        <x:v>0</x:v>
      </x:c>
      <x:c r="Y2280" s="32" t="n">
        <x:f>Y2279+R2280-S2280-W2280-Y2279*V2280/AB2279</x:f>
        <x:v>14306.18539759397</x:v>
      </x:c>
      <x:c r="Z2280" s="32" t="n">
        <x:f>Z2279+W2280-X2280-T2280-Z2279*V2280/AB2279</x:f>
        <x:v>19354.456567879548</x:v>
      </x:c>
      <x:c r="AA2280" s="32" t="n">
        <x:f>AA2279+X2280-U2280-AA2279*V2280/AB2279</x:f>
        <x:v>11386.956063258198</x:v>
      </x:c>
      <x:c r="AB2280" s="10" t="n">
        <x:f>Y2280+Z2280+AA2280</x:f>
        <x:v>45047.59802873172</x:v>
      </x:c>
      <x:c r="AC2280" s="8" t="n">
        <x:f>IF(AND(v01_WinterTrigger=1,D2280=1,AB2279/AE2279&gt;=K2280),1,0)</x:f>
        <x:v>0</x:v>
      </x:c>
      <x:c r="AD2280" s="8" t="n">
        <x:f>H2280*IF(AND(OR(AB2279/AE2279&gt;=v01_FissionTrigger*N2280,AC2280=1),AB2279/AE2279*v01_DaughterShare&gt;=v01_MinDaughter),MAX(1,ROUND(AE2279*v01_FissionRate,0)),0)</x:f>
        <x:v>0</x:v>
      </x:c>
      <x:c r="AE2280" s="8" t="n">
        <x:f>IF(H2280=1,MAX(1,MIN(INDEX(v01_Smax,G2280),AE2279+AD2280)),AE2279)</x:f>
        <x:v>15</x:v>
      </x:c>
      <x:c r="AF2280" s="8" t="n">
        <x:f>MAX(0,AE2280-AE2279)</x:f>
        <x:v>0</x:v>
      </x:c>
      <x:c r="AG2280" s="9" t="str">
        <x:f>IF(AF2280&gt;0,B2280,"")</x:f>
      </x:c>
      <x:c r="AH2280" s="9" t="n">
        <x:f>IF(F2280&gt;=1,1,(1+v01_LowTiesShare*(AE2280-1))/AE2280)</x:f>
        <x:v>1</x:v>
      </x:c>
      <x:c r="AI2280" s="32" t="n">
        <x:f>(Z2280+v01_ElderCommons*INDEX(LM_Elder,G2280)*AA2280)*AH2280</x:f>
        <x:v>64139.732591141874</x:v>
      </x:c>
      <x:c r="AJ2280" s="32" t="n">
        <x:f>H2280*v01_CommonsCoef*AI2280^v01_CommonsExp*INDEX(LM_Commons,G2280)</x:f>
        <x:v>0</x:v>
      </x:c>
      <x:c r="AK2280" s="32" t="n">
        <x:f>H2280*v01_RoleScale*Arch_Roles*(AE2280*(INDEX(v01_ElderRolePerSett,G2280)*v01_OutElder*INDEX(LM_Elder,G2280)+INDEX(v01_ShamanPerSett,G2280)*v01_OutShaman)+Z2280*(INDEX(v01_PriestShare,G2280)*v01_OutPriest+INDEX(v01_ScribeShare,G2280)*v01_OutScribe*INDEX(LM_Scribe,G2280)+INDEX(v01_ScholarShare,G2280)*v01_OutScholar*INDEX(LM_Scholar,G2280)+INDEX(v01_ResearcherShare,G2280)*v01_OutResearcher*INDEX(LM_Researcher,G2280)))</x:f>
        <x:v>0</x:v>
      </x:c>
      <x:c r="AL2280" s="32" t="n">
        <x:f>H2280*v01_RoleScale*Arch_Roles*AE2280*INDEX(v01_MonasteryPerSett,G2280)*v01_OutMonastery*INDEX(LM_Monastery,G2280)</x:f>
        <x:v>0</x:v>
      </x:c>
      <x:c r="AM2280" s="32" t="n">
        <x:f>(AJ2280+AK2280+AL2280)/4*INDEX(LM_All,G2280)*INDEX(v01_Boon,G2280)*Arch_Insight</x:f>
        <x:v>0</x:v>
      </x:c>
      <x:c r="AN2280" s="32" t="n">
        <x:f>H2280*(v01_KHPerAdult*Z2280+v01_KHOfCommons*AJ2280/4*INDEX(LM_All,G2280))*v01_KHUsable*Arch_KH</x:f>
        <x:v>0</x:v>
      </x:c>
      <x:c r="AO2280" s="32" t="n">
        <x:f>MIN(AP2279+AN2280,AM2280*v01_KHMaxRatio)</x:f>
        <x:v>0</x:v>
      </x:c>
      <x:c r="AP2280" s="32" t="n">
        <x:f>AP2279+AN2280-AO2280</x:f>
        <x:v>0</x:v>
      </x:c>
      <x:c r="AQ2280" s="32" t="n">
        <x:f>AM2280+AO2280</x:f>
        <x:v>0</x:v>
      </x:c>
      <x:c r="AR2280" s="10" t="n">
        <x:f>IF(H2280=1,INDEX(v01_Req,G2280),0)</x:f>
        <x:v>0</x:v>
      </x:c>
      <x:c r="AS2280" s="32" t="n">
        <x:f>IF(H2280=1,IF(E2280=1,AS2279-AR2279,AS2279)+AQ2280,0)</x:f>
        <x:v>0</x:v>
      </x:c>
      <x:c r="AT2280" s="11" t="n">
        <x:f>IF(AR2280&gt;0,MIN(1,AS2280/AR2280),1)</x:f>
        <x:v>1</x:v>
      </x:c>
      <x:c r="AU2280" s="10" t="n">
        <x:f>AB2280/INDEX(v01_RepScale,G2280)</x:f>
        <x:v>90.09519605746344</x:v>
      </x:c>
      <x:c r="AV2280" s="32" t="n">
        <x:f>AM2280*60/v01_SeasonSeconds</x:f>
        <x:v>0</x:v>
      </x:c>
    </x:row>
    <x:row r="2281">
      <x:c r="A2281" s="8" t="n">
        <x:f>A2280+1</x:f>
        <x:v>2278</x:v>
      </x:c>
      <x:c r="B2281" s="9" t="n">
        <x:f>A2281*v01_SeasonSeconds/60</x:f>
        <x:v>569.5</x:v>
      </x:c>
      <x:c r="C2281" s="9" t="n">
        <x:f>A2281/4</x:f>
        <x:v>569.5</x:v>
      </x:c>
      <x:c r="D2281" s="8" t="n">
        <x:f>IF(MOD(A2281,4)=0,1,0)</x:f>
        <x:v>0</x:v>
      </x:c>
      <x:c r="E2281" s="8" t="n">
        <x:f>IF(AND(F2280&lt;=9,AS2280&gt;=AR2280),1,0)</x:f>
        <x:v>0</x:v>
      </x:c>
      <x:c r="F2281" s="8" t="n">
        <x:f>MIN(10,F2280+E2281)</x:f>
        <x:v>10</x:v>
      </x:c>
      <x:c r="G2281" s="8" t="n">
        <x:f>MIN(F2281,9)+1</x:f>
        <x:v>10</x:v>
      </x:c>
      <x:c r="H2281" s="8" t="n">
        <x:f>IF(F2281&lt;=9,1,0)</x:f>
        <x:v>0</x:v>
      </x:c>
      <x:c r="I2281" s="9" t="n">
        <x:f>MIN(10,F2280+IF(AR2280&gt;0,MIN(1,AS2280/AR2280),1))</x:f>
        <x:v>10</x:v>
      </x:c>
      <x:c r="J2281" s="32" t="n">
        <x:f>INDEX(v01_FoodCap,G2281)*Arch_FoodCap*EXP(v01_CapsByProject*SUMPRODUCT((Cap_Point&lt;=I2281)*(Cap_Kind="Food")*Cap_Ln))</x:f>
        <x:v>12000</x:v>
      </x:c>
      <x:c r="K2281" s="32" t="n">
        <x:f>J2281*MIN(1,v01_LeanBase*EXP(v01_CapsByProject*SUMPRODUCT((Cap_Point&lt;=I2281)*(Cap_Kind="Lean")*Cap_Ln)))</x:f>
        <x:v>12000</x:v>
      </x:c>
      <x:c r="L2281" s="10" t="n">
        <x:f>INDEX(v01_HousingCap,G2281)*EXP(v01_CapsByProject*SUMPRODUCT((Cap_Point&lt;=I2281)*(Cap_Kind="Housing")*Cap_Ln))</x:f>
        <x:v>20000</x:v>
      </x:c>
      <x:c r="M2281" s="10" t="n">
        <x:f>INDEX(v01_GroupCap,G2281)*v01_CohesionFactor*EXP(v01_CapsByProject*SUMPRODUCT((Cap_Point&lt;=I2281)*(Cap_Kind="Group")*Cap_Ln))</x:f>
        <x:v>1000000</x:v>
      </x:c>
      <x:c r="N2281" s="32" t="n">
        <x:f>MIN(J2281,L2281,M2281)</x:f>
        <x:v>12000</x:v>
      </x:c>
      <x:c r="O2281" s="10" t="n">
        <x:f>AE2280*N2281</x:f>
        <x:v>180000</x:v>
      </x:c>
      <x:c r="P2281" s="9" t="n">
        <x:f>MIN(1,(AB2280/(AE2280*IF(v01_GroupInCrowding=1,N2281,MIN(J2281,L2281))))^v01_CrowdingExp)</x:f>
        <x:v>0.00024569414295285325</x:v>
      </x:c>
      <x:c r="Q2281" s="9" t="n">
        <x:f>IF(D2281=1,INDEX(v01_WinterMult,G2281),1)</x:f>
        <x:v>1</x:v>
      </x:c>
      <x:c r="R2281" s="9" t="n">
        <x:f>H2281*Z2280*v01_WomenShare*v01_BaseFertility*INDEX(v01_FertMult,G2281)*Arch_Fertility*(1-P2281)</x:f>
        <x:v>0</x:v>
      </x:c>
      <x:c r="S2281" s="9" t="n">
        <x:f>H2281*Y2280*INDEX(v01_MortChild,G2281)/4*Q2281</x:f>
        <x:v>0</x:v>
      </x:c>
      <x:c r="T2281" s="9" t="n">
        <x:f>H2281*Z2280*INDEX(v01_MortAdult,G2281)*Arch_AdultMort/4*Q2281</x:f>
        <x:v>0</x:v>
      </x:c>
      <x:c r="U2281" s="9" t="n">
        <x:f>H2281*AA2280*INDEX(v01_MortElder,G2281)/4*Q2281</x:f>
        <x:v>0</x:v>
      </x:c>
      <x:c r="V2281" s="9" t="n">
        <x:f>H2281*MAX(0,AB2280-O2281)*v01_OvercapLoss</x:f>
        <x:v>0</x:v>
      </x:c>
      <x:c r="W2281" s="9" t="n">
        <x:f>H2281*Y2280/(v01_ChildYears*4)</x:f>
        <x:v>0</x:v>
      </x:c>
      <x:c r="X2281" s="9" t="n">
        <x:f>H2281*Z2280/(v01_AdultYears*4)</x:f>
        <x:v>0</x:v>
      </x:c>
      <x:c r="Y2281" s="32" t="n">
        <x:f>Y2280+R2281-S2281-W2281-Y2280*V2281/AB2280</x:f>
        <x:v>14306.18539759397</x:v>
      </x:c>
      <x:c r="Z2281" s="32" t="n">
        <x:f>Z2280+W2281-X2281-T2281-Z2280*V2281/AB2280</x:f>
        <x:v>19354.456567879548</x:v>
      </x:c>
      <x:c r="AA2281" s="32" t="n">
        <x:f>AA2280+X2281-U2281-AA2280*V2281/AB2280</x:f>
        <x:v>11386.956063258198</x:v>
      </x:c>
      <x:c r="AB2281" s="10" t="n">
        <x:f>Y2281+Z2281+AA2281</x:f>
        <x:v>45047.59802873172</x:v>
      </x:c>
      <x:c r="AC2281" s="8" t="n">
        <x:f>IF(AND(v01_WinterTrigger=1,D2281=1,AB2280/AE2280&gt;=K2281),1,0)</x:f>
        <x:v>0</x:v>
      </x:c>
      <x:c r="AD2281" s="8" t="n">
        <x:f>H2281*IF(AND(OR(AB2280/AE2280&gt;=v01_FissionTrigger*N2281,AC2281=1),AB2280/AE2280*v01_DaughterShare&gt;=v01_MinDaughter),MAX(1,ROUND(AE2280*v01_FissionRate,0)),0)</x:f>
        <x:v>0</x:v>
      </x:c>
      <x:c r="AE2281" s="8" t="n">
        <x:f>IF(H2281=1,MAX(1,MIN(INDEX(v01_Smax,G2281),AE2280+AD2281)),AE2280)</x:f>
        <x:v>15</x:v>
      </x:c>
      <x:c r="AF2281" s="8" t="n">
        <x:f>MAX(0,AE2281-AE2280)</x:f>
        <x:v>0</x:v>
      </x:c>
      <x:c r="AG2281" s="9" t="str">
        <x:f>IF(AF2281&gt;0,B2281,"")</x:f>
      </x:c>
      <x:c r="AH2281" s="9" t="n">
        <x:f>IF(F2281&gt;=1,1,(1+v01_LowTiesShare*(AE2281-1))/AE2281)</x:f>
        <x:v>1</x:v>
      </x:c>
      <x:c r="AI2281" s="32" t="n">
        <x:f>(Z2281+v01_ElderCommons*INDEX(LM_Elder,G2281)*AA2281)*AH2281</x:f>
        <x:v>64139.732591141874</x:v>
      </x:c>
      <x:c r="AJ2281" s="32" t="n">
        <x:f>H2281*v01_CommonsCoef*AI2281^v01_CommonsExp*INDEX(LM_Commons,G2281)</x:f>
        <x:v>0</x:v>
      </x:c>
      <x:c r="AK2281" s="32" t="n">
        <x:f>H2281*v01_RoleScale*Arch_Roles*(AE2281*(INDEX(v01_ElderRolePerSett,G2281)*v01_OutElder*INDEX(LM_Elder,G2281)+INDEX(v01_ShamanPerSett,G2281)*v01_OutShaman)+Z2281*(INDEX(v01_PriestShare,G2281)*v01_OutPriest+INDEX(v01_ScribeShare,G2281)*v01_OutScribe*INDEX(LM_Scribe,G2281)+INDEX(v01_ScholarShare,G2281)*v01_OutScholar*INDEX(LM_Scholar,G2281)+INDEX(v01_ResearcherShare,G2281)*v01_OutResearcher*INDEX(LM_Researcher,G2281)))</x:f>
        <x:v>0</x:v>
      </x:c>
      <x:c r="AL2281" s="32" t="n">
        <x:f>H2281*v01_RoleScale*Arch_Roles*AE2281*INDEX(v01_MonasteryPerSett,G2281)*v01_OutMonastery*INDEX(LM_Monastery,G2281)</x:f>
        <x:v>0</x:v>
      </x:c>
      <x:c r="AM2281" s="32" t="n">
        <x:f>(AJ2281+AK2281+AL2281)/4*INDEX(LM_All,G2281)*INDEX(v01_Boon,G2281)*Arch_Insight</x:f>
        <x:v>0</x:v>
      </x:c>
      <x:c r="AN2281" s="32" t="n">
        <x:f>H2281*(v01_KHPerAdult*Z2281+v01_KHOfCommons*AJ2281/4*INDEX(LM_All,G2281))*v01_KHUsable*Arch_KH</x:f>
        <x:v>0</x:v>
      </x:c>
      <x:c r="AO2281" s="32" t="n">
        <x:f>MIN(AP2280+AN2281,AM2281*v01_KHMaxRatio)</x:f>
        <x:v>0</x:v>
      </x:c>
      <x:c r="AP2281" s="32" t="n">
        <x:f>AP2280+AN2281-AO2281</x:f>
        <x:v>0</x:v>
      </x:c>
      <x:c r="AQ2281" s="32" t="n">
        <x:f>AM2281+AO2281</x:f>
        <x:v>0</x:v>
      </x:c>
      <x:c r="AR2281" s="10" t="n">
        <x:f>IF(H2281=1,INDEX(v01_Req,G2281),0)</x:f>
        <x:v>0</x:v>
      </x:c>
      <x:c r="AS2281" s="32" t="n">
        <x:f>IF(H2281=1,IF(E2281=1,AS2280-AR2280,AS2280)+AQ2281,0)</x:f>
        <x:v>0</x:v>
      </x:c>
      <x:c r="AT2281" s="11" t="n">
        <x:f>IF(AR2281&gt;0,MIN(1,AS2281/AR2281),1)</x:f>
        <x:v>1</x:v>
      </x:c>
      <x:c r="AU2281" s="10" t="n">
        <x:f>AB2281/INDEX(v01_RepScale,G2281)</x:f>
        <x:v>90.09519605746344</x:v>
      </x:c>
      <x:c r="AV2281" s="32" t="n">
        <x:f>AM2281*60/v01_SeasonSeconds</x:f>
        <x:v>0</x:v>
      </x:c>
    </x:row>
    <x:row r="2282">
      <x:c r="A2282" s="8" t="n">
        <x:f>A2281+1</x:f>
        <x:v>2279</x:v>
      </x:c>
      <x:c r="B2282" s="9" t="n">
        <x:f>A2282*v01_SeasonSeconds/60</x:f>
        <x:v>569.75</x:v>
      </x:c>
      <x:c r="C2282" s="9" t="n">
        <x:f>A2282/4</x:f>
        <x:v>569.75</x:v>
      </x:c>
      <x:c r="D2282" s="8" t="n">
        <x:f>IF(MOD(A2282,4)=0,1,0)</x:f>
        <x:v>0</x:v>
      </x:c>
      <x:c r="E2282" s="8" t="n">
        <x:f>IF(AND(F2281&lt;=9,AS2281&gt;=AR2281),1,0)</x:f>
        <x:v>0</x:v>
      </x:c>
      <x:c r="F2282" s="8" t="n">
        <x:f>MIN(10,F2281+E2282)</x:f>
        <x:v>10</x:v>
      </x:c>
      <x:c r="G2282" s="8" t="n">
        <x:f>MIN(F2282,9)+1</x:f>
        <x:v>10</x:v>
      </x:c>
      <x:c r="H2282" s="8" t="n">
        <x:f>IF(F2282&lt;=9,1,0)</x:f>
        <x:v>0</x:v>
      </x:c>
      <x:c r="I2282" s="9" t="n">
        <x:f>MIN(10,F2281+IF(AR2281&gt;0,MIN(1,AS2281/AR2281),1))</x:f>
        <x:v>10</x:v>
      </x:c>
      <x:c r="J2282" s="32" t="n">
        <x:f>INDEX(v01_FoodCap,G2282)*Arch_FoodCap*EXP(v01_CapsByProject*SUMPRODUCT((Cap_Point&lt;=I2282)*(Cap_Kind="Food")*Cap_Ln))</x:f>
        <x:v>12000</x:v>
      </x:c>
      <x:c r="K2282" s="32" t="n">
        <x:f>J2282*MIN(1,v01_LeanBase*EXP(v01_CapsByProject*SUMPRODUCT((Cap_Point&lt;=I2282)*(Cap_Kind="Lean")*Cap_Ln)))</x:f>
        <x:v>12000</x:v>
      </x:c>
      <x:c r="L2282" s="10" t="n">
        <x:f>INDEX(v01_HousingCap,G2282)*EXP(v01_CapsByProject*SUMPRODUCT((Cap_Point&lt;=I2282)*(Cap_Kind="Housing")*Cap_Ln))</x:f>
        <x:v>20000</x:v>
      </x:c>
      <x:c r="M2282" s="10" t="n">
        <x:f>INDEX(v01_GroupCap,G2282)*v01_CohesionFactor*EXP(v01_CapsByProject*SUMPRODUCT((Cap_Point&lt;=I2282)*(Cap_Kind="Group")*Cap_Ln))</x:f>
        <x:v>1000000</x:v>
      </x:c>
      <x:c r="N2282" s="32" t="n">
        <x:f>MIN(J2282,L2282,M2282)</x:f>
        <x:v>12000</x:v>
      </x:c>
      <x:c r="O2282" s="10" t="n">
        <x:f>AE2281*N2282</x:f>
        <x:v>180000</x:v>
      </x:c>
      <x:c r="P2282" s="9" t="n">
        <x:f>MIN(1,(AB2281/(AE2281*IF(v01_GroupInCrowding=1,N2282,MIN(J2282,L2282))))^v01_CrowdingExp)</x:f>
        <x:v>0.00024569414295285325</x:v>
      </x:c>
      <x:c r="Q2282" s="9" t="n">
        <x:f>IF(D2282=1,INDEX(v01_WinterMult,G2282),1)</x:f>
        <x:v>1</x:v>
      </x:c>
      <x:c r="R2282" s="9" t="n">
        <x:f>H2282*Z2281*v01_WomenShare*v01_BaseFertility*INDEX(v01_FertMult,G2282)*Arch_Fertility*(1-P2282)</x:f>
        <x:v>0</x:v>
      </x:c>
      <x:c r="S2282" s="9" t="n">
        <x:f>H2282*Y2281*INDEX(v01_MortChild,G2282)/4*Q2282</x:f>
        <x:v>0</x:v>
      </x:c>
      <x:c r="T2282" s="9" t="n">
        <x:f>H2282*Z2281*INDEX(v01_MortAdult,G2282)*Arch_AdultMort/4*Q2282</x:f>
        <x:v>0</x:v>
      </x:c>
      <x:c r="U2282" s="9" t="n">
        <x:f>H2282*AA2281*INDEX(v01_MortElder,G2282)/4*Q2282</x:f>
        <x:v>0</x:v>
      </x:c>
      <x:c r="V2282" s="9" t="n">
        <x:f>H2282*MAX(0,AB2281-O2282)*v01_OvercapLoss</x:f>
        <x:v>0</x:v>
      </x:c>
      <x:c r="W2282" s="9" t="n">
        <x:f>H2282*Y2281/(v01_ChildYears*4)</x:f>
        <x:v>0</x:v>
      </x:c>
      <x:c r="X2282" s="9" t="n">
        <x:f>H2282*Z2281/(v01_AdultYears*4)</x:f>
        <x:v>0</x:v>
      </x:c>
      <x:c r="Y2282" s="32" t="n">
        <x:f>Y2281+R2282-S2282-W2282-Y2281*V2282/AB2281</x:f>
        <x:v>14306.18539759397</x:v>
      </x:c>
      <x:c r="Z2282" s="32" t="n">
        <x:f>Z2281+W2282-X2282-T2282-Z2281*V2282/AB2281</x:f>
        <x:v>19354.456567879548</x:v>
      </x:c>
      <x:c r="AA2282" s="32" t="n">
        <x:f>AA2281+X2282-U2282-AA2281*V2282/AB2281</x:f>
        <x:v>11386.956063258198</x:v>
      </x:c>
      <x:c r="AB2282" s="10" t="n">
        <x:f>Y2282+Z2282+AA2282</x:f>
        <x:v>45047.59802873172</x:v>
      </x:c>
      <x:c r="AC2282" s="8" t="n">
        <x:f>IF(AND(v01_WinterTrigger=1,D2282=1,AB2281/AE2281&gt;=K2282),1,0)</x:f>
        <x:v>0</x:v>
      </x:c>
      <x:c r="AD2282" s="8" t="n">
        <x:f>H2282*IF(AND(OR(AB2281/AE2281&gt;=v01_FissionTrigger*N2282,AC2282=1),AB2281/AE2281*v01_DaughterShare&gt;=v01_MinDaughter),MAX(1,ROUND(AE2281*v01_FissionRate,0)),0)</x:f>
        <x:v>0</x:v>
      </x:c>
      <x:c r="AE2282" s="8" t="n">
        <x:f>IF(H2282=1,MAX(1,MIN(INDEX(v01_Smax,G2282),AE2281+AD2282)),AE2281)</x:f>
        <x:v>15</x:v>
      </x:c>
      <x:c r="AF2282" s="8" t="n">
        <x:f>MAX(0,AE2282-AE2281)</x:f>
        <x:v>0</x:v>
      </x:c>
      <x:c r="AG2282" s="9" t="str">
        <x:f>IF(AF2282&gt;0,B2282,"")</x:f>
      </x:c>
      <x:c r="AH2282" s="9" t="n">
        <x:f>IF(F2282&gt;=1,1,(1+v01_LowTiesShare*(AE2282-1))/AE2282)</x:f>
        <x:v>1</x:v>
      </x:c>
      <x:c r="AI2282" s="32" t="n">
        <x:f>(Z2282+v01_ElderCommons*INDEX(LM_Elder,G2282)*AA2282)*AH2282</x:f>
        <x:v>64139.732591141874</x:v>
      </x:c>
      <x:c r="AJ2282" s="32" t="n">
        <x:f>H2282*v01_CommonsCoef*AI2282^v01_CommonsExp*INDEX(LM_Commons,G2282)</x:f>
        <x:v>0</x:v>
      </x:c>
      <x:c r="AK2282" s="32" t="n">
        <x:f>H2282*v01_RoleScale*Arch_Roles*(AE2282*(INDEX(v01_ElderRolePerSett,G2282)*v01_OutElder*INDEX(LM_Elder,G2282)+INDEX(v01_ShamanPerSett,G2282)*v01_OutShaman)+Z2282*(INDEX(v01_PriestShare,G2282)*v01_OutPriest+INDEX(v01_ScribeShare,G2282)*v01_OutScribe*INDEX(LM_Scribe,G2282)+INDEX(v01_ScholarShare,G2282)*v01_OutScholar*INDEX(LM_Scholar,G2282)+INDEX(v01_ResearcherShare,G2282)*v01_OutResearcher*INDEX(LM_Researcher,G2282)))</x:f>
        <x:v>0</x:v>
      </x:c>
      <x:c r="AL2282" s="32" t="n">
        <x:f>H2282*v01_RoleScale*Arch_Roles*AE2282*INDEX(v01_MonasteryPerSett,G2282)*v01_OutMonastery*INDEX(LM_Monastery,G2282)</x:f>
        <x:v>0</x:v>
      </x:c>
      <x:c r="AM2282" s="32" t="n">
        <x:f>(AJ2282+AK2282+AL2282)/4*INDEX(LM_All,G2282)*INDEX(v01_Boon,G2282)*Arch_Insight</x:f>
        <x:v>0</x:v>
      </x:c>
      <x:c r="AN2282" s="32" t="n">
        <x:f>H2282*(v01_KHPerAdult*Z2282+v01_KHOfCommons*AJ2282/4*INDEX(LM_All,G2282))*v01_KHUsable*Arch_KH</x:f>
        <x:v>0</x:v>
      </x:c>
      <x:c r="AO2282" s="32" t="n">
        <x:f>MIN(AP2281+AN2282,AM2282*v01_KHMaxRatio)</x:f>
        <x:v>0</x:v>
      </x:c>
      <x:c r="AP2282" s="32" t="n">
        <x:f>AP2281+AN2282-AO2282</x:f>
        <x:v>0</x:v>
      </x:c>
      <x:c r="AQ2282" s="32" t="n">
        <x:f>AM2282+AO2282</x:f>
        <x:v>0</x:v>
      </x:c>
      <x:c r="AR2282" s="10" t="n">
        <x:f>IF(H2282=1,INDEX(v01_Req,G2282),0)</x:f>
        <x:v>0</x:v>
      </x:c>
      <x:c r="AS2282" s="32" t="n">
        <x:f>IF(H2282=1,IF(E2282=1,AS2281-AR2281,AS2281)+AQ2282,0)</x:f>
        <x:v>0</x:v>
      </x:c>
      <x:c r="AT2282" s="11" t="n">
        <x:f>IF(AR2282&gt;0,MIN(1,AS2282/AR2282),1)</x:f>
        <x:v>1</x:v>
      </x:c>
      <x:c r="AU2282" s="10" t="n">
        <x:f>AB2282/INDEX(v01_RepScale,G2282)</x:f>
        <x:v>90.09519605746344</x:v>
      </x:c>
      <x:c r="AV2282" s="32" t="n">
        <x:f>AM2282*60/v01_SeasonSeconds</x:f>
        <x:v>0</x:v>
      </x:c>
    </x:row>
    <x:row r="2283">
      <x:c r="A2283" s="8" t="n">
        <x:f>A2282+1</x:f>
        <x:v>2280</x:v>
      </x:c>
      <x:c r="B2283" s="9" t="n">
        <x:f>A2283*v01_SeasonSeconds/60</x:f>
        <x:v>570</x:v>
      </x:c>
      <x:c r="C2283" s="9" t="n">
        <x:f>A2283/4</x:f>
        <x:v>570</x:v>
      </x:c>
      <x:c r="D2283" s="8" t="n">
        <x:f>IF(MOD(A2283,4)=0,1,0)</x:f>
        <x:v>1</x:v>
      </x:c>
      <x:c r="E2283" s="8" t="n">
        <x:f>IF(AND(F2282&lt;=9,AS2282&gt;=AR2282),1,0)</x:f>
        <x:v>0</x:v>
      </x:c>
      <x:c r="F2283" s="8" t="n">
        <x:f>MIN(10,F2282+E2283)</x:f>
        <x:v>10</x:v>
      </x:c>
      <x:c r="G2283" s="8" t="n">
        <x:f>MIN(F2283,9)+1</x:f>
        <x:v>10</x:v>
      </x:c>
      <x:c r="H2283" s="8" t="n">
        <x:f>IF(F2283&lt;=9,1,0)</x:f>
        <x:v>0</x:v>
      </x:c>
      <x:c r="I2283" s="9" t="n">
        <x:f>MIN(10,F2282+IF(AR2282&gt;0,MIN(1,AS2282/AR2282),1))</x:f>
        <x:v>10</x:v>
      </x:c>
      <x:c r="J2283" s="32" t="n">
        <x:f>INDEX(v01_FoodCap,G2283)*Arch_FoodCap*EXP(v01_CapsByProject*SUMPRODUCT((Cap_Point&lt;=I2283)*(Cap_Kind="Food")*Cap_Ln))</x:f>
        <x:v>12000</x:v>
      </x:c>
      <x:c r="K2283" s="32" t="n">
        <x:f>J2283*MIN(1,v01_LeanBase*EXP(v01_CapsByProject*SUMPRODUCT((Cap_Point&lt;=I2283)*(Cap_Kind="Lean")*Cap_Ln)))</x:f>
        <x:v>12000</x:v>
      </x:c>
      <x:c r="L2283" s="10" t="n">
        <x:f>INDEX(v01_HousingCap,G2283)*EXP(v01_CapsByProject*SUMPRODUCT((Cap_Point&lt;=I2283)*(Cap_Kind="Housing")*Cap_Ln))</x:f>
        <x:v>20000</x:v>
      </x:c>
      <x:c r="M2283" s="10" t="n">
        <x:f>INDEX(v01_GroupCap,G2283)*v01_CohesionFactor*EXP(v01_CapsByProject*SUMPRODUCT((Cap_Point&lt;=I2283)*(Cap_Kind="Group")*Cap_Ln))</x:f>
        <x:v>1000000</x:v>
      </x:c>
      <x:c r="N2283" s="32" t="n">
        <x:f>MIN(J2283,L2283,M2283)</x:f>
        <x:v>12000</x:v>
      </x:c>
      <x:c r="O2283" s="10" t="n">
        <x:f>AE2282*N2283</x:f>
        <x:v>180000</x:v>
      </x:c>
      <x:c r="P2283" s="9" t="n">
        <x:f>MIN(1,(AB2282/(AE2282*IF(v01_GroupInCrowding=1,N2283,MIN(J2283,L2283))))^v01_CrowdingExp)</x:f>
        <x:v>0.00024569414295285325</x:v>
      </x:c>
      <x:c r="Q2283" s="9" t="n">
        <x:f>IF(D2283=1,INDEX(v01_WinterMult,G2283),1)</x:f>
        <x:v>1</x:v>
      </x:c>
      <x:c r="R2283" s="9" t="n">
        <x:f>H2283*Z2282*v01_WomenShare*v01_BaseFertility*INDEX(v01_FertMult,G2283)*Arch_Fertility*(1-P2283)</x:f>
        <x:v>0</x:v>
      </x:c>
      <x:c r="S2283" s="9" t="n">
        <x:f>H2283*Y2282*INDEX(v01_MortChild,G2283)/4*Q2283</x:f>
        <x:v>0</x:v>
      </x:c>
      <x:c r="T2283" s="9" t="n">
        <x:f>H2283*Z2282*INDEX(v01_MortAdult,G2283)*Arch_AdultMort/4*Q2283</x:f>
        <x:v>0</x:v>
      </x:c>
      <x:c r="U2283" s="9" t="n">
        <x:f>H2283*AA2282*INDEX(v01_MortElder,G2283)/4*Q2283</x:f>
        <x:v>0</x:v>
      </x:c>
      <x:c r="V2283" s="9" t="n">
        <x:f>H2283*MAX(0,AB2282-O2283)*v01_OvercapLoss</x:f>
        <x:v>0</x:v>
      </x:c>
      <x:c r="W2283" s="9" t="n">
        <x:f>H2283*Y2282/(v01_ChildYears*4)</x:f>
        <x:v>0</x:v>
      </x:c>
      <x:c r="X2283" s="9" t="n">
        <x:f>H2283*Z2282/(v01_AdultYears*4)</x:f>
        <x:v>0</x:v>
      </x:c>
      <x:c r="Y2283" s="32" t="n">
        <x:f>Y2282+R2283-S2283-W2283-Y2282*V2283/AB2282</x:f>
        <x:v>14306.18539759397</x:v>
      </x:c>
      <x:c r="Z2283" s="32" t="n">
        <x:f>Z2282+W2283-X2283-T2283-Z2282*V2283/AB2282</x:f>
        <x:v>19354.456567879548</x:v>
      </x:c>
      <x:c r="AA2283" s="32" t="n">
        <x:f>AA2282+X2283-U2283-AA2282*V2283/AB2282</x:f>
        <x:v>11386.956063258198</x:v>
      </x:c>
      <x:c r="AB2283" s="10" t="n">
        <x:f>Y2283+Z2283+AA2283</x:f>
        <x:v>45047.59802873172</x:v>
      </x:c>
      <x:c r="AC2283" s="8" t="n">
        <x:f>IF(AND(v01_WinterTrigger=1,D2283=1,AB2282/AE2282&gt;=K2283),1,0)</x:f>
        <x:v>0</x:v>
      </x:c>
      <x:c r="AD2283" s="8" t="n">
        <x:f>H2283*IF(AND(OR(AB2282/AE2282&gt;=v01_FissionTrigger*N2283,AC2283=1),AB2282/AE2282*v01_DaughterShare&gt;=v01_MinDaughter),MAX(1,ROUND(AE2282*v01_FissionRate,0)),0)</x:f>
        <x:v>0</x:v>
      </x:c>
      <x:c r="AE2283" s="8" t="n">
        <x:f>IF(H2283=1,MAX(1,MIN(INDEX(v01_Smax,G2283),AE2282+AD2283)),AE2282)</x:f>
        <x:v>15</x:v>
      </x:c>
      <x:c r="AF2283" s="8" t="n">
        <x:f>MAX(0,AE2283-AE2282)</x:f>
        <x:v>0</x:v>
      </x:c>
      <x:c r="AG2283" s="9" t="str">
        <x:f>IF(AF2283&gt;0,B2283,"")</x:f>
      </x:c>
      <x:c r="AH2283" s="9" t="n">
        <x:f>IF(F2283&gt;=1,1,(1+v01_LowTiesShare*(AE2283-1))/AE2283)</x:f>
        <x:v>1</x:v>
      </x:c>
      <x:c r="AI2283" s="32" t="n">
        <x:f>(Z2283+v01_ElderCommons*INDEX(LM_Elder,G2283)*AA2283)*AH2283</x:f>
        <x:v>64139.732591141874</x:v>
      </x:c>
      <x:c r="AJ2283" s="32" t="n">
        <x:f>H2283*v01_CommonsCoef*AI2283^v01_CommonsExp*INDEX(LM_Commons,G2283)</x:f>
        <x:v>0</x:v>
      </x:c>
      <x:c r="AK2283" s="32" t="n">
        <x:f>H2283*v01_RoleScale*Arch_Roles*(AE2283*(INDEX(v01_ElderRolePerSett,G2283)*v01_OutElder*INDEX(LM_Elder,G2283)+INDEX(v01_ShamanPerSett,G2283)*v01_OutShaman)+Z2283*(INDEX(v01_PriestShare,G2283)*v01_OutPriest+INDEX(v01_ScribeShare,G2283)*v01_OutScribe*INDEX(LM_Scribe,G2283)+INDEX(v01_ScholarShare,G2283)*v01_OutScholar*INDEX(LM_Scholar,G2283)+INDEX(v01_ResearcherShare,G2283)*v01_OutResearcher*INDEX(LM_Researcher,G2283)))</x:f>
        <x:v>0</x:v>
      </x:c>
      <x:c r="AL2283" s="32" t="n">
        <x:f>H2283*v01_RoleScale*Arch_Roles*AE2283*INDEX(v01_MonasteryPerSett,G2283)*v01_OutMonastery*INDEX(LM_Monastery,G2283)</x:f>
        <x:v>0</x:v>
      </x:c>
      <x:c r="AM2283" s="32" t="n">
        <x:f>(AJ2283+AK2283+AL2283)/4*INDEX(LM_All,G2283)*INDEX(v01_Boon,G2283)*Arch_Insight</x:f>
        <x:v>0</x:v>
      </x:c>
      <x:c r="AN2283" s="32" t="n">
        <x:f>H2283*(v01_KHPerAdult*Z2283+v01_KHOfCommons*AJ2283/4*INDEX(LM_All,G2283))*v01_KHUsable*Arch_KH</x:f>
        <x:v>0</x:v>
      </x:c>
      <x:c r="AO2283" s="32" t="n">
        <x:f>MIN(AP2282+AN2283,AM2283*v01_KHMaxRatio)</x:f>
        <x:v>0</x:v>
      </x:c>
      <x:c r="AP2283" s="32" t="n">
        <x:f>AP2282+AN2283-AO2283</x:f>
        <x:v>0</x:v>
      </x:c>
      <x:c r="AQ2283" s="32" t="n">
        <x:f>AM2283+AO2283</x:f>
        <x:v>0</x:v>
      </x:c>
      <x:c r="AR2283" s="10" t="n">
        <x:f>IF(H2283=1,INDEX(v01_Req,G2283),0)</x:f>
        <x:v>0</x:v>
      </x:c>
      <x:c r="AS2283" s="32" t="n">
        <x:f>IF(H2283=1,IF(E2283=1,AS2282-AR2282,AS2282)+AQ2283,0)</x:f>
        <x:v>0</x:v>
      </x:c>
      <x:c r="AT2283" s="11" t="n">
        <x:f>IF(AR2283&gt;0,MIN(1,AS2283/AR2283),1)</x:f>
        <x:v>1</x:v>
      </x:c>
      <x:c r="AU2283" s="10" t="n">
        <x:f>AB2283/INDEX(v01_RepScale,G2283)</x:f>
        <x:v>90.09519605746344</x:v>
      </x:c>
      <x:c r="AV2283" s="32" t="n">
        <x:f>AM2283*60/v01_SeasonSeconds</x:f>
        <x:v>0</x:v>
      </x:c>
    </x:row>
    <x:row r="2284">
      <x:c r="A2284" s="8" t="n">
        <x:f>A2283+1</x:f>
        <x:v>2281</x:v>
      </x:c>
      <x:c r="B2284" s="9" t="n">
        <x:f>A2284*v01_SeasonSeconds/60</x:f>
        <x:v>570.25</x:v>
      </x:c>
      <x:c r="C2284" s="9" t="n">
        <x:f>A2284/4</x:f>
        <x:v>570.25</x:v>
      </x:c>
      <x:c r="D2284" s="8" t="n">
        <x:f>IF(MOD(A2284,4)=0,1,0)</x:f>
        <x:v>0</x:v>
      </x:c>
      <x:c r="E2284" s="8" t="n">
        <x:f>IF(AND(F2283&lt;=9,AS2283&gt;=AR2283),1,0)</x:f>
        <x:v>0</x:v>
      </x:c>
      <x:c r="F2284" s="8" t="n">
        <x:f>MIN(10,F2283+E2284)</x:f>
        <x:v>10</x:v>
      </x:c>
      <x:c r="G2284" s="8" t="n">
        <x:f>MIN(F2284,9)+1</x:f>
        <x:v>10</x:v>
      </x:c>
      <x:c r="H2284" s="8" t="n">
        <x:f>IF(F2284&lt;=9,1,0)</x:f>
        <x:v>0</x:v>
      </x:c>
      <x:c r="I2284" s="9" t="n">
        <x:f>MIN(10,F2283+IF(AR2283&gt;0,MIN(1,AS2283/AR2283),1))</x:f>
        <x:v>10</x:v>
      </x:c>
      <x:c r="J2284" s="32" t="n">
        <x:f>INDEX(v01_FoodCap,G2284)*Arch_FoodCap*EXP(v01_CapsByProject*SUMPRODUCT((Cap_Point&lt;=I2284)*(Cap_Kind="Food")*Cap_Ln))</x:f>
        <x:v>12000</x:v>
      </x:c>
      <x:c r="K2284" s="32" t="n">
        <x:f>J2284*MIN(1,v01_LeanBase*EXP(v01_CapsByProject*SUMPRODUCT((Cap_Point&lt;=I2284)*(Cap_Kind="Lean")*Cap_Ln)))</x:f>
        <x:v>12000</x:v>
      </x:c>
      <x:c r="L2284" s="10" t="n">
        <x:f>INDEX(v01_HousingCap,G2284)*EXP(v01_CapsByProject*SUMPRODUCT((Cap_Point&lt;=I2284)*(Cap_Kind="Housing")*Cap_Ln))</x:f>
        <x:v>20000</x:v>
      </x:c>
      <x:c r="M2284" s="10" t="n">
        <x:f>INDEX(v01_GroupCap,G2284)*v01_CohesionFactor*EXP(v01_CapsByProject*SUMPRODUCT((Cap_Point&lt;=I2284)*(Cap_Kind="Group")*Cap_Ln))</x:f>
        <x:v>1000000</x:v>
      </x:c>
      <x:c r="N2284" s="32" t="n">
        <x:f>MIN(J2284,L2284,M2284)</x:f>
        <x:v>12000</x:v>
      </x:c>
      <x:c r="O2284" s="10" t="n">
        <x:f>AE2283*N2284</x:f>
        <x:v>180000</x:v>
      </x:c>
      <x:c r="P2284" s="9" t="n">
        <x:f>MIN(1,(AB2283/(AE2283*IF(v01_GroupInCrowding=1,N2284,MIN(J2284,L2284))))^v01_CrowdingExp)</x:f>
        <x:v>0.00024569414295285325</x:v>
      </x:c>
      <x:c r="Q2284" s="9" t="n">
        <x:f>IF(D2284=1,INDEX(v01_WinterMult,G2284),1)</x:f>
        <x:v>1</x:v>
      </x:c>
      <x:c r="R2284" s="9" t="n">
        <x:f>H2284*Z2283*v01_WomenShare*v01_BaseFertility*INDEX(v01_FertMult,G2284)*Arch_Fertility*(1-P2284)</x:f>
        <x:v>0</x:v>
      </x:c>
      <x:c r="S2284" s="9" t="n">
        <x:f>H2284*Y2283*INDEX(v01_MortChild,G2284)/4*Q2284</x:f>
        <x:v>0</x:v>
      </x:c>
      <x:c r="T2284" s="9" t="n">
        <x:f>H2284*Z2283*INDEX(v01_MortAdult,G2284)*Arch_AdultMort/4*Q2284</x:f>
        <x:v>0</x:v>
      </x:c>
      <x:c r="U2284" s="9" t="n">
        <x:f>H2284*AA2283*INDEX(v01_MortElder,G2284)/4*Q2284</x:f>
        <x:v>0</x:v>
      </x:c>
      <x:c r="V2284" s="9" t="n">
        <x:f>H2284*MAX(0,AB2283-O2284)*v01_OvercapLoss</x:f>
        <x:v>0</x:v>
      </x:c>
      <x:c r="W2284" s="9" t="n">
        <x:f>H2284*Y2283/(v01_ChildYears*4)</x:f>
        <x:v>0</x:v>
      </x:c>
      <x:c r="X2284" s="9" t="n">
        <x:f>H2284*Z2283/(v01_AdultYears*4)</x:f>
        <x:v>0</x:v>
      </x:c>
      <x:c r="Y2284" s="32" t="n">
        <x:f>Y2283+R2284-S2284-W2284-Y2283*V2284/AB2283</x:f>
        <x:v>14306.18539759397</x:v>
      </x:c>
      <x:c r="Z2284" s="32" t="n">
        <x:f>Z2283+W2284-X2284-T2284-Z2283*V2284/AB2283</x:f>
        <x:v>19354.456567879548</x:v>
      </x:c>
      <x:c r="AA2284" s="32" t="n">
        <x:f>AA2283+X2284-U2284-AA2283*V2284/AB2283</x:f>
        <x:v>11386.956063258198</x:v>
      </x:c>
      <x:c r="AB2284" s="10" t="n">
        <x:f>Y2284+Z2284+AA2284</x:f>
        <x:v>45047.59802873172</x:v>
      </x:c>
      <x:c r="AC2284" s="8" t="n">
        <x:f>IF(AND(v01_WinterTrigger=1,D2284=1,AB2283/AE2283&gt;=K2284),1,0)</x:f>
        <x:v>0</x:v>
      </x:c>
      <x:c r="AD2284" s="8" t="n">
        <x:f>H2284*IF(AND(OR(AB2283/AE2283&gt;=v01_FissionTrigger*N2284,AC2284=1),AB2283/AE2283*v01_DaughterShare&gt;=v01_MinDaughter),MAX(1,ROUND(AE2283*v01_FissionRate,0)),0)</x:f>
        <x:v>0</x:v>
      </x:c>
      <x:c r="AE2284" s="8" t="n">
        <x:f>IF(H2284=1,MAX(1,MIN(INDEX(v01_Smax,G2284),AE2283+AD2284)),AE2283)</x:f>
        <x:v>15</x:v>
      </x:c>
      <x:c r="AF2284" s="8" t="n">
        <x:f>MAX(0,AE2284-AE2283)</x:f>
        <x:v>0</x:v>
      </x:c>
      <x:c r="AG2284" s="9" t="str">
        <x:f>IF(AF2284&gt;0,B2284,"")</x:f>
      </x:c>
      <x:c r="AH2284" s="9" t="n">
        <x:f>IF(F2284&gt;=1,1,(1+v01_LowTiesShare*(AE2284-1))/AE2284)</x:f>
        <x:v>1</x:v>
      </x:c>
      <x:c r="AI2284" s="32" t="n">
        <x:f>(Z2284+v01_ElderCommons*INDEX(LM_Elder,G2284)*AA2284)*AH2284</x:f>
        <x:v>64139.732591141874</x:v>
      </x:c>
      <x:c r="AJ2284" s="32" t="n">
        <x:f>H2284*v01_CommonsCoef*AI2284^v01_CommonsExp*INDEX(LM_Commons,G2284)</x:f>
        <x:v>0</x:v>
      </x:c>
      <x:c r="AK2284" s="32" t="n">
        <x:f>H2284*v01_RoleScale*Arch_Roles*(AE2284*(INDEX(v01_ElderRolePerSett,G2284)*v01_OutElder*INDEX(LM_Elder,G2284)+INDEX(v01_ShamanPerSett,G2284)*v01_OutShaman)+Z2284*(INDEX(v01_PriestShare,G2284)*v01_OutPriest+INDEX(v01_ScribeShare,G2284)*v01_OutScribe*INDEX(LM_Scribe,G2284)+INDEX(v01_ScholarShare,G2284)*v01_OutScholar*INDEX(LM_Scholar,G2284)+INDEX(v01_ResearcherShare,G2284)*v01_OutResearcher*INDEX(LM_Researcher,G2284)))</x:f>
        <x:v>0</x:v>
      </x:c>
      <x:c r="AL2284" s="32" t="n">
        <x:f>H2284*v01_RoleScale*Arch_Roles*AE2284*INDEX(v01_MonasteryPerSett,G2284)*v01_OutMonastery*INDEX(LM_Monastery,G2284)</x:f>
        <x:v>0</x:v>
      </x:c>
      <x:c r="AM2284" s="32" t="n">
        <x:f>(AJ2284+AK2284+AL2284)/4*INDEX(LM_All,G2284)*INDEX(v01_Boon,G2284)*Arch_Insight</x:f>
        <x:v>0</x:v>
      </x:c>
      <x:c r="AN2284" s="32" t="n">
        <x:f>H2284*(v01_KHPerAdult*Z2284+v01_KHOfCommons*AJ2284/4*INDEX(LM_All,G2284))*v01_KHUsable*Arch_KH</x:f>
        <x:v>0</x:v>
      </x:c>
      <x:c r="AO2284" s="32" t="n">
        <x:f>MIN(AP2283+AN2284,AM2284*v01_KHMaxRatio)</x:f>
        <x:v>0</x:v>
      </x:c>
      <x:c r="AP2284" s="32" t="n">
        <x:f>AP2283+AN2284-AO2284</x:f>
        <x:v>0</x:v>
      </x:c>
      <x:c r="AQ2284" s="32" t="n">
        <x:f>AM2284+AO2284</x:f>
        <x:v>0</x:v>
      </x:c>
      <x:c r="AR2284" s="10" t="n">
        <x:f>IF(H2284=1,INDEX(v01_Req,G2284),0)</x:f>
        <x:v>0</x:v>
      </x:c>
      <x:c r="AS2284" s="32" t="n">
        <x:f>IF(H2284=1,IF(E2284=1,AS2283-AR2283,AS2283)+AQ2284,0)</x:f>
        <x:v>0</x:v>
      </x:c>
      <x:c r="AT2284" s="11" t="n">
        <x:f>IF(AR2284&gt;0,MIN(1,AS2284/AR2284),1)</x:f>
        <x:v>1</x:v>
      </x:c>
      <x:c r="AU2284" s="10" t="n">
        <x:f>AB2284/INDEX(v01_RepScale,G2284)</x:f>
        <x:v>90.09519605746344</x:v>
      </x:c>
      <x:c r="AV2284" s="32" t="n">
        <x:f>AM2284*60/v01_SeasonSeconds</x:f>
        <x:v>0</x:v>
      </x:c>
    </x:row>
    <x:row r="2285">
      <x:c r="A2285" s="8" t="n">
        <x:f>A2284+1</x:f>
        <x:v>2282</x:v>
      </x:c>
      <x:c r="B2285" s="9" t="n">
        <x:f>A2285*v01_SeasonSeconds/60</x:f>
        <x:v>570.5</x:v>
      </x:c>
      <x:c r="C2285" s="9" t="n">
        <x:f>A2285/4</x:f>
        <x:v>570.5</x:v>
      </x:c>
      <x:c r="D2285" s="8" t="n">
        <x:f>IF(MOD(A2285,4)=0,1,0)</x:f>
        <x:v>0</x:v>
      </x:c>
      <x:c r="E2285" s="8" t="n">
        <x:f>IF(AND(F2284&lt;=9,AS2284&gt;=AR2284),1,0)</x:f>
        <x:v>0</x:v>
      </x:c>
      <x:c r="F2285" s="8" t="n">
        <x:f>MIN(10,F2284+E2285)</x:f>
        <x:v>10</x:v>
      </x:c>
      <x:c r="G2285" s="8" t="n">
        <x:f>MIN(F2285,9)+1</x:f>
        <x:v>10</x:v>
      </x:c>
      <x:c r="H2285" s="8" t="n">
        <x:f>IF(F2285&lt;=9,1,0)</x:f>
        <x:v>0</x:v>
      </x:c>
      <x:c r="I2285" s="9" t="n">
        <x:f>MIN(10,F2284+IF(AR2284&gt;0,MIN(1,AS2284/AR2284),1))</x:f>
        <x:v>10</x:v>
      </x:c>
      <x:c r="J2285" s="32" t="n">
        <x:f>INDEX(v01_FoodCap,G2285)*Arch_FoodCap*EXP(v01_CapsByProject*SUMPRODUCT((Cap_Point&lt;=I2285)*(Cap_Kind="Food")*Cap_Ln))</x:f>
        <x:v>12000</x:v>
      </x:c>
      <x:c r="K2285" s="32" t="n">
        <x:f>J2285*MIN(1,v01_LeanBase*EXP(v01_CapsByProject*SUMPRODUCT((Cap_Point&lt;=I2285)*(Cap_Kind="Lean")*Cap_Ln)))</x:f>
        <x:v>12000</x:v>
      </x:c>
      <x:c r="L2285" s="10" t="n">
        <x:f>INDEX(v01_HousingCap,G2285)*EXP(v01_CapsByProject*SUMPRODUCT((Cap_Point&lt;=I2285)*(Cap_Kind="Housing")*Cap_Ln))</x:f>
        <x:v>20000</x:v>
      </x:c>
      <x:c r="M2285" s="10" t="n">
        <x:f>INDEX(v01_GroupCap,G2285)*v01_CohesionFactor*EXP(v01_CapsByProject*SUMPRODUCT((Cap_Point&lt;=I2285)*(Cap_Kind="Group")*Cap_Ln))</x:f>
        <x:v>1000000</x:v>
      </x:c>
      <x:c r="N2285" s="32" t="n">
        <x:f>MIN(J2285,L2285,M2285)</x:f>
        <x:v>12000</x:v>
      </x:c>
      <x:c r="O2285" s="10" t="n">
        <x:f>AE2284*N2285</x:f>
        <x:v>180000</x:v>
      </x:c>
      <x:c r="P2285" s="9" t="n">
        <x:f>MIN(1,(AB2284/(AE2284*IF(v01_GroupInCrowding=1,N2285,MIN(J2285,L2285))))^v01_CrowdingExp)</x:f>
        <x:v>0.00024569414295285325</x:v>
      </x:c>
      <x:c r="Q2285" s="9" t="n">
        <x:f>IF(D2285=1,INDEX(v01_WinterMult,G2285),1)</x:f>
        <x:v>1</x:v>
      </x:c>
      <x:c r="R2285" s="9" t="n">
        <x:f>H2285*Z2284*v01_WomenShare*v01_BaseFertility*INDEX(v01_FertMult,G2285)*Arch_Fertility*(1-P2285)</x:f>
        <x:v>0</x:v>
      </x:c>
      <x:c r="S2285" s="9" t="n">
        <x:f>H2285*Y2284*INDEX(v01_MortChild,G2285)/4*Q2285</x:f>
        <x:v>0</x:v>
      </x:c>
      <x:c r="T2285" s="9" t="n">
        <x:f>H2285*Z2284*INDEX(v01_MortAdult,G2285)*Arch_AdultMort/4*Q2285</x:f>
        <x:v>0</x:v>
      </x:c>
      <x:c r="U2285" s="9" t="n">
        <x:f>H2285*AA2284*INDEX(v01_MortElder,G2285)/4*Q2285</x:f>
        <x:v>0</x:v>
      </x:c>
      <x:c r="V2285" s="9" t="n">
        <x:f>H2285*MAX(0,AB2284-O2285)*v01_OvercapLoss</x:f>
        <x:v>0</x:v>
      </x:c>
      <x:c r="W2285" s="9" t="n">
        <x:f>H2285*Y2284/(v01_ChildYears*4)</x:f>
        <x:v>0</x:v>
      </x:c>
      <x:c r="X2285" s="9" t="n">
        <x:f>H2285*Z2284/(v01_AdultYears*4)</x:f>
        <x:v>0</x:v>
      </x:c>
      <x:c r="Y2285" s="32" t="n">
        <x:f>Y2284+R2285-S2285-W2285-Y2284*V2285/AB2284</x:f>
        <x:v>14306.18539759397</x:v>
      </x:c>
      <x:c r="Z2285" s="32" t="n">
        <x:f>Z2284+W2285-X2285-T2285-Z2284*V2285/AB2284</x:f>
        <x:v>19354.456567879548</x:v>
      </x:c>
      <x:c r="AA2285" s="32" t="n">
        <x:f>AA2284+X2285-U2285-AA2284*V2285/AB2284</x:f>
        <x:v>11386.956063258198</x:v>
      </x:c>
      <x:c r="AB2285" s="10" t="n">
        <x:f>Y2285+Z2285+AA2285</x:f>
        <x:v>45047.59802873172</x:v>
      </x:c>
      <x:c r="AC2285" s="8" t="n">
        <x:f>IF(AND(v01_WinterTrigger=1,D2285=1,AB2284/AE2284&gt;=K2285),1,0)</x:f>
        <x:v>0</x:v>
      </x:c>
      <x:c r="AD2285" s="8" t="n">
        <x:f>H2285*IF(AND(OR(AB2284/AE2284&gt;=v01_FissionTrigger*N2285,AC2285=1),AB2284/AE2284*v01_DaughterShare&gt;=v01_MinDaughter),MAX(1,ROUND(AE2284*v01_FissionRate,0)),0)</x:f>
        <x:v>0</x:v>
      </x:c>
      <x:c r="AE2285" s="8" t="n">
        <x:f>IF(H2285=1,MAX(1,MIN(INDEX(v01_Smax,G2285),AE2284+AD2285)),AE2284)</x:f>
        <x:v>15</x:v>
      </x:c>
      <x:c r="AF2285" s="8" t="n">
        <x:f>MAX(0,AE2285-AE2284)</x:f>
        <x:v>0</x:v>
      </x:c>
      <x:c r="AG2285" s="9" t="str">
        <x:f>IF(AF2285&gt;0,B2285,"")</x:f>
      </x:c>
      <x:c r="AH2285" s="9" t="n">
        <x:f>IF(F2285&gt;=1,1,(1+v01_LowTiesShare*(AE2285-1))/AE2285)</x:f>
        <x:v>1</x:v>
      </x:c>
      <x:c r="AI2285" s="32" t="n">
        <x:f>(Z2285+v01_ElderCommons*INDEX(LM_Elder,G2285)*AA2285)*AH2285</x:f>
        <x:v>64139.732591141874</x:v>
      </x:c>
      <x:c r="AJ2285" s="32" t="n">
        <x:f>H2285*v01_CommonsCoef*AI2285^v01_CommonsExp*INDEX(LM_Commons,G2285)</x:f>
        <x:v>0</x:v>
      </x:c>
      <x:c r="AK2285" s="32" t="n">
        <x:f>H2285*v01_RoleScale*Arch_Roles*(AE2285*(INDEX(v01_ElderRolePerSett,G2285)*v01_OutElder*INDEX(LM_Elder,G2285)+INDEX(v01_ShamanPerSett,G2285)*v01_OutShaman)+Z2285*(INDEX(v01_PriestShare,G2285)*v01_OutPriest+INDEX(v01_ScribeShare,G2285)*v01_OutScribe*INDEX(LM_Scribe,G2285)+INDEX(v01_ScholarShare,G2285)*v01_OutScholar*INDEX(LM_Scholar,G2285)+INDEX(v01_ResearcherShare,G2285)*v01_OutResearcher*INDEX(LM_Researcher,G2285)))</x:f>
        <x:v>0</x:v>
      </x:c>
      <x:c r="AL2285" s="32" t="n">
        <x:f>H2285*v01_RoleScale*Arch_Roles*AE2285*INDEX(v01_MonasteryPerSett,G2285)*v01_OutMonastery*INDEX(LM_Monastery,G2285)</x:f>
        <x:v>0</x:v>
      </x:c>
      <x:c r="AM2285" s="32" t="n">
        <x:f>(AJ2285+AK2285+AL2285)/4*INDEX(LM_All,G2285)*INDEX(v01_Boon,G2285)*Arch_Insight</x:f>
        <x:v>0</x:v>
      </x:c>
      <x:c r="AN2285" s="32" t="n">
        <x:f>H2285*(v01_KHPerAdult*Z2285+v01_KHOfCommons*AJ2285/4*INDEX(LM_All,G2285))*v01_KHUsable*Arch_KH</x:f>
        <x:v>0</x:v>
      </x:c>
      <x:c r="AO2285" s="32" t="n">
        <x:f>MIN(AP2284+AN2285,AM2285*v01_KHMaxRatio)</x:f>
        <x:v>0</x:v>
      </x:c>
      <x:c r="AP2285" s="32" t="n">
        <x:f>AP2284+AN2285-AO2285</x:f>
        <x:v>0</x:v>
      </x:c>
      <x:c r="AQ2285" s="32" t="n">
        <x:f>AM2285+AO2285</x:f>
        <x:v>0</x:v>
      </x:c>
      <x:c r="AR2285" s="10" t="n">
        <x:f>IF(H2285=1,INDEX(v01_Req,G2285),0)</x:f>
        <x:v>0</x:v>
      </x:c>
      <x:c r="AS2285" s="32" t="n">
        <x:f>IF(H2285=1,IF(E2285=1,AS2284-AR2284,AS2284)+AQ2285,0)</x:f>
        <x:v>0</x:v>
      </x:c>
      <x:c r="AT2285" s="11" t="n">
        <x:f>IF(AR2285&gt;0,MIN(1,AS2285/AR2285),1)</x:f>
        <x:v>1</x:v>
      </x:c>
      <x:c r="AU2285" s="10" t="n">
        <x:f>AB2285/INDEX(v01_RepScale,G2285)</x:f>
        <x:v>90.09519605746344</x:v>
      </x:c>
      <x:c r="AV2285" s="32" t="n">
        <x:f>AM2285*60/v01_SeasonSeconds</x:f>
        <x:v>0</x:v>
      </x:c>
    </x:row>
    <x:row r="2286">
      <x:c r="A2286" s="8" t="n">
        <x:f>A2285+1</x:f>
        <x:v>2283</x:v>
      </x:c>
      <x:c r="B2286" s="9" t="n">
        <x:f>A2286*v01_SeasonSeconds/60</x:f>
        <x:v>570.75</x:v>
      </x:c>
      <x:c r="C2286" s="9" t="n">
        <x:f>A2286/4</x:f>
        <x:v>570.75</x:v>
      </x:c>
      <x:c r="D2286" s="8" t="n">
        <x:f>IF(MOD(A2286,4)=0,1,0)</x:f>
        <x:v>0</x:v>
      </x:c>
      <x:c r="E2286" s="8" t="n">
        <x:f>IF(AND(F2285&lt;=9,AS2285&gt;=AR2285),1,0)</x:f>
        <x:v>0</x:v>
      </x:c>
      <x:c r="F2286" s="8" t="n">
        <x:f>MIN(10,F2285+E2286)</x:f>
        <x:v>10</x:v>
      </x:c>
      <x:c r="G2286" s="8" t="n">
        <x:f>MIN(F2286,9)+1</x:f>
        <x:v>10</x:v>
      </x:c>
      <x:c r="H2286" s="8" t="n">
        <x:f>IF(F2286&lt;=9,1,0)</x:f>
        <x:v>0</x:v>
      </x:c>
      <x:c r="I2286" s="9" t="n">
        <x:f>MIN(10,F2285+IF(AR2285&gt;0,MIN(1,AS2285/AR2285),1))</x:f>
        <x:v>10</x:v>
      </x:c>
      <x:c r="J2286" s="32" t="n">
        <x:f>INDEX(v01_FoodCap,G2286)*Arch_FoodCap*EXP(v01_CapsByProject*SUMPRODUCT((Cap_Point&lt;=I2286)*(Cap_Kind="Food")*Cap_Ln))</x:f>
        <x:v>12000</x:v>
      </x:c>
      <x:c r="K2286" s="32" t="n">
        <x:f>J2286*MIN(1,v01_LeanBase*EXP(v01_CapsByProject*SUMPRODUCT((Cap_Point&lt;=I2286)*(Cap_Kind="Lean")*Cap_Ln)))</x:f>
        <x:v>12000</x:v>
      </x:c>
      <x:c r="L2286" s="10" t="n">
        <x:f>INDEX(v01_HousingCap,G2286)*EXP(v01_CapsByProject*SUMPRODUCT((Cap_Point&lt;=I2286)*(Cap_Kind="Housing")*Cap_Ln))</x:f>
        <x:v>20000</x:v>
      </x:c>
      <x:c r="M2286" s="10" t="n">
        <x:f>INDEX(v01_GroupCap,G2286)*v01_CohesionFactor*EXP(v01_CapsByProject*SUMPRODUCT((Cap_Point&lt;=I2286)*(Cap_Kind="Group")*Cap_Ln))</x:f>
        <x:v>1000000</x:v>
      </x:c>
      <x:c r="N2286" s="32" t="n">
        <x:f>MIN(J2286,L2286,M2286)</x:f>
        <x:v>12000</x:v>
      </x:c>
      <x:c r="O2286" s="10" t="n">
        <x:f>AE2285*N2286</x:f>
        <x:v>180000</x:v>
      </x:c>
      <x:c r="P2286" s="9" t="n">
        <x:f>MIN(1,(AB2285/(AE2285*IF(v01_GroupInCrowding=1,N2286,MIN(J2286,L2286))))^v01_CrowdingExp)</x:f>
        <x:v>0.00024569414295285325</x:v>
      </x:c>
      <x:c r="Q2286" s="9" t="n">
        <x:f>IF(D2286=1,INDEX(v01_WinterMult,G2286),1)</x:f>
        <x:v>1</x:v>
      </x:c>
      <x:c r="R2286" s="9" t="n">
        <x:f>H2286*Z2285*v01_WomenShare*v01_BaseFertility*INDEX(v01_FertMult,G2286)*Arch_Fertility*(1-P2286)</x:f>
        <x:v>0</x:v>
      </x:c>
      <x:c r="S2286" s="9" t="n">
        <x:f>H2286*Y2285*INDEX(v01_MortChild,G2286)/4*Q2286</x:f>
        <x:v>0</x:v>
      </x:c>
      <x:c r="T2286" s="9" t="n">
        <x:f>H2286*Z2285*INDEX(v01_MortAdult,G2286)*Arch_AdultMort/4*Q2286</x:f>
        <x:v>0</x:v>
      </x:c>
      <x:c r="U2286" s="9" t="n">
        <x:f>H2286*AA2285*INDEX(v01_MortElder,G2286)/4*Q2286</x:f>
        <x:v>0</x:v>
      </x:c>
      <x:c r="V2286" s="9" t="n">
        <x:f>H2286*MAX(0,AB2285-O2286)*v01_OvercapLoss</x:f>
        <x:v>0</x:v>
      </x:c>
      <x:c r="W2286" s="9" t="n">
        <x:f>H2286*Y2285/(v01_ChildYears*4)</x:f>
        <x:v>0</x:v>
      </x:c>
      <x:c r="X2286" s="9" t="n">
        <x:f>H2286*Z2285/(v01_AdultYears*4)</x:f>
        <x:v>0</x:v>
      </x:c>
      <x:c r="Y2286" s="32" t="n">
        <x:f>Y2285+R2286-S2286-W2286-Y2285*V2286/AB2285</x:f>
        <x:v>14306.18539759397</x:v>
      </x:c>
      <x:c r="Z2286" s="32" t="n">
        <x:f>Z2285+W2286-X2286-T2286-Z2285*V2286/AB2285</x:f>
        <x:v>19354.456567879548</x:v>
      </x:c>
      <x:c r="AA2286" s="32" t="n">
        <x:f>AA2285+X2286-U2286-AA2285*V2286/AB2285</x:f>
        <x:v>11386.956063258198</x:v>
      </x:c>
      <x:c r="AB2286" s="10" t="n">
        <x:f>Y2286+Z2286+AA2286</x:f>
        <x:v>45047.59802873172</x:v>
      </x:c>
      <x:c r="AC2286" s="8" t="n">
        <x:f>IF(AND(v01_WinterTrigger=1,D2286=1,AB2285/AE2285&gt;=K2286),1,0)</x:f>
        <x:v>0</x:v>
      </x:c>
      <x:c r="AD2286" s="8" t="n">
        <x:f>H2286*IF(AND(OR(AB2285/AE2285&gt;=v01_FissionTrigger*N2286,AC2286=1),AB2285/AE2285*v01_DaughterShare&gt;=v01_MinDaughter),MAX(1,ROUND(AE2285*v01_FissionRate,0)),0)</x:f>
        <x:v>0</x:v>
      </x:c>
      <x:c r="AE2286" s="8" t="n">
        <x:f>IF(H2286=1,MAX(1,MIN(INDEX(v01_Smax,G2286),AE2285+AD2286)),AE2285)</x:f>
        <x:v>15</x:v>
      </x:c>
      <x:c r="AF2286" s="8" t="n">
        <x:f>MAX(0,AE2286-AE2285)</x:f>
        <x:v>0</x:v>
      </x:c>
      <x:c r="AG2286" s="9" t="str">
        <x:f>IF(AF2286&gt;0,B2286,"")</x:f>
      </x:c>
      <x:c r="AH2286" s="9" t="n">
        <x:f>IF(F2286&gt;=1,1,(1+v01_LowTiesShare*(AE2286-1))/AE2286)</x:f>
        <x:v>1</x:v>
      </x:c>
      <x:c r="AI2286" s="32" t="n">
        <x:f>(Z2286+v01_ElderCommons*INDEX(LM_Elder,G2286)*AA2286)*AH2286</x:f>
        <x:v>64139.732591141874</x:v>
      </x:c>
      <x:c r="AJ2286" s="32" t="n">
        <x:f>H2286*v01_CommonsCoef*AI2286^v01_CommonsExp*INDEX(LM_Commons,G2286)</x:f>
        <x:v>0</x:v>
      </x:c>
      <x:c r="AK2286" s="32" t="n">
        <x:f>H2286*v01_RoleScale*Arch_Roles*(AE2286*(INDEX(v01_ElderRolePerSett,G2286)*v01_OutElder*INDEX(LM_Elder,G2286)+INDEX(v01_ShamanPerSett,G2286)*v01_OutShaman)+Z2286*(INDEX(v01_PriestShare,G2286)*v01_OutPriest+INDEX(v01_ScribeShare,G2286)*v01_OutScribe*INDEX(LM_Scribe,G2286)+INDEX(v01_ScholarShare,G2286)*v01_OutScholar*INDEX(LM_Scholar,G2286)+INDEX(v01_ResearcherShare,G2286)*v01_OutResearcher*INDEX(LM_Researcher,G2286)))</x:f>
        <x:v>0</x:v>
      </x:c>
      <x:c r="AL2286" s="32" t="n">
        <x:f>H2286*v01_RoleScale*Arch_Roles*AE2286*INDEX(v01_MonasteryPerSett,G2286)*v01_OutMonastery*INDEX(LM_Monastery,G2286)</x:f>
        <x:v>0</x:v>
      </x:c>
      <x:c r="AM2286" s="32" t="n">
        <x:f>(AJ2286+AK2286+AL2286)/4*INDEX(LM_All,G2286)*INDEX(v01_Boon,G2286)*Arch_Insight</x:f>
        <x:v>0</x:v>
      </x:c>
      <x:c r="AN2286" s="32" t="n">
        <x:f>H2286*(v01_KHPerAdult*Z2286+v01_KHOfCommons*AJ2286/4*INDEX(LM_All,G2286))*v01_KHUsable*Arch_KH</x:f>
        <x:v>0</x:v>
      </x:c>
      <x:c r="AO2286" s="32" t="n">
        <x:f>MIN(AP2285+AN2286,AM2286*v01_KHMaxRatio)</x:f>
        <x:v>0</x:v>
      </x:c>
      <x:c r="AP2286" s="32" t="n">
        <x:f>AP2285+AN2286-AO2286</x:f>
        <x:v>0</x:v>
      </x:c>
      <x:c r="AQ2286" s="32" t="n">
        <x:f>AM2286+AO2286</x:f>
        <x:v>0</x:v>
      </x:c>
      <x:c r="AR2286" s="10" t="n">
        <x:f>IF(H2286=1,INDEX(v01_Req,G2286),0)</x:f>
        <x:v>0</x:v>
      </x:c>
      <x:c r="AS2286" s="32" t="n">
        <x:f>IF(H2286=1,IF(E2286=1,AS2285-AR2285,AS2285)+AQ2286,0)</x:f>
        <x:v>0</x:v>
      </x:c>
      <x:c r="AT2286" s="11" t="n">
        <x:f>IF(AR2286&gt;0,MIN(1,AS2286/AR2286),1)</x:f>
        <x:v>1</x:v>
      </x:c>
      <x:c r="AU2286" s="10" t="n">
        <x:f>AB2286/INDEX(v01_RepScale,G2286)</x:f>
        <x:v>90.09519605746344</x:v>
      </x:c>
      <x:c r="AV2286" s="32" t="n">
        <x:f>AM2286*60/v01_SeasonSeconds</x:f>
        <x:v>0</x:v>
      </x:c>
    </x:row>
    <x:row r="2287">
      <x:c r="A2287" s="8" t="n">
        <x:f>A2286+1</x:f>
        <x:v>2284</x:v>
      </x:c>
      <x:c r="B2287" s="9" t="n">
        <x:f>A2287*v01_SeasonSeconds/60</x:f>
        <x:v>571</x:v>
      </x:c>
      <x:c r="C2287" s="9" t="n">
        <x:f>A2287/4</x:f>
        <x:v>571</x:v>
      </x:c>
      <x:c r="D2287" s="8" t="n">
        <x:f>IF(MOD(A2287,4)=0,1,0)</x:f>
        <x:v>1</x:v>
      </x:c>
      <x:c r="E2287" s="8" t="n">
        <x:f>IF(AND(F2286&lt;=9,AS2286&gt;=AR2286),1,0)</x:f>
        <x:v>0</x:v>
      </x:c>
      <x:c r="F2287" s="8" t="n">
        <x:f>MIN(10,F2286+E2287)</x:f>
        <x:v>10</x:v>
      </x:c>
      <x:c r="G2287" s="8" t="n">
        <x:f>MIN(F2287,9)+1</x:f>
        <x:v>10</x:v>
      </x:c>
      <x:c r="H2287" s="8" t="n">
        <x:f>IF(F2287&lt;=9,1,0)</x:f>
        <x:v>0</x:v>
      </x:c>
      <x:c r="I2287" s="9" t="n">
        <x:f>MIN(10,F2286+IF(AR2286&gt;0,MIN(1,AS2286/AR2286),1))</x:f>
        <x:v>10</x:v>
      </x:c>
      <x:c r="J2287" s="32" t="n">
        <x:f>INDEX(v01_FoodCap,G2287)*Arch_FoodCap*EXP(v01_CapsByProject*SUMPRODUCT((Cap_Point&lt;=I2287)*(Cap_Kind="Food")*Cap_Ln))</x:f>
        <x:v>12000</x:v>
      </x:c>
      <x:c r="K2287" s="32" t="n">
        <x:f>J2287*MIN(1,v01_LeanBase*EXP(v01_CapsByProject*SUMPRODUCT((Cap_Point&lt;=I2287)*(Cap_Kind="Lean")*Cap_Ln)))</x:f>
        <x:v>12000</x:v>
      </x:c>
      <x:c r="L2287" s="10" t="n">
        <x:f>INDEX(v01_HousingCap,G2287)*EXP(v01_CapsByProject*SUMPRODUCT((Cap_Point&lt;=I2287)*(Cap_Kind="Housing")*Cap_Ln))</x:f>
        <x:v>20000</x:v>
      </x:c>
      <x:c r="M2287" s="10" t="n">
        <x:f>INDEX(v01_GroupCap,G2287)*v01_CohesionFactor*EXP(v01_CapsByProject*SUMPRODUCT((Cap_Point&lt;=I2287)*(Cap_Kind="Group")*Cap_Ln))</x:f>
        <x:v>1000000</x:v>
      </x:c>
      <x:c r="N2287" s="32" t="n">
        <x:f>MIN(J2287,L2287,M2287)</x:f>
        <x:v>12000</x:v>
      </x:c>
      <x:c r="O2287" s="10" t="n">
        <x:f>AE2286*N2287</x:f>
        <x:v>180000</x:v>
      </x:c>
      <x:c r="P2287" s="9" t="n">
        <x:f>MIN(1,(AB2286/(AE2286*IF(v01_GroupInCrowding=1,N2287,MIN(J2287,L2287))))^v01_CrowdingExp)</x:f>
        <x:v>0.00024569414295285325</x:v>
      </x:c>
      <x:c r="Q2287" s="9" t="n">
        <x:f>IF(D2287=1,INDEX(v01_WinterMult,G2287),1)</x:f>
        <x:v>1</x:v>
      </x:c>
      <x:c r="R2287" s="9" t="n">
        <x:f>H2287*Z2286*v01_WomenShare*v01_BaseFertility*INDEX(v01_FertMult,G2287)*Arch_Fertility*(1-P2287)</x:f>
        <x:v>0</x:v>
      </x:c>
      <x:c r="S2287" s="9" t="n">
        <x:f>H2287*Y2286*INDEX(v01_MortChild,G2287)/4*Q2287</x:f>
        <x:v>0</x:v>
      </x:c>
      <x:c r="T2287" s="9" t="n">
        <x:f>H2287*Z2286*INDEX(v01_MortAdult,G2287)*Arch_AdultMort/4*Q2287</x:f>
        <x:v>0</x:v>
      </x:c>
      <x:c r="U2287" s="9" t="n">
        <x:f>H2287*AA2286*INDEX(v01_MortElder,G2287)/4*Q2287</x:f>
        <x:v>0</x:v>
      </x:c>
      <x:c r="V2287" s="9" t="n">
        <x:f>H2287*MAX(0,AB2286-O2287)*v01_OvercapLoss</x:f>
        <x:v>0</x:v>
      </x:c>
      <x:c r="W2287" s="9" t="n">
        <x:f>H2287*Y2286/(v01_ChildYears*4)</x:f>
        <x:v>0</x:v>
      </x:c>
      <x:c r="X2287" s="9" t="n">
        <x:f>H2287*Z2286/(v01_AdultYears*4)</x:f>
        <x:v>0</x:v>
      </x:c>
      <x:c r="Y2287" s="32" t="n">
        <x:f>Y2286+R2287-S2287-W2287-Y2286*V2287/AB2286</x:f>
        <x:v>14306.18539759397</x:v>
      </x:c>
      <x:c r="Z2287" s="32" t="n">
        <x:f>Z2286+W2287-X2287-T2287-Z2286*V2287/AB2286</x:f>
        <x:v>19354.456567879548</x:v>
      </x:c>
      <x:c r="AA2287" s="32" t="n">
        <x:f>AA2286+X2287-U2287-AA2286*V2287/AB2286</x:f>
        <x:v>11386.956063258198</x:v>
      </x:c>
      <x:c r="AB2287" s="10" t="n">
        <x:f>Y2287+Z2287+AA2287</x:f>
        <x:v>45047.59802873172</x:v>
      </x:c>
      <x:c r="AC2287" s="8" t="n">
        <x:f>IF(AND(v01_WinterTrigger=1,D2287=1,AB2286/AE2286&gt;=K2287),1,0)</x:f>
        <x:v>0</x:v>
      </x:c>
      <x:c r="AD2287" s="8" t="n">
        <x:f>H2287*IF(AND(OR(AB2286/AE2286&gt;=v01_FissionTrigger*N2287,AC2287=1),AB2286/AE2286*v01_DaughterShare&gt;=v01_MinDaughter),MAX(1,ROUND(AE2286*v01_FissionRate,0)),0)</x:f>
        <x:v>0</x:v>
      </x:c>
      <x:c r="AE2287" s="8" t="n">
        <x:f>IF(H2287=1,MAX(1,MIN(INDEX(v01_Smax,G2287),AE2286+AD2287)),AE2286)</x:f>
        <x:v>15</x:v>
      </x:c>
      <x:c r="AF2287" s="8" t="n">
        <x:f>MAX(0,AE2287-AE2286)</x:f>
        <x:v>0</x:v>
      </x:c>
      <x:c r="AG2287" s="9" t="str">
        <x:f>IF(AF2287&gt;0,B2287,"")</x:f>
      </x:c>
      <x:c r="AH2287" s="9" t="n">
        <x:f>IF(F2287&gt;=1,1,(1+v01_LowTiesShare*(AE2287-1))/AE2287)</x:f>
        <x:v>1</x:v>
      </x:c>
      <x:c r="AI2287" s="32" t="n">
        <x:f>(Z2287+v01_ElderCommons*INDEX(LM_Elder,G2287)*AA2287)*AH2287</x:f>
        <x:v>64139.732591141874</x:v>
      </x:c>
      <x:c r="AJ2287" s="32" t="n">
        <x:f>H2287*v01_CommonsCoef*AI2287^v01_CommonsExp*INDEX(LM_Commons,G2287)</x:f>
        <x:v>0</x:v>
      </x:c>
      <x:c r="AK2287" s="32" t="n">
        <x:f>H2287*v01_RoleScale*Arch_Roles*(AE2287*(INDEX(v01_ElderRolePerSett,G2287)*v01_OutElder*INDEX(LM_Elder,G2287)+INDEX(v01_ShamanPerSett,G2287)*v01_OutShaman)+Z2287*(INDEX(v01_PriestShare,G2287)*v01_OutPriest+INDEX(v01_ScribeShare,G2287)*v01_OutScribe*INDEX(LM_Scribe,G2287)+INDEX(v01_ScholarShare,G2287)*v01_OutScholar*INDEX(LM_Scholar,G2287)+INDEX(v01_ResearcherShare,G2287)*v01_OutResearcher*INDEX(LM_Researcher,G2287)))</x:f>
        <x:v>0</x:v>
      </x:c>
      <x:c r="AL2287" s="32" t="n">
        <x:f>H2287*v01_RoleScale*Arch_Roles*AE2287*INDEX(v01_MonasteryPerSett,G2287)*v01_OutMonastery*INDEX(LM_Monastery,G2287)</x:f>
        <x:v>0</x:v>
      </x:c>
      <x:c r="AM2287" s="32" t="n">
        <x:f>(AJ2287+AK2287+AL2287)/4*INDEX(LM_All,G2287)*INDEX(v01_Boon,G2287)*Arch_Insight</x:f>
        <x:v>0</x:v>
      </x:c>
      <x:c r="AN2287" s="32" t="n">
        <x:f>H2287*(v01_KHPerAdult*Z2287+v01_KHOfCommons*AJ2287/4*INDEX(LM_All,G2287))*v01_KHUsable*Arch_KH</x:f>
        <x:v>0</x:v>
      </x:c>
      <x:c r="AO2287" s="32" t="n">
        <x:f>MIN(AP2286+AN2287,AM2287*v01_KHMaxRatio)</x:f>
        <x:v>0</x:v>
      </x:c>
      <x:c r="AP2287" s="32" t="n">
        <x:f>AP2286+AN2287-AO2287</x:f>
        <x:v>0</x:v>
      </x:c>
      <x:c r="AQ2287" s="32" t="n">
        <x:f>AM2287+AO2287</x:f>
        <x:v>0</x:v>
      </x:c>
      <x:c r="AR2287" s="10" t="n">
        <x:f>IF(H2287=1,INDEX(v01_Req,G2287),0)</x:f>
        <x:v>0</x:v>
      </x:c>
      <x:c r="AS2287" s="32" t="n">
        <x:f>IF(H2287=1,IF(E2287=1,AS2286-AR2286,AS2286)+AQ2287,0)</x:f>
        <x:v>0</x:v>
      </x:c>
      <x:c r="AT2287" s="11" t="n">
        <x:f>IF(AR2287&gt;0,MIN(1,AS2287/AR2287),1)</x:f>
        <x:v>1</x:v>
      </x:c>
      <x:c r="AU2287" s="10" t="n">
        <x:f>AB2287/INDEX(v01_RepScale,G2287)</x:f>
        <x:v>90.09519605746344</x:v>
      </x:c>
      <x:c r="AV2287" s="32" t="n">
        <x:f>AM2287*60/v01_SeasonSeconds</x:f>
        <x:v>0</x:v>
      </x:c>
    </x:row>
    <x:row r="2288">
      <x:c r="A2288" s="8" t="n">
        <x:f>A2287+1</x:f>
        <x:v>2285</x:v>
      </x:c>
      <x:c r="B2288" s="9" t="n">
        <x:f>A2288*v01_SeasonSeconds/60</x:f>
        <x:v>571.25</x:v>
      </x:c>
      <x:c r="C2288" s="9" t="n">
        <x:f>A2288/4</x:f>
        <x:v>571.25</x:v>
      </x:c>
      <x:c r="D2288" s="8" t="n">
        <x:f>IF(MOD(A2288,4)=0,1,0)</x:f>
        <x:v>0</x:v>
      </x:c>
      <x:c r="E2288" s="8" t="n">
        <x:f>IF(AND(F2287&lt;=9,AS2287&gt;=AR2287),1,0)</x:f>
        <x:v>0</x:v>
      </x:c>
      <x:c r="F2288" s="8" t="n">
        <x:f>MIN(10,F2287+E2288)</x:f>
        <x:v>10</x:v>
      </x:c>
      <x:c r="G2288" s="8" t="n">
        <x:f>MIN(F2288,9)+1</x:f>
        <x:v>10</x:v>
      </x:c>
      <x:c r="H2288" s="8" t="n">
        <x:f>IF(F2288&lt;=9,1,0)</x:f>
        <x:v>0</x:v>
      </x:c>
      <x:c r="I2288" s="9" t="n">
        <x:f>MIN(10,F2287+IF(AR2287&gt;0,MIN(1,AS2287/AR2287),1))</x:f>
        <x:v>10</x:v>
      </x:c>
      <x:c r="J2288" s="32" t="n">
        <x:f>INDEX(v01_FoodCap,G2288)*Arch_FoodCap*EXP(v01_CapsByProject*SUMPRODUCT((Cap_Point&lt;=I2288)*(Cap_Kind="Food")*Cap_Ln))</x:f>
        <x:v>12000</x:v>
      </x:c>
      <x:c r="K2288" s="32" t="n">
        <x:f>J2288*MIN(1,v01_LeanBase*EXP(v01_CapsByProject*SUMPRODUCT((Cap_Point&lt;=I2288)*(Cap_Kind="Lean")*Cap_Ln)))</x:f>
        <x:v>12000</x:v>
      </x:c>
      <x:c r="L2288" s="10" t="n">
        <x:f>INDEX(v01_HousingCap,G2288)*EXP(v01_CapsByProject*SUMPRODUCT((Cap_Point&lt;=I2288)*(Cap_Kind="Housing")*Cap_Ln))</x:f>
        <x:v>20000</x:v>
      </x:c>
      <x:c r="M2288" s="10" t="n">
        <x:f>INDEX(v01_GroupCap,G2288)*v01_CohesionFactor*EXP(v01_CapsByProject*SUMPRODUCT((Cap_Point&lt;=I2288)*(Cap_Kind="Group")*Cap_Ln))</x:f>
        <x:v>1000000</x:v>
      </x:c>
      <x:c r="N2288" s="32" t="n">
        <x:f>MIN(J2288,L2288,M2288)</x:f>
        <x:v>12000</x:v>
      </x:c>
      <x:c r="O2288" s="10" t="n">
        <x:f>AE2287*N2288</x:f>
        <x:v>180000</x:v>
      </x:c>
      <x:c r="P2288" s="9" t="n">
        <x:f>MIN(1,(AB2287/(AE2287*IF(v01_GroupInCrowding=1,N2288,MIN(J2288,L2288))))^v01_CrowdingExp)</x:f>
        <x:v>0.00024569414295285325</x:v>
      </x:c>
      <x:c r="Q2288" s="9" t="n">
        <x:f>IF(D2288=1,INDEX(v01_WinterMult,G2288),1)</x:f>
        <x:v>1</x:v>
      </x:c>
      <x:c r="R2288" s="9" t="n">
        <x:f>H2288*Z2287*v01_WomenShare*v01_BaseFertility*INDEX(v01_FertMult,G2288)*Arch_Fertility*(1-P2288)</x:f>
        <x:v>0</x:v>
      </x:c>
      <x:c r="S2288" s="9" t="n">
        <x:f>H2288*Y2287*INDEX(v01_MortChild,G2288)/4*Q2288</x:f>
        <x:v>0</x:v>
      </x:c>
      <x:c r="T2288" s="9" t="n">
        <x:f>H2288*Z2287*INDEX(v01_MortAdult,G2288)*Arch_AdultMort/4*Q2288</x:f>
        <x:v>0</x:v>
      </x:c>
      <x:c r="U2288" s="9" t="n">
        <x:f>H2288*AA2287*INDEX(v01_MortElder,G2288)/4*Q2288</x:f>
        <x:v>0</x:v>
      </x:c>
      <x:c r="V2288" s="9" t="n">
        <x:f>H2288*MAX(0,AB2287-O2288)*v01_OvercapLoss</x:f>
        <x:v>0</x:v>
      </x:c>
      <x:c r="W2288" s="9" t="n">
        <x:f>H2288*Y2287/(v01_ChildYears*4)</x:f>
        <x:v>0</x:v>
      </x:c>
      <x:c r="X2288" s="9" t="n">
        <x:f>H2288*Z2287/(v01_AdultYears*4)</x:f>
        <x:v>0</x:v>
      </x:c>
      <x:c r="Y2288" s="32" t="n">
        <x:f>Y2287+R2288-S2288-W2288-Y2287*V2288/AB2287</x:f>
        <x:v>14306.18539759397</x:v>
      </x:c>
      <x:c r="Z2288" s="32" t="n">
        <x:f>Z2287+W2288-X2288-T2288-Z2287*V2288/AB2287</x:f>
        <x:v>19354.456567879548</x:v>
      </x:c>
      <x:c r="AA2288" s="32" t="n">
        <x:f>AA2287+X2288-U2288-AA2287*V2288/AB2287</x:f>
        <x:v>11386.956063258198</x:v>
      </x:c>
      <x:c r="AB2288" s="10" t="n">
        <x:f>Y2288+Z2288+AA2288</x:f>
        <x:v>45047.59802873172</x:v>
      </x:c>
      <x:c r="AC2288" s="8" t="n">
        <x:f>IF(AND(v01_WinterTrigger=1,D2288=1,AB2287/AE2287&gt;=K2288),1,0)</x:f>
        <x:v>0</x:v>
      </x:c>
      <x:c r="AD2288" s="8" t="n">
        <x:f>H2288*IF(AND(OR(AB2287/AE2287&gt;=v01_FissionTrigger*N2288,AC2288=1),AB2287/AE2287*v01_DaughterShare&gt;=v01_MinDaughter),MAX(1,ROUND(AE2287*v01_FissionRate,0)),0)</x:f>
        <x:v>0</x:v>
      </x:c>
      <x:c r="AE2288" s="8" t="n">
        <x:f>IF(H2288=1,MAX(1,MIN(INDEX(v01_Smax,G2288),AE2287+AD2288)),AE2287)</x:f>
        <x:v>15</x:v>
      </x:c>
      <x:c r="AF2288" s="8" t="n">
        <x:f>MAX(0,AE2288-AE2287)</x:f>
        <x:v>0</x:v>
      </x:c>
      <x:c r="AG2288" s="9" t="str">
        <x:f>IF(AF2288&gt;0,B2288,"")</x:f>
      </x:c>
      <x:c r="AH2288" s="9" t="n">
        <x:f>IF(F2288&gt;=1,1,(1+v01_LowTiesShare*(AE2288-1))/AE2288)</x:f>
        <x:v>1</x:v>
      </x:c>
      <x:c r="AI2288" s="32" t="n">
        <x:f>(Z2288+v01_ElderCommons*INDEX(LM_Elder,G2288)*AA2288)*AH2288</x:f>
        <x:v>64139.732591141874</x:v>
      </x:c>
      <x:c r="AJ2288" s="32" t="n">
        <x:f>H2288*v01_CommonsCoef*AI2288^v01_CommonsExp*INDEX(LM_Commons,G2288)</x:f>
        <x:v>0</x:v>
      </x:c>
      <x:c r="AK2288" s="32" t="n">
        <x:f>H2288*v01_RoleScale*Arch_Roles*(AE2288*(INDEX(v01_ElderRolePerSett,G2288)*v01_OutElder*INDEX(LM_Elder,G2288)+INDEX(v01_ShamanPerSett,G2288)*v01_OutShaman)+Z2288*(INDEX(v01_PriestShare,G2288)*v01_OutPriest+INDEX(v01_ScribeShare,G2288)*v01_OutScribe*INDEX(LM_Scribe,G2288)+INDEX(v01_ScholarShare,G2288)*v01_OutScholar*INDEX(LM_Scholar,G2288)+INDEX(v01_ResearcherShare,G2288)*v01_OutResearcher*INDEX(LM_Researcher,G2288)))</x:f>
        <x:v>0</x:v>
      </x:c>
      <x:c r="AL2288" s="32" t="n">
        <x:f>H2288*v01_RoleScale*Arch_Roles*AE2288*INDEX(v01_MonasteryPerSett,G2288)*v01_OutMonastery*INDEX(LM_Monastery,G2288)</x:f>
        <x:v>0</x:v>
      </x:c>
      <x:c r="AM2288" s="32" t="n">
        <x:f>(AJ2288+AK2288+AL2288)/4*INDEX(LM_All,G2288)*INDEX(v01_Boon,G2288)*Arch_Insight</x:f>
        <x:v>0</x:v>
      </x:c>
      <x:c r="AN2288" s="32" t="n">
        <x:f>H2288*(v01_KHPerAdult*Z2288+v01_KHOfCommons*AJ2288/4*INDEX(LM_All,G2288))*v01_KHUsable*Arch_KH</x:f>
        <x:v>0</x:v>
      </x:c>
      <x:c r="AO2288" s="32" t="n">
        <x:f>MIN(AP2287+AN2288,AM2288*v01_KHMaxRatio)</x:f>
        <x:v>0</x:v>
      </x:c>
      <x:c r="AP2288" s="32" t="n">
        <x:f>AP2287+AN2288-AO2288</x:f>
        <x:v>0</x:v>
      </x:c>
      <x:c r="AQ2288" s="32" t="n">
        <x:f>AM2288+AO2288</x:f>
        <x:v>0</x:v>
      </x:c>
      <x:c r="AR2288" s="10" t="n">
        <x:f>IF(H2288=1,INDEX(v01_Req,G2288),0)</x:f>
        <x:v>0</x:v>
      </x:c>
      <x:c r="AS2288" s="32" t="n">
        <x:f>IF(H2288=1,IF(E2288=1,AS2287-AR2287,AS2287)+AQ2288,0)</x:f>
        <x:v>0</x:v>
      </x:c>
      <x:c r="AT2288" s="11" t="n">
        <x:f>IF(AR2288&gt;0,MIN(1,AS2288/AR2288),1)</x:f>
        <x:v>1</x:v>
      </x:c>
      <x:c r="AU2288" s="10" t="n">
        <x:f>AB2288/INDEX(v01_RepScale,G2288)</x:f>
        <x:v>90.09519605746344</x:v>
      </x:c>
      <x:c r="AV2288" s="32" t="n">
        <x:f>AM2288*60/v01_SeasonSeconds</x:f>
        <x:v>0</x:v>
      </x:c>
    </x:row>
    <x:row r="2289">
      <x:c r="A2289" s="8" t="n">
        <x:f>A2288+1</x:f>
        <x:v>2286</x:v>
      </x:c>
      <x:c r="B2289" s="9" t="n">
        <x:f>A2289*v01_SeasonSeconds/60</x:f>
        <x:v>571.5</x:v>
      </x:c>
      <x:c r="C2289" s="9" t="n">
        <x:f>A2289/4</x:f>
        <x:v>571.5</x:v>
      </x:c>
      <x:c r="D2289" s="8" t="n">
        <x:f>IF(MOD(A2289,4)=0,1,0)</x:f>
        <x:v>0</x:v>
      </x:c>
      <x:c r="E2289" s="8" t="n">
        <x:f>IF(AND(F2288&lt;=9,AS2288&gt;=AR2288),1,0)</x:f>
        <x:v>0</x:v>
      </x:c>
      <x:c r="F2289" s="8" t="n">
        <x:f>MIN(10,F2288+E2289)</x:f>
        <x:v>10</x:v>
      </x:c>
      <x:c r="G2289" s="8" t="n">
        <x:f>MIN(F2289,9)+1</x:f>
        <x:v>10</x:v>
      </x:c>
      <x:c r="H2289" s="8" t="n">
        <x:f>IF(F2289&lt;=9,1,0)</x:f>
        <x:v>0</x:v>
      </x:c>
      <x:c r="I2289" s="9" t="n">
        <x:f>MIN(10,F2288+IF(AR2288&gt;0,MIN(1,AS2288/AR2288),1))</x:f>
        <x:v>10</x:v>
      </x:c>
      <x:c r="J2289" s="32" t="n">
        <x:f>INDEX(v01_FoodCap,G2289)*Arch_FoodCap*EXP(v01_CapsByProject*SUMPRODUCT((Cap_Point&lt;=I2289)*(Cap_Kind="Food")*Cap_Ln))</x:f>
        <x:v>12000</x:v>
      </x:c>
      <x:c r="K2289" s="32" t="n">
        <x:f>J2289*MIN(1,v01_LeanBase*EXP(v01_CapsByProject*SUMPRODUCT((Cap_Point&lt;=I2289)*(Cap_Kind="Lean")*Cap_Ln)))</x:f>
        <x:v>12000</x:v>
      </x:c>
      <x:c r="L2289" s="10" t="n">
        <x:f>INDEX(v01_HousingCap,G2289)*EXP(v01_CapsByProject*SUMPRODUCT((Cap_Point&lt;=I2289)*(Cap_Kind="Housing")*Cap_Ln))</x:f>
        <x:v>20000</x:v>
      </x:c>
      <x:c r="M2289" s="10" t="n">
        <x:f>INDEX(v01_GroupCap,G2289)*v01_CohesionFactor*EXP(v01_CapsByProject*SUMPRODUCT((Cap_Point&lt;=I2289)*(Cap_Kind="Group")*Cap_Ln))</x:f>
        <x:v>1000000</x:v>
      </x:c>
      <x:c r="N2289" s="32" t="n">
        <x:f>MIN(J2289,L2289,M2289)</x:f>
        <x:v>12000</x:v>
      </x:c>
      <x:c r="O2289" s="10" t="n">
        <x:f>AE2288*N2289</x:f>
        <x:v>180000</x:v>
      </x:c>
      <x:c r="P2289" s="9" t="n">
        <x:f>MIN(1,(AB2288/(AE2288*IF(v01_GroupInCrowding=1,N2289,MIN(J2289,L2289))))^v01_CrowdingExp)</x:f>
        <x:v>0.00024569414295285325</x:v>
      </x:c>
      <x:c r="Q2289" s="9" t="n">
        <x:f>IF(D2289=1,INDEX(v01_WinterMult,G2289),1)</x:f>
        <x:v>1</x:v>
      </x:c>
      <x:c r="R2289" s="9" t="n">
        <x:f>H2289*Z2288*v01_WomenShare*v01_BaseFertility*INDEX(v01_FertMult,G2289)*Arch_Fertility*(1-P2289)</x:f>
        <x:v>0</x:v>
      </x:c>
      <x:c r="S2289" s="9" t="n">
        <x:f>H2289*Y2288*INDEX(v01_MortChild,G2289)/4*Q2289</x:f>
        <x:v>0</x:v>
      </x:c>
      <x:c r="T2289" s="9" t="n">
        <x:f>H2289*Z2288*INDEX(v01_MortAdult,G2289)*Arch_AdultMort/4*Q2289</x:f>
        <x:v>0</x:v>
      </x:c>
      <x:c r="U2289" s="9" t="n">
        <x:f>H2289*AA2288*INDEX(v01_MortElder,G2289)/4*Q2289</x:f>
        <x:v>0</x:v>
      </x:c>
      <x:c r="V2289" s="9" t="n">
        <x:f>H2289*MAX(0,AB2288-O2289)*v01_OvercapLoss</x:f>
        <x:v>0</x:v>
      </x:c>
      <x:c r="W2289" s="9" t="n">
        <x:f>H2289*Y2288/(v01_ChildYears*4)</x:f>
        <x:v>0</x:v>
      </x:c>
      <x:c r="X2289" s="9" t="n">
        <x:f>H2289*Z2288/(v01_AdultYears*4)</x:f>
        <x:v>0</x:v>
      </x:c>
      <x:c r="Y2289" s="32" t="n">
        <x:f>Y2288+R2289-S2289-W2289-Y2288*V2289/AB2288</x:f>
        <x:v>14306.18539759397</x:v>
      </x:c>
      <x:c r="Z2289" s="32" t="n">
        <x:f>Z2288+W2289-X2289-T2289-Z2288*V2289/AB2288</x:f>
        <x:v>19354.456567879548</x:v>
      </x:c>
      <x:c r="AA2289" s="32" t="n">
        <x:f>AA2288+X2289-U2289-AA2288*V2289/AB2288</x:f>
        <x:v>11386.956063258198</x:v>
      </x:c>
      <x:c r="AB2289" s="10" t="n">
        <x:f>Y2289+Z2289+AA2289</x:f>
        <x:v>45047.59802873172</x:v>
      </x:c>
      <x:c r="AC2289" s="8" t="n">
        <x:f>IF(AND(v01_WinterTrigger=1,D2289=1,AB2288/AE2288&gt;=K2289),1,0)</x:f>
        <x:v>0</x:v>
      </x:c>
      <x:c r="AD2289" s="8" t="n">
        <x:f>H2289*IF(AND(OR(AB2288/AE2288&gt;=v01_FissionTrigger*N2289,AC2289=1),AB2288/AE2288*v01_DaughterShare&gt;=v01_MinDaughter),MAX(1,ROUND(AE2288*v01_FissionRate,0)),0)</x:f>
        <x:v>0</x:v>
      </x:c>
      <x:c r="AE2289" s="8" t="n">
        <x:f>IF(H2289=1,MAX(1,MIN(INDEX(v01_Smax,G2289),AE2288+AD2289)),AE2288)</x:f>
        <x:v>15</x:v>
      </x:c>
      <x:c r="AF2289" s="8" t="n">
        <x:f>MAX(0,AE2289-AE2288)</x:f>
        <x:v>0</x:v>
      </x:c>
      <x:c r="AG2289" s="9" t="str">
        <x:f>IF(AF2289&gt;0,B2289,"")</x:f>
      </x:c>
      <x:c r="AH2289" s="9" t="n">
        <x:f>IF(F2289&gt;=1,1,(1+v01_LowTiesShare*(AE2289-1))/AE2289)</x:f>
        <x:v>1</x:v>
      </x:c>
      <x:c r="AI2289" s="32" t="n">
        <x:f>(Z2289+v01_ElderCommons*INDEX(LM_Elder,G2289)*AA2289)*AH2289</x:f>
        <x:v>64139.732591141874</x:v>
      </x:c>
      <x:c r="AJ2289" s="32" t="n">
        <x:f>H2289*v01_CommonsCoef*AI2289^v01_CommonsExp*INDEX(LM_Commons,G2289)</x:f>
        <x:v>0</x:v>
      </x:c>
      <x:c r="AK2289" s="32" t="n">
        <x:f>H2289*v01_RoleScale*Arch_Roles*(AE2289*(INDEX(v01_ElderRolePerSett,G2289)*v01_OutElder*INDEX(LM_Elder,G2289)+INDEX(v01_ShamanPerSett,G2289)*v01_OutShaman)+Z2289*(INDEX(v01_PriestShare,G2289)*v01_OutPriest+INDEX(v01_ScribeShare,G2289)*v01_OutScribe*INDEX(LM_Scribe,G2289)+INDEX(v01_ScholarShare,G2289)*v01_OutScholar*INDEX(LM_Scholar,G2289)+INDEX(v01_ResearcherShare,G2289)*v01_OutResearcher*INDEX(LM_Researcher,G2289)))</x:f>
        <x:v>0</x:v>
      </x:c>
      <x:c r="AL2289" s="32" t="n">
        <x:f>H2289*v01_RoleScale*Arch_Roles*AE2289*INDEX(v01_MonasteryPerSett,G2289)*v01_OutMonastery*INDEX(LM_Monastery,G2289)</x:f>
        <x:v>0</x:v>
      </x:c>
      <x:c r="AM2289" s="32" t="n">
        <x:f>(AJ2289+AK2289+AL2289)/4*INDEX(LM_All,G2289)*INDEX(v01_Boon,G2289)*Arch_Insight</x:f>
        <x:v>0</x:v>
      </x:c>
      <x:c r="AN2289" s="32" t="n">
        <x:f>H2289*(v01_KHPerAdult*Z2289+v01_KHOfCommons*AJ2289/4*INDEX(LM_All,G2289))*v01_KHUsable*Arch_KH</x:f>
        <x:v>0</x:v>
      </x:c>
      <x:c r="AO2289" s="32" t="n">
        <x:f>MIN(AP2288+AN2289,AM2289*v01_KHMaxRatio)</x:f>
        <x:v>0</x:v>
      </x:c>
      <x:c r="AP2289" s="32" t="n">
        <x:f>AP2288+AN2289-AO2289</x:f>
        <x:v>0</x:v>
      </x:c>
      <x:c r="AQ2289" s="32" t="n">
        <x:f>AM2289+AO2289</x:f>
        <x:v>0</x:v>
      </x:c>
      <x:c r="AR2289" s="10" t="n">
        <x:f>IF(H2289=1,INDEX(v01_Req,G2289),0)</x:f>
        <x:v>0</x:v>
      </x:c>
      <x:c r="AS2289" s="32" t="n">
        <x:f>IF(H2289=1,IF(E2289=1,AS2288-AR2288,AS2288)+AQ2289,0)</x:f>
        <x:v>0</x:v>
      </x:c>
      <x:c r="AT2289" s="11" t="n">
        <x:f>IF(AR2289&gt;0,MIN(1,AS2289/AR2289),1)</x:f>
        <x:v>1</x:v>
      </x:c>
      <x:c r="AU2289" s="10" t="n">
        <x:f>AB2289/INDEX(v01_RepScale,G2289)</x:f>
        <x:v>90.09519605746344</x:v>
      </x:c>
      <x:c r="AV2289" s="32" t="n">
        <x:f>AM2289*60/v01_SeasonSeconds</x:f>
        <x:v>0</x:v>
      </x:c>
    </x:row>
    <x:row r="2290">
      <x:c r="A2290" s="8" t="n">
        <x:f>A2289+1</x:f>
        <x:v>2287</x:v>
      </x:c>
      <x:c r="B2290" s="9" t="n">
        <x:f>A2290*v01_SeasonSeconds/60</x:f>
        <x:v>571.75</x:v>
      </x:c>
      <x:c r="C2290" s="9" t="n">
        <x:f>A2290/4</x:f>
        <x:v>571.75</x:v>
      </x:c>
      <x:c r="D2290" s="8" t="n">
        <x:f>IF(MOD(A2290,4)=0,1,0)</x:f>
        <x:v>0</x:v>
      </x:c>
      <x:c r="E2290" s="8" t="n">
        <x:f>IF(AND(F2289&lt;=9,AS2289&gt;=AR2289),1,0)</x:f>
        <x:v>0</x:v>
      </x:c>
      <x:c r="F2290" s="8" t="n">
        <x:f>MIN(10,F2289+E2290)</x:f>
        <x:v>10</x:v>
      </x:c>
      <x:c r="G2290" s="8" t="n">
        <x:f>MIN(F2290,9)+1</x:f>
        <x:v>10</x:v>
      </x:c>
      <x:c r="H2290" s="8" t="n">
        <x:f>IF(F2290&lt;=9,1,0)</x:f>
        <x:v>0</x:v>
      </x:c>
      <x:c r="I2290" s="9" t="n">
        <x:f>MIN(10,F2289+IF(AR2289&gt;0,MIN(1,AS2289/AR2289),1))</x:f>
        <x:v>10</x:v>
      </x:c>
      <x:c r="J2290" s="32" t="n">
        <x:f>INDEX(v01_FoodCap,G2290)*Arch_FoodCap*EXP(v01_CapsByProject*SUMPRODUCT((Cap_Point&lt;=I2290)*(Cap_Kind="Food")*Cap_Ln))</x:f>
        <x:v>12000</x:v>
      </x:c>
      <x:c r="K2290" s="32" t="n">
        <x:f>J2290*MIN(1,v01_LeanBase*EXP(v01_CapsByProject*SUMPRODUCT((Cap_Point&lt;=I2290)*(Cap_Kind="Lean")*Cap_Ln)))</x:f>
        <x:v>12000</x:v>
      </x:c>
      <x:c r="L2290" s="10" t="n">
        <x:f>INDEX(v01_HousingCap,G2290)*EXP(v01_CapsByProject*SUMPRODUCT((Cap_Point&lt;=I2290)*(Cap_Kind="Housing")*Cap_Ln))</x:f>
        <x:v>20000</x:v>
      </x:c>
      <x:c r="M2290" s="10" t="n">
        <x:f>INDEX(v01_GroupCap,G2290)*v01_CohesionFactor*EXP(v01_CapsByProject*SUMPRODUCT((Cap_Point&lt;=I2290)*(Cap_Kind="Group")*Cap_Ln))</x:f>
        <x:v>1000000</x:v>
      </x:c>
      <x:c r="N2290" s="32" t="n">
        <x:f>MIN(J2290,L2290,M2290)</x:f>
        <x:v>12000</x:v>
      </x:c>
      <x:c r="O2290" s="10" t="n">
        <x:f>AE2289*N2290</x:f>
        <x:v>180000</x:v>
      </x:c>
      <x:c r="P2290" s="9" t="n">
        <x:f>MIN(1,(AB2289/(AE2289*IF(v01_GroupInCrowding=1,N2290,MIN(J2290,L2290))))^v01_CrowdingExp)</x:f>
        <x:v>0.00024569414295285325</x:v>
      </x:c>
      <x:c r="Q2290" s="9" t="n">
        <x:f>IF(D2290=1,INDEX(v01_WinterMult,G2290),1)</x:f>
        <x:v>1</x:v>
      </x:c>
      <x:c r="R2290" s="9" t="n">
        <x:f>H2290*Z2289*v01_WomenShare*v01_BaseFertility*INDEX(v01_FertMult,G2290)*Arch_Fertility*(1-P2290)</x:f>
        <x:v>0</x:v>
      </x:c>
      <x:c r="S2290" s="9" t="n">
        <x:f>H2290*Y2289*INDEX(v01_MortChild,G2290)/4*Q2290</x:f>
        <x:v>0</x:v>
      </x:c>
      <x:c r="T2290" s="9" t="n">
        <x:f>H2290*Z2289*INDEX(v01_MortAdult,G2290)*Arch_AdultMort/4*Q2290</x:f>
        <x:v>0</x:v>
      </x:c>
      <x:c r="U2290" s="9" t="n">
        <x:f>H2290*AA2289*INDEX(v01_MortElder,G2290)/4*Q2290</x:f>
        <x:v>0</x:v>
      </x:c>
      <x:c r="V2290" s="9" t="n">
        <x:f>H2290*MAX(0,AB2289-O2290)*v01_OvercapLoss</x:f>
        <x:v>0</x:v>
      </x:c>
      <x:c r="W2290" s="9" t="n">
        <x:f>H2290*Y2289/(v01_ChildYears*4)</x:f>
        <x:v>0</x:v>
      </x:c>
      <x:c r="X2290" s="9" t="n">
        <x:f>H2290*Z2289/(v01_AdultYears*4)</x:f>
        <x:v>0</x:v>
      </x:c>
      <x:c r="Y2290" s="32" t="n">
        <x:f>Y2289+R2290-S2290-W2290-Y2289*V2290/AB2289</x:f>
        <x:v>14306.18539759397</x:v>
      </x:c>
      <x:c r="Z2290" s="32" t="n">
        <x:f>Z2289+W2290-X2290-T2290-Z2289*V2290/AB2289</x:f>
        <x:v>19354.456567879548</x:v>
      </x:c>
      <x:c r="AA2290" s="32" t="n">
        <x:f>AA2289+X2290-U2290-AA2289*V2290/AB2289</x:f>
        <x:v>11386.956063258198</x:v>
      </x:c>
      <x:c r="AB2290" s="10" t="n">
        <x:f>Y2290+Z2290+AA2290</x:f>
        <x:v>45047.59802873172</x:v>
      </x:c>
      <x:c r="AC2290" s="8" t="n">
        <x:f>IF(AND(v01_WinterTrigger=1,D2290=1,AB2289/AE2289&gt;=K2290),1,0)</x:f>
        <x:v>0</x:v>
      </x:c>
      <x:c r="AD2290" s="8" t="n">
        <x:f>H2290*IF(AND(OR(AB2289/AE2289&gt;=v01_FissionTrigger*N2290,AC2290=1),AB2289/AE2289*v01_DaughterShare&gt;=v01_MinDaughter),MAX(1,ROUND(AE2289*v01_FissionRate,0)),0)</x:f>
        <x:v>0</x:v>
      </x:c>
      <x:c r="AE2290" s="8" t="n">
        <x:f>IF(H2290=1,MAX(1,MIN(INDEX(v01_Smax,G2290),AE2289+AD2290)),AE2289)</x:f>
        <x:v>15</x:v>
      </x:c>
      <x:c r="AF2290" s="8" t="n">
        <x:f>MAX(0,AE2290-AE2289)</x:f>
        <x:v>0</x:v>
      </x:c>
      <x:c r="AG2290" s="9" t="str">
        <x:f>IF(AF2290&gt;0,B2290,"")</x:f>
      </x:c>
      <x:c r="AH2290" s="9" t="n">
        <x:f>IF(F2290&gt;=1,1,(1+v01_LowTiesShare*(AE2290-1))/AE2290)</x:f>
        <x:v>1</x:v>
      </x:c>
      <x:c r="AI2290" s="32" t="n">
        <x:f>(Z2290+v01_ElderCommons*INDEX(LM_Elder,G2290)*AA2290)*AH2290</x:f>
        <x:v>64139.732591141874</x:v>
      </x:c>
      <x:c r="AJ2290" s="32" t="n">
        <x:f>H2290*v01_CommonsCoef*AI2290^v01_CommonsExp*INDEX(LM_Commons,G2290)</x:f>
        <x:v>0</x:v>
      </x:c>
      <x:c r="AK2290" s="32" t="n">
        <x:f>H2290*v01_RoleScale*Arch_Roles*(AE2290*(INDEX(v01_ElderRolePerSett,G2290)*v01_OutElder*INDEX(LM_Elder,G2290)+INDEX(v01_ShamanPerSett,G2290)*v01_OutShaman)+Z2290*(INDEX(v01_PriestShare,G2290)*v01_OutPriest+INDEX(v01_ScribeShare,G2290)*v01_OutScribe*INDEX(LM_Scribe,G2290)+INDEX(v01_ScholarShare,G2290)*v01_OutScholar*INDEX(LM_Scholar,G2290)+INDEX(v01_ResearcherShare,G2290)*v01_OutResearcher*INDEX(LM_Researcher,G2290)))</x:f>
        <x:v>0</x:v>
      </x:c>
      <x:c r="AL2290" s="32" t="n">
        <x:f>H2290*v01_RoleScale*Arch_Roles*AE2290*INDEX(v01_MonasteryPerSett,G2290)*v01_OutMonastery*INDEX(LM_Monastery,G2290)</x:f>
        <x:v>0</x:v>
      </x:c>
      <x:c r="AM2290" s="32" t="n">
        <x:f>(AJ2290+AK2290+AL2290)/4*INDEX(LM_All,G2290)*INDEX(v01_Boon,G2290)*Arch_Insight</x:f>
        <x:v>0</x:v>
      </x:c>
      <x:c r="AN2290" s="32" t="n">
        <x:f>H2290*(v01_KHPerAdult*Z2290+v01_KHOfCommons*AJ2290/4*INDEX(LM_All,G2290))*v01_KHUsable*Arch_KH</x:f>
        <x:v>0</x:v>
      </x:c>
      <x:c r="AO2290" s="32" t="n">
        <x:f>MIN(AP2289+AN2290,AM2290*v01_KHMaxRatio)</x:f>
        <x:v>0</x:v>
      </x:c>
      <x:c r="AP2290" s="32" t="n">
        <x:f>AP2289+AN2290-AO2290</x:f>
        <x:v>0</x:v>
      </x:c>
      <x:c r="AQ2290" s="32" t="n">
        <x:f>AM2290+AO2290</x:f>
        <x:v>0</x:v>
      </x:c>
      <x:c r="AR2290" s="10" t="n">
        <x:f>IF(H2290=1,INDEX(v01_Req,G2290),0)</x:f>
        <x:v>0</x:v>
      </x:c>
      <x:c r="AS2290" s="32" t="n">
        <x:f>IF(H2290=1,IF(E2290=1,AS2289-AR2289,AS2289)+AQ2290,0)</x:f>
        <x:v>0</x:v>
      </x:c>
      <x:c r="AT2290" s="11" t="n">
        <x:f>IF(AR2290&gt;0,MIN(1,AS2290/AR2290),1)</x:f>
        <x:v>1</x:v>
      </x:c>
      <x:c r="AU2290" s="10" t="n">
        <x:f>AB2290/INDEX(v01_RepScale,G2290)</x:f>
        <x:v>90.09519605746344</x:v>
      </x:c>
      <x:c r="AV2290" s="32" t="n">
        <x:f>AM2290*60/v01_SeasonSeconds</x:f>
        <x:v>0</x:v>
      </x:c>
    </x:row>
    <x:row r="2291">
      <x:c r="A2291" s="8" t="n">
        <x:f>A2290+1</x:f>
        <x:v>2288</x:v>
      </x:c>
      <x:c r="B2291" s="9" t="n">
        <x:f>A2291*v01_SeasonSeconds/60</x:f>
        <x:v>572</x:v>
      </x:c>
      <x:c r="C2291" s="9" t="n">
        <x:f>A2291/4</x:f>
        <x:v>572</x:v>
      </x:c>
      <x:c r="D2291" s="8" t="n">
        <x:f>IF(MOD(A2291,4)=0,1,0)</x:f>
        <x:v>1</x:v>
      </x:c>
      <x:c r="E2291" s="8" t="n">
        <x:f>IF(AND(F2290&lt;=9,AS2290&gt;=AR2290),1,0)</x:f>
        <x:v>0</x:v>
      </x:c>
      <x:c r="F2291" s="8" t="n">
        <x:f>MIN(10,F2290+E2291)</x:f>
        <x:v>10</x:v>
      </x:c>
      <x:c r="G2291" s="8" t="n">
        <x:f>MIN(F2291,9)+1</x:f>
        <x:v>10</x:v>
      </x:c>
      <x:c r="H2291" s="8" t="n">
        <x:f>IF(F2291&lt;=9,1,0)</x:f>
        <x:v>0</x:v>
      </x:c>
      <x:c r="I2291" s="9" t="n">
        <x:f>MIN(10,F2290+IF(AR2290&gt;0,MIN(1,AS2290/AR2290),1))</x:f>
        <x:v>10</x:v>
      </x:c>
      <x:c r="J2291" s="32" t="n">
        <x:f>INDEX(v01_FoodCap,G2291)*Arch_FoodCap*EXP(v01_CapsByProject*SUMPRODUCT((Cap_Point&lt;=I2291)*(Cap_Kind="Food")*Cap_Ln))</x:f>
        <x:v>12000</x:v>
      </x:c>
      <x:c r="K2291" s="32" t="n">
        <x:f>J2291*MIN(1,v01_LeanBase*EXP(v01_CapsByProject*SUMPRODUCT((Cap_Point&lt;=I2291)*(Cap_Kind="Lean")*Cap_Ln)))</x:f>
        <x:v>12000</x:v>
      </x:c>
      <x:c r="L2291" s="10" t="n">
        <x:f>INDEX(v01_HousingCap,G2291)*EXP(v01_CapsByProject*SUMPRODUCT((Cap_Point&lt;=I2291)*(Cap_Kind="Housing")*Cap_Ln))</x:f>
        <x:v>20000</x:v>
      </x:c>
      <x:c r="M2291" s="10" t="n">
        <x:f>INDEX(v01_GroupCap,G2291)*v01_CohesionFactor*EXP(v01_CapsByProject*SUMPRODUCT((Cap_Point&lt;=I2291)*(Cap_Kind="Group")*Cap_Ln))</x:f>
        <x:v>1000000</x:v>
      </x:c>
      <x:c r="N2291" s="32" t="n">
        <x:f>MIN(J2291,L2291,M2291)</x:f>
        <x:v>12000</x:v>
      </x:c>
      <x:c r="O2291" s="10" t="n">
        <x:f>AE2290*N2291</x:f>
        <x:v>180000</x:v>
      </x:c>
      <x:c r="P2291" s="9" t="n">
        <x:f>MIN(1,(AB2290/(AE2290*IF(v01_GroupInCrowding=1,N2291,MIN(J2291,L2291))))^v01_CrowdingExp)</x:f>
        <x:v>0.00024569414295285325</x:v>
      </x:c>
      <x:c r="Q2291" s="9" t="n">
        <x:f>IF(D2291=1,INDEX(v01_WinterMult,G2291),1)</x:f>
        <x:v>1</x:v>
      </x:c>
      <x:c r="R2291" s="9" t="n">
        <x:f>H2291*Z2290*v01_WomenShare*v01_BaseFertility*INDEX(v01_FertMult,G2291)*Arch_Fertility*(1-P2291)</x:f>
        <x:v>0</x:v>
      </x:c>
      <x:c r="S2291" s="9" t="n">
        <x:f>H2291*Y2290*INDEX(v01_MortChild,G2291)/4*Q2291</x:f>
        <x:v>0</x:v>
      </x:c>
      <x:c r="T2291" s="9" t="n">
        <x:f>H2291*Z2290*INDEX(v01_MortAdult,G2291)*Arch_AdultMort/4*Q2291</x:f>
        <x:v>0</x:v>
      </x:c>
      <x:c r="U2291" s="9" t="n">
        <x:f>H2291*AA2290*INDEX(v01_MortElder,G2291)/4*Q2291</x:f>
        <x:v>0</x:v>
      </x:c>
      <x:c r="V2291" s="9" t="n">
        <x:f>H2291*MAX(0,AB2290-O2291)*v01_OvercapLoss</x:f>
        <x:v>0</x:v>
      </x:c>
      <x:c r="W2291" s="9" t="n">
        <x:f>H2291*Y2290/(v01_ChildYears*4)</x:f>
        <x:v>0</x:v>
      </x:c>
      <x:c r="X2291" s="9" t="n">
        <x:f>H2291*Z2290/(v01_AdultYears*4)</x:f>
        <x:v>0</x:v>
      </x:c>
      <x:c r="Y2291" s="32" t="n">
        <x:f>Y2290+R2291-S2291-W2291-Y2290*V2291/AB2290</x:f>
        <x:v>14306.18539759397</x:v>
      </x:c>
      <x:c r="Z2291" s="32" t="n">
        <x:f>Z2290+W2291-X2291-T2291-Z2290*V2291/AB2290</x:f>
        <x:v>19354.456567879548</x:v>
      </x:c>
      <x:c r="AA2291" s="32" t="n">
        <x:f>AA2290+X2291-U2291-AA2290*V2291/AB2290</x:f>
        <x:v>11386.956063258198</x:v>
      </x:c>
      <x:c r="AB2291" s="10" t="n">
        <x:f>Y2291+Z2291+AA2291</x:f>
        <x:v>45047.59802873172</x:v>
      </x:c>
      <x:c r="AC2291" s="8" t="n">
        <x:f>IF(AND(v01_WinterTrigger=1,D2291=1,AB2290/AE2290&gt;=K2291),1,0)</x:f>
        <x:v>0</x:v>
      </x:c>
      <x:c r="AD2291" s="8" t="n">
        <x:f>H2291*IF(AND(OR(AB2290/AE2290&gt;=v01_FissionTrigger*N2291,AC2291=1),AB2290/AE2290*v01_DaughterShare&gt;=v01_MinDaughter),MAX(1,ROUND(AE2290*v01_FissionRate,0)),0)</x:f>
        <x:v>0</x:v>
      </x:c>
      <x:c r="AE2291" s="8" t="n">
        <x:f>IF(H2291=1,MAX(1,MIN(INDEX(v01_Smax,G2291),AE2290+AD2291)),AE2290)</x:f>
        <x:v>15</x:v>
      </x:c>
      <x:c r="AF2291" s="8" t="n">
        <x:f>MAX(0,AE2291-AE2290)</x:f>
        <x:v>0</x:v>
      </x:c>
      <x:c r="AG2291" s="9" t="str">
        <x:f>IF(AF2291&gt;0,B2291,"")</x:f>
      </x:c>
      <x:c r="AH2291" s="9" t="n">
        <x:f>IF(F2291&gt;=1,1,(1+v01_LowTiesShare*(AE2291-1))/AE2291)</x:f>
        <x:v>1</x:v>
      </x:c>
      <x:c r="AI2291" s="32" t="n">
        <x:f>(Z2291+v01_ElderCommons*INDEX(LM_Elder,G2291)*AA2291)*AH2291</x:f>
        <x:v>64139.732591141874</x:v>
      </x:c>
      <x:c r="AJ2291" s="32" t="n">
        <x:f>H2291*v01_CommonsCoef*AI2291^v01_CommonsExp*INDEX(LM_Commons,G2291)</x:f>
        <x:v>0</x:v>
      </x:c>
      <x:c r="AK2291" s="32" t="n">
        <x:f>H2291*v01_RoleScale*Arch_Roles*(AE2291*(INDEX(v01_ElderRolePerSett,G2291)*v01_OutElder*INDEX(LM_Elder,G2291)+INDEX(v01_ShamanPerSett,G2291)*v01_OutShaman)+Z2291*(INDEX(v01_PriestShare,G2291)*v01_OutPriest+INDEX(v01_ScribeShare,G2291)*v01_OutScribe*INDEX(LM_Scribe,G2291)+INDEX(v01_ScholarShare,G2291)*v01_OutScholar*INDEX(LM_Scholar,G2291)+INDEX(v01_ResearcherShare,G2291)*v01_OutResearcher*INDEX(LM_Researcher,G2291)))</x:f>
        <x:v>0</x:v>
      </x:c>
      <x:c r="AL2291" s="32" t="n">
        <x:f>H2291*v01_RoleScale*Arch_Roles*AE2291*INDEX(v01_MonasteryPerSett,G2291)*v01_OutMonastery*INDEX(LM_Monastery,G2291)</x:f>
        <x:v>0</x:v>
      </x:c>
      <x:c r="AM2291" s="32" t="n">
        <x:f>(AJ2291+AK2291+AL2291)/4*INDEX(LM_All,G2291)*INDEX(v01_Boon,G2291)*Arch_Insight</x:f>
        <x:v>0</x:v>
      </x:c>
      <x:c r="AN2291" s="32" t="n">
        <x:f>H2291*(v01_KHPerAdult*Z2291+v01_KHOfCommons*AJ2291/4*INDEX(LM_All,G2291))*v01_KHUsable*Arch_KH</x:f>
        <x:v>0</x:v>
      </x:c>
      <x:c r="AO2291" s="32" t="n">
        <x:f>MIN(AP2290+AN2291,AM2291*v01_KHMaxRatio)</x:f>
        <x:v>0</x:v>
      </x:c>
      <x:c r="AP2291" s="32" t="n">
        <x:f>AP2290+AN2291-AO2291</x:f>
        <x:v>0</x:v>
      </x:c>
      <x:c r="AQ2291" s="32" t="n">
        <x:f>AM2291+AO2291</x:f>
        <x:v>0</x:v>
      </x:c>
      <x:c r="AR2291" s="10" t="n">
        <x:f>IF(H2291=1,INDEX(v01_Req,G2291),0)</x:f>
        <x:v>0</x:v>
      </x:c>
      <x:c r="AS2291" s="32" t="n">
        <x:f>IF(H2291=1,IF(E2291=1,AS2290-AR2290,AS2290)+AQ2291,0)</x:f>
        <x:v>0</x:v>
      </x:c>
      <x:c r="AT2291" s="11" t="n">
        <x:f>IF(AR2291&gt;0,MIN(1,AS2291/AR2291),1)</x:f>
        <x:v>1</x:v>
      </x:c>
      <x:c r="AU2291" s="10" t="n">
        <x:f>AB2291/INDEX(v01_RepScale,G2291)</x:f>
        <x:v>90.09519605746344</x:v>
      </x:c>
      <x:c r="AV2291" s="32" t="n">
        <x:f>AM2291*60/v01_SeasonSeconds</x:f>
        <x:v>0</x:v>
      </x:c>
    </x:row>
    <x:row r="2292">
      <x:c r="A2292" s="8" t="n">
        <x:f>A2291+1</x:f>
        <x:v>2289</x:v>
      </x:c>
      <x:c r="B2292" s="9" t="n">
        <x:f>A2292*v01_SeasonSeconds/60</x:f>
        <x:v>572.25</x:v>
      </x:c>
      <x:c r="C2292" s="9" t="n">
        <x:f>A2292/4</x:f>
        <x:v>572.25</x:v>
      </x:c>
      <x:c r="D2292" s="8" t="n">
        <x:f>IF(MOD(A2292,4)=0,1,0)</x:f>
        <x:v>0</x:v>
      </x:c>
      <x:c r="E2292" s="8" t="n">
        <x:f>IF(AND(F2291&lt;=9,AS2291&gt;=AR2291),1,0)</x:f>
        <x:v>0</x:v>
      </x:c>
      <x:c r="F2292" s="8" t="n">
        <x:f>MIN(10,F2291+E2292)</x:f>
        <x:v>10</x:v>
      </x:c>
      <x:c r="G2292" s="8" t="n">
        <x:f>MIN(F2292,9)+1</x:f>
        <x:v>10</x:v>
      </x:c>
      <x:c r="H2292" s="8" t="n">
        <x:f>IF(F2292&lt;=9,1,0)</x:f>
        <x:v>0</x:v>
      </x:c>
      <x:c r="I2292" s="9" t="n">
        <x:f>MIN(10,F2291+IF(AR2291&gt;0,MIN(1,AS2291/AR2291),1))</x:f>
        <x:v>10</x:v>
      </x:c>
      <x:c r="J2292" s="32" t="n">
        <x:f>INDEX(v01_FoodCap,G2292)*Arch_FoodCap*EXP(v01_CapsByProject*SUMPRODUCT((Cap_Point&lt;=I2292)*(Cap_Kind="Food")*Cap_Ln))</x:f>
        <x:v>12000</x:v>
      </x:c>
      <x:c r="K2292" s="32" t="n">
        <x:f>J2292*MIN(1,v01_LeanBase*EXP(v01_CapsByProject*SUMPRODUCT((Cap_Point&lt;=I2292)*(Cap_Kind="Lean")*Cap_Ln)))</x:f>
        <x:v>12000</x:v>
      </x:c>
      <x:c r="L2292" s="10" t="n">
        <x:f>INDEX(v01_HousingCap,G2292)*EXP(v01_CapsByProject*SUMPRODUCT((Cap_Point&lt;=I2292)*(Cap_Kind="Housing")*Cap_Ln))</x:f>
        <x:v>20000</x:v>
      </x:c>
      <x:c r="M2292" s="10" t="n">
        <x:f>INDEX(v01_GroupCap,G2292)*v01_CohesionFactor*EXP(v01_CapsByProject*SUMPRODUCT((Cap_Point&lt;=I2292)*(Cap_Kind="Group")*Cap_Ln))</x:f>
        <x:v>1000000</x:v>
      </x:c>
      <x:c r="N2292" s="32" t="n">
        <x:f>MIN(J2292,L2292,M2292)</x:f>
        <x:v>12000</x:v>
      </x:c>
      <x:c r="O2292" s="10" t="n">
        <x:f>AE2291*N2292</x:f>
        <x:v>180000</x:v>
      </x:c>
      <x:c r="P2292" s="9" t="n">
        <x:f>MIN(1,(AB2291/(AE2291*IF(v01_GroupInCrowding=1,N2292,MIN(J2292,L2292))))^v01_CrowdingExp)</x:f>
        <x:v>0.00024569414295285325</x:v>
      </x:c>
      <x:c r="Q2292" s="9" t="n">
        <x:f>IF(D2292=1,INDEX(v01_WinterMult,G2292),1)</x:f>
        <x:v>1</x:v>
      </x:c>
      <x:c r="R2292" s="9" t="n">
        <x:f>H2292*Z2291*v01_WomenShare*v01_BaseFertility*INDEX(v01_FertMult,G2292)*Arch_Fertility*(1-P2292)</x:f>
        <x:v>0</x:v>
      </x:c>
      <x:c r="S2292" s="9" t="n">
        <x:f>H2292*Y2291*INDEX(v01_MortChild,G2292)/4*Q2292</x:f>
        <x:v>0</x:v>
      </x:c>
      <x:c r="T2292" s="9" t="n">
        <x:f>H2292*Z2291*INDEX(v01_MortAdult,G2292)*Arch_AdultMort/4*Q2292</x:f>
        <x:v>0</x:v>
      </x:c>
      <x:c r="U2292" s="9" t="n">
        <x:f>H2292*AA2291*INDEX(v01_MortElder,G2292)/4*Q2292</x:f>
        <x:v>0</x:v>
      </x:c>
      <x:c r="V2292" s="9" t="n">
        <x:f>H2292*MAX(0,AB2291-O2292)*v01_OvercapLoss</x:f>
        <x:v>0</x:v>
      </x:c>
      <x:c r="W2292" s="9" t="n">
        <x:f>H2292*Y2291/(v01_ChildYears*4)</x:f>
        <x:v>0</x:v>
      </x:c>
      <x:c r="X2292" s="9" t="n">
        <x:f>H2292*Z2291/(v01_AdultYears*4)</x:f>
        <x:v>0</x:v>
      </x:c>
      <x:c r="Y2292" s="32" t="n">
        <x:f>Y2291+R2292-S2292-W2292-Y2291*V2292/AB2291</x:f>
        <x:v>14306.18539759397</x:v>
      </x:c>
      <x:c r="Z2292" s="32" t="n">
        <x:f>Z2291+W2292-X2292-T2292-Z2291*V2292/AB2291</x:f>
        <x:v>19354.456567879548</x:v>
      </x:c>
      <x:c r="AA2292" s="32" t="n">
        <x:f>AA2291+X2292-U2292-AA2291*V2292/AB2291</x:f>
        <x:v>11386.956063258198</x:v>
      </x:c>
      <x:c r="AB2292" s="10" t="n">
        <x:f>Y2292+Z2292+AA2292</x:f>
        <x:v>45047.59802873172</x:v>
      </x:c>
      <x:c r="AC2292" s="8" t="n">
        <x:f>IF(AND(v01_WinterTrigger=1,D2292=1,AB2291/AE2291&gt;=K2292),1,0)</x:f>
        <x:v>0</x:v>
      </x:c>
      <x:c r="AD2292" s="8" t="n">
        <x:f>H2292*IF(AND(OR(AB2291/AE2291&gt;=v01_FissionTrigger*N2292,AC2292=1),AB2291/AE2291*v01_DaughterShare&gt;=v01_MinDaughter),MAX(1,ROUND(AE2291*v01_FissionRate,0)),0)</x:f>
        <x:v>0</x:v>
      </x:c>
      <x:c r="AE2292" s="8" t="n">
        <x:f>IF(H2292=1,MAX(1,MIN(INDEX(v01_Smax,G2292),AE2291+AD2292)),AE2291)</x:f>
        <x:v>15</x:v>
      </x:c>
      <x:c r="AF2292" s="8" t="n">
        <x:f>MAX(0,AE2292-AE2291)</x:f>
        <x:v>0</x:v>
      </x:c>
      <x:c r="AG2292" s="9" t="str">
        <x:f>IF(AF2292&gt;0,B2292,"")</x:f>
      </x:c>
      <x:c r="AH2292" s="9" t="n">
        <x:f>IF(F2292&gt;=1,1,(1+v01_LowTiesShare*(AE2292-1))/AE2292)</x:f>
        <x:v>1</x:v>
      </x:c>
      <x:c r="AI2292" s="32" t="n">
        <x:f>(Z2292+v01_ElderCommons*INDEX(LM_Elder,G2292)*AA2292)*AH2292</x:f>
        <x:v>64139.732591141874</x:v>
      </x:c>
      <x:c r="AJ2292" s="32" t="n">
        <x:f>H2292*v01_CommonsCoef*AI2292^v01_CommonsExp*INDEX(LM_Commons,G2292)</x:f>
        <x:v>0</x:v>
      </x:c>
      <x:c r="AK2292" s="32" t="n">
        <x:f>H2292*v01_RoleScale*Arch_Roles*(AE2292*(INDEX(v01_ElderRolePerSett,G2292)*v01_OutElder*INDEX(LM_Elder,G2292)+INDEX(v01_ShamanPerSett,G2292)*v01_OutShaman)+Z2292*(INDEX(v01_PriestShare,G2292)*v01_OutPriest+INDEX(v01_ScribeShare,G2292)*v01_OutScribe*INDEX(LM_Scribe,G2292)+INDEX(v01_ScholarShare,G2292)*v01_OutScholar*INDEX(LM_Scholar,G2292)+INDEX(v01_ResearcherShare,G2292)*v01_OutResearcher*INDEX(LM_Researcher,G2292)))</x:f>
        <x:v>0</x:v>
      </x:c>
      <x:c r="AL2292" s="32" t="n">
        <x:f>H2292*v01_RoleScale*Arch_Roles*AE2292*INDEX(v01_MonasteryPerSett,G2292)*v01_OutMonastery*INDEX(LM_Monastery,G2292)</x:f>
        <x:v>0</x:v>
      </x:c>
      <x:c r="AM2292" s="32" t="n">
        <x:f>(AJ2292+AK2292+AL2292)/4*INDEX(LM_All,G2292)*INDEX(v01_Boon,G2292)*Arch_Insight</x:f>
        <x:v>0</x:v>
      </x:c>
      <x:c r="AN2292" s="32" t="n">
        <x:f>H2292*(v01_KHPerAdult*Z2292+v01_KHOfCommons*AJ2292/4*INDEX(LM_All,G2292))*v01_KHUsable*Arch_KH</x:f>
        <x:v>0</x:v>
      </x:c>
      <x:c r="AO2292" s="32" t="n">
        <x:f>MIN(AP2291+AN2292,AM2292*v01_KHMaxRatio)</x:f>
        <x:v>0</x:v>
      </x:c>
      <x:c r="AP2292" s="32" t="n">
        <x:f>AP2291+AN2292-AO2292</x:f>
        <x:v>0</x:v>
      </x:c>
      <x:c r="AQ2292" s="32" t="n">
        <x:f>AM2292+AO2292</x:f>
        <x:v>0</x:v>
      </x:c>
      <x:c r="AR2292" s="10" t="n">
        <x:f>IF(H2292=1,INDEX(v01_Req,G2292),0)</x:f>
        <x:v>0</x:v>
      </x:c>
      <x:c r="AS2292" s="32" t="n">
        <x:f>IF(H2292=1,IF(E2292=1,AS2291-AR2291,AS2291)+AQ2292,0)</x:f>
        <x:v>0</x:v>
      </x:c>
      <x:c r="AT2292" s="11" t="n">
        <x:f>IF(AR2292&gt;0,MIN(1,AS2292/AR2292),1)</x:f>
        <x:v>1</x:v>
      </x:c>
      <x:c r="AU2292" s="10" t="n">
        <x:f>AB2292/INDEX(v01_RepScale,G2292)</x:f>
        <x:v>90.09519605746344</x:v>
      </x:c>
      <x:c r="AV2292" s="32" t="n">
        <x:f>AM2292*60/v01_SeasonSeconds</x:f>
        <x:v>0</x:v>
      </x:c>
    </x:row>
    <x:row r="2293">
      <x:c r="A2293" s="8" t="n">
        <x:f>A2292+1</x:f>
        <x:v>2290</x:v>
      </x:c>
      <x:c r="B2293" s="9" t="n">
        <x:f>A2293*v01_SeasonSeconds/60</x:f>
        <x:v>572.5</x:v>
      </x:c>
      <x:c r="C2293" s="9" t="n">
        <x:f>A2293/4</x:f>
        <x:v>572.5</x:v>
      </x:c>
      <x:c r="D2293" s="8" t="n">
        <x:f>IF(MOD(A2293,4)=0,1,0)</x:f>
        <x:v>0</x:v>
      </x:c>
      <x:c r="E2293" s="8" t="n">
        <x:f>IF(AND(F2292&lt;=9,AS2292&gt;=AR2292),1,0)</x:f>
        <x:v>0</x:v>
      </x:c>
      <x:c r="F2293" s="8" t="n">
        <x:f>MIN(10,F2292+E2293)</x:f>
        <x:v>10</x:v>
      </x:c>
      <x:c r="G2293" s="8" t="n">
        <x:f>MIN(F2293,9)+1</x:f>
        <x:v>10</x:v>
      </x:c>
      <x:c r="H2293" s="8" t="n">
        <x:f>IF(F2293&lt;=9,1,0)</x:f>
        <x:v>0</x:v>
      </x:c>
      <x:c r="I2293" s="9" t="n">
        <x:f>MIN(10,F2292+IF(AR2292&gt;0,MIN(1,AS2292/AR2292),1))</x:f>
        <x:v>10</x:v>
      </x:c>
      <x:c r="J2293" s="32" t="n">
        <x:f>INDEX(v01_FoodCap,G2293)*Arch_FoodCap*EXP(v01_CapsByProject*SUMPRODUCT((Cap_Point&lt;=I2293)*(Cap_Kind="Food")*Cap_Ln))</x:f>
        <x:v>12000</x:v>
      </x:c>
      <x:c r="K2293" s="32" t="n">
        <x:f>J2293*MIN(1,v01_LeanBase*EXP(v01_CapsByProject*SUMPRODUCT((Cap_Point&lt;=I2293)*(Cap_Kind="Lean")*Cap_Ln)))</x:f>
        <x:v>12000</x:v>
      </x:c>
      <x:c r="L2293" s="10" t="n">
        <x:f>INDEX(v01_HousingCap,G2293)*EXP(v01_CapsByProject*SUMPRODUCT((Cap_Point&lt;=I2293)*(Cap_Kind="Housing")*Cap_Ln))</x:f>
        <x:v>20000</x:v>
      </x:c>
      <x:c r="M2293" s="10" t="n">
        <x:f>INDEX(v01_GroupCap,G2293)*v01_CohesionFactor*EXP(v01_CapsByProject*SUMPRODUCT((Cap_Point&lt;=I2293)*(Cap_Kind="Group")*Cap_Ln))</x:f>
        <x:v>1000000</x:v>
      </x:c>
      <x:c r="N2293" s="32" t="n">
        <x:f>MIN(J2293,L2293,M2293)</x:f>
        <x:v>12000</x:v>
      </x:c>
      <x:c r="O2293" s="10" t="n">
        <x:f>AE2292*N2293</x:f>
        <x:v>180000</x:v>
      </x:c>
      <x:c r="P2293" s="9" t="n">
        <x:f>MIN(1,(AB2292/(AE2292*IF(v01_GroupInCrowding=1,N2293,MIN(J2293,L2293))))^v01_CrowdingExp)</x:f>
        <x:v>0.00024569414295285325</x:v>
      </x:c>
      <x:c r="Q2293" s="9" t="n">
        <x:f>IF(D2293=1,INDEX(v01_WinterMult,G2293),1)</x:f>
        <x:v>1</x:v>
      </x:c>
      <x:c r="R2293" s="9" t="n">
        <x:f>H2293*Z2292*v01_WomenShare*v01_BaseFertility*INDEX(v01_FertMult,G2293)*Arch_Fertility*(1-P2293)</x:f>
        <x:v>0</x:v>
      </x:c>
      <x:c r="S2293" s="9" t="n">
        <x:f>H2293*Y2292*INDEX(v01_MortChild,G2293)/4*Q2293</x:f>
        <x:v>0</x:v>
      </x:c>
      <x:c r="T2293" s="9" t="n">
        <x:f>H2293*Z2292*INDEX(v01_MortAdult,G2293)*Arch_AdultMort/4*Q2293</x:f>
        <x:v>0</x:v>
      </x:c>
      <x:c r="U2293" s="9" t="n">
        <x:f>H2293*AA2292*INDEX(v01_MortElder,G2293)/4*Q2293</x:f>
        <x:v>0</x:v>
      </x:c>
      <x:c r="V2293" s="9" t="n">
        <x:f>H2293*MAX(0,AB2292-O2293)*v01_OvercapLoss</x:f>
        <x:v>0</x:v>
      </x:c>
      <x:c r="W2293" s="9" t="n">
        <x:f>H2293*Y2292/(v01_ChildYears*4)</x:f>
        <x:v>0</x:v>
      </x:c>
      <x:c r="X2293" s="9" t="n">
        <x:f>H2293*Z2292/(v01_AdultYears*4)</x:f>
        <x:v>0</x:v>
      </x:c>
      <x:c r="Y2293" s="32" t="n">
        <x:f>Y2292+R2293-S2293-W2293-Y2292*V2293/AB2292</x:f>
        <x:v>14306.18539759397</x:v>
      </x:c>
      <x:c r="Z2293" s="32" t="n">
        <x:f>Z2292+W2293-X2293-T2293-Z2292*V2293/AB2292</x:f>
        <x:v>19354.456567879548</x:v>
      </x:c>
      <x:c r="AA2293" s="32" t="n">
        <x:f>AA2292+X2293-U2293-AA2292*V2293/AB2292</x:f>
        <x:v>11386.956063258198</x:v>
      </x:c>
      <x:c r="AB2293" s="10" t="n">
        <x:f>Y2293+Z2293+AA2293</x:f>
        <x:v>45047.59802873172</x:v>
      </x:c>
      <x:c r="AC2293" s="8" t="n">
        <x:f>IF(AND(v01_WinterTrigger=1,D2293=1,AB2292/AE2292&gt;=K2293),1,0)</x:f>
        <x:v>0</x:v>
      </x:c>
      <x:c r="AD2293" s="8" t="n">
        <x:f>H2293*IF(AND(OR(AB2292/AE2292&gt;=v01_FissionTrigger*N2293,AC2293=1),AB2292/AE2292*v01_DaughterShare&gt;=v01_MinDaughter),MAX(1,ROUND(AE2292*v01_FissionRate,0)),0)</x:f>
        <x:v>0</x:v>
      </x:c>
      <x:c r="AE2293" s="8" t="n">
        <x:f>IF(H2293=1,MAX(1,MIN(INDEX(v01_Smax,G2293),AE2292+AD2293)),AE2292)</x:f>
        <x:v>15</x:v>
      </x:c>
      <x:c r="AF2293" s="8" t="n">
        <x:f>MAX(0,AE2293-AE2292)</x:f>
        <x:v>0</x:v>
      </x:c>
      <x:c r="AG2293" s="9" t="str">
        <x:f>IF(AF2293&gt;0,B2293,"")</x:f>
      </x:c>
      <x:c r="AH2293" s="9" t="n">
        <x:f>IF(F2293&gt;=1,1,(1+v01_LowTiesShare*(AE2293-1))/AE2293)</x:f>
        <x:v>1</x:v>
      </x:c>
      <x:c r="AI2293" s="32" t="n">
        <x:f>(Z2293+v01_ElderCommons*INDEX(LM_Elder,G2293)*AA2293)*AH2293</x:f>
        <x:v>64139.732591141874</x:v>
      </x:c>
      <x:c r="AJ2293" s="32" t="n">
        <x:f>H2293*v01_CommonsCoef*AI2293^v01_CommonsExp*INDEX(LM_Commons,G2293)</x:f>
        <x:v>0</x:v>
      </x:c>
      <x:c r="AK2293" s="32" t="n">
        <x:f>H2293*v01_RoleScale*Arch_Roles*(AE2293*(INDEX(v01_ElderRolePerSett,G2293)*v01_OutElder*INDEX(LM_Elder,G2293)+INDEX(v01_ShamanPerSett,G2293)*v01_OutShaman)+Z2293*(INDEX(v01_PriestShare,G2293)*v01_OutPriest+INDEX(v01_ScribeShare,G2293)*v01_OutScribe*INDEX(LM_Scribe,G2293)+INDEX(v01_ScholarShare,G2293)*v01_OutScholar*INDEX(LM_Scholar,G2293)+INDEX(v01_ResearcherShare,G2293)*v01_OutResearcher*INDEX(LM_Researcher,G2293)))</x:f>
        <x:v>0</x:v>
      </x:c>
      <x:c r="AL2293" s="32" t="n">
        <x:f>H2293*v01_RoleScale*Arch_Roles*AE2293*INDEX(v01_MonasteryPerSett,G2293)*v01_OutMonastery*INDEX(LM_Monastery,G2293)</x:f>
        <x:v>0</x:v>
      </x:c>
      <x:c r="AM2293" s="32" t="n">
        <x:f>(AJ2293+AK2293+AL2293)/4*INDEX(LM_All,G2293)*INDEX(v01_Boon,G2293)*Arch_Insight</x:f>
        <x:v>0</x:v>
      </x:c>
      <x:c r="AN2293" s="32" t="n">
        <x:f>H2293*(v01_KHPerAdult*Z2293+v01_KHOfCommons*AJ2293/4*INDEX(LM_All,G2293))*v01_KHUsable*Arch_KH</x:f>
        <x:v>0</x:v>
      </x:c>
      <x:c r="AO2293" s="32" t="n">
        <x:f>MIN(AP2292+AN2293,AM2293*v01_KHMaxRatio)</x:f>
        <x:v>0</x:v>
      </x:c>
      <x:c r="AP2293" s="32" t="n">
        <x:f>AP2292+AN2293-AO2293</x:f>
        <x:v>0</x:v>
      </x:c>
      <x:c r="AQ2293" s="32" t="n">
        <x:f>AM2293+AO2293</x:f>
        <x:v>0</x:v>
      </x:c>
      <x:c r="AR2293" s="10" t="n">
        <x:f>IF(H2293=1,INDEX(v01_Req,G2293),0)</x:f>
        <x:v>0</x:v>
      </x:c>
      <x:c r="AS2293" s="32" t="n">
        <x:f>IF(H2293=1,IF(E2293=1,AS2292-AR2292,AS2292)+AQ2293,0)</x:f>
        <x:v>0</x:v>
      </x:c>
      <x:c r="AT2293" s="11" t="n">
        <x:f>IF(AR2293&gt;0,MIN(1,AS2293/AR2293),1)</x:f>
        <x:v>1</x:v>
      </x:c>
      <x:c r="AU2293" s="10" t="n">
        <x:f>AB2293/INDEX(v01_RepScale,G2293)</x:f>
        <x:v>90.09519605746344</x:v>
      </x:c>
      <x:c r="AV2293" s="32" t="n">
        <x:f>AM2293*60/v01_SeasonSeconds</x:f>
        <x:v>0</x:v>
      </x:c>
    </x:row>
    <x:row r="2294">
      <x:c r="A2294" s="8" t="n">
        <x:f>A2293+1</x:f>
        <x:v>2291</x:v>
      </x:c>
      <x:c r="B2294" s="9" t="n">
        <x:f>A2294*v01_SeasonSeconds/60</x:f>
        <x:v>572.75</x:v>
      </x:c>
      <x:c r="C2294" s="9" t="n">
        <x:f>A2294/4</x:f>
        <x:v>572.75</x:v>
      </x:c>
      <x:c r="D2294" s="8" t="n">
        <x:f>IF(MOD(A2294,4)=0,1,0)</x:f>
        <x:v>0</x:v>
      </x:c>
      <x:c r="E2294" s="8" t="n">
        <x:f>IF(AND(F2293&lt;=9,AS2293&gt;=AR2293),1,0)</x:f>
        <x:v>0</x:v>
      </x:c>
      <x:c r="F2294" s="8" t="n">
        <x:f>MIN(10,F2293+E2294)</x:f>
        <x:v>10</x:v>
      </x:c>
      <x:c r="G2294" s="8" t="n">
        <x:f>MIN(F2294,9)+1</x:f>
        <x:v>10</x:v>
      </x:c>
      <x:c r="H2294" s="8" t="n">
        <x:f>IF(F2294&lt;=9,1,0)</x:f>
        <x:v>0</x:v>
      </x:c>
      <x:c r="I2294" s="9" t="n">
        <x:f>MIN(10,F2293+IF(AR2293&gt;0,MIN(1,AS2293/AR2293),1))</x:f>
        <x:v>10</x:v>
      </x:c>
      <x:c r="J2294" s="32" t="n">
        <x:f>INDEX(v01_FoodCap,G2294)*Arch_FoodCap*EXP(v01_CapsByProject*SUMPRODUCT((Cap_Point&lt;=I2294)*(Cap_Kind="Food")*Cap_Ln))</x:f>
        <x:v>12000</x:v>
      </x:c>
      <x:c r="K2294" s="32" t="n">
        <x:f>J2294*MIN(1,v01_LeanBase*EXP(v01_CapsByProject*SUMPRODUCT((Cap_Point&lt;=I2294)*(Cap_Kind="Lean")*Cap_Ln)))</x:f>
        <x:v>12000</x:v>
      </x:c>
      <x:c r="L2294" s="10" t="n">
        <x:f>INDEX(v01_HousingCap,G2294)*EXP(v01_CapsByProject*SUMPRODUCT((Cap_Point&lt;=I2294)*(Cap_Kind="Housing")*Cap_Ln))</x:f>
        <x:v>20000</x:v>
      </x:c>
      <x:c r="M2294" s="10" t="n">
        <x:f>INDEX(v01_GroupCap,G2294)*v01_CohesionFactor*EXP(v01_CapsByProject*SUMPRODUCT((Cap_Point&lt;=I2294)*(Cap_Kind="Group")*Cap_Ln))</x:f>
        <x:v>1000000</x:v>
      </x:c>
      <x:c r="N2294" s="32" t="n">
        <x:f>MIN(J2294,L2294,M2294)</x:f>
        <x:v>12000</x:v>
      </x:c>
      <x:c r="O2294" s="10" t="n">
        <x:f>AE2293*N2294</x:f>
        <x:v>180000</x:v>
      </x:c>
      <x:c r="P2294" s="9" t="n">
        <x:f>MIN(1,(AB2293/(AE2293*IF(v01_GroupInCrowding=1,N2294,MIN(J2294,L2294))))^v01_CrowdingExp)</x:f>
        <x:v>0.00024569414295285325</x:v>
      </x:c>
      <x:c r="Q2294" s="9" t="n">
        <x:f>IF(D2294=1,INDEX(v01_WinterMult,G2294),1)</x:f>
        <x:v>1</x:v>
      </x:c>
      <x:c r="R2294" s="9" t="n">
        <x:f>H2294*Z2293*v01_WomenShare*v01_BaseFertility*INDEX(v01_FertMult,G2294)*Arch_Fertility*(1-P2294)</x:f>
        <x:v>0</x:v>
      </x:c>
      <x:c r="S2294" s="9" t="n">
        <x:f>H2294*Y2293*INDEX(v01_MortChild,G2294)/4*Q2294</x:f>
        <x:v>0</x:v>
      </x:c>
      <x:c r="T2294" s="9" t="n">
        <x:f>H2294*Z2293*INDEX(v01_MortAdult,G2294)*Arch_AdultMort/4*Q2294</x:f>
        <x:v>0</x:v>
      </x:c>
      <x:c r="U2294" s="9" t="n">
        <x:f>H2294*AA2293*INDEX(v01_MortElder,G2294)/4*Q2294</x:f>
        <x:v>0</x:v>
      </x:c>
      <x:c r="V2294" s="9" t="n">
        <x:f>H2294*MAX(0,AB2293-O2294)*v01_OvercapLoss</x:f>
        <x:v>0</x:v>
      </x:c>
      <x:c r="W2294" s="9" t="n">
        <x:f>H2294*Y2293/(v01_ChildYears*4)</x:f>
        <x:v>0</x:v>
      </x:c>
      <x:c r="X2294" s="9" t="n">
        <x:f>H2294*Z2293/(v01_AdultYears*4)</x:f>
        <x:v>0</x:v>
      </x:c>
      <x:c r="Y2294" s="32" t="n">
        <x:f>Y2293+R2294-S2294-W2294-Y2293*V2294/AB2293</x:f>
        <x:v>14306.18539759397</x:v>
      </x:c>
      <x:c r="Z2294" s="32" t="n">
        <x:f>Z2293+W2294-X2294-T2294-Z2293*V2294/AB2293</x:f>
        <x:v>19354.456567879548</x:v>
      </x:c>
      <x:c r="AA2294" s="32" t="n">
        <x:f>AA2293+X2294-U2294-AA2293*V2294/AB2293</x:f>
        <x:v>11386.956063258198</x:v>
      </x:c>
      <x:c r="AB2294" s="10" t="n">
        <x:f>Y2294+Z2294+AA2294</x:f>
        <x:v>45047.59802873172</x:v>
      </x:c>
      <x:c r="AC2294" s="8" t="n">
        <x:f>IF(AND(v01_WinterTrigger=1,D2294=1,AB2293/AE2293&gt;=K2294),1,0)</x:f>
        <x:v>0</x:v>
      </x:c>
      <x:c r="AD2294" s="8" t="n">
        <x:f>H2294*IF(AND(OR(AB2293/AE2293&gt;=v01_FissionTrigger*N2294,AC2294=1),AB2293/AE2293*v01_DaughterShare&gt;=v01_MinDaughter),MAX(1,ROUND(AE2293*v01_FissionRate,0)),0)</x:f>
        <x:v>0</x:v>
      </x:c>
      <x:c r="AE2294" s="8" t="n">
        <x:f>IF(H2294=1,MAX(1,MIN(INDEX(v01_Smax,G2294),AE2293+AD2294)),AE2293)</x:f>
        <x:v>15</x:v>
      </x:c>
      <x:c r="AF2294" s="8" t="n">
        <x:f>MAX(0,AE2294-AE2293)</x:f>
        <x:v>0</x:v>
      </x:c>
      <x:c r="AG2294" s="9" t="str">
        <x:f>IF(AF2294&gt;0,B2294,"")</x:f>
      </x:c>
      <x:c r="AH2294" s="9" t="n">
        <x:f>IF(F2294&gt;=1,1,(1+v01_LowTiesShare*(AE2294-1))/AE2294)</x:f>
        <x:v>1</x:v>
      </x:c>
      <x:c r="AI2294" s="32" t="n">
        <x:f>(Z2294+v01_ElderCommons*INDEX(LM_Elder,G2294)*AA2294)*AH2294</x:f>
        <x:v>64139.732591141874</x:v>
      </x:c>
      <x:c r="AJ2294" s="32" t="n">
        <x:f>H2294*v01_CommonsCoef*AI2294^v01_CommonsExp*INDEX(LM_Commons,G2294)</x:f>
        <x:v>0</x:v>
      </x:c>
      <x:c r="AK2294" s="32" t="n">
        <x:f>H2294*v01_RoleScale*Arch_Roles*(AE2294*(INDEX(v01_ElderRolePerSett,G2294)*v01_OutElder*INDEX(LM_Elder,G2294)+INDEX(v01_ShamanPerSett,G2294)*v01_OutShaman)+Z2294*(INDEX(v01_PriestShare,G2294)*v01_OutPriest+INDEX(v01_ScribeShare,G2294)*v01_OutScribe*INDEX(LM_Scribe,G2294)+INDEX(v01_ScholarShare,G2294)*v01_OutScholar*INDEX(LM_Scholar,G2294)+INDEX(v01_ResearcherShare,G2294)*v01_OutResearcher*INDEX(LM_Researcher,G2294)))</x:f>
        <x:v>0</x:v>
      </x:c>
      <x:c r="AL2294" s="32" t="n">
        <x:f>H2294*v01_RoleScale*Arch_Roles*AE2294*INDEX(v01_MonasteryPerSett,G2294)*v01_OutMonastery*INDEX(LM_Monastery,G2294)</x:f>
        <x:v>0</x:v>
      </x:c>
      <x:c r="AM2294" s="32" t="n">
        <x:f>(AJ2294+AK2294+AL2294)/4*INDEX(LM_All,G2294)*INDEX(v01_Boon,G2294)*Arch_Insight</x:f>
        <x:v>0</x:v>
      </x:c>
      <x:c r="AN2294" s="32" t="n">
        <x:f>H2294*(v01_KHPerAdult*Z2294+v01_KHOfCommons*AJ2294/4*INDEX(LM_All,G2294))*v01_KHUsable*Arch_KH</x:f>
        <x:v>0</x:v>
      </x:c>
      <x:c r="AO2294" s="32" t="n">
        <x:f>MIN(AP2293+AN2294,AM2294*v01_KHMaxRatio)</x:f>
        <x:v>0</x:v>
      </x:c>
      <x:c r="AP2294" s="32" t="n">
        <x:f>AP2293+AN2294-AO2294</x:f>
        <x:v>0</x:v>
      </x:c>
      <x:c r="AQ2294" s="32" t="n">
        <x:f>AM2294+AO2294</x:f>
        <x:v>0</x:v>
      </x:c>
      <x:c r="AR2294" s="10" t="n">
        <x:f>IF(H2294=1,INDEX(v01_Req,G2294),0)</x:f>
        <x:v>0</x:v>
      </x:c>
      <x:c r="AS2294" s="32" t="n">
        <x:f>IF(H2294=1,IF(E2294=1,AS2293-AR2293,AS2293)+AQ2294,0)</x:f>
        <x:v>0</x:v>
      </x:c>
      <x:c r="AT2294" s="11" t="n">
        <x:f>IF(AR2294&gt;0,MIN(1,AS2294/AR2294),1)</x:f>
        <x:v>1</x:v>
      </x:c>
      <x:c r="AU2294" s="10" t="n">
        <x:f>AB2294/INDEX(v01_RepScale,G2294)</x:f>
        <x:v>90.09519605746344</x:v>
      </x:c>
      <x:c r="AV2294" s="32" t="n">
        <x:f>AM2294*60/v01_SeasonSeconds</x:f>
        <x:v>0</x:v>
      </x:c>
    </x:row>
    <x:row r="2295">
      <x:c r="A2295" s="8" t="n">
        <x:f>A2294+1</x:f>
        <x:v>2292</x:v>
      </x:c>
      <x:c r="B2295" s="9" t="n">
        <x:f>A2295*v01_SeasonSeconds/60</x:f>
        <x:v>573</x:v>
      </x:c>
      <x:c r="C2295" s="9" t="n">
        <x:f>A2295/4</x:f>
        <x:v>573</x:v>
      </x:c>
      <x:c r="D2295" s="8" t="n">
        <x:f>IF(MOD(A2295,4)=0,1,0)</x:f>
        <x:v>1</x:v>
      </x:c>
      <x:c r="E2295" s="8" t="n">
        <x:f>IF(AND(F2294&lt;=9,AS2294&gt;=AR2294),1,0)</x:f>
        <x:v>0</x:v>
      </x:c>
      <x:c r="F2295" s="8" t="n">
        <x:f>MIN(10,F2294+E2295)</x:f>
        <x:v>10</x:v>
      </x:c>
      <x:c r="G2295" s="8" t="n">
        <x:f>MIN(F2295,9)+1</x:f>
        <x:v>10</x:v>
      </x:c>
      <x:c r="H2295" s="8" t="n">
        <x:f>IF(F2295&lt;=9,1,0)</x:f>
        <x:v>0</x:v>
      </x:c>
      <x:c r="I2295" s="9" t="n">
        <x:f>MIN(10,F2294+IF(AR2294&gt;0,MIN(1,AS2294/AR2294),1))</x:f>
        <x:v>10</x:v>
      </x:c>
      <x:c r="J2295" s="32" t="n">
        <x:f>INDEX(v01_FoodCap,G2295)*Arch_FoodCap*EXP(v01_CapsByProject*SUMPRODUCT((Cap_Point&lt;=I2295)*(Cap_Kind="Food")*Cap_Ln))</x:f>
        <x:v>12000</x:v>
      </x:c>
      <x:c r="K2295" s="32" t="n">
        <x:f>J2295*MIN(1,v01_LeanBase*EXP(v01_CapsByProject*SUMPRODUCT((Cap_Point&lt;=I2295)*(Cap_Kind="Lean")*Cap_Ln)))</x:f>
        <x:v>12000</x:v>
      </x:c>
      <x:c r="L2295" s="10" t="n">
        <x:f>INDEX(v01_HousingCap,G2295)*EXP(v01_CapsByProject*SUMPRODUCT((Cap_Point&lt;=I2295)*(Cap_Kind="Housing")*Cap_Ln))</x:f>
        <x:v>20000</x:v>
      </x:c>
      <x:c r="M2295" s="10" t="n">
        <x:f>INDEX(v01_GroupCap,G2295)*v01_CohesionFactor*EXP(v01_CapsByProject*SUMPRODUCT((Cap_Point&lt;=I2295)*(Cap_Kind="Group")*Cap_Ln))</x:f>
        <x:v>1000000</x:v>
      </x:c>
      <x:c r="N2295" s="32" t="n">
        <x:f>MIN(J2295,L2295,M2295)</x:f>
        <x:v>12000</x:v>
      </x:c>
      <x:c r="O2295" s="10" t="n">
        <x:f>AE2294*N2295</x:f>
        <x:v>180000</x:v>
      </x:c>
      <x:c r="P2295" s="9" t="n">
        <x:f>MIN(1,(AB2294/(AE2294*IF(v01_GroupInCrowding=1,N2295,MIN(J2295,L2295))))^v01_CrowdingExp)</x:f>
        <x:v>0.00024569414295285325</x:v>
      </x:c>
      <x:c r="Q2295" s="9" t="n">
        <x:f>IF(D2295=1,INDEX(v01_WinterMult,G2295),1)</x:f>
        <x:v>1</x:v>
      </x:c>
      <x:c r="R2295" s="9" t="n">
        <x:f>H2295*Z2294*v01_WomenShare*v01_BaseFertility*INDEX(v01_FertMult,G2295)*Arch_Fertility*(1-P2295)</x:f>
        <x:v>0</x:v>
      </x:c>
      <x:c r="S2295" s="9" t="n">
        <x:f>H2295*Y2294*INDEX(v01_MortChild,G2295)/4*Q2295</x:f>
        <x:v>0</x:v>
      </x:c>
      <x:c r="T2295" s="9" t="n">
        <x:f>H2295*Z2294*INDEX(v01_MortAdult,G2295)*Arch_AdultMort/4*Q2295</x:f>
        <x:v>0</x:v>
      </x:c>
      <x:c r="U2295" s="9" t="n">
        <x:f>H2295*AA2294*INDEX(v01_MortElder,G2295)/4*Q2295</x:f>
        <x:v>0</x:v>
      </x:c>
      <x:c r="V2295" s="9" t="n">
        <x:f>H2295*MAX(0,AB2294-O2295)*v01_OvercapLoss</x:f>
        <x:v>0</x:v>
      </x:c>
      <x:c r="W2295" s="9" t="n">
        <x:f>H2295*Y2294/(v01_ChildYears*4)</x:f>
        <x:v>0</x:v>
      </x:c>
      <x:c r="X2295" s="9" t="n">
        <x:f>H2295*Z2294/(v01_AdultYears*4)</x:f>
        <x:v>0</x:v>
      </x:c>
      <x:c r="Y2295" s="32" t="n">
        <x:f>Y2294+R2295-S2295-W2295-Y2294*V2295/AB2294</x:f>
        <x:v>14306.18539759397</x:v>
      </x:c>
      <x:c r="Z2295" s="32" t="n">
        <x:f>Z2294+W2295-X2295-T2295-Z2294*V2295/AB2294</x:f>
        <x:v>19354.456567879548</x:v>
      </x:c>
      <x:c r="AA2295" s="32" t="n">
        <x:f>AA2294+X2295-U2295-AA2294*V2295/AB2294</x:f>
        <x:v>11386.956063258198</x:v>
      </x:c>
      <x:c r="AB2295" s="10" t="n">
        <x:f>Y2295+Z2295+AA2295</x:f>
        <x:v>45047.59802873172</x:v>
      </x:c>
      <x:c r="AC2295" s="8" t="n">
        <x:f>IF(AND(v01_WinterTrigger=1,D2295=1,AB2294/AE2294&gt;=K2295),1,0)</x:f>
        <x:v>0</x:v>
      </x:c>
      <x:c r="AD2295" s="8" t="n">
        <x:f>H2295*IF(AND(OR(AB2294/AE2294&gt;=v01_FissionTrigger*N2295,AC2295=1),AB2294/AE2294*v01_DaughterShare&gt;=v01_MinDaughter),MAX(1,ROUND(AE2294*v01_FissionRate,0)),0)</x:f>
        <x:v>0</x:v>
      </x:c>
      <x:c r="AE2295" s="8" t="n">
        <x:f>IF(H2295=1,MAX(1,MIN(INDEX(v01_Smax,G2295),AE2294+AD2295)),AE2294)</x:f>
        <x:v>15</x:v>
      </x:c>
      <x:c r="AF2295" s="8" t="n">
        <x:f>MAX(0,AE2295-AE2294)</x:f>
        <x:v>0</x:v>
      </x:c>
      <x:c r="AG2295" s="9" t="str">
        <x:f>IF(AF2295&gt;0,B2295,"")</x:f>
      </x:c>
      <x:c r="AH2295" s="9" t="n">
        <x:f>IF(F2295&gt;=1,1,(1+v01_LowTiesShare*(AE2295-1))/AE2295)</x:f>
        <x:v>1</x:v>
      </x:c>
      <x:c r="AI2295" s="32" t="n">
        <x:f>(Z2295+v01_ElderCommons*INDEX(LM_Elder,G2295)*AA2295)*AH2295</x:f>
        <x:v>64139.732591141874</x:v>
      </x:c>
      <x:c r="AJ2295" s="32" t="n">
        <x:f>H2295*v01_CommonsCoef*AI2295^v01_CommonsExp*INDEX(LM_Commons,G2295)</x:f>
        <x:v>0</x:v>
      </x:c>
      <x:c r="AK2295" s="32" t="n">
        <x:f>H2295*v01_RoleScale*Arch_Roles*(AE2295*(INDEX(v01_ElderRolePerSett,G2295)*v01_OutElder*INDEX(LM_Elder,G2295)+INDEX(v01_ShamanPerSett,G2295)*v01_OutShaman)+Z2295*(INDEX(v01_PriestShare,G2295)*v01_OutPriest+INDEX(v01_ScribeShare,G2295)*v01_OutScribe*INDEX(LM_Scribe,G2295)+INDEX(v01_ScholarShare,G2295)*v01_OutScholar*INDEX(LM_Scholar,G2295)+INDEX(v01_ResearcherShare,G2295)*v01_OutResearcher*INDEX(LM_Researcher,G2295)))</x:f>
        <x:v>0</x:v>
      </x:c>
      <x:c r="AL2295" s="32" t="n">
        <x:f>H2295*v01_RoleScale*Arch_Roles*AE2295*INDEX(v01_MonasteryPerSett,G2295)*v01_OutMonastery*INDEX(LM_Monastery,G2295)</x:f>
        <x:v>0</x:v>
      </x:c>
      <x:c r="AM2295" s="32" t="n">
        <x:f>(AJ2295+AK2295+AL2295)/4*INDEX(LM_All,G2295)*INDEX(v01_Boon,G2295)*Arch_Insight</x:f>
        <x:v>0</x:v>
      </x:c>
      <x:c r="AN2295" s="32" t="n">
        <x:f>H2295*(v01_KHPerAdult*Z2295+v01_KHOfCommons*AJ2295/4*INDEX(LM_All,G2295))*v01_KHUsable*Arch_KH</x:f>
        <x:v>0</x:v>
      </x:c>
      <x:c r="AO2295" s="32" t="n">
        <x:f>MIN(AP2294+AN2295,AM2295*v01_KHMaxRatio)</x:f>
        <x:v>0</x:v>
      </x:c>
      <x:c r="AP2295" s="32" t="n">
        <x:f>AP2294+AN2295-AO2295</x:f>
        <x:v>0</x:v>
      </x:c>
      <x:c r="AQ2295" s="32" t="n">
        <x:f>AM2295+AO2295</x:f>
        <x:v>0</x:v>
      </x:c>
      <x:c r="AR2295" s="10" t="n">
        <x:f>IF(H2295=1,INDEX(v01_Req,G2295),0)</x:f>
        <x:v>0</x:v>
      </x:c>
      <x:c r="AS2295" s="32" t="n">
        <x:f>IF(H2295=1,IF(E2295=1,AS2294-AR2294,AS2294)+AQ2295,0)</x:f>
        <x:v>0</x:v>
      </x:c>
      <x:c r="AT2295" s="11" t="n">
        <x:f>IF(AR2295&gt;0,MIN(1,AS2295/AR2295),1)</x:f>
        <x:v>1</x:v>
      </x:c>
      <x:c r="AU2295" s="10" t="n">
        <x:f>AB2295/INDEX(v01_RepScale,G2295)</x:f>
        <x:v>90.09519605746344</x:v>
      </x:c>
      <x:c r="AV2295" s="32" t="n">
        <x:f>AM2295*60/v01_SeasonSeconds</x:f>
        <x:v>0</x:v>
      </x:c>
    </x:row>
    <x:row r="2296">
      <x:c r="A2296" s="8" t="n">
        <x:f>A2295+1</x:f>
        <x:v>2293</x:v>
      </x:c>
      <x:c r="B2296" s="9" t="n">
        <x:f>A2296*v01_SeasonSeconds/60</x:f>
        <x:v>573.25</x:v>
      </x:c>
      <x:c r="C2296" s="9" t="n">
        <x:f>A2296/4</x:f>
        <x:v>573.25</x:v>
      </x:c>
      <x:c r="D2296" s="8" t="n">
        <x:f>IF(MOD(A2296,4)=0,1,0)</x:f>
        <x:v>0</x:v>
      </x:c>
      <x:c r="E2296" s="8" t="n">
        <x:f>IF(AND(F2295&lt;=9,AS2295&gt;=AR2295),1,0)</x:f>
        <x:v>0</x:v>
      </x:c>
      <x:c r="F2296" s="8" t="n">
        <x:f>MIN(10,F2295+E2296)</x:f>
        <x:v>10</x:v>
      </x:c>
      <x:c r="G2296" s="8" t="n">
        <x:f>MIN(F2296,9)+1</x:f>
        <x:v>10</x:v>
      </x:c>
      <x:c r="H2296" s="8" t="n">
        <x:f>IF(F2296&lt;=9,1,0)</x:f>
        <x:v>0</x:v>
      </x:c>
      <x:c r="I2296" s="9" t="n">
        <x:f>MIN(10,F2295+IF(AR2295&gt;0,MIN(1,AS2295/AR2295),1))</x:f>
        <x:v>10</x:v>
      </x:c>
      <x:c r="J2296" s="32" t="n">
        <x:f>INDEX(v01_FoodCap,G2296)*Arch_FoodCap*EXP(v01_CapsByProject*SUMPRODUCT((Cap_Point&lt;=I2296)*(Cap_Kind="Food")*Cap_Ln))</x:f>
        <x:v>12000</x:v>
      </x:c>
      <x:c r="K2296" s="32" t="n">
        <x:f>J2296*MIN(1,v01_LeanBase*EXP(v01_CapsByProject*SUMPRODUCT((Cap_Point&lt;=I2296)*(Cap_Kind="Lean")*Cap_Ln)))</x:f>
        <x:v>12000</x:v>
      </x:c>
      <x:c r="L2296" s="10" t="n">
        <x:f>INDEX(v01_HousingCap,G2296)*EXP(v01_CapsByProject*SUMPRODUCT((Cap_Point&lt;=I2296)*(Cap_Kind="Housing")*Cap_Ln))</x:f>
        <x:v>20000</x:v>
      </x:c>
      <x:c r="M2296" s="10" t="n">
        <x:f>INDEX(v01_GroupCap,G2296)*v01_CohesionFactor*EXP(v01_CapsByProject*SUMPRODUCT((Cap_Point&lt;=I2296)*(Cap_Kind="Group")*Cap_Ln))</x:f>
        <x:v>1000000</x:v>
      </x:c>
      <x:c r="N2296" s="32" t="n">
        <x:f>MIN(J2296,L2296,M2296)</x:f>
        <x:v>12000</x:v>
      </x:c>
      <x:c r="O2296" s="10" t="n">
        <x:f>AE2295*N2296</x:f>
        <x:v>180000</x:v>
      </x:c>
      <x:c r="P2296" s="9" t="n">
        <x:f>MIN(1,(AB2295/(AE2295*IF(v01_GroupInCrowding=1,N2296,MIN(J2296,L2296))))^v01_CrowdingExp)</x:f>
        <x:v>0.00024569414295285325</x:v>
      </x:c>
      <x:c r="Q2296" s="9" t="n">
        <x:f>IF(D2296=1,INDEX(v01_WinterMult,G2296),1)</x:f>
        <x:v>1</x:v>
      </x:c>
      <x:c r="R2296" s="9" t="n">
        <x:f>H2296*Z2295*v01_WomenShare*v01_BaseFertility*INDEX(v01_FertMult,G2296)*Arch_Fertility*(1-P2296)</x:f>
        <x:v>0</x:v>
      </x:c>
      <x:c r="S2296" s="9" t="n">
        <x:f>H2296*Y2295*INDEX(v01_MortChild,G2296)/4*Q2296</x:f>
        <x:v>0</x:v>
      </x:c>
      <x:c r="T2296" s="9" t="n">
        <x:f>H2296*Z2295*INDEX(v01_MortAdult,G2296)*Arch_AdultMort/4*Q2296</x:f>
        <x:v>0</x:v>
      </x:c>
      <x:c r="U2296" s="9" t="n">
        <x:f>H2296*AA2295*INDEX(v01_MortElder,G2296)/4*Q2296</x:f>
        <x:v>0</x:v>
      </x:c>
      <x:c r="V2296" s="9" t="n">
        <x:f>H2296*MAX(0,AB2295-O2296)*v01_OvercapLoss</x:f>
        <x:v>0</x:v>
      </x:c>
      <x:c r="W2296" s="9" t="n">
        <x:f>H2296*Y2295/(v01_ChildYears*4)</x:f>
        <x:v>0</x:v>
      </x:c>
      <x:c r="X2296" s="9" t="n">
        <x:f>H2296*Z2295/(v01_AdultYears*4)</x:f>
        <x:v>0</x:v>
      </x:c>
      <x:c r="Y2296" s="32" t="n">
        <x:f>Y2295+R2296-S2296-W2296-Y2295*V2296/AB2295</x:f>
        <x:v>14306.18539759397</x:v>
      </x:c>
      <x:c r="Z2296" s="32" t="n">
        <x:f>Z2295+W2296-X2296-T2296-Z2295*V2296/AB2295</x:f>
        <x:v>19354.456567879548</x:v>
      </x:c>
      <x:c r="AA2296" s="32" t="n">
        <x:f>AA2295+X2296-U2296-AA2295*V2296/AB2295</x:f>
        <x:v>11386.956063258198</x:v>
      </x:c>
      <x:c r="AB2296" s="10" t="n">
        <x:f>Y2296+Z2296+AA2296</x:f>
        <x:v>45047.59802873172</x:v>
      </x:c>
      <x:c r="AC2296" s="8" t="n">
        <x:f>IF(AND(v01_WinterTrigger=1,D2296=1,AB2295/AE2295&gt;=K2296),1,0)</x:f>
        <x:v>0</x:v>
      </x:c>
      <x:c r="AD2296" s="8" t="n">
        <x:f>H2296*IF(AND(OR(AB2295/AE2295&gt;=v01_FissionTrigger*N2296,AC2296=1),AB2295/AE2295*v01_DaughterShare&gt;=v01_MinDaughter),MAX(1,ROUND(AE2295*v01_FissionRate,0)),0)</x:f>
        <x:v>0</x:v>
      </x:c>
      <x:c r="AE2296" s="8" t="n">
        <x:f>IF(H2296=1,MAX(1,MIN(INDEX(v01_Smax,G2296),AE2295+AD2296)),AE2295)</x:f>
        <x:v>15</x:v>
      </x:c>
      <x:c r="AF2296" s="8" t="n">
        <x:f>MAX(0,AE2296-AE2295)</x:f>
        <x:v>0</x:v>
      </x:c>
      <x:c r="AG2296" s="9" t="str">
        <x:f>IF(AF2296&gt;0,B2296,"")</x:f>
      </x:c>
      <x:c r="AH2296" s="9" t="n">
        <x:f>IF(F2296&gt;=1,1,(1+v01_LowTiesShare*(AE2296-1))/AE2296)</x:f>
        <x:v>1</x:v>
      </x:c>
      <x:c r="AI2296" s="32" t="n">
        <x:f>(Z2296+v01_ElderCommons*INDEX(LM_Elder,G2296)*AA2296)*AH2296</x:f>
        <x:v>64139.732591141874</x:v>
      </x:c>
      <x:c r="AJ2296" s="32" t="n">
        <x:f>H2296*v01_CommonsCoef*AI2296^v01_CommonsExp*INDEX(LM_Commons,G2296)</x:f>
        <x:v>0</x:v>
      </x:c>
      <x:c r="AK2296" s="32" t="n">
        <x:f>H2296*v01_RoleScale*Arch_Roles*(AE2296*(INDEX(v01_ElderRolePerSett,G2296)*v01_OutElder*INDEX(LM_Elder,G2296)+INDEX(v01_ShamanPerSett,G2296)*v01_OutShaman)+Z2296*(INDEX(v01_PriestShare,G2296)*v01_OutPriest+INDEX(v01_ScribeShare,G2296)*v01_OutScribe*INDEX(LM_Scribe,G2296)+INDEX(v01_ScholarShare,G2296)*v01_OutScholar*INDEX(LM_Scholar,G2296)+INDEX(v01_ResearcherShare,G2296)*v01_OutResearcher*INDEX(LM_Researcher,G2296)))</x:f>
        <x:v>0</x:v>
      </x:c>
      <x:c r="AL2296" s="32" t="n">
        <x:f>H2296*v01_RoleScale*Arch_Roles*AE2296*INDEX(v01_MonasteryPerSett,G2296)*v01_OutMonastery*INDEX(LM_Monastery,G2296)</x:f>
        <x:v>0</x:v>
      </x:c>
      <x:c r="AM2296" s="32" t="n">
        <x:f>(AJ2296+AK2296+AL2296)/4*INDEX(LM_All,G2296)*INDEX(v01_Boon,G2296)*Arch_Insight</x:f>
        <x:v>0</x:v>
      </x:c>
      <x:c r="AN2296" s="32" t="n">
        <x:f>H2296*(v01_KHPerAdult*Z2296+v01_KHOfCommons*AJ2296/4*INDEX(LM_All,G2296))*v01_KHUsable*Arch_KH</x:f>
        <x:v>0</x:v>
      </x:c>
      <x:c r="AO2296" s="32" t="n">
        <x:f>MIN(AP2295+AN2296,AM2296*v01_KHMaxRatio)</x:f>
        <x:v>0</x:v>
      </x:c>
      <x:c r="AP2296" s="32" t="n">
        <x:f>AP2295+AN2296-AO2296</x:f>
        <x:v>0</x:v>
      </x:c>
      <x:c r="AQ2296" s="32" t="n">
        <x:f>AM2296+AO2296</x:f>
        <x:v>0</x:v>
      </x:c>
      <x:c r="AR2296" s="10" t="n">
        <x:f>IF(H2296=1,INDEX(v01_Req,G2296),0)</x:f>
        <x:v>0</x:v>
      </x:c>
      <x:c r="AS2296" s="32" t="n">
        <x:f>IF(H2296=1,IF(E2296=1,AS2295-AR2295,AS2295)+AQ2296,0)</x:f>
        <x:v>0</x:v>
      </x:c>
      <x:c r="AT2296" s="11" t="n">
        <x:f>IF(AR2296&gt;0,MIN(1,AS2296/AR2296),1)</x:f>
        <x:v>1</x:v>
      </x:c>
      <x:c r="AU2296" s="10" t="n">
        <x:f>AB2296/INDEX(v01_RepScale,G2296)</x:f>
        <x:v>90.09519605746344</x:v>
      </x:c>
      <x:c r="AV2296" s="32" t="n">
        <x:f>AM2296*60/v01_SeasonSeconds</x:f>
        <x:v>0</x:v>
      </x:c>
    </x:row>
    <x:row r="2297">
      <x:c r="A2297" s="8" t="n">
        <x:f>A2296+1</x:f>
        <x:v>2294</x:v>
      </x:c>
      <x:c r="B2297" s="9" t="n">
        <x:f>A2297*v01_SeasonSeconds/60</x:f>
        <x:v>573.5</x:v>
      </x:c>
      <x:c r="C2297" s="9" t="n">
        <x:f>A2297/4</x:f>
        <x:v>573.5</x:v>
      </x:c>
      <x:c r="D2297" s="8" t="n">
        <x:f>IF(MOD(A2297,4)=0,1,0)</x:f>
        <x:v>0</x:v>
      </x:c>
      <x:c r="E2297" s="8" t="n">
        <x:f>IF(AND(F2296&lt;=9,AS2296&gt;=AR2296),1,0)</x:f>
        <x:v>0</x:v>
      </x:c>
      <x:c r="F2297" s="8" t="n">
        <x:f>MIN(10,F2296+E2297)</x:f>
        <x:v>10</x:v>
      </x:c>
      <x:c r="G2297" s="8" t="n">
        <x:f>MIN(F2297,9)+1</x:f>
        <x:v>10</x:v>
      </x:c>
      <x:c r="H2297" s="8" t="n">
        <x:f>IF(F2297&lt;=9,1,0)</x:f>
        <x:v>0</x:v>
      </x:c>
      <x:c r="I2297" s="9" t="n">
        <x:f>MIN(10,F2296+IF(AR2296&gt;0,MIN(1,AS2296/AR2296),1))</x:f>
        <x:v>10</x:v>
      </x:c>
      <x:c r="J2297" s="32" t="n">
        <x:f>INDEX(v01_FoodCap,G2297)*Arch_FoodCap*EXP(v01_CapsByProject*SUMPRODUCT((Cap_Point&lt;=I2297)*(Cap_Kind="Food")*Cap_Ln))</x:f>
        <x:v>12000</x:v>
      </x:c>
      <x:c r="K2297" s="32" t="n">
        <x:f>J2297*MIN(1,v01_LeanBase*EXP(v01_CapsByProject*SUMPRODUCT((Cap_Point&lt;=I2297)*(Cap_Kind="Lean")*Cap_Ln)))</x:f>
        <x:v>12000</x:v>
      </x:c>
      <x:c r="L2297" s="10" t="n">
        <x:f>INDEX(v01_HousingCap,G2297)*EXP(v01_CapsByProject*SUMPRODUCT((Cap_Point&lt;=I2297)*(Cap_Kind="Housing")*Cap_Ln))</x:f>
        <x:v>20000</x:v>
      </x:c>
      <x:c r="M2297" s="10" t="n">
        <x:f>INDEX(v01_GroupCap,G2297)*v01_CohesionFactor*EXP(v01_CapsByProject*SUMPRODUCT((Cap_Point&lt;=I2297)*(Cap_Kind="Group")*Cap_Ln))</x:f>
        <x:v>1000000</x:v>
      </x:c>
      <x:c r="N2297" s="32" t="n">
        <x:f>MIN(J2297,L2297,M2297)</x:f>
        <x:v>12000</x:v>
      </x:c>
      <x:c r="O2297" s="10" t="n">
        <x:f>AE2296*N2297</x:f>
        <x:v>180000</x:v>
      </x:c>
      <x:c r="P2297" s="9" t="n">
        <x:f>MIN(1,(AB2296/(AE2296*IF(v01_GroupInCrowding=1,N2297,MIN(J2297,L2297))))^v01_CrowdingExp)</x:f>
        <x:v>0.00024569414295285325</x:v>
      </x:c>
      <x:c r="Q2297" s="9" t="n">
        <x:f>IF(D2297=1,INDEX(v01_WinterMult,G2297),1)</x:f>
        <x:v>1</x:v>
      </x:c>
      <x:c r="R2297" s="9" t="n">
        <x:f>H2297*Z2296*v01_WomenShare*v01_BaseFertility*INDEX(v01_FertMult,G2297)*Arch_Fertility*(1-P2297)</x:f>
        <x:v>0</x:v>
      </x:c>
      <x:c r="S2297" s="9" t="n">
        <x:f>H2297*Y2296*INDEX(v01_MortChild,G2297)/4*Q2297</x:f>
        <x:v>0</x:v>
      </x:c>
      <x:c r="T2297" s="9" t="n">
        <x:f>H2297*Z2296*INDEX(v01_MortAdult,G2297)*Arch_AdultMort/4*Q2297</x:f>
        <x:v>0</x:v>
      </x:c>
      <x:c r="U2297" s="9" t="n">
        <x:f>H2297*AA2296*INDEX(v01_MortElder,G2297)/4*Q2297</x:f>
        <x:v>0</x:v>
      </x:c>
      <x:c r="V2297" s="9" t="n">
        <x:f>H2297*MAX(0,AB2296-O2297)*v01_OvercapLoss</x:f>
        <x:v>0</x:v>
      </x:c>
      <x:c r="W2297" s="9" t="n">
        <x:f>H2297*Y2296/(v01_ChildYears*4)</x:f>
        <x:v>0</x:v>
      </x:c>
      <x:c r="X2297" s="9" t="n">
        <x:f>H2297*Z2296/(v01_AdultYears*4)</x:f>
        <x:v>0</x:v>
      </x:c>
      <x:c r="Y2297" s="32" t="n">
        <x:f>Y2296+R2297-S2297-W2297-Y2296*V2297/AB2296</x:f>
        <x:v>14306.18539759397</x:v>
      </x:c>
      <x:c r="Z2297" s="32" t="n">
        <x:f>Z2296+W2297-X2297-T2297-Z2296*V2297/AB2296</x:f>
        <x:v>19354.456567879548</x:v>
      </x:c>
      <x:c r="AA2297" s="32" t="n">
        <x:f>AA2296+X2297-U2297-AA2296*V2297/AB2296</x:f>
        <x:v>11386.956063258198</x:v>
      </x:c>
      <x:c r="AB2297" s="10" t="n">
        <x:f>Y2297+Z2297+AA2297</x:f>
        <x:v>45047.59802873172</x:v>
      </x:c>
      <x:c r="AC2297" s="8" t="n">
        <x:f>IF(AND(v01_WinterTrigger=1,D2297=1,AB2296/AE2296&gt;=K2297),1,0)</x:f>
        <x:v>0</x:v>
      </x:c>
      <x:c r="AD2297" s="8" t="n">
        <x:f>H2297*IF(AND(OR(AB2296/AE2296&gt;=v01_FissionTrigger*N2297,AC2297=1),AB2296/AE2296*v01_DaughterShare&gt;=v01_MinDaughter),MAX(1,ROUND(AE2296*v01_FissionRate,0)),0)</x:f>
        <x:v>0</x:v>
      </x:c>
      <x:c r="AE2297" s="8" t="n">
        <x:f>IF(H2297=1,MAX(1,MIN(INDEX(v01_Smax,G2297),AE2296+AD2297)),AE2296)</x:f>
        <x:v>15</x:v>
      </x:c>
      <x:c r="AF2297" s="8" t="n">
        <x:f>MAX(0,AE2297-AE2296)</x:f>
        <x:v>0</x:v>
      </x:c>
      <x:c r="AG2297" s="9" t="str">
        <x:f>IF(AF2297&gt;0,B2297,"")</x:f>
      </x:c>
      <x:c r="AH2297" s="9" t="n">
        <x:f>IF(F2297&gt;=1,1,(1+v01_LowTiesShare*(AE2297-1))/AE2297)</x:f>
        <x:v>1</x:v>
      </x:c>
      <x:c r="AI2297" s="32" t="n">
        <x:f>(Z2297+v01_ElderCommons*INDEX(LM_Elder,G2297)*AA2297)*AH2297</x:f>
        <x:v>64139.732591141874</x:v>
      </x:c>
      <x:c r="AJ2297" s="32" t="n">
        <x:f>H2297*v01_CommonsCoef*AI2297^v01_CommonsExp*INDEX(LM_Commons,G2297)</x:f>
        <x:v>0</x:v>
      </x:c>
      <x:c r="AK2297" s="32" t="n">
        <x:f>H2297*v01_RoleScale*Arch_Roles*(AE2297*(INDEX(v01_ElderRolePerSett,G2297)*v01_OutElder*INDEX(LM_Elder,G2297)+INDEX(v01_ShamanPerSett,G2297)*v01_OutShaman)+Z2297*(INDEX(v01_PriestShare,G2297)*v01_OutPriest+INDEX(v01_ScribeShare,G2297)*v01_OutScribe*INDEX(LM_Scribe,G2297)+INDEX(v01_ScholarShare,G2297)*v01_OutScholar*INDEX(LM_Scholar,G2297)+INDEX(v01_ResearcherShare,G2297)*v01_OutResearcher*INDEX(LM_Researcher,G2297)))</x:f>
        <x:v>0</x:v>
      </x:c>
      <x:c r="AL2297" s="32" t="n">
        <x:f>H2297*v01_RoleScale*Arch_Roles*AE2297*INDEX(v01_MonasteryPerSett,G2297)*v01_OutMonastery*INDEX(LM_Monastery,G2297)</x:f>
        <x:v>0</x:v>
      </x:c>
      <x:c r="AM2297" s="32" t="n">
        <x:f>(AJ2297+AK2297+AL2297)/4*INDEX(LM_All,G2297)*INDEX(v01_Boon,G2297)*Arch_Insight</x:f>
        <x:v>0</x:v>
      </x:c>
      <x:c r="AN2297" s="32" t="n">
        <x:f>H2297*(v01_KHPerAdult*Z2297+v01_KHOfCommons*AJ2297/4*INDEX(LM_All,G2297))*v01_KHUsable*Arch_KH</x:f>
        <x:v>0</x:v>
      </x:c>
      <x:c r="AO2297" s="32" t="n">
        <x:f>MIN(AP2296+AN2297,AM2297*v01_KHMaxRatio)</x:f>
        <x:v>0</x:v>
      </x:c>
      <x:c r="AP2297" s="32" t="n">
        <x:f>AP2296+AN2297-AO2297</x:f>
        <x:v>0</x:v>
      </x:c>
      <x:c r="AQ2297" s="32" t="n">
        <x:f>AM2297+AO2297</x:f>
        <x:v>0</x:v>
      </x:c>
      <x:c r="AR2297" s="10" t="n">
        <x:f>IF(H2297=1,INDEX(v01_Req,G2297),0)</x:f>
        <x:v>0</x:v>
      </x:c>
      <x:c r="AS2297" s="32" t="n">
        <x:f>IF(H2297=1,IF(E2297=1,AS2296-AR2296,AS2296)+AQ2297,0)</x:f>
        <x:v>0</x:v>
      </x:c>
      <x:c r="AT2297" s="11" t="n">
        <x:f>IF(AR2297&gt;0,MIN(1,AS2297/AR2297),1)</x:f>
        <x:v>1</x:v>
      </x:c>
      <x:c r="AU2297" s="10" t="n">
        <x:f>AB2297/INDEX(v01_RepScale,G2297)</x:f>
        <x:v>90.09519605746344</x:v>
      </x:c>
      <x:c r="AV2297" s="32" t="n">
        <x:f>AM2297*60/v01_SeasonSeconds</x:f>
        <x:v>0</x:v>
      </x:c>
    </x:row>
    <x:row r="2298">
      <x:c r="A2298" s="8" t="n">
        <x:f>A2297+1</x:f>
        <x:v>2295</x:v>
      </x:c>
      <x:c r="B2298" s="9" t="n">
        <x:f>A2298*v01_SeasonSeconds/60</x:f>
        <x:v>573.75</x:v>
      </x:c>
      <x:c r="C2298" s="9" t="n">
        <x:f>A2298/4</x:f>
        <x:v>573.75</x:v>
      </x:c>
      <x:c r="D2298" s="8" t="n">
        <x:f>IF(MOD(A2298,4)=0,1,0)</x:f>
        <x:v>0</x:v>
      </x:c>
      <x:c r="E2298" s="8" t="n">
        <x:f>IF(AND(F2297&lt;=9,AS2297&gt;=AR2297),1,0)</x:f>
        <x:v>0</x:v>
      </x:c>
      <x:c r="F2298" s="8" t="n">
        <x:f>MIN(10,F2297+E2298)</x:f>
        <x:v>10</x:v>
      </x:c>
      <x:c r="G2298" s="8" t="n">
        <x:f>MIN(F2298,9)+1</x:f>
        <x:v>10</x:v>
      </x:c>
      <x:c r="H2298" s="8" t="n">
        <x:f>IF(F2298&lt;=9,1,0)</x:f>
        <x:v>0</x:v>
      </x:c>
      <x:c r="I2298" s="9" t="n">
        <x:f>MIN(10,F2297+IF(AR2297&gt;0,MIN(1,AS2297/AR2297),1))</x:f>
        <x:v>10</x:v>
      </x:c>
      <x:c r="J2298" s="32" t="n">
        <x:f>INDEX(v01_FoodCap,G2298)*Arch_FoodCap*EXP(v01_CapsByProject*SUMPRODUCT((Cap_Point&lt;=I2298)*(Cap_Kind="Food")*Cap_Ln))</x:f>
        <x:v>12000</x:v>
      </x:c>
      <x:c r="K2298" s="32" t="n">
        <x:f>J2298*MIN(1,v01_LeanBase*EXP(v01_CapsByProject*SUMPRODUCT((Cap_Point&lt;=I2298)*(Cap_Kind="Lean")*Cap_Ln)))</x:f>
        <x:v>12000</x:v>
      </x:c>
      <x:c r="L2298" s="10" t="n">
        <x:f>INDEX(v01_HousingCap,G2298)*EXP(v01_CapsByProject*SUMPRODUCT((Cap_Point&lt;=I2298)*(Cap_Kind="Housing")*Cap_Ln))</x:f>
        <x:v>20000</x:v>
      </x:c>
      <x:c r="M2298" s="10" t="n">
        <x:f>INDEX(v01_GroupCap,G2298)*v01_CohesionFactor*EXP(v01_CapsByProject*SUMPRODUCT((Cap_Point&lt;=I2298)*(Cap_Kind="Group")*Cap_Ln))</x:f>
        <x:v>1000000</x:v>
      </x:c>
      <x:c r="N2298" s="32" t="n">
        <x:f>MIN(J2298,L2298,M2298)</x:f>
        <x:v>12000</x:v>
      </x:c>
      <x:c r="O2298" s="10" t="n">
        <x:f>AE2297*N2298</x:f>
        <x:v>180000</x:v>
      </x:c>
      <x:c r="P2298" s="9" t="n">
        <x:f>MIN(1,(AB2297/(AE2297*IF(v01_GroupInCrowding=1,N2298,MIN(J2298,L2298))))^v01_CrowdingExp)</x:f>
        <x:v>0.00024569414295285325</x:v>
      </x:c>
      <x:c r="Q2298" s="9" t="n">
        <x:f>IF(D2298=1,INDEX(v01_WinterMult,G2298),1)</x:f>
        <x:v>1</x:v>
      </x:c>
      <x:c r="R2298" s="9" t="n">
        <x:f>H2298*Z2297*v01_WomenShare*v01_BaseFertility*INDEX(v01_FertMult,G2298)*Arch_Fertility*(1-P2298)</x:f>
        <x:v>0</x:v>
      </x:c>
      <x:c r="S2298" s="9" t="n">
        <x:f>H2298*Y2297*INDEX(v01_MortChild,G2298)/4*Q2298</x:f>
        <x:v>0</x:v>
      </x:c>
      <x:c r="T2298" s="9" t="n">
        <x:f>H2298*Z2297*INDEX(v01_MortAdult,G2298)*Arch_AdultMort/4*Q2298</x:f>
        <x:v>0</x:v>
      </x:c>
      <x:c r="U2298" s="9" t="n">
        <x:f>H2298*AA2297*INDEX(v01_MortElder,G2298)/4*Q2298</x:f>
        <x:v>0</x:v>
      </x:c>
      <x:c r="V2298" s="9" t="n">
        <x:f>H2298*MAX(0,AB2297-O2298)*v01_OvercapLoss</x:f>
        <x:v>0</x:v>
      </x:c>
      <x:c r="W2298" s="9" t="n">
        <x:f>H2298*Y2297/(v01_ChildYears*4)</x:f>
        <x:v>0</x:v>
      </x:c>
      <x:c r="X2298" s="9" t="n">
        <x:f>H2298*Z2297/(v01_AdultYears*4)</x:f>
        <x:v>0</x:v>
      </x:c>
      <x:c r="Y2298" s="32" t="n">
        <x:f>Y2297+R2298-S2298-W2298-Y2297*V2298/AB2297</x:f>
        <x:v>14306.18539759397</x:v>
      </x:c>
      <x:c r="Z2298" s="32" t="n">
        <x:f>Z2297+W2298-X2298-T2298-Z2297*V2298/AB2297</x:f>
        <x:v>19354.456567879548</x:v>
      </x:c>
      <x:c r="AA2298" s="32" t="n">
        <x:f>AA2297+X2298-U2298-AA2297*V2298/AB2297</x:f>
        <x:v>11386.956063258198</x:v>
      </x:c>
      <x:c r="AB2298" s="10" t="n">
        <x:f>Y2298+Z2298+AA2298</x:f>
        <x:v>45047.59802873172</x:v>
      </x:c>
      <x:c r="AC2298" s="8" t="n">
        <x:f>IF(AND(v01_WinterTrigger=1,D2298=1,AB2297/AE2297&gt;=K2298),1,0)</x:f>
        <x:v>0</x:v>
      </x:c>
      <x:c r="AD2298" s="8" t="n">
        <x:f>H2298*IF(AND(OR(AB2297/AE2297&gt;=v01_FissionTrigger*N2298,AC2298=1),AB2297/AE2297*v01_DaughterShare&gt;=v01_MinDaughter),MAX(1,ROUND(AE2297*v01_FissionRate,0)),0)</x:f>
        <x:v>0</x:v>
      </x:c>
      <x:c r="AE2298" s="8" t="n">
        <x:f>IF(H2298=1,MAX(1,MIN(INDEX(v01_Smax,G2298),AE2297+AD2298)),AE2297)</x:f>
        <x:v>15</x:v>
      </x:c>
      <x:c r="AF2298" s="8" t="n">
        <x:f>MAX(0,AE2298-AE2297)</x:f>
        <x:v>0</x:v>
      </x:c>
      <x:c r="AG2298" s="9" t="str">
        <x:f>IF(AF2298&gt;0,B2298,"")</x:f>
      </x:c>
      <x:c r="AH2298" s="9" t="n">
        <x:f>IF(F2298&gt;=1,1,(1+v01_LowTiesShare*(AE2298-1))/AE2298)</x:f>
        <x:v>1</x:v>
      </x:c>
      <x:c r="AI2298" s="32" t="n">
        <x:f>(Z2298+v01_ElderCommons*INDEX(LM_Elder,G2298)*AA2298)*AH2298</x:f>
        <x:v>64139.732591141874</x:v>
      </x:c>
      <x:c r="AJ2298" s="32" t="n">
        <x:f>H2298*v01_CommonsCoef*AI2298^v01_CommonsExp*INDEX(LM_Commons,G2298)</x:f>
        <x:v>0</x:v>
      </x:c>
      <x:c r="AK2298" s="32" t="n">
        <x:f>H2298*v01_RoleScale*Arch_Roles*(AE2298*(INDEX(v01_ElderRolePerSett,G2298)*v01_OutElder*INDEX(LM_Elder,G2298)+INDEX(v01_ShamanPerSett,G2298)*v01_OutShaman)+Z2298*(INDEX(v01_PriestShare,G2298)*v01_OutPriest+INDEX(v01_ScribeShare,G2298)*v01_OutScribe*INDEX(LM_Scribe,G2298)+INDEX(v01_ScholarShare,G2298)*v01_OutScholar*INDEX(LM_Scholar,G2298)+INDEX(v01_ResearcherShare,G2298)*v01_OutResearcher*INDEX(LM_Researcher,G2298)))</x:f>
        <x:v>0</x:v>
      </x:c>
      <x:c r="AL2298" s="32" t="n">
        <x:f>H2298*v01_RoleScale*Arch_Roles*AE2298*INDEX(v01_MonasteryPerSett,G2298)*v01_OutMonastery*INDEX(LM_Monastery,G2298)</x:f>
        <x:v>0</x:v>
      </x:c>
      <x:c r="AM2298" s="32" t="n">
        <x:f>(AJ2298+AK2298+AL2298)/4*INDEX(LM_All,G2298)*INDEX(v01_Boon,G2298)*Arch_Insight</x:f>
        <x:v>0</x:v>
      </x:c>
      <x:c r="AN2298" s="32" t="n">
        <x:f>H2298*(v01_KHPerAdult*Z2298+v01_KHOfCommons*AJ2298/4*INDEX(LM_All,G2298))*v01_KHUsable*Arch_KH</x:f>
        <x:v>0</x:v>
      </x:c>
      <x:c r="AO2298" s="32" t="n">
        <x:f>MIN(AP2297+AN2298,AM2298*v01_KHMaxRatio)</x:f>
        <x:v>0</x:v>
      </x:c>
      <x:c r="AP2298" s="32" t="n">
        <x:f>AP2297+AN2298-AO2298</x:f>
        <x:v>0</x:v>
      </x:c>
      <x:c r="AQ2298" s="32" t="n">
        <x:f>AM2298+AO2298</x:f>
        <x:v>0</x:v>
      </x:c>
      <x:c r="AR2298" s="10" t="n">
        <x:f>IF(H2298=1,INDEX(v01_Req,G2298),0)</x:f>
        <x:v>0</x:v>
      </x:c>
      <x:c r="AS2298" s="32" t="n">
        <x:f>IF(H2298=1,IF(E2298=1,AS2297-AR2297,AS2297)+AQ2298,0)</x:f>
        <x:v>0</x:v>
      </x:c>
      <x:c r="AT2298" s="11" t="n">
        <x:f>IF(AR2298&gt;0,MIN(1,AS2298/AR2298),1)</x:f>
        <x:v>1</x:v>
      </x:c>
      <x:c r="AU2298" s="10" t="n">
        <x:f>AB2298/INDEX(v01_RepScale,G2298)</x:f>
        <x:v>90.09519605746344</x:v>
      </x:c>
      <x:c r="AV2298" s="32" t="n">
        <x:f>AM2298*60/v01_SeasonSeconds</x:f>
        <x:v>0</x:v>
      </x:c>
    </x:row>
    <x:row r="2299">
      <x:c r="A2299" s="8" t="n">
        <x:f>A2298+1</x:f>
        <x:v>2296</x:v>
      </x:c>
      <x:c r="B2299" s="9" t="n">
        <x:f>A2299*v01_SeasonSeconds/60</x:f>
        <x:v>574</x:v>
      </x:c>
      <x:c r="C2299" s="9" t="n">
        <x:f>A2299/4</x:f>
        <x:v>574</x:v>
      </x:c>
      <x:c r="D2299" s="8" t="n">
        <x:f>IF(MOD(A2299,4)=0,1,0)</x:f>
        <x:v>1</x:v>
      </x:c>
      <x:c r="E2299" s="8" t="n">
        <x:f>IF(AND(F2298&lt;=9,AS2298&gt;=AR2298),1,0)</x:f>
        <x:v>0</x:v>
      </x:c>
      <x:c r="F2299" s="8" t="n">
        <x:f>MIN(10,F2298+E2299)</x:f>
        <x:v>10</x:v>
      </x:c>
      <x:c r="G2299" s="8" t="n">
        <x:f>MIN(F2299,9)+1</x:f>
        <x:v>10</x:v>
      </x:c>
      <x:c r="H2299" s="8" t="n">
        <x:f>IF(F2299&lt;=9,1,0)</x:f>
        <x:v>0</x:v>
      </x:c>
      <x:c r="I2299" s="9" t="n">
        <x:f>MIN(10,F2298+IF(AR2298&gt;0,MIN(1,AS2298/AR2298),1))</x:f>
        <x:v>10</x:v>
      </x:c>
      <x:c r="J2299" s="32" t="n">
        <x:f>INDEX(v01_FoodCap,G2299)*Arch_FoodCap*EXP(v01_CapsByProject*SUMPRODUCT((Cap_Point&lt;=I2299)*(Cap_Kind="Food")*Cap_Ln))</x:f>
        <x:v>12000</x:v>
      </x:c>
      <x:c r="K2299" s="32" t="n">
        <x:f>J2299*MIN(1,v01_LeanBase*EXP(v01_CapsByProject*SUMPRODUCT((Cap_Point&lt;=I2299)*(Cap_Kind="Lean")*Cap_Ln)))</x:f>
        <x:v>12000</x:v>
      </x:c>
      <x:c r="L2299" s="10" t="n">
        <x:f>INDEX(v01_HousingCap,G2299)*EXP(v01_CapsByProject*SUMPRODUCT((Cap_Point&lt;=I2299)*(Cap_Kind="Housing")*Cap_Ln))</x:f>
        <x:v>20000</x:v>
      </x:c>
      <x:c r="M2299" s="10" t="n">
        <x:f>INDEX(v01_GroupCap,G2299)*v01_CohesionFactor*EXP(v01_CapsByProject*SUMPRODUCT((Cap_Point&lt;=I2299)*(Cap_Kind="Group")*Cap_Ln))</x:f>
        <x:v>1000000</x:v>
      </x:c>
      <x:c r="N2299" s="32" t="n">
        <x:f>MIN(J2299,L2299,M2299)</x:f>
        <x:v>12000</x:v>
      </x:c>
      <x:c r="O2299" s="10" t="n">
        <x:f>AE2298*N2299</x:f>
        <x:v>180000</x:v>
      </x:c>
      <x:c r="P2299" s="9" t="n">
        <x:f>MIN(1,(AB2298/(AE2298*IF(v01_GroupInCrowding=1,N2299,MIN(J2299,L2299))))^v01_CrowdingExp)</x:f>
        <x:v>0.00024569414295285325</x:v>
      </x:c>
      <x:c r="Q2299" s="9" t="n">
        <x:f>IF(D2299=1,INDEX(v01_WinterMult,G2299),1)</x:f>
        <x:v>1</x:v>
      </x:c>
      <x:c r="R2299" s="9" t="n">
        <x:f>H2299*Z2298*v01_WomenShare*v01_BaseFertility*INDEX(v01_FertMult,G2299)*Arch_Fertility*(1-P2299)</x:f>
        <x:v>0</x:v>
      </x:c>
      <x:c r="S2299" s="9" t="n">
        <x:f>H2299*Y2298*INDEX(v01_MortChild,G2299)/4*Q2299</x:f>
        <x:v>0</x:v>
      </x:c>
      <x:c r="T2299" s="9" t="n">
        <x:f>H2299*Z2298*INDEX(v01_MortAdult,G2299)*Arch_AdultMort/4*Q2299</x:f>
        <x:v>0</x:v>
      </x:c>
      <x:c r="U2299" s="9" t="n">
        <x:f>H2299*AA2298*INDEX(v01_MortElder,G2299)/4*Q2299</x:f>
        <x:v>0</x:v>
      </x:c>
      <x:c r="V2299" s="9" t="n">
        <x:f>H2299*MAX(0,AB2298-O2299)*v01_OvercapLoss</x:f>
        <x:v>0</x:v>
      </x:c>
      <x:c r="W2299" s="9" t="n">
        <x:f>H2299*Y2298/(v01_ChildYears*4)</x:f>
        <x:v>0</x:v>
      </x:c>
      <x:c r="X2299" s="9" t="n">
        <x:f>H2299*Z2298/(v01_AdultYears*4)</x:f>
        <x:v>0</x:v>
      </x:c>
      <x:c r="Y2299" s="32" t="n">
        <x:f>Y2298+R2299-S2299-W2299-Y2298*V2299/AB2298</x:f>
        <x:v>14306.18539759397</x:v>
      </x:c>
      <x:c r="Z2299" s="32" t="n">
        <x:f>Z2298+W2299-X2299-T2299-Z2298*V2299/AB2298</x:f>
        <x:v>19354.456567879548</x:v>
      </x:c>
      <x:c r="AA2299" s="32" t="n">
        <x:f>AA2298+X2299-U2299-AA2298*V2299/AB2298</x:f>
        <x:v>11386.956063258198</x:v>
      </x:c>
      <x:c r="AB2299" s="10" t="n">
        <x:f>Y2299+Z2299+AA2299</x:f>
        <x:v>45047.59802873172</x:v>
      </x:c>
      <x:c r="AC2299" s="8" t="n">
        <x:f>IF(AND(v01_WinterTrigger=1,D2299=1,AB2298/AE2298&gt;=K2299),1,0)</x:f>
        <x:v>0</x:v>
      </x:c>
      <x:c r="AD2299" s="8" t="n">
        <x:f>H2299*IF(AND(OR(AB2298/AE2298&gt;=v01_FissionTrigger*N2299,AC2299=1),AB2298/AE2298*v01_DaughterShare&gt;=v01_MinDaughter),MAX(1,ROUND(AE2298*v01_FissionRate,0)),0)</x:f>
        <x:v>0</x:v>
      </x:c>
      <x:c r="AE2299" s="8" t="n">
        <x:f>IF(H2299=1,MAX(1,MIN(INDEX(v01_Smax,G2299),AE2298+AD2299)),AE2298)</x:f>
        <x:v>15</x:v>
      </x:c>
      <x:c r="AF2299" s="8" t="n">
        <x:f>MAX(0,AE2299-AE2298)</x:f>
        <x:v>0</x:v>
      </x:c>
      <x:c r="AG2299" s="9" t="str">
        <x:f>IF(AF2299&gt;0,B2299,"")</x:f>
      </x:c>
      <x:c r="AH2299" s="9" t="n">
        <x:f>IF(F2299&gt;=1,1,(1+v01_LowTiesShare*(AE2299-1))/AE2299)</x:f>
        <x:v>1</x:v>
      </x:c>
      <x:c r="AI2299" s="32" t="n">
        <x:f>(Z2299+v01_ElderCommons*INDEX(LM_Elder,G2299)*AA2299)*AH2299</x:f>
        <x:v>64139.732591141874</x:v>
      </x:c>
      <x:c r="AJ2299" s="32" t="n">
        <x:f>H2299*v01_CommonsCoef*AI2299^v01_CommonsExp*INDEX(LM_Commons,G2299)</x:f>
        <x:v>0</x:v>
      </x:c>
      <x:c r="AK2299" s="32" t="n">
        <x:f>H2299*v01_RoleScale*Arch_Roles*(AE2299*(INDEX(v01_ElderRolePerSett,G2299)*v01_OutElder*INDEX(LM_Elder,G2299)+INDEX(v01_ShamanPerSett,G2299)*v01_OutShaman)+Z2299*(INDEX(v01_PriestShare,G2299)*v01_OutPriest+INDEX(v01_ScribeShare,G2299)*v01_OutScribe*INDEX(LM_Scribe,G2299)+INDEX(v01_ScholarShare,G2299)*v01_OutScholar*INDEX(LM_Scholar,G2299)+INDEX(v01_ResearcherShare,G2299)*v01_OutResearcher*INDEX(LM_Researcher,G2299)))</x:f>
        <x:v>0</x:v>
      </x:c>
      <x:c r="AL2299" s="32" t="n">
        <x:f>H2299*v01_RoleScale*Arch_Roles*AE2299*INDEX(v01_MonasteryPerSett,G2299)*v01_OutMonastery*INDEX(LM_Monastery,G2299)</x:f>
        <x:v>0</x:v>
      </x:c>
      <x:c r="AM2299" s="32" t="n">
        <x:f>(AJ2299+AK2299+AL2299)/4*INDEX(LM_All,G2299)*INDEX(v01_Boon,G2299)*Arch_Insight</x:f>
        <x:v>0</x:v>
      </x:c>
      <x:c r="AN2299" s="32" t="n">
        <x:f>H2299*(v01_KHPerAdult*Z2299+v01_KHOfCommons*AJ2299/4*INDEX(LM_All,G2299))*v01_KHUsable*Arch_KH</x:f>
        <x:v>0</x:v>
      </x:c>
      <x:c r="AO2299" s="32" t="n">
        <x:f>MIN(AP2298+AN2299,AM2299*v01_KHMaxRatio)</x:f>
        <x:v>0</x:v>
      </x:c>
      <x:c r="AP2299" s="32" t="n">
        <x:f>AP2298+AN2299-AO2299</x:f>
        <x:v>0</x:v>
      </x:c>
      <x:c r="AQ2299" s="32" t="n">
        <x:f>AM2299+AO2299</x:f>
        <x:v>0</x:v>
      </x:c>
      <x:c r="AR2299" s="10" t="n">
        <x:f>IF(H2299=1,INDEX(v01_Req,G2299),0)</x:f>
        <x:v>0</x:v>
      </x:c>
      <x:c r="AS2299" s="32" t="n">
        <x:f>IF(H2299=1,IF(E2299=1,AS2298-AR2298,AS2298)+AQ2299,0)</x:f>
        <x:v>0</x:v>
      </x:c>
      <x:c r="AT2299" s="11" t="n">
        <x:f>IF(AR2299&gt;0,MIN(1,AS2299/AR2299),1)</x:f>
        <x:v>1</x:v>
      </x:c>
      <x:c r="AU2299" s="10" t="n">
        <x:f>AB2299/INDEX(v01_RepScale,G2299)</x:f>
        <x:v>90.09519605746344</x:v>
      </x:c>
      <x:c r="AV2299" s="32" t="n">
        <x:f>AM2299*60/v01_SeasonSeconds</x:f>
        <x:v>0</x:v>
      </x:c>
    </x:row>
    <x:row r="2300">
      <x:c r="A2300" s="8" t="n">
        <x:f>A2299+1</x:f>
        <x:v>2297</x:v>
      </x:c>
      <x:c r="B2300" s="9" t="n">
        <x:f>A2300*v01_SeasonSeconds/60</x:f>
        <x:v>574.25</x:v>
      </x:c>
      <x:c r="C2300" s="9" t="n">
        <x:f>A2300/4</x:f>
        <x:v>574.25</x:v>
      </x:c>
      <x:c r="D2300" s="8" t="n">
        <x:f>IF(MOD(A2300,4)=0,1,0)</x:f>
        <x:v>0</x:v>
      </x:c>
      <x:c r="E2300" s="8" t="n">
        <x:f>IF(AND(F2299&lt;=9,AS2299&gt;=AR2299),1,0)</x:f>
        <x:v>0</x:v>
      </x:c>
      <x:c r="F2300" s="8" t="n">
        <x:f>MIN(10,F2299+E2300)</x:f>
        <x:v>10</x:v>
      </x:c>
      <x:c r="G2300" s="8" t="n">
        <x:f>MIN(F2300,9)+1</x:f>
        <x:v>10</x:v>
      </x:c>
      <x:c r="H2300" s="8" t="n">
        <x:f>IF(F2300&lt;=9,1,0)</x:f>
        <x:v>0</x:v>
      </x:c>
      <x:c r="I2300" s="9" t="n">
        <x:f>MIN(10,F2299+IF(AR2299&gt;0,MIN(1,AS2299/AR2299),1))</x:f>
        <x:v>10</x:v>
      </x:c>
      <x:c r="J2300" s="32" t="n">
        <x:f>INDEX(v01_FoodCap,G2300)*Arch_FoodCap*EXP(v01_CapsByProject*SUMPRODUCT((Cap_Point&lt;=I2300)*(Cap_Kind="Food")*Cap_Ln))</x:f>
        <x:v>12000</x:v>
      </x:c>
      <x:c r="K2300" s="32" t="n">
        <x:f>J2300*MIN(1,v01_LeanBase*EXP(v01_CapsByProject*SUMPRODUCT((Cap_Point&lt;=I2300)*(Cap_Kind="Lean")*Cap_Ln)))</x:f>
        <x:v>12000</x:v>
      </x:c>
      <x:c r="L2300" s="10" t="n">
        <x:f>INDEX(v01_HousingCap,G2300)*EXP(v01_CapsByProject*SUMPRODUCT((Cap_Point&lt;=I2300)*(Cap_Kind="Housing")*Cap_Ln))</x:f>
        <x:v>20000</x:v>
      </x:c>
      <x:c r="M2300" s="10" t="n">
        <x:f>INDEX(v01_GroupCap,G2300)*v01_CohesionFactor*EXP(v01_CapsByProject*SUMPRODUCT((Cap_Point&lt;=I2300)*(Cap_Kind="Group")*Cap_Ln))</x:f>
        <x:v>1000000</x:v>
      </x:c>
      <x:c r="N2300" s="32" t="n">
        <x:f>MIN(J2300,L2300,M2300)</x:f>
        <x:v>12000</x:v>
      </x:c>
      <x:c r="O2300" s="10" t="n">
        <x:f>AE2299*N2300</x:f>
        <x:v>180000</x:v>
      </x:c>
      <x:c r="P2300" s="9" t="n">
        <x:f>MIN(1,(AB2299/(AE2299*IF(v01_GroupInCrowding=1,N2300,MIN(J2300,L2300))))^v01_CrowdingExp)</x:f>
        <x:v>0.00024569414295285325</x:v>
      </x:c>
      <x:c r="Q2300" s="9" t="n">
        <x:f>IF(D2300=1,INDEX(v01_WinterMult,G2300),1)</x:f>
        <x:v>1</x:v>
      </x:c>
      <x:c r="R2300" s="9" t="n">
        <x:f>H2300*Z2299*v01_WomenShare*v01_BaseFertility*INDEX(v01_FertMult,G2300)*Arch_Fertility*(1-P2300)</x:f>
        <x:v>0</x:v>
      </x:c>
      <x:c r="S2300" s="9" t="n">
        <x:f>H2300*Y2299*INDEX(v01_MortChild,G2300)/4*Q2300</x:f>
        <x:v>0</x:v>
      </x:c>
      <x:c r="T2300" s="9" t="n">
        <x:f>H2300*Z2299*INDEX(v01_MortAdult,G2300)*Arch_AdultMort/4*Q2300</x:f>
        <x:v>0</x:v>
      </x:c>
      <x:c r="U2300" s="9" t="n">
        <x:f>H2300*AA2299*INDEX(v01_MortElder,G2300)/4*Q2300</x:f>
        <x:v>0</x:v>
      </x:c>
      <x:c r="V2300" s="9" t="n">
        <x:f>H2300*MAX(0,AB2299-O2300)*v01_OvercapLoss</x:f>
        <x:v>0</x:v>
      </x:c>
      <x:c r="W2300" s="9" t="n">
        <x:f>H2300*Y2299/(v01_ChildYears*4)</x:f>
        <x:v>0</x:v>
      </x:c>
      <x:c r="X2300" s="9" t="n">
        <x:f>H2300*Z2299/(v01_AdultYears*4)</x:f>
        <x:v>0</x:v>
      </x:c>
      <x:c r="Y2300" s="32" t="n">
        <x:f>Y2299+R2300-S2300-W2300-Y2299*V2300/AB2299</x:f>
        <x:v>14306.18539759397</x:v>
      </x:c>
      <x:c r="Z2300" s="32" t="n">
        <x:f>Z2299+W2300-X2300-T2300-Z2299*V2300/AB2299</x:f>
        <x:v>19354.456567879548</x:v>
      </x:c>
      <x:c r="AA2300" s="32" t="n">
        <x:f>AA2299+X2300-U2300-AA2299*V2300/AB2299</x:f>
        <x:v>11386.956063258198</x:v>
      </x:c>
      <x:c r="AB2300" s="10" t="n">
        <x:f>Y2300+Z2300+AA2300</x:f>
        <x:v>45047.59802873172</x:v>
      </x:c>
      <x:c r="AC2300" s="8" t="n">
        <x:f>IF(AND(v01_WinterTrigger=1,D2300=1,AB2299/AE2299&gt;=K2300),1,0)</x:f>
        <x:v>0</x:v>
      </x:c>
      <x:c r="AD2300" s="8" t="n">
        <x:f>H2300*IF(AND(OR(AB2299/AE2299&gt;=v01_FissionTrigger*N2300,AC2300=1),AB2299/AE2299*v01_DaughterShare&gt;=v01_MinDaughter),MAX(1,ROUND(AE2299*v01_FissionRate,0)),0)</x:f>
        <x:v>0</x:v>
      </x:c>
      <x:c r="AE2300" s="8" t="n">
        <x:f>IF(H2300=1,MAX(1,MIN(INDEX(v01_Smax,G2300),AE2299+AD2300)),AE2299)</x:f>
        <x:v>15</x:v>
      </x:c>
      <x:c r="AF2300" s="8" t="n">
        <x:f>MAX(0,AE2300-AE2299)</x:f>
        <x:v>0</x:v>
      </x:c>
      <x:c r="AG2300" s="9" t="str">
        <x:f>IF(AF2300&gt;0,B2300,"")</x:f>
      </x:c>
      <x:c r="AH2300" s="9" t="n">
        <x:f>IF(F2300&gt;=1,1,(1+v01_LowTiesShare*(AE2300-1))/AE2300)</x:f>
        <x:v>1</x:v>
      </x:c>
      <x:c r="AI2300" s="32" t="n">
        <x:f>(Z2300+v01_ElderCommons*INDEX(LM_Elder,G2300)*AA2300)*AH2300</x:f>
        <x:v>64139.732591141874</x:v>
      </x:c>
      <x:c r="AJ2300" s="32" t="n">
        <x:f>H2300*v01_CommonsCoef*AI2300^v01_CommonsExp*INDEX(LM_Commons,G2300)</x:f>
        <x:v>0</x:v>
      </x:c>
      <x:c r="AK2300" s="32" t="n">
        <x:f>H2300*v01_RoleScale*Arch_Roles*(AE2300*(INDEX(v01_ElderRolePerSett,G2300)*v01_OutElder*INDEX(LM_Elder,G2300)+INDEX(v01_ShamanPerSett,G2300)*v01_OutShaman)+Z2300*(INDEX(v01_PriestShare,G2300)*v01_OutPriest+INDEX(v01_ScribeShare,G2300)*v01_OutScribe*INDEX(LM_Scribe,G2300)+INDEX(v01_ScholarShare,G2300)*v01_OutScholar*INDEX(LM_Scholar,G2300)+INDEX(v01_ResearcherShare,G2300)*v01_OutResearcher*INDEX(LM_Researcher,G2300)))</x:f>
        <x:v>0</x:v>
      </x:c>
      <x:c r="AL2300" s="32" t="n">
        <x:f>H2300*v01_RoleScale*Arch_Roles*AE2300*INDEX(v01_MonasteryPerSett,G2300)*v01_OutMonastery*INDEX(LM_Monastery,G2300)</x:f>
        <x:v>0</x:v>
      </x:c>
      <x:c r="AM2300" s="32" t="n">
        <x:f>(AJ2300+AK2300+AL2300)/4*INDEX(LM_All,G2300)*INDEX(v01_Boon,G2300)*Arch_Insight</x:f>
        <x:v>0</x:v>
      </x:c>
      <x:c r="AN2300" s="32" t="n">
        <x:f>H2300*(v01_KHPerAdult*Z2300+v01_KHOfCommons*AJ2300/4*INDEX(LM_All,G2300))*v01_KHUsable*Arch_KH</x:f>
        <x:v>0</x:v>
      </x:c>
      <x:c r="AO2300" s="32" t="n">
        <x:f>MIN(AP2299+AN2300,AM2300*v01_KHMaxRatio)</x:f>
        <x:v>0</x:v>
      </x:c>
      <x:c r="AP2300" s="32" t="n">
        <x:f>AP2299+AN2300-AO2300</x:f>
        <x:v>0</x:v>
      </x:c>
      <x:c r="AQ2300" s="32" t="n">
        <x:f>AM2300+AO2300</x:f>
        <x:v>0</x:v>
      </x:c>
      <x:c r="AR2300" s="10" t="n">
        <x:f>IF(H2300=1,INDEX(v01_Req,G2300),0)</x:f>
        <x:v>0</x:v>
      </x:c>
      <x:c r="AS2300" s="32" t="n">
        <x:f>IF(H2300=1,IF(E2300=1,AS2299-AR2299,AS2299)+AQ2300,0)</x:f>
        <x:v>0</x:v>
      </x:c>
      <x:c r="AT2300" s="11" t="n">
        <x:f>IF(AR2300&gt;0,MIN(1,AS2300/AR2300),1)</x:f>
        <x:v>1</x:v>
      </x:c>
      <x:c r="AU2300" s="10" t="n">
        <x:f>AB2300/INDEX(v01_RepScale,G2300)</x:f>
        <x:v>90.09519605746344</x:v>
      </x:c>
      <x:c r="AV2300" s="32" t="n">
        <x:f>AM2300*60/v01_SeasonSeconds</x:f>
        <x:v>0</x:v>
      </x:c>
    </x:row>
    <x:row r="2301">
      <x:c r="A2301" s="8" t="n">
        <x:f>A2300+1</x:f>
        <x:v>2298</x:v>
      </x:c>
      <x:c r="B2301" s="9" t="n">
        <x:f>A2301*v01_SeasonSeconds/60</x:f>
        <x:v>574.5</x:v>
      </x:c>
      <x:c r="C2301" s="9" t="n">
        <x:f>A2301/4</x:f>
        <x:v>574.5</x:v>
      </x:c>
      <x:c r="D2301" s="8" t="n">
        <x:f>IF(MOD(A2301,4)=0,1,0)</x:f>
        <x:v>0</x:v>
      </x:c>
      <x:c r="E2301" s="8" t="n">
        <x:f>IF(AND(F2300&lt;=9,AS2300&gt;=AR2300),1,0)</x:f>
        <x:v>0</x:v>
      </x:c>
      <x:c r="F2301" s="8" t="n">
        <x:f>MIN(10,F2300+E2301)</x:f>
        <x:v>10</x:v>
      </x:c>
      <x:c r="G2301" s="8" t="n">
        <x:f>MIN(F2301,9)+1</x:f>
        <x:v>10</x:v>
      </x:c>
      <x:c r="H2301" s="8" t="n">
        <x:f>IF(F2301&lt;=9,1,0)</x:f>
        <x:v>0</x:v>
      </x:c>
      <x:c r="I2301" s="9" t="n">
        <x:f>MIN(10,F2300+IF(AR2300&gt;0,MIN(1,AS2300/AR2300),1))</x:f>
        <x:v>10</x:v>
      </x:c>
      <x:c r="J2301" s="32" t="n">
        <x:f>INDEX(v01_FoodCap,G2301)*Arch_FoodCap*EXP(v01_CapsByProject*SUMPRODUCT((Cap_Point&lt;=I2301)*(Cap_Kind="Food")*Cap_Ln))</x:f>
        <x:v>12000</x:v>
      </x:c>
      <x:c r="K2301" s="32" t="n">
        <x:f>J2301*MIN(1,v01_LeanBase*EXP(v01_CapsByProject*SUMPRODUCT((Cap_Point&lt;=I2301)*(Cap_Kind="Lean")*Cap_Ln)))</x:f>
        <x:v>12000</x:v>
      </x:c>
      <x:c r="L2301" s="10" t="n">
        <x:f>INDEX(v01_HousingCap,G2301)*EXP(v01_CapsByProject*SUMPRODUCT((Cap_Point&lt;=I2301)*(Cap_Kind="Housing")*Cap_Ln))</x:f>
        <x:v>20000</x:v>
      </x:c>
      <x:c r="M2301" s="10" t="n">
        <x:f>INDEX(v01_GroupCap,G2301)*v01_CohesionFactor*EXP(v01_CapsByProject*SUMPRODUCT((Cap_Point&lt;=I2301)*(Cap_Kind="Group")*Cap_Ln))</x:f>
        <x:v>1000000</x:v>
      </x:c>
      <x:c r="N2301" s="32" t="n">
        <x:f>MIN(J2301,L2301,M2301)</x:f>
        <x:v>12000</x:v>
      </x:c>
      <x:c r="O2301" s="10" t="n">
        <x:f>AE2300*N2301</x:f>
        <x:v>180000</x:v>
      </x:c>
      <x:c r="P2301" s="9" t="n">
        <x:f>MIN(1,(AB2300/(AE2300*IF(v01_GroupInCrowding=1,N2301,MIN(J2301,L2301))))^v01_CrowdingExp)</x:f>
        <x:v>0.00024569414295285325</x:v>
      </x:c>
      <x:c r="Q2301" s="9" t="n">
        <x:f>IF(D2301=1,INDEX(v01_WinterMult,G2301),1)</x:f>
        <x:v>1</x:v>
      </x:c>
      <x:c r="R2301" s="9" t="n">
        <x:f>H2301*Z2300*v01_WomenShare*v01_BaseFertility*INDEX(v01_FertMult,G2301)*Arch_Fertility*(1-P2301)</x:f>
        <x:v>0</x:v>
      </x:c>
      <x:c r="S2301" s="9" t="n">
        <x:f>H2301*Y2300*INDEX(v01_MortChild,G2301)/4*Q2301</x:f>
        <x:v>0</x:v>
      </x:c>
      <x:c r="T2301" s="9" t="n">
        <x:f>H2301*Z2300*INDEX(v01_MortAdult,G2301)*Arch_AdultMort/4*Q2301</x:f>
        <x:v>0</x:v>
      </x:c>
      <x:c r="U2301" s="9" t="n">
        <x:f>H2301*AA2300*INDEX(v01_MortElder,G2301)/4*Q2301</x:f>
        <x:v>0</x:v>
      </x:c>
      <x:c r="V2301" s="9" t="n">
        <x:f>H2301*MAX(0,AB2300-O2301)*v01_OvercapLoss</x:f>
        <x:v>0</x:v>
      </x:c>
      <x:c r="W2301" s="9" t="n">
        <x:f>H2301*Y2300/(v01_ChildYears*4)</x:f>
        <x:v>0</x:v>
      </x:c>
      <x:c r="X2301" s="9" t="n">
        <x:f>H2301*Z2300/(v01_AdultYears*4)</x:f>
        <x:v>0</x:v>
      </x:c>
      <x:c r="Y2301" s="32" t="n">
        <x:f>Y2300+R2301-S2301-W2301-Y2300*V2301/AB2300</x:f>
        <x:v>14306.18539759397</x:v>
      </x:c>
      <x:c r="Z2301" s="32" t="n">
        <x:f>Z2300+W2301-X2301-T2301-Z2300*V2301/AB2300</x:f>
        <x:v>19354.456567879548</x:v>
      </x:c>
      <x:c r="AA2301" s="32" t="n">
        <x:f>AA2300+X2301-U2301-AA2300*V2301/AB2300</x:f>
        <x:v>11386.956063258198</x:v>
      </x:c>
      <x:c r="AB2301" s="10" t="n">
        <x:f>Y2301+Z2301+AA2301</x:f>
        <x:v>45047.59802873172</x:v>
      </x:c>
      <x:c r="AC2301" s="8" t="n">
        <x:f>IF(AND(v01_WinterTrigger=1,D2301=1,AB2300/AE2300&gt;=K2301),1,0)</x:f>
        <x:v>0</x:v>
      </x:c>
      <x:c r="AD2301" s="8" t="n">
        <x:f>H2301*IF(AND(OR(AB2300/AE2300&gt;=v01_FissionTrigger*N2301,AC2301=1),AB2300/AE2300*v01_DaughterShare&gt;=v01_MinDaughter),MAX(1,ROUND(AE2300*v01_FissionRate,0)),0)</x:f>
        <x:v>0</x:v>
      </x:c>
      <x:c r="AE2301" s="8" t="n">
        <x:f>IF(H2301=1,MAX(1,MIN(INDEX(v01_Smax,G2301),AE2300+AD2301)),AE2300)</x:f>
        <x:v>15</x:v>
      </x:c>
      <x:c r="AF2301" s="8" t="n">
        <x:f>MAX(0,AE2301-AE2300)</x:f>
        <x:v>0</x:v>
      </x:c>
      <x:c r="AG2301" s="9" t="str">
        <x:f>IF(AF2301&gt;0,B2301,"")</x:f>
      </x:c>
      <x:c r="AH2301" s="9" t="n">
        <x:f>IF(F2301&gt;=1,1,(1+v01_LowTiesShare*(AE2301-1))/AE2301)</x:f>
        <x:v>1</x:v>
      </x:c>
      <x:c r="AI2301" s="32" t="n">
        <x:f>(Z2301+v01_ElderCommons*INDEX(LM_Elder,G2301)*AA2301)*AH2301</x:f>
        <x:v>64139.732591141874</x:v>
      </x:c>
      <x:c r="AJ2301" s="32" t="n">
        <x:f>H2301*v01_CommonsCoef*AI2301^v01_CommonsExp*INDEX(LM_Commons,G2301)</x:f>
        <x:v>0</x:v>
      </x:c>
      <x:c r="AK2301" s="32" t="n">
        <x:f>H2301*v01_RoleScale*Arch_Roles*(AE2301*(INDEX(v01_ElderRolePerSett,G2301)*v01_OutElder*INDEX(LM_Elder,G2301)+INDEX(v01_ShamanPerSett,G2301)*v01_OutShaman)+Z2301*(INDEX(v01_PriestShare,G2301)*v01_OutPriest+INDEX(v01_ScribeShare,G2301)*v01_OutScribe*INDEX(LM_Scribe,G2301)+INDEX(v01_ScholarShare,G2301)*v01_OutScholar*INDEX(LM_Scholar,G2301)+INDEX(v01_ResearcherShare,G2301)*v01_OutResearcher*INDEX(LM_Researcher,G2301)))</x:f>
        <x:v>0</x:v>
      </x:c>
      <x:c r="AL2301" s="32" t="n">
        <x:f>H2301*v01_RoleScale*Arch_Roles*AE2301*INDEX(v01_MonasteryPerSett,G2301)*v01_OutMonastery*INDEX(LM_Monastery,G2301)</x:f>
        <x:v>0</x:v>
      </x:c>
      <x:c r="AM2301" s="32" t="n">
        <x:f>(AJ2301+AK2301+AL2301)/4*INDEX(LM_All,G2301)*INDEX(v01_Boon,G2301)*Arch_Insight</x:f>
        <x:v>0</x:v>
      </x:c>
      <x:c r="AN2301" s="32" t="n">
        <x:f>H2301*(v01_KHPerAdult*Z2301+v01_KHOfCommons*AJ2301/4*INDEX(LM_All,G2301))*v01_KHUsable*Arch_KH</x:f>
        <x:v>0</x:v>
      </x:c>
      <x:c r="AO2301" s="32" t="n">
        <x:f>MIN(AP2300+AN2301,AM2301*v01_KHMaxRatio)</x:f>
        <x:v>0</x:v>
      </x:c>
      <x:c r="AP2301" s="32" t="n">
        <x:f>AP2300+AN2301-AO2301</x:f>
        <x:v>0</x:v>
      </x:c>
      <x:c r="AQ2301" s="32" t="n">
        <x:f>AM2301+AO2301</x:f>
        <x:v>0</x:v>
      </x:c>
      <x:c r="AR2301" s="10" t="n">
        <x:f>IF(H2301=1,INDEX(v01_Req,G2301),0)</x:f>
        <x:v>0</x:v>
      </x:c>
      <x:c r="AS2301" s="32" t="n">
        <x:f>IF(H2301=1,IF(E2301=1,AS2300-AR2300,AS2300)+AQ2301,0)</x:f>
        <x:v>0</x:v>
      </x:c>
      <x:c r="AT2301" s="11" t="n">
        <x:f>IF(AR2301&gt;0,MIN(1,AS2301/AR2301),1)</x:f>
        <x:v>1</x:v>
      </x:c>
      <x:c r="AU2301" s="10" t="n">
        <x:f>AB2301/INDEX(v01_RepScale,G2301)</x:f>
        <x:v>90.09519605746344</x:v>
      </x:c>
      <x:c r="AV2301" s="32" t="n">
        <x:f>AM2301*60/v01_SeasonSeconds</x:f>
        <x:v>0</x:v>
      </x:c>
    </x:row>
    <x:row r="2302">
      <x:c r="A2302" s="8" t="n">
        <x:f>A2301+1</x:f>
        <x:v>2299</x:v>
      </x:c>
      <x:c r="B2302" s="9" t="n">
        <x:f>A2302*v01_SeasonSeconds/60</x:f>
        <x:v>574.75</x:v>
      </x:c>
      <x:c r="C2302" s="9" t="n">
        <x:f>A2302/4</x:f>
        <x:v>574.75</x:v>
      </x:c>
      <x:c r="D2302" s="8" t="n">
        <x:f>IF(MOD(A2302,4)=0,1,0)</x:f>
        <x:v>0</x:v>
      </x:c>
      <x:c r="E2302" s="8" t="n">
        <x:f>IF(AND(F2301&lt;=9,AS2301&gt;=AR2301),1,0)</x:f>
        <x:v>0</x:v>
      </x:c>
      <x:c r="F2302" s="8" t="n">
        <x:f>MIN(10,F2301+E2302)</x:f>
        <x:v>10</x:v>
      </x:c>
      <x:c r="G2302" s="8" t="n">
        <x:f>MIN(F2302,9)+1</x:f>
        <x:v>10</x:v>
      </x:c>
      <x:c r="H2302" s="8" t="n">
        <x:f>IF(F2302&lt;=9,1,0)</x:f>
        <x:v>0</x:v>
      </x:c>
      <x:c r="I2302" s="9" t="n">
        <x:f>MIN(10,F2301+IF(AR2301&gt;0,MIN(1,AS2301/AR2301),1))</x:f>
        <x:v>10</x:v>
      </x:c>
      <x:c r="J2302" s="32" t="n">
        <x:f>INDEX(v01_FoodCap,G2302)*Arch_FoodCap*EXP(v01_CapsByProject*SUMPRODUCT((Cap_Point&lt;=I2302)*(Cap_Kind="Food")*Cap_Ln))</x:f>
        <x:v>12000</x:v>
      </x:c>
      <x:c r="K2302" s="32" t="n">
        <x:f>J2302*MIN(1,v01_LeanBase*EXP(v01_CapsByProject*SUMPRODUCT((Cap_Point&lt;=I2302)*(Cap_Kind="Lean")*Cap_Ln)))</x:f>
        <x:v>12000</x:v>
      </x:c>
      <x:c r="L2302" s="10" t="n">
        <x:f>INDEX(v01_HousingCap,G2302)*EXP(v01_CapsByProject*SUMPRODUCT((Cap_Point&lt;=I2302)*(Cap_Kind="Housing")*Cap_Ln))</x:f>
        <x:v>20000</x:v>
      </x:c>
      <x:c r="M2302" s="10" t="n">
        <x:f>INDEX(v01_GroupCap,G2302)*v01_CohesionFactor*EXP(v01_CapsByProject*SUMPRODUCT((Cap_Point&lt;=I2302)*(Cap_Kind="Group")*Cap_Ln))</x:f>
        <x:v>1000000</x:v>
      </x:c>
      <x:c r="N2302" s="32" t="n">
        <x:f>MIN(J2302,L2302,M2302)</x:f>
        <x:v>12000</x:v>
      </x:c>
      <x:c r="O2302" s="10" t="n">
        <x:f>AE2301*N2302</x:f>
        <x:v>180000</x:v>
      </x:c>
      <x:c r="P2302" s="9" t="n">
        <x:f>MIN(1,(AB2301/(AE2301*IF(v01_GroupInCrowding=1,N2302,MIN(J2302,L2302))))^v01_CrowdingExp)</x:f>
        <x:v>0.00024569414295285325</x:v>
      </x:c>
      <x:c r="Q2302" s="9" t="n">
        <x:f>IF(D2302=1,INDEX(v01_WinterMult,G2302),1)</x:f>
        <x:v>1</x:v>
      </x:c>
      <x:c r="R2302" s="9" t="n">
        <x:f>H2302*Z2301*v01_WomenShare*v01_BaseFertility*INDEX(v01_FertMult,G2302)*Arch_Fertility*(1-P2302)</x:f>
        <x:v>0</x:v>
      </x:c>
      <x:c r="S2302" s="9" t="n">
        <x:f>H2302*Y2301*INDEX(v01_MortChild,G2302)/4*Q2302</x:f>
        <x:v>0</x:v>
      </x:c>
      <x:c r="T2302" s="9" t="n">
        <x:f>H2302*Z2301*INDEX(v01_MortAdult,G2302)*Arch_AdultMort/4*Q2302</x:f>
        <x:v>0</x:v>
      </x:c>
      <x:c r="U2302" s="9" t="n">
        <x:f>H2302*AA2301*INDEX(v01_MortElder,G2302)/4*Q2302</x:f>
        <x:v>0</x:v>
      </x:c>
      <x:c r="V2302" s="9" t="n">
        <x:f>H2302*MAX(0,AB2301-O2302)*v01_OvercapLoss</x:f>
        <x:v>0</x:v>
      </x:c>
      <x:c r="W2302" s="9" t="n">
        <x:f>H2302*Y2301/(v01_ChildYears*4)</x:f>
        <x:v>0</x:v>
      </x:c>
      <x:c r="X2302" s="9" t="n">
        <x:f>H2302*Z2301/(v01_AdultYears*4)</x:f>
        <x:v>0</x:v>
      </x:c>
      <x:c r="Y2302" s="32" t="n">
        <x:f>Y2301+R2302-S2302-W2302-Y2301*V2302/AB2301</x:f>
        <x:v>14306.18539759397</x:v>
      </x:c>
      <x:c r="Z2302" s="32" t="n">
        <x:f>Z2301+W2302-X2302-T2302-Z2301*V2302/AB2301</x:f>
        <x:v>19354.456567879548</x:v>
      </x:c>
      <x:c r="AA2302" s="32" t="n">
        <x:f>AA2301+X2302-U2302-AA2301*V2302/AB2301</x:f>
        <x:v>11386.956063258198</x:v>
      </x:c>
      <x:c r="AB2302" s="10" t="n">
        <x:f>Y2302+Z2302+AA2302</x:f>
        <x:v>45047.59802873172</x:v>
      </x:c>
      <x:c r="AC2302" s="8" t="n">
        <x:f>IF(AND(v01_WinterTrigger=1,D2302=1,AB2301/AE2301&gt;=K2302),1,0)</x:f>
        <x:v>0</x:v>
      </x:c>
      <x:c r="AD2302" s="8" t="n">
        <x:f>H2302*IF(AND(OR(AB2301/AE2301&gt;=v01_FissionTrigger*N2302,AC2302=1),AB2301/AE2301*v01_DaughterShare&gt;=v01_MinDaughter),MAX(1,ROUND(AE2301*v01_FissionRate,0)),0)</x:f>
        <x:v>0</x:v>
      </x:c>
      <x:c r="AE2302" s="8" t="n">
        <x:f>IF(H2302=1,MAX(1,MIN(INDEX(v01_Smax,G2302),AE2301+AD2302)),AE2301)</x:f>
        <x:v>15</x:v>
      </x:c>
      <x:c r="AF2302" s="8" t="n">
        <x:f>MAX(0,AE2302-AE2301)</x:f>
        <x:v>0</x:v>
      </x:c>
      <x:c r="AG2302" s="9" t="str">
        <x:f>IF(AF2302&gt;0,B2302,"")</x:f>
      </x:c>
      <x:c r="AH2302" s="9" t="n">
        <x:f>IF(F2302&gt;=1,1,(1+v01_LowTiesShare*(AE2302-1))/AE2302)</x:f>
        <x:v>1</x:v>
      </x:c>
      <x:c r="AI2302" s="32" t="n">
        <x:f>(Z2302+v01_ElderCommons*INDEX(LM_Elder,G2302)*AA2302)*AH2302</x:f>
        <x:v>64139.732591141874</x:v>
      </x:c>
      <x:c r="AJ2302" s="32" t="n">
        <x:f>H2302*v01_CommonsCoef*AI2302^v01_CommonsExp*INDEX(LM_Commons,G2302)</x:f>
        <x:v>0</x:v>
      </x:c>
      <x:c r="AK2302" s="32" t="n">
        <x:f>H2302*v01_RoleScale*Arch_Roles*(AE2302*(INDEX(v01_ElderRolePerSett,G2302)*v01_OutElder*INDEX(LM_Elder,G2302)+INDEX(v01_ShamanPerSett,G2302)*v01_OutShaman)+Z2302*(INDEX(v01_PriestShare,G2302)*v01_OutPriest+INDEX(v01_ScribeShare,G2302)*v01_OutScribe*INDEX(LM_Scribe,G2302)+INDEX(v01_ScholarShare,G2302)*v01_OutScholar*INDEX(LM_Scholar,G2302)+INDEX(v01_ResearcherShare,G2302)*v01_OutResearcher*INDEX(LM_Researcher,G2302)))</x:f>
        <x:v>0</x:v>
      </x:c>
      <x:c r="AL2302" s="32" t="n">
        <x:f>H2302*v01_RoleScale*Arch_Roles*AE2302*INDEX(v01_MonasteryPerSett,G2302)*v01_OutMonastery*INDEX(LM_Monastery,G2302)</x:f>
        <x:v>0</x:v>
      </x:c>
      <x:c r="AM2302" s="32" t="n">
        <x:f>(AJ2302+AK2302+AL2302)/4*INDEX(LM_All,G2302)*INDEX(v01_Boon,G2302)*Arch_Insight</x:f>
        <x:v>0</x:v>
      </x:c>
      <x:c r="AN2302" s="32" t="n">
        <x:f>H2302*(v01_KHPerAdult*Z2302+v01_KHOfCommons*AJ2302/4*INDEX(LM_All,G2302))*v01_KHUsable*Arch_KH</x:f>
        <x:v>0</x:v>
      </x:c>
      <x:c r="AO2302" s="32" t="n">
        <x:f>MIN(AP2301+AN2302,AM2302*v01_KHMaxRatio)</x:f>
        <x:v>0</x:v>
      </x:c>
      <x:c r="AP2302" s="32" t="n">
        <x:f>AP2301+AN2302-AO2302</x:f>
        <x:v>0</x:v>
      </x:c>
      <x:c r="AQ2302" s="32" t="n">
        <x:f>AM2302+AO2302</x:f>
        <x:v>0</x:v>
      </x:c>
      <x:c r="AR2302" s="10" t="n">
        <x:f>IF(H2302=1,INDEX(v01_Req,G2302),0)</x:f>
        <x:v>0</x:v>
      </x:c>
      <x:c r="AS2302" s="32" t="n">
        <x:f>IF(H2302=1,IF(E2302=1,AS2301-AR2301,AS2301)+AQ2302,0)</x:f>
        <x:v>0</x:v>
      </x:c>
      <x:c r="AT2302" s="11" t="n">
        <x:f>IF(AR2302&gt;0,MIN(1,AS2302/AR2302),1)</x:f>
        <x:v>1</x:v>
      </x:c>
      <x:c r="AU2302" s="10" t="n">
        <x:f>AB2302/INDEX(v01_RepScale,G2302)</x:f>
        <x:v>90.09519605746344</x:v>
      </x:c>
      <x:c r="AV2302" s="32" t="n">
        <x:f>AM2302*60/v01_SeasonSeconds</x:f>
        <x:v>0</x:v>
      </x:c>
    </x:row>
    <x:row r="2303">
      <x:c r="A2303" s="8" t="n">
        <x:f>A2302+1</x:f>
        <x:v>2300</x:v>
      </x:c>
      <x:c r="B2303" s="9" t="n">
        <x:f>A2303*v01_SeasonSeconds/60</x:f>
        <x:v>575</x:v>
      </x:c>
      <x:c r="C2303" s="9" t="n">
        <x:f>A2303/4</x:f>
        <x:v>575</x:v>
      </x:c>
      <x:c r="D2303" s="8" t="n">
        <x:f>IF(MOD(A2303,4)=0,1,0)</x:f>
        <x:v>1</x:v>
      </x:c>
      <x:c r="E2303" s="8" t="n">
        <x:f>IF(AND(F2302&lt;=9,AS2302&gt;=AR2302),1,0)</x:f>
        <x:v>0</x:v>
      </x:c>
      <x:c r="F2303" s="8" t="n">
        <x:f>MIN(10,F2302+E2303)</x:f>
        <x:v>10</x:v>
      </x:c>
      <x:c r="G2303" s="8" t="n">
        <x:f>MIN(F2303,9)+1</x:f>
        <x:v>10</x:v>
      </x:c>
      <x:c r="H2303" s="8" t="n">
        <x:f>IF(F2303&lt;=9,1,0)</x:f>
        <x:v>0</x:v>
      </x:c>
      <x:c r="I2303" s="9" t="n">
        <x:f>MIN(10,F2302+IF(AR2302&gt;0,MIN(1,AS2302/AR2302),1))</x:f>
        <x:v>10</x:v>
      </x:c>
      <x:c r="J2303" s="32" t="n">
        <x:f>INDEX(v01_FoodCap,G2303)*Arch_FoodCap*EXP(v01_CapsByProject*SUMPRODUCT((Cap_Point&lt;=I2303)*(Cap_Kind="Food")*Cap_Ln))</x:f>
        <x:v>12000</x:v>
      </x:c>
      <x:c r="K2303" s="32" t="n">
        <x:f>J2303*MIN(1,v01_LeanBase*EXP(v01_CapsByProject*SUMPRODUCT((Cap_Point&lt;=I2303)*(Cap_Kind="Lean")*Cap_Ln)))</x:f>
        <x:v>12000</x:v>
      </x:c>
      <x:c r="L2303" s="10" t="n">
        <x:f>INDEX(v01_HousingCap,G2303)*EXP(v01_CapsByProject*SUMPRODUCT((Cap_Point&lt;=I2303)*(Cap_Kind="Housing")*Cap_Ln))</x:f>
        <x:v>20000</x:v>
      </x:c>
      <x:c r="M2303" s="10" t="n">
        <x:f>INDEX(v01_GroupCap,G2303)*v01_CohesionFactor*EXP(v01_CapsByProject*SUMPRODUCT((Cap_Point&lt;=I2303)*(Cap_Kind="Group")*Cap_Ln))</x:f>
        <x:v>1000000</x:v>
      </x:c>
      <x:c r="N2303" s="32" t="n">
        <x:f>MIN(J2303,L2303,M2303)</x:f>
        <x:v>12000</x:v>
      </x:c>
      <x:c r="O2303" s="10" t="n">
        <x:f>AE2302*N2303</x:f>
        <x:v>180000</x:v>
      </x:c>
      <x:c r="P2303" s="9" t="n">
        <x:f>MIN(1,(AB2302/(AE2302*IF(v01_GroupInCrowding=1,N2303,MIN(J2303,L2303))))^v01_CrowdingExp)</x:f>
        <x:v>0.00024569414295285325</x:v>
      </x:c>
      <x:c r="Q2303" s="9" t="n">
        <x:f>IF(D2303=1,INDEX(v01_WinterMult,G2303),1)</x:f>
        <x:v>1</x:v>
      </x:c>
      <x:c r="R2303" s="9" t="n">
        <x:f>H2303*Z2302*v01_WomenShare*v01_BaseFertility*INDEX(v01_FertMult,G2303)*Arch_Fertility*(1-P2303)</x:f>
        <x:v>0</x:v>
      </x:c>
      <x:c r="S2303" s="9" t="n">
        <x:f>H2303*Y2302*INDEX(v01_MortChild,G2303)/4*Q2303</x:f>
        <x:v>0</x:v>
      </x:c>
      <x:c r="T2303" s="9" t="n">
        <x:f>H2303*Z2302*INDEX(v01_MortAdult,G2303)*Arch_AdultMort/4*Q2303</x:f>
        <x:v>0</x:v>
      </x:c>
      <x:c r="U2303" s="9" t="n">
        <x:f>H2303*AA2302*INDEX(v01_MortElder,G2303)/4*Q2303</x:f>
        <x:v>0</x:v>
      </x:c>
      <x:c r="V2303" s="9" t="n">
        <x:f>H2303*MAX(0,AB2302-O2303)*v01_OvercapLoss</x:f>
        <x:v>0</x:v>
      </x:c>
      <x:c r="W2303" s="9" t="n">
        <x:f>H2303*Y2302/(v01_ChildYears*4)</x:f>
        <x:v>0</x:v>
      </x:c>
      <x:c r="X2303" s="9" t="n">
        <x:f>H2303*Z2302/(v01_AdultYears*4)</x:f>
        <x:v>0</x:v>
      </x:c>
      <x:c r="Y2303" s="32" t="n">
        <x:f>Y2302+R2303-S2303-W2303-Y2302*V2303/AB2302</x:f>
        <x:v>14306.18539759397</x:v>
      </x:c>
      <x:c r="Z2303" s="32" t="n">
        <x:f>Z2302+W2303-X2303-T2303-Z2302*V2303/AB2302</x:f>
        <x:v>19354.456567879548</x:v>
      </x:c>
      <x:c r="AA2303" s="32" t="n">
        <x:f>AA2302+X2303-U2303-AA2302*V2303/AB2302</x:f>
        <x:v>11386.956063258198</x:v>
      </x:c>
      <x:c r="AB2303" s="10" t="n">
        <x:f>Y2303+Z2303+AA2303</x:f>
        <x:v>45047.59802873172</x:v>
      </x:c>
      <x:c r="AC2303" s="8" t="n">
        <x:f>IF(AND(v01_WinterTrigger=1,D2303=1,AB2302/AE2302&gt;=K2303),1,0)</x:f>
        <x:v>0</x:v>
      </x:c>
      <x:c r="AD2303" s="8" t="n">
        <x:f>H2303*IF(AND(OR(AB2302/AE2302&gt;=v01_FissionTrigger*N2303,AC2303=1),AB2302/AE2302*v01_DaughterShare&gt;=v01_MinDaughter),MAX(1,ROUND(AE2302*v01_FissionRate,0)),0)</x:f>
        <x:v>0</x:v>
      </x:c>
      <x:c r="AE2303" s="8" t="n">
        <x:f>IF(H2303=1,MAX(1,MIN(INDEX(v01_Smax,G2303),AE2302+AD2303)),AE2302)</x:f>
        <x:v>15</x:v>
      </x:c>
      <x:c r="AF2303" s="8" t="n">
        <x:f>MAX(0,AE2303-AE2302)</x:f>
        <x:v>0</x:v>
      </x:c>
      <x:c r="AG2303" s="9" t="str">
        <x:f>IF(AF2303&gt;0,B2303,"")</x:f>
      </x:c>
      <x:c r="AH2303" s="9" t="n">
        <x:f>IF(F2303&gt;=1,1,(1+v01_LowTiesShare*(AE2303-1))/AE2303)</x:f>
        <x:v>1</x:v>
      </x:c>
      <x:c r="AI2303" s="32" t="n">
        <x:f>(Z2303+v01_ElderCommons*INDEX(LM_Elder,G2303)*AA2303)*AH2303</x:f>
        <x:v>64139.732591141874</x:v>
      </x:c>
      <x:c r="AJ2303" s="32" t="n">
        <x:f>H2303*v01_CommonsCoef*AI2303^v01_CommonsExp*INDEX(LM_Commons,G2303)</x:f>
        <x:v>0</x:v>
      </x:c>
      <x:c r="AK2303" s="32" t="n">
        <x:f>H2303*v01_RoleScale*Arch_Roles*(AE2303*(INDEX(v01_ElderRolePerSett,G2303)*v01_OutElder*INDEX(LM_Elder,G2303)+INDEX(v01_ShamanPerSett,G2303)*v01_OutShaman)+Z2303*(INDEX(v01_PriestShare,G2303)*v01_OutPriest+INDEX(v01_ScribeShare,G2303)*v01_OutScribe*INDEX(LM_Scribe,G2303)+INDEX(v01_ScholarShare,G2303)*v01_OutScholar*INDEX(LM_Scholar,G2303)+INDEX(v01_ResearcherShare,G2303)*v01_OutResearcher*INDEX(LM_Researcher,G2303)))</x:f>
        <x:v>0</x:v>
      </x:c>
      <x:c r="AL2303" s="32" t="n">
        <x:f>H2303*v01_RoleScale*Arch_Roles*AE2303*INDEX(v01_MonasteryPerSett,G2303)*v01_OutMonastery*INDEX(LM_Monastery,G2303)</x:f>
        <x:v>0</x:v>
      </x:c>
      <x:c r="AM2303" s="32" t="n">
        <x:f>(AJ2303+AK2303+AL2303)/4*INDEX(LM_All,G2303)*INDEX(v01_Boon,G2303)*Arch_Insight</x:f>
        <x:v>0</x:v>
      </x:c>
      <x:c r="AN2303" s="32" t="n">
        <x:f>H2303*(v01_KHPerAdult*Z2303+v01_KHOfCommons*AJ2303/4*INDEX(LM_All,G2303))*v01_KHUsable*Arch_KH</x:f>
        <x:v>0</x:v>
      </x:c>
      <x:c r="AO2303" s="32" t="n">
        <x:f>MIN(AP2302+AN2303,AM2303*v01_KHMaxRatio)</x:f>
        <x:v>0</x:v>
      </x:c>
      <x:c r="AP2303" s="32" t="n">
        <x:f>AP2302+AN2303-AO2303</x:f>
        <x:v>0</x:v>
      </x:c>
      <x:c r="AQ2303" s="32" t="n">
        <x:f>AM2303+AO2303</x:f>
        <x:v>0</x:v>
      </x:c>
      <x:c r="AR2303" s="10" t="n">
        <x:f>IF(H2303=1,INDEX(v01_Req,G2303),0)</x:f>
        <x:v>0</x:v>
      </x:c>
      <x:c r="AS2303" s="32" t="n">
        <x:f>IF(H2303=1,IF(E2303=1,AS2302-AR2302,AS2302)+AQ2303,0)</x:f>
        <x:v>0</x:v>
      </x:c>
      <x:c r="AT2303" s="11" t="n">
        <x:f>IF(AR2303&gt;0,MIN(1,AS2303/AR2303),1)</x:f>
        <x:v>1</x:v>
      </x:c>
      <x:c r="AU2303" s="10" t="n">
        <x:f>AB2303/INDEX(v01_RepScale,G2303)</x:f>
        <x:v>90.09519605746344</x:v>
      </x:c>
      <x:c r="AV2303" s="32" t="n">
        <x:f>AM2303*60/v01_SeasonSeconds</x:f>
        <x:v>0</x:v>
      </x:c>
    </x:row>
    <x:row r="2304">
      <x:c r="A2304" s="8" t="n">
        <x:f>A2303+1</x:f>
        <x:v>2301</x:v>
      </x:c>
      <x:c r="B2304" s="9" t="n">
        <x:f>A2304*v01_SeasonSeconds/60</x:f>
        <x:v>575.25</x:v>
      </x:c>
      <x:c r="C2304" s="9" t="n">
        <x:f>A2304/4</x:f>
        <x:v>575.25</x:v>
      </x:c>
      <x:c r="D2304" s="8" t="n">
        <x:f>IF(MOD(A2304,4)=0,1,0)</x:f>
        <x:v>0</x:v>
      </x:c>
      <x:c r="E2304" s="8" t="n">
        <x:f>IF(AND(F2303&lt;=9,AS2303&gt;=AR2303),1,0)</x:f>
        <x:v>0</x:v>
      </x:c>
      <x:c r="F2304" s="8" t="n">
        <x:f>MIN(10,F2303+E2304)</x:f>
        <x:v>10</x:v>
      </x:c>
      <x:c r="G2304" s="8" t="n">
        <x:f>MIN(F2304,9)+1</x:f>
        <x:v>10</x:v>
      </x:c>
      <x:c r="H2304" s="8" t="n">
        <x:f>IF(F2304&lt;=9,1,0)</x:f>
        <x:v>0</x:v>
      </x:c>
      <x:c r="I2304" s="9" t="n">
        <x:f>MIN(10,F2303+IF(AR2303&gt;0,MIN(1,AS2303/AR2303),1))</x:f>
        <x:v>10</x:v>
      </x:c>
      <x:c r="J2304" s="32" t="n">
        <x:f>INDEX(v01_FoodCap,G2304)*Arch_FoodCap*EXP(v01_CapsByProject*SUMPRODUCT((Cap_Point&lt;=I2304)*(Cap_Kind="Food")*Cap_Ln))</x:f>
        <x:v>12000</x:v>
      </x:c>
      <x:c r="K2304" s="32" t="n">
        <x:f>J2304*MIN(1,v01_LeanBase*EXP(v01_CapsByProject*SUMPRODUCT((Cap_Point&lt;=I2304)*(Cap_Kind="Lean")*Cap_Ln)))</x:f>
        <x:v>12000</x:v>
      </x:c>
      <x:c r="L2304" s="10" t="n">
        <x:f>INDEX(v01_HousingCap,G2304)*EXP(v01_CapsByProject*SUMPRODUCT((Cap_Point&lt;=I2304)*(Cap_Kind="Housing")*Cap_Ln))</x:f>
        <x:v>20000</x:v>
      </x:c>
      <x:c r="M2304" s="10" t="n">
        <x:f>INDEX(v01_GroupCap,G2304)*v01_CohesionFactor*EXP(v01_CapsByProject*SUMPRODUCT((Cap_Point&lt;=I2304)*(Cap_Kind="Group")*Cap_Ln))</x:f>
        <x:v>1000000</x:v>
      </x:c>
      <x:c r="N2304" s="32" t="n">
        <x:f>MIN(J2304,L2304,M2304)</x:f>
        <x:v>12000</x:v>
      </x:c>
      <x:c r="O2304" s="10" t="n">
        <x:f>AE2303*N2304</x:f>
        <x:v>180000</x:v>
      </x:c>
      <x:c r="P2304" s="9" t="n">
        <x:f>MIN(1,(AB2303/(AE2303*IF(v01_GroupInCrowding=1,N2304,MIN(J2304,L2304))))^v01_CrowdingExp)</x:f>
        <x:v>0.00024569414295285325</x:v>
      </x:c>
      <x:c r="Q2304" s="9" t="n">
        <x:f>IF(D2304=1,INDEX(v01_WinterMult,G2304),1)</x:f>
        <x:v>1</x:v>
      </x:c>
      <x:c r="R2304" s="9" t="n">
        <x:f>H2304*Z2303*v01_WomenShare*v01_BaseFertility*INDEX(v01_FertMult,G2304)*Arch_Fertility*(1-P2304)</x:f>
        <x:v>0</x:v>
      </x:c>
      <x:c r="S2304" s="9" t="n">
        <x:f>H2304*Y2303*INDEX(v01_MortChild,G2304)/4*Q2304</x:f>
        <x:v>0</x:v>
      </x:c>
      <x:c r="T2304" s="9" t="n">
        <x:f>H2304*Z2303*INDEX(v01_MortAdult,G2304)*Arch_AdultMort/4*Q2304</x:f>
        <x:v>0</x:v>
      </x:c>
      <x:c r="U2304" s="9" t="n">
        <x:f>H2304*AA2303*INDEX(v01_MortElder,G2304)/4*Q2304</x:f>
        <x:v>0</x:v>
      </x:c>
      <x:c r="V2304" s="9" t="n">
        <x:f>H2304*MAX(0,AB2303-O2304)*v01_OvercapLoss</x:f>
        <x:v>0</x:v>
      </x:c>
      <x:c r="W2304" s="9" t="n">
        <x:f>H2304*Y2303/(v01_ChildYears*4)</x:f>
        <x:v>0</x:v>
      </x:c>
      <x:c r="X2304" s="9" t="n">
        <x:f>H2304*Z2303/(v01_AdultYears*4)</x:f>
        <x:v>0</x:v>
      </x:c>
      <x:c r="Y2304" s="32" t="n">
        <x:f>Y2303+R2304-S2304-W2304-Y2303*V2304/AB2303</x:f>
        <x:v>14306.18539759397</x:v>
      </x:c>
      <x:c r="Z2304" s="32" t="n">
        <x:f>Z2303+W2304-X2304-T2304-Z2303*V2304/AB2303</x:f>
        <x:v>19354.456567879548</x:v>
      </x:c>
      <x:c r="AA2304" s="32" t="n">
        <x:f>AA2303+X2304-U2304-AA2303*V2304/AB2303</x:f>
        <x:v>11386.956063258198</x:v>
      </x:c>
      <x:c r="AB2304" s="10" t="n">
        <x:f>Y2304+Z2304+AA2304</x:f>
        <x:v>45047.59802873172</x:v>
      </x:c>
      <x:c r="AC2304" s="8" t="n">
        <x:f>IF(AND(v01_WinterTrigger=1,D2304=1,AB2303/AE2303&gt;=K2304),1,0)</x:f>
        <x:v>0</x:v>
      </x:c>
      <x:c r="AD2304" s="8" t="n">
        <x:f>H2304*IF(AND(OR(AB2303/AE2303&gt;=v01_FissionTrigger*N2304,AC2304=1),AB2303/AE2303*v01_DaughterShare&gt;=v01_MinDaughter),MAX(1,ROUND(AE2303*v01_FissionRate,0)),0)</x:f>
        <x:v>0</x:v>
      </x:c>
      <x:c r="AE2304" s="8" t="n">
        <x:f>IF(H2304=1,MAX(1,MIN(INDEX(v01_Smax,G2304),AE2303+AD2304)),AE2303)</x:f>
        <x:v>15</x:v>
      </x:c>
      <x:c r="AF2304" s="8" t="n">
        <x:f>MAX(0,AE2304-AE2303)</x:f>
        <x:v>0</x:v>
      </x:c>
      <x:c r="AG2304" s="9" t="str">
        <x:f>IF(AF2304&gt;0,B2304,"")</x:f>
      </x:c>
      <x:c r="AH2304" s="9" t="n">
        <x:f>IF(F2304&gt;=1,1,(1+v01_LowTiesShare*(AE2304-1))/AE2304)</x:f>
        <x:v>1</x:v>
      </x:c>
      <x:c r="AI2304" s="32" t="n">
        <x:f>(Z2304+v01_ElderCommons*INDEX(LM_Elder,G2304)*AA2304)*AH2304</x:f>
        <x:v>64139.732591141874</x:v>
      </x:c>
      <x:c r="AJ2304" s="32" t="n">
        <x:f>H2304*v01_CommonsCoef*AI2304^v01_CommonsExp*INDEX(LM_Commons,G2304)</x:f>
        <x:v>0</x:v>
      </x:c>
      <x:c r="AK2304" s="32" t="n">
        <x:f>H2304*v01_RoleScale*Arch_Roles*(AE2304*(INDEX(v01_ElderRolePerSett,G2304)*v01_OutElder*INDEX(LM_Elder,G2304)+INDEX(v01_ShamanPerSett,G2304)*v01_OutShaman)+Z2304*(INDEX(v01_PriestShare,G2304)*v01_OutPriest+INDEX(v01_ScribeShare,G2304)*v01_OutScribe*INDEX(LM_Scribe,G2304)+INDEX(v01_ScholarShare,G2304)*v01_OutScholar*INDEX(LM_Scholar,G2304)+INDEX(v01_ResearcherShare,G2304)*v01_OutResearcher*INDEX(LM_Researcher,G2304)))</x:f>
        <x:v>0</x:v>
      </x:c>
      <x:c r="AL2304" s="32" t="n">
        <x:f>H2304*v01_RoleScale*Arch_Roles*AE2304*INDEX(v01_MonasteryPerSett,G2304)*v01_OutMonastery*INDEX(LM_Monastery,G2304)</x:f>
        <x:v>0</x:v>
      </x:c>
      <x:c r="AM2304" s="32" t="n">
        <x:f>(AJ2304+AK2304+AL2304)/4*INDEX(LM_All,G2304)*INDEX(v01_Boon,G2304)*Arch_Insight</x:f>
        <x:v>0</x:v>
      </x:c>
      <x:c r="AN2304" s="32" t="n">
        <x:f>H2304*(v01_KHPerAdult*Z2304+v01_KHOfCommons*AJ2304/4*INDEX(LM_All,G2304))*v01_KHUsable*Arch_KH</x:f>
        <x:v>0</x:v>
      </x:c>
      <x:c r="AO2304" s="32" t="n">
        <x:f>MIN(AP2303+AN2304,AM2304*v01_KHMaxRatio)</x:f>
        <x:v>0</x:v>
      </x:c>
      <x:c r="AP2304" s="32" t="n">
        <x:f>AP2303+AN2304-AO2304</x:f>
        <x:v>0</x:v>
      </x:c>
      <x:c r="AQ2304" s="32" t="n">
        <x:f>AM2304+AO2304</x:f>
        <x:v>0</x:v>
      </x:c>
      <x:c r="AR2304" s="10" t="n">
        <x:f>IF(H2304=1,INDEX(v01_Req,G2304),0)</x:f>
        <x:v>0</x:v>
      </x:c>
      <x:c r="AS2304" s="32" t="n">
        <x:f>IF(H2304=1,IF(E2304=1,AS2303-AR2303,AS2303)+AQ2304,0)</x:f>
        <x:v>0</x:v>
      </x:c>
      <x:c r="AT2304" s="11" t="n">
        <x:f>IF(AR2304&gt;0,MIN(1,AS2304/AR2304),1)</x:f>
        <x:v>1</x:v>
      </x:c>
      <x:c r="AU2304" s="10" t="n">
        <x:f>AB2304/INDEX(v01_RepScale,G2304)</x:f>
        <x:v>90.09519605746344</x:v>
      </x:c>
      <x:c r="AV2304" s="32" t="n">
        <x:f>AM2304*60/v01_SeasonSeconds</x:f>
        <x:v>0</x:v>
      </x:c>
    </x:row>
    <x:row r="2305">
      <x:c r="A2305" s="8" t="n">
        <x:f>A2304+1</x:f>
        <x:v>2302</x:v>
      </x:c>
      <x:c r="B2305" s="9" t="n">
        <x:f>A2305*v01_SeasonSeconds/60</x:f>
        <x:v>575.5</x:v>
      </x:c>
      <x:c r="C2305" s="9" t="n">
        <x:f>A2305/4</x:f>
        <x:v>575.5</x:v>
      </x:c>
      <x:c r="D2305" s="8" t="n">
        <x:f>IF(MOD(A2305,4)=0,1,0)</x:f>
        <x:v>0</x:v>
      </x:c>
      <x:c r="E2305" s="8" t="n">
        <x:f>IF(AND(F2304&lt;=9,AS2304&gt;=AR2304),1,0)</x:f>
        <x:v>0</x:v>
      </x:c>
      <x:c r="F2305" s="8" t="n">
        <x:f>MIN(10,F2304+E2305)</x:f>
        <x:v>10</x:v>
      </x:c>
      <x:c r="G2305" s="8" t="n">
        <x:f>MIN(F2305,9)+1</x:f>
        <x:v>10</x:v>
      </x:c>
      <x:c r="H2305" s="8" t="n">
        <x:f>IF(F2305&lt;=9,1,0)</x:f>
        <x:v>0</x:v>
      </x:c>
      <x:c r="I2305" s="9" t="n">
        <x:f>MIN(10,F2304+IF(AR2304&gt;0,MIN(1,AS2304/AR2304),1))</x:f>
        <x:v>10</x:v>
      </x:c>
      <x:c r="J2305" s="32" t="n">
        <x:f>INDEX(v01_FoodCap,G2305)*Arch_FoodCap*EXP(v01_CapsByProject*SUMPRODUCT((Cap_Point&lt;=I2305)*(Cap_Kind="Food")*Cap_Ln))</x:f>
        <x:v>12000</x:v>
      </x:c>
      <x:c r="K2305" s="32" t="n">
        <x:f>J2305*MIN(1,v01_LeanBase*EXP(v01_CapsByProject*SUMPRODUCT((Cap_Point&lt;=I2305)*(Cap_Kind="Lean")*Cap_Ln)))</x:f>
        <x:v>12000</x:v>
      </x:c>
      <x:c r="L2305" s="10" t="n">
        <x:f>INDEX(v01_HousingCap,G2305)*EXP(v01_CapsByProject*SUMPRODUCT((Cap_Point&lt;=I2305)*(Cap_Kind="Housing")*Cap_Ln))</x:f>
        <x:v>20000</x:v>
      </x:c>
      <x:c r="M2305" s="10" t="n">
        <x:f>INDEX(v01_GroupCap,G2305)*v01_CohesionFactor*EXP(v01_CapsByProject*SUMPRODUCT((Cap_Point&lt;=I2305)*(Cap_Kind="Group")*Cap_Ln))</x:f>
        <x:v>1000000</x:v>
      </x:c>
      <x:c r="N2305" s="32" t="n">
        <x:f>MIN(J2305,L2305,M2305)</x:f>
        <x:v>12000</x:v>
      </x:c>
      <x:c r="O2305" s="10" t="n">
        <x:f>AE2304*N2305</x:f>
        <x:v>180000</x:v>
      </x:c>
      <x:c r="P2305" s="9" t="n">
        <x:f>MIN(1,(AB2304/(AE2304*IF(v01_GroupInCrowding=1,N2305,MIN(J2305,L2305))))^v01_CrowdingExp)</x:f>
        <x:v>0.00024569414295285325</x:v>
      </x:c>
      <x:c r="Q2305" s="9" t="n">
        <x:f>IF(D2305=1,INDEX(v01_WinterMult,G2305),1)</x:f>
        <x:v>1</x:v>
      </x:c>
      <x:c r="R2305" s="9" t="n">
        <x:f>H2305*Z2304*v01_WomenShare*v01_BaseFertility*INDEX(v01_FertMult,G2305)*Arch_Fertility*(1-P2305)</x:f>
        <x:v>0</x:v>
      </x:c>
      <x:c r="S2305" s="9" t="n">
        <x:f>H2305*Y2304*INDEX(v01_MortChild,G2305)/4*Q2305</x:f>
        <x:v>0</x:v>
      </x:c>
      <x:c r="T2305" s="9" t="n">
        <x:f>H2305*Z2304*INDEX(v01_MortAdult,G2305)*Arch_AdultMort/4*Q2305</x:f>
        <x:v>0</x:v>
      </x:c>
      <x:c r="U2305" s="9" t="n">
        <x:f>H2305*AA2304*INDEX(v01_MortElder,G2305)/4*Q2305</x:f>
        <x:v>0</x:v>
      </x:c>
      <x:c r="V2305" s="9" t="n">
        <x:f>H2305*MAX(0,AB2304-O2305)*v01_OvercapLoss</x:f>
        <x:v>0</x:v>
      </x:c>
      <x:c r="W2305" s="9" t="n">
        <x:f>H2305*Y2304/(v01_ChildYears*4)</x:f>
        <x:v>0</x:v>
      </x:c>
      <x:c r="X2305" s="9" t="n">
        <x:f>H2305*Z2304/(v01_AdultYears*4)</x:f>
        <x:v>0</x:v>
      </x:c>
      <x:c r="Y2305" s="32" t="n">
        <x:f>Y2304+R2305-S2305-W2305-Y2304*V2305/AB2304</x:f>
        <x:v>14306.18539759397</x:v>
      </x:c>
      <x:c r="Z2305" s="32" t="n">
        <x:f>Z2304+W2305-X2305-T2305-Z2304*V2305/AB2304</x:f>
        <x:v>19354.456567879548</x:v>
      </x:c>
      <x:c r="AA2305" s="32" t="n">
        <x:f>AA2304+X2305-U2305-AA2304*V2305/AB2304</x:f>
        <x:v>11386.956063258198</x:v>
      </x:c>
      <x:c r="AB2305" s="10" t="n">
        <x:f>Y2305+Z2305+AA2305</x:f>
        <x:v>45047.59802873172</x:v>
      </x:c>
      <x:c r="AC2305" s="8" t="n">
        <x:f>IF(AND(v01_WinterTrigger=1,D2305=1,AB2304/AE2304&gt;=K2305),1,0)</x:f>
        <x:v>0</x:v>
      </x:c>
      <x:c r="AD2305" s="8" t="n">
        <x:f>H2305*IF(AND(OR(AB2304/AE2304&gt;=v01_FissionTrigger*N2305,AC2305=1),AB2304/AE2304*v01_DaughterShare&gt;=v01_MinDaughter),MAX(1,ROUND(AE2304*v01_FissionRate,0)),0)</x:f>
        <x:v>0</x:v>
      </x:c>
      <x:c r="AE2305" s="8" t="n">
        <x:f>IF(H2305=1,MAX(1,MIN(INDEX(v01_Smax,G2305),AE2304+AD2305)),AE2304)</x:f>
        <x:v>15</x:v>
      </x:c>
      <x:c r="AF2305" s="8" t="n">
        <x:f>MAX(0,AE2305-AE2304)</x:f>
        <x:v>0</x:v>
      </x:c>
      <x:c r="AG2305" s="9" t="str">
        <x:f>IF(AF2305&gt;0,B2305,"")</x:f>
      </x:c>
      <x:c r="AH2305" s="9" t="n">
        <x:f>IF(F2305&gt;=1,1,(1+v01_LowTiesShare*(AE2305-1))/AE2305)</x:f>
        <x:v>1</x:v>
      </x:c>
      <x:c r="AI2305" s="32" t="n">
        <x:f>(Z2305+v01_ElderCommons*INDEX(LM_Elder,G2305)*AA2305)*AH2305</x:f>
        <x:v>64139.732591141874</x:v>
      </x:c>
      <x:c r="AJ2305" s="32" t="n">
        <x:f>H2305*v01_CommonsCoef*AI2305^v01_CommonsExp*INDEX(LM_Commons,G2305)</x:f>
        <x:v>0</x:v>
      </x:c>
      <x:c r="AK2305" s="32" t="n">
        <x:f>H2305*v01_RoleScale*Arch_Roles*(AE2305*(INDEX(v01_ElderRolePerSett,G2305)*v01_OutElder*INDEX(LM_Elder,G2305)+INDEX(v01_ShamanPerSett,G2305)*v01_OutShaman)+Z2305*(INDEX(v01_PriestShare,G2305)*v01_OutPriest+INDEX(v01_ScribeShare,G2305)*v01_OutScribe*INDEX(LM_Scribe,G2305)+INDEX(v01_ScholarShare,G2305)*v01_OutScholar*INDEX(LM_Scholar,G2305)+INDEX(v01_ResearcherShare,G2305)*v01_OutResearcher*INDEX(LM_Researcher,G2305)))</x:f>
        <x:v>0</x:v>
      </x:c>
      <x:c r="AL2305" s="32" t="n">
        <x:f>H2305*v01_RoleScale*Arch_Roles*AE2305*INDEX(v01_MonasteryPerSett,G2305)*v01_OutMonastery*INDEX(LM_Monastery,G2305)</x:f>
        <x:v>0</x:v>
      </x:c>
      <x:c r="AM2305" s="32" t="n">
        <x:f>(AJ2305+AK2305+AL2305)/4*INDEX(LM_All,G2305)*INDEX(v01_Boon,G2305)*Arch_Insight</x:f>
        <x:v>0</x:v>
      </x:c>
      <x:c r="AN2305" s="32" t="n">
        <x:f>H2305*(v01_KHPerAdult*Z2305+v01_KHOfCommons*AJ2305/4*INDEX(LM_All,G2305))*v01_KHUsable*Arch_KH</x:f>
        <x:v>0</x:v>
      </x:c>
      <x:c r="AO2305" s="32" t="n">
        <x:f>MIN(AP2304+AN2305,AM2305*v01_KHMaxRatio)</x:f>
        <x:v>0</x:v>
      </x:c>
      <x:c r="AP2305" s="32" t="n">
        <x:f>AP2304+AN2305-AO2305</x:f>
        <x:v>0</x:v>
      </x:c>
      <x:c r="AQ2305" s="32" t="n">
        <x:f>AM2305+AO2305</x:f>
        <x:v>0</x:v>
      </x:c>
      <x:c r="AR2305" s="10" t="n">
        <x:f>IF(H2305=1,INDEX(v01_Req,G2305),0)</x:f>
        <x:v>0</x:v>
      </x:c>
      <x:c r="AS2305" s="32" t="n">
        <x:f>IF(H2305=1,IF(E2305=1,AS2304-AR2304,AS2304)+AQ2305,0)</x:f>
        <x:v>0</x:v>
      </x:c>
      <x:c r="AT2305" s="11" t="n">
        <x:f>IF(AR2305&gt;0,MIN(1,AS2305/AR2305),1)</x:f>
        <x:v>1</x:v>
      </x:c>
      <x:c r="AU2305" s="10" t="n">
        <x:f>AB2305/INDEX(v01_RepScale,G2305)</x:f>
        <x:v>90.09519605746344</x:v>
      </x:c>
      <x:c r="AV2305" s="32" t="n">
        <x:f>AM2305*60/v01_SeasonSeconds</x:f>
        <x:v>0</x:v>
      </x:c>
    </x:row>
    <x:row r="2306">
      <x:c r="A2306" s="8" t="n">
        <x:f>A2305+1</x:f>
        <x:v>2303</x:v>
      </x:c>
      <x:c r="B2306" s="9" t="n">
        <x:f>A2306*v01_SeasonSeconds/60</x:f>
        <x:v>575.75</x:v>
      </x:c>
      <x:c r="C2306" s="9" t="n">
        <x:f>A2306/4</x:f>
        <x:v>575.75</x:v>
      </x:c>
      <x:c r="D2306" s="8" t="n">
        <x:f>IF(MOD(A2306,4)=0,1,0)</x:f>
        <x:v>0</x:v>
      </x:c>
      <x:c r="E2306" s="8" t="n">
        <x:f>IF(AND(F2305&lt;=9,AS2305&gt;=AR2305),1,0)</x:f>
        <x:v>0</x:v>
      </x:c>
      <x:c r="F2306" s="8" t="n">
        <x:f>MIN(10,F2305+E2306)</x:f>
        <x:v>10</x:v>
      </x:c>
      <x:c r="G2306" s="8" t="n">
        <x:f>MIN(F2306,9)+1</x:f>
        <x:v>10</x:v>
      </x:c>
      <x:c r="H2306" s="8" t="n">
        <x:f>IF(F2306&lt;=9,1,0)</x:f>
        <x:v>0</x:v>
      </x:c>
      <x:c r="I2306" s="9" t="n">
        <x:f>MIN(10,F2305+IF(AR2305&gt;0,MIN(1,AS2305/AR2305),1))</x:f>
        <x:v>10</x:v>
      </x:c>
      <x:c r="J2306" s="32" t="n">
        <x:f>INDEX(v01_FoodCap,G2306)*Arch_FoodCap*EXP(v01_CapsByProject*SUMPRODUCT((Cap_Point&lt;=I2306)*(Cap_Kind="Food")*Cap_Ln))</x:f>
        <x:v>12000</x:v>
      </x:c>
      <x:c r="K2306" s="32" t="n">
        <x:f>J2306*MIN(1,v01_LeanBase*EXP(v01_CapsByProject*SUMPRODUCT((Cap_Point&lt;=I2306)*(Cap_Kind="Lean")*Cap_Ln)))</x:f>
        <x:v>12000</x:v>
      </x:c>
      <x:c r="L2306" s="10" t="n">
        <x:f>INDEX(v01_HousingCap,G2306)*EXP(v01_CapsByProject*SUMPRODUCT((Cap_Point&lt;=I2306)*(Cap_Kind="Housing")*Cap_Ln))</x:f>
        <x:v>20000</x:v>
      </x:c>
      <x:c r="M2306" s="10" t="n">
        <x:f>INDEX(v01_GroupCap,G2306)*v01_CohesionFactor*EXP(v01_CapsByProject*SUMPRODUCT((Cap_Point&lt;=I2306)*(Cap_Kind="Group")*Cap_Ln))</x:f>
        <x:v>1000000</x:v>
      </x:c>
      <x:c r="N2306" s="32" t="n">
        <x:f>MIN(J2306,L2306,M2306)</x:f>
        <x:v>12000</x:v>
      </x:c>
      <x:c r="O2306" s="10" t="n">
        <x:f>AE2305*N2306</x:f>
        <x:v>180000</x:v>
      </x:c>
      <x:c r="P2306" s="9" t="n">
        <x:f>MIN(1,(AB2305/(AE2305*IF(v01_GroupInCrowding=1,N2306,MIN(J2306,L2306))))^v01_CrowdingExp)</x:f>
        <x:v>0.00024569414295285325</x:v>
      </x:c>
      <x:c r="Q2306" s="9" t="n">
        <x:f>IF(D2306=1,INDEX(v01_WinterMult,G2306),1)</x:f>
        <x:v>1</x:v>
      </x:c>
      <x:c r="R2306" s="9" t="n">
        <x:f>H2306*Z2305*v01_WomenShare*v01_BaseFertility*INDEX(v01_FertMult,G2306)*Arch_Fertility*(1-P2306)</x:f>
        <x:v>0</x:v>
      </x:c>
      <x:c r="S2306" s="9" t="n">
        <x:f>H2306*Y2305*INDEX(v01_MortChild,G2306)/4*Q2306</x:f>
        <x:v>0</x:v>
      </x:c>
      <x:c r="T2306" s="9" t="n">
        <x:f>H2306*Z2305*INDEX(v01_MortAdult,G2306)*Arch_AdultMort/4*Q2306</x:f>
        <x:v>0</x:v>
      </x:c>
      <x:c r="U2306" s="9" t="n">
        <x:f>H2306*AA2305*INDEX(v01_MortElder,G2306)/4*Q2306</x:f>
        <x:v>0</x:v>
      </x:c>
      <x:c r="V2306" s="9" t="n">
        <x:f>H2306*MAX(0,AB2305-O2306)*v01_OvercapLoss</x:f>
        <x:v>0</x:v>
      </x:c>
      <x:c r="W2306" s="9" t="n">
        <x:f>H2306*Y2305/(v01_ChildYears*4)</x:f>
        <x:v>0</x:v>
      </x:c>
      <x:c r="X2306" s="9" t="n">
        <x:f>H2306*Z2305/(v01_AdultYears*4)</x:f>
        <x:v>0</x:v>
      </x:c>
      <x:c r="Y2306" s="32" t="n">
        <x:f>Y2305+R2306-S2306-W2306-Y2305*V2306/AB2305</x:f>
        <x:v>14306.18539759397</x:v>
      </x:c>
      <x:c r="Z2306" s="32" t="n">
        <x:f>Z2305+W2306-X2306-T2306-Z2305*V2306/AB2305</x:f>
        <x:v>19354.456567879548</x:v>
      </x:c>
      <x:c r="AA2306" s="32" t="n">
        <x:f>AA2305+X2306-U2306-AA2305*V2306/AB2305</x:f>
        <x:v>11386.956063258198</x:v>
      </x:c>
      <x:c r="AB2306" s="10" t="n">
        <x:f>Y2306+Z2306+AA2306</x:f>
        <x:v>45047.59802873172</x:v>
      </x:c>
      <x:c r="AC2306" s="8" t="n">
        <x:f>IF(AND(v01_WinterTrigger=1,D2306=1,AB2305/AE2305&gt;=K2306),1,0)</x:f>
        <x:v>0</x:v>
      </x:c>
      <x:c r="AD2306" s="8" t="n">
        <x:f>H2306*IF(AND(OR(AB2305/AE2305&gt;=v01_FissionTrigger*N2306,AC2306=1),AB2305/AE2305*v01_DaughterShare&gt;=v01_MinDaughter),MAX(1,ROUND(AE2305*v01_FissionRate,0)),0)</x:f>
        <x:v>0</x:v>
      </x:c>
      <x:c r="AE2306" s="8" t="n">
        <x:f>IF(H2306=1,MAX(1,MIN(INDEX(v01_Smax,G2306),AE2305+AD2306)),AE2305)</x:f>
        <x:v>15</x:v>
      </x:c>
      <x:c r="AF2306" s="8" t="n">
        <x:f>MAX(0,AE2306-AE2305)</x:f>
        <x:v>0</x:v>
      </x:c>
      <x:c r="AG2306" s="9" t="str">
        <x:f>IF(AF2306&gt;0,B2306,"")</x:f>
      </x:c>
      <x:c r="AH2306" s="9" t="n">
        <x:f>IF(F2306&gt;=1,1,(1+v01_LowTiesShare*(AE2306-1))/AE2306)</x:f>
        <x:v>1</x:v>
      </x:c>
      <x:c r="AI2306" s="32" t="n">
        <x:f>(Z2306+v01_ElderCommons*INDEX(LM_Elder,G2306)*AA2306)*AH2306</x:f>
        <x:v>64139.732591141874</x:v>
      </x:c>
      <x:c r="AJ2306" s="32" t="n">
        <x:f>H2306*v01_CommonsCoef*AI2306^v01_CommonsExp*INDEX(LM_Commons,G2306)</x:f>
        <x:v>0</x:v>
      </x:c>
      <x:c r="AK2306" s="32" t="n">
        <x:f>H2306*v01_RoleScale*Arch_Roles*(AE2306*(INDEX(v01_ElderRolePerSett,G2306)*v01_OutElder*INDEX(LM_Elder,G2306)+INDEX(v01_ShamanPerSett,G2306)*v01_OutShaman)+Z2306*(INDEX(v01_PriestShare,G2306)*v01_OutPriest+INDEX(v01_ScribeShare,G2306)*v01_OutScribe*INDEX(LM_Scribe,G2306)+INDEX(v01_ScholarShare,G2306)*v01_OutScholar*INDEX(LM_Scholar,G2306)+INDEX(v01_ResearcherShare,G2306)*v01_OutResearcher*INDEX(LM_Researcher,G2306)))</x:f>
        <x:v>0</x:v>
      </x:c>
      <x:c r="AL2306" s="32" t="n">
        <x:f>H2306*v01_RoleScale*Arch_Roles*AE2306*INDEX(v01_MonasteryPerSett,G2306)*v01_OutMonastery*INDEX(LM_Monastery,G2306)</x:f>
        <x:v>0</x:v>
      </x:c>
      <x:c r="AM2306" s="32" t="n">
        <x:f>(AJ2306+AK2306+AL2306)/4*INDEX(LM_All,G2306)*INDEX(v01_Boon,G2306)*Arch_Insight</x:f>
        <x:v>0</x:v>
      </x:c>
      <x:c r="AN2306" s="32" t="n">
        <x:f>H2306*(v01_KHPerAdult*Z2306+v01_KHOfCommons*AJ2306/4*INDEX(LM_All,G2306))*v01_KHUsable*Arch_KH</x:f>
        <x:v>0</x:v>
      </x:c>
      <x:c r="AO2306" s="32" t="n">
        <x:f>MIN(AP2305+AN2306,AM2306*v01_KHMaxRatio)</x:f>
        <x:v>0</x:v>
      </x:c>
      <x:c r="AP2306" s="32" t="n">
        <x:f>AP2305+AN2306-AO2306</x:f>
        <x:v>0</x:v>
      </x:c>
      <x:c r="AQ2306" s="32" t="n">
        <x:f>AM2306+AO2306</x:f>
        <x:v>0</x:v>
      </x:c>
      <x:c r="AR2306" s="10" t="n">
        <x:f>IF(H2306=1,INDEX(v01_Req,G2306),0)</x:f>
        <x:v>0</x:v>
      </x:c>
      <x:c r="AS2306" s="32" t="n">
        <x:f>IF(H2306=1,IF(E2306=1,AS2305-AR2305,AS2305)+AQ2306,0)</x:f>
        <x:v>0</x:v>
      </x:c>
      <x:c r="AT2306" s="11" t="n">
        <x:f>IF(AR2306&gt;0,MIN(1,AS2306/AR2306),1)</x:f>
        <x:v>1</x:v>
      </x:c>
      <x:c r="AU2306" s="10" t="n">
        <x:f>AB2306/INDEX(v01_RepScale,G2306)</x:f>
        <x:v>90.09519605746344</x:v>
      </x:c>
      <x:c r="AV2306" s="32" t="n">
        <x:f>AM2306*60/v01_SeasonSeconds</x:f>
        <x:v>0</x:v>
      </x:c>
    </x:row>
    <x:row r="2307">
      <x:c r="A2307" s="8" t="n">
        <x:f>A2306+1</x:f>
        <x:v>2304</x:v>
      </x:c>
      <x:c r="B2307" s="9" t="n">
        <x:f>A2307*v01_SeasonSeconds/60</x:f>
        <x:v>576</x:v>
      </x:c>
      <x:c r="C2307" s="9" t="n">
        <x:f>A2307/4</x:f>
        <x:v>576</x:v>
      </x:c>
      <x:c r="D2307" s="8" t="n">
        <x:f>IF(MOD(A2307,4)=0,1,0)</x:f>
        <x:v>1</x:v>
      </x:c>
      <x:c r="E2307" s="8" t="n">
        <x:f>IF(AND(F2306&lt;=9,AS2306&gt;=AR2306),1,0)</x:f>
        <x:v>0</x:v>
      </x:c>
      <x:c r="F2307" s="8" t="n">
        <x:f>MIN(10,F2306+E2307)</x:f>
        <x:v>10</x:v>
      </x:c>
      <x:c r="G2307" s="8" t="n">
        <x:f>MIN(F2307,9)+1</x:f>
        <x:v>10</x:v>
      </x:c>
      <x:c r="H2307" s="8" t="n">
        <x:f>IF(F2307&lt;=9,1,0)</x:f>
        <x:v>0</x:v>
      </x:c>
      <x:c r="I2307" s="9" t="n">
        <x:f>MIN(10,F2306+IF(AR2306&gt;0,MIN(1,AS2306/AR2306),1))</x:f>
        <x:v>10</x:v>
      </x:c>
      <x:c r="J2307" s="32" t="n">
        <x:f>INDEX(v01_FoodCap,G2307)*Arch_FoodCap*EXP(v01_CapsByProject*SUMPRODUCT((Cap_Point&lt;=I2307)*(Cap_Kind="Food")*Cap_Ln))</x:f>
        <x:v>12000</x:v>
      </x:c>
      <x:c r="K2307" s="32" t="n">
        <x:f>J2307*MIN(1,v01_LeanBase*EXP(v01_CapsByProject*SUMPRODUCT((Cap_Point&lt;=I2307)*(Cap_Kind="Lean")*Cap_Ln)))</x:f>
        <x:v>12000</x:v>
      </x:c>
      <x:c r="L2307" s="10" t="n">
        <x:f>INDEX(v01_HousingCap,G2307)*EXP(v01_CapsByProject*SUMPRODUCT((Cap_Point&lt;=I2307)*(Cap_Kind="Housing")*Cap_Ln))</x:f>
        <x:v>20000</x:v>
      </x:c>
      <x:c r="M2307" s="10" t="n">
        <x:f>INDEX(v01_GroupCap,G2307)*v01_CohesionFactor*EXP(v01_CapsByProject*SUMPRODUCT((Cap_Point&lt;=I2307)*(Cap_Kind="Group")*Cap_Ln))</x:f>
        <x:v>1000000</x:v>
      </x:c>
      <x:c r="N2307" s="32" t="n">
        <x:f>MIN(J2307,L2307,M2307)</x:f>
        <x:v>12000</x:v>
      </x:c>
      <x:c r="O2307" s="10" t="n">
        <x:f>AE2306*N2307</x:f>
        <x:v>180000</x:v>
      </x:c>
      <x:c r="P2307" s="9" t="n">
        <x:f>MIN(1,(AB2306/(AE2306*IF(v01_GroupInCrowding=1,N2307,MIN(J2307,L2307))))^v01_CrowdingExp)</x:f>
        <x:v>0.00024569414295285325</x:v>
      </x:c>
      <x:c r="Q2307" s="9" t="n">
        <x:f>IF(D2307=1,INDEX(v01_WinterMult,G2307),1)</x:f>
        <x:v>1</x:v>
      </x:c>
      <x:c r="R2307" s="9" t="n">
        <x:f>H2307*Z2306*v01_WomenShare*v01_BaseFertility*INDEX(v01_FertMult,G2307)*Arch_Fertility*(1-P2307)</x:f>
        <x:v>0</x:v>
      </x:c>
      <x:c r="S2307" s="9" t="n">
        <x:f>H2307*Y2306*INDEX(v01_MortChild,G2307)/4*Q2307</x:f>
        <x:v>0</x:v>
      </x:c>
      <x:c r="T2307" s="9" t="n">
        <x:f>H2307*Z2306*INDEX(v01_MortAdult,G2307)*Arch_AdultMort/4*Q2307</x:f>
        <x:v>0</x:v>
      </x:c>
      <x:c r="U2307" s="9" t="n">
        <x:f>H2307*AA2306*INDEX(v01_MortElder,G2307)/4*Q2307</x:f>
        <x:v>0</x:v>
      </x:c>
      <x:c r="V2307" s="9" t="n">
        <x:f>H2307*MAX(0,AB2306-O2307)*v01_OvercapLoss</x:f>
        <x:v>0</x:v>
      </x:c>
      <x:c r="W2307" s="9" t="n">
        <x:f>H2307*Y2306/(v01_ChildYears*4)</x:f>
        <x:v>0</x:v>
      </x:c>
      <x:c r="X2307" s="9" t="n">
        <x:f>H2307*Z2306/(v01_AdultYears*4)</x:f>
        <x:v>0</x:v>
      </x:c>
      <x:c r="Y2307" s="32" t="n">
        <x:f>Y2306+R2307-S2307-W2307-Y2306*V2307/AB2306</x:f>
        <x:v>14306.18539759397</x:v>
      </x:c>
      <x:c r="Z2307" s="32" t="n">
        <x:f>Z2306+W2307-X2307-T2307-Z2306*V2307/AB2306</x:f>
        <x:v>19354.456567879548</x:v>
      </x:c>
      <x:c r="AA2307" s="32" t="n">
        <x:f>AA2306+X2307-U2307-AA2306*V2307/AB2306</x:f>
        <x:v>11386.956063258198</x:v>
      </x:c>
      <x:c r="AB2307" s="10" t="n">
        <x:f>Y2307+Z2307+AA2307</x:f>
        <x:v>45047.59802873172</x:v>
      </x:c>
      <x:c r="AC2307" s="8" t="n">
        <x:f>IF(AND(v01_WinterTrigger=1,D2307=1,AB2306/AE2306&gt;=K2307),1,0)</x:f>
        <x:v>0</x:v>
      </x:c>
      <x:c r="AD2307" s="8" t="n">
        <x:f>H2307*IF(AND(OR(AB2306/AE2306&gt;=v01_FissionTrigger*N2307,AC2307=1),AB2306/AE2306*v01_DaughterShare&gt;=v01_MinDaughter),MAX(1,ROUND(AE2306*v01_FissionRate,0)),0)</x:f>
        <x:v>0</x:v>
      </x:c>
      <x:c r="AE2307" s="8" t="n">
        <x:f>IF(H2307=1,MAX(1,MIN(INDEX(v01_Smax,G2307),AE2306+AD2307)),AE2306)</x:f>
        <x:v>15</x:v>
      </x:c>
      <x:c r="AF2307" s="8" t="n">
        <x:f>MAX(0,AE2307-AE2306)</x:f>
        <x:v>0</x:v>
      </x:c>
      <x:c r="AG2307" s="9" t="str">
        <x:f>IF(AF2307&gt;0,B2307,"")</x:f>
      </x:c>
      <x:c r="AH2307" s="9" t="n">
        <x:f>IF(F2307&gt;=1,1,(1+v01_LowTiesShare*(AE2307-1))/AE2307)</x:f>
        <x:v>1</x:v>
      </x:c>
      <x:c r="AI2307" s="32" t="n">
        <x:f>(Z2307+v01_ElderCommons*INDEX(LM_Elder,G2307)*AA2307)*AH2307</x:f>
        <x:v>64139.732591141874</x:v>
      </x:c>
      <x:c r="AJ2307" s="32" t="n">
        <x:f>H2307*v01_CommonsCoef*AI2307^v01_CommonsExp*INDEX(LM_Commons,G2307)</x:f>
        <x:v>0</x:v>
      </x:c>
      <x:c r="AK2307" s="32" t="n">
        <x:f>H2307*v01_RoleScale*Arch_Roles*(AE2307*(INDEX(v01_ElderRolePerSett,G2307)*v01_OutElder*INDEX(LM_Elder,G2307)+INDEX(v01_ShamanPerSett,G2307)*v01_OutShaman)+Z2307*(INDEX(v01_PriestShare,G2307)*v01_OutPriest+INDEX(v01_ScribeShare,G2307)*v01_OutScribe*INDEX(LM_Scribe,G2307)+INDEX(v01_ScholarShare,G2307)*v01_OutScholar*INDEX(LM_Scholar,G2307)+INDEX(v01_ResearcherShare,G2307)*v01_OutResearcher*INDEX(LM_Researcher,G2307)))</x:f>
        <x:v>0</x:v>
      </x:c>
      <x:c r="AL2307" s="32" t="n">
        <x:f>H2307*v01_RoleScale*Arch_Roles*AE2307*INDEX(v01_MonasteryPerSett,G2307)*v01_OutMonastery*INDEX(LM_Monastery,G2307)</x:f>
        <x:v>0</x:v>
      </x:c>
      <x:c r="AM2307" s="32" t="n">
        <x:f>(AJ2307+AK2307+AL2307)/4*INDEX(LM_All,G2307)*INDEX(v01_Boon,G2307)*Arch_Insight</x:f>
        <x:v>0</x:v>
      </x:c>
      <x:c r="AN2307" s="32" t="n">
        <x:f>H2307*(v01_KHPerAdult*Z2307+v01_KHOfCommons*AJ2307/4*INDEX(LM_All,G2307))*v01_KHUsable*Arch_KH</x:f>
        <x:v>0</x:v>
      </x:c>
      <x:c r="AO2307" s="32" t="n">
        <x:f>MIN(AP2306+AN2307,AM2307*v01_KHMaxRatio)</x:f>
        <x:v>0</x:v>
      </x:c>
      <x:c r="AP2307" s="32" t="n">
        <x:f>AP2306+AN2307-AO2307</x:f>
        <x:v>0</x:v>
      </x:c>
      <x:c r="AQ2307" s="32" t="n">
        <x:f>AM2307+AO2307</x:f>
        <x:v>0</x:v>
      </x:c>
      <x:c r="AR2307" s="10" t="n">
        <x:f>IF(H2307=1,INDEX(v01_Req,G2307),0)</x:f>
        <x:v>0</x:v>
      </x:c>
      <x:c r="AS2307" s="32" t="n">
        <x:f>IF(H2307=1,IF(E2307=1,AS2306-AR2306,AS2306)+AQ2307,0)</x:f>
        <x:v>0</x:v>
      </x:c>
      <x:c r="AT2307" s="11" t="n">
        <x:f>IF(AR2307&gt;0,MIN(1,AS2307/AR2307),1)</x:f>
        <x:v>1</x:v>
      </x:c>
      <x:c r="AU2307" s="10" t="n">
        <x:f>AB2307/INDEX(v01_RepScale,G2307)</x:f>
        <x:v>90.09519605746344</x:v>
      </x:c>
      <x:c r="AV2307" s="32" t="n">
        <x:f>AM2307*60/v01_SeasonSeconds</x:f>
        <x:v>0</x:v>
      </x:c>
    </x:row>
    <x:row r="2308">
      <x:c r="A2308" s="8" t="n">
        <x:f>A2307+1</x:f>
        <x:v>2305</x:v>
      </x:c>
      <x:c r="B2308" s="9" t="n">
        <x:f>A2308*v01_SeasonSeconds/60</x:f>
        <x:v>576.25</x:v>
      </x:c>
      <x:c r="C2308" s="9" t="n">
        <x:f>A2308/4</x:f>
        <x:v>576.25</x:v>
      </x:c>
      <x:c r="D2308" s="8" t="n">
        <x:f>IF(MOD(A2308,4)=0,1,0)</x:f>
        <x:v>0</x:v>
      </x:c>
      <x:c r="E2308" s="8" t="n">
        <x:f>IF(AND(F2307&lt;=9,AS2307&gt;=AR2307),1,0)</x:f>
        <x:v>0</x:v>
      </x:c>
      <x:c r="F2308" s="8" t="n">
        <x:f>MIN(10,F2307+E2308)</x:f>
        <x:v>10</x:v>
      </x:c>
      <x:c r="G2308" s="8" t="n">
        <x:f>MIN(F2308,9)+1</x:f>
        <x:v>10</x:v>
      </x:c>
      <x:c r="H2308" s="8" t="n">
        <x:f>IF(F2308&lt;=9,1,0)</x:f>
        <x:v>0</x:v>
      </x:c>
      <x:c r="I2308" s="9" t="n">
        <x:f>MIN(10,F2307+IF(AR2307&gt;0,MIN(1,AS2307/AR2307),1))</x:f>
        <x:v>10</x:v>
      </x:c>
      <x:c r="J2308" s="32" t="n">
        <x:f>INDEX(v01_FoodCap,G2308)*Arch_FoodCap*EXP(v01_CapsByProject*SUMPRODUCT((Cap_Point&lt;=I2308)*(Cap_Kind="Food")*Cap_Ln))</x:f>
        <x:v>12000</x:v>
      </x:c>
      <x:c r="K2308" s="32" t="n">
        <x:f>J2308*MIN(1,v01_LeanBase*EXP(v01_CapsByProject*SUMPRODUCT((Cap_Point&lt;=I2308)*(Cap_Kind="Lean")*Cap_Ln)))</x:f>
        <x:v>12000</x:v>
      </x:c>
      <x:c r="L2308" s="10" t="n">
        <x:f>INDEX(v01_HousingCap,G2308)*EXP(v01_CapsByProject*SUMPRODUCT((Cap_Point&lt;=I2308)*(Cap_Kind="Housing")*Cap_Ln))</x:f>
        <x:v>20000</x:v>
      </x:c>
      <x:c r="M2308" s="10" t="n">
        <x:f>INDEX(v01_GroupCap,G2308)*v01_CohesionFactor*EXP(v01_CapsByProject*SUMPRODUCT((Cap_Point&lt;=I2308)*(Cap_Kind="Group")*Cap_Ln))</x:f>
        <x:v>1000000</x:v>
      </x:c>
      <x:c r="N2308" s="32" t="n">
        <x:f>MIN(J2308,L2308,M2308)</x:f>
        <x:v>12000</x:v>
      </x:c>
      <x:c r="O2308" s="10" t="n">
        <x:f>AE2307*N2308</x:f>
        <x:v>180000</x:v>
      </x:c>
      <x:c r="P2308" s="9" t="n">
        <x:f>MIN(1,(AB2307/(AE2307*IF(v01_GroupInCrowding=1,N2308,MIN(J2308,L2308))))^v01_CrowdingExp)</x:f>
        <x:v>0.00024569414295285325</x:v>
      </x:c>
      <x:c r="Q2308" s="9" t="n">
        <x:f>IF(D2308=1,INDEX(v01_WinterMult,G2308),1)</x:f>
        <x:v>1</x:v>
      </x:c>
      <x:c r="R2308" s="9" t="n">
        <x:f>H2308*Z2307*v01_WomenShare*v01_BaseFertility*INDEX(v01_FertMult,G2308)*Arch_Fertility*(1-P2308)</x:f>
        <x:v>0</x:v>
      </x:c>
      <x:c r="S2308" s="9" t="n">
        <x:f>H2308*Y2307*INDEX(v01_MortChild,G2308)/4*Q2308</x:f>
        <x:v>0</x:v>
      </x:c>
      <x:c r="T2308" s="9" t="n">
        <x:f>H2308*Z2307*INDEX(v01_MortAdult,G2308)*Arch_AdultMort/4*Q2308</x:f>
        <x:v>0</x:v>
      </x:c>
      <x:c r="U2308" s="9" t="n">
        <x:f>H2308*AA2307*INDEX(v01_MortElder,G2308)/4*Q2308</x:f>
        <x:v>0</x:v>
      </x:c>
      <x:c r="V2308" s="9" t="n">
        <x:f>H2308*MAX(0,AB2307-O2308)*v01_OvercapLoss</x:f>
        <x:v>0</x:v>
      </x:c>
      <x:c r="W2308" s="9" t="n">
        <x:f>H2308*Y2307/(v01_ChildYears*4)</x:f>
        <x:v>0</x:v>
      </x:c>
      <x:c r="X2308" s="9" t="n">
        <x:f>H2308*Z2307/(v01_AdultYears*4)</x:f>
        <x:v>0</x:v>
      </x:c>
      <x:c r="Y2308" s="32" t="n">
        <x:f>Y2307+R2308-S2308-W2308-Y2307*V2308/AB2307</x:f>
        <x:v>14306.18539759397</x:v>
      </x:c>
      <x:c r="Z2308" s="32" t="n">
        <x:f>Z2307+W2308-X2308-T2308-Z2307*V2308/AB2307</x:f>
        <x:v>19354.456567879548</x:v>
      </x:c>
      <x:c r="AA2308" s="32" t="n">
        <x:f>AA2307+X2308-U2308-AA2307*V2308/AB2307</x:f>
        <x:v>11386.956063258198</x:v>
      </x:c>
      <x:c r="AB2308" s="10" t="n">
        <x:f>Y2308+Z2308+AA2308</x:f>
        <x:v>45047.59802873172</x:v>
      </x:c>
      <x:c r="AC2308" s="8" t="n">
        <x:f>IF(AND(v01_WinterTrigger=1,D2308=1,AB2307/AE2307&gt;=K2308),1,0)</x:f>
        <x:v>0</x:v>
      </x:c>
      <x:c r="AD2308" s="8" t="n">
        <x:f>H2308*IF(AND(OR(AB2307/AE2307&gt;=v01_FissionTrigger*N2308,AC2308=1),AB2307/AE2307*v01_DaughterShare&gt;=v01_MinDaughter),MAX(1,ROUND(AE2307*v01_FissionRate,0)),0)</x:f>
        <x:v>0</x:v>
      </x:c>
      <x:c r="AE2308" s="8" t="n">
        <x:f>IF(H2308=1,MAX(1,MIN(INDEX(v01_Smax,G2308),AE2307+AD2308)),AE2307)</x:f>
        <x:v>15</x:v>
      </x:c>
      <x:c r="AF2308" s="8" t="n">
        <x:f>MAX(0,AE2308-AE2307)</x:f>
        <x:v>0</x:v>
      </x:c>
      <x:c r="AG2308" s="9" t="str">
        <x:f>IF(AF2308&gt;0,B2308,"")</x:f>
      </x:c>
      <x:c r="AH2308" s="9" t="n">
        <x:f>IF(F2308&gt;=1,1,(1+v01_LowTiesShare*(AE2308-1))/AE2308)</x:f>
        <x:v>1</x:v>
      </x:c>
      <x:c r="AI2308" s="32" t="n">
        <x:f>(Z2308+v01_ElderCommons*INDEX(LM_Elder,G2308)*AA2308)*AH2308</x:f>
        <x:v>64139.732591141874</x:v>
      </x:c>
      <x:c r="AJ2308" s="32" t="n">
        <x:f>H2308*v01_CommonsCoef*AI2308^v01_CommonsExp*INDEX(LM_Commons,G2308)</x:f>
        <x:v>0</x:v>
      </x:c>
      <x:c r="AK2308" s="32" t="n">
        <x:f>H2308*v01_RoleScale*Arch_Roles*(AE2308*(INDEX(v01_ElderRolePerSett,G2308)*v01_OutElder*INDEX(LM_Elder,G2308)+INDEX(v01_ShamanPerSett,G2308)*v01_OutShaman)+Z2308*(INDEX(v01_PriestShare,G2308)*v01_OutPriest+INDEX(v01_ScribeShare,G2308)*v01_OutScribe*INDEX(LM_Scribe,G2308)+INDEX(v01_ScholarShare,G2308)*v01_OutScholar*INDEX(LM_Scholar,G2308)+INDEX(v01_ResearcherShare,G2308)*v01_OutResearcher*INDEX(LM_Researcher,G2308)))</x:f>
        <x:v>0</x:v>
      </x:c>
      <x:c r="AL2308" s="32" t="n">
        <x:f>H2308*v01_RoleScale*Arch_Roles*AE2308*INDEX(v01_MonasteryPerSett,G2308)*v01_OutMonastery*INDEX(LM_Monastery,G2308)</x:f>
        <x:v>0</x:v>
      </x:c>
      <x:c r="AM2308" s="32" t="n">
        <x:f>(AJ2308+AK2308+AL2308)/4*INDEX(LM_All,G2308)*INDEX(v01_Boon,G2308)*Arch_Insight</x:f>
        <x:v>0</x:v>
      </x:c>
      <x:c r="AN2308" s="32" t="n">
        <x:f>H2308*(v01_KHPerAdult*Z2308+v01_KHOfCommons*AJ2308/4*INDEX(LM_All,G2308))*v01_KHUsable*Arch_KH</x:f>
        <x:v>0</x:v>
      </x:c>
      <x:c r="AO2308" s="32" t="n">
        <x:f>MIN(AP2307+AN2308,AM2308*v01_KHMaxRatio)</x:f>
        <x:v>0</x:v>
      </x:c>
      <x:c r="AP2308" s="32" t="n">
        <x:f>AP2307+AN2308-AO2308</x:f>
        <x:v>0</x:v>
      </x:c>
      <x:c r="AQ2308" s="32" t="n">
        <x:f>AM2308+AO2308</x:f>
        <x:v>0</x:v>
      </x:c>
      <x:c r="AR2308" s="10" t="n">
        <x:f>IF(H2308=1,INDEX(v01_Req,G2308),0)</x:f>
        <x:v>0</x:v>
      </x:c>
      <x:c r="AS2308" s="32" t="n">
        <x:f>IF(H2308=1,IF(E2308=1,AS2307-AR2307,AS2307)+AQ2308,0)</x:f>
        <x:v>0</x:v>
      </x:c>
      <x:c r="AT2308" s="11" t="n">
        <x:f>IF(AR2308&gt;0,MIN(1,AS2308/AR2308),1)</x:f>
        <x:v>1</x:v>
      </x:c>
      <x:c r="AU2308" s="10" t="n">
        <x:f>AB2308/INDEX(v01_RepScale,G2308)</x:f>
        <x:v>90.09519605746344</x:v>
      </x:c>
      <x:c r="AV2308" s="32" t="n">
        <x:f>AM2308*60/v01_SeasonSeconds</x:f>
        <x:v>0</x:v>
      </x:c>
    </x:row>
    <x:row r="2309">
      <x:c r="A2309" s="8" t="n">
        <x:f>A2308+1</x:f>
        <x:v>2306</x:v>
      </x:c>
      <x:c r="B2309" s="9" t="n">
        <x:f>A2309*v01_SeasonSeconds/60</x:f>
        <x:v>576.5</x:v>
      </x:c>
      <x:c r="C2309" s="9" t="n">
        <x:f>A2309/4</x:f>
        <x:v>576.5</x:v>
      </x:c>
      <x:c r="D2309" s="8" t="n">
        <x:f>IF(MOD(A2309,4)=0,1,0)</x:f>
        <x:v>0</x:v>
      </x:c>
      <x:c r="E2309" s="8" t="n">
        <x:f>IF(AND(F2308&lt;=9,AS2308&gt;=AR2308),1,0)</x:f>
        <x:v>0</x:v>
      </x:c>
      <x:c r="F2309" s="8" t="n">
        <x:f>MIN(10,F2308+E2309)</x:f>
        <x:v>10</x:v>
      </x:c>
      <x:c r="G2309" s="8" t="n">
        <x:f>MIN(F2309,9)+1</x:f>
        <x:v>10</x:v>
      </x:c>
      <x:c r="H2309" s="8" t="n">
        <x:f>IF(F2309&lt;=9,1,0)</x:f>
        <x:v>0</x:v>
      </x:c>
      <x:c r="I2309" s="9" t="n">
        <x:f>MIN(10,F2308+IF(AR2308&gt;0,MIN(1,AS2308/AR2308),1))</x:f>
        <x:v>10</x:v>
      </x:c>
      <x:c r="J2309" s="32" t="n">
        <x:f>INDEX(v01_FoodCap,G2309)*Arch_FoodCap*EXP(v01_CapsByProject*SUMPRODUCT((Cap_Point&lt;=I2309)*(Cap_Kind="Food")*Cap_Ln))</x:f>
        <x:v>12000</x:v>
      </x:c>
      <x:c r="K2309" s="32" t="n">
        <x:f>J2309*MIN(1,v01_LeanBase*EXP(v01_CapsByProject*SUMPRODUCT((Cap_Point&lt;=I2309)*(Cap_Kind="Lean")*Cap_Ln)))</x:f>
        <x:v>12000</x:v>
      </x:c>
      <x:c r="L2309" s="10" t="n">
        <x:f>INDEX(v01_HousingCap,G2309)*EXP(v01_CapsByProject*SUMPRODUCT((Cap_Point&lt;=I2309)*(Cap_Kind="Housing")*Cap_Ln))</x:f>
        <x:v>20000</x:v>
      </x:c>
      <x:c r="M2309" s="10" t="n">
        <x:f>INDEX(v01_GroupCap,G2309)*v01_CohesionFactor*EXP(v01_CapsByProject*SUMPRODUCT((Cap_Point&lt;=I2309)*(Cap_Kind="Group")*Cap_Ln))</x:f>
        <x:v>1000000</x:v>
      </x:c>
      <x:c r="N2309" s="32" t="n">
        <x:f>MIN(J2309,L2309,M2309)</x:f>
        <x:v>12000</x:v>
      </x:c>
      <x:c r="O2309" s="10" t="n">
        <x:f>AE2308*N2309</x:f>
        <x:v>180000</x:v>
      </x:c>
      <x:c r="P2309" s="9" t="n">
        <x:f>MIN(1,(AB2308/(AE2308*IF(v01_GroupInCrowding=1,N2309,MIN(J2309,L2309))))^v01_CrowdingExp)</x:f>
        <x:v>0.00024569414295285325</x:v>
      </x:c>
      <x:c r="Q2309" s="9" t="n">
        <x:f>IF(D2309=1,INDEX(v01_WinterMult,G2309),1)</x:f>
        <x:v>1</x:v>
      </x:c>
      <x:c r="R2309" s="9" t="n">
        <x:f>H2309*Z2308*v01_WomenShare*v01_BaseFertility*INDEX(v01_FertMult,G2309)*Arch_Fertility*(1-P2309)</x:f>
        <x:v>0</x:v>
      </x:c>
      <x:c r="S2309" s="9" t="n">
        <x:f>H2309*Y2308*INDEX(v01_MortChild,G2309)/4*Q2309</x:f>
        <x:v>0</x:v>
      </x:c>
      <x:c r="T2309" s="9" t="n">
        <x:f>H2309*Z2308*INDEX(v01_MortAdult,G2309)*Arch_AdultMort/4*Q2309</x:f>
        <x:v>0</x:v>
      </x:c>
      <x:c r="U2309" s="9" t="n">
        <x:f>H2309*AA2308*INDEX(v01_MortElder,G2309)/4*Q2309</x:f>
        <x:v>0</x:v>
      </x:c>
      <x:c r="V2309" s="9" t="n">
        <x:f>H2309*MAX(0,AB2308-O2309)*v01_OvercapLoss</x:f>
        <x:v>0</x:v>
      </x:c>
      <x:c r="W2309" s="9" t="n">
        <x:f>H2309*Y2308/(v01_ChildYears*4)</x:f>
        <x:v>0</x:v>
      </x:c>
      <x:c r="X2309" s="9" t="n">
        <x:f>H2309*Z2308/(v01_AdultYears*4)</x:f>
        <x:v>0</x:v>
      </x:c>
      <x:c r="Y2309" s="32" t="n">
        <x:f>Y2308+R2309-S2309-W2309-Y2308*V2309/AB2308</x:f>
        <x:v>14306.18539759397</x:v>
      </x:c>
      <x:c r="Z2309" s="32" t="n">
        <x:f>Z2308+W2309-X2309-T2309-Z2308*V2309/AB2308</x:f>
        <x:v>19354.456567879548</x:v>
      </x:c>
      <x:c r="AA2309" s="32" t="n">
        <x:f>AA2308+X2309-U2309-AA2308*V2309/AB2308</x:f>
        <x:v>11386.956063258198</x:v>
      </x:c>
      <x:c r="AB2309" s="10" t="n">
        <x:f>Y2309+Z2309+AA2309</x:f>
        <x:v>45047.59802873172</x:v>
      </x:c>
      <x:c r="AC2309" s="8" t="n">
        <x:f>IF(AND(v01_WinterTrigger=1,D2309=1,AB2308/AE2308&gt;=K2309),1,0)</x:f>
        <x:v>0</x:v>
      </x:c>
      <x:c r="AD2309" s="8" t="n">
        <x:f>H2309*IF(AND(OR(AB2308/AE2308&gt;=v01_FissionTrigger*N2309,AC2309=1),AB2308/AE2308*v01_DaughterShare&gt;=v01_MinDaughter),MAX(1,ROUND(AE2308*v01_FissionRate,0)),0)</x:f>
        <x:v>0</x:v>
      </x:c>
      <x:c r="AE2309" s="8" t="n">
        <x:f>IF(H2309=1,MAX(1,MIN(INDEX(v01_Smax,G2309),AE2308+AD2309)),AE2308)</x:f>
        <x:v>15</x:v>
      </x:c>
      <x:c r="AF2309" s="8" t="n">
        <x:f>MAX(0,AE2309-AE2308)</x:f>
        <x:v>0</x:v>
      </x:c>
      <x:c r="AG2309" s="9" t="str">
        <x:f>IF(AF2309&gt;0,B2309,"")</x:f>
      </x:c>
      <x:c r="AH2309" s="9" t="n">
        <x:f>IF(F2309&gt;=1,1,(1+v01_LowTiesShare*(AE2309-1))/AE2309)</x:f>
        <x:v>1</x:v>
      </x:c>
      <x:c r="AI2309" s="32" t="n">
        <x:f>(Z2309+v01_ElderCommons*INDEX(LM_Elder,G2309)*AA2309)*AH2309</x:f>
        <x:v>64139.732591141874</x:v>
      </x:c>
      <x:c r="AJ2309" s="32" t="n">
        <x:f>H2309*v01_CommonsCoef*AI2309^v01_CommonsExp*INDEX(LM_Commons,G2309)</x:f>
        <x:v>0</x:v>
      </x:c>
      <x:c r="AK2309" s="32" t="n">
        <x:f>H2309*v01_RoleScale*Arch_Roles*(AE2309*(INDEX(v01_ElderRolePerSett,G2309)*v01_OutElder*INDEX(LM_Elder,G2309)+INDEX(v01_ShamanPerSett,G2309)*v01_OutShaman)+Z2309*(INDEX(v01_PriestShare,G2309)*v01_OutPriest+INDEX(v01_ScribeShare,G2309)*v01_OutScribe*INDEX(LM_Scribe,G2309)+INDEX(v01_ScholarShare,G2309)*v01_OutScholar*INDEX(LM_Scholar,G2309)+INDEX(v01_ResearcherShare,G2309)*v01_OutResearcher*INDEX(LM_Researcher,G2309)))</x:f>
        <x:v>0</x:v>
      </x:c>
      <x:c r="AL2309" s="32" t="n">
        <x:f>H2309*v01_RoleScale*Arch_Roles*AE2309*INDEX(v01_MonasteryPerSett,G2309)*v01_OutMonastery*INDEX(LM_Monastery,G2309)</x:f>
        <x:v>0</x:v>
      </x:c>
      <x:c r="AM2309" s="32" t="n">
        <x:f>(AJ2309+AK2309+AL2309)/4*INDEX(LM_All,G2309)*INDEX(v01_Boon,G2309)*Arch_Insight</x:f>
        <x:v>0</x:v>
      </x:c>
      <x:c r="AN2309" s="32" t="n">
        <x:f>H2309*(v01_KHPerAdult*Z2309+v01_KHOfCommons*AJ2309/4*INDEX(LM_All,G2309))*v01_KHUsable*Arch_KH</x:f>
        <x:v>0</x:v>
      </x:c>
      <x:c r="AO2309" s="32" t="n">
        <x:f>MIN(AP2308+AN2309,AM2309*v01_KHMaxRatio)</x:f>
        <x:v>0</x:v>
      </x:c>
      <x:c r="AP2309" s="32" t="n">
        <x:f>AP2308+AN2309-AO2309</x:f>
        <x:v>0</x:v>
      </x:c>
      <x:c r="AQ2309" s="32" t="n">
        <x:f>AM2309+AO2309</x:f>
        <x:v>0</x:v>
      </x:c>
      <x:c r="AR2309" s="10" t="n">
        <x:f>IF(H2309=1,INDEX(v01_Req,G2309),0)</x:f>
        <x:v>0</x:v>
      </x:c>
      <x:c r="AS2309" s="32" t="n">
        <x:f>IF(H2309=1,IF(E2309=1,AS2308-AR2308,AS2308)+AQ2309,0)</x:f>
        <x:v>0</x:v>
      </x:c>
      <x:c r="AT2309" s="11" t="n">
        <x:f>IF(AR2309&gt;0,MIN(1,AS2309/AR2309),1)</x:f>
        <x:v>1</x:v>
      </x:c>
      <x:c r="AU2309" s="10" t="n">
        <x:f>AB2309/INDEX(v01_RepScale,G2309)</x:f>
        <x:v>90.09519605746344</x:v>
      </x:c>
      <x:c r="AV2309" s="32" t="n">
        <x:f>AM2309*60/v01_SeasonSeconds</x:f>
        <x:v>0</x:v>
      </x:c>
    </x:row>
    <x:row r="2310">
      <x:c r="A2310" s="8" t="n">
        <x:f>A2309+1</x:f>
        <x:v>2307</x:v>
      </x:c>
      <x:c r="B2310" s="9" t="n">
        <x:f>A2310*v01_SeasonSeconds/60</x:f>
        <x:v>576.75</x:v>
      </x:c>
      <x:c r="C2310" s="9" t="n">
        <x:f>A2310/4</x:f>
        <x:v>576.75</x:v>
      </x:c>
      <x:c r="D2310" s="8" t="n">
        <x:f>IF(MOD(A2310,4)=0,1,0)</x:f>
        <x:v>0</x:v>
      </x:c>
      <x:c r="E2310" s="8" t="n">
        <x:f>IF(AND(F2309&lt;=9,AS2309&gt;=AR2309),1,0)</x:f>
        <x:v>0</x:v>
      </x:c>
      <x:c r="F2310" s="8" t="n">
        <x:f>MIN(10,F2309+E2310)</x:f>
        <x:v>10</x:v>
      </x:c>
      <x:c r="G2310" s="8" t="n">
        <x:f>MIN(F2310,9)+1</x:f>
        <x:v>10</x:v>
      </x:c>
      <x:c r="H2310" s="8" t="n">
        <x:f>IF(F2310&lt;=9,1,0)</x:f>
        <x:v>0</x:v>
      </x:c>
      <x:c r="I2310" s="9" t="n">
        <x:f>MIN(10,F2309+IF(AR2309&gt;0,MIN(1,AS2309/AR2309),1))</x:f>
        <x:v>10</x:v>
      </x:c>
      <x:c r="J2310" s="32" t="n">
        <x:f>INDEX(v01_FoodCap,G2310)*Arch_FoodCap*EXP(v01_CapsByProject*SUMPRODUCT((Cap_Point&lt;=I2310)*(Cap_Kind="Food")*Cap_Ln))</x:f>
        <x:v>12000</x:v>
      </x:c>
      <x:c r="K2310" s="32" t="n">
        <x:f>J2310*MIN(1,v01_LeanBase*EXP(v01_CapsByProject*SUMPRODUCT((Cap_Point&lt;=I2310)*(Cap_Kind="Lean")*Cap_Ln)))</x:f>
        <x:v>12000</x:v>
      </x:c>
      <x:c r="L2310" s="10" t="n">
        <x:f>INDEX(v01_HousingCap,G2310)*EXP(v01_CapsByProject*SUMPRODUCT((Cap_Point&lt;=I2310)*(Cap_Kind="Housing")*Cap_Ln))</x:f>
        <x:v>20000</x:v>
      </x:c>
      <x:c r="M2310" s="10" t="n">
        <x:f>INDEX(v01_GroupCap,G2310)*v01_CohesionFactor*EXP(v01_CapsByProject*SUMPRODUCT((Cap_Point&lt;=I2310)*(Cap_Kind="Group")*Cap_Ln))</x:f>
        <x:v>1000000</x:v>
      </x:c>
      <x:c r="N2310" s="32" t="n">
        <x:f>MIN(J2310,L2310,M2310)</x:f>
        <x:v>12000</x:v>
      </x:c>
      <x:c r="O2310" s="10" t="n">
        <x:f>AE2309*N2310</x:f>
        <x:v>180000</x:v>
      </x:c>
      <x:c r="P2310" s="9" t="n">
        <x:f>MIN(1,(AB2309/(AE2309*IF(v01_GroupInCrowding=1,N2310,MIN(J2310,L2310))))^v01_CrowdingExp)</x:f>
        <x:v>0.00024569414295285325</x:v>
      </x:c>
      <x:c r="Q2310" s="9" t="n">
        <x:f>IF(D2310=1,INDEX(v01_WinterMult,G2310),1)</x:f>
        <x:v>1</x:v>
      </x:c>
      <x:c r="R2310" s="9" t="n">
        <x:f>H2310*Z2309*v01_WomenShare*v01_BaseFertility*INDEX(v01_FertMult,G2310)*Arch_Fertility*(1-P2310)</x:f>
        <x:v>0</x:v>
      </x:c>
      <x:c r="S2310" s="9" t="n">
        <x:f>H2310*Y2309*INDEX(v01_MortChild,G2310)/4*Q2310</x:f>
        <x:v>0</x:v>
      </x:c>
      <x:c r="T2310" s="9" t="n">
        <x:f>H2310*Z2309*INDEX(v01_MortAdult,G2310)*Arch_AdultMort/4*Q2310</x:f>
        <x:v>0</x:v>
      </x:c>
      <x:c r="U2310" s="9" t="n">
        <x:f>H2310*AA2309*INDEX(v01_MortElder,G2310)/4*Q2310</x:f>
        <x:v>0</x:v>
      </x:c>
      <x:c r="V2310" s="9" t="n">
        <x:f>H2310*MAX(0,AB2309-O2310)*v01_OvercapLoss</x:f>
        <x:v>0</x:v>
      </x:c>
      <x:c r="W2310" s="9" t="n">
        <x:f>H2310*Y2309/(v01_ChildYears*4)</x:f>
        <x:v>0</x:v>
      </x:c>
      <x:c r="X2310" s="9" t="n">
        <x:f>H2310*Z2309/(v01_AdultYears*4)</x:f>
        <x:v>0</x:v>
      </x:c>
      <x:c r="Y2310" s="32" t="n">
        <x:f>Y2309+R2310-S2310-W2310-Y2309*V2310/AB2309</x:f>
        <x:v>14306.18539759397</x:v>
      </x:c>
      <x:c r="Z2310" s="32" t="n">
        <x:f>Z2309+W2310-X2310-T2310-Z2309*V2310/AB2309</x:f>
        <x:v>19354.456567879548</x:v>
      </x:c>
      <x:c r="AA2310" s="32" t="n">
        <x:f>AA2309+X2310-U2310-AA2309*V2310/AB2309</x:f>
        <x:v>11386.956063258198</x:v>
      </x:c>
      <x:c r="AB2310" s="10" t="n">
        <x:f>Y2310+Z2310+AA2310</x:f>
        <x:v>45047.59802873172</x:v>
      </x:c>
      <x:c r="AC2310" s="8" t="n">
        <x:f>IF(AND(v01_WinterTrigger=1,D2310=1,AB2309/AE2309&gt;=K2310),1,0)</x:f>
        <x:v>0</x:v>
      </x:c>
      <x:c r="AD2310" s="8" t="n">
        <x:f>H2310*IF(AND(OR(AB2309/AE2309&gt;=v01_FissionTrigger*N2310,AC2310=1),AB2309/AE2309*v01_DaughterShare&gt;=v01_MinDaughter),MAX(1,ROUND(AE2309*v01_FissionRate,0)),0)</x:f>
        <x:v>0</x:v>
      </x:c>
      <x:c r="AE2310" s="8" t="n">
        <x:f>IF(H2310=1,MAX(1,MIN(INDEX(v01_Smax,G2310),AE2309+AD2310)),AE2309)</x:f>
        <x:v>15</x:v>
      </x:c>
      <x:c r="AF2310" s="8" t="n">
        <x:f>MAX(0,AE2310-AE2309)</x:f>
        <x:v>0</x:v>
      </x:c>
      <x:c r="AG2310" s="9" t="str">
        <x:f>IF(AF2310&gt;0,B2310,"")</x:f>
      </x:c>
      <x:c r="AH2310" s="9" t="n">
        <x:f>IF(F2310&gt;=1,1,(1+v01_LowTiesShare*(AE2310-1))/AE2310)</x:f>
        <x:v>1</x:v>
      </x:c>
      <x:c r="AI2310" s="32" t="n">
        <x:f>(Z2310+v01_ElderCommons*INDEX(LM_Elder,G2310)*AA2310)*AH2310</x:f>
        <x:v>64139.732591141874</x:v>
      </x:c>
      <x:c r="AJ2310" s="32" t="n">
        <x:f>H2310*v01_CommonsCoef*AI2310^v01_CommonsExp*INDEX(LM_Commons,G2310)</x:f>
        <x:v>0</x:v>
      </x:c>
      <x:c r="AK2310" s="32" t="n">
        <x:f>H2310*v01_RoleScale*Arch_Roles*(AE2310*(INDEX(v01_ElderRolePerSett,G2310)*v01_OutElder*INDEX(LM_Elder,G2310)+INDEX(v01_ShamanPerSett,G2310)*v01_OutShaman)+Z2310*(INDEX(v01_PriestShare,G2310)*v01_OutPriest+INDEX(v01_ScribeShare,G2310)*v01_OutScribe*INDEX(LM_Scribe,G2310)+INDEX(v01_ScholarShare,G2310)*v01_OutScholar*INDEX(LM_Scholar,G2310)+INDEX(v01_ResearcherShare,G2310)*v01_OutResearcher*INDEX(LM_Researcher,G2310)))</x:f>
        <x:v>0</x:v>
      </x:c>
      <x:c r="AL2310" s="32" t="n">
        <x:f>H2310*v01_RoleScale*Arch_Roles*AE2310*INDEX(v01_MonasteryPerSett,G2310)*v01_OutMonastery*INDEX(LM_Monastery,G2310)</x:f>
        <x:v>0</x:v>
      </x:c>
      <x:c r="AM2310" s="32" t="n">
        <x:f>(AJ2310+AK2310+AL2310)/4*INDEX(LM_All,G2310)*INDEX(v01_Boon,G2310)*Arch_Insight</x:f>
        <x:v>0</x:v>
      </x:c>
      <x:c r="AN2310" s="32" t="n">
        <x:f>H2310*(v01_KHPerAdult*Z2310+v01_KHOfCommons*AJ2310/4*INDEX(LM_All,G2310))*v01_KHUsable*Arch_KH</x:f>
        <x:v>0</x:v>
      </x:c>
      <x:c r="AO2310" s="32" t="n">
        <x:f>MIN(AP2309+AN2310,AM2310*v01_KHMaxRatio)</x:f>
        <x:v>0</x:v>
      </x:c>
      <x:c r="AP2310" s="32" t="n">
        <x:f>AP2309+AN2310-AO2310</x:f>
        <x:v>0</x:v>
      </x:c>
      <x:c r="AQ2310" s="32" t="n">
        <x:f>AM2310+AO2310</x:f>
        <x:v>0</x:v>
      </x:c>
      <x:c r="AR2310" s="10" t="n">
        <x:f>IF(H2310=1,INDEX(v01_Req,G2310),0)</x:f>
        <x:v>0</x:v>
      </x:c>
      <x:c r="AS2310" s="32" t="n">
        <x:f>IF(H2310=1,IF(E2310=1,AS2309-AR2309,AS2309)+AQ2310,0)</x:f>
        <x:v>0</x:v>
      </x:c>
      <x:c r="AT2310" s="11" t="n">
        <x:f>IF(AR2310&gt;0,MIN(1,AS2310/AR2310),1)</x:f>
        <x:v>1</x:v>
      </x:c>
      <x:c r="AU2310" s="10" t="n">
        <x:f>AB2310/INDEX(v01_RepScale,G2310)</x:f>
        <x:v>90.09519605746344</x:v>
      </x:c>
      <x:c r="AV2310" s="32" t="n">
        <x:f>AM2310*60/v01_SeasonSeconds</x:f>
        <x:v>0</x:v>
      </x:c>
    </x:row>
    <x:row r="2311">
      <x:c r="A2311" s="8" t="n">
        <x:f>A2310+1</x:f>
        <x:v>2308</x:v>
      </x:c>
      <x:c r="B2311" s="9" t="n">
        <x:f>A2311*v01_SeasonSeconds/60</x:f>
        <x:v>577</x:v>
      </x:c>
      <x:c r="C2311" s="9" t="n">
        <x:f>A2311/4</x:f>
        <x:v>577</x:v>
      </x:c>
      <x:c r="D2311" s="8" t="n">
        <x:f>IF(MOD(A2311,4)=0,1,0)</x:f>
        <x:v>1</x:v>
      </x:c>
      <x:c r="E2311" s="8" t="n">
        <x:f>IF(AND(F2310&lt;=9,AS2310&gt;=AR2310),1,0)</x:f>
        <x:v>0</x:v>
      </x:c>
      <x:c r="F2311" s="8" t="n">
        <x:f>MIN(10,F2310+E2311)</x:f>
        <x:v>10</x:v>
      </x:c>
      <x:c r="G2311" s="8" t="n">
        <x:f>MIN(F2311,9)+1</x:f>
        <x:v>10</x:v>
      </x:c>
      <x:c r="H2311" s="8" t="n">
        <x:f>IF(F2311&lt;=9,1,0)</x:f>
        <x:v>0</x:v>
      </x:c>
      <x:c r="I2311" s="9" t="n">
        <x:f>MIN(10,F2310+IF(AR2310&gt;0,MIN(1,AS2310/AR2310),1))</x:f>
        <x:v>10</x:v>
      </x:c>
      <x:c r="J2311" s="32" t="n">
        <x:f>INDEX(v01_FoodCap,G2311)*Arch_FoodCap*EXP(v01_CapsByProject*SUMPRODUCT((Cap_Point&lt;=I2311)*(Cap_Kind="Food")*Cap_Ln))</x:f>
        <x:v>12000</x:v>
      </x:c>
      <x:c r="K2311" s="32" t="n">
        <x:f>J2311*MIN(1,v01_LeanBase*EXP(v01_CapsByProject*SUMPRODUCT((Cap_Point&lt;=I2311)*(Cap_Kind="Lean")*Cap_Ln)))</x:f>
        <x:v>12000</x:v>
      </x:c>
      <x:c r="L2311" s="10" t="n">
        <x:f>INDEX(v01_HousingCap,G2311)*EXP(v01_CapsByProject*SUMPRODUCT((Cap_Point&lt;=I2311)*(Cap_Kind="Housing")*Cap_Ln))</x:f>
        <x:v>20000</x:v>
      </x:c>
      <x:c r="M2311" s="10" t="n">
        <x:f>INDEX(v01_GroupCap,G2311)*v01_CohesionFactor*EXP(v01_CapsByProject*SUMPRODUCT((Cap_Point&lt;=I2311)*(Cap_Kind="Group")*Cap_Ln))</x:f>
        <x:v>1000000</x:v>
      </x:c>
      <x:c r="N2311" s="32" t="n">
        <x:f>MIN(J2311,L2311,M2311)</x:f>
        <x:v>12000</x:v>
      </x:c>
      <x:c r="O2311" s="10" t="n">
        <x:f>AE2310*N2311</x:f>
        <x:v>180000</x:v>
      </x:c>
      <x:c r="P2311" s="9" t="n">
        <x:f>MIN(1,(AB2310/(AE2310*IF(v01_GroupInCrowding=1,N2311,MIN(J2311,L2311))))^v01_CrowdingExp)</x:f>
        <x:v>0.00024569414295285325</x:v>
      </x:c>
      <x:c r="Q2311" s="9" t="n">
        <x:f>IF(D2311=1,INDEX(v01_WinterMult,G2311),1)</x:f>
        <x:v>1</x:v>
      </x:c>
      <x:c r="R2311" s="9" t="n">
        <x:f>H2311*Z2310*v01_WomenShare*v01_BaseFertility*INDEX(v01_FertMult,G2311)*Arch_Fertility*(1-P2311)</x:f>
        <x:v>0</x:v>
      </x:c>
      <x:c r="S2311" s="9" t="n">
        <x:f>H2311*Y2310*INDEX(v01_MortChild,G2311)/4*Q2311</x:f>
        <x:v>0</x:v>
      </x:c>
      <x:c r="T2311" s="9" t="n">
        <x:f>H2311*Z2310*INDEX(v01_MortAdult,G2311)*Arch_AdultMort/4*Q2311</x:f>
        <x:v>0</x:v>
      </x:c>
      <x:c r="U2311" s="9" t="n">
        <x:f>H2311*AA2310*INDEX(v01_MortElder,G2311)/4*Q2311</x:f>
        <x:v>0</x:v>
      </x:c>
      <x:c r="V2311" s="9" t="n">
        <x:f>H2311*MAX(0,AB2310-O2311)*v01_OvercapLoss</x:f>
        <x:v>0</x:v>
      </x:c>
      <x:c r="W2311" s="9" t="n">
        <x:f>H2311*Y2310/(v01_ChildYears*4)</x:f>
        <x:v>0</x:v>
      </x:c>
      <x:c r="X2311" s="9" t="n">
        <x:f>H2311*Z2310/(v01_AdultYears*4)</x:f>
        <x:v>0</x:v>
      </x:c>
      <x:c r="Y2311" s="32" t="n">
        <x:f>Y2310+R2311-S2311-W2311-Y2310*V2311/AB2310</x:f>
        <x:v>14306.18539759397</x:v>
      </x:c>
      <x:c r="Z2311" s="32" t="n">
        <x:f>Z2310+W2311-X2311-T2311-Z2310*V2311/AB2310</x:f>
        <x:v>19354.456567879548</x:v>
      </x:c>
      <x:c r="AA2311" s="32" t="n">
        <x:f>AA2310+X2311-U2311-AA2310*V2311/AB2310</x:f>
        <x:v>11386.956063258198</x:v>
      </x:c>
      <x:c r="AB2311" s="10" t="n">
        <x:f>Y2311+Z2311+AA2311</x:f>
        <x:v>45047.59802873172</x:v>
      </x:c>
      <x:c r="AC2311" s="8" t="n">
        <x:f>IF(AND(v01_WinterTrigger=1,D2311=1,AB2310/AE2310&gt;=K2311),1,0)</x:f>
        <x:v>0</x:v>
      </x:c>
      <x:c r="AD2311" s="8" t="n">
        <x:f>H2311*IF(AND(OR(AB2310/AE2310&gt;=v01_FissionTrigger*N2311,AC2311=1),AB2310/AE2310*v01_DaughterShare&gt;=v01_MinDaughter),MAX(1,ROUND(AE2310*v01_FissionRate,0)),0)</x:f>
        <x:v>0</x:v>
      </x:c>
      <x:c r="AE2311" s="8" t="n">
        <x:f>IF(H2311=1,MAX(1,MIN(INDEX(v01_Smax,G2311),AE2310+AD2311)),AE2310)</x:f>
        <x:v>15</x:v>
      </x:c>
      <x:c r="AF2311" s="8" t="n">
        <x:f>MAX(0,AE2311-AE2310)</x:f>
        <x:v>0</x:v>
      </x:c>
      <x:c r="AG2311" s="9" t="str">
        <x:f>IF(AF2311&gt;0,B2311,"")</x:f>
      </x:c>
      <x:c r="AH2311" s="9" t="n">
        <x:f>IF(F2311&gt;=1,1,(1+v01_LowTiesShare*(AE2311-1))/AE2311)</x:f>
        <x:v>1</x:v>
      </x:c>
      <x:c r="AI2311" s="32" t="n">
        <x:f>(Z2311+v01_ElderCommons*INDEX(LM_Elder,G2311)*AA2311)*AH2311</x:f>
        <x:v>64139.732591141874</x:v>
      </x:c>
      <x:c r="AJ2311" s="32" t="n">
        <x:f>H2311*v01_CommonsCoef*AI2311^v01_CommonsExp*INDEX(LM_Commons,G2311)</x:f>
        <x:v>0</x:v>
      </x:c>
      <x:c r="AK2311" s="32" t="n">
        <x:f>H2311*v01_RoleScale*Arch_Roles*(AE2311*(INDEX(v01_ElderRolePerSett,G2311)*v01_OutElder*INDEX(LM_Elder,G2311)+INDEX(v01_ShamanPerSett,G2311)*v01_OutShaman)+Z2311*(INDEX(v01_PriestShare,G2311)*v01_OutPriest+INDEX(v01_ScribeShare,G2311)*v01_OutScribe*INDEX(LM_Scribe,G2311)+INDEX(v01_ScholarShare,G2311)*v01_OutScholar*INDEX(LM_Scholar,G2311)+INDEX(v01_ResearcherShare,G2311)*v01_OutResearcher*INDEX(LM_Researcher,G2311)))</x:f>
        <x:v>0</x:v>
      </x:c>
      <x:c r="AL2311" s="32" t="n">
        <x:f>H2311*v01_RoleScale*Arch_Roles*AE2311*INDEX(v01_MonasteryPerSett,G2311)*v01_OutMonastery*INDEX(LM_Monastery,G2311)</x:f>
        <x:v>0</x:v>
      </x:c>
      <x:c r="AM2311" s="32" t="n">
        <x:f>(AJ2311+AK2311+AL2311)/4*INDEX(LM_All,G2311)*INDEX(v01_Boon,G2311)*Arch_Insight</x:f>
        <x:v>0</x:v>
      </x:c>
      <x:c r="AN2311" s="32" t="n">
        <x:f>H2311*(v01_KHPerAdult*Z2311+v01_KHOfCommons*AJ2311/4*INDEX(LM_All,G2311))*v01_KHUsable*Arch_KH</x:f>
        <x:v>0</x:v>
      </x:c>
      <x:c r="AO2311" s="32" t="n">
        <x:f>MIN(AP2310+AN2311,AM2311*v01_KHMaxRatio)</x:f>
        <x:v>0</x:v>
      </x:c>
      <x:c r="AP2311" s="32" t="n">
        <x:f>AP2310+AN2311-AO2311</x:f>
        <x:v>0</x:v>
      </x:c>
      <x:c r="AQ2311" s="32" t="n">
        <x:f>AM2311+AO2311</x:f>
        <x:v>0</x:v>
      </x:c>
      <x:c r="AR2311" s="10" t="n">
        <x:f>IF(H2311=1,INDEX(v01_Req,G2311),0)</x:f>
        <x:v>0</x:v>
      </x:c>
      <x:c r="AS2311" s="32" t="n">
        <x:f>IF(H2311=1,IF(E2311=1,AS2310-AR2310,AS2310)+AQ2311,0)</x:f>
        <x:v>0</x:v>
      </x:c>
      <x:c r="AT2311" s="11" t="n">
        <x:f>IF(AR2311&gt;0,MIN(1,AS2311/AR2311),1)</x:f>
        <x:v>1</x:v>
      </x:c>
      <x:c r="AU2311" s="10" t="n">
        <x:f>AB2311/INDEX(v01_RepScale,G2311)</x:f>
        <x:v>90.09519605746344</x:v>
      </x:c>
      <x:c r="AV2311" s="32" t="n">
        <x:f>AM2311*60/v01_SeasonSeconds</x:f>
        <x:v>0</x:v>
      </x:c>
    </x:row>
    <x:row r="2312">
      <x:c r="A2312" s="8" t="n">
        <x:f>A2311+1</x:f>
        <x:v>2309</x:v>
      </x:c>
      <x:c r="B2312" s="9" t="n">
        <x:f>A2312*v01_SeasonSeconds/60</x:f>
        <x:v>577.25</x:v>
      </x:c>
      <x:c r="C2312" s="9" t="n">
        <x:f>A2312/4</x:f>
        <x:v>577.25</x:v>
      </x:c>
      <x:c r="D2312" s="8" t="n">
        <x:f>IF(MOD(A2312,4)=0,1,0)</x:f>
        <x:v>0</x:v>
      </x:c>
      <x:c r="E2312" s="8" t="n">
        <x:f>IF(AND(F2311&lt;=9,AS2311&gt;=AR2311),1,0)</x:f>
        <x:v>0</x:v>
      </x:c>
      <x:c r="F2312" s="8" t="n">
        <x:f>MIN(10,F2311+E2312)</x:f>
        <x:v>10</x:v>
      </x:c>
      <x:c r="G2312" s="8" t="n">
        <x:f>MIN(F2312,9)+1</x:f>
        <x:v>10</x:v>
      </x:c>
      <x:c r="H2312" s="8" t="n">
        <x:f>IF(F2312&lt;=9,1,0)</x:f>
        <x:v>0</x:v>
      </x:c>
      <x:c r="I2312" s="9" t="n">
        <x:f>MIN(10,F2311+IF(AR2311&gt;0,MIN(1,AS2311/AR2311),1))</x:f>
        <x:v>10</x:v>
      </x:c>
      <x:c r="J2312" s="32" t="n">
        <x:f>INDEX(v01_FoodCap,G2312)*Arch_FoodCap*EXP(v01_CapsByProject*SUMPRODUCT((Cap_Point&lt;=I2312)*(Cap_Kind="Food")*Cap_Ln))</x:f>
        <x:v>12000</x:v>
      </x:c>
      <x:c r="K2312" s="32" t="n">
        <x:f>J2312*MIN(1,v01_LeanBase*EXP(v01_CapsByProject*SUMPRODUCT((Cap_Point&lt;=I2312)*(Cap_Kind="Lean")*Cap_Ln)))</x:f>
        <x:v>12000</x:v>
      </x:c>
      <x:c r="L2312" s="10" t="n">
        <x:f>INDEX(v01_HousingCap,G2312)*EXP(v01_CapsByProject*SUMPRODUCT((Cap_Point&lt;=I2312)*(Cap_Kind="Housing")*Cap_Ln))</x:f>
        <x:v>20000</x:v>
      </x:c>
      <x:c r="M2312" s="10" t="n">
        <x:f>INDEX(v01_GroupCap,G2312)*v01_CohesionFactor*EXP(v01_CapsByProject*SUMPRODUCT((Cap_Point&lt;=I2312)*(Cap_Kind="Group")*Cap_Ln))</x:f>
        <x:v>1000000</x:v>
      </x:c>
      <x:c r="N2312" s="32" t="n">
        <x:f>MIN(J2312,L2312,M2312)</x:f>
        <x:v>12000</x:v>
      </x:c>
      <x:c r="O2312" s="10" t="n">
        <x:f>AE2311*N2312</x:f>
        <x:v>180000</x:v>
      </x:c>
      <x:c r="P2312" s="9" t="n">
        <x:f>MIN(1,(AB2311/(AE2311*IF(v01_GroupInCrowding=1,N2312,MIN(J2312,L2312))))^v01_CrowdingExp)</x:f>
        <x:v>0.00024569414295285325</x:v>
      </x:c>
      <x:c r="Q2312" s="9" t="n">
        <x:f>IF(D2312=1,INDEX(v01_WinterMult,G2312),1)</x:f>
        <x:v>1</x:v>
      </x:c>
      <x:c r="R2312" s="9" t="n">
        <x:f>H2312*Z2311*v01_WomenShare*v01_BaseFertility*INDEX(v01_FertMult,G2312)*Arch_Fertility*(1-P2312)</x:f>
        <x:v>0</x:v>
      </x:c>
      <x:c r="S2312" s="9" t="n">
        <x:f>H2312*Y2311*INDEX(v01_MortChild,G2312)/4*Q2312</x:f>
        <x:v>0</x:v>
      </x:c>
      <x:c r="T2312" s="9" t="n">
        <x:f>H2312*Z2311*INDEX(v01_MortAdult,G2312)*Arch_AdultMort/4*Q2312</x:f>
        <x:v>0</x:v>
      </x:c>
      <x:c r="U2312" s="9" t="n">
        <x:f>H2312*AA2311*INDEX(v01_MortElder,G2312)/4*Q2312</x:f>
        <x:v>0</x:v>
      </x:c>
      <x:c r="V2312" s="9" t="n">
        <x:f>H2312*MAX(0,AB2311-O2312)*v01_OvercapLoss</x:f>
        <x:v>0</x:v>
      </x:c>
      <x:c r="W2312" s="9" t="n">
        <x:f>H2312*Y2311/(v01_ChildYears*4)</x:f>
        <x:v>0</x:v>
      </x:c>
      <x:c r="X2312" s="9" t="n">
        <x:f>H2312*Z2311/(v01_AdultYears*4)</x:f>
        <x:v>0</x:v>
      </x:c>
      <x:c r="Y2312" s="32" t="n">
        <x:f>Y2311+R2312-S2312-W2312-Y2311*V2312/AB2311</x:f>
        <x:v>14306.18539759397</x:v>
      </x:c>
      <x:c r="Z2312" s="32" t="n">
        <x:f>Z2311+W2312-X2312-T2312-Z2311*V2312/AB2311</x:f>
        <x:v>19354.456567879548</x:v>
      </x:c>
      <x:c r="AA2312" s="32" t="n">
        <x:f>AA2311+X2312-U2312-AA2311*V2312/AB2311</x:f>
        <x:v>11386.956063258198</x:v>
      </x:c>
      <x:c r="AB2312" s="10" t="n">
        <x:f>Y2312+Z2312+AA2312</x:f>
        <x:v>45047.59802873172</x:v>
      </x:c>
      <x:c r="AC2312" s="8" t="n">
        <x:f>IF(AND(v01_WinterTrigger=1,D2312=1,AB2311/AE2311&gt;=K2312),1,0)</x:f>
        <x:v>0</x:v>
      </x:c>
      <x:c r="AD2312" s="8" t="n">
        <x:f>H2312*IF(AND(OR(AB2311/AE2311&gt;=v01_FissionTrigger*N2312,AC2312=1),AB2311/AE2311*v01_DaughterShare&gt;=v01_MinDaughter),MAX(1,ROUND(AE2311*v01_FissionRate,0)),0)</x:f>
        <x:v>0</x:v>
      </x:c>
      <x:c r="AE2312" s="8" t="n">
        <x:f>IF(H2312=1,MAX(1,MIN(INDEX(v01_Smax,G2312),AE2311+AD2312)),AE2311)</x:f>
        <x:v>15</x:v>
      </x:c>
      <x:c r="AF2312" s="8" t="n">
        <x:f>MAX(0,AE2312-AE2311)</x:f>
        <x:v>0</x:v>
      </x:c>
      <x:c r="AG2312" s="9" t="str">
        <x:f>IF(AF2312&gt;0,B2312,"")</x:f>
      </x:c>
      <x:c r="AH2312" s="9" t="n">
        <x:f>IF(F2312&gt;=1,1,(1+v01_LowTiesShare*(AE2312-1))/AE2312)</x:f>
        <x:v>1</x:v>
      </x:c>
      <x:c r="AI2312" s="32" t="n">
        <x:f>(Z2312+v01_ElderCommons*INDEX(LM_Elder,G2312)*AA2312)*AH2312</x:f>
        <x:v>64139.732591141874</x:v>
      </x:c>
      <x:c r="AJ2312" s="32" t="n">
        <x:f>H2312*v01_CommonsCoef*AI2312^v01_CommonsExp*INDEX(LM_Commons,G2312)</x:f>
        <x:v>0</x:v>
      </x:c>
      <x:c r="AK2312" s="32" t="n">
        <x:f>H2312*v01_RoleScale*Arch_Roles*(AE2312*(INDEX(v01_ElderRolePerSett,G2312)*v01_OutElder*INDEX(LM_Elder,G2312)+INDEX(v01_ShamanPerSett,G2312)*v01_OutShaman)+Z2312*(INDEX(v01_PriestShare,G2312)*v01_OutPriest+INDEX(v01_ScribeShare,G2312)*v01_OutScribe*INDEX(LM_Scribe,G2312)+INDEX(v01_ScholarShare,G2312)*v01_OutScholar*INDEX(LM_Scholar,G2312)+INDEX(v01_ResearcherShare,G2312)*v01_OutResearcher*INDEX(LM_Researcher,G2312)))</x:f>
        <x:v>0</x:v>
      </x:c>
      <x:c r="AL2312" s="32" t="n">
        <x:f>H2312*v01_RoleScale*Arch_Roles*AE2312*INDEX(v01_MonasteryPerSett,G2312)*v01_OutMonastery*INDEX(LM_Monastery,G2312)</x:f>
        <x:v>0</x:v>
      </x:c>
      <x:c r="AM2312" s="32" t="n">
        <x:f>(AJ2312+AK2312+AL2312)/4*INDEX(LM_All,G2312)*INDEX(v01_Boon,G2312)*Arch_Insight</x:f>
        <x:v>0</x:v>
      </x:c>
      <x:c r="AN2312" s="32" t="n">
        <x:f>H2312*(v01_KHPerAdult*Z2312+v01_KHOfCommons*AJ2312/4*INDEX(LM_All,G2312))*v01_KHUsable*Arch_KH</x:f>
        <x:v>0</x:v>
      </x:c>
      <x:c r="AO2312" s="32" t="n">
        <x:f>MIN(AP2311+AN2312,AM2312*v01_KHMaxRatio)</x:f>
        <x:v>0</x:v>
      </x:c>
      <x:c r="AP2312" s="32" t="n">
        <x:f>AP2311+AN2312-AO2312</x:f>
        <x:v>0</x:v>
      </x:c>
      <x:c r="AQ2312" s="32" t="n">
        <x:f>AM2312+AO2312</x:f>
        <x:v>0</x:v>
      </x:c>
      <x:c r="AR2312" s="10" t="n">
        <x:f>IF(H2312=1,INDEX(v01_Req,G2312),0)</x:f>
        <x:v>0</x:v>
      </x:c>
      <x:c r="AS2312" s="32" t="n">
        <x:f>IF(H2312=1,IF(E2312=1,AS2311-AR2311,AS2311)+AQ2312,0)</x:f>
        <x:v>0</x:v>
      </x:c>
      <x:c r="AT2312" s="11" t="n">
        <x:f>IF(AR2312&gt;0,MIN(1,AS2312/AR2312),1)</x:f>
        <x:v>1</x:v>
      </x:c>
      <x:c r="AU2312" s="10" t="n">
        <x:f>AB2312/INDEX(v01_RepScale,G2312)</x:f>
        <x:v>90.09519605746344</x:v>
      </x:c>
      <x:c r="AV2312" s="32" t="n">
        <x:f>AM2312*60/v01_SeasonSeconds</x:f>
        <x:v>0</x:v>
      </x:c>
    </x:row>
    <x:row r="2313">
      <x:c r="A2313" s="8" t="n">
        <x:f>A2312+1</x:f>
        <x:v>2310</x:v>
      </x:c>
      <x:c r="B2313" s="9" t="n">
        <x:f>A2313*v01_SeasonSeconds/60</x:f>
        <x:v>577.5</x:v>
      </x:c>
      <x:c r="C2313" s="9" t="n">
        <x:f>A2313/4</x:f>
        <x:v>577.5</x:v>
      </x:c>
      <x:c r="D2313" s="8" t="n">
        <x:f>IF(MOD(A2313,4)=0,1,0)</x:f>
        <x:v>0</x:v>
      </x:c>
      <x:c r="E2313" s="8" t="n">
        <x:f>IF(AND(F2312&lt;=9,AS2312&gt;=AR2312),1,0)</x:f>
        <x:v>0</x:v>
      </x:c>
      <x:c r="F2313" s="8" t="n">
        <x:f>MIN(10,F2312+E2313)</x:f>
        <x:v>10</x:v>
      </x:c>
      <x:c r="G2313" s="8" t="n">
        <x:f>MIN(F2313,9)+1</x:f>
        <x:v>10</x:v>
      </x:c>
      <x:c r="H2313" s="8" t="n">
        <x:f>IF(F2313&lt;=9,1,0)</x:f>
        <x:v>0</x:v>
      </x:c>
      <x:c r="I2313" s="9" t="n">
        <x:f>MIN(10,F2312+IF(AR2312&gt;0,MIN(1,AS2312/AR2312),1))</x:f>
        <x:v>10</x:v>
      </x:c>
      <x:c r="J2313" s="32" t="n">
        <x:f>INDEX(v01_FoodCap,G2313)*Arch_FoodCap*EXP(v01_CapsByProject*SUMPRODUCT((Cap_Point&lt;=I2313)*(Cap_Kind="Food")*Cap_Ln))</x:f>
        <x:v>12000</x:v>
      </x:c>
      <x:c r="K2313" s="32" t="n">
        <x:f>J2313*MIN(1,v01_LeanBase*EXP(v01_CapsByProject*SUMPRODUCT((Cap_Point&lt;=I2313)*(Cap_Kind="Lean")*Cap_Ln)))</x:f>
        <x:v>12000</x:v>
      </x:c>
      <x:c r="L2313" s="10" t="n">
        <x:f>INDEX(v01_HousingCap,G2313)*EXP(v01_CapsByProject*SUMPRODUCT((Cap_Point&lt;=I2313)*(Cap_Kind="Housing")*Cap_Ln))</x:f>
        <x:v>20000</x:v>
      </x:c>
      <x:c r="M2313" s="10" t="n">
        <x:f>INDEX(v01_GroupCap,G2313)*v01_CohesionFactor*EXP(v01_CapsByProject*SUMPRODUCT((Cap_Point&lt;=I2313)*(Cap_Kind="Group")*Cap_Ln))</x:f>
        <x:v>1000000</x:v>
      </x:c>
      <x:c r="N2313" s="32" t="n">
        <x:f>MIN(J2313,L2313,M2313)</x:f>
        <x:v>12000</x:v>
      </x:c>
      <x:c r="O2313" s="10" t="n">
        <x:f>AE2312*N2313</x:f>
        <x:v>180000</x:v>
      </x:c>
      <x:c r="P2313" s="9" t="n">
        <x:f>MIN(1,(AB2312/(AE2312*IF(v01_GroupInCrowding=1,N2313,MIN(J2313,L2313))))^v01_CrowdingExp)</x:f>
        <x:v>0.00024569414295285325</x:v>
      </x:c>
      <x:c r="Q2313" s="9" t="n">
        <x:f>IF(D2313=1,INDEX(v01_WinterMult,G2313),1)</x:f>
        <x:v>1</x:v>
      </x:c>
      <x:c r="R2313" s="9" t="n">
        <x:f>H2313*Z2312*v01_WomenShare*v01_BaseFertility*INDEX(v01_FertMult,G2313)*Arch_Fertility*(1-P2313)</x:f>
        <x:v>0</x:v>
      </x:c>
      <x:c r="S2313" s="9" t="n">
        <x:f>H2313*Y2312*INDEX(v01_MortChild,G2313)/4*Q2313</x:f>
        <x:v>0</x:v>
      </x:c>
      <x:c r="T2313" s="9" t="n">
        <x:f>H2313*Z2312*INDEX(v01_MortAdult,G2313)*Arch_AdultMort/4*Q2313</x:f>
        <x:v>0</x:v>
      </x:c>
      <x:c r="U2313" s="9" t="n">
        <x:f>H2313*AA2312*INDEX(v01_MortElder,G2313)/4*Q2313</x:f>
        <x:v>0</x:v>
      </x:c>
      <x:c r="V2313" s="9" t="n">
        <x:f>H2313*MAX(0,AB2312-O2313)*v01_OvercapLoss</x:f>
        <x:v>0</x:v>
      </x:c>
      <x:c r="W2313" s="9" t="n">
        <x:f>H2313*Y2312/(v01_ChildYears*4)</x:f>
        <x:v>0</x:v>
      </x:c>
      <x:c r="X2313" s="9" t="n">
        <x:f>H2313*Z2312/(v01_AdultYears*4)</x:f>
        <x:v>0</x:v>
      </x:c>
      <x:c r="Y2313" s="32" t="n">
        <x:f>Y2312+R2313-S2313-W2313-Y2312*V2313/AB2312</x:f>
        <x:v>14306.18539759397</x:v>
      </x:c>
      <x:c r="Z2313" s="32" t="n">
        <x:f>Z2312+W2313-X2313-T2313-Z2312*V2313/AB2312</x:f>
        <x:v>19354.456567879548</x:v>
      </x:c>
      <x:c r="AA2313" s="32" t="n">
        <x:f>AA2312+X2313-U2313-AA2312*V2313/AB2312</x:f>
        <x:v>11386.956063258198</x:v>
      </x:c>
      <x:c r="AB2313" s="10" t="n">
        <x:f>Y2313+Z2313+AA2313</x:f>
        <x:v>45047.59802873172</x:v>
      </x:c>
      <x:c r="AC2313" s="8" t="n">
        <x:f>IF(AND(v01_WinterTrigger=1,D2313=1,AB2312/AE2312&gt;=K2313),1,0)</x:f>
        <x:v>0</x:v>
      </x:c>
      <x:c r="AD2313" s="8" t="n">
        <x:f>H2313*IF(AND(OR(AB2312/AE2312&gt;=v01_FissionTrigger*N2313,AC2313=1),AB2312/AE2312*v01_DaughterShare&gt;=v01_MinDaughter),MAX(1,ROUND(AE2312*v01_FissionRate,0)),0)</x:f>
        <x:v>0</x:v>
      </x:c>
      <x:c r="AE2313" s="8" t="n">
        <x:f>IF(H2313=1,MAX(1,MIN(INDEX(v01_Smax,G2313),AE2312+AD2313)),AE2312)</x:f>
        <x:v>15</x:v>
      </x:c>
      <x:c r="AF2313" s="8" t="n">
        <x:f>MAX(0,AE2313-AE2312)</x:f>
        <x:v>0</x:v>
      </x:c>
      <x:c r="AG2313" s="9" t="str">
        <x:f>IF(AF2313&gt;0,B2313,"")</x:f>
      </x:c>
      <x:c r="AH2313" s="9" t="n">
        <x:f>IF(F2313&gt;=1,1,(1+v01_LowTiesShare*(AE2313-1))/AE2313)</x:f>
        <x:v>1</x:v>
      </x:c>
      <x:c r="AI2313" s="32" t="n">
        <x:f>(Z2313+v01_ElderCommons*INDEX(LM_Elder,G2313)*AA2313)*AH2313</x:f>
        <x:v>64139.732591141874</x:v>
      </x:c>
      <x:c r="AJ2313" s="32" t="n">
        <x:f>H2313*v01_CommonsCoef*AI2313^v01_CommonsExp*INDEX(LM_Commons,G2313)</x:f>
        <x:v>0</x:v>
      </x:c>
      <x:c r="AK2313" s="32" t="n">
        <x:f>H2313*v01_RoleScale*Arch_Roles*(AE2313*(INDEX(v01_ElderRolePerSett,G2313)*v01_OutElder*INDEX(LM_Elder,G2313)+INDEX(v01_ShamanPerSett,G2313)*v01_OutShaman)+Z2313*(INDEX(v01_PriestShare,G2313)*v01_OutPriest+INDEX(v01_ScribeShare,G2313)*v01_OutScribe*INDEX(LM_Scribe,G2313)+INDEX(v01_ScholarShare,G2313)*v01_OutScholar*INDEX(LM_Scholar,G2313)+INDEX(v01_ResearcherShare,G2313)*v01_OutResearcher*INDEX(LM_Researcher,G2313)))</x:f>
        <x:v>0</x:v>
      </x:c>
      <x:c r="AL2313" s="32" t="n">
        <x:f>H2313*v01_RoleScale*Arch_Roles*AE2313*INDEX(v01_MonasteryPerSett,G2313)*v01_OutMonastery*INDEX(LM_Monastery,G2313)</x:f>
        <x:v>0</x:v>
      </x:c>
      <x:c r="AM2313" s="32" t="n">
        <x:f>(AJ2313+AK2313+AL2313)/4*INDEX(LM_All,G2313)*INDEX(v01_Boon,G2313)*Arch_Insight</x:f>
        <x:v>0</x:v>
      </x:c>
      <x:c r="AN2313" s="32" t="n">
        <x:f>H2313*(v01_KHPerAdult*Z2313+v01_KHOfCommons*AJ2313/4*INDEX(LM_All,G2313))*v01_KHUsable*Arch_KH</x:f>
        <x:v>0</x:v>
      </x:c>
      <x:c r="AO2313" s="32" t="n">
        <x:f>MIN(AP2312+AN2313,AM2313*v01_KHMaxRatio)</x:f>
        <x:v>0</x:v>
      </x:c>
      <x:c r="AP2313" s="32" t="n">
        <x:f>AP2312+AN2313-AO2313</x:f>
        <x:v>0</x:v>
      </x:c>
      <x:c r="AQ2313" s="32" t="n">
        <x:f>AM2313+AO2313</x:f>
        <x:v>0</x:v>
      </x:c>
      <x:c r="AR2313" s="10" t="n">
        <x:f>IF(H2313=1,INDEX(v01_Req,G2313),0)</x:f>
        <x:v>0</x:v>
      </x:c>
      <x:c r="AS2313" s="32" t="n">
        <x:f>IF(H2313=1,IF(E2313=1,AS2312-AR2312,AS2312)+AQ2313,0)</x:f>
        <x:v>0</x:v>
      </x:c>
      <x:c r="AT2313" s="11" t="n">
        <x:f>IF(AR2313&gt;0,MIN(1,AS2313/AR2313),1)</x:f>
        <x:v>1</x:v>
      </x:c>
      <x:c r="AU2313" s="10" t="n">
        <x:f>AB2313/INDEX(v01_RepScale,G2313)</x:f>
        <x:v>90.09519605746344</x:v>
      </x:c>
      <x:c r="AV2313" s="32" t="n">
        <x:f>AM2313*60/v01_SeasonSeconds</x:f>
        <x:v>0</x:v>
      </x:c>
    </x:row>
    <x:row r="2314">
      <x:c r="A2314" s="8" t="n">
        <x:f>A2313+1</x:f>
        <x:v>2311</x:v>
      </x:c>
      <x:c r="B2314" s="9" t="n">
        <x:f>A2314*v01_SeasonSeconds/60</x:f>
        <x:v>577.75</x:v>
      </x:c>
      <x:c r="C2314" s="9" t="n">
        <x:f>A2314/4</x:f>
        <x:v>577.75</x:v>
      </x:c>
      <x:c r="D2314" s="8" t="n">
        <x:f>IF(MOD(A2314,4)=0,1,0)</x:f>
        <x:v>0</x:v>
      </x:c>
      <x:c r="E2314" s="8" t="n">
        <x:f>IF(AND(F2313&lt;=9,AS2313&gt;=AR2313),1,0)</x:f>
        <x:v>0</x:v>
      </x:c>
      <x:c r="F2314" s="8" t="n">
        <x:f>MIN(10,F2313+E2314)</x:f>
        <x:v>10</x:v>
      </x:c>
      <x:c r="G2314" s="8" t="n">
        <x:f>MIN(F2314,9)+1</x:f>
        <x:v>10</x:v>
      </x:c>
      <x:c r="H2314" s="8" t="n">
        <x:f>IF(F2314&lt;=9,1,0)</x:f>
        <x:v>0</x:v>
      </x:c>
      <x:c r="I2314" s="9" t="n">
        <x:f>MIN(10,F2313+IF(AR2313&gt;0,MIN(1,AS2313/AR2313),1))</x:f>
        <x:v>10</x:v>
      </x:c>
      <x:c r="J2314" s="32" t="n">
        <x:f>INDEX(v01_FoodCap,G2314)*Arch_FoodCap*EXP(v01_CapsByProject*SUMPRODUCT((Cap_Point&lt;=I2314)*(Cap_Kind="Food")*Cap_Ln))</x:f>
        <x:v>12000</x:v>
      </x:c>
      <x:c r="K2314" s="32" t="n">
        <x:f>J2314*MIN(1,v01_LeanBase*EXP(v01_CapsByProject*SUMPRODUCT((Cap_Point&lt;=I2314)*(Cap_Kind="Lean")*Cap_Ln)))</x:f>
        <x:v>12000</x:v>
      </x:c>
      <x:c r="L2314" s="10" t="n">
        <x:f>INDEX(v01_HousingCap,G2314)*EXP(v01_CapsByProject*SUMPRODUCT((Cap_Point&lt;=I2314)*(Cap_Kind="Housing")*Cap_Ln))</x:f>
        <x:v>20000</x:v>
      </x:c>
      <x:c r="M2314" s="10" t="n">
        <x:f>INDEX(v01_GroupCap,G2314)*v01_CohesionFactor*EXP(v01_CapsByProject*SUMPRODUCT((Cap_Point&lt;=I2314)*(Cap_Kind="Group")*Cap_Ln))</x:f>
        <x:v>1000000</x:v>
      </x:c>
      <x:c r="N2314" s="32" t="n">
        <x:f>MIN(J2314,L2314,M2314)</x:f>
        <x:v>12000</x:v>
      </x:c>
      <x:c r="O2314" s="10" t="n">
        <x:f>AE2313*N2314</x:f>
        <x:v>180000</x:v>
      </x:c>
      <x:c r="P2314" s="9" t="n">
        <x:f>MIN(1,(AB2313/(AE2313*IF(v01_GroupInCrowding=1,N2314,MIN(J2314,L2314))))^v01_CrowdingExp)</x:f>
        <x:v>0.00024569414295285325</x:v>
      </x:c>
      <x:c r="Q2314" s="9" t="n">
        <x:f>IF(D2314=1,INDEX(v01_WinterMult,G2314),1)</x:f>
        <x:v>1</x:v>
      </x:c>
      <x:c r="R2314" s="9" t="n">
        <x:f>H2314*Z2313*v01_WomenShare*v01_BaseFertility*INDEX(v01_FertMult,G2314)*Arch_Fertility*(1-P2314)</x:f>
        <x:v>0</x:v>
      </x:c>
      <x:c r="S2314" s="9" t="n">
        <x:f>H2314*Y2313*INDEX(v01_MortChild,G2314)/4*Q2314</x:f>
        <x:v>0</x:v>
      </x:c>
      <x:c r="T2314" s="9" t="n">
        <x:f>H2314*Z2313*INDEX(v01_MortAdult,G2314)*Arch_AdultMort/4*Q2314</x:f>
        <x:v>0</x:v>
      </x:c>
      <x:c r="U2314" s="9" t="n">
        <x:f>H2314*AA2313*INDEX(v01_MortElder,G2314)/4*Q2314</x:f>
        <x:v>0</x:v>
      </x:c>
      <x:c r="V2314" s="9" t="n">
        <x:f>H2314*MAX(0,AB2313-O2314)*v01_OvercapLoss</x:f>
        <x:v>0</x:v>
      </x:c>
      <x:c r="W2314" s="9" t="n">
        <x:f>H2314*Y2313/(v01_ChildYears*4)</x:f>
        <x:v>0</x:v>
      </x:c>
      <x:c r="X2314" s="9" t="n">
        <x:f>H2314*Z2313/(v01_AdultYears*4)</x:f>
        <x:v>0</x:v>
      </x:c>
      <x:c r="Y2314" s="32" t="n">
        <x:f>Y2313+R2314-S2314-W2314-Y2313*V2314/AB2313</x:f>
        <x:v>14306.18539759397</x:v>
      </x:c>
      <x:c r="Z2314" s="32" t="n">
        <x:f>Z2313+W2314-X2314-T2314-Z2313*V2314/AB2313</x:f>
        <x:v>19354.456567879548</x:v>
      </x:c>
      <x:c r="AA2314" s="32" t="n">
        <x:f>AA2313+X2314-U2314-AA2313*V2314/AB2313</x:f>
        <x:v>11386.956063258198</x:v>
      </x:c>
      <x:c r="AB2314" s="10" t="n">
        <x:f>Y2314+Z2314+AA2314</x:f>
        <x:v>45047.59802873172</x:v>
      </x:c>
      <x:c r="AC2314" s="8" t="n">
        <x:f>IF(AND(v01_WinterTrigger=1,D2314=1,AB2313/AE2313&gt;=K2314),1,0)</x:f>
        <x:v>0</x:v>
      </x:c>
      <x:c r="AD2314" s="8" t="n">
        <x:f>H2314*IF(AND(OR(AB2313/AE2313&gt;=v01_FissionTrigger*N2314,AC2314=1),AB2313/AE2313*v01_DaughterShare&gt;=v01_MinDaughter),MAX(1,ROUND(AE2313*v01_FissionRate,0)),0)</x:f>
        <x:v>0</x:v>
      </x:c>
      <x:c r="AE2314" s="8" t="n">
        <x:f>IF(H2314=1,MAX(1,MIN(INDEX(v01_Smax,G2314),AE2313+AD2314)),AE2313)</x:f>
        <x:v>15</x:v>
      </x:c>
      <x:c r="AF2314" s="8" t="n">
        <x:f>MAX(0,AE2314-AE2313)</x:f>
        <x:v>0</x:v>
      </x:c>
      <x:c r="AG2314" s="9" t="str">
        <x:f>IF(AF2314&gt;0,B2314,"")</x:f>
      </x:c>
      <x:c r="AH2314" s="9" t="n">
        <x:f>IF(F2314&gt;=1,1,(1+v01_LowTiesShare*(AE2314-1))/AE2314)</x:f>
        <x:v>1</x:v>
      </x:c>
      <x:c r="AI2314" s="32" t="n">
        <x:f>(Z2314+v01_ElderCommons*INDEX(LM_Elder,G2314)*AA2314)*AH2314</x:f>
        <x:v>64139.732591141874</x:v>
      </x:c>
      <x:c r="AJ2314" s="32" t="n">
        <x:f>H2314*v01_CommonsCoef*AI2314^v01_CommonsExp*INDEX(LM_Commons,G2314)</x:f>
        <x:v>0</x:v>
      </x:c>
      <x:c r="AK2314" s="32" t="n">
        <x:f>H2314*v01_RoleScale*Arch_Roles*(AE2314*(INDEX(v01_ElderRolePerSett,G2314)*v01_OutElder*INDEX(LM_Elder,G2314)+INDEX(v01_ShamanPerSett,G2314)*v01_OutShaman)+Z2314*(INDEX(v01_PriestShare,G2314)*v01_OutPriest+INDEX(v01_ScribeShare,G2314)*v01_OutScribe*INDEX(LM_Scribe,G2314)+INDEX(v01_ScholarShare,G2314)*v01_OutScholar*INDEX(LM_Scholar,G2314)+INDEX(v01_ResearcherShare,G2314)*v01_OutResearcher*INDEX(LM_Researcher,G2314)))</x:f>
        <x:v>0</x:v>
      </x:c>
      <x:c r="AL2314" s="32" t="n">
        <x:f>H2314*v01_RoleScale*Arch_Roles*AE2314*INDEX(v01_MonasteryPerSett,G2314)*v01_OutMonastery*INDEX(LM_Monastery,G2314)</x:f>
        <x:v>0</x:v>
      </x:c>
      <x:c r="AM2314" s="32" t="n">
        <x:f>(AJ2314+AK2314+AL2314)/4*INDEX(LM_All,G2314)*INDEX(v01_Boon,G2314)*Arch_Insight</x:f>
        <x:v>0</x:v>
      </x:c>
      <x:c r="AN2314" s="32" t="n">
        <x:f>H2314*(v01_KHPerAdult*Z2314+v01_KHOfCommons*AJ2314/4*INDEX(LM_All,G2314))*v01_KHUsable*Arch_KH</x:f>
        <x:v>0</x:v>
      </x:c>
      <x:c r="AO2314" s="32" t="n">
        <x:f>MIN(AP2313+AN2314,AM2314*v01_KHMaxRatio)</x:f>
        <x:v>0</x:v>
      </x:c>
      <x:c r="AP2314" s="32" t="n">
        <x:f>AP2313+AN2314-AO2314</x:f>
        <x:v>0</x:v>
      </x:c>
      <x:c r="AQ2314" s="32" t="n">
        <x:f>AM2314+AO2314</x:f>
        <x:v>0</x:v>
      </x:c>
      <x:c r="AR2314" s="10" t="n">
        <x:f>IF(H2314=1,INDEX(v01_Req,G2314),0)</x:f>
        <x:v>0</x:v>
      </x:c>
      <x:c r="AS2314" s="32" t="n">
        <x:f>IF(H2314=1,IF(E2314=1,AS2313-AR2313,AS2313)+AQ2314,0)</x:f>
        <x:v>0</x:v>
      </x:c>
      <x:c r="AT2314" s="11" t="n">
        <x:f>IF(AR2314&gt;0,MIN(1,AS2314/AR2314),1)</x:f>
        <x:v>1</x:v>
      </x:c>
      <x:c r="AU2314" s="10" t="n">
        <x:f>AB2314/INDEX(v01_RepScale,G2314)</x:f>
        <x:v>90.09519605746344</x:v>
      </x:c>
      <x:c r="AV2314" s="32" t="n">
        <x:f>AM2314*60/v01_SeasonSeconds</x:f>
        <x:v>0</x:v>
      </x:c>
    </x:row>
    <x:row r="2315">
      <x:c r="A2315" s="8" t="n">
        <x:f>A2314+1</x:f>
        <x:v>2312</x:v>
      </x:c>
      <x:c r="B2315" s="9" t="n">
        <x:f>A2315*v01_SeasonSeconds/60</x:f>
        <x:v>578</x:v>
      </x:c>
      <x:c r="C2315" s="9" t="n">
        <x:f>A2315/4</x:f>
        <x:v>578</x:v>
      </x:c>
      <x:c r="D2315" s="8" t="n">
        <x:f>IF(MOD(A2315,4)=0,1,0)</x:f>
        <x:v>1</x:v>
      </x:c>
      <x:c r="E2315" s="8" t="n">
        <x:f>IF(AND(F2314&lt;=9,AS2314&gt;=AR2314),1,0)</x:f>
        <x:v>0</x:v>
      </x:c>
      <x:c r="F2315" s="8" t="n">
        <x:f>MIN(10,F2314+E2315)</x:f>
        <x:v>10</x:v>
      </x:c>
      <x:c r="G2315" s="8" t="n">
        <x:f>MIN(F2315,9)+1</x:f>
        <x:v>10</x:v>
      </x:c>
      <x:c r="H2315" s="8" t="n">
        <x:f>IF(F2315&lt;=9,1,0)</x:f>
        <x:v>0</x:v>
      </x:c>
      <x:c r="I2315" s="9" t="n">
        <x:f>MIN(10,F2314+IF(AR2314&gt;0,MIN(1,AS2314/AR2314),1))</x:f>
        <x:v>10</x:v>
      </x:c>
      <x:c r="J2315" s="32" t="n">
        <x:f>INDEX(v01_FoodCap,G2315)*Arch_FoodCap*EXP(v01_CapsByProject*SUMPRODUCT((Cap_Point&lt;=I2315)*(Cap_Kind="Food")*Cap_Ln))</x:f>
        <x:v>12000</x:v>
      </x:c>
      <x:c r="K2315" s="32" t="n">
        <x:f>J2315*MIN(1,v01_LeanBase*EXP(v01_CapsByProject*SUMPRODUCT((Cap_Point&lt;=I2315)*(Cap_Kind="Lean")*Cap_Ln)))</x:f>
        <x:v>12000</x:v>
      </x:c>
      <x:c r="L2315" s="10" t="n">
        <x:f>INDEX(v01_HousingCap,G2315)*EXP(v01_CapsByProject*SUMPRODUCT((Cap_Point&lt;=I2315)*(Cap_Kind="Housing")*Cap_Ln))</x:f>
        <x:v>20000</x:v>
      </x:c>
      <x:c r="M2315" s="10" t="n">
        <x:f>INDEX(v01_GroupCap,G2315)*v01_CohesionFactor*EXP(v01_CapsByProject*SUMPRODUCT((Cap_Point&lt;=I2315)*(Cap_Kind="Group")*Cap_Ln))</x:f>
        <x:v>1000000</x:v>
      </x:c>
      <x:c r="N2315" s="32" t="n">
        <x:f>MIN(J2315,L2315,M2315)</x:f>
        <x:v>12000</x:v>
      </x:c>
      <x:c r="O2315" s="10" t="n">
        <x:f>AE2314*N2315</x:f>
        <x:v>180000</x:v>
      </x:c>
      <x:c r="P2315" s="9" t="n">
        <x:f>MIN(1,(AB2314/(AE2314*IF(v01_GroupInCrowding=1,N2315,MIN(J2315,L2315))))^v01_CrowdingExp)</x:f>
        <x:v>0.00024569414295285325</x:v>
      </x:c>
      <x:c r="Q2315" s="9" t="n">
        <x:f>IF(D2315=1,INDEX(v01_WinterMult,G2315),1)</x:f>
        <x:v>1</x:v>
      </x:c>
      <x:c r="R2315" s="9" t="n">
        <x:f>H2315*Z2314*v01_WomenShare*v01_BaseFertility*INDEX(v01_FertMult,G2315)*Arch_Fertility*(1-P2315)</x:f>
        <x:v>0</x:v>
      </x:c>
      <x:c r="S2315" s="9" t="n">
        <x:f>H2315*Y2314*INDEX(v01_MortChild,G2315)/4*Q2315</x:f>
        <x:v>0</x:v>
      </x:c>
      <x:c r="T2315" s="9" t="n">
        <x:f>H2315*Z2314*INDEX(v01_MortAdult,G2315)*Arch_AdultMort/4*Q2315</x:f>
        <x:v>0</x:v>
      </x:c>
      <x:c r="U2315" s="9" t="n">
        <x:f>H2315*AA2314*INDEX(v01_MortElder,G2315)/4*Q2315</x:f>
        <x:v>0</x:v>
      </x:c>
      <x:c r="V2315" s="9" t="n">
        <x:f>H2315*MAX(0,AB2314-O2315)*v01_OvercapLoss</x:f>
        <x:v>0</x:v>
      </x:c>
      <x:c r="W2315" s="9" t="n">
        <x:f>H2315*Y2314/(v01_ChildYears*4)</x:f>
        <x:v>0</x:v>
      </x:c>
      <x:c r="X2315" s="9" t="n">
        <x:f>H2315*Z2314/(v01_AdultYears*4)</x:f>
        <x:v>0</x:v>
      </x:c>
      <x:c r="Y2315" s="32" t="n">
        <x:f>Y2314+R2315-S2315-W2315-Y2314*V2315/AB2314</x:f>
        <x:v>14306.18539759397</x:v>
      </x:c>
      <x:c r="Z2315" s="32" t="n">
        <x:f>Z2314+W2315-X2315-T2315-Z2314*V2315/AB2314</x:f>
        <x:v>19354.456567879548</x:v>
      </x:c>
      <x:c r="AA2315" s="32" t="n">
        <x:f>AA2314+X2315-U2315-AA2314*V2315/AB2314</x:f>
        <x:v>11386.956063258198</x:v>
      </x:c>
      <x:c r="AB2315" s="10" t="n">
        <x:f>Y2315+Z2315+AA2315</x:f>
        <x:v>45047.59802873172</x:v>
      </x:c>
      <x:c r="AC2315" s="8" t="n">
        <x:f>IF(AND(v01_WinterTrigger=1,D2315=1,AB2314/AE2314&gt;=K2315),1,0)</x:f>
        <x:v>0</x:v>
      </x:c>
      <x:c r="AD2315" s="8" t="n">
        <x:f>H2315*IF(AND(OR(AB2314/AE2314&gt;=v01_FissionTrigger*N2315,AC2315=1),AB2314/AE2314*v01_DaughterShare&gt;=v01_MinDaughter),MAX(1,ROUND(AE2314*v01_FissionRate,0)),0)</x:f>
        <x:v>0</x:v>
      </x:c>
      <x:c r="AE2315" s="8" t="n">
        <x:f>IF(H2315=1,MAX(1,MIN(INDEX(v01_Smax,G2315),AE2314+AD2315)),AE2314)</x:f>
        <x:v>15</x:v>
      </x:c>
      <x:c r="AF2315" s="8" t="n">
        <x:f>MAX(0,AE2315-AE2314)</x:f>
        <x:v>0</x:v>
      </x:c>
      <x:c r="AG2315" s="9" t="str">
        <x:f>IF(AF2315&gt;0,B2315,"")</x:f>
      </x:c>
      <x:c r="AH2315" s="9" t="n">
        <x:f>IF(F2315&gt;=1,1,(1+v01_LowTiesShare*(AE2315-1))/AE2315)</x:f>
        <x:v>1</x:v>
      </x:c>
      <x:c r="AI2315" s="32" t="n">
        <x:f>(Z2315+v01_ElderCommons*INDEX(LM_Elder,G2315)*AA2315)*AH2315</x:f>
        <x:v>64139.732591141874</x:v>
      </x:c>
      <x:c r="AJ2315" s="32" t="n">
        <x:f>H2315*v01_CommonsCoef*AI2315^v01_CommonsExp*INDEX(LM_Commons,G2315)</x:f>
        <x:v>0</x:v>
      </x:c>
      <x:c r="AK2315" s="32" t="n">
        <x:f>H2315*v01_RoleScale*Arch_Roles*(AE2315*(INDEX(v01_ElderRolePerSett,G2315)*v01_OutElder*INDEX(LM_Elder,G2315)+INDEX(v01_ShamanPerSett,G2315)*v01_OutShaman)+Z2315*(INDEX(v01_PriestShare,G2315)*v01_OutPriest+INDEX(v01_ScribeShare,G2315)*v01_OutScribe*INDEX(LM_Scribe,G2315)+INDEX(v01_ScholarShare,G2315)*v01_OutScholar*INDEX(LM_Scholar,G2315)+INDEX(v01_ResearcherShare,G2315)*v01_OutResearcher*INDEX(LM_Researcher,G2315)))</x:f>
        <x:v>0</x:v>
      </x:c>
      <x:c r="AL2315" s="32" t="n">
        <x:f>H2315*v01_RoleScale*Arch_Roles*AE2315*INDEX(v01_MonasteryPerSett,G2315)*v01_OutMonastery*INDEX(LM_Monastery,G2315)</x:f>
        <x:v>0</x:v>
      </x:c>
      <x:c r="AM2315" s="32" t="n">
        <x:f>(AJ2315+AK2315+AL2315)/4*INDEX(LM_All,G2315)*INDEX(v01_Boon,G2315)*Arch_Insight</x:f>
        <x:v>0</x:v>
      </x:c>
      <x:c r="AN2315" s="32" t="n">
        <x:f>H2315*(v01_KHPerAdult*Z2315+v01_KHOfCommons*AJ2315/4*INDEX(LM_All,G2315))*v01_KHUsable*Arch_KH</x:f>
        <x:v>0</x:v>
      </x:c>
      <x:c r="AO2315" s="32" t="n">
        <x:f>MIN(AP2314+AN2315,AM2315*v01_KHMaxRatio)</x:f>
        <x:v>0</x:v>
      </x:c>
      <x:c r="AP2315" s="32" t="n">
        <x:f>AP2314+AN2315-AO2315</x:f>
        <x:v>0</x:v>
      </x:c>
      <x:c r="AQ2315" s="32" t="n">
        <x:f>AM2315+AO2315</x:f>
        <x:v>0</x:v>
      </x:c>
      <x:c r="AR2315" s="10" t="n">
        <x:f>IF(H2315=1,INDEX(v01_Req,G2315),0)</x:f>
        <x:v>0</x:v>
      </x:c>
      <x:c r="AS2315" s="32" t="n">
        <x:f>IF(H2315=1,IF(E2315=1,AS2314-AR2314,AS2314)+AQ2315,0)</x:f>
        <x:v>0</x:v>
      </x:c>
      <x:c r="AT2315" s="11" t="n">
        <x:f>IF(AR2315&gt;0,MIN(1,AS2315/AR2315),1)</x:f>
        <x:v>1</x:v>
      </x:c>
      <x:c r="AU2315" s="10" t="n">
        <x:f>AB2315/INDEX(v01_RepScale,G2315)</x:f>
        <x:v>90.09519605746344</x:v>
      </x:c>
      <x:c r="AV2315" s="32" t="n">
        <x:f>AM2315*60/v01_SeasonSeconds</x:f>
        <x:v>0</x:v>
      </x:c>
    </x:row>
    <x:row r="2316">
      <x:c r="A2316" s="8" t="n">
        <x:f>A2315+1</x:f>
        <x:v>2313</x:v>
      </x:c>
      <x:c r="B2316" s="9" t="n">
        <x:f>A2316*v01_SeasonSeconds/60</x:f>
        <x:v>578.25</x:v>
      </x:c>
      <x:c r="C2316" s="9" t="n">
        <x:f>A2316/4</x:f>
        <x:v>578.25</x:v>
      </x:c>
      <x:c r="D2316" s="8" t="n">
        <x:f>IF(MOD(A2316,4)=0,1,0)</x:f>
        <x:v>0</x:v>
      </x:c>
      <x:c r="E2316" s="8" t="n">
        <x:f>IF(AND(F2315&lt;=9,AS2315&gt;=AR2315),1,0)</x:f>
        <x:v>0</x:v>
      </x:c>
      <x:c r="F2316" s="8" t="n">
        <x:f>MIN(10,F2315+E2316)</x:f>
        <x:v>10</x:v>
      </x:c>
      <x:c r="G2316" s="8" t="n">
        <x:f>MIN(F2316,9)+1</x:f>
        <x:v>10</x:v>
      </x:c>
      <x:c r="H2316" s="8" t="n">
        <x:f>IF(F2316&lt;=9,1,0)</x:f>
        <x:v>0</x:v>
      </x:c>
      <x:c r="I2316" s="9" t="n">
        <x:f>MIN(10,F2315+IF(AR2315&gt;0,MIN(1,AS2315/AR2315),1))</x:f>
        <x:v>10</x:v>
      </x:c>
      <x:c r="J2316" s="32" t="n">
        <x:f>INDEX(v01_FoodCap,G2316)*Arch_FoodCap*EXP(v01_CapsByProject*SUMPRODUCT((Cap_Point&lt;=I2316)*(Cap_Kind="Food")*Cap_Ln))</x:f>
        <x:v>12000</x:v>
      </x:c>
      <x:c r="K2316" s="32" t="n">
        <x:f>J2316*MIN(1,v01_LeanBase*EXP(v01_CapsByProject*SUMPRODUCT((Cap_Point&lt;=I2316)*(Cap_Kind="Lean")*Cap_Ln)))</x:f>
        <x:v>12000</x:v>
      </x:c>
      <x:c r="L2316" s="10" t="n">
        <x:f>INDEX(v01_HousingCap,G2316)*EXP(v01_CapsByProject*SUMPRODUCT((Cap_Point&lt;=I2316)*(Cap_Kind="Housing")*Cap_Ln))</x:f>
        <x:v>20000</x:v>
      </x:c>
      <x:c r="M2316" s="10" t="n">
        <x:f>INDEX(v01_GroupCap,G2316)*v01_CohesionFactor*EXP(v01_CapsByProject*SUMPRODUCT((Cap_Point&lt;=I2316)*(Cap_Kind="Group")*Cap_Ln))</x:f>
        <x:v>1000000</x:v>
      </x:c>
      <x:c r="N2316" s="32" t="n">
        <x:f>MIN(J2316,L2316,M2316)</x:f>
        <x:v>12000</x:v>
      </x:c>
      <x:c r="O2316" s="10" t="n">
        <x:f>AE2315*N2316</x:f>
        <x:v>180000</x:v>
      </x:c>
      <x:c r="P2316" s="9" t="n">
        <x:f>MIN(1,(AB2315/(AE2315*IF(v01_GroupInCrowding=1,N2316,MIN(J2316,L2316))))^v01_CrowdingExp)</x:f>
        <x:v>0.00024569414295285325</x:v>
      </x:c>
      <x:c r="Q2316" s="9" t="n">
        <x:f>IF(D2316=1,INDEX(v01_WinterMult,G2316),1)</x:f>
        <x:v>1</x:v>
      </x:c>
      <x:c r="R2316" s="9" t="n">
        <x:f>H2316*Z2315*v01_WomenShare*v01_BaseFertility*INDEX(v01_FertMult,G2316)*Arch_Fertility*(1-P2316)</x:f>
        <x:v>0</x:v>
      </x:c>
      <x:c r="S2316" s="9" t="n">
        <x:f>H2316*Y2315*INDEX(v01_MortChild,G2316)/4*Q2316</x:f>
        <x:v>0</x:v>
      </x:c>
      <x:c r="T2316" s="9" t="n">
        <x:f>H2316*Z2315*INDEX(v01_MortAdult,G2316)*Arch_AdultMort/4*Q2316</x:f>
        <x:v>0</x:v>
      </x:c>
      <x:c r="U2316" s="9" t="n">
        <x:f>H2316*AA2315*INDEX(v01_MortElder,G2316)/4*Q2316</x:f>
        <x:v>0</x:v>
      </x:c>
      <x:c r="V2316" s="9" t="n">
        <x:f>H2316*MAX(0,AB2315-O2316)*v01_OvercapLoss</x:f>
        <x:v>0</x:v>
      </x:c>
      <x:c r="W2316" s="9" t="n">
        <x:f>H2316*Y2315/(v01_ChildYears*4)</x:f>
        <x:v>0</x:v>
      </x:c>
      <x:c r="X2316" s="9" t="n">
        <x:f>H2316*Z2315/(v01_AdultYears*4)</x:f>
        <x:v>0</x:v>
      </x:c>
      <x:c r="Y2316" s="32" t="n">
        <x:f>Y2315+R2316-S2316-W2316-Y2315*V2316/AB2315</x:f>
        <x:v>14306.18539759397</x:v>
      </x:c>
      <x:c r="Z2316" s="32" t="n">
        <x:f>Z2315+W2316-X2316-T2316-Z2315*V2316/AB2315</x:f>
        <x:v>19354.456567879548</x:v>
      </x:c>
      <x:c r="AA2316" s="32" t="n">
        <x:f>AA2315+X2316-U2316-AA2315*V2316/AB2315</x:f>
        <x:v>11386.956063258198</x:v>
      </x:c>
      <x:c r="AB2316" s="10" t="n">
        <x:f>Y2316+Z2316+AA2316</x:f>
        <x:v>45047.59802873172</x:v>
      </x:c>
      <x:c r="AC2316" s="8" t="n">
        <x:f>IF(AND(v01_WinterTrigger=1,D2316=1,AB2315/AE2315&gt;=K2316),1,0)</x:f>
        <x:v>0</x:v>
      </x:c>
      <x:c r="AD2316" s="8" t="n">
        <x:f>H2316*IF(AND(OR(AB2315/AE2315&gt;=v01_FissionTrigger*N2316,AC2316=1),AB2315/AE2315*v01_DaughterShare&gt;=v01_MinDaughter),MAX(1,ROUND(AE2315*v01_FissionRate,0)),0)</x:f>
        <x:v>0</x:v>
      </x:c>
      <x:c r="AE2316" s="8" t="n">
        <x:f>IF(H2316=1,MAX(1,MIN(INDEX(v01_Smax,G2316),AE2315+AD2316)),AE2315)</x:f>
        <x:v>15</x:v>
      </x:c>
      <x:c r="AF2316" s="8" t="n">
        <x:f>MAX(0,AE2316-AE2315)</x:f>
        <x:v>0</x:v>
      </x:c>
      <x:c r="AG2316" s="9" t="str">
        <x:f>IF(AF2316&gt;0,B2316,"")</x:f>
      </x:c>
      <x:c r="AH2316" s="9" t="n">
        <x:f>IF(F2316&gt;=1,1,(1+v01_LowTiesShare*(AE2316-1))/AE2316)</x:f>
        <x:v>1</x:v>
      </x:c>
      <x:c r="AI2316" s="32" t="n">
        <x:f>(Z2316+v01_ElderCommons*INDEX(LM_Elder,G2316)*AA2316)*AH2316</x:f>
        <x:v>64139.732591141874</x:v>
      </x:c>
      <x:c r="AJ2316" s="32" t="n">
        <x:f>H2316*v01_CommonsCoef*AI2316^v01_CommonsExp*INDEX(LM_Commons,G2316)</x:f>
        <x:v>0</x:v>
      </x:c>
      <x:c r="AK2316" s="32" t="n">
        <x:f>H2316*v01_RoleScale*Arch_Roles*(AE2316*(INDEX(v01_ElderRolePerSett,G2316)*v01_OutElder*INDEX(LM_Elder,G2316)+INDEX(v01_ShamanPerSett,G2316)*v01_OutShaman)+Z2316*(INDEX(v01_PriestShare,G2316)*v01_OutPriest+INDEX(v01_ScribeShare,G2316)*v01_OutScribe*INDEX(LM_Scribe,G2316)+INDEX(v01_ScholarShare,G2316)*v01_OutScholar*INDEX(LM_Scholar,G2316)+INDEX(v01_ResearcherShare,G2316)*v01_OutResearcher*INDEX(LM_Researcher,G2316)))</x:f>
        <x:v>0</x:v>
      </x:c>
      <x:c r="AL2316" s="32" t="n">
        <x:f>H2316*v01_RoleScale*Arch_Roles*AE2316*INDEX(v01_MonasteryPerSett,G2316)*v01_OutMonastery*INDEX(LM_Monastery,G2316)</x:f>
        <x:v>0</x:v>
      </x:c>
      <x:c r="AM2316" s="32" t="n">
        <x:f>(AJ2316+AK2316+AL2316)/4*INDEX(LM_All,G2316)*INDEX(v01_Boon,G2316)*Arch_Insight</x:f>
        <x:v>0</x:v>
      </x:c>
      <x:c r="AN2316" s="32" t="n">
        <x:f>H2316*(v01_KHPerAdult*Z2316+v01_KHOfCommons*AJ2316/4*INDEX(LM_All,G2316))*v01_KHUsable*Arch_KH</x:f>
        <x:v>0</x:v>
      </x:c>
      <x:c r="AO2316" s="32" t="n">
        <x:f>MIN(AP2315+AN2316,AM2316*v01_KHMaxRatio)</x:f>
        <x:v>0</x:v>
      </x:c>
      <x:c r="AP2316" s="32" t="n">
        <x:f>AP2315+AN2316-AO2316</x:f>
        <x:v>0</x:v>
      </x:c>
      <x:c r="AQ2316" s="32" t="n">
        <x:f>AM2316+AO2316</x:f>
        <x:v>0</x:v>
      </x:c>
      <x:c r="AR2316" s="10" t="n">
        <x:f>IF(H2316=1,INDEX(v01_Req,G2316),0)</x:f>
        <x:v>0</x:v>
      </x:c>
      <x:c r="AS2316" s="32" t="n">
        <x:f>IF(H2316=1,IF(E2316=1,AS2315-AR2315,AS2315)+AQ2316,0)</x:f>
        <x:v>0</x:v>
      </x:c>
      <x:c r="AT2316" s="11" t="n">
        <x:f>IF(AR2316&gt;0,MIN(1,AS2316/AR2316),1)</x:f>
        <x:v>1</x:v>
      </x:c>
      <x:c r="AU2316" s="10" t="n">
        <x:f>AB2316/INDEX(v01_RepScale,G2316)</x:f>
        <x:v>90.09519605746344</x:v>
      </x:c>
      <x:c r="AV2316" s="32" t="n">
        <x:f>AM2316*60/v01_SeasonSeconds</x:f>
        <x:v>0</x:v>
      </x:c>
    </x:row>
    <x:row r="2317">
      <x:c r="A2317" s="8" t="n">
        <x:f>A2316+1</x:f>
        <x:v>2314</x:v>
      </x:c>
      <x:c r="B2317" s="9" t="n">
        <x:f>A2317*v01_SeasonSeconds/60</x:f>
        <x:v>578.5</x:v>
      </x:c>
      <x:c r="C2317" s="9" t="n">
        <x:f>A2317/4</x:f>
        <x:v>578.5</x:v>
      </x:c>
      <x:c r="D2317" s="8" t="n">
        <x:f>IF(MOD(A2317,4)=0,1,0)</x:f>
        <x:v>0</x:v>
      </x:c>
      <x:c r="E2317" s="8" t="n">
        <x:f>IF(AND(F2316&lt;=9,AS2316&gt;=AR2316),1,0)</x:f>
        <x:v>0</x:v>
      </x:c>
      <x:c r="F2317" s="8" t="n">
        <x:f>MIN(10,F2316+E2317)</x:f>
        <x:v>10</x:v>
      </x:c>
      <x:c r="G2317" s="8" t="n">
        <x:f>MIN(F2317,9)+1</x:f>
        <x:v>10</x:v>
      </x:c>
      <x:c r="H2317" s="8" t="n">
        <x:f>IF(F2317&lt;=9,1,0)</x:f>
        <x:v>0</x:v>
      </x:c>
      <x:c r="I2317" s="9" t="n">
        <x:f>MIN(10,F2316+IF(AR2316&gt;0,MIN(1,AS2316/AR2316),1))</x:f>
        <x:v>10</x:v>
      </x:c>
      <x:c r="J2317" s="32" t="n">
        <x:f>INDEX(v01_FoodCap,G2317)*Arch_FoodCap*EXP(v01_CapsByProject*SUMPRODUCT((Cap_Point&lt;=I2317)*(Cap_Kind="Food")*Cap_Ln))</x:f>
        <x:v>12000</x:v>
      </x:c>
      <x:c r="K2317" s="32" t="n">
        <x:f>J2317*MIN(1,v01_LeanBase*EXP(v01_CapsByProject*SUMPRODUCT((Cap_Point&lt;=I2317)*(Cap_Kind="Lean")*Cap_Ln)))</x:f>
        <x:v>12000</x:v>
      </x:c>
      <x:c r="L2317" s="10" t="n">
        <x:f>INDEX(v01_HousingCap,G2317)*EXP(v01_CapsByProject*SUMPRODUCT((Cap_Point&lt;=I2317)*(Cap_Kind="Housing")*Cap_Ln))</x:f>
        <x:v>20000</x:v>
      </x:c>
      <x:c r="M2317" s="10" t="n">
        <x:f>INDEX(v01_GroupCap,G2317)*v01_CohesionFactor*EXP(v01_CapsByProject*SUMPRODUCT((Cap_Point&lt;=I2317)*(Cap_Kind="Group")*Cap_Ln))</x:f>
        <x:v>1000000</x:v>
      </x:c>
      <x:c r="N2317" s="32" t="n">
        <x:f>MIN(J2317,L2317,M2317)</x:f>
        <x:v>12000</x:v>
      </x:c>
      <x:c r="O2317" s="10" t="n">
        <x:f>AE2316*N2317</x:f>
        <x:v>180000</x:v>
      </x:c>
      <x:c r="P2317" s="9" t="n">
        <x:f>MIN(1,(AB2316/(AE2316*IF(v01_GroupInCrowding=1,N2317,MIN(J2317,L2317))))^v01_CrowdingExp)</x:f>
        <x:v>0.00024569414295285325</x:v>
      </x:c>
      <x:c r="Q2317" s="9" t="n">
        <x:f>IF(D2317=1,INDEX(v01_WinterMult,G2317),1)</x:f>
        <x:v>1</x:v>
      </x:c>
      <x:c r="R2317" s="9" t="n">
        <x:f>H2317*Z2316*v01_WomenShare*v01_BaseFertility*INDEX(v01_FertMult,G2317)*Arch_Fertility*(1-P2317)</x:f>
        <x:v>0</x:v>
      </x:c>
      <x:c r="S2317" s="9" t="n">
        <x:f>H2317*Y2316*INDEX(v01_MortChild,G2317)/4*Q2317</x:f>
        <x:v>0</x:v>
      </x:c>
      <x:c r="T2317" s="9" t="n">
        <x:f>H2317*Z2316*INDEX(v01_MortAdult,G2317)*Arch_AdultMort/4*Q2317</x:f>
        <x:v>0</x:v>
      </x:c>
      <x:c r="U2317" s="9" t="n">
        <x:f>H2317*AA2316*INDEX(v01_MortElder,G2317)/4*Q2317</x:f>
        <x:v>0</x:v>
      </x:c>
      <x:c r="V2317" s="9" t="n">
        <x:f>H2317*MAX(0,AB2316-O2317)*v01_OvercapLoss</x:f>
        <x:v>0</x:v>
      </x:c>
      <x:c r="W2317" s="9" t="n">
        <x:f>H2317*Y2316/(v01_ChildYears*4)</x:f>
        <x:v>0</x:v>
      </x:c>
      <x:c r="X2317" s="9" t="n">
        <x:f>H2317*Z2316/(v01_AdultYears*4)</x:f>
        <x:v>0</x:v>
      </x:c>
      <x:c r="Y2317" s="32" t="n">
        <x:f>Y2316+R2317-S2317-W2317-Y2316*V2317/AB2316</x:f>
        <x:v>14306.18539759397</x:v>
      </x:c>
      <x:c r="Z2317" s="32" t="n">
        <x:f>Z2316+W2317-X2317-T2317-Z2316*V2317/AB2316</x:f>
        <x:v>19354.456567879548</x:v>
      </x:c>
      <x:c r="AA2317" s="32" t="n">
        <x:f>AA2316+X2317-U2317-AA2316*V2317/AB2316</x:f>
        <x:v>11386.956063258198</x:v>
      </x:c>
      <x:c r="AB2317" s="10" t="n">
        <x:f>Y2317+Z2317+AA2317</x:f>
        <x:v>45047.59802873172</x:v>
      </x:c>
      <x:c r="AC2317" s="8" t="n">
        <x:f>IF(AND(v01_WinterTrigger=1,D2317=1,AB2316/AE2316&gt;=K2317),1,0)</x:f>
        <x:v>0</x:v>
      </x:c>
      <x:c r="AD2317" s="8" t="n">
        <x:f>H2317*IF(AND(OR(AB2316/AE2316&gt;=v01_FissionTrigger*N2317,AC2317=1),AB2316/AE2316*v01_DaughterShare&gt;=v01_MinDaughter),MAX(1,ROUND(AE2316*v01_FissionRate,0)),0)</x:f>
        <x:v>0</x:v>
      </x:c>
      <x:c r="AE2317" s="8" t="n">
        <x:f>IF(H2317=1,MAX(1,MIN(INDEX(v01_Smax,G2317),AE2316+AD2317)),AE2316)</x:f>
        <x:v>15</x:v>
      </x:c>
      <x:c r="AF2317" s="8" t="n">
        <x:f>MAX(0,AE2317-AE2316)</x:f>
        <x:v>0</x:v>
      </x:c>
      <x:c r="AG2317" s="9" t="str">
        <x:f>IF(AF2317&gt;0,B2317,"")</x:f>
      </x:c>
      <x:c r="AH2317" s="9" t="n">
        <x:f>IF(F2317&gt;=1,1,(1+v01_LowTiesShare*(AE2317-1))/AE2317)</x:f>
        <x:v>1</x:v>
      </x:c>
      <x:c r="AI2317" s="32" t="n">
        <x:f>(Z2317+v01_ElderCommons*INDEX(LM_Elder,G2317)*AA2317)*AH2317</x:f>
        <x:v>64139.732591141874</x:v>
      </x:c>
      <x:c r="AJ2317" s="32" t="n">
        <x:f>H2317*v01_CommonsCoef*AI2317^v01_CommonsExp*INDEX(LM_Commons,G2317)</x:f>
        <x:v>0</x:v>
      </x:c>
      <x:c r="AK2317" s="32" t="n">
        <x:f>H2317*v01_RoleScale*Arch_Roles*(AE2317*(INDEX(v01_ElderRolePerSett,G2317)*v01_OutElder*INDEX(LM_Elder,G2317)+INDEX(v01_ShamanPerSett,G2317)*v01_OutShaman)+Z2317*(INDEX(v01_PriestShare,G2317)*v01_OutPriest+INDEX(v01_ScribeShare,G2317)*v01_OutScribe*INDEX(LM_Scribe,G2317)+INDEX(v01_ScholarShare,G2317)*v01_OutScholar*INDEX(LM_Scholar,G2317)+INDEX(v01_ResearcherShare,G2317)*v01_OutResearcher*INDEX(LM_Researcher,G2317)))</x:f>
        <x:v>0</x:v>
      </x:c>
      <x:c r="AL2317" s="32" t="n">
        <x:f>H2317*v01_RoleScale*Arch_Roles*AE2317*INDEX(v01_MonasteryPerSett,G2317)*v01_OutMonastery*INDEX(LM_Monastery,G2317)</x:f>
        <x:v>0</x:v>
      </x:c>
      <x:c r="AM2317" s="32" t="n">
        <x:f>(AJ2317+AK2317+AL2317)/4*INDEX(LM_All,G2317)*INDEX(v01_Boon,G2317)*Arch_Insight</x:f>
        <x:v>0</x:v>
      </x:c>
      <x:c r="AN2317" s="32" t="n">
        <x:f>H2317*(v01_KHPerAdult*Z2317+v01_KHOfCommons*AJ2317/4*INDEX(LM_All,G2317))*v01_KHUsable*Arch_KH</x:f>
        <x:v>0</x:v>
      </x:c>
      <x:c r="AO2317" s="32" t="n">
        <x:f>MIN(AP2316+AN2317,AM2317*v01_KHMaxRatio)</x:f>
        <x:v>0</x:v>
      </x:c>
      <x:c r="AP2317" s="32" t="n">
        <x:f>AP2316+AN2317-AO2317</x:f>
        <x:v>0</x:v>
      </x:c>
      <x:c r="AQ2317" s="32" t="n">
        <x:f>AM2317+AO2317</x:f>
        <x:v>0</x:v>
      </x:c>
      <x:c r="AR2317" s="10" t="n">
        <x:f>IF(H2317=1,INDEX(v01_Req,G2317),0)</x:f>
        <x:v>0</x:v>
      </x:c>
      <x:c r="AS2317" s="32" t="n">
        <x:f>IF(H2317=1,IF(E2317=1,AS2316-AR2316,AS2316)+AQ2317,0)</x:f>
        <x:v>0</x:v>
      </x:c>
      <x:c r="AT2317" s="11" t="n">
        <x:f>IF(AR2317&gt;0,MIN(1,AS2317/AR2317),1)</x:f>
        <x:v>1</x:v>
      </x:c>
      <x:c r="AU2317" s="10" t="n">
        <x:f>AB2317/INDEX(v01_RepScale,G2317)</x:f>
        <x:v>90.09519605746344</x:v>
      </x:c>
      <x:c r="AV2317" s="32" t="n">
        <x:f>AM2317*60/v01_SeasonSeconds</x:f>
        <x:v>0</x:v>
      </x:c>
    </x:row>
    <x:row r="2318">
      <x:c r="A2318" s="8" t="n">
        <x:f>A2317+1</x:f>
        <x:v>2315</x:v>
      </x:c>
      <x:c r="B2318" s="9" t="n">
        <x:f>A2318*v01_SeasonSeconds/60</x:f>
        <x:v>578.75</x:v>
      </x:c>
      <x:c r="C2318" s="9" t="n">
        <x:f>A2318/4</x:f>
        <x:v>578.75</x:v>
      </x:c>
      <x:c r="D2318" s="8" t="n">
        <x:f>IF(MOD(A2318,4)=0,1,0)</x:f>
        <x:v>0</x:v>
      </x:c>
      <x:c r="E2318" s="8" t="n">
        <x:f>IF(AND(F2317&lt;=9,AS2317&gt;=AR2317),1,0)</x:f>
        <x:v>0</x:v>
      </x:c>
      <x:c r="F2318" s="8" t="n">
        <x:f>MIN(10,F2317+E2318)</x:f>
        <x:v>10</x:v>
      </x:c>
      <x:c r="G2318" s="8" t="n">
        <x:f>MIN(F2318,9)+1</x:f>
        <x:v>10</x:v>
      </x:c>
      <x:c r="H2318" s="8" t="n">
        <x:f>IF(F2318&lt;=9,1,0)</x:f>
        <x:v>0</x:v>
      </x:c>
      <x:c r="I2318" s="9" t="n">
        <x:f>MIN(10,F2317+IF(AR2317&gt;0,MIN(1,AS2317/AR2317),1))</x:f>
        <x:v>10</x:v>
      </x:c>
      <x:c r="J2318" s="32" t="n">
        <x:f>INDEX(v01_FoodCap,G2318)*Arch_FoodCap*EXP(v01_CapsByProject*SUMPRODUCT((Cap_Point&lt;=I2318)*(Cap_Kind="Food")*Cap_Ln))</x:f>
        <x:v>12000</x:v>
      </x:c>
      <x:c r="K2318" s="32" t="n">
        <x:f>J2318*MIN(1,v01_LeanBase*EXP(v01_CapsByProject*SUMPRODUCT((Cap_Point&lt;=I2318)*(Cap_Kind="Lean")*Cap_Ln)))</x:f>
        <x:v>12000</x:v>
      </x:c>
      <x:c r="L2318" s="10" t="n">
        <x:f>INDEX(v01_HousingCap,G2318)*EXP(v01_CapsByProject*SUMPRODUCT((Cap_Point&lt;=I2318)*(Cap_Kind="Housing")*Cap_Ln))</x:f>
        <x:v>20000</x:v>
      </x:c>
      <x:c r="M2318" s="10" t="n">
        <x:f>INDEX(v01_GroupCap,G2318)*v01_CohesionFactor*EXP(v01_CapsByProject*SUMPRODUCT((Cap_Point&lt;=I2318)*(Cap_Kind="Group")*Cap_Ln))</x:f>
        <x:v>1000000</x:v>
      </x:c>
      <x:c r="N2318" s="32" t="n">
        <x:f>MIN(J2318,L2318,M2318)</x:f>
        <x:v>12000</x:v>
      </x:c>
      <x:c r="O2318" s="10" t="n">
        <x:f>AE2317*N2318</x:f>
        <x:v>180000</x:v>
      </x:c>
      <x:c r="P2318" s="9" t="n">
        <x:f>MIN(1,(AB2317/(AE2317*IF(v01_GroupInCrowding=1,N2318,MIN(J2318,L2318))))^v01_CrowdingExp)</x:f>
        <x:v>0.00024569414295285325</x:v>
      </x:c>
      <x:c r="Q2318" s="9" t="n">
        <x:f>IF(D2318=1,INDEX(v01_WinterMult,G2318),1)</x:f>
        <x:v>1</x:v>
      </x:c>
      <x:c r="R2318" s="9" t="n">
        <x:f>H2318*Z2317*v01_WomenShare*v01_BaseFertility*INDEX(v01_FertMult,G2318)*Arch_Fertility*(1-P2318)</x:f>
        <x:v>0</x:v>
      </x:c>
      <x:c r="S2318" s="9" t="n">
        <x:f>H2318*Y2317*INDEX(v01_MortChild,G2318)/4*Q2318</x:f>
        <x:v>0</x:v>
      </x:c>
      <x:c r="T2318" s="9" t="n">
        <x:f>H2318*Z2317*INDEX(v01_MortAdult,G2318)*Arch_AdultMort/4*Q2318</x:f>
        <x:v>0</x:v>
      </x:c>
      <x:c r="U2318" s="9" t="n">
        <x:f>H2318*AA2317*INDEX(v01_MortElder,G2318)/4*Q2318</x:f>
        <x:v>0</x:v>
      </x:c>
      <x:c r="V2318" s="9" t="n">
        <x:f>H2318*MAX(0,AB2317-O2318)*v01_OvercapLoss</x:f>
        <x:v>0</x:v>
      </x:c>
      <x:c r="W2318" s="9" t="n">
        <x:f>H2318*Y2317/(v01_ChildYears*4)</x:f>
        <x:v>0</x:v>
      </x:c>
      <x:c r="X2318" s="9" t="n">
        <x:f>H2318*Z2317/(v01_AdultYears*4)</x:f>
        <x:v>0</x:v>
      </x:c>
      <x:c r="Y2318" s="32" t="n">
        <x:f>Y2317+R2318-S2318-W2318-Y2317*V2318/AB2317</x:f>
        <x:v>14306.18539759397</x:v>
      </x:c>
      <x:c r="Z2318" s="32" t="n">
        <x:f>Z2317+W2318-X2318-T2318-Z2317*V2318/AB2317</x:f>
        <x:v>19354.456567879548</x:v>
      </x:c>
      <x:c r="AA2318" s="32" t="n">
        <x:f>AA2317+X2318-U2318-AA2317*V2318/AB2317</x:f>
        <x:v>11386.956063258198</x:v>
      </x:c>
      <x:c r="AB2318" s="10" t="n">
        <x:f>Y2318+Z2318+AA2318</x:f>
        <x:v>45047.59802873172</x:v>
      </x:c>
      <x:c r="AC2318" s="8" t="n">
        <x:f>IF(AND(v01_WinterTrigger=1,D2318=1,AB2317/AE2317&gt;=K2318),1,0)</x:f>
        <x:v>0</x:v>
      </x:c>
      <x:c r="AD2318" s="8" t="n">
        <x:f>H2318*IF(AND(OR(AB2317/AE2317&gt;=v01_FissionTrigger*N2318,AC2318=1),AB2317/AE2317*v01_DaughterShare&gt;=v01_MinDaughter),MAX(1,ROUND(AE2317*v01_FissionRate,0)),0)</x:f>
        <x:v>0</x:v>
      </x:c>
      <x:c r="AE2318" s="8" t="n">
        <x:f>IF(H2318=1,MAX(1,MIN(INDEX(v01_Smax,G2318),AE2317+AD2318)),AE2317)</x:f>
        <x:v>15</x:v>
      </x:c>
      <x:c r="AF2318" s="8" t="n">
        <x:f>MAX(0,AE2318-AE2317)</x:f>
        <x:v>0</x:v>
      </x:c>
      <x:c r="AG2318" s="9" t="str">
        <x:f>IF(AF2318&gt;0,B2318,"")</x:f>
      </x:c>
      <x:c r="AH2318" s="9" t="n">
        <x:f>IF(F2318&gt;=1,1,(1+v01_LowTiesShare*(AE2318-1))/AE2318)</x:f>
        <x:v>1</x:v>
      </x:c>
      <x:c r="AI2318" s="32" t="n">
        <x:f>(Z2318+v01_ElderCommons*INDEX(LM_Elder,G2318)*AA2318)*AH2318</x:f>
        <x:v>64139.732591141874</x:v>
      </x:c>
      <x:c r="AJ2318" s="32" t="n">
        <x:f>H2318*v01_CommonsCoef*AI2318^v01_CommonsExp*INDEX(LM_Commons,G2318)</x:f>
        <x:v>0</x:v>
      </x:c>
      <x:c r="AK2318" s="32" t="n">
        <x:f>H2318*v01_RoleScale*Arch_Roles*(AE2318*(INDEX(v01_ElderRolePerSett,G2318)*v01_OutElder*INDEX(LM_Elder,G2318)+INDEX(v01_ShamanPerSett,G2318)*v01_OutShaman)+Z2318*(INDEX(v01_PriestShare,G2318)*v01_OutPriest+INDEX(v01_ScribeShare,G2318)*v01_OutScribe*INDEX(LM_Scribe,G2318)+INDEX(v01_ScholarShare,G2318)*v01_OutScholar*INDEX(LM_Scholar,G2318)+INDEX(v01_ResearcherShare,G2318)*v01_OutResearcher*INDEX(LM_Researcher,G2318)))</x:f>
        <x:v>0</x:v>
      </x:c>
      <x:c r="AL2318" s="32" t="n">
        <x:f>H2318*v01_RoleScale*Arch_Roles*AE2318*INDEX(v01_MonasteryPerSett,G2318)*v01_OutMonastery*INDEX(LM_Monastery,G2318)</x:f>
        <x:v>0</x:v>
      </x:c>
      <x:c r="AM2318" s="32" t="n">
        <x:f>(AJ2318+AK2318+AL2318)/4*INDEX(LM_All,G2318)*INDEX(v01_Boon,G2318)*Arch_Insight</x:f>
        <x:v>0</x:v>
      </x:c>
      <x:c r="AN2318" s="32" t="n">
        <x:f>H2318*(v01_KHPerAdult*Z2318+v01_KHOfCommons*AJ2318/4*INDEX(LM_All,G2318))*v01_KHUsable*Arch_KH</x:f>
        <x:v>0</x:v>
      </x:c>
      <x:c r="AO2318" s="32" t="n">
        <x:f>MIN(AP2317+AN2318,AM2318*v01_KHMaxRatio)</x:f>
        <x:v>0</x:v>
      </x:c>
      <x:c r="AP2318" s="32" t="n">
        <x:f>AP2317+AN2318-AO2318</x:f>
        <x:v>0</x:v>
      </x:c>
      <x:c r="AQ2318" s="32" t="n">
        <x:f>AM2318+AO2318</x:f>
        <x:v>0</x:v>
      </x:c>
      <x:c r="AR2318" s="10" t="n">
        <x:f>IF(H2318=1,INDEX(v01_Req,G2318),0)</x:f>
        <x:v>0</x:v>
      </x:c>
      <x:c r="AS2318" s="32" t="n">
        <x:f>IF(H2318=1,IF(E2318=1,AS2317-AR2317,AS2317)+AQ2318,0)</x:f>
        <x:v>0</x:v>
      </x:c>
      <x:c r="AT2318" s="11" t="n">
        <x:f>IF(AR2318&gt;0,MIN(1,AS2318/AR2318),1)</x:f>
        <x:v>1</x:v>
      </x:c>
      <x:c r="AU2318" s="10" t="n">
        <x:f>AB2318/INDEX(v01_RepScale,G2318)</x:f>
        <x:v>90.09519605746344</x:v>
      </x:c>
      <x:c r="AV2318" s="32" t="n">
        <x:f>AM2318*60/v01_SeasonSeconds</x:f>
        <x:v>0</x:v>
      </x:c>
    </x:row>
    <x:row r="2319">
      <x:c r="A2319" s="8" t="n">
        <x:f>A2318+1</x:f>
        <x:v>2316</x:v>
      </x:c>
      <x:c r="B2319" s="9" t="n">
        <x:f>A2319*v01_SeasonSeconds/60</x:f>
        <x:v>579</x:v>
      </x:c>
      <x:c r="C2319" s="9" t="n">
        <x:f>A2319/4</x:f>
        <x:v>579</x:v>
      </x:c>
      <x:c r="D2319" s="8" t="n">
        <x:f>IF(MOD(A2319,4)=0,1,0)</x:f>
        <x:v>1</x:v>
      </x:c>
      <x:c r="E2319" s="8" t="n">
        <x:f>IF(AND(F2318&lt;=9,AS2318&gt;=AR2318),1,0)</x:f>
        <x:v>0</x:v>
      </x:c>
      <x:c r="F2319" s="8" t="n">
        <x:f>MIN(10,F2318+E2319)</x:f>
        <x:v>10</x:v>
      </x:c>
      <x:c r="G2319" s="8" t="n">
        <x:f>MIN(F2319,9)+1</x:f>
        <x:v>10</x:v>
      </x:c>
      <x:c r="H2319" s="8" t="n">
        <x:f>IF(F2319&lt;=9,1,0)</x:f>
        <x:v>0</x:v>
      </x:c>
      <x:c r="I2319" s="9" t="n">
        <x:f>MIN(10,F2318+IF(AR2318&gt;0,MIN(1,AS2318/AR2318),1))</x:f>
        <x:v>10</x:v>
      </x:c>
      <x:c r="J2319" s="32" t="n">
        <x:f>INDEX(v01_FoodCap,G2319)*Arch_FoodCap*EXP(v01_CapsByProject*SUMPRODUCT((Cap_Point&lt;=I2319)*(Cap_Kind="Food")*Cap_Ln))</x:f>
        <x:v>12000</x:v>
      </x:c>
      <x:c r="K2319" s="32" t="n">
        <x:f>J2319*MIN(1,v01_LeanBase*EXP(v01_CapsByProject*SUMPRODUCT((Cap_Point&lt;=I2319)*(Cap_Kind="Lean")*Cap_Ln)))</x:f>
        <x:v>12000</x:v>
      </x:c>
      <x:c r="L2319" s="10" t="n">
        <x:f>INDEX(v01_HousingCap,G2319)*EXP(v01_CapsByProject*SUMPRODUCT((Cap_Point&lt;=I2319)*(Cap_Kind="Housing")*Cap_Ln))</x:f>
        <x:v>20000</x:v>
      </x:c>
      <x:c r="M2319" s="10" t="n">
        <x:f>INDEX(v01_GroupCap,G2319)*v01_CohesionFactor*EXP(v01_CapsByProject*SUMPRODUCT((Cap_Point&lt;=I2319)*(Cap_Kind="Group")*Cap_Ln))</x:f>
        <x:v>1000000</x:v>
      </x:c>
      <x:c r="N2319" s="32" t="n">
        <x:f>MIN(J2319,L2319,M2319)</x:f>
        <x:v>12000</x:v>
      </x:c>
      <x:c r="O2319" s="10" t="n">
        <x:f>AE2318*N2319</x:f>
        <x:v>180000</x:v>
      </x:c>
      <x:c r="P2319" s="9" t="n">
        <x:f>MIN(1,(AB2318/(AE2318*IF(v01_GroupInCrowding=1,N2319,MIN(J2319,L2319))))^v01_CrowdingExp)</x:f>
        <x:v>0.00024569414295285325</x:v>
      </x:c>
      <x:c r="Q2319" s="9" t="n">
        <x:f>IF(D2319=1,INDEX(v01_WinterMult,G2319),1)</x:f>
        <x:v>1</x:v>
      </x:c>
      <x:c r="R2319" s="9" t="n">
        <x:f>H2319*Z2318*v01_WomenShare*v01_BaseFertility*INDEX(v01_FertMult,G2319)*Arch_Fertility*(1-P2319)</x:f>
        <x:v>0</x:v>
      </x:c>
      <x:c r="S2319" s="9" t="n">
        <x:f>H2319*Y2318*INDEX(v01_MortChild,G2319)/4*Q2319</x:f>
        <x:v>0</x:v>
      </x:c>
      <x:c r="T2319" s="9" t="n">
        <x:f>H2319*Z2318*INDEX(v01_MortAdult,G2319)*Arch_AdultMort/4*Q2319</x:f>
        <x:v>0</x:v>
      </x:c>
      <x:c r="U2319" s="9" t="n">
        <x:f>H2319*AA2318*INDEX(v01_MortElder,G2319)/4*Q2319</x:f>
        <x:v>0</x:v>
      </x:c>
      <x:c r="V2319" s="9" t="n">
        <x:f>H2319*MAX(0,AB2318-O2319)*v01_OvercapLoss</x:f>
        <x:v>0</x:v>
      </x:c>
      <x:c r="W2319" s="9" t="n">
        <x:f>H2319*Y2318/(v01_ChildYears*4)</x:f>
        <x:v>0</x:v>
      </x:c>
      <x:c r="X2319" s="9" t="n">
        <x:f>H2319*Z2318/(v01_AdultYears*4)</x:f>
        <x:v>0</x:v>
      </x:c>
      <x:c r="Y2319" s="32" t="n">
        <x:f>Y2318+R2319-S2319-W2319-Y2318*V2319/AB2318</x:f>
        <x:v>14306.18539759397</x:v>
      </x:c>
      <x:c r="Z2319" s="32" t="n">
        <x:f>Z2318+W2319-X2319-T2319-Z2318*V2319/AB2318</x:f>
        <x:v>19354.456567879548</x:v>
      </x:c>
      <x:c r="AA2319" s="32" t="n">
        <x:f>AA2318+X2319-U2319-AA2318*V2319/AB2318</x:f>
        <x:v>11386.956063258198</x:v>
      </x:c>
      <x:c r="AB2319" s="10" t="n">
        <x:f>Y2319+Z2319+AA2319</x:f>
        <x:v>45047.59802873172</x:v>
      </x:c>
      <x:c r="AC2319" s="8" t="n">
        <x:f>IF(AND(v01_WinterTrigger=1,D2319=1,AB2318/AE2318&gt;=K2319),1,0)</x:f>
        <x:v>0</x:v>
      </x:c>
      <x:c r="AD2319" s="8" t="n">
        <x:f>H2319*IF(AND(OR(AB2318/AE2318&gt;=v01_FissionTrigger*N2319,AC2319=1),AB2318/AE2318*v01_DaughterShare&gt;=v01_MinDaughter),MAX(1,ROUND(AE2318*v01_FissionRate,0)),0)</x:f>
        <x:v>0</x:v>
      </x:c>
      <x:c r="AE2319" s="8" t="n">
        <x:f>IF(H2319=1,MAX(1,MIN(INDEX(v01_Smax,G2319),AE2318+AD2319)),AE2318)</x:f>
        <x:v>15</x:v>
      </x:c>
      <x:c r="AF2319" s="8" t="n">
        <x:f>MAX(0,AE2319-AE2318)</x:f>
        <x:v>0</x:v>
      </x:c>
      <x:c r="AG2319" s="9" t="str">
        <x:f>IF(AF2319&gt;0,B2319,"")</x:f>
      </x:c>
      <x:c r="AH2319" s="9" t="n">
        <x:f>IF(F2319&gt;=1,1,(1+v01_LowTiesShare*(AE2319-1))/AE2319)</x:f>
        <x:v>1</x:v>
      </x:c>
      <x:c r="AI2319" s="32" t="n">
        <x:f>(Z2319+v01_ElderCommons*INDEX(LM_Elder,G2319)*AA2319)*AH2319</x:f>
        <x:v>64139.732591141874</x:v>
      </x:c>
      <x:c r="AJ2319" s="32" t="n">
        <x:f>H2319*v01_CommonsCoef*AI2319^v01_CommonsExp*INDEX(LM_Commons,G2319)</x:f>
        <x:v>0</x:v>
      </x:c>
      <x:c r="AK2319" s="32" t="n">
        <x:f>H2319*v01_RoleScale*Arch_Roles*(AE2319*(INDEX(v01_ElderRolePerSett,G2319)*v01_OutElder*INDEX(LM_Elder,G2319)+INDEX(v01_ShamanPerSett,G2319)*v01_OutShaman)+Z2319*(INDEX(v01_PriestShare,G2319)*v01_OutPriest+INDEX(v01_ScribeShare,G2319)*v01_OutScribe*INDEX(LM_Scribe,G2319)+INDEX(v01_ScholarShare,G2319)*v01_OutScholar*INDEX(LM_Scholar,G2319)+INDEX(v01_ResearcherShare,G2319)*v01_OutResearcher*INDEX(LM_Researcher,G2319)))</x:f>
        <x:v>0</x:v>
      </x:c>
      <x:c r="AL2319" s="32" t="n">
        <x:f>H2319*v01_RoleScale*Arch_Roles*AE2319*INDEX(v01_MonasteryPerSett,G2319)*v01_OutMonastery*INDEX(LM_Monastery,G2319)</x:f>
        <x:v>0</x:v>
      </x:c>
      <x:c r="AM2319" s="32" t="n">
        <x:f>(AJ2319+AK2319+AL2319)/4*INDEX(LM_All,G2319)*INDEX(v01_Boon,G2319)*Arch_Insight</x:f>
        <x:v>0</x:v>
      </x:c>
      <x:c r="AN2319" s="32" t="n">
        <x:f>H2319*(v01_KHPerAdult*Z2319+v01_KHOfCommons*AJ2319/4*INDEX(LM_All,G2319))*v01_KHUsable*Arch_KH</x:f>
        <x:v>0</x:v>
      </x:c>
      <x:c r="AO2319" s="32" t="n">
        <x:f>MIN(AP2318+AN2319,AM2319*v01_KHMaxRatio)</x:f>
        <x:v>0</x:v>
      </x:c>
      <x:c r="AP2319" s="32" t="n">
        <x:f>AP2318+AN2319-AO2319</x:f>
        <x:v>0</x:v>
      </x:c>
      <x:c r="AQ2319" s="32" t="n">
        <x:f>AM2319+AO2319</x:f>
        <x:v>0</x:v>
      </x:c>
      <x:c r="AR2319" s="10" t="n">
        <x:f>IF(H2319=1,INDEX(v01_Req,G2319),0)</x:f>
        <x:v>0</x:v>
      </x:c>
      <x:c r="AS2319" s="32" t="n">
        <x:f>IF(H2319=1,IF(E2319=1,AS2318-AR2318,AS2318)+AQ2319,0)</x:f>
        <x:v>0</x:v>
      </x:c>
      <x:c r="AT2319" s="11" t="n">
        <x:f>IF(AR2319&gt;0,MIN(1,AS2319/AR2319),1)</x:f>
        <x:v>1</x:v>
      </x:c>
      <x:c r="AU2319" s="10" t="n">
        <x:f>AB2319/INDEX(v01_RepScale,G2319)</x:f>
        <x:v>90.09519605746344</x:v>
      </x:c>
      <x:c r="AV2319" s="32" t="n">
        <x:f>AM2319*60/v01_SeasonSeconds</x:f>
        <x:v>0</x:v>
      </x:c>
    </x:row>
    <x:row r="2320">
      <x:c r="A2320" s="8" t="n">
        <x:f>A2319+1</x:f>
        <x:v>2317</x:v>
      </x:c>
      <x:c r="B2320" s="9" t="n">
        <x:f>A2320*v01_SeasonSeconds/60</x:f>
        <x:v>579.25</x:v>
      </x:c>
      <x:c r="C2320" s="9" t="n">
        <x:f>A2320/4</x:f>
        <x:v>579.25</x:v>
      </x:c>
      <x:c r="D2320" s="8" t="n">
        <x:f>IF(MOD(A2320,4)=0,1,0)</x:f>
        <x:v>0</x:v>
      </x:c>
      <x:c r="E2320" s="8" t="n">
        <x:f>IF(AND(F2319&lt;=9,AS2319&gt;=AR2319),1,0)</x:f>
        <x:v>0</x:v>
      </x:c>
      <x:c r="F2320" s="8" t="n">
        <x:f>MIN(10,F2319+E2320)</x:f>
        <x:v>10</x:v>
      </x:c>
      <x:c r="G2320" s="8" t="n">
        <x:f>MIN(F2320,9)+1</x:f>
        <x:v>10</x:v>
      </x:c>
      <x:c r="H2320" s="8" t="n">
        <x:f>IF(F2320&lt;=9,1,0)</x:f>
        <x:v>0</x:v>
      </x:c>
      <x:c r="I2320" s="9" t="n">
        <x:f>MIN(10,F2319+IF(AR2319&gt;0,MIN(1,AS2319/AR2319),1))</x:f>
        <x:v>10</x:v>
      </x:c>
      <x:c r="J2320" s="32" t="n">
        <x:f>INDEX(v01_FoodCap,G2320)*Arch_FoodCap*EXP(v01_CapsByProject*SUMPRODUCT((Cap_Point&lt;=I2320)*(Cap_Kind="Food")*Cap_Ln))</x:f>
        <x:v>12000</x:v>
      </x:c>
      <x:c r="K2320" s="32" t="n">
        <x:f>J2320*MIN(1,v01_LeanBase*EXP(v01_CapsByProject*SUMPRODUCT((Cap_Point&lt;=I2320)*(Cap_Kind="Lean")*Cap_Ln)))</x:f>
        <x:v>12000</x:v>
      </x:c>
      <x:c r="L2320" s="10" t="n">
        <x:f>INDEX(v01_HousingCap,G2320)*EXP(v01_CapsByProject*SUMPRODUCT((Cap_Point&lt;=I2320)*(Cap_Kind="Housing")*Cap_Ln))</x:f>
        <x:v>20000</x:v>
      </x:c>
      <x:c r="M2320" s="10" t="n">
        <x:f>INDEX(v01_GroupCap,G2320)*v01_CohesionFactor*EXP(v01_CapsByProject*SUMPRODUCT((Cap_Point&lt;=I2320)*(Cap_Kind="Group")*Cap_Ln))</x:f>
        <x:v>1000000</x:v>
      </x:c>
      <x:c r="N2320" s="32" t="n">
        <x:f>MIN(J2320,L2320,M2320)</x:f>
        <x:v>12000</x:v>
      </x:c>
      <x:c r="O2320" s="10" t="n">
        <x:f>AE2319*N2320</x:f>
        <x:v>180000</x:v>
      </x:c>
      <x:c r="P2320" s="9" t="n">
        <x:f>MIN(1,(AB2319/(AE2319*IF(v01_GroupInCrowding=1,N2320,MIN(J2320,L2320))))^v01_CrowdingExp)</x:f>
        <x:v>0.00024569414295285325</x:v>
      </x:c>
      <x:c r="Q2320" s="9" t="n">
        <x:f>IF(D2320=1,INDEX(v01_WinterMult,G2320),1)</x:f>
        <x:v>1</x:v>
      </x:c>
      <x:c r="R2320" s="9" t="n">
        <x:f>H2320*Z2319*v01_WomenShare*v01_BaseFertility*INDEX(v01_FertMult,G2320)*Arch_Fertility*(1-P2320)</x:f>
        <x:v>0</x:v>
      </x:c>
      <x:c r="S2320" s="9" t="n">
        <x:f>H2320*Y2319*INDEX(v01_MortChild,G2320)/4*Q2320</x:f>
        <x:v>0</x:v>
      </x:c>
      <x:c r="T2320" s="9" t="n">
        <x:f>H2320*Z2319*INDEX(v01_MortAdult,G2320)*Arch_AdultMort/4*Q2320</x:f>
        <x:v>0</x:v>
      </x:c>
      <x:c r="U2320" s="9" t="n">
        <x:f>H2320*AA2319*INDEX(v01_MortElder,G2320)/4*Q2320</x:f>
        <x:v>0</x:v>
      </x:c>
      <x:c r="V2320" s="9" t="n">
        <x:f>H2320*MAX(0,AB2319-O2320)*v01_OvercapLoss</x:f>
        <x:v>0</x:v>
      </x:c>
      <x:c r="W2320" s="9" t="n">
        <x:f>H2320*Y2319/(v01_ChildYears*4)</x:f>
        <x:v>0</x:v>
      </x:c>
      <x:c r="X2320" s="9" t="n">
        <x:f>H2320*Z2319/(v01_AdultYears*4)</x:f>
        <x:v>0</x:v>
      </x:c>
      <x:c r="Y2320" s="32" t="n">
        <x:f>Y2319+R2320-S2320-W2320-Y2319*V2320/AB2319</x:f>
        <x:v>14306.18539759397</x:v>
      </x:c>
      <x:c r="Z2320" s="32" t="n">
        <x:f>Z2319+W2320-X2320-T2320-Z2319*V2320/AB2319</x:f>
        <x:v>19354.456567879548</x:v>
      </x:c>
      <x:c r="AA2320" s="32" t="n">
        <x:f>AA2319+X2320-U2320-AA2319*V2320/AB2319</x:f>
        <x:v>11386.956063258198</x:v>
      </x:c>
      <x:c r="AB2320" s="10" t="n">
        <x:f>Y2320+Z2320+AA2320</x:f>
        <x:v>45047.59802873172</x:v>
      </x:c>
      <x:c r="AC2320" s="8" t="n">
        <x:f>IF(AND(v01_WinterTrigger=1,D2320=1,AB2319/AE2319&gt;=K2320),1,0)</x:f>
        <x:v>0</x:v>
      </x:c>
      <x:c r="AD2320" s="8" t="n">
        <x:f>H2320*IF(AND(OR(AB2319/AE2319&gt;=v01_FissionTrigger*N2320,AC2320=1),AB2319/AE2319*v01_DaughterShare&gt;=v01_MinDaughter),MAX(1,ROUND(AE2319*v01_FissionRate,0)),0)</x:f>
        <x:v>0</x:v>
      </x:c>
      <x:c r="AE2320" s="8" t="n">
        <x:f>IF(H2320=1,MAX(1,MIN(INDEX(v01_Smax,G2320),AE2319+AD2320)),AE2319)</x:f>
        <x:v>15</x:v>
      </x:c>
      <x:c r="AF2320" s="8" t="n">
        <x:f>MAX(0,AE2320-AE2319)</x:f>
        <x:v>0</x:v>
      </x:c>
      <x:c r="AG2320" s="9" t="str">
        <x:f>IF(AF2320&gt;0,B2320,"")</x:f>
      </x:c>
      <x:c r="AH2320" s="9" t="n">
        <x:f>IF(F2320&gt;=1,1,(1+v01_LowTiesShare*(AE2320-1))/AE2320)</x:f>
        <x:v>1</x:v>
      </x:c>
      <x:c r="AI2320" s="32" t="n">
        <x:f>(Z2320+v01_ElderCommons*INDEX(LM_Elder,G2320)*AA2320)*AH2320</x:f>
        <x:v>64139.732591141874</x:v>
      </x:c>
      <x:c r="AJ2320" s="32" t="n">
        <x:f>H2320*v01_CommonsCoef*AI2320^v01_CommonsExp*INDEX(LM_Commons,G2320)</x:f>
        <x:v>0</x:v>
      </x:c>
      <x:c r="AK2320" s="32" t="n">
        <x:f>H2320*v01_RoleScale*Arch_Roles*(AE2320*(INDEX(v01_ElderRolePerSett,G2320)*v01_OutElder*INDEX(LM_Elder,G2320)+INDEX(v01_ShamanPerSett,G2320)*v01_OutShaman)+Z2320*(INDEX(v01_PriestShare,G2320)*v01_OutPriest+INDEX(v01_ScribeShare,G2320)*v01_OutScribe*INDEX(LM_Scribe,G2320)+INDEX(v01_ScholarShare,G2320)*v01_OutScholar*INDEX(LM_Scholar,G2320)+INDEX(v01_ResearcherShare,G2320)*v01_OutResearcher*INDEX(LM_Researcher,G2320)))</x:f>
        <x:v>0</x:v>
      </x:c>
      <x:c r="AL2320" s="32" t="n">
        <x:f>H2320*v01_RoleScale*Arch_Roles*AE2320*INDEX(v01_MonasteryPerSett,G2320)*v01_OutMonastery*INDEX(LM_Monastery,G2320)</x:f>
        <x:v>0</x:v>
      </x:c>
      <x:c r="AM2320" s="32" t="n">
        <x:f>(AJ2320+AK2320+AL2320)/4*INDEX(LM_All,G2320)*INDEX(v01_Boon,G2320)*Arch_Insight</x:f>
        <x:v>0</x:v>
      </x:c>
      <x:c r="AN2320" s="32" t="n">
        <x:f>H2320*(v01_KHPerAdult*Z2320+v01_KHOfCommons*AJ2320/4*INDEX(LM_All,G2320))*v01_KHUsable*Arch_KH</x:f>
        <x:v>0</x:v>
      </x:c>
      <x:c r="AO2320" s="32" t="n">
        <x:f>MIN(AP2319+AN2320,AM2320*v01_KHMaxRatio)</x:f>
        <x:v>0</x:v>
      </x:c>
      <x:c r="AP2320" s="32" t="n">
        <x:f>AP2319+AN2320-AO2320</x:f>
        <x:v>0</x:v>
      </x:c>
      <x:c r="AQ2320" s="32" t="n">
        <x:f>AM2320+AO2320</x:f>
        <x:v>0</x:v>
      </x:c>
      <x:c r="AR2320" s="10" t="n">
        <x:f>IF(H2320=1,INDEX(v01_Req,G2320),0)</x:f>
        <x:v>0</x:v>
      </x:c>
      <x:c r="AS2320" s="32" t="n">
        <x:f>IF(H2320=1,IF(E2320=1,AS2319-AR2319,AS2319)+AQ2320,0)</x:f>
        <x:v>0</x:v>
      </x:c>
      <x:c r="AT2320" s="11" t="n">
        <x:f>IF(AR2320&gt;0,MIN(1,AS2320/AR2320),1)</x:f>
        <x:v>1</x:v>
      </x:c>
      <x:c r="AU2320" s="10" t="n">
        <x:f>AB2320/INDEX(v01_RepScale,G2320)</x:f>
        <x:v>90.09519605746344</x:v>
      </x:c>
      <x:c r="AV2320" s="32" t="n">
        <x:f>AM2320*60/v01_SeasonSeconds</x:f>
        <x:v>0</x:v>
      </x:c>
    </x:row>
    <x:row r="2321">
      <x:c r="A2321" s="8" t="n">
        <x:f>A2320+1</x:f>
        <x:v>2318</x:v>
      </x:c>
      <x:c r="B2321" s="9" t="n">
        <x:f>A2321*v01_SeasonSeconds/60</x:f>
        <x:v>579.5</x:v>
      </x:c>
      <x:c r="C2321" s="9" t="n">
        <x:f>A2321/4</x:f>
        <x:v>579.5</x:v>
      </x:c>
      <x:c r="D2321" s="8" t="n">
        <x:f>IF(MOD(A2321,4)=0,1,0)</x:f>
        <x:v>0</x:v>
      </x:c>
      <x:c r="E2321" s="8" t="n">
        <x:f>IF(AND(F2320&lt;=9,AS2320&gt;=AR2320),1,0)</x:f>
        <x:v>0</x:v>
      </x:c>
      <x:c r="F2321" s="8" t="n">
        <x:f>MIN(10,F2320+E2321)</x:f>
        <x:v>10</x:v>
      </x:c>
      <x:c r="G2321" s="8" t="n">
        <x:f>MIN(F2321,9)+1</x:f>
        <x:v>10</x:v>
      </x:c>
      <x:c r="H2321" s="8" t="n">
        <x:f>IF(F2321&lt;=9,1,0)</x:f>
        <x:v>0</x:v>
      </x:c>
      <x:c r="I2321" s="9" t="n">
        <x:f>MIN(10,F2320+IF(AR2320&gt;0,MIN(1,AS2320/AR2320),1))</x:f>
        <x:v>10</x:v>
      </x:c>
      <x:c r="J2321" s="32" t="n">
        <x:f>INDEX(v01_FoodCap,G2321)*Arch_FoodCap*EXP(v01_CapsByProject*SUMPRODUCT((Cap_Point&lt;=I2321)*(Cap_Kind="Food")*Cap_Ln))</x:f>
        <x:v>12000</x:v>
      </x:c>
      <x:c r="K2321" s="32" t="n">
        <x:f>J2321*MIN(1,v01_LeanBase*EXP(v01_CapsByProject*SUMPRODUCT((Cap_Point&lt;=I2321)*(Cap_Kind="Lean")*Cap_Ln)))</x:f>
        <x:v>12000</x:v>
      </x:c>
      <x:c r="L2321" s="10" t="n">
        <x:f>INDEX(v01_HousingCap,G2321)*EXP(v01_CapsByProject*SUMPRODUCT((Cap_Point&lt;=I2321)*(Cap_Kind="Housing")*Cap_Ln))</x:f>
        <x:v>20000</x:v>
      </x:c>
      <x:c r="M2321" s="10" t="n">
        <x:f>INDEX(v01_GroupCap,G2321)*v01_CohesionFactor*EXP(v01_CapsByProject*SUMPRODUCT((Cap_Point&lt;=I2321)*(Cap_Kind="Group")*Cap_Ln))</x:f>
        <x:v>1000000</x:v>
      </x:c>
      <x:c r="N2321" s="32" t="n">
        <x:f>MIN(J2321,L2321,M2321)</x:f>
        <x:v>12000</x:v>
      </x:c>
      <x:c r="O2321" s="10" t="n">
        <x:f>AE2320*N2321</x:f>
        <x:v>180000</x:v>
      </x:c>
      <x:c r="P2321" s="9" t="n">
        <x:f>MIN(1,(AB2320/(AE2320*IF(v01_GroupInCrowding=1,N2321,MIN(J2321,L2321))))^v01_CrowdingExp)</x:f>
        <x:v>0.00024569414295285325</x:v>
      </x:c>
      <x:c r="Q2321" s="9" t="n">
        <x:f>IF(D2321=1,INDEX(v01_WinterMult,G2321),1)</x:f>
        <x:v>1</x:v>
      </x:c>
      <x:c r="R2321" s="9" t="n">
        <x:f>H2321*Z2320*v01_WomenShare*v01_BaseFertility*INDEX(v01_FertMult,G2321)*Arch_Fertility*(1-P2321)</x:f>
        <x:v>0</x:v>
      </x:c>
      <x:c r="S2321" s="9" t="n">
        <x:f>H2321*Y2320*INDEX(v01_MortChild,G2321)/4*Q2321</x:f>
        <x:v>0</x:v>
      </x:c>
      <x:c r="T2321" s="9" t="n">
        <x:f>H2321*Z2320*INDEX(v01_MortAdult,G2321)*Arch_AdultMort/4*Q2321</x:f>
        <x:v>0</x:v>
      </x:c>
      <x:c r="U2321" s="9" t="n">
        <x:f>H2321*AA2320*INDEX(v01_MortElder,G2321)/4*Q2321</x:f>
        <x:v>0</x:v>
      </x:c>
      <x:c r="V2321" s="9" t="n">
        <x:f>H2321*MAX(0,AB2320-O2321)*v01_OvercapLoss</x:f>
        <x:v>0</x:v>
      </x:c>
      <x:c r="W2321" s="9" t="n">
        <x:f>H2321*Y2320/(v01_ChildYears*4)</x:f>
        <x:v>0</x:v>
      </x:c>
      <x:c r="X2321" s="9" t="n">
        <x:f>H2321*Z2320/(v01_AdultYears*4)</x:f>
        <x:v>0</x:v>
      </x:c>
      <x:c r="Y2321" s="32" t="n">
        <x:f>Y2320+R2321-S2321-W2321-Y2320*V2321/AB2320</x:f>
        <x:v>14306.18539759397</x:v>
      </x:c>
      <x:c r="Z2321" s="32" t="n">
        <x:f>Z2320+W2321-X2321-T2321-Z2320*V2321/AB2320</x:f>
        <x:v>19354.456567879548</x:v>
      </x:c>
      <x:c r="AA2321" s="32" t="n">
        <x:f>AA2320+X2321-U2321-AA2320*V2321/AB2320</x:f>
        <x:v>11386.956063258198</x:v>
      </x:c>
      <x:c r="AB2321" s="10" t="n">
        <x:f>Y2321+Z2321+AA2321</x:f>
        <x:v>45047.59802873172</x:v>
      </x:c>
      <x:c r="AC2321" s="8" t="n">
        <x:f>IF(AND(v01_WinterTrigger=1,D2321=1,AB2320/AE2320&gt;=K2321),1,0)</x:f>
        <x:v>0</x:v>
      </x:c>
      <x:c r="AD2321" s="8" t="n">
        <x:f>H2321*IF(AND(OR(AB2320/AE2320&gt;=v01_FissionTrigger*N2321,AC2321=1),AB2320/AE2320*v01_DaughterShare&gt;=v01_MinDaughter),MAX(1,ROUND(AE2320*v01_FissionRate,0)),0)</x:f>
        <x:v>0</x:v>
      </x:c>
      <x:c r="AE2321" s="8" t="n">
        <x:f>IF(H2321=1,MAX(1,MIN(INDEX(v01_Smax,G2321),AE2320+AD2321)),AE2320)</x:f>
        <x:v>15</x:v>
      </x:c>
      <x:c r="AF2321" s="8" t="n">
        <x:f>MAX(0,AE2321-AE2320)</x:f>
        <x:v>0</x:v>
      </x:c>
      <x:c r="AG2321" s="9" t="str">
        <x:f>IF(AF2321&gt;0,B2321,"")</x:f>
      </x:c>
      <x:c r="AH2321" s="9" t="n">
        <x:f>IF(F2321&gt;=1,1,(1+v01_LowTiesShare*(AE2321-1))/AE2321)</x:f>
        <x:v>1</x:v>
      </x:c>
      <x:c r="AI2321" s="32" t="n">
        <x:f>(Z2321+v01_ElderCommons*INDEX(LM_Elder,G2321)*AA2321)*AH2321</x:f>
        <x:v>64139.732591141874</x:v>
      </x:c>
      <x:c r="AJ2321" s="32" t="n">
        <x:f>H2321*v01_CommonsCoef*AI2321^v01_CommonsExp*INDEX(LM_Commons,G2321)</x:f>
        <x:v>0</x:v>
      </x:c>
      <x:c r="AK2321" s="32" t="n">
        <x:f>H2321*v01_RoleScale*Arch_Roles*(AE2321*(INDEX(v01_ElderRolePerSett,G2321)*v01_OutElder*INDEX(LM_Elder,G2321)+INDEX(v01_ShamanPerSett,G2321)*v01_OutShaman)+Z2321*(INDEX(v01_PriestShare,G2321)*v01_OutPriest+INDEX(v01_ScribeShare,G2321)*v01_OutScribe*INDEX(LM_Scribe,G2321)+INDEX(v01_ScholarShare,G2321)*v01_OutScholar*INDEX(LM_Scholar,G2321)+INDEX(v01_ResearcherShare,G2321)*v01_OutResearcher*INDEX(LM_Researcher,G2321)))</x:f>
        <x:v>0</x:v>
      </x:c>
      <x:c r="AL2321" s="32" t="n">
        <x:f>H2321*v01_RoleScale*Arch_Roles*AE2321*INDEX(v01_MonasteryPerSett,G2321)*v01_OutMonastery*INDEX(LM_Monastery,G2321)</x:f>
        <x:v>0</x:v>
      </x:c>
      <x:c r="AM2321" s="32" t="n">
        <x:f>(AJ2321+AK2321+AL2321)/4*INDEX(LM_All,G2321)*INDEX(v01_Boon,G2321)*Arch_Insight</x:f>
        <x:v>0</x:v>
      </x:c>
      <x:c r="AN2321" s="32" t="n">
        <x:f>H2321*(v01_KHPerAdult*Z2321+v01_KHOfCommons*AJ2321/4*INDEX(LM_All,G2321))*v01_KHUsable*Arch_KH</x:f>
        <x:v>0</x:v>
      </x:c>
      <x:c r="AO2321" s="32" t="n">
        <x:f>MIN(AP2320+AN2321,AM2321*v01_KHMaxRatio)</x:f>
        <x:v>0</x:v>
      </x:c>
      <x:c r="AP2321" s="32" t="n">
        <x:f>AP2320+AN2321-AO2321</x:f>
        <x:v>0</x:v>
      </x:c>
      <x:c r="AQ2321" s="32" t="n">
        <x:f>AM2321+AO2321</x:f>
        <x:v>0</x:v>
      </x:c>
      <x:c r="AR2321" s="10" t="n">
        <x:f>IF(H2321=1,INDEX(v01_Req,G2321),0)</x:f>
        <x:v>0</x:v>
      </x:c>
      <x:c r="AS2321" s="32" t="n">
        <x:f>IF(H2321=1,IF(E2321=1,AS2320-AR2320,AS2320)+AQ2321,0)</x:f>
        <x:v>0</x:v>
      </x:c>
      <x:c r="AT2321" s="11" t="n">
        <x:f>IF(AR2321&gt;0,MIN(1,AS2321/AR2321),1)</x:f>
        <x:v>1</x:v>
      </x:c>
      <x:c r="AU2321" s="10" t="n">
        <x:f>AB2321/INDEX(v01_RepScale,G2321)</x:f>
        <x:v>90.09519605746344</x:v>
      </x:c>
      <x:c r="AV2321" s="32" t="n">
        <x:f>AM2321*60/v01_SeasonSeconds</x:f>
        <x:v>0</x:v>
      </x:c>
    </x:row>
    <x:row r="2322">
      <x:c r="A2322" s="8" t="n">
        <x:f>A2321+1</x:f>
        <x:v>2319</x:v>
      </x:c>
      <x:c r="B2322" s="9" t="n">
        <x:f>A2322*v01_SeasonSeconds/60</x:f>
        <x:v>579.75</x:v>
      </x:c>
      <x:c r="C2322" s="9" t="n">
        <x:f>A2322/4</x:f>
        <x:v>579.75</x:v>
      </x:c>
      <x:c r="D2322" s="8" t="n">
        <x:f>IF(MOD(A2322,4)=0,1,0)</x:f>
        <x:v>0</x:v>
      </x:c>
      <x:c r="E2322" s="8" t="n">
        <x:f>IF(AND(F2321&lt;=9,AS2321&gt;=AR2321),1,0)</x:f>
        <x:v>0</x:v>
      </x:c>
      <x:c r="F2322" s="8" t="n">
        <x:f>MIN(10,F2321+E2322)</x:f>
        <x:v>10</x:v>
      </x:c>
      <x:c r="G2322" s="8" t="n">
        <x:f>MIN(F2322,9)+1</x:f>
        <x:v>10</x:v>
      </x:c>
      <x:c r="H2322" s="8" t="n">
        <x:f>IF(F2322&lt;=9,1,0)</x:f>
        <x:v>0</x:v>
      </x:c>
      <x:c r="I2322" s="9" t="n">
        <x:f>MIN(10,F2321+IF(AR2321&gt;0,MIN(1,AS2321/AR2321),1))</x:f>
        <x:v>10</x:v>
      </x:c>
      <x:c r="J2322" s="32" t="n">
        <x:f>INDEX(v01_FoodCap,G2322)*Arch_FoodCap*EXP(v01_CapsByProject*SUMPRODUCT((Cap_Point&lt;=I2322)*(Cap_Kind="Food")*Cap_Ln))</x:f>
        <x:v>12000</x:v>
      </x:c>
      <x:c r="K2322" s="32" t="n">
        <x:f>J2322*MIN(1,v01_LeanBase*EXP(v01_CapsByProject*SUMPRODUCT((Cap_Point&lt;=I2322)*(Cap_Kind="Lean")*Cap_Ln)))</x:f>
        <x:v>12000</x:v>
      </x:c>
      <x:c r="L2322" s="10" t="n">
        <x:f>INDEX(v01_HousingCap,G2322)*EXP(v01_CapsByProject*SUMPRODUCT((Cap_Point&lt;=I2322)*(Cap_Kind="Housing")*Cap_Ln))</x:f>
        <x:v>20000</x:v>
      </x:c>
      <x:c r="M2322" s="10" t="n">
        <x:f>INDEX(v01_GroupCap,G2322)*v01_CohesionFactor*EXP(v01_CapsByProject*SUMPRODUCT((Cap_Point&lt;=I2322)*(Cap_Kind="Group")*Cap_Ln))</x:f>
        <x:v>1000000</x:v>
      </x:c>
      <x:c r="N2322" s="32" t="n">
        <x:f>MIN(J2322,L2322,M2322)</x:f>
        <x:v>12000</x:v>
      </x:c>
      <x:c r="O2322" s="10" t="n">
        <x:f>AE2321*N2322</x:f>
        <x:v>180000</x:v>
      </x:c>
      <x:c r="P2322" s="9" t="n">
        <x:f>MIN(1,(AB2321/(AE2321*IF(v01_GroupInCrowding=1,N2322,MIN(J2322,L2322))))^v01_CrowdingExp)</x:f>
        <x:v>0.00024569414295285325</x:v>
      </x:c>
      <x:c r="Q2322" s="9" t="n">
        <x:f>IF(D2322=1,INDEX(v01_WinterMult,G2322),1)</x:f>
        <x:v>1</x:v>
      </x:c>
      <x:c r="R2322" s="9" t="n">
        <x:f>H2322*Z2321*v01_WomenShare*v01_BaseFertility*INDEX(v01_FertMult,G2322)*Arch_Fertility*(1-P2322)</x:f>
        <x:v>0</x:v>
      </x:c>
      <x:c r="S2322" s="9" t="n">
        <x:f>H2322*Y2321*INDEX(v01_MortChild,G2322)/4*Q2322</x:f>
        <x:v>0</x:v>
      </x:c>
      <x:c r="T2322" s="9" t="n">
        <x:f>H2322*Z2321*INDEX(v01_MortAdult,G2322)*Arch_AdultMort/4*Q2322</x:f>
        <x:v>0</x:v>
      </x:c>
      <x:c r="U2322" s="9" t="n">
        <x:f>H2322*AA2321*INDEX(v01_MortElder,G2322)/4*Q2322</x:f>
        <x:v>0</x:v>
      </x:c>
      <x:c r="V2322" s="9" t="n">
        <x:f>H2322*MAX(0,AB2321-O2322)*v01_OvercapLoss</x:f>
        <x:v>0</x:v>
      </x:c>
      <x:c r="W2322" s="9" t="n">
        <x:f>H2322*Y2321/(v01_ChildYears*4)</x:f>
        <x:v>0</x:v>
      </x:c>
      <x:c r="X2322" s="9" t="n">
        <x:f>H2322*Z2321/(v01_AdultYears*4)</x:f>
        <x:v>0</x:v>
      </x:c>
      <x:c r="Y2322" s="32" t="n">
        <x:f>Y2321+R2322-S2322-W2322-Y2321*V2322/AB2321</x:f>
        <x:v>14306.18539759397</x:v>
      </x:c>
      <x:c r="Z2322" s="32" t="n">
        <x:f>Z2321+W2322-X2322-T2322-Z2321*V2322/AB2321</x:f>
        <x:v>19354.456567879548</x:v>
      </x:c>
      <x:c r="AA2322" s="32" t="n">
        <x:f>AA2321+X2322-U2322-AA2321*V2322/AB2321</x:f>
        <x:v>11386.956063258198</x:v>
      </x:c>
      <x:c r="AB2322" s="10" t="n">
        <x:f>Y2322+Z2322+AA2322</x:f>
        <x:v>45047.59802873172</x:v>
      </x:c>
      <x:c r="AC2322" s="8" t="n">
        <x:f>IF(AND(v01_WinterTrigger=1,D2322=1,AB2321/AE2321&gt;=K2322),1,0)</x:f>
        <x:v>0</x:v>
      </x:c>
      <x:c r="AD2322" s="8" t="n">
        <x:f>H2322*IF(AND(OR(AB2321/AE2321&gt;=v01_FissionTrigger*N2322,AC2322=1),AB2321/AE2321*v01_DaughterShare&gt;=v01_MinDaughter),MAX(1,ROUND(AE2321*v01_FissionRate,0)),0)</x:f>
        <x:v>0</x:v>
      </x:c>
      <x:c r="AE2322" s="8" t="n">
        <x:f>IF(H2322=1,MAX(1,MIN(INDEX(v01_Smax,G2322),AE2321+AD2322)),AE2321)</x:f>
        <x:v>15</x:v>
      </x:c>
      <x:c r="AF2322" s="8" t="n">
        <x:f>MAX(0,AE2322-AE2321)</x:f>
        <x:v>0</x:v>
      </x:c>
      <x:c r="AG2322" s="9" t="str">
        <x:f>IF(AF2322&gt;0,B2322,"")</x:f>
      </x:c>
      <x:c r="AH2322" s="9" t="n">
        <x:f>IF(F2322&gt;=1,1,(1+v01_LowTiesShare*(AE2322-1))/AE2322)</x:f>
        <x:v>1</x:v>
      </x:c>
      <x:c r="AI2322" s="32" t="n">
        <x:f>(Z2322+v01_ElderCommons*INDEX(LM_Elder,G2322)*AA2322)*AH2322</x:f>
        <x:v>64139.732591141874</x:v>
      </x:c>
      <x:c r="AJ2322" s="32" t="n">
        <x:f>H2322*v01_CommonsCoef*AI2322^v01_CommonsExp*INDEX(LM_Commons,G2322)</x:f>
        <x:v>0</x:v>
      </x:c>
      <x:c r="AK2322" s="32" t="n">
        <x:f>H2322*v01_RoleScale*Arch_Roles*(AE2322*(INDEX(v01_ElderRolePerSett,G2322)*v01_OutElder*INDEX(LM_Elder,G2322)+INDEX(v01_ShamanPerSett,G2322)*v01_OutShaman)+Z2322*(INDEX(v01_PriestShare,G2322)*v01_OutPriest+INDEX(v01_ScribeShare,G2322)*v01_OutScribe*INDEX(LM_Scribe,G2322)+INDEX(v01_ScholarShare,G2322)*v01_OutScholar*INDEX(LM_Scholar,G2322)+INDEX(v01_ResearcherShare,G2322)*v01_OutResearcher*INDEX(LM_Researcher,G2322)))</x:f>
        <x:v>0</x:v>
      </x:c>
      <x:c r="AL2322" s="32" t="n">
        <x:f>H2322*v01_RoleScale*Arch_Roles*AE2322*INDEX(v01_MonasteryPerSett,G2322)*v01_OutMonastery*INDEX(LM_Monastery,G2322)</x:f>
        <x:v>0</x:v>
      </x:c>
      <x:c r="AM2322" s="32" t="n">
        <x:f>(AJ2322+AK2322+AL2322)/4*INDEX(LM_All,G2322)*INDEX(v01_Boon,G2322)*Arch_Insight</x:f>
        <x:v>0</x:v>
      </x:c>
      <x:c r="AN2322" s="32" t="n">
        <x:f>H2322*(v01_KHPerAdult*Z2322+v01_KHOfCommons*AJ2322/4*INDEX(LM_All,G2322))*v01_KHUsable*Arch_KH</x:f>
        <x:v>0</x:v>
      </x:c>
      <x:c r="AO2322" s="32" t="n">
        <x:f>MIN(AP2321+AN2322,AM2322*v01_KHMaxRatio)</x:f>
        <x:v>0</x:v>
      </x:c>
      <x:c r="AP2322" s="32" t="n">
        <x:f>AP2321+AN2322-AO2322</x:f>
        <x:v>0</x:v>
      </x:c>
      <x:c r="AQ2322" s="32" t="n">
        <x:f>AM2322+AO2322</x:f>
        <x:v>0</x:v>
      </x:c>
      <x:c r="AR2322" s="10" t="n">
        <x:f>IF(H2322=1,INDEX(v01_Req,G2322),0)</x:f>
        <x:v>0</x:v>
      </x:c>
      <x:c r="AS2322" s="32" t="n">
        <x:f>IF(H2322=1,IF(E2322=1,AS2321-AR2321,AS2321)+AQ2322,0)</x:f>
        <x:v>0</x:v>
      </x:c>
      <x:c r="AT2322" s="11" t="n">
        <x:f>IF(AR2322&gt;0,MIN(1,AS2322/AR2322),1)</x:f>
        <x:v>1</x:v>
      </x:c>
      <x:c r="AU2322" s="10" t="n">
        <x:f>AB2322/INDEX(v01_RepScale,G2322)</x:f>
        <x:v>90.09519605746344</x:v>
      </x:c>
      <x:c r="AV2322" s="32" t="n">
        <x:f>AM2322*60/v01_SeasonSeconds</x:f>
        <x:v>0</x:v>
      </x:c>
    </x:row>
    <x:row r="2323">
      <x:c r="A2323" s="8" t="n">
        <x:f>A2322+1</x:f>
        <x:v>2320</x:v>
      </x:c>
      <x:c r="B2323" s="9" t="n">
        <x:f>A2323*v01_SeasonSeconds/60</x:f>
        <x:v>580</x:v>
      </x:c>
      <x:c r="C2323" s="9" t="n">
        <x:f>A2323/4</x:f>
        <x:v>580</x:v>
      </x:c>
      <x:c r="D2323" s="8" t="n">
        <x:f>IF(MOD(A2323,4)=0,1,0)</x:f>
        <x:v>1</x:v>
      </x:c>
      <x:c r="E2323" s="8" t="n">
        <x:f>IF(AND(F2322&lt;=9,AS2322&gt;=AR2322),1,0)</x:f>
        <x:v>0</x:v>
      </x:c>
      <x:c r="F2323" s="8" t="n">
        <x:f>MIN(10,F2322+E2323)</x:f>
        <x:v>10</x:v>
      </x:c>
      <x:c r="G2323" s="8" t="n">
        <x:f>MIN(F2323,9)+1</x:f>
        <x:v>10</x:v>
      </x:c>
      <x:c r="H2323" s="8" t="n">
        <x:f>IF(F2323&lt;=9,1,0)</x:f>
        <x:v>0</x:v>
      </x:c>
      <x:c r="I2323" s="9" t="n">
        <x:f>MIN(10,F2322+IF(AR2322&gt;0,MIN(1,AS2322/AR2322),1))</x:f>
        <x:v>10</x:v>
      </x:c>
      <x:c r="J2323" s="32" t="n">
        <x:f>INDEX(v01_FoodCap,G2323)*Arch_FoodCap*EXP(v01_CapsByProject*SUMPRODUCT((Cap_Point&lt;=I2323)*(Cap_Kind="Food")*Cap_Ln))</x:f>
        <x:v>12000</x:v>
      </x:c>
      <x:c r="K2323" s="32" t="n">
        <x:f>J2323*MIN(1,v01_LeanBase*EXP(v01_CapsByProject*SUMPRODUCT((Cap_Point&lt;=I2323)*(Cap_Kind="Lean")*Cap_Ln)))</x:f>
        <x:v>12000</x:v>
      </x:c>
      <x:c r="L2323" s="10" t="n">
        <x:f>INDEX(v01_HousingCap,G2323)*EXP(v01_CapsByProject*SUMPRODUCT((Cap_Point&lt;=I2323)*(Cap_Kind="Housing")*Cap_Ln))</x:f>
        <x:v>20000</x:v>
      </x:c>
      <x:c r="M2323" s="10" t="n">
        <x:f>INDEX(v01_GroupCap,G2323)*v01_CohesionFactor*EXP(v01_CapsByProject*SUMPRODUCT((Cap_Point&lt;=I2323)*(Cap_Kind="Group")*Cap_Ln))</x:f>
        <x:v>1000000</x:v>
      </x:c>
      <x:c r="N2323" s="32" t="n">
        <x:f>MIN(J2323,L2323,M2323)</x:f>
        <x:v>12000</x:v>
      </x:c>
      <x:c r="O2323" s="10" t="n">
        <x:f>AE2322*N2323</x:f>
        <x:v>180000</x:v>
      </x:c>
      <x:c r="P2323" s="9" t="n">
        <x:f>MIN(1,(AB2322/(AE2322*IF(v01_GroupInCrowding=1,N2323,MIN(J2323,L2323))))^v01_CrowdingExp)</x:f>
        <x:v>0.00024569414295285325</x:v>
      </x:c>
      <x:c r="Q2323" s="9" t="n">
        <x:f>IF(D2323=1,INDEX(v01_WinterMult,G2323),1)</x:f>
        <x:v>1</x:v>
      </x:c>
      <x:c r="R2323" s="9" t="n">
        <x:f>H2323*Z2322*v01_WomenShare*v01_BaseFertility*INDEX(v01_FertMult,G2323)*Arch_Fertility*(1-P2323)</x:f>
        <x:v>0</x:v>
      </x:c>
      <x:c r="S2323" s="9" t="n">
        <x:f>H2323*Y2322*INDEX(v01_MortChild,G2323)/4*Q2323</x:f>
        <x:v>0</x:v>
      </x:c>
      <x:c r="T2323" s="9" t="n">
        <x:f>H2323*Z2322*INDEX(v01_MortAdult,G2323)*Arch_AdultMort/4*Q2323</x:f>
        <x:v>0</x:v>
      </x:c>
      <x:c r="U2323" s="9" t="n">
        <x:f>H2323*AA2322*INDEX(v01_MortElder,G2323)/4*Q2323</x:f>
        <x:v>0</x:v>
      </x:c>
      <x:c r="V2323" s="9" t="n">
        <x:f>H2323*MAX(0,AB2322-O2323)*v01_OvercapLoss</x:f>
        <x:v>0</x:v>
      </x:c>
      <x:c r="W2323" s="9" t="n">
        <x:f>H2323*Y2322/(v01_ChildYears*4)</x:f>
        <x:v>0</x:v>
      </x:c>
      <x:c r="X2323" s="9" t="n">
        <x:f>H2323*Z2322/(v01_AdultYears*4)</x:f>
        <x:v>0</x:v>
      </x:c>
      <x:c r="Y2323" s="32" t="n">
        <x:f>Y2322+R2323-S2323-W2323-Y2322*V2323/AB2322</x:f>
        <x:v>14306.18539759397</x:v>
      </x:c>
      <x:c r="Z2323" s="32" t="n">
        <x:f>Z2322+W2323-X2323-T2323-Z2322*V2323/AB2322</x:f>
        <x:v>19354.456567879548</x:v>
      </x:c>
      <x:c r="AA2323" s="32" t="n">
        <x:f>AA2322+X2323-U2323-AA2322*V2323/AB2322</x:f>
        <x:v>11386.956063258198</x:v>
      </x:c>
      <x:c r="AB2323" s="10" t="n">
        <x:f>Y2323+Z2323+AA2323</x:f>
        <x:v>45047.59802873172</x:v>
      </x:c>
      <x:c r="AC2323" s="8" t="n">
        <x:f>IF(AND(v01_WinterTrigger=1,D2323=1,AB2322/AE2322&gt;=K2323),1,0)</x:f>
        <x:v>0</x:v>
      </x:c>
      <x:c r="AD2323" s="8" t="n">
        <x:f>H2323*IF(AND(OR(AB2322/AE2322&gt;=v01_FissionTrigger*N2323,AC2323=1),AB2322/AE2322*v01_DaughterShare&gt;=v01_MinDaughter),MAX(1,ROUND(AE2322*v01_FissionRate,0)),0)</x:f>
        <x:v>0</x:v>
      </x:c>
      <x:c r="AE2323" s="8" t="n">
        <x:f>IF(H2323=1,MAX(1,MIN(INDEX(v01_Smax,G2323),AE2322+AD2323)),AE2322)</x:f>
        <x:v>15</x:v>
      </x:c>
      <x:c r="AF2323" s="8" t="n">
        <x:f>MAX(0,AE2323-AE2322)</x:f>
        <x:v>0</x:v>
      </x:c>
      <x:c r="AG2323" s="9" t="str">
        <x:f>IF(AF2323&gt;0,B2323,"")</x:f>
      </x:c>
      <x:c r="AH2323" s="9" t="n">
        <x:f>IF(F2323&gt;=1,1,(1+v01_LowTiesShare*(AE2323-1))/AE2323)</x:f>
        <x:v>1</x:v>
      </x:c>
      <x:c r="AI2323" s="32" t="n">
        <x:f>(Z2323+v01_ElderCommons*INDEX(LM_Elder,G2323)*AA2323)*AH2323</x:f>
        <x:v>64139.732591141874</x:v>
      </x:c>
      <x:c r="AJ2323" s="32" t="n">
        <x:f>H2323*v01_CommonsCoef*AI2323^v01_CommonsExp*INDEX(LM_Commons,G2323)</x:f>
        <x:v>0</x:v>
      </x:c>
      <x:c r="AK2323" s="32" t="n">
        <x:f>H2323*v01_RoleScale*Arch_Roles*(AE2323*(INDEX(v01_ElderRolePerSett,G2323)*v01_OutElder*INDEX(LM_Elder,G2323)+INDEX(v01_ShamanPerSett,G2323)*v01_OutShaman)+Z2323*(INDEX(v01_PriestShare,G2323)*v01_OutPriest+INDEX(v01_ScribeShare,G2323)*v01_OutScribe*INDEX(LM_Scribe,G2323)+INDEX(v01_ScholarShare,G2323)*v01_OutScholar*INDEX(LM_Scholar,G2323)+INDEX(v01_ResearcherShare,G2323)*v01_OutResearcher*INDEX(LM_Researcher,G2323)))</x:f>
        <x:v>0</x:v>
      </x:c>
      <x:c r="AL2323" s="32" t="n">
        <x:f>H2323*v01_RoleScale*Arch_Roles*AE2323*INDEX(v01_MonasteryPerSett,G2323)*v01_OutMonastery*INDEX(LM_Monastery,G2323)</x:f>
        <x:v>0</x:v>
      </x:c>
      <x:c r="AM2323" s="32" t="n">
        <x:f>(AJ2323+AK2323+AL2323)/4*INDEX(LM_All,G2323)*INDEX(v01_Boon,G2323)*Arch_Insight</x:f>
        <x:v>0</x:v>
      </x:c>
      <x:c r="AN2323" s="32" t="n">
        <x:f>H2323*(v01_KHPerAdult*Z2323+v01_KHOfCommons*AJ2323/4*INDEX(LM_All,G2323))*v01_KHUsable*Arch_KH</x:f>
        <x:v>0</x:v>
      </x:c>
      <x:c r="AO2323" s="32" t="n">
        <x:f>MIN(AP2322+AN2323,AM2323*v01_KHMaxRatio)</x:f>
        <x:v>0</x:v>
      </x:c>
      <x:c r="AP2323" s="32" t="n">
        <x:f>AP2322+AN2323-AO2323</x:f>
        <x:v>0</x:v>
      </x:c>
      <x:c r="AQ2323" s="32" t="n">
        <x:f>AM2323+AO2323</x:f>
        <x:v>0</x:v>
      </x:c>
      <x:c r="AR2323" s="10" t="n">
        <x:f>IF(H2323=1,INDEX(v01_Req,G2323),0)</x:f>
        <x:v>0</x:v>
      </x:c>
      <x:c r="AS2323" s="32" t="n">
        <x:f>IF(H2323=1,IF(E2323=1,AS2322-AR2322,AS2322)+AQ2323,0)</x:f>
        <x:v>0</x:v>
      </x:c>
      <x:c r="AT2323" s="11" t="n">
        <x:f>IF(AR2323&gt;0,MIN(1,AS2323/AR2323),1)</x:f>
        <x:v>1</x:v>
      </x:c>
      <x:c r="AU2323" s="10" t="n">
        <x:f>AB2323/INDEX(v01_RepScale,G2323)</x:f>
        <x:v>90.09519605746344</x:v>
      </x:c>
      <x:c r="AV2323" s="32" t="n">
        <x:f>AM2323*60/v01_SeasonSeconds</x:f>
        <x:v>0</x:v>
      </x:c>
    </x:row>
    <x:row r="2324">
      <x:c r="A2324" s="8" t="n">
        <x:f>A2323+1</x:f>
        <x:v>2321</x:v>
      </x:c>
      <x:c r="B2324" s="9" t="n">
        <x:f>A2324*v01_SeasonSeconds/60</x:f>
        <x:v>580.25</x:v>
      </x:c>
      <x:c r="C2324" s="9" t="n">
        <x:f>A2324/4</x:f>
        <x:v>580.25</x:v>
      </x:c>
      <x:c r="D2324" s="8" t="n">
        <x:f>IF(MOD(A2324,4)=0,1,0)</x:f>
        <x:v>0</x:v>
      </x:c>
      <x:c r="E2324" s="8" t="n">
        <x:f>IF(AND(F2323&lt;=9,AS2323&gt;=AR2323),1,0)</x:f>
        <x:v>0</x:v>
      </x:c>
      <x:c r="F2324" s="8" t="n">
        <x:f>MIN(10,F2323+E2324)</x:f>
        <x:v>10</x:v>
      </x:c>
      <x:c r="G2324" s="8" t="n">
        <x:f>MIN(F2324,9)+1</x:f>
        <x:v>10</x:v>
      </x:c>
      <x:c r="H2324" s="8" t="n">
        <x:f>IF(F2324&lt;=9,1,0)</x:f>
        <x:v>0</x:v>
      </x:c>
      <x:c r="I2324" s="9" t="n">
        <x:f>MIN(10,F2323+IF(AR2323&gt;0,MIN(1,AS2323/AR2323),1))</x:f>
        <x:v>10</x:v>
      </x:c>
      <x:c r="J2324" s="32" t="n">
        <x:f>INDEX(v01_FoodCap,G2324)*Arch_FoodCap*EXP(v01_CapsByProject*SUMPRODUCT((Cap_Point&lt;=I2324)*(Cap_Kind="Food")*Cap_Ln))</x:f>
        <x:v>12000</x:v>
      </x:c>
      <x:c r="K2324" s="32" t="n">
        <x:f>J2324*MIN(1,v01_LeanBase*EXP(v01_CapsByProject*SUMPRODUCT((Cap_Point&lt;=I2324)*(Cap_Kind="Lean")*Cap_Ln)))</x:f>
        <x:v>12000</x:v>
      </x:c>
      <x:c r="L2324" s="10" t="n">
        <x:f>INDEX(v01_HousingCap,G2324)*EXP(v01_CapsByProject*SUMPRODUCT((Cap_Point&lt;=I2324)*(Cap_Kind="Housing")*Cap_Ln))</x:f>
        <x:v>20000</x:v>
      </x:c>
      <x:c r="M2324" s="10" t="n">
        <x:f>INDEX(v01_GroupCap,G2324)*v01_CohesionFactor*EXP(v01_CapsByProject*SUMPRODUCT((Cap_Point&lt;=I2324)*(Cap_Kind="Group")*Cap_Ln))</x:f>
        <x:v>1000000</x:v>
      </x:c>
      <x:c r="N2324" s="32" t="n">
        <x:f>MIN(J2324,L2324,M2324)</x:f>
        <x:v>12000</x:v>
      </x:c>
      <x:c r="O2324" s="10" t="n">
        <x:f>AE2323*N2324</x:f>
        <x:v>180000</x:v>
      </x:c>
      <x:c r="P2324" s="9" t="n">
        <x:f>MIN(1,(AB2323/(AE2323*IF(v01_GroupInCrowding=1,N2324,MIN(J2324,L2324))))^v01_CrowdingExp)</x:f>
        <x:v>0.00024569414295285325</x:v>
      </x:c>
      <x:c r="Q2324" s="9" t="n">
        <x:f>IF(D2324=1,INDEX(v01_WinterMult,G2324),1)</x:f>
        <x:v>1</x:v>
      </x:c>
      <x:c r="R2324" s="9" t="n">
        <x:f>H2324*Z2323*v01_WomenShare*v01_BaseFertility*INDEX(v01_FertMult,G2324)*Arch_Fertility*(1-P2324)</x:f>
        <x:v>0</x:v>
      </x:c>
      <x:c r="S2324" s="9" t="n">
        <x:f>H2324*Y2323*INDEX(v01_MortChild,G2324)/4*Q2324</x:f>
        <x:v>0</x:v>
      </x:c>
      <x:c r="T2324" s="9" t="n">
        <x:f>H2324*Z2323*INDEX(v01_MortAdult,G2324)*Arch_AdultMort/4*Q2324</x:f>
        <x:v>0</x:v>
      </x:c>
      <x:c r="U2324" s="9" t="n">
        <x:f>H2324*AA2323*INDEX(v01_MortElder,G2324)/4*Q2324</x:f>
        <x:v>0</x:v>
      </x:c>
      <x:c r="V2324" s="9" t="n">
        <x:f>H2324*MAX(0,AB2323-O2324)*v01_OvercapLoss</x:f>
        <x:v>0</x:v>
      </x:c>
      <x:c r="W2324" s="9" t="n">
        <x:f>H2324*Y2323/(v01_ChildYears*4)</x:f>
        <x:v>0</x:v>
      </x:c>
      <x:c r="X2324" s="9" t="n">
        <x:f>H2324*Z2323/(v01_AdultYears*4)</x:f>
        <x:v>0</x:v>
      </x:c>
      <x:c r="Y2324" s="32" t="n">
        <x:f>Y2323+R2324-S2324-W2324-Y2323*V2324/AB2323</x:f>
        <x:v>14306.18539759397</x:v>
      </x:c>
      <x:c r="Z2324" s="32" t="n">
        <x:f>Z2323+W2324-X2324-T2324-Z2323*V2324/AB2323</x:f>
        <x:v>19354.456567879548</x:v>
      </x:c>
      <x:c r="AA2324" s="32" t="n">
        <x:f>AA2323+X2324-U2324-AA2323*V2324/AB2323</x:f>
        <x:v>11386.956063258198</x:v>
      </x:c>
      <x:c r="AB2324" s="10" t="n">
        <x:f>Y2324+Z2324+AA2324</x:f>
        <x:v>45047.59802873172</x:v>
      </x:c>
      <x:c r="AC2324" s="8" t="n">
        <x:f>IF(AND(v01_WinterTrigger=1,D2324=1,AB2323/AE2323&gt;=K2324),1,0)</x:f>
        <x:v>0</x:v>
      </x:c>
      <x:c r="AD2324" s="8" t="n">
        <x:f>H2324*IF(AND(OR(AB2323/AE2323&gt;=v01_FissionTrigger*N2324,AC2324=1),AB2323/AE2323*v01_DaughterShare&gt;=v01_MinDaughter),MAX(1,ROUND(AE2323*v01_FissionRate,0)),0)</x:f>
        <x:v>0</x:v>
      </x:c>
      <x:c r="AE2324" s="8" t="n">
        <x:f>IF(H2324=1,MAX(1,MIN(INDEX(v01_Smax,G2324),AE2323+AD2324)),AE2323)</x:f>
        <x:v>15</x:v>
      </x:c>
      <x:c r="AF2324" s="8" t="n">
        <x:f>MAX(0,AE2324-AE2323)</x:f>
        <x:v>0</x:v>
      </x:c>
      <x:c r="AG2324" s="9" t="str">
        <x:f>IF(AF2324&gt;0,B2324,"")</x:f>
      </x:c>
      <x:c r="AH2324" s="9" t="n">
        <x:f>IF(F2324&gt;=1,1,(1+v01_LowTiesShare*(AE2324-1))/AE2324)</x:f>
        <x:v>1</x:v>
      </x:c>
      <x:c r="AI2324" s="32" t="n">
        <x:f>(Z2324+v01_ElderCommons*INDEX(LM_Elder,G2324)*AA2324)*AH2324</x:f>
        <x:v>64139.732591141874</x:v>
      </x:c>
      <x:c r="AJ2324" s="32" t="n">
        <x:f>H2324*v01_CommonsCoef*AI2324^v01_CommonsExp*INDEX(LM_Commons,G2324)</x:f>
        <x:v>0</x:v>
      </x:c>
      <x:c r="AK2324" s="32" t="n">
        <x:f>H2324*v01_RoleScale*Arch_Roles*(AE2324*(INDEX(v01_ElderRolePerSett,G2324)*v01_OutElder*INDEX(LM_Elder,G2324)+INDEX(v01_ShamanPerSett,G2324)*v01_OutShaman)+Z2324*(INDEX(v01_PriestShare,G2324)*v01_OutPriest+INDEX(v01_ScribeShare,G2324)*v01_OutScribe*INDEX(LM_Scribe,G2324)+INDEX(v01_ScholarShare,G2324)*v01_OutScholar*INDEX(LM_Scholar,G2324)+INDEX(v01_ResearcherShare,G2324)*v01_OutResearcher*INDEX(LM_Researcher,G2324)))</x:f>
        <x:v>0</x:v>
      </x:c>
      <x:c r="AL2324" s="32" t="n">
        <x:f>H2324*v01_RoleScale*Arch_Roles*AE2324*INDEX(v01_MonasteryPerSett,G2324)*v01_OutMonastery*INDEX(LM_Monastery,G2324)</x:f>
        <x:v>0</x:v>
      </x:c>
      <x:c r="AM2324" s="32" t="n">
        <x:f>(AJ2324+AK2324+AL2324)/4*INDEX(LM_All,G2324)*INDEX(v01_Boon,G2324)*Arch_Insight</x:f>
        <x:v>0</x:v>
      </x:c>
      <x:c r="AN2324" s="32" t="n">
        <x:f>H2324*(v01_KHPerAdult*Z2324+v01_KHOfCommons*AJ2324/4*INDEX(LM_All,G2324))*v01_KHUsable*Arch_KH</x:f>
        <x:v>0</x:v>
      </x:c>
      <x:c r="AO2324" s="32" t="n">
        <x:f>MIN(AP2323+AN2324,AM2324*v01_KHMaxRatio)</x:f>
        <x:v>0</x:v>
      </x:c>
      <x:c r="AP2324" s="32" t="n">
        <x:f>AP2323+AN2324-AO2324</x:f>
        <x:v>0</x:v>
      </x:c>
      <x:c r="AQ2324" s="32" t="n">
        <x:f>AM2324+AO2324</x:f>
        <x:v>0</x:v>
      </x:c>
      <x:c r="AR2324" s="10" t="n">
        <x:f>IF(H2324=1,INDEX(v01_Req,G2324),0)</x:f>
        <x:v>0</x:v>
      </x:c>
      <x:c r="AS2324" s="32" t="n">
        <x:f>IF(H2324=1,IF(E2324=1,AS2323-AR2323,AS2323)+AQ2324,0)</x:f>
        <x:v>0</x:v>
      </x:c>
      <x:c r="AT2324" s="11" t="n">
        <x:f>IF(AR2324&gt;0,MIN(1,AS2324/AR2324),1)</x:f>
        <x:v>1</x:v>
      </x:c>
      <x:c r="AU2324" s="10" t="n">
        <x:f>AB2324/INDEX(v01_RepScale,G2324)</x:f>
        <x:v>90.09519605746344</x:v>
      </x:c>
      <x:c r="AV2324" s="32" t="n">
        <x:f>AM2324*60/v01_SeasonSeconds</x:f>
        <x:v>0</x:v>
      </x:c>
    </x:row>
    <x:row r="2325">
      <x:c r="A2325" s="8" t="n">
        <x:f>A2324+1</x:f>
        <x:v>2322</x:v>
      </x:c>
      <x:c r="B2325" s="9" t="n">
        <x:f>A2325*v01_SeasonSeconds/60</x:f>
        <x:v>580.5</x:v>
      </x:c>
      <x:c r="C2325" s="9" t="n">
        <x:f>A2325/4</x:f>
        <x:v>580.5</x:v>
      </x:c>
      <x:c r="D2325" s="8" t="n">
        <x:f>IF(MOD(A2325,4)=0,1,0)</x:f>
        <x:v>0</x:v>
      </x:c>
      <x:c r="E2325" s="8" t="n">
        <x:f>IF(AND(F2324&lt;=9,AS2324&gt;=AR2324),1,0)</x:f>
        <x:v>0</x:v>
      </x:c>
      <x:c r="F2325" s="8" t="n">
        <x:f>MIN(10,F2324+E2325)</x:f>
        <x:v>10</x:v>
      </x:c>
      <x:c r="G2325" s="8" t="n">
        <x:f>MIN(F2325,9)+1</x:f>
        <x:v>10</x:v>
      </x:c>
      <x:c r="H2325" s="8" t="n">
        <x:f>IF(F2325&lt;=9,1,0)</x:f>
        <x:v>0</x:v>
      </x:c>
      <x:c r="I2325" s="9" t="n">
        <x:f>MIN(10,F2324+IF(AR2324&gt;0,MIN(1,AS2324/AR2324),1))</x:f>
        <x:v>10</x:v>
      </x:c>
      <x:c r="J2325" s="32" t="n">
        <x:f>INDEX(v01_FoodCap,G2325)*Arch_FoodCap*EXP(v01_CapsByProject*SUMPRODUCT((Cap_Point&lt;=I2325)*(Cap_Kind="Food")*Cap_Ln))</x:f>
        <x:v>12000</x:v>
      </x:c>
      <x:c r="K2325" s="32" t="n">
        <x:f>J2325*MIN(1,v01_LeanBase*EXP(v01_CapsByProject*SUMPRODUCT((Cap_Point&lt;=I2325)*(Cap_Kind="Lean")*Cap_Ln)))</x:f>
        <x:v>12000</x:v>
      </x:c>
      <x:c r="L2325" s="10" t="n">
        <x:f>INDEX(v01_HousingCap,G2325)*EXP(v01_CapsByProject*SUMPRODUCT((Cap_Point&lt;=I2325)*(Cap_Kind="Housing")*Cap_Ln))</x:f>
        <x:v>20000</x:v>
      </x:c>
      <x:c r="M2325" s="10" t="n">
        <x:f>INDEX(v01_GroupCap,G2325)*v01_CohesionFactor*EXP(v01_CapsByProject*SUMPRODUCT((Cap_Point&lt;=I2325)*(Cap_Kind="Group")*Cap_Ln))</x:f>
        <x:v>1000000</x:v>
      </x:c>
      <x:c r="N2325" s="32" t="n">
        <x:f>MIN(J2325,L2325,M2325)</x:f>
        <x:v>12000</x:v>
      </x:c>
      <x:c r="O2325" s="10" t="n">
        <x:f>AE2324*N2325</x:f>
        <x:v>180000</x:v>
      </x:c>
      <x:c r="P2325" s="9" t="n">
        <x:f>MIN(1,(AB2324/(AE2324*IF(v01_GroupInCrowding=1,N2325,MIN(J2325,L2325))))^v01_CrowdingExp)</x:f>
        <x:v>0.00024569414295285325</x:v>
      </x:c>
      <x:c r="Q2325" s="9" t="n">
        <x:f>IF(D2325=1,INDEX(v01_WinterMult,G2325),1)</x:f>
        <x:v>1</x:v>
      </x:c>
      <x:c r="R2325" s="9" t="n">
        <x:f>H2325*Z2324*v01_WomenShare*v01_BaseFertility*INDEX(v01_FertMult,G2325)*Arch_Fertility*(1-P2325)</x:f>
        <x:v>0</x:v>
      </x:c>
      <x:c r="S2325" s="9" t="n">
        <x:f>H2325*Y2324*INDEX(v01_MortChild,G2325)/4*Q2325</x:f>
        <x:v>0</x:v>
      </x:c>
      <x:c r="T2325" s="9" t="n">
        <x:f>H2325*Z2324*INDEX(v01_MortAdult,G2325)*Arch_AdultMort/4*Q2325</x:f>
        <x:v>0</x:v>
      </x:c>
      <x:c r="U2325" s="9" t="n">
        <x:f>H2325*AA2324*INDEX(v01_MortElder,G2325)/4*Q2325</x:f>
        <x:v>0</x:v>
      </x:c>
      <x:c r="V2325" s="9" t="n">
        <x:f>H2325*MAX(0,AB2324-O2325)*v01_OvercapLoss</x:f>
        <x:v>0</x:v>
      </x:c>
      <x:c r="W2325" s="9" t="n">
        <x:f>H2325*Y2324/(v01_ChildYears*4)</x:f>
        <x:v>0</x:v>
      </x:c>
      <x:c r="X2325" s="9" t="n">
        <x:f>H2325*Z2324/(v01_AdultYears*4)</x:f>
        <x:v>0</x:v>
      </x:c>
      <x:c r="Y2325" s="32" t="n">
        <x:f>Y2324+R2325-S2325-W2325-Y2324*V2325/AB2324</x:f>
        <x:v>14306.18539759397</x:v>
      </x:c>
      <x:c r="Z2325" s="32" t="n">
        <x:f>Z2324+W2325-X2325-T2325-Z2324*V2325/AB2324</x:f>
        <x:v>19354.456567879548</x:v>
      </x:c>
      <x:c r="AA2325" s="32" t="n">
        <x:f>AA2324+X2325-U2325-AA2324*V2325/AB2324</x:f>
        <x:v>11386.956063258198</x:v>
      </x:c>
      <x:c r="AB2325" s="10" t="n">
        <x:f>Y2325+Z2325+AA2325</x:f>
        <x:v>45047.59802873172</x:v>
      </x:c>
      <x:c r="AC2325" s="8" t="n">
        <x:f>IF(AND(v01_WinterTrigger=1,D2325=1,AB2324/AE2324&gt;=K2325),1,0)</x:f>
        <x:v>0</x:v>
      </x:c>
      <x:c r="AD2325" s="8" t="n">
        <x:f>H2325*IF(AND(OR(AB2324/AE2324&gt;=v01_FissionTrigger*N2325,AC2325=1),AB2324/AE2324*v01_DaughterShare&gt;=v01_MinDaughter),MAX(1,ROUND(AE2324*v01_FissionRate,0)),0)</x:f>
        <x:v>0</x:v>
      </x:c>
      <x:c r="AE2325" s="8" t="n">
        <x:f>IF(H2325=1,MAX(1,MIN(INDEX(v01_Smax,G2325),AE2324+AD2325)),AE2324)</x:f>
        <x:v>15</x:v>
      </x:c>
      <x:c r="AF2325" s="8" t="n">
        <x:f>MAX(0,AE2325-AE2324)</x:f>
        <x:v>0</x:v>
      </x:c>
      <x:c r="AG2325" s="9" t="str">
        <x:f>IF(AF2325&gt;0,B2325,"")</x:f>
      </x:c>
      <x:c r="AH2325" s="9" t="n">
        <x:f>IF(F2325&gt;=1,1,(1+v01_LowTiesShare*(AE2325-1))/AE2325)</x:f>
        <x:v>1</x:v>
      </x:c>
      <x:c r="AI2325" s="32" t="n">
        <x:f>(Z2325+v01_ElderCommons*INDEX(LM_Elder,G2325)*AA2325)*AH2325</x:f>
        <x:v>64139.732591141874</x:v>
      </x:c>
      <x:c r="AJ2325" s="32" t="n">
        <x:f>H2325*v01_CommonsCoef*AI2325^v01_CommonsExp*INDEX(LM_Commons,G2325)</x:f>
        <x:v>0</x:v>
      </x:c>
      <x:c r="AK2325" s="32" t="n">
        <x:f>H2325*v01_RoleScale*Arch_Roles*(AE2325*(INDEX(v01_ElderRolePerSett,G2325)*v01_OutElder*INDEX(LM_Elder,G2325)+INDEX(v01_ShamanPerSett,G2325)*v01_OutShaman)+Z2325*(INDEX(v01_PriestShare,G2325)*v01_OutPriest+INDEX(v01_ScribeShare,G2325)*v01_OutScribe*INDEX(LM_Scribe,G2325)+INDEX(v01_ScholarShare,G2325)*v01_OutScholar*INDEX(LM_Scholar,G2325)+INDEX(v01_ResearcherShare,G2325)*v01_OutResearcher*INDEX(LM_Researcher,G2325)))</x:f>
        <x:v>0</x:v>
      </x:c>
      <x:c r="AL2325" s="32" t="n">
        <x:f>H2325*v01_RoleScale*Arch_Roles*AE2325*INDEX(v01_MonasteryPerSett,G2325)*v01_OutMonastery*INDEX(LM_Monastery,G2325)</x:f>
        <x:v>0</x:v>
      </x:c>
      <x:c r="AM2325" s="32" t="n">
        <x:f>(AJ2325+AK2325+AL2325)/4*INDEX(LM_All,G2325)*INDEX(v01_Boon,G2325)*Arch_Insight</x:f>
        <x:v>0</x:v>
      </x:c>
      <x:c r="AN2325" s="32" t="n">
        <x:f>H2325*(v01_KHPerAdult*Z2325+v01_KHOfCommons*AJ2325/4*INDEX(LM_All,G2325))*v01_KHUsable*Arch_KH</x:f>
        <x:v>0</x:v>
      </x:c>
      <x:c r="AO2325" s="32" t="n">
        <x:f>MIN(AP2324+AN2325,AM2325*v01_KHMaxRatio)</x:f>
        <x:v>0</x:v>
      </x:c>
      <x:c r="AP2325" s="32" t="n">
        <x:f>AP2324+AN2325-AO2325</x:f>
        <x:v>0</x:v>
      </x:c>
      <x:c r="AQ2325" s="32" t="n">
        <x:f>AM2325+AO2325</x:f>
        <x:v>0</x:v>
      </x:c>
      <x:c r="AR2325" s="10" t="n">
        <x:f>IF(H2325=1,INDEX(v01_Req,G2325),0)</x:f>
        <x:v>0</x:v>
      </x:c>
      <x:c r="AS2325" s="32" t="n">
        <x:f>IF(H2325=1,IF(E2325=1,AS2324-AR2324,AS2324)+AQ2325,0)</x:f>
        <x:v>0</x:v>
      </x:c>
      <x:c r="AT2325" s="11" t="n">
        <x:f>IF(AR2325&gt;0,MIN(1,AS2325/AR2325),1)</x:f>
        <x:v>1</x:v>
      </x:c>
      <x:c r="AU2325" s="10" t="n">
        <x:f>AB2325/INDEX(v01_RepScale,G2325)</x:f>
        <x:v>90.09519605746344</x:v>
      </x:c>
      <x:c r="AV2325" s="32" t="n">
        <x:f>AM2325*60/v01_SeasonSeconds</x:f>
        <x:v>0</x:v>
      </x:c>
    </x:row>
    <x:row r="2326">
      <x:c r="A2326" s="8" t="n">
        <x:f>A2325+1</x:f>
        <x:v>2323</x:v>
      </x:c>
      <x:c r="B2326" s="9" t="n">
        <x:f>A2326*v01_SeasonSeconds/60</x:f>
        <x:v>580.75</x:v>
      </x:c>
      <x:c r="C2326" s="9" t="n">
        <x:f>A2326/4</x:f>
        <x:v>580.75</x:v>
      </x:c>
      <x:c r="D2326" s="8" t="n">
        <x:f>IF(MOD(A2326,4)=0,1,0)</x:f>
        <x:v>0</x:v>
      </x:c>
      <x:c r="E2326" s="8" t="n">
        <x:f>IF(AND(F2325&lt;=9,AS2325&gt;=AR2325),1,0)</x:f>
        <x:v>0</x:v>
      </x:c>
      <x:c r="F2326" s="8" t="n">
        <x:f>MIN(10,F2325+E2326)</x:f>
        <x:v>10</x:v>
      </x:c>
      <x:c r="G2326" s="8" t="n">
        <x:f>MIN(F2326,9)+1</x:f>
        <x:v>10</x:v>
      </x:c>
      <x:c r="H2326" s="8" t="n">
        <x:f>IF(F2326&lt;=9,1,0)</x:f>
        <x:v>0</x:v>
      </x:c>
      <x:c r="I2326" s="9" t="n">
        <x:f>MIN(10,F2325+IF(AR2325&gt;0,MIN(1,AS2325/AR2325),1))</x:f>
        <x:v>10</x:v>
      </x:c>
      <x:c r="J2326" s="32" t="n">
        <x:f>INDEX(v01_FoodCap,G2326)*Arch_FoodCap*EXP(v01_CapsByProject*SUMPRODUCT((Cap_Point&lt;=I2326)*(Cap_Kind="Food")*Cap_Ln))</x:f>
        <x:v>12000</x:v>
      </x:c>
      <x:c r="K2326" s="32" t="n">
        <x:f>J2326*MIN(1,v01_LeanBase*EXP(v01_CapsByProject*SUMPRODUCT((Cap_Point&lt;=I2326)*(Cap_Kind="Lean")*Cap_Ln)))</x:f>
        <x:v>12000</x:v>
      </x:c>
      <x:c r="L2326" s="10" t="n">
        <x:f>INDEX(v01_HousingCap,G2326)*EXP(v01_CapsByProject*SUMPRODUCT((Cap_Point&lt;=I2326)*(Cap_Kind="Housing")*Cap_Ln))</x:f>
        <x:v>20000</x:v>
      </x:c>
      <x:c r="M2326" s="10" t="n">
        <x:f>INDEX(v01_GroupCap,G2326)*v01_CohesionFactor*EXP(v01_CapsByProject*SUMPRODUCT((Cap_Point&lt;=I2326)*(Cap_Kind="Group")*Cap_Ln))</x:f>
        <x:v>1000000</x:v>
      </x:c>
      <x:c r="N2326" s="32" t="n">
        <x:f>MIN(J2326,L2326,M2326)</x:f>
        <x:v>12000</x:v>
      </x:c>
      <x:c r="O2326" s="10" t="n">
        <x:f>AE2325*N2326</x:f>
        <x:v>180000</x:v>
      </x:c>
      <x:c r="P2326" s="9" t="n">
        <x:f>MIN(1,(AB2325/(AE2325*IF(v01_GroupInCrowding=1,N2326,MIN(J2326,L2326))))^v01_CrowdingExp)</x:f>
        <x:v>0.00024569414295285325</x:v>
      </x:c>
      <x:c r="Q2326" s="9" t="n">
        <x:f>IF(D2326=1,INDEX(v01_WinterMult,G2326),1)</x:f>
        <x:v>1</x:v>
      </x:c>
      <x:c r="R2326" s="9" t="n">
        <x:f>H2326*Z2325*v01_WomenShare*v01_BaseFertility*INDEX(v01_FertMult,G2326)*Arch_Fertility*(1-P2326)</x:f>
        <x:v>0</x:v>
      </x:c>
      <x:c r="S2326" s="9" t="n">
        <x:f>H2326*Y2325*INDEX(v01_MortChild,G2326)/4*Q2326</x:f>
        <x:v>0</x:v>
      </x:c>
      <x:c r="T2326" s="9" t="n">
        <x:f>H2326*Z2325*INDEX(v01_MortAdult,G2326)*Arch_AdultMort/4*Q2326</x:f>
        <x:v>0</x:v>
      </x:c>
      <x:c r="U2326" s="9" t="n">
        <x:f>H2326*AA2325*INDEX(v01_MortElder,G2326)/4*Q2326</x:f>
        <x:v>0</x:v>
      </x:c>
      <x:c r="V2326" s="9" t="n">
        <x:f>H2326*MAX(0,AB2325-O2326)*v01_OvercapLoss</x:f>
        <x:v>0</x:v>
      </x:c>
      <x:c r="W2326" s="9" t="n">
        <x:f>H2326*Y2325/(v01_ChildYears*4)</x:f>
        <x:v>0</x:v>
      </x:c>
      <x:c r="X2326" s="9" t="n">
        <x:f>H2326*Z2325/(v01_AdultYears*4)</x:f>
        <x:v>0</x:v>
      </x:c>
      <x:c r="Y2326" s="32" t="n">
        <x:f>Y2325+R2326-S2326-W2326-Y2325*V2326/AB2325</x:f>
        <x:v>14306.18539759397</x:v>
      </x:c>
      <x:c r="Z2326" s="32" t="n">
        <x:f>Z2325+W2326-X2326-T2326-Z2325*V2326/AB2325</x:f>
        <x:v>19354.456567879548</x:v>
      </x:c>
      <x:c r="AA2326" s="32" t="n">
        <x:f>AA2325+X2326-U2326-AA2325*V2326/AB2325</x:f>
        <x:v>11386.956063258198</x:v>
      </x:c>
      <x:c r="AB2326" s="10" t="n">
        <x:f>Y2326+Z2326+AA2326</x:f>
        <x:v>45047.59802873172</x:v>
      </x:c>
      <x:c r="AC2326" s="8" t="n">
        <x:f>IF(AND(v01_WinterTrigger=1,D2326=1,AB2325/AE2325&gt;=K2326),1,0)</x:f>
        <x:v>0</x:v>
      </x:c>
      <x:c r="AD2326" s="8" t="n">
        <x:f>H2326*IF(AND(OR(AB2325/AE2325&gt;=v01_FissionTrigger*N2326,AC2326=1),AB2325/AE2325*v01_DaughterShare&gt;=v01_MinDaughter),MAX(1,ROUND(AE2325*v01_FissionRate,0)),0)</x:f>
        <x:v>0</x:v>
      </x:c>
      <x:c r="AE2326" s="8" t="n">
        <x:f>IF(H2326=1,MAX(1,MIN(INDEX(v01_Smax,G2326),AE2325+AD2326)),AE2325)</x:f>
        <x:v>15</x:v>
      </x:c>
      <x:c r="AF2326" s="8" t="n">
        <x:f>MAX(0,AE2326-AE2325)</x:f>
        <x:v>0</x:v>
      </x:c>
      <x:c r="AG2326" s="9" t="str">
        <x:f>IF(AF2326&gt;0,B2326,"")</x:f>
      </x:c>
      <x:c r="AH2326" s="9" t="n">
        <x:f>IF(F2326&gt;=1,1,(1+v01_LowTiesShare*(AE2326-1))/AE2326)</x:f>
        <x:v>1</x:v>
      </x:c>
      <x:c r="AI2326" s="32" t="n">
        <x:f>(Z2326+v01_ElderCommons*INDEX(LM_Elder,G2326)*AA2326)*AH2326</x:f>
        <x:v>64139.732591141874</x:v>
      </x:c>
      <x:c r="AJ2326" s="32" t="n">
        <x:f>H2326*v01_CommonsCoef*AI2326^v01_CommonsExp*INDEX(LM_Commons,G2326)</x:f>
        <x:v>0</x:v>
      </x:c>
      <x:c r="AK2326" s="32" t="n">
        <x:f>H2326*v01_RoleScale*Arch_Roles*(AE2326*(INDEX(v01_ElderRolePerSett,G2326)*v01_OutElder*INDEX(LM_Elder,G2326)+INDEX(v01_ShamanPerSett,G2326)*v01_OutShaman)+Z2326*(INDEX(v01_PriestShare,G2326)*v01_OutPriest+INDEX(v01_ScribeShare,G2326)*v01_OutScribe*INDEX(LM_Scribe,G2326)+INDEX(v01_ScholarShare,G2326)*v01_OutScholar*INDEX(LM_Scholar,G2326)+INDEX(v01_ResearcherShare,G2326)*v01_OutResearcher*INDEX(LM_Researcher,G2326)))</x:f>
        <x:v>0</x:v>
      </x:c>
      <x:c r="AL2326" s="32" t="n">
        <x:f>H2326*v01_RoleScale*Arch_Roles*AE2326*INDEX(v01_MonasteryPerSett,G2326)*v01_OutMonastery*INDEX(LM_Monastery,G2326)</x:f>
        <x:v>0</x:v>
      </x:c>
      <x:c r="AM2326" s="32" t="n">
        <x:f>(AJ2326+AK2326+AL2326)/4*INDEX(LM_All,G2326)*INDEX(v01_Boon,G2326)*Arch_Insight</x:f>
        <x:v>0</x:v>
      </x:c>
      <x:c r="AN2326" s="32" t="n">
        <x:f>H2326*(v01_KHPerAdult*Z2326+v01_KHOfCommons*AJ2326/4*INDEX(LM_All,G2326))*v01_KHUsable*Arch_KH</x:f>
        <x:v>0</x:v>
      </x:c>
      <x:c r="AO2326" s="32" t="n">
        <x:f>MIN(AP2325+AN2326,AM2326*v01_KHMaxRatio)</x:f>
        <x:v>0</x:v>
      </x:c>
      <x:c r="AP2326" s="32" t="n">
        <x:f>AP2325+AN2326-AO2326</x:f>
        <x:v>0</x:v>
      </x:c>
      <x:c r="AQ2326" s="32" t="n">
        <x:f>AM2326+AO2326</x:f>
        <x:v>0</x:v>
      </x:c>
      <x:c r="AR2326" s="10" t="n">
        <x:f>IF(H2326=1,INDEX(v01_Req,G2326),0)</x:f>
        <x:v>0</x:v>
      </x:c>
      <x:c r="AS2326" s="32" t="n">
        <x:f>IF(H2326=1,IF(E2326=1,AS2325-AR2325,AS2325)+AQ2326,0)</x:f>
        <x:v>0</x:v>
      </x:c>
      <x:c r="AT2326" s="11" t="n">
        <x:f>IF(AR2326&gt;0,MIN(1,AS2326/AR2326),1)</x:f>
        <x:v>1</x:v>
      </x:c>
      <x:c r="AU2326" s="10" t="n">
        <x:f>AB2326/INDEX(v01_RepScale,G2326)</x:f>
        <x:v>90.09519605746344</x:v>
      </x:c>
      <x:c r="AV2326" s="32" t="n">
        <x:f>AM2326*60/v01_SeasonSeconds</x:f>
        <x:v>0</x:v>
      </x:c>
    </x:row>
    <x:row r="2327">
      <x:c r="A2327" s="8" t="n">
        <x:f>A2326+1</x:f>
        <x:v>2324</x:v>
      </x:c>
      <x:c r="B2327" s="9" t="n">
        <x:f>A2327*v01_SeasonSeconds/60</x:f>
        <x:v>581</x:v>
      </x:c>
      <x:c r="C2327" s="9" t="n">
        <x:f>A2327/4</x:f>
        <x:v>581</x:v>
      </x:c>
      <x:c r="D2327" s="8" t="n">
        <x:f>IF(MOD(A2327,4)=0,1,0)</x:f>
        <x:v>1</x:v>
      </x:c>
      <x:c r="E2327" s="8" t="n">
        <x:f>IF(AND(F2326&lt;=9,AS2326&gt;=AR2326),1,0)</x:f>
        <x:v>0</x:v>
      </x:c>
      <x:c r="F2327" s="8" t="n">
        <x:f>MIN(10,F2326+E2327)</x:f>
        <x:v>10</x:v>
      </x:c>
      <x:c r="G2327" s="8" t="n">
        <x:f>MIN(F2327,9)+1</x:f>
        <x:v>10</x:v>
      </x:c>
      <x:c r="H2327" s="8" t="n">
        <x:f>IF(F2327&lt;=9,1,0)</x:f>
        <x:v>0</x:v>
      </x:c>
      <x:c r="I2327" s="9" t="n">
        <x:f>MIN(10,F2326+IF(AR2326&gt;0,MIN(1,AS2326/AR2326),1))</x:f>
        <x:v>10</x:v>
      </x:c>
      <x:c r="J2327" s="32" t="n">
        <x:f>INDEX(v01_FoodCap,G2327)*Arch_FoodCap*EXP(v01_CapsByProject*SUMPRODUCT((Cap_Point&lt;=I2327)*(Cap_Kind="Food")*Cap_Ln))</x:f>
        <x:v>12000</x:v>
      </x:c>
      <x:c r="K2327" s="32" t="n">
        <x:f>J2327*MIN(1,v01_LeanBase*EXP(v01_CapsByProject*SUMPRODUCT((Cap_Point&lt;=I2327)*(Cap_Kind="Lean")*Cap_Ln)))</x:f>
        <x:v>12000</x:v>
      </x:c>
      <x:c r="L2327" s="10" t="n">
        <x:f>INDEX(v01_HousingCap,G2327)*EXP(v01_CapsByProject*SUMPRODUCT((Cap_Point&lt;=I2327)*(Cap_Kind="Housing")*Cap_Ln))</x:f>
        <x:v>20000</x:v>
      </x:c>
      <x:c r="M2327" s="10" t="n">
        <x:f>INDEX(v01_GroupCap,G2327)*v01_CohesionFactor*EXP(v01_CapsByProject*SUMPRODUCT((Cap_Point&lt;=I2327)*(Cap_Kind="Group")*Cap_Ln))</x:f>
        <x:v>1000000</x:v>
      </x:c>
      <x:c r="N2327" s="32" t="n">
        <x:f>MIN(J2327,L2327,M2327)</x:f>
        <x:v>12000</x:v>
      </x:c>
      <x:c r="O2327" s="10" t="n">
        <x:f>AE2326*N2327</x:f>
        <x:v>180000</x:v>
      </x:c>
      <x:c r="P2327" s="9" t="n">
        <x:f>MIN(1,(AB2326/(AE2326*IF(v01_GroupInCrowding=1,N2327,MIN(J2327,L2327))))^v01_CrowdingExp)</x:f>
        <x:v>0.00024569414295285325</x:v>
      </x:c>
      <x:c r="Q2327" s="9" t="n">
        <x:f>IF(D2327=1,INDEX(v01_WinterMult,G2327),1)</x:f>
        <x:v>1</x:v>
      </x:c>
      <x:c r="R2327" s="9" t="n">
        <x:f>H2327*Z2326*v01_WomenShare*v01_BaseFertility*INDEX(v01_FertMult,G2327)*Arch_Fertility*(1-P2327)</x:f>
        <x:v>0</x:v>
      </x:c>
      <x:c r="S2327" s="9" t="n">
        <x:f>H2327*Y2326*INDEX(v01_MortChild,G2327)/4*Q2327</x:f>
        <x:v>0</x:v>
      </x:c>
      <x:c r="T2327" s="9" t="n">
        <x:f>H2327*Z2326*INDEX(v01_MortAdult,G2327)*Arch_AdultMort/4*Q2327</x:f>
        <x:v>0</x:v>
      </x:c>
      <x:c r="U2327" s="9" t="n">
        <x:f>H2327*AA2326*INDEX(v01_MortElder,G2327)/4*Q2327</x:f>
        <x:v>0</x:v>
      </x:c>
      <x:c r="V2327" s="9" t="n">
        <x:f>H2327*MAX(0,AB2326-O2327)*v01_OvercapLoss</x:f>
        <x:v>0</x:v>
      </x:c>
      <x:c r="W2327" s="9" t="n">
        <x:f>H2327*Y2326/(v01_ChildYears*4)</x:f>
        <x:v>0</x:v>
      </x:c>
      <x:c r="X2327" s="9" t="n">
        <x:f>H2327*Z2326/(v01_AdultYears*4)</x:f>
        <x:v>0</x:v>
      </x:c>
      <x:c r="Y2327" s="32" t="n">
        <x:f>Y2326+R2327-S2327-W2327-Y2326*V2327/AB2326</x:f>
        <x:v>14306.18539759397</x:v>
      </x:c>
      <x:c r="Z2327" s="32" t="n">
        <x:f>Z2326+W2327-X2327-T2327-Z2326*V2327/AB2326</x:f>
        <x:v>19354.456567879548</x:v>
      </x:c>
      <x:c r="AA2327" s="32" t="n">
        <x:f>AA2326+X2327-U2327-AA2326*V2327/AB2326</x:f>
        <x:v>11386.956063258198</x:v>
      </x:c>
      <x:c r="AB2327" s="10" t="n">
        <x:f>Y2327+Z2327+AA2327</x:f>
        <x:v>45047.59802873172</x:v>
      </x:c>
      <x:c r="AC2327" s="8" t="n">
        <x:f>IF(AND(v01_WinterTrigger=1,D2327=1,AB2326/AE2326&gt;=K2327),1,0)</x:f>
        <x:v>0</x:v>
      </x:c>
      <x:c r="AD2327" s="8" t="n">
        <x:f>H2327*IF(AND(OR(AB2326/AE2326&gt;=v01_FissionTrigger*N2327,AC2327=1),AB2326/AE2326*v01_DaughterShare&gt;=v01_MinDaughter),MAX(1,ROUND(AE2326*v01_FissionRate,0)),0)</x:f>
        <x:v>0</x:v>
      </x:c>
      <x:c r="AE2327" s="8" t="n">
        <x:f>IF(H2327=1,MAX(1,MIN(INDEX(v01_Smax,G2327),AE2326+AD2327)),AE2326)</x:f>
        <x:v>15</x:v>
      </x:c>
      <x:c r="AF2327" s="8" t="n">
        <x:f>MAX(0,AE2327-AE2326)</x:f>
        <x:v>0</x:v>
      </x:c>
      <x:c r="AG2327" s="9" t="str">
        <x:f>IF(AF2327&gt;0,B2327,"")</x:f>
      </x:c>
      <x:c r="AH2327" s="9" t="n">
        <x:f>IF(F2327&gt;=1,1,(1+v01_LowTiesShare*(AE2327-1))/AE2327)</x:f>
        <x:v>1</x:v>
      </x:c>
      <x:c r="AI2327" s="32" t="n">
        <x:f>(Z2327+v01_ElderCommons*INDEX(LM_Elder,G2327)*AA2327)*AH2327</x:f>
        <x:v>64139.732591141874</x:v>
      </x:c>
      <x:c r="AJ2327" s="32" t="n">
        <x:f>H2327*v01_CommonsCoef*AI2327^v01_CommonsExp*INDEX(LM_Commons,G2327)</x:f>
        <x:v>0</x:v>
      </x:c>
      <x:c r="AK2327" s="32" t="n">
        <x:f>H2327*v01_RoleScale*Arch_Roles*(AE2327*(INDEX(v01_ElderRolePerSett,G2327)*v01_OutElder*INDEX(LM_Elder,G2327)+INDEX(v01_ShamanPerSett,G2327)*v01_OutShaman)+Z2327*(INDEX(v01_PriestShare,G2327)*v01_OutPriest+INDEX(v01_ScribeShare,G2327)*v01_OutScribe*INDEX(LM_Scribe,G2327)+INDEX(v01_ScholarShare,G2327)*v01_OutScholar*INDEX(LM_Scholar,G2327)+INDEX(v01_ResearcherShare,G2327)*v01_OutResearcher*INDEX(LM_Researcher,G2327)))</x:f>
        <x:v>0</x:v>
      </x:c>
      <x:c r="AL2327" s="32" t="n">
        <x:f>H2327*v01_RoleScale*Arch_Roles*AE2327*INDEX(v01_MonasteryPerSett,G2327)*v01_OutMonastery*INDEX(LM_Monastery,G2327)</x:f>
        <x:v>0</x:v>
      </x:c>
      <x:c r="AM2327" s="32" t="n">
        <x:f>(AJ2327+AK2327+AL2327)/4*INDEX(LM_All,G2327)*INDEX(v01_Boon,G2327)*Arch_Insight</x:f>
        <x:v>0</x:v>
      </x:c>
      <x:c r="AN2327" s="32" t="n">
        <x:f>H2327*(v01_KHPerAdult*Z2327+v01_KHOfCommons*AJ2327/4*INDEX(LM_All,G2327))*v01_KHUsable*Arch_KH</x:f>
        <x:v>0</x:v>
      </x:c>
      <x:c r="AO2327" s="32" t="n">
        <x:f>MIN(AP2326+AN2327,AM2327*v01_KHMaxRatio)</x:f>
        <x:v>0</x:v>
      </x:c>
      <x:c r="AP2327" s="32" t="n">
        <x:f>AP2326+AN2327-AO2327</x:f>
        <x:v>0</x:v>
      </x:c>
      <x:c r="AQ2327" s="32" t="n">
        <x:f>AM2327+AO2327</x:f>
        <x:v>0</x:v>
      </x:c>
      <x:c r="AR2327" s="10" t="n">
        <x:f>IF(H2327=1,INDEX(v01_Req,G2327),0)</x:f>
        <x:v>0</x:v>
      </x:c>
      <x:c r="AS2327" s="32" t="n">
        <x:f>IF(H2327=1,IF(E2327=1,AS2326-AR2326,AS2326)+AQ2327,0)</x:f>
        <x:v>0</x:v>
      </x:c>
      <x:c r="AT2327" s="11" t="n">
        <x:f>IF(AR2327&gt;0,MIN(1,AS2327/AR2327),1)</x:f>
        <x:v>1</x:v>
      </x:c>
      <x:c r="AU2327" s="10" t="n">
        <x:f>AB2327/INDEX(v01_RepScale,G2327)</x:f>
        <x:v>90.09519605746344</x:v>
      </x:c>
      <x:c r="AV2327" s="32" t="n">
        <x:f>AM2327*60/v01_SeasonSeconds</x:f>
        <x:v>0</x:v>
      </x:c>
    </x:row>
    <x:row r="2328">
      <x:c r="A2328" s="8" t="n">
        <x:f>A2327+1</x:f>
        <x:v>2325</x:v>
      </x:c>
      <x:c r="B2328" s="9" t="n">
        <x:f>A2328*v01_SeasonSeconds/60</x:f>
        <x:v>581.25</x:v>
      </x:c>
      <x:c r="C2328" s="9" t="n">
        <x:f>A2328/4</x:f>
        <x:v>581.25</x:v>
      </x:c>
      <x:c r="D2328" s="8" t="n">
        <x:f>IF(MOD(A2328,4)=0,1,0)</x:f>
        <x:v>0</x:v>
      </x:c>
      <x:c r="E2328" s="8" t="n">
        <x:f>IF(AND(F2327&lt;=9,AS2327&gt;=AR2327),1,0)</x:f>
        <x:v>0</x:v>
      </x:c>
      <x:c r="F2328" s="8" t="n">
        <x:f>MIN(10,F2327+E2328)</x:f>
        <x:v>10</x:v>
      </x:c>
      <x:c r="G2328" s="8" t="n">
        <x:f>MIN(F2328,9)+1</x:f>
        <x:v>10</x:v>
      </x:c>
      <x:c r="H2328" s="8" t="n">
        <x:f>IF(F2328&lt;=9,1,0)</x:f>
        <x:v>0</x:v>
      </x:c>
      <x:c r="I2328" s="9" t="n">
        <x:f>MIN(10,F2327+IF(AR2327&gt;0,MIN(1,AS2327/AR2327),1))</x:f>
        <x:v>10</x:v>
      </x:c>
      <x:c r="J2328" s="32" t="n">
        <x:f>INDEX(v01_FoodCap,G2328)*Arch_FoodCap*EXP(v01_CapsByProject*SUMPRODUCT((Cap_Point&lt;=I2328)*(Cap_Kind="Food")*Cap_Ln))</x:f>
        <x:v>12000</x:v>
      </x:c>
      <x:c r="K2328" s="32" t="n">
        <x:f>J2328*MIN(1,v01_LeanBase*EXP(v01_CapsByProject*SUMPRODUCT((Cap_Point&lt;=I2328)*(Cap_Kind="Lean")*Cap_Ln)))</x:f>
        <x:v>12000</x:v>
      </x:c>
      <x:c r="L2328" s="10" t="n">
        <x:f>INDEX(v01_HousingCap,G2328)*EXP(v01_CapsByProject*SUMPRODUCT((Cap_Point&lt;=I2328)*(Cap_Kind="Housing")*Cap_Ln))</x:f>
        <x:v>20000</x:v>
      </x:c>
      <x:c r="M2328" s="10" t="n">
        <x:f>INDEX(v01_GroupCap,G2328)*v01_CohesionFactor*EXP(v01_CapsByProject*SUMPRODUCT((Cap_Point&lt;=I2328)*(Cap_Kind="Group")*Cap_Ln))</x:f>
        <x:v>1000000</x:v>
      </x:c>
      <x:c r="N2328" s="32" t="n">
        <x:f>MIN(J2328,L2328,M2328)</x:f>
        <x:v>12000</x:v>
      </x:c>
      <x:c r="O2328" s="10" t="n">
        <x:f>AE2327*N2328</x:f>
        <x:v>180000</x:v>
      </x:c>
      <x:c r="P2328" s="9" t="n">
        <x:f>MIN(1,(AB2327/(AE2327*IF(v01_GroupInCrowding=1,N2328,MIN(J2328,L2328))))^v01_CrowdingExp)</x:f>
        <x:v>0.00024569414295285325</x:v>
      </x:c>
      <x:c r="Q2328" s="9" t="n">
        <x:f>IF(D2328=1,INDEX(v01_WinterMult,G2328),1)</x:f>
        <x:v>1</x:v>
      </x:c>
      <x:c r="R2328" s="9" t="n">
        <x:f>H2328*Z2327*v01_WomenShare*v01_BaseFertility*INDEX(v01_FertMult,G2328)*Arch_Fertility*(1-P2328)</x:f>
        <x:v>0</x:v>
      </x:c>
      <x:c r="S2328" s="9" t="n">
        <x:f>H2328*Y2327*INDEX(v01_MortChild,G2328)/4*Q2328</x:f>
        <x:v>0</x:v>
      </x:c>
      <x:c r="T2328" s="9" t="n">
        <x:f>H2328*Z2327*INDEX(v01_MortAdult,G2328)*Arch_AdultMort/4*Q2328</x:f>
        <x:v>0</x:v>
      </x:c>
      <x:c r="U2328" s="9" t="n">
        <x:f>H2328*AA2327*INDEX(v01_MortElder,G2328)/4*Q2328</x:f>
        <x:v>0</x:v>
      </x:c>
      <x:c r="V2328" s="9" t="n">
        <x:f>H2328*MAX(0,AB2327-O2328)*v01_OvercapLoss</x:f>
        <x:v>0</x:v>
      </x:c>
      <x:c r="W2328" s="9" t="n">
        <x:f>H2328*Y2327/(v01_ChildYears*4)</x:f>
        <x:v>0</x:v>
      </x:c>
      <x:c r="X2328" s="9" t="n">
        <x:f>H2328*Z2327/(v01_AdultYears*4)</x:f>
        <x:v>0</x:v>
      </x:c>
      <x:c r="Y2328" s="32" t="n">
        <x:f>Y2327+R2328-S2328-W2328-Y2327*V2328/AB2327</x:f>
        <x:v>14306.18539759397</x:v>
      </x:c>
      <x:c r="Z2328" s="32" t="n">
        <x:f>Z2327+W2328-X2328-T2328-Z2327*V2328/AB2327</x:f>
        <x:v>19354.456567879548</x:v>
      </x:c>
      <x:c r="AA2328" s="32" t="n">
        <x:f>AA2327+X2328-U2328-AA2327*V2328/AB2327</x:f>
        <x:v>11386.956063258198</x:v>
      </x:c>
      <x:c r="AB2328" s="10" t="n">
        <x:f>Y2328+Z2328+AA2328</x:f>
        <x:v>45047.59802873172</x:v>
      </x:c>
      <x:c r="AC2328" s="8" t="n">
        <x:f>IF(AND(v01_WinterTrigger=1,D2328=1,AB2327/AE2327&gt;=K2328),1,0)</x:f>
        <x:v>0</x:v>
      </x:c>
      <x:c r="AD2328" s="8" t="n">
        <x:f>H2328*IF(AND(OR(AB2327/AE2327&gt;=v01_FissionTrigger*N2328,AC2328=1),AB2327/AE2327*v01_DaughterShare&gt;=v01_MinDaughter),MAX(1,ROUND(AE2327*v01_FissionRate,0)),0)</x:f>
        <x:v>0</x:v>
      </x:c>
      <x:c r="AE2328" s="8" t="n">
        <x:f>IF(H2328=1,MAX(1,MIN(INDEX(v01_Smax,G2328),AE2327+AD2328)),AE2327)</x:f>
        <x:v>15</x:v>
      </x:c>
      <x:c r="AF2328" s="8" t="n">
        <x:f>MAX(0,AE2328-AE2327)</x:f>
        <x:v>0</x:v>
      </x:c>
      <x:c r="AG2328" s="9" t="str">
        <x:f>IF(AF2328&gt;0,B2328,"")</x:f>
      </x:c>
      <x:c r="AH2328" s="9" t="n">
        <x:f>IF(F2328&gt;=1,1,(1+v01_LowTiesShare*(AE2328-1))/AE2328)</x:f>
        <x:v>1</x:v>
      </x:c>
      <x:c r="AI2328" s="32" t="n">
        <x:f>(Z2328+v01_ElderCommons*INDEX(LM_Elder,G2328)*AA2328)*AH2328</x:f>
        <x:v>64139.732591141874</x:v>
      </x:c>
      <x:c r="AJ2328" s="32" t="n">
        <x:f>H2328*v01_CommonsCoef*AI2328^v01_CommonsExp*INDEX(LM_Commons,G2328)</x:f>
        <x:v>0</x:v>
      </x:c>
      <x:c r="AK2328" s="32" t="n">
        <x:f>H2328*v01_RoleScale*Arch_Roles*(AE2328*(INDEX(v01_ElderRolePerSett,G2328)*v01_OutElder*INDEX(LM_Elder,G2328)+INDEX(v01_ShamanPerSett,G2328)*v01_OutShaman)+Z2328*(INDEX(v01_PriestShare,G2328)*v01_OutPriest+INDEX(v01_ScribeShare,G2328)*v01_OutScribe*INDEX(LM_Scribe,G2328)+INDEX(v01_ScholarShare,G2328)*v01_OutScholar*INDEX(LM_Scholar,G2328)+INDEX(v01_ResearcherShare,G2328)*v01_OutResearcher*INDEX(LM_Researcher,G2328)))</x:f>
        <x:v>0</x:v>
      </x:c>
      <x:c r="AL2328" s="32" t="n">
        <x:f>H2328*v01_RoleScale*Arch_Roles*AE2328*INDEX(v01_MonasteryPerSett,G2328)*v01_OutMonastery*INDEX(LM_Monastery,G2328)</x:f>
        <x:v>0</x:v>
      </x:c>
      <x:c r="AM2328" s="32" t="n">
        <x:f>(AJ2328+AK2328+AL2328)/4*INDEX(LM_All,G2328)*INDEX(v01_Boon,G2328)*Arch_Insight</x:f>
        <x:v>0</x:v>
      </x:c>
      <x:c r="AN2328" s="32" t="n">
        <x:f>H2328*(v01_KHPerAdult*Z2328+v01_KHOfCommons*AJ2328/4*INDEX(LM_All,G2328))*v01_KHUsable*Arch_KH</x:f>
        <x:v>0</x:v>
      </x:c>
      <x:c r="AO2328" s="32" t="n">
        <x:f>MIN(AP2327+AN2328,AM2328*v01_KHMaxRatio)</x:f>
        <x:v>0</x:v>
      </x:c>
      <x:c r="AP2328" s="32" t="n">
        <x:f>AP2327+AN2328-AO2328</x:f>
        <x:v>0</x:v>
      </x:c>
      <x:c r="AQ2328" s="32" t="n">
        <x:f>AM2328+AO2328</x:f>
        <x:v>0</x:v>
      </x:c>
      <x:c r="AR2328" s="10" t="n">
        <x:f>IF(H2328=1,INDEX(v01_Req,G2328),0)</x:f>
        <x:v>0</x:v>
      </x:c>
      <x:c r="AS2328" s="32" t="n">
        <x:f>IF(H2328=1,IF(E2328=1,AS2327-AR2327,AS2327)+AQ2328,0)</x:f>
        <x:v>0</x:v>
      </x:c>
      <x:c r="AT2328" s="11" t="n">
        <x:f>IF(AR2328&gt;0,MIN(1,AS2328/AR2328),1)</x:f>
        <x:v>1</x:v>
      </x:c>
      <x:c r="AU2328" s="10" t="n">
        <x:f>AB2328/INDEX(v01_RepScale,G2328)</x:f>
        <x:v>90.09519605746344</x:v>
      </x:c>
      <x:c r="AV2328" s="32" t="n">
        <x:f>AM2328*60/v01_SeasonSeconds</x:f>
        <x:v>0</x:v>
      </x:c>
    </x:row>
    <x:row r="2329">
      <x:c r="A2329" s="8" t="n">
        <x:f>A2328+1</x:f>
        <x:v>2326</x:v>
      </x:c>
      <x:c r="B2329" s="9" t="n">
        <x:f>A2329*v01_SeasonSeconds/60</x:f>
        <x:v>581.5</x:v>
      </x:c>
      <x:c r="C2329" s="9" t="n">
        <x:f>A2329/4</x:f>
        <x:v>581.5</x:v>
      </x:c>
      <x:c r="D2329" s="8" t="n">
        <x:f>IF(MOD(A2329,4)=0,1,0)</x:f>
        <x:v>0</x:v>
      </x:c>
      <x:c r="E2329" s="8" t="n">
        <x:f>IF(AND(F2328&lt;=9,AS2328&gt;=AR2328),1,0)</x:f>
        <x:v>0</x:v>
      </x:c>
      <x:c r="F2329" s="8" t="n">
        <x:f>MIN(10,F2328+E2329)</x:f>
        <x:v>10</x:v>
      </x:c>
      <x:c r="G2329" s="8" t="n">
        <x:f>MIN(F2329,9)+1</x:f>
        <x:v>10</x:v>
      </x:c>
      <x:c r="H2329" s="8" t="n">
        <x:f>IF(F2329&lt;=9,1,0)</x:f>
        <x:v>0</x:v>
      </x:c>
      <x:c r="I2329" s="9" t="n">
        <x:f>MIN(10,F2328+IF(AR2328&gt;0,MIN(1,AS2328/AR2328),1))</x:f>
        <x:v>10</x:v>
      </x:c>
      <x:c r="J2329" s="32" t="n">
        <x:f>INDEX(v01_FoodCap,G2329)*Arch_FoodCap*EXP(v01_CapsByProject*SUMPRODUCT((Cap_Point&lt;=I2329)*(Cap_Kind="Food")*Cap_Ln))</x:f>
        <x:v>12000</x:v>
      </x:c>
      <x:c r="K2329" s="32" t="n">
        <x:f>J2329*MIN(1,v01_LeanBase*EXP(v01_CapsByProject*SUMPRODUCT((Cap_Point&lt;=I2329)*(Cap_Kind="Lean")*Cap_Ln)))</x:f>
        <x:v>12000</x:v>
      </x:c>
      <x:c r="L2329" s="10" t="n">
        <x:f>INDEX(v01_HousingCap,G2329)*EXP(v01_CapsByProject*SUMPRODUCT((Cap_Point&lt;=I2329)*(Cap_Kind="Housing")*Cap_Ln))</x:f>
        <x:v>20000</x:v>
      </x:c>
      <x:c r="M2329" s="10" t="n">
        <x:f>INDEX(v01_GroupCap,G2329)*v01_CohesionFactor*EXP(v01_CapsByProject*SUMPRODUCT((Cap_Point&lt;=I2329)*(Cap_Kind="Group")*Cap_Ln))</x:f>
        <x:v>1000000</x:v>
      </x:c>
      <x:c r="N2329" s="32" t="n">
        <x:f>MIN(J2329,L2329,M2329)</x:f>
        <x:v>12000</x:v>
      </x:c>
      <x:c r="O2329" s="10" t="n">
        <x:f>AE2328*N2329</x:f>
        <x:v>180000</x:v>
      </x:c>
      <x:c r="P2329" s="9" t="n">
        <x:f>MIN(1,(AB2328/(AE2328*IF(v01_GroupInCrowding=1,N2329,MIN(J2329,L2329))))^v01_CrowdingExp)</x:f>
        <x:v>0.00024569414295285325</x:v>
      </x:c>
      <x:c r="Q2329" s="9" t="n">
        <x:f>IF(D2329=1,INDEX(v01_WinterMult,G2329),1)</x:f>
        <x:v>1</x:v>
      </x:c>
      <x:c r="R2329" s="9" t="n">
        <x:f>H2329*Z2328*v01_WomenShare*v01_BaseFertility*INDEX(v01_FertMult,G2329)*Arch_Fertility*(1-P2329)</x:f>
        <x:v>0</x:v>
      </x:c>
      <x:c r="S2329" s="9" t="n">
        <x:f>H2329*Y2328*INDEX(v01_MortChild,G2329)/4*Q2329</x:f>
        <x:v>0</x:v>
      </x:c>
      <x:c r="T2329" s="9" t="n">
        <x:f>H2329*Z2328*INDEX(v01_MortAdult,G2329)*Arch_AdultMort/4*Q2329</x:f>
        <x:v>0</x:v>
      </x:c>
      <x:c r="U2329" s="9" t="n">
        <x:f>H2329*AA2328*INDEX(v01_MortElder,G2329)/4*Q2329</x:f>
        <x:v>0</x:v>
      </x:c>
      <x:c r="V2329" s="9" t="n">
        <x:f>H2329*MAX(0,AB2328-O2329)*v01_OvercapLoss</x:f>
        <x:v>0</x:v>
      </x:c>
      <x:c r="W2329" s="9" t="n">
        <x:f>H2329*Y2328/(v01_ChildYears*4)</x:f>
        <x:v>0</x:v>
      </x:c>
      <x:c r="X2329" s="9" t="n">
        <x:f>H2329*Z2328/(v01_AdultYears*4)</x:f>
        <x:v>0</x:v>
      </x:c>
      <x:c r="Y2329" s="32" t="n">
        <x:f>Y2328+R2329-S2329-W2329-Y2328*V2329/AB2328</x:f>
        <x:v>14306.18539759397</x:v>
      </x:c>
      <x:c r="Z2329" s="32" t="n">
        <x:f>Z2328+W2329-X2329-T2329-Z2328*V2329/AB2328</x:f>
        <x:v>19354.456567879548</x:v>
      </x:c>
      <x:c r="AA2329" s="32" t="n">
        <x:f>AA2328+X2329-U2329-AA2328*V2329/AB2328</x:f>
        <x:v>11386.956063258198</x:v>
      </x:c>
      <x:c r="AB2329" s="10" t="n">
        <x:f>Y2329+Z2329+AA2329</x:f>
        <x:v>45047.59802873172</x:v>
      </x:c>
      <x:c r="AC2329" s="8" t="n">
        <x:f>IF(AND(v01_WinterTrigger=1,D2329=1,AB2328/AE2328&gt;=K2329),1,0)</x:f>
        <x:v>0</x:v>
      </x:c>
      <x:c r="AD2329" s="8" t="n">
        <x:f>H2329*IF(AND(OR(AB2328/AE2328&gt;=v01_FissionTrigger*N2329,AC2329=1),AB2328/AE2328*v01_DaughterShare&gt;=v01_MinDaughter),MAX(1,ROUND(AE2328*v01_FissionRate,0)),0)</x:f>
        <x:v>0</x:v>
      </x:c>
      <x:c r="AE2329" s="8" t="n">
        <x:f>IF(H2329=1,MAX(1,MIN(INDEX(v01_Smax,G2329),AE2328+AD2329)),AE2328)</x:f>
        <x:v>15</x:v>
      </x:c>
      <x:c r="AF2329" s="8" t="n">
        <x:f>MAX(0,AE2329-AE2328)</x:f>
        <x:v>0</x:v>
      </x:c>
      <x:c r="AG2329" s="9" t="str">
        <x:f>IF(AF2329&gt;0,B2329,"")</x:f>
      </x:c>
      <x:c r="AH2329" s="9" t="n">
        <x:f>IF(F2329&gt;=1,1,(1+v01_LowTiesShare*(AE2329-1))/AE2329)</x:f>
        <x:v>1</x:v>
      </x:c>
      <x:c r="AI2329" s="32" t="n">
        <x:f>(Z2329+v01_ElderCommons*INDEX(LM_Elder,G2329)*AA2329)*AH2329</x:f>
        <x:v>64139.732591141874</x:v>
      </x:c>
      <x:c r="AJ2329" s="32" t="n">
        <x:f>H2329*v01_CommonsCoef*AI2329^v01_CommonsExp*INDEX(LM_Commons,G2329)</x:f>
        <x:v>0</x:v>
      </x:c>
      <x:c r="AK2329" s="32" t="n">
        <x:f>H2329*v01_RoleScale*Arch_Roles*(AE2329*(INDEX(v01_ElderRolePerSett,G2329)*v01_OutElder*INDEX(LM_Elder,G2329)+INDEX(v01_ShamanPerSett,G2329)*v01_OutShaman)+Z2329*(INDEX(v01_PriestShare,G2329)*v01_OutPriest+INDEX(v01_ScribeShare,G2329)*v01_OutScribe*INDEX(LM_Scribe,G2329)+INDEX(v01_ScholarShare,G2329)*v01_OutScholar*INDEX(LM_Scholar,G2329)+INDEX(v01_ResearcherShare,G2329)*v01_OutResearcher*INDEX(LM_Researcher,G2329)))</x:f>
        <x:v>0</x:v>
      </x:c>
      <x:c r="AL2329" s="32" t="n">
        <x:f>H2329*v01_RoleScale*Arch_Roles*AE2329*INDEX(v01_MonasteryPerSett,G2329)*v01_OutMonastery*INDEX(LM_Monastery,G2329)</x:f>
        <x:v>0</x:v>
      </x:c>
      <x:c r="AM2329" s="32" t="n">
        <x:f>(AJ2329+AK2329+AL2329)/4*INDEX(LM_All,G2329)*INDEX(v01_Boon,G2329)*Arch_Insight</x:f>
        <x:v>0</x:v>
      </x:c>
      <x:c r="AN2329" s="32" t="n">
        <x:f>H2329*(v01_KHPerAdult*Z2329+v01_KHOfCommons*AJ2329/4*INDEX(LM_All,G2329))*v01_KHUsable*Arch_KH</x:f>
        <x:v>0</x:v>
      </x:c>
      <x:c r="AO2329" s="32" t="n">
        <x:f>MIN(AP2328+AN2329,AM2329*v01_KHMaxRatio)</x:f>
        <x:v>0</x:v>
      </x:c>
      <x:c r="AP2329" s="32" t="n">
        <x:f>AP2328+AN2329-AO2329</x:f>
        <x:v>0</x:v>
      </x:c>
      <x:c r="AQ2329" s="32" t="n">
        <x:f>AM2329+AO2329</x:f>
        <x:v>0</x:v>
      </x:c>
      <x:c r="AR2329" s="10" t="n">
        <x:f>IF(H2329=1,INDEX(v01_Req,G2329),0)</x:f>
        <x:v>0</x:v>
      </x:c>
      <x:c r="AS2329" s="32" t="n">
        <x:f>IF(H2329=1,IF(E2329=1,AS2328-AR2328,AS2328)+AQ2329,0)</x:f>
        <x:v>0</x:v>
      </x:c>
      <x:c r="AT2329" s="11" t="n">
        <x:f>IF(AR2329&gt;0,MIN(1,AS2329/AR2329),1)</x:f>
        <x:v>1</x:v>
      </x:c>
      <x:c r="AU2329" s="10" t="n">
        <x:f>AB2329/INDEX(v01_RepScale,G2329)</x:f>
        <x:v>90.09519605746344</x:v>
      </x:c>
      <x:c r="AV2329" s="32" t="n">
        <x:f>AM2329*60/v01_SeasonSeconds</x:f>
        <x:v>0</x:v>
      </x:c>
    </x:row>
    <x:row r="2330">
      <x:c r="A2330" s="8" t="n">
        <x:f>A2329+1</x:f>
        <x:v>2327</x:v>
      </x:c>
      <x:c r="B2330" s="9" t="n">
        <x:f>A2330*v01_SeasonSeconds/60</x:f>
        <x:v>581.75</x:v>
      </x:c>
      <x:c r="C2330" s="9" t="n">
        <x:f>A2330/4</x:f>
        <x:v>581.75</x:v>
      </x:c>
      <x:c r="D2330" s="8" t="n">
        <x:f>IF(MOD(A2330,4)=0,1,0)</x:f>
        <x:v>0</x:v>
      </x:c>
      <x:c r="E2330" s="8" t="n">
        <x:f>IF(AND(F2329&lt;=9,AS2329&gt;=AR2329),1,0)</x:f>
        <x:v>0</x:v>
      </x:c>
      <x:c r="F2330" s="8" t="n">
        <x:f>MIN(10,F2329+E2330)</x:f>
        <x:v>10</x:v>
      </x:c>
      <x:c r="G2330" s="8" t="n">
        <x:f>MIN(F2330,9)+1</x:f>
        <x:v>10</x:v>
      </x:c>
      <x:c r="H2330" s="8" t="n">
        <x:f>IF(F2330&lt;=9,1,0)</x:f>
        <x:v>0</x:v>
      </x:c>
      <x:c r="I2330" s="9" t="n">
        <x:f>MIN(10,F2329+IF(AR2329&gt;0,MIN(1,AS2329/AR2329),1))</x:f>
        <x:v>10</x:v>
      </x:c>
      <x:c r="J2330" s="32" t="n">
        <x:f>INDEX(v01_FoodCap,G2330)*Arch_FoodCap*EXP(v01_CapsByProject*SUMPRODUCT((Cap_Point&lt;=I2330)*(Cap_Kind="Food")*Cap_Ln))</x:f>
        <x:v>12000</x:v>
      </x:c>
      <x:c r="K2330" s="32" t="n">
        <x:f>J2330*MIN(1,v01_LeanBase*EXP(v01_CapsByProject*SUMPRODUCT((Cap_Point&lt;=I2330)*(Cap_Kind="Lean")*Cap_Ln)))</x:f>
        <x:v>12000</x:v>
      </x:c>
      <x:c r="L2330" s="10" t="n">
        <x:f>INDEX(v01_HousingCap,G2330)*EXP(v01_CapsByProject*SUMPRODUCT((Cap_Point&lt;=I2330)*(Cap_Kind="Housing")*Cap_Ln))</x:f>
        <x:v>20000</x:v>
      </x:c>
      <x:c r="M2330" s="10" t="n">
        <x:f>INDEX(v01_GroupCap,G2330)*v01_CohesionFactor*EXP(v01_CapsByProject*SUMPRODUCT((Cap_Point&lt;=I2330)*(Cap_Kind="Group")*Cap_Ln))</x:f>
        <x:v>1000000</x:v>
      </x:c>
      <x:c r="N2330" s="32" t="n">
        <x:f>MIN(J2330,L2330,M2330)</x:f>
        <x:v>12000</x:v>
      </x:c>
      <x:c r="O2330" s="10" t="n">
        <x:f>AE2329*N2330</x:f>
        <x:v>180000</x:v>
      </x:c>
      <x:c r="P2330" s="9" t="n">
        <x:f>MIN(1,(AB2329/(AE2329*IF(v01_GroupInCrowding=1,N2330,MIN(J2330,L2330))))^v01_CrowdingExp)</x:f>
        <x:v>0.00024569414295285325</x:v>
      </x:c>
      <x:c r="Q2330" s="9" t="n">
        <x:f>IF(D2330=1,INDEX(v01_WinterMult,G2330),1)</x:f>
        <x:v>1</x:v>
      </x:c>
      <x:c r="R2330" s="9" t="n">
        <x:f>H2330*Z2329*v01_WomenShare*v01_BaseFertility*INDEX(v01_FertMult,G2330)*Arch_Fertility*(1-P2330)</x:f>
        <x:v>0</x:v>
      </x:c>
      <x:c r="S2330" s="9" t="n">
        <x:f>H2330*Y2329*INDEX(v01_MortChild,G2330)/4*Q2330</x:f>
        <x:v>0</x:v>
      </x:c>
      <x:c r="T2330" s="9" t="n">
        <x:f>H2330*Z2329*INDEX(v01_MortAdult,G2330)*Arch_AdultMort/4*Q2330</x:f>
        <x:v>0</x:v>
      </x:c>
      <x:c r="U2330" s="9" t="n">
        <x:f>H2330*AA2329*INDEX(v01_MortElder,G2330)/4*Q2330</x:f>
        <x:v>0</x:v>
      </x:c>
      <x:c r="V2330" s="9" t="n">
        <x:f>H2330*MAX(0,AB2329-O2330)*v01_OvercapLoss</x:f>
        <x:v>0</x:v>
      </x:c>
      <x:c r="W2330" s="9" t="n">
        <x:f>H2330*Y2329/(v01_ChildYears*4)</x:f>
        <x:v>0</x:v>
      </x:c>
      <x:c r="X2330" s="9" t="n">
        <x:f>H2330*Z2329/(v01_AdultYears*4)</x:f>
        <x:v>0</x:v>
      </x:c>
      <x:c r="Y2330" s="32" t="n">
        <x:f>Y2329+R2330-S2330-W2330-Y2329*V2330/AB2329</x:f>
        <x:v>14306.18539759397</x:v>
      </x:c>
      <x:c r="Z2330" s="32" t="n">
        <x:f>Z2329+W2330-X2330-T2330-Z2329*V2330/AB2329</x:f>
        <x:v>19354.456567879548</x:v>
      </x:c>
      <x:c r="AA2330" s="32" t="n">
        <x:f>AA2329+X2330-U2330-AA2329*V2330/AB2329</x:f>
        <x:v>11386.956063258198</x:v>
      </x:c>
      <x:c r="AB2330" s="10" t="n">
        <x:f>Y2330+Z2330+AA2330</x:f>
        <x:v>45047.59802873172</x:v>
      </x:c>
      <x:c r="AC2330" s="8" t="n">
        <x:f>IF(AND(v01_WinterTrigger=1,D2330=1,AB2329/AE2329&gt;=K2330),1,0)</x:f>
        <x:v>0</x:v>
      </x:c>
      <x:c r="AD2330" s="8" t="n">
        <x:f>H2330*IF(AND(OR(AB2329/AE2329&gt;=v01_FissionTrigger*N2330,AC2330=1),AB2329/AE2329*v01_DaughterShare&gt;=v01_MinDaughter),MAX(1,ROUND(AE2329*v01_FissionRate,0)),0)</x:f>
        <x:v>0</x:v>
      </x:c>
      <x:c r="AE2330" s="8" t="n">
        <x:f>IF(H2330=1,MAX(1,MIN(INDEX(v01_Smax,G2330),AE2329+AD2330)),AE2329)</x:f>
        <x:v>15</x:v>
      </x:c>
      <x:c r="AF2330" s="8" t="n">
        <x:f>MAX(0,AE2330-AE2329)</x:f>
        <x:v>0</x:v>
      </x:c>
      <x:c r="AG2330" s="9" t="str">
        <x:f>IF(AF2330&gt;0,B2330,"")</x:f>
      </x:c>
      <x:c r="AH2330" s="9" t="n">
        <x:f>IF(F2330&gt;=1,1,(1+v01_LowTiesShare*(AE2330-1))/AE2330)</x:f>
        <x:v>1</x:v>
      </x:c>
      <x:c r="AI2330" s="32" t="n">
        <x:f>(Z2330+v01_ElderCommons*INDEX(LM_Elder,G2330)*AA2330)*AH2330</x:f>
        <x:v>64139.732591141874</x:v>
      </x:c>
      <x:c r="AJ2330" s="32" t="n">
        <x:f>H2330*v01_CommonsCoef*AI2330^v01_CommonsExp*INDEX(LM_Commons,G2330)</x:f>
        <x:v>0</x:v>
      </x:c>
      <x:c r="AK2330" s="32" t="n">
        <x:f>H2330*v01_RoleScale*Arch_Roles*(AE2330*(INDEX(v01_ElderRolePerSett,G2330)*v01_OutElder*INDEX(LM_Elder,G2330)+INDEX(v01_ShamanPerSett,G2330)*v01_OutShaman)+Z2330*(INDEX(v01_PriestShare,G2330)*v01_OutPriest+INDEX(v01_ScribeShare,G2330)*v01_OutScribe*INDEX(LM_Scribe,G2330)+INDEX(v01_ScholarShare,G2330)*v01_OutScholar*INDEX(LM_Scholar,G2330)+INDEX(v01_ResearcherShare,G2330)*v01_OutResearcher*INDEX(LM_Researcher,G2330)))</x:f>
        <x:v>0</x:v>
      </x:c>
      <x:c r="AL2330" s="32" t="n">
        <x:f>H2330*v01_RoleScale*Arch_Roles*AE2330*INDEX(v01_MonasteryPerSett,G2330)*v01_OutMonastery*INDEX(LM_Monastery,G2330)</x:f>
        <x:v>0</x:v>
      </x:c>
      <x:c r="AM2330" s="32" t="n">
        <x:f>(AJ2330+AK2330+AL2330)/4*INDEX(LM_All,G2330)*INDEX(v01_Boon,G2330)*Arch_Insight</x:f>
        <x:v>0</x:v>
      </x:c>
      <x:c r="AN2330" s="32" t="n">
        <x:f>H2330*(v01_KHPerAdult*Z2330+v01_KHOfCommons*AJ2330/4*INDEX(LM_All,G2330))*v01_KHUsable*Arch_KH</x:f>
        <x:v>0</x:v>
      </x:c>
      <x:c r="AO2330" s="32" t="n">
        <x:f>MIN(AP2329+AN2330,AM2330*v01_KHMaxRatio)</x:f>
        <x:v>0</x:v>
      </x:c>
      <x:c r="AP2330" s="32" t="n">
        <x:f>AP2329+AN2330-AO2330</x:f>
        <x:v>0</x:v>
      </x:c>
      <x:c r="AQ2330" s="32" t="n">
        <x:f>AM2330+AO2330</x:f>
        <x:v>0</x:v>
      </x:c>
      <x:c r="AR2330" s="10" t="n">
        <x:f>IF(H2330=1,INDEX(v01_Req,G2330),0)</x:f>
        <x:v>0</x:v>
      </x:c>
      <x:c r="AS2330" s="32" t="n">
        <x:f>IF(H2330=1,IF(E2330=1,AS2329-AR2329,AS2329)+AQ2330,0)</x:f>
        <x:v>0</x:v>
      </x:c>
      <x:c r="AT2330" s="11" t="n">
        <x:f>IF(AR2330&gt;0,MIN(1,AS2330/AR2330),1)</x:f>
        <x:v>1</x:v>
      </x:c>
      <x:c r="AU2330" s="10" t="n">
        <x:f>AB2330/INDEX(v01_RepScale,G2330)</x:f>
        <x:v>90.09519605746344</x:v>
      </x:c>
      <x:c r="AV2330" s="32" t="n">
        <x:f>AM2330*60/v01_SeasonSeconds</x:f>
        <x:v>0</x:v>
      </x:c>
    </x:row>
    <x:row r="2331">
      <x:c r="A2331" s="8" t="n">
        <x:f>A2330+1</x:f>
        <x:v>2328</x:v>
      </x:c>
      <x:c r="B2331" s="9" t="n">
        <x:f>A2331*v01_SeasonSeconds/60</x:f>
        <x:v>582</x:v>
      </x:c>
      <x:c r="C2331" s="9" t="n">
        <x:f>A2331/4</x:f>
        <x:v>582</x:v>
      </x:c>
      <x:c r="D2331" s="8" t="n">
        <x:f>IF(MOD(A2331,4)=0,1,0)</x:f>
        <x:v>1</x:v>
      </x:c>
      <x:c r="E2331" s="8" t="n">
        <x:f>IF(AND(F2330&lt;=9,AS2330&gt;=AR2330),1,0)</x:f>
        <x:v>0</x:v>
      </x:c>
      <x:c r="F2331" s="8" t="n">
        <x:f>MIN(10,F2330+E2331)</x:f>
        <x:v>10</x:v>
      </x:c>
      <x:c r="G2331" s="8" t="n">
        <x:f>MIN(F2331,9)+1</x:f>
        <x:v>10</x:v>
      </x:c>
      <x:c r="H2331" s="8" t="n">
        <x:f>IF(F2331&lt;=9,1,0)</x:f>
        <x:v>0</x:v>
      </x:c>
      <x:c r="I2331" s="9" t="n">
        <x:f>MIN(10,F2330+IF(AR2330&gt;0,MIN(1,AS2330/AR2330),1))</x:f>
        <x:v>10</x:v>
      </x:c>
      <x:c r="J2331" s="32" t="n">
        <x:f>INDEX(v01_FoodCap,G2331)*Arch_FoodCap*EXP(v01_CapsByProject*SUMPRODUCT((Cap_Point&lt;=I2331)*(Cap_Kind="Food")*Cap_Ln))</x:f>
        <x:v>12000</x:v>
      </x:c>
      <x:c r="K2331" s="32" t="n">
        <x:f>J2331*MIN(1,v01_LeanBase*EXP(v01_CapsByProject*SUMPRODUCT((Cap_Point&lt;=I2331)*(Cap_Kind="Lean")*Cap_Ln)))</x:f>
        <x:v>12000</x:v>
      </x:c>
      <x:c r="L2331" s="10" t="n">
        <x:f>INDEX(v01_HousingCap,G2331)*EXP(v01_CapsByProject*SUMPRODUCT((Cap_Point&lt;=I2331)*(Cap_Kind="Housing")*Cap_Ln))</x:f>
        <x:v>20000</x:v>
      </x:c>
      <x:c r="M2331" s="10" t="n">
        <x:f>INDEX(v01_GroupCap,G2331)*v01_CohesionFactor*EXP(v01_CapsByProject*SUMPRODUCT((Cap_Point&lt;=I2331)*(Cap_Kind="Group")*Cap_Ln))</x:f>
        <x:v>1000000</x:v>
      </x:c>
      <x:c r="N2331" s="32" t="n">
        <x:f>MIN(J2331,L2331,M2331)</x:f>
        <x:v>12000</x:v>
      </x:c>
      <x:c r="O2331" s="10" t="n">
        <x:f>AE2330*N2331</x:f>
        <x:v>180000</x:v>
      </x:c>
      <x:c r="P2331" s="9" t="n">
        <x:f>MIN(1,(AB2330/(AE2330*IF(v01_GroupInCrowding=1,N2331,MIN(J2331,L2331))))^v01_CrowdingExp)</x:f>
        <x:v>0.00024569414295285325</x:v>
      </x:c>
      <x:c r="Q2331" s="9" t="n">
        <x:f>IF(D2331=1,INDEX(v01_WinterMult,G2331),1)</x:f>
        <x:v>1</x:v>
      </x:c>
      <x:c r="R2331" s="9" t="n">
        <x:f>H2331*Z2330*v01_WomenShare*v01_BaseFertility*INDEX(v01_FertMult,G2331)*Arch_Fertility*(1-P2331)</x:f>
        <x:v>0</x:v>
      </x:c>
      <x:c r="S2331" s="9" t="n">
        <x:f>H2331*Y2330*INDEX(v01_MortChild,G2331)/4*Q2331</x:f>
        <x:v>0</x:v>
      </x:c>
      <x:c r="T2331" s="9" t="n">
        <x:f>H2331*Z2330*INDEX(v01_MortAdult,G2331)*Arch_AdultMort/4*Q2331</x:f>
        <x:v>0</x:v>
      </x:c>
      <x:c r="U2331" s="9" t="n">
        <x:f>H2331*AA2330*INDEX(v01_MortElder,G2331)/4*Q2331</x:f>
        <x:v>0</x:v>
      </x:c>
      <x:c r="V2331" s="9" t="n">
        <x:f>H2331*MAX(0,AB2330-O2331)*v01_OvercapLoss</x:f>
        <x:v>0</x:v>
      </x:c>
      <x:c r="W2331" s="9" t="n">
        <x:f>H2331*Y2330/(v01_ChildYears*4)</x:f>
        <x:v>0</x:v>
      </x:c>
      <x:c r="X2331" s="9" t="n">
        <x:f>H2331*Z2330/(v01_AdultYears*4)</x:f>
        <x:v>0</x:v>
      </x:c>
      <x:c r="Y2331" s="32" t="n">
        <x:f>Y2330+R2331-S2331-W2331-Y2330*V2331/AB2330</x:f>
        <x:v>14306.18539759397</x:v>
      </x:c>
      <x:c r="Z2331" s="32" t="n">
        <x:f>Z2330+W2331-X2331-T2331-Z2330*V2331/AB2330</x:f>
        <x:v>19354.456567879548</x:v>
      </x:c>
      <x:c r="AA2331" s="32" t="n">
        <x:f>AA2330+X2331-U2331-AA2330*V2331/AB2330</x:f>
        <x:v>11386.956063258198</x:v>
      </x:c>
      <x:c r="AB2331" s="10" t="n">
        <x:f>Y2331+Z2331+AA2331</x:f>
        <x:v>45047.59802873172</x:v>
      </x:c>
      <x:c r="AC2331" s="8" t="n">
        <x:f>IF(AND(v01_WinterTrigger=1,D2331=1,AB2330/AE2330&gt;=K2331),1,0)</x:f>
        <x:v>0</x:v>
      </x:c>
      <x:c r="AD2331" s="8" t="n">
        <x:f>H2331*IF(AND(OR(AB2330/AE2330&gt;=v01_FissionTrigger*N2331,AC2331=1),AB2330/AE2330*v01_DaughterShare&gt;=v01_MinDaughter),MAX(1,ROUND(AE2330*v01_FissionRate,0)),0)</x:f>
        <x:v>0</x:v>
      </x:c>
      <x:c r="AE2331" s="8" t="n">
        <x:f>IF(H2331=1,MAX(1,MIN(INDEX(v01_Smax,G2331),AE2330+AD2331)),AE2330)</x:f>
        <x:v>15</x:v>
      </x:c>
      <x:c r="AF2331" s="8" t="n">
        <x:f>MAX(0,AE2331-AE2330)</x:f>
        <x:v>0</x:v>
      </x:c>
      <x:c r="AG2331" s="9" t="str">
        <x:f>IF(AF2331&gt;0,B2331,"")</x:f>
      </x:c>
      <x:c r="AH2331" s="9" t="n">
        <x:f>IF(F2331&gt;=1,1,(1+v01_LowTiesShare*(AE2331-1))/AE2331)</x:f>
        <x:v>1</x:v>
      </x:c>
      <x:c r="AI2331" s="32" t="n">
        <x:f>(Z2331+v01_ElderCommons*INDEX(LM_Elder,G2331)*AA2331)*AH2331</x:f>
        <x:v>64139.732591141874</x:v>
      </x:c>
      <x:c r="AJ2331" s="32" t="n">
        <x:f>H2331*v01_CommonsCoef*AI2331^v01_CommonsExp*INDEX(LM_Commons,G2331)</x:f>
        <x:v>0</x:v>
      </x:c>
      <x:c r="AK2331" s="32" t="n">
        <x:f>H2331*v01_RoleScale*Arch_Roles*(AE2331*(INDEX(v01_ElderRolePerSett,G2331)*v01_OutElder*INDEX(LM_Elder,G2331)+INDEX(v01_ShamanPerSett,G2331)*v01_OutShaman)+Z2331*(INDEX(v01_PriestShare,G2331)*v01_OutPriest+INDEX(v01_ScribeShare,G2331)*v01_OutScribe*INDEX(LM_Scribe,G2331)+INDEX(v01_ScholarShare,G2331)*v01_OutScholar*INDEX(LM_Scholar,G2331)+INDEX(v01_ResearcherShare,G2331)*v01_OutResearcher*INDEX(LM_Researcher,G2331)))</x:f>
        <x:v>0</x:v>
      </x:c>
      <x:c r="AL2331" s="32" t="n">
        <x:f>H2331*v01_RoleScale*Arch_Roles*AE2331*INDEX(v01_MonasteryPerSett,G2331)*v01_OutMonastery*INDEX(LM_Monastery,G2331)</x:f>
        <x:v>0</x:v>
      </x:c>
      <x:c r="AM2331" s="32" t="n">
        <x:f>(AJ2331+AK2331+AL2331)/4*INDEX(LM_All,G2331)*INDEX(v01_Boon,G2331)*Arch_Insight</x:f>
        <x:v>0</x:v>
      </x:c>
      <x:c r="AN2331" s="32" t="n">
        <x:f>H2331*(v01_KHPerAdult*Z2331+v01_KHOfCommons*AJ2331/4*INDEX(LM_All,G2331))*v01_KHUsable*Arch_KH</x:f>
        <x:v>0</x:v>
      </x:c>
      <x:c r="AO2331" s="32" t="n">
        <x:f>MIN(AP2330+AN2331,AM2331*v01_KHMaxRatio)</x:f>
        <x:v>0</x:v>
      </x:c>
      <x:c r="AP2331" s="32" t="n">
        <x:f>AP2330+AN2331-AO2331</x:f>
        <x:v>0</x:v>
      </x:c>
      <x:c r="AQ2331" s="32" t="n">
        <x:f>AM2331+AO2331</x:f>
        <x:v>0</x:v>
      </x:c>
      <x:c r="AR2331" s="10" t="n">
        <x:f>IF(H2331=1,INDEX(v01_Req,G2331),0)</x:f>
        <x:v>0</x:v>
      </x:c>
      <x:c r="AS2331" s="32" t="n">
        <x:f>IF(H2331=1,IF(E2331=1,AS2330-AR2330,AS2330)+AQ2331,0)</x:f>
        <x:v>0</x:v>
      </x:c>
      <x:c r="AT2331" s="11" t="n">
        <x:f>IF(AR2331&gt;0,MIN(1,AS2331/AR2331),1)</x:f>
        <x:v>1</x:v>
      </x:c>
      <x:c r="AU2331" s="10" t="n">
        <x:f>AB2331/INDEX(v01_RepScale,G2331)</x:f>
        <x:v>90.09519605746344</x:v>
      </x:c>
      <x:c r="AV2331" s="32" t="n">
        <x:f>AM2331*60/v01_SeasonSeconds</x:f>
        <x:v>0</x:v>
      </x:c>
    </x:row>
    <x:row r="2332">
      <x:c r="A2332" s="8" t="n">
        <x:f>A2331+1</x:f>
        <x:v>2329</x:v>
      </x:c>
      <x:c r="B2332" s="9" t="n">
        <x:f>A2332*v01_SeasonSeconds/60</x:f>
        <x:v>582.25</x:v>
      </x:c>
      <x:c r="C2332" s="9" t="n">
        <x:f>A2332/4</x:f>
        <x:v>582.25</x:v>
      </x:c>
      <x:c r="D2332" s="8" t="n">
        <x:f>IF(MOD(A2332,4)=0,1,0)</x:f>
        <x:v>0</x:v>
      </x:c>
      <x:c r="E2332" s="8" t="n">
        <x:f>IF(AND(F2331&lt;=9,AS2331&gt;=AR2331),1,0)</x:f>
        <x:v>0</x:v>
      </x:c>
      <x:c r="F2332" s="8" t="n">
        <x:f>MIN(10,F2331+E2332)</x:f>
        <x:v>10</x:v>
      </x:c>
      <x:c r="G2332" s="8" t="n">
        <x:f>MIN(F2332,9)+1</x:f>
        <x:v>10</x:v>
      </x:c>
      <x:c r="H2332" s="8" t="n">
        <x:f>IF(F2332&lt;=9,1,0)</x:f>
        <x:v>0</x:v>
      </x:c>
      <x:c r="I2332" s="9" t="n">
        <x:f>MIN(10,F2331+IF(AR2331&gt;0,MIN(1,AS2331/AR2331),1))</x:f>
        <x:v>10</x:v>
      </x:c>
      <x:c r="J2332" s="32" t="n">
        <x:f>INDEX(v01_FoodCap,G2332)*Arch_FoodCap*EXP(v01_CapsByProject*SUMPRODUCT((Cap_Point&lt;=I2332)*(Cap_Kind="Food")*Cap_Ln))</x:f>
        <x:v>12000</x:v>
      </x:c>
      <x:c r="K2332" s="32" t="n">
        <x:f>J2332*MIN(1,v01_LeanBase*EXP(v01_CapsByProject*SUMPRODUCT((Cap_Point&lt;=I2332)*(Cap_Kind="Lean")*Cap_Ln)))</x:f>
        <x:v>12000</x:v>
      </x:c>
      <x:c r="L2332" s="10" t="n">
        <x:f>INDEX(v01_HousingCap,G2332)*EXP(v01_CapsByProject*SUMPRODUCT((Cap_Point&lt;=I2332)*(Cap_Kind="Housing")*Cap_Ln))</x:f>
        <x:v>20000</x:v>
      </x:c>
      <x:c r="M2332" s="10" t="n">
        <x:f>INDEX(v01_GroupCap,G2332)*v01_CohesionFactor*EXP(v01_CapsByProject*SUMPRODUCT((Cap_Point&lt;=I2332)*(Cap_Kind="Group")*Cap_Ln))</x:f>
        <x:v>1000000</x:v>
      </x:c>
      <x:c r="N2332" s="32" t="n">
        <x:f>MIN(J2332,L2332,M2332)</x:f>
        <x:v>12000</x:v>
      </x:c>
      <x:c r="O2332" s="10" t="n">
        <x:f>AE2331*N2332</x:f>
        <x:v>180000</x:v>
      </x:c>
      <x:c r="P2332" s="9" t="n">
        <x:f>MIN(1,(AB2331/(AE2331*IF(v01_GroupInCrowding=1,N2332,MIN(J2332,L2332))))^v01_CrowdingExp)</x:f>
        <x:v>0.00024569414295285325</x:v>
      </x:c>
      <x:c r="Q2332" s="9" t="n">
        <x:f>IF(D2332=1,INDEX(v01_WinterMult,G2332),1)</x:f>
        <x:v>1</x:v>
      </x:c>
      <x:c r="R2332" s="9" t="n">
        <x:f>H2332*Z2331*v01_WomenShare*v01_BaseFertility*INDEX(v01_FertMult,G2332)*Arch_Fertility*(1-P2332)</x:f>
        <x:v>0</x:v>
      </x:c>
      <x:c r="S2332" s="9" t="n">
        <x:f>H2332*Y2331*INDEX(v01_MortChild,G2332)/4*Q2332</x:f>
        <x:v>0</x:v>
      </x:c>
      <x:c r="T2332" s="9" t="n">
        <x:f>H2332*Z2331*INDEX(v01_MortAdult,G2332)*Arch_AdultMort/4*Q2332</x:f>
        <x:v>0</x:v>
      </x:c>
      <x:c r="U2332" s="9" t="n">
        <x:f>H2332*AA2331*INDEX(v01_MortElder,G2332)/4*Q2332</x:f>
        <x:v>0</x:v>
      </x:c>
      <x:c r="V2332" s="9" t="n">
        <x:f>H2332*MAX(0,AB2331-O2332)*v01_OvercapLoss</x:f>
        <x:v>0</x:v>
      </x:c>
      <x:c r="W2332" s="9" t="n">
        <x:f>H2332*Y2331/(v01_ChildYears*4)</x:f>
        <x:v>0</x:v>
      </x:c>
      <x:c r="X2332" s="9" t="n">
        <x:f>H2332*Z2331/(v01_AdultYears*4)</x:f>
        <x:v>0</x:v>
      </x:c>
      <x:c r="Y2332" s="32" t="n">
        <x:f>Y2331+R2332-S2332-W2332-Y2331*V2332/AB2331</x:f>
        <x:v>14306.18539759397</x:v>
      </x:c>
      <x:c r="Z2332" s="32" t="n">
        <x:f>Z2331+W2332-X2332-T2332-Z2331*V2332/AB2331</x:f>
        <x:v>19354.456567879548</x:v>
      </x:c>
      <x:c r="AA2332" s="32" t="n">
        <x:f>AA2331+X2332-U2332-AA2331*V2332/AB2331</x:f>
        <x:v>11386.956063258198</x:v>
      </x:c>
      <x:c r="AB2332" s="10" t="n">
        <x:f>Y2332+Z2332+AA2332</x:f>
        <x:v>45047.59802873172</x:v>
      </x:c>
      <x:c r="AC2332" s="8" t="n">
        <x:f>IF(AND(v01_WinterTrigger=1,D2332=1,AB2331/AE2331&gt;=K2332),1,0)</x:f>
        <x:v>0</x:v>
      </x:c>
      <x:c r="AD2332" s="8" t="n">
        <x:f>H2332*IF(AND(OR(AB2331/AE2331&gt;=v01_FissionTrigger*N2332,AC2332=1),AB2331/AE2331*v01_DaughterShare&gt;=v01_MinDaughter),MAX(1,ROUND(AE2331*v01_FissionRate,0)),0)</x:f>
        <x:v>0</x:v>
      </x:c>
      <x:c r="AE2332" s="8" t="n">
        <x:f>IF(H2332=1,MAX(1,MIN(INDEX(v01_Smax,G2332),AE2331+AD2332)),AE2331)</x:f>
        <x:v>15</x:v>
      </x:c>
      <x:c r="AF2332" s="8" t="n">
        <x:f>MAX(0,AE2332-AE2331)</x:f>
        <x:v>0</x:v>
      </x:c>
      <x:c r="AG2332" s="9" t="str">
        <x:f>IF(AF2332&gt;0,B2332,"")</x:f>
      </x:c>
      <x:c r="AH2332" s="9" t="n">
        <x:f>IF(F2332&gt;=1,1,(1+v01_LowTiesShare*(AE2332-1))/AE2332)</x:f>
        <x:v>1</x:v>
      </x:c>
      <x:c r="AI2332" s="32" t="n">
        <x:f>(Z2332+v01_ElderCommons*INDEX(LM_Elder,G2332)*AA2332)*AH2332</x:f>
        <x:v>64139.732591141874</x:v>
      </x:c>
      <x:c r="AJ2332" s="32" t="n">
        <x:f>H2332*v01_CommonsCoef*AI2332^v01_CommonsExp*INDEX(LM_Commons,G2332)</x:f>
        <x:v>0</x:v>
      </x:c>
      <x:c r="AK2332" s="32" t="n">
        <x:f>H2332*v01_RoleScale*Arch_Roles*(AE2332*(INDEX(v01_ElderRolePerSett,G2332)*v01_OutElder*INDEX(LM_Elder,G2332)+INDEX(v01_ShamanPerSett,G2332)*v01_OutShaman)+Z2332*(INDEX(v01_PriestShare,G2332)*v01_OutPriest+INDEX(v01_ScribeShare,G2332)*v01_OutScribe*INDEX(LM_Scribe,G2332)+INDEX(v01_ScholarShare,G2332)*v01_OutScholar*INDEX(LM_Scholar,G2332)+INDEX(v01_ResearcherShare,G2332)*v01_OutResearcher*INDEX(LM_Researcher,G2332)))</x:f>
        <x:v>0</x:v>
      </x:c>
      <x:c r="AL2332" s="32" t="n">
        <x:f>H2332*v01_RoleScale*Arch_Roles*AE2332*INDEX(v01_MonasteryPerSett,G2332)*v01_OutMonastery*INDEX(LM_Monastery,G2332)</x:f>
        <x:v>0</x:v>
      </x:c>
      <x:c r="AM2332" s="32" t="n">
        <x:f>(AJ2332+AK2332+AL2332)/4*INDEX(LM_All,G2332)*INDEX(v01_Boon,G2332)*Arch_Insight</x:f>
        <x:v>0</x:v>
      </x:c>
      <x:c r="AN2332" s="32" t="n">
        <x:f>H2332*(v01_KHPerAdult*Z2332+v01_KHOfCommons*AJ2332/4*INDEX(LM_All,G2332))*v01_KHUsable*Arch_KH</x:f>
        <x:v>0</x:v>
      </x:c>
      <x:c r="AO2332" s="32" t="n">
        <x:f>MIN(AP2331+AN2332,AM2332*v01_KHMaxRatio)</x:f>
        <x:v>0</x:v>
      </x:c>
      <x:c r="AP2332" s="32" t="n">
        <x:f>AP2331+AN2332-AO2332</x:f>
        <x:v>0</x:v>
      </x:c>
      <x:c r="AQ2332" s="32" t="n">
        <x:f>AM2332+AO2332</x:f>
        <x:v>0</x:v>
      </x:c>
      <x:c r="AR2332" s="10" t="n">
        <x:f>IF(H2332=1,INDEX(v01_Req,G2332),0)</x:f>
        <x:v>0</x:v>
      </x:c>
      <x:c r="AS2332" s="32" t="n">
        <x:f>IF(H2332=1,IF(E2332=1,AS2331-AR2331,AS2331)+AQ2332,0)</x:f>
        <x:v>0</x:v>
      </x:c>
      <x:c r="AT2332" s="11" t="n">
        <x:f>IF(AR2332&gt;0,MIN(1,AS2332/AR2332),1)</x:f>
        <x:v>1</x:v>
      </x:c>
      <x:c r="AU2332" s="10" t="n">
        <x:f>AB2332/INDEX(v01_RepScale,G2332)</x:f>
        <x:v>90.09519605746344</x:v>
      </x:c>
      <x:c r="AV2332" s="32" t="n">
        <x:f>AM2332*60/v01_SeasonSeconds</x:f>
        <x:v>0</x:v>
      </x:c>
    </x:row>
    <x:row r="2333">
      <x:c r="A2333" s="8" t="n">
        <x:f>A2332+1</x:f>
        <x:v>2330</x:v>
      </x:c>
      <x:c r="B2333" s="9" t="n">
        <x:f>A2333*v01_SeasonSeconds/60</x:f>
        <x:v>582.5</x:v>
      </x:c>
      <x:c r="C2333" s="9" t="n">
        <x:f>A2333/4</x:f>
        <x:v>582.5</x:v>
      </x:c>
      <x:c r="D2333" s="8" t="n">
        <x:f>IF(MOD(A2333,4)=0,1,0)</x:f>
        <x:v>0</x:v>
      </x:c>
      <x:c r="E2333" s="8" t="n">
        <x:f>IF(AND(F2332&lt;=9,AS2332&gt;=AR2332),1,0)</x:f>
        <x:v>0</x:v>
      </x:c>
      <x:c r="F2333" s="8" t="n">
        <x:f>MIN(10,F2332+E2333)</x:f>
        <x:v>10</x:v>
      </x:c>
      <x:c r="G2333" s="8" t="n">
        <x:f>MIN(F2333,9)+1</x:f>
        <x:v>10</x:v>
      </x:c>
      <x:c r="H2333" s="8" t="n">
        <x:f>IF(F2333&lt;=9,1,0)</x:f>
        <x:v>0</x:v>
      </x:c>
      <x:c r="I2333" s="9" t="n">
        <x:f>MIN(10,F2332+IF(AR2332&gt;0,MIN(1,AS2332/AR2332),1))</x:f>
        <x:v>10</x:v>
      </x:c>
      <x:c r="J2333" s="32" t="n">
        <x:f>INDEX(v01_FoodCap,G2333)*Arch_FoodCap*EXP(v01_CapsByProject*SUMPRODUCT((Cap_Point&lt;=I2333)*(Cap_Kind="Food")*Cap_Ln))</x:f>
        <x:v>12000</x:v>
      </x:c>
      <x:c r="K2333" s="32" t="n">
        <x:f>J2333*MIN(1,v01_LeanBase*EXP(v01_CapsByProject*SUMPRODUCT((Cap_Point&lt;=I2333)*(Cap_Kind="Lean")*Cap_Ln)))</x:f>
        <x:v>12000</x:v>
      </x:c>
      <x:c r="L2333" s="10" t="n">
        <x:f>INDEX(v01_HousingCap,G2333)*EXP(v01_CapsByProject*SUMPRODUCT((Cap_Point&lt;=I2333)*(Cap_Kind="Housing")*Cap_Ln))</x:f>
        <x:v>20000</x:v>
      </x:c>
      <x:c r="M2333" s="10" t="n">
        <x:f>INDEX(v01_GroupCap,G2333)*v01_CohesionFactor*EXP(v01_CapsByProject*SUMPRODUCT((Cap_Point&lt;=I2333)*(Cap_Kind="Group")*Cap_Ln))</x:f>
        <x:v>1000000</x:v>
      </x:c>
      <x:c r="N2333" s="32" t="n">
        <x:f>MIN(J2333,L2333,M2333)</x:f>
        <x:v>12000</x:v>
      </x:c>
      <x:c r="O2333" s="10" t="n">
        <x:f>AE2332*N2333</x:f>
        <x:v>180000</x:v>
      </x:c>
      <x:c r="P2333" s="9" t="n">
        <x:f>MIN(1,(AB2332/(AE2332*IF(v01_GroupInCrowding=1,N2333,MIN(J2333,L2333))))^v01_CrowdingExp)</x:f>
        <x:v>0.00024569414295285325</x:v>
      </x:c>
      <x:c r="Q2333" s="9" t="n">
        <x:f>IF(D2333=1,INDEX(v01_WinterMult,G2333),1)</x:f>
        <x:v>1</x:v>
      </x:c>
      <x:c r="R2333" s="9" t="n">
        <x:f>H2333*Z2332*v01_WomenShare*v01_BaseFertility*INDEX(v01_FertMult,G2333)*Arch_Fertility*(1-P2333)</x:f>
        <x:v>0</x:v>
      </x:c>
      <x:c r="S2333" s="9" t="n">
        <x:f>H2333*Y2332*INDEX(v01_MortChild,G2333)/4*Q2333</x:f>
        <x:v>0</x:v>
      </x:c>
      <x:c r="T2333" s="9" t="n">
        <x:f>H2333*Z2332*INDEX(v01_MortAdult,G2333)*Arch_AdultMort/4*Q2333</x:f>
        <x:v>0</x:v>
      </x:c>
      <x:c r="U2333" s="9" t="n">
        <x:f>H2333*AA2332*INDEX(v01_MortElder,G2333)/4*Q2333</x:f>
        <x:v>0</x:v>
      </x:c>
      <x:c r="V2333" s="9" t="n">
        <x:f>H2333*MAX(0,AB2332-O2333)*v01_OvercapLoss</x:f>
        <x:v>0</x:v>
      </x:c>
      <x:c r="W2333" s="9" t="n">
        <x:f>H2333*Y2332/(v01_ChildYears*4)</x:f>
        <x:v>0</x:v>
      </x:c>
      <x:c r="X2333" s="9" t="n">
        <x:f>H2333*Z2332/(v01_AdultYears*4)</x:f>
        <x:v>0</x:v>
      </x:c>
      <x:c r="Y2333" s="32" t="n">
        <x:f>Y2332+R2333-S2333-W2333-Y2332*V2333/AB2332</x:f>
        <x:v>14306.18539759397</x:v>
      </x:c>
      <x:c r="Z2333" s="32" t="n">
        <x:f>Z2332+W2333-X2333-T2333-Z2332*V2333/AB2332</x:f>
        <x:v>19354.456567879548</x:v>
      </x:c>
      <x:c r="AA2333" s="32" t="n">
        <x:f>AA2332+X2333-U2333-AA2332*V2333/AB2332</x:f>
        <x:v>11386.956063258198</x:v>
      </x:c>
      <x:c r="AB2333" s="10" t="n">
        <x:f>Y2333+Z2333+AA2333</x:f>
        <x:v>45047.59802873172</x:v>
      </x:c>
      <x:c r="AC2333" s="8" t="n">
        <x:f>IF(AND(v01_WinterTrigger=1,D2333=1,AB2332/AE2332&gt;=K2333),1,0)</x:f>
        <x:v>0</x:v>
      </x:c>
      <x:c r="AD2333" s="8" t="n">
        <x:f>H2333*IF(AND(OR(AB2332/AE2332&gt;=v01_FissionTrigger*N2333,AC2333=1),AB2332/AE2332*v01_DaughterShare&gt;=v01_MinDaughter),MAX(1,ROUND(AE2332*v01_FissionRate,0)),0)</x:f>
        <x:v>0</x:v>
      </x:c>
      <x:c r="AE2333" s="8" t="n">
        <x:f>IF(H2333=1,MAX(1,MIN(INDEX(v01_Smax,G2333),AE2332+AD2333)),AE2332)</x:f>
        <x:v>15</x:v>
      </x:c>
      <x:c r="AF2333" s="8" t="n">
        <x:f>MAX(0,AE2333-AE2332)</x:f>
        <x:v>0</x:v>
      </x:c>
      <x:c r="AG2333" s="9" t="str">
        <x:f>IF(AF2333&gt;0,B2333,"")</x:f>
      </x:c>
      <x:c r="AH2333" s="9" t="n">
        <x:f>IF(F2333&gt;=1,1,(1+v01_LowTiesShare*(AE2333-1))/AE2333)</x:f>
        <x:v>1</x:v>
      </x:c>
      <x:c r="AI2333" s="32" t="n">
        <x:f>(Z2333+v01_ElderCommons*INDEX(LM_Elder,G2333)*AA2333)*AH2333</x:f>
        <x:v>64139.732591141874</x:v>
      </x:c>
      <x:c r="AJ2333" s="32" t="n">
        <x:f>H2333*v01_CommonsCoef*AI2333^v01_CommonsExp*INDEX(LM_Commons,G2333)</x:f>
        <x:v>0</x:v>
      </x:c>
      <x:c r="AK2333" s="32" t="n">
        <x:f>H2333*v01_RoleScale*Arch_Roles*(AE2333*(INDEX(v01_ElderRolePerSett,G2333)*v01_OutElder*INDEX(LM_Elder,G2333)+INDEX(v01_ShamanPerSett,G2333)*v01_OutShaman)+Z2333*(INDEX(v01_PriestShare,G2333)*v01_OutPriest+INDEX(v01_ScribeShare,G2333)*v01_OutScribe*INDEX(LM_Scribe,G2333)+INDEX(v01_ScholarShare,G2333)*v01_OutScholar*INDEX(LM_Scholar,G2333)+INDEX(v01_ResearcherShare,G2333)*v01_OutResearcher*INDEX(LM_Researcher,G2333)))</x:f>
        <x:v>0</x:v>
      </x:c>
      <x:c r="AL2333" s="32" t="n">
        <x:f>H2333*v01_RoleScale*Arch_Roles*AE2333*INDEX(v01_MonasteryPerSett,G2333)*v01_OutMonastery*INDEX(LM_Monastery,G2333)</x:f>
        <x:v>0</x:v>
      </x:c>
      <x:c r="AM2333" s="32" t="n">
        <x:f>(AJ2333+AK2333+AL2333)/4*INDEX(LM_All,G2333)*INDEX(v01_Boon,G2333)*Arch_Insight</x:f>
        <x:v>0</x:v>
      </x:c>
      <x:c r="AN2333" s="32" t="n">
        <x:f>H2333*(v01_KHPerAdult*Z2333+v01_KHOfCommons*AJ2333/4*INDEX(LM_All,G2333))*v01_KHUsable*Arch_KH</x:f>
        <x:v>0</x:v>
      </x:c>
      <x:c r="AO2333" s="32" t="n">
        <x:f>MIN(AP2332+AN2333,AM2333*v01_KHMaxRatio)</x:f>
        <x:v>0</x:v>
      </x:c>
      <x:c r="AP2333" s="32" t="n">
        <x:f>AP2332+AN2333-AO2333</x:f>
        <x:v>0</x:v>
      </x:c>
      <x:c r="AQ2333" s="32" t="n">
        <x:f>AM2333+AO2333</x:f>
        <x:v>0</x:v>
      </x:c>
      <x:c r="AR2333" s="10" t="n">
        <x:f>IF(H2333=1,INDEX(v01_Req,G2333),0)</x:f>
        <x:v>0</x:v>
      </x:c>
      <x:c r="AS2333" s="32" t="n">
        <x:f>IF(H2333=1,IF(E2333=1,AS2332-AR2332,AS2332)+AQ2333,0)</x:f>
        <x:v>0</x:v>
      </x:c>
      <x:c r="AT2333" s="11" t="n">
        <x:f>IF(AR2333&gt;0,MIN(1,AS2333/AR2333),1)</x:f>
        <x:v>1</x:v>
      </x:c>
      <x:c r="AU2333" s="10" t="n">
        <x:f>AB2333/INDEX(v01_RepScale,G2333)</x:f>
        <x:v>90.09519605746344</x:v>
      </x:c>
      <x:c r="AV2333" s="32" t="n">
        <x:f>AM2333*60/v01_SeasonSeconds</x:f>
        <x:v>0</x:v>
      </x:c>
    </x:row>
    <x:row r="2334">
      <x:c r="A2334" s="8" t="n">
        <x:f>A2333+1</x:f>
        <x:v>2331</x:v>
      </x:c>
      <x:c r="B2334" s="9" t="n">
        <x:f>A2334*v01_SeasonSeconds/60</x:f>
        <x:v>582.75</x:v>
      </x:c>
      <x:c r="C2334" s="9" t="n">
        <x:f>A2334/4</x:f>
        <x:v>582.75</x:v>
      </x:c>
      <x:c r="D2334" s="8" t="n">
        <x:f>IF(MOD(A2334,4)=0,1,0)</x:f>
        <x:v>0</x:v>
      </x:c>
      <x:c r="E2334" s="8" t="n">
        <x:f>IF(AND(F2333&lt;=9,AS2333&gt;=AR2333),1,0)</x:f>
        <x:v>0</x:v>
      </x:c>
      <x:c r="F2334" s="8" t="n">
        <x:f>MIN(10,F2333+E2334)</x:f>
        <x:v>10</x:v>
      </x:c>
      <x:c r="G2334" s="8" t="n">
        <x:f>MIN(F2334,9)+1</x:f>
        <x:v>10</x:v>
      </x:c>
      <x:c r="H2334" s="8" t="n">
        <x:f>IF(F2334&lt;=9,1,0)</x:f>
        <x:v>0</x:v>
      </x:c>
      <x:c r="I2334" s="9" t="n">
        <x:f>MIN(10,F2333+IF(AR2333&gt;0,MIN(1,AS2333/AR2333),1))</x:f>
        <x:v>10</x:v>
      </x:c>
      <x:c r="J2334" s="32" t="n">
        <x:f>INDEX(v01_FoodCap,G2334)*Arch_FoodCap*EXP(v01_CapsByProject*SUMPRODUCT((Cap_Point&lt;=I2334)*(Cap_Kind="Food")*Cap_Ln))</x:f>
        <x:v>12000</x:v>
      </x:c>
      <x:c r="K2334" s="32" t="n">
        <x:f>J2334*MIN(1,v01_LeanBase*EXP(v01_CapsByProject*SUMPRODUCT((Cap_Point&lt;=I2334)*(Cap_Kind="Lean")*Cap_Ln)))</x:f>
        <x:v>12000</x:v>
      </x:c>
      <x:c r="L2334" s="10" t="n">
        <x:f>INDEX(v01_HousingCap,G2334)*EXP(v01_CapsByProject*SUMPRODUCT((Cap_Point&lt;=I2334)*(Cap_Kind="Housing")*Cap_Ln))</x:f>
        <x:v>20000</x:v>
      </x:c>
      <x:c r="M2334" s="10" t="n">
        <x:f>INDEX(v01_GroupCap,G2334)*v01_CohesionFactor*EXP(v01_CapsByProject*SUMPRODUCT((Cap_Point&lt;=I2334)*(Cap_Kind="Group")*Cap_Ln))</x:f>
        <x:v>1000000</x:v>
      </x:c>
      <x:c r="N2334" s="32" t="n">
        <x:f>MIN(J2334,L2334,M2334)</x:f>
        <x:v>12000</x:v>
      </x:c>
      <x:c r="O2334" s="10" t="n">
        <x:f>AE2333*N2334</x:f>
        <x:v>180000</x:v>
      </x:c>
      <x:c r="P2334" s="9" t="n">
        <x:f>MIN(1,(AB2333/(AE2333*IF(v01_GroupInCrowding=1,N2334,MIN(J2334,L2334))))^v01_CrowdingExp)</x:f>
        <x:v>0.00024569414295285325</x:v>
      </x:c>
      <x:c r="Q2334" s="9" t="n">
        <x:f>IF(D2334=1,INDEX(v01_WinterMult,G2334),1)</x:f>
        <x:v>1</x:v>
      </x:c>
      <x:c r="R2334" s="9" t="n">
        <x:f>H2334*Z2333*v01_WomenShare*v01_BaseFertility*INDEX(v01_FertMult,G2334)*Arch_Fertility*(1-P2334)</x:f>
        <x:v>0</x:v>
      </x:c>
      <x:c r="S2334" s="9" t="n">
        <x:f>H2334*Y2333*INDEX(v01_MortChild,G2334)/4*Q2334</x:f>
        <x:v>0</x:v>
      </x:c>
      <x:c r="T2334" s="9" t="n">
        <x:f>H2334*Z2333*INDEX(v01_MortAdult,G2334)*Arch_AdultMort/4*Q2334</x:f>
        <x:v>0</x:v>
      </x:c>
      <x:c r="U2334" s="9" t="n">
        <x:f>H2334*AA2333*INDEX(v01_MortElder,G2334)/4*Q2334</x:f>
        <x:v>0</x:v>
      </x:c>
      <x:c r="V2334" s="9" t="n">
        <x:f>H2334*MAX(0,AB2333-O2334)*v01_OvercapLoss</x:f>
        <x:v>0</x:v>
      </x:c>
      <x:c r="W2334" s="9" t="n">
        <x:f>H2334*Y2333/(v01_ChildYears*4)</x:f>
        <x:v>0</x:v>
      </x:c>
      <x:c r="X2334" s="9" t="n">
        <x:f>H2334*Z2333/(v01_AdultYears*4)</x:f>
        <x:v>0</x:v>
      </x:c>
      <x:c r="Y2334" s="32" t="n">
        <x:f>Y2333+R2334-S2334-W2334-Y2333*V2334/AB2333</x:f>
        <x:v>14306.18539759397</x:v>
      </x:c>
      <x:c r="Z2334" s="32" t="n">
        <x:f>Z2333+W2334-X2334-T2334-Z2333*V2334/AB2333</x:f>
        <x:v>19354.456567879548</x:v>
      </x:c>
      <x:c r="AA2334" s="32" t="n">
        <x:f>AA2333+X2334-U2334-AA2333*V2334/AB2333</x:f>
        <x:v>11386.956063258198</x:v>
      </x:c>
      <x:c r="AB2334" s="10" t="n">
        <x:f>Y2334+Z2334+AA2334</x:f>
        <x:v>45047.59802873172</x:v>
      </x:c>
      <x:c r="AC2334" s="8" t="n">
        <x:f>IF(AND(v01_WinterTrigger=1,D2334=1,AB2333/AE2333&gt;=K2334),1,0)</x:f>
        <x:v>0</x:v>
      </x:c>
      <x:c r="AD2334" s="8" t="n">
        <x:f>H2334*IF(AND(OR(AB2333/AE2333&gt;=v01_FissionTrigger*N2334,AC2334=1),AB2333/AE2333*v01_DaughterShare&gt;=v01_MinDaughter),MAX(1,ROUND(AE2333*v01_FissionRate,0)),0)</x:f>
        <x:v>0</x:v>
      </x:c>
      <x:c r="AE2334" s="8" t="n">
        <x:f>IF(H2334=1,MAX(1,MIN(INDEX(v01_Smax,G2334),AE2333+AD2334)),AE2333)</x:f>
        <x:v>15</x:v>
      </x:c>
      <x:c r="AF2334" s="8" t="n">
        <x:f>MAX(0,AE2334-AE2333)</x:f>
        <x:v>0</x:v>
      </x:c>
      <x:c r="AG2334" s="9" t="str">
        <x:f>IF(AF2334&gt;0,B2334,"")</x:f>
      </x:c>
      <x:c r="AH2334" s="9" t="n">
        <x:f>IF(F2334&gt;=1,1,(1+v01_LowTiesShare*(AE2334-1))/AE2334)</x:f>
        <x:v>1</x:v>
      </x:c>
      <x:c r="AI2334" s="32" t="n">
        <x:f>(Z2334+v01_ElderCommons*INDEX(LM_Elder,G2334)*AA2334)*AH2334</x:f>
        <x:v>64139.732591141874</x:v>
      </x:c>
      <x:c r="AJ2334" s="32" t="n">
        <x:f>H2334*v01_CommonsCoef*AI2334^v01_CommonsExp*INDEX(LM_Commons,G2334)</x:f>
        <x:v>0</x:v>
      </x:c>
      <x:c r="AK2334" s="32" t="n">
        <x:f>H2334*v01_RoleScale*Arch_Roles*(AE2334*(INDEX(v01_ElderRolePerSett,G2334)*v01_OutElder*INDEX(LM_Elder,G2334)+INDEX(v01_ShamanPerSett,G2334)*v01_OutShaman)+Z2334*(INDEX(v01_PriestShare,G2334)*v01_OutPriest+INDEX(v01_ScribeShare,G2334)*v01_OutScribe*INDEX(LM_Scribe,G2334)+INDEX(v01_ScholarShare,G2334)*v01_OutScholar*INDEX(LM_Scholar,G2334)+INDEX(v01_ResearcherShare,G2334)*v01_OutResearcher*INDEX(LM_Researcher,G2334)))</x:f>
        <x:v>0</x:v>
      </x:c>
      <x:c r="AL2334" s="32" t="n">
        <x:f>H2334*v01_RoleScale*Arch_Roles*AE2334*INDEX(v01_MonasteryPerSett,G2334)*v01_OutMonastery*INDEX(LM_Monastery,G2334)</x:f>
        <x:v>0</x:v>
      </x:c>
      <x:c r="AM2334" s="32" t="n">
        <x:f>(AJ2334+AK2334+AL2334)/4*INDEX(LM_All,G2334)*INDEX(v01_Boon,G2334)*Arch_Insight</x:f>
        <x:v>0</x:v>
      </x:c>
      <x:c r="AN2334" s="32" t="n">
        <x:f>H2334*(v01_KHPerAdult*Z2334+v01_KHOfCommons*AJ2334/4*INDEX(LM_All,G2334))*v01_KHUsable*Arch_KH</x:f>
        <x:v>0</x:v>
      </x:c>
      <x:c r="AO2334" s="32" t="n">
        <x:f>MIN(AP2333+AN2334,AM2334*v01_KHMaxRatio)</x:f>
        <x:v>0</x:v>
      </x:c>
      <x:c r="AP2334" s="32" t="n">
        <x:f>AP2333+AN2334-AO2334</x:f>
        <x:v>0</x:v>
      </x:c>
      <x:c r="AQ2334" s="32" t="n">
        <x:f>AM2334+AO2334</x:f>
        <x:v>0</x:v>
      </x:c>
      <x:c r="AR2334" s="10" t="n">
        <x:f>IF(H2334=1,INDEX(v01_Req,G2334),0)</x:f>
        <x:v>0</x:v>
      </x:c>
      <x:c r="AS2334" s="32" t="n">
        <x:f>IF(H2334=1,IF(E2334=1,AS2333-AR2333,AS2333)+AQ2334,0)</x:f>
        <x:v>0</x:v>
      </x:c>
      <x:c r="AT2334" s="11" t="n">
        <x:f>IF(AR2334&gt;0,MIN(1,AS2334/AR2334),1)</x:f>
        <x:v>1</x:v>
      </x:c>
      <x:c r="AU2334" s="10" t="n">
        <x:f>AB2334/INDEX(v01_RepScale,G2334)</x:f>
        <x:v>90.09519605746344</x:v>
      </x:c>
      <x:c r="AV2334" s="32" t="n">
        <x:f>AM2334*60/v01_SeasonSeconds</x:f>
        <x:v>0</x:v>
      </x:c>
    </x:row>
    <x:row r="2335">
      <x:c r="A2335" s="8" t="n">
        <x:f>A2334+1</x:f>
        <x:v>2332</x:v>
      </x:c>
      <x:c r="B2335" s="9" t="n">
        <x:f>A2335*v01_SeasonSeconds/60</x:f>
        <x:v>583</x:v>
      </x:c>
      <x:c r="C2335" s="9" t="n">
        <x:f>A2335/4</x:f>
        <x:v>583</x:v>
      </x:c>
      <x:c r="D2335" s="8" t="n">
        <x:f>IF(MOD(A2335,4)=0,1,0)</x:f>
        <x:v>1</x:v>
      </x:c>
      <x:c r="E2335" s="8" t="n">
        <x:f>IF(AND(F2334&lt;=9,AS2334&gt;=AR2334),1,0)</x:f>
        <x:v>0</x:v>
      </x:c>
      <x:c r="F2335" s="8" t="n">
        <x:f>MIN(10,F2334+E2335)</x:f>
        <x:v>10</x:v>
      </x:c>
      <x:c r="G2335" s="8" t="n">
        <x:f>MIN(F2335,9)+1</x:f>
        <x:v>10</x:v>
      </x:c>
      <x:c r="H2335" s="8" t="n">
        <x:f>IF(F2335&lt;=9,1,0)</x:f>
        <x:v>0</x:v>
      </x:c>
      <x:c r="I2335" s="9" t="n">
        <x:f>MIN(10,F2334+IF(AR2334&gt;0,MIN(1,AS2334/AR2334),1))</x:f>
        <x:v>10</x:v>
      </x:c>
      <x:c r="J2335" s="32" t="n">
        <x:f>INDEX(v01_FoodCap,G2335)*Arch_FoodCap*EXP(v01_CapsByProject*SUMPRODUCT((Cap_Point&lt;=I2335)*(Cap_Kind="Food")*Cap_Ln))</x:f>
        <x:v>12000</x:v>
      </x:c>
      <x:c r="K2335" s="32" t="n">
        <x:f>J2335*MIN(1,v01_LeanBase*EXP(v01_CapsByProject*SUMPRODUCT((Cap_Point&lt;=I2335)*(Cap_Kind="Lean")*Cap_Ln)))</x:f>
        <x:v>12000</x:v>
      </x:c>
      <x:c r="L2335" s="10" t="n">
        <x:f>INDEX(v01_HousingCap,G2335)*EXP(v01_CapsByProject*SUMPRODUCT((Cap_Point&lt;=I2335)*(Cap_Kind="Housing")*Cap_Ln))</x:f>
        <x:v>20000</x:v>
      </x:c>
      <x:c r="M2335" s="10" t="n">
        <x:f>INDEX(v01_GroupCap,G2335)*v01_CohesionFactor*EXP(v01_CapsByProject*SUMPRODUCT((Cap_Point&lt;=I2335)*(Cap_Kind="Group")*Cap_Ln))</x:f>
        <x:v>1000000</x:v>
      </x:c>
      <x:c r="N2335" s="32" t="n">
        <x:f>MIN(J2335,L2335,M2335)</x:f>
        <x:v>12000</x:v>
      </x:c>
      <x:c r="O2335" s="10" t="n">
        <x:f>AE2334*N2335</x:f>
        <x:v>180000</x:v>
      </x:c>
      <x:c r="P2335" s="9" t="n">
        <x:f>MIN(1,(AB2334/(AE2334*IF(v01_GroupInCrowding=1,N2335,MIN(J2335,L2335))))^v01_CrowdingExp)</x:f>
        <x:v>0.00024569414295285325</x:v>
      </x:c>
      <x:c r="Q2335" s="9" t="n">
        <x:f>IF(D2335=1,INDEX(v01_WinterMult,G2335),1)</x:f>
        <x:v>1</x:v>
      </x:c>
      <x:c r="R2335" s="9" t="n">
        <x:f>H2335*Z2334*v01_WomenShare*v01_BaseFertility*INDEX(v01_FertMult,G2335)*Arch_Fertility*(1-P2335)</x:f>
        <x:v>0</x:v>
      </x:c>
      <x:c r="S2335" s="9" t="n">
        <x:f>H2335*Y2334*INDEX(v01_MortChild,G2335)/4*Q2335</x:f>
        <x:v>0</x:v>
      </x:c>
      <x:c r="T2335" s="9" t="n">
        <x:f>H2335*Z2334*INDEX(v01_MortAdult,G2335)*Arch_AdultMort/4*Q2335</x:f>
        <x:v>0</x:v>
      </x:c>
      <x:c r="U2335" s="9" t="n">
        <x:f>H2335*AA2334*INDEX(v01_MortElder,G2335)/4*Q2335</x:f>
        <x:v>0</x:v>
      </x:c>
      <x:c r="V2335" s="9" t="n">
        <x:f>H2335*MAX(0,AB2334-O2335)*v01_OvercapLoss</x:f>
        <x:v>0</x:v>
      </x:c>
      <x:c r="W2335" s="9" t="n">
        <x:f>H2335*Y2334/(v01_ChildYears*4)</x:f>
        <x:v>0</x:v>
      </x:c>
      <x:c r="X2335" s="9" t="n">
        <x:f>H2335*Z2334/(v01_AdultYears*4)</x:f>
        <x:v>0</x:v>
      </x:c>
      <x:c r="Y2335" s="32" t="n">
        <x:f>Y2334+R2335-S2335-W2335-Y2334*V2335/AB2334</x:f>
        <x:v>14306.18539759397</x:v>
      </x:c>
      <x:c r="Z2335" s="32" t="n">
        <x:f>Z2334+W2335-X2335-T2335-Z2334*V2335/AB2334</x:f>
        <x:v>19354.456567879548</x:v>
      </x:c>
      <x:c r="AA2335" s="32" t="n">
        <x:f>AA2334+X2335-U2335-AA2334*V2335/AB2334</x:f>
        <x:v>11386.956063258198</x:v>
      </x:c>
      <x:c r="AB2335" s="10" t="n">
        <x:f>Y2335+Z2335+AA2335</x:f>
        <x:v>45047.59802873172</x:v>
      </x:c>
      <x:c r="AC2335" s="8" t="n">
        <x:f>IF(AND(v01_WinterTrigger=1,D2335=1,AB2334/AE2334&gt;=K2335),1,0)</x:f>
        <x:v>0</x:v>
      </x:c>
      <x:c r="AD2335" s="8" t="n">
        <x:f>H2335*IF(AND(OR(AB2334/AE2334&gt;=v01_FissionTrigger*N2335,AC2335=1),AB2334/AE2334*v01_DaughterShare&gt;=v01_MinDaughter),MAX(1,ROUND(AE2334*v01_FissionRate,0)),0)</x:f>
        <x:v>0</x:v>
      </x:c>
      <x:c r="AE2335" s="8" t="n">
        <x:f>IF(H2335=1,MAX(1,MIN(INDEX(v01_Smax,G2335),AE2334+AD2335)),AE2334)</x:f>
        <x:v>15</x:v>
      </x:c>
      <x:c r="AF2335" s="8" t="n">
        <x:f>MAX(0,AE2335-AE2334)</x:f>
        <x:v>0</x:v>
      </x:c>
      <x:c r="AG2335" s="9" t="str">
        <x:f>IF(AF2335&gt;0,B2335,"")</x:f>
      </x:c>
      <x:c r="AH2335" s="9" t="n">
        <x:f>IF(F2335&gt;=1,1,(1+v01_LowTiesShare*(AE2335-1))/AE2335)</x:f>
        <x:v>1</x:v>
      </x:c>
      <x:c r="AI2335" s="32" t="n">
        <x:f>(Z2335+v01_ElderCommons*INDEX(LM_Elder,G2335)*AA2335)*AH2335</x:f>
        <x:v>64139.732591141874</x:v>
      </x:c>
      <x:c r="AJ2335" s="32" t="n">
        <x:f>H2335*v01_CommonsCoef*AI2335^v01_CommonsExp*INDEX(LM_Commons,G2335)</x:f>
        <x:v>0</x:v>
      </x:c>
      <x:c r="AK2335" s="32" t="n">
        <x:f>H2335*v01_RoleScale*Arch_Roles*(AE2335*(INDEX(v01_ElderRolePerSett,G2335)*v01_OutElder*INDEX(LM_Elder,G2335)+INDEX(v01_ShamanPerSett,G2335)*v01_OutShaman)+Z2335*(INDEX(v01_PriestShare,G2335)*v01_OutPriest+INDEX(v01_ScribeShare,G2335)*v01_OutScribe*INDEX(LM_Scribe,G2335)+INDEX(v01_ScholarShare,G2335)*v01_OutScholar*INDEX(LM_Scholar,G2335)+INDEX(v01_ResearcherShare,G2335)*v01_OutResearcher*INDEX(LM_Researcher,G2335)))</x:f>
        <x:v>0</x:v>
      </x:c>
      <x:c r="AL2335" s="32" t="n">
        <x:f>H2335*v01_RoleScale*Arch_Roles*AE2335*INDEX(v01_MonasteryPerSett,G2335)*v01_OutMonastery*INDEX(LM_Monastery,G2335)</x:f>
        <x:v>0</x:v>
      </x:c>
      <x:c r="AM2335" s="32" t="n">
        <x:f>(AJ2335+AK2335+AL2335)/4*INDEX(LM_All,G2335)*INDEX(v01_Boon,G2335)*Arch_Insight</x:f>
        <x:v>0</x:v>
      </x:c>
      <x:c r="AN2335" s="32" t="n">
        <x:f>H2335*(v01_KHPerAdult*Z2335+v01_KHOfCommons*AJ2335/4*INDEX(LM_All,G2335))*v01_KHUsable*Arch_KH</x:f>
        <x:v>0</x:v>
      </x:c>
      <x:c r="AO2335" s="32" t="n">
        <x:f>MIN(AP2334+AN2335,AM2335*v01_KHMaxRatio)</x:f>
        <x:v>0</x:v>
      </x:c>
      <x:c r="AP2335" s="32" t="n">
        <x:f>AP2334+AN2335-AO2335</x:f>
        <x:v>0</x:v>
      </x:c>
      <x:c r="AQ2335" s="32" t="n">
        <x:f>AM2335+AO2335</x:f>
        <x:v>0</x:v>
      </x:c>
      <x:c r="AR2335" s="10" t="n">
        <x:f>IF(H2335=1,INDEX(v01_Req,G2335),0)</x:f>
        <x:v>0</x:v>
      </x:c>
      <x:c r="AS2335" s="32" t="n">
        <x:f>IF(H2335=1,IF(E2335=1,AS2334-AR2334,AS2334)+AQ2335,0)</x:f>
        <x:v>0</x:v>
      </x:c>
      <x:c r="AT2335" s="11" t="n">
        <x:f>IF(AR2335&gt;0,MIN(1,AS2335/AR2335),1)</x:f>
        <x:v>1</x:v>
      </x:c>
      <x:c r="AU2335" s="10" t="n">
        <x:f>AB2335/INDEX(v01_RepScale,G2335)</x:f>
        <x:v>90.09519605746344</x:v>
      </x:c>
      <x:c r="AV2335" s="32" t="n">
        <x:f>AM2335*60/v01_SeasonSeconds</x:f>
        <x:v>0</x:v>
      </x:c>
    </x:row>
    <x:row r="2336">
      <x:c r="A2336" s="8" t="n">
        <x:f>A2335+1</x:f>
        <x:v>2333</x:v>
      </x:c>
      <x:c r="B2336" s="9" t="n">
        <x:f>A2336*v01_SeasonSeconds/60</x:f>
        <x:v>583.25</x:v>
      </x:c>
      <x:c r="C2336" s="9" t="n">
        <x:f>A2336/4</x:f>
        <x:v>583.25</x:v>
      </x:c>
      <x:c r="D2336" s="8" t="n">
        <x:f>IF(MOD(A2336,4)=0,1,0)</x:f>
        <x:v>0</x:v>
      </x:c>
      <x:c r="E2336" s="8" t="n">
        <x:f>IF(AND(F2335&lt;=9,AS2335&gt;=AR2335),1,0)</x:f>
        <x:v>0</x:v>
      </x:c>
      <x:c r="F2336" s="8" t="n">
        <x:f>MIN(10,F2335+E2336)</x:f>
        <x:v>10</x:v>
      </x:c>
      <x:c r="G2336" s="8" t="n">
        <x:f>MIN(F2336,9)+1</x:f>
        <x:v>10</x:v>
      </x:c>
      <x:c r="H2336" s="8" t="n">
        <x:f>IF(F2336&lt;=9,1,0)</x:f>
        <x:v>0</x:v>
      </x:c>
      <x:c r="I2336" s="9" t="n">
        <x:f>MIN(10,F2335+IF(AR2335&gt;0,MIN(1,AS2335/AR2335),1))</x:f>
        <x:v>10</x:v>
      </x:c>
      <x:c r="J2336" s="32" t="n">
        <x:f>INDEX(v01_FoodCap,G2336)*Arch_FoodCap*EXP(v01_CapsByProject*SUMPRODUCT((Cap_Point&lt;=I2336)*(Cap_Kind="Food")*Cap_Ln))</x:f>
        <x:v>12000</x:v>
      </x:c>
      <x:c r="K2336" s="32" t="n">
        <x:f>J2336*MIN(1,v01_LeanBase*EXP(v01_CapsByProject*SUMPRODUCT((Cap_Point&lt;=I2336)*(Cap_Kind="Lean")*Cap_Ln)))</x:f>
        <x:v>12000</x:v>
      </x:c>
      <x:c r="L2336" s="10" t="n">
        <x:f>INDEX(v01_HousingCap,G2336)*EXP(v01_CapsByProject*SUMPRODUCT((Cap_Point&lt;=I2336)*(Cap_Kind="Housing")*Cap_Ln))</x:f>
        <x:v>20000</x:v>
      </x:c>
      <x:c r="M2336" s="10" t="n">
        <x:f>INDEX(v01_GroupCap,G2336)*v01_CohesionFactor*EXP(v01_CapsByProject*SUMPRODUCT((Cap_Point&lt;=I2336)*(Cap_Kind="Group")*Cap_Ln))</x:f>
        <x:v>1000000</x:v>
      </x:c>
      <x:c r="N2336" s="32" t="n">
        <x:f>MIN(J2336,L2336,M2336)</x:f>
        <x:v>12000</x:v>
      </x:c>
      <x:c r="O2336" s="10" t="n">
        <x:f>AE2335*N2336</x:f>
        <x:v>180000</x:v>
      </x:c>
      <x:c r="P2336" s="9" t="n">
        <x:f>MIN(1,(AB2335/(AE2335*IF(v01_GroupInCrowding=1,N2336,MIN(J2336,L2336))))^v01_CrowdingExp)</x:f>
        <x:v>0.00024569414295285325</x:v>
      </x:c>
      <x:c r="Q2336" s="9" t="n">
        <x:f>IF(D2336=1,INDEX(v01_WinterMult,G2336),1)</x:f>
        <x:v>1</x:v>
      </x:c>
      <x:c r="R2336" s="9" t="n">
        <x:f>H2336*Z2335*v01_WomenShare*v01_BaseFertility*INDEX(v01_FertMult,G2336)*Arch_Fertility*(1-P2336)</x:f>
        <x:v>0</x:v>
      </x:c>
      <x:c r="S2336" s="9" t="n">
        <x:f>H2336*Y2335*INDEX(v01_MortChild,G2336)/4*Q2336</x:f>
        <x:v>0</x:v>
      </x:c>
      <x:c r="T2336" s="9" t="n">
        <x:f>H2336*Z2335*INDEX(v01_MortAdult,G2336)*Arch_AdultMort/4*Q2336</x:f>
        <x:v>0</x:v>
      </x:c>
      <x:c r="U2336" s="9" t="n">
        <x:f>H2336*AA2335*INDEX(v01_MortElder,G2336)/4*Q2336</x:f>
        <x:v>0</x:v>
      </x:c>
      <x:c r="V2336" s="9" t="n">
        <x:f>H2336*MAX(0,AB2335-O2336)*v01_OvercapLoss</x:f>
        <x:v>0</x:v>
      </x:c>
      <x:c r="W2336" s="9" t="n">
        <x:f>H2336*Y2335/(v01_ChildYears*4)</x:f>
        <x:v>0</x:v>
      </x:c>
      <x:c r="X2336" s="9" t="n">
        <x:f>H2336*Z2335/(v01_AdultYears*4)</x:f>
        <x:v>0</x:v>
      </x:c>
      <x:c r="Y2336" s="32" t="n">
        <x:f>Y2335+R2336-S2336-W2336-Y2335*V2336/AB2335</x:f>
        <x:v>14306.18539759397</x:v>
      </x:c>
      <x:c r="Z2336" s="32" t="n">
        <x:f>Z2335+W2336-X2336-T2336-Z2335*V2336/AB2335</x:f>
        <x:v>19354.456567879548</x:v>
      </x:c>
      <x:c r="AA2336" s="32" t="n">
        <x:f>AA2335+X2336-U2336-AA2335*V2336/AB2335</x:f>
        <x:v>11386.956063258198</x:v>
      </x:c>
      <x:c r="AB2336" s="10" t="n">
        <x:f>Y2336+Z2336+AA2336</x:f>
        <x:v>45047.59802873172</x:v>
      </x:c>
      <x:c r="AC2336" s="8" t="n">
        <x:f>IF(AND(v01_WinterTrigger=1,D2336=1,AB2335/AE2335&gt;=K2336),1,0)</x:f>
        <x:v>0</x:v>
      </x:c>
      <x:c r="AD2336" s="8" t="n">
        <x:f>H2336*IF(AND(OR(AB2335/AE2335&gt;=v01_FissionTrigger*N2336,AC2336=1),AB2335/AE2335*v01_DaughterShare&gt;=v01_MinDaughter),MAX(1,ROUND(AE2335*v01_FissionRate,0)),0)</x:f>
        <x:v>0</x:v>
      </x:c>
      <x:c r="AE2336" s="8" t="n">
        <x:f>IF(H2336=1,MAX(1,MIN(INDEX(v01_Smax,G2336),AE2335+AD2336)),AE2335)</x:f>
        <x:v>15</x:v>
      </x:c>
      <x:c r="AF2336" s="8" t="n">
        <x:f>MAX(0,AE2336-AE2335)</x:f>
        <x:v>0</x:v>
      </x:c>
      <x:c r="AG2336" s="9" t="str">
        <x:f>IF(AF2336&gt;0,B2336,"")</x:f>
      </x:c>
      <x:c r="AH2336" s="9" t="n">
        <x:f>IF(F2336&gt;=1,1,(1+v01_LowTiesShare*(AE2336-1))/AE2336)</x:f>
        <x:v>1</x:v>
      </x:c>
      <x:c r="AI2336" s="32" t="n">
        <x:f>(Z2336+v01_ElderCommons*INDEX(LM_Elder,G2336)*AA2336)*AH2336</x:f>
        <x:v>64139.732591141874</x:v>
      </x:c>
      <x:c r="AJ2336" s="32" t="n">
        <x:f>H2336*v01_CommonsCoef*AI2336^v01_CommonsExp*INDEX(LM_Commons,G2336)</x:f>
        <x:v>0</x:v>
      </x:c>
      <x:c r="AK2336" s="32" t="n">
        <x:f>H2336*v01_RoleScale*Arch_Roles*(AE2336*(INDEX(v01_ElderRolePerSett,G2336)*v01_OutElder*INDEX(LM_Elder,G2336)+INDEX(v01_ShamanPerSett,G2336)*v01_OutShaman)+Z2336*(INDEX(v01_PriestShare,G2336)*v01_OutPriest+INDEX(v01_ScribeShare,G2336)*v01_OutScribe*INDEX(LM_Scribe,G2336)+INDEX(v01_ScholarShare,G2336)*v01_OutScholar*INDEX(LM_Scholar,G2336)+INDEX(v01_ResearcherShare,G2336)*v01_OutResearcher*INDEX(LM_Researcher,G2336)))</x:f>
        <x:v>0</x:v>
      </x:c>
      <x:c r="AL2336" s="32" t="n">
        <x:f>H2336*v01_RoleScale*Arch_Roles*AE2336*INDEX(v01_MonasteryPerSett,G2336)*v01_OutMonastery*INDEX(LM_Monastery,G2336)</x:f>
        <x:v>0</x:v>
      </x:c>
      <x:c r="AM2336" s="32" t="n">
        <x:f>(AJ2336+AK2336+AL2336)/4*INDEX(LM_All,G2336)*INDEX(v01_Boon,G2336)*Arch_Insight</x:f>
        <x:v>0</x:v>
      </x:c>
      <x:c r="AN2336" s="32" t="n">
        <x:f>H2336*(v01_KHPerAdult*Z2336+v01_KHOfCommons*AJ2336/4*INDEX(LM_All,G2336))*v01_KHUsable*Arch_KH</x:f>
        <x:v>0</x:v>
      </x:c>
      <x:c r="AO2336" s="32" t="n">
        <x:f>MIN(AP2335+AN2336,AM2336*v01_KHMaxRatio)</x:f>
        <x:v>0</x:v>
      </x:c>
      <x:c r="AP2336" s="32" t="n">
        <x:f>AP2335+AN2336-AO2336</x:f>
        <x:v>0</x:v>
      </x:c>
      <x:c r="AQ2336" s="32" t="n">
        <x:f>AM2336+AO2336</x:f>
        <x:v>0</x:v>
      </x:c>
      <x:c r="AR2336" s="10" t="n">
        <x:f>IF(H2336=1,INDEX(v01_Req,G2336),0)</x:f>
        <x:v>0</x:v>
      </x:c>
      <x:c r="AS2336" s="32" t="n">
        <x:f>IF(H2336=1,IF(E2336=1,AS2335-AR2335,AS2335)+AQ2336,0)</x:f>
        <x:v>0</x:v>
      </x:c>
      <x:c r="AT2336" s="11" t="n">
        <x:f>IF(AR2336&gt;0,MIN(1,AS2336/AR2336),1)</x:f>
        <x:v>1</x:v>
      </x:c>
      <x:c r="AU2336" s="10" t="n">
        <x:f>AB2336/INDEX(v01_RepScale,G2336)</x:f>
        <x:v>90.09519605746344</x:v>
      </x:c>
      <x:c r="AV2336" s="32" t="n">
        <x:f>AM2336*60/v01_SeasonSeconds</x:f>
        <x:v>0</x:v>
      </x:c>
    </x:row>
    <x:row r="2337">
      <x:c r="A2337" s="8" t="n">
        <x:f>A2336+1</x:f>
        <x:v>2334</x:v>
      </x:c>
      <x:c r="B2337" s="9" t="n">
        <x:f>A2337*v01_SeasonSeconds/60</x:f>
        <x:v>583.5</x:v>
      </x:c>
      <x:c r="C2337" s="9" t="n">
        <x:f>A2337/4</x:f>
        <x:v>583.5</x:v>
      </x:c>
      <x:c r="D2337" s="8" t="n">
        <x:f>IF(MOD(A2337,4)=0,1,0)</x:f>
        <x:v>0</x:v>
      </x:c>
      <x:c r="E2337" s="8" t="n">
        <x:f>IF(AND(F2336&lt;=9,AS2336&gt;=AR2336),1,0)</x:f>
        <x:v>0</x:v>
      </x:c>
      <x:c r="F2337" s="8" t="n">
        <x:f>MIN(10,F2336+E2337)</x:f>
        <x:v>10</x:v>
      </x:c>
      <x:c r="G2337" s="8" t="n">
        <x:f>MIN(F2337,9)+1</x:f>
        <x:v>10</x:v>
      </x:c>
      <x:c r="H2337" s="8" t="n">
        <x:f>IF(F2337&lt;=9,1,0)</x:f>
        <x:v>0</x:v>
      </x:c>
      <x:c r="I2337" s="9" t="n">
        <x:f>MIN(10,F2336+IF(AR2336&gt;0,MIN(1,AS2336/AR2336),1))</x:f>
        <x:v>10</x:v>
      </x:c>
      <x:c r="J2337" s="32" t="n">
        <x:f>INDEX(v01_FoodCap,G2337)*Arch_FoodCap*EXP(v01_CapsByProject*SUMPRODUCT((Cap_Point&lt;=I2337)*(Cap_Kind="Food")*Cap_Ln))</x:f>
        <x:v>12000</x:v>
      </x:c>
      <x:c r="K2337" s="32" t="n">
        <x:f>J2337*MIN(1,v01_LeanBase*EXP(v01_CapsByProject*SUMPRODUCT((Cap_Point&lt;=I2337)*(Cap_Kind="Lean")*Cap_Ln)))</x:f>
        <x:v>12000</x:v>
      </x:c>
      <x:c r="L2337" s="10" t="n">
        <x:f>INDEX(v01_HousingCap,G2337)*EXP(v01_CapsByProject*SUMPRODUCT((Cap_Point&lt;=I2337)*(Cap_Kind="Housing")*Cap_Ln))</x:f>
        <x:v>20000</x:v>
      </x:c>
      <x:c r="M2337" s="10" t="n">
        <x:f>INDEX(v01_GroupCap,G2337)*v01_CohesionFactor*EXP(v01_CapsByProject*SUMPRODUCT((Cap_Point&lt;=I2337)*(Cap_Kind="Group")*Cap_Ln))</x:f>
        <x:v>1000000</x:v>
      </x:c>
      <x:c r="N2337" s="32" t="n">
        <x:f>MIN(J2337,L2337,M2337)</x:f>
        <x:v>12000</x:v>
      </x:c>
      <x:c r="O2337" s="10" t="n">
        <x:f>AE2336*N2337</x:f>
        <x:v>180000</x:v>
      </x:c>
      <x:c r="P2337" s="9" t="n">
        <x:f>MIN(1,(AB2336/(AE2336*IF(v01_GroupInCrowding=1,N2337,MIN(J2337,L2337))))^v01_CrowdingExp)</x:f>
        <x:v>0.00024569414295285325</x:v>
      </x:c>
      <x:c r="Q2337" s="9" t="n">
        <x:f>IF(D2337=1,INDEX(v01_WinterMult,G2337),1)</x:f>
        <x:v>1</x:v>
      </x:c>
      <x:c r="R2337" s="9" t="n">
        <x:f>H2337*Z2336*v01_WomenShare*v01_BaseFertility*INDEX(v01_FertMult,G2337)*Arch_Fertility*(1-P2337)</x:f>
        <x:v>0</x:v>
      </x:c>
      <x:c r="S2337" s="9" t="n">
        <x:f>H2337*Y2336*INDEX(v01_MortChild,G2337)/4*Q2337</x:f>
        <x:v>0</x:v>
      </x:c>
      <x:c r="T2337" s="9" t="n">
        <x:f>H2337*Z2336*INDEX(v01_MortAdult,G2337)*Arch_AdultMort/4*Q2337</x:f>
        <x:v>0</x:v>
      </x:c>
      <x:c r="U2337" s="9" t="n">
        <x:f>H2337*AA2336*INDEX(v01_MortElder,G2337)/4*Q2337</x:f>
        <x:v>0</x:v>
      </x:c>
      <x:c r="V2337" s="9" t="n">
        <x:f>H2337*MAX(0,AB2336-O2337)*v01_OvercapLoss</x:f>
        <x:v>0</x:v>
      </x:c>
      <x:c r="W2337" s="9" t="n">
        <x:f>H2337*Y2336/(v01_ChildYears*4)</x:f>
        <x:v>0</x:v>
      </x:c>
      <x:c r="X2337" s="9" t="n">
        <x:f>H2337*Z2336/(v01_AdultYears*4)</x:f>
        <x:v>0</x:v>
      </x:c>
      <x:c r="Y2337" s="32" t="n">
        <x:f>Y2336+R2337-S2337-W2337-Y2336*V2337/AB2336</x:f>
        <x:v>14306.18539759397</x:v>
      </x:c>
      <x:c r="Z2337" s="32" t="n">
        <x:f>Z2336+W2337-X2337-T2337-Z2336*V2337/AB2336</x:f>
        <x:v>19354.456567879548</x:v>
      </x:c>
      <x:c r="AA2337" s="32" t="n">
        <x:f>AA2336+X2337-U2337-AA2336*V2337/AB2336</x:f>
        <x:v>11386.956063258198</x:v>
      </x:c>
      <x:c r="AB2337" s="10" t="n">
        <x:f>Y2337+Z2337+AA2337</x:f>
        <x:v>45047.59802873172</x:v>
      </x:c>
      <x:c r="AC2337" s="8" t="n">
        <x:f>IF(AND(v01_WinterTrigger=1,D2337=1,AB2336/AE2336&gt;=K2337),1,0)</x:f>
        <x:v>0</x:v>
      </x:c>
      <x:c r="AD2337" s="8" t="n">
        <x:f>H2337*IF(AND(OR(AB2336/AE2336&gt;=v01_FissionTrigger*N2337,AC2337=1),AB2336/AE2336*v01_DaughterShare&gt;=v01_MinDaughter),MAX(1,ROUND(AE2336*v01_FissionRate,0)),0)</x:f>
        <x:v>0</x:v>
      </x:c>
      <x:c r="AE2337" s="8" t="n">
        <x:f>IF(H2337=1,MAX(1,MIN(INDEX(v01_Smax,G2337),AE2336+AD2337)),AE2336)</x:f>
        <x:v>15</x:v>
      </x:c>
      <x:c r="AF2337" s="8" t="n">
        <x:f>MAX(0,AE2337-AE2336)</x:f>
        <x:v>0</x:v>
      </x:c>
      <x:c r="AG2337" s="9" t="str">
        <x:f>IF(AF2337&gt;0,B2337,"")</x:f>
      </x:c>
      <x:c r="AH2337" s="9" t="n">
        <x:f>IF(F2337&gt;=1,1,(1+v01_LowTiesShare*(AE2337-1))/AE2337)</x:f>
        <x:v>1</x:v>
      </x:c>
      <x:c r="AI2337" s="32" t="n">
        <x:f>(Z2337+v01_ElderCommons*INDEX(LM_Elder,G2337)*AA2337)*AH2337</x:f>
        <x:v>64139.732591141874</x:v>
      </x:c>
      <x:c r="AJ2337" s="32" t="n">
        <x:f>H2337*v01_CommonsCoef*AI2337^v01_CommonsExp*INDEX(LM_Commons,G2337)</x:f>
        <x:v>0</x:v>
      </x:c>
      <x:c r="AK2337" s="32" t="n">
        <x:f>H2337*v01_RoleScale*Arch_Roles*(AE2337*(INDEX(v01_ElderRolePerSett,G2337)*v01_OutElder*INDEX(LM_Elder,G2337)+INDEX(v01_ShamanPerSett,G2337)*v01_OutShaman)+Z2337*(INDEX(v01_PriestShare,G2337)*v01_OutPriest+INDEX(v01_ScribeShare,G2337)*v01_OutScribe*INDEX(LM_Scribe,G2337)+INDEX(v01_ScholarShare,G2337)*v01_OutScholar*INDEX(LM_Scholar,G2337)+INDEX(v01_ResearcherShare,G2337)*v01_OutResearcher*INDEX(LM_Researcher,G2337)))</x:f>
        <x:v>0</x:v>
      </x:c>
      <x:c r="AL2337" s="32" t="n">
        <x:f>H2337*v01_RoleScale*Arch_Roles*AE2337*INDEX(v01_MonasteryPerSett,G2337)*v01_OutMonastery*INDEX(LM_Monastery,G2337)</x:f>
        <x:v>0</x:v>
      </x:c>
      <x:c r="AM2337" s="32" t="n">
        <x:f>(AJ2337+AK2337+AL2337)/4*INDEX(LM_All,G2337)*INDEX(v01_Boon,G2337)*Arch_Insight</x:f>
        <x:v>0</x:v>
      </x:c>
      <x:c r="AN2337" s="32" t="n">
        <x:f>H2337*(v01_KHPerAdult*Z2337+v01_KHOfCommons*AJ2337/4*INDEX(LM_All,G2337))*v01_KHUsable*Arch_KH</x:f>
        <x:v>0</x:v>
      </x:c>
      <x:c r="AO2337" s="32" t="n">
        <x:f>MIN(AP2336+AN2337,AM2337*v01_KHMaxRatio)</x:f>
        <x:v>0</x:v>
      </x:c>
      <x:c r="AP2337" s="32" t="n">
        <x:f>AP2336+AN2337-AO2337</x:f>
        <x:v>0</x:v>
      </x:c>
      <x:c r="AQ2337" s="32" t="n">
        <x:f>AM2337+AO2337</x:f>
        <x:v>0</x:v>
      </x:c>
      <x:c r="AR2337" s="10" t="n">
        <x:f>IF(H2337=1,INDEX(v01_Req,G2337),0)</x:f>
        <x:v>0</x:v>
      </x:c>
      <x:c r="AS2337" s="32" t="n">
        <x:f>IF(H2337=1,IF(E2337=1,AS2336-AR2336,AS2336)+AQ2337,0)</x:f>
        <x:v>0</x:v>
      </x:c>
      <x:c r="AT2337" s="11" t="n">
        <x:f>IF(AR2337&gt;0,MIN(1,AS2337/AR2337),1)</x:f>
        <x:v>1</x:v>
      </x:c>
      <x:c r="AU2337" s="10" t="n">
        <x:f>AB2337/INDEX(v01_RepScale,G2337)</x:f>
        <x:v>90.09519605746344</x:v>
      </x:c>
      <x:c r="AV2337" s="32" t="n">
        <x:f>AM2337*60/v01_SeasonSeconds</x:f>
        <x:v>0</x:v>
      </x:c>
    </x:row>
    <x:row r="2338">
      <x:c r="A2338" s="8" t="n">
        <x:f>A2337+1</x:f>
        <x:v>2335</x:v>
      </x:c>
      <x:c r="B2338" s="9" t="n">
        <x:f>A2338*v01_SeasonSeconds/60</x:f>
        <x:v>583.75</x:v>
      </x:c>
      <x:c r="C2338" s="9" t="n">
        <x:f>A2338/4</x:f>
        <x:v>583.75</x:v>
      </x:c>
      <x:c r="D2338" s="8" t="n">
        <x:f>IF(MOD(A2338,4)=0,1,0)</x:f>
        <x:v>0</x:v>
      </x:c>
      <x:c r="E2338" s="8" t="n">
        <x:f>IF(AND(F2337&lt;=9,AS2337&gt;=AR2337),1,0)</x:f>
        <x:v>0</x:v>
      </x:c>
      <x:c r="F2338" s="8" t="n">
        <x:f>MIN(10,F2337+E2338)</x:f>
        <x:v>10</x:v>
      </x:c>
      <x:c r="G2338" s="8" t="n">
        <x:f>MIN(F2338,9)+1</x:f>
        <x:v>10</x:v>
      </x:c>
      <x:c r="H2338" s="8" t="n">
        <x:f>IF(F2338&lt;=9,1,0)</x:f>
        <x:v>0</x:v>
      </x:c>
      <x:c r="I2338" s="9" t="n">
        <x:f>MIN(10,F2337+IF(AR2337&gt;0,MIN(1,AS2337/AR2337),1))</x:f>
        <x:v>10</x:v>
      </x:c>
      <x:c r="J2338" s="32" t="n">
        <x:f>INDEX(v01_FoodCap,G2338)*Arch_FoodCap*EXP(v01_CapsByProject*SUMPRODUCT((Cap_Point&lt;=I2338)*(Cap_Kind="Food")*Cap_Ln))</x:f>
        <x:v>12000</x:v>
      </x:c>
      <x:c r="K2338" s="32" t="n">
        <x:f>J2338*MIN(1,v01_LeanBase*EXP(v01_CapsByProject*SUMPRODUCT((Cap_Point&lt;=I2338)*(Cap_Kind="Lean")*Cap_Ln)))</x:f>
        <x:v>12000</x:v>
      </x:c>
      <x:c r="L2338" s="10" t="n">
        <x:f>INDEX(v01_HousingCap,G2338)*EXP(v01_CapsByProject*SUMPRODUCT((Cap_Point&lt;=I2338)*(Cap_Kind="Housing")*Cap_Ln))</x:f>
        <x:v>20000</x:v>
      </x:c>
      <x:c r="M2338" s="10" t="n">
        <x:f>INDEX(v01_GroupCap,G2338)*v01_CohesionFactor*EXP(v01_CapsByProject*SUMPRODUCT((Cap_Point&lt;=I2338)*(Cap_Kind="Group")*Cap_Ln))</x:f>
        <x:v>1000000</x:v>
      </x:c>
      <x:c r="N2338" s="32" t="n">
        <x:f>MIN(J2338,L2338,M2338)</x:f>
        <x:v>12000</x:v>
      </x:c>
      <x:c r="O2338" s="10" t="n">
        <x:f>AE2337*N2338</x:f>
        <x:v>180000</x:v>
      </x:c>
      <x:c r="P2338" s="9" t="n">
        <x:f>MIN(1,(AB2337/(AE2337*IF(v01_GroupInCrowding=1,N2338,MIN(J2338,L2338))))^v01_CrowdingExp)</x:f>
        <x:v>0.00024569414295285325</x:v>
      </x:c>
      <x:c r="Q2338" s="9" t="n">
        <x:f>IF(D2338=1,INDEX(v01_WinterMult,G2338),1)</x:f>
        <x:v>1</x:v>
      </x:c>
      <x:c r="R2338" s="9" t="n">
        <x:f>H2338*Z2337*v01_WomenShare*v01_BaseFertility*INDEX(v01_FertMult,G2338)*Arch_Fertility*(1-P2338)</x:f>
        <x:v>0</x:v>
      </x:c>
      <x:c r="S2338" s="9" t="n">
        <x:f>H2338*Y2337*INDEX(v01_MortChild,G2338)/4*Q2338</x:f>
        <x:v>0</x:v>
      </x:c>
      <x:c r="T2338" s="9" t="n">
        <x:f>H2338*Z2337*INDEX(v01_MortAdult,G2338)*Arch_AdultMort/4*Q2338</x:f>
        <x:v>0</x:v>
      </x:c>
      <x:c r="U2338" s="9" t="n">
        <x:f>H2338*AA2337*INDEX(v01_MortElder,G2338)/4*Q2338</x:f>
        <x:v>0</x:v>
      </x:c>
      <x:c r="V2338" s="9" t="n">
        <x:f>H2338*MAX(0,AB2337-O2338)*v01_OvercapLoss</x:f>
        <x:v>0</x:v>
      </x:c>
      <x:c r="W2338" s="9" t="n">
        <x:f>H2338*Y2337/(v01_ChildYears*4)</x:f>
        <x:v>0</x:v>
      </x:c>
      <x:c r="X2338" s="9" t="n">
        <x:f>H2338*Z2337/(v01_AdultYears*4)</x:f>
        <x:v>0</x:v>
      </x:c>
      <x:c r="Y2338" s="32" t="n">
        <x:f>Y2337+R2338-S2338-W2338-Y2337*V2338/AB2337</x:f>
        <x:v>14306.18539759397</x:v>
      </x:c>
      <x:c r="Z2338" s="32" t="n">
        <x:f>Z2337+W2338-X2338-T2338-Z2337*V2338/AB2337</x:f>
        <x:v>19354.456567879548</x:v>
      </x:c>
      <x:c r="AA2338" s="32" t="n">
        <x:f>AA2337+X2338-U2338-AA2337*V2338/AB2337</x:f>
        <x:v>11386.956063258198</x:v>
      </x:c>
      <x:c r="AB2338" s="10" t="n">
        <x:f>Y2338+Z2338+AA2338</x:f>
        <x:v>45047.59802873172</x:v>
      </x:c>
      <x:c r="AC2338" s="8" t="n">
        <x:f>IF(AND(v01_WinterTrigger=1,D2338=1,AB2337/AE2337&gt;=K2338),1,0)</x:f>
        <x:v>0</x:v>
      </x:c>
      <x:c r="AD2338" s="8" t="n">
        <x:f>H2338*IF(AND(OR(AB2337/AE2337&gt;=v01_FissionTrigger*N2338,AC2338=1),AB2337/AE2337*v01_DaughterShare&gt;=v01_MinDaughter),MAX(1,ROUND(AE2337*v01_FissionRate,0)),0)</x:f>
        <x:v>0</x:v>
      </x:c>
      <x:c r="AE2338" s="8" t="n">
        <x:f>IF(H2338=1,MAX(1,MIN(INDEX(v01_Smax,G2338),AE2337+AD2338)),AE2337)</x:f>
        <x:v>15</x:v>
      </x:c>
      <x:c r="AF2338" s="8" t="n">
        <x:f>MAX(0,AE2338-AE2337)</x:f>
        <x:v>0</x:v>
      </x:c>
      <x:c r="AG2338" s="9" t="str">
        <x:f>IF(AF2338&gt;0,B2338,"")</x:f>
      </x:c>
      <x:c r="AH2338" s="9" t="n">
        <x:f>IF(F2338&gt;=1,1,(1+v01_LowTiesShare*(AE2338-1))/AE2338)</x:f>
        <x:v>1</x:v>
      </x:c>
      <x:c r="AI2338" s="32" t="n">
        <x:f>(Z2338+v01_ElderCommons*INDEX(LM_Elder,G2338)*AA2338)*AH2338</x:f>
        <x:v>64139.732591141874</x:v>
      </x:c>
      <x:c r="AJ2338" s="32" t="n">
        <x:f>H2338*v01_CommonsCoef*AI2338^v01_CommonsExp*INDEX(LM_Commons,G2338)</x:f>
        <x:v>0</x:v>
      </x:c>
      <x:c r="AK2338" s="32" t="n">
        <x:f>H2338*v01_RoleScale*Arch_Roles*(AE2338*(INDEX(v01_ElderRolePerSett,G2338)*v01_OutElder*INDEX(LM_Elder,G2338)+INDEX(v01_ShamanPerSett,G2338)*v01_OutShaman)+Z2338*(INDEX(v01_PriestShare,G2338)*v01_OutPriest+INDEX(v01_ScribeShare,G2338)*v01_OutScribe*INDEX(LM_Scribe,G2338)+INDEX(v01_ScholarShare,G2338)*v01_OutScholar*INDEX(LM_Scholar,G2338)+INDEX(v01_ResearcherShare,G2338)*v01_OutResearcher*INDEX(LM_Researcher,G2338)))</x:f>
        <x:v>0</x:v>
      </x:c>
      <x:c r="AL2338" s="32" t="n">
        <x:f>H2338*v01_RoleScale*Arch_Roles*AE2338*INDEX(v01_MonasteryPerSett,G2338)*v01_OutMonastery*INDEX(LM_Monastery,G2338)</x:f>
        <x:v>0</x:v>
      </x:c>
      <x:c r="AM2338" s="32" t="n">
        <x:f>(AJ2338+AK2338+AL2338)/4*INDEX(LM_All,G2338)*INDEX(v01_Boon,G2338)*Arch_Insight</x:f>
        <x:v>0</x:v>
      </x:c>
      <x:c r="AN2338" s="32" t="n">
        <x:f>H2338*(v01_KHPerAdult*Z2338+v01_KHOfCommons*AJ2338/4*INDEX(LM_All,G2338))*v01_KHUsable*Arch_KH</x:f>
        <x:v>0</x:v>
      </x:c>
      <x:c r="AO2338" s="32" t="n">
        <x:f>MIN(AP2337+AN2338,AM2338*v01_KHMaxRatio)</x:f>
        <x:v>0</x:v>
      </x:c>
      <x:c r="AP2338" s="32" t="n">
        <x:f>AP2337+AN2338-AO2338</x:f>
        <x:v>0</x:v>
      </x:c>
      <x:c r="AQ2338" s="32" t="n">
        <x:f>AM2338+AO2338</x:f>
        <x:v>0</x:v>
      </x:c>
      <x:c r="AR2338" s="10" t="n">
        <x:f>IF(H2338=1,INDEX(v01_Req,G2338),0)</x:f>
        <x:v>0</x:v>
      </x:c>
      <x:c r="AS2338" s="32" t="n">
        <x:f>IF(H2338=1,IF(E2338=1,AS2337-AR2337,AS2337)+AQ2338,0)</x:f>
        <x:v>0</x:v>
      </x:c>
      <x:c r="AT2338" s="11" t="n">
        <x:f>IF(AR2338&gt;0,MIN(1,AS2338/AR2338),1)</x:f>
        <x:v>1</x:v>
      </x:c>
      <x:c r="AU2338" s="10" t="n">
        <x:f>AB2338/INDEX(v01_RepScale,G2338)</x:f>
        <x:v>90.09519605746344</x:v>
      </x:c>
      <x:c r="AV2338" s="32" t="n">
        <x:f>AM2338*60/v01_SeasonSeconds</x:f>
        <x:v>0</x:v>
      </x:c>
    </x:row>
    <x:row r="2339">
      <x:c r="A2339" s="8" t="n">
        <x:f>A2338+1</x:f>
        <x:v>2336</x:v>
      </x:c>
      <x:c r="B2339" s="9" t="n">
        <x:f>A2339*v01_SeasonSeconds/60</x:f>
        <x:v>584</x:v>
      </x:c>
      <x:c r="C2339" s="9" t="n">
        <x:f>A2339/4</x:f>
        <x:v>584</x:v>
      </x:c>
      <x:c r="D2339" s="8" t="n">
        <x:f>IF(MOD(A2339,4)=0,1,0)</x:f>
        <x:v>1</x:v>
      </x:c>
      <x:c r="E2339" s="8" t="n">
        <x:f>IF(AND(F2338&lt;=9,AS2338&gt;=AR2338),1,0)</x:f>
        <x:v>0</x:v>
      </x:c>
      <x:c r="F2339" s="8" t="n">
        <x:f>MIN(10,F2338+E2339)</x:f>
        <x:v>10</x:v>
      </x:c>
      <x:c r="G2339" s="8" t="n">
        <x:f>MIN(F2339,9)+1</x:f>
        <x:v>10</x:v>
      </x:c>
      <x:c r="H2339" s="8" t="n">
        <x:f>IF(F2339&lt;=9,1,0)</x:f>
        <x:v>0</x:v>
      </x:c>
      <x:c r="I2339" s="9" t="n">
        <x:f>MIN(10,F2338+IF(AR2338&gt;0,MIN(1,AS2338/AR2338),1))</x:f>
        <x:v>10</x:v>
      </x:c>
      <x:c r="J2339" s="32" t="n">
        <x:f>INDEX(v01_FoodCap,G2339)*Arch_FoodCap*EXP(v01_CapsByProject*SUMPRODUCT((Cap_Point&lt;=I2339)*(Cap_Kind="Food")*Cap_Ln))</x:f>
        <x:v>12000</x:v>
      </x:c>
      <x:c r="K2339" s="32" t="n">
        <x:f>J2339*MIN(1,v01_LeanBase*EXP(v01_CapsByProject*SUMPRODUCT((Cap_Point&lt;=I2339)*(Cap_Kind="Lean")*Cap_Ln)))</x:f>
        <x:v>12000</x:v>
      </x:c>
      <x:c r="L2339" s="10" t="n">
        <x:f>INDEX(v01_HousingCap,G2339)*EXP(v01_CapsByProject*SUMPRODUCT((Cap_Point&lt;=I2339)*(Cap_Kind="Housing")*Cap_Ln))</x:f>
        <x:v>20000</x:v>
      </x:c>
      <x:c r="M2339" s="10" t="n">
        <x:f>INDEX(v01_GroupCap,G2339)*v01_CohesionFactor*EXP(v01_CapsByProject*SUMPRODUCT((Cap_Point&lt;=I2339)*(Cap_Kind="Group")*Cap_Ln))</x:f>
        <x:v>1000000</x:v>
      </x:c>
      <x:c r="N2339" s="32" t="n">
        <x:f>MIN(J2339,L2339,M2339)</x:f>
        <x:v>12000</x:v>
      </x:c>
      <x:c r="O2339" s="10" t="n">
        <x:f>AE2338*N2339</x:f>
        <x:v>180000</x:v>
      </x:c>
      <x:c r="P2339" s="9" t="n">
        <x:f>MIN(1,(AB2338/(AE2338*IF(v01_GroupInCrowding=1,N2339,MIN(J2339,L2339))))^v01_CrowdingExp)</x:f>
        <x:v>0.00024569414295285325</x:v>
      </x:c>
      <x:c r="Q2339" s="9" t="n">
        <x:f>IF(D2339=1,INDEX(v01_WinterMult,G2339),1)</x:f>
        <x:v>1</x:v>
      </x:c>
      <x:c r="R2339" s="9" t="n">
        <x:f>H2339*Z2338*v01_WomenShare*v01_BaseFertility*INDEX(v01_FertMult,G2339)*Arch_Fertility*(1-P2339)</x:f>
        <x:v>0</x:v>
      </x:c>
      <x:c r="S2339" s="9" t="n">
        <x:f>H2339*Y2338*INDEX(v01_MortChild,G2339)/4*Q2339</x:f>
        <x:v>0</x:v>
      </x:c>
      <x:c r="T2339" s="9" t="n">
        <x:f>H2339*Z2338*INDEX(v01_MortAdult,G2339)*Arch_AdultMort/4*Q2339</x:f>
        <x:v>0</x:v>
      </x:c>
      <x:c r="U2339" s="9" t="n">
        <x:f>H2339*AA2338*INDEX(v01_MortElder,G2339)/4*Q2339</x:f>
        <x:v>0</x:v>
      </x:c>
      <x:c r="V2339" s="9" t="n">
        <x:f>H2339*MAX(0,AB2338-O2339)*v01_OvercapLoss</x:f>
        <x:v>0</x:v>
      </x:c>
      <x:c r="W2339" s="9" t="n">
        <x:f>H2339*Y2338/(v01_ChildYears*4)</x:f>
        <x:v>0</x:v>
      </x:c>
      <x:c r="X2339" s="9" t="n">
        <x:f>H2339*Z2338/(v01_AdultYears*4)</x:f>
        <x:v>0</x:v>
      </x:c>
      <x:c r="Y2339" s="32" t="n">
        <x:f>Y2338+R2339-S2339-W2339-Y2338*V2339/AB2338</x:f>
        <x:v>14306.18539759397</x:v>
      </x:c>
      <x:c r="Z2339" s="32" t="n">
        <x:f>Z2338+W2339-X2339-T2339-Z2338*V2339/AB2338</x:f>
        <x:v>19354.456567879548</x:v>
      </x:c>
      <x:c r="AA2339" s="32" t="n">
        <x:f>AA2338+X2339-U2339-AA2338*V2339/AB2338</x:f>
        <x:v>11386.956063258198</x:v>
      </x:c>
      <x:c r="AB2339" s="10" t="n">
        <x:f>Y2339+Z2339+AA2339</x:f>
        <x:v>45047.59802873172</x:v>
      </x:c>
      <x:c r="AC2339" s="8" t="n">
        <x:f>IF(AND(v01_WinterTrigger=1,D2339=1,AB2338/AE2338&gt;=K2339),1,0)</x:f>
        <x:v>0</x:v>
      </x:c>
      <x:c r="AD2339" s="8" t="n">
        <x:f>H2339*IF(AND(OR(AB2338/AE2338&gt;=v01_FissionTrigger*N2339,AC2339=1),AB2338/AE2338*v01_DaughterShare&gt;=v01_MinDaughter),MAX(1,ROUND(AE2338*v01_FissionRate,0)),0)</x:f>
        <x:v>0</x:v>
      </x:c>
      <x:c r="AE2339" s="8" t="n">
        <x:f>IF(H2339=1,MAX(1,MIN(INDEX(v01_Smax,G2339),AE2338+AD2339)),AE2338)</x:f>
        <x:v>15</x:v>
      </x:c>
      <x:c r="AF2339" s="8" t="n">
        <x:f>MAX(0,AE2339-AE2338)</x:f>
        <x:v>0</x:v>
      </x:c>
      <x:c r="AG2339" s="9" t="str">
        <x:f>IF(AF2339&gt;0,B2339,"")</x:f>
      </x:c>
      <x:c r="AH2339" s="9" t="n">
        <x:f>IF(F2339&gt;=1,1,(1+v01_LowTiesShare*(AE2339-1))/AE2339)</x:f>
        <x:v>1</x:v>
      </x:c>
      <x:c r="AI2339" s="32" t="n">
        <x:f>(Z2339+v01_ElderCommons*INDEX(LM_Elder,G2339)*AA2339)*AH2339</x:f>
        <x:v>64139.732591141874</x:v>
      </x:c>
      <x:c r="AJ2339" s="32" t="n">
        <x:f>H2339*v01_CommonsCoef*AI2339^v01_CommonsExp*INDEX(LM_Commons,G2339)</x:f>
        <x:v>0</x:v>
      </x:c>
      <x:c r="AK2339" s="32" t="n">
        <x:f>H2339*v01_RoleScale*Arch_Roles*(AE2339*(INDEX(v01_ElderRolePerSett,G2339)*v01_OutElder*INDEX(LM_Elder,G2339)+INDEX(v01_ShamanPerSett,G2339)*v01_OutShaman)+Z2339*(INDEX(v01_PriestShare,G2339)*v01_OutPriest+INDEX(v01_ScribeShare,G2339)*v01_OutScribe*INDEX(LM_Scribe,G2339)+INDEX(v01_ScholarShare,G2339)*v01_OutScholar*INDEX(LM_Scholar,G2339)+INDEX(v01_ResearcherShare,G2339)*v01_OutResearcher*INDEX(LM_Researcher,G2339)))</x:f>
        <x:v>0</x:v>
      </x:c>
      <x:c r="AL2339" s="32" t="n">
        <x:f>H2339*v01_RoleScale*Arch_Roles*AE2339*INDEX(v01_MonasteryPerSett,G2339)*v01_OutMonastery*INDEX(LM_Monastery,G2339)</x:f>
        <x:v>0</x:v>
      </x:c>
      <x:c r="AM2339" s="32" t="n">
        <x:f>(AJ2339+AK2339+AL2339)/4*INDEX(LM_All,G2339)*INDEX(v01_Boon,G2339)*Arch_Insight</x:f>
        <x:v>0</x:v>
      </x:c>
      <x:c r="AN2339" s="32" t="n">
        <x:f>H2339*(v01_KHPerAdult*Z2339+v01_KHOfCommons*AJ2339/4*INDEX(LM_All,G2339))*v01_KHUsable*Arch_KH</x:f>
        <x:v>0</x:v>
      </x:c>
      <x:c r="AO2339" s="32" t="n">
        <x:f>MIN(AP2338+AN2339,AM2339*v01_KHMaxRatio)</x:f>
        <x:v>0</x:v>
      </x:c>
      <x:c r="AP2339" s="32" t="n">
        <x:f>AP2338+AN2339-AO2339</x:f>
        <x:v>0</x:v>
      </x:c>
      <x:c r="AQ2339" s="32" t="n">
        <x:f>AM2339+AO2339</x:f>
        <x:v>0</x:v>
      </x:c>
      <x:c r="AR2339" s="10" t="n">
        <x:f>IF(H2339=1,INDEX(v01_Req,G2339),0)</x:f>
        <x:v>0</x:v>
      </x:c>
      <x:c r="AS2339" s="32" t="n">
        <x:f>IF(H2339=1,IF(E2339=1,AS2338-AR2338,AS2338)+AQ2339,0)</x:f>
        <x:v>0</x:v>
      </x:c>
      <x:c r="AT2339" s="11" t="n">
        <x:f>IF(AR2339&gt;0,MIN(1,AS2339/AR2339),1)</x:f>
        <x:v>1</x:v>
      </x:c>
      <x:c r="AU2339" s="10" t="n">
        <x:f>AB2339/INDEX(v01_RepScale,G2339)</x:f>
        <x:v>90.09519605746344</x:v>
      </x:c>
      <x:c r="AV2339" s="32" t="n">
        <x:f>AM2339*60/v01_SeasonSeconds</x:f>
        <x:v>0</x:v>
      </x:c>
    </x:row>
    <x:row r="2340">
      <x:c r="A2340" s="8" t="n">
        <x:f>A2339+1</x:f>
        <x:v>2337</x:v>
      </x:c>
      <x:c r="B2340" s="9" t="n">
        <x:f>A2340*v01_SeasonSeconds/60</x:f>
        <x:v>584.25</x:v>
      </x:c>
      <x:c r="C2340" s="9" t="n">
        <x:f>A2340/4</x:f>
        <x:v>584.25</x:v>
      </x:c>
      <x:c r="D2340" s="8" t="n">
        <x:f>IF(MOD(A2340,4)=0,1,0)</x:f>
        <x:v>0</x:v>
      </x:c>
      <x:c r="E2340" s="8" t="n">
        <x:f>IF(AND(F2339&lt;=9,AS2339&gt;=AR2339),1,0)</x:f>
        <x:v>0</x:v>
      </x:c>
      <x:c r="F2340" s="8" t="n">
        <x:f>MIN(10,F2339+E2340)</x:f>
        <x:v>10</x:v>
      </x:c>
      <x:c r="G2340" s="8" t="n">
        <x:f>MIN(F2340,9)+1</x:f>
        <x:v>10</x:v>
      </x:c>
      <x:c r="H2340" s="8" t="n">
        <x:f>IF(F2340&lt;=9,1,0)</x:f>
        <x:v>0</x:v>
      </x:c>
      <x:c r="I2340" s="9" t="n">
        <x:f>MIN(10,F2339+IF(AR2339&gt;0,MIN(1,AS2339/AR2339),1))</x:f>
        <x:v>10</x:v>
      </x:c>
      <x:c r="J2340" s="32" t="n">
        <x:f>INDEX(v01_FoodCap,G2340)*Arch_FoodCap*EXP(v01_CapsByProject*SUMPRODUCT((Cap_Point&lt;=I2340)*(Cap_Kind="Food")*Cap_Ln))</x:f>
        <x:v>12000</x:v>
      </x:c>
      <x:c r="K2340" s="32" t="n">
        <x:f>J2340*MIN(1,v01_LeanBase*EXP(v01_CapsByProject*SUMPRODUCT((Cap_Point&lt;=I2340)*(Cap_Kind="Lean")*Cap_Ln)))</x:f>
        <x:v>12000</x:v>
      </x:c>
      <x:c r="L2340" s="10" t="n">
        <x:f>INDEX(v01_HousingCap,G2340)*EXP(v01_CapsByProject*SUMPRODUCT((Cap_Point&lt;=I2340)*(Cap_Kind="Housing")*Cap_Ln))</x:f>
        <x:v>20000</x:v>
      </x:c>
      <x:c r="M2340" s="10" t="n">
        <x:f>INDEX(v01_GroupCap,G2340)*v01_CohesionFactor*EXP(v01_CapsByProject*SUMPRODUCT((Cap_Point&lt;=I2340)*(Cap_Kind="Group")*Cap_Ln))</x:f>
        <x:v>1000000</x:v>
      </x:c>
      <x:c r="N2340" s="32" t="n">
        <x:f>MIN(J2340,L2340,M2340)</x:f>
        <x:v>12000</x:v>
      </x:c>
      <x:c r="O2340" s="10" t="n">
        <x:f>AE2339*N2340</x:f>
        <x:v>180000</x:v>
      </x:c>
      <x:c r="P2340" s="9" t="n">
        <x:f>MIN(1,(AB2339/(AE2339*IF(v01_GroupInCrowding=1,N2340,MIN(J2340,L2340))))^v01_CrowdingExp)</x:f>
        <x:v>0.00024569414295285325</x:v>
      </x:c>
      <x:c r="Q2340" s="9" t="n">
        <x:f>IF(D2340=1,INDEX(v01_WinterMult,G2340),1)</x:f>
        <x:v>1</x:v>
      </x:c>
      <x:c r="R2340" s="9" t="n">
        <x:f>H2340*Z2339*v01_WomenShare*v01_BaseFertility*INDEX(v01_FertMult,G2340)*Arch_Fertility*(1-P2340)</x:f>
        <x:v>0</x:v>
      </x:c>
      <x:c r="S2340" s="9" t="n">
        <x:f>H2340*Y2339*INDEX(v01_MortChild,G2340)/4*Q2340</x:f>
        <x:v>0</x:v>
      </x:c>
      <x:c r="T2340" s="9" t="n">
        <x:f>H2340*Z2339*INDEX(v01_MortAdult,G2340)*Arch_AdultMort/4*Q2340</x:f>
        <x:v>0</x:v>
      </x:c>
      <x:c r="U2340" s="9" t="n">
        <x:f>H2340*AA2339*INDEX(v01_MortElder,G2340)/4*Q2340</x:f>
        <x:v>0</x:v>
      </x:c>
      <x:c r="V2340" s="9" t="n">
        <x:f>H2340*MAX(0,AB2339-O2340)*v01_OvercapLoss</x:f>
        <x:v>0</x:v>
      </x:c>
      <x:c r="W2340" s="9" t="n">
        <x:f>H2340*Y2339/(v01_ChildYears*4)</x:f>
        <x:v>0</x:v>
      </x:c>
      <x:c r="X2340" s="9" t="n">
        <x:f>H2340*Z2339/(v01_AdultYears*4)</x:f>
        <x:v>0</x:v>
      </x:c>
      <x:c r="Y2340" s="32" t="n">
        <x:f>Y2339+R2340-S2340-W2340-Y2339*V2340/AB2339</x:f>
        <x:v>14306.18539759397</x:v>
      </x:c>
      <x:c r="Z2340" s="32" t="n">
        <x:f>Z2339+W2340-X2340-T2340-Z2339*V2340/AB2339</x:f>
        <x:v>19354.456567879548</x:v>
      </x:c>
      <x:c r="AA2340" s="32" t="n">
        <x:f>AA2339+X2340-U2340-AA2339*V2340/AB2339</x:f>
        <x:v>11386.956063258198</x:v>
      </x:c>
      <x:c r="AB2340" s="10" t="n">
        <x:f>Y2340+Z2340+AA2340</x:f>
        <x:v>45047.59802873172</x:v>
      </x:c>
      <x:c r="AC2340" s="8" t="n">
        <x:f>IF(AND(v01_WinterTrigger=1,D2340=1,AB2339/AE2339&gt;=K2340),1,0)</x:f>
        <x:v>0</x:v>
      </x:c>
      <x:c r="AD2340" s="8" t="n">
        <x:f>H2340*IF(AND(OR(AB2339/AE2339&gt;=v01_FissionTrigger*N2340,AC2340=1),AB2339/AE2339*v01_DaughterShare&gt;=v01_MinDaughter),MAX(1,ROUND(AE2339*v01_FissionRate,0)),0)</x:f>
        <x:v>0</x:v>
      </x:c>
      <x:c r="AE2340" s="8" t="n">
        <x:f>IF(H2340=1,MAX(1,MIN(INDEX(v01_Smax,G2340),AE2339+AD2340)),AE2339)</x:f>
        <x:v>15</x:v>
      </x:c>
      <x:c r="AF2340" s="8" t="n">
        <x:f>MAX(0,AE2340-AE2339)</x:f>
        <x:v>0</x:v>
      </x:c>
      <x:c r="AG2340" s="9" t="str">
        <x:f>IF(AF2340&gt;0,B2340,"")</x:f>
      </x:c>
      <x:c r="AH2340" s="9" t="n">
        <x:f>IF(F2340&gt;=1,1,(1+v01_LowTiesShare*(AE2340-1))/AE2340)</x:f>
        <x:v>1</x:v>
      </x:c>
      <x:c r="AI2340" s="32" t="n">
        <x:f>(Z2340+v01_ElderCommons*INDEX(LM_Elder,G2340)*AA2340)*AH2340</x:f>
        <x:v>64139.732591141874</x:v>
      </x:c>
      <x:c r="AJ2340" s="32" t="n">
        <x:f>H2340*v01_CommonsCoef*AI2340^v01_CommonsExp*INDEX(LM_Commons,G2340)</x:f>
        <x:v>0</x:v>
      </x:c>
      <x:c r="AK2340" s="32" t="n">
        <x:f>H2340*v01_RoleScale*Arch_Roles*(AE2340*(INDEX(v01_ElderRolePerSett,G2340)*v01_OutElder*INDEX(LM_Elder,G2340)+INDEX(v01_ShamanPerSett,G2340)*v01_OutShaman)+Z2340*(INDEX(v01_PriestShare,G2340)*v01_OutPriest+INDEX(v01_ScribeShare,G2340)*v01_OutScribe*INDEX(LM_Scribe,G2340)+INDEX(v01_ScholarShare,G2340)*v01_OutScholar*INDEX(LM_Scholar,G2340)+INDEX(v01_ResearcherShare,G2340)*v01_OutResearcher*INDEX(LM_Researcher,G2340)))</x:f>
        <x:v>0</x:v>
      </x:c>
      <x:c r="AL2340" s="32" t="n">
        <x:f>H2340*v01_RoleScale*Arch_Roles*AE2340*INDEX(v01_MonasteryPerSett,G2340)*v01_OutMonastery*INDEX(LM_Monastery,G2340)</x:f>
        <x:v>0</x:v>
      </x:c>
      <x:c r="AM2340" s="32" t="n">
        <x:f>(AJ2340+AK2340+AL2340)/4*INDEX(LM_All,G2340)*INDEX(v01_Boon,G2340)*Arch_Insight</x:f>
        <x:v>0</x:v>
      </x:c>
      <x:c r="AN2340" s="32" t="n">
        <x:f>H2340*(v01_KHPerAdult*Z2340+v01_KHOfCommons*AJ2340/4*INDEX(LM_All,G2340))*v01_KHUsable*Arch_KH</x:f>
        <x:v>0</x:v>
      </x:c>
      <x:c r="AO2340" s="32" t="n">
        <x:f>MIN(AP2339+AN2340,AM2340*v01_KHMaxRatio)</x:f>
        <x:v>0</x:v>
      </x:c>
      <x:c r="AP2340" s="32" t="n">
        <x:f>AP2339+AN2340-AO2340</x:f>
        <x:v>0</x:v>
      </x:c>
      <x:c r="AQ2340" s="32" t="n">
        <x:f>AM2340+AO2340</x:f>
        <x:v>0</x:v>
      </x:c>
      <x:c r="AR2340" s="10" t="n">
        <x:f>IF(H2340=1,INDEX(v01_Req,G2340),0)</x:f>
        <x:v>0</x:v>
      </x:c>
      <x:c r="AS2340" s="32" t="n">
        <x:f>IF(H2340=1,IF(E2340=1,AS2339-AR2339,AS2339)+AQ2340,0)</x:f>
        <x:v>0</x:v>
      </x:c>
      <x:c r="AT2340" s="11" t="n">
        <x:f>IF(AR2340&gt;0,MIN(1,AS2340/AR2340),1)</x:f>
        <x:v>1</x:v>
      </x:c>
      <x:c r="AU2340" s="10" t="n">
        <x:f>AB2340/INDEX(v01_RepScale,G2340)</x:f>
        <x:v>90.09519605746344</x:v>
      </x:c>
      <x:c r="AV2340" s="32" t="n">
        <x:f>AM2340*60/v01_SeasonSeconds</x:f>
        <x:v>0</x:v>
      </x:c>
    </x:row>
    <x:row r="2341">
      <x:c r="A2341" s="8" t="n">
        <x:f>A2340+1</x:f>
        <x:v>2338</x:v>
      </x:c>
      <x:c r="B2341" s="9" t="n">
        <x:f>A2341*v01_SeasonSeconds/60</x:f>
        <x:v>584.5</x:v>
      </x:c>
      <x:c r="C2341" s="9" t="n">
        <x:f>A2341/4</x:f>
        <x:v>584.5</x:v>
      </x:c>
      <x:c r="D2341" s="8" t="n">
        <x:f>IF(MOD(A2341,4)=0,1,0)</x:f>
        <x:v>0</x:v>
      </x:c>
      <x:c r="E2341" s="8" t="n">
        <x:f>IF(AND(F2340&lt;=9,AS2340&gt;=AR2340),1,0)</x:f>
        <x:v>0</x:v>
      </x:c>
      <x:c r="F2341" s="8" t="n">
        <x:f>MIN(10,F2340+E2341)</x:f>
        <x:v>10</x:v>
      </x:c>
      <x:c r="G2341" s="8" t="n">
        <x:f>MIN(F2341,9)+1</x:f>
        <x:v>10</x:v>
      </x:c>
      <x:c r="H2341" s="8" t="n">
        <x:f>IF(F2341&lt;=9,1,0)</x:f>
        <x:v>0</x:v>
      </x:c>
      <x:c r="I2341" s="9" t="n">
        <x:f>MIN(10,F2340+IF(AR2340&gt;0,MIN(1,AS2340/AR2340),1))</x:f>
        <x:v>10</x:v>
      </x:c>
      <x:c r="J2341" s="32" t="n">
        <x:f>INDEX(v01_FoodCap,G2341)*Arch_FoodCap*EXP(v01_CapsByProject*SUMPRODUCT((Cap_Point&lt;=I2341)*(Cap_Kind="Food")*Cap_Ln))</x:f>
        <x:v>12000</x:v>
      </x:c>
      <x:c r="K2341" s="32" t="n">
        <x:f>J2341*MIN(1,v01_LeanBase*EXP(v01_CapsByProject*SUMPRODUCT((Cap_Point&lt;=I2341)*(Cap_Kind="Lean")*Cap_Ln)))</x:f>
        <x:v>12000</x:v>
      </x:c>
      <x:c r="L2341" s="10" t="n">
        <x:f>INDEX(v01_HousingCap,G2341)*EXP(v01_CapsByProject*SUMPRODUCT((Cap_Point&lt;=I2341)*(Cap_Kind="Housing")*Cap_Ln))</x:f>
        <x:v>20000</x:v>
      </x:c>
      <x:c r="M2341" s="10" t="n">
        <x:f>INDEX(v01_GroupCap,G2341)*v01_CohesionFactor*EXP(v01_CapsByProject*SUMPRODUCT((Cap_Point&lt;=I2341)*(Cap_Kind="Group")*Cap_Ln))</x:f>
        <x:v>1000000</x:v>
      </x:c>
      <x:c r="N2341" s="32" t="n">
        <x:f>MIN(J2341,L2341,M2341)</x:f>
        <x:v>12000</x:v>
      </x:c>
      <x:c r="O2341" s="10" t="n">
        <x:f>AE2340*N2341</x:f>
        <x:v>180000</x:v>
      </x:c>
      <x:c r="P2341" s="9" t="n">
        <x:f>MIN(1,(AB2340/(AE2340*IF(v01_GroupInCrowding=1,N2341,MIN(J2341,L2341))))^v01_CrowdingExp)</x:f>
        <x:v>0.00024569414295285325</x:v>
      </x:c>
      <x:c r="Q2341" s="9" t="n">
        <x:f>IF(D2341=1,INDEX(v01_WinterMult,G2341),1)</x:f>
        <x:v>1</x:v>
      </x:c>
      <x:c r="R2341" s="9" t="n">
        <x:f>H2341*Z2340*v01_WomenShare*v01_BaseFertility*INDEX(v01_FertMult,G2341)*Arch_Fertility*(1-P2341)</x:f>
        <x:v>0</x:v>
      </x:c>
      <x:c r="S2341" s="9" t="n">
        <x:f>H2341*Y2340*INDEX(v01_MortChild,G2341)/4*Q2341</x:f>
        <x:v>0</x:v>
      </x:c>
      <x:c r="T2341" s="9" t="n">
        <x:f>H2341*Z2340*INDEX(v01_MortAdult,G2341)*Arch_AdultMort/4*Q2341</x:f>
        <x:v>0</x:v>
      </x:c>
      <x:c r="U2341" s="9" t="n">
        <x:f>H2341*AA2340*INDEX(v01_MortElder,G2341)/4*Q2341</x:f>
        <x:v>0</x:v>
      </x:c>
      <x:c r="V2341" s="9" t="n">
        <x:f>H2341*MAX(0,AB2340-O2341)*v01_OvercapLoss</x:f>
        <x:v>0</x:v>
      </x:c>
      <x:c r="W2341" s="9" t="n">
        <x:f>H2341*Y2340/(v01_ChildYears*4)</x:f>
        <x:v>0</x:v>
      </x:c>
      <x:c r="X2341" s="9" t="n">
        <x:f>H2341*Z2340/(v01_AdultYears*4)</x:f>
        <x:v>0</x:v>
      </x:c>
      <x:c r="Y2341" s="32" t="n">
        <x:f>Y2340+R2341-S2341-W2341-Y2340*V2341/AB2340</x:f>
        <x:v>14306.18539759397</x:v>
      </x:c>
      <x:c r="Z2341" s="32" t="n">
        <x:f>Z2340+W2341-X2341-T2341-Z2340*V2341/AB2340</x:f>
        <x:v>19354.456567879548</x:v>
      </x:c>
      <x:c r="AA2341" s="32" t="n">
        <x:f>AA2340+X2341-U2341-AA2340*V2341/AB2340</x:f>
        <x:v>11386.956063258198</x:v>
      </x:c>
      <x:c r="AB2341" s="10" t="n">
        <x:f>Y2341+Z2341+AA2341</x:f>
        <x:v>45047.59802873172</x:v>
      </x:c>
      <x:c r="AC2341" s="8" t="n">
        <x:f>IF(AND(v01_WinterTrigger=1,D2341=1,AB2340/AE2340&gt;=K2341),1,0)</x:f>
        <x:v>0</x:v>
      </x:c>
      <x:c r="AD2341" s="8" t="n">
        <x:f>H2341*IF(AND(OR(AB2340/AE2340&gt;=v01_FissionTrigger*N2341,AC2341=1),AB2340/AE2340*v01_DaughterShare&gt;=v01_MinDaughter),MAX(1,ROUND(AE2340*v01_FissionRate,0)),0)</x:f>
        <x:v>0</x:v>
      </x:c>
      <x:c r="AE2341" s="8" t="n">
        <x:f>IF(H2341=1,MAX(1,MIN(INDEX(v01_Smax,G2341),AE2340+AD2341)),AE2340)</x:f>
        <x:v>15</x:v>
      </x:c>
      <x:c r="AF2341" s="8" t="n">
        <x:f>MAX(0,AE2341-AE2340)</x:f>
        <x:v>0</x:v>
      </x:c>
      <x:c r="AG2341" s="9" t="str">
        <x:f>IF(AF2341&gt;0,B2341,"")</x:f>
      </x:c>
      <x:c r="AH2341" s="9" t="n">
        <x:f>IF(F2341&gt;=1,1,(1+v01_LowTiesShare*(AE2341-1))/AE2341)</x:f>
        <x:v>1</x:v>
      </x:c>
      <x:c r="AI2341" s="32" t="n">
        <x:f>(Z2341+v01_ElderCommons*INDEX(LM_Elder,G2341)*AA2341)*AH2341</x:f>
        <x:v>64139.732591141874</x:v>
      </x:c>
      <x:c r="AJ2341" s="32" t="n">
        <x:f>H2341*v01_CommonsCoef*AI2341^v01_CommonsExp*INDEX(LM_Commons,G2341)</x:f>
        <x:v>0</x:v>
      </x:c>
      <x:c r="AK2341" s="32" t="n">
        <x:f>H2341*v01_RoleScale*Arch_Roles*(AE2341*(INDEX(v01_ElderRolePerSett,G2341)*v01_OutElder*INDEX(LM_Elder,G2341)+INDEX(v01_ShamanPerSett,G2341)*v01_OutShaman)+Z2341*(INDEX(v01_PriestShare,G2341)*v01_OutPriest+INDEX(v01_ScribeShare,G2341)*v01_OutScribe*INDEX(LM_Scribe,G2341)+INDEX(v01_ScholarShare,G2341)*v01_OutScholar*INDEX(LM_Scholar,G2341)+INDEX(v01_ResearcherShare,G2341)*v01_OutResearcher*INDEX(LM_Researcher,G2341)))</x:f>
        <x:v>0</x:v>
      </x:c>
      <x:c r="AL2341" s="32" t="n">
        <x:f>H2341*v01_RoleScale*Arch_Roles*AE2341*INDEX(v01_MonasteryPerSett,G2341)*v01_OutMonastery*INDEX(LM_Monastery,G2341)</x:f>
        <x:v>0</x:v>
      </x:c>
      <x:c r="AM2341" s="32" t="n">
        <x:f>(AJ2341+AK2341+AL2341)/4*INDEX(LM_All,G2341)*INDEX(v01_Boon,G2341)*Arch_Insight</x:f>
        <x:v>0</x:v>
      </x:c>
      <x:c r="AN2341" s="32" t="n">
        <x:f>H2341*(v01_KHPerAdult*Z2341+v01_KHOfCommons*AJ2341/4*INDEX(LM_All,G2341))*v01_KHUsable*Arch_KH</x:f>
        <x:v>0</x:v>
      </x:c>
      <x:c r="AO2341" s="32" t="n">
        <x:f>MIN(AP2340+AN2341,AM2341*v01_KHMaxRatio)</x:f>
        <x:v>0</x:v>
      </x:c>
      <x:c r="AP2341" s="32" t="n">
        <x:f>AP2340+AN2341-AO2341</x:f>
        <x:v>0</x:v>
      </x:c>
      <x:c r="AQ2341" s="32" t="n">
        <x:f>AM2341+AO2341</x:f>
        <x:v>0</x:v>
      </x:c>
      <x:c r="AR2341" s="10" t="n">
        <x:f>IF(H2341=1,INDEX(v01_Req,G2341),0)</x:f>
        <x:v>0</x:v>
      </x:c>
      <x:c r="AS2341" s="32" t="n">
        <x:f>IF(H2341=1,IF(E2341=1,AS2340-AR2340,AS2340)+AQ2341,0)</x:f>
        <x:v>0</x:v>
      </x:c>
      <x:c r="AT2341" s="11" t="n">
        <x:f>IF(AR2341&gt;0,MIN(1,AS2341/AR2341),1)</x:f>
        <x:v>1</x:v>
      </x:c>
      <x:c r="AU2341" s="10" t="n">
        <x:f>AB2341/INDEX(v01_RepScale,G2341)</x:f>
        <x:v>90.09519605746344</x:v>
      </x:c>
      <x:c r="AV2341" s="32" t="n">
        <x:f>AM2341*60/v01_SeasonSeconds</x:f>
        <x:v>0</x:v>
      </x:c>
    </x:row>
    <x:row r="2342">
      <x:c r="A2342" s="8" t="n">
        <x:f>A2341+1</x:f>
        <x:v>2339</x:v>
      </x:c>
      <x:c r="B2342" s="9" t="n">
        <x:f>A2342*v01_SeasonSeconds/60</x:f>
        <x:v>584.75</x:v>
      </x:c>
      <x:c r="C2342" s="9" t="n">
        <x:f>A2342/4</x:f>
        <x:v>584.75</x:v>
      </x:c>
      <x:c r="D2342" s="8" t="n">
        <x:f>IF(MOD(A2342,4)=0,1,0)</x:f>
        <x:v>0</x:v>
      </x:c>
      <x:c r="E2342" s="8" t="n">
        <x:f>IF(AND(F2341&lt;=9,AS2341&gt;=AR2341),1,0)</x:f>
        <x:v>0</x:v>
      </x:c>
      <x:c r="F2342" s="8" t="n">
        <x:f>MIN(10,F2341+E2342)</x:f>
        <x:v>10</x:v>
      </x:c>
      <x:c r="G2342" s="8" t="n">
        <x:f>MIN(F2342,9)+1</x:f>
        <x:v>10</x:v>
      </x:c>
      <x:c r="H2342" s="8" t="n">
        <x:f>IF(F2342&lt;=9,1,0)</x:f>
        <x:v>0</x:v>
      </x:c>
      <x:c r="I2342" s="9" t="n">
        <x:f>MIN(10,F2341+IF(AR2341&gt;0,MIN(1,AS2341/AR2341),1))</x:f>
        <x:v>10</x:v>
      </x:c>
      <x:c r="J2342" s="32" t="n">
        <x:f>INDEX(v01_FoodCap,G2342)*Arch_FoodCap*EXP(v01_CapsByProject*SUMPRODUCT((Cap_Point&lt;=I2342)*(Cap_Kind="Food")*Cap_Ln))</x:f>
        <x:v>12000</x:v>
      </x:c>
      <x:c r="K2342" s="32" t="n">
        <x:f>J2342*MIN(1,v01_LeanBase*EXP(v01_CapsByProject*SUMPRODUCT((Cap_Point&lt;=I2342)*(Cap_Kind="Lean")*Cap_Ln)))</x:f>
        <x:v>12000</x:v>
      </x:c>
      <x:c r="L2342" s="10" t="n">
        <x:f>INDEX(v01_HousingCap,G2342)*EXP(v01_CapsByProject*SUMPRODUCT((Cap_Point&lt;=I2342)*(Cap_Kind="Housing")*Cap_Ln))</x:f>
        <x:v>20000</x:v>
      </x:c>
      <x:c r="M2342" s="10" t="n">
        <x:f>INDEX(v01_GroupCap,G2342)*v01_CohesionFactor*EXP(v01_CapsByProject*SUMPRODUCT((Cap_Point&lt;=I2342)*(Cap_Kind="Group")*Cap_Ln))</x:f>
        <x:v>1000000</x:v>
      </x:c>
      <x:c r="N2342" s="32" t="n">
        <x:f>MIN(J2342,L2342,M2342)</x:f>
        <x:v>12000</x:v>
      </x:c>
      <x:c r="O2342" s="10" t="n">
        <x:f>AE2341*N2342</x:f>
        <x:v>180000</x:v>
      </x:c>
      <x:c r="P2342" s="9" t="n">
        <x:f>MIN(1,(AB2341/(AE2341*IF(v01_GroupInCrowding=1,N2342,MIN(J2342,L2342))))^v01_CrowdingExp)</x:f>
        <x:v>0.00024569414295285325</x:v>
      </x:c>
      <x:c r="Q2342" s="9" t="n">
        <x:f>IF(D2342=1,INDEX(v01_WinterMult,G2342),1)</x:f>
        <x:v>1</x:v>
      </x:c>
      <x:c r="R2342" s="9" t="n">
        <x:f>H2342*Z2341*v01_WomenShare*v01_BaseFertility*INDEX(v01_FertMult,G2342)*Arch_Fertility*(1-P2342)</x:f>
        <x:v>0</x:v>
      </x:c>
      <x:c r="S2342" s="9" t="n">
        <x:f>H2342*Y2341*INDEX(v01_MortChild,G2342)/4*Q2342</x:f>
        <x:v>0</x:v>
      </x:c>
      <x:c r="T2342" s="9" t="n">
        <x:f>H2342*Z2341*INDEX(v01_MortAdult,G2342)*Arch_AdultMort/4*Q2342</x:f>
        <x:v>0</x:v>
      </x:c>
      <x:c r="U2342" s="9" t="n">
        <x:f>H2342*AA2341*INDEX(v01_MortElder,G2342)/4*Q2342</x:f>
        <x:v>0</x:v>
      </x:c>
      <x:c r="V2342" s="9" t="n">
        <x:f>H2342*MAX(0,AB2341-O2342)*v01_OvercapLoss</x:f>
        <x:v>0</x:v>
      </x:c>
      <x:c r="W2342" s="9" t="n">
        <x:f>H2342*Y2341/(v01_ChildYears*4)</x:f>
        <x:v>0</x:v>
      </x:c>
      <x:c r="X2342" s="9" t="n">
        <x:f>H2342*Z2341/(v01_AdultYears*4)</x:f>
        <x:v>0</x:v>
      </x:c>
      <x:c r="Y2342" s="32" t="n">
        <x:f>Y2341+R2342-S2342-W2342-Y2341*V2342/AB2341</x:f>
        <x:v>14306.18539759397</x:v>
      </x:c>
      <x:c r="Z2342" s="32" t="n">
        <x:f>Z2341+W2342-X2342-T2342-Z2341*V2342/AB2341</x:f>
        <x:v>19354.456567879548</x:v>
      </x:c>
      <x:c r="AA2342" s="32" t="n">
        <x:f>AA2341+X2342-U2342-AA2341*V2342/AB2341</x:f>
        <x:v>11386.956063258198</x:v>
      </x:c>
      <x:c r="AB2342" s="10" t="n">
        <x:f>Y2342+Z2342+AA2342</x:f>
        <x:v>45047.59802873172</x:v>
      </x:c>
      <x:c r="AC2342" s="8" t="n">
        <x:f>IF(AND(v01_WinterTrigger=1,D2342=1,AB2341/AE2341&gt;=K2342),1,0)</x:f>
        <x:v>0</x:v>
      </x:c>
      <x:c r="AD2342" s="8" t="n">
        <x:f>H2342*IF(AND(OR(AB2341/AE2341&gt;=v01_FissionTrigger*N2342,AC2342=1),AB2341/AE2341*v01_DaughterShare&gt;=v01_MinDaughter),MAX(1,ROUND(AE2341*v01_FissionRate,0)),0)</x:f>
        <x:v>0</x:v>
      </x:c>
      <x:c r="AE2342" s="8" t="n">
        <x:f>IF(H2342=1,MAX(1,MIN(INDEX(v01_Smax,G2342),AE2341+AD2342)),AE2341)</x:f>
        <x:v>15</x:v>
      </x:c>
      <x:c r="AF2342" s="8" t="n">
        <x:f>MAX(0,AE2342-AE2341)</x:f>
        <x:v>0</x:v>
      </x:c>
      <x:c r="AG2342" s="9" t="str">
        <x:f>IF(AF2342&gt;0,B2342,"")</x:f>
      </x:c>
      <x:c r="AH2342" s="9" t="n">
        <x:f>IF(F2342&gt;=1,1,(1+v01_LowTiesShare*(AE2342-1))/AE2342)</x:f>
        <x:v>1</x:v>
      </x:c>
      <x:c r="AI2342" s="32" t="n">
        <x:f>(Z2342+v01_ElderCommons*INDEX(LM_Elder,G2342)*AA2342)*AH2342</x:f>
        <x:v>64139.732591141874</x:v>
      </x:c>
      <x:c r="AJ2342" s="32" t="n">
        <x:f>H2342*v01_CommonsCoef*AI2342^v01_CommonsExp*INDEX(LM_Commons,G2342)</x:f>
        <x:v>0</x:v>
      </x:c>
      <x:c r="AK2342" s="32" t="n">
        <x:f>H2342*v01_RoleScale*Arch_Roles*(AE2342*(INDEX(v01_ElderRolePerSett,G2342)*v01_OutElder*INDEX(LM_Elder,G2342)+INDEX(v01_ShamanPerSett,G2342)*v01_OutShaman)+Z2342*(INDEX(v01_PriestShare,G2342)*v01_OutPriest+INDEX(v01_ScribeShare,G2342)*v01_OutScribe*INDEX(LM_Scribe,G2342)+INDEX(v01_ScholarShare,G2342)*v01_OutScholar*INDEX(LM_Scholar,G2342)+INDEX(v01_ResearcherShare,G2342)*v01_OutResearcher*INDEX(LM_Researcher,G2342)))</x:f>
        <x:v>0</x:v>
      </x:c>
      <x:c r="AL2342" s="32" t="n">
        <x:f>H2342*v01_RoleScale*Arch_Roles*AE2342*INDEX(v01_MonasteryPerSett,G2342)*v01_OutMonastery*INDEX(LM_Monastery,G2342)</x:f>
        <x:v>0</x:v>
      </x:c>
      <x:c r="AM2342" s="32" t="n">
        <x:f>(AJ2342+AK2342+AL2342)/4*INDEX(LM_All,G2342)*INDEX(v01_Boon,G2342)*Arch_Insight</x:f>
        <x:v>0</x:v>
      </x:c>
      <x:c r="AN2342" s="32" t="n">
        <x:f>H2342*(v01_KHPerAdult*Z2342+v01_KHOfCommons*AJ2342/4*INDEX(LM_All,G2342))*v01_KHUsable*Arch_KH</x:f>
        <x:v>0</x:v>
      </x:c>
      <x:c r="AO2342" s="32" t="n">
        <x:f>MIN(AP2341+AN2342,AM2342*v01_KHMaxRatio)</x:f>
        <x:v>0</x:v>
      </x:c>
      <x:c r="AP2342" s="32" t="n">
        <x:f>AP2341+AN2342-AO2342</x:f>
        <x:v>0</x:v>
      </x:c>
      <x:c r="AQ2342" s="32" t="n">
        <x:f>AM2342+AO2342</x:f>
        <x:v>0</x:v>
      </x:c>
      <x:c r="AR2342" s="10" t="n">
        <x:f>IF(H2342=1,INDEX(v01_Req,G2342),0)</x:f>
        <x:v>0</x:v>
      </x:c>
      <x:c r="AS2342" s="32" t="n">
        <x:f>IF(H2342=1,IF(E2342=1,AS2341-AR2341,AS2341)+AQ2342,0)</x:f>
        <x:v>0</x:v>
      </x:c>
      <x:c r="AT2342" s="11" t="n">
        <x:f>IF(AR2342&gt;0,MIN(1,AS2342/AR2342),1)</x:f>
        <x:v>1</x:v>
      </x:c>
      <x:c r="AU2342" s="10" t="n">
        <x:f>AB2342/INDEX(v01_RepScale,G2342)</x:f>
        <x:v>90.09519605746344</x:v>
      </x:c>
      <x:c r="AV2342" s="32" t="n">
        <x:f>AM2342*60/v01_SeasonSeconds</x:f>
        <x:v>0</x:v>
      </x:c>
    </x:row>
    <x:row r="2343">
      <x:c r="A2343" s="8" t="n">
        <x:f>A2342+1</x:f>
        <x:v>2340</x:v>
      </x:c>
      <x:c r="B2343" s="9" t="n">
        <x:f>A2343*v01_SeasonSeconds/60</x:f>
        <x:v>585</x:v>
      </x:c>
      <x:c r="C2343" s="9" t="n">
        <x:f>A2343/4</x:f>
        <x:v>585</x:v>
      </x:c>
      <x:c r="D2343" s="8" t="n">
        <x:f>IF(MOD(A2343,4)=0,1,0)</x:f>
        <x:v>1</x:v>
      </x:c>
      <x:c r="E2343" s="8" t="n">
        <x:f>IF(AND(F2342&lt;=9,AS2342&gt;=AR2342),1,0)</x:f>
        <x:v>0</x:v>
      </x:c>
      <x:c r="F2343" s="8" t="n">
        <x:f>MIN(10,F2342+E2343)</x:f>
        <x:v>10</x:v>
      </x:c>
      <x:c r="G2343" s="8" t="n">
        <x:f>MIN(F2343,9)+1</x:f>
        <x:v>10</x:v>
      </x:c>
      <x:c r="H2343" s="8" t="n">
        <x:f>IF(F2343&lt;=9,1,0)</x:f>
        <x:v>0</x:v>
      </x:c>
      <x:c r="I2343" s="9" t="n">
        <x:f>MIN(10,F2342+IF(AR2342&gt;0,MIN(1,AS2342/AR2342),1))</x:f>
        <x:v>10</x:v>
      </x:c>
      <x:c r="J2343" s="32" t="n">
        <x:f>INDEX(v01_FoodCap,G2343)*Arch_FoodCap*EXP(v01_CapsByProject*SUMPRODUCT((Cap_Point&lt;=I2343)*(Cap_Kind="Food")*Cap_Ln))</x:f>
        <x:v>12000</x:v>
      </x:c>
      <x:c r="K2343" s="32" t="n">
        <x:f>J2343*MIN(1,v01_LeanBase*EXP(v01_CapsByProject*SUMPRODUCT((Cap_Point&lt;=I2343)*(Cap_Kind="Lean")*Cap_Ln)))</x:f>
        <x:v>12000</x:v>
      </x:c>
      <x:c r="L2343" s="10" t="n">
        <x:f>INDEX(v01_HousingCap,G2343)*EXP(v01_CapsByProject*SUMPRODUCT((Cap_Point&lt;=I2343)*(Cap_Kind="Housing")*Cap_Ln))</x:f>
        <x:v>20000</x:v>
      </x:c>
      <x:c r="M2343" s="10" t="n">
        <x:f>INDEX(v01_GroupCap,G2343)*v01_CohesionFactor*EXP(v01_CapsByProject*SUMPRODUCT((Cap_Point&lt;=I2343)*(Cap_Kind="Group")*Cap_Ln))</x:f>
        <x:v>1000000</x:v>
      </x:c>
      <x:c r="N2343" s="32" t="n">
        <x:f>MIN(J2343,L2343,M2343)</x:f>
        <x:v>12000</x:v>
      </x:c>
      <x:c r="O2343" s="10" t="n">
        <x:f>AE2342*N2343</x:f>
        <x:v>180000</x:v>
      </x:c>
      <x:c r="P2343" s="9" t="n">
        <x:f>MIN(1,(AB2342/(AE2342*IF(v01_GroupInCrowding=1,N2343,MIN(J2343,L2343))))^v01_CrowdingExp)</x:f>
        <x:v>0.00024569414295285325</x:v>
      </x:c>
      <x:c r="Q2343" s="9" t="n">
        <x:f>IF(D2343=1,INDEX(v01_WinterMult,G2343),1)</x:f>
        <x:v>1</x:v>
      </x:c>
      <x:c r="R2343" s="9" t="n">
        <x:f>H2343*Z2342*v01_WomenShare*v01_BaseFertility*INDEX(v01_FertMult,G2343)*Arch_Fertility*(1-P2343)</x:f>
        <x:v>0</x:v>
      </x:c>
      <x:c r="S2343" s="9" t="n">
        <x:f>H2343*Y2342*INDEX(v01_MortChild,G2343)/4*Q2343</x:f>
        <x:v>0</x:v>
      </x:c>
      <x:c r="T2343" s="9" t="n">
        <x:f>H2343*Z2342*INDEX(v01_MortAdult,G2343)*Arch_AdultMort/4*Q2343</x:f>
        <x:v>0</x:v>
      </x:c>
      <x:c r="U2343" s="9" t="n">
        <x:f>H2343*AA2342*INDEX(v01_MortElder,G2343)/4*Q2343</x:f>
        <x:v>0</x:v>
      </x:c>
      <x:c r="V2343" s="9" t="n">
        <x:f>H2343*MAX(0,AB2342-O2343)*v01_OvercapLoss</x:f>
        <x:v>0</x:v>
      </x:c>
      <x:c r="W2343" s="9" t="n">
        <x:f>H2343*Y2342/(v01_ChildYears*4)</x:f>
        <x:v>0</x:v>
      </x:c>
      <x:c r="X2343" s="9" t="n">
        <x:f>H2343*Z2342/(v01_AdultYears*4)</x:f>
        <x:v>0</x:v>
      </x:c>
      <x:c r="Y2343" s="32" t="n">
        <x:f>Y2342+R2343-S2343-W2343-Y2342*V2343/AB2342</x:f>
        <x:v>14306.18539759397</x:v>
      </x:c>
      <x:c r="Z2343" s="32" t="n">
        <x:f>Z2342+W2343-X2343-T2343-Z2342*V2343/AB2342</x:f>
        <x:v>19354.456567879548</x:v>
      </x:c>
      <x:c r="AA2343" s="32" t="n">
        <x:f>AA2342+X2343-U2343-AA2342*V2343/AB2342</x:f>
        <x:v>11386.956063258198</x:v>
      </x:c>
      <x:c r="AB2343" s="10" t="n">
        <x:f>Y2343+Z2343+AA2343</x:f>
        <x:v>45047.59802873172</x:v>
      </x:c>
      <x:c r="AC2343" s="8" t="n">
        <x:f>IF(AND(v01_WinterTrigger=1,D2343=1,AB2342/AE2342&gt;=K2343),1,0)</x:f>
        <x:v>0</x:v>
      </x:c>
      <x:c r="AD2343" s="8" t="n">
        <x:f>H2343*IF(AND(OR(AB2342/AE2342&gt;=v01_FissionTrigger*N2343,AC2343=1),AB2342/AE2342*v01_DaughterShare&gt;=v01_MinDaughter),MAX(1,ROUND(AE2342*v01_FissionRate,0)),0)</x:f>
        <x:v>0</x:v>
      </x:c>
      <x:c r="AE2343" s="8" t="n">
        <x:f>IF(H2343=1,MAX(1,MIN(INDEX(v01_Smax,G2343),AE2342+AD2343)),AE2342)</x:f>
        <x:v>15</x:v>
      </x:c>
      <x:c r="AF2343" s="8" t="n">
        <x:f>MAX(0,AE2343-AE2342)</x:f>
        <x:v>0</x:v>
      </x:c>
      <x:c r="AG2343" s="9" t="str">
        <x:f>IF(AF2343&gt;0,B2343,"")</x:f>
      </x:c>
      <x:c r="AH2343" s="9" t="n">
        <x:f>IF(F2343&gt;=1,1,(1+v01_LowTiesShare*(AE2343-1))/AE2343)</x:f>
        <x:v>1</x:v>
      </x:c>
      <x:c r="AI2343" s="32" t="n">
        <x:f>(Z2343+v01_ElderCommons*INDEX(LM_Elder,G2343)*AA2343)*AH2343</x:f>
        <x:v>64139.732591141874</x:v>
      </x:c>
      <x:c r="AJ2343" s="32" t="n">
        <x:f>H2343*v01_CommonsCoef*AI2343^v01_CommonsExp*INDEX(LM_Commons,G2343)</x:f>
        <x:v>0</x:v>
      </x:c>
      <x:c r="AK2343" s="32" t="n">
        <x:f>H2343*v01_RoleScale*Arch_Roles*(AE2343*(INDEX(v01_ElderRolePerSett,G2343)*v01_OutElder*INDEX(LM_Elder,G2343)+INDEX(v01_ShamanPerSett,G2343)*v01_OutShaman)+Z2343*(INDEX(v01_PriestShare,G2343)*v01_OutPriest+INDEX(v01_ScribeShare,G2343)*v01_OutScribe*INDEX(LM_Scribe,G2343)+INDEX(v01_ScholarShare,G2343)*v01_OutScholar*INDEX(LM_Scholar,G2343)+INDEX(v01_ResearcherShare,G2343)*v01_OutResearcher*INDEX(LM_Researcher,G2343)))</x:f>
        <x:v>0</x:v>
      </x:c>
      <x:c r="AL2343" s="32" t="n">
        <x:f>H2343*v01_RoleScale*Arch_Roles*AE2343*INDEX(v01_MonasteryPerSett,G2343)*v01_OutMonastery*INDEX(LM_Monastery,G2343)</x:f>
        <x:v>0</x:v>
      </x:c>
      <x:c r="AM2343" s="32" t="n">
        <x:f>(AJ2343+AK2343+AL2343)/4*INDEX(LM_All,G2343)*INDEX(v01_Boon,G2343)*Arch_Insight</x:f>
        <x:v>0</x:v>
      </x:c>
      <x:c r="AN2343" s="32" t="n">
        <x:f>H2343*(v01_KHPerAdult*Z2343+v01_KHOfCommons*AJ2343/4*INDEX(LM_All,G2343))*v01_KHUsable*Arch_KH</x:f>
        <x:v>0</x:v>
      </x:c>
      <x:c r="AO2343" s="32" t="n">
        <x:f>MIN(AP2342+AN2343,AM2343*v01_KHMaxRatio)</x:f>
        <x:v>0</x:v>
      </x:c>
      <x:c r="AP2343" s="32" t="n">
        <x:f>AP2342+AN2343-AO2343</x:f>
        <x:v>0</x:v>
      </x:c>
      <x:c r="AQ2343" s="32" t="n">
        <x:f>AM2343+AO2343</x:f>
        <x:v>0</x:v>
      </x:c>
      <x:c r="AR2343" s="10" t="n">
        <x:f>IF(H2343=1,INDEX(v01_Req,G2343),0)</x:f>
        <x:v>0</x:v>
      </x:c>
      <x:c r="AS2343" s="32" t="n">
        <x:f>IF(H2343=1,IF(E2343=1,AS2342-AR2342,AS2342)+AQ2343,0)</x:f>
        <x:v>0</x:v>
      </x:c>
      <x:c r="AT2343" s="11" t="n">
        <x:f>IF(AR2343&gt;0,MIN(1,AS2343/AR2343),1)</x:f>
        <x:v>1</x:v>
      </x:c>
      <x:c r="AU2343" s="10" t="n">
        <x:f>AB2343/INDEX(v01_RepScale,G2343)</x:f>
        <x:v>90.09519605746344</x:v>
      </x:c>
      <x:c r="AV2343" s="32" t="n">
        <x:f>AM2343*60/v01_SeasonSeconds</x:f>
        <x:v>0</x:v>
      </x:c>
    </x:row>
    <x:row r="2344">
      <x:c r="A2344" s="8" t="n">
        <x:f>A2343+1</x:f>
        <x:v>2341</x:v>
      </x:c>
      <x:c r="B2344" s="9" t="n">
        <x:f>A2344*v01_SeasonSeconds/60</x:f>
        <x:v>585.25</x:v>
      </x:c>
      <x:c r="C2344" s="9" t="n">
        <x:f>A2344/4</x:f>
        <x:v>585.25</x:v>
      </x:c>
      <x:c r="D2344" s="8" t="n">
        <x:f>IF(MOD(A2344,4)=0,1,0)</x:f>
        <x:v>0</x:v>
      </x:c>
      <x:c r="E2344" s="8" t="n">
        <x:f>IF(AND(F2343&lt;=9,AS2343&gt;=AR2343),1,0)</x:f>
        <x:v>0</x:v>
      </x:c>
      <x:c r="F2344" s="8" t="n">
        <x:f>MIN(10,F2343+E2344)</x:f>
        <x:v>10</x:v>
      </x:c>
      <x:c r="G2344" s="8" t="n">
        <x:f>MIN(F2344,9)+1</x:f>
        <x:v>10</x:v>
      </x:c>
      <x:c r="H2344" s="8" t="n">
        <x:f>IF(F2344&lt;=9,1,0)</x:f>
        <x:v>0</x:v>
      </x:c>
      <x:c r="I2344" s="9" t="n">
        <x:f>MIN(10,F2343+IF(AR2343&gt;0,MIN(1,AS2343/AR2343),1))</x:f>
        <x:v>10</x:v>
      </x:c>
      <x:c r="J2344" s="32" t="n">
        <x:f>INDEX(v01_FoodCap,G2344)*Arch_FoodCap*EXP(v01_CapsByProject*SUMPRODUCT((Cap_Point&lt;=I2344)*(Cap_Kind="Food")*Cap_Ln))</x:f>
        <x:v>12000</x:v>
      </x:c>
      <x:c r="K2344" s="32" t="n">
        <x:f>J2344*MIN(1,v01_LeanBase*EXP(v01_CapsByProject*SUMPRODUCT((Cap_Point&lt;=I2344)*(Cap_Kind="Lean")*Cap_Ln)))</x:f>
        <x:v>12000</x:v>
      </x:c>
      <x:c r="L2344" s="10" t="n">
        <x:f>INDEX(v01_HousingCap,G2344)*EXP(v01_CapsByProject*SUMPRODUCT((Cap_Point&lt;=I2344)*(Cap_Kind="Housing")*Cap_Ln))</x:f>
        <x:v>20000</x:v>
      </x:c>
      <x:c r="M2344" s="10" t="n">
        <x:f>INDEX(v01_GroupCap,G2344)*v01_CohesionFactor*EXP(v01_CapsByProject*SUMPRODUCT((Cap_Point&lt;=I2344)*(Cap_Kind="Group")*Cap_Ln))</x:f>
        <x:v>1000000</x:v>
      </x:c>
      <x:c r="N2344" s="32" t="n">
        <x:f>MIN(J2344,L2344,M2344)</x:f>
        <x:v>12000</x:v>
      </x:c>
      <x:c r="O2344" s="10" t="n">
        <x:f>AE2343*N2344</x:f>
        <x:v>180000</x:v>
      </x:c>
      <x:c r="P2344" s="9" t="n">
        <x:f>MIN(1,(AB2343/(AE2343*IF(v01_GroupInCrowding=1,N2344,MIN(J2344,L2344))))^v01_CrowdingExp)</x:f>
        <x:v>0.00024569414295285325</x:v>
      </x:c>
      <x:c r="Q2344" s="9" t="n">
        <x:f>IF(D2344=1,INDEX(v01_WinterMult,G2344),1)</x:f>
        <x:v>1</x:v>
      </x:c>
      <x:c r="R2344" s="9" t="n">
        <x:f>H2344*Z2343*v01_WomenShare*v01_BaseFertility*INDEX(v01_FertMult,G2344)*Arch_Fertility*(1-P2344)</x:f>
        <x:v>0</x:v>
      </x:c>
      <x:c r="S2344" s="9" t="n">
        <x:f>H2344*Y2343*INDEX(v01_MortChild,G2344)/4*Q2344</x:f>
        <x:v>0</x:v>
      </x:c>
      <x:c r="T2344" s="9" t="n">
        <x:f>H2344*Z2343*INDEX(v01_MortAdult,G2344)*Arch_AdultMort/4*Q2344</x:f>
        <x:v>0</x:v>
      </x:c>
      <x:c r="U2344" s="9" t="n">
        <x:f>H2344*AA2343*INDEX(v01_MortElder,G2344)/4*Q2344</x:f>
        <x:v>0</x:v>
      </x:c>
      <x:c r="V2344" s="9" t="n">
        <x:f>H2344*MAX(0,AB2343-O2344)*v01_OvercapLoss</x:f>
        <x:v>0</x:v>
      </x:c>
      <x:c r="W2344" s="9" t="n">
        <x:f>H2344*Y2343/(v01_ChildYears*4)</x:f>
        <x:v>0</x:v>
      </x:c>
      <x:c r="X2344" s="9" t="n">
        <x:f>H2344*Z2343/(v01_AdultYears*4)</x:f>
        <x:v>0</x:v>
      </x:c>
      <x:c r="Y2344" s="32" t="n">
        <x:f>Y2343+R2344-S2344-W2344-Y2343*V2344/AB2343</x:f>
        <x:v>14306.18539759397</x:v>
      </x:c>
      <x:c r="Z2344" s="32" t="n">
        <x:f>Z2343+W2344-X2344-T2344-Z2343*V2344/AB2343</x:f>
        <x:v>19354.456567879548</x:v>
      </x:c>
      <x:c r="AA2344" s="32" t="n">
        <x:f>AA2343+X2344-U2344-AA2343*V2344/AB2343</x:f>
        <x:v>11386.956063258198</x:v>
      </x:c>
      <x:c r="AB2344" s="10" t="n">
        <x:f>Y2344+Z2344+AA2344</x:f>
        <x:v>45047.59802873172</x:v>
      </x:c>
      <x:c r="AC2344" s="8" t="n">
        <x:f>IF(AND(v01_WinterTrigger=1,D2344=1,AB2343/AE2343&gt;=K2344),1,0)</x:f>
        <x:v>0</x:v>
      </x:c>
      <x:c r="AD2344" s="8" t="n">
        <x:f>H2344*IF(AND(OR(AB2343/AE2343&gt;=v01_FissionTrigger*N2344,AC2344=1),AB2343/AE2343*v01_DaughterShare&gt;=v01_MinDaughter),MAX(1,ROUND(AE2343*v01_FissionRate,0)),0)</x:f>
        <x:v>0</x:v>
      </x:c>
      <x:c r="AE2344" s="8" t="n">
        <x:f>IF(H2344=1,MAX(1,MIN(INDEX(v01_Smax,G2344),AE2343+AD2344)),AE2343)</x:f>
        <x:v>15</x:v>
      </x:c>
      <x:c r="AF2344" s="8" t="n">
        <x:f>MAX(0,AE2344-AE2343)</x:f>
        <x:v>0</x:v>
      </x:c>
      <x:c r="AG2344" s="9" t="str">
        <x:f>IF(AF2344&gt;0,B2344,"")</x:f>
      </x:c>
      <x:c r="AH2344" s="9" t="n">
        <x:f>IF(F2344&gt;=1,1,(1+v01_LowTiesShare*(AE2344-1))/AE2344)</x:f>
        <x:v>1</x:v>
      </x:c>
      <x:c r="AI2344" s="32" t="n">
        <x:f>(Z2344+v01_ElderCommons*INDEX(LM_Elder,G2344)*AA2344)*AH2344</x:f>
        <x:v>64139.732591141874</x:v>
      </x:c>
      <x:c r="AJ2344" s="32" t="n">
        <x:f>H2344*v01_CommonsCoef*AI2344^v01_CommonsExp*INDEX(LM_Commons,G2344)</x:f>
        <x:v>0</x:v>
      </x:c>
      <x:c r="AK2344" s="32" t="n">
        <x:f>H2344*v01_RoleScale*Arch_Roles*(AE2344*(INDEX(v01_ElderRolePerSett,G2344)*v01_OutElder*INDEX(LM_Elder,G2344)+INDEX(v01_ShamanPerSett,G2344)*v01_OutShaman)+Z2344*(INDEX(v01_PriestShare,G2344)*v01_OutPriest+INDEX(v01_ScribeShare,G2344)*v01_OutScribe*INDEX(LM_Scribe,G2344)+INDEX(v01_ScholarShare,G2344)*v01_OutScholar*INDEX(LM_Scholar,G2344)+INDEX(v01_ResearcherShare,G2344)*v01_OutResearcher*INDEX(LM_Researcher,G2344)))</x:f>
        <x:v>0</x:v>
      </x:c>
      <x:c r="AL2344" s="32" t="n">
        <x:f>H2344*v01_RoleScale*Arch_Roles*AE2344*INDEX(v01_MonasteryPerSett,G2344)*v01_OutMonastery*INDEX(LM_Monastery,G2344)</x:f>
        <x:v>0</x:v>
      </x:c>
      <x:c r="AM2344" s="32" t="n">
        <x:f>(AJ2344+AK2344+AL2344)/4*INDEX(LM_All,G2344)*INDEX(v01_Boon,G2344)*Arch_Insight</x:f>
        <x:v>0</x:v>
      </x:c>
      <x:c r="AN2344" s="32" t="n">
        <x:f>H2344*(v01_KHPerAdult*Z2344+v01_KHOfCommons*AJ2344/4*INDEX(LM_All,G2344))*v01_KHUsable*Arch_KH</x:f>
        <x:v>0</x:v>
      </x:c>
      <x:c r="AO2344" s="32" t="n">
        <x:f>MIN(AP2343+AN2344,AM2344*v01_KHMaxRatio)</x:f>
        <x:v>0</x:v>
      </x:c>
      <x:c r="AP2344" s="32" t="n">
        <x:f>AP2343+AN2344-AO2344</x:f>
        <x:v>0</x:v>
      </x:c>
      <x:c r="AQ2344" s="32" t="n">
        <x:f>AM2344+AO2344</x:f>
        <x:v>0</x:v>
      </x:c>
      <x:c r="AR2344" s="10" t="n">
        <x:f>IF(H2344=1,INDEX(v01_Req,G2344),0)</x:f>
        <x:v>0</x:v>
      </x:c>
      <x:c r="AS2344" s="32" t="n">
        <x:f>IF(H2344=1,IF(E2344=1,AS2343-AR2343,AS2343)+AQ2344,0)</x:f>
        <x:v>0</x:v>
      </x:c>
      <x:c r="AT2344" s="11" t="n">
        <x:f>IF(AR2344&gt;0,MIN(1,AS2344/AR2344),1)</x:f>
        <x:v>1</x:v>
      </x:c>
      <x:c r="AU2344" s="10" t="n">
        <x:f>AB2344/INDEX(v01_RepScale,G2344)</x:f>
        <x:v>90.09519605746344</x:v>
      </x:c>
      <x:c r="AV2344" s="32" t="n">
        <x:f>AM2344*60/v01_SeasonSeconds</x:f>
        <x:v>0</x:v>
      </x:c>
    </x:row>
    <x:row r="2345">
      <x:c r="A2345" s="8" t="n">
        <x:f>A2344+1</x:f>
        <x:v>2342</x:v>
      </x:c>
      <x:c r="B2345" s="9" t="n">
        <x:f>A2345*v01_SeasonSeconds/60</x:f>
        <x:v>585.5</x:v>
      </x:c>
      <x:c r="C2345" s="9" t="n">
        <x:f>A2345/4</x:f>
        <x:v>585.5</x:v>
      </x:c>
      <x:c r="D2345" s="8" t="n">
        <x:f>IF(MOD(A2345,4)=0,1,0)</x:f>
        <x:v>0</x:v>
      </x:c>
      <x:c r="E2345" s="8" t="n">
        <x:f>IF(AND(F2344&lt;=9,AS2344&gt;=AR2344),1,0)</x:f>
        <x:v>0</x:v>
      </x:c>
      <x:c r="F2345" s="8" t="n">
        <x:f>MIN(10,F2344+E2345)</x:f>
        <x:v>10</x:v>
      </x:c>
      <x:c r="G2345" s="8" t="n">
        <x:f>MIN(F2345,9)+1</x:f>
        <x:v>10</x:v>
      </x:c>
      <x:c r="H2345" s="8" t="n">
        <x:f>IF(F2345&lt;=9,1,0)</x:f>
        <x:v>0</x:v>
      </x:c>
      <x:c r="I2345" s="9" t="n">
        <x:f>MIN(10,F2344+IF(AR2344&gt;0,MIN(1,AS2344/AR2344),1))</x:f>
        <x:v>10</x:v>
      </x:c>
      <x:c r="J2345" s="32" t="n">
        <x:f>INDEX(v01_FoodCap,G2345)*Arch_FoodCap*EXP(v01_CapsByProject*SUMPRODUCT((Cap_Point&lt;=I2345)*(Cap_Kind="Food")*Cap_Ln))</x:f>
        <x:v>12000</x:v>
      </x:c>
      <x:c r="K2345" s="32" t="n">
        <x:f>J2345*MIN(1,v01_LeanBase*EXP(v01_CapsByProject*SUMPRODUCT((Cap_Point&lt;=I2345)*(Cap_Kind="Lean")*Cap_Ln)))</x:f>
        <x:v>12000</x:v>
      </x:c>
      <x:c r="L2345" s="10" t="n">
        <x:f>INDEX(v01_HousingCap,G2345)*EXP(v01_CapsByProject*SUMPRODUCT((Cap_Point&lt;=I2345)*(Cap_Kind="Housing")*Cap_Ln))</x:f>
        <x:v>20000</x:v>
      </x:c>
      <x:c r="M2345" s="10" t="n">
        <x:f>INDEX(v01_GroupCap,G2345)*v01_CohesionFactor*EXP(v01_CapsByProject*SUMPRODUCT((Cap_Point&lt;=I2345)*(Cap_Kind="Group")*Cap_Ln))</x:f>
        <x:v>1000000</x:v>
      </x:c>
      <x:c r="N2345" s="32" t="n">
        <x:f>MIN(J2345,L2345,M2345)</x:f>
        <x:v>12000</x:v>
      </x:c>
      <x:c r="O2345" s="10" t="n">
        <x:f>AE2344*N2345</x:f>
        <x:v>180000</x:v>
      </x:c>
      <x:c r="P2345" s="9" t="n">
        <x:f>MIN(1,(AB2344/(AE2344*IF(v01_GroupInCrowding=1,N2345,MIN(J2345,L2345))))^v01_CrowdingExp)</x:f>
        <x:v>0.00024569414295285325</x:v>
      </x:c>
      <x:c r="Q2345" s="9" t="n">
        <x:f>IF(D2345=1,INDEX(v01_WinterMult,G2345),1)</x:f>
        <x:v>1</x:v>
      </x:c>
      <x:c r="R2345" s="9" t="n">
        <x:f>H2345*Z2344*v01_WomenShare*v01_BaseFertility*INDEX(v01_FertMult,G2345)*Arch_Fertility*(1-P2345)</x:f>
        <x:v>0</x:v>
      </x:c>
      <x:c r="S2345" s="9" t="n">
        <x:f>H2345*Y2344*INDEX(v01_MortChild,G2345)/4*Q2345</x:f>
        <x:v>0</x:v>
      </x:c>
      <x:c r="T2345" s="9" t="n">
        <x:f>H2345*Z2344*INDEX(v01_MortAdult,G2345)*Arch_AdultMort/4*Q2345</x:f>
        <x:v>0</x:v>
      </x:c>
      <x:c r="U2345" s="9" t="n">
        <x:f>H2345*AA2344*INDEX(v01_MortElder,G2345)/4*Q2345</x:f>
        <x:v>0</x:v>
      </x:c>
      <x:c r="V2345" s="9" t="n">
        <x:f>H2345*MAX(0,AB2344-O2345)*v01_OvercapLoss</x:f>
        <x:v>0</x:v>
      </x:c>
      <x:c r="W2345" s="9" t="n">
        <x:f>H2345*Y2344/(v01_ChildYears*4)</x:f>
        <x:v>0</x:v>
      </x:c>
      <x:c r="X2345" s="9" t="n">
        <x:f>H2345*Z2344/(v01_AdultYears*4)</x:f>
        <x:v>0</x:v>
      </x:c>
      <x:c r="Y2345" s="32" t="n">
        <x:f>Y2344+R2345-S2345-W2345-Y2344*V2345/AB2344</x:f>
        <x:v>14306.18539759397</x:v>
      </x:c>
      <x:c r="Z2345" s="32" t="n">
        <x:f>Z2344+W2345-X2345-T2345-Z2344*V2345/AB2344</x:f>
        <x:v>19354.456567879548</x:v>
      </x:c>
      <x:c r="AA2345" s="32" t="n">
        <x:f>AA2344+X2345-U2345-AA2344*V2345/AB2344</x:f>
        <x:v>11386.956063258198</x:v>
      </x:c>
      <x:c r="AB2345" s="10" t="n">
        <x:f>Y2345+Z2345+AA2345</x:f>
        <x:v>45047.59802873172</x:v>
      </x:c>
      <x:c r="AC2345" s="8" t="n">
        <x:f>IF(AND(v01_WinterTrigger=1,D2345=1,AB2344/AE2344&gt;=K2345),1,0)</x:f>
        <x:v>0</x:v>
      </x:c>
      <x:c r="AD2345" s="8" t="n">
        <x:f>H2345*IF(AND(OR(AB2344/AE2344&gt;=v01_FissionTrigger*N2345,AC2345=1),AB2344/AE2344*v01_DaughterShare&gt;=v01_MinDaughter),MAX(1,ROUND(AE2344*v01_FissionRate,0)),0)</x:f>
        <x:v>0</x:v>
      </x:c>
      <x:c r="AE2345" s="8" t="n">
        <x:f>IF(H2345=1,MAX(1,MIN(INDEX(v01_Smax,G2345),AE2344+AD2345)),AE2344)</x:f>
        <x:v>15</x:v>
      </x:c>
      <x:c r="AF2345" s="8" t="n">
        <x:f>MAX(0,AE2345-AE2344)</x:f>
        <x:v>0</x:v>
      </x:c>
      <x:c r="AG2345" s="9" t="str">
        <x:f>IF(AF2345&gt;0,B2345,"")</x:f>
      </x:c>
      <x:c r="AH2345" s="9" t="n">
        <x:f>IF(F2345&gt;=1,1,(1+v01_LowTiesShare*(AE2345-1))/AE2345)</x:f>
        <x:v>1</x:v>
      </x:c>
      <x:c r="AI2345" s="32" t="n">
        <x:f>(Z2345+v01_ElderCommons*INDEX(LM_Elder,G2345)*AA2345)*AH2345</x:f>
        <x:v>64139.732591141874</x:v>
      </x:c>
      <x:c r="AJ2345" s="32" t="n">
        <x:f>H2345*v01_CommonsCoef*AI2345^v01_CommonsExp*INDEX(LM_Commons,G2345)</x:f>
        <x:v>0</x:v>
      </x:c>
      <x:c r="AK2345" s="32" t="n">
        <x:f>H2345*v01_RoleScale*Arch_Roles*(AE2345*(INDEX(v01_ElderRolePerSett,G2345)*v01_OutElder*INDEX(LM_Elder,G2345)+INDEX(v01_ShamanPerSett,G2345)*v01_OutShaman)+Z2345*(INDEX(v01_PriestShare,G2345)*v01_OutPriest+INDEX(v01_ScribeShare,G2345)*v01_OutScribe*INDEX(LM_Scribe,G2345)+INDEX(v01_ScholarShare,G2345)*v01_OutScholar*INDEX(LM_Scholar,G2345)+INDEX(v01_ResearcherShare,G2345)*v01_OutResearcher*INDEX(LM_Researcher,G2345)))</x:f>
        <x:v>0</x:v>
      </x:c>
      <x:c r="AL2345" s="32" t="n">
        <x:f>H2345*v01_RoleScale*Arch_Roles*AE2345*INDEX(v01_MonasteryPerSett,G2345)*v01_OutMonastery*INDEX(LM_Monastery,G2345)</x:f>
        <x:v>0</x:v>
      </x:c>
      <x:c r="AM2345" s="32" t="n">
        <x:f>(AJ2345+AK2345+AL2345)/4*INDEX(LM_All,G2345)*INDEX(v01_Boon,G2345)*Arch_Insight</x:f>
        <x:v>0</x:v>
      </x:c>
      <x:c r="AN2345" s="32" t="n">
        <x:f>H2345*(v01_KHPerAdult*Z2345+v01_KHOfCommons*AJ2345/4*INDEX(LM_All,G2345))*v01_KHUsable*Arch_KH</x:f>
        <x:v>0</x:v>
      </x:c>
      <x:c r="AO2345" s="32" t="n">
        <x:f>MIN(AP2344+AN2345,AM2345*v01_KHMaxRatio)</x:f>
        <x:v>0</x:v>
      </x:c>
      <x:c r="AP2345" s="32" t="n">
        <x:f>AP2344+AN2345-AO2345</x:f>
        <x:v>0</x:v>
      </x:c>
      <x:c r="AQ2345" s="32" t="n">
        <x:f>AM2345+AO2345</x:f>
        <x:v>0</x:v>
      </x:c>
      <x:c r="AR2345" s="10" t="n">
        <x:f>IF(H2345=1,INDEX(v01_Req,G2345),0)</x:f>
        <x:v>0</x:v>
      </x:c>
      <x:c r="AS2345" s="32" t="n">
        <x:f>IF(H2345=1,IF(E2345=1,AS2344-AR2344,AS2344)+AQ2345,0)</x:f>
        <x:v>0</x:v>
      </x:c>
      <x:c r="AT2345" s="11" t="n">
        <x:f>IF(AR2345&gt;0,MIN(1,AS2345/AR2345),1)</x:f>
        <x:v>1</x:v>
      </x:c>
      <x:c r="AU2345" s="10" t="n">
        <x:f>AB2345/INDEX(v01_RepScale,G2345)</x:f>
        <x:v>90.09519605746344</x:v>
      </x:c>
      <x:c r="AV2345" s="32" t="n">
        <x:f>AM2345*60/v01_SeasonSeconds</x:f>
        <x:v>0</x:v>
      </x:c>
    </x:row>
    <x:row r="2346">
      <x:c r="A2346" s="8" t="n">
        <x:f>A2345+1</x:f>
        <x:v>2343</x:v>
      </x:c>
      <x:c r="B2346" s="9" t="n">
        <x:f>A2346*v01_SeasonSeconds/60</x:f>
        <x:v>585.75</x:v>
      </x:c>
      <x:c r="C2346" s="9" t="n">
        <x:f>A2346/4</x:f>
        <x:v>585.75</x:v>
      </x:c>
      <x:c r="D2346" s="8" t="n">
        <x:f>IF(MOD(A2346,4)=0,1,0)</x:f>
        <x:v>0</x:v>
      </x:c>
      <x:c r="E2346" s="8" t="n">
        <x:f>IF(AND(F2345&lt;=9,AS2345&gt;=AR2345),1,0)</x:f>
        <x:v>0</x:v>
      </x:c>
      <x:c r="F2346" s="8" t="n">
        <x:f>MIN(10,F2345+E2346)</x:f>
        <x:v>10</x:v>
      </x:c>
      <x:c r="G2346" s="8" t="n">
        <x:f>MIN(F2346,9)+1</x:f>
        <x:v>10</x:v>
      </x:c>
      <x:c r="H2346" s="8" t="n">
        <x:f>IF(F2346&lt;=9,1,0)</x:f>
        <x:v>0</x:v>
      </x:c>
      <x:c r="I2346" s="9" t="n">
        <x:f>MIN(10,F2345+IF(AR2345&gt;0,MIN(1,AS2345/AR2345),1))</x:f>
        <x:v>10</x:v>
      </x:c>
      <x:c r="J2346" s="32" t="n">
        <x:f>INDEX(v01_FoodCap,G2346)*Arch_FoodCap*EXP(v01_CapsByProject*SUMPRODUCT((Cap_Point&lt;=I2346)*(Cap_Kind="Food")*Cap_Ln))</x:f>
        <x:v>12000</x:v>
      </x:c>
      <x:c r="K2346" s="32" t="n">
        <x:f>J2346*MIN(1,v01_LeanBase*EXP(v01_CapsByProject*SUMPRODUCT((Cap_Point&lt;=I2346)*(Cap_Kind="Lean")*Cap_Ln)))</x:f>
        <x:v>12000</x:v>
      </x:c>
      <x:c r="L2346" s="10" t="n">
        <x:f>INDEX(v01_HousingCap,G2346)*EXP(v01_CapsByProject*SUMPRODUCT((Cap_Point&lt;=I2346)*(Cap_Kind="Housing")*Cap_Ln))</x:f>
        <x:v>20000</x:v>
      </x:c>
      <x:c r="M2346" s="10" t="n">
        <x:f>INDEX(v01_GroupCap,G2346)*v01_CohesionFactor*EXP(v01_CapsByProject*SUMPRODUCT((Cap_Point&lt;=I2346)*(Cap_Kind="Group")*Cap_Ln))</x:f>
        <x:v>1000000</x:v>
      </x:c>
      <x:c r="N2346" s="32" t="n">
        <x:f>MIN(J2346,L2346,M2346)</x:f>
        <x:v>12000</x:v>
      </x:c>
      <x:c r="O2346" s="10" t="n">
        <x:f>AE2345*N2346</x:f>
        <x:v>180000</x:v>
      </x:c>
      <x:c r="P2346" s="9" t="n">
        <x:f>MIN(1,(AB2345/(AE2345*IF(v01_GroupInCrowding=1,N2346,MIN(J2346,L2346))))^v01_CrowdingExp)</x:f>
        <x:v>0.00024569414295285325</x:v>
      </x:c>
      <x:c r="Q2346" s="9" t="n">
        <x:f>IF(D2346=1,INDEX(v01_WinterMult,G2346),1)</x:f>
        <x:v>1</x:v>
      </x:c>
      <x:c r="R2346" s="9" t="n">
        <x:f>H2346*Z2345*v01_WomenShare*v01_BaseFertility*INDEX(v01_FertMult,G2346)*Arch_Fertility*(1-P2346)</x:f>
        <x:v>0</x:v>
      </x:c>
      <x:c r="S2346" s="9" t="n">
        <x:f>H2346*Y2345*INDEX(v01_MortChild,G2346)/4*Q2346</x:f>
        <x:v>0</x:v>
      </x:c>
      <x:c r="T2346" s="9" t="n">
        <x:f>H2346*Z2345*INDEX(v01_MortAdult,G2346)*Arch_AdultMort/4*Q2346</x:f>
        <x:v>0</x:v>
      </x:c>
      <x:c r="U2346" s="9" t="n">
        <x:f>H2346*AA2345*INDEX(v01_MortElder,G2346)/4*Q2346</x:f>
        <x:v>0</x:v>
      </x:c>
      <x:c r="V2346" s="9" t="n">
        <x:f>H2346*MAX(0,AB2345-O2346)*v01_OvercapLoss</x:f>
        <x:v>0</x:v>
      </x:c>
      <x:c r="W2346" s="9" t="n">
        <x:f>H2346*Y2345/(v01_ChildYears*4)</x:f>
        <x:v>0</x:v>
      </x:c>
      <x:c r="X2346" s="9" t="n">
        <x:f>H2346*Z2345/(v01_AdultYears*4)</x:f>
        <x:v>0</x:v>
      </x:c>
      <x:c r="Y2346" s="32" t="n">
        <x:f>Y2345+R2346-S2346-W2346-Y2345*V2346/AB2345</x:f>
        <x:v>14306.18539759397</x:v>
      </x:c>
      <x:c r="Z2346" s="32" t="n">
        <x:f>Z2345+W2346-X2346-T2346-Z2345*V2346/AB2345</x:f>
        <x:v>19354.456567879548</x:v>
      </x:c>
      <x:c r="AA2346" s="32" t="n">
        <x:f>AA2345+X2346-U2346-AA2345*V2346/AB2345</x:f>
        <x:v>11386.956063258198</x:v>
      </x:c>
      <x:c r="AB2346" s="10" t="n">
        <x:f>Y2346+Z2346+AA2346</x:f>
        <x:v>45047.59802873172</x:v>
      </x:c>
      <x:c r="AC2346" s="8" t="n">
        <x:f>IF(AND(v01_WinterTrigger=1,D2346=1,AB2345/AE2345&gt;=K2346),1,0)</x:f>
        <x:v>0</x:v>
      </x:c>
      <x:c r="AD2346" s="8" t="n">
        <x:f>H2346*IF(AND(OR(AB2345/AE2345&gt;=v01_FissionTrigger*N2346,AC2346=1),AB2345/AE2345*v01_DaughterShare&gt;=v01_MinDaughter),MAX(1,ROUND(AE2345*v01_FissionRate,0)),0)</x:f>
        <x:v>0</x:v>
      </x:c>
      <x:c r="AE2346" s="8" t="n">
        <x:f>IF(H2346=1,MAX(1,MIN(INDEX(v01_Smax,G2346),AE2345+AD2346)),AE2345)</x:f>
        <x:v>15</x:v>
      </x:c>
      <x:c r="AF2346" s="8" t="n">
        <x:f>MAX(0,AE2346-AE2345)</x:f>
        <x:v>0</x:v>
      </x:c>
      <x:c r="AG2346" s="9" t="str">
        <x:f>IF(AF2346&gt;0,B2346,"")</x:f>
      </x:c>
      <x:c r="AH2346" s="9" t="n">
        <x:f>IF(F2346&gt;=1,1,(1+v01_LowTiesShare*(AE2346-1))/AE2346)</x:f>
        <x:v>1</x:v>
      </x:c>
      <x:c r="AI2346" s="32" t="n">
        <x:f>(Z2346+v01_ElderCommons*INDEX(LM_Elder,G2346)*AA2346)*AH2346</x:f>
        <x:v>64139.732591141874</x:v>
      </x:c>
      <x:c r="AJ2346" s="32" t="n">
        <x:f>H2346*v01_CommonsCoef*AI2346^v01_CommonsExp*INDEX(LM_Commons,G2346)</x:f>
        <x:v>0</x:v>
      </x:c>
      <x:c r="AK2346" s="32" t="n">
        <x:f>H2346*v01_RoleScale*Arch_Roles*(AE2346*(INDEX(v01_ElderRolePerSett,G2346)*v01_OutElder*INDEX(LM_Elder,G2346)+INDEX(v01_ShamanPerSett,G2346)*v01_OutShaman)+Z2346*(INDEX(v01_PriestShare,G2346)*v01_OutPriest+INDEX(v01_ScribeShare,G2346)*v01_OutScribe*INDEX(LM_Scribe,G2346)+INDEX(v01_ScholarShare,G2346)*v01_OutScholar*INDEX(LM_Scholar,G2346)+INDEX(v01_ResearcherShare,G2346)*v01_OutResearcher*INDEX(LM_Researcher,G2346)))</x:f>
        <x:v>0</x:v>
      </x:c>
      <x:c r="AL2346" s="32" t="n">
        <x:f>H2346*v01_RoleScale*Arch_Roles*AE2346*INDEX(v01_MonasteryPerSett,G2346)*v01_OutMonastery*INDEX(LM_Monastery,G2346)</x:f>
        <x:v>0</x:v>
      </x:c>
      <x:c r="AM2346" s="32" t="n">
        <x:f>(AJ2346+AK2346+AL2346)/4*INDEX(LM_All,G2346)*INDEX(v01_Boon,G2346)*Arch_Insight</x:f>
        <x:v>0</x:v>
      </x:c>
      <x:c r="AN2346" s="32" t="n">
        <x:f>H2346*(v01_KHPerAdult*Z2346+v01_KHOfCommons*AJ2346/4*INDEX(LM_All,G2346))*v01_KHUsable*Arch_KH</x:f>
        <x:v>0</x:v>
      </x:c>
      <x:c r="AO2346" s="32" t="n">
        <x:f>MIN(AP2345+AN2346,AM2346*v01_KHMaxRatio)</x:f>
        <x:v>0</x:v>
      </x:c>
      <x:c r="AP2346" s="32" t="n">
        <x:f>AP2345+AN2346-AO2346</x:f>
        <x:v>0</x:v>
      </x:c>
      <x:c r="AQ2346" s="32" t="n">
        <x:f>AM2346+AO2346</x:f>
        <x:v>0</x:v>
      </x:c>
      <x:c r="AR2346" s="10" t="n">
        <x:f>IF(H2346=1,INDEX(v01_Req,G2346),0)</x:f>
        <x:v>0</x:v>
      </x:c>
      <x:c r="AS2346" s="32" t="n">
        <x:f>IF(H2346=1,IF(E2346=1,AS2345-AR2345,AS2345)+AQ2346,0)</x:f>
        <x:v>0</x:v>
      </x:c>
      <x:c r="AT2346" s="11" t="n">
        <x:f>IF(AR2346&gt;0,MIN(1,AS2346/AR2346),1)</x:f>
        <x:v>1</x:v>
      </x:c>
      <x:c r="AU2346" s="10" t="n">
        <x:f>AB2346/INDEX(v01_RepScale,G2346)</x:f>
        <x:v>90.09519605746344</x:v>
      </x:c>
      <x:c r="AV2346" s="32" t="n">
        <x:f>AM2346*60/v01_SeasonSeconds</x:f>
        <x:v>0</x:v>
      </x:c>
    </x:row>
    <x:row r="2347">
      <x:c r="A2347" s="8" t="n">
        <x:f>A2346+1</x:f>
        <x:v>2344</x:v>
      </x:c>
      <x:c r="B2347" s="9" t="n">
        <x:f>A2347*v01_SeasonSeconds/60</x:f>
        <x:v>586</x:v>
      </x:c>
      <x:c r="C2347" s="9" t="n">
        <x:f>A2347/4</x:f>
        <x:v>586</x:v>
      </x:c>
      <x:c r="D2347" s="8" t="n">
        <x:f>IF(MOD(A2347,4)=0,1,0)</x:f>
        <x:v>1</x:v>
      </x:c>
      <x:c r="E2347" s="8" t="n">
        <x:f>IF(AND(F2346&lt;=9,AS2346&gt;=AR2346),1,0)</x:f>
        <x:v>0</x:v>
      </x:c>
      <x:c r="F2347" s="8" t="n">
        <x:f>MIN(10,F2346+E2347)</x:f>
        <x:v>10</x:v>
      </x:c>
      <x:c r="G2347" s="8" t="n">
        <x:f>MIN(F2347,9)+1</x:f>
        <x:v>10</x:v>
      </x:c>
      <x:c r="H2347" s="8" t="n">
        <x:f>IF(F2347&lt;=9,1,0)</x:f>
        <x:v>0</x:v>
      </x:c>
      <x:c r="I2347" s="9" t="n">
        <x:f>MIN(10,F2346+IF(AR2346&gt;0,MIN(1,AS2346/AR2346),1))</x:f>
        <x:v>10</x:v>
      </x:c>
      <x:c r="J2347" s="32" t="n">
        <x:f>INDEX(v01_FoodCap,G2347)*Arch_FoodCap*EXP(v01_CapsByProject*SUMPRODUCT((Cap_Point&lt;=I2347)*(Cap_Kind="Food")*Cap_Ln))</x:f>
        <x:v>12000</x:v>
      </x:c>
      <x:c r="K2347" s="32" t="n">
        <x:f>J2347*MIN(1,v01_LeanBase*EXP(v01_CapsByProject*SUMPRODUCT((Cap_Point&lt;=I2347)*(Cap_Kind="Lean")*Cap_Ln)))</x:f>
        <x:v>12000</x:v>
      </x:c>
      <x:c r="L2347" s="10" t="n">
        <x:f>INDEX(v01_HousingCap,G2347)*EXP(v01_CapsByProject*SUMPRODUCT((Cap_Point&lt;=I2347)*(Cap_Kind="Housing")*Cap_Ln))</x:f>
        <x:v>20000</x:v>
      </x:c>
      <x:c r="M2347" s="10" t="n">
        <x:f>INDEX(v01_GroupCap,G2347)*v01_CohesionFactor*EXP(v01_CapsByProject*SUMPRODUCT((Cap_Point&lt;=I2347)*(Cap_Kind="Group")*Cap_Ln))</x:f>
        <x:v>1000000</x:v>
      </x:c>
      <x:c r="N2347" s="32" t="n">
        <x:f>MIN(J2347,L2347,M2347)</x:f>
        <x:v>12000</x:v>
      </x:c>
      <x:c r="O2347" s="10" t="n">
        <x:f>AE2346*N2347</x:f>
        <x:v>180000</x:v>
      </x:c>
      <x:c r="P2347" s="9" t="n">
        <x:f>MIN(1,(AB2346/(AE2346*IF(v01_GroupInCrowding=1,N2347,MIN(J2347,L2347))))^v01_CrowdingExp)</x:f>
        <x:v>0.00024569414295285325</x:v>
      </x:c>
      <x:c r="Q2347" s="9" t="n">
        <x:f>IF(D2347=1,INDEX(v01_WinterMult,G2347),1)</x:f>
        <x:v>1</x:v>
      </x:c>
      <x:c r="R2347" s="9" t="n">
        <x:f>H2347*Z2346*v01_WomenShare*v01_BaseFertility*INDEX(v01_FertMult,G2347)*Arch_Fertility*(1-P2347)</x:f>
        <x:v>0</x:v>
      </x:c>
      <x:c r="S2347" s="9" t="n">
        <x:f>H2347*Y2346*INDEX(v01_MortChild,G2347)/4*Q2347</x:f>
        <x:v>0</x:v>
      </x:c>
      <x:c r="T2347" s="9" t="n">
        <x:f>H2347*Z2346*INDEX(v01_MortAdult,G2347)*Arch_AdultMort/4*Q2347</x:f>
        <x:v>0</x:v>
      </x:c>
      <x:c r="U2347" s="9" t="n">
        <x:f>H2347*AA2346*INDEX(v01_MortElder,G2347)/4*Q2347</x:f>
        <x:v>0</x:v>
      </x:c>
      <x:c r="V2347" s="9" t="n">
        <x:f>H2347*MAX(0,AB2346-O2347)*v01_OvercapLoss</x:f>
        <x:v>0</x:v>
      </x:c>
      <x:c r="W2347" s="9" t="n">
        <x:f>H2347*Y2346/(v01_ChildYears*4)</x:f>
        <x:v>0</x:v>
      </x:c>
      <x:c r="X2347" s="9" t="n">
        <x:f>H2347*Z2346/(v01_AdultYears*4)</x:f>
        <x:v>0</x:v>
      </x:c>
      <x:c r="Y2347" s="32" t="n">
        <x:f>Y2346+R2347-S2347-W2347-Y2346*V2347/AB2346</x:f>
        <x:v>14306.18539759397</x:v>
      </x:c>
      <x:c r="Z2347" s="32" t="n">
        <x:f>Z2346+W2347-X2347-T2347-Z2346*V2347/AB2346</x:f>
        <x:v>19354.456567879548</x:v>
      </x:c>
      <x:c r="AA2347" s="32" t="n">
        <x:f>AA2346+X2347-U2347-AA2346*V2347/AB2346</x:f>
        <x:v>11386.956063258198</x:v>
      </x:c>
      <x:c r="AB2347" s="10" t="n">
        <x:f>Y2347+Z2347+AA2347</x:f>
        <x:v>45047.59802873172</x:v>
      </x:c>
      <x:c r="AC2347" s="8" t="n">
        <x:f>IF(AND(v01_WinterTrigger=1,D2347=1,AB2346/AE2346&gt;=K2347),1,0)</x:f>
        <x:v>0</x:v>
      </x:c>
      <x:c r="AD2347" s="8" t="n">
        <x:f>H2347*IF(AND(OR(AB2346/AE2346&gt;=v01_FissionTrigger*N2347,AC2347=1),AB2346/AE2346*v01_DaughterShare&gt;=v01_MinDaughter),MAX(1,ROUND(AE2346*v01_FissionRate,0)),0)</x:f>
        <x:v>0</x:v>
      </x:c>
      <x:c r="AE2347" s="8" t="n">
        <x:f>IF(H2347=1,MAX(1,MIN(INDEX(v01_Smax,G2347),AE2346+AD2347)),AE2346)</x:f>
        <x:v>15</x:v>
      </x:c>
      <x:c r="AF2347" s="8" t="n">
        <x:f>MAX(0,AE2347-AE2346)</x:f>
        <x:v>0</x:v>
      </x:c>
      <x:c r="AG2347" s="9" t="str">
        <x:f>IF(AF2347&gt;0,B2347,"")</x:f>
      </x:c>
      <x:c r="AH2347" s="9" t="n">
        <x:f>IF(F2347&gt;=1,1,(1+v01_LowTiesShare*(AE2347-1))/AE2347)</x:f>
        <x:v>1</x:v>
      </x:c>
      <x:c r="AI2347" s="32" t="n">
        <x:f>(Z2347+v01_ElderCommons*INDEX(LM_Elder,G2347)*AA2347)*AH2347</x:f>
        <x:v>64139.732591141874</x:v>
      </x:c>
      <x:c r="AJ2347" s="32" t="n">
        <x:f>H2347*v01_CommonsCoef*AI2347^v01_CommonsExp*INDEX(LM_Commons,G2347)</x:f>
        <x:v>0</x:v>
      </x:c>
      <x:c r="AK2347" s="32" t="n">
        <x:f>H2347*v01_RoleScale*Arch_Roles*(AE2347*(INDEX(v01_ElderRolePerSett,G2347)*v01_OutElder*INDEX(LM_Elder,G2347)+INDEX(v01_ShamanPerSett,G2347)*v01_OutShaman)+Z2347*(INDEX(v01_PriestShare,G2347)*v01_OutPriest+INDEX(v01_ScribeShare,G2347)*v01_OutScribe*INDEX(LM_Scribe,G2347)+INDEX(v01_ScholarShare,G2347)*v01_OutScholar*INDEX(LM_Scholar,G2347)+INDEX(v01_ResearcherShare,G2347)*v01_OutResearcher*INDEX(LM_Researcher,G2347)))</x:f>
        <x:v>0</x:v>
      </x:c>
      <x:c r="AL2347" s="32" t="n">
        <x:f>H2347*v01_RoleScale*Arch_Roles*AE2347*INDEX(v01_MonasteryPerSett,G2347)*v01_OutMonastery*INDEX(LM_Monastery,G2347)</x:f>
        <x:v>0</x:v>
      </x:c>
      <x:c r="AM2347" s="32" t="n">
        <x:f>(AJ2347+AK2347+AL2347)/4*INDEX(LM_All,G2347)*INDEX(v01_Boon,G2347)*Arch_Insight</x:f>
        <x:v>0</x:v>
      </x:c>
      <x:c r="AN2347" s="32" t="n">
        <x:f>H2347*(v01_KHPerAdult*Z2347+v01_KHOfCommons*AJ2347/4*INDEX(LM_All,G2347))*v01_KHUsable*Arch_KH</x:f>
        <x:v>0</x:v>
      </x:c>
      <x:c r="AO2347" s="32" t="n">
        <x:f>MIN(AP2346+AN2347,AM2347*v01_KHMaxRatio)</x:f>
        <x:v>0</x:v>
      </x:c>
      <x:c r="AP2347" s="32" t="n">
        <x:f>AP2346+AN2347-AO2347</x:f>
        <x:v>0</x:v>
      </x:c>
      <x:c r="AQ2347" s="32" t="n">
        <x:f>AM2347+AO2347</x:f>
        <x:v>0</x:v>
      </x:c>
      <x:c r="AR2347" s="10" t="n">
        <x:f>IF(H2347=1,INDEX(v01_Req,G2347),0)</x:f>
        <x:v>0</x:v>
      </x:c>
      <x:c r="AS2347" s="32" t="n">
        <x:f>IF(H2347=1,IF(E2347=1,AS2346-AR2346,AS2346)+AQ2347,0)</x:f>
        <x:v>0</x:v>
      </x:c>
      <x:c r="AT2347" s="11" t="n">
        <x:f>IF(AR2347&gt;0,MIN(1,AS2347/AR2347),1)</x:f>
        <x:v>1</x:v>
      </x:c>
      <x:c r="AU2347" s="10" t="n">
        <x:f>AB2347/INDEX(v01_RepScale,G2347)</x:f>
        <x:v>90.09519605746344</x:v>
      </x:c>
      <x:c r="AV2347" s="32" t="n">
        <x:f>AM2347*60/v01_SeasonSeconds</x:f>
        <x:v>0</x:v>
      </x:c>
    </x:row>
    <x:row r="2348">
      <x:c r="A2348" s="8" t="n">
        <x:f>A2347+1</x:f>
        <x:v>2345</x:v>
      </x:c>
      <x:c r="B2348" s="9" t="n">
        <x:f>A2348*v01_SeasonSeconds/60</x:f>
        <x:v>586.25</x:v>
      </x:c>
      <x:c r="C2348" s="9" t="n">
        <x:f>A2348/4</x:f>
        <x:v>586.25</x:v>
      </x:c>
      <x:c r="D2348" s="8" t="n">
        <x:f>IF(MOD(A2348,4)=0,1,0)</x:f>
        <x:v>0</x:v>
      </x:c>
      <x:c r="E2348" s="8" t="n">
        <x:f>IF(AND(F2347&lt;=9,AS2347&gt;=AR2347),1,0)</x:f>
        <x:v>0</x:v>
      </x:c>
      <x:c r="F2348" s="8" t="n">
        <x:f>MIN(10,F2347+E2348)</x:f>
        <x:v>10</x:v>
      </x:c>
      <x:c r="G2348" s="8" t="n">
        <x:f>MIN(F2348,9)+1</x:f>
        <x:v>10</x:v>
      </x:c>
      <x:c r="H2348" s="8" t="n">
        <x:f>IF(F2348&lt;=9,1,0)</x:f>
        <x:v>0</x:v>
      </x:c>
      <x:c r="I2348" s="9" t="n">
        <x:f>MIN(10,F2347+IF(AR2347&gt;0,MIN(1,AS2347/AR2347),1))</x:f>
        <x:v>10</x:v>
      </x:c>
      <x:c r="J2348" s="32" t="n">
        <x:f>INDEX(v01_FoodCap,G2348)*Arch_FoodCap*EXP(v01_CapsByProject*SUMPRODUCT((Cap_Point&lt;=I2348)*(Cap_Kind="Food")*Cap_Ln))</x:f>
        <x:v>12000</x:v>
      </x:c>
      <x:c r="K2348" s="32" t="n">
        <x:f>J2348*MIN(1,v01_LeanBase*EXP(v01_CapsByProject*SUMPRODUCT((Cap_Point&lt;=I2348)*(Cap_Kind="Lean")*Cap_Ln)))</x:f>
        <x:v>12000</x:v>
      </x:c>
      <x:c r="L2348" s="10" t="n">
        <x:f>INDEX(v01_HousingCap,G2348)*EXP(v01_CapsByProject*SUMPRODUCT((Cap_Point&lt;=I2348)*(Cap_Kind="Housing")*Cap_Ln))</x:f>
        <x:v>20000</x:v>
      </x:c>
      <x:c r="M2348" s="10" t="n">
        <x:f>INDEX(v01_GroupCap,G2348)*v01_CohesionFactor*EXP(v01_CapsByProject*SUMPRODUCT((Cap_Point&lt;=I2348)*(Cap_Kind="Group")*Cap_Ln))</x:f>
        <x:v>1000000</x:v>
      </x:c>
      <x:c r="N2348" s="32" t="n">
        <x:f>MIN(J2348,L2348,M2348)</x:f>
        <x:v>12000</x:v>
      </x:c>
      <x:c r="O2348" s="10" t="n">
        <x:f>AE2347*N2348</x:f>
        <x:v>180000</x:v>
      </x:c>
      <x:c r="P2348" s="9" t="n">
        <x:f>MIN(1,(AB2347/(AE2347*IF(v01_GroupInCrowding=1,N2348,MIN(J2348,L2348))))^v01_CrowdingExp)</x:f>
        <x:v>0.00024569414295285325</x:v>
      </x:c>
      <x:c r="Q2348" s="9" t="n">
        <x:f>IF(D2348=1,INDEX(v01_WinterMult,G2348),1)</x:f>
        <x:v>1</x:v>
      </x:c>
      <x:c r="R2348" s="9" t="n">
        <x:f>H2348*Z2347*v01_WomenShare*v01_BaseFertility*INDEX(v01_FertMult,G2348)*Arch_Fertility*(1-P2348)</x:f>
        <x:v>0</x:v>
      </x:c>
      <x:c r="S2348" s="9" t="n">
        <x:f>H2348*Y2347*INDEX(v01_MortChild,G2348)/4*Q2348</x:f>
        <x:v>0</x:v>
      </x:c>
      <x:c r="T2348" s="9" t="n">
        <x:f>H2348*Z2347*INDEX(v01_MortAdult,G2348)*Arch_AdultMort/4*Q2348</x:f>
        <x:v>0</x:v>
      </x:c>
      <x:c r="U2348" s="9" t="n">
        <x:f>H2348*AA2347*INDEX(v01_MortElder,G2348)/4*Q2348</x:f>
        <x:v>0</x:v>
      </x:c>
      <x:c r="V2348" s="9" t="n">
        <x:f>H2348*MAX(0,AB2347-O2348)*v01_OvercapLoss</x:f>
        <x:v>0</x:v>
      </x:c>
      <x:c r="W2348" s="9" t="n">
        <x:f>H2348*Y2347/(v01_ChildYears*4)</x:f>
        <x:v>0</x:v>
      </x:c>
      <x:c r="X2348" s="9" t="n">
        <x:f>H2348*Z2347/(v01_AdultYears*4)</x:f>
        <x:v>0</x:v>
      </x:c>
      <x:c r="Y2348" s="32" t="n">
        <x:f>Y2347+R2348-S2348-W2348-Y2347*V2348/AB2347</x:f>
        <x:v>14306.18539759397</x:v>
      </x:c>
      <x:c r="Z2348" s="32" t="n">
        <x:f>Z2347+W2348-X2348-T2348-Z2347*V2348/AB2347</x:f>
        <x:v>19354.456567879548</x:v>
      </x:c>
      <x:c r="AA2348" s="32" t="n">
        <x:f>AA2347+X2348-U2348-AA2347*V2348/AB2347</x:f>
        <x:v>11386.956063258198</x:v>
      </x:c>
      <x:c r="AB2348" s="10" t="n">
        <x:f>Y2348+Z2348+AA2348</x:f>
        <x:v>45047.59802873172</x:v>
      </x:c>
      <x:c r="AC2348" s="8" t="n">
        <x:f>IF(AND(v01_WinterTrigger=1,D2348=1,AB2347/AE2347&gt;=K2348),1,0)</x:f>
        <x:v>0</x:v>
      </x:c>
      <x:c r="AD2348" s="8" t="n">
        <x:f>H2348*IF(AND(OR(AB2347/AE2347&gt;=v01_FissionTrigger*N2348,AC2348=1),AB2347/AE2347*v01_DaughterShare&gt;=v01_MinDaughter),MAX(1,ROUND(AE2347*v01_FissionRate,0)),0)</x:f>
        <x:v>0</x:v>
      </x:c>
      <x:c r="AE2348" s="8" t="n">
        <x:f>IF(H2348=1,MAX(1,MIN(INDEX(v01_Smax,G2348),AE2347+AD2348)),AE2347)</x:f>
        <x:v>15</x:v>
      </x:c>
      <x:c r="AF2348" s="8" t="n">
        <x:f>MAX(0,AE2348-AE2347)</x:f>
        <x:v>0</x:v>
      </x:c>
      <x:c r="AG2348" s="9" t="str">
        <x:f>IF(AF2348&gt;0,B2348,"")</x:f>
      </x:c>
      <x:c r="AH2348" s="9" t="n">
        <x:f>IF(F2348&gt;=1,1,(1+v01_LowTiesShare*(AE2348-1))/AE2348)</x:f>
        <x:v>1</x:v>
      </x:c>
      <x:c r="AI2348" s="32" t="n">
        <x:f>(Z2348+v01_ElderCommons*INDEX(LM_Elder,G2348)*AA2348)*AH2348</x:f>
        <x:v>64139.732591141874</x:v>
      </x:c>
      <x:c r="AJ2348" s="32" t="n">
        <x:f>H2348*v01_CommonsCoef*AI2348^v01_CommonsExp*INDEX(LM_Commons,G2348)</x:f>
        <x:v>0</x:v>
      </x:c>
      <x:c r="AK2348" s="32" t="n">
        <x:f>H2348*v01_RoleScale*Arch_Roles*(AE2348*(INDEX(v01_ElderRolePerSett,G2348)*v01_OutElder*INDEX(LM_Elder,G2348)+INDEX(v01_ShamanPerSett,G2348)*v01_OutShaman)+Z2348*(INDEX(v01_PriestShare,G2348)*v01_OutPriest+INDEX(v01_ScribeShare,G2348)*v01_OutScribe*INDEX(LM_Scribe,G2348)+INDEX(v01_ScholarShare,G2348)*v01_OutScholar*INDEX(LM_Scholar,G2348)+INDEX(v01_ResearcherShare,G2348)*v01_OutResearcher*INDEX(LM_Researcher,G2348)))</x:f>
        <x:v>0</x:v>
      </x:c>
      <x:c r="AL2348" s="32" t="n">
        <x:f>H2348*v01_RoleScale*Arch_Roles*AE2348*INDEX(v01_MonasteryPerSett,G2348)*v01_OutMonastery*INDEX(LM_Monastery,G2348)</x:f>
        <x:v>0</x:v>
      </x:c>
      <x:c r="AM2348" s="32" t="n">
        <x:f>(AJ2348+AK2348+AL2348)/4*INDEX(LM_All,G2348)*INDEX(v01_Boon,G2348)*Arch_Insight</x:f>
        <x:v>0</x:v>
      </x:c>
      <x:c r="AN2348" s="32" t="n">
        <x:f>H2348*(v01_KHPerAdult*Z2348+v01_KHOfCommons*AJ2348/4*INDEX(LM_All,G2348))*v01_KHUsable*Arch_KH</x:f>
        <x:v>0</x:v>
      </x:c>
      <x:c r="AO2348" s="32" t="n">
        <x:f>MIN(AP2347+AN2348,AM2348*v01_KHMaxRatio)</x:f>
        <x:v>0</x:v>
      </x:c>
      <x:c r="AP2348" s="32" t="n">
        <x:f>AP2347+AN2348-AO2348</x:f>
        <x:v>0</x:v>
      </x:c>
      <x:c r="AQ2348" s="32" t="n">
        <x:f>AM2348+AO2348</x:f>
        <x:v>0</x:v>
      </x:c>
      <x:c r="AR2348" s="10" t="n">
        <x:f>IF(H2348=1,INDEX(v01_Req,G2348),0)</x:f>
        <x:v>0</x:v>
      </x:c>
      <x:c r="AS2348" s="32" t="n">
        <x:f>IF(H2348=1,IF(E2348=1,AS2347-AR2347,AS2347)+AQ2348,0)</x:f>
        <x:v>0</x:v>
      </x:c>
      <x:c r="AT2348" s="11" t="n">
        <x:f>IF(AR2348&gt;0,MIN(1,AS2348/AR2348),1)</x:f>
        <x:v>1</x:v>
      </x:c>
      <x:c r="AU2348" s="10" t="n">
        <x:f>AB2348/INDEX(v01_RepScale,G2348)</x:f>
        <x:v>90.09519605746344</x:v>
      </x:c>
      <x:c r="AV2348" s="32" t="n">
        <x:f>AM2348*60/v01_SeasonSeconds</x:f>
        <x:v>0</x:v>
      </x:c>
    </x:row>
    <x:row r="2349">
      <x:c r="A2349" s="8" t="n">
        <x:f>A2348+1</x:f>
        <x:v>2346</x:v>
      </x:c>
      <x:c r="B2349" s="9" t="n">
        <x:f>A2349*v01_SeasonSeconds/60</x:f>
        <x:v>586.5</x:v>
      </x:c>
      <x:c r="C2349" s="9" t="n">
        <x:f>A2349/4</x:f>
        <x:v>586.5</x:v>
      </x:c>
      <x:c r="D2349" s="8" t="n">
        <x:f>IF(MOD(A2349,4)=0,1,0)</x:f>
        <x:v>0</x:v>
      </x:c>
      <x:c r="E2349" s="8" t="n">
        <x:f>IF(AND(F2348&lt;=9,AS2348&gt;=AR2348),1,0)</x:f>
        <x:v>0</x:v>
      </x:c>
      <x:c r="F2349" s="8" t="n">
        <x:f>MIN(10,F2348+E2349)</x:f>
        <x:v>10</x:v>
      </x:c>
      <x:c r="G2349" s="8" t="n">
        <x:f>MIN(F2349,9)+1</x:f>
        <x:v>10</x:v>
      </x:c>
      <x:c r="H2349" s="8" t="n">
        <x:f>IF(F2349&lt;=9,1,0)</x:f>
        <x:v>0</x:v>
      </x:c>
      <x:c r="I2349" s="9" t="n">
        <x:f>MIN(10,F2348+IF(AR2348&gt;0,MIN(1,AS2348/AR2348),1))</x:f>
        <x:v>10</x:v>
      </x:c>
      <x:c r="J2349" s="32" t="n">
        <x:f>INDEX(v01_FoodCap,G2349)*Arch_FoodCap*EXP(v01_CapsByProject*SUMPRODUCT((Cap_Point&lt;=I2349)*(Cap_Kind="Food")*Cap_Ln))</x:f>
        <x:v>12000</x:v>
      </x:c>
      <x:c r="K2349" s="32" t="n">
        <x:f>J2349*MIN(1,v01_LeanBase*EXP(v01_CapsByProject*SUMPRODUCT((Cap_Point&lt;=I2349)*(Cap_Kind="Lean")*Cap_Ln)))</x:f>
        <x:v>12000</x:v>
      </x:c>
      <x:c r="L2349" s="10" t="n">
        <x:f>INDEX(v01_HousingCap,G2349)*EXP(v01_CapsByProject*SUMPRODUCT((Cap_Point&lt;=I2349)*(Cap_Kind="Housing")*Cap_Ln))</x:f>
        <x:v>20000</x:v>
      </x:c>
      <x:c r="M2349" s="10" t="n">
        <x:f>INDEX(v01_GroupCap,G2349)*v01_CohesionFactor*EXP(v01_CapsByProject*SUMPRODUCT((Cap_Point&lt;=I2349)*(Cap_Kind="Group")*Cap_Ln))</x:f>
        <x:v>1000000</x:v>
      </x:c>
      <x:c r="N2349" s="32" t="n">
        <x:f>MIN(J2349,L2349,M2349)</x:f>
        <x:v>12000</x:v>
      </x:c>
      <x:c r="O2349" s="10" t="n">
        <x:f>AE2348*N2349</x:f>
        <x:v>180000</x:v>
      </x:c>
      <x:c r="P2349" s="9" t="n">
        <x:f>MIN(1,(AB2348/(AE2348*IF(v01_GroupInCrowding=1,N2349,MIN(J2349,L2349))))^v01_CrowdingExp)</x:f>
        <x:v>0.00024569414295285325</x:v>
      </x:c>
      <x:c r="Q2349" s="9" t="n">
        <x:f>IF(D2349=1,INDEX(v01_WinterMult,G2349),1)</x:f>
        <x:v>1</x:v>
      </x:c>
      <x:c r="R2349" s="9" t="n">
        <x:f>H2349*Z2348*v01_WomenShare*v01_BaseFertility*INDEX(v01_FertMult,G2349)*Arch_Fertility*(1-P2349)</x:f>
        <x:v>0</x:v>
      </x:c>
      <x:c r="S2349" s="9" t="n">
        <x:f>H2349*Y2348*INDEX(v01_MortChild,G2349)/4*Q2349</x:f>
        <x:v>0</x:v>
      </x:c>
      <x:c r="T2349" s="9" t="n">
        <x:f>H2349*Z2348*INDEX(v01_MortAdult,G2349)*Arch_AdultMort/4*Q2349</x:f>
        <x:v>0</x:v>
      </x:c>
      <x:c r="U2349" s="9" t="n">
        <x:f>H2349*AA2348*INDEX(v01_MortElder,G2349)/4*Q2349</x:f>
        <x:v>0</x:v>
      </x:c>
      <x:c r="V2349" s="9" t="n">
        <x:f>H2349*MAX(0,AB2348-O2349)*v01_OvercapLoss</x:f>
        <x:v>0</x:v>
      </x:c>
      <x:c r="W2349" s="9" t="n">
        <x:f>H2349*Y2348/(v01_ChildYears*4)</x:f>
        <x:v>0</x:v>
      </x:c>
      <x:c r="X2349" s="9" t="n">
        <x:f>H2349*Z2348/(v01_AdultYears*4)</x:f>
        <x:v>0</x:v>
      </x:c>
      <x:c r="Y2349" s="32" t="n">
        <x:f>Y2348+R2349-S2349-W2349-Y2348*V2349/AB2348</x:f>
        <x:v>14306.18539759397</x:v>
      </x:c>
      <x:c r="Z2349" s="32" t="n">
        <x:f>Z2348+W2349-X2349-T2349-Z2348*V2349/AB2348</x:f>
        <x:v>19354.456567879548</x:v>
      </x:c>
      <x:c r="AA2349" s="32" t="n">
        <x:f>AA2348+X2349-U2349-AA2348*V2349/AB2348</x:f>
        <x:v>11386.956063258198</x:v>
      </x:c>
      <x:c r="AB2349" s="10" t="n">
        <x:f>Y2349+Z2349+AA2349</x:f>
        <x:v>45047.59802873172</x:v>
      </x:c>
      <x:c r="AC2349" s="8" t="n">
        <x:f>IF(AND(v01_WinterTrigger=1,D2349=1,AB2348/AE2348&gt;=K2349),1,0)</x:f>
        <x:v>0</x:v>
      </x:c>
      <x:c r="AD2349" s="8" t="n">
        <x:f>H2349*IF(AND(OR(AB2348/AE2348&gt;=v01_FissionTrigger*N2349,AC2349=1),AB2348/AE2348*v01_DaughterShare&gt;=v01_MinDaughter),MAX(1,ROUND(AE2348*v01_FissionRate,0)),0)</x:f>
        <x:v>0</x:v>
      </x:c>
      <x:c r="AE2349" s="8" t="n">
        <x:f>IF(H2349=1,MAX(1,MIN(INDEX(v01_Smax,G2349),AE2348+AD2349)),AE2348)</x:f>
        <x:v>15</x:v>
      </x:c>
      <x:c r="AF2349" s="8" t="n">
        <x:f>MAX(0,AE2349-AE2348)</x:f>
        <x:v>0</x:v>
      </x:c>
      <x:c r="AG2349" s="9" t="str">
        <x:f>IF(AF2349&gt;0,B2349,"")</x:f>
      </x:c>
      <x:c r="AH2349" s="9" t="n">
        <x:f>IF(F2349&gt;=1,1,(1+v01_LowTiesShare*(AE2349-1))/AE2349)</x:f>
        <x:v>1</x:v>
      </x:c>
      <x:c r="AI2349" s="32" t="n">
        <x:f>(Z2349+v01_ElderCommons*INDEX(LM_Elder,G2349)*AA2349)*AH2349</x:f>
        <x:v>64139.732591141874</x:v>
      </x:c>
      <x:c r="AJ2349" s="32" t="n">
        <x:f>H2349*v01_CommonsCoef*AI2349^v01_CommonsExp*INDEX(LM_Commons,G2349)</x:f>
        <x:v>0</x:v>
      </x:c>
      <x:c r="AK2349" s="32" t="n">
        <x:f>H2349*v01_RoleScale*Arch_Roles*(AE2349*(INDEX(v01_ElderRolePerSett,G2349)*v01_OutElder*INDEX(LM_Elder,G2349)+INDEX(v01_ShamanPerSett,G2349)*v01_OutShaman)+Z2349*(INDEX(v01_PriestShare,G2349)*v01_OutPriest+INDEX(v01_ScribeShare,G2349)*v01_OutScribe*INDEX(LM_Scribe,G2349)+INDEX(v01_ScholarShare,G2349)*v01_OutScholar*INDEX(LM_Scholar,G2349)+INDEX(v01_ResearcherShare,G2349)*v01_OutResearcher*INDEX(LM_Researcher,G2349)))</x:f>
        <x:v>0</x:v>
      </x:c>
      <x:c r="AL2349" s="32" t="n">
        <x:f>H2349*v01_RoleScale*Arch_Roles*AE2349*INDEX(v01_MonasteryPerSett,G2349)*v01_OutMonastery*INDEX(LM_Monastery,G2349)</x:f>
        <x:v>0</x:v>
      </x:c>
      <x:c r="AM2349" s="32" t="n">
        <x:f>(AJ2349+AK2349+AL2349)/4*INDEX(LM_All,G2349)*INDEX(v01_Boon,G2349)*Arch_Insight</x:f>
        <x:v>0</x:v>
      </x:c>
      <x:c r="AN2349" s="32" t="n">
        <x:f>H2349*(v01_KHPerAdult*Z2349+v01_KHOfCommons*AJ2349/4*INDEX(LM_All,G2349))*v01_KHUsable*Arch_KH</x:f>
        <x:v>0</x:v>
      </x:c>
      <x:c r="AO2349" s="32" t="n">
        <x:f>MIN(AP2348+AN2349,AM2349*v01_KHMaxRatio)</x:f>
        <x:v>0</x:v>
      </x:c>
      <x:c r="AP2349" s="32" t="n">
        <x:f>AP2348+AN2349-AO2349</x:f>
        <x:v>0</x:v>
      </x:c>
      <x:c r="AQ2349" s="32" t="n">
        <x:f>AM2349+AO2349</x:f>
        <x:v>0</x:v>
      </x:c>
      <x:c r="AR2349" s="10" t="n">
        <x:f>IF(H2349=1,INDEX(v01_Req,G2349),0)</x:f>
        <x:v>0</x:v>
      </x:c>
      <x:c r="AS2349" s="32" t="n">
        <x:f>IF(H2349=1,IF(E2349=1,AS2348-AR2348,AS2348)+AQ2349,0)</x:f>
        <x:v>0</x:v>
      </x:c>
      <x:c r="AT2349" s="11" t="n">
        <x:f>IF(AR2349&gt;0,MIN(1,AS2349/AR2349),1)</x:f>
        <x:v>1</x:v>
      </x:c>
      <x:c r="AU2349" s="10" t="n">
        <x:f>AB2349/INDEX(v01_RepScale,G2349)</x:f>
        <x:v>90.09519605746344</x:v>
      </x:c>
      <x:c r="AV2349" s="32" t="n">
        <x:f>AM2349*60/v01_SeasonSeconds</x:f>
        <x:v>0</x:v>
      </x:c>
    </x:row>
    <x:row r="2350">
      <x:c r="A2350" s="8" t="n">
        <x:f>A2349+1</x:f>
        <x:v>2347</x:v>
      </x:c>
      <x:c r="B2350" s="9" t="n">
        <x:f>A2350*v01_SeasonSeconds/60</x:f>
        <x:v>586.75</x:v>
      </x:c>
      <x:c r="C2350" s="9" t="n">
        <x:f>A2350/4</x:f>
        <x:v>586.75</x:v>
      </x:c>
      <x:c r="D2350" s="8" t="n">
        <x:f>IF(MOD(A2350,4)=0,1,0)</x:f>
        <x:v>0</x:v>
      </x:c>
      <x:c r="E2350" s="8" t="n">
        <x:f>IF(AND(F2349&lt;=9,AS2349&gt;=AR2349),1,0)</x:f>
        <x:v>0</x:v>
      </x:c>
      <x:c r="F2350" s="8" t="n">
        <x:f>MIN(10,F2349+E2350)</x:f>
        <x:v>10</x:v>
      </x:c>
      <x:c r="G2350" s="8" t="n">
        <x:f>MIN(F2350,9)+1</x:f>
        <x:v>10</x:v>
      </x:c>
      <x:c r="H2350" s="8" t="n">
        <x:f>IF(F2350&lt;=9,1,0)</x:f>
        <x:v>0</x:v>
      </x:c>
      <x:c r="I2350" s="9" t="n">
        <x:f>MIN(10,F2349+IF(AR2349&gt;0,MIN(1,AS2349/AR2349),1))</x:f>
        <x:v>10</x:v>
      </x:c>
      <x:c r="J2350" s="32" t="n">
        <x:f>INDEX(v01_FoodCap,G2350)*Arch_FoodCap*EXP(v01_CapsByProject*SUMPRODUCT((Cap_Point&lt;=I2350)*(Cap_Kind="Food")*Cap_Ln))</x:f>
        <x:v>12000</x:v>
      </x:c>
      <x:c r="K2350" s="32" t="n">
        <x:f>J2350*MIN(1,v01_LeanBase*EXP(v01_CapsByProject*SUMPRODUCT((Cap_Point&lt;=I2350)*(Cap_Kind="Lean")*Cap_Ln)))</x:f>
        <x:v>12000</x:v>
      </x:c>
      <x:c r="L2350" s="10" t="n">
        <x:f>INDEX(v01_HousingCap,G2350)*EXP(v01_CapsByProject*SUMPRODUCT((Cap_Point&lt;=I2350)*(Cap_Kind="Housing")*Cap_Ln))</x:f>
        <x:v>20000</x:v>
      </x:c>
      <x:c r="M2350" s="10" t="n">
        <x:f>INDEX(v01_GroupCap,G2350)*v01_CohesionFactor*EXP(v01_CapsByProject*SUMPRODUCT((Cap_Point&lt;=I2350)*(Cap_Kind="Group")*Cap_Ln))</x:f>
        <x:v>1000000</x:v>
      </x:c>
      <x:c r="N2350" s="32" t="n">
        <x:f>MIN(J2350,L2350,M2350)</x:f>
        <x:v>12000</x:v>
      </x:c>
      <x:c r="O2350" s="10" t="n">
        <x:f>AE2349*N2350</x:f>
        <x:v>180000</x:v>
      </x:c>
      <x:c r="P2350" s="9" t="n">
        <x:f>MIN(1,(AB2349/(AE2349*IF(v01_GroupInCrowding=1,N2350,MIN(J2350,L2350))))^v01_CrowdingExp)</x:f>
        <x:v>0.00024569414295285325</x:v>
      </x:c>
      <x:c r="Q2350" s="9" t="n">
        <x:f>IF(D2350=1,INDEX(v01_WinterMult,G2350),1)</x:f>
        <x:v>1</x:v>
      </x:c>
      <x:c r="R2350" s="9" t="n">
        <x:f>H2350*Z2349*v01_WomenShare*v01_BaseFertility*INDEX(v01_FertMult,G2350)*Arch_Fertility*(1-P2350)</x:f>
        <x:v>0</x:v>
      </x:c>
      <x:c r="S2350" s="9" t="n">
        <x:f>H2350*Y2349*INDEX(v01_MortChild,G2350)/4*Q2350</x:f>
        <x:v>0</x:v>
      </x:c>
      <x:c r="T2350" s="9" t="n">
        <x:f>H2350*Z2349*INDEX(v01_MortAdult,G2350)*Arch_AdultMort/4*Q2350</x:f>
        <x:v>0</x:v>
      </x:c>
      <x:c r="U2350" s="9" t="n">
        <x:f>H2350*AA2349*INDEX(v01_MortElder,G2350)/4*Q2350</x:f>
        <x:v>0</x:v>
      </x:c>
      <x:c r="V2350" s="9" t="n">
        <x:f>H2350*MAX(0,AB2349-O2350)*v01_OvercapLoss</x:f>
        <x:v>0</x:v>
      </x:c>
      <x:c r="W2350" s="9" t="n">
        <x:f>H2350*Y2349/(v01_ChildYears*4)</x:f>
        <x:v>0</x:v>
      </x:c>
      <x:c r="X2350" s="9" t="n">
        <x:f>H2350*Z2349/(v01_AdultYears*4)</x:f>
        <x:v>0</x:v>
      </x:c>
      <x:c r="Y2350" s="32" t="n">
        <x:f>Y2349+R2350-S2350-W2350-Y2349*V2350/AB2349</x:f>
        <x:v>14306.18539759397</x:v>
      </x:c>
      <x:c r="Z2350" s="32" t="n">
        <x:f>Z2349+W2350-X2350-T2350-Z2349*V2350/AB2349</x:f>
        <x:v>19354.456567879548</x:v>
      </x:c>
      <x:c r="AA2350" s="32" t="n">
        <x:f>AA2349+X2350-U2350-AA2349*V2350/AB2349</x:f>
        <x:v>11386.956063258198</x:v>
      </x:c>
      <x:c r="AB2350" s="10" t="n">
        <x:f>Y2350+Z2350+AA2350</x:f>
        <x:v>45047.59802873172</x:v>
      </x:c>
      <x:c r="AC2350" s="8" t="n">
        <x:f>IF(AND(v01_WinterTrigger=1,D2350=1,AB2349/AE2349&gt;=K2350),1,0)</x:f>
        <x:v>0</x:v>
      </x:c>
      <x:c r="AD2350" s="8" t="n">
        <x:f>H2350*IF(AND(OR(AB2349/AE2349&gt;=v01_FissionTrigger*N2350,AC2350=1),AB2349/AE2349*v01_DaughterShare&gt;=v01_MinDaughter),MAX(1,ROUND(AE2349*v01_FissionRate,0)),0)</x:f>
        <x:v>0</x:v>
      </x:c>
      <x:c r="AE2350" s="8" t="n">
        <x:f>IF(H2350=1,MAX(1,MIN(INDEX(v01_Smax,G2350),AE2349+AD2350)),AE2349)</x:f>
        <x:v>15</x:v>
      </x:c>
      <x:c r="AF2350" s="8" t="n">
        <x:f>MAX(0,AE2350-AE2349)</x:f>
        <x:v>0</x:v>
      </x:c>
      <x:c r="AG2350" s="9" t="str">
        <x:f>IF(AF2350&gt;0,B2350,"")</x:f>
      </x:c>
      <x:c r="AH2350" s="9" t="n">
        <x:f>IF(F2350&gt;=1,1,(1+v01_LowTiesShare*(AE2350-1))/AE2350)</x:f>
        <x:v>1</x:v>
      </x:c>
      <x:c r="AI2350" s="32" t="n">
        <x:f>(Z2350+v01_ElderCommons*INDEX(LM_Elder,G2350)*AA2350)*AH2350</x:f>
        <x:v>64139.732591141874</x:v>
      </x:c>
      <x:c r="AJ2350" s="32" t="n">
        <x:f>H2350*v01_CommonsCoef*AI2350^v01_CommonsExp*INDEX(LM_Commons,G2350)</x:f>
        <x:v>0</x:v>
      </x:c>
      <x:c r="AK2350" s="32" t="n">
        <x:f>H2350*v01_RoleScale*Arch_Roles*(AE2350*(INDEX(v01_ElderRolePerSett,G2350)*v01_OutElder*INDEX(LM_Elder,G2350)+INDEX(v01_ShamanPerSett,G2350)*v01_OutShaman)+Z2350*(INDEX(v01_PriestShare,G2350)*v01_OutPriest+INDEX(v01_ScribeShare,G2350)*v01_OutScribe*INDEX(LM_Scribe,G2350)+INDEX(v01_ScholarShare,G2350)*v01_OutScholar*INDEX(LM_Scholar,G2350)+INDEX(v01_ResearcherShare,G2350)*v01_OutResearcher*INDEX(LM_Researcher,G2350)))</x:f>
        <x:v>0</x:v>
      </x:c>
      <x:c r="AL2350" s="32" t="n">
        <x:f>H2350*v01_RoleScale*Arch_Roles*AE2350*INDEX(v01_MonasteryPerSett,G2350)*v01_OutMonastery*INDEX(LM_Monastery,G2350)</x:f>
        <x:v>0</x:v>
      </x:c>
      <x:c r="AM2350" s="32" t="n">
        <x:f>(AJ2350+AK2350+AL2350)/4*INDEX(LM_All,G2350)*INDEX(v01_Boon,G2350)*Arch_Insight</x:f>
        <x:v>0</x:v>
      </x:c>
      <x:c r="AN2350" s="32" t="n">
        <x:f>H2350*(v01_KHPerAdult*Z2350+v01_KHOfCommons*AJ2350/4*INDEX(LM_All,G2350))*v01_KHUsable*Arch_KH</x:f>
        <x:v>0</x:v>
      </x:c>
      <x:c r="AO2350" s="32" t="n">
        <x:f>MIN(AP2349+AN2350,AM2350*v01_KHMaxRatio)</x:f>
        <x:v>0</x:v>
      </x:c>
      <x:c r="AP2350" s="32" t="n">
        <x:f>AP2349+AN2350-AO2350</x:f>
        <x:v>0</x:v>
      </x:c>
      <x:c r="AQ2350" s="32" t="n">
        <x:f>AM2350+AO2350</x:f>
        <x:v>0</x:v>
      </x:c>
      <x:c r="AR2350" s="10" t="n">
        <x:f>IF(H2350=1,INDEX(v01_Req,G2350),0)</x:f>
        <x:v>0</x:v>
      </x:c>
      <x:c r="AS2350" s="32" t="n">
        <x:f>IF(H2350=1,IF(E2350=1,AS2349-AR2349,AS2349)+AQ2350,0)</x:f>
        <x:v>0</x:v>
      </x:c>
      <x:c r="AT2350" s="11" t="n">
        <x:f>IF(AR2350&gt;0,MIN(1,AS2350/AR2350),1)</x:f>
        <x:v>1</x:v>
      </x:c>
      <x:c r="AU2350" s="10" t="n">
        <x:f>AB2350/INDEX(v01_RepScale,G2350)</x:f>
        <x:v>90.09519605746344</x:v>
      </x:c>
      <x:c r="AV2350" s="32" t="n">
        <x:f>AM2350*60/v01_SeasonSeconds</x:f>
        <x:v>0</x:v>
      </x:c>
    </x:row>
    <x:row r="2351">
      <x:c r="A2351" s="8" t="n">
        <x:f>A2350+1</x:f>
        <x:v>2348</x:v>
      </x:c>
      <x:c r="B2351" s="9" t="n">
        <x:f>A2351*v01_SeasonSeconds/60</x:f>
        <x:v>587</x:v>
      </x:c>
      <x:c r="C2351" s="9" t="n">
        <x:f>A2351/4</x:f>
        <x:v>587</x:v>
      </x:c>
      <x:c r="D2351" s="8" t="n">
        <x:f>IF(MOD(A2351,4)=0,1,0)</x:f>
        <x:v>1</x:v>
      </x:c>
      <x:c r="E2351" s="8" t="n">
        <x:f>IF(AND(F2350&lt;=9,AS2350&gt;=AR2350),1,0)</x:f>
        <x:v>0</x:v>
      </x:c>
      <x:c r="F2351" s="8" t="n">
        <x:f>MIN(10,F2350+E2351)</x:f>
        <x:v>10</x:v>
      </x:c>
      <x:c r="G2351" s="8" t="n">
        <x:f>MIN(F2351,9)+1</x:f>
        <x:v>10</x:v>
      </x:c>
      <x:c r="H2351" s="8" t="n">
        <x:f>IF(F2351&lt;=9,1,0)</x:f>
        <x:v>0</x:v>
      </x:c>
      <x:c r="I2351" s="9" t="n">
        <x:f>MIN(10,F2350+IF(AR2350&gt;0,MIN(1,AS2350/AR2350),1))</x:f>
        <x:v>10</x:v>
      </x:c>
      <x:c r="J2351" s="32" t="n">
        <x:f>INDEX(v01_FoodCap,G2351)*Arch_FoodCap*EXP(v01_CapsByProject*SUMPRODUCT((Cap_Point&lt;=I2351)*(Cap_Kind="Food")*Cap_Ln))</x:f>
        <x:v>12000</x:v>
      </x:c>
      <x:c r="K2351" s="32" t="n">
        <x:f>J2351*MIN(1,v01_LeanBase*EXP(v01_CapsByProject*SUMPRODUCT((Cap_Point&lt;=I2351)*(Cap_Kind="Lean")*Cap_Ln)))</x:f>
        <x:v>12000</x:v>
      </x:c>
      <x:c r="L2351" s="10" t="n">
        <x:f>INDEX(v01_HousingCap,G2351)*EXP(v01_CapsByProject*SUMPRODUCT((Cap_Point&lt;=I2351)*(Cap_Kind="Housing")*Cap_Ln))</x:f>
        <x:v>20000</x:v>
      </x:c>
      <x:c r="M2351" s="10" t="n">
        <x:f>INDEX(v01_GroupCap,G2351)*v01_CohesionFactor*EXP(v01_CapsByProject*SUMPRODUCT((Cap_Point&lt;=I2351)*(Cap_Kind="Group")*Cap_Ln))</x:f>
        <x:v>1000000</x:v>
      </x:c>
      <x:c r="N2351" s="32" t="n">
        <x:f>MIN(J2351,L2351,M2351)</x:f>
        <x:v>12000</x:v>
      </x:c>
      <x:c r="O2351" s="10" t="n">
        <x:f>AE2350*N2351</x:f>
        <x:v>180000</x:v>
      </x:c>
      <x:c r="P2351" s="9" t="n">
        <x:f>MIN(1,(AB2350/(AE2350*IF(v01_GroupInCrowding=1,N2351,MIN(J2351,L2351))))^v01_CrowdingExp)</x:f>
        <x:v>0.00024569414295285325</x:v>
      </x:c>
      <x:c r="Q2351" s="9" t="n">
        <x:f>IF(D2351=1,INDEX(v01_WinterMult,G2351),1)</x:f>
        <x:v>1</x:v>
      </x:c>
      <x:c r="R2351" s="9" t="n">
        <x:f>H2351*Z2350*v01_WomenShare*v01_BaseFertility*INDEX(v01_FertMult,G2351)*Arch_Fertility*(1-P2351)</x:f>
        <x:v>0</x:v>
      </x:c>
      <x:c r="S2351" s="9" t="n">
        <x:f>H2351*Y2350*INDEX(v01_MortChild,G2351)/4*Q2351</x:f>
        <x:v>0</x:v>
      </x:c>
      <x:c r="T2351" s="9" t="n">
        <x:f>H2351*Z2350*INDEX(v01_MortAdult,G2351)*Arch_AdultMort/4*Q2351</x:f>
        <x:v>0</x:v>
      </x:c>
      <x:c r="U2351" s="9" t="n">
        <x:f>H2351*AA2350*INDEX(v01_MortElder,G2351)/4*Q2351</x:f>
        <x:v>0</x:v>
      </x:c>
      <x:c r="V2351" s="9" t="n">
        <x:f>H2351*MAX(0,AB2350-O2351)*v01_OvercapLoss</x:f>
        <x:v>0</x:v>
      </x:c>
      <x:c r="W2351" s="9" t="n">
        <x:f>H2351*Y2350/(v01_ChildYears*4)</x:f>
        <x:v>0</x:v>
      </x:c>
      <x:c r="X2351" s="9" t="n">
        <x:f>H2351*Z2350/(v01_AdultYears*4)</x:f>
        <x:v>0</x:v>
      </x:c>
      <x:c r="Y2351" s="32" t="n">
        <x:f>Y2350+R2351-S2351-W2351-Y2350*V2351/AB2350</x:f>
        <x:v>14306.18539759397</x:v>
      </x:c>
      <x:c r="Z2351" s="32" t="n">
        <x:f>Z2350+W2351-X2351-T2351-Z2350*V2351/AB2350</x:f>
        <x:v>19354.456567879548</x:v>
      </x:c>
      <x:c r="AA2351" s="32" t="n">
        <x:f>AA2350+X2351-U2351-AA2350*V2351/AB2350</x:f>
        <x:v>11386.956063258198</x:v>
      </x:c>
      <x:c r="AB2351" s="10" t="n">
        <x:f>Y2351+Z2351+AA2351</x:f>
        <x:v>45047.59802873172</x:v>
      </x:c>
      <x:c r="AC2351" s="8" t="n">
        <x:f>IF(AND(v01_WinterTrigger=1,D2351=1,AB2350/AE2350&gt;=K2351),1,0)</x:f>
        <x:v>0</x:v>
      </x:c>
      <x:c r="AD2351" s="8" t="n">
        <x:f>H2351*IF(AND(OR(AB2350/AE2350&gt;=v01_FissionTrigger*N2351,AC2351=1),AB2350/AE2350*v01_DaughterShare&gt;=v01_MinDaughter),MAX(1,ROUND(AE2350*v01_FissionRate,0)),0)</x:f>
        <x:v>0</x:v>
      </x:c>
      <x:c r="AE2351" s="8" t="n">
        <x:f>IF(H2351=1,MAX(1,MIN(INDEX(v01_Smax,G2351),AE2350+AD2351)),AE2350)</x:f>
        <x:v>15</x:v>
      </x:c>
      <x:c r="AF2351" s="8" t="n">
        <x:f>MAX(0,AE2351-AE2350)</x:f>
        <x:v>0</x:v>
      </x:c>
      <x:c r="AG2351" s="9" t="str">
        <x:f>IF(AF2351&gt;0,B2351,"")</x:f>
      </x:c>
      <x:c r="AH2351" s="9" t="n">
        <x:f>IF(F2351&gt;=1,1,(1+v01_LowTiesShare*(AE2351-1))/AE2351)</x:f>
        <x:v>1</x:v>
      </x:c>
      <x:c r="AI2351" s="32" t="n">
        <x:f>(Z2351+v01_ElderCommons*INDEX(LM_Elder,G2351)*AA2351)*AH2351</x:f>
        <x:v>64139.732591141874</x:v>
      </x:c>
      <x:c r="AJ2351" s="32" t="n">
        <x:f>H2351*v01_CommonsCoef*AI2351^v01_CommonsExp*INDEX(LM_Commons,G2351)</x:f>
        <x:v>0</x:v>
      </x:c>
      <x:c r="AK2351" s="32" t="n">
        <x:f>H2351*v01_RoleScale*Arch_Roles*(AE2351*(INDEX(v01_ElderRolePerSett,G2351)*v01_OutElder*INDEX(LM_Elder,G2351)+INDEX(v01_ShamanPerSett,G2351)*v01_OutShaman)+Z2351*(INDEX(v01_PriestShare,G2351)*v01_OutPriest+INDEX(v01_ScribeShare,G2351)*v01_OutScribe*INDEX(LM_Scribe,G2351)+INDEX(v01_ScholarShare,G2351)*v01_OutScholar*INDEX(LM_Scholar,G2351)+INDEX(v01_ResearcherShare,G2351)*v01_OutResearcher*INDEX(LM_Researcher,G2351)))</x:f>
        <x:v>0</x:v>
      </x:c>
      <x:c r="AL2351" s="32" t="n">
        <x:f>H2351*v01_RoleScale*Arch_Roles*AE2351*INDEX(v01_MonasteryPerSett,G2351)*v01_OutMonastery*INDEX(LM_Monastery,G2351)</x:f>
        <x:v>0</x:v>
      </x:c>
      <x:c r="AM2351" s="32" t="n">
        <x:f>(AJ2351+AK2351+AL2351)/4*INDEX(LM_All,G2351)*INDEX(v01_Boon,G2351)*Arch_Insight</x:f>
        <x:v>0</x:v>
      </x:c>
      <x:c r="AN2351" s="32" t="n">
        <x:f>H2351*(v01_KHPerAdult*Z2351+v01_KHOfCommons*AJ2351/4*INDEX(LM_All,G2351))*v01_KHUsable*Arch_KH</x:f>
        <x:v>0</x:v>
      </x:c>
      <x:c r="AO2351" s="32" t="n">
        <x:f>MIN(AP2350+AN2351,AM2351*v01_KHMaxRatio)</x:f>
        <x:v>0</x:v>
      </x:c>
      <x:c r="AP2351" s="32" t="n">
        <x:f>AP2350+AN2351-AO2351</x:f>
        <x:v>0</x:v>
      </x:c>
      <x:c r="AQ2351" s="32" t="n">
        <x:f>AM2351+AO2351</x:f>
        <x:v>0</x:v>
      </x:c>
      <x:c r="AR2351" s="10" t="n">
        <x:f>IF(H2351=1,INDEX(v01_Req,G2351),0)</x:f>
        <x:v>0</x:v>
      </x:c>
      <x:c r="AS2351" s="32" t="n">
        <x:f>IF(H2351=1,IF(E2351=1,AS2350-AR2350,AS2350)+AQ2351,0)</x:f>
        <x:v>0</x:v>
      </x:c>
      <x:c r="AT2351" s="11" t="n">
        <x:f>IF(AR2351&gt;0,MIN(1,AS2351/AR2351),1)</x:f>
        <x:v>1</x:v>
      </x:c>
      <x:c r="AU2351" s="10" t="n">
        <x:f>AB2351/INDEX(v01_RepScale,G2351)</x:f>
        <x:v>90.09519605746344</x:v>
      </x:c>
      <x:c r="AV2351" s="32" t="n">
        <x:f>AM2351*60/v01_SeasonSeconds</x:f>
        <x:v>0</x:v>
      </x:c>
    </x:row>
    <x:row r="2352">
      <x:c r="A2352" s="8" t="n">
        <x:f>A2351+1</x:f>
        <x:v>2349</x:v>
      </x:c>
      <x:c r="B2352" s="9" t="n">
        <x:f>A2352*v01_SeasonSeconds/60</x:f>
        <x:v>587.25</x:v>
      </x:c>
      <x:c r="C2352" s="9" t="n">
        <x:f>A2352/4</x:f>
        <x:v>587.25</x:v>
      </x:c>
      <x:c r="D2352" s="8" t="n">
        <x:f>IF(MOD(A2352,4)=0,1,0)</x:f>
        <x:v>0</x:v>
      </x:c>
      <x:c r="E2352" s="8" t="n">
        <x:f>IF(AND(F2351&lt;=9,AS2351&gt;=AR2351),1,0)</x:f>
        <x:v>0</x:v>
      </x:c>
      <x:c r="F2352" s="8" t="n">
        <x:f>MIN(10,F2351+E2352)</x:f>
        <x:v>10</x:v>
      </x:c>
      <x:c r="G2352" s="8" t="n">
        <x:f>MIN(F2352,9)+1</x:f>
        <x:v>10</x:v>
      </x:c>
      <x:c r="H2352" s="8" t="n">
        <x:f>IF(F2352&lt;=9,1,0)</x:f>
        <x:v>0</x:v>
      </x:c>
      <x:c r="I2352" s="9" t="n">
        <x:f>MIN(10,F2351+IF(AR2351&gt;0,MIN(1,AS2351/AR2351),1))</x:f>
        <x:v>10</x:v>
      </x:c>
      <x:c r="J2352" s="32" t="n">
        <x:f>INDEX(v01_FoodCap,G2352)*Arch_FoodCap*EXP(v01_CapsByProject*SUMPRODUCT((Cap_Point&lt;=I2352)*(Cap_Kind="Food")*Cap_Ln))</x:f>
        <x:v>12000</x:v>
      </x:c>
      <x:c r="K2352" s="32" t="n">
        <x:f>J2352*MIN(1,v01_LeanBase*EXP(v01_CapsByProject*SUMPRODUCT((Cap_Point&lt;=I2352)*(Cap_Kind="Lean")*Cap_Ln)))</x:f>
        <x:v>12000</x:v>
      </x:c>
      <x:c r="L2352" s="10" t="n">
        <x:f>INDEX(v01_HousingCap,G2352)*EXP(v01_CapsByProject*SUMPRODUCT((Cap_Point&lt;=I2352)*(Cap_Kind="Housing")*Cap_Ln))</x:f>
        <x:v>20000</x:v>
      </x:c>
      <x:c r="M2352" s="10" t="n">
        <x:f>INDEX(v01_GroupCap,G2352)*v01_CohesionFactor*EXP(v01_CapsByProject*SUMPRODUCT((Cap_Point&lt;=I2352)*(Cap_Kind="Group")*Cap_Ln))</x:f>
        <x:v>1000000</x:v>
      </x:c>
      <x:c r="N2352" s="32" t="n">
        <x:f>MIN(J2352,L2352,M2352)</x:f>
        <x:v>12000</x:v>
      </x:c>
      <x:c r="O2352" s="10" t="n">
        <x:f>AE2351*N2352</x:f>
        <x:v>180000</x:v>
      </x:c>
      <x:c r="P2352" s="9" t="n">
        <x:f>MIN(1,(AB2351/(AE2351*IF(v01_GroupInCrowding=1,N2352,MIN(J2352,L2352))))^v01_CrowdingExp)</x:f>
        <x:v>0.00024569414295285325</x:v>
      </x:c>
      <x:c r="Q2352" s="9" t="n">
        <x:f>IF(D2352=1,INDEX(v01_WinterMult,G2352),1)</x:f>
        <x:v>1</x:v>
      </x:c>
      <x:c r="R2352" s="9" t="n">
        <x:f>H2352*Z2351*v01_WomenShare*v01_BaseFertility*INDEX(v01_FertMult,G2352)*Arch_Fertility*(1-P2352)</x:f>
        <x:v>0</x:v>
      </x:c>
      <x:c r="S2352" s="9" t="n">
        <x:f>H2352*Y2351*INDEX(v01_MortChild,G2352)/4*Q2352</x:f>
        <x:v>0</x:v>
      </x:c>
      <x:c r="T2352" s="9" t="n">
        <x:f>H2352*Z2351*INDEX(v01_MortAdult,G2352)*Arch_AdultMort/4*Q2352</x:f>
        <x:v>0</x:v>
      </x:c>
      <x:c r="U2352" s="9" t="n">
        <x:f>H2352*AA2351*INDEX(v01_MortElder,G2352)/4*Q2352</x:f>
        <x:v>0</x:v>
      </x:c>
      <x:c r="V2352" s="9" t="n">
        <x:f>H2352*MAX(0,AB2351-O2352)*v01_OvercapLoss</x:f>
        <x:v>0</x:v>
      </x:c>
      <x:c r="W2352" s="9" t="n">
        <x:f>H2352*Y2351/(v01_ChildYears*4)</x:f>
        <x:v>0</x:v>
      </x:c>
      <x:c r="X2352" s="9" t="n">
        <x:f>H2352*Z2351/(v01_AdultYears*4)</x:f>
        <x:v>0</x:v>
      </x:c>
      <x:c r="Y2352" s="32" t="n">
        <x:f>Y2351+R2352-S2352-W2352-Y2351*V2352/AB2351</x:f>
        <x:v>14306.18539759397</x:v>
      </x:c>
      <x:c r="Z2352" s="32" t="n">
        <x:f>Z2351+W2352-X2352-T2352-Z2351*V2352/AB2351</x:f>
        <x:v>19354.456567879548</x:v>
      </x:c>
      <x:c r="AA2352" s="32" t="n">
        <x:f>AA2351+X2352-U2352-AA2351*V2352/AB2351</x:f>
        <x:v>11386.956063258198</x:v>
      </x:c>
      <x:c r="AB2352" s="10" t="n">
        <x:f>Y2352+Z2352+AA2352</x:f>
        <x:v>45047.59802873172</x:v>
      </x:c>
      <x:c r="AC2352" s="8" t="n">
        <x:f>IF(AND(v01_WinterTrigger=1,D2352=1,AB2351/AE2351&gt;=K2352),1,0)</x:f>
        <x:v>0</x:v>
      </x:c>
      <x:c r="AD2352" s="8" t="n">
        <x:f>H2352*IF(AND(OR(AB2351/AE2351&gt;=v01_FissionTrigger*N2352,AC2352=1),AB2351/AE2351*v01_DaughterShare&gt;=v01_MinDaughter),MAX(1,ROUND(AE2351*v01_FissionRate,0)),0)</x:f>
        <x:v>0</x:v>
      </x:c>
      <x:c r="AE2352" s="8" t="n">
        <x:f>IF(H2352=1,MAX(1,MIN(INDEX(v01_Smax,G2352),AE2351+AD2352)),AE2351)</x:f>
        <x:v>15</x:v>
      </x:c>
      <x:c r="AF2352" s="8" t="n">
        <x:f>MAX(0,AE2352-AE2351)</x:f>
        <x:v>0</x:v>
      </x:c>
      <x:c r="AG2352" s="9" t="str">
        <x:f>IF(AF2352&gt;0,B2352,"")</x:f>
      </x:c>
      <x:c r="AH2352" s="9" t="n">
        <x:f>IF(F2352&gt;=1,1,(1+v01_LowTiesShare*(AE2352-1))/AE2352)</x:f>
        <x:v>1</x:v>
      </x:c>
      <x:c r="AI2352" s="32" t="n">
        <x:f>(Z2352+v01_ElderCommons*INDEX(LM_Elder,G2352)*AA2352)*AH2352</x:f>
        <x:v>64139.732591141874</x:v>
      </x:c>
      <x:c r="AJ2352" s="32" t="n">
        <x:f>H2352*v01_CommonsCoef*AI2352^v01_CommonsExp*INDEX(LM_Commons,G2352)</x:f>
        <x:v>0</x:v>
      </x:c>
      <x:c r="AK2352" s="32" t="n">
        <x:f>H2352*v01_RoleScale*Arch_Roles*(AE2352*(INDEX(v01_ElderRolePerSett,G2352)*v01_OutElder*INDEX(LM_Elder,G2352)+INDEX(v01_ShamanPerSett,G2352)*v01_OutShaman)+Z2352*(INDEX(v01_PriestShare,G2352)*v01_OutPriest+INDEX(v01_ScribeShare,G2352)*v01_OutScribe*INDEX(LM_Scribe,G2352)+INDEX(v01_ScholarShare,G2352)*v01_OutScholar*INDEX(LM_Scholar,G2352)+INDEX(v01_ResearcherShare,G2352)*v01_OutResearcher*INDEX(LM_Researcher,G2352)))</x:f>
        <x:v>0</x:v>
      </x:c>
      <x:c r="AL2352" s="32" t="n">
        <x:f>H2352*v01_RoleScale*Arch_Roles*AE2352*INDEX(v01_MonasteryPerSett,G2352)*v01_OutMonastery*INDEX(LM_Monastery,G2352)</x:f>
        <x:v>0</x:v>
      </x:c>
      <x:c r="AM2352" s="32" t="n">
        <x:f>(AJ2352+AK2352+AL2352)/4*INDEX(LM_All,G2352)*INDEX(v01_Boon,G2352)*Arch_Insight</x:f>
        <x:v>0</x:v>
      </x:c>
      <x:c r="AN2352" s="32" t="n">
        <x:f>H2352*(v01_KHPerAdult*Z2352+v01_KHOfCommons*AJ2352/4*INDEX(LM_All,G2352))*v01_KHUsable*Arch_KH</x:f>
        <x:v>0</x:v>
      </x:c>
      <x:c r="AO2352" s="32" t="n">
        <x:f>MIN(AP2351+AN2352,AM2352*v01_KHMaxRatio)</x:f>
        <x:v>0</x:v>
      </x:c>
      <x:c r="AP2352" s="32" t="n">
        <x:f>AP2351+AN2352-AO2352</x:f>
        <x:v>0</x:v>
      </x:c>
      <x:c r="AQ2352" s="32" t="n">
        <x:f>AM2352+AO2352</x:f>
        <x:v>0</x:v>
      </x:c>
      <x:c r="AR2352" s="10" t="n">
        <x:f>IF(H2352=1,INDEX(v01_Req,G2352),0)</x:f>
        <x:v>0</x:v>
      </x:c>
      <x:c r="AS2352" s="32" t="n">
        <x:f>IF(H2352=1,IF(E2352=1,AS2351-AR2351,AS2351)+AQ2352,0)</x:f>
        <x:v>0</x:v>
      </x:c>
      <x:c r="AT2352" s="11" t="n">
        <x:f>IF(AR2352&gt;0,MIN(1,AS2352/AR2352),1)</x:f>
        <x:v>1</x:v>
      </x:c>
      <x:c r="AU2352" s="10" t="n">
        <x:f>AB2352/INDEX(v01_RepScale,G2352)</x:f>
        <x:v>90.09519605746344</x:v>
      </x:c>
      <x:c r="AV2352" s="32" t="n">
        <x:f>AM2352*60/v01_SeasonSeconds</x:f>
        <x:v>0</x:v>
      </x:c>
    </x:row>
    <x:row r="2353">
      <x:c r="A2353" s="8" t="n">
        <x:f>A2352+1</x:f>
        <x:v>2350</x:v>
      </x:c>
      <x:c r="B2353" s="9" t="n">
        <x:f>A2353*v01_SeasonSeconds/60</x:f>
        <x:v>587.5</x:v>
      </x:c>
      <x:c r="C2353" s="9" t="n">
        <x:f>A2353/4</x:f>
        <x:v>587.5</x:v>
      </x:c>
      <x:c r="D2353" s="8" t="n">
        <x:f>IF(MOD(A2353,4)=0,1,0)</x:f>
        <x:v>0</x:v>
      </x:c>
      <x:c r="E2353" s="8" t="n">
        <x:f>IF(AND(F2352&lt;=9,AS2352&gt;=AR2352),1,0)</x:f>
        <x:v>0</x:v>
      </x:c>
      <x:c r="F2353" s="8" t="n">
        <x:f>MIN(10,F2352+E2353)</x:f>
        <x:v>10</x:v>
      </x:c>
      <x:c r="G2353" s="8" t="n">
        <x:f>MIN(F2353,9)+1</x:f>
        <x:v>10</x:v>
      </x:c>
      <x:c r="H2353" s="8" t="n">
        <x:f>IF(F2353&lt;=9,1,0)</x:f>
        <x:v>0</x:v>
      </x:c>
      <x:c r="I2353" s="9" t="n">
        <x:f>MIN(10,F2352+IF(AR2352&gt;0,MIN(1,AS2352/AR2352),1))</x:f>
        <x:v>10</x:v>
      </x:c>
      <x:c r="J2353" s="32" t="n">
        <x:f>INDEX(v01_FoodCap,G2353)*Arch_FoodCap*EXP(v01_CapsByProject*SUMPRODUCT((Cap_Point&lt;=I2353)*(Cap_Kind="Food")*Cap_Ln))</x:f>
        <x:v>12000</x:v>
      </x:c>
      <x:c r="K2353" s="32" t="n">
        <x:f>J2353*MIN(1,v01_LeanBase*EXP(v01_CapsByProject*SUMPRODUCT((Cap_Point&lt;=I2353)*(Cap_Kind="Lean")*Cap_Ln)))</x:f>
        <x:v>12000</x:v>
      </x:c>
      <x:c r="L2353" s="10" t="n">
        <x:f>INDEX(v01_HousingCap,G2353)*EXP(v01_CapsByProject*SUMPRODUCT((Cap_Point&lt;=I2353)*(Cap_Kind="Housing")*Cap_Ln))</x:f>
        <x:v>20000</x:v>
      </x:c>
      <x:c r="M2353" s="10" t="n">
        <x:f>INDEX(v01_GroupCap,G2353)*v01_CohesionFactor*EXP(v01_CapsByProject*SUMPRODUCT((Cap_Point&lt;=I2353)*(Cap_Kind="Group")*Cap_Ln))</x:f>
        <x:v>1000000</x:v>
      </x:c>
      <x:c r="N2353" s="32" t="n">
        <x:f>MIN(J2353,L2353,M2353)</x:f>
        <x:v>12000</x:v>
      </x:c>
      <x:c r="O2353" s="10" t="n">
        <x:f>AE2352*N2353</x:f>
        <x:v>180000</x:v>
      </x:c>
      <x:c r="P2353" s="9" t="n">
        <x:f>MIN(1,(AB2352/(AE2352*IF(v01_GroupInCrowding=1,N2353,MIN(J2353,L2353))))^v01_CrowdingExp)</x:f>
        <x:v>0.00024569414295285325</x:v>
      </x:c>
      <x:c r="Q2353" s="9" t="n">
        <x:f>IF(D2353=1,INDEX(v01_WinterMult,G2353),1)</x:f>
        <x:v>1</x:v>
      </x:c>
      <x:c r="R2353" s="9" t="n">
        <x:f>H2353*Z2352*v01_WomenShare*v01_BaseFertility*INDEX(v01_FertMult,G2353)*Arch_Fertility*(1-P2353)</x:f>
        <x:v>0</x:v>
      </x:c>
      <x:c r="S2353" s="9" t="n">
        <x:f>H2353*Y2352*INDEX(v01_MortChild,G2353)/4*Q2353</x:f>
        <x:v>0</x:v>
      </x:c>
      <x:c r="T2353" s="9" t="n">
        <x:f>H2353*Z2352*INDEX(v01_MortAdult,G2353)*Arch_AdultMort/4*Q2353</x:f>
        <x:v>0</x:v>
      </x:c>
      <x:c r="U2353" s="9" t="n">
        <x:f>H2353*AA2352*INDEX(v01_MortElder,G2353)/4*Q2353</x:f>
        <x:v>0</x:v>
      </x:c>
      <x:c r="V2353" s="9" t="n">
        <x:f>H2353*MAX(0,AB2352-O2353)*v01_OvercapLoss</x:f>
        <x:v>0</x:v>
      </x:c>
      <x:c r="W2353" s="9" t="n">
        <x:f>H2353*Y2352/(v01_ChildYears*4)</x:f>
        <x:v>0</x:v>
      </x:c>
      <x:c r="X2353" s="9" t="n">
        <x:f>H2353*Z2352/(v01_AdultYears*4)</x:f>
        <x:v>0</x:v>
      </x:c>
      <x:c r="Y2353" s="32" t="n">
        <x:f>Y2352+R2353-S2353-W2353-Y2352*V2353/AB2352</x:f>
        <x:v>14306.18539759397</x:v>
      </x:c>
      <x:c r="Z2353" s="32" t="n">
        <x:f>Z2352+W2353-X2353-T2353-Z2352*V2353/AB2352</x:f>
        <x:v>19354.456567879548</x:v>
      </x:c>
      <x:c r="AA2353" s="32" t="n">
        <x:f>AA2352+X2353-U2353-AA2352*V2353/AB2352</x:f>
        <x:v>11386.956063258198</x:v>
      </x:c>
      <x:c r="AB2353" s="10" t="n">
        <x:f>Y2353+Z2353+AA2353</x:f>
        <x:v>45047.59802873172</x:v>
      </x:c>
      <x:c r="AC2353" s="8" t="n">
        <x:f>IF(AND(v01_WinterTrigger=1,D2353=1,AB2352/AE2352&gt;=K2353),1,0)</x:f>
        <x:v>0</x:v>
      </x:c>
      <x:c r="AD2353" s="8" t="n">
        <x:f>H2353*IF(AND(OR(AB2352/AE2352&gt;=v01_FissionTrigger*N2353,AC2353=1),AB2352/AE2352*v01_DaughterShare&gt;=v01_MinDaughter),MAX(1,ROUND(AE2352*v01_FissionRate,0)),0)</x:f>
        <x:v>0</x:v>
      </x:c>
      <x:c r="AE2353" s="8" t="n">
        <x:f>IF(H2353=1,MAX(1,MIN(INDEX(v01_Smax,G2353),AE2352+AD2353)),AE2352)</x:f>
        <x:v>15</x:v>
      </x:c>
      <x:c r="AF2353" s="8" t="n">
        <x:f>MAX(0,AE2353-AE2352)</x:f>
        <x:v>0</x:v>
      </x:c>
      <x:c r="AG2353" s="9" t="str">
        <x:f>IF(AF2353&gt;0,B2353,"")</x:f>
      </x:c>
      <x:c r="AH2353" s="9" t="n">
        <x:f>IF(F2353&gt;=1,1,(1+v01_LowTiesShare*(AE2353-1))/AE2353)</x:f>
        <x:v>1</x:v>
      </x:c>
      <x:c r="AI2353" s="32" t="n">
        <x:f>(Z2353+v01_ElderCommons*INDEX(LM_Elder,G2353)*AA2353)*AH2353</x:f>
        <x:v>64139.732591141874</x:v>
      </x:c>
      <x:c r="AJ2353" s="32" t="n">
        <x:f>H2353*v01_CommonsCoef*AI2353^v01_CommonsExp*INDEX(LM_Commons,G2353)</x:f>
        <x:v>0</x:v>
      </x:c>
      <x:c r="AK2353" s="32" t="n">
        <x:f>H2353*v01_RoleScale*Arch_Roles*(AE2353*(INDEX(v01_ElderRolePerSett,G2353)*v01_OutElder*INDEX(LM_Elder,G2353)+INDEX(v01_ShamanPerSett,G2353)*v01_OutShaman)+Z2353*(INDEX(v01_PriestShare,G2353)*v01_OutPriest+INDEX(v01_ScribeShare,G2353)*v01_OutScribe*INDEX(LM_Scribe,G2353)+INDEX(v01_ScholarShare,G2353)*v01_OutScholar*INDEX(LM_Scholar,G2353)+INDEX(v01_ResearcherShare,G2353)*v01_OutResearcher*INDEX(LM_Researcher,G2353)))</x:f>
        <x:v>0</x:v>
      </x:c>
      <x:c r="AL2353" s="32" t="n">
        <x:f>H2353*v01_RoleScale*Arch_Roles*AE2353*INDEX(v01_MonasteryPerSett,G2353)*v01_OutMonastery*INDEX(LM_Monastery,G2353)</x:f>
        <x:v>0</x:v>
      </x:c>
      <x:c r="AM2353" s="32" t="n">
        <x:f>(AJ2353+AK2353+AL2353)/4*INDEX(LM_All,G2353)*INDEX(v01_Boon,G2353)*Arch_Insight</x:f>
        <x:v>0</x:v>
      </x:c>
      <x:c r="AN2353" s="32" t="n">
        <x:f>H2353*(v01_KHPerAdult*Z2353+v01_KHOfCommons*AJ2353/4*INDEX(LM_All,G2353))*v01_KHUsable*Arch_KH</x:f>
        <x:v>0</x:v>
      </x:c>
      <x:c r="AO2353" s="32" t="n">
        <x:f>MIN(AP2352+AN2353,AM2353*v01_KHMaxRatio)</x:f>
        <x:v>0</x:v>
      </x:c>
      <x:c r="AP2353" s="32" t="n">
        <x:f>AP2352+AN2353-AO2353</x:f>
        <x:v>0</x:v>
      </x:c>
      <x:c r="AQ2353" s="32" t="n">
        <x:f>AM2353+AO2353</x:f>
        <x:v>0</x:v>
      </x:c>
      <x:c r="AR2353" s="10" t="n">
        <x:f>IF(H2353=1,INDEX(v01_Req,G2353),0)</x:f>
        <x:v>0</x:v>
      </x:c>
      <x:c r="AS2353" s="32" t="n">
        <x:f>IF(H2353=1,IF(E2353=1,AS2352-AR2352,AS2352)+AQ2353,0)</x:f>
        <x:v>0</x:v>
      </x:c>
      <x:c r="AT2353" s="11" t="n">
        <x:f>IF(AR2353&gt;0,MIN(1,AS2353/AR2353),1)</x:f>
        <x:v>1</x:v>
      </x:c>
      <x:c r="AU2353" s="10" t="n">
        <x:f>AB2353/INDEX(v01_RepScale,G2353)</x:f>
        <x:v>90.09519605746344</x:v>
      </x:c>
      <x:c r="AV2353" s="32" t="n">
        <x:f>AM2353*60/v01_SeasonSeconds</x:f>
        <x:v>0</x:v>
      </x:c>
    </x:row>
    <x:row r="2354">
      <x:c r="A2354" s="8" t="n">
        <x:f>A2353+1</x:f>
        <x:v>2351</x:v>
      </x:c>
      <x:c r="B2354" s="9" t="n">
        <x:f>A2354*v01_SeasonSeconds/60</x:f>
        <x:v>587.75</x:v>
      </x:c>
      <x:c r="C2354" s="9" t="n">
        <x:f>A2354/4</x:f>
        <x:v>587.75</x:v>
      </x:c>
      <x:c r="D2354" s="8" t="n">
        <x:f>IF(MOD(A2354,4)=0,1,0)</x:f>
        <x:v>0</x:v>
      </x:c>
      <x:c r="E2354" s="8" t="n">
        <x:f>IF(AND(F2353&lt;=9,AS2353&gt;=AR2353),1,0)</x:f>
        <x:v>0</x:v>
      </x:c>
      <x:c r="F2354" s="8" t="n">
        <x:f>MIN(10,F2353+E2354)</x:f>
        <x:v>10</x:v>
      </x:c>
      <x:c r="G2354" s="8" t="n">
        <x:f>MIN(F2354,9)+1</x:f>
        <x:v>10</x:v>
      </x:c>
      <x:c r="H2354" s="8" t="n">
        <x:f>IF(F2354&lt;=9,1,0)</x:f>
        <x:v>0</x:v>
      </x:c>
      <x:c r="I2354" s="9" t="n">
        <x:f>MIN(10,F2353+IF(AR2353&gt;0,MIN(1,AS2353/AR2353),1))</x:f>
        <x:v>10</x:v>
      </x:c>
      <x:c r="J2354" s="32" t="n">
        <x:f>INDEX(v01_FoodCap,G2354)*Arch_FoodCap*EXP(v01_CapsByProject*SUMPRODUCT((Cap_Point&lt;=I2354)*(Cap_Kind="Food")*Cap_Ln))</x:f>
        <x:v>12000</x:v>
      </x:c>
      <x:c r="K2354" s="32" t="n">
        <x:f>J2354*MIN(1,v01_LeanBase*EXP(v01_CapsByProject*SUMPRODUCT((Cap_Point&lt;=I2354)*(Cap_Kind="Lean")*Cap_Ln)))</x:f>
        <x:v>12000</x:v>
      </x:c>
      <x:c r="L2354" s="10" t="n">
        <x:f>INDEX(v01_HousingCap,G2354)*EXP(v01_CapsByProject*SUMPRODUCT((Cap_Point&lt;=I2354)*(Cap_Kind="Housing")*Cap_Ln))</x:f>
        <x:v>20000</x:v>
      </x:c>
      <x:c r="M2354" s="10" t="n">
        <x:f>INDEX(v01_GroupCap,G2354)*v01_CohesionFactor*EXP(v01_CapsByProject*SUMPRODUCT((Cap_Point&lt;=I2354)*(Cap_Kind="Group")*Cap_Ln))</x:f>
        <x:v>1000000</x:v>
      </x:c>
      <x:c r="N2354" s="32" t="n">
        <x:f>MIN(J2354,L2354,M2354)</x:f>
        <x:v>12000</x:v>
      </x:c>
      <x:c r="O2354" s="10" t="n">
        <x:f>AE2353*N2354</x:f>
        <x:v>180000</x:v>
      </x:c>
      <x:c r="P2354" s="9" t="n">
        <x:f>MIN(1,(AB2353/(AE2353*IF(v01_GroupInCrowding=1,N2354,MIN(J2354,L2354))))^v01_CrowdingExp)</x:f>
        <x:v>0.00024569414295285325</x:v>
      </x:c>
      <x:c r="Q2354" s="9" t="n">
        <x:f>IF(D2354=1,INDEX(v01_WinterMult,G2354),1)</x:f>
        <x:v>1</x:v>
      </x:c>
      <x:c r="R2354" s="9" t="n">
        <x:f>H2354*Z2353*v01_WomenShare*v01_BaseFertility*INDEX(v01_FertMult,G2354)*Arch_Fertility*(1-P2354)</x:f>
        <x:v>0</x:v>
      </x:c>
      <x:c r="S2354" s="9" t="n">
        <x:f>H2354*Y2353*INDEX(v01_MortChild,G2354)/4*Q2354</x:f>
        <x:v>0</x:v>
      </x:c>
      <x:c r="T2354" s="9" t="n">
        <x:f>H2354*Z2353*INDEX(v01_MortAdult,G2354)*Arch_AdultMort/4*Q2354</x:f>
        <x:v>0</x:v>
      </x:c>
      <x:c r="U2354" s="9" t="n">
        <x:f>H2354*AA2353*INDEX(v01_MortElder,G2354)/4*Q2354</x:f>
        <x:v>0</x:v>
      </x:c>
      <x:c r="V2354" s="9" t="n">
        <x:f>H2354*MAX(0,AB2353-O2354)*v01_OvercapLoss</x:f>
        <x:v>0</x:v>
      </x:c>
      <x:c r="W2354" s="9" t="n">
        <x:f>H2354*Y2353/(v01_ChildYears*4)</x:f>
        <x:v>0</x:v>
      </x:c>
      <x:c r="X2354" s="9" t="n">
        <x:f>H2354*Z2353/(v01_AdultYears*4)</x:f>
        <x:v>0</x:v>
      </x:c>
      <x:c r="Y2354" s="32" t="n">
        <x:f>Y2353+R2354-S2354-W2354-Y2353*V2354/AB2353</x:f>
        <x:v>14306.18539759397</x:v>
      </x:c>
      <x:c r="Z2354" s="32" t="n">
        <x:f>Z2353+W2354-X2354-T2354-Z2353*V2354/AB2353</x:f>
        <x:v>19354.456567879548</x:v>
      </x:c>
      <x:c r="AA2354" s="32" t="n">
        <x:f>AA2353+X2354-U2354-AA2353*V2354/AB2353</x:f>
        <x:v>11386.956063258198</x:v>
      </x:c>
      <x:c r="AB2354" s="10" t="n">
        <x:f>Y2354+Z2354+AA2354</x:f>
        <x:v>45047.59802873172</x:v>
      </x:c>
      <x:c r="AC2354" s="8" t="n">
        <x:f>IF(AND(v01_WinterTrigger=1,D2354=1,AB2353/AE2353&gt;=K2354),1,0)</x:f>
        <x:v>0</x:v>
      </x:c>
      <x:c r="AD2354" s="8" t="n">
        <x:f>H2354*IF(AND(OR(AB2353/AE2353&gt;=v01_FissionTrigger*N2354,AC2354=1),AB2353/AE2353*v01_DaughterShare&gt;=v01_MinDaughter),MAX(1,ROUND(AE2353*v01_FissionRate,0)),0)</x:f>
        <x:v>0</x:v>
      </x:c>
      <x:c r="AE2354" s="8" t="n">
        <x:f>IF(H2354=1,MAX(1,MIN(INDEX(v01_Smax,G2354),AE2353+AD2354)),AE2353)</x:f>
        <x:v>15</x:v>
      </x:c>
      <x:c r="AF2354" s="8" t="n">
        <x:f>MAX(0,AE2354-AE2353)</x:f>
        <x:v>0</x:v>
      </x:c>
      <x:c r="AG2354" s="9" t="str">
        <x:f>IF(AF2354&gt;0,B2354,"")</x:f>
      </x:c>
      <x:c r="AH2354" s="9" t="n">
        <x:f>IF(F2354&gt;=1,1,(1+v01_LowTiesShare*(AE2354-1))/AE2354)</x:f>
        <x:v>1</x:v>
      </x:c>
      <x:c r="AI2354" s="32" t="n">
        <x:f>(Z2354+v01_ElderCommons*INDEX(LM_Elder,G2354)*AA2354)*AH2354</x:f>
        <x:v>64139.732591141874</x:v>
      </x:c>
      <x:c r="AJ2354" s="32" t="n">
        <x:f>H2354*v01_CommonsCoef*AI2354^v01_CommonsExp*INDEX(LM_Commons,G2354)</x:f>
        <x:v>0</x:v>
      </x:c>
      <x:c r="AK2354" s="32" t="n">
        <x:f>H2354*v01_RoleScale*Arch_Roles*(AE2354*(INDEX(v01_ElderRolePerSett,G2354)*v01_OutElder*INDEX(LM_Elder,G2354)+INDEX(v01_ShamanPerSett,G2354)*v01_OutShaman)+Z2354*(INDEX(v01_PriestShare,G2354)*v01_OutPriest+INDEX(v01_ScribeShare,G2354)*v01_OutScribe*INDEX(LM_Scribe,G2354)+INDEX(v01_ScholarShare,G2354)*v01_OutScholar*INDEX(LM_Scholar,G2354)+INDEX(v01_ResearcherShare,G2354)*v01_OutResearcher*INDEX(LM_Researcher,G2354)))</x:f>
        <x:v>0</x:v>
      </x:c>
      <x:c r="AL2354" s="32" t="n">
        <x:f>H2354*v01_RoleScale*Arch_Roles*AE2354*INDEX(v01_MonasteryPerSett,G2354)*v01_OutMonastery*INDEX(LM_Monastery,G2354)</x:f>
        <x:v>0</x:v>
      </x:c>
      <x:c r="AM2354" s="32" t="n">
        <x:f>(AJ2354+AK2354+AL2354)/4*INDEX(LM_All,G2354)*INDEX(v01_Boon,G2354)*Arch_Insight</x:f>
        <x:v>0</x:v>
      </x:c>
      <x:c r="AN2354" s="32" t="n">
        <x:f>H2354*(v01_KHPerAdult*Z2354+v01_KHOfCommons*AJ2354/4*INDEX(LM_All,G2354))*v01_KHUsable*Arch_KH</x:f>
        <x:v>0</x:v>
      </x:c>
      <x:c r="AO2354" s="32" t="n">
        <x:f>MIN(AP2353+AN2354,AM2354*v01_KHMaxRatio)</x:f>
        <x:v>0</x:v>
      </x:c>
      <x:c r="AP2354" s="32" t="n">
        <x:f>AP2353+AN2354-AO2354</x:f>
        <x:v>0</x:v>
      </x:c>
      <x:c r="AQ2354" s="32" t="n">
        <x:f>AM2354+AO2354</x:f>
        <x:v>0</x:v>
      </x:c>
      <x:c r="AR2354" s="10" t="n">
        <x:f>IF(H2354=1,INDEX(v01_Req,G2354),0)</x:f>
        <x:v>0</x:v>
      </x:c>
      <x:c r="AS2354" s="32" t="n">
        <x:f>IF(H2354=1,IF(E2354=1,AS2353-AR2353,AS2353)+AQ2354,0)</x:f>
        <x:v>0</x:v>
      </x:c>
      <x:c r="AT2354" s="11" t="n">
        <x:f>IF(AR2354&gt;0,MIN(1,AS2354/AR2354),1)</x:f>
        <x:v>1</x:v>
      </x:c>
      <x:c r="AU2354" s="10" t="n">
        <x:f>AB2354/INDEX(v01_RepScale,G2354)</x:f>
        <x:v>90.09519605746344</x:v>
      </x:c>
      <x:c r="AV2354" s="32" t="n">
        <x:f>AM2354*60/v01_SeasonSeconds</x:f>
        <x:v>0</x:v>
      </x:c>
    </x:row>
    <x:row r="2355">
      <x:c r="A2355" s="8" t="n">
        <x:f>A2354+1</x:f>
        <x:v>2352</x:v>
      </x:c>
      <x:c r="B2355" s="9" t="n">
        <x:f>A2355*v01_SeasonSeconds/60</x:f>
        <x:v>588</x:v>
      </x:c>
      <x:c r="C2355" s="9" t="n">
        <x:f>A2355/4</x:f>
        <x:v>588</x:v>
      </x:c>
      <x:c r="D2355" s="8" t="n">
        <x:f>IF(MOD(A2355,4)=0,1,0)</x:f>
        <x:v>1</x:v>
      </x:c>
      <x:c r="E2355" s="8" t="n">
        <x:f>IF(AND(F2354&lt;=9,AS2354&gt;=AR2354),1,0)</x:f>
        <x:v>0</x:v>
      </x:c>
      <x:c r="F2355" s="8" t="n">
        <x:f>MIN(10,F2354+E2355)</x:f>
        <x:v>10</x:v>
      </x:c>
      <x:c r="G2355" s="8" t="n">
        <x:f>MIN(F2355,9)+1</x:f>
        <x:v>10</x:v>
      </x:c>
      <x:c r="H2355" s="8" t="n">
        <x:f>IF(F2355&lt;=9,1,0)</x:f>
        <x:v>0</x:v>
      </x:c>
      <x:c r="I2355" s="9" t="n">
        <x:f>MIN(10,F2354+IF(AR2354&gt;0,MIN(1,AS2354/AR2354),1))</x:f>
        <x:v>10</x:v>
      </x:c>
      <x:c r="J2355" s="32" t="n">
        <x:f>INDEX(v01_FoodCap,G2355)*Arch_FoodCap*EXP(v01_CapsByProject*SUMPRODUCT((Cap_Point&lt;=I2355)*(Cap_Kind="Food")*Cap_Ln))</x:f>
        <x:v>12000</x:v>
      </x:c>
      <x:c r="K2355" s="32" t="n">
        <x:f>J2355*MIN(1,v01_LeanBase*EXP(v01_CapsByProject*SUMPRODUCT((Cap_Point&lt;=I2355)*(Cap_Kind="Lean")*Cap_Ln)))</x:f>
        <x:v>12000</x:v>
      </x:c>
      <x:c r="L2355" s="10" t="n">
        <x:f>INDEX(v01_HousingCap,G2355)*EXP(v01_CapsByProject*SUMPRODUCT((Cap_Point&lt;=I2355)*(Cap_Kind="Housing")*Cap_Ln))</x:f>
        <x:v>20000</x:v>
      </x:c>
      <x:c r="M2355" s="10" t="n">
        <x:f>INDEX(v01_GroupCap,G2355)*v01_CohesionFactor*EXP(v01_CapsByProject*SUMPRODUCT((Cap_Point&lt;=I2355)*(Cap_Kind="Group")*Cap_Ln))</x:f>
        <x:v>1000000</x:v>
      </x:c>
      <x:c r="N2355" s="32" t="n">
        <x:f>MIN(J2355,L2355,M2355)</x:f>
        <x:v>12000</x:v>
      </x:c>
      <x:c r="O2355" s="10" t="n">
        <x:f>AE2354*N2355</x:f>
        <x:v>180000</x:v>
      </x:c>
      <x:c r="P2355" s="9" t="n">
        <x:f>MIN(1,(AB2354/(AE2354*IF(v01_GroupInCrowding=1,N2355,MIN(J2355,L2355))))^v01_CrowdingExp)</x:f>
        <x:v>0.00024569414295285325</x:v>
      </x:c>
      <x:c r="Q2355" s="9" t="n">
        <x:f>IF(D2355=1,INDEX(v01_WinterMult,G2355),1)</x:f>
        <x:v>1</x:v>
      </x:c>
      <x:c r="R2355" s="9" t="n">
        <x:f>H2355*Z2354*v01_WomenShare*v01_BaseFertility*INDEX(v01_FertMult,G2355)*Arch_Fertility*(1-P2355)</x:f>
        <x:v>0</x:v>
      </x:c>
      <x:c r="S2355" s="9" t="n">
        <x:f>H2355*Y2354*INDEX(v01_MortChild,G2355)/4*Q2355</x:f>
        <x:v>0</x:v>
      </x:c>
      <x:c r="T2355" s="9" t="n">
        <x:f>H2355*Z2354*INDEX(v01_MortAdult,G2355)*Arch_AdultMort/4*Q2355</x:f>
        <x:v>0</x:v>
      </x:c>
      <x:c r="U2355" s="9" t="n">
        <x:f>H2355*AA2354*INDEX(v01_MortElder,G2355)/4*Q2355</x:f>
        <x:v>0</x:v>
      </x:c>
      <x:c r="V2355" s="9" t="n">
        <x:f>H2355*MAX(0,AB2354-O2355)*v01_OvercapLoss</x:f>
        <x:v>0</x:v>
      </x:c>
      <x:c r="W2355" s="9" t="n">
        <x:f>H2355*Y2354/(v01_ChildYears*4)</x:f>
        <x:v>0</x:v>
      </x:c>
      <x:c r="X2355" s="9" t="n">
        <x:f>H2355*Z2354/(v01_AdultYears*4)</x:f>
        <x:v>0</x:v>
      </x:c>
      <x:c r="Y2355" s="32" t="n">
        <x:f>Y2354+R2355-S2355-W2355-Y2354*V2355/AB2354</x:f>
        <x:v>14306.18539759397</x:v>
      </x:c>
      <x:c r="Z2355" s="32" t="n">
        <x:f>Z2354+W2355-X2355-T2355-Z2354*V2355/AB2354</x:f>
        <x:v>19354.456567879548</x:v>
      </x:c>
      <x:c r="AA2355" s="32" t="n">
        <x:f>AA2354+X2355-U2355-AA2354*V2355/AB2354</x:f>
        <x:v>11386.956063258198</x:v>
      </x:c>
      <x:c r="AB2355" s="10" t="n">
        <x:f>Y2355+Z2355+AA2355</x:f>
        <x:v>45047.59802873172</x:v>
      </x:c>
      <x:c r="AC2355" s="8" t="n">
        <x:f>IF(AND(v01_WinterTrigger=1,D2355=1,AB2354/AE2354&gt;=K2355),1,0)</x:f>
        <x:v>0</x:v>
      </x:c>
      <x:c r="AD2355" s="8" t="n">
        <x:f>H2355*IF(AND(OR(AB2354/AE2354&gt;=v01_FissionTrigger*N2355,AC2355=1),AB2354/AE2354*v01_DaughterShare&gt;=v01_MinDaughter),MAX(1,ROUND(AE2354*v01_FissionRate,0)),0)</x:f>
        <x:v>0</x:v>
      </x:c>
      <x:c r="AE2355" s="8" t="n">
        <x:f>IF(H2355=1,MAX(1,MIN(INDEX(v01_Smax,G2355),AE2354+AD2355)),AE2354)</x:f>
        <x:v>15</x:v>
      </x:c>
      <x:c r="AF2355" s="8" t="n">
        <x:f>MAX(0,AE2355-AE2354)</x:f>
        <x:v>0</x:v>
      </x:c>
      <x:c r="AG2355" s="9" t="str">
        <x:f>IF(AF2355&gt;0,B2355,"")</x:f>
      </x:c>
      <x:c r="AH2355" s="9" t="n">
        <x:f>IF(F2355&gt;=1,1,(1+v01_LowTiesShare*(AE2355-1))/AE2355)</x:f>
        <x:v>1</x:v>
      </x:c>
      <x:c r="AI2355" s="32" t="n">
        <x:f>(Z2355+v01_ElderCommons*INDEX(LM_Elder,G2355)*AA2355)*AH2355</x:f>
        <x:v>64139.732591141874</x:v>
      </x:c>
      <x:c r="AJ2355" s="32" t="n">
        <x:f>H2355*v01_CommonsCoef*AI2355^v01_CommonsExp*INDEX(LM_Commons,G2355)</x:f>
        <x:v>0</x:v>
      </x:c>
      <x:c r="AK2355" s="32" t="n">
        <x:f>H2355*v01_RoleScale*Arch_Roles*(AE2355*(INDEX(v01_ElderRolePerSett,G2355)*v01_OutElder*INDEX(LM_Elder,G2355)+INDEX(v01_ShamanPerSett,G2355)*v01_OutShaman)+Z2355*(INDEX(v01_PriestShare,G2355)*v01_OutPriest+INDEX(v01_ScribeShare,G2355)*v01_OutScribe*INDEX(LM_Scribe,G2355)+INDEX(v01_ScholarShare,G2355)*v01_OutScholar*INDEX(LM_Scholar,G2355)+INDEX(v01_ResearcherShare,G2355)*v01_OutResearcher*INDEX(LM_Researcher,G2355)))</x:f>
        <x:v>0</x:v>
      </x:c>
      <x:c r="AL2355" s="32" t="n">
        <x:f>H2355*v01_RoleScale*Arch_Roles*AE2355*INDEX(v01_MonasteryPerSett,G2355)*v01_OutMonastery*INDEX(LM_Monastery,G2355)</x:f>
        <x:v>0</x:v>
      </x:c>
      <x:c r="AM2355" s="32" t="n">
        <x:f>(AJ2355+AK2355+AL2355)/4*INDEX(LM_All,G2355)*INDEX(v01_Boon,G2355)*Arch_Insight</x:f>
        <x:v>0</x:v>
      </x:c>
      <x:c r="AN2355" s="32" t="n">
        <x:f>H2355*(v01_KHPerAdult*Z2355+v01_KHOfCommons*AJ2355/4*INDEX(LM_All,G2355))*v01_KHUsable*Arch_KH</x:f>
        <x:v>0</x:v>
      </x:c>
      <x:c r="AO2355" s="32" t="n">
        <x:f>MIN(AP2354+AN2355,AM2355*v01_KHMaxRatio)</x:f>
        <x:v>0</x:v>
      </x:c>
      <x:c r="AP2355" s="32" t="n">
        <x:f>AP2354+AN2355-AO2355</x:f>
        <x:v>0</x:v>
      </x:c>
      <x:c r="AQ2355" s="32" t="n">
        <x:f>AM2355+AO2355</x:f>
        <x:v>0</x:v>
      </x:c>
      <x:c r="AR2355" s="10" t="n">
        <x:f>IF(H2355=1,INDEX(v01_Req,G2355),0)</x:f>
        <x:v>0</x:v>
      </x:c>
      <x:c r="AS2355" s="32" t="n">
        <x:f>IF(H2355=1,IF(E2355=1,AS2354-AR2354,AS2354)+AQ2355,0)</x:f>
        <x:v>0</x:v>
      </x:c>
      <x:c r="AT2355" s="11" t="n">
        <x:f>IF(AR2355&gt;0,MIN(1,AS2355/AR2355),1)</x:f>
        <x:v>1</x:v>
      </x:c>
      <x:c r="AU2355" s="10" t="n">
        <x:f>AB2355/INDEX(v01_RepScale,G2355)</x:f>
        <x:v>90.09519605746344</x:v>
      </x:c>
      <x:c r="AV2355" s="32" t="n">
        <x:f>AM2355*60/v01_SeasonSeconds</x:f>
        <x:v>0</x:v>
      </x:c>
    </x:row>
    <x:row r="2356">
      <x:c r="A2356" s="8" t="n">
        <x:f>A2355+1</x:f>
        <x:v>2353</x:v>
      </x:c>
      <x:c r="B2356" s="9" t="n">
        <x:f>A2356*v01_SeasonSeconds/60</x:f>
        <x:v>588.25</x:v>
      </x:c>
      <x:c r="C2356" s="9" t="n">
        <x:f>A2356/4</x:f>
        <x:v>588.25</x:v>
      </x:c>
      <x:c r="D2356" s="8" t="n">
        <x:f>IF(MOD(A2356,4)=0,1,0)</x:f>
        <x:v>0</x:v>
      </x:c>
      <x:c r="E2356" s="8" t="n">
        <x:f>IF(AND(F2355&lt;=9,AS2355&gt;=AR2355),1,0)</x:f>
        <x:v>0</x:v>
      </x:c>
      <x:c r="F2356" s="8" t="n">
        <x:f>MIN(10,F2355+E2356)</x:f>
        <x:v>10</x:v>
      </x:c>
      <x:c r="G2356" s="8" t="n">
        <x:f>MIN(F2356,9)+1</x:f>
        <x:v>10</x:v>
      </x:c>
      <x:c r="H2356" s="8" t="n">
        <x:f>IF(F2356&lt;=9,1,0)</x:f>
        <x:v>0</x:v>
      </x:c>
      <x:c r="I2356" s="9" t="n">
        <x:f>MIN(10,F2355+IF(AR2355&gt;0,MIN(1,AS2355/AR2355),1))</x:f>
        <x:v>10</x:v>
      </x:c>
      <x:c r="J2356" s="32" t="n">
        <x:f>INDEX(v01_FoodCap,G2356)*Arch_FoodCap*EXP(v01_CapsByProject*SUMPRODUCT((Cap_Point&lt;=I2356)*(Cap_Kind="Food")*Cap_Ln))</x:f>
        <x:v>12000</x:v>
      </x:c>
      <x:c r="K2356" s="32" t="n">
        <x:f>J2356*MIN(1,v01_LeanBase*EXP(v01_CapsByProject*SUMPRODUCT((Cap_Point&lt;=I2356)*(Cap_Kind="Lean")*Cap_Ln)))</x:f>
        <x:v>12000</x:v>
      </x:c>
      <x:c r="L2356" s="10" t="n">
        <x:f>INDEX(v01_HousingCap,G2356)*EXP(v01_CapsByProject*SUMPRODUCT((Cap_Point&lt;=I2356)*(Cap_Kind="Housing")*Cap_Ln))</x:f>
        <x:v>20000</x:v>
      </x:c>
      <x:c r="M2356" s="10" t="n">
        <x:f>INDEX(v01_GroupCap,G2356)*v01_CohesionFactor*EXP(v01_CapsByProject*SUMPRODUCT((Cap_Point&lt;=I2356)*(Cap_Kind="Group")*Cap_Ln))</x:f>
        <x:v>1000000</x:v>
      </x:c>
      <x:c r="N2356" s="32" t="n">
        <x:f>MIN(J2356,L2356,M2356)</x:f>
        <x:v>12000</x:v>
      </x:c>
      <x:c r="O2356" s="10" t="n">
        <x:f>AE2355*N2356</x:f>
        <x:v>180000</x:v>
      </x:c>
      <x:c r="P2356" s="9" t="n">
        <x:f>MIN(1,(AB2355/(AE2355*IF(v01_GroupInCrowding=1,N2356,MIN(J2356,L2356))))^v01_CrowdingExp)</x:f>
        <x:v>0.00024569414295285325</x:v>
      </x:c>
      <x:c r="Q2356" s="9" t="n">
        <x:f>IF(D2356=1,INDEX(v01_WinterMult,G2356),1)</x:f>
        <x:v>1</x:v>
      </x:c>
      <x:c r="R2356" s="9" t="n">
        <x:f>H2356*Z2355*v01_WomenShare*v01_BaseFertility*INDEX(v01_FertMult,G2356)*Arch_Fertility*(1-P2356)</x:f>
        <x:v>0</x:v>
      </x:c>
      <x:c r="S2356" s="9" t="n">
        <x:f>H2356*Y2355*INDEX(v01_MortChild,G2356)/4*Q2356</x:f>
        <x:v>0</x:v>
      </x:c>
      <x:c r="T2356" s="9" t="n">
        <x:f>H2356*Z2355*INDEX(v01_MortAdult,G2356)*Arch_AdultMort/4*Q2356</x:f>
        <x:v>0</x:v>
      </x:c>
      <x:c r="U2356" s="9" t="n">
        <x:f>H2356*AA2355*INDEX(v01_MortElder,G2356)/4*Q2356</x:f>
        <x:v>0</x:v>
      </x:c>
      <x:c r="V2356" s="9" t="n">
        <x:f>H2356*MAX(0,AB2355-O2356)*v01_OvercapLoss</x:f>
        <x:v>0</x:v>
      </x:c>
      <x:c r="W2356" s="9" t="n">
        <x:f>H2356*Y2355/(v01_ChildYears*4)</x:f>
        <x:v>0</x:v>
      </x:c>
      <x:c r="X2356" s="9" t="n">
        <x:f>H2356*Z2355/(v01_AdultYears*4)</x:f>
        <x:v>0</x:v>
      </x:c>
      <x:c r="Y2356" s="32" t="n">
        <x:f>Y2355+R2356-S2356-W2356-Y2355*V2356/AB2355</x:f>
        <x:v>14306.18539759397</x:v>
      </x:c>
      <x:c r="Z2356" s="32" t="n">
        <x:f>Z2355+W2356-X2356-T2356-Z2355*V2356/AB2355</x:f>
        <x:v>19354.456567879548</x:v>
      </x:c>
      <x:c r="AA2356" s="32" t="n">
        <x:f>AA2355+X2356-U2356-AA2355*V2356/AB2355</x:f>
        <x:v>11386.956063258198</x:v>
      </x:c>
      <x:c r="AB2356" s="10" t="n">
        <x:f>Y2356+Z2356+AA2356</x:f>
        <x:v>45047.59802873172</x:v>
      </x:c>
      <x:c r="AC2356" s="8" t="n">
        <x:f>IF(AND(v01_WinterTrigger=1,D2356=1,AB2355/AE2355&gt;=K2356),1,0)</x:f>
        <x:v>0</x:v>
      </x:c>
      <x:c r="AD2356" s="8" t="n">
        <x:f>H2356*IF(AND(OR(AB2355/AE2355&gt;=v01_FissionTrigger*N2356,AC2356=1),AB2355/AE2355*v01_DaughterShare&gt;=v01_MinDaughter),MAX(1,ROUND(AE2355*v01_FissionRate,0)),0)</x:f>
        <x:v>0</x:v>
      </x:c>
      <x:c r="AE2356" s="8" t="n">
        <x:f>IF(H2356=1,MAX(1,MIN(INDEX(v01_Smax,G2356),AE2355+AD2356)),AE2355)</x:f>
        <x:v>15</x:v>
      </x:c>
      <x:c r="AF2356" s="8" t="n">
        <x:f>MAX(0,AE2356-AE2355)</x:f>
        <x:v>0</x:v>
      </x:c>
      <x:c r="AG2356" s="9" t="str">
        <x:f>IF(AF2356&gt;0,B2356,"")</x:f>
      </x:c>
      <x:c r="AH2356" s="9" t="n">
        <x:f>IF(F2356&gt;=1,1,(1+v01_LowTiesShare*(AE2356-1))/AE2356)</x:f>
        <x:v>1</x:v>
      </x:c>
      <x:c r="AI2356" s="32" t="n">
        <x:f>(Z2356+v01_ElderCommons*INDEX(LM_Elder,G2356)*AA2356)*AH2356</x:f>
        <x:v>64139.732591141874</x:v>
      </x:c>
      <x:c r="AJ2356" s="32" t="n">
        <x:f>H2356*v01_CommonsCoef*AI2356^v01_CommonsExp*INDEX(LM_Commons,G2356)</x:f>
        <x:v>0</x:v>
      </x:c>
      <x:c r="AK2356" s="32" t="n">
        <x:f>H2356*v01_RoleScale*Arch_Roles*(AE2356*(INDEX(v01_ElderRolePerSett,G2356)*v01_OutElder*INDEX(LM_Elder,G2356)+INDEX(v01_ShamanPerSett,G2356)*v01_OutShaman)+Z2356*(INDEX(v01_PriestShare,G2356)*v01_OutPriest+INDEX(v01_ScribeShare,G2356)*v01_OutScribe*INDEX(LM_Scribe,G2356)+INDEX(v01_ScholarShare,G2356)*v01_OutScholar*INDEX(LM_Scholar,G2356)+INDEX(v01_ResearcherShare,G2356)*v01_OutResearcher*INDEX(LM_Researcher,G2356)))</x:f>
        <x:v>0</x:v>
      </x:c>
      <x:c r="AL2356" s="32" t="n">
        <x:f>H2356*v01_RoleScale*Arch_Roles*AE2356*INDEX(v01_MonasteryPerSett,G2356)*v01_OutMonastery*INDEX(LM_Monastery,G2356)</x:f>
        <x:v>0</x:v>
      </x:c>
      <x:c r="AM2356" s="32" t="n">
        <x:f>(AJ2356+AK2356+AL2356)/4*INDEX(LM_All,G2356)*INDEX(v01_Boon,G2356)*Arch_Insight</x:f>
        <x:v>0</x:v>
      </x:c>
      <x:c r="AN2356" s="32" t="n">
        <x:f>H2356*(v01_KHPerAdult*Z2356+v01_KHOfCommons*AJ2356/4*INDEX(LM_All,G2356))*v01_KHUsable*Arch_KH</x:f>
        <x:v>0</x:v>
      </x:c>
      <x:c r="AO2356" s="32" t="n">
        <x:f>MIN(AP2355+AN2356,AM2356*v01_KHMaxRatio)</x:f>
        <x:v>0</x:v>
      </x:c>
      <x:c r="AP2356" s="32" t="n">
        <x:f>AP2355+AN2356-AO2356</x:f>
        <x:v>0</x:v>
      </x:c>
      <x:c r="AQ2356" s="32" t="n">
        <x:f>AM2356+AO2356</x:f>
        <x:v>0</x:v>
      </x:c>
      <x:c r="AR2356" s="10" t="n">
        <x:f>IF(H2356=1,INDEX(v01_Req,G2356),0)</x:f>
        <x:v>0</x:v>
      </x:c>
      <x:c r="AS2356" s="32" t="n">
        <x:f>IF(H2356=1,IF(E2356=1,AS2355-AR2355,AS2355)+AQ2356,0)</x:f>
        <x:v>0</x:v>
      </x:c>
      <x:c r="AT2356" s="11" t="n">
        <x:f>IF(AR2356&gt;0,MIN(1,AS2356/AR2356),1)</x:f>
        <x:v>1</x:v>
      </x:c>
      <x:c r="AU2356" s="10" t="n">
        <x:f>AB2356/INDEX(v01_RepScale,G2356)</x:f>
        <x:v>90.09519605746344</x:v>
      </x:c>
      <x:c r="AV2356" s="32" t="n">
        <x:f>AM2356*60/v01_SeasonSeconds</x:f>
        <x:v>0</x:v>
      </x:c>
    </x:row>
    <x:row r="2357">
      <x:c r="A2357" s="8" t="n">
        <x:f>A2356+1</x:f>
        <x:v>2354</x:v>
      </x:c>
      <x:c r="B2357" s="9" t="n">
        <x:f>A2357*v01_SeasonSeconds/60</x:f>
        <x:v>588.5</x:v>
      </x:c>
      <x:c r="C2357" s="9" t="n">
        <x:f>A2357/4</x:f>
        <x:v>588.5</x:v>
      </x:c>
      <x:c r="D2357" s="8" t="n">
        <x:f>IF(MOD(A2357,4)=0,1,0)</x:f>
        <x:v>0</x:v>
      </x:c>
      <x:c r="E2357" s="8" t="n">
        <x:f>IF(AND(F2356&lt;=9,AS2356&gt;=AR2356),1,0)</x:f>
        <x:v>0</x:v>
      </x:c>
      <x:c r="F2357" s="8" t="n">
        <x:f>MIN(10,F2356+E2357)</x:f>
        <x:v>10</x:v>
      </x:c>
      <x:c r="G2357" s="8" t="n">
        <x:f>MIN(F2357,9)+1</x:f>
        <x:v>10</x:v>
      </x:c>
      <x:c r="H2357" s="8" t="n">
        <x:f>IF(F2357&lt;=9,1,0)</x:f>
        <x:v>0</x:v>
      </x:c>
      <x:c r="I2357" s="9" t="n">
        <x:f>MIN(10,F2356+IF(AR2356&gt;0,MIN(1,AS2356/AR2356),1))</x:f>
        <x:v>10</x:v>
      </x:c>
      <x:c r="J2357" s="32" t="n">
        <x:f>INDEX(v01_FoodCap,G2357)*Arch_FoodCap*EXP(v01_CapsByProject*SUMPRODUCT((Cap_Point&lt;=I2357)*(Cap_Kind="Food")*Cap_Ln))</x:f>
        <x:v>12000</x:v>
      </x:c>
      <x:c r="K2357" s="32" t="n">
        <x:f>J2357*MIN(1,v01_LeanBase*EXP(v01_CapsByProject*SUMPRODUCT((Cap_Point&lt;=I2357)*(Cap_Kind="Lean")*Cap_Ln)))</x:f>
        <x:v>12000</x:v>
      </x:c>
      <x:c r="L2357" s="10" t="n">
        <x:f>INDEX(v01_HousingCap,G2357)*EXP(v01_CapsByProject*SUMPRODUCT((Cap_Point&lt;=I2357)*(Cap_Kind="Housing")*Cap_Ln))</x:f>
        <x:v>20000</x:v>
      </x:c>
      <x:c r="M2357" s="10" t="n">
        <x:f>INDEX(v01_GroupCap,G2357)*v01_CohesionFactor*EXP(v01_CapsByProject*SUMPRODUCT((Cap_Point&lt;=I2357)*(Cap_Kind="Group")*Cap_Ln))</x:f>
        <x:v>1000000</x:v>
      </x:c>
      <x:c r="N2357" s="32" t="n">
        <x:f>MIN(J2357,L2357,M2357)</x:f>
        <x:v>12000</x:v>
      </x:c>
      <x:c r="O2357" s="10" t="n">
        <x:f>AE2356*N2357</x:f>
        <x:v>180000</x:v>
      </x:c>
      <x:c r="P2357" s="9" t="n">
        <x:f>MIN(1,(AB2356/(AE2356*IF(v01_GroupInCrowding=1,N2357,MIN(J2357,L2357))))^v01_CrowdingExp)</x:f>
        <x:v>0.00024569414295285325</x:v>
      </x:c>
      <x:c r="Q2357" s="9" t="n">
        <x:f>IF(D2357=1,INDEX(v01_WinterMult,G2357),1)</x:f>
        <x:v>1</x:v>
      </x:c>
      <x:c r="R2357" s="9" t="n">
        <x:f>H2357*Z2356*v01_WomenShare*v01_BaseFertility*INDEX(v01_FertMult,G2357)*Arch_Fertility*(1-P2357)</x:f>
        <x:v>0</x:v>
      </x:c>
      <x:c r="S2357" s="9" t="n">
        <x:f>H2357*Y2356*INDEX(v01_MortChild,G2357)/4*Q2357</x:f>
        <x:v>0</x:v>
      </x:c>
      <x:c r="T2357" s="9" t="n">
        <x:f>H2357*Z2356*INDEX(v01_MortAdult,G2357)*Arch_AdultMort/4*Q2357</x:f>
        <x:v>0</x:v>
      </x:c>
      <x:c r="U2357" s="9" t="n">
        <x:f>H2357*AA2356*INDEX(v01_MortElder,G2357)/4*Q2357</x:f>
        <x:v>0</x:v>
      </x:c>
      <x:c r="V2357" s="9" t="n">
        <x:f>H2357*MAX(0,AB2356-O2357)*v01_OvercapLoss</x:f>
        <x:v>0</x:v>
      </x:c>
      <x:c r="W2357" s="9" t="n">
        <x:f>H2357*Y2356/(v01_ChildYears*4)</x:f>
        <x:v>0</x:v>
      </x:c>
      <x:c r="X2357" s="9" t="n">
        <x:f>H2357*Z2356/(v01_AdultYears*4)</x:f>
        <x:v>0</x:v>
      </x:c>
      <x:c r="Y2357" s="32" t="n">
        <x:f>Y2356+R2357-S2357-W2357-Y2356*V2357/AB2356</x:f>
        <x:v>14306.18539759397</x:v>
      </x:c>
      <x:c r="Z2357" s="32" t="n">
        <x:f>Z2356+W2357-X2357-T2357-Z2356*V2357/AB2356</x:f>
        <x:v>19354.456567879548</x:v>
      </x:c>
      <x:c r="AA2357" s="32" t="n">
        <x:f>AA2356+X2357-U2357-AA2356*V2357/AB2356</x:f>
        <x:v>11386.956063258198</x:v>
      </x:c>
      <x:c r="AB2357" s="10" t="n">
        <x:f>Y2357+Z2357+AA2357</x:f>
        <x:v>45047.59802873172</x:v>
      </x:c>
      <x:c r="AC2357" s="8" t="n">
        <x:f>IF(AND(v01_WinterTrigger=1,D2357=1,AB2356/AE2356&gt;=K2357),1,0)</x:f>
        <x:v>0</x:v>
      </x:c>
      <x:c r="AD2357" s="8" t="n">
        <x:f>H2357*IF(AND(OR(AB2356/AE2356&gt;=v01_FissionTrigger*N2357,AC2357=1),AB2356/AE2356*v01_DaughterShare&gt;=v01_MinDaughter),MAX(1,ROUND(AE2356*v01_FissionRate,0)),0)</x:f>
        <x:v>0</x:v>
      </x:c>
      <x:c r="AE2357" s="8" t="n">
        <x:f>IF(H2357=1,MAX(1,MIN(INDEX(v01_Smax,G2357),AE2356+AD2357)),AE2356)</x:f>
        <x:v>15</x:v>
      </x:c>
      <x:c r="AF2357" s="8" t="n">
        <x:f>MAX(0,AE2357-AE2356)</x:f>
        <x:v>0</x:v>
      </x:c>
      <x:c r="AG2357" s="9" t="str">
        <x:f>IF(AF2357&gt;0,B2357,"")</x:f>
      </x:c>
      <x:c r="AH2357" s="9" t="n">
        <x:f>IF(F2357&gt;=1,1,(1+v01_LowTiesShare*(AE2357-1))/AE2357)</x:f>
        <x:v>1</x:v>
      </x:c>
      <x:c r="AI2357" s="32" t="n">
        <x:f>(Z2357+v01_ElderCommons*INDEX(LM_Elder,G2357)*AA2357)*AH2357</x:f>
        <x:v>64139.732591141874</x:v>
      </x:c>
      <x:c r="AJ2357" s="32" t="n">
        <x:f>H2357*v01_CommonsCoef*AI2357^v01_CommonsExp*INDEX(LM_Commons,G2357)</x:f>
        <x:v>0</x:v>
      </x:c>
      <x:c r="AK2357" s="32" t="n">
        <x:f>H2357*v01_RoleScale*Arch_Roles*(AE2357*(INDEX(v01_ElderRolePerSett,G2357)*v01_OutElder*INDEX(LM_Elder,G2357)+INDEX(v01_ShamanPerSett,G2357)*v01_OutShaman)+Z2357*(INDEX(v01_PriestShare,G2357)*v01_OutPriest+INDEX(v01_ScribeShare,G2357)*v01_OutScribe*INDEX(LM_Scribe,G2357)+INDEX(v01_ScholarShare,G2357)*v01_OutScholar*INDEX(LM_Scholar,G2357)+INDEX(v01_ResearcherShare,G2357)*v01_OutResearcher*INDEX(LM_Researcher,G2357)))</x:f>
        <x:v>0</x:v>
      </x:c>
      <x:c r="AL2357" s="32" t="n">
        <x:f>H2357*v01_RoleScale*Arch_Roles*AE2357*INDEX(v01_MonasteryPerSett,G2357)*v01_OutMonastery*INDEX(LM_Monastery,G2357)</x:f>
        <x:v>0</x:v>
      </x:c>
      <x:c r="AM2357" s="32" t="n">
        <x:f>(AJ2357+AK2357+AL2357)/4*INDEX(LM_All,G2357)*INDEX(v01_Boon,G2357)*Arch_Insight</x:f>
        <x:v>0</x:v>
      </x:c>
      <x:c r="AN2357" s="32" t="n">
        <x:f>H2357*(v01_KHPerAdult*Z2357+v01_KHOfCommons*AJ2357/4*INDEX(LM_All,G2357))*v01_KHUsable*Arch_KH</x:f>
        <x:v>0</x:v>
      </x:c>
      <x:c r="AO2357" s="32" t="n">
        <x:f>MIN(AP2356+AN2357,AM2357*v01_KHMaxRatio)</x:f>
        <x:v>0</x:v>
      </x:c>
      <x:c r="AP2357" s="32" t="n">
        <x:f>AP2356+AN2357-AO2357</x:f>
        <x:v>0</x:v>
      </x:c>
      <x:c r="AQ2357" s="32" t="n">
        <x:f>AM2357+AO2357</x:f>
        <x:v>0</x:v>
      </x:c>
      <x:c r="AR2357" s="10" t="n">
        <x:f>IF(H2357=1,INDEX(v01_Req,G2357),0)</x:f>
        <x:v>0</x:v>
      </x:c>
      <x:c r="AS2357" s="32" t="n">
        <x:f>IF(H2357=1,IF(E2357=1,AS2356-AR2356,AS2356)+AQ2357,0)</x:f>
        <x:v>0</x:v>
      </x:c>
      <x:c r="AT2357" s="11" t="n">
        <x:f>IF(AR2357&gt;0,MIN(1,AS2357/AR2357),1)</x:f>
        <x:v>1</x:v>
      </x:c>
      <x:c r="AU2357" s="10" t="n">
        <x:f>AB2357/INDEX(v01_RepScale,G2357)</x:f>
        <x:v>90.09519605746344</x:v>
      </x:c>
      <x:c r="AV2357" s="32" t="n">
        <x:f>AM2357*60/v01_SeasonSeconds</x:f>
        <x:v>0</x:v>
      </x:c>
    </x:row>
    <x:row r="2358">
      <x:c r="A2358" s="8" t="n">
        <x:f>A2357+1</x:f>
        <x:v>2355</x:v>
      </x:c>
      <x:c r="B2358" s="9" t="n">
        <x:f>A2358*v01_SeasonSeconds/60</x:f>
        <x:v>588.75</x:v>
      </x:c>
      <x:c r="C2358" s="9" t="n">
        <x:f>A2358/4</x:f>
        <x:v>588.75</x:v>
      </x:c>
      <x:c r="D2358" s="8" t="n">
        <x:f>IF(MOD(A2358,4)=0,1,0)</x:f>
        <x:v>0</x:v>
      </x:c>
      <x:c r="E2358" s="8" t="n">
        <x:f>IF(AND(F2357&lt;=9,AS2357&gt;=AR2357),1,0)</x:f>
        <x:v>0</x:v>
      </x:c>
      <x:c r="F2358" s="8" t="n">
        <x:f>MIN(10,F2357+E2358)</x:f>
        <x:v>10</x:v>
      </x:c>
      <x:c r="G2358" s="8" t="n">
        <x:f>MIN(F2358,9)+1</x:f>
        <x:v>10</x:v>
      </x:c>
      <x:c r="H2358" s="8" t="n">
        <x:f>IF(F2358&lt;=9,1,0)</x:f>
        <x:v>0</x:v>
      </x:c>
      <x:c r="I2358" s="9" t="n">
        <x:f>MIN(10,F2357+IF(AR2357&gt;0,MIN(1,AS2357/AR2357),1))</x:f>
        <x:v>10</x:v>
      </x:c>
      <x:c r="J2358" s="32" t="n">
        <x:f>INDEX(v01_FoodCap,G2358)*Arch_FoodCap*EXP(v01_CapsByProject*SUMPRODUCT((Cap_Point&lt;=I2358)*(Cap_Kind="Food")*Cap_Ln))</x:f>
        <x:v>12000</x:v>
      </x:c>
      <x:c r="K2358" s="32" t="n">
        <x:f>J2358*MIN(1,v01_LeanBase*EXP(v01_CapsByProject*SUMPRODUCT((Cap_Point&lt;=I2358)*(Cap_Kind="Lean")*Cap_Ln)))</x:f>
        <x:v>12000</x:v>
      </x:c>
      <x:c r="L2358" s="10" t="n">
        <x:f>INDEX(v01_HousingCap,G2358)*EXP(v01_CapsByProject*SUMPRODUCT((Cap_Point&lt;=I2358)*(Cap_Kind="Housing")*Cap_Ln))</x:f>
        <x:v>20000</x:v>
      </x:c>
      <x:c r="M2358" s="10" t="n">
        <x:f>INDEX(v01_GroupCap,G2358)*v01_CohesionFactor*EXP(v01_CapsByProject*SUMPRODUCT((Cap_Point&lt;=I2358)*(Cap_Kind="Group")*Cap_Ln))</x:f>
        <x:v>1000000</x:v>
      </x:c>
      <x:c r="N2358" s="32" t="n">
        <x:f>MIN(J2358,L2358,M2358)</x:f>
        <x:v>12000</x:v>
      </x:c>
      <x:c r="O2358" s="10" t="n">
        <x:f>AE2357*N2358</x:f>
        <x:v>180000</x:v>
      </x:c>
      <x:c r="P2358" s="9" t="n">
        <x:f>MIN(1,(AB2357/(AE2357*IF(v01_GroupInCrowding=1,N2358,MIN(J2358,L2358))))^v01_CrowdingExp)</x:f>
        <x:v>0.00024569414295285325</x:v>
      </x:c>
      <x:c r="Q2358" s="9" t="n">
        <x:f>IF(D2358=1,INDEX(v01_WinterMult,G2358),1)</x:f>
        <x:v>1</x:v>
      </x:c>
      <x:c r="R2358" s="9" t="n">
        <x:f>H2358*Z2357*v01_WomenShare*v01_BaseFertility*INDEX(v01_FertMult,G2358)*Arch_Fertility*(1-P2358)</x:f>
        <x:v>0</x:v>
      </x:c>
      <x:c r="S2358" s="9" t="n">
        <x:f>H2358*Y2357*INDEX(v01_MortChild,G2358)/4*Q2358</x:f>
        <x:v>0</x:v>
      </x:c>
      <x:c r="T2358" s="9" t="n">
        <x:f>H2358*Z2357*INDEX(v01_MortAdult,G2358)*Arch_AdultMort/4*Q2358</x:f>
        <x:v>0</x:v>
      </x:c>
      <x:c r="U2358" s="9" t="n">
        <x:f>H2358*AA2357*INDEX(v01_MortElder,G2358)/4*Q2358</x:f>
        <x:v>0</x:v>
      </x:c>
      <x:c r="V2358" s="9" t="n">
        <x:f>H2358*MAX(0,AB2357-O2358)*v01_OvercapLoss</x:f>
        <x:v>0</x:v>
      </x:c>
      <x:c r="W2358" s="9" t="n">
        <x:f>H2358*Y2357/(v01_ChildYears*4)</x:f>
        <x:v>0</x:v>
      </x:c>
      <x:c r="X2358" s="9" t="n">
        <x:f>H2358*Z2357/(v01_AdultYears*4)</x:f>
        <x:v>0</x:v>
      </x:c>
      <x:c r="Y2358" s="32" t="n">
        <x:f>Y2357+R2358-S2358-W2358-Y2357*V2358/AB2357</x:f>
        <x:v>14306.18539759397</x:v>
      </x:c>
      <x:c r="Z2358" s="32" t="n">
        <x:f>Z2357+W2358-X2358-T2358-Z2357*V2358/AB2357</x:f>
        <x:v>19354.456567879548</x:v>
      </x:c>
      <x:c r="AA2358" s="32" t="n">
        <x:f>AA2357+X2358-U2358-AA2357*V2358/AB2357</x:f>
        <x:v>11386.956063258198</x:v>
      </x:c>
      <x:c r="AB2358" s="10" t="n">
        <x:f>Y2358+Z2358+AA2358</x:f>
        <x:v>45047.59802873172</x:v>
      </x:c>
      <x:c r="AC2358" s="8" t="n">
        <x:f>IF(AND(v01_WinterTrigger=1,D2358=1,AB2357/AE2357&gt;=K2358),1,0)</x:f>
        <x:v>0</x:v>
      </x:c>
      <x:c r="AD2358" s="8" t="n">
        <x:f>H2358*IF(AND(OR(AB2357/AE2357&gt;=v01_FissionTrigger*N2358,AC2358=1),AB2357/AE2357*v01_DaughterShare&gt;=v01_MinDaughter),MAX(1,ROUND(AE2357*v01_FissionRate,0)),0)</x:f>
        <x:v>0</x:v>
      </x:c>
      <x:c r="AE2358" s="8" t="n">
        <x:f>IF(H2358=1,MAX(1,MIN(INDEX(v01_Smax,G2358),AE2357+AD2358)),AE2357)</x:f>
        <x:v>15</x:v>
      </x:c>
      <x:c r="AF2358" s="8" t="n">
        <x:f>MAX(0,AE2358-AE2357)</x:f>
        <x:v>0</x:v>
      </x:c>
      <x:c r="AG2358" s="9" t="str">
        <x:f>IF(AF2358&gt;0,B2358,"")</x:f>
      </x:c>
      <x:c r="AH2358" s="9" t="n">
        <x:f>IF(F2358&gt;=1,1,(1+v01_LowTiesShare*(AE2358-1))/AE2358)</x:f>
        <x:v>1</x:v>
      </x:c>
      <x:c r="AI2358" s="32" t="n">
        <x:f>(Z2358+v01_ElderCommons*INDEX(LM_Elder,G2358)*AA2358)*AH2358</x:f>
        <x:v>64139.732591141874</x:v>
      </x:c>
      <x:c r="AJ2358" s="32" t="n">
        <x:f>H2358*v01_CommonsCoef*AI2358^v01_CommonsExp*INDEX(LM_Commons,G2358)</x:f>
        <x:v>0</x:v>
      </x:c>
      <x:c r="AK2358" s="32" t="n">
        <x:f>H2358*v01_RoleScale*Arch_Roles*(AE2358*(INDEX(v01_ElderRolePerSett,G2358)*v01_OutElder*INDEX(LM_Elder,G2358)+INDEX(v01_ShamanPerSett,G2358)*v01_OutShaman)+Z2358*(INDEX(v01_PriestShare,G2358)*v01_OutPriest+INDEX(v01_ScribeShare,G2358)*v01_OutScribe*INDEX(LM_Scribe,G2358)+INDEX(v01_ScholarShare,G2358)*v01_OutScholar*INDEX(LM_Scholar,G2358)+INDEX(v01_ResearcherShare,G2358)*v01_OutResearcher*INDEX(LM_Researcher,G2358)))</x:f>
        <x:v>0</x:v>
      </x:c>
      <x:c r="AL2358" s="32" t="n">
        <x:f>H2358*v01_RoleScale*Arch_Roles*AE2358*INDEX(v01_MonasteryPerSett,G2358)*v01_OutMonastery*INDEX(LM_Monastery,G2358)</x:f>
        <x:v>0</x:v>
      </x:c>
      <x:c r="AM2358" s="32" t="n">
        <x:f>(AJ2358+AK2358+AL2358)/4*INDEX(LM_All,G2358)*INDEX(v01_Boon,G2358)*Arch_Insight</x:f>
        <x:v>0</x:v>
      </x:c>
      <x:c r="AN2358" s="32" t="n">
        <x:f>H2358*(v01_KHPerAdult*Z2358+v01_KHOfCommons*AJ2358/4*INDEX(LM_All,G2358))*v01_KHUsable*Arch_KH</x:f>
        <x:v>0</x:v>
      </x:c>
      <x:c r="AO2358" s="32" t="n">
        <x:f>MIN(AP2357+AN2358,AM2358*v01_KHMaxRatio)</x:f>
        <x:v>0</x:v>
      </x:c>
      <x:c r="AP2358" s="32" t="n">
        <x:f>AP2357+AN2358-AO2358</x:f>
        <x:v>0</x:v>
      </x:c>
      <x:c r="AQ2358" s="32" t="n">
        <x:f>AM2358+AO2358</x:f>
        <x:v>0</x:v>
      </x:c>
      <x:c r="AR2358" s="10" t="n">
        <x:f>IF(H2358=1,INDEX(v01_Req,G2358),0)</x:f>
        <x:v>0</x:v>
      </x:c>
      <x:c r="AS2358" s="32" t="n">
        <x:f>IF(H2358=1,IF(E2358=1,AS2357-AR2357,AS2357)+AQ2358,0)</x:f>
        <x:v>0</x:v>
      </x:c>
      <x:c r="AT2358" s="11" t="n">
        <x:f>IF(AR2358&gt;0,MIN(1,AS2358/AR2358),1)</x:f>
        <x:v>1</x:v>
      </x:c>
      <x:c r="AU2358" s="10" t="n">
        <x:f>AB2358/INDEX(v01_RepScale,G2358)</x:f>
        <x:v>90.09519605746344</x:v>
      </x:c>
      <x:c r="AV2358" s="32" t="n">
        <x:f>AM2358*60/v01_SeasonSeconds</x:f>
        <x:v>0</x:v>
      </x:c>
    </x:row>
    <x:row r="2359">
      <x:c r="A2359" s="8" t="n">
        <x:f>A2358+1</x:f>
        <x:v>2356</x:v>
      </x:c>
      <x:c r="B2359" s="9" t="n">
        <x:f>A2359*v01_SeasonSeconds/60</x:f>
        <x:v>589</x:v>
      </x:c>
      <x:c r="C2359" s="9" t="n">
        <x:f>A2359/4</x:f>
        <x:v>589</x:v>
      </x:c>
      <x:c r="D2359" s="8" t="n">
        <x:f>IF(MOD(A2359,4)=0,1,0)</x:f>
        <x:v>1</x:v>
      </x:c>
      <x:c r="E2359" s="8" t="n">
        <x:f>IF(AND(F2358&lt;=9,AS2358&gt;=AR2358),1,0)</x:f>
        <x:v>0</x:v>
      </x:c>
      <x:c r="F2359" s="8" t="n">
        <x:f>MIN(10,F2358+E2359)</x:f>
        <x:v>10</x:v>
      </x:c>
      <x:c r="G2359" s="8" t="n">
        <x:f>MIN(F2359,9)+1</x:f>
        <x:v>10</x:v>
      </x:c>
      <x:c r="H2359" s="8" t="n">
        <x:f>IF(F2359&lt;=9,1,0)</x:f>
        <x:v>0</x:v>
      </x:c>
      <x:c r="I2359" s="9" t="n">
        <x:f>MIN(10,F2358+IF(AR2358&gt;0,MIN(1,AS2358/AR2358),1))</x:f>
        <x:v>10</x:v>
      </x:c>
      <x:c r="J2359" s="32" t="n">
        <x:f>INDEX(v01_FoodCap,G2359)*Arch_FoodCap*EXP(v01_CapsByProject*SUMPRODUCT((Cap_Point&lt;=I2359)*(Cap_Kind="Food")*Cap_Ln))</x:f>
        <x:v>12000</x:v>
      </x:c>
      <x:c r="K2359" s="32" t="n">
        <x:f>J2359*MIN(1,v01_LeanBase*EXP(v01_CapsByProject*SUMPRODUCT((Cap_Point&lt;=I2359)*(Cap_Kind="Lean")*Cap_Ln)))</x:f>
        <x:v>12000</x:v>
      </x:c>
      <x:c r="L2359" s="10" t="n">
        <x:f>INDEX(v01_HousingCap,G2359)*EXP(v01_CapsByProject*SUMPRODUCT((Cap_Point&lt;=I2359)*(Cap_Kind="Housing")*Cap_Ln))</x:f>
        <x:v>20000</x:v>
      </x:c>
      <x:c r="M2359" s="10" t="n">
        <x:f>INDEX(v01_GroupCap,G2359)*v01_CohesionFactor*EXP(v01_CapsByProject*SUMPRODUCT((Cap_Point&lt;=I2359)*(Cap_Kind="Group")*Cap_Ln))</x:f>
        <x:v>1000000</x:v>
      </x:c>
      <x:c r="N2359" s="32" t="n">
        <x:f>MIN(J2359,L2359,M2359)</x:f>
        <x:v>12000</x:v>
      </x:c>
      <x:c r="O2359" s="10" t="n">
        <x:f>AE2358*N2359</x:f>
        <x:v>180000</x:v>
      </x:c>
      <x:c r="P2359" s="9" t="n">
        <x:f>MIN(1,(AB2358/(AE2358*IF(v01_GroupInCrowding=1,N2359,MIN(J2359,L2359))))^v01_CrowdingExp)</x:f>
        <x:v>0.00024569414295285325</x:v>
      </x:c>
      <x:c r="Q2359" s="9" t="n">
        <x:f>IF(D2359=1,INDEX(v01_WinterMult,G2359),1)</x:f>
        <x:v>1</x:v>
      </x:c>
      <x:c r="R2359" s="9" t="n">
        <x:f>H2359*Z2358*v01_WomenShare*v01_BaseFertility*INDEX(v01_FertMult,G2359)*Arch_Fertility*(1-P2359)</x:f>
        <x:v>0</x:v>
      </x:c>
      <x:c r="S2359" s="9" t="n">
        <x:f>H2359*Y2358*INDEX(v01_MortChild,G2359)/4*Q2359</x:f>
        <x:v>0</x:v>
      </x:c>
      <x:c r="T2359" s="9" t="n">
        <x:f>H2359*Z2358*INDEX(v01_MortAdult,G2359)*Arch_AdultMort/4*Q2359</x:f>
        <x:v>0</x:v>
      </x:c>
      <x:c r="U2359" s="9" t="n">
        <x:f>H2359*AA2358*INDEX(v01_MortElder,G2359)/4*Q2359</x:f>
        <x:v>0</x:v>
      </x:c>
      <x:c r="V2359" s="9" t="n">
        <x:f>H2359*MAX(0,AB2358-O2359)*v01_OvercapLoss</x:f>
        <x:v>0</x:v>
      </x:c>
      <x:c r="W2359" s="9" t="n">
        <x:f>H2359*Y2358/(v01_ChildYears*4)</x:f>
        <x:v>0</x:v>
      </x:c>
      <x:c r="X2359" s="9" t="n">
        <x:f>H2359*Z2358/(v01_AdultYears*4)</x:f>
        <x:v>0</x:v>
      </x:c>
      <x:c r="Y2359" s="32" t="n">
        <x:f>Y2358+R2359-S2359-W2359-Y2358*V2359/AB2358</x:f>
        <x:v>14306.18539759397</x:v>
      </x:c>
      <x:c r="Z2359" s="32" t="n">
        <x:f>Z2358+W2359-X2359-T2359-Z2358*V2359/AB2358</x:f>
        <x:v>19354.456567879548</x:v>
      </x:c>
      <x:c r="AA2359" s="32" t="n">
        <x:f>AA2358+X2359-U2359-AA2358*V2359/AB2358</x:f>
        <x:v>11386.956063258198</x:v>
      </x:c>
      <x:c r="AB2359" s="10" t="n">
        <x:f>Y2359+Z2359+AA2359</x:f>
        <x:v>45047.59802873172</x:v>
      </x:c>
      <x:c r="AC2359" s="8" t="n">
        <x:f>IF(AND(v01_WinterTrigger=1,D2359=1,AB2358/AE2358&gt;=K2359),1,0)</x:f>
        <x:v>0</x:v>
      </x:c>
      <x:c r="AD2359" s="8" t="n">
        <x:f>H2359*IF(AND(OR(AB2358/AE2358&gt;=v01_FissionTrigger*N2359,AC2359=1),AB2358/AE2358*v01_DaughterShare&gt;=v01_MinDaughter),MAX(1,ROUND(AE2358*v01_FissionRate,0)),0)</x:f>
        <x:v>0</x:v>
      </x:c>
      <x:c r="AE2359" s="8" t="n">
        <x:f>IF(H2359=1,MAX(1,MIN(INDEX(v01_Smax,G2359),AE2358+AD2359)),AE2358)</x:f>
        <x:v>15</x:v>
      </x:c>
      <x:c r="AF2359" s="8" t="n">
        <x:f>MAX(0,AE2359-AE2358)</x:f>
        <x:v>0</x:v>
      </x:c>
      <x:c r="AG2359" s="9" t="str">
        <x:f>IF(AF2359&gt;0,B2359,"")</x:f>
      </x:c>
      <x:c r="AH2359" s="9" t="n">
        <x:f>IF(F2359&gt;=1,1,(1+v01_LowTiesShare*(AE2359-1))/AE2359)</x:f>
        <x:v>1</x:v>
      </x:c>
      <x:c r="AI2359" s="32" t="n">
        <x:f>(Z2359+v01_ElderCommons*INDEX(LM_Elder,G2359)*AA2359)*AH2359</x:f>
        <x:v>64139.732591141874</x:v>
      </x:c>
      <x:c r="AJ2359" s="32" t="n">
        <x:f>H2359*v01_CommonsCoef*AI2359^v01_CommonsExp*INDEX(LM_Commons,G2359)</x:f>
        <x:v>0</x:v>
      </x:c>
      <x:c r="AK2359" s="32" t="n">
        <x:f>H2359*v01_RoleScale*Arch_Roles*(AE2359*(INDEX(v01_ElderRolePerSett,G2359)*v01_OutElder*INDEX(LM_Elder,G2359)+INDEX(v01_ShamanPerSett,G2359)*v01_OutShaman)+Z2359*(INDEX(v01_PriestShare,G2359)*v01_OutPriest+INDEX(v01_ScribeShare,G2359)*v01_OutScribe*INDEX(LM_Scribe,G2359)+INDEX(v01_ScholarShare,G2359)*v01_OutScholar*INDEX(LM_Scholar,G2359)+INDEX(v01_ResearcherShare,G2359)*v01_OutResearcher*INDEX(LM_Researcher,G2359)))</x:f>
        <x:v>0</x:v>
      </x:c>
      <x:c r="AL2359" s="32" t="n">
        <x:f>H2359*v01_RoleScale*Arch_Roles*AE2359*INDEX(v01_MonasteryPerSett,G2359)*v01_OutMonastery*INDEX(LM_Monastery,G2359)</x:f>
        <x:v>0</x:v>
      </x:c>
      <x:c r="AM2359" s="32" t="n">
        <x:f>(AJ2359+AK2359+AL2359)/4*INDEX(LM_All,G2359)*INDEX(v01_Boon,G2359)*Arch_Insight</x:f>
        <x:v>0</x:v>
      </x:c>
      <x:c r="AN2359" s="32" t="n">
        <x:f>H2359*(v01_KHPerAdult*Z2359+v01_KHOfCommons*AJ2359/4*INDEX(LM_All,G2359))*v01_KHUsable*Arch_KH</x:f>
        <x:v>0</x:v>
      </x:c>
      <x:c r="AO2359" s="32" t="n">
        <x:f>MIN(AP2358+AN2359,AM2359*v01_KHMaxRatio)</x:f>
        <x:v>0</x:v>
      </x:c>
      <x:c r="AP2359" s="32" t="n">
        <x:f>AP2358+AN2359-AO2359</x:f>
        <x:v>0</x:v>
      </x:c>
      <x:c r="AQ2359" s="32" t="n">
        <x:f>AM2359+AO2359</x:f>
        <x:v>0</x:v>
      </x:c>
      <x:c r="AR2359" s="10" t="n">
        <x:f>IF(H2359=1,INDEX(v01_Req,G2359),0)</x:f>
        <x:v>0</x:v>
      </x:c>
      <x:c r="AS2359" s="32" t="n">
        <x:f>IF(H2359=1,IF(E2359=1,AS2358-AR2358,AS2358)+AQ2359,0)</x:f>
        <x:v>0</x:v>
      </x:c>
      <x:c r="AT2359" s="11" t="n">
        <x:f>IF(AR2359&gt;0,MIN(1,AS2359/AR2359),1)</x:f>
        <x:v>1</x:v>
      </x:c>
      <x:c r="AU2359" s="10" t="n">
        <x:f>AB2359/INDEX(v01_RepScale,G2359)</x:f>
        <x:v>90.09519605746344</x:v>
      </x:c>
      <x:c r="AV2359" s="32" t="n">
        <x:f>AM2359*60/v01_SeasonSeconds</x:f>
        <x:v>0</x:v>
      </x:c>
    </x:row>
    <x:row r="2360">
      <x:c r="A2360" s="8" t="n">
        <x:f>A2359+1</x:f>
        <x:v>2357</x:v>
      </x:c>
      <x:c r="B2360" s="9" t="n">
        <x:f>A2360*v01_SeasonSeconds/60</x:f>
        <x:v>589.25</x:v>
      </x:c>
      <x:c r="C2360" s="9" t="n">
        <x:f>A2360/4</x:f>
        <x:v>589.25</x:v>
      </x:c>
      <x:c r="D2360" s="8" t="n">
        <x:f>IF(MOD(A2360,4)=0,1,0)</x:f>
        <x:v>0</x:v>
      </x:c>
      <x:c r="E2360" s="8" t="n">
        <x:f>IF(AND(F2359&lt;=9,AS2359&gt;=AR2359),1,0)</x:f>
        <x:v>0</x:v>
      </x:c>
      <x:c r="F2360" s="8" t="n">
        <x:f>MIN(10,F2359+E2360)</x:f>
        <x:v>10</x:v>
      </x:c>
      <x:c r="G2360" s="8" t="n">
        <x:f>MIN(F2360,9)+1</x:f>
        <x:v>10</x:v>
      </x:c>
      <x:c r="H2360" s="8" t="n">
        <x:f>IF(F2360&lt;=9,1,0)</x:f>
        <x:v>0</x:v>
      </x:c>
      <x:c r="I2360" s="9" t="n">
        <x:f>MIN(10,F2359+IF(AR2359&gt;0,MIN(1,AS2359/AR2359),1))</x:f>
        <x:v>10</x:v>
      </x:c>
      <x:c r="J2360" s="32" t="n">
        <x:f>INDEX(v01_FoodCap,G2360)*Arch_FoodCap*EXP(v01_CapsByProject*SUMPRODUCT((Cap_Point&lt;=I2360)*(Cap_Kind="Food")*Cap_Ln))</x:f>
        <x:v>12000</x:v>
      </x:c>
      <x:c r="K2360" s="32" t="n">
        <x:f>J2360*MIN(1,v01_LeanBase*EXP(v01_CapsByProject*SUMPRODUCT((Cap_Point&lt;=I2360)*(Cap_Kind="Lean")*Cap_Ln)))</x:f>
        <x:v>12000</x:v>
      </x:c>
      <x:c r="L2360" s="10" t="n">
        <x:f>INDEX(v01_HousingCap,G2360)*EXP(v01_CapsByProject*SUMPRODUCT((Cap_Point&lt;=I2360)*(Cap_Kind="Housing")*Cap_Ln))</x:f>
        <x:v>20000</x:v>
      </x:c>
      <x:c r="M2360" s="10" t="n">
        <x:f>INDEX(v01_GroupCap,G2360)*v01_CohesionFactor*EXP(v01_CapsByProject*SUMPRODUCT((Cap_Point&lt;=I2360)*(Cap_Kind="Group")*Cap_Ln))</x:f>
        <x:v>1000000</x:v>
      </x:c>
      <x:c r="N2360" s="32" t="n">
        <x:f>MIN(J2360,L2360,M2360)</x:f>
        <x:v>12000</x:v>
      </x:c>
      <x:c r="O2360" s="10" t="n">
        <x:f>AE2359*N2360</x:f>
        <x:v>180000</x:v>
      </x:c>
      <x:c r="P2360" s="9" t="n">
        <x:f>MIN(1,(AB2359/(AE2359*IF(v01_GroupInCrowding=1,N2360,MIN(J2360,L2360))))^v01_CrowdingExp)</x:f>
        <x:v>0.00024569414295285325</x:v>
      </x:c>
      <x:c r="Q2360" s="9" t="n">
        <x:f>IF(D2360=1,INDEX(v01_WinterMult,G2360),1)</x:f>
        <x:v>1</x:v>
      </x:c>
      <x:c r="R2360" s="9" t="n">
        <x:f>H2360*Z2359*v01_WomenShare*v01_BaseFertility*INDEX(v01_FertMult,G2360)*Arch_Fertility*(1-P2360)</x:f>
        <x:v>0</x:v>
      </x:c>
      <x:c r="S2360" s="9" t="n">
        <x:f>H2360*Y2359*INDEX(v01_MortChild,G2360)/4*Q2360</x:f>
        <x:v>0</x:v>
      </x:c>
      <x:c r="T2360" s="9" t="n">
        <x:f>H2360*Z2359*INDEX(v01_MortAdult,G2360)*Arch_AdultMort/4*Q2360</x:f>
        <x:v>0</x:v>
      </x:c>
      <x:c r="U2360" s="9" t="n">
        <x:f>H2360*AA2359*INDEX(v01_MortElder,G2360)/4*Q2360</x:f>
        <x:v>0</x:v>
      </x:c>
      <x:c r="V2360" s="9" t="n">
        <x:f>H2360*MAX(0,AB2359-O2360)*v01_OvercapLoss</x:f>
        <x:v>0</x:v>
      </x:c>
      <x:c r="W2360" s="9" t="n">
        <x:f>H2360*Y2359/(v01_ChildYears*4)</x:f>
        <x:v>0</x:v>
      </x:c>
      <x:c r="X2360" s="9" t="n">
        <x:f>H2360*Z2359/(v01_AdultYears*4)</x:f>
        <x:v>0</x:v>
      </x:c>
      <x:c r="Y2360" s="32" t="n">
        <x:f>Y2359+R2360-S2360-W2360-Y2359*V2360/AB2359</x:f>
        <x:v>14306.18539759397</x:v>
      </x:c>
      <x:c r="Z2360" s="32" t="n">
        <x:f>Z2359+W2360-X2360-T2360-Z2359*V2360/AB2359</x:f>
        <x:v>19354.456567879548</x:v>
      </x:c>
      <x:c r="AA2360" s="32" t="n">
        <x:f>AA2359+X2360-U2360-AA2359*V2360/AB2359</x:f>
        <x:v>11386.956063258198</x:v>
      </x:c>
      <x:c r="AB2360" s="10" t="n">
        <x:f>Y2360+Z2360+AA2360</x:f>
        <x:v>45047.59802873172</x:v>
      </x:c>
      <x:c r="AC2360" s="8" t="n">
        <x:f>IF(AND(v01_WinterTrigger=1,D2360=1,AB2359/AE2359&gt;=K2360),1,0)</x:f>
        <x:v>0</x:v>
      </x:c>
      <x:c r="AD2360" s="8" t="n">
        <x:f>H2360*IF(AND(OR(AB2359/AE2359&gt;=v01_FissionTrigger*N2360,AC2360=1),AB2359/AE2359*v01_DaughterShare&gt;=v01_MinDaughter),MAX(1,ROUND(AE2359*v01_FissionRate,0)),0)</x:f>
        <x:v>0</x:v>
      </x:c>
      <x:c r="AE2360" s="8" t="n">
        <x:f>IF(H2360=1,MAX(1,MIN(INDEX(v01_Smax,G2360),AE2359+AD2360)),AE2359)</x:f>
        <x:v>15</x:v>
      </x:c>
      <x:c r="AF2360" s="8" t="n">
        <x:f>MAX(0,AE2360-AE2359)</x:f>
        <x:v>0</x:v>
      </x:c>
      <x:c r="AG2360" s="9" t="str">
        <x:f>IF(AF2360&gt;0,B2360,"")</x:f>
      </x:c>
      <x:c r="AH2360" s="9" t="n">
        <x:f>IF(F2360&gt;=1,1,(1+v01_LowTiesShare*(AE2360-1))/AE2360)</x:f>
        <x:v>1</x:v>
      </x:c>
      <x:c r="AI2360" s="32" t="n">
        <x:f>(Z2360+v01_ElderCommons*INDEX(LM_Elder,G2360)*AA2360)*AH2360</x:f>
        <x:v>64139.732591141874</x:v>
      </x:c>
      <x:c r="AJ2360" s="32" t="n">
        <x:f>H2360*v01_CommonsCoef*AI2360^v01_CommonsExp*INDEX(LM_Commons,G2360)</x:f>
        <x:v>0</x:v>
      </x:c>
      <x:c r="AK2360" s="32" t="n">
        <x:f>H2360*v01_RoleScale*Arch_Roles*(AE2360*(INDEX(v01_ElderRolePerSett,G2360)*v01_OutElder*INDEX(LM_Elder,G2360)+INDEX(v01_ShamanPerSett,G2360)*v01_OutShaman)+Z2360*(INDEX(v01_PriestShare,G2360)*v01_OutPriest+INDEX(v01_ScribeShare,G2360)*v01_OutScribe*INDEX(LM_Scribe,G2360)+INDEX(v01_ScholarShare,G2360)*v01_OutScholar*INDEX(LM_Scholar,G2360)+INDEX(v01_ResearcherShare,G2360)*v01_OutResearcher*INDEX(LM_Researcher,G2360)))</x:f>
        <x:v>0</x:v>
      </x:c>
      <x:c r="AL2360" s="32" t="n">
        <x:f>H2360*v01_RoleScale*Arch_Roles*AE2360*INDEX(v01_MonasteryPerSett,G2360)*v01_OutMonastery*INDEX(LM_Monastery,G2360)</x:f>
        <x:v>0</x:v>
      </x:c>
      <x:c r="AM2360" s="32" t="n">
        <x:f>(AJ2360+AK2360+AL2360)/4*INDEX(LM_All,G2360)*INDEX(v01_Boon,G2360)*Arch_Insight</x:f>
        <x:v>0</x:v>
      </x:c>
      <x:c r="AN2360" s="32" t="n">
        <x:f>H2360*(v01_KHPerAdult*Z2360+v01_KHOfCommons*AJ2360/4*INDEX(LM_All,G2360))*v01_KHUsable*Arch_KH</x:f>
        <x:v>0</x:v>
      </x:c>
      <x:c r="AO2360" s="32" t="n">
        <x:f>MIN(AP2359+AN2360,AM2360*v01_KHMaxRatio)</x:f>
        <x:v>0</x:v>
      </x:c>
      <x:c r="AP2360" s="32" t="n">
        <x:f>AP2359+AN2360-AO2360</x:f>
        <x:v>0</x:v>
      </x:c>
      <x:c r="AQ2360" s="32" t="n">
        <x:f>AM2360+AO2360</x:f>
        <x:v>0</x:v>
      </x:c>
      <x:c r="AR2360" s="10" t="n">
        <x:f>IF(H2360=1,INDEX(v01_Req,G2360),0)</x:f>
        <x:v>0</x:v>
      </x:c>
      <x:c r="AS2360" s="32" t="n">
        <x:f>IF(H2360=1,IF(E2360=1,AS2359-AR2359,AS2359)+AQ2360,0)</x:f>
        <x:v>0</x:v>
      </x:c>
      <x:c r="AT2360" s="11" t="n">
        <x:f>IF(AR2360&gt;0,MIN(1,AS2360/AR2360),1)</x:f>
        <x:v>1</x:v>
      </x:c>
      <x:c r="AU2360" s="10" t="n">
        <x:f>AB2360/INDEX(v01_RepScale,G2360)</x:f>
        <x:v>90.09519605746344</x:v>
      </x:c>
      <x:c r="AV2360" s="32" t="n">
        <x:f>AM2360*60/v01_SeasonSeconds</x:f>
        <x:v>0</x:v>
      </x:c>
    </x:row>
    <x:row r="2361">
      <x:c r="A2361" s="8" t="n">
        <x:f>A2360+1</x:f>
        <x:v>2358</x:v>
      </x:c>
      <x:c r="B2361" s="9" t="n">
        <x:f>A2361*v01_SeasonSeconds/60</x:f>
        <x:v>589.5</x:v>
      </x:c>
      <x:c r="C2361" s="9" t="n">
        <x:f>A2361/4</x:f>
        <x:v>589.5</x:v>
      </x:c>
      <x:c r="D2361" s="8" t="n">
        <x:f>IF(MOD(A2361,4)=0,1,0)</x:f>
        <x:v>0</x:v>
      </x:c>
      <x:c r="E2361" s="8" t="n">
        <x:f>IF(AND(F2360&lt;=9,AS2360&gt;=AR2360),1,0)</x:f>
        <x:v>0</x:v>
      </x:c>
      <x:c r="F2361" s="8" t="n">
        <x:f>MIN(10,F2360+E2361)</x:f>
        <x:v>10</x:v>
      </x:c>
      <x:c r="G2361" s="8" t="n">
        <x:f>MIN(F2361,9)+1</x:f>
        <x:v>10</x:v>
      </x:c>
      <x:c r="H2361" s="8" t="n">
        <x:f>IF(F2361&lt;=9,1,0)</x:f>
        <x:v>0</x:v>
      </x:c>
      <x:c r="I2361" s="9" t="n">
        <x:f>MIN(10,F2360+IF(AR2360&gt;0,MIN(1,AS2360/AR2360),1))</x:f>
        <x:v>10</x:v>
      </x:c>
      <x:c r="J2361" s="32" t="n">
        <x:f>INDEX(v01_FoodCap,G2361)*Arch_FoodCap*EXP(v01_CapsByProject*SUMPRODUCT((Cap_Point&lt;=I2361)*(Cap_Kind="Food")*Cap_Ln))</x:f>
        <x:v>12000</x:v>
      </x:c>
      <x:c r="K2361" s="32" t="n">
        <x:f>J2361*MIN(1,v01_LeanBase*EXP(v01_CapsByProject*SUMPRODUCT((Cap_Point&lt;=I2361)*(Cap_Kind="Lean")*Cap_Ln)))</x:f>
        <x:v>12000</x:v>
      </x:c>
      <x:c r="L2361" s="10" t="n">
        <x:f>INDEX(v01_HousingCap,G2361)*EXP(v01_CapsByProject*SUMPRODUCT((Cap_Point&lt;=I2361)*(Cap_Kind="Housing")*Cap_Ln))</x:f>
        <x:v>20000</x:v>
      </x:c>
      <x:c r="M2361" s="10" t="n">
        <x:f>INDEX(v01_GroupCap,G2361)*v01_CohesionFactor*EXP(v01_CapsByProject*SUMPRODUCT((Cap_Point&lt;=I2361)*(Cap_Kind="Group")*Cap_Ln))</x:f>
        <x:v>1000000</x:v>
      </x:c>
      <x:c r="N2361" s="32" t="n">
        <x:f>MIN(J2361,L2361,M2361)</x:f>
        <x:v>12000</x:v>
      </x:c>
      <x:c r="O2361" s="10" t="n">
        <x:f>AE2360*N2361</x:f>
        <x:v>180000</x:v>
      </x:c>
      <x:c r="P2361" s="9" t="n">
        <x:f>MIN(1,(AB2360/(AE2360*IF(v01_GroupInCrowding=1,N2361,MIN(J2361,L2361))))^v01_CrowdingExp)</x:f>
        <x:v>0.00024569414295285325</x:v>
      </x:c>
      <x:c r="Q2361" s="9" t="n">
        <x:f>IF(D2361=1,INDEX(v01_WinterMult,G2361),1)</x:f>
        <x:v>1</x:v>
      </x:c>
      <x:c r="R2361" s="9" t="n">
        <x:f>H2361*Z2360*v01_WomenShare*v01_BaseFertility*INDEX(v01_FertMult,G2361)*Arch_Fertility*(1-P2361)</x:f>
        <x:v>0</x:v>
      </x:c>
      <x:c r="S2361" s="9" t="n">
        <x:f>H2361*Y2360*INDEX(v01_MortChild,G2361)/4*Q2361</x:f>
        <x:v>0</x:v>
      </x:c>
      <x:c r="T2361" s="9" t="n">
        <x:f>H2361*Z2360*INDEX(v01_MortAdult,G2361)*Arch_AdultMort/4*Q2361</x:f>
        <x:v>0</x:v>
      </x:c>
      <x:c r="U2361" s="9" t="n">
        <x:f>H2361*AA2360*INDEX(v01_MortElder,G2361)/4*Q2361</x:f>
        <x:v>0</x:v>
      </x:c>
      <x:c r="V2361" s="9" t="n">
        <x:f>H2361*MAX(0,AB2360-O2361)*v01_OvercapLoss</x:f>
        <x:v>0</x:v>
      </x:c>
      <x:c r="W2361" s="9" t="n">
        <x:f>H2361*Y2360/(v01_ChildYears*4)</x:f>
        <x:v>0</x:v>
      </x:c>
      <x:c r="X2361" s="9" t="n">
        <x:f>H2361*Z2360/(v01_AdultYears*4)</x:f>
        <x:v>0</x:v>
      </x:c>
      <x:c r="Y2361" s="32" t="n">
        <x:f>Y2360+R2361-S2361-W2361-Y2360*V2361/AB2360</x:f>
        <x:v>14306.18539759397</x:v>
      </x:c>
      <x:c r="Z2361" s="32" t="n">
        <x:f>Z2360+W2361-X2361-T2361-Z2360*V2361/AB2360</x:f>
        <x:v>19354.456567879548</x:v>
      </x:c>
      <x:c r="AA2361" s="32" t="n">
        <x:f>AA2360+X2361-U2361-AA2360*V2361/AB2360</x:f>
        <x:v>11386.956063258198</x:v>
      </x:c>
      <x:c r="AB2361" s="10" t="n">
        <x:f>Y2361+Z2361+AA2361</x:f>
        <x:v>45047.59802873172</x:v>
      </x:c>
      <x:c r="AC2361" s="8" t="n">
        <x:f>IF(AND(v01_WinterTrigger=1,D2361=1,AB2360/AE2360&gt;=K2361),1,0)</x:f>
        <x:v>0</x:v>
      </x:c>
      <x:c r="AD2361" s="8" t="n">
        <x:f>H2361*IF(AND(OR(AB2360/AE2360&gt;=v01_FissionTrigger*N2361,AC2361=1),AB2360/AE2360*v01_DaughterShare&gt;=v01_MinDaughter),MAX(1,ROUND(AE2360*v01_FissionRate,0)),0)</x:f>
        <x:v>0</x:v>
      </x:c>
      <x:c r="AE2361" s="8" t="n">
        <x:f>IF(H2361=1,MAX(1,MIN(INDEX(v01_Smax,G2361),AE2360+AD2361)),AE2360)</x:f>
        <x:v>15</x:v>
      </x:c>
      <x:c r="AF2361" s="8" t="n">
        <x:f>MAX(0,AE2361-AE2360)</x:f>
        <x:v>0</x:v>
      </x:c>
      <x:c r="AG2361" s="9" t="str">
        <x:f>IF(AF2361&gt;0,B2361,"")</x:f>
      </x:c>
      <x:c r="AH2361" s="9" t="n">
        <x:f>IF(F2361&gt;=1,1,(1+v01_LowTiesShare*(AE2361-1))/AE2361)</x:f>
        <x:v>1</x:v>
      </x:c>
      <x:c r="AI2361" s="32" t="n">
        <x:f>(Z2361+v01_ElderCommons*INDEX(LM_Elder,G2361)*AA2361)*AH2361</x:f>
        <x:v>64139.732591141874</x:v>
      </x:c>
      <x:c r="AJ2361" s="32" t="n">
        <x:f>H2361*v01_CommonsCoef*AI2361^v01_CommonsExp*INDEX(LM_Commons,G2361)</x:f>
        <x:v>0</x:v>
      </x:c>
      <x:c r="AK2361" s="32" t="n">
        <x:f>H2361*v01_RoleScale*Arch_Roles*(AE2361*(INDEX(v01_ElderRolePerSett,G2361)*v01_OutElder*INDEX(LM_Elder,G2361)+INDEX(v01_ShamanPerSett,G2361)*v01_OutShaman)+Z2361*(INDEX(v01_PriestShare,G2361)*v01_OutPriest+INDEX(v01_ScribeShare,G2361)*v01_OutScribe*INDEX(LM_Scribe,G2361)+INDEX(v01_ScholarShare,G2361)*v01_OutScholar*INDEX(LM_Scholar,G2361)+INDEX(v01_ResearcherShare,G2361)*v01_OutResearcher*INDEX(LM_Researcher,G2361)))</x:f>
        <x:v>0</x:v>
      </x:c>
      <x:c r="AL2361" s="32" t="n">
        <x:f>H2361*v01_RoleScale*Arch_Roles*AE2361*INDEX(v01_MonasteryPerSett,G2361)*v01_OutMonastery*INDEX(LM_Monastery,G2361)</x:f>
        <x:v>0</x:v>
      </x:c>
      <x:c r="AM2361" s="32" t="n">
        <x:f>(AJ2361+AK2361+AL2361)/4*INDEX(LM_All,G2361)*INDEX(v01_Boon,G2361)*Arch_Insight</x:f>
        <x:v>0</x:v>
      </x:c>
      <x:c r="AN2361" s="32" t="n">
        <x:f>H2361*(v01_KHPerAdult*Z2361+v01_KHOfCommons*AJ2361/4*INDEX(LM_All,G2361))*v01_KHUsable*Arch_KH</x:f>
        <x:v>0</x:v>
      </x:c>
      <x:c r="AO2361" s="32" t="n">
        <x:f>MIN(AP2360+AN2361,AM2361*v01_KHMaxRatio)</x:f>
        <x:v>0</x:v>
      </x:c>
      <x:c r="AP2361" s="32" t="n">
        <x:f>AP2360+AN2361-AO2361</x:f>
        <x:v>0</x:v>
      </x:c>
      <x:c r="AQ2361" s="32" t="n">
        <x:f>AM2361+AO2361</x:f>
        <x:v>0</x:v>
      </x:c>
      <x:c r="AR2361" s="10" t="n">
        <x:f>IF(H2361=1,INDEX(v01_Req,G2361),0)</x:f>
        <x:v>0</x:v>
      </x:c>
      <x:c r="AS2361" s="32" t="n">
        <x:f>IF(H2361=1,IF(E2361=1,AS2360-AR2360,AS2360)+AQ2361,0)</x:f>
        <x:v>0</x:v>
      </x:c>
      <x:c r="AT2361" s="11" t="n">
        <x:f>IF(AR2361&gt;0,MIN(1,AS2361/AR2361),1)</x:f>
        <x:v>1</x:v>
      </x:c>
      <x:c r="AU2361" s="10" t="n">
        <x:f>AB2361/INDEX(v01_RepScale,G2361)</x:f>
        <x:v>90.09519605746344</x:v>
      </x:c>
      <x:c r="AV2361" s="32" t="n">
        <x:f>AM2361*60/v01_SeasonSeconds</x:f>
        <x:v>0</x:v>
      </x:c>
    </x:row>
    <x:row r="2362">
      <x:c r="A2362" s="8" t="n">
        <x:f>A2361+1</x:f>
        <x:v>2359</x:v>
      </x:c>
      <x:c r="B2362" s="9" t="n">
        <x:f>A2362*v01_SeasonSeconds/60</x:f>
        <x:v>589.75</x:v>
      </x:c>
      <x:c r="C2362" s="9" t="n">
        <x:f>A2362/4</x:f>
        <x:v>589.75</x:v>
      </x:c>
      <x:c r="D2362" s="8" t="n">
        <x:f>IF(MOD(A2362,4)=0,1,0)</x:f>
        <x:v>0</x:v>
      </x:c>
      <x:c r="E2362" s="8" t="n">
        <x:f>IF(AND(F2361&lt;=9,AS2361&gt;=AR2361),1,0)</x:f>
        <x:v>0</x:v>
      </x:c>
      <x:c r="F2362" s="8" t="n">
        <x:f>MIN(10,F2361+E2362)</x:f>
        <x:v>10</x:v>
      </x:c>
      <x:c r="G2362" s="8" t="n">
        <x:f>MIN(F2362,9)+1</x:f>
        <x:v>10</x:v>
      </x:c>
      <x:c r="H2362" s="8" t="n">
        <x:f>IF(F2362&lt;=9,1,0)</x:f>
        <x:v>0</x:v>
      </x:c>
      <x:c r="I2362" s="9" t="n">
        <x:f>MIN(10,F2361+IF(AR2361&gt;0,MIN(1,AS2361/AR2361),1))</x:f>
        <x:v>10</x:v>
      </x:c>
      <x:c r="J2362" s="32" t="n">
        <x:f>INDEX(v01_FoodCap,G2362)*Arch_FoodCap*EXP(v01_CapsByProject*SUMPRODUCT((Cap_Point&lt;=I2362)*(Cap_Kind="Food")*Cap_Ln))</x:f>
        <x:v>12000</x:v>
      </x:c>
      <x:c r="K2362" s="32" t="n">
        <x:f>J2362*MIN(1,v01_LeanBase*EXP(v01_CapsByProject*SUMPRODUCT((Cap_Point&lt;=I2362)*(Cap_Kind="Lean")*Cap_Ln)))</x:f>
        <x:v>12000</x:v>
      </x:c>
      <x:c r="L2362" s="10" t="n">
        <x:f>INDEX(v01_HousingCap,G2362)*EXP(v01_CapsByProject*SUMPRODUCT((Cap_Point&lt;=I2362)*(Cap_Kind="Housing")*Cap_Ln))</x:f>
        <x:v>20000</x:v>
      </x:c>
      <x:c r="M2362" s="10" t="n">
        <x:f>INDEX(v01_GroupCap,G2362)*v01_CohesionFactor*EXP(v01_CapsByProject*SUMPRODUCT((Cap_Point&lt;=I2362)*(Cap_Kind="Group")*Cap_Ln))</x:f>
        <x:v>1000000</x:v>
      </x:c>
      <x:c r="N2362" s="32" t="n">
        <x:f>MIN(J2362,L2362,M2362)</x:f>
        <x:v>12000</x:v>
      </x:c>
      <x:c r="O2362" s="10" t="n">
        <x:f>AE2361*N2362</x:f>
        <x:v>180000</x:v>
      </x:c>
      <x:c r="P2362" s="9" t="n">
        <x:f>MIN(1,(AB2361/(AE2361*IF(v01_GroupInCrowding=1,N2362,MIN(J2362,L2362))))^v01_CrowdingExp)</x:f>
        <x:v>0.00024569414295285325</x:v>
      </x:c>
      <x:c r="Q2362" s="9" t="n">
        <x:f>IF(D2362=1,INDEX(v01_WinterMult,G2362),1)</x:f>
        <x:v>1</x:v>
      </x:c>
      <x:c r="R2362" s="9" t="n">
        <x:f>H2362*Z2361*v01_WomenShare*v01_BaseFertility*INDEX(v01_FertMult,G2362)*Arch_Fertility*(1-P2362)</x:f>
        <x:v>0</x:v>
      </x:c>
      <x:c r="S2362" s="9" t="n">
        <x:f>H2362*Y2361*INDEX(v01_MortChild,G2362)/4*Q2362</x:f>
        <x:v>0</x:v>
      </x:c>
      <x:c r="T2362" s="9" t="n">
        <x:f>H2362*Z2361*INDEX(v01_MortAdult,G2362)*Arch_AdultMort/4*Q2362</x:f>
        <x:v>0</x:v>
      </x:c>
      <x:c r="U2362" s="9" t="n">
        <x:f>H2362*AA2361*INDEX(v01_MortElder,G2362)/4*Q2362</x:f>
        <x:v>0</x:v>
      </x:c>
      <x:c r="V2362" s="9" t="n">
        <x:f>H2362*MAX(0,AB2361-O2362)*v01_OvercapLoss</x:f>
        <x:v>0</x:v>
      </x:c>
      <x:c r="W2362" s="9" t="n">
        <x:f>H2362*Y2361/(v01_ChildYears*4)</x:f>
        <x:v>0</x:v>
      </x:c>
      <x:c r="X2362" s="9" t="n">
        <x:f>H2362*Z2361/(v01_AdultYears*4)</x:f>
        <x:v>0</x:v>
      </x:c>
      <x:c r="Y2362" s="32" t="n">
        <x:f>Y2361+R2362-S2362-W2362-Y2361*V2362/AB2361</x:f>
        <x:v>14306.18539759397</x:v>
      </x:c>
      <x:c r="Z2362" s="32" t="n">
        <x:f>Z2361+W2362-X2362-T2362-Z2361*V2362/AB2361</x:f>
        <x:v>19354.456567879548</x:v>
      </x:c>
      <x:c r="AA2362" s="32" t="n">
        <x:f>AA2361+X2362-U2362-AA2361*V2362/AB2361</x:f>
        <x:v>11386.956063258198</x:v>
      </x:c>
      <x:c r="AB2362" s="10" t="n">
        <x:f>Y2362+Z2362+AA2362</x:f>
        <x:v>45047.59802873172</x:v>
      </x:c>
      <x:c r="AC2362" s="8" t="n">
        <x:f>IF(AND(v01_WinterTrigger=1,D2362=1,AB2361/AE2361&gt;=K2362),1,0)</x:f>
        <x:v>0</x:v>
      </x:c>
      <x:c r="AD2362" s="8" t="n">
        <x:f>H2362*IF(AND(OR(AB2361/AE2361&gt;=v01_FissionTrigger*N2362,AC2362=1),AB2361/AE2361*v01_DaughterShare&gt;=v01_MinDaughter),MAX(1,ROUND(AE2361*v01_FissionRate,0)),0)</x:f>
        <x:v>0</x:v>
      </x:c>
      <x:c r="AE2362" s="8" t="n">
        <x:f>IF(H2362=1,MAX(1,MIN(INDEX(v01_Smax,G2362),AE2361+AD2362)),AE2361)</x:f>
        <x:v>15</x:v>
      </x:c>
      <x:c r="AF2362" s="8" t="n">
        <x:f>MAX(0,AE2362-AE2361)</x:f>
        <x:v>0</x:v>
      </x:c>
      <x:c r="AG2362" s="9" t="str">
        <x:f>IF(AF2362&gt;0,B2362,"")</x:f>
      </x:c>
      <x:c r="AH2362" s="9" t="n">
        <x:f>IF(F2362&gt;=1,1,(1+v01_LowTiesShare*(AE2362-1))/AE2362)</x:f>
        <x:v>1</x:v>
      </x:c>
      <x:c r="AI2362" s="32" t="n">
        <x:f>(Z2362+v01_ElderCommons*INDEX(LM_Elder,G2362)*AA2362)*AH2362</x:f>
        <x:v>64139.732591141874</x:v>
      </x:c>
      <x:c r="AJ2362" s="32" t="n">
        <x:f>H2362*v01_CommonsCoef*AI2362^v01_CommonsExp*INDEX(LM_Commons,G2362)</x:f>
        <x:v>0</x:v>
      </x:c>
      <x:c r="AK2362" s="32" t="n">
        <x:f>H2362*v01_RoleScale*Arch_Roles*(AE2362*(INDEX(v01_ElderRolePerSett,G2362)*v01_OutElder*INDEX(LM_Elder,G2362)+INDEX(v01_ShamanPerSett,G2362)*v01_OutShaman)+Z2362*(INDEX(v01_PriestShare,G2362)*v01_OutPriest+INDEX(v01_ScribeShare,G2362)*v01_OutScribe*INDEX(LM_Scribe,G2362)+INDEX(v01_ScholarShare,G2362)*v01_OutScholar*INDEX(LM_Scholar,G2362)+INDEX(v01_ResearcherShare,G2362)*v01_OutResearcher*INDEX(LM_Researcher,G2362)))</x:f>
        <x:v>0</x:v>
      </x:c>
      <x:c r="AL2362" s="32" t="n">
        <x:f>H2362*v01_RoleScale*Arch_Roles*AE2362*INDEX(v01_MonasteryPerSett,G2362)*v01_OutMonastery*INDEX(LM_Monastery,G2362)</x:f>
        <x:v>0</x:v>
      </x:c>
      <x:c r="AM2362" s="32" t="n">
        <x:f>(AJ2362+AK2362+AL2362)/4*INDEX(LM_All,G2362)*INDEX(v01_Boon,G2362)*Arch_Insight</x:f>
        <x:v>0</x:v>
      </x:c>
      <x:c r="AN2362" s="32" t="n">
        <x:f>H2362*(v01_KHPerAdult*Z2362+v01_KHOfCommons*AJ2362/4*INDEX(LM_All,G2362))*v01_KHUsable*Arch_KH</x:f>
        <x:v>0</x:v>
      </x:c>
      <x:c r="AO2362" s="32" t="n">
        <x:f>MIN(AP2361+AN2362,AM2362*v01_KHMaxRatio)</x:f>
        <x:v>0</x:v>
      </x:c>
      <x:c r="AP2362" s="32" t="n">
        <x:f>AP2361+AN2362-AO2362</x:f>
        <x:v>0</x:v>
      </x:c>
      <x:c r="AQ2362" s="32" t="n">
        <x:f>AM2362+AO2362</x:f>
        <x:v>0</x:v>
      </x:c>
      <x:c r="AR2362" s="10" t="n">
        <x:f>IF(H2362=1,INDEX(v01_Req,G2362),0)</x:f>
        <x:v>0</x:v>
      </x:c>
      <x:c r="AS2362" s="32" t="n">
        <x:f>IF(H2362=1,IF(E2362=1,AS2361-AR2361,AS2361)+AQ2362,0)</x:f>
        <x:v>0</x:v>
      </x:c>
      <x:c r="AT2362" s="11" t="n">
        <x:f>IF(AR2362&gt;0,MIN(1,AS2362/AR2362),1)</x:f>
        <x:v>1</x:v>
      </x:c>
      <x:c r="AU2362" s="10" t="n">
        <x:f>AB2362/INDEX(v01_RepScale,G2362)</x:f>
        <x:v>90.09519605746344</x:v>
      </x:c>
      <x:c r="AV2362" s="32" t="n">
        <x:f>AM2362*60/v01_SeasonSeconds</x:f>
        <x:v>0</x:v>
      </x:c>
    </x:row>
    <x:row r="2363">
      <x:c r="A2363" s="8" t="n">
        <x:f>A2362+1</x:f>
        <x:v>2360</x:v>
      </x:c>
      <x:c r="B2363" s="9" t="n">
        <x:f>A2363*v01_SeasonSeconds/60</x:f>
        <x:v>590</x:v>
      </x:c>
      <x:c r="C2363" s="9" t="n">
        <x:f>A2363/4</x:f>
        <x:v>590</x:v>
      </x:c>
      <x:c r="D2363" s="8" t="n">
        <x:f>IF(MOD(A2363,4)=0,1,0)</x:f>
        <x:v>1</x:v>
      </x:c>
      <x:c r="E2363" s="8" t="n">
        <x:f>IF(AND(F2362&lt;=9,AS2362&gt;=AR2362),1,0)</x:f>
        <x:v>0</x:v>
      </x:c>
      <x:c r="F2363" s="8" t="n">
        <x:f>MIN(10,F2362+E2363)</x:f>
        <x:v>10</x:v>
      </x:c>
      <x:c r="G2363" s="8" t="n">
        <x:f>MIN(F2363,9)+1</x:f>
        <x:v>10</x:v>
      </x:c>
      <x:c r="H2363" s="8" t="n">
        <x:f>IF(F2363&lt;=9,1,0)</x:f>
        <x:v>0</x:v>
      </x:c>
      <x:c r="I2363" s="9" t="n">
        <x:f>MIN(10,F2362+IF(AR2362&gt;0,MIN(1,AS2362/AR2362),1))</x:f>
        <x:v>10</x:v>
      </x:c>
      <x:c r="J2363" s="32" t="n">
        <x:f>INDEX(v01_FoodCap,G2363)*Arch_FoodCap*EXP(v01_CapsByProject*SUMPRODUCT((Cap_Point&lt;=I2363)*(Cap_Kind="Food")*Cap_Ln))</x:f>
        <x:v>12000</x:v>
      </x:c>
      <x:c r="K2363" s="32" t="n">
        <x:f>J2363*MIN(1,v01_LeanBase*EXP(v01_CapsByProject*SUMPRODUCT((Cap_Point&lt;=I2363)*(Cap_Kind="Lean")*Cap_Ln)))</x:f>
        <x:v>12000</x:v>
      </x:c>
      <x:c r="L2363" s="10" t="n">
        <x:f>INDEX(v01_HousingCap,G2363)*EXP(v01_CapsByProject*SUMPRODUCT((Cap_Point&lt;=I2363)*(Cap_Kind="Housing")*Cap_Ln))</x:f>
        <x:v>20000</x:v>
      </x:c>
      <x:c r="M2363" s="10" t="n">
        <x:f>INDEX(v01_GroupCap,G2363)*v01_CohesionFactor*EXP(v01_CapsByProject*SUMPRODUCT((Cap_Point&lt;=I2363)*(Cap_Kind="Group")*Cap_Ln))</x:f>
        <x:v>1000000</x:v>
      </x:c>
      <x:c r="N2363" s="32" t="n">
        <x:f>MIN(J2363,L2363,M2363)</x:f>
        <x:v>12000</x:v>
      </x:c>
      <x:c r="O2363" s="10" t="n">
        <x:f>AE2362*N2363</x:f>
        <x:v>180000</x:v>
      </x:c>
      <x:c r="P2363" s="9" t="n">
        <x:f>MIN(1,(AB2362/(AE2362*IF(v01_GroupInCrowding=1,N2363,MIN(J2363,L2363))))^v01_CrowdingExp)</x:f>
        <x:v>0.00024569414295285325</x:v>
      </x:c>
      <x:c r="Q2363" s="9" t="n">
        <x:f>IF(D2363=1,INDEX(v01_WinterMult,G2363),1)</x:f>
        <x:v>1</x:v>
      </x:c>
      <x:c r="R2363" s="9" t="n">
        <x:f>H2363*Z2362*v01_WomenShare*v01_BaseFertility*INDEX(v01_FertMult,G2363)*Arch_Fertility*(1-P2363)</x:f>
        <x:v>0</x:v>
      </x:c>
      <x:c r="S2363" s="9" t="n">
        <x:f>H2363*Y2362*INDEX(v01_MortChild,G2363)/4*Q2363</x:f>
        <x:v>0</x:v>
      </x:c>
      <x:c r="T2363" s="9" t="n">
        <x:f>H2363*Z2362*INDEX(v01_MortAdult,G2363)*Arch_AdultMort/4*Q2363</x:f>
        <x:v>0</x:v>
      </x:c>
      <x:c r="U2363" s="9" t="n">
        <x:f>H2363*AA2362*INDEX(v01_MortElder,G2363)/4*Q2363</x:f>
        <x:v>0</x:v>
      </x:c>
      <x:c r="V2363" s="9" t="n">
        <x:f>H2363*MAX(0,AB2362-O2363)*v01_OvercapLoss</x:f>
        <x:v>0</x:v>
      </x:c>
      <x:c r="W2363" s="9" t="n">
        <x:f>H2363*Y2362/(v01_ChildYears*4)</x:f>
        <x:v>0</x:v>
      </x:c>
      <x:c r="X2363" s="9" t="n">
        <x:f>H2363*Z2362/(v01_AdultYears*4)</x:f>
        <x:v>0</x:v>
      </x:c>
      <x:c r="Y2363" s="32" t="n">
        <x:f>Y2362+R2363-S2363-W2363-Y2362*V2363/AB2362</x:f>
        <x:v>14306.18539759397</x:v>
      </x:c>
      <x:c r="Z2363" s="32" t="n">
        <x:f>Z2362+W2363-X2363-T2363-Z2362*V2363/AB2362</x:f>
        <x:v>19354.456567879548</x:v>
      </x:c>
      <x:c r="AA2363" s="32" t="n">
        <x:f>AA2362+X2363-U2363-AA2362*V2363/AB2362</x:f>
        <x:v>11386.956063258198</x:v>
      </x:c>
      <x:c r="AB2363" s="10" t="n">
        <x:f>Y2363+Z2363+AA2363</x:f>
        <x:v>45047.59802873172</x:v>
      </x:c>
      <x:c r="AC2363" s="8" t="n">
        <x:f>IF(AND(v01_WinterTrigger=1,D2363=1,AB2362/AE2362&gt;=K2363),1,0)</x:f>
        <x:v>0</x:v>
      </x:c>
      <x:c r="AD2363" s="8" t="n">
        <x:f>H2363*IF(AND(OR(AB2362/AE2362&gt;=v01_FissionTrigger*N2363,AC2363=1),AB2362/AE2362*v01_DaughterShare&gt;=v01_MinDaughter),MAX(1,ROUND(AE2362*v01_FissionRate,0)),0)</x:f>
        <x:v>0</x:v>
      </x:c>
      <x:c r="AE2363" s="8" t="n">
        <x:f>IF(H2363=1,MAX(1,MIN(INDEX(v01_Smax,G2363),AE2362+AD2363)),AE2362)</x:f>
        <x:v>15</x:v>
      </x:c>
      <x:c r="AF2363" s="8" t="n">
        <x:f>MAX(0,AE2363-AE2362)</x:f>
        <x:v>0</x:v>
      </x:c>
      <x:c r="AG2363" s="9" t="str">
        <x:f>IF(AF2363&gt;0,B2363,"")</x:f>
      </x:c>
      <x:c r="AH2363" s="9" t="n">
        <x:f>IF(F2363&gt;=1,1,(1+v01_LowTiesShare*(AE2363-1))/AE2363)</x:f>
        <x:v>1</x:v>
      </x:c>
      <x:c r="AI2363" s="32" t="n">
        <x:f>(Z2363+v01_ElderCommons*INDEX(LM_Elder,G2363)*AA2363)*AH2363</x:f>
        <x:v>64139.732591141874</x:v>
      </x:c>
      <x:c r="AJ2363" s="32" t="n">
        <x:f>H2363*v01_CommonsCoef*AI2363^v01_CommonsExp*INDEX(LM_Commons,G2363)</x:f>
        <x:v>0</x:v>
      </x:c>
      <x:c r="AK2363" s="32" t="n">
        <x:f>H2363*v01_RoleScale*Arch_Roles*(AE2363*(INDEX(v01_ElderRolePerSett,G2363)*v01_OutElder*INDEX(LM_Elder,G2363)+INDEX(v01_ShamanPerSett,G2363)*v01_OutShaman)+Z2363*(INDEX(v01_PriestShare,G2363)*v01_OutPriest+INDEX(v01_ScribeShare,G2363)*v01_OutScribe*INDEX(LM_Scribe,G2363)+INDEX(v01_ScholarShare,G2363)*v01_OutScholar*INDEX(LM_Scholar,G2363)+INDEX(v01_ResearcherShare,G2363)*v01_OutResearcher*INDEX(LM_Researcher,G2363)))</x:f>
        <x:v>0</x:v>
      </x:c>
      <x:c r="AL2363" s="32" t="n">
        <x:f>H2363*v01_RoleScale*Arch_Roles*AE2363*INDEX(v01_MonasteryPerSett,G2363)*v01_OutMonastery*INDEX(LM_Monastery,G2363)</x:f>
        <x:v>0</x:v>
      </x:c>
      <x:c r="AM2363" s="32" t="n">
        <x:f>(AJ2363+AK2363+AL2363)/4*INDEX(LM_All,G2363)*INDEX(v01_Boon,G2363)*Arch_Insight</x:f>
        <x:v>0</x:v>
      </x:c>
      <x:c r="AN2363" s="32" t="n">
        <x:f>H2363*(v01_KHPerAdult*Z2363+v01_KHOfCommons*AJ2363/4*INDEX(LM_All,G2363))*v01_KHUsable*Arch_KH</x:f>
        <x:v>0</x:v>
      </x:c>
      <x:c r="AO2363" s="32" t="n">
        <x:f>MIN(AP2362+AN2363,AM2363*v01_KHMaxRatio)</x:f>
        <x:v>0</x:v>
      </x:c>
      <x:c r="AP2363" s="32" t="n">
        <x:f>AP2362+AN2363-AO2363</x:f>
        <x:v>0</x:v>
      </x:c>
      <x:c r="AQ2363" s="32" t="n">
        <x:f>AM2363+AO2363</x:f>
        <x:v>0</x:v>
      </x:c>
      <x:c r="AR2363" s="10" t="n">
        <x:f>IF(H2363=1,INDEX(v01_Req,G2363),0)</x:f>
        <x:v>0</x:v>
      </x:c>
      <x:c r="AS2363" s="32" t="n">
        <x:f>IF(H2363=1,IF(E2363=1,AS2362-AR2362,AS2362)+AQ2363,0)</x:f>
        <x:v>0</x:v>
      </x:c>
      <x:c r="AT2363" s="11" t="n">
        <x:f>IF(AR2363&gt;0,MIN(1,AS2363/AR2363),1)</x:f>
        <x:v>1</x:v>
      </x:c>
      <x:c r="AU2363" s="10" t="n">
        <x:f>AB2363/INDEX(v01_RepScale,G2363)</x:f>
        <x:v>90.09519605746344</x:v>
      </x:c>
      <x:c r="AV2363" s="32" t="n">
        <x:f>AM2363*60/v01_SeasonSeconds</x:f>
        <x:v>0</x:v>
      </x:c>
    </x:row>
    <x:row r="2364">
      <x:c r="A2364" s="8" t="n">
        <x:f>A2363+1</x:f>
        <x:v>2361</x:v>
      </x:c>
      <x:c r="B2364" s="9" t="n">
        <x:f>A2364*v01_SeasonSeconds/60</x:f>
        <x:v>590.25</x:v>
      </x:c>
      <x:c r="C2364" s="9" t="n">
        <x:f>A2364/4</x:f>
        <x:v>590.25</x:v>
      </x:c>
      <x:c r="D2364" s="8" t="n">
        <x:f>IF(MOD(A2364,4)=0,1,0)</x:f>
        <x:v>0</x:v>
      </x:c>
      <x:c r="E2364" s="8" t="n">
        <x:f>IF(AND(F2363&lt;=9,AS2363&gt;=AR2363),1,0)</x:f>
        <x:v>0</x:v>
      </x:c>
      <x:c r="F2364" s="8" t="n">
        <x:f>MIN(10,F2363+E2364)</x:f>
        <x:v>10</x:v>
      </x:c>
      <x:c r="G2364" s="8" t="n">
        <x:f>MIN(F2364,9)+1</x:f>
        <x:v>10</x:v>
      </x:c>
      <x:c r="H2364" s="8" t="n">
        <x:f>IF(F2364&lt;=9,1,0)</x:f>
        <x:v>0</x:v>
      </x:c>
      <x:c r="I2364" s="9" t="n">
        <x:f>MIN(10,F2363+IF(AR2363&gt;0,MIN(1,AS2363/AR2363),1))</x:f>
        <x:v>10</x:v>
      </x:c>
      <x:c r="J2364" s="32" t="n">
        <x:f>INDEX(v01_FoodCap,G2364)*Arch_FoodCap*EXP(v01_CapsByProject*SUMPRODUCT((Cap_Point&lt;=I2364)*(Cap_Kind="Food")*Cap_Ln))</x:f>
        <x:v>12000</x:v>
      </x:c>
      <x:c r="K2364" s="32" t="n">
        <x:f>J2364*MIN(1,v01_LeanBase*EXP(v01_CapsByProject*SUMPRODUCT((Cap_Point&lt;=I2364)*(Cap_Kind="Lean")*Cap_Ln)))</x:f>
        <x:v>12000</x:v>
      </x:c>
      <x:c r="L2364" s="10" t="n">
        <x:f>INDEX(v01_HousingCap,G2364)*EXP(v01_CapsByProject*SUMPRODUCT((Cap_Point&lt;=I2364)*(Cap_Kind="Housing")*Cap_Ln))</x:f>
        <x:v>20000</x:v>
      </x:c>
      <x:c r="M2364" s="10" t="n">
        <x:f>INDEX(v01_GroupCap,G2364)*v01_CohesionFactor*EXP(v01_CapsByProject*SUMPRODUCT((Cap_Point&lt;=I2364)*(Cap_Kind="Group")*Cap_Ln))</x:f>
        <x:v>1000000</x:v>
      </x:c>
      <x:c r="N2364" s="32" t="n">
        <x:f>MIN(J2364,L2364,M2364)</x:f>
        <x:v>12000</x:v>
      </x:c>
      <x:c r="O2364" s="10" t="n">
        <x:f>AE2363*N2364</x:f>
        <x:v>180000</x:v>
      </x:c>
      <x:c r="P2364" s="9" t="n">
        <x:f>MIN(1,(AB2363/(AE2363*IF(v01_GroupInCrowding=1,N2364,MIN(J2364,L2364))))^v01_CrowdingExp)</x:f>
        <x:v>0.00024569414295285325</x:v>
      </x:c>
      <x:c r="Q2364" s="9" t="n">
        <x:f>IF(D2364=1,INDEX(v01_WinterMult,G2364),1)</x:f>
        <x:v>1</x:v>
      </x:c>
      <x:c r="R2364" s="9" t="n">
        <x:f>H2364*Z2363*v01_WomenShare*v01_BaseFertility*INDEX(v01_FertMult,G2364)*Arch_Fertility*(1-P2364)</x:f>
        <x:v>0</x:v>
      </x:c>
      <x:c r="S2364" s="9" t="n">
        <x:f>H2364*Y2363*INDEX(v01_MortChild,G2364)/4*Q2364</x:f>
        <x:v>0</x:v>
      </x:c>
      <x:c r="T2364" s="9" t="n">
        <x:f>H2364*Z2363*INDEX(v01_MortAdult,G2364)*Arch_AdultMort/4*Q2364</x:f>
        <x:v>0</x:v>
      </x:c>
      <x:c r="U2364" s="9" t="n">
        <x:f>H2364*AA2363*INDEX(v01_MortElder,G2364)/4*Q2364</x:f>
        <x:v>0</x:v>
      </x:c>
      <x:c r="V2364" s="9" t="n">
        <x:f>H2364*MAX(0,AB2363-O2364)*v01_OvercapLoss</x:f>
        <x:v>0</x:v>
      </x:c>
      <x:c r="W2364" s="9" t="n">
        <x:f>H2364*Y2363/(v01_ChildYears*4)</x:f>
        <x:v>0</x:v>
      </x:c>
      <x:c r="X2364" s="9" t="n">
        <x:f>H2364*Z2363/(v01_AdultYears*4)</x:f>
        <x:v>0</x:v>
      </x:c>
      <x:c r="Y2364" s="32" t="n">
        <x:f>Y2363+R2364-S2364-W2364-Y2363*V2364/AB2363</x:f>
        <x:v>14306.18539759397</x:v>
      </x:c>
      <x:c r="Z2364" s="32" t="n">
        <x:f>Z2363+W2364-X2364-T2364-Z2363*V2364/AB2363</x:f>
        <x:v>19354.456567879548</x:v>
      </x:c>
      <x:c r="AA2364" s="32" t="n">
        <x:f>AA2363+X2364-U2364-AA2363*V2364/AB2363</x:f>
        <x:v>11386.956063258198</x:v>
      </x:c>
      <x:c r="AB2364" s="10" t="n">
        <x:f>Y2364+Z2364+AA2364</x:f>
        <x:v>45047.59802873172</x:v>
      </x:c>
      <x:c r="AC2364" s="8" t="n">
        <x:f>IF(AND(v01_WinterTrigger=1,D2364=1,AB2363/AE2363&gt;=K2364),1,0)</x:f>
        <x:v>0</x:v>
      </x:c>
      <x:c r="AD2364" s="8" t="n">
        <x:f>H2364*IF(AND(OR(AB2363/AE2363&gt;=v01_FissionTrigger*N2364,AC2364=1),AB2363/AE2363*v01_DaughterShare&gt;=v01_MinDaughter),MAX(1,ROUND(AE2363*v01_FissionRate,0)),0)</x:f>
        <x:v>0</x:v>
      </x:c>
      <x:c r="AE2364" s="8" t="n">
        <x:f>IF(H2364=1,MAX(1,MIN(INDEX(v01_Smax,G2364),AE2363+AD2364)),AE2363)</x:f>
        <x:v>15</x:v>
      </x:c>
      <x:c r="AF2364" s="8" t="n">
        <x:f>MAX(0,AE2364-AE2363)</x:f>
        <x:v>0</x:v>
      </x:c>
      <x:c r="AG2364" s="9" t="str">
        <x:f>IF(AF2364&gt;0,B2364,"")</x:f>
      </x:c>
      <x:c r="AH2364" s="9" t="n">
        <x:f>IF(F2364&gt;=1,1,(1+v01_LowTiesShare*(AE2364-1))/AE2364)</x:f>
        <x:v>1</x:v>
      </x:c>
      <x:c r="AI2364" s="32" t="n">
        <x:f>(Z2364+v01_ElderCommons*INDEX(LM_Elder,G2364)*AA2364)*AH2364</x:f>
        <x:v>64139.732591141874</x:v>
      </x:c>
      <x:c r="AJ2364" s="32" t="n">
        <x:f>H2364*v01_CommonsCoef*AI2364^v01_CommonsExp*INDEX(LM_Commons,G2364)</x:f>
        <x:v>0</x:v>
      </x:c>
      <x:c r="AK2364" s="32" t="n">
        <x:f>H2364*v01_RoleScale*Arch_Roles*(AE2364*(INDEX(v01_ElderRolePerSett,G2364)*v01_OutElder*INDEX(LM_Elder,G2364)+INDEX(v01_ShamanPerSett,G2364)*v01_OutShaman)+Z2364*(INDEX(v01_PriestShare,G2364)*v01_OutPriest+INDEX(v01_ScribeShare,G2364)*v01_OutScribe*INDEX(LM_Scribe,G2364)+INDEX(v01_ScholarShare,G2364)*v01_OutScholar*INDEX(LM_Scholar,G2364)+INDEX(v01_ResearcherShare,G2364)*v01_OutResearcher*INDEX(LM_Researcher,G2364)))</x:f>
        <x:v>0</x:v>
      </x:c>
      <x:c r="AL2364" s="32" t="n">
        <x:f>H2364*v01_RoleScale*Arch_Roles*AE2364*INDEX(v01_MonasteryPerSett,G2364)*v01_OutMonastery*INDEX(LM_Monastery,G2364)</x:f>
        <x:v>0</x:v>
      </x:c>
      <x:c r="AM2364" s="32" t="n">
        <x:f>(AJ2364+AK2364+AL2364)/4*INDEX(LM_All,G2364)*INDEX(v01_Boon,G2364)*Arch_Insight</x:f>
        <x:v>0</x:v>
      </x:c>
      <x:c r="AN2364" s="32" t="n">
        <x:f>H2364*(v01_KHPerAdult*Z2364+v01_KHOfCommons*AJ2364/4*INDEX(LM_All,G2364))*v01_KHUsable*Arch_KH</x:f>
        <x:v>0</x:v>
      </x:c>
      <x:c r="AO2364" s="32" t="n">
        <x:f>MIN(AP2363+AN2364,AM2364*v01_KHMaxRatio)</x:f>
        <x:v>0</x:v>
      </x:c>
      <x:c r="AP2364" s="32" t="n">
        <x:f>AP2363+AN2364-AO2364</x:f>
        <x:v>0</x:v>
      </x:c>
      <x:c r="AQ2364" s="32" t="n">
        <x:f>AM2364+AO2364</x:f>
        <x:v>0</x:v>
      </x:c>
      <x:c r="AR2364" s="10" t="n">
        <x:f>IF(H2364=1,INDEX(v01_Req,G2364),0)</x:f>
        <x:v>0</x:v>
      </x:c>
      <x:c r="AS2364" s="32" t="n">
        <x:f>IF(H2364=1,IF(E2364=1,AS2363-AR2363,AS2363)+AQ2364,0)</x:f>
        <x:v>0</x:v>
      </x:c>
      <x:c r="AT2364" s="11" t="n">
        <x:f>IF(AR2364&gt;0,MIN(1,AS2364/AR2364),1)</x:f>
        <x:v>1</x:v>
      </x:c>
      <x:c r="AU2364" s="10" t="n">
        <x:f>AB2364/INDEX(v01_RepScale,G2364)</x:f>
        <x:v>90.09519605746344</x:v>
      </x:c>
      <x:c r="AV2364" s="32" t="n">
        <x:f>AM2364*60/v01_SeasonSeconds</x:f>
        <x:v>0</x:v>
      </x:c>
    </x:row>
    <x:row r="2365">
      <x:c r="A2365" s="8" t="n">
        <x:f>A2364+1</x:f>
        <x:v>2362</x:v>
      </x:c>
      <x:c r="B2365" s="9" t="n">
        <x:f>A2365*v01_SeasonSeconds/60</x:f>
        <x:v>590.5</x:v>
      </x:c>
      <x:c r="C2365" s="9" t="n">
        <x:f>A2365/4</x:f>
        <x:v>590.5</x:v>
      </x:c>
      <x:c r="D2365" s="8" t="n">
        <x:f>IF(MOD(A2365,4)=0,1,0)</x:f>
        <x:v>0</x:v>
      </x:c>
      <x:c r="E2365" s="8" t="n">
        <x:f>IF(AND(F2364&lt;=9,AS2364&gt;=AR2364),1,0)</x:f>
        <x:v>0</x:v>
      </x:c>
      <x:c r="F2365" s="8" t="n">
        <x:f>MIN(10,F2364+E2365)</x:f>
        <x:v>10</x:v>
      </x:c>
      <x:c r="G2365" s="8" t="n">
        <x:f>MIN(F2365,9)+1</x:f>
        <x:v>10</x:v>
      </x:c>
      <x:c r="H2365" s="8" t="n">
        <x:f>IF(F2365&lt;=9,1,0)</x:f>
        <x:v>0</x:v>
      </x:c>
      <x:c r="I2365" s="9" t="n">
        <x:f>MIN(10,F2364+IF(AR2364&gt;0,MIN(1,AS2364/AR2364),1))</x:f>
        <x:v>10</x:v>
      </x:c>
      <x:c r="J2365" s="32" t="n">
        <x:f>INDEX(v01_FoodCap,G2365)*Arch_FoodCap*EXP(v01_CapsByProject*SUMPRODUCT((Cap_Point&lt;=I2365)*(Cap_Kind="Food")*Cap_Ln))</x:f>
        <x:v>12000</x:v>
      </x:c>
      <x:c r="K2365" s="32" t="n">
        <x:f>J2365*MIN(1,v01_LeanBase*EXP(v01_CapsByProject*SUMPRODUCT((Cap_Point&lt;=I2365)*(Cap_Kind="Lean")*Cap_Ln)))</x:f>
        <x:v>12000</x:v>
      </x:c>
      <x:c r="L2365" s="10" t="n">
        <x:f>INDEX(v01_HousingCap,G2365)*EXP(v01_CapsByProject*SUMPRODUCT((Cap_Point&lt;=I2365)*(Cap_Kind="Housing")*Cap_Ln))</x:f>
        <x:v>20000</x:v>
      </x:c>
      <x:c r="M2365" s="10" t="n">
        <x:f>INDEX(v01_GroupCap,G2365)*v01_CohesionFactor*EXP(v01_CapsByProject*SUMPRODUCT((Cap_Point&lt;=I2365)*(Cap_Kind="Group")*Cap_Ln))</x:f>
        <x:v>1000000</x:v>
      </x:c>
      <x:c r="N2365" s="32" t="n">
        <x:f>MIN(J2365,L2365,M2365)</x:f>
        <x:v>12000</x:v>
      </x:c>
      <x:c r="O2365" s="10" t="n">
        <x:f>AE2364*N2365</x:f>
        <x:v>180000</x:v>
      </x:c>
      <x:c r="P2365" s="9" t="n">
        <x:f>MIN(1,(AB2364/(AE2364*IF(v01_GroupInCrowding=1,N2365,MIN(J2365,L2365))))^v01_CrowdingExp)</x:f>
        <x:v>0.00024569414295285325</x:v>
      </x:c>
      <x:c r="Q2365" s="9" t="n">
        <x:f>IF(D2365=1,INDEX(v01_WinterMult,G2365),1)</x:f>
        <x:v>1</x:v>
      </x:c>
      <x:c r="R2365" s="9" t="n">
        <x:f>H2365*Z2364*v01_WomenShare*v01_BaseFertility*INDEX(v01_FertMult,G2365)*Arch_Fertility*(1-P2365)</x:f>
        <x:v>0</x:v>
      </x:c>
      <x:c r="S2365" s="9" t="n">
        <x:f>H2365*Y2364*INDEX(v01_MortChild,G2365)/4*Q2365</x:f>
        <x:v>0</x:v>
      </x:c>
      <x:c r="T2365" s="9" t="n">
        <x:f>H2365*Z2364*INDEX(v01_MortAdult,G2365)*Arch_AdultMort/4*Q2365</x:f>
        <x:v>0</x:v>
      </x:c>
      <x:c r="U2365" s="9" t="n">
        <x:f>H2365*AA2364*INDEX(v01_MortElder,G2365)/4*Q2365</x:f>
        <x:v>0</x:v>
      </x:c>
      <x:c r="V2365" s="9" t="n">
        <x:f>H2365*MAX(0,AB2364-O2365)*v01_OvercapLoss</x:f>
        <x:v>0</x:v>
      </x:c>
      <x:c r="W2365" s="9" t="n">
        <x:f>H2365*Y2364/(v01_ChildYears*4)</x:f>
        <x:v>0</x:v>
      </x:c>
      <x:c r="X2365" s="9" t="n">
        <x:f>H2365*Z2364/(v01_AdultYears*4)</x:f>
        <x:v>0</x:v>
      </x:c>
      <x:c r="Y2365" s="32" t="n">
        <x:f>Y2364+R2365-S2365-W2365-Y2364*V2365/AB2364</x:f>
        <x:v>14306.18539759397</x:v>
      </x:c>
      <x:c r="Z2365" s="32" t="n">
        <x:f>Z2364+W2365-X2365-T2365-Z2364*V2365/AB2364</x:f>
        <x:v>19354.456567879548</x:v>
      </x:c>
      <x:c r="AA2365" s="32" t="n">
        <x:f>AA2364+X2365-U2365-AA2364*V2365/AB2364</x:f>
        <x:v>11386.956063258198</x:v>
      </x:c>
      <x:c r="AB2365" s="10" t="n">
        <x:f>Y2365+Z2365+AA2365</x:f>
        <x:v>45047.59802873172</x:v>
      </x:c>
      <x:c r="AC2365" s="8" t="n">
        <x:f>IF(AND(v01_WinterTrigger=1,D2365=1,AB2364/AE2364&gt;=K2365),1,0)</x:f>
        <x:v>0</x:v>
      </x:c>
      <x:c r="AD2365" s="8" t="n">
        <x:f>H2365*IF(AND(OR(AB2364/AE2364&gt;=v01_FissionTrigger*N2365,AC2365=1),AB2364/AE2364*v01_DaughterShare&gt;=v01_MinDaughter),MAX(1,ROUND(AE2364*v01_FissionRate,0)),0)</x:f>
        <x:v>0</x:v>
      </x:c>
      <x:c r="AE2365" s="8" t="n">
        <x:f>IF(H2365=1,MAX(1,MIN(INDEX(v01_Smax,G2365),AE2364+AD2365)),AE2364)</x:f>
        <x:v>15</x:v>
      </x:c>
      <x:c r="AF2365" s="8" t="n">
        <x:f>MAX(0,AE2365-AE2364)</x:f>
        <x:v>0</x:v>
      </x:c>
      <x:c r="AG2365" s="9" t="str">
        <x:f>IF(AF2365&gt;0,B2365,"")</x:f>
      </x:c>
      <x:c r="AH2365" s="9" t="n">
        <x:f>IF(F2365&gt;=1,1,(1+v01_LowTiesShare*(AE2365-1))/AE2365)</x:f>
        <x:v>1</x:v>
      </x:c>
      <x:c r="AI2365" s="32" t="n">
        <x:f>(Z2365+v01_ElderCommons*INDEX(LM_Elder,G2365)*AA2365)*AH2365</x:f>
        <x:v>64139.732591141874</x:v>
      </x:c>
      <x:c r="AJ2365" s="32" t="n">
        <x:f>H2365*v01_CommonsCoef*AI2365^v01_CommonsExp*INDEX(LM_Commons,G2365)</x:f>
        <x:v>0</x:v>
      </x:c>
      <x:c r="AK2365" s="32" t="n">
        <x:f>H2365*v01_RoleScale*Arch_Roles*(AE2365*(INDEX(v01_ElderRolePerSett,G2365)*v01_OutElder*INDEX(LM_Elder,G2365)+INDEX(v01_ShamanPerSett,G2365)*v01_OutShaman)+Z2365*(INDEX(v01_PriestShare,G2365)*v01_OutPriest+INDEX(v01_ScribeShare,G2365)*v01_OutScribe*INDEX(LM_Scribe,G2365)+INDEX(v01_ScholarShare,G2365)*v01_OutScholar*INDEX(LM_Scholar,G2365)+INDEX(v01_ResearcherShare,G2365)*v01_OutResearcher*INDEX(LM_Researcher,G2365)))</x:f>
        <x:v>0</x:v>
      </x:c>
      <x:c r="AL2365" s="32" t="n">
        <x:f>H2365*v01_RoleScale*Arch_Roles*AE2365*INDEX(v01_MonasteryPerSett,G2365)*v01_OutMonastery*INDEX(LM_Monastery,G2365)</x:f>
        <x:v>0</x:v>
      </x:c>
      <x:c r="AM2365" s="32" t="n">
        <x:f>(AJ2365+AK2365+AL2365)/4*INDEX(LM_All,G2365)*INDEX(v01_Boon,G2365)*Arch_Insight</x:f>
        <x:v>0</x:v>
      </x:c>
      <x:c r="AN2365" s="32" t="n">
        <x:f>H2365*(v01_KHPerAdult*Z2365+v01_KHOfCommons*AJ2365/4*INDEX(LM_All,G2365))*v01_KHUsable*Arch_KH</x:f>
        <x:v>0</x:v>
      </x:c>
      <x:c r="AO2365" s="32" t="n">
        <x:f>MIN(AP2364+AN2365,AM2365*v01_KHMaxRatio)</x:f>
        <x:v>0</x:v>
      </x:c>
      <x:c r="AP2365" s="32" t="n">
        <x:f>AP2364+AN2365-AO2365</x:f>
        <x:v>0</x:v>
      </x:c>
      <x:c r="AQ2365" s="32" t="n">
        <x:f>AM2365+AO2365</x:f>
        <x:v>0</x:v>
      </x:c>
      <x:c r="AR2365" s="10" t="n">
        <x:f>IF(H2365=1,INDEX(v01_Req,G2365),0)</x:f>
        <x:v>0</x:v>
      </x:c>
      <x:c r="AS2365" s="32" t="n">
        <x:f>IF(H2365=1,IF(E2365=1,AS2364-AR2364,AS2364)+AQ2365,0)</x:f>
        <x:v>0</x:v>
      </x:c>
      <x:c r="AT2365" s="11" t="n">
        <x:f>IF(AR2365&gt;0,MIN(1,AS2365/AR2365),1)</x:f>
        <x:v>1</x:v>
      </x:c>
      <x:c r="AU2365" s="10" t="n">
        <x:f>AB2365/INDEX(v01_RepScale,G2365)</x:f>
        <x:v>90.09519605746344</x:v>
      </x:c>
      <x:c r="AV2365" s="32" t="n">
        <x:f>AM2365*60/v01_SeasonSeconds</x:f>
        <x:v>0</x:v>
      </x:c>
    </x:row>
    <x:row r="2366">
      <x:c r="A2366" s="8" t="n">
        <x:f>A2365+1</x:f>
        <x:v>2363</x:v>
      </x:c>
      <x:c r="B2366" s="9" t="n">
        <x:f>A2366*v01_SeasonSeconds/60</x:f>
        <x:v>590.75</x:v>
      </x:c>
      <x:c r="C2366" s="9" t="n">
        <x:f>A2366/4</x:f>
        <x:v>590.75</x:v>
      </x:c>
      <x:c r="D2366" s="8" t="n">
        <x:f>IF(MOD(A2366,4)=0,1,0)</x:f>
        <x:v>0</x:v>
      </x:c>
      <x:c r="E2366" s="8" t="n">
        <x:f>IF(AND(F2365&lt;=9,AS2365&gt;=AR2365),1,0)</x:f>
        <x:v>0</x:v>
      </x:c>
      <x:c r="F2366" s="8" t="n">
        <x:f>MIN(10,F2365+E2366)</x:f>
        <x:v>10</x:v>
      </x:c>
      <x:c r="G2366" s="8" t="n">
        <x:f>MIN(F2366,9)+1</x:f>
        <x:v>10</x:v>
      </x:c>
      <x:c r="H2366" s="8" t="n">
        <x:f>IF(F2366&lt;=9,1,0)</x:f>
        <x:v>0</x:v>
      </x:c>
      <x:c r="I2366" s="9" t="n">
        <x:f>MIN(10,F2365+IF(AR2365&gt;0,MIN(1,AS2365/AR2365),1))</x:f>
        <x:v>10</x:v>
      </x:c>
      <x:c r="J2366" s="32" t="n">
        <x:f>INDEX(v01_FoodCap,G2366)*Arch_FoodCap*EXP(v01_CapsByProject*SUMPRODUCT((Cap_Point&lt;=I2366)*(Cap_Kind="Food")*Cap_Ln))</x:f>
        <x:v>12000</x:v>
      </x:c>
      <x:c r="K2366" s="32" t="n">
        <x:f>J2366*MIN(1,v01_LeanBase*EXP(v01_CapsByProject*SUMPRODUCT((Cap_Point&lt;=I2366)*(Cap_Kind="Lean")*Cap_Ln)))</x:f>
        <x:v>12000</x:v>
      </x:c>
      <x:c r="L2366" s="10" t="n">
        <x:f>INDEX(v01_HousingCap,G2366)*EXP(v01_CapsByProject*SUMPRODUCT((Cap_Point&lt;=I2366)*(Cap_Kind="Housing")*Cap_Ln))</x:f>
        <x:v>20000</x:v>
      </x:c>
      <x:c r="M2366" s="10" t="n">
        <x:f>INDEX(v01_GroupCap,G2366)*v01_CohesionFactor*EXP(v01_CapsByProject*SUMPRODUCT((Cap_Point&lt;=I2366)*(Cap_Kind="Group")*Cap_Ln))</x:f>
        <x:v>1000000</x:v>
      </x:c>
      <x:c r="N2366" s="32" t="n">
        <x:f>MIN(J2366,L2366,M2366)</x:f>
        <x:v>12000</x:v>
      </x:c>
      <x:c r="O2366" s="10" t="n">
        <x:f>AE2365*N2366</x:f>
        <x:v>180000</x:v>
      </x:c>
      <x:c r="P2366" s="9" t="n">
        <x:f>MIN(1,(AB2365/(AE2365*IF(v01_GroupInCrowding=1,N2366,MIN(J2366,L2366))))^v01_CrowdingExp)</x:f>
        <x:v>0.00024569414295285325</x:v>
      </x:c>
      <x:c r="Q2366" s="9" t="n">
        <x:f>IF(D2366=1,INDEX(v01_WinterMult,G2366),1)</x:f>
        <x:v>1</x:v>
      </x:c>
      <x:c r="R2366" s="9" t="n">
        <x:f>H2366*Z2365*v01_WomenShare*v01_BaseFertility*INDEX(v01_FertMult,G2366)*Arch_Fertility*(1-P2366)</x:f>
        <x:v>0</x:v>
      </x:c>
      <x:c r="S2366" s="9" t="n">
        <x:f>H2366*Y2365*INDEX(v01_MortChild,G2366)/4*Q2366</x:f>
        <x:v>0</x:v>
      </x:c>
      <x:c r="T2366" s="9" t="n">
        <x:f>H2366*Z2365*INDEX(v01_MortAdult,G2366)*Arch_AdultMort/4*Q2366</x:f>
        <x:v>0</x:v>
      </x:c>
      <x:c r="U2366" s="9" t="n">
        <x:f>H2366*AA2365*INDEX(v01_MortElder,G2366)/4*Q2366</x:f>
        <x:v>0</x:v>
      </x:c>
      <x:c r="V2366" s="9" t="n">
        <x:f>H2366*MAX(0,AB2365-O2366)*v01_OvercapLoss</x:f>
        <x:v>0</x:v>
      </x:c>
      <x:c r="W2366" s="9" t="n">
        <x:f>H2366*Y2365/(v01_ChildYears*4)</x:f>
        <x:v>0</x:v>
      </x:c>
      <x:c r="X2366" s="9" t="n">
        <x:f>H2366*Z2365/(v01_AdultYears*4)</x:f>
        <x:v>0</x:v>
      </x:c>
      <x:c r="Y2366" s="32" t="n">
        <x:f>Y2365+R2366-S2366-W2366-Y2365*V2366/AB2365</x:f>
        <x:v>14306.18539759397</x:v>
      </x:c>
      <x:c r="Z2366" s="32" t="n">
        <x:f>Z2365+W2366-X2366-T2366-Z2365*V2366/AB2365</x:f>
        <x:v>19354.456567879548</x:v>
      </x:c>
      <x:c r="AA2366" s="32" t="n">
        <x:f>AA2365+X2366-U2366-AA2365*V2366/AB2365</x:f>
        <x:v>11386.956063258198</x:v>
      </x:c>
      <x:c r="AB2366" s="10" t="n">
        <x:f>Y2366+Z2366+AA2366</x:f>
        <x:v>45047.59802873172</x:v>
      </x:c>
      <x:c r="AC2366" s="8" t="n">
        <x:f>IF(AND(v01_WinterTrigger=1,D2366=1,AB2365/AE2365&gt;=K2366),1,0)</x:f>
        <x:v>0</x:v>
      </x:c>
      <x:c r="AD2366" s="8" t="n">
        <x:f>H2366*IF(AND(OR(AB2365/AE2365&gt;=v01_FissionTrigger*N2366,AC2366=1),AB2365/AE2365*v01_DaughterShare&gt;=v01_MinDaughter),MAX(1,ROUND(AE2365*v01_FissionRate,0)),0)</x:f>
        <x:v>0</x:v>
      </x:c>
      <x:c r="AE2366" s="8" t="n">
        <x:f>IF(H2366=1,MAX(1,MIN(INDEX(v01_Smax,G2366),AE2365+AD2366)),AE2365)</x:f>
        <x:v>15</x:v>
      </x:c>
      <x:c r="AF2366" s="8" t="n">
        <x:f>MAX(0,AE2366-AE2365)</x:f>
        <x:v>0</x:v>
      </x:c>
      <x:c r="AG2366" s="9" t="str">
        <x:f>IF(AF2366&gt;0,B2366,"")</x:f>
      </x:c>
      <x:c r="AH2366" s="9" t="n">
        <x:f>IF(F2366&gt;=1,1,(1+v01_LowTiesShare*(AE2366-1))/AE2366)</x:f>
        <x:v>1</x:v>
      </x:c>
      <x:c r="AI2366" s="32" t="n">
        <x:f>(Z2366+v01_ElderCommons*INDEX(LM_Elder,G2366)*AA2366)*AH2366</x:f>
        <x:v>64139.732591141874</x:v>
      </x:c>
      <x:c r="AJ2366" s="32" t="n">
        <x:f>H2366*v01_CommonsCoef*AI2366^v01_CommonsExp*INDEX(LM_Commons,G2366)</x:f>
        <x:v>0</x:v>
      </x:c>
      <x:c r="AK2366" s="32" t="n">
        <x:f>H2366*v01_RoleScale*Arch_Roles*(AE2366*(INDEX(v01_ElderRolePerSett,G2366)*v01_OutElder*INDEX(LM_Elder,G2366)+INDEX(v01_ShamanPerSett,G2366)*v01_OutShaman)+Z2366*(INDEX(v01_PriestShare,G2366)*v01_OutPriest+INDEX(v01_ScribeShare,G2366)*v01_OutScribe*INDEX(LM_Scribe,G2366)+INDEX(v01_ScholarShare,G2366)*v01_OutScholar*INDEX(LM_Scholar,G2366)+INDEX(v01_ResearcherShare,G2366)*v01_OutResearcher*INDEX(LM_Researcher,G2366)))</x:f>
        <x:v>0</x:v>
      </x:c>
      <x:c r="AL2366" s="32" t="n">
        <x:f>H2366*v01_RoleScale*Arch_Roles*AE2366*INDEX(v01_MonasteryPerSett,G2366)*v01_OutMonastery*INDEX(LM_Monastery,G2366)</x:f>
        <x:v>0</x:v>
      </x:c>
      <x:c r="AM2366" s="32" t="n">
        <x:f>(AJ2366+AK2366+AL2366)/4*INDEX(LM_All,G2366)*INDEX(v01_Boon,G2366)*Arch_Insight</x:f>
        <x:v>0</x:v>
      </x:c>
      <x:c r="AN2366" s="32" t="n">
        <x:f>H2366*(v01_KHPerAdult*Z2366+v01_KHOfCommons*AJ2366/4*INDEX(LM_All,G2366))*v01_KHUsable*Arch_KH</x:f>
        <x:v>0</x:v>
      </x:c>
      <x:c r="AO2366" s="32" t="n">
        <x:f>MIN(AP2365+AN2366,AM2366*v01_KHMaxRatio)</x:f>
        <x:v>0</x:v>
      </x:c>
      <x:c r="AP2366" s="32" t="n">
        <x:f>AP2365+AN2366-AO2366</x:f>
        <x:v>0</x:v>
      </x:c>
      <x:c r="AQ2366" s="32" t="n">
        <x:f>AM2366+AO2366</x:f>
        <x:v>0</x:v>
      </x:c>
      <x:c r="AR2366" s="10" t="n">
        <x:f>IF(H2366=1,INDEX(v01_Req,G2366),0)</x:f>
        <x:v>0</x:v>
      </x:c>
      <x:c r="AS2366" s="32" t="n">
        <x:f>IF(H2366=1,IF(E2366=1,AS2365-AR2365,AS2365)+AQ2366,0)</x:f>
        <x:v>0</x:v>
      </x:c>
      <x:c r="AT2366" s="11" t="n">
        <x:f>IF(AR2366&gt;0,MIN(1,AS2366/AR2366),1)</x:f>
        <x:v>1</x:v>
      </x:c>
      <x:c r="AU2366" s="10" t="n">
        <x:f>AB2366/INDEX(v01_RepScale,G2366)</x:f>
        <x:v>90.09519605746344</x:v>
      </x:c>
      <x:c r="AV2366" s="32" t="n">
        <x:f>AM2366*60/v01_SeasonSeconds</x:f>
        <x:v>0</x:v>
      </x:c>
    </x:row>
    <x:row r="2367">
      <x:c r="A2367" s="8" t="n">
        <x:f>A2366+1</x:f>
        <x:v>2364</x:v>
      </x:c>
      <x:c r="B2367" s="9" t="n">
        <x:f>A2367*v01_SeasonSeconds/60</x:f>
        <x:v>591</x:v>
      </x:c>
      <x:c r="C2367" s="9" t="n">
        <x:f>A2367/4</x:f>
        <x:v>591</x:v>
      </x:c>
      <x:c r="D2367" s="8" t="n">
        <x:f>IF(MOD(A2367,4)=0,1,0)</x:f>
        <x:v>1</x:v>
      </x:c>
      <x:c r="E2367" s="8" t="n">
        <x:f>IF(AND(F2366&lt;=9,AS2366&gt;=AR2366),1,0)</x:f>
        <x:v>0</x:v>
      </x:c>
      <x:c r="F2367" s="8" t="n">
        <x:f>MIN(10,F2366+E2367)</x:f>
        <x:v>10</x:v>
      </x:c>
      <x:c r="G2367" s="8" t="n">
        <x:f>MIN(F2367,9)+1</x:f>
        <x:v>10</x:v>
      </x:c>
      <x:c r="H2367" s="8" t="n">
        <x:f>IF(F2367&lt;=9,1,0)</x:f>
        <x:v>0</x:v>
      </x:c>
      <x:c r="I2367" s="9" t="n">
        <x:f>MIN(10,F2366+IF(AR2366&gt;0,MIN(1,AS2366/AR2366),1))</x:f>
        <x:v>10</x:v>
      </x:c>
      <x:c r="J2367" s="32" t="n">
        <x:f>INDEX(v01_FoodCap,G2367)*Arch_FoodCap*EXP(v01_CapsByProject*SUMPRODUCT((Cap_Point&lt;=I2367)*(Cap_Kind="Food")*Cap_Ln))</x:f>
        <x:v>12000</x:v>
      </x:c>
      <x:c r="K2367" s="32" t="n">
        <x:f>J2367*MIN(1,v01_LeanBase*EXP(v01_CapsByProject*SUMPRODUCT((Cap_Point&lt;=I2367)*(Cap_Kind="Lean")*Cap_Ln)))</x:f>
        <x:v>12000</x:v>
      </x:c>
      <x:c r="L2367" s="10" t="n">
        <x:f>INDEX(v01_HousingCap,G2367)*EXP(v01_CapsByProject*SUMPRODUCT((Cap_Point&lt;=I2367)*(Cap_Kind="Housing")*Cap_Ln))</x:f>
        <x:v>20000</x:v>
      </x:c>
      <x:c r="M2367" s="10" t="n">
        <x:f>INDEX(v01_GroupCap,G2367)*v01_CohesionFactor*EXP(v01_CapsByProject*SUMPRODUCT((Cap_Point&lt;=I2367)*(Cap_Kind="Group")*Cap_Ln))</x:f>
        <x:v>1000000</x:v>
      </x:c>
      <x:c r="N2367" s="32" t="n">
        <x:f>MIN(J2367,L2367,M2367)</x:f>
        <x:v>12000</x:v>
      </x:c>
      <x:c r="O2367" s="10" t="n">
        <x:f>AE2366*N2367</x:f>
        <x:v>180000</x:v>
      </x:c>
      <x:c r="P2367" s="9" t="n">
        <x:f>MIN(1,(AB2366/(AE2366*IF(v01_GroupInCrowding=1,N2367,MIN(J2367,L2367))))^v01_CrowdingExp)</x:f>
        <x:v>0.00024569414295285325</x:v>
      </x:c>
      <x:c r="Q2367" s="9" t="n">
        <x:f>IF(D2367=1,INDEX(v01_WinterMult,G2367),1)</x:f>
        <x:v>1</x:v>
      </x:c>
      <x:c r="R2367" s="9" t="n">
        <x:f>H2367*Z2366*v01_WomenShare*v01_BaseFertility*INDEX(v01_FertMult,G2367)*Arch_Fertility*(1-P2367)</x:f>
        <x:v>0</x:v>
      </x:c>
      <x:c r="S2367" s="9" t="n">
        <x:f>H2367*Y2366*INDEX(v01_MortChild,G2367)/4*Q2367</x:f>
        <x:v>0</x:v>
      </x:c>
      <x:c r="T2367" s="9" t="n">
        <x:f>H2367*Z2366*INDEX(v01_MortAdult,G2367)*Arch_AdultMort/4*Q2367</x:f>
        <x:v>0</x:v>
      </x:c>
      <x:c r="U2367" s="9" t="n">
        <x:f>H2367*AA2366*INDEX(v01_MortElder,G2367)/4*Q2367</x:f>
        <x:v>0</x:v>
      </x:c>
      <x:c r="V2367" s="9" t="n">
        <x:f>H2367*MAX(0,AB2366-O2367)*v01_OvercapLoss</x:f>
        <x:v>0</x:v>
      </x:c>
      <x:c r="W2367" s="9" t="n">
        <x:f>H2367*Y2366/(v01_ChildYears*4)</x:f>
        <x:v>0</x:v>
      </x:c>
      <x:c r="X2367" s="9" t="n">
        <x:f>H2367*Z2366/(v01_AdultYears*4)</x:f>
        <x:v>0</x:v>
      </x:c>
      <x:c r="Y2367" s="32" t="n">
        <x:f>Y2366+R2367-S2367-W2367-Y2366*V2367/AB2366</x:f>
        <x:v>14306.18539759397</x:v>
      </x:c>
      <x:c r="Z2367" s="32" t="n">
        <x:f>Z2366+W2367-X2367-T2367-Z2366*V2367/AB2366</x:f>
        <x:v>19354.456567879548</x:v>
      </x:c>
      <x:c r="AA2367" s="32" t="n">
        <x:f>AA2366+X2367-U2367-AA2366*V2367/AB2366</x:f>
        <x:v>11386.956063258198</x:v>
      </x:c>
      <x:c r="AB2367" s="10" t="n">
        <x:f>Y2367+Z2367+AA2367</x:f>
        <x:v>45047.59802873172</x:v>
      </x:c>
      <x:c r="AC2367" s="8" t="n">
        <x:f>IF(AND(v01_WinterTrigger=1,D2367=1,AB2366/AE2366&gt;=K2367),1,0)</x:f>
        <x:v>0</x:v>
      </x:c>
      <x:c r="AD2367" s="8" t="n">
        <x:f>H2367*IF(AND(OR(AB2366/AE2366&gt;=v01_FissionTrigger*N2367,AC2367=1),AB2366/AE2366*v01_DaughterShare&gt;=v01_MinDaughter),MAX(1,ROUND(AE2366*v01_FissionRate,0)),0)</x:f>
        <x:v>0</x:v>
      </x:c>
      <x:c r="AE2367" s="8" t="n">
        <x:f>IF(H2367=1,MAX(1,MIN(INDEX(v01_Smax,G2367),AE2366+AD2367)),AE2366)</x:f>
        <x:v>15</x:v>
      </x:c>
      <x:c r="AF2367" s="8" t="n">
        <x:f>MAX(0,AE2367-AE2366)</x:f>
        <x:v>0</x:v>
      </x:c>
      <x:c r="AG2367" s="9" t="str">
        <x:f>IF(AF2367&gt;0,B2367,"")</x:f>
      </x:c>
      <x:c r="AH2367" s="9" t="n">
        <x:f>IF(F2367&gt;=1,1,(1+v01_LowTiesShare*(AE2367-1))/AE2367)</x:f>
        <x:v>1</x:v>
      </x:c>
      <x:c r="AI2367" s="32" t="n">
        <x:f>(Z2367+v01_ElderCommons*INDEX(LM_Elder,G2367)*AA2367)*AH2367</x:f>
        <x:v>64139.732591141874</x:v>
      </x:c>
      <x:c r="AJ2367" s="32" t="n">
        <x:f>H2367*v01_CommonsCoef*AI2367^v01_CommonsExp*INDEX(LM_Commons,G2367)</x:f>
        <x:v>0</x:v>
      </x:c>
      <x:c r="AK2367" s="32" t="n">
        <x:f>H2367*v01_RoleScale*Arch_Roles*(AE2367*(INDEX(v01_ElderRolePerSett,G2367)*v01_OutElder*INDEX(LM_Elder,G2367)+INDEX(v01_ShamanPerSett,G2367)*v01_OutShaman)+Z2367*(INDEX(v01_PriestShare,G2367)*v01_OutPriest+INDEX(v01_ScribeShare,G2367)*v01_OutScribe*INDEX(LM_Scribe,G2367)+INDEX(v01_ScholarShare,G2367)*v01_OutScholar*INDEX(LM_Scholar,G2367)+INDEX(v01_ResearcherShare,G2367)*v01_OutResearcher*INDEX(LM_Researcher,G2367)))</x:f>
        <x:v>0</x:v>
      </x:c>
      <x:c r="AL2367" s="32" t="n">
        <x:f>H2367*v01_RoleScale*Arch_Roles*AE2367*INDEX(v01_MonasteryPerSett,G2367)*v01_OutMonastery*INDEX(LM_Monastery,G2367)</x:f>
        <x:v>0</x:v>
      </x:c>
      <x:c r="AM2367" s="32" t="n">
        <x:f>(AJ2367+AK2367+AL2367)/4*INDEX(LM_All,G2367)*INDEX(v01_Boon,G2367)*Arch_Insight</x:f>
        <x:v>0</x:v>
      </x:c>
      <x:c r="AN2367" s="32" t="n">
        <x:f>H2367*(v01_KHPerAdult*Z2367+v01_KHOfCommons*AJ2367/4*INDEX(LM_All,G2367))*v01_KHUsable*Arch_KH</x:f>
        <x:v>0</x:v>
      </x:c>
      <x:c r="AO2367" s="32" t="n">
        <x:f>MIN(AP2366+AN2367,AM2367*v01_KHMaxRatio)</x:f>
        <x:v>0</x:v>
      </x:c>
      <x:c r="AP2367" s="32" t="n">
        <x:f>AP2366+AN2367-AO2367</x:f>
        <x:v>0</x:v>
      </x:c>
      <x:c r="AQ2367" s="32" t="n">
        <x:f>AM2367+AO2367</x:f>
        <x:v>0</x:v>
      </x:c>
      <x:c r="AR2367" s="10" t="n">
        <x:f>IF(H2367=1,INDEX(v01_Req,G2367),0)</x:f>
        <x:v>0</x:v>
      </x:c>
      <x:c r="AS2367" s="32" t="n">
        <x:f>IF(H2367=1,IF(E2367=1,AS2366-AR2366,AS2366)+AQ2367,0)</x:f>
        <x:v>0</x:v>
      </x:c>
      <x:c r="AT2367" s="11" t="n">
        <x:f>IF(AR2367&gt;0,MIN(1,AS2367/AR2367),1)</x:f>
        <x:v>1</x:v>
      </x:c>
      <x:c r="AU2367" s="10" t="n">
        <x:f>AB2367/INDEX(v01_RepScale,G2367)</x:f>
        <x:v>90.09519605746344</x:v>
      </x:c>
      <x:c r="AV2367" s="32" t="n">
        <x:f>AM2367*60/v01_SeasonSeconds</x:f>
        <x:v>0</x:v>
      </x:c>
    </x:row>
    <x:row r="2368">
      <x:c r="A2368" s="8" t="n">
        <x:f>A2367+1</x:f>
        <x:v>2365</x:v>
      </x:c>
      <x:c r="B2368" s="9" t="n">
        <x:f>A2368*v01_SeasonSeconds/60</x:f>
        <x:v>591.25</x:v>
      </x:c>
      <x:c r="C2368" s="9" t="n">
        <x:f>A2368/4</x:f>
        <x:v>591.25</x:v>
      </x:c>
      <x:c r="D2368" s="8" t="n">
        <x:f>IF(MOD(A2368,4)=0,1,0)</x:f>
        <x:v>0</x:v>
      </x:c>
      <x:c r="E2368" s="8" t="n">
        <x:f>IF(AND(F2367&lt;=9,AS2367&gt;=AR2367),1,0)</x:f>
        <x:v>0</x:v>
      </x:c>
      <x:c r="F2368" s="8" t="n">
        <x:f>MIN(10,F2367+E2368)</x:f>
        <x:v>10</x:v>
      </x:c>
      <x:c r="G2368" s="8" t="n">
        <x:f>MIN(F2368,9)+1</x:f>
        <x:v>10</x:v>
      </x:c>
      <x:c r="H2368" s="8" t="n">
        <x:f>IF(F2368&lt;=9,1,0)</x:f>
        <x:v>0</x:v>
      </x:c>
      <x:c r="I2368" s="9" t="n">
        <x:f>MIN(10,F2367+IF(AR2367&gt;0,MIN(1,AS2367/AR2367),1))</x:f>
        <x:v>10</x:v>
      </x:c>
      <x:c r="J2368" s="32" t="n">
        <x:f>INDEX(v01_FoodCap,G2368)*Arch_FoodCap*EXP(v01_CapsByProject*SUMPRODUCT((Cap_Point&lt;=I2368)*(Cap_Kind="Food")*Cap_Ln))</x:f>
        <x:v>12000</x:v>
      </x:c>
      <x:c r="K2368" s="32" t="n">
        <x:f>J2368*MIN(1,v01_LeanBase*EXP(v01_CapsByProject*SUMPRODUCT((Cap_Point&lt;=I2368)*(Cap_Kind="Lean")*Cap_Ln)))</x:f>
        <x:v>12000</x:v>
      </x:c>
      <x:c r="L2368" s="10" t="n">
        <x:f>INDEX(v01_HousingCap,G2368)*EXP(v01_CapsByProject*SUMPRODUCT((Cap_Point&lt;=I2368)*(Cap_Kind="Housing")*Cap_Ln))</x:f>
        <x:v>20000</x:v>
      </x:c>
      <x:c r="M2368" s="10" t="n">
        <x:f>INDEX(v01_GroupCap,G2368)*v01_CohesionFactor*EXP(v01_CapsByProject*SUMPRODUCT((Cap_Point&lt;=I2368)*(Cap_Kind="Group")*Cap_Ln))</x:f>
        <x:v>1000000</x:v>
      </x:c>
      <x:c r="N2368" s="32" t="n">
        <x:f>MIN(J2368,L2368,M2368)</x:f>
        <x:v>12000</x:v>
      </x:c>
      <x:c r="O2368" s="10" t="n">
        <x:f>AE2367*N2368</x:f>
        <x:v>180000</x:v>
      </x:c>
      <x:c r="P2368" s="9" t="n">
        <x:f>MIN(1,(AB2367/(AE2367*IF(v01_GroupInCrowding=1,N2368,MIN(J2368,L2368))))^v01_CrowdingExp)</x:f>
        <x:v>0.00024569414295285325</x:v>
      </x:c>
      <x:c r="Q2368" s="9" t="n">
        <x:f>IF(D2368=1,INDEX(v01_WinterMult,G2368),1)</x:f>
        <x:v>1</x:v>
      </x:c>
      <x:c r="R2368" s="9" t="n">
        <x:f>H2368*Z2367*v01_WomenShare*v01_BaseFertility*INDEX(v01_FertMult,G2368)*Arch_Fertility*(1-P2368)</x:f>
        <x:v>0</x:v>
      </x:c>
      <x:c r="S2368" s="9" t="n">
        <x:f>H2368*Y2367*INDEX(v01_MortChild,G2368)/4*Q2368</x:f>
        <x:v>0</x:v>
      </x:c>
      <x:c r="T2368" s="9" t="n">
        <x:f>H2368*Z2367*INDEX(v01_MortAdult,G2368)*Arch_AdultMort/4*Q2368</x:f>
        <x:v>0</x:v>
      </x:c>
      <x:c r="U2368" s="9" t="n">
        <x:f>H2368*AA2367*INDEX(v01_MortElder,G2368)/4*Q2368</x:f>
        <x:v>0</x:v>
      </x:c>
      <x:c r="V2368" s="9" t="n">
        <x:f>H2368*MAX(0,AB2367-O2368)*v01_OvercapLoss</x:f>
        <x:v>0</x:v>
      </x:c>
      <x:c r="W2368" s="9" t="n">
        <x:f>H2368*Y2367/(v01_ChildYears*4)</x:f>
        <x:v>0</x:v>
      </x:c>
      <x:c r="X2368" s="9" t="n">
        <x:f>H2368*Z2367/(v01_AdultYears*4)</x:f>
        <x:v>0</x:v>
      </x:c>
      <x:c r="Y2368" s="32" t="n">
        <x:f>Y2367+R2368-S2368-W2368-Y2367*V2368/AB2367</x:f>
        <x:v>14306.18539759397</x:v>
      </x:c>
      <x:c r="Z2368" s="32" t="n">
        <x:f>Z2367+W2368-X2368-T2368-Z2367*V2368/AB2367</x:f>
        <x:v>19354.456567879548</x:v>
      </x:c>
      <x:c r="AA2368" s="32" t="n">
        <x:f>AA2367+X2368-U2368-AA2367*V2368/AB2367</x:f>
        <x:v>11386.956063258198</x:v>
      </x:c>
      <x:c r="AB2368" s="10" t="n">
        <x:f>Y2368+Z2368+AA2368</x:f>
        <x:v>45047.59802873172</x:v>
      </x:c>
      <x:c r="AC2368" s="8" t="n">
        <x:f>IF(AND(v01_WinterTrigger=1,D2368=1,AB2367/AE2367&gt;=K2368),1,0)</x:f>
        <x:v>0</x:v>
      </x:c>
      <x:c r="AD2368" s="8" t="n">
        <x:f>H2368*IF(AND(OR(AB2367/AE2367&gt;=v01_FissionTrigger*N2368,AC2368=1),AB2367/AE2367*v01_DaughterShare&gt;=v01_MinDaughter),MAX(1,ROUND(AE2367*v01_FissionRate,0)),0)</x:f>
        <x:v>0</x:v>
      </x:c>
      <x:c r="AE2368" s="8" t="n">
        <x:f>IF(H2368=1,MAX(1,MIN(INDEX(v01_Smax,G2368),AE2367+AD2368)),AE2367)</x:f>
        <x:v>15</x:v>
      </x:c>
      <x:c r="AF2368" s="8" t="n">
        <x:f>MAX(0,AE2368-AE2367)</x:f>
        <x:v>0</x:v>
      </x:c>
      <x:c r="AG2368" s="9" t="str">
        <x:f>IF(AF2368&gt;0,B2368,"")</x:f>
      </x:c>
      <x:c r="AH2368" s="9" t="n">
        <x:f>IF(F2368&gt;=1,1,(1+v01_LowTiesShare*(AE2368-1))/AE2368)</x:f>
        <x:v>1</x:v>
      </x:c>
      <x:c r="AI2368" s="32" t="n">
        <x:f>(Z2368+v01_ElderCommons*INDEX(LM_Elder,G2368)*AA2368)*AH2368</x:f>
        <x:v>64139.732591141874</x:v>
      </x:c>
      <x:c r="AJ2368" s="32" t="n">
        <x:f>H2368*v01_CommonsCoef*AI2368^v01_CommonsExp*INDEX(LM_Commons,G2368)</x:f>
        <x:v>0</x:v>
      </x:c>
      <x:c r="AK2368" s="32" t="n">
        <x:f>H2368*v01_RoleScale*Arch_Roles*(AE2368*(INDEX(v01_ElderRolePerSett,G2368)*v01_OutElder*INDEX(LM_Elder,G2368)+INDEX(v01_ShamanPerSett,G2368)*v01_OutShaman)+Z2368*(INDEX(v01_PriestShare,G2368)*v01_OutPriest+INDEX(v01_ScribeShare,G2368)*v01_OutScribe*INDEX(LM_Scribe,G2368)+INDEX(v01_ScholarShare,G2368)*v01_OutScholar*INDEX(LM_Scholar,G2368)+INDEX(v01_ResearcherShare,G2368)*v01_OutResearcher*INDEX(LM_Researcher,G2368)))</x:f>
        <x:v>0</x:v>
      </x:c>
      <x:c r="AL2368" s="32" t="n">
        <x:f>H2368*v01_RoleScale*Arch_Roles*AE2368*INDEX(v01_MonasteryPerSett,G2368)*v01_OutMonastery*INDEX(LM_Monastery,G2368)</x:f>
        <x:v>0</x:v>
      </x:c>
      <x:c r="AM2368" s="32" t="n">
        <x:f>(AJ2368+AK2368+AL2368)/4*INDEX(LM_All,G2368)*INDEX(v01_Boon,G2368)*Arch_Insight</x:f>
        <x:v>0</x:v>
      </x:c>
      <x:c r="AN2368" s="32" t="n">
        <x:f>H2368*(v01_KHPerAdult*Z2368+v01_KHOfCommons*AJ2368/4*INDEX(LM_All,G2368))*v01_KHUsable*Arch_KH</x:f>
        <x:v>0</x:v>
      </x:c>
      <x:c r="AO2368" s="32" t="n">
        <x:f>MIN(AP2367+AN2368,AM2368*v01_KHMaxRatio)</x:f>
        <x:v>0</x:v>
      </x:c>
      <x:c r="AP2368" s="32" t="n">
        <x:f>AP2367+AN2368-AO2368</x:f>
        <x:v>0</x:v>
      </x:c>
      <x:c r="AQ2368" s="32" t="n">
        <x:f>AM2368+AO2368</x:f>
        <x:v>0</x:v>
      </x:c>
      <x:c r="AR2368" s="10" t="n">
        <x:f>IF(H2368=1,INDEX(v01_Req,G2368),0)</x:f>
        <x:v>0</x:v>
      </x:c>
      <x:c r="AS2368" s="32" t="n">
        <x:f>IF(H2368=1,IF(E2368=1,AS2367-AR2367,AS2367)+AQ2368,0)</x:f>
        <x:v>0</x:v>
      </x:c>
      <x:c r="AT2368" s="11" t="n">
        <x:f>IF(AR2368&gt;0,MIN(1,AS2368/AR2368),1)</x:f>
        <x:v>1</x:v>
      </x:c>
      <x:c r="AU2368" s="10" t="n">
        <x:f>AB2368/INDEX(v01_RepScale,G2368)</x:f>
        <x:v>90.09519605746344</x:v>
      </x:c>
      <x:c r="AV2368" s="32" t="n">
        <x:f>AM2368*60/v01_SeasonSeconds</x:f>
        <x:v>0</x:v>
      </x:c>
    </x:row>
    <x:row r="2369">
      <x:c r="A2369" s="8" t="n">
        <x:f>A2368+1</x:f>
        <x:v>2366</x:v>
      </x:c>
      <x:c r="B2369" s="9" t="n">
        <x:f>A2369*v01_SeasonSeconds/60</x:f>
        <x:v>591.5</x:v>
      </x:c>
      <x:c r="C2369" s="9" t="n">
        <x:f>A2369/4</x:f>
        <x:v>591.5</x:v>
      </x:c>
      <x:c r="D2369" s="8" t="n">
        <x:f>IF(MOD(A2369,4)=0,1,0)</x:f>
        <x:v>0</x:v>
      </x:c>
      <x:c r="E2369" s="8" t="n">
        <x:f>IF(AND(F2368&lt;=9,AS2368&gt;=AR2368),1,0)</x:f>
        <x:v>0</x:v>
      </x:c>
      <x:c r="F2369" s="8" t="n">
        <x:f>MIN(10,F2368+E2369)</x:f>
        <x:v>10</x:v>
      </x:c>
      <x:c r="G2369" s="8" t="n">
        <x:f>MIN(F2369,9)+1</x:f>
        <x:v>10</x:v>
      </x:c>
      <x:c r="H2369" s="8" t="n">
        <x:f>IF(F2369&lt;=9,1,0)</x:f>
        <x:v>0</x:v>
      </x:c>
      <x:c r="I2369" s="9" t="n">
        <x:f>MIN(10,F2368+IF(AR2368&gt;0,MIN(1,AS2368/AR2368),1))</x:f>
        <x:v>10</x:v>
      </x:c>
      <x:c r="J2369" s="32" t="n">
        <x:f>INDEX(v01_FoodCap,G2369)*Arch_FoodCap*EXP(v01_CapsByProject*SUMPRODUCT((Cap_Point&lt;=I2369)*(Cap_Kind="Food")*Cap_Ln))</x:f>
        <x:v>12000</x:v>
      </x:c>
      <x:c r="K2369" s="32" t="n">
        <x:f>J2369*MIN(1,v01_LeanBase*EXP(v01_CapsByProject*SUMPRODUCT((Cap_Point&lt;=I2369)*(Cap_Kind="Lean")*Cap_Ln)))</x:f>
        <x:v>12000</x:v>
      </x:c>
      <x:c r="L2369" s="10" t="n">
        <x:f>INDEX(v01_HousingCap,G2369)*EXP(v01_CapsByProject*SUMPRODUCT((Cap_Point&lt;=I2369)*(Cap_Kind="Housing")*Cap_Ln))</x:f>
        <x:v>20000</x:v>
      </x:c>
      <x:c r="M2369" s="10" t="n">
        <x:f>INDEX(v01_GroupCap,G2369)*v01_CohesionFactor*EXP(v01_CapsByProject*SUMPRODUCT((Cap_Point&lt;=I2369)*(Cap_Kind="Group")*Cap_Ln))</x:f>
        <x:v>1000000</x:v>
      </x:c>
      <x:c r="N2369" s="32" t="n">
        <x:f>MIN(J2369,L2369,M2369)</x:f>
        <x:v>12000</x:v>
      </x:c>
      <x:c r="O2369" s="10" t="n">
        <x:f>AE2368*N2369</x:f>
        <x:v>180000</x:v>
      </x:c>
      <x:c r="P2369" s="9" t="n">
        <x:f>MIN(1,(AB2368/(AE2368*IF(v01_GroupInCrowding=1,N2369,MIN(J2369,L2369))))^v01_CrowdingExp)</x:f>
        <x:v>0.00024569414295285325</x:v>
      </x:c>
      <x:c r="Q2369" s="9" t="n">
        <x:f>IF(D2369=1,INDEX(v01_WinterMult,G2369),1)</x:f>
        <x:v>1</x:v>
      </x:c>
      <x:c r="R2369" s="9" t="n">
        <x:f>H2369*Z2368*v01_WomenShare*v01_BaseFertility*INDEX(v01_FertMult,G2369)*Arch_Fertility*(1-P2369)</x:f>
        <x:v>0</x:v>
      </x:c>
      <x:c r="S2369" s="9" t="n">
        <x:f>H2369*Y2368*INDEX(v01_MortChild,G2369)/4*Q2369</x:f>
        <x:v>0</x:v>
      </x:c>
      <x:c r="T2369" s="9" t="n">
        <x:f>H2369*Z2368*INDEX(v01_MortAdult,G2369)*Arch_AdultMort/4*Q2369</x:f>
        <x:v>0</x:v>
      </x:c>
      <x:c r="U2369" s="9" t="n">
        <x:f>H2369*AA2368*INDEX(v01_MortElder,G2369)/4*Q2369</x:f>
        <x:v>0</x:v>
      </x:c>
      <x:c r="V2369" s="9" t="n">
        <x:f>H2369*MAX(0,AB2368-O2369)*v01_OvercapLoss</x:f>
        <x:v>0</x:v>
      </x:c>
      <x:c r="W2369" s="9" t="n">
        <x:f>H2369*Y2368/(v01_ChildYears*4)</x:f>
        <x:v>0</x:v>
      </x:c>
      <x:c r="X2369" s="9" t="n">
        <x:f>H2369*Z2368/(v01_AdultYears*4)</x:f>
        <x:v>0</x:v>
      </x:c>
      <x:c r="Y2369" s="32" t="n">
        <x:f>Y2368+R2369-S2369-W2369-Y2368*V2369/AB2368</x:f>
        <x:v>14306.18539759397</x:v>
      </x:c>
      <x:c r="Z2369" s="32" t="n">
        <x:f>Z2368+W2369-X2369-T2369-Z2368*V2369/AB2368</x:f>
        <x:v>19354.456567879548</x:v>
      </x:c>
      <x:c r="AA2369" s="32" t="n">
        <x:f>AA2368+X2369-U2369-AA2368*V2369/AB2368</x:f>
        <x:v>11386.956063258198</x:v>
      </x:c>
      <x:c r="AB2369" s="10" t="n">
        <x:f>Y2369+Z2369+AA2369</x:f>
        <x:v>45047.59802873172</x:v>
      </x:c>
      <x:c r="AC2369" s="8" t="n">
        <x:f>IF(AND(v01_WinterTrigger=1,D2369=1,AB2368/AE2368&gt;=K2369),1,0)</x:f>
        <x:v>0</x:v>
      </x:c>
      <x:c r="AD2369" s="8" t="n">
        <x:f>H2369*IF(AND(OR(AB2368/AE2368&gt;=v01_FissionTrigger*N2369,AC2369=1),AB2368/AE2368*v01_DaughterShare&gt;=v01_MinDaughter),MAX(1,ROUND(AE2368*v01_FissionRate,0)),0)</x:f>
        <x:v>0</x:v>
      </x:c>
      <x:c r="AE2369" s="8" t="n">
        <x:f>IF(H2369=1,MAX(1,MIN(INDEX(v01_Smax,G2369),AE2368+AD2369)),AE2368)</x:f>
        <x:v>15</x:v>
      </x:c>
      <x:c r="AF2369" s="8" t="n">
        <x:f>MAX(0,AE2369-AE2368)</x:f>
        <x:v>0</x:v>
      </x:c>
      <x:c r="AG2369" s="9" t="str">
        <x:f>IF(AF2369&gt;0,B2369,"")</x:f>
      </x:c>
      <x:c r="AH2369" s="9" t="n">
        <x:f>IF(F2369&gt;=1,1,(1+v01_LowTiesShare*(AE2369-1))/AE2369)</x:f>
        <x:v>1</x:v>
      </x:c>
      <x:c r="AI2369" s="32" t="n">
        <x:f>(Z2369+v01_ElderCommons*INDEX(LM_Elder,G2369)*AA2369)*AH2369</x:f>
        <x:v>64139.732591141874</x:v>
      </x:c>
      <x:c r="AJ2369" s="32" t="n">
        <x:f>H2369*v01_CommonsCoef*AI2369^v01_CommonsExp*INDEX(LM_Commons,G2369)</x:f>
        <x:v>0</x:v>
      </x:c>
      <x:c r="AK2369" s="32" t="n">
        <x:f>H2369*v01_RoleScale*Arch_Roles*(AE2369*(INDEX(v01_ElderRolePerSett,G2369)*v01_OutElder*INDEX(LM_Elder,G2369)+INDEX(v01_ShamanPerSett,G2369)*v01_OutShaman)+Z2369*(INDEX(v01_PriestShare,G2369)*v01_OutPriest+INDEX(v01_ScribeShare,G2369)*v01_OutScribe*INDEX(LM_Scribe,G2369)+INDEX(v01_ScholarShare,G2369)*v01_OutScholar*INDEX(LM_Scholar,G2369)+INDEX(v01_ResearcherShare,G2369)*v01_OutResearcher*INDEX(LM_Researcher,G2369)))</x:f>
        <x:v>0</x:v>
      </x:c>
      <x:c r="AL2369" s="32" t="n">
        <x:f>H2369*v01_RoleScale*Arch_Roles*AE2369*INDEX(v01_MonasteryPerSett,G2369)*v01_OutMonastery*INDEX(LM_Monastery,G2369)</x:f>
        <x:v>0</x:v>
      </x:c>
      <x:c r="AM2369" s="32" t="n">
        <x:f>(AJ2369+AK2369+AL2369)/4*INDEX(LM_All,G2369)*INDEX(v01_Boon,G2369)*Arch_Insight</x:f>
        <x:v>0</x:v>
      </x:c>
      <x:c r="AN2369" s="32" t="n">
        <x:f>H2369*(v01_KHPerAdult*Z2369+v01_KHOfCommons*AJ2369/4*INDEX(LM_All,G2369))*v01_KHUsable*Arch_KH</x:f>
        <x:v>0</x:v>
      </x:c>
      <x:c r="AO2369" s="32" t="n">
        <x:f>MIN(AP2368+AN2369,AM2369*v01_KHMaxRatio)</x:f>
        <x:v>0</x:v>
      </x:c>
      <x:c r="AP2369" s="32" t="n">
        <x:f>AP2368+AN2369-AO2369</x:f>
        <x:v>0</x:v>
      </x:c>
      <x:c r="AQ2369" s="32" t="n">
        <x:f>AM2369+AO2369</x:f>
        <x:v>0</x:v>
      </x:c>
      <x:c r="AR2369" s="10" t="n">
        <x:f>IF(H2369=1,INDEX(v01_Req,G2369),0)</x:f>
        <x:v>0</x:v>
      </x:c>
      <x:c r="AS2369" s="32" t="n">
        <x:f>IF(H2369=1,IF(E2369=1,AS2368-AR2368,AS2368)+AQ2369,0)</x:f>
        <x:v>0</x:v>
      </x:c>
      <x:c r="AT2369" s="11" t="n">
        <x:f>IF(AR2369&gt;0,MIN(1,AS2369/AR2369),1)</x:f>
        <x:v>1</x:v>
      </x:c>
      <x:c r="AU2369" s="10" t="n">
        <x:f>AB2369/INDEX(v01_RepScale,G2369)</x:f>
        <x:v>90.09519605746344</x:v>
      </x:c>
      <x:c r="AV2369" s="32" t="n">
        <x:f>AM2369*60/v01_SeasonSeconds</x:f>
        <x:v>0</x:v>
      </x:c>
    </x:row>
    <x:row r="2370">
      <x:c r="A2370" s="8" t="n">
        <x:f>A2369+1</x:f>
        <x:v>2367</x:v>
      </x:c>
      <x:c r="B2370" s="9" t="n">
        <x:f>A2370*v01_SeasonSeconds/60</x:f>
        <x:v>591.75</x:v>
      </x:c>
      <x:c r="C2370" s="9" t="n">
        <x:f>A2370/4</x:f>
        <x:v>591.75</x:v>
      </x:c>
      <x:c r="D2370" s="8" t="n">
        <x:f>IF(MOD(A2370,4)=0,1,0)</x:f>
        <x:v>0</x:v>
      </x:c>
      <x:c r="E2370" s="8" t="n">
        <x:f>IF(AND(F2369&lt;=9,AS2369&gt;=AR2369),1,0)</x:f>
        <x:v>0</x:v>
      </x:c>
      <x:c r="F2370" s="8" t="n">
        <x:f>MIN(10,F2369+E2370)</x:f>
        <x:v>10</x:v>
      </x:c>
      <x:c r="G2370" s="8" t="n">
        <x:f>MIN(F2370,9)+1</x:f>
        <x:v>10</x:v>
      </x:c>
      <x:c r="H2370" s="8" t="n">
        <x:f>IF(F2370&lt;=9,1,0)</x:f>
        <x:v>0</x:v>
      </x:c>
      <x:c r="I2370" s="9" t="n">
        <x:f>MIN(10,F2369+IF(AR2369&gt;0,MIN(1,AS2369/AR2369),1))</x:f>
        <x:v>10</x:v>
      </x:c>
      <x:c r="J2370" s="32" t="n">
        <x:f>INDEX(v01_FoodCap,G2370)*Arch_FoodCap*EXP(v01_CapsByProject*SUMPRODUCT((Cap_Point&lt;=I2370)*(Cap_Kind="Food")*Cap_Ln))</x:f>
        <x:v>12000</x:v>
      </x:c>
      <x:c r="K2370" s="32" t="n">
        <x:f>J2370*MIN(1,v01_LeanBase*EXP(v01_CapsByProject*SUMPRODUCT((Cap_Point&lt;=I2370)*(Cap_Kind="Lean")*Cap_Ln)))</x:f>
        <x:v>12000</x:v>
      </x:c>
      <x:c r="L2370" s="10" t="n">
        <x:f>INDEX(v01_HousingCap,G2370)*EXP(v01_CapsByProject*SUMPRODUCT((Cap_Point&lt;=I2370)*(Cap_Kind="Housing")*Cap_Ln))</x:f>
        <x:v>20000</x:v>
      </x:c>
      <x:c r="M2370" s="10" t="n">
        <x:f>INDEX(v01_GroupCap,G2370)*v01_CohesionFactor*EXP(v01_CapsByProject*SUMPRODUCT((Cap_Point&lt;=I2370)*(Cap_Kind="Group")*Cap_Ln))</x:f>
        <x:v>1000000</x:v>
      </x:c>
      <x:c r="N2370" s="32" t="n">
        <x:f>MIN(J2370,L2370,M2370)</x:f>
        <x:v>12000</x:v>
      </x:c>
      <x:c r="O2370" s="10" t="n">
        <x:f>AE2369*N2370</x:f>
        <x:v>180000</x:v>
      </x:c>
      <x:c r="P2370" s="9" t="n">
        <x:f>MIN(1,(AB2369/(AE2369*IF(v01_GroupInCrowding=1,N2370,MIN(J2370,L2370))))^v01_CrowdingExp)</x:f>
        <x:v>0.00024569414295285325</x:v>
      </x:c>
      <x:c r="Q2370" s="9" t="n">
        <x:f>IF(D2370=1,INDEX(v01_WinterMult,G2370),1)</x:f>
        <x:v>1</x:v>
      </x:c>
      <x:c r="R2370" s="9" t="n">
        <x:f>H2370*Z2369*v01_WomenShare*v01_BaseFertility*INDEX(v01_FertMult,G2370)*Arch_Fertility*(1-P2370)</x:f>
        <x:v>0</x:v>
      </x:c>
      <x:c r="S2370" s="9" t="n">
        <x:f>H2370*Y2369*INDEX(v01_MortChild,G2370)/4*Q2370</x:f>
        <x:v>0</x:v>
      </x:c>
      <x:c r="T2370" s="9" t="n">
        <x:f>H2370*Z2369*INDEX(v01_MortAdult,G2370)*Arch_AdultMort/4*Q2370</x:f>
        <x:v>0</x:v>
      </x:c>
      <x:c r="U2370" s="9" t="n">
        <x:f>H2370*AA2369*INDEX(v01_MortElder,G2370)/4*Q2370</x:f>
        <x:v>0</x:v>
      </x:c>
      <x:c r="V2370" s="9" t="n">
        <x:f>H2370*MAX(0,AB2369-O2370)*v01_OvercapLoss</x:f>
        <x:v>0</x:v>
      </x:c>
      <x:c r="W2370" s="9" t="n">
        <x:f>H2370*Y2369/(v01_ChildYears*4)</x:f>
        <x:v>0</x:v>
      </x:c>
      <x:c r="X2370" s="9" t="n">
        <x:f>H2370*Z2369/(v01_AdultYears*4)</x:f>
        <x:v>0</x:v>
      </x:c>
      <x:c r="Y2370" s="32" t="n">
        <x:f>Y2369+R2370-S2370-W2370-Y2369*V2370/AB2369</x:f>
        <x:v>14306.18539759397</x:v>
      </x:c>
      <x:c r="Z2370" s="32" t="n">
        <x:f>Z2369+W2370-X2370-T2370-Z2369*V2370/AB2369</x:f>
        <x:v>19354.456567879548</x:v>
      </x:c>
      <x:c r="AA2370" s="32" t="n">
        <x:f>AA2369+X2370-U2370-AA2369*V2370/AB2369</x:f>
        <x:v>11386.956063258198</x:v>
      </x:c>
      <x:c r="AB2370" s="10" t="n">
        <x:f>Y2370+Z2370+AA2370</x:f>
        <x:v>45047.59802873172</x:v>
      </x:c>
      <x:c r="AC2370" s="8" t="n">
        <x:f>IF(AND(v01_WinterTrigger=1,D2370=1,AB2369/AE2369&gt;=K2370),1,0)</x:f>
        <x:v>0</x:v>
      </x:c>
      <x:c r="AD2370" s="8" t="n">
        <x:f>H2370*IF(AND(OR(AB2369/AE2369&gt;=v01_FissionTrigger*N2370,AC2370=1),AB2369/AE2369*v01_DaughterShare&gt;=v01_MinDaughter),MAX(1,ROUND(AE2369*v01_FissionRate,0)),0)</x:f>
        <x:v>0</x:v>
      </x:c>
      <x:c r="AE2370" s="8" t="n">
        <x:f>IF(H2370=1,MAX(1,MIN(INDEX(v01_Smax,G2370),AE2369+AD2370)),AE2369)</x:f>
        <x:v>15</x:v>
      </x:c>
      <x:c r="AF2370" s="8" t="n">
        <x:f>MAX(0,AE2370-AE2369)</x:f>
        <x:v>0</x:v>
      </x:c>
      <x:c r="AG2370" s="9" t="str">
        <x:f>IF(AF2370&gt;0,B2370,"")</x:f>
      </x:c>
      <x:c r="AH2370" s="9" t="n">
        <x:f>IF(F2370&gt;=1,1,(1+v01_LowTiesShare*(AE2370-1))/AE2370)</x:f>
        <x:v>1</x:v>
      </x:c>
      <x:c r="AI2370" s="32" t="n">
        <x:f>(Z2370+v01_ElderCommons*INDEX(LM_Elder,G2370)*AA2370)*AH2370</x:f>
        <x:v>64139.732591141874</x:v>
      </x:c>
      <x:c r="AJ2370" s="32" t="n">
        <x:f>H2370*v01_CommonsCoef*AI2370^v01_CommonsExp*INDEX(LM_Commons,G2370)</x:f>
        <x:v>0</x:v>
      </x:c>
      <x:c r="AK2370" s="32" t="n">
        <x:f>H2370*v01_RoleScale*Arch_Roles*(AE2370*(INDEX(v01_ElderRolePerSett,G2370)*v01_OutElder*INDEX(LM_Elder,G2370)+INDEX(v01_ShamanPerSett,G2370)*v01_OutShaman)+Z2370*(INDEX(v01_PriestShare,G2370)*v01_OutPriest+INDEX(v01_ScribeShare,G2370)*v01_OutScribe*INDEX(LM_Scribe,G2370)+INDEX(v01_ScholarShare,G2370)*v01_OutScholar*INDEX(LM_Scholar,G2370)+INDEX(v01_ResearcherShare,G2370)*v01_OutResearcher*INDEX(LM_Researcher,G2370)))</x:f>
        <x:v>0</x:v>
      </x:c>
      <x:c r="AL2370" s="32" t="n">
        <x:f>H2370*v01_RoleScale*Arch_Roles*AE2370*INDEX(v01_MonasteryPerSett,G2370)*v01_OutMonastery*INDEX(LM_Monastery,G2370)</x:f>
        <x:v>0</x:v>
      </x:c>
      <x:c r="AM2370" s="32" t="n">
        <x:f>(AJ2370+AK2370+AL2370)/4*INDEX(LM_All,G2370)*INDEX(v01_Boon,G2370)*Arch_Insight</x:f>
        <x:v>0</x:v>
      </x:c>
      <x:c r="AN2370" s="32" t="n">
        <x:f>H2370*(v01_KHPerAdult*Z2370+v01_KHOfCommons*AJ2370/4*INDEX(LM_All,G2370))*v01_KHUsable*Arch_KH</x:f>
        <x:v>0</x:v>
      </x:c>
      <x:c r="AO2370" s="32" t="n">
        <x:f>MIN(AP2369+AN2370,AM2370*v01_KHMaxRatio)</x:f>
        <x:v>0</x:v>
      </x:c>
      <x:c r="AP2370" s="32" t="n">
        <x:f>AP2369+AN2370-AO2370</x:f>
        <x:v>0</x:v>
      </x:c>
      <x:c r="AQ2370" s="32" t="n">
        <x:f>AM2370+AO2370</x:f>
        <x:v>0</x:v>
      </x:c>
      <x:c r="AR2370" s="10" t="n">
        <x:f>IF(H2370=1,INDEX(v01_Req,G2370),0)</x:f>
        <x:v>0</x:v>
      </x:c>
      <x:c r="AS2370" s="32" t="n">
        <x:f>IF(H2370=1,IF(E2370=1,AS2369-AR2369,AS2369)+AQ2370,0)</x:f>
        <x:v>0</x:v>
      </x:c>
      <x:c r="AT2370" s="11" t="n">
        <x:f>IF(AR2370&gt;0,MIN(1,AS2370/AR2370),1)</x:f>
        <x:v>1</x:v>
      </x:c>
      <x:c r="AU2370" s="10" t="n">
        <x:f>AB2370/INDEX(v01_RepScale,G2370)</x:f>
        <x:v>90.09519605746344</x:v>
      </x:c>
      <x:c r="AV2370" s="32" t="n">
        <x:f>AM2370*60/v01_SeasonSeconds</x:f>
        <x:v>0</x:v>
      </x:c>
    </x:row>
    <x:row r="2371">
      <x:c r="A2371" s="8" t="n">
        <x:f>A2370+1</x:f>
        <x:v>2368</x:v>
      </x:c>
      <x:c r="B2371" s="9" t="n">
        <x:f>A2371*v01_SeasonSeconds/60</x:f>
        <x:v>592</x:v>
      </x:c>
      <x:c r="C2371" s="9" t="n">
        <x:f>A2371/4</x:f>
        <x:v>592</x:v>
      </x:c>
      <x:c r="D2371" s="8" t="n">
        <x:f>IF(MOD(A2371,4)=0,1,0)</x:f>
        <x:v>1</x:v>
      </x:c>
      <x:c r="E2371" s="8" t="n">
        <x:f>IF(AND(F2370&lt;=9,AS2370&gt;=AR2370),1,0)</x:f>
        <x:v>0</x:v>
      </x:c>
      <x:c r="F2371" s="8" t="n">
        <x:f>MIN(10,F2370+E2371)</x:f>
        <x:v>10</x:v>
      </x:c>
      <x:c r="G2371" s="8" t="n">
        <x:f>MIN(F2371,9)+1</x:f>
        <x:v>10</x:v>
      </x:c>
      <x:c r="H2371" s="8" t="n">
        <x:f>IF(F2371&lt;=9,1,0)</x:f>
        <x:v>0</x:v>
      </x:c>
      <x:c r="I2371" s="9" t="n">
        <x:f>MIN(10,F2370+IF(AR2370&gt;0,MIN(1,AS2370/AR2370),1))</x:f>
        <x:v>10</x:v>
      </x:c>
      <x:c r="J2371" s="32" t="n">
        <x:f>INDEX(v01_FoodCap,G2371)*Arch_FoodCap*EXP(v01_CapsByProject*SUMPRODUCT((Cap_Point&lt;=I2371)*(Cap_Kind="Food")*Cap_Ln))</x:f>
        <x:v>12000</x:v>
      </x:c>
      <x:c r="K2371" s="32" t="n">
        <x:f>J2371*MIN(1,v01_LeanBase*EXP(v01_CapsByProject*SUMPRODUCT((Cap_Point&lt;=I2371)*(Cap_Kind="Lean")*Cap_Ln)))</x:f>
        <x:v>12000</x:v>
      </x:c>
      <x:c r="L2371" s="10" t="n">
        <x:f>INDEX(v01_HousingCap,G2371)*EXP(v01_CapsByProject*SUMPRODUCT((Cap_Point&lt;=I2371)*(Cap_Kind="Housing")*Cap_Ln))</x:f>
        <x:v>20000</x:v>
      </x:c>
      <x:c r="M2371" s="10" t="n">
        <x:f>INDEX(v01_GroupCap,G2371)*v01_CohesionFactor*EXP(v01_CapsByProject*SUMPRODUCT((Cap_Point&lt;=I2371)*(Cap_Kind="Group")*Cap_Ln))</x:f>
        <x:v>1000000</x:v>
      </x:c>
      <x:c r="N2371" s="32" t="n">
        <x:f>MIN(J2371,L2371,M2371)</x:f>
        <x:v>12000</x:v>
      </x:c>
      <x:c r="O2371" s="10" t="n">
        <x:f>AE2370*N2371</x:f>
        <x:v>180000</x:v>
      </x:c>
      <x:c r="P2371" s="9" t="n">
        <x:f>MIN(1,(AB2370/(AE2370*IF(v01_GroupInCrowding=1,N2371,MIN(J2371,L2371))))^v01_CrowdingExp)</x:f>
        <x:v>0.00024569414295285325</x:v>
      </x:c>
      <x:c r="Q2371" s="9" t="n">
        <x:f>IF(D2371=1,INDEX(v01_WinterMult,G2371),1)</x:f>
        <x:v>1</x:v>
      </x:c>
      <x:c r="R2371" s="9" t="n">
        <x:f>H2371*Z2370*v01_WomenShare*v01_BaseFertility*INDEX(v01_FertMult,G2371)*Arch_Fertility*(1-P2371)</x:f>
        <x:v>0</x:v>
      </x:c>
      <x:c r="S2371" s="9" t="n">
        <x:f>H2371*Y2370*INDEX(v01_MortChild,G2371)/4*Q2371</x:f>
        <x:v>0</x:v>
      </x:c>
      <x:c r="T2371" s="9" t="n">
        <x:f>H2371*Z2370*INDEX(v01_MortAdult,G2371)*Arch_AdultMort/4*Q2371</x:f>
        <x:v>0</x:v>
      </x:c>
      <x:c r="U2371" s="9" t="n">
        <x:f>H2371*AA2370*INDEX(v01_MortElder,G2371)/4*Q2371</x:f>
        <x:v>0</x:v>
      </x:c>
      <x:c r="V2371" s="9" t="n">
        <x:f>H2371*MAX(0,AB2370-O2371)*v01_OvercapLoss</x:f>
        <x:v>0</x:v>
      </x:c>
      <x:c r="W2371" s="9" t="n">
        <x:f>H2371*Y2370/(v01_ChildYears*4)</x:f>
        <x:v>0</x:v>
      </x:c>
      <x:c r="X2371" s="9" t="n">
        <x:f>H2371*Z2370/(v01_AdultYears*4)</x:f>
        <x:v>0</x:v>
      </x:c>
      <x:c r="Y2371" s="32" t="n">
        <x:f>Y2370+R2371-S2371-W2371-Y2370*V2371/AB2370</x:f>
        <x:v>14306.18539759397</x:v>
      </x:c>
      <x:c r="Z2371" s="32" t="n">
        <x:f>Z2370+W2371-X2371-T2371-Z2370*V2371/AB2370</x:f>
        <x:v>19354.456567879548</x:v>
      </x:c>
      <x:c r="AA2371" s="32" t="n">
        <x:f>AA2370+X2371-U2371-AA2370*V2371/AB2370</x:f>
        <x:v>11386.956063258198</x:v>
      </x:c>
      <x:c r="AB2371" s="10" t="n">
        <x:f>Y2371+Z2371+AA2371</x:f>
        <x:v>45047.59802873172</x:v>
      </x:c>
      <x:c r="AC2371" s="8" t="n">
        <x:f>IF(AND(v01_WinterTrigger=1,D2371=1,AB2370/AE2370&gt;=K2371),1,0)</x:f>
        <x:v>0</x:v>
      </x:c>
      <x:c r="AD2371" s="8" t="n">
        <x:f>H2371*IF(AND(OR(AB2370/AE2370&gt;=v01_FissionTrigger*N2371,AC2371=1),AB2370/AE2370*v01_DaughterShare&gt;=v01_MinDaughter),MAX(1,ROUND(AE2370*v01_FissionRate,0)),0)</x:f>
        <x:v>0</x:v>
      </x:c>
      <x:c r="AE2371" s="8" t="n">
        <x:f>IF(H2371=1,MAX(1,MIN(INDEX(v01_Smax,G2371),AE2370+AD2371)),AE2370)</x:f>
        <x:v>15</x:v>
      </x:c>
      <x:c r="AF2371" s="8" t="n">
        <x:f>MAX(0,AE2371-AE2370)</x:f>
        <x:v>0</x:v>
      </x:c>
      <x:c r="AG2371" s="9" t="str">
        <x:f>IF(AF2371&gt;0,B2371,"")</x:f>
      </x:c>
      <x:c r="AH2371" s="9" t="n">
        <x:f>IF(F2371&gt;=1,1,(1+v01_LowTiesShare*(AE2371-1))/AE2371)</x:f>
        <x:v>1</x:v>
      </x:c>
      <x:c r="AI2371" s="32" t="n">
        <x:f>(Z2371+v01_ElderCommons*INDEX(LM_Elder,G2371)*AA2371)*AH2371</x:f>
        <x:v>64139.732591141874</x:v>
      </x:c>
      <x:c r="AJ2371" s="32" t="n">
        <x:f>H2371*v01_CommonsCoef*AI2371^v01_CommonsExp*INDEX(LM_Commons,G2371)</x:f>
        <x:v>0</x:v>
      </x:c>
      <x:c r="AK2371" s="32" t="n">
        <x:f>H2371*v01_RoleScale*Arch_Roles*(AE2371*(INDEX(v01_ElderRolePerSett,G2371)*v01_OutElder*INDEX(LM_Elder,G2371)+INDEX(v01_ShamanPerSett,G2371)*v01_OutShaman)+Z2371*(INDEX(v01_PriestShare,G2371)*v01_OutPriest+INDEX(v01_ScribeShare,G2371)*v01_OutScribe*INDEX(LM_Scribe,G2371)+INDEX(v01_ScholarShare,G2371)*v01_OutScholar*INDEX(LM_Scholar,G2371)+INDEX(v01_ResearcherShare,G2371)*v01_OutResearcher*INDEX(LM_Researcher,G2371)))</x:f>
        <x:v>0</x:v>
      </x:c>
      <x:c r="AL2371" s="32" t="n">
        <x:f>H2371*v01_RoleScale*Arch_Roles*AE2371*INDEX(v01_MonasteryPerSett,G2371)*v01_OutMonastery*INDEX(LM_Monastery,G2371)</x:f>
        <x:v>0</x:v>
      </x:c>
      <x:c r="AM2371" s="32" t="n">
        <x:f>(AJ2371+AK2371+AL2371)/4*INDEX(LM_All,G2371)*INDEX(v01_Boon,G2371)*Arch_Insight</x:f>
        <x:v>0</x:v>
      </x:c>
      <x:c r="AN2371" s="32" t="n">
        <x:f>H2371*(v01_KHPerAdult*Z2371+v01_KHOfCommons*AJ2371/4*INDEX(LM_All,G2371))*v01_KHUsable*Arch_KH</x:f>
        <x:v>0</x:v>
      </x:c>
      <x:c r="AO2371" s="32" t="n">
        <x:f>MIN(AP2370+AN2371,AM2371*v01_KHMaxRatio)</x:f>
        <x:v>0</x:v>
      </x:c>
      <x:c r="AP2371" s="32" t="n">
        <x:f>AP2370+AN2371-AO2371</x:f>
        <x:v>0</x:v>
      </x:c>
      <x:c r="AQ2371" s="32" t="n">
        <x:f>AM2371+AO2371</x:f>
        <x:v>0</x:v>
      </x:c>
      <x:c r="AR2371" s="10" t="n">
        <x:f>IF(H2371=1,INDEX(v01_Req,G2371),0)</x:f>
        <x:v>0</x:v>
      </x:c>
      <x:c r="AS2371" s="32" t="n">
        <x:f>IF(H2371=1,IF(E2371=1,AS2370-AR2370,AS2370)+AQ2371,0)</x:f>
        <x:v>0</x:v>
      </x:c>
      <x:c r="AT2371" s="11" t="n">
        <x:f>IF(AR2371&gt;0,MIN(1,AS2371/AR2371),1)</x:f>
        <x:v>1</x:v>
      </x:c>
      <x:c r="AU2371" s="10" t="n">
        <x:f>AB2371/INDEX(v01_RepScale,G2371)</x:f>
        <x:v>90.09519605746344</x:v>
      </x:c>
      <x:c r="AV2371" s="32" t="n">
        <x:f>AM2371*60/v01_SeasonSeconds</x:f>
        <x:v>0</x:v>
      </x:c>
    </x:row>
    <x:row r="2372">
      <x:c r="A2372" s="8" t="n">
        <x:f>A2371+1</x:f>
        <x:v>2369</x:v>
      </x:c>
      <x:c r="B2372" s="9" t="n">
        <x:f>A2372*v01_SeasonSeconds/60</x:f>
        <x:v>592.25</x:v>
      </x:c>
      <x:c r="C2372" s="9" t="n">
        <x:f>A2372/4</x:f>
        <x:v>592.25</x:v>
      </x:c>
      <x:c r="D2372" s="8" t="n">
        <x:f>IF(MOD(A2372,4)=0,1,0)</x:f>
        <x:v>0</x:v>
      </x:c>
      <x:c r="E2372" s="8" t="n">
        <x:f>IF(AND(F2371&lt;=9,AS2371&gt;=AR2371),1,0)</x:f>
        <x:v>0</x:v>
      </x:c>
      <x:c r="F2372" s="8" t="n">
        <x:f>MIN(10,F2371+E2372)</x:f>
        <x:v>10</x:v>
      </x:c>
      <x:c r="G2372" s="8" t="n">
        <x:f>MIN(F2372,9)+1</x:f>
        <x:v>10</x:v>
      </x:c>
      <x:c r="H2372" s="8" t="n">
        <x:f>IF(F2372&lt;=9,1,0)</x:f>
        <x:v>0</x:v>
      </x:c>
      <x:c r="I2372" s="9" t="n">
        <x:f>MIN(10,F2371+IF(AR2371&gt;0,MIN(1,AS2371/AR2371),1))</x:f>
        <x:v>10</x:v>
      </x:c>
      <x:c r="J2372" s="32" t="n">
        <x:f>INDEX(v01_FoodCap,G2372)*Arch_FoodCap*EXP(v01_CapsByProject*SUMPRODUCT((Cap_Point&lt;=I2372)*(Cap_Kind="Food")*Cap_Ln))</x:f>
        <x:v>12000</x:v>
      </x:c>
      <x:c r="K2372" s="32" t="n">
        <x:f>J2372*MIN(1,v01_LeanBase*EXP(v01_CapsByProject*SUMPRODUCT((Cap_Point&lt;=I2372)*(Cap_Kind="Lean")*Cap_Ln)))</x:f>
        <x:v>12000</x:v>
      </x:c>
      <x:c r="L2372" s="10" t="n">
        <x:f>INDEX(v01_HousingCap,G2372)*EXP(v01_CapsByProject*SUMPRODUCT((Cap_Point&lt;=I2372)*(Cap_Kind="Housing")*Cap_Ln))</x:f>
        <x:v>20000</x:v>
      </x:c>
      <x:c r="M2372" s="10" t="n">
        <x:f>INDEX(v01_GroupCap,G2372)*v01_CohesionFactor*EXP(v01_CapsByProject*SUMPRODUCT((Cap_Point&lt;=I2372)*(Cap_Kind="Group")*Cap_Ln))</x:f>
        <x:v>1000000</x:v>
      </x:c>
      <x:c r="N2372" s="32" t="n">
        <x:f>MIN(J2372,L2372,M2372)</x:f>
        <x:v>12000</x:v>
      </x:c>
      <x:c r="O2372" s="10" t="n">
        <x:f>AE2371*N2372</x:f>
        <x:v>180000</x:v>
      </x:c>
      <x:c r="P2372" s="9" t="n">
        <x:f>MIN(1,(AB2371/(AE2371*IF(v01_GroupInCrowding=1,N2372,MIN(J2372,L2372))))^v01_CrowdingExp)</x:f>
        <x:v>0.00024569414295285325</x:v>
      </x:c>
      <x:c r="Q2372" s="9" t="n">
        <x:f>IF(D2372=1,INDEX(v01_WinterMult,G2372),1)</x:f>
        <x:v>1</x:v>
      </x:c>
      <x:c r="R2372" s="9" t="n">
        <x:f>H2372*Z2371*v01_WomenShare*v01_BaseFertility*INDEX(v01_FertMult,G2372)*Arch_Fertility*(1-P2372)</x:f>
        <x:v>0</x:v>
      </x:c>
      <x:c r="S2372" s="9" t="n">
        <x:f>H2372*Y2371*INDEX(v01_MortChild,G2372)/4*Q2372</x:f>
        <x:v>0</x:v>
      </x:c>
      <x:c r="T2372" s="9" t="n">
        <x:f>H2372*Z2371*INDEX(v01_MortAdult,G2372)*Arch_AdultMort/4*Q2372</x:f>
        <x:v>0</x:v>
      </x:c>
      <x:c r="U2372" s="9" t="n">
        <x:f>H2372*AA2371*INDEX(v01_MortElder,G2372)/4*Q2372</x:f>
        <x:v>0</x:v>
      </x:c>
      <x:c r="V2372" s="9" t="n">
        <x:f>H2372*MAX(0,AB2371-O2372)*v01_OvercapLoss</x:f>
        <x:v>0</x:v>
      </x:c>
      <x:c r="W2372" s="9" t="n">
        <x:f>H2372*Y2371/(v01_ChildYears*4)</x:f>
        <x:v>0</x:v>
      </x:c>
      <x:c r="X2372" s="9" t="n">
        <x:f>H2372*Z2371/(v01_AdultYears*4)</x:f>
        <x:v>0</x:v>
      </x:c>
      <x:c r="Y2372" s="32" t="n">
        <x:f>Y2371+R2372-S2372-W2372-Y2371*V2372/AB2371</x:f>
        <x:v>14306.18539759397</x:v>
      </x:c>
      <x:c r="Z2372" s="32" t="n">
        <x:f>Z2371+W2372-X2372-T2372-Z2371*V2372/AB2371</x:f>
        <x:v>19354.456567879548</x:v>
      </x:c>
      <x:c r="AA2372" s="32" t="n">
        <x:f>AA2371+X2372-U2372-AA2371*V2372/AB2371</x:f>
        <x:v>11386.956063258198</x:v>
      </x:c>
      <x:c r="AB2372" s="10" t="n">
        <x:f>Y2372+Z2372+AA2372</x:f>
        <x:v>45047.59802873172</x:v>
      </x:c>
      <x:c r="AC2372" s="8" t="n">
        <x:f>IF(AND(v01_WinterTrigger=1,D2372=1,AB2371/AE2371&gt;=K2372),1,0)</x:f>
        <x:v>0</x:v>
      </x:c>
      <x:c r="AD2372" s="8" t="n">
        <x:f>H2372*IF(AND(OR(AB2371/AE2371&gt;=v01_FissionTrigger*N2372,AC2372=1),AB2371/AE2371*v01_DaughterShare&gt;=v01_MinDaughter),MAX(1,ROUND(AE2371*v01_FissionRate,0)),0)</x:f>
        <x:v>0</x:v>
      </x:c>
      <x:c r="AE2372" s="8" t="n">
        <x:f>IF(H2372=1,MAX(1,MIN(INDEX(v01_Smax,G2372),AE2371+AD2372)),AE2371)</x:f>
        <x:v>15</x:v>
      </x:c>
      <x:c r="AF2372" s="8" t="n">
        <x:f>MAX(0,AE2372-AE2371)</x:f>
        <x:v>0</x:v>
      </x:c>
      <x:c r="AG2372" s="9" t="str">
        <x:f>IF(AF2372&gt;0,B2372,"")</x:f>
      </x:c>
      <x:c r="AH2372" s="9" t="n">
        <x:f>IF(F2372&gt;=1,1,(1+v01_LowTiesShare*(AE2372-1))/AE2372)</x:f>
        <x:v>1</x:v>
      </x:c>
      <x:c r="AI2372" s="32" t="n">
        <x:f>(Z2372+v01_ElderCommons*INDEX(LM_Elder,G2372)*AA2372)*AH2372</x:f>
        <x:v>64139.732591141874</x:v>
      </x:c>
      <x:c r="AJ2372" s="32" t="n">
        <x:f>H2372*v01_CommonsCoef*AI2372^v01_CommonsExp*INDEX(LM_Commons,G2372)</x:f>
        <x:v>0</x:v>
      </x:c>
      <x:c r="AK2372" s="32" t="n">
        <x:f>H2372*v01_RoleScale*Arch_Roles*(AE2372*(INDEX(v01_ElderRolePerSett,G2372)*v01_OutElder*INDEX(LM_Elder,G2372)+INDEX(v01_ShamanPerSett,G2372)*v01_OutShaman)+Z2372*(INDEX(v01_PriestShare,G2372)*v01_OutPriest+INDEX(v01_ScribeShare,G2372)*v01_OutScribe*INDEX(LM_Scribe,G2372)+INDEX(v01_ScholarShare,G2372)*v01_OutScholar*INDEX(LM_Scholar,G2372)+INDEX(v01_ResearcherShare,G2372)*v01_OutResearcher*INDEX(LM_Researcher,G2372)))</x:f>
        <x:v>0</x:v>
      </x:c>
      <x:c r="AL2372" s="32" t="n">
        <x:f>H2372*v01_RoleScale*Arch_Roles*AE2372*INDEX(v01_MonasteryPerSett,G2372)*v01_OutMonastery*INDEX(LM_Monastery,G2372)</x:f>
        <x:v>0</x:v>
      </x:c>
      <x:c r="AM2372" s="32" t="n">
        <x:f>(AJ2372+AK2372+AL2372)/4*INDEX(LM_All,G2372)*INDEX(v01_Boon,G2372)*Arch_Insight</x:f>
        <x:v>0</x:v>
      </x:c>
      <x:c r="AN2372" s="32" t="n">
        <x:f>H2372*(v01_KHPerAdult*Z2372+v01_KHOfCommons*AJ2372/4*INDEX(LM_All,G2372))*v01_KHUsable*Arch_KH</x:f>
        <x:v>0</x:v>
      </x:c>
      <x:c r="AO2372" s="32" t="n">
        <x:f>MIN(AP2371+AN2372,AM2372*v01_KHMaxRatio)</x:f>
        <x:v>0</x:v>
      </x:c>
      <x:c r="AP2372" s="32" t="n">
        <x:f>AP2371+AN2372-AO2372</x:f>
        <x:v>0</x:v>
      </x:c>
      <x:c r="AQ2372" s="32" t="n">
        <x:f>AM2372+AO2372</x:f>
        <x:v>0</x:v>
      </x:c>
      <x:c r="AR2372" s="10" t="n">
        <x:f>IF(H2372=1,INDEX(v01_Req,G2372),0)</x:f>
        <x:v>0</x:v>
      </x:c>
      <x:c r="AS2372" s="32" t="n">
        <x:f>IF(H2372=1,IF(E2372=1,AS2371-AR2371,AS2371)+AQ2372,0)</x:f>
        <x:v>0</x:v>
      </x:c>
      <x:c r="AT2372" s="11" t="n">
        <x:f>IF(AR2372&gt;0,MIN(1,AS2372/AR2372),1)</x:f>
        <x:v>1</x:v>
      </x:c>
      <x:c r="AU2372" s="10" t="n">
        <x:f>AB2372/INDEX(v01_RepScale,G2372)</x:f>
        <x:v>90.09519605746344</x:v>
      </x:c>
      <x:c r="AV2372" s="32" t="n">
        <x:f>AM2372*60/v01_SeasonSeconds</x:f>
        <x:v>0</x:v>
      </x:c>
    </x:row>
    <x:row r="2373">
      <x:c r="A2373" s="8" t="n">
        <x:f>A2372+1</x:f>
        <x:v>2370</x:v>
      </x:c>
      <x:c r="B2373" s="9" t="n">
        <x:f>A2373*v01_SeasonSeconds/60</x:f>
        <x:v>592.5</x:v>
      </x:c>
      <x:c r="C2373" s="9" t="n">
        <x:f>A2373/4</x:f>
        <x:v>592.5</x:v>
      </x:c>
      <x:c r="D2373" s="8" t="n">
        <x:f>IF(MOD(A2373,4)=0,1,0)</x:f>
        <x:v>0</x:v>
      </x:c>
      <x:c r="E2373" s="8" t="n">
        <x:f>IF(AND(F2372&lt;=9,AS2372&gt;=AR2372),1,0)</x:f>
        <x:v>0</x:v>
      </x:c>
      <x:c r="F2373" s="8" t="n">
        <x:f>MIN(10,F2372+E2373)</x:f>
        <x:v>10</x:v>
      </x:c>
      <x:c r="G2373" s="8" t="n">
        <x:f>MIN(F2373,9)+1</x:f>
        <x:v>10</x:v>
      </x:c>
      <x:c r="H2373" s="8" t="n">
        <x:f>IF(F2373&lt;=9,1,0)</x:f>
        <x:v>0</x:v>
      </x:c>
      <x:c r="I2373" s="9" t="n">
        <x:f>MIN(10,F2372+IF(AR2372&gt;0,MIN(1,AS2372/AR2372),1))</x:f>
        <x:v>10</x:v>
      </x:c>
      <x:c r="J2373" s="32" t="n">
        <x:f>INDEX(v01_FoodCap,G2373)*Arch_FoodCap*EXP(v01_CapsByProject*SUMPRODUCT((Cap_Point&lt;=I2373)*(Cap_Kind="Food")*Cap_Ln))</x:f>
        <x:v>12000</x:v>
      </x:c>
      <x:c r="K2373" s="32" t="n">
        <x:f>J2373*MIN(1,v01_LeanBase*EXP(v01_CapsByProject*SUMPRODUCT((Cap_Point&lt;=I2373)*(Cap_Kind="Lean")*Cap_Ln)))</x:f>
        <x:v>12000</x:v>
      </x:c>
      <x:c r="L2373" s="10" t="n">
        <x:f>INDEX(v01_HousingCap,G2373)*EXP(v01_CapsByProject*SUMPRODUCT((Cap_Point&lt;=I2373)*(Cap_Kind="Housing")*Cap_Ln))</x:f>
        <x:v>20000</x:v>
      </x:c>
      <x:c r="M2373" s="10" t="n">
        <x:f>INDEX(v01_GroupCap,G2373)*v01_CohesionFactor*EXP(v01_CapsByProject*SUMPRODUCT((Cap_Point&lt;=I2373)*(Cap_Kind="Group")*Cap_Ln))</x:f>
        <x:v>1000000</x:v>
      </x:c>
      <x:c r="N2373" s="32" t="n">
        <x:f>MIN(J2373,L2373,M2373)</x:f>
        <x:v>12000</x:v>
      </x:c>
      <x:c r="O2373" s="10" t="n">
        <x:f>AE2372*N2373</x:f>
        <x:v>180000</x:v>
      </x:c>
      <x:c r="P2373" s="9" t="n">
        <x:f>MIN(1,(AB2372/(AE2372*IF(v01_GroupInCrowding=1,N2373,MIN(J2373,L2373))))^v01_CrowdingExp)</x:f>
        <x:v>0.00024569414295285325</x:v>
      </x:c>
      <x:c r="Q2373" s="9" t="n">
        <x:f>IF(D2373=1,INDEX(v01_WinterMult,G2373),1)</x:f>
        <x:v>1</x:v>
      </x:c>
      <x:c r="R2373" s="9" t="n">
        <x:f>H2373*Z2372*v01_WomenShare*v01_BaseFertility*INDEX(v01_FertMult,G2373)*Arch_Fertility*(1-P2373)</x:f>
        <x:v>0</x:v>
      </x:c>
      <x:c r="S2373" s="9" t="n">
        <x:f>H2373*Y2372*INDEX(v01_MortChild,G2373)/4*Q2373</x:f>
        <x:v>0</x:v>
      </x:c>
      <x:c r="T2373" s="9" t="n">
        <x:f>H2373*Z2372*INDEX(v01_MortAdult,G2373)*Arch_AdultMort/4*Q2373</x:f>
        <x:v>0</x:v>
      </x:c>
      <x:c r="U2373" s="9" t="n">
        <x:f>H2373*AA2372*INDEX(v01_MortElder,G2373)/4*Q2373</x:f>
        <x:v>0</x:v>
      </x:c>
      <x:c r="V2373" s="9" t="n">
        <x:f>H2373*MAX(0,AB2372-O2373)*v01_OvercapLoss</x:f>
        <x:v>0</x:v>
      </x:c>
      <x:c r="W2373" s="9" t="n">
        <x:f>H2373*Y2372/(v01_ChildYears*4)</x:f>
        <x:v>0</x:v>
      </x:c>
      <x:c r="X2373" s="9" t="n">
        <x:f>H2373*Z2372/(v01_AdultYears*4)</x:f>
        <x:v>0</x:v>
      </x:c>
      <x:c r="Y2373" s="32" t="n">
        <x:f>Y2372+R2373-S2373-W2373-Y2372*V2373/AB2372</x:f>
        <x:v>14306.18539759397</x:v>
      </x:c>
      <x:c r="Z2373" s="32" t="n">
        <x:f>Z2372+W2373-X2373-T2373-Z2372*V2373/AB2372</x:f>
        <x:v>19354.456567879548</x:v>
      </x:c>
      <x:c r="AA2373" s="32" t="n">
        <x:f>AA2372+X2373-U2373-AA2372*V2373/AB2372</x:f>
        <x:v>11386.956063258198</x:v>
      </x:c>
      <x:c r="AB2373" s="10" t="n">
        <x:f>Y2373+Z2373+AA2373</x:f>
        <x:v>45047.59802873172</x:v>
      </x:c>
      <x:c r="AC2373" s="8" t="n">
        <x:f>IF(AND(v01_WinterTrigger=1,D2373=1,AB2372/AE2372&gt;=K2373),1,0)</x:f>
        <x:v>0</x:v>
      </x:c>
      <x:c r="AD2373" s="8" t="n">
        <x:f>H2373*IF(AND(OR(AB2372/AE2372&gt;=v01_FissionTrigger*N2373,AC2373=1),AB2372/AE2372*v01_DaughterShare&gt;=v01_MinDaughter),MAX(1,ROUND(AE2372*v01_FissionRate,0)),0)</x:f>
        <x:v>0</x:v>
      </x:c>
      <x:c r="AE2373" s="8" t="n">
        <x:f>IF(H2373=1,MAX(1,MIN(INDEX(v01_Smax,G2373),AE2372+AD2373)),AE2372)</x:f>
        <x:v>15</x:v>
      </x:c>
      <x:c r="AF2373" s="8" t="n">
        <x:f>MAX(0,AE2373-AE2372)</x:f>
        <x:v>0</x:v>
      </x:c>
      <x:c r="AG2373" s="9" t="str">
        <x:f>IF(AF2373&gt;0,B2373,"")</x:f>
      </x:c>
      <x:c r="AH2373" s="9" t="n">
        <x:f>IF(F2373&gt;=1,1,(1+v01_LowTiesShare*(AE2373-1))/AE2373)</x:f>
        <x:v>1</x:v>
      </x:c>
      <x:c r="AI2373" s="32" t="n">
        <x:f>(Z2373+v01_ElderCommons*INDEX(LM_Elder,G2373)*AA2373)*AH2373</x:f>
        <x:v>64139.732591141874</x:v>
      </x:c>
      <x:c r="AJ2373" s="32" t="n">
        <x:f>H2373*v01_CommonsCoef*AI2373^v01_CommonsExp*INDEX(LM_Commons,G2373)</x:f>
        <x:v>0</x:v>
      </x:c>
      <x:c r="AK2373" s="32" t="n">
        <x:f>H2373*v01_RoleScale*Arch_Roles*(AE2373*(INDEX(v01_ElderRolePerSett,G2373)*v01_OutElder*INDEX(LM_Elder,G2373)+INDEX(v01_ShamanPerSett,G2373)*v01_OutShaman)+Z2373*(INDEX(v01_PriestShare,G2373)*v01_OutPriest+INDEX(v01_ScribeShare,G2373)*v01_OutScribe*INDEX(LM_Scribe,G2373)+INDEX(v01_ScholarShare,G2373)*v01_OutScholar*INDEX(LM_Scholar,G2373)+INDEX(v01_ResearcherShare,G2373)*v01_OutResearcher*INDEX(LM_Researcher,G2373)))</x:f>
        <x:v>0</x:v>
      </x:c>
      <x:c r="AL2373" s="32" t="n">
        <x:f>H2373*v01_RoleScale*Arch_Roles*AE2373*INDEX(v01_MonasteryPerSett,G2373)*v01_OutMonastery*INDEX(LM_Monastery,G2373)</x:f>
        <x:v>0</x:v>
      </x:c>
      <x:c r="AM2373" s="32" t="n">
        <x:f>(AJ2373+AK2373+AL2373)/4*INDEX(LM_All,G2373)*INDEX(v01_Boon,G2373)*Arch_Insight</x:f>
        <x:v>0</x:v>
      </x:c>
      <x:c r="AN2373" s="32" t="n">
        <x:f>H2373*(v01_KHPerAdult*Z2373+v01_KHOfCommons*AJ2373/4*INDEX(LM_All,G2373))*v01_KHUsable*Arch_KH</x:f>
        <x:v>0</x:v>
      </x:c>
      <x:c r="AO2373" s="32" t="n">
        <x:f>MIN(AP2372+AN2373,AM2373*v01_KHMaxRatio)</x:f>
        <x:v>0</x:v>
      </x:c>
      <x:c r="AP2373" s="32" t="n">
        <x:f>AP2372+AN2373-AO2373</x:f>
        <x:v>0</x:v>
      </x:c>
      <x:c r="AQ2373" s="32" t="n">
        <x:f>AM2373+AO2373</x:f>
        <x:v>0</x:v>
      </x:c>
      <x:c r="AR2373" s="10" t="n">
        <x:f>IF(H2373=1,INDEX(v01_Req,G2373),0)</x:f>
        <x:v>0</x:v>
      </x:c>
      <x:c r="AS2373" s="32" t="n">
        <x:f>IF(H2373=1,IF(E2373=1,AS2372-AR2372,AS2372)+AQ2373,0)</x:f>
        <x:v>0</x:v>
      </x:c>
      <x:c r="AT2373" s="11" t="n">
        <x:f>IF(AR2373&gt;0,MIN(1,AS2373/AR2373),1)</x:f>
        <x:v>1</x:v>
      </x:c>
      <x:c r="AU2373" s="10" t="n">
        <x:f>AB2373/INDEX(v01_RepScale,G2373)</x:f>
        <x:v>90.09519605746344</x:v>
      </x:c>
      <x:c r="AV2373" s="32" t="n">
        <x:f>AM2373*60/v01_SeasonSeconds</x:f>
        <x:v>0</x:v>
      </x:c>
    </x:row>
    <x:row r="2374">
      <x:c r="A2374" s="8" t="n">
        <x:f>A2373+1</x:f>
        <x:v>2371</x:v>
      </x:c>
      <x:c r="B2374" s="9" t="n">
        <x:f>A2374*v01_SeasonSeconds/60</x:f>
        <x:v>592.75</x:v>
      </x:c>
      <x:c r="C2374" s="9" t="n">
        <x:f>A2374/4</x:f>
        <x:v>592.75</x:v>
      </x:c>
      <x:c r="D2374" s="8" t="n">
        <x:f>IF(MOD(A2374,4)=0,1,0)</x:f>
        <x:v>0</x:v>
      </x:c>
      <x:c r="E2374" s="8" t="n">
        <x:f>IF(AND(F2373&lt;=9,AS2373&gt;=AR2373),1,0)</x:f>
        <x:v>0</x:v>
      </x:c>
      <x:c r="F2374" s="8" t="n">
        <x:f>MIN(10,F2373+E2374)</x:f>
        <x:v>10</x:v>
      </x:c>
      <x:c r="G2374" s="8" t="n">
        <x:f>MIN(F2374,9)+1</x:f>
        <x:v>10</x:v>
      </x:c>
      <x:c r="H2374" s="8" t="n">
        <x:f>IF(F2374&lt;=9,1,0)</x:f>
        <x:v>0</x:v>
      </x:c>
      <x:c r="I2374" s="9" t="n">
        <x:f>MIN(10,F2373+IF(AR2373&gt;0,MIN(1,AS2373/AR2373),1))</x:f>
        <x:v>10</x:v>
      </x:c>
      <x:c r="J2374" s="32" t="n">
        <x:f>INDEX(v01_FoodCap,G2374)*Arch_FoodCap*EXP(v01_CapsByProject*SUMPRODUCT((Cap_Point&lt;=I2374)*(Cap_Kind="Food")*Cap_Ln))</x:f>
        <x:v>12000</x:v>
      </x:c>
      <x:c r="K2374" s="32" t="n">
        <x:f>J2374*MIN(1,v01_LeanBase*EXP(v01_CapsByProject*SUMPRODUCT((Cap_Point&lt;=I2374)*(Cap_Kind="Lean")*Cap_Ln)))</x:f>
        <x:v>12000</x:v>
      </x:c>
      <x:c r="L2374" s="10" t="n">
        <x:f>INDEX(v01_HousingCap,G2374)*EXP(v01_CapsByProject*SUMPRODUCT((Cap_Point&lt;=I2374)*(Cap_Kind="Housing")*Cap_Ln))</x:f>
        <x:v>20000</x:v>
      </x:c>
      <x:c r="M2374" s="10" t="n">
        <x:f>INDEX(v01_GroupCap,G2374)*v01_CohesionFactor*EXP(v01_CapsByProject*SUMPRODUCT((Cap_Point&lt;=I2374)*(Cap_Kind="Group")*Cap_Ln))</x:f>
        <x:v>1000000</x:v>
      </x:c>
      <x:c r="N2374" s="32" t="n">
        <x:f>MIN(J2374,L2374,M2374)</x:f>
        <x:v>12000</x:v>
      </x:c>
      <x:c r="O2374" s="10" t="n">
        <x:f>AE2373*N2374</x:f>
        <x:v>180000</x:v>
      </x:c>
      <x:c r="P2374" s="9" t="n">
        <x:f>MIN(1,(AB2373/(AE2373*IF(v01_GroupInCrowding=1,N2374,MIN(J2374,L2374))))^v01_CrowdingExp)</x:f>
        <x:v>0.00024569414295285325</x:v>
      </x:c>
      <x:c r="Q2374" s="9" t="n">
        <x:f>IF(D2374=1,INDEX(v01_WinterMult,G2374),1)</x:f>
        <x:v>1</x:v>
      </x:c>
      <x:c r="R2374" s="9" t="n">
        <x:f>H2374*Z2373*v01_WomenShare*v01_BaseFertility*INDEX(v01_FertMult,G2374)*Arch_Fertility*(1-P2374)</x:f>
        <x:v>0</x:v>
      </x:c>
      <x:c r="S2374" s="9" t="n">
        <x:f>H2374*Y2373*INDEX(v01_MortChild,G2374)/4*Q2374</x:f>
        <x:v>0</x:v>
      </x:c>
      <x:c r="T2374" s="9" t="n">
        <x:f>H2374*Z2373*INDEX(v01_MortAdult,G2374)*Arch_AdultMort/4*Q2374</x:f>
        <x:v>0</x:v>
      </x:c>
      <x:c r="U2374" s="9" t="n">
        <x:f>H2374*AA2373*INDEX(v01_MortElder,G2374)/4*Q2374</x:f>
        <x:v>0</x:v>
      </x:c>
      <x:c r="V2374" s="9" t="n">
        <x:f>H2374*MAX(0,AB2373-O2374)*v01_OvercapLoss</x:f>
        <x:v>0</x:v>
      </x:c>
      <x:c r="W2374" s="9" t="n">
        <x:f>H2374*Y2373/(v01_ChildYears*4)</x:f>
        <x:v>0</x:v>
      </x:c>
      <x:c r="X2374" s="9" t="n">
        <x:f>H2374*Z2373/(v01_AdultYears*4)</x:f>
        <x:v>0</x:v>
      </x:c>
      <x:c r="Y2374" s="32" t="n">
        <x:f>Y2373+R2374-S2374-W2374-Y2373*V2374/AB2373</x:f>
        <x:v>14306.18539759397</x:v>
      </x:c>
      <x:c r="Z2374" s="32" t="n">
        <x:f>Z2373+W2374-X2374-T2374-Z2373*V2374/AB2373</x:f>
        <x:v>19354.456567879548</x:v>
      </x:c>
      <x:c r="AA2374" s="32" t="n">
        <x:f>AA2373+X2374-U2374-AA2373*V2374/AB2373</x:f>
        <x:v>11386.956063258198</x:v>
      </x:c>
      <x:c r="AB2374" s="10" t="n">
        <x:f>Y2374+Z2374+AA2374</x:f>
        <x:v>45047.59802873172</x:v>
      </x:c>
      <x:c r="AC2374" s="8" t="n">
        <x:f>IF(AND(v01_WinterTrigger=1,D2374=1,AB2373/AE2373&gt;=K2374),1,0)</x:f>
        <x:v>0</x:v>
      </x:c>
      <x:c r="AD2374" s="8" t="n">
        <x:f>H2374*IF(AND(OR(AB2373/AE2373&gt;=v01_FissionTrigger*N2374,AC2374=1),AB2373/AE2373*v01_DaughterShare&gt;=v01_MinDaughter),MAX(1,ROUND(AE2373*v01_FissionRate,0)),0)</x:f>
        <x:v>0</x:v>
      </x:c>
      <x:c r="AE2374" s="8" t="n">
        <x:f>IF(H2374=1,MAX(1,MIN(INDEX(v01_Smax,G2374),AE2373+AD2374)),AE2373)</x:f>
        <x:v>15</x:v>
      </x:c>
      <x:c r="AF2374" s="8" t="n">
        <x:f>MAX(0,AE2374-AE2373)</x:f>
        <x:v>0</x:v>
      </x:c>
      <x:c r="AG2374" s="9" t="str">
        <x:f>IF(AF2374&gt;0,B2374,"")</x:f>
      </x:c>
      <x:c r="AH2374" s="9" t="n">
        <x:f>IF(F2374&gt;=1,1,(1+v01_LowTiesShare*(AE2374-1))/AE2374)</x:f>
        <x:v>1</x:v>
      </x:c>
      <x:c r="AI2374" s="32" t="n">
        <x:f>(Z2374+v01_ElderCommons*INDEX(LM_Elder,G2374)*AA2374)*AH2374</x:f>
        <x:v>64139.732591141874</x:v>
      </x:c>
      <x:c r="AJ2374" s="32" t="n">
        <x:f>H2374*v01_CommonsCoef*AI2374^v01_CommonsExp*INDEX(LM_Commons,G2374)</x:f>
        <x:v>0</x:v>
      </x:c>
      <x:c r="AK2374" s="32" t="n">
        <x:f>H2374*v01_RoleScale*Arch_Roles*(AE2374*(INDEX(v01_ElderRolePerSett,G2374)*v01_OutElder*INDEX(LM_Elder,G2374)+INDEX(v01_ShamanPerSett,G2374)*v01_OutShaman)+Z2374*(INDEX(v01_PriestShare,G2374)*v01_OutPriest+INDEX(v01_ScribeShare,G2374)*v01_OutScribe*INDEX(LM_Scribe,G2374)+INDEX(v01_ScholarShare,G2374)*v01_OutScholar*INDEX(LM_Scholar,G2374)+INDEX(v01_ResearcherShare,G2374)*v01_OutResearcher*INDEX(LM_Researcher,G2374)))</x:f>
        <x:v>0</x:v>
      </x:c>
      <x:c r="AL2374" s="32" t="n">
        <x:f>H2374*v01_RoleScale*Arch_Roles*AE2374*INDEX(v01_MonasteryPerSett,G2374)*v01_OutMonastery*INDEX(LM_Monastery,G2374)</x:f>
        <x:v>0</x:v>
      </x:c>
      <x:c r="AM2374" s="32" t="n">
        <x:f>(AJ2374+AK2374+AL2374)/4*INDEX(LM_All,G2374)*INDEX(v01_Boon,G2374)*Arch_Insight</x:f>
        <x:v>0</x:v>
      </x:c>
      <x:c r="AN2374" s="32" t="n">
        <x:f>H2374*(v01_KHPerAdult*Z2374+v01_KHOfCommons*AJ2374/4*INDEX(LM_All,G2374))*v01_KHUsable*Arch_KH</x:f>
        <x:v>0</x:v>
      </x:c>
      <x:c r="AO2374" s="32" t="n">
        <x:f>MIN(AP2373+AN2374,AM2374*v01_KHMaxRatio)</x:f>
        <x:v>0</x:v>
      </x:c>
      <x:c r="AP2374" s="32" t="n">
        <x:f>AP2373+AN2374-AO2374</x:f>
        <x:v>0</x:v>
      </x:c>
      <x:c r="AQ2374" s="32" t="n">
        <x:f>AM2374+AO2374</x:f>
        <x:v>0</x:v>
      </x:c>
      <x:c r="AR2374" s="10" t="n">
        <x:f>IF(H2374=1,INDEX(v01_Req,G2374),0)</x:f>
        <x:v>0</x:v>
      </x:c>
      <x:c r="AS2374" s="32" t="n">
        <x:f>IF(H2374=1,IF(E2374=1,AS2373-AR2373,AS2373)+AQ2374,0)</x:f>
        <x:v>0</x:v>
      </x:c>
      <x:c r="AT2374" s="11" t="n">
        <x:f>IF(AR2374&gt;0,MIN(1,AS2374/AR2374),1)</x:f>
        <x:v>1</x:v>
      </x:c>
      <x:c r="AU2374" s="10" t="n">
        <x:f>AB2374/INDEX(v01_RepScale,G2374)</x:f>
        <x:v>90.09519605746344</x:v>
      </x:c>
      <x:c r="AV2374" s="32" t="n">
        <x:f>AM2374*60/v01_SeasonSeconds</x:f>
        <x:v>0</x:v>
      </x:c>
    </x:row>
    <x:row r="2375">
      <x:c r="A2375" s="8" t="n">
        <x:f>A2374+1</x:f>
        <x:v>2372</x:v>
      </x:c>
      <x:c r="B2375" s="9" t="n">
        <x:f>A2375*v01_SeasonSeconds/60</x:f>
        <x:v>593</x:v>
      </x:c>
      <x:c r="C2375" s="9" t="n">
        <x:f>A2375/4</x:f>
        <x:v>593</x:v>
      </x:c>
      <x:c r="D2375" s="8" t="n">
        <x:f>IF(MOD(A2375,4)=0,1,0)</x:f>
        <x:v>1</x:v>
      </x:c>
      <x:c r="E2375" s="8" t="n">
        <x:f>IF(AND(F2374&lt;=9,AS2374&gt;=AR2374),1,0)</x:f>
        <x:v>0</x:v>
      </x:c>
      <x:c r="F2375" s="8" t="n">
        <x:f>MIN(10,F2374+E2375)</x:f>
        <x:v>10</x:v>
      </x:c>
      <x:c r="G2375" s="8" t="n">
        <x:f>MIN(F2375,9)+1</x:f>
        <x:v>10</x:v>
      </x:c>
      <x:c r="H2375" s="8" t="n">
        <x:f>IF(F2375&lt;=9,1,0)</x:f>
        <x:v>0</x:v>
      </x:c>
      <x:c r="I2375" s="9" t="n">
        <x:f>MIN(10,F2374+IF(AR2374&gt;0,MIN(1,AS2374/AR2374),1))</x:f>
        <x:v>10</x:v>
      </x:c>
      <x:c r="J2375" s="32" t="n">
        <x:f>INDEX(v01_FoodCap,G2375)*Arch_FoodCap*EXP(v01_CapsByProject*SUMPRODUCT((Cap_Point&lt;=I2375)*(Cap_Kind="Food")*Cap_Ln))</x:f>
        <x:v>12000</x:v>
      </x:c>
      <x:c r="K2375" s="32" t="n">
        <x:f>J2375*MIN(1,v01_LeanBase*EXP(v01_CapsByProject*SUMPRODUCT((Cap_Point&lt;=I2375)*(Cap_Kind="Lean")*Cap_Ln)))</x:f>
        <x:v>12000</x:v>
      </x:c>
      <x:c r="L2375" s="10" t="n">
        <x:f>INDEX(v01_HousingCap,G2375)*EXP(v01_CapsByProject*SUMPRODUCT((Cap_Point&lt;=I2375)*(Cap_Kind="Housing")*Cap_Ln))</x:f>
        <x:v>20000</x:v>
      </x:c>
      <x:c r="M2375" s="10" t="n">
        <x:f>INDEX(v01_GroupCap,G2375)*v01_CohesionFactor*EXP(v01_CapsByProject*SUMPRODUCT((Cap_Point&lt;=I2375)*(Cap_Kind="Group")*Cap_Ln))</x:f>
        <x:v>1000000</x:v>
      </x:c>
      <x:c r="N2375" s="32" t="n">
        <x:f>MIN(J2375,L2375,M2375)</x:f>
        <x:v>12000</x:v>
      </x:c>
      <x:c r="O2375" s="10" t="n">
        <x:f>AE2374*N2375</x:f>
        <x:v>180000</x:v>
      </x:c>
      <x:c r="P2375" s="9" t="n">
        <x:f>MIN(1,(AB2374/(AE2374*IF(v01_GroupInCrowding=1,N2375,MIN(J2375,L2375))))^v01_CrowdingExp)</x:f>
        <x:v>0.00024569414295285325</x:v>
      </x:c>
      <x:c r="Q2375" s="9" t="n">
        <x:f>IF(D2375=1,INDEX(v01_WinterMult,G2375),1)</x:f>
        <x:v>1</x:v>
      </x:c>
      <x:c r="R2375" s="9" t="n">
        <x:f>H2375*Z2374*v01_WomenShare*v01_BaseFertility*INDEX(v01_FertMult,G2375)*Arch_Fertility*(1-P2375)</x:f>
        <x:v>0</x:v>
      </x:c>
      <x:c r="S2375" s="9" t="n">
        <x:f>H2375*Y2374*INDEX(v01_MortChild,G2375)/4*Q2375</x:f>
        <x:v>0</x:v>
      </x:c>
      <x:c r="T2375" s="9" t="n">
        <x:f>H2375*Z2374*INDEX(v01_MortAdult,G2375)*Arch_AdultMort/4*Q2375</x:f>
        <x:v>0</x:v>
      </x:c>
      <x:c r="U2375" s="9" t="n">
        <x:f>H2375*AA2374*INDEX(v01_MortElder,G2375)/4*Q2375</x:f>
        <x:v>0</x:v>
      </x:c>
      <x:c r="V2375" s="9" t="n">
        <x:f>H2375*MAX(0,AB2374-O2375)*v01_OvercapLoss</x:f>
        <x:v>0</x:v>
      </x:c>
      <x:c r="W2375" s="9" t="n">
        <x:f>H2375*Y2374/(v01_ChildYears*4)</x:f>
        <x:v>0</x:v>
      </x:c>
      <x:c r="X2375" s="9" t="n">
        <x:f>H2375*Z2374/(v01_AdultYears*4)</x:f>
        <x:v>0</x:v>
      </x:c>
      <x:c r="Y2375" s="32" t="n">
        <x:f>Y2374+R2375-S2375-W2375-Y2374*V2375/AB2374</x:f>
        <x:v>14306.18539759397</x:v>
      </x:c>
      <x:c r="Z2375" s="32" t="n">
        <x:f>Z2374+W2375-X2375-T2375-Z2374*V2375/AB2374</x:f>
        <x:v>19354.456567879548</x:v>
      </x:c>
      <x:c r="AA2375" s="32" t="n">
        <x:f>AA2374+X2375-U2375-AA2374*V2375/AB2374</x:f>
        <x:v>11386.956063258198</x:v>
      </x:c>
      <x:c r="AB2375" s="10" t="n">
        <x:f>Y2375+Z2375+AA2375</x:f>
        <x:v>45047.59802873172</x:v>
      </x:c>
      <x:c r="AC2375" s="8" t="n">
        <x:f>IF(AND(v01_WinterTrigger=1,D2375=1,AB2374/AE2374&gt;=K2375),1,0)</x:f>
        <x:v>0</x:v>
      </x:c>
      <x:c r="AD2375" s="8" t="n">
        <x:f>H2375*IF(AND(OR(AB2374/AE2374&gt;=v01_FissionTrigger*N2375,AC2375=1),AB2374/AE2374*v01_DaughterShare&gt;=v01_MinDaughter),MAX(1,ROUND(AE2374*v01_FissionRate,0)),0)</x:f>
        <x:v>0</x:v>
      </x:c>
      <x:c r="AE2375" s="8" t="n">
        <x:f>IF(H2375=1,MAX(1,MIN(INDEX(v01_Smax,G2375),AE2374+AD2375)),AE2374)</x:f>
        <x:v>15</x:v>
      </x:c>
      <x:c r="AF2375" s="8" t="n">
        <x:f>MAX(0,AE2375-AE2374)</x:f>
        <x:v>0</x:v>
      </x:c>
      <x:c r="AG2375" s="9" t="str">
        <x:f>IF(AF2375&gt;0,B2375,"")</x:f>
      </x:c>
      <x:c r="AH2375" s="9" t="n">
        <x:f>IF(F2375&gt;=1,1,(1+v01_LowTiesShare*(AE2375-1))/AE2375)</x:f>
        <x:v>1</x:v>
      </x:c>
      <x:c r="AI2375" s="32" t="n">
        <x:f>(Z2375+v01_ElderCommons*INDEX(LM_Elder,G2375)*AA2375)*AH2375</x:f>
        <x:v>64139.732591141874</x:v>
      </x:c>
      <x:c r="AJ2375" s="32" t="n">
        <x:f>H2375*v01_CommonsCoef*AI2375^v01_CommonsExp*INDEX(LM_Commons,G2375)</x:f>
        <x:v>0</x:v>
      </x:c>
      <x:c r="AK2375" s="32" t="n">
        <x:f>H2375*v01_RoleScale*Arch_Roles*(AE2375*(INDEX(v01_ElderRolePerSett,G2375)*v01_OutElder*INDEX(LM_Elder,G2375)+INDEX(v01_ShamanPerSett,G2375)*v01_OutShaman)+Z2375*(INDEX(v01_PriestShare,G2375)*v01_OutPriest+INDEX(v01_ScribeShare,G2375)*v01_OutScribe*INDEX(LM_Scribe,G2375)+INDEX(v01_ScholarShare,G2375)*v01_OutScholar*INDEX(LM_Scholar,G2375)+INDEX(v01_ResearcherShare,G2375)*v01_OutResearcher*INDEX(LM_Researcher,G2375)))</x:f>
        <x:v>0</x:v>
      </x:c>
      <x:c r="AL2375" s="32" t="n">
        <x:f>H2375*v01_RoleScale*Arch_Roles*AE2375*INDEX(v01_MonasteryPerSett,G2375)*v01_OutMonastery*INDEX(LM_Monastery,G2375)</x:f>
        <x:v>0</x:v>
      </x:c>
      <x:c r="AM2375" s="32" t="n">
        <x:f>(AJ2375+AK2375+AL2375)/4*INDEX(LM_All,G2375)*INDEX(v01_Boon,G2375)*Arch_Insight</x:f>
        <x:v>0</x:v>
      </x:c>
      <x:c r="AN2375" s="32" t="n">
        <x:f>H2375*(v01_KHPerAdult*Z2375+v01_KHOfCommons*AJ2375/4*INDEX(LM_All,G2375))*v01_KHUsable*Arch_KH</x:f>
        <x:v>0</x:v>
      </x:c>
      <x:c r="AO2375" s="32" t="n">
        <x:f>MIN(AP2374+AN2375,AM2375*v01_KHMaxRatio)</x:f>
        <x:v>0</x:v>
      </x:c>
      <x:c r="AP2375" s="32" t="n">
        <x:f>AP2374+AN2375-AO2375</x:f>
        <x:v>0</x:v>
      </x:c>
      <x:c r="AQ2375" s="32" t="n">
        <x:f>AM2375+AO2375</x:f>
        <x:v>0</x:v>
      </x:c>
      <x:c r="AR2375" s="10" t="n">
        <x:f>IF(H2375=1,INDEX(v01_Req,G2375),0)</x:f>
        <x:v>0</x:v>
      </x:c>
      <x:c r="AS2375" s="32" t="n">
        <x:f>IF(H2375=1,IF(E2375=1,AS2374-AR2374,AS2374)+AQ2375,0)</x:f>
        <x:v>0</x:v>
      </x:c>
      <x:c r="AT2375" s="11" t="n">
        <x:f>IF(AR2375&gt;0,MIN(1,AS2375/AR2375),1)</x:f>
        <x:v>1</x:v>
      </x:c>
      <x:c r="AU2375" s="10" t="n">
        <x:f>AB2375/INDEX(v01_RepScale,G2375)</x:f>
        <x:v>90.09519605746344</x:v>
      </x:c>
      <x:c r="AV2375" s="32" t="n">
        <x:f>AM2375*60/v01_SeasonSeconds</x:f>
        <x:v>0</x:v>
      </x:c>
    </x:row>
    <x:row r="2376">
      <x:c r="A2376" s="8" t="n">
        <x:f>A2375+1</x:f>
        <x:v>2373</x:v>
      </x:c>
      <x:c r="B2376" s="9" t="n">
        <x:f>A2376*v01_SeasonSeconds/60</x:f>
        <x:v>593.25</x:v>
      </x:c>
      <x:c r="C2376" s="9" t="n">
        <x:f>A2376/4</x:f>
        <x:v>593.25</x:v>
      </x:c>
      <x:c r="D2376" s="8" t="n">
        <x:f>IF(MOD(A2376,4)=0,1,0)</x:f>
        <x:v>0</x:v>
      </x:c>
      <x:c r="E2376" s="8" t="n">
        <x:f>IF(AND(F2375&lt;=9,AS2375&gt;=AR2375),1,0)</x:f>
        <x:v>0</x:v>
      </x:c>
      <x:c r="F2376" s="8" t="n">
        <x:f>MIN(10,F2375+E2376)</x:f>
        <x:v>10</x:v>
      </x:c>
      <x:c r="G2376" s="8" t="n">
        <x:f>MIN(F2376,9)+1</x:f>
        <x:v>10</x:v>
      </x:c>
      <x:c r="H2376" s="8" t="n">
        <x:f>IF(F2376&lt;=9,1,0)</x:f>
        <x:v>0</x:v>
      </x:c>
      <x:c r="I2376" s="9" t="n">
        <x:f>MIN(10,F2375+IF(AR2375&gt;0,MIN(1,AS2375/AR2375),1))</x:f>
        <x:v>10</x:v>
      </x:c>
      <x:c r="J2376" s="32" t="n">
        <x:f>INDEX(v01_FoodCap,G2376)*Arch_FoodCap*EXP(v01_CapsByProject*SUMPRODUCT((Cap_Point&lt;=I2376)*(Cap_Kind="Food")*Cap_Ln))</x:f>
        <x:v>12000</x:v>
      </x:c>
      <x:c r="K2376" s="32" t="n">
        <x:f>J2376*MIN(1,v01_LeanBase*EXP(v01_CapsByProject*SUMPRODUCT((Cap_Point&lt;=I2376)*(Cap_Kind="Lean")*Cap_Ln)))</x:f>
        <x:v>12000</x:v>
      </x:c>
      <x:c r="L2376" s="10" t="n">
        <x:f>INDEX(v01_HousingCap,G2376)*EXP(v01_CapsByProject*SUMPRODUCT((Cap_Point&lt;=I2376)*(Cap_Kind="Housing")*Cap_Ln))</x:f>
        <x:v>20000</x:v>
      </x:c>
      <x:c r="M2376" s="10" t="n">
        <x:f>INDEX(v01_GroupCap,G2376)*v01_CohesionFactor*EXP(v01_CapsByProject*SUMPRODUCT((Cap_Point&lt;=I2376)*(Cap_Kind="Group")*Cap_Ln))</x:f>
        <x:v>1000000</x:v>
      </x:c>
      <x:c r="N2376" s="32" t="n">
        <x:f>MIN(J2376,L2376,M2376)</x:f>
        <x:v>12000</x:v>
      </x:c>
      <x:c r="O2376" s="10" t="n">
        <x:f>AE2375*N2376</x:f>
        <x:v>180000</x:v>
      </x:c>
      <x:c r="P2376" s="9" t="n">
        <x:f>MIN(1,(AB2375/(AE2375*IF(v01_GroupInCrowding=1,N2376,MIN(J2376,L2376))))^v01_CrowdingExp)</x:f>
        <x:v>0.00024569414295285325</x:v>
      </x:c>
      <x:c r="Q2376" s="9" t="n">
        <x:f>IF(D2376=1,INDEX(v01_WinterMult,G2376),1)</x:f>
        <x:v>1</x:v>
      </x:c>
      <x:c r="R2376" s="9" t="n">
        <x:f>H2376*Z2375*v01_WomenShare*v01_BaseFertility*INDEX(v01_FertMult,G2376)*Arch_Fertility*(1-P2376)</x:f>
        <x:v>0</x:v>
      </x:c>
      <x:c r="S2376" s="9" t="n">
        <x:f>H2376*Y2375*INDEX(v01_MortChild,G2376)/4*Q2376</x:f>
        <x:v>0</x:v>
      </x:c>
      <x:c r="T2376" s="9" t="n">
        <x:f>H2376*Z2375*INDEX(v01_MortAdult,G2376)*Arch_AdultMort/4*Q2376</x:f>
        <x:v>0</x:v>
      </x:c>
      <x:c r="U2376" s="9" t="n">
        <x:f>H2376*AA2375*INDEX(v01_MortElder,G2376)/4*Q2376</x:f>
        <x:v>0</x:v>
      </x:c>
      <x:c r="V2376" s="9" t="n">
        <x:f>H2376*MAX(0,AB2375-O2376)*v01_OvercapLoss</x:f>
        <x:v>0</x:v>
      </x:c>
      <x:c r="W2376" s="9" t="n">
        <x:f>H2376*Y2375/(v01_ChildYears*4)</x:f>
        <x:v>0</x:v>
      </x:c>
      <x:c r="X2376" s="9" t="n">
        <x:f>H2376*Z2375/(v01_AdultYears*4)</x:f>
        <x:v>0</x:v>
      </x:c>
      <x:c r="Y2376" s="32" t="n">
        <x:f>Y2375+R2376-S2376-W2376-Y2375*V2376/AB2375</x:f>
        <x:v>14306.18539759397</x:v>
      </x:c>
      <x:c r="Z2376" s="32" t="n">
        <x:f>Z2375+W2376-X2376-T2376-Z2375*V2376/AB2375</x:f>
        <x:v>19354.456567879548</x:v>
      </x:c>
      <x:c r="AA2376" s="32" t="n">
        <x:f>AA2375+X2376-U2376-AA2375*V2376/AB2375</x:f>
        <x:v>11386.956063258198</x:v>
      </x:c>
      <x:c r="AB2376" s="10" t="n">
        <x:f>Y2376+Z2376+AA2376</x:f>
        <x:v>45047.59802873172</x:v>
      </x:c>
      <x:c r="AC2376" s="8" t="n">
        <x:f>IF(AND(v01_WinterTrigger=1,D2376=1,AB2375/AE2375&gt;=K2376),1,0)</x:f>
        <x:v>0</x:v>
      </x:c>
      <x:c r="AD2376" s="8" t="n">
        <x:f>H2376*IF(AND(OR(AB2375/AE2375&gt;=v01_FissionTrigger*N2376,AC2376=1),AB2375/AE2375*v01_DaughterShare&gt;=v01_MinDaughter),MAX(1,ROUND(AE2375*v01_FissionRate,0)),0)</x:f>
        <x:v>0</x:v>
      </x:c>
      <x:c r="AE2376" s="8" t="n">
        <x:f>IF(H2376=1,MAX(1,MIN(INDEX(v01_Smax,G2376),AE2375+AD2376)),AE2375)</x:f>
        <x:v>15</x:v>
      </x:c>
      <x:c r="AF2376" s="8" t="n">
        <x:f>MAX(0,AE2376-AE2375)</x:f>
        <x:v>0</x:v>
      </x:c>
      <x:c r="AG2376" s="9" t="str">
        <x:f>IF(AF2376&gt;0,B2376,"")</x:f>
      </x:c>
      <x:c r="AH2376" s="9" t="n">
        <x:f>IF(F2376&gt;=1,1,(1+v01_LowTiesShare*(AE2376-1))/AE2376)</x:f>
        <x:v>1</x:v>
      </x:c>
      <x:c r="AI2376" s="32" t="n">
        <x:f>(Z2376+v01_ElderCommons*INDEX(LM_Elder,G2376)*AA2376)*AH2376</x:f>
        <x:v>64139.732591141874</x:v>
      </x:c>
      <x:c r="AJ2376" s="32" t="n">
        <x:f>H2376*v01_CommonsCoef*AI2376^v01_CommonsExp*INDEX(LM_Commons,G2376)</x:f>
        <x:v>0</x:v>
      </x:c>
      <x:c r="AK2376" s="32" t="n">
        <x:f>H2376*v01_RoleScale*Arch_Roles*(AE2376*(INDEX(v01_ElderRolePerSett,G2376)*v01_OutElder*INDEX(LM_Elder,G2376)+INDEX(v01_ShamanPerSett,G2376)*v01_OutShaman)+Z2376*(INDEX(v01_PriestShare,G2376)*v01_OutPriest+INDEX(v01_ScribeShare,G2376)*v01_OutScribe*INDEX(LM_Scribe,G2376)+INDEX(v01_ScholarShare,G2376)*v01_OutScholar*INDEX(LM_Scholar,G2376)+INDEX(v01_ResearcherShare,G2376)*v01_OutResearcher*INDEX(LM_Researcher,G2376)))</x:f>
        <x:v>0</x:v>
      </x:c>
      <x:c r="AL2376" s="32" t="n">
        <x:f>H2376*v01_RoleScale*Arch_Roles*AE2376*INDEX(v01_MonasteryPerSett,G2376)*v01_OutMonastery*INDEX(LM_Monastery,G2376)</x:f>
        <x:v>0</x:v>
      </x:c>
      <x:c r="AM2376" s="32" t="n">
        <x:f>(AJ2376+AK2376+AL2376)/4*INDEX(LM_All,G2376)*INDEX(v01_Boon,G2376)*Arch_Insight</x:f>
        <x:v>0</x:v>
      </x:c>
      <x:c r="AN2376" s="32" t="n">
        <x:f>H2376*(v01_KHPerAdult*Z2376+v01_KHOfCommons*AJ2376/4*INDEX(LM_All,G2376))*v01_KHUsable*Arch_KH</x:f>
        <x:v>0</x:v>
      </x:c>
      <x:c r="AO2376" s="32" t="n">
        <x:f>MIN(AP2375+AN2376,AM2376*v01_KHMaxRatio)</x:f>
        <x:v>0</x:v>
      </x:c>
      <x:c r="AP2376" s="32" t="n">
        <x:f>AP2375+AN2376-AO2376</x:f>
        <x:v>0</x:v>
      </x:c>
      <x:c r="AQ2376" s="32" t="n">
        <x:f>AM2376+AO2376</x:f>
        <x:v>0</x:v>
      </x:c>
      <x:c r="AR2376" s="10" t="n">
        <x:f>IF(H2376=1,INDEX(v01_Req,G2376),0)</x:f>
        <x:v>0</x:v>
      </x:c>
      <x:c r="AS2376" s="32" t="n">
        <x:f>IF(H2376=1,IF(E2376=1,AS2375-AR2375,AS2375)+AQ2376,0)</x:f>
        <x:v>0</x:v>
      </x:c>
      <x:c r="AT2376" s="11" t="n">
        <x:f>IF(AR2376&gt;0,MIN(1,AS2376/AR2376),1)</x:f>
        <x:v>1</x:v>
      </x:c>
      <x:c r="AU2376" s="10" t="n">
        <x:f>AB2376/INDEX(v01_RepScale,G2376)</x:f>
        <x:v>90.09519605746344</x:v>
      </x:c>
      <x:c r="AV2376" s="32" t="n">
        <x:f>AM2376*60/v01_SeasonSeconds</x:f>
        <x:v>0</x:v>
      </x:c>
    </x:row>
    <x:row r="2377">
      <x:c r="A2377" s="8" t="n">
        <x:f>A2376+1</x:f>
        <x:v>2374</x:v>
      </x:c>
      <x:c r="B2377" s="9" t="n">
        <x:f>A2377*v01_SeasonSeconds/60</x:f>
        <x:v>593.5</x:v>
      </x:c>
      <x:c r="C2377" s="9" t="n">
        <x:f>A2377/4</x:f>
        <x:v>593.5</x:v>
      </x:c>
      <x:c r="D2377" s="8" t="n">
        <x:f>IF(MOD(A2377,4)=0,1,0)</x:f>
        <x:v>0</x:v>
      </x:c>
      <x:c r="E2377" s="8" t="n">
        <x:f>IF(AND(F2376&lt;=9,AS2376&gt;=AR2376),1,0)</x:f>
        <x:v>0</x:v>
      </x:c>
      <x:c r="F2377" s="8" t="n">
        <x:f>MIN(10,F2376+E2377)</x:f>
        <x:v>10</x:v>
      </x:c>
      <x:c r="G2377" s="8" t="n">
        <x:f>MIN(F2377,9)+1</x:f>
        <x:v>10</x:v>
      </x:c>
      <x:c r="H2377" s="8" t="n">
        <x:f>IF(F2377&lt;=9,1,0)</x:f>
        <x:v>0</x:v>
      </x:c>
      <x:c r="I2377" s="9" t="n">
        <x:f>MIN(10,F2376+IF(AR2376&gt;0,MIN(1,AS2376/AR2376),1))</x:f>
        <x:v>10</x:v>
      </x:c>
      <x:c r="J2377" s="32" t="n">
        <x:f>INDEX(v01_FoodCap,G2377)*Arch_FoodCap*EXP(v01_CapsByProject*SUMPRODUCT((Cap_Point&lt;=I2377)*(Cap_Kind="Food")*Cap_Ln))</x:f>
        <x:v>12000</x:v>
      </x:c>
      <x:c r="K2377" s="32" t="n">
        <x:f>J2377*MIN(1,v01_LeanBase*EXP(v01_CapsByProject*SUMPRODUCT((Cap_Point&lt;=I2377)*(Cap_Kind="Lean")*Cap_Ln)))</x:f>
        <x:v>12000</x:v>
      </x:c>
      <x:c r="L2377" s="10" t="n">
        <x:f>INDEX(v01_HousingCap,G2377)*EXP(v01_CapsByProject*SUMPRODUCT((Cap_Point&lt;=I2377)*(Cap_Kind="Housing")*Cap_Ln))</x:f>
        <x:v>20000</x:v>
      </x:c>
      <x:c r="M2377" s="10" t="n">
        <x:f>INDEX(v01_GroupCap,G2377)*v01_CohesionFactor*EXP(v01_CapsByProject*SUMPRODUCT((Cap_Point&lt;=I2377)*(Cap_Kind="Group")*Cap_Ln))</x:f>
        <x:v>1000000</x:v>
      </x:c>
      <x:c r="N2377" s="32" t="n">
        <x:f>MIN(J2377,L2377,M2377)</x:f>
        <x:v>12000</x:v>
      </x:c>
      <x:c r="O2377" s="10" t="n">
        <x:f>AE2376*N2377</x:f>
        <x:v>180000</x:v>
      </x:c>
      <x:c r="P2377" s="9" t="n">
        <x:f>MIN(1,(AB2376/(AE2376*IF(v01_GroupInCrowding=1,N2377,MIN(J2377,L2377))))^v01_CrowdingExp)</x:f>
        <x:v>0.00024569414295285325</x:v>
      </x:c>
      <x:c r="Q2377" s="9" t="n">
        <x:f>IF(D2377=1,INDEX(v01_WinterMult,G2377),1)</x:f>
        <x:v>1</x:v>
      </x:c>
      <x:c r="R2377" s="9" t="n">
        <x:f>H2377*Z2376*v01_WomenShare*v01_BaseFertility*INDEX(v01_FertMult,G2377)*Arch_Fertility*(1-P2377)</x:f>
        <x:v>0</x:v>
      </x:c>
      <x:c r="S2377" s="9" t="n">
        <x:f>H2377*Y2376*INDEX(v01_MortChild,G2377)/4*Q2377</x:f>
        <x:v>0</x:v>
      </x:c>
      <x:c r="T2377" s="9" t="n">
        <x:f>H2377*Z2376*INDEX(v01_MortAdult,G2377)*Arch_AdultMort/4*Q2377</x:f>
        <x:v>0</x:v>
      </x:c>
      <x:c r="U2377" s="9" t="n">
        <x:f>H2377*AA2376*INDEX(v01_MortElder,G2377)/4*Q2377</x:f>
        <x:v>0</x:v>
      </x:c>
      <x:c r="V2377" s="9" t="n">
        <x:f>H2377*MAX(0,AB2376-O2377)*v01_OvercapLoss</x:f>
        <x:v>0</x:v>
      </x:c>
      <x:c r="W2377" s="9" t="n">
        <x:f>H2377*Y2376/(v01_ChildYears*4)</x:f>
        <x:v>0</x:v>
      </x:c>
      <x:c r="X2377" s="9" t="n">
        <x:f>H2377*Z2376/(v01_AdultYears*4)</x:f>
        <x:v>0</x:v>
      </x:c>
      <x:c r="Y2377" s="32" t="n">
        <x:f>Y2376+R2377-S2377-W2377-Y2376*V2377/AB2376</x:f>
        <x:v>14306.18539759397</x:v>
      </x:c>
      <x:c r="Z2377" s="32" t="n">
        <x:f>Z2376+W2377-X2377-T2377-Z2376*V2377/AB2376</x:f>
        <x:v>19354.456567879548</x:v>
      </x:c>
      <x:c r="AA2377" s="32" t="n">
        <x:f>AA2376+X2377-U2377-AA2376*V2377/AB2376</x:f>
        <x:v>11386.956063258198</x:v>
      </x:c>
      <x:c r="AB2377" s="10" t="n">
        <x:f>Y2377+Z2377+AA2377</x:f>
        <x:v>45047.59802873172</x:v>
      </x:c>
      <x:c r="AC2377" s="8" t="n">
        <x:f>IF(AND(v01_WinterTrigger=1,D2377=1,AB2376/AE2376&gt;=K2377),1,0)</x:f>
        <x:v>0</x:v>
      </x:c>
      <x:c r="AD2377" s="8" t="n">
        <x:f>H2377*IF(AND(OR(AB2376/AE2376&gt;=v01_FissionTrigger*N2377,AC2377=1),AB2376/AE2376*v01_DaughterShare&gt;=v01_MinDaughter),MAX(1,ROUND(AE2376*v01_FissionRate,0)),0)</x:f>
        <x:v>0</x:v>
      </x:c>
      <x:c r="AE2377" s="8" t="n">
        <x:f>IF(H2377=1,MAX(1,MIN(INDEX(v01_Smax,G2377),AE2376+AD2377)),AE2376)</x:f>
        <x:v>15</x:v>
      </x:c>
      <x:c r="AF2377" s="8" t="n">
        <x:f>MAX(0,AE2377-AE2376)</x:f>
        <x:v>0</x:v>
      </x:c>
      <x:c r="AG2377" s="9" t="str">
        <x:f>IF(AF2377&gt;0,B2377,"")</x:f>
      </x:c>
      <x:c r="AH2377" s="9" t="n">
        <x:f>IF(F2377&gt;=1,1,(1+v01_LowTiesShare*(AE2377-1))/AE2377)</x:f>
        <x:v>1</x:v>
      </x:c>
      <x:c r="AI2377" s="32" t="n">
        <x:f>(Z2377+v01_ElderCommons*INDEX(LM_Elder,G2377)*AA2377)*AH2377</x:f>
        <x:v>64139.732591141874</x:v>
      </x:c>
      <x:c r="AJ2377" s="32" t="n">
        <x:f>H2377*v01_CommonsCoef*AI2377^v01_CommonsExp*INDEX(LM_Commons,G2377)</x:f>
        <x:v>0</x:v>
      </x:c>
      <x:c r="AK2377" s="32" t="n">
        <x:f>H2377*v01_RoleScale*Arch_Roles*(AE2377*(INDEX(v01_ElderRolePerSett,G2377)*v01_OutElder*INDEX(LM_Elder,G2377)+INDEX(v01_ShamanPerSett,G2377)*v01_OutShaman)+Z2377*(INDEX(v01_PriestShare,G2377)*v01_OutPriest+INDEX(v01_ScribeShare,G2377)*v01_OutScribe*INDEX(LM_Scribe,G2377)+INDEX(v01_ScholarShare,G2377)*v01_OutScholar*INDEX(LM_Scholar,G2377)+INDEX(v01_ResearcherShare,G2377)*v01_OutResearcher*INDEX(LM_Researcher,G2377)))</x:f>
        <x:v>0</x:v>
      </x:c>
      <x:c r="AL2377" s="32" t="n">
        <x:f>H2377*v01_RoleScale*Arch_Roles*AE2377*INDEX(v01_MonasteryPerSett,G2377)*v01_OutMonastery*INDEX(LM_Monastery,G2377)</x:f>
        <x:v>0</x:v>
      </x:c>
      <x:c r="AM2377" s="32" t="n">
        <x:f>(AJ2377+AK2377+AL2377)/4*INDEX(LM_All,G2377)*INDEX(v01_Boon,G2377)*Arch_Insight</x:f>
        <x:v>0</x:v>
      </x:c>
      <x:c r="AN2377" s="32" t="n">
        <x:f>H2377*(v01_KHPerAdult*Z2377+v01_KHOfCommons*AJ2377/4*INDEX(LM_All,G2377))*v01_KHUsable*Arch_KH</x:f>
        <x:v>0</x:v>
      </x:c>
      <x:c r="AO2377" s="32" t="n">
        <x:f>MIN(AP2376+AN2377,AM2377*v01_KHMaxRatio)</x:f>
        <x:v>0</x:v>
      </x:c>
      <x:c r="AP2377" s="32" t="n">
        <x:f>AP2376+AN2377-AO2377</x:f>
        <x:v>0</x:v>
      </x:c>
      <x:c r="AQ2377" s="32" t="n">
        <x:f>AM2377+AO2377</x:f>
        <x:v>0</x:v>
      </x:c>
      <x:c r="AR2377" s="10" t="n">
        <x:f>IF(H2377=1,INDEX(v01_Req,G2377),0)</x:f>
        <x:v>0</x:v>
      </x:c>
      <x:c r="AS2377" s="32" t="n">
        <x:f>IF(H2377=1,IF(E2377=1,AS2376-AR2376,AS2376)+AQ2377,0)</x:f>
        <x:v>0</x:v>
      </x:c>
      <x:c r="AT2377" s="11" t="n">
        <x:f>IF(AR2377&gt;0,MIN(1,AS2377/AR2377),1)</x:f>
        <x:v>1</x:v>
      </x:c>
      <x:c r="AU2377" s="10" t="n">
        <x:f>AB2377/INDEX(v01_RepScale,G2377)</x:f>
        <x:v>90.09519605746344</x:v>
      </x:c>
      <x:c r="AV2377" s="32" t="n">
        <x:f>AM2377*60/v01_SeasonSeconds</x:f>
        <x:v>0</x:v>
      </x:c>
    </x:row>
    <x:row r="2378">
      <x:c r="A2378" s="8" t="n">
        <x:f>A2377+1</x:f>
        <x:v>2375</x:v>
      </x:c>
      <x:c r="B2378" s="9" t="n">
        <x:f>A2378*v01_SeasonSeconds/60</x:f>
        <x:v>593.75</x:v>
      </x:c>
      <x:c r="C2378" s="9" t="n">
        <x:f>A2378/4</x:f>
        <x:v>593.75</x:v>
      </x:c>
      <x:c r="D2378" s="8" t="n">
        <x:f>IF(MOD(A2378,4)=0,1,0)</x:f>
        <x:v>0</x:v>
      </x:c>
      <x:c r="E2378" s="8" t="n">
        <x:f>IF(AND(F2377&lt;=9,AS2377&gt;=AR2377),1,0)</x:f>
        <x:v>0</x:v>
      </x:c>
      <x:c r="F2378" s="8" t="n">
        <x:f>MIN(10,F2377+E2378)</x:f>
        <x:v>10</x:v>
      </x:c>
      <x:c r="G2378" s="8" t="n">
        <x:f>MIN(F2378,9)+1</x:f>
        <x:v>10</x:v>
      </x:c>
      <x:c r="H2378" s="8" t="n">
        <x:f>IF(F2378&lt;=9,1,0)</x:f>
        <x:v>0</x:v>
      </x:c>
      <x:c r="I2378" s="9" t="n">
        <x:f>MIN(10,F2377+IF(AR2377&gt;0,MIN(1,AS2377/AR2377),1))</x:f>
        <x:v>10</x:v>
      </x:c>
      <x:c r="J2378" s="32" t="n">
        <x:f>INDEX(v01_FoodCap,G2378)*Arch_FoodCap*EXP(v01_CapsByProject*SUMPRODUCT((Cap_Point&lt;=I2378)*(Cap_Kind="Food")*Cap_Ln))</x:f>
        <x:v>12000</x:v>
      </x:c>
      <x:c r="K2378" s="32" t="n">
        <x:f>J2378*MIN(1,v01_LeanBase*EXP(v01_CapsByProject*SUMPRODUCT((Cap_Point&lt;=I2378)*(Cap_Kind="Lean")*Cap_Ln)))</x:f>
        <x:v>12000</x:v>
      </x:c>
      <x:c r="L2378" s="10" t="n">
        <x:f>INDEX(v01_HousingCap,G2378)*EXP(v01_CapsByProject*SUMPRODUCT((Cap_Point&lt;=I2378)*(Cap_Kind="Housing")*Cap_Ln))</x:f>
        <x:v>20000</x:v>
      </x:c>
      <x:c r="M2378" s="10" t="n">
        <x:f>INDEX(v01_GroupCap,G2378)*v01_CohesionFactor*EXP(v01_CapsByProject*SUMPRODUCT((Cap_Point&lt;=I2378)*(Cap_Kind="Group")*Cap_Ln))</x:f>
        <x:v>1000000</x:v>
      </x:c>
      <x:c r="N2378" s="32" t="n">
        <x:f>MIN(J2378,L2378,M2378)</x:f>
        <x:v>12000</x:v>
      </x:c>
      <x:c r="O2378" s="10" t="n">
        <x:f>AE2377*N2378</x:f>
        <x:v>180000</x:v>
      </x:c>
      <x:c r="P2378" s="9" t="n">
        <x:f>MIN(1,(AB2377/(AE2377*IF(v01_GroupInCrowding=1,N2378,MIN(J2378,L2378))))^v01_CrowdingExp)</x:f>
        <x:v>0.00024569414295285325</x:v>
      </x:c>
      <x:c r="Q2378" s="9" t="n">
        <x:f>IF(D2378=1,INDEX(v01_WinterMult,G2378),1)</x:f>
        <x:v>1</x:v>
      </x:c>
      <x:c r="R2378" s="9" t="n">
        <x:f>H2378*Z2377*v01_WomenShare*v01_BaseFertility*INDEX(v01_FertMult,G2378)*Arch_Fertility*(1-P2378)</x:f>
        <x:v>0</x:v>
      </x:c>
      <x:c r="S2378" s="9" t="n">
        <x:f>H2378*Y2377*INDEX(v01_MortChild,G2378)/4*Q2378</x:f>
        <x:v>0</x:v>
      </x:c>
      <x:c r="T2378" s="9" t="n">
        <x:f>H2378*Z2377*INDEX(v01_MortAdult,G2378)*Arch_AdultMort/4*Q2378</x:f>
        <x:v>0</x:v>
      </x:c>
      <x:c r="U2378" s="9" t="n">
        <x:f>H2378*AA2377*INDEX(v01_MortElder,G2378)/4*Q2378</x:f>
        <x:v>0</x:v>
      </x:c>
      <x:c r="V2378" s="9" t="n">
        <x:f>H2378*MAX(0,AB2377-O2378)*v01_OvercapLoss</x:f>
        <x:v>0</x:v>
      </x:c>
      <x:c r="W2378" s="9" t="n">
        <x:f>H2378*Y2377/(v01_ChildYears*4)</x:f>
        <x:v>0</x:v>
      </x:c>
      <x:c r="X2378" s="9" t="n">
        <x:f>H2378*Z2377/(v01_AdultYears*4)</x:f>
        <x:v>0</x:v>
      </x:c>
      <x:c r="Y2378" s="32" t="n">
        <x:f>Y2377+R2378-S2378-W2378-Y2377*V2378/AB2377</x:f>
        <x:v>14306.18539759397</x:v>
      </x:c>
      <x:c r="Z2378" s="32" t="n">
        <x:f>Z2377+W2378-X2378-T2378-Z2377*V2378/AB2377</x:f>
        <x:v>19354.456567879548</x:v>
      </x:c>
      <x:c r="AA2378" s="32" t="n">
        <x:f>AA2377+X2378-U2378-AA2377*V2378/AB2377</x:f>
        <x:v>11386.956063258198</x:v>
      </x:c>
      <x:c r="AB2378" s="10" t="n">
        <x:f>Y2378+Z2378+AA2378</x:f>
        <x:v>45047.59802873172</x:v>
      </x:c>
      <x:c r="AC2378" s="8" t="n">
        <x:f>IF(AND(v01_WinterTrigger=1,D2378=1,AB2377/AE2377&gt;=K2378),1,0)</x:f>
        <x:v>0</x:v>
      </x:c>
      <x:c r="AD2378" s="8" t="n">
        <x:f>H2378*IF(AND(OR(AB2377/AE2377&gt;=v01_FissionTrigger*N2378,AC2378=1),AB2377/AE2377*v01_DaughterShare&gt;=v01_MinDaughter),MAX(1,ROUND(AE2377*v01_FissionRate,0)),0)</x:f>
        <x:v>0</x:v>
      </x:c>
      <x:c r="AE2378" s="8" t="n">
        <x:f>IF(H2378=1,MAX(1,MIN(INDEX(v01_Smax,G2378),AE2377+AD2378)),AE2377)</x:f>
        <x:v>15</x:v>
      </x:c>
      <x:c r="AF2378" s="8" t="n">
        <x:f>MAX(0,AE2378-AE2377)</x:f>
        <x:v>0</x:v>
      </x:c>
      <x:c r="AG2378" s="9" t="str">
        <x:f>IF(AF2378&gt;0,B2378,"")</x:f>
      </x:c>
      <x:c r="AH2378" s="9" t="n">
        <x:f>IF(F2378&gt;=1,1,(1+v01_LowTiesShare*(AE2378-1))/AE2378)</x:f>
        <x:v>1</x:v>
      </x:c>
      <x:c r="AI2378" s="32" t="n">
        <x:f>(Z2378+v01_ElderCommons*INDEX(LM_Elder,G2378)*AA2378)*AH2378</x:f>
        <x:v>64139.732591141874</x:v>
      </x:c>
      <x:c r="AJ2378" s="32" t="n">
        <x:f>H2378*v01_CommonsCoef*AI2378^v01_CommonsExp*INDEX(LM_Commons,G2378)</x:f>
        <x:v>0</x:v>
      </x:c>
      <x:c r="AK2378" s="32" t="n">
        <x:f>H2378*v01_RoleScale*Arch_Roles*(AE2378*(INDEX(v01_ElderRolePerSett,G2378)*v01_OutElder*INDEX(LM_Elder,G2378)+INDEX(v01_ShamanPerSett,G2378)*v01_OutShaman)+Z2378*(INDEX(v01_PriestShare,G2378)*v01_OutPriest+INDEX(v01_ScribeShare,G2378)*v01_OutScribe*INDEX(LM_Scribe,G2378)+INDEX(v01_ScholarShare,G2378)*v01_OutScholar*INDEX(LM_Scholar,G2378)+INDEX(v01_ResearcherShare,G2378)*v01_OutResearcher*INDEX(LM_Researcher,G2378)))</x:f>
        <x:v>0</x:v>
      </x:c>
      <x:c r="AL2378" s="32" t="n">
        <x:f>H2378*v01_RoleScale*Arch_Roles*AE2378*INDEX(v01_MonasteryPerSett,G2378)*v01_OutMonastery*INDEX(LM_Monastery,G2378)</x:f>
        <x:v>0</x:v>
      </x:c>
      <x:c r="AM2378" s="32" t="n">
        <x:f>(AJ2378+AK2378+AL2378)/4*INDEX(LM_All,G2378)*INDEX(v01_Boon,G2378)*Arch_Insight</x:f>
        <x:v>0</x:v>
      </x:c>
      <x:c r="AN2378" s="32" t="n">
        <x:f>H2378*(v01_KHPerAdult*Z2378+v01_KHOfCommons*AJ2378/4*INDEX(LM_All,G2378))*v01_KHUsable*Arch_KH</x:f>
        <x:v>0</x:v>
      </x:c>
      <x:c r="AO2378" s="32" t="n">
        <x:f>MIN(AP2377+AN2378,AM2378*v01_KHMaxRatio)</x:f>
        <x:v>0</x:v>
      </x:c>
      <x:c r="AP2378" s="32" t="n">
        <x:f>AP2377+AN2378-AO2378</x:f>
        <x:v>0</x:v>
      </x:c>
      <x:c r="AQ2378" s="32" t="n">
        <x:f>AM2378+AO2378</x:f>
        <x:v>0</x:v>
      </x:c>
      <x:c r="AR2378" s="10" t="n">
        <x:f>IF(H2378=1,INDEX(v01_Req,G2378),0)</x:f>
        <x:v>0</x:v>
      </x:c>
      <x:c r="AS2378" s="32" t="n">
        <x:f>IF(H2378=1,IF(E2378=1,AS2377-AR2377,AS2377)+AQ2378,0)</x:f>
        <x:v>0</x:v>
      </x:c>
      <x:c r="AT2378" s="11" t="n">
        <x:f>IF(AR2378&gt;0,MIN(1,AS2378/AR2378),1)</x:f>
        <x:v>1</x:v>
      </x:c>
      <x:c r="AU2378" s="10" t="n">
        <x:f>AB2378/INDEX(v01_RepScale,G2378)</x:f>
        <x:v>90.09519605746344</x:v>
      </x:c>
      <x:c r="AV2378" s="32" t="n">
        <x:f>AM2378*60/v01_SeasonSeconds</x:f>
        <x:v>0</x:v>
      </x:c>
    </x:row>
    <x:row r="2379">
      <x:c r="A2379" s="8" t="n">
        <x:f>A2378+1</x:f>
        <x:v>2376</x:v>
      </x:c>
      <x:c r="B2379" s="9" t="n">
        <x:f>A2379*v01_SeasonSeconds/60</x:f>
        <x:v>594</x:v>
      </x:c>
      <x:c r="C2379" s="9" t="n">
        <x:f>A2379/4</x:f>
        <x:v>594</x:v>
      </x:c>
      <x:c r="D2379" s="8" t="n">
        <x:f>IF(MOD(A2379,4)=0,1,0)</x:f>
        <x:v>1</x:v>
      </x:c>
      <x:c r="E2379" s="8" t="n">
        <x:f>IF(AND(F2378&lt;=9,AS2378&gt;=AR2378),1,0)</x:f>
        <x:v>0</x:v>
      </x:c>
      <x:c r="F2379" s="8" t="n">
        <x:f>MIN(10,F2378+E2379)</x:f>
        <x:v>10</x:v>
      </x:c>
      <x:c r="G2379" s="8" t="n">
        <x:f>MIN(F2379,9)+1</x:f>
        <x:v>10</x:v>
      </x:c>
      <x:c r="H2379" s="8" t="n">
        <x:f>IF(F2379&lt;=9,1,0)</x:f>
        <x:v>0</x:v>
      </x:c>
      <x:c r="I2379" s="9" t="n">
        <x:f>MIN(10,F2378+IF(AR2378&gt;0,MIN(1,AS2378/AR2378),1))</x:f>
        <x:v>10</x:v>
      </x:c>
      <x:c r="J2379" s="32" t="n">
        <x:f>INDEX(v01_FoodCap,G2379)*Arch_FoodCap*EXP(v01_CapsByProject*SUMPRODUCT((Cap_Point&lt;=I2379)*(Cap_Kind="Food")*Cap_Ln))</x:f>
        <x:v>12000</x:v>
      </x:c>
      <x:c r="K2379" s="32" t="n">
        <x:f>J2379*MIN(1,v01_LeanBase*EXP(v01_CapsByProject*SUMPRODUCT((Cap_Point&lt;=I2379)*(Cap_Kind="Lean")*Cap_Ln)))</x:f>
        <x:v>12000</x:v>
      </x:c>
      <x:c r="L2379" s="10" t="n">
        <x:f>INDEX(v01_HousingCap,G2379)*EXP(v01_CapsByProject*SUMPRODUCT((Cap_Point&lt;=I2379)*(Cap_Kind="Housing")*Cap_Ln))</x:f>
        <x:v>20000</x:v>
      </x:c>
      <x:c r="M2379" s="10" t="n">
        <x:f>INDEX(v01_GroupCap,G2379)*v01_CohesionFactor*EXP(v01_CapsByProject*SUMPRODUCT((Cap_Point&lt;=I2379)*(Cap_Kind="Group")*Cap_Ln))</x:f>
        <x:v>1000000</x:v>
      </x:c>
      <x:c r="N2379" s="32" t="n">
        <x:f>MIN(J2379,L2379,M2379)</x:f>
        <x:v>12000</x:v>
      </x:c>
      <x:c r="O2379" s="10" t="n">
        <x:f>AE2378*N2379</x:f>
        <x:v>180000</x:v>
      </x:c>
      <x:c r="P2379" s="9" t="n">
        <x:f>MIN(1,(AB2378/(AE2378*IF(v01_GroupInCrowding=1,N2379,MIN(J2379,L2379))))^v01_CrowdingExp)</x:f>
        <x:v>0.00024569414295285325</x:v>
      </x:c>
      <x:c r="Q2379" s="9" t="n">
        <x:f>IF(D2379=1,INDEX(v01_WinterMult,G2379),1)</x:f>
        <x:v>1</x:v>
      </x:c>
      <x:c r="R2379" s="9" t="n">
        <x:f>H2379*Z2378*v01_WomenShare*v01_BaseFertility*INDEX(v01_FertMult,G2379)*Arch_Fertility*(1-P2379)</x:f>
        <x:v>0</x:v>
      </x:c>
      <x:c r="S2379" s="9" t="n">
        <x:f>H2379*Y2378*INDEX(v01_MortChild,G2379)/4*Q2379</x:f>
        <x:v>0</x:v>
      </x:c>
      <x:c r="T2379" s="9" t="n">
        <x:f>H2379*Z2378*INDEX(v01_MortAdult,G2379)*Arch_AdultMort/4*Q2379</x:f>
        <x:v>0</x:v>
      </x:c>
      <x:c r="U2379" s="9" t="n">
        <x:f>H2379*AA2378*INDEX(v01_MortElder,G2379)/4*Q2379</x:f>
        <x:v>0</x:v>
      </x:c>
      <x:c r="V2379" s="9" t="n">
        <x:f>H2379*MAX(0,AB2378-O2379)*v01_OvercapLoss</x:f>
        <x:v>0</x:v>
      </x:c>
      <x:c r="W2379" s="9" t="n">
        <x:f>H2379*Y2378/(v01_ChildYears*4)</x:f>
        <x:v>0</x:v>
      </x:c>
      <x:c r="X2379" s="9" t="n">
        <x:f>H2379*Z2378/(v01_AdultYears*4)</x:f>
        <x:v>0</x:v>
      </x:c>
      <x:c r="Y2379" s="32" t="n">
        <x:f>Y2378+R2379-S2379-W2379-Y2378*V2379/AB2378</x:f>
        <x:v>14306.18539759397</x:v>
      </x:c>
      <x:c r="Z2379" s="32" t="n">
        <x:f>Z2378+W2379-X2379-T2379-Z2378*V2379/AB2378</x:f>
        <x:v>19354.456567879548</x:v>
      </x:c>
      <x:c r="AA2379" s="32" t="n">
        <x:f>AA2378+X2379-U2379-AA2378*V2379/AB2378</x:f>
        <x:v>11386.956063258198</x:v>
      </x:c>
      <x:c r="AB2379" s="10" t="n">
        <x:f>Y2379+Z2379+AA2379</x:f>
        <x:v>45047.59802873172</x:v>
      </x:c>
      <x:c r="AC2379" s="8" t="n">
        <x:f>IF(AND(v01_WinterTrigger=1,D2379=1,AB2378/AE2378&gt;=K2379),1,0)</x:f>
        <x:v>0</x:v>
      </x:c>
      <x:c r="AD2379" s="8" t="n">
        <x:f>H2379*IF(AND(OR(AB2378/AE2378&gt;=v01_FissionTrigger*N2379,AC2379=1),AB2378/AE2378*v01_DaughterShare&gt;=v01_MinDaughter),MAX(1,ROUND(AE2378*v01_FissionRate,0)),0)</x:f>
        <x:v>0</x:v>
      </x:c>
      <x:c r="AE2379" s="8" t="n">
        <x:f>IF(H2379=1,MAX(1,MIN(INDEX(v01_Smax,G2379),AE2378+AD2379)),AE2378)</x:f>
        <x:v>15</x:v>
      </x:c>
      <x:c r="AF2379" s="8" t="n">
        <x:f>MAX(0,AE2379-AE2378)</x:f>
        <x:v>0</x:v>
      </x:c>
      <x:c r="AG2379" s="9" t="str">
        <x:f>IF(AF2379&gt;0,B2379,"")</x:f>
      </x:c>
      <x:c r="AH2379" s="9" t="n">
        <x:f>IF(F2379&gt;=1,1,(1+v01_LowTiesShare*(AE2379-1))/AE2379)</x:f>
        <x:v>1</x:v>
      </x:c>
      <x:c r="AI2379" s="32" t="n">
        <x:f>(Z2379+v01_ElderCommons*INDEX(LM_Elder,G2379)*AA2379)*AH2379</x:f>
        <x:v>64139.732591141874</x:v>
      </x:c>
      <x:c r="AJ2379" s="32" t="n">
        <x:f>H2379*v01_CommonsCoef*AI2379^v01_CommonsExp*INDEX(LM_Commons,G2379)</x:f>
        <x:v>0</x:v>
      </x:c>
      <x:c r="AK2379" s="32" t="n">
        <x:f>H2379*v01_RoleScale*Arch_Roles*(AE2379*(INDEX(v01_ElderRolePerSett,G2379)*v01_OutElder*INDEX(LM_Elder,G2379)+INDEX(v01_ShamanPerSett,G2379)*v01_OutShaman)+Z2379*(INDEX(v01_PriestShare,G2379)*v01_OutPriest+INDEX(v01_ScribeShare,G2379)*v01_OutScribe*INDEX(LM_Scribe,G2379)+INDEX(v01_ScholarShare,G2379)*v01_OutScholar*INDEX(LM_Scholar,G2379)+INDEX(v01_ResearcherShare,G2379)*v01_OutResearcher*INDEX(LM_Researcher,G2379)))</x:f>
        <x:v>0</x:v>
      </x:c>
      <x:c r="AL2379" s="32" t="n">
        <x:f>H2379*v01_RoleScale*Arch_Roles*AE2379*INDEX(v01_MonasteryPerSett,G2379)*v01_OutMonastery*INDEX(LM_Monastery,G2379)</x:f>
        <x:v>0</x:v>
      </x:c>
      <x:c r="AM2379" s="32" t="n">
        <x:f>(AJ2379+AK2379+AL2379)/4*INDEX(LM_All,G2379)*INDEX(v01_Boon,G2379)*Arch_Insight</x:f>
        <x:v>0</x:v>
      </x:c>
      <x:c r="AN2379" s="32" t="n">
        <x:f>H2379*(v01_KHPerAdult*Z2379+v01_KHOfCommons*AJ2379/4*INDEX(LM_All,G2379))*v01_KHUsable*Arch_KH</x:f>
        <x:v>0</x:v>
      </x:c>
      <x:c r="AO2379" s="32" t="n">
        <x:f>MIN(AP2378+AN2379,AM2379*v01_KHMaxRatio)</x:f>
        <x:v>0</x:v>
      </x:c>
      <x:c r="AP2379" s="32" t="n">
        <x:f>AP2378+AN2379-AO2379</x:f>
        <x:v>0</x:v>
      </x:c>
      <x:c r="AQ2379" s="32" t="n">
        <x:f>AM2379+AO2379</x:f>
        <x:v>0</x:v>
      </x:c>
      <x:c r="AR2379" s="10" t="n">
        <x:f>IF(H2379=1,INDEX(v01_Req,G2379),0)</x:f>
        <x:v>0</x:v>
      </x:c>
      <x:c r="AS2379" s="32" t="n">
        <x:f>IF(H2379=1,IF(E2379=1,AS2378-AR2378,AS2378)+AQ2379,0)</x:f>
        <x:v>0</x:v>
      </x:c>
      <x:c r="AT2379" s="11" t="n">
        <x:f>IF(AR2379&gt;0,MIN(1,AS2379/AR2379),1)</x:f>
        <x:v>1</x:v>
      </x:c>
      <x:c r="AU2379" s="10" t="n">
        <x:f>AB2379/INDEX(v01_RepScale,G2379)</x:f>
        <x:v>90.09519605746344</x:v>
      </x:c>
      <x:c r="AV2379" s="32" t="n">
        <x:f>AM2379*60/v01_SeasonSeconds</x:f>
        <x:v>0</x:v>
      </x:c>
    </x:row>
    <x:row r="2380">
      <x:c r="A2380" s="8" t="n">
        <x:f>A2379+1</x:f>
        <x:v>2377</x:v>
      </x:c>
      <x:c r="B2380" s="9" t="n">
        <x:f>A2380*v01_SeasonSeconds/60</x:f>
        <x:v>594.25</x:v>
      </x:c>
      <x:c r="C2380" s="9" t="n">
        <x:f>A2380/4</x:f>
        <x:v>594.25</x:v>
      </x:c>
      <x:c r="D2380" s="8" t="n">
        <x:f>IF(MOD(A2380,4)=0,1,0)</x:f>
        <x:v>0</x:v>
      </x:c>
      <x:c r="E2380" s="8" t="n">
        <x:f>IF(AND(F2379&lt;=9,AS2379&gt;=AR2379),1,0)</x:f>
        <x:v>0</x:v>
      </x:c>
      <x:c r="F2380" s="8" t="n">
        <x:f>MIN(10,F2379+E2380)</x:f>
        <x:v>10</x:v>
      </x:c>
      <x:c r="G2380" s="8" t="n">
        <x:f>MIN(F2380,9)+1</x:f>
        <x:v>10</x:v>
      </x:c>
      <x:c r="H2380" s="8" t="n">
        <x:f>IF(F2380&lt;=9,1,0)</x:f>
        <x:v>0</x:v>
      </x:c>
      <x:c r="I2380" s="9" t="n">
        <x:f>MIN(10,F2379+IF(AR2379&gt;0,MIN(1,AS2379/AR2379),1))</x:f>
        <x:v>10</x:v>
      </x:c>
      <x:c r="J2380" s="32" t="n">
        <x:f>INDEX(v01_FoodCap,G2380)*Arch_FoodCap*EXP(v01_CapsByProject*SUMPRODUCT((Cap_Point&lt;=I2380)*(Cap_Kind="Food")*Cap_Ln))</x:f>
        <x:v>12000</x:v>
      </x:c>
      <x:c r="K2380" s="32" t="n">
        <x:f>J2380*MIN(1,v01_LeanBase*EXP(v01_CapsByProject*SUMPRODUCT((Cap_Point&lt;=I2380)*(Cap_Kind="Lean")*Cap_Ln)))</x:f>
        <x:v>12000</x:v>
      </x:c>
      <x:c r="L2380" s="10" t="n">
        <x:f>INDEX(v01_HousingCap,G2380)*EXP(v01_CapsByProject*SUMPRODUCT((Cap_Point&lt;=I2380)*(Cap_Kind="Housing")*Cap_Ln))</x:f>
        <x:v>20000</x:v>
      </x:c>
      <x:c r="M2380" s="10" t="n">
        <x:f>INDEX(v01_GroupCap,G2380)*v01_CohesionFactor*EXP(v01_CapsByProject*SUMPRODUCT((Cap_Point&lt;=I2380)*(Cap_Kind="Group")*Cap_Ln))</x:f>
        <x:v>1000000</x:v>
      </x:c>
      <x:c r="N2380" s="32" t="n">
        <x:f>MIN(J2380,L2380,M2380)</x:f>
        <x:v>12000</x:v>
      </x:c>
      <x:c r="O2380" s="10" t="n">
        <x:f>AE2379*N2380</x:f>
        <x:v>180000</x:v>
      </x:c>
      <x:c r="P2380" s="9" t="n">
        <x:f>MIN(1,(AB2379/(AE2379*IF(v01_GroupInCrowding=1,N2380,MIN(J2380,L2380))))^v01_CrowdingExp)</x:f>
        <x:v>0.00024569414295285325</x:v>
      </x:c>
      <x:c r="Q2380" s="9" t="n">
        <x:f>IF(D2380=1,INDEX(v01_WinterMult,G2380),1)</x:f>
        <x:v>1</x:v>
      </x:c>
      <x:c r="R2380" s="9" t="n">
        <x:f>H2380*Z2379*v01_WomenShare*v01_BaseFertility*INDEX(v01_FertMult,G2380)*Arch_Fertility*(1-P2380)</x:f>
        <x:v>0</x:v>
      </x:c>
      <x:c r="S2380" s="9" t="n">
        <x:f>H2380*Y2379*INDEX(v01_MortChild,G2380)/4*Q2380</x:f>
        <x:v>0</x:v>
      </x:c>
      <x:c r="T2380" s="9" t="n">
        <x:f>H2380*Z2379*INDEX(v01_MortAdult,G2380)*Arch_AdultMort/4*Q2380</x:f>
        <x:v>0</x:v>
      </x:c>
      <x:c r="U2380" s="9" t="n">
        <x:f>H2380*AA2379*INDEX(v01_MortElder,G2380)/4*Q2380</x:f>
        <x:v>0</x:v>
      </x:c>
      <x:c r="V2380" s="9" t="n">
        <x:f>H2380*MAX(0,AB2379-O2380)*v01_OvercapLoss</x:f>
        <x:v>0</x:v>
      </x:c>
      <x:c r="W2380" s="9" t="n">
        <x:f>H2380*Y2379/(v01_ChildYears*4)</x:f>
        <x:v>0</x:v>
      </x:c>
      <x:c r="X2380" s="9" t="n">
        <x:f>H2380*Z2379/(v01_AdultYears*4)</x:f>
        <x:v>0</x:v>
      </x:c>
      <x:c r="Y2380" s="32" t="n">
        <x:f>Y2379+R2380-S2380-W2380-Y2379*V2380/AB2379</x:f>
        <x:v>14306.18539759397</x:v>
      </x:c>
      <x:c r="Z2380" s="32" t="n">
        <x:f>Z2379+W2380-X2380-T2380-Z2379*V2380/AB2379</x:f>
        <x:v>19354.456567879548</x:v>
      </x:c>
      <x:c r="AA2380" s="32" t="n">
        <x:f>AA2379+X2380-U2380-AA2379*V2380/AB2379</x:f>
        <x:v>11386.956063258198</x:v>
      </x:c>
      <x:c r="AB2380" s="10" t="n">
        <x:f>Y2380+Z2380+AA2380</x:f>
        <x:v>45047.59802873172</x:v>
      </x:c>
      <x:c r="AC2380" s="8" t="n">
        <x:f>IF(AND(v01_WinterTrigger=1,D2380=1,AB2379/AE2379&gt;=K2380),1,0)</x:f>
        <x:v>0</x:v>
      </x:c>
      <x:c r="AD2380" s="8" t="n">
        <x:f>H2380*IF(AND(OR(AB2379/AE2379&gt;=v01_FissionTrigger*N2380,AC2380=1),AB2379/AE2379*v01_DaughterShare&gt;=v01_MinDaughter),MAX(1,ROUND(AE2379*v01_FissionRate,0)),0)</x:f>
        <x:v>0</x:v>
      </x:c>
      <x:c r="AE2380" s="8" t="n">
        <x:f>IF(H2380=1,MAX(1,MIN(INDEX(v01_Smax,G2380),AE2379+AD2380)),AE2379)</x:f>
        <x:v>15</x:v>
      </x:c>
      <x:c r="AF2380" s="8" t="n">
        <x:f>MAX(0,AE2380-AE2379)</x:f>
        <x:v>0</x:v>
      </x:c>
      <x:c r="AG2380" s="9" t="str">
        <x:f>IF(AF2380&gt;0,B2380,"")</x:f>
      </x:c>
      <x:c r="AH2380" s="9" t="n">
        <x:f>IF(F2380&gt;=1,1,(1+v01_LowTiesShare*(AE2380-1))/AE2380)</x:f>
        <x:v>1</x:v>
      </x:c>
      <x:c r="AI2380" s="32" t="n">
        <x:f>(Z2380+v01_ElderCommons*INDEX(LM_Elder,G2380)*AA2380)*AH2380</x:f>
        <x:v>64139.732591141874</x:v>
      </x:c>
      <x:c r="AJ2380" s="32" t="n">
        <x:f>H2380*v01_CommonsCoef*AI2380^v01_CommonsExp*INDEX(LM_Commons,G2380)</x:f>
        <x:v>0</x:v>
      </x:c>
      <x:c r="AK2380" s="32" t="n">
        <x:f>H2380*v01_RoleScale*Arch_Roles*(AE2380*(INDEX(v01_ElderRolePerSett,G2380)*v01_OutElder*INDEX(LM_Elder,G2380)+INDEX(v01_ShamanPerSett,G2380)*v01_OutShaman)+Z2380*(INDEX(v01_PriestShare,G2380)*v01_OutPriest+INDEX(v01_ScribeShare,G2380)*v01_OutScribe*INDEX(LM_Scribe,G2380)+INDEX(v01_ScholarShare,G2380)*v01_OutScholar*INDEX(LM_Scholar,G2380)+INDEX(v01_ResearcherShare,G2380)*v01_OutResearcher*INDEX(LM_Researcher,G2380)))</x:f>
        <x:v>0</x:v>
      </x:c>
      <x:c r="AL2380" s="32" t="n">
        <x:f>H2380*v01_RoleScale*Arch_Roles*AE2380*INDEX(v01_MonasteryPerSett,G2380)*v01_OutMonastery*INDEX(LM_Monastery,G2380)</x:f>
        <x:v>0</x:v>
      </x:c>
      <x:c r="AM2380" s="32" t="n">
        <x:f>(AJ2380+AK2380+AL2380)/4*INDEX(LM_All,G2380)*INDEX(v01_Boon,G2380)*Arch_Insight</x:f>
        <x:v>0</x:v>
      </x:c>
      <x:c r="AN2380" s="32" t="n">
        <x:f>H2380*(v01_KHPerAdult*Z2380+v01_KHOfCommons*AJ2380/4*INDEX(LM_All,G2380))*v01_KHUsable*Arch_KH</x:f>
        <x:v>0</x:v>
      </x:c>
      <x:c r="AO2380" s="32" t="n">
        <x:f>MIN(AP2379+AN2380,AM2380*v01_KHMaxRatio)</x:f>
        <x:v>0</x:v>
      </x:c>
      <x:c r="AP2380" s="32" t="n">
        <x:f>AP2379+AN2380-AO2380</x:f>
        <x:v>0</x:v>
      </x:c>
      <x:c r="AQ2380" s="32" t="n">
        <x:f>AM2380+AO2380</x:f>
        <x:v>0</x:v>
      </x:c>
      <x:c r="AR2380" s="10" t="n">
        <x:f>IF(H2380=1,INDEX(v01_Req,G2380),0)</x:f>
        <x:v>0</x:v>
      </x:c>
      <x:c r="AS2380" s="32" t="n">
        <x:f>IF(H2380=1,IF(E2380=1,AS2379-AR2379,AS2379)+AQ2380,0)</x:f>
        <x:v>0</x:v>
      </x:c>
      <x:c r="AT2380" s="11" t="n">
        <x:f>IF(AR2380&gt;0,MIN(1,AS2380/AR2380),1)</x:f>
        <x:v>1</x:v>
      </x:c>
      <x:c r="AU2380" s="10" t="n">
        <x:f>AB2380/INDEX(v01_RepScale,G2380)</x:f>
        <x:v>90.09519605746344</x:v>
      </x:c>
      <x:c r="AV2380" s="32" t="n">
        <x:f>AM2380*60/v01_SeasonSeconds</x:f>
        <x:v>0</x:v>
      </x:c>
    </x:row>
    <x:row r="2381">
      <x:c r="A2381" s="8" t="n">
        <x:f>A2380+1</x:f>
        <x:v>2378</x:v>
      </x:c>
      <x:c r="B2381" s="9" t="n">
        <x:f>A2381*v01_SeasonSeconds/60</x:f>
        <x:v>594.5</x:v>
      </x:c>
      <x:c r="C2381" s="9" t="n">
        <x:f>A2381/4</x:f>
        <x:v>594.5</x:v>
      </x:c>
      <x:c r="D2381" s="8" t="n">
        <x:f>IF(MOD(A2381,4)=0,1,0)</x:f>
        <x:v>0</x:v>
      </x:c>
      <x:c r="E2381" s="8" t="n">
        <x:f>IF(AND(F2380&lt;=9,AS2380&gt;=AR2380),1,0)</x:f>
        <x:v>0</x:v>
      </x:c>
      <x:c r="F2381" s="8" t="n">
        <x:f>MIN(10,F2380+E2381)</x:f>
        <x:v>10</x:v>
      </x:c>
      <x:c r="G2381" s="8" t="n">
        <x:f>MIN(F2381,9)+1</x:f>
        <x:v>10</x:v>
      </x:c>
      <x:c r="H2381" s="8" t="n">
        <x:f>IF(F2381&lt;=9,1,0)</x:f>
        <x:v>0</x:v>
      </x:c>
      <x:c r="I2381" s="9" t="n">
        <x:f>MIN(10,F2380+IF(AR2380&gt;0,MIN(1,AS2380/AR2380),1))</x:f>
        <x:v>10</x:v>
      </x:c>
      <x:c r="J2381" s="32" t="n">
        <x:f>INDEX(v01_FoodCap,G2381)*Arch_FoodCap*EXP(v01_CapsByProject*SUMPRODUCT((Cap_Point&lt;=I2381)*(Cap_Kind="Food")*Cap_Ln))</x:f>
        <x:v>12000</x:v>
      </x:c>
      <x:c r="K2381" s="32" t="n">
        <x:f>J2381*MIN(1,v01_LeanBase*EXP(v01_CapsByProject*SUMPRODUCT((Cap_Point&lt;=I2381)*(Cap_Kind="Lean")*Cap_Ln)))</x:f>
        <x:v>12000</x:v>
      </x:c>
      <x:c r="L2381" s="10" t="n">
        <x:f>INDEX(v01_HousingCap,G2381)*EXP(v01_CapsByProject*SUMPRODUCT((Cap_Point&lt;=I2381)*(Cap_Kind="Housing")*Cap_Ln))</x:f>
        <x:v>20000</x:v>
      </x:c>
      <x:c r="M2381" s="10" t="n">
        <x:f>INDEX(v01_GroupCap,G2381)*v01_CohesionFactor*EXP(v01_CapsByProject*SUMPRODUCT((Cap_Point&lt;=I2381)*(Cap_Kind="Group")*Cap_Ln))</x:f>
        <x:v>1000000</x:v>
      </x:c>
      <x:c r="N2381" s="32" t="n">
        <x:f>MIN(J2381,L2381,M2381)</x:f>
        <x:v>12000</x:v>
      </x:c>
      <x:c r="O2381" s="10" t="n">
        <x:f>AE2380*N2381</x:f>
        <x:v>180000</x:v>
      </x:c>
      <x:c r="P2381" s="9" t="n">
        <x:f>MIN(1,(AB2380/(AE2380*IF(v01_GroupInCrowding=1,N2381,MIN(J2381,L2381))))^v01_CrowdingExp)</x:f>
        <x:v>0.00024569414295285325</x:v>
      </x:c>
      <x:c r="Q2381" s="9" t="n">
        <x:f>IF(D2381=1,INDEX(v01_WinterMult,G2381),1)</x:f>
        <x:v>1</x:v>
      </x:c>
      <x:c r="R2381" s="9" t="n">
        <x:f>H2381*Z2380*v01_WomenShare*v01_BaseFertility*INDEX(v01_FertMult,G2381)*Arch_Fertility*(1-P2381)</x:f>
        <x:v>0</x:v>
      </x:c>
      <x:c r="S2381" s="9" t="n">
        <x:f>H2381*Y2380*INDEX(v01_MortChild,G2381)/4*Q2381</x:f>
        <x:v>0</x:v>
      </x:c>
      <x:c r="T2381" s="9" t="n">
        <x:f>H2381*Z2380*INDEX(v01_MortAdult,G2381)*Arch_AdultMort/4*Q2381</x:f>
        <x:v>0</x:v>
      </x:c>
      <x:c r="U2381" s="9" t="n">
        <x:f>H2381*AA2380*INDEX(v01_MortElder,G2381)/4*Q2381</x:f>
        <x:v>0</x:v>
      </x:c>
      <x:c r="V2381" s="9" t="n">
        <x:f>H2381*MAX(0,AB2380-O2381)*v01_OvercapLoss</x:f>
        <x:v>0</x:v>
      </x:c>
      <x:c r="W2381" s="9" t="n">
        <x:f>H2381*Y2380/(v01_ChildYears*4)</x:f>
        <x:v>0</x:v>
      </x:c>
      <x:c r="X2381" s="9" t="n">
        <x:f>H2381*Z2380/(v01_AdultYears*4)</x:f>
        <x:v>0</x:v>
      </x:c>
      <x:c r="Y2381" s="32" t="n">
        <x:f>Y2380+R2381-S2381-W2381-Y2380*V2381/AB2380</x:f>
        <x:v>14306.18539759397</x:v>
      </x:c>
      <x:c r="Z2381" s="32" t="n">
        <x:f>Z2380+W2381-X2381-T2381-Z2380*V2381/AB2380</x:f>
        <x:v>19354.456567879548</x:v>
      </x:c>
      <x:c r="AA2381" s="32" t="n">
        <x:f>AA2380+X2381-U2381-AA2380*V2381/AB2380</x:f>
        <x:v>11386.956063258198</x:v>
      </x:c>
      <x:c r="AB2381" s="10" t="n">
        <x:f>Y2381+Z2381+AA2381</x:f>
        <x:v>45047.59802873172</x:v>
      </x:c>
      <x:c r="AC2381" s="8" t="n">
        <x:f>IF(AND(v01_WinterTrigger=1,D2381=1,AB2380/AE2380&gt;=K2381),1,0)</x:f>
        <x:v>0</x:v>
      </x:c>
      <x:c r="AD2381" s="8" t="n">
        <x:f>H2381*IF(AND(OR(AB2380/AE2380&gt;=v01_FissionTrigger*N2381,AC2381=1),AB2380/AE2380*v01_DaughterShare&gt;=v01_MinDaughter),MAX(1,ROUND(AE2380*v01_FissionRate,0)),0)</x:f>
        <x:v>0</x:v>
      </x:c>
      <x:c r="AE2381" s="8" t="n">
        <x:f>IF(H2381=1,MAX(1,MIN(INDEX(v01_Smax,G2381),AE2380+AD2381)),AE2380)</x:f>
        <x:v>15</x:v>
      </x:c>
      <x:c r="AF2381" s="8" t="n">
        <x:f>MAX(0,AE2381-AE2380)</x:f>
        <x:v>0</x:v>
      </x:c>
      <x:c r="AG2381" s="9" t="str">
        <x:f>IF(AF2381&gt;0,B2381,"")</x:f>
      </x:c>
      <x:c r="AH2381" s="9" t="n">
        <x:f>IF(F2381&gt;=1,1,(1+v01_LowTiesShare*(AE2381-1))/AE2381)</x:f>
        <x:v>1</x:v>
      </x:c>
      <x:c r="AI2381" s="32" t="n">
        <x:f>(Z2381+v01_ElderCommons*INDEX(LM_Elder,G2381)*AA2381)*AH2381</x:f>
        <x:v>64139.732591141874</x:v>
      </x:c>
      <x:c r="AJ2381" s="32" t="n">
        <x:f>H2381*v01_CommonsCoef*AI2381^v01_CommonsExp*INDEX(LM_Commons,G2381)</x:f>
        <x:v>0</x:v>
      </x:c>
      <x:c r="AK2381" s="32" t="n">
        <x:f>H2381*v01_RoleScale*Arch_Roles*(AE2381*(INDEX(v01_ElderRolePerSett,G2381)*v01_OutElder*INDEX(LM_Elder,G2381)+INDEX(v01_ShamanPerSett,G2381)*v01_OutShaman)+Z2381*(INDEX(v01_PriestShare,G2381)*v01_OutPriest+INDEX(v01_ScribeShare,G2381)*v01_OutScribe*INDEX(LM_Scribe,G2381)+INDEX(v01_ScholarShare,G2381)*v01_OutScholar*INDEX(LM_Scholar,G2381)+INDEX(v01_ResearcherShare,G2381)*v01_OutResearcher*INDEX(LM_Researcher,G2381)))</x:f>
        <x:v>0</x:v>
      </x:c>
      <x:c r="AL2381" s="32" t="n">
        <x:f>H2381*v01_RoleScale*Arch_Roles*AE2381*INDEX(v01_MonasteryPerSett,G2381)*v01_OutMonastery*INDEX(LM_Monastery,G2381)</x:f>
        <x:v>0</x:v>
      </x:c>
      <x:c r="AM2381" s="32" t="n">
        <x:f>(AJ2381+AK2381+AL2381)/4*INDEX(LM_All,G2381)*INDEX(v01_Boon,G2381)*Arch_Insight</x:f>
        <x:v>0</x:v>
      </x:c>
      <x:c r="AN2381" s="32" t="n">
        <x:f>H2381*(v01_KHPerAdult*Z2381+v01_KHOfCommons*AJ2381/4*INDEX(LM_All,G2381))*v01_KHUsable*Arch_KH</x:f>
        <x:v>0</x:v>
      </x:c>
      <x:c r="AO2381" s="32" t="n">
        <x:f>MIN(AP2380+AN2381,AM2381*v01_KHMaxRatio)</x:f>
        <x:v>0</x:v>
      </x:c>
      <x:c r="AP2381" s="32" t="n">
        <x:f>AP2380+AN2381-AO2381</x:f>
        <x:v>0</x:v>
      </x:c>
      <x:c r="AQ2381" s="32" t="n">
        <x:f>AM2381+AO2381</x:f>
        <x:v>0</x:v>
      </x:c>
      <x:c r="AR2381" s="10" t="n">
        <x:f>IF(H2381=1,INDEX(v01_Req,G2381),0)</x:f>
        <x:v>0</x:v>
      </x:c>
      <x:c r="AS2381" s="32" t="n">
        <x:f>IF(H2381=1,IF(E2381=1,AS2380-AR2380,AS2380)+AQ2381,0)</x:f>
        <x:v>0</x:v>
      </x:c>
      <x:c r="AT2381" s="11" t="n">
        <x:f>IF(AR2381&gt;0,MIN(1,AS2381/AR2381),1)</x:f>
        <x:v>1</x:v>
      </x:c>
      <x:c r="AU2381" s="10" t="n">
        <x:f>AB2381/INDEX(v01_RepScale,G2381)</x:f>
        <x:v>90.09519605746344</x:v>
      </x:c>
      <x:c r="AV2381" s="32" t="n">
        <x:f>AM2381*60/v01_SeasonSeconds</x:f>
        <x:v>0</x:v>
      </x:c>
    </x:row>
    <x:row r="2382">
      <x:c r="A2382" s="8" t="n">
        <x:f>A2381+1</x:f>
        <x:v>2379</x:v>
      </x:c>
      <x:c r="B2382" s="9" t="n">
        <x:f>A2382*v01_SeasonSeconds/60</x:f>
        <x:v>594.75</x:v>
      </x:c>
      <x:c r="C2382" s="9" t="n">
        <x:f>A2382/4</x:f>
        <x:v>594.75</x:v>
      </x:c>
      <x:c r="D2382" s="8" t="n">
        <x:f>IF(MOD(A2382,4)=0,1,0)</x:f>
        <x:v>0</x:v>
      </x:c>
      <x:c r="E2382" s="8" t="n">
        <x:f>IF(AND(F2381&lt;=9,AS2381&gt;=AR2381),1,0)</x:f>
        <x:v>0</x:v>
      </x:c>
      <x:c r="F2382" s="8" t="n">
        <x:f>MIN(10,F2381+E2382)</x:f>
        <x:v>10</x:v>
      </x:c>
      <x:c r="G2382" s="8" t="n">
        <x:f>MIN(F2382,9)+1</x:f>
        <x:v>10</x:v>
      </x:c>
      <x:c r="H2382" s="8" t="n">
        <x:f>IF(F2382&lt;=9,1,0)</x:f>
        <x:v>0</x:v>
      </x:c>
      <x:c r="I2382" s="9" t="n">
        <x:f>MIN(10,F2381+IF(AR2381&gt;0,MIN(1,AS2381/AR2381),1))</x:f>
        <x:v>10</x:v>
      </x:c>
      <x:c r="J2382" s="32" t="n">
        <x:f>INDEX(v01_FoodCap,G2382)*Arch_FoodCap*EXP(v01_CapsByProject*SUMPRODUCT((Cap_Point&lt;=I2382)*(Cap_Kind="Food")*Cap_Ln))</x:f>
        <x:v>12000</x:v>
      </x:c>
      <x:c r="K2382" s="32" t="n">
        <x:f>J2382*MIN(1,v01_LeanBase*EXP(v01_CapsByProject*SUMPRODUCT((Cap_Point&lt;=I2382)*(Cap_Kind="Lean")*Cap_Ln)))</x:f>
        <x:v>12000</x:v>
      </x:c>
      <x:c r="L2382" s="10" t="n">
        <x:f>INDEX(v01_HousingCap,G2382)*EXP(v01_CapsByProject*SUMPRODUCT((Cap_Point&lt;=I2382)*(Cap_Kind="Housing")*Cap_Ln))</x:f>
        <x:v>20000</x:v>
      </x:c>
      <x:c r="M2382" s="10" t="n">
        <x:f>INDEX(v01_GroupCap,G2382)*v01_CohesionFactor*EXP(v01_CapsByProject*SUMPRODUCT((Cap_Point&lt;=I2382)*(Cap_Kind="Group")*Cap_Ln))</x:f>
        <x:v>1000000</x:v>
      </x:c>
      <x:c r="N2382" s="32" t="n">
        <x:f>MIN(J2382,L2382,M2382)</x:f>
        <x:v>12000</x:v>
      </x:c>
      <x:c r="O2382" s="10" t="n">
        <x:f>AE2381*N2382</x:f>
        <x:v>180000</x:v>
      </x:c>
      <x:c r="P2382" s="9" t="n">
        <x:f>MIN(1,(AB2381/(AE2381*IF(v01_GroupInCrowding=1,N2382,MIN(J2382,L2382))))^v01_CrowdingExp)</x:f>
        <x:v>0.00024569414295285325</x:v>
      </x:c>
      <x:c r="Q2382" s="9" t="n">
        <x:f>IF(D2382=1,INDEX(v01_WinterMult,G2382),1)</x:f>
        <x:v>1</x:v>
      </x:c>
      <x:c r="R2382" s="9" t="n">
        <x:f>H2382*Z2381*v01_WomenShare*v01_BaseFertility*INDEX(v01_FertMult,G2382)*Arch_Fertility*(1-P2382)</x:f>
        <x:v>0</x:v>
      </x:c>
      <x:c r="S2382" s="9" t="n">
        <x:f>H2382*Y2381*INDEX(v01_MortChild,G2382)/4*Q2382</x:f>
        <x:v>0</x:v>
      </x:c>
      <x:c r="T2382" s="9" t="n">
        <x:f>H2382*Z2381*INDEX(v01_MortAdult,G2382)*Arch_AdultMort/4*Q2382</x:f>
        <x:v>0</x:v>
      </x:c>
      <x:c r="U2382" s="9" t="n">
        <x:f>H2382*AA2381*INDEX(v01_MortElder,G2382)/4*Q2382</x:f>
        <x:v>0</x:v>
      </x:c>
      <x:c r="V2382" s="9" t="n">
        <x:f>H2382*MAX(0,AB2381-O2382)*v01_OvercapLoss</x:f>
        <x:v>0</x:v>
      </x:c>
      <x:c r="W2382" s="9" t="n">
        <x:f>H2382*Y2381/(v01_ChildYears*4)</x:f>
        <x:v>0</x:v>
      </x:c>
      <x:c r="X2382" s="9" t="n">
        <x:f>H2382*Z2381/(v01_AdultYears*4)</x:f>
        <x:v>0</x:v>
      </x:c>
      <x:c r="Y2382" s="32" t="n">
        <x:f>Y2381+R2382-S2382-W2382-Y2381*V2382/AB2381</x:f>
        <x:v>14306.18539759397</x:v>
      </x:c>
      <x:c r="Z2382" s="32" t="n">
        <x:f>Z2381+W2382-X2382-T2382-Z2381*V2382/AB2381</x:f>
        <x:v>19354.456567879548</x:v>
      </x:c>
      <x:c r="AA2382" s="32" t="n">
        <x:f>AA2381+X2382-U2382-AA2381*V2382/AB2381</x:f>
        <x:v>11386.956063258198</x:v>
      </x:c>
      <x:c r="AB2382" s="10" t="n">
        <x:f>Y2382+Z2382+AA2382</x:f>
        <x:v>45047.59802873172</x:v>
      </x:c>
      <x:c r="AC2382" s="8" t="n">
        <x:f>IF(AND(v01_WinterTrigger=1,D2382=1,AB2381/AE2381&gt;=K2382),1,0)</x:f>
        <x:v>0</x:v>
      </x:c>
      <x:c r="AD2382" s="8" t="n">
        <x:f>H2382*IF(AND(OR(AB2381/AE2381&gt;=v01_FissionTrigger*N2382,AC2382=1),AB2381/AE2381*v01_DaughterShare&gt;=v01_MinDaughter),MAX(1,ROUND(AE2381*v01_FissionRate,0)),0)</x:f>
        <x:v>0</x:v>
      </x:c>
      <x:c r="AE2382" s="8" t="n">
        <x:f>IF(H2382=1,MAX(1,MIN(INDEX(v01_Smax,G2382),AE2381+AD2382)),AE2381)</x:f>
        <x:v>15</x:v>
      </x:c>
      <x:c r="AF2382" s="8" t="n">
        <x:f>MAX(0,AE2382-AE2381)</x:f>
        <x:v>0</x:v>
      </x:c>
      <x:c r="AG2382" s="9" t="str">
        <x:f>IF(AF2382&gt;0,B2382,"")</x:f>
      </x:c>
      <x:c r="AH2382" s="9" t="n">
        <x:f>IF(F2382&gt;=1,1,(1+v01_LowTiesShare*(AE2382-1))/AE2382)</x:f>
        <x:v>1</x:v>
      </x:c>
      <x:c r="AI2382" s="32" t="n">
        <x:f>(Z2382+v01_ElderCommons*INDEX(LM_Elder,G2382)*AA2382)*AH2382</x:f>
        <x:v>64139.732591141874</x:v>
      </x:c>
      <x:c r="AJ2382" s="32" t="n">
        <x:f>H2382*v01_CommonsCoef*AI2382^v01_CommonsExp*INDEX(LM_Commons,G2382)</x:f>
        <x:v>0</x:v>
      </x:c>
      <x:c r="AK2382" s="32" t="n">
        <x:f>H2382*v01_RoleScale*Arch_Roles*(AE2382*(INDEX(v01_ElderRolePerSett,G2382)*v01_OutElder*INDEX(LM_Elder,G2382)+INDEX(v01_ShamanPerSett,G2382)*v01_OutShaman)+Z2382*(INDEX(v01_PriestShare,G2382)*v01_OutPriest+INDEX(v01_ScribeShare,G2382)*v01_OutScribe*INDEX(LM_Scribe,G2382)+INDEX(v01_ScholarShare,G2382)*v01_OutScholar*INDEX(LM_Scholar,G2382)+INDEX(v01_ResearcherShare,G2382)*v01_OutResearcher*INDEX(LM_Researcher,G2382)))</x:f>
        <x:v>0</x:v>
      </x:c>
      <x:c r="AL2382" s="32" t="n">
        <x:f>H2382*v01_RoleScale*Arch_Roles*AE2382*INDEX(v01_MonasteryPerSett,G2382)*v01_OutMonastery*INDEX(LM_Monastery,G2382)</x:f>
        <x:v>0</x:v>
      </x:c>
      <x:c r="AM2382" s="32" t="n">
        <x:f>(AJ2382+AK2382+AL2382)/4*INDEX(LM_All,G2382)*INDEX(v01_Boon,G2382)*Arch_Insight</x:f>
        <x:v>0</x:v>
      </x:c>
      <x:c r="AN2382" s="32" t="n">
        <x:f>H2382*(v01_KHPerAdult*Z2382+v01_KHOfCommons*AJ2382/4*INDEX(LM_All,G2382))*v01_KHUsable*Arch_KH</x:f>
        <x:v>0</x:v>
      </x:c>
      <x:c r="AO2382" s="32" t="n">
        <x:f>MIN(AP2381+AN2382,AM2382*v01_KHMaxRatio)</x:f>
        <x:v>0</x:v>
      </x:c>
      <x:c r="AP2382" s="32" t="n">
        <x:f>AP2381+AN2382-AO2382</x:f>
        <x:v>0</x:v>
      </x:c>
      <x:c r="AQ2382" s="32" t="n">
        <x:f>AM2382+AO2382</x:f>
        <x:v>0</x:v>
      </x:c>
      <x:c r="AR2382" s="10" t="n">
        <x:f>IF(H2382=1,INDEX(v01_Req,G2382),0)</x:f>
        <x:v>0</x:v>
      </x:c>
      <x:c r="AS2382" s="32" t="n">
        <x:f>IF(H2382=1,IF(E2382=1,AS2381-AR2381,AS2381)+AQ2382,0)</x:f>
        <x:v>0</x:v>
      </x:c>
      <x:c r="AT2382" s="11" t="n">
        <x:f>IF(AR2382&gt;0,MIN(1,AS2382/AR2382),1)</x:f>
        <x:v>1</x:v>
      </x:c>
      <x:c r="AU2382" s="10" t="n">
        <x:f>AB2382/INDEX(v01_RepScale,G2382)</x:f>
        <x:v>90.09519605746344</x:v>
      </x:c>
      <x:c r="AV2382" s="32" t="n">
        <x:f>AM2382*60/v01_SeasonSeconds</x:f>
        <x:v>0</x:v>
      </x:c>
    </x:row>
    <x:row r="2383">
      <x:c r="A2383" s="8" t="n">
        <x:f>A2382+1</x:f>
        <x:v>2380</x:v>
      </x:c>
      <x:c r="B2383" s="9" t="n">
        <x:f>A2383*v01_SeasonSeconds/60</x:f>
        <x:v>595</x:v>
      </x:c>
      <x:c r="C2383" s="9" t="n">
        <x:f>A2383/4</x:f>
        <x:v>595</x:v>
      </x:c>
      <x:c r="D2383" s="8" t="n">
        <x:f>IF(MOD(A2383,4)=0,1,0)</x:f>
        <x:v>1</x:v>
      </x:c>
      <x:c r="E2383" s="8" t="n">
        <x:f>IF(AND(F2382&lt;=9,AS2382&gt;=AR2382),1,0)</x:f>
        <x:v>0</x:v>
      </x:c>
      <x:c r="F2383" s="8" t="n">
        <x:f>MIN(10,F2382+E2383)</x:f>
        <x:v>10</x:v>
      </x:c>
      <x:c r="G2383" s="8" t="n">
        <x:f>MIN(F2383,9)+1</x:f>
        <x:v>10</x:v>
      </x:c>
      <x:c r="H2383" s="8" t="n">
        <x:f>IF(F2383&lt;=9,1,0)</x:f>
        <x:v>0</x:v>
      </x:c>
      <x:c r="I2383" s="9" t="n">
        <x:f>MIN(10,F2382+IF(AR2382&gt;0,MIN(1,AS2382/AR2382),1))</x:f>
        <x:v>10</x:v>
      </x:c>
      <x:c r="J2383" s="32" t="n">
        <x:f>INDEX(v01_FoodCap,G2383)*Arch_FoodCap*EXP(v01_CapsByProject*SUMPRODUCT((Cap_Point&lt;=I2383)*(Cap_Kind="Food")*Cap_Ln))</x:f>
        <x:v>12000</x:v>
      </x:c>
      <x:c r="K2383" s="32" t="n">
        <x:f>J2383*MIN(1,v01_LeanBase*EXP(v01_CapsByProject*SUMPRODUCT((Cap_Point&lt;=I2383)*(Cap_Kind="Lean")*Cap_Ln)))</x:f>
        <x:v>12000</x:v>
      </x:c>
      <x:c r="L2383" s="10" t="n">
        <x:f>INDEX(v01_HousingCap,G2383)*EXP(v01_CapsByProject*SUMPRODUCT((Cap_Point&lt;=I2383)*(Cap_Kind="Housing")*Cap_Ln))</x:f>
        <x:v>20000</x:v>
      </x:c>
      <x:c r="M2383" s="10" t="n">
        <x:f>INDEX(v01_GroupCap,G2383)*v01_CohesionFactor*EXP(v01_CapsByProject*SUMPRODUCT((Cap_Point&lt;=I2383)*(Cap_Kind="Group")*Cap_Ln))</x:f>
        <x:v>1000000</x:v>
      </x:c>
      <x:c r="N2383" s="32" t="n">
        <x:f>MIN(J2383,L2383,M2383)</x:f>
        <x:v>12000</x:v>
      </x:c>
      <x:c r="O2383" s="10" t="n">
        <x:f>AE2382*N2383</x:f>
        <x:v>180000</x:v>
      </x:c>
      <x:c r="P2383" s="9" t="n">
        <x:f>MIN(1,(AB2382/(AE2382*IF(v01_GroupInCrowding=1,N2383,MIN(J2383,L2383))))^v01_CrowdingExp)</x:f>
        <x:v>0.00024569414295285325</x:v>
      </x:c>
      <x:c r="Q2383" s="9" t="n">
        <x:f>IF(D2383=1,INDEX(v01_WinterMult,G2383),1)</x:f>
        <x:v>1</x:v>
      </x:c>
      <x:c r="R2383" s="9" t="n">
        <x:f>H2383*Z2382*v01_WomenShare*v01_BaseFertility*INDEX(v01_FertMult,G2383)*Arch_Fertility*(1-P2383)</x:f>
        <x:v>0</x:v>
      </x:c>
      <x:c r="S2383" s="9" t="n">
        <x:f>H2383*Y2382*INDEX(v01_MortChild,G2383)/4*Q2383</x:f>
        <x:v>0</x:v>
      </x:c>
      <x:c r="T2383" s="9" t="n">
        <x:f>H2383*Z2382*INDEX(v01_MortAdult,G2383)*Arch_AdultMort/4*Q2383</x:f>
        <x:v>0</x:v>
      </x:c>
      <x:c r="U2383" s="9" t="n">
        <x:f>H2383*AA2382*INDEX(v01_MortElder,G2383)/4*Q2383</x:f>
        <x:v>0</x:v>
      </x:c>
      <x:c r="V2383" s="9" t="n">
        <x:f>H2383*MAX(0,AB2382-O2383)*v01_OvercapLoss</x:f>
        <x:v>0</x:v>
      </x:c>
      <x:c r="W2383" s="9" t="n">
        <x:f>H2383*Y2382/(v01_ChildYears*4)</x:f>
        <x:v>0</x:v>
      </x:c>
      <x:c r="X2383" s="9" t="n">
        <x:f>H2383*Z2382/(v01_AdultYears*4)</x:f>
        <x:v>0</x:v>
      </x:c>
      <x:c r="Y2383" s="32" t="n">
        <x:f>Y2382+R2383-S2383-W2383-Y2382*V2383/AB2382</x:f>
        <x:v>14306.18539759397</x:v>
      </x:c>
      <x:c r="Z2383" s="32" t="n">
        <x:f>Z2382+W2383-X2383-T2383-Z2382*V2383/AB2382</x:f>
        <x:v>19354.456567879548</x:v>
      </x:c>
      <x:c r="AA2383" s="32" t="n">
        <x:f>AA2382+X2383-U2383-AA2382*V2383/AB2382</x:f>
        <x:v>11386.956063258198</x:v>
      </x:c>
      <x:c r="AB2383" s="10" t="n">
        <x:f>Y2383+Z2383+AA2383</x:f>
        <x:v>45047.59802873172</x:v>
      </x:c>
      <x:c r="AC2383" s="8" t="n">
        <x:f>IF(AND(v01_WinterTrigger=1,D2383=1,AB2382/AE2382&gt;=K2383),1,0)</x:f>
        <x:v>0</x:v>
      </x:c>
      <x:c r="AD2383" s="8" t="n">
        <x:f>H2383*IF(AND(OR(AB2382/AE2382&gt;=v01_FissionTrigger*N2383,AC2383=1),AB2382/AE2382*v01_DaughterShare&gt;=v01_MinDaughter),MAX(1,ROUND(AE2382*v01_FissionRate,0)),0)</x:f>
        <x:v>0</x:v>
      </x:c>
      <x:c r="AE2383" s="8" t="n">
        <x:f>IF(H2383=1,MAX(1,MIN(INDEX(v01_Smax,G2383),AE2382+AD2383)),AE2382)</x:f>
        <x:v>15</x:v>
      </x:c>
      <x:c r="AF2383" s="8" t="n">
        <x:f>MAX(0,AE2383-AE2382)</x:f>
        <x:v>0</x:v>
      </x:c>
      <x:c r="AG2383" s="9" t="str">
        <x:f>IF(AF2383&gt;0,B2383,"")</x:f>
      </x:c>
      <x:c r="AH2383" s="9" t="n">
        <x:f>IF(F2383&gt;=1,1,(1+v01_LowTiesShare*(AE2383-1))/AE2383)</x:f>
        <x:v>1</x:v>
      </x:c>
      <x:c r="AI2383" s="32" t="n">
        <x:f>(Z2383+v01_ElderCommons*INDEX(LM_Elder,G2383)*AA2383)*AH2383</x:f>
        <x:v>64139.732591141874</x:v>
      </x:c>
      <x:c r="AJ2383" s="32" t="n">
        <x:f>H2383*v01_CommonsCoef*AI2383^v01_CommonsExp*INDEX(LM_Commons,G2383)</x:f>
        <x:v>0</x:v>
      </x:c>
      <x:c r="AK2383" s="32" t="n">
        <x:f>H2383*v01_RoleScale*Arch_Roles*(AE2383*(INDEX(v01_ElderRolePerSett,G2383)*v01_OutElder*INDEX(LM_Elder,G2383)+INDEX(v01_ShamanPerSett,G2383)*v01_OutShaman)+Z2383*(INDEX(v01_PriestShare,G2383)*v01_OutPriest+INDEX(v01_ScribeShare,G2383)*v01_OutScribe*INDEX(LM_Scribe,G2383)+INDEX(v01_ScholarShare,G2383)*v01_OutScholar*INDEX(LM_Scholar,G2383)+INDEX(v01_ResearcherShare,G2383)*v01_OutResearcher*INDEX(LM_Researcher,G2383)))</x:f>
        <x:v>0</x:v>
      </x:c>
      <x:c r="AL2383" s="32" t="n">
        <x:f>H2383*v01_RoleScale*Arch_Roles*AE2383*INDEX(v01_MonasteryPerSett,G2383)*v01_OutMonastery*INDEX(LM_Monastery,G2383)</x:f>
        <x:v>0</x:v>
      </x:c>
      <x:c r="AM2383" s="32" t="n">
        <x:f>(AJ2383+AK2383+AL2383)/4*INDEX(LM_All,G2383)*INDEX(v01_Boon,G2383)*Arch_Insight</x:f>
        <x:v>0</x:v>
      </x:c>
      <x:c r="AN2383" s="32" t="n">
        <x:f>H2383*(v01_KHPerAdult*Z2383+v01_KHOfCommons*AJ2383/4*INDEX(LM_All,G2383))*v01_KHUsable*Arch_KH</x:f>
        <x:v>0</x:v>
      </x:c>
      <x:c r="AO2383" s="32" t="n">
        <x:f>MIN(AP2382+AN2383,AM2383*v01_KHMaxRatio)</x:f>
        <x:v>0</x:v>
      </x:c>
      <x:c r="AP2383" s="32" t="n">
        <x:f>AP2382+AN2383-AO2383</x:f>
        <x:v>0</x:v>
      </x:c>
      <x:c r="AQ2383" s="32" t="n">
        <x:f>AM2383+AO2383</x:f>
        <x:v>0</x:v>
      </x:c>
      <x:c r="AR2383" s="10" t="n">
        <x:f>IF(H2383=1,INDEX(v01_Req,G2383),0)</x:f>
        <x:v>0</x:v>
      </x:c>
      <x:c r="AS2383" s="32" t="n">
        <x:f>IF(H2383=1,IF(E2383=1,AS2382-AR2382,AS2382)+AQ2383,0)</x:f>
        <x:v>0</x:v>
      </x:c>
      <x:c r="AT2383" s="11" t="n">
        <x:f>IF(AR2383&gt;0,MIN(1,AS2383/AR2383),1)</x:f>
        <x:v>1</x:v>
      </x:c>
      <x:c r="AU2383" s="10" t="n">
        <x:f>AB2383/INDEX(v01_RepScale,G2383)</x:f>
        <x:v>90.09519605746344</x:v>
      </x:c>
      <x:c r="AV2383" s="32" t="n">
        <x:f>AM2383*60/v01_SeasonSeconds</x:f>
        <x:v>0</x:v>
      </x:c>
    </x:row>
    <x:row r="2384">
      <x:c r="A2384" s="8" t="n">
        <x:f>A2383+1</x:f>
        <x:v>2381</x:v>
      </x:c>
      <x:c r="B2384" s="9" t="n">
        <x:f>A2384*v01_SeasonSeconds/60</x:f>
        <x:v>595.25</x:v>
      </x:c>
      <x:c r="C2384" s="9" t="n">
        <x:f>A2384/4</x:f>
        <x:v>595.25</x:v>
      </x:c>
      <x:c r="D2384" s="8" t="n">
        <x:f>IF(MOD(A2384,4)=0,1,0)</x:f>
        <x:v>0</x:v>
      </x:c>
      <x:c r="E2384" s="8" t="n">
        <x:f>IF(AND(F2383&lt;=9,AS2383&gt;=AR2383),1,0)</x:f>
        <x:v>0</x:v>
      </x:c>
      <x:c r="F2384" s="8" t="n">
        <x:f>MIN(10,F2383+E2384)</x:f>
        <x:v>10</x:v>
      </x:c>
      <x:c r="G2384" s="8" t="n">
        <x:f>MIN(F2384,9)+1</x:f>
        <x:v>10</x:v>
      </x:c>
      <x:c r="H2384" s="8" t="n">
        <x:f>IF(F2384&lt;=9,1,0)</x:f>
        <x:v>0</x:v>
      </x:c>
      <x:c r="I2384" s="9" t="n">
        <x:f>MIN(10,F2383+IF(AR2383&gt;0,MIN(1,AS2383/AR2383),1))</x:f>
        <x:v>10</x:v>
      </x:c>
      <x:c r="J2384" s="32" t="n">
        <x:f>INDEX(v01_FoodCap,G2384)*Arch_FoodCap*EXP(v01_CapsByProject*SUMPRODUCT((Cap_Point&lt;=I2384)*(Cap_Kind="Food")*Cap_Ln))</x:f>
        <x:v>12000</x:v>
      </x:c>
      <x:c r="K2384" s="32" t="n">
        <x:f>J2384*MIN(1,v01_LeanBase*EXP(v01_CapsByProject*SUMPRODUCT((Cap_Point&lt;=I2384)*(Cap_Kind="Lean")*Cap_Ln)))</x:f>
        <x:v>12000</x:v>
      </x:c>
      <x:c r="L2384" s="10" t="n">
        <x:f>INDEX(v01_HousingCap,G2384)*EXP(v01_CapsByProject*SUMPRODUCT((Cap_Point&lt;=I2384)*(Cap_Kind="Housing")*Cap_Ln))</x:f>
        <x:v>20000</x:v>
      </x:c>
      <x:c r="M2384" s="10" t="n">
        <x:f>INDEX(v01_GroupCap,G2384)*v01_CohesionFactor*EXP(v01_CapsByProject*SUMPRODUCT((Cap_Point&lt;=I2384)*(Cap_Kind="Group")*Cap_Ln))</x:f>
        <x:v>1000000</x:v>
      </x:c>
      <x:c r="N2384" s="32" t="n">
        <x:f>MIN(J2384,L2384,M2384)</x:f>
        <x:v>12000</x:v>
      </x:c>
      <x:c r="O2384" s="10" t="n">
        <x:f>AE2383*N2384</x:f>
        <x:v>180000</x:v>
      </x:c>
      <x:c r="P2384" s="9" t="n">
        <x:f>MIN(1,(AB2383/(AE2383*IF(v01_GroupInCrowding=1,N2384,MIN(J2384,L2384))))^v01_CrowdingExp)</x:f>
        <x:v>0.00024569414295285325</x:v>
      </x:c>
      <x:c r="Q2384" s="9" t="n">
        <x:f>IF(D2384=1,INDEX(v01_WinterMult,G2384),1)</x:f>
        <x:v>1</x:v>
      </x:c>
      <x:c r="R2384" s="9" t="n">
        <x:f>H2384*Z2383*v01_WomenShare*v01_BaseFertility*INDEX(v01_FertMult,G2384)*Arch_Fertility*(1-P2384)</x:f>
        <x:v>0</x:v>
      </x:c>
      <x:c r="S2384" s="9" t="n">
        <x:f>H2384*Y2383*INDEX(v01_MortChild,G2384)/4*Q2384</x:f>
        <x:v>0</x:v>
      </x:c>
      <x:c r="T2384" s="9" t="n">
        <x:f>H2384*Z2383*INDEX(v01_MortAdult,G2384)*Arch_AdultMort/4*Q2384</x:f>
        <x:v>0</x:v>
      </x:c>
      <x:c r="U2384" s="9" t="n">
        <x:f>H2384*AA2383*INDEX(v01_MortElder,G2384)/4*Q2384</x:f>
        <x:v>0</x:v>
      </x:c>
      <x:c r="V2384" s="9" t="n">
        <x:f>H2384*MAX(0,AB2383-O2384)*v01_OvercapLoss</x:f>
        <x:v>0</x:v>
      </x:c>
      <x:c r="W2384" s="9" t="n">
        <x:f>H2384*Y2383/(v01_ChildYears*4)</x:f>
        <x:v>0</x:v>
      </x:c>
      <x:c r="X2384" s="9" t="n">
        <x:f>H2384*Z2383/(v01_AdultYears*4)</x:f>
        <x:v>0</x:v>
      </x:c>
      <x:c r="Y2384" s="32" t="n">
        <x:f>Y2383+R2384-S2384-W2384-Y2383*V2384/AB2383</x:f>
        <x:v>14306.18539759397</x:v>
      </x:c>
      <x:c r="Z2384" s="32" t="n">
        <x:f>Z2383+W2384-X2384-T2384-Z2383*V2384/AB2383</x:f>
        <x:v>19354.456567879548</x:v>
      </x:c>
      <x:c r="AA2384" s="32" t="n">
        <x:f>AA2383+X2384-U2384-AA2383*V2384/AB2383</x:f>
        <x:v>11386.956063258198</x:v>
      </x:c>
      <x:c r="AB2384" s="10" t="n">
        <x:f>Y2384+Z2384+AA2384</x:f>
        <x:v>45047.59802873172</x:v>
      </x:c>
      <x:c r="AC2384" s="8" t="n">
        <x:f>IF(AND(v01_WinterTrigger=1,D2384=1,AB2383/AE2383&gt;=K2384),1,0)</x:f>
        <x:v>0</x:v>
      </x:c>
      <x:c r="AD2384" s="8" t="n">
        <x:f>H2384*IF(AND(OR(AB2383/AE2383&gt;=v01_FissionTrigger*N2384,AC2384=1),AB2383/AE2383*v01_DaughterShare&gt;=v01_MinDaughter),MAX(1,ROUND(AE2383*v01_FissionRate,0)),0)</x:f>
        <x:v>0</x:v>
      </x:c>
      <x:c r="AE2384" s="8" t="n">
        <x:f>IF(H2384=1,MAX(1,MIN(INDEX(v01_Smax,G2384),AE2383+AD2384)),AE2383)</x:f>
        <x:v>15</x:v>
      </x:c>
      <x:c r="AF2384" s="8" t="n">
        <x:f>MAX(0,AE2384-AE2383)</x:f>
        <x:v>0</x:v>
      </x:c>
      <x:c r="AG2384" s="9" t="str">
        <x:f>IF(AF2384&gt;0,B2384,"")</x:f>
      </x:c>
      <x:c r="AH2384" s="9" t="n">
        <x:f>IF(F2384&gt;=1,1,(1+v01_LowTiesShare*(AE2384-1))/AE2384)</x:f>
        <x:v>1</x:v>
      </x:c>
      <x:c r="AI2384" s="32" t="n">
        <x:f>(Z2384+v01_ElderCommons*INDEX(LM_Elder,G2384)*AA2384)*AH2384</x:f>
        <x:v>64139.732591141874</x:v>
      </x:c>
      <x:c r="AJ2384" s="32" t="n">
        <x:f>H2384*v01_CommonsCoef*AI2384^v01_CommonsExp*INDEX(LM_Commons,G2384)</x:f>
        <x:v>0</x:v>
      </x:c>
      <x:c r="AK2384" s="32" t="n">
        <x:f>H2384*v01_RoleScale*Arch_Roles*(AE2384*(INDEX(v01_ElderRolePerSett,G2384)*v01_OutElder*INDEX(LM_Elder,G2384)+INDEX(v01_ShamanPerSett,G2384)*v01_OutShaman)+Z2384*(INDEX(v01_PriestShare,G2384)*v01_OutPriest+INDEX(v01_ScribeShare,G2384)*v01_OutScribe*INDEX(LM_Scribe,G2384)+INDEX(v01_ScholarShare,G2384)*v01_OutScholar*INDEX(LM_Scholar,G2384)+INDEX(v01_ResearcherShare,G2384)*v01_OutResearcher*INDEX(LM_Researcher,G2384)))</x:f>
        <x:v>0</x:v>
      </x:c>
      <x:c r="AL2384" s="32" t="n">
        <x:f>H2384*v01_RoleScale*Arch_Roles*AE2384*INDEX(v01_MonasteryPerSett,G2384)*v01_OutMonastery*INDEX(LM_Monastery,G2384)</x:f>
        <x:v>0</x:v>
      </x:c>
      <x:c r="AM2384" s="32" t="n">
        <x:f>(AJ2384+AK2384+AL2384)/4*INDEX(LM_All,G2384)*INDEX(v01_Boon,G2384)*Arch_Insight</x:f>
        <x:v>0</x:v>
      </x:c>
      <x:c r="AN2384" s="32" t="n">
        <x:f>H2384*(v01_KHPerAdult*Z2384+v01_KHOfCommons*AJ2384/4*INDEX(LM_All,G2384))*v01_KHUsable*Arch_KH</x:f>
        <x:v>0</x:v>
      </x:c>
      <x:c r="AO2384" s="32" t="n">
        <x:f>MIN(AP2383+AN2384,AM2384*v01_KHMaxRatio)</x:f>
        <x:v>0</x:v>
      </x:c>
      <x:c r="AP2384" s="32" t="n">
        <x:f>AP2383+AN2384-AO2384</x:f>
        <x:v>0</x:v>
      </x:c>
      <x:c r="AQ2384" s="32" t="n">
        <x:f>AM2384+AO2384</x:f>
        <x:v>0</x:v>
      </x:c>
      <x:c r="AR2384" s="10" t="n">
        <x:f>IF(H2384=1,INDEX(v01_Req,G2384),0)</x:f>
        <x:v>0</x:v>
      </x:c>
      <x:c r="AS2384" s="32" t="n">
        <x:f>IF(H2384=1,IF(E2384=1,AS2383-AR2383,AS2383)+AQ2384,0)</x:f>
        <x:v>0</x:v>
      </x:c>
      <x:c r="AT2384" s="11" t="n">
        <x:f>IF(AR2384&gt;0,MIN(1,AS2384/AR2384),1)</x:f>
        <x:v>1</x:v>
      </x:c>
      <x:c r="AU2384" s="10" t="n">
        <x:f>AB2384/INDEX(v01_RepScale,G2384)</x:f>
        <x:v>90.09519605746344</x:v>
      </x:c>
      <x:c r="AV2384" s="32" t="n">
        <x:f>AM2384*60/v01_SeasonSeconds</x:f>
        <x:v>0</x:v>
      </x:c>
    </x:row>
    <x:row r="2385">
      <x:c r="A2385" s="8" t="n">
        <x:f>A2384+1</x:f>
        <x:v>2382</x:v>
      </x:c>
      <x:c r="B2385" s="9" t="n">
        <x:f>A2385*v01_SeasonSeconds/60</x:f>
        <x:v>595.5</x:v>
      </x:c>
      <x:c r="C2385" s="9" t="n">
        <x:f>A2385/4</x:f>
        <x:v>595.5</x:v>
      </x:c>
      <x:c r="D2385" s="8" t="n">
        <x:f>IF(MOD(A2385,4)=0,1,0)</x:f>
        <x:v>0</x:v>
      </x:c>
      <x:c r="E2385" s="8" t="n">
        <x:f>IF(AND(F2384&lt;=9,AS2384&gt;=AR2384),1,0)</x:f>
        <x:v>0</x:v>
      </x:c>
      <x:c r="F2385" s="8" t="n">
        <x:f>MIN(10,F2384+E2385)</x:f>
        <x:v>10</x:v>
      </x:c>
      <x:c r="G2385" s="8" t="n">
        <x:f>MIN(F2385,9)+1</x:f>
        <x:v>10</x:v>
      </x:c>
      <x:c r="H2385" s="8" t="n">
        <x:f>IF(F2385&lt;=9,1,0)</x:f>
        <x:v>0</x:v>
      </x:c>
      <x:c r="I2385" s="9" t="n">
        <x:f>MIN(10,F2384+IF(AR2384&gt;0,MIN(1,AS2384/AR2384),1))</x:f>
        <x:v>10</x:v>
      </x:c>
      <x:c r="J2385" s="32" t="n">
        <x:f>INDEX(v01_FoodCap,G2385)*Arch_FoodCap*EXP(v01_CapsByProject*SUMPRODUCT((Cap_Point&lt;=I2385)*(Cap_Kind="Food")*Cap_Ln))</x:f>
        <x:v>12000</x:v>
      </x:c>
      <x:c r="K2385" s="32" t="n">
        <x:f>J2385*MIN(1,v01_LeanBase*EXP(v01_CapsByProject*SUMPRODUCT((Cap_Point&lt;=I2385)*(Cap_Kind="Lean")*Cap_Ln)))</x:f>
        <x:v>12000</x:v>
      </x:c>
      <x:c r="L2385" s="10" t="n">
        <x:f>INDEX(v01_HousingCap,G2385)*EXP(v01_CapsByProject*SUMPRODUCT((Cap_Point&lt;=I2385)*(Cap_Kind="Housing")*Cap_Ln))</x:f>
        <x:v>20000</x:v>
      </x:c>
      <x:c r="M2385" s="10" t="n">
        <x:f>INDEX(v01_GroupCap,G2385)*v01_CohesionFactor*EXP(v01_CapsByProject*SUMPRODUCT((Cap_Point&lt;=I2385)*(Cap_Kind="Group")*Cap_Ln))</x:f>
        <x:v>1000000</x:v>
      </x:c>
      <x:c r="N2385" s="32" t="n">
        <x:f>MIN(J2385,L2385,M2385)</x:f>
        <x:v>12000</x:v>
      </x:c>
      <x:c r="O2385" s="10" t="n">
        <x:f>AE2384*N2385</x:f>
        <x:v>180000</x:v>
      </x:c>
      <x:c r="P2385" s="9" t="n">
        <x:f>MIN(1,(AB2384/(AE2384*IF(v01_GroupInCrowding=1,N2385,MIN(J2385,L2385))))^v01_CrowdingExp)</x:f>
        <x:v>0.00024569414295285325</x:v>
      </x:c>
      <x:c r="Q2385" s="9" t="n">
        <x:f>IF(D2385=1,INDEX(v01_WinterMult,G2385),1)</x:f>
        <x:v>1</x:v>
      </x:c>
      <x:c r="R2385" s="9" t="n">
        <x:f>H2385*Z2384*v01_WomenShare*v01_BaseFertility*INDEX(v01_FertMult,G2385)*Arch_Fertility*(1-P2385)</x:f>
        <x:v>0</x:v>
      </x:c>
      <x:c r="S2385" s="9" t="n">
        <x:f>H2385*Y2384*INDEX(v01_MortChild,G2385)/4*Q2385</x:f>
        <x:v>0</x:v>
      </x:c>
      <x:c r="T2385" s="9" t="n">
        <x:f>H2385*Z2384*INDEX(v01_MortAdult,G2385)*Arch_AdultMort/4*Q2385</x:f>
        <x:v>0</x:v>
      </x:c>
      <x:c r="U2385" s="9" t="n">
        <x:f>H2385*AA2384*INDEX(v01_MortElder,G2385)/4*Q2385</x:f>
        <x:v>0</x:v>
      </x:c>
      <x:c r="V2385" s="9" t="n">
        <x:f>H2385*MAX(0,AB2384-O2385)*v01_OvercapLoss</x:f>
        <x:v>0</x:v>
      </x:c>
      <x:c r="W2385" s="9" t="n">
        <x:f>H2385*Y2384/(v01_ChildYears*4)</x:f>
        <x:v>0</x:v>
      </x:c>
      <x:c r="X2385" s="9" t="n">
        <x:f>H2385*Z2384/(v01_AdultYears*4)</x:f>
        <x:v>0</x:v>
      </x:c>
      <x:c r="Y2385" s="32" t="n">
        <x:f>Y2384+R2385-S2385-W2385-Y2384*V2385/AB2384</x:f>
        <x:v>14306.18539759397</x:v>
      </x:c>
      <x:c r="Z2385" s="32" t="n">
        <x:f>Z2384+W2385-X2385-T2385-Z2384*V2385/AB2384</x:f>
        <x:v>19354.456567879548</x:v>
      </x:c>
      <x:c r="AA2385" s="32" t="n">
        <x:f>AA2384+X2385-U2385-AA2384*V2385/AB2384</x:f>
        <x:v>11386.956063258198</x:v>
      </x:c>
      <x:c r="AB2385" s="10" t="n">
        <x:f>Y2385+Z2385+AA2385</x:f>
        <x:v>45047.59802873172</x:v>
      </x:c>
      <x:c r="AC2385" s="8" t="n">
        <x:f>IF(AND(v01_WinterTrigger=1,D2385=1,AB2384/AE2384&gt;=K2385),1,0)</x:f>
        <x:v>0</x:v>
      </x:c>
      <x:c r="AD2385" s="8" t="n">
        <x:f>H2385*IF(AND(OR(AB2384/AE2384&gt;=v01_FissionTrigger*N2385,AC2385=1),AB2384/AE2384*v01_DaughterShare&gt;=v01_MinDaughter),MAX(1,ROUND(AE2384*v01_FissionRate,0)),0)</x:f>
        <x:v>0</x:v>
      </x:c>
      <x:c r="AE2385" s="8" t="n">
        <x:f>IF(H2385=1,MAX(1,MIN(INDEX(v01_Smax,G2385),AE2384+AD2385)),AE2384)</x:f>
        <x:v>15</x:v>
      </x:c>
      <x:c r="AF2385" s="8" t="n">
        <x:f>MAX(0,AE2385-AE2384)</x:f>
        <x:v>0</x:v>
      </x:c>
      <x:c r="AG2385" s="9" t="str">
        <x:f>IF(AF2385&gt;0,B2385,"")</x:f>
      </x:c>
      <x:c r="AH2385" s="9" t="n">
        <x:f>IF(F2385&gt;=1,1,(1+v01_LowTiesShare*(AE2385-1))/AE2385)</x:f>
        <x:v>1</x:v>
      </x:c>
      <x:c r="AI2385" s="32" t="n">
        <x:f>(Z2385+v01_ElderCommons*INDEX(LM_Elder,G2385)*AA2385)*AH2385</x:f>
        <x:v>64139.732591141874</x:v>
      </x:c>
      <x:c r="AJ2385" s="32" t="n">
        <x:f>H2385*v01_CommonsCoef*AI2385^v01_CommonsExp*INDEX(LM_Commons,G2385)</x:f>
        <x:v>0</x:v>
      </x:c>
      <x:c r="AK2385" s="32" t="n">
        <x:f>H2385*v01_RoleScale*Arch_Roles*(AE2385*(INDEX(v01_ElderRolePerSett,G2385)*v01_OutElder*INDEX(LM_Elder,G2385)+INDEX(v01_ShamanPerSett,G2385)*v01_OutShaman)+Z2385*(INDEX(v01_PriestShare,G2385)*v01_OutPriest+INDEX(v01_ScribeShare,G2385)*v01_OutScribe*INDEX(LM_Scribe,G2385)+INDEX(v01_ScholarShare,G2385)*v01_OutScholar*INDEX(LM_Scholar,G2385)+INDEX(v01_ResearcherShare,G2385)*v01_OutResearcher*INDEX(LM_Researcher,G2385)))</x:f>
        <x:v>0</x:v>
      </x:c>
      <x:c r="AL2385" s="32" t="n">
        <x:f>H2385*v01_RoleScale*Arch_Roles*AE2385*INDEX(v01_MonasteryPerSett,G2385)*v01_OutMonastery*INDEX(LM_Monastery,G2385)</x:f>
        <x:v>0</x:v>
      </x:c>
      <x:c r="AM2385" s="32" t="n">
        <x:f>(AJ2385+AK2385+AL2385)/4*INDEX(LM_All,G2385)*INDEX(v01_Boon,G2385)*Arch_Insight</x:f>
        <x:v>0</x:v>
      </x:c>
      <x:c r="AN2385" s="32" t="n">
        <x:f>H2385*(v01_KHPerAdult*Z2385+v01_KHOfCommons*AJ2385/4*INDEX(LM_All,G2385))*v01_KHUsable*Arch_KH</x:f>
        <x:v>0</x:v>
      </x:c>
      <x:c r="AO2385" s="32" t="n">
        <x:f>MIN(AP2384+AN2385,AM2385*v01_KHMaxRatio)</x:f>
        <x:v>0</x:v>
      </x:c>
      <x:c r="AP2385" s="32" t="n">
        <x:f>AP2384+AN2385-AO2385</x:f>
        <x:v>0</x:v>
      </x:c>
      <x:c r="AQ2385" s="32" t="n">
        <x:f>AM2385+AO2385</x:f>
        <x:v>0</x:v>
      </x:c>
      <x:c r="AR2385" s="10" t="n">
        <x:f>IF(H2385=1,INDEX(v01_Req,G2385),0)</x:f>
        <x:v>0</x:v>
      </x:c>
      <x:c r="AS2385" s="32" t="n">
        <x:f>IF(H2385=1,IF(E2385=1,AS2384-AR2384,AS2384)+AQ2385,0)</x:f>
        <x:v>0</x:v>
      </x:c>
      <x:c r="AT2385" s="11" t="n">
        <x:f>IF(AR2385&gt;0,MIN(1,AS2385/AR2385),1)</x:f>
        <x:v>1</x:v>
      </x:c>
      <x:c r="AU2385" s="10" t="n">
        <x:f>AB2385/INDEX(v01_RepScale,G2385)</x:f>
        <x:v>90.09519605746344</x:v>
      </x:c>
      <x:c r="AV2385" s="32" t="n">
        <x:f>AM2385*60/v01_SeasonSeconds</x:f>
        <x:v>0</x:v>
      </x:c>
    </x:row>
    <x:row r="2386">
      <x:c r="A2386" s="8" t="n">
        <x:f>A2385+1</x:f>
        <x:v>2383</x:v>
      </x:c>
      <x:c r="B2386" s="9" t="n">
        <x:f>A2386*v01_SeasonSeconds/60</x:f>
        <x:v>595.75</x:v>
      </x:c>
      <x:c r="C2386" s="9" t="n">
        <x:f>A2386/4</x:f>
        <x:v>595.75</x:v>
      </x:c>
      <x:c r="D2386" s="8" t="n">
        <x:f>IF(MOD(A2386,4)=0,1,0)</x:f>
        <x:v>0</x:v>
      </x:c>
      <x:c r="E2386" s="8" t="n">
        <x:f>IF(AND(F2385&lt;=9,AS2385&gt;=AR2385),1,0)</x:f>
        <x:v>0</x:v>
      </x:c>
      <x:c r="F2386" s="8" t="n">
        <x:f>MIN(10,F2385+E2386)</x:f>
        <x:v>10</x:v>
      </x:c>
      <x:c r="G2386" s="8" t="n">
        <x:f>MIN(F2386,9)+1</x:f>
        <x:v>10</x:v>
      </x:c>
      <x:c r="H2386" s="8" t="n">
        <x:f>IF(F2386&lt;=9,1,0)</x:f>
        <x:v>0</x:v>
      </x:c>
      <x:c r="I2386" s="9" t="n">
        <x:f>MIN(10,F2385+IF(AR2385&gt;0,MIN(1,AS2385/AR2385),1))</x:f>
        <x:v>10</x:v>
      </x:c>
      <x:c r="J2386" s="32" t="n">
        <x:f>INDEX(v01_FoodCap,G2386)*Arch_FoodCap*EXP(v01_CapsByProject*SUMPRODUCT((Cap_Point&lt;=I2386)*(Cap_Kind="Food")*Cap_Ln))</x:f>
        <x:v>12000</x:v>
      </x:c>
      <x:c r="K2386" s="32" t="n">
        <x:f>J2386*MIN(1,v01_LeanBase*EXP(v01_CapsByProject*SUMPRODUCT((Cap_Point&lt;=I2386)*(Cap_Kind="Lean")*Cap_Ln)))</x:f>
        <x:v>12000</x:v>
      </x:c>
      <x:c r="L2386" s="10" t="n">
        <x:f>INDEX(v01_HousingCap,G2386)*EXP(v01_CapsByProject*SUMPRODUCT((Cap_Point&lt;=I2386)*(Cap_Kind="Housing")*Cap_Ln))</x:f>
        <x:v>20000</x:v>
      </x:c>
      <x:c r="M2386" s="10" t="n">
        <x:f>INDEX(v01_GroupCap,G2386)*v01_CohesionFactor*EXP(v01_CapsByProject*SUMPRODUCT((Cap_Point&lt;=I2386)*(Cap_Kind="Group")*Cap_Ln))</x:f>
        <x:v>1000000</x:v>
      </x:c>
      <x:c r="N2386" s="32" t="n">
        <x:f>MIN(J2386,L2386,M2386)</x:f>
        <x:v>12000</x:v>
      </x:c>
      <x:c r="O2386" s="10" t="n">
        <x:f>AE2385*N2386</x:f>
        <x:v>180000</x:v>
      </x:c>
      <x:c r="P2386" s="9" t="n">
        <x:f>MIN(1,(AB2385/(AE2385*IF(v01_GroupInCrowding=1,N2386,MIN(J2386,L2386))))^v01_CrowdingExp)</x:f>
        <x:v>0.00024569414295285325</x:v>
      </x:c>
      <x:c r="Q2386" s="9" t="n">
        <x:f>IF(D2386=1,INDEX(v01_WinterMult,G2386),1)</x:f>
        <x:v>1</x:v>
      </x:c>
      <x:c r="R2386" s="9" t="n">
        <x:f>H2386*Z2385*v01_WomenShare*v01_BaseFertility*INDEX(v01_FertMult,G2386)*Arch_Fertility*(1-P2386)</x:f>
        <x:v>0</x:v>
      </x:c>
      <x:c r="S2386" s="9" t="n">
        <x:f>H2386*Y2385*INDEX(v01_MortChild,G2386)/4*Q2386</x:f>
        <x:v>0</x:v>
      </x:c>
      <x:c r="T2386" s="9" t="n">
        <x:f>H2386*Z2385*INDEX(v01_MortAdult,G2386)*Arch_AdultMort/4*Q2386</x:f>
        <x:v>0</x:v>
      </x:c>
      <x:c r="U2386" s="9" t="n">
        <x:f>H2386*AA2385*INDEX(v01_MortElder,G2386)/4*Q2386</x:f>
        <x:v>0</x:v>
      </x:c>
      <x:c r="V2386" s="9" t="n">
        <x:f>H2386*MAX(0,AB2385-O2386)*v01_OvercapLoss</x:f>
        <x:v>0</x:v>
      </x:c>
      <x:c r="W2386" s="9" t="n">
        <x:f>H2386*Y2385/(v01_ChildYears*4)</x:f>
        <x:v>0</x:v>
      </x:c>
      <x:c r="X2386" s="9" t="n">
        <x:f>H2386*Z2385/(v01_AdultYears*4)</x:f>
        <x:v>0</x:v>
      </x:c>
      <x:c r="Y2386" s="32" t="n">
        <x:f>Y2385+R2386-S2386-W2386-Y2385*V2386/AB2385</x:f>
        <x:v>14306.18539759397</x:v>
      </x:c>
      <x:c r="Z2386" s="32" t="n">
        <x:f>Z2385+W2386-X2386-T2386-Z2385*V2386/AB2385</x:f>
        <x:v>19354.456567879548</x:v>
      </x:c>
      <x:c r="AA2386" s="32" t="n">
        <x:f>AA2385+X2386-U2386-AA2385*V2386/AB2385</x:f>
        <x:v>11386.956063258198</x:v>
      </x:c>
      <x:c r="AB2386" s="10" t="n">
        <x:f>Y2386+Z2386+AA2386</x:f>
        <x:v>45047.59802873172</x:v>
      </x:c>
      <x:c r="AC2386" s="8" t="n">
        <x:f>IF(AND(v01_WinterTrigger=1,D2386=1,AB2385/AE2385&gt;=K2386),1,0)</x:f>
        <x:v>0</x:v>
      </x:c>
      <x:c r="AD2386" s="8" t="n">
        <x:f>H2386*IF(AND(OR(AB2385/AE2385&gt;=v01_FissionTrigger*N2386,AC2386=1),AB2385/AE2385*v01_DaughterShare&gt;=v01_MinDaughter),MAX(1,ROUND(AE2385*v01_FissionRate,0)),0)</x:f>
        <x:v>0</x:v>
      </x:c>
      <x:c r="AE2386" s="8" t="n">
        <x:f>IF(H2386=1,MAX(1,MIN(INDEX(v01_Smax,G2386),AE2385+AD2386)),AE2385)</x:f>
        <x:v>15</x:v>
      </x:c>
      <x:c r="AF2386" s="8" t="n">
        <x:f>MAX(0,AE2386-AE2385)</x:f>
        <x:v>0</x:v>
      </x:c>
      <x:c r="AG2386" s="9" t="str">
        <x:f>IF(AF2386&gt;0,B2386,"")</x:f>
      </x:c>
      <x:c r="AH2386" s="9" t="n">
        <x:f>IF(F2386&gt;=1,1,(1+v01_LowTiesShare*(AE2386-1))/AE2386)</x:f>
        <x:v>1</x:v>
      </x:c>
      <x:c r="AI2386" s="32" t="n">
        <x:f>(Z2386+v01_ElderCommons*INDEX(LM_Elder,G2386)*AA2386)*AH2386</x:f>
        <x:v>64139.732591141874</x:v>
      </x:c>
      <x:c r="AJ2386" s="32" t="n">
        <x:f>H2386*v01_CommonsCoef*AI2386^v01_CommonsExp*INDEX(LM_Commons,G2386)</x:f>
        <x:v>0</x:v>
      </x:c>
      <x:c r="AK2386" s="32" t="n">
        <x:f>H2386*v01_RoleScale*Arch_Roles*(AE2386*(INDEX(v01_ElderRolePerSett,G2386)*v01_OutElder*INDEX(LM_Elder,G2386)+INDEX(v01_ShamanPerSett,G2386)*v01_OutShaman)+Z2386*(INDEX(v01_PriestShare,G2386)*v01_OutPriest+INDEX(v01_ScribeShare,G2386)*v01_OutScribe*INDEX(LM_Scribe,G2386)+INDEX(v01_ScholarShare,G2386)*v01_OutScholar*INDEX(LM_Scholar,G2386)+INDEX(v01_ResearcherShare,G2386)*v01_OutResearcher*INDEX(LM_Researcher,G2386)))</x:f>
        <x:v>0</x:v>
      </x:c>
      <x:c r="AL2386" s="32" t="n">
        <x:f>H2386*v01_RoleScale*Arch_Roles*AE2386*INDEX(v01_MonasteryPerSett,G2386)*v01_OutMonastery*INDEX(LM_Monastery,G2386)</x:f>
        <x:v>0</x:v>
      </x:c>
      <x:c r="AM2386" s="32" t="n">
        <x:f>(AJ2386+AK2386+AL2386)/4*INDEX(LM_All,G2386)*INDEX(v01_Boon,G2386)*Arch_Insight</x:f>
        <x:v>0</x:v>
      </x:c>
      <x:c r="AN2386" s="32" t="n">
        <x:f>H2386*(v01_KHPerAdult*Z2386+v01_KHOfCommons*AJ2386/4*INDEX(LM_All,G2386))*v01_KHUsable*Arch_KH</x:f>
        <x:v>0</x:v>
      </x:c>
      <x:c r="AO2386" s="32" t="n">
        <x:f>MIN(AP2385+AN2386,AM2386*v01_KHMaxRatio)</x:f>
        <x:v>0</x:v>
      </x:c>
      <x:c r="AP2386" s="32" t="n">
        <x:f>AP2385+AN2386-AO2386</x:f>
        <x:v>0</x:v>
      </x:c>
      <x:c r="AQ2386" s="32" t="n">
        <x:f>AM2386+AO2386</x:f>
        <x:v>0</x:v>
      </x:c>
      <x:c r="AR2386" s="10" t="n">
        <x:f>IF(H2386=1,INDEX(v01_Req,G2386),0)</x:f>
        <x:v>0</x:v>
      </x:c>
      <x:c r="AS2386" s="32" t="n">
        <x:f>IF(H2386=1,IF(E2386=1,AS2385-AR2385,AS2385)+AQ2386,0)</x:f>
        <x:v>0</x:v>
      </x:c>
      <x:c r="AT2386" s="11" t="n">
        <x:f>IF(AR2386&gt;0,MIN(1,AS2386/AR2386),1)</x:f>
        <x:v>1</x:v>
      </x:c>
      <x:c r="AU2386" s="10" t="n">
        <x:f>AB2386/INDEX(v01_RepScale,G2386)</x:f>
        <x:v>90.09519605746344</x:v>
      </x:c>
      <x:c r="AV2386" s="32" t="n">
        <x:f>AM2386*60/v01_SeasonSeconds</x:f>
        <x:v>0</x:v>
      </x:c>
    </x:row>
    <x:row r="2387">
      <x:c r="A2387" s="8" t="n">
        <x:f>A2386+1</x:f>
        <x:v>2384</x:v>
      </x:c>
      <x:c r="B2387" s="9" t="n">
        <x:f>A2387*v01_SeasonSeconds/60</x:f>
        <x:v>596</x:v>
      </x:c>
      <x:c r="C2387" s="9" t="n">
        <x:f>A2387/4</x:f>
        <x:v>596</x:v>
      </x:c>
      <x:c r="D2387" s="8" t="n">
        <x:f>IF(MOD(A2387,4)=0,1,0)</x:f>
        <x:v>1</x:v>
      </x:c>
      <x:c r="E2387" s="8" t="n">
        <x:f>IF(AND(F2386&lt;=9,AS2386&gt;=AR2386),1,0)</x:f>
        <x:v>0</x:v>
      </x:c>
      <x:c r="F2387" s="8" t="n">
        <x:f>MIN(10,F2386+E2387)</x:f>
        <x:v>10</x:v>
      </x:c>
      <x:c r="G2387" s="8" t="n">
        <x:f>MIN(F2387,9)+1</x:f>
        <x:v>10</x:v>
      </x:c>
      <x:c r="H2387" s="8" t="n">
        <x:f>IF(F2387&lt;=9,1,0)</x:f>
        <x:v>0</x:v>
      </x:c>
      <x:c r="I2387" s="9" t="n">
        <x:f>MIN(10,F2386+IF(AR2386&gt;0,MIN(1,AS2386/AR2386),1))</x:f>
        <x:v>10</x:v>
      </x:c>
      <x:c r="J2387" s="32" t="n">
        <x:f>INDEX(v01_FoodCap,G2387)*Arch_FoodCap*EXP(v01_CapsByProject*SUMPRODUCT((Cap_Point&lt;=I2387)*(Cap_Kind="Food")*Cap_Ln))</x:f>
        <x:v>12000</x:v>
      </x:c>
      <x:c r="K2387" s="32" t="n">
        <x:f>J2387*MIN(1,v01_LeanBase*EXP(v01_CapsByProject*SUMPRODUCT((Cap_Point&lt;=I2387)*(Cap_Kind="Lean")*Cap_Ln)))</x:f>
        <x:v>12000</x:v>
      </x:c>
      <x:c r="L2387" s="10" t="n">
        <x:f>INDEX(v01_HousingCap,G2387)*EXP(v01_CapsByProject*SUMPRODUCT((Cap_Point&lt;=I2387)*(Cap_Kind="Housing")*Cap_Ln))</x:f>
        <x:v>20000</x:v>
      </x:c>
      <x:c r="M2387" s="10" t="n">
        <x:f>INDEX(v01_GroupCap,G2387)*v01_CohesionFactor*EXP(v01_CapsByProject*SUMPRODUCT((Cap_Point&lt;=I2387)*(Cap_Kind="Group")*Cap_Ln))</x:f>
        <x:v>1000000</x:v>
      </x:c>
      <x:c r="N2387" s="32" t="n">
        <x:f>MIN(J2387,L2387,M2387)</x:f>
        <x:v>12000</x:v>
      </x:c>
      <x:c r="O2387" s="10" t="n">
        <x:f>AE2386*N2387</x:f>
        <x:v>180000</x:v>
      </x:c>
      <x:c r="P2387" s="9" t="n">
        <x:f>MIN(1,(AB2386/(AE2386*IF(v01_GroupInCrowding=1,N2387,MIN(J2387,L2387))))^v01_CrowdingExp)</x:f>
        <x:v>0.00024569414295285325</x:v>
      </x:c>
      <x:c r="Q2387" s="9" t="n">
        <x:f>IF(D2387=1,INDEX(v01_WinterMult,G2387),1)</x:f>
        <x:v>1</x:v>
      </x:c>
      <x:c r="R2387" s="9" t="n">
        <x:f>H2387*Z2386*v01_WomenShare*v01_BaseFertility*INDEX(v01_FertMult,G2387)*Arch_Fertility*(1-P2387)</x:f>
        <x:v>0</x:v>
      </x:c>
      <x:c r="S2387" s="9" t="n">
        <x:f>H2387*Y2386*INDEX(v01_MortChild,G2387)/4*Q2387</x:f>
        <x:v>0</x:v>
      </x:c>
      <x:c r="T2387" s="9" t="n">
        <x:f>H2387*Z2386*INDEX(v01_MortAdult,G2387)*Arch_AdultMort/4*Q2387</x:f>
        <x:v>0</x:v>
      </x:c>
      <x:c r="U2387" s="9" t="n">
        <x:f>H2387*AA2386*INDEX(v01_MortElder,G2387)/4*Q2387</x:f>
        <x:v>0</x:v>
      </x:c>
      <x:c r="V2387" s="9" t="n">
        <x:f>H2387*MAX(0,AB2386-O2387)*v01_OvercapLoss</x:f>
        <x:v>0</x:v>
      </x:c>
      <x:c r="W2387" s="9" t="n">
        <x:f>H2387*Y2386/(v01_ChildYears*4)</x:f>
        <x:v>0</x:v>
      </x:c>
      <x:c r="X2387" s="9" t="n">
        <x:f>H2387*Z2386/(v01_AdultYears*4)</x:f>
        <x:v>0</x:v>
      </x:c>
      <x:c r="Y2387" s="32" t="n">
        <x:f>Y2386+R2387-S2387-W2387-Y2386*V2387/AB2386</x:f>
        <x:v>14306.18539759397</x:v>
      </x:c>
      <x:c r="Z2387" s="32" t="n">
        <x:f>Z2386+W2387-X2387-T2387-Z2386*V2387/AB2386</x:f>
        <x:v>19354.456567879548</x:v>
      </x:c>
      <x:c r="AA2387" s="32" t="n">
        <x:f>AA2386+X2387-U2387-AA2386*V2387/AB2386</x:f>
        <x:v>11386.956063258198</x:v>
      </x:c>
      <x:c r="AB2387" s="10" t="n">
        <x:f>Y2387+Z2387+AA2387</x:f>
        <x:v>45047.59802873172</x:v>
      </x:c>
      <x:c r="AC2387" s="8" t="n">
        <x:f>IF(AND(v01_WinterTrigger=1,D2387=1,AB2386/AE2386&gt;=K2387),1,0)</x:f>
        <x:v>0</x:v>
      </x:c>
      <x:c r="AD2387" s="8" t="n">
        <x:f>H2387*IF(AND(OR(AB2386/AE2386&gt;=v01_FissionTrigger*N2387,AC2387=1),AB2386/AE2386*v01_DaughterShare&gt;=v01_MinDaughter),MAX(1,ROUND(AE2386*v01_FissionRate,0)),0)</x:f>
        <x:v>0</x:v>
      </x:c>
      <x:c r="AE2387" s="8" t="n">
        <x:f>IF(H2387=1,MAX(1,MIN(INDEX(v01_Smax,G2387),AE2386+AD2387)),AE2386)</x:f>
        <x:v>15</x:v>
      </x:c>
      <x:c r="AF2387" s="8" t="n">
        <x:f>MAX(0,AE2387-AE2386)</x:f>
        <x:v>0</x:v>
      </x:c>
      <x:c r="AG2387" s="9" t="str">
        <x:f>IF(AF2387&gt;0,B2387,"")</x:f>
      </x:c>
      <x:c r="AH2387" s="9" t="n">
        <x:f>IF(F2387&gt;=1,1,(1+v01_LowTiesShare*(AE2387-1))/AE2387)</x:f>
        <x:v>1</x:v>
      </x:c>
      <x:c r="AI2387" s="32" t="n">
        <x:f>(Z2387+v01_ElderCommons*INDEX(LM_Elder,G2387)*AA2387)*AH2387</x:f>
        <x:v>64139.732591141874</x:v>
      </x:c>
      <x:c r="AJ2387" s="32" t="n">
        <x:f>H2387*v01_CommonsCoef*AI2387^v01_CommonsExp*INDEX(LM_Commons,G2387)</x:f>
        <x:v>0</x:v>
      </x:c>
      <x:c r="AK2387" s="32" t="n">
        <x:f>H2387*v01_RoleScale*Arch_Roles*(AE2387*(INDEX(v01_ElderRolePerSett,G2387)*v01_OutElder*INDEX(LM_Elder,G2387)+INDEX(v01_ShamanPerSett,G2387)*v01_OutShaman)+Z2387*(INDEX(v01_PriestShare,G2387)*v01_OutPriest+INDEX(v01_ScribeShare,G2387)*v01_OutScribe*INDEX(LM_Scribe,G2387)+INDEX(v01_ScholarShare,G2387)*v01_OutScholar*INDEX(LM_Scholar,G2387)+INDEX(v01_ResearcherShare,G2387)*v01_OutResearcher*INDEX(LM_Researcher,G2387)))</x:f>
        <x:v>0</x:v>
      </x:c>
      <x:c r="AL2387" s="32" t="n">
        <x:f>H2387*v01_RoleScale*Arch_Roles*AE2387*INDEX(v01_MonasteryPerSett,G2387)*v01_OutMonastery*INDEX(LM_Monastery,G2387)</x:f>
        <x:v>0</x:v>
      </x:c>
      <x:c r="AM2387" s="32" t="n">
        <x:f>(AJ2387+AK2387+AL2387)/4*INDEX(LM_All,G2387)*INDEX(v01_Boon,G2387)*Arch_Insight</x:f>
        <x:v>0</x:v>
      </x:c>
      <x:c r="AN2387" s="32" t="n">
        <x:f>H2387*(v01_KHPerAdult*Z2387+v01_KHOfCommons*AJ2387/4*INDEX(LM_All,G2387))*v01_KHUsable*Arch_KH</x:f>
        <x:v>0</x:v>
      </x:c>
      <x:c r="AO2387" s="32" t="n">
        <x:f>MIN(AP2386+AN2387,AM2387*v01_KHMaxRatio)</x:f>
        <x:v>0</x:v>
      </x:c>
      <x:c r="AP2387" s="32" t="n">
        <x:f>AP2386+AN2387-AO2387</x:f>
        <x:v>0</x:v>
      </x:c>
      <x:c r="AQ2387" s="32" t="n">
        <x:f>AM2387+AO2387</x:f>
        <x:v>0</x:v>
      </x:c>
      <x:c r="AR2387" s="10" t="n">
        <x:f>IF(H2387=1,INDEX(v01_Req,G2387),0)</x:f>
        <x:v>0</x:v>
      </x:c>
      <x:c r="AS2387" s="32" t="n">
        <x:f>IF(H2387=1,IF(E2387=1,AS2386-AR2386,AS2386)+AQ2387,0)</x:f>
        <x:v>0</x:v>
      </x:c>
      <x:c r="AT2387" s="11" t="n">
        <x:f>IF(AR2387&gt;0,MIN(1,AS2387/AR2387),1)</x:f>
        <x:v>1</x:v>
      </x:c>
      <x:c r="AU2387" s="10" t="n">
        <x:f>AB2387/INDEX(v01_RepScale,G2387)</x:f>
        <x:v>90.09519605746344</x:v>
      </x:c>
      <x:c r="AV2387" s="32" t="n">
        <x:f>AM2387*60/v01_SeasonSeconds</x:f>
        <x:v>0</x:v>
      </x:c>
    </x:row>
    <x:row r="2388">
      <x:c r="A2388" s="8" t="n">
        <x:f>A2387+1</x:f>
        <x:v>2385</x:v>
      </x:c>
      <x:c r="B2388" s="9" t="n">
        <x:f>A2388*v01_SeasonSeconds/60</x:f>
        <x:v>596.25</x:v>
      </x:c>
      <x:c r="C2388" s="9" t="n">
        <x:f>A2388/4</x:f>
        <x:v>596.25</x:v>
      </x:c>
      <x:c r="D2388" s="8" t="n">
        <x:f>IF(MOD(A2388,4)=0,1,0)</x:f>
        <x:v>0</x:v>
      </x:c>
      <x:c r="E2388" s="8" t="n">
        <x:f>IF(AND(F2387&lt;=9,AS2387&gt;=AR2387),1,0)</x:f>
        <x:v>0</x:v>
      </x:c>
      <x:c r="F2388" s="8" t="n">
        <x:f>MIN(10,F2387+E2388)</x:f>
        <x:v>10</x:v>
      </x:c>
      <x:c r="G2388" s="8" t="n">
        <x:f>MIN(F2388,9)+1</x:f>
        <x:v>10</x:v>
      </x:c>
      <x:c r="H2388" s="8" t="n">
        <x:f>IF(F2388&lt;=9,1,0)</x:f>
        <x:v>0</x:v>
      </x:c>
      <x:c r="I2388" s="9" t="n">
        <x:f>MIN(10,F2387+IF(AR2387&gt;0,MIN(1,AS2387/AR2387),1))</x:f>
        <x:v>10</x:v>
      </x:c>
      <x:c r="J2388" s="32" t="n">
        <x:f>INDEX(v01_FoodCap,G2388)*Arch_FoodCap*EXP(v01_CapsByProject*SUMPRODUCT((Cap_Point&lt;=I2388)*(Cap_Kind="Food")*Cap_Ln))</x:f>
        <x:v>12000</x:v>
      </x:c>
      <x:c r="K2388" s="32" t="n">
        <x:f>J2388*MIN(1,v01_LeanBase*EXP(v01_CapsByProject*SUMPRODUCT((Cap_Point&lt;=I2388)*(Cap_Kind="Lean")*Cap_Ln)))</x:f>
        <x:v>12000</x:v>
      </x:c>
      <x:c r="L2388" s="10" t="n">
        <x:f>INDEX(v01_HousingCap,G2388)*EXP(v01_CapsByProject*SUMPRODUCT((Cap_Point&lt;=I2388)*(Cap_Kind="Housing")*Cap_Ln))</x:f>
        <x:v>20000</x:v>
      </x:c>
      <x:c r="M2388" s="10" t="n">
        <x:f>INDEX(v01_GroupCap,G2388)*v01_CohesionFactor*EXP(v01_CapsByProject*SUMPRODUCT((Cap_Point&lt;=I2388)*(Cap_Kind="Group")*Cap_Ln))</x:f>
        <x:v>1000000</x:v>
      </x:c>
      <x:c r="N2388" s="32" t="n">
        <x:f>MIN(J2388,L2388,M2388)</x:f>
        <x:v>12000</x:v>
      </x:c>
      <x:c r="O2388" s="10" t="n">
        <x:f>AE2387*N2388</x:f>
        <x:v>180000</x:v>
      </x:c>
      <x:c r="P2388" s="9" t="n">
        <x:f>MIN(1,(AB2387/(AE2387*IF(v01_GroupInCrowding=1,N2388,MIN(J2388,L2388))))^v01_CrowdingExp)</x:f>
        <x:v>0.00024569414295285325</x:v>
      </x:c>
      <x:c r="Q2388" s="9" t="n">
        <x:f>IF(D2388=1,INDEX(v01_WinterMult,G2388),1)</x:f>
        <x:v>1</x:v>
      </x:c>
      <x:c r="R2388" s="9" t="n">
        <x:f>H2388*Z2387*v01_WomenShare*v01_BaseFertility*INDEX(v01_FertMult,G2388)*Arch_Fertility*(1-P2388)</x:f>
        <x:v>0</x:v>
      </x:c>
      <x:c r="S2388" s="9" t="n">
        <x:f>H2388*Y2387*INDEX(v01_MortChild,G2388)/4*Q2388</x:f>
        <x:v>0</x:v>
      </x:c>
      <x:c r="T2388" s="9" t="n">
        <x:f>H2388*Z2387*INDEX(v01_MortAdult,G2388)*Arch_AdultMort/4*Q2388</x:f>
        <x:v>0</x:v>
      </x:c>
      <x:c r="U2388" s="9" t="n">
        <x:f>H2388*AA2387*INDEX(v01_MortElder,G2388)/4*Q2388</x:f>
        <x:v>0</x:v>
      </x:c>
      <x:c r="V2388" s="9" t="n">
        <x:f>H2388*MAX(0,AB2387-O2388)*v01_OvercapLoss</x:f>
        <x:v>0</x:v>
      </x:c>
      <x:c r="W2388" s="9" t="n">
        <x:f>H2388*Y2387/(v01_ChildYears*4)</x:f>
        <x:v>0</x:v>
      </x:c>
      <x:c r="X2388" s="9" t="n">
        <x:f>H2388*Z2387/(v01_AdultYears*4)</x:f>
        <x:v>0</x:v>
      </x:c>
      <x:c r="Y2388" s="32" t="n">
        <x:f>Y2387+R2388-S2388-W2388-Y2387*V2388/AB2387</x:f>
        <x:v>14306.18539759397</x:v>
      </x:c>
      <x:c r="Z2388" s="32" t="n">
        <x:f>Z2387+W2388-X2388-T2388-Z2387*V2388/AB2387</x:f>
        <x:v>19354.456567879548</x:v>
      </x:c>
      <x:c r="AA2388" s="32" t="n">
        <x:f>AA2387+X2388-U2388-AA2387*V2388/AB2387</x:f>
        <x:v>11386.956063258198</x:v>
      </x:c>
      <x:c r="AB2388" s="10" t="n">
        <x:f>Y2388+Z2388+AA2388</x:f>
        <x:v>45047.59802873172</x:v>
      </x:c>
      <x:c r="AC2388" s="8" t="n">
        <x:f>IF(AND(v01_WinterTrigger=1,D2388=1,AB2387/AE2387&gt;=K2388),1,0)</x:f>
        <x:v>0</x:v>
      </x:c>
      <x:c r="AD2388" s="8" t="n">
        <x:f>H2388*IF(AND(OR(AB2387/AE2387&gt;=v01_FissionTrigger*N2388,AC2388=1),AB2387/AE2387*v01_DaughterShare&gt;=v01_MinDaughter),MAX(1,ROUND(AE2387*v01_FissionRate,0)),0)</x:f>
        <x:v>0</x:v>
      </x:c>
      <x:c r="AE2388" s="8" t="n">
        <x:f>IF(H2388=1,MAX(1,MIN(INDEX(v01_Smax,G2388),AE2387+AD2388)),AE2387)</x:f>
        <x:v>15</x:v>
      </x:c>
      <x:c r="AF2388" s="8" t="n">
        <x:f>MAX(0,AE2388-AE2387)</x:f>
        <x:v>0</x:v>
      </x:c>
      <x:c r="AG2388" s="9" t="str">
        <x:f>IF(AF2388&gt;0,B2388,"")</x:f>
      </x:c>
      <x:c r="AH2388" s="9" t="n">
        <x:f>IF(F2388&gt;=1,1,(1+v01_LowTiesShare*(AE2388-1))/AE2388)</x:f>
        <x:v>1</x:v>
      </x:c>
      <x:c r="AI2388" s="32" t="n">
        <x:f>(Z2388+v01_ElderCommons*INDEX(LM_Elder,G2388)*AA2388)*AH2388</x:f>
        <x:v>64139.732591141874</x:v>
      </x:c>
      <x:c r="AJ2388" s="32" t="n">
        <x:f>H2388*v01_CommonsCoef*AI2388^v01_CommonsExp*INDEX(LM_Commons,G2388)</x:f>
        <x:v>0</x:v>
      </x:c>
      <x:c r="AK2388" s="32" t="n">
        <x:f>H2388*v01_RoleScale*Arch_Roles*(AE2388*(INDEX(v01_ElderRolePerSett,G2388)*v01_OutElder*INDEX(LM_Elder,G2388)+INDEX(v01_ShamanPerSett,G2388)*v01_OutShaman)+Z2388*(INDEX(v01_PriestShare,G2388)*v01_OutPriest+INDEX(v01_ScribeShare,G2388)*v01_OutScribe*INDEX(LM_Scribe,G2388)+INDEX(v01_ScholarShare,G2388)*v01_OutScholar*INDEX(LM_Scholar,G2388)+INDEX(v01_ResearcherShare,G2388)*v01_OutResearcher*INDEX(LM_Researcher,G2388)))</x:f>
        <x:v>0</x:v>
      </x:c>
      <x:c r="AL2388" s="32" t="n">
        <x:f>H2388*v01_RoleScale*Arch_Roles*AE2388*INDEX(v01_MonasteryPerSett,G2388)*v01_OutMonastery*INDEX(LM_Monastery,G2388)</x:f>
        <x:v>0</x:v>
      </x:c>
      <x:c r="AM2388" s="32" t="n">
        <x:f>(AJ2388+AK2388+AL2388)/4*INDEX(LM_All,G2388)*INDEX(v01_Boon,G2388)*Arch_Insight</x:f>
        <x:v>0</x:v>
      </x:c>
      <x:c r="AN2388" s="32" t="n">
        <x:f>H2388*(v01_KHPerAdult*Z2388+v01_KHOfCommons*AJ2388/4*INDEX(LM_All,G2388))*v01_KHUsable*Arch_KH</x:f>
        <x:v>0</x:v>
      </x:c>
      <x:c r="AO2388" s="32" t="n">
        <x:f>MIN(AP2387+AN2388,AM2388*v01_KHMaxRatio)</x:f>
        <x:v>0</x:v>
      </x:c>
      <x:c r="AP2388" s="32" t="n">
        <x:f>AP2387+AN2388-AO2388</x:f>
        <x:v>0</x:v>
      </x:c>
      <x:c r="AQ2388" s="32" t="n">
        <x:f>AM2388+AO2388</x:f>
        <x:v>0</x:v>
      </x:c>
      <x:c r="AR2388" s="10" t="n">
        <x:f>IF(H2388=1,INDEX(v01_Req,G2388),0)</x:f>
        <x:v>0</x:v>
      </x:c>
      <x:c r="AS2388" s="32" t="n">
        <x:f>IF(H2388=1,IF(E2388=1,AS2387-AR2387,AS2387)+AQ2388,0)</x:f>
        <x:v>0</x:v>
      </x:c>
      <x:c r="AT2388" s="11" t="n">
        <x:f>IF(AR2388&gt;0,MIN(1,AS2388/AR2388),1)</x:f>
        <x:v>1</x:v>
      </x:c>
      <x:c r="AU2388" s="10" t="n">
        <x:f>AB2388/INDEX(v01_RepScale,G2388)</x:f>
        <x:v>90.09519605746344</x:v>
      </x:c>
      <x:c r="AV2388" s="32" t="n">
        <x:f>AM2388*60/v01_SeasonSeconds</x:f>
        <x:v>0</x:v>
      </x:c>
    </x:row>
    <x:row r="2389">
      <x:c r="A2389" s="8" t="n">
        <x:f>A2388+1</x:f>
        <x:v>2386</x:v>
      </x:c>
      <x:c r="B2389" s="9" t="n">
        <x:f>A2389*v01_SeasonSeconds/60</x:f>
        <x:v>596.5</x:v>
      </x:c>
      <x:c r="C2389" s="9" t="n">
        <x:f>A2389/4</x:f>
        <x:v>596.5</x:v>
      </x:c>
      <x:c r="D2389" s="8" t="n">
        <x:f>IF(MOD(A2389,4)=0,1,0)</x:f>
        <x:v>0</x:v>
      </x:c>
      <x:c r="E2389" s="8" t="n">
        <x:f>IF(AND(F2388&lt;=9,AS2388&gt;=AR2388),1,0)</x:f>
        <x:v>0</x:v>
      </x:c>
      <x:c r="F2389" s="8" t="n">
        <x:f>MIN(10,F2388+E2389)</x:f>
        <x:v>10</x:v>
      </x:c>
      <x:c r="G2389" s="8" t="n">
        <x:f>MIN(F2389,9)+1</x:f>
        <x:v>10</x:v>
      </x:c>
      <x:c r="H2389" s="8" t="n">
        <x:f>IF(F2389&lt;=9,1,0)</x:f>
        <x:v>0</x:v>
      </x:c>
      <x:c r="I2389" s="9" t="n">
        <x:f>MIN(10,F2388+IF(AR2388&gt;0,MIN(1,AS2388/AR2388),1))</x:f>
        <x:v>10</x:v>
      </x:c>
      <x:c r="J2389" s="32" t="n">
        <x:f>INDEX(v01_FoodCap,G2389)*Arch_FoodCap*EXP(v01_CapsByProject*SUMPRODUCT((Cap_Point&lt;=I2389)*(Cap_Kind="Food")*Cap_Ln))</x:f>
        <x:v>12000</x:v>
      </x:c>
      <x:c r="K2389" s="32" t="n">
        <x:f>J2389*MIN(1,v01_LeanBase*EXP(v01_CapsByProject*SUMPRODUCT((Cap_Point&lt;=I2389)*(Cap_Kind="Lean")*Cap_Ln)))</x:f>
        <x:v>12000</x:v>
      </x:c>
      <x:c r="L2389" s="10" t="n">
        <x:f>INDEX(v01_HousingCap,G2389)*EXP(v01_CapsByProject*SUMPRODUCT((Cap_Point&lt;=I2389)*(Cap_Kind="Housing")*Cap_Ln))</x:f>
        <x:v>20000</x:v>
      </x:c>
      <x:c r="M2389" s="10" t="n">
        <x:f>INDEX(v01_GroupCap,G2389)*v01_CohesionFactor*EXP(v01_CapsByProject*SUMPRODUCT((Cap_Point&lt;=I2389)*(Cap_Kind="Group")*Cap_Ln))</x:f>
        <x:v>1000000</x:v>
      </x:c>
      <x:c r="N2389" s="32" t="n">
        <x:f>MIN(J2389,L2389,M2389)</x:f>
        <x:v>12000</x:v>
      </x:c>
      <x:c r="O2389" s="10" t="n">
        <x:f>AE2388*N2389</x:f>
        <x:v>180000</x:v>
      </x:c>
      <x:c r="P2389" s="9" t="n">
        <x:f>MIN(1,(AB2388/(AE2388*IF(v01_GroupInCrowding=1,N2389,MIN(J2389,L2389))))^v01_CrowdingExp)</x:f>
        <x:v>0.00024569414295285325</x:v>
      </x:c>
      <x:c r="Q2389" s="9" t="n">
        <x:f>IF(D2389=1,INDEX(v01_WinterMult,G2389),1)</x:f>
        <x:v>1</x:v>
      </x:c>
      <x:c r="R2389" s="9" t="n">
        <x:f>H2389*Z2388*v01_WomenShare*v01_BaseFertility*INDEX(v01_FertMult,G2389)*Arch_Fertility*(1-P2389)</x:f>
        <x:v>0</x:v>
      </x:c>
      <x:c r="S2389" s="9" t="n">
        <x:f>H2389*Y2388*INDEX(v01_MortChild,G2389)/4*Q2389</x:f>
        <x:v>0</x:v>
      </x:c>
      <x:c r="T2389" s="9" t="n">
        <x:f>H2389*Z2388*INDEX(v01_MortAdult,G2389)*Arch_AdultMort/4*Q2389</x:f>
        <x:v>0</x:v>
      </x:c>
      <x:c r="U2389" s="9" t="n">
        <x:f>H2389*AA2388*INDEX(v01_MortElder,G2389)/4*Q2389</x:f>
        <x:v>0</x:v>
      </x:c>
      <x:c r="V2389" s="9" t="n">
        <x:f>H2389*MAX(0,AB2388-O2389)*v01_OvercapLoss</x:f>
        <x:v>0</x:v>
      </x:c>
      <x:c r="W2389" s="9" t="n">
        <x:f>H2389*Y2388/(v01_ChildYears*4)</x:f>
        <x:v>0</x:v>
      </x:c>
      <x:c r="X2389" s="9" t="n">
        <x:f>H2389*Z2388/(v01_AdultYears*4)</x:f>
        <x:v>0</x:v>
      </x:c>
      <x:c r="Y2389" s="32" t="n">
        <x:f>Y2388+R2389-S2389-W2389-Y2388*V2389/AB2388</x:f>
        <x:v>14306.18539759397</x:v>
      </x:c>
      <x:c r="Z2389" s="32" t="n">
        <x:f>Z2388+W2389-X2389-T2389-Z2388*V2389/AB2388</x:f>
        <x:v>19354.456567879548</x:v>
      </x:c>
      <x:c r="AA2389" s="32" t="n">
        <x:f>AA2388+X2389-U2389-AA2388*V2389/AB2388</x:f>
        <x:v>11386.956063258198</x:v>
      </x:c>
      <x:c r="AB2389" s="10" t="n">
        <x:f>Y2389+Z2389+AA2389</x:f>
        <x:v>45047.59802873172</x:v>
      </x:c>
      <x:c r="AC2389" s="8" t="n">
        <x:f>IF(AND(v01_WinterTrigger=1,D2389=1,AB2388/AE2388&gt;=K2389),1,0)</x:f>
        <x:v>0</x:v>
      </x:c>
      <x:c r="AD2389" s="8" t="n">
        <x:f>H2389*IF(AND(OR(AB2388/AE2388&gt;=v01_FissionTrigger*N2389,AC2389=1),AB2388/AE2388*v01_DaughterShare&gt;=v01_MinDaughter),MAX(1,ROUND(AE2388*v01_FissionRate,0)),0)</x:f>
        <x:v>0</x:v>
      </x:c>
      <x:c r="AE2389" s="8" t="n">
        <x:f>IF(H2389=1,MAX(1,MIN(INDEX(v01_Smax,G2389),AE2388+AD2389)),AE2388)</x:f>
        <x:v>15</x:v>
      </x:c>
      <x:c r="AF2389" s="8" t="n">
        <x:f>MAX(0,AE2389-AE2388)</x:f>
        <x:v>0</x:v>
      </x:c>
      <x:c r="AG2389" s="9" t="str">
        <x:f>IF(AF2389&gt;0,B2389,"")</x:f>
      </x:c>
      <x:c r="AH2389" s="9" t="n">
        <x:f>IF(F2389&gt;=1,1,(1+v01_LowTiesShare*(AE2389-1))/AE2389)</x:f>
        <x:v>1</x:v>
      </x:c>
      <x:c r="AI2389" s="32" t="n">
        <x:f>(Z2389+v01_ElderCommons*INDEX(LM_Elder,G2389)*AA2389)*AH2389</x:f>
        <x:v>64139.732591141874</x:v>
      </x:c>
      <x:c r="AJ2389" s="32" t="n">
        <x:f>H2389*v01_CommonsCoef*AI2389^v01_CommonsExp*INDEX(LM_Commons,G2389)</x:f>
        <x:v>0</x:v>
      </x:c>
      <x:c r="AK2389" s="32" t="n">
        <x:f>H2389*v01_RoleScale*Arch_Roles*(AE2389*(INDEX(v01_ElderRolePerSett,G2389)*v01_OutElder*INDEX(LM_Elder,G2389)+INDEX(v01_ShamanPerSett,G2389)*v01_OutShaman)+Z2389*(INDEX(v01_PriestShare,G2389)*v01_OutPriest+INDEX(v01_ScribeShare,G2389)*v01_OutScribe*INDEX(LM_Scribe,G2389)+INDEX(v01_ScholarShare,G2389)*v01_OutScholar*INDEX(LM_Scholar,G2389)+INDEX(v01_ResearcherShare,G2389)*v01_OutResearcher*INDEX(LM_Researcher,G2389)))</x:f>
        <x:v>0</x:v>
      </x:c>
      <x:c r="AL2389" s="32" t="n">
        <x:f>H2389*v01_RoleScale*Arch_Roles*AE2389*INDEX(v01_MonasteryPerSett,G2389)*v01_OutMonastery*INDEX(LM_Monastery,G2389)</x:f>
        <x:v>0</x:v>
      </x:c>
      <x:c r="AM2389" s="32" t="n">
        <x:f>(AJ2389+AK2389+AL2389)/4*INDEX(LM_All,G2389)*INDEX(v01_Boon,G2389)*Arch_Insight</x:f>
        <x:v>0</x:v>
      </x:c>
      <x:c r="AN2389" s="32" t="n">
        <x:f>H2389*(v01_KHPerAdult*Z2389+v01_KHOfCommons*AJ2389/4*INDEX(LM_All,G2389))*v01_KHUsable*Arch_KH</x:f>
        <x:v>0</x:v>
      </x:c>
      <x:c r="AO2389" s="32" t="n">
        <x:f>MIN(AP2388+AN2389,AM2389*v01_KHMaxRatio)</x:f>
        <x:v>0</x:v>
      </x:c>
      <x:c r="AP2389" s="32" t="n">
        <x:f>AP2388+AN2389-AO2389</x:f>
        <x:v>0</x:v>
      </x:c>
      <x:c r="AQ2389" s="32" t="n">
        <x:f>AM2389+AO2389</x:f>
        <x:v>0</x:v>
      </x:c>
      <x:c r="AR2389" s="10" t="n">
        <x:f>IF(H2389=1,INDEX(v01_Req,G2389),0)</x:f>
        <x:v>0</x:v>
      </x:c>
      <x:c r="AS2389" s="32" t="n">
        <x:f>IF(H2389=1,IF(E2389=1,AS2388-AR2388,AS2388)+AQ2389,0)</x:f>
        <x:v>0</x:v>
      </x:c>
      <x:c r="AT2389" s="11" t="n">
        <x:f>IF(AR2389&gt;0,MIN(1,AS2389/AR2389),1)</x:f>
        <x:v>1</x:v>
      </x:c>
      <x:c r="AU2389" s="10" t="n">
        <x:f>AB2389/INDEX(v01_RepScale,G2389)</x:f>
        <x:v>90.09519605746344</x:v>
      </x:c>
      <x:c r="AV2389" s="32" t="n">
        <x:f>AM2389*60/v01_SeasonSeconds</x:f>
        <x:v>0</x:v>
      </x:c>
    </x:row>
    <x:row r="2390">
      <x:c r="A2390" s="8" t="n">
        <x:f>A2389+1</x:f>
        <x:v>2387</x:v>
      </x:c>
      <x:c r="B2390" s="9" t="n">
        <x:f>A2390*v01_SeasonSeconds/60</x:f>
        <x:v>596.75</x:v>
      </x:c>
      <x:c r="C2390" s="9" t="n">
        <x:f>A2390/4</x:f>
        <x:v>596.75</x:v>
      </x:c>
      <x:c r="D2390" s="8" t="n">
        <x:f>IF(MOD(A2390,4)=0,1,0)</x:f>
        <x:v>0</x:v>
      </x:c>
      <x:c r="E2390" s="8" t="n">
        <x:f>IF(AND(F2389&lt;=9,AS2389&gt;=AR2389),1,0)</x:f>
        <x:v>0</x:v>
      </x:c>
      <x:c r="F2390" s="8" t="n">
        <x:f>MIN(10,F2389+E2390)</x:f>
        <x:v>10</x:v>
      </x:c>
      <x:c r="G2390" s="8" t="n">
        <x:f>MIN(F2390,9)+1</x:f>
        <x:v>10</x:v>
      </x:c>
      <x:c r="H2390" s="8" t="n">
        <x:f>IF(F2390&lt;=9,1,0)</x:f>
        <x:v>0</x:v>
      </x:c>
      <x:c r="I2390" s="9" t="n">
        <x:f>MIN(10,F2389+IF(AR2389&gt;0,MIN(1,AS2389/AR2389),1))</x:f>
        <x:v>10</x:v>
      </x:c>
      <x:c r="J2390" s="32" t="n">
        <x:f>INDEX(v01_FoodCap,G2390)*Arch_FoodCap*EXP(v01_CapsByProject*SUMPRODUCT((Cap_Point&lt;=I2390)*(Cap_Kind="Food")*Cap_Ln))</x:f>
        <x:v>12000</x:v>
      </x:c>
      <x:c r="K2390" s="32" t="n">
        <x:f>J2390*MIN(1,v01_LeanBase*EXP(v01_CapsByProject*SUMPRODUCT((Cap_Point&lt;=I2390)*(Cap_Kind="Lean")*Cap_Ln)))</x:f>
        <x:v>12000</x:v>
      </x:c>
      <x:c r="L2390" s="10" t="n">
        <x:f>INDEX(v01_HousingCap,G2390)*EXP(v01_CapsByProject*SUMPRODUCT((Cap_Point&lt;=I2390)*(Cap_Kind="Housing")*Cap_Ln))</x:f>
        <x:v>20000</x:v>
      </x:c>
      <x:c r="M2390" s="10" t="n">
        <x:f>INDEX(v01_GroupCap,G2390)*v01_CohesionFactor*EXP(v01_CapsByProject*SUMPRODUCT((Cap_Point&lt;=I2390)*(Cap_Kind="Group")*Cap_Ln))</x:f>
        <x:v>1000000</x:v>
      </x:c>
      <x:c r="N2390" s="32" t="n">
        <x:f>MIN(J2390,L2390,M2390)</x:f>
        <x:v>12000</x:v>
      </x:c>
      <x:c r="O2390" s="10" t="n">
        <x:f>AE2389*N2390</x:f>
        <x:v>180000</x:v>
      </x:c>
      <x:c r="P2390" s="9" t="n">
        <x:f>MIN(1,(AB2389/(AE2389*IF(v01_GroupInCrowding=1,N2390,MIN(J2390,L2390))))^v01_CrowdingExp)</x:f>
        <x:v>0.00024569414295285325</x:v>
      </x:c>
      <x:c r="Q2390" s="9" t="n">
        <x:f>IF(D2390=1,INDEX(v01_WinterMult,G2390),1)</x:f>
        <x:v>1</x:v>
      </x:c>
      <x:c r="R2390" s="9" t="n">
        <x:f>H2390*Z2389*v01_WomenShare*v01_BaseFertility*INDEX(v01_FertMult,G2390)*Arch_Fertility*(1-P2390)</x:f>
        <x:v>0</x:v>
      </x:c>
      <x:c r="S2390" s="9" t="n">
        <x:f>H2390*Y2389*INDEX(v01_MortChild,G2390)/4*Q2390</x:f>
        <x:v>0</x:v>
      </x:c>
      <x:c r="T2390" s="9" t="n">
        <x:f>H2390*Z2389*INDEX(v01_MortAdult,G2390)*Arch_AdultMort/4*Q2390</x:f>
        <x:v>0</x:v>
      </x:c>
      <x:c r="U2390" s="9" t="n">
        <x:f>H2390*AA2389*INDEX(v01_MortElder,G2390)/4*Q2390</x:f>
        <x:v>0</x:v>
      </x:c>
      <x:c r="V2390" s="9" t="n">
        <x:f>H2390*MAX(0,AB2389-O2390)*v01_OvercapLoss</x:f>
        <x:v>0</x:v>
      </x:c>
      <x:c r="W2390" s="9" t="n">
        <x:f>H2390*Y2389/(v01_ChildYears*4)</x:f>
        <x:v>0</x:v>
      </x:c>
      <x:c r="X2390" s="9" t="n">
        <x:f>H2390*Z2389/(v01_AdultYears*4)</x:f>
        <x:v>0</x:v>
      </x:c>
      <x:c r="Y2390" s="32" t="n">
        <x:f>Y2389+R2390-S2390-W2390-Y2389*V2390/AB2389</x:f>
        <x:v>14306.18539759397</x:v>
      </x:c>
      <x:c r="Z2390" s="32" t="n">
        <x:f>Z2389+W2390-X2390-T2390-Z2389*V2390/AB2389</x:f>
        <x:v>19354.456567879548</x:v>
      </x:c>
      <x:c r="AA2390" s="32" t="n">
        <x:f>AA2389+X2390-U2390-AA2389*V2390/AB2389</x:f>
        <x:v>11386.956063258198</x:v>
      </x:c>
      <x:c r="AB2390" s="10" t="n">
        <x:f>Y2390+Z2390+AA2390</x:f>
        <x:v>45047.59802873172</x:v>
      </x:c>
      <x:c r="AC2390" s="8" t="n">
        <x:f>IF(AND(v01_WinterTrigger=1,D2390=1,AB2389/AE2389&gt;=K2390),1,0)</x:f>
        <x:v>0</x:v>
      </x:c>
      <x:c r="AD2390" s="8" t="n">
        <x:f>H2390*IF(AND(OR(AB2389/AE2389&gt;=v01_FissionTrigger*N2390,AC2390=1),AB2389/AE2389*v01_DaughterShare&gt;=v01_MinDaughter),MAX(1,ROUND(AE2389*v01_FissionRate,0)),0)</x:f>
        <x:v>0</x:v>
      </x:c>
      <x:c r="AE2390" s="8" t="n">
        <x:f>IF(H2390=1,MAX(1,MIN(INDEX(v01_Smax,G2390),AE2389+AD2390)),AE2389)</x:f>
        <x:v>15</x:v>
      </x:c>
      <x:c r="AF2390" s="8" t="n">
        <x:f>MAX(0,AE2390-AE2389)</x:f>
        <x:v>0</x:v>
      </x:c>
      <x:c r="AG2390" s="9" t="str">
        <x:f>IF(AF2390&gt;0,B2390,"")</x:f>
      </x:c>
      <x:c r="AH2390" s="9" t="n">
        <x:f>IF(F2390&gt;=1,1,(1+v01_LowTiesShare*(AE2390-1))/AE2390)</x:f>
        <x:v>1</x:v>
      </x:c>
      <x:c r="AI2390" s="32" t="n">
        <x:f>(Z2390+v01_ElderCommons*INDEX(LM_Elder,G2390)*AA2390)*AH2390</x:f>
        <x:v>64139.732591141874</x:v>
      </x:c>
      <x:c r="AJ2390" s="32" t="n">
        <x:f>H2390*v01_CommonsCoef*AI2390^v01_CommonsExp*INDEX(LM_Commons,G2390)</x:f>
        <x:v>0</x:v>
      </x:c>
      <x:c r="AK2390" s="32" t="n">
        <x:f>H2390*v01_RoleScale*Arch_Roles*(AE2390*(INDEX(v01_ElderRolePerSett,G2390)*v01_OutElder*INDEX(LM_Elder,G2390)+INDEX(v01_ShamanPerSett,G2390)*v01_OutShaman)+Z2390*(INDEX(v01_PriestShare,G2390)*v01_OutPriest+INDEX(v01_ScribeShare,G2390)*v01_OutScribe*INDEX(LM_Scribe,G2390)+INDEX(v01_ScholarShare,G2390)*v01_OutScholar*INDEX(LM_Scholar,G2390)+INDEX(v01_ResearcherShare,G2390)*v01_OutResearcher*INDEX(LM_Researcher,G2390)))</x:f>
        <x:v>0</x:v>
      </x:c>
      <x:c r="AL2390" s="32" t="n">
        <x:f>H2390*v01_RoleScale*Arch_Roles*AE2390*INDEX(v01_MonasteryPerSett,G2390)*v01_OutMonastery*INDEX(LM_Monastery,G2390)</x:f>
        <x:v>0</x:v>
      </x:c>
      <x:c r="AM2390" s="32" t="n">
        <x:f>(AJ2390+AK2390+AL2390)/4*INDEX(LM_All,G2390)*INDEX(v01_Boon,G2390)*Arch_Insight</x:f>
        <x:v>0</x:v>
      </x:c>
      <x:c r="AN2390" s="32" t="n">
        <x:f>H2390*(v01_KHPerAdult*Z2390+v01_KHOfCommons*AJ2390/4*INDEX(LM_All,G2390))*v01_KHUsable*Arch_KH</x:f>
        <x:v>0</x:v>
      </x:c>
      <x:c r="AO2390" s="32" t="n">
        <x:f>MIN(AP2389+AN2390,AM2390*v01_KHMaxRatio)</x:f>
        <x:v>0</x:v>
      </x:c>
      <x:c r="AP2390" s="32" t="n">
        <x:f>AP2389+AN2390-AO2390</x:f>
        <x:v>0</x:v>
      </x:c>
      <x:c r="AQ2390" s="32" t="n">
        <x:f>AM2390+AO2390</x:f>
        <x:v>0</x:v>
      </x:c>
      <x:c r="AR2390" s="10" t="n">
        <x:f>IF(H2390=1,INDEX(v01_Req,G2390),0)</x:f>
        <x:v>0</x:v>
      </x:c>
      <x:c r="AS2390" s="32" t="n">
        <x:f>IF(H2390=1,IF(E2390=1,AS2389-AR2389,AS2389)+AQ2390,0)</x:f>
        <x:v>0</x:v>
      </x:c>
      <x:c r="AT2390" s="11" t="n">
        <x:f>IF(AR2390&gt;0,MIN(1,AS2390/AR2390),1)</x:f>
        <x:v>1</x:v>
      </x:c>
      <x:c r="AU2390" s="10" t="n">
        <x:f>AB2390/INDEX(v01_RepScale,G2390)</x:f>
        <x:v>90.09519605746344</x:v>
      </x:c>
      <x:c r="AV2390" s="32" t="n">
        <x:f>AM2390*60/v01_SeasonSeconds</x:f>
        <x:v>0</x:v>
      </x:c>
    </x:row>
    <x:row r="2391">
      <x:c r="A2391" s="8" t="n">
        <x:f>A2390+1</x:f>
        <x:v>2388</x:v>
      </x:c>
      <x:c r="B2391" s="9" t="n">
        <x:f>A2391*v01_SeasonSeconds/60</x:f>
        <x:v>597</x:v>
      </x:c>
      <x:c r="C2391" s="9" t="n">
        <x:f>A2391/4</x:f>
        <x:v>597</x:v>
      </x:c>
      <x:c r="D2391" s="8" t="n">
        <x:f>IF(MOD(A2391,4)=0,1,0)</x:f>
        <x:v>1</x:v>
      </x:c>
      <x:c r="E2391" s="8" t="n">
        <x:f>IF(AND(F2390&lt;=9,AS2390&gt;=AR2390),1,0)</x:f>
        <x:v>0</x:v>
      </x:c>
      <x:c r="F2391" s="8" t="n">
        <x:f>MIN(10,F2390+E2391)</x:f>
        <x:v>10</x:v>
      </x:c>
      <x:c r="G2391" s="8" t="n">
        <x:f>MIN(F2391,9)+1</x:f>
        <x:v>10</x:v>
      </x:c>
      <x:c r="H2391" s="8" t="n">
        <x:f>IF(F2391&lt;=9,1,0)</x:f>
        <x:v>0</x:v>
      </x:c>
      <x:c r="I2391" s="9" t="n">
        <x:f>MIN(10,F2390+IF(AR2390&gt;0,MIN(1,AS2390/AR2390),1))</x:f>
        <x:v>10</x:v>
      </x:c>
      <x:c r="J2391" s="32" t="n">
        <x:f>INDEX(v01_FoodCap,G2391)*Arch_FoodCap*EXP(v01_CapsByProject*SUMPRODUCT((Cap_Point&lt;=I2391)*(Cap_Kind="Food")*Cap_Ln))</x:f>
        <x:v>12000</x:v>
      </x:c>
      <x:c r="K2391" s="32" t="n">
        <x:f>J2391*MIN(1,v01_LeanBase*EXP(v01_CapsByProject*SUMPRODUCT((Cap_Point&lt;=I2391)*(Cap_Kind="Lean")*Cap_Ln)))</x:f>
        <x:v>12000</x:v>
      </x:c>
      <x:c r="L2391" s="10" t="n">
        <x:f>INDEX(v01_HousingCap,G2391)*EXP(v01_CapsByProject*SUMPRODUCT((Cap_Point&lt;=I2391)*(Cap_Kind="Housing")*Cap_Ln))</x:f>
        <x:v>20000</x:v>
      </x:c>
      <x:c r="M2391" s="10" t="n">
        <x:f>INDEX(v01_GroupCap,G2391)*v01_CohesionFactor*EXP(v01_CapsByProject*SUMPRODUCT((Cap_Point&lt;=I2391)*(Cap_Kind="Group")*Cap_Ln))</x:f>
        <x:v>1000000</x:v>
      </x:c>
      <x:c r="N2391" s="32" t="n">
        <x:f>MIN(J2391,L2391,M2391)</x:f>
        <x:v>12000</x:v>
      </x:c>
      <x:c r="O2391" s="10" t="n">
        <x:f>AE2390*N2391</x:f>
        <x:v>180000</x:v>
      </x:c>
      <x:c r="P2391" s="9" t="n">
        <x:f>MIN(1,(AB2390/(AE2390*IF(v01_GroupInCrowding=1,N2391,MIN(J2391,L2391))))^v01_CrowdingExp)</x:f>
        <x:v>0.00024569414295285325</x:v>
      </x:c>
      <x:c r="Q2391" s="9" t="n">
        <x:f>IF(D2391=1,INDEX(v01_WinterMult,G2391),1)</x:f>
        <x:v>1</x:v>
      </x:c>
      <x:c r="R2391" s="9" t="n">
        <x:f>H2391*Z2390*v01_WomenShare*v01_BaseFertility*INDEX(v01_FertMult,G2391)*Arch_Fertility*(1-P2391)</x:f>
        <x:v>0</x:v>
      </x:c>
      <x:c r="S2391" s="9" t="n">
        <x:f>H2391*Y2390*INDEX(v01_MortChild,G2391)/4*Q2391</x:f>
        <x:v>0</x:v>
      </x:c>
      <x:c r="T2391" s="9" t="n">
        <x:f>H2391*Z2390*INDEX(v01_MortAdult,G2391)*Arch_AdultMort/4*Q2391</x:f>
        <x:v>0</x:v>
      </x:c>
      <x:c r="U2391" s="9" t="n">
        <x:f>H2391*AA2390*INDEX(v01_MortElder,G2391)/4*Q2391</x:f>
        <x:v>0</x:v>
      </x:c>
      <x:c r="V2391" s="9" t="n">
        <x:f>H2391*MAX(0,AB2390-O2391)*v01_OvercapLoss</x:f>
        <x:v>0</x:v>
      </x:c>
      <x:c r="W2391" s="9" t="n">
        <x:f>H2391*Y2390/(v01_ChildYears*4)</x:f>
        <x:v>0</x:v>
      </x:c>
      <x:c r="X2391" s="9" t="n">
        <x:f>H2391*Z2390/(v01_AdultYears*4)</x:f>
        <x:v>0</x:v>
      </x:c>
      <x:c r="Y2391" s="32" t="n">
        <x:f>Y2390+R2391-S2391-W2391-Y2390*V2391/AB2390</x:f>
        <x:v>14306.18539759397</x:v>
      </x:c>
      <x:c r="Z2391" s="32" t="n">
        <x:f>Z2390+W2391-X2391-T2391-Z2390*V2391/AB2390</x:f>
        <x:v>19354.456567879548</x:v>
      </x:c>
      <x:c r="AA2391" s="32" t="n">
        <x:f>AA2390+X2391-U2391-AA2390*V2391/AB2390</x:f>
        <x:v>11386.956063258198</x:v>
      </x:c>
      <x:c r="AB2391" s="10" t="n">
        <x:f>Y2391+Z2391+AA2391</x:f>
        <x:v>45047.59802873172</x:v>
      </x:c>
      <x:c r="AC2391" s="8" t="n">
        <x:f>IF(AND(v01_WinterTrigger=1,D2391=1,AB2390/AE2390&gt;=K2391),1,0)</x:f>
        <x:v>0</x:v>
      </x:c>
      <x:c r="AD2391" s="8" t="n">
        <x:f>H2391*IF(AND(OR(AB2390/AE2390&gt;=v01_FissionTrigger*N2391,AC2391=1),AB2390/AE2390*v01_DaughterShare&gt;=v01_MinDaughter),MAX(1,ROUND(AE2390*v01_FissionRate,0)),0)</x:f>
        <x:v>0</x:v>
      </x:c>
      <x:c r="AE2391" s="8" t="n">
        <x:f>IF(H2391=1,MAX(1,MIN(INDEX(v01_Smax,G2391),AE2390+AD2391)),AE2390)</x:f>
        <x:v>15</x:v>
      </x:c>
      <x:c r="AF2391" s="8" t="n">
        <x:f>MAX(0,AE2391-AE2390)</x:f>
        <x:v>0</x:v>
      </x:c>
      <x:c r="AG2391" s="9" t="str">
        <x:f>IF(AF2391&gt;0,B2391,"")</x:f>
      </x:c>
      <x:c r="AH2391" s="9" t="n">
        <x:f>IF(F2391&gt;=1,1,(1+v01_LowTiesShare*(AE2391-1))/AE2391)</x:f>
        <x:v>1</x:v>
      </x:c>
      <x:c r="AI2391" s="32" t="n">
        <x:f>(Z2391+v01_ElderCommons*INDEX(LM_Elder,G2391)*AA2391)*AH2391</x:f>
        <x:v>64139.732591141874</x:v>
      </x:c>
      <x:c r="AJ2391" s="32" t="n">
        <x:f>H2391*v01_CommonsCoef*AI2391^v01_CommonsExp*INDEX(LM_Commons,G2391)</x:f>
        <x:v>0</x:v>
      </x:c>
      <x:c r="AK2391" s="32" t="n">
        <x:f>H2391*v01_RoleScale*Arch_Roles*(AE2391*(INDEX(v01_ElderRolePerSett,G2391)*v01_OutElder*INDEX(LM_Elder,G2391)+INDEX(v01_ShamanPerSett,G2391)*v01_OutShaman)+Z2391*(INDEX(v01_PriestShare,G2391)*v01_OutPriest+INDEX(v01_ScribeShare,G2391)*v01_OutScribe*INDEX(LM_Scribe,G2391)+INDEX(v01_ScholarShare,G2391)*v01_OutScholar*INDEX(LM_Scholar,G2391)+INDEX(v01_ResearcherShare,G2391)*v01_OutResearcher*INDEX(LM_Researcher,G2391)))</x:f>
        <x:v>0</x:v>
      </x:c>
      <x:c r="AL2391" s="32" t="n">
        <x:f>H2391*v01_RoleScale*Arch_Roles*AE2391*INDEX(v01_MonasteryPerSett,G2391)*v01_OutMonastery*INDEX(LM_Monastery,G2391)</x:f>
        <x:v>0</x:v>
      </x:c>
      <x:c r="AM2391" s="32" t="n">
        <x:f>(AJ2391+AK2391+AL2391)/4*INDEX(LM_All,G2391)*INDEX(v01_Boon,G2391)*Arch_Insight</x:f>
        <x:v>0</x:v>
      </x:c>
      <x:c r="AN2391" s="32" t="n">
        <x:f>H2391*(v01_KHPerAdult*Z2391+v01_KHOfCommons*AJ2391/4*INDEX(LM_All,G2391))*v01_KHUsable*Arch_KH</x:f>
        <x:v>0</x:v>
      </x:c>
      <x:c r="AO2391" s="32" t="n">
        <x:f>MIN(AP2390+AN2391,AM2391*v01_KHMaxRatio)</x:f>
        <x:v>0</x:v>
      </x:c>
      <x:c r="AP2391" s="32" t="n">
        <x:f>AP2390+AN2391-AO2391</x:f>
        <x:v>0</x:v>
      </x:c>
      <x:c r="AQ2391" s="32" t="n">
        <x:f>AM2391+AO2391</x:f>
        <x:v>0</x:v>
      </x:c>
      <x:c r="AR2391" s="10" t="n">
        <x:f>IF(H2391=1,INDEX(v01_Req,G2391),0)</x:f>
        <x:v>0</x:v>
      </x:c>
      <x:c r="AS2391" s="32" t="n">
        <x:f>IF(H2391=1,IF(E2391=1,AS2390-AR2390,AS2390)+AQ2391,0)</x:f>
        <x:v>0</x:v>
      </x:c>
      <x:c r="AT2391" s="11" t="n">
        <x:f>IF(AR2391&gt;0,MIN(1,AS2391/AR2391),1)</x:f>
        <x:v>1</x:v>
      </x:c>
      <x:c r="AU2391" s="10" t="n">
        <x:f>AB2391/INDEX(v01_RepScale,G2391)</x:f>
        <x:v>90.09519605746344</x:v>
      </x:c>
      <x:c r="AV2391" s="32" t="n">
        <x:f>AM2391*60/v01_SeasonSeconds</x:f>
        <x:v>0</x:v>
      </x:c>
    </x:row>
    <x:row r="2392">
      <x:c r="A2392" s="8" t="n">
        <x:f>A2391+1</x:f>
        <x:v>2389</x:v>
      </x:c>
      <x:c r="B2392" s="9" t="n">
        <x:f>A2392*v01_SeasonSeconds/60</x:f>
        <x:v>597.25</x:v>
      </x:c>
      <x:c r="C2392" s="9" t="n">
        <x:f>A2392/4</x:f>
        <x:v>597.25</x:v>
      </x:c>
      <x:c r="D2392" s="8" t="n">
        <x:f>IF(MOD(A2392,4)=0,1,0)</x:f>
        <x:v>0</x:v>
      </x:c>
      <x:c r="E2392" s="8" t="n">
        <x:f>IF(AND(F2391&lt;=9,AS2391&gt;=AR2391),1,0)</x:f>
        <x:v>0</x:v>
      </x:c>
      <x:c r="F2392" s="8" t="n">
        <x:f>MIN(10,F2391+E2392)</x:f>
        <x:v>10</x:v>
      </x:c>
      <x:c r="G2392" s="8" t="n">
        <x:f>MIN(F2392,9)+1</x:f>
        <x:v>10</x:v>
      </x:c>
      <x:c r="H2392" s="8" t="n">
        <x:f>IF(F2392&lt;=9,1,0)</x:f>
        <x:v>0</x:v>
      </x:c>
      <x:c r="I2392" s="9" t="n">
        <x:f>MIN(10,F2391+IF(AR2391&gt;0,MIN(1,AS2391/AR2391),1))</x:f>
        <x:v>10</x:v>
      </x:c>
      <x:c r="J2392" s="32" t="n">
        <x:f>INDEX(v01_FoodCap,G2392)*Arch_FoodCap*EXP(v01_CapsByProject*SUMPRODUCT((Cap_Point&lt;=I2392)*(Cap_Kind="Food")*Cap_Ln))</x:f>
        <x:v>12000</x:v>
      </x:c>
      <x:c r="K2392" s="32" t="n">
        <x:f>J2392*MIN(1,v01_LeanBase*EXP(v01_CapsByProject*SUMPRODUCT((Cap_Point&lt;=I2392)*(Cap_Kind="Lean")*Cap_Ln)))</x:f>
        <x:v>12000</x:v>
      </x:c>
      <x:c r="L2392" s="10" t="n">
        <x:f>INDEX(v01_HousingCap,G2392)*EXP(v01_CapsByProject*SUMPRODUCT((Cap_Point&lt;=I2392)*(Cap_Kind="Housing")*Cap_Ln))</x:f>
        <x:v>20000</x:v>
      </x:c>
      <x:c r="M2392" s="10" t="n">
        <x:f>INDEX(v01_GroupCap,G2392)*v01_CohesionFactor*EXP(v01_CapsByProject*SUMPRODUCT((Cap_Point&lt;=I2392)*(Cap_Kind="Group")*Cap_Ln))</x:f>
        <x:v>1000000</x:v>
      </x:c>
      <x:c r="N2392" s="32" t="n">
        <x:f>MIN(J2392,L2392,M2392)</x:f>
        <x:v>12000</x:v>
      </x:c>
      <x:c r="O2392" s="10" t="n">
        <x:f>AE2391*N2392</x:f>
        <x:v>180000</x:v>
      </x:c>
      <x:c r="P2392" s="9" t="n">
        <x:f>MIN(1,(AB2391/(AE2391*IF(v01_GroupInCrowding=1,N2392,MIN(J2392,L2392))))^v01_CrowdingExp)</x:f>
        <x:v>0.00024569414295285325</x:v>
      </x:c>
      <x:c r="Q2392" s="9" t="n">
        <x:f>IF(D2392=1,INDEX(v01_WinterMult,G2392),1)</x:f>
        <x:v>1</x:v>
      </x:c>
      <x:c r="R2392" s="9" t="n">
        <x:f>H2392*Z2391*v01_WomenShare*v01_BaseFertility*INDEX(v01_FertMult,G2392)*Arch_Fertility*(1-P2392)</x:f>
        <x:v>0</x:v>
      </x:c>
      <x:c r="S2392" s="9" t="n">
        <x:f>H2392*Y2391*INDEX(v01_MortChild,G2392)/4*Q2392</x:f>
        <x:v>0</x:v>
      </x:c>
      <x:c r="T2392" s="9" t="n">
        <x:f>H2392*Z2391*INDEX(v01_MortAdult,G2392)*Arch_AdultMort/4*Q2392</x:f>
        <x:v>0</x:v>
      </x:c>
      <x:c r="U2392" s="9" t="n">
        <x:f>H2392*AA2391*INDEX(v01_MortElder,G2392)/4*Q2392</x:f>
        <x:v>0</x:v>
      </x:c>
      <x:c r="V2392" s="9" t="n">
        <x:f>H2392*MAX(0,AB2391-O2392)*v01_OvercapLoss</x:f>
        <x:v>0</x:v>
      </x:c>
      <x:c r="W2392" s="9" t="n">
        <x:f>H2392*Y2391/(v01_ChildYears*4)</x:f>
        <x:v>0</x:v>
      </x:c>
      <x:c r="X2392" s="9" t="n">
        <x:f>H2392*Z2391/(v01_AdultYears*4)</x:f>
        <x:v>0</x:v>
      </x:c>
      <x:c r="Y2392" s="32" t="n">
        <x:f>Y2391+R2392-S2392-W2392-Y2391*V2392/AB2391</x:f>
        <x:v>14306.18539759397</x:v>
      </x:c>
      <x:c r="Z2392" s="32" t="n">
        <x:f>Z2391+W2392-X2392-T2392-Z2391*V2392/AB2391</x:f>
        <x:v>19354.456567879548</x:v>
      </x:c>
      <x:c r="AA2392" s="32" t="n">
        <x:f>AA2391+X2392-U2392-AA2391*V2392/AB2391</x:f>
        <x:v>11386.956063258198</x:v>
      </x:c>
      <x:c r="AB2392" s="10" t="n">
        <x:f>Y2392+Z2392+AA2392</x:f>
        <x:v>45047.59802873172</x:v>
      </x:c>
      <x:c r="AC2392" s="8" t="n">
        <x:f>IF(AND(v01_WinterTrigger=1,D2392=1,AB2391/AE2391&gt;=K2392),1,0)</x:f>
        <x:v>0</x:v>
      </x:c>
      <x:c r="AD2392" s="8" t="n">
        <x:f>H2392*IF(AND(OR(AB2391/AE2391&gt;=v01_FissionTrigger*N2392,AC2392=1),AB2391/AE2391*v01_DaughterShare&gt;=v01_MinDaughter),MAX(1,ROUND(AE2391*v01_FissionRate,0)),0)</x:f>
        <x:v>0</x:v>
      </x:c>
      <x:c r="AE2392" s="8" t="n">
        <x:f>IF(H2392=1,MAX(1,MIN(INDEX(v01_Smax,G2392),AE2391+AD2392)),AE2391)</x:f>
        <x:v>15</x:v>
      </x:c>
      <x:c r="AF2392" s="8" t="n">
        <x:f>MAX(0,AE2392-AE2391)</x:f>
        <x:v>0</x:v>
      </x:c>
      <x:c r="AG2392" s="9" t="str">
        <x:f>IF(AF2392&gt;0,B2392,"")</x:f>
      </x:c>
      <x:c r="AH2392" s="9" t="n">
        <x:f>IF(F2392&gt;=1,1,(1+v01_LowTiesShare*(AE2392-1))/AE2392)</x:f>
        <x:v>1</x:v>
      </x:c>
      <x:c r="AI2392" s="32" t="n">
        <x:f>(Z2392+v01_ElderCommons*INDEX(LM_Elder,G2392)*AA2392)*AH2392</x:f>
        <x:v>64139.732591141874</x:v>
      </x:c>
      <x:c r="AJ2392" s="32" t="n">
        <x:f>H2392*v01_CommonsCoef*AI2392^v01_CommonsExp*INDEX(LM_Commons,G2392)</x:f>
        <x:v>0</x:v>
      </x:c>
      <x:c r="AK2392" s="32" t="n">
        <x:f>H2392*v01_RoleScale*Arch_Roles*(AE2392*(INDEX(v01_ElderRolePerSett,G2392)*v01_OutElder*INDEX(LM_Elder,G2392)+INDEX(v01_ShamanPerSett,G2392)*v01_OutShaman)+Z2392*(INDEX(v01_PriestShare,G2392)*v01_OutPriest+INDEX(v01_ScribeShare,G2392)*v01_OutScribe*INDEX(LM_Scribe,G2392)+INDEX(v01_ScholarShare,G2392)*v01_OutScholar*INDEX(LM_Scholar,G2392)+INDEX(v01_ResearcherShare,G2392)*v01_OutResearcher*INDEX(LM_Researcher,G2392)))</x:f>
        <x:v>0</x:v>
      </x:c>
      <x:c r="AL2392" s="32" t="n">
        <x:f>H2392*v01_RoleScale*Arch_Roles*AE2392*INDEX(v01_MonasteryPerSett,G2392)*v01_OutMonastery*INDEX(LM_Monastery,G2392)</x:f>
        <x:v>0</x:v>
      </x:c>
      <x:c r="AM2392" s="32" t="n">
        <x:f>(AJ2392+AK2392+AL2392)/4*INDEX(LM_All,G2392)*INDEX(v01_Boon,G2392)*Arch_Insight</x:f>
        <x:v>0</x:v>
      </x:c>
      <x:c r="AN2392" s="32" t="n">
        <x:f>H2392*(v01_KHPerAdult*Z2392+v01_KHOfCommons*AJ2392/4*INDEX(LM_All,G2392))*v01_KHUsable*Arch_KH</x:f>
        <x:v>0</x:v>
      </x:c>
      <x:c r="AO2392" s="32" t="n">
        <x:f>MIN(AP2391+AN2392,AM2392*v01_KHMaxRatio)</x:f>
        <x:v>0</x:v>
      </x:c>
      <x:c r="AP2392" s="32" t="n">
        <x:f>AP2391+AN2392-AO2392</x:f>
        <x:v>0</x:v>
      </x:c>
      <x:c r="AQ2392" s="32" t="n">
        <x:f>AM2392+AO2392</x:f>
        <x:v>0</x:v>
      </x:c>
      <x:c r="AR2392" s="10" t="n">
        <x:f>IF(H2392=1,INDEX(v01_Req,G2392),0)</x:f>
        <x:v>0</x:v>
      </x:c>
      <x:c r="AS2392" s="32" t="n">
        <x:f>IF(H2392=1,IF(E2392=1,AS2391-AR2391,AS2391)+AQ2392,0)</x:f>
        <x:v>0</x:v>
      </x:c>
      <x:c r="AT2392" s="11" t="n">
        <x:f>IF(AR2392&gt;0,MIN(1,AS2392/AR2392),1)</x:f>
        <x:v>1</x:v>
      </x:c>
      <x:c r="AU2392" s="10" t="n">
        <x:f>AB2392/INDEX(v01_RepScale,G2392)</x:f>
        <x:v>90.09519605746344</x:v>
      </x:c>
      <x:c r="AV2392" s="32" t="n">
        <x:f>AM2392*60/v01_SeasonSeconds</x:f>
        <x:v>0</x:v>
      </x:c>
    </x:row>
    <x:row r="2393">
      <x:c r="A2393" s="8" t="n">
        <x:f>A2392+1</x:f>
        <x:v>2390</x:v>
      </x:c>
      <x:c r="B2393" s="9" t="n">
        <x:f>A2393*v01_SeasonSeconds/60</x:f>
        <x:v>597.5</x:v>
      </x:c>
      <x:c r="C2393" s="9" t="n">
        <x:f>A2393/4</x:f>
        <x:v>597.5</x:v>
      </x:c>
      <x:c r="D2393" s="8" t="n">
        <x:f>IF(MOD(A2393,4)=0,1,0)</x:f>
        <x:v>0</x:v>
      </x:c>
      <x:c r="E2393" s="8" t="n">
        <x:f>IF(AND(F2392&lt;=9,AS2392&gt;=AR2392),1,0)</x:f>
        <x:v>0</x:v>
      </x:c>
      <x:c r="F2393" s="8" t="n">
        <x:f>MIN(10,F2392+E2393)</x:f>
        <x:v>10</x:v>
      </x:c>
      <x:c r="G2393" s="8" t="n">
        <x:f>MIN(F2393,9)+1</x:f>
        <x:v>10</x:v>
      </x:c>
      <x:c r="H2393" s="8" t="n">
        <x:f>IF(F2393&lt;=9,1,0)</x:f>
        <x:v>0</x:v>
      </x:c>
      <x:c r="I2393" s="9" t="n">
        <x:f>MIN(10,F2392+IF(AR2392&gt;0,MIN(1,AS2392/AR2392),1))</x:f>
        <x:v>10</x:v>
      </x:c>
      <x:c r="J2393" s="32" t="n">
        <x:f>INDEX(v01_FoodCap,G2393)*Arch_FoodCap*EXP(v01_CapsByProject*SUMPRODUCT((Cap_Point&lt;=I2393)*(Cap_Kind="Food")*Cap_Ln))</x:f>
        <x:v>12000</x:v>
      </x:c>
      <x:c r="K2393" s="32" t="n">
        <x:f>J2393*MIN(1,v01_LeanBase*EXP(v01_CapsByProject*SUMPRODUCT((Cap_Point&lt;=I2393)*(Cap_Kind="Lean")*Cap_Ln)))</x:f>
        <x:v>12000</x:v>
      </x:c>
      <x:c r="L2393" s="10" t="n">
        <x:f>INDEX(v01_HousingCap,G2393)*EXP(v01_CapsByProject*SUMPRODUCT((Cap_Point&lt;=I2393)*(Cap_Kind="Housing")*Cap_Ln))</x:f>
        <x:v>20000</x:v>
      </x:c>
      <x:c r="M2393" s="10" t="n">
        <x:f>INDEX(v01_GroupCap,G2393)*v01_CohesionFactor*EXP(v01_CapsByProject*SUMPRODUCT((Cap_Point&lt;=I2393)*(Cap_Kind="Group")*Cap_Ln))</x:f>
        <x:v>1000000</x:v>
      </x:c>
      <x:c r="N2393" s="32" t="n">
        <x:f>MIN(J2393,L2393,M2393)</x:f>
        <x:v>12000</x:v>
      </x:c>
      <x:c r="O2393" s="10" t="n">
        <x:f>AE2392*N2393</x:f>
        <x:v>180000</x:v>
      </x:c>
      <x:c r="P2393" s="9" t="n">
        <x:f>MIN(1,(AB2392/(AE2392*IF(v01_GroupInCrowding=1,N2393,MIN(J2393,L2393))))^v01_CrowdingExp)</x:f>
        <x:v>0.00024569414295285325</x:v>
      </x:c>
      <x:c r="Q2393" s="9" t="n">
        <x:f>IF(D2393=1,INDEX(v01_WinterMult,G2393),1)</x:f>
        <x:v>1</x:v>
      </x:c>
      <x:c r="R2393" s="9" t="n">
        <x:f>H2393*Z2392*v01_WomenShare*v01_BaseFertility*INDEX(v01_FertMult,G2393)*Arch_Fertility*(1-P2393)</x:f>
        <x:v>0</x:v>
      </x:c>
      <x:c r="S2393" s="9" t="n">
        <x:f>H2393*Y2392*INDEX(v01_MortChild,G2393)/4*Q2393</x:f>
        <x:v>0</x:v>
      </x:c>
      <x:c r="T2393" s="9" t="n">
        <x:f>H2393*Z2392*INDEX(v01_MortAdult,G2393)*Arch_AdultMort/4*Q2393</x:f>
        <x:v>0</x:v>
      </x:c>
      <x:c r="U2393" s="9" t="n">
        <x:f>H2393*AA2392*INDEX(v01_MortElder,G2393)/4*Q2393</x:f>
        <x:v>0</x:v>
      </x:c>
      <x:c r="V2393" s="9" t="n">
        <x:f>H2393*MAX(0,AB2392-O2393)*v01_OvercapLoss</x:f>
        <x:v>0</x:v>
      </x:c>
      <x:c r="W2393" s="9" t="n">
        <x:f>H2393*Y2392/(v01_ChildYears*4)</x:f>
        <x:v>0</x:v>
      </x:c>
      <x:c r="X2393" s="9" t="n">
        <x:f>H2393*Z2392/(v01_AdultYears*4)</x:f>
        <x:v>0</x:v>
      </x:c>
      <x:c r="Y2393" s="32" t="n">
        <x:f>Y2392+R2393-S2393-W2393-Y2392*V2393/AB2392</x:f>
        <x:v>14306.18539759397</x:v>
      </x:c>
      <x:c r="Z2393" s="32" t="n">
        <x:f>Z2392+W2393-X2393-T2393-Z2392*V2393/AB2392</x:f>
        <x:v>19354.456567879548</x:v>
      </x:c>
      <x:c r="AA2393" s="32" t="n">
        <x:f>AA2392+X2393-U2393-AA2392*V2393/AB2392</x:f>
        <x:v>11386.956063258198</x:v>
      </x:c>
      <x:c r="AB2393" s="10" t="n">
        <x:f>Y2393+Z2393+AA2393</x:f>
        <x:v>45047.59802873172</x:v>
      </x:c>
      <x:c r="AC2393" s="8" t="n">
        <x:f>IF(AND(v01_WinterTrigger=1,D2393=1,AB2392/AE2392&gt;=K2393),1,0)</x:f>
        <x:v>0</x:v>
      </x:c>
      <x:c r="AD2393" s="8" t="n">
        <x:f>H2393*IF(AND(OR(AB2392/AE2392&gt;=v01_FissionTrigger*N2393,AC2393=1),AB2392/AE2392*v01_DaughterShare&gt;=v01_MinDaughter),MAX(1,ROUND(AE2392*v01_FissionRate,0)),0)</x:f>
        <x:v>0</x:v>
      </x:c>
      <x:c r="AE2393" s="8" t="n">
        <x:f>IF(H2393=1,MAX(1,MIN(INDEX(v01_Smax,G2393),AE2392+AD2393)),AE2392)</x:f>
        <x:v>15</x:v>
      </x:c>
      <x:c r="AF2393" s="8" t="n">
        <x:f>MAX(0,AE2393-AE2392)</x:f>
        <x:v>0</x:v>
      </x:c>
      <x:c r="AG2393" s="9" t="str">
        <x:f>IF(AF2393&gt;0,B2393,"")</x:f>
      </x:c>
      <x:c r="AH2393" s="9" t="n">
        <x:f>IF(F2393&gt;=1,1,(1+v01_LowTiesShare*(AE2393-1))/AE2393)</x:f>
        <x:v>1</x:v>
      </x:c>
      <x:c r="AI2393" s="32" t="n">
        <x:f>(Z2393+v01_ElderCommons*INDEX(LM_Elder,G2393)*AA2393)*AH2393</x:f>
        <x:v>64139.732591141874</x:v>
      </x:c>
      <x:c r="AJ2393" s="32" t="n">
        <x:f>H2393*v01_CommonsCoef*AI2393^v01_CommonsExp*INDEX(LM_Commons,G2393)</x:f>
        <x:v>0</x:v>
      </x:c>
      <x:c r="AK2393" s="32" t="n">
        <x:f>H2393*v01_RoleScale*Arch_Roles*(AE2393*(INDEX(v01_ElderRolePerSett,G2393)*v01_OutElder*INDEX(LM_Elder,G2393)+INDEX(v01_ShamanPerSett,G2393)*v01_OutShaman)+Z2393*(INDEX(v01_PriestShare,G2393)*v01_OutPriest+INDEX(v01_ScribeShare,G2393)*v01_OutScribe*INDEX(LM_Scribe,G2393)+INDEX(v01_ScholarShare,G2393)*v01_OutScholar*INDEX(LM_Scholar,G2393)+INDEX(v01_ResearcherShare,G2393)*v01_OutResearcher*INDEX(LM_Researcher,G2393)))</x:f>
        <x:v>0</x:v>
      </x:c>
      <x:c r="AL2393" s="32" t="n">
        <x:f>H2393*v01_RoleScale*Arch_Roles*AE2393*INDEX(v01_MonasteryPerSett,G2393)*v01_OutMonastery*INDEX(LM_Monastery,G2393)</x:f>
        <x:v>0</x:v>
      </x:c>
      <x:c r="AM2393" s="32" t="n">
        <x:f>(AJ2393+AK2393+AL2393)/4*INDEX(LM_All,G2393)*INDEX(v01_Boon,G2393)*Arch_Insight</x:f>
        <x:v>0</x:v>
      </x:c>
      <x:c r="AN2393" s="32" t="n">
        <x:f>H2393*(v01_KHPerAdult*Z2393+v01_KHOfCommons*AJ2393/4*INDEX(LM_All,G2393))*v01_KHUsable*Arch_KH</x:f>
        <x:v>0</x:v>
      </x:c>
      <x:c r="AO2393" s="32" t="n">
        <x:f>MIN(AP2392+AN2393,AM2393*v01_KHMaxRatio)</x:f>
        <x:v>0</x:v>
      </x:c>
      <x:c r="AP2393" s="32" t="n">
        <x:f>AP2392+AN2393-AO2393</x:f>
        <x:v>0</x:v>
      </x:c>
      <x:c r="AQ2393" s="32" t="n">
        <x:f>AM2393+AO2393</x:f>
        <x:v>0</x:v>
      </x:c>
      <x:c r="AR2393" s="10" t="n">
        <x:f>IF(H2393=1,INDEX(v01_Req,G2393),0)</x:f>
        <x:v>0</x:v>
      </x:c>
      <x:c r="AS2393" s="32" t="n">
        <x:f>IF(H2393=1,IF(E2393=1,AS2392-AR2392,AS2392)+AQ2393,0)</x:f>
        <x:v>0</x:v>
      </x:c>
      <x:c r="AT2393" s="11" t="n">
        <x:f>IF(AR2393&gt;0,MIN(1,AS2393/AR2393),1)</x:f>
        <x:v>1</x:v>
      </x:c>
      <x:c r="AU2393" s="10" t="n">
        <x:f>AB2393/INDEX(v01_RepScale,G2393)</x:f>
        <x:v>90.09519605746344</x:v>
      </x:c>
      <x:c r="AV2393" s="32" t="n">
        <x:f>AM2393*60/v01_SeasonSeconds</x:f>
        <x:v>0</x:v>
      </x:c>
    </x:row>
    <x:row r="2394">
      <x:c r="A2394" s="8" t="n">
        <x:f>A2393+1</x:f>
        <x:v>2391</x:v>
      </x:c>
      <x:c r="B2394" s="9" t="n">
        <x:f>A2394*v01_SeasonSeconds/60</x:f>
        <x:v>597.75</x:v>
      </x:c>
      <x:c r="C2394" s="9" t="n">
        <x:f>A2394/4</x:f>
        <x:v>597.75</x:v>
      </x:c>
      <x:c r="D2394" s="8" t="n">
        <x:f>IF(MOD(A2394,4)=0,1,0)</x:f>
        <x:v>0</x:v>
      </x:c>
      <x:c r="E2394" s="8" t="n">
        <x:f>IF(AND(F2393&lt;=9,AS2393&gt;=AR2393),1,0)</x:f>
        <x:v>0</x:v>
      </x:c>
      <x:c r="F2394" s="8" t="n">
        <x:f>MIN(10,F2393+E2394)</x:f>
        <x:v>10</x:v>
      </x:c>
      <x:c r="G2394" s="8" t="n">
        <x:f>MIN(F2394,9)+1</x:f>
        <x:v>10</x:v>
      </x:c>
      <x:c r="H2394" s="8" t="n">
        <x:f>IF(F2394&lt;=9,1,0)</x:f>
        <x:v>0</x:v>
      </x:c>
      <x:c r="I2394" s="9" t="n">
        <x:f>MIN(10,F2393+IF(AR2393&gt;0,MIN(1,AS2393/AR2393),1))</x:f>
        <x:v>10</x:v>
      </x:c>
      <x:c r="J2394" s="32" t="n">
        <x:f>INDEX(v01_FoodCap,G2394)*Arch_FoodCap*EXP(v01_CapsByProject*SUMPRODUCT((Cap_Point&lt;=I2394)*(Cap_Kind="Food")*Cap_Ln))</x:f>
        <x:v>12000</x:v>
      </x:c>
      <x:c r="K2394" s="32" t="n">
        <x:f>J2394*MIN(1,v01_LeanBase*EXP(v01_CapsByProject*SUMPRODUCT((Cap_Point&lt;=I2394)*(Cap_Kind="Lean")*Cap_Ln)))</x:f>
        <x:v>12000</x:v>
      </x:c>
      <x:c r="L2394" s="10" t="n">
        <x:f>INDEX(v01_HousingCap,G2394)*EXP(v01_CapsByProject*SUMPRODUCT((Cap_Point&lt;=I2394)*(Cap_Kind="Housing")*Cap_Ln))</x:f>
        <x:v>20000</x:v>
      </x:c>
      <x:c r="M2394" s="10" t="n">
        <x:f>INDEX(v01_GroupCap,G2394)*v01_CohesionFactor*EXP(v01_CapsByProject*SUMPRODUCT((Cap_Point&lt;=I2394)*(Cap_Kind="Group")*Cap_Ln))</x:f>
        <x:v>1000000</x:v>
      </x:c>
      <x:c r="N2394" s="32" t="n">
        <x:f>MIN(J2394,L2394,M2394)</x:f>
        <x:v>12000</x:v>
      </x:c>
      <x:c r="O2394" s="10" t="n">
        <x:f>AE2393*N2394</x:f>
        <x:v>180000</x:v>
      </x:c>
      <x:c r="P2394" s="9" t="n">
        <x:f>MIN(1,(AB2393/(AE2393*IF(v01_GroupInCrowding=1,N2394,MIN(J2394,L2394))))^v01_CrowdingExp)</x:f>
        <x:v>0.00024569414295285325</x:v>
      </x:c>
      <x:c r="Q2394" s="9" t="n">
        <x:f>IF(D2394=1,INDEX(v01_WinterMult,G2394),1)</x:f>
        <x:v>1</x:v>
      </x:c>
      <x:c r="R2394" s="9" t="n">
        <x:f>H2394*Z2393*v01_WomenShare*v01_BaseFertility*INDEX(v01_FertMult,G2394)*Arch_Fertility*(1-P2394)</x:f>
        <x:v>0</x:v>
      </x:c>
      <x:c r="S2394" s="9" t="n">
        <x:f>H2394*Y2393*INDEX(v01_MortChild,G2394)/4*Q2394</x:f>
        <x:v>0</x:v>
      </x:c>
      <x:c r="T2394" s="9" t="n">
        <x:f>H2394*Z2393*INDEX(v01_MortAdult,G2394)*Arch_AdultMort/4*Q2394</x:f>
        <x:v>0</x:v>
      </x:c>
      <x:c r="U2394" s="9" t="n">
        <x:f>H2394*AA2393*INDEX(v01_MortElder,G2394)/4*Q2394</x:f>
        <x:v>0</x:v>
      </x:c>
      <x:c r="V2394" s="9" t="n">
        <x:f>H2394*MAX(0,AB2393-O2394)*v01_OvercapLoss</x:f>
        <x:v>0</x:v>
      </x:c>
      <x:c r="W2394" s="9" t="n">
        <x:f>H2394*Y2393/(v01_ChildYears*4)</x:f>
        <x:v>0</x:v>
      </x:c>
      <x:c r="X2394" s="9" t="n">
        <x:f>H2394*Z2393/(v01_AdultYears*4)</x:f>
        <x:v>0</x:v>
      </x:c>
      <x:c r="Y2394" s="32" t="n">
        <x:f>Y2393+R2394-S2394-W2394-Y2393*V2394/AB2393</x:f>
        <x:v>14306.18539759397</x:v>
      </x:c>
      <x:c r="Z2394" s="32" t="n">
        <x:f>Z2393+W2394-X2394-T2394-Z2393*V2394/AB2393</x:f>
        <x:v>19354.456567879548</x:v>
      </x:c>
      <x:c r="AA2394" s="32" t="n">
        <x:f>AA2393+X2394-U2394-AA2393*V2394/AB2393</x:f>
        <x:v>11386.956063258198</x:v>
      </x:c>
      <x:c r="AB2394" s="10" t="n">
        <x:f>Y2394+Z2394+AA2394</x:f>
        <x:v>45047.59802873172</x:v>
      </x:c>
      <x:c r="AC2394" s="8" t="n">
        <x:f>IF(AND(v01_WinterTrigger=1,D2394=1,AB2393/AE2393&gt;=K2394),1,0)</x:f>
        <x:v>0</x:v>
      </x:c>
      <x:c r="AD2394" s="8" t="n">
        <x:f>H2394*IF(AND(OR(AB2393/AE2393&gt;=v01_FissionTrigger*N2394,AC2394=1),AB2393/AE2393*v01_DaughterShare&gt;=v01_MinDaughter),MAX(1,ROUND(AE2393*v01_FissionRate,0)),0)</x:f>
        <x:v>0</x:v>
      </x:c>
      <x:c r="AE2394" s="8" t="n">
        <x:f>IF(H2394=1,MAX(1,MIN(INDEX(v01_Smax,G2394),AE2393+AD2394)),AE2393)</x:f>
        <x:v>15</x:v>
      </x:c>
      <x:c r="AF2394" s="8" t="n">
        <x:f>MAX(0,AE2394-AE2393)</x:f>
        <x:v>0</x:v>
      </x:c>
      <x:c r="AG2394" s="9" t="str">
        <x:f>IF(AF2394&gt;0,B2394,"")</x:f>
      </x:c>
      <x:c r="AH2394" s="9" t="n">
        <x:f>IF(F2394&gt;=1,1,(1+v01_LowTiesShare*(AE2394-1))/AE2394)</x:f>
        <x:v>1</x:v>
      </x:c>
      <x:c r="AI2394" s="32" t="n">
        <x:f>(Z2394+v01_ElderCommons*INDEX(LM_Elder,G2394)*AA2394)*AH2394</x:f>
        <x:v>64139.732591141874</x:v>
      </x:c>
      <x:c r="AJ2394" s="32" t="n">
        <x:f>H2394*v01_CommonsCoef*AI2394^v01_CommonsExp*INDEX(LM_Commons,G2394)</x:f>
        <x:v>0</x:v>
      </x:c>
      <x:c r="AK2394" s="32" t="n">
        <x:f>H2394*v01_RoleScale*Arch_Roles*(AE2394*(INDEX(v01_ElderRolePerSett,G2394)*v01_OutElder*INDEX(LM_Elder,G2394)+INDEX(v01_ShamanPerSett,G2394)*v01_OutShaman)+Z2394*(INDEX(v01_PriestShare,G2394)*v01_OutPriest+INDEX(v01_ScribeShare,G2394)*v01_OutScribe*INDEX(LM_Scribe,G2394)+INDEX(v01_ScholarShare,G2394)*v01_OutScholar*INDEX(LM_Scholar,G2394)+INDEX(v01_ResearcherShare,G2394)*v01_OutResearcher*INDEX(LM_Researcher,G2394)))</x:f>
        <x:v>0</x:v>
      </x:c>
      <x:c r="AL2394" s="32" t="n">
        <x:f>H2394*v01_RoleScale*Arch_Roles*AE2394*INDEX(v01_MonasteryPerSett,G2394)*v01_OutMonastery*INDEX(LM_Monastery,G2394)</x:f>
        <x:v>0</x:v>
      </x:c>
      <x:c r="AM2394" s="32" t="n">
        <x:f>(AJ2394+AK2394+AL2394)/4*INDEX(LM_All,G2394)*INDEX(v01_Boon,G2394)*Arch_Insight</x:f>
        <x:v>0</x:v>
      </x:c>
      <x:c r="AN2394" s="32" t="n">
        <x:f>H2394*(v01_KHPerAdult*Z2394+v01_KHOfCommons*AJ2394/4*INDEX(LM_All,G2394))*v01_KHUsable*Arch_KH</x:f>
        <x:v>0</x:v>
      </x:c>
      <x:c r="AO2394" s="32" t="n">
        <x:f>MIN(AP2393+AN2394,AM2394*v01_KHMaxRatio)</x:f>
        <x:v>0</x:v>
      </x:c>
      <x:c r="AP2394" s="32" t="n">
        <x:f>AP2393+AN2394-AO2394</x:f>
        <x:v>0</x:v>
      </x:c>
      <x:c r="AQ2394" s="32" t="n">
        <x:f>AM2394+AO2394</x:f>
        <x:v>0</x:v>
      </x:c>
      <x:c r="AR2394" s="10" t="n">
        <x:f>IF(H2394=1,INDEX(v01_Req,G2394),0)</x:f>
        <x:v>0</x:v>
      </x:c>
      <x:c r="AS2394" s="32" t="n">
        <x:f>IF(H2394=1,IF(E2394=1,AS2393-AR2393,AS2393)+AQ2394,0)</x:f>
        <x:v>0</x:v>
      </x:c>
      <x:c r="AT2394" s="11" t="n">
        <x:f>IF(AR2394&gt;0,MIN(1,AS2394/AR2394),1)</x:f>
        <x:v>1</x:v>
      </x:c>
      <x:c r="AU2394" s="10" t="n">
        <x:f>AB2394/INDEX(v01_RepScale,G2394)</x:f>
        <x:v>90.09519605746344</x:v>
      </x:c>
      <x:c r="AV2394" s="32" t="n">
        <x:f>AM2394*60/v01_SeasonSeconds</x:f>
        <x:v>0</x:v>
      </x:c>
    </x:row>
    <x:row r="2395">
      <x:c r="A2395" s="8" t="n">
        <x:f>A2394+1</x:f>
        <x:v>2392</x:v>
      </x:c>
      <x:c r="B2395" s="9" t="n">
        <x:f>A2395*v01_SeasonSeconds/60</x:f>
        <x:v>598</x:v>
      </x:c>
      <x:c r="C2395" s="9" t="n">
        <x:f>A2395/4</x:f>
        <x:v>598</x:v>
      </x:c>
      <x:c r="D2395" s="8" t="n">
        <x:f>IF(MOD(A2395,4)=0,1,0)</x:f>
        <x:v>1</x:v>
      </x:c>
      <x:c r="E2395" s="8" t="n">
        <x:f>IF(AND(F2394&lt;=9,AS2394&gt;=AR2394),1,0)</x:f>
        <x:v>0</x:v>
      </x:c>
      <x:c r="F2395" s="8" t="n">
        <x:f>MIN(10,F2394+E2395)</x:f>
        <x:v>10</x:v>
      </x:c>
      <x:c r="G2395" s="8" t="n">
        <x:f>MIN(F2395,9)+1</x:f>
        <x:v>10</x:v>
      </x:c>
      <x:c r="H2395" s="8" t="n">
        <x:f>IF(F2395&lt;=9,1,0)</x:f>
        <x:v>0</x:v>
      </x:c>
      <x:c r="I2395" s="9" t="n">
        <x:f>MIN(10,F2394+IF(AR2394&gt;0,MIN(1,AS2394/AR2394),1))</x:f>
        <x:v>10</x:v>
      </x:c>
      <x:c r="J2395" s="32" t="n">
        <x:f>INDEX(v01_FoodCap,G2395)*Arch_FoodCap*EXP(v01_CapsByProject*SUMPRODUCT((Cap_Point&lt;=I2395)*(Cap_Kind="Food")*Cap_Ln))</x:f>
        <x:v>12000</x:v>
      </x:c>
      <x:c r="K2395" s="32" t="n">
        <x:f>J2395*MIN(1,v01_LeanBase*EXP(v01_CapsByProject*SUMPRODUCT((Cap_Point&lt;=I2395)*(Cap_Kind="Lean")*Cap_Ln)))</x:f>
        <x:v>12000</x:v>
      </x:c>
      <x:c r="L2395" s="10" t="n">
        <x:f>INDEX(v01_HousingCap,G2395)*EXP(v01_CapsByProject*SUMPRODUCT((Cap_Point&lt;=I2395)*(Cap_Kind="Housing")*Cap_Ln))</x:f>
        <x:v>20000</x:v>
      </x:c>
      <x:c r="M2395" s="10" t="n">
        <x:f>INDEX(v01_GroupCap,G2395)*v01_CohesionFactor*EXP(v01_CapsByProject*SUMPRODUCT((Cap_Point&lt;=I2395)*(Cap_Kind="Group")*Cap_Ln))</x:f>
        <x:v>1000000</x:v>
      </x:c>
      <x:c r="N2395" s="32" t="n">
        <x:f>MIN(J2395,L2395,M2395)</x:f>
        <x:v>12000</x:v>
      </x:c>
      <x:c r="O2395" s="10" t="n">
        <x:f>AE2394*N2395</x:f>
        <x:v>180000</x:v>
      </x:c>
      <x:c r="P2395" s="9" t="n">
        <x:f>MIN(1,(AB2394/(AE2394*IF(v01_GroupInCrowding=1,N2395,MIN(J2395,L2395))))^v01_CrowdingExp)</x:f>
        <x:v>0.00024569414295285325</x:v>
      </x:c>
      <x:c r="Q2395" s="9" t="n">
        <x:f>IF(D2395=1,INDEX(v01_WinterMult,G2395),1)</x:f>
        <x:v>1</x:v>
      </x:c>
      <x:c r="R2395" s="9" t="n">
        <x:f>H2395*Z2394*v01_WomenShare*v01_BaseFertility*INDEX(v01_FertMult,G2395)*Arch_Fertility*(1-P2395)</x:f>
        <x:v>0</x:v>
      </x:c>
      <x:c r="S2395" s="9" t="n">
        <x:f>H2395*Y2394*INDEX(v01_MortChild,G2395)/4*Q2395</x:f>
        <x:v>0</x:v>
      </x:c>
      <x:c r="T2395" s="9" t="n">
        <x:f>H2395*Z2394*INDEX(v01_MortAdult,G2395)*Arch_AdultMort/4*Q2395</x:f>
        <x:v>0</x:v>
      </x:c>
      <x:c r="U2395" s="9" t="n">
        <x:f>H2395*AA2394*INDEX(v01_MortElder,G2395)/4*Q2395</x:f>
        <x:v>0</x:v>
      </x:c>
      <x:c r="V2395" s="9" t="n">
        <x:f>H2395*MAX(0,AB2394-O2395)*v01_OvercapLoss</x:f>
        <x:v>0</x:v>
      </x:c>
      <x:c r="W2395" s="9" t="n">
        <x:f>H2395*Y2394/(v01_ChildYears*4)</x:f>
        <x:v>0</x:v>
      </x:c>
      <x:c r="X2395" s="9" t="n">
        <x:f>H2395*Z2394/(v01_AdultYears*4)</x:f>
        <x:v>0</x:v>
      </x:c>
      <x:c r="Y2395" s="32" t="n">
        <x:f>Y2394+R2395-S2395-W2395-Y2394*V2395/AB2394</x:f>
        <x:v>14306.18539759397</x:v>
      </x:c>
      <x:c r="Z2395" s="32" t="n">
        <x:f>Z2394+W2395-X2395-T2395-Z2394*V2395/AB2394</x:f>
        <x:v>19354.456567879548</x:v>
      </x:c>
      <x:c r="AA2395" s="32" t="n">
        <x:f>AA2394+X2395-U2395-AA2394*V2395/AB2394</x:f>
        <x:v>11386.956063258198</x:v>
      </x:c>
      <x:c r="AB2395" s="10" t="n">
        <x:f>Y2395+Z2395+AA2395</x:f>
        <x:v>45047.59802873172</x:v>
      </x:c>
      <x:c r="AC2395" s="8" t="n">
        <x:f>IF(AND(v01_WinterTrigger=1,D2395=1,AB2394/AE2394&gt;=K2395),1,0)</x:f>
        <x:v>0</x:v>
      </x:c>
      <x:c r="AD2395" s="8" t="n">
        <x:f>H2395*IF(AND(OR(AB2394/AE2394&gt;=v01_FissionTrigger*N2395,AC2395=1),AB2394/AE2394*v01_DaughterShare&gt;=v01_MinDaughter),MAX(1,ROUND(AE2394*v01_FissionRate,0)),0)</x:f>
        <x:v>0</x:v>
      </x:c>
      <x:c r="AE2395" s="8" t="n">
        <x:f>IF(H2395=1,MAX(1,MIN(INDEX(v01_Smax,G2395),AE2394+AD2395)),AE2394)</x:f>
        <x:v>15</x:v>
      </x:c>
      <x:c r="AF2395" s="8" t="n">
        <x:f>MAX(0,AE2395-AE2394)</x:f>
        <x:v>0</x:v>
      </x:c>
      <x:c r="AG2395" s="9" t="str">
        <x:f>IF(AF2395&gt;0,B2395,"")</x:f>
      </x:c>
      <x:c r="AH2395" s="9" t="n">
        <x:f>IF(F2395&gt;=1,1,(1+v01_LowTiesShare*(AE2395-1))/AE2395)</x:f>
        <x:v>1</x:v>
      </x:c>
      <x:c r="AI2395" s="32" t="n">
        <x:f>(Z2395+v01_ElderCommons*INDEX(LM_Elder,G2395)*AA2395)*AH2395</x:f>
        <x:v>64139.732591141874</x:v>
      </x:c>
      <x:c r="AJ2395" s="32" t="n">
        <x:f>H2395*v01_CommonsCoef*AI2395^v01_CommonsExp*INDEX(LM_Commons,G2395)</x:f>
        <x:v>0</x:v>
      </x:c>
      <x:c r="AK2395" s="32" t="n">
        <x:f>H2395*v01_RoleScale*Arch_Roles*(AE2395*(INDEX(v01_ElderRolePerSett,G2395)*v01_OutElder*INDEX(LM_Elder,G2395)+INDEX(v01_ShamanPerSett,G2395)*v01_OutShaman)+Z2395*(INDEX(v01_PriestShare,G2395)*v01_OutPriest+INDEX(v01_ScribeShare,G2395)*v01_OutScribe*INDEX(LM_Scribe,G2395)+INDEX(v01_ScholarShare,G2395)*v01_OutScholar*INDEX(LM_Scholar,G2395)+INDEX(v01_ResearcherShare,G2395)*v01_OutResearcher*INDEX(LM_Researcher,G2395)))</x:f>
        <x:v>0</x:v>
      </x:c>
      <x:c r="AL2395" s="32" t="n">
        <x:f>H2395*v01_RoleScale*Arch_Roles*AE2395*INDEX(v01_MonasteryPerSett,G2395)*v01_OutMonastery*INDEX(LM_Monastery,G2395)</x:f>
        <x:v>0</x:v>
      </x:c>
      <x:c r="AM2395" s="32" t="n">
        <x:f>(AJ2395+AK2395+AL2395)/4*INDEX(LM_All,G2395)*INDEX(v01_Boon,G2395)*Arch_Insight</x:f>
        <x:v>0</x:v>
      </x:c>
      <x:c r="AN2395" s="32" t="n">
        <x:f>H2395*(v01_KHPerAdult*Z2395+v01_KHOfCommons*AJ2395/4*INDEX(LM_All,G2395))*v01_KHUsable*Arch_KH</x:f>
        <x:v>0</x:v>
      </x:c>
      <x:c r="AO2395" s="32" t="n">
        <x:f>MIN(AP2394+AN2395,AM2395*v01_KHMaxRatio)</x:f>
        <x:v>0</x:v>
      </x:c>
      <x:c r="AP2395" s="32" t="n">
        <x:f>AP2394+AN2395-AO2395</x:f>
        <x:v>0</x:v>
      </x:c>
      <x:c r="AQ2395" s="32" t="n">
        <x:f>AM2395+AO2395</x:f>
        <x:v>0</x:v>
      </x:c>
      <x:c r="AR2395" s="10" t="n">
        <x:f>IF(H2395=1,INDEX(v01_Req,G2395),0)</x:f>
        <x:v>0</x:v>
      </x:c>
      <x:c r="AS2395" s="32" t="n">
        <x:f>IF(H2395=1,IF(E2395=1,AS2394-AR2394,AS2394)+AQ2395,0)</x:f>
        <x:v>0</x:v>
      </x:c>
      <x:c r="AT2395" s="11" t="n">
        <x:f>IF(AR2395&gt;0,MIN(1,AS2395/AR2395),1)</x:f>
        <x:v>1</x:v>
      </x:c>
      <x:c r="AU2395" s="10" t="n">
        <x:f>AB2395/INDEX(v01_RepScale,G2395)</x:f>
        <x:v>90.09519605746344</x:v>
      </x:c>
      <x:c r="AV2395" s="32" t="n">
        <x:f>AM2395*60/v01_SeasonSeconds</x:f>
        <x:v>0</x:v>
      </x:c>
    </x:row>
    <x:row r="2396">
      <x:c r="A2396" s="8" t="n">
        <x:f>A2395+1</x:f>
        <x:v>2393</x:v>
      </x:c>
      <x:c r="B2396" s="9" t="n">
        <x:f>A2396*v01_SeasonSeconds/60</x:f>
        <x:v>598.25</x:v>
      </x:c>
      <x:c r="C2396" s="9" t="n">
        <x:f>A2396/4</x:f>
        <x:v>598.25</x:v>
      </x:c>
      <x:c r="D2396" s="8" t="n">
        <x:f>IF(MOD(A2396,4)=0,1,0)</x:f>
        <x:v>0</x:v>
      </x:c>
      <x:c r="E2396" s="8" t="n">
        <x:f>IF(AND(F2395&lt;=9,AS2395&gt;=AR2395),1,0)</x:f>
        <x:v>0</x:v>
      </x:c>
      <x:c r="F2396" s="8" t="n">
        <x:f>MIN(10,F2395+E2396)</x:f>
        <x:v>10</x:v>
      </x:c>
      <x:c r="G2396" s="8" t="n">
        <x:f>MIN(F2396,9)+1</x:f>
        <x:v>10</x:v>
      </x:c>
      <x:c r="H2396" s="8" t="n">
        <x:f>IF(F2396&lt;=9,1,0)</x:f>
        <x:v>0</x:v>
      </x:c>
      <x:c r="I2396" s="9" t="n">
        <x:f>MIN(10,F2395+IF(AR2395&gt;0,MIN(1,AS2395/AR2395),1))</x:f>
        <x:v>10</x:v>
      </x:c>
      <x:c r="J2396" s="32" t="n">
        <x:f>INDEX(v01_FoodCap,G2396)*Arch_FoodCap*EXP(v01_CapsByProject*SUMPRODUCT((Cap_Point&lt;=I2396)*(Cap_Kind="Food")*Cap_Ln))</x:f>
        <x:v>12000</x:v>
      </x:c>
      <x:c r="K2396" s="32" t="n">
        <x:f>J2396*MIN(1,v01_LeanBase*EXP(v01_CapsByProject*SUMPRODUCT((Cap_Point&lt;=I2396)*(Cap_Kind="Lean")*Cap_Ln)))</x:f>
        <x:v>12000</x:v>
      </x:c>
      <x:c r="L2396" s="10" t="n">
        <x:f>INDEX(v01_HousingCap,G2396)*EXP(v01_CapsByProject*SUMPRODUCT((Cap_Point&lt;=I2396)*(Cap_Kind="Housing")*Cap_Ln))</x:f>
        <x:v>20000</x:v>
      </x:c>
      <x:c r="M2396" s="10" t="n">
        <x:f>INDEX(v01_GroupCap,G2396)*v01_CohesionFactor*EXP(v01_CapsByProject*SUMPRODUCT((Cap_Point&lt;=I2396)*(Cap_Kind="Group")*Cap_Ln))</x:f>
        <x:v>1000000</x:v>
      </x:c>
      <x:c r="N2396" s="32" t="n">
        <x:f>MIN(J2396,L2396,M2396)</x:f>
        <x:v>12000</x:v>
      </x:c>
      <x:c r="O2396" s="10" t="n">
        <x:f>AE2395*N2396</x:f>
        <x:v>180000</x:v>
      </x:c>
      <x:c r="P2396" s="9" t="n">
        <x:f>MIN(1,(AB2395/(AE2395*IF(v01_GroupInCrowding=1,N2396,MIN(J2396,L2396))))^v01_CrowdingExp)</x:f>
        <x:v>0.00024569414295285325</x:v>
      </x:c>
      <x:c r="Q2396" s="9" t="n">
        <x:f>IF(D2396=1,INDEX(v01_WinterMult,G2396),1)</x:f>
        <x:v>1</x:v>
      </x:c>
      <x:c r="R2396" s="9" t="n">
        <x:f>H2396*Z2395*v01_WomenShare*v01_BaseFertility*INDEX(v01_FertMult,G2396)*Arch_Fertility*(1-P2396)</x:f>
        <x:v>0</x:v>
      </x:c>
      <x:c r="S2396" s="9" t="n">
        <x:f>H2396*Y2395*INDEX(v01_MortChild,G2396)/4*Q2396</x:f>
        <x:v>0</x:v>
      </x:c>
      <x:c r="T2396" s="9" t="n">
        <x:f>H2396*Z2395*INDEX(v01_MortAdult,G2396)*Arch_AdultMort/4*Q2396</x:f>
        <x:v>0</x:v>
      </x:c>
      <x:c r="U2396" s="9" t="n">
        <x:f>H2396*AA2395*INDEX(v01_MortElder,G2396)/4*Q2396</x:f>
        <x:v>0</x:v>
      </x:c>
      <x:c r="V2396" s="9" t="n">
        <x:f>H2396*MAX(0,AB2395-O2396)*v01_OvercapLoss</x:f>
        <x:v>0</x:v>
      </x:c>
      <x:c r="W2396" s="9" t="n">
        <x:f>H2396*Y2395/(v01_ChildYears*4)</x:f>
        <x:v>0</x:v>
      </x:c>
      <x:c r="X2396" s="9" t="n">
        <x:f>H2396*Z2395/(v01_AdultYears*4)</x:f>
        <x:v>0</x:v>
      </x:c>
      <x:c r="Y2396" s="32" t="n">
        <x:f>Y2395+R2396-S2396-W2396-Y2395*V2396/AB2395</x:f>
        <x:v>14306.18539759397</x:v>
      </x:c>
      <x:c r="Z2396" s="32" t="n">
        <x:f>Z2395+W2396-X2396-T2396-Z2395*V2396/AB2395</x:f>
        <x:v>19354.456567879548</x:v>
      </x:c>
      <x:c r="AA2396" s="32" t="n">
        <x:f>AA2395+X2396-U2396-AA2395*V2396/AB2395</x:f>
        <x:v>11386.956063258198</x:v>
      </x:c>
      <x:c r="AB2396" s="10" t="n">
        <x:f>Y2396+Z2396+AA2396</x:f>
        <x:v>45047.59802873172</x:v>
      </x:c>
      <x:c r="AC2396" s="8" t="n">
        <x:f>IF(AND(v01_WinterTrigger=1,D2396=1,AB2395/AE2395&gt;=K2396),1,0)</x:f>
        <x:v>0</x:v>
      </x:c>
      <x:c r="AD2396" s="8" t="n">
        <x:f>H2396*IF(AND(OR(AB2395/AE2395&gt;=v01_FissionTrigger*N2396,AC2396=1),AB2395/AE2395*v01_DaughterShare&gt;=v01_MinDaughter),MAX(1,ROUND(AE2395*v01_FissionRate,0)),0)</x:f>
        <x:v>0</x:v>
      </x:c>
      <x:c r="AE2396" s="8" t="n">
        <x:f>IF(H2396=1,MAX(1,MIN(INDEX(v01_Smax,G2396),AE2395+AD2396)),AE2395)</x:f>
        <x:v>15</x:v>
      </x:c>
      <x:c r="AF2396" s="8" t="n">
        <x:f>MAX(0,AE2396-AE2395)</x:f>
        <x:v>0</x:v>
      </x:c>
      <x:c r="AG2396" s="9" t="str">
        <x:f>IF(AF2396&gt;0,B2396,"")</x:f>
      </x:c>
      <x:c r="AH2396" s="9" t="n">
        <x:f>IF(F2396&gt;=1,1,(1+v01_LowTiesShare*(AE2396-1))/AE2396)</x:f>
        <x:v>1</x:v>
      </x:c>
      <x:c r="AI2396" s="32" t="n">
        <x:f>(Z2396+v01_ElderCommons*INDEX(LM_Elder,G2396)*AA2396)*AH2396</x:f>
        <x:v>64139.732591141874</x:v>
      </x:c>
      <x:c r="AJ2396" s="32" t="n">
        <x:f>H2396*v01_CommonsCoef*AI2396^v01_CommonsExp*INDEX(LM_Commons,G2396)</x:f>
        <x:v>0</x:v>
      </x:c>
      <x:c r="AK2396" s="32" t="n">
        <x:f>H2396*v01_RoleScale*Arch_Roles*(AE2396*(INDEX(v01_ElderRolePerSett,G2396)*v01_OutElder*INDEX(LM_Elder,G2396)+INDEX(v01_ShamanPerSett,G2396)*v01_OutShaman)+Z2396*(INDEX(v01_PriestShare,G2396)*v01_OutPriest+INDEX(v01_ScribeShare,G2396)*v01_OutScribe*INDEX(LM_Scribe,G2396)+INDEX(v01_ScholarShare,G2396)*v01_OutScholar*INDEX(LM_Scholar,G2396)+INDEX(v01_ResearcherShare,G2396)*v01_OutResearcher*INDEX(LM_Researcher,G2396)))</x:f>
        <x:v>0</x:v>
      </x:c>
      <x:c r="AL2396" s="32" t="n">
        <x:f>H2396*v01_RoleScale*Arch_Roles*AE2396*INDEX(v01_MonasteryPerSett,G2396)*v01_OutMonastery*INDEX(LM_Monastery,G2396)</x:f>
        <x:v>0</x:v>
      </x:c>
      <x:c r="AM2396" s="32" t="n">
        <x:f>(AJ2396+AK2396+AL2396)/4*INDEX(LM_All,G2396)*INDEX(v01_Boon,G2396)*Arch_Insight</x:f>
        <x:v>0</x:v>
      </x:c>
      <x:c r="AN2396" s="32" t="n">
        <x:f>H2396*(v01_KHPerAdult*Z2396+v01_KHOfCommons*AJ2396/4*INDEX(LM_All,G2396))*v01_KHUsable*Arch_KH</x:f>
        <x:v>0</x:v>
      </x:c>
      <x:c r="AO2396" s="32" t="n">
        <x:f>MIN(AP2395+AN2396,AM2396*v01_KHMaxRatio)</x:f>
        <x:v>0</x:v>
      </x:c>
      <x:c r="AP2396" s="32" t="n">
        <x:f>AP2395+AN2396-AO2396</x:f>
        <x:v>0</x:v>
      </x:c>
      <x:c r="AQ2396" s="32" t="n">
        <x:f>AM2396+AO2396</x:f>
        <x:v>0</x:v>
      </x:c>
      <x:c r="AR2396" s="10" t="n">
        <x:f>IF(H2396=1,INDEX(v01_Req,G2396),0)</x:f>
        <x:v>0</x:v>
      </x:c>
      <x:c r="AS2396" s="32" t="n">
        <x:f>IF(H2396=1,IF(E2396=1,AS2395-AR2395,AS2395)+AQ2396,0)</x:f>
        <x:v>0</x:v>
      </x:c>
      <x:c r="AT2396" s="11" t="n">
        <x:f>IF(AR2396&gt;0,MIN(1,AS2396/AR2396),1)</x:f>
        <x:v>1</x:v>
      </x:c>
      <x:c r="AU2396" s="10" t="n">
        <x:f>AB2396/INDEX(v01_RepScale,G2396)</x:f>
        <x:v>90.09519605746344</x:v>
      </x:c>
      <x:c r="AV2396" s="32" t="n">
        <x:f>AM2396*60/v01_SeasonSeconds</x:f>
        <x:v>0</x:v>
      </x:c>
    </x:row>
    <x:row r="2397">
      <x:c r="A2397" s="8" t="n">
        <x:f>A2396+1</x:f>
        <x:v>2394</x:v>
      </x:c>
      <x:c r="B2397" s="9" t="n">
        <x:f>A2397*v01_SeasonSeconds/60</x:f>
        <x:v>598.5</x:v>
      </x:c>
      <x:c r="C2397" s="9" t="n">
        <x:f>A2397/4</x:f>
        <x:v>598.5</x:v>
      </x:c>
      <x:c r="D2397" s="8" t="n">
        <x:f>IF(MOD(A2397,4)=0,1,0)</x:f>
        <x:v>0</x:v>
      </x:c>
      <x:c r="E2397" s="8" t="n">
        <x:f>IF(AND(F2396&lt;=9,AS2396&gt;=AR2396),1,0)</x:f>
        <x:v>0</x:v>
      </x:c>
      <x:c r="F2397" s="8" t="n">
        <x:f>MIN(10,F2396+E2397)</x:f>
        <x:v>10</x:v>
      </x:c>
      <x:c r="G2397" s="8" t="n">
        <x:f>MIN(F2397,9)+1</x:f>
        <x:v>10</x:v>
      </x:c>
      <x:c r="H2397" s="8" t="n">
        <x:f>IF(F2397&lt;=9,1,0)</x:f>
        <x:v>0</x:v>
      </x:c>
      <x:c r="I2397" s="9" t="n">
        <x:f>MIN(10,F2396+IF(AR2396&gt;0,MIN(1,AS2396/AR2396),1))</x:f>
        <x:v>10</x:v>
      </x:c>
      <x:c r="J2397" s="32" t="n">
        <x:f>INDEX(v01_FoodCap,G2397)*Arch_FoodCap*EXP(v01_CapsByProject*SUMPRODUCT((Cap_Point&lt;=I2397)*(Cap_Kind="Food")*Cap_Ln))</x:f>
        <x:v>12000</x:v>
      </x:c>
      <x:c r="K2397" s="32" t="n">
        <x:f>J2397*MIN(1,v01_LeanBase*EXP(v01_CapsByProject*SUMPRODUCT((Cap_Point&lt;=I2397)*(Cap_Kind="Lean")*Cap_Ln)))</x:f>
        <x:v>12000</x:v>
      </x:c>
      <x:c r="L2397" s="10" t="n">
        <x:f>INDEX(v01_HousingCap,G2397)*EXP(v01_CapsByProject*SUMPRODUCT((Cap_Point&lt;=I2397)*(Cap_Kind="Housing")*Cap_Ln))</x:f>
        <x:v>20000</x:v>
      </x:c>
      <x:c r="M2397" s="10" t="n">
        <x:f>INDEX(v01_GroupCap,G2397)*v01_CohesionFactor*EXP(v01_CapsByProject*SUMPRODUCT((Cap_Point&lt;=I2397)*(Cap_Kind="Group")*Cap_Ln))</x:f>
        <x:v>1000000</x:v>
      </x:c>
      <x:c r="N2397" s="32" t="n">
        <x:f>MIN(J2397,L2397,M2397)</x:f>
        <x:v>12000</x:v>
      </x:c>
      <x:c r="O2397" s="10" t="n">
        <x:f>AE2396*N2397</x:f>
        <x:v>180000</x:v>
      </x:c>
      <x:c r="P2397" s="9" t="n">
        <x:f>MIN(1,(AB2396/(AE2396*IF(v01_GroupInCrowding=1,N2397,MIN(J2397,L2397))))^v01_CrowdingExp)</x:f>
        <x:v>0.00024569414295285325</x:v>
      </x:c>
      <x:c r="Q2397" s="9" t="n">
        <x:f>IF(D2397=1,INDEX(v01_WinterMult,G2397),1)</x:f>
        <x:v>1</x:v>
      </x:c>
      <x:c r="R2397" s="9" t="n">
        <x:f>H2397*Z2396*v01_WomenShare*v01_BaseFertility*INDEX(v01_FertMult,G2397)*Arch_Fertility*(1-P2397)</x:f>
        <x:v>0</x:v>
      </x:c>
      <x:c r="S2397" s="9" t="n">
        <x:f>H2397*Y2396*INDEX(v01_MortChild,G2397)/4*Q2397</x:f>
        <x:v>0</x:v>
      </x:c>
      <x:c r="T2397" s="9" t="n">
        <x:f>H2397*Z2396*INDEX(v01_MortAdult,G2397)*Arch_AdultMort/4*Q2397</x:f>
        <x:v>0</x:v>
      </x:c>
      <x:c r="U2397" s="9" t="n">
        <x:f>H2397*AA2396*INDEX(v01_MortElder,G2397)/4*Q2397</x:f>
        <x:v>0</x:v>
      </x:c>
      <x:c r="V2397" s="9" t="n">
        <x:f>H2397*MAX(0,AB2396-O2397)*v01_OvercapLoss</x:f>
        <x:v>0</x:v>
      </x:c>
      <x:c r="W2397" s="9" t="n">
        <x:f>H2397*Y2396/(v01_ChildYears*4)</x:f>
        <x:v>0</x:v>
      </x:c>
      <x:c r="X2397" s="9" t="n">
        <x:f>H2397*Z2396/(v01_AdultYears*4)</x:f>
        <x:v>0</x:v>
      </x:c>
      <x:c r="Y2397" s="32" t="n">
        <x:f>Y2396+R2397-S2397-W2397-Y2396*V2397/AB2396</x:f>
        <x:v>14306.18539759397</x:v>
      </x:c>
      <x:c r="Z2397" s="32" t="n">
        <x:f>Z2396+W2397-X2397-T2397-Z2396*V2397/AB2396</x:f>
        <x:v>19354.456567879548</x:v>
      </x:c>
      <x:c r="AA2397" s="32" t="n">
        <x:f>AA2396+X2397-U2397-AA2396*V2397/AB2396</x:f>
        <x:v>11386.956063258198</x:v>
      </x:c>
      <x:c r="AB2397" s="10" t="n">
        <x:f>Y2397+Z2397+AA2397</x:f>
        <x:v>45047.59802873172</x:v>
      </x:c>
      <x:c r="AC2397" s="8" t="n">
        <x:f>IF(AND(v01_WinterTrigger=1,D2397=1,AB2396/AE2396&gt;=K2397),1,0)</x:f>
        <x:v>0</x:v>
      </x:c>
      <x:c r="AD2397" s="8" t="n">
        <x:f>H2397*IF(AND(OR(AB2396/AE2396&gt;=v01_FissionTrigger*N2397,AC2397=1),AB2396/AE2396*v01_DaughterShare&gt;=v01_MinDaughter),MAX(1,ROUND(AE2396*v01_FissionRate,0)),0)</x:f>
        <x:v>0</x:v>
      </x:c>
      <x:c r="AE2397" s="8" t="n">
        <x:f>IF(H2397=1,MAX(1,MIN(INDEX(v01_Smax,G2397),AE2396+AD2397)),AE2396)</x:f>
        <x:v>15</x:v>
      </x:c>
      <x:c r="AF2397" s="8" t="n">
        <x:f>MAX(0,AE2397-AE2396)</x:f>
        <x:v>0</x:v>
      </x:c>
      <x:c r="AG2397" s="9" t="str">
        <x:f>IF(AF2397&gt;0,B2397,"")</x:f>
      </x:c>
      <x:c r="AH2397" s="9" t="n">
        <x:f>IF(F2397&gt;=1,1,(1+v01_LowTiesShare*(AE2397-1))/AE2397)</x:f>
        <x:v>1</x:v>
      </x:c>
      <x:c r="AI2397" s="32" t="n">
        <x:f>(Z2397+v01_ElderCommons*INDEX(LM_Elder,G2397)*AA2397)*AH2397</x:f>
        <x:v>64139.732591141874</x:v>
      </x:c>
      <x:c r="AJ2397" s="32" t="n">
        <x:f>H2397*v01_CommonsCoef*AI2397^v01_CommonsExp*INDEX(LM_Commons,G2397)</x:f>
        <x:v>0</x:v>
      </x:c>
      <x:c r="AK2397" s="32" t="n">
        <x:f>H2397*v01_RoleScale*Arch_Roles*(AE2397*(INDEX(v01_ElderRolePerSett,G2397)*v01_OutElder*INDEX(LM_Elder,G2397)+INDEX(v01_ShamanPerSett,G2397)*v01_OutShaman)+Z2397*(INDEX(v01_PriestShare,G2397)*v01_OutPriest+INDEX(v01_ScribeShare,G2397)*v01_OutScribe*INDEX(LM_Scribe,G2397)+INDEX(v01_ScholarShare,G2397)*v01_OutScholar*INDEX(LM_Scholar,G2397)+INDEX(v01_ResearcherShare,G2397)*v01_OutResearcher*INDEX(LM_Researcher,G2397)))</x:f>
        <x:v>0</x:v>
      </x:c>
      <x:c r="AL2397" s="32" t="n">
        <x:f>H2397*v01_RoleScale*Arch_Roles*AE2397*INDEX(v01_MonasteryPerSett,G2397)*v01_OutMonastery*INDEX(LM_Monastery,G2397)</x:f>
        <x:v>0</x:v>
      </x:c>
      <x:c r="AM2397" s="32" t="n">
        <x:f>(AJ2397+AK2397+AL2397)/4*INDEX(LM_All,G2397)*INDEX(v01_Boon,G2397)*Arch_Insight</x:f>
        <x:v>0</x:v>
      </x:c>
      <x:c r="AN2397" s="32" t="n">
        <x:f>H2397*(v01_KHPerAdult*Z2397+v01_KHOfCommons*AJ2397/4*INDEX(LM_All,G2397))*v01_KHUsable*Arch_KH</x:f>
        <x:v>0</x:v>
      </x:c>
      <x:c r="AO2397" s="32" t="n">
        <x:f>MIN(AP2396+AN2397,AM2397*v01_KHMaxRatio)</x:f>
        <x:v>0</x:v>
      </x:c>
      <x:c r="AP2397" s="32" t="n">
        <x:f>AP2396+AN2397-AO2397</x:f>
        <x:v>0</x:v>
      </x:c>
      <x:c r="AQ2397" s="32" t="n">
        <x:f>AM2397+AO2397</x:f>
        <x:v>0</x:v>
      </x:c>
      <x:c r="AR2397" s="10" t="n">
        <x:f>IF(H2397=1,INDEX(v01_Req,G2397),0)</x:f>
        <x:v>0</x:v>
      </x:c>
      <x:c r="AS2397" s="32" t="n">
        <x:f>IF(H2397=1,IF(E2397=1,AS2396-AR2396,AS2396)+AQ2397,0)</x:f>
        <x:v>0</x:v>
      </x:c>
      <x:c r="AT2397" s="11" t="n">
        <x:f>IF(AR2397&gt;0,MIN(1,AS2397/AR2397),1)</x:f>
        <x:v>1</x:v>
      </x:c>
      <x:c r="AU2397" s="10" t="n">
        <x:f>AB2397/INDEX(v01_RepScale,G2397)</x:f>
        <x:v>90.09519605746344</x:v>
      </x:c>
      <x:c r="AV2397" s="32" t="n">
        <x:f>AM2397*60/v01_SeasonSeconds</x:f>
        <x:v>0</x:v>
      </x:c>
    </x:row>
    <x:row r="2398">
      <x:c r="A2398" s="8" t="n">
        <x:f>A2397+1</x:f>
        <x:v>2395</x:v>
      </x:c>
      <x:c r="B2398" s="9" t="n">
        <x:f>A2398*v01_SeasonSeconds/60</x:f>
        <x:v>598.75</x:v>
      </x:c>
      <x:c r="C2398" s="9" t="n">
        <x:f>A2398/4</x:f>
        <x:v>598.75</x:v>
      </x:c>
      <x:c r="D2398" s="8" t="n">
        <x:f>IF(MOD(A2398,4)=0,1,0)</x:f>
        <x:v>0</x:v>
      </x:c>
      <x:c r="E2398" s="8" t="n">
        <x:f>IF(AND(F2397&lt;=9,AS2397&gt;=AR2397),1,0)</x:f>
        <x:v>0</x:v>
      </x:c>
      <x:c r="F2398" s="8" t="n">
        <x:f>MIN(10,F2397+E2398)</x:f>
        <x:v>10</x:v>
      </x:c>
      <x:c r="G2398" s="8" t="n">
        <x:f>MIN(F2398,9)+1</x:f>
        <x:v>10</x:v>
      </x:c>
      <x:c r="H2398" s="8" t="n">
        <x:f>IF(F2398&lt;=9,1,0)</x:f>
        <x:v>0</x:v>
      </x:c>
      <x:c r="I2398" s="9" t="n">
        <x:f>MIN(10,F2397+IF(AR2397&gt;0,MIN(1,AS2397/AR2397),1))</x:f>
        <x:v>10</x:v>
      </x:c>
      <x:c r="J2398" s="32" t="n">
        <x:f>INDEX(v01_FoodCap,G2398)*Arch_FoodCap*EXP(v01_CapsByProject*SUMPRODUCT((Cap_Point&lt;=I2398)*(Cap_Kind="Food")*Cap_Ln))</x:f>
        <x:v>12000</x:v>
      </x:c>
      <x:c r="K2398" s="32" t="n">
        <x:f>J2398*MIN(1,v01_LeanBase*EXP(v01_CapsByProject*SUMPRODUCT((Cap_Point&lt;=I2398)*(Cap_Kind="Lean")*Cap_Ln)))</x:f>
        <x:v>12000</x:v>
      </x:c>
      <x:c r="L2398" s="10" t="n">
        <x:f>INDEX(v01_HousingCap,G2398)*EXP(v01_CapsByProject*SUMPRODUCT((Cap_Point&lt;=I2398)*(Cap_Kind="Housing")*Cap_Ln))</x:f>
        <x:v>20000</x:v>
      </x:c>
      <x:c r="M2398" s="10" t="n">
        <x:f>INDEX(v01_GroupCap,G2398)*v01_CohesionFactor*EXP(v01_CapsByProject*SUMPRODUCT((Cap_Point&lt;=I2398)*(Cap_Kind="Group")*Cap_Ln))</x:f>
        <x:v>1000000</x:v>
      </x:c>
      <x:c r="N2398" s="32" t="n">
        <x:f>MIN(J2398,L2398,M2398)</x:f>
        <x:v>12000</x:v>
      </x:c>
      <x:c r="O2398" s="10" t="n">
        <x:f>AE2397*N2398</x:f>
        <x:v>180000</x:v>
      </x:c>
      <x:c r="P2398" s="9" t="n">
        <x:f>MIN(1,(AB2397/(AE2397*IF(v01_GroupInCrowding=1,N2398,MIN(J2398,L2398))))^v01_CrowdingExp)</x:f>
        <x:v>0.00024569414295285325</x:v>
      </x:c>
      <x:c r="Q2398" s="9" t="n">
        <x:f>IF(D2398=1,INDEX(v01_WinterMult,G2398),1)</x:f>
        <x:v>1</x:v>
      </x:c>
      <x:c r="R2398" s="9" t="n">
        <x:f>H2398*Z2397*v01_WomenShare*v01_BaseFertility*INDEX(v01_FertMult,G2398)*Arch_Fertility*(1-P2398)</x:f>
        <x:v>0</x:v>
      </x:c>
      <x:c r="S2398" s="9" t="n">
        <x:f>H2398*Y2397*INDEX(v01_MortChild,G2398)/4*Q2398</x:f>
        <x:v>0</x:v>
      </x:c>
      <x:c r="T2398" s="9" t="n">
        <x:f>H2398*Z2397*INDEX(v01_MortAdult,G2398)*Arch_AdultMort/4*Q2398</x:f>
        <x:v>0</x:v>
      </x:c>
      <x:c r="U2398" s="9" t="n">
        <x:f>H2398*AA2397*INDEX(v01_MortElder,G2398)/4*Q2398</x:f>
        <x:v>0</x:v>
      </x:c>
      <x:c r="V2398" s="9" t="n">
        <x:f>H2398*MAX(0,AB2397-O2398)*v01_OvercapLoss</x:f>
        <x:v>0</x:v>
      </x:c>
      <x:c r="W2398" s="9" t="n">
        <x:f>H2398*Y2397/(v01_ChildYears*4)</x:f>
        <x:v>0</x:v>
      </x:c>
      <x:c r="X2398" s="9" t="n">
        <x:f>H2398*Z2397/(v01_AdultYears*4)</x:f>
        <x:v>0</x:v>
      </x:c>
      <x:c r="Y2398" s="32" t="n">
        <x:f>Y2397+R2398-S2398-W2398-Y2397*V2398/AB2397</x:f>
        <x:v>14306.18539759397</x:v>
      </x:c>
      <x:c r="Z2398" s="32" t="n">
        <x:f>Z2397+W2398-X2398-T2398-Z2397*V2398/AB2397</x:f>
        <x:v>19354.456567879548</x:v>
      </x:c>
      <x:c r="AA2398" s="32" t="n">
        <x:f>AA2397+X2398-U2398-AA2397*V2398/AB2397</x:f>
        <x:v>11386.956063258198</x:v>
      </x:c>
      <x:c r="AB2398" s="10" t="n">
        <x:f>Y2398+Z2398+AA2398</x:f>
        <x:v>45047.59802873172</x:v>
      </x:c>
      <x:c r="AC2398" s="8" t="n">
        <x:f>IF(AND(v01_WinterTrigger=1,D2398=1,AB2397/AE2397&gt;=K2398),1,0)</x:f>
        <x:v>0</x:v>
      </x:c>
      <x:c r="AD2398" s="8" t="n">
        <x:f>H2398*IF(AND(OR(AB2397/AE2397&gt;=v01_FissionTrigger*N2398,AC2398=1),AB2397/AE2397*v01_DaughterShare&gt;=v01_MinDaughter),MAX(1,ROUND(AE2397*v01_FissionRate,0)),0)</x:f>
        <x:v>0</x:v>
      </x:c>
      <x:c r="AE2398" s="8" t="n">
        <x:f>IF(H2398=1,MAX(1,MIN(INDEX(v01_Smax,G2398),AE2397+AD2398)),AE2397)</x:f>
        <x:v>15</x:v>
      </x:c>
      <x:c r="AF2398" s="8" t="n">
        <x:f>MAX(0,AE2398-AE2397)</x:f>
        <x:v>0</x:v>
      </x:c>
      <x:c r="AG2398" s="9" t="str">
        <x:f>IF(AF2398&gt;0,B2398,"")</x:f>
      </x:c>
      <x:c r="AH2398" s="9" t="n">
        <x:f>IF(F2398&gt;=1,1,(1+v01_LowTiesShare*(AE2398-1))/AE2398)</x:f>
        <x:v>1</x:v>
      </x:c>
      <x:c r="AI2398" s="32" t="n">
        <x:f>(Z2398+v01_ElderCommons*INDEX(LM_Elder,G2398)*AA2398)*AH2398</x:f>
        <x:v>64139.732591141874</x:v>
      </x:c>
      <x:c r="AJ2398" s="32" t="n">
        <x:f>H2398*v01_CommonsCoef*AI2398^v01_CommonsExp*INDEX(LM_Commons,G2398)</x:f>
        <x:v>0</x:v>
      </x:c>
      <x:c r="AK2398" s="32" t="n">
        <x:f>H2398*v01_RoleScale*Arch_Roles*(AE2398*(INDEX(v01_ElderRolePerSett,G2398)*v01_OutElder*INDEX(LM_Elder,G2398)+INDEX(v01_ShamanPerSett,G2398)*v01_OutShaman)+Z2398*(INDEX(v01_PriestShare,G2398)*v01_OutPriest+INDEX(v01_ScribeShare,G2398)*v01_OutScribe*INDEX(LM_Scribe,G2398)+INDEX(v01_ScholarShare,G2398)*v01_OutScholar*INDEX(LM_Scholar,G2398)+INDEX(v01_ResearcherShare,G2398)*v01_OutResearcher*INDEX(LM_Researcher,G2398)))</x:f>
        <x:v>0</x:v>
      </x:c>
      <x:c r="AL2398" s="32" t="n">
        <x:f>H2398*v01_RoleScale*Arch_Roles*AE2398*INDEX(v01_MonasteryPerSett,G2398)*v01_OutMonastery*INDEX(LM_Monastery,G2398)</x:f>
        <x:v>0</x:v>
      </x:c>
      <x:c r="AM2398" s="32" t="n">
        <x:f>(AJ2398+AK2398+AL2398)/4*INDEX(LM_All,G2398)*INDEX(v01_Boon,G2398)*Arch_Insight</x:f>
        <x:v>0</x:v>
      </x:c>
      <x:c r="AN2398" s="32" t="n">
        <x:f>H2398*(v01_KHPerAdult*Z2398+v01_KHOfCommons*AJ2398/4*INDEX(LM_All,G2398))*v01_KHUsable*Arch_KH</x:f>
        <x:v>0</x:v>
      </x:c>
      <x:c r="AO2398" s="32" t="n">
        <x:f>MIN(AP2397+AN2398,AM2398*v01_KHMaxRatio)</x:f>
        <x:v>0</x:v>
      </x:c>
      <x:c r="AP2398" s="32" t="n">
        <x:f>AP2397+AN2398-AO2398</x:f>
        <x:v>0</x:v>
      </x:c>
      <x:c r="AQ2398" s="32" t="n">
        <x:f>AM2398+AO2398</x:f>
        <x:v>0</x:v>
      </x:c>
      <x:c r="AR2398" s="10" t="n">
        <x:f>IF(H2398=1,INDEX(v01_Req,G2398),0)</x:f>
        <x:v>0</x:v>
      </x:c>
      <x:c r="AS2398" s="32" t="n">
        <x:f>IF(H2398=1,IF(E2398=1,AS2397-AR2397,AS2397)+AQ2398,0)</x:f>
        <x:v>0</x:v>
      </x:c>
      <x:c r="AT2398" s="11" t="n">
        <x:f>IF(AR2398&gt;0,MIN(1,AS2398/AR2398),1)</x:f>
        <x:v>1</x:v>
      </x:c>
      <x:c r="AU2398" s="10" t="n">
        <x:f>AB2398/INDEX(v01_RepScale,G2398)</x:f>
        <x:v>90.09519605746344</x:v>
      </x:c>
      <x:c r="AV2398" s="32" t="n">
        <x:f>AM2398*60/v01_SeasonSeconds</x:f>
        <x:v>0</x:v>
      </x:c>
    </x:row>
    <x:row r="2399">
      <x:c r="A2399" s="8" t="n">
        <x:f>A2398+1</x:f>
        <x:v>2396</x:v>
      </x:c>
      <x:c r="B2399" s="9" t="n">
        <x:f>A2399*v01_SeasonSeconds/60</x:f>
        <x:v>599</x:v>
      </x:c>
      <x:c r="C2399" s="9" t="n">
        <x:f>A2399/4</x:f>
        <x:v>599</x:v>
      </x:c>
      <x:c r="D2399" s="8" t="n">
        <x:f>IF(MOD(A2399,4)=0,1,0)</x:f>
        <x:v>1</x:v>
      </x:c>
      <x:c r="E2399" s="8" t="n">
        <x:f>IF(AND(F2398&lt;=9,AS2398&gt;=AR2398),1,0)</x:f>
        <x:v>0</x:v>
      </x:c>
      <x:c r="F2399" s="8" t="n">
        <x:f>MIN(10,F2398+E2399)</x:f>
        <x:v>10</x:v>
      </x:c>
      <x:c r="G2399" s="8" t="n">
        <x:f>MIN(F2399,9)+1</x:f>
        <x:v>10</x:v>
      </x:c>
      <x:c r="H2399" s="8" t="n">
        <x:f>IF(F2399&lt;=9,1,0)</x:f>
        <x:v>0</x:v>
      </x:c>
      <x:c r="I2399" s="9" t="n">
        <x:f>MIN(10,F2398+IF(AR2398&gt;0,MIN(1,AS2398/AR2398),1))</x:f>
        <x:v>10</x:v>
      </x:c>
      <x:c r="J2399" s="32" t="n">
        <x:f>INDEX(v01_FoodCap,G2399)*Arch_FoodCap*EXP(v01_CapsByProject*SUMPRODUCT((Cap_Point&lt;=I2399)*(Cap_Kind="Food")*Cap_Ln))</x:f>
        <x:v>12000</x:v>
      </x:c>
      <x:c r="K2399" s="32" t="n">
        <x:f>J2399*MIN(1,v01_LeanBase*EXP(v01_CapsByProject*SUMPRODUCT((Cap_Point&lt;=I2399)*(Cap_Kind="Lean")*Cap_Ln)))</x:f>
        <x:v>12000</x:v>
      </x:c>
      <x:c r="L2399" s="10" t="n">
        <x:f>INDEX(v01_HousingCap,G2399)*EXP(v01_CapsByProject*SUMPRODUCT((Cap_Point&lt;=I2399)*(Cap_Kind="Housing")*Cap_Ln))</x:f>
        <x:v>20000</x:v>
      </x:c>
      <x:c r="M2399" s="10" t="n">
        <x:f>INDEX(v01_GroupCap,G2399)*v01_CohesionFactor*EXP(v01_CapsByProject*SUMPRODUCT((Cap_Point&lt;=I2399)*(Cap_Kind="Group")*Cap_Ln))</x:f>
        <x:v>1000000</x:v>
      </x:c>
      <x:c r="N2399" s="32" t="n">
        <x:f>MIN(J2399,L2399,M2399)</x:f>
        <x:v>12000</x:v>
      </x:c>
      <x:c r="O2399" s="10" t="n">
        <x:f>AE2398*N2399</x:f>
        <x:v>180000</x:v>
      </x:c>
      <x:c r="P2399" s="9" t="n">
        <x:f>MIN(1,(AB2398/(AE2398*IF(v01_GroupInCrowding=1,N2399,MIN(J2399,L2399))))^v01_CrowdingExp)</x:f>
        <x:v>0.00024569414295285325</x:v>
      </x:c>
      <x:c r="Q2399" s="9" t="n">
        <x:f>IF(D2399=1,INDEX(v01_WinterMult,G2399),1)</x:f>
        <x:v>1</x:v>
      </x:c>
      <x:c r="R2399" s="9" t="n">
        <x:f>H2399*Z2398*v01_WomenShare*v01_BaseFertility*INDEX(v01_FertMult,G2399)*Arch_Fertility*(1-P2399)</x:f>
        <x:v>0</x:v>
      </x:c>
      <x:c r="S2399" s="9" t="n">
        <x:f>H2399*Y2398*INDEX(v01_MortChild,G2399)/4*Q2399</x:f>
        <x:v>0</x:v>
      </x:c>
      <x:c r="T2399" s="9" t="n">
        <x:f>H2399*Z2398*INDEX(v01_MortAdult,G2399)*Arch_AdultMort/4*Q2399</x:f>
        <x:v>0</x:v>
      </x:c>
      <x:c r="U2399" s="9" t="n">
        <x:f>H2399*AA2398*INDEX(v01_MortElder,G2399)/4*Q2399</x:f>
        <x:v>0</x:v>
      </x:c>
      <x:c r="V2399" s="9" t="n">
        <x:f>H2399*MAX(0,AB2398-O2399)*v01_OvercapLoss</x:f>
        <x:v>0</x:v>
      </x:c>
      <x:c r="W2399" s="9" t="n">
        <x:f>H2399*Y2398/(v01_ChildYears*4)</x:f>
        <x:v>0</x:v>
      </x:c>
      <x:c r="X2399" s="9" t="n">
        <x:f>H2399*Z2398/(v01_AdultYears*4)</x:f>
        <x:v>0</x:v>
      </x:c>
      <x:c r="Y2399" s="32" t="n">
        <x:f>Y2398+R2399-S2399-W2399-Y2398*V2399/AB2398</x:f>
        <x:v>14306.18539759397</x:v>
      </x:c>
      <x:c r="Z2399" s="32" t="n">
        <x:f>Z2398+W2399-X2399-T2399-Z2398*V2399/AB2398</x:f>
        <x:v>19354.456567879548</x:v>
      </x:c>
      <x:c r="AA2399" s="32" t="n">
        <x:f>AA2398+X2399-U2399-AA2398*V2399/AB2398</x:f>
        <x:v>11386.956063258198</x:v>
      </x:c>
      <x:c r="AB2399" s="10" t="n">
        <x:f>Y2399+Z2399+AA2399</x:f>
        <x:v>45047.59802873172</x:v>
      </x:c>
      <x:c r="AC2399" s="8" t="n">
        <x:f>IF(AND(v01_WinterTrigger=1,D2399=1,AB2398/AE2398&gt;=K2399),1,0)</x:f>
        <x:v>0</x:v>
      </x:c>
      <x:c r="AD2399" s="8" t="n">
        <x:f>H2399*IF(AND(OR(AB2398/AE2398&gt;=v01_FissionTrigger*N2399,AC2399=1),AB2398/AE2398*v01_DaughterShare&gt;=v01_MinDaughter),MAX(1,ROUND(AE2398*v01_FissionRate,0)),0)</x:f>
        <x:v>0</x:v>
      </x:c>
      <x:c r="AE2399" s="8" t="n">
        <x:f>IF(H2399=1,MAX(1,MIN(INDEX(v01_Smax,G2399),AE2398+AD2399)),AE2398)</x:f>
        <x:v>15</x:v>
      </x:c>
      <x:c r="AF2399" s="8" t="n">
        <x:f>MAX(0,AE2399-AE2398)</x:f>
        <x:v>0</x:v>
      </x:c>
      <x:c r="AG2399" s="9" t="str">
        <x:f>IF(AF2399&gt;0,B2399,"")</x:f>
      </x:c>
      <x:c r="AH2399" s="9" t="n">
        <x:f>IF(F2399&gt;=1,1,(1+v01_LowTiesShare*(AE2399-1))/AE2399)</x:f>
        <x:v>1</x:v>
      </x:c>
      <x:c r="AI2399" s="32" t="n">
        <x:f>(Z2399+v01_ElderCommons*INDEX(LM_Elder,G2399)*AA2399)*AH2399</x:f>
        <x:v>64139.732591141874</x:v>
      </x:c>
      <x:c r="AJ2399" s="32" t="n">
        <x:f>H2399*v01_CommonsCoef*AI2399^v01_CommonsExp*INDEX(LM_Commons,G2399)</x:f>
        <x:v>0</x:v>
      </x:c>
      <x:c r="AK2399" s="32" t="n">
        <x:f>H2399*v01_RoleScale*Arch_Roles*(AE2399*(INDEX(v01_ElderRolePerSett,G2399)*v01_OutElder*INDEX(LM_Elder,G2399)+INDEX(v01_ShamanPerSett,G2399)*v01_OutShaman)+Z2399*(INDEX(v01_PriestShare,G2399)*v01_OutPriest+INDEX(v01_ScribeShare,G2399)*v01_OutScribe*INDEX(LM_Scribe,G2399)+INDEX(v01_ScholarShare,G2399)*v01_OutScholar*INDEX(LM_Scholar,G2399)+INDEX(v01_ResearcherShare,G2399)*v01_OutResearcher*INDEX(LM_Researcher,G2399)))</x:f>
        <x:v>0</x:v>
      </x:c>
      <x:c r="AL2399" s="32" t="n">
        <x:f>H2399*v01_RoleScale*Arch_Roles*AE2399*INDEX(v01_MonasteryPerSett,G2399)*v01_OutMonastery*INDEX(LM_Monastery,G2399)</x:f>
        <x:v>0</x:v>
      </x:c>
      <x:c r="AM2399" s="32" t="n">
        <x:f>(AJ2399+AK2399+AL2399)/4*INDEX(LM_All,G2399)*INDEX(v01_Boon,G2399)*Arch_Insight</x:f>
        <x:v>0</x:v>
      </x:c>
      <x:c r="AN2399" s="32" t="n">
        <x:f>H2399*(v01_KHPerAdult*Z2399+v01_KHOfCommons*AJ2399/4*INDEX(LM_All,G2399))*v01_KHUsable*Arch_KH</x:f>
        <x:v>0</x:v>
      </x:c>
      <x:c r="AO2399" s="32" t="n">
        <x:f>MIN(AP2398+AN2399,AM2399*v01_KHMaxRatio)</x:f>
        <x:v>0</x:v>
      </x:c>
      <x:c r="AP2399" s="32" t="n">
        <x:f>AP2398+AN2399-AO2399</x:f>
        <x:v>0</x:v>
      </x:c>
      <x:c r="AQ2399" s="32" t="n">
        <x:f>AM2399+AO2399</x:f>
        <x:v>0</x:v>
      </x:c>
      <x:c r="AR2399" s="10" t="n">
        <x:f>IF(H2399=1,INDEX(v01_Req,G2399),0)</x:f>
        <x:v>0</x:v>
      </x:c>
      <x:c r="AS2399" s="32" t="n">
        <x:f>IF(H2399=1,IF(E2399=1,AS2398-AR2398,AS2398)+AQ2399,0)</x:f>
        <x:v>0</x:v>
      </x:c>
      <x:c r="AT2399" s="11" t="n">
        <x:f>IF(AR2399&gt;0,MIN(1,AS2399/AR2399),1)</x:f>
        <x:v>1</x:v>
      </x:c>
      <x:c r="AU2399" s="10" t="n">
        <x:f>AB2399/INDEX(v01_RepScale,G2399)</x:f>
        <x:v>90.09519605746344</x:v>
      </x:c>
      <x:c r="AV2399" s="32" t="n">
        <x:f>AM2399*60/v01_SeasonSeconds</x:f>
        <x:v>0</x:v>
      </x:c>
    </x:row>
    <x:row r="2400">
      <x:c r="A2400" s="8" t="n">
        <x:f>A2399+1</x:f>
        <x:v>2397</x:v>
      </x:c>
      <x:c r="B2400" s="9" t="n">
        <x:f>A2400*v01_SeasonSeconds/60</x:f>
        <x:v>599.25</x:v>
      </x:c>
      <x:c r="C2400" s="9" t="n">
        <x:f>A2400/4</x:f>
        <x:v>599.25</x:v>
      </x:c>
      <x:c r="D2400" s="8" t="n">
        <x:f>IF(MOD(A2400,4)=0,1,0)</x:f>
        <x:v>0</x:v>
      </x:c>
      <x:c r="E2400" s="8" t="n">
        <x:f>IF(AND(F2399&lt;=9,AS2399&gt;=AR2399),1,0)</x:f>
        <x:v>0</x:v>
      </x:c>
      <x:c r="F2400" s="8" t="n">
        <x:f>MIN(10,F2399+E2400)</x:f>
        <x:v>10</x:v>
      </x:c>
      <x:c r="G2400" s="8" t="n">
        <x:f>MIN(F2400,9)+1</x:f>
        <x:v>10</x:v>
      </x:c>
      <x:c r="H2400" s="8" t="n">
        <x:f>IF(F2400&lt;=9,1,0)</x:f>
        <x:v>0</x:v>
      </x:c>
      <x:c r="I2400" s="9" t="n">
        <x:f>MIN(10,F2399+IF(AR2399&gt;0,MIN(1,AS2399/AR2399),1))</x:f>
        <x:v>10</x:v>
      </x:c>
      <x:c r="J2400" s="32" t="n">
        <x:f>INDEX(v01_FoodCap,G2400)*Arch_FoodCap*EXP(v01_CapsByProject*SUMPRODUCT((Cap_Point&lt;=I2400)*(Cap_Kind="Food")*Cap_Ln))</x:f>
        <x:v>12000</x:v>
      </x:c>
      <x:c r="K2400" s="32" t="n">
        <x:f>J2400*MIN(1,v01_LeanBase*EXP(v01_CapsByProject*SUMPRODUCT((Cap_Point&lt;=I2400)*(Cap_Kind="Lean")*Cap_Ln)))</x:f>
        <x:v>12000</x:v>
      </x:c>
      <x:c r="L2400" s="10" t="n">
        <x:f>INDEX(v01_HousingCap,G2400)*EXP(v01_CapsByProject*SUMPRODUCT((Cap_Point&lt;=I2400)*(Cap_Kind="Housing")*Cap_Ln))</x:f>
        <x:v>20000</x:v>
      </x:c>
      <x:c r="M2400" s="10" t="n">
        <x:f>INDEX(v01_GroupCap,G2400)*v01_CohesionFactor*EXP(v01_CapsByProject*SUMPRODUCT((Cap_Point&lt;=I2400)*(Cap_Kind="Group")*Cap_Ln))</x:f>
        <x:v>1000000</x:v>
      </x:c>
      <x:c r="N2400" s="32" t="n">
        <x:f>MIN(J2400,L2400,M2400)</x:f>
        <x:v>12000</x:v>
      </x:c>
      <x:c r="O2400" s="10" t="n">
        <x:f>AE2399*N2400</x:f>
        <x:v>180000</x:v>
      </x:c>
      <x:c r="P2400" s="9" t="n">
        <x:f>MIN(1,(AB2399/(AE2399*IF(v01_GroupInCrowding=1,N2400,MIN(J2400,L2400))))^v01_CrowdingExp)</x:f>
        <x:v>0.00024569414295285325</x:v>
      </x:c>
      <x:c r="Q2400" s="9" t="n">
        <x:f>IF(D2400=1,INDEX(v01_WinterMult,G2400),1)</x:f>
        <x:v>1</x:v>
      </x:c>
      <x:c r="R2400" s="9" t="n">
        <x:f>H2400*Z2399*v01_WomenShare*v01_BaseFertility*INDEX(v01_FertMult,G2400)*Arch_Fertility*(1-P2400)</x:f>
        <x:v>0</x:v>
      </x:c>
      <x:c r="S2400" s="9" t="n">
        <x:f>H2400*Y2399*INDEX(v01_MortChild,G2400)/4*Q2400</x:f>
        <x:v>0</x:v>
      </x:c>
      <x:c r="T2400" s="9" t="n">
        <x:f>H2400*Z2399*INDEX(v01_MortAdult,G2400)*Arch_AdultMort/4*Q2400</x:f>
        <x:v>0</x:v>
      </x:c>
      <x:c r="U2400" s="9" t="n">
        <x:f>H2400*AA2399*INDEX(v01_MortElder,G2400)/4*Q2400</x:f>
        <x:v>0</x:v>
      </x:c>
      <x:c r="V2400" s="9" t="n">
        <x:f>H2400*MAX(0,AB2399-O2400)*v01_OvercapLoss</x:f>
        <x:v>0</x:v>
      </x:c>
      <x:c r="W2400" s="9" t="n">
        <x:f>H2400*Y2399/(v01_ChildYears*4)</x:f>
        <x:v>0</x:v>
      </x:c>
      <x:c r="X2400" s="9" t="n">
        <x:f>H2400*Z2399/(v01_AdultYears*4)</x:f>
        <x:v>0</x:v>
      </x:c>
      <x:c r="Y2400" s="32" t="n">
        <x:f>Y2399+R2400-S2400-W2400-Y2399*V2400/AB2399</x:f>
        <x:v>14306.18539759397</x:v>
      </x:c>
      <x:c r="Z2400" s="32" t="n">
        <x:f>Z2399+W2400-X2400-T2400-Z2399*V2400/AB2399</x:f>
        <x:v>19354.456567879548</x:v>
      </x:c>
      <x:c r="AA2400" s="32" t="n">
        <x:f>AA2399+X2400-U2400-AA2399*V2400/AB2399</x:f>
        <x:v>11386.956063258198</x:v>
      </x:c>
      <x:c r="AB2400" s="10" t="n">
        <x:f>Y2400+Z2400+AA2400</x:f>
        <x:v>45047.59802873172</x:v>
      </x:c>
      <x:c r="AC2400" s="8" t="n">
        <x:f>IF(AND(v01_WinterTrigger=1,D2400=1,AB2399/AE2399&gt;=K2400),1,0)</x:f>
        <x:v>0</x:v>
      </x:c>
      <x:c r="AD2400" s="8" t="n">
        <x:f>H2400*IF(AND(OR(AB2399/AE2399&gt;=v01_FissionTrigger*N2400,AC2400=1),AB2399/AE2399*v01_DaughterShare&gt;=v01_MinDaughter),MAX(1,ROUND(AE2399*v01_FissionRate,0)),0)</x:f>
        <x:v>0</x:v>
      </x:c>
      <x:c r="AE2400" s="8" t="n">
        <x:f>IF(H2400=1,MAX(1,MIN(INDEX(v01_Smax,G2400),AE2399+AD2400)),AE2399)</x:f>
        <x:v>15</x:v>
      </x:c>
      <x:c r="AF2400" s="8" t="n">
        <x:f>MAX(0,AE2400-AE2399)</x:f>
        <x:v>0</x:v>
      </x:c>
      <x:c r="AG2400" s="9" t="str">
        <x:f>IF(AF2400&gt;0,B2400,"")</x:f>
      </x:c>
      <x:c r="AH2400" s="9" t="n">
        <x:f>IF(F2400&gt;=1,1,(1+v01_LowTiesShare*(AE2400-1))/AE2400)</x:f>
        <x:v>1</x:v>
      </x:c>
      <x:c r="AI2400" s="32" t="n">
        <x:f>(Z2400+v01_ElderCommons*INDEX(LM_Elder,G2400)*AA2400)*AH2400</x:f>
        <x:v>64139.732591141874</x:v>
      </x:c>
      <x:c r="AJ2400" s="32" t="n">
        <x:f>H2400*v01_CommonsCoef*AI2400^v01_CommonsExp*INDEX(LM_Commons,G2400)</x:f>
        <x:v>0</x:v>
      </x:c>
      <x:c r="AK2400" s="32" t="n">
        <x:f>H2400*v01_RoleScale*Arch_Roles*(AE2400*(INDEX(v01_ElderRolePerSett,G2400)*v01_OutElder*INDEX(LM_Elder,G2400)+INDEX(v01_ShamanPerSett,G2400)*v01_OutShaman)+Z2400*(INDEX(v01_PriestShare,G2400)*v01_OutPriest+INDEX(v01_ScribeShare,G2400)*v01_OutScribe*INDEX(LM_Scribe,G2400)+INDEX(v01_ScholarShare,G2400)*v01_OutScholar*INDEX(LM_Scholar,G2400)+INDEX(v01_ResearcherShare,G2400)*v01_OutResearcher*INDEX(LM_Researcher,G2400)))</x:f>
        <x:v>0</x:v>
      </x:c>
      <x:c r="AL2400" s="32" t="n">
        <x:f>H2400*v01_RoleScale*Arch_Roles*AE2400*INDEX(v01_MonasteryPerSett,G2400)*v01_OutMonastery*INDEX(LM_Monastery,G2400)</x:f>
        <x:v>0</x:v>
      </x:c>
      <x:c r="AM2400" s="32" t="n">
        <x:f>(AJ2400+AK2400+AL2400)/4*INDEX(LM_All,G2400)*INDEX(v01_Boon,G2400)*Arch_Insight</x:f>
        <x:v>0</x:v>
      </x:c>
      <x:c r="AN2400" s="32" t="n">
        <x:f>H2400*(v01_KHPerAdult*Z2400+v01_KHOfCommons*AJ2400/4*INDEX(LM_All,G2400))*v01_KHUsable*Arch_KH</x:f>
        <x:v>0</x:v>
      </x:c>
      <x:c r="AO2400" s="32" t="n">
        <x:f>MIN(AP2399+AN2400,AM2400*v01_KHMaxRatio)</x:f>
        <x:v>0</x:v>
      </x:c>
      <x:c r="AP2400" s="32" t="n">
        <x:f>AP2399+AN2400-AO2400</x:f>
        <x:v>0</x:v>
      </x:c>
      <x:c r="AQ2400" s="32" t="n">
        <x:f>AM2400+AO2400</x:f>
        <x:v>0</x:v>
      </x:c>
      <x:c r="AR2400" s="10" t="n">
        <x:f>IF(H2400=1,INDEX(v01_Req,G2400),0)</x:f>
        <x:v>0</x:v>
      </x:c>
      <x:c r="AS2400" s="32" t="n">
        <x:f>IF(H2400=1,IF(E2400=1,AS2399-AR2399,AS2399)+AQ2400,0)</x:f>
        <x:v>0</x:v>
      </x:c>
      <x:c r="AT2400" s="11" t="n">
        <x:f>IF(AR2400&gt;0,MIN(1,AS2400/AR2400),1)</x:f>
        <x:v>1</x:v>
      </x:c>
      <x:c r="AU2400" s="10" t="n">
        <x:f>AB2400/INDEX(v01_RepScale,G2400)</x:f>
        <x:v>90.09519605746344</x:v>
      </x:c>
      <x:c r="AV2400" s="32" t="n">
        <x:f>AM2400*60/v01_SeasonSeconds</x:f>
        <x:v>0</x:v>
      </x:c>
    </x:row>
    <x:row r="2401">
      <x:c r="A2401" s="8" t="n">
        <x:f>A2400+1</x:f>
        <x:v>2398</x:v>
      </x:c>
      <x:c r="B2401" s="9" t="n">
        <x:f>A2401*v01_SeasonSeconds/60</x:f>
        <x:v>599.5</x:v>
      </x:c>
      <x:c r="C2401" s="9" t="n">
        <x:f>A2401/4</x:f>
        <x:v>599.5</x:v>
      </x:c>
      <x:c r="D2401" s="8" t="n">
        <x:f>IF(MOD(A2401,4)=0,1,0)</x:f>
        <x:v>0</x:v>
      </x:c>
      <x:c r="E2401" s="8" t="n">
        <x:f>IF(AND(F2400&lt;=9,AS2400&gt;=AR2400),1,0)</x:f>
        <x:v>0</x:v>
      </x:c>
      <x:c r="F2401" s="8" t="n">
        <x:f>MIN(10,F2400+E2401)</x:f>
        <x:v>10</x:v>
      </x:c>
      <x:c r="G2401" s="8" t="n">
        <x:f>MIN(F2401,9)+1</x:f>
        <x:v>10</x:v>
      </x:c>
      <x:c r="H2401" s="8" t="n">
        <x:f>IF(F2401&lt;=9,1,0)</x:f>
        <x:v>0</x:v>
      </x:c>
      <x:c r="I2401" s="9" t="n">
        <x:f>MIN(10,F2400+IF(AR2400&gt;0,MIN(1,AS2400/AR2400),1))</x:f>
        <x:v>10</x:v>
      </x:c>
      <x:c r="J2401" s="32" t="n">
        <x:f>INDEX(v01_FoodCap,G2401)*Arch_FoodCap*EXP(v01_CapsByProject*SUMPRODUCT((Cap_Point&lt;=I2401)*(Cap_Kind="Food")*Cap_Ln))</x:f>
        <x:v>12000</x:v>
      </x:c>
      <x:c r="K2401" s="32" t="n">
        <x:f>J2401*MIN(1,v01_LeanBase*EXP(v01_CapsByProject*SUMPRODUCT((Cap_Point&lt;=I2401)*(Cap_Kind="Lean")*Cap_Ln)))</x:f>
        <x:v>12000</x:v>
      </x:c>
      <x:c r="L2401" s="10" t="n">
        <x:f>INDEX(v01_HousingCap,G2401)*EXP(v01_CapsByProject*SUMPRODUCT((Cap_Point&lt;=I2401)*(Cap_Kind="Housing")*Cap_Ln))</x:f>
        <x:v>20000</x:v>
      </x:c>
      <x:c r="M2401" s="10" t="n">
        <x:f>INDEX(v01_GroupCap,G2401)*v01_CohesionFactor*EXP(v01_CapsByProject*SUMPRODUCT((Cap_Point&lt;=I2401)*(Cap_Kind="Group")*Cap_Ln))</x:f>
        <x:v>1000000</x:v>
      </x:c>
      <x:c r="N2401" s="32" t="n">
        <x:f>MIN(J2401,L2401,M2401)</x:f>
        <x:v>12000</x:v>
      </x:c>
      <x:c r="O2401" s="10" t="n">
        <x:f>AE2400*N2401</x:f>
        <x:v>180000</x:v>
      </x:c>
      <x:c r="P2401" s="9" t="n">
        <x:f>MIN(1,(AB2400/(AE2400*IF(v01_GroupInCrowding=1,N2401,MIN(J2401,L2401))))^v01_CrowdingExp)</x:f>
        <x:v>0.00024569414295285325</x:v>
      </x:c>
      <x:c r="Q2401" s="9" t="n">
        <x:f>IF(D2401=1,INDEX(v01_WinterMult,G2401),1)</x:f>
        <x:v>1</x:v>
      </x:c>
      <x:c r="R2401" s="9" t="n">
        <x:f>H2401*Z2400*v01_WomenShare*v01_BaseFertility*INDEX(v01_FertMult,G2401)*Arch_Fertility*(1-P2401)</x:f>
        <x:v>0</x:v>
      </x:c>
      <x:c r="S2401" s="9" t="n">
        <x:f>H2401*Y2400*INDEX(v01_MortChild,G2401)/4*Q2401</x:f>
        <x:v>0</x:v>
      </x:c>
      <x:c r="T2401" s="9" t="n">
        <x:f>H2401*Z2400*INDEX(v01_MortAdult,G2401)*Arch_AdultMort/4*Q2401</x:f>
        <x:v>0</x:v>
      </x:c>
      <x:c r="U2401" s="9" t="n">
        <x:f>H2401*AA2400*INDEX(v01_MortElder,G2401)/4*Q2401</x:f>
        <x:v>0</x:v>
      </x:c>
      <x:c r="V2401" s="9" t="n">
        <x:f>H2401*MAX(0,AB2400-O2401)*v01_OvercapLoss</x:f>
        <x:v>0</x:v>
      </x:c>
      <x:c r="W2401" s="9" t="n">
        <x:f>H2401*Y2400/(v01_ChildYears*4)</x:f>
        <x:v>0</x:v>
      </x:c>
      <x:c r="X2401" s="9" t="n">
        <x:f>H2401*Z2400/(v01_AdultYears*4)</x:f>
        <x:v>0</x:v>
      </x:c>
      <x:c r="Y2401" s="32" t="n">
        <x:f>Y2400+R2401-S2401-W2401-Y2400*V2401/AB2400</x:f>
        <x:v>14306.18539759397</x:v>
      </x:c>
      <x:c r="Z2401" s="32" t="n">
        <x:f>Z2400+W2401-X2401-T2401-Z2400*V2401/AB2400</x:f>
        <x:v>19354.456567879548</x:v>
      </x:c>
      <x:c r="AA2401" s="32" t="n">
        <x:f>AA2400+X2401-U2401-AA2400*V2401/AB2400</x:f>
        <x:v>11386.956063258198</x:v>
      </x:c>
      <x:c r="AB2401" s="10" t="n">
        <x:f>Y2401+Z2401+AA2401</x:f>
        <x:v>45047.59802873172</x:v>
      </x:c>
      <x:c r="AC2401" s="8" t="n">
        <x:f>IF(AND(v01_WinterTrigger=1,D2401=1,AB2400/AE2400&gt;=K2401),1,0)</x:f>
        <x:v>0</x:v>
      </x:c>
      <x:c r="AD2401" s="8" t="n">
        <x:f>H2401*IF(AND(OR(AB2400/AE2400&gt;=v01_FissionTrigger*N2401,AC2401=1),AB2400/AE2400*v01_DaughterShare&gt;=v01_MinDaughter),MAX(1,ROUND(AE2400*v01_FissionRate,0)),0)</x:f>
        <x:v>0</x:v>
      </x:c>
      <x:c r="AE2401" s="8" t="n">
        <x:f>IF(H2401=1,MAX(1,MIN(INDEX(v01_Smax,G2401),AE2400+AD2401)),AE2400)</x:f>
        <x:v>15</x:v>
      </x:c>
      <x:c r="AF2401" s="8" t="n">
        <x:f>MAX(0,AE2401-AE2400)</x:f>
        <x:v>0</x:v>
      </x:c>
      <x:c r="AG2401" s="9" t="str">
        <x:f>IF(AF2401&gt;0,B2401,"")</x:f>
      </x:c>
      <x:c r="AH2401" s="9" t="n">
        <x:f>IF(F2401&gt;=1,1,(1+v01_LowTiesShare*(AE2401-1))/AE2401)</x:f>
        <x:v>1</x:v>
      </x:c>
      <x:c r="AI2401" s="32" t="n">
        <x:f>(Z2401+v01_ElderCommons*INDEX(LM_Elder,G2401)*AA2401)*AH2401</x:f>
        <x:v>64139.732591141874</x:v>
      </x:c>
      <x:c r="AJ2401" s="32" t="n">
        <x:f>H2401*v01_CommonsCoef*AI2401^v01_CommonsExp*INDEX(LM_Commons,G2401)</x:f>
        <x:v>0</x:v>
      </x:c>
      <x:c r="AK2401" s="32" t="n">
        <x:f>H2401*v01_RoleScale*Arch_Roles*(AE2401*(INDEX(v01_ElderRolePerSett,G2401)*v01_OutElder*INDEX(LM_Elder,G2401)+INDEX(v01_ShamanPerSett,G2401)*v01_OutShaman)+Z2401*(INDEX(v01_PriestShare,G2401)*v01_OutPriest+INDEX(v01_ScribeShare,G2401)*v01_OutScribe*INDEX(LM_Scribe,G2401)+INDEX(v01_ScholarShare,G2401)*v01_OutScholar*INDEX(LM_Scholar,G2401)+INDEX(v01_ResearcherShare,G2401)*v01_OutResearcher*INDEX(LM_Researcher,G2401)))</x:f>
        <x:v>0</x:v>
      </x:c>
      <x:c r="AL2401" s="32" t="n">
        <x:f>H2401*v01_RoleScale*Arch_Roles*AE2401*INDEX(v01_MonasteryPerSett,G2401)*v01_OutMonastery*INDEX(LM_Monastery,G2401)</x:f>
        <x:v>0</x:v>
      </x:c>
      <x:c r="AM2401" s="32" t="n">
        <x:f>(AJ2401+AK2401+AL2401)/4*INDEX(LM_All,G2401)*INDEX(v01_Boon,G2401)*Arch_Insight</x:f>
        <x:v>0</x:v>
      </x:c>
      <x:c r="AN2401" s="32" t="n">
        <x:f>H2401*(v01_KHPerAdult*Z2401+v01_KHOfCommons*AJ2401/4*INDEX(LM_All,G2401))*v01_KHUsable*Arch_KH</x:f>
        <x:v>0</x:v>
      </x:c>
      <x:c r="AO2401" s="32" t="n">
        <x:f>MIN(AP2400+AN2401,AM2401*v01_KHMaxRatio)</x:f>
        <x:v>0</x:v>
      </x:c>
      <x:c r="AP2401" s="32" t="n">
        <x:f>AP2400+AN2401-AO2401</x:f>
        <x:v>0</x:v>
      </x:c>
      <x:c r="AQ2401" s="32" t="n">
        <x:f>AM2401+AO2401</x:f>
        <x:v>0</x:v>
      </x:c>
      <x:c r="AR2401" s="10" t="n">
        <x:f>IF(H2401=1,INDEX(v01_Req,G2401),0)</x:f>
        <x:v>0</x:v>
      </x:c>
      <x:c r="AS2401" s="32" t="n">
        <x:f>IF(H2401=1,IF(E2401=1,AS2400-AR2400,AS2400)+AQ2401,0)</x:f>
        <x:v>0</x:v>
      </x:c>
      <x:c r="AT2401" s="11" t="n">
        <x:f>IF(AR2401&gt;0,MIN(1,AS2401/AR2401),1)</x:f>
        <x:v>1</x:v>
      </x:c>
      <x:c r="AU2401" s="10" t="n">
        <x:f>AB2401/INDEX(v01_RepScale,G2401)</x:f>
        <x:v>90.09519605746344</x:v>
      </x:c>
      <x:c r="AV2401" s="32" t="n">
        <x:f>AM2401*60/v01_SeasonSeconds</x:f>
        <x:v>0</x:v>
      </x:c>
    </x:row>
    <x:row r="2402">
      <x:c r="A2402" s="8" t="n">
        <x:f>A2401+1</x:f>
        <x:v>2399</x:v>
      </x:c>
      <x:c r="B2402" s="9" t="n">
        <x:f>A2402*v01_SeasonSeconds/60</x:f>
        <x:v>599.75</x:v>
      </x:c>
      <x:c r="C2402" s="9" t="n">
        <x:f>A2402/4</x:f>
        <x:v>599.75</x:v>
      </x:c>
      <x:c r="D2402" s="8" t="n">
        <x:f>IF(MOD(A2402,4)=0,1,0)</x:f>
        <x:v>0</x:v>
      </x:c>
      <x:c r="E2402" s="8" t="n">
        <x:f>IF(AND(F2401&lt;=9,AS2401&gt;=AR2401),1,0)</x:f>
        <x:v>0</x:v>
      </x:c>
      <x:c r="F2402" s="8" t="n">
        <x:f>MIN(10,F2401+E2402)</x:f>
        <x:v>10</x:v>
      </x:c>
      <x:c r="G2402" s="8" t="n">
        <x:f>MIN(F2402,9)+1</x:f>
        <x:v>10</x:v>
      </x:c>
      <x:c r="H2402" s="8" t="n">
        <x:f>IF(F2402&lt;=9,1,0)</x:f>
        <x:v>0</x:v>
      </x:c>
      <x:c r="I2402" s="9" t="n">
        <x:f>MIN(10,F2401+IF(AR2401&gt;0,MIN(1,AS2401/AR2401),1))</x:f>
        <x:v>10</x:v>
      </x:c>
      <x:c r="J2402" s="32" t="n">
        <x:f>INDEX(v01_FoodCap,G2402)*Arch_FoodCap*EXP(v01_CapsByProject*SUMPRODUCT((Cap_Point&lt;=I2402)*(Cap_Kind="Food")*Cap_Ln))</x:f>
        <x:v>12000</x:v>
      </x:c>
      <x:c r="K2402" s="32" t="n">
        <x:f>J2402*MIN(1,v01_LeanBase*EXP(v01_CapsByProject*SUMPRODUCT((Cap_Point&lt;=I2402)*(Cap_Kind="Lean")*Cap_Ln)))</x:f>
        <x:v>12000</x:v>
      </x:c>
      <x:c r="L2402" s="10" t="n">
        <x:f>INDEX(v01_HousingCap,G2402)*EXP(v01_CapsByProject*SUMPRODUCT((Cap_Point&lt;=I2402)*(Cap_Kind="Housing")*Cap_Ln))</x:f>
        <x:v>20000</x:v>
      </x:c>
      <x:c r="M2402" s="10" t="n">
        <x:f>INDEX(v01_GroupCap,G2402)*v01_CohesionFactor*EXP(v01_CapsByProject*SUMPRODUCT((Cap_Point&lt;=I2402)*(Cap_Kind="Group")*Cap_Ln))</x:f>
        <x:v>1000000</x:v>
      </x:c>
      <x:c r="N2402" s="32" t="n">
        <x:f>MIN(J2402,L2402,M2402)</x:f>
        <x:v>12000</x:v>
      </x:c>
      <x:c r="O2402" s="10" t="n">
        <x:f>AE2401*N2402</x:f>
        <x:v>180000</x:v>
      </x:c>
      <x:c r="P2402" s="9" t="n">
        <x:f>MIN(1,(AB2401/(AE2401*IF(v01_GroupInCrowding=1,N2402,MIN(J2402,L2402))))^v01_CrowdingExp)</x:f>
        <x:v>0.00024569414295285325</x:v>
      </x:c>
      <x:c r="Q2402" s="9" t="n">
        <x:f>IF(D2402=1,INDEX(v01_WinterMult,G2402),1)</x:f>
        <x:v>1</x:v>
      </x:c>
      <x:c r="R2402" s="9" t="n">
        <x:f>H2402*Z2401*v01_WomenShare*v01_BaseFertility*INDEX(v01_FertMult,G2402)*Arch_Fertility*(1-P2402)</x:f>
        <x:v>0</x:v>
      </x:c>
      <x:c r="S2402" s="9" t="n">
        <x:f>H2402*Y2401*INDEX(v01_MortChild,G2402)/4*Q2402</x:f>
        <x:v>0</x:v>
      </x:c>
      <x:c r="T2402" s="9" t="n">
        <x:f>H2402*Z2401*INDEX(v01_MortAdult,G2402)*Arch_AdultMort/4*Q2402</x:f>
        <x:v>0</x:v>
      </x:c>
      <x:c r="U2402" s="9" t="n">
        <x:f>H2402*AA2401*INDEX(v01_MortElder,G2402)/4*Q2402</x:f>
        <x:v>0</x:v>
      </x:c>
      <x:c r="V2402" s="9" t="n">
        <x:f>H2402*MAX(0,AB2401-O2402)*v01_OvercapLoss</x:f>
        <x:v>0</x:v>
      </x:c>
      <x:c r="W2402" s="9" t="n">
        <x:f>H2402*Y2401/(v01_ChildYears*4)</x:f>
        <x:v>0</x:v>
      </x:c>
      <x:c r="X2402" s="9" t="n">
        <x:f>H2402*Z2401/(v01_AdultYears*4)</x:f>
        <x:v>0</x:v>
      </x:c>
      <x:c r="Y2402" s="32" t="n">
        <x:f>Y2401+R2402-S2402-W2402-Y2401*V2402/AB2401</x:f>
        <x:v>14306.18539759397</x:v>
      </x:c>
      <x:c r="Z2402" s="32" t="n">
        <x:f>Z2401+W2402-X2402-T2402-Z2401*V2402/AB2401</x:f>
        <x:v>19354.456567879548</x:v>
      </x:c>
      <x:c r="AA2402" s="32" t="n">
        <x:f>AA2401+X2402-U2402-AA2401*V2402/AB2401</x:f>
        <x:v>11386.956063258198</x:v>
      </x:c>
      <x:c r="AB2402" s="10" t="n">
        <x:f>Y2402+Z2402+AA2402</x:f>
        <x:v>45047.59802873172</x:v>
      </x:c>
      <x:c r="AC2402" s="8" t="n">
        <x:f>IF(AND(v01_WinterTrigger=1,D2402=1,AB2401/AE2401&gt;=K2402),1,0)</x:f>
        <x:v>0</x:v>
      </x:c>
      <x:c r="AD2402" s="8" t="n">
        <x:f>H2402*IF(AND(OR(AB2401/AE2401&gt;=v01_FissionTrigger*N2402,AC2402=1),AB2401/AE2401*v01_DaughterShare&gt;=v01_MinDaughter),MAX(1,ROUND(AE2401*v01_FissionRate,0)),0)</x:f>
        <x:v>0</x:v>
      </x:c>
      <x:c r="AE2402" s="8" t="n">
        <x:f>IF(H2402=1,MAX(1,MIN(INDEX(v01_Smax,G2402),AE2401+AD2402)),AE2401)</x:f>
        <x:v>15</x:v>
      </x:c>
      <x:c r="AF2402" s="8" t="n">
        <x:f>MAX(0,AE2402-AE2401)</x:f>
        <x:v>0</x:v>
      </x:c>
      <x:c r="AG2402" s="9" t="str">
        <x:f>IF(AF2402&gt;0,B2402,"")</x:f>
      </x:c>
      <x:c r="AH2402" s="9" t="n">
        <x:f>IF(F2402&gt;=1,1,(1+v01_LowTiesShare*(AE2402-1))/AE2402)</x:f>
        <x:v>1</x:v>
      </x:c>
      <x:c r="AI2402" s="32" t="n">
        <x:f>(Z2402+v01_ElderCommons*INDEX(LM_Elder,G2402)*AA2402)*AH2402</x:f>
        <x:v>64139.732591141874</x:v>
      </x:c>
      <x:c r="AJ2402" s="32" t="n">
        <x:f>H2402*v01_CommonsCoef*AI2402^v01_CommonsExp*INDEX(LM_Commons,G2402)</x:f>
        <x:v>0</x:v>
      </x:c>
      <x:c r="AK2402" s="32" t="n">
        <x:f>H2402*v01_RoleScale*Arch_Roles*(AE2402*(INDEX(v01_ElderRolePerSett,G2402)*v01_OutElder*INDEX(LM_Elder,G2402)+INDEX(v01_ShamanPerSett,G2402)*v01_OutShaman)+Z2402*(INDEX(v01_PriestShare,G2402)*v01_OutPriest+INDEX(v01_ScribeShare,G2402)*v01_OutScribe*INDEX(LM_Scribe,G2402)+INDEX(v01_ScholarShare,G2402)*v01_OutScholar*INDEX(LM_Scholar,G2402)+INDEX(v01_ResearcherShare,G2402)*v01_OutResearcher*INDEX(LM_Researcher,G2402)))</x:f>
        <x:v>0</x:v>
      </x:c>
      <x:c r="AL2402" s="32" t="n">
        <x:f>H2402*v01_RoleScale*Arch_Roles*AE2402*INDEX(v01_MonasteryPerSett,G2402)*v01_OutMonastery*INDEX(LM_Monastery,G2402)</x:f>
        <x:v>0</x:v>
      </x:c>
      <x:c r="AM2402" s="32" t="n">
        <x:f>(AJ2402+AK2402+AL2402)/4*INDEX(LM_All,G2402)*INDEX(v01_Boon,G2402)*Arch_Insight</x:f>
        <x:v>0</x:v>
      </x:c>
      <x:c r="AN2402" s="32" t="n">
        <x:f>H2402*(v01_KHPerAdult*Z2402+v01_KHOfCommons*AJ2402/4*INDEX(LM_All,G2402))*v01_KHUsable*Arch_KH</x:f>
        <x:v>0</x:v>
      </x:c>
      <x:c r="AO2402" s="32" t="n">
        <x:f>MIN(AP2401+AN2402,AM2402*v01_KHMaxRatio)</x:f>
        <x:v>0</x:v>
      </x:c>
      <x:c r="AP2402" s="32" t="n">
        <x:f>AP2401+AN2402-AO2402</x:f>
        <x:v>0</x:v>
      </x:c>
      <x:c r="AQ2402" s="32" t="n">
        <x:f>AM2402+AO2402</x:f>
        <x:v>0</x:v>
      </x:c>
      <x:c r="AR2402" s="10" t="n">
        <x:f>IF(H2402=1,INDEX(v01_Req,G2402),0)</x:f>
        <x:v>0</x:v>
      </x:c>
      <x:c r="AS2402" s="32" t="n">
        <x:f>IF(H2402=1,IF(E2402=1,AS2401-AR2401,AS2401)+AQ2402,0)</x:f>
        <x:v>0</x:v>
      </x:c>
      <x:c r="AT2402" s="11" t="n">
        <x:f>IF(AR2402&gt;0,MIN(1,AS2402/AR2402),1)</x:f>
        <x:v>1</x:v>
      </x:c>
      <x:c r="AU2402" s="10" t="n">
        <x:f>AB2402/INDEX(v01_RepScale,G2402)</x:f>
        <x:v>90.09519605746344</x:v>
      </x:c>
      <x:c r="AV2402" s="32" t="n">
        <x:f>AM2402*60/v01_SeasonSeconds</x:f>
        <x:v>0</x:v>
      </x:c>
    </x:row>
    <x:row r="2403">
      <x:c r="A2403" s="8" t="n">
        <x:f>A2402+1</x:f>
        <x:v>2400</x:v>
      </x:c>
      <x:c r="B2403" s="9" t="n">
        <x:f>A2403*v01_SeasonSeconds/60</x:f>
        <x:v>600</x:v>
      </x:c>
      <x:c r="C2403" s="9" t="n">
        <x:f>A2403/4</x:f>
        <x:v>600</x:v>
      </x:c>
      <x:c r="D2403" s="8" t="n">
        <x:f>IF(MOD(A2403,4)=0,1,0)</x:f>
        <x:v>1</x:v>
      </x:c>
      <x:c r="E2403" s="8" t="n">
        <x:f>IF(AND(F2402&lt;=9,AS2402&gt;=AR2402),1,0)</x:f>
        <x:v>0</x:v>
      </x:c>
      <x:c r="F2403" s="8" t="n">
        <x:f>MIN(10,F2402+E2403)</x:f>
        <x:v>10</x:v>
      </x:c>
      <x:c r="G2403" s="8" t="n">
        <x:f>MIN(F2403,9)+1</x:f>
        <x:v>10</x:v>
      </x:c>
      <x:c r="H2403" s="8" t="n">
        <x:f>IF(F2403&lt;=9,1,0)</x:f>
        <x:v>0</x:v>
      </x:c>
      <x:c r="I2403" s="9" t="n">
        <x:f>MIN(10,F2402+IF(AR2402&gt;0,MIN(1,AS2402/AR2402),1))</x:f>
        <x:v>10</x:v>
      </x:c>
      <x:c r="J2403" s="32" t="n">
        <x:f>INDEX(v01_FoodCap,G2403)*Arch_FoodCap*EXP(v01_CapsByProject*SUMPRODUCT((Cap_Point&lt;=I2403)*(Cap_Kind="Food")*Cap_Ln))</x:f>
        <x:v>12000</x:v>
      </x:c>
      <x:c r="K2403" s="32" t="n">
        <x:f>J2403*MIN(1,v01_LeanBase*EXP(v01_CapsByProject*SUMPRODUCT((Cap_Point&lt;=I2403)*(Cap_Kind="Lean")*Cap_Ln)))</x:f>
        <x:v>12000</x:v>
      </x:c>
      <x:c r="L2403" s="10" t="n">
        <x:f>INDEX(v01_HousingCap,G2403)*EXP(v01_CapsByProject*SUMPRODUCT((Cap_Point&lt;=I2403)*(Cap_Kind="Housing")*Cap_Ln))</x:f>
        <x:v>20000</x:v>
      </x:c>
      <x:c r="M2403" s="10" t="n">
        <x:f>INDEX(v01_GroupCap,G2403)*v01_CohesionFactor*EXP(v01_CapsByProject*SUMPRODUCT((Cap_Point&lt;=I2403)*(Cap_Kind="Group")*Cap_Ln))</x:f>
        <x:v>1000000</x:v>
      </x:c>
      <x:c r="N2403" s="32" t="n">
        <x:f>MIN(J2403,L2403,M2403)</x:f>
        <x:v>12000</x:v>
      </x:c>
      <x:c r="O2403" s="10" t="n">
        <x:f>AE2402*N2403</x:f>
        <x:v>180000</x:v>
      </x:c>
      <x:c r="P2403" s="9" t="n">
        <x:f>MIN(1,(AB2402/(AE2402*IF(v01_GroupInCrowding=1,N2403,MIN(J2403,L2403))))^v01_CrowdingExp)</x:f>
        <x:v>0.00024569414295285325</x:v>
      </x:c>
      <x:c r="Q2403" s="9" t="n">
        <x:f>IF(D2403=1,INDEX(v01_WinterMult,G2403),1)</x:f>
        <x:v>1</x:v>
      </x:c>
      <x:c r="R2403" s="9" t="n">
        <x:f>H2403*Z2402*v01_WomenShare*v01_BaseFertility*INDEX(v01_FertMult,G2403)*Arch_Fertility*(1-P2403)</x:f>
        <x:v>0</x:v>
      </x:c>
      <x:c r="S2403" s="9" t="n">
        <x:f>H2403*Y2402*INDEX(v01_MortChild,G2403)/4*Q2403</x:f>
        <x:v>0</x:v>
      </x:c>
      <x:c r="T2403" s="9" t="n">
        <x:f>H2403*Z2402*INDEX(v01_MortAdult,G2403)*Arch_AdultMort/4*Q2403</x:f>
        <x:v>0</x:v>
      </x:c>
      <x:c r="U2403" s="9" t="n">
        <x:f>H2403*AA2402*INDEX(v01_MortElder,G2403)/4*Q2403</x:f>
        <x:v>0</x:v>
      </x:c>
      <x:c r="V2403" s="9" t="n">
        <x:f>H2403*MAX(0,AB2402-O2403)*v01_OvercapLoss</x:f>
        <x:v>0</x:v>
      </x:c>
      <x:c r="W2403" s="9" t="n">
        <x:f>H2403*Y2402/(v01_ChildYears*4)</x:f>
        <x:v>0</x:v>
      </x:c>
      <x:c r="X2403" s="9" t="n">
        <x:f>H2403*Z2402/(v01_AdultYears*4)</x:f>
        <x:v>0</x:v>
      </x:c>
      <x:c r="Y2403" s="32" t="n">
        <x:f>Y2402+R2403-S2403-W2403-Y2402*V2403/AB2402</x:f>
        <x:v>14306.18539759397</x:v>
      </x:c>
      <x:c r="Z2403" s="32" t="n">
        <x:f>Z2402+W2403-X2403-T2403-Z2402*V2403/AB2402</x:f>
        <x:v>19354.456567879548</x:v>
      </x:c>
      <x:c r="AA2403" s="32" t="n">
        <x:f>AA2402+X2403-U2403-AA2402*V2403/AB2402</x:f>
        <x:v>11386.956063258198</x:v>
      </x:c>
      <x:c r="AB2403" s="10" t="n">
        <x:f>Y2403+Z2403+AA2403</x:f>
        <x:v>45047.59802873172</x:v>
      </x:c>
      <x:c r="AC2403" s="8" t="n">
        <x:f>IF(AND(v01_WinterTrigger=1,D2403=1,AB2402/AE2402&gt;=K2403),1,0)</x:f>
        <x:v>0</x:v>
      </x:c>
      <x:c r="AD2403" s="8" t="n">
        <x:f>H2403*IF(AND(OR(AB2402/AE2402&gt;=v01_FissionTrigger*N2403,AC2403=1),AB2402/AE2402*v01_DaughterShare&gt;=v01_MinDaughter),MAX(1,ROUND(AE2402*v01_FissionRate,0)),0)</x:f>
        <x:v>0</x:v>
      </x:c>
      <x:c r="AE2403" s="8" t="n">
        <x:f>IF(H2403=1,MAX(1,MIN(INDEX(v01_Smax,G2403),AE2402+AD2403)),AE2402)</x:f>
        <x:v>15</x:v>
      </x:c>
      <x:c r="AF2403" s="8" t="n">
        <x:f>MAX(0,AE2403-AE2402)</x:f>
        <x:v>0</x:v>
      </x:c>
      <x:c r="AG2403" s="9" t="str">
        <x:f>IF(AF2403&gt;0,B2403,"")</x:f>
      </x:c>
      <x:c r="AH2403" s="9" t="n">
        <x:f>IF(F2403&gt;=1,1,(1+v01_LowTiesShare*(AE2403-1))/AE2403)</x:f>
        <x:v>1</x:v>
      </x:c>
      <x:c r="AI2403" s="32" t="n">
        <x:f>(Z2403+v01_ElderCommons*INDEX(LM_Elder,G2403)*AA2403)*AH2403</x:f>
        <x:v>64139.732591141874</x:v>
      </x:c>
      <x:c r="AJ2403" s="32" t="n">
        <x:f>H2403*v01_CommonsCoef*AI2403^v01_CommonsExp*INDEX(LM_Commons,G2403)</x:f>
        <x:v>0</x:v>
      </x:c>
      <x:c r="AK2403" s="32" t="n">
        <x:f>H2403*v01_RoleScale*Arch_Roles*(AE2403*(INDEX(v01_ElderRolePerSett,G2403)*v01_OutElder*INDEX(LM_Elder,G2403)+INDEX(v01_ShamanPerSett,G2403)*v01_OutShaman)+Z2403*(INDEX(v01_PriestShare,G2403)*v01_OutPriest+INDEX(v01_ScribeShare,G2403)*v01_OutScribe*INDEX(LM_Scribe,G2403)+INDEX(v01_ScholarShare,G2403)*v01_OutScholar*INDEX(LM_Scholar,G2403)+INDEX(v01_ResearcherShare,G2403)*v01_OutResearcher*INDEX(LM_Researcher,G2403)))</x:f>
        <x:v>0</x:v>
      </x:c>
      <x:c r="AL2403" s="32" t="n">
        <x:f>H2403*v01_RoleScale*Arch_Roles*AE2403*INDEX(v01_MonasteryPerSett,G2403)*v01_OutMonastery*INDEX(LM_Monastery,G2403)</x:f>
        <x:v>0</x:v>
      </x:c>
      <x:c r="AM2403" s="32" t="n">
        <x:f>(AJ2403+AK2403+AL2403)/4*INDEX(LM_All,G2403)*INDEX(v01_Boon,G2403)*Arch_Insight</x:f>
        <x:v>0</x:v>
      </x:c>
      <x:c r="AN2403" s="32" t="n">
        <x:f>H2403*(v01_KHPerAdult*Z2403+v01_KHOfCommons*AJ2403/4*INDEX(LM_All,G2403))*v01_KHUsable*Arch_KH</x:f>
        <x:v>0</x:v>
      </x:c>
      <x:c r="AO2403" s="32" t="n">
        <x:f>MIN(AP2402+AN2403,AM2403*v01_KHMaxRatio)</x:f>
        <x:v>0</x:v>
      </x:c>
      <x:c r="AP2403" s="32" t="n">
        <x:f>AP2402+AN2403-AO2403</x:f>
        <x:v>0</x:v>
      </x:c>
      <x:c r="AQ2403" s="32" t="n">
        <x:f>AM2403+AO2403</x:f>
        <x:v>0</x:v>
      </x:c>
      <x:c r="AR2403" s="10" t="n">
        <x:f>IF(H2403=1,INDEX(v01_Req,G2403),0)</x:f>
        <x:v>0</x:v>
      </x:c>
      <x:c r="AS2403" s="32" t="n">
        <x:f>IF(H2403=1,IF(E2403=1,AS2402-AR2402,AS2402)+AQ2403,0)</x:f>
        <x:v>0</x:v>
      </x:c>
      <x:c r="AT2403" s="11" t="n">
        <x:f>IF(AR2403&gt;0,MIN(1,AS2403/AR2403),1)</x:f>
        <x:v>1</x:v>
      </x:c>
      <x:c r="AU2403" s="10" t="n">
        <x:f>AB2403/INDEX(v01_RepScale,G2403)</x:f>
        <x:v>90.09519605746344</x:v>
      </x:c>
      <x:c r="AV2403" s="32" t="n">
        <x:f>AM2403*60/v01_SeasonSeconds</x:f>
        <x:v>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xSplit="2" ySplit="2" topLeftCell="C3" activePane="bottomRight" state="frozen"/>
    </x:sheetView>
  </x:sheetViews>
  <x:sheetFormatPr baseColWidth="8" defaultRowHeight="15"/>
  <x:cols>
    <x:col min="1" max="1" width="11" customWidth="1"/>
    <x:col min="2" max="2" width="11" customWidth="1"/>
    <x:col min="3" max="3" width="11" customWidth="1"/>
    <x:col min="4" max="4" width="11" customWidth="1"/>
    <x:col min="5" max="5" width="11" customWidth="1"/>
    <x:col min="6" max="6" width="11" customWidth="1"/>
    <x:col min="7" max="7" width="11" customWidth="1"/>
    <x:col min="8" max="8" width="11" customWidth="1"/>
    <x:col min="9" max="9" width="11" customWidth="1"/>
    <x:col min="10" max="10" width="11" customWidth="1"/>
    <x:col min="11" max="11" width="11" customWidth="1"/>
    <x:col min="12" max="12" width="11" customWidth="1"/>
    <x:col min="13" max="13" width="11" customWidth="1"/>
    <x:col min="14" max="14" width="11" customWidth="1"/>
    <x:col min="15" max="15" width="11" customWidth="1"/>
    <x:col min="16" max="16" width="11" customWidth="1"/>
    <x:col min="17" max="17" width="11" customWidth="1"/>
    <x:col min="18" max="18" width="11" customWidth="1"/>
    <x:col min="19" max="19" width="11" customWidth="1"/>
    <x:col min="20" max="20" width="11" customWidth="1"/>
    <x:col min="21" max="21" width="11" customWidth="1"/>
    <x:col min="22" max="22" width="11" customWidth="1"/>
    <x:col min="23" max="23" width="11" customWidth="1"/>
    <x:col min="24" max="24" width="11" customWidth="1"/>
    <x:col min="25" max="25" width="11" customWidth="1"/>
    <x:col min="26" max="26" width="11" customWidth="1"/>
    <x:col min="27" max="27" width="11" customWidth="1"/>
    <x:col min="28" max="28" width="11" customWidth="1"/>
    <x:col min="29" max="29" width="11" customWidth="1"/>
    <x:col min="30" max="30" width="11" customWidth="1"/>
    <x:col min="31" max="31" width="11" customWidth="1"/>
    <x:col min="32" max="32" width="11" customWidth="1"/>
    <x:col min="33" max="33" width="11" customWidth="1"/>
    <x:col min="34" max="34" width="11" customWidth="1"/>
    <x:col min="35" max="35" width="11" customWidth="1"/>
    <x:col min="36" max="36" width="11" customWidth="1"/>
    <x:col min="37" max="37" width="11" customWidth="1"/>
    <x:col min="38" max="38" width="11" customWidth="1"/>
    <x:col min="39" max="39" width="11" customWidth="1"/>
    <x:col min="40" max="40" width="11" customWidth="1"/>
    <x:col min="41" max="41" width="11" customWidth="1"/>
    <x:col min="42" max="42" width="11" customWidth="1"/>
    <x:col min="43" max="43" width="11" customWidth="1"/>
    <x:col min="44" max="44" width="11" customWidth="1"/>
    <x:col min="45" max="45" width="11" customWidth="1"/>
    <x:col min="46" max="46" width="11" customWidth="1"/>
    <x:col min="47" max="47" width="11" customWidth="1"/>
    <x:col min="48" max="48" width="11" customWidth="1"/>
  </x:cols>
  <x:sheetData>
    <x:row r="1" ht="45" customHeight="1">
      <x:c r="A1" s="13" t="inlineStr">
        <x:is>
          <x:t xml:space="preserve">Season</x:t>
        </x:is>
      </x:c>
      <x:c r="B1" s="13" t="inlineStr">
        <x:is>
          <x:t xml:space="preserve">Minute (end of season)</x:t>
        </x:is>
      </x:c>
      <x:c r="C1" s="13" t="inlineStr">
        <x:is>
          <x:t xml:space="preserve">Year</x:t>
        </x:is>
      </x:c>
      <x:c r="D1" s="13" t="inlineStr">
        <x:is>
          <x:t xml:space="preserve">Winter</x:t>
        </x:is>
      </x:c>
      <x:c r="E1" s="13" t="inlineStr">
        <x:is>
          <x:t xml:space="preserve">Era advance</x:t>
        </x:is>
      </x:c>
      <x:c r="F1" s="13" t="inlineStr">
        <x:is>
          <x:t xml:space="preserve">Era (10 = Apex done)</x:t>
        </x:is>
      </x:c>
      <x:c r="G1" s="13" t="inlineStr">
        <x:is>
          <x:t xml:space="preserve">Era row</x:t>
        </x:is>
      </x:c>
      <x:c r="H1" s="13" t="inlineStr">
        <x:is>
          <x:t xml:space="preserve">Active</x:t>
        </x:is>
      </x:c>
      <x:c r="I1" s="13" t="inlineStr">
        <x:is>
          <x:t xml:space="preserve">Research position (era + share done)</x:t>
        </x:is>
      </x:c>
      <x:c r="J1" s="13" t="inlineStr">
        <x:is>
          <x:t xml:space="preserve">Food cap / settlement</x:t>
        </x:is>
      </x:c>
      <x:c r="K1" s="13" t="inlineStr">
        <x:is>
          <x:t xml:space="preserve">Late-winter food cap</x:t>
        </x:is>
      </x:c>
      <x:c r="L1" s="13" t="inlineStr">
        <x:is>
          <x:t xml:space="preserve">Housing cap / settlement</x:t>
        </x:is>
      </x:c>
      <x:c r="M1" s="13" t="inlineStr">
        <x:is>
          <x:t xml:space="preserve">Group cap × CF</x:t>
        </x:is>
      </x:c>
      <x:c r="N1" s="13" t="inlineStr">
        <x:is>
          <x:t xml:space="preserve">Settlement cap = MIN(food, housing, group)</x:t>
        </x:is>
      </x:c>
      <x:c r="O1" s="13" t="inlineStr">
        <x:is>
          <x:t xml:space="preserve">Pop cap (settlements × cap)</x:t>
        </x:is>
      </x:c>
      <x:c r="P1" s="13" t="inlineStr">
        <x:is>
          <x:t xml:space="preserve">Crowding</x:t>
        </x:is>
      </x:c>
      <x:c r="Q1" s="13" t="inlineStr">
        <x:is>
          <x:t xml:space="preserve">Season hazard ×</x:t>
        </x:is>
      </x:c>
      <x:c r="R1" s="13" t="inlineStr">
        <x:is>
          <x:t xml:space="preserve">Births</x:t>
        </x:is>
      </x:c>
      <x:c r="S1" s="13" t="inlineStr">
        <x:is>
          <x:t xml:space="preserve">Deaths: children</x:t>
        </x:is>
      </x:c>
      <x:c r="T1" s="13" t="inlineStr">
        <x:is>
          <x:t xml:space="preserve">Deaths: adults</x:t>
        </x:is>
      </x:c>
      <x:c r="U1" s="13" t="inlineStr">
        <x:is>
          <x:t xml:space="preserve">Deaths: elders</x:t>
        </x:is>
      </x:c>
      <x:c r="V1" s="13" t="inlineStr">
        <x:is>
          <x:t xml:space="preserve">Over-cap loss</x:t>
        </x:is>
      </x:c>
      <x:c r="W1" s="13" t="inlineStr">
        <x:is>
          <x:t xml:space="preserve">Child → adult</x:t>
        </x:is>
      </x:c>
      <x:c r="X1" s="13" t="inlineStr">
        <x:is>
          <x:t xml:space="preserve">Adult → elder</x:t>
        </x:is>
      </x:c>
      <x:c r="Y1" s="13" t="inlineStr">
        <x:is>
          <x:t xml:space="preserve">Children 0–13</x:t>
        </x:is>
      </x:c>
      <x:c r="Z1" s="13" t="inlineStr">
        <x:is>
          <x:t xml:space="preserve">Adults 14–44</x:t>
        </x:is>
      </x:c>
      <x:c r="AA1" s="13" t="inlineStr">
        <x:is>
          <x:t xml:space="preserve">Elders 45+</x:t>
        </x:is>
      </x:c>
      <x:c r="AB1" s="13" t="inlineStr">
        <x:is>
          <x:t xml:space="preserve">Population</x:t>
        </x:is>
      </x:c>
      <x:c r="AC1" s="13" t="inlineStr">
        <x:is>
          <x:t xml:space="preserve">Late-winter food pressure</x:t>
        </x:is>
      </x:c>
      <x:c r="AD1" s="13" t="inlineStr">
        <x:is>
          <x:t xml:space="preserve">Fission requests</x:t>
        </x:is>
      </x:c>
      <x:c r="AE1" s="13" t="inlineStr">
        <x:is>
          <x:t xml:space="preserve">Settlements</x:t>
        </x:is>
      </x:c>
      <x:c r="AF1" s="13" t="inlineStr">
        <x:is>
          <x:t xml:space="preserve">New settlements</x:t>
        </x:is>
      </x:c>
      <x:c r="AG1" s="13" t="inlineStr">
        <x:is>
          <x:t xml:space="preserve">Fission minute</x:t>
        </x:is>
      </x:c>
      <x:c r="AH1" s="13" t="inlineStr">
        <x:is>
          <x:t xml:space="preserve">Insight ties ×</x:t>
        </x:is>
      </x:c>
      <x:c r="AI1" s="13" t="inlineStr">
        <x:is>
          <x:t xml:space="preserve">Insight-adults (elders ×2)</x:t>
        </x:is>
      </x:c>
      <x:c r="AJ1" s="13" t="inlineStr">
        <x:is>
          <x:t xml:space="preserve">Commons</x:t>
        </x:is>
      </x:c>
      <x:c r="AK1" s="13" t="inlineStr">
        <x:is>
          <x:t xml:space="preserve">Roles</x:t>
        </x:is>
      </x:c>
      <x:c r="AL1" s="13" t="inlineStr">
        <x:is>
          <x:t xml:space="preserve">Structures</x:t>
        </x:is>
      </x:c>
      <x:c r="AM1" s="13" t="inlineStr">
        <x:is>
          <x:t xml:space="preserve">Insight this season</x:t>
        </x:is>
      </x:c>
      <x:c r="AN1" s="13" t="inlineStr">
        <x:is>
          <x:t xml:space="preserve">Know-how generated</x:t>
        </x:is>
      </x:c>
      <x:c r="AO1" s="13" t="inlineStr">
        <x:is>
          <x:t xml:space="preserve">Know-how applied</x:t>
        </x:is>
      </x:c>
      <x:c r="AP1" s="13" t="inlineStr">
        <x:is>
          <x:t xml:space="preserve">Know-how pool</x:t>
        </x:is>
      </x:c>
      <x:c r="AQ1" s="13" t="inlineStr">
        <x:is>
          <x:t xml:space="preserve">Research progress</x:t>
        </x:is>
      </x:c>
      <x:c r="AR1" s="13" t="inlineStr">
        <x:is>
          <x:t xml:space="preserve">Era requirement</x:t>
        </x:is>
      </x:c>
      <x:c r="AS1" s="13" t="inlineStr">
        <x:is>
          <x:t xml:space="preserve">Era progress</x:t>
        </x:is>
      </x:c>
      <x:c r="AT1" s="13" t="inlineStr">
        <x:is>
          <x:t xml:space="preserve">Era progress %</x:t>
        </x:is>
      </x:c>
      <x:c r="AU1" s="13" t="inlineStr">
        <x:is>
          <x:t xml:space="preserve">Rendered figures</x:t>
        </x:is>
      </x:c>
      <x:c r="AV1" s="13" t="inlineStr">
        <x:is>
          <x:t xml:space="preserve">Insight per minute</x:t>
        </x:is>
      </x:c>
    </x:row>
    <x:row r="2">
      <x:c r="A2" s="33" t="inlineStr">
        <x:is>
          <x:t xml:space="preserve">#</x:t>
        </x:is>
      </x:c>
      <x:c r="B2" s="33" t="inlineStr">
        <x:is>
          <x:t xml:space="preserve">min</x:t>
        </x:is>
      </x:c>
      <x:c r="C2" s="33" t="inlineStr">
        <x:is>
          <x:t xml:space="preserve">yr</x:t>
        </x:is>
      </x:c>
      <x:c r="D2" s="33" t="inlineStr">
        <x:is>
          <x:t xml:space="preserve">flag</x:t>
        </x:is>
      </x:c>
      <x:c r="E2" s="33" t="inlineStr">
        <x:is>
          <x:t xml:space="preserve">flag</x:t>
        </x:is>
      </x:c>
      <x:c r="F2" s="33" t="inlineStr">
        <x:is>
          <x:t xml:space="preserve">#</x:t>
        </x:is>
      </x:c>
      <x:c r="G2" s="33" t="inlineStr">
        <x:is>
          <x:t xml:space="preserve">index</x:t>
        </x:is>
      </x:c>
      <x:c r="H2" s="33" t="inlineStr">
        <x:is>
          <x:t xml:space="preserve">flag</x:t>
        </x:is>
      </x:c>
      <x:c r="I2" s="33" t="inlineStr">
        <x:is>
          <x:t xml:space="preserve">era</x:t>
        </x:is>
      </x:c>
      <x:c r="J2" s="33" t="inlineStr">
        <x:is>
          <x:t xml:space="preserve">people</x:t>
        </x:is>
      </x:c>
      <x:c r="K2" s="33" t="inlineStr">
        <x:is>
          <x:t xml:space="preserve">people</x:t>
        </x:is>
      </x:c>
      <x:c r="L2" s="33" t="inlineStr">
        <x:is>
          <x:t xml:space="preserve">people</x:t>
        </x:is>
      </x:c>
      <x:c r="M2" s="33" t="inlineStr">
        <x:is>
          <x:t xml:space="preserve">people</x:t>
        </x:is>
      </x:c>
      <x:c r="N2" s="33" t="inlineStr">
        <x:is>
          <x:t xml:space="preserve">people</x:t>
        </x:is>
      </x:c>
      <x:c r="O2" s="33" t="inlineStr">
        <x:is>
          <x:t xml:space="preserve">people</x:t>
        </x:is>
      </x:c>
      <x:c r="P2" s="33" t="inlineStr">
        <x:is>
          <x:t xml:space="preserve">0–1</x:t>
        </x:is>
      </x:c>
      <x:c r="Q2" s="33" t="inlineStr">
        <x:is>
          <x:t xml:space="preserve">×</x:t>
        </x:is>
      </x:c>
      <x:c r="R2" s="33" t="inlineStr">
        <x:is>
          <x:t xml:space="preserve">people</x:t>
        </x:is>
      </x:c>
      <x:c r="S2" s="33" t="inlineStr">
        <x:is>
          <x:t xml:space="preserve">people</x:t>
        </x:is>
      </x:c>
      <x:c r="T2" s="33" t="inlineStr">
        <x:is>
          <x:t xml:space="preserve">people</x:t>
        </x:is>
      </x:c>
      <x:c r="U2" s="33" t="inlineStr">
        <x:is>
          <x:t xml:space="preserve">people</x:t>
        </x:is>
      </x:c>
      <x:c r="V2" s="33" t="inlineStr">
        <x:is>
          <x:t xml:space="preserve">people</x:t>
        </x:is>
      </x:c>
      <x:c r="W2" s="33" t="inlineStr">
        <x:is>
          <x:t xml:space="preserve">people</x:t>
        </x:is>
      </x:c>
      <x:c r="X2" s="33" t="inlineStr">
        <x:is>
          <x:t xml:space="preserve">people</x:t>
        </x:is>
      </x:c>
      <x:c r="Y2" s="33" t="inlineStr">
        <x:is>
          <x:t xml:space="preserve">people</x:t>
        </x:is>
      </x:c>
      <x:c r="Z2" s="33" t="inlineStr">
        <x:is>
          <x:t xml:space="preserve">people</x:t>
        </x:is>
      </x:c>
      <x:c r="AA2" s="33" t="inlineStr">
        <x:is>
          <x:t xml:space="preserve">people</x:t>
        </x:is>
      </x:c>
      <x:c r="AB2" s="33" t="inlineStr">
        <x:is>
          <x:t xml:space="preserve">people</x:t>
        </x:is>
      </x:c>
      <x:c r="AC2" s="33" t="inlineStr">
        <x:is>
          <x:t xml:space="preserve">flag</x:t>
        </x:is>
      </x:c>
      <x:c r="AD2" s="33" t="inlineStr">
        <x:is>
          <x:t xml:space="preserve">settlements</x:t>
        </x:is>
      </x:c>
      <x:c r="AE2" s="33" t="inlineStr">
        <x:is>
          <x:t xml:space="preserve">#</x:t>
        </x:is>
      </x:c>
      <x:c r="AF2" s="33" t="inlineStr">
        <x:is>
          <x:t xml:space="preserve">#</x:t>
        </x:is>
      </x:c>
      <x:c r="AG2" s="33" t="inlineStr">
        <x:is>
          <x:t xml:space="preserve">min</x:t>
        </x:is>
      </x:c>
      <x:c r="AH2" s="33" t="inlineStr">
        <x:is>
          <x:t xml:space="preserve">×</x:t>
        </x:is>
      </x:c>
      <x:c r="AI2" s="33" t="inlineStr">
        <x:is>
          <x:t xml:space="preserve">people</x:t>
        </x:is>
      </x:c>
      <x:c r="AJ2" s="33" t="inlineStr">
        <x:is>
          <x:t xml:space="preserve">Insight/yr</x:t>
        </x:is>
      </x:c>
      <x:c r="AK2" s="33" t="inlineStr">
        <x:is>
          <x:t xml:space="preserve">Insight/yr</x:t>
        </x:is>
      </x:c>
      <x:c r="AL2" s="33" t="inlineStr">
        <x:is>
          <x:t xml:space="preserve">Insight/yr</x:t>
        </x:is>
      </x:c>
      <x:c r="AM2" s="33" t="inlineStr">
        <x:is>
          <x:t xml:space="preserve">Insight</x:t>
        </x:is>
      </x:c>
      <x:c r="AN2" s="33" t="inlineStr">
        <x:is>
          <x:t xml:space="preserve">KH</x:t>
        </x:is>
      </x:c>
      <x:c r="AO2" s="33" t="inlineStr">
        <x:is>
          <x:t xml:space="preserve">KH</x:t>
        </x:is>
      </x:c>
      <x:c r="AP2" s="33" t="inlineStr">
        <x:is>
          <x:t xml:space="preserve">KH</x:t>
        </x:is>
      </x:c>
      <x:c r="AQ2" s="33" t="inlineStr">
        <x:is>
          <x:t xml:space="preserve">Insight</x:t>
        </x:is>
      </x:c>
      <x:c r="AR2" s="33" t="inlineStr">
        <x:is>
          <x:t xml:space="preserve">Insight</x:t>
        </x:is>
      </x:c>
      <x:c r="AS2" s="33" t="inlineStr">
        <x:is>
          <x:t xml:space="preserve">Insight</x:t>
        </x:is>
      </x:c>
      <x:c r="AT2" s="33" t="inlineStr">
        <x:is>
          <x:t xml:space="preserve">%</x:t>
        </x:is>
      </x:c>
      <x:c r="AU2" s="33" t="inlineStr">
        <x:is>
          <x:t xml:space="preserve">figures</x:t>
        </x:is>
      </x:c>
      <x:c r="AV2" s="33" t="inlineStr">
        <x:is>
          <x:t xml:space="preserve">Insight/min</x:t>
        </x:is>
      </x:c>
    </x:row>
    <x:row r="3">
      <x:c r="A3" s="8" t="n">
        <x:v>0</x:v>
      </x:c>
      <x:c r="B3" s="9" t="n">
        <x:v>0</x:v>
      </x:c>
      <x:c r="C3" s="9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1</x:v>
      </x:c>
      <x:c r="H3" s="8" t="n">
        <x:v>1</x:v>
      </x:c>
      <x:c r="I3" s="9" t="n">
        <x:v>0</x:v>
      </x:c>
      <x:c r="J3" s="32" t="n">
        <x:f>INDEX(tun_FoodCap,G3)*Arch_FoodCap*EXP(tun_CapsByProject*SUMPRODUCT((Cap_Point&lt;=I3)*(Cap_Kind="Food")*Cap_Ln))</x:f>
        <x:v>20</x:v>
      </x:c>
      <x:c r="K3" s="32" t="n">
        <x:f>J3*MIN(1,tun_LeanBase*EXP(tun_CapsByProject*SUMPRODUCT((Cap_Point&lt;=I3)*(Cap_Kind="Lean")*Cap_Ln)))</x:f>
        <x:v>15.4</x:v>
      </x:c>
      <x:c r="L3" s="10" t="n">
        <x:f>INDEX(tun_HousingCap,G3)*EXP(tun_CapsByProject*SUMPRODUCT((Cap_Point&lt;=I3)*(Cap_Kind="Housing")*Cap_Ln))</x:f>
        <x:v>40</x:v>
      </x:c>
      <x:c r="M3" s="10" t="n">
        <x:f>INDEX(tun_GroupCap,G3)*tun_CohesionFactor*EXP(tun_CapsByProject*SUMPRODUCT((Cap_Point&lt;=I3)*(Cap_Kind="Group")*Cap_Ln))</x:f>
        <x:v>25</x:v>
      </x:c>
      <x:c r="N3" s="32" t="n">
        <x:f>MIN(J3,L3,M3)</x:f>
        <x:v>20</x:v>
      </x:c>
      <x:c r="O3" s="10" t="n">
        <x:f>AE3*N3</x:f>
        <x:v>20</x:v>
      </x:c>
      <x:c r="P3" s="9" t="n">
        <x:v>0</x:v>
      </x:c>
      <x:c r="Q3" s="9" t="n">
        <x:v>1</x:v>
      </x:c>
      <x:c r="R3" s="9" t="n">
        <x:v>0</x:v>
      </x:c>
      <x:c r="S3" s="9" t="n">
        <x:v>0</x:v>
      </x:c>
      <x:c r="T3" s="9" t="n">
        <x:v>0</x:v>
      </x:c>
      <x:c r="U3" s="9" t="n">
        <x:v>0</x:v>
      </x:c>
      <x:c r="V3" s="9" t="n">
        <x:v>0</x:v>
      </x:c>
      <x:c r="W3" s="9" t="n">
        <x:v>0</x:v>
      </x:c>
      <x:c r="X3" s="9" t="n">
        <x:v>0</x:v>
      </x:c>
      <x:c r="Y3" s="32" t="n">
        <x:f>tun_StartChildren</x:f>
        <x:v>2</x:v>
      </x:c>
      <x:c r="Z3" s="32" t="n">
        <x:f>tun_StartAdults</x:f>
        <x:v>8</x:v>
      </x:c>
      <x:c r="AA3" s="32" t="n">
        <x:f>tun_StartElders</x:f>
        <x:v>2</x:v>
      </x:c>
      <x:c r="AB3" s="10" t="n">
        <x:f>Y3+Z3+AA3</x:f>
        <x:v>12</x:v>
      </x:c>
      <x:c r="AC3" s="8" t="n">
        <x:v>0</x:v>
      </x:c>
      <x:c r="AD3" s="8" t="n">
        <x:v>0</x:v>
      </x:c>
      <x:c r="AE3" s="8" t="n">
        <x:v>1</x:v>
      </x:c>
      <x:c r="AF3" s="8" t="n">
        <x:v>0</x:v>
      </x:c>
      <x:c r="AG3" s="9" t="str">
        <x:f>""</x:f>
      </x:c>
      <x:c r="AH3" s="9" t="n">
        <x:v>1</x:v>
      </x:c>
      <x:c r="AI3" s="32" t="n">
        <x:v>0</x:v>
      </x:c>
      <x:c r="AJ3" s="32" t="n">
        <x:v>0</x:v>
      </x:c>
      <x:c r="AK3" s="32" t="n">
        <x:v>0</x:v>
      </x:c>
      <x:c r="AL3" s="32" t="n">
        <x:v>0</x:v>
      </x:c>
      <x:c r="AM3" s="32" t="n">
        <x:v>0</x:v>
      </x:c>
      <x:c r="AN3" s="32" t="n">
        <x:v>0</x:v>
      </x:c>
      <x:c r="AO3" s="32" t="n">
        <x:v>0</x:v>
      </x:c>
      <x:c r="AP3" s="32" t="n">
        <x:v>0</x:v>
      </x:c>
      <x:c r="AQ3" s="32" t="n">
        <x:v>0</x:v>
      </x:c>
      <x:c r="AR3" s="10" t="n">
        <x:f>INDEX(tun_Req,1)</x:f>
        <x:v>409.222</x:v>
      </x:c>
      <x:c r="AS3" s="32" t="n">
        <x:v>0</x:v>
      </x:c>
      <x:c r="AT3" s="11" t="n">
        <x:v>0</x:v>
      </x:c>
      <x:c r="AU3" s="10" t="n">
        <x:f>AB3</x:f>
        <x:v>12</x:v>
      </x:c>
      <x:c r="AV3" s="32" t="n">
        <x:v>0</x:v>
      </x:c>
    </x:row>
    <x:row r="4">
      <x:c r="A4" s="8" t="n">
        <x:f>A3+1</x:f>
        <x:v>1</x:v>
      </x:c>
      <x:c r="B4" s="9" t="n">
        <x:f>A4*tun_SeasonSeconds/60</x:f>
        <x:v>0.25</x:v>
      </x:c>
      <x:c r="C4" s="9" t="n">
        <x:f>A4/4</x:f>
        <x:v>0.25</x:v>
      </x:c>
      <x:c r="D4" s="8" t="n">
        <x:f>IF(MOD(A4,4)=0,1,0)</x:f>
        <x:v>0</x:v>
      </x:c>
      <x:c r="E4" s="8" t="n">
        <x:f>IF(AND(F3&lt;=9,AS3&gt;=AR3),1,0)</x:f>
        <x:v>0</x:v>
      </x:c>
      <x:c r="F4" s="8" t="n">
        <x:f>MIN(10,F3+E4)</x:f>
        <x:v>0</x:v>
      </x:c>
      <x:c r="G4" s="8" t="n">
        <x:f>MIN(F4,9)+1</x:f>
        <x:v>1</x:v>
      </x:c>
      <x:c r="H4" s="8" t="n">
        <x:f>IF(F4&lt;=9,1,0)</x:f>
        <x:v>1</x:v>
      </x:c>
      <x:c r="I4" s="9" t="n">
        <x:f>MIN(10,F3+IF(AR3&gt;0,MIN(1,AS3/AR3),1))</x:f>
        <x:v>0</x:v>
      </x:c>
      <x:c r="J4" s="32" t="n">
        <x:f>INDEX(tun_FoodCap,G4)*Arch_FoodCap*EXP(tun_CapsByProject*SUMPRODUCT((Cap_Point&lt;=I4)*(Cap_Kind="Food")*Cap_Ln))</x:f>
        <x:v>20</x:v>
      </x:c>
      <x:c r="K4" s="32" t="n">
        <x:f>J4*MIN(1,tun_LeanBase*EXP(tun_CapsByProject*SUMPRODUCT((Cap_Point&lt;=I4)*(Cap_Kind="Lean")*Cap_Ln)))</x:f>
        <x:v>15.4</x:v>
      </x:c>
      <x:c r="L4" s="10" t="n">
        <x:f>INDEX(tun_HousingCap,G4)*EXP(tun_CapsByProject*SUMPRODUCT((Cap_Point&lt;=I4)*(Cap_Kind="Housing")*Cap_Ln))</x:f>
        <x:v>40</x:v>
      </x:c>
      <x:c r="M4" s="10" t="n">
        <x:f>INDEX(tun_GroupCap,G4)*tun_CohesionFactor*EXP(tun_CapsByProject*SUMPRODUCT((Cap_Point&lt;=I4)*(Cap_Kind="Group")*Cap_Ln))</x:f>
        <x:v>25</x:v>
      </x:c>
      <x:c r="N4" s="32" t="n">
        <x:f>MIN(J4,L4,M4)</x:f>
        <x:v>20</x:v>
      </x:c>
      <x:c r="O4" s="10" t="n">
        <x:f>AE3*N4</x:f>
        <x:v>20</x:v>
      </x:c>
      <x:c r="P4" s="9" t="n">
        <x:f>MIN(1,(AB3/(AE3*IF(tun_GroupInCrowding=1,N4,MIN(J4,L4))))^tun_CrowdingExp)</x:f>
        <x:v>0.04665599999999999</x:v>
      </x:c>
      <x:c r="Q4" s="9" t="n">
        <x:f>IF(D4=1,INDEX(tun_WinterMult,G4),1)</x:f>
        <x:v>1</x:v>
      </x:c>
      <x:c r="R4" s="9" t="n">
        <x:f>H4*Z3*tun_WomenShare*tun_BaseFertility*INDEX(tun_FertMult,G4)*Arch_Fertility*(1-P4)</x:f>
        <x:v>0.49573888</x:v>
      </x:c>
      <x:c r="S4" s="9" t="n">
        <x:f>H4*Y3*INDEX(tun_MortChild,G4)/4*Q4</x:f>
        <x:v>0.018</x:v>
      </x:c>
      <x:c r="T4" s="9" t="n">
        <x:f>H4*Z3*INDEX(tun_MortAdult,G4)*Arch_AdultMort/4*Q4</x:f>
        <x:v>0.024</x:v>
      </x:c>
      <x:c r="U4" s="9" t="n">
        <x:f>H4*AA3*INDEX(tun_MortElder,G4)/4*Q4</x:f>
        <x:v>0.0265</x:v>
      </x:c>
      <x:c r="V4" s="9" t="n">
        <x:f>H4*MAX(0,AB3-O4)*tun_OvercapLoss</x:f>
        <x:v>0</x:v>
      </x:c>
      <x:c r="W4" s="9" t="n">
        <x:f>H4*Y3/(tun_ChildYears*4)</x:f>
        <x:v>0.03571428571428571</x:v>
      </x:c>
      <x:c r="X4" s="9" t="n">
        <x:f>H4*Z3/(tun_AdultYears*4)</x:f>
        <x:v>0.06451612903225806</x:v>
      </x:c>
      <x:c r="Y4" s="32" t="n">
        <x:f>Y3+R4-S4-W4-Y3*V4/AB3</x:f>
        <x:v>2.442024594285715</x:v>
      </x:c>
      <x:c r="Z4" s="32" t="n">
        <x:f>Z3+W4-X4-T4-Z3*V4/AB3</x:f>
        <x:v>7.9471981566820284</x:v>
      </x:c>
      <x:c r="AA4" s="32" t="n">
        <x:f>AA3+X4-U4-AA3*V4/AB3</x:f>
        <x:v>2.038016129032258</x:v>
      </x:c>
      <x:c r="AB4" s="10" t="n">
        <x:f>Y4+Z4+AA4</x:f>
        <x:v>12.42723888</x:v>
      </x:c>
      <x:c r="AC4" s="8" t="n">
        <x:f>IF(AND(tun_WinterTrigger=1,D4=1,AB3/AE3&gt;=K4),1,0)</x:f>
        <x:v>0</x:v>
      </x:c>
      <x:c r="AD4" s="8" t="n">
        <x:f>H4*IF(AND(OR(AB3/AE3&gt;=tun_FissionTrigger*N4,AC4=1),AB3/AE3*tun_DaughterShare&gt;=tun_MinDaughter),MAX(1,ROUND(AE3*tun_FissionRate,0)),0)</x:f>
        <x:v>0</x:v>
      </x:c>
      <x:c r="AE4" s="8" t="n">
        <x:f>IF(H4=1,MAX(1,MIN(INDEX(tun_Smax,G4),AE3+AD4)),AE3)</x:f>
        <x:v>1</x:v>
      </x:c>
      <x:c r="AF4" s="8" t="n">
        <x:f>MAX(0,AE4-AE3)</x:f>
        <x:v>0</x:v>
      </x:c>
      <x:c r="AG4" s="9" t="str">
        <x:f>IF(AF4&gt;0,B4,"")</x:f>
      </x:c>
      <x:c r="AH4" s="9" t="n">
        <x:f>IF(F4&gt;=1,1,(1+tun_LowTiesShare*(AE4-1))/AE4)</x:f>
        <x:v>1</x:v>
      </x:c>
      <x:c r="AI4" s="32" t="n">
        <x:f>(Z4+tun_ElderCommons*INDEX(LM_Elder,G4)*AA4)*AH4</x:f>
        <x:v>12.023230414746545</x:v>
      </x:c>
      <x:c r="AJ4" s="32" t="n">
        <x:f>H4*tun_CommonsCoef*AI4^tun_CommonsExp*INDEX(LM_Commons,G4)</x:f>
        <x:v>41.6826742633792</x:v>
      </x:c>
      <x:c r="AK4" s="32" t="n">
        <x:f>H4*tun_RoleScale*Arch_Roles*(AE4*(INDEX(tun_ElderRolePerSett,G4)*tun_OutElder*INDEX(LM_Elder,G4)+INDEX(tun_ShamanPerSett,G4)*tun_OutShaman)+Z4*(INDEX(tun_PriestShare,G4)*tun_OutPriest+INDEX(tun_ScribeShare,G4)*tun_OutScribe*INDEX(LM_Scribe,G4)+INDEX(tun_ScholarShare,G4)*tun_OutScholar*INDEX(LM_Scholar,G4)+INDEX(tun_ResearcherShare,G4)*tun_OutResearcher*INDEX(LM_Researcher,G4)))</x:f>
        <x:v>0</x:v>
      </x:c>
      <x:c r="AL4" s="32" t="n">
        <x:f>H4*tun_RoleScale*Arch_Roles*AE4*INDEX(tun_MonasteryPerSett,G4)*tun_OutMonastery*INDEX(LM_Monastery,G4)</x:f>
        <x:v>0</x:v>
      </x:c>
      <x:c r="AM4" s="32" t="n">
        <x:f>(AJ4+AK4+AL4)/4*INDEX(LM_All,G4)*INDEX(tun_Boon,G4)*Arch_Insight</x:f>
        <x:v>10.4206685658448</x:v>
      </x:c>
      <x:c r="AN4" s="32" t="n">
        <x:f>H4*(tun_KHPerAdult*Z4+tun_KHOfCommons*AJ4/4*INDEX(LM_All,G4))*tun_KHUsable*Arch_KH</x:f>
        <x:v>2.5530637986319755</x:v>
      </x:c>
      <x:c r="AO4" s="32" t="n">
        <x:f>MIN(AP3+AN4,AM4*tun_KHMaxRatio)</x:f>
        <x:v>2.5530637986319755</x:v>
      </x:c>
      <x:c r="AP4" s="32" t="n">
        <x:f>AP3+AN4-AO4</x:f>
        <x:v>0</x:v>
      </x:c>
      <x:c r="AQ4" s="32" t="n">
        <x:f>AM4+AO4</x:f>
        <x:v>12.973732364476774</x:v>
      </x:c>
      <x:c r="AR4" s="10" t="n">
        <x:f>IF(H4=1,INDEX(tun_Req,G4),0)</x:f>
        <x:v>409.222</x:v>
      </x:c>
      <x:c r="AS4" s="32" t="n">
        <x:f>IF(H4=1,IF(E4=1,AS3-AR3,AS3)+AQ4,0)</x:f>
        <x:v>12.973732364476774</x:v>
      </x:c>
      <x:c r="AT4" s="11" t="n">
        <x:f>IF(AR4&gt;0,MIN(1,AS4/AR4),1)</x:f>
        <x:v>0.031703408820827755</x:v>
      </x:c>
      <x:c r="AU4" s="10" t="n">
        <x:f>AB4/INDEX(tun_RepScale,G4)</x:f>
        <x:v>12.42723888</x:v>
      </x:c>
      <x:c r="AV4" s="32" t="n">
        <x:f>AM4*60/tun_SeasonSeconds</x:f>
        <x:v>41.6826742633792</x:v>
      </x:c>
    </x:row>
    <x:row r="5">
      <x:c r="A5" s="8" t="n">
        <x:f>A4+1</x:f>
        <x:v>2</x:v>
      </x:c>
      <x:c r="B5" s="9" t="n">
        <x:f>A5*tun_SeasonSeconds/60</x:f>
        <x:v>0.5</x:v>
      </x:c>
      <x:c r="C5" s="9" t="n">
        <x:f>A5/4</x:f>
        <x:v>0.5</x:v>
      </x:c>
      <x:c r="D5" s="8" t="n">
        <x:f>IF(MOD(A5,4)=0,1,0)</x:f>
        <x:v>0</x:v>
      </x:c>
      <x:c r="E5" s="8" t="n">
        <x:f>IF(AND(F4&lt;=9,AS4&gt;=AR4),1,0)</x:f>
        <x:v>0</x:v>
      </x:c>
      <x:c r="F5" s="8" t="n">
        <x:f>MIN(10,F4+E5)</x:f>
        <x:v>0</x:v>
      </x:c>
      <x:c r="G5" s="8" t="n">
        <x:f>MIN(F5,9)+1</x:f>
        <x:v>1</x:v>
      </x:c>
      <x:c r="H5" s="8" t="n">
        <x:f>IF(F5&lt;=9,1,0)</x:f>
        <x:v>1</x:v>
      </x:c>
      <x:c r="I5" s="9" t="n">
        <x:f>MIN(10,F4+IF(AR4&gt;0,MIN(1,AS4/AR4),1))</x:f>
        <x:v>0.031703408820827755</x:v>
      </x:c>
      <x:c r="J5" s="32" t="n">
        <x:f>INDEX(tun_FoodCap,G5)*Arch_FoodCap*EXP(tun_CapsByProject*SUMPRODUCT((Cap_Point&lt;=I5)*(Cap_Kind="Food")*Cap_Ln))</x:f>
        <x:v>20</x:v>
      </x:c>
      <x:c r="K5" s="32" t="n">
        <x:f>J5*MIN(1,tun_LeanBase*EXP(tun_CapsByProject*SUMPRODUCT((Cap_Point&lt;=I5)*(Cap_Kind="Lean")*Cap_Ln)))</x:f>
        <x:v>15.4</x:v>
      </x:c>
      <x:c r="L5" s="10" t="n">
        <x:f>INDEX(tun_HousingCap,G5)*EXP(tun_CapsByProject*SUMPRODUCT((Cap_Point&lt;=I5)*(Cap_Kind="Housing")*Cap_Ln))</x:f>
        <x:v>40</x:v>
      </x:c>
      <x:c r="M5" s="10" t="n">
        <x:f>INDEX(tun_GroupCap,G5)*tun_CohesionFactor*EXP(tun_CapsByProject*SUMPRODUCT((Cap_Point&lt;=I5)*(Cap_Kind="Group")*Cap_Ln))</x:f>
        <x:v>25</x:v>
      </x:c>
      <x:c r="N5" s="32" t="n">
        <x:f>MIN(J5,L5,M5)</x:f>
        <x:v>20</x:v>
      </x:c>
      <x:c r="O5" s="10" t="n">
        <x:f>AE4*N5</x:f>
        <x:v>20</x:v>
      </x:c>
      <x:c r="P5" s="9" t="n">
        <x:f>MIN(1,(AB4/(AE4*IF(tun_GroupInCrowding=1,N5,MIN(J5,L5))))^tun_CrowdingExp)</x:f>
        <x:v>0.0575529918885816</x:v>
      </x:c>
      <x:c r="Q5" s="9" t="n">
        <x:f>IF(D5=1,INDEX(tun_WinterMult,G5),1)</x:f>
        <x:v>1</x:v>
      </x:c>
      <x:c r="R5" s="9" t="n">
        <x:f>H5*Z4*tun_WomenShare*tun_BaseFertility*INDEX(tun_FertMult,G5)*Arch_Fertility*(1-P5)</x:f>
        <x:v>0.48683785316618117</x:v>
      </x:c>
      <x:c r="S5" s="9" t="n">
        <x:f>H5*Y4*INDEX(tun_MortChild,G5)/4*Q5</x:f>
        <x:v>0.02197822134857143</x:v>
      </x:c>
      <x:c r="T5" s="9" t="n">
        <x:f>H5*Z4*INDEX(tun_MortAdult,G5)*Arch_AdultMort/4*Q5</x:f>
        <x:v>0.023841594470046086</x:v>
      </x:c>
      <x:c r="U5" s="9" t="n">
        <x:f>H5*AA4*INDEX(tun_MortElder,G5)/4*Q5</x:f>
        <x:v>0.02700371370967742</x:v>
      </x:c>
      <x:c r="V5" s="9" t="n">
        <x:f>H5*MAX(0,AB4-O5)*tun_OvercapLoss</x:f>
        <x:v>0</x:v>
      </x:c>
      <x:c r="W5" s="9" t="n">
        <x:f>H5*Y4/(tun_ChildYears*4)</x:f>
        <x:v>0.043607582040816335</x:v>
      </x:c>
      <x:c r="X5" s="9" t="n">
        <x:f>H5*Z4/(tun_AdultYears*4)</x:f>
        <x:v>0.06409030771517765</x:v>
      </x:c>
      <x:c r="Y5" s="32" t="n">
        <x:f>Y4+R5-S5-W5-Y4*V5/AB4</x:f>
        <x:v>2.8632766440625086</x:v>
      </x:c>
      <x:c r="Z5" s="32" t="n">
        <x:f>Z4+W5-X5-T5-Z4*V5/AB4</x:f>
        <x:v>7.90287383653762</x:v>
      </x:c>
      <x:c r="AA5" s="32" t="n">
        <x:f>AA4+X5-U5-AA4*V5/AB4</x:f>
        <x:v>2.0751027230377583</x:v>
      </x:c>
      <x:c r="AB5" s="10" t="n">
        <x:f>Y5+Z5+AA5</x:f>
        <x:v>12.841253203637887</x:v>
      </x:c>
      <x:c r="AC5" s="8" t="n">
        <x:f>IF(AND(tun_WinterTrigger=1,D5=1,AB4/AE4&gt;=K5),1,0)</x:f>
        <x:v>0</x:v>
      </x:c>
      <x:c r="AD5" s="8" t="n">
        <x:f>H5*IF(AND(OR(AB4/AE4&gt;=tun_FissionTrigger*N5,AC5=1),AB4/AE4*tun_DaughterShare&gt;=tun_MinDaughter),MAX(1,ROUND(AE4*tun_FissionRate,0)),0)</x:f>
        <x:v>0</x:v>
      </x:c>
      <x:c r="AE5" s="8" t="n">
        <x:f>IF(H5=1,MAX(1,MIN(INDEX(tun_Smax,G5),AE4+AD5)),AE4)</x:f>
        <x:v>1</x:v>
      </x:c>
      <x:c r="AF5" s="8" t="n">
        <x:f>MAX(0,AE5-AE4)</x:f>
        <x:v>0</x:v>
      </x:c>
      <x:c r="AG5" s="9" t="str">
        <x:f>IF(AF5&gt;0,B5,"")</x:f>
      </x:c>
      <x:c r="AH5" s="9" t="n">
        <x:f>IF(F5&gt;=1,1,(1+tun_LowTiesShare*(AE5-1))/AE5)</x:f>
        <x:v>1</x:v>
      </x:c>
      <x:c r="AI5" s="32" t="n">
        <x:f>(Z5+tun_ElderCommons*INDEX(LM_Elder,G5)*AA5)*AH5</x:f>
        <x:v>12.053079282613137</x:v>
      </x:c>
      <x:c r="AJ5" s="32" t="n">
        <x:f>H5*tun_CommonsCoef*AI5^tun_CommonsExp*INDEX(LM_Commons,G5)</x:f>
        <x:v>41.77061708577099</x:v>
      </x:c>
      <x:c r="AK5" s="32" t="n">
        <x:f>H5*tun_RoleScale*Arch_Roles*(AE5*(INDEX(tun_ElderRolePerSett,G5)*tun_OutElder*INDEX(LM_Elder,G5)+INDEX(tun_ShamanPerSett,G5)*tun_OutShaman)+Z5*(INDEX(tun_PriestShare,G5)*tun_OutPriest+INDEX(tun_ScribeShare,G5)*tun_OutScribe*INDEX(LM_Scribe,G5)+INDEX(tun_ScholarShare,G5)*tun_OutScholar*INDEX(LM_Scholar,G5)+INDEX(tun_ResearcherShare,G5)*tun_OutResearcher*INDEX(LM_Researcher,G5)))</x:f>
        <x:v>0</x:v>
      </x:c>
      <x:c r="AL5" s="32" t="n">
        <x:f>H5*tun_RoleScale*Arch_Roles*AE5*INDEX(tun_MonasteryPerSett,G5)*tun_OutMonastery*INDEX(LM_Monastery,G5)</x:f>
        <x:v>0</x:v>
      </x:c>
      <x:c r="AM5" s="32" t="n">
        <x:f>(AJ5+AK5+AL5)/4*INDEX(LM_All,G5)*INDEX(tun_Boon,G5)*Arch_Insight</x:f>
        <x:v>10.442654271442748</x:v>
      </x:c>
      <x:c r="AN5" s="32" t="n">
        <x:f>H5*(tun_KHPerAdult*Z5+tun_KHOfCommons*AJ5/4*INDEX(LM_All,G5))*tun_KHUsable*Arch_KH</x:f>
        <x:v>2.558450296503473</x:v>
      </x:c>
      <x:c r="AO5" s="32" t="n">
        <x:f>MIN(AP4+AN5,AM5*tun_KHMaxRatio)</x:f>
        <x:v>2.558450296503473</x:v>
      </x:c>
      <x:c r="AP5" s="32" t="n">
        <x:f>AP4+AN5-AO5</x:f>
        <x:v>0</x:v>
      </x:c>
      <x:c r="AQ5" s="32" t="n">
        <x:f>AM5+AO5</x:f>
        <x:v>13.001104567946221</x:v>
      </x:c>
      <x:c r="AR5" s="10" t="n">
        <x:f>IF(H5=1,INDEX(tun_Req,G5),0)</x:f>
        <x:v>409.222</x:v>
      </x:c>
      <x:c r="AS5" s="32" t="n">
        <x:f>IF(H5=1,IF(E5=1,AS4-AR4,AS4)+AQ5,0)</x:f>
        <x:v>25.974836932422996</x:v>
      </x:c>
      <x:c r="AT5" s="11" t="n">
        <x:f>IF(AR5&gt;0,MIN(1,AS5/AR5),1)</x:f>
        <x:v>0.06347370603834349</x:v>
      </x:c>
      <x:c r="AU5" s="10" t="n">
        <x:f>AB5/INDEX(tun_RepScale,G5)</x:f>
        <x:v>12.841253203637887</x:v>
      </x:c>
      <x:c r="AV5" s="32" t="n">
        <x:f>AM5*60/tun_SeasonSeconds</x:f>
        <x:v>41.770617085771</x:v>
      </x:c>
    </x:row>
    <x:row r="6">
      <x:c r="A6" s="8" t="n">
        <x:f>A5+1</x:f>
        <x:v>3</x:v>
      </x:c>
      <x:c r="B6" s="9" t="n">
        <x:f>A6*tun_SeasonSeconds/60</x:f>
        <x:v>0.75</x:v>
      </x:c>
      <x:c r="C6" s="9" t="n">
        <x:f>A6/4</x:f>
        <x:v>0.75</x:v>
      </x:c>
      <x:c r="D6" s="8" t="n">
        <x:f>IF(MOD(A6,4)=0,1,0)</x:f>
        <x:v>0</x:v>
      </x:c>
      <x:c r="E6" s="8" t="n">
        <x:f>IF(AND(F5&lt;=9,AS5&gt;=AR5),1,0)</x:f>
        <x:v>0</x:v>
      </x:c>
      <x:c r="F6" s="8" t="n">
        <x:f>MIN(10,F5+E6)</x:f>
        <x:v>0</x:v>
      </x:c>
      <x:c r="G6" s="8" t="n">
        <x:f>MIN(F6,9)+1</x:f>
        <x:v>1</x:v>
      </x:c>
      <x:c r="H6" s="8" t="n">
        <x:f>IF(F6&lt;=9,1,0)</x:f>
        <x:v>1</x:v>
      </x:c>
      <x:c r="I6" s="9" t="n">
        <x:f>MIN(10,F5+IF(AR5&gt;0,MIN(1,AS5/AR5),1))</x:f>
        <x:v>0.06347370603834349</x:v>
      </x:c>
      <x:c r="J6" s="32" t="n">
        <x:f>INDEX(tun_FoodCap,G6)*Arch_FoodCap*EXP(tun_CapsByProject*SUMPRODUCT((Cap_Point&lt;=I6)*(Cap_Kind="Food")*Cap_Ln))</x:f>
        <x:v>20</x:v>
      </x:c>
      <x:c r="K6" s="32" t="n">
        <x:f>J6*MIN(1,tun_LeanBase*EXP(tun_CapsByProject*SUMPRODUCT((Cap_Point&lt;=I6)*(Cap_Kind="Lean")*Cap_Ln)))</x:f>
        <x:v>15.4</x:v>
      </x:c>
      <x:c r="L6" s="10" t="n">
        <x:f>INDEX(tun_HousingCap,G6)*EXP(tun_CapsByProject*SUMPRODUCT((Cap_Point&lt;=I6)*(Cap_Kind="Housing")*Cap_Ln))</x:f>
        <x:v>40</x:v>
      </x:c>
      <x:c r="M6" s="10" t="n">
        <x:f>INDEX(tun_GroupCap,G6)*tun_CohesionFactor*EXP(tun_CapsByProject*SUMPRODUCT((Cap_Point&lt;=I6)*(Cap_Kind="Group")*Cap_Ln))</x:f>
        <x:v>25</x:v>
      </x:c>
      <x:c r="N6" s="32" t="n">
        <x:f>MIN(J6,L6,M6)</x:f>
        <x:v>20</x:v>
      </x:c>
      <x:c r="O6" s="10" t="n">
        <x:f>AE5*N6</x:f>
        <x:v>20</x:v>
      </x:c>
      <x:c r="P6" s="9" t="n">
        <x:f>MIN(1,(AB5/(AE5*IF(tun_GroupInCrowding=1,N6,MIN(J6,L6))))^tun_CrowdingExp)</x:f>
        <x:v>0.07005908852953326</x:v>
      </x:c>
      <x:c r="Q6" s="9" t="n">
        <x:f>IF(D6=1,INDEX(tun_WinterMult,G6),1)</x:f>
        <x:v>1</x:v>
      </x:c>
      <x:c r="R6" s="9" t="n">
        <x:f>H6*Z5*tun_WomenShare*tun_BaseFertility*INDEX(tun_FertMult,G6)*Arch_Fertility*(1-P6)</x:f>
        <x:v>0.47769837042108343</x:v>
      </x:c>
      <x:c r="S6" s="9" t="n">
        <x:f>H6*Y5*INDEX(tun_MortChild,G6)/4*Q6</x:f>
        <x:v>0.025769489796562576</x:v>
      </x:c>
      <x:c r="T6" s="9" t="n">
        <x:f>H6*Z5*INDEX(tun_MortAdult,G6)*Arch_AdultMort/4*Q6</x:f>
        <x:v>0.02370862150961286</x:v>
      </x:c>
      <x:c r="U6" s="9" t="n">
        <x:f>H6*AA5*INDEX(tun_MortElder,G6)/4*Q6</x:f>
        <x:v>0.0274951110802503</x:v>
      </x:c>
      <x:c r="V6" s="9" t="n">
        <x:f>H6*MAX(0,AB5-O6)*tun_OvercapLoss</x:f>
        <x:v>0</x:v>
      </x:c>
      <x:c r="W6" s="9" t="n">
        <x:f>H6*Y5/(tun_ChildYears*4)</x:f>
        <x:v>0.051129940072544795</x:v>
      </x:c>
      <x:c r="X6" s="9" t="n">
        <x:f>H6*Z5/(tun_AdultYears*4)</x:f>
        <x:v>0.06373285352046468</x:v>
      </x:c>
      <x:c r="Y6" s="32" t="n">
        <x:f>Y5+R6-S6-W6-Y5*V6/AB5</x:f>
        <x:v>3.2640755846144844</x:v>
      </x:c>
      <x:c r="Z6" s="32" t="n">
        <x:f>Z5+W6-X6-T6-Z5*V6/AB5</x:f>
        <x:v>7.866562301580087</x:v>
      </x:c>
      <x:c r="AA6" s="32" t="n">
        <x:f>AA5+X6-U6-AA5*V6/AB5</x:f>
        <x:v>2.111340465477973</x:v>
      </x:c>
      <x:c r="AB6" s="10" t="n">
        <x:f>Y6+Z6+AA6</x:f>
        <x:v>13.241978351672545</x:v>
      </x:c>
      <x:c r="AC6" s="8" t="n">
        <x:f>IF(AND(tun_WinterTrigger=1,D6=1,AB5/AE5&gt;=K6),1,0)</x:f>
        <x:v>0</x:v>
      </x:c>
      <x:c r="AD6" s="8" t="n">
        <x:f>H6*IF(AND(OR(AB5/AE5&gt;=tun_FissionTrigger*N6,AC6=1),AB5/AE5*tun_DaughterShare&gt;=tun_MinDaughter),MAX(1,ROUND(AE5*tun_FissionRate,0)),0)</x:f>
        <x:v>0</x:v>
      </x:c>
      <x:c r="AE6" s="8" t="n">
        <x:f>IF(H6=1,MAX(1,MIN(INDEX(tun_Smax,G6),AE5+AD6)),AE5)</x:f>
        <x:v>1</x:v>
      </x:c>
      <x:c r="AF6" s="8" t="n">
        <x:f>MAX(0,AE6-AE5)</x:f>
        <x:v>0</x:v>
      </x:c>
      <x:c r="AG6" s="9" t="str">
        <x:f>IF(AF6&gt;0,B6,"")</x:f>
      </x:c>
      <x:c r="AH6" s="9" t="n">
        <x:f>IF(F6&gt;=1,1,(1+tun_LowTiesShare*(AE6-1))/AE6)</x:f>
        <x:v>1</x:v>
      </x:c>
      <x:c r="AI6" s="32" t="n">
        <x:f>(Z6+tun_ElderCommons*INDEX(LM_Elder,G6)*AA6)*AH6</x:f>
        <x:v>12.089243232536033</x:v>
      </x:c>
      <x:c r="AJ6" s="32" t="n">
        <x:f>H6*tun_CommonsCoef*AI6^tun_CommonsExp*INDEX(LM_Commons,G6)</x:f>
        <x:v>41.87712209519333</x:v>
      </x:c>
      <x:c r="AK6" s="32" t="n">
        <x:f>H6*tun_RoleScale*Arch_Roles*(AE6*(INDEX(tun_ElderRolePerSett,G6)*tun_OutElder*INDEX(LM_Elder,G6)+INDEX(tun_ShamanPerSett,G6)*tun_OutShaman)+Z6*(INDEX(tun_PriestShare,G6)*tun_OutPriest+INDEX(tun_ScribeShare,G6)*tun_OutScribe*INDEX(LM_Scribe,G6)+INDEX(tun_ScholarShare,G6)*tun_OutScholar*INDEX(LM_Scholar,G6)+INDEX(tun_ResearcherShare,G6)*tun_OutResearcher*INDEX(LM_Researcher,G6)))</x:f>
        <x:v>0</x:v>
      </x:c>
      <x:c r="AL6" s="32" t="n">
        <x:f>H6*tun_RoleScale*Arch_Roles*AE6*INDEX(tun_MonasteryPerSett,G6)*tun_OutMonastery*INDEX(LM_Monastery,G6)</x:f>
        <x:v>0</x:v>
      </x:c>
      <x:c r="AM6" s="32" t="n">
        <x:f>(AJ6+AK6+AL6)/4*INDEX(LM_All,G6)*INDEX(tun_Boon,G6)*Arch_Insight</x:f>
        <x:v>10.469280523798332</x:v>
      </x:c>
      <x:c r="AN6" s="32" t="n">
        <x:f>H6*(tun_KHPerAdult*Z6+tun_KHOfCommons*AJ6/4*INDEX(LM_All,G6))*tun_KHUsable*Arch_KH</x:f>
        <x:v>2.564973728330591</x:v>
      </x:c>
      <x:c r="AO6" s="32" t="n">
        <x:f>MIN(AP5+AN6,AM6*tun_KHMaxRatio)</x:f>
        <x:v>2.564973728330591</x:v>
      </x:c>
      <x:c r="AP6" s="32" t="n">
        <x:f>AP5+AN6-AO6</x:f>
        <x:v>0</x:v>
      </x:c>
      <x:c r="AQ6" s="32" t="n">
        <x:f>AM6+AO6</x:f>
        <x:v>13.034254252128923</x:v>
      </x:c>
      <x:c r="AR6" s="10" t="n">
        <x:f>IF(H6=1,INDEX(tun_Req,G6),0)</x:f>
        <x:v>409.222</x:v>
      </x:c>
      <x:c r="AS6" s="32" t="n">
        <x:f>IF(H6=1,IF(E6=1,AS5-AR5,AS5)+AQ6,0)</x:f>
        <x:v>39.00909118455192</x:v>
      </x:c>
      <x:c r="AT6" s="11" t="n">
        <x:f>IF(AR6&gt;0,MIN(1,AS6/AR6),1)</x:f>
        <x:v>0.09532500985907874</x:v>
      </x:c>
      <x:c r="AU6" s="10" t="n">
        <x:f>AB6/INDEX(tun_RepScale,G6)</x:f>
        <x:v>13.241978351672545</x:v>
      </x:c>
      <x:c r="AV6" s="32" t="n">
        <x:f>AM6*60/tun_SeasonSeconds</x:f>
        <x:v>41.877122095193336</x:v>
      </x:c>
    </x:row>
    <x:row r="7">
      <x:c r="A7" s="8" t="n">
        <x:f>A6+1</x:f>
        <x:v>4</x:v>
      </x:c>
      <x:c r="B7" s="9" t="n">
        <x:f>A7*tun_SeasonSeconds/60</x:f>
        <x:v>1</x:v>
      </x:c>
      <x:c r="C7" s="9" t="n">
        <x:f>A7/4</x:f>
        <x:v>1</x:v>
      </x:c>
      <x:c r="D7" s="8" t="n">
        <x:f>IF(MOD(A7,4)=0,1,0)</x:f>
        <x:v>1</x:v>
      </x:c>
      <x:c r="E7" s="8" t="n">
        <x:f>IF(AND(F6&lt;=9,AS6&gt;=AR6),1,0)</x:f>
        <x:v>0</x:v>
      </x:c>
      <x:c r="F7" s="8" t="n">
        <x:f>MIN(10,F6+E7)</x:f>
        <x:v>0</x:v>
      </x:c>
      <x:c r="G7" s="8" t="n">
        <x:f>MIN(F7,9)+1</x:f>
        <x:v>1</x:v>
      </x:c>
      <x:c r="H7" s="8" t="n">
        <x:f>IF(F7&lt;=9,1,0)</x:f>
        <x:v>1</x:v>
      </x:c>
      <x:c r="I7" s="9" t="n">
        <x:f>MIN(10,F6+IF(AR6&gt;0,MIN(1,AS6/AR6),1))</x:f>
        <x:v>0.09532500985907874</x:v>
      </x:c>
      <x:c r="J7" s="32" t="n">
        <x:f>INDEX(tun_FoodCap,G7)*Arch_FoodCap*EXP(tun_CapsByProject*SUMPRODUCT((Cap_Point&lt;=I7)*(Cap_Kind="Food")*Cap_Ln))</x:f>
        <x:v>20</x:v>
      </x:c>
      <x:c r="K7" s="32" t="n">
        <x:f>J7*MIN(1,tun_LeanBase*EXP(tun_CapsByProject*SUMPRODUCT((Cap_Point&lt;=I7)*(Cap_Kind="Lean")*Cap_Ln)))</x:f>
        <x:v>15.4</x:v>
      </x:c>
      <x:c r="L7" s="10" t="n">
        <x:f>INDEX(tun_HousingCap,G7)*EXP(tun_CapsByProject*SUMPRODUCT((Cap_Point&lt;=I7)*(Cap_Kind="Housing")*Cap_Ln))</x:f>
        <x:v>40</x:v>
      </x:c>
      <x:c r="M7" s="10" t="n">
        <x:f>INDEX(tun_GroupCap,G7)*tun_CohesionFactor*EXP(tun_CapsByProject*SUMPRODUCT((Cap_Point&lt;=I7)*(Cap_Kind="Group")*Cap_Ln))</x:f>
        <x:v>25</x:v>
      </x:c>
      <x:c r="N7" s="32" t="n">
        <x:f>MIN(J7,L7,M7)</x:f>
        <x:v>20</x:v>
      </x:c>
      <x:c r="O7" s="10" t="n">
        <x:f>AE6*N7</x:f>
        <x:v>20</x:v>
      </x:c>
      <x:c r="P7" s="9" t="n">
        <x:f>MIN(1,(AB6/(AE6*IF(tun_GroupInCrowding=1,N7,MIN(J7,L7))))^tun_CrowdingExp)</x:f>
        <x:v>0.08424366788117625</x:v>
      </x:c>
      <x:c r="Q7" s="9" t="n">
        <x:f>IF(D7=1,INDEX(tun_WinterMult,G7),1)</x:f>
        <x:v>2</x:v>
      </x:c>
      <x:c r="R7" s="9" t="n">
        <x:f>H7*Z6*tun_WomenShare*tun_BaseFertility*INDEX(tun_FertMult,G7)*Arch_Fertility*(1-P7)</x:f>
        <x:v>0.46825052557914765</x:v>
      </x:c>
      <x:c r="S7" s="9" t="n">
        <x:f>H7*Y6*INDEX(tun_MortChild,G7)/4*Q7</x:f>
        <x:v>0.05875336052306072</x:v>
      </x:c>
      <x:c r="T7" s="9" t="n">
        <x:f>H7*Z6*INDEX(tun_MortAdult,G7)*Arch_AdultMort/4*Q7</x:f>
        <x:v>0.04719937380948053</x:v>
      </x:c>
      <x:c r="U7" s="9" t="n">
        <x:f>H7*AA6*INDEX(tun_MortElder,G7)/4*Q7</x:f>
        <x:v>0.05595052233516628</x:v>
      </x:c>
      <x:c r="V7" s="9" t="n">
        <x:f>H7*MAX(0,AB6-O7)*tun_OvercapLoss</x:f>
        <x:v>0</x:v>
      </x:c>
      <x:c r="W7" s="9" t="n">
        <x:f>H7*Y6/(tun_ChildYears*4)</x:f>
        <x:v>0.05828706401097294</x:v>
      </x:c>
      <x:c r="X7" s="9" t="n">
        <x:f>H7*Z6/(tun_AdultYears*4)</x:f>
        <x:v>0.06344001856112974</x:v>
      </x:c>
      <x:c r="Y7" s="32" t="n">
        <x:f>Y6+R7-S7-W7-Y6*V7/AB6</x:f>
        <x:v>3.6152856856595985</x:v>
      </x:c>
      <x:c r="Z7" s="32" t="n">
        <x:f>Z6+W7-X7-T7-Z6*V7/AB6</x:f>
        <x:v>7.81420997322045</x:v>
      </x:c>
      <x:c r="AA7" s="32" t="n">
        <x:f>AA6+X7-U7-AA6*V7/AB6</x:f>
        <x:v>2.1188299617039363</x:v>
      </x:c>
      <x:c r="AB7" s="10" t="n">
        <x:f>Y7+Z7+AA7</x:f>
        <x:v>13.548325620583984</x:v>
      </x:c>
      <x:c r="AC7" s="8" t="n">
        <x:f>IF(AND(tun_WinterTrigger=1,D7=1,AB6/AE6&gt;=K7),1,0)</x:f>
        <x:v>0</x:v>
      </x:c>
      <x:c r="AD7" s="8" t="n">
        <x:f>H7*IF(AND(OR(AB6/AE6&gt;=tun_FissionTrigger*N7,AC7=1),AB6/AE6*tun_DaughterShare&gt;=tun_MinDaughter),MAX(1,ROUND(AE6*tun_FissionRate,0)),0)</x:f>
        <x:v>0</x:v>
      </x:c>
      <x:c r="AE7" s="8" t="n">
        <x:f>IF(H7=1,MAX(1,MIN(INDEX(tun_Smax,G7),AE6+AD7)),AE6)</x:f>
        <x:v>1</x:v>
      </x:c>
      <x:c r="AF7" s="8" t="n">
        <x:f>MAX(0,AE7-AE6)</x:f>
        <x:v>0</x:v>
      </x:c>
      <x:c r="AG7" s="9" t="str">
        <x:f>IF(AF7&gt;0,B7,"")</x:f>
      </x:c>
      <x:c r="AH7" s="9" t="n">
        <x:f>IF(F7&gt;=1,1,(1+tun_LowTiesShare*(AE7-1))/AE7)</x:f>
        <x:v>1</x:v>
      </x:c>
      <x:c r="AI7" s="32" t="n">
        <x:f>(Z7+tun_ElderCommons*INDEX(LM_Elder,G7)*AA7)*AH7</x:f>
        <x:v>12.051869896628322</x:v>
      </x:c>
      <x:c r="AJ7" s="32" t="n">
        <x:f>H7*tun_CommonsCoef*AI7^tun_CommonsExp*INDEX(LM_Commons,G7)</x:f>
        <x:v>41.76705454368625</x:v>
      </x:c>
      <x:c r="AK7" s="32" t="n">
        <x:f>H7*tun_RoleScale*Arch_Roles*(AE7*(INDEX(tun_ElderRolePerSett,G7)*tun_OutElder*INDEX(LM_Elder,G7)+INDEX(tun_ShamanPerSett,G7)*tun_OutShaman)+Z7*(INDEX(tun_PriestShare,G7)*tun_OutPriest+INDEX(tun_ScribeShare,G7)*tun_OutScribe*INDEX(LM_Scribe,G7)+INDEX(tun_ScholarShare,G7)*tun_OutScholar*INDEX(LM_Scholar,G7)+INDEX(tun_ResearcherShare,G7)*tun_OutResearcher*INDEX(LM_Researcher,G7)))</x:f>
        <x:v>0</x:v>
      </x:c>
      <x:c r="AL7" s="32" t="n">
        <x:f>H7*tun_RoleScale*Arch_Roles*AE7*INDEX(tun_MonasteryPerSett,G7)*tun_OutMonastery*INDEX(LM_Monastery,G7)</x:f>
        <x:v>0</x:v>
      </x:c>
      <x:c r="AM7" s="32" t="n">
        <x:f>(AJ7+AK7+AL7)/4*INDEX(LM_All,G7)*INDEX(tun_Boon,G7)*Arch_Insight</x:f>
        <x:v>10.441763635921562</x:v>
      </x:c>
      <x:c r="AN7" s="32" t="n">
        <x:f>H7*(tun_KHPerAdult*Z7+tun_KHOfCommons*AJ7/4*INDEX(LM_All,G7))*tun_KHUsable*Arch_KH</x:f>
        <x:v>2.5582320908007827</x:v>
      </x:c>
      <x:c r="AO7" s="32" t="n">
        <x:f>MIN(AP6+AN7,AM7*tun_KHMaxRatio)</x:f>
        <x:v>2.5582320908007827</x:v>
      </x:c>
      <x:c r="AP7" s="32" t="n">
        <x:f>AP6+AN7-AO7</x:f>
        <x:v>0</x:v>
      </x:c>
      <x:c r="AQ7" s="32" t="n">
        <x:f>AM7+AO7</x:f>
        <x:v>12.999995726722345</x:v>
      </x:c>
      <x:c r="AR7" s="10" t="n">
        <x:f>IF(H7=1,INDEX(tun_Req,G7),0)</x:f>
        <x:v>409.222</x:v>
      </x:c>
      <x:c r="AS7" s="32" t="n">
        <x:f>IF(H7=1,IF(E7=1,AS6-AR6,AS6)+AQ7,0)</x:f>
        <x:v>52.00908691127427</x:v>
      </x:c>
      <x:c r="AT7" s="11" t="n">
        <x:f>IF(AR7&gt;0,MIN(1,AS7/AR7),1)</x:f>
        <x:v>0.12709259744411167</x:v>
      </x:c>
      <x:c r="AU7" s="10" t="n">
        <x:f>AB7/INDEX(tun_RepScale,G7)</x:f>
        <x:v>13.548325620583984</x:v>
      </x:c>
      <x:c r="AV7" s="32" t="n">
        <x:f>AM7*60/tun_SeasonSeconds</x:f>
        <x:v>41.76705454368625</x:v>
      </x:c>
    </x:row>
    <x:row r="8">
      <x:c r="A8" s="8" t="n">
        <x:f>A7+1</x:f>
        <x:v>5</x:v>
      </x:c>
      <x:c r="B8" s="9" t="n">
        <x:f>A8*tun_SeasonSeconds/60</x:f>
        <x:v>1.25</x:v>
      </x:c>
      <x:c r="C8" s="9" t="n">
        <x:f>A8/4</x:f>
        <x:v>1.25</x:v>
      </x:c>
      <x:c r="D8" s="8" t="n">
        <x:f>IF(MOD(A8,4)=0,1,0)</x:f>
        <x:v>0</x:v>
      </x:c>
      <x:c r="E8" s="8" t="n">
        <x:f>IF(AND(F7&lt;=9,AS7&gt;=AR7),1,0)</x:f>
        <x:v>0</x:v>
      </x:c>
      <x:c r="F8" s="8" t="n">
        <x:f>MIN(10,F7+E8)</x:f>
        <x:v>0</x:v>
      </x:c>
      <x:c r="G8" s="8" t="n">
        <x:f>MIN(F8,9)+1</x:f>
        <x:v>1</x:v>
      </x:c>
      <x:c r="H8" s="8" t="n">
        <x:f>IF(F8&lt;=9,1,0)</x:f>
        <x:v>1</x:v>
      </x:c>
      <x:c r="I8" s="9" t="n">
        <x:f>MIN(10,F7+IF(AR7&gt;0,MIN(1,AS7/AR7),1))</x:f>
        <x:v>0.12709259744411167</x:v>
      </x:c>
      <x:c r="J8" s="32" t="n">
        <x:f>INDEX(tun_FoodCap,G8)*Arch_FoodCap*EXP(tun_CapsByProject*SUMPRODUCT((Cap_Point&lt;=I8)*(Cap_Kind="Food")*Cap_Ln))</x:f>
        <x:v>22</x:v>
      </x:c>
      <x:c r="K8" s="32" t="n">
        <x:f>J8*MIN(1,tun_LeanBase*EXP(tun_CapsByProject*SUMPRODUCT((Cap_Point&lt;=I8)*(Cap_Kind="Lean")*Cap_Ln)))</x:f>
        <x:v>16.94</x:v>
      </x:c>
      <x:c r="L8" s="10" t="n">
        <x:f>INDEX(tun_HousingCap,G8)*EXP(tun_CapsByProject*SUMPRODUCT((Cap_Point&lt;=I8)*(Cap_Kind="Housing")*Cap_Ln))</x:f>
        <x:v>40</x:v>
      </x:c>
      <x:c r="M8" s="10" t="n">
        <x:f>INDEX(tun_GroupCap,G8)*tun_CohesionFactor*EXP(tun_CapsByProject*SUMPRODUCT((Cap_Point&lt;=I8)*(Cap_Kind="Group")*Cap_Ln))</x:f>
        <x:v>25</x:v>
      </x:c>
      <x:c r="N8" s="32" t="n">
        <x:f>MIN(J8,L8,M8)</x:f>
        <x:v>22</x:v>
      </x:c>
      <x:c r="O8" s="10" t="n">
        <x:f>AE7*N8</x:f>
        <x:v>22</x:v>
      </x:c>
      <x:c r="P8" s="9" t="n">
        <x:f>MIN(1,(AB7/(AE7*IF(tun_GroupInCrowding=1,N8,MIN(J8,L8))))^tun_CrowdingExp)</x:f>
        <x:v>0.0545478541584008</x:v>
      </x:c>
      <x:c r="Q8" s="9" t="n">
        <x:f>IF(D8=1,INDEX(tun_WinterMult,G8),1)</x:f>
        <x:v>1</x:v>
      </x:c>
      <x:c r="R8" s="9" t="n">
        <x:f>H8*Z7*tun_WomenShare*tun_BaseFertility*INDEX(tun_FertMult,G8)*Arch_Fertility*(1-P8)</x:f>
        <x:v>0.48021750317047646</x:v>
      </x:c>
      <x:c r="S8" s="9" t="n">
        <x:f>H8*Y7*INDEX(tun_MortChild,G8)/4*Q8</x:f>
        <x:v>0.032537571170936384</x:v>
      </x:c>
      <x:c r="T8" s="9" t="n">
        <x:f>H8*Z7*INDEX(tun_MortAdult,G8)*Arch_AdultMort/4*Q8</x:f>
        <x:v>0.02344262991966135</x:v>
      </x:c>
      <x:c r="U8" s="9" t="n">
        <x:f>H8*AA7*INDEX(tun_MortElder,G8)/4*Q8</x:f>
        <x:v>0.028074496992577157</x:v>
      </x:c>
      <x:c r="V8" s="9" t="n">
        <x:f>H8*MAX(0,AB7-O8)*tun_OvercapLoss</x:f>
        <x:v>0</x:v>
      </x:c>
      <x:c r="W8" s="9" t="n">
        <x:f>H8*Y7/(tun_ChildYears*4)</x:f>
        <x:v>0.06455867295820712</x:v>
      </x:c>
      <x:c r="X8" s="9" t="n">
        <x:f>H8*Z7/(tun_AdultYears*4)</x:f>
        <x:v>0.06301782236468105</x:v>
      </x:c>
      <x:c r="Y8" s="32" t="n">
        <x:f>Y7+R8-S8-W8-Y7*V8/AB7</x:f>
        <x:v>3.998406944700931</x:v>
      </x:c>
      <x:c r="Z8" s="32" t="n">
        <x:f>Z7+W8-X8-T8-Z7*V8/AB7</x:f>
        <x:v>7.792308193894315</x:v>
      </x:c>
      <x:c r="AA8" s="32" t="n">
        <x:f>AA7+X8-U8-AA7*V8/AB7</x:f>
        <x:v>2.1537732870760404</x:v>
      </x:c>
      <x:c r="AB8" s="10" t="n">
        <x:f>Y8+Z8+AA8</x:f>
        <x:v>13.944488425671286</x:v>
      </x:c>
      <x:c r="AC8" s="8" t="n">
        <x:f>IF(AND(tun_WinterTrigger=1,D8=1,AB7/AE7&gt;=K8),1,0)</x:f>
        <x:v>0</x:v>
      </x:c>
      <x:c r="AD8" s="8" t="n">
        <x:f>H8*IF(AND(OR(AB7/AE7&gt;=tun_FissionTrigger*N8,AC8=1),AB7/AE7*tun_DaughterShare&gt;=tun_MinDaughter),MAX(1,ROUND(AE7*tun_FissionRate,0)),0)</x:f>
        <x:v>0</x:v>
      </x:c>
      <x:c r="AE8" s="8" t="n">
        <x:f>IF(H8=1,MAX(1,MIN(INDEX(tun_Smax,G8),AE7+AD8)),AE7)</x:f>
        <x:v>1</x:v>
      </x:c>
      <x:c r="AF8" s="8" t="n">
        <x:f>MAX(0,AE8-AE7)</x:f>
        <x:v>0</x:v>
      </x:c>
      <x:c r="AG8" s="9" t="str">
        <x:f>IF(AF8&gt;0,B8,"")</x:f>
      </x:c>
      <x:c r="AH8" s="9" t="n">
        <x:f>IF(F8&gt;=1,1,(1+tun_LowTiesShare*(AE8-1))/AE8)</x:f>
        <x:v>1</x:v>
      </x:c>
      <x:c r="AI8" s="32" t="n">
        <x:f>(Z8+tun_ElderCommons*INDEX(LM_Elder,G8)*AA8)*AH8</x:f>
        <x:v>12.099854768046395</x:v>
      </x:c>
      <x:c r="AJ8" s="32" t="n">
        <x:f>H8*tun_CommonsCoef*AI8^tun_CommonsExp*INDEX(LM_Commons,G8)</x:f>
        <x:v>41.908364631849444</x:v>
      </x:c>
      <x:c r="AK8" s="32" t="n">
        <x:f>H8*tun_RoleScale*Arch_Roles*(AE8*(INDEX(tun_ElderRolePerSett,G8)*tun_OutElder*INDEX(LM_Elder,G8)+INDEX(tun_ShamanPerSett,G8)*tun_OutShaman)+Z8*(INDEX(tun_PriestShare,G8)*tun_OutPriest+INDEX(tun_ScribeShare,G8)*tun_OutScribe*INDEX(LM_Scribe,G8)+INDEX(tun_ScholarShare,G8)*tun_OutScholar*INDEX(LM_Scholar,G8)+INDEX(tun_ResearcherShare,G8)*tun_OutResearcher*INDEX(LM_Researcher,G8)))</x:f>
        <x:v>0</x:v>
      </x:c>
      <x:c r="AL8" s="32" t="n">
        <x:f>H8*tun_RoleScale*Arch_Roles*AE8*INDEX(tun_MonasteryPerSett,G8)*tun_OutMonastery*INDEX(LM_Monastery,G8)</x:f>
        <x:v>0</x:v>
      </x:c>
      <x:c r="AM8" s="32" t="n">
        <x:f>(AJ8+AK8+AL8)/4*INDEX(LM_All,G8)*INDEX(tun_Boon,G8)*Arch_Insight</x:f>
        <x:v>10.477091157962361</x:v>
      </x:c>
      <x:c r="AN8" s="32" t="n">
        <x:f>H8*(tun_KHPerAdult*Z8+tun_KHOfCommons*AJ8/4*INDEX(LM_All,G8))*tun_KHUsable*Arch_KH</x:f>
        <x:v>2.566887333700778</x:v>
      </x:c>
      <x:c r="AO8" s="32" t="n">
        <x:f>MIN(AP7+AN8,AM8*tun_KHMaxRatio)</x:f>
        <x:v>2.566887333700778</x:v>
      </x:c>
      <x:c r="AP8" s="32" t="n">
        <x:f>AP7+AN8-AO8</x:f>
        <x:v>0</x:v>
      </x:c>
      <x:c r="AQ8" s="32" t="n">
        <x:f>AM8+AO8</x:f>
        <x:v>13.04397849166314</x:v>
      </x:c>
      <x:c r="AR8" s="10" t="n">
        <x:f>IF(H8=1,INDEX(tun_Req,G8),0)</x:f>
        <x:v>409.222</x:v>
      </x:c>
      <x:c r="AS8" s="32" t="n">
        <x:f>IF(H8=1,IF(E8=1,AS7-AR7,AS7)+AQ8,0)</x:f>
        <x:v>65.0530654029374</x:v>
      </x:c>
      <x:c r="AT8" s="11" t="n">
        <x:f>IF(AR8&gt;0,MIN(1,AS8/AR8),1)</x:f>
        <x:v>0.158967664013512</x:v>
      </x:c>
      <x:c r="AU8" s="10" t="n">
        <x:f>AB8/INDEX(tun_RepScale,G8)</x:f>
        <x:v>13.944488425671286</x:v>
      </x:c>
      <x:c r="AV8" s="32" t="n">
        <x:f>AM8*60/tun_SeasonSeconds</x:f>
        <x:v>41.908364631849444</x:v>
      </x:c>
    </x:row>
    <x:row r="9">
      <x:c r="A9" s="8" t="n">
        <x:f>A8+1</x:f>
        <x:v>6</x:v>
      </x:c>
      <x:c r="B9" s="9" t="n">
        <x:f>A9*tun_SeasonSeconds/60</x:f>
        <x:v>1.5</x:v>
      </x:c>
      <x:c r="C9" s="9" t="n">
        <x:f>A9/4</x:f>
        <x:v>1.5</x:v>
      </x:c>
      <x:c r="D9" s="8" t="n">
        <x:f>IF(MOD(A9,4)=0,1,0)</x:f>
        <x:v>0</x:v>
      </x:c>
      <x:c r="E9" s="8" t="n">
        <x:f>IF(AND(F8&lt;=9,AS8&gt;=AR8),1,0)</x:f>
        <x:v>0</x:v>
      </x:c>
      <x:c r="F9" s="8" t="n">
        <x:f>MIN(10,F8+E9)</x:f>
        <x:v>0</x:v>
      </x:c>
      <x:c r="G9" s="8" t="n">
        <x:f>MIN(F9,9)+1</x:f>
        <x:v>1</x:v>
      </x:c>
      <x:c r="H9" s="8" t="n">
        <x:f>IF(F9&lt;=9,1,0)</x:f>
        <x:v>1</x:v>
      </x:c>
      <x:c r="I9" s="9" t="n">
        <x:f>MIN(10,F8+IF(AR8&gt;0,MIN(1,AS8/AR8),1))</x:f>
        <x:v>0.158967664013512</x:v>
      </x:c>
      <x:c r="J9" s="32" t="n">
        <x:f>INDEX(tun_FoodCap,G9)*Arch_FoodCap*EXP(tun_CapsByProject*SUMPRODUCT((Cap_Point&lt;=I9)*(Cap_Kind="Food")*Cap_Ln))</x:f>
        <x:v>22</x:v>
      </x:c>
      <x:c r="K9" s="32" t="n">
        <x:f>J9*MIN(1,tun_LeanBase*EXP(tun_CapsByProject*SUMPRODUCT((Cap_Point&lt;=I9)*(Cap_Kind="Lean")*Cap_Ln)))</x:f>
        <x:v>16.94</x:v>
      </x:c>
      <x:c r="L9" s="10" t="n">
        <x:f>INDEX(tun_HousingCap,G9)*EXP(tun_CapsByProject*SUMPRODUCT((Cap_Point&lt;=I9)*(Cap_Kind="Housing")*Cap_Ln))</x:f>
        <x:v>40</x:v>
      </x:c>
      <x:c r="M9" s="10" t="n">
        <x:f>INDEX(tun_GroupCap,G9)*tun_CohesionFactor*EXP(tun_CapsByProject*SUMPRODUCT((Cap_Point&lt;=I9)*(Cap_Kind="Group")*Cap_Ln))</x:f>
        <x:v>25</x:v>
      </x:c>
      <x:c r="N9" s="32" t="n">
        <x:f>MIN(J9,L9,M9)</x:f>
        <x:v>22</x:v>
      </x:c>
      <x:c r="O9" s="10" t="n">
        <x:f>AE8*N9</x:f>
        <x:v>22</x:v>
      </x:c>
      <x:c r="P9" s="9" t="n">
        <x:f>MIN(1,(AB8/(AE8*IF(tun_GroupInCrowding=1,N9,MIN(J9,L9))))^tun_CrowdingExp)</x:f>
        <x:v>0.06484543858852794</x:v>
      </x:c>
      <x:c r="Q9" s="9" t="n">
        <x:f>IF(D9=1,INDEX(tun_WinterMult,G9),1)</x:f>
        <x:v>1</x:v>
      </x:c>
      <x:c r="R9" s="9" t="n">
        <x:f>H9*Z8*tun_WomenShare*tun_BaseFertility*INDEX(tun_FertMult,G9)*Arch_Fertility*(1-P9)</x:f>
        <x:v>0.4736558158438768</x:v>
      </x:c>
      <x:c r="S9" s="9" t="n">
        <x:f>H9*Y8*INDEX(tun_MortChild,G9)/4*Q9</x:f>
        <x:v>0.03598566250230838</x:v>
      </x:c>
      <x:c r="T9" s="9" t="n">
        <x:f>H9*Z8*INDEX(tun_MortAdult,G9)*Arch_AdultMort/4*Q9</x:f>
        <x:v>0.023376924581682945</x:v>
      </x:c>
      <x:c r="U9" s="9" t="n">
        <x:f>H9*AA8*INDEX(tun_MortElder,G9)/4*Q9</x:f>
        <x:v>0.028537496053757536</x:v>
      </x:c>
      <x:c r="V9" s="9" t="n">
        <x:f>H9*MAX(0,AB8-O9)*tun_OvercapLoss</x:f>
        <x:v>0</x:v>
      </x:c>
      <x:c r="W9" s="9" t="n">
        <x:f>H9*Y8/(tun_ChildYears*4)</x:f>
        <x:v>0.07140012401251662</x:v>
      </x:c>
      <x:c r="X9" s="9" t="n">
        <x:f>H9*Z8/(tun_AdultYears*4)</x:f>
        <x:v>0.06284119511205093</x:v>
      </x:c>
      <x:c r="Y9" s="32" t="n">
        <x:f>Y8+R9-S9-W9-Y8*V9/AB8</x:f>
        <x:v>4.364676974029983</x:v>
      </x:c>
      <x:c r="Z9" s="32" t="n">
        <x:f>Z8+W9-X9-T9-Z8*V9/AB8</x:f>
        <x:v>7.777490198213098</x:v>
      </x:c>
      <x:c r="AA9" s="32" t="n">
        <x:f>AA8+X9-U9-AA8*V9/AB8</x:f>
        <x:v>2.188076986134334</x:v>
      </x:c>
      <x:c r="AB9" s="10" t="n">
        <x:f>Y9+Z9+AA9</x:f>
        <x:v>14.330244158377415</x:v>
      </x:c>
      <x:c r="AC9" s="8" t="n">
        <x:f>IF(AND(tun_WinterTrigger=1,D9=1,AB8/AE8&gt;=K9),1,0)</x:f>
        <x:v>0</x:v>
      </x:c>
      <x:c r="AD9" s="8" t="n">
        <x:f>H9*IF(AND(OR(AB8/AE8&gt;=tun_FissionTrigger*N9,AC9=1),AB8/AE8*tun_DaughterShare&gt;=tun_MinDaughter),MAX(1,ROUND(AE8*tun_FissionRate,0)),0)</x:f>
        <x:v>0</x:v>
      </x:c>
      <x:c r="AE9" s="8" t="n">
        <x:f>IF(H9=1,MAX(1,MIN(INDEX(tun_Smax,G9),AE8+AD9)),AE8)</x:f>
        <x:v>1</x:v>
      </x:c>
      <x:c r="AF9" s="8" t="n">
        <x:f>MAX(0,AE9-AE8)</x:f>
        <x:v>0</x:v>
      </x:c>
      <x:c r="AG9" s="9" t="str">
        <x:f>IF(AF9&gt;0,B9,"")</x:f>
      </x:c>
      <x:c r="AH9" s="9" t="n">
        <x:f>IF(F9&gt;=1,1,(1+tun_LowTiesShare*(AE9-1))/AE9)</x:f>
        <x:v>1</x:v>
      </x:c>
      <x:c r="AI9" s="32" t="n">
        <x:f>(Z9+tun_ElderCommons*INDEX(LM_Elder,G9)*AA9)*AH9</x:f>
        <x:v>12.153644170481765</x:v>
      </x:c>
      <x:c r="AJ9" s="32" t="n">
        <x:f>H9*tun_CommonsCoef*AI9^tun_CommonsExp*INDEX(LM_Commons,G9)</x:f>
        <x:v>42.06666853604583</x:v>
      </x:c>
      <x:c r="AK9" s="32" t="n">
        <x:f>H9*tun_RoleScale*Arch_Roles*(AE9*(INDEX(tun_ElderRolePerSett,G9)*tun_OutElder*INDEX(LM_Elder,G9)+INDEX(tun_ShamanPerSett,G9)*tun_OutShaman)+Z9*(INDEX(tun_PriestShare,G9)*tun_OutPriest+INDEX(tun_ScribeShare,G9)*tun_OutScribe*INDEX(LM_Scribe,G9)+INDEX(tun_ScholarShare,G9)*tun_OutScholar*INDEX(LM_Scholar,G9)+INDEX(tun_ResearcherShare,G9)*tun_OutResearcher*INDEX(LM_Researcher,G9)))</x:f>
        <x:v>0</x:v>
      </x:c>
      <x:c r="AL9" s="32" t="n">
        <x:f>H9*tun_RoleScale*Arch_Roles*AE9*INDEX(tun_MonasteryPerSett,G9)*tun_OutMonastery*INDEX(LM_Monastery,G9)</x:f>
        <x:v>0</x:v>
      </x:c>
      <x:c r="AM9" s="32" t="n">
        <x:f>(AJ9+AK9+AL9)/4*INDEX(LM_All,G9)*INDEX(tun_Boon,G9)*Arch_Insight</x:f>
        <x:v>10.516667134011458</x:v>
      </x:c>
      <x:c r="AN9" s="32" t="n">
        <x:f>H9*(tun_KHPerAdult*Z9+tun_KHOfCommons*AJ9/4*INDEX(LM_All,G9))*tun_KHUsable*Arch_KH</x:f>
        <x:v>2.576583447832807</x:v>
      </x:c>
      <x:c r="AO9" s="32" t="n">
        <x:f>MIN(AP8+AN9,AM9*tun_KHMaxRatio)</x:f>
        <x:v>2.576583447832807</x:v>
      </x:c>
      <x:c r="AP9" s="32" t="n">
        <x:f>AP8+AN9-AO9</x:f>
        <x:v>0</x:v>
      </x:c>
      <x:c r="AQ9" s="32" t="n">
        <x:f>AM9+AO9</x:f>
        <x:v>13.093250581844265</x:v>
      </x:c>
      <x:c r="AR9" s="10" t="n">
        <x:f>IF(H9=1,INDEX(tun_Req,G9),0)</x:f>
        <x:v>409.222</x:v>
      </x:c>
      <x:c r="AS9" s="32" t="n">
        <x:f>IF(H9=1,IF(E9=1,AS8-AR8,AS8)+AQ9,0)</x:f>
        <x:v>78.14631598478167</x:v>
      </x:c>
      <x:c r="AT9" s="11" t="n">
        <x:f>IF(AR9&gt;0,MIN(1,AS9/AR9),1)</x:f>
        <x:v>0.19096313488713135</x:v>
      </x:c>
      <x:c r="AU9" s="10" t="n">
        <x:f>AB9/INDEX(tun_RepScale,G9)</x:f>
        <x:v>14.330244158377415</x:v>
      </x:c>
      <x:c r="AV9" s="32" t="n">
        <x:f>AM9*60/tun_SeasonSeconds</x:f>
        <x:v>42.06666853604583</x:v>
      </x:c>
    </x:row>
    <x:row r="10">
      <x:c r="A10" s="8" t="n">
        <x:f>A9+1</x:f>
        <x:v>7</x:v>
      </x:c>
      <x:c r="B10" s="9" t="n">
        <x:f>A10*tun_SeasonSeconds/60</x:f>
        <x:v>1.75</x:v>
      </x:c>
      <x:c r="C10" s="9" t="n">
        <x:f>A10/4</x:f>
        <x:v>1.75</x:v>
      </x:c>
      <x:c r="D10" s="8" t="n">
        <x:f>IF(MOD(A10,4)=0,1,0)</x:f>
        <x:v>0</x:v>
      </x:c>
      <x:c r="E10" s="8" t="n">
        <x:f>IF(AND(F9&lt;=9,AS9&gt;=AR9),1,0)</x:f>
        <x:v>0</x:v>
      </x:c>
      <x:c r="F10" s="8" t="n">
        <x:f>MIN(10,F9+E10)</x:f>
        <x:v>0</x:v>
      </x:c>
      <x:c r="G10" s="8" t="n">
        <x:f>MIN(F10,9)+1</x:f>
        <x:v>1</x:v>
      </x:c>
      <x:c r="H10" s="8" t="n">
        <x:f>IF(F10&lt;=9,1,0)</x:f>
        <x:v>1</x:v>
      </x:c>
      <x:c r="I10" s="9" t="n">
        <x:f>MIN(10,F9+IF(AR9&gt;0,MIN(1,AS9/AR9),1))</x:f>
        <x:v>0.19096313488713135</x:v>
      </x:c>
      <x:c r="J10" s="32" t="n">
        <x:f>INDEX(tun_FoodCap,G10)*Arch_FoodCap*EXP(tun_CapsByProject*SUMPRODUCT((Cap_Point&lt;=I10)*(Cap_Kind="Food")*Cap_Ln))</x:f>
        <x:v>22</x:v>
      </x:c>
      <x:c r="K10" s="32" t="n">
        <x:f>J10*MIN(1,tun_LeanBase*EXP(tun_CapsByProject*SUMPRODUCT((Cap_Point&lt;=I10)*(Cap_Kind="Lean")*Cap_Ln)))</x:f>
        <x:v>16.94</x:v>
      </x:c>
      <x:c r="L10" s="10" t="n">
        <x:f>INDEX(tun_HousingCap,G10)*EXP(tun_CapsByProject*SUMPRODUCT((Cap_Point&lt;=I10)*(Cap_Kind="Housing")*Cap_Ln))</x:f>
        <x:v>40</x:v>
      </x:c>
      <x:c r="M10" s="10" t="n">
        <x:f>INDEX(tun_GroupCap,G10)*tun_CohesionFactor*EXP(tun_CapsByProject*SUMPRODUCT((Cap_Point&lt;=I10)*(Cap_Kind="Group")*Cap_Ln))</x:f>
        <x:v>25</x:v>
      </x:c>
      <x:c r="N10" s="32" t="n">
        <x:f>MIN(J10,L10,M10)</x:f>
        <x:v>22</x:v>
      </x:c>
      <x:c r="O10" s="10" t="n">
        <x:f>AE9*N10</x:f>
        <x:v>22</x:v>
      </x:c>
      <x:c r="P10" s="9" t="n">
        <x:f>MIN(1,(AB9/(AE9*IF(tun_GroupInCrowding=1,N10,MIN(J10,L10))))^tun_CrowdingExp)</x:f>
        <x:v>0.07638102020005201</x:v>
      </x:c>
      <x:c r="Q10" s="9" t="n">
        <x:f>IF(D10=1,INDEX(tun_WinterMult,G10),1)</x:f>
        <x:v>1</x:v>
      </x:c>
      <x:c r="R10" s="9" t="n">
        <x:f>H10*Z9*tun_WomenShare*tun_BaseFertility*INDEX(tun_FertMult,G10)*Arch_Fertility*(1-P10)</x:f>
        <x:v>0.466923441548049</x:v>
      </x:c>
      <x:c r="S10" s="9" t="n">
        <x:f>H10*Y9*INDEX(tun_MortChild,G10)/4*Q10</x:f>
        <x:v>0.039282092766269844</x:v>
      </x:c>
      <x:c r="T10" s="9" t="n">
        <x:f>H10*Z9*INDEX(tun_MortAdult,G10)*Arch_AdultMort/4*Q10</x:f>
        <x:v>0.023332470594639294</x:v>
      </x:c>
      <x:c r="U10" s="9" t="n">
        <x:f>H10*AA9*INDEX(tun_MortElder,G10)/4*Q10</x:f>
        <x:v>0.028992020066279923</x:v>
      </x:c>
      <x:c r="V10" s="9" t="n">
        <x:f>H10*MAX(0,AB9-O10)*tun_OvercapLoss</x:f>
        <x:v>0</x:v>
      </x:c>
      <x:c r="W10" s="9" t="n">
        <x:f>H10*Y9/(tun_ChildYears*4)</x:f>
        <x:v>0.0779406602505354</x:v>
      </x:c>
      <x:c r="X10" s="9" t="n">
        <x:f>H10*Z9/(tun_AdultYears*4)</x:f>
        <x:v>0.06272169514687982</x:v>
      </x:c>
      <x:c r="Y10" s="32" t="n">
        <x:f>Y9+R10-S10-W10-Y9*V10/AB9</x:f>
        <x:v>4.714377662561227</x:v>
      </x:c>
      <x:c r="Z10" s="32" t="n">
        <x:f>Z9+W10-X10-T10-Z9*V10/AB9</x:f>
        <x:v>7.769376692722114</x:v>
      </x:c>
      <x:c r="AA10" s="32" t="n">
        <x:f>AA9+X10-U10-AA9*V10/AB9</x:f>
        <x:v>2.221806661214934</x:v>
      </x:c>
      <x:c r="AB10" s="10" t="n">
        <x:f>Y10+Z10+AA10</x:f>
        <x:v>14.705561016498276</x:v>
      </x:c>
      <x:c r="AC10" s="8" t="n">
        <x:f>IF(AND(tun_WinterTrigger=1,D10=1,AB9/AE9&gt;=K10),1,0)</x:f>
        <x:v>0</x:v>
      </x:c>
      <x:c r="AD10" s="8" t="n">
        <x:f>H10*IF(AND(OR(AB9/AE9&gt;=tun_FissionTrigger*N10,AC10=1),AB9/AE9*tun_DaughterShare&gt;=tun_MinDaughter),MAX(1,ROUND(AE9*tun_FissionRate,0)),0)</x:f>
        <x:v>0</x:v>
      </x:c>
      <x:c r="AE10" s="8" t="n">
        <x:f>IF(H10=1,MAX(1,MIN(INDEX(tun_Smax,G10),AE9+AD10)),AE9)</x:f>
        <x:v>1</x:v>
      </x:c>
      <x:c r="AF10" s="8" t="n">
        <x:f>MAX(0,AE10-AE9)</x:f>
        <x:v>0</x:v>
      </x:c>
      <x:c r="AG10" s="9" t="str">
        <x:f>IF(AF10&gt;0,B10,"")</x:f>
      </x:c>
      <x:c r="AH10" s="9" t="n">
        <x:f>IF(F10&gt;=1,1,(1+tun_LowTiesShare*(AE10-1))/AE10)</x:f>
        <x:v>1</x:v>
      </x:c>
      <x:c r="AI10" s="32" t="n">
        <x:f>(Z10+tun_ElderCommons*INDEX(LM_Elder,G10)*AA10)*AH10</x:f>
        <x:v>12.21299001515198</x:v>
      </x:c>
      <x:c r="AJ10" s="32" t="n">
        <x:f>H10*tun_CommonsCoef*AI10^tun_CommonsExp*INDEX(LM_Commons,G10)</x:f>
        <x:v>42.24120334828269</x:v>
      </x:c>
      <x:c r="AK10" s="32" t="n">
        <x:f>H10*tun_RoleScale*Arch_Roles*(AE10*(INDEX(tun_ElderRolePerSett,G10)*tun_OutElder*INDEX(LM_Elder,G10)+INDEX(tun_ShamanPerSett,G10)*tun_OutShaman)+Z10*(INDEX(tun_PriestShare,G10)*tun_OutPriest+INDEX(tun_ScribeShare,G10)*tun_OutScribe*INDEX(LM_Scribe,G10)+INDEX(tun_ScholarShare,G10)*tun_OutScholar*INDEX(LM_Scholar,G10)+INDEX(tun_ResearcherShare,G10)*tun_OutResearcher*INDEX(LM_Researcher,G10)))</x:f>
        <x:v>0</x:v>
      </x:c>
      <x:c r="AL10" s="32" t="n">
        <x:f>H10*tun_RoleScale*Arch_Roles*AE10*INDEX(tun_MonasteryPerSett,G10)*tun_OutMonastery*INDEX(LM_Monastery,G10)</x:f>
        <x:v>0</x:v>
      </x:c>
      <x:c r="AM10" s="32" t="n">
        <x:f>(AJ10+AK10+AL10)/4*INDEX(LM_All,G10)*INDEX(tun_Boon,G10)*Arch_Insight</x:f>
        <x:v>10.560300837070672</x:v>
      </x:c>
      <x:c r="AN10" s="32" t="n">
        <x:f>H10*(tun_KHPerAdult*Z10+tun_KHOfCommons*AJ10/4*INDEX(LM_All,G10))*tun_KHUsable*Arch_KH</x:f>
        <x:v>2.5872737050823145</x:v>
      </x:c>
      <x:c r="AO10" s="32" t="n">
        <x:f>MIN(AP9+AN10,AM10*tun_KHMaxRatio)</x:f>
        <x:v>2.5872737050823145</x:v>
      </x:c>
      <x:c r="AP10" s="32" t="n">
        <x:f>AP9+AN10-AO10</x:f>
        <x:v>0</x:v>
      </x:c>
      <x:c r="AQ10" s="32" t="n">
        <x:f>AM10+AO10</x:f>
        <x:v>13.147574542152986</x:v>
      </x:c>
      <x:c r="AR10" s="10" t="n">
        <x:f>IF(H10=1,INDEX(tun_Req,G10),0)</x:f>
        <x:v>409.222</x:v>
      </x:c>
      <x:c r="AS10" s="32" t="n">
        <x:f>IF(H10=1,IF(E10=1,AS9-AR9,AS9)+AQ10,0)</x:f>
        <x:v>91.29389052693465</x:v>
      </x:c>
      <x:c r="AT10" s="11" t="n">
        <x:f>IF(AR10&gt;0,MIN(1,AS10/AR10),1)</x:f>
        <x:v>0.22309135512493133</x:v>
      </x:c>
      <x:c r="AU10" s="10" t="n">
        <x:f>AB10/INDEX(tun_RepScale,G10)</x:f>
        <x:v>14.705561016498276</x:v>
      </x:c>
      <x:c r="AV10" s="32" t="n">
        <x:f>AM10*60/tun_SeasonSeconds</x:f>
        <x:v>42.24120334828269</x:v>
      </x:c>
    </x:row>
    <x:row r="11">
      <x:c r="A11" s="8" t="n">
        <x:f>A10+1</x:f>
        <x:v>8</x:v>
      </x:c>
      <x:c r="B11" s="9" t="n">
        <x:f>A11*tun_SeasonSeconds/60</x:f>
        <x:v>2</x:v>
      </x:c>
      <x:c r="C11" s="9" t="n">
        <x:f>A11/4</x:f>
        <x:v>2</x:v>
      </x:c>
      <x:c r="D11" s="8" t="n">
        <x:f>IF(MOD(A11,4)=0,1,0)</x:f>
        <x:v>1</x:v>
      </x:c>
      <x:c r="E11" s="8" t="n">
        <x:f>IF(AND(F10&lt;=9,AS10&gt;=AR10),1,0)</x:f>
        <x:v>0</x:v>
      </x:c>
      <x:c r="F11" s="8" t="n">
        <x:f>MIN(10,F10+E11)</x:f>
        <x:v>0</x:v>
      </x:c>
      <x:c r="G11" s="8" t="n">
        <x:f>MIN(F11,9)+1</x:f>
        <x:v>1</x:v>
      </x:c>
      <x:c r="H11" s="8" t="n">
        <x:f>IF(F11&lt;=9,1,0)</x:f>
        <x:v>1</x:v>
      </x:c>
      <x:c r="I11" s="9" t="n">
        <x:f>MIN(10,F10+IF(AR10&gt;0,MIN(1,AS10/AR10),1))</x:f>
        <x:v>0.22309135512493133</x:v>
      </x:c>
      <x:c r="J11" s="32" t="n">
        <x:f>INDEX(tun_FoodCap,G11)*Arch_FoodCap*EXP(tun_CapsByProject*SUMPRODUCT((Cap_Point&lt;=I11)*(Cap_Kind="Food")*Cap_Ln))</x:f>
        <x:v>22</x:v>
      </x:c>
      <x:c r="K11" s="32" t="n">
        <x:f>J11*MIN(1,tun_LeanBase*EXP(tun_CapsByProject*SUMPRODUCT((Cap_Point&lt;=I11)*(Cap_Kind="Lean")*Cap_Ln)))</x:f>
        <x:v>16.94</x:v>
      </x:c>
      <x:c r="L11" s="10" t="n">
        <x:f>INDEX(tun_HousingCap,G11)*EXP(tun_CapsByProject*SUMPRODUCT((Cap_Point&lt;=I11)*(Cap_Kind="Housing")*Cap_Ln))</x:f>
        <x:v>40</x:v>
      </x:c>
      <x:c r="M11" s="10" t="n">
        <x:f>INDEX(tun_GroupCap,G11)*tun_CohesionFactor*EXP(tun_CapsByProject*SUMPRODUCT((Cap_Point&lt;=I11)*(Cap_Kind="Group")*Cap_Ln))</x:f>
        <x:v>25</x:v>
      </x:c>
      <x:c r="N11" s="32" t="n">
        <x:f>MIN(J11,L11,M11)</x:f>
        <x:v>22</x:v>
      </x:c>
      <x:c r="O11" s="10" t="n">
        <x:f>AE10*N11</x:f>
        <x:v>22</x:v>
      </x:c>
      <x:c r="P11" s="9" t="n">
        <x:f>MIN(1,(AB10/(AE10*IF(tun_GroupInCrowding=1,N11,MIN(J11,L11))))^tun_CrowdingExp)</x:f>
        <x:v>0.08919766793050239</x:v>
      </x:c>
      <x:c r="Q11" s="9" t="n">
        <x:f>IF(D11=1,INDEX(tun_WinterMult,G11),1)</x:f>
        <x:v>2</x:v>
      </x:c>
      <x:c r="R11" s="9" t="n">
        <x:f>H11*Z10*tun_WomenShare*tun_BaseFertility*INDEX(tun_FertMult,G11)*Arch_Fertility*(1-P11)</x:f>
        <x:v>0.4599638166797506</x:v>
      </x:c>
      <x:c r="S11" s="9" t="n">
        <x:f>H11*Y10*INDEX(tun_MortChild,G11)/4*Q11</x:f>
        <x:v>0.08485879792610208</x:v>
      </x:c>
      <x:c r="T11" s="9" t="n">
        <x:f>H11*Z10*INDEX(tun_MortAdult,G11)*Arch_AdultMort/4*Q11</x:f>
        <x:v>0.04661626015633268</x:v>
      </x:c>
      <x:c r="U11" s="9" t="n">
        <x:f>H11*AA10*INDEX(tun_MortElder,G11)/4*Q11</x:f>
        <x:v>0.05887787652219575</x:v>
      </x:c>
      <x:c r="V11" s="9" t="n">
        <x:f>H11*MAX(0,AB10-O11)*tun_OvercapLoss</x:f>
        <x:v>0</x:v>
      </x:c>
      <x:c r="W11" s="9" t="n">
        <x:f>H11*Y10/(tun_ChildYears*4)</x:f>
        <x:v>0.08418531540287906</x:v>
      </x:c>
      <x:c r="X11" s="9" t="n">
        <x:f>H11*Z10/(tun_AdultYears*4)</x:f>
        <x:v>0.06265626365098478</x:v>
      </x:c>
      <x:c r="Y11" s="32" t="n">
        <x:f>Y10+R11-S11-W11-Y10*V11/AB10</x:f>
        <x:v>5.005297365911997</x:v>
      </x:c>
      <x:c r="Z11" s="32" t="n">
        <x:f>Z10+W11-X11-T11-Z10*V11/AB10</x:f>
        <x:v>7.744289484317675</x:v>
      </x:c>
      <x:c r="AA11" s="32" t="n">
        <x:f>AA10+X11-U11-AA10*V11/AB10</x:f>
        <x:v>2.225585048343723</x:v>
      </x:c>
      <x:c r="AB11" s="10" t="n">
        <x:f>Y11+Z11+AA11</x:f>
        <x:v>14.975171898573395</x:v>
      </x:c>
      <x:c r="AC11" s="8" t="n">
        <x:f>IF(AND(tun_WinterTrigger=1,D11=1,AB10/AE10&gt;=K11),1,0)</x:f>
        <x:v>0</x:v>
      </x:c>
      <x:c r="AD11" s="8" t="n">
        <x:f>H11*IF(AND(OR(AB10/AE10&gt;=tun_FissionTrigger*N11,AC11=1),AB10/AE10*tun_DaughterShare&gt;=tun_MinDaughter),MAX(1,ROUND(AE10*tun_FissionRate,0)),0)</x:f>
        <x:v>0</x:v>
      </x:c>
      <x:c r="AE11" s="8" t="n">
        <x:f>IF(H11=1,MAX(1,MIN(INDEX(tun_Smax,G11),AE10+AD11)),AE10)</x:f>
        <x:v>1</x:v>
      </x:c>
      <x:c r="AF11" s="8" t="n">
        <x:f>MAX(0,AE11-AE10)</x:f>
        <x:v>0</x:v>
      </x:c>
      <x:c r="AG11" s="9" t="str">
        <x:f>IF(AF11&gt;0,B11,"")</x:f>
      </x:c>
      <x:c r="AH11" s="9" t="n">
        <x:f>IF(F11&gt;=1,1,(1+tun_LowTiesShare*(AE11-1))/AE11)</x:f>
        <x:v>1</x:v>
      </x:c>
      <x:c r="AI11" s="32" t="n">
        <x:f>(Z11+tun_ElderCommons*INDEX(LM_Elder,G11)*AA11)*AH11</x:f>
        <x:v>12.195459581005121</x:v>
      </x:c>
      <x:c r="AJ11" s="32" t="n">
        <x:f>H11*tun_CommonsCoef*AI11^tun_CommonsExp*INDEX(LM_Commons,G11)</x:f>
        <x:v>42.189659996812075</x:v>
      </x:c>
      <x:c r="AK11" s="32" t="n">
        <x:f>H11*tun_RoleScale*Arch_Roles*(AE11*(INDEX(tun_ElderRolePerSett,G11)*tun_OutElder*INDEX(LM_Elder,G11)+INDEX(tun_ShamanPerSett,G11)*tun_OutShaman)+Z11*(INDEX(tun_PriestShare,G11)*tun_OutPriest+INDEX(tun_ScribeShare,G11)*tun_OutScribe*INDEX(LM_Scribe,G11)+INDEX(tun_ScholarShare,G11)*tun_OutScholar*INDEX(LM_Scholar,G11)+INDEX(tun_ResearcherShare,G11)*tun_OutResearcher*INDEX(LM_Researcher,G11)))</x:f>
        <x:v>0</x:v>
      </x:c>
      <x:c r="AL11" s="32" t="n">
        <x:f>H11*tun_RoleScale*Arch_Roles*AE11*INDEX(tun_MonasteryPerSett,G11)*tun_OutMonastery*INDEX(LM_Monastery,G11)</x:f>
        <x:v>0</x:v>
      </x:c>
      <x:c r="AM11" s="32" t="n">
        <x:f>(AJ11+AK11+AL11)/4*INDEX(LM_All,G11)*INDEX(tun_Boon,G11)*Arch_Insight</x:f>
        <x:v>10.547414999203019</x:v>
      </x:c>
      <x:c r="AN11" s="32" t="n">
        <x:f>H11*(tun_KHPerAdult*Z11+tun_KHOfCommons*AJ11/4*INDEX(LM_All,G11))*tun_KHUsable*Arch_KH</x:f>
        <x:v>2.584116674804739</x:v>
      </x:c>
      <x:c r="AO11" s="32" t="n">
        <x:f>MIN(AP10+AN11,AM11*tun_KHMaxRatio)</x:f>
        <x:v>2.584116674804739</x:v>
      </x:c>
      <x:c r="AP11" s="32" t="n">
        <x:f>AP10+AN11-AO11</x:f>
        <x:v>0</x:v>
      </x:c>
      <x:c r="AQ11" s="32" t="n">
        <x:f>AM11+AO11</x:f>
        <x:v>13.131531674007757</x:v>
      </x:c>
      <x:c r="AR11" s="10" t="n">
        <x:f>IF(H11=1,INDEX(tun_Req,G11),0)</x:f>
        <x:v>409.222</x:v>
      </x:c>
      <x:c r="AS11" s="32" t="n">
        <x:f>IF(H11=1,IF(E11=1,AS10-AR10,AS10)+AQ11,0)</x:f>
        <x:v>104.4254222009424</x:v>
      </x:c>
      <x:c r="AT11" s="11" t="n">
        <x:f>IF(AR11&gt;0,MIN(1,AS11/AR11),1)</x:f>
        <x:v>0.25518037202531246</x:v>
      </x:c>
      <x:c r="AU11" s="10" t="n">
        <x:f>AB11/INDEX(tun_RepScale,G11)</x:f>
        <x:v>14.975171898573395</x:v>
      </x:c>
      <x:c r="AV11" s="32" t="n">
        <x:f>AM11*60/tun_SeasonSeconds</x:f>
        <x:v>42.189659996812075</x:v>
      </x:c>
    </x:row>
    <x:row r="12">
      <x:c r="A12" s="8" t="n">
        <x:f>A11+1</x:f>
        <x:v>9</x:v>
      </x:c>
      <x:c r="B12" s="9" t="n">
        <x:f>A12*tun_SeasonSeconds/60</x:f>
        <x:v>2.25</x:v>
      </x:c>
      <x:c r="C12" s="9" t="n">
        <x:f>A12/4</x:f>
        <x:v>2.25</x:v>
      </x:c>
      <x:c r="D12" s="8" t="n">
        <x:f>IF(MOD(A12,4)=0,1,0)</x:f>
        <x:v>0</x:v>
      </x:c>
      <x:c r="E12" s="8" t="n">
        <x:f>IF(AND(F11&lt;=9,AS11&gt;=AR11),1,0)</x:f>
        <x:v>0</x:v>
      </x:c>
      <x:c r="F12" s="8" t="n">
        <x:f>MIN(10,F11+E12)</x:f>
        <x:v>0</x:v>
      </x:c>
      <x:c r="G12" s="8" t="n">
        <x:f>MIN(F12,9)+1</x:f>
        <x:v>1</x:v>
      </x:c>
      <x:c r="H12" s="8" t="n">
        <x:f>IF(F12&lt;=9,1,0)</x:f>
        <x:v>1</x:v>
      </x:c>
      <x:c r="I12" s="9" t="n">
        <x:f>MIN(10,F11+IF(AR11&gt;0,MIN(1,AS11/AR11),1))</x:f>
        <x:v>0.25518037202531246</x:v>
      </x:c>
      <x:c r="J12" s="32" t="n">
        <x:f>INDEX(tun_FoodCap,G12)*Arch_FoodCap*EXP(tun_CapsByProject*SUMPRODUCT((Cap_Point&lt;=I12)*(Cap_Kind="Food")*Cap_Ln))</x:f>
        <x:v>24.640000000000004</x:v>
      </x:c>
      <x:c r="K12" s="32" t="n">
        <x:f>J12*MIN(1,tun_LeanBase*EXP(tun_CapsByProject*SUMPRODUCT((Cap_Point&lt;=I12)*(Cap_Kind="Lean")*Cap_Ln)))</x:f>
        <x:v>18.972800000000003</x:v>
      </x:c>
      <x:c r="L12" s="10" t="n">
        <x:f>INDEX(tun_HousingCap,G12)*EXP(tun_CapsByProject*SUMPRODUCT((Cap_Point&lt;=I12)*(Cap_Kind="Housing")*Cap_Ln))</x:f>
        <x:v>40</x:v>
      </x:c>
      <x:c r="M12" s="10" t="n">
        <x:f>INDEX(tun_GroupCap,G12)*tun_CohesionFactor*EXP(tun_CapsByProject*SUMPRODUCT((Cap_Point&lt;=I12)*(Cap_Kind="Group")*Cap_Ln))</x:f>
        <x:v>25</x:v>
      </x:c>
      <x:c r="N12" s="32" t="n">
        <x:f>MIN(J12,L12,M12)</x:f>
        <x:v>24.640000000000004</x:v>
      </x:c>
      <x:c r="O12" s="10" t="n">
        <x:f>AE11*N12</x:f>
        <x:v>24.640000000000004</x:v>
      </x:c>
      <x:c r="P12" s="9" t="n">
        <x:f>MIN(1,(AB11/(AE11*IF(tun_GroupInCrowding=1,N12,MIN(J12,L12))))^tun_CrowdingExp)</x:f>
        <x:v>0.050394910348225484</x:v>
      </x:c>
      <x:c r="Q12" s="9" t="n">
        <x:f>IF(D12=1,INDEX(tun_WinterMult,G12),1)</x:f>
        <x:v>1</x:v>
      </x:c>
      <x:c r="R12" s="9" t="n">
        <x:f>H12*Z11*tun_WomenShare*tun_BaseFertility*INDEX(tun_FertMult,G12)*Arch_Fertility*(1-P12)</x:f>
        <x:v>0.4780110861529107</x:v>
      </x:c>
      <x:c r="S12" s="9" t="n">
        <x:f>H12*Y11*INDEX(tun_MortChild,G12)/4*Q12</x:f>
        <x:v>0.045047676293207974</x:v>
      </x:c>
      <x:c r="T12" s="9" t="n">
        <x:f>H12*Z11*INDEX(tun_MortAdult,G12)*Arch_AdultMort/4*Q12</x:f>
        <x:v>0.023232868452953026</x:v>
      </x:c>
      <x:c r="U12" s="9" t="n">
        <x:f>H12*AA11*INDEX(tun_MortElder,G12)/4*Q12</x:f>
        <x:v>0.02948900189055433</x:v>
      </x:c>
      <x:c r="V12" s="9" t="n">
        <x:f>H12*MAX(0,AB11-O12)*tun_OvercapLoss</x:f>
        <x:v>0</x:v>
      </x:c>
      <x:c r="W12" s="9" t="n">
        <x:f>H12*Y11/(tun_ChildYears*4)</x:f>
        <x:v>0.08938031010557138</x:v>
      </x:c>
      <x:c r="X12" s="9" t="n">
        <x:f>H12*Z11/(tun_AdultYears*4)</x:f>
        <x:v>0.0624539474541748</x:v>
      </x:c>
      <x:c r="Y12" s="32" t="n">
        <x:f>Y11+R12-S12-W12-Y11*V12/AB11</x:f>
        <x:v>5.348880465666128</x:v>
      </x:c>
      <x:c r="Z12" s="32" t="n">
        <x:f>Z11+W12-X12-T12-Z11*V12/AB11</x:f>
        <x:v>7.747982978516118</x:v>
      </x:c>
      <x:c r="AA12" s="32" t="n">
        <x:f>AA11+X12-U12-AA11*V12/AB11</x:f>
        <x:v>2.2585499939073435</x:v>
      </x:c>
      <x:c r="AB12" s="10" t="n">
        <x:f>Y12+Z12+AA12</x:f>
        <x:v>15.355413438089592</x:v>
      </x:c>
      <x:c r="AC12" s="8" t="n">
        <x:f>IF(AND(tun_WinterTrigger=1,D12=1,AB11/AE11&gt;=K12),1,0)</x:f>
        <x:v>0</x:v>
      </x:c>
      <x:c r="AD12" s="8" t="n">
        <x:f>H12*IF(AND(OR(AB11/AE11&gt;=tun_FissionTrigger*N12,AC12=1),AB11/AE11*tun_DaughterShare&gt;=tun_MinDaughter),MAX(1,ROUND(AE11*tun_FissionRate,0)),0)</x:f>
        <x:v>0</x:v>
      </x:c>
      <x:c r="AE12" s="8" t="n">
        <x:f>IF(H12=1,MAX(1,MIN(INDEX(tun_Smax,G12),AE11+AD12)),AE11)</x:f>
        <x:v>1</x:v>
      </x:c>
      <x:c r="AF12" s="8" t="n">
        <x:f>MAX(0,AE12-AE11)</x:f>
        <x:v>0</x:v>
      </x:c>
      <x:c r="AG12" s="9" t="str">
        <x:f>IF(AF12&gt;0,B12,"")</x:f>
      </x:c>
      <x:c r="AH12" s="9" t="n">
        <x:f>IF(F12&gt;=1,1,(1+tun_LowTiesShare*(AE12-1))/AE12)</x:f>
        <x:v>1</x:v>
      </x:c>
      <x:c r="AI12" s="32" t="n">
        <x:f>(Z12+tun_ElderCommons*INDEX(LM_Elder,G12)*AA12)*AH12</x:f>
        <x:v>12.265082966330805</x:v>
      </x:c>
      <x:c r="AJ12" s="32" t="n">
        <x:f>H12*tun_CommonsCoef*AI12^tun_CommonsExp*INDEX(LM_Commons,G12)</x:f>
        <x:v>42.39430273098647</x:v>
      </x:c>
      <x:c r="AK12" s="32" t="n">
        <x:f>H12*tun_RoleScale*Arch_Roles*(AE12*(INDEX(tun_ElderRolePerSett,G12)*tun_OutElder*INDEX(LM_Elder,G12)+INDEX(tun_ShamanPerSett,G12)*tun_OutShaman)+Z12*(INDEX(tun_PriestShare,G12)*tun_OutPriest+INDEX(tun_ScribeShare,G12)*tun_OutScribe*INDEX(LM_Scribe,G12)+INDEX(tun_ScholarShare,G12)*tun_OutScholar*INDEX(LM_Scholar,G12)+INDEX(tun_ResearcherShare,G12)*tun_OutResearcher*INDEX(LM_Researcher,G12)))</x:f>
        <x:v>0</x:v>
      </x:c>
      <x:c r="AL12" s="32" t="n">
        <x:f>H12*tun_RoleScale*Arch_Roles*AE12*INDEX(tun_MonasteryPerSett,G12)*tun_OutMonastery*INDEX(LM_Monastery,G12)</x:f>
        <x:v>0</x:v>
      </x:c>
      <x:c r="AM12" s="32" t="n">
        <x:f>(AJ12+AK12+AL12)/4*INDEX(LM_All,G12)*INDEX(tun_Boon,G12)*Arch_Insight</x:f>
        <x:v>10.598575682746617</x:v>
      </x:c>
      <x:c r="AN12" s="32" t="n">
        <x:f>H12*(tun_KHPerAdult*Z12+tun_KHOfCommons*AJ12/4*INDEX(LM_All,G12))*tun_KHUsable*Arch_KH</x:f>
        <x:v>2.5966510422729208</x:v>
      </x:c>
      <x:c r="AO12" s="32" t="n">
        <x:f>MIN(AP11+AN12,AM12*tun_KHMaxRatio)</x:f>
        <x:v>2.5966510422729208</x:v>
      </x:c>
      <x:c r="AP12" s="32" t="n">
        <x:f>AP11+AN12-AO12</x:f>
        <x:v>0</x:v>
      </x:c>
      <x:c r="AQ12" s="32" t="n">
        <x:f>AM12+AO12</x:f>
        <x:v>13.195226725019538</x:v>
      </x:c>
      <x:c r="AR12" s="10" t="n">
        <x:f>IF(H12=1,INDEX(tun_Req,G12),0)</x:f>
        <x:v>409.222</x:v>
      </x:c>
      <x:c r="AS12" s="32" t="n">
        <x:f>IF(H12=1,IF(E12=1,AS11-AR11,AS11)+AQ12,0)</x:f>
        <x:v>117.62064892596194</x:v>
      </x:c>
      <x:c r="AT12" s="11" t="n">
        <x:f>IF(AR12&gt;0,MIN(1,AS12/AR12),1)</x:f>
        <x:v>0.2874250380623768</x:v>
      </x:c>
      <x:c r="AU12" s="10" t="n">
        <x:f>AB12/INDEX(tun_RepScale,G12)</x:f>
        <x:v>15.355413438089592</x:v>
      </x:c>
      <x:c r="AV12" s="32" t="n">
        <x:f>AM12*60/tun_SeasonSeconds</x:f>
        <x:v>42.39430273098647</x:v>
      </x:c>
    </x:row>
    <x:row r="13">
      <x:c r="A13" s="8" t="n">
        <x:f>A12+1</x:f>
        <x:v>10</x:v>
      </x:c>
      <x:c r="B13" s="9" t="n">
        <x:f>A13*tun_SeasonSeconds/60</x:f>
        <x:v>2.5</x:v>
      </x:c>
      <x:c r="C13" s="9" t="n">
        <x:f>A13/4</x:f>
        <x:v>2.5</x:v>
      </x:c>
      <x:c r="D13" s="8" t="n">
        <x:f>IF(MOD(A13,4)=0,1,0)</x:f>
        <x:v>0</x:v>
      </x:c>
      <x:c r="E13" s="8" t="n">
        <x:f>IF(AND(F12&lt;=9,AS12&gt;=AR12),1,0)</x:f>
        <x:v>0</x:v>
      </x:c>
      <x:c r="F13" s="8" t="n">
        <x:f>MIN(10,F12+E13)</x:f>
        <x:v>0</x:v>
      </x:c>
      <x:c r="G13" s="8" t="n">
        <x:f>MIN(F13,9)+1</x:f>
        <x:v>1</x:v>
      </x:c>
      <x:c r="H13" s="8" t="n">
        <x:f>IF(F13&lt;=9,1,0)</x:f>
        <x:v>1</x:v>
      </x:c>
      <x:c r="I13" s="9" t="n">
        <x:f>MIN(10,F12+IF(AR12&gt;0,MIN(1,AS12/AR12),1))</x:f>
        <x:v>0.2874250380623768</x:v>
      </x:c>
      <x:c r="J13" s="32" t="n">
        <x:f>INDEX(tun_FoodCap,G13)*Arch_FoodCap*EXP(tun_CapsByProject*SUMPRODUCT((Cap_Point&lt;=I13)*(Cap_Kind="Food")*Cap_Ln))</x:f>
        <x:v>24.640000000000004</x:v>
      </x:c>
      <x:c r="K13" s="32" t="n">
        <x:f>J13*MIN(1,tun_LeanBase*EXP(tun_CapsByProject*SUMPRODUCT((Cap_Point&lt;=I13)*(Cap_Kind="Lean")*Cap_Ln)))</x:f>
        <x:v>18.972800000000003</x:v>
      </x:c>
      <x:c r="L13" s="10" t="n">
        <x:f>INDEX(tun_HousingCap,G13)*EXP(tun_CapsByProject*SUMPRODUCT((Cap_Point&lt;=I13)*(Cap_Kind="Housing")*Cap_Ln))</x:f>
        <x:v>40</x:v>
      </x:c>
      <x:c r="M13" s="10" t="n">
        <x:f>INDEX(tun_GroupCap,G13)*tun_CohesionFactor*EXP(tun_CapsByProject*SUMPRODUCT((Cap_Point&lt;=I13)*(Cap_Kind="Group")*Cap_Ln))</x:f>
        <x:v>25</x:v>
      </x:c>
      <x:c r="N13" s="32" t="n">
        <x:f>MIN(J13,L13,M13)</x:f>
        <x:v>24.640000000000004</x:v>
      </x:c>
      <x:c r="O13" s="10" t="n">
        <x:f>AE12*N13</x:f>
        <x:v>24.640000000000004</x:v>
      </x:c>
      <x:c r="P13" s="9" t="n">
        <x:f>MIN(1,(AB12/(AE12*IF(tun_GroupInCrowding=1,N13,MIN(J13,L13))))^tun_CrowdingExp)</x:f>
        <x:v>0.058576694928488826</x:v>
      </x:c>
      <x:c r="Q13" s="9" t="n">
        <x:f>IF(D13=1,INDEX(tun_WinterMult,G13),1)</x:f>
        <x:v>1</x:v>
      </x:c>
      <x:c r="R13" s="9" t="n">
        <x:f>H13*Z12*tun_WomenShare*tun_BaseFertility*INDEX(tun_FertMult,G13)*Arch_Fertility*(1-P13)</x:f>
        <x:v>0.47411856331270963</x:v>
      </x:c>
      <x:c r="S13" s="9" t="n">
        <x:f>H13*Y12*INDEX(tun_MortChild,G13)/4*Q13</x:f>
        <x:v>0.04813992419099515</x:v>
      </x:c>
      <x:c r="T13" s="9" t="n">
        <x:f>H13*Z12*INDEX(tun_MortAdult,G13)*Arch_AdultMort/4*Q13</x:f>
        <x:v>0.023243948935548354</x:v>
      </x:c>
      <x:c r="U13" s="9" t="n">
        <x:f>H13*AA12*INDEX(tun_MortElder,G13)/4*Q13</x:f>
        <x:v>0.0299257874192723</x:v>
      </x:c>
      <x:c r="V13" s="9" t="n">
        <x:f>H13*MAX(0,AB12-O13)*tun_OvercapLoss</x:f>
        <x:v>0</x:v>
      </x:c>
      <x:c r="W13" s="9" t="n">
        <x:f>H13*Y12/(tun_ChildYears*4)</x:f>
        <x:v>0.09551572260118087</x:v>
      </x:c>
      <x:c r="X13" s="9" t="n">
        <x:f>H13*Z12/(tun_AdultYears*4)</x:f>
        <x:v>0.06248373369771063</x:v>
      </x:c>
      <x:c r="Y13" s="32" t="n">
        <x:f>Y12+R13-S13-W13-Y12*V13/AB12</x:f>
        <x:v>5.679343382186663</x:v>
      </x:c>
      <x:c r="Z13" s="32" t="n">
        <x:f>Z12+W13-X13-T13-Z12*V13/AB12</x:f>
        <x:v>7.757771018484039</x:v>
      </x:c>
      <x:c r="AA13" s="32" t="n">
        <x:f>AA12+X13-U13-AA12*V13/AB12</x:f>
        <x:v>2.2911079401857815</x:v>
      </x:c>
      <x:c r="AB13" s="10" t="n">
        <x:f>Y13+Z13+AA13</x:f>
        <x:v>15.728222340856483</x:v>
      </x:c>
      <x:c r="AC13" s="8" t="n">
        <x:f>IF(AND(tun_WinterTrigger=1,D13=1,AB12/AE12&gt;=K13),1,0)</x:f>
        <x:v>0</x:v>
      </x:c>
      <x:c r="AD13" s="8" t="n">
        <x:f>H13*IF(AND(OR(AB12/AE12&gt;=tun_FissionTrigger*N13,AC13=1),AB12/AE12*tun_DaughterShare&gt;=tun_MinDaughter),MAX(1,ROUND(AE12*tun_FissionRate,0)),0)</x:f>
        <x:v>0</x:v>
      </x:c>
      <x:c r="AE13" s="8" t="n">
        <x:f>IF(H13=1,MAX(1,MIN(INDEX(tun_Smax,G13),AE12+AD13)),AE12)</x:f>
        <x:v>1</x:v>
      </x:c>
      <x:c r="AF13" s="8" t="n">
        <x:f>MAX(0,AE13-AE12)</x:f>
        <x:v>0</x:v>
      </x:c>
      <x:c r="AG13" s="9" t="str">
        <x:f>IF(AF13&gt;0,B13,"")</x:f>
      </x:c>
      <x:c r="AH13" s="9" t="n">
        <x:f>IF(F13&gt;=1,1,(1+tun_LowTiesShare*(AE13-1))/AE13)</x:f>
        <x:v>1</x:v>
      </x:c>
      <x:c r="AI13" s="32" t="n">
        <x:f>(Z13+tun_ElderCommons*INDEX(LM_Elder,G13)*AA13)*AH13</x:f>
        <x:v>12.339986898855603</x:v>
      </x:c>
      <x:c r="AJ13" s="32" t="n">
        <x:f>H13*tun_CommonsCoef*AI13^tun_CommonsExp*INDEX(LM_Commons,G13)</x:f>
        <x:v>42.61427201920219</x:v>
      </x:c>
      <x:c r="AK13" s="32" t="n">
        <x:f>H13*tun_RoleScale*Arch_Roles*(AE13*(INDEX(tun_ElderRolePerSett,G13)*tun_OutElder*INDEX(LM_Elder,G13)+INDEX(tun_ShamanPerSett,G13)*tun_OutShaman)+Z13*(INDEX(tun_PriestShare,G13)*tun_OutPriest+INDEX(tun_ScribeShare,G13)*tun_OutScribe*INDEX(LM_Scribe,G13)+INDEX(tun_ScholarShare,G13)*tun_OutScholar*INDEX(LM_Scholar,G13)+INDEX(tun_ResearcherShare,G13)*tun_OutResearcher*INDEX(LM_Researcher,G13)))</x:f>
        <x:v>0</x:v>
      </x:c>
      <x:c r="AL13" s="32" t="n">
        <x:f>H13*tun_RoleScale*Arch_Roles*AE13*INDEX(tun_MonasteryPerSett,G13)*tun_OutMonastery*INDEX(LM_Monastery,G13)</x:f>
        <x:v>0</x:v>
      </x:c>
      <x:c r="AM13" s="32" t="n">
        <x:f>(AJ13+AK13+AL13)/4*INDEX(LM_All,G13)*INDEX(tun_Boon,G13)*Arch_Insight</x:f>
        <x:v>10.653568004800547</x:v>
      </x:c>
      <x:c r="AN13" s="32" t="n">
        <x:f>H13*(tun_KHPerAdult*Z13+tun_KHOfCommons*AJ13/4*INDEX(LM_All,G13))*tun_KHUsable*Arch_KH</x:f>
        <x:v>2.610124161176134</x:v>
      </x:c>
      <x:c r="AO13" s="32" t="n">
        <x:f>MIN(AP12+AN13,AM13*tun_KHMaxRatio)</x:f>
        <x:v>2.610124161176134</x:v>
      </x:c>
      <x:c r="AP13" s="32" t="n">
        <x:f>AP12+AN13-AO13</x:f>
        <x:v>0</x:v>
      </x:c>
      <x:c r="AQ13" s="32" t="n">
        <x:f>AM13+AO13</x:f>
        <x:v>13.263692165976682</x:v>
      </x:c>
      <x:c r="AR13" s="10" t="n">
        <x:f>IF(H13=1,INDEX(tun_Req,G13),0)</x:f>
        <x:v>409.222</x:v>
      </x:c>
      <x:c r="AS13" s="32" t="n">
        <x:f>IF(H13=1,IF(E13=1,AS12-AR12,AS12)+AQ13,0)</x:f>
        <x:v>130.88434109193864</x:v>
      </x:c>
      <x:c r="AT13" s="11" t="n">
        <x:f>IF(AR13&gt;0,MIN(1,AS13/AR13),1)</x:f>
        <x:v>0.3198370104538335</x:v>
      </x:c>
      <x:c r="AU13" s="10" t="n">
        <x:f>AB13/INDEX(tun_RepScale,G13)</x:f>
        <x:v>15.728222340856483</x:v>
      </x:c>
      <x:c r="AV13" s="32" t="n">
        <x:f>AM13*60/tun_SeasonSeconds</x:f>
        <x:v>42.61427201920219</x:v>
      </x:c>
    </x:row>
    <x:row r="14">
      <x:c r="A14" s="8" t="n">
        <x:f>A13+1</x:f>
        <x:v>11</x:v>
      </x:c>
      <x:c r="B14" s="9" t="n">
        <x:f>A14*tun_SeasonSeconds/60</x:f>
        <x:v>2.75</x:v>
      </x:c>
      <x:c r="C14" s="9" t="n">
        <x:f>A14/4</x:f>
        <x:v>2.75</x:v>
      </x:c>
      <x:c r="D14" s="8" t="n">
        <x:f>IF(MOD(A14,4)=0,1,0)</x:f>
        <x:v>0</x:v>
      </x:c>
      <x:c r="E14" s="8" t="n">
        <x:f>IF(AND(F13&lt;=9,AS13&gt;=AR13),1,0)</x:f>
        <x:v>0</x:v>
      </x:c>
      <x:c r="F14" s="8" t="n">
        <x:f>MIN(10,F13+E14)</x:f>
        <x:v>0</x:v>
      </x:c>
      <x:c r="G14" s="8" t="n">
        <x:f>MIN(F14,9)+1</x:f>
        <x:v>1</x:v>
      </x:c>
      <x:c r="H14" s="8" t="n">
        <x:f>IF(F14&lt;=9,1,0)</x:f>
        <x:v>1</x:v>
      </x:c>
      <x:c r="I14" s="9" t="n">
        <x:f>MIN(10,F13+IF(AR13&gt;0,MIN(1,AS13/AR13),1))</x:f>
        <x:v>0.3198370104538335</x:v>
      </x:c>
      <x:c r="J14" s="32" t="n">
        <x:f>INDEX(tun_FoodCap,G14)*Arch_FoodCap*EXP(tun_CapsByProject*SUMPRODUCT((Cap_Point&lt;=I14)*(Cap_Kind="Food")*Cap_Ln))</x:f>
        <x:v>24.640000000000004</x:v>
      </x:c>
      <x:c r="K14" s="32" t="n">
        <x:f>J14*MIN(1,tun_LeanBase*EXP(tun_CapsByProject*SUMPRODUCT((Cap_Point&lt;=I14)*(Cap_Kind="Lean")*Cap_Ln)))</x:f>
        <x:v>18.972800000000003</x:v>
      </x:c>
      <x:c r="L14" s="10" t="n">
        <x:f>INDEX(tun_HousingCap,G14)*EXP(tun_CapsByProject*SUMPRODUCT((Cap_Point&lt;=I14)*(Cap_Kind="Housing")*Cap_Ln))</x:f>
        <x:v>40</x:v>
      </x:c>
      <x:c r="M14" s="10" t="n">
        <x:f>INDEX(tun_GroupCap,G14)*tun_CohesionFactor*EXP(tun_CapsByProject*SUMPRODUCT((Cap_Point&lt;=I14)*(Cap_Kind="Group")*Cap_Ln))</x:f>
        <x:v>25</x:v>
      </x:c>
      <x:c r="N14" s="32" t="n">
        <x:f>MIN(J14,L14,M14)</x:f>
        <x:v>24.640000000000004</x:v>
      </x:c>
      <x:c r="O14" s="10" t="n">
        <x:f>AE13*N14</x:f>
        <x:v>24.640000000000004</x:v>
      </x:c>
      <x:c r="P14" s="9" t="n">
        <x:f>MIN(1,(AB13/(AE13*IF(tun_GroupInCrowding=1,N14,MIN(J14,L14))))^tun_CrowdingExp)</x:f>
        <x:v>0.06764467561062022</x:v>
      </x:c>
      <x:c r="Q14" s="9" t="n">
        <x:f>IF(D14=1,INDEX(tun_WinterMult,G14),1)</x:f>
        <x:v>1</x:v>
      </x:c>
      <x:c r="R14" s="9" t="n">
        <x:f>H14*Z13*tun_WomenShare*tun_BaseFertility*INDEX(tun_FertMult,G14)*Arch_Fertility*(1-P14)</x:f>
        <x:v>0.470144942441019</x:v>
      </x:c>
      <x:c r="S14" s="9" t="n">
        <x:f>H14*Y13*INDEX(tun_MortChild,G14)/4*Q14</x:f>
        <x:v>0.05111409043967996</x:v>
      </x:c>
      <x:c r="T14" s="9" t="n">
        <x:f>H14*Z13*INDEX(tun_MortAdult,G14)*Arch_AdultMort/4*Q14</x:f>
        <x:v>0.02327331305545212</x:v>
      </x:c>
      <x:c r="U14" s="9" t="n">
        <x:f>H14*AA13*INDEX(tun_MortElder,G14)/4*Q14</x:f>
        <x:v>0.030357180207461604</x:v>
      </x:c>
      <x:c r="V14" s="9" t="n">
        <x:f>H14*MAX(0,AB13-O14)*tun_OvercapLoss</x:f>
        <x:v>0</x:v>
      </x:c>
      <x:c r="W14" s="9" t="n">
        <x:f>H14*Y13/(tun_ChildYears*4)</x:f>
        <x:v>0.10141684611047612</x:v>
      </x:c>
      <x:c r="X14" s="9" t="n">
        <x:f>H14*Z13/(tun_AdultYears*4)</x:f>
        <x:v>0.06256266950390355</x:v>
      </x:c>
      <x:c r="Y14" s="32" t="n">
        <x:f>Y13+R14-S14-W14-Y13*V14/AB13</x:f>
        <x:v>5.996957388077526</x:v>
      </x:c>
      <x:c r="Z14" s="32" t="n">
        <x:f>Z13+W14-X14-T14-Z13*V14/AB13</x:f>
        <x:v>7.7733518820351595</x:v>
      </x:c>
      <x:c r="AA14" s="32" t="n">
        <x:f>AA13+X14-U14-AA13*V14/AB13</x:f>
        <x:v>2.3233134294822233</x:v>
      </x:c>
      <x:c r="AB14" s="10" t="n">
        <x:f>Y14+Z14+AA14</x:f>
        <x:v>16.09362269959491</x:v>
      </x:c>
      <x:c r="AC14" s="8" t="n">
        <x:f>IF(AND(tun_WinterTrigger=1,D14=1,AB13/AE13&gt;=K14),1,0)</x:f>
        <x:v>0</x:v>
      </x:c>
      <x:c r="AD14" s="8" t="n">
        <x:f>H14*IF(AND(OR(AB13/AE13&gt;=tun_FissionTrigger*N14,AC14=1),AB13/AE13*tun_DaughterShare&gt;=tun_MinDaughter),MAX(1,ROUND(AE13*tun_FissionRate,0)),0)</x:f>
        <x:v>0</x:v>
      </x:c>
      <x:c r="AE14" s="8" t="n">
        <x:f>IF(H14=1,MAX(1,MIN(INDEX(tun_Smax,G14),AE13+AD14)),AE13)</x:f>
        <x:v>1</x:v>
      </x:c>
      <x:c r="AF14" s="8" t="n">
        <x:f>MAX(0,AE14-AE13)</x:f>
        <x:v>0</x:v>
      </x:c>
      <x:c r="AG14" s="9" t="str">
        <x:f>IF(AF14&gt;0,B14,"")</x:f>
      </x:c>
      <x:c r="AH14" s="9" t="n">
        <x:f>IF(F14&gt;=1,1,(1+tun_LowTiesShare*(AE14-1))/AE14)</x:f>
        <x:v>1</x:v>
      </x:c>
      <x:c r="AI14" s="32" t="n">
        <x:f>(Z14+tun_ElderCommons*INDEX(LM_Elder,G14)*AA14)*AH14</x:f>
        <x:v>12.419978740999607</x:v>
      </x:c>
      <x:c r="AJ14" s="32" t="n">
        <x:f>H14*tun_CommonsCoef*AI14^tun_CommonsExp*INDEX(LM_Commons,G14)</x:f>
        <x:v>42.84896188035351</x:v>
      </x:c>
      <x:c r="AK14" s="32" t="n">
        <x:f>H14*tun_RoleScale*Arch_Roles*(AE14*(INDEX(tun_ElderRolePerSett,G14)*tun_OutElder*INDEX(LM_Elder,G14)+INDEX(tun_ShamanPerSett,G14)*tun_OutShaman)+Z14*(INDEX(tun_PriestShare,G14)*tun_OutPriest+INDEX(tun_ScribeShare,G14)*tun_OutScribe*INDEX(LM_Scribe,G14)+INDEX(tun_ScholarShare,G14)*tun_OutScholar*INDEX(LM_Scholar,G14)+INDEX(tun_ResearcherShare,G14)*tun_OutResearcher*INDEX(LM_Researcher,G14)))</x:f>
        <x:v>0</x:v>
      </x:c>
      <x:c r="AL14" s="32" t="n">
        <x:f>H14*tun_RoleScale*Arch_Roles*AE14*INDEX(tun_MonasteryPerSett,G14)*tun_OutMonastery*INDEX(LM_Monastery,G14)</x:f>
        <x:v>0</x:v>
      </x:c>
      <x:c r="AM14" s="32" t="n">
        <x:f>(AJ14+AK14+AL14)/4*INDEX(LM_All,G14)*INDEX(tun_Boon,G14)*Arch_Insight</x:f>
        <x:v>10.712240470088377</x:v>
      </x:c>
      <x:c r="AN14" s="32" t="n">
        <x:f>H14*(tun_KHPerAdult*Z14+tun_KHOfCommons*AJ14/4*INDEX(LM_All,G14))*tun_KHUsable*Arch_KH</x:f>
        <x:v>2.624498915171652</x:v>
      </x:c>
      <x:c r="AO14" s="32" t="n">
        <x:f>MIN(AP13+AN14,AM14*tun_KHMaxRatio)</x:f>
        <x:v>2.624498915171652</x:v>
      </x:c>
      <x:c r="AP14" s="32" t="n">
        <x:f>AP13+AN14-AO14</x:f>
        <x:v>0</x:v>
      </x:c>
      <x:c r="AQ14" s="32" t="n">
        <x:f>AM14+AO14</x:f>
        <x:v>13.336739385260028</x:v>
      </x:c>
      <x:c r="AR14" s="10" t="n">
        <x:f>IF(H14=1,INDEX(tun_Req,G14),0)</x:f>
        <x:v>409.222</x:v>
      </x:c>
      <x:c r="AS14" s="32" t="n">
        <x:f>IF(H14=1,IF(E14=1,AS13-AR13,AS13)+AQ14,0)</x:f>
        <x:v>144.22108047719865</x:v>
      </x:c>
      <x:c r="AT14" s="11" t="n">
        <x:f>IF(AR14&gt;0,MIN(1,AS14/AR14),1)</x:f>
        <x:v>0.35242748551446074</x:v>
      </x:c>
      <x:c r="AU14" s="10" t="n">
        <x:f>AB14/INDEX(tun_RepScale,G14)</x:f>
        <x:v>16.09362269959491</x:v>
      </x:c>
      <x:c r="AV14" s="32" t="n">
        <x:f>AM14*60/tun_SeasonSeconds</x:f>
        <x:v>42.84896188035351</x:v>
      </x:c>
    </x:row>
    <x:row r="15">
      <x:c r="A15" s="8" t="n">
        <x:f>A14+1</x:f>
        <x:v>12</x:v>
      </x:c>
      <x:c r="B15" s="9" t="n">
        <x:f>A15*tun_SeasonSeconds/60</x:f>
        <x:v>3</x:v>
      </x:c>
      <x:c r="C15" s="9" t="n">
        <x:f>A15/4</x:f>
        <x:v>3</x:v>
      </x:c>
      <x:c r="D15" s="8" t="n">
        <x:f>IF(MOD(A15,4)=0,1,0)</x:f>
        <x:v>1</x:v>
      </x:c>
      <x:c r="E15" s="8" t="n">
        <x:f>IF(AND(F14&lt;=9,AS14&gt;=AR14),1,0)</x:f>
        <x:v>0</x:v>
      </x:c>
      <x:c r="F15" s="8" t="n">
        <x:f>MIN(10,F14+E15)</x:f>
        <x:v>0</x:v>
      </x:c>
      <x:c r="G15" s="8" t="n">
        <x:f>MIN(F15,9)+1</x:f>
        <x:v>1</x:v>
      </x:c>
      <x:c r="H15" s="8" t="n">
        <x:f>IF(F15&lt;=9,1,0)</x:f>
        <x:v>1</x:v>
      </x:c>
      <x:c r="I15" s="9" t="n">
        <x:f>MIN(10,F14+IF(AR14&gt;0,MIN(1,AS14/AR14),1))</x:f>
        <x:v>0.35242748551446074</x:v>
      </x:c>
      <x:c r="J15" s="32" t="n">
        <x:f>INDEX(tun_FoodCap,G15)*Arch_FoodCap*EXP(tun_CapsByProject*SUMPRODUCT((Cap_Point&lt;=I15)*(Cap_Kind="Food")*Cap_Ln))</x:f>
        <x:v>24.640000000000004</x:v>
      </x:c>
      <x:c r="K15" s="32" t="n">
        <x:f>J15*MIN(1,tun_LeanBase*EXP(tun_CapsByProject*SUMPRODUCT((Cap_Point&lt;=I15)*(Cap_Kind="Lean")*Cap_Ln)))</x:f>
        <x:v>18.972800000000003</x:v>
      </x:c>
      <x:c r="L15" s="10" t="n">
        <x:f>INDEX(tun_HousingCap,G15)*EXP(tun_CapsByProject*SUMPRODUCT((Cap_Point&lt;=I15)*(Cap_Kind="Housing")*Cap_Ln))</x:f>
        <x:v>40</x:v>
      </x:c>
      <x:c r="M15" s="10" t="n">
        <x:f>INDEX(tun_GroupCap,G15)*tun_CohesionFactor*EXP(tun_CapsByProject*SUMPRODUCT((Cap_Point&lt;=I15)*(Cap_Kind="Group")*Cap_Ln))</x:f>
        <x:v>35</x:v>
      </x:c>
      <x:c r="N15" s="32" t="n">
        <x:f>MIN(J15,L15,M15)</x:f>
        <x:v>24.640000000000004</x:v>
      </x:c>
      <x:c r="O15" s="10" t="n">
        <x:f>AE14*N15</x:f>
        <x:v>24.640000000000004</x:v>
      </x:c>
      <x:c r="P15" s="9" t="n">
        <x:f>MIN(1,(AB14/(AE14*IF(tun_GroupInCrowding=1,N15,MIN(J15,L15))))^tun_CrowdingExp)</x:f>
        <x:v>0.07763877454901595</x:v>
      </x:c>
      <x:c r="Q15" s="9" t="n">
        <x:f>IF(D15=1,INDEX(tun_WinterMult,G15),1)</x:f>
        <x:v>2</x:v>
      </x:c>
      <x:c r="R15" s="9" t="n">
        <x:f>H15*Z14*tun_WomenShare*tun_BaseFertility*INDEX(tun_FertMult,G15)*Arch_Fertility*(1-P15)</x:f>
        <x:v>0.46603949390541816</x:v>
      </x:c>
      <x:c r="S15" s="9" t="n">
        <x:f>H15*Y14*INDEX(tun_MortChild,G15)/4*Q15</x:f>
        <x:v>0.10794523298539546</x:v>
      </x:c>
      <x:c r="T15" s="9" t="n">
        <x:f>H15*Z14*INDEX(tun_MortAdult,G15)*Arch_AdultMort/4*Q15</x:f>
        <x:v>0.046640111292210955</x:v>
      </x:c>
      <x:c r="U15" s="9" t="n">
        <x:f>H15*AA14*INDEX(tun_MortElder,G15)/4*Q15</x:f>
        <x:v>0.061567805881278914</x:v>
      </x:c>
      <x:c r="V15" s="9" t="n">
        <x:f>H15*MAX(0,AB14-O15)*tun_OvercapLoss</x:f>
        <x:v>0</x:v>
      </x:c>
      <x:c r="W15" s="9" t="n">
        <x:f>H15*Y14/(tun_ChildYears*4)</x:f>
        <x:v>0.10708852478709867</x:v>
      </x:c>
      <x:c r="X15" s="9" t="n">
        <x:f>H15*Z14/(tun_AdultYears*4)</x:f>
        <x:v>0.0626883216293158</x:v>
      </x:c>
      <x:c r="Y15" s="32" t="n">
        <x:f>Y14+R15-S15-W15-Y14*V15/AB14</x:f>
        <x:v>6.24796312421045</x:v>
      </x:c>
      <x:c r="Z15" s="32" t="n">
        <x:f>Z14+W15-X15-T15-Z14*V15/AB14</x:f>
        <x:v>7.771111973900731</x:v>
      </x:c>
      <x:c r="AA15" s="32" t="n">
        <x:f>AA14+X15-U15-AA14*V15/AB14</x:f>
        <x:v>2.3244339452302603</x:v>
      </x:c>
      <x:c r="AB15" s="10" t="n">
        <x:f>Y15+Z15+AA15</x:f>
        <x:v>16.34350904334144</x:v>
      </x:c>
      <x:c r="AC15" s="8" t="n">
        <x:f>IF(AND(tun_WinterTrigger=1,D15=1,AB14/AE14&gt;=K15),1,0)</x:f>
        <x:v>0</x:v>
      </x:c>
      <x:c r="AD15" s="8" t="n">
        <x:f>H15*IF(AND(OR(AB14/AE14&gt;=tun_FissionTrigger*N15,AC15=1),AB14/AE14*tun_DaughterShare&gt;=tun_MinDaughter),MAX(1,ROUND(AE14*tun_FissionRate,0)),0)</x:f>
        <x:v>0</x:v>
      </x:c>
      <x:c r="AE15" s="8" t="n">
        <x:f>IF(H15=1,MAX(1,MIN(INDEX(tun_Smax,G15),AE14+AD15)),AE14)</x:f>
        <x:v>1</x:v>
      </x:c>
      <x:c r="AF15" s="8" t="n">
        <x:f>MAX(0,AE15-AE14)</x:f>
        <x:v>0</x:v>
      </x:c>
      <x:c r="AG15" s="9" t="str">
        <x:f>IF(AF15&gt;0,B15,"")</x:f>
      </x:c>
      <x:c r="AH15" s="9" t="n">
        <x:f>IF(F15&gt;=1,1,(1+tun_LowTiesShare*(AE15-1))/AE15)</x:f>
        <x:v>1</x:v>
      </x:c>
      <x:c r="AI15" s="32" t="n">
        <x:f>(Z15+tun_ElderCommons*INDEX(LM_Elder,G15)*AA15)*AH15</x:f>
        <x:v>12.419979864361252</x:v>
      </x:c>
      <x:c r="AJ15" s="32" t="n">
        <x:f>H15*tun_CommonsCoef*AI15^tun_CommonsExp*INDEX(LM_Commons,G15)</x:f>
        <x:v>42.848965174614214</x:v>
      </x:c>
      <x:c r="AK15" s="32" t="n">
        <x:f>H15*tun_RoleScale*Arch_Roles*(AE15*(INDEX(tun_ElderRolePerSett,G15)*tun_OutElder*INDEX(LM_Elder,G15)+INDEX(tun_ShamanPerSett,G15)*tun_OutShaman)+Z15*(INDEX(tun_PriestShare,G15)*tun_OutPriest+INDEX(tun_ScribeShare,G15)*tun_OutScribe*INDEX(LM_Scribe,G15)+INDEX(tun_ScholarShare,G15)*tun_OutScholar*INDEX(LM_Scholar,G15)+INDEX(tun_ResearcherShare,G15)*tun_OutResearcher*INDEX(LM_Researcher,G15)))</x:f>
        <x:v>0</x:v>
      </x:c>
      <x:c r="AL15" s="32" t="n">
        <x:f>H15*tun_RoleScale*Arch_Roles*AE15*INDEX(tun_MonasteryPerSett,G15)*tun_OutMonastery*INDEX(LM_Monastery,G15)</x:f>
        <x:v>0</x:v>
      </x:c>
      <x:c r="AM15" s="32" t="n">
        <x:f>(AJ15+AK15+AL15)/4*INDEX(LM_All,G15)*INDEX(tun_Boon,G15)*Arch_Insight</x:f>
        <x:v>10.712241293653554</x:v>
      </x:c>
      <x:c r="AN15" s="32" t="n">
        <x:f>H15*(tun_KHPerAdult*Z15+tun_KHOfCommons*AJ15/4*INDEX(LM_All,G15))*tun_KHUsable*Arch_KH</x:f>
        <x:v>2.6244991169451204</x:v>
      </x:c>
      <x:c r="AO15" s="32" t="n">
        <x:f>MIN(AP14+AN15,AM15*tun_KHMaxRatio)</x:f>
        <x:v>2.6244991169451204</x:v>
      </x:c>
      <x:c r="AP15" s="32" t="n">
        <x:f>AP14+AN15-AO15</x:f>
        <x:v>0</x:v>
      </x:c>
      <x:c r="AQ15" s="32" t="n">
        <x:f>AM15+AO15</x:f>
        <x:v>13.336740410598674</x:v>
      </x:c>
      <x:c r="AR15" s="10" t="n">
        <x:f>IF(H15=1,INDEX(tun_Req,G15),0)</x:f>
        <x:v>409.222</x:v>
      </x:c>
      <x:c r="AS15" s="32" t="n">
        <x:f>IF(H15=1,IF(E15=1,AS14-AR14,AS14)+AQ15,0)</x:f>
        <x:v>157.55782088779733</x:v>
      </x:c>
      <x:c r="AT15" s="11" t="n">
        <x:f>IF(AR15&gt;0,MIN(1,AS15/AR15),1)</x:f>
        <x:v>0.38501796308066855</x:v>
      </x:c>
      <x:c r="AU15" s="10" t="n">
        <x:f>AB15/INDEX(tun_RepScale,G15)</x:f>
        <x:v>16.34350904334144</x:v>
      </x:c>
      <x:c r="AV15" s="32" t="n">
        <x:f>AM15*60/tun_SeasonSeconds</x:f>
        <x:v>42.848965174614214</x:v>
      </x:c>
    </x:row>
    <x:row r="16">
      <x:c r="A16" s="8" t="n">
        <x:f>A15+1</x:f>
        <x:v>13</x:v>
      </x:c>
      <x:c r="B16" s="9" t="n">
        <x:f>A16*tun_SeasonSeconds/60</x:f>
        <x:v>3.25</x:v>
      </x:c>
      <x:c r="C16" s="9" t="n">
        <x:f>A16/4</x:f>
        <x:v>3.25</x:v>
      </x:c>
      <x:c r="D16" s="8" t="n">
        <x:f>IF(MOD(A16,4)=0,1,0)</x:f>
        <x:v>0</x:v>
      </x:c>
      <x:c r="E16" s="8" t="n">
        <x:f>IF(AND(F15&lt;=9,AS15&gt;=AR15),1,0)</x:f>
        <x:v>0</x:v>
      </x:c>
      <x:c r="F16" s="8" t="n">
        <x:f>MIN(10,F15+E16)</x:f>
        <x:v>0</x:v>
      </x:c>
      <x:c r="G16" s="8" t="n">
        <x:f>MIN(F16,9)+1</x:f>
        <x:v>1</x:v>
      </x:c>
      <x:c r="H16" s="8" t="n">
        <x:f>IF(F16&lt;=9,1,0)</x:f>
        <x:v>1</x:v>
      </x:c>
      <x:c r="I16" s="9" t="n">
        <x:f>MIN(10,F15+IF(AR15&gt;0,MIN(1,AS15/AR15),1))</x:f>
        <x:v>0.38501796308066855</x:v>
      </x:c>
      <x:c r="J16" s="32" t="n">
        <x:f>INDEX(tun_FoodCap,G16)*Arch_FoodCap*EXP(tun_CapsByProject*SUMPRODUCT((Cap_Point&lt;=I16)*(Cap_Kind="Food")*Cap_Ln))</x:f>
        <x:v>24.640000000000004</x:v>
      </x:c>
      <x:c r="K16" s="32" t="n">
        <x:f>J16*MIN(1,tun_LeanBase*EXP(tun_CapsByProject*SUMPRODUCT((Cap_Point&lt;=I16)*(Cap_Kind="Lean")*Cap_Ln)))</x:f>
        <x:v>18.972800000000003</x:v>
      </x:c>
      <x:c r="L16" s="10" t="n">
        <x:f>INDEX(tun_HousingCap,G16)*EXP(tun_CapsByProject*SUMPRODUCT((Cap_Point&lt;=I16)*(Cap_Kind="Housing")*Cap_Ln))</x:f>
        <x:v>40</x:v>
      </x:c>
      <x:c r="M16" s="10" t="n">
        <x:f>INDEX(tun_GroupCap,G16)*tun_CohesionFactor*EXP(tun_CapsByProject*SUMPRODUCT((Cap_Point&lt;=I16)*(Cap_Kind="Group")*Cap_Ln))</x:f>
        <x:v>35</x:v>
      </x:c>
      <x:c r="N16" s="32" t="n">
        <x:f>MIN(J16,L16,M16)</x:f>
        <x:v>24.640000000000004</x:v>
      </x:c>
      <x:c r="O16" s="10" t="n">
        <x:f>AE15*N16</x:f>
        <x:v>24.640000000000004</x:v>
      </x:c>
      <x:c r="P16" s="9" t="n">
        <x:f>MIN(1,(AB15/(AE15*IF(tun_GroupInCrowding=1,N16,MIN(J16,L16))))^tun_CrowdingExp)</x:f>
        <x:v>0.08515842588541687</x:v>
      </x:c>
      <x:c r="Q16" s="9" t="n">
        <x:f>IF(D16=1,INDEX(tun_WinterMult,G16),1)</x:f>
        <x:v>1</x:v>
      </x:c>
      <x:c r="R16" s="9" t="n">
        <x:f>H16*Z15*tun_WomenShare*tun_BaseFertility*INDEX(tun_FertMult,G16)*Arch_Fertility*(1-P16)</x:f>
        <x:v>0.46210686020356195</x:v>
      </x:c>
      <x:c r="S16" s="9" t="n">
        <x:f>H16*Y15*INDEX(tun_MortChild,G16)/4*Q16</x:f>
        <x:v>0.05623166811789405</x:v>
      </x:c>
      <x:c r="T16" s="9" t="n">
        <x:f>H16*Z15*INDEX(tun_MortAdult,G16)*Arch_AdultMort/4*Q16</x:f>
        <x:v>0.023313335921702195</x:v>
      </x:c>
      <x:c r="U16" s="9" t="n">
        <x:f>H16*AA15*INDEX(tun_MortElder,G16)/4*Q16</x:f>
        <x:v>0.030798749774300947</x:v>
      </x:c>
      <x:c r="V16" s="9" t="n">
        <x:f>H16*MAX(0,AB15-O16)*tun_OvercapLoss</x:f>
        <x:v>0</x:v>
      </x:c>
      <x:c r="W16" s="9" t="n">
        <x:f>H16*Y15/(tun_ChildYears*4)</x:f>
        <x:v>0.1115707700751866</x:v>
      </x:c>
      <x:c r="X16" s="9" t="n">
        <x:f>H16*Z15/(tun_AdultYears*4)</x:f>
        <x:v>0.06267025785403815</x:v>
      </x:c>
      <x:c r="Y16" s="32" t="n">
        <x:f>Y15+R16-S16-W16-Y15*V16/AB15</x:f>
        <x:v>6.542267546220932</x:v>
      </x:c>
      <x:c r="Z16" s="32" t="n">
        <x:f>Z15+W16-X16-T16-Z15*V16/AB15</x:f>
        <x:v>7.796699150200177</x:v>
      </x:c>
      <x:c r="AA16" s="32" t="n">
        <x:f>AA15+X16-U16-AA15*V16/AB15</x:f>
        <x:v>2.356305453309998</x:v>
      </x:c>
      <x:c r="AB16" s="10" t="n">
        <x:f>Y16+Z16+AA16</x:f>
        <x:v>16.695272149731107</x:v>
      </x:c>
      <x:c r="AC16" s="8" t="n">
        <x:f>IF(AND(tun_WinterTrigger=1,D16=1,AB15/AE15&gt;=K16),1,0)</x:f>
        <x:v>0</x:v>
      </x:c>
      <x:c r="AD16" s="8" t="n">
        <x:f>H16*IF(AND(OR(AB15/AE15&gt;=tun_FissionTrigger*N16,AC16=1),AB15/AE15*tun_DaughterShare&gt;=tun_MinDaughter),MAX(1,ROUND(AE15*tun_FissionRate,0)),0)</x:f>
        <x:v>0</x:v>
      </x:c>
      <x:c r="AE16" s="8" t="n">
        <x:f>IF(H16=1,MAX(1,MIN(INDEX(tun_Smax,G16),AE15+AD16)),AE15)</x:f>
        <x:v>1</x:v>
      </x:c>
      <x:c r="AF16" s="8" t="n">
        <x:f>MAX(0,AE16-AE15)</x:f>
        <x:v>0</x:v>
      </x:c>
      <x:c r="AG16" s="9" t="str">
        <x:f>IF(AF16&gt;0,B16,"")</x:f>
      </x:c>
      <x:c r="AH16" s="9" t="n">
        <x:f>IF(F16&gt;=1,1,(1+tun_LowTiesShare*(AE16-1))/AE16)</x:f>
        <x:v>1</x:v>
      </x:c>
      <x:c r="AI16" s="32" t="n">
        <x:f>(Z16+tun_ElderCommons*INDEX(LM_Elder,G16)*AA16)*AH16</x:f>
        <x:v>12.509310056820173</x:v>
      </x:c>
      <x:c r="AJ16" s="32" t="n">
        <x:f>H16*tun_CommonsCoef*AI16^tun_CommonsExp*INDEX(LM_Commons,G16)</x:f>
        <x:v>43.110785253123765</x:v>
      </x:c>
      <x:c r="AK16" s="32" t="n">
        <x:f>H16*tun_RoleScale*Arch_Roles*(AE16*(INDEX(tun_ElderRolePerSett,G16)*tun_OutElder*INDEX(LM_Elder,G16)+INDEX(tun_ShamanPerSett,G16)*tun_OutShaman)+Z16*(INDEX(tun_PriestShare,G16)*tun_OutPriest+INDEX(tun_ScribeShare,G16)*tun_OutScribe*INDEX(LM_Scribe,G16)+INDEX(tun_ScholarShare,G16)*tun_OutScholar*INDEX(LM_Scholar,G16)+INDEX(tun_ResearcherShare,G16)*tun_OutResearcher*INDEX(LM_Researcher,G16)))</x:f>
        <x:v>0</x:v>
      </x:c>
      <x:c r="AL16" s="32" t="n">
        <x:f>H16*tun_RoleScale*Arch_Roles*AE16*INDEX(tun_MonasteryPerSett,G16)*tun_OutMonastery*INDEX(LM_Monastery,G16)</x:f>
        <x:v>0</x:v>
      </x:c>
      <x:c r="AM16" s="32" t="n">
        <x:f>(AJ16+AK16+AL16)/4*INDEX(LM_All,G16)*INDEX(tun_Boon,G16)*Arch_Insight</x:f>
        <x:v>10.777696313280941</x:v>
      </x:c>
      <x:c r="AN16" s="32" t="n">
        <x:f>H16*(tun_KHPerAdult*Z16+tun_KHOfCommons*AJ16/4*INDEX(LM_All,G16))*tun_KHUsable*Arch_KH</x:f>
        <x:v>2.64053559675383</x:v>
      </x:c>
      <x:c r="AO16" s="32" t="n">
        <x:f>MIN(AP15+AN16,AM16*tun_KHMaxRatio)</x:f>
        <x:v>2.64053559675383</x:v>
      </x:c>
      <x:c r="AP16" s="32" t="n">
        <x:f>AP15+AN16-AO16</x:f>
        <x:v>0</x:v>
      </x:c>
      <x:c r="AQ16" s="32" t="n">
        <x:f>AM16+AO16</x:f>
        <x:v>13.418231910034772</x:v>
      </x:c>
      <x:c r="AR16" s="10" t="n">
        <x:f>IF(H16=1,INDEX(tun_Req,G16),0)</x:f>
        <x:v>409.222</x:v>
      </x:c>
      <x:c r="AS16" s="32" t="n">
        <x:f>IF(H16=1,IF(E16=1,AS15-AR15,AS15)+AQ16,0)</x:f>
        <x:v>170.9760527978321</x:v>
      </x:c>
      <x:c r="AT16" s="11" t="n">
        <x:f>IF(AR16&gt;0,MIN(1,AS16/AR16),1)</x:f>
        <x:v>0.4178075782773949</x:v>
      </x:c>
      <x:c r="AU16" s="10" t="n">
        <x:f>AB16/INDEX(tun_RepScale,G16)</x:f>
        <x:v>16.695272149731107</x:v>
      </x:c>
      <x:c r="AV16" s="32" t="n">
        <x:f>AM16*60/tun_SeasonSeconds</x:f>
        <x:v>43.11078525312376</x:v>
      </x:c>
    </x:row>
    <x:row r="17">
      <x:c r="A17" s="8" t="n">
        <x:f>A16+1</x:f>
        <x:v>14</x:v>
      </x:c>
      <x:c r="B17" s="9" t="n">
        <x:f>A17*tun_SeasonSeconds/60</x:f>
        <x:v>3.5</x:v>
      </x:c>
      <x:c r="C17" s="9" t="n">
        <x:f>A17/4</x:f>
        <x:v>3.5</x:v>
      </x:c>
      <x:c r="D17" s="8" t="n">
        <x:f>IF(MOD(A17,4)=0,1,0)</x:f>
        <x:v>0</x:v>
      </x:c>
      <x:c r="E17" s="8" t="n">
        <x:f>IF(AND(F16&lt;=9,AS16&gt;=AR16),1,0)</x:f>
        <x:v>0</x:v>
      </x:c>
      <x:c r="F17" s="8" t="n">
        <x:f>MIN(10,F16+E17)</x:f>
        <x:v>0</x:v>
      </x:c>
      <x:c r="G17" s="8" t="n">
        <x:f>MIN(F17,9)+1</x:f>
        <x:v>1</x:v>
      </x:c>
      <x:c r="H17" s="8" t="n">
        <x:f>IF(F17&lt;=9,1,0)</x:f>
        <x:v>1</x:v>
      </x:c>
      <x:c r="I17" s="9" t="n">
        <x:f>MIN(10,F16+IF(AR16&gt;0,MIN(1,AS16/AR16),1))</x:f>
        <x:v>0.4178075782773949</x:v>
      </x:c>
      <x:c r="J17" s="32" t="n">
        <x:f>INDEX(tun_FoodCap,G17)*Arch_FoodCap*EXP(tun_CapsByProject*SUMPRODUCT((Cap_Point&lt;=I17)*(Cap_Kind="Food")*Cap_Ln))</x:f>
        <x:v>24.640000000000004</x:v>
      </x:c>
      <x:c r="K17" s="32" t="n">
        <x:f>J17*MIN(1,tun_LeanBase*EXP(tun_CapsByProject*SUMPRODUCT((Cap_Point&lt;=I17)*(Cap_Kind="Lean")*Cap_Ln)))</x:f>
        <x:v>18.972800000000003</x:v>
      </x:c>
      <x:c r="L17" s="10" t="n">
        <x:f>INDEX(tun_HousingCap,G17)*EXP(tun_CapsByProject*SUMPRODUCT((Cap_Point&lt;=I17)*(Cap_Kind="Housing")*Cap_Ln))</x:f>
        <x:v>40</x:v>
      </x:c>
      <x:c r="M17" s="10" t="n">
        <x:f>INDEX(tun_GroupCap,G17)*tun_CohesionFactor*EXP(tun_CapsByProject*SUMPRODUCT((Cap_Point&lt;=I17)*(Cap_Kind="Group")*Cap_Ln))</x:f>
        <x:v>35</x:v>
      </x:c>
      <x:c r="N17" s="32" t="n">
        <x:f>MIN(J17,L17,M17)</x:f>
        <x:v>24.640000000000004</x:v>
      </x:c>
      <x:c r="O17" s="10" t="n">
        <x:f>AE16*N17</x:f>
        <x:v>24.640000000000004</x:v>
      </x:c>
      <x:c r="P17" s="9" t="n">
        <x:f>MIN(1,(AB16/(AE16*IF(tun_GroupInCrowding=1,N17,MIN(J17,L17))))^tun_CrowdingExp)</x:f>
        <x:v>0.09676466476255931</x:v>
      </x:c>
      <x:c r="Q17" s="9" t="n">
        <x:f>IF(D17=1,INDEX(tun_WinterMult,G17),1)</x:f>
        <x:v>1</x:v>
      </x:c>
      <x:c r="R17" s="9" t="n">
        <x:f>H17*Z16*tun_WomenShare*tun_BaseFertility*INDEX(tun_FertMult,G17)*Arch_Fertility*(1-P17)</x:f>
        <x:v>0.45774652109397423</x:v>
      </x:c>
      <x:c r="S17" s="9" t="n">
        <x:f>H17*Y16*INDEX(tun_MortChild,G17)/4*Q17</x:f>
        <x:v>0.058880407915988385</x:v>
      </x:c>
      <x:c r="T17" s="9" t="n">
        <x:f>H17*Z16*INDEX(tun_MortAdult,G17)*Arch_AdultMort/4*Q17</x:f>
        <x:v>0.02339009745060053</x:v>
      </x:c>
      <x:c r="U17" s="9" t="n">
        <x:f>H17*AA16*INDEX(tun_MortElder,G17)/4*Q17</x:f>
        <x:v>0.031221047256357472</x:v>
      </x:c>
      <x:c r="V17" s="9" t="n">
        <x:f>H17*MAX(0,AB16-O17)*tun_OvercapLoss</x:f>
        <x:v>0</x:v>
      </x:c>
      <x:c r="W17" s="9" t="n">
        <x:f>H17*Y16/(tun_ChildYears*4)</x:f>
        <x:v>0.11682620618251664</x:v>
      </x:c>
      <x:c r="X17" s="9" t="n">
        <x:f>H17*Z16/(tun_AdultYears*4)</x:f>
        <x:v>0.06287660605000142</x:v>
      </x:c>
      <x:c r="Y17" s="32" t="n">
        <x:f>Y16+R17-S17-W17-Y16*V17/AB16</x:f>
        <x:v>6.824307453216401</x:v>
      </x:c>
      <x:c r="Z17" s="32" t="n">
        <x:f>Z16+W17-X17-T17-Z16*V17/AB16</x:f>
        <x:v>7.827258652882092</x:v>
      </x:c>
      <x:c r="AA17" s="32" t="n">
        <x:f>AA16+X17-U17-AA16*V17/AB16</x:f>
        <x:v>2.387961012103642</x:v>
      </x:c>
      <x:c r="AB17" s="10" t="n">
        <x:f>Y17+Z17+AA17</x:f>
        <x:v>17.039527118202134</x:v>
      </x:c>
      <x:c r="AC17" s="8" t="n">
        <x:f>IF(AND(tun_WinterTrigger=1,D17=1,AB16/AE16&gt;=K17),1,0)</x:f>
        <x:v>0</x:v>
      </x:c>
      <x:c r="AD17" s="8" t="n">
        <x:f>H17*IF(AND(OR(AB16/AE16&gt;=tun_FissionTrigger*N17,AC17=1),AB16/AE16*tun_DaughterShare&gt;=tun_MinDaughter),MAX(1,ROUND(AE16*tun_FissionRate,0)),0)</x:f>
        <x:v>0</x:v>
      </x:c>
      <x:c r="AE17" s="8" t="n">
        <x:f>IF(H17=1,MAX(1,MIN(INDEX(tun_Smax,G17),AE16+AD17)),AE16)</x:f>
        <x:v>1</x:v>
      </x:c>
      <x:c r="AF17" s="8" t="n">
        <x:f>MAX(0,AE17-AE16)</x:f>
        <x:v>0</x:v>
      </x:c>
      <x:c r="AG17" s="9" t="str">
        <x:f>IF(AF17&gt;0,B17,"")</x:f>
      </x:c>
      <x:c r="AH17" s="9" t="n">
        <x:f>IF(F17&gt;=1,1,(1+tun_LowTiesShare*(AE17-1))/AE17)</x:f>
        <x:v>1</x:v>
      </x:c>
      <x:c r="AI17" s="32" t="n">
        <x:f>(Z17+tun_ElderCommons*INDEX(LM_Elder,G17)*AA17)*AH17</x:f>
        <x:v>12.603180677089377</x:v>
      </x:c>
      <x:c r="AJ17" s="32" t="n">
        <x:f>H17*tun_CommonsCoef*AI17^tun_CommonsExp*INDEX(LM_Commons,G17)</x:f>
        <x:v>43.385610988433896</x:v>
      </x:c>
      <x:c r="AK17" s="32" t="n">
        <x:f>H17*tun_RoleScale*Arch_Roles*(AE17*(INDEX(tun_ElderRolePerSett,G17)*tun_OutElder*INDEX(LM_Elder,G17)+INDEX(tun_ShamanPerSett,G17)*tun_OutShaman)+Z17*(INDEX(tun_PriestShare,G17)*tun_OutPriest+INDEX(tun_ScribeShare,G17)*tun_OutScribe*INDEX(LM_Scribe,G17)+INDEX(tun_ScholarShare,G17)*tun_OutScholar*INDEX(LM_Scholar,G17)+INDEX(tun_ResearcherShare,G17)*tun_OutResearcher*INDEX(LM_Researcher,G17)))</x:f>
        <x:v>0</x:v>
      </x:c>
      <x:c r="AL17" s="32" t="n">
        <x:f>H17*tun_RoleScale*Arch_Roles*AE17*INDEX(tun_MonasteryPerSett,G17)*tun_OutMonastery*INDEX(LM_Monastery,G17)</x:f>
        <x:v>0</x:v>
      </x:c>
      <x:c r="AM17" s="32" t="n">
        <x:f>(AJ17+AK17+AL17)/4*INDEX(LM_All,G17)*INDEX(tun_Boon,G17)*Arch_Insight</x:f>
        <x:v>10.846402747108474</x:v>
      </x:c>
      <x:c r="AN17" s="32" t="n">
        <x:f>H17*(tun_KHPerAdult*Z17+tun_KHOfCommons*AJ17/4*INDEX(LM_All,G17))*tun_KHUsable*Arch_KH</x:f>
        <x:v>2.6573686730415758</x:v>
      </x:c>
      <x:c r="AO17" s="32" t="n">
        <x:f>MIN(AP16+AN17,AM17*tun_KHMaxRatio)</x:f>
        <x:v>2.6573686730415758</x:v>
      </x:c>
      <x:c r="AP17" s="32" t="n">
        <x:f>AP16+AN17-AO17</x:f>
        <x:v>0</x:v>
      </x:c>
      <x:c r="AQ17" s="32" t="n">
        <x:f>AM17+AO17</x:f>
        <x:v>13.50377142015005</x:v>
      </x:c>
      <x:c r="AR17" s="10" t="n">
        <x:f>IF(H17=1,INDEX(tun_Req,G17),0)</x:f>
        <x:v>409.222</x:v>
      </x:c>
      <x:c r="AS17" s="32" t="n">
        <x:f>IF(H17=1,IF(E17=1,AS16-AR16,AS16)+AQ17,0)</x:f>
        <x:v>184.47982421798216</x:v>
      </x:c>
      <x:c r="AT17" s="11" t="n">
        <x:f>IF(AR17&gt;0,MIN(1,AS17/AR17),1)</x:f>
        <x:v>0.4508062230720298</x:v>
      </x:c>
      <x:c r="AU17" s="10" t="n">
        <x:f>AB17/INDEX(tun_RepScale,G17)</x:f>
        <x:v>17.039527118202134</x:v>
      </x:c>
      <x:c r="AV17" s="32" t="n">
        <x:f>AM17*60/tun_SeasonSeconds</x:f>
        <x:v>43.385610988433896</x:v>
      </x:c>
    </x:row>
    <x:row r="18">
      <x:c r="A18" s="8" t="n">
        <x:f>A17+1</x:f>
        <x:v>15</x:v>
      </x:c>
      <x:c r="B18" s="9" t="n">
        <x:f>A18*tun_SeasonSeconds/60</x:f>
        <x:v>3.75</x:v>
      </x:c>
      <x:c r="C18" s="9" t="n">
        <x:f>A18/4</x:f>
        <x:v>3.75</x:v>
      </x:c>
      <x:c r="D18" s="8" t="n">
        <x:f>IF(MOD(A18,4)=0,1,0)</x:f>
        <x:v>0</x:v>
      </x:c>
      <x:c r="E18" s="8" t="n">
        <x:f>IF(AND(F17&lt;=9,AS17&gt;=AR17),1,0)</x:f>
        <x:v>0</x:v>
      </x:c>
      <x:c r="F18" s="8" t="n">
        <x:f>MIN(10,F17+E18)</x:f>
        <x:v>0</x:v>
      </x:c>
      <x:c r="G18" s="8" t="n">
        <x:f>MIN(F18,9)+1</x:f>
        <x:v>1</x:v>
      </x:c>
      <x:c r="H18" s="8" t="n">
        <x:f>IF(F18&lt;=9,1,0)</x:f>
        <x:v>1</x:v>
      </x:c>
      <x:c r="I18" s="9" t="n">
        <x:f>MIN(10,F17+IF(AR17&gt;0,MIN(1,AS17/AR17),1))</x:f>
        <x:v>0.4508062230720298</x:v>
      </x:c>
      <x:c r="J18" s="32" t="n">
        <x:f>INDEX(tun_FoodCap,G18)*Arch_FoodCap*EXP(tun_CapsByProject*SUMPRODUCT((Cap_Point&lt;=I18)*(Cap_Kind="Food")*Cap_Ln))</x:f>
        <x:v>27.104000000000006</x:v>
      </x:c>
      <x:c r="K18" s="32" t="n">
        <x:f>J18*MIN(1,tun_LeanBase*EXP(tun_CapsByProject*SUMPRODUCT((Cap_Point&lt;=I18)*(Cap_Kind="Lean")*Cap_Ln)))</x:f>
        <x:v>20.870080000000005</x:v>
      </x:c>
      <x:c r="L18" s="10" t="n">
        <x:f>INDEX(tun_HousingCap,G18)*EXP(tun_CapsByProject*SUMPRODUCT((Cap_Point&lt;=I18)*(Cap_Kind="Housing")*Cap_Ln))</x:f>
        <x:v>40</x:v>
      </x:c>
      <x:c r="M18" s="10" t="n">
        <x:f>INDEX(tun_GroupCap,G18)*tun_CohesionFactor*EXP(tun_CapsByProject*SUMPRODUCT((Cap_Point&lt;=I18)*(Cap_Kind="Group")*Cap_Ln))</x:f>
        <x:v>35</x:v>
      </x:c>
      <x:c r="N18" s="32" t="n">
        <x:f>MIN(J18,L18,M18)</x:f>
        <x:v>27.104000000000006</x:v>
      </x:c>
      <x:c r="O18" s="10" t="n">
        <x:f>AE17*N18</x:f>
        <x:v>27.104000000000006</x:v>
      </x:c>
      <x:c r="P18" s="9" t="n">
        <x:f>MIN(1,(AB17/(AE17*IF(tun_GroupInCrowding=1,N18,MIN(J18,L18))))^tun_CrowdingExp)</x:f>
        <x:v>0.06173691107143584</x:v>
      </x:c>
      <x:c r="Q18" s="9" t="n">
        <x:f>IF(D18=1,INDEX(tun_WinterMult,G18),1)</x:f>
        <x:v>1</x:v>
      </x:c>
      <x:c r="R18" s="9" t="n">
        <x:f>H18*Z17*tun_WomenShare*tun_BaseFertility*INDEX(tun_FertMult,G18)*Arch_Fertility*(1-P18)</x:f>
        <x:v>0.477361812297239</x:v>
      </x:c>
      <x:c r="S18" s="9" t="n">
        <x:f>H18*Y17*INDEX(tun_MortChild,G18)/4*Q18</x:f>
        <x:v>0.06141876707894761</x:v>
      </x:c>
      <x:c r="T18" s="9" t="n">
        <x:f>H18*Z17*INDEX(tun_MortAdult,G18)*Arch_AdultMort/4*Q18</x:f>
        <x:v>0.023481775958646277</x:v>
      </x:c>
      <x:c r="U18" s="9" t="n">
        <x:f>H18*AA17*INDEX(tun_MortElder,G18)/4*Q18</x:f>
        <x:v>0.03164048341037325</x:v>
      </x:c>
      <x:c r="V18" s="9" t="n">
        <x:f>H18*MAX(0,AB17-O18)*tun_OvercapLoss</x:f>
        <x:v>0</x:v>
      </x:c>
      <x:c r="W18" s="9" t="n">
        <x:f>H18*Y17/(tun_ChildYears*4)</x:f>
        <x:v>0.12186263309315003</x:v>
      </x:c>
      <x:c r="X18" s="9" t="n">
        <x:f>H18*Z17/(tun_AdultYears*4)</x:f>
        <x:v>0.06312305365227494</x:v>
      </x:c>
      <x:c r="Y18" s="32" t="n">
        <x:f>Y17+R18-S18-W18-Y17*V18/AB17</x:f>
        <x:v>7.1183878653415436</x:v>
      </x:c>
      <x:c r="Z18" s="32" t="n">
        <x:f>Z17+W18-X18-T18-Z17*V18/AB17</x:f>
        <x:v>7.862516456364321</x:v>
      </x:c>
      <x:c r="AA18" s="32" t="n">
        <x:f>AA17+X18-U18-AA17*V18/AB17</x:f>
        <x:v>2.4194435823455436</x:v>
      </x:c>
      <x:c r="AB18" s="10" t="n">
        <x:f>Y18+Z18+AA18</x:f>
        <x:v>17.400347904051408</x:v>
      </x:c>
      <x:c r="AC18" s="8" t="n">
        <x:f>IF(AND(tun_WinterTrigger=1,D18=1,AB17/AE17&gt;=K18),1,0)</x:f>
        <x:v>0</x:v>
      </x:c>
      <x:c r="AD18" s="8" t="n">
        <x:f>H18*IF(AND(OR(AB17/AE17&gt;=tun_FissionTrigger*N18,AC18=1),AB17/AE17*tun_DaughterShare&gt;=tun_MinDaughter),MAX(1,ROUND(AE17*tun_FissionRate,0)),0)</x:f>
        <x:v>0</x:v>
      </x:c>
      <x:c r="AE18" s="8" t="n">
        <x:f>IF(H18=1,MAX(1,MIN(INDEX(tun_Smax,G18),AE17+AD18)),AE17)</x:f>
        <x:v>1</x:v>
      </x:c>
      <x:c r="AF18" s="8" t="n">
        <x:f>MAX(0,AE18-AE17)</x:f>
        <x:v>0</x:v>
      </x:c>
      <x:c r="AG18" s="9" t="str">
        <x:f>IF(AF18&gt;0,B18,"")</x:f>
      </x:c>
      <x:c r="AH18" s="9" t="n">
        <x:f>IF(F18&gt;=1,1,(1+tun_LowTiesShare*(AE18-1))/AE18)</x:f>
        <x:v>1</x:v>
      </x:c>
      <x:c r="AI18" s="32" t="n">
        <x:f>(Z18+tun_ElderCommons*INDEX(LM_Elder,G18)*AA18)*AH18</x:f>
        <x:v>12.701403621055409</x:v>
      </x:c>
      <x:c r="AJ18" s="32" t="n">
        <x:f>H18*tun_CommonsCoef*AI18^tun_CommonsExp*INDEX(LM_Commons,G18)</x:f>
        <x:v>43.67285055244783</x:v>
      </x:c>
      <x:c r="AK18" s="32" t="n">
        <x:f>H18*tun_RoleScale*Arch_Roles*(AE18*(INDEX(tun_ElderRolePerSett,G18)*tun_OutElder*INDEX(LM_Elder,G18)+INDEX(tun_ShamanPerSett,G18)*tun_OutShaman)+Z18*(INDEX(tun_PriestShare,G18)*tun_OutPriest+INDEX(tun_ScribeShare,G18)*tun_OutScribe*INDEX(LM_Scribe,G18)+INDEX(tun_ScholarShare,G18)*tun_OutScholar*INDEX(LM_Scholar,G18)+INDEX(tun_ResearcherShare,G18)*tun_OutResearcher*INDEX(LM_Researcher,G18)))</x:f>
        <x:v>0</x:v>
      </x:c>
      <x:c r="AL18" s="32" t="n">
        <x:f>H18*tun_RoleScale*Arch_Roles*AE18*INDEX(tun_MonasteryPerSett,G18)*tun_OutMonastery*INDEX(LM_Monastery,G18)</x:f>
        <x:v>0</x:v>
      </x:c>
      <x:c r="AM18" s="32" t="n">
        <x:f>(AJ18+AK18+AL18)/4*INDEX(LM_All,G18)*INDEX(tun_Boon,G18)*Arch_Insight</x:f>
        <x:v>10.918212638111957</x:v>
      </x:c>
      <x:c r="AN18" s="32" t="n">
        <x:f>H18*(tun_KHPerAdult*Z18+tun_KHOfCommons*AJ18/4*INDEX(LM_All,G18))*tun_KHUsable*Arch_KH</x:f>
        <x:v>2.674962096337429</x:v>
      </x:c>
      <x:c r="AO18" s="32" t="n">
        <x:f>MIN(AP17+AN18,AM18*tun_KHMaxRatio)</x:f>
        <x:v>2.674962096337429</x:v>
      </x:c>
      <x:c r="AP18" s="32" t="n">
        <x:f>AP17+AN18-AO18</x:f>
        <x:v>0</x:v>
      </x:c>
      <x:c r="AQ18" s="32" t="n">
        <x:f>AM18+AO18</x:f>
        <x:v>13.593174734449386</x:v>
      </x:c>
      <x:c r="AR18" s="10" t="n">
        <x:f>IF(H18=1,INDEX(tun_Req,G18),0)</x:f>
        <x:v>409.222</x:v>
      </x:c>
      <x:c r="AS18" s="32" t="n">
        <x:f>IF(H18=1,IF(E18=1,AS17-AR17,AS17)+AQ18,0)</x:f>
        <x:v>198.07299895243153</x:v>
      </x:c>
      <x:c r="AT18" s="11" t="n">
        <x:f>IF(AR18&gt;0,MIN(1,AS18/AR18),1)</x:f>
        <x:v>0.4840233392936634</x:v>
      </x:c>
      <x:c r="AU18" s="10" t="n">
        <x:f>AB18/INDEX(tun_RepScale,G18)</x:f>
        <x:v>17.400347904051408</x:v>
      </x:c>
      <x:c r="AV18" s="32" t="n">
        <x:f>AM18*60/tun_SeasonSeconds</x:f>
        <x:v>43.67285055244783</x:v>
      </x:c>
    </x:row>
    <x:row r="19">
      <x:c r="A19" s="8" t="n">
        <x:f>A18+1</x:f>
        <x:v>16</x:v>
      </x:c>
      <x:c r="B19" s="9" t="n">
        <x:f>A19*tun_SeasonSeconds/60</x:f>
        <x:v>4</x:v>
      </x:c>
      <x:c r="C19" s="9" t="n">
        <x:f>A19/4</x:f>
        <x:v>4</x:v>
      </x:c>
      <x:c r="D19" s="8" t="n">
        <x:f>IF(MOD(A19,4)=0,1,0)</x:f>
        <x:v>1</x:v>
      </x:c>
      <x:c r="E19" s="8" t="n">
        <x:f>IF(AND(F18&lt;=9,AS18&gt;=AR18),1,0)</x:f>
        <x:v>0</x:v>
      </x:c>
      <x:c r="F19" s="8" t="n">
        <x:f>MIN(10,F18+E19)</x:f>
        <x:v>0</x:v>
      </x:c>
      <x:c r="G19" s="8" t="n">
        <x:f>MIN(F19,9)+1</x:f>
        <x:v>1</x:v>
      </x:c>
      <x:c r="H19" s="8" t="n">
        <x:f>IF(F19&lt;=9,1,0)</x:f>
        <x:v>1</x:v>
      </x:c>
      <x:c r="I19" s="9" t="n">
        <x:f>MIN(10,F18+IF(AR18&gt;0,MIN(1,AS18/AR18),1))</x:f>
        <x:v>0.4840233392936634</x:v>
      </x:c>
      <x:c r="J19" s="32" t="n">
        <x:f>INDEX(tun_FoodCap,G19)*Arch_FoodCap*EXP(tun_CapsByProject*SUMPRODUCT((Cap_Point&lt;=I19)*(Cap_Kind="Food")*Cap_Ln))</x:f>
        <x:v>27.104000000000006</x:v>
      </x:c>
      <x:c r="K19" s="32" t="n">
        <x:f>J19*MIN(1,tun_LeanBase*EXP(tun_CapsByProject*SUMPRODUCT((Cap_Point&lt;=I19)*(Cap_Kind="Lean")*Cap_Ln)))</x:f>
        <x:v>20.870080000000005</x:v>
      </x:c>
      <x:c r="L19" s="10" t="n">
        <x:f>INDEX(tun_HousingCap,G19)*EXP(tun_CapsByProject*SUMPRODUCT((Cap_Point&lt;=I19)*(Cap_Kind="Housing")*Cap_Ln))</x:f>
        <x:v>40</x:v>
      </x:c>
      <x:c r="M19" s="10" t="n">
        <x:f>INDEX(tun_GroupCap,G19)*tun_CohesionFactor*EXP(tun_CapsByProject*SUMPRODUCT((Cap_Point&lt;=I19)*(Cap_Kind="Group")*Cap_Ln))</x:f>
        <x:v>35</x:v>
      </x:c>
      <x:c r="N19" s="32" t="n">
        <x:f>MIN(J19,L19,M19)</x:f>
        <x:v>27.104000000000006</x:v>
      </x:c>
      <x:c r="O19" s="10" t="n">
        <x:f>AE18*N19</x:f>
        <x:v>27.104000000000006</x:v>
      </x:c>
      <x:c r="P19" s="9" t="n">
        <x:f>MIN(1,(AB18/(AE18*IF(tun_GroupInCrowding=1,N19,MIN(J19,L19))))^tun_CrowdingExp)</x:f>
        <x:v>0.07000793349023327</x:v>
      </x:c>
      <x:c r="Q19" s="9" t="n">
        <x:f>IF(D19=1,INDEX(tun_WinterMult,G19),1)</x:f>
        <x:v>2</x:v>
      </x:c>
      <x:c r="R19" s="9" t="n">
        <x:f>H19*Z18*tun_WomenShare*tun_BaseFertility*INDEX(tun_FertMult,G19)*Arch_Fertility*(1-P19)</x:f>
        <x:v>0.4752850652693847</x:v>
      </x:c>
      <x:c r="S19" s="9" t="n">
        <x:f>H19*Y18*INDEX(tun_MortChild,G19)/4*Q19</x:f>
        <x:v>0.12813098157614777</x:v>
      </x:c>
      <x:c r="T19" s="9" t="n">
        <x:f>H19*Z18*INDEX(tun_MortAdult,G19)*Arch_AdultMort/4*Q19</x:f>
        <x:v>0.04717509873818593</x:v>
      </x:c>
      <x:c r="U19" s="9" t="n">
        <x:f>H19*AA18*INDEX(tun_MortElder,G19)/4*Q19</x:f>
        <x:v>0.0641152549321569</x:v>
      </x:c>
      <x:c r="V19" s="9" t="n">
        <x:f>H19*MAX(0,AB18-O19)*tun_OvercapLoss</x:f>
        <x:v>0</x:v>
      </x:c>
      <x:c r="W19" s="9" t="n">
        <x:f>H19*Y18/(tun_ChildYears*4)</x:f>
        <x:v>0.12711406902395614</x:v>
      </x:c>
      <x:c r="X19" s="9" t="n">
        <x:f>H19*Z18/(tun_AdultYears*4)</x:f>
        <x:v>0.06340739077713162</x:v>
      </x:c>
      <x:c r="Y19" s="32" t="n">
        <x:f>Y18+R19-S19-W19-Y18*V19/AB18</x:f>
        <x:v>7.3384278800108245</x:v>
      </x:c>
      <x:c r="Z19" s="32" t="n">
        <x:f>Z18+W19-X19-T19-Z18*V19/AB18</x:f>
        <x:v>7.87904803587296</x:v>
      </x:c>
      <x:c r="AA19" s="32" t="n">
        <x:f>AA18+X19-U19-AA18*V19/AB18</x:f>
        <x:v>2.4187357181905185</x:v>
      </x:c>
      <x:c r="AB19" s="10" t="n">
        <x:f>Y19+Z19+AA19</x:f>
        <x:v>17.636211634074304</x:v>
      </x:c>
      <x:c r="AC19" s="8" t="n">
        <x:f>IF(AND(tun_WinterTrigger=1,D19=1,AB18/AE18&gt;=K19),1,0)</x:f>
        <x:v>0</x:v>
      </x:c>
      <x:c r="AD19" s="8" t="n">
        <x:f>H19*IF(AND(OR(AB18/AE18&gt;=tun_FissionTrigger*N19,AC19=1),AB18/AE18*tun_DaughterShare&gt;=tun_MinDaughter),MAX(1,ROUND(AE18*tun_FissionRate,0)),0)</x:f>
        <x:v>0</x:v>
      </x:c>
      <x:c r="AE19" s="8" t="n">
        <x:f>IF(H19=1,MAX(1,MIN(INDEX(tun_Smax,G19),AE18+AD19)),AE18)</x:f>
        <x:v>1</x:v>
      </x:c>
      <x:c r="AF19" s="8" t="n">
        <x:f>MAX(0,AE19-AE18)</x:f>
        <x:v>0</x:v>
      </x:c>
      <x:c r="AG19" s="9" t="str">
        <x:f>IF(AF19&gt;0,B19,"")</x:f>
      </x:c>
      <x:c r="AH19" s="9" t="n">
        <x:f>IF(F19&gt;=1,1,(1+tun_LowTiesShare*(AE19-1))/AE19)</x:f>
        <x:v>1</x:v>
      </x:c>
      <x:c r="AI19" s="32" t="n">
        <x:f>(Z19+tun_ElderCommons*INDEX(LM_Elder,G19)*AA19)*AH19</x:f>
        <x:v>12.716519472253996</x:v>
      </x:c>
      <x:c r="AJ19" s="32" t="n">
        <x:f>H19*tun_CommonsCoef*AI19^tun_CommonsExp*INDEX(LM_Commons,G19)</x:f>
        <x:v>43.717025150678865</x:v>
      </x:c>
      <x:c r="AK19" s="32" t="n">
        <x:f>H19*tun_RoleScale*Arch_Roles*(AE19*(INDEX(tun_ElderRolePerSett,G19)*tun_OutElder*INDEX(LM_Elder,G19)+INDEX(tun_ShamanPerSett,G19)*tun_OutShaman)+Z19*(INDEX(tun_PriestShare,G19)*tun_OutPriest+INDEX(tun_ScribeShare,G19)*tun_OutScribe*INDEX(LM_Scribe,G19)+INDEX(tun_ScholarShare,G19)*tun_OutScholar*INDEX(LM_Scholar,G19)+INDEX(tun_ResearcherShare,G19)*tun_OutResearcher*INDEX(LM_Researcher,G19)))</x:f>
        <x:v>0</x:v>
      </x:c>
      <x:c r="AL19" s="32" t="n">
        <x:f>H19*tun_RoleScale*Arch_Roles*AE19*INDEX(tun_MonasteryPerSett,G19)*tun_OutMonastery*INDEX(LM_Monastery,G19)</x:f>
        <x:v>0</x:v>
      </x:c>
      <x:c r="AM19" s="32" t="n">
        <x:f>(AJ19+AK19+AL19)/4*INDEX(LM_All,G19)*INDEX(tun_Boon,G19)*Arch_Insight</x:f>
        <x:v>10.929256287669716</x:v>
      </x:c>
      <x:c r="AN19" s="32" t="n">
        <x:f>H19*(tun_KHPerAdult*Z19+tun_KHOfCommons*AJ19/4*INDEX(LM_All,G19))*tun_KHUsable*Arch_KH</x:f>
        <x:v>2.6776677904790804</x:v>
      </x:c>
      <x:c r="AO19" s="32" t="n">
        <x:f>MIN(AP18+AN19,AM19*tun_KHMaxRatio)</x:f>
        <x:v>2.6776677904790804</x:v>
      </x:c>
      <x:c r="AP19" s="32" t="n">
        <x:f>AP18+AN19-AO19</x:f>
        <x:v>0</x:v>
      </x:c>
      <x:c r="AQ19" s="32" t="n">
        <x:f>AM19+AO19</x:f>
        <x:v>13.606924078148797</x:v>
      </x:c>
      <x:c r="AR19" s="10" t="n">
        <x:f>IF(H19=1,INDEX(tun_Req,G19),0)</x:f>
        <x:v>409.222</x:v>
      </x:c>
      <x:c r="AS19" s="32" t="n">
        <x:f>IF(H19=1,IF(E19=1,AS18-AR18,AS18)+AQ19,0)</x:f>
        <x:v>211.67992303058034</x:v>
      </x:c>
      <x:c r="AT19" s="11" t="n">
        <x:f>IF(AR19&gt;0,MIN(1,AS19/AR19),1)</x:f>
        <x:v>0.5172740542555883</x:v>
      </x:c>
      <x:c r="AU19" s="10" t="n">
        <x:f>AB19/INDEX(tun_RepScale,G19)</x:f>
        <x:v>17.636211634074304</x:v>
      </x:c>
      <x:c r="AV19" s="32" t="n">
        <x:f>AM19*60/tun_SeasonSeconds</x:f>
        <x:v>43.717025150678865</x:v>
      </x:c>
    </x:row>
    <x:row r="20">
      <x:c r="A20" s="8" t="n">
        <x:f>A19+1</x:f>
        <x:v>17</x:v>
      </x:c>
      <x:c r="B20" s="9" t="n">
        <x:f>A20*tun_SeasonSeconds/60</x:f>
        <x:v>4.25</x:v>
      </x:c>
      <x:c r="C20" s="9" t="n">
        <x:f>A20/4</x:f>
        <x:v>4.25</x:v>
      </x:c>
      <x:c r="D20" s="8" t="n">
        <x:f>IF(MOD(A20,4)=0,1,0)</x:f>
        <x:v>0</x:v>
      </x:c>
      <x:c r="E20" s="8" t="n">
        <x:f>IF(AND(F19&lt;=9,AS19&gt;=AR19),1,0)</x:f>
        <x:v>0</x:v>
      </x:c>
      <x:c r="F20" s="8" t="n">
        <x:f>MIN(10,F19+E20)</x:f>
        <x:v>0</x:v>
      </x:c>
      <x:c r="G20" s="8" t="n">
        <x:f>MIN(F20,9)+1</x:f>
        <x:v>1</x:v>
      </x:c>
      <x:c r="H20" s="8" t="n">
        <x:f>IF(F20&lt;=9,1,0)</x:f>
        <x:v>1</x:v>
      </x:c>
      <x:c r="I20" s="9" t="n">
        <x:f>MIN(10,F19+IF(AR19&gt;0,MIN(1,AS19/AR19),1))</x:f>
        <x:v>0.5172740542555883</x:v>
      </x:c>
      <x:c r="J20" s="32" t="n">
        <x:f>INDEX(tun_FoodCap,G20)*Arch_FoodCap*EXP(tun_CapsByProject*SUMPRODUCT((Cap_Point&lt;=I20)*(Cap_Kind="Food")*Cap_Ln))</x:f>
        <x:v>27.104000000000006</x:v>
      </x:c>
      <x:c r="K20" s="32" t="n">
        <x:f>J20*MIN(1,tun_LeanBase*EXP(tun_CapsByProject*SUMPRODUCT((Cap_Point&lt;=I20)*(Cap_Kind="Lean")*Cap_Ln)))</x:f>
        <x:v>20.870080000000005</x:v>
      </x:c>
      <x:c r="L20" s="10" t="n">
        <x:f>INDEX(tun_HousingCap,G20)*EXP(tun_CapsByProject*SUMPRODUCT((Cap_Point&lt;=I20)*(Cap_Kind="Housing")*Cap_Ln))</x:f>
        <x:v>40</x:v>
      </x:c>
      <x:c r="M20" s="10" t="n">
        <x:f>INDEX(tun_GroupCap,G20)*tun_CohesionFactor*EXP(tun_CapsByProject*SUMPRODUCT((Cap_Point&lt;=I20)*(Cap_Kind="Group")*Cap_Ln))</x:f>
        <x:v>35</x:v>
      </x:c>
      <x:c r="N20" s="32" t="n">
        <x:f>MIN(J20,L20,M20)</x:f>
        <x:v>27.104000000000006</x:v>
      </x:c>
      <x:c r="O20" s="10" t="n">
        <x:f>AE19*N20</x:f>
        <x:v>27.104000000000006</x:v>
      </x:c>
      <x:c r="P20" s="9" t="n">
        <x:f>MIN(1,(AB19/(AE19*IF(tun_GroupInCrowding=1,N20,MIN(J20,L20))))^tun_CrowdingExp)</x:f>
        <x:v>0.07589820035723542</x:v>
      </x:c>
      <x:c r="Q20" s="9" t="n">
        <x:f>IF(D20=1,INDEX(tun_WinterMult,G20),1)</x:f>
        <x:v>1</x:v>
      </x:c>
      <x:c r="R20" s="9" t="n">
        <x:f>H20*Z19*tun_WomenShare*tun_BaseFertility*INDEX(tun_FertMult,G20)*Arch_Fertility*(1-P20)</x:f>
        <x:v>0.47326776051242947</x:v>
      </x:c>
      <x:c r="S20" s="9" t="n">
        <x:f>H20*Y19*INDEX(tun_MortChild,G20)/4*Q20</x:f>
        <x:v>0.06604585092009742</x:v>
      </x:c>
      <x:c r="T20" s="9" t="n">
        <x:f>H20*Z19*INDEX(tun_MortAdult,G20)*Arch_AdultMort/4*Q20</x:f>
        <x:v>0.02363714410761888</x:v>
      </x:c>
      <x:c r="U20" s="9" t="n">
        <x:f>H20*AA19*INDEX(tun_MortElder,G20)/4*Q20</x:f>
        <x:v>0.03204824826602437</x:v>
      </x:c>
      <x:c r="V20" s="9" t="n">
        <x:f>H20*MAX(0,AB19-O20)*tun_OvercapLoss</x:f>
        <x:v>0</x:v>
      </x:c>
      <x:c r="W20" s="9" t="n">
        <x:f>H20*Y19/(tun_ChildYears*4)</x:f>
        <x:v>0.1310433550001933</x:v>
      </x:c>
      <x:c r="X20" s="9" t="n">
        <x:f>H20*Z19/(tun_AdultYears*4)</x:f>
        <x:v>0.06354070996671742</x:v>
      </x:c>
      <x:c r="Y20" s="32" t="n">
        <x:f>Y19+R20-S20-W20-Y19*V20/AB19</x:f>
        <x:v>7.614606434602963</x:v>
      </x:c>
      <x:c r="Z20" s="32" t="n">
        <x:f>Z19+W20-X20-T20-Z19*V20/AB19</x:f>
        <x:v>7.922913536798817</x:v>
      </x:c>
      <x:c r="AA20" s="32" t="n">
        <x:f>AA19+X20-U20-AA19*V20/AB19</x:f>
        <x:v>2.4502281798912118</x:v>
      </x:c>
      <x:c r="AB20" s="10" t="n">
        <x:f>Y20+Z20+AA20</x:f>
        <x:v>17.98774815129299</x:v>
      </x:c>
      <x:c r="AC20" s="8" t="n">
        <x:f>IF(AND(tun_WinterTrigger=1,D20=1,AB19/AE19&gt;=K20),1,0)</x:f>
        <x:v>0</x:v>
      </x:c>
      <x:c r="AD20" s="8" t="n">
        <x:f>H20*IF(AND(OR(AB19/AE19&gt;=tun_FissionTrigger*N20,AC20=1),AB19/AE19*tun_DaughterShare&gt;=tun_MinDaughter),MAX(1,ROUND(AE19*tun_FissionRate,0)),0)</x:f>
        <x:v>0</x:v>
      </x:c>
      <x:c r="AE20" s="8" t="n">
        <x:f>IF(H20=1,MAX(1,MIN(INDEX(tun_Smax,G20),AE19+AD20)),AE19)</x:f>
        <x:v>1</x:v>
      </x:c>
      <x:c r="AF20" s="8" t="n">
        <x:f>MAX(0,AE20-AE19)</x:f>
        <x:v>0</x:v>
      </x:c>
      <x:c r="AG20" s="9" t="str">
        <x:f>IF(AF20&gt;0,B20,"")</x:f>
      </x:c>
      <x:c r="AH20" s="9" t="n">
        <x:f>IF(F20&gt;=1,1,(1+tun_LowTiesShare*(AE20-1))/AE20)</x:f>
        <x:v>1</x:v>
      </x:c>
      <x:c r="AI20" s="32" t="n">
        <x:f>(Z20+tun_ElderCommons*INDEX(LM_Elder,G20)*AA20)*AH20</x:f>
        <x:v>12.82336989658124</x:v>
      </x:c>
      <x:c r="AJ20" s="32" t="n">
        <x:f>H20*tun_CommonsCoef*AI20^tun_CommonsExp*INDEX(LM_Commons,G20)</x:f>
        <x:v>44.0290610938923</x:v>
      </x:c>
      <x:c r="AK20" s="32" t="n">
        <x:f>H20*tun_RoleScale*Arch_Roles*(AE20*(INDEX(tun_ElderRolePerSett,G20)*tun_OutElder*INDEX(LM_Elder,G20)+INDEX(tun_ShamanPerSett,G20)*tun_OutShaman)+Z20*(INDEX(tun_PriestShare,G20)*tun_OutPriest+INDEX(tun_ScribeShare,G20)*tun_OutScribe*INDEX(LM_Scribe,G20)+INDEX(tun_ScholarShare,G20)*tun_OutScholar*INDEX(LM_Scholar,G20)+INDEX(tun_ResearcherShare,G20)*tun_OutResearcher*INDEX(LM_Researcher,G20)))</x:f>
        <x:v>0</x:v>
      </x:c>
      <x:c r="AL20" s="32" t="n">
        <x:f>H20*tun_RoleScale*Arch_Roles*AE20*INDEX(tun_MonasteryPerSett,G20)*tun_OutMonastery*INDEX(LM_Monastery,G20)</x:f>
        <x:v>0</x:v>
      </x:c>
      <x:c r="AM20" s="32" t="n">
        <x:f>(AJ20+AK20+AL20)/4*INDEX(LM_All,G20)*INDEX(tun_Boon,G20)*Arch_Insight</x:f>
        <x:v>11.007265273473076</x:v>
      </x:c>
      <x:c r="AN20" s="32" t="n">
        <x:f>H20*(tun_KHPerAdult*Z20+tun_KHOfCommons*AJ20/4*INDEX(LM_All,G20))*tun_KHUsable*Arch_KH</x:f>
        <x:v>2.6967799920009035</x:v>
      </x:c>
      <x:c r="AO20" s="32" t="n">
        <x:f>MIN(AP19+AN20,AM20*tun_KHMaxRatio)</x:f>
        <x:v>2.6967799920009035</x:v>
      </x:c>
      <x:c r="AP20" s="32" t="n">
        <x:f>AP19+AN20-AO20</x:f>
        <x:v>0</x:v>
      </x:c>
      <x:c r="AQ20" s="32" t="n">
        <x:f>AM20+AO20</x:f>
        <x:v>13.70404526547398</x:v>
      </x:c>
      <x:c r="AR20" s="10" t="n">
        <x:f>IF(H20=1,INDEX(tun_Req,G20),0)</x:f>
        <x:v>409.222</x:v>
      </x:c>
      <x:c r="AS20" s="32" t="n">
        <x:f>IF(H20=1,IF(E20=1,AS19-AR19,AS19)+AQ20,0)</x:f>
        <x:v>225.38396829605432</x:v>
      </x:c>
      <x:c r="AT20" s="11" t="n">
        <x:f>IF(AR20&gt;0,MIN(1,AS20/AR20),1)</x:f>
        <x:v>0.5507621005128129</x:v>
      </x:c>
      <x:c r="AU20" s="10" t="n">
        <x:f>AB20/INDEX(tun_RepScale,G20)</x:f>
        <x:v>17.98774815129299</x:v>
      </x:c>
      <x:c r="AV20" s="32" t="n">
        <x:f>AM20*60/tun_SeasonSeconds</x:f>
        <x:v>44.0290610938923</x:v>
      </x:c>
    </x:row>
    <x:row r="21">
      <x:c r="A21" s="8" t="n">
        <x:f>A20+1</x:f>
        <x:v>18</x:v>
      </x:c>
      <x:c r="B21" s="9" t="n">
        <x:f>A21*tun_SeasonSeconds/60</x:f>
        <x:v>4.5</x:v>
      </x:c>
      <x:c r="C21" s="9" t="n">
        <x:f>A21/4</x:f>
        <x:v>4.5</x:v>
      </x:c>
      <x:c r="D21" s="8" t="n">
        <x:f>IF(MOD(A21,4)=0,1,0)</x:f>
        <x:v>0</x:v>
      </x:c>
      <x:c r="E21" s="8" t="n">
        <x:f>IF(AND(F20&lt;=9,AS20&gt;=AR20),1,0)</x:f>
        <x:v>0</x:v>
      </x:c>
      <x:c r="F21" s="8" t="n">
        <x:f>MIN(10,F20+E21)</x:f>
        <x:v>0</x:v>
      </x:c>
      <x:c r="G21" s="8" t="n">
        <x:f>MIN(F21,9)+1</x:f>
        <x:v>1</x:v>
      </x:c>
      <x:c r="H21" s="8" t="n">
        <x:f>IF(F21&lt;=9,1,0)</x:f>
        <x:v>1</x:v>
      </x:c>
      <x:c r="I21" s="9" t="n">
        <x:f>MIN(10,F20+IF(AR20&gt;0,MIN(1,AS20/AR20),1))</x:f>
        <x:v>0.5507621005128129</x:v>
      </x:c>
      <x:c r="J21" s="32" t="n">
        <x:f>INDEX(tun_FoodCap,G21)*Arch_FoodCap*EXP(tun_CapsByProject*SUMPRODUCT((Cap_Point&lt;=I21)*(Cap_Kind="Food")*Cap_Ln))</x:f>
        <x:v>27.104000000000006</x:v>
      </x:c>
      <x:c r="K21" s="32" t="n">
        <x:f>J21*MIN(1,tun_LeanBase*EXP(tun_CapsByProject*SUMPRODUCT((Cap_Point&lt;=I21)*(Cap_Kind="Lean")*Cap_Ln)))</x:f>
        <x:v>20.870080000000005</x:v>
      </x:c>
      <x:c r="L21" s="10" t="n">
        <x:f>INDEX(tun_HousingCap,G21)*EXP(tun_CapsByProject*SUMPRODUCT((Cap_Point&lt;=I21)*(Cap_Kind="Housing")*Cap_Ln))</x:f>
        <x:v>40</x:v>
      </x:c>
      <x:c r="M21" s="10" t="n">
        <x:f>INDEX(tun_GroupCap,G21)*tun_CohesionFactor*EXP(tun_CapsByProject*SUMPRODUCT((Cap_Point&lt;=I21)*(Cap_Kind="Group")*Cap_Ln))</x:f>
        <x:v>35</x:v>
      </x:c>
      <x:c r="N21" s="32" t="n">
        <x:f>MIN(J21,L21,M21)</x:f>
        <x:v>27.104000000000006</x:v>
      </x:c>
      <x:c r="O21" s="10" t="n">
        <x:f>AE20*N21</x:f>
        <x:v>27.104000000000006</x:v>
      </x:c>
      <x:c r="P21" s="9" t="n">
        <x:f>MIN(1,(AB20/(AE20*IF(tun_GroupInCrowding=1,N21,MIN(J21,L21))))^tun_CrowdingExp)</x:f>
        <x:v>0.0854398462288449</x:v>
      </x:c>
      <x:c r="Q21" s="9" t="n">
        <x:f>IF(D21=1,INDEX(tun_WinterMult,G21),1)</x:f>
        <x:v>1</x:v>
      </x:c>
      <x:c r="R21" s="9" t="n">
        <x:f>H21*Z20*tun_WomenShare*tun_BaseFertility*INDEX(tun_FertMult,G21)*Arch_Fertility*(1-P21)</x:f>
        <x:v>0.4709887664644691</x:v>
      </x:c>
      <x:c r="S21" s="9" t="n">
        <x:f>H21*Y20*INDEX(tun_MortChild,G21)/4*Q21</x:f>
        <x:v>0.06853145791142666</x:v>
      </x:c>
      <x:c r="T21" s="9" t="n">
        <x:f>H21*Z20*INDEX(tun_MortAdult,G21)*Arch_AdultMort/4*Q21</x:f>
        <x:v>0.023768740610396452</x:v>
      </x:c>
      <x:c r="U21" s="9" t="n">
        <x:f>H21*AA20*INDEX(tun_MortElder,G21)/4*Q21</x:f>
        <x:v>0.032465523383558556</x:v>
      </x:c>
      <x:c r="V21" s="9" t="n">
        <x:f>H21*MAX(0,AB20-O21)*tun_OvercapLoss</x:f>
        <x:v>0</x:v>
      </x:c>
      <x:c r="W21" s="9" t="n">
        <x:f>H21*Y20/(tun_ChildYears*4)</x:f>
        <x:v>0.13597511490362432</x:v>
      </x:c>
      <x:c r="X21" s="9" t="n">
        <x:f>H21*Z20/(tun_AdultYears*4)</x:f>
        <x:v>0.06389446400644208</x:v>
      </x:c>
      <x:c r="Y21" s="32" t="n">
        <x:f>Y20+R21-S21-W21-Y20*V21/AB20</x:f>
        <x:v>7.881088628252382</x:v>
      </x:c>
      <x:c r="Z21" s="32" t="n">
        <x:f>Z20+W21-X21-T21-Z20*V21/AB20</x:f>
        <x:v>7.971225447085602</x:v>
      </x:c>
      <x:c r="AA21" s="32" t="n">
        <x:f>AA20+X21-U21-AA20*V21/AB20</x:f>
        <x:v>2.4816571205140954</x:v>
      </x:c>
      <x:c r="AB21" s="10" t="n">
        <x:f>Y21+Z21+AA21</x:f>
        <x:v>18.33397119585208</x:v>
      </x:c>
      <x:c r="AC21" s="8" t="n">
        <x:f>IF(AND(tun_WinterTrigger=1,D21=1,AB20/AE20&gt;=K21),1,0)</x:f>
        <x:v>0</x:v>
      </x:c>
      <x:c r="AD21" s="8" t="n">
        <x:f>H21*IF(AND(OR(AB20/AE20&gt;=tun_FissionTrigger*N21,AC21=1),AB20/AE20*tun_DaughterShare&gt;=tun_MinDaughter),MAX(1,ROUND(AE20*tun_FissionRate,0)),0)</x:f>
        <x:v>0</x:v>
      </x:c>
      <x:c r="AE21" s="8" t="n">
        <x:f>IF(H21=1,MAX(1,MIN(INDEX(tun_Smax,G21),AE20+AD21)),AE20)</x:f>
        <x:v>1</x:v>
      </x:c>
      <x:c r="AF21" s="8" t="n">
        <x:f>MAX(0,AE21-AE20)</x:f>
        <x:v>0</x:v>
      </x:c>
      <x:c r="AG21" s="9" t="str">
        <x:f>IF(AF21&gt;0,B21,"")</x:f>
      </x:c>
      <x:c r="AH21" s="9" t="n">
        <x:f>IF(F21&gt;=1,1,(1+tun_LowTiesShare*(AE21-1))/AE21)</x:f>
        <x:v>1</x:v>
      </x:c>
      <x:c r="AI21" s="32" t="n">
        <x:f>(Z21+tun_ElderCommons*INDEX(LM_Elder,G21)*AA21)*AH21</x:f>
        <x:v>12.934539688113793</x:v>
      </x:c>
      <x:c r="AJ21" s="32" t="n">
        <x:f>H21*tun_CommonsCoef*AI21^tun_CommonsExp*INDEX(LM_Commons,G21)</x:f>
        <x:v>44.353297245968314</x:v>
      </x:c>
      <x:c r="AK21" s="32" t="n">
        <x:f>H21*tun_RoleScale*Arch_Roles*(AE21*(INDEX(tun_ElderRolePerSett,G21)*tun_OutElder*INDEX(LM_Elder,G21)+INDEX(tun_ShamanPerSett,G21)*tun_OutShaman)+Z21*(INDEX(tun_PriestShare,G21)*tun_OutPriest+INDEX(tun_ScribeShare,G21)*tun_OutScribe*INDEX(LM_Scribe,G21)+INDEX(tun_ScholarShare,G21)*tun_OutScholar*INDEX(LM_Scholar,G21)+INDEX(tun_ResearcherShare,G21)*tun_OutResearcher*INDEX(LM_Researcher,G21)))</x:f>
        <x:v>0</x:v>
      </x:c>
      <x:c r="AL21" s="32" t="n">
        <x:f>H21*tun_RoleScale*Arch_Roles*AE21*INDEX(tun_MonasteryPerSett,G21)*tun_OutMonastery*INDEX(LM_Monastery,G21)</x:f>
        <x:v>0</x:v>
      </x:c>
      <x:c r="AM21" s="32" t="n">
        <x:f>(AJ21+AK21+AL21)/4*INDEX(LM_All,G21)*INDEX(tun_Boon,G21)*Arch_Insight</x:f>
        <x:v>11.088324311492078</x:v>
      </x:c>
      <x:c r="AN21" s="32" t="n">
        <x:f>H21*(tun_KHPerAdult*Z21+tun_KHOfCommons*AJ21/4*INDEX(LM_All,G21))*tun_KHUsable*Arch_KH</x:f>
        <x:v>2.716639456315559</x:v>
      </x:c>
      <x:c r="AO21" s="32" t="n">
        <x:f>MIN(AP20+AN21,AM21*tun_KHMaxRatio)</x:f>
        <x:v>2.716639456315559</x:v>
      </x:c>
      <x:c r="AP21" s="32" t="n">
        <x:f>AP20+AN21-AO21</x:f>
        <x:v>0</x:v>
      </x:c>
      <x:c r="AQ21" s="32" t="n">
        <x:f>AM21+AO21</x:f>
        <x:v>13.804963767807637</x:v>
      </x:c>
      <x:c r="AR21" s="10" t="n">
        <x:f>IF(H21=1,INDEX(tun_Req,G21),0)</x:f>
        <x:v>409.222</x:v>
      </x:c>
      <x:c r="AS21" s="32" t="n">
        <x:f>IF(H21=1,IF(E21=1,AS20-AR20,AS20)+AQ21,0)</x:f>
        <x:v>239.18893206386196</x:v>
      </x:c>
      <x:c r="AT21" s="11" t="n">
        <x:f>IF(AR21&gt;0,MIN(1,AS21/AR21),1)</x:f>
        <x:v>0.5844967574173968</x:v>
      </x:c>
      <x:c r="AU21" s="10" t="n">
        <x:f>AB21/INDEX(tun_RepScale,G21)</x:f>
        <x:v>18.33397119585208</x:v>
      </x:c>
      <x:c r="AV21" s="32" t="n">
        <x:f>AM21*60/tun_SeasonSeconds</x:f>
        <x:v>44.353297245968314</x:v>
      </x:c>
    </x:row>
    <x:row r="22">
      <x:c r="A22" s="8" t="n">
        <x:f>A21+1</x:f>
        <x:v>19</x:v>
      </x:c>
      <x:c r="B22" s="9" t="n">
        <x:f>A22*tun_SeasonSeconds/60</x:f>
        <x:v>4.75</x:v>
      </x:c>
      <x:c r="C22" s="9" t="n">
        <x:f>A22/4</x:f>
        <x:v>4.75</x:v>
      </x:c>
      <x:c r="D22" s="8" t="n">
        <x:f>IF(MOD(A22,4)=0,1,0)</x:f>
        <x:v>0</x:v>
      </x:c>
      <x:c r="E22" s="8" t="n">
        <x:f>IF(AND(F21&lt;=9,AS21&gt;=AR21),1,0)</x:f>
        <x:v>0</x:v>
      </x:c>
      <x:c r="F22" s="8" t="n">
        <x:f>MIN(10,F21+E22)</x:f>
        <x:v>0</x:v>
      </x:c>
      <x:c r="G22" s="8" t="n">
        <x:f>MIN(F22,9)+1</x:f>
        <x:v>1</x:v>
      </x:c>
      <x:c r="H22" s="8" t="n">
        <x:f>IF(F22&lt;=9,1,0)</x:f>
        <x:v>1</x:v>
      </x:c>
      <x:c r="I22" s="9" t="n">
        <x:f>MIN(10,F21+IF(AR21&gt;0,MIN(1,AS21/AR21),1))</x:f>
        <x:v>0.5844967574173968</x:v>
      </x:c>
      <x:c r="J22" s="32" t="n">
        <x:f>INDEX(tun_FoodCap,G22)*Arch_FoodCap*EXP(tun_CapsByProject*SUMPRODUCT((Cap_Point&lt;=I22)*(Cap_Kind="Food")*Cap_Ln))</x:f>
        <x:v>27.104000000000006</x:v>
      </x:c>
      <x:c r="K22" s="32" t="n">
        <x:f>J22*MIN(1,tun_LeanBase*EXP(tun_CapsByProject*SUMPRODUCT((Cap_Point&lt;=I22)*(Cap_Kind="Lean")*Cap_Ln)))</x:f>
        <x:v>20.870080000000005</x:v>
      </x:c>
      <x:c r="L22" s="10" t="n">
        <x:f>INDEX(tun_HousingCap,G22)*EXP(tun_CapsByProject*SUMPRODUCT((Cap_Point&lt;=I22)*(Cap_Kind="Housing")*Cap_Ln))</x:f>
        <x:v>40</x:v>
      </x:c>
      <x:c r="M22" s="10" t="n">
        <x:f>INDEX(tun_GroupCap,G22)*tun_CohesionFactor*EXP(tun_CapsByProject*SUMPRODUCT((Cap_Point&lt;=I22)*(Cap_Kind="Group")*Cap_Ln))</x:f>
        <x:v>35</x:v>
      </x:c>
      <x:c r="N22" s="32" t="n">
        <x:f>MIN(J22,L22,M22)</x:f>
        <x:v>27.104000000000006</x:v>
      </x:c>
      <x:c r="O22" s="10" t="n">
        <x:f>AE21*N22</x:f>
        <x:v>27.104000000000006</x:v>
      </x:c>
      <x:c r="P22" s="9" t="n">
        <x:f>MIN(1,(AB21/(AE21*IF(tun_GroupInCrowding=1,N22,MIN(J22,L22))))^tun_CrowdingExp)</x:f>
        <x:v>0.09579413855556734</x:v>
      </x:c>
      <x:c r="Q22" s="9" t="n">
        <x:f>IF(D22=1,INDEX(tun_WinterMult,G22),1)</x:f>
        <x:v>1</x:v>
      </x:c>
      <x:c r="R22" s="9" t="n">
        <x:f>H22*Z21*tun_WomenShare*tun_BaseFertility*INDEX(tun_FertMult,G22)*Arch_Fertility*(1-P22)</x:f>
        <x:v>0.4684958701897382</x:v>
      </x:c>
      <x:c r="S22" s="9" t="n">
        <x:f>H22*Y21*INDEX(tun_MortChild,G22)/4*Q22</x:f>
        <x:v>0.07092979765427143</x:v>
      </x:c>
      <x:c r="T22" s="9" t="n">
        <x:f>H22*Z21*INDEX(tun_MortAdult,G22)*Arch_AdultMort/4*Q22</x:f>
        <x:v>0.023913676341256806</x:v>
      </x:c>
      <x:c r="U22" s="9" t="n">
        <x:f>H22*AA21*INDEX(tun_MortElder,G22)/4*Q22</x:f>
        <x:v>0.03288195684681176</x:v>
      </x:c>
      <x:c r="V22" s="9" t="n">
        <x:f>H22*MAX(0,AB21-O22)*tun_OvercapLoss</x:f>
        <x:v>0</x:v>
      </x:c>
      <x:c r="W22" s="9" t="n">
        <x:f>H22*Y21/(tun_ChildYears*4)</x:f>
        <x:v>0.14073372550450683</x:v>
      </x:c>
      <x:c r="X22" s="9" t="n">
        <x:f>H22*Z21/(tun_AdultYears*4)</x:f>
        <x:v>0.06428407618617421</x:v>
      </x:c>
      <x:c r="Y22" s="32" t="n">
        <x:f>Y21+R22-S22-W22-Y21*V22/AB21</x:f>
        <x:v>8.137920975283341</x:v>
      </x:c>
      <x:c r="Z22" s="32" t="n">
        <x:f>Z21+W22-X22-T22-Z21*V22/AB21</x:f>
        <x:v>8.023761420062677</x:v>
      </x:c>
      <x:c r="AA22" s="32" t="n">
        <x:f>AA21+X22-U22-AA21*V22/AB21</x:f>
        <x:v>2.5130592398534577</x:v>
      </x:c>
      <x:c r="AB22" s="10" t="n">
        <x:f>Y22+Z22+AA22</x:f>
        <x:v>18.674741635199478</x:v>
      </x:c>
      <x:c r="AC22" s="8" t="n">
        <x:f>IF(AND(tun_WinterTrigger=1,D22=1,AB21/AE21&gt;=K22),1,0)</x:f>
        <x:v>0</x:v>
      </x:c>
      <x:c r="AD22" s="8" t="n">
        <x:f>H22*IF(AND(OR(AB21/AE21&gt;=tun_FissionTrigger*N22,AC22=1),AB21/AE21*tun_DaughterShare&gt;=tun_MinDaughter),MAX(1,ROUND(AE21*tun_FissionRate,0)),0)</x:f>
        <x:v>0</x:v>
      </x:c>
      <x:c r="AE22" s="8" t="n">
        <x:f>IF(H22=1,MAX(1,MIN(INDEX(tun_Smax,G22),AE21+AD22)),AE21)</x:f>
        <x:v>1</x:v>
      </x:c>
      <x:c r="AF22" s="8" t="n">
        <x:f>MAX(0,AE22-AE21)</x:f>
        <x:v>0</x:v>
      </x:c>
      <x:c r="AG22" s="9" t="str">
        <x:f>IF(AF22&gt;0,B22,"")</x:f>
      </x:c>
      <x:c r="AH22" s="9" t="n">
        <x:f>IF(F22&gt;=1,1,(1+tun_LowTiesShare*(AE22-1))/AE22)</x:f>
        <x:v>1</x:v>
      </x:c>
      <x:c r="AI22" s="32" t="n">
        <x:f>(Z22+tun_ElderCommons*INDEX(LM_Elder,G22)*AA22)*AH22</x:f>
        <x:v>13.049879899769593</x:v>
      </x:c>
      <x:c r="AJ22" s="32" t="n">
        <x:f>H22*tun_CommonsCoef*AI22^tun_CommonsExp*INDEX(LM_Commons,G22)</x:f>
        <x:v>44.68925528836596</x:v>
      </x:c>
      <x:c r="AK22" s="32" t="n">
        <x:f>H22*tun_RoleScale*Arch_Roles*(AE22*(INDEX(tun_ElderRolePerSett,G22)*tun_OutElder*INDEX(LM_Elder,G22)+INDEX(tun_ShamanPerSett,G22)*tun_OutShaman)+Z22*(INDEX(tun_PriestShare,G22)*tun_OutPriest+INDEX(tun_ScribeShare,G22)*tun_OutScribe*INDEX(LM_Scribe,G22)+INDEX(tun_ScholarShare,G22)*tun_OutScholar*INDEX(LM_Scholar,G22)+INDEX(tun_ResearcherShare,G22)*tun_OutResearcher*INDEX(LM_Researcher,G22)))</x:f>
        <x:v>0</x:v>
      </x:c>
      <x:c r="AL22" s="32" t="n">
        <x:f>H22*tun_RoleScale*Arch_Roles*AE22*INDEX(tun_MonasteryPerSett,G22)*tun_OutMonastery*INDEX(LM_Monastery,G22)</x:f>
        <x:v>0</x:v>
      </x:c>
      <x:c r="AM22" s="32" t="n">
        <x:f>(AJ22+AK22+AL22)/4*INDEX(LM_All,G22)*INDEX(tun_Boon,G22)*Arch_Insight</x:f>
        <x:v>11.17231382209149</x:v>
      </x:c>
      <x:c r="AN22" s="32" t="n">
        <x:f>H22*(tun_KHPerAdult*Z22+tun_KHOfCommons*AJ22/4*INDEX(LM_All,G22))*tun_KHUsable*Arch_KH</x:f>
        <x:v>2.7372168864124147</x:v>
      </x:c>
      <x:c r="AO22" s="32" t="n">
        <x:f>MIN(AP21+AN22,AM22*tun_KHMaxRatio)</x:f>
        <x:v>2.7372168864124147</x:v>
      </x:c>
      <x:c r="AP22" s="32" t="n">
        <x:f>AP21+AN22-AO22</x:f>
        <x:v>0</x:v>
      </x:c>
      <x:c r="AQ22" s="32" t="n">
        <x:f>AM22+AO22</x:f>
        <x:v>13.909530708503905</x:v>
      </x:c>
      <x:c r="AR22" s="10" t="n">
        <x:f>IF(H22=1,INDEX(tun_Req,G22),0)</x:f>
        <x:v>409.222</x:v>
      </x:c>
      <x:c r="AS22" s="32" t="n">
        <x:f>IF(H22=1,IF(E22=1,AS21-AR21,AS21)+AQ22,0)</x:f>
        <x:v>253.09846277236585</x:v>
      </x:c>
      <x:c r="AT22" s="11" t="n">
        <x:f>IF(AR22&gt;0,MIN(1,AS22/AR22),1)</x:f>
        <x:v>0.6184869405172886</x:v>
      </x:c>
      <x:c r="AU22" s="10" t="n">
        <x:f>AB22/INDEX(tun_RepScale,G22)</x:f>
        <x:v>18.674741635199478</x:v>
      </x:c>
      <x:c r="AV22" s="32" t="n">
        <x:f>AM22*60/tun_SeasonSeconds</x:f>
        <x:v>44.68925528836596</x:v>
      </x:c>
    </x:row>
    <x:row r="23">
      <x:c r="A23" s="8" t="n">
        <x:f>A22+1</x:f>
        <x:v>20</x:v>
      </x:c>
      <x:c r="B23" s="9" t="n">
        <x:f>A23*tun_SeasonSeconds/60</x:f>
        <x:v>5</x:v>
      </x:c>
      <x:c r="C23" s="9" t="n">
        <x:f>A23/4</x:f>
        <x:v>5</x:v>
      </x:c>
      <x:c r="D23" s="8" t="n">
        <x:f>IF(MOD(A23,4)=0,1,0)</x:f>
        <x:v>1</x:v>
      </x:c>
      <x:c r="E23" s="8" t="n">
        <x:f>IF(AND(F22&lt;=9,AS22&gt;=AR22),1,0)</x:f>
        <x:v>0</x:v>
      </x:c>
      <x:c r="F23" s="8" t="n">
        <x:f>MIN(10,F22+E23)</x:f>
        <x:v>0</x:v>
      </x:c>
      <x:c r="G23" s="8" t="n">
        <x:f>MIN(F23,9)+1</x:f>
        <x:v>1</x:v>
      </x:c>
      <x:c r="H23" s="8" t="n">
        <x:f>IF(F23&lt;=9,1,0)</x:f>
        <x:v>1</x:v>
      </x:c>
      <x:c r="I23" s="9" t="n">
        <x:f>MIN(10,F22+IF(AR22&gt;0,MIN(1,AS22/AR22),1))</x:f>
        <x:v>0.6184869405172886</x:v>
      </x:c>
      <x:c r="J23" s="32" t="n">
        <x:f>INDEX(tun_FoodCap,G23)*Arch_FoodCap*EXP(tun_CapsByProject*SUMPRODUCT((Cap_Point&lt;=I23)*(Cap_Kind="Food")*Cap_Ln))</x:f>
        <x:v>27.104000000000006</x:v>
      </x:c>
      <x:c r="K23" s="32" t="n">
        <x:f>J23*MIN(1,tun_LeanBase*EXP(tun_CapsByProject*SUMPRODUCT((Cap_Point&lt;=I23)*(Cap_Kind="Lean")*Cap_Ln)))</x:f>
        <x:v>20.870080000000005</x:v>
      </x:c>
      <x:c r="L23" s="10" t="n">
        <x:f>INDEX(tun_HousingCap,G23)*EXP(tun_CapsByProject*SUMPRODUCT((Cap_Point&lt;=I23)*(Cap_Kind="Housing")*Cap_Ln))</x:f>
        <x:v>40</x:v>
      </x:c>
      <x:c r="M23" s="10" t="n">
        <x:f>INDEX(tun_GroupCap,G23)*tun_CohesionFactor*EXP(tun_CapsByProject*SUMPRODUCT((Cap_Point&lt;=I23)*(Cap_Kind="Group")*Cap_Ln))</x:f>
        <x:v>35</x:v>
      </x:c>
      <x:c r="N23" s="32" t="n">
        <x:f>MIN(J23,L23,M23)</x:f>
        <x:v>27.104000000000006</x:v>
      </x:c>
      <x:c r="O23" s="10" t="n">
        <x:f>AE22*N23</x:f>
        <x:v>27.104000000000006</x:v>
      </x:c>
      <x:c r="P23" s="9" t="n">
        <x:f>MIN(1,(AB22/(AE22*IF(tun_GroupInCrowding=1,N23,MIN(J23,L23))))^tun_CrowdingExp)</x:f>
        <x:v>0.1069860813256669</x:v>
      </x:c>
      <x:c r="Q23" s="9" t="n">
        <x:f>IF(D23=1,INDEX(tun_WinterMult,G23),1)</x:f>
        <x:v>2</x:v>
      </x:c>
      <x:c r="R23" s="9" t="n">
        <x:f>H23*Z22*tun_WomenShare*tun_BaseFertility*INDEX(tun_FertMult,G23)*Arch_Fertility*(1-P23)</x:f>
        <x:v>0.46574649083547665</x:v>
      </x:c>
      <x:c r="S23" s="9" t="n">
        <x:f>H23*Y22*INDEX(tun_MortChild,G23)/4*Q23</x:f>
        <x:v>0.14648257755510014</x:v>
      </x:c>
      <x:c r="T23" s="9" t="n">
        <x:f>H23*Z22*INDEX(tun_MortAdult,G23)*Arch_AdultMort/4*Q23</x:f>
        <x:v>0.04814256852037606</x:v>
      </x:c>
      <x:c r="U23" s="9" t="n">
        <x:f>H23*AA22*INDEX(tun_MortElder,G23)/4*Q23</x:f>
        <x:v>0.06659606985611663</x:v>
      </x:c>
      <x:c r="V23" s="9" t="n">
        <x:f>H23*MAX(0,AB22-O23)*tun_OvercapLoss</x:f>
        <x:v>0</x:v>
      </x:c>
      <x:c r="W23" s="9" t="n">
        <x:f>H23*Y22/(tun_ChildYears*4)</x:f>
        <x:v>0.14532001741577397</x:v>
      </x:c>
      <x:c r="X23" s="9" t="n">
        <x:f>H23*Z22/(tun_AdultYears*4)</x:f>
        <x:v>0.06470775338760223</x:v>
      </x:c>
      <x:c r="Y23" s="32" t="n">
        <x:f>Y22+R23-S23-W23-Y22*V23/AB22</x:f>
        <x:v>8.311864871147945</x:v>
      </x:c>
      <x:c r="Z23" s="32" t="n">
        <x:f>Z22+W23-X23-T23-Z22*V23/AB22</x:f>
        <x:v>8.056231115570473</x:v>
      </x:c>
      <x:c r="AA23" s="32" t="n">
        <x:f>AA22+X23-U23-AA22*V23/AB22</x:f>
        <x:v>2.5111709233849435</x:v>
      </x:c>
      <x:c r="AB23" s="10" t="n">
        <x:f>Y23+Z23+AA23</x:f>
        <x:v>18.87926691010336</x:v>
      </x:c>
      <x:c r="AC23" s="8" t="n">
        <x:f>IF(AND(tun_WinterTrigger=1,D23=1,AB22/AE22&gt;=K23),1,0)</x:f>
        <x:v>0</x:v>
      </x:c>
      <x:c r="AD23" s="8" t="n">
        <x:f>H23*IF(AND(OR(AB22/AE22&gt;=tun_FissionTrigger*N23,AC23=1),AB22/AE22*tun_DaughterShare&gt;=tun_MinDaughter),MAX(1,ROUND(AE22*tun_FissionRate,0)),0)</x:f>
        <x:v>0</x:v>
      </x:c>
      <x:c r="AE23" s="8" t="n">
        <x:f>IF(H23=1,MAX(1,MIN(INDEX(tun_Smax,G23),AE22+AD23)),AE22)</x:f>
        <x:v>1</x:v>
      </x:c>
      <x:c r="AF23" s="8" t="n">
        <x:f>MAX(0,AE23-AE22)</x:f>
        <x:v>0</x:v>
      </x:c>
      <x:c r="AG23" s="9" t="str">
        <x:f>IF(AF23&gt;0,B23,"")</x:f>
      </x:c>
      <x:c r="AH23" s="9" t="n">
        <x:f>IF(F23&gt;=1,1,(1+tun_LowTiesShare*(AE23-1))/AE23)</x:f>
        <x:v>1</x:v>
      </x:c>
      <x:c r="AI23" s="32" t="n">
        <x:f>(Z23+tun_ElderCommons*INDEX(LM_Elder,G23)*AA23)*AH23</x:f>
        <x:v>13.07857296234036</x:v>
      </x:c>
      <x:c r="AJ23" s="32" t="n">
        <x:f>H23*tun_CommonsCoef*AI23^tun_CommonsExp*INDEX(LM_Commons,G23)</x:f>
        <x:v>44.772761901761974</x:v>
      </x:c>
      <x:c r="AK23" s="32" t="n">
        <x:f>H23*tun_RoleScale*Arch_Roles*(AE23*(INDEX(tun_ElderRolePerSett,G23)*tun_OutElder*INDEX(LM_Elder,G23)+INDEX(tun_ShamanPerSett,G23)*tun_OutShaman)+Z23*(INDEX(tun_PriestShare,G23)*tun_OutPriest+INDEX(tun_ScribeShare,G23)*tun_OutScribe*INDEX(LM_Scribe,G23)+INDEX(tun_ScholarShare,G23)*tun_OutScholar*INDEX(LM_Scholar,G23)+INDEX(tun_ResearcherShare,G23)*tun_OutResearcher*INDEX(LM_Researcher,G23)))</x:f>
        <x:v>0</x:v>
      </x:c>
      <x:c r="AL23" s="32" t="n">
        <x:f>H23*tun_RoleScale*Arch_Roles*AE23*INDEX(tun_MonasteryPerSett,G23)*tun_OutMonastery*INDEX(LM_Monastery,G23)</x:f>
        <x:v>0</x:v>
      </x:c>
      <x:c r="AM23" s="32" t="n">
        <x:f>(AJ23+AK23+AL23)/4*INDEX(LM_All,G23)*INDEX(tun_Boon,G23)*Arch_Insight</x:f>
        <x:v>11.193190475440494</x:v>
      </x:c>
      <x:c r="AN23" s="32" t="n">
        <x:f>H23*(tun_KHPerAdult*Z23+tun_KHOfCommons*AJ23/4*INDEX(LM_All,G23))*tun_KHUsable*Arch_KH</x:f>
        <x:v>2.7423316664829205</x:v>
      </x:c>
      <x:c r="AO23" s="32" t="n">
        <x:f>MIN(AP22+AN23,AM23*tun_KHMaxRatio)</x:f>
        <x:v>2.7423316664829205</x:v>
      </x:c>
      <x:c r="AP23" s="32" t="n">
        <x:f>AP22+AN23-AO23</x:f>
        <x:v>0</x:v>
      </x:c>
      <x:c r="AQ23" s="32" t="n">
        <x:f>AM23+AO23</x:f>
        <x:v>13.935522141923414</x:v>
      </x:c>
      <x:c r="AR23" s="10" t="n">
        <x:f>IF(H23=1,INDEX(tun_Req,G23),0)</x:f>
        <x:v>409.222</x:v>
      </x:c>
      <x:c r="AS23" s="32" t="n">
        <x:f>IF(H23=1,IF(E23=1,AS22-AR22,AS22)+AQ23,0)</x:f>
        <x:v>267.03398491428925</x:v>
      </x:c>
      <x:c r="AT23" s="11" t="n">
        <x:f>IF(AR23&gt;0,MIN(1,AS23/AR23),1)</x:f>
        <x:v>0.6525406378794133</x:v>
      </x:c>
      <x:c r="AU23" s="10" t="n">
        <x:f>AB23/INDEX(tun_RepScale,G23)</x:f>
        <x:v>18.87926691010336</x:v>
      </x:c>
      <x:c r="AV23" s="32" t="n">
        <x:f>AM23*60/tun_SeasonSeconds</x:f>
        <x:v>44.772761901761974</x:v>
      </x:c>
    </x:row>
    <x:row r="24">
      <x:c r="A24" s="8" t="n">
        <x:f>A23+1</x:f>
        <x:v>21</x:v>
      </x:c>
      <x:c r="B24" s="9" t="n">
        <x:f>A24*tun_SeasonSeconds/60</x:f>
        <x:v>5.25</x:v>
      </x:c>
      <x:c r="C24" s="9" t="n">
        <x:f>A24/4</x:f>
        <x:v>5.25</x:v>
      </x:c>
      <x:c r="D24" s="8" t="n">
        <x:f>IF(MOD(A24,4)=0,1,0)</x:f>
        <x:v>0</x:v>
      </x:c>
      <x:c r="E24" s="8" t="n">
        <x:f>IF(AND(F23&lt;=9,AS23&gt;=AR23),1,0)</x:f>
        <x:v>0</x:v>
      </x:c>
      <x:c r="F24" s="8" t="n">
        <x:f>MIN(10,F23+E24)</x:f>
        <x:v>0</x:v>
      </x:c>
      <x:c r="G24" s="8" t="n">
        <x:f>MIN(F24,9)+1</x:f>
        <x:v>1</x:v>
      </x:c>
      <x:c r="H24" s="8" t="n">
        <x:f>IF(F24&lt;=9,1,0)</x:f>
        <x:v>1</x:v>
      </x:c>
      <x:c r="I24" s="9" t="n">
        <x:f>MIN(10,F23+IF(AR23&gt;0,MIN(1,AS23/AR23),1))</x:f>
        <x:v>0.6525406378794133</x:v>
      </x:c>
      <x:c r="J24" s="32" t="n">
        <x:f>INDEX(tun_FoodCap,G24)*Arch_FoodCap*EXP(tun_CapsByProject*SUMPRODUCT((Cap_Point&lt;=I24)*(Cap_Kind="Food")*Cap_Ln))</x:f>
        <x:v>27.104000000000006</x:v>
      </x:c>
      <x:c r="K24" s="32" t="n">
        <x:f>J24*MIN(1,tun_LeanBase*EXP(tun_CapsByProject*SUMPRODUCT((Cap_Point&lt;=I24)*(Cap_Kind="Lean")*Cap_Ln)))</x:f>
        <x:v>20.870080000000005</x:v>
      </x:c>
      <x:c r="L24" s="10" t="n">
        <x:f>INDEX(tun_HousingCap,G24)*EXP(tun_CapsByProject*SUMPRODUCT((Cap_Point&lt;=I24)*(Cap_Kind="Housing")*Cap_Ln))</x:f>
        <x:v>40</x:v>
      </x:c>
      <x:c r="M24" s="10" t="n">
        <x:f>INDEX(tun_GroupCap,G24)*tun_CohesionFactor*EXP(tun_CapsByProject*SUMPRODUCT((Cap_Point&lt;=I24)*(Cap_Kind="Group")*Cap_Ln))</x:f>
        <x:v>35</x:v>
      </x:c>
      <x:c r="N24" s="32" t="n">
        <x:f>MIN(J24,L24,M24)</x:f>
        <x:v>27.104000000000006</x:v>
      </x:c>
      <x:c r="O24" s="10" t="n">
        <x:f>AE23*N24</x:f>
        <x:v>27.104000000000006</x:v>
      </x:c>
      <x:c r="P24" s="9" t="n">
        <x:f>MIN(1,(AB23/(AE23*IF(tun_GroupInCrowding=1,N24,MIN(J24,L24))))^tun_CrowdingExp)</x:f>
        <x:v>0.11421165553147422</x:v>
      </x:c>
      <x:c r="Q24" s="9" t="n">
        <x:f>IF(D24=1,INDEX(tun_WinterMult,G24),1)</x:f>
        <x:v>1</x:v>
      </x:c>
      <x:c r="R24" s="9" t="n">
        <x:f>H24*Z23*tun_WomenShare*tun_BaseFertility*INDEX(tun_FertMult,G24)*Arch_Fertility*(1-P24)</x:f>
        <x:v>0.4638475154636046</x:v>
      </x:c>
      <x:c r="S24" s="9" t="n">
        <x:f>H24*Y23*INDEX(tun_MortChild,G24)/4*Q24</x:f>
        <x:v>0.0748067838403315</x:v>
      </x:c>
      <x:c r="T24" s="9" t="n">
        <x:f>H24*Z23*INDEX(tun_MortAdult,G24)*Arch_AdultMort/4*Q24</x:f>
        <x:v>0.024168693346711418</x:v>
      </x:c>
      <x:c r="U24" s="9" t="n">
        <x:f>H24*AA23*INDEX(tun_MortElder,G24)/4*Q24</x:f>
        <x:v>0.0332730147348505</x:v>
      </x:c>
      <x:c r="V24" s="9" t="n">
        <x:f>H24*MAX(0,AB23-O24)*tun_OvercapLoss</x:f>
        <x:v>0</x:v>
      </x:c>
      <x:c r="W24" s="9" t="n">
        <x:f>H24*Y23/(tun_ChildYears*4)</x:f>
        <x:v>0.14842615841335616</x:v>
      </x:c>
      <x:c r="X24" s="9" t="n">
        <x:f>H24*Z23/(tun_AdultYears*4)</x:f>
        <x:v>0.06496960577072962</x:v>
      </x:c>
      <x:c r="Y24" s="32" t="n">
        <x:f>Y23+R24-S24-W24-Y23*V24/AB23</x:f>
        <x:v>8.55247944435786</x:v>
      </x:c>
      <x:c r="Z24" s="32" t="n">
        <x:f>Z23+W24-X24-T24-Z23*V24/AB23</x:f>
        <x:v>8.115518974866388</x:v>
      </x:c>
      <x:c r="AA24" s="32" t="n">
        <x:f>AA23+X24-U24-AA23*V24/AB23</x:f>
        <x:v>2.5428675144208226</x:v>
      </x:c>
      <x:c r="AB24" s="10" t="n">
        <x:f>Y24+Z24+AA24</x:f>
        <x:v>19.21086593364507</x:v>
      </x:c>
      <x:c r="AC24" s="8" t="n">
        <x:f>IF(AND(tun_WinterTrigger=1,D24=1,AB23/AE23&gt;=K24),1,0)</x:f>
        <x:v>0</x:v>
      </x:c>
      <x:c r="AD24" s="8" t="n">
        <x:f>H24*IF(AND(OR(AB23/AE23&gt;=tun_FissionTrigger*N24,AC24=1),AB23/AE23*tun_DaughterShare&gt;=tun_MinDaughter),MAX(1,ROUND(AE23*tun_FissionRate,0)),0)</x:f>
        <x:v>0</x:v>
      </x:c>
      <x:c r="AE24" s="8" t="n">
        <x:f>IF(H24=1,MAX(1,MIN(INDEX(tun_Smax,G24),AE23+AD24)),AE23)</x:f>
        <x:v>1</x:v>
      </x:c>
      <x:c r="AF24" s="8" t="n">
        <x:f>MAX(0,AE24-AE23)</x:f>
        <x:v>0</x:v>
      </x:c>
      <x:c r="AG24" s="9" t="str">
        <x:f>IF(AF24&gt;0,B24,"")</x:f>
      </x:c>
      <x:c r="AH24" s="9" t="n">
        <x:f>IF(F24&gt;=1,1,(1+tun_LowTiesShare*(AE24-1))/AE24)</x:f>
        <x:v>1</x:v>
      </x:c>
      <x:c r="AI24" s="32" t="n">
        <x:f>(Z24+tun_ElderCommons*INDEX(LM_Elder,G24)*AA24)*AH24</x:f>
        <x:v>13.201254003708033</x:v>
      </x:c>
      <x:c r="AJ24" s="32" t="n">
        <x:f>H24*tun_CommonsCoef*AI24^tun_CommonsExp*INDEX(LM_Commons,G24)</x:f>
        <x:v>45.129496601754475</x:v>
      </x:c>
      <x:c r="AK24" s="32" t="n">
        <x:f>H24*tun_RoleScale*Arch_Roles*(AE24*(INDEX(tun_ElderRolePerSett,G24)*tun_OutElder*INDEX(LM_Elder,G24)+INDEX(tun_ShamanPerSett,G24)*tun_OutShaman)+Z24*(INDEX(tun_PriestShare,G24)*tun_OutPriest+INDEX(tun_ScribeShare,G24)*tun_OutScribe*INDEX(LM_Scribe,G24)+INDEX(tun_ScholarShare,G24)*tun_OutScholar*INDEX(LM_Scholar,G24)+INDEX(tun_ResearcherShare,G24)*tun_OutResearcher*INDEX(LM_Researcher,G24)))</x:f>
        <x:v>0</x:v>
      </x:c>
      <x:c r="AL24" s="32" t="n">
        <x:f>H24*tun_RoleScale*Arch_Roles*AE24*INDEX(tun_MonasteryPerSett,G24)*tun_OutMonastery*INDEX(LM_Monastery,G24)</x:f>
        <x:v>0</x:v>
      </x:c>
      <x:c r="AM24" s="32" t="n">
        <x:f>(AJ24+AK24+AL24)/4*INDEX(LM_All,G24)*INDEX(tun_Boon,G24)*Arch_Insight</x:f>
        <x:v>11.282374150438619</x:v>
      </x:c>
      <x:c r="AN24" s="32" t="n">
        <x:f>H24*(tun_KHPerAdult*Z24+tun_KHOfCommons*AJ24/4*INDEX(LM_All,G24))*tun_KHUsable*Arch_KH</x:f>
        <x:v>2.764181666857461</x:v>
      </x:c>
      <x:c r="AO24" s="32" t="n">
        <x:f>MIN(AP23+AN24,AM24*tun_KHMaxRatio)</x:f>
        <x:v>2.764181666857461</x:v>
      </x:c>
      <x:c r="AP24" s="32" t="n">
        <x:f>AP23+AN24-AO24</x:f>
        <x:v>0</x:v>
      </x:c>
      <x:c r="AQ24" s="32" t="n">
        <x:f>AM24+AO24</x:f>
        <x:v>14.04655581729608</x:v>
      </x:c>
      <x:c r="AR24" s="10" t="n">
        <x:f>IF(H24=1,INDEX(tun_Req,G24),0)</x:f>
        <x:v>409.222</x:v>
      </x:c>
      <x:c r="AS24" s="32" t="n">
        <x:f>IF(H24=1,IF(E24=1,AS23-AR23,AS23)+AQ24,0)</x:f>
        <x:v>281.0805407315853</x:v>
      </x:c>
      <x:c r="AT24" s="11" t="n">
        <x:f>IF(AR24&gt;0,MIN(1,AS24/AR24),1)</x:f>
        <x:v>0.6868656639466727</x:v>
      </x:c>
      <x:c r="AU24" s="10" t="n">
        <x:f>AB24/INDEX(tun_RepScale,G24)</x:f>
        <x:v>19.21086593364507</x:v>
      </x:c>
      <x:c r="AV24" s="32" t="n">
        <x:f>AM24*60/tun_SeasonSeconds</x:f>
        <x:v>45.129496601754475</x:v>
      </x:c>
    </x:row>
    <x:row r="25">
      <x:c r="A25" s="8" t="n">
        <x:f>A24+1</x:f>
        <x:v>22</x:v>
      </x:c>
      <x:c r="B25" s="9" t="n">
        <x:f>A25*tun_SeasonSeconds/60</x:f>
        <x:v>5.5</x:v>
      </x:c>
      <x:c r="C25" s="9" t="n">
        <x:f>A25/4</x:f>
        <x:v>5.5</x:v>
      </x:c>
      <x:c r="D25" s="8" t="n">
        <x:f>IF(MOD(A25,4)=0,1,0)</x:f>
        <x:v>0</x:v>
      </x:c>
      <x:c r="E25" s="8" t="n">
        <x:f>IF(AND(F24&lt;=9,AS24&gt;=AR24),1,0)</x:f>
        <x:v>0</x:v>
      </x:c>
      <x:c r="F25" s="8" t="n">
        <x:f>MIN(10,F24+E25)</x:f>
        <x:v>0</x:v>
      </x:c>
      <x:c r="G25" s="8" t="n">
        <x:f>MIN(F25,9)+1</x:f>
        <x:v>1</x:v>
      </x:c>
      <x:c r="H25" s="8" t="n">
        <x:f>IF(F25&lt;=9,1,0)</x:f>
        <x:v>1</x:v>
      </x:c>
      <x:c r="I25" s="9" t="n">
        <x:f>MIN(10,F24+IF(AR24&gt;0,MIN(1,AS24/AR24),1))</x:f>
        <x:v>0.6868656639466727</x:v>
      </x:c>
      <x:c r="J25" s="32" t="n">
        <x:f>INDEX(tun_FoodCap,G25)*Arch_FoodCap*EXP(tun_CapsByProject*SUMPRODUCT((Cap_Point&lt;=I25)*(Cap_Kind="Food")*Cap_Ln))</x:f>
        <x:v>27.104000000000006</x:v>
      </x:c>
      <x:c r="K25" s="32" t="n">
        <x:f>J25*MIN(1,tun_LeanBase*EXP(tun_CapsByProject*SUMPRODUCT((Cap_Point&lt;=I25)*(Cap_Kind="Lean")*Cap_Ln)))</x:f>
        <x:v>20.870080000000005</x:v>
      </x:c>
      <x:c r="L25" s="10" t="n">
        <x:f>INDEX(tun_HousingCap,G25)*EXP(tun_CapsByProject*SUMPRODUCT((Cap_Point&lt;=I25)*(Cap_Kind="Housing")*Cap_Ln))</x:f>
        <x:v>40</x:v>
      </x:c>
      <x:c r="M25" s="10" t="n">
        <x:f>INDEX(tun_GroupCap,G25)*tun_CohesionFactor*EXP(tun_CapsByProject*SUMPRODUCT((Cap_Point&lt;=I25)*(Cap_Kind="Group")*Cap_Ln))</x:f>
        <x:v>35</x:v>
      </x:c>
      <x:c r="N25" s="32" t="n">
        <x:f>MIN(J25,L25,M25)</x:f>
        <x:v>27.104000000000006</x:v>
      </x:c>
      <x:c r="O25" s="10" t="n">
        <x:f>AE24*N25</x:f>
        <x:v>27.104000000000006</x:v>
      </x:c>
      <x:c r="P25" s="9" t="n">
        <x:f>MIN(1,(AB24/(AE24*IF(tun_GroupInCrowding=1,N25,MIN(J25,L25))))^tun_CrowdingExp)</x:f>
        <x:v>0.1267889237615048</x:v>
      </x:c>
      <x:c r="Q25" s="9" t="n">
        <x:f>IF(D25=1,INDEX(tun_WinterMult,G25),1)</x:f>
        <x:v>1</x:v>
      </x:c>
      <x:c r="R25" s="9" t="n">
        <x:f>H25*Z24*tun_WomenShare*tun_BaseFertility*INDEX(tun_FertMult,G25)*Arch_Fertility*(1-P25)</x:f>
        <x:v>0.46062646878800556</x:v>
      </x:c>
      <x:c r="S25" s="9" t="n">
        <x:f>H25*Y24*INDEX(tun_MortChild,G25)/4*Q25</x:f>
        <x:v>0.07697231499922073</x:v>
      </x:c>
      <x:c r="T25" s="9" t="n">
        <x:f>H25*Z24*INDEX(tun_MortAdult,G25)*Arch_AdultMort/4*Q25</x:f>
        <x:v>0.024346556924599166</x:v>
      </x:c>
      <x:c r="U25" s="9" t="n">
        <x:f>H25*AA24*INDEX(tun_MortElder,G25)/4*Q25</x:f>
        <x:v>0.0336929945660759</x:v>
      </x:c>
      <x:c r="V25" s="9" t="n">
        <x:f>H25*MAX(0,AB24-O25)*tun_OvercapLoss</x:f>
        <x:v>0</x:v>
      </x:c>
      <x:c r="W25" s="9" t="n">
        <x:f>H25*Y24/(tun_ChildYears*4)</x:f>
        <x:v>0.15272284722067608</x:v>
      </x:c>
      <x:c r="X25" s="9" t="n">
        <x:f>H25*Z24/(tun_AdultYears*4)</x:f>
        <x:v>0.06544773366827733</x:v>
      </x:c>
      <x:c r="Y25" s="32" t="n">
        <x:f>Y24+R25-S25-W25-Y24*V25/AB24</x:f>
        <x:v>8.783410750925968</x:v>
      </x:c>
      <x:c r="Z25" s="32" t="n">
        <x:f>Z24+W25-X25-T25-Z24*V25/AB24</x:f>
        <x:v>8.17844753149419</x:v>
      </x:c>
      <x:c r="AA25" s="32" t="n">
        <x:f>AA24+X25-U25-AA24*V25/AB24</x:f>
        <x:v>2.574622253523024</x:v>
      </x:c>
      <x:c r="AB25" s="10" t="n">
        <x:f>Y25+Z25+AA25</x:f>
        <x:v>19.536480535943184</x:v>
      </x:c>
      <x:c r="AC25" s="8" t="n">
        <x:f>IF(AND(tun_WinterTrigger=1,D25=1,AB24/AE24&gt;=K25),1,0)</x:f>
        <x:v>0</x:v>
      </x:c>
      <x:c r="AD25" s="8" t="n">
        <x:f>H25*IF(AND(OR(AB24/AE24&gt;=tun_FissionTrigger*N25,AC25=1),AB24/AE24*tun_DaughterShare&gt;=tun_MinDaughter),MAX(1,ROUND(AE24*tun_FissionRate,0)),0)</x:f>
        <x:v>0</x:v>
      </x:c>
      <x:c r="AE25" s="8" t="n">
        <x:f>IF(H25=1,MAX(1,MIN(INDEX(tun_Smax,G25),AE24+AD25)),AE24)</x:f>
        <x:v>1</x:v>
      </x:c>
      <x:c r="AF25" s="8" t="n">
        <x:f>MAX(0,AE25-AE24)</x:f>
        <x:v>0</x:v>
      </x:c>
      <x:c r="AG25" s="9" t="str">
        <x:f>IF(AF25&gt;0,B25,"")</x:f>
      </x:c>
      <x:c r="AH25" s="9" t="n">
        <x:f>IF(F25&gt;=1,1,(1+tun_LowTiesShare*(AE25-1))/AE25)</x:f>
        <x:v>1</x:v>
      </x:c>
      <x:c r="AI25" s="32" t="n">
        <x:f>(Z25+tun_ElderCommons*INDEX(LM_Elder,G25)*AA25)*AH25</x:f>
        <x:v>13.327692038540238</x:v>
      </x:c>
      <x:c r="AJ25" s="32" t="n">
        <x:f>H25*tun_CommonsCoef*AI25^tun_CommonsExp*INDEX(LM_Commons,G25)</x:f>
        <x:v>45.49663602925328</x:v>
      </x:c>
      <x:c r="AK25" s="32" t="n">
        <x:f>H25*tun_RoleScale*Arch_Roles*(AE25*(INDEX(tun_ElderRolePerSett,G25)*tun_OutElder*INDEX(LM_Elder,G25)+INDEX(tun_ShamanPerSett,G25)*tun_OutShaman)+Z25*(INDEX(tun_PriestShare,G25)*tun_OutPriest+INDEX(tun_ScribeShare,G25)*tun_OutScribe*INDEX(LM_Scribe,G25)+INDEX(tun_ScholarShare,G25)*tun_OutScholar*INDEX(LM_Scholar,G25)+INDEX(tun_ResearcherShare,G25)*tun_OutResearcher*INDEX(LM_Researcher,G25)))</x:f>
        <x:v>0</x:v>
      </x:c>
      <x:c r="AL25" s="32" t="n">
        <x:f>H25*tun_RoleScale*Arch_Roles*AE25*INDEX(tun_MonasteryPerSett,G25)*tun_OutMonastery*INDEX(LM_Monastery,G25)</x:f>
        <x:v>0</x:v>
      </x:c>
      <x:c r="AM25" s="32" t="n">
        <x:f>(AJ25+AK25+AL25)/4*INDEX(LM_All,G25)*INDEX(tun_Boon,G25)*Arch_Insight</x:f>
        <x:v>11.37415900731332</x:v>
      </x:c>
      <x:c r="AN25" s="32" t="n">
        <x:f>H25*(tun_KHPerAdult*Z25+tun_KHOfCommons*AJ25/4*INDEX(LM_All,G25))*tun_KHUsable*Arch_KH</x:f>
        <x:v>2.786668956791763</x:v>
      </x:c>
      <x:c r="AO25" s="32" t="n">
        <x:f>MIN(AP24+AN25,AM25*tun_KHMaxRatio)</x:f>
        <x:v>2.786668956791763</x:v>
      </x:c>
      <x:c r="AP25" s="32" t="n">
        <x:f>AP24+AN25-AO25</x:f>
        <x:v>0</x:v>
      </x:c>
      <x:c r="AQ25" s="32" t="n">
        <x:f>AM25+AO25</x:f>
        <x:v>14.160827964105083</x:v>
      </x:c>
      <x:c r="AR25" s="10" t="n">
        <x:f>IF(H25=1,INDEX(tun_Req,G25),0)</x:f>
        <x:v>409.222</x:v>
      </x:c>
      <x:c r="AS25" s="32" t="n">
        <x:f>IF(H25=1,IF(E25=1,AS24-AR24,AS24)+AQ25,0)</x:f>
        <x:v>295.24136869569037</x:v>
      </x:c>
      <x:c r="AT25" s="11" t="n">
        <x:f>IF(AR25&gt;0,MIN(1,AS25/AR25),1)</x:f>
        <x:v>0.721469932446668</x:v>
      </x:c>
      <x:c r="AU25" s="10" t="n">
        <x:f>AB25/INDEX(tun_RepScale,G25)</x:f>
        <x:v>19.536480535943184</x:v>
      </x:c>
      <x:c r="AV25" s="32" t="n">
        <x:f>AM25*60/tun_SeasonSeconds</x:f>
        <x:v>45.49663602925328</x:v>
      </x:c>
    </x:row>
    <x:row r="26">
      <x:c r="A26" s="8" t="n">
        <x:f>A25+1</x:f>
        <x:v>23</x:v>
      </x:c>
      <x:c r="B26" s="9" t="n">
        <x:f>A26*tun_SeasonSeconds/60</x:f>
        <x:v>5.75</x:v>
      </x:c>
      <x:c r="C26" s="9" t="n">
        <x:f>A26/4</x:f>
        <x:v>5.75</x:v>
      </x:c>
      <x:c r="D26" s="8" t="n">
        <x:f>IF(MOD(A26,4)=0,1,0)</x:f>
        <x:v>0</x:v>
      </x:c>
      <x:c r="E26" s="8" t="n">
        <x:f>IF(AND(F25&lt;=9,AS25&gt;=AR25),1,0)</x:f>
        <x:v>0</x:v>
      </x:c>
      <x:c r="F26" s="8" t="n">
        <x:f>MIN(10,F25+E26)</x:f>
        <x:v>0</x:v>
      </x:c>
      <x:c r="G26" s="8" t="n">
        <x:f>MIN(F26,9)+1</x:f>
        <x:v>1</x:v>
      </x:c>
      <x:c r="H26" s="8" t="n">
        <x:f>IF(F26&lt;=9,1,0)</x:f>
        <x:v>1</x:v>
      </x:c>
      <x:c r="I26" s="9" t="n">
        <x:f>MIN(10,F25+IF(AR25&gt;0,MIN(1,AS25/AR25),1))</x:f>
        <x:v>0.721469932446668</x:v>
      </x:c>
      <x:c r="J26" s="32" t="n">
        <x:f>INDEX(tun_FoodCap,G26)*Arch_FoodCap*EXP(tun_CapsByProject*SUMPRODUCT((Cap_Point&lt;=I26)*(Cap_Kind="Food")*Cap_Ln))</x:f>
        <x:v>27.104000000000006</x:v>
      </x:c>
      <x:c r="K26" s="32" t="n">
        <x:f>J26*MIN(1,tun_LeanBase*EXP(tun_CapsByProject*SUMPRODUCT((Cap_Point&lt;=I26)*(Cap_Kind="Lean")*Cap_Ln)))</x:f>
        <x:v>20.870080000000005</x:v>
      </x:c>
      <x:c r="L26" s="10" t="n">
        <x:f>INDEX(tun_HousingCap,G26)*EXP(tun_CapsByProject*SUMPRODUCT((Cap_Point&lt;=I26)*(Cap_Kind="Housing")*Cap_Ln))</x:f>
        <x:v>40</x:v>
      </x:c>
      <x:c r="M26" s="10" t="n">
        <x:f>INDEX(tun_GroupCap,G26)*tun_CohesionFactor*EXP(tun_CapsByProject*SUMPRODUCT((Cap_Point&lt;=I26)*(Cap_Kind="Group")*Cap_Ln))</x:f>
        <x:v>35</x:v>
      </x:c>
      <x:c r="N26" s="32" t="n">
        <x:f>MIN(J26,L26,M26)</x:f>
        <x:v>27.104000000000006</x:v>
      </x:c>
      <x:c r="O26" s="10" t="n">
        <x:f>AE25*N26</x:f>
        <x:v>27.104000000000006</x:v>
      </x:c>
      <x:c r="P26" s="9" t="n">
        <x:f>MIN(1,(AB25/(AE25*IF(tun_GroupInCrowding=1,N26,MIN(J26,L26))))^tun_CrowdingExp)</x:f>
        <x:v>0.14024185324113436</x:v>
      </x:c>
      <x:c r="Q26" s="9" t="n">
        <x:f>IF(D26=1,INDEX(tun_WinterMult,G26),1)</x:f>
        <x:v>1</x:v>
      </x:c>
      <x:c r="R26" s="9" t="n">
        <x:f>H26*Z25*tun_WomenShare*tun_BaseFertility*INDEX(tun_FertMult,G26)*Arch_Fertility*(1-P26)</x:f>
        <x:v>0.45704664804773415</x:v>
      </x:c>
      <x:c r="S26" s="9" t="n">
        <x:f>H26*Y25*INDEX(tun_MortChild,G26)/4*Q26</x:f>
        <x:v>0.0790506967583337</x:v>
      </x:c>
      <x:c r="T26" s="9" t="n">
        <x:f>H26*Z25*INDEX(tun_MortAdult,G26)*Arch_AdultMort/4*Q26</x:f>
        <x:v>0.02453534259448257</x:v>
      </x:c>
      <x:c r="U26" s="9" t="n">
        <x:f>H26*AA25*INDEX(tun_MortElder,G26)/4*Q26</x:f>
        <x:v>0.03411374485918007</x:v>
      </x:c>
      <x:c r="V26" s="9" t="n">
        <x:f>H26*MAX(0,AB25-O26)*tun_OvercapLoss</x:f>
        <x:v>0</x:v>
      </x:c>
      <x:c r="W26" s="9" t="n">
        <x:f>H26*Y25/(tun_ChildYears*4)</x:f>
        <x:v>0.15684662055224943</x:v>
      </x:c>
      <x:c r="X26" s="9" t="n">
        <x:f>H26*Z25/(tun_AdultYears*4)</x:f>
        <x:v>0.06595522202817895</x:v>
      </x:c>
      <x:c r="Y26" s="32" t="n">
        <x:f>Y25+R26-S26-W26-Y25*V26/AB25</x:f>
        <x:v>9.00456008166312</x:v>
      </x:c>
      <x:c r="Z26" s="32" t="n">
        <x:f>Z25+W26-X26-T26-Z25*V26/AB25</x:f>
        <x:v>8.244803587423776</x:v>
      </x:c>
      <x:c r="AA26" s="32" t="n">
        <x:f>AA25+X26-U26-AA25*V26/AB25</x:f>
        <x:v>2.606463730692023</x:v>
      </x:c>
      <x:c r="AB26" s="10" t="n">
        <x:f>Y26+Z26+AA26</x:f>
        <x:v>19.85582739977892</x:v>
      </x:c>
      <x:c r="AC26" s="8" t="n">
        <x:f>IF(AND(tun_WinterTrigger=1,D26=1,AB25/AE25&gt;=K26),1,0)</x:f>
        <x:v>0</x:v>
      </x:c>
      <x:c r="AD26" s="8" t="n">
        <x:f>H26*IF(AND(OR(AB25/AE25&gt;=tun_FissionTrigger*N26,AC26=1),AB25/AE25*tun_DaughterShare&gt;=tun_MinDaughter),MAX(1,ROUND(AE25*tun_FissionRate,0)),0)</x:f>
        <x:v>0</x:v>
      </x:c>
      <x:c r="AE26" s="8" t="n">
        <x:f>IF(H26=1,MAX(1,MIN(INDEX(tun_Smax,G26),AE25+AD26)),AE25)</x:f>
        <x:v>1</x:v>
      </x:c>
      <x:c r="AF26" s="8" t="n">
        <x:f>MAX(0,AE26-AE25)</x:f>
        <x:v>0</x:v>
      </x:c>
      <x:c r="AG26" s="9" t="str">
        <x:f>IF(AF26&gt;0,B26,"")</x:f>
      </x:c>
      <x:c r="AH26" s="9" t="n">
        <x:f>IF(F26&gt;=1,1,(1+tun_LowTiesShare*(AE26-1))/AE26)</x:f>
        <x:v>1</x:v>
      </x:c>
      <x:c r="AI26" s="32" t="n">
        <x:f>(Z26+tun_ElderCommons*INDEX(LM_Elder,G26)*AA26)*AH26</x:f>
        <x:v>13.457731048807823</x:v>
      </x:c>
      <x:c r="AJ26" s="32" t="n">
        <x:f>H26*tun_CommonsCoef*AI26^tun_CommonsExp*INDEX(LM_Commons,G26)</x:f>
        <x:v>45.873687099726325</x:v>
      </x:c>
      <x:c r="AK26" s="32" t="n">
        <x:f>H26*tun_RoleScale*Arch_Roles*(AE26*(INDEX(tun_ElderRolePerSett,G26)*tun_OutElder*INDEX(LM_Elder,G26)+INDEX(tun_ShamanPerSett,G26)*tun_OutShaman)+Z26*(INDEX(tun_PriestShare,G26)*tun_OutPriest+INDEX(tun_ScribeShare,G26)*tun_OutScribe*INDEX(LM_Scribe,G26)+INDEX(tun_ScholarShare,G26)*tun_OutScholar*INDEX(LM_Scholar,G26)+INDEX(tun_ResearcherShare,G26)*tun_OutResearcher*INDEX(LM_Researcher,G26)))</x:f>
        <x:v>0</x:v>
      </x:c>
      <x:c r="AL26" s="32" t="n">
        <x:f>H26*tun_RoleScale*Arch_Roles*AE26*INDEX(tun_MonasteryPerSett,G26)*tun_OutMonastery*INDEX(LM_Monastery,G26)</x:f>
        <x:v>0</x:v>
      </x:c>
      <x:c r="AM26" s="32" t="n">
        <x:f>(AJ26+AK26+AL26)/4*INDEX(LM_All,G26)*INDEX(tun_Boon,G26)*Arch_Insight</x:f>
        <x:v>11.468421774931581</x:v>
      </x:c>
      <x:c r="AN26" s="32" t="n">
        <x:f>H26*(tun_KHPerAdult*Z26+tun_KHOfCommons*AJ26/4*INDEX(LM_All,G26))*tun_KHUsable*Arch_KH</x:f>
        <x:v>2.8097633348582374</x:v>
      </x:c>
      <x:c r="AO26" s="32" t="n">
        <x:f>MIN(AP25+AN26,AM26*tun_KHMaxRatio)</x:f>
        <x:v>2.8097633348582374</x:v>
      </x:c>
      <x:c r="AP26" s="32" t="n">
        <x:f>AP25+AN26-AO26</x:f>
        <x:v>0</x:v>
      </x:c>
      <x:c r="AQ26" s="32" t="n">
        <x:f>AM26+AO26</x:f>
        <x:v>14.278185109789819</x:v>
      </x:c>
      <x:c r="AR26" s="10" t="n">
        <x:f>IF(H26=1,INDEX(tun_Req,G26),0)</x:f>
        <x:v>409.222</x:v>
      </x:c>
      <x:c r="AS26" s="32" t="n">
        <x:f>IF(H26=1,IF(E26=1,AS25-AR25,AS25)+AQ26,0)</x:f>
        <x:v>309.5195538054802</x:v>
      </x:c>
      <x:c r="AT26" s="11" t="n">
        <x:f>IF(AR26&gt;0,MIN(1,AS26/AR26),1)</x:f>
        <x:v>0.7563609820720298</x:v>
      </x:c>
      <x:c r="AU26" s="10" t="n">
        <x:f>AB26/INDEX(tun_RepScale,G26)</x:f>
        <x:v>19.85582739977892</x:v>
      </x:c>
      <x:c r="AV26" s="32" t="n">
        <x:f>AM26*60/tun_SeasonSeconds</x:f>
        <x:v>45.873687099726325</x:v>
      </x:c>
    </x:row>
    <x:row r="27">
      <x:c r="A27" s="8" t="n">
        <x:f>A26+1</x:f>
        <x:v>24</x:v>
      </x:c>
      <x:c r="B27" s="9" t="n">
        <x:f>A27*tun_SeasonSeconds/60</x:f>
        <x:v>6</x:v>
      </x:c>
      <x:c r="C27" s="9" t="n">
        <x:f>A27/4</x:f>
        <x:v>6</x:v>
      </x:c>
      <x:c r="D27" s="8" t="n">
        <x:f>IF(MOD(A27,4)=0,1,0)</x:f>
        <x:v>1</x:v>
      </x:c>
      <x:c r="E27" s="8" t="n">
        <x:f>IF(AND(F26&lt;=9,AS26&gt;=AR26),1,0)</x:f>
        <x:v>0</x:v>
      </x:c>
      <x:c r="F27" s="8" t="n">
        <x:f>MIN(10,F26+E27)</x:f>
        <x:v>0</x:v>
      </x:c>
      <x:c r="G27" s="8" t="n">
        <x:f>MIN(F27,9)+1</x:f>
        <x:v>1</x:v>
      </x:c>
      <x:c r="H27" s="8" t="n">
        <x:f>IF(F27&lt;=9,1,0)</x:f>
        <x:v>1</x:v>
      </x:c>
      <x:c r="I27" s="9" t="n">
        <x:f>MIN(10,F26+IF(AR26&gt;0,MIN(1,AS26/AR26),1))</x:f>
        <x:v>0.7563609820720298</x:v>
      </x:c>
      <x:c r="J27" s="32" t="n">
        <x:f>INDEX(tun_FoodCap,G27)*Arch_FoodCap*EXP(tun_CapsByProject*SUMPRODUCT((Cap_Point&lt;=I27)*(Cap_Kind="Food")*Cap_Ln))</x:f>
        <x:v>27.104000000000006</x:v>
      </x:c>
      <x:c r="K27" s="32" t="n">
        <x:f>J27*MIN(1,tun_LeanBase*EXP(tun_CapsByProject*SUMPRODUCT((Cap_Point&lt;=I27)*(Cap_Kind="Lean")*Cap_Ln)))</x:f>
        <x:v>20.870080000000005</x:v>
      </x:c>
      <x:c r="L27" s="10" t="n">
        <x:f>INDEX(tun_HousingCap,G27)*EXP(tun_CapsByProject*SUMPRODUCT((Cap_Point&lt;=I27)*(Cap_Kind="Housing")*Cap_Ln))</x:f>
        <x:v>40</x:v>
      </x:c>
      <x:c r="M27" s="10" t="n">
        <x:f>INDEX(tun_GroupCap,G27)*tun_CohesionFactor*EXP(tun_CapsByProject*SUMPRODUCT((Cap_Point&lt;=I27)*(Cap_Kind="Group")*Cap_Ln))</x:f>
        <x:v>35</x:v>
      </x:c>
      <x:c r="N27" s="32" t="n">
        <x:f>MIN(J27,L27,M27)</x:f>
        <x:v>27.104000000000006</x:v>
      </x:c>
      <x:c r="O27" s="10" t="n">
        <x:f>AE26*N27</x:f>
        <x:v>27.104000000000006</x:v>
      </x:c>
      <x:c r="P27" s="9" t="n">
        <x:f>MIN(1,(AB26/(AE26*IF(tun_GroupInCrowding=1,N27,MIN(J27,L27))))^tun_CrowdingExp)</x:f>
        <x:v>0.15457085244976757</x:v>
      </x:c>
      <x:c r="Q27" s="9" t="n">
        <x:f>IF(D27=1,INDEX(tun_WinterMult,G27),1)</x:f>
        <x:v>2</x:v>
      </x:c>
      <x:c r="R27" s="9" t="n">
        <x:f>H27*Z26*tun_WomenShare*tun_BaseFertility*INDEX(tun_FertMult,G27)*Arch_Fertility*(1-P27)</x:f>
        <x:v>0.45307582246126077</x:v>
      </x:c>
      <x:c r="S27" s="9" t="n">
        <x:f>H27*Y26*INDEX(tun_MortChild,G27)/4*Q27</x:f>
        <x:v>0.16208208146993616</x:v>
      </x:c>
      <x:c r="T27" s="9" t="n">
        <x:f>H27*Z26*INDEX(tun_MortAdult,G27)*Arch_AdultMort/4*Q27</x:f>
        <x:v>0.04946882152454266</x:v>
      </x:c>
      <x:c r="U27" s="9" t="n">
        <x:f>H27*AA26*INDEX(tun_MortElder,G27)/4*Q27</x:f>
        <x:v>0.0690712888633386</x:v>
      </x:c>
      <x:c r="V27" s="9" t="n">
        <x:f>H27*MAX(0,AB26-O27)*tun_OvercapLoss</x:f>
        <x:v>0</x:v>
      </x:c>
      <x:c r="W27" s="9" t="n">
        <x:f>H27*Y26/(tun_ChildYears*4)</x:f>
        <x:v>0.1607957157439843</x:v>
      </x:c>
      <x:c r="X27" s="9" t="n">
        <x:f>H27*Z26/(tun_AdultYears*4)</x:f>
        <x:v>0.06649035151148207</x:v>
      </x:c>
      <x:c r="Y27" s="32" t="n">
        <x:f>Y26+R27-S27-W27-Y26*V27/AB26</x:f>
        <x:v>9.13475810691046</x:v>
      </x:c>
      <x:c r="Z27" s="32" t="n">
        <x:f>Z26+W27-X27-T27-Z26*V27/AB26</x:f>
        <x:v>8.289640130131737</x:v>
      </x:c>
      <x:c r="AA27" s="32" t="n">
        <x:f>AA26+X27-U27-AA26*V27/AB26</x:f>
        <x:v>2.6038827933401665</x:v>
      </x:c>
      <x:c r="AB27" s="10" t="n">
        <x:f>Y27+Z27+AA27</x:f>
        <x:v>20.028281030382363</x:v>
      </x:c>
      <x:c r="AC27" s="8" t="n">
        <x:f>IF(AND(tun_WinterTrigger=1,D27=1,AB26/AE26&gt;=K27),1,0)</x:f>
        <x:v>0</x:v>
      </x:c>
      <x:c r="AD27" s="8" t="n">
        <x:f>H27*IF(AND(OR(AB26/AE26&gt;=tun_FissionTrigger*N27,AC27=1),AB26/AE26*tun_DaughterShare&gt;=tun_MinDaughter),MAX(1,ROUND(AE26*tun_FissionRate,0)),0)</x:f>
        <x:v>0</x:v>
      </x:c>
      <x:c r="AE27" s="8" t="n">
        <x:f>IF(H27=1,MAX(1,MIN(INDEX(tun_Smax,G27),AE26+AD27)),AE26)</x:f>
        <x:v>1</x:v>
      </x:c>
      <x:c r="AF27" s="8" t="n">
        <x:f>MAX(0,AE27-AE26)</x:f>
        <x:v>0</x:v>
      </x:c>
      <x:c r="AG27" s="9" t="str">
        <x:f>IF(AF27&gt;0,B27,"")</x:f>
      </x:c>
      <x:c r="AH27" s="9" t="n">
        <x:f>IF(F27&gt;=1,1,(1+tun_LowTiesShare*(AE27-1))/AE27)</x:f>
        <x:v>1</x:v>
      </x:c>
      <x:c r="AI27" s="32" t="n">
        <x:f>(Z27+tun_ElderCommons*INDEX(LM_Elder,G27)*AA27)*AH27</x:f>
        <x:v>13.49740571681207</x:v>
      </x:c>
      <x:c r="AJ27" s="32" t="n">
        <x:f>H27*tun_CommonsCoef*AI27^tun_CommonsExp*INDEX(LM_Commons,G27)</x:f>
        <x:v>45.98861569602468</x:v>
      </x:c>
      <x:c r="AK27" s="32" t="n">
        <x:f>H27*tun_RoleScale*Arch_Roles*(AE27*(INDEX(tun_ElderRolePerSett,G27)*tun_OutElder*INDEX(LM_Elder,G27)+INDEX(tun_ShamanPerSett,G27)*tun_OutShaman)+Z27*(INDEX(tun_PriestShare,G27)*tun_OutPriest+INDEX(tun_ScribeShare,G27)*tun_OutScribe*INDEX(LM_Scribe,G27)+INDEX(tun_ScholarShare,G27)*tun_OutScholar*INDEX(LM_Scholar,G27)+INDEX(tun_ResearcherShare,G27)*tun_OutResearcher*INDEX(LM_Researcher,G27)))</x:f>
        <x:v>0</x:v>
      </x:c>
      <x:c r="AL27" s="32" t="n">
        <x:f>H27*tun_RoleScale*Arch_Roles*AE27*INDEX(tun_MonasteryPerSett,G27)*tun_OutMonastery*INDEX(LM_Monastery,G27)</x:f>
        <x:v>0</x:v>
      </x:c>
      <x:c r="AM27" s="32" t="n">
        <x:f>(AJ27+AK27+AL27)/4*INDEX(LM_All,G27)*INDEX(tun_Boon,G27)*Arch_Insight</x:f>
        <x:v>11.49715392400617</x:v>
      </x:c>
      <x:c r="AN27" s="32" t="n">
        <x:f>H27*(tun_KHPerAdult*Z27+tun_KHOfCommons*AJ27/4*INDEX(LM_All,G27))*tun_KHUsable*Arch_KH</x:f>
        <x:v>2.816802711381511</x:v>
      </x:c>
      <x:c r="AO27" s="32" t="n">
        <x:f>MIN(AP26+AN27,AM27*tun_KHMaxRatio)</x:f>
        <x:v>2.816802711381511</x:v>
      </x:c>
      <x:c r="AP27" s="32" t="n">
        <x:f>AP26+AN27-AO27</x:f>
        <x:v>0</x:v>
      </x:c>
      <x:c r="AQ27" s="32" t="n">
        <x:f>AM27+AO27</x:f>
        <x:v>14.313956635387681</x:v>
      </x:c>
      <x:c r="AR27" s="10" t="n">
        <x:f>IF(H27=1,INDEX(tun_Req,G27),0)</x:f>
        <x:v>409.222</x:v>
      </x:c>
      <x:c r="AS27" s="32" t="n">
        <x:f>IF(H27=1,IF(E27=1,AS26-AR26,AS26)+AQ27,0)</x:f>
        <x:v>323.8335104408679</x:v>
      </x:c>
      <x:c r="AT27" s="11" t="n">
        <x:f>IF(AR27&gt;0,MIN(1,AS27/AR27),1)</x:f>
        <x:v>0.7913394451932396</x:v>
      </x:c>
      <x:c r="AU27" s="10" t="n">
        <x:f>AB27/INDEX(tun_RepScale,G27)</x:f>
        <x:v>20.028281030382363</x:v>
      </x:c>
      <x:c r="AV27" s="32" t="n">
        <x:f>AM27*60/tun_SeasonSeconds</x:f>
        <x:v>45.98861569602468</x:v>
      </x:c>
    </x:row>
    <x:row r="28">
      <x:c r="A28" s="8" t="n">
        <x:f>A27+1</x:f>
        <x:v>25</x:v>
      </x:c>
      <x:c r="B28" s="9" t="n">
        <x:f>A28*tun_SeasonSeconds/60</x:f>
        <x:v>6.25</x:v>
      </x:c>
      <x:c r="C28" s="9" t="n">
        <x:f>A28/4</x:f>
        <x:v>6.25</x:v>
      </x:c>
      <x:c r="D28" s="8" t="n">
        <x:f>IF(MOD(A28,4)=0,1,0)</x:f>
        <x:v>0</x:v>
      </x:c>
      <x:c r="E28" s="8" t="n">
        <x:f>IF(AND(F27&lt;=9,AS27&gt;=AR27),1,0)</x:f>
        <x:v>0</x:v>
      </x:c>
      <x:c r="F28" s="8" t="n">
        <x:f>MIN(10,F27+E28)</x:f>
        <x:v>0</x:v>
      </x:c>
      <x:c r="G28" s="8" t="n">
        <x:f>MIN(F28,9)+1</x:f>
        <x:v>1</x:v>
      </x:c>
      <x:c r="H28" s="8" t="n">
        <x:f>IF(F28&lt;=9,1,0)</x:f>
        <x:v>1</x:v>
      </x:c>
      <x:c r="I28" s="9" t="n">
        <x:f>MIN(10,F27+IF(AR27&gt;0,MIN(1,AS27/AR27),1))</x:f>
        <x:v>0.7913394451932396</x:v>
      </x:c>
      <x:c r="J28" s="32" t="n">
        <x:f>INDEX(tun_FoodCap,G28)*Arch_FoodCap*EXP(tun_CapsByProject*SUMPRODUCT((Cap_Point&lt;=I28)*(Cap_Kind="Food")*Cap_Ln))</x:f>
        <x:v>27.104000000000006</x:v>
      </x:c>
      <x:c r="K28" s="32" t="n">
        <x:f>J28*MIN(1,tun_LeanBase*EXP(tun_CapsByProject*SUMPRODUCT((Cap_Point&lt;=I28)*(Cap_Kind="Lean")*Cap_Ln)))</x:f>
        <x:v>20.870080000000005</x:v>
      </x:c>
      <x:c r="L28" s="10" t="n">
        <x:f>INDEX(tun_HousingCap,G28)*EXP(tun_CapsByProject*SUMPRODUCT((Cap_Point&lt;=I28)*(Cap_Kind="Housing")*Cap_Ln))</x:f>
        <x:v>40</x:v>
      </x:c>
      <x:c r="M28" s="10" t="n">
        <x:f>INDEX(tun_GroupCap,G28)*tun_CohesionFactor*EXP(tun_CapsByProject*SUMPRODUCT((Cap_Point&lt;=I28)*(Cap_Kind="Group")*Cap_Ln))</x:f>
        <x:v>35</x:v>
      </x:c>
      <x:c r="N28" s="32" t="n">
        <x:f>MIN(J28,L28,M28)</x:f>
        <x:v>27.104000000000006</x:v>
      </x:c>
      <x:c r="O28" s="10" t="n">
        <x:f>AE27*N28</x:f>
        <x:v>27.104000000000006</x:v>
      </x:c>
      <x:c r="P28" s="9" t="n">
        <x:f>MIN(1,(AB27/(AE27*IF(tun_GroupInCrowding=1,N28,MIN(J28,L28))))^tun_CrowdingExp)</x:f>
        <x:v>0.16280274679426493</x:v>
      </x:c>
      <x:c r="Q28" s="9" t="n">
        <x:f>IF(D28=1,INDEX(tun_WinterMult,G28),1)</x:f>
        <x:v>1</x:v>
      </x:c>
      <x:c r="R28" s="9" t="n">
        <x:f>H28*Z27*tun_WomenShare*tun_BaseFertility*INDEX(tun_FertMult,G28)*Arch_Fertility*(1-P28)</x:f>
        <x:v>0.45110415655567093</x:v>
      </x:c>
      <x:c r="S28" s="9" t="n">
        <x:f>H28*Y27*INDEX(tun_MortChild,G28)/4*Q28</x:f>
        <x:v>0.08221282296219413</x:v>
      </x:c>
      <x:c r="T28" s="9" t="n">
        <x:f>H28*Z27*INDEX(tun_MortAdult,G28)*Arch_AdultMort/4*Q28</x:f>
        <x:v>0.024868920390395212</x:v>
      </x:c>
      <x:c r="U28" s="9" t="n">
        <x:f>H28*AA27*INDEX(tun_MortElder,G28)/4*Q28</x:f>
        <x:v>0.034501447011757204</x:v>
      </x:c>
      <x:c r="V28" s="9" t="n">
        <x:f>H28*MAX(0,AB27-O28)*tun_OvercapLoss</x:f>
        <x:v>0</x:v>
      </x:c>
      <x:c r="W28" s="9" t="n">
        <x:f>H28*Y27/(tun_ChildYears*4)</x:f>
        <x:v>0.16312068048054393</x:v>
      </x:c>
      <x:c r="X28" s="9" t="n">
        <x:f>H28*Z27/(tun_AdultYears*4)</x:f>
        <x:v>0.06685193653332046</x:v>
      </x:c>
      <x:c r="Y28" s="32" t="n">
        <x:f>Y27+R28-S28-W28-Y27*V28/AB27</x:f>
        <x:v>9.340528760023393</x:v>
      </x:c>
      <x:c r="Z28" s="32" t="n">
        <x:f>Z27+W28-X28-T28-Z27*V28/AB27</x:f>
        <x:v>8.361039953688566</x:v>
      </x:c>
      <x:c r="AA28" s="32" t="n">
        <x:f>AA27+X28-U28-AA27*V28/AB27</x:f>
        <x:v>2.63623328286173</x:v>
      </x:c>
      <x:c r="AB28" s="10" t="n">
        <x:f>Y28+Z28+AA28</x:f>
        <x:v>20.33780199657369</x:v>
      </x:c>
      <x:c r="AC28" s="8" t="n">
        <x:f>IF(AND(tun_WinterTrigger=1,D28=1,AB27/AE27&gt;=K28),1,0)</x:f>
        <x:v>0</x:v>
      </x:c>
      <x:c r="AD28" s="8" t="n">
        <x:f>H28*IF(AND(OR(AB27/AE27&gt;=tun_FissionTrigger*N28,AC28=1),AB27/AE27*tun_DaughterShare&gt;=tun_MinDaughter),MAX(1,ROUND(AE27*tun_FissionRate,0)),0)</x:f>
        <x:v>0</x:v>
      </x:c>
      <x:c r="AE28" s="8" t="n">
        <x:f>IF(H28=1,MAX(1,MIN(INDEX(tun_Smax,G28),AE27+AD28)),AE27)</x:f>
        <x:v>1</x:v>
      </x:c>
      <x:c r="AF28" s="8" t="n">
        <x:f>MAX(0,AE28-AE27)</x:f>
        <x:v>0</x:v>
      </x:c>
      <x:c r="AG28" s="9" t="str">
        <x:f>IF(AF28&gt;0,B28,"")</x:f>
      </x:c>
      <x:c r="AH28" s="9" t="n">
        <x:f>IF(F28&gt;=1,1,(1+tun_LowTiesShare*(AE28-1))/AE28)</x:f>
        <x:v>1</x:v>
      </x:c>
      <x:c r="AI28" s="32" t="n">
        <x:f>(Z28+tun_ElderCommons*INDEX(LM_Elder,G28)*AA28)*AH28</x:f>
        <x:v>13.633506519412027</x:v>
      </x:c>
      <x:c r="AJ28" s="32" t="n">
        <x:f>H28*tun_CommonsCoef*AI28^tun_CommonsExp*INDEX(LM_Commons,G28)</x:f>
        <x:v>46.38248519086478</x:v>
      </x:c>
      <x:c r="AK28" s="32" t="n">
        <x:f>H28*tun_RoleScale*Arch_Roles*(AE28*(INDEX(tun_ElderRolePerSett,G28)*tun_OutElder*INDEX(LM_Elder,G28)+INDEX(tun_ShamanPerSett,G28)*tun_OutShaman)+Z28*(INDEX(tun_PriestShare,G28)*tun_OutPriest+INDEX(tun_ScribeShare,G28)*tun_OutScribe*INDEX(LM_Scribe,G28)+INDEX(tun_ScholarShare,G28)*tun_OutScholar*INDEX(LM_Scholar,G28)+INDEX(tun_ResearcherShare,G28)*tun_OutResearcher*INDEX(LM_Researcher,G28)))</x:f>
        <x:v>0</x:v>
      </x:c>
      <x:c r="AL28" s="32" t="n">
        <x:f>H28*tun_RoleScale*Arch_Roles*AE28*INDEX(tun_MonasteryPerSett,G28)*tun_OutMonastery*INDEX(LM_Monastery,G28)</x:f>
        <x:v>0</x:v>
      </x:c>
      <x:c r="AM28" s="32" t="n">
        <x:f>(AJ28+AK28+AL28)/4*INDEX(LM_All,G28)*INDEX(tun_Boon,G28)*Arch_Insight</x:f>
        <x:v>11.595621297716194</x:v>
      </x:c>
      <x:c r="AN28" s="32" t="n">
        <x:f>H28*(tun_KHPerAdult*Z28+tun_KHOfCommons*AJ28/4*INDEX(LM_All,G28))*tun_KHUsable*Arch_KH</x:f>
        <x:v>2.840927217940467</x:v>
      </x:c>
      <x:c r="AO28" s="32" t="n">
        <x:f>MIN(AP27+AN28,AM28*tun_KHMaxRatio)</x:f>
        <x:v>2.840927217940467</x:v>
      </x:c>
      <x:c r="AP28" s="32" t="n">
        <x:f>AP27+AN28-AO28</x:f>
        <x:v>0</x:v>
      </x:c>
      <x:c r="AQ28" s="32" t="n">
        <x:f>AM28+AO28</x:f>
        <x:v>14.43654851565666</x:v>
      </x:c>
      <x:c r="AR28" s="10" t="n">
        <x:f>IF(H28=1,INDEX(tun_Req,G28),0)</x:f>
        <x:v>409.222</x:v>
      </x:c>
      <x:c r="AS28" s="32" t="n">
        <x:f>IF(H28=1,IF(E28=1,AS27-AR27,AS27)+AQ28,0)</x:f>
        <x:v>338.27005895652457</x:v>
      </x:c>
      <x:c r="AT28" s="11" t="n">
        <x:f>IF(AR28&gt;0,MIN(1,AS28/AR28),1)</x:f>
        <x:v>0.8266174813585891</x:v>
      </x:c>
      <x:c r="AU28" s="10" t="n">
        <x:f>AB28/INDEX(tun_RepScale,G28)</x:f>
        <x:v>20.33780199657369</x:v>
      </x:c>
      <x:c r="AV28" s="32" t="n">
        <x:f>AM28*60/tun_SeasonSeconds</x:f>
        <x:v>46.38248519086478</x:v>
      </x:c>
    </x:row>
    <x:row r="29">
      <x:c r="A29" s="8" t="n">
        <x:f>A28+1</x:f>
        <x:v>26</x:v>
      </x:c>
      <x:c r="B29" s="9" t="n">
        <x:f>A29*tun_SeasonSeconds/60</x:f>
        <x:v>6.5</x:v>
      </x:c>
      <x:c r="C29" s="9" t="n">
        <x:f>A29/4</x:f>
        <x:v>6.5</x:v>
      </x:c>
      <x:c r="D29" s="8" t="n">
        <x:f>IF(MOD(A29,4)=0,1,0)</x:f>
        <x:v>0</x:v>
      </x:c>
      <x:c r="E29" s="8" t="n">
        <x:f>IF(AND(F28&lt;=9,AS28&gt;=AR28),1,0)</x:f>
        <x:v>0</x:v>
      </x:c>
      <x:c r="F29" s="8" t="n">
        <x:f>MIN(10,F28+E29)</x:f>
        <x:v>0</x:v>
      </x:c>
      <x:c r="G29" s="8" t="n">
        <x:f>MIN(F29,9)+1</x:f>
        <x:v>1</x:v>
      </x:c>
      <x:c r="H29" s="8" t="n">
        <x:f>IF(F29&lt;=9,1,0)</x:f>
        <x:v>1</x:v>
      </x:c>
      <x:c r="I29" s="9" t="n">
        <x:f>MIN(10,F28+IF(AR28&gt;0,MIN(1,AS28/AR28),1))</x:f>
        <x:v>0.8266174813585891</x:v>
      </x:c>
      <x:c r="J29" s="32" t="n">
        <x:f>INDEX(tun_FoodCap,G29)*Arch_FoodCap*EXP(tun_CapsByProject*SUMPRODUCT((Cap_Point&lt;=I29)*(Cap_Kind="Food")*Cap_Ln))</x:f>
        <x:v>27.104000000000006</x:v>
      </x:c>
      <x:c r="K29" s="32" t="n">
        <x:f>J29*MIN(1,tun_LeanBase*EXP(tun_CapsByProject*SUMPRODUCT((Cap_Point&lt;=I29)*(Cap_Kind="Lean")*Cap_Ln)))</x:f>
        <x:v>20.870080000000005</x:v>
      </x:c>
      <x:c r="L29" s="10" t="n">
        <x:f>INDEX(tun_HousingCap,G29)*EXP(tun_CapsByProject*SUMPRODUCT((Cap_Point&lt;=I29)*(Cap_Kind="Housing")*Cap_Ln))</x:f>
        <x:v>40</x:v>
      </x:c>
      <x:c r="M29" s="10" t="n">
        <x:f>INDEX(tun_GroupCap,G29)*tun_CohesionFactor*EXP(tun_CapsByProject*SUMPRODUCT((Cap_Point&lt;=I29)*(Cap_Kind="Group")*Cap_Ln))</x:f>
        <x:v>35</x:v>
      </x:c>
      <x:c r="N29" s="32" t="n">
        <x:f>MIN(J29,L29,M29)</x:f>
        <x:v>27.104000000000006</x:v>
      </x:c>
      <x:c r="O29" s="10" t="n">
        <x:f>AE28*N29</x:f>
        <x:v>27.104000000000006</x:v>
      </x:c>
      <x:c r="P29" s="9" t="n">
        <x:f>MIN(1,(AB28/(AE28*IF(tun_GroupInCrowding=1,N29,MIN(J29,L29))))^tun_CrowdingExp)</x:f>
        <x:v>0.17849405552059025</x:v>
      </x:c>
      <x:c r="Q29" s="9" t="n">
        <x:f>IF(D29=1,INDEX(tun_WinterMult,G29),1)</x:f>
        <x:v>1</x:v>
      </x:c>
      <x:c r="R29" s="9" t="n">
        <x:f>H29*Z28*tun_WomenShare*tun_BaseFertility*INDEX(tun_FertMult,G29)*Arch_Fertility*(1-P29)</x:f>
        <x:v>0.44646186155902534</x:v>
      </x:c>
      <x:c r="S29" s="9" t="n">
        <x:f>H29*Y28*INDEX(tun_MortChild,G29)/4*Q29</x:f>
        <x:v>0.08406475884021053</x:v>
      </x:c>
      <x:c r="T29" s="9" t="n">
        <x:f>H29*Z28*INDEX(tun_MortAdult,G29)*Arch_AdultMort/4*Q29</x:f>
        <x:v>0.0250831198610657</x:v>
      </x:c>
      <x:c r="U29" s="9" t="n">
        <x:f>H29*AA28*INDEX(tun_MortElder,G29)/4*Q29</x:f>
        <x:v>0.03493009099791792</x:v>
      </x:c>
      <x:c r="V29" s="9" t="n">
        <x:f>H29*MAX(0,AB28-O29)*tun_OvercapLoss</x:f>
        <x:v>0</x:v>
      </x:c>
      <x:c r="W29" s="9" t="n">
        <x:f>H29*Y28/(tun_ChildYears*4)</x:f>
        <x:v>0.16679515642898915</x:v>
      </x:c>
      <x:c r="X29" s="9" t="n">
        <x:f>H29*Z28/(tun_AdultYears*4)</x:f>
        <x:v>0.06742774156200457</x:v>
      </x:c>
      <x:c r="Y29" s="32" t="n">
        <x:f>Y28+R29-S29-W29-Y28*V29/AB28</x:f>
        <x:v>9.53613070631322</x:v>
      </x:c>
      <x:c r="Z29" s="32" t="n">
        <x:f>Z28+W29-X29-T29-Z28*V29/AB28</x:f>
        <x:v>8.435324248694485</x:v>
      </x:c>
      <x:c r="AA29" s="32" t="n">
        <x:f>AA28+X29-U29-AA28*V29/AB28</x:f>
        <x:v>2.6687309334258167</x:v>
      </x:c>
      <x:c r="AB29" s="10" t="n">
        <x:f>Y29+Z29+AA29</x:f>
        <x:v>20.64018588843352</x:v>
      </x:c>
      <x:c r="AC29" s="8" t="n">
        <x:f>IF(AND(tun_WinterTrigger=1,D29=1,AB28/AE28&gt;=K29),1,0)</x:f>
        <x:v>0</x:v>
      </x:c>
      <x:c r="AD29" s="8" t="n">
        <x:f>H29*IF(AND(OR(AB28/AE28&gt;=tun_FissionTrigger*N29,AC29=1),AB28/AE28*tun_DaughterShare&gt;=tun_MinDaughter),MAX(1,ROUND(AE28*tun_FissionRate,0)),0)</x:f>
        <x:v>0</x:v>
      </x:c>
      <x:c r="AE29" s="8" t="n">
        <x:f>IF(H29=1,MAX(1,MIN(INDEX(tun_Smax,G29),AE28+AD29)),AE28)</x:f>
        <x:v>1</x:v>
      </x:c>
      <x:c r="AF29" s="8" t="n">
        <x:f>MAX(0,AE29-AE28)</x:f>
        <x:v>0</x:v>
      </x:c>
      <x:c r="AG29" s="9" t="str">
        <x:f>IF(AF29&gt;0,B29,"")</x:f>
      </x:c>
      <x:c r="AH29" s="9" t="n">
        <x:f>IF(F29&gt;=1,1,(1+tun_LowTiesShare*(AE29-1))/AE29)</x:f>
        <x:v>1</x:v>
      </x:c>
      <x:c r="AI29" s="32" t="n">
        <x:f>(Z29+tun_ElderCommons*INDEX(LM_Elder,G29)*AA29)*AH29</x:f>
        <x:v>13.772786115546118</x:v>
      </x:c>
      <x:c r="AJ29" s="32" t="n">
        <x:f>H29*tun_CommonsCoef*AI29^tun_CommonsExp*INDEX(LM_Commons,G29)</x:f>
        <x:v>46.78494385626874</x:v>
      </x:c>
      <x:c r="AK29" s="32" t="n">
        <x:f>H29*tun_RoleScale*Arch_Roles*(AE29*(INDEX(tun_ElderRolePerSett,G29)*tun_OutElder*INDEX(LM_Elder,G29)+INDEX(tun_ShamanPerSett,G29)*tun_OutShaman)+Z29*(INDEX(tun_PriestShare,G29)*tun_OutPriest+INDEX(tun_ScribeShare,G29)*tun_OutScribe*INDEX(LM_Scribe,G29)+INDEX(tun_ScholarShare,G29)*tun_OutScholar*INDEX(LM_Scholar,G29)+INDEX(tun_ResearcherShare,G29)*tun_OutResearcher*INDEX(LM_Researcher,G29)))</x:f>
        <x:v>0</x:v>
      </x:c>
      <x:c r="AL29" s="32" t="n">
        <x:f>H29*tun_RoleScale*Arch_Roles*AE29*INDEX(tun_MonasteryPerSett,G29)*tun_OutMonastery*INDEX(LM_Monastery,G29)</x:f>
        <x:v>0</x:v>
      </x:c>
      <x:c r="AM29" s="32" t="n">
        <x:f>(AJ29+AK29+AL29)/4*INDEX(LM_All,G29)*INDEX(tun_Boon,G29)*Arch_Insight</x:f>
        <x:v>11.696235964067185</x:v>
      </x:c>
      <x:c r="AN29" s="32" t="n">
        <x:f>H29*(tun_KHPerAdult*Z29+tun_KHOfCommons*AJ29/4*INDEX(LM_All,G29))*tun_KHUsable*Arch_KH</x:f>
        <x:v>2.86557781119646</x:v>
      </x:c>
      <x:c r="AO29" s="32" t="n">
        <x:f>MIN(AP28+AN29,AM29*tun_KHMaxRatio)</x:f>
        <x:v>2.86557781119646</x:v>
      </x:c>
      <x:c r="AP29" s="32" t="n">
        <x:f>AP28+AN29-AO29</x:f>
        <x:v>0</x:v>
      </x:c>
      <x:c r="AQ29" s="32" t="n">
        <x:f>AM29+AO29</x:f>
        <x:v>14.561813775263644</x:v>
      </x:c>
      <x:c r="AR29" s="10" t="n">
        <x:f>IF(H29=1,INDEX(tun_Req,G29),0)</x:f>
        <x:v>409.222</x:v>
      </x:c>
      <x:c r="AS29" s="32" t="n">
        <x:f>IF(H29=1,IF(E29=1,AS28-AR28,AS28)+AQ29,0)</x:f>
        <x:v>352.8318727317882</x:v>
      </x:c>
      <x:c r="AT29" s="11" t="n">
        <x:f>IF(AR29&gt;0,MIN(1,AS29/AR29),1)</x:f>
        <x:v>0.862201623401939</x:v>
      </x:c>
      <x:c r="AU29" s="10" t="n">
        <x:f>AB29/INDEX(tun_RepScale,G29)</x:f>
        <x:v>20.64018588843352</x:v>
      </x:c>
      <x:c r="AV29" s="32" t="n">
        <x:f>AM29*60/tun_SeasonSeconds</x:f>
        <x:v>46.78494385626875</x:v>
      </x:c>
    </x:row>
    <x:row r="30">
      <x:c r="A30" s="8" t="n">
        <x:f>A29+1</x:f>
        <x:v>27</x:v>
      </x:c>
      <x:c r="B30" s="9" t="n">
        <x:f>A30*tun_SeasonSeconds/60</x:f>
        <x:v>6.75</x:v>
      </x:c>
      <x:c r="C30" s="9" t="n">
        <x:f>A30/4</x:f>
        <x:v>6.75</x:v>
      </x:c>
      <x:c r="D30" s="8" t="n">
        <x:f>IF(MOD(A30,4)=0,1,0)</x:f>
        <x:v>0</x:v>
      </x:c>
      <x:c r="E30" s="8" t="n">
        <x:f>IF(AND(F29&lt;=9,AS29&gt;=AR29),1,0)</x:f>
        <x:v>0</x:v>
      </x:c>
      <x:c r="F30" s="8" t="n">
        <x:f>MIN(10,F29+E30)</x:f>
        <x:v>0</x:v>
      </x:c>
      <x:c r="G30" s="8" t="n">
        <x:f>MIN(F30,9)+1</x:f>
        <x:v>1</x:v>
      </x:c>
      <x:c r="H30" s="8" t="n">
        <x:f>IF(F30&lt;=9,1,0)</x:f>
        <x:v>1</x:v>
      </x:c>
      <x:c r="I30" s="9" t="n">
        <x:f>MIN(10,F29+IF(AR29&gt;0,MIN(1,AS29/AR29),1))</x:f>
        <x:v>0.862201623401939</x:v>
      </x:c>
      <x:c r="J30" s="32" t="n">
        <x:f>INDEX(tun_FoodCap,G30)*Arch_FoodCap*EXP(tun_CapsByProject*SUMPRODUCT((Cap_Point&lt;=I30)*(Cap_Kind="Food")*Cap_Ln))</x:f>
        <x:v>27.104000000000006</x:v>
      </x:c>
      <x:c r="K30" s="32" t="n">
        <x:f>J30*MIN(1,tun_LeanBase*EXP(tun_CapsByProject*SUMPRODUCT((Cap_Point&lt;=I30)*(Cap_Kind="Lean")*Cap_Ln)))</x:f>
        <x:v>20.870080000000005</x:v>
      </x:c>
      <x:c r="L30" s="10" t="n">
        <x:f>INDEX(tun_HousingCap,G30)*EXP(tun_CapsByProject*SUMPRODUCT((Cap_Point&lt;=I30)*(Cap_Kind="Housing")*Cap_Ln))</x:f>
        <x:v>50</x:v>
      </x:c>
      <x:c r="M30" s="10" t="n">
        <x:f>INDEX(tun_GroupCap,G30)*tun_CohesionFactor*EXP(tun_CapsByProject*SUMPRODUCT((Cap_Point&lt;=I30)*(Cap_Kind="Group")*Cap_Ln))</x:f>
        <x:v>35</x:v>
      </x:c>
      <x:c r="N30" s="32" t="n">
        <x:f>MIN(J30,L30,M30)</x:f>
        <x:v>27.104000000000006</x:v>
      </x:c>
      <x:c r="O30" s="10" t="n">
        <x:f>AE29*N30</x:f>
        <x:v>27.104000000000006</x:v>
      </x:c>
      <x:c r="P30" s="9" t="n">
        <x:f>MIN(1,(AB29/(AE29*IF(tun_GroupInCrowding=1,N30,MIN(J30,L30))))^tun_CrowdingExp)</x:f>
        <x:v>0.19502096174924718</x:v>
      </x:c>
      <x:c r="Q30" s="9" t="n">
        <x:f>IF(D30=1,INDEX(tun_WinterMult,G30),1)</x:f>
        <x:v>1</x:v>
      </x:c>
      <x:c r="R30" s="9" t="n">
        <x:f>H30*Z29*tun_WomenShare*tun_BaseFertility*INDEX(tun_FertMult,G30)*Arch_Fertility*(1-P30)</x:f>
        <x:v>0.44136684806807713</x:v>
      </x:c>
      <x:c r="S30" s="9" t="n">
        <x:f>H30*Y29*INDEX(tun_MortChild,G30)/4*Q30</x:f>
        <x:v>0.08582517635681897</x:v>
      </x:c>
      <x:c r="T30" s="9" t="n">
        <x:f>H30*Z29*INDEX(tun_MortAdult,G30)*Arch_AdultMort/4*Q30</x:f>
        <x:v>0.025305972746083455</x:v>
      </x:c>
      <x:c r="U30" s="9" t="n">
        <x:f>H30*AA29*INDEX(tun_MortElder,G30)/4*Q30</x:f>
        <x:v>0.03536068486789207</x:v>
      </x:c>
      <x:c r="V30" s="9" t="n">
        <x:f>H30*MAX(0,AB29-O30)*tun_OvercapLoss</x:f>
        <x:v>0</x:v>
      </x:c>
      <x:c r="W30" s="9" t="n">
        <x:f>H30*Y29/(tun_ChildYears*4)</x:f>
        <x:v>0.17028804832702177</x:v>
      </x:c>
      <x:c r="X30" s="9" t="n">
        <x:f>H30*Z29/(tun_AdultYears*4)</x:f>
        <x:v>0.0680268084572136</x:v>
      </x:c>
      <x:c r="Y30" s="32" t="n">
        <x:f>Y29+R30-S30-W30-Y29*V30/AB29</x:f>
        <x:v>9.721384329697456</x:v>
      </x:c>
      <x:c r="Z30" s="32" t="n">
        <x:f>Z29+W30-X30-T30-Z29*V30/AB29</x:f>
        <x:v>8.512279515818209</x:v>
      </x:c>
      <x:c r="AA30" s="32" t="n">
        <x:f>AA29+X30-U30-AA29*V30/AB29</x:f>
        <x:v>2.7013970570151384</x:v>
      </x:c>
      <x:c r="AB30" s="10" t="n">
        <x:f>Y30+Z30+AA30</x:f>
        <x:v>20.935060902530804</x:v>
      </x:c>
      <x:c r="AC30" s="8" t="n">
        <x:f>IF(AND(tun_WinterTrigger=1,D30=1,AB29/AE29&gt;=K30),1,0)</x:f>
        <x:v>0</x:v>
      </x:c>
      <x:c r="AD30" s="8" t="n">
        <x:f>H30*IF(AND(OR(AB29/AE29&gt;=tun_FissionTrigger*N30,AC30=1),AB29/AE29*tun_DaughterShare&gt;=tun_MinDaughter),MAX(1,ROUND(AE29*tun_FissionRate,0)),0)</x:f>
        <x:v>0</x:v>
      </x:c>
      <x:c r="AE30" s="8" t="n">
        <x:f>IF(H30=1,MAX(1,MIN(INDEX(tun_Smax,G30),AE29+AD30)),AE29)</x:f>
        <x:v>1</x:v>
      </x:c>
      <x:c r="AF30" s="8" t="n">
        <x:f>MAX(0,AE30-AE29)</x:f>
        <x:v>0</x:v>
      </x:c>
      <x:c r="AG30" s="9" t="str">
        <x:f>IF(AF30&gt;0,B30,"")</x:f>
      </x:c>
      <x:c r="AH30" s="9" t="n">
        <x:f>IF(F30&gt;=1,1,(1+tun_LowTiesShare*(AE30-1))/AE30)</x:f>
        <x:v>1</x:v>
      </x:c>
      <x:c r="AI30" s="32" t="n">
        <x:f>(Z30+tun_ElderCommons*INDEX(LM_Elder,G30)*AA30)*AH30</x:f>
        <x:v>13.915073629848486</x:v>
      </x:c>
      <x:c r="AJ30" s="32" t="n">
        <x:f>H30*tun_CommonsCoef*AI30^tun_CommonsExp*INDEX(LM_Commons,G30)</x:f>
        <x:v>47.195464233514734</x:v>
      </x:c>
      <x:c r="AK30" s="32" t="n">
        <x:f>H30*tun_RoleScale*Arch_Roles*(AE30*(INDEX(tun_ElderRolePerSett,G30)*tun_OutElder*INDEX(LM_Elder,G30)+INDEX(tun_ShamanPerSett,G30)*tun_OutShaman)+Z30*(INDEX(tun_PriestShare,G30)*tun_OutPriest+INDEX(tun_ScribeShare,G30)*tun_OutScribe*INDEX(LM_Scribe,G30)+INDEX(tun_ScholarShare,G30)*tun_OutScholar*INDEX(LM_Scholar,G30)+INDEX(tun_ResearcherShare,G30)*tun_OutResearcher*INDEX(LM_Researcher,G30)))</x:f>
        <x:v>0</x:v>
      </x:c>
      <x:c r="AL30" s="32" t="n">
        <x:f>H30*tun_RoleScale*Arch_Roles*AE30*INDEX(tun_MonasteryPerSett,G30)*tun_OutMonastery*INDEX(LM_Monastery,G30)</x:f>
        <x:v>0</x:v>
      </x:c>
      <x:c r="AM30" s="32" t="n">
        <x:f>(AJ30+AK30+AL30)/4*INDEX(LM_All,G30)*INDEX(tun_Boon,G30)*Arch_Insight</x:f>
        <x:v>11.798866058378684</x:v>
      </x:c>
      <x:c r="AN30" s="32" t="n">
        <x:f>H30*(tun_KHPerAdult*Z30+tun_KHOfCommons*AJ30/4*INDEX(LM_All,G30))*tun_KHUsable*Arch_KH</x:f>
        <x:v>2.8907221843027773</x:v>
      </x:c>
      <x:c r="AO30" s="32" t="n">
        <x:f>MIN(AP29+AN30,AM30*tun_KHMaxRatio)</x:f>
        <x:v>2.8907221843027773</x:v>
      </x:c>
      <x:c r="AP30" s="32" t="n">
        <x:f>AP29+AN30-AO30</x:f>
        <x:v>0</x:v>
      </x:c>
      <x:c r="AQ30" s="32" t="n">
        <x:f>AM30+AO30</x:f>
        <x:v>14.689588242681461</x:v>
      </x:c>
      <x:c r="AR30" s="10" t="n">
        <x:f>IF(H30=1,INDEX(tun_Req,G30),0)</x:f>
        <x:v>409.222</x:v>
      </x:c>
      <x:c r="AS30" s="32" t="n">
        <x:f>IF(H30=1,IF(E30=1,AS29-AR29,AS29)+AQ30,0)</x:f>
        <x:v>367.5214609744697</x:v>
      </x:c>
      <x:c r="AT30" s="11" t="n">
        <x:f>IF(AR30&gt;0,MIN(1,AS30/AR30),1)</x:f>
        <x:v>0.8980980029775273</x:v>
      </x:c>
      <x:c r="AU30" s="10" t="n">
        <x:f>AB30/INDEX(tun_RepScale,G30)</x:f>
        <x:v>20.935060902530804</x:v>
      </x:c>
      <x:c r="AV30" s="32" t="n">
        <x:f>AM30*60/tun_SeasonSeconds</x:f>
        <x:v>47.195464233514734</x:v>
      </x:c>
    </x:row>
    <x:row r="31">
      <x:c r="A31" s="8" t="n">
        <x:f>A30+1</x:f>
        <x:v>28</x:v>
      </x:c>
      <x:c r="B31" s="9" t="n">
        <x:f>A31*tun_SeasonSeconds/60</x:f>
        <x:v>7</x:v>
      </x:c>
      <x:c r="C31" s="9" t="n">
        <x:f>A31/4</x:f>
        <x:v>7</x:v>
      </x:c>
      <x:c r="D31" s="8" t="n">
        <x:f>IF(MOD(A31,4)=0,1,0)</x:f>
        <x:v>1</x:v>
      </x:c>
      <x:c r="E31" s="8" t="n">
        <x:f>IF(AND(F30&lt;=9,AS30&gt;=AR30),1,0)</x:f>
        <x:v>0</x:v>
      </x:c>
      <x:c r="F31" s="8" t="n">
        <x:f>MIN(10,F30+E31)</x:f>
        <x:v>0</x:v>
      </x:c>
      <x:c r="G31" s="8" t="n">
        <x:f>MIN(F31,9)+1</x:f>
        <x:v>1</x:v>
      </x:c>
      <x:c r="H31" s="8" t="n">
        <x:f>IF(F31&lt;=9,1,0)</x:f>
        <x:v>1</x:v>
      </x:c>
      <x:c r="I31" s="9" t="n">
        <x:f>MIN(10,F30+IF(AR30&gt;0,MIN(1,AS30/AR30),1))</x:f>
        <x:v>0.8980980029775273</x:v>
      </x:c>
      <x:c r="J31" s="32" t="n">
        <x:f>INDEX(tun_FoodCap,G31)*Arch_FoodCap*EXP(tun_CapsByProject*SUMPRODUCT((Cap_Point&lt;=I31)*(Cap_Kind="Food")*Cap_Ln))</x:f>
        <x:v>27.104000000000006</x:v>
      </x:c>
      <x:c r="K31" s="32" t="n">
        <x:f>J31*MIN(1,tun_LeanBase*EXP(tun_CapsByProject*SUMPRODUCT((Cap_Point&lt;=I31)*(Cap_Kind="Lean")*Cap_Ln)))</x:f>
        <x:v>20.870080000000005</x:v>
      </x:c>
      <x:c r="L31" s="10" t="n">
        <x:f>INDEX(tun_HousingCap,G31)*EXP(tun_CapsByProject*SUMPRODUCT((Cap_Point&lt;=I31)*(Cap_Kind="Housing")*Cap_Ln))</x:f>
        <x:v>50</x:v>
      </x:c>
      <x:c r="M31" s="10" t="n">
        <x:f>INDEX(tun_GroupCap,G31)*tun_CohesionFactor*EXP(tun_CapsByProject*SUMPRODUCT((Cap_Point&lt;=I31)*(Cap_Kind="Group")*Cap_Ln))</x:f>
        <x:v>35</x:v>
      </x:c>
      <x:c r="N31" s="32" t="n">
        <x:f>MIN(J31,L31,M31)</x:f>
        <x:v>27.104000000000006</x:v>
      </x:c>
      <x:c r="O31" s="10" t="n">
        <x:f>AE30*N31</x:f>
        <x:v>27.104000000000006</x:v>
      </x:c>
      <x:c r="P31" s="9" t="n">
        <x:f>MIN(1,(AB30/(AE30*IF(tun_GroupInCrowding=1,N31,MIN(J31,L31))))^tun_CrowdingExp)</x:f>
        <x:v>0.21234646715308125</x:v>
      </x:c>
      <x:c r="Q31" s="9" t="n">
        <x:f>IF(D31=1,INDEX(tun_WinterMult,G31),1)</x:f>
        <x:v>2</x:v>
      </x:c>
      <x:c r="R31" s="9" t="n">
        <x:f>H31*Z30*tun_WomenShare*tun_BaseFertility*INDEX(tun_FertMult,G31)*Arch_Fertility*(1-P31)</x:f>
        <x:v>0.43580725715895363</x:v>
      </x:c>
      <x:c r="S31" s="9" t="n">
        <x:f>H31*Y30*INDEX(tun_MortChild,G31)/4*Q31</x:f>
        <x:v>0.17498491793455417</x:v>
      </x:c>
      <x:c r="T31" s="9" t="n">
        <x:f>H31*Z30*INDEX(tun_MortAdult,G31)*Arch_AdultMort/4*Q31</x:f>
        <x:v>0.05107367709490925</x:v>
      </x:c>
      <x:c r="U31" s="9" t="n">
        <x:f>H31*AA30*INDEX(tun_MortElder,G31)/4*Q31</x:f>
        <x:v>0.07158702201090117</x:v>
      </x:c>
      <x:c r="V31" s="9" t="n">
        <x:f>H31*MAX(0,AB30-O31)*tun_OvercapLoss</x:f>
        <x:v>0</x:v>
      </x:c>
      <x:c r="W31" s="9" t="n">
        <x:f>H31*Y30/(tun_ChildYears*4)</x:f>
        <x:v>0.17359614874459742</x:v>
      </x:c>
      <x:c r="X31" s="9" t="n">
        <x:f>H31*Z30/(tun_AdultYears*4)</x:f>
        <x:v>0.06864741545014684</x:v>
      </x:c>
      <x:c r="Y31" s="32" t="n">
        <x:f>Y30+R31-S31-W31-Y30*V31/AB30</x:f>
        <x:v>9.80861052017726</x:v>
      </x:c>
      <x:c r="Z31" s="32" t="n">
        <x:f>Z30+W31-X31-T31-Z30*V31/AB30</x:f>
        <x:v>8.56615457201775</x:v>
      </x:c>
      <x:c r="AA31" s="32" t="n">
        <x:f>AA30+X31-U31-AA30*V31/AB30</x:f>
        <x:v>2.698457450454384</x:v>
      </x:c>
      <x:c r="AB31" s="10" t="n">
        <x:f>Y31+Z31+AA31</x:f>
        <x:v>21.073222542649393</x:v>
      </x:c>
      <x:c r="AC31" s="8" t="n">
        <x:f>IF(AND(tun_WinterTrigger=1,D31=1,AB30/AE30&gt;=K31),1,0)</x:f>
        <x:v>1</x:v>
      </x:c>
      <x:c r="AD31" s="8" t="n">
        <x:f>H31*IF(AND(OR(AB30/AE30&gt;=tun_FissionTrigger*N31,AC31=1),AB30/AE30*tun_DaughterShare&gt;=tun_MinDaughter),MAX(1,ROUND(AE30*tun_FissionRate,0)),0)</x:f>
        <x:v>1</x:v>
      </x:c>
      <x:c r="AE31" s="8" t="n">
        <x:f>IF(H31=1,MAX(1,MIN(INDEX(tun_Smax,G31),AE30+AD31)),AE30)</x:f>
        <x:v>2</x:v>
      </x:c>
      <x:c r="AF31" s="8" t="n">
        <x:f>MAX(0,AE31-AE30)</x:f>
        <x:v>1</x:v>
      </x:c>
      <x:c r="AG31" s="9" t="n">
        <x:f>IF(AF31&gt;0,B31,"")</x:f>
        <x:v>7</x:v>
      </x:c>
      <x:c r="AH31" s="9" t="n">
        <x:f>IF(F31&gt;=1,1,(1+tun_LowTiesShare*(AE31-1))/AE31)</x:f>
        <x:v>0.75</x:v>
      </x:c>
      <x:c r="AI31" s="32" t="n">
        <x:f>(Z31+tun_ElderCommons*INDEX(LM_Elder,G31)*AA31)*AH31</x:f>
        <x:v>10.472302104694887</x:v>
      </x:c>
      <x:c r="AJ31" s="32" t="n">
        <x:f>H31*tun_CommonsCoef*AI31^tun_CommonsExp*INDEX(LM_Commons,G31)</x:f>
        <x:v>37.06580339832905</x:v>
      </x:c>
      <x:c r="AK31" s="32" t="n">
        <x:f>H31*tun_RoleScale*Arch_Roles*(AE31*(INDEX(tun_ElderRolePerSett,G31)*tun_OutElder*INDEX(LM_Elder,G31)+INDEX(tun_ShamanPerSett,G31)*tun_OutShaman)+Z31*(INDEX(tun_PriestShare,G31)*tun_OutPriest+INDEX(tun_ScribeShare,G31)*tun_OutScribe*INDEX(LM_Scribe,G31)+INDEX(tun_ScholarShare,G31)*tun_OutScholar*INDEX(LM_Scholar,G31)+INDEX(tun_ResearcherShare,G31)*tun_OutResearcher*INDEX(LM_Researcher,G31)))</x:f>
        <x:v>0</x:v>
      </x:c>
      <x:c r="AL31" s="32" t="n">
        <x:f>H31*tun_RoleScale*Arch_Roles*AE31*INDEX(tun_MonasteryPerSett,G31)*tun_OutMonastery*INDEX(LM_Monastery,G31)</x:f>
        <x:v>0</x:v>
      </x:c>
      <x:c r="AM31" s="32" t="n">
        <x:f>(AJ31+AK31+AL31)/4*INDEX(LM_All,G31)*INDEX(tun_Boon,G31)*Arch_Insight</x:f>
        <x:v>9.266450849582263</x:v>
      </x:c>
      <x:c r="AN31" s="32" t="n">
        <x:f>H31*(tun_KHPerAdult*Z31+tun_KHOfCommons*AJ31/4*INDEX(LM_All,G31))*tun_KHUsable*Arch_KH</x:f>
        <x:v>2.270280458147654</x:v>
      </x:c>
      <x:c r="AO31" s="32" t="n">
        <x:f>MIN(AP30+AN31,AM31*tun_KHMaxRatio)</x:f>
        <x:v>2.270280458147654</x:v>
      </x:c>
      <x:c r="AP31" s="32" t="n">
        <x:f>AP30+AN31-AO31</x:f>
        <x:v>0</x:v>
      </x:c>
      <x:c r="AQ31" s="32" t="n">
        <x:f>AM31+AO31</x:f>
        <x:v>11.536731307729918</x:v>
      </x:c>
      <x:c r="AR31" s="10" t="n">
        <x:f>IF(H31=1,INDEX(tun_Req,G31),0)</x:f>
        <x:v>409.222</x:v>
      </x:c>
      <x:c r="AS31" s="32" t="n">
        <x:f>IF(H31=1,IF(E31=1,AS30-AR30,AS30)+AQ31,0)</x:f>
        <x:v>379.05819228219957</x:v>
      </x:c>
      <x:c r="AT31" s="11" t="n">
        <x:f>IF(AR31&gt;0,MIN(1,AS31/AR31),1)</x:f>
        <x:v>0.926289867803294</x:v>
      </x:c>
      <x:c r="AU31" s="10" t="n">
        <x:f>AB31/INDEX(tun_RepScale,G31)</x:f>
        <x:v>21.073222542649393</x:v>
      </x:c>
      <x:c r="AV31" s="32" t="n">
        <x:f>AM31*60/tun_SeasonSeconds</x:f>
        <x:v>37.06580339832905</x:v>
      </x:c>
    </x:row>
    <x:row r="32">
      <x:c r="A32" s="8" t="n">
        <x:f>A31+1</x:f>
        <x:v>29</x:v>
      </x:c>
      <x:c r="B32" s="9" t="n">
        <x:f>A32*tun_SeasonSeconds/60</x:f>
        <x:v>7.25</x:v>
      </x:c>
      <x:c r="C32" s="9" t="n">
        <x:f>A32/4</x:f>
        <x:v>7.25</x:v>
      </x:c>
      <x:c r="D32" s="8" t="n">
        <x:f>IF(MOD(A32,4)=0,1,0)</x:f>
        <x:v>0</x:v>
      </x:c>
      <x:c r="E32" s="8" t="n">
        <x:f>IF(AND(F31&lt;=9,AS31&gt;=AR31),1,0)</x:f>
        <x:v>0</x:v>
      </x:c>
      <x:c r="F32" s="8" t="n">
        <x:f>MIN(10,F31+E32)</x:f>
        <x:v>0</x:v>
      </x:c>
      <x:c r="G32" s="8" t="n">
        <x:f>MIN(F32,9)+1</x:f>
        <x:v>1</x:v>
      </x:c>
      <x:c r="H32" s="8" t="n">
        <x:f>IF(F32&lt;=9,1,0)</x:f>
        <x:v>1</x:v>
      </x:c>
      <x:c r="I32" s="9" t="n">
        <x:f>MIN(10,F31+IF(AR31&gt;0,MIN(1,AS31/AR31),1))</x:f>
        <x:v>0.926289867803294</x:v>
      </x:c>
      <x:c r="J32" s="32" t="n">
        <x:f>INDEX(tun_FoodCap,G32)*Arch_FoodCap*EXP(tun_CapsByProject*SUMPRODUCT((Cap_Point&lt;=I32)*(Cap_Kind="Food")*Cap_Ln))</x:f>
        <x:v>27.104000000000006</x:v>
      </x:c>
      <x:c r="K32" s="32" t="n">
        <x:f>J32*MIN(1,tun_LeanBase*EXP(tun_CapsByProject*SUMPRODUCT((Cap_Point&lt;=I32)*(Cap_Kind="Lean")*Cap_Ln)))</x:f>
        <x:v>20.870080000000005</x:v>
      </x:c>
      <x:c r="L32" s="10" t="n">
        <x:f>INDEX(tun_HousingCap,G32)*EXP(tun_CapsByProject*SUMPRODUCT((Cap_Point&lt;=I32)*(Cap_Kind="Housing")*Cap_Ln))</x:f>
        <x:v>50</x:v>
      </x:c>
      <x:c r="M32" s="10" t="n">
        <x:f>INDEX(tun_GroupCap,G32)*tun_CohesionFactor*EXP(tun_CapsByProject*SUMPRODUCT((Cap_Point&lt;=I32)*(Cap_Kind="Group")*Cap_Ln))</x:f>
        <x:v>35</x:v>
      </x:c>
      <x:c r="N32" s="32" t="n">
        <x:f>MIN(J32,L32,M32)</x:f>
        <x:v>27.104000000000006</x:v>
      </x:c>
      <x:c r="O32" s="10" t="n">
        <x:f>AE31*N32</x:f>
        <x:v>54.20800000000001</x:v>
      </x:c>
      <x:c r="P32" s="9" t="n">
        <x:f>MIN(1,(AB31/(AE31*IF(tun_GroupInCrowding=1,N32,MIN(J32,L32))))^tun_CrowdingExp)</x:f>
        <x:v>0.0034514804298783315</x:v>
      </x:c>
      <x:c r="Q32" s="9" t="n">
        <x:f>IF(D32=1,INDEX(tun_WinterMult,G32),1)</x:f>
        <x:v>1</x:v>
      </x:c>
      <x:c r="R32" s="9" t="n">
        <x:f>H32*Z31*tun_WomenShare*tun_BaseFertility*INDEX(tun_FertMult,G32)*Arch_Fertility*(1-P32)</x:f>
        <x:v>0.5548782627149527</x:v>
      </x:c>
      <x:c r="S32" s="9" t="n">
        <x:f>H32*Y31*INDEX(tun_MortChild,G32)/4*Q32</x:f>
        <x:v>0.08827749468159533</x:v>
      </x:c>
      <x:c r="T32" s="9" t="n">
        <x:f>H32*Z31*INDEX(tun_MortAdult,G32)*Arch_AdultMort/4*Q32</x:f>
        <x:v>0.02569846371605325</x:v>
      </x:c>
      <x:c r="U32" s="9" t="n">
        <x:f>H32*AA31*INDEX(tun_MortElder,G32)/4*Q32</x:f>
        <x:v>0.03575456121852059</x:v>
      </x:c>
      <x:c r="V32" s="9" t="n">
        <x:f>H32*MAX(0,AB31-O32)*tun_OvercapLoss</x:f>
        <x:v>0</x:v>
      </x:c>
      <x:c r="W32" s="9" t="n">
        <x:f>H32*Y31/(tun_ChildYears*4)</x:f>
        <x:v>0.17515375928887963</x:v>
      </x:c>
      <x:c r="X32" s="9" t="n">
        <x:f>H32*Z31/(tun_AdultYears*4)</x:f>
        <x:v>0.06908189170982056</x:v>
      </x:c>
      <x:c r="Y32" s="32" t="n">
        <x:f>Y31+R32-S32-W32-Y31*V32/AB31</x:f>
        <x:v>10.100057528921738</x:v>
      </x:c>
      <x:c r="Z32" s="32" t="n">
        <x:f>Z31+W32-X32-T32-Z31*V32/AB31</x:f>
        <x:v>8.646527975880755</x:v>
      </x:c>
      <x:c r="AA32" s="32" t="n">
        <x:f>AA31+X32-U32-AA31*V32/AB31</x:f>
        <x:v>2.731784780945684</x:v>
      </x:c>
      <x:c r="AB32" s="10" t="n">
        <x:f>Y32+Z32+AA32</x:f>
        <x:v>21.478370285748177</x:v>
      </x:c>
      <x:c r="AC32" s="8" t="n">
        <x:f>IF(AND(tun_WinterTrigger=1,D32=1,AB31/AE31&gt;=K32),1,0)</x:f>
        <x:v>0</x:v>
      </x:c>
      <x:c r="AD32" s="8" t="n">
        <x:f>H32*IF(AND(OR(AB31/AE31&gt;=tun_FissionTrigger*N32,AC32=1),AB31/AE31*tun_DaughterShare&gt;=tun_MinDaughter),MAX(1,ROUND(AE31*tun_FissionRate,0)),0)</x:f>
        <x:v>0</x:v>
      </x:c>
      <x:c r="AE32" s="8" t="n">
        <x:f>IF(H32=1,MAX(1,MIN(INDEX(tun_Smax,G32),AE31+AD32)),AE31)</x:f>
        <x:v>2</x:v>
      </x:c>
      <x:c r="AF32" s="8" t="n">
        <x:f>MAX(0,AE32-AE31)</x:f>
        <x:v>0</x:v>
      </x:c>
      <x:c r="AG32" s="9" t="str">
        <x:f>IF(AF32&gt;0,B32,"")</x:f>
      </x:c>
      <x:c r="AH32" s="9" t="n">
        <x:f>IF(F32&gt;=1,1,(1+tun_LowTiesShare*(AE32-1))/AE32)</x:f>
        <x:v>0.75</x:v>
      </x:c>
      <x:c r="AI32" s="32" t="n">
        <x:f>(Z32+tun_ElderCommons*INDEX(LM_Elder,G32)*AA32)*AH32</x:f>
        <x:v>10.582573153329093</x:v>
      </x:c>
      <x:c r="AJ32" s="32" t="n">
        <x:f>H32*tun_CommonsCoef*AI32^tun_CommonsExp*INDEX(LM_Commons,G32)</x:f>
        <x:v>37.39729303157446</x:v>
      </x:c>
      <x:c r="AK32" s="32" t="n">
        <x:f>H32*tun_RoleScale*Arch_Roles*(AE32*(INDEX(tun_ElderRolePerSett,G32)*tun_OutElder*INDEX(LM_Elder,G32)+INDEX(tun_ShamanPerSett,G32)*tun_OutShaman)+Z32*(INDEX(tun_PriestShare,G32)*tun_OutPriest+INDEX(tun_ScribeShare,G32)*tun_OutScribe*INDEX(LM_Scribe,G32)+INDEX(tun_ScholarShare,G32)*tun_OutScholar*INDEX(LM_Scholar,G32)+INDEX(tun_ResearcherShare,G32)*tun_OutResearcher*INDEX(LM_Researcher,G32)))</x:f>
        <x:v>0</x:v>
      </x:c>
      <x:c r="AL32" s="32" t="n">
        <x:f>H32*tun_RoleScale*Arch_Roles*AE32*INDEX(tun_MonasteryPerSett,G32)*tun_OutMonastery*INDEX(LM_Monastery,G32)</x:f>
        <x:v>0</x:v>
      </x:c>
      <x:c r="AM32" s="32" t="n">
        <x:f>(AJ32+AK32+AL32)/4*INDEX(LM_All,G32)*INDEX(tun_Boon,G32)*Arch_Insight</x:f>
        <x:v>9.349323257893616</x:v>
      </x:c>
      <x:c r="AN32" s="32" t="n">
        <x:f>H32*(tun_KHPerAdult*Z32+tun_KHOfCommons*AJ32/4*INDEX(LM_All,G32))*tun_KHUsable*Arch_KH</x:f>
        <x:v>2.290584198183936</x:v>
      </x:c>
      <x:c r="AO32" s="32" t="n">
        <x:f>MIN(AP31+AN32,AM32*tun_KHMaxRatio)</x:f>
        <x:v>2.290584198183936</x:v>
      </x:c>
      <x:c r="AP32" s="32" t="n">
        <x:f>AP31+AN32-AO32</x:f>
        <x:v>0</x:v>
      </x:c>
      <x:c r="AQ32" s="32" t="n">
        <x:f>AM32+AO32</x:f>
        <x:v>11.639907456077552</x:v>
      </x:c>
      <x:c r="AR32" s="10" t="n">
        <x:f>IF(H32=1,INDEX(tun_Req,G32),0)</x:f>
        <x:v>409.222</x:v>
      </x:c>
      <x:c r="AS32" s="32" t="n">
        <x:f>IF(H32=1,IF(E32=1,AS31-AR31,AS31)+AQ32,0)</x:f>
        <x:v>390.6980997382771</x:v>
      </x:c>
      <x:c r="AT32" s="11" t="n">
        <x:f>IF(AR32&gt;0,MIN(1,AS32/AR32),1)</x:f>
        <x:v>0.9547338601988092</x:v>
      </x:c>
      <x:c r="AU32" s="10" t="n">
        <x:f>AB32/INDEX(tun_RepScale,G32)</x:f>
        <x:v>21.478370285748177</x:v>
      </x:c>
      <x:c r="AV32" s="32" t="n">
        <x:f>AM32*60/tun_SeasonSeconds</x:f>
        <x:v>37.39729303157446</x:v>
      </x:c>
    </x:row>
    <x:row r="33">
      <x:c r="A33" s="8" t="n">
        <x:f>A32+1</x:f>
        <x:v>30</x:v>
      </x:c>
      <x:c r="B33" s="9" t="n">
        <x:f>A33*tun_SeasonSeconds/60</x:f>
        <x:v>7.5</x:v>
      </x:c>
      <x:c r="C33" s="9" t="n">
        <x:f>A33/4</x:f>
        <x:v>7.5</x:v>
      </x:c>
      <x:c r="D33" s="8" t="n">
        <x:f>IF(MOD(A33,4)=0,1,0)</x:f>
        <x:v>0</x:v>
      </x:c>
      <x:c r="E33" s="8" t="n">
        <x:f>IF(AND(F32&lt;=9,AS32&gt;=AR32),1,0)</x:f>
        <x:v>0</x:v>
      </x:c>
      <x:c r="F33" s="8" t="n">
        <x:f>MIN(10,F32+E33)</x:f>
        <x:v>0</x:v>
      </x:c>
      <x:c r="G33" s="8" t="n">
        <x:f>MIN(F33,9)+1</x:f>
        <x:v>1</x:v>
      </x:c>
      <x:c r="H33" s="8" t="n">
        <x:f>IF(F33&lt;=9,1,0)</x:f>
        <x:v>1</x:v>
      </x:c>
      <x:c r="I33" s="9" t="n">
        <x:f>MIN(10,F32+IF(AR32&gt;0,MIN(1,AS32/AR32),1))</x:f>
        <x:v>0.9547338601988092</x:v>
      </x:c>
      <x:c r="J33" s="32" t="n">
        <x:f>INDEX(tun_FoodCap,G33)*Arch_FoodCap*EXP(tun_CapsByProject*SUMPRODUCT((Cap_Point&lt;=I33)*(Cap_Kind="Food")*Cap_Ln))</x:f>
        <x:v>27.104000000000006</x:v>
      </x:c>
      <x:c r="K33" s="32" t="n">
        <x:f>J33*MIN(1,tun_LeanBase*EXP(tun_CapsByProject*SUMPRODUCT((Cap_Point&lt;=I33)*(Cap_Kind="Lean")*Cap_Ln)))</x:f>
        <x:v>20.870080000000005</x:v>
      </x:c>
      <x:c r="L33" s="10" t="n">
        <x:f>INDEX(tun_HousingCap,G33)*EXP(tun_CapsByProject*SUMPRODUCT((Cap_Point&lt;=I33)*(Cap_Kind="Housing")*Cap_Ln))</x:f>
        <x:v>50</x:v>
      </x:c>
      <x:c r="M33" s="10" t="n">
        <x:f>INDEX(tun_GroupCap,G33)*tun_CohesionFactor*EXP(tun_CapsByProject*SUMPRODUCT((Cap_Point&lt;=I33)*(Cap_Kind="Group")*Cap_Ln))</x:f>
        <x:v>35</x:v>
      </x:c>
      <x:c r="N33" s="32" t="n">
        <x:f>MIN(J33,L33,M33)</x:f>
        <x:v>27.104000000000006</x:v>
      </x:c>
      <x:c r="O33" s="10" t="n">
        <x:f>AE32*N33</x:f>
        <x:v>54.20800000000001</x:v>
      </x:c>
      <x:c r="P33" s="9" t="n">
        <x:f>MIN(1,(AB32/(AE32*IF(tun_GroupInCrowding=1,N33,MIN(J33,L33))))^tun_CrowdingExp)</x:f>
        <x:v>0.0038692576151674106</x:v>
      </x:c>
      <x:c r="Q33" s="9" t="n">
        <x:f>IF(D33=1,INDEX(tun_WinterMult,G33),1)</x:f>
        <x:v>1</x:v>
      </x:c>
      <x:c r="R33" s="9" t="n">
        <x:f>H33*Z32*tun_WomenShare*tun_BaseFertility*INDEX(tun_FertMult,G33)*Arch_Fertility*(1-P33)</x:f>
        <x:v>0.5598497015582459</x:v>
      </x:c>
      <x:c r="S33" s="9" t="n">
        <x:f>H33*Y32*INDEX(tun_MortChild,G33)/4*Q33</x:f>
        <x:v>0.09090051776029563</x:v>
      </x:c>
      <x:c r="T33" s="9" t="n">
        <x:f>H33*Z32*INDEX(tun_MortAdult,G33)*Arch_AdultMort/4*Q33</x:f>
        <x:v>0.025939583927642264</x:v>
      </x:c>
      <x:c r="U33" s="9" t="n">
        <x:f>H33*AA32*INDEX(tun_MortElder,G33)/4*Q33</x:f>
        <x:v>0.03619614834753031</x:v>
      </x:c>
      <x:c r="V33" s="9" t="n">
        <x:f>H33*MAX(0,AB32-O33)*tun_OvercapLoss</x:f>
        <x:v>0</x:v>
      </x:c>
      <x:c r="W33" s="9" t="n">
        <x:f>H33*Y32/(tun_ChildYears*4)</x:f>
        <x:v>0.18035817015931674</x:v>
      </x:c>
      <x:c r="X33" s="9" t="n">
        <x:f>H33*Z32/(tun_AdultYears*4)</x:f>
        <x:v>0.06973006432161899</x:v>
      </x:c>
      <x:c r="Y33" s="32" t="n">
        <x:f>Y32+R33-S33-W33-Y32*V33/AB32</x:f>
        <x:v>10.388648542560372</x:v>
      </x:c>
      <x:c r="Z33" s="32" t="n">
        <x:f>Z32+W33-X33-T33-Z32*V33/AB32</x:f>
        <x:v>8.731216497790811</x:v>
      </x:c>
      <x:c r="AA33" s="32" t="n">
        <x:f>AA32+X33-U33-AA32*V33/AB32</x:f>
        <x:v>2.7653186969197727</x:v>
      </x:c>
      <x:c r="AB33" s="10" t="n">
        <x:f>Y33+Z33+AA33</x:f>
        <x:v>21.885183737270957</x:v>
      </x:c>
      <x:c r="AC33" s="8" t="n">
        <x:f>IF(AND(tun_WinterTrigger=1,D33=1,AB32/AE32&gt;=K33),1,0)</x:f>
        <x:v>0</x:v>
      </x:c>
      <x:c r="AD33" s="8" t="n">
        <x:f>H33*IF(AND(OR(AB32/AE32&gt;=tun_FissionTrigger*N33,AC33=1),AB32/AE32*tun_DaughterShare&gt;=tun_MinDaughter),MAX(1,ROUND(AE32*tun_FissionRate,0)),0)</x:f>
        <x:v>0</x:v>
      </x:c>
      <x:c r="AE33" s="8" t="n">
        <x:f>IF(H33=1,MAX(1,MIN(INDEX(tun_Smax,G33),AE32+AD33)),AE32)</x:f>
        <x:v>2</x:v>
      </x:c>
      <x:c r="AF33" s="8" t="n">
        <x:f>MAX(0,AE33-AE32)</x:f>
        <x:v>0</x:v>
      </x:c>
      <x:c r="AG33" s="9" t="str">
        <x:f>IF(AF33&gt;0,B33,"")</x:f>
      </x:c>
      <x:c r="AH33" s="9" t="n">
        <x:f>IF(F33&gt;=1,1,(1+tun_LowTiesShare*(AE33-1))/AE33)</x:f>
        <x:v>0.75</x:v>
      </x:c>
      <x:c r="AI33" s="32" t="n">
        <x:f>(Z33+tun_ElderCommons*INDEX(LM_Elder,G33)*AA33)*AH33</x:f>
        <x:v>10.696390418722768</x:v>
      </x:c>
      <x:c r="AJ33" s="32" t="n">
        <x:f>H33*tun_CommonsCoef*AI33^tun_CommonsExp*INDEX(LM_Commons,G33)</x:f>
        <x:v>37.73890017087026</x:v>
      </x:c>
      <x:c r="AK33" s="32" t="n">
        <x:f>H33*tun_RoleScale*Arch_Roles*(AE33*(INDEX(tun_ElderRolePerSett,G33)*tun_OutElder*INDEX(LM_Elder,G33)+INDEX(tun_ShamanPerSett,G33)*tun_OutShaman)+Z33*(INDEX(tun_PriestShare,G33)*tun_OutPriest+INDEX(tun_ScribeShare,G33)*tun_OutScribe*INDEX(LM_Scribe,G33)+INDEX(tun_ScholarShare,G33)*tun_OutScholar*INDEX(LM_Scholar,G33)+INDEX(tun_ResearcherShare,G33)*tun_OutResearcher*INDEX(LM_Researcher,G33)))</x:f>
        <x:v>0</x:v>
      </x:c>
      <x:c r="AL33" s="32" t="n">
        <x:f>H33*tun_RoleScale*Arch_Roles*AE33*INDEX(tun_MonasteryPerSett,G33)*tun_OutMonastery*INDEX(LM_Monastery,G33)</x:f>
        <x:v>0</x:v>
      </x:c>
      <x:c r="AM33" s="32" t="n">
        <x:f>(AJ33+AK33+AL33)/4*INDEX(LM_All,G33)*INDEX(tun_Boon,G33)*Arch_Insight</x:f>
        <x:v>9.434725042717565</x:v>
      </x:c>
      <x:c r="AN33" s="32" t="n">
        <x:f>H33*(tun_KHPerAdult*Z33+tun_KHOfCommons*AJ33/4*INDEX(LM_All,G33))*tun_KHUsable*Arch_KH</x:f>
        <x:v>2.311507635465803</x:v>
      </x:c>
      <x:c r="AO33" s="32" t="n">
        <x:f>MIN(AP32+AN33,AM33*tun_KHMaxRatio)</x:f>
        <x:v>2.311507635465803</x:v>
      </x:c>
      <x:c r="AP33" s="32" t="n">
        <x:f>AP32+AN33-AO33</x:f>
        <x:v>0</x:v>
      </x:c>
      <x:c r="AQ33" s="32" t="n">
        <x:f>AM33+AO33</x:f>
        <x:v>11.746232678183368</x:v>
      </x:c>
      <x:c r="AR33" s="10" t="n">
        <x:f>IF(H33=1,INDEX(tun_Req,G33),0)</x:f>
        <x:v>409.222</x:v>
      </x:c>
      <x:c r="AS33" s="32" t="n">
        <x:f>IF(H33=1,IF(E33=1,AS32-AR32,AS32)+AQ33,0)</x:f>
        <x:v>402.4443324164605</x:v>
      </x:c>
      <x:c r="AT33" s="11" t="n">
        <x:f>IF(AR33&gt;0,MIN(1,AS33/AR33),1)</x:f>
        <x:v>0.9834376754340199</x:v>
      </x:c>
      <x:c r="AU33" s="10" t="n">
        <x:f>AB33/INDEX(tun_RepScale,G33)</x:f>
        <x:v>21.885183737270957</x:v>
      </x:c>
      <x:c r="AV33" s="32" t="n">
        <x:f>AM33*60/tun_SeasonSeconds</x:f>
        <x:v>37.73890017087026</x:v>
      </x:c>
    </x:row>
    <x:row r="34">
      <x:c r="A34" s="8" t="n">
        <x:f>A33+1</x:f>
        <x:v>31</x:v>
      </x:c>
      <x:c r="B34" s="9" t="n">
        <x:f>A34*tun_SeasonSeconds/60</x:f>
        <x:v>7.75</x:v>
      </x:c>
      <x:c r="C34" s="9" t="n">
        <x:f>A34/4</x:f>
        <x:v>7.75</x:v>
      </x:c>
      <x:c r="D34" s="8" t="n">
        <x:f>IF(MOD(A34,4)=0,1,0)</x:f>
        <x:v>0</x:v>
      </x:c>
      <x:c r="E34" s="8" t="n">
        <x:f>IF(AND(F33&lt;=9,AS33&gt;=AR33),1,0)</x:f>
        <x:v>0</x:v>
      </x:c>
      <x:c r="F34" s="8" t="n">
        <x:f>MIN(10,F33+E34)</x:f>
        <x:v>0</x:v>
      </x:c>
      <x:c r="G34" s="8" t="n">
        <x:f>MIN(F34,9)+1</x:f>
        <x:v>1</x:v>
      </x:c>
      <x:c r="H34" s="8" t="n">
        <x:f>IF(F34&lt;=9,1,0)</x:f>
        <x:v>1</x:v>
      </x:c>
      <x:c r="I34" s="9" t="n">
        <x:f>MIN(10,F33+IF(AR33&gt;0,MIN(1,AS33/AR33),1))</x:f>
        <x:v>0.9834376754340199</x:v>
      </x:c>
      <x:c r="J34" s="32" t="n">
        <x:f>INDEX(tun_FoodCap,G34)*Arch_FoodCap*EXP(tun_CapsByProject*SUMPRODUCT((Cap_Point&lt;=I34)*(Cap_Kind="Food")*Cap_Ln))</x:f>
        <x:v>27.104000000000006</x:v>
      </x:c>
      <x:c r="K34" s="32" t="n">
        <x:f>J34*MIN(1,tun_LeanBase*EXP(tun_CapsByProject*SUMPRODUCT((Cap_Point&lt;=I34)*(Cap_Kind="Lean")*Cap_Ln)))</x:f>
        <x:v>20.870080000000005</x:v>
      </x:c>
      <x:c r="L34" s="10" t="n">
        <x:f>INDEX(tun_HousingCap,G34)*EXP(tun_CapsByProject*SUMPRODUCT((Cap_Point&lt;=I34)*(Cap_Kind="Housing")*Cap_Ln))</x:f>
        <x:v>50</x:v>
      </x:c>
      <x:c r="M34" s="10" t="n">
        <x:f>INDEX(tun_GroupCap,G34)*tun_CohesionFactor*EXP(tun_CapsByProject*SUMPRODUCT((Cap_Point&lt;=I34)*(Cap_Kind="Group")*Cap_Ln))</x:f>
        <x:v>35</x:v>
      </x:c>
      <x:c r="N34" s="32" t="n">
        <x:f>MIN(J34,L34,M34)</x:f>
        <x:v>27.104000000000006</x:v>
      </x:c>
      <x:c r="O34" s="10" t="n">
        <x:f>AE33*N34</x:f>
        <x:v>54.20800000000001</x:v>
      </x:c>
      <x:c r="P34" s="9" t="n">
        <x:f>MIN(1,(AB33/(AE33*IF(tun_GroupInCrowding=1,N34,MIN(J34,L34))))^tun_CrowdingExp)</x:f>
        <x:v>0.004330328832324584</x:v>
      </x:c>
      <x:c r="Q34" s="9" t="n">
        <x:f>IF(D34=1,INDEX(tun_WinterMult,G34),1)</x:f>
        <x:v>1</x:v>
      </x:c>
      <x:c r="R34" s="9" t="n">
        <x:f>H34*Z33*tun_WomenShare*tun_BaseFertility*INDEX(tun_FertMult,G34)*Arch_Fertility*(1-P34)</x:f>
        <x:v>0.5650714848511954</x:v>
      </x:c>
      <x:c r="S34" s="9" t="n">
        <x:f>H34*Y33*INDEX(tun_MortChild,G34)/4*Q34</x:f>
        <x:v>0.09349783688304333</x:v>
      </x:c>
      <x:c r="T34" s="9" t="n">
        <x:f>H34*Z33*INDEX(tun_MortAdult,G34)*Arch_AdultMort/4*Q34</x:f>
        <x:v>0.026193649493372433</x:v>
      </x:c>
      <x:c r="U34" s="9" t="n">
        <x:f>H34*AA33*INDEX(tun_MortElder,G34)/4*Q34</x:f>
        <x:v>0.03664047273418699</x:v>
      </x:c>
      <x:c r="V34" s="9" t="n">
        <x:f>H34*MAX(0,AB33-O34)*tun_OvercapLoss</x:f>
        <x:v>0</x:v>
      </x:c>
      <x:c r="W34" s="9" t="n">
        <x:f>H34*Y33/(tun_ChildYears*4)</x:f>
        <x:v>0.1855115811171495</x:v>
      </x:c>
      <x:c r="X34" s="9" t="n">
        <x:f>H34*Z33/(tun_AdultYears*4)</x:f>
        <x:v>0.07041303627250654</x:v>
      </x:c>
      <x:c r="Y34" s="32" t="n">
        <x:f>Y33+R34-S34-W34-Y33*V34/AB33</x:f>
        <x:v>10.674710609411374</x:v>
      </x:c>
      <x:c r="Z34" s="32" t="n">
        <x:f>Z33+W34-X34-T34-Z33*V34/AB33</x:f>
        <x:v>8.820121393142081</x:v>
      </x:c>
      <x:c r="AA34" s="32" t="n">
        <x:f>AA33+X34-U34-AA33*V34/AB33</x:f>
        <x:v>2.799091260458092</x:v>
      </x:c>
      <x:c r="AB34" s="10" t="n">
        <x:f>Y34+Z34+AA34</x:f>
        <x:v>22.293923263011546</x:v>
      </x:c>
      <x:c r="AC34" s="8" t="n">
        <x:f>IF(AND(tun_WinterTrigger=1,D34=1,AB33/AE33&gt;=K34),1,0)</x:f>
        <x:v>0</x:v>
      </x:c>
      <x:c r="AD34" s="8" t="n">
        <x:f>H34*IF(AND(OR(AB33/AE33&gt;=tun_FissionTrigger*N34,AC34=1),AB33/AE33*tun_DaughterShare&gt;=tun_MinDaughter),MAX(1,ROUND(AE33*tun_FissionRate,0)),0)</x:f>
        <x:v>0</x:v>
      </x:c>
      <x:c r="AE34" s="8" t="n">
        <x:f>IF(H34=1,MAX(1,MIN(INDEX(tun_Smax,G34),AE33+AD34)),AE33)</x:f>
        <x:v>2</x:v>
      </x:c>
      <x:c r="AF34" s="8" t="n">
        <x:f>MAX(0,AE34-AE33)</x:f>
        <x:v>0</x:v>
      </x:c>
      <x:c r="AG34" s="9" t="str">
        <x:f>IF(AF34&gt;0,B34,"")</x:f>
      </x:c>
      <x:c r="AH34" s="9" t="n">
        <x:f>IF(F34&gt;=1,1,(1+tun_LowTiesShare*(AE34-1))/AE34)</x:f>
        <x:v>0.75</x:v>
      </x:c>
      <x:c r="AI34" s="32" t="n">
        <x:f>(Z34+tun_ElderCommons*INDEX(LM_Elder,G34)*AA34)*AH34</x:f>
        <x:v>10.8137279355437</x:v>
      </x:c>
      <x:c r="AJ34" s="32" t="n">
        <x:f>H34*tun_CommonsCoef*AI34^tun_CommonsExp*INDEX(LM_Commons,G34)</x:f>
        <x:v>38.090502586123144</x:v>
      </x:c>
      <x:c r="AK34" s="32" t="n">
        <x:f>H34*tun_RoleScale*Arch_Roles*(AE34*(INDEX(tun_ElderRolePerSett,G34)*tun_OutElder*INDEX(LM_Elder,G34)+INDEX(tun_ShamanPerSett,G34)*tun_OutShaman)+Z34*(INDEX(tun_PriestShare,G34)*tun_OutPriest+INDEX(tun_ScribeShare,G34)*tun_OutScribe*INDEX(LM_Scribe,G34)+INDEX(tun_ScholarShare,G34)*tun_OutScholar*INDEX(LM_Scholar,G34)+INDEX(tun_ResearcherShare,G34)*tun_OutResearcher*INDEX(LM_Researcher,G34)))</x:f>
        <x:v>0</x:v>
      </x:c>
      <x:c r="AL34" s="32" t="n">
        <x:f>H34*tun_RoleScale*Arch_Roles*AE34*INDEX(tun_MonasteryPerSett,G34)*tun_OutMonastery*INDEX(LM_Monastery,G34)</x:f>
        <x:v>0</x:v>
      </x:c>
      <x:c r="AM34" s="32" t="n">
        <x:f>(AJ34+AK34+AL34)/4*INDEX(LM_All,G34)*INDEX(tun_Boon,G34)*Arch_Insight</x:f>
        <x:v>9.522625646530786</x:v>
      </x:c>
      <x:c r="AN34" s="32" t="n">
        <x:f>H34*(tun_KHPerAdult*Z34+tun_KHOfCommons*AJ34/4*INDEX(LM_All,G34))*tun_KHUsable*Arch_KH</x:f>
        <x:v>2.333043283400042</x:v>
      </x:c>
      <x:c r="AO34" s="32" t="n">
        <x:f>MIN(AP33+AN34,AM34*tun_KHMaxRatio)</x:f>
        <x:v>2.333043283400042</x:v>
      </x:c>
      <x:c r="AP34" s="32" t="n">
        <x:f>AP33+AN34-AO34</x:f>
        <x:v>0</x:v>
      </x:c>
      <x:c r="AQ34" s="32" t="n">
        <x:f>AM34+AO34</x:f>
        <x:v>11.855668929930829</x:v>
      </x:c>
      <x:c r="AR34" s="10" t="n">
        <x:f>IF(H34=1,INDEX(tun_Req,G34),0)</x:f>
        <x:v>409.222</x:v>
      </x:c>
      <x:c r="AS34" s="32" t="n">
        <x:f>IF(H34=1,IF(E34=1,AS33-AR33,AS33)+AQ34,0)</x:f>
        <x:v>414.30000134639135</x:v>
      </x:c>
      <x:c r="AT34" s="11" t="n">
        <x:f>IF(AR34&gt;0,MIN(1,AS34/AR34),1)</x:f>
        <x:v>1</x:v>
      </x:c>
      <x:c r="AU34" s="10" t="n">
        <x:f>AB34/INDEX(tun_RepScale,G34)</x:f>
        <x:v>22.293923263011546</x:v>
      </x:c>
      <x:c r="AV34" s="32" t="n">
        <x:f>AM34*60/tun_SeasonSeconds</x:f>
        <x:v>38.090502586123144</x:v>
      </x:c>
    </x:row>
    <x:row r="35">
      <x:c r="A35" s="8" t="n">
        <x:f>A34+1</x:f>
        <x:v>32</x:v>
      </x:c>
      <x:c r="B35" s="9" t="n">
        <x:f>A35*tun_SeasonSeconds/60</x:f>
        <x:v>8</x:v>
      </x:c>
      <x:c r="C35" s="9" t="n">
        <x:f>A35/4</x:f>
        <x:v>8</x:v>
      </x:c>
      <x:c r="D35" s="8" t="n">
        <x:f>IF(MOD(A35,4)=0,1,0)</x:f>
        <x:v>1</x:v>
      </x:c>
      <x:c r="E35" s="8" t="n">
        <x:f>IF(AND(F34&lt;=9,AS34&gt;=AR34),1,0)</x:f>
        <x:v>1</x:v>
      </x:c>
      <x:c r="F35" s="8" t="n">
        <x:f>MIN(10,F34+E35)</x:f>
        <x:v>1</x:v>
      </x:c>
      <x:c r="G35" s="8" t="n">
        <x:f>MIN(F35,9)+1</x:f>
        <x:v>2</x:v>
      </x:c>
      <x:c r="H35" s="8" t="n">
        <x:f>IF(F35&lt;=9,1,0)</x:f>
        <x:v>1</x:v>
      </x:c>
      <x:c r="I35" s="9" t="n">
        <x:f>MIN(10,F34+IF(AR34&gt;0,MIN(1,AS34/AR34),1))</x:f>
        <x:v>1</x:v>
      </x:c>
      <x:c r="J35" s="32" t="n">
        <x:f>INDEX(tun_FoodCap,G35)*Arch_FoodCap*EXP(tun_CapsByProject*SUMPRODUCT((Cap_Point&lt;=I35)*(Cap_Kind="Food")*Cap_Ln))</x:f>
        <x:v>27.104000000000006</x:v>
      </x:c>
      <x:c r="K35" s="32" t="n">
        <x:f>J35*MIN(1,tun_LeanBase*EXP(tun_CapsByProject*SUMPRODUCT((Cap_Point&lt;=I35)*(Cap_Kind="Lean")*Cap_Ln)))</x:f>
        <x:v>20.870080000000005</x:v>
      </x:c>
      <x:c r="L35" s="10" t="n">
        <x:f>INDEX(tun_HousingCap,G35)*EXP(tun_CapsByProject*SUMPRODUCT((Cap_Point&lt;=I35)*(Cap_Kind="Housing")*Cap_Ln))</x:f>
        <x:v>50</x:v>
      </x:c>
      <x:c r="M35" s="10" t="n">
        <x:f>INDEX(tun_GroupCap,G35)*tun_CohesionFactor*EXP(tun_CapsByProject*SUMPRODUCT((Cap_Point&lt;=I35)*(Cap_Kind="Group")*Cap_Ln))</x:f>
        <x:v>35</x:v>
      </x:c>
      <x:c r="N35" s="32" t="n">
        <x:f>MIN(J35,L35,M35)</x:f>
        <x:v>27.104000000000006</x:v>
      </x:c>
      <x:c r="O35" s="10" t="n">
        <x:f>AE34*N35</x:f>
        <x:v>54.20800000000001</x:v>
      </x:c>
      <x:c r="P35" s="9" t="n">
        <x:f>MIN(1,(AB34/(AE34*IF(tun_GroupInCrowding=1,N35,MIN(J35,L35))))^tun_CrowdingExp)</x:f>
        <x:v>0.004838811517277434</x:v>
      </x:c>
      <x:c r="Q35" s="9" t="n">
        <x:f>IF(D35=1,INDEX(tun_WinterMult,G35),1)</x:f>
        <x:v>1.7</x:v>
      </x:c>
      <x:c r="R35" s="9" t="n">
        <x:f>H35*Z34*tun_WomenShare*tun_BaseFertility*INDEX(tun_FertMult,G35)*Arch_Fertility*(1-P35)</x:f>
        <x:v>0.6561138259900466</x:v>
      </x:c>
      <x:c r="S35" s="9" t="n">
        <x:f>H35*Y34*INDEX(tun_MortChild,G35)/4*Q35</x:f>
        <x:v>0.14971281629699454</x:v>
      </x:c>
      <x:c r="T35" s="9" t="n">
        <x:f>H35*Z34*INDEX(tun_MortAdult,G35)*Arch_AdultMort/4*Q35</x:f>
        <x:v>0.041234067512939225</x:v>
      </x:c>
      <x:c r="U35" s="9" t="n">
        <x:f>H35*AA34*INDEX(tun_MortElder,G35)/4*Q35</x:f>
        <x:v>0.06304953064181852</x:v>
      </x:c>
      <x:c r="V35" s="9" t="n">
        <x:f>H35*MAX(0,AB34-O35)*tun_OvercapLoss</x:f>
        <x:v>0</x:v>
      </x:c>
      <x:c r="W35" s="9" t="n">
        <x:f>H35*Y34/(tun_ChildYears*4)</x:f>
        <x:v>0.1906198323109174</x:v>
      </x:c>
      <x:c r="X35" s="9" t="n">
        <x:f>H35*Z34/(tun_AdultYears*4)</x:f>
        <x:v>0.07113001123501678</x:v>
      </x:c>
      <x:c r="Y35" s="32" t="n">
        <x:f>Y34+R35-S35-W35-Y34*V35/AB34</x:f>
        <x:v>10.990491786793509</x:v>
      </x:c>
      <x:c r="Z35" s="32" t="n">
        <x:f>Z34+W35-X35-T35-Z34*V35/AB34</x:f>
        <x:v>8.898377146705043</x:v>
      </x:c>
      <x:c r="AA35" s="32" t="n">
        <x:f>AA34+X35-U35-AA34*V35/AB34</x:f>
        <x:v>2.8071717410512904</x:v>
      </x:c>
      <x:c r="AB35" s="10" t="n">
        <x:f>Y35+Z35+AA35</x:f>
        <x:v>22.69604067454984</x:v>
      </x:c>
      <x:c r="AC35" s="8" t="n">
        <x:f>IF(AND(tun_WinterTrigger=1,D35=1,AB34/AE34&gt;=K35),1,0)</x:f>
        <x:v>0</x:v>
      </x:c>
      <x:c r="AD35" s="8" t="n">
        <x:f>H35*IF(AND(OR(AB34/AE34&gt;=tun_FissionTrigger*N35,AC35=1),AB34/AE34*tun_DaughterShare&gt;=tun_MinDaughter),MAX(1,ROUND(AE34*tun_FissionRate,0)),0)</x:f>
        <x:v>0</x:v>
      </x:c>
      <x:c r="AE35" s="8" t="n">
        <x:f>IF(H35=1,MAX(1,MIN(INDEX(tun_Smax,G35),AE34+AD35)),AE34)</x:f>
        <x:v>2</x:v>
      </x:c>
      <x:c r="AF35" s="8" t="n">
        <x:f>MAX(0,AE35-AE34)</x:f>
        <x:v>0</x:v>
      </x:c>
      <x:c r="AG35" s="9" t="str">
        <x:f>IF(AF35&gt;0,B35,"")</x:f>
      </x:c>
      <x:c r="AH35" s="9" t="n">
        <x:f>IF(F35&gt;=1,1,(1+tun_LowTiesShare*(AE35-1))/AE35)</x:f>
        <x:v>1</x:v>
      </x:c>
      <x:c r="AI35" s="32" t="n">
        <x:f>(Z35+tun_ElderCommons*INDEX(LM_Elder,G35)*AA35)*AH35</x:f>
        <x:v>15.774515532640974</x:v>
      </x:c>
      <x:c r="AJ35" s="32" t="n">
        <x:f>H35*tun_CommonsCoef*AI35^tun_CommonsExp*INDEX(LM_Commons,G35)</x:f>
        <x:v>55.06765058682459</x:v>
      </x:c>
      <x:c r="AK35" s="32" t="n">
        <x:f>H35*tun_RoleScale*Arch_Roles*(AE35*(INDEX(tun_ElderRolePerSett,G35)*tun_OutElder*INDEX(LM_Elder,G35)+INDEX(tun_ShamanPerSett,G35)*tun_OutShaman)+Z35*(INDEX(tun_PriestShare,G35)*tun_OutPriest+INDEX(tun_ScribeShare,G35)*tun_OutScribe*INDEX(LM_Scribe,G35)+INDEX(tun_ScholarShare,G35)*tun_OutScholar*INDEX(LM_Scholar,G35)+INDEX(tun_ResearcherShare,G35)*tun_OutResearcher*INDEX(LM_Researcher,G35)))</x:f>
        <x:v>21.79795897113271</x:v>
      </x:c>
      <x:c r="AL35" s="32" t="n">
        <x:f>H35*tun_RoleScale*Arch_Roles*AE35*INDEX(tun_MonasteryPerSett,G35)*tun_OutMonastery*INDEX(LM_Monastery,G35)</x:f>
        <x:v>0</x:v>
      </x:c>
      <x:c r="AM35" s="32" t="n">
        <x:f>(AJ35+AK35+AL35)/4*INDEX(LM_All,G35)*INDEX(tun_Boon,G35)*Arch_Insight</x:f>
        <x:v>19.696812449226556</x:v>
      </x:c>
      <x:c r="AN35" s="32" t="n">
        <x:f>H35*(tun_KHPerAdult*Z35+tun_KHOfCommons*AJ35/4*INDEX(LM_All,G35))*tun_KHUsable*Arch_KH</x:f>
        <x:v>3.372893598443006</x:v>
      </x:c>
      <x:c r="AO35" s="32" t="n">
        <x:f>MIN(AP34+AN35,AM35*tun_KHMaxRatio)</x:f>
        <x:v>3.372893598443006</x:v>
      </x:c>
      <x:c r="AP35" s="32" t="n">
        <x:f>AP34+AN35-AO35</x:f>
        <x:v>0</x:v>
      </x:c>
      <x:c r="AQ35" s="32" t="n">
        <x:f>AM35+AO35</x:f>
        <x:v>23.069706047669563</x:v>
      </x:c>
      <x:c r="AR35" s="10" t="n">
        <x:f>IF(H35=1,INDEX(tun_Req,G35),0)</x:f>
        <x:v>1075.552</x:v>
      </x:c>
      <x:c r="AS35" s="32" t="n">
        <x:f>IF(H35=1,IF(E35=1,AS34-AR34,AS34)+AQ35,0)</x:f>
        <x:v>28.147707394060937</x:v>
      </x:c>
      <x:c r="AT35" s="11" t="n">
        <x:f>IF(AR35&gt;0,MIN(1,AS35/AR35),1)</x:f>
        <x:v>0.026170475620017387</x:v>
      </x:c>
      <x:c r="AU35" s="10" t="n">
        <x:f>AB35/INDEX(tun_RepScale,G35)</x:f>
        <x:v>22.69604067454984</x:v>
      </x:c>
      <x:c r="AV35" s="32" t="n">
        <x:f>AM35*60/tun_SeasonSeconds</x:f>
        <x:v>78.78724979690622</x:v>
      </x:c>
    </x:row>
    <x:row r="36">
      <x:c r="A36" s="8" t="n">
        <x:f>A35+1</x:f>
        <x:v>33</x:v>
      </x:c>
      <x:c r="B36" s="9" t="n">
        <x:f>A36*tun_SeasonSeconds/60</x:f>
        <x:v>8.25</x:v>
      </x:c>
      <x:c r="C36" s="9" t="n">
        <x:f>A36/4</x:f>
        <x:v>8.25</x:v>
      </x:c>
      <x:c r="D36" s="8" t="n">
        <x:f>IF(MOD(A36,4)=0,1,0)</x:f>
        <x:v>0</x:v>
      </x:c>
      <x:c r="E36" s="8" t="n">
        <x:f>IF(AND(F35&lt;=9,AS35&gt;=AR35),1,0)</x:f>
        <x:v>0</x:v>
      </x:c>
      <x:c r="F36" s="8" t="n">
        <x:f>MIN(10,F35+E36)</x:f>
        <x:v>1</x:v>
      </x:c>
      <x:c r="G36" s="8" t="n">
        <x:f>MIN(F36,9)+1</x:f>
        <x:v>2</x:v>
      </x:c>
      <x:c r="H36" s="8" t="n">
        <x:f>IF(F36&lt;=9,1,0)</x:f>
        <x:v>1</x:v>
      </x:c>
      <x:c r="I36" s="9" t="n">
        <x:f>MIN(10,F35+IF(AR35&gt;0,MIN(1,AS35/AR35),1))</x:f>
        <x:v>1.0261704756200174</x:v>
      </x:c>
      <x:c r="J36" s="32" t="n">
        <x:f>INDEX(tun_FoodCap,G36)*Arch_FoodCap*EXP(tun_CapsByProject*SUMPRODUCT((Cap_Point&lt;=I36)*(Cap_Kind="Food")*Cap_Ln))</x:f>
        <x:v>27.104000000000006</x:v>
      </x:c>
      <x:c r="K36" s="32" t="n">
        <x:f>J36*MIN(1,tun_LeanBase*EXP(tun_CapsByProject*SUMPRODUCT((Cap_Point&lt;=I36)*(Cap_Kind="Lean")*Cap_Ln)))</x:f>
        <x:v>20.870080000000005</x:v>
      </x:c>
      <x:c r="L36" s="10" t="n">
        <x:f>INDEX(tun_HousingCap,G36)*EXP(tun_CapsByProject*SUMPRODUCT((Cap_Point&lt;=I36)*(Cap_Kind="Housing")*Cap_Ln))</x:f>
        <x:v>50</x:v>
      </x:c>
      <x:c r="M36" s="10" t="n">
        <x:f>INDEX(tun_GroupCap,G36)*tun_CohesionFactor*EXP(tun_CapsByProject*SUMPRODUCT((Cap_Point&lt;=I36)*(Cap_Kind="Group")*Cap_Ln))</x:f>
        <x:v>35</x:v>
      </x:c>
      <x:c r="N36" s="32" t="n">
        <x:f>MIN(J36,L36,M36)</x:f>
        <x:v>27.104000000000006</x:v>
      </x:c>
      <x:c r="O36" s="10" t="n">
        <x:f>AE35*N36</x:f>
        <x:v>54.20800000000001</x:v>
      </x:c>
      <x:c r="P36" s="9" t="n">
        <x:f>MIN(1,(AB35/(AE35*IF(tun_GroupInCrowding=1,N36,MIN(J36,L36))))^tun_CrowdingExp)</x:f>
        <x:v>0.005386669135304084</x:v>
      </x:c>
      <x:c r="Q36" s="9" t="n">
        <x:f>IF(D36=1,INDEX(tun_WinterMult,G36),1)</x:f>
        <x:v>1</x:v>
      </x:c>
      <x:c r="R36" s="9" t="n">
        <x:f>H36*Z35*tun_WomenShare*tun_BaseFertility*INDEX(tun_FertMult,G36)*Arch_Fertility*(1-P36)</x:f>
        <x:v>0.6615707288548006</x:v>
      </x:c>
      <x:c r="S36" s="9" t="n">
        <x:f>H36*Y35*INDEX(tun_MortChild,G36)/4*Q36</x:f>
        <x:v>0.09067155724104646</x:v>
      </x:c>
      <x:c r="T36" s="9" t="n">
        <x:f>H36*Z35*INDEX(tun_MortAdult,G36)*Arch_AdultMort/4*Q36</x:f>
        <x:v>0.024470537153438866</x:v>
      </x:c>
      <x:c r="U36" s="9" t="n">
        <x:f>H36*AA35*INDEX(tun_MortElder,G36)/4*Q36</x:f>
        <x:v>0.0371950255689296</x:v>
      </x:c>
      <x:c r="V36" s="9" t="n">
        <x:f>H36*MAX(0,AB35-O36)*tun_OvercapLoss</x:f>
        <x:v>0</x:v>
      </x:c>
      <x:c r="W36" s="9" t="n">
        <x:f>H36*Y35/(tun_ChildYears*4)</x:f>
        <x:v>0.19625878190702695</x:v>
      </x:c>
      <x:c r="X36" s="9" t="n">
        <x:f>H36*Z35/(tun_AdultYears*4)</x:f>
        <x:v>0.07176110602181486</x:v>
      </x:c>
      <x:c r="Y36" s="32" t="n">
        <x:f>Y35+R36-S36-W36-Y35*V36/AB35</x:f>
        <x:v>11.365132176500236</x:v>
      </x:c>
      <x:c r="Z36" s="32" t="n">
        <x:f>Z35+W36-X36-T36-Z35*V36/AB35</x:f>
        <x:v>8.998404285436814</x:v>
      </x:c>
      <x:c r="AA36" s="32" t="n">
        <x:f>AA35+X36-U36-AA35*V36/AB35</x:f>
        <x:v>2.8417378215041755</x:v>
      </x:c>
      <x:c r="AB36" s="10" t="n">
        <x:f>Y36+Z36+AA36</x:f>
        <x:v>23.205274283441227</x:v>
      </x:c>
      <x:c r="AC36" s="8" t="n">
        <x:f>IF(AND(tun_WinterTrigger=1,D36=1,AB35/AE35&gt;=K36),1,0)</x:f>
        <x:v>0</x:v>
      </x:c>
      <x:c r="AD36" s="8" t="n">
        <x:f>H36*IF(AND(OR(AB35/AE35&gt;=tun_FissionTrigger*N36,AC36=1),AB35/AE35*tun_DaughterShare&gt;=tun_MinDaughter),MAX(1,ROUND(AE35*tun_FissionRate,0)),0)</x:f>
        <x:v>0</x:v>
      </x:c>
      <x:c r="AE36" s="8" t="n">
        <x:f>IF(H36=1,MAX(1,MIN(INDEX(tun_Smax,G36),AE35+AD36)),AE35)</x:f>
        <x:v>2</x:v>
      </x:c>
      <x:c r="AF36" s="8" t="n">
        <x:f>MAX(0,AE36-AE35)</x:f>
        <x:v>0</x:v>
      </x:c>
      <x:c r="AG36" s="9" t="str">
        <x:f>IF(AF36&gt;0,B36,"")</x:f>
      </x:c>
      <x:c r="AH36" s="9" t="n">
        <x:f>IF(F36&gt;=1,1,(1+tun_LowTiesShare*(AE36-1))/AE36)</x:f>
        <x:v>1</x:v>
      </x:c>
      <x:c r="AI36" s="32" t="n">
        <x:f>(Z36+tun_ElderCommons*INDEX(LM_Elder,G36)*AA36)*AH36</x:f>
        <x:v>15.959211930890305</x:v>
      </x:c>
      <x:c r="AJ36" s="32" t="n">
        <x:f>H36*tun_CommonsCoef*AI36^tun_CommonsExp*INDEX(LM_Commons,G36)</x:f>
        <x:v>55.61521855387259</x:v>
      </x:c>
      <x:c r="AK36" s="32" t="n">
        <x:f>H36*tun_RoleScale*Arch_Roles*(AE36*(INDEX(tun_ElderRolePerSett,G36)*tun_OutElder*INDEX(LM_Elder,G36)+INDEX(tun_ShamanPerSett,G36)*tun_OutShaman)+Z36*(INDEX(tun_PriestShare,G36)*tun_OutPriest+INDEX(tun_ScribeShare,G36)*tun_OutScribe*INDEX(LM_Scribe,G36)+INDEX(tun_ScholarShare,G36)*tun_OutScholar*INDEX(LM_Scholar,G36)+INDEX(tun_ResearcherShare,G36)*tun_OutResearcher*INDEX(LM_Researcher,G36)))</x:f>
        <x:v>21.79795897113271</x:v>
      </x:c>
      <x:c r="AL36" s="32" t="n">
        <x:f>H36*tun_RoleScale*Arch_Roles*AE36*INDEX(tun_MonasteryPerSett,G36)*tun_OutMonastery*INDEX(LM_Monastery,G36)</x:f>
        <x:v>0</x:v>
      </x:c>
      <x:c r="AM36" s="32" t="n">
        <x:f>(AJ36+AK36+AL36)/4*INDEX(LM_All,G36)*INDEX(tun_Boon,G36)*Arch_Insight</x:f>
        <x:v>19.837126740782605</x:v>
      </x:c>
      <x:c r="AN36" s="32" t="n">
        <x:f>H36*(tun_KHPerAdult*Z36+tun_KHOfCommons*AJ36/4*INDEX(LM_All,G36))*tun_KHUsable*Arch_KH</x:f>
        <x:v>3.4064321364246957</x:v>
      </x:c>
      <x:c r="AO36" s="32" t="n">
        <x:f>MIN(AP35+AN36,AM36*tun_KHMaxRatio)</x:f>
        <x:v>3.4064321364246957</x:v>
      </x:c>
      <x:c r="AP36" s="32" t="n">
        <x:f>AP35+AN36-AO36</x:f>
        <x:v>0</x:v>
      </x:c>
      <x:c r="AQ36" s="32" t="n">
        <x:f>AM36+AO36</x:f>
        <x:v>23.2435588772073</x:v>
      </x:c>
      <x:c r="AR36" s="10" t="n">
        <x:f>IF(H36=1,INDEX(tun_Req,G36),0)</x:f>
        <x:v>1075.552</x:v>
      </x:c>
      <x:c r="AS36" s="32" t="n">
        <x:f>IF(H36=1,IF(E36=1,AS35-AR35,AS35)+AQ36,0)</x:f>
        <x:v>51.391266271268236</x:v>
      </x:c>
      <x:c r="AT36" s="11" t="n">
        <x:f>IF(AR36&gt;0,MIN(1,AS36/AR36),1)</x:f>
        <x:v>0.04778129395070461</x:v>
      </x:c>
      <x:c r="AU36" s="10" t="n">
        <x:f>AB36/INDEX(tun_RepScale,G36)</x:f>
        <x:v>23.205274283441227</x:v>
      </x:c>
      <x:c r="AV36" s="32" t="n">
        <x:f>AM36*60/tun_SeasonSeconds</x:f>
        <x:v>79.34850696313042</x:v>
      </x:c>
    </x:row>
    <x:row r="37">
      <x:c r="A37" s="8" t="n">
        <x:f>A36+1</x:f>
        <x:v>34</x:v>
      </x:c>
      <x:c r="B37" s="9" t="n">
        <x:f>A37*tun_SeasonSeconds/60</x:f>
        <x:v>8.5</x:v>
      </x:c>
      <x:c r="C37" s="9" t="n">
        <x:f>A37/4</x:f>
        <x:v>8.5</x:v>
      </x:c>
      <x:c r="D37" s="8" t="n">
        <x:f>IF(MOD(A37,4)=0,1,0)</x:f>
        <x:v>0</x:v>
      </x:c>
      <x:c r="E37" s="8" t="n">
        <x:f>IF(AND(F36&lt;=9,AS36&gt;=AR36),1,0)</x:f>
        <x:v>0</x:v>
      </x:c>
      <x:c r="F37" s="8" t="n">
        <x:f>MIN(10,F36+E37)</x:f>
        <x:v>1</x:v>
      </x:c>
      <x:c r="G37" s="8" t="n">
        <x:f>MIN(F37,9)+1</x:f>
        <x:v>2</x:v>
      </x:c>
      <x:c r="H37" s="8" t="n">
        <x:f>IF(F37&lt;=9,1,0)</x:f>
        <x:v>1</x:v>
      </x:c>
      <x:c r="I37" s="9" t="n">
        <x:f>MIN(10,F36+IF(AR36&gt;0,MIN(1,AS36/AR36),1))</x:f>
        <x:v>1.0477812939507045</x:v>
      </x:c>
      <x:c r="J37" s="32" t="n">
        <x:f>INDEX(tun_FoodCap,G37)*Arch_FoodCap*EXP(tun_CapsByProject*SUMPRODUCT((Cap_Point&lt;=I37)*(Cap_Kind="Food")*Cap_Ln))</x:f>
        <x:v>27.104000000000006</x:v>
      </x:c>
      <x:c r="K37" s="32" t="n">
        <x:f>J37*MIN(1,tun_LeanBase*EXP(tun_CapsByProject*SUMPRODUCT((Cap_Point&lt;=I37)*(Cap_Kind="Lean")*Cap_Ln)))</x:f>
        <x:v>20.870080000000005</x:v>
      </x:c>
      <x:c r="L37" s="10" t="n">
        <x:f>INDEX(tun_HousingCap,G37)*EXP(tun_CapsByProject*SUMPRODUCT((Cap_Point&lt;=I37)*(Cap_Kind="Housing")*Cap_Ln))</x:f>
        <x:v>50</x:v>
      </x:c>
      <x:c r="M37" s="10" t="n">
        <x:f>INDEX(tun_GroupCap,G37)*tun_CohesionFactor*EXP(tun_CapsByProject*SUMPRODUCT((Cap_Point&lt;=I37)*(Cap_Kind="Group")*Cap_Ln))</x:f>
        <x:v>35</x:v>
      </x:c>
      <x:c r="N37" s="32" t="n">
        <x:f>MIN(J37,L37,M37)</x:f>
        <x:v>27.104000000000006</x:v>
      </x:c>
      <x:c r="O37" s="10" t="n">
        <x:f>AE36*N37</x:f>
        <x:v>54.20800000000001</x:v>
      </x:c>
      <x:c r="P37" s="9" t="n">
        <x:f>MIN(1,(AB36/(AE36*IF(tun_GroupInCrowding=1,N37,MIN(J37,L37))))^tun_CrowdingExp)</x:f>
        <x:v>0.006153751160242019</x:v>
      </x:c>
      <x:c r="Q37" s="9" t="n">
        <x:f>IF(D37=1,INDEX(tun_WinterMult,G37),1)</x:f>
        <x:v>1</x:v>
      </x:c>
      <x:c r="R37" s="9" t="n">
        <x:f>H37*Z36*tun_WomenShare*tun_BaseFertility*INDEX(tun_FertMult,G37)*Arch_Fertility*(1-P37)</x:f>
        <x:v>0.6684915182607174</x:v>
      </x:c>
      <x:c r="S37" s="9" t="n">
        <x:f>H37*Y36*INDEX(tun_MortChild,G37)/4*Q37</x:f>
        <x:v>0.09376234045612696</x:v>
      </x:c>
      <x:c r="T37" s="9" t="n">
        <x:f>H37*Z36*INDEX(tun_MortAdult,G37)*Arch_AdultMort/4*Q37</x:f>
        <x:v>0.024745611784951237</x:v>
      </x:c>
      <x:c r="U37" s="9" t="n">
        <x:f>H37*AA36*INDEX(tun_MortElder,G37)/4*Q37</x:f>
        <x:v>0.03765302613493032</x:v>
      </x:c>
      <x:c r="V37" s="9" t="n">
        <x:f>H37*MAX(0,AB36-O37)*tun_OvercapLoss</x:f>
        <x:v>0</x:v>
      </x:c>
      <x:c r="W37" s="9" t="n">
        <x:f>H37*Y36/(tun_ChildYears*4)</x:f>
        <x:v>0.20294878886607565</x:v>
      </x:c>
      <x:c r="X37" s="9" t="n">
        <x:f>H37*Z36/(tun_AdultYears*4)</x:f>
        <x:v>0.07256777649545817</x:v>
      </x:c>
      <x:c r="Y37" s="32" t="n">
        <x:f>Y36+R37-S37-W37-Y36*V37/AB36</x:f>
        <x:v>11.73691256543875</x:v>
      </x:c>
      <x:c r="Z37" s="32" t="n">
        <x:f>Z36+W37-X37-T37-Z36*V37/AB36</x:f>
        <x:v>9.104039686022482</x:v>
      </x:c>
      <x:c r="AA37" s="32" t="n">
        <x:f>AA36+X37-U37-AA36*V37/AB36</x:f>
        <x:v>2.876652571864703</x:v>
      </x:c>
      <x:c r="AB37" s="10" t="n">
        <x:f>Y37+Z37+AA37</x:f>
        <x:v>23.717604823325935</x:v>
      </x:c>
      <x:c r="AC37" s="8" t="n">
        <x:f>IF(AND(tun_WinterTrigger=1,D37=1,AB36/AE36&gt;=K37),1,0)</x:f>
        <x:v>0</x:v>
      </x:c>
      <x:c r="AD37" s="8" t="n">
        <x:f>H37*IF(AND(OR(AB36/AE36&gt;=tun_FissionTrigger*N37,AC37=1),AB36/AE36*tun_DaughterShare&gt;=tun_MinDaughter),MAX(1,ROUND(AE36*tun_FissionRate,0)),0)</x:f>
        <x:v>0</x:v>
      </x:c>
      <x:c r="AE37" s="8" t="n">
        <x:f>IF(H37=1,MAX(1,MIN(INDEX(tun_Smax,G37),AE36+AD37)),AE36)</x:f>
        <x:v>2</x:v>
      </x:c>
      <x:c r="AF37" s="8" t="n">
        <x:f>MAX(0,AE37-AE36)</x:f>
        <x:v>0</x:v>
      </x:c>
      <x:c r="AG37" s="9" t="str">
        <x:f>IF(AF37&gt;0,B37,"")</x:f>
      </x:c>
      <x:c r="AH37" s="9" t="n">
        <x:f>IF(F37&gt;=1,1,(1+tun_LowTiesShare*(AE37-1))/AE37)</x:f>
        <x:v>1</x:v>
      </x:c>
      <x:c r="AI37" s="32" t="n">
        <x:f>(Z37+tun_ElderCommons*INDEX(LM_Elder,G37)*AA37)*AH37</x:f>
        <x:v>16.15037065435592</x:v>
      </x:c>
      <x:c r="AJ37" s="32" t="n">
        <x:f>H37*tun_CommonsCoef*AI37^tun_CommonsExp*INDEX(LM_Commons,G37)</x:f>
        <x:v>56.180945301653956</x:v>
      </x:c>
      <x:c r="AK37" s="32" t="n">
        <x:f>H37*tun_RoleScale*Arch_Roles*(AE37*(INDEX(tun_ElderRolePerSett,G37)*tun_OutElder*INDEX(LM_Elder,G37)+INDEX(tun_ShamanPerSett,G37)*tun_OutShaman)+Z37*(INDEX(tun_PriestShare,G37)*tun_OutPriest+INDEX(tun_ScribeShare,G37)*tun_OutScribe*INDEX(LM_Scribe,G37)+INDEX(tun_ScholarShare,G37)*tun_OutScholar*INDEX(LM_Scholar,G37)+INDEX(tun_ResearcherShare,G37)*tun_OutResearcher*INDEX(LM_Researcher,G37)))</x:f>
        <x:v>21.79795897113271</x:v>
      </x:c>
      <x:c r="AL37" s="32" t="n">
        <x:f>H37*tun_RoleScale*Arch_Roles*AE37*INDEX(tun_MonasteryPerSett,G37)*tun_OutMonastery*INDEX(LM_Monastery,G37)</x:f>
        <x:v>0</x:v>
      </x:c>
      <x:c r="AM37" s="32" t="n">
        <x:f>(AJ37+AK37+AL37)/4*INDEX(LM_All,G37)*INDEX(tun_Boon,G37)*Arch_Insight</x:f>
        <x:v>19.98209421990158</x:v>
      </x:c>
      <x:c r="AN37" s="32" t="n">
        <x:f>H37*(tun_KHPerAdult*Z37+tun_KHOfCommons*AJ37/4*INDEX(LM_All,G37))*tun_KHUsable*Arch_KH</x:f>
        <x:v>3.4410828997263048</x:v>
      </x:c>
      <x:c r="AO37" s="32" t="n">
        <x:f>MIN(AP36+AN37,AM37*tun_KHMaxRatio)</x:f>
        <x:v>3.4410828997263048</x:v>
      </x:c>
      <x:c r="AP37" s="32" t="n">
        <x:f>AP36+AN37-AO37</x:f>
        <x:v>0</x:v>
      </x:c>
      <x:c r="AQ37" s="32" t="n">
        <x:f>AM37+AO37</x:f>
        <x:v>23.423177119627884</x:v>
      </x:c>
      <x:c r="AR37" s="10" t="n">
        <x:f>IF(H37=1,INDEX(tun_Req,G37),0)</x:f>
        <x:v>1075.552</x:v>
      </x:c>
      <x:c r="AS37" s="32" t="n">
        <x:f>IF(H37=1,IF(E37=1,AS36-AR36,AS36)+AQ37,0)</x:f>
        <x:v>74.81444339089612</x:v>
      </x:c>
      <x:c r="AT37" s="11" t="n">
        <x:f>IF(AR37&gt;0,MIN(1,AS37/AR37),1)</x:f>
        <x:v>0.0695591132654638</x:v>
      </x:c>
      <x:c r="AU37" s="10" t="n">
        <x:f>AB37/INDEX(tun_RepScale,G37)</x:f>
        <x:v>23.717604823325935</x:v>
      </x:c>
      <x:c r="AV37" s="32" t="n">
        <x:f>AM37*60/tun_SeasonSeconds</x:f>
        <x:v>79.92837687960632</x:v>
      </x:c>
    </x:row>
    <x:row r="38">
      <x:c r="A38" s="8" t="n">
        <x:f>A37+1</x:f>
        <x:v>35</x:v>
      </x:c>
      <x:c r="B38" s="9" t="n">
        <x:f>A38*tun_SeasonSeconds/60</x:f>
        <x:v>8.75</x:v>
      </x:c>
      <x:c r="C38" s="9" t="n">
        <x:f>A38/4</x:f>
        <x:v>8.75</x:v>
      </x:c>
      <x:c r="D38" s="8" t="n">
        <x:f>IF(MOD(A38,4)=0,1,0)</x:f>
        <x:v>0</x:v>
      </x:c>
      <x:c r="E38" s="8" t="n">
        <x:f>IF(AND(F37&lt;=9,AS37&gt;=AR37),1,0)</x:f>
        <x:v>0</x:v>
      </x:c>
      <x:c r="F38" s="8" t="n">
        <x:f>MIN(10,F37+E38)</x:f>
        <x:v>1</x:v>
      </x:c>
      <x:c r="G38" s="8" t="n">
        <x:f>MIN(F38,9)+1</x:f>
        <x:v>2</x:v>
      </x:c>
      <x:c r="H38" s="8" t="n">
        <x:f>IF(F38&lt;=9,1,0)</x:f>
        <x:v>1</x:v>
      </x:c>
      <x:c r="I38" s="9" t="n">
        <x:f>MIN(10,F37+IF(AR37&gt;0,MIN(1,AS37/AR37),1))</x:f>
        <x:v>1.0695591132654638</x:v>
      </x:c>
      <x:c r="J38" s="32" t="n">
        <x:f>INDEX(tun_FoodCap,G38)*Arch_FoodCap*EXP(tun_CapsByProject*SUMPRODUCT((Cap_Point&lt;=I38)*(Cap_Kind="Food")*Cap_Ln))</x:f>
        <x:v>27.104000000000006</x:v>
      </x:c>
      <x:c r="K38" s="32" t="n">
        <x:f>J38*MIN(1,tun_LeanBase*EXP(tun_CapsByProject*SUMPRODUCT((Cap_Point&lt;=I38)*(Cap_Kind="Lean")*Cap_Ln)))</x:f>
        <x:v>20.870080000000005</x:v>
      </x:c>
      <x:c r="L38" s="10" t="n">
        <x:f>INDEX(tun_HousingCap,G38)*EXP(tun_CapsByProject*SUMPRODUCT((Cap_Point&lt;=I38)*(Cap_Kind="Housing")*Cap_Ln))</x:f>
        <x:v>50</x:v>
      </x:c>
      <x:c r="M38" s="10" t="n">
        <x:f>INDEX(tun_GroupCap,G38)*tun_CohesionFactor*EXP(tun_CapsByProject*SUMPRODUCT((Cap_Point&lt;=I38)*(Cap_Kind="Group")*Cap_Ln))</x:f>
        <x:v>35</x:v>
      </x:c>
      <x:c r="N38" s="32" t="n">
        <x:f>MIN(J38,L38,M38)</x:f>
        <x:v>27.104000000000006</x:v>
      </x:c>
      <x:c r="O38" s="10" t="n">
        <x:f>AE37*N38</x:f>
        <x:v>54.20800000000001</x:v>
      </x:c>
      <x:c r="P38" s="9" t="n">
        <x:f>MIN(1,(AB37/(AE37*IF(tun_GroupInCrowding=1,N38,MIN(J38,L38))))^tun_CrowdingExp)</x:f>
        <x:v>0.00701527445230896</x:v>
      </x:c>
      <x:c r="Q38" s="9" t="n">
        <x:f>IF(D38=1,INDEX(tun_WinterMult,G38),1)</x:f>
        <x:v>1</x:v>
      </x:c>
      <x:c r="R38" s="9" t="n">
        <x:f>H38*Z37*tun_WomenShare*tun_BaseFertility*INDEX(tun_FertMult,G38)*Arch_Fertility*(1-P38)</x:f>
        <x:v>0.6757528830877739</x:v>
      </x:c>
      <x:c r="S38" s="9" t="n">
        <x:f>H38*Y37*INDEX(tun_MortChild,G38)/4*Q38</x:f>
        <x:v>0.0968295286648697</x:v>
      </x:c>
      <x:c r="T38" s="9" t="n">
        <x:f>H38*Z37*INDEX(tun_MortAdult,G38)*Arch_AdultMort/4*Q38</x:f>
        <x:v>0.02503610913656182</x:v>
      </x:c>
      <x:c r="U38" s="9" t="n">
        <x:f>H38*AA37*INDEX(tun_MortElder,G38)/4*Q38</x:f>
        <x:v>0.03811564657720731</x:v>
      </x:c>
      <x:c r="V38" s="9" t="n">
        <x:f>H38*MAX(0,AB37-O38)*tun_OvercapLoss</x:f>
        <x:v>0</x:v>
      </x:c>
      <x:c r="W38" s="9" t="n">
        <x:f>H38*Y37/(tun_ChildYears*4)</x:f>
        <x:v>0.20958772438283482</x:v>
      </x:c>
      <x:c r="X38" s="9" t="n">
        <x:f>H38*Z37/(tun_AdultYears*4)</x:f>
        <x:v>0.07341967488727807</x:v>
      </x:c>
      <x:c r="Y38" s="32" t="n">
        <x:f>Y37+R38-S38-W38-Y37*V38/AB37</x:f>
        <x:v>12.10624819547882</x:v>
      </x:c>
      <x:c r="Z38" s="32" t="n">
        <x:f>Z37+W38-X38-T38-Z37*V38/AB37</x:f>
        <x:v>9.215171626381478</x:v>
      </x:c>
      <x:c r="AA38" s="32" t="n">
        <x:f>AA37+X38-U38-AA37*V38/AB37</x:f>
        <x:v>2.911956600174774</x:v>
      </x:c>
      <x:c r="AB38" s="10" t="n">
        <x:f>Y38+Z38+AA38</x:f>
        <x:v>24.23337642203507</x:v>
      </x:c>
      <x:c r="AC38" s="8" t="n">
        <x:f>IF(AND(tun_WinterTrigger=1,D38=1,AB37/AE37&gt;=K38),1,0)</x:f>
        <x:v>0</x:v>
      </x:c>
      <x:c r="AD38" s="8" t="n">
        <x:f>H38*IF(AND(OR(AB37/AE37&gt;=tun_FissionTrigger*N38,AC38=1),AB37/AE37*tun_DaughterShare&gt;=tun_MinDaughter),MAX(1,ROUND(AE37*tun_FissionRate,0)),0)</x:f>
        <x:v>0</x:v>
      </x:c>
      <x:c r="AE38" s="8" t="n">
        <x:f>IF(H38=1,MAX(1,MIN(INDEX(tun_Smax,G38),AE37+AD38)),AE37)</x:f>
        <x:v>2</x:v>
      </x:c>
      <x:c r="AF38" s="8" t="n">
        <x:f>MAX(0,AE38-AE37)</x:f>
        <x:v>0</x:v>
      </x:c>
      <x:c r="AG38" s="9" t="str">
        <x:f>IF(AF38&gt;0,B38,"")</x:f>
      </x:c>
      <x:c r="AH38" s="9" t="n">
        <x:f>IF(F38&gt;=1,1,(1+tun_LowTiesShare*(AE38-1))/AE38)</x:f>
        <x:v>1</x:v>
      </x:c>
      <x:c r="AI38" s="32" t="n">
        <x:f>(Z38+tun_ElderCommons*INDEX(LM_Elder,G38)*AA38)*AH38</x:f>
        <x:v>16.347979449939363</x:v>
      </x:c>
      <x:c r="AJ38" s="32" t="n">
        <x:f>H38*tun_CommonsCoef*AI38^tun_CommonsExp*INDEX(LM_Commons,G38)</x:f>
        <x:v>56.764706041236074</x:v>
      </x:c>
      <x:c r="AK38" s="32" t="n">
        <x:f>H38*tun_RoleScale*Arch_Roles*(AE38*(INDEX(tun_ElderRolePerSett,G38)*tun_OutElder*INDEX(LM_Elder,G38)+INDEX(tun_ShamanPerSett,G38)*tun_OutShaman)+Z38*(INDEX(tun_PriestShare,G38)*tun_OutPriest+INDEX(tun_ScribeShare,G38)*tun_OutScribe*INDEX(LM_Scribe,G38)+INDEX(tun_ScholarShare,G38)*tun_OutScholar*INDEX(LM_Scholar,G38)+INDEX(tun_ResearcherShare,G38)*tun_OutResearcher*INDEX(LM_Researcher,G38)))</x:f>
        <x:v>21.79795897113271</x:v>
      </x:c>
      <x:c r="AL38" s="32" t="n">
        <x:f>H38*tun_RoleScale*Arch_Roles*AE38*INDEX(tun_MonasteryPerSett,G38)*tun_OutMonastery*INDEX(LM_Monastery,G38)</x:f>
        <x:v>0</x:v>
      </x:c>
      <x:c r="AM38" s="32" t="n">
        <x:f>(AJ38+AK38+AL38)/4*INDEX(LM_All,G38)*INDEX(tun_Boon,G38)*Arch_Insight</x:f>
        <x:v>20.1316829094195</x:v>
      </x:c>
      <x:c r="AN38" s="32" t="n">
        <x:f>H38*(tun_KHPerAdult*Z38+tun_KHOfCommons*AJ38/4*INDEX(LM_All,G38))*tun_KHUsable*Arch_KH</x:f>
        <x:v>3.4768382450257094</x:v>
      </x:c>
      <x:c r="AO38" s="32" t="n">
        <x:f>MIN(AP37+AN38,AM38*tun_KHMaxRatio)</x:f>
        <x:v>3.4768382450257094</x:v>
      </x:c>
      <x:c r="AP38" s="32" t="n">
        <x:f>AP37+AN38-AO38</x:f>
        <x:v>0</x:v>
      </x:c>
      <x:c r="AQ38" s="32" t="n">
        <x:f>AM38+AO38</x:f>
        <x:v>23.60852115444521</x:v>
      </x:c>
      <x:c r="AR38" s="10" t="n">
        <x:f>IF(H38=1,INDEX(tun_Req,G38),0)</x:f>
        <x:v>1075.552</x:v>
      </x:c>
      <x:c r="AS38" s="32" t="n">
        <x:f>IF(H38=1,IF(E38=1,AS37-AR37,AS37)+AQ38,0)</x:f>
        <x:v>98.42296454534133</x:v>
      </x:c>
      <x:c r="AT38" s="11" t="n">
        <x:f>IF(AR38&gt;0,MIN(1,AS38/AR38),1)</x:f>
        <x:v>0.09150925714920463</x:v>
      </x:c>
      <x:c r="AU38" s="10" t="n">
        <x:f>AB38/INDEX(tun_RepScale,G38)</x:f>
        <x:v>24.23337642203507</x:v>
      </x:c>
      <x:c r="AV38" s="32" t="n">
        <x:f>AM38*60/tun_SeasonSeconds</x:f>
        <x:v>80.526731637678</x:v>
      </x:c>
    </x:row>
    <x:row r="39">
      <x:c r="A39" s="8" t="n">
        <x:f>A38+1</x:f>
        <x:v>36</x:v>
      </x:c>
      <x:c r="B39" s="9" t="n">
        <x:f>A39*tun_SeasonSeconds/60</x:f>
        <x:v>9</x:v>
      </x:c>
      <x:c r="C39" s="9" t="n">
        <x:f>A39/4</x:f>
        <x:v>9</x:v>
      </x:c>
      <x:c r="D39" s="8" t="n">
        <x:f>IF(MOD(A39,4)=0,1,0)</x:f>
        <x:v>1</x:v>
      </x:c>
      <x:c r="E39" s="8" t="n">
        <x:f>IF(AND(F38&lt;=9,AS38&gt;=AR38),1,0)</x:f>
        <x:v>0</x:v>
      </x:c>
      <x:c r="F39" s="8" t="n">
        <x:f>MIN(10,F38+E39)</x:f>
        <x:v>1</x:v>
      </x:c>
      <x:c r="G39" s="8" t="n">
        <x:f>MIN(F39,9)+1</x:f>
        <x:v>2</x:v>
      </x:c>
      <x:c r="H39" s="8" t="n">
        <x:f>IF(F39&lt;=9,1,0)</x:f>
        <x:v>1</x:v>
      </x:c>
      <x:c r="I39" s="9" t="n">
        <x:f>MIN(10,F38+IF(AR38&gt;0,MIN(1,AS38/AR38),1))</x:f>
        <x:v>1.0915092571492047</x:v>
      </x:c>
      <x:c r="J39" s="32" t="n">
        <x:f>INDEX(tun_FoodCap,G39)*Arch_FoodCap*EXP(tun_CapsByProject*SUMPRODUCT((Cap_Point&lt;=I39)*(Cap_Kind="Food")*Cap_Ln))</x:f>
        <x:v>27.104000000000006</x:v>
      </x:c>
      <x:c r="K39" s="32" t="n">
        <x:f>J39*MIN(1,tun_LeanBase*EXP(tun_CapsByProject*SUMPRODUCT((Cap_Point&lt;=I39)*(Cap_Kind="Lean")*Cap_Ln)))</x:f>
        <x:v>20.870080000000005</x:v>
      </x:c>
      <x:c r="L39" s="10" t="n">
        <x:f>INDEX(tun_HousingCap,G39)*EXP(tun_CapsByProject*SUMPRODUCT((Cap_Point&lt;=I39)*(Cap_Kind="Housing")*Cap_Ln))</x:f>
        <x:v>50</x:v>
      </x:c>
      <x:c r="M39" s="10" t="n">
        <x:f>INDEX(tun_GroupCap,G39)*tun_CohesionFactor*EXP(tun_CapsByProject*SUMPRODUCT((Cap_Point&lt;=I39)*(Cap_Kind="Group")*Cap_Ln))</x:f>
        <x:v>35</x:v>
      </x:c>
      <x:c r="N39" s="32" t="n">
        <x:f>MIN(J39,L39,M39)</x:f>
        <x:v>27.104000000000006</x:v>
      </x:c>
      <x:c r="O39" s="10" t="n">
        <x:f>AE38*N39</x:f>
        <x:v>54.20800000000001</x:v>
      </x:c>
      <x:c r="P39" s="9" t="n">
        <x:f>MIN(1,(AB38/(AE38*IF(tun_GroupInCrowding=1,N39,MIN(J39,L39))))^tun_CrowdingExp)</x:f>
        <x:v>0.007981844526929713</x:v>
      </x:c>
      <x:c r="Q39" s="9" t="n">
        <x:f>IF(D39=1,INDEX(tun_WinterMult,G39),1)</x:f>
        <x:v>1.7</x:v>
      </x:c>
      <x:c r="R39" s="9" t="n">
        <x:f>H39*Z38*tun_WomenShare*tun_BaseFertility*INDEX(tun_FertMult,G39)*Arch_Fertility*(1-P39)</x:f>
        <x:v>0.6833359125480117</x:v>
      </x:c>
      <x:c r="S39" s="9" t="n">
        <x:f>H39*Y38*INDEX(tun_MortChild,G39)/4*Q39</x:f>
        <x:v>0.16979013094159043</x:v>
      </x:c>
      <x:c r="T39" s="9" t="n">
        <x:f>H39*Z38*INDEX(tun_MortAdult,G39)*Arch_AdultMort/4*Q39</x:f>
        <x:v>0.04308092735333341</x:v>
      </x:c>
      <x:c r="U39" s="9" t="n">
        <x:f>H39*AA38*INDEX(tun_MortElder,G39)/4*Q39</x:f>
        <x:v>0.06559182241893678</x:v>
      </x:c>
      <x:c r="V39" s="9" t="n">
        <x:f>H39*MAX(0,AB38-O39)*tun_OvercapLoss</x:f>
        <x:v>0</x:v>
      </x:c>
      <x:c r="W39" s="9" t="n">
        <x:f>H39*Y38/(tun_ChildYears*4)</x:f>
        <x:v>0.21618300349069322</x:v>
      </x:c>
      <x:c r="X39" s="9" t="n">
        <x:f>H39*Z38/(tun_AdultYears*4)</x:f>
        <x:v>0.07431590021275386</x:v>
      </x:c>
      <x:c r="Y39" s="32" t="n">
        <x:f>Y38+R39-S39-W39-Y38*V39/AB38</x:f>
        <x:v>12.403610973594548</x:v>
      </x:c>
      <x:c r="Z39" s="32" t="n">
        <x:f>Z38+W39-X39-T39-Z38*V39/AB38</x:f>
        <x:v>9.313957802306083</x:v>
      </x:c>
      <x:c r="AA39" s="32" t="n">
        <x:f>AA38+X39-U39-AA38*V39/AB38</x:f>
        <x:v>2.920680677968591</x:v>
      </x:c>
      <x:c r="AB39" s="10" t="n">
        <x:f>Y39+Z39+AA39</x:f>
        <x:v>24.63824945386922</x:v>
      </x:c>
      <x:c r="AC39" s="8" t="n">
        <x:f>IF(AND(tun_WinterTrigger=1,D39=1,AB38/AE38&gt;=K39),1,0)</x:f>
        <x:v>0</x:v>
      </x:c>
      <x:c r="AD39" s="8" t="n">
        <x:f>H39*IF(AND(OR(AB38/AE38&gt;=tun_FissionTrigger*N39,AC39=1),AB38/AE38*tun_DaughterShare&gt;=tun_MinDaughter),MAX(1,ROUND(AE38*tun_FissionRate,0)),0)</x:f>
        <x:v>0</x:v>
      </x:c>
      <x:c r="AE39" s="8" t="n">
        <x:f>IF(H39=1,MAX(1,MIN(INDEX(tun_Smax,G39),AE38+AD39)),AE38)</x:f>
        <x:v>2</x:v>
      </x:c>
      <x:c r="AF39" s="8" t="n">
        <x:f>MAX(0,AE39-AE38)</x:f>
        <x:v>0</x:v>
      </x:c>
      <x:c r="AG39" s="9" t="str">
        <x:f>IF(AF39&gt;0,B39,"")</x:f>
      </x:c>
      <x:c r="AH39" s="9" t="n">
        <x:f>IF(F39&gt;=1,1,(1+tun_LowTiesShare*(AE39-1))/AE39)</x:f>
        <x:v>1</x:v>
      </x:c>
      <x:c r="AI39" s="32" t="n">
        <x:f>(Z39+tun_ElderCommons*INDEX(LM_Elder,G39)*AA39)*AH39</x:f>
        <x:v>16.468135164935163</x:v>
      </x:c>
      <x:c r="AJ39" s="32" t="n">
        <x:f>H39*tun_CommonsCoef*AI39^tun_CommonsExp*INDEX(LM_Commons,G39)</x:f>
        <x:v>57.11914289524983</x:v>
      </x:c>
      <x:c r="AK39" s="32" t="n">
        <x:f>H39*tun_RoleScale*Arch_Roles*(AE39*(INDEX(tun_ElderRolePerSett,G39)*tun_OutElder*INDEX(LM_Elder,G39)+INDEX(tun_ShamanPerSett,G39)*tun_OutShaman)+Z39*(INDEX(tun_PriestShare,G39)*tun_OutPriest+INDEX(tun_ScribeShare,G39)*tun_OutScribe*INDEX(LM_Scribe,G39)+INDEX(tun_ScholarShare,G39)*tun_OutScholar*INDEX(LM_Scholar,G39)+INDEX(tun_ResearcherShare,G39)*tun_OutResearcher*INDEX(LM_Researcher,G39)))</x:f>
        <x:v>21.79795897113271</x:v>
      </x:c>
      <x:c r="AL39" s="32" t="n">
        <x:f>H39*tun_RoleScale*Arch_Roles*AE39*INDEX(tun_MonasteryPerSett,G39)*tun_OutMonastery*INDEX(LM_Monastery,G39)</x:f>
        <x:v>0</x:v>
      </x:c>
      <x:c r="AM39" s="32" t="n">
        <x:f>(AJ39+AK39+AL39)/4*INDEX(LM_All,G39)*INDEX(tun_Boon,G39)*Arch_Insight</x:f>
        <x:v>20.222507353260525</x:v>
      </x:c>
      <x:c r="AN39" s="32" t="n">
        <x:f>H39*(tun_KHPerAdult*Z39+tun_KHOfCommons*AJ39/4*INDEX(LM_All,G39))*tun_KHUsable*Arch_KH</x:f>
        <x:v>3.4985475023340515</x:v>
      </x:c>
      <x:c r="AO39" s="32" t="n">
        <x:f>MIN(AP38+AN39,AM39*tun_KHMaxRatio)</x:f>
        <x:v>3.4985475023340515</x:v>
      </x:c>
      <x:c r="AP39" s="32" t="n">
        <x:f>AP38+AN39-AO39</x:f>
        <x:v>0</x:v>
      </x:c>
      <x:c r="AQ39" s="32" t="n">
        <x:f>AM39+AO39</x:f>
        <x:v>23.721054855594577</x:v>
      </x:c>
      <x:c r="AR39" s="10" t="n">
        <x:f>IF(H39=1,INDEX(tun_Req,G39),0)</x:f>
        <x:v>1075.552</x:v>
      </x:c>
      <x:c r="AS39" s="32" t="n">
        <x:f>IF(H39=1,IF(E39=1,AS38-AR38,AS38)+AQ39,0)</x:f>
        <x:v>122.1440194009359</x:v>
      </x:c>
      <x:c r="AT39" s="11" t="n">
        <x:f>IF(AR39&gt;0,MIN(1,AS39/AR39),1)</x:f>
        <x:v>0.11356402981997701</x:v>
      </x:c>
      <x:c r="AU39" s="10" t="n">
        <x:f>AB39/INDEX(tun_RepScale,G39)</x:f>
        <x:v>24.63824945386922</x:v>
      </x:c>
      <x:c r="AV39" s="32" t="n">
        <x:f>AM39*60/tun_SeasonSeconds</x:f>
        <x:v>80.8900294130421</x:v>
      </x:c>
    </x:row>
    <x:row r="40">
      <x:c r="A40" s="8" t="n">
        <x:f>A39+1</x:f>
        <x:v>37</x:v>
      </x:c>
      <x:c r="B40" s="9" t="n">
        <x:f>A40*tun_SeasonSeconds/60</x:f>
        <x:v>9.25</x:v>
      </x:c>
      <x:c r="C40" s="9" t="n">
        <x:f>A40/4</x:f>
        <x:v>9.25</x:v>
      </x:c>
      <x:c r="D40" s="8" t="n">
        <x:f>IF(MOD(A40,4)=0,1,0)</x:f>
        <x:v>0</x:v>
      </x:c>
      <x:c r="E40" s="8" t="n">
        <x:f>IF(AND(F39&lt;=9,AS39&gt;=AR39),1,0)</x:f>
        <x:v>0</x:v>
      </x:c>
      <x:c r="F40" s="8" t="n">
        <x:f>MIN(10,F39+E40)</x:f>
        <x:v>1</x:v>
      </x:c>
      <x:c r="G40" s="8" t="n">
        <x:f>MIN(F40,9)+1</x:f>
        <x:v>2</x:v>
      </x:c>
      <x:c r="H40" s="8" t="n">
        <x:f>IF(F40&lt;=9,1,0)</x:f>
        <x:v>1</x:v>
      </x:c>
      <x:c r="I40" s="9" t="n">
        <x:f>MIN(10,F39+IF(AR39&gt;0,MIN(1,AS39/AR39),1))</x:f>
        <x:v>1.113564029819977</x:v>
      </x:c>
      <x:c r="J40" s="32" t="n">
        <x:f>INDEX(tun_FoodCap,G40)*Arch_FoodCap*EXP(tun_CapsByProject*SUMPRODUCT((Cap_Point&lt;=I40)*(Cap_Kind="Food")*Cap_Ln))</x:f>
        <x:v>27.104000000000006</x:v>
      </x:c>
      <x:c r="K40" s="32" t="n">
        <x:f>J40*MIN(1,tun_LeanBase*EXP(tun_CapsByProject*SUMPRODUCT((Cap_Point&lt;=I40)*(Cap_Kind="Lean")*Cap_Ln)))</x:f>
        <x:v>20.870080000000005</x:v>
      </x:c>
      <x:c r="L40" s="10" t="n">
        <x:f>INDEX(tun_HousingCap,G40)*EXP(tun_CapsByProject*SUMPRODUCT((Cap_Point&lt;=I40)*(Cap_Kind="Housing")*Cap_Ln))</x:f>
        <x:v>50</x:v>
      </x:c>
      <x:c r="M40" s="10" t="n">
        <x:f>INDEX(tun_GroupCap,G40)*tun_CohesionFactor*EXP(tun_CapsByProject*SUMPRODUCT((Cap_Point&lt;=I40)*(Cap_Kind="Group")*Cap_Ln))</x:f>
        <x:v>35</x:v>
      </x:c>
      <x:c r="N40" s="32" t="n">
        <x:f>MIN(J40,L40,M40)</x:f>
        <x:v>27.104000000000006</x:v>
      </x:c>
      <x:c r="O40" s="10" t="n">
        <x:f>AE39*N40</x:f>
        <x:v>54.20800000000001</x:v>
      </x:c>
      <x:c r="P40" s="9" t="n">
        <x:f>MIN(1,(AB39/(AE39*IF(tun_GroupInCrowding=1,N40,MIN(J40,L40))))^tun_CrowdingExp)</x:f>
        <x:v>0.008816146169549142</x:v>
      </x:c>
      <x:c r="Q40" s="9" t="n">
        <x:f>IF(D40=1,INDEX(tun_WinterMult,G40),1)</x:f>
        <x:v>1</x:v>
      </x:c>
      <x:c r="R40" s="9" t="n">
        <x:f>H40*Z39*tun_WomenShare*tun_BaseFertility*INDEX(tun_FertMult,G40)*Arch_Fertility*(1-P40)</x:f>
        <x:v>0.6900803830205694</x:v>
      </x:c>
      <x:c r="S40" s="9" t="n">
        <x:f>H40*Y39*INDEX(tun_MortChild,G40)/4*Q40</x:f>
        <x:v>0.10232979053215502</x:v>
      </x:c>
      <x:c r="T40" s="9" t="n">
        <x:f>H40*Z39*INDEX(tun_MortAdult,G40)*Arch_AdultMort/4*Q40</x:f>
        <x:v>0.025613383956341728</x:v>
      </x:c>
      <x:c r="U40" s="9" t="n">
        <x:f>H40*AA39*INDEX(tun_MortElder,G40)/4*Q40</x:f>
        <x:v>0.03869901898308383</x:v>
      </x:c>
      <x:c r="V40" s="9" t="n">
        <x:f>H40*MAX(0,AB39-O40)*tun_OvercapLoss</x:f>
        <x:v>0</x:v>
      </x:c>
      <x:c r="W40" s="9" t="n">
        <x:f>H40*Y39/(tun_ChildYears*4)</x:f>
        <x:v>0.22149305309990264</x:v>
      </x:c>
      <x:c r="X40" s="9" t="n">
        <x:f>H40*Z39/(tun_AdultYears*4)</x:f>
        <x:v>0.07511256292182325</x:v>
      </x:c>
      <x:c r="Y40" s="32" t="n">
        <x:f>Y39+R40-S40-W40-Y39*V40/AB39</x:f>
        <x:v>12.769868512983061</x:v>
      </x:c>
      <x:c r="Z40" s="32" t="n">
        <x:f>Z39+W40-X40-T40-Z39*V40/AB39</x:f>
        <x:v>9.43472490852782</x:v>
      </x:c>
      <x:c r="AA40" s="32" t="n">
        <x:f>AA39+X40-U40-AA39*V40/AB39</x:f>
        <x:v>2.9570942219073304</x:v>
      </x:c>
      <x:c r="AB40" s="10" t="n">
        <x:f>Y40+Z40+AA40</x:f>
        <x:v>25.161687643418208</x:v>
      </x:c>
      <x:c r="AC40" s="8" t="n">
        <x:f>IF(AND(tun_WinterTrigger=1,D40=1,AB39/AE39&gt;=K40),1,0)</x:f>
        <x:v>0</x:v>
      </x:c>
      <x:c r="AD40" s="8" t="n">
        <x:f>H40*IF(AND(OR(AB39/AE39&gt;=tun_FissionTrigger*N40,AC40=1),AB39/AE39*tun_DaughterShare&gt;=tun_MinDaughter),MAX(1,ROUND(AE39*tun_FissionRate,0)),0)</x:f>
        <x:v>0</x:v>
      </x:c>
      <x:c r="AE40" s="8" t="n">
        <x:f>IF(H40=1,MAX(1,MIN(INDEX(tun_Smax,G40),AE39+AD40)),AE39)</x:f>
        <x:v>2</x:v>
      </x:c>
      <x:c r="AF40" s="8" t="n">
        <x:f>MAX(0,AE40-AE39)</x:f>
        <x:v>0</x:v>
      </x:c>
      <x:c r="AG40" s="9" t="str">
        <x:f>IF(AF40&gt;0,B40,"")</x:f>
      </x:c>
      <x:c r="AH40" s="9" t="n">
        <x:f>IF(F40&gt;=1,1,(1+tun_LowTiesShare*(AE40-1))/AE40)</x:f>
        <x:v>1</x:v>
      </x:c>
      <x:c r="AI40" s="32" t="n">
        <x:f>(Z40+tun_ElderCommons*INDEX(LM_Elder,G40)*AA40)*AH40</x:f>
        <x:v>16.678096873533228</x:v>
      </x:c>
      <x:c r="AJ40" s="32" t="n">
        <x:f>H40*tun_CommonsCoef*AI40^tun_CommonsExp*INDEX(LM_Commons,G40)</x:f>
        <x:v>57.737561892039935</x:v>
      </x:c>
      <x:c r="AK40" s="32" t="n">
        <x:f>H40*tun_RoleScale*Arch_Roles*(AE40*(INDEX(tun_ElderRolePerSett,G40)*tun_OutElder*INDEX(LM_Elder,G40)+INDEX(tun_ShamanPerSett,G40)*tun_OutShaman)+Z40*(INDEX(tun_PriestShare,G40)*tun_OutPriest+INDEX(tun_ScribeShare,G40)*tun_OutScribe*INDEX(LM_Scribe,G40)+INDEX(tun_ScholarShare,G40)*tun_OutScholar*INDEX(LM_Scholar,G40)+INDEX(tun_ResearcherShare,G40)*tun_OutResearcher*INDEX(LM_Researcher,G40)))</x:f>
        <x:v>21.79795897113271</x:v>
      </x:c>
      <x:c r="AL40" s="32" t="n">
        <x:f>H40*tun_RoleScale*Arch_Roles*AE40*INDEX(tun_MonasteryPerSett,G40)*tun_OutMonastery*INDEX(LM_Monastery,G40)</x:f>
        <x:v>0</x:v>
      </x:c>
      <x:c r="AM40" s="32" t="n">
        <x:f>(AJ40+AK40+AL40)/4*INDEX(LM_All,G40)*INDEX(tun_Boon,G40)*Arch_Insight</x:f>
        <x:v>20.38097722118799</x:v>
      </x:c>
      <x:c r="AN40" s="32" t="n">
        <x:f>H40*(tun_KHPerAdult*Z40+tun_KHOfCommons*AJ40/4*INDEX(LM_All,G40))*tun_KHUsable*Arch_KH</x:f>
        <x:v>3.5364256658874456</x:v>
      </x:c>
      <x:c r="AO40" s="32" t="n">
        <x:f>MIN(AP39+AN40,AM40*tun_KHMaxRatio)</x:f>
        <x:v>3.5364256658874456</x:v>
      </x:c>
      <x:c r="AP40" s="32" t="n">
        <x:f>AP39+AN40-AO40</x:f>
        <x:v>0</x:v>
      </x:c>
      <x:c r="AQ40" s="32" t="n">
        <x:f>AM40+AO40</x:f>
        <x:v>23.917402887075436</x:v>
      </x:c>
      <x:c r="AR40" s="10" t="n">
        <x:f>IF(H40=1,INDEX(tun_Req,G40),0)</x:f>
        <x:v>1075.552</x:v>
      </x:c>
      <x:c r="AS40" s="32" t="n">
        <x:f>IF(H40=1,IF(E40=1,AS39-AR39,AS39)+AQ40,0)</x:f>
        <x:v>146.06142228801133</x:v>
      </x:c>
      <x:c r="AT40" s="11" t="n">
        <x:f>IF(AR40&gt;0,MIN(1,AS40/AR40),1)</x:f>
        <x:v>0.13580135808218602</x:v>
      </x:c>
      <x:c r="AU40" s="10" t="n">
        <x:f>AB40/INDEX(tun_RepScale,G40)</x:f>
        <x:v>25.161687643418208</x:v>
      </x:c>
      <x:c r="AV40" s="32" t="n">
        <x:f>AM40*60/tun_SeasonSeconds</x:f>
        <x:v>81.52390888475196</x:v>
      </x:c>
    </x:row>
    <x:row r="41">
      <x:c r="A41" s="8" t="n">
        <x:f>A40+1</x:f>
        <x:v>38</x:v>
      </x:c>
      <x:c r="B41" s="9" t="n">
        <x:f>A41*tun_SeasonSeconds/60</x:f>
        <x:v>9.5</x:v>
      </x:c>
      <x:c r="C41" s="9" t="n">
        <x:f>A41/4</x:f>
        <x:v>9.5</x:v>
      </x:c>
      <x:c r="D41" s="8" t="n">
        <x:f>IF(MOD(A41,4)=0,1,0)</x:f>
        <x:v>0</x:v>
      </x:c>
      <x:c r="E41" s="8" t="n">
        <x:f>IF(AND(F40&lt;=9,AS40&gt;=AR40),1,0)</x:f>
        <x:v>0</x:v>
      </x:c>
      <x:c r="F41" s="8" t="n">
        <x:f>MIN(10,F40+E41)</x:f>
        <x:v>1</x:v>
      </x:c>
      <x:c r="G41" s="8" t="n">
        <x:f>MIN(F41,9)+1</x:f>
        <x:v>2</x:v>
      </x:c>
      <x:c r="H41" s="8" t="n">
        <x:f>IF(F41&lt;=9,1,0)</x:f>
        <x:v>1</x:v>
      </x:c>
      <x:c r="I41" s="9" t="n">
        <x:f>MIN(10,F40+IF(AR40&gt;0,MIN(1,AS40/AR40),1))</x:f>
        <x:v>1.135801358082186</x:v>
      </x:c>
      <x:c r="J41" s="32" t="n">
        <x:f>INDEX(tun_FoodCap,G41)*Arch_FoodCap*EXP(tun_CapsByProject*SUMPRODUCT((Cap_Point&lt;=I41)*(Cap_Kind="Food")*Cap_Ln))</x:f>
        <x:v>27.104000000000006</x:v>
      </x:c>
      <x:c r="K41" s="32" t="n">
        <x:f>J41*MIN(1,tun_LeanBase*EXP(tun_CapsByProject*SUMPRODUCT((Cap_Point&lt;=I41)*(Cap_Kind="Lean")*Cap_Ln)))</x:f>
        <x:v>20.870080000000005</x:v>
      </x:c>
      <x:c r="L41" s="10" t="n">
        <x:f>INDEX(tun_HousingCap,G41)*EXP(tun_CapsByProject*SUMPRODUCT((Cap_Point&lt;=I41)*(Cap_Kind="Housing")*Cap_Ln))</x:f>
        <x:v>50</x:v>
      </x:c>
      <x:c r="M41" s="10" t="n">
        <x:f>INDEX(tun_GroupCap,G41)*tun_CohesionFactor*EXP(tun_CapsByProject*SUMPRODUCT((Cap_Point&lt;=I41)*(Cap_Kind="Group")*Cap_Ln))</x:f>
        <x:v>35</x:v>
      </x:c>
      <x:c r="N41" s="32" t="n">
        <x:f>MIN(J41,L41,M41)</x:f>
        <x:v>27.104000000000006</x:v>
      </x:c>
      <x:c r="O41" s="10" t="n">
        <x:f>AE40*N41</x:f>
        <x:v>54.20800000000001</x:v>
      </x:c>
      <x:c r="P41" s="9" t="n">
        <x:f>MIN(1,(AB40/(AE40*IF(tun_GroupInCrowding=1,N41,MIN(J41,L41))))^tun_CrowdingExp)</x:f>
        <x:v>0.010001342370006147</x:v>
      </x:c>
      <x:c r="Q41" s="9" t="n">
        <x:f>IF(D41=1,INDEX(tun_WinterMult,G41),1)</x:f>
        <x:v>1</x:v>
      </x:c>
      <x:c r="R41" s="9" t="n">
        <x:f>H41*Z40*tun_WomenShare*tun_BaseFertility*INDEX(tun_FertMult,G41)*Arch_Fertility*(1-P41)</x:f>
        <x:v>0.6981922833426727</x:v>
      </x:c>
      <x:c r="S41" s="9" t="n">
        <x:f>H41*Y40*INDEX(tun_MortChild,G41)/4*Q41</x:f>
        <x:v>0.10535141523211027</x:v>
      </x:c>
      <x:c r="T41" s="9" t="n">
        <x:f>H41*Z40*INDEX(tun_MortAdult,G41)*Arch_AdultMort/4*Q41</x:f>
        <x:v>0.025945493498451502</x:v>
      </x:c>
      <x:c r="U41" s="9" t="n">
        <x:f>H41*AA40*INDEX(tun_MortElder,G41)/4*Q41</x:f>
        <x:v>0.039181498440272126</x:v>
      </x:c>
      <x:c r="V41" s="9" t="n">
        <x:f>H41*MAX(0,AB40-O41)*tun_OvercapLoss</x:f>
        <x:v>0</x:v>
      </x:c>
      <x:c r="W41" s="9" t="n">
        <x:f>H41*Y40/(tun_ChildYears*4)</x:f>
        <x:v>0.22803336630326895</x:v>
      </x:c>
      <x:c r="X41" s="9" t="n">
        <x:f>H41*Z40/(tun_AdultYears*4)</x:f>
        <x:v>0.076086491197805</x:v>
      </x:c>
      <x:c r="Y41" s="32" t="n">
        <x:f>Y40+R41-S41-W41-Y40*V41/AB40</x:f>
        <x:v>13.134676014790355</x:v>
      </x:c>
      <x:c r="Z41" s="32" t="n">
        <x:f>Z40+W41-X41-T41-Z40*V41/AB40</x:f>
        <x:v>9.560726290134832</x:v>
      </x:c>
      <x:c r="AA41" s="32" t="n">
        <x:f>AA40+X41-U41-AA40*V41/AB40</x:f>
        <x:v>2.9939992146648633</x:v>
      </x:c>
      <x:c r="AB41" s="10" t="n">
        <x:f>Y41+Z41+AA41</x:f>
        <x:v>25.689401519590053</x:v>
      </x:c>
      <x:c r="AC41" s="8" t="n">
        <x:f>IF(AND(tun_WinterTrigger=1,D41=1,AB40/AE40&gt;=K41),1,0)</x:f>
        <x:v>0</x:v>
      </x:c>
      <x:c r="AD41" s="8" t="n">
        <x:f>H41*IF(AND(OR(AB40/AE40&gt;=tun_FissionTrigger*N41,AC41=1),AB40/AE40*tun_DaughterShare&gt;=tun_MinDaughter),MAX(1,ROUND(AE40*tun_FissionRate,0)),0)</x:f>
        <x:v>0</x:v>
      </x:c>
      <x:c r="AE41" s="8" t="n">
        <x:f>IF(H41=1,MAX(1,MIN(INDEX(tun_Smax,G41),AE40+AD41)),AE40)</x:f>
        <x:v>2</x:v>
      </x:c>
      <x:c r="AF41" s="8" t="n">
        <x:f>MAX(0,AE41-AE40)</x:f>
        <x:v>0</x:v>
      </x:c>
      <x:c r="AG41" s="9" t="str">
        <x:f>IF(AF41&gt;0,B41,"")</x:f>
      </x:c>
      <x:c r="AH41" s="9" t="n">
        <x:f>IF(F41&gt;=1,1,(1+tun_LowTiesShare*(AE41-1))/AE41)</x:f>
        <x:v>1</x:v>
      </x:c>
      <x:c r="AI41" s="32" t="n">
        <x:f>(Z41+tun_ElderCommons*INDEX(LM_Elder,G41)*AA41)*AH41</x:f>
        <x:v>16.894496656357305</x:v>
      </x:c>
      <x:c r="AJ41" s="32" t="n">
        <x:f>H41*tun_CommonsCoef*AI41^tun_CommonsExp*INDEX(LM_Commons,G41)</x:f>
        <x:v>58.373722763172424</x:v>
      </x:c>
      <x:c r="AK41" s="32" t="n">
        <x:f>H41*tun_RoleScale*Arch_Roles*(AE41*(INDEX(tun_ElderRolePerSett,G41)*tun_OutElder*INDEX(LM_Elder,G41)+INDEX(tun_ShamanPerSett,G41)*tun_OutShaman)+Z41*(INDEX(tun_PriestShare,G41)*tun_OutPriest+INDEX(tun_ScribeShare,G41)*tun_OutScribe*INDEX(LM_Scribe,G41)+INDEX(tun_ScholarShare,G41)*tun_OutScholar*INDEX(LM_Scholar,G41)+INDEX(tun_ResearcherShare,G41)*tun_OutResearcher*INDEX(LM_Researcher,G41)))</x:f>
        <x:v>21.79795897113271</x:v>
      </x:c>
      <x:c r="AL41" s="32" t="n">
        <x:f>H41*tun_RoleScale*Arch_Roles*AE41*INDEX(tun_MonasteryPerSett,G41)*tun_OutMonastery*INDEX(LM_Monastery,G41)</x:f>
        <x:v>0</x:v>
      </x:c>
      <x:c r="AM41" s="32" t="n">
        <x:f>(AJ41+AK41+AL41)/4*INDEX(LM_All,G41)*INDEX(tun_Boon,G41)*Arch_Insight</x:f>
        <x:v>20.54399344441569</x:v>
      </x:c>
      <x:c r="AN41" s="32" t="n">
        <x:f>H41*(tun_KHPerAdult*Z41+tun_KHOfCommons*AJ41/4*INDEX(LM_All,G41))*tun_KHUsable*Arch_KH</x:f>
        <x:v>3.5753905192443103</x:v>
      </x:c>
      <x:c r="AO41" s="32" t="n">
        <x:f>MIN(AP40+AN41,AM41*tun_KHMaxRatio)</x:f>
        <x:v>3.5753905192443103</x:v>
      </x:c>
      <x:c r="AP41" s="32" t="n">
        <x:f>AP40+AN41-AO41</x:f>
        <x:v>0</x:v>
      </x:c>
      <x:c r="AQ41" s="32" t="n">
        <x:f>AM41+AO41</x:f>
        <x:v>24.11938396366</x:v>
      </x:c>
      <x:c r="AR41" s="10" t="n">
        <x:f>IF(H41=1,INDEX(tun_Req,G41),0)</x:f>
        <x:v>1075.552</x:v>
      </x:c>
      <x:c r="AS41" s="32" t="n">
        <x:f>IF(H41=1,IF(E41=1,AS40-AR40,AS40)+AQ41,0)</x:f>
        <x:v>170.18080625167133</x:v>
      </x:c>
      <x:c r="AT41" s="11" t="n">
        <x:f>IF(AR41&gt;0,MIN(1,AS41/AR41),1)</x:f>
        <x:v>0.15822647928846895</x:v>
      </x:c>
      <x:c r="AU41" s="10" t="n">
        <x:f>AB41/INDEX(tun_RepScale,G41)</x:f>
        <x:v>25.689401519590053</x:v>
      </x:c>
      <x:c r="AV41" s="32" t="n">
        <x:f>AM41*60/tun_SeasonSeconds</x:f>
        <x:v>82.17597377766275</x:v>
      </x:c>
    </x:row>
    <x:row r="42">
      <x:c r="A42" s="8" t="n">
        <x:f>A41+1</x:f>
        <x:v>39</x:v>
      </x:c>
      <x:c r="B42" s="9" t="n">
        <x:f>A42*tun_SeasonSeconds/60</x:f>
        <x:v>9.75</x:v>
      </x:c>
      <x:c r="C42" s="9" t="n">
        <x:f>A42/4</x:f>
        <x:v>9.75</x:v>
      </x:c>
      <x:c r="D42" s="8" t="n">
        <x:f>IF(MOD(A42,4)=0,1,0)</x:f>
        <x:v>0</x:v>
      </x:c>
      <x:c r="E42" s="8" t="n">
        <x:f>IF(AND(F41&lt;=9,AS41&gt;=AR41),1,0)</x:f>
        <x:v>0</x:v>
      </x:c>
      <x:c r="F42" s="8" t="n">
        <x:f>MIN(10,F41+E42)</x:f>
        <x:v>1</x:v>
      </x:c>
      <x:c r="G42" s="8" t="n">
        <x:f>MIN(F42,9)+1</x:f>
        <x:v>2</x:v>
      </x:c>
      <x:c r="H42" s="8" t="n">
        <x:f>IF(F42&lt;=9,1,0)</x:f>
        <x:v>1</x:v>
      </x:c>
      <x:c r="I42" s="9" t="n">
        <x:f>MIN(10,F41+IF(AR41&gt;0,MIN(1,AS41/AR41),1))</x:f>
        <x:v>1.158226479288469</x:v>
      </x:c>
      <x:c r="J42" s="32" t="n">
        <x:f>INDEX(tun_FoodCap,G42)*Arch_FoodCap*EXP(tun_CapsByProject*SUMPRODUCT((Cap_Point&lt;=I42)*(Cap_Kind="Food")*Cap_Ln))</x:f>
        <x:v>27.104000000000006</x:v>
      </x:c>
      <x:c r="K42" s="32" t="n">
        <x:f>J42*MIN(1,tun_LeanBase*EXP(tun_CapsByProject*SUMPRODUCT((Cap_Point&lt;=I42)*(Cap_Kind="Lean")*Cap_Ln)))</x:f>
        <x:v>20.870080000000005</x:v>
      </x:c>
      <x:c r="L42" s="10" t="n">
        <x:f>INDEX(tun_HousingCap,G42)*EXP(tun_CapsByProject*SUMPRODUCT((Cap_Point&lt;=I42)*(Cap_Kind="Housing")*Cap_Ln))</x:f>
        <x:v>50</x:v>
      </x:c>
      <x:c r="M42" s="10" t="n">
        <x:f>INDEX(tun_GroupCap,G42)*tun_CohesionFactor*EXP(tun_CapsByProject*SUMPRODUCT((Cap_Point&lt;=I42)*(Cap_Kind="Group")*Cap_Ln))</x:f>
        <x:v>35</x:v>
      </x:c>
      <x:c r="N42" s="32" t="n">
        <x:f>MIN(J42,L42,M42)</x:f>
        <x:v>27.104000000000006</x:v>
      </x:c>
      <x:c r="O42" s="10" t="n">
        <x:f>AE41*N42</x:f>
        <x:v>54.20800000000001</x:v>
      </x:c>
      <x:c r="P42" s="9" t="n">
        <x:f>MIN(1,(AB41/(AE41*IF(tun_GroupInCrowding=1,N42,MIN(J42,L42))))^tun_CrowdingExp)</x:f>
        <x:v>0.011327748923494212</x:v>
      </x:c>
      <x:c r="Q42" s="9" t="n">
        <x:f>IF(D42=1,INDEX(tun_WinterMult,G42),1)</x:f>
        <x:v>1</x:v>
      </x:c>
      <x:c r="R42" s="9" t="n">
        <x:f>H42*Z41*tun_WomenShare*tun_BaseFertility*INDEX(tun_FertMult,G42)*Arch_Fertility*(1-P42)</x:f>
        <x:v>0.7065687525437466</x:v>
      </x:c>
      <x:c r="S42" s="9" t="n">
        <x:f>H42*Y41*INDEX(tun_MortChild,G42)/4*Q42</x:f>
        <x:v>0.10836107712202044</x:v>
      </x:c>
      <x:c r="T42" s="9" t="n">
        <x:f>H42*Z41*INDEX(tun_MortAdult,G42)*Arch_AdultMort/4*Q42</x:f>
        <x:v>0.026291997297870788</x:v>
      </x:c>
      <x:c r="U42" s="9" t="n">
        <x:f>H42*AA41*INDEX(tun_MortElder,G42)/4*Q42</x:f>
        <x:v>0.03967048959430944</x:v>
      </x:c>
      <x:c r="V42" s="9" t="n">
        <x:f>H42*MAX(0,AB41-O42)*tun_OvercapLoss</x:f>
        <x:v>0</x:v>
      </x:c>
      <x:c r="W42" s="9" t="n">
        <x:f>H42*Y41/(tun_ChildYears*4)</x:f>
        <x:v>0.23454778597839918</x:v>
      </x:c>
      <x:c r="X42" s="9" t="n">
        <x:f>H42*Z41/(tun_AdultYears*4)</x:f>
        <x:v>0.0771026313720551</x:v>
      </x:c>
      <x:c r="Y42" s="32" t="n">
        <x:f>Y41+R42-S42-W42-Y41*V42/AB41</x:f>
        <x:v>13.49833590423368</x:v>
      </x:c>
      <x:c r="Z42" s="32" t="n">
        <x:f>Z41+W42-X42-T42-Z41*V42/AB41</x:f>
        <x:v>9.691879447443306</x:v>
      </x:c>
      <x:c r="AA42" s="32" t="n">
        <x:f>AA41+X42-U42-AA41*V42/AB41</x:f>
        <x:v>3.0314313564426087</x:v>
      </x:c>
      <x:c r="AB42" s="10" t="n">
        <x:f>Y42+Z42+AA42</x:f>
        <x:v>26.221646708119597</x:v>
      </x:c>
      <x:c r="AC42" s="8" t="n">
        <x:f>IF(AND(tun_WinterTrigger=1,D42=1,AB41/AE41&gt;=K42),1,0)</x:f>
        <x:v>0</x:v>
      </x:c>
      <x:c r="AD42" s="8" t="n">
        <x:f>H42*IF(AND(OR(AB41/AE41&gt;=tun_FissionTrigger*N42,AC42=1),AB41/AE41*tun_DaughterShare&gt;=tun_MinDaughter),MAX(1,ROUND(AE41*tun_FissionRate,0)),0)</x:f>
        <x:v>0</x:v>
      </x:c>
      <x:c r="AE42" s="8" t="n">
        <x:f>IF(H42=1,MAX(1,MIN(INDEX(tun_Smax,G42),AE41+AD42)),AE41)</x:f>
        <x:v>2</x:v>
      </x:c>
      <x:c r="AF42" s="8" t="n">
        <x:f>MAX(0,AE42-AE41)</x:f>
        <x:v>0</x:v>
      </x:c>
      <x:c r="AG42" s="9" t="str">
        <x:f>IF(AF42&gt;0,B42,"")</x:f>
      </x:c>
      <x:c r="AH42" s="9" t="n">
        <x:f>IF(F42&gt;=1,1,(1+tun_LowTiesShare*(AE42-1))/AE42)</x:f>
        <x:v>1</x:v>
      </x:c>
      <x:c r="AI42" s="32" t="n">
        <x:f>(Z42+tun_ElderCommons*INDEX(LM_Elder,G42)*AA42)*AH42</x:f>
        <x:v>17.11733946100077</x:v>
      </x:c>
      <x:c r="AJ42" s="32" t="n">
        <x:f>H42*tun_CommonsCoef*AI42^tun_CommonsExp*INDEX(LM_Commons,G42)</x:f>
        <x:v>59.02754846351681</x:v>
      </x:c>
      <x:c r="AK42" s="32" t="n">
        <x:f>H42*tun_RoleScale*Arch_Roles*(AE42*(INDEX(tun_ElderRolePerSett,G42)*tun_OutElder*INDEX(LM_Elder,G42)+INDEX(tun_ShamanPerSett,G42)*tun_OutShaman)+Z42*(INDEX(tun_PriestShare,G42)*tun_OutPriest+INDEX(tun_ScribeShare,G42)*tun_OutScribe*INDEX(LM_Scribe,G42)+INDEX(tun_ScholarShare,G42)*tun_OutScholar*INDEX(LM_Scholar,G42)+INDEX(tun_ResearcherShare,G42)*tun_OutResearcher*INDEX(LM_Researcher,G42)))</x:f>
        <x:v>21.79795897113271</x:v>
      </x:c>
      <x:c r="AL42" s="32" t="n">
        <x:f>H42*tun_RoleScale*Arch_Roles*AE42*INDEX(tun_MonasteryPerSett,G42)*tun_OutMonastery*INDEX(LM_Monastery,G42)</x:f>
        <x:v>0</x:v>
      </x:c>
      <x:c r="AM42" s="32" t="n">
        <x:f>(AJ42+AK42+AL42)/4*INDEX(LM_All,G42)*INDEX(tun_Boon,G42)*Arch_Insight</x:f>
        <x:v>20.71153628012894</x:v>
      </x:c>
      <x:c r="AN42" s="32" t="n">
        <x:f>H42*(tun_KHPerAdult*Z42+tun_KHOfCommons*AJ42/4*INDEX(LM_All,G42))*tun_KHUsable*Arch_KH</x:f>
        <x:v>3.615437343390404</x:v>
      </x:c>
      <x:c r="AO42" s="32" t="n">
        <x:f>MIN(AP41+AN42,AM42*tun_KHMaxRatio)</x:f>
        <x:v>3.615437343390404</x:v>
      </x:c>
      <x:c r="AP42" s="32" t="n">
        <x:f>AP41+AN42-AO42</x:f>
        <x:v>0</x:v>
      </x:c>
      <x:c r="AQ42" s="32" t="n">
        <x:f>AM42+AO42</x:f>
        <x:v>24.326973623519343</x:v>
      </x:c>
      <x:c r="AR42" s="10" t="n">
        <x:f>IF(H42=1,INDEX(tun_Req,G42),0)</x:f>
        <x:v>1075.552</x:v>
      </x:c>
      <x:c r="AS42" s="32" t="n">
        <x:f>IF(H42=1,IF(E42=1,AS41-AR41,AS41)+AQ42,0)</x:f>
        <x:v>194.50777987519066</x:v>
      </x:c>
      <x:c r="AT42" s="11" t="n">
        <x:f>IF(AR42&gt;0,MIN(1,AS42/AR42),1)</x:f>
        <x:v>0.18084460804795183</x:v>
      </x:c>
      <x:c r="AU42" s="10" t="n">
        <x:f>AB42/INDEX(tun_RepScale,G42)</x:f>
        <x:v>26.221646708119597</x:v>
      </x:c>
      <x:c r="AV42" s="32" t="n">
        <x:f>AM42*60/tun_SeasonSeconds</x:f>
        <x:v>82.84614512051576</x:v>
      </x:c>
    </x:row>
    <x:row r="43">
      <x:c r="A43" s="8" t="n">
        <x:f>A42+1</x:f>
        <x:v>40</x:v>
      </x:c>
      <x:c r="B43" s="9" t="n">
        <x:f>A43*tun_SeasonSeconds/60</x:f>
        <x:v>10</x:v>
      </x:c>
      <x:c r="C43" s="9" t="n">
        <x:f>A43/4</x:f>
        <x:v>10</x:v>
      </x:c>
      <x:c r="D43" s="8" t="n">
        <x:f>IF(MOD(A43,4)=0,1,0)</x:f>
        <x:v>1</x:v>
      </x:c>
      <x:c r="E43" s="8" t="n">
        <x:f>IF(AND(F42&lt;=9,AS42&gt;=AR42),1,0)</x:f>
        <x:v>0</x:v>
      </x:c>
      <x:c r="F43" s="8" t="n">
        <x:f>MIN(10,F42+E43)</x:f>
        <x:v>1</x:v>
      </x:c>
      <x:c r="G43" s="8" t="n">
        <x:f>MIN(F43,9)+1</x:f>
        <x:v>2</x:v>
      </x:c>
      <x:c r="H43" s="8" t="n">
        <x:f>IF(F43&lt;=9,1,0)</x:f>
        <x:v>1</x:v>
      </x:c>
      <x:c r="I43" s="9" t="n">
        <x:f>MIN(10,F42+IF(AR42&gt;0,MIN(1,AS42/AR42),1))</x:f>
        <x:v>1.1808446080479518</x:v>
      </x:c>
      <x:c r="J43" s="32" t="n">
        <x:f>INDEX(tun_FoodCap,G43)*Arch_FoodCap*EXP(tun_CapsByProject*SUMPRODUCT((Cap_Point&lt;=I43)*(Cap_Kind="Food")*Cap_Ln))</x:f>
        <x:v>27.104000000000006</x:v>
      </x:c>
      <x:c r="K43" s="32" t="n">
        <x:f>J43*MIN(1,tun_LeanBase*EXP(tun_CapsByProject*SUMPRODUCT((Cap_Point&lt;=I43)*(Cap_Kind="Lean")*Cap_Ln)))</x:f>
        <x:v>20.870080000000005</x:v>
      </x:c>
      <x:c r="L43" s="10" t="n">
        <x:f>INDEX(tun_HousingCap,G43)*EXP(tun_CapsByProject*SUMPRODUCT((Cap_Point&lt;=I43)*(Cap_Kind="Housing")*Cap_Ln))</x:f>
        <x:v>50</x:v>
      </x:c>
      <x:c r="M43" s="10" t="n">
        <x:f>INDEX(tun_GroupCap,G43)*tun_CohesionFactor*EXP(tun_CapsByProject*SUMPRODUCT((Cap_Point&lt;=I43)*(Cap_Kind="Group")*Cap_Ln))</x:f>
        <x:v>35</x:v>
      </x:c>
      <x:c r="N43" s="32" t="n">
        <x:f>MIN(J43,L43,M43)</x:f>
        <x:v>27.104000000000006</x:v>
      </x:c>
      <x:c r="O43" s="10" t="n">
        <x:f>AE42*N43</x:f>
        <x:v>54.20800000000001</x:v>
      </x:c>
      <x:c r="P43" s="9" t="n">
        <x:f>MIN(1,(AB42/(AE42*IF(tun_GroupInCrowding=1,N43,MIN(J43,L43))))^tun_CrowdingExp)</x:f>
        <x:v>0.012810894786139504</x:v>
      </x:c>
      <x:c r="Q43" s="9" t="n">
        <x:f>IF(D43=1,INDEX(tun_WinterMult,G43),1)</x:f>
        <x:v>1.7</x:v>
      </x:c>
      <x:c r="R43" s="9" t="n">
        <x:f>H43*Z42*tun_WomenShare*tun_BaseFertility*INDEX(tun_FertMult,G43)*Arch_Fertility*(1-P43)</x:f>
        <x:v>0.7151869055172716</x:v>
      </x:c>
      <x:c r="S43" s="9" t="n">
        <x:f>H43*Y42*INDEX(tun_MortChild,G43)/4*Q43</x:f>
        <x:v>0.1893141610568774</x:v>
      </x:c>
      <x:c r="T43" s="9" t="n">
        <x:f>H43*Z42*INDEX(tun_MortAdult,G43)*Arch_AdultMort/4*Q43</x:f>
        <x:v>0.04530953641679745</x:v>
      </x:c>
      <x:c r="U43" s="9" t="n">
        <x:f>H43*AA42*INDEX(tun_MortElder,G43)/4*Q43</x:f>
        <x:v>0.06828299130386976</x:v>
      </x:c>
      <x:c r="V43" s="9" t="n">
        <x:f>H43*MAX(0,AB42-O43)*tun_OvercapLoss</x:f>
        <x:v>0</x:v>
      </x:c>
      <x:c r="W43" s="9" t="n">
        <x:f>H43*Y42/(tun_ChildYears*4)</x:f>
        <x:v>0.24104171257560145</x:v>
      </x:c>
      <x:c r="X43" s="9" t="n">
        <x:f>H43*Z42/(tun_AdultYears*4)</x:f>
        <x:v>0.07816031812454279</x:v>
      </x:c>
      <x:c r="Y43" s="32" t="n">
        <x:f>Y42+R43-S43-W43-Y42*V43/AB42</x:f>
        <x:v>13.783166936118473</x:v>
      </x:c>
      <x:c r="Z43" s="32" t="n">
        <x:f>Z42+W43-X43-T43-Z42*V43/AB42</x:f>
        <x:v>9.809451305477568</x:v>
      </x:c>
      <x:c r="AA43" s="32" t="n">
        <x:f>AA42+X43-U43-AA42*V43/AB42</x:f>
        <x:v>3.041308683263282</x:v>
      </x:c>
      <x:c r="AB43" s="10" t="n">
        <x:f>Y43+Z43+AA43</x:f>
        <x:v>26.633926924859324</x:v>
      </x:c>
      <x:c r="AC43" s="8" t="n">
        <x:f>IF(AND(tun_WinterTrigger=1,D43=1,AB42/AE42&gt;=K43),1,0)</x:f>
        <x:v>0</x:v>
      </x:c>
      <x:c r="AD43" s="8" t="n">
        <x:f>H43*IF(AND(OR(AB42/AE42&gt;=tun_FissionTrigger*N43,AC43=1),AB42/AE42*tun_DaughterShare&gt;=tun_MinDaughter),MAX(1,ROUND(AE42*tun_FissionRate,0)),0)</x:f>
        <x:v>0</x:v>
      </x:c>
      <x:c r="AE43" s="8" t="n">
        <x:f>IF(H43=1,MAX(1,MIN(INDEX(tun_Smax,G43),AE42+AD43)),AE42)</x:f>
        <x:v>2</x:v>
      </x:c>
      <x:c r="AF43" s="8" t="n">
        <x:f>MAX(0,AE43-AE42)</x:f>
        <x:v>0</x:v>
      </x:c>
      <x:c r="AG43" s="9" t="str">
        <x:f>IF(AF43&gt;0,B43,"")</x:f>
      </x:c>
      <x:c r="AH43" s="9" t="n">
        <x:f>IF(F43&gt;=1,1,(1+tun_LowTiesShare*(AE43-1))/AE43)</x:f>
        <x:v>1</x:v>
      </x:c>
      <x:c r="AI43" s="32" t="n">
        <x:f>(Z43+tun_ElderCommons*INDEX(LM_Elder,G43)*AA43)*AH43</x:f>
        <x:v>17.25910572976839</x:v>
      </x:c>
      <x:c r="AJ43" s="32" t="n">
        <x:f>H43*tun_CommonsCoef*AI43^tun_CommonsExp*INDEX(LM_Commons,G43)</x:f>
        <x:v>59.4428287583874</x:v>
      </x:c>
      <x:c r="AK43" s="32" t="n">
        <x:f>H43*tun_RoleScale*Arch_Roles*(AE43*(INDEX(tun_ElderRolePerSett,G43)*tun_OutElder*INDEX(LM_Elder,G43)+INDEX(tun_ShamanPerSett,G43)*tun_OutShaman)+Z43*(INDEX(tun_PriestShare,G43)*tun_OutPriest+INDEX(tun_ScribeShare,G43)*tun_OutScribe*INDEX(LM_Scribe,G43)+INDEX(tun_ScholarShare,G43)*tun_OutScholar*INDEX(LM_Scholar,G43)+INDEX(tun_ResearcherShare,G43)*tun_OutResearcher*INDEX(LM_Researcher,G43)))</x:f>
        <x:v>21.79795897113271</x:v>
      </x:c>
      <x:c r="AL43" s="32" t="n">
        <x:f>H43*tun_RoleScale*Arch_Roles*AE43*INDEX(tun_MonasteryPerSett,G43)*tun_OutMonastery*INDEX(LM_Monastery,G43)</x:f>
        <x:v>0</x:v>
      </x:c>
      <x:c r="AM43" s="32" t="n">
        <x:f>(AJ43+AK43+AL43)/4*INDEX(LM_All,G43)*INDEX(tun_Boon,G43)*Arch_Insight</x:f>
        <x:v>20.817951855689525</x:v>
      </x:c>
      <x:c r="AN43" s="32" t="n">
        <x:f>H43*(tun_KHPerAdult*Z43+tun_KHOfCommons*AJ43/4*INDEX(LM_All,G43))*tun_KHUsable*Arch_KH</x:f>
        <x:v>3.640873261451228</x:v>
      </x:c>
      <x:c r="AO43" s="32" t="n">
        <x:f>MIN(AP42+AN43,AM43*tun_KHMaxRatio)</x:f>
        <x:v>3.640873261451228</x:v>
      </x:c>
      <x:c r="AP43" s="32" t="n">
        <x:f>AP42+AN43-AO43</x:f>
        <x:v>0</x:v>
      </x:c>
      <x:c r="AQ43" s="32" t="n">
        <x:f>AM43+AO43</x:f>
        <x:v>24.458825117140755</x:v>
      </x:c>
      <x:c r="AR43" s="10" t="n">
        <x:f>IF(H43=1,INDEX(tun_Req,G43),0)</x:f>
        <x:v>1075.552</x:v>
      </x:c>
      <x:c r="AS43" s="32" t="n">
        <x:f>IF(H43=1,IF(E43=1,AS42-AR42,AS42)+AQ43,0)</x:f>
        <x:v>218.9666049923314</x:v>
      </x:c>
      <x:c r="AT43" s="11" t="n">
        <x:f>IF(AR43&gt;0,MIN(1,AS43/AR43),1)</x:f>
        <x:v>0.20358532641130456</x:v>
      </x:c>
      <x:c r="AU43" s="10" t="n">
        <x:f>AB43/INDEX(tun_RepScale,G43)</x:f>
        <x:v>26.633926924859324</x:v>
      </x:c>
      <x:c r="AV43" s="32" t="n">
        <x:f>AM43*60/tun_SeasonSeconds</x:f>
        <x:v>83.2718074227581</x:v>
      </x:c>
    </x:row>
    <x:row r="44">
      <x:c r="A44" s="8" t="n">
        <x:f>A43+1</x:f>
        <x:v>41</x:v>
      </x:c>
      <x:c r="B44" s="9" t="n">
        <x:f>A44*tun_SeasonSeconds/60</x:f>
        <x:v>10.25</x:v>
      </x:c>
      <x:c r="C44" s="9" t="n">
        <x:f>A44/4</x:f>
        <x:v>10.25</x:v>
      </x:c>
      <x:c r="D44" s="8" t="n">
        <x:f>IF(MOD(A44,4)=0,1,0)</x:f>
        <x:v>0</x:v>
      </x:c>
      <x:c r="E44" s="8" t="n">
        <x:f>IF(AND(F43&lt;=9,AS43&gt;=AR43),1,0)</x:f>
        <x:v>0</x:v>
      </x:c>
      <x:c r="F44" s="8" t="n">
        <x:f>MIN(10,F43+E44)</x:f>
        <x:v>1</x:v>
      </x:c>
      <x:c r="G44" s="8" t="n">
        <x:f>MIN(F44,9)+1</x:f>
        <x:v>2</x:v>
      </x:c>
      <x:c r="H44" s="8" t="n">
        <x:f>IF(F44&lt;=9,1,0)</x:f>
        <x:v>1</x:v>
      </x:c>
      <x:c r="I44" s="9" t="n">
        <x:f>MIN(10,F43+IF(AR43&gt;0,MIN(1,AS43/AR43),1))</x:f>
        <x:v>1.2035853264113046</x:v>
      </x:c>
      <x:c r="J44" s="32" t="n">
        <x:f>INDEX(tun_FoodCap,G44)*Arch_FoodCap*EXP(tun_CapsByProject*SUMPRODUCT((Cap_Point&lt;=I44)*(Cap_Kind="Food")*Cap_Ln))</x:f>
        <x:v>28.18816000000001</x:v>
      </x:c>
      <x:c r="K44" s="32" t="n">
        <x:f>J44*MIN(1,tun_LeanBase*EXP(tun_CapsByProject*SUMPRODUCT((Cap_Point&lt;=I44)*(Cap_Kind="Lean")*Cap_Ln)))</x:f>
        <x:v>21.70488320000001</x:v>
      </x:c>
      <x:c r="L44" s="10" t="n">
        <x:f>INDEX(tun_HousingCap,G44)*EXP(tun_CapsByProject*SUMPRODUCT((Cap_Point&lt;=I44)*(Cap_Kind="Housing")*Cap_Ln))</x:f>
        <x:v>50</x:v>
      </x:c>
      <x:c r="M44" s="10" t="n">
        <x:f>INDEX(tun_GroupCap,G44)*tun_CohesionFactor*EXP(tun_CapsByProject*SUMPRODUCT((Cap_Point&lt;=I44)*(Cap_Kind="Group")*Cap_Ln))</x:f>
        <x:v>35</x:v>
      </x:c>
      <x:c r="N44" s="32" t="n">
        <x:f>MIN(J44,L44,M44)</x:f>
        <x:v>28.18816000000001</x:v>
      </x:c>
      <x:c r="O44" s="10" t="n">
        <x:f>AE43*N44</x:f>
        <x:v>56.37632000000002</x:v>
      </x:c>
      <x:c r="P44" s="9" t="n">
        <x:f>MIN(1,(AB43/(AE43*IF(tun_GroupInCrowding=1,N44,MIN(J44,L44))))^tun_CrowdingExp)</x:f>
        <x:v>0.01111810781997476</x:v>
      </x:c>
      <x:c r="Q44" s="9" t="n">
        <x:f>IF(D44=1,INDEX(tun_WinterMult,G44),1)</x:f>
        <x:v>1</x:v>
      </x:c>
      <x:c r="R44" s="9" t="n">
        <x:f>H44*Z43*tun_WomenShare*tun_BaseFertility*INDEX(tun_FertMult,G44)*Arch_Fertility*(1-P44)</x:f>
        <x:v>0.7251040604235836</x:v>
      </x:c>
      <x:c r="S44" s="9" t="n">
        <x:f>H44*Y43*INDEX(tun_MortChild,G44)/4*Q44</x:f>
        <x:v>0.11371112722297741</x:v>
      </x:c>
      <x:c r="T44" s="9" t="n">
        <x:f>H44*Z43*INDEX(tun_MortAdult,G44)*Arch_AdultMort/4*Q44</x:f>
        <x:v>0.02697599109006331</x:v>
      </x:c>
      <x:c r="U44" s="9" t="n">
        <x:f>H44*AA43*INDEX(tun_MortElder,G44)/4*Q44</x:f>
        <x:v>0.040297340053238484</x:v>
      </x:c>
      <x:c r="V44" s="9" t="n">
        <x:f>H44*MAX(0,AB43-O44)*tun_OvercapLoss</x:f>
        <x:v>0</x:v>
      </x:c>
      <x:c r="W44" s="9" t="n">
        <x:f>H44*Y43/(tun_ChildYears*4)</x:f>
        <x:v>0.24612798100211558</x:v>
      </x:c>
      <x:c r="X44" s="9" t="n">
        <x:f>H44*Z43/(tun_AdultYears*4)</x:f>
        <x:v>0.07910847826998038</x:v>
      </x:c>
      <x:c r="Y44" s="32" t="n">
        <x:f>Y43+R44-S44-W44-Y43*V44/AB43</x:f>
        <x:v>14.148431888316964</x:v>
      </x:c>
      <x:c r="Z44" s="32" t="n">
        <x:f>Z43+W44-X44-T44-Z43*V44/AB43</x:f>
        <x:v>9.949494817119641</x:v>
      </x:c>
      <x:c r="AA44" s="32" t="n">
        <x:f>AA43+X44-U44-AA43*V44/AB43</x:f>
        <x:v>3.0801198214800234</x:v>
      </x:c>
      <x:c r="AB44" s="10" t="n">
        <x:f>Y44+Z44+AA44</x:f>
        <x:v>27.17804652691663</x:v>
      </x:c>
      <x:c r="AC44" s="8" t="n">
        <x:f>IF(AND(tun_WinterTrigger=1,D44=1,AB43/AE43&gt;=K44),1,0)</x:f>
        <x:v>0</x:v>
      </x:c>
      <x:c r="AD44" s="8" t="n">
        <x:f>H44*IF(AND(OR(AB43/AE43&gt;=tun_FissionTrigger*N44,AC44=1),AB43/AE43*tun_DaughterShare&gt;=tun_MinDaughter),MAX(1,ROUND(AE43*tun_FissionRate,0)),0)</x:f>
        <x:v>0</x:v>
      </x:c>
      <x:c r="AE44" s="8" t="n">
        <x:f>IF(H44=1,MAX(1,MIN(INDEX(tun_Smax,G44),AE43+AD44)),AE43)</x:f>
        <x:v>2</x:v>
      </x:c>
      <x:c r="AF44" s="8" t="n">
        <x:f>MAX(0,AE44-AE43)</x:f>
        <x:v>0</x:v>
      </x:c>
      <x:c r="AG44" s="9" t="str">
        <x:f>IF(AF44&gt;0,B44,"")</x:f>
      </x:c>
      <x:c r="AH44" s="9" t="n">
        <x:f>IF(F44&gt;=1,1,(1+tun_LowTiesShare*(AE44-1))/AE44)</x:f>
        <x:v>1</x:v>
      </x:c>
      <x:c r="AI44" s="32" t="n">
        <x:f>(Z44+tun_ElderCommons*INDEX(LM_Elder,G44)*AA44)*AH44</x:f>
        <x:v>17.494216726378113</x:v>
      </x:c>
      <x:c r="AJ44" s="32" t="n">
        <x:f>H44*tun_CommonsCoef*AI44^tun_CommonsExp*INDEX(LM_Commons,G44)</x:f>
        <x:v>60.13042170337091</x:v>
      </x:c>
      <x:c r="AK44" s="32" t="n">
        <x:f>H44*tun_RoleScale*Arch_Roles*(AE44*(INDEX(tun_ElderRolePerSett,G44)*tun_OutElder*INDEX(LM_Elder,G44)+INDEX(tun_ShamanPerSett,G44)*tun_OutShaman)+Z44*(INDEX(tun_PriestShare,G44)*tun_OutPriest+INDEX(tun_ScribeShare,G44)*tun_OutScribe*INDEX(LM_Scribe,G44)+INDEX(tun_ScholarShare,G44)*tun_OutScholar*INDEX(LM_Scholar,G44)+INDEX(tun_ResearcherShare,G44)*tun_OutResearcher*INDEX(LM_Researcher,G44)))</x:f>
        <x:v>21.79795897113271</x:v>
      </x:c>
      <x:c r="AL44" s="32" t="n">
        <x:f>H44*tun_RoleScale*Arch_Roles*AE44*INDEX(tun_MonasteryPerSett,G44)*tun_OutMonastery*INDEX(LM_Monastery,G44)</x:f>
        <x:v>0</x:v>
      </x:c>
      <x:c r="AM44" s="32" t="n">
        <x:f>(AJ44+AK44+AL44)/4*INDEX(LM_All,G44)*INDEX(tun_Boon,G44)*Arch_Insight</x:f>
        <x:v>20.99414754784155</x:v>
      </x:c>
      <x:c r="AN44" s="32" t="n">
        <x:f>H44*(tun_KHPerAdult*Z44+tun_KHOfCommons*AJ44/4*INDEX(LM_All,G44))*tun_KHUsable*Arch_KH</x:f>
        <x:v>3.6829883293314674</x:v>
      </x:c>
      <x:c r="AO44" s="32" t="n">
        <x:f>MIN(AP43+AN44,AM44*tun_KHMaxRatio)</x:f>
        <x:v>3.6829883293314674</x:v>
      </x:c>
      <x:c r="AP44" s="32" t="n">
        <x:f>AP43+AN44-AO44</x:f>
        <x:v>0</x:v>
      </x:c>
      <x:c r="AQ44" s="32" t="n">
        <x:f>AM44+AO44</x:f>
        <x:v>24.67713587717302</x:v>
      </x:c>
      <x:c r="AR44" s="10" t="n">
        <x:f>IF(H44=1,INDEX(tun_Req,G44),0)</x:f>
        <x:v>1075.552</x:v>
      </x:c>
      <x:c r="AS44" s="32" t="n">
        <x:f>IF(H44=1,IF(E44=1,AS43-AR43,AS43)+AQ44,0)</x:f>
        <x:v>243.64374086950443</x:v>
      </x:c>
      <x:c r="AT44" s="11" t="n">
        <x:f>IF(AR44&gt;0,MIN(1,AS44/AR44),1)</x:f>
        <x:v>0.22652902032584613</x:v>
      </x:c>
      <x:c r="AU44" s="10" t="n">
        <x:f>AB44/INDEX(tun_RepScale,G44)</x:f>
        <x:v>27.17804652691663</x:v>
      </x:c>
      <x:c r="AV44" s="32" t="n">
        <x:f>AM44*60/tun_SeasonSeconds</x:f>
        <x:v>83.97659019136621</x:v>
      </x:c>
    </x:row>
    <x:row r="45">
      <x:c r="A45" s="8" t="n">
        <x:f>A44+1</x:f>
        <x:v>42</x:v>
      </x:c>
      <x:c r="B45" s="9" t="n">
        <x:f>A45*tun_SeasonSeconds/60</x:f>
        <x:v>10.5</x:v>
      </x:c>
      <x:c r="C45" s="9" t="n">
        <x:f>A45/4</x:f>
        <x:v>10.5</x:v>
      </x:c>
      <x:c r="D45" s="8" t="n">
        <x:f>IF(MOD(A45,4)=0,1,0)</x:f>
        <x:v>0</x:v>
      </x:c>
      <x:c r="E45" s="8" t="n">
        <x:f>IF(AND(F44&lt;=9,AS44&gt;=AR44),1,0)</x:f>
        <x:v>0</x:v>
      </x:c>
      <x:c r="F45" s="8" t="n">
        <x:f>MIN(10,F44+E45)</x:f>
        <x:v>1</x:v>
      </x:c>
      <x:c r="G45" s="8" t="n">
        <x:f>MIN(F45,9)+1</x:f>
        <x:v>2</x:v>
      </x:c>
      <x:c r="H45" s="8" t="n">
        <x:f>IF(F45&lt;=9,1,0)</x:f>
        <x:v>1</x:v>
      </x:c>
      <x:c r="I45" s="9" t="n">
        <x:f>MIN(10,F44+IF(AR44&gt;0,MIN(1,AS44/AR44),1))</x:f>
        <x:v>1.226529020325846</x:v>
      </x:c>
      <x:c r="J45" s="32" t="n">
        <x:f>INDEX(tun_FoodCap,G45)*Arch_FoodCap*EXP(tun_CapsByProject*SUMPRODUCT((Cap_Point&lt;=I45)*(Cap_Kind="Food")*Cap_Ln))</x:f>
        <x:v>28.18816000000001</x:v>
      </x:c>
      <x:c r="K45" s="32" t="n">
        <x:f>J45*MIN(1,tun_LeanBase*EXP(tun_CapsByProject*SUMPRODUCT((Cap_Point&lt;=I45)*(Cap_Kind="Lean")*Cap_Ln)))</x:f>
        <x:v>21.70488320000001</x:v>
      </x:c>
      <x:c r="L45" s="10" t="n">
        <x:f>INDEX(tun_HousingCap,G45)*EXP(tun_CapsByProject*SUMPRODUCT((Cap_Point&lt;=I45)*(Cap_Kind="Housing")*Cap_Ln))</x:f>
        <x:v>50</x:v>
      </x:c>
      <x:c r="M45" s="10" t="n">
        <x:f>INDEX(tun_GroupCap,G45)*tun_CohesionFactor*EXP(tun_CapsByProject*SUMPRODUCT((Cap_Point&lt;=I45)*(Cap_Kind="Group")*Cap_Ln))</x:f>
        <x:v>35</x:v>
      </x:c>
      <x:c r="N45" s="32" t="n">
        <x:f>MIN(J45,L45,M45)</x:f>
        <x:v>28.18816000000001</x:v>
      </x:c>
      <x:c r="O45" s="10" t="n">
        <x:f>AE44*N45</x:f>
        <x:v>56.37632000000002</x:v>
      </x:c>
      <x:c r="P45" s="9" t="n">
        <x:f>MIN(1,(AB44/(AE44*IF(tun_GroupInCrowding=1,N45,MIN(J45,L45))))^tun_CrowdingExp)</x:f>
        <x:v>0.01255246690584903</x:v>
      </x:c>
      <x:c r="Q45" s="9" t="n">
        <x:f>IF(D45=1,INDEX(tun_WinterMult,G45),1)</x:f>
        <x:v>1</x:v>
      </x:c>
      <x:c r="R45" s="9" t="n">
        <x:f>H45*Z44*tun_WomenShare*tun_BaseFertility*INDEX(tun_FertMult,G45)*Arch_Fertility*(1-P45)</x:f>
        <x:v>0.7343891574241628</x:v>
      </x:c>
      <x:c r="S45" s="9" t="n">
        <x:f>H45*Y44*INDEX(tun_MortChild,G45)/4*Q45</x:f>
        <x:v>0.11672456307861495</x:v>
      </x:c>
      <x:c r="T45" s="9" t="n">
        <x:f>H45*Z44*INDEX(tun_MortAdult,G45)*Arch_AdultMort/4*Q45</x:f>
        <x:v>0.02736111074707901</x:v>
      </x:c>
      <x:c r="U45" s="9" t="n">
        <x:f>H45*AA44*INDEX(tun_MortElder,G45)/4*Q45</x:f>
        <x:v>0.04081158763461031</x:v>
      </x:c>
      <x:c r="V45" s="9" t="n">
        <x:f>H45*MAX(0,AB44-O45)*tun_OvercapLoss</x:f>
        <x:v>0</x:v>
      </x:c>
      <x:c r="W45" s="9" t="n">
        <x:f>H45*Y44/(tun_ChildYears*4)</x:f>
        <x:v>0.2526505694342315</x:v>
      </x:c>
      <x:c r="X45" s="9" t="n">
        <x:f>H45*Z44/(tun_AdultYears*4)</x:f>
        <x:v>0.0802378614283842</x:v>
      </x:c>
      <x:c r="Y45" s="32" t="n">
        <x:f>Y44+R45-S45-W45-Y44*V45/AB44</x:f>
        <x:v>14.51344591322828</x:v>
      </x:c>
      <x:c r="Z45" s="32" t="n">
        <x:f>Z44+W45-X45-T45-Z44*V45/AB44</x:f>
        <x:v>10.09454641437841</x:v>
      </x:c>
      <x:c r="AA45" s="32" t="n">
        <x:f>AA44+X45-U45-AA44*V45/AB44</x:f>
        <x:v>3.119546095273797</x:v>
      </x:c>
      <x:c r="AB45" s="10" t="n">
        <x:f>Y45+Z45+AA45</x:f>
        <x:v>27.727538422880485</x:v>
      </x:c>
      <x:c r="AC45" s="8" t="n">
        <x:f>IF(AND(tun_WinterTrigger=1,D45=1,AB44/AE44&gt;=K45),1,0)</x:f>
        <x:v>0</x:v>
      </x:c>
      <x:c r="AD45" s="8" t="n">
        <x:f>H45*IF(AND(OR(AB44/AE44&gt;=tun_FissionTrigger*N45,AC45=1),AB44/AE44*tun_DaughterShare&gt;=tun_MinDaughter),MAX(1,ROUND(AE44*tun_FissionRate,0)),0)</x:f>
        <x:v>0</x:v>
      </x:c>
      <x:c r="AE45" s="8" t="n">
        <x:f>IF(H45=1,MAX(1,MIN(INDEX(tun_Smax,G45),AE44+AD45)),AE44)</x:f>
        <x:v>2</x:v>
      </x:c>
      <x:c r="AF45" s="8" t="n">
        <x:f>MAX(0,AE45-AE44)</x:f>
        <x:v>0</x:v>
      </x:c>
      <x:c r="AG45" s="9" t="str">
        <x:f>IF(AF45&gt;0,B45,"")</x:f>
      </x:c>
      <x:c r="AH45" s="9" t="n">
        <x:f>IF(F45&gt;=1,1,(1+tun_LowTiesShare*(AE45-1))/AE45)</x:f>
        <x:v>1</x:v>
      </x:c>
      <x:c r="AI45" s="32" t="n">
        <x:f>(Z45+tun_ElderCommons*INDEX(LM_Elder,G45)*AA45)*AH45</x:f>
        <x:v>17.73584257689089</x:v>
      </x:c>
      <x:c r="AJ45" s="32" t="n">
        <x:f>H45*tun_CommonsCoef*AI45^tun_CommonsExp*INDEX(LM_Commons,G45)</x:f>
        <x:v>60.835624984900306</x:v>
      </x:c>
      <x:c r="AK45" s="32" t="n">
        <x:f>H45*tun_RoleScale*Arch_Roles*(AE45*(INDEX(tun_ElderRolePerSett,G45)*tun_OutElder*INDEX(LM_Elder,G45)+INDEX(tun_ShamanPerSett,G45)*tun_OutShaman)+Z45*(INDEX(tun_PriestShare,G45)*tun_OutPriest+INDEX(tun_ScribeShare,G45)*tun_OutScribe*INDEX(LM_Scribe,G45)+INDEX(tun_ScholarShare,G45)*tun_OutScholar*INDEX(LM_Scholar,G45)+INDEX(tun_ResearcherShare,G45)*tun_OutResearcher*INDEX(LM_Researcher,G45)))</x:f>
        <x:v>21.79795897113271</x:v>
      </x:c>
      <x:c r="AL45" s="32" t="n">
        <x:f>H45*tun_RoleScale*Arch_Roles*AE45*INDEX(tun_MonasteryPerSett,G45)*tun_OutMonastery*INDEX(LM_Monastery,G45)</x:f>
        <x:v>0</x:v>
      </x:c>
      <x:c r="AM45" s="32" t="n">
        <x:f>(AJ45+AK45+AL45)/4*INDEX(LM_All,G45)*INDEX(tun_Boon,G45)*Arch_Insight</x:f>
        <x:v>21.17485588873346</x:v>
      </x:c>
      <x:c r="AN45" s="32" t="n">
        <x:f>H45*(tun_KHPerAdult*Z45+tun_KHOfCommons*AJ45/4*INDEX(LM_All,G45))*tun_KHUsable*Arch_KH</x:f>
        <x:v>3.726182030325143</x:v>
      </x:c>
      <x:c r="AO45" s="32" t="n">
        <x:f>MIN(AP44+AN45,AM45*tun_KHMaxRatio)</x:f>
        <x:v>3.726182030325143</x:v>
      </x:c>
      <x:c r="AP45" s="32" t="n">
        <x:f>AP44+AN45-AO45</x:f>
        <x:v>0</x:v>
      </x:c>
      <x:c r="AQ45" s="32" t="n">
        <x:f>AM45+AO45</x:f>
        <x:v>24.901037919058602</x:v>
      </x:c>
      <x:c r="AR45" s="10" t="n">
        <x:f>IF(H45=1,INDEX(tun_Req,G45),0)</x:f>
        <x:v>1075.552</x:v>
      </x:c>
      <x:c r="AS45" s="32" t="n">
        <x:f>IF(H45=1,IF(E45=1,AS44-AR44,AS44)+AQ45,0)</x:f>
        <x:v>268.544778788563</x:v>
      </x:c>
      <x:c r="AT45" s="11" t="n">
        <x:f>IF(AR45&gt;0,MIN(1,AS45/AR45),1)</x:f>
        <x:v>0.24968088831461707</x:v>
      </x:c>
      <x:c r="AU45" s="10" t="n">
        <x:f>AB45/INDEX(tun_RepScale,G45)</x:f>
        <x:v>27.727538422880485</x:v>
      </x:c>
      <x:c r="AV45" s="32" t="n">
        <x:f>AM45*60/tun_SeasonSeconds</x:f>
        <x:v>84.69942355493384</x:v>
      </x:c>
    </x:row>
    <x:row r="46">
      <x:c r="A46" s="8" t="n">
        <x:f>A45+1</x:f>
        <x:v>43</x:v>
      </x:c>
      <x:c r="B46" s="9" t="n">
        <x:f>A46*tun_SeasonSeconds/60</x:f>
        <x:v>10.75</x:v>
      </x:c>
      <x:c r="C46" s="9" t="n">
        <x:f>A46/4</x:f>
        <x:v>10.75</x:v>
      </x:c>
      <x:c r="D46" s="8" t="n">
        <x:f>IF(MOD(A46,4)=0,1,0)</x:f>
        <x:v>0</x:v>
      </x:c>
      <x:c r="E46" s="8" t="n">
        <x:f>IF(AND(F45&lt;=9,AS45&gt;=AR45),1,0)</x:f>
        <x:v>0</x:v>
      </x:c>
      <x:c r="F46" s="8" t="n">
        <x:f>MIN(10,F45+E46)</x:f>
        <x:v>1</x:v>
      </x:c>
      <x:c r="G46" s="8" t="n">
        <x:f>MIN(F46,9)+1</x:f>
        <x:v>2</x:v>
      </x:c>
      <x:c r="H46" s="8" t="n">
        <x:f>IF(F46&lt;=9,1,0)</x:f>
        <x:v>1</x:v>
      </x:c>
      <x:c r="I46" s="9" t="n">
        <x:f>MIN(10,F45+IF(AR45&gt;0,MIN(1,AS45/AR45),1))</x:f>
        <x:v>1.249680888314617</x:v>
      </x:c>
      <x:c r="J46" s="32" t="n">
        <x:f>INDEX(tun_FoodCap,G46)*Arch_FoodCap*EXP(tun_CapsByProject*SUMPRODUCT((Cap_Point&lt;=I46)*(Cap_Kind="Food")*Cap_Ln))</x:f>
        <x:v>28.18816000000001</x:v>
      </x:c>
      <x:c r="K46" s="32" t="n">
        <x:f>J46*MIN(1,tun_LeanBase*EXP(tun_CapsByProject*SUMPRODUCT((Cap_Point&lt;=I46)*(Cap_Kind="Lean")*Cap_Ln)))</x:f>
        <x:v>21.70488320000001</x:v>
      </x:c>
      <x:c r="L46" s="10" t="n">
        <x:f>INDEX(tun_HousingCap,G46)*EXP(tun_CapsByProject*SUMPRODUCT((Cap_Point&lt;=I46)*(Cap_Kind="Housing")*Cap_Ln))</x:f>
        <x:v>50</x:v>
      </x:c>
      <x:c r="M46" s="10" t="n">
        <x:f>INDEX(tun_GroupCap,G46)*tun_CohesionFactor*EXP(tun_CapsByProject*SUMPRODUCT((Cap_Point&lt;=I46)*(Cap_Kind="Group")*Cap_Ln))</x:f>
        <x:v>35</x:v>
      </x:c>
      <x:c r="N46" s="32" t="n">
        <x:f>MIN(J46,L46,M46)</x:f>
        <x:v>28.18816000000001</x:v>
      </x:c>
      <x:c r="O46" s="10" t="n">
        <x:f>AE45*N46</x:f>
        <x:v>56.37632000000002</x:v>
      </x:c>
      <x:c r="P46" s="9" t="n">
        <x:f>MIN(1,(AB45/(AE45*IF(tun_GroupInCrowding=1,N46,MIN(J46,L46))))^tun_CrowdingExp)</x:f>
        <x:v>0.01415427251804034</x:v>
      </x:c>
      <x:c r="Q46" s="9" t="n">
        <x:f>IF(D46=1,INDEX(tun_WinterMult,G46),1)</x:f>
        <x:v>1</x:v>
      </x:c>
      <x:c r="R46" s="9" t="n">
        <x:f>H46*Z45*tun_WomenShare*tun_BaseFertility*INDEX(tun_FertMult,G46)*Arch_Fertility*(1-P46)</x:f>
        <x:v>0.7438869926478759</x:v>
      </x:c>
      <x:c r="S46" s="9" t="n">
        <x:f>H46*Y45*INDEX(tun_MortChild,G46)/4*Q46</x:f>
        <x:v>0.11973592878413332</x:v>
      </x:c>
      <x:c r="T46" s="9" t="n">
        <x:f>H46*Z45*INDEX(tun_MortAdult,G46)*Arch_AdultMort/4*Q46</x:f>
        <x:v>0.027760002639540628</x:v>
      </x:c>
      <x:c r="U46" s="9" t="n">
        <x:f>H46*AA45*INDEX(tun_MortElder,G46)/4*Q46</x:f>
        <x:v>0.04133398576237781</x:v>
      </x:c>
      <x:c r="V46" s="9" t="n">
        <x:f>H46*MAX(0,AB45-O46)*tun_OvercapLoss</x:f>
        <x:v>0</x:v>
      </x:c>
      <x:c r="W46" s="9" t="n">
        <x:f>H46*Y45/(tun_ChildYears*4)</x:f>
        <x:v>0.2591686770219336</x:v>
      </x:c>
      <x:c r="X46" s="9" t="n">
        <x:f>H46*Z45/(tun_AdultYears*4)</x:f>
        <x:v>0.08140763237401943</x:v>
      </x:c>
      <x:c r="Y46" s="32" t="n">
        <x:f>Y45+R46-S46-W46-Y45*V46/AB45</x:f>
        <x:v>14.87842830007009</x:v>
      </x:c>
      <x:c r="Z46" s="32" t="n">
        <x:f>Z45+W46-X46-T46-Z45*V46/AB45</x:f>
        <x:v>10.244547456386783</x:v>
      </x:c>
      <x:c r="AA46" s="32" t="n">
        <x:f>AA45+X46-U46-AA45*V46/AB45</x:f>
        <x:v>3.1596197418854386</x:v>
      </x:c>
      <x:c r="AB46" s="10" t="n">
        <x:f>Y46+Z46+AA46</x:f>
        <x:v>28.282595498342314</x:v>
      </x:c>
      <x:c r="AC46" s="8" t="n">
        <x:f>IF(AND(tun_WinterTrigger=1,D46=1,AB45/AE45&gt;=K46),1,0)</x:f>
        <x:v>0</x:v>
      </x:c>
      <x:c r="AD46" s="8" t="n">
        <x:f>H46*IF(AND(OR(AB45/AE45&gt;=tun_FissionTrigger*N46,AC46=1),AB45/AE45*tun_DaughterShare&gt;=tun_MinDaughter),MAX(1,ROUND(AE45*tun_FissionRate,0)),0)</x:f>
        <x:v>0</x:v>
      </x:c>
      <x:c r="AE46" s="8" t="n">
        <x:f>IF(H46=1,MAX(1,MIN(INDEX(tun_Smax,G46),AE45+AD46)),AE45)</x:f>
        <x:v>2</x:v>
      </x:c>
      <x:c r="AF46" s="8" t="n">
        <x:f>MAX(0,AE46-AE45)</x:f>
        <x:v>0</x:v>
      </x:c>
      <x:c r="AG46" s="9" t="str">
        <x:f>IF(AF46&gt;0,B46,"")</x:f>
      </x:c>
      <x:c r="AH46" s="9" t="n">
        <x:f>IF(F46&gt;=1,1,(1+tun_LowTiesShare*(AE46-1))/AE46)</x:f>
        <x:v>1</x:v>
      </x:c>
      <x:c r="AI46" s="32" t="n">
        <x:f>(Z46+tun_ElderCommons*INDEX(LM_Elder,G46)*AA46)*AH46</x:f>
        <x:v>17.9840036052304</x:v>
      </x:c>
      <x:c r="AJ46" s="32" t="n">
        <x:f>H46*tun_CommonsCoef*AI46^tun_CommonsExp*INDEX(LM_Commons,G46)</x:f>
        <x:v>61.55840326514827</x:v>
      </x:c>
      <x:c r="AK46" s="32" t="n">
        <x:f>H46*tun_RoleScale*Arch_Roles*(AE46*(INDEX(tun_ElderRolePerSett,G46)*tun_OutElder*INDEX(LM_Elder,G46)+INDEX(tun_ShamanPerSett,G46)*tun_OutShaman)+Z46*(INDEX(tun_PriestShare,G46)*tun_OutPriest+INDEX(tun_ScribeShare,G46)*tun_OutScribe*INDEX(LM_Scribe,G46)+INDEX(tun_ScholarShare,G46)*tun_OutScholar*INDEX(LM_Scholar,G46)+INDEX(tun_ResearcherShare,G46)*tun_OutResearcher*INDEX(LM_Researcher,G46)))</x:f>
        <x:v>21.79795897113271</x:v>
      </x:c>
      <x:c r="AL46" s="32" t="n">
        <x:f>H46*tun_RoleScale*Arch_Roles*AE46*INDEX(tun_MonasteryPerSett,G46)*tun_OutMonastery*INDEX(LM_Monastery,G46)</x:f>
        <x:v>0</x:v>
      </x:c>
      <x:c r="AM46" s="32" t="n">
        <x:f>(AJ46+AK46+AL46)/4*INDEX(LM_All,G46)*INDEX(tun_Boon,G46)*Arch_Insight</x:f>
        <x:v>21.360067823047</x:v>
      </x:c>
      <x:c r="AN46" s="32" t="n">
        <x:f>H46*(tun_KHPerAdult*Z46+tun_KHOfCommons*AJ46/4*INDEX(LM_All,G46))*tun_KHUsable*Arch_KH</x:f>
        <x:v>3.7704521999903315</x:v>
      </x:c>
      <x:c r="AO46" s="32" t="n">
        <x:f>MIN(AP45+AN46,AM46*tun_KHMaxRatio)</x:f>
        <x:v>3.7704521999903315</x:v>
      </x:c>
      <x:c r="AP46" s="32" t="n">
        <x:f>AP45+AN46-AO46</x:f>
        <x:v>0</x:v>
      </x:c>
      <x:c r="AQ46" s="32" t="n">
        <x:f>AM46+AO46</x:f>
        <x:v>25.13052002303733</x:v>
      </x:c>
      <x:c r="AR46" s="10" t="n">
        <x:f>IF(H46=1,INDEX(tun_Req,G46),0)</x:f>
        <x:v>1075.552</x:v>
      </x:c>
      <x:c r="AS46" s="32" t="n">
        <x:f>IF(H46=1,IF(E46=1,AS45-AR45,AS45)+AQ46,0)</x:f>
        <x:v>293.6752988116003</x:v>
      </x:c>
      <x:c r="AT46" s="11" t="n">
        <x:f>IF(AR46&gt;0,MIN(1,AS46/AR46),1)</x:f>
        <x:v>0.2730461184690283</x:v>
      </x:c>
      <x:c r="AU46" s="10" t="n">
        <x:f>AB46/INDEX(tun_RepScale,G46)</x:f>
        <x:v>28.282595498342314</x:v>
      </x:c>
      <x:c r="AV46" s="32" t="n">
        <x:f>AM46*60/tun_SeasonSeconds</x:f>
        <x:v>85.440271292188</x:v>
      </x:c>
    </x:row>
    <x:row r="47">
      <x:c r="A47" s="8" t="n">
        <x:f>A46+1</x:f>
        <x:v>44</x:v>
      </x:c>
      <x:c r="B47" s="9" t="n">
        <x:f>A47*tun_SeasonSeconds/60</x:f>
        <x:v>11</x:v>
      </x:c>
      <x:c r="C47" s="9" t="n">
        <x:f>A47/4</x:f>
        <x:v>11</x:v>
      </x:c>
      <x:c r="D47" s="8" t="n">
        <x:f>IF(MOD(A47,4)=0,1,0)</x:f>
        <x:v>1</x:v>
      </x:c>
      <x:c r="E47" s="8" t="n">
        <x:f>IF(AND(F46&lt;=9,AS46&gt;=AR46),1,0)</x:f>
        <x:v>0</x:v>
      </x:c>
      <x:c r="F47" s="8" t="n">
        <x:f>MIN(10,F46+E47)</x:f>
        <x:v>1</x:v>
      </x:c>
      <x:c r="G47" s="8" t="n">
        <x:f>MIN(F47,9)+1</x:f>
        <x:v>2</x:v>
      </x:c>
      <x:c r="H47" s="8" t="n">
        <x:f>IF(F47&lt;=9,1,0)</x:f>
        <x:v>1</x:v>
      </x:c>
      <x:c r="I47" s="9" t="n">
        <x:f>MIN(10,F46+IF(AR46&gt;0,MIN(1,AS46/AR46),1))</x:f>
        <x:v>1.2730461184690283</x:v>
      </x:c>
      <x:c r="J47" s="32" t="n">
        <x:f>INDEX(tun_FoodCap,G47)*Arch_FoodCap*EXP(tun_CapsByProject*SUMPRODUCT((Cap_Point&lt;=I47)*(Cap_Kind="Food")*Cap_Ln))</x:f>
        <x:v>28.18816000000001</x:v>
      </x:c>
      <x:c r="K47" s="32" t="n">
        <x:f>J47*MIN(1,tun_LeanBase*EXP(tun_CapsByProject*SUMPRODUCT((Cap_Point&lt;=I47)*(Cap_Kind="Lean")*Cap_Ln)))</x:f>
        <x:v>21.70488320000001</x:v>
      </x:c>
      <x:c r="L47" s="10" t="n">
        <x:f>INDEX(tun_HousingCap,G47)*EXP(tun_CapsByProject*SUMPRODUCT((Cap_Point&lt;=I47)*(Cap_Kind="Housing")*Cap_Ln))</x:f>
        <x:v>60</x:v>
      </x:c>
      <x:c r="M47" s="10" t="n">
        <x:f>INDEX(tun_GroupCap,G47)*tun_CohesionFactor*EXP(tun_CapsByProject*SUMPRODUCT((Cap_Point&lt;=I47)*(Cap_Kind="Group")*Cap_Ln))</x:f>
        <x:v>35</x:v>
      </x:c>
      <x:c r="N47" s="32" t="n">
        <x:f>MIN(J47,L47,M47)</x:f>
        <x:v>28.18816000000001</x:v>
      </x:c>
      <x:c r="O47" s="10" t="n">
        <x:f>AE46*N47</x:f>
        <x:v>56.37632000000002</x:v>
      </x:c>
      <x:c r="P47" s="9" t="n">
        <x:f>MIN(1,(AB46/(AE46*IF(tun_GroupInCrowding=1,N47,MIN(J47,L47))))^tun_CrowdingExp)</x:f>
        <x:v>0.015941722010327085</x:v>
      </x:c>
      <x:c r="Q47" s="9" t="n">
        <x:f>IF(D47=1,INDEX(tun_WinterMult,G47),1)</x:f>
        <x:v>1.7</x:v>
      </x:c>
      <x:c r="R47" s="9" t="n">
        <x:f>H47*Z46*tun_WomenShare*tun_BaseFertility*INDEX(tun_FertMult,G47)*Arch_Fertility*(1-P47)</x:f>
        <x:v>0.7535720717214809</x:v>
      </x:c>
      <x:c r="S47" s="9" t="n">
        <x:f>H47*Y46*INDEX(tun_MortChild,G47)/4*Q47</x:f>
        <x:v>0.208669956908483</x:v>
      </x:c>
      <x:c r="T47" s="9" t="n">
        <x:f>H47*Z46*INDEX(tun_MortAdult,G47)*Arch_AdultMort/4*Q47</x:f>
        <x:v>0.047893259358608206</x:v>
      </x:c>
      <x:c r="U47" s="9" t="n">
        <x:f>H47*AA46*INDEX(tun_MortElder,G47)/4*Q47</x:f>
        <x:v>0.07117043468596951</x:v>
      </x:c>
      <x:c r="V47" s="9" t="n">
        <x:f>H47*MAX(0,AB46-O47)*tun_OvercapLoss</x:f>
        <x:v>0</x:v>
      </x:c>
      <x:c r="W47" s="9" t="n">
        <x:f>H47*Y46/(tun_ChildYears*4)</x:f>
        <x:v>0.2656862196441087</x:v>
      </x:c>
      <x:c r="X47" s="9" t="n">
        <x:f>H47*Z46/(tun_AdultYears*4)</x:f>
        <x:v>0.08261731819666761</x:v>
      </x:c>
      <x:c r="Y47" s="32" t="n">
        <x:f>Y46+R47-S47-W47-Y46*V47/AB46</x:f>
        <x:v>15.157644195238978</x:v>
      </x:c>
      <x:c r="Z47" s="32" t="n">
        <x:f>Z46+W47-X47-T47-Z46*V47/AB46</x:f>
        <x:v>10.379723098475615</x:v>
      </x:c>
      <x:c r="AA47" s="32" t="n">
        <x:f>AA46+X47-U47-AA46*V47/AB46</x:f>
        <x:v>3.171066625396137</x:v>
      </x:c>
      <x:c r="AB47" s="10" t="n">
        <x:f>Y47+Z47+AA47</x:f>
        <x:v>28.708433919110732</x:v>
      </x:c>
      <x:c r="AC47" s="8" t="n">
        <x:f>IF(AND(tun_WinterTrigger=1,D47=1,AB46/AE46&gt;=K47),1,0)</x:f>
        <x:v>0</x:v>
      </x:c>
      <x:c r="AD47" s="8" t="n">
        <x:f>H47*IF(AND(OR(AB46/AE46&gt;=tun_FissionTrigger*N47,AC47=1),AB46/AE46*tun_DaughterShare&gt;=tun_MinDaughter),MAX(1,ROUND(AE46*tun_FissionRate,0)),0)</x:f>
        <x:v>0</x:v>
      </x:c>
      <x:c r="AE47" s="8" t="n">
        <x:f>IF(H47=1,MAX(1,MIN(INDEX(tun_Smax,G47),AE46+AD47)),AE46)</x:f>
        <x:v>2</x:v>
      </x:c>
      <x:c r="AF47" s="8" t="n">
        <x:f>MAX(0,AE47-AE46)</x:f>
        <x:v>0</x:v>
      </x:c>
      <x:c r="AG47" s="9" t="str">
        <x:f>IF(AF47&gt;0,B47,"")</x:f>
      </x:c>
      <x:c r="AH47" s="9" t="n">
        <x:f>IF(F47&gt;=1,1,(1+tun_LowTiesShare*(AE47-1))/AE47)</x:f>
        <x:v>1</x:v>
      </x:c>
      <x:c r="AI47" s="32" t="n">
        <x:f>(Z47+tun_ElderCommons*INDEX(LM_Elder,G47)*AA47)*AH47</x:f>
        <x:v>18.14721827106552</x:v>
      </x:c>
      <x:c r="AJ47" s="32" t="n">
        <x:f>H47*tun_CommonsCoef*AI47^tun_CommonsExp*INDEX(LM_Commons,G47)</x:f>
        <x:v>62.032955895849675</x:v>
      </x:c>
      <x:c r="AK47" s="32" t="n">
        <x:f>H47*tun_RoleScale*Arch_Roles*(AE47*(INDEX(tun_ElderRolePerSett,G47)*tun_OutElder*INDEX(LM_Elder,G47)+INDEX(tun_ShamanPerSett,G47)*tun_OutShaman)+Z47*(INDEX(tun_PriestShare,G47)*tun_OutPriest+INDEX(tun_ScribeShare,G47)*tun_OutScribe*INDEX(LM_Scribe,G47)+INDEX(tun_ScholarShare,G47)*tun_OutScholar*INDEX(LM_Scholar,G47)+INDEX(tun_ResearcherShare,G47)*tun_OutResearcher*INDEX(LM_Researcher,G47)))</x:f>
        <x:v>21.79795897113271</x:v>
      </x:c>
      <x:c r="AL47" s="32" t="n">
        <x:f>H47*tun_RoleScale*Arch_Roles*AE47*INDEX(tun_MonasteryPerSett,G47)*tun_OutMonastery*INDEX(LM_Monastery,G47)</x:f>
        <x:v>0</x:v>
      </x:c>
      <x:c r="AM47" s="32" t="n">
        <x:f>(AJ47+AK47+AL47)/4*INDEX(LM_All,G47)*INDEX(tun_Boon,G47)*Arch_Insight</x:f>
        <x:v>21.481671934664234</x:v>
      </x:c>
      <x:c r="AN47" s="32" t="n">
        <x:f>H47*(tun_KHPerAdult*Z47+tun_KHOfCommons*AJ47/4*INDEX(LM_All,G47))*tun_KHUsable*Arch_KH</x:f>
        <x:v>3.7995185486207923</x:v>
      </x:c>
      <x:c r="AO47" s="32" t="n">
        <x:f>MIN(AP46+AN47,AM47*tun_KHMaxRatio)</x:f>
        <x:v>3.7995185486207923</x:v>
      </x:c>
      <x:c r="AP47" s="32" t="n">
        <x:f>AP46+AN47-AO47</x:f>
        <x:v>0</x:v>
      </x:c>
      <x:c r="AQ47" s="32" t="n">
        <x:f>AM47+AO47</x:f>
        <x:v>25.281190483285027</x:v>
      </x:c>
      <x:c r="AR47" s="10" t="n">
        <x:f>IF(H47=1,INDEX(tun_Req,G47),0)</x:f>
        <x:v>1075.552</x:v>
      </x:c>
      <x:c r="AS47" s="32" t="n">
        <x:f>IF(H47=1,IF(E47=1,AS46-AR46,AS46)+AQ47,0)</x:f>
        <x:v>318.95648929488533</x:v>
      </x:c>
      <x:c r="AT47" s="11" t="n">
        <x:f>IF(AR47&gt;0,MIN(1,AS47/AR47),1)</x:f>
        <x:v>0.2965514352582538</x:v>
      </x:c>
      <x:c r="AU47" s="10" t="n">
        <x:f>AB47/INDEX(tun_RepScale,G47)</x:f>
        <x:v>28.708433919110732</x:v>
      </x:c>
      <x:c r="AV47" s="32" t="n">
        <x:f>AM47*60/tun_SeasonSeconds</x:f>
        <x:v>85.92668773865694</x:v>
      </x:c>
    </x:row>
    <x:row r="48">
      <x:c r="A48" s="8" t="n">
        <x:f>A47+1</x:f>
        <x:v>45</x:v>
      </x:c>
      <x:c r="B48" s="9" t="n">
        <x:f>A48*tun_SeasonSeconds/60</x:f>
        <x:v>11.25</x:v>
      </x:c>
      <x:c r="C48" s="9" t="n">
        <x:f>A48/4</x:f>
        <x:v>11.25</x:v>
      </x:c>
      <x:c r="D48" s="8" t="n">
        <x:f>IF(MOD(A48,4)=0,1,0)</x:f>
        <x:v>0</x:v>
      </x:c>
      <x:c r="E48" s="8" t="n">
        <x:f>IF(AND(F47&lt;=9,AS47&gt;=AR47),1,0)</x:f>
        <x:v>0</x:v>
      </x:c>
      <x:c r="F48" s="8" t="n">
        <x:f>MIN(10,F47+E48)</x:f>
        <x:v>1</x:v>
      </x:c>
      <x:c r="G48" s="8" t="n">
        <x:f>MIN(F48,9)+1</x:f>
        <x:v>2</x:v>
      </x:c>
      <x:c r="H48" s="8" t="n">
        <x:f>IF(F48&lt;=9,1,0)</x:f>
        <x:v>1</x:v>
      </x:c>
      <x:c r="I48" s="9" t="n">
        <x:f>MIN(10,F47+IF(AR47&gt;0,MIN(1,AS47/AR47),1))</x:f>
        <x:v>1.296551435258254</x:v>
      </x:c>
      <x:c r="J48" s="32" t="n">
        <x:f>INDEX(tun_FoodCap,G48)*Arch_FoodCap*EXP(tun_CapsByProject*SUMPRODUCT((Cap_Point&lt;=I48)*(Cap_Kind="Food")*Cap_Ln))</x:f>
        <x:v>28.18816000000001</x:v>
      </x:c>
      <x:c r="K48" s="32" t="n">
        <x:f>J48*MIN(1,tun_LeanBase*EXP(tun_CapsByProject*SUMPRODUCT((Cap_Point&lt;=I48)*(Cap_Kind="Lean")*Cap_Ln)))</x:f>
        <x:v>21.70488320000001</x:v>
      </x:c>
      <x:c r="L48" s="10" t="n">
        <x:f>INDEX(tun_HousingCap,G48)*EXP(tun_CapsByProject*SUMPRODUCT((Cap_Point&lt;=I48)*(Cap_Kind="Housing")*Cap_Ln))</x:f>
        <x:v>60</x:v>
      </x:c>
      <x:c r="M48" s="10" t="n">
        <x:f>INDEX(tun_GroupCap,G48)*tun_CohesionFactor*EXP(tun_CapsByProject*SUMPRODUCT((Cap_Point&lt;=I48)*(Cap_Kind="Group")*Cap_Ln))</x:f>
        <x:v>35</x:v>
      </x:c>
      <x:c r="N48" s="32" t="n">
        <x:f>MIN(J48,L48,M48)</x:f>
        <x:v>28.18816000000001</x:v>
      </x:c>
      <x:c r="O48" s="10" t="n">
        <x:f>AE47*N48</x:f>
        <x:v>56.37632000000002</x:v>
      </x:c>
      <x:c r="P48" s="9" t="n">
        <x:f>MIN(1,(AB47/(AE47*IF(tun_GroupInCrowding=1,N48,MIN(J48,L48))))^tun_CrowdingExp)</x:f>
        <x:v>0.017437196808841628</x:v>
      </x:c>
      <x:c r="Q48" s="9" t="n">
        <x:f>IF(D48=1,INDEX(tun_WinterMult,G48),1)</x:f>
        <x:v>1</x:v>
      </x:c>
      <x:c r="R48" s="9" t="n">
        <x:f>H48*Z47*tun_WomenShare*tun_BaseFertility*INDEX(tun_FertMult,G48)*Arch_Fertility*(1-P48)</x:f>
        <x:v>0.7623550543429697</x:v>
      </x:c>
      <x:c r="S48" s="9" t="n">
        <x:f>H48*Y47*INDEX(tun_MortChild,G48)/4*Q48</x:f>
        <x:v>0.1250505646107216</x:v>
      </x:c>
      <x:c r="T48" s="9" t="n">
        <x:f>H48*Z47*INDEX(tun_MortAdult,G48)*Arch_AdultMort/4*Q48</x:f>
        <x:v>0.02854423852080794</x:v>
      </x:c>
      <x:c r="U48" s="9" t="n">
        <x:f>H48*AA47*INDEX(tun_MortElder,G48)/4*Q48</x:f>
        <x:v>0.04201663278649881</x:v>
      </x:c>
      <x:c r="V48" s="9" t="n">
        <x:f>H48*MAX(0,AB47-O48)*tun_OvercapLoss</x:f>
        <x:v>0</x:v>
      </x:c>
      <x:c r="W48" s="9" t="n">
        <x:f>H48*Y47/(tun_ChildYears*4)</x:f>
        <x:v>0.27067221777212463</x:v>
      </x:c>
      <x:c r="X48" s="9" t="n">
        <x:f>H48*Z47/(tun_AdultYears*4)</x:f>
        <x:v>0.08370744434254529</x:v>
      </x:c>
      <x:c r="Y48" s="32" t="n">
        <x:f>Y47+R48-S48-W48-Y47*V48/AB47</x:f>
        <x:v>15.524276467199103</x:v>
      </x:c>
      <x:c r="Z48" s="32" t="n">
        <x:f>Z47+W48-X48-T48-Z47*V48/AB47</x:f>
        <x:v>10.538143633384387</x:v>
      </x:c>
      <x:c r="AA48" s="32" t="n">
        <x:f>AA47+X48-U48-AA47*V48/AB47</x:f>
        <x:v>3.2127574369521836</x:v>
      </x:c>
      <x:c r="AB48" s="10" t="n">
        <x:f>Y48+Z48+AA48</x:f>
        <x:v>29.275177537535672</x:v>
      </x:c>
      <x:c r="AC48" s="8" t="n">
        <x:f>IF(AND(tun_WinterTrigger=1,D48=1,AB47/AE47&gt;=K48),1,0)</x:f>
        <x:v>0</x:v>
      </x:c>
      <x:c r="AD48" s="8" t="n">
        <x:f>H48*IF(AND(OR(AB47/AE47&gt;=tun_FissionTrigger*N48,AC48=1),AB47/AE47*tun_DaughterShare&gt;=tun_MinDaughter),MAX(1,ROUND(AE47*tun_FissionRate,0)),0)</x:f>
        <x:v>0</x:v>
      </x:c>
      <x:c r="AE48" s="8" t="n">
        <x:f>IF(H48=1,MAX(1,MIN(INDEX(tun_Smax,G48),AE47+AD48)),AE47)</x:f>
        <x:v>2</x:v>
      </x:c>
      <x:c r="AF48" s="8" t="n">
        <x:f>MAX(0,AE48-AE47)</x:f>
        <x:v>0</x:v>
      </x:c>
      <x:c r="AG48" s="9" t="str">
        <x:f>IF(AF48&gt;0,B48,"")</x:f>
      </x:c>
      <x:c r="AH48" s="9" t="n">
        <x:f>IF(F48&gt;=1,1,(1+tun_LowTiesShare*(AE48-1))/AE48)</x:f>
        <x:v>1</x:v>
      </x:c>
      <x:c r="AI48" s="32" t="n">
        <x:f>(Z48+tun_ElderCommons*INDEX(LM_Elder,G48)*AA48)*AH48</x:f>
        <x:v>18.407760021249132</x:v>
      </x:c>
      <x:c r="AJ48" s="32" t="n">
        <x:f>H48*tun_CommonsCoef*AI48^tun_CommonsExp*INDEX(LM_Commons,G48)</x:f>
        <x:v>62.78916748458904</x:v>
      </x:c>
      <x:c r="AK48" s="32" t="n">
        <x:f>H48*tun_RoleScale*Arch_Roles*(AE48*(INDEX(tun_ElderRolePerSett,G48)*tun_OutElder*INDEX(LM_Elder,G48)+INDEX(tun_ShamanPerSett,G48)*tun_OutShaman)+Z48*(INDEX(tun_PriestShare,G48)*tun_OutPriest+INDEX(tun_ScribeShare,G48)*tun_OutScribe*INDEX(LM_Scribe,G48)+INDEX(tun_ScholarShare,G48)*tun_OutScholar*INDEX(LM_Scholar,G48)+INDEX(tun_ResearcherShare,G48)*tun_OutResearcher*INDEX(LM_Researcher,G48)))</x:f>
        <x:v>21.79795897113271</x:v>
      </x:c>
      <x:c r="AL48" s="32" t="n">
        <x:f>H48*tun_RoleScale*Arch_Roles*AE48*INDEX(tun_MonasteryPerSett,G48)*tun_OutMonastery*INDEX(LM_Monastery,G48)</x:f>
        <x:v>0</x:v>
      </x:c>
      <x:c r="AM48" s="32" t="n">
        <x:f>(AJ48+AK48+AL48)/4*INDEX(LM_All,G48)*INDEX(tun_Boon,G48)*Arch_Insight</x:f>
        <x:v>21.675451154278697</x:v>
      </x:c>
      <x:c r="AN48" s="32" t="n">
        <x:f>H48*(tun_KHPerAdult*Z48+tun_KHOfCommons*AJ48/4*INDEX(LM_All,G48))*tun_KHUsable*Arch_KH</x:f>
        <x:v>3.845836508431079</x:v>
      </x:c>
      <x:c r="AO48" s="32" t="n">
        <x:f>MIN(AP47+AN48,AM48*tun_KHMaxRatio)</x:f>
        <x:v>3.845836508431079</x:v>
      </x:c>
      <x:c r="AP48" s="32" t="n">
        <x:f>AP47+AN48-AO48</x:f>
        <x:v>0</x:v>
      </x:c>
      <x:c r="AQ48" s="32" t="n">
        <x:f>AM48+AO48</x:f>
        <x:v>25.521287662709774</x:v>
      </x:c>
      <x:c r="AR48" s="10" t="n">
        <x:f>IF(H48=1,INDEX(tun_Req,G48),0)</x:f>
        <x:v>1075.552</x:v>
      </x:c>
      <x:c r="AS48" s="32" t="n">
        <x:f>IF(H48=1,IF(E48=1,AS47-AR47,AS47)+AQ48,0)</x:f>
        <x:v>344.4777769575951</x:v>
      </x:c>
      <x:c r="AT48" s="11" t="n">
        <x:f>IF(AR48&gt;0,MIN(1,AS48/AR48),1)</x:f>
        <x:v>0.3202799836340736</x:v>
      </x:c>
      <x:c r="AU48" s="10" t="n">
        <x:f>AB48/INDEX(tun_RepScale,G48)</x:f>
        <x:v>29.275177537535672</x:v>
      </x:c>
      <x:c r="AV48" s="32" t="n">
        <x:f>AM48*60/tun_SeasonSeconds</x:f>
        <x:v>86.70180461711479</x:v>
      </x:c>
    </x:row>
    <x:row r="49">
      <x:c r="A49" s="8" t="n">
        <x:f>A48+1</x:f>
        <x:v>46</x:v>
      </x:c>
      <x:c r="B49" s="9" t="n">
        <x:f>A49*tun_SeasonSeconds/60</x:f>
        <x:v>11.5</x:v>
      </x:c>
      <x:c r="C49" s="9" t="n">
        <x:f>A49/4</x:f>
        <x:v>11.5</x:v>
      </x:c>
      <x:c r="D49" s="8" t="n">
        <x:f>IF(MOD(A49,4)=0,1,0)</x:f>
        <x:v>0</x:v>
      </x:c>
      <x:c r="E49" s="8" t="n">
        <x:f>IF(AND(F48&lt;=9,AS48&gt;=AR48),1,0)</x:f>
        <x:v>0</x:v>
      </x:c>
      <x:c r="F49" s="8" t="n">
        <x:f>MIN(10,F48+E49)</x:f>
        <x:v>1</x:v>
      </x:c>
      <x:c r="G49" s="8" t="n">
        <x:f>MIN(F49,9)+1</x:f>
        <x:v>2</x:v>
      </x:c>
      <x:c r="H49" s="8" t="n">
        <x:f>IF(F49&lt;=9,1,0)</x:f>
        <x:v>1</x:v>
      </x:c>
      <x:c r="I49" s="9" t="n">
        <x:f>MIN(10,F48+IF(AR48&gt;0,MIN(1,AS48/AR48),1))</x:f>
        <x:v>1.3202799836340735</x:v>
      </x:c>
      <x:c r="J49" s="32" t="n">
        <x:f>INDEX(tun_FoodCap,G49)*Arch_FoodCap*EXP(tun_CapsByProject*SUMPRODUCT((Cap_Point&lt;=I49)*(Cap_Kind="Food")*Cap_Ln))</x:f>
        <x:v>30.443212800000012</x:v>
      </x:c>
      <x:c r="K49" s="32" t="n">
        <x:f>J49*MIN(1,tun_LeanBase*EXP(tun_CapsByProject*SUMPRODUCT((Cap_Point&lt;=I49)*(Cap_Kind="Lean")*Cap_Ln)))</x:f>
        <x:v>29.30159232000001</x:v>
      </x:c>
      <x:c r="L49" s="10" t="n">
        <x:f>INDEX(tun_HousingCap,G49)*EXP(tun_CapsByProject*SUMPRODUCT((Cap_Point&lt;=I49)*(Cap_Kind="Housing")*Cap_Ln))</x:f>
        <x:v>60</x:v>
      </x:c>
      <x:c r="M49" s="10" t="n">
        <x:f>INDEX(tun_GroupCap,G49)*tun_CohesionFactor*EXP(tun_CapsByProject*SUMPRODUCT((Cap_Point&lt;=I49)*(Cap_Kind="Group")*Cap_Ln))</x:f>
        <x:v>35</x:v>
      </x:c>
      <x:c r="N49" s="32" t="n">
        <x:f>MIN(J49,L49,M49)</x:f>
        <x:v>30.443212800000012</x:v>
      </x:c>
      <x:c r="O49" s="10" t="n">
        <x:f>AE48*N49</x:f>
        <x:v>60.886425600000024</x:v>
      </x:c>
      <x:c r="P49" s="9" t="n">
        <x:f>MIN(1,(AB48/(AE48*IF(tun_GroupInCrowding=1,N49,MIN(J49,L49))))^tun_CrowdingExp)</x:f>
        <x:v>0.0123558990229835</x:v>
      </x:c>
      <x:c r="Q49" s="9" t="n">
        <x:f>IF(D49=1,INDEX(tun_WinterMult,G49),1)</x:f>
        <x:v>1</x:v>
      </x:c>
      <x:c r="R49" s="9" t="n">
        <x:f>H49*Z48*tun_WomenShare*tun_BaseFertility*INDEX(tun_FertMult,G49)*Arch_Fertility*(1-P49)</x:f>
        <x:v>0.7779931707583543</x:v>
      </x:c>
      <x:c r="S49" s="9" t="n">
        <x:f>H49*Y48*INDEX(tun_MortChild,G49)/4*Q49</x:f>
        <x:v>0.1280752808543926</x:v>
      </x:c>
      <x:c r="T49" s="9" t="n">
        <x:f>H49*Z48*INDEX(tun_MortAdult,G49)*Arch_AdultMort/4*Q49</x:f>
        <x:v>0.028979894991807063</x:v>
      </x:c>
      <x:c r="U49" s="9" t="n">
        <x:f>H49*AA48*INDEX(tun_MortElder,G49)/4*Q49</x:f>
        <x:v>0.04256903603961643</x:v>
      </x:c>
      <x:c r="V49" s="9" t="n">
        <x:f>H49*MAX(0,AB48-O49)*tun_OvercapLoss</x:f>
        <x:v>0</x:v>
      </x:c>
      <x:c r="W49" s="9" t="n">
        <x:f>H49*Y48/(tun_ChildYears*4)</x:f>
        <x:v>0.2772192226285554</x:v>
      </x:c>
      <x:c r="X49" s="9" t="n">
        <x:f>H49*Z48/(tun_AdultYears*4)</x:f>
        <x:v>0.08498502930148699</x:v>
      </x:c>
      <x:c r="Y49" s="32" t="n">
        <x:f>Y48+R49-S49-W49-Y48*V49/AB48</x:f>
        <x:v>15.89697513447451</x:v>
      </x:c>
      <x:c r="Z49" s="32" t="n">
        <x:f>Z48+W49-X49-T49-Z48*V49/AB48</x:f>
        <x:v>10.701397931719649</x:v>
      </x:c>
      <x:c r="AA49" s="32" t="n">
        <x:f>AA48+X49-U49-AA48*V49/AB48</x:f>
        <x:v>3.2551734302140543</x:v>
      </x:c>
      <x:c r="AB49" s="10" t="n">
        <x:f>Y49+Z49+AA49</x:f>
        <x:v>29.85354649640821</x:v>
      </x:c>
      <x:c r="AC49" s="8" t="n">
        <x:f>IF(AND(tun_WinterTrigger=1,D49=1,AB48/AE48&gt;=K49),1,0)</x:f>
        <x:v>0</x:v>
      </x:c>
      <x:c r="AD49" s="8" t="n">
        <x:f>H49*IF(AND(OR(AB48/AE48&gt;=tun_FissionTrigger*N49,AC49=1),AB48/AE48*tun_DaughterShare&gt;=tun_MinDaughter),MAX(1,ROUND(AE48*tun_FissionRate,0)),0)</x:f>
        <x:v>0</x:v>
      </x:c>
      <x:c r="AE49" s="8" t="n">
        <x:f>IF(H49=1,MAX(1,MIN(INDEX(tun_Smax,G49),AE48+AD49)),AE48)</x:f>
        <x:v>2</x:v>
      </x:c>
      <x:c r="AF49" s="8" t="n">
        <x:f>MAX(0,AE49-AE48)</x:f>
        <x:v>0</x:v>
      </x:c>
      <x:c r="AG49" s="9" t="str">
        <x:f>IF(AF49&gt;0,B49,"")</x:f>
      </x:c>
      <x:c r="AH49" s="9" t="n">
        <x:f>IF(F49&gt;=1,1,(1+tun_LowTiesShare*(AE49-1))/AE49)</x:f>
        <x:v>1</x:v>
      </x:c>
      <x:c r="AI49" s="32" t="n">
        <x:f>(Z49+tun_ElderCommons*INDEX(LM_Elder,G49)*AA49)*AH49</x:f>
        <x:v>18.67491186000931</x:v>
      </x:c>
      <x:c r="AJ49" s="32" t="n">
        <x:f>H49*tun_CommonsCoef*AI49^tun_CommonsExp*INDEX(LM_Commons,G49)</x:f>
        <x:v>63.56289939873361</x:v>
      </x:c>
      <x:c r="AK49" s="32" t="n">
        <x:f>H49*tun_RoleScale*Arch_Roles*(AE49*(INDEX(tun_ElderRolePerSett,G49)*tun_OutElder*INDEX(LM_Elder,G49)+INDEX(tun_ShamanPerSett,G49)*tun_OutShaman)+Z49*(INDEX(tun_PriestShare,G49)*tun_OutPriest+INDEX(tun_ScribeShare,G49)*tun_OutScribe*INDEX(LM_Scribe,G49)+INDEX(tun_ScholarShare,G49)*tun_OutScholar*INDEX(LM_Scholar,G49)+INDEX(tun_ResearcherShare,G49)*tun_OutResearcher*INDEX(LM_Researcher,G49)))</x:f>
        <x:v>21.79795897113271</x:v>
      </x:c>
      <x:c r="AL49" s="32" t="n">
        <x:f>H49*tun_RoleScale*Arch_Roles*AE49*INDEX(tun_MonasteryPerSett,G49)*tun_OutMonastery*INDEX(LM_Monastery,G49)</x:f>
        <x:v>0</x:v>
      </x:c>
      <x:c r="AM49" s="32" t="n">
        <x:f>(AJ49+AK49+AL49)/4*INDEX(LM_All,G49)*INDEX(tun_Boon,G49)*Arch_Insight</x:f>
        <x:v>21.873719957278244</x:v>
      </x:c>
      <x:c r="AN49" s="32" t="n">
        <x:f>H49*(tun_KHPerAdult*Z49+tun_KHOfCommons*AJ49/4*INDEX(LM_All,G49))*tun_KHUsable*Arch_KH</x:f>
        <x:v>3.8932275881724334</x:v>
      </x:c>
      <x:c r="AO49" s="32" t="n">
        <x:f>MIN(AP48+AN49,AM49*tun_KHMaxRatio)</x:f>
        <x:v>3.8932275881724334</x:v>
      </x:c>
      <x:c r="AP49" s="32" t="n">
        <x:f>AP48+AN49-AO49</x:f>
        <x:v>0</x:v>
      </x:c>
      <x:c r="AQ49" s="32" t="n">
        <x:f>AM49+AO49</x:f>
        <x:v>25.766947545450677</x:v>
      </x:c>
      <x:c r="AR49" s="10" t="n">
        <x:f>IF(H49=1,INDEX(tun_Req,G49),0)</x:f>
        <x:v>1075.552</x:v>
      </x:c>
      <x:c r="AS49" s="32" t="n">
        <x:f>IF(H49=1,IF(E49=1,AS48-AR48,AS48)+AQ49,0)</x:f>
        <x:v>370.24472450304575</x:v>
      </x:c>
      <x:c r="AT49" s="11" t="n">
        <x:f>IF(AR49&gt;0,MIN(1,AS49/AR49),1)</x:f>
        <x:v>0.3442369355484865</x:v>
      </x:c>
      <x:c r="AU49" s="10" t="n">
        <x:f>AB49/INDEX(tun_RepScale,G49)</x:f>
        <x:v>29.85354649640821</x:v>
      </x:c>
      <x:c r="AV49" s="32" t="n">
        <x:f>AM49*60/tun_SeasonSeconds</x:f>
        <x:v>87.49487982911297</x:v>
      </x:c>
    </x:row>
    <x:row r="50">
      <x:c r="A50" s="8" t="n">
        <x:f>A49+1</x:f>
        <x:v>47</x:v>
      </x:c>
      <x:c r="B50" s="9" t="n">
        <x:f>A50*tun_SeasonSeconds/60</x:f>
        <x:v>11.75</x:v>
      </x:c>
      <x:c r="C50" s="9" t="n">
        <x:f>A50/4</x:f>
        <x:v>11.75</x:v>
      </x:c>
      <x:c r="D50" s="8" t="n">
        <x:f>IF(MOD(A50,4)=0,1,0)</x:f>
        <x:v>0</x:v>
      </x:c>
      <x:c r="E50" s="8" t="n">
        <x:f>IF(AND(F49&lt;=9,AS49&gt;=AR49),1,0)</x:f>
        <x:v>0</x:v>
      </x:c>
      <x:c r="F50" s="8" t="n">
        <x:f>MIN(10,F49+E50)</x:f>
        <x:v>1</x:v>
      </x:c>
      <x:c r="G50" s="8" t="n">
        <x:f>MIN(F50,9)+1</x:f>
        <x:v>2</x:v>
      </x:c>
      <x:c r="H50" s="8" t="n">
        <x:f>IF(F50&lt;=9,1,0)</x:f>
        <x:v>1</x:v>
      </x:c>
      <x:c r="I50" s="9" t="n">
        <x:f>MIN(10,F49+IF(AR49&gt;0,MIN(1,AS49/AR49),1))</x:f>
        <x:v>1.3442369355484864</x:v>
      </x:c>
      <x:c r="J50" s="32" t="n">
        <x:f>INDEX(tun_FoodCap,G50)*Arch_FoodCap*EXP(tun_CapsByProject*SUMPRODUCT((Cap_Point&lt;=I50)*(Cap_Kind="Food")*Cap_Ln))</x:f>
        <x:v>30.443212800000012</x:v>
      </x:c>
      <x:c r="K50" s="32" t="n">
        <x:f>J50*MIN(1,tun_LeanBase*EXP(tun_CapsByProject*SUMPRODUCT((Cap_Point&lt;=I50)*(Cap_Kind="Lean")*Cap_Ln)))</x:f>
        <x:v>29.30159232000001</x:v>
      </x:c>
      <x:c r="L50" s="10" t="n">
        <x:f>INDEX(tun_HousingCap,G50)*EXP(tun_CapsByProject*SUMPRODUCT((Cap_Point&lt;=I50)*(Cap_Kind="Housing")*Cap_Ln))</x:f>
        <x:v>60</x:v>
      </x:c>
      <x:c r="M50" s="10" t="n">
        <x:f>INDEX(tun_GroupCap,G50)*tun_CohesionFactor*EXP(tun_CapsByProject*SUMPRODUCT((Cap_Point&lt;=I50)*(Cap_Kind="Group")*Cap_Ln))</x:f>
        <x:v>35</x:v>
      </x:c>
      <x:c r="N50" s="32" t="n">
        <x:f>MIN(J50,L50,M50)</x:f>
        <x:v>30.443212800000012</x:v>
      </x:c>
      <x:c r="O50" s="10" t="n">
        <x:f>AE49*N50</x:f>
        <x:v>60.886425600000024</x:v>
      </x:c>
      <x:c r="P50" s="9" t="n">
        <x:f>MIN(1,(AB49/(AE49*IF(tun_GroupInCrowding=1,N50,MIN(J50,L50))))^tun_CrowdingExp)</x:f>
        <x:v>0.013894813199105249</x:v>
      </x:c>
      <x:c r="Q50" s="9" t="n">
        <x:f>IF(D50=1,INDEX(tun_WinterMult,G50),1)</x:f>
        <x:v>1</x:v>
      </x:c>
      <x:c r="R50" s="9" t="n">
        <x:f>H50*Z49*tun_WomenShare*tun_BaseFertility*INDEX(tun_FertMult,G50)*Arch_Fertility*(1-P50)</x:f>
        <x:v>0.7888146244850612</x:v>
      </x:c>
      <x:c r="S50" s="9" t="n">
        <x:f>H50*Y49*INDEX(tun_MortChild,G50)/4*Q50</x:f>
        <x:v>0.1311500448594147</x:v>
      </x:c>
      <x:c r="T50" s="9" t="n">
        <x:f>H50*Z49*INDEX(tun_MortAdult,G50)*Arch_AdultMort/4*Q50</x:f>
        <x:v>0.029428844312229033</x:v>
      </x:c>
      <x:c r="U50" s="9" t="n">
        <x:f>H50*AA49*INDEX(tun_MortElder,G50)/4*Q50</x:f>
        <x:v>0.04313104795033622</x:v>
      </x:c>
      <x:c r="V50" s="9" t="n">
        <x:f>H50*MAX(0,AB49-O50)*tun_OvercapLoss</x:f>
        <x:v>0</x:v>
      </x:c>
      <x:c r="W50" s="9" t="n">
        <x:f>H50*Y49/(tun_ChildYears*4)</x:f>
        <x:v>0.28387455597275907</x:v>
      </x:c>
      <x:c r="X50" s="9" t="n">
        <x:f>H50*Z49/(tun_AdultYears*4)</x:f>
        <x:v>0.08630159622354555</x:v>
      </x:c>
      <x:c r="Y50" s="32" t="n">
        <x:f>Y49+R50-S50-W50-Y49*V50/AB49</x:f>
        <x:v>16.270765158127396</x:v>
      </x:c>
      <x:c r="Z50" s="32" t="n">
        <x:f>Z49+W50-X50-T50-Z49*V50/AB49</x:f>
        <x:v>10.869542047156633</x:v>
      </x:c>
      <x:c r="AA50" s="32" t="n">
        <x:f>AA49+X50-U50-AA49*V50/AB49</x:f>
        <x:v>3.2983439784872632</x:v>
      </x:c>
      <x:c r="AB50" s="10" t="n">
        <x:f>Y50+Z50+AA50</x:f>
        <x:v>30.438651183771295</x:v>
      </x:c>
      <x:c r="AC50" s="8" t="n">
        <x:f>IF(AND(tun_WinterTrigger=1,D50=1,AB49/AE49&gt;=K50),1,0)</x:f>
        <x:v>0</x:v>
      </x:c>
      <x:c r="AD50" s="8" t="n">
        <x:f>H50*IF(AND(OR(AB49/AE49&gt;=tun_FissionTrigger*N50,AC50=1),AB49/AE49*tun_DaughterShare&gt;=tun_MinDaughter),MAX(1,ROUND(AE49*tun_FissionRate,0)),0)</x:f>
        <x:v>0</x:v>
      </x:c>
      <x:c r="AE50" s="8" t="n">
        <x:f>IF(H50=1,MAX(1,MIN(INDEX(tun_Smax,G50),AE49+AD50)),AE49)</x:f>
        <x:v>2</x:v>
      </x:c>
      <x:c r="AF50" s="8" t="n">
        <x:f>MAX(0,AE50-AE49)</x:f>
        <x:v>0</x:v>
      </x:c>
      <x:c r="AG50" s="9" t="str">
        <x:f>IF(AF50&gt;0,B50,"")</x:f>
      </x:c>
      <x:c r="AH50" s="9" t="n">
        <x:f>IF(F50&gt;=1,1,(1+tun_LowTiesShare*(AE50-1))/AE50)</x:f>
        <x:v>1</x:v>
      </x:c>
      <x:c r="AI50" s="32" t="n">
        <x:f>(Z50+tun_ElderCommons*INDEX(LM_Elder,G50)*AA50)*AH50</x:f>
        <x:v>18.948801790631844</x:v>
      </x:c>
      <x:c r="AJ50" s="32" t="n">
        <x:f>H50*tun_CommonsCoef*AI50^tun_CommonsExp*INDEX(LM_Commons,G50)</x:f>
        <x:v>64.35442474466966</x:v>
      </x:c>
      <x:c r="AK50" s="32" t="n">
        <x:f>H50*tun_RoleScale*Arch_Roles*(AE50*(INDEX(tun_ElderRolePerSett,G50)*tun_OutElder*INDEX(LM_Elder,G50)+INDEX(tun_ShamanPerSett,G50)*tun_OutShaman)+Z50*(INDEX(tun_PriestShare,G50)*tun_OutPriest+INDEX(tun_ScribeShare,G50)*tun_OutScribe*INDEX(LM_Scribe,G50)+INDEX(tun_ScholarShare,G50)*tun_OutScholar*INDEX(LM_Scholar,G50)+INDEX(tun_ResearcherShare,G50)*tun_OutResearcher*INDEX(LM_Researcher,G50)))</x:f>
        <x:v>21.79795897113271</x:v>
      </x:c>
      <x:c r="AL50" s="32" t="n">
        <x:f>H50*tun_RoleScale*Arch_Roles*AE50*INDEX(tun_MonasteryPerSett,G50)*tun_OutMonastery*INDEX(LM_Monastery,G50)</x:f>
        <x:v>0</x:v>
      </x:c>
      <x:c r="AM50" s="32" t="n">
        <x:f>(AJ50+AK50+AL50)/4*INDEX(LM_All,G50)*INDEX(tun_Boon,G50)*Arch_Insight</x:f>
        <x:v>22.076548327174358</x:v>
      </x:c>
      <x:c r="AN50" s="32" t="n">
        <x:f>H50*(tun_KHPerAdult*Z50+tun_KHOfCommons*AJ50/4*INDEX(LM_All,G50))*tun_KHUsable*Arch_KH</x:f>
        <x:v>3.941708515611016</x:v>
      </x:c>
      <x:c r="AO50" s="32" t="n">
        <x:f>MIN(AP49+AN50,AM50*tun_KHMaxRatio)</x:f>
        <x:v>3.941708515611016</x:v>
      </x:c>
      <x:c r="AP50" s="32" t="n">
        <x:f>AP49+AN50-AO50</x:f>
        <x:v>0</x:v>
      </x:c>
      <x:c r="AQ50" s="32" t="n">
        <x:f>AM50+AO50</x:f>
        <x:v>26.018256842785373</x:v>
      </x:c>
      <x:c r="AR50" s="10" t="n">
        <x:f>IF(H50=1,INDEX(tun_Req,G50),0)</x:f>
        <x:v>1075.552</x:v>
      </x:c>
      <x:c r="AS50" s="32" t="n">
        <x:f>IF(H50=1,IF(E50=1,AS49-AR49,AS49)+AQ50,0)</x:f>
        <x:v>396.2629813458311</x:v>
      </x:c>
      <x:c r="AT50" s="11" t="n">
        <x:f>IF(AR50&gt;0,MIN(1,AS50/AR50),1)</x:f>
        <x:v>0.3684275435737474</x:v>
      </x:c>
      <x:c r="AU50" s="10" t="n">
        <x:f>AB50/INDEX(tun_RepScale,G50)</x:f>
        <x:v>30.438651183771295</x:v>
      </x:c>
      <x:c r="AV50" s="32" t="n">
        <x:f>AM50*60/tun_SeasonSeconds</x:f>
        <x:v>88.30619330869743</x:v>
      </x:c>
    </x:row>
    <x:row r="51">
      <x:c r="A51" s="8" t="n">
        <x:f>A50+1</x:f>
        <x:v>48</x:v>
      </x:c>
      <x:c r="B51" s="9" t="n">
        <x:f>A51*tun_SeasonSeconds/60</x:f>
        <x:v>12</x:v>
      </x:c>
      <x:c r="C51" s="9" t="n">
        <x:f>A51/4</x:f>
        <x:v>12</x:v>
      </x:c>
      <x:c r="D51" s="8" t="n">
        <x:f>IF(MOD(A51,4)=0,1,0)</x:f>
        <x:v>1</x:v>
      </x:c>
      <x:c r="E51" s="8" t="n">
        <x:f>IF(AND(F50&lt;=9,AS50&gt;=AR50),1,0)</x:f>
        <x:v>0</x:v>
      </x:c>
      <x:c r="F51" s="8" t="n">
        <x:f>MIN(10,F50+E51)</x:f>
        <x:v>1</x:v>
      </x:c>
      <x:c r="G51" s="8" t="n">
        <x:f>MIN(F51,9)+1</x:f>
        <x:v>2</x:v>
      </x:c>
      <x:c r="H51" s="8" t="n">
        <x:f>IF(F51&lt;=9,1,0)</x:f>
        <x:v>1</x:v>
      </x:c>
      <x:c r="I51" s="9" t="n">
        <x:f>MIN(10,F50+IF(AR50&gt;0,MIN(1,AS50/AR50),1))</x:f>
        <x:v>1.3684275435737474</x:v>
      </x:c>
      <x:c r="J51" s="32" t="n">
        <x:f>INDEX(tun_FoodCap,G51)*Arch_FoodCap*EXP(tun_CapsByProject*SUMPRODUCT((Cap_Point&lt;=I51)*(Cap_Kind="Food")*Cap_Ln))</x:f>
        <x:v>30.443212800000012</x:v>
      </x:c>
      <x:c r="K51" s="32" t="n">
        <x:f>J51*MIN(1,tun_LeanBase*EXP(tun_CapsByProject*SUMPRODUCT((Cap_Point&lt;=I51)*(Cap_Kind="Lean")*Cap_Ln)))</x:f>
        <x:v>29.30159232000001</x:v>
      </x:c>
      <x:c r="L51" s="10" t="n">
        <x:f>INDEX(tun_HousingCap,G51)*EXP(tun_CapsByProject*SUMPRODUCT((Cap_Point&lt;=I51)*(Cap_Kind="Housing")*Cap_Ln))</x:f>
        <x:v>60</x:v>
      </x:c>
      <x:c r="M51" s="10" t="n">
        <x:f>INDEX(tun_GroupCap,G51)*tun_CohesionFactor*EXP(tun_CapsByProject*SUMPRODUCT((Cap_Point&lt;=I51)*(Cap_Kind="Group")*Cap_Ln))</x:f>
        <x:v>35</x:v>
      </x:c>
      <x:c r="N51" s="32" t="n">
        <x:f>MIN(J51,L51,M51)</x:f>
        <x:v>30.443212800000012</x:v>
      </x:c>
      <x:c r="O51" s="10" t="n">
        <x:f>AE50*N51</x:f>
        <x:v>60.886425600000024</x:v>
      </x:c>
      <x:c r="P51" s="9" t="n">
        <x:f>MIN(1,(AB50/(AE50*IF(tun_GroupInCrowding=1,N51,MIN(J51,L51))))^tun_CrowdingExp)</x:f>
        <x:v>0.015610957745070823</x:v>
      </x:c>
      <x:c r="Q51" s="9" t="n">
        <x:f>IF(D51=1,INDEX(tun_WinterMult,G51),1)</x:f>
        <x:v>1.7</x:v>
      </x:c>
      <x:c r="R51" s="9" t="n">
        <x:f>H51*Z50*tun_WomenShare*tun_BaseFertility*INDEX(tun_FertMult,G51)*Arch_Fertility*(1-P51)</x:f>
        <x:v>0.7998143918948775</x:v>
      </x:c>
      <x:c r="S51" s="9" t="n">
        <x:f>H51*Y50*INDEX(tun_MortChild,G51)/4*Q51</x:f>
        <x:v>0.22819748134273674</x:v>
      </x:c>
      <x:c r="T51" s="9" t="n">
        <x:f>H51*Z50*INDEX(tun_MortAdult,G51)*Arch_AdultMort/4*Q51</x:f>
        <x:v>0.050815109070457255</x:v>
      </x:c>
      <x:c r="U51" s="9" t="n">
        <x:f>H51*AA50*INDEX(tun_MortElder,G51)/4*Q51</x:f>
        <x:v>0.0742951981154256</x:v>
      </x:c>
      <x:c r="V51" s="9" t="n">
        <x:f>H51*MAX(0,AB50-O51)*tun_OvercapLoss</x:f>
        <x:v>0</x:v>
      </x:c>
      <x:c r="W51" s="9" t="n">
        <x:f>H51*Y50/(tun_ChildYears*4)</x:f>
        <x:v>0.2905493778237035</x:v>
      </x:c>
      <x:c r="X51" s="9" t="n">
        <x:f>H51*Z50/(tun_AdultYears*4)</x:f>
        <x:v>0.08765759715448898</x:v>
      </x:c>
      <x:c r="Y51" s="32" t="n">
        <x:f>Y50+R51-S51-W51-Y50*V51/AB50</x:f>
        <x:v>16.551832690855832</x:v>
      </x:c>
      <x:c r="Z51" s="32" t="n">
        <x:f>Z50+W51-X51-T51-Z50*V51/AB50</x:f>
        <x:v>11.02161871875539</x:v>
      </x:c>
      <x:c r="AA51" s="32" t="n">
        <x:f>AA50+X51-U51-AA50*V51/AB50</x:f>
        <x:v>3.3117063775263267</x:v>
      </x:c>
      <x:c r="AB51" s="10" t="n">
        <x:f>Y51+Z51+AA51</x:f>
        <x:v>30.88515778713755</x:v>
      </x:c>
      <x:c r="AC51" s="8" t="n">
        <x:f>IF(AND(tun_WinterTrigger=1,D51=1,AB50/AE50&gt;=K51),1,0)</x:f>
        <x:v>0</x:v>
      </x:c>
      <x:c r="AD51" s="8" t="n">
        <x:f>H51*IF(AND(OR(AB50/AE50&gt;=tun_FissionTrigger*N51,AC51=1),AB50/AE50*tun_DaughterShare&gt;=tun_MinDaughter),MAX(1,ROUND(AE50*tun_FissionRate,0)),0)</x:f>
        <x:v>0</x:v>
      </x:c>
      <x:c r="AE51" s="8" t="n">
        <x:f>IF(H51=1,MAX(1,MIN(INDEX(tun_Smax,G51),AE50+AD51)),AE50)</x:f>
        <x:v>2</x:v>
      </x:c>
      <x:c r="AF51" s="8" t="n">
        <x:f>MAX(0,AE51-AE50)</x:f>
        <x:v>0</x:v>
      </x:c>
      <x:c r="AG51" s="9" t="str">
        <x:f>IF(AF51&gt;0,B51,"")</x:f>
      </x:c>
      <x:c r="AH51" s="9" t="n">
        <x:f>IF(F51&gt;=1,1,(1+tun_LowTiesShare*(AE51-1))/AE51)</x:f>
        <x:v>1</x:v>
      </x:c>
      <x:c r="AI51" s="32" t="n">
        <x:f>(Z51+tun_ElderCommons*INDEX(LM_Elder,G51)*AA51)*AH51</x:f>
        <x:v>19.13360952161576</x:v>
      </x:c>
      <x:c r="AJ51" s="32" t="n">
        <x:f>H51*tun_CommonsCoef*AI51^tun_CommonsExp*INDEX(LM_Commons,G51)</x:f>
        <x:v>64.88753754544788</x:v>
      </x:c>
      <x:c r="AK51" s="32" t="n">
        <x:f>H51*tun_RoleScale*Arch_Roles*(AE51*(INDEX(tun_ElderRolePerSett,G51)*tun_OutElder*INDEX(LM_Elder,G51)+INDEX(tun_ShamanPerSett,G51)*tun_OutShaman)+Z51*(INDEX(tun_PriestShare,G51)*tun_OutPriest+INDEX(tun_ScribeShare,G51)*tun_OutScribe*INDEX(LM_Scribe,G51)+INDEX(tun_ScholarShare,G51)*tun_OutScholar*INDEX(LM_Scholar,G51)+INDEX(tun_ResearcherShare,G51)*tun_OutResearcher*INDEX(LM_Researcher,G51)))</x:f>
        <x:v>21.79795897113271</x:v>
      </x:c>
      <x:c r="AL51" s="32" t="n">
        <x:f>H51*tun_RoleScale*Arch_Roles*AE51*INDEX(tun_MonasteryPerSett,G51)*tun_OutMonastery*INDEX(LM_Monastery,G51)</x:f>
        <x:v>0</x:v>
      </x:c>
      <x:c r="AM51" s="32" t="n">
        <x:f>(AJ51+AK51+AL51)/4*INDEX(LM_All,G51)*INDEX(tun_Boon,G51)*Arch_Insight</x:f>
        <x:v>22.213158482373778</x:v>
      </x:c>
      <x:c r="AN51" s="32" t="n">
        <x:f>H51*(tun_KHPerAdult*Z51+tun_KHOfCommons*AJ51/4*INDEX(LM_All,G51))*tun_KHUsable*Arch_KH</x:f>
        <x:v>3.9743616746586827</x:v>
      </x:c>
      <x:c r="AO51" s="32" t="n">
        <x:f>MIN(AP50+AN51,AM51*tun_KHMaxRatio)</x:f>
        <x:v>3.9743616746586827</x:v>
      </x:c>
      <x:c r="AP51" s="32" t="n">
        <x:f>AP50+AN51-AO51</x:f>
        <x:v>0</x:v>
      </x:c>
      <x:c r="AQ51" s="32" t="n">
        <x:f>AM51+AO51</x:f>
        <x:v>26.18752015703246</x:v>
      </x:c>
      <x:c r="AR51" s="10" t="n">
        <x:f>IF(H51=1,INDEX(tun_Req,G51),0)</x:f>
        <x:v>1075.552</x:v>
      </x:c>
      <x:c r="AS51" s="32" t="n">
        <x:f>IF(H51=1,IF(E51=1,AS50-AR50,AS50)+AQ51,0)</x:f>
        <x:v>422.4505015028636</x:v>
      </x:c>
      <x:c r="AT51" s="11" t="n">
        <x:f>IF(AR51&gt;0,MIN(1,AS51/AR51),1)</x:f>
        <x:v>0.3927755250353898</x:v>
      </x:c>
      <x:c r="AU51" s="10" t="n">
        <x:f>AB51/INDEX(tun_RepScale,G51)</x:f>
        <x:v>30.88515778713755</x:v>
      </x:c>
      <x:c r="AV51" s="32" t="n">
        <x:f>AM51*60/tun_SeasonSeconds</x:f>
        <x:v>88.85263392949511</x:v>
      </x:c>
    </x:row>
    <x:row r="52">
      <x:c r="A52" s="8" t="n">
        <x:f>A51+1</x:f>
        <x:v>49</x:v>
      </x:c>
      <x:c r="B52" s="9" t="n">
        <x:f>A52*tun_SeasonSeconds/60</x:f>
        <x:v>12.25</x:v>
      </x:c>
      <x:c r="C52" s="9" t="n">
        <x:f>A52/4</x:f>
        <x:v>12.25</x:v>
      </x:c>
      <x:c r="D52" s="8" t="n">
        <x:f>IF(MOD(A52,4)=0,1,0)</x:f>
        <x:v>0</x:v>
      </x:c>
      <x:c r="E52" s="8" t="n">
        <x:f>IF(AND(F51&lt;=9,AS51&gt;=AR51),1,0)</x:f>
        <x:v>0</x:v>
      </x:c>
      <x:c r="F52" s="8" t="n">
        <x:f>MIN(10,F51+E52)</x:f>
        <x:v>1</x:v>
      </x:c>
      <x:c r="G52" s="8" t="n">
        <x:f>MIN(F52,9)+1</x:f>
        <x:v>2</x:v>
      </x:c>
      <x:c r="H52" s="8" t="n">
        <x:f>IF(F52&lt;=9,1,0)</x:f>
        <x:v>1</x:v>
      </x:c>
      <x:c r="I52" s="9" t="n">
        <x:f>MIN(10,F51+IF(AR51&gt;0,MIN(1,AS51/AR51),1))</x:f>
        <x:v>1.3927755250353897</x:v>
      </x:c>
      <x:c r="J52" s="32" t="n">
        <x:f>INDEX(tun_FoodCap,G52)*Arch_FoodCap*EXP(tun_CapsByProject*SUMPRODUCT((Cap_Point&lt;=I52)*(Cap_Kind="Food")*Cap_Ln))</x:f>
        <x:v>30.443212800000012</x:v>
      </x:c>
      <x:c r="K52" s="32" t="n">
        <x:f>J52*MIN(1,tun_LeanBase*EXP(tun_CapsByProject*SUMPRODUCT((Cap_Point&lt;=I52)*(Cap_Kind="Lean")*Cap_Ln)))</x:f>
        <x:v>29.30159232000001</x:v>
      </x:c>
      <x:c r="L52" s="10" t="n">
        <x:f>INDEX(tun_HousingCap,G52)*EXP(tun_CapsByProject*SUMPRODUCT((Cap_Point&lt;=I52)*(Cap_Kind="Housing")*Cap_Ln))</x:f>
        <x:v>60</x:v>
      </x:c>
      <x:c r="M52" s="10" t="n">
        <x:f>INDEX(tun_GroupCap,G52)*tun_CohesionFactor*EXP(tun_CapsByProject*SUMPRODUCT((Cap_Point&lt;=I52)*(Cap_Kind="Group")*Cap_Ln))</x:f>
        <x:v>35</x:v>
      </x:c>
      <x:c r="N52" s="32" t="n">
        <x:f>MIN(J52,L52,M52)</x:f>
        <x:v>30.443212800000012</x:v>
      </x:c>
      <x:c r="O52" s="10" t="n">
        <x:f>AE51*N52</x:f>
        <x:v>60.886425600000024</x:v>
      </x:c>
      <x:c r="P52" s="9" t="n">
        <x:f>MIN(1,(AB51/(AE51*IF(tun_GroupInCrowding=1,N52,MIN(J52,L52))))^tun_CrowdingExp)</x:f>
        <x:v>0.017036331097457644</x:v>
      </x:c>
      <x:c r="Q52" s="9" t="n">
        <x:f>IF(D52=1,INDEX(tun_WinterMult,G52),1)</x:f>
        <x:v>1</x:v>
      </x:c>
      <x:c r="R52" s="9" t="n">
        <x:f>H52*Z51*tun_WomenShare*tun_BaseFertility*INDEX(tun_FertMult,G52)*Arch_Fertility*(1-P52)</x:f>
        <x:v>0.8098303452841971</x:v>
      </x:c>
      <x:c r="S52" s="9" t="n">
        <x:f>H52*Y51*INDEX(tun_MortChild,G52)/4*Q52</x:f>
        <x:v>0.13655261969956062</x:v>
      </x:c>
      <x:c r="T52" s="9" t="n">
        <x:f>H52*Z51*INDEX(tun_MortAdult,G52)*Arch_AdultMort/4*Q52</x:f>
        <x:v>0.03030945147657732</x:v>
      </x:c>
      <x:c r="U52" s="9" t="n">
        <x:f>H52*AA51*INDEX(tun_MortElder,G52)/4*Q52</x:f>
        <x:v>0.043880109502223826</x:v>
      </x:c>
      <x:c r="V52" s="9" t="n">
        <x:f>H52*MAX(0,AB51-O52)*tun_OvercapLoss</x:f>
        <x:v>0</x:v>
      </x:c>
      <x:c r="W52" s="9" t="n">
        <x:f>H52*Y51/(tun_ChildYears*4)</x:f>
        <x:v>0.2955684409081399</x:v>
      </x:c>
      <x:c r="X52" s="9" t="n">
        <x:f>H52*Z51/(tun_AdultYears*4)</x:f>
        <x:v>0.08888402192544669</x:v>
      </x:c>
      <x:c r="Y52" s="32" t="n">
        <x:f>Y51+R52-S52-W52-Y51*V52/AB51</x:f>
        <x:v>16.929541975532327</x:v>
      </x:c>
      <x:c r="Z52" s="32" t="n">
        <x:f>Z51+W52-X52-T52-Z51*V52/AB51</x:f>
        <x:v>11.197993686261505</x:v>
      </x:c>
      <x:c r="AA52" s="32" t="n">
        <x:f>AA51+X52-U52-AA51*V52/AB51</x:f>
        <x:v>3.3567102899495493</x:v>
      </x:c>
      <x:c r="AB52" s="10" t="n">
        <x:f>Y52+Z52+AA52</x:f>
        <x:v>31.484245951743382</x:v>
      </x:c>
      <x:c r="AC52" s="8" t="n">
        <x:f>IF(AND(tun_WinterTrigger=1,D52=1,AB51/AE51&gt;=K52),1,0)</x:f>
        <x:v>0</x:v>
      </x:c>
      <x:c r="AD52" s="8" t="n">
        <x:f>H52*IF(AND(OR(AB51/AE51&gt;=tun_FissionTrigger*N52,AC52=1),AB51/AE51*tun_DaughterShare&gt;=tun_MinDaughter),MAX(1,ROUND(AE51*tun_FissionRate,0)),0)</x:f>
        <x:v>0</x:v>
      </x:c>
      <x:c r="AE52" s="8" t="n">
        <x:f>IF(H52=1,MAX(1,MIN(INDEX(tun_Smax,G52),AE51+AD52)),AE51)</x:f>
        <x:v>2</x:v>
      </x:c>
      <x:c r="AF52" s="8" t="n">
        <x:f>MAX(0,AE52-AE51)</x:f>
        <x:v>0</x:v>
      </x:c>
      <x:c r="AG52" s="9" t="str">
        <x:f>IF(AF52&gt;0,B52,"")</x:f>
      </x:c>
      <x:c r="AH52" s="9" t="n">
        <x:f>IF(F52&gt;=1,1,(1+tun_LowTiesShare*(AE52-1))/AE52)</x:f>
        <x:v>1</x:v>
      </x:c>
      <x:c r="AI52" s="32" t="n">
        <x:f>(Z52+tun_ElderCommons*INDEX(LM_Elder,G52)*AA52)*AH52</x:f>
        <x:v>19.420221110987672</x:v>
      </x:c>
      <x:c r="AJ52" s="32" t="n">
        <x:f>H52*tun_CommonsCoef*AI52^tun_CommonsExp*INDEX(LM_Commons,G52)</x:f>
        <x:v>65.71279917829722</x:v>
      </x:c>
      <x:c r="AK52" s="32" t="n">
        <x:f>H52*tun_RoleScale*Arch_Roles*(AE52*(INDEX(tun_ElderRolePerSett,G52)*tun_OutElder*INDEX(LM_Elder,G52)+INDEX(tun_ShamanPerSett,G52)*tun_OutShaman)+Z52*(INDEX(tun_PriestShare,G52)*tun_OutPriest+INDEX(tun_ScribeShare,G52)*tun_OutScribe*INDEX(LM_Scribe,G52)+INDEX(tun_ScholarShare,G52)*tun_OutScholar*INDEX(LM_Scholar,G52)+INDEX(tun_ResearcherShare,G52)*tun_OutResearcher*INDEX(LM_Researcher,G52)))</x:f>
        <x:v>21.79795897113271</x:v>
      </x:c>
      <x:c r="AL52" s="32" t="n">
        <x:f>H52*tun_RoleScale*Arch_Roles*AE52*INDEX(tun_MonasteryPerSett,G52)*tun_OutMonastery*INDEX(LM_Monastery,G52)</x:f>
        <x:v>0</x:v>
      </x:c>
      <x:c r="AM52" s="32" t="n">
        <x:f>(AJ52+AK52+AL52)/4*INDEX(LM_All,G52)*INDEX(tun_Boon,G52)*Arch_Insight</x:f>
        <x:v>22.42463177579142</x:v>
      </x:c>
      <x:c r="AN52" s="32" t="n">
        <x:f>H52*(tun_KHPerAdult*Z52+tun_KHOfCommons*AJ52/4*INDEX(LM_All,G52))*tun_KHUsable*Arch_KH</x:f>
        <x:v>4.024908949670704</x:v>
      </x:c>
      <x:c r="AO52" s="32" t="n">
        <x:f>MIN(AP51+AN52,AM52*tun_KHMaxRatio)</x:f>
        <x:v>4.024908949670704</x:v>
      </x:c>
      <x:c r="AP52" s="32" t="n">
        <x:f>AP51+AN52-AO52</x:f>
        <x:v>0</x:v>
      </x:c>
      <x:c r="AQ52" s="32" t="n">
        <x:f>AM52+AO52</x:f>
        <x:v>26.44954072546212</x:v>
      </x:c>
      <x:c r="AR52" s="10" t="n">
        <x:f>IF(H52=1,INDEX(tun_Req,G52),0)</x:f>
        <x:v>1075.552</x:v>
      </x:c>
      <x:c r="AS52" s="32" t="n">
        <x:f>IF(H52=1,IF(E52=1,AS51-AR51,AS51)+AQ52,0)</x:f>
        <x:v>448.9000422283257</x:v>
      </x:c>
      <x:c r="AT52" s="11" t="n">
        <x:f>IF(AR52&gt;0,MIN(1,AS52/AR52),1)</x:f>
        <x:v>0.4173671214672333</x:v>
      </x:c>
      <x:c r="AU52" s="10" t="n">
        <x:f>AB52/INDEX(tun_RepScale,G52)</x:f>
        <x:v>31.484245951743382</x:v>
      </x:c>
      <x:c r="AV52" s="32" t="n">
        <x:f>AM52*60/tun_SeasonSeconds</x:f>
        <x:v>89.69852710316567</x:v>
      </x:c>
    </x:row>
    <x:row r="53">
      <x:c r="A53" s="8" t="n">
        <x:f>A52+1</x:f>
        <x:v>50</x:v>
      </x:c>
      <x:c r="B53" s="9" t="n">
        <x:f>A53*tun_SeasonSeconds/60</x:f>
        <x:v>12.5</x:v>
      </x:c>
      <x:c r="C53" s="9" t="n">
        <x:f>A53/4</x:f>
        <x:v>12.5</x:v>
      </x:c>
      <x:c r="D53" s="8" t="n">
        <x:f>IF(MOD(A53,4)=0,1,0)</x:f>
        <x:v>0</x:v>
      </x:c>
      <x:c r="E53" s="8" t="n">
        <x:f>IF(AND(F52&lt;=9,AS52&gt;=AR52),1,0)</x:f>
        <x:v>0</x:v>
      </x:c>
      <x:c r="F53" s="8" t="n">
        <x:f>MIN(10,F52+E53)</x:f>
        <x:v>1</x:v>
      </x:c>
      <x:c r="G53" s="8" t="n">
        <x:f>MIN(F53,9)+1</x:f>
        <x:v>2</x:v>
      </x:c>
      <x:c r="H53" s="8" t="n">
        <x:f>IF(F53&lt;=9,1,0)</x:f>
        <x:v>1</x:v>
      </x:c>
      <x:c r="I53" s="9" t="n">
        <x:f>MIN(10,F52+IF(AR52&gt;0,MIN(1,AS52/AR52),1))</x:f>
        <x:v>1.4173671214672332</x:v>
      </x:c>
      <x:c r="J53" s="32" t="n">
        <x:f>INDEX(tun_FoodCap,G53)*Arch_FoodCap*EXP(tun_CapsByProject*SUMPRODUCT((Cap_Point&lt;=I53)*(Cap_Kind="Food")*Cap_Ln))</x:f>
        <x:v>30.443212800000012</x:v>
      </x:c>
      <x:c r="K53" s="32" t="n">
        <x:f>J53*MIN(1,tun_LeanBase*EXP(tun_CapsByProject*SUMPRODUCT((Cap_Point&lt;=I53)*(Cap_Kind="Lean")*Cap_Ln)))</x:f>
        <x:v>30.443212800000012</x:v>
      </x:c>
      <x:c r="L53" s="10" t="n">
        <x:f>INDEX(tun_HousingCap,G53)*EXP(tun_CapsByProject*SUMPRODUCT((Cap_Point&lt;=I53)*(Cap_Kind="Housing")*Cap_Ln))</x:f>
        <x:v>60</x:v>
      </x:c>
      <x:c r="M53" s="10" t="n">
        <x:f>INDEX(tun_GroupCap,G53)*tun_CohesionFactor*EXP(tun_CapsByProject*SUMPRODUCT((Cap_Point&lt;=I53)*(Cap_Kind="Group")*Cap_Ln))</x:f>
        <x:v>35</x:v>
      </x:c>
      <x:c r="N53" s="32" t="n">
        <x:f>MIN(J53,L53,M53)</x:f>
        <x:v>30.443212800000012</x:v>
      </x:c>
      <x:c r="O53" s="10" t="n">
        <x:f>AE52*N53</x:f>
        <x:v>60.886425600000024</x:v>
      </x:c>
      <x:c r="P53" s="9" t="n">
        <x:f>MIN(1,(AB52/(AE52*IF(tun_GroupInCrowding=1,N53,MIN(J53,L53))))^tun_CrowdingExp)</x:f>
        <x:v>0.01911775553365024</x:v>
      </x:c>
      <x:c r="Q53" s="9" t="n">
        <x:f>IF(D53=1,INDEX(tun_WinterMult,G53),1)</x:f>
        <x:v>1</x:v>
      </x:c>
      <x:c r="R53" s="9" t="n">
        <x:f>H53*Z52*tun_WomenShare*tun_BaseFertility*INDEX(tun_FertMult,G53)*Arch_Fertility*(1-P53)</x:f>
        <x:v>0.8210475102423899</x:v>
      </x:c>
      <x:c r="S53" s="9" t="n">
        <x:f>H53*Y52*INDEX(tun_MortChild,G53)/4*Q53</x:f>
        <x:v>0.1396687212981417</x:v>
      </x:c>
      <x:c r="T53" s="9" t="n">
        <x:f>H53*Z52*INDEX(tun_MortAdult,G53)*Arch_AdultMort/4*Q53</x:f>
        <x:v>0.030794482637219137</x:v>
      </x:c>
      <x:c r="U53" s="9" t="n">
        <x:f>H53*AA52*INDEX(tun_MortElder,G53)/4*Q53</x:f>
        <x:v>0.04447641134183153</x:v>
      </x:c>
      <x:c r="V53" s="9" t="n">
        <x:f>H53*MAX(0,AB52-O53)*tun_OvercapLoss</x:f>
        <x:v>0</x:v>
      </x:c>
      <x:c r="W53" s="9" t="n">
        <x:f>H53*Y52/(tun_ChildYears*4)</x:f>
        <x:v>0.30231324956307726</x:v>
      </x:c>
      <x:c r="X53" s="9" t="n">
        <x:f>H53*Z52/(tun_AdultYears*4)</x:f>
        <x:v>0.09030640069565729</x:v>
      </x:c>
      <x:c r="Y53" s="32" t="n">
        <x:f>Y52+R53-S53-W53-Y52*V53/AB52</x:f>
        <x:v>17.308607514913497</x:v>
      </x:c>
      <x:c r="Z53" s="32" t="n">
        <x:f>Z52+W53-X53-T53-Z52*V53/AB52</x:f>
        <x:v>11.379206052491705</x:v>
      </x:c>
      <x:c r="AA53" s="32" t="n">
        <x:f>AA52+X53-U53-AA52*V53/AB52</x:f>
        <x:v>3.4025402793033748</x:v>
      </x:c>
      <x:c r="AB53" s="10" t="n">
        <x:f>Y53+Z53+AA53</x:f>
        <x:v>32.090353846708574</x:v>
      </x:c>
      <x:c r="AC53" s="8" t="n">
        <x:f>IF(AND(tun_WinterTrigger=1,D53=1,AB52/AE52&gt;=K53),1,0)</x:f>
        <x:v>0</x:v>
      </x:c>
      <x:c r="AD53" s="8" t="n">
        <x:f>H53*IF(AND(OR(AB52/AE52&gt;=tun_FissionTrigger*N53,AC53=1),AB52/AE52*tun_DaughterShare&gt;=tun_MinDaughter),MAX(1,ROUND(AE52*tun_FissionRate,0)),0)</x:f>
        <x:v>0</x:v>
      </x:c>
      <x:c r="AE53" s="8" t="n">
        <x:f>IF(H53=1,MAX(1,MIN(INDEX(tun_Smax,G53),AE52+AD53)),AE52)</x:f>
        <x:v>2</x:v>
      </x:c>
      <x:c r="AF53" s="8" t="n">
        <x:f>MAX(0,AE53-AE52)</x:f>
        <x:v>0</x:v>
      </x:c>
      <x:c r="AG53" s="9" t="str">
        <x:f>IF(AF53&gt;0,B53,"")</x:f>
      </x:c>
      <x:c r="AH53" s="9" t="n">
        <x:f>IF(F53&gt;=1,1,(1+tun_LowTiesShare*(AE53-1))/AE53)</x:f>
        <x:v>1</x:v>
      </x:c>
      <x:c r="AI53" s="32" t="n">
        <x:f>(Z53+tun_ElderCommons*INDEX(LM_Elder,G53)*AA53)*AH53</x:f>
        <x:v>19.71369356605193</x:v>
      </x:c>
      <x:c r="AJ53" s="32" t="n">
        <x:f>H53*tun_CommonsCoef*AI53^tun_CommonsExp*INDEX(LM_Commons,G53)</x:f>
        <x:v>66.55592502065879</x:v>
      </x:c>
      <x:c r="AK53" s="32" t="n">
        <x:f>H53*tun_RoleScale*Arch_Roles*(AE53*(INDEX(tun_ElderRolePerSett,G53)*tun_OutElder*INDEX(LM_Elder,G53)+INDEX(tun_ShamanPerSett,G53)*tun_OutShaman)+Z53*(INDEX(tun_PriestShare,G53)*tun_OutPriest+INDEX(tun_ScribeShare,G53)*tun_OutScribe*INDEX(LM_Scribe,G53)+INDEX(tun_ScholarShare,G53)*tun_OutScholar*INDEX(LM_Scholar,G53)+INDEX(tun_ResearcherShare,G53)*tun_OutResearcher*INDEX(LM_Researcher,G53)))</x:f>
        <x:v>21.79795897113271</x:v>
      </x:c>
      <x:c r="AL53" s="32" t="n">
        <x:f>H53*tun_RoleScale*Arch_Roles*AE53*INDEX(tun_MonasteryPerSett,G53)*tun_OutMonastery*INDEX(LM_Monastery,G53)</x:f>
        <x:v>0</x:v>
      </x:c>
      <x:c r="AM53" s="32" t="n">
        <x:f>(AJ53+AK53+AL53)/4*INDEX(LM_All,G53)*INDEX(tun_Boon,G53)*Arch_Insight</x:f>
        <x:v>22.64068277289657</x:v>
      </x:c>
      <x:c r="AN53" s="32" t="n">
        <x:f>H53*(tun_KHPerAdult*Z53+tun_KHOfCommons*AJ53/4*INDEX(LM_All,G53))*tun_KHUsable*Arch_KH</x:f>
        <x:v>4.0765504075153505</x:v>
      </x:c>
      <x:c r="AO53" s="32" t="n">
        <x:f>MIN(AP52+AN53,AM53*tun_KHMaxRatio)</x:f>
        <x:v>4.0765504075153505</x:v>
      </x:c>
      <x:c r="AP53" s="32" t="n">
        <x:f>AP52+AN53-AO53</x:f>
        <x:v>0</x:v>
      </x:c>
      <x:c r="AQ53" s="32" t="n">
        <x:f>AM53+AO53</x:f>
        <x:v>26.717233180411924</x:v>
      </x:c>
      <x:c r="AR53" s="10" t="n">
        <x:f>IF(H53=1,INDEX(tun_Req,G53),0)</x:f>
        <x:v>1075.552</x:v>
      </x:c>
      <x:c r="AS53" s="32" t="n">
        <x:f>IF(H53=1,IF(E53=1,AS52-AR52,AS52)+AQ53,0)</x:f>
        <x:v>475.6172754087376</x:v>
      </x:c>
      <x:c r="AT53" s="11" t="n">
        <x:f>IF(AR53&gt;0,MIN(1,AS53/AR53),1)</x:f>
        <x:v>0.4422076063349217</x:v>
      </x:c>
      <x:c r="AU53" s="10" t="n">
        <x:f>AB53/INDEX(tun_RepScale,G53)</x:f>
        <x:v>32.090353846708574</x:v>
      </x:c>
      <x:c r="AV53" s="32" t="n">
        <x:f>AM53*60/tun_SeasonSeconds</x:f>
        <x:v>90.56273109158629</x:v>
      </x:c>
    </x:row>
    <x:row r="54">
      <x:c r="A54" s="8" t="n">
        <x:f>A53+1</x:f>
        <x:v>51</x:v>
      </x:c>
      <x:c r="B54" s="9" t="n">
        <x:f>A54*tun_SeasonSeconds/60</x:f>
        <x:v>12.75</x:v>
      </x:c>
      <x:c r="C54" s="9" t="n">
        <x:f>A54/4</x:f>
        <x:v>12.75</x:v>
      </x:c>
      <x:c r="D54" s="8" t="n">
        <x:f>IF(MOD(A54,4)=0,1,0)</x:f>
        <x:v>0</x:v>
      </x:c>
      <x:c r="E54" s="8" t="n">
        <x:f>IF(AND(F53&lt;=9,AS53&gt;=AR53),1,0)</x:f>
        <x:v>0</x:v>
      </x:c>
      <x:c r="F54" s="8" t="n">
        <x:f>MIN(10,F53+E54)</x:f>
        <x:v>1</x:v>
      </x:c>
      <x:c r="G54" s="8" t="n">
        <x:f>MIN(F54,9)+1</x:f>
        <x:v>2</x:v>
      </x:c>
      <x:c r="H54" s="8" t="n">
        <x:f>IF(F54&lt;=9,1,0)</x:f>
        <x:v>1</x:v>
      </x:c>
      <x:c r="I54" s="9" t="n">
        <x:f>MIN(10,F53+IF(AR53&gt;0,MIN(1,AS53/AR53),1))</x:f>
        <x:v>1.4422076063349216</x:v>
      </x:c>
      <x:c r="J54" s="32" t="n">
        <x:f>INDEX(tun_FoodCap,G54)*Arch_FoodCap*EXP(tun_CapsByProject*SUMPRODUCT((Cap_Point&lt;=I54)*(Cap_Kind="Food")*Cap_Ln))</x:f>
        <x:v>30.443212800000012</x:v>
      </x:c>
      <x:c r="K54" s="32" t="n">
        <x:f>J54*MIN(1,tun_LeanBase*EXP(tun_CapsByProject*SUMPRODUCT((Cap_Point&lt;=I54)*(Cap_Kind="Lean")*Cap_Ln)))</x:f>
        <x:v>30.443212800000012</x:v>
      </x:c>
      <x:c r="L54" s="10" t="n">
        <x:f>INDEX(tun_HousingCap,G54)*EXP(tun_CapsByProject*SUMPRODUCT((Cap_Point&lt;=I54)*(Cap_Kind="Housing")*Cap_Ln))</x:f>
        <x:v>60</x:v>
      </x:c>
      <x:c r="M54" s="10" t="n">
        <x:f>INDEX(tun_GroupCap,G54)*tun_CohesionFactor*EXP(tun_CapsByProject*SUMPRODUCT((Cap_Point&lt;=I54)*(Cap_Kind="Group")*Cap_Ln))</x:f>
        <x:v>35</x:v>
      </x:c>
      <x:c r="N54" s="32" t="n">
        <x:f>MIN(J54,L54,M54)</x:f>
        <x:v>30.443212800000012</x:v>
      </x:c>
      <x:c r="O54" s="10" t="n">
        <x:f>AE53*N54</x:f>
        <x:v>60.886425600000024</x:v>
      </x:c>
      <x:c r="P54" s="9" t="n">
        <x:f>MIN(1,(AB53/(AE53*IF(tun_GroupInCrowding=1,N54,MIN(J54,L54))))^tun_CrowdingExp)</x:f>
        <x:v>0.021435033214981032</x:v>
      </x:c>
      <x:c r="Q54" s="9" t="n">
        <x:f>IF(D54=1,INDEX(tun_WinterMult,G54),1)</x:f>
        <x:v>1</x:v>
      </x:c>
      <x:c r="R54" s="9" t="n">
        <x:f>H54*Z53*tun_WomenShare*tun_BaseFertility*INDEX(tun_FertMult,G54)*Arch_Fertility*(1-P54)</x:f>
        <x:v>0.8323631063615332</x:v>
      </x:c>
      <x:c r="S54" s="9" t="n">
        <x:f>H54*Y53*INDEX(tun_MortChild,G54)/4*Q54</x:f>
        <x:v>0.14279601199803635</x:v>
      </x:c>
      <x:c r="T54" s="9" t="n">
        <x:f>H54*Z53*INDEX(tun_MortAdult,G54)*Arch_AdultMort/4*Q54</x:f>
        <x:v>0.03129281664435219</x:v>
      </x:c>
      <x:c r="U54" s="9" t="n">
        <x:f>H54*AA53*INDEX(tun_MortElder,G54)/4*Q54</x:f>
        <x:v>0.04508365870076971</x:v>
      </x:c>
      <x:c r="V54" s="9" t="n">
        <x:f>H54*MAX(0,AB53-O54)*tun_OvercapLoss</x:f>
        <x:v>0</x:v>
      </x:c>
      <x:c r="W54" s="9" t="n">
        <x:f>H54*Y53/(tun_ChildYears*4)</x:f>
        <x:v>0.30908227705202673</x:v>
      </x:c>
      <x:c r="X54" s="9" t="n">
        <x:f>H54*Z53/(tun_AdultYears*4)</x:f>
        <x:v>0.09176779074590084</x:v>
      </x:c>
      <x:c r="Y54" s="32" t="n">
        <x:f>Y53+R54-S54-W54-Y53*V54/AB53</x:f>
        <x:v>17.689092332224966</x:v>
      </x:c>
      <x:c r="Z54" s="32" t="n">
        <x:f>Z53+W54-X54-T54-Z53*V54/AB53</x:f>
        <x:v>11.565227722153477</x:v>
      </x:c>
      <x:c r="AA54" s="32" t="n">
        <x:f>AA53+X54-U54-AA53*V54/AB53</x:f>
        <x:v>3.4492244113485055</x:v>
      </x:c>
      <x:c r="AB54" s="10" t="n">
        <x:f>Y54+Z54+AA54</x:f>
        <x:v>32.70354446572695</x:v>
      </x:c>
      <x:c r="AC54" s="8" t="n">
        <x:f>IF(AND(tun_WinterTrigger=1,D54=1,AB53/AE53&gt;=K54),1,0)</x:f>
        <x:v>0</x:v>
      </x:c>
      <x:c r="AD54" s="8" t="n">
        <x:f>H54*IF(AND(OR(AB53/AE53&gt;=tun_FissionTrigger*N54,AC54=1),AB53/AE53*tun_DaughterShare&gt;=tun_MinDaughter),MAX(1,ROUND(AE53*tun_FissionRate,0)),0)</x:f>
        <x:v>0</x:v>
      </x:c>
      <x:c r="AE54" s="8" t="n">
        <x:f>IF(H54=1,MAX(1,MIN(INDEX(tun_Smax,G54),AE53+AD54)),AE53)</x:f>
        <x:v>2</x:v>
      </x:c>
      <x:c r="AF54" s="8" t="n">
        <x:f>MAX(0,AE54-AE53)</x:f>
        <x:v>0</x:v>
      </x:c>
      <x:c r="AG54" s="9" t="str">
        <x:f>IF(AF54&gt;0,B54,"")</x:f>
      </x:c>
      <x:c r="AH54" s="9" t="n">
        <x:f>IF(F54&gt;=1,1,(1+tun_LowTiesShare*(AE54-1))/AE54)</x:f>
        <x:v>1</x:v>
      </x:c>
      <x:c r="AI54" s="32" t="n">
        <x:f>(Z54+tun_ElderCommons*INDEX(LM_Elder,G54)*AA54)*AH54</x:f>
        <x:v>20.014067538308986</x:v>
      </x:c>
      <x:c r="AJ54" s="32" t="n">
        <x:f>H54*tun_CommonsCoef*AI54^tun_CommonsExp*INDEX(LM_Commons,G54)</x:f>
        <x:v>67.41693115498042</x:v>
      </x:c>
      <x:c r="AK54" s="32" t="n">
        <x:f>H54*tun_RoleScale*Arch_Roles*(AE54*(INDEX(tun_ElderRolePerSett,G54)*tun_OutElder*INDEX(LM_Elder,G54)+INDEX(tun_ShamanPerSett,G54)*tun_OutShaman)+Z54*(INDEX(tun_PriestShare,G54)*tun_OutPriest+INDEX(tun_ScribeShare,G54)*tun_OutScribe*INDEX(LM_Scribe,G54)+INDEX(tun_ScholarShare,G54)*tun_OutScholar*INDEX(LM_Scholar,G54)+INDEX(tun_ResearcherShare,G54)*tun_OutResearcher*INDEX(LM_Researcher,G54)))</x:f>
        <x:v>21.79795897113271</x:v>
      </x:c>
      <x:c r="AL54" s="32" t="n">
        <x:f>H54*tun_RoleScale*Arch_Roles*AE54*INDEX(tun_MonasteryPerSett,G54)*tun_OutMonastery*INDEX(LM_Monastery,G54)</x:f>
        <x:v>0</x:v>
      </x:c>
      <x:c r="AM54" s="32" t="n">
        <x:f>(AJ54+AK54+AL54)/4*INDEX(LM_All,G54)*INDEX(tun_Boon,G54)*Arch_Insight</x:f>
        <x:v>22.86131559481649</x:v>
      </x:c>
      <x:c r="AN54" s="32" t="n">
        <x:f>H54*(tun_KHPerAdult*Z54+tun_KHOfCommons*AJ54/4*INDEX(LM_All,G54))*tun_KHUsable*Arch_KH</x:f>
        <x:v>4.129287033242551</x:v>
      </x:c>
      <x:c r="AO54" s="32" t="n">
        <x:f>MIN(AP53+AN54,AM54*tun_KHMaxRatio)</x:f>
        <x:v>4.129287033242551</x:v>
      </x:c>
      <x:c r="AP54" s="32" t="n">
        <x:f>AP53+AN54-AO54</x:f>
        <x:v>0</x:v>
      </x:c>
      <x:c r="AQ54" s="32" t="n">
        <x:f>AM54+AO54</x:f>
        <x:v>26.99060262805904</x:v>
      </x:c>
      <x:c r="AR54" s="10" t="n">
        <x:f>IF(H54=1,INDEX(tun_Req,G54),0)</x:f>
        <x:v>1075.552</x:v>
      </x:c>
      <x:c r="AS54" s="32" t="n">
        <x:f>IF(H54=1,IF(E54=1,AS53-AR53,AS53)+AQ54,0)</x:f>
        <x:v>502.60787803679665</x:v>
      </x:c>
      <x:c r="AT54" s="11" t="n">
        <x:f>IF(AR54&gt;0,MIN(1,AS54/AR54),1)</x:f>
        <x:v>0.46730225785159313</x:v>
      </x:c>
      <x:c r="AU54" s="10" t="n">
        <x:f>AB54/INDEX(tun_RepScale,G54)</x:f>
        <x:v>32.70354446572695</x:v>
      </x:c>
      <x:c r="AV54" s="32" t="n">
        <x:f>AM54*60/tun_SeasonSeconds</x:f>
        <x:v>91.44526237926597</x:v>
      </x:c>
    </x:row>
    <x:row r="55">
      <x:c r="A55" s="8" t="n">
        <x:f>A54+1</x:f>
        <x:v>52</x:v>
      </x:c>
      <x:c r="B55" s="9" t="n">
        <x:f>A55*tun_SeasonSeconds/60</x:f>
        <x:v>13</x:v>
      </x:c>
      <x:c r="C55" s="9" t="n">
        <x:f>A55/4</x:f>
        <x:v>13</x:v>
      </x:c>
      <x:c r="D55" s="8" t="n">
        <x:f>IF(MOD(A55,4)=0,1,0)</x:f>
        <x:v>1</x:v>
      </x:c>
      <x:c r="E55" s="8" t="n">
        <x:f>IF(AND(F54&lt;=9,AS54&gt;=AR54),1,0)</x:f>
        <x:v>0</x:v>
      </x:c>
      <x:c r="F55" s="8" t="n">
        <x:f>MIN(10,F54+E55)</x:f>
        <x:v>1</x:v>
      </x:c>
      <x:c r="G55" s="8" t="n">
        <x:f>MIN(F55,9)+1</x:f>
        <x:v>2</x:v>
      </x:c>
      <x:c r="H55" s="8" t="n">
        <x:f>IF(F55&lt;=9,1,0)</x:f>
        <x:v>1</x:v>
      </x:c>
      <x:c r="I55" s="9" t="n">
        <x:f>MIN(10,F54+IF(AR54&gt;0,MIN(1,AS54/AR54),1))</x:f>
        <x:v>1.467302257851593</x:v>
      </x:c>
      <x:c r="J55" s="32" t="n">
        <x:f>INDEX(tun_FoodCap,G55)*Arch_FoodCap*EXP(tun_CapsByProject*SUMPRODUCT((Cap_Point&lt;=I55)*(Cap_Kind="Food")*Cap_Ln))</x:f>
        <x:v>31.660941312000013</x:v>
      </x:c>
      <x:c r="K55" s="32" t="n">
        <x:f>J55*MIN(1,tun_LeanBase*EXP(tun_CapsByProject*SUMPRODUCT((Cap_Point&lt;=I55)*(Cap_Kind="Lean")*Cap_Ln)))</x:f>
        <x:v>31.660941312000013</x:v>
      </x:c>
      <x:c r="L55" s="10" t="n">
        <x:f>INDEX(tun_HousingCap,G55)*EXP(tun_CapsByProject*SUMPRODUCT((Cap_Point&lt;=I55)*(Cap_Kind="Housing")*Cap_Ln))</x:f>
        <x:v>60</x:v>
      </x:c>
      <x:c r="M55" s="10" t="n">
        <x:f>INDEX(tun_GroupCap,G55)*tun_CohesionFactor*EXP(tun_CapsByProject*SUMPRODUCT((Cap_Point&lt;=I55)*(Cap_Kind="Group")*Cap_Ln))</x:f>
        <x:v>35</x:v>
      </x:c>
      <x:c r="N55" s="32" t="n">
        <x:f>MIN(J55,L55,M55)</x:f>
        <x:v>31.660941312000013</x:v>
      </x:c>
      <x:c r="O55" s="10" t="n">
        <x:f>AE54*N55</x:f>
        <x:v>63.321882624000025</x:v>
      </x:c>
      <x:c r="P55" s="9" t="n">
        <x:f>MIN(1,(AB54/(AE54*IF(tun_GroupInCrowding=1,N55,MIN(J55,L55))))^tun_CrowdingExp)</x:f>
        <x:v>0.018977807553714768</x:v>
      </x:c>
      <x:c r="Q55" s="9" t="n">
        <x:f>IF(D55=1,INDEX(tun_WinterMult,G55),1)</x:f>
        <x:v>1.7</x:v>
      </x:c>
      <x:c r="R55" s="9" t="n">
        <x:f>H55*Z54*tun_WomenShare*tun_BaseFertility*INDEX(tun_FertMult,G55)*Arch_Fertility*(1-P55)</x:f>
        <x:v>0.848094442945535</x:v>
      </x:c>
      <x:c r="S55" s="9" t="n">
        <x:f>H55*Y54*INDEX(tun_MortChild,G55)/4*Q55</x:f>
        <x:v>0.2480895199594552</x:v>
      </x:c>
      <x:c r="T55" s="9" t="n">
        <x:f>H55*Z54*INDEX(tun_MortAdult,G55)*Arch_AdultMort/4*Q55</x:f>
        <x:v>0.0540674396010675</x:v>
      </x:c>
      <x:c r="U55" s="9" t="n">
        <x:f>H55*AA54*INDEX(tun_MortElder,G55)/4*Q55</x:f>
        <x:v>0.07769377986562508</x:v>
      </x:c>
      <x:c r="V55" s="9" t="n">
        <x:f>H55*MAX(0,AB54-O55)*tun_OvercapLoss</x:f>
        <x:v>0</x:v>
      </x:c>
      <x:c r="W55" s="9" t="n">
        <x:f>H55*Y54/(tun_ChildYears*4)</x:f>
        <x:v>0.31587664878973154</x:v>
      </x:c>
      <x:c r="X55" s="9" t="n">
        <x:f>H55*Z54/(tun_AdultYears*4)</x:f>
        <x:v>0.09326796550123771</x:v>
      </x:c>
      <x:c r="Y55" s="32" t="n">
        <x:f>Y54+R55-S55-W55-Y54*V55/AB54</x:f>
        <x:v>17.973220606421314</x:v>
      </x:c>
      <x:c r="Z55" s="32" t="n">
        <x:f>Z54+W55-X55-T55-Z54*V55/AB54</x:f>
        <x:v>11.733768965840904</x:v>
      </x:c>
      <x:c r="AA55" s="32" t="n">
        <x:f>AA54+X55-U55-AA54*V55/AB54</x:f>
        <x:v>3.464798596984118</x:v>
      </x:c>
      <x:c r="AB55" s="10" t="n">
        <x:f>Y55+Z55+AA55</x:f>
        <x:v>33.171788169246334</x:v>
      </x:c>
      <x:c r="AC55" s="8" t="n">
        <x:f>IF(AND(tun_WinterTrigger=1,D55=1,AB54/AE54&gt;=K55),1,0)</x:f>
        <x:v>0</x:v>
      </x:c>
      <x:c r="AD55" s="8" t="n">
        <x:f>H55*IF(AND(OR(AB54/AE54&gt;=tun_FissionTrigger*N55,AC55=1),AB54/AE54*tun_DaughterShare&gt;=tun_MinDaughter),MAX(1,ROUND(AE54*tun_FissionRate,0)),0)</x:f>
        <x:v>0</x:v>
      </x:c>
      <x:c r="AE55" s="8" t="n">
        <x:f>IF(H55=1,MAX(1,MIN(INDEX(tun_Smax,G55),AE54+AD55)),AE54)</x:f>
        <x:v>2</x:v>
      </x:c>
      <x:c r="AF55" s="8" t="n">
        <x:f>MAX(0,AE55-AE54)</x:f>
        <x:v>0</x:v>
      </x:c>
      <x:c r="AG55" s="9" t="str">
        <x:f>IF(AF55&gt;0,B55,"")</x:f>
      </x:c>
      <x:c r="AH55" s="9" t="n">
        <x:f>IF(F55&gt;=1,1,(1+tun_LowTiesShare*(AE55-1))/AE55)</x:f>
        <x:v>1</x:v>
      </x:c>
      <x:c r="AI55" s="32" t="n">
        <x:f>(Z55+tun_ElderCommons*INDEX(LM_Elder,G55)*AA55)*AH55</x:f>
        <x:v>20.220757589963046</x:v>
      </x:c>
      <x:c r="AJ55" s="32" t="n">
        <x:f>H55*tun_CommonsCoef*AI55^tun_CommonsExp*INDEX(LM_Commons,G55)</x:f>
        <x:v>68.00827071411035</x:v>
      </x:c>
      <x:c r="AK55" s="32" t="n">
        <x:f>H55*tun_RoleScale*Arch_Roles*(AE55*(INDEX(tun_ElderRolePerSett,G55)*tun_OutElder*INDEX(LM_Elder,G55)+INDEX(tun_ShamanPerSett,G55)*tun_OutShaman)+Z55*(INDEX(tun_PriestShare,G55)*tun_OutPriest+INDEX(tun_ScribeShare,G55)*tun_OutScribe*INDEX(LM_Scribe,G55)+INDEX(tun_ScholarShare,G55)*tun_OutScholar*INDEX(LM_Scholar,G55)+INDEX(tun_ResearcherShare,G55)*tun_OutResearcher*INDEX(LM_Researcher,G55)))</x:f>
        <x:v>21.79795897113271</x:v>
      </x:c>
      <x:c r="AL55" s="32" t="n">
        <x:f>H55*tun_RoleScale*Arch_Roles*AE55*INDEX(tun_MonasteryPerSett,G55)*tun_OutMonastery*INDEX(LM_Monastery,G55)</x:f>
        <x:v>0</x:v>
      </x:c>
      <x:c r="AM55" s="32" t="n">
        <x:f>(AJ55+AK55+AL55)/4*INDEX(LM_All,G55)*INDEX(tun_Boon,G55)*Arch_Insight</x:f>
        <x:v>23.012846356843536</x:v>
      </x:c>
      <x:c r="AN55" s="32" t="n">
        <x:f>H55*(tun_KHPerAdult*Z55+tun_KHOfCommons*AJ55/4*INDEX(LM_All,G55))*tun_KHUsable*Arch_KH</x:f>
        <x:v>4.165506581239259</x:v>
      </x:c>
      <x:c r="AO55" s="32" t="n">
        <x:f>MIN(AP54+AN55,AM55*tun_KHMaxRatio)</x:f>
        <x:v>4.165506581239259</x:v>
      </x:c>
      <x:c r="AP55" s="32" t="n">
        <x:f>AP54+AN55-AO55</x:f>
        <x:v>0</x:v>
      </x:c>
      <x:c r="AQ55" s="32" t="n">
        <x:f>AM55+AO55</x:f>
        <x:v>27.178352938082796</x:v>
      </x:c>
      <x:c r="AR55" s="10" t="n">
        <x:f>IF(H55=1,INDEX(tun_Req,G55),0)</x:f>
        <x:v>1075.552</x:v>
      </x:c>
      <x:c r="AS55" s="32" t="n">
        <x:f>IF(H55=1,IF(E55=1,AS54-AR54,AS54)+AQ55,0)</x:f>
        <x:v>529.7862309748795</x:v>
      </x:c>
      <x:c r="AT55" s="11" t="n">
        <x:f>IF(AR55&gt;0,MIN(1,AS55/AR55),1)</x:f>
        <x:v>0.4925714711839869</x:v>
      </x:c>
      <x:c r="AU55" s="10" t="n">
        <x:f>AB55/INDEX(tun_RepScale,G55)</x:f>
        <x:v>33.171788169246334</x:v>
      </x:c>
      <x:c r="AV55" s="32" t="n">
        <x:f>AM55*60/tun_SeasonSeconds</x:f>
        <x:v>92.05138542737414</x:v>
      </x:c>
    </x:row>
    <x:row r="56">
      <x:c r="A56" s="8" t="n">
        <x:f>A55+1</x:f>
        <x:v>53</x:v>
      </x:c>
      <x:c r="B56" s="9" t="n">
        <x:f>A56*tun_SeasonSeconds/60</x:f>
        <x:v>13.25</x:v>
      </x:c>
      <x:c r="C56" s="9" t="n">
        <x:f>A56/4</x:f>
        <x:v>13.25</x:v>
      </x:c>
      <x:c r="D56" s="8" t="n">
        <x:f>IF(MOD(A56,4)=0,1,0)</x:f>
        <x:v>0</x:v>
      </x:c>
      <x:c r="E56" s="8" t="n">
        <x:f>IF(AND(F55&lt;=9,AS55&gt;=AR55),1,0)</x:f>
        <x:v>0</x:v>
      </x:c>
      <x:c r="F56" s="8" t="n">
        <x:f>MIN(10,F55+E56)</x:f>
        <x:v>1</x:v>
      </x:c>
      <x:c r="G56" s="8" t="n">
        <x:f>MIN(F56,9)+1</x:f>
        <x:v>2</x:v>
      </x:c>
      <x:c r="H56" s="8" t="n">
        <x:f>IF(F56&lt;=9,1,0)</x:f>
        <x:v>1</x:v>
      </x:c>
      <x:c r="I56" s="9" t="n">
        <x:f>MIN(10,F55+IF(AR55&gt;0,MIN(1,AS55/AR55),1))</x:f>
        <x:v>1.4925714711839868</x:v>
      </x:c>
      <x:c r="J56" s="32" t="n">
        <x:f>INDEX(tun_FoodCap,G56)*Arch_FoodCap*EXP(tun_CapsByProject*SUMPRODUCT((Cap_Point&lt;=I56)*(Cap_Kind="Food")*Cap_Ln))</x:f>
        <x:v>31.660941312000013</x:v>
      </x:c>
      <x:c r="K56" s="32" t="n">
        <x:f>J56*MIN(1,tun_LeanBase*EXP(tun_CapsByProject*SUMPRODUCT((Cap_Point&lt;=I56)*(Cap_Kind="Lean")*Cap_Ln)))</x:f>
        <x:v>31.660941312000013</x:v>
      </x:c>
      <x:c r="L56" s="10" t="n">
        <x:f>INDEX(tun_HousingCap,G56)*EXP(tun_CapsByProject*SUMPRODUCT((Cap_Point&lt;=I56)*(Cap_Kind="Housing")*Cap_Ln))</x:f>
        <x:v>60</x:v>
      </x:c>
      <x:c r="M56" s="10" t="n">
        <x:f>INDEX(tun_GroupCap,G56)*tun_CohesionFactor*EXP(tun_CapsByProject*SUMPRODUCT((Cap_Point&lt;=I56)*(Cap_Kind="Group")*Cap_Ln))</x:f>
        <x:v>35</x:v>
      </x:c>
      <x:c r="N56" s="32" t="n">
        <x:f>MIN(J56,L56,M56)</x:f>
        <x:v>31.660941312000013</x:v>
      </x:c>
      <x:c r="O56" s="10" t="n">
        <x:f>AE55*N56</x:f>
        <x:v>63.321882624000025</x:v>
      </x:c>
      <x:c r="P56" s="9" t="n">
        <x:f>MIN(1,(AB55/(AE55*IF(tun_GroupInCrowding=1,N56,MIN(J56,L56))))^tun_CrowdingExp)</x:f>
        <x:v>0.020667616284672567</x:v>
      </x:c>
      <x:c r="Q56" s="9" t="n">
        <x:f>IF(D56=1,INDEX(tun_WinterMult,G56),1)</x:f>
        <x:v>1</x:v>
      </x:c>
      <x:c r="R56" s="9" t="n">
        <x:f>H56*Z55*tun_WomenShare*tun_BaseFertility*INDEX(tun_FertMult,G56)*Arch_Fertility*(1-P56)</x:f>
        <x:v>0.8589716798633223</x:v>
      </x:c>
      <x:c r="S56" s="9" t="n">
        <x:f>H56*Y55*INDEX(tun_MortChild,G56)/4*Q56</x:f>
        <x:v>0.14827907000297585</x:v>
      </x:c>
      <x:c r="T56" s="9" t="n">
        <x:f>H56*Z55*INDEX(tun_MortAdult,G56)*Arch_AdultMort/4*Q56</x:f>
        <x:v>0.03226786465606248</x:v>
      </x:c>
      <x:c r="U56" s="9" t="n">
        <x:f>H56*AA55*INDEX(tun_MortElder,G56)/4*Q56</x:f>
        <x:v>0.04590858141003956</x:v>
      </x:c>
      <x:c r="V56" s="9" t="n">
        <x:f>H56*MAX(0,AB55-O56)*tun_OvercapLoss</x:f>
        <x:v>0</x:v>
      </x:c>
      <x:c r="W56" s="9" t="n">
        <x:f>H56*Y55/(tun_ChildYears*4)</x:f>
        <x:v>0.3209503679718092</x:v>
      </x:c>
      <x:c r="X56" s="9" t="n">
        <x:f>H56*Z55/(tun_AdultYears*4)</x:f>
        <x:v>0.09462716907936213</x:v>
      </x:c>
      <x:c r="Y56" s="32" t="n">
        <x:f>Y55+R56-S56-W56-Y55*V56/AB55</x:f>
        <x:v>18.362962848309856</x:v>
      </x:c>
      <x:c r="Z56" s="32" t="n">
        <x:f>Z55+W56-X56-T56-Z55*V56/AB55</x:f>
        <x:v>11.927824300077287</x:v>
      </x:c>
      <x:c r="AA56" s="32" t="n">
        <x:f>AA55+X56-U56-AA55*V56/AB55</x:f>
        <x:v>3.5135171846534408</x:v>
      </x:c>
      <x:c r="AB56" s="10" t="n">
        <x:f>Y56+Z56+AA56</x:f>
        <x:v>33.804304333040584</x:v>
      </x:c>
      <x:c r="AC56" s="8" t="n">
        <x:f>IF(AND(tun_WinterTrigger=1,D56=1,AB55/AE55&gt;=K56),1,0)</x:f>
        <x:v>0</x:v>
      </x:c>
      <x:c r="AD56" s="8" t="n">
        <x:f>H56*IF(AND(OR(AB55/AE55&gt;=tun_FissionTrigger*N56,AC56=1),AB55/AE55*tun_DaughterShare&gt;=tun_MinDaughter),MAX(1,ROUND(AE55*tun_FissionRate,0)),0)</x:f>
        <x:v>0</x:v>
      </x:c>
      <x:c r="AE56" s="8" t="n">
        <x:f>IF(H56=1,MAX(1,MIN(INDEX(tun_Smax,G56),AE55+AD56)),AE55)</x:f>
        <x:v>2</x:v>
      </x:c>
      <x:c r="AF56" s="8" t="n">
        <x:f>MAX(0,AE56-AE55)</x:f>
        <x:v>0</x:v>
      </x:c>
      <x:c r="AG56" s="9" t="str">
        <x:f>IF(AF56&gt;0,B56,"")</x:f>
      </x:c>
      <x:c r="AH56" s="9" t="n">
        <x:f>IF(F56&gt;=1,1,(1+tun_LowTiesShare*(AE56-1))/AE56)</x:f>
        <x:v>1</x:v>
      </x:c>
      <x:c r="AI56" s="32" t="n">
        <x:f>(Z56+tun_ElderCommons*INDEX(LM_Elder,G56)*AA56)*AH56</x:f>
        <x:v>20.53414860497832</x:v>
      </x:c>
      <x:c r="AJ56" s="32" t="n">
        <x:f>H56*tun_CommonsCoef*AI56^tun_CommonsExp*INDEX(LM_Commons,G56)</x:f>
        <x:v>68.9031565665738</x:v>
      </x:c>
      <x:c r="AK56" s="32" t="n">
        <x:f>H56*tun_RoleScale*Arch_Roles*(AE56*(INDEX(tun_ElderRolePerSett,G56)*tun_OutElder*INDEX(LM_Elder,G56)+INDEX(tun_ShamanPerSett,G56)*tun_OutShaman)+Z56*(INDEX(tun_PriestShare,G56)*tun_OutPriest+INDEX(tun_ScribeShare,G56)*tun_OutScribe*INDEX(LM_Scribe,G56)+INDEX(tun_ScholarShare,G56)*tun_OutScholar*INDEX(LM_Scholar,G56)+INDEX(tun_ResearcherShare,G56)*tun_OutResearcher*INDEX(LM_Researcher,G56)))</x:f>
        <x:v>21.79795897113271</x:v>
      </x:c>
      <x:c r="AL56" s="32" t="n">
        <x:f>H56*tun_RoleScale*Arch_Roles*AE56*INDEX(tun_MonasteryPerSett,G56)*tun_OutMonastery*INDEX(LM_Monastery,G56)</x:f>
        <x:v>0</x:v>
      </x:c>
      <x:c r="AM56" s="32" t="n">
        <x:f>(AJ56+AK56+AL56)/4*INDEX(LM_All,G56)*INDEX(tun_Boon,G56)*Arch_Insight</x:f>
        <x:v>23.242160856537293</x:v>
      </x:c>
      <x:c r="AN56" s="32" t="n">
        <x:f>H56*(tun_KHPerAdult*Z56+tun_KHOfCommons*AJ56/4*INDEX(LM_All,G56))*tun_KHUsable*Arch_KH</x:f>
        <x:v>4.2203183397026445</x:v>
      </x:c>
      <x:c r="AO56" s="32" t="n">
        <x:f>MIN(AP55+AN56,AM56*tun_KHMaxRatio)</x:f>
        <x:v>4.2203183397026445</x:v>
      </x:c>
      <x:c r="AP56" s="32" t="n">
        <x:f>AP55+AN56-AO56</x:f>
        <x:v>0</x:v>
      </x:c>
      <x:c r="AQ56" s="32" t="n">
        <x:f>AM56+AO56</x:f>
        <x:v>27.462479196239936</x:v>
      </x:c>
      <x:c r="AR56" s="10" t="n">
        <x:f>IF(H56=1,INDEX(tun_Req,G56),0)</x:f>
        <x:v>1075.552</x:v>
      </x:c>
      <x:c r="AS56" s="32" t="n">
        <x:f>IF(H56=1,IF(E56=1,AS55-AR55,AS55)+AQ56,0)</x:f>
        <x:v>557.2487101711193</x:v>
      </x:c>
      <x:c r="AT56" s="11" t="n">
        <x:f>IF(AR56&gt;0,MIN(1,AS56/AR56),1)</x:f>
        <x:v>0.5181048523652221</x:v>
      </x:c>
      <x:c r="AU56" s="10" t="n">
        <x:f>AB56/INDEX(tun_RepScale,G56)</x:f>
        <x:v>33.804304333040584</x:v>
      </x:c>
      <x:c r="AV56" s="32" t="n">
        <x:f>AM56*60/tun_SeasonSeconds</x:f>
        <x:v>92.96864342614917</x:v>
      </x:c>
    </x:row>
    <x:row r="57">
      <x:c r="A57" s="8" t="n">
        <x:f>A56+1</x:f>
        <x:v>54</x:v>
      </x:c>
      <x:c r="B57" s="9" t="n">
        <x:f>A57*tun_SeasonSeconds/60</x:f>
        <x:v>13.5</x:v>
      </x:c>
      <x:c r="C57" s="9" t="n">
        <x:f>A57/4</x:f>
        <x:v>13.5</x:v>
      </x:c>
      <x:c r="D57" s="8" t="n">
        <x:f>IF(MOD(A57,4)=0,1,0)</x:f>
        <x:v>0</x:v>
      </x:c>
      <x:c r="E57" s="8" t="n">
        <x:f>IF(AND(F56&lt;=9,AS56&gt;=AR56),1,0)</x:f>
        <x:v>0</x:v>
      </x:c>
      <x:c r="F57" s="8" t="n">
        <x:f>MIN(10,F56+E57)</x:f>
        <x:v>1</x:v>
      </x:c>
      <x:c r="G57" s="8" t="n">
        <x:f>MIN(F57,9)+1</x:f>
        <x:v>2</x:v>
      </x:c>
      <x:c r="H57" s="8" t="n">
        <x:f>IF(F57&lt;=9,1,0)</x:f>
        <x:v>1</x:v>
      </x:c>
      <x:c r="I57" s="9" t="n">
        <x:f>MIN(10,F56+IF(AR56&gt;0,MIN(1,AS56/AR56),1))</x:f>
        <x:v>1.518104852365222</x:v>
      </x:c>
      <x:c r="J57" s="32" t="n">
        <x:f>INDEX(tun_FoodCap,G57)*Arch_FoodCap*EXP(tun_CapsByProject*SUMPRODUCT((Cap_Point&lt;=I57)*(Cap_Kind="Food")*Cap_Ln))</x:f>
        <x:v>35.20049193612042</x:v>
      </x:c>
      <x:c r="K57" s="32" t="n">
        <x:f>J57*MIN(1,tun_LeanBase*EXP(tun_CapsByProject*SUMPRODUCT((Cap_Point&lt;=I57)*(Cap_Kind="Lean")*Cap_Ln)))</x:f>
        <x:v>35.20049193612042</x:v>
      </x:c>
      <x:c r="L57" s="10" t="n">
        <x:f>INDEX(tun_HousingCap,G57)*EXP(tun_CapsByProject*SUMPRODUCT((Cap_Point&lt;=I57)*(Cap_Kind="Housing")*Cap_Ln))</x:f>
        <x:v>60</x:v>
      </x:c>
      <x:c r="M57" s="10" t="n">
        <x:f>INDEX(tun_GroupCap,G57)*tun_CohesionFactor*EXP(tun_CapsByProject*SUMPRODUCT((Cap_Point&lt;=I57)*(Cap_Kind="Group")*Cap_Ln))</x:f>
        <x:v>35</x:v>
      </x:c>
      <x:c r="N57" s="32" t="n">
        <x:f>MIN(J57,L57,M57)</x:f>
        <x:v>35</x:v>
      </x:c>
      <x:c r="O57" s="10" t="n">
        <x:f>AE56*N57</x:f>
        <x:v>70</x:v>
      </x:c>
      <x:c r="P57" s="9" t="n">
        <x:f>MIN(1,(AB56/(AE56*IF(tun_GroupInCrowding=1,N57,MIN(J57,L57))))^tun_CrowdingExp)</x:f>
        <x:v>0.012256307432286399</x:v>
      </x:c>
      <x:c r="Q57" s="9" t="n">
        <x:f>IF(D57=1,INDEX(tun_WinterMult,G57),1)</x:f>
        <x:v>1</x:v>
      </x:c>
      <x:c r="R57" s="9" t="n">
        <x:f>H57*Z56*tun_WomenShare*tun_BaseFertility*INDEX(tun_FertMult,G57)*Arch_Fertility*(1-P57)</x:f>
        <x:v>0.8806770830796787</x:v>
      </x:c>
      <x:c r="S57" s="9" t="n">
        <x:f>H57*Y56*INDEX(tun_MortChild,G57)/4*Q57</x:f>
        <x:v>0.1514944434985563</x:v>
      </x:c>
      <x:c r="T57" s="9" t="n">
        <x:f>H57*Z56*INDEX(tun_MortAdult,G57)*Arch_AdultMort/4*Q57</x:f>
        <x:v>0.03280151682521254</x:v>
      </x:c>
      <x:c r="U57" s="9" t="n">
        <x:f>H57*AA56*INDEX(tun_MortElder,G57)/4*Q57</x:f>
        <x:v>0.046554102696658085</x:v>
      </x:c>
      <x:c r="V57" s="9" t="n">
        <x:f>H57*MAX(0,AB56-O57)*tun_OvercapLoss</x:f>
        <x:v>0</x:v>
      </x:c>
      <x:c r="W57" s="9" t="n">
        <x:f>H57*Y56/(tun_ChildYears*4)</x:f>
        <x:v>0.327910050862676</x:v>
      </x:c>
      <x:c r="X57" s="9" t="n">
        <x:f>H57*Z56/(tun_AdultYears*4)</x:f>
        <x:v>0.09619213145223618</x:v>
      </x:c>
      <x:c r="Y57" s="32" t="n">
        <x:f>Y56+R57-S57-W57-Y56*V57/AB56</x:f>
        <x:v>18.7642354370283</x:v>
      </x:c>
      <x:c r="Z57" s="32" t="n">
        <x:f>Z56+W57-X57-T57-Z56*V57/AB56</x:f>
        <x:v>12.126740702662515</x:v>
      </x:c>
      <x:c r="AA57" s="32" t="n">
        <x:f>AA56+X57-U57-AA56*V57/AB56</x:f>
        <x:v>3.5631552134090185</x:v>
      </x:c>
      <x:c r="AB57" s="10" t="n">
        <x:f>Y57+Z57+AA57</x:f>
        <x:v>34.45413135309983</x:v>
      </x:c>
      <x:c r="AC57" s="8" t="n">
        <x:f>IF(AND(tun_WinterTrigger=1,D57=1,AB56/AE56&gt;=K57),1,0)</x:f>
        <x:v>0</x:v>
      </x:c>
      <x:c r="AD57" s="8" t="n">
        <x:f>H57*IF(AND(OR(AB56/AE56&gt;=tun_FissionTrigger*N57,AC57=1),AB56/AE56*tun_DaughterShare&gt;=tun_MinDaughter),MAX(1,ROUND(AE56*tun_FissionRate,0)),0)</x:f>
        <x:v>0</x:v>
      </x:c>
      <x:c r="AE57" s="8" t="n">
        <x:f>IF(H57=1,MAX(1,MIN(INDEX(tun_Smax,G57),AE56+AD57)),AE56)</x:f>
        <x:v>2</x:v>
      </x:c>
      <x:c r="AF57" s="8" t="n">
        <x:f>MAX(0,AE57-AE56)</x:f>
        <x:v>0</x:v>
      </x:c>
      <x:c r="AG57" s="9" t="str">
        <x:f>IF(AF57&gt;0,B57,"")</x:f>
      </x:c>
      <x:c r="AH57" s="9" t="n">
        <x:f>IF(F57&gt;=1,1,(1+tun_LowTiesShare*(AE57-1))/AE57)</x:f>
        <x:v>1</x:v>
      </x:c>
      <x:c r="AI57" s="32" t="n">
        <x:f>(Z57+tun_ElderCommons*INDEX(LM_Elder,G57)*AA57)*AH57</x:f>
        <x:v>20.85465284985231</x:v>
      </x:c>
      <x:c r="AJ57" s="32" t="n">
        <x:f>H57*tun_CommonsCoef*AI57^tun_CommonsExp*INDEX(LM_Commons,G57)</x:f>
        <x:v>69.81623787956902</x:v>
      </x:c>
      <x:c r="AK57" s="32" t="n">
        <x:f>H57*tun_RoleScale*Arch_Roles*(AE57*(INDEX(tun_ElderRolePerSett,G57)*tun_OutElder*INDEX(LM_Elder,G57)+INDEX(tun_ShamanPerSett,G57)*tun_OutShaman)+Z57*(INDEX(tun_PriestShare,G57)*tun_OutPriest+INDEX(tun_ScribeShare,G57)*tun_OutScribe*INDEX(LM_Scribe,G57)+INDEX(tun_ScholarShare,G57)*tun_OutScholar*INDEX(LM_Scholar,G57)+INDEX(tun_ResearcherShare,G57)*tun_OutResearcher*INDEX(LM_Researcher,G57)))</x:f>
        <x:v>21.79795897113271</x:v>
      </x:c>
      <x:c r="AL57" s="32" t="n">
        <x:f>H57*tun_RoleScale*Arch_Roles*AE57*INDEX(tun_MonasteryPerSett,G57)*tun_OutMonastery*INDEX(LM_Monastery,G57)</x:f>
        <x:v>0</x:v>
      </x:c>
      <x:c r="AM57" s="32" t="n">
        <x:f>(AJ57+AK57+AL57)/4*INDEX(LM_All,G57)*INDEX(tun_Boon,G57)*Arch_Insight</x:f>
        <x:v>23.476137942992317</x:v>
      </x:c>
      <x:c r="AN57" s="32" t="n">
        <x:f>H57*(tun_KHPerAdult*Z57+tun_KHOfCommons*AJ57/4*INDEX(LM_All,G57))*tun_KHUsable*Arch_KH</x:f>
        <x:v>4.276244570123602</x:v>
      </x:c>
      <x:c r="AO57" s="32" t="n">
        <x:f>MIN(AP56+AN57,AM57*tun_KHMaxRatio)</x:f>
        <x:v>4.276244570123602</x:v>
      </x:c>
      <x:c r="AP57" s="32" t="n">
        <x:f>AP56+AN57-AO57</x:f>
        <x:v>0</x:v>
      </x:c>
      <x:c r="AQ57" s="32" t="n">
        <x:f>AM57+AO57</x:f>
        <x:v>27.75238251311592</x:v>
      </x:c>
      <x:c r="AR57" s="10" t="n">
        <x:f>IF(H57=1,INDEX(tun_Req,G57),0)</x:f>
        <x:v>1075.552</x:v>
      </x:c>
      <x:c r="AS57" s="32" t="n">
        <x:f>IF(H57=1,IF(E57=1,AS56-AR56,AS56)+AQ57,0)</x:f>
        <x:v>585.0010926842352</x:v>
      </x:c>
      <x:c r="AT57" s="11" t="n">
        <x:f>IF(AR57&gt;0,MIN(1,AS57/AR57),1)</x:f>
        <x:v>0.543907772645335</x:v>
      </x:c>
      <x:c r="AU57" s="10" t="n">
        <x:f>AB57/INDEX(tun_RepScale,G57)</x:f>
        <x:v>34.45413135309983</x:v>
      </x:c>
      <x:c r="AV57" s="32" t="n">
        <x:f>AM57*60/tun_SeasonSeconds</x:f>
        <x:v>93.90455177196927</x:v>
      </x:c>
    </x:row>
    <x:row r="58">
      <x:c r="A58" s="8" t="n">
        <x:f>A57+1</x:f>
        <x:v>55</x:v>
      </x:c>
      <x:c r="B58" s="9" t="n">
        <x:f>A58*tun_SeasonSeconds/60</x:f>
        <x:v>13.75</x:v>
      </x:c>
      <x:c r="C58" s="9" t="n">
        <x:f>A58/4</x:f>
        <x:v>13.75</x:v>
      </x:c>
      <x:c r="D58" s="8" t="n">
        <x:f>IF(MOD(A58,4)=0,1,0)</x:f>
        <x:v>0</x:v>
      </x:c>
      <x:c r="E58" s="8" t="n">
        <x:f>IF(AND(F57&lt;=9,AS57&gt;=AR57),1,0)</x:f>
        <x:v>0</x:v>
      </x:c>
      <x:c r="F58" s="8" t="n">
        <x:f>MIN(10,F57+E58)</x:f>
        <x:v>1</x:v>
      </x:c>
      <x:c r="G58" s="8" t="n">
        <x:f>MIN(F58,9)+1</x:f>
        <x:v>2</x:v>
      </x:c>
      <x:c r="H58" s="8" t="n">
        <x:f>IF(F58&lt;=9,1,0)</x:f>
        <x:v>1</x:v>
      </x:c>
      <x:c r="I58" s="9" t="n">
        <x:f>MIN(10,F57+IF(AR57&gt;0,MIN(1,AS57/AR57),1))</x:f>
        <x:v>1.543907772645335</x:v>
      </x:c>
      <x:c r="J58" s="32" t="n">
        <x:f>INDEX(tun_FoodCap,G58)*Arch_FoodCap*EXP(tun_CapsByProject*SUMPRODUCT((Cap_Point&lt;=I58)*(Cap_Kind="Food")*Cap_Ln))</x:f>
        <x:v>35.20049193612042</x:v>
      </x:c>
      <x:c r="K58" s="32" t="n">
        <x:f>J58*MIN(1,tun_LeanBase*EXP(tun_CapsByProject*SUMPRODUCT((Cap_Point&lt;=I58)*(Cap_Kind="Lean")*Cap_Ln)))</x:f>
        <x:v>35.20049193612042</x:v>
      </x:c>
      <x:c r="L58" s="10" t="n">
        <x:f>INDEX(tun_HousingCap,G58)*EXP(tun_CapsByProject*SUMPRODUCT((Cap_Point&lt;=I58)*(Cap_Kind="Housing")*Cap_Ln))</x:f>
        <x:v>60</x:v>
      </x:c>
      <x:c r="M58" s="10" t="n">
        <x:f>INDEX(tun_GroupCap,G58)*tun_CohesionFactor*EXP(tun_CapsByProject*SUMPRODUCT((Cap_Point&lt;=I58)*(Cap_Kind="Group")*Cap_Ln))</x:f>
        <x:v>35</x:v>
      </x:c>
      <x:c r="N58" s="32" t="n">
        <x:f>MIN(J58,L58,M58)</x:f>
        <x:v>35</x:v>
      </x:c>
      <x:c r="O58" s="10" t="n">
        <x:f>AE57*N58</x:f>
        <x:v>70</x:v>
      </x:c>
      <x:c r="P58" s="9" t="n">
        <x:f>MIN(1,(AB57/(AE57*IF(tun_GroupInCrowding=1,N58,MIN(J58,L58))))^tun_CrowdingExp)</x:f>
        <x:v>0.013739643337041295</x:v>
      </x:c>
      <x:c r="Q58" s="9" t="n">
        <x:f>IF(D58=1,INDEX(tun_WinterMult,G58),1)</x:f>
        <x:v>1</x:v>
      </x:c>
      <x:c r="R58" s="9" t="n">
        <x:f>H58*Z57*tun_WomenShare*tun_BaseFertility*INDEX(tun_FertMult,G58)*Arch_Fertility*(1-P58)</x:f>
        <x:v>0.8940192398898945</x:v>
      </x:c>
      <x:c r="S58" s="9" t="n">
        <x:f>H58*Y57*INDEX(tun_MortChild,G58)/4*Q58</x:f>
        <x:v>0.15480494235548348</x:v>
      </x:c>
      <x:c r="T58" s="9" t="n">
        <x:f>H58*Z57*INDEX(tun_MortAdult,G58)*Arch_AdultMort/4*Q58</x:f>
        <x:v>0.03334853693232191</x:v>
      </x:c>
      <x:c r="U58" s="9" t="n">
        <x:f>H58*AA57*INDEX(tun_MortElder,G58)/4*Q58</x:f>
        <x:v>0.0472118065776695</x:v>
      </x:c>
      <x:c r="V58" s="9" t="n">
        <x:f>H58*MAX(0,AB57-O58)*tun_OvercapLoss</x:f>
        <x:v>0</x:v>
      </x:c>
      <x:c r="W58" s="9" t="n">
        <x:f>H58*Y57/(tun_ChildYears*4)</x:f>
        <x:v>0.3350756328040768</x:v>
      </x:c>
      <x:c r="X58" s="9" t="n">
        <x:f>H58*Z57/(tun_AdultYears*4)</x:f>
        <x:v>0.09779629598921383</x:v>
      </x:c>
      <x:c r="Y58" s="32" t="n">
        <x:f>Y57+R58-S58-W58-Y57*V58/AB57</x:f>
        <x:v>19.168374101758634</x:v>
      </x:c>
      <x:c r="Z58" s="32" t="n">
        <x:f>Z57+W58-X58-T58-Z57*V58/AB57</x:f>
        <x:v>12.330671502545055</x:v>
      </x:c>
      <x:c r="AA58" s="32" t="n">
        <x:f>AA57+X58-U58-AA57*V58/AB57</x:f>
        <x:v>3.613739702820563</x:v>
      </x:c>
      <x:c r="AB58" s="10" t="n">
        <x:f>Y58+Z58+AA58</x:f>
        <x:v>35.11278530712425</x:v>
      </x:c>
      <x:c r="AC58" s="8" t="n">
        <x:f>IF(AND(tun_WinterTrigger=1,D58=1,AB57/AE57&gt;=K58),1,0)</x:f>
        <x:v>0</x:v>
      </x:c>
      <x:c r="AD58" s="8" t="n">
        <x:f>H58*IF(AND(OR(AB57/AE57&gt;=tun_FissionTrigger*N58,AC58=1),AB57/AE57*tun_DaughterShare&gt;=tun_MinDaughter),MAX(1,ROUND(AE57*tun_FissionRate,0)),0)</x:f>
        <x:v>0</x:v>
      </x:c>
      <x:c r="AE58" s="8" t="n">
        <x:f>IF(H58=1,MAX(1,MIN(INDEX(tun_Smax,G58),AE57+AD58)),AE57)</x:f>
        <x:v>2</x:v>
      </x:c>
      <x:c r="AF58" s="8" t="n">
        <x:f>MAX(0,AE58-AE57)</x:f>
        <x:v>0</x:v>
      </x:c>
      <x:c r="AG58" s="9" t="str">
        <x:f>IF(AF58&gt;0,B58,"")</x:f>
      </x:c>
      <x:c r="AH58" s="9" t="n">
        <x:f>IF(F58&gt;=1,1,(1+tun_LowTiesShare*(AE58-1))/AE58)</x:f>
        <x:v>1</x:v>
      </x:c>
      <x:c r="AI58" s="32" t="n">
        <x:f>(Z58+tun_ElderCommons*INDEX(LM_Elder,G58)*AA58)*AH58</x:f>
        <x:v>21.18248983769235</x:v>
      </x:c>
      <x:c r="AJ58" s="32" t="n">
        <x:f>H58*tun_CommonsCoef*AI58^tun_CommonsExp*INDEX(LM_Commons,G58)</x:f>
        <x:v>70.74803438953603</x:v>
      </x:c>
      <x:c r="AK58" s="32" t="n">
        <x:f>H58*tun_RoleScale*Arch_Roles*(AE58*(INDEX(tun_ElderRolePerSett,G58)*tun_OutElder*INDEX(LM_Elder,G58)+INDEX(tun_ShamanPerSett,G58)*tun_OutShaman)+Z58*(INDEX(tun_PriestShare,G58)*tun_OutPriest+INDEX(tun_ScribeShare,G58)*tun_OutScribe*INDEX(LM_Scribe,G58)+INDEX(tun_ScholarShare,G58)*tun_OutScholar*INDEX(LM_Scholar,G58)+INDEX(tun_ResearcherShare,G58)*tun_OutResearcher*INDEX(LM_Researcher,G58)))</x:f>
        <x:v>21.79795897113271</x:v>
      </x:c>
      <x:c r="AL58" s="32" t="n">
        <x:f>H58*tun_RoleScale*Arch_Roles*AE58*INDEX(tun_MonasteryPerSett,G58)*tun_OutMonastery*INDEX(LM_Monastery,G58)</x:f>
        <x:v>0</x:v>
      </x:c>
      <x:c r="AM58" s="32" t="n">
        <x:f>(AJ58+AK58+AL58)/4*INDEX(LM_All,G58)*INDEX(tun_Boon,G58)*Arch_Insight</x:f>
        <x:v>23.714910798671365</x:v>
      </x:c>
      <x:c r="AN58" s="32" t="n">
        <x:f>H58*(tun_KHPerAdult*Z58+tun_KHOfCommons*AJ58/4*INDEX(LM_All,G58))*tun_KHUsable*Arch_KH</x:f>
        <x:v>4.333317106359082</x:v>
      </x:c>
      <x:c r="AO58" s="32" t="n">
        <x:f>MIN(AP57+AN58,AM58*tun_KHMaxRatio)</x:f>
        <x:v>4.333317106359082</x:v>
      </x:c>
      <x:c r="AP58" s="32" t="n">
        <x:f>AP57+AN58-AO58</x:f>
        <x:v>0</x:v>
      </x:c>
      <x:c r="AQ58" s="32" t="n">
        <x:f>AM58+AO58</x:f>
        <x:v>28.048227905030448</x:v>
      </x:c>
      <x:c r="AR58" s="10" t="n">
        <x:f>IF(H58=1,INDEX(tun_Req,G58),0)</x:f>
        <x:v>1075.552</x:v>
      </x:c>
      <x:c r="AS58" s="32" t="n">
        <x:f>IF(H58=1,IF(E58=1,AS57-AR57,AS57)+AQ58,0)</x:f>
        <x:v>613.0493205892657</x:v>
      </x:c>
      <x:c r="AT58" s="11" t="n">
        <x:f>IF(AR58&gt;0,MIN(1,AS58/AR58),1)</x:f>
        <x:v>0.5699857566991329</x:v>
      </x:c>
      <x:c r="AU58" s="10" t="n">
        <x:f>AB58/INDEX(tun_RepScale,G58)</x:f>
        <x:v>35.11278530712425</x:v>
      </x:c>
      <x:c r="AV58" s="32" t="n">
        <x:f>AM58*60/tun_SeasonSeconds</x:f>
        <x:v>94.85964319468546</x:v>
      </x:c>
    </x:row>
    <x:row r="59">
      <x:c r="A59" s="8" t="n">
        <x:f>A58+1</x:f>
        <x:v>56</x:v>
      </x:c>
      <x:c r="B59" s="9" t="n">
        <x:f>A59*tun_SeasonSeconds/60</x:f>
        <x:v>14</x:v>
      </x:c>
      <x:c r="C59" s="9" t="n">
        <x:f>A59/4</x:f>
        <x:v>14</x:v>
      </x:c>
      <x:c r="D59" s="8" t="n">
        <x:f>IF(MOD(A59,4)=0,1,0)</x:f>
        <x:v>1</x:v>
      </x:c>
      <x:c r="E59" s="8" t="n">
        <x:f>IF(AND(F58&lt;=9,AS58&gt;=AR58),1,0)</x:f>
        <x:v>0</x:v>
      </x:c>
      <x:c r="F59" s="8" t="n">
        <x:f>MIN(10,F58+E59)</x:f>
        <x:v>1</x:v>
      </x:c>
      <x:c r="G59" s="8" t="n">
        <x:f>MIN(F59,9)+1</x:f>
        <x:v>2</x:v>
      </x:c>
      <x:c r="H59" s="8" t="n">
        <x:f>IF(F59&lt;=9,1,0)</x:f>
        <x:v>1</x:v>
      </x:c>
      <x:c r="I59" s="9" t="n">
        <x:f>MIN(10,F58+IF(AR58&gt;0,MIN(1,AS58/AR58),1))</x:f>
        <x:v>1.5699857566991329</x:v>
      </x:c>
      <x:c r="J59" s="32" t="n">
        <x:f>INDEX(tun_FoodCap,G59)*Arch_FoodCap*EXP(tun_CapsByProject*SUMPRODUCT((Cap_Point&lt;=I59)*(Cap_Kind="Food")*Cap_Ln))</x:f>
        <x:v>35.20049193612042</x:v>
      </x:c>
      <x:c r="K59" s="32" t="n">
        <x:f>J59*MIN(1,tun_LeanBase*EXP(tun_CapsByProject*SUMPRODUCT((Cap_Point&lt;=I59)*(Cap_Kind="Lean")*Cap_Ln)))</x:f>
        <x:v>35.20049193612042</x:v>
      </x:c>
      <x:c r="L59" s="10" t="n">
        <x:f>INDEX(tun_HousingCap,G59)*EXP(tun_CapsByProject*SUMPRODUCT((Cap_Point&lt;=I59)*(Cap_Kind="Housing")*Cap_Ln))</x:f>
        <x:v>90</x:v>
      </x:c>
      <x:c r="M59" s="10" t="n">
        <x:f>INDEX(tun_GroupCap,G59)*tun_CohesionFactor*EXP(tun_CapsByProject*SUMPRODUCT((Cap_Point&lt;=I59)*(Cap_Kind="Group")*Cap_Ln))</x:f>
        <x:v>35</x:v>
      </x:c>
      <x:c r="N59" s="32" t="n">
        <x:f>MIN(J59,L59,M59)</x:f>
        <x:v>35</x:v>
      </x:c>
      <x:c r="O59" s="10" t="n">
        <x:f>AE58*N59</x:f>
        <x:v>70</x:v>
      </x:c>
      <x:c r="P59" s="9" t="n">
        <x:f>MIN(1,(AB58/(AE58*IF(tun_GroupInCrowding=1,N59,MIN(J59,L59))))^tun_CrowdingExp)</x:f>
        <x:v>0.015392859842429404</x:v>
      </x:c>
      <x:c r="Q59" s="9" t="n">
        <x:f>IF(D59=1,INDEX(tun_WinterMult,G59),1)</x:f>
        <x:v>1.7</x:v>
      </x:c>
      <x:c r="R59" s="9" t="n">
        <x:f>H59*Z58*tun_WomenShare*tun_BaseFertility*INDEX(tun_FertMult,G59)*Arch_Fertility*(1-P59)</x:f>
        <x:v>0.9075298235246647</x:v>
      </x:c>
      <x:c r="S59" s="9" t="n">
        <x:f>H59*Y58*INDEX(tun_MortChild,G59)/4*Q59</x:f>
        <x:v>0.26883644677716484</x:v>
      </x:c>
      <x:c r="T59" s="9" t="n">
        <x:f>H59*Z58*INDEX(tun_MortAdult,G59)*Arch_AdultMort/4*Q59</x:f>
        <x:v>0.05764588927439812</x:v>
      </x:c>
      <x:c r="U59" s="9" t="n">
        <x:f>H59*AA58*INDEX(tun_MortElder,G59)/4*Q59</x:f>
        <x:v>0.08139948680603318</x:v>
      </x:c>
      <x:c r="V59" s="9" t="n">
        <x:f>H59*MAX(0,AB58-O59)*tun_OvercapLoss</x:f>
        <x:v>0</x:v>
      </x:c>
      <x:c r="W59" s="9" t="n">
        <x:f>H59*Y58/(tun_ChildYears*4)</x:f>
        <x:v>0.3422923946742613</x:v>
      </x:c>
      <x:c r="X59" s="9" t="n">
        <x:f>H59*Z58/(tun_AdultYears*4)</x:f>
        <x:v>0.09944089921407302</x:v>
      </x:c>
      <x:c r="Y59" s="32" t="n">
        <x:f>Y58+R59-S59-W59-Y58*V59/AB58</x:f>
        <x:v>19.464775083831874</x:v>
      </x:c>
      <x:c r="Z59" s="32" t="n">
        <x:f>Z58+W59-X59-T59-Z58*V59/AB58</x:f>
        <x:v>12.515877108730844</x:v>
      </x:c>
      <x:c r="AA59" s="32" t="n">
        <x:f>AA58+X59-U59-AA58*V59/AB58</x:f>
        <x:v>3.631781115228603</x:v>
      </x:c>
      <x:c r="AB59" s="10" t="n">
        <x:f>Y59+Z59+AA59</x:f>
        <x:v>35.61243330779132</x:v>
      </x:c>
      <x:c r="AC59" s="8" t="n">
        <x:f>IF(AND(tun_WinterTrigger=1,D59=1,AB58/AE58&gt;=K59),1,0)</x:f>
        <x:v>0</x:v>
      </x:c>
      <x:c r="AD59" s="8" t="n">
        <x:f>H59*IF(AND(OR(AB58/AE58&gt;=tun_FissionTrigger*N59,AC59=1),AB58/AE58*tun_DaughterShare&gt;=tun_MinDaughter),MAX(1,ROUND(AE58*tun_FissionRate,0)),0)</x:f>
        <x:v>0</x:v>
      </x:c>
      <x:c r="AE59" s="8" t="n">
        <x:f>IF(H59=1,MAX(1,MIN(INDEX(tun_Smax,G59),AE58+AD59)),AE58)</x:f>
        <x:v>2</x:v>
      </x:c>
      <x:c r="AF59" s="8" t="n">
        <x:f>MAX(0,AE59-AE58)</x:f>
        <x:v>0</x:v>
      </x:c>
      <x:c r="AG59" s="9" t="str">
        <x:f>IF(AF59&gt;0,B59,"")</x:f>
      </x:c>
      <x:c r="AH59" s="9" t="n">
        <x:f>IF(F59&gt;=1,1,(1+tun_LowTiesShare*(AE59-1))/AE59)</x:f>
        <x:v>1</x:v>
      </x:c>
      <x:c r="AI59" s="32" t="n">
        <x:f>(Z59+tun_ElderCommons*INDEX(LM_Elder,G59)*AA59)*AH59</x:f>
        <x:v>21.411887698516956</x:v>
      </x:c>
      <x:c r="AJ59" s="32" t="n">
        <x:f>H59*tun_CommonsCoef*AI59^tun_CommonsExp*INDEX(LM_Commons,G59)</x:f>
        <x:v>71.39875450493177</x:v>
      </x:c>
      <x:c r="AK59" s="32" t="n">
        <x:f>H59*tun_RoleScale*Arch_Roles*(AE59*(INDEX(tun_ElderRolePerSett,G59)*tun_OutElder*INDEX(LM_Elder,G59)+INDEX(tun_ShamanPerSett,G59)*tun_OutShaman)+Z59*(INDEX(tun_PriestShare,G59)*tun_OutPriest+INDEX(tun_ScribeShare,G59)*tun_OutScribe*INDEX(LM_Scribe,G59)+INDEX(tun_ScholarShare,G59)*tun_OutScholar*INDEX(LM_Scholar,G59)+INDEX(tun_ResearcherShare,G59)*tun_OutResearcher*INDEX(LM_Researcher,G59)))</x:f>
        <x:v>21.79795897113271</x:v>
      </x:c>
      <x:c r="AL59" s="32" t="n">
        <x:f>H59*tun_RoleScale*Arch_Roles*AE59*INDEX(tun_MonasteryPerSett,G59)*tun_OutMonastery*INDEX(LM_Monastery,G59)</x:f>
        <x:v>0</x:v>
      </x:c>
      <x:c r="AM59" s="32" t="n">
        <x:f>(AJ59+AK59+AL59)/4*INDEX(LM_All,G59)*INDEX(tun_Boon,G59)*Arch_Insight</x:f>
        <x:v>23.881657828241522</x:v>
      </x:c>
      <x:c r="AN59" s="32" t="n">
        <x:f>H59*(tun_KHPerAdult*Z59+tun_KHOfCommons*AJ59/4*INDEX(LM_All,G59))*tun_KHUsable*Arch_KH</x:f>
        <x:v>4.373173713427071</x:v>
      </x:c>
      <x:c r="AO59" s="32" t="n">
        <x:f>MIN(AP58+AN59,AM59*tun_KHMaxRatio)</x:f>
        <x:v>4.373173713427071</x:v>
      </x:c>
      <x:c r="AP59" s="32" t="n">
        <x:f>AP58+AN59-AO59</x:f>
        <x:v>0</x:v>
      </x:c>
      <x:c r="AQ59" s="32" t="n">
        <x:f>AM59+AO59</x:f>
        <x:v>28.254831541668594</x:v>
      </x:c>
      <x:c r="AR59" s="10" t="n">
        <x:f>IF(H59=1,INDEX(tun_Req,G59),0)</x:f>
        <x:v>1075.552</x:v>
      </x:c>
      <x:c r="AS59" s="32" t="n">
        <x:f>IF(H59=1,IF(E59=1,AS58-AR58,AS58)+AQ59,0)</x:f>
        <x:v>641.3041521309343</x:v>
      </x:c>
      <x:c r="AT59" s="11" t="n">
        <x:f>IF(AR59&gt;0,MIN(1,AS59/AR59),1)</x:f>
        <x:v>0.5962558315459731</x:v>
      </x:c>
      <x:c r="AU59" s="10" t="n">
        <x:f>AB59/INDEX(tun_RepScale,G59)</x:f>
        <x:v>35.61243330779132</x:v>
      </x:c>
      <x:c r="AV59" s="32" t="n">
        <x:f>AM59*60/tun_SeasonSeconds</x:f>
        <x:v>95.52663131296609</x:v>
      </x:c>
    </x:row>
    <x:row r="60">
      <x:c r="A60" s="8" t="n">
        <x:f>A59+1</x:f>
        <x:v>57</x:v>
      </x:c>
      <x:c r="B60" s="9" t="n">
        <x:f>A60*tun_SeasonSeconds/60</x:f>
        <x:v>14.25</x:v>
      </x:c>
      <x:c r="C60" s="9" t="n">
        <x:f>A60/4</x:f>
        <x:v>14.25</x:v>
      </x:c>
      <x:c r="D60" s="8" t="n">
        <x:f>IF(MOD(A60,4)=0,1,0)</x:f>
        <x:v>0</x:v>
      </x:c>
      <x:c r="E60" s="8" t="n">
        <x:f>IF(AND(F59&lt;=9,AS59&gt;=AR59),1,0)</x:f>
        <x:v>0</x:v>
      </x:c>
      <x:c r="F60" s="8" t="n">
        <x:f>MIN(10,F59+E60)</x:f>
        <x:v>1</x:v>
      </x:c>
      <x:c r="G60" s="8" t="n">
        <x:f>MIN(F60,9)+1</x:f>
        <x:v>2</x:v>
      </x:c>
      <x:c r="H60" s="8" t="n">
        <x:f>IF(F60&lt;=9,1,0)</x:f>
        <x:v>1</x:v>
      </x:c>
      <x:c r="I60" s="9" t="n">
        <x:f>MIN(10,F59+IF(AR59&gt;0,MIN(1,AS59/AR59),1))</x:f>
        <x:v>1.5962558315459732</x:v>
      </x:c>
      <x:c r="J60" s="32" t="n">
        <x:f>INDEX(tun_FoodCap,G60)*Arch_FoodCap*EXP(tun_CapsByProject*SUMPRODUCT((Cap_Point&lt;=I60)*(Cap_Kind="Food")*Cap_Ln))</x:f>
        <x:v>35.20049193612042</x:v>
      </x:c>
      <x:c r="K60" s="32" t="n">
        <x:f>J60*MIN(1,tun_LeanBase*EXP(tun_CapsByProject*SUMPRODUCT((Cap_Point&lt;=I60)*(Cap_Kind="Lean")*Cap_Ln)))</x:f>
        <x:v>35.20049193612042</x:v>
      </x:c>
      <x:c r="L60" s="10" t="n">
        <x:f>INDEX(tun_HousingCap,G60)*EXP(tun_CapsByProject*SUMPRODUCT((Cap_Point&lt;=I60)*(Cap_Kind="Housing")*Cap_Ln))</x:f>
        <x:v>90</x:v>
      </x:c>
      <x:c r="M60" s="10" t="n">
        <x:f>INDEX(tun_GroupCap,G60)*tun_CohesionFactor*EXP(tun_CapsByProject*SUMPRODUCT((Cap_Point&lt;=I60)*(Cap_Kind="Group")*Cap_Ln))</x:f>
        <x:v>35</x:v>
      </x:c>
      <x:c r="N60" s="32" t="n">
        <x:f>MIN(J60,L60,M60)</x:f>
        <x:v>35</x:v>
      </x:c>
      <x:c r="O60" s="10" t="n">
        <x:f>AE59*N60</x:f>
        <x:v>70</x:v>
      </x:c>
      <x:c r="P60" s="9" t="n">
        <x:f>MIN(1,(AB59/(AE59*IF(tun_GroupInCrowding=1,N60,MIN(J60,L60))))^tun_CrowdingExp)</x:f>
        <x:v>0.016754733417774316</x:v>
      </x:c>
      <x:c r="Q60" s="9" t="n">
        <x:f>IF(D60=1,INDEX(tun_WinterMult,G60),1)</x:f>
        <x:v>1</x:v>
      </x:c>
      <x:c r="R60" s="9" t="n">
        <x:f>H60*Z59*tun_WomenShare*tun_BaseFertility*INDEX(tun_FertMult,G60)*Arch_Fertility*(1-P60)</x:f>
        <x:v>0.9198867250902615</x:v>
      </x:c>
      <x:c r="S60" s="9" t="n">
        <x:f>H60*Y59*INDEX(tun_MortChild,G60)/4*Q60</x:f>
        <x:v>0.16058439444161296</x:v>
      </x:c>
      <x:c r="T60" s="9" t="n">
        <x:f>H60*Z59*INDEX(tun_MortAdult,G60)*Arch_AdultMort/4*Q60</x:f>
        <x:v>0.03441866204900982</x:v>
      </x:c>
      <x:c r="U60" s="9" t="n">
        <x:f>H60*AA59*INDEX(tun_MortElder,G60)/4*Q60</x:f>
        <x:v>0.04812109977677899</x:v>
      </x:c>
      <x:c r="V60" s="9" t="n">
        <x:f>H60*MAX(0,AB59-O60)*tun_OvercapLoss</x:f>
        <x:v>0</x:v>
      </x:c>
      <x:c r="W60" s="9" t="n">
        <x:f>H60*Y59/(tun_ChildYears*4)</x:f>
        <x:v>0.34758526935414064</x:v>
      </x:c>
      <x:c r="X60" s="9" t="n">
        <x:f>H60*Z59/(tun_AdultYears*4)</x:f>
        <x:v>0.10093449281234552</x:v>
      </x:c>
      <x:c r="Y60" s="32" t="n">
        <x:f>Y59+R60-S60-W60-Y59*V60/AB59</x:f>
        <x:v>19.87649214512638</x:v>
      </x:c>
      <x:c r="Z60" s="32" t="n">
        <x:f>Z59+W60-X60-T60-Z59*V60/AB59</x:f>
        <x:v>12.72810922322363</x:v>
      </x:c>
      <x:c r="AA60" s="32" t="n">
        <x:f>AA59+X60-U60-AA59*V60/AB59</x:f>
        <x:v>3.6845945082641696</x:v>
      </x:c>
      <x:c r="AB60" s="10" t="n">
        <x:f>Y60+Z60+AA60</x:f>
        <x:v>36.28919587661418</x:v>
      </x:c>
      <x:c r="AC60" s="8" t="n">
        <x:f>IF(AND(tun_WinterTrigger=1,D60=1,AB59/AE59&gt;=K60),1,0)</x:f>
        <x:v>0</x:v>
      </x:c>
      <x:c r="AD60" s="8" t="n">
        <x:f>H60*IF(AND(OR(AB59/AE59&gt;=tun_FissionTrigger*N60,AC60=1),AB59/AE59*tun_DaughterShare&gt;=tun_MinDaughter),MAX(1,ROUND(AE59*tun_FissionRate,0)),0)</x:f>
        <x:v>0</x:v>
      </x:c>
      <x:c r="AE60" s="8" t="n">
        <x:f>IF(H60=1,MAX(1,MIN(INDEX(tun_Smax,G60),AE59+AD60)),AE59)</x:f>
        <x:v>2</x:v>
      </x:c>
      <x:c r="AF60" s="8" t="n">
        <x:f>MAX(0,AE60-AE59)</x:f>
        <x:v>0</x:v>
      </x:c>
      <x:c r="AG60" s="9" t="str">
        <x:f>IF(AF60&gt;0,B60,"")</x:f>
      </x:c>
      <x:c r="AH60" s="9" t="n">
        <x:f>IF(F60&gt;=1,1,(1+tun_LowTiesShare*(AE60-1))/AE60)</x:f>
        <x:v>1</x:v>
      </x:c>
      <x:c r="AI60" s="32" t="n">
        <x:f>(Z60+tun_ElderCommons*INDEX(LM_Elder,G60)*AA60)*AH60</x:f>
        <x:v>21.75348567753194</x:v>
      </x:c>
      <x:c r="AJ60" s="32" t="n">
        <x:f>H60*tun_CommonsCoef*AI60^tun_CommonsExp*INDEX(LM_Commons,G60)</x:f>
        <x:v>72.36581378513155</x:v>
      </x:c>
      <x:c r="AK60" s="32" t="n">
        <x:f>H60*tun_RoleScale*Arch_Roles*(AE60*(INDEX(tun_ElderRolePerSett,G60)*tun_OutElder*INDEX(LM_Elder,G60)+INDEX(tun_ShamanPerSett,G60)*tun_OutShaman)+Z60*(INDEX(tun_PriestShare,G60)*tun_OutPriest+INDEX(tun_ScribeShare,G60)*tun_OutScribe*INDEX(LM_Scribe,G60)+INDEX(tun_ScholarShare,G60)*tun_OutScholar*INDEX(LM_Scholar,G60)+INDEX(tun_ResearcherShare,G60)*tun_OutResearcher*INDEX(LM_Researcher,G60)))</x:f>
        <x:v>21.79795897113271</x:v>
      </x:c>
      <x:c r="AL60" s="32" t="n">
        <x:f>H60*tun_RoleScale*Arch_Roles*AE60*INDEX(tun_MonasteryPerSett,G60)*tun_OutMonastery*INDEX(LM_Monastery,G60)</x:f>
        <x:v>0</x:v>
      </x:c>
      <x:c r="AM60" s="32" t="n">
        <x:f>(AJ60+AK60+AL60)/4*INDEX(LM_All,G60)*INDEX(tun_Boon,G60)*Arch_Insight</x:f>
        <x:v>24.129466768792717</x:v>
      </x:c>
      <x:c r="AN60" s="32" t="n">
        <x:f>H60*(tun_KHPerAdult*Z60+tun_KHOfCommons*AJ60/4*INDEX(LM_All,G60))*tun_KHUsable*Arch_KH</x:f>
        <x:v>4.432406094339307</x:v>
      </x:c>
      <x:c r="AO60" s="32" t="n">
        <x:f>MIN(AP59+AN60,AM60*tun_KHMaxRatio)</x:f>
        <x:v>4.432406094339307</x:v>
      </x:c>
      <x:c r="AP60" s="32" t="n">
        <x:f>AP59+AN60-AO60</x:f>
        <x:v>0</x:v>
      </x:c>
      <x:c r="AQ60" s="32" t="n">
        <x:f>AM60+AO60</x:f>
        <x:v>28.561872863132024</x:v>
      </x:c>
      <x:c r="AR60" s="10" t="n">
        <x:f>IF(H60=1,INDEX(tun_Req,G60),0)</x:f>
        <x:v>1075.552</x:v>
      </x:c>
      <x:c r="AS60" s="32" t="n">
        <x:f>IF(H60=1,IF(E60=1,AS59-AR59,AS59)+AQ60,0)</x:f>
        <x:v>669.8660249940664</x:v>
      </x:c>
      <x:c r="AT60" s="11" t="n">
        <x:f>IF(AR60&gt;0,MIN(1,AS60/AR60),1)</x:f>
        <x:v>0.6228113796395399</x:v>
      </x:c>
      <x:c r="AU60" s="10" t="n">
        <x:f>AB60/INDEX(tun_RepScale,G60)</x:f>
        <x:v>36.28919587661418</x:v>
      </x:c>
      <x:c r="AV60" s="32" t="n">
        <x:f>AM60*60/tun_SeasonSeconds</x:f>
        <x:v>96.51786707517087</x:v>
      </x:c>
    </x:row>
    <x:row r="61">
      <x:c r="A61" s="8" t="n">
        <x:f>A60+1</x:f>
        <x:v>58</x:v>
      </x:c>
      <x:c r="B61" s="9" t="n">
        <x:f>A61*tun_SeasonSeconds/60</x:f>
        <x:v>14.5</x:v>
      </x:c>
      <x:c r="C61" s="9" t="n">
        <x:f>A61/4</x:f>
        <x:v>14.5</x:v>
      </x:c>
      <x:c r="D61" s="8" t="n">
        <x:f>IF(MOD(A61,4)=0,1,0)</x:f>
        <x:v>0</x:v>
      </x:c>
      <x:c r="E61" s="8" t="n">
        <x:f>IF(AND(F60&lt;=9,AS60&gt;=AR60),1,0)</x:f>
        <x:v>0</x:v>
      </x:c>
      <x:c r="F61" s="8" t="n">
        <x:f>MIN(10,F60+E61)</x:f>
        <x:v>1</x:v>
      </x:c>
      <x:c r="G61" s="8" t="n">
        <x:f>MIN(F61,9)+1</x:f>
        <x:v>2</x:v>
      </x:c>
      <x:c r="H61" s="8" t="n">
        <x:f>IF(F61&lt;=9,1,0)</x:f>
        <x:v>1</x:v>
      </x:c>
      <x:c r="I61" s="9" t="n">
        <x:f>MIN(10,F60+IF(AR60&gt;0,MIN(1,AS60/AR60),1))</x:f>
        <x:v>1.6228113796395398</x:v>
      </x:c>
      <x:c r="J61" s="32" t="n">
        <x:f>INDEX(tun_FoodCap,G61)*Arch_FoodCap*EXP(tun_CapsByProject*SUMPRODUCT((Cap_Point&lt;=I61)*(Cap_Kind="Food")*Cap_Ln))</x:f>
        <x:v>38.72054112973246</x:v>
      </x:c>
      <x:c r="K61" s="32" t="n">
        <x:f>J61*MIN(1,tun_LeanBase*EXP(tun_CapsByProject*SUMPRODUCT((Cap_Point&lt;=I61)*(Cap_Kind="Lean")*Cap_Ln)))</x:f>
        <x:v>38.72054112973246</x:v>
      </x:c>
      <x:c r="L61" s="10" t="n">
        <x:f>INDEX(tun_HousingCap,G61)*EXP(tun_CapsByProject*SUMPRODUCT((Cap_Point&lt;=I61)*(Cap_Kind="Housing")*Cap_Ln))</x:f>
        <x:v>90</x:v>
      </x:c>
      <x:c r="M61" s="10" t="n">
        <x:f>INDEX(tun_GroupCap,G61)*tun_CohesionFactor*EXP(tun_CapsByProject*SUMPRODUCT((Cap_Point&lt;=I61)*(Cap_Kind="Group")*Cap_Ln))</x:f>
        <x:v>35</x:v>
      </x:c>
      <x:c r="N61" s="32" t="n">
        <x:f>MIN(J61,L61,M61)</x:f>
        <x:v>35</x:v>
      </x:c>
      <x:c r="O61" s="10" t="n">
        <x:f>AE60*N61</x:f>
        <x:v>70</x:v>
      </x:c>
      <x:c r="P61" s="9" t="n">
        <x:f>MIN(1,(AB60/(AE60*IF(tun_GroupInCrowding=1,N61,MIN(J61,L61))))^tun_CrowdingExp)</x:f>
        <x:v>0.010588527940803021</x:v>
      </x:c>
      <x:c r="Q61" s="9" t="n">
        <x:f>IF(D61=1,INDEX(tun_WinterMult,G61),1)</x:f>
        <x:v>1</x:v>
      </x:c>
      <x:c r="R61" s="9" t="n">
        <x:f>H61*Z60*tun_WomenShare*tun_BaseFertility*INDEX(tun_FertMult,G61)*Arch_Fertility*(1-P61)</x:f>
        <x:v>0.941351961910225</x:v>
      </x:c>
      <x:c r="S61" s="9" t="n">
        <x:f>H61*Y60*INDEX(tun_MortChild,G61)/4*Q61</x:f>
        <x:v>0.16398106019729264</x:v>
      </x:c>
      <x:c r="T61" s="9" t="n">
        <x:f>H61*Z60*INDEX(tun_MortAdult,G61)*Arch_AdultMort/4*Q61</x:f>
        <x:v>0.03500230036386498</x:v>
      </x:c>
      <x:c r="U61" s="9" t="n">
        <x:f>H61*AA60*INDEX(tun_MortElder,G61)/4*Q61</x:f>
        <x:v>0.048820877234500244</x:v>
      </x:c>
      <x:c r="V61" s="9" t="n">
        <x:f>H61*MAX(0,AB60-O61)*tun_OvercapLoss</x:f>
        <x:v>0</x:v>
      </x:c>
      <x:c r="W61" s="9" t="n">
        <x:f>H61*Y60/(tun_ChildYears*4)</x:f>
        <x:v>0.35493735973439966</x:v>
      </x:c>
      <x:c r="X61" s="9" t="n">
        <x:f>H61*Z60/(tun_AdultYears*4)</x:f>
        <x:v>0.1026460421227712</x:v>
      </x:c>
      <x:c r="Y61" s="32" t="n">
        <x:f>Y60+R61-S61-W61-Y60*V61/AB60</x:f>
        <x:v>20.298925687104912</x:v>
      </x:c>
      <x:c r="Z61" s="32" t="n">
        <x:f>Z60+W61-X61-T61-Z60*V61/AB60</x:f>
        <x:v>12.945398240471393</x:v>
      </x:c>
      <x:c r="AA61" s="32" t="n">
        <x:f>AA60+X61-U61-AA60*V61/AB60</x:f>
        <x:v>3.7384196731524404</x:v>
      </x:c>
      <x:c r="AB61" s="10" t="n">
        <x:f>Y61+Z61+AA61</x:f>
        <x:v>36.982743600728746</x:v>
      </x:c>
      <x:c r="AC61" s="8" t="n">
        <x:f>IF(AND(tun_WinterTrigger=1,D61=1,AB60/AE60&gt;=K61),1,0)</x:f>
        <x:v>0</x:v>
      </x:c>
      <x:c r="AD61" s="8" t="n">
        <x:f>H61*IF(AND(OR(AB60/AE60&gt;=tun_FissionTrigger*N61,AC61=1),AB60/AE60*tun_DaughterShare&gt;=tun_MinDaughter),MAX(1,ROUND(AE60*tun_FissionRate,0)),0)</x:f>
        <x:v>0</x:v>
      </x:c>
      <x:c r="AE61" s="8" t="n">
        <x:f>IF(H61=1,MAX(1,MIN(INDEX(tun_Smax,G61),AE60+AD61)),AE60)</x:f>
        <x:v>2</x:v>
      </x:c>
      <x:c r="AF61" s="8" t="n">
        <x:f>MAX(0,AE61-AE60)</x:f>
        <x:v>0</x:v>
      </x:c>
      <x:c r="AG61" s="9" t="str">
        <x:f>IF(AF61&gt;0,B61,"")</x:f>
      </x:c>
      <x:c r="AH61" s="9" t="n">
        <x:f>IF(F61&gt;=1,1,(1+tun_LowTiesShare*(AE61-1))/AE61)</x:f>
        <x:v>1</x:v>
      </x:c>
      <x:c r="AI61" s="32" t="n">
        <x:f>(Z61+tun_ElderCommons*INDEX(LM_Elder,G61)*AA61)*AH61</x:f>
        <x:v>22.10261888407714</x:v>
      </x:c>
      <x:c r="AJ61" s="32" t="n">
        <x:f>H61*tun_CommonsCoef*AI61^tun_CommonsExp*INDEX(LM_Commons,G61)</x:f>
        <x:v>73.35185436405732</x:v>
      </x:c>
      <x:c r="AK61" s="32" t="n">
        <x:f>H61*tun_RoleScale*Arch_Roles*(AE61*(INDEX(tun_ElderRolePerSett,G61)*tun_OutElder*INDEX(LM_Elder,G61)+INDEX(tun_ShamanPerSett,G61)*tun_OutShaman)+Z61*(INDEX(tun_PriestShare,G61)*tun_OutPriest+INDEX(tun_ScribeShare,G61)*tun_OutScribe*INDEX(LM_Scribe,G61)+INDEX(tun_ScholarShare,G61)*tun_OutScholar*INDEX(LM_Scholar,G61)+INDEX(tun_ResearcherShare,G61)*tun_OutResearcher*INDEX(LM_Researcher,G61)))</x:f>
        <x:v>21.79795897113271</x:v>
      </x:c>
      <x:c r="AL61" s="32" t="n">
        <x:f>H61*tun_RoleScale*Arch_Roles*AE61*INDEX(tun_MonasteryPerSett,G61)*tun_OutMonastery*INDEX(LM_Monastery,G61)</x:f>
        <x:v>0</x:v>
      </x:c>
      <x:c r="AM61" s="32" t="n">
        <x:f>(AJ61+AK61+AL61)/4*INDEX(LM_All,G61)*INDEX(tun_Boon,G61)*Arch_Insight</x:f>
        <x:v>24.382139667142443</x:v>
      </x:c>
      <x:c r="AN61" s="32" t="n">
        <x:f>H61*(tun_KHPerAdult*Z61+tun_KHOfCommons*AJ61/4*INDEX(LM_All,G61))*tun_KHUsable*Arch_KH</x:f>
        <x:v>4.49280107979851</x:v>
      </x:c>
      <x:c r="AO61" s="32" t="n">
        <x:f>MIN(AP60+AN61,AM61*tun_KHMaxRatio)</x:f>
        <x:v>4.49280107979851</x:v>
      </x:c>
      <x:c r="AP61" s="32" t="n">
        <x:f>AP60+AN61-AO61</x:f>
        <x:v>0</x:v>
      </x:c>
      <x:c r="AQ61" s="32" t="n">
        <x:f>AM61+AO61</x:f>
        <x:v>28.874940746940954</x:v>
      </x:c>
      <x:c r="AR61" s="10" t="n">
        <x:f>IF(H61=1,INDEX(tun_Req,G61),0)</x:f>
        <x:v>1075.552</x:v>
      </x:c>
      <x:c r="AS61" s="32" t="n">
        <x:f>IF(H61=1,IF(E61=1,AS60-AR60,AS60)+AQ61,0)</x:f>
        <x:v>698.7409657410074</x:v>
      </x:c>
      <x:c r="AT61" s="11" t="n">
        <x:f>IF(AR61&gt;0,MIN(1,AS61/AR61),1)</x:f>
        <x:v>0.6496580042071489</x:v>
      </x:c>
      <x:c r="AU61" s="10" t="n">
        <x:f>AB61/INDEX(tun_RepScale,G61)</x:f>
        <x:v>36.982743600728746</x:v>
      </x:c>
      <x:c r="AV61" s="32" t="n">
        <x:f>AM61*60/tun_SeasonSeconds</x:f>
        <x:v>97.52855866856977</x:v>
      </x:c>
    </x:row>
    <x:row r="62">
      <x:c r="A62" s="8" t="n">
        <x:f>A61+1</x:f>
        <x:v>59</x:v>
      </x:c>
      <x:c r="B62" s="9" t="n">
        <x:f>A62*tun_SeasonSeconds/60</x:f>
        <x:v>14.75</x:v>
      </x:c>
      <x:c r="C62" s="9" t="n">
        <x:f>A62/4</x:f>
        <x:v>14.75</x:v>
      </x:c>
      <x:c r="D62" s="8" t="n">
        <x:f>IF(MOD(A62,4)=0,1,0)</x:f>
        <x:v>0</x:v>
      </x:c>
      <x:c r="E62" s="8" t="n">
        <x:f>IF(AND(F61&lt;=9,AS61&gt;=AR61),1,0)</x:f>
        <x:v>0</x:v>
      </x:c>
      <x:c r="F62" s="8" t="n">
        <x:f>MIN(10,F61+E62)</x:f>
        <x:v>1</x:v>
      </x:c>
      <x:c r="G62" s="8" t="n">
        <x:f>MIN(F62,9)+1</x:f>
        <x:v>2</x:v>
      </x:c>
      <x:c r="H62" s="8" t="n">
        <x:f>IF(F62&lt;=9,1,0)</x:f>
        <x:v>1</x:v>
      </x:c>
      <x:c r="I62" s="9" t="n">
        <x:f>MIN(10,F61+IF(AR61&gt;0,MIN(1,AS61/AR61),1))</x:f>
        <x:v>1.649658004207149</x:v>
      </x:c>
      <x:c r="J62" s="32" t="n">
        <x:f>INDEX(tun_FoodCap,G62)*Arch_FoodCap*EXP(tun_CapsByProject*SUMPRODUCT((Cap_Point&lt;=I62)*(Cap_Kind="Food")*Cap_Ln))</x:f>
        <x:v>38.72054112973246</x:v>
      </x:c>
      <x:c r="K62" s="32" t="n">
        <x:f>J62*MIN(1,tun_LeanBase*EXP(tun_CapsByProject*SUMPRODUCT((Cap_Point&lt;=I62)*(Cap_Kind="Lean")*Cap_Ln)))</x:f>
        <x:v>38.72054112973246</x:v>
      </x:c>
      <x:c r="L62" s="10" t="n">
        <x:f>INDEX(tun_HousingCap,G62)*EXP(tun_CapsByProject*SUMPRODUCT((Cap_Point&lt;=I62)*(Cap_Kind="Housing")*Cap_Ln))</x:f>
        <x:v>90</x:v>
      </x:c>
      <x:c r="M62" s="10" t="n">
        <x:f>INDEX(tun_GroupCap,G62)*tun_CohesionFactor*EXP(tun_CapsByProject*SUMPRODUCT((Cap_Point&lt;=I62)*(Cap_Kind="Group")*Cap_Ln))</x:f>
        <x:v>35</x:v>
      </x:c>
      <x:c r="N62" s="32" t="n">
        <x:f>MIN(J62,L62,M62)</x:f>
        <x:v>35</x:v>
      </x:c>
      <x:c r="O62" s="10" t="n">
        <x:f>AE61*N62</x:f>
        <x:v>70</x:v>
      </x:c>
      <x:c r="P62" s="9" t="n">
        <x:f>MIN(1,(AB61/(AE61*IF(tun_GroupInCrowding=1,N62,MIN(J62,L62))))^tun_CrowdingExp)</x:f>
        <x:v>0.011862228270760033</x:v>
      </x:c>
      <x:c r="Q62" s="9" t="n">
        <x:f>IF(D62=1,INDEX(tun_WinterMult,G62),1)</x:f>
        <x:v>1</x:v>
      </x:c>
      <x:c r="R62" s="9" t="n">
        <x:f>H62*Z61*tun_WomenShare*tun_BaseFertility*INDEX(tun_FertMult,G62)*Arch_Fertility*(1-P62)</x:f>
        <x:v>0.9561898136186551</x:v>
      </x:c>
      <x:c r="S62" s="9" t="n">
        <x:f>H62*Y61*INDEX(tun_MortChild,G62)/4*Q62</x:f>
        <x:v>0.16746613691861553</x:v>
      </x:c>
      <x:c r="T62" s="9" t="n">
        <x:f>H62*Z61*INDEX(tun_MortAdult,G62)*Arch_AdultMort/4*Q62</x:f>
        <x:v>0.03559984516129633</x:v>
      </x:c>
      <x:c r="U62" s="9" t="n">
        <x:f>H62*AA61*INDEX(tun_MortElder,G62)/4*Q62</x:f>
        <x:v>0.04953406066926983</x:v>
      </x:c>
      <x:c r="V62" s="9" t="n">
        <x:f>H62*MAX(0,AB61-O62)*tun_OvercapLoss</x:f>
        <x:v>0</x:v>
      </x:c>
      <x:c r="W62" s="9" t="n">
        <x:f>H62*Y61/(tun_ChildYears*4)</x:f>
        <x:v>0.36248081584115915</x:v>
      </x:c>
      <x:c r="X62" s="9" t="n">
        <x:f>H62*Z61/(tun_AdultYears*4)</x:f>
        <x:v>0.10439837290702736</x:v>
      </x:c>
      <x:c r="Y62" s="32" t="n">
        <x:f>Y61+R62-S62-W62-Y61*V62/AB61</x:f>
        <x:v>20.72516854796379</x:v>
      </x:c>
      <x:c r="Z62" s="32" t="n">
        <x:f>Z61+W62-X62-T62-Z61*V62/AB61</x:f>
        <x:v>13.167880838244228</x:v>
      </x:c>
      <x:c r="AA62" s="32" t="n">
        <x:f>AA61+X62-U62-AA61*V62/AB61</x:f>
        <x:v>3.7932839853901976</x:v>
      </x:c>
      <x:c r="AB62" s="10" t="n">
        <x:f>Y62+Z62+AA62</x:f>
        <x:v>37.68633337159822</x:v>
      </x:c>
      <x:c r="AC62" s="8" t="n">
        <x:f>IF(AND(tun_WinterTrigger=1,D62=1,AB61/AE61&gt;=K62),1,0)</x:f>
        <x:v>0</x:v>
      </x:c>
      <x:c r="AD62" s="8" t="n">
        <x:f>H62*IF(AND(OR(AB61/AE61&gt;=tun_FissionTrigger*N62,AC62=1),AB61/AE61*tun_DaughterShare&gt;=tun_MinDaughter),MAX(1,ROUND(AE61*tun_FissionRate,0)),0)</x:f>
        <x:v>0</x:v>
      </x:c>
      <x:c r="AE62" s="8" t="n">
        <x:f>IF(H62=1,MAX(1,MIN(INDEX(tun_Smax,G62),AE61+AD62)),AE61)</x:f>
        <x:v>2</x:v>
      </x:c>
      <x:c r="AF62" s="8" t="n">
        <x:f>MAX(0,AE62-AE61)</x:f>
        <x:v>0</x:v>
      </x:c>
      <x:c r="AG62" s="9" t="str">
        <x:f>IF(AF62&gt;0,B62,"")</x:f>
      </x:c>
      <x:c r="AH62" s="9" t="n">
        <x:f>IF(F62&gt;=1,1,(1+tun_LowTiesShare*(AE62-1))/AE62)</x:f>
        <x:v>1</x:v>
      </x:c>
      <x:c r="AI62" s="32" t="n">
        <x:f>(Z62+tun_ElderCommons*INDEX(LM_Elder,G62)*AA62)*AH62</x:f>
        <x:v>22.459491051921212</x:v>
      </x:c>
      <x:c r="AJ62" s="32" t="n">
        <x:f>H62*tun_CommonsCoef*AI62^tun_CommonsExp*INDEX(LM_Commons,G62)</x:f>
        <x:v>74.35734021944063</x:v>
      </x:c>
      <x:c r="AK62" s="32" t="n">
        <x:f>H62*tun_RoleScale*Arch_Roles*(AE62*(INDEX(tun_ElderRolePerSett,G62)*tun_OutElder*INDEX(LM_Elder,G62)+INDEX(tun_ShamanPerSett,G62)*tun_OutShaman)+Z62*(INDEX(tun_PriestShare,G62)*tun_OutPriest+INDEX(tun_ScribeShare,G62)*tun_OutScribe*INDEX(LM_Scribe,G62)+INDEX(tun_ScholarShare,G62)*tun_OutScholar*INDEX(LM_Scholar,G62)+INDEX(tun_ResearcherShare,G62)*tun_OutResearcher*INDEX(LM_Researcher,G62)))</x:f>
        <x:v>21.79795897113271</x:v>
      </x:c>
      <x:c r="AL62" s="32" t="n">
        <x:f>H62*tun_RoleScale*Arch_Roles*AE62*INDEX(tun_MonasteryPerSett,G62)*tun_OutMonastery*INDEX(LM_Monastery,G62)</x:f>
        <x:v>0</x:v>
      </x:c>
      <x:c r="AM62" s="32" t="n">
        <x:f>(AJ62+AK62+AL62)/4*INDEX(LM_All,G62)*INDEX(tun_Boon,G62)*Arch_Insight</x:f>
        <x:v>24.639795417584416</x:v>
      </x:c>
      <x:c r="AN62" s="32" t="n">
        <x:f>H62*(tun_KHPerAdult*Z62+tun_KHOfCommons*AJ62/4*INDEX(LM_All,G62))*tun_KHUsable*Arch_KH</x:f>
        <x:v>4.554387088440738</x:v>
      </x:c>
      <x:c r="AO62" s="32" t="n">
        <x:f>MIN(AP61+AN62,AM62*tun_KHMaxRatio)</x:f>
        <x:v>4.554387088440738</x:v>
      </x:c>
      <x:c r="AP62" s="32" t="n">
        <x:f>AP61+AN62-AO62</x:f>
        <x:v>0</x:v>
      </x:c>
      <x:c r="AQ62" s="32" t="n">
        <x:f>AM62+AO62</x:f>
        <x:v>29.194182506025154</x:v>
      </x:c>
      <x:c r="AR62" s="10" t="n">
        <x:f>IF(H62=1,INDEX(tun_Req,G62),0)</x:f>
        <x:v>1075.552</x:v>
      </x:c>
      <x:c r="AS62" s="32" t="n">
        <x:f>IF(H62=1,IF(E62=1,AS61-AR61,AS61)+AQ62,0)</x:f>
        <x:v>727.9351482470325</x:v>
      </x:c>
      <x:c r="AT62" s="11" t="n">
        <x:f>IF(AR62&gt;0,MIN(1,AS62/AR62),1)</x:f>
        <x:v>0.676801445441069</x:v>
      </x:c>
      <x:c r="AU62" s="10" t="n">
        <x:f>AB62/INDEX(tun_RepScale,G62)</x:f>
        <x:v>37.68633337159822</x:v>
      </x:c>
      <x:c r="AV62" s="32" t="n">
        <x:f>AM62*60/tun_SeasonSeconds</x:f>
        <x:v>98.55918167033767</x:v>
      </x:c>
    </x:row>
    <x:row r="63">
      <x:c r="A63" s="8" t="n">
        <x:f>A62+1</x:f>
        <x:v>60</x:v>
      </x:c>
      <x:c r="B63" s="9" t="n">
        <x:f>A63*tun_SeasonSeconds/60</x:f>
        <x:v>15</x:v>
      </x:c>
      <x:c r="C63" s="9" t="n">
        <x:f>A63/4</x:f>
        <x:v>15</x:v>
      </x:c>
      <x:c r="D63" s="8" t="n">
        <x:f>IF(MOD(A63,4)=0,1,0)</x:f>
        <x:v>1</x:v>
      </x:c>
      <x:c r="E63" s="8" t="n">
        <x:f>IF(AND(F62&lt;=9,AS62&gt;=AR62),1,0)</x:f>
        <x:v>0</x:v>
      </x:c>
      <x:c r="F63" s="8" t="n">
        <x:f>MIN(10,F62+E63)</x:f>
        <x:v>1</x:v>
      </x:c>
      <x:c r="G63" s="8" t="n">
        <x:f>MIN(F63,9)+1</x:f>
        <x:v>2</x:v>
      </x:c>
      <x:c r="H63" s="8" t="n">
        <x:f>IF(F63&lt;=9,1,0)</x:f>
        <x:v>1</x:v>
      </x:c>
      <x:c r="I63" s="9" t="n">
        <x:f>MIN(10,F62+IF(AR62&gt;0,MIN(1,AS62/AR62),1))</x:f>
        <x:v>1.6768014454410691</x:v>
      </x:c>
      <x:c r="J63" s="32" t="n">
        <x:f>INDEX(tun_FoodCap,G63)*Arch_FoodCap*EXP(tun_CapsByProject*SUMPRODUCT((Cap_Point&lt;=I63)*(Cap_Kind="Food")*Cap_Ln))</x:f>
        <x:v>38.72054112973246</x:v>
      </x:c>
      <x:c r="K63" s="32" t="n">
        <x:f>J63*MIN(1,tun_LeanBase*EXP(tun_CapsByProject*SUMPRODUCT((Cap_Point&lt;=I63)*(Cap_Kind="Lean")*Cap_Ln)))</x:f>
        <x:v>38.72054112973246</x:v>
      </x:c>
      <x:c r="L63" s="10" t="n">
        <x:f>INDEX(tun_HousingCap,G63)*EXP(tun_CapsByProject*SUMPRODUCT((Cap_Point&lt;=I63)*(Cap_Kind="Housing")*Cap_Ln))</x:f>
        <x:v>90</x:v>
      </x:c>
      <x:c r="M63" s="10" t="n">
        <x:f>INDEX(tun_GroupCap,G63)*tun_CohesionFactor*EXP(tun_CapsByProject*SUMPRODUCT((Cap_Point&lt;=I63)*(Cap_Kind="Group")*Cap_Ln))</x:f>
        <x:v>35</x:v>
      </x:c>
      <x:c r="N63" s="32" t="n">
        <x:f>MIN(J63,L63,M63)</x:f>
        <x:v>35</x:v>
      </x:c>
      <x:c r="O63" s="10" t="n">
        <x:f>AE62*N63</x:f>
        <x:v>70</x:v>
      </x:c>
      <x:c r="P63" s="9" t="n">
        <x:f>MIN(1,(AB62/(AE62*IF(tun_GroupInCrowding=1,N63,MIN(J63,L63))))^tun_CrowdingExp)</x:f>
        <x:v>0.01328234727646413</x:v>
      </x:c>
      <x:c r="Q63" s="9" t="n">
        <x:f>IF(D63=1,INDEX(tun_WinterMult,G63),1)</x:f>
        <x:v>1.7</x:v>
      </x:c>
      <x:c r="R63" s="9" t="n">
        <x:f>H63*Z62*tun_WomenShare*tun_BaseFertility*INDEX(tun_FertMult,G63)*Arch_Fertility*(1-P63)</x:f>
        <x:v>0.9712252902861538</x:v>
      </x:c>
      <x:c r="S63" s="9" t="n">
        <x:f>H63*Y62*INDEX(tun_MortChild,G63)/4*Q63</x:f>
        <x:v>0.29067048888519215</x:v>
      </x:c>
      <x:c r="T63" s="9" t="n">
        <x:f>H63*Z62*INDEX(tun_MortAdult,G63)*Arch_AdultMort/4*Q63</x:f>
        <x:v>0.06155984291879176</x:v>
      </x:c>
      <x:c r="U63" s="9" t="n">
        <x:f>H63*AA62*INDEX(tun_MortElder,G63)/4*Q63</x:f>
        <x:v>0.0854437217709142</x:v>
      </x:c>
      <x:c r="V63" s="9" t="n">
        <x:f>H63*MAX(0,AB62-O63)*tun_OvercapLoss</x:f>
        <x:v>0</x:v>
      </x:c>
      <x:c r="W63" s="9" t="n">
        <x:f>H63*Y62/(tun_ChildYears*4)</x:f>
        <x:v>0.3700922954993534</x:v>
      </x:c>
      <x:c r="X63" s="9" t="n">
        <x:f>H63*Z62/(tun_AdultYears*4)</x:f>
        <x:v>0.10619258740519538</x:v>
      </x:c>
      <x:c r="Y63" s="32" t="n">
        <x:f>Y62+R63-S63-W63-Y62*V63/AB62</x:f>
        <x:v>21.035631053865398</x:v>
      </x:c>
      <x:c r="Z63" s="32" t="n">
        <x:f>Z62+W63-X63-T63-Z62*V63/AB62</x:f>
        <x:v>13.370220703419594</x:v>
      </x:c>
      <x:c r="AA63" s="32" t="n">
        <x:f>AA62+X63-U63-AA62*V63/AB62</x:f>
        <x:v>3.8140328510244785</x:v>
      </x:c>
      <x:c r="AB63" s="10" t="n">
        <x:f>Y63+Z63+AA63</x:f>
        <x:v>38.21988460830947</x:v>
      </x:c>
      <x:c r="AC63" s="8" t="n">
        <x:f>IF(AND(tun_WinterTrigger=1,D63=1,AB62/AE62&gt;=K63),1,0)</x:f>
        <x:v>0</x:v>
      </x:c>
      <x:c r="AD63" s="8" t="n">
        <x:f>H63*IF(AND(OR(AB62/AE62&gt;=tun_FissionTrigger*N63,AC63=1),AB62/AE62*tun_DaughterShare&gt;=tun_MinDaughter),MAX(1,ROUND(AE62*tun_FissionRate,0)),0)</x:f>
        <x:v>0</x:v>
      </x:c>
      <x:c r="AE63" s="8" t="n">
        <x:f>IF(H63=1,MAX(1,MIN(INDEX(tun_Smax,G63),AE62+AD63)),AE62)</x:f>
        <x:v>2</x:v>
      </x:c>
      <x:c r="AF63" s="8" t="n">
        <x:f>MAX(0,AE63-AE62)</x:f>
        <x:v>0</x:v>
      </x:c>
      <x:c r="AG63" s="9" t="str">
        <x:f>IF(AF63&gt;0,B63,"")</x:f>
      </x:c>
      <x:c r="AH63" s="9" t="n">
        <x:f>IF(F63&gt;=1,1,(1+tun_LowTiesShare*(AE63-1))/AE63)</x:f>
        <x:v>1</x:v>
      </x:c>
      <x:c r="AI63" s="32" t="n">
        <x:f>(Z63+tun_ElderCommons*INDEX(LM_Elder,G63)*AA63)*AH63</x:f>
        <x:v>22.712655050642134</x:v>
      </x:c>
      <x:c r="AJ63" s="32" t="n">
        <x:f>H63*tun_CommonsCoef*AI63^tun_CommonsExp*INDEX(LM_Commons,G63)</x:f>
        <x:v>75.06917479329265</x:v>
      </x:c>
      <x:c r="AK63" s="32" t="n">
        <x:f>H63*tun_RoleScale*Arch_Roles*(AE63*(INDEX(tun_ElderRolePerSett,G63)*tun_OutElder*INDEX(LM_Elder,G63)+INDEX(tun_ShamanPerSett,G63)*tun_OutShaman)+Z63*(INDEX(tun_PriestShare,G63)*tun_OutPriest+INDEX(tun_ScribeShare,G63)*tun_OutScribe*INDEX(LM_Scribe,G63)+INDEX(tun_ScholarShare,G63)*tun_OutScholar*INDEX(LM_Scholar,G63)+INDEX(tun_ResearcherShare,G63)*tun_OutResearcher*INDEX(LM_Researcher,G63)))</x:f>
        <x:v>21.79795897113271</x:v>
      </x:c>
      <x:c r="AL63" s="32" t="n">
        <x:f>H63*tun_RoleScale*Arch_Roles*AE63*INDEX(tun_MonasteryPerSett,G63)*tun_OutMonastery*INDEX(LM_Monastery,G63)</x:f>
        <x:v>0</x:v>
      </x:c>
      <x:c r="AM63" s="32" t="n">
        <x:f>(AJ63+AK63+AL63)/4*INDEX(LM_All,G63)*INDEX(tun_Boon,G63)*Arch_Insight</x:f>
        <x:v>24.822203027133998</x:v>
      </x:c>
      <x:c r="AN63" s="32" t="n">
        <x:f>H63*(tun_KHPerAdult*Z63+tun_KHOfCommons*AJ63/4*INDEX(LM_All,G63))*tun_KHUsable*Arch_KH</x:f>
        <x:v>4.597986956089174</x:v>
      </x:c>
      <x:c r="AO63" s="32" t="n">
        <x:f>MIN(AP62+AN63,AM63*tun_KHMaxRatio)</x:f>
        <x:v>4.597986956089174</x:v>
      </x:c>
      <x:c r="AP63" s="32" t="n">
        <x:f>AP62+AN63-AO63</x:f>
        <x:v>0</x:v>
      </x:c>
      <x:c r="AQ63" s="32" t="n">
        <x:f>AM63+AO63</x:f>
        <x:v>29.42018998322317</x:v>
      </x:c>
      <x:c r="AR63" s="10" t="n">
        <x:f>IF(H63=1,INDEX(tun_Req,G63),0)</x:f>
        <x:v>1075.552</x:v>
      </x:c>
      <x:c r="AS63" s="32" t="n">
        <x:f>IF(H63=1,IF(E63=1,AS62-AR62,AS62)+AQ63,0)</x:f>
        <x:v>757.3553382302557</x:v>
      </x:c>
      <x:c r="AT63" s="11" t="n">
        <x:f>IF(AR63&gt;0,MIN(1,AS63/AR63),1)</x:f>
        <x:v>0.7041550182885215</x:v>
      </x:c>
      <x:c r="AU63" s="10" t="n">
        <x:f>AB63/INDEX(tun_RepScale,G63)</x:f>
        <x:v>38.21988460830947</x:v>
      </x:c>
      <x:c r="AV63" s="32" t="n">
        <x:f>AM63*60/tun_SeasonSeconds</x:f>
        <x:v>99.28881210853599</x:v>
      </x:c>
    </x:row>
    <x:row r="64">
      <x:c r="A64" s="8" t="n">
        <x:f>A63+1</x:f>
        <x:v>61</x:v>
      </x:c>
      <x:c r="B64" s="9" t="n">
        <x:f>A64*tun_SeasonSeconds/60</x:f>
        <x:v>15.25</x:v>
      </x:c>
      <x:c r="C64" s="9" t="n">
        <x:f>A64/4</x:f>
        <x:v>15.25</x:v>
      </x:c>
      <x:c r="D64" s="8" t="n">
        <x:f>IF(MOD(A64,4)=0,1,0)</x:f>
        <x:v>0</x:v>
      </x:c>
      <x:c r="E64" s="8" t="n">
        <x:f>IF(AND(F63&lt;=9,AS63&gt;=AR63),1,0)</x:f>
        <x:v>0</x:v>
      </x:c>
      <x:c r="F64" s="8" t="n">
        <x:f>MIN(10,F63+E64)</x:f>
        <x:v>1</x:v>
      </x:c>
      <x:c r="G64" s="8" t="n">
        <x:f>MIN(F64,9)+1</x:f>
        <x:v>2</x:v>
      </x:c>
      <x:c r="H64" s="8" t="n">
        <x:f>IF(F64&lt;=9,1,0)</x:f>
        <x:v>1</x:v>
      </x:c>
      <x:c r="I64" s="9" t="n">
        <x:f>MIN(10,F63+IF(AR63&gt;0,MIN(1,AS63/AR63),1))</x:f>
        <x:v>1.7041550182885215</x:v>
      </x:c>
      <x:c r="J64" s="32" t="n">
        <x:f>INDEX(tun_FoodCap,G64)*Arch_FoodCap*EXP(tun_CapsByProject*SUMPRODUCT((Cap_Point&lt;=I64)*(Cap_Kind="Food")*Cap_Ln))</x:f>
        <x:v>38.72054112973246</x:v>
      </x:c>
      <x:c r="K64" s="32" t="n">
        <x:f>J64*MIN(1,tun_LeanBase*EXP(tun_CapsByProject*SUMPRODUCT((Cap_Point&lt;=I64)*(Cap_Kind="Lean")*Cap_Ln)))</x:f>
        <x:v>38.72054112973246</x:v>
      </x:c>
      <x:c r="L64" s="10" t="n">
        <x:f>INDEX(tun_HousingCap,G64)*EXP(tun_CapsByProject*SUMPRODUCT((Cap_Point&lt;=I64)*(Cap_Kind="Housing")*Cap_Ln))</x:f>
        <x:v>90</x:v>
      </x:c>
      <x:c r="M64" s="10" t="n">
        <x:f>INDEX(tun_GroupCap,G64)*tun_CohesionFactor*EXP(tun_CapsByProject*SUMPRODUCT((Cap_Point&lt;=I64)*(Cap_Kind="Group")*Cap_Ln))</x:f>
        <x:v>35</x:v>
      </x:c>
      <x:c r="N64" s="32" t="n">
        <x:f>MIN(J64,L64,M64)</x:f>
        <x:v>35</x:v>
      </x:c>
      <x:c r="O64" s="10" t="n">
        <x:f>AE63*N64</x:f>
        <x:v>70</x:v>
      </x:c>
      <x:c r="P64" s="9" t="n">
        <x:f>MIN(1,(AB63/(AE63*IF(tun_GroupInCrowding=1,N64,MIN(J64,L64))))^tun_CrowdingExp)</x:f>
        <x:v>0.01445132761763072</x:v>
      </x:c>
      <x:c r="Q64" s="9" t="n">
        <x:f>IF(D64=1,INDEX(tun_WinterMult,G64),1)</x:f>
        <x:v>1</x:v>
      </x:c>
      <x:c r="R64" s="9" t="n">
        <x:f>H64*Z63*tun_WomenShare*tun_BaseFertility*INDEX(tun_FertMult,G64)*Arch_Fertility*(1-P64)</x:f>
        <x:v>0.984980993962655</x:v>
      </x:c>
      <x:c r="S64" s="9" t="n">
        <x:f>H64*Y63*INDEX(tun_MortChild,G64)/4*Q64</x:f>
        <x:v>0.17354395619438953</x:v>
      </x:c>
      <x:c r="T64" s="9" t="n">
        <x:f>H64*Z63*INDEX(tun_MortAdult,G64)*Arch_AdultMort/4*Q64</x:f>
        <x:v>0.03676810693440388</x:v>
      </x:c>
      <x:c r="U64" s="9" t="n">
        <x:f>H64*AA63*INDEX(tun_MortElder,G64)/4*Q64</x:f>
        <x:v>0.05053593527607434</x:v>
      </x:c>
      <x:c r="V64" s="9" t="n">
        <x:f>H64*MAX(0,AB63-O64)*tun_OvercapLoss</x:f>
        <x:v>0</x:v>
      </x:c>
      <x:c r="W64" s="9" t="n">
        <x:f>H64*Y63/(tun_ChildYears*4)</x:f>
        <x:v>0.37563626881902495</x:v>
      </x:c>
      <x:c r="X64" s="9" t="n">
        <x:f>H64*Z63/(tun_AdultYears*4)</x:f>
        <x:v>0.10782436051144834</x:v>
      </x:c>
      <x:c r="Y64" s="32" t="n">
        <x:f>Y63+R64-S64-W64-Y63*V64/AB63</x:f>
        <x:v>21.471431822814637</x:v>
      </x:c>
      <x:c r="Z64" s="32" t="n">
        <x:f>Z63+W64-X64-T64-Z63*V64/AB63</x:f>
        <x:v>13.601264504792768</x:v>
      </x:c>
      <x:c r="AA64" s="32" t="n">
        <x:f>AA63+X64-U64-AA63*V64/AB63</x:f>
        <x:v>3.8713212762598523</x:v>
      </x:c>
      <x:c r="AB64" s="10" t="n">
        <x:f>Y64+Z64+AA64</x:f>
        <x:v>38.94401760386725</x:v>
      </x:c>
      <x:c r="AC64" s="8" t="n">
        <x:f>IF(AND(tun_WinterTrigger=1,D64=1,AB63/AE63&gt;=K64),1,0)</x:f>
        <x:v>0</x:v>
      </x:c>
      <x:c r="AD64" s="8" t="n">
        <x:f>H64*IF(AND(OR(AB63/AE63&gt;=tun_FissionTrigger*N64,AC64=1),AB63/AE63*tun_DaughterShare&gt;=tun_MinDaughter),MAX(1,ROUND(AE63*tun_FissionRate,0)),0)</x:f>
        <x:v>0</x:v>
      </x:c>
      <x:c r="AE64" s="8" t="n">
        <x:f>IF(H64=1,MAX(1,MIN(INDEX(tun_Smax,G64),AE63+AD64)),AE63)</x:f>
        <x:v>2</x:v>
      </x:c>
      <x:c r="AF64" s="8" t="n">
        <x:f>MAX(0,AE64-AE63)</x:f>
        <x:v>0</x:v>
      </x:c>
      <x:c r="AG64" s="9" t="str">
        <x:f>IF(AF64&gt;0,B64,"")</x:f>
      </x:c>
      <x:c r="AH64" s="9" t="n">
        <x:f>IF(F64&gt;=1,1,(1+tun_LowTiesShare*(AE64-1))/AE64)</x:f>
        <x:v>1</x:v>
      </x:c>
      <x:c r="AI64" s="32" t="n">
        <x:f>(Z64+tun_ElderCommons*INDEX(LM_Elder,G64)*AA64)*AH64</x:f>
        <x:v>23.08402626200956</x:v>
      </x:c>
      <x:c r="AJ64" s="32" t="n">
        <x:f>H64*tun_CommonsCoef*AI64^tun_CommonsExp*INDEX(LM_Commons,G64)</x:f>
        <x:v>76.11123137694726</x:v>
      </x:c>
      <x:c r="AK64" s="32" t="n">
        <x:f>H64*tun_RoleScale*Arch_Roles*(AE64*(INDEX(tun_ElderRolePerSett,G64)*tun_OutElder*INDEX(LM_Elder,G64)+INDEX(tun_ShamanPerSett,G64)*tun_OutShaman)+Z64*(INDEX(tun_PriestShare,G64)*tun_OutPriest+INDEX(tun_ScribeShare,G64)*tun_OutScribe*INDEX(LM_Scribe,G64)+INDEX(tun_ScholarShare,G64)*tun_OutScholar*INDEX(LM_Scholar,G64)+INDEX(tun_ResearcherShare,G64)*tun_OutResearcher*INDEX(LM_Researcher,G64)))</x:f>
        <x:v>21.79795897113271</x:v>
      </x:c>
      <x:c r="AL64" s="32" t="n">
        <x:f>H64*tun_RoleScale*Arch_Roles*AE64*INDEX(tun_MonasteryPerSett,G64)*tun_OutMonastery*INDEX(LM_Monastery,G64)</x:f>
        <x:v>0</x:v>
      </x:c>
      <x:c r="AM64" s="32" t="n">
        <x:f>(AJ64+AK64+AL64)/4*INDEX(LM_All,G64)*INDEX(tun_Boon,G64)*Arch_Insight</x:f>
        <x:v>25.089230026695493</x:v>
      </x:c>
      <x:c r="AN64" s="32" t="n">
        <x:f>H64*(tun_KHPerAdult*Z64+tun_KHOfCommons*AJ64/4*INDEX(LM_All,G64))*tun_KHUsable*Arch_KH</x:f>
        <x:v>4.6618129218380195</x:v>
      </x:c>
      <x:c r="AO64" s="32" t="n">
        <x:f>MIN(AP63+AN64,AM64*tun_KHMaxRatio)</x:f>
        <x:v>4.6618129218380195</x:v>
      </x:c>
      <x:c r="AP64" s="32" t="n">
        <x:f>AP63+AN64-AO64</x:f>
        <x:v>0</x:v>
      </x:c>
      <x:c r="AQ64" s="32" t="n">
        <x:f>AM64+AO64</x:f>
        <x:v>29.751042948533513</x:v>
      </x:c>
      <x:c r="AR64" s="10" t="n">
        <x:f>IF(H64=1,INDEX(tun_Req,G64),0)</x:f>
        <x:v>1075.552</x:v>
      </x:c>
      <x:c r="AS64" s="32" t="n">
        <x:f>IF(H64=1,IF(E64=1,AS63-AR63,AS63)+AQ64,0)</x:f>
        <x:v>787.1063811787892</x:v>
      </x:c>
      <x:c r="AT64" s="11" t="n">
        <x:f>IF(AR64&gt;0,MIN(1,AS64/AR64),1)</x:f>
        <x:v>0.7318162033809517</x:v>
      </x:c>
      <x:c r="AU64" s="10" t="n">
        <x:f>AB64/INDEX(tun_RepScale,G64)</x:f>
        <x:v>38.94401760386725</x:v>
      </x:c>
      <x:c r="AV64" s="32" t="n">
        <x:f>AM64*60/tun_SeasonSeconds</x:f>
        <x:v>100.35692010678197</x:v>
      </x:c>
    </x:row>
    <x:row r="65">
      <x:c r="A65" s="8" t="n">
        <x:f>A64+1</x:f>
        <x:v>62</x:v>
      </x:c>
      <x:c r="B65" s="9" t="n">
        <x:f>A65*tun_SeasonSeconds/60</x:f>
        <x:v>15.5</x:v>
      </x:c>
      <x:c r="C65" s="9" t="n">
        <x:f>A65/4</x:f>
        <x:v>15.5</x:v>
      </x:c>
      <x:c r="D65" s="8" t="n">
        <x:f>IF(MOD(A65,4)=0,1,0)</x:f>
        <x:v>0</x:v>
      </x:c>
      <x:c r="E65" s="8" t="n">
        <x:f>IF(AND(F64&lt;=9,AS64&gt;=AR64),1,0)</x:f>
        <x:v>0</x:v>
      </x:c>
      <x:c r="F65" s="8" t="n">
        <x:f>MIN(10,F64+E65)</x:f>
        <x:v>1</x:v>
      </x:c>
      <x:c r="G65" s="8" t="n">
        <x:f>MIN(F65,9)+1</x:f>
        <x:v>2</x:v>
      </x:c>
      <x:c r="H65" s="8" t="n">
        <x:f>IF(F65&lt;=9,1,0)</x:f>
        <x:v>1</x:v>
      </x:c>
      <x:c r="I65" s="9" t="n">
        <x:f>MIN(10,F64+IF(AR64&gt;0,MIN(1,AS64/AR64),1))</x:f>
        <x:v>1.7318162033809517</x:v>
      </x:c>
      <x:c r="J65" s="32" t="n">
        <x:f>INDEX(tun_FoodCap,G65)*Arch_FoodCap*EXP(tun_CapsByProject*SUMPRODUCT((Cap_Point&lt;=I65)*(Cap_Kind="Food")*Cap_Ln))</x:f>
        <x:v>38.72054112973246</x:v>
      </x:c>
      <x:c r="K65" s="32" t="n">
        <x:f>J65*MIN(1,tun_LeanBase*EXP(tun_CapsByProject*SUMPRODUCT((Cap_Point&lt;=I65)*(Cap_Kind="Lean")*Cap_Ln)))</x:f>
        <x:v>38.72054112973246</x:v>
      </x:c>
      <x:c r="L65" s="10" t="n">
        <x:f>INDEX(tun_HousingCap,G65)*EXP(tun_CapsByProject*SUMPRODUCT((Cap_Point&lt;=I65)*(Cap_Kind="Housing")*Cap_Ln))</x:f>
        <x:v>90</x:v>
      </x:c>
      <x:c r="M65" s="10" t="n">
        <x:f>INDEX(tun_GroupCap,G65)*tun_CohesionFactor*EXP(tun_CapsByProject*SUMPRODUCT((Cap_Point&lt;=I65)*(Cap_Kind="Group")*Cap_Ln))</x:f>
        <x:v>35</x:v>
      </x:c>
      <x:c r="N65" s="32" t="n">
        <x:f>MIN(J65,L65,M65)</x:f>
        <x:v>35</x:v>
      </x:c>
      <x:c r="O65" s="10" t="n">
        <x:f>AE64*N65</x:f>
        <x:v>70</x:v>
      </x:c>
      <x:c r="P65" s="9" t="n">
        <x:f>MIN(1,(AB64/(AE64*IF(tun_GroupInCrowding=1,N65,MIN(J65,L65))))^tun_CrowdingExp)</x:f>
        <x:v>0.016173947715178893</x:v>
      </x:c>
      <x:c r="Q65" s="9" t="n">
        <x:f>IF(D65=1,INDEX(tun_WinterMult,G65),1)</x:f>
        <x:v>1</x:v>
      </x:c>
      <x:c r="R65" s="9" t="n">
        <x:f>H65*Z64*tun_WomenShare*tun_BaseFertility*INDEX(tun_FertMult,G65)*Arch_Fertility*(1-P65)</x:f>
        <x:v>1.000250557696437</x:v>
      </x:c>
      <x:c r="S65" s="9" t="n">
        <x:f>H65*Y64*INDEX(tun_MortChild,G65)/4*Q65</x:f>
        <x:v>0.17713931253822077</x:v>
      </x:c>
      <x:c r="T65" s="9" t="n">
        <x:f>H65*Z64*INDEX(tun_MortAdult,G65)*Arch_AdultMort/4*Q65</x:f>
        <x:v>0.03740347738818011</x:v>
      </x:c>
      <x:c r="U65" s="9" t="n">
        <x:f>H65*AA64*INDEX(tun_MortElder,G65)/4*Q65</x:f>
        <x:v>0.051295006910443045</x:v>
      </x:c>
      <x:c r="V65" s="9" t="n">
        <x:f>H65*MAX(0,AB64-O65)*tun_OvercapLoss</x:f>
        <x:v>0</x:v>
      </x:c>
      <x:c r="W65" s="9" t="n">
        <x:f>H65*Y64/(tun_ChildYears*4)</x:f>
        <x:v>0.38341842540740423</x:v>
      </x:c>
      <x:c r="X65" s="9" t="n">
        <x:f>H65*Z64/(tun_AdultYears*4)</x:f>
        <x:v>0.10968761697413523</x:v>
      </x:c>
      <x:c r="Y65" s="32" t="n">
        <x:f>Y64+R65-S65-W65-Y64*V65/AB64</x:f>
        <x:v>21.911124642565447</x:v>
      </x:c>
      <x:c r="Z65" s="32" t="n">
        <x:f>Z64+W65-X65-T65-Z64*V65/AB64</x:f>
        <x:v>13.837591835837857</x:v>
      </x:c>
      <x:c r="AA65" s="32" t="n">
        <x:f>AA64+X65-U65-AA64*V65/AB64</x:f>
        <x:v>3.929713886323545</x:v>
      </x:c>
      <x:c r="AB65" s="10" t="n">
        <x:f>Y65+Z65+AA65</x:f>
        <x:v>39.67843036472685</x:v>
      </x:c>
      <x:c r="AC65" s="8" t="n">
        <x:f>IF(AND(tun_WinterTrigger=1,D65=1,AB64/AE64&gt;=K65),1,0)</x:f>
        <x:v>0</x:v>
      </x:c>
      <x:c r="AD65" s="8" t="n">
        <x:f>H65*IF(AND(OR(AB64/AE64&gt;=tun_FissionTrigger*N65,AC65=1),AB64/AE64*tun_DaughterShare&gt;=tun_MinDaughter),MAX(1,ROUND(AE64*tun_FissionRate,0)),0)</x:f>
        <x:v>0</x:v>
      </x:c>
      <x:c r="AE65" s="8" t="n">
        <x:f>IF(H65=1,MAX(1,MIN(INDEX(tun_Smax,G65),AE64+AD65)),AE64)</x:f>
        <x:v>2</x:v>
      </x:c>
      <x:c r="AF65" s="8" t="n">
        <x:f>MAX(0,AE65-AE64)</x:f>
        <x:v>0</x:v>
      </x:c>
      <x:c r="AG65" s="9" t="str">
        <x:f>IF(AF65&gt;0,B65,"")</x:f>
      </x:c>
      <x:c r="AH65" s="9" t="n">
        <x:f>IF(F65&gt;=1,1,(1+tun_LowTiesShare*(AE65-1))/AE65)</x:f>
        <x:v>1</x:v>
      </x:c>
      <x:c r="AI65" s="32" t="n">
        <x:f>(Z65+tun_ElderCommons*INDEX(LM_Elder,G65)*AA65)*AH65</x:f>
        <x:v>23.46338569246</x:v>
      </x:c>
      <x:c r="AJ65" s="32" t="n">
        <x:f>H65*tun_CommonsCoef*AI65^tun_CommonsExp*INDEX(LM_Commons,G65)</x:f>
        <x:v>77.17310963983837</x:v>
      </x:c>
      <x:c r="AK65" s="32" t="n">
        <x:f>H65*tun_RoleScale*Arch_Roles*(AE65*(INDEX(tun_ElderRolePerSett,G65)*tun_OutElder*INDEX(LM_Elder,G65)+INDEX(tun_ShamanPerSett,G65)*tun_OutShaman)+Z65*(INDEX(tun_PriestShare,G65)*tun_OutPriest+INDEX(tun_ScribeShare,G65)*tun_OutScribe*INDEX(LM_Scribe,G65)+INDEX(tun_ScholarShare,G65)*tun_OutScholar*INDEX(LM_Scholar,G65)+INDEX(tun_ResearcherShare,G65)*tun_OutResearcher*INDEX(LM_Researcher,G65)))</x:f>
        <x:v>21.79795897113271</x:v>
      </x:c>
      <x:c r="AL65" s="32" t="n">
        <x:f>H65*tun_RoleScale*Arch_Roles*AE65*INDEX(tun_MonasteryPerSett,G65)*tun_OutMonastery*INDEX(LM_Monastery,G65)</x:f>
        <x:v>0</x:v>
      </x:c>
      <x:c r="AM65" s="32" t="n">
        <x:f>(AJ65+AK65+AL65)/4*INDEX(LM_All,G65)*INDEX(tun_Boon,G65)*Arch_Insight</x:f>
        <x:v>25.36133633156134</x:v>
      </x:c>
      <x:c r="AN65" s="32" t="n">
        <x:f>H65*(tun_KHPerAdult*Z65+tun_KHOfCommons*AJ65/4*INDEX(LM_All,G65))*tun_KHUsable*Arch_KH</x:f>
        <x:v>4.7268529654400995</x:v>
      </x:c>
      <x:c r="AO65" s="32" t="n">
        <x:f>MIN(AP64+AN65,AM65*tun_KHMaxRatio)</x:f>
        <x:v>4.7268529654400995</x:v>
      </x:c>
      <x:c r="AP65" s="32" t="n">
        <x:f>AP64+AN65-AO65</x:f>
        <x:v>0</x:v>
      </x:c>
      <x:c r="AQ65" s="32" t="n">
        <x:f>AM65+AO65</x:f>
        <x:v>30.08818929700144</x:v>
      </x:c>
      <x:c r="AR65" s="10" t="n">
        <x:f>IF(H65=1,INDEX(tun_Req,G65),0)</x:f>
        <x:v>1075.552</x:v>
      </x:c>
      <x:c r="AS65" s="32" t="n">
        <x:f>IF(H65=1,IF(E65=1,AS64-AR64,AS64)+AQ65,0)</x:f>
        <x:v>817.1945704757907</x:v>
      </x:c>
      <x:c r="AT65" s="11" t="n">
        <x:f>IF(AR65&gt;0,MIN(1,AS65/AR65),1)</x:f>
        <x:v>0.7597908520236965</x:v>
      </x:c>
      <x:c r="AU65" s="10" t="n">
        <x:f>AB65/INDEX(tun_RepScale,G65)</x:f>
        <x:v>39.67843036472685</x:v>
      </x:c>
      <x:c r="AV65" s="32" t="n">
        <x:f>AM65*60/tun_SeasonSeconds</x:f>
        <x:v>101.44534532624536</x:v>
      </x:c>
    </x:row>
    <x:row r="66">
      <x:c r="A66" s="8" t="n">
        <x:f>A65+1</x:f>
        <x:v>63</x:v>
      </x:c>
      <x:c r="B66" s="9" t="n">
        <x:f>A66*tun_SeasonSeconds/60</x:f>
        <x:v>15.75</x:v>
      </x:c>
      <x:c r="C66" s="9" t="n">
        <x:f>A66/4</x:f>
        <x:v>15.75</x:v>
      </x:c>
      <x:c r="D66" s="8" t="n">
        <x:f>IF(MOD(A66,4)=0,1,0)</x:f>
        <x:v>0</x:v>
      </x:c>
      <x:c r="E66" s="8" t="n">
        <x:f>IF(AND(F65&lt;=9,AS65&gt;=AR65),1,0)</x:f>
        <x:v>0</x:v>
      </x:c>
      <x:c r="F66" s="8" t="n">
        <x:f>MIN(10,F65+E66)</x:f>
        <x:v>1</x:v>
      </x:c>
      <x:c r="G66" s="8" t="n">
        <x:f>MIN(F66,9)+1</x:f>
        <x:v>2</x:v>
      </x:c>
      <x:c r="H66" s="8" t="n">
        <x:f>IF(F66&lt;=9,1,0)</x:f>
        <x:v>1</x:v>
      </x:c>
      <x:c r="I66" s="9" t="n">
        <x:f>MIN(10,F65+IF(AR65&gt;0,MIN(1,AS65/AR65),1))</x:f>
        <x:v>1.7597908520236965</x:v>
      </x:c>
      <x:c r="J66" s="32" t="n">
        <x:f>INDEX(tun_FoodCap,G66)*Arch_FoodCap*EXP(tun_CapsByProject*SUMPRODUCT((Cap_Point&lt;=I66)*(Cap_Kind="Food")*Cap_Ln))</x:f>
        <x:v>38.72054112973246</x:v>
      </x:c>
      <x:c r="K66" s="32" t="n">
        <x:f>J66*MIN(1,tun_LeanBase*EXP(tun_CapsByProject*SUMPRODUCT((Cap_Point&lt;=I66)*(Cap_Kind="Lean")*Cap_Ln)))</x:f>
        <x:v>38.72054112973246</x:v>
      </x:c>
      <x:c r="L66" s="10" t="n">
        <x:f>INDEX(tun_HousingCap,G66)*EXP(tun_CapsByProject*SUMPRODUCT((Cap_Point&lt;=I66)*(Cap_Kind="Housing")*Cap_Ln))</x:f>
        <x:v>90</x:v>
      </x:c>
      <x:c r="M66" s="10" t="n">
        <x:f>INDEX(tun_GroupCap,G66)*tun_CohesionFactor*EXP(tun_CapsByProject*SUMPRODUCT((Cap_Point&lt;=I66)*(Cap_Kind="Group")*Cap_Ln))</x:f>
        <x:v>35</x:v>
      </x:c>
      <x:c r="N66" s="32" t="n">
        <x:f>MIN(J66,L66,M66)</x:f>
        <x:v>35</x:v>
      </x:c>
      <x:c r="O66" s="10" t="n">
        <x:f>AE65*N66</x:f>
        <x:v>70</x:v>
      </x:c>
      <x:c r="P66" s="9" t="n">
        <x:f>MIN(1,(AB65/(AE65*IF(tun_GroupInCrowding=1,N66,MIN(J66,L66))))^tun_CrowdingExp)</x:f>
        <x:v>0.01809249325175998</x:v>
      </x:c>
      <x:c r="Q66" s="9" t="n">
        <x:f>IF(D66=1,INDEX(tun_WinterMult,G66),1)</x:f>
        <x:v>1</x:v>
      </x:c>
      <x:c r="R66" s="9" t="n">
        <x:f>H66*Z65*tun_WomenShare*tun_BaseFertility*INDEX(tun_FertMult,G66)*Arch_Fertility*(1-P66)</x:f>
        <x:v>1.0156458385948195</x:v>
      </x:c>
      <x:c r="S66" s="9" t="n">
        <x:f>H66*Y65*INDEX(tun_MortChild,G66)/4*Q66</x:f>
        <x:v>0.18076677830116494</x:v>
      </x:c>
      <x:c r="T66" s="9" t="n">
        <x:f>H66*Z65*INDEX(tun_MortAdult,G66)*Arch_AdultMort/4*Q66</x:f>
        <x:v>0.038053377548554104</x:v>
      </x:c>
      <x:c r="U66" s="9" t="n">
        <x:f>H66*AA65*INDEX(tun_MortElder,G66)/4*Q66</x:f>
        <x:v>0.05206870899378697</x:v>
      </x:c>
      <x:c r="V66" s="9" t="n">
        <x:f>H66*MAX(0,AB65-O66)*tun_OvercapLoss</x:f>
        <x:v>0</x:v>
      </x:c>
      <x:c r="W66" s="9" t="n">
        <x:f>H66*Y65/(tun_ChildYears*4)</x:f>
        <x:v>0.3912700829029544</x:v>
      </x:c>
      <x:c r="X66" s="9" t="n">
        <x:f>H66*Z65/(tun_AdultYears*4)</x:f>
        <x:v>0.1115934825470795</x:v>
      </x:c>
      <x:c r="Y66" s="32" t="n">
        <x:f>Y65+R66-S66-W66-Y65*V66/AB65</x:f>
        <x:v>22.354733619956146</x:v>
      </x:c>
      <x:c r="Z66" s="32" t="n">
        <x:f>Z65+W66-X66-T66-Z65*V66/AB65</x:f>
        <x:v>14.079215058645179</x:v>
      </x:c>
      <x:c r="AA66" s="32" t="n">
        <x:f>AA65+X66-U66-AA65*V66/AB65</x:f>
        <x:v>3.9892386598768375</x:v>
      </x:c>
      <x:c r="AB66" s="10" t="n">
        <x:f>Y66+Z66+AA66</x:f>
        <x:v>40.423187338478165</x:v>
      </x:c>
      <x:c r="AC66" s="8" t="n">
        <x:f>IF(AND(tun_WinterTrigger=1,D66=1,AB65/AE65&gt;=K66),1,0)</x:f>
        <x:v>0</x:v>
      </x:c>
      <x:c r="AD66" s="8" t="n">
        <x:f>H66*IF(AND(OR(AB65/AE65&gt;=tun_FissionTrigger*N66,AC66=1),AB65/AE65*tun_DaughterShare&gt;=tun_MinDaughter),MAX(1,ROUND(AE65*tun_FissionRate,0)),0)</x:f>
        <x:v>0</x:v>
      </x:c>
      <x:c r="AE66" s="8" t="n">
        <x:f>IF(H66=1,MAX(1,MIN(INDEX(tun_Smax,G66),AE65+AD66)),AE65)</x:f>
        <x:v>2</x:v>
      </x:c>
      <x:c r="AF66" s="8" t="n">
        <x:f>MAX(0,AE66-AE65)</x:f>
        <x:v>0</x:v>
      </x:c>
      <x:c r="AG66" s="9" t="str">
        <x:f>IF(AF66&gt;0,B66,"")</x:f>
      </x:c>
      <x:c r="AH66" s="9" t="n">
        <x:f>IF(F66&gt;=1,1,(1+tun_LowTiesShare*(AE66-1))/AE66)</x:f>
        <x:v>1</x:v>
      </x:c>
      <x:c r="AI66" s="32" t="n">
        <x:f>(Z66+tun_ElderCommons*INDEX(LM_Elder,G66)*AA66)*AH66</x:f>
        <x:v>23.8508142375276</x:v>
      </x:c>
      <x:c r="AJ66" s="32" t="n">
        <x:f>H66*tun_CommonsCoef*AI66^tun_CommonsExp*INDEX(LM_Commons,G66)</x:f>
        <x:v>78.25491984830303</x:v>
      </x:c>
      <x:c r="AK66" s="32" t="n">
        <x:f>H66*tun_RoleScale*Arch_Roles*(AE66*(INDEX(tun_ElderRolePerSett,G66)*tun_OutElder*INDEX(LM_Elder,G66)+INDEX(tun_ShamanPerSett,G66)*tun_OutShaman)+Z66*(INDEX(tun_PriestShare,G66)*tun_OutPriest+INDEX(tun_ScribeShare,G66)*tun_OutScribe*INDEX(LM_Scribe,G66)+INDEX(tun_ScholarShare,G66)*tun_OutScholar*INDEX(LM_Scholar,G66)+INDEX(tun_ResearcherShare,G66)*tun_OutResearcher*INDEX(LM_Researcher,G66)))</x:f>
        <x:v>21.79795897113271</x:v>
      </x:c>
      <x:c r="AL66" s="32" t="n">
        <x:f>H66*tun_RoleScale*Arch_Roles*AE66*INDEX(tun_MonasteryPerSett,G66)*tun_OutMonastery*INDEX(LM_Monastery,G66)</x:f>
        <x:v>0</x:v>
      </x:c>
      <x:c r="AM66" s="32" t="n">
        <x:f>(AJ66+AK66+AL66)/4*INDEX(LM_All,G66)*INDEX(tun_Boon,G66)*Arch_Insight</x:f>
        <x:v>25.63855019748041</x:v>
      </x:c>
      <x:c r="AN66" s="32" t="n">
        <x:f>H66*(tun_KHPerAdult*Z66+tun_KHOfCommons*AJ66/4*INDEX(LM_All,G66))*tun_KHUsable*Arch_KH</x:f>
        <x:v>4.79311384070856</x:v>
      </x:c>
      <x:c r="AO66" s="32" t="n">
        <x:f>MIN(AP65+AN66,AM66*tun_KHMaxRatio)</x:f>
        <x:v>4.79311384070856</x:v>
      </x:c>
      <x:c r="AP66" s="32" t="n">
        <x:f>AP65+AN66-AO66</x:f>
        <x:v>0</x:v>
      </x:c>
      <x:c r="AQ66" s="32" t="n">
        <x:f>AM66+AO66</x:f>
        <x:v>30.43166403818897</x:v>
      </x:c>
      <x:c r="AR66" s="10" t="n">
        <x:f>IF(H66=1,INDEX(tun_Req,G66),0)</x:f>
        <x:v>1075.552</x:v>
      </x:c>
      <x:c r="AS66" s="32" t="n">
        <x:f>IF(H66=1,IF(E66=1,AS65-AR65,AS65)+AQ66,0)</x:f>
        <x:v>847.6262345139796</x:v>
      </x:c>
      <x:c r="AT66" s="11" t="n">
        <x:f>IF(AR66&gt;0,MIN(1,AS66/AR66),1)</x:f>
        <x:v>0.7880848480724127</x:v>
      </x:c>
      <x:c r="AU66" s="10" t="n">
        <x:f>AB66/INDEX(tun_RepScale,G66)</x:f>
        <x:v>40.423187338478165</x:v>
      </x:c>
      <x:c r="AV66" s="32" t="n">
        <x:f>AM66*60/tun_SeasonSeconds</x:f>
        <x:v>102.55420078992164</x:v>
      </x:c>
    </x:row>
    <x:row r="67">
      <x:c r="A67" s="8" t="n">
        <x:f>A66+1</x:f>
        <x:v>64</x:v>
      </x:c>
      <x:c r="B67" s="9" t="n">
        <x:f>A67*tun_SeasonSeconds/60</x:f>
        <x:v>16</x:v>
      </x:c>
      <x:c r="C67" s="9" t="n">
        <x:f>A67/4</x:f>
        <x:v>16</x:v>
      </x:c>
      <x:c r="D67" s="8" t="n">
        <x:f>IF(MOD(A67,4)=0,1,0)</x:f>
        <x:v>1</x:v>
      </x:c>
      <x:c r="E67" s="8" t="n">
        <x:f>IF(AND(F66&lt;=9,AS66&gt;=AR66),1,0)</x:f>
        <x:v>0</x:v>
      </x:c>
      <x:c r="F67" s="8" t="n">
        <x:f>MIN(10,F66+E67)</x:f>
        <x:v>1</x:v>
      </x:c>
      <x:c r="G67" s="8" t="n">
        <x:f>MIN(F67,9)+1</x:f>
        <x:v>2</x:v>
      </x:c>
      <x:c r="H67" s="8" t="n">
        <x:f>IF(F67&lt;=9,1,0)</x:f>
        <x:v>1</x:v>
      </x:c>
      <x:c r="I67" s="9" t="n">
        <x:f>MIN(10,F66+IF(AR66&gt;0,MIN(1,AS66/AR66),1))</x:f>
        <x:v>1.7880848480724127</x:v>
      </x:c>
      <x:c r="J67" s="32" t="n">
        <x:f>INDEX(tun_FoodCap,G67)*Arch_FoodCap*EXP(tun_CapsByProject*SUMPRODUCT((Cap_Point&lt;=I67)*(Cap_Kind="Food")*Cap_Ln))</x:f>
        <x:v>38.72054112973246</x:v>
      </x:c>
      <x:c r="K67" s="32" t="n">
        <x:f>J67*MIN(1,tun_LeanBase*EXP(tun_CapsByProject*SUMPRODUCT((Cap_Point&lt;=I67)*(Cap_Kind="Lean")*Cap_Ln)))</x:f>
        <x:v>38.72054112973246</x:v>
      </x:c>
      <x:c r="L67" s="10" t="n">
        <x:f>INDEX(tun_HousingCap,G67)*EXP(tun_CapsByProject*SUMPRODUCT((Cap_Point&lt;=I67)*(Cap_Kind="Housing")*Cap_Ln))</x:f>
        <x:v>90</x:v>
      </x:c>
      <x:c r="M67" s="10" t="n">
        <x:f>INDEX(tun_GroupCap,G67)*tun_CohesionFactor*EXP(tun_CapsByProject*SUMPRODUCT((Cap_Point&lt;=I67)*(Cap_Kind="Group")*Cap_Ln))</x:f>
        <x:v>35</x:v>
      </x:c>
      <x:c r="N67" s="32" t="n">
        <x:f>MIN(J67,L67,M67)</x:f>
        <x:v>35</x:v>
      </x:c>
      <x:c r="O67" s="10" t="n">
        <x:f>AE66*N67</x:f>
        <x:v>70</x:v>
      </x:c>
      <x:c r="P67" s="9" t="n">
        <x:f>MIN(1,(AB66/(AE66*IF(tun_GroupInCrowding=1,N67,MIN(J67,L67))))^tun_CrowdingExp)</x:f>
        <x:v>0.020228088434347286</x:v>
      </x:c>
      <x:c r="Q67" s="9" t="n">
        <x:f>IF(D67=1,INDEX(tun_WinterMult,G67),1)</x:f>
        <x:v>1.7</x:v>
      </x:c>
      <x:c r="R67" s="9" t="n">
        <x:f>H67*Z66*tun_WomenShare*tun_BaseFertility*INDEX(tun_FertMult,G67)*Arch_Fertility*(1-P67)</x:f>
        <x:v>1.031132853988615</x:v>
      </x:c>
      <x:c r="S67" s="9" t="n">
        <x:f>H67*Y66*INDEX(tun_MortChild,G67)/4*Q67</x:f>
        <x:v>0.313525139019885</x:v>
      </x:c>
      <x:c r="T67" s="9" t="n">
        <x:f>H67*Z66*INDEX(tun_MortAdult,G67)*Arch_AdultMort/4*Q67</x:f>
        <x:v>0.06582033039916621</x:v>
      </x:c>
      <x:c r="U67" s="9" t="n">
        <x:f>H67*AA66*INDEX(tun_MortElder,G67)/4*Q67</x:f>
        <x:v>0.08985760081372576</x:v>
      </x:c>
      <x:c r="V67" s="9" t="n">
        <x:f>H67*MAX(0,AB66-O67)*tun_OvercapLoss</x:f>
        <x:v>0</x:v>
      </x:c>
      <x:c r="W67" s="9" t="n">
        <x:f>H67*Y66/(tun_ChildYears*4)</x:f>
        <x:v>0.3991916717849312</x:v>
      </x:c>
      <x:c r="X67" s="9" t="n">
        <x:f>H67*Z66/(tun_AdultYears*4)</x:f>
        <x:v>0.11354205692455789</x:v>
      </x:c>
      <x:c r="Y67" s="32" t="n">
        <x:f>Y66+R67-S67-W67-Y66*V67/AB66</x:f>
        <x:v>22.67314966313995</x:v>
      </x:c>
      <x:c r="Z67" s="32" t="n">
        <x:f>Z66+W67-X67-T67-Z66*V67/AB66</x:f>
        <x:v>14.299044343106386</x:v>
      </x:c>
      <x:c r="AA67" s="32" t="n">
        <x:f>AA66+X67-U67-AA66*V67/AB66</x:f>
        <x:v>4.012923115987669</x:v>
      </x:c>
      <x:c r="AB67" s="10" t="n">
        <x:f>Y67+Z67+AA67</x:f>
        <x:v>40.985117122234</x:v>
      </x:c>
      <x:c r="AC67" s="8" t="n">
        <x:f>IF(AND(tun_WinterTrigger=1,D67=1,AB66/AE66&gt;=K67),1,0)</x:f>
        <x:v>0</x:v>
      </x:c>
      <x:c r="AD67" s="8" t="n">
        <x:f>H67*IF(AND(OR(AB66/AE66&gt;=tun_FissionTrigger*N67,AC67=1),AB66/AE66*tun_DaughterShare&gt;=tun_MinDaughter),MAX(1,ROUND(AE66*tun_FissionRate,0)),0)</x:f>
        <x:v>0</x:v>
      </x:c>
      <x:c r="AE67" s="8" t="n">
        <x:f>IF(H67=1,MAX(1,MIN(INDEX(tun_Smax,G67),AE66+AD67)),AE66)</x:f>
        <x:v>2</x:v>
      </x:c>
      <x:c r="AF67" s="8" t="n">
        <x:f>MAX(0,AE67-AE66)</x:f>
        <x:v>0</x:v>
      </x:c>
      <x:c r="AG67" s="9" t="str">
        <x:f>IF(AF67&gt;0,B67,"")</x:f>
      </x:c>
      <x:c r="AH67" s="9" t="n">
        <x:f>IF(F67&gt;=1,1,(1+tun_LowTiesShare*(AE67-1))/AE67)</x:f>
        <x:v>1</x:v>
      </x:c>
      <x:c r="AI67" s="32" t="n">
        <x:f>(Z67+tun_ElderCommons*INDEX(LM_Elder,G67)*AA67)*AH67</x:f>
        <x:v>24.12865835429569</x:v>
      </x:c>
      <x:c r="AJ67" s="32" t="n">
        <x:f>H67*tun_CommonsCoef*AI67^tun_CommonsExp*INDEX(LM_Commons,G67)</x:f>
        <x:v>79.02911536329371</x:v>
      </x:c>
      <x:c r="AK67" s="32" t="n">
        <x:f>H67*tun_RoleScale*Arch_Roles*(AE67*(INDEX(tun_ElderRolePerSett,G67)*tun_OutElder*INDEX(LM_Elder,G67)+INDEX(tun_ShamanPerSett,G67)*tun_OutShaman)+Z67*(INDEX(tun_PriestShare,G67)*tun_OutPriest+INDEX(tun_ScribeShare,G67)*tun_OutScribe*INDEX(LM_Scribe,G67)+INDEX(tun_ScholarShare,G67)*tun_OutScholar*INDEX(LM_Scholar,G67)+INDEX(tun_ResearcherShare,G67)*tun_OutResearcher*INDEX(LM_Researcher,G67)))</x:f>
        <x:v>21.79795897113271</x:v>
      </x:c>
      <x:c r="AL67" s="32" t="n">
        <x:f>H67*tun_RoleScale*Arch_Roles*AE67*INDEX(tun_MonasteryPerSett,G67)*tun_OutMonastery*INDEX(LM_Monastery,G67)</x:f>
        <x:v>0</x:v>
      </x:c>
      <x:c r="AM67" s="32" t="n">
        <x:f>(AJ67+AK67+AL67)/4*INDEX(LM_All,G67)*INDEX(tun_Boon,G67)*Arch_Insight</x:f>
        <x:v>25.836937798196768</x:v>
      </x:c>
      <x:c r="AN67" s="32" t="n">
        <x:f>H67*(tun_KHPerAdult*Z67+tun_KHOfCommons*AJ67/4*INDEX(LM_All,G67))*tun_KHUsable*Arch_KH</x:f>
        <x:v>4.840533316001739</x:v>
      </x:c>
      <x:c r="AO67" s="32" t="n">
        <x:f>MIN(AP66+AN67,AM67*tun_KHMaxRatio)</x:f>
        <x:v>4.840533316001739</x:v>
      </x:c>
      <x:c r="AP67" s="32" t="n">
        <x:f>AP66+AN67-AO67</x:f>
        <x:v>0</x:v>
      </x:c>
      <x:c r="AQ67" s="32" t="n">
        <x:f>AM67+AO67</x:f>
        <x:v>30.677471114198507</x:v>
      </x:c>
      <x:c r="AR67" s="10" t="n">
        <x:f>IF(H67=1,INDEX(tun_Req,G67),0)</x:f>
        <x:v>1075.552</x:v>
      </x:c>
      <x:c r="AS67" s="32" t="n">
        <x:f>IF(H67=1,IF(E67=1,AS66-AR66,AS66)+AQ67,0)</x:f>
        <x:v>878.3037056281781</x:v>
      </x:c>
      <x:c r="AT67" s="11" t="n">
        <x:f>IF(AR67&gt;0,MIN(1,AS67/AR67),1)</x:f>
        <x:v>0.8166073845134203</x:v>
      </x:c>
      <x:c r="AU67" s="10" t="n">
        <x:f>AB67/INDEX(tun_RepScale,G67)</x:f>
        <x:v>40.985117122234</x:v>
      </x:c>
      <x:c r="AV67" s="32" t="n">
        <x:f>AM67*60/tun_SeasonSeconds</x:f>
        <x:v>103.34775119278707</x:v>
      </x:c>
    </x:row>
    <x:row r="68">
      <x:c r="A68" s="8" t="n">
        <x:f>A67+1</x:f>
        <x:v>65</x:v>
      </x:c>
      <x:c r="B68" s="9" t="n">
        <x:f>A68*tun_SeasonSeconds/60</x:f>
        <x:v>16.25</x:v>
      </x:c>
      <x:c r="C68" s="9" t="n">
        <x:f>A68/4</x:f>
        <x:v>16.25</x:v>
      </x:c>
      <x:c r="D68" s="8" t="n">
        <x:f>IF(MOD(A68,4)=0,1,0)</x:f>
        <x:v>0</x:v>
      </x:c>
      <x:c r="E68" s="8" t="n">
        <x:f>IF(AND(F67&lt;=9,AS67&gt;=AR67),1,0)</x:f>
        <x:v>0</x:v>
      </x:c>
      <x:c r="F68" s="8" t="n">
        <x:f>MIN(10,F67+E68)</x:f>
        <x:v>1</x:v>
      </x:c>
      <x:c r="G68" s="8" t="n">
        <x:f>MIN(F68,9)+1</x:f>
        <x:v>2</x:v>
      </x:c>
      <x:c r="H68" s="8" t="n">
        <x:f>IF(F68&lt;=9,1,0)</x:f>
        <x:v>1</x:v>
      </x:c>
      <x:c r="I68" s="9" t="n">
        <x:f>MIN(10,F67+IF(AR67&gt;0,MIN(1,AS67/AR67),1))</x:f>
        <x:v>1.8166073845134203</x:v>
      </x:c>
      <x:c r="J68" s="32" t="n">
        <x:f>INDEX(tun_FoodCap,G68)*Arch_FoodCap*EXP(tun_CapsByProject*SUMPRODUCT((Cap_Point&lt;=I68)*(Cap_Kind="Food")*Cap_Ln))</x:f>
        <x:v>38.72054112973246</x:v>
      </x:c>
      <x:c r="K68" s="32" t="n">
        <x:f>J68*MIN(1,tun_LeanBase*EXP(tun_CapsByProject*SUMPRODUCT((Cap_Point&lt;=I68)*(Cap_Kind="Lean")*Cap_Ln)))</x:f>
        <x:v>38.72054112973246</x:v>
      </x:c>
      <x:c r="L68" s="10" t="n">
        <x:f>INDEX(tun_HousingCap,G68)*EXP(tun_CapsByProject*SUMPRODUCT((Cap_Point&lt;=I68)*(Cap_Kind="Housing")*Cap_Ln))</x:f>
        <x:v>90</x:v>
      </x:c>
      <x:c r="M68" s="10" t="n">
        <x:f>INDEX(tun_GroupCap,G68)*tun_CohesionFactor*EXP(tun_CapsByProject*SUMPRODUCT((Cap_Point&lt;=I68)*(Cap_Kind="Group")*Cap_Ln))</x:f>
        <x:v>50.000000000000014</x:v>
      </x:c>
      <x:c r="N68" s="32" t="n">
        <x:f>MIN(J68,L68,M68)</x:f>
        <x:v>38.72054112973246</x:v>
      </x:c>
      <x:c r="O68" s="10" t="n">
        <x:f>AE67*N68</x:f>
        <x:v>77.44108225946492</x:v>
      </x:c>
      <x:c r="P68" s="9" t="n">
        <x:f>MIN(1,(AB67/(AE67*IF(tun_GroupInCrowding=1,N68,MIN(J68,L68))))^tun_CrowdingExp)</x:f>
        <x:v>0.021974985675747235</x:v>
      </x:c>
      <x:c r="Q68" s="9" t="n">
        <x:f>IF(D68=1,INDEX(tun_WinterMult,G68),1)</x:f>
        <x:v>1</x:v>
      </x:c>
      <x:c r="R68" s="9" t="n">
        <x:f>H68*Z67*tun_WomenShare*tun_BaseFertility*INDEX(tun_FertMult,G68)*Arch_Fertility*(1-P68)</x:f>
        <x:v>1.0453655228746088</x:v>
      </x:c>
      <x:c r="S68" s="9" t="n">
        <x:f>H68*Y67*INDEX(tun_MortChild,G68)/4*Q68</x:f>
        <x:v>0.18705348472090458</x:v>
      </x:c>
      <x:c r="T68" s="9" t="n">
        <x:f>H68*Z67*INDEX(tun_MortAdult,G68)*Arch_AdultMort/4*Q68</x:f>
        <x:v>0.03932237194354256</x:v>
      </x:c>
      <x:c r="U68" s="9" t="n">
        <x:f>H68*AA67*INDEX(tun_MortElder,G68)/4*Q68</x:f>
        <x:v>0.053171231286836616</x:v>
      </x:c>
      <x:c r="V68" s="9" t="n">
        <x:f>H68*MAX(0,AB67-O68)*tun_OvercapLoss</x:f>
        <x:v>0</x:v>
      </x:c>
      <x:c r="W68" s="9" t="n">
        <x:f>H68*Y67/(tun_ChildYears*4)</x:f>
        <x:v>0.4048776725560705</x:v>
      </x:c>
      <x:c r="X68" s="9" t="n">
        <x:f>H68*Z67/(tun_AdultYears*4)</x:f>
        <x:v>0.11531487373472891</x:v>
      </x:c>
      <x:c r="Y68" s="32" t="n">
        <x:f>Y67+R68-S68-W68-Y67*V68/AB67</x:f>
        <x:v>23.12658402873758</x:v>
      </x:c>
      <x:c r="Z68" s="32" t="n">
        <x:f>Z67+W68-X68-T68-Z67*V68/AB67</x:f>
        <x:v>14.549284769984185</x:v>
      </x:c>
      <x:c r="AA68" s="32" t="n">
        <x:f>AA67+X68-U68-AA67*V68/AB67</x:f>
        <x:v>4.075066758435561</x:v>
      </x:c>
      <x:c r="AB68" s="10" t="n">
        <x:f>Y68+Z68+AA68</x:f>
        <x:v>41.75093555715733</x:v>
      </x:c>
      <x:c r="AC68" s="8" t="n">
        <x:f>IF(AND(tun_WinterTrigger=1,D68=1,AB67/AE67&gt;=K68),1,0)</x:f>
        <x:v>0</x:v>
      </x:c>
      <x:c r="AD68" s="8" t="n">
        <x:f>H68*IF(AND(OR(AB67/AE67&gt;=tun_FissionTrigger*N68,AC68=1),AB67/AE67*tun_DaughterShare&gt;=tun_MinDaughter),MAX(1,ROUND(AE67*tun_FissionRate,0)),0)</x:f>
        <x:v>0</x:v>
      </x:c>
      <x:c r="AE68" s="8" t="n">
        <x:f>IF(H68=1,MAX(1,MIN(INDEX(tun_Smax,G68),AE67+AD68)),AE67)</x:f>
        <x:v>2</x:v>
      </x:c>
      <x:c r="AF68" s="8" t="n">
        <x:f>MAX(0,AE68-AE67)</x:f>
        <x:v>0</x:v>
      </x:c>
      <x:c r="AG68" s="9" t="str">
        <x:f>IF(AF68&gt;0,B68,"")</x:f>
      </x:c>
      <x:c r="AH68" s="9" t="n">
        <x:f>IF(F68&gt;=1,1,(1+tun_LowTiesShare*(AE68-1))/AE68)</x:f>
        <x:v>1</x:v>
      </x:c>
      <x:c r="AI68" s="32" t="n">
        <x:f>(Z68+tun_ElderCommons*INDEX(LM_Elder,G68)*AA68)*AH68</x:f>
        <x:v>24.531118995928786</x:v>
      </x:c>
      <x:c r="AJ68" s="32" t="n">
        <x:f>H68*tun_CommonsCoef*AI68^tun_CommonsExp*INDEX(LM_Commons,G68)</x:f>
        <x:v>80.14818238984395</x:v>
      </x:c>
      <x:c r="AK68" s="32" t="n">
        <x:f>H68*tun_RoleScale*Arch_Roles*(AE68*(INDEX(tun_ElderRolePerSett,G68)*tun_OutElder*INDEX(LM_Elder,G68)+INDEX(tun_ShamanPerSett,G68)*tun_OutShaman)+Z68*(INDEX(tun_PriestShare,G68)*tun_OutPriest+INDEX(tun_ScribeShare,G68)*tun_OutScribe*INDEX(LM_Scribe,G68)+INDEX(tun_ScholarShare,G68)*tun_OutScholar*INDEX(LM_Scholar,G68)+INDEX(tun_ResearcherShare,G68)*tun_OutResearcher*INDEX(LM_Researcher,G68)))</x:f>
        <x:v>21.79795897113271</x:v>
      </x:c>
      <x:c r="AL68" s="32" t="n">
        <x:f>H68*tun_RoleScale*Arch_Roles*AE68*INDEX(tun_MonasteryPerSett,G68)*tun_OutMonastery*INDEX(LM_Monastery,G68)</x:f>
        <x:v>0</x:v>
      </x:c>
      <x:c r="AM68" s="32" t="n">
        <x:f>(AJ68+AK68+AL68)/4*INDEX(LM_All,G68)*INDEX(tun_Boon,G68)*Arch_Insight</x:f>
        <x:v>26.12369872375027</x:v>
      </x:c>
      <x:c r="AN68" s="32" t="n">
        <x:f>H68*(tun_KHPerAdult*Z68+tun_KHOfCommons*AJ68/4*INDEX(LM_All,G68))*tun_KHUsable*Arch_KH</x:f>
        <x:v>4.909076171377942</x:v>
      </x:c>
      <x:c r="AO68" s="32" t="n">
        <x:f>MIN(AP67+AN68,AM68*tun_KHMaxRatio)</x:f>
        <x:v>4.909076171377942</x:v>
      </x:c>
      <x:c r="AP68" s="32" t="n">
        <x:f>AP67+AN68-AO68</x:f>
        <x:v>0</x:v>
      </x:c>
      <x:c r="AQ68" s="32" t="n">
        <x:f>AM68+AO68</x:f>
        <x:v>31.032774895128213</x:v>
      </x:c>
      <x:c r="AR68" s="10" t="n">
        <x:f>IF(H68=1,INDEX(tun_Req,G68),0)</x:f>
        <x:v>1075.552</x:v>
      </x:c>
      <x:c r="AS68" s="32" t="n">
        <x:f>IF(H68=1,IF(E68=1,AS67-AR67,AS67)+AQ68,0)</x:f>
        <x:v>909.3364805233064</x:v>
      </x:c>
      <x:c r="AT68" s="11" t="n">
        <x:f>IF(AR68&gt;0,MIN(1,AS68/AR68),1)</x:f>
        <x:v>0.8454602664708972</x:v>
      </x:c>
      <x:c r="AU68" s="10" t="n">
        <x:f>AB68/INDEX(tun_RepScale,G68)</x:f>
        <x:v>41.75093555715733</x:v>
      </x:c>
      <x:c r="AV68" s="32" t="n">
        <x:f>AM68*60/tun_SeasonSeconds</x:f>
        <x:v>104.49479489500108</x:v>
      </x:c>
    </x:row>
    <x:row r="69">
      <x:c r="A69" s="8" t="n">
        <x:f>A68+1</x:f>
        <x:v>66</x:v>
      </x:c>
      <x:c r="B69" s="9" t="n">
        <x:f>A69*tun_SeasonSeconds/60</x:f>
        <x:v>16.5</x:v>
      </x:c>
      <x:c r="C69" s="9" t="n">
        <x:f>A69/4</x:f>
        <x:v>16.5</x:v>
      </x:c>
      <x:c r="D69" s="8" t="n">
        <x:f>IF(MOD(A69,4)=0,1,0)</x:f>
        <x:v>0</x:v>
      </x:c>
      <x:c r="E69" s="8" t="n">
        <x:f>IF(AND(F68&lt;=9,AS68&gt;=AR68),1,0)</x:f>
        <x:v>0</x:v>
      </x:c>
      <x:c r="F69" s="8" t="n">
        <x:f>MIN(10,F68+E69)</x:f>
        <x:v>1</x:v>
      </x:c>
      <x:c r="G69" s="8" t="n">
        <x:f>MIN(F69,9)+1</x:f>
        <x:v>2</x:v>
      </x:c>
      <x:c r="H69" s="8" t="n">
        <x:f>IF(F69&lt;=9,1,0)</x:f>
        <x:v>1</x:v>
      </x:c>
      <x:c r="I69" s="9" t="n">
        <x:f>MIN(10,F68+IF(AR68&gt;0,MIN(1,AS68/AR68),1))</x:f>
        <x:v>1.8454602664708972</x:v>
      </x:c>
      <x:c r="J69" s="32" t="n">
        <x:f>INDEX(tun_FoodCap,G69)*Arch_FoodCap*EXP(tun_CapsByProject*SUMPRODUCT((Cap_Point&lt;=I69)*(Cap_Kind="Food")*Cap_Ln))</x:f>
        <x:v>38.72054112973246</x:v>
      </x:c>
      <x:c r="K69" s="32" t="n">
        <x:f>J69*MIN(1,tun_LeanBase*EXP(tun_CapsByProject*SUMPRODUCT((Cap_Point&lt;=I69)*(Cap_Kind="Lean")*Cap_Ln)))</x:f>
        <x:v>38.72054112973246</x:v>
      </x:c>
      <x:c r="L69" s="10" t="n">
        <x:f>INDEX(tun_HousingCap,G69)*EXP(tun_CapsByProject*SUMPRODUCT((Cap_Point&lt;=I69)*(Cap_Kind="Housing")*Cap_Ln))</x:f>
        <x:v>90</x:v>
      </x:c>
      <x:c r="M69" s="10" t="n">
        <x:f>INDEX(tun_GroupCap,G69)*tun_CohesionFactor*EXP(tun_CapsByProject*SUMPRODUCT((Cap_Point&lt;=I69)*(Cap_Kind="Group")*Cap_Ln))</x:f>
        <x:v>50.000000000000014</x:v>
      </x:c>
      <x:c r="N69" s="32" t="n">
        <x:f>MIN(J69,L69,M69)</x:f>
        <x:v>38.72054112973246</x:v>
      </x:c>
      <x:c r="O69" s="10" t="n">
        <x:f>AE68*N69</x:f>
        <x:v>77.44108225946492</x:v>
      </x:c>
      <x:c r="P69" s="9" t="n">
        <x:f>MIN(1,(AB68/(AE68*IF(tun_GroupInCrowding=1,N69,MIN(J69,L69))))^tun_CrowdingExp)</x:f>
        <x:v>0.024556631172155056</x:v>
      </x:c>
      <x:c r="Q69" s="9" t="n">
        <x:f>IF(D69=1,INDEX(tun_WinterMult,G69),1)</x:f>
        <x:v>1</x:v>
      </x:c>
      <x:c r="R69" s="9" t="n">
        <x:f>H69*Z68*tun_WomenShare*tun_BaseFertility*INDEX(tun_FertMult,G69)*Arch_Fertility*(1-P69)</x:f>
        <x:v>1.0608522504176598</x:v>
      </x:c>
      <x:c r="S69" s="9" t="n">
        <x:f>H69*Y68*INDEX(tun_MortChild,G69)/4*Q69</x:f>
        <x:v>0.19079431823708504</x:v>
      </x:c>
      <x:c r="T69" s="9" t="n">
        <x:f>H69*Z68*INDEX(tun_MortAdult,G69)*Arch_AdultMort/4*Q69</x:f>
        <x:v>0.040010533117456504</x:v>
      </x:c>
      <x:c r="U69" s="9" t="n">
        <x:f>H69*AA68*INDEX(tun_MortElder,G69)/4*Q69</x:f>
        <x:v>0.053994634549271184</x:v>
      </x:c>
      <x:c r="V69" s="9" t="n">
        <x:f>H69*MAX(0,AB68-O69)*tun_OvercapLoss</x:f>
        <x:v>0</x:v>
      </x:c>
      <x:c r="W69" s="9" t="n">
        <x:f>H69*Y68/(tun_ChildYears*4)</x:f>
        <x:v>0.4129747147988853</x:v>
      </x:c>
      <x:c r="X69" s="9" t="n">
        <x:f>H69*Z68/(tun_AdultYears*4)</x:f>
        <x:v>0.11733294169342084</x:v>
      </x:c>
      <x:c r="Y69" s="32" t="n">
        <x:f>Y68+R69-S69-W69-Y68*V69/AB68</x:f>
        <x:v>23.58366724611927</x:v>
      </x:c>
      <x:c r="Z69" s="32" t="n">
        <x:f>Z68+W69-X69-T69-Z68*V69/AB68</x:f>
        <x:v>14.804916009972192</x:v>
      </x:c>
      <x:c r="AA69" s="32" t="n">
        <x:f>AA68+X69-U69-AA68*V69/AB68</x:f>
        <x:v>4.138405065579711</x:v>
      </x:c>
      <x:c r="AB69" s="10" t="n">
        <x:f>Y69+Z69+AA69</x:f>
        <x:v>42.526988321671176</x:v>
      </x:c>
      <x:c r="AC69" s="8" t="n">
        <x:f>IF(AND(tun_WinterTrigger=1,D69=1,AB68/AE68&gt;=K69),1,0)</x:f>
        <x:v>0</x:v>
      </x:c>
      <x:c r="AD69" s="8" t="n">
        <x:f>H69*IF(AND(OR(AB68/AE68&gt;=tun_FissionTrigger*N69,AC69=1),AB68/AE68*tun_DaughterShare&gt;=tun_MinDaughter),MAX(1,ROUND(AE68*tun_FissionRate,0)),0)</x:f>
        <x:v>0</x:v>
      </x:c>
      <x:c r="AE69" s="8" t="n">
        <x:f>IF(H69=1,MAX(1,MIN(INDEX(tun_Smax,G69),AE68+AD69)),AE68)</x:f>
        <x:v>2</x:v>
      </x:c>
      <x:c r="AF69" s="8" t="n">
        <x:f>MAX(0,AE69-AE68)</x:f>
        <x:v>0</x:v>
      </x:c>
      <x:c r="AG69" s="9" t="str">
        <x:f>IF(AF69&gt;0,B69,"")</x:f>
      </x:c>
      <x:c r="AH69" s="9" t="n">
        <x:f>IF(F69&gt;=1,1,(1+tun_LowTiesShare*(AE69-1))/AE69)</x:f>
        <x:v>1</x:v>
      </x:c>
      <x:c r="AI69" s="32" t="n">
        <x:f>(Z69+tun_ElderCommons*INDEX(LM_Elder,G69)*AA69)*AH69</x:f>
        <x:v>24.94189676959164</x:v>
      </x:c>
      <x:c r="AJ69" s="32" t="n">
        <x:f>H69*tun_CommonsCoef*AI69^tun_CommonsExp*INDEX(LM_Commons,G69)</x:f>
        <x:v>81.2875395539997</x:v>
      </x:c>
      <x:c r="AK69" s="32" t="n">
        <x:f>H69*tun_RoleScale*Arch_Roles*(AE69*(INDEX(tun_ElderRolePerSett,G69)*tun_OutElder*INDEX(LM_Elder,G69)+INDEX(tun_ShamanPerSett,G69)*tun_OutShaman)+Z69*(INDEX(tun_PriestShare,G69)*tun_OutPriest+INDEX(tun_ScribeShare,G69)*tun_OutScribe*INDEX(LM_Scribe,G69)+INDEX(tun_ScholarShare,G69)*tun_OutScholar*INDEX(LM_Scholar,G69)+INDEX(tun_ResearcherShare,G69)*tun_OutResearcher*INDEX(LM_Researcher,G69)))</x:f>
        <x:v>21.79795897113271</x:v>
      </x:c>
      <x:c r="AL69" s="32" t="n">
        <x:f>H69*tun_RoleScale*Arch_Roles*AE69*INDEX(tun_MonasteryPerSett,G69)*tun_OutMonastery*INDEX(LM_Monastery,G69)</x:f>
        <x:v>0</x:v>
      </x:c>
      <x:c r="AM69" s="32" t="n">
        <x:f>(AJ69+AK69+AL69)/4*INDEX(LM_All,G69)*INDEX(tun_Boon,G69)*Arch_Insight</x:f>
        <x:v>26.415658997065176</x:v>
      </x:c>
      <x:c r="AN69" s="32" t="n">
        <x:f>H69*(tun_KHPerAdult*Z69+tun_KHOfCommons*AJ69/4*INDEX(LM_All,G69))*tun_KHUsable*Arch_KH</x:f>
        <x:v>4.978861797682481</x:v>
      </x:c>
      <x:c r="AO69" s="32" t="n">
        <x:f>MIN(AP68+AN69,AM69*tun_KHMaxRatio)</x:f>
        <x:v>4.978861797682481</x:v>
      </x:c>
      <x:c r="AP69" s="32" t="n">
        <x:f>AP68+AN69-AO69</x:f>
        <x:v>0</x:v>
      </x:c>
      <x:c r="AQ69" s="32" t="n">
        <x:f>AM69+AO69</x:f>
        <x:v>31.394520794747656</x:v>
      </x:c>
      <x:c r="AR69" s="10" t="n">
        <x:f>IF(H69=1,INDEX(tun_Req,G69),0)</x:f>
        <x:v>1075.552</x:v>
      </x:c>
      <x:c r="AS69" s="32" t="n">
        <x:f>IF(H69=1,IF(E69=1,AS68-AR68,AS68)+AQ69,0)</x:f>
        <x:v>940.731001318054</x:v>
      </x:c>
      <x:c r="AT69" s="11" t="n">
        <x:f>IF(AR69&gt;0,MIN(1,AS69/AR69),1)</x:f>
        <x:v>0.8746494835378058</x:v>
      </x:c>
      <x:c r="AU69" s="10" t="n">
        <x:f>AB69/INDEX(tun_RepScale,G69)</x:f>
        <x:v>42.526988321671176</x:v>
      </x:c>
      <x:c r="AV69" s="32" t="n">
        <x:f>AM69*60/tun_SeasonSeconds</x:f>
        <x:v>105.6626359882607</x:v>
      </x:c>
    </x:row>
    <x:row r="70">
      <x:c r="A70" s="8" t="n">
        <x:f>A69+1</x:f>
        <x:v>67</x:v>
      </x:c>
      <x:c r="B70" s="9" t="n">
        <x:f>A70*tun_SeasonSeconds/60</x:f>
        <x:v>16.75</x:v>
      </x:c>
      <x:c r="C70" s="9" t="n">
        <x:f>A70/4</x:f>
        <x:v>16.75</x:v>
      </x:c>
      <x:c r="D70" s="8" t="n">
        <x:f>IF(MOD(A70,4)=0,1,0)</x:f>
        <x:v>0</x:v>
      </x:c>
      <x:c r="E70" s="8" t="n">
        <x:f>IF(AND(F69&lt;=9,AS69&gt;=AR69),1,0)</x:f>
        <x:v>0</x:v>
      </x:c>
      <x:c r="F70" s="8" t="n">
        <x:f>MIN(10,F69+E70)</x:f>
        <x:v>1</x:v>
      </x:c>
      <x:c r="G70" s="8" t="n">
        <x:f>MIN(F70,9)+1</x:f>
        <x:v>2</x:v>
      </x:c>
      <x:c r="H70" s="8" t="n">
        <x:f>IF(F70&lt;=9,1,0)</x:f>
        <x:v>1</x:v>
      </x:c>
      <x:c r="I70" s="9" t="n">
        <x:f>MIN(10,F69+IF(AR69&gt;0,MIN(1,AS69/AR69),1))</x:f>
        <x:v>1.8746494835378058</x:v>
      </x:c>
      <x:c r="J70" s="32" t="n">
        <x:f>INDEX(tun_FoodCap,G70)*Arch_FoodCap*EXP(tun_CapsByProject*SUMPRODUCT((Cap_Point&lt;=I70)*(Cap_Kind="Food")*Cap_Ln))</x:f>
        <x:v>41.39198916308082</x:v>
      </x:c>
      <x:c r="K70" s="32" t="n">
        <x:f>J70*MIN(1,tun_LeanBase*EXP(tun_CapsByProject*SUMPRODUCT((Cap_Point&lt;=I70)*(Cap_Kind="Lean")*Cap_Ln)))</x:f>
        <x:v>41.39198916308082</x:v>
      </x:c>
      <x:c r="L70" s="10" t="n">
        <x:f>INDEX(tun_HousingCap,G70)*EXP(tun_CapsByProject*SUMPRODUCT((Cap_Point&lt;=I70)*(Cap_Kind="Housing")*Cap_Ln))</x:f>
        <x:v>90</x:v>
      </x:c>
      <x:c r="M70" s="10" t="n">
        <x:f>INDEX(tun_GroupCap,G70)*tun_CohesionFactor*EXP(tun_CapsByProject*SUMPRODUCT((Cap_Point&lt;=I70)*(Cap_Kind="Group")*Cap_Ln))</x:f>
        <x:v>50.000000000000014</x:v>
      </x:c>
      <x:c r="N70" s="32" t="n">
        <x:f>MIN(J70,L70,M70)</x:f>
        <x:v>41.39198916308082</x:v>
      </x:c>
      <x:c r="O70" s="10" t="n">
        <x:f>AE69*N70</x:f>
        <x:v>82.78397832616164</x:v>
      </x:c>
      <x:c r="P70" s="9" t="n">
        <x:f>MIN(1,(AB69/(AE69*IF(tun_GroupInCrowding=1,N70,MIN(J70,L70))))^tun_CrowdingExp)</x:f>
        <x:v>0.018378497666430325</x:v>
      </x:c>
      <x:c r="Q70" s="9" t="n">
        <x:f>IF(D70=1,INDEX(tun_WinterMult,G70),1)</x:f>
        <x:v>1</x:v>
      </x:c>
      <x:c r="R70" s="9" t="n">
        <x:f>H70*Z69*tun_WomenShare*tun_BaseFertility*INDEX(tun_FertMult,G70)*Arch_Fertility*(1-P70)</x:f>
        <x:v>1.086328586198434</x:v>
      </x:c>
      <x:c r="S70" s="9" t="n">
        <x:f>H70*Y69*INDEX(tun_MortChild,G70)/4*Q70</x:f>
        <x:v>0.19456525478048398</x:v>
      </x:c>
      <x:c r="T70" s="9" t="n">
        <x:f>H70*Z69*INDEX(tun_MortAdult,G70)*Arch_AdultMort/4*Q70</x:f>
        <x:v>0.040713519027423525</x:v>
      </x:c>
      <x:c r="U70" s="9" t="n">
        <x:f>H70*AA69*INDEX(tun_MortElder,G70)/4*Q70</x:f>
        <x:v>0.05483386711893117</x:v>
      </x:c>
      <x:c r="V70" s="9" t="n">
        <x:f>H70*MAX(0,AB69-O70)*tun_OvercapLoss</x:f>
        <x:v>0</x:v>
      </x:c>
      <x:c r="W70" s="9" t="n">
        <x:f>H70*Y69/(tun_ChildYears*4)</x:f>
        <x:v>0.42113691510927265</x:v>
      </x:c>
      <x:c r="X70" s="9" t="n">
        <x:f>H70*Z69/(tun_AdultYears*4)</x:f>
        <x:v>0.11939448395138864</x:v>
      </x:c>
      <x:c r="Y70" s="32" t="n">
        <x:f>Y69+R70-S70-W70-Y69*V70/AB69</x:f>
        <x:v>24.054293662427945</x:v>
      </x:c>
      <x:c r="Z70" s="32" t="n">
        <x:f>Z69+W70-X70-T70-Z69*V70/AB69</x:f>
        <x:v>15.065944922102652</x:v>
      </x:c>
      <x:c r="AA70" s="32" t="n">
        <x:f>AA69+X70-U70-AA69*V70/AB69</x:f>
        <x:v>4.202965682412169</x:v>
      </x:c>
      <x:c r="AB70" s="10" t="n">
        <x:f>Y70+Z70+AA70</x:f>
        <x:v>43.32320426694277</x:v>
      </x:c>
      <x:c r="AC70" s="8" t="n">
        <x:f>IF(AND(tun_WinterTrigger=1,D70=1,AB69/AE69&gt;=K70),1,0)</x:f>
        <x:v>0</x:v>
      </x:c>
      <x:c r="AD70" s="8" t="n">
        <x:f>H70*IF(AND(OR(AB69/AE69&gt;=tun_FissionTrigger*N70,AC70=1),AB69/AE69*tun_DaughterShare&gt;=tun_MinDaughter),MAX(1,ROUND(AE69*tun_FissionRate,0)),0)</x:f>
        <x:v>0</x:v>
      </x:c>
      <x:c r="AE70" s="8" t="n">
        <x:f>IF(H70=1,MAX(1,MIN(INDEX(tun_Smax,G70),AE69+AD70)),AE69)</x:f>
        <x:v>2</x:v>
      </x:c>
      <x:c r="AF70" s="8" t="n">
        <x:f>MAX(0,AE70-AE69)</x:f>
        <x:v>0</x:v>
      </x:c>
      <x:c r="AG70" s="9" t="str">
        <x:f>IF(AF70&gt;0,B70,"")</x:f>
      </x:c>
      <x:c r="AH70" s="9" t="n">
        <x:f>IF(F70&gt;=1,1,(1+tun_LowTiesShare*(AE70-1))/AE70)</x:f>
        <x:v>1</x:v>
      </x:c>
      <x:c r="AI70" s="32" t="n">
        <x:f>(Z70+tun_ElderCommons*INDEX(LM_Elder,G70)*AA70)*AH70</x:f>
        <x:v>25.36106625044096</x:v>
      </x:c>
      <x:c r="AJ70" s="32" t="n">
        <x:f>H70*tun_CommonsCoef*AI70^tun_CommonsExp*INDEX(LM_Commons,G70)</x:f>
        <x:v>82.4472747414501</x:v>
      </x:c>
      <x:c r="AK70" s="32" t="n">
        <x:f>H70*tun_RoleScale*Arch_Roles*(AE70*(INDEX(tun_ElderRolePerSett,G70)*tun_OutElder*INDEX(LM_Elder,G70)+INDEX(tun_ShamanPerSett,G70)*tun_OutShaman)+Z70*(INDEX(tun_PriestShare,G70)*tun_OutPriest+INDEX(tun_ScribeShare,G70)*tun_OutScribe*INDEX(LM_Scribe,G70)+INDEX(tun_ScholarShare,G70)*tun_OutScholar*INDEX(LM_Scholar,G70)+INDEX(tun_ResearcherShare,G70)*tun_OutResearcher*INDEX(LM_Researcher,G70)))</x:f>
        <x:v>21.79795897113271</x:v>
      </x:c>
      <x:c r="AL70" s="32" t="n">
        <x:f>H70*tun_RoleScale*Arch_Roles*AE70*INDEX(tun_MonasteryPerSett,G70)*tun_OutMonastery*INDEX(LM_Monastery,G70)</x:f>
        <x:v>0</x:v>
      </x:c>
      <x:c r="AM70" s="32" t="n">
        <x:f>(AJ70+AK70+AL70)/4*INDEX(LM_All,G70)*INDEX(tun_Boon,G70)*Arch_Insight</x:f>
        <x:v>26.712841138849345</x:v>
      </x:c>
      <x:c r="AN70" s="32" t="n">
        <x:f>H70*(tun_KHPerAdult*Z70+tun_KHOfCommons*AJ70/4*INDEX(LM_All,G70))*tun_KHUsable*Arch_KH</x:f>
        <x:v>5.049895577913818</x:v>
      </x:c>
      <x:c r="AO70" s="32" t="n">
        <x:f>MIN(AP69+AN70,AM70*tun_KHMaxRatio)</x:f>
        <x:v>5.049895577913818</x:v>
      </x:c>
      <x:c r="AP70" s="32" t="n">
        <x:f>AP69+AN70-AO70</x:f>
        <x:v>0</x:v>
      </x:c>
      <x:c r="AQ70" s="32" t="n">
        <x:f>AM70+AO70</x:f>
        <x:v>31.762736716763165</x:v>
      </x:c>
      <x:c r="AR70" s="10" t="n">
        <x:f>IF(H70=1,INDEX(tun_Req,G70),0)</x:f>
        <x:v>1075.552</x:v>
      </x:c>
      <x:c r="AS70" s="32" t="n">
        <x:f>IF(H70=1,IF(E70=1,AS69-AR69,AS69)+AQ70,0)</x:f>
        <x:v>972.4937380348172</x:v>
      </x:c>
      <x:c r="AT70" s="11" t="n">
        <x:f>IF(AR70&gt;0,MIN(1,AS70/AR70),1)</x:f>
        <x:v>0.9041810512507227</x:v>
      </x:c>
      <x:c r="AU70" s="10" t="n">
        <x:f>AB70/INDEX(tun_RepScale,G70)</x:f>
        <x:v>43.32320426694277</x:v>
      </x:c>
      <x:c r="AV70" s="32" t="n">
        <x:f>AM70*60/tun_SeasonSeconds</x:f>
        <x:v>106.85136455539738</x:v>
      </x:c>
    </x:row>
    <x:row r="71">
      <x:c r="A71" s="8" t="n">
        <x:f>A70+1</x:f>
        <x:v>68</x:v>
      </x:c>
      <x:c r="B71" s="9" t="n">
        <x:f>A71*tun_SeasonSeconds/60</x:f>
        <x:v>17</x:v>
      </x:c>
      <x:c r="C71" s="9" t="n">
        <x:f>A71/4</x:f>
        <x:v>17</x:v>
      </x:c>
      <x:c r="D71" s="8" t="n">
        <x:f>IF(MOD(A71,4)=0,1,0)</x:f>
        <x:v>1</x:v>
      </x:c>
      <x:c r="E71" s="8" t="n">
        <x:f>IF(AND(F70&lt;=9,AS70&gt;=AR70),1,0)</x:f>
        <x:v>0</x:v>
      </x:c>
      <x:c r="F71" s="8" t="n">
        <x:f>MIN(10,F70+E71)</x:f>
        <x:v>1</x:v>
      </x:c>
      <x:c r="G71" s="8" t="n">
        <x:f>MIN(F71,9)+1</x:f>
        <x:v>2</x:v>
      </x:c>
      <x:c r="H71" s="8" t="n">
        <x:f>IF(F71&lt;=9,1,0)</x:f>
        <x:v>1</x:v>
      </x:c>
      <x:c r="I71" s="9" t="n">
        <x:f>MIN(10,F70+IF(AR70&gt;0,MIN(1,AS70/AR70),1))</x:f>
        <x:v>1.9041810512507227</x:v>
      </x:c>
      <x:c r="J71" s="32" t="n">
        <x:f>INDEX(tun_FoodCap,G71)*Arch_FoodCap*EXP(tun_CapsByProject*SUMPRODUCT((Cap_Point&lt;=I71)*(Cap_Kind="Food")*Cap_Ln))</x:f>
        <x:v>41.39198916308082</x:v>
      </x:c>
      <x:c r="K71" s="32" t="n">
        <x:f>J71*MIN(1,tun_LeanBase*EXP(tun_CapsByProject*SUMPRODUCT((Cap_Point&lt;=I71)*(Cap_Kind="Lean")*Cap_Ln)))</x:f>
        <x:v>41.39198916308082</x:v>
      </x:c>
      <x:c r="L71" s="10" t="n">
        <x:f>INDEX(tun_HousingCap,G71)*EXP(tun_CapsByProject*SUMPRODUCT((Cap_Point&lt;=I71)*(Cap_Kind="Housing")*Cap_Ln))</x:f>
        <x:v>90</x:v>
      </x:c>
      <x:c r="M71" s="10" t="n">
        <x:f>INDEX(tun_GroupCap,G71)*tun_CohesionFactor*EXP(tun_CapsByProject*SUMPRODUCT((Cap_Point&lt;=I71)*(Cap_Kind="Group")*Cap_Ln))</x:f>
        <x:v>50.000000000000014</x:v>
      </x:c>
      <x:c r="N71" s="32" t="n">
        <x:f>MIN(J71,L71,M71)</x:f>
        <x:v>41.39198916308082</x:v>
      </x:c>
      <x:c r="O71" s="10" t="n">
        <x:f>AE70*N71</x:f>
        <x:v>82.78397832616164</x:v>
      </x:c>
      <x:c r="P71" s="9" t="n">
        <x:f>MIN(1,(AB70/(AE70*IF(tun_GroupInCrowding=1,N71,MIN(J71,L71))))^tun_CrowdingExp)</x:f>
        <x:v>0.02054213894159278</x:v>
      </x:c>
      <x:c r="Q71" s="9" t="n">
        <x:f>IF(D71=1,INDEX(tun_WinterMult,G71),1)</x:f>
        <x:v>1.7</x:v>
      </x:c>
      <x:c r="R71" s="9" t="n">
        <x:f>H71*Z70*tun_WomenShare*tun_BaseFertility*INDEX(tun_FertMult,G71)*Arch_Fertility*(1-P71)</x:f>
        <x:v>1.103045249569926</x:v>
      </x:c>
      <x:c r="S71" s="9" t="n">
        <x:f>H71*Y70*INDEX(tun_MortChild,G71)/4*Q71</x:f>
        <x:v>0.33736146861555194</x:v>
      </x:c>
      <x:c r="T71" s="9" t="n">
        <x:f>H71*Z70*INDEX(tun_MortAdult,G71)*Arch_AdultMort/4*Q71</x:f>
        <x:v>0.0704332925108299</x:v>
      </x:c>
      <x:c r="U71" s="9" t="n">
        <x:f>H71*AA70*INDEX(tun_MortElder,G71)/4*Q71</x:f>
        <x:v>0.0946718019963341</x:v>
      </x:c>
      <x:c r="V71" s="9" t="n">
        <x:f>H71*MAX(0,AB70-O71)*tun_OvercapLoss</x:f>
        <x:v>0</x:v>
      </x:c>
      <x:c r="W71" s="9" t="n">
        <x:f>H71*Y70/(tun_ChildYears*4)</x:f>
        <x:v>0.4295409582576419</x:v>
      </x:c>
      <x:c r="X71" s="9" t="n">
        <x:f>H71*Z70/(tun_AdultYears*4)</x:f>
        <x:v>0.12149955582340849</x:v>
      </x:c>
      <x:c r="Y71" s="32" t="n">
        <x:f>Y70+R71-S71-W71-Y70*V71/AB70</x:f>
        <x:v>24.390436485124678</x:v>
      </x:c>
      <x:c r="Z71" s="32" t="n">
        <x:f>Z70+W71-X71-T71-Z70*V71/AB70</x:f>
        <x:v>15.303553032026056</x:v>
      </x:c>
      <x:c r="AA71" s="32" t="n">
        <x:f>AA70+X71-U71-AA70*V71/AB70</x:f>
        <x:v>4.229793436239244</x:v>
      </x:c>
      <x:c r="AB71" s="10" t="n">
        <x:f>Y71+Z71+AA71</x:f>
        <x:v>43.923782953389974</x:v>
      </x:c>
      <x:c r="AC71" s="8" t="n">
        <x:f>IF(AND(tun_WinterTrigger=1,D71=1,AB70/AE70&gt;=K71),1,0)</x:f>
        <x:v>0</x:v>
      </x:c>
      <x:c r="AD71" s="8" t="n">
        <x:f>H71*IF(AND(OR(AB70/AE70&gt;=tun_FissionTrigger*N71,AC71=1),AB70/AE70*tun_DaughterShare&gt;=tun_MinDaughter),MAX(1,ROUND(AE70*tun_FissionRate,0)),0)</x:f>
        <x:v>0</x:v>
      </x:c>
      <x:c r="AE71" s="8" t="n">
        <x:f>IF(H71=1,MAX(1,MIN(INDEX(tun_Smax,G71),AE70+AD71)),AE70)</x:f>
        <x:v>2</x:v>
      </x:c>
      <x:c r="AF71" s="8" t="n">
        <x:f>MAX(0,AE71-AE70)</x:f>
        <x:v>0</x:v>
      </x:c>
      <x:c r="AG71" s="9" t="str">
        <x:f>IF(AF71&gt;0,B71,"")</x:f>
      </x:c>
      <x:c r="AH71" s="9" t="n">
        <x:f>IF(F71&gt;=1,1,(1+tun_LowTiesShare*(AE71-1))/AE71)</x:f>
        <x:v>1</x:v>
      </x:c>
      <x:c r="AI71" s="32" t="n">
        <x:f>(Z71+tun_ElderCommons*INDEX(LM_Elder,G71)*AA71)*AH71</x:f>
        <x:v>25.664388668185694</x:v>
      </x:c>
      <x:c r="AJ71" s="32" t="n">
        <x:f>H71*tun_CommonsCoef*AI71^tun_CommonsExp*INDEX(LM_Commons,G71)</x:f>
        <x:v>83.2846965466103</x:v>
      </x:c>
      <x:c r="AK71" s="32" t="n">
        <x:f>H71*tun_RoleScale*Arch_Roles*(AE71*(INDEX(tun_ElderRolePerSett,G71)*tun_OutElder*INDEX(LM_Elder,G71)+INDEX(tun_ShamanPerSett,G71)*tun_OutShaman)+Z71*(INDEX(tun_PriestShare,G71)*tun_OutPriest+INDEX(tun_ScribeShare,G71)*tun_OutScribe*INDEX(LM_Scribe,G71)+INDEX(tun_ScholarShare,G71)*tun_OutScholar*INDEX(LM_Scholar,G71)+INDEX(tun_ResearcherShare,G71)*tun_OutResearcher*INDEX(LM_Researcher,G71)))</x:f>
        <x:v>21.79795897113271</x:v>
      </x:c>
      <x:c r="AL71" s="32" t="n">
        <x:f>H71*tun_RoleScale*Arch_Roles*AE71*INDEX(tun_MonasteryPerSett,G71)*tun_OutMonastery*INDEX(LM_Monastery,G71)</x:f>
        <x:v>0</x:v>
      </x:c>
      <x:c r="AM71" s="32" t="n">
        <x:f>(AJ71+AK71+AL71)/4*INDEX(LM_All,G71)*INDEX(tun_Boon,G71)*Arch_Insight</x:f>
        <x:v>26.927430476421648</x:v>
      </x:c>
      <x:c r="AN71" s="32" t="n">
        <x:f>H71*(tun_KHPerAdult*Z71+tun_KHOfCommons*AJ71/4*INDEX(LM_All,G71))*tun_KHUsable*Arch_KH</x:f>
        <x:v>5.10118766347988</x:v>
      </x:c>
      <x:c r="AO71" s="32" t="n">
        <x:f>MIN(AP70+AN71,AM71*tun_KHMaxRatio)</x:f>
        <x:v>5.10118766347988</x:v>
      </x:c>
      <x:c r="AP71" s="32" t="n">
        <x:f>AP70+AN71-AO71</x:f>
        <x:v>0</x:v>
      </x:c>
      <x:c r="AQ71" s="32" t="n">
        <x:f>AM71+AO71</x:f>
        <x:v>32.028618139901525</x:v>
      </x:c>
      <x:c r="AR71" s="10" t="n">
        <x:f>IF(H71=1,INDEX(tun_Req,G71),0)</x:f>
        <x:v>1075.552</x:v>
      </x:c>
      <x:c r="AS71" s="32" t="n">
        <x:f>IF(H71=1,IF(E71=1,AS70-AR70,AS70)+AQ71,0)</x:f>
        <x:v>1004.5223561747187</x:v>
      </x:c>
      <x:c r="AT71" s="11" t="n">
        <x:f>IF(AR71&gt;0,MIN(1,AS71/AR71),1)</x:f>
        <x:v>0.9339598235833495</x:v>
      </x:c>
      <x:c r="AU71" s="10" t="n">
        <x:f>AB71/INDEX(tun_RepScale,G71)</x:f>
        <x:v>43.923782953389974</x:v>
      </x:c>
      <x:c r="AV71" s="32" t="n">
        <x:f>AM71*60/tun_SeasonSeconds</x:f>
        <x:v>107.70972190568659</x:v>
      </x:c>
    </x:row>
    <x:row r="72">
      <x:c r="A72" s="8" t="n">
        <x:f>A71+1</x:f>
        <x:v>69</x:v>
      </x:c>
      <x:c r="B72" s="9" t="n">
        <x:f>A72*tun_SeasonSeconds/60</x:f>
        <x:v>17.25</x:v>
      </x:c>
      <x:c r="C72" s="9" t="n">
        <x:f>A72/4</x:f>
        <x:v>17.25</x:v>
      </x:c>
      <x:c r="D72" s="8" t="n">
        <x:f>IF(MOD(A72,4)=0,1,0)</x:f>
        <x:v>0</x:v>
      </x:c>
      <x:c r="E72" s="8" t="n">
        <x:f>IF(AND(F71&lt;=9,AS71&gt;=AR71),1,0)</x:f>
        <x:v>0</x:v>
      </x:c>
      <x:c r="F72" s="8" t="n">
        <x:f>MIN(10,F71+E72)</x:f>
        <x:v>1</x:v>
      </x:c>
      <x:c r="G72" s="8" t="n">
        <x:f>MIN(F72,9)+1</x:f>
        <x:v>2</x:v>
      </x:c>
      <x:c r="H72" s="8" t="n">
        <x:f>IF(F72&lt;=9,1,0)</x:f>
        <x:v>1</x:v>
      </x:c>
      <x:c r="I72" s="9" t="n">
        <x:f>MIN(10,F71+IF(AR71&gt;0,MIN(1,AS71/AR71),1))</x:f>
        <x:v>1.9339598235833495</x:v>
      </x:c>
      <x:c r="J72" s="32" t="n">
        <x:f>INDEX(tun_FoodCap,G72)*Arch_FoodCap*EXP(tun_CapsByProject*SUMPRODUCT((Cap_Point&lt;=I72)*(Cap_Kind="Food")*Cap_Ln))</x:f>
        <x:v>41.39198916308082</x:v>
      </x:c>
      <x:c r="K72" s="32" t="n">
        <x:f>J72*MIN(1,tun_LeanBase*EXP(tun_CapsByProject*SUMPRODUCT((Cap_Point&lt;=I72)*(Cap_Kind="Lean")*Cap_Ln)))</x:f>
        <x:v>41.39198916308082</x:v>
      </x:c>
      <x:c r="L72" s="10" t="n">
        <x:f>INDEX(tun_HousingCap,G72)*EXP(tun_CapsByProject*SUMPRODUCT((Cap_Point&lt;=I72)*(Cap_Kind="Housing")*Cap_Ln))</x:f>
        <x:v>90</x:v>
      </x:c>
      <x:c r="M72" s="10" t="n">
        <x:f>INDEX(tun_GroupCap,G72)*tun_CohesionFactor*EXP(tun_CapsByProject*SUMPRODUCT((Cap_Point&lt;=I72)*(Cap_Kind="Group")*Cap_Ln))</x:f>
        <x:v>50.000000000000014</x:v>
      </x:c>
      <x:c r="N72" s="32" t="n">
        <x:f>MIN(J72,L72,M72)</x:f>
        <x:v>41.39198916308082</x:v>
      </x:c>
      <x:c r="O72" s="10" t="n">
        <x:f>AE71*N72</x:f>
        <x:v>82.78397832616164</x:v>
      </x:c>
      <x:c r="P72" s="9" t="n">
        <x:f>MIN(1,(AB71/(AE71*IF(tun_GroupInCrowding=1,N72,MIN(J72,L72))))^tun_CrowdingExp)</x:f>
        <x:v>0.022311083472444253</x:v>
      </x:c>
      <x:c r="Q72" s="9" t="n">
        <x:f>IF(D72=1,INDEX(tun_WinterMult,G72),1)</x:f>
        <x:v>1</x:v>
      </x:c>
      <x:c r="R72" s="9" t="n">
        <x:f>H72*Z71*tun_WomenShare*tun_BaseFertility*INDEX(tun_FertMult,G72)*Arch_Fertility*(1-P72)</x:f>
        <x:v>1.1184180351720399</x:v>
      </x:c>
      <x:c r="S72" s="9" t="n">
        <x:f>H72*Y71*INDEX(tun_MortChild,G72)/4*Q72</x:f>
        <x:v>0.2012211010022786</x:v>
      </x:c>
      <x:c r="T72" s="9" t="n">
        <x:f>H72*Z71*INDEX(tun_MortAdult,G72)*Arch_AdultMort/4*Q72</x:f>
        <x:v>0.04208477083807165</x:v>
      </x:c>
      <x:c r="U72" s="9" t="n">
        <x:f>H72*AA71*INDEX(tun_MortElder,G72)/4*Q72</x:f>
        <x:v>0.056044763030169975</x:v>
      </x:c>
      <x:c r="V72" s="9" t="n">
        <x:f>H72*MAX(0,AB71-O72)*tun_OvercapLoss</x:f>
        <x:v>0</x:v>
      </x:c>
      <x:c r="W72" s="9" t="n">
        <x:f>H72*Y71/(tun_ChildYears*4)</x:f>
        <x:v>0.43554350866294067</x:v>
      </x:c>
      <x:c r="X72" s="9" t="n">
        <x:f>H72*Z71/(tun_AdultYears*4)</x:f>
        <x:v>0.12341575025827464</x:v>
      </x:c>
      <x:c r="Y72" s="32" t="n">
        <x:f>Y71+R72-S72-W72-Y71*V72/AB71</x:f>
        <x:v>24.872089910631498</x:v>
      </x:c>
      <x:c r="Z72" s="32" t="n">
        <x:f>Z71+W72-X72-T72-Z71*V72/AB71</x:f>
        <x:v>15.57359601959265</x:v>
      </x:c>
      <x:c r="AA72" s="32" t="n">
        <x:f>AA71+X72-U72-AA71*V72/AB71</x:f>
        <x:v>4.297164423467349</x:v>
      </x:c>
      <x:c r="AB72" s="10" t="n">
        <x:f>Y72+Z72+AA72</x:f>
        <x:v>44.742850353691495</x:v>
      </x:c>
      <x:c r="AC72" s="8" t="n">
        <x:f>IF(AND(tun_WinterTrigger=1,D72=1,AB71/AE71&gt;=K72),1,0)</x:f>
        <x:v>0</x:v>
      </x:c>
      <x:c r="AD72" s="8" t="n">
        <x:f>H72*IF(AND(OR(AB71/AE71&gt;=tun_FissionTrigger*N72,AC72=1),AB71/AE71*tun_DaughterShare&gt;=tun_MinDaughter),MAX(1,ROUND(AE71*tun_FissionRate,0)),0)</x:f>
        <x:v>0</x:v>
      </x:c>
      <x:c r="AE72" s="8" t="n">
        <x:f>IF(H72=1,MAX(1,MIN(INDEX(tun_Smax,G72),AE71+AD72)),AE71)</x:f>
        <x:v>2</x:v>
      </x:c>
      <x:c r="AF72" s="8" t="n">
        <x:f>MAX(0,AE72-AE71)</x:f>
        <x:v>0</x:v>
      </x:c>
      <x:c r="AG72" s="9" t="str">
        <x:f>IF(AF72&gt;0,B72,"")</x:f>
      </x:c>
      <x:c r="AH72" s="9" t="n">
        <x:f>IF(F72&gt;=1,1,(1+tun_LowTiesShare*(AE72-1))/AE72)</x:f>
        <x:v>1</x:v>
      </x:c>
      <x:c r="AI72" s="32" t="n">
        <x:f>(Z72+tun_ElderCommons*INDEX(LM_Elder,G72)*AA72)*AH72</x:f>
        <x:v>26.09945619792871</x:v>
      </x:c>
      <x:c r="AJ72" s="32" t="n">
        <x:f>H72*tun_CommonsCoef*AI72^tun_CommonsExp*INDEX(LM_Commons,G72)</x:f>
        <x:v>84.48325970053331</x:v>
      </x:c>
      <x:c r="AK72" s="32" t="n">
        <x:f>H72*tun_RoleScale*Arch_Roles*(AE72*(INDEX(tun_ElderRolePerSett,G72)*tun_OutElder*INDEX(LM_Elder,G72)+INDEX(tun_ShamanPerSett,G72)*tun_OutShaman)+Z72*(INDEX(tun_PriestShare,G72)*tun_OutPriest+INDEX(tun_ScribeShare,G72)*tun_OutScribe*INDEX(LM_Scribe,G72)+INDEX(tun_ScholarShare,G72)*tun_OutScholar*INDEX(LM_Scholar,G72)+INDEX(tun_ResearcherShare,G72)*tun_OutResearcher*INDEX(LM_Researcher,G72)))</x:f>
        <x:v>21.79795897113271</x:v>
      </x:c>
      <x:c r="AL72" s="32" t="n">
        <x:f>H72*tun_RoleScale*Arch_Roles*AE72*INDEX(tun_MonasteryPerSett,G72)*tun_OutMonastery*INDEX(LM_Monastery,G72)</x:f>
        <x:v>0</x:v>
      </x:c>
      <x:c r="AM72" s="32" t="n">
        <x:f>(AJ72+AK72+AL72)/4*INDEX(LM_All,G72)*INDEX(tun_Boon,G72)*Arch_Insight</x:f>
        <x:v>27.234562284614416</x:v>
      </x:c>
      <x:c r="AN72" s="32" t="n">
        <x:f>H72*(tun_KHPerAdult*Z72+tun_KHOfCommons*AJ72/4*INDEX(LM_All,G72))*tun_KHUsable*Arch_KH</x:f>
        <x:v>5.174599656657665</x:v>
      </x:c>
      <x:c r="AO72" s="32" t="n">
        <x:f>MIN(AP71+AN72,AM72*tun_KHMaxRatio)</x:f>
        <x:v>5.174599656657665</x:v>
      </x:c>
      <x:c r="AP72" s="32" t="n">
        <x:f>AP71+AN72-AO72</x:f>
        <x:v>0</x:v>
      </x:c>
      <x:c r="AQ72" s="32" t="n">
        <x:f>AM72+AO72</x:f>
        <x:v>32.40916194127208</x:v>
      </x:c>
      <x:c r="AR72" s="10" t="n">
        <x:f>IF(H72=1,INDEX(tun_Req,G72),0)</x:f>
        <x:v>1075.552</x:v>
      </x:c>
      <x:c r="AS72" s="32" t="n">
        <x:f>IF(H72=1,IF(E72=1,AS71-AR71,AS71)+AQ72,0)</x:f>
        <x:v>1036.9315181159907</x:v>
      </x:c>
      <x:c r="AT72" s="11" t="n">
        <x:f>IF(AR72&gt;0,MIN(1,AS72/AR72),1)</x:f>
        <x:v>0.9640924084711765</x:v>
      </x:c>
      <x:c r="AU72" s="10" t="n">
        <x:f>AB72/INDEX(tun_RepScale,G72)</x:f>
        <x:v>44.742850353691495</x:v>
      </x:c>
      <x:c r="AV72" s="32" t="n">
        <x:f>AM72*60/tun_SeasonSeconds</x:f>
        <x:v>108.93824913845766</x:v>
      </x:c>
    </x:row>
    <x:row r="73">
      <x:c r="A73" s="8" t="n">
        <x:f>A72+1</x:f>
        <x:v>70</x:v>
      </x:c>
      <x:c r="B73" s="9" t="n">
        <x:f>A73*tun_SeasonSeconds/60</x:f>
        <x:v>17.5</x:v>
      </x:c>
      <x:c r="C73" s="9" t="n">
        <x:f>A73/4</x:f>
        <x:v>17.5</x:v>
      </x:c>
      <x:c r="D73" s="8" t="n">
        <x:f>IF(MOD(A73,4)=0,1,0)</x:f>
        <x:v>0</x:v>
      </x:c>
      <x:c r="E73" s="8" t="n">
        <x:f>IF(AND(F72&lt;=9,AS72&gt;=AR72),1,0)</x:f>
        <x:v>0</x:v>
      </x:c>
      <x:c r="F73" s="8" t="n">
        <x:f>MIN(10,F72+E73)</x:f>
        <x:v>1</x:v>
      </x:c>
      <x:c r="G73" s="8" t="n">
        <x:f>MIN(F73,9)+1</x:f>
        <x:v>2</x:v>
      </x:c>
      <x:c r="H73" s="8" t="n">
        <x:f>IF(F73&lt;=9,1,0)</x:f>
        <x:v>1</x:v>
      </x:c>
      <x:c r="I73" s="9" t="n">
        <x:f>MIN(10,F72+IF(AR72&gt;0,MIN(1,AS72/AR72),1))</x:f>
        <x:v>1.9640924084711764</x:v>
      </x:c>
      <x:c r="J73" s="32" t="n">
        <x:f>INDEX(tun_FoodCap,G73)*Arch_FoodCap*EXP(tun_CapsByProject*SUMPRODUCT((Cap_Point&lt;=I73)*(Cap_Kind="Food")*Cap_Ln))</x:f>
        <x:v>41.39198916308082</x:v>
      </x:c>
      <x:c r="K73" s="32" t="n">
        <x:f>J73*MIN(1,tun_LeanBase*EXP(tun_CapsByProject*SUMPRODUCT((Cap_Point&lt;=I73)*(Cap_Kind="Lean")*Cap_Ln)))</x:f>
        <x:v>41.39198916308082</x:v>
      </x:c>
      <x:c r="L73" s="10" t="n">
        <x:f>INDEX(tun_HousingCap,G73)*EXP(tun_CapsByProject*SUMPRODUCT((Cap_Point&lt;=I73)*(Cap_Kind="Housing")*Cap_Ln))</x:f>
        <x:v>90</x:v>
      </x:c>
      <x:c r="M73" s="10" t="n">
        <x:f>INDEX(tun_GroupCap,G73)*tun_CohesionFactor*EXP(tun_CapsByProject*SUMPRODUCT((Cap_Point&lt;=I73)*(Cap_Kind="Group")*Cap_Ln))</x:f>
        <x:v>50.000000000000014</x:v>
      </x:c>
      <x:c r="N73" s="32" t="n">
        <x:f>MIN(J73,L73,M73)</x:f>
        <x:v>41.39198916308082</x:v>
      </x:c>
      <x:c r="O73" s="10" t="n">
        <x:f>AE72*N73</x:f>
        <x:v>82.78397832616164</x:v>
      </x:c>
      <x:c r="P73" s="9" t="n">
        <x:f>MIN(1,(AB72/(AE72*IF(tun_GroupInCrowding=1,N73,MIN(J73,L73))))^tun_CrowdingExp)</x:f>
        <x:v>0.024926662002756814</x:v>
      </x:c>
      <x:c r="Q73" s="9" t="n">
        <x:f>IF(D73=1,INDEX(tun_WinterMult,G73),1)</x:f>
        <x:v>1</x:v>
      </x:c>
      <x:c r="R73" s="9" t="n">
        <x:f>H73*Z72*tun_WomenShare*tun_BaseFertility*INDEX(tun_FertMult,G73)*Arch_Fertility*(1-P73)</x:f>
        <x:v>1.1351085195944974</x:v>
      </x:c>
      <x:c r="S73" s="9" t="n">
        <x:f>H73*Y72*INDEX(tun_MortChild,G73)/4*Q73</x:f>
        <x:v>0.20519474176270988</x:v>
      </x:c>
      <x:c r="T73" s="9" t="n">
        <x:f>H73*Z72*INDEX(tun_MortAdult,G73)*Arch_AdultMort/4*Q73</x:f>
        <x:v>0.04282738905387978</x:v>
      </x:c>
      <x:c r="U73" s="9" t="n">
        <x:f>H73*AA72*INDEX(tun_MortElder,G73)/4*Q73</x:f>
        <x:v>0.05693742861094237</x:v>
      </x:c>
      <x:c r="V73" s="9" t="n">
        <x:f>H73*MAX(0,AB72-O73)*tun_OvercapLoss</x:f>
        <x:v>0</x:v>
      </x:c>
      <x:c r="W73" s="9" t="n">
        <x:f>H73*Y72/(tun_ChildYears*4)</x:f>
        <x:v>0.4441444626898482</x:v>
      </x:c>
      <x:c r="X73" s="9" t="n">
        <x:f>H73*Z72/(tun_AdultYears*4)</x:f>
        <x:v>0.1255935162870375</x:v>
      </x:c>
      <x:c r="Y73" s="32" t="n">
        <x:f>Y72+R73-S73-W73-Y72*V73/AB72</x:f>
        <x:v>25.357859225773435</x:v>
      </x:c>
      <x:c r="Z73" s="32" t="n">
        <x:f>Z72+W73-X73-T73-Z72*V73/AB72</x:f>
        <x:v>15.84931957694158</x:v>
      </x:c>
      <x:c r="AA73" s="32" t="n">
        <x:f>AA72+X73-U73-AA72*V73/AB72</x:f>
        <x:v>4.365820511143443</x:v>
      </x:c>
      <x:c r="AB73" s="10" t="n">
        <x:f>Y73+Z73+AA73</x:f>
        <x:v>45.57299931385846</x:v>
      </x:c>
      <x:c r="AC73" s="8" t="n">
        <x:f>IF(AND(tun_WinterTrigger=1,D73=1,AB72/AE72&gt;=K73),1,0)</x:f>
        <x:v>0</x:v>
      </x:c>
      <x:c r="AD73" s="8" t="n">
        <x:f>H73*IF(AND(OR(AB72/AE72&gt;=tun_FissionTrigger*N73,AC73=1),AB72/AE72*tun_DaughterShare&gt;=tun_MinDaughter),MAX(1,ROUND(AE72*tun_FissionRate,0)),0)</x:f>
        <x:v>0</x:v>
      </x:c>
      <x:c r="AE73" s="8" t="n">
        <x:f>IF(H73=1,MAX(1,MIN(INDEX(tun_Smax,G73),AE72+AD73)),AE72)</x:f>
        <x:v>2</x:v>
      </x:c>
      <x:c r="AF73" s="8" t="n">
        <x:f>MAX(0,AE73-AE72)</x:f>
        <x:v>0</x:v>
      </x:c>
      <x:c r="AG73" s="9" t="str">
        <x:f>IF(AF73&gt;0,B73,"")</x:f>
      </x:c>
      <x:c r="AH73" s="9" t="n">
        <x:f>IF(F73&gt;=1,1,(1+tun_LowTiesShare*(AE73-1))/AE73)</x:f>
        <x:v>1</x:v>
      </x:c>
      <x:c r="AI73" s="32" t="n">
        <x:f>(Z73+tun_ElderCommons*INDEX(LM_Elder,G73)*AA73)*AH73</x:f>
        <x:v>26.543352137819856</x:v>
      </x:c>
      <x:c r="AJ73" s="32" t="n">
        <x:f>H73*tun_CommonsCoef*AI73^tun_CommonsExp*INDEX(LM_Commons,G73)</x:f>
        <x:v>85.70305948062334</x:v>
      </x:c>
      <x:c r="AK73" s="32" t="n">
        <x:f>H73*tun_RoleScale*Arch_Roles*(AE73*(INDEX(tun_ElderRolePerSett,G73)*tun_OutElder*INDEX(LM_Elder,G73)+INDEX(tun_ShamanPerSett,G73)*tun_OutShaman)+Z73*(INDEX(tun_PriestShare,G73)*tun_OutPriest+INDEX(tun_ScribeShare,G73)*tun_OutScribe*INDEX(LM_Scribe,G73)+INDEX(tun_ScholarShare,G73)*tun_OutScholar*INDEX(LM_Scholar,G73)+INDEX(tun_ResearcherShare,G73)*tun_OutResearcher*INDEX(LM_Researcher,G73)))</x:f>
        <x:v>21.79795897113271</x:v>
      </x:c>
      <x:c r="AL73" s="32" t="n">
        <x:f>H73*tun_RoleScale*Arch_Roles*AE73*INDEX(tun_MonasteryPerSett,G73)*tun_OutMonastery*INDEX(LM_Monastery,G73)</x:f>
        <x:v>0</x:v>
      </x:c>
      <x:c r="AM73" s="32" t="n">
        <x:f>(AJ73+AK73+AL73)/4*INDEX(LM_All,G73)*INDEX(tun_Boon,G73)*Arch_Insight</x:f>
        <x:v>27.547135978262485</x:v>
      </x:c>
      <x:c r="AN73" s="32" t="n">
        <x:f>H73*(tun_KHPerAdult*Z73+tun_KHOfCommons*AJ73/4*INDEX(LM_All,G73))*tun_KHUsable*Arch_KH</x:f>
        <x:v>5.249312393188179</x:v>
      </x:c>
      <x:c r="AO73" s="32" t="n">
        <x:f>MIN(AP72+AN73,AM73*tun_KHMaxRatio)</x:f>
        <x:v>5.249312393188179</x:v>
      </x:c>
      <x:c r="AP73" s="32" t="n">
        <x:f>AP72+AN73-AO73</x:f>
        <x:v>0</x:v>
      </x:c>
      <x:c r="AQ73" s="32" t="n">
        <x:f>AM73+AO73</x:f>
        <x:v>32.796448371450666</x:v>
      </x:c>
      <x:c r="AR73" s="10" t="n">
        <x:f>IF(H73=1,INDEX(tun_Req,G73),0)</x:f>
        <x:v>1075.552</x:v>
      </x:c>
      <x:c r="AS73" s="32" t="n">
        <x:f>IF(H73=1,IF(E73=1,AS72-AR72,AS72)+AQ73,0)</x:f>
        <x:v>1069.7279664874413</x:v>
      </x:c>
      <x:c r="AT73" s="11" t="n">
        <x:f>IF(AR73&gt;0,MIN(1,AS73/AR73),1)</x:f>
        <x:v>0.9945850749079927</x:v>
      </x:c>
      <x:c r="AU73" s="10" t="n">
        <x:f>AB73/INDEX(tun_RepScale,G73)</x:f>
        <x:v>45.57299931385846</x:v>
      </x:c>
      <x:c r="AV73" s="32" t="n">
        <x:f>AM73*60/tun_SeasonSeconds</x:f>
        <x:v>110.18854391304994</x:v>
      </x:c>
    </x:row>
    <x:row r="74">
      <x:c r="A74" s="8" t="n">
        <x:f>A73+1</x:f>
        <x:v>71</x:v>
      </x:c>
      <x:c r="B74" s="9" t="n">
        <x:f>A74*tun_SeasonSeconds/60</x:f>
        <x:v>17.75</x:v>
      </x:c>
      <x:c r="C74" s="9" t="n">
        <x:f>A74/4</x:f>
        <x:v>17.75</x:v>
      </x:c>
      <x:c r="D74" s="8" t="n">
        <x:f>IF(MOD(A74,4)=0,1,0)</x:f>
        <x:v>0</x:v>
      </x:c>
      <x:c r="E74" s="8" t="n">
        <x:f>IF(AND(F73&lt;=9,AS73&gt;=AR73),1,0)</x:f>
        <x:v>0</x:v>
      </x:c>
      <x:c r="F74" s="8" t="n">
        <x:f>MIN(10,F73+E74)</x:f>
        <x:v>1</x:v>
      </x:c>
      <x:c r="G74" s="8" t="n">
        <x:f>MIN(F74,9)+1</x:f>
        <x:v>2</x:v>
      </x:c>
      <x:c r="H74" s="8" t="n">
        <x:f>IF(F74&lt;=9,1,0)</x:f>
        <x:v>1</x:v>
      </x:c>
      <x:c r="I74" s="9" t="n">
        <x:f>MIN(10,F73+IF(AR73&gt;0,MIN(1,AS73/AR73),1))</x:f>
        <x:v>1.9945850749079927</x:v>
      </x:c>
      <x:c r="J74" s="32" t="n">
        <x:f>INDEX(tun_FoodCap,G74)*Arch_FoodCap*EXP(tun_CapsByProject*SUMPRODUCT((Cap_Point&lt;=I74)*(Cap_Kind="Food")*Cap_Ln))</x:f>
        <x:v>41.39198916308082</x:v>
      </x:c>
      <x:c r="K74" s="32" t="n">
        <x:f>J74*MIN(1,tun_LeanBase*EXP(tun_CapsByProject*SUMPRODUCT((Cap_Point&lt;=I74)*(Cap_Kind="Lean")*Cap_Ln)))</x:f>
        <x:v>41.39198916308082</x:v>
      </x:c>
      <x:c r="L74" s="10" t="n">
        <x:f>INDEX(tun_HousingCap,G74)*EXP(tun_CapsByProject*SUMPRODUCT((Cap_Point&lt;=I74)*(Cap_Kind="Housing")*Cap_Ln))</x:f>
        <x:v>90</x:v>
      </x:c>
      <x:c r="M74" s="10" t="n">
        <x:f>INDEX(tun_GroupCap,G74)*tun_CohesionFactor*EXP(tun_CapsByProject*SUMPRODUCT((Cap_Point&lt;=I74)*(Cap_Kind="Group")*Cap_Ln))</x:f>
        <x:v>50.000000000000014</x:v>
      </x:c>
      <x:c r="N74" s="32" t="n">
        <x:f>MIN(J74,L74,M74)</x:f>
        <x:v>41.39198916308082</x:v>
      </x:c>
      <x:c r="O74" s="10" t="n">
        <x:f>AE73*N74</x:f>
        <x:v>82.78397832616164</x:v>
      </x:c>
      <x:c r="P74" s="9" t="n">
        <x:f>MIN(1,(AB73/(AE73*IF(tun_GroupInCrowding=1,N74,MIN(J74,L74))))^tun_CrowdingExp)</x:f>
        <x:v>0.02783350578001642</x:v>
      </x:c>
      <x:c r="Q74" s="9" t="n">
        <x:f>IF(D74=1,INDEX(tun_WinterMult,G74),1)</x:f>
        <x:v>1</x:v>
      </x:c>
      <x:c r="R74" s="9" t="n">
        <x:f>H74*Z73*tun_WomenShare*tun_BaseFertility*INDEX(tun_FertMult,G74)*Arch_Fertility*(1-P74)</x:f>
        <x:v>1.151761264304337</x:v>
      </x:c>
      <x:c r="S74" s="9" t="n">
        <x:f>H74*Y73*INDEX(tun_MortChild,G74)/4*Q74</x:f>
        <x:v>0.20920233861263085</x:v>
      </x:c>
      <x:c r="T74" s="9" t="n">
        <x:f>H74*Z73*INDEX(tun_MortAdult,G74)*Arch_AdultMort/4*Q74</x:f>
        <x:v>0.04358562883658934</x:v>
      </x:c>
      <x:c r="U74" s="9" t="n">
        <x:f>H74*AA73*INDEX(tun_MortElder,G74)/4*Q74</x:f>
        <x:v>0.057847121772650625</x:v>
      </x:c>
      <x:c r="V74" s="9" t="n">
        <x:f>H74*MAX(0,AB73-O74)*tun_OvercapLoss</x:f>
        <x:v>0</x:v>
      </x:c>
      <x:c r="W74" s="9" t="n">
        <x:f>H74*Y73/(tun_ChildYears*4)</x:f>
        <x:v>0.4528189147459542</x:v>
      </x:c>
      <x:c r="X74" s="9" t="n">
        <x:f>H74*Z73/(tun_AdultYears*4)</x:f>
        <x:v>0.1278170933624321</x:v>
      </x:c>
      <x:c r="Y74" s="32" t="n">
        <x:f>Y73+R74-S74-W74-Y73*V74/AB73</x:f>
        <x:v>25.847599236719187</x:v>
      </x:c>
      <x:c r="Z74" s="32" t="n">
        <x:f>Z73+W74-X74-T74-Z73*V74/AB73</x:f>
        <x:v>16.130735769488513</x:v>
      </x:c>
      <x:c r="AA74" s="32" t="n">
        <x:f>AA73+X74-U74-AA73*V74/AB73</x:f>
        <x:v>4.435790482733225</x:v>
      </x:c>
      <x:c r="AB74" s="10" t="n">
        <x:f>Y74+Z74+AA74</x:f>
        <x:v>46.414125488940925</x:v>
      </x:c>
      <x:c r="AC74" s="8" t="n">
        <x:f>IF(AND(tun_WinterTrigger=1,D74=1,AB73/AE73&gt;=K74),1,0)</x:f>
        <x:v>0</x:v>
      </x:c>
      <x:c r="AD74" s="8" t="n">
        <x:f>H74*IF(AND(OR(AB73/AE73&gt;=tun_FissionTrigger*N74,AC74=1),AB73/AE73*tun_DaughterShare&gt;=tun_MinDaughter),MAX(1,ROUND(AE73*tun_FissionRate,0)),0)</x:f>
        <x:v>0</x:v>
      </x:c>
      <x:c r="AE74" s="8" t="n">
        <x:f>IF(H74=1,MAX(1,MIN(INDEX(tun_Smax,G74),AE73+AD74)),AE73)</x:f>
        <x:v>2</x:v>
      </x:c>
      <x:c r="AF74" s="8" t="n">
        <x:f>MAX(0,AE74-AE73)</x:f>
        <x:v>0</x:v>
      </x:c>
      <x:c r="AG74" s="9" t="str">
        <x:f>IF(AF74&gt;0,B74,"")</x:f>
      </x:c>
      <x:c r="AH74" s="9" t="n">
        <x:f>IF(F74&gt;=1,1,(1+tun_LowTiesShare*(AE74-1))/AE74)</x:f>
        <x:v>1</x:v>
      </x:c>
      <x:c r="AI74" s="32" t="n">
        <x:f>(Z74+tun_ElderCommons*INDEX(LM_Elder,G74)*AA74)*AH74</x:f>
        <x:v>26.99615905807879</x:v>
      </x:c>
      <x:c r="AJ74" s="32" t="n">
        <x:f>H74*tun_CommonsCoef*AI74^tun_CommonsExp*INDEX(LM_Commons,G74)</x:f>
        <x:v>86.94419766170269</x:v>
      </x:c>
      <x:c r="AK74" s="32" t="n">
        <x:f>H74*tun_RoleScale*Arch_Roles*(AE74*(INDEX(tun_ElderRolePerSett,G74)*tun_OutElder*INDEX(LM_Elder,G74)+INDEX(tun_ShamanPerSett,G74)*tun_OutShaman)+Z74*(INDEX(tun_PriestShare,G74)*tun_OutPriest+INDEX(tun_ScribeShare,G74)*tun_OutScribe*INDEX(LM_Scribe,G74)+INDEX(tun_ScholarShare,G74)*tun_OutScholar*INDEX(LM_Scholar,G74)+INDEX(tun_ResearcherShare,G74)*tun_OutResearcher*INDEX(LM_Researcher,G74)))</x:f>
        <x:v>21.79795897113271</x:v>
      </x:c>
      <x:c r="AL74" s="32" t="n">
        <x:f>H74*tun_RoleScale*Arch_Roles*AE74*INDEX(tun_MonasteryPerSett,G74)*tun_OutMonastery*INDEX(LM_Monastery,G74)</x:f>
        <x:v>0</x:v>
      </x:c>
      <x:c r="AM74" s="32" t="n">
        <x:f>(AJ74+AK74+AL74)/4*INDEX(LM_All,G74)*INDEX(tun_Boon,G74)*Arch_Insight</x:f>
        <x:v>27.86517763716407</x:v>
      </x:c>
      <x:c r="AN74" s="32" t="n">
        <x:f>H74*(tun_KHPerAdult*Z74+tun_KHOfCommons*AJ74/4*INDEX(LM_All,G74))*tun_KHUsable*Arch_KH</x:f>
        <x:v>5.325332106779289</x:v>
      </x:c>
      <x:c r="AO74" s="32" t="n">
        <x:f>MIN(AP73+AN74,AM74*tun_KHMaxRatio)</x:f>
        <x:v>5.325332106779289</x:v>
      </x:c>
      <x:c r="AP74" s="32" t="n">
        <x:f>AP73+AN74-AO74</x:f>
        <x:v>0</x:v>
      </x:c>
      <x:c r="AQ74" s="32" t="n">
        <x:f>AM74+AO74</x:f>
        <x:v>33.19050974394336</x:v>
      </x:c>
      <x:c r="AR74" s="10" t="n">
        <x:f>IF(H74=1,INDEX(tun_Req,G74),0)</x:f>
        <x:v>1075.552</x:v>
      </x:c>
      <x:c r="AS74" s="32" t="n">
        <x:f>IF(H74=1,IF(E74=1,AS73-AR73,AS73)+AQ74,0)</x:f>
        <x:v>1102.9184762313846</x:v>
      </x:c>
      <x:c r="AT74" s="11" t="n">
        <x:f>IF(AR74&gt;0,MIN(1,AS74/AR74),1)</x:f>
        <x:v>1</x:v>
      </x:c>
      <x:c r="AU74" s="10" t="n">
        <x:f>AB74/INDEX(tun_RepScale,G74)</x:f>
        <x:v>46.414125488940925</x:v>
      </x:c>
      <x:c r="AV74" s="32" t="n">
        <x:f>AM74*60/tun_SeasonSeconds</x:f>
        <x:v>111.46071054865628</x:v>
      </x:c>
    </x:row>
    <x:row r="75">
      <x:c r="A75" s="8" t="n">
        <x:f>A74+1</x:f>
        <x:v>72</x:v>
      </x:c>
      <x:c r="B75" s="9" t="n">
        <x:f>A75*tun_SeasonSeconds/60</x:f>
        <x:v>18</x:v>
      </x:c>
      <x:c r="C75" s="9" t="n">
        <x:f>A75/4</x:f>
        <x:v>18</x:v>
      </x:c>
      <x:c r="D75" s="8" t="n">
        <x:f>IF(MOD(A75,4)=0,1,0)</x:f>
        <x:v>1</x:v>
      </x:c>
      <x:c r="E75" s="8" t="n">
        <x:f>IF(AND(F74&lt;=9,AS74&gt;=AR74),1,0)</x:f>
        <x:v>1</x:v>
      </x:c>
      <x:c r="F75" s="8" t="n">
        <x:f>MIN(10,F74+E75)</x:f>
        <x:v>2</x:v>
      </x:c>
      <x:c r="G75" s="8" t="n">
        <x:f>MIN(F75,9)+1</x:f>
        <x:v>3</x:v>
      </x:c>
      <x:c r="H75" s="8" t="n">
        <x:f>IF(F75&lt;=9,1,0)</x:f>
        <x:v>1</x:v>
      </x:c>
      <x:c r="I75" s="9" t="n">
        <x:f>MIN(10,F74+IF(AR74&gt;0,MIN(1,AS74/AR74),1))</x:f>
        <x:v>2</x:v>
      </x:c>
      <x:c r="J75" s="32" t="n">
        <x:f>INDEX(tun_FoodCap,G75)*Arch_FoodCap*EXP(tun_CapsByProject*SUMPRODUCT((Cap_Point&lt;=I75)*(Cap_Kind="Food")*Cap_Ln))</x:f>
        <x:v>41.39198916308082</x:v>
      </x:c>
      <x:c r="K75" s="32" t="n">
        <x:f>J75*MIN(1,tun_LeanBase*EXP(tun_CapsByProject*SUMPRODUCT((Cap_Point&lt;=I75)*(Cap_Kind="Lean")*Cap_Ln)))</x:f>
        <x:v>41.39198916308082</x:v>
      </x:c>
      <x:c r="L75" s="10" t="n">
        <x:f>INDEX(tun_HousingCap,G75)*EXP(tun_CapsByProject*SUMPRODUCT((Cap_Point&lt;=I75)*(Cap_Kind="Housing")*Cap_Ln))</x:f>
        <x:v>90</x:v>
      </x:c>
      <x:c r="M75" s="10" t="n">
        <x:f>INDEX(tun_GroupCap,G75)*tun_CohesionFactor*EXP(tun_CapsByProject*SUMPRODUCT((Cap_Point&lt;=I75)*(Cap_Kind="Group")*Cap_Ln))</x:f>
        <x:v>50.000000000000014</x:v>
      </x:c>
      <x:c r="N75" s="32" t="n">
        <x:f>MIN(J75,L75,M75)</x:f>
        <x:v>41.39198916308082</x:v>
      </x:c>
      <x:c r="O75" s="10" t="n">
        <x:f>AE74*N75</x:f>
        <x:v>82.78397832616164</x:v>
      </x:c>
      <x:c r="P75" s="9" t="n">
        <x:f>MIN(1,(AB74/(AE74*IF(tun_GroupInCrowding=1,N75,MIN(J75,L75))))^tun_CrowdingExp)</x:f>
        <x:v>0.031061560660608754</x:v>
      </x:c>
      <x:c r="Q75" s="9" t="n">
        <x:f>IF(D75=1,INDEX(tun_WinterMult,G75),1)</x:f>
        <x:v>1.4</x:v>
      </x:c>
      <x:c r="R75" s="9" t="n">
        <x:f>H75*Z74*tun_WomenShare*tun_BaseFertility*INDEX(tun_FertMult,G75)*Arch_Fertility*(1-P75)</x:f>
        <x:v>1.3207088000892229</x:v>
      </x:c>
      <x:c r="S75" s="9" t="n">
        <x:f>H75*Y74*INDEX(tun_MortChild,G75)/4*Q75</x:f>
        <x:v>0.31663309064981005</x:v>
      </x:c>
      <x:c r="T75" s="9" t="n">
        <x:f>H75*Z74*INDEX(tun_MortAdult,G75)*Arch_AdultMort/4*Q75</x:f>
        <x:v>0.06774909023185176</x:v>
      </x:c>
      <x:c r="U75" s="9" t="n">
        <x:f>H75*AA74*INDEX(tun_MortElder,G75)/4*Q75</x:f>
        <x:v>0.08849402013052783</x:v>
      </x:c>
      <x:c r="V75" s="9" t="n">
        <x:f>H75*MAX(0,AB74-O75)*tun_OvercapLoss</x:f>
        <x:v>0</x:v>
      </x:c>
      <x:c r="W75" s="9" t="n">
        <x:f>H75*Y74/(tun_ChildYears*4)</x:f>
        <x:v>0.4615642720842712</x:v>
      </x:c>
      <x:c r="X75" s="9" t="n">
        <x:f>H75*Z74/(tun_AdultYears*4)</x:f>
        <x:v>0.1300865787861977</x:v>
      </x:c>
      <x:c r="Y75" s="32" t="n">
        <x:f>Y74+R75-S75-W75-Y74*V75/AB74</x:f>
        <x:v>26.39011067407433</x:v>
      </x:c>
      <x:c r="Z75" s="32" t="n">
        <x:f>Z74+W75-X75-T75-Z74*V75/AB74</x:f>
        <x:v>16.394464372554733</x:v>
      </x:c>
      <x:c r="AA75" s="32" t="n">
        <x:f>AA74+X75-U75-AA74*V75/AB74</x:f>
        <x:v>4.477383041388895</x:v>
      </x:c>
      <x:c r="AB75" s="10" t="n">
        <x:f>Y75+Z75+AA75</x:f>
        <x:v>47.261958088017956</x:v>
      </x:c>
      <x:c r="AC75" s="8" t="n">
        <x:f>IF(AND(tun_WinterTrigger=1,D75=1,AB74/AE74&gt;=K75),1,0)</x:f>
        <x:v>0</x:v>
      </x:c>
      <x:c r="AD75" s="8" t="n">
        <x:f>H75*IF(AND(OR(AB74/AE74&gt;=tun_FissionTrigger*N75,AC75=1),AB74/AE74*tun_DaughterShare&gt;=tun_MinDaughter),MAX(1,ROUND(AE74*tun_FissionRate,0)),0)</x:f>
        <x:v>0</x:v>
      </x:c>
      <x:c r="AE75" s="8" t="n">
        <x:f>IF(H75=1,MAX(1,MIN(INDEX(tun_Smax,G75),AE74+AD75)),AE74)</x:f>
        <x:v>2</x:v>
      </x:c>
      <x:c r="AF75" s="8" t="n">
        <x:f>MAX(0,AE75-AE74)</x:f>
        <x:v>0</x:v>
      </x:c>
      <x:c r="AG75" s="9" t="str">
        <x:f>IF(AF75&gt;0,B75,"")</x:f>
      </x:c>
      <x:c r="AH75" s="9" t="n">
        <x:f>IF(F75&gt;=1,1,(1+tun_LowTiesShare*(AE75-1))/AE75)</x:f>
        <x:v>1</x:v>
      </x:c>
      <x:c r="AI75" s="32" t="n">
        <x:f>(Z75+tun_ElderCommons*INDEX(LM_Elder,G75)*AA75)*AH75</x:f>
        <x:v>29.826613496721418</x:v>
      </x:c>
      <x:c r="AJ75" s="32" t="n">
        <x:f>H75*tun_CommonsCoef*AI75^tun_CommonsExp*INDEX(LM_Commons,G75)</x:f>
        <x:v>94.6340173862567</x:v>
      </x:c>
      <x:c r="AK75" s="32" t="n">
        <x:f>H75*tun_RoleScale*Arch_Roles*(AE75*(INDEX(tun_ElderRolePerSett,G75)*tun_OutElder*INDEX(LM_Elder,G75)+INDEX(tun_ShamanPerSett,G75)*tun_OutShaman)+Z75*(INDEX(tun_PriestShare,G75)*tun_OutPriest+INDEX(tun_ScribeShare,G75)*tun_OutScribe*INDEX(LM_Scribe,G75)+INDEX(tun_ScholarShare,G75)*tun_OutScholar*INDEX(LM_Scholar,G75)+INDEX(tun_ResearcherShare,G75)*tun_OutResearcher*INDEX(LM_Researcher,G75)))</x:f>
        <x:v>48</x:v>
      </x:c>
      <x:c r="AL75" s="32" t="n">
        <x:f>H75*tun_RoleScale*Arch_Roles*AE75*INDEX(tun_MonasteryPerSett,G75)*tun_OutMonastery*INDEX(LM_Monastery,G75)</x:f>
        <x:v>0</x:v>
      </x:c>
      <x:c r="AM75" s="32" t="n">
        <x:f>(AJ75+AK75+AL75)/4*INDEX(LM_All,G75)*INDEX(tun_Boon,G75)*Arch_Insight</x:f>
        <x:v>37.46371612910898</x:v>
      </x:c>
      <x:c r="AN75" s="32" t="n">
        <x:f>H75*(tun_KHPerAdult*Z75+tun_KHOfCommons*AJ75/4*INDEX(LM_All,G75))*tun_KHUsable*Arch_KH</x:f>
        <x:v>5.796333564908222</x:v>
      </x:c>
      <x:c r="AO75" s="32" t="n">
        <x:f>MIN(AP74+AN75,AM75*tun_KHMaxRatio)</x:f>
        <x:v>5.796333564908222</x:v>
      </x:c>
      <x:c r="AP75" s="32" t="n">
        <x:f>AP74+AN75-AO75</x:f>
        <x:v>0</x:v>
      </x:c>
      <x:c r="AQ75" s="32" t="n">
        <x:f>AM75+AO75</x:f>
        <x:v>43.260049694017205</x:v>
      </x:c>
      <x:c r="AR75" s="10" t="n">
        <x:f>IF(H75=1,INDEX(tun_Req,G75),0)</x:f>
        <x:v>3321.0609999999997</x:v>
      </x:c>
      <x:c r="AS75" s="32" t="n">
        <x:f>IF(H75=1,IF(E75=1,AS74-AR74,AS74)+AQ75,0)</x:f>
        <x:v>70.62652592540189</x:v>
      </x:c>
      <x:c r="AT75" s="11" t="n">
        <x:f>IF(AR75&gt;0,MIN(1,AS75/AR75),1)</x:f>
        <x:v>0.021266253744029965</x:v>
      </x:c>
      <x:c r="AU75" s="10" t="n">
        <x:f>AB75/INDEX(tun_RepScale,G75)</x:f>
        <x:v>47.261958088017956</x:v>
      </x:c>
      <x:c r="AV75" s="32" t="n">
        <x:f>AM75*60/tun_SeasonSeconds</x:f>
        <x:v>149.85486451643592</x:v>
      </x:c>
    </x:row>
    <x:row r="76">
      <x:c r="A76" s="8" t="n">
        <x:f>A75+1</x:f>
        <x:v>73</x:v>
      </x:c>
      <x:c r="B76" s="9" t="n">
        <x:f>A76*tun_SeasonSeconds/60</x:f>
        <x:v>18.25</x:v>
      </x:c>
      <x:c r="C76" s="9" t="n">
        <x:f>A76/4</x:f>
        <x:v>18.25</x:v>
      </x:c>
      <x:c r="D76" s="8" t="n">
        <x:f>IF(MOD(A76,4)=0,1,0)</x:f>
        <x:v>0</x:v>
      </x:c>
      <x:c r="E76" s="8" t="n">
        <x:f>IF(AND(F75&lt;=9,AS75&gt;=AR75),1,0)</x:f>
        <x:v>0</x:v>
      </x:c>
      <x:c r="F76" s="8" t="n">
        <x:f>MIN(10,F75+E76)</x:f>
        <x:v>2</x:v>
      </x:c>
      <x:c r="G76" s="8" t="n">
        <x:f>MIN(F76,9)+1</x:f>
        <x:v>3</x:v>
      </x:c>
      <x:c r="H76" s="8" t="n">
        <x:f>IF(F76&lt;=9,1,0)</x:f>
        <x:v>1</x:v>
      </x:c>
      <x:c r="I76" s="9" t="n">
        <x:f>MIN(10,F75+IF(AR75&gt;0,MIN(1,AS75/AR75),1))</x:f>
        <x:v>2.02126625374403</x:v>
      </x:c>
      <x:c r="J76" s="32" t="n">
        <x:f>INDEX(tun_FoodCap,G76)*Arch_FoodCap*EXP(tun_CapsByProject*SUMPRODUCT((Cap_Point&lt;=I76)*(Cap_Kind="Food")*Cap_Ln))</x:f>
        <x:v>41.39198916308082</x:v>
      </x:c>
      <x:c r="K76" s="32" t="n">
        <x:f>J76*MIN(1,tun_LeanBase*EXP(tun_CapsByProject*SUMPRODUCT((Cap_Point&lt;=I76)*(Cap_Kind="Lean")*Cap_Ln)))</x:f>
        <x:v>41.39198916308082</x:v>
      </x:c>
      <x:c r="L76" s="10" t="n">
        <x:f>INDEX(tun_HousingCap,G76)*EXP(tun_CapsByProject*SUMPRODUCT((Cap_Point&lt;=I76)*(Cap_Kind="Housing")*Cap_Ln))</x:f>
        <x:v>90</x:v>
      </x:c>
      <x:c r="M76" s="10" t="n">
        <x:f>INDEX(tun_GroupCap,G76)*tun_CohesionFactor*EXP(tun_CapsByProject*SUMPRODUCT((Cap_Point&lt;=I76)*(Cap_Kind="Group")*Cap_Ln))</x:f>
        <x:v>50.000000000000014</x:v>
      </x:c>
      <x:c r="N76" s="32" t="n">
        <x:f>MIN(J76,L76,M76)</x:f>
        <x:v>41.39198916308082</x:v>
      </x:c>
      <x:c r="O76" s="10" t="n">
        <x:f>AE75*N76</x:f>
        <x:v>82.78397832616164</x:v>
      </x:c>
      <x:c r="P76" s="9" t="n">
        <x:f>MIN(1,(AB75/(AE75*IF(tun_GroupInCrowding=1,N76,MIN(J76,L76))))^tun_CrowdingExp)</x:f>
        <x:v>0.0346252170375427</x:v>
      </x:c>
      <x:c r="Q76" s="9" t="n">
        <x:f>IF(D76=1,INDEX(tun_WinterMult,G76),1)</x:f>
        <x:v>1</x:v>
      </x:c>
      <x:c r="R76" s="9" t="n">
        <x:f>H76*Z75*tun_WomenShare*tun_BaseFertility*INDEX(tun_FertMult,G76)*Arch_Fertility*(1-P76)</x:f>
        <x:v>1.3373648100197444</x:v>
      </x:c>
      <x:c r="S76" s="9" t="n">
        <x:f>H76*Y75*INDEX(tun_MortChild,G76)/4*Q76</x:f>
        <x:v>0.2309134683981504</x:v>
      </x:c>
      <x:c r="T76" s="9" t="n">
        <x:f>H76*Z75*INDEX(tun_MortAdult,G76)*Arch_AdultMort/4*Q76</x:f>
        <x:v>0.0491833931176642</x:v>
      </x:c>
      <x:c r="U76" s="9" t="n">
        <x:f>H76*AA75*INDEX(tun_MortElder,G76)/4*Q76</x:f>
        <x:v>0.06380270833979175</x:v>
      </x:c>
      <x:c r="V76" s="9" t="n">
        <x:f>H76*MAX(0,AB75-O76)*tun_OvercapLoss</x:f>
        <x:v>0</x:v>
      </x:c>
      <x:c r="W76" s="9" t="n">
        <x:f>H76*Y75/(tun_ChildYears*4)</x:f>
        <x:v>0.4712519763227559</x:v>
      </x:c>
      <x:c r="X76" s="9" t="n">
        <x:f>H76*Z75/(tun_AdultYears*4)</x:f>
        <x:v>0.13221342235931235</x:v>
      </x:c>
      <x:c r="Y76" s="32" t="n">
        <x:f>Y75+R76-S76-W76-Y75*V76/AB75</x:f>
        <x:v>27.025310039373167</x:v>
      </x:c>
      <x:c r="Z76" s="32" t="n">
        <x:f>Z75+W76-X76-T76-Z75*V76/AB75</x:f>
        <x:v>16.684319533400508</x:v>
      </x:c>
      <x:c r="AA76" s="32" t="n">
        <x:f>AA75+X76-U76-AA75*V76/AB75</x:f>
        <x:v>4.545793755408415</x:v>
      </x:c>
      <x:c r="AB76" s="10" t="n">
        <x:f>Y76+Z76+AA76</x:f>
        <x:v>48.25542332818209</x:v>
      </x:c>
      <x:c r="AC76" s="8" t="n">
        <x:f>IF(AND(tun_WinterTrigger=1,D76=1,AB75/AE75&gt;=K76),1,0)</x:f>
        <x:v>0</x:v>
      </x:c>
      <x:c r="AD76" s="8" t="n">
        <x:f>H76*IF(AND(OR(AB75/AE75&gt;=tun_FissionTrigger*N76,AC76=1),AB75/AE75*tun_DaughterShare&gt;=tun_MinDaughter),MAX(1,ROUND(AE75*tun_FissionRate,0)),0)</x:f>
        <x:v>0</x:v>
      </x:c>
      <x:c r="AE76" s="8" t="n">
        <x:f>IF(H76=1,MAX(1,MIN(INDEX(tun_Smax,G76),AE75+AD76)),AE75)</x:f>
        <x:v>2</x:v>
      </x:c>
      <x:c r="AF76" s="8" t="n">
        <x:f>MAX(0,AE76-AE75)</x:f>
        <x:v>0</x:v>
      </x:c>
      <x:c r="AG76" s="9" t="str">
        <x:f>IF(AF76&gt;0,B76,"")</x:f>
      </x:c>
      <x:c r="AH76" s="9" t="n">
        <x:f>IF(F76&gt;=1,1,(1+tun_LowTiesShare*(AE76-1))/AE76)</x:f>
        <x:v>1</x:v>
      </x:c>
      <x:c r="AI76" s="32" t="n">
        <x:f>(Z76+tun_ElderCommons*INDEX(LM_Elder,G76)*AA76)*AH76</x:f>
        <x:v>30.321700799625752</x:v>
      </x:c>
      <x:c r="AJ76" s="32" t="n">
        <x:f>H76*tun_CommonsCoef*AI76^tun_CommonsExp*INDEX(LM_Commons,G76)</x:f>
        <x:v>95.96755866343752</x:v>
      </x:c>
      <x:c r="AK76" s="32" t="n">
        <x:f>H76*tun_RoleScale*Arch_Roles*(AE76*(INDEX(tun_ElderRolePerSett,G76)*tun_OutElder*INDEX(LM_Elder,G76)+INDEX(tun_ShamanPerSett,G76)*tun_OutShaman)+Z76*(INDEX(tun_PriestShare,G76)*tun_OutPriest+INDEX(tun_ScribeShare,G76)*tun_OutScribe*INDEX(LM_Scribe,G76)+INDEX(tun_ScholarShare,G76)*tun_OutScholar*INDEX(LM_Scholar,G76)+INDEX(tun_ResearcherShare,G76)*tun_OutResearcher*INDEX(LM_Researcher,G76)))</x:f>
        <x:v>48</x:v>
      </x:c>
      <x:c r="AL76" s="32" t="n">
        <x:f>H76*tun_RoleScale*Arch_Roles*AE76*INDEX(tun_MonasteryPerSett,G76)*tun_OutMonastery*INDEX(LM_Monastery,G76)</x:f>
        <x:v>0</x:v>
      </x:c>
      <x:c r="AM76" s="32" t="n">
        <x:f>(AJ76+AK76+AL76)/4*INDEX(LM_All,G76)*INDEX(tun_Boon,G76)*Arch_Insight</x:f>
        <x:v>37.813979080193505</x:v>
      </x:c>
      <x:c r="AN76" s="32" t="n">
        <x:f>H76*(tun_KHPerAdult*Z76+tun_KHOfCommons*AJ76/4*INDEX(LM_All,G76))*tun_KHUsable*Arch_KH</x:f>
        <x:v>5.878012968135548</x:v>
      </x:c>
      <x:c r="AO76" s="32" t="n">
        <x:f>MIN(AP75+AN76,AM76*tun_KHMaxRatio)</x:f>
        <x:v>5.878012968135548</x:v>
      </x:c>
      <x:c r="AP76" s="32" t="n">
        <x:f>AP75+AN76-AO76</x:f>
        <x:v>0</x:v>
      </x:c>
      <x:c r="AQ76" s="32" t="n">
        <x:f>AM76+AO76</x:f>
        <x:v>43.691992048329055</x:v>
      </x:c>
      <x:c r="AR76" s="10" t="n">
        <x:f>IF(H76=1,INDEX(tun_Req,G76),0)</x:f>
        <x:v>3321.0609999999997</x:v>
      </x:c>
      <x:c r="AS76" s="32" t="n">
        <x:f>IF(H76=1,IF(E76=1,AS75-AR75,AS75)+AQ76,0)</x:f>
        <x:v>114.31851797373095</x:v>
      </x:c>
      <x:c r="AT76" s="11" t="n">
        <x:f>IF(AR76&gt;0,MIN(1,AS76/AR76),1)</x:f>
        <x:v>0.03442228792958966</x:v>
      </x:c>
      <x:c r="AU76" s="10" t="n">
        <x:f>AB76/INDEX(tun_RepScale,G76)</x:f>
        <x:v>48.25542332818209</x:v>
      </x:c>
      <x:c r="AV76" s="32" t="n">
        <x:f>AM76*60/tun_SeasonSeconds</x:f>
        <x:v>151.25591632077402</x:v>
      </x:c>
    </x:row>
    <x:row r="77">
      <x:c r="A77" s="8" t="n">
        <x:f>A76+1</x:f>
        <x:v>74</x:v>
      </x:c>
      <x:c r="B77" s="9" t="n">
        <x:f>A77*tun_SeasonSeconds/60</x:f>
        <x:v>18.5</x:v>
      </x:c>
      <x:c r="C77" s="9" t="n">
        <x:f>A77/4</x:f>
        <x:v>18.5</x:v>
      </x:c>
      <x:c r="D77" s="8" t="n">
        <x:f>IF(MOD(A77,4)=0,1,0)</x:f>
        <x:v>0</x:v>
      </x:c>
      <x:c r="E77" s="8" t="n">
        <x:f>IF(AND(F76&lt;=9,AS76&gt;=AR76),1,0)</x:f>
        <x:v>0</x:v>
      </x:c>
      <x:c r="F77" s="8" t="n">
        <x:f>MIN(10,F76+E77)</x:f>
        <x:v>2</x:v>
      </x:c>
      <x:c r="G77" s="8" t="n">
        <x:f>MIN(F77,9)+1</x:f>
        <x:v>3</x:v>
      </x:c>
      <x:c r="H77" s="8" t="n">
        <x:f>IF(F77&lt;=9,1,0)</x:f>
        <x:v>1</x:v>
      </x:c>
      <x:c r="I77" s="9" t="n">
        <x:f>MIN(10,F76+IF(AR76&gt;0,MIN(1,AS76/AR76),1))</x:f>
        <x:v>2.0344222879295897</x:v>
      </x:c>
      <x:c r="J77" s="32" t="n">
        <x:f>INDEX(tun_FoodCap,G77)*Arch_FoodCap*EXP(tun_CapsByProject*SUMPRODUCT((Cap_Point&lt;=I77)*(Cap_Kind="Food")*Cap_Ln))</x:f>
        <x:v>41.39198916308082</x:v>
      </x:c>
      <x:c r="K77" s="32" t="n">
        <x:f>J77*MIN(1,tun_LeanBase*EXP(tun_CapsByProject*SUMPRODUCT((Cap_Point&lt;=I77)*(Cap_Kind="Lean")*Cap_Ln)))</x:f>
        <x:v>41.39198916308082</x:v>
      </x:c>
      <x:c r="L77" s="10" t="n">
        <x:f>INDEX(tun_HousingCap,G77)*EXP(tun_CapsByProject*SUMPRODUCT((Cap_Point&lt;=I77)*(Cap_Kind="Housing")*Cap_Ln))</x:f>
        <x:v>90</x:v>
      </x:c>
      <x:c r="M77" s="10" t="n">
        <x:f>INDEX(tun_GroupCap,G77)*tun_CohesionFactor*EXP(tun_CapsByProject*SUMPRODUCT((Cap_Point&lt;=I77)*(Cap_Kind="Group")*Cap_Ln))</x:f>
        <x:v>50.000000000000014</x:v>
      </x:c>
      <x:c r="N77" s="32" t="n">
        <x:f>MIN(J77,L77,M77)</x:f>
        <x:v>41.39198916308082</x:v>
      </x:c>
      <x:c r="O77" s="10" t="n">
        <x:f>AE76*N77</x:f>
        <x:v>82.78397832616164</x:v>
      </x:c>
      <x:c r="P77" s="9" t="n">
        <x:f>MIN(1,(AB76/(AE76*IF(tun_GroupInCrowding=1,N77,MIN(J77,L77))))^tun_CrowdingExp)</x:f>
        <x:v>0.039228257674583315</x:v>
      </x:c>
      <x:c r="Q77" s="9" t="n">
        <x:f>IF(D77=1,INDEX(tun_WinterMult,G77),1)</x:f>
        <x:v>1</x:v>
      </x:c>
      <x:c r="R77" s="9" t="n">
        <x:f>H77*Z76*tun_WomenShare*tun_BaseFertility*INDEX(tun_FertMult,G77)*Arch_Fertility*(1-P77)</x:f>
        <x:v>1.3545200221738216</x:v>
      </x:c>
      <x:c r="S77" s="9" t="n">
        <x:f>H77*Y76*INDEX(tun_MortChild,G77)/4*Q77</x:f>
        <x:v>0.23647146284451523</x:v>
      </x:c>
      <x:c r="T77" s="9" t="n">
        <x:f>H77*Z76*INDEX(tun_MortAdult,G77)*Arch_AdultMort/4*Q77</x:f>
        <x:v>0.05005295860020152</x:v>
      </x:c>
      <x:c r="U77" s="9" t="n">
        <x:f>H77*AA76*INDEX(tun_MortElder,G77)/4*Q77</x:f>
        <x:v>0.06477756101456991</x:v>
      </x:c>
      <x:c r="V77" s="9" t="n">
        <x:f>H77*MAX(0,AB76-O77)*tun_OvercapLoss</x:f>
        <x:v>0</x:v>
      </x:c>
      <x:c r="W77" s="9" t="n">
        <x:f>H77*Y76/(tun_ChildYears*4)</x:f>
        <x:v>0.4825948221316637</x:v>
      </x:c>
      <x:c r="X77" s="9" t="n">
        <x:f>H77*Z76/(tun_AdultYears*4)</x:f>
        <x:v>0.13455096397903635</x:v>
      </x:c>
      <x:c r="Y77" s="32" t="n">
        <x:f>Y76+R77-S77-W77-Y76*V77/AB76</x:f>
        <x:v>27.66076377657081</x:v>
      </x:c>
      <x:c r="Z77" s="32" t="n">
        <x:f>Z76+W77-X77-T77-Z76*V77/AB76</x:f>
        <x:v>16.982310432952932</x:v>
      </x:c>
      <x:c r="AA77" s="32" t="n">
        <x:f>AA76+X77-U77-AA76*V77/AB76</x:f>
        <x:v>4.615567158372881</x:v>
      </x:c>
      <x:c r="AB77" s="10" t="n">
        <x:f>Y77+Z77+AA77</x:f>
        <x:v>49.25864136789663</x:v>
      </x:c>
      <x:c r="AC77" s="8" t="n">
        <x:f>IF(AND(tun_WinterTrigger=1,D77=1,AB76/AE76&gt;=K77),1,0)</x:f>
        <x:v>0</x:v>
      </x:c>
      <x:c r="AD77" s="8" t="n">
        <x:f>H77*IF(AND(OR(AB76/AE76&gt;=tun_FissionTrigger*N77,AC77=1),AB76/AE76*tun_DaughterShare&gt;=tun_MinDaughter),MAX(1,ROUND(AE76*tun_FissionRate,0)),0)</x:f>
        <x:v>0</x:v>
      </x:c>
      <x:c r="AE77" s="8" t="n">
        <x:f>IF(H77=1,MAX(1,MIN(INDEX(tun_Smax,G77),AE76+AD77)),AE76)</x:f>
        <x:v>2</x:v>
      </x:c>
      <x:c r="AF77" s="8" t="n">
        <x:f>MAX(0,AE77-AE76)</x:f>
        <x:v>0</x:v>
      </x:c>
      <x:c r="AG77" s="9" t="str">
        <x:f>IF(AF77&gt;0,B77,"")</x:f>
      </x:c>
      <x:c r="AH77" s="9" t="n">
        <x:f>IF(F77&gt;=1,1,(1+tun_LowTiesShare*(AE77-1))/AE77)</x:f>
        <x:v>1</x:v>
      </x:c>
      <x:c r="AI77" s="32" t="n">
        <x:f>(Z77+tun_ElderCommons*INDEX(LM_Elder,G77)*AA77)*AH77</x:f>
        <x:v>30.829011908071575</x:v>
      </x:c>
      <x:c r="AJ77" s="32" t="n">
        <x:f>H77*tun_CommonsCoef*AI77^tun_CommonsExp*INDEX(LM_Commons,G77)</x:f>
        <x:v>97.33064181759251</x:v>
      </x:c>
      <x:c r="AK77" s="32" t="n">
        <x:f>H77*tun_RoleScale*Arch_Roles*(AE77*(INDEX(tun_ElderRolePerSett,G77)*tun_OutElder*INDEX(LM_Elder,G77)+INDEX(tun_ShamanPerSett,G77)*tun_OutShaman)+Z77*(INDEX(tun_PriestShare,G77)*tun_OutPriest+INDEX(tun_ScribeShare,G77)*tun_OutScribe*INDEX(LM_Scribe,G77)+INDEX(tun_ScholarShare,G77)*tun_OutScholar*INDEX(LM_Scholar,G77)+INDEX(tun_ResearcherShare,G77)*tun_OutResearcher*INDEX(LM_Researcher,G77)))</x:f>
        <x:v>48</x:v>
      </x:c>
      <x:c r="AL77" s="32" t="n">
        <x:f>H77*tun_RoleScale*Arch_Roles*AE77*INDEX(tun_MonasteryPerSett,G77)*tun_OutMonastery*INDEX(LM_Monastery,G77)</x:f>
        <x:v>0</x:v>
      </x:c>
      <x:c r="AM77" s="32" t="n">
        <x:f>(AJ77+AK77+AL77)/4*INDEX(LM_All,G77)*INDEX(tun_Boon,G77)*Arch_Insight</x:f>
        <x:v>38.17200138990203</x:v>
      </x:c>
      <x:c r="AN77" s="32" t="n">
        <x:f>H77*(tun_KHPerAdult*Z77+tun_KHOfCommons*AJ77/4*INDEX(LM_All,G77))*tun_KHUsable*Arch_KH</x:f>
        <x:v>5.96150181132754</x:v>
      </x:c>
      <x:c r="AO77" s="32" t="n">
        <x:f>MIN(AP76+AN77,AM77*tun_KHMaxRatio)</x:f>
        <x:v>5.96150181132754</x:v>
      </x:c>
      <x:c r="AP77" s="32" t="n">
        <x:f>AP76+AN77-AO77</x:f>
        <x:v>0</x:v>
      </x:c>
      <x:c r="AQ77" s="32" t="n">
        <x:f>AM77+AO77</x:f>
        <x:v>44.13350320122957</x:v>
      </x:c>
      <x:c r="AR77" s="10" t="n">
        <x:f>IF(H77=1,INDEX(tun_Req,G77),0)</x:f>
        <x:v>3321.0609999999997</x:v>
      </x:c>
      <x:c r="AS77" s="32" t="n">
        <x:f>IF(H77=1,IF(E77=1,AS76-AR76,AS76)+AQ77,0)</x:f>
        <x:v>158.45202117496052</x:v>
      </x:c>
      <x:c r="AT77" s="11" t="n">
        <x:f>IF(AR77&gt;0,MIN(1,AS77/AR77),1)</x:f>
        <x:v>0.047711264916531354</x:v>
      </x:c>
      <x:c r="AU77" s="10" t="n">
        <x:f>AB77/INDEX(tun_RepScale,G77)</x:f>
        <x:v>49.25864136789663</x:v>
      </x:c>
      <x:c r="AV77" s="32" t="n">
        <x:f>AM77*60/tun_SeasonSeconds</x:f>
        <x:v>152.68800555960811</x:v>
      </x:c>
    </x:row>
    <x:row r="78">
      <x:c r="A78" s="8" t="n">
        <x:f>A77+1</x:f>
        <x:v>75</x:v>
      </x:c>
      <x:c r="B78" s="9" t="n">
        <x:f>A78*tun_SeasonSeconds/60</x:f>
        <x:v>18.75</x:v>
      </x:c>
      <x:c r="C78" s="9" t="n">
        <x:f>A78/4</x:f>
        <x:v>18.75</x:v>
      </x:c>
      <x:c r="D78" s="8" t="n">
        <x:f>IF(MOD(A78,4)=0,1,0)</x:f>
        <x:v>0</x:v>
      </x:c>
      <x:c r="E78" s="8" t="n">
        <x:f>IF(AND(F77&lt;=9,AS77&gt;=AR77),1,0)</x:f>
        <x:v>0</x:v>
      </x:c>
      <x:c r="F78" s="8" t="n">
        <x:f>MIN(10,F77+E78)</x:f>
        <x:v>2</x:v>
      </x:c>
      <x:c r="G78" s="8" t="n">
        <x:f>MIN(F78,9)+1</x:f>
        <x:v>3</x:v>
      </x:c>
      <x:c r="H78" s="8" t="n">
        <x:f>IF(F78&lt;=9,1,0)</x:f>
        <x:v>1</x:v>
      </x:c>
      <x:c r="I78" s="9" t="n">
        <x:f>MIN(10,F77+IF(AR77&gt;0,MIN(1,AS77/AR77),1))</x:f>
        <x:v>2.0477112649165314</x:v>
      </x:c>
      <x:c r="J78" s="32" t="n">
        <x:f>INDEX(tun_FoodCap,G78)*Arch_FoodCap*EXP(tun_CapsByProject*SUMPRODUCT((Cap_Point&lt;=I78)*(Cap_Kind="Food")*Cap_Ln))</x:f>
        <x:v>41.39198916308082</x:v>
      </x:c>
      <x:c r="K78" s="32" t="n">
        <x:f>J78*MIN(1,tun_LeanBase*EXP(tun_CapsByProject*SUMPRODUCT((Cap_Point&lt;=I78)*(Cap_Kind="Lean")*Cap_Ln)))</x:f>
        <x:v>41.39198916308082</x:v>
      </x:c>
      <x:c r="L78" s="10" t="n">
        <x:f>INDEX(tun_HousingCap,G78)*EXP(tun_CapsByProject*SUMPRODUCT((Cap_Point&lt;=I78)*(Cap_Kind="Housing")*Cap_Ln))</x:f>
        <x:v>90</x:v>
      </x:c>
      <x:c r="M78" s="10" t="n">
        <x:f>INDEX(tun_GroupCap,G78)*tun_CohesionFactor*EXP(tun_CapsByProject*SUMPRODUCT((Cap_Point&lt;=I78)*(Cap_Kind="Group")*Cap_Ln))</x:f>
        <x:v>50.000000000000014</x:v>
      </x:c>
      <x:c r="N78" s="32" t="n">
        <x:f>MIN(J78,L78,M78)</x:f>
        <x:v>41.39198916308082</x:v>
      </x:c>
      <x:c r="O78" s="10" t="n">
        <x:f>AE77*N78</x:f>
        <x:v>82.78397832616164</x:v>
      </x:c>
      <x:c r="P78" s="9" t="n">
        <x:f>MIN(1,(AB77/(AE77*IF(tun_GroupInCrowding=1,N78,MIN(J78,L78))))^tun_CrowdingExp)</x:f>
        <x:v>0.044383016396707095</x:v>
      </x:c>
      <x:c r="Q78" s="9" t="n">
        <x:f>IF(D78=1,INDEX(tun_WinterMult,G78),1)</x:f>
        <x:v>1</x:v>
      </x:c>
      <x:c r="R78" s="9" t="n">
        <x:f>H78*Z77*tun_WomenShare*tun_BaseFertility*INDEX(tun_FertMult,G78)*Arch_Fertility*(1-P78)</x:f>
        <x:v>1.3713153708617465</x:v>
      </x:c>
      <x:c r="S78" s="9" t="n">
        <x:f>H78*Y77*INDEX(tun_MortChild,G78)/4*Q78</x:f>
        <x:v>0.24203168304499462</x:v>
      </x:c>
      <x:c r="T78" s="9" t="n">
        <x:f>H78*Z77*INDEX(tun_MortAdult,G78)*Arch_AdultMort/4*Q78</x:f>
        <x:v>0.0509469312988588</x:v>
      </x:c>
      <x:c r="U78" s="9" t="n">
        <x:f>H78*AA77*INDEX(tun_MortElder,G78)/4*Q78</x:f>
        <x:v>0.06577183200681355</x:v>
      </x:c>
      <x:c r="V78" s="9" t="n">
        <x:f>H78*MAX(0,AB77-O78)*tun_OvercapLoss</x:f>
        <x:v>0</x:v>
      </x:c>
      <x:c r="W78" s="9" t="n">
        <x:f>H78*Y77/(tun_ChildYears*4)</x:f>
        <x:v>0.49394221029590735</x:v>
      </x:c>
      <x:c r="X78" s="9" t="n">
        <x:f>H78*Z77/(tun_AdultYears*4)</x:f>
        <x:v>0.13695411639478172</x:v>
      </x:c>
      <x:c r="Y78" s="32" t="n">
        <x:f>Y77+R78-S78-W78-Y77*V78/AB77</x:f>
        <x:v>28.296105254091657</x:v>
      </x:c>
      <x:c r="Z78" s="32" t="n">
        <x:f>Z77+W78-X78-T78-Z77*V78/AB77</x:f>
        <x:v>17.288351595555195</x:v>
      </x:c>
      <x:c r="AA78" s="32" t="n">
        <x:f>AA77+X78-U78-AA77*V78/AB77</x:f>
        <x:v>4.686749442760849</x:v>
      </x:c>
      <x:c r="AB78" s="10" t="n">
        <x:f>Y78+Z78+AA78</x:f>
        <x:v>50.271206292407705</x:v>
      </x:c>
      <x:c r="AC78" s="8" t="n">
        <x:f>IF(AND(tun_WinterTrigger=1,D78=1,AB77/AE77&gt;=K78),1,0)</x:f>
        <x:v>0</x:v>
      </x:c>
      <x:c r="AD78" s="8" t="n">
        <x:f>H78*IF(AND(OR(AB77/AE77&gt;=tun_FissionTrigger*N78,AC78=1),AB77/AE77*tun_DaughterShare&gt;=tun_MinDaughter),MAX(1,ROUND(AE77*tun_FissionRate,0)),0)</x:f>
        <x:v>0</x:v>
      </x:c>
      <x:c r="AE78" s="8" t="n">
        <x:f>IF(H78=1,MAX(1,MIN(INDEX(tun_Smax,G78),AE77+AD78)),AE77)</x:f>
        <x:v>2</x:v>
      </x:c>
      <x:c r="AF78" s="8" t="n">
        <x:f>MAX(0,AE78-AE77)</x:f>
        <x:v>0</x:v>
      </x:c>
      <x:c r="AG78" s="9" t="str">
        <x:f>IF(AF78&gt;0,B78,"")</x:f>
      </x:c>
      <x:c r="AH78" s="9" t="n">
        <x:f>IF(F78&gt;=1,1,(1+tun_LowTiesShare*(AE78-1))/AE78)</x:f>
        <x:v>1</x:v>
      </x:c>
      <x:c r="AI78" s="32" t="n">
        <x:f>(Z78+tun_ElderCommons*INDEX(LM_Elder,G78)*AA78)*AH78</x:f>
        <x:v>31.348599923837742</x:v>
      </x:c>
      <x:c r="AJ78" s="32" t="n">
        <x:f>H78*tun_CommonsCoef*AI78^tun_CommonsExp*INDEX(LM_Commons,G78)</x:f>
        <x:v>98.7232285060614</x:v>
      </x:c>
      <x:c r="AK78" s="32" t="n">
        <x:f>H78*tun_RoleScale*Arch_Roles*(AE78*(INDEX(tun_ElderRolePerSett,G78)*tun_OutElder*INDEX(LM_Elder,G78)+INDEX(tun_ShamanPerSett,G78)*tun_OutShaman)+Z78*(INDEX(tun_PriestShare,G78)*tun_OutPriest+INDEX(tun_ScribeShare,G78)*tun_OutScribe*INDEX(LM_Scribe,G78)+INDEX(tun_ScholarShare,G78)*tun_OutScholar*INDEX(LM_Scholar,G78)+INDEX(tun_ResearcherShare,G78)*tun_OutResearcher*INDEX(LM_Researcher,G78)))</x:f>
        <x:v>48</x:v>
      </x:c>
      <x:c r="AL78" s="32" t="n">
        <x:f>H78*tun_RoleScale*Arch_Roles*AE78*INDEX(tun_MonasteryPerSett,G78)*tun_OutMonastery*INDEX(LM_Monastery,G78)</x:f>
        <x:v>0</x:v>
      </x:c>
      <x:c r="AM78" s="32" t="n">
        <x:f>(AJ78+AK78+AL78)/4*INDEX(LM_All,G78)*INDEX(tun_Boon,G78)*Arch_Insight</x:f>
        <x:v>38.537772987295185</x:v>
      </x:c>
      <x:c r="AN78" s="32" t="n">
        <x:f>H78*(tun_KHPerAdult*Z78+tun_KHOfCommons*AJ78/4*INDEX(LM_All,G78))*tun_KHUsable*Arch_KH</x:f>
        <x:v>6.04679774599626</x:v>
      </x:c>
      <x:c r="AO78" s="32" t="n">
        <x:f>MIN(AP77+AN78,AM78*tun_KHMaxRatio)</x:f>
        <x:v>6.04679774599626</x:v>
      </x:c>
      <x:c r="AP78" s="32" t="n">
        <x:f>AP77+AN78-AO78</x:f>
        <x:v>0</x:v>
      </x:c>
      <x:c r="AQ78" s="32" t="n">
        <x:f>AM78+AO78</x:f>
        <x:v>44.58457073329144</x:v>
      </x:c>
      <x:c r="AR78" s="10" t="n">
        <x:f>IF(H78=1,INDEX(tun_Req,G78),0)</x:f>
        <x:v>3321.0609999999997</x:v>
      </x:c>
      <x:c r="AS78" s="32" t="n">
        <x:f>IF(H78=1,IF(E78=1,AS77-AR77,AS77)+AQ78,0)</x:f>
        <x:v>203.03659190825198</x:v>
      </x:c>
      <x:c r="AT78" s="11" t="n">
        <x:f>IF(AR78&gt;0,MIN(1,AS78/AR78),1)</x:f>
        <x:v>0.06113606221272418</x:v>
      </x:c>
      <x:c r="AU78" s="10" t="n">
        <x:f>AB78/INDEX(tun_RepScale,G78)</x:f>
        <x:v>50.271206292407705</x:v>
      </x:c>
      <x:c r="AV78" s="32" t="n">
        <x:f>AM78*60/tun_SeasonSeconds</x:f>
        <x:v>154.15109194918074</x:v>
      </x:c>
    </x:row>
    <x:row r="79">
      <x:c r="A79" s="8" t="n">
        <x:f>A78+1</x:f>
        <x:v>76</x:v>
      </x:c>
      <x:c r="B79" s="9" t="n">
        <x:f>A79*tun_SeasonSeconds/60</x:f>
        <x:v>19</x:v>
      </x:c>
      <x:c r="C79" s="9" t="n">
        <x:f>A79/4</x:f>
        <x:v>19</x:v>
      </x:c>
      <x:c r="D79" s="8" t="n">
        <x:f>IF(MOD(A79,4)=0,1,0)</x:f>
        <x:v>1</x:v>
      </x:c>
      <x:c r="E79" s="8" t="n">
        <x:f>IF(AND(F78&lt;=9,AS78&gt;=AR78),1,0)</x:f>
        <x:v>0</x:v>
      </x:c>
      <x:c r="F79" s="8" t="n">
        <x:f>MIN(10,F78+E79)</x:f>
        <x:v>2</x:v>
      </x:c>
      <x:c r="G79" s="8" t="n">
        <x:f>MIN(F79,9)+1</x:f>
        <x:v>3</x:v>
      </x:c>
      <x:c r="H79" s="8" t="n">
        <x:f>IF(F79&lt;=9,1,0)</x:f>
        <x:v>1</x:v>
      </x:c>
      <x:c r="I79" s="9" t="n">
        <x:f>MIN(10,F78+IF(AR78&gt;0,MIN(1,AS78/AR78),1))</x:f>
        <x:v>2.061136062212724</x:v>
      </x:c>
      <x:c r="J79" s="32" t="n">
        <x:f>INDEX(tun_FoodCap,G79)*Arch_FoodCap*EXP(tun_CapsByProject*SUMPRODUCT((Cap_Point&lt;=I79)*(Cap_Kind="Food")*Cap_Ln))</x:f>
        <x:v>41.39198916308082</x:v>
      </x:c>
      <x:c r="K79" s="32" t="n">
        <x:f>J79*MIN(1,tun_LeanBase*EXP(tun_CapsByProject*SUMPRODUCT((Cap_Point&lt;=I79)*(Cap_Kind="Lean")*Cap_Ln)))</x:f>
        <x:v>41.39198916308082</x:v>
      </x:c>
      <x:c r="L79" s="10" t="n">
        <x:f>INDEX(tun_HousingCap,G79)*EXP(tun_CapsByProject*SUMPRODUCT((Cap_Point&lt;=I79)*(Cap_Kind="Housing")*Cap_Ln))</x:f>
        <x:v>90</x:v>
      </x:c>
      <x:c r="M79" s="10" t="n">
        <x:f>INDEX(tun_GroupCap,G79)*tun_CohesionFactor*EXP(tun_CapsByProject*SUMPRODUCT((Cap_Point&lt;=I79)*(Cap_Kind="Group")*Cap_Ln))</x:f>
        <x:v>50.000000000000014</x:v>
      </x:c>
      <x:c r="N79" s="32" t="n">
        <x:f>MIN(J79,L79,M79)</x:f>
        <x:v>41.39198916308082</x:v>
      </x:c>
      <x:c r="O79" s="10" t="n">
        <x:f>AE78*N79</x:f>
        <x:v>82.78397832616164</x:v>
      </x:c>
      <x:c r="P79" s="9" t="n">
        <x:f>MIN(1,(AB78/(AE78*IF(tun_GroupInCrowding=1,N79,MIN(J79,L79))))^tun_CrowdingExp)</x:f>
        <x:v>0.05014620587143746</x:v>
      </x:c>
      <x:c r="Q79" s="9" t="n">
        <x:f>IF(D79=1,INDEX(tun_WinterMult,G79),1)</x:f>
        <x:v>1.4</x:v>
      </x:c>
      <x:c r="R79" s="9" t="n">
        <x:f>H79*Z78*tun_WomenShare*tun_BaseFertility*INDEX(tun_FertMult,G79)*Arch_Fertility*(1-P79)</x:f>
        <x:v>1.3876088371890354</x:v>
      </x:c>
      <x:c r="S79" s="9" t="n">
        <x:f>H79*Y78*INDEX(tun_MortChild,G79)/4*Q79</x:f>
        <x:v>0.3466272893626228</x:v>
      </x:c>
      <x:c r="T79" s="9" t="n">
        <x:f>H79*Z78*INDEX(tun_MortAdult,G79)*Arch_AdultMort/4*Q79</x:f>
        <x:v>0.07261107670133182</x:v>
      </x:c>
      <x:c r="U79" s="9" t="n">
        <x:f>H79*AA78*INDEX(tun_MortElder,G79)/4*Q79</x:f>
        <x:v>0.09350065138307893</x:v>
      </x:c>
      <x:c r="V79" s="9" t="n">
        <x:f>H79*MAX(0,AB78-O79)*tun_OvercapLoss</x:f>
        <x:v>0</x:v>
      </x:c>
      <x:c r="W79" s="9" t="n">
        <x:f>H79*Y78/(tun_ChildYears*4)</x:f>
        <x:v>0.5052875938230653</x:v>
      </x:c>
      <x:c r="X79" s="9" t="n">
        <x:f>H79*Z78/(tun_AdultYears*4)</x:f>
        <x:v>0.13942219028673544</x:v>
      </x:c>
      <x:c r="Y79" s="32" t="n">
        <x:f>Y78+R79-S79-W79-Y78*V79/AB78</x:f>
        <x:v>28.831799208095003</x:v>
      </x:c>
      <x:c r="Z79" s="32" t="n">
        <x:f>Z78+W79-X79-T79-Z78*V79/AB78</x:f>
        <x:v>17.581605922390192</x:v>
      </x:c>
      <x:c r="AA79" s="32" t="n">
        <x:f>AA78+X79-U79-AA78*V79/AB78</x:f>
        <x:v>4.732670981664506</x:v>
      </x:c>
      <x:c r="AB79" s="10" t="n">
        <x:f>Y79+Z79+AA79</x:f>
        <x:v>51.1460761121497</x:v>
      </x:c>
      <x:c r="AC79" s="8" t="n">
        <x:f>IF(AND(tun_WinterTrigger=1,D79=1,AB78/AE78&gt;=K79),1,0)</x:f>
        <x:v>0</x:v>
      </x:c>
      <x:c r="AD79" s="8" t="n">
        <x:f>H79*IF(AND(OR(AB78/AE78&gt;=tun_FissionTrigger*N79,AC79=1),AB78/AE78*tun_DaughterShare&gt;=tun_MinDaughter),MAX(1,ROUND(AE78*tun_FissionRate,0)),0)</x:f>
        <x:v>0</x:v>
      </x:c>
      <x:c r="AE79" s="8" t="n">
        <x:f>IF(H79=1,MAX(1,MIN(INDEX(tun_Smax,G79),AE78+AD79)),AE78)</x:f>
        <x:v>2</x:v>
      </x:c>
      <x:c r="AF79" s="8" t="n">
        <x:f>MAX(0,AE79-AE78)</x:f>
        <x:v>0</x:v>
      </x:c>
      <x:c r="AG79" s="9" t="str">
        <x:f>IF(AF79&gt;0,B79,"")</x:f>
      </x:c>
      <x:c r="AH79" s="9" t="n">
        <x:f>IF(F79&gt;=1,1,(1+tun_LowTiesShare*(AE79-1))/AE79)</x:f>
        <x:v>1</x:v>
      </x:c>
      <x:c r="AI79" s="32" t="n">
        <x:f>(Z79+tun_ElderCommons*INDEX(LM_Elder,G79)*AA79)*AH79</x:f>
        <x:v>31.77961886738371</x:v>
      </x:c>
      <x:c r="AJ79" s="32" t="n">
        <x:f>H79*tun_CommonsCoef*AI79^tun_CommonsExp*INDEX(LM_Commons,G79)</x:f>
        <x:v>99.87580765189921</x:v>
      </x:c>
      <x:c r="AK79" s="32" t="n">
        <x:f>H79*tun_RoleScale*Arch_Roles*(AE79*(INDEX(tun_ElderRolePerSett,G79)*tun_OutElder*INDEX(LM_Elder,G79)+INDEX(tun_ShamanPerSett,G79)*tun_OutShaman)+Z79*(INDEX(tun_PriestShare,G79)*tun_OutPriest+INDEX(tun_ScribeShare,G79)*tun_OutScribe*INDEX(LM_Scribe,G79)+INDEX(tun_ScholarShare,G79)*tun_OutScholar*INDEX(LM_Scholar,G79)+INDEX(tun_ResearcherShare,G79)*tun_OutResearcher*INDEX(LM_Researcher,G79)))</x:f>
        <x:v>48</x:v>
      </x:c>
      <x:c r="AL79" s="32" t="n">
        <x:f>H79*tun_RoleScale*Arch_Roles*AE79*INDEX(tun_MonasteryPerSett,G79)*tun_OutMonastery*INDEX(LM_Monastery,G79)</x:f>
        <x:v>0</x:v>
      </x:c>
      <x:c r="AM79" s="32" t="n">
        <x:f>(AJ79+AK79+AL79)/4*INDEX(LM_All,G79)*INDEX(tun_Boon,G79)*Arch_Insight</x:f>
        <x:v>38.84050510356915</x:v>
      </x:c>
      <x:c r="AN79" s="32" t="n">
        <x:f>H79*(tun_KHPerAdult*Z79+tun_KHOfCommons*AJ79/4*INDEX(LM_All,G79))*tun_KHUsable*Arch_KH</x:f>
        <x:v>6.117393218678826</x:v>
      </x:c>
      <x:c r="AO79" s="32" t="n">
        <x:f>MIN(AP78+AN79,AM79*tun_KHMaxRatio)</x:f>
        <x:v>6.117393218678826</x:v>
      </x:c>
      <x:c r="AP79" s="32" t="n">
        <x:f>AP78+AN79-AO79</x:f>
        <x:v>0</x:v>
      </x:c>
      <x:c r="AQ79" s="32" t="n">
        <x:f>AM79+AO79</x:f>
        <x:v>44.95789832224798</x:v>
      </x:c>
      <x:c r="AR79" s="10" t="n">
        <x:f>IF(H79=1,INDEX(tun_Req,G79),0)</x:f>
        <x:v>3321.0609999999997</x:v>
      </x:c>
      <x:c r="AS79" s="32" t="n">
        <x:f>IF(H79=1,IF(E79=1,AS78-AR78,AS78)+AQ79,0)</x:f>
        <x:v>247.99449023049996</x:v>
      </x:c>
      <x:c r="AT79" s="11" t="n">
        <x:f>IF(AR79&gt;0,MIN(1,AS79/AR79),1)</x:f>
        <x:v>0.07467327165339631</x:v>
      </x:c>
      <x:c r="AU79" s="10" t="n">
        <x:f>AB79/INDEX(tun_RepScale,G79)</x:f>
        <x:v>51.1460761121497</x:v>
      </x:c>
      <x:c r="AV79" s="32" t="n">
        <x:f>AM79*60/tun_SeasonSeconds</x:f>
        <x:v>155.3620204142766</x:v>
      </x:c>
    </x:row>
    <x:row r="80">
      <x:c r="A80" s="8" t="n">
        <x:f>A79+1</x:f>
        <x:v>77</x:v>
      </x:c>
      <x:c r="B80" s="9" t="n">
        <x:f>A80*tun_SeasonSeconds/60</x:f>
        <x:v>19.25</x:v>
      </x:c>
      <x:c r="C80" s="9" t="n">
        <x:f>A80/4</x:f>
        <x:v>19.25</x:v>
      </x:c>
      <x:c r="D80" s="8" t="n">
        <x:f>IF(MOD(A80,4)=0,1,0)</x:f>
        <x:v>0</x:v>
      </x:c>
      <x:c r="E80" s="8" t="n">
        <x:f>IF(AND(F79&lt;=9,AS79&gt;=AR79),1,0)</x:f>
        <x:v>0</x:v>
      </x:c>
      <x:c r="F80" s="8" t="n">
        <x:f>MIN(10,F79+E80)</x:f>
        <x:v>2</x:v>
      </x:c>
      <x:c r="G80" s="8" t="n">
        <x:f>MIN(F80,9)+1</x:f>
        <x:v>3</x:v>
      </x:c>
      <x:c r="H80" s="8" t="n">
        <x:f>IF(F80&lt;=9,1,0)</x:f>
        <x:v>1</x:v>
      </x:c>
      <x:c r="I80" s="9" t="n">
        <x:f>MIN(10,F79+IF(AR79&gt;0,MIN(1,AS79/AR79),1))</x:f>
        <x:v>2.0746732716533964</x:v>
      </x:c>
      <x:c r="J80" s="32" t="n">
        <x:f>INDEX(tun_FoodCap,G80)*Arch_FoodCap*EXP(tun_CapsByProject*SUMPRODUCT((Cap_Point&lt;=I80)*(Cap_Kind="Food")*Cap_Ln))</x:f>
        <x:v>41.39198916308082</x:v>
      </x:c>
      <x:c r="K80" s="32" t="n">
        <x:f>J80*MIN(1,tun_LeanBase*EXP(tun_CapsByProject*SUMPRODUCT((Cap_Point&lt;=I80)*(Cap_Kind="Lean")*Cap_Ln)))</x:f>
        <x:v>41.39198916308082</x:v>
      </x:c>
      <x:c r="L80" s="10" t="n">
        <x:f>INDEX(tun_HousingCap,G80)*EXP(tun_CapsByProject*SUMPRODUCT((Cap_Point&lt;=I80)*(Cap_Kind="Housing")*Cap_Ln))</x:f>
        <x:v>90</x:v>
      </x:c>
      <x:c r="M80" s="10" t="n">
        <x:f>INDEX(tun_GroupCap,G80)*tun_CohesionFactor*EXP(tun_CapsByProject*SUMPRODUCT((Cap_Point&lt;=I80)*(Cap_Kind="Group")*Cap_Ln))</x:f>
        <x:v>50.000000000000014</x:v>
      </x:c>
      <x:c r="N80" s="32" t="n">
        <x:f>MIN(J80,L80,M80)</x:f>
        <x:v>41.39198916308082</x:v>
      </x:c>
      <x:c r="O80" s="10" t="n">
        <x:f>AE79*N80</x:f>
        <x:v>82.78397832616164</x:v>
      </x:c>
      <x:c r="P80" s="9" t="n">
        <x:f>MIN(1,(AB79/(AE79*IF(tun_GroupInCrowding=1,N80,MIN(J80,L80))))^tun_CrowdingExp)</x:f>
        <x:v>0.055615540659320006</x:v>
      </x:c>
      <x:c r="Q80" s="9" t="n">
        <x:f>IF(D80=1,INDEX(tun_WinterMult,G80),1)</x:f>
        <x:v>1</x:v>
      </x:c>
      <x:c r="R80" s="9" t="n">
        <x:f>H80*Z79*tun_WomenShare*tun_BaseFertility*INDEX(tun_FertMult,G80)*Arch_Fertility*(1-P80)</x:f>
        <x:v>1.403020711583697</x:v>
      </x:c>
      <x:c r="S80" s="9" t="n">
        <x:f>H80*Y79*INDEX(tun_MortChild,G80)/4*Q80</x:f>
        <x:v>0.2522782430708313</x:v>
      </x:c>
      <x:c r="T80" s="9" t="n">
        <x:f>H80*Z79*INDEX(tun_MortAdult,G80)*Arch_AdultMort/4*Q80</x:f>
        <x:v>0.052744817767170576</x:v>
      </x:c>
      <x:c r="U80" s="9" t="n">
        <x:f>H80*AA79*INDEX(tun_MortElder,G80)/4*Q80</x:f>
        <x:v>0.06744056148871921</x:v>
      </x:c>
      <x:c r="V80" s="9" t="n">
        <x:f>H80*MAX(0,AB79-O80)*tun_OvercapLoss</x:f>
        <x:v>0</x:v>
      </x:c>
      <x:c r="W80" s="9" t="n">
        <x:f>H80*Y79/(tun_ChildYears*4)</x:f>
        <x:v>0.5148535572874108</x:v>
      </x:c>
      <x:c r="X80" s="9" t="n">
        <x:f>H80*Z79/(tun_AdultYears*4)</x:f>
        <x:v>0.14178714453540478</x:v>
      </x:c>
      <x:c r="Y80" s="32" t="n">
        <x:f>Y79+R80-S80-W80-Y79*V80/AB79</x:f>
        <x:v>29.46768811932046</x:v>
      </x:c>
      <x:c r="Z80" s="32" t="n">
        <x:f>Z79+W80-X80-T80-Z79*V80/AB79</x:f>
        <x:v>17.90192751737503</x:v>
      </x:c>
      <x:c r="AA80" s="32" t="n">
        <x:f>AA79+X80-U80-AA79*V80/AB79</x:f>
        <x:v>4.807017564711192</x:v>
      </x:c>
      <x:c r="AB80" s="10" t="n">
        <x:f>Y80+Z80+AA80</x:f>
        <x:v>52.17663320140667</x:v>
      </x:c>
      <x:c r="AC80" s="8" t="n">
        <x:f>IF(AND(tun_WinterTrigger=1,D80=1,AB79/AE79&gt;=K80),1,0)</x:f>
        <x:v>0</x:v>
      </x:c>
      <x:c r="AD80" s="8" t="n">
        <x:f>H80*IF(AND(OR(AB79/AE79&gt;=tun_FissionTrigger*N80,AC80=1),AB79/AE79*tun_DaughterShare&gt;=tun_MinDaughter),MAX(1,ROUND(AE79*tun_FissionRate,0)),0)</x:f>
        <x:v>0</x:v>
      </x:c>
      <x:c r="AE80" s="8" t="n">
        <x:f>IF(H80=1,MAX(1,MIN(INDEX(tun_Smax,G80),AE79+AD80)),AE79)</x:f>
        <x:v>2</x:v>
      </x:c>
      <x:c r="AF80" s="8" t="n">
        <x:f>MAX(0,AE80-AE79)</x:f>
        <x:v>0</x:v>
      </x:c>
      <x:c r="AG80" s="9" t="str">
        <x:f>IF(AF80&gt;0,B80,"")</x:f>
      </x:c>
      <x:c r="AH80" s="9" t="n">
        <x:f>IF(F80&gt;=1,1,(1+tun_LowTiesShare*(AE80-1))/AE80)</x:f>
        <x:v>1</x:v>
      </x:c>
      <x:c r="AI80" s="32" t="n">
        <x:f>(Z80+tun_ElderCommons*INDEX(LM_Elder,G80)*AA80)*AH80</x:f>
        <x:v>32.32298021150861</x:v>
      </x:c>
      <x:c r="AJ80" s="32" t="n">
        <x:f>H80*tun_CommonsCoef*AI80^tun_CommonsExp*INDEX(LM_Commons,G80)</x:f>
        <x:v>101.32546592206597</x:v>
      </x:c>
      <x:c r="AK80" s="32" t="n">
        <x:f>H80*tun_RoleScale*Arch_Roles*(AE80*(INDEX(tun_ElderRolePerSett,G80)*tun_OutElder*INDEX(LM_Elder,G80)+INDEX(tun_ShamanPerSett,G80)*tun_OutShaman)+Z80*(INDEX(tun_PriestShare,G80)*tun_OutPriest+INDEX(tun_ScribeShare,G80)*tun_OutScribe*INDEX(LM_Scribe,G80)+INDEX(tun_ScholarShare,G80)*tun_OutScholar*INDEX(LM_Scholar,G80)+INDEX(tun_ResearcherShare,G80)*tun_OutResearcher*INDEX(LM_Researcher,G80)))</x:f>
        <x:v>48</x:v>
      </x:c>
      <x:c r="AL80" s="32" t="n">
        <x:f>H80*tun_RoleScale*Arch_Roles*AE80*INDEX(tun_MonasteryPerSett,G80)*tun_OutMonastery*INDEX(LM_Monastery,G80)</x:f>
        <x:v>0</x:v>
      </x:c>
      <x:c r="AM80" s="32" t="n">
        <x:f>(AJ80+AK80+AL80)/4*INDEX(LM_All,G80)*INDEX(tun_Boon,G80)*Arch_Insight</x:f>
        <x:v>39.22126690859264</x:v>
      </x:c>
      <x:c r="AN80" s="32" t="n">
        <x:f>H80*(tun_KHPerAdult*Z80+tun_KHOfCommons*AJ80/4*INDEX(LM_All,G80))*tun_KHUsable*Arch_KH</x:f>
        <x:v>6.20618478772654</x:v>
      </x:c>
      <x:c r="AO80" s="32" t="n">
        <x:f>MIN(AP79+AN80,AM80*tun_KHMaxRatio)</x:f>
        <x:v>6.20618478772654</x:v>
      </x:c>
      <x:c r="AP80" s="32" t="n">
        <x:f>AP79+AN80-AO80</x:f>
        <x:v>0</x:v>
      </x:c>
      <x:c r="AQ80" s="32" t="n">
        <x:f>AM80+AO80</x:f>
        <x:v>45.42745169631918</x:v>
      </x:c>
      <x:c r="AR80" s="10" t="n">
        <x:f>IF(H80=1,INDEX(tun_Req,G80),0)</x:f>
        <x:v>3321.0609999999997</x:v>
      </x:c>
      <x:c r="AS80" s="32" t="n">
        <x:f>IF(H80=1,IF(E80=1,AS79-AR79,AS79)+AQ80,0)</x:f>
        <x:v>293.42194192681916</x:v>
      </x:c>
      <x:c r="AT80" s="11" t="n">
        <x:f>IF(AR80&gt;0,MIN(1,AS80/AR80),1)</x:f>
        <x:v>0.0883518676491697</x:v>
      </x:c>
      <x:c r="AU80" s="10" t="n">
        <x:f>AB80/INDEX(tun_RepScale,G80)</x:f>
        <x:v>52.17663320140667</x:v>
      </x:c>
      <x:c r="AV80" s="32" t="n">
        <x:f>AM80*60/tun_SeasonSeconds</x:f>
        <x:v>156.88506763437056</x:v>
      </x:c>
    </x:row>
    <x:row r="81">
      <x:c r="A81" s="8" t="n">
        <x:f>A80+1</x:f>
        <x:v>78</x:v>
      </x:c>
      <x:c r="B81" s="9" t="n">
        <x:f>A81*tun_SeasonSeconds/60</x:f>
        <x:v>19.5</x:v>
      </x:c>
      <x:c r="C81" s="9" t="n">
        <x:f>A81/4</x:f>
        <x:v>19.5</x:v>
      </x:c>
      <x:c r="D81" s="8" t="n">
        <x:f>IF(MOD(A81,4)=0,1,0)</x:f>
        <x:v>0</x:v>
      </x:c>
      <x:c r="E81" s="8" t="n">
        <x:f>IF(AND(F80&lt;=9,AS80&gt;=AR80),1,0)</x:f>
        <x:v>0</x:v>
      </x:c>
      <x:c r="F81" s="8" t="n">
        <x:f>MIN(10,F80+E81)</x:f>
        <x:v>2</x:v>
      </x:c>
      <x:c r="G81" s="8" t="n">
        <x:f>MIN(F81,9)+1</x:f>
        <x:v>3</x:v>
      </x:c>
      <x:c r="H81" s="8" t="n">
        <x:f>IF(F81&lt;=9,1,0)</x:f>
        <x:v>1</x:v>
      </x:c>
      <x:c r="I81" s="9" t="n">
        <x:f>MIN(10,F80+IF(AR80&gt;0,MIN(1,AS80/AR80),1))</x:f>
        <x:v>2.0883518676491697</x:v>
      </x:c>
      <x:c r="J81" s="32" t="n">
        <x:f>INDEX(tun_FoodCap,G81)*Arch_FoodCap*EXP(tun_CapsByProject*SUMPRODUCT((Cap_Point&lt;=I81)*(Cap_Kind="Food")*Cap_Ln))</x:f>
        <x:v>41.39198916308082</x:v>
      </x:c>
      <x:c r="K81" s="32" t="n">
        <x:f>J81*MIN(1,tun_LeanBase*EXP(tun_CapsByProject*SUMPRODUCT((Cap_Point&lt;=I81)*(Cap_Kind="Lean")*Cap_Ln)))</x:f>
        <x:v>41.39198916308082</x:v>
      </x:c>
      <x:c r="L81" s="10" t="n">
        <x:f>INDEX(tun_HousingCap,G81)*EXP(tun_CapsByProject*SUMPRODUCT((Cap_Point&lt;=I81)*(Cap_Kind="Housing")*Cap_Ln))</x:f>
        <x:v>90</x:v>
      </x:c>
      <x:c r="M81" s="10" t="n">
        <x:f>INDEX(tun_GroupCap,G81)*tun_CohesionFactor*EXP(tun_CapsByProject*SUMPRODUCT((Cap_Point&lt;=I81)*(Cap_Kind="Group")*Cap_Ln))</x:f>
        <x:v>50.000000000000014</x:v>
      </x:c>
      <x:c r="N81" s="32" t="n">
        <x:f>MIN(J81,L81,M81)</x:f>
        <x:v>41.39198916308082</x:v>
      </x:c>
      <x:c r="O81" s="10" t="n">
        <x:f>AE80*N81</x:f>
        <x:v>82.78397832616164</x:v>
      </x:c>
      <x:c r="P81" s="9" t="n">
        <x:f>MIN(1,(AB80/(AE80*IF(tun_GroupInCrowding=1,N81,MIN(J81,L81))))^tun_CrowdingExp)</x:f>
        <x:v>0.06268715379037627</x:v>
      </x:c>
      <x:c r="Q81" s="9" t="n">
        <x:f>IF(D81=1,INDEX(tun_WinterMult,G81),1)</x:f>
        <x:v>1</x:v>
      </x:c>
      <x:c r="R81" s="9" t="n">
        <x:f>H81*Z80*tun_WomenShare*tun_BaseFertility*INDEX(tun_FertMult,G81)*Arch_Fertility*(1-P81)</x:f>
        <x:v>1.4178852105687052</x:v>
      </x:c>
      <x:c r="S81" s="9" t="n">
        <x:f>H81*Y80*INDEX(tun_MortChild,G81)/4*Q81</x:f>
        <x:v>0.25784227104405405</x:v>
      </x:c>
      <x:c r="T81" s="9" t="n">
        <x:f>H81*Z80*INDEX(tun_MortAdult,G81)*Arch_AdultMort/4*Q81</x:f>
        <x:v>0.05370578255212509</x:v>
      </x:c>
      <x:c r="U81" s="9" t="n">
        <x:f>H81*AA80*INDEX(tun_MortElder,G81)/4*Q81</x:f>
        <x:v>0.06850000029713449</x:v>
      </x:c>
      <x:c r="V81" s="9" t="n">
        <x:f>H81*MAX(0,AB80-O81)*tun_OvercapLoss</x:f>
        <x:v>0</x:v>
      </x:c>
      <x:c r="W81" s="9" t="n">
        <x:f>H81*Y80/(tun_ChildYears*4)</x:f>
        <x:v>0.5262087164164367</x:v>
      </x:c>
      <x:c r="X81" s="9" t="n">
        <x:f>H81*Z80/(tun_AdultYears*4)</x:f>
        <x:v>0.14437038320463733</x:v>
      </x:c>
      <x:c r="Y81" s="32" t="n">
        <x:f>Y80+R81-S81-W81-Y80*V81/AB80</x:f>
        <x:v>30.101522342428673</x:v>
      </x:c>
      <x:c r="Z81" s="32" t="n">
        <x:f>Z80+W81-X81-T81-Z80*V81/AB80</x:f>
        <x:v>18.230060068034703</x:v>
      </x:c>
      <x:c r="AA81" s="32" t="n">
        <x:f>AA80+X81-U81-AA80*V81/AB80</x:f>
        <x:v>4.882887947618695</x:v>
      </x:c>
      <x:c r="AB81" s="10" t="n">
        <x:f>Y81+Z81+AA81</x:f>
        <x:v>53.21447035808207</x:v>
      </x:c>
      <x:c r="AC81" s="8" t="n">
        <x:f>IF(AND(tun_WinterTrigger=1,D81=1,AB80/AE80&gt;=K81),1,0)</x:f>
        <x:v>0</x:v>
      </x:c>
      <x:c r="AD81" s="8" t="n">
        <x:f>H81*IF(AND(OR(AB80/AE80&gt;=tun_FissionTrigger*N81,AC81=1),AB80/AE80*tun_DaughterShare&gt;=tun_MinDaughter),MAX(1,ROUND(AE80*tun_FissionRate,0)),0)</x:f>
        <x:v>0</x:v>
      </x:c>
      <x:c r="AE81" s="8" t="n">
        <x:f>IF(H81=1,MAX(1,MIN(INDEX(tun_Smax,G81),AE80+AD81)),AE80)</x:f>
        <x:v>2</x:v>
      </x:c>
      <x:c r="AF81" s="8" t="n">
        <x:f>MAX(0,AE81-AE80)</x:f>
        <x:v>0</x:v>
      </x:c>
      <x:c r="AG81" s="9" t="str">
        <x:f>IF(AF81&gt;0,B81,"")</x:f>
      </x:c>
      <x:c r="AH81" s="9" t="n">
        <x:f>IF(F81&gt;=1,1,(1+tun_LowTiesShare*(AE81-1))/AE81)</x:f>
        <x:v>1</x:v>
      </x:c>
      <x:c r="AI81" s="32" t="n">
        <x:f>(Z81+tun_ElderCommons*INDEX(LM_Elder,G81)*AA81)*AH81</x:f>
        <x:v>32.878723910890784</x:v>
      </x:c>
      <x:c r="AJ81" s="32" t="n">
        <x:f>H81*tun_CommonsCoef*AI81^tun_CommonsExp*INDEX(LM_Commons,G81)</x:f>
        <x:v>102.80438346439</x:v>
      </x:c>
      <x:c r="AK81" s="32" t="n">
        <x:f>H81*tun_RoleScale*Arch_Roles*(AE81*(INDEX(tun_ElderRolePerSett,G81)*tun_OutElder*INDEX(LM_Elder,G81)+INDEX(tun_ShamanPerSett,G81)*tun_OutShaman)+Z81*(INDEX(tun_PriestShare,G81)*tun_OutPriest+INDEX(tun_ScribeShare,G81)*tun_OutScribe*INDEX(LM_Scribe,G81)+INDEX(tun_ScholarShare,G81)*tun_OutScholar*INDEX(LM_Scholar,G81)+INDEX(tun_ResearcherShare,G81)*tun_OutResearcher*INDEX(LM_Researcher,G81)))</x:f>
        <x:v>48</x:v>
      </x:c>
      <x:c r="AL81" s="32" t="n">
        <x:f>H81*tun_RoleScale*Arch_Roles*AE81*INDEX(tun_MonasteryPerSett,G81)*tun_OutMonastery*INDEX(LM_Monastery,G81)</x:f>
        <x:v>0</x:v>
      </x:c>
      <x:c r="AM81" s="32" t="n">
        <x:f>(AJ81+AK81+AL81)/4*INDEX(LM_All,G81)*INDEX(tun_Boon,G81)*Arch_Insight</x:f>
        <x:v>39.609713844318684</x:v>
      </x:c>
      <x:c r="AN81" s="32" t="n">
        <x:f>H81*(tun_KHPerAdult*Z81+tun_KHOfCommons*AJ81/4*INDEX(LM_All,G81))*tun_KHUsable*Arch_KH</x:f>
        <x:v>6.296768487193886</x:v>
      </x:c>
      <x:c r="AO81" s="32" t="n">
        <x:f>MIN(AP80+AN81,AM81*tun_KHMaxRatio)</x:f>
        <x:v>6.296768487193886</x:v>
      </x:c>
      <x:c r="AP81" s="32" t="n">
        <x:f>AP80+AN81-AO81</x:f>
        <x:v>0</x:v>
      </x:c>
      <x:c r="AQ81" s="32" t="n">
        <x:f>AM81+AO81</x:f>
        <x:v>45.90648233151257</x:v>
      </x:c>
      <x:c r="AR81" s="10" t="n">
        <x:f>IF(H81=1,INDEX(tun_Req,G81),0)</x:f>
        <x:v>3321.0609999999997</x:v>
      </x:c>
      <x:c r="AS81" s="32" t="n">
        <x:f>IF(H81=1,IF(E81=1,AS80-AR80,AS80)+AQ81,0)</x:f>
        <x:v>339.3284242583317</x:v>
      </x:c>
      <x:c r="AT81" s="11" t="n">
        <x:f>IF(AR81&gt;0,MIN(1,AS81/AR81),1)</x:f>
        <x:v>0.10217470388479216</x:v>
      </x:c>
      <x:c r="AU81" s="10" t="n">
        <x:f>AB81/INDEX(tun_RepScale,G81)</x:f>
        <x:v>53.21447035808207</x:v>
      </x:c>
      <x:c r="AV81" s="32" t="n">
        <x:f>AM81*60/tun_SeasonSeconds</x:f>
        <x:v>158.43885537727473</x:v>
      </x:c>
    </x:row>
    <x:row r="82">
      <x:c r="A82" s="8" t="n">
        <x:f>A81+1</x:f>
        <x:v>79</x:v>
      </x:c>
      <x:c r="B82" s="9" t="n">
        <x:f>A82*tun_SeasonSeconds/60</x:f>
        <x:v>19.75</x:v>
      </x:c>
      <x:c r="C82" s="9" t="n">
        <x:f>A82/4</x:f>
        <x:v>19.75</x:v>
      </x:c>
      <x:c r="D82" s="8" t="n">
        <x:f>IF(MOD(A82,4)=0,1,0)</x:f>
        <x:v>0</x:v>
      </x:c>
      <x:c r="E82" s="8" t="n">
        <x:f>IF(AND(F81&lt;=9,AS81&gt;=AR81),1,0)</x:f>
        <x:v>0</x:v>
      </x:c>
      <x:c r="F82" s="8" t="n">
        <x:f>MIN(10,F81+E82)</x:f>
        <x:v>2</x:v>
      </x:c>
      <x:c r="G82" s="8" t="n">
        <x:f>MIN(F82,9)+1</x:f>
        <x:v>3</x:v>
      </x:c>
      <x:c r="H82" s="8" t="n">
        <x:f>IF(F82&lt;=9,1,0)</x:f>
        <x:v>1</x:v>
      </x:c>
      <x:c r="I82" s="9" t="n">
        <x:f>MIN(10,F81+IF(AR81&gt;0,MIN(1,AS81/AR81),1))</x:f>
        <x:v>2.102174703884792</x:v>
      </x:c>
      <x:c r="J82" s="32" t="n">
        <x:f>INDEX(tun_FoodCap,G82)*Arch_FoodCap*EXP(tun_CapsByProject*SUMPRODUCT((Cap_Point&lt;=I82)*(Cap_Kind="Food")*Cap_Ln))</x:f>
        <x:v>45.200052166084255</x:v>
      </x:c>
      <x:c r="K82" s="32" t="n">
        <x:f>J82*MIN(1,tun_LeanBase*EXP(tun_CapsByProject*SUMPRODUCT((Cap_Point&lt;=I82)*(Cap_Kind="Lean")*Cap_Ln)))</x:f>
        <x:v>45.200052166084255</x:v>
      </x:c>
      <x:c r="L82" s="10" t="n">
        <x:f>INDEX(tun_HousingCap,G82)*EXP(tun_CapsByProject*SUMPRODUCT((Cap_Point&lt;=I82)*(Cap_Kind="Housing")*Cap_Ln))</x:f>
        <x:v>117</x:v>
      </x:c>
      <x:c r="M82" s="10" t="n">
        <x:f>INDEX(tun_GroupCap,G82)*tun_CohesionFactor*EXP(tun_CapsByProject*SUMPRODUCT((Cap_Point&lt;=I82)*(Cap_Kind="Group")*Cap_Ln))</x:f>
        <x:v>150.00000000000003</x:v>
      </x:c>
      <x:c r="N82" s="32" t="n">
        <x:f>MIN(J82,L82,M82)</x:f>
        <x:v>45.200052166084255</x:v>
      </x:c>
      <x:c r="O82" s="10" t="n">
        <x:f>AE81*N82</x:f>
        <x:v>90.40010433216851</x:v>
      </x:c>
      <x:c r="P82" s="9" t="n">
        <x:f>MIN(1,(AB81/(AE81*IF(tun_GroupInCrowding=1,N82,MIN(J82,L82))))^tun_CrowdingExp)</x:f>
        <x:v>0.04160685350205756</x:v>
      </x:c>
      <x:c r="Q82" s="9" t="n">
        <x:f>IF(D82=1,INDEX(tun_WinterMult,G82),1)</x:f>
        <x:v>1</x:v>
      </x:c>
      <x:c r="R82" s="9" t="n">
        <x:f>H82*Z81*tun_WomenShare*tun_BaseFertility*INDEX(tun_FertMult,G82)*Arch_Fertility*(1-P82)</x:f>
        <x:v>1.4763472111885483</x:v>
      </x:c>
      <x:c r="S82" s="9" t="n">
        <x:f>H82*Y81*INDEX(tun_MortChild,G82)/4*Q82</x:f>
        <x:v>0.26338832049625094</x:v>
      </x:c>
      <x:c r="T82" s="9" t="n">
        <x:f>H82*Z81*INDEX(tun_MortAdult,G82)*Arch_AdultMort/4*Q82</x:f>
        <x:v>0.054690180204104114</x:v>
      </x:c>
      <x:c r="U82" s="9" t="n">
        <x:f>H82*AA81*INDEX(tun_MortElder,G82)/4*Q82</x:f>
        <x:v>0.06958115325356641</x:v>
      </x:c>
      <x:c r="V82" s="9" t="n">
        <x:f>H82*MAX(0,AB81-O82)*tun_OvercapLoss</x:f>
        <x:v>0</x:v>
      </x:c>
      <x:c r="W82" s="9" t="n">
        <x:f>H82*Y81/(tun_ChildYears*4)</x:f>
        <x:v>0.5375271846862263</x:v>
      </x:c>
      <x:c r="X82" s="9" t="n">
        <x:f>H82*Z81/(tun_AdultYears*4)</x:f>
        <x:v>0.14701661345189276</x:v>
      </x:c>
      <x:c r="Y82" s="32" t="n">
        <x:f>Y81+R82-S82-W82-Y81*V82/AB81</x:f>
        <x:v>30.776954048434746</x:v>
      </x:c>
      <x:c r="Z82" s="32" t="n">
        <x:f>Z81+W82-X82-T82-Z81*V82/AB81</x:f>
        <x:v>18.565880459064932</x:v>
      </x:c>
      <x:c r="AA82" s="32" t="n">
        <x:f>AA81+X82-U82-AA81*V82/AB81</x:f>
        <x:v>4.960323407817021</x:v>
      </x:c>
      <x:c r="AB82" s="10" t="n">
        <x:f>Y82+Z82+AA82</x:f>
        <x:v>54.303157915316696</x:v>
      </x:c>
      <x:c r="AC82" s="8" t="n">
        <x:f>IF(AND(tun_WinterTrigger=1,D82=1,AB81/AE81&gt;=K82),1,0)</x:f>
        <x:v>0</x:v>
      </x:c>
      <x:c r="AD82" s="8" t="n">
        <x:f>H82*IF(AND(OR(AB81/AE81&gt;=tun_FissionTrigger*N82,AC82=1),AB81/AE81*tun_DaughterShare&gt;=tun_MinDaughter),MAX(1,ROUND(AE81*tun_FissionRate,0)),0)</x:f>
        <x:v>0</x:v>
      </x:c>
      <x:c r="AE82" s="8" t="n">
        <x:f>IF(H82=1,MAX(1,MIN(INDEX(tun_Smax,G82),AE81+AD82)),AE81)</x:f>
        <x:v>2</x:v>
      </x:c>
      <x:c r="AF82" s="8" t="n">
        <x:f>MAX(0,AE82-AE81)</x:f>
        <x:v>0</x:v>
      </x:c>
      <x:c r="AG82" s="9" t="str">
        <x:f>IF(AF82&gt;0,B82,"")</x:f>
      </x:c>
      <x:c r="AH82" s="9" t="n">
        <x:f>IF(F82&gt;=1,1,(1+tun_LowTiesShare*(AE82-1))/AE82)</x:f>
        <x:v>1</x:v>
      </x:c>
      <x:c r="AI82" s="32" t="n">
        <x:f>(Z82+tun_ElderCommons*INDEX(LM_Elder,G82)*AA82)*AH82</x:f>
        <x:v>33.44685068251599</x:v>
      </x:c>
      <x:c r="AJ82" s="32" t="n">
        <x:f>H82*tun_CommonsCoef*AI82^tun_CommonsExp*INDEX(LM_Commons,G82)</x:f>
        <x:v>104.31238354737307</x:v>
      </x:c>
      <x:c r="AK82" s="32" t="n">
        <x:f>H82*tun_RoleScale*Arch_Roles*(AE82*(INDEX(tun_ElderRolePerSett,G82)*tun_OutElder*INDEX(LM_Elder,G82)+INDEX(tun_ShamanPerSett,G82)*tun_OutShaman)+Z82*(INDEX(tun_PriestShare,G82)*tun_OutPriest+INDEX(tun_ScribeShare,G82)*tun_OutScribe*INDEX(LM_Scribe,G82)+INDEX(tun_ScholarShare,G82)*tun_OutScholar*INDEX(LM_Scholar,G82)+INDEX(tun_ResearcherShare,G82)*tun_OutResearcher*INDEX(LM_Researcher,G82)))</x:f>
        <x:v>48</x:v>
      </x:c>
      <x:c r="AL82" s="32" t="n">
        <x:f>H82*tun_RoleScale*Arch_Roles*AE82*INDEX(tun_MonasteryPerSett,G82)*tun_OutMonastery*INDEX(LM_Monastery,G82)</x:f>
        <x:v>0</x:v>
      </x:c>
      <x:c r="AM82" s="32" t="n">
        <x:f>(AJ82+AK82+AL82)/4*INDEX(LM_All,G82)*INDEX(tun_Boon,G82)*Arch_Insight</x:f>
        <x:v>40.00579949111471</x:v>
      </x:c>
      <x:c r="AN82" s="32" t="n">
        <x:f>H82*(tun_KHPerAdult*Z82+tun_KHOfCommons*AJ82/4*INDEX(LM_All,G82))*tun_KHUsable*Arch_KH</x:f>
        <x:v>6.3891334922766</x:v>
      </x:c>
      <x:c r="AO82" s="32" t="n">
        <x:f>MIN(AP81+AN82,AM82*tun_KHMaxRatio)</x:f>
        <x:v>6.3891334922766</x:v>
      </x:c>
      <x:c r="AP82" s="32" t="n">
        <x:f>AP81+AN82-AO82</x:f>
        <x:v>0</x:v>
      </x:c>
      <x:c r="AQ82" s="32" t="n">
        <x:f>AM82+AO82</x:f>
        <x:v>46.39493298339131</x:v>
      </x:c>
      <x:c r="AR82" s="10" t="n">
        <x:f>IF(H82=1,INDEX(tun_Req,G82),0)</x:f>
        <x:v>3321.0609999999997</x:v>
      </x:c>
      <x:c r="AS82" s="32" t="n">
        <x:f>IF(H82=1,IF(E82=1,AS81-AR81,AS81)+AQ82,0)</x:f>
        <x:v>385.723357241723</x:v>
      </x:c>
      <x:c r="AT82" s="11" t="n">
        <x:f>IF(AR82&gt;0,MIN(1,AS82/AR82),1)</x:f>
        <x:v>0.11614461680821973</x:v>
      </x:c>
      <x:c r="AU82" s="10" t="n">
        <x:f>AB82/INDEX(tun_RepScale,G82)</x:f>
        <x:v>54.303157915316696</x:v>
      </x:c>
      <x:c r="AV82" s="32" t="n">
        <x:f>AM82*60/tun_SeasonSeconds</x:f>
        <x:v>160.02319796445883</x:v>
      </x:c>
    </x:row>
    <x:row r="83">
      <x:c r="A83" s="8" t="n">
        <x:f>A82+1</x:f>
        <x:v>80</x:v>
      </x:c>
      <x:c r="B83" s="9" t="n">
        <x:f>A83*tun_SeasonSeconds/60</x:f>
        <x:v>20</x:v>
      </x:c>
      <x:c r="C83" s="9" t="n">
        <x:f>A83/4</x:f>
        <x:v>20</x:v>
      </x:c>
      <x:c r="D83" s="8" t="n">
        <x:f>IF(MOD(A83,4)=0,1,0)</x:f>
        <x:v>1</x:v>
      </x:c>
      <x:c r="E83" s="8" t="n">
        <x:f>IF(AND(F82&lt;=9,AS82&gt;=AR82),1,0)</x:f>
        <x:v>0</x:v>
      </x:c>
      <x:c r="F83" s="8" t="n">
        <x:f>MIN(10,F82+E83)</x:f>
        <x:v>2</x:v>
      </x:c>
      <x:c r="G83" s="8" t="n">
        <x:f>MIN(F83,9)+1</x:f>
        <x:v>3</x:v>
      </x:c>
      <x:c r="H83" s="8" t="n">
        <x:f>IF(F83&lt;=9,1,0)</x:f>
        <x:v>1</x:v>
      </x:c>
      <x:c r="I83" s="9" t="n">
        <x:f>MIN(10,F82+IF(AR82&gt;0,MIN(1,AS82/AR82),1))</x:f>
        <x:v>2.11614461680822</x:v>
      </x:c>
      <x:c r="J83" s="32" t="n">
        <x:f>INDEX(tun_FoodCap,G83)*Arch_FoodCap*EXP(tun_CapsByProject*SUMPRODUCT((Cap_Point&lt;=I83)*(Cap_Kind="Food")*Cap_Ln))</x:f>
        <x:v>45.200052166084255</x:v>
      </x:c>
      <x:c r="K83" s="32" t="n">
        <x:f>J83*MIN(1,tun_LeanBase*EXP(tun_CapsByProject*SUMPRODUCT((Cap_Point&lt;=I83)*(Cap_Kind="Lean")*Cap_Ln)))</x:f>
        <x:v>45.200052166084255</x:v>
      </x:c>
      <x:c r="L83" s="10" t="n">
        <x:f>INDEX(tun_HousingCap,G83)*EXP(tun_CapsByProject*SUMPRODUCT((Cap_Point&lt;=I83)*(Cap_Kind="Housing")*Cap_Ln))</x:f>
        <x:v>117</x:v>
      </x:c>
      <x:c r="M83" s="10" t="n">
        <x:f>INDEX(tun_GroupCap,G83)*tun_CohesionFactor*EXP(tun_CapsByProject*SUMPRODUCT((Cap_Point&lt;=I83)*(Cap_Kind="Group")*Cap_Ln))</x:f>
        <x:v>150.00000000000003</x:v>
      </x:c>
      <x:c r="N83" s="32" t="n">
        <x:f>MIN(J83,L83,M83)</x:f>
        <x:v>45.200052166084255</x:v>
      </x:c>
      <x:c r="O83" s="10" t="n">
        <x:f>AE82*N83</x:f>
        <x:v>90.40010433216851</x:v>
      </x:c>
      <x:c r="P83" s="9" t="n">
        <x:f>MIN(1,(AB82/(AE82*IF(tun_GroupInCrowding=1,N83,MIN(J83,L83))))^tun_CrowdingExp)</x:f>
        <x:v>0.046982586934587955</x:v>
      </x:c>
      <x:c r="Q83" s="9" t="n">
        <x:f>IF(D83=1,INDEX(tun_WinterMult,G83),1)</x:f>
        <x:v>1.4</x:v>
      </x:c>
      <x:c r="R83" s="9" t="n">
        <x:f>H83*Z82*tun_WomenShare*tun_BaseFertility*INDEX(tun_FertMult,G83)*Arch_Fertility*(1-P83)</x:f>
        <x:v>1.4951098224590886</x:v>
      </x:c>
      <x:c r="S83" s="9" t="n">
        <x:f>H83*Y82*INDEX(tun_MortChild,G83)/4*Q83</x:f>
        <x:v>0.3770176870933256</x:v>
      </x:c>
      <x:c r="T83" s="9" t="n">
        <x:f>H83*Z82*INDEX(tun_MortAdult,G83)*Arch_AdultMort/4*Q83</x:f>
        <x:v>0.07797669792807271</x:v>
      </x:c>
      <x:c r="U83" s="9" t="n">
        <x:f>H83*AA82*INDEX(tun_MortElder,G83)/4*Q83</x:f>
        <x:v>0.09895845198594957</x:v>
      </x:c>
      <x:c r="V83" s="9" t="n">
        <x:f>H83*MAX(0,AB82-O83)*tun_OvercapLoss</x:f>
        <x:v>0</x:v>
      </x:c>
      <x:c r="W83" s="9" t="n">
        <x:f>H83*Y82/(tun_ChildYears*4)</x:f>
        <x:v>0.5495884651506204</x:v>
      </x:c>
      <x:c r="X83" s="9" t="n">
        <x:f>H83*Z82/(tun_AdultYears*4)</x:f>
        <x:v>0.14972484241181397</x:v>
      </x:c>
      <x:c r="Y83" s="32" t="n">
        <x:f>Y82+R83-S83-W83-Y82*V83/AB82</x:f>
        <x:v>31.345457718649886</x:v>
      </x:c>
      <x:c r="Z83" s="32" t="n">
        <x:f>Z82+W83-X83-T83-Z82*V83/AB82</x:f>
        <x:v>18.887767383875666</x:v>
      </x:c>
      <x:c r="AA83" s="32" t="n">
        <x:f>AA82+X83-U83-AA82*V83/AB82</x:f>
        <x:v>5.011089798242885</x:v>
      </x:c>
      <x:c r="AB83" s="10" t="n">
        <x:f>Y83+Z83+AA83</x:f>
        <x:v>55.24431490076844</x:v>
      </x:c>
      <x:c r="AC83" s="8" t="n">
        <x:f>IF(AND(tun_WinterTrigger=1,D83=1,AB82/AE82&gt;=K83),1,0)</x:f>
        <x:v>0</x:v>
      </x:c>
      <x:c r="AD83" s="8" t="n">
        <x:f>H83*IF(AND(OR(AB82/AE82&gt;=tun_FissionTrigger*N83,AC83=1),AB82/AE82*tun_DaughterShare&gt;=tun_MinDaughter),MAX(1,ROUND(AE82*tun_FissionRate,0)),0)</x:f>
        <x:v>0</x:v>
      </x:c>
      <x:c r="AE83" s="8" t="n">
        <x:f>IF(H83=1,MAX(1,MIN(INDEX(tun_Smax,G83),AE82+AD83)),AE82)</x:f>
        <x:v>2</x:v>
      </x:c>
      <x:c r="AF83" s="8" t="n">
        <x:f>MAX(0,AE83-AE82)</x:f>
        <x:v>0</x:v>
      </x:c>
      <x:c r="AG83" s="9" t="str">
        <x:f>IF(AF83&gt;0,B83,"")</x:f>
      </x:c>
      <x:c r="AH83" s="9" t="n">
        <x:f>IF(F83&gt;=1,1,(1+tun_LowTiesShare*(AE83-1))/AE83)</x:f>
        <x:v>1</x:v>
      </x:c>
      <x:c r="AI83" s="32" t="n">
        <x:f>(Z83+tun_ElderCommons*INDEX(LM_Elder,G83)*AA83)*AH83</x:f>
        <x:v>33.92103677860432</x:v>
      </x:c>
      <x:c r="AJ83" s="32" t="n">
        <x:f>H83*tun_CommonsCoef*AI83^tun_CommonsExp*INDEX(LM_Commons,G83)</x:f>
        <x:v>105.56809207180711</x:v>
      </x:c>
      <x:c r="AK83" s="32" t="n">
        <x:f>H83*tun_RoleScale*Arch_Roles*(AE83*(INDEX(tun_ElderRolePerSett,G83)*tun_OutElder*INDEX(LM_Elder,G83)+INDEX(tun_ShamanPerSett,G83)*tun_OutShaman)+Z83*(INDEX(tun_PriestShare,G83)*tun_OutPriest+INDEX(tun_ScribeShare,G83)*tun_OutScribe*INDEX(LM_Scribe,G83)+INDEX(tun_ScholarShare,G83)*tun_OutScholar*INDEX(LM_Scholar,G83)+INDEX(tun_ResearcherShare,G83)*tun_OutResearcher*INDEX(LM_Researcher,G83)))</x:f>
        <x:v>48</x:v>
      </x:c>
      <x:c r="AL83" s="32" t="n">
        <x:f>H83*tun_RoleScale*Arch_Roles*AE83*INDEX(tun_MonasteryPerSett,G83)*tun_OutMonastery*INDEX(LM_Monastery,G83)</x:f>
        <x:v>0</x:v>
      </x:c>
      <x:c r="AM83" s="32" t="n">
        <x:f>(AJ83+AK83+AL83)/4*INDEX(LM_All,G83)*INDEX(tun_Boon,G83)*Arch_Insight</x:f>
        <x:v>40.335619183235586</x:v>
      </x:c>
      <x:c r="AN83" s="32" t="n">
        <x:f>H83*(tun_KHPerAdult*Z83+tun_KHOfCommons*AJ83/4*INDEX(LM_All,G83))*tun_KHUsable*Arch_KH</x:f>
        <x:v>6.466045639398184</x:v>
      </x:c>
      <x:c r="AO83" s="32" t="n">
        <x:f>MIN(AP82+AN83,AM83*tun_KHMaxRatio)</x:f>
        <x:v>6.466045639398184</x:v>
      </x:c>
      <x:c r="AP83" s="32" t="n">
        <x:f>AP82+AN83-AO83</x:f>
        <x:v>0</x:v>
      </x:c>
      <x:c r="AQ83" s="32" t="n">
        <x:f>AM83+AO83</x:f>
        <x:v>46.80166482263377</x:v>
      </x:c>
      <x:c r="AR83" s="10" t="n">
        <x:f>IF(H83=1,INDEX(tun_Req,G83),0)</x:f>
        <x:v>3321.0609999999997</x:v>
      </x:c>
      <x:c r="AS83" s="32" t="n">
        <x:f>IF(H83=1,IF(E83=1,AS82-AR82,AS82)+AQ83,0)</x:f>
        <x:v>432.5250220643568</x:v>
      </x:c>
      <x:c r="AT83" s="11" t="n">
        <x:f>IF(AR83&gt;0,MIN(1,AS83/AR83),1)</x:f>
        <x:v>0.13023700018288037</x:v>
      </x:c>
      <x:c r="AU83" s="10" t="n">
        <x:f>AB83/INDEX(tun_RepScale,G83)</x:f>
        <x:v>55.24431490076844</x:v>
      </x:c>
      <x:c r="AV83" s="32" t="n">
        <x:f>AM83*60/tun_SeasonSeconds</x:f>
        <x:v>161.34247673294234</x:v>
      </x:c>
    </x:row>
    <x:row r="84">
      <x:c r="A84" s="8" t="n">
        <x:f>A83+1</x:f>
        <x:v>81</x:v>
      </x:c>
      <x:c r="B84" s="9" t="n">
        <x:f>A84*tun_SeasonSeconds/60</x:f>
        <x:v>20.25</x:v>
      </x:c>
      <x:c r="C84" s="9" t="n">
        <x:f>A84/4</x:f>
        <x:v>20.25</x:v>
      </x:c>
      <x:c r="D84" s="8" t="n">
        <x:f>IF(MOD(A84,4)=0,1,0)</x:f>
        <x:v>0</x:v>
      </x:c>
      <x:c r="E84" s="8" t="n">
        <x:f>IF(AND(F83&lt;=9,AS83&gt;=AR83),1,0)</x:f>
        <x:v>0</x:v>
      </x:c>
      <x:c r="F84" s="8" t="n">
        <x:f>MIN(10,F83+E84)</x:f>
        <x:v>2</x:v>
      </x:c>
      <x:c r="G84" s="8" t="n">
        <x:f>MIN(F84,9)+1</x:f>
        <x:v>3</x:v>
      </x:c>
      <x:c r="H84" s="8" t="n">
        <x:f>IF(F84&lt;=9,1,0)</x:f>
        <x:v>1</x:v>
      </x:c>
      <x:c r="I84" s="9" t="n">
        <x:f>MIN(10,F83+IF(AR83&gt;0,MIN(1,AS83/AR83),1))</x:f>
        <x:v>2.1302370001828805</x:v>
      </x:c>
      <x:c r="J84" s="32" t="n">
        <x:f>INDEX(tun_FoodCap,G84)*Arch_FoodCap*EXP(tun_CapsByProject*SUMPRODUCT((Cap_Point&lt;=I84)*(Cap_Kind="Food")*Cap_Ln))</x:f>
        <x:v>45.200052166084255</x:v>
      </x:c>
      <x:c r="K84" s="32" t="n">
        <x:f>J84*MIN(1,tun_LeanBase*EXP(tun_CapsByProject*SUMPRODUCT((Cap_Point&lt;=I84)*(Cap_Kind="Lean")*Cap_Ln)))</x:f>
        <x:v>45.200052166084255</x:v>
      </x:c>
      <x:c r="L84" s="10" t="n">
        <x:f>INDEX(tun_HousingCap,G84)*EXP(tun_CapsByProject*SUMPRODUCT((Cap_Point&lt;=I84)*(Cap_Kind="Housing")*Cap_Ln))</x:f>
        <x:v>117</x:v>
      </x:c>
      <x:c r="M84" s="10" t="n">
        <x:f>INDEX(tun_GroupCap,G84)*tun_CohesionFactor*EXP(tun_CapsByProject*SUMPRODUCT((Cap_Point&lt;=I84)*(Cap_Kind="Group")*Cap_Ln))</x:f>
        <x:v>150.00000000000003</x:v>
      </x:c>
      <x:c r="N84" s="32" t="n">
        <x:f>MIN(J84,L84,M84)</x:f>
        <x:v>45.200052166084255</x:v>
      </x:c>
      <x:c r="O84" s="10" t="n">
        <x:f>AE83*N84</x:f>
        <x:v>90.40010433216851</x:v>
      </x:c>
      <x:c r="P84" s="9" t="n">
        <x:f>MIN(1,(AB83/(AE83*IF(tun_GroupInCrowding=1,N84,MIN(J84,L84))))^tun_CrowdingExp)</x:f>
        <x:v>0.05208491534833742</x:v>
      </x:c>
      <x:c r="Q84" s="9" t="n">
        <x:f>IF(D84=1,INDEX(tun_WinterMult,G84),1)</x:f>
        <x:v>1</x:v>
      </x:c>
      <x:c r="R84" s="9" t="n">
        <x:f>H84*Z83*tun_WomenShare*tun_BaseFertility*INDEX(tun_FertMult,G84)*Arch_Fertility*(1-P84)</x:f>
        <x:v>1.5128879677689466</x:v>
      </x:c>
      <x:c r="S84" s="9" t="n">
        <x:f>H84*Y83*INDEX(tun_MortChild,G84)/4*Q84</x:f>
        <x:v>0.27427275503818654</x:v>
      </x:c>
      <x:c r="T84" s="9" t="n">
        <x:f>H84*Z83*INDEX(tun_MortAdult,G84)*Arch_AdultMort/4*Q84</x:f>
        <x:v>0.056663302151627</x:v>
      </x:c>
      <x:c r="U84" s="9" t="n">
        <x:f>H84*AA83*INDEX(tun_MortElder,G84)/4*Q84</x:f>
        <x:v>0.07140802962496112</x:v>
      </x:c>
      <x:c r="V84" s="9" t="n">
        <x:f>H84*MAX(0,AB83-O84)*tun_OvercapLoss</x:f>
        <x:v>0</x:v>
      </x:c>
      <x:c r="W84" s="9" t="n">
        <x:f>H84*Y83/(tun_ChildYears*4)</x:f>
        <x:v>0.5597403164044622</x:v>
      </x:c>
      <x:c r="X84" s="9" t="n">
        <x:f>H84*Z83/(tun_AdultYears*4)</x:f>
        <x:v>0.15232070470867473</x:v>
      </x:c>
      <x:c r="Y84" s="32" t="n">
        <x:f>Y83+R84-S84-W84-Y83*V84/AB83</x:f>
        <x:v>32.024332614976174</x:v>
      </x:c>
      <x:c r="Z84" s="32" t="n">
        <x:f>Z83+W84-X84-T84-Z83*V84/AB83</x:f>
        <x:v>19.238523693419825</x:v>
      </x:c>
      <x:c r="AA84" s="32" t="n">
        <x:f>AA83+X84-U84-AA83*V84/AB83</x:f>
        <x:v>5.092002473326599</x:v>
      </x:c>
      <x:c r="AB84" s="10" t="n">
        <x:f>Y84+Z84+AA84</x:f>
        <x:v>56.3548587817226</x:v>
      </x:c>
      <x:c r="AC84" s="8" t="n">
        <x:f>IF(AND(tun_WinterTrigger=1,D84=1,AB83/AE83&gt;=K84),1,0)</x:f>
        <x:v>0</x:v>
      </x:c>
      <x:c r="AD84" s="8" t="n">
        <x:f>H84*IF(AND(OR(AB83/AE83&gt;=tun_FissionTrigger*N84,AC84=1),AB83/AE83*tun_DaughterShare&gt;=tun_MinDaughter),MAX(1,ROUND(AE83*tun_FissionRate,0)),0)</x:f>
        <x:v>0</x:v>
      </x:c>
      <x:c r="AE84" s="8" t="n">
        <x:f>IF(H84=1,MAX(1,MIN(INDEX(tun_Smax,G84),AE83+AD84)),AE83)</x:f>
        <x:v>2</x:v>
      </x:c>
      <x:c r="AF84" s="8" t="n">
        <x:f>MAX(0,AE84-AE83)</x:f>
        <x:v>0</x:v>
      </x:c>
      <x:c r="AG84" s="9" t="str">
        <x:f>IF(AF84&gt;0,B84,"")</x:f>
      </x:c>
      <x:c r="AH84" s="9" t="n">
        <x:f>IF(F84&gt;=1,1,(1+tun_LowTiesShare*(AE84-1))/AE84)</x:f>
        <x:v>1</x:v>
      </x:c>
      <x:c r="AI84" s="32" t="n">
        <x:f>(Z84+tun_ElderCommons*INDEX(LM_Elder,G84)*AA84)*AH84</x:f>
        <x:v>34.51453111339963</x:v>
      </x:c>
      <x:c r="AJ84" s="32" t="n">
        <x:f>H84*tun_CommonsCoef*AI84^tun_CommonsExp*INDEX(LM_Commons,G84)</x:f>
        <x:v>107.13604342082498</x:v>
      </x:c>
      <x:c r="AK84" s="32" t="n">
        <x:f>H84*tun_RoleScale*Arch_Roles*(AE84*(INDEX(tun_ElderRolePerSett,G84)*tun_OutElder*INDEX(LM_Elder,G84)+INDEX(tun_ShamanPerSett,G84)*tun_OutShaman)+Z84*(INDEX(tun_PriestShare,G84)*tun_OutPriest+INDEX(tun_ScribeShare,G84)*tun_OutScribe*INDEX(LM_Scribe,G84)+INDEX(tun_ScholarShare,G84)*tun_OutScholar*INDEX(LM_Scholar,G84)+INDEX(tun_ResearcherShare,G84)*tun_OutResearcher*INDEX(LM_Researcher,G84)))</x:f>
        <x:v>48</x:v>
      </x:c>
      <x:c r="AL84" s="32" t="n">
        <x:f>H84*tun_RoleScale*Arch_Roles*AE84*INDEX(tun_MonasteryPerSett,G84)*tun_OutMonastery*INDEX(LM_Monastery,G84)</x:f>
        <x:v>0</x:v>
      </x:c>
      <x:c r="AM84" s="32" t="n">
        <x:f>(AJ84+AK84+AL84)/4*INDEX(LM_All,G84)*INDEX(tun_Boon,G84)*Arch_Insight</x:f>
        <x:v>40.74745140475106</x:v>
      </x:c>
      <x:c r="AN84" s="32" t="n">
        <x:f>H84*(tun_KHPerAdult*Z84+tun_KHOfCommons*AJ84/4*INDEX(LM_All,G84))*tun_KHUsable*Arch_KH</x:f>
        <x:v>6.562082659525529</x:v>
      </x:c>
      <x:c r="AO84" s="32" t="n">
        <x:f>MIN(AP83+AN84,AM84*tun_KHMaxRatio)</x:f>
        <x:v>6.562082659525529</x:v>
      </x:c>
      <x:c r="AP84" s="32" t="n">
        <x:f>AP83+AN84-AO84</x:f>
        <x:v>0</x:v>
      </x:c>
      <x:c r="AQ84" s="32" t="n">
        <x:f>AM84+AO84</x:f>
        <x:v>47.30953406427659</x:v>
      </x:c>
      <x:c r="AR84" s="10" t="n">
        <x:f>IF(H84=1,INDEX(tun_Req,G84),0)</x:f>
        <x:v>3321.0609999999997</x:v>
      </x:c>
      <x:c r="AS84" s="32" t="n">
        <x:f>IF(H84=1,IF(E84=1,AS83-AR83,AS83)+AQ84,0)</x:f>
        <x:v>479.8345561286334</x:v>
      </x:c>
      <x:c r="AT84" s="11" t="n">
        <x:f>IF(AR84&gt;0,MIN(1,AS84/AR84),1)</x:f>
        <x:v>0.14448230734955889</x:v>
      </x:c>
      <x:c r="AU84" s="10" t="n">
        <x:f>AB84/INDEX(tun_RepScale,G84)</x:f>
        <x:v>56.3548587817226</x:v>
      </x:c>
      <x:c r="AV84" s="32" t="n">
        <x:f>AM84*60/tun_SeasonSeconds</x:f>
        <x:v>162.98980561900424</x:v>
      </x:c>
    </x:row>
    <x:row r="85">
      <x:c r="A85" s="8" t="n">
        <x:f>A84+1</x:f>
        <x:v>82</x:v>
      </x:c>
      <x:c r="B85" s="9" t="n">
        <x:f>A85*tun_SeasonSeconds/60</x:f>
        <x:v>20.5</x:v>
      </x:c>
      <x:c r="C85" s="9" t="n">
        <x:f>A85/4</x:f>
        <x:v>20.5</x:v>
      </x:c>
      <x:c r="D85" s="8" t="n">
        <x:f>IF(MOD(A85,4)=0,1,0)</x:f>
        <x:v>0</x:v>
      </x:c>
      <x:c r="E85" s="8" t="n">
        <x:f>IF(AND(F84&lt;=9,AS84&gt;=AR84),1,0)</x:f>
        <x:v>0</x:v>
      </x:c>
      <x:c r="F85" s="8" t="n">
        <x:f>MIN(10,F84+E85)</x:f>
        <x:v>2</x:v>
      </x:c>
      <x:c r="G85" s="8" t="n">
        <x:f>MIN(F85,9)+1</x:f>
        <x:v>3</x:v>
      </x:c>
      <x:c r="H85" s="8" t="n">
        <x:f>IF(F85&lt;=9,1,0)</x:f>
        <x:v>1</x:v>
      </x:c>
      <x:c r="I85" s="9" t="n">
        <x:f>MIN(10,F84+IF(AR84&gt;0,MIN(1,AS84/AR84),1))</x:f>
        <x:v>2.1444823073495587</x:v>
      </x:c>
      <x:c r="J85" s="32" t="n">
        <x:f>INDEX(tun_FoodCap,G85)*Arch_FoodCap*EXP(tun_CapsByProject*SUMPRODUCT((Cap_Point&lt;=I85)*(Cap_Kind="Food")*Cap_Ln))</x:f>
        <x:v>45.200052166084255</x:v>
      </x:c>
      <x:c r="K85" s="32" t="n">
        <x:f>J85*MIN(1,tun_LeanBase*EXP(tun_CapsByProject*SUMPRODUCT((Cap_Point&lt;=I85)*(Cap_Kind="Lean")*Cap_Ln)))</x:f>
        <x:v>45.200052166084255</x:v>
      </x:c>
      <x:c r="L85" s="10" t="n">
        <x:f>INDEX(tun_HousingCap,G85)*EXP(tun_CapsByProject*SUMPRODUCT((Cap_Point&lt;=I85)*(Cap_Kind="Housing")*Cap_Ln))</x:f>
        <x:v>117</x:v>
      </x:c>
      <x:c r="M85" s="10" t="n">
        <x:f>INDEX(tun_GroupCap,G85)*tun_CohesionFactor*EXP(tun_CapsByProject*SUMPRODUCT((Cap_Point&lt;=I85)*(Cap_Kind="Group")*Cap_Ln))</x:f>
        <x:v>150.00000000000003</x:v>
      </x:c>
      <x:c r="N85" s="32" t="n">
        <x:f>MIN(J85,L85,M85)</x:f>
        <x:v>45.200052166084255</x:v>
      </x:c>
      <x:c r="O85" s="10" t="n">
        <x:f>AE84*N85</x:f>
        <x:v>90.40010433216851</x:v>
      </x:c>
      <x:c r="P85" s="9" t="n">
        <x:f>MIN(1,(AB84/(AE84*IF(tun_GroupInCrowding=1,N85,MIN(J85,L85))))^tun_CrowdingExp)</x:f>
        <x:v>0.05869141833457833</x:v>
      </x:c>
      <x:c r="Q85" s="9" t="n">
        <x:f>IF(D85=1,INDEX(tun_WinterMult,G85),1)</x:f>
        <x:v>1</x:v>
      </x:c>
      <x:c r="R85" s="9" t="n">
        <x:f>H85*Z84*tun_WomenShare*tun_BaseFertility*INDEX(tun_FertMult,G85)*Arch_Fertility*(1-P85)</x:f>
        <x:v>1.5302432396255234</x:v>
      </x:c>
      <x:c r="S85" s="9" t="n">
        <x:f>H85*Y84*INDEX(tun_MortChild,G85)/4*Q85</x:f>
        <x:v>0.28021291038104157</x:v>
      </x:c>
      <x:c r="T85" s="9" t="n">
        <x:f>H85*Z84*INDEX(tun_MortAdult,G85)*Arch_AdultMort/4*Q85</x:f>
        <x:v>0.05771557108025948</x:v>
      </x:c>
      <x:c r="U85" s="9" t="n">
        <x:f>H85*AA84*INDEX(tun_MortElder,G85)/4*Q85</x:f>
        <x:v>0.07256103524490404</x:v>
      </x:c>
      <x:c r="V85" s="9" t="n">
        <x:f>H85*MAX(0,AB84-O85)*tun_OvercapLoss</x:f>
        <x:v>0</x:v>
      </x:c>
      <x:c r="W85" s="9" t="n">
        <x:f>H85*Y84/(tun_ChildYears*4)</x:f>
        <x:v>0.5718630824102888</x:v>
      </x:c>
      <x:c r="X85" s="9" t="n">
        <x:f>H85*Z84/(tun_AdultYears*4)</x:f>
        <x:v>0.15514938462435343</x:v>
      </x:c>
      <x:c r="Y85" s="32" t="n">
        <x:f>Y84+R85-S85-W85-Y84*V85/AB84</x:f>
        <x:v>32.70249986181037</x:v>
      </x:c>
      <x:c r="Z85" s="32" t="n">
        <x:f>Z84+W85-X85-T85-Z84*V85/AB84</x:f>
        <x:v>19.597521820125504</x:v>
      </x:c>
      <x:c r="AA85" s="32" t="n">
        <x:f>AA84+X85-U85-AA84*V85/AB84</x:f>
        <x:v>5.174590822706048</x:v>
      </x:c>
      <x:c r="AB85" s="10" t="n">
        <x:f>Y85+Z85+AA85</x:f>
        <x:v>57.474612504641925</x:v>
      </x:c>
      <x:c r="AC85" s="8" t="n">
        <x:f>IF(AND(tun_WinterTrigger=1,D85=1,AB84/AE84&gt;=K85),1,0)</x:f>
        <x:v>0</x:v>
      </x:c>
      <x:c r="AD85" s="8" t="n">
        <x:f>H85*IF(AND(OR(AB84/AE84&gt;=tun_FissionTrigger*N85,AC85=1),AB84/AE84*tun_DaughterShare&gt;=tun_MinDaughter),MAX(1,ROUND(AE84*tun_FissionRate,0)),0)</x:f>
        <x:v>0</x:v>
      </x:c>
      <x:c r="AE85" s="8" t="n">
        <x:f>IF(H85=1,MAX(1,MIN(INDEX(tun_Smax,G85),AE84+AD85)),AE84)</x:f>
        <x:v>2</x:v>
      </x:c>
      <x:c r="AF85" s="8" t="n">
        <x:f>MAX(0,AE85-AE84)</x:f>
        <x:v>0</x:v>
      </x:c>
      <x:c r="AG85" s="9" t="str">
        <x:f>IF(AF85&gt;0,B85,"")</x:f>
      </x:c>
      <x:c r="AH85" s="9" t="n">
        <x:f>IF(F85&gt;=1,1,(1+tun_LowTiesShare*(AE85-1))/AE85)</x:f>
        <x:v>1</x:v>
      </x:c>
      <x:c r="AI85" s="32" t="n">
        <x:f>(Z85+tun_ElderCommons*INDEX(LM_Elder,G85)*AA85)*AH85</x:f>
        <x:v>35.12129428824365</x:v>
      </x:c>
      <x:c r="AJ85" s="32" t="n">
        <x:f>H85*tun_CommonsCoef*AI85^tun_CommonsExp*INDEX(LM_Commons,G85)</x:f>
        <x:v>108.734874572652</x:v>
      </x:c>
      <x:c r="AK85" s="32" t="n">
        <x:f>H85*tun_RoleScale*Arch_Roles*(AE85*(INDEX(tun_ElderRolePerSett,G85)*tun_OutElder*INDEX(LM_Elder,G85)+INDEX(tun_ShamanPerSett,G85)*tun_OutShaman)+Z85*(INDEX(tun_PriestShare,G85)*tun_OutPriest+INDEX(tun_ScribeShare,G85)*tun_OutScribe*INDEX(LM_Scribe,G85)+INDEX(tun_ScholarShare,G85)*tun_OutScholar*INDEX(LM_Scholar,G85)+INDEX(tun_ResearcherShare,G85)*tun_OutResearcher*INDEX(LM_Researcher,G85)))</x:f>
        <x:v>48</x:v>
      </x:c>
      <x:c r="AL85" s="32" t="n">
        <x:f>H85*tun_RoleScale*Arch_Roles*AE85*INDEX(tun_MonasteryPerSett,G85)*tun_OutMonastery*INDEX(LM_Monastery,G85)</x:f>
        <x:v>0</x:v>
      </x:c>
      <x:c r="AM85" s="32" t="n">
        <x:f>(AJ85+AK85+AL85)/4*INDEX(LM_All,G85)*INDEX(tun_Boon,G85)*Arch_Insight</x:f>
        <x:v>41.16739439947313</x:v>
      </x:c>
      <x:c r="AN85" s="32" t="n">
        <x:f>H85*(tun_KHPerAdult*Z85+tun_KHOfCommons*AJ85/4*INDEX(LM_All,G85))*tun_KHUsable*Arch_KH</x:f>
        <x:v>6.660011067574934</x:v>
      </x:c>
      <x:c r="AO85" s="32" t="n">
        <x:f>MIN(AP84+AN85,AM85*tun_KHMaxRatio)</x:f>
        <x:v>6.660011067574934</x:v>
      </x:c>
      <x:c r="AP85" s="32" t="n">
        <x:f>AP84+AN85-AO85</x:f>
        <x:v>0</x:v>
      </x:c>
      <x:c r="AQ85" s="32" t="n">
        <x:f>AM85+AO85</x:f>
        <x:v>47.82740546704807</x:v>
      </x:c>
      <x:c r="AR85" s="10" t="n">
        <x:f>IF(H85=1,INDEX(tun_Req,G85),0)</x:f>
        <x:v>3321.0609999999997</x:v>
      </x:c>
      <x:c r="AS85" s="32" t="n">
        <x:f>IF(H85=1,IF(E85=1,AS84-AR84,AS84)+AQ85,0)</x:f>
        <x:v>527.6619615956814</x:v>
      </x:c>
      <x:c r="AT85" s="11" t="n">
        <x:f>IF(AR85&gt;0,MIN(1,AS85/AR85),1)</x:f>
        <x:v>0.15888355004490476</x:v>
      </x:c>
      <x:c r="AU85" s="10" t="n">
        <x:f>AB85/INDEX(tun_RepScale,G85)</x:f>
        <x:v>57.474612504641925</x:v>
      </x:c>
      <x:c r="AV85" s="32" t="n">
        <x:f>AM85*60/tun_SeasonSeconds</x:f>
        <x:v>164.66957759789253</x:v>
      </x:c>
    </x:row>
    <x:row r="86">
      <x:c r="A86" s="8" t="n">
        <x:f>A85+1</x:f>
        <x:v>83</x:v>
      </x:c>
      <x:c r="B86" s="9" t="n">
        <x:f>A86*tun_SeasonSeconds/60</x:f>
        <x:v>20.75</x:v>
      </x:c>
      <x:c r="C86" s="9" t="n">
        <x:f>A86/4</x:f>
        <x:v>20.75</x:v>
      </x:c>
      <x:c r="D86" s="8" t="n">
        <x:f>IF(MOD(A86,4)=0,1,0)</x:f>
        <x:v>0</x:v>
      </x:c>
      <x:c r="E86" s="8" t="n">
        <x:f>IF(AND(F85&lt;=9,AS85&gt;=AR85),1,0)</x:f>
        <x:v>0</x:v>
      </x:c>
      <x:c r="F86" s="8" t="n">
        <x:f>MIN(10,F85+E86)</x:f>
        <x:v>2</x:v>
      </x:c>
      <x:c r="G86" s="8" t="n">
        <x:f>MIN(F86,9)+1</x:f>
        <x:v>3</x:v>
      </x:c>
      <x:c r="H86" s="8" t="n">
        <x:f>IF(F86&lt;=9,1,0)</x:f>
        <x:v>1</x:v>
      </x:c>
      <x:c r="I86" s="9" t="n">
        <x:f>MIN(10,F85+IF(AR85&gt;0,MIN(1,AS85/AR85),1))</x:f>
        <x:v>2.1588835500449046</x:v>
      </x:c>
      <x:c r="J86" s="32" t="n">
        <x:f>INDEX(tun_FoodCap,G86)*Arch_FoodCap*EXP(tun_CapsByProject*SUMPRODUCT((Cap_Point&lt;=I86)*(Cap_Kind="Food")*Cap_Ln))</x:f>
        <x:v>47.91205529604931</x:v>
      </x:c>
      <x:c r="K86" s="32" t="n">
        <x:f>J86*MIN(1,tun_LeanBase*EXP(tun_CapsByProject*SUMPRODUCT((Cap_Point&lt;=I86)*(Cap_Kind="Lean")*Cap_Ln)))</x:f>
        <x:v>47.91205529604931</x:v>
      </x:c>
      <x:c r="L86" s="10" t="n">
        <x:f>INDEX(tun_HousingCap,G86)*EXP(tun_CapsByProject*SUMPRODUCT((Cap_Point&lt;=I86)*(Cap_Kind="Housing")*Cap_Ln))</x:f>
        <x:v>117</x:v>
      </x:c>
      <x:c r="M86" s="10" t="n">
        <x:f>INDEX(tun_GroupCap,G86)*tun_CohesionFactor*EXP(tun_CapsByProject*SUMPRODUCT((Cap_Point&lt;=I86)*(Cap_Kind="Group")*Cap_Ln))</x:f>
        <x:v>150.00000000000003</x:v>
      </x:c>
      <x:c r="N86" s="32" t="n">
        <x:f>MIN(J86,L86,M86)</x:f>
        <x:v>47.91205529604931</x:v>
      </x:c>
      <x:c r="O86" s="10" t="n">
        <x:f>AE85*N86</x:f>
        <x:v>95.82411059209862</x:v>
      </x:c>
      <x:c r="P86" s="9" t="n">
        <x:f>MIN(1,(AB85/(AE85*IF(tun_GroupInCrowding=1,N86,MIN(J86,L86))))^tun_CrowdingExp)</x:f>
        <x:v>0.046559416588322425</x:v>
      </x:c>
      <x:c r="Q86" s="9" t="n">
        <x:f>IF(D86=1,INDEX(tun_WinterMult,G86),1)</x:f>
        <x:v>1</x:v>
      </x:c>
      <x:c r="R86" s="9" t="n">
        <x:f>H86*Z85*tun_WomenShare*tun_BaseFertility*INDEX(tun_FertMult,G86)*Arch_Fertility*(1-P86)</x:f>
        <x:v>1.5788886378774993</x:v>
      </x:c>
      <x:c r="S86" s="9" t="n">
        <x:f>H86*Y85*INDEX(tun_MortChild,G86)/4*Q86</x:f>
        <x:v>0.28614687379084075</x:v>
      </x:c>
      <x:c r="T86" s="9" t="n">
        <x:f>H86*Z85*INDEX(tun_MortAdult,G86)*Arch_AdultMort/4*Q86</x:f>
        <x:v>0.05879256546037651</x:v>
      </x:c>
      <x:c r="U86" s="9" t="n">
        <x:f>H86*AA85*INDEX(tun_MortElder,G86)/4*Q86</x:f>
        <x:v>0.0737379192235612</x:v>
      </x:c>
      <x:c r="V86" s="9" t="n">
        <x:f>H86*MAX(0,AB85-O86)*tun_OvercapLoss</x:f>
        <x:v>0</x:v>
      </x:c>
      <x:c r="W86" s="9" t="n">
        <x:f>H86*Y85/(tun_ChildYears*4)</x:f>
        <x:v>0.5839732118180423</x:v>
      </x:c>
      <x:c r="X86" s="9" t="n">
        <x:f>H86*Z85/(tun_AdultYears*4)</x:f>
        <x:v>0.15804453080746375</x:v>
      </x:c>
      <x:c r="Y86" s="32" t="n">
        <x:f>Y85+R86-S86-W86-Y85*V86/AB85</x:f>
        <x:v>33.41126841407898</x:v>
      </x:c>
      <x:c r="Z86" s="32" t="n">
        <x:f>Z85+W86-X86-T86-Z85*V86/AB85</x:f>
        <x:v>19.964657935675707</x:v>
      </x:c>
      <x:c r="AA86" s="32" t="n">
        <x:f>AA85+X86-U86-AA85*V86/AB85</x:f>
        <x:v>5.258897434289952</x:v>
      </x:c>
      <x:c r="AB86" s="10" t="n">
        <x:f>Y86+Z86+AA86</x:f>
        <x:v>58.63482378404464</x:v>
      </x:c>
      <x:c r="AC86" s="8" t="n">
        <x:f>IF(AND(tun_WinterTrigger=1,D86=1,AB85/AE85&gt;=K86),1,0)</x:f>
        <x:v>0</x:v>
      </x:c>
      <x:c r="AD86" s="8" t="n">
        <x:f>H86*IF(AND(OR(AB85/AE85&gt;=tun_FissionTrigger*N86,AC86=1),AB85/AE85*tun_DaughterShare&gt;=tun_MinDaughter),MAX(1,ROUND(AE85*tun_FissionRate,0)),0)</x:f>
        <x:v>0</x:v>
      </x:c>
      <x:c r="AE86" s="8" t="n">
        <x:f>IF(H86=1,MAX(1,MIN(INDEX(tun_Smax,G86),AE85+AD86)),AE85)</x:f>
        <x:v>2</x:v>
      </x:c>
      <x:c r="AF86" s="8" t="n">
        <x:f>MAX(0,AE86-AE85)</x:f>
        <x:v>0</x:v>
      </x:c>
      <x:c r="AG86" s="9" t="str">
        <x:f>IF(AF86&gt;0,B86,"")</x:f>
      </x:c>
      <x:c r="AH86" s="9" t="n">
        <x:f>IF(F86&gt;=1,1,(1+tun_LowTiesShare*(AE86-1))/AE86)</x:f>
        <x:v>1</x:v>
      </x:c>
      <x:c r="AI86" s="32" t="n">
        <x:f>(Z86+tun_ElderCommons*INDEX(LM_Elder,G86)*AA86)*AH86</x:f>
        <x:v>35.741350238545564</x:v>
      </x:c>
      <x:c r="AJ86" s="32" t="n">
        <x:f>H86*tun_CommonsCoef*AI86^tun_CommonsExp*INDEX(LM_Commons,G86)</x:f>
        <x:v>110.36445792667571</x:v>
      </x:c>
      <x:c r="AK86" s="32" t="n">
        <x:f>H86*tun_RoleScale*Arch_Roles*(AE86*(INDEX(tun_ElderRolePerSett,G86)*tun_OutElder*INDEX(LM_Elder,G86)+INDEX(tun_ShamanPerSett,G86)*tun_OutShaman)+Z86*(INDEX(tun_PriestShare,G86)*tun_OutPriest+INDEX(tun_ScribeShare,G86)*tun_OutScribe*INDEX(LM_Scribe,G86)+INDEX(tun_ScholarShare,G86)*tun_OutScholar*INDEX(LM_Scholar,G86)+INDEX(tun_ResearcherShare,G86)*tun_OutResearcher*INDEX(LM_Researcher,G86)))</x:f>
        <x:v>48</x:v>
      </x:c>
      <x:c r="AL86" s="32" t="n">
        <x:f>H86*tun_RoleScale*Arch_Roles*AE86*INDEX(tun_MonasteryPerSett,G86)*tun_OutMonastery*INDEX(LM_Monastery,G86)</x:f>
        <x:v>0</x:v>
      </x:c>
      <x:c r="AM86" s="32" t="n">
        <x:f>(AJ86+AK86+AL86)/4*INDEX(LM_All,G86)*INDEX(tun_Boon,G86)*Arch_Insight</x:f>
        <x:v>41.59541465230341</x:v>
      </x:c>
      <x:c r="AN86" s="32" t="n">
        <x:f>H86*(tun_KHPerAdult*Z86+tun_KHOfCommons*AJ86/4*INDEX(LM_All,G86))*tun_KHUsable*Arch_KH</x:f>
        <x:v>6.759823048008887</x:v>
      </x:c>
      <x:c r="AO86" s="32" t="n">
        <x:f>MIN(AP85+AN86,AM86*tun_KHMaxRatio)</x:f>
        <x:v>6.759823048008887</x:v>
      </x:c>
      <x:c r="AP86" s="32" t="n">
        <x:f>AP85+AN86-AO86</x:f>
        <x:v>0</x:v>
      </x:c>
      <x:c r="AQ86" s="32" t="n">
        <x:f>AM86+AO86</x:f>
        <x:v>48.3552377003123</x:v>
      </x:c>
      <x:c r="AR86" s="10" t="n">
        <x:f>IF(H86=1,INDEX(tun_Req,G86),0)</x:f>
        <x:v>3321.0609999999997</x:v>
      </x:c>
      <x:c r="AS86" s="32" t="n">
        <x:f>IF(H86=1,IF(E86=1,AS85-AR85,AS85)+AQ86,0)</x:f>
        <x:v>576.0171992959937</x:v>
      </x:c>
      <x:c r="AT86" s="11" t="n">
        <x:f>IF(AR86&gt;0,MIN(1,AS86/AR86),1)</x:f>
        <x:v>0.17344372756055784</x:v>
      </x:c>
      <x:c r="AU86" s="10" t="n">
        <x:f>AB86/INDEX(tun_RepScale,G86)</x:f>
        <x:v>58.63482378404464</x:v>
      </x:c>
      <x:c r="AV86" s="32" t="n">
        <x:f>AM86*60/tun_SeasonSeconds</x:f>
        <x:v>166.38165860921364</x:v>
      </x:c>
    </x:row>
    <x:row r="87">
      <x:c r="A87" s="8" t="n">
        <x:f>A86+1</x:f>
        <x:v>84</x:v>
      </x:c>
      <x:c r="B87" s="9" t="n">
        <x:f>A87*tun_SeasonSeconds/60</x:f>
        <x:v>21</x:v>
      </x:c>
      <x:c r="C87" s="9" t="n">
        <x:f>A87/4</x:f>
        <x:v>21</x:v>
      </x:c>
      <x:c r="D87" s="8" t="n">
        <x:f>IF(MOD(A87,4)=0,1,0)</x:f>
        <x:v>1</x:v>
      </x:c>
      <x:c r="E87" s="8" t="n">
        <x:f>IF(AND(F86&lt;=9,AS86&gt;=AR86),1,0)</x:f>
        <x:v>0</x:v>
      </x:c>
      <x:c r="F87" s="8" t="n">
        <x:f>MIN(10,F86+E87)</x:f>
        <x:v>2</x:v>
      </x:c>
      <x:c r="G87" s="8" t="n">
        <x:f>MIN(F87,9)+1</x:f>
        <x:v>3</x:v>
      </x:c>
      <x:c r="H87" s="8" t="n">
        <x:f>IF(F87&lt;=9,1,0)</x:f>
        <x:v>1</x:v>
      </x:c>
      <x:c r="I87" s="9" t="n">
        <x:f>MIN(10,F86+IF(AR86&gt;0,MIN(1,AS86/AR86),1))</x:f>
        <x:v>2.173443727560558</x:v>
      </x:c>
      <x:c r="J87" s="32" t="n">
        <x:f>INDEX(tun_FoodCap,G87)*Arch_FoodCap*EXP(tun_CapsByProject*SUMPRODUCT((Cap_Point&lt;=I87)*(Cap_Kind="Food")*Cap_Ln))</x:f>
        <x:v>47.91205529604931</x:v>
      </x:c>
      <x:c r="K87" s="32" t="n">
        <x:f>J87*MIN(1,tun_LeanBase*EXP(tun_CapsByProject*SUMPRODUCT((Cap_Point&lt;=I87)*(Cap_Kind="Lean")*Cap_Ln)))</x:f>
        <x:v>47.91205529604931</x:v>
      </x:c>
      <x:c r="L87" s="10" t="n">
        <x:f>INDEX(tun_HousingCap,G87)*EXP(tun_CapsByProject*SUMPRODUCT((Cap_Point&lt;=I87)*(Cap_Kind="Housing")*Cap_Ln))</x:f>
        <x:v>117</x:v>
      </x:c>
      <x:c r="M87" s="10" t="n">
        <x:f>INDEX(tun_GroupCap,G87)*tun_CohesionFactor*EXP(tun_CapsByProject*SUMPRODUCT((Cap_Point&lt;=I87)*(Cap_Kind="Group")*Cap_Ln))</x:f>
        <x:v>150.00000000000003</x:v>
      </x:c>
      <x:c r="N87" s="32" t="n">
        <x:f>MIN(J87,L87,M87)</x:f>
        <x:v>47.91205529604931</x:v>
      </x:c>
      <x:c r="O87" s="10" t="n">
        <x:f>AE86*N87</x:f>
        <x:v>95.82411059209862</x:v>
      </x:c>
      <x:c r="P87" s="9" t="n">
        <x:f>MIN(1,(AB86/(AE86*IF(tun_GroupInCrowding=1,N87,MIN(J87,L87))))^tun_CrowdingExp)</x:f>
        <x:v>0.05249101419635532</x:v>
      </x:c>
      <x:c r="Q87" s="9" t="n">
        <x:f>IF(D87=1,INDEX(tun_WinterMult,G87),1)</x:f>
        <x:v>1.4</x:v>
      </x:c>
      <x:c r="R87" s="9" t="n">
        <x:f>H87*Z86*tun_WomenShare*tun_BaseFertility*INDEX(tun_FertMult,G87)*Arch_Fertility*(1-P87)</x:f>
        <x:v>1.5984605409703718</x:v>
      </x:c>
      <x:c r="S87" s="9" t="n">
        <x:f>H87*Y86*INDEX(tun_MortChild,G87)/4*Q87</x:f>
        <x:v>0.40928803807246755</x:v>
      </x:c>
      <x:c r="T87" s="9" t="n">
        <x:f>H87*Z86*INDEX(tun_MortAdult,G87)*Arch_AdultMort/4*Q87</x:f>
        <x:v>0.08385156332983797</x:v>
      </x:c>
      <x:c r="U87" s="9" t="n">
        <x:f>H87*AA86*INDEX(tun_MortElder,G87)/4*Q87</x:f>
        <x:v>0.10491500381408454</x:v>
      </x:c>
      <x:c r="V87" s="9" t="n">
        <x:f>H87*MAX(0,AB86-O87)*tun_OvercapLoss</x:f>
        <x:v>0</x:v>
      </x:c>
      <x:c r="W87" s="9" t="n">
        <x:f>H87*Y86/(tun_ChildYears*4)</x:f>
        <x:v>0.5966297931085532</x:v>
      </x:c>
      <x:c r="X87" s="9" t="n">
        <x:f>H87*Z86/(tun_AdultYears*4)</x:f>
        <x:v>0.1610053059328686</x:v>
      </x:c>
      <x:c r="Y87" s="32" t="n">
        <x:f>Y86+R87-S87-W87-Y86*V87/AB86</x:f>
        <x:v>34.00381112386833</x:v>
      </x:c>
      <x:c r="Z87" s="32" t="n">
        <x:f>Z86+W87-X87-T87-Z86*V87/AB86</x:f>
        <x:v>20.316430859521557</x:v>
      </x:c>
      <x:c r="AA87" s="32" t="n">
        <x:f>AA86+X87-U87-AA86*V87/AB86</x:f>
        <x:v>5.314987736408736</x:v>
      </x:c>
      <x:c r="AB87" s="10" t="n">
        <x:f>Y87+Z87+AA87</x:f>
        <x:v>59.63522971979863</x:v>
      </x:c>
      <x:c r="AC87" s="8" t="n">
        <x:f>IF(AND(tun_WinterTrigger=1,D87=1,AB86/AE86&gt;=K87),1,0)</x:f>
        <x:v>0</x:v>
      </x:c>
      <x:c r="AD87" s="8" t="n">
        <x:f>H87*IF(AND(OR(AB86/AE86&gt;=tun_FissionTrigger*N87,AC87=1),AB86/AE86*tun_DaughterShare&gt;=tun_MinDaughter),MAX(1,ROUND(AE86*tun_FissionRate,0)),0)</x:f>
        <x:v>0</x:v>
      </x:c>
      <x:c r="AE87" s="8" t="n">
        <x:f>IF(H87=1,MAX(1,MIN(INDEX(tun_Smax,G87),AE86+AD87)),AE86)</x:f>
        <x:v>2</x:v>
      </x:c>
      <x:c r="AF87" s="8" t="n">
        <x:f>MAX(0,AE87-AE86)</x:f>
        <x:v>0</x:v>
      </x:c>
      <x:c r="AG87" s="9" t="str">
        <x:f>IF(AF87&gt;0,B87,"")</x:f>
      </x:c>
      <x:c r="AH87" s="9" t="n">
        <x:f>IF(F87&gt;=1,1,(1+tun_LowTiesShare*(AE87-1))/AE87)</x:f>
        <x:v>1</x:v>
      </x:c>
      <x:c r="AI87" s="32" t="n">
        <x:f>(Z87+tun_ElderCommons*INDEX(LM_Elder,G87)*AA87)*AH87</x:f>
        <x:v>36.26139406874776</x:v>
      </x:c>
      <x:c r="AJ87" s="32" t="n">
        <x:f>H87*tun_CommonsCoef*AI87^tun_CommonsExp*INDEX(LM_Commons,G87)</x:f>
        <x:v>111.7279279363052</x:v>
      </x:c>
      <x:c r="AK87" s="32" t="n">
        <x:f>H87*tun_RoleScale*Arch_Roles*(AE87*(INDEX(tun_ElderRolePerSett,G87)*tun_OutElder*INDEX(LM_Elder,G87)+INDEX(tun_ShamanPerSett,G87)*tun_OutShaman)+Z87*(INDEX(tun_PriestShare,G87)*tun_OutPriest+INDEX(tun_ScribeShare,G87)*tun_OutScribe*INDEX(LM_Scribe,G87)+INDEX(tun_ScholarShare,G87)*tun_OutScholar*INDEX(LM_Scholar,G87)+INDEX(tun_ResearcherShare,G87)*tun_OutResearcher*INDEX(LM_Researcher,G87)))</x:f>
        <x:v>48</x:v>
      </x:c>
      <x:c r="AL87" s="32" t="n">
        <x:f>H87*tun_RoleScale*Arch_Roles*AE87*INDEX(tun_MonasteryPerSett,G87)*tun_OutMonastery*INDEX(LM_Monastery,G87)</x:f>
        <x:v>0</x:v>
      </x:c>
      <x:c r="AM87" s="32" t="n">
        <x:f>(AJ87+AK87+AL87)/4*INDEX(LM_All,G87)*INDEX(tun_Boon,G87)*Arch_Insight</x:f>
        <x:v>41.953538572020165</x:v>
      </x:c>
      <x:c r="AN87" s="32" t="n">
        <x:f>H87*(tun_KHPerAdult*Z87+tun_KHOfCommons*AJ87/4*INDEX(LM_All,G87))*tun_KHUsable*Arch_KH</x:f>
        <x:v>6.843335586098694</x:v>
      </x:c>
      <x:c r="AO87" s="32" t="n">
        <x:f>MIN(AP86+AN87,AM87*tun_KHMaxRatio)</x:f>
        <x:v>6.843335586098694</x:v>
      </x:c>
      <x:c r="AP87" s="32" t="n">
        <x:f>AP86+AN87-AO87</x:f>
        <x:v>0</x:v>
      </x:c>
      <x:c r="AQ87" s="32" t="n">
        <x:f>AM87+AO87</x:f>
        <x:v>48.79687415811886</x:v>
      </x:c>
      <x:c r="AR87" s="10" t="n">
        <x:f>IF(H87=1,INDEX(tun_Req,G87),0)</x:f>
        <x:v>3321.0609999999997</x:v>
      </x:c>
      <x:c r="AS87" s="32" t="n">
        <x:f>IF(H87=1,IF(E87=1,AS86-AR86,AS86)+AQ87,0)</x:f>
        <x:v>624.8140734541125</x:v>
      </x:c>
      <x:c r="AT87" s="11" t="n">
        <x:f>IF(AR87&gt;0,MIN(1,AS87/AR87),1)</x:f>
        <x:v>0.18813688560797667</x:v>
      </x:c>
      <x:c r="AU87" s="10" t="n">
        <x:f>AB87/INDEX(tun_RepScale,G87)</x:f>
        <x:v>59.63522971979863</x:v>
      </x:c>
      <x:c r="AV87" s="32" t="n">
        <x:f>AM87*60/tun_SeasonSeconds</x:f>
        <x:v>167.81415428808066</x:v>
      </x:c>
    </x:row>
    <x:row r="88">
      <x:c r="A88" s="8" t="n">
        <x:f>A87+1</x:f>
        <x:v>85</x:v>
      </x:c>
      <x:c r="B88" s="9" t="n">
        <x:f>A88*tun_SeasonSeconds/60</x:f>
        <x:v>21.25</x:v>
      </x:c>
      <x:c r="C88" s="9" t="n">
        <x:f>A88/4</x:f>
        <x:v>21.25</x:v>
      </x:c>
      <x:c r="D88" s="8" t="n">
        <x:f>IF(MOD(A88,4)=0,1,0)</x:f>
        <x:v>0</x:v>
      </x:c>
      <x:c r="E88" s="8" t="n">
        <x:f>IF(AND(F87&lt;=9,AS87&gt;=AR87),1,0)</x:f>
        <x:v>0</x:v>
      </x:c>
      <x:c r="F88" s="8" t="n">
        <x:f>MIN(10,F87+E88)</x:f>
        <x:v>2</x:v>
      </x:c>
      <x:c r="G88" s="8" t="n">
        <x:f>MIN(F88,9)+1</x:f>
        <x:v>3</x:v>
      </x:c>
      <x:c r="H88" s="8" t="n">
        <x:f>IF(F88&lt;=9,1,0)</x:f>
        <x:v>1</x:v>
      </x:c>
      <x:c r="I88" s="9" t="n">
        <x:f>MIN(10,F87+IF(AR87&gt;0,MIN(1,AS87/AR87),1))</x:f>
        <x:v>2.188136885607977</x:v>
      </x:c>
      <x:c r="J88" s="32" t="n">
        <x:f>INDEX(tun_FoodCap,G88)*Arch_FoodCap*EXP(tun_CapsByProject*SUMPRODUCT((Cap_Point&lt;=I88)*(Cap_Kind="Food")*Cap_Ln))</x:f>
        <x:v>47.91205529604931</x:v>
      </x:c>
      <x:c r="K88" s="32" t="n">
        <x:f>J88*MIN(1,tun_LeanBase*EXP(tun_CapsByProject*SUMPRODUCT((Cap_Point&lt;=I88)*(Cap_Kind="Lean")*Cap_Ln)))</x:f>
        <x:v>47.91205529604931</x:v>
      </x:c>
      <x:c r="L88" s="10" t="n">
        <x:f>INDEX(tun_HousingCap,G88)*EXP(tun_CapsByProject*SUMPRODUCT((Cap_Point&lt;=I88)*(Cap_Kind="Housing")*Cap_Ln))</x:f>
        <x:v>117</x:v>
      </x:c>
      <x:c r="M88" s="10" t="n">
        <x:f>INDEX(tun_GroupCap,G88)*tun_CohesionFactor*EXP(tun_CapsByProject*SUMPRODUCT((Cap_Point&lt;=I88)*(Cap_Kind="Group")*Cap_Ln))</x:f>
        <x:v>150.00000000000003</x:v>
      </x:c>
      <x:c r="N88" s="32" t="n">
        <x:f>MIN(J88,L88,M88)</x:f>
        <x:v>47.91205529604931</x:v>
      </x:c>
      <x:c r="O88" s="10" t="n">
        <x:f>AE87*N88</x:f>
        <x:v>95.82411059209862</x:v>
      </x:c>
      <x:c r="P88" s="9" t="n">
        <x:f>MIN(1,(AB87/(AE87*IF(tun_GroupInCrowding=1,N88,MIN(J88,L88))))^tun_CrowdingExp)</x:f>
        <x:v>0.05809899197460781</x:v>
      </x:c>
      <x:c r="Q88" s="9" t="n">
        <x:f>IF(D88=1,INDEX(tun_WinterMult,G88),1)</x:f>
        <x:v>1</x:v>
      </x:c>
      <x:c r="R88" s="9" t="n">
        <x:f>H88*Z87*tun_WomenShare*tun_BaseFertility*INDEX(tun_FertMult,G88)*Arch_Fertility*(1-P88)</x:f>
        <x:v>1.6169976366622003</x:v>
      </x:c>
      <x:c r="S88" s="9" t="n">
        <x:f>H88*Y87*INDEX(tun_MortChild,G88)/4*Q88</x:f>
        <x:v>0.29753334733384795</x:v>
      </x:c>
      <x:c r="T88" s="9" t="n">
        <x:f>H88*Z87*INDEX(tun_MortAdult,G88)*Arch_AdultMort/4*Q88</x:f>
        <x:v>0.06094929257856467</x:v>
      </x:c>
      <x:c r="U88" s="9" t="n">
        <x:f>H88*AA87*INDEX(tun_MortElder,G88)/4*Q88</x:f>
        <x:v>0.07573857524382449</x:v>
      </x:c>
      <x:c r="V88" s="9" t="n">
        <x:f>H88*MAX(0,AB87-O88)*tun_OvercapLoss</x:f>
        <x:v>0</x:v>
      </x:c>
      <x:c r="W88" s="9" t="n">
        <x:f>H88*Y87/(tun_ChildYears*4)</x:f>
        <x:v>0.6072109129262202</x:v>
      </x:c>
      <x:c r="X88" s="9" t="n">
        <x:f>H88*Z87/(tun_AdultYears*4)</x:f>
        <x:v>0.1638421843509803</x:v>
      </x:c>
      <x:c r="Y88" s="32" t="n">
        <x:f>Y87+R88-S88-W88-Y87*V88/AB87</x:f>
        <x:v>34.71606450027046</x:v>
      </x:c>
      <x:c r="Z88" s="32" t="n">
        <x:f>Z87+W88-X88-T88-Z87*V88/AB87</x:f>
        <x:v>20.698850295518234</x:v>
      </x:c>
      <x:c r="AA88" s="32" t="n">
        <x:f>AA87+X88-U88-AA87*V88/AB87</x:f>
        <x:v>5.403091345515892</x:v>
      </x:c>
      <x:c r="AB88" s="10" t="n">
        <x:f>Y88+Z88+AA88</x:f>
        <x:v>60.818006141304586</x:v>
      </x:c>
      <x:c r="AC88" s="8" t="n">
        <x:f>IF(AND(tun_WinterTrigger=1,D88=1,AB87/AE87&gt;=K88),1,0)</x:f>
        <x:v>0</x:v>
      </x:c>
      <x:c r="AD88" s="8" t="n">
        <x:f>H88*IF(AND(OR(AB87/AE87&gt;=tun_FissionTrigger*N88,AC88=1),AB87/AE87*tun_DaughterShare&gt;=tun_MinDaughter),MAX(1,ROUND(AE87*tun_FissionRate,0)),0)</x:f>
        <x:v>0</x:v>
      </x:c>
      <x:c r="AE88" s="8" t="n">
        <x:f>IF(H88=1,MAX(1,MIN(INDEX(tun_Smax,G88),AE87+AD88)),AE87)</x:f>
        <x:v>2</x:v>
      </x:c>
      <x:c r="AF88" s="8" t="n">
        <x:f>MAX(0,AE88-AE87)</x:f>
        <x:v>0</x:v>
      </x:c>
      <x:c r="AG88" s="9" t="str">
        <x:f>IF(AF88&gt;0,B88,"")</x:f>
      </x:c>
      <x:c r="AH88" s="9" t="n">
        <x:f>IF(F88&gt;=1,1,(1+tun_LowTiesShare*(AE88-1))/AE88)</x:f>
        <x:v>1</x:v>
      </x:c>
      <x:c r="AI88" s="32" t="n">
        <x:f>(Z88+tun_ElderCommons*INDEX(LM_Elder,G88)*AA88)*AH88</x:f>
        <x:v>36.90812433206591</x:v>
      </x:c>
      <x:c r="AJ88" s="32" t="n">
        <x:f>H88*tun_CommonsCoef*AI88^tun_CommonsExp*INDEX(LM_Commons,G88)</x:f>
        <x:v>113.41946678925706</x:v>
      </x:c>
      <x:c r="AK88" s="32" t="n">
        <x:f>H88*tun_RoleScale*Arch_Roles*(AE88*(INDEX(tun_ElderRolePerSett,G88)*tun_OutElder*INDEX(LM_Elder,G88)+INDEX(tun_ShamanPerSett,G88)*tun_OutShaman)+Z88*(INDEX(tun_PriestShare,G88)*tun_OutPriest+INDEX(tun_ScribeShare,G88)*tun_OutScribe*INDEX(LM_Scribe,G88)+INDEX(tun_ScholarShare,G88)*tun_OutScholar*INDEX(LM_Scholar,G88)+INDEX(tun_ResearcherShare,G88)*tun_OutResearcher*INDEX(LM_Researcher,G88)))</x:f>
        <x:v>48</x:v>
      </x:c>
      <x:c r="AL88" s="32" t="n">
        <x:f>H88*tun_RoleScale*Arch_Roles*AE88*INDEX(tun_MonasteryPerSett,G88)*tun_OutMonastery*INDEX(LM_Monastery,G88)</x:f>
        <x:v>0</x:v>
      </x:c>
      <x:c r="AM88" s="32" t="n">
        <x:f>(AJ88+AK88+AL88)/4*INDEX(LM_All,G88)*INDEX(tun_Boon,G88)*Arch_Insight</x:f>
        <x:v>42.39783182386579</x:v>
      </x:c>
      <x:c r="AN88" s="32" t="n">
        <x:f>H88*(tun_KHPerAdult*Z88+tun_KHOfCommons*AJ88/4*INDEX(LM_All,G88))*tun_KHUsable*Arch_KH</x:f>
        <x:v>6.946942340841994</x:v>
      </x:c>
      <x:c r="AO88" s="32" t="n">
        <x:f>MIN(AP87+AN88,AM88*tun_KHMaxRatio)</x:f>
        <x:v>6.946942340841994</x:v>
      </x:c>
      <x:c r="AP88" s="32" t="n">
        <x:f>AP87+AN88-AO88</x:f>
        <x:v>0</x:v>
      </x:c>
      <x:c r="AQ88" s="32" t="n">
        <x:f>AM88+AO88</x:f>
        <x:v>49.344774164707786</x:v>
      </x:c>
      <x:c r="AR88" s="10" t="n">
        <x:f>IF(H88=1,INDEX(tun_Req,G88),0)</x:f>
        <x:v>3321.0609999999997</x:v>
      </x:c>
      <x:c r="AS88" s="32" t="n">
        <x:f>IF(H88=1,IF(E88=1,AS87-AR87,AS87)+AQ88,0)</x:f>
        <x:v>674.1588476188203</x:v>
      </x:c>
      <x:c r="AT88" s="11" t="n">
        <x:f>IF(AR88&gt;0,MIN(1,AS88/AR88),1)</x:f>
        <x:v>0.20299502105466308</x:v>
      </x:c>
      <x:c r="AU88" s="10" t="n">
        <x:f>AB88/INDEX(tun_RepScale,G88)</x:f>
        <x:v>60.818006141304586</x:v>
      </x:c>
      <x:c r="AV88" s="32" t="n">
        <x:f>AM88*60/tun_SeasonSeconds</x:f>
        <x:v>169.59132729546317</x:v>
      </x:c>
    </x:row>
    <x:row r="89">
      <x:c r="A89" s="8" t="n">
        <x:f>A88+1</x:f>
        <x:v>86</x:v>
      </x:c>
      <x:c r="B89" s="9" t="n">
        <x:f>A89*tun_SeasonSeconds/60</x:f>
        <x:v>21.5</x:v>
      </x:c>
      <x:c r="C89" s="9" t="n">
        <x:f>A89/4</x:f>
        <x:v>21.5</x:v>
      </x:c>
      <x:c r="D89" s="8" t="n">
        <x:f>IF(MOD(A89,4)=0,1,0)</x:f>
        <x:v>0</x:v>
      </x:c>
      <x:c r="E89" s="8" t="n">
        <x:f>IF(AND(F88&lt;=9,AS88&gt;=AR88),1,0)</x:f>
        <x:v>0</x:v>
      </x:c>
      <x:c r="F89" s="8" t="n">
        <x:f>MIN(10,F88+E89)</x:f>
        <x:v>2</x:v>
      </x:c>
      <x:c r="G89" s="8" t="n">
        <x:f>MIN(F89,9)+1</x:f>
        <x:v>3</x:v>
      </x:c>
      <x:c r="H89" s="8" t="n">
        <x:f>IF(F89&lt;=9,1,0)</x:f>
        <x:v>1</x:v>
      </x:c>
      <x:c r="I89" s="9" t="n">
        <x:f>MIN(10,F88+IF(AR88&gt;0,MIN(1,AS88/AR88),1))</x:f>
        <x:v>2.202995021054663</x:v>
      </x:c>
      <x:c r="J89" s="32" t="n">
        <x:f>INDEX(tun_FoodCap,G89)*Arch_FoodCap*EXP(tun_CapsByProject*SUMPRODUCT((Cap_Point&lt;=I89)*(Cap_Kind="Food")*Cap_Ln))</x:f>
        <x:v>47.91205529604931</x:v>
      </x:c>
      <x:c r="K89" s="32" t="n">
        <x:f>J89*MIN(1,tun_LeanBase*EXP(tun_CapsByProject*SUMPRODUCT((Cap_Point&lt;=I89)*(Cap_Kind="Lean")*Cap_Ln)))</x:f>
        <x:v>47.91205529604931</x:v>
      </x:c>
      <x:c r="L89" s="10" t="n">
        <x:f>INDEX(tun_HousingCap,G89)*EXP(tun_CapsByProject*SUMPRODUCT((Cap_Point&lt;=I89)*(Cap_Kind="Housing")*Cap_Ln))</x:f>
        <x:v>117</x:v>
      </x:c>
      <x:c r="M89" s="10" t="n">
        <x:f>INDEX(tun_GroupCap,G89)*tun_CohesionFactor*EXP(tun_CapsByProject*SUMPRODUCT((Cap_Point&lt;=I89)*(Cap_Kind="Group")*Cap_Ln))</x:f>
        <x:v>150.00000000000003</x:v>
      </x:c>
      <x:c r="N89" s="32" t="n">
        <x:f>MIN(J89,L89,M89)</x:f>
        <x:v>47.91205529604931</x:v>
      </x:c>
      <x:c r="O89" s="10" t="n">
        <x:f>AE88*N89</x:f>
        <x:v>95.82411059209862</x:v>
      </x:c>
      <x:c r="P89" s="9" t="n">
        <x:f>MIN(1,(AB88/(AE88*IF(tun_GroupInCrowding=1,N89,MIN(J89,L89))))^tun_CrowdingExp)</x:f>
        <x:v>0.06536485271590575</x:v>
      </x:c>
      <x:c r="Q89" s="9" t="n">
        <x:f>IF(D89=1,INDEX(tun_WinterMult,G89),1)</x:f>
        <x:v>1</x:v>
      </x:c>
      <x:c r="R89" s="9" t="n">
        <x:f>H89*Z88*tun_WomenShare*tun_BaseFertility*INDEX(tun_FertMult,G89)*Arch_Fertility*(1-P89)</x:f>
        <x:v>1.634726268040582</x:v>
      </x:c>
      <x:c r="S89" s="9" t="n">
        <x:f>H89*Y88*INDEX(tun_MortChild,G89)/4*Q89</x:f>
        <x:v>0.30376556437736657</x:v>
      </x:c>
      <x:c r="T89" s="9" t="n">
        <x:f>H89*Z88*INDEX(tun_MortAdult,G89)*Arch_AdultMort/4*Q89</x:f>
        <x:v>0.062096550886554705</x:v>
      </x:c>
      <x:c r="U89" s="9" t="n">
        <x:f>H89*AA88*INDEX(tun_MortElder,G89)/4*Q89</x:f>
        <x:v>0.07699405167360146</x:v>
      </x:c>
      <x:c r="V89" s="9" t="n">
        <x:f>H89*MAX(0,AB88-O89)*tun_OvercapLoss</x:f>
        <x:v>0</x:v>
      </x:c>
      <x:c r="W89" s="9" t="n">
        <x:f>H89*Y88/(tun_ChildYears*4)</x:f>
        <x:v>0.6199297232191154</x:v>
      </x:c>
      <x:c r="X89" s="9" t="n">
        <x:f>H89*Z88/(tun_AdultYears*4)</x:f>
        <x:v>0.1669262120606309</x:v>
      </x:c>
      <x:c r="Y89" s="32" t="n">
        <x:f>Y88+R89-S89-W89-Y88*V89/AB88</x:f>
        <x:v>35.42709548071456</x:v>
      </x:c>
      <x:c r="Z89" s="32" t="n">
        <x:f>Z88+W89-X89-T89-Z88*V89/AB88</x:f>
        <x:v>21.089757255790165</x:v>
      </x:c>
      <x:c r="AA89" s="32" t="n">
        <x:f>AA88+X89-U89-AA88*V89/AB88</x:f>
        <x:v>5.493023505902921</x:v>
      </x:c>
      <x:c r="AB89" s="10" t="n">
        <x:f>Y89+Z89+AA89</x:f>
        <x:v>62.00987624240765</x:v>
      </x:c>
      <x:c r="AC89" s="8" t="n">
        <x:f>IF(AND(tun_WinterTrigger=1,D89=1,AB88/AE88&gt;=K89),1,0)</x:f>
        <x:v>0</x:v>
      </x:c>
      <x:c r="AD89" s="8" t="n">
        <x:f>H89*IF(AND(OR(AB88/AE88&gt;=tun_FissionTrigger*N89,AC89=1),AB88/AE88*tun_DaughterShare&gt;=tun_MinDaughter),MAX(1,ROUND(AE88*tun_FissionRate,0)),0)</x:f>
        <x:v>0</x:v>
      </x:c>
      <x:c r="AE89" s="8" t="n">
        <x:f>IF(H89=1,MAX(1,MIN(INDEX(tun_Smax,G89),AE88+AD89)),AE88)</x:f>
        <x:v>2</x:v>
      </x:c>
      <x:c r="AF89" s="8" t="n">
        <x:f>MAX(0,AE89-AE88)</x:f>
        <x:v>0</x:v>
      </x:c>
      <x:c r="AG89" s="9" t="str">
        <x:f>IF(AF89&gt;0,B89,"")</x:f>
      </x:c>
      <x:c r="AH89" s="9" t="n">
        <x:f>IF(F89&gt;=1,1,(1+tun_LowTiesShare*(AE89-1))/AE89)</x:f>
        <x:v>1</x:v>
      </x:c>
      <x:c r="AI89" s="32" t="n">
        <x:f>(Z89+tun_ElderCommons*INDEX(LM_Elder,G89)*AA89)*AH89</x:f>
        <x:v>37.568827773498924</x:v>
      </x:c>
      <x:c r="AJ89" s="32" t="n">
        <x:f>H89*tun_CommonsCoef*AI89^tun_CommonsExp*INDEX(LM_Commons,G89)</x:f>
        <x:v>115.14296808760592</x:v>
      </x:c>
      <x:c r="AK89" s="32" t="n">
        <x:f>H89*tun_RoleScale*Arch_Roles*(AE89*(INDEX(tun_ElderRolePerSett,G89)*tun_OutElder*INDEX(LM_Elder,G89)+INDEX(tun_ShamanPerSett,G89)*tun_OutShaman)+Z89*(INDEX(tun_PriestShare,G89)*tun_OutPriest+INDEX(tun_ScribeShare,G89)*tun_OutScribe*INDEX(LM_Scribe,G89)+INDEX(tun_ScholarShare,G89)*tun_OutScholar*INDEX(LM_Scholar,G89)+INDEX(tun_ResearcherShare,G89)*tun_OutResearcher*INDEX(LM_Researcher,G89)))</x:f>
        <x:v>48</x:v>
      </x:c>
      <x:c r="AL89" s="32" t="n">
        <x:f>H89*tun_RoleScale*Arch_Roles*AE89*INDEX(tun_MonasteryPerSett,G89)*tun_OutMonastery*INDEX(LM_Monastery,G89)</x:f>
        <x:v>0</x:v>
      </x:c>
      <x:c r="AM89" s="32" t="n">
        <x:f>(AJ89+AK89+AL89)/4*INDEX(LM_All,G89)*INDEX(tun_Boon,G89)*Arch_Insight</x:f>
        <x:v>42.85052021176024</x:v>
      </x:c>
      <x:c r="AN89" s="32" t="n">
        <x:f>H89*(tun_KHPerAdult*Z89+tun_KHOfCommons*AJ89/4*INDEX(LM_All,G89))*tun_KHUsable*Arch_KH</x:f>
        <x:v>7.052506795365861</x:v>
      </x:c>
      <x:c r="AO89" s="32" t="n">
        <x:f>MIN(AP88+AN89,AM89*tun_KHMaxRatio)</x:f>
        <x:v>7.052506795365861</x:v>
      </x:c>
      <x:c r="AP89" s="32" t="n">
        <x:f>AP88+AN89-AO89</x:f>
        <x:v>0</x:v>
      </x:c>
      <x:c r="AQ89" s="32" t="n">
        <x:f>AM89+AO89</x:f>
        <x:v>49.9030270071261</x:v>
      </x:c>
      <x:c r="AR89" s="10" t="n">
        <x:f>IF(H89=1,INDEX(tun_Req,G89),0)</x:f>
        <x:v>3321.0609999999997</x:v>
      </x:c>
      <x:c r="AS89" s="32" t="n">
        <x:f>IF(H89=1,IF(E89=1,AS88-AR88,AS88)+AQ89,0)</x:f>
        <x:v>724.0618746259464</x:v>
      </x:c>
      <x:c r="AT89" s="11" t="n">
        <x:f>IF(AR89&gt;0,MIN(1,AS89/AR89),1)</x:f>
        <x:v>0.21802125122843166</x:v>
      </x:c>
      <x:c r="AU89" s="10" t="n">
        <x:f>AB89/INDEX(tun_RepScale,G89)</x:f>
        <x:v>62.00987624240765</x:v>
      </x:c>
      <x:c r="AV89" s="32" t="n">
        <x:f>AM89*60/tun_SeasonSeconds</x:f>
        <x:v>171.40208084704096</x:v>
      </x:c>
    </x:row>
    <x:row r="90">
      <x:c r="A90" s="8" t="n">
        <x:f>A89+1</x:f>
        <x:v>87</x:v>
      </x:c>
      <x:c r="B90" s="9" t="n">
        <x:f>A90*tun_SeasonSeconds/60</x:f>
        <x:v>21.75</x:v>
      </x:c>
      <x:c r="C90" s="9" t="n">
        <x:f>A90/4</x:f>
        <x:v>21.75</x:v>
      </x:c>
      <x:c r="D90" s="8" t="n">
        <x:f>IF(MOD(A90,4)=0,1,0)</x:f>
        <x:v>0</x:v>
      </x:c>
      <x:c r="E90" s="8" t="n">
        <x:f>IF(AND(F89&lt;=9,AS89&gt;=AR89),1,0)</x:f>
        <x:v>0</x:v>
      </x:c>
      <x:c r="F90" s="8" t="n">
        <x:f>MIN(10,F89+E90)</x:f>
        <x:v>2</x:v>
      </x:c>
      <x:c r="G90" s="8" t="n">
        <x:f>MIN(F90,9)+1</x:f>
        <x:v>3</x:v>
      </x:c>
      <x:c r="H90" s="8" t="n">
        <x:f>IF(F90&lt;=9,1,0)</x:f>
        <x:v>1</x:v>
      </x:c>
      <x:c r="I90" s="9" t="n">
        <x:f>MIN(10,F89+IF(AR89&gt;0,MIN(1,AS89/AR89),1))</x:f>
        <x:v>2.2180212512284316</x:v>
      </x:c>
      <x:c r="J90" s="32" t="n">
        <x:f>INDEX(tun_FoodCap,G90)*Arch_FoodCap*EXP(tun_CapsByProject*SUMPRODUCT((Cap_Point&lt;=I90)*(Cap_Kind="Food")*Cap_Ln))</x:f>
        <x:v>47.91205529604931</x:v>
      </x:c>
      <x:c r="K90" s="32" t="n">
        <x:f>J90*MIN(1,tun_LeanBase*EXP(tun_CapsByProject*SUMPRODUCT((Cap_Point&lt;=I90)*(Cap_Kind="Lean")*Cap_Ln)))</x:f>
        <x:v>47.91205529604931</x:v>
      </x:c>
      <x:c r="L90" s="10" t="n">
        <x:f>INDEX(tun_HousingCap,G90)*EXP(tun_CapsByProject*SUMPRODUCT((Cap_Point&lt;=I90)*(Cap_Kind="Housing")*Cap_Ln))</x:f>
        <x:v>117</x:v>
      </x:c>
      <x:c r="M90" s="10" t="n">
        <x:f>INDEX(tun_GroupCap,G90)*tun_CohesionFactor*EXP(tun_CapsByProject*SUMPRODUCT((Cap_Point&lt;=I90)*(Cap_Kind="Group")*Cap_Ln))</x:f>
        <x:v>150.00000000000003</x:v>
      </x:c>
      <x:c r="N90" s="32" t="n">
        <x:f>MIN(J90,L90,M90)</x:f>
        <x:v>47.91205529604931</x:v>
      </x:c>
      <x:c r="O90" s="10" t="n">
        <x:f>AE89*N90</x:f>
        <x:v>95.82411059209862</x:v>
      </x:c>
      <x:c r="P90" s="9" t="n">
        <x:f>MIN(1,(AB89/(AE89*IF(tun_GroupInCrowding=1,N90,MIN(J90,L90))))^tun_CrowdingExp)</x:f>
        <x:v>0.07343725004579865</x:v>
      </x:c>
      <x:c r="Q90" s="9" t="n">
        <x:f>IF(D90=1,INDEX(tun_WinterMult,G90),1)</x:f>
        <x:v>1</x:v>
      </x:c>
      <x:c r="R90" s="9" t="n">
        <x:f>H90*Z89*tun_WomenShare*tun_BaseFertility*INDEX(tun_FertMult,G90)*Arch_Fertility*(1-P90)</x:f>
        <x:v>1.6512131039578823</x:v>
      </x:c>
      <x:c r="S90" s="9" t="n">
        <x:f>H90*Y89*INDEX(tun_MortChild,G90)/4*Q90</x:f>
        <x:v>0.3099870854562525</x:v>
      </x:c>
      <x:c r="T90" s="9" t="n">
        <x:f>H90*Z89*INDEX(tun_MortAdult,G90)*Arch_AdultMort/4*Q90</x:f>
        <x:v>0.06326927176737049</x:v>
      </x:c>
      <x:c r="U90" s="9" t="n">
        <x:f>H90*AA89*INDEX(tun_MortElder,G90)/4*Q90</x:f>
        <x:v>0.07827558495911663</x:v>
      </x:c>
      <x:c r="V90" s="9" t="n">
        <x:f>H90*MAX(0,AB89-O90)*tun_OvercapLoss</x:f>
        <x:v>0</x:v>
      </x:c>
      <x:c r="W90" s="9" t="n">
        <x:f>H90*Y89/(tun_ChildYears*4)</x:f>
        <x:v>0.6326267050127601</x:v>
      </x:c>
      <x:c r="X90" s="9" t="n">
        <x:f>H90*Z89/(tun_AdultYears*4)</x:f>
        <x:v>0.1700786875466949</x:v>
      </x:c>
      <x:c r="Y90" s="32" t="n">
        <x:f>Y89+R90-S90-W90-Y89*V90/AB89</x:f>
        <x:v>36.13569479420343</x:v>
      </x:c>
      <x:c r="Z90" s="32" t="n">
        <x:f>Z89+W90-X90-T90-Z89*V90/AB89</x:f>
        <x:v>21.48903600148886</x:v>
      </x:c>
      <x:c r="AA90" s="32" t="n">
        <x:f>AA89+X90-U90-AA89*V90/AB89</x:f>
        <x:v>5.5848266084905</x:v>
      </x:c>
      <x:c r="AB90" s="10" t="n">
        <x:f>Y90+Z90+AA90</x:f>
        <x:v>63.20955740418279</x:v>
      </x:c>
      <x:c r="AC90" s="8" t="n">
        <x:f>IF(AND(tun_WinterTrigger=1,D90=1,AB89/AE89&gt;=K90),1,0)</x:f>
        <x:v>0</x:v>
      </x:c>
      <x:c r="AD90" s="8" t="n">
        <x:f>H90*IF(AND(OR(AB89/AE89&gt;=tun_FissionTrigger*N90,AC90=1),AB89/AE89*tun_DaughterShare&gt;=tun_MinDaughter),MAX(1,ROUND(AE89*tun_FissionRate,0)),0)</x:f>
        <x:v>0</x:v>
      </x:c>
      <x:c r="AE90" s="8" t="n">
        <x:f>IF(H90=1,MAX(1,MIN(INDEX(tun_Smax,G90),AE89+AD90)),AE89)</x:f>
        <x:v>2</x:v>
      </x:c>
      <x:c r="AF90" s="8" t="n">
        <x:f>MAX(0,AE90-AE89)</x:f>
        <x:v>0</x:v>
      </x:c>
      <x:c r="AG90" s="9" t="str">
        <x:f>IF(AF90&gt;0,B90,"")</x:f>
      </x:c>
      <x:c r="AH90" s="9" t="n">
        <x:f>IF(F90&gt;=1,1,(1+tun_LowTiesShare*(AE90-1))/AE90)</x:f>
        <x:v>1</x:v>
      </x:c>
      <x:c r="AI90" s="32" t="n">
        <x:f>(Z90+tun_ElderCommons*INDEX(LM_Elder,G90)*AA90)*AH90</x:f>
        <x:v>38.24351582696036</x:v>
      </x:c>
      <x:c r="AJ90" s="32" t="n">
        <x:f>H90*tun_CommonsCoef*AI90^tun_CommonsExp*INDEX(LM_Commons,G90)</x:f>
        <x:v>116.89826410901014</x:v>
      </x:c>
      <x:c r="AK90" s="32" t="n">
        <x:f>H90*tun_RoleScale*Arch_Roles*(AE90*(INDEX(tun_ElderRolePerSett,G90)*tun_OutElder*INDEX(LM_Elder,G90)+INDEX(tun_ShamanPerSett,G90)*tun_OutShaman)+Z90*(INDEX(tun_PriestShare,G90)*tun_OutPriest+INDEX(tun_ScribeShare,G90)*tun_OutScribe*INDEX(LM_Scribe,G90)+INDEX(tun_ScholarShare,G90)*tun_OutScholar*INDEX(LM_Scholar,G90)+INDEX(tun_ResearcherShare,G90)*tun_OutResearcher*INDEX(LM_Researcher,G90)))</x:f>
        <x:v>48</x:v>
      </x:c>
      <x:c r="AL90" s="32" t="n">
        <x:f>H90*tun_RoleScale*Arch_Roles*AE90*INDEX(tun_MonasteryPerSett,G90)*tun_OutMonastery*INDEX(LM_Monastery,G90)</x:f>
        <x:v>0</x:v>
      </x:c>
      <x:c r="AM90" s="32" t="n">
        <x:f>(AJ90+AK90+AL90)/4*INDEX(LM_All,G90)*INDEX(tun_Boon,G90)*Arch_Insight</x:f>
        <x:v>43.31155968238219</x:v>
      </x:c>
      <x:c r="AN90" s="32" t="n">
        <x:f>H90*(tun_KHPerAdult*Z90+tun_KHOfCommons*AJ90/4*INDEX(LM_All,G90))*tun_KHUsable*Arch_KH</x:f>
        <x:v>7.16001867667687</x:v>
      </x:c>
      <x:c r="AO90" s="32" t="n">
        <x:f>MIN(AP89+AN90,AM90*tun_KHMaxRatio)</x:f>
        <x:v>7.16001867667687</x:v>
      </x:c>
      <x:c r="AP90" s="32" t="n">
        <x:f>AP89+AN90-AO90</x:f>
        <x:v>0</x:v>
      </x:c>
      <x:c r="AQ90" s="32" t="n">
        <x:f>AM90+AO90</x:f>
        <x:v>50.47157835905906</x:v>
      </x:c>
      <x:c r="AR90" s="10" t="n">
        <x:f>IF(H90=1,INDEX(tun_Req,G90),0)</x:f>
        <x:v>3321.0609999999997</x:v>
      </x:c>
      <x:c r="AS90" s="32" t="n">
        <x:f>IF(H90=1,IF(E90=1,AS89-AR89,AS89)+AQ90,0)</x:f>
        <x:v>774.5334529850055</x:v>
      </x:c>
      <x:c r="AT90" s="11" t="n">
        <x:f>IF(AR90&gt;0,MIN(1,AS90/AR90),1)</x:f>
        <x:v>0.23321867709897698</x:v>
      </x:c>
      <x:c r="AU90" s="10" t="n">
        <x:f>AB90/INDEX(tun_RepScale,G90)</x:f>
        <x:v>63.20955740418279</x:v>
      </x:c>
      <x:c r="AV90" s="32" t="n">
        <x:f>AM90*60/tun_SeasonSeconds</x:f>
        <x:v>173.24623872952876</x:v>
      </x:c>
    </x:row>
    <x:row r="91">
      <x:c r="A91" s="8" t="n">
        <x:f>A90+1</x:f>
        <x:v>88</x:v>
      </x:c>
      <x:c r="B91" s="9" t="n">
        <x:f>A91*tun_SeasonSeconds/60</x:f>
        <x:v>22</x:v>
      </x:c>
      <x:c r="C91" s="9" t="n">
        <x:f>A91/4</x:f>
        <x:v>22</x:v>
      </x:c>
      <x:c r="D91" s="8" t="n">
        <x:f>IF(MOD(A91,4)=0,1,0)</x:f>
        <x:v>1</x:v>
      </x:c>
      <x:c r="E91" s="8" t="n">
        <x:f>IF(AND(F90&lt;=9,AS90&gt;=AR90),1,0)</x:f>
        <x:v>0</x:v>
      </x:c>
      <x:c r="F91" s="8" t="n">
        <x:f>MIN(10,F90+E91)</x:f>
        <x:v>2</x:v>
      </x:c>
      <x:c r="G91" s="8" t="n">
        <x:f>MIN(F91,9)+1</x:f>
        <x:v>3</x:v>
      </x:c>
      <x:c r="H91" s="8" t="n">
        <x:f>IF(F91&lt;=9,1,0)</x:f>
        <x:v>1</x:v>
      </x:c>
      <x:c r="I91" s="9" t="n">
        <x:f>MIN(10,F90+IF(AR90&gt;0,MIN(1,AS90/AR90),1))</x:f>
        <x:v>2.233218677098977</x:v>
      </x:c>
      <x:c r="J91" s="32" t="n">
        <x:f>INDEX(tun_FoodCap,G91)*Arch_FoodCap*EXP(tun_CapsByProject*SUMPRODUCT((Cap_Point&lt;=I91)*(Cap_Kind="Food")*Cap_Ln))</x:f>
        <x:v>47.91205529604931</x:v>
      </x:c>
      <x:c r="K91" s="32" t="n">
        <x:f>J91*MIN(1,tun_LeanBase*EXP(tun_CapsByProject*SUMPRODUCT((Cap_Point&lt;=I91)*(Cap_Kind="Lean")*Cap_Ln)))</x:f>
        <x:v>47.91205529604931</x:v>
      </x:c>
      <x:c r="L91" s="10" t="n">
        <x:f>INDEX(tun_HousingCap,G91)*EXP(tun_CapsByProject*SUMPRODUCT((Cap_Point&lt;=I91)*(Cap_Kind="Housing")*Cap_Ln))</x:f>
        <x:v>117</x:v>
      </x:c>
      <x:c r="M91" s="10" t="n">
        <x:f>INDEX(tun_GroupCap,G91)*tun_CohesionFactor*EXP(tun_CapsByProject*SUMPRODUCT((Cap_Point&lt;=I91)*(Cap_Kind="Group")*Cap_Ln))</x:f>
        <x:v>150.00000000000003</x:v>
      </x:c>
      <x:c r="N91" s="32" t="n">
        <x:f>MIN(J91,L91,M91)</x:f>
        <x:v>47.91205529604931</x:v>
      </x:c>
      <x:c r="O91" s="10" t="n">
        <x:f>AE90*N91</x:f>
        <x:v>95.82411059209862</x:v>
      </x:c>
      <x:c r="P91" s="9" t="n">
        <x:f>MIN(1,(AB90/(AE90*IF(tun_GroupInCrowding=1,N91,MIN(J91,L91))))^tun_CrowdingExp)</x:f>
        <x:v>0.08238491814708518</x:v>
      </x:c>
      <x:c r="Q91" s="9" t="n">
        <x:f>IF(D91=1,INDEX(tun_WinterMult,G91),1)</x:f>
        <x:v>1.4</x:v>
      </x:c>
      <x:c r="R91" s="9" t="n">
        <x:f>H91*Z90*tun_WomenShare*tun_BaseFertility*INDEX(tun_FertMult,G91)*Arch_Fertility*(1-P91)</x:f>
        <x:v>1.6662270682382236</x:v>
      </x:c>
      <x:c r="S91" s="9" t="n">
        <x:f>H91*Y90*INDEX(tun_MortChild,G91)/4*Q91</x:f>
        <x:v>0.44266226122899205</x:v>
      </x:c>
      <x:c r="T91" s="9" t="n">
        <x:f>H91*Z90*INDEX(tun_MortAdult,G91)*Arch_AdultMort/4*Q91</x:f>
        <x:v>0.0902539512062532</x:v>
      </x:c>
      <x:c r="U91" s="9" t="n">
        <x:f>H91*AA90*INDEX(tun_MortElder,G91)/4*Q91</x:f>
        <x:v>0.11141729083938548</x:v>
      </x:c>
      <x:c r="V91" s="9" t="n">
        <x:f>H91*MAX(0,AB90-O91)*tun_OvercapLoss</x:f>
        <x:v>0</x:v>
      </x:c>
      <x:c r="W91" s="9" t="n">
        <x:f>H91*Y90/(tun_ChildYears*4)</x:f>
        <x:v>0.6452802641822041</x:v>
      </x:c>
      <x:c r="X91" s="9" t="n">
        <x:f>H91*Z90/(tun_AdultYears*4)</x:f>
        <x:v>0.17329867743136176</x:v>
      </x:c>
      <x:c r="Y91" s="32" t="n">
        <x:f>Y90+R91-S91-W91-Y90*V91/AB90</x:f>
        <x:v>36.71397933703046</x:v>
      </x:c>
      <x:c r="Z91" s="32" t="n">
        <x:f>Z90+W91-X91-T91-Z90*V91/AB90</x:f>
        <x:v>21.87076363703345</x:v>
      </x:c>
      <x:c r="AA91" s="32" t="n">
        <x:f>AA90+X91-U91-AA90*V91/AB90</x:f>
        <x:v>5.646707995082476</x:v>
      </x:c>
      <x:c r="AB91" s="10" t="n">
        <x:f>Y91+Z91+AA91</x:f>
        <x:v>64.23145096914638</x:v>
      </x:c>
      <x:c r="AC91" s="8" t="n">
        <x:f>IF(AND(tun_WinterTrigger=1,D91=1,AB90/AE90&gt;=K91),1,0)</x:f>
        <x:v>0</x:v>
      </x:c>
      <x:c r="AD91" s="8" t="n">
        <x:f>H91*IF(AND(OR(AB90/AE90&gt;=tun_FissionTrigger*N91,AC91=1),AB90/AE90*tun_DaughterShare&gt;=tun_MinDaughter),MAX(1,ROUND(AE90*tun_FissionRate,0)),0)</x:f>
        <x:v>0</x:v>
      </x:c>
      <x:c r="AE91" s="8" t="n">
        <x:f>IF(H91=1,MAX(1,MIN(INDEX(tun_Smax,G91),AE90+AD91)),AE90)</x:f>
        <x:v>2</x:v>
      </x:c>
      <x:c r="AF91" s="8" t="n">
        <x:f>MAX(0,AE91-AE90)</x:f>
        <x:v>0</x:v>
      </x:c>
      <x:c r="AG91" s="9" t="str">
        <x:f>IF(AF91&gt;0,B91,"")</x:f>
      </x:c>
      <x:c r="AH91" s="9" t="n">
        <x:f>IF(F91&gt;=1,1,(1+tun_LowTiesShare*(AE91-1))/AE91)</x:f>
        <x:v>1</x:v>
      </x:c>
      <x:c r="AI91" s="32" t="n">
        <x:f>(Z91+tun_ElderCommons*INDEX(LM_Elder,G91)*AA91)*AH91</x:f>
        <x:v>38.81088762228087</x:v>
      </x:c>
      <x:c r="AJ91" s="32" t="n">
        <x:f>H91*tun_CommonsCoef*AI91^tun_CommonsExp*INDEX(LM_Commons,G91)</x:f>
        <x:v>118.3707669722392</x:v>
      </x:c>
      <x:c r="AK91" s="32" t="n">
        <x:f>H91*tun_RoleScale*Arch_Roles*(AE91*(INDEX(tun_ElderRolePerSett,G91)*tun_OutElder*INDEX(LM_Elder,G91)+INDEX(tun_ShamanPerSett,G91)*tun_OutShaman)+Z91*(INDEX(tun_PriestShare,G91)*tun_OutPriest+INDEX(tun_ScribeShare,G91)*tun_OutScribe*INDEX(LM_Scribe,G91)+INDEX(tun_ScholarShare,G91)*tun_OutScholar*INDEX(LM_Scholar,G91)+INDEX(tun_ResearcherShare,G91)*tun_OutResearcher*INDEX(LM_Researcher,G91)))</x:f>
        <x:v>48</x:v>
      </x:c>
      <x:c r="AL91" s="32" t="n">
        <x:f>H91*tun_RoleScale*Arch_Roles*AE91*INDEX(tun_MonasteryPerSett,G91)*tun_OutMonastery*INDEX(LM_Monastery,G91)</x:f>
        <x:v>0</x:v>
      </x:c>
      <x:c r="AM91" s="32" t="n">
        <x:f>(AJ91+AK91+AL91)/4*INDEX(LM_All,G91)*INDEX(tun_Boon,G91)*Arch_Insight</x:f>
        <x:v>43.698321762552204</x:v>
      </x:c>
      <x:c r="AN91" s="32" t="n">
        <x:f>H91*(tun_KHPerAdult*Z91+tun_KHOfCommons*AJ91/4*INDEX(LM_All,G91))*tun_KHUsable*Arch_KH</x:f>
        <x:v>7.2502094770496495</x:v>
      </x:c>
      <x:c r="AO91" s="32" t="n">
        <x:f>MIN(AP90+AN91,AM91*tun_KHMaxRatio)</x:f>
        <x:v>7.2502094770496495</x:v>
      </x:c>
      <x:c r="AP91" s="32" t="n">
        <x:f>AP90+AN91-AO91</x:f>
        <x:v>0</x:v>
      </x:c>
      <x:c r="AQ91" s="32" t="n">
        <x:f>AM91+AO91</x:f>
        <x:v>50.948531239601856</x:v>
      </x:c>
      <x:c r="AR91" s="10" t="n">
        <x:f>IF(H91=1,INDEX(tun_Req,G91),0)</x:f>
        <x:v>3321.0609999999997</x:v>
      </x:c>
      <x:c r="AS91" s="32" t="n">
        <x:f>IF(H91=1,IF(E91=1,AS90-AR90,AS90)+AQ91,0)</x:f>
        <x:v>825.4819842246073</x:v>
      </x:c>
      <x:c r="AT91" s="11" t="n">
        <x:f>IF(AR91&gt;0,MIN(1,AS91/AR91),1)</x:f>
        <x:v>0.24855971757959502</x:v>
      </x:c>
      <x:c r="AU91" s="10" t="n">
        <x:f>AB91/INDEX(tun_RepScale,G91)</x:f>
        <x:v>64.23145096914638</x:v>
      </x:c>
      <x:c r="AV91" s="32" t="n">
        <x:f>AM91*60/tun_SeasonSeconds</x:f>
        <x:v>174.79328705020882</x:v>
      </x:c>
    </x:row>
    <x:row r="92">
      <x:c r="A92" s="8" t="n">
        <x:f>A91+1</x:f>
        <x:v>89</x:v>
      </x:c>
      <x:c r="B92" s="9" t="n">
        <x:f>A92*tun_SeasonSeconds/60</x:f>
        <x:v>22.25</x:v>
      </x:c>
      <x:c r="C92" s="9" t="n">
        <x:f>A92/4</x:f>
        <x:v>22.25</x:v>
      </x:c>
      <x:c r="D92" s="8" t="n">
        <x:f>IF(MOD(A92,4)=0,1,0)</x:f>
        <x:v>0</x:v>
      </x:c>
      <x:c r="E92" s="8" t="n">
        <x:f>IF(AND(F91&lt;=9,AS91&gt;=AR91),1,0)</x:f>
        <x:v>0</x:v>
      </x:c>
      <x:c r="F92" s="8" t="n">
        <x:f>MIN(10,F91+E92)</x:f>
        <x:v>2</x:v>
      </x:c>
      <x:c r="G92" s="8" t="n">
        <x:f>MIN(F92,9)+1</x:f>
        <x:v>3</x:v>
      </x:c>
      <x:c r="H92" s="8" t="n">
        <x:f>IF(F92&lt;=9,1,0)</x:f>
        <x:v>1</x:v>
      </x:c>
      <x:c r="I92" s="9" t="n">
        <x:f>MIN(10,F91+IF(AR91&gt;0,MIN(1,AS91/AR91),1))</x:f>
        <x:v>2.248559717579595</x:v>
      </x:c>
      <x:c r="J92" s="32" t="n">
        <x:f>INDEX(tun_FoodCap,G92)*Arch_FoodCap*EXP(tun_CapsByProject*SUMPRODUCT((Cap_Point&lt;=I92)*(Cap_Kind="Food")*Cap_Ln))</x:f>
        <x:v>47.91205529604931</x:v>
      </x:c>
      <x:c r="K92" s="32" t="n">
        <x:f>J92*MIN(1,tun_LeanBase*EXP(tun_CapsByProject*SUMPRODUCT((Cap_Point&lt;=I92)*(Cap_Kind="Lean")*Cap_Ln)))</x:f>
        <x:v>47.91205529604931</x:v>
      </x:c>
      <x:c r="L92" s="10" t="n">
        <x:f>INDEX(tun_HousingCap,G92)*EXP(tun_CapsByProject*SUMPRODUCT((Cap_Point&lt;=I92)*(Cap_Kind="Housing")*Cap_Ln))</x:f>
        <x:v>117</x:v>
      </x:c>
      <x:c r="M92" s="10" t="n">
        <x:f>INDEX(tun_GroupCap,G92)*tun_CohesionFactor*EXP(tun_CapsByProject*SUMPRODUCT((Cap_Point&lt;=I92)*(Cap_Kind="Group")*Cap_Ln))</x:f>
        <x:v>150.00000000000003</x:v>
      </x:c>
      <x:c r="N92" s="32" t="n">
        <x:f>MIN(J92,L92,M92)</x:f>
        <x:v>47.91205529604931</x:v>
      </x:c>
      <x:c r="O92" s="10" t="n">
        <x:f>AE91*N92</x:f>
        <x:v>95.82411059209862</x:v>
      </x:c>
      <x:c r="P92" s="9" t="n">
        <x:f>MIN(1,(AB91/(AE91*IF(tun_GroupInCrowding=1,N92,MIN(J92,L92))))^tun_CrowdingExp)</x:f>
        <x:v>0.09070633392680112</x:v>
      </x:c>
      <x:c r="Q92" s="9" t="n">
        <x:f>IF(D92=1,INDEX(tun_WinterMult,G92),1)</x:f>
        <x:v>1</x:v>
      </x:c>
      <x:c r="R92" s="9" t="n">
        <x:f>H92*Z91*tun_WomenShare*tun_BaseFertility*INDEX(tun_FertMult,G92)*Arch_Fertility*(1-P92)</x:f>
        <x:v>1.6804470086001078</x:v>
      </x:c>
      <x:c r="S92" s="9" t="n">
        <x:f>H92*Y91*INDEX(tun_MortChild,G92)/4*Q92</x:f>
        <x:v>0.32124731919901656</x:v>
      </x:c>
      <x:c r="T92" s="9" t="n">
        <x:f>H92*Z91*INDEX(tun_MortAdult,G92)*Arch_AdultMort/4*Q92</x:f>
        <x:v>0.06561229091110035</x:v>
      </x:c>
      <x:c r="U92" s="9" t="n">
        <x:f>H92*AA91*INDEX(tun_MortElder,G92)/4*Q92</x:f>
        <x:v>0.0804655889299253</x:v>
      </x:c>
      <x:c r="V92" s="9" t="n">
        <x:f>H92*MAX(0,AB91-O92)*tun_OvercapLoss</x:f>
        <x:v>0</x:v>
      </x:c>
      <x:c r="W92" s="9" t="n">
        <x:f>H92*Y91/(tun_ChildYears*4)</x:f>
        <x:v>0.6556067738755439</x:v>
      </x:c>
      <x:c r="X92" s="9" t="n">
        <x:f>H92*Z91/(tun_AdultYears*4)</x:f>
        <x:v>0.17637712610510844</x:v>
      </x:c>
      <x:c r="Y92" s="32" t="n">
        <x:f>Y91+R92-S92-W92-Y91*V92/AB91</x:f>
        <x:v>37.417572252556</x:v>
      </x:c>
      <x:c r="Z92" s="32" t="n">
        <x:f>Z91+W92-X92-T92-Z91*V92/AB91</x:f>
        <x:v>22.284380993892782</x:v>
      </x:c>
      <x:c r="AA92" s="32" t="n">
        <x:f>AA91+X92-U92-AA91*V92/AB91</x:f>
        <x:v>5.742619532257659</x:v>
      </x:c>
      <x:c r="AB92" s="10" t="n">
        <x:f>Y92+Z92+AA92</x:f>
        <x:v>65.44457277870644</x:v>
      </x:c>
      <x:c r="AC92" s="8" t="n">
        <x:f>IF(AND(tun_WinterTrigger=1,D92=1,AB91/AE91&gt;=K92),1,0)</x:f>
        <x:v>0</x:v>
      </x:c>
      <x:c r="AD92" s="8" t="n">
        <x:f>H92*IF(AND(OR(AB91/AE91&gt;=tun_FissionTrigger*N92,AC92=1),AB91/AE91*tun_DaughterShare&gt;=tun_MinDaughter),MAX(1,ROUND(AE91*tun_FissionRate,0)),0)</x:f>
        <x:v>0</x:v>
      </x:c>
      <x:c r="AE92" s="8" t="n">
        <x:f>IF(H92=1,MAX(1,MIN(INDEX(tun_Smax,G92),AE91+AD92)),AE91)</x:f>
        <x:v>2</x:v>
      </x:c>
      <x:c r="AF92" s="8" t="n">
        <x:f>MAX(0,AE92-AE91)</x:f>
        <x:v>0</x:v>
      </x:c>
      <x:c r="AG92" s="9" t="str">
        <x:f>IF(AF92&gt;0,B92,"")</x:f>
      </x:c>
      <x:c r="AH92" s="9" t="n">
        <x:f>IF(F92&gt;=1,1,(1+tun_LowTiesShare*(AE92-1))/AE92)</x:f>
        <x:v>1</x:v>
      </x:c>
      <x:c r="AI92" s="32" t="n">
        <x:f>(Z92+tun_ElderCommons*INDEX(LM_Elder,G92)*AA92)*AH92</x:f>
        <x:v>39.51223959066576</x:v>
      </x:c>
      <x:c r="AJ92" s="32" t="n">
        <x:f>H92*tun_CommonsCoef*AI92^tun_CommonsExp*INDEX(LM_Commons,G92)</x:f>
        <x:v>120.18653709631693</x:v>
      </x:c>
      <x:c r="AK92" s="32" t="n">
        <x:f>H92*tun_RoleScale*Arch_Roles*(AE92*(INDEX(tun_ElderRolePerSett,G92)*tun_OutElder*INDEX(LM_Elder,G92)+INDEX(tun_ShamanPerSett,G92)*tun_OutShaman)+Z92*(INDEX(tun_PriestShare,G92)*tun_OutPriest+INDEX(tun_ScribeShare,G92)*tun_OutScribe*INDEX(LM_Scribe,G92)+INDEX(tun_ScholarShare,G92)*tun_OutScholar*INDEX(LM_Scholar,G92)+INDEX(tun_ResearcherShare,G92)*tun_OutResearcher*INDEX(LM_Researcher,G92)))</x:f>
        <x:v>48</x:v>
      </x:c>
      <x:c r="AL92" s="32" t="n">
        <x:f>H92*tun_RoleScale*Arch_Roles*AE92*INDEX(tun_MonasteryPerSett,G92)*tun_OutMonastery*INDEX(LM_Monastery,G92)</x:f>
        <x:v>0</x:v>
      </x:c>
      <x:c r="AM92" s="32" t="n">
        <x:f>(AJ92+AK92+AL92)/4*INDEX(LM_All,G92)*INDEX(tun_Boon,G92)*Arch_Insight</x:f>
        <x:v>44.17524513420449</x:v>
      </x:c>
      <x:c r="AN92" s="32" t="n">
        <x:f>H92*(tun_KHPerAdult*Z92+tun_KHOfCommons*AJ92/4*INDEX(LM_All,G92))*tun_KHUsable*Arch_KH</x:f>
        <x:v>7.361425397149411</x:v>
      </x:c>
      <x:c r="AO92" s="32" t="n">
        <x:f>MIN(AP91+AN92,AM92*tun_KHMaxRatio)</x:f>
        <x:v>7.361425397149411</x:v>
      </x:c>
      <x:c r="AP92" s="32" t="n">
        <x:f>AP91+AN92-AO92</x:f>
        <x:v>0</x:v>
      </x:c>
      <x:c r="AQ92" s="32" t="n">
        <x:f>AM92+AO92</x:f>
        <x:v>51.5366705313539</x:v>
      </x:c>
      <x:c r="AR92" s="10" t="n">
        <x:f>IF(H92=1,INDEX(tun_Req,G92),0)</x:f>
        <x:v>3321.0609999999997</x:v>
      </x:c>
      <x:c r="AS92" s="32" t="n">
        <x:f>IF(H92=1,IF(E92=1,AS91-AR91,AS91)+AQ92,0)</x:f>
        <x:v>877.0186547559613</x:v>
      </x:c>
      <x:c r="AT92" s="11" t="n">
        <x:f>IF(AR92&gt;0,MIN(1,AS92/AR92),1)</x:f>
        <x:v>0.26407785185395916</x:v>
      </x:c>
      <x:c r="AU92" s="10" t="n">
        <x:f>AB92/INDEX(tun_RepScale,G92)</x:f>
        <x:v>65.44457277870644</x:v>
      </x:c>
      <x:c r="AV92" s="32" t="n">
        <x:f>AM92*60/tun_SeasonSeconds</x:f>
        <x:v>176.70098053681795</x:v>
      </x:c>
    </x:row>
    <x:row r="93">
      <x:c r="A93" s="8" t="n">
        <x:f>A92+1</x:f>
        <x:v>90</x:v>
      </x:c>
      <x:c r="B93" s="9" t="n">
        <x:f>A93*tun_SeasonSeconds/60</x:f>
        <x:v>22.5</x:v>
      </x:c>
      <x:c r="C93" s="9" t="n">
        <x:f>A93/4</x:f>
        <x:v>22.5</x:v>
      </x:c>
      <x:c r="D93" s="8" t="n">
        <x:f>IF(MOD(A93,4)=0,1,0)</x:f>
        <x:v>0</x:v>
      </x:c>
      <x:c r="E93" s="8" t="n">
        <x:f>IF(AND(F92&lt;=9,AS92&gt;=AR92),1,0)</x:f>
        <x:v>0</x:v>
      </x:c>
      <x:c r="F93" s="8" t="n">
        <x:f>MIN(10,F92+E93)</x:f>
        <x:v>2</x:v>
      </x:c>
      <x:c r="G93" s="8" t="n">
        <x:f>MIN(F93,9)+1</x:f>
        <x:v>3</x:v>
      </x:c>
      <x:c r="H93" s="8" t="n">
        <x:f>IF(F93&lt;=9,1,0)</x:f>
        <x:v>1</x:v>
      </x:c>
      <x:c r="I93" s="9" t="n">
        <x:f>MIN(10,F92+IF(AR92&gt;0,MIN(1,AS92/AR92),1))</x:f>
        <x:v>2.2640778518539593</x:v>
      </x:c>
      <x:c r="J93" s="32" t="n">
        <x:f>INDEX(tun_FoodCap,G93)*Arch_FoodCap*EXP(tun_CapsByProject*SUMPRODUCT((Cap_Point&lt;=I93)*(Cap_Kind="Food")*Cap_Ln))</x:f>
        <x:v>47.91205529604931</x:v>
      </x:c>
      <x:c r="K93" s="32" t="n">
        <x:f>J93*MIN(1,tun_LeanBase*EXP(tun_CapsByProject*SUMPRODUCT((Cap_Point&lt;=I93)*(Cap_Kind="Lean")*Cap_Ln)))</x:f>
        <x:v>47.91205529604931</x:v>
      </x:c>
      <x:c r="L93" s="10" t="n">
        <x:f>INDEX(tun_HousingCap,G93)*EXP(tun_CapsByProject*SUMPRODUCT((Cap_Point&lt;=I93)*(Cap_Kind="Housing")*Cap_Ln))</x:f>
        <x:v>117</x:v>
      </x:c>
      <x:c r="M93" s="10" t="n">
        <x:f>INDEX(tun_GroupCap,G93)*tun_CohesionFactor*EXP(tun_CapsByProject*SUMPRODUCT((Cap_Point&lt;=I93)*(Cap_Kind="Group")*Cap_Ln))</x:f>
        <x:v>150.00000000000003</x:v>
      </x:c>
      <x:c r="N93" s="32" t="n">
        <x:f>MIN(J93,L93,M93)</x:f>
        <x:v>47.91205529604931</x:v>
      </x:c>
      <x:c r="O93" s="10" t="n">
        <x:f>AE92*N93</x:f>
        <x:v>95.82411059209862</x:v>
      </x:c>
      <x:c r="P93" s="9" t="n">
        <x:f>MIN(1,(AB92/(AE92*IF(tun_GroupInCrowding=1,N93,MIN(J93,L93))))^tun_CrowdingExp)</x:f>
        <x:v>0.1014829399274555</x:v>
      </x:c>
      <x:c r="Q93" s="9" t="n">
        <x:f>IF(D93=1,INDEX(tun_WinterMult,G93),1)</x:f>
        <x:v>1</x:v>
      </x:c>
      <x:c r="R93" s="9" t="n">
        <x:f>H93*Z92*tun_WomenShare*tun_BaseFertility*INDEX(tun_FertMult,G93)*Arch_Fertility*(1-P93)</x:f>
        <x:v>1.691934753926283</x:v>
      </x:c>
      <x:c r="S93" s="9" t="n">
        <x:f>H93*Y92*INDEX(tun_MortChild,G93)/4*Q93</x:f>
        <x:v>0.32740375720986503</x:v>
      </x:c>
      <x:c r="T93" s="9" t="n">
        <x:f>H93*Z92*INDEX(tun_MortAdult,G93)*Arch_AdultMort/4*Q93</x:f>
        <x:v>0.06685314298167835</x:v>
      </x:c>
      <x:c r="U93" s="9" t="n">
        <x:f>H93*AA92*INDEX(tun_MortElder,G93)/4*Q93</x:f>
        <x:v>0.08183232833467163</x:v>
      </x:c>
      <x:c r="V93" s="9" t="n">
        <x:f>H93*MAX(0,AB92-O93)*tun_OvercapLoss</x:f>
        <x:v>0</x:v>
      </x:c>
      <x:c r="W93" s="9" t="n">
        <x:f>H93*Y92/(tun_ChildYears*4)</x:f>
        <x:v>0.6681709330813571</x:v>
      </x:c>
      <x:c r="X93" s="9" t="n">
        <x:f>H93*Z92/(tun_AdultYears*4)</x:f>
        <x:v>0.17971274995074824</x:v>
      </x:c>
      <x:c r="Y93" s="32" t="n">
        <x:f>Y92+R93-S93-W93-Y92*V93/AB92</x:f>
        <x:v>38.11393231619106</x:v>
      </x:c>
      <x:c r="Z93" s="32" t="n">
        <x:f>Z92+W93-X93-T93-Z92*V93/AB92</x:f>
        <x:v>22.70598603404171</x:v>
      </x:c>
      <x:c r="AA93" s="32" t="n">
        <x:f>AA92+X93-U93-AA92*V93/AB92</x:f>
        <x:v>5.840499953873735</x:v>
      </x:c>
      <x:c r="AB93" s="10" t="n">
        <x:f>Y93+Z93+AA93</x:f>
        <x:v>66.6604183041065</x:v>
      </x:c>
      <x:c r="AC93" s="8" t="n">
        <x:f>IF(AND(tun_WinterTrigger=1,D93=1,AB92/AE92&gt;=K93),1,0)</x:f>
        <x:v>0</x:v>
      </x:c>
      <x:c r="AD93" s="8" t="n">
        <x:f>H93*IF(AND(OR(AB92/AE92&gt;=tun_FissionTrigger*N93,AC93=1),AB92/AE92*tun_DaughterShare&gt;=tun_MinDaughter),MAX(1,ROUND(AE92*tun_FissionRate,0)),0)</x:f>
        <x:v>0</x:v>
      </x:c>
      <x:c r="AE93" s="8" t="n">
        <x:f>IF(H93=1,MAX(1,MIN(INDEX(tun_Smax,G93),AE92+AD93)),AE92)</x:f>
        <x:v>2</x:v>
      </x:c>
      <x:c r="AF93" s="8" t="n">
        <x:f>MAX(0,AE93-AE92)</x:f>
        <x:v>0</x:v>
      </x:c>
      <x:c r="AG93" s="9" t="str">
        <x:f>IF(AF93&gt;0,B93,"")</x:f>
      </x:c>
      <x:c r="AH93" s="9" t="n">
        <x:f>IF(F93&gt;=1,1,(1+tun_LowTiesShare*(AE93-1))/AE93)</x:f>
        <x:v>1</x:v>
      </x:c>
      <x:c r="AI93" s="32" t="n">
        <x:f>(Z93+tun_ElderCommons*INDEX(LM_Elder,G93)*AA93)*AH93</x:f>
        <x:v>40.227485895662916</x:v>
      </x:c>
      <x:c r="AJ93" s="32" t="n">
        <x:f>H93*tun_CommonsCoef*AI93^tun_CommonsExp*INDEX(LM_Commons,G93)</x:f>
        <x:v>122.03330689925264</x:v>
      </x:c>
      <x:c r="AK93" s="32" t="n">
        <x:f>H93*tun_RoleScale*Arch_Roles*(AE93*(INDEX(tun_ElderRolePerSett,G93)*tun_OutElder*INDEX(LM_Elder,G93)+INDEX(tun_ShamanPerSett,G93)*tun_OutShaman)+Z93*(INDEX(tun_PriestShare,G93)*tun_OutPriest+INDEX(tun_ScribeShare,G93)*tun_OutScribe*INDEX(LM_Scribe,G93)+INDEX(tun_ScholarShare,G93)*tun_OutScholar*INDEX(LM_Scholar,G93)+INDEX(tun_ResearcherShare,G93)*tun_OutResearcher*INDEX(LM_Researcher,G93)))</x:f>
        <x:v>48</x:v>
      </x:c>
      <x:c r="AL93" s="32" t="n">
        <x:f>H93*tun_RoleScale*Arch_Roles*AE93*INDEX(tun_MonasteryPerSett,G93)*tun_OutMonastery*INDEX(LM_Monastery,G93)</x:f>
        <x:v>0</x:v>
      </x:c>
      <x:c r="AM93" s="32" t="n">
        <x:f>(AJ93+AK93+AL93)/4*INDEX(LM_All,G93)*INDEX(tun_Boon,G93)*Arch_Insight</x:f>
        <x:v>44.660310765256824</x:v>
      </x:c>
      <x:c r="AN93" s="32" t="n">
        <x:f>H93*(tun_KHPerAdult*Z93+tun_KHOfCommons*AJ93/4*INDEX(LM_All,G93))*tun_KHUsable*Arch_KH</x:f>
        <x:v>7.4745400475792225</x:v>
      </x:c>
      <x:c r="AO93" s="32" t="n">
        <x:f>MIN(AP92+AN93,AM93*tun_KHMaxRatio)</x:f>
        <x:v>7.4745400475792225</x:v>
      </x:c>
      <x:c r="AP93" s="32" t="n">
        <x:f>AP92+AN93-AO93</x:f>
        <x:v>0</x:v>
      </x:c>
      <x:c r="AQ93" s="32" t="n">
        <x:f>AM93+AO93</x:f>
        <x:v>52.13485081283605</x:v>
      </x:c>
      <x:c r="AR93" s="10" t="n">
        <x:f>IF(H93=1,INDEX(tun_Req,G93),0)</x:f>
        <x:v>3321.0609999999997</x:v>
      </x:c>
      <x:c r="AS93" s="32" t="n">
        <x:f>IF(H93=1,IF(E93=1,AS92-AR92,AS92)+AQ93,0)</x:f>
        <x:v>929.1535055687973</x:v>
      </x:c>
      <x:c r="AT93" s="11" t="n">
        <x:f>IF(AR93&gt;0,MIN(1,AS93/AR93),1)</x:f>
        <x:v>0.2797761033503442</x:v>
      </x:c>
      <x:c r="AU93" s="10" t="n">
        <x:f>AB93/INDEX(tun_RepScale,G93)</x:f>
        <x:v>66.6604183041065</x:v>
      </x:c>
      <x:c r="AV93" s="32" t="n">
        <x:f>AM93*60/tun_SeasonSeconds</x:f>
        <x:v>178.6412430610273</x:v>
      </x:c>
    </x:row>
    <x:row r="94">
      <x:c r="A94" s="8" t="n">
        <x:f>A93+1</x:f>
        <x:v>91</x:v>
      </x:c>
      <x:c r="B94" s="9" t="n">
        <x:f>A94*tun_SeasonSeconds/60</x:f>
        <x:v>22.75</x:v>
      </x:c>
      <x:c r="C94" s="9" t="n">
        <x:f>A94/4</x:f>
        <x:v>22.75</x:v>
      </x:c>
      <x:c r="D94" s="8" t="n">
        <x:f>IF(MOD(A94,4)=0,1,0)</x:f>
        <x:v>0</x:v>
      </x:c>
      <x:c r="E94" s="8" t="n">
        <x:f>IF(AND(F93&lt;=9,AS93&gt;=AR93),1,0)</x:f>
        <x:v>0</x:v>
      </x:c>
      <x:c r="F94" s="8" t="n">
        <x:f>MIN(10,F93+E94)</x:f>
        <x:v>2</x:v>
      </x:c>
      <x:c r="G94" s="8" t="n">
        <x:f>MIN(F94,9)+1</x:f>
        <x:v>3</x:v>
      </x:c>
      <x:c r="H94" s="8" t="n">
        <x:f>IF(F94&lt;=9,1,0)</x:f>
        <x:v>1</x:v>
      </x:c>
      <x:c r="I94" s="9" t="n">
        <x:f>MIN(10,F93+IF(AR93&gt;0,MIN(1,AS93/AR93),1))</x:f>
        <x:v>2.2797761033503443</x:v>
      </x:c>
      <x:c r="J94" s="32" t="n">
        <x:f>INDEX(tun_FoodCap,G94)*Arch_FoodCap*EXP(tun_CapsByProject*SUMPRODUCT((Cap_Point&lt;=I94)*(Cap_Kind="Food")*Cap_Ln))</x:f>
        <x:v>47.91205529604931</x:v>
      </x:c>
      <x:c r="K94" s="32" t="n">
        <x:f>J94*MIN(1,tun_LeanBase*EXP(tun_CapsByProject*SUMPRODUCT((Cap_Point&lt;=I94)*(Cap_Kind="Lean")*Cap_Ln)))</x:f>
        <x:v>47.91205529604931</x:v>
      </x:c>
      <x:c r="L94" s="10" t="n">
        <x:f>INDEX(tun_HousingCap,G94)*EXP(tun_CapsByProject*SUMPRODUCT((Cap_Point&lt;=I94)*(Cap_Kind="Housing")*Cap_Ln))</x:f>
        <x:v>117</x:v>
      </x:c>
      <x:c r="M94" s="10" t="n">
        <x:f>INDEX(tun_GroupCap,G94)*tun_CohesionFactor*EXP(tun_CapsByProject*SUMPRODUCT((Cap_Point&lt;=I94)*(Cap_Kind="Group")*Cap_Ln))</x:f>
        <x:v>150.00000000000003</x:v>
      </x:c>
      <x:c r="N94" s="32" t="n">
        <x:f>MIN(J94,L94,M94)</x:f>
        <x:v>47.91205529604931</x:v>
      </x:c>
      <x:c r="O94" s="10" t="n">
        <x:f>AE93*N94</x:f>
        <x:v>95.82411059209862</x:v>
      </x:c>
      <x:c r="P94" s="9" t="n">
        <x:f>MIN(1,(AB93/(AE93*IF(tun_GroupInCrowding=1,N94,MIN(J94,L94))))^tun_CrowdingExp)</x:f>
        <x:v>0.11333379352472928</x:v>
      </x:c>
      <x:c r="Q94" s="9" t="n">
        <x:f>IF(D94=1,INDEX(tun_WinterMult,G94),1)</x:f>
        <x:v>1</x:v>
      </x:c>
      <x:c r="R94" s="9" t="n">
        <x:f>H94*Z93*tun_WomenShare*tun_BaseFertility*INDEX(tun_FertMult,G94)*Arch_Fertility*(1-P94)</x:f>
        <x:v>1.7012072773416185</x:v>
      </x:c>
      <x:c r="S94" s="9" t="n">
        <x:f>H94*Y93*INDEX(tun_MortChild,G94)/4*Q94</x:f>
        <x:v>0.3334969077666718</x:v>
      </x:c>
      <x:c r="T94" s="9" t="n">
        <x:f>H94*Z93*INDEX(tun_MortAdult,G94)*Arch_AdultMort/4*Q94</x:f>
        <x:v>0.06811795810212513</x:v>
      </x:c>
      <x:c r="U94" s="9" t="n">
        <x:f>H94*AA93*INDEX(tun_MortElder,G94)/4*Q94</x:f>
        <x:v>0.08322712434270073</x:v>
      </x:c>
      <x:c r="V94" s="9" t="n">
        <x:f>H94*MAX(0,AB93-O94)*tun_OvercapLoss</x:f>
        <x:v>0</x:v>
      </x:c>
      <x:c r="W94" s="9" t="n">
        <x:f>H94*Y93/(tun_ChildYears*4)</x:f>
        <x:v>0.6806059342176976</x:v>
      </x:c>
      <x:c r="X94" s="9" t="n">
        <x:f>H94*Z93/(tun_AdultYears*4)</x:f>
        <x:v>0.18311279059711058</x:v>
      </x:c>
      <x:c r="Y94" s="32" t="n">
        <x:f>Y93+R94-S94-W94-Y93*V94/AB93</x:f>
        <x:v>38.80103675154831</x:v>
      </x:c>
      <x:c r="Z94" s="32" t="n">
        <x:f>Z93+W94-X94-T94-Z93*V94/AB93</x:f>
        <x:v>23.135361219560174</x:v>
      </x:c>
      <x:c r="AA94" s="32" t="n">
        <x:f>AA93+X94-U94-AA93*V94/AB93</x:f>
        <x:v>5.940385620128145</x:v>
      </x:c>
      <x:c r="AB94" s="10" t="n">
        <x:f>Y94+Z94+AA94</x:f>
        <x:v>67.87678359123663</x:v>
      </x:c>
      <x:c r="AC94" s="8" t="n">
        <x:f>IF(AND(tun_WinterTrigger=1,D94=1,AB93/AE93&gt;=K94),1,0)</x:f>
        <x:v>0</x:v>
      </x:c>
      <x:c r="AD94" s="8" t="n">
        <x:f>H94*IF(AND(OR(AB93/AE93&gt;=tun_FissionTrigger*N94,AC94=1),AB93/AE93*tun_DaughterShare&gt;=tun_MinDaughter),MAX(1,ROUND(AE93*tun_FissionRate,0)),0)</x:f>
        <x:v>0</x:v>
      </x:c>
      <x:c r="AE94" s="8" t="n">
        <x:f>IF(H94=1,MAX(1,MIN(INDEX(tun_Smax,G94),AE93+AD94)),AE93)</x:f>
        <x:v>2</x:v>
      </x:c>
      <x:c r="AF94" s="8" t="n">
        <x:f>MAX(0,AE94-AE93)</x:f>
        <x:v>0</x:v>
      </x:c>
      <x:c r="AG94" s="9" t="str">
        <x:f>IF(AF94&gt;0,B94,"")</x:f>
      </x:c>
      <x:c r="AH94" s="9" t="n">
        <x:f>IF(F94&gt;=1,1,(1+tun_LowTiesShare*(AE94-1))/AE94)</x:f>
        <x:v>1</x:v>
      </x:c>
      <x:c r="AI94" s="32" t="n">
        <x:f>(Z94+tun_ElderCommons*INDEX(LM_Elder,G94)*AA94)*AH94</x:f>
        <x:v>40.95651807994461</x:v>
      </x:c>
      <x:c r="AJ94" s="32" t="n">
        <x:f>H94*tun_CommonsCoef*AI94^tun_CommonsExp*INDEX(LM_Commons,G94)</x:f>
        <x:v>123.9106103819397</x:v>
      </x:c>
      <x:c r="AK94" s="32" t="n">
        <x:f>H94*tun_RoleScale*Arch_Roles*(AE94*(INDEX(tun_ElderRolePerSett,G94)*tun_OutElder*INDEX(LM_Elder,G94)+INDEX(tun_ShamanPerSett,G94)*tun_OutShaman)+Z94*(INDEX(tun_PriestShare,G94)*tun_OutPriest+INDEX(tun_ScribeShare,G94)*tun_OutScribe*INDEX(LM_Scribe,G94)+INDEX(tun_ScholarShare,G94)*tun_OutScholar*INDEX(LM_Scholar,G94)+INDEX(tun_ResearcherShare,G94)*tun_OutResearcher*INDEX(LM_Researcher,G94)))</x:f>
        <x:v>48</x:v>
      </x:c>
      <x:c r="AL94" s="32" t="n">
        <x:f>H94*tun_RoleScale*Arch_Roles*AE94*INDEX(tun_MonasteryPerSett,G94)*tun_OutMonastery*INDEX(LM_Monastery,G94)</x:f>
        <x:v>0</x:v>
      </x:c>
      <x:c r="AM94" s="32" t="n">
        <x:f>(AJ94+AK94+AL94)/4*INDEX(LM_All,G94)*INDEX(tun_Boon,G94)*Arch_Insight</x:f>
        <x:v>45.153396258131345</x:v>
      </x:c>
      <x:c r="AN94" s="32" t="n">
        <x:f>H94*(tun_KHPerAdult*Z94+tun_KHOfCommons*AJ94/4*INDEX(LM_All,G94))*tun_KHUsable*Arch_KH</x:f>
        <x:v>7.589524885893806</x:v>
      </x:c>
      <x:c r="AO94" s="32" t="n">
        <x:f>MIN(AP93+AN94,AM94*tun_KHMaxRatio)</x:f>
        <x:v>7.589524885893806</x:v>
      </x:c>
      <x:c r="AP94" s="32" t="n">
        <x:f>AP93+AN94-AO94</x:f>
        <x:v>0</x:v>
      </x:c>
      <x:c r="AQ94" s="32" t="n">
        <x:f>AM94+AO94</x:f>
        <x:v>52.74292114402515</x:v>
      </x:c>
      <x:c r="AR94" s="10" t="n">
        <x:f>IF(H94=1,INDEX(tun_Req,G94),0)</x:f>
        <x:v>3321.0609999999997</x:v>
      </x:c>
      <x:c r="AS94" s="32" t="n">
        <x:f>IF(H94=1,IF(E94=1,AS93-AR93,AS93)+AQ94,0)</x:f>
        <x:v>981.8964267128224</x:v>
      </x:c>
      <x:c r="AT94" s="11" t="n">
        <x:f>IF(AR94&gt;0,MIN(1,AS94/AR94),1)</x:f>
        <x:v>0.29565745004768734</x:v>
      </x:c>
      <x:c r="AU94" s="10" t="n">
        <x:f>AB94/INDEX(tun_RepScale,G94)</x:f>
        <x:v>67.87678359123663</x:v>
      </x:c>
      <x:c r="AV94" s="32" t="n">
        <x:f>AM94*60/tun_SeasonSeconds</x:f>
        <x:v>180.61358503252538</x:v>
      </x:c>
    </x:row>
    <x:row r="95">
      <x:c r="A95" s="8" t="n">
        <x:f>A94+1</x:f>
        <x:v>92</x:v>
      </x:c>
      <x:c r="B95" s="9" t="n">
        <x:f>A95*tun_SeasonSeconds/60</x:f>
        <x:v>23</x:v>
      </x:c>
      <x:c r="C95" s="9" t="n">
        <x:f>A95/4</x:f>
        <x:v>23</x:v>
      </x:c>
      <x:c r="D95" s="8" t="n">
        <x:f>IF(MOD(A95,4)=0,1,0)</x:f>
        <x:v>1</x:v>
      </x:c>
      <x:c r="E95" s="8" t="n">
        <x:f>IF(AND(F94&lt;=9,AS94&gt;=AR94),1,0)</x:f>
        <x:v>0</x:v>
      </x:c>
      <x:c r="F95" s="8" t="n">
        <x:f>MIN(10,F94+E95)</x:f>
        <x:v>2</x:v>
      </x:c>
      <x:c r="G95" s="8" t="n">
        <x:f>MIN(F95,9)+1</x:f>
        <x:v>3</x:v>
      </x:c>
      <x:c r="H95" s="8" t="n">
        <x:f>IF(F95&lt;=9,1,0)</x:f>
        <x:v>1</x:v>
      </x:c>
      <x:c r="I95" s="9" t="n">
        <x:f>MIN(10,F94+IF(AR94&gt;0,MIN(1,AS94/AR94),1))</x:f>
        <x:v>2.2956574500476874</x:v>
      </x:c>
      <x:c r="J95" s="32" t="n">
        <x:f>INDEX(tun_FoodCap,G95)*Arch_FoodCap*EXP(tun_CapsByProject*SUMPRODUCT((Cap_Point&lt;=I95)*(Cap_Kind="Food")*Cap_Ln))</x:f>
        <x:v>47.91205529604931</x:v>
      </x:c>
      <x:c r="K95" s="32" t="n">
        <x:f>J95*MIN(1,tun_LeanBase*EXP(tun_CapsByProject*SUMPRODUCT((Cap_Point&lt;=I95)*(Cap_Kind="Lean")*Cap_Ln)))</x:f>
        <x:v>47.91205529604931</x:v>
      </x:c>
      <x:c r="L95" s="10" t="n">
        <x:f>INDEX(tun_HousingCap,G95)*EXP(tun_CapsByProject*SUMPRODUCT((Cap_Point&lt;=I95)*(Cap_Kind="Housing")*Cap_Ln))</x:f>
        <x:v>117</x:v>
      </x:c>
      <x:c r="M95" s="10" t="n">
        <x:f>INDEX(tun_GroupCap,G95)*tun_CohesionFactor*EXP(tun_CapsByProject*SUMPRODUCT((Cap_Point&lt;=I95)*(Cap_Kind="Group")*Cap_Ln))</x:f>
        <x:v>150.00000000000003</x:v>
      </x:c>
      <x:c r="N95" s="32" t="n">
        <x:f>MIN(J95,L95,M95)</x:f>
        <x:v>47.91205529604931</x:v>
      </x:c>
      <x:c r="O95" s="10" t="n">
        <x:f>AE94*N95</x:f>
        <x:v>95.82411059209862</x:v>
      </x:c>
      <x:c r="P95" s="9" t="n">
        <x:f>MIN(1,(AB94/(AE94*IF(tun_GroupInCrowding=1,N95,MIN(J95,L95))))^tun_CrowdingExp)</x:f>
        <x:v>0.12632192818611498</x:v>
      </x:c>
      <x:c r="Q95" s="9" t="n">
        <x:f>IF(D95=1,INDEX(tun_WinterMult,G95),1)</x:f>
        <x:v>1.4</x:v>
      </x:c>
      <x:c r="R95" s="9" t="n">
        <x:f>H95*Z94*tun_WomenShare*tun_BaseFertility*INDEX(tun_FertMult,G95)*Arch_Fertility*(1-P95)</x:f>
        <x:v>1.707986482496449</x:v>
      </x:c>
      <x:c r="S95" s="9" t="n">
        <x:f>H95*Y94*INDEX(tun_MortChild,G95)/4*Q95</x:f>
        <x:v>0.4753127002064668</x:v>
      </x:c>
      <x:c r="T95" s="9" t="n">
        <x:f>H95*Z94*INDEX(tun_MortAdult,G95)*Arch_AdultMort/4*Q95</x:f>
        <x:v>0.09716851712215273</x:v>
      </x:c>
      <x:c r="U95" s="9" t="n">
        <x:f>H95*AA94*INDEX(tun_MortElder,G95)/4*Q95</x:f>
        <x:v>0.1185106931215565</x:v>
      </x:c>
      <x:c r="V95" s="9" t="n">
        <x:f>H95*MAX(0,AB94-O95)*tun_OvercapLoss</x:f>
        <x:v>0</x:v>
      </x:c>
      <x:c r="W95" s="9" t="n">
        <x:f>H95*Y94/(tun_ChildYears*4)</x:f>
        <x:v>0.6928756562776484</x:v>
      </x:c>
      <x:c r="X95" s="9" t="n">
        <x:f>H95*Z94/(tun_AdultYears*4)</x:f>
        <x:v>0.18657549370613044</x:v>
      </x:c>
      <x:c r="Y95" s="32" t="n">
        <x:f>Y94+R95-S95-W95-Y94*V95/AB94</x:f>
        <x:v>39.340834877560646</x:v>
      </x:c>
      <x:c r="Z95" s="32" t="n">
        <x:f>Z94+W95-X95-T95-Z94*V95/AB94</x:f>
        <x:v>23.54449286500954</x:v>
      </x:c>
      <x:c r="AA95" s="32" t="n">
        <x:f>AA94+X95-U95-AA94*V95/AB94</x:f>
        <x:v>6.00845042071272</x:v>
      </x:c>
      <x:c r="AB95" s="10" t="n">
        <x:f>Y95+Z95+AA95</x:f>
        <x:v>68.8937781632829</x:v>
      </x:c>
      <x:c r="AC95" s="8" t="n">
        <x:f>IF(AND(tun_WinterTrigger=1,D95=1,AB94/AE94&gt;=K95),1,0)</x:f>
        <x:v>0</x:v>
      </x:c>
      <x:c r="AD95" s="8" t="n">
        <x:f>H95*IF(AND(OR(AB94/AE94&gt;=tun_FissionTrigger*N95,AC95=1),AB94/AE94*tun_DaughterShare&gt;=tun_MinDaughter),MAX(1,ROUND(AE94*tun_FissionRate,0)),0)</x:f>
        <x:v>0</x:v>
      </x:c>
      <x:c r="AE95" s="8" t="n">
        <x:f>IF(H95=1,MAX(1,MIN(INDEX(tun_Smax,G95),AE94+AD95)),AE94)</x:f>
        <x:v>2</x:v>
      </x:c>
      <x:c r="AF95" s="8" t="n">
        <x:f>MAX(0,AE95-AE94)</x:f>
        <x:v>0</x:v>
      </x:c>
      <x:c r="AG95" s="9" t="str">
        <x:f>IF(AF95&gt;0,B95,"")</x:f>
      </x:c>
      <x:c r="AH95" s="9" t="n">
        <x:f>IF(F95&gt;=1,1,(1+tun_LowTiesShare*(AE95-1))/AE95)</x:f>
        <x:v>1</x:v>
      </x:c>
      <x:c r="AI95" s="32" t="n">
        <x:f>(Z95+tun_ElderCommons*INDEX(LM_Elder,G95)*AA95)*AH95</x:f>
        <x:v>41.569844127147704</x:v>
      </x:c>
      <x:c r="AJ95" s="32" t="n">
        <x:f>H95*tun_CommonsCoef*AI95^tun_CommonsExp*INDEX(LM_Commons,G95)</x:f>
        <x:v>125.48608184477854</x:v>
      </x:c>
      <x:c r="AK95" s="32" t="n">
        <x:f>H95*tun_RoleScale*Arch_Roles*(AE95*(INDEX(tun_ElderRolePerSett,G95)*tun_OutElder*INDEX(LM_Elder,G95)+INDEX(tun_ShamanPerSett,G95)*tun_OutShaman)+Z95*(INDEX(tun_PriestShare,G95)*tun_OutPriest+INDEX(tun_ScribeShare,G95)*tun_OutScribe*INDEX(LM_Scribe,G95)+INDEX(tun_ScholarShare,G95)*tun_OutScholar*INDEX(LM_Scholar,G95)+INDEX(tun_ResearcherShare,G95)*tun_OutResearcher*INDEX(LM_Researcher,G95)))</x:f>
        <x:v>48</x:v>
      </x:c>
      <x:c r="AL95" s="32" t="n">
        <x:f>H95*tun_RoleScale*Arch_Roles*AE95*INDEX(tun_MonasteryPerSett,G95)*tun_OutMonastery*INDEX(LM_Monastery,G95)</x:f>
        <x:v>0</x:v>
      </x:c>
      <x:c r="AM95" s="32" t="n">
        <x:f>(AJ95+AK95+AL95)/4*INDEX(LM_All,G95)*INDEX(tun_Boon,G95)*Arch_Insight</x:f>
        <x:v>45.56720368454261</x:v>
      </x:c>
      <x:c r="AN95" s="32" t="n">
        <x:f>H95*(tun_KHPerAdult*Z95+tun_KHOfCommons*AJ95/4*INDEX(LM_All,G95))*tun_KHUsable*Arch_KH</x:f>
        <x:v>7.686022512992684</x:v>
      </x:c>
      <x:c r="AO95" s="32" t="n">
        <x:f>MIN(AP94+AN95,AM95*tun_KHMaxRatio)</x:f>
        <x:v>7.686022512992684</x:v>
      </x:c>
      <x:c r="AP95" s="32" t="n">
        <x:f>AP94+AN95-AO95</x:f>
        <x:v>0</x:v>
      </x:c>
      <x:c r="AQ95" s="32" t="n">
        <x:f>AM95+AO95</x:f>
        <x:v>53.2532261975353</x:v>
      </x:c>
      <x:c r="AR95" s="10" t="n">
        <x:f>IF(H95=1,INDEX(tun_Req,G95),0)</x:f>
        <x:v>3321.0609999999997</x:v>
      </x:c>
      <x:c r="AS95" s="32" t="n">
        <x:f>IF(H95=1,IF(E95=1,AS94-AR94,AS94)+AQ95,0)</x:f>
        <x:v>1035.1496529103576</x:v>
      </x:c>
      <x:c r="AT95" s="11" t="n">
        <x:f>IF(AR95&gt;0,MIN(1,AS95/AR95),1)</x:f>
        <x:v>0.31169245398092893</x:v>
      </x:c>
      <x:c r="AU95" s="10" t="n">
        <x:f>AB95/INDEX(tun_RepScale,G95)</x:f>
        <x:v>68.8937781632829</x:v>
      </x:c>
      <x:c r="AV95" s="32" t="n">
        <x:f>AM95*60/tun_SeasonSeconds</x:f>
        <x:v>182.26881473817045</x:v>
      </x:c>
    </x:row>
    <x:row r="96">
      <x:c r="A96" s="8" t="n">
        <x:f>A95+1</x:f>
        <x:v>93</x:v>
      </x:c>
      <x:c r="B96" s="9" t="n">
        <x:f>A96*tun_SeasonSeconds/60</x:f>
        <x:v>23.25</x:v>
      </x:c>
      <x:c r="C96" s="9" t="n">
        <x:f>A96/4</x:f>
        <x:v>23.25</x:v>
      </x:c>
      <x:c r="D96" s="8" t="n">
        <x:f>IF(MOD(A96,4)=0,1,0)</x:f>
        <x:v>0</x:v>
      </x:c>
      <x:c r="E96" s="8" t="n">
        <x:f>IF(AND(F95&lt;=9,AS95&gt;=AR95),1,0)</x:f>
        <x:v>0</x:v>
      </x:c>
      <x:c r="F96" s="8" t="n">
        <x:f>MIN(10,F95+E96)</x:f>
        <x:v>2</x:v>
      </x:c>
      <x:c r="G96" s="8" t="n">
        <x:f>MIN(F96,9)+1</x:f>
        <x:v>3</x:v>
      </x:c>
      <x:c r="H96" s="8" t="n">
        <x:f>IF(F96&lt;=9,1,0)</x:f>
        <x:v>1</x:v>
      </x:c>
      <x:c r="I96" s="9" t="n">
        <x:f>MIN(10,F95+IF(AR95&gt;0,MIN(1,AS95/AR95),1))</x:f>
        <x:v>2.311692453980929</x:v>
      </x:c>
      <x:c r="J96" s="32" t="n">
        <x:f>INDEX(tun_FoodCap,G96)*Arch_FoodCap*EXP(tun_CapsByProject*SUMPRODUCT((Cap_Point&lt;=I96)*(Cap_Kind="Food")*Cap_Ln))</x:f>
        <x:v>62.285671884864115</x:v>
      </x:c>
      <x:c r="K96" s="32" t="n">
        <x:f>J96*MIN(1,tun_LeanBase*EXP(tun_CapsByProject*SUMPRODUCT((Cap_Point&lt;=I96)*(Cap_Kind="Lean")*Cap_Ln)))</x:f>
        <x:v>62.285671884864115</x:v>
      </x:c>
      <x:c r="L96" s="10" t="n">
        <x:f>INDEX(tun_HousingCap,G96)*EXP(tun_CapsByProject*SUMPRODUCT((Cap_Point&lt;=I96)*(Cap_Kind="Housing")*Cap_Ln))</x:f>
        <x:v>117</x:v>
      </x:c>
      <x:c r="M96" s="10" t="n">
        <x:f>INDEX(tun_GroupCap,G96)*tun_CohesionFactor*EXP(tun_CapsByProject*SUMPRODUCT((Cap_Point&lt;=I96)*(Cap_Kind="Group")*Cap_Ln))</x:f>
        <x:v>150.00000000000003</x:v>
      </x:c>
      <x:c r="N96" s="32" t="n">
        <x:f>MIN(J96,L96,M96)</x:f>
        <x:v>62.285671884864115</x:v>
      </x:c>
      <x:c r="O96" s="10" t="n">
        <x:f>AE95*N96</x:f>
        <x:v>124.57134376972823</x:v>
      </x:c>
      <x:c r="P96" s="9" t="n">
        <x:f>MIN(1,(AB95/(AE95*IF(tun_GroupInCrowding=1,N96,MIN(J96,L96))))^tun_CrowdingExp)</x:f>
        <x:v>0.028613508843114067</x:v>
      </x:c>
      <x:c r="Q96" s="9" t="n">
        <x:f>IF(D96=1,INDEX(tun_WinterMult,G96),1)</x:f>
        <x:v>1</x:v>
      </x:c>
      <x:c r="R96" s="9" t="n">
        <x:f>H96*Z95*tun_WomenShare*tun_BaseFertility*INDEX(tun_FertMult,G96)*Arch_Fertility*(1-P96)</x:f>
        <x:v>1.9325827952127415</x:v>
      </x:c>
      <x:c r="S96" s="9" t="n">
        <x:f>H96*Y95*INDEX(tun_MortChild,G96)/4*Q96</x:f>
        <x:v>0.34423230517865566</x:v>
      </x:c>
      <x:c r="T96" s="9" t="n">
        <x:f>H96*Z95*INDEX(tun_MortAdult,G96)*Arch_AdultMort/4*Q96</x:f>
        <x:v>0.07063347859502862</x:v>
      </x:c>
      <x:c r="U96" s="9" t="n">
        <x:f>H96*AA95*INDEX(tun_MortElder,G96)/4*Q96</x:f>
        <x:v>0.08562041849515625</x:v>
      </x:c>
      <x:c r="V96" s="9" t="n">
        <x:f>H96*MAX(0,AB95-O96)*tun_OvercapLoss</x:f>
        <x:v>0</x:v>
      </x:c>
      <x:c r="W96" s="9" t="n">
        <x:f>H96*Y95/(tun_ChildYears*4)</x:f>
        <x:v>0.7025149085278687</x:v>
      </x:c>
      <x:c r="X96" s="9" t="n">
        <x:f>H96*Z95/(tun_AdultYears*4)</x:f>
        <x:v>0.18987494245975436</x:v>
      </x:c>
      <x:c r="Y96" s="32" t="n">
        <x:f>Y95+R96-S96-W96-Y95*V96/AB95</x:f>
        <x:v>40.22667045906686</x:v>
      </x:c>
      <x:c r="Z96" s="32" t="n">
        <x:f>Z95+W96-X96-T96-Z95*V96/AB95</x:f>
        <x:v>23.986499352482625</x:v>
      </x:c>
      <x:c r="AA96" s="32" t="n">
        <x:f>AA95+X96-U96-AA95*V96/AB95</x:f>
        <x:v>6.112704944677318</x:v>
      </x:c>
      <x:c r="AB96" s="10" t="n">
        <x:f>Y96+Z96+AA96</x:f>
        <x:v>70.3258747562268</x:v>
      </x:c>
      <x:c r="AC96" s="8" t="n">
        <x:f>IF(AND(tun_WinterTrigger=1,D96=1,AB95/AE95&gt;=K96),1,0)</x:f>
        <x:v>0</x:v>
      </x:c>
      <x:c r="AD96" s="8" t="n">
        <x:f>H96*IF(AND(OR(AB95/AE95&gt;=tun_FissionTrigger*N96,AC96=1),AB95/AE95*tun_DaughterShare&gt;=tun_MinDaughter),MAX(1,ROUND(AE95*tun_FissionRate,0)),0)</x:f>
        <x:v>0</x:v>
      </x:c>
      <x:c r="AE96" s="8" t="n">
        <x:f>IF(H96=1,MAX(1,MIN(INDEX(tun_Smax,G96),AE95+AD96)),AE95)</x:f>
        <x:v>2</x:v>
      </x:c>
      <x:c r="AF96" s="8" t="n">
        <x:f>MAX(0,AE96-AE95)</x:f>
        <x:v>0</x:v>
      </x:c>
      <x:c r="AG96" s="9" t="str">
        <x:f>IF(AF96&gt;0,B96,"")</x:f>
      </x:c>
      <x:c r="AH96" s="9" t="n">
        <x:f>IF(F96&gt;=1,1,(1+tun_LowTiesShare*(AE96-1))/AE96)</x:f>
        <x:v>1</x:v>
      </x:c>
      <x:c r="AI96" s="32" t="n">
        <x:f>(Z96+tun_ElderCommons*INDEX(LM_Elder,G96)*AA96)*AH96</x:f>
        <x:v>42.32461418651458</x:v>
      </x:c>
      <x:c r="AJ96" s="32" t="n">
        <x:f>H96*tun_CommonsCoef*AI96^tun_CommonsExp*INDEX(LM_Commons,G96)</x:f>
        <x:v>127.42011106401947</x:v>
      </x:c>
      <x:c r="AK96" s="32" t="n">
        <x:f>H96*tun_RoleScale*Arch_Roles*(AE96*(INDEX(tun_ElderRolePerSett,G96)*tun_OutElder*INDEX(LM_Elder,G96)+INDEX(tun_ShamanPerSett,G96)*tun_OutShaman)+Z96*(INDEX(tun_PriestShare,G96)*tun_OutPriest+INDEX(tun_ScribeShare,G96)*tun_OutScribe*INDEX(LM_Scribe,G96)+INDEX(tun_ScholarShare,G96)*tun_OutScholar*INDEX(LM_Scholar,G96)+INDEX(tun_ResearcherShare,G96)*tun_OutResearcher*INDEX(LM_Researcher,G96)))</x:f>
        <x:v>48</x:v>
      </x:c>
      <x:c r="AL96" s="32" t="n">
        <x:f>H96*tun_RoleScale*Arch_Roles*AE96*INDEX(tun_MonasteryPerSett,G96)*tun_OutMonastery*INDEX(LM_Monastery,G96)</x:f>
        <x:v>0</x:v>
      </x:c>
      <x:c r="AM96" s="32" t="n">
        <x:f>(AJ96+AK96+AL96)/4*INDEX(LM_All,G96)*INDEX(tun_Boon,G96)*Arch_Insight</x:f>
        <x:v>46.07518854665886</x:v>
      </x:c>
      <x:c r="AN96" s="32" t="n">
        <x:f>H96*(tun_KHPerAdult*Z96+tun_KHOfCommons*AJ96/4*INDEX(LM_All,G96))*tun_KHUsable*Arch_KH</x:f>
        <x:v>7.804481802671192</x:v>
      </x:c>
      <x:c r="AO96" s="32" t="n">
        <x:f>MIN(AP95+AN96,AM96*tun_KHMaxRatio)</x:f>
        <x:v>7.804481802671192</x:v>
      </x:c>
      <x:c r="AP96" s="32" t="n">
        <x:f>AP95+AN96-AO96</x:f>
        <x:v>0</x:v>
      </x:c>
      <x:c r="AQ96" s="32" t="n">
        <x:f>AM96+AO96</x:f>
        <x:v>53.87967034933005</x:v>
      </x:c>
      <x:c r="AR96" s="10" t="n">
        <x:f>IF(H96=1,INDEX(tun_Req,G96),0)</x:f>
        <x:v>3321.0609999999997</x:v>
      </x:c>
      <x:c r="AS96" s="32" t="n">
        <x:f>IF(H96=1,IF(E96=1,AS95-AR95,AS95)+AQ96,0)</x:f>
        <x:v>1089.0293232596878</x:v>
      </x:c>
      <x:c r="AT96" s="11" t="n">
        <x:f>IF(AR96&gt;0,MIN(1,AS96/AR96),1)</x:f>
        <x:v>0.3279160856303717</x:v>
      </x:c>
      <x:c r="AU96" s="10" t="n">
        <x:f>AB96/INDEX(tun_RepScale,G96)</x:f>
        <x:v>70.3258747562268</x:v>
      </x:c>
      <x:c r="AV96" s="32" t="n">
        <x:f>AM96*60/tun_SeasonSeconds</x:f>
        <x:v>184.30075418663543</x:v>
      </x:c>
    </x:row>
    <x:row r="97">
      <x:c r="A97" s="8" t="n">
        <x:f>A96+1</x:f>
        <x:v>94</x:v>
      </x:c>
      <x:c r="B97" s="9" t="n">
        <x:f>A97*tun_SeasonSeconds/60</x:f>
        <x:v>23.5</x:v>
      </x:c>
      <x:c r="C97" s="9" t="n">
        <x:f>A97/4</x:f>
        <x:v>23.5</x:v>
      </x:c>
      <x:c r="D97" s="8" t="n">
        <x:f>IF(MOD(A97,4)=0,1,0)</x:f>
        <x:v>0</x:v>
      </x:c>
      <x:c r="E97" s="8" t="n">
        <x:f>IF(AND(F96&lt;=9,AS96&gt;=AR96),1,0)</x:f>
        <x:v>0</x:v>
      </x:c>
      <x:c r="F97" s="8" t="n">
        <x:f>MIN(10,F96+E97)</x:f>
        <x:v>2</x:v>
      </x:c>
      <x:c r="G97" s="8" t="n">
        <x:f>MIN(F97,9)+1</x:f>
        <x:v>3</x:v>
      </x:c>
      <x:c r="H97" s="8" t="n">
        <x:f>IF(F97&lt;=9,1,0)</x:f>
        <x:v>1</x:v>
      </x:c>
      <x:c r="I97" s="9" t="n">
        <x:f>MIN(10,F96+IF(AR96&gt;0,MIN(1,AS96/AR96),1))</x:f>
        <x:v>2.327916085630372</x:v>
      </x:c>
      <x:c r="J97" s="32" t="n">
        <x:f>INDEX(tun_FoodCap,G97)*Arch_FoodCap*EXP(tun_CapsByProject*SUMPRODUCT((Cap_Point&lt;=I97)*(Cap_Kind="Food")*Cap_Ln))</x:f>
        <x:v>62.285671884864115</x:v>
      </x:c>
      <x:c r="K97" s="32" t="n">
        <x:f>J97*MIN(1,tun_LeanBase*EXP(tun_CapsByProject*SUMPRODUCT((Cap_Point&lt;=I97)*(Cap_Kind="Lean")*Cap_Ln)))</x:f>
        <x:v>62.285671884864115</x:v>
      </x:c>
      <x:c r="L97" s="10" t="n">
        <x:f>INDEX(tun_HousingCap,G97)*EXP(tun_CapsByProject*SUMPRODUCT((Cap_Point&lt;=I97)*(Cap_Kind="Housing")*Cap_Ln))</x:f>
        <x:v>117</x:v>
      </x:c>
      <x:c r="M97" s="10" t="n">
        <x:f>INDEX(tun_GroupCap,G97)*tun_CohesionFactor*EXP(tun_CapsByProject*SUMPRODUCT((Cap_Point&lt;=I97)*(Cap_Kind="Group")*Cap_Ln))</x:f>
        <x:v>150.00000000000003</x:v>
      </x:c>
      <x:c r="N97" s="32" t="n">
        <x:f>MIN(J97,L97,M97)</x:f>
        <x:v>62.285671884864115</x:v>
      </x:c>
      <x:c r="O97" s="10" t="n">
        <x:f>AE96*N97</x:f>
        <x:v>124.57134376972823</x:v>
      </x:c>
      <x:c r="P97" s="9" t="n">
        <x:f>MIN(1,(AB96/(AE96*IF(tun_GroupInCrowding=1,N97,MIN(J97,L97))))^tun_CrowdingExp)</x:f>
        <x:v>0.032372926535562375</x:v>
      </x:c>
      <x:c r="Q97" s="9" t="n">
        <x:f>IF(D97=1,INDEX(tun_WinterMult,G97),1)</x:f>
        <x:v>1</x:v>
      </x:c>
      <x:c r="R97" s="9" t="n">
        <x:f>H97*Z96*tun_WomenShare*tun_BaseFertility*INDEX(tun_FertMult,G97)*Arch_Fertility*(1-P97)</x:f>
        <x:v>1.9612438314578988</x:v>
      </x:c>
      <x:c r="S97" s="9" t="n">
        <x:f>H97*Y96*INDEX(tun_MortChild,G97)/4*Q97</x:f>
        <x:v>0.35198336651683504</x:v>
      </x:c>
      <x:c r="T97" s="9" t="n">
        <x:f>H97*Z96*INDEX(tun_MortAdult,G97)*Arch_AdultMort/4*Q97</x:f>
        <x:v>0.07195949805744788</x:v>
      </x:c>
      <x:c r="U97" s="9" t="n">
        <x:f>H97*AA96*INDEX(tun_MortElder,G97)/4*Q97</x:f>
        <x:v>0.08710604546165178</x:v>
      </x:c>
      <x:c r="V97" s="9" t="n">
        <x:f>H97*MAX(0,AB96-O97)*tun_OvercapLoss</x:f>
        <x:v>0</x:v>
      </x:c>
      <x:c r="W97" s="9" t="n">
        <x:f>H97*Y96/(tun_ChildYears*4)</x:f>
        <x:v>0.7183334010547654</x:v>
      </x:c>
      <x:c r="X97" s="9" t="n">
        <x:f>H97*Z96/(tun_AdultYears*4)</x:f>
        <x:v>0.19343951090711795</x:v>
      </x:c>
      <x:c r="Y97" s="32" t="n">
        <x:f>Y96+R97-S97-W97-Y96*V97/AB96</x:f>
        <x:v>41.11759752295316</x:v>
      </x:c>
      <x:c r="Z97" s="32" t="n">
        <x:f>Z96+W97-X97-T97-Z96*V97/AB96</x:f>
        <x:v>24.43943374457282</x:v>
      </x:c>
      <x:c r="AA97" s="32" t="n">
        <x:f>AA96+X97-U97-AA96*V97/AB96</x:f>
        <x:v>6.219038410122784</x:v>
      </x:c>
      <x:c r="AB97" s="10" t="n">
        <x:f>Y97+Z97+AA97</x:f>
        <x:v>71.77606967764876</x:v>
      </x:c>
      <x:c r="AC97" s="8" t="n">
        <x:f>IF(AND(tun_WinterTrigger=1,D97=1,AB96/AE96&gt;=K97),1,0)</x:f>
        <x:v>0</x:v>
      </x:c>
      <x:c r="AD97" s="8" t="n">
        <x:f>H97*IF(AND(OR(AB96/AE96&gt;=tun_FissionTrigger*N97,AC97=1),AB96/AE96*tun_DaughterShare&gt;=tun_MinDaughter),MAX(1,ROUND(AE96*tun_FissionRate,0)),0)</x:f>
        <x:v>0</x:v>
      </x:c>
      <x:c r="AE97" s="8" t="n">
        <x:f>IF(H97=1,MAX(1,MIN(INDEX(tun_Smax,G97),AE96+AD97)),AE96)</x:f>
        <x:v>2</x:v>
      </x:c>
      <x:c r="AF97" s="8" t="n">
        <x:f>MAX(0,AE97-AE96)</x:f>
        <x:v>0</x:v>
      </x:c>
      <x:c r="AG97" s="9" t="str">
        <x:f>IF(AF97&gt;0,B97,"")</x:f>
      </x:c>
      <x:c r="AH97" s="9" t="n">
        <x:f>IF(F97&gt;=1,1,(1+tun_LowTiesShare*(AE97-1))/AE97)</x:f>
        <x:v>1</x:v>
      </x:c>
      <x:c r="AI97" s="32" t="n">
        <x:f>(Z97+tun_ElderCommons*INDEX(LM_Elder,G97)*AA97)*AH97</x:f>
        <x:v>43.09654897494117</x:v>
      </x:c>
      <x:c r="AJ97" s="32" t="n">
        <x:f>H97*tun_CommonsCoef*AI97^tun_CommonsExp*INDEX(LM_Commons,G97)</x:f>
        <x:v>129.39277978635573</x:v>
      </x:c>
      <x:c r="AK97" s="32" t="n">
        <x:f>H97*tun_RoleScale*Arch_Roles*(AE97*(INDEX(tun_ElderRolePerSett,G97)*tun_OutElder*INDEX(LM_Elder,G97)+INDEX(tun_ShamanPerSett,G97)*tun_OutShaman)+Z97*(INDEX(tun_PriestShare,G97)*tun_OutPriest+INDEX(tun_ScribeShare,G97)*tun_OutScribe*INDEX(LM_Scribe,G97)+INDEX(tun_ScholarShare,G97)*tun_OutScholar*INDEX(LM_Scholar,G97)+INDEX(tun_ResearcherShare,G97)*tun_OutResearcher*INDEX(LM_Researcher,G97)))</x:f>
        <x:v>48</x:v>
      </x:c>
      <x:c r="AL97" s="32" t="n">
        <x:f>H97*tun_RoleScale*Arch_Roles*AE97*INDEX(tun_MonasteryPerSett,G97)*tun_OutMonastery*INDEX(LM_Monastery,G97)</x:f>
        <x:v>0</x:v>
      </x:c>
      <x:c r="AM97" s="32" t="n">
        <x:f>(AJ97+AK97+AL97)/4*INDEX(LM_All,G97)*INDEX(tun_Boon,G97)*Arch_Insight</x:f>
        <x:v>46.59332231575999</x:v>
      </x:c>
      <x:c r="AN97" s="32" t="n">
        <x:f>H97*(tun_KHPerAdult*Z97+tun_KHOfCommons*AJ97/4*INDEX(LM_All,G97))*tun_KHUsable*Arch_KH</x:f>
        <x:v>7.925307761914288</x:v>
      </x:c>
      <x:c r="AO97" s="32" t="n">
        <x:f>MIN(AP96+AN97,AM97*tun_KHMaxRatio)</x:f>
        <x:v>7.925307761914288</x:v>
      </x:c>
      <x:c r="AP97" s="32" t="n">
        <x:f>AP96+AN97-AO97</x:f>
        <x:v>0</x:v>
      </x:c>
      <x:c r="AQ97" s="32" t="n">
        <x:f>AM97+AO97</x:f>
        <x:v>54.51863007767428</x:v>
      </x:c>
      <x:c r="AR97" s="10" t="n">
        <x:f>IF(H97=1,INDEX(tun_Req,G97),0)</x:f>
        <x:v>3321.0609999999997</x:v>
      </x:c>
      <x:c r="AS97" s="32" t="n">
        <x:f>IF(H97=1,IF(E97=1,AS96-AR96,AS96)+AQ97,0)</x:f>
        <x:v>1143.547953337362</x:v>
      </x:c>
      <x:c r="AT97" s="11" t="n">
        <x:f>IF(AR97&gt;0,MIN(1,AS97/AR97),1)</x:f>
        <x:v>0.3443321135436423</x:v>
      </x:c>
      <x:c r="AU97" s="10" t="n">
        <x:f>AB97/INDEX(tun_RepScale,G97)</x:f>
        <x:v>71.77606967764876</x:v>
      </x:c>
      <x:c r="AV97" s="32" t="n">
        <x:f>AM97*60/tun_SeasonSeconds</x:f>
        <x:v>186.37328926303996</x:v>
      </x:c>
    </x:row>
    <x:row r="98">
      <x:c r="A98" s="8" t="n">
        <x:f>A97+1</x:f>
        <x:v>95</x:v>
      </x:c>
      <x:c r="B98" s="9" t="n">
        <x:f>A98*tun_SeasonSeconds/60</x:f>
        <x:v>23.75</x:v>
      </x:c>
      <x:c r="C98" s="9" t="n">
        <x:f>A98/4</x:f>
        <x:v>23.75</x:v>
      </x:c>
      <x:c r="D98" s="8" t="n">
        <x:f>IF(MOD(A98,4)=0,1,0)</x:f>
        <x:v>0</x:v>
      </x:c>
      <x:c r="E98" s="8" t="n">
        <x:f>IF(AND(F97&lt;=9,AS97&gt;=AR97),1,0)</x:f>
        <x:v>0</x:v>
      </x:c>
      <x:c r="F98" s="8" t="n">
        <x:f>MIN(10,F97+E98)</x:f>
        <x:v>2</x:v>
      </x:c>
      <x:c r="G98" s="8" t="n">
        <x:f>MIN(F98,9)+1</x:f>
        <x:v>3</x:v>
      </x:c>
      <x:c r="H98" s="8" t="n">
        <x:f>IF(F98&lt;=9,1,0)</x:f>
        <x:v>1</x:v>
      </x:c>
      <x:c r="I98" s="9" t="n">
        <x:f>MIN(10,F97+IF(AR97&gt;0,MIN(1,AS97/AR97),1))</x:f>
        <x:v>2.344332113543642</x:v>
      </x:c>
      <x:c r="J98" s="32" t="n">
        <x:f>INDEX(tun_FoodCap,G98)*Arch_FoodCap*EXP(tun_CapsByProject*SUMPRODUCT((Cap_Point&lt;=I98)*(Cap_Kind="Food")*Cap_Ln))</x:f>
        <x:v>62.285671884864115</x:v>
      </x:c>
      <x:c r="K98" s="32" t="n">
        <x:f>J98*MIN(1,tun_LeanBase*EXP(tun_CapsByProject*SUMPRODUCT((Cap_Point&lt;=I98)*(Cap_Kind="Lean")*Cap_Ln)))</x:f>
        <x:v>62.285671884864115</x:v>
      </x:c>
      <x:c r="L98" s="10" t="n">
        <x:f>INDEX(tun_HousingCap,G98)*EXP(tun_CapsByProject*SUMPRODUCT((Cap_Point&lt;=I98)*(Cap_Kind="Housing")*Cap_Ln))</x:f>
        <x:v>117</x:v>
      </x:c>
      <x:c r="M98" s="10" t="n">
        <x:f>INDEX(tun_GroupCap,G98)*tun_CohesionFactor*EXP(tun_CapsByProject*SUMPRODUCT((Cap_Point&lt;=I98)*(Cap_Kind="Group")*Cap_Ln))</x:f>
        <x:v>150.00000000000003</x:v>
      </x:c>
      <x:c r="N98" s="32" t="n">
        <x:f>MIN(J98,L98,M98)</x:f>
        <x:v>62.285671884864115</x:v>
      </x:c>
      <x:c r="O98" s="10" t="n">
        <x:f>AE97*N98</x:f>
        <x:v>124.57134376972823</x:v>
      </x:c>
      <x:c r="P98" s="9" t="n">
        <x:f>MIN(1,(AB97/(AE97*IF(tun_GroupInCrowding=1,N98,MIN(J98,L98))))^tun_CrowdingExp)</x:f>
        <x:v>0.03659056751279911</x:v>
      </x:c>
      <x:c r="Q98" s="9" t="n">
        <x:f>IF(D98=1,INDEX(tun_WinterMult,G98),1)</x:f>
        <x:v>1</x:v>
      </x:c>
      <x:c r="R98" s="9" t="n">
        <x:f>H98*Z97*tun_WomenShare*tun_BaseFertility*INDEX(tun_FertMult,G98)*Arch_Fertility*(1-P98)</x:f>
        <x:v>1.9895677940071492</x:v>
      </x:c>
      <x:c r="S98" s="9" t="n">
        <x:f>H98*Y97*INDEX(tun_MortChild,G98)/4*Q98</x:f>
        <x:v>0.3597789783258402</x:v>
      </x:c>
      <x:c r="T98" s="9" t="n">
        <x:f>H98*Z97*INDEX(tun_MortAdult,G98)*Arch_AdultMort/4*Q98</x:f>
        <x:v>0.07331830123371846</x:v>
      </x:c>
      <x:c r="U98" s="9" t="n">
        <x:f>H98*AA97*INDEX(tun_MortElder,G98)/4*Q98</x:f>
        <x:v>0.08862129734424967</x:v>
      </x:c>
      <x:c r="V98" s="9" t="n">
        <x:f>H98*MAX(0,AB97-O98)*tun_OvercapLoss</x:f>
        <x:v>0</x:v>
      </x:c>
      <x:c r="W98" s="9" t="n">
        <x:f>H98*Y97/(tun_ChildYears*4)</x:f>
        <x:v>0.7342428129098779</x:v>
      </x:c>
      <x:c r="X98" s="9" t="n">
        <x:f>H98*Z97/(tun_AdultYears*4)</x:f>
        <x:v>0.19709220761752275</x:v>
      </x:c>
      <x:c r="Y98" s="32" t="n">
        <x:f>Y97+R98-S98-W98-Y97*V98/AB97</x:f>
        <x:v>42.013143525724594</x:v>
      </x:c>
      <x:c r="Z98" s="32" t="n">
        <x:f>Z97+W98-X98-T98-Z97*V98/AB97</x:f>
        <x:v>24.903266048631455</x:v>
      </x:c>
      <x:c r="AA98" s="32" t="n">
        <x:f>AA97+X98-U98-AA97*V98/AB97</x:f>
        <x:v>6.327509320396057</x:v>
      </x:c>
      <x:c r="AB98" s="10" t="n">
        <x:f>Y98+Z98+AA98</x:f>
        <x:v>73.24391889475211</x:v>
      </x:c>
      <x:c r="AC98" s="8" t="n">
        <x:f>IF(AND(tun_WinterTrigger=1,D98=1,AB97/AE97&gt;=K98),1,0)</x:f>
        <x:v>0</x:v>
      </x:c>
      <x:c r="AD98" s="8" t="n">
        <x:f>H98*IF(AND(OR(AB97/AE97&gt;=tun_FissionTrigger*N98,AC98=1),AB97/AE97*tun_DaughterShare&gt;=tun_MinDaughter),MAX(1,ROUND(AE97*tun_FissionRate,0)),0)</x:f>
        <x:v>0</x:v>
      </x:c>
      <x:c r="AE98" s="8" t="n">
        <x:f>IF(H98=1,MAX(1,MIN(INDEX(tun_Smax,G98),AE97+AD98)),AE97)</x:f>
        <x:v>2</x:v>
      </x:c>
      <x:c r="AF98" s="8" t="n">
        <x:f>MAX(0,AE98-AE97)</x:f>
        <x:v>0</x:v>
      </x:c>
      <x:c r="AG98" s="9" t="str">
        <x:f>IF(AF98&gt;0,B98,"")</x:f>
      </x:c>
      <x:c r="AH98" s="9" t="n">
        <x:f>IF(F98&gt;=1,1,(1+tun_LowTiesShare*(AE98-1))/AE98)</x:f>
        <x:v>1</x:v>
      </x:c>
      <x:c r="AI98" s="32" t="n">
        <x:f>(Z98+tun_ElderCommons*INDEX(LM_Elder,G98)*AA98)*AH98</x:f>
        <x:v>43.88579400981963</x:v>
      </x:c>
      <x:c r="AJ98" s="32" t="n">
        <x:f>H98*tun_CommonsCoef*AI98^tun_CommonsExp*INDEX(LM_Commons,G98)</x:f>
        <x:v>131.40421277613345</x:v>
      </x:c>
      <x:c r="AK98" s="32" t="n">
        <x:f>H98*tun_RoleScale*Arch_Roles*(AE98*(INDEX(tun_ElderRolePerSett,G98)*tun_OutElder*INDEX(LM_Elder,G98)+INDEX(tun_ShamanPerSett,G98)*tun_OutShaman)+Z98*(INDEX(tun_PriestShare,G98)*tun_OutPriest+INDEX(tun_ScribeShare,G98)*tun_OutScribe*INDEX(LM_Scribe,G98)+INDEX(tun_ScholarShare,G98)*tun_OutScholar*INDEX(LM_Scholar,G98)+INDEX(tun_ResearcherShare,G98)*tun_OutResearcher*INDEX(LM_Researcher,G98)))</x:f>
        <x:v>48</x:v>
      </x:c>
      <x:c r="AL98" s="32" t="n">
        <x:f>H98*tun_RoleScale*Arch_Roles*AE98*INDEX(tun_MonasteryPerSett,G98)*tun_OutMonastery*INDEX(LM_Monastery,G98)</x:f>
        <x:v>0</x:v>
      </x:c>
      <x:c r="AM98" s="32" t="n">
        <x:f>(AJ98+AK98+AL98)/4*INDEX(LM_All,G98)*INDEX(tun_Boon,G98)*Arch_Insight</x:f>
        <x:v>47.1216377619813</x:v>
      </x:c>
      <x:c r="AN98" s="32" t="n">
        <x:f>H98*(tun_KHPerAdult*Z98+tun_KHOfCommons*AJ98/4*INDEX(LM_All,G98))*tun_KHUsable*Arch_KH</x:f>
        <x:v>8.048508032538173</x:v>
      </x:c>
      <x:c r="AO98" s="32" t="n">
        <x:f>MIN(AP97+AN98,AM98*tun_KHMaxRatio)</x:f>
        <x:v>8.048508032538173</x:v>
      </x:c>
      <x:c r="AP98" s="32" t="n">
        <x:f>AP97+AN98-AO98</x:f>
        <x:v>0</x:v>
      </x:c>
      <x:c r="AQ98" s="32" t="n">
        <x:f>AM98+AO98</x:f>
        <x:v>55.17014579451947</x:v>
      </x:c>
      <x:c r="AR98" s="10" t="n">
        <x:f>IF(H98=1,INDEX(tun_Req,G98),0)</x:f>
        <x:v>3321.0609999999997</x:v>
      </x:c>
      <x:c r="AS98" s="32" t="n">
        <x:f>IF(H98=1,IF(E98=1,AS97-AR97,AS97)+AQ98,0)</x:f>
        <x:v>1198.7180991318814</x:v>
      </x:c>
      <x:c r="AT98" s="11" t="n">
        <x:f>IF(AR98&gt;0,MIN(1,AS98/AR98),1)</x:f>
        <x:v>0.36094431843675306</x:v>
      </x:c>
      <x:c r="AU98" s="10" t="n">
        <x:f>AB98/INDEX(tun_RepScale,G98)</x:f>
        <x:v>73.24391889475211</x:v>
      </x:c>
      <x:c r="AV98" s="32" t="n">
        <x:f>AM98*60/tun_SeasonSeconds</x:f>
        <x:v>188.4865510479252</x:v>
      </x:c>
    </x:row>
    <x:row r="99">
      <x:c r="A99" s="8" t="n">
        <x:f>A98+1</x:f>
        <x:v>96</x:v>
      </x:c>
      <x:c r="B99" s="9" t="n">
        <x:f>A99*tun_SeasonSeconds/60</x:f>
        <x:v>24</x:v>
      </x:c>
      <x:c r="C99" s="9" t="n">
        <x:f>A99/4</x:f>
        <x:v>24</x:v>
      </x:c>
      <x:c r="D99" s="8" t="n">
        <x:f>IF(MOD(A99,4)=0,1,0)</x:f>
        <x:v>1</x:v>
      </x:c>
      <x:c r="E99" s="8" t="n">
        <x:f>IF(AND(F98&lt;=9,AS98&gt;=AR98),1,0)</x:f>
        <x:v>0</x:v>
      </x:c>
      <x:c r="F99" s="8" t="n">
        <x:f>MIN(10,F98+E99)</x:f>
        <x:v>2</x:v>
      </x:c>
      <x:c r="G99" s="8" t="n">
        <x:f>MIN(F99,9)+1</x:f>
        <x:v>3</x:v>
      </x:c>
      <x:c r="H99" s="8" t="n">
        <x:f>IF(F99&lt;=9,1,0)</x:f>
        <x:v>1</x:v>
      </x:c>
      <x:c r="I99" s="9" t="n">
        <x:f>MIN(10,F98+IF(AR98&gt;0,MIN(1,AS98/AR98),1))</x:f>
        <x:v>2.360944318436753</x:v>
      </x:c>
      <x:c r="J99" s="32" t="n">
        <x:f>INDEX(tun_FoodCap,G99)*Arch_FoodCap*EXP(tun_CapsByProject*SUMPRODUCT((Cap_Point&lt;=I99)*(Cap_Kind="Food")*Cap_Ln))</x:f>
        <x:v>62.285671884864115</x:v>
      </x:c>
      <x:c r="K99" s="32" t="n">
        <x:f>J99*MIN(1,tun_LeanBase*EXP(tun_CapsByProject*SUMPRODUCT((Cap_Point&lt;=I99)*(Cap_Kind="Lean")*Cap_Ln)))</x:f>
        <x:v>62.285671884864115</x:v>
      </x:c>
      <x:c r="L99" s="10" t="n">
        <x:f>INDEX(tun_HousingCap,G99)*EXP(tun_CapsByProject*SUMPRODUCT((Cap_Point&lt;=I99)*(Cap_Kind="Housing")*Cap_Ln))</x:f>
        <x:v>175.5</x:v>
      </x:c>
      <x:c r="M99" s="10" t="n">
        <x:f>INDEX(tun_GroupCap,G99)*tun_CohesionFactor*EXP(tun_CapsByProject*SUMPRODUCT((Cap_Point&lt;=I99)*(Cap_Kind="Group")*Cap_Ln))</x:f>
        <x:v>150.00000000000003</x:v>
      </x:c>
      <x:c r="N99" s="32" t="n">
        <x:f>MIN(J99,L99,M99)</x:f>
        <x:v>62.285671884864115</x:v>
      </x:c>
      <x:c r="O99" s="10" t="n">
        <x:f>AE98*N99</x:f>
        <x:v>124.57134376972823</x:v>
      </x:c>
      <x:c r="P99" s="9" t="n">
        <x:f>MIN(1,(AB98/(AE98*IF(tun_GroupInCrowding=1,N99,MIN(J99,L99))))^tun_CrowdingExp)</x:f>
        <x:v>0.04131621632694234</x:v>
      </x:c>
      <x:c r="Q99" s="9" t="n">
        <x:f>IF(D99=1,INDEX(tun_WinterMult,G99),1)</x:f>
        <x:v>1.4</x:v>
      </x:c>
      <x:c r="R99" s="9" t="n">
        <x:f>H99*Z98*tun_WomenShare*tun_BaseFertility*INDEX(tun_FertMult,G99)*Arch_Fertility*(1-P99)</x:f>
        <x:v>2.0173831936514386</x:v>
      </x:c>
      <x:c r="S99" s="9" t="n">
        <x:f>H99*Y98*INDEX(tun_MortChild,G99)/4*Q99</x:f>
        <x:v>0.5146610081901263</x:v>
      </x:c>
      <x:c r="T99" s="9" t="n">
        <x:f>H99*Z98*INDEX(tun_MortAdult,G99)*Arch_AdultMort/4*Q99</x:f>
        <x:v>0.10459371740425209</x:v>
      </x:c>
      <x:c r="U99" s="9" t="n">
        <x:f>H99*AA98*INDEX(tun_MortElder,G99)/4*Q99</x:f>
        <x:v>0.12623381094190134</x:v>
      </x:c>
      <x:c r="V99" s="9" t="n">
        <x:f>H99*MAX(0,AB98-O99)*tun_OvercapLoss</x:f>
        <x:v>0</x:v>
      </x:c>
      <x:c r="W99" s="9" t="n">
        <x:f>H99*Y98/(tun_ChildYears*4)</x:f>
        <x:v>0.7502347058165106</x:v>
      </x:c>
      <x:c r="X99" s="9" t="n">
        <x:f>H99*Z98/(tun_AdultYears*4)</x:f>
        <x:v>0.2008327907147698</x:v>
      </x:c>
      <x:c r="Y99" s="32" t="n">
        <x:f>Y98+R99-S99-W99-Y98*V99/AB98</x:f>
        <x:v>42.7656310053694</x:v>
      </x:c>
      <x:c r="Z99" s="32" t="n">
        <x:f>Z98+W99-X99-T99-Z98*V99/AB98</x:f>
        <x:v>25.34807424632894</x:v>
      </x:c>
      <x:c r="AA99" s="32" t="n">
        <x:f>AA98+X99-U99-AA98*V99/AB98</x:f>
        <x:v>6.402108300168926</x:v>
      </x:c>
      <x:c r="AB99" s="10" t="n">
        <x:f>Y99+Z99+AA99</x:f>
        <x:v>74.51581355186727</x:v>
      </x:c>
      <x:c r="AC99" s="8" t="n">
        <x:f>IF(AND(tun_WinterTrigger=1,D99=1,AB98/AE98&gt;=K99),1,0)</x:f>
        <x:v>0</x:v>
      </x:c>
      <x:c r="AD99" s="8" t="n">
        <x:f>H99*IF(AND(OR(AB98/AE98&gt;=tun_FissionTrigger*N99,AC99=1),AB98/AE98*tun_DaughterShare&gt;=tun_MinDaughter),MAX(1,ROUND(AE98*tun_FissionRate,0)),0)</x:f>
        <x:v>0</x:v>
      </x:c>
      <x:c r="AE99" s="8" t="n">
        <x:f>IF(H99=1,MAX(1,MIN(INDEX(tun_Smax,G99),AE98+AD99)),AE98)</x:f>
        <x:v>2</x:v>
      </x:c>
      <x:c r="AF99" s="8" t="n">
        <x:f>MAX(0,AE99-AE98)</x:f>
        <x:v>0</x:v>
      </x:c>
      <x:c r="AG99" s="9" t="str">
        <x:f>IF(AF99&gt;0,B99,"")</x:f>
      </x:c>
      <x:c r="AH99" s="9" t="n">
        <x:f>IF(F99&gt;=1,1,(1+tun_LowTiesShare*(AE99-1))/AE99)</x:f>
        <x:v>1</x:v>
      </x:c>
      <x:c r="AI99" s="32" t="n">
        <x:f>(Z99+tun_ElderCommons*INDEX(LM_Elder,G99)*AA99)*AH99</x:f>
        <x:v>44.55439914683572</x:v>
      </x:c>
      <x:c r="AJ99" s="32" t="n">
        <x:f>H99*tun_CommonsCoef*AI99^tun_CommonsExp*INDEX(LM_Commons,G99)</x:f>
        <x:v>133.10394425622712</x:v>
      </x:c>
      <x:c r="AK99" s="32" t="n">
        <x:f>H99*tun_RoleScale*Arch_Roles*(AE99*(INDEX(tun_ElderRolePerSett,G99)*tun_OutElder*INDEX(LM_Elder,G99)+INDEX(tun_ShamanPerSett,G99)*tun_OutShaman)+Z99*(INDEX(tun_PriestShare,G99)*tun_OutPriest+INDEX(tun_ScribeShare,G99)*tun_OutScribe*INDEX(LM_Scribe,G99)+INDEX(tun_ScholarShare,G99)*tun_OutScholar*INDEX(LM_Scholar,G99)+INDEX(tun_ResearcherShare,G99)*tun_OutResearcher*INDEX(LM_Researcher,G99)))</x:f>
        <x:v>48</x:v>
      </x:c>
      <x:c r="AL99" s="32" t="n">
        <x:f>H99*tun_RoleScale*Arch_Roles*AE99*INDEX(tun_MonasteryPerSett,G99)*tun_OutMonastery*INDEX(LM_Monastery,G99)</x:f>
        <x:v>0</x:v>
      </x:c>
      <x:c r="AM99" s="32" t="n">
        <x:f>(AJ99+AK99+AL99)/4*INDEX(LM_All,G99)*INDEX(tun_Boon,G99)*Arch_Insight</x:f>
        <x:v>47.56808285854965</x:v>
      </x:c>
      <x:c r="AN99" s="32" t="n">
        <x:f>H99*(tun_KHPerAdult*Z99+tun_KHOfCommons*AJ99/4*INDEX(LM_All,G99))*tun_KHUsable*Arch_KH</x:f>
        <x:v>8.152616585693911</x:v>
      </x:c>
      <x:c r="AO99" s="32" t="n">
        <x:f>MIN(AP98+AN99,AM99*tun_KHMaxRatio)</x:f>
        <x:v>8.152616585693911</x:v>
      </x:c>
      <x:c r="AP99" s="32" t="n">
        <x:f>AP98+AN99-AO99</x:f>
        <x:v>0</x:v>
      </x:c>
      <x:c r="AQ99" s="32" t="n">
        <x:f>AM99+AO99</x:f>
        <x:v>55.720699444243564</x:v>
      </x:c>
      <x:c r="AR99" s="10" t="n">
        <x:f>IF(H99=1,INDEX(tun_Req,G99),0)</x:f>
        <x:v>3321.0609999999997</x:v>
      </x:c>
      <x:c r="AS99" s="32" t="n">
        <x:f>IF(H99=1,IF(E99=1,AS98-AR98,AS98)+AQ99,0)</x:f>
        <x:v>1254.438798576125</x:v>
      </x:c>
      <x:c r="AT99" s="11" t="n">
        <x:f>IF(AR99&gt;0,MIN(1,AS99/AR99),1)</x:f>
        <x:v>0.3777222997638782</x:v>
      </x:c>
      <x:c r="AU99" s="10" t="n">
        <x:f>AB99/INDEX(tun_RepScale,G99)</x:f>
        <x:v>74.51581355186727</x:v>
      </x:c>
      <x:c r="AV99" s="32" t="n">
        <x:f>AM99*60/tun_SeasonSeconds</x:f>
        <x:v>190.2723314341986</x:v>
      </x:c>
    </x:row>
    <x:row r="100">
      <x:c r="A100" s="8" t="n">
        <x:f>A99+1</x:f>
        <x:v>97</x:v>
      </x:c>
      <x:c r="B100" s="9" t="n">
        <x:f>A100*tun_SeasonSeconds/60</x:f>
        <x:v>24.25</x:v>
      </x:c>
      <x:c r="C100" s="9" t="n">
        <x:f>A100/4</x:f>
        <x:v>24.25</x:v>
      </x:c>
      <x:c r="D100" s="8" t="n">
        <x:f>IF(MOD(A100,4)=0,1,0)</x:f>
        <x:v>0</x:v>
      </x:c>
      <x:c r="E100" s="8" t="n">
        <x:f>IF(AND(F99&lt;=9,AS99&gt;=AR99),1,0)</x:f>
        <x:v>0</x:v>
      </x:c>
      <x:c r="F100" s="8" t="n">
        <x:f>MIN(10,F99+E100)</x:f>
        <x:v>2</x:v>
      </x:c>
      <x:c r="G100" s="8" t="n">
        <x:f>MIN(F100,9)+1</x:f>
        <x:v>3</x:v>
      </x:c>
      <x:c r="H100" s="8" t="n">
        <x:f>IF(F100&lt;=9,1,0)</x:f>
        <x:v>1</x:v>
      </x:c>
      <x:c r="I100" s="9" t="n">
        <x:f>MIN(10,F99+IF(AR99&gt;0,MIN(1,AS99/AR99),1))</x:f>
        <x:v>2.377722299763878</x:v>
      </x:c>
      <x:c r="J100" s="32" t="n">
        <x:f>INDEX(tun_FoodCap,G100)*Arch_FoodCap*EXP(tun_CapsByProject*SUMPRODUCT((Cap_Point&lt;=I100)*(Cap_Kind="Food")*Cap_Ln))</x:f>
        <x:v>62.285671884864115</x:v>
      </x:c>
      <x:c r="K100" s="32" t="n">
        <x:f>J100*MIN(1,tun_LeanBase*EXP(tun_CapsByProject*SUMPRODUCT((Cap_Point&lt;=I100)*(Cap_Kind="Lean")*Cap_Ln)))</x:f>
        <x:v>62.285671884864115</x:v>
      </x:c>
      <x:c r="L100" s="10" t="n">
        <x:f>INDEX(tun_HousingCap,G100)*EXP(tun_CapsByProject*SUMPRODUCT((Cap_Point&lt;=I100)*(Cap_Kind="Housing")*Cap_Ln))</x:f>
        <x:v>175.5</x:v>
      </x:c>
      <x:c r="M100" s="10" t="n">
        <x:f>INDEX(tun_GroupCap,G100)*tun_CohesionFactor*EXP(tun_CapsByProject*SUMPRODUCT((Cap_Point&lt;=I100)*(Cap_Kind="Group")*Cap_Ln))</x:f>
        <x:v>150.00000000000003</x:v>
      </x:c>
      <x:c r="N100" s="32" t="n">
        <x:f>MIN(J100,L100,M100)</x:f>
        <x:v>62.285671884864115</x:v>
      </x:c>
      <x:c r="O100" s="10" t="n">
        <x:f>AE99*N100</x:f>
        <x:v>124.57134376972823</x:v>
      </x:c>
      <x:c r="P100" s="9" t="n">
        <x:f>MIN(1,(AB99/(AE99*IF(tun_GroupInCrowding=1,N100,MIN(J100,L100))))^tun_CrowdingExp)</x:f>
        <x:v>0.0458122675714861</x:v>
      </x:c>
      <x:c r="Q100" s="9" t="n">
        <x:f>IF(D100=1,INDEX(tun_WinterMult,G100),1)</x:f>
        <x:v>1</x:v>
      </x:c>
      <x:c r="R100" s="9" t="n">
        <x:f>H100*Z99*tun_WomenShare*tun_BaseFertility*INDEX(tun_FertMult,G100)*Arch_Fertility*(1-P100)</x:f>
        <x:v>2.0437864156121424</x:v>
      </x:c>
      <x:c r="S100" s="9" t="n">
        <x:f>H100*Y99*INDEX(tun_MortChild,G100)/4*Q100</x:f>
        <x:v>0.37419927129698227</x:v>
      </x:c>
      <x:c r="T100" s="9" t="n">
        <x:f>H100*Z99*INDEX(tun_MortAdult,G100)*Arch_AdultMort/4*Q100</x:f>
        <x:v>0.07604422273898682</x:v>
      </x:c>
      <x:c r="U100" s="9" t="n">
        <x:f>H100*AA99*INDEX(tun_MortElder,G100)/4*Q100</x:f>
        <x:v>0.0912300432774072</x:v>
      </x:c>
      <x:c r="V100" s="9" t="n">
        <x:f>H100*MAX(0,AB99-O100)*tun_OvercapLoss</x:f>
        <x:v>0</x:v>
      </x:c>
      <x:c r="W100" s="9" t="n">
        <x:f>H100*Y99/(tun_ChildYears*4)</x:f>
        <x:v>0.7636719822387393</x:v>
      </x:c>
      <x:c r="X100" s="9" t="n">
        <x:f>H100*Z99/(tun_AdultYears*4)</x:f>
        <x:v>0.20441995359942694</x:v>
      </x:c>
      <x:c r="Y100" s="32" t="n">
        <x:f>Y99+R100-S100-W100-Y99*V100/AB99</x:f>
        <x:v>43.67154616744582</x:v>
      </x:c>
      <x:c r="Z100" s="32" t="n">
        <x:f>Z99+W100-X100-T100-Z99*V100/AB99</x:f>
        <x:v>25.83128205222927</x:v>
      </x:c>
      <x:c r="AA100" s="32" t="n">
        <x:f>AA99+X100-U100-AA99*V100/AB99</x:f>
        <x:v>6.515298210490946</x:v>
      </x:c>
      <x:c r="AB100" s="10" t="n">
        <x:f>Y100+Z100+AA100</x:f>
        <x:v>76.01812643016602</x:v>
      </x:c>
      <x:c r="AC100" s="8" t="n">
        <x:f>IF(AND(tun_WinterTrigger=1,D100=1,AB99/AE99&gt;=K100),1,0)</x:f>
        <x:v>0</x:v>
      </x:c>
      <x:c r="AD100" s="8" t="n">
        <x:f>H100*IF(AND(OR(AB99/AE99&gt;=tun_FissionTrigger*N100,AC100=1),AB99/AE99*tun_DaughterShare&gt;=tun_MinDaughter),MAX(1,ROUND(AE99*tun_FissionRate,0)),0)</x:f>
        <x:v>0</x:v>
      </x:c>
      <x:c r="AE100" s="8" t="n">
        <x:f>IF(H100=1,MAX(1,MIN(INDEX(tun_Smax,G100),AE99+AD100)),AE99)</x:f>
        <x:v>2</x:v>
      </x:c>
      <x:c r="AF100" s="8" t="n">
        <x:f>MAX(0,AE100-AE99)</x:f>
        <x:v>0</x:v>
      </x:c>
      <x:c r="AG100" s="9" t="str">
        <x:f>IF(AF100&gt;0,B100,"")</x:f>
      </x:c>
      <x:c r="AH100" s="9" t="n">
        <x:f>IF(F100&gt;=1,1,(1+tun_LowTiesShare*(AE100-1))/AE100)</x:f>
        <x:v>1</x:v>
      </x:c>
      <x:c r="AI100" s="32" t="n">
        <x:f>(Z100+tun_ElderCommons*INDEX(LM_Elder,G100)*AA100)*AH100</x:f>
        <x:v>45.3771766837021</x:v>
      </x:c>
      <x:c r="AJ100" s="32" t="n">
        <x:f>H100*tun_CommonsCoef*AI100^tun_CommonsExp*INDEX(LM_Commons,G100)</x:f>
        <x:v>135.19037507209043</x:v>
      </x:c>
      <x:c r="AK100" s="32" t="n">
        <x:f>H100*tun_RoleScale*Arch_Roles*(AE100*(INDEX(tun_ElderRolePerSett,G100)*tun_OutElder*INDEX(LM_Elder,G100)+INDEX(tun_ShamanPerSett,G100)*tun_OutShaman)+Z100*(INDEX(tun_PriestShare,G100)*tun_OutPriest+INDEX(tun_ScribeShare,G100)*tun_OutScribe*INDEX(LM_Scribe,G100)+INDEX(tun_ScholarShare,G100)*tun_OutScholar*INDEX(LM_Scholar,G100)+INDEX(tun_ResearcherShare,G100)*tun_OutResearcher*INDEX(LM_Researcher,G100)))</x:f>
        <x:v>48</x:v>
      </x:c>
      <x:c r="AL100" s="32" t="n">
        <x:f>H100*tun_RoleScale*Arch_Roles*AE100*INDEX(tun_MonasteryPerSett,G100)*tun_OutMonastery*INDEX(LM_Monastery,G100)</x:f>
        <x:v>0</x:v>
      </x:c>
      <x:c r="AM100" s="32" t="n">
        <x:f>(AJ100+AK100+AL100)/4*INDEX(LM_All,G100)*INDEX(tun_Boon,G100)*Arch_Insight</x:f>
        <x:v>48.11609695252875</x:v>
      </x:c>
      <x:c r="AN100" s="32" t="n">
        <x:f>H100*(tun_KHPerAdult*Z100+tun_KHOfCommons*AJ100/4*INDEX(LM_All,G100))*tun_KHUsable*Arch_KH</x:f>
        <x:v>8.280410473165539</x:v>
      </x:c>
      <x:c r="AO100" s="32" t="n">
        <x:f>MIN(AP99+AN100,AM100*tun_KHMaxRatio)</x:f>
        <x:v>8.280410473165539</x:v>
      </x:c>
      <x:c r="AP100" s="32" t="n">
        <x:f>AP99+AN100-AO100</x:f>
        <x:v>0</x:v>
      </x:c>
      <x:c r="AQ100" s="32" t="n">
        <x:f>AM100+AO100</x:f>
        <x:v>56.39650742569429</x:v>
      </x:c>
      <x:c r="AR100" s="10" t="n">
        <x:f>IF(H100=1,INDEX(tun_Req,G100),0)</x:f>
        <x:v>3321.0609999999997</x:v>
      </x:c>
      <x:c r="AS100" s="32" t="n">
        <x:f>IF(H100=1,IF(E100=1,AS99-AR99,AS99)+AQ100,0)</x:f>
        <x:v>1310.8353060018194</x:v>
      </x:c>
      <x:c r="AT100" s="11" t="n">
        <x:f>IF(AR100&gt;0,MIN(1,AS100/AR100),1)</x:f>
        <x:v>0.3947037726804234</x:v>
      </x:c>
      <x:c r="AU100" s="10" t="n">
        <x:f>AB100/INDEX(tun_RepScale,G100)</x:f>
        <x:v>76.01812643016602</x:v>
      </x:c>
      <x:c r="AV100" s="32" t="n">
        <x:f>AM100*60/tun_SeasonSeconds</x:f>
        <x:v>192.464387810115</x:v>
      </x:c>
    </x:row>
    <x:row r="101">
      <x:c r="A101" s="8" t="n">
        <x:f>A100+1</x:f>
        <x:v>98</x:v>
      </x:c>
      <x:c r="B101" s="9" t="n">
        <x:f>A101*tun_SeasonSeconds/60</x:f>
        <x:v>24.5</x:v>
      </x:c>
      <x:c r="C101" s="9" t="n">
        <x:f>A101/4</x:f>
        <x:v>24.5</x:v>
      </x:c>
      <x:c r="D101" s="8" t="n">
        <x:f>IF(MOD(A101,4)=0,1,0)</x:f>
        <x:v>0</x:v>
      </x:c>
      <x:c r="E101" s="8" t="n">
        <x:f>IF(AND(F100&lt;=9,AS100&gt;=AR100),1,0)</x:f>
        <x:v>0</x:v>
      </x:c>
      <x:c r="F101" s="8" t="n">
        <x:f>MIN(10,F100+E101)</x:f>
        <x:v>2</x:v>
      </x:c>
      <x:c r="G101" s="8" t="n">
        <x:f>MIN(F101,9)+1</x:f>
        <x:v>3</x:v>
      </x:c>
      <x:c r="H101" s="8" t="n">
        <x:f>IF(F101&lt;=9,1,0)</x:f>
        <x:v>1</x:v>
      </x:c>
      <x:c r="I101" s="9" t="n">
        <x:f>MIN(10,F100+IF(AR100&gt;0,MIN(1,AS100/AR100),1))</x:f>
        <x:v>2.3947037726804234</x:v>
      </x:c>
      <x:c r="J101" s="32" t="n">
        <x:f>INDEX(tun_FoodCap,G101)*Arch_FoodCap*EXP(tun_CapsByProject*SUMPRODUCT((Cap_Point&lt;=I101)*(Cap_Kind="Food")*Cap_Ln))</x:f>
        <x:v>62.285671884864115</x:v>
      </x:c>
      <x:c r="K101" s="32" t="n">
        <x:f>J101*MIN(1,tun_LeanBase*EXP(tun_CapsByProject*SUMPRODUCT((Cap_Point&lt;=I101)*(Cap_Kind="Lean")*Cap_Ln)))</x:f>
        <x:v>62.285671884864115</x:v>
      </x:c>
      <x:c r="L101" s="10" t="n">
        <x:f>INDEX(tun_HousingCap,G101)*EXP(tun_CapsByProject*SUMPRODUCT((Cap_Point&lt;=I101)*(Cap_Kind="Housing")*Cap_Ln))</x:f>
        <x:v>175.5</x:v>
      </x:c>
      <x:c r="M101" s="10" t="n">
        <x:f>INDEX(tun_GroupCap,G101)*tun_CohesionFactor*EXP(tun_CapsByProject*SUMPRODUCT((Cap_Point&lt;=I101)*(Cap_Kind="Group")*Cap_Ln))</x:f>
        <x:v>150.00000000000003</x:v>
      </x:c>
      <x:c r="N101" s="32" t="n">
        <x:f>MIN(J101,L101,M101)</x:f>
        <x:v>62.285671884864115</x:v>
      </x:c>
      <x:c r="O101" s="10" t="n">
        <x:f>AE100*N101</x:f>
        <x:v>124.57134376972823</x:v>
      </x:c>
      <x:c r="P101" s="9" t="n">
        <x:f>MIN(1,(AB100/(AE100*IF(tun_GroupInCrowding=1,N101,MIN(J101,L101))))^tun_CrowdingExp)</x:f>
        <x:v>0.05164093228699309</x:v>
      </x:c>
      <x:c r="Q101" s="9" t="n">
        <x:f>IF(D101=1,INDEX(tun_WinterMult,G101),1)</x:f>
        <x:v>1</x:v>
      </x:c>
      <x:c r="R101" s="9" t="n">
        <x:f>H101*Z100*tun_WomenShare*tun_BaseFertility*INDEX(tun_FertMult,G101)*Arch_Fertility*(1-P101)</x:f>
        <x:v>2.0700244327326875</x:v>
      </x:c>
      <x:c r="S101" s="9" t="n">
        <x:f>H101*Y100*INDEX(tun_MortChild,G101)/4*Q101</x:f>
        <x:v>0.38212602896515097</x:v>
      </x:c>
      <x:c r="T101" s="9" t="n">
        <x:f>H101*Z100*INDEX(tun_MortAdult,G101)*Arch_AdultMort/4*Q101</x:f>
        <x:v>0.0774938461566878</x:v>
      </x:c>
      <x:c r="U101" s="9" t="n">
        <x:f>H101*AA100*INDEX(tun_MortElder,G101)/4*Q101</x:f>
        <x:v>0.09284299949949598</x:v>
      </x:c>
      <x:c r="V101" s="9" t="n">
        <x:f>H101*MAX(0,AB100-O101)*tun_OvercapLoss</x:f>
        <x:v>0</x:v>
      </x:c>
      <x:c r="W101" s="9" t="n">
        <x:f>H101*Y100/(tun_ChildYears*4)</x:f>
        <x:v>0.7798490387043896</x:v>
      </x:c>
      <x:c r="X101" s="9" t="n">
        <x:f>H101*Z100/(tun_AdultYears*4)</x:f>
        <x:v>0.20831679074378442</x:v>
      </x:c>
      <x:c r="Y101" s="32" t="n">
        <x:f>Y100+R101-S101-W101-Y100*V101/AB100</x:f>
        <x:v>44.57959553250896</x:v>
      </x:c>
      <x:c r="Z101" s="32" t="n">
        <x:f>Z100+W101-X101-T101-Z100*V101/AB100</x:f>
        <x:v>26.32532045403319</x:v>
      </x:c>
      <x:c r="AA101" s="32" t="n">
        <x:f>AA100+X101-U101-AA100*V101/AB100</x:f>
        <x:v>6.6307720017352345</x:v>
      </x:c>
      <x:c r="AB101" s="10" t="n">
        <x:f>Y101+Z101+AA101</x:f>
        <x:v>77.53568798827739</x:v>
      </x:c>
      <x:c r="AC101" s="8" t="n">
        <x:f>IF(AND(tun_WinterTrigger=1,D101=1,AB100/AE100&gt;=K101),1,0)</x:f>
        <x:v>0</x:v>
      </x:c>
      <x:c r="AD101" s="8" t="n">
        <x:f>H101*IF(AND(OR(AB100/AE100&gt;=tun_FissionTrigger*N101,AC101=1),AB100/AE100*tun_DaughterShare&gt;=tun_MinDaughter),MAX(1,ROUND(AE100*tun_FissionRate,0)),0)</x:f>
        <x:v>0</x:v>
      </x:c>
      <x:c r="AE101" s="8" t="n">
        <x:f>IF(H101=1,MAX(1,MIN(INDEX(tun_Smax,G101),AE100+AD101)),AE100)</x:f>
        <x:v>2</x:v>
      </x:c>
      <x:c r="AF101" s="8" t="n">
        <x:f>MAX(0,AE101-AE100)</x:f>
        <x:v>0</x:v>
      </x:c>
      <x:c r="AG101" s="9" t="str">
        <x:f>IF(AF101&gt;0,B101,"")</x:f>
      </x:c>
      <x:c r="AH101" s="9" t="n">
        <x:f>IF(F101&gt;=1,1,(1+tun_LowTiesShare*(AE101-1))/AE101)</x:f>
        <x:v>1</x:v>
      </x:c>
      <x:c r="AI101" s="32" t="n">
        <x:f>(Z101+tun_ElderCommons*INDEX(LM_Elder,G101)*AA101)*AH101</x:f>
        <x:v>46.21763645923889</x:v>
      </x:c>
      <x:c r="AJ101" s="32" t="n">
        <x:f>H101*tun_CommonsCoef*AI101^tun_CommonsExp*INDEX(LM_Commons,G101)</x:f>
        <x:v>137.31579476240796</x:v>
      </x:c>
      <x:c r="AK101" s="32" t="n">
        <x:f>H101*tun_RoleScale*Arch_Roles*(AE101*(INDEX(tun_ElderRolePerSett,G101)*tun_OutElder*INDEX(LM_Elder,G101)+INDEX(tun_ShamanPerSett,G101)*tun_OutShaman)+Z101*(INDEX(tun_PriestShare,G101)*tun_OutPriest+INDEX(tun_ScribeShare,G101)*tun_OutScribe*INDEX(LM_Scribe,G101)+INDEX(tun_ScholarShare,G101)*tun_OutScholar*INDEX(LM_Scholar,G101)+INDEX(tun_ResearcherShare,G101)*tun_OutResearcher*INDEX(LM_Researcher,G101)))</x:f>
        <x:v>48</x:v>
      </x:c>
      <x:c r="AL101" s="32" t="n">
        <x:f>H101*tun_RoleScale*Arch_Roles*AE101*INDEX(tun_MonasteryPerSett,G101)*tun_OutMonastery*INDEX(LM_Monastery,G101)</x:f>
        <x:v>0</x:v>
      </x:c>
      <x:c r="AM101" s="32" t="n">
        <x:f>(AJ101+AK101+AL101)/4*INDEX(LM_All,G101)*INDEX(tun_Boon,G101)*Arch_Insight</x:f>
        <x:v>48.67435171806371</x:v>
      </x:c>
      <x:c r="AN101" s="32" t="n">
        <x:f>H101*(tun_KHPerAdult*Z101+tun_KHOfCommons*AJ101/4*INDEX(LM_All,G101))*tun_KHUsable*Arch_KH</x:f>
        <x:v>8.410592429197488</x:v>
      </x:c>
      <x:c r="AO101" s="32" t="n">
        <x:f>MIN(AP100+AN101,AM101*tun_KHMaxRatio)</x:f>
        <x:v>8.410592429197488</x:v>
      </x:c>
      <x:c r="AP101" s="32" t="n">
        <x:f>AP100+AN101-AO101</x:f>
        <x:v>0</x:v>
      </x:c>
      <x:c r="AQ101" s="32" t="n">
        <x:f>AM101+AO101</x:f>
        <x:v>57.0849441472612</x:v>
      </x:c>
      <x:c r="AR101" s="10" t="n">
        <x:f>IF(H101=1,INDEX(tun_Req,G101),0)</x:f>
        <x:v>3321.0609999999997</x:v>
      </x:c>
      <x:c r="AS101" s="32" t="n">
        <x:f>IF(H101=1,IF(E101=1,AS100-AR100,AS100)+AQ101,0)</x:f>
        <x:v>1367.9202501490806</x:v>
      </x:c>
      <x:c r="AT101" s="11" t="n">
        <x:f>IF(AR101&gt;0,MIN(1,AS101/AR101),1)</x:f>
        <x:v>0.4118925398085373</x:v>
      </x:c>
      <x:c r="AU101" s="10" t="n">
        <x:f>AB101/INDEX(tun_RepScale,G101)</x:f>
        <x:v>77.53568798827739</x:v>
      </x:c>
      <x:c r="AV101" s="32" t="n">
        <x:f>AM101*60/tun_SeasonSeconds</x:f>
        <x:v>194.69740687225485</x:v>
      </x:c>
    </x:row>
    <x:row r="102">
      <x:c r="A102" s="8" t="n">
        <x:f>A101+1</x:f>
        <x:v>99</x:v>
      </x:c>
      <x:c r="B102" s="9" t="n">
        <x:f>A102*tun_SeasonSeconds/60</x:f>
        <x:v>24.75</x:v>
      </x:c>
      <x:c r="C102" s="9" t="n">
        <x:f>A102/4</x:f>
        <x:v>24.75</x:v>
      </x:c>
      <x:c r="D102" s="8" t="n">
        <x:f>IF(MOD(A102,4)=0,1,0)</x:f>
        <x:v>0</x:v>
      </x:c>
      <x:c r="E102" s="8" t="n">
        <x:f>IF(AND(F101&lt;=9,AS101&gt;=AR101),1,0)</x:f>
        <x:v>0</x:v>
      </x:c>
      <x:c r="F102" s="8" t="n">
        <x:f>MIN(10,F101+E102)</x:f>
        <x:v>2</x:v>
      </x:c>
      <x:c r="G102" s="8" t="n">
        <x:f>MIN(F102,9)+1</x:f>
        <x:v>3</x:v>
      </x:c>
      <x:c r="H102" s="8" t="n">
        <x:f>IF(F102&lt;=9,1,0)</x:f>
        <x:v>1</x:v>
      </x:c>
      <x:c r="I102" s="9" t="n">
        <x:f>MIN(10,F101+IF(AR101&gt;0,MIN(1,AS101/AR101),1))</x:f>
        <x:v>2.4118925398085374</x:v>
      </x:c>
      <x:c r="J102" s="32" t="n">
        <x:f>INDEX(tun_FoodCap,G102)*Arch_FoodCap*EXP(tun_CapsByProject*SUMPRODUCT((Cap_Point&lt;=I102)*(Cap_Kind="Food")*Cap_Ln))</x:f>
        <x:v>62.285671884864115</x:v>
      </x:c>
      <x:c r="K102" s="32" t="n">
        <x:f>J102*MIN(1,tun_LeanBase*EXP(tun_CapsByProject*SUMPRODUCT((Cap_Point&lt;=I102)*(Cap_Kind="Lean")*Cap_Ln)))</x:f>
        <x:v>62.285671884864115</x:v>
      </x:c>
      <x:c r="L102" s="10" t="n">
        <x:f>INDEX(tun_HousingCap,G102)*EXP(tun_CapsByProject*SUMPRODUCT((Cap_Point&lt;=I102)*(Cap_Kind="Housing")*Cap_Ln))</x:f>
        <x:v>175.5</x:v>
      </x:c>
      <x:c r="M102" s="10" t="n">
        <x:f>INDEX(tun_GroupCap,G102)*tun_CohesionFactor*EXP(tun_CapsByProject*SUMPRODUCT((Cap_Point&lt;=I102)*(Cap_Kind="Group")*Cap_Ln))</x:f>
        <x:v>150.00000000000003</x:v>
      </x:c>
      <x:c r="N102" s="32" t="n">
        <x:f>MIN(J102,L102,M102)</x:f>
        <x:v>62.285671884864115</x:v>
      </x:c>
      <x:c r="O102" s="10" t="n">
        <x:f>AE101*N102</x:f>
        <x:v>124.57134376972823</x:v>
      </x:c>
      <x:c r="P102" s="9" t="n">
        <x:f>MIN(1,(AB101/(AE101*IF(tun_GroupInCrowding=1,N102,MIN(J102,L102))))^tun_CrowdingExp)</x:f>
        <x:v>0.058143473529320026</x:v>
      </x:c>
      <x:c r="Q102" s="9" t="n">
        <x:f>IF(D102=1,INDEX(tun_WinterMult,G102),1)</x:f>
        <x:v>1</x:v>
      </x:c>
      <x:c r="R102" s="9" t="n">
        <x:f>H102*Z101*tun_WomenShare*tun_BaseFertility*INDEX(tun_FertMult,G102)*Arch_Fertility*(1-P102)</x:f>
        <x:v>2.0951500274498445</x:v>
      </x:c>
      <x:c r="S102" s="9" t="n">
        <x:f>H102*Y101*INDEX(tun_MortChild,G102)/4*Q102</x:f>
        <x:v>0.39007146090945344</x:v>
      </x:c>
      <x:c r="T102" s="9" t="n">
        <x:f>H102*Z101*INDEX(tun_MortAdult,G102)*Arch_AdultMort/4*Q102</x:f>
        <x:v>0.07897596136209957</x:v>
      </x:c>
      <x:c r="U102" s="9" t="n">
        <x:f>H102*AA101*INDEX(tun_MortElder,G102)/4*Q102</x:f>
        <x:v>0.0944885010247271</x:v>
      </x:c>
      <x:c r="V102" s="9" t="n">
        <x:f>H102*MAX(0,AB101-O102)*tun_OvercapLoss</x:f>
        <x:v>0</x:v>
      </x:c>
      <x:c r="W102" s="9" t="n">
        <x:f>H102*Y101/(tun_ChildYears*4)</x:f>
        <x:v>0.79606420593766</x:v>
      </x:c>
      <x:c r="X102" s="9" t="n">
        <x:f>H102*Z101/(tun_AdultYears*4)</x:f>
        <x:v>0.21230097140349347</x:v>
      </x:c>
      <x:c r="Y102" s="32" t="n">
        <x:f>Y101+R102-S102-W102-Y101*V102/AB101</x:f>
        <x:v>45.48860989311169</x:v>
      </x:c>
      <x:c r="Z102" s="32" t="n">
        <x:f>Z101+W102-X102-T102-Z101*V102/AB101</x:f>
        <x:v>26.830107727205256</x:v>
      </x:c>
      <x:c r="AA102" s="32" t="n">
        <x:f>AA101+X102-U102-AA101*V102/AB101</x:f>
        <x:v>6.748584472114001</x:v>
      </x:c>
      <x:c r="AB102" s="10" t="n">
        <x:f>Y102+Z102+AA102</x:f>
        <x:v>79.06730209243095</x:v>
      </x:c>
      <x:c r="AC102" s="8" t="n">
        <x:f>IF(AND(tun_WinterTrigger=1,D102=1,AB101/AE101&gt;=K102),1,0)</x:f>
        <x:v>0</x:v>
      </x:c>
      <x:c r="AD102" s="8" t="n">
        <x:f>H102*IF(AND(OR(AB101/AE101&gt;=tun_FissionTrigger*N102,AC102=1),AB101/AE101*tun_DaughterShare&gt;=tun_MinDaughter),MAX(1,ROUND(AE101*tun_FissionRate,0)),0)</x:f>
        <x:v>0</x:v>
      </x:c>
      <x:c r="AE102" s="8" t="n">
        <x:f>IF(H102=1,MAX(1,MIN(INDEX(tun_Smax,G102),AE101+AD102)),AE101)</x:f>
        <x:v>2</x:v>
      </x:c>
      <x:c r="AF102" s="8" t="n">
        <x:f>MAX(0,AE102-AE101)</x:f>
        <x:v>0</x:v>
      </x:c>
      <x:c r="AG102" s="9" t="str">
        <x:f>IF(AF102&gt;0,B102,"")</x:f>
      </x:c>
      <x:c r="AH102" s="9" t="n">
        <x:f>IF(F102&gt;=1,1,(1+tun_LowTiesShare*(AE102-1))/AE102)</x:f>
        <x:v>1</x:v>
      </x:c>
      <x:c r="AI102" s="32" t="n">
        <x:f>(Z102+tun_ElderCommons*INDEX(LM_Elder,G102)*AA102)*AH102</x:f>
        <x:v>47.07586114354726</x:v>
      </x:c>
      <x:c r="AJ102" s="32" t="n">
        <x:f>H102*tun_CommonsCoef*AI102^tun_CommonsExp*INDEX(LM_Commons,G102)</x:f>
        <x:v>139.48016572891893</x:v>
      </x:c>
      <x:c r="AK102" s="32" t="n">
        <x:f>H102*tun_RoleScale*Arch_Roles*(AE102*(INDEX(tun_ElderRolePerSett,G102)*tun_OutElder*INDEX(LM_Elder,G102)+INDEX(tun_ShamanPerSett,G102)*tun_OutShaman)+Z102*(INDEX(tun_PriestShare,G102)*tun_OutPriest+INDEX(tun_ScribeShare,G102)*tun_OutScribe*INDEX(LM_Scribe,G102)+INDEX(tun_ScholarShare,G102)*tun_OutScholar*INDEX(LM_Scholar,G102)+INDEX(tun_ResearcherShare,G102)*tun_OutResearcher*INDEX(LM_Researcher,G102)))</x:f>
        <x:v>48</x:v>
      </x:c>
      <x:c r="AL102" s="32" t="n">
        <x:f>H102*tun_RoleScale*Arch_Roles*AE102*INDEX(tun_MonasteryPerSett,G102)*tun_OutMonastery*INDEX(LM_Monastery,G102)</x:f>
        <x:v>0</x:v>
      </x:c>
      <x:c r="AM102" s="32" t="n">
        <x:f>(AJ102+AK102+AL102)/4*INDEX(LM_All,G102)*INDEX(tun_Boon,G102)*Arch_Insight</x:f>
        <x:v>49.24283727973636</x:v>
      </x:c>
      <x:c r="AN102" s="32" t="n">
        <x:f>H102*(tun_KHPerAdult*Z102+tun_KHOfCommons*AJ102/4*INDEX(LM_All,G102))*tun_KHUsable*Arch_KH</x:f>
        <x:v>8.543160150896282</x:v>
      </x:c>
      <x:c r="AO102" s="32" t="n">
        <x:f>MIN(AP101+AN102,AM102*tun_KHMaxRatio)</x:f>
        <x:v>8.543160150896282</x:v>
      </x:c>
      <x:c r="AP102" s="32" t="n">
        <x:f>AP101+AN102-AO102</x:f>
        <x:v>0</x:v>
      </x:c>
      <x:c r="AQ102" s="32" t="n">
        <x:f>AM102+AO102</x:f>
        <x:v>57.78599743063264</x:v>
      </x:c>
      <x:c r="AR102" s="10" t="n">
        <x:f>IF(H102=1,INDEX(tun_Req,G102),0)</x:f>
        <x:v>3321.0609999999997</x:v>
      </x:c>
      <x:c r="AS102" s="32" t="n">
        <x:f>IF(H102=1,IF(E102=1,AS101-AR101,AS101)+AQ102,0)</x:f>
        <x:v>1425.7062475797134</x:v>
      </x:c>
      <x:c r="AT102" s="11" t="n">
        <x:f>IF(AR102&gt;0,MIN(1,AS102/AR102),1)</x:f>
        <x:v>0.42929240010337466</x:v>
      </x:c>
      <x:c r="AU102" s="10" t="n">
        <x:f>AB102/INDEX(tun_RepScale,G102)</x:f>
        <x:v>79.06730209243095</x:v>
      </x:c>
      <x:c r="AV102" s="32" t="n">
        <x:f>AM102*60/tun_SeasonSeconds</x:f>
        <x:v>196.97134911894543</x:v>
      </x:c>
    </x:row>
    <x:row r="103">
      <x:c r="A103" s="8" t="n">
        <x:f>A102+1</x:f>
        <x:v>100</x:v>
      </x:c>
      <x:c r="B103" s="9" t="n">
        <x:f>A103*tun_SeasonSeconds/60</x:f>
        <x:v>25</x:v>
      </x:c>
      <x:c r="C103" s="9" t="n">
        <x:f>A103/4</x:f>
        <x:v>25</x:v>
      </x:c>
      <x:c r="D103" s="8" t="n">
        <x:f>IF(MOD(A103,4)=0,1,0)</x:f>
        <x:v>1</x:v>
      </x:c>
      <x:c r="E103" s="8" t="n">
        <x:f>IF(AND(F102&lt;=9,AS102&gt;=AR102),1,0)</x:f>
        <x:v>0</x:v>
      </x:c>
      <x:c r="F103" s="8" t="n">
        <x:f>MIN(10,F102+E103)</x:f>
        <x:v>2</x:v>
      </x:c>
      <x:c r="G103" s="8" t="n">
        <x:f>MIN(F103,9)+1</x:f>
        <x:v>3</x:v>
      </x:c>
      <x:c r="H103" s="8" t="n">
        <x:f>IF(F103&lt;=9,1,0)</x:f>
        <x:v>1</x:v>
      </x:c>
      <x:c r="I103" s="9" t="n">
        <x:f>MIN(10,F102+IF(AR102&gt;0,MIN(1,AS102/AR102),1))</x:f>
        <x:v>2.4292924001033747</x:v>
      </x:c>
      <x:c r="J103" s="32" t="n">
        <x:f>INDEX(tun_FoodCap,G103)*Arch_FoodCap*EXP(tun_CapsByProject*SUMPRODUCT((Cap_Point&lt;=I103)*(Cap_Kind="Food")*Cap_Ln))</x:f>
        <x:v>62.285671884864115</x:v>
      </x:c>
      <x:c r="K103" s="32" t="n">
        <x:f>J103*MIN(1,tun_LeanBase*EXP(tun_CapsByProject*SUMPRODUCT((Cap_Point&lt;=I103)*(Cap_Kind="Lean")*Cap_Ln)))</x:f>
        <x:v>62.285671884864115</x:v>
      </x:c>
      <x:c r="L103" s="10" t="n">
        <x:f>INDEX(tun_HousingCap,G103)*EXP(tun_CapsByProject*SUMPRODUCT((Cap_Point&lt;=I103)*(Cap_Kind="Housing")*Cap_Ln))</x:f>
        <x:v>175.5</x:v>
      </x:c>
      <x:c r="M103" s="10" t="n">
        <x:f>INDEX(tun_GroupCap,G103)*tun_CohesionFactor*EXP(tun_CapsByProject*SUMPRODUCT((Cap_Point&lt;=I103)*(Cap_Kind="Group")*Cap_Ln))</x:f>
        <x:v>150.00000000000003</x:v>
      </x:c>
      <x:c r="N103" s="32" t="n">
        <x:f>MIN(J103,L103,M103)</x:f>
        <x:v>62.285671884864115</x:v>
      </x:c>
      <x:c r="O103" s="10" t="n">
        <x:f>AE102*N103</x:f>
        <x:v>124.57134376972823</x:v>
      </x:c>
      <x:c r="P103" s="9" t="n">
        <x:f>MIN(1,(AB102/(AE102*IF(tun_GroupInCrowding=1,N103,MIN(J103,L103))))^tun_CrowdingExp)</x:f>
        <x:v>0.06538417157865217</x:v>
      </x:c>
      <x:c r="Q103" s="9" t="n">
        <x:f>IF(D103=1,INDEX(tun_WinterMult,G103),1)</x:f>
        <x:v>1.4</x:v>
      </x:c>
      <x:c r="R103" s="9" t="n">
        <x:f>H103*Z102*tun_WomenShare*tun_BaseFertility*INDEX(tun_FertMult,G103)*Arch_Fertility*(1-P103)</x:f>
        <x:v>2.1189087639281077</x:v>
      </x:c>
      <x:c r="S103" s="9" t="n">
        <x:f>H103*Y102*INDEX(tun_MortChild,G103)/4*Q103</x:f>
        <x:v>0.5572354711906182</x:v>
      </x:c>
      <x:c r="T103" s="9" t="n">
        <x:f>H103*Z102*INDEX(tun_MortAdult,G103)*Arch_AdultMort/4*Q103</x:f>
        <x:v>0.11268645245426206</x:v>
      </x:c>
      <x:c r="U103" s="9" t="n">
        <x:f>H103*AA102*INDEX(tun_MortElder,G103)/4*Q103</x:f>
        <x:v>0.13463426021867433</x:v>
      </x:c>
      <x:c r="V103" s="9" t="n">
        <x:f>H103*MAX(0,AB102-O103)*tun_OvercapLoss</x:f>
        <x:v>0</x:v>
      </x:c>
      <x:c r="W103" s="9" t="n">
        <x:f>H103*Y102/(tun_ChildYears*4)</x:f>
        <x:v>0.8122966052341374</x:v>
      </x:c>
      <x:c r="X103" s="9" t="n">
        <x:f>H103*Z102/(tun_AdultYears*4)</x:f>
        <x:v>0.2163718365097198</x:v>
      </x:c>
      <x:c r="Y103" s="32" t="n">
        <x:f>Y102+R103-S103-W103-Y102*V103/AB102</x:f>
        <x:v>46.23798658061505</x:v>
      </x:c>
      <x:c r="Z103" s="32" t="n">
        <x:f>Z102+W103-X103-T103-Z102*V103/AB102</x:f>
        <x:v>27.313346043475413</x:v>
      </x:c>
      <x:c r="AA103" s="32" t="n">
        <x:f>AA102+X103-U103-AA102*V103/AB102</x:f>
        <x:v>6.830322048405047</x:v>
      </x:c>
      <x:c r="AB103" s="10" t="n">
        <x:f>Y103+Z103+AA103</x:f>
        <x:v>80.38165467249551</x:v>
      </x:c>
      <x:c r="AC103" s="8" t="n">
        <x:f>IF(AND(tun_WinterTrigger=1,D103=1,AB102/AE102&gt;=K103),1,0)</x:f>
        <x:v>0</x:v>
      </x:c>
      <x:c r="AD103" s="8" t="n">
        <x:f>H103*IF(AND(OR(AB102/AE102&gt;=tun_FissionTrigger*N103,AC103=1),AB102/AE102*tun_DaughterShare&gt;=tun_MinDaughter),MAX(1,ROUND(AE102*tun_FissionRate,0)),0)</x:f>
        <x:v>0</x:v>
      </x:c>
      <x:c r="AE103" s="8" t="n">
        <x:f>IF(H103=1,MAX(1,MIN(INDEX(tun_Smax,G103),AE102+AD103)),AE102)</x:f>
        <x:v>2</x:v>
      </x:c>
      <x:c r="AF103" s="8" t="n">
        <x:f>MAX(0,AE103-AE102)</x:f>
        <x:v>0</x:v>
      </x:c>
      <x:c r="AG103" s="9" t="str">
        <x:f>IF(AF103&gt;0,B103,"")</x:f>
      </x:c>
      <x:c r="AH103" s="9" t="n">
        <x:f>IF(F103&gt;=1,1,(1+tun_LowTiesShare*(AE103-1))/AE103)</x:f>
        <x:v>1</x:v>
      </x:c>
      <x:c r="AI103" s="32" t="n">
        <x:f>(Z103+tun_ElderCommons*INDEX(LM_Elder,G103)*AA103)*AH103</x:f>
        <x:v>47.80431218869055</x:v>
      </x:c>
      <x:c r="AJ103" s="32" t="n">
        <x:f>H103*tun_CommonsCoef*AI103^tun_CommonsExp*INDEX(LM_Commons,G103)</x:f>
        <x:v>141.31261573128342</x:v>
      </x:c>
      <x:c r="AK103" s="32" t="n">
        <x:f>H103*tun_RoleScale*Arch_Roles*(AE103*(INDEX(tun_ElderRolePerSett,G103)*tun_OutElder*INDEX(LM_Elder,G103)+INDEX(tun_ShamanPerSett,G103)*tun_OutShaman)+Z103*(INDEX(tun_PriestShare,G103)*tun_OutPriest+INDEX(tun_ScribeShare,G103)*tun_OutScribe*INDEX(LM_Scribe,G103)+INDEX(tun_ScholarShare,G103)*tun_OutScholar*INDEX(LM_Scholar,G103)+INDEX(tun_ResearcherShare,G103)*tun_OutResearcher*INDEX(LM_Researcher,G103)))</x:f>
        <x:v>48</x:v>
      </x:c>
      <x:c r="AL103" s="32" t="n">
        <x:f>H103*tun_RoleScale*Arch_Roles*AE103*INDEX(tun_MonasteryPerSett,G103)*tun_OutMonastery*INDEX(LM_Monastery,G103)</x:f>
        <x:v>0</x:v>
      </x:c>
      <x:c r="AM103" s="32" t="n">
        <x:f>(AJ103+AK103+AL103)/4*INDEX(LM_All,G103)*INDEX(tun_Boon,G103)*Arch_Insight</x:f>
        <x:v>49.7241417256699</x:v>
      </x:c>
      <x:c r="AN103" s="32" t="n">
        <x:f>H103*(tun_KHPerAdult*Z103+tun_KHOfCommons*AJ103/4*INDEX(LM_All,G103))*tun_KHUsable*Arch_KH</x:f>
        <x:v>8.655397713541108</x:v>
      </x:c>
      <x:c r="AO103" s="32" t="n">
        <x:f>MIN(AP102+AN103,AM103*tun_KHMaxRatio)</x:f>
        <x:v>8.655397713541108</x:v>
      </x:c>
      <x:c r="AP103" s="32" t="n">
        <x:f>AP102+AN103-AO103</x:f>
        <x:v>0</x:v>
      </x:c>
      <x:c r="AQ103" s="32" t="n">
        <x:f>AM103+AO103</x:f>
        <x:v>58.37953943921101</x:v>
      </x:c>
      <x:c r="AR103" s="10" t="n">
        <x:f>IF(H103=1,INDEX(tun_Req,G103),0)</x:f>
        <x:v>3321.0609999999997</x:v>
      </x:c>
      <x:c r="AS103" s="32" t="n">
        <x:f>IF(H103=1,IF(E103=1,AS102-AR102,AS102)+AQ103,0)</x:f>
        <x:v>1484.0857870189243</x:v>
      </x:c>
      <x:c r="AT103" s="11" t="n">
        <x:f>IF(AR103&gt;0,MIN(1,AS103/AR103),1)</x:f>
        <x:v>0.4468709809964118</x:v>
      </x:c>
      <x:c r="AU103" s="10" t="n">
        <x:f>AB103/INDEX(tun_RepScale,G103)</x:f>
        <x:v>80.38165467249551</x:v>
      </x:c>
      <x:c r="AV103" s="32" t="n">
        <x:f>AM103*60/tun_SeasonSeconds</x:f>
        <x:v>198.8965669026796</x:v>
      </x:c>
    </x:row>
    <x:row r="104">
      <x:c r="A104" s="8" t="n">
        <x:f>A103+1</x:f>
        <x:v>101</x:v>
      </x:c>
      <x:c r="B104" s="9" t="n">
        <x:f>A104*tun_SeasonSeconds/60</x:f>
        <x:v>25.25</x:v>
      </x:c>
      <x:c r="C104" s="9" t="n">
        <x:f>A104/4</x:f>
        <x:v>25.25</x:v>
      </x:c>
      <x:c r="D104" s="8" t="n">
        <x:f>IF(MOD(A104,4)=0,1,0)</x:f>
        <x:v>0</x:v>
      </x:c>
      <x:c r="E104" s="8" t="n">
        <x:f>IF(AND(F103&lt;=9,AS103&gt;=AR103),1,0)</x:f>
        <x:v>0</x:v>
      </x:c>
      <x:c r="F104" s="8" t="n">
        <x:f>MIN(10,F103+E104)</x:f>
        <x:v>2</x:v>
      </x:c>
      <x:c r="G104" s="8" t="n">
        <x:f>MIN(F104,9)+1</x:f>
        <x:v>3</x:v>
      </x:c>
      <x:c r="H104" s="8" t="n">
        <x:f>IF(F104&lt;=9,1,0)</x:f>
        <x:v>1</x:v>
      </x:c>
      <x:c r="I104" s="9" t="n">
        <x:f>MIN(10,F103+IF(AR103&gt;0,MIN(1,AS103/AR103),1))</x:f>
        <x:v>2.4468709809964118</x:v>
      </x:c>
      <x:c r="J104" s="32" t="n">
        <x:f>INDEX(tun_FoodCap,G104)*Arch_FoodCap*EXP(tun_CapsByProject*SUMPRODUCT((Cap_Point&lt;=I104)*(Cap_Kind="Food")*Cap_Ln))</x:f>
        <x:v>62.285671884864115</x:v>
      </x:c>
      <x:c r="K104" s="32" t="n">
        <x:f>J104*MIN(1,tun_LeanBase*EXP(tun_CapsByProject*SUMPRODUCT((Cap_Point&lt;=I104)*(Cap_Kind="Lean")*Cap_Ln)))</x:f>
        <x:v>62.285671884864115</x:v>
      </x:c>
      <x:c r="L104" s="10" t="n">
        <x:f>INDEX(tun_HousingCap,G104)*EXP(tun_CapsByProject*SUMPRODUCT((Cap_Point&lt;=I104)*(Cap_Kind="Housing")*Cap_Ln))</x:f>
        <x:v>175.5</x:v>
      </x:c>
      <x:c r="M104" s="10" t="n">
        <x:f>INDEX(tun_GroupCap,G104)*tun_CohesionFactor*EXP(tun_CapsByProject*SUMPRODUCT((Cap_Point&lt;=I104)*(Cap_Kind="Group")*Cap_Ln))</x:f>
        <x:v>150.00000000000003</x:v>
      </x:c>
      <x:c r="N104" s="32" t="n">
        <x:f>MIN(J104,L104,M104)</x:f>
        <x:v>62.285671884864115</x:v>
      </x:c>
      <x:c r="O104" s="10" t="n">
        <x:f>AE103*N104</x:f>
        <x:v>124.57134376972823</x:v>
      </x:c>
      <x:c r="P104" s="9" t="n">
        <x:f>MIN(1,(AB103/(AE103*IF(tun_GroupInCrowding=1,N104,MIN(J104,L104))))^tun_CrowdingExp)</x:f>
        <x:v>0.07218263907423063</x:v>
      </x:c>
      <x:c r="Q104" s="9" t="n">
        <x:f>IF(D104=1,INDEX(tun_WinterMult,G104),1)</x:f>
        <x:v>1</x:v>
      </x:c>
      <x:c r="R104" s="9" t="n">
        <x:f>H104*Z103*tun_WomenShare*tun_BaseFertility*INDEX(tun_FertMult,G104)*Arch_Fertility*(1-P104)</x:f>
        <x:v>2.141381816427266</x:v>
      </x:c>
      <x:c r="S104" s="9" t="n">
        <x:f>H104*Y103*INDEX(tun_MortChild,G104)/4*Q104</x:f>
        <x:v>0.4045823825803817</x:v>
      </x:c>
      <x:c r="T104" s="9" t="n">
        <x:f>H104*Z103*INDEX(tun_MortAdult,G104)*Arch_AdultMort/4*Q104</x:f>
        <x:v>0.08194003813042625</x:v>
      </x:c>
      <x:c r="U104" s="9" t="n">
        <x:f>H104*AA103*INDEX(tun_MortElder,G104)/4*Q104</x:f>
        <x:v>0.09733208918977192</x:v>
      </x:c>
      <x:c r="V104" s="9" t="n">
        <x:f>H104*MAX(0,AB103-O104)*tun_OvercapLoss</x:f>
        <x:v>0</x:v>
      </x:c>
      <x:c r="W104" s="9" t="n">
        <x:f>H104*Y103/(tun_ChildYears*4)</x:f>
        <x:v>0.8256783317966974</x:v>
      </x:c>
      <x:c r="X104" s="9" t="n">
        <x:f>H104*Z103/(tun_AdultYears*4)</x:f>
        <x:v>0.22026891970544688</x:v>
      </x:c>
      <x:c r="Y104" s="32" t="n">
        <x:f>Y103+R104-S104-W104-Y103*V104/AB103</x:f>
        <x:v>47.14910768266524</x:v>
      </x:c>
      <x:c r="Z104" s="32" t="n">
        <x:f>Z103+W104-X104-T104-Z103*V104/AB103</x:f>
        <x:v>27.836815417436238</x:v>
      </x:c>
      <x:c r="AA104" s="32" t="n">
        <x:f>AA103+X104-U104-AA103*V104/AB103</x:f>
        <x:v>6.953258878920722</x:v>
      </x:c>
      <x:c r="AB104" s="10" t="n">
        <x:f>Y104+Z104+AA104</x:f>
        <x:v>81.9391819790222</x:v>
      </x:c>
      <x:c r="AC104" s="8" t="n">
        <x:f>IF(AND(tun_WinterTrigger=1,D104=1,AB103/AE103&gt;=K104),1,0)</x:f>
        <x:v>0</x:v>
      </x:c>
      <x:c r="AD104" s="8" t="n">
        <x:f>H104*IF(AND(OR(AB103/AE103&gt;=tun_FissionTrigger*N104,AC104=1),AB103/AE103*tun_DaughterShare&gt;=tun_MinDaughter),MAX(1,ROUND(AE103*tun_FissionRate,0)),0)</x:f>
        <x:v>0</x:v>
      </x:c>
      <x:c r="AE104" s="8" t="n">
        <x:f>IF(H104=1,MAX(1,MIN(INDEX(tun_Smax,G104),AE103+AD104)),AE103)</x:f>
        <x:v>2</x:v>
      </x:c>
      <x:c r="AF104" s="8" t="n">
        <x:f>MAX(0,AE104-AE103)</x:f>
        <x:v>0</x:v>
      </x:c>
      <x:c r="AG104" s="9" t="str">
        <x:f>IF(AF104&gt;0,B104,"")</x:f>
      </x:c>
      <x:c r="AH104" s="9" t="n">
        <x:f>IF(F104&gt;=1,1,(1+tun_LowTiesShare*(AE104-1))/AE104)</x:f>
        <x:v>1</x:v>
      </x:c>
      <x:c r="AI104" s="32" t="n">
        <x:f>(Z104+tun_ElderCommons*INDEX(LM_Elder,G104)*AA104)*AH104</x:f>
        <x:v>48.696592054198405</x:v>
      </x:c>
      <x:c r="AJ104" s="32" t="n">
        <x:f>H104*tun_CommonsCoef*AI104^tun_CommonsExp*INDEX(LM_Commons,G104)</x:f>
        <x:v>143.5514904938214</x:v>
      </x:c>
      <x:c r="AK104" s="32" t="n">
        <x:f>H104*tun_RoleScale*Arch_Roles*(AE104*(INDEX(tun_ElderRolePerSett,G104)*tun_OutElder*INDEX(LM_Elder,G104)+INDEX(tun_ShamanPerSett,G104)*tun_OutShaman)+Z104*(INDEX(tun_PriestShare,G104)*tun_OutPriest+INDEX(tun_ScribeShare,G104)*tun_OutScribe*INDEX(LM_Scribe,G104)+INDEX(tun_ScholarShare,G104)*tun_OutScholar*INDEX(LM_Scholar,G104)+INDEX(tun_ResearcherShare,G104)*tun_OutResearcher*INDEX(LM_Researcher,G104)))</x:f>
        <x:v>48</x:v>
      </x:c>
      <x:c r="AL104" s="32" t="n">
        <x:f>H104*tun_RoleScale*Arch_Roles*AE104*INDEX(tun_MonasteryPerSett,G104)*tun_OutMonastery*INDEX(LM_Monastery,G104)</x:f>
        <x:v>0</x:v>
      </x:c>
      <x:c r="AM104" s="32" t="n">
        <x:f>(AJ104+AK104+AL104)/4*INDEX(LM_All,G104)*INDEX(tun_Boon,G104)*Arch_Insight</x:f>
        <x:v>50.312196175017775</x:v>
      </x:c>
      <x:c r="AN104" s="32" t="n">
        <x:f>H104*(tun_KHPerAdult*Z104+tun_KHOfCommons*AJ104/4*INDEX(LM_All,G104))*tun_KHUsable*Arch_KH</x:f>
        <x:v>8.792528792746559</x:v>
      </x:c>
      <x:c r="AO104" s="32" t="n">
        <x:f>MIN(AP103+AN104,AM104*tun_KHMaxRatio)</x:f>
        <x:v>8.792528792746559</x:v>
      </x:c>
      <x:c r="AP104" s="32" t="n">
        <x:f>AP103+AN104-AO104</x:f>
        <x:v>0</x:v>
      </x:c>
      <x:c r="AQ104" s="32" t="n">
        <x:f>AM104+AO104</x:f>
        <x:v>59.104724967764334</x:v>
      </x:c>
      <x:c r="AR104" s="10" t="n">
        <x:f>IF(H104=1,INDEX(tun_Req,G104),0)</x:f>
        <x:v>3321.0609999999997</x:v>
      </x:c>
      <x:c r="AS104" s="32" t="n">
        <x:f>IF(H104=1,IF(E104=1,AS103-AR103,AS103)+AQ104,0)</x:f>
        <x:v>1543.1905119866885</x:v>
      </x:c>
      <x:c r="AT104" s="11" t="n">
        <x:f>IF(AR104&gt;0,MIN(1,AS104/AR104),1)</x:f>
        <x:v>0.46466792148252883</x:v>
      </x:c>
      <x:c r="AU104" s="10" t="n">
        <x:f>AB104/INDEX(tun_RepScale,G104)</x:f>
        <x:v>81.9391819790222</x:v>
      </x:c>
      <x:c r="AV104" s="32" t="n">
        <x:f>AM104*60/tun_SeasonSeconds</x:f>
        <x:v>201.2487847000711</x:v>
      </x:c>
    </x:row>
    <x:row r="105">
      <x:c r="A105" s="8" t="n">
        <x:f>A104+1</x:f>
        <x:v>102</x:v>
      </x:c>
      <x:c r="B105" s="9" t="n">
        <x:f>A105*tun_SeasonSeconds/60</x:f>
        <x:v>25.5</x:v>
      </x:c>
      <x:c r="C105" s="9" t="n">
        <x:f>A105/4</x:f>
        <x:v>25.5</x:v>
      </x:c>
      <x:c r="D105" s="8" t="n">
        <x:f>IF(MOD(A105,4)=0,1,0)</x:f>
        <x:v>0</x:v>
      </x:c>
      <x:c r="E105" s="8" t="n">
        <x:f>IF(AND(F104&lt;=9,AS104&gt;=AR104),1,0)</x:f>
        <x:v>0</x:v>
      </x:c>
      <x:c r="F105" s="8" t="n">
        <x:f>MIN(10,F104+E105)</x:f>
        <x:v>2</x:v>
      </x:c>
      <x:c r="G105" s="8" t="n">
        <x:f>MIN(F105,9)+1</x:f>
        <x:v>3</x:v>
      </x:c>
      <x:c r="H105" s="8" t="n">
        <x:f>IF(F105&lt;=9,1,0)</x:f>
        <x:v>1</x:v>
      </x:c>
      <x:c r="I105" s="9" t="n">
        <x:f>MIN(10,F104+IF(AR104&gt;0,MIN(1,AS104/AR104),1))</x:f>
        <x:v>2.464667921482529</x:v>
      </x:c>
      <x:c r="J105" s="32" t="n">
        <x:f>INDEX(tun_FoodCap,G105)*Arch_FoodCap*EXP(tun_CapsByProject*SUMPRODUCT((Cap_Point&lt;=I105)*(Cap_Kind="Food")*Cap_Ln))</x:f>
        <x:v>62.285671884864115</x:v>
      </x:c>
      <x:c r="K105" s="32" t="n">
        <x:f>J105*MIN(1,tun_LeanBase*EXP(tun_CapsByProject*SUMPRODUCT((Cap_Point&lt;=I105)*(Cap_Kind="Lean")*Cap_Ln)))</x:f>
        <x:v>62.285671884864115</x:v>
      </x:c>
      <x:c r="L105" s="10" t="n">
        <x:f>INDEX(tun_HousingCap,G105)*EXP(tun_CapsByProject*SUMPRODUCT((Cap_Point&lt;=I105)*(Cap_Kind="Housing")*Cap_Ln))</x:f>
        <x:v>175.5</x:v>
      </x:c>
      <x:c r="M105" s="10" t="n">
        <x:f>INDEX(tun_GroupCap,G105)*tun_CohesionFactor*EXP(tun_CapsByProject*SUMPRODUCT((Cap_Point&lt;=I105)*(Cap_Kind="Group")*Cap_Ln))</x:f>
        <x:v>150.00000000000003</x:v>
      </x:c>
      <x:c r="N105" s="32" t="n">
        <x:f>MIN(J105,L105,M105)</x:f>
        <x:v>62.285671884864115</x:v>
      </x:c>
      <x:c r="O105" s="10" t="n">
        <x:f>AE104*N105</x:f>
        <x:v>124.57134376972823</x:v>
      </x:c>
      <x:c r="P105" s="9" t="n">
        <x:f>MIN(1,(AB104/(AE104*IF(tun_GroupInCrowding=1,N105,MIN(J105,L105))))^tun_CrowdingExp)</x:f>
        <x:v>0.08099176215727305</x:v>
      </x:c>
      <x:c r="Q105" s="9" t="n">
        <x:f>IF(D105=1,INDEX(tun_WinterMult,G105),1)</x:f>
        <x:v>1</x:v>
      </x:c>
      <x:c r="R105" s="9" t="n">
        <x:f>H105*Z104*tun_WomenShare*tun_BaseFertility*INDEX(tun_FertMult,G105)*Arch_Fertility*(1-P105)</x:f>
        <x:v>2.1617011967921975</x:v>
      </x:c>
      <x:c r="S105" s="9" t="n">
        <x:f>H105*Y104*INDEX(tun_MortChild,G105)/4*Q105</x:f>
        <x:v>0.41255469222332086</x:v>
      </x:c>
      <x:c r="T105" s="9" t="n">
        <x:f>H105*Z104*INDEX(tun_MortAdult,G105)*Arch_AdultMort/4*Q105</x:f>
        <x:v>0.08351044625230872</x:v>
      </x:c>
      <x:c r="U105" s="9" t="n">
        <x:f>H105*AA104*INDEX(tun_MortElder,G105)/4*Q105</x:f>
        <x:v>0.09908393902462029</x:v>
      </x:c>
      <x:c r="V105" s="9" t="n">
        <x:f>H105*MAX(0,AB104-O105)*tun_OvercapLoss</x:f>
        <x:v>0</x:v>
      </x:c>
      <x:c r="W105" s="9" t="n">
        <x:f>H105*Y104/(tun_ChildYears*4)</x:f>
        <x:v>0.841948351476165</x:v>
      </x:c>
      <x:c r="X105" s="9" t="n">
        <x:f>H105*Z104/(tun_AdultYears*4)</x:f>
        <x:v>0.22449044691480838</x:v>
      </x:c>
      <x:c r="Y105" s="32" t="n">
        <x:f>Y104+R105-S105-W105-Y104*V105/AB104</x:f>
        <x:v>48.056305835757954</x:v>
      </x:c>
      <x:c r="Z105" s="32" t="n">
        <x:f>Z104+W105-X105-T105-Z104*V105/AB104</x:f>
        <x:v>28.37076287574529</x:v>
      </x:c>
      <x:c r="AA105" s="32" t="n">
        <x:f>AA104+X105-U105-AA104*V105/AB104</x:f>
        <x:v>7.07866538681091</x:v>
      </x:c>
      <x:c r="AB105" s="10" t="n">
        <x:f>Y105+Z105+AA105</x:f>
        <x:v>83.50573409831415</x:v>
      </x:c>
      <x:c r="AC105" s="8" t="n">
        <x:f>IF(AND(tun_WinterTrigger=1,D105=1,AB104/AE104&gt;=K105),1,0)</x:f>
        <x:v>0</x:v>
      </x:c>
      <x:c r="AD105" s="8" t="n">
        <x:f>H105*IF(AND(OR(AB104/AE104&gt;=tun_FissionTrigger*N105,AC105=1),AB104/AE104*tun_DaughterShare&gt;=tun_MinDaughter),MAX(1,ROUND(AE104*tun_FissionRate,0)),0)</x:f>
        <x:v>0</x:v>
      </x:c>
      <x:c r="AE105" s="8" t="n">
        <x:f>IF(H105=1,MAX(1,MIN(INDEX(tun_Smax,G105),AE104+AD105)),AE104)</x:f>
        <x:v>2</x:v>
      </x:c>
      <x:c r="AF105" s="8" t="n">
        <x:f>MAX(0,AE105-AE104)</x:f>
        <x:v>0</x:v>
      </x:c>
      <x:c r="AG105" s="9" t="str">
        <x:f>IF(AF105&gt;0,B105,"")</x:f>
      </x:c>
      <x:c r="AH105" s="9" t="n">
        <x:f>IF(F105&gt;=1,1,(1+tun_LowTiesShare*(AE105-1))/AE105)</x:f>
        <x:v>1</x:v>
      </x:c>
      <x:c r="AI105" s="32" t="n">
        <x:f>(Z105+tun_ElderCommons*INDEX(LM_Elder,G105)*AA105)*AH105</x:f>
        <x:v>49.60675903617802</x:v>
      </x:c>
      <x:c r="AJ105" s="32" t="n">
        <x:f>H105*tun_CommonsCoef*AI105^tun_CommonsExp*INDEX(LM_Commons,G105)</x:f>
        <x:v>145.82891634561278</x:v>
      </x:c>
      <x:c r="AK105" s="32" t="n">
        <x:f>H105*tun_RoleScale*Arch_Roles*(AE105*(INDEX(tun_ElderRolePerSett,G105)*tun_OutElder*INDEX(LM_Elder,G105)+INDEX(tun_ShamanPerSett,G105)*tun_OutShaman)+Z105*(INDEX(tun_PriestShare,G105)*tun_OutPriest+INDEX(tun_ScribeShare,G105)*tun_OutScribe*INDEX(LM_Scribe,G105)+INDEX(tun_ScholarShare,G105)*tun_OutScholar*INDEX(LM_Scholar,G105)+INDEX(tun_ResearcherShare,G105)*tun_OutResearcher*INDEX(LM_Researcher,G105)))</x:f>
        <x:v>48</x:v>
      </x:c>
      <x:c r="AL105" s="32" t="n">
        <x:f>H105*tun_RoleScale*Arch_Roles*AE105*INDEX(tun_MonasteryPerSett,G105)*tun_OutMonastery*INDEX(LM_Monastery,G105)</x:f>
        <x:v>0</x:v>
      </x:c>
      <x:c r="AM105" s="32" t="n">
        <x:f>(AJ105+AK105+AL105)/4*INDEX(LM_All,G105)*INDEX(tun_Boon,G105)*Arch_Insight</x:f>
        <x:v>50.91037630890235</x:v>
      </x:c>
      <x:c r="AN105" s="32" t="n">
        <x:f>H105*(tun_KHPerAdult*Z105+tun_KHOfCommons*AJ105/4*INDEX(LM_All,G105))*tun_KHUsable*Arch_KH</x:f>
        <x:v>8.932021126168783</x:v>
      </x:c>
      <x:c r="AO105" s="32" t="n">
        <x:f>MIN(AP104+AN105,AM105*tun_KHMaxRatio)</x:f>
        <x:v>8.932021126168783</x:v>
      </x:c>
      <x:c r="AP105" s="32" t="n">
        <x:f>AP104+AN105-AO105</x:f>
        <x:v>0</x:v>
      </x:c>
      <x:c r="AQ105" s="32" t="n">
        <x:f>AM105+AO105</x:f>
        <x:v>59.842397435071135</x:v>
      </x:c>
      <x:c r="AR105" s="10" t="n">
        <x:f>IF(H105=1,INDEX(tun_Req,G105),0)</x:f>
        <x:v>3321.0609999999997</x:v>
      </x:c>
      <x:c r="AS105" s="32" t="n">
        <x:f>IF(H105=1,IF(E105=1,AS104-AR104,AS104)+AQ105,0)</x:f>
        <x:v>1603.0329094217598</x:v>
      </x:c>
      <x:c r="AT105" s="11" t="n">
        <x:f>IF(AR105&gt;0,MIN(1,AS105/AR105),1)</x:f>
        <x:v>0.482686981486266</x:v>
      </x:c>
      <x:c r="AU105" s="10" t="n">
        <x:f>AB105/INDEX(tun_RepScale,G105)</x:f>
        <x:v>83.50573409831415</x:v>
      </x:c>
      <x:c r="AV105" s="32" t="n">
        <x:f>AM105*60/tun_SeasonSeconds</x:f>
        <x:v>203.6415052356094</x:v>
      </x:c>
    </x:row>
    <x:row r="106">
      <x:c r="A106" s="8" t="n">
        <x:f>A105+1</x:f>
        <x:v>103</x:v>
      </x:c>
      <x:c r="B106" s="9" t="n">
        <x:f>A106*tun_SeasonSeconds/60</x:f>
        <x:v>25.75</x:v>
      </x:c>
      <x:c r="C106" s="9" t="n">
        <x:f>A106/4</x:f>
        <x:v>25.75</x:v>
      </x:c>
      <x:c r="D106" s="8" t="n">
        <x:f>IF(MOD(A106,4)=0,1,0)</x:f>
        <x:v>0</x:v>
      </x:c>
      <x:c r="E106" s="8" t="n">
        <x:f>IF(AND(F105&lt;=9,AS105&gt;=AR105),1,0)</x:f>
        <x:v>0</x:v>
      </x:c>
      <x:c r="F106" s="8" t="n">
        <x:f>MIN(10,F105+E106)</x:f>
        <x:v>2</x:v>
      </x:c>
      <x:c r="G106" s="8" t="n">
        <x:f>MIN(F106,9)+1</x:f>
        <x:v>3</x:v>
      </x:c>
      <x:c r="H106" s="8" t="n">
        <x:f>IF(F106&lt;=9,1,0)</x:f>
        <x:v>1</x:v>
      </x:c>
      <x:c r="I106" s="9" t="n">
        <x:f>MIN(10,F105+IF(AR105&gt;0,MIN(1,AS105/AR105),1))</x:f>
        <x:v>2.4826869814862658</x:v>
      </x:c>
      <x:c r="J106" s="32" t="n">
        <x:f>INDEX(tun_FoodCap,G106)*Arch_FoodCap*EXP(tun_CapsByProject*SUMPRODUCT((Cap_Point&lt;=I106)*(Cap_Kind="Food")*Cap_Ln))</x:f>
        <x:v>62.285671884864115</x:v>
      </x:c>
      <x:c r="K106" s="32" t="n">
        <x:f>J106*MIN(1,tun_LeanBase*EXP(tun_CapsByProject*SUMPRODUCT((Cap_Point&lt;=I106)*(Cap_Kind="Lean")*Cap_Ln)))</x:f>
        <x:v>62.285671884864115</x:v>
      </x:c>
      <x:c r="L106" s="10" t="n">
        <x:f>INDEX(tun_HousingCap,G106)*EXP(tun_CapsByProject*SUMPRODUCT((Cap_Point&lt;=I106)*(Cap_Kind="Housing")*Cap_Ln))</x:f>
        <x:v>175.5</x:v>
      </x:c>
      <x:c r="M106" s="10" t="n">
        <x:f>INDEX(tun_GroupCap,G106)*tun_CohesionFactor*EXP(tun_CapsByProject*SUMPRODUCT((Cap_Point&lt;=I106)*(Cap_Kind="Group")*Cap_Ln))</x:f>
        <x:v>150.00000000000003</x:v>
      </x:c>
      <x:c r="N106" s="32" t="n">
        <x:f>MIN(J106,L106,M106)</x:f>
        <x:v>62.285671884864115</x:v>
      </x:c>
      <x:c r="O106" s="10" t="n">
        <x:f>AE105*N106</x:f>
        <x:v>124.57134376972823</x:v>
      </x:c>
      <x:c r="P106" s="9" t="n">
        <x:f>MIN(1,(AB105/(AE105*IF(tun_GroupInCrowding=1,N106,MIN(J106,L106))))^tun_CrowdingExp)</x:f>
        <x:v>0.09073793551806741</x:v>
      </x:c>
      <x:c r="Q106" s="9" t="n">
        <x:f>IF(D106=1,INDEX(tun_WinterMult,G106),1)</x:f>
        <x:v>1</x:v>
      </x:c>
      <x:c r="R106" s="9" t="n">
        <x:f>H106*Z105*tun_WomenShare*tun_BaseFertility*INDEX(tun_FertMult,G106)*Arch_Fertility*(1-P106)</x:f>
        <x:v>2.1798007367711767</x:v>
      </x:c>
      <x:c r="S106" s="9" t="n">
        <x:f>H106*Y105*INDEX(tun_MortChild,G106)/4*Q106</x:f>
        <x:v>0.42049267606288215</x:v>
      </x:c>
      <x:c r="T106" s="9" t="n">
        <x:f>H106*Z105*INDEX(tun_MortAdult,G106)*Arch_AdultMort/4*Q106</x:f>
        <x:v>0.08511228862723587</x:v>
      </x:c>
      <x:c r="U106" s="9" t="n">
        <x:f>H106*AA105*INDEX(tun_MortElder,G106)/4*Q106</x:f>
        <x:v>0.10087098176205547</x:v>
      </x:c>
      <x:c r="V106" s="9" t="n">
        <x:f>H106*MAX(0,AB105-O106)*tun_OvercapLoss</x:f>
        <x:v>0</x:v>
      </x:c>
      <x:c r="W106" s="9" t="n">
        <x:f>H106*Y105/(tun_ChildYears*4)</x:f>
        <x:v>0.8581483184956777</x:v>
      </x:c>
      <x:c r="X106" s="9" t="n">
        <x:f>H106*Z105/(tun_AdultYears*4)</x:f>
        <x:v>0.2287964748043975</x:v>
      </x:c>
      <x:c r="Y106" s="32" t="n">
        <x:f>Y105+R106-S106-W106-Y105*V106/AB105</x:f>
        <x:v>48.95746557797057</x:v>
      </x:c>
      <x:c r="Z106" s="32" t="n">
        <x:f>Z105+W106-X106-T106-Z105*V106/AB105</x:f>
        <x:v>28.91500243080933</x:v>
      </x:c>
      <x:c r="AA106" s="32" t="n">
        <x:f>AA105+X106-U106-AA105*V106/AB105</x:f>
        <x:v>7.206590879853253</x:v>
      </x:c>
      <x:c r="AB106" s="10" t="n">
        <x:f>Y106+Z106+AA106</x:f>
        <x:v>85.07905888863314</x:v>
      </x:c>
      <x:c r="AC106" s="8" t="n">
        <x:f>IF(AND(tun_WinterTrigger=1,D106=1,AB105/AE105&gt;=K106),1,0)</x:f>
        <x:v>0</x:v>
      </x:c>
      <x:c r="AD106" s="8" t="n">
        <x:f>H106*IF(AND(OR(AB105/AE105&gt;=tun_FissionTrigger*N106,AC106=1),AB105/AE105*tun_DaughterShare&gt;=tun_MinDaughter),MAX(1,ROUND(AE105*tun_FissionRate,0)),0)</x:f>
        <x:v>0</x:v>
      </x:c>
      <x:c r="AE106" s="8" t="n">
        <x:f>IF(H106=1,MAX(1,MIN(INDEX(tun_Smax,G106),AE105+AD106)),AE105)</x:f>
        <x:v>2</x:v>
      </x:c>
      <x:c r="AF106" s="8" t="n">
        <x:f>MAX(0,AE106-AE105)</x:f>
        <x:v>0</x:v>
      </x:c>
      <x:c r="AG106" s="9" t="str">
        <x:f>IF(AF106&gt;0,B106,"")</x:f>
      </x:c>
      <x:c r="AH106" s="9" t="n">
        <x:f>IF(F106&gt;=1,1,(1+tun_LowTiesShare*(AE106-1))/AE106)</x:f>
        <x:v>1</x:v>
      </x:c>
      <x:c r="AI106" s="32" t="n">
        <x:f>(Z106+tun_ElderCommons*INDEX(LM_Elder,G106)*AA106)*AH106</x:f>
        <x:v>50.53477507036909</x:v>
      </x:c>
      <x:c r="AJ106" s="32" t="n">
        <x:f>H106*tun_CommonsCoef*AI106^tun_CommonsExp*INDEX(LM_Commons,G106)</x:f>
        <x:v>148.14456018974568</x:v>
      </x:c>
      <x:c r="AK106" s="32" t="n">
        <x:f>H106*tun_RoleScale*Arch_Roles*(AE106*(INDEX(tun_ElderRolePerSett,G106)*tun_OutElder*INDEX(LM_Elder,G106)+INDEX(tun_ShamanPerSett,G106)*tun_OutShaman)+Z106*(INDEX(tun_PriestShare,G106)*tun_OutPriest+INDEX(tun_ScribeShare,G106)*tun_OutScribe*INDEX(LM_Scribe,G106)+INDEX(tun_ScholarShare,G106)*tun_OutScholar*INDEX(LM_Scholar,G106)+INDEX(tun_ResearcherShare,G106)*tun_OutResearcher*INDEX(LM_Researcher,G106)))</x:f>
        <x:v>48</x:v>
      </x:c>
      <x:c r="AL106" s="32" t="n">
        <x:f>H106*tun_RoleScale*Arch_Roles*AE106*INDEX(tun_MonasteryPerSett,G106)*tun_OutMonastery*INDEX(LM_Monastery,G106)</x:f>
        <x:v>0</x:v>
      </x:c>
      <x:c r="AM106" s="32" t="n">
        <x:f>(AJ106+AK106+AL106)/4*INDEX(LM_All,G106)*INDEX(tun_Boon,G106)*Arch_Insight</x:f>
        <x:v>51.518594637337884</x:v>
      </x:c>
      <x:c r="AN106" s="32" t="n">
        <x:f>H106*(tun_KHPerAdult*Z106+tun_KHOfCommons*AJ106/4*INDEX(LM_All,G106))*tun_KHUsable*Arch_KH</x:f>
        <x:v>9.073854311621922</x:v>
      </x:c>
      <x:c r="AO106" s="32" t="n">
        <x:f>MIN(AP105+AN106,AM106*tun_KHMaxRatio)</x:f>
        <x:v>9.073854311621922</x:v>
      </x:c>
      <x:c r="AP106" s="32" t="n">
        <x:f>AP105+AN106-AO106</x:f>
        <x:v>0</x:v>
      </x:c>
      <x:c r="AQ106" s="32" t="n">
        <x:f>AM106+AO106</x:f>
        <x:v>60.592448948959806</x:v>
      </x:c>
      <x:c r="AR106" s="10" t="n">
        <x:f>IF(H106=1,INDEX(tun_Req,G106),0)</x:f>
        <x:v>3321.0609999999997</x:v>
      </x:c>
      <x:c r="AS106" s="32" t="n">
        <x:f>IF(H106=1,IF(E106=1,AS105-AR105,AS105)+AQ106,0)</x:f>
        <x:v>1663.6253583707196</x:v>
      </x:c>
      <x:c r="AT106" s="11" t="n">
        <x:f>IF(AR106&gt;0,MIN(1,AS106/AR106),1)</x:f>
        <x:v>0.5009318884449036</x:v>
      </x:c>
      <x:c r="AU106" s="10" t="n">
        <x:f>AB106/INDEX(tun_RepScale,G106)</x:f>
        <x:v>85.07905888863314</x:v>
      </x:c>
      <x:c r="AV106" s="32" t="n">
        <x:f>AM106*60/tun_SeasonSeconds</x:f>
        <x:v>206.07437854935154</x:v>
      </x:c>
    </x:row>
    <x:row r="107">
      <x:c r="A107" s="8" t="n">
        <x:f>A106+1</x:f>
        <x:v>104</x:v>
      </x:c>
      <x:c r="B107" s="9" t="n">
        <x:f>A107*tun_SeasonSeconds/60</x:f>
        <x:v>26</x:v>
      </x:c>
      <x:c r="C107" s="9" t="n">
        <x:f>A107/4</x:f>
        <x:v>26</x:v>
      </x:c>
      <x:c r="D107" s="8" t="n">
        <x:f>IF(MOD(A107,4)=0,1,0)</x:f>
        <x:v>1</x:v>
      </x:c>
      <x:c r="E107" s="8" t="n">
        <x:f>IF(AND(F106&lt;=9,AS106&gt;=AR106),1,0)</x:f>
        <x:v>0</x:v>
      </x:c>
      <x:c r="F107" s="8" t="n">
        <x:f>MIN(10,F106+E107)</x:f>
        <x:v>2</x:v>
      </x:c>
      <x:c r="G107" s="8" t="n">
        <x:f>MIN(F107,9)+1</x:f>
        <x:v>3</x:v>
      </x:c>
      <x:c r="H107" s="8" t="n">
        <x:f>IF(F107&lt;=9,1,0)</x:f>
        <x:v>1</x:v>
      </x:c>
      <x:c r="I107" s="9" t="n">
        <x:f>MIN(10,F106+IF(AR106&gt;0,MIN(1,AS106/AR106),1))</x:f>
        <x:v>2.5009318884449034</x:v>
      </x:c>
      <x:c r="J107" s="32" t="n">
        <x:f>INDEX(tun_FoodCap,G107)*Arch_FoodCap*EXP(tun_CapsByProject*SUMPRODUCT((Cap_Point&lt;=I107)*(Cap_Kind="Food")*Cap_Ln))</x:f>
        <x:v>75.98851969953422</x:v>
      </x:c>
      <x:c r="K107" s="32" t="n">
        <x:f>J107*MIN(1,tun_LeanBase*EXP(tun_CapsByProject*SUMPRODUCT((Cap_Point&lt;=I107)*(Cap_Kind="Lean")*Cap_Ln)))</x:f>
        <x:v>75.98851969953422</x:v>
      </x:c>
      <x:c r="L107" s="10" t="n">
        <x:f>INDEX(tun_HousingCap,G107)*EXP(tun_CapsByProject*SUMPRODUCT((Cap_Point&lt;=I107)*(Cap_Kind="Housing")*Cap_Ln))</x:f>
        <x:v>263.25</x:v>
      </x:c>
      <x:c r="M107" s="10" t="n">
        <x:f>INDEX(tun_GroupCap,G107)*tun_CohesionFactor*EXP(tun_CapsByProject*SUMPRODUCT((Cap_Point&lt;=I107)*(Cap_Kind="Group")*Cap_Ln))</x:f>
        <x:v>500.00000000000017</x:v>
      </x:c>
      <x:c r="N107" s="32" t="n">
        <x:f>MIN(J107,L107,M107)</x:f>
        <x:v>75.98851969953422</x:v>
      </x:c>
      <x:c r="O107" s="10" t="n">
        <x:f>AE106*N107</x:f>
        <x:v>151.97703939906845</x:v>
      </x:c>
      <x:c r="P107" s="9" t="n">
        <x:f>MIN(1,(AB106/(AE106*IF(tun_GroupInCrowding=1,N107,MIN(J107,L107))))^tun_CrowdingExp)</x:f>
        <x:v>0.030779969409767363</x:v>
      </x:c>
      <x:c r="Q107" s="9" t="n">
        <x:f>IF(D107=1,INDEX(tun_WinterMult,G107),1)</x:f>
        <x:v>1.4</x:v>
      </x:c>
      <x:c r="R107" s="9" t="n">
        <x:f>H107*Z106*tun_WomenShare*tun_BaseFertility*INDEX(tun_FertMult,G107)*Arch_Fertility*(1-P107)</x:f>
        <x:v>2.3681124611727293</x:v>
      </x:c>
      <x:c r="S107" s="9" t="n">
        <x:f>H107*Y106*INDEX(tun_MortChild,G107)/4*Q107</x:f>
        <x:v>0.5997289533301394</x:v>
      </x:c>
      <x:c r="T107" s="9" t="n">
        <x:f>H107*Z106*INDEX(tun_MortAdult,G107)*Arch_AdultMort/4*Q107</x:f>
        <x:v>0.12144301020939918</x:v>
      </x:c>
      <x:c r="U107" s="9" t="n">
        <x:f>H107*AA106*INDEX(tun_MortElder,G107)/4*Q107</x:f>
        <x:v>0.14377148805307238</x:v>
      </x:c>
      <x:c r="V107" s="9" t="n">
        <x:f>H107*MAX(0,AB106-O107)*tun_OvercapLoss</x:f>
        <x:v>0</x:v>
      </x:c>
      <x:c r="W107" s="9" t="n">
        <x:f>H107*Y106/(tun_ChildYears*4)</x:f>
        <x:v>0.8742404567494744</x:v>
      </x:c>
      <x:c r="X107" s="9" t="n">
        <x:f>H107*Z106/(tun_AdultYears*4)</x:f>
        <x:v>0.2331855034742688</x:v>
      </x:c>
      <x:c r="Y107" s="32" t="n">
        <x:f>Y106+R107-S107-W107-Y106*V107/AB106</x:f>
        <x:v>49.851608629063676</x:v>
      </x:c>
      <x:c r="Z107" s="32" t="n">
        <x:f>Z106+W107-X107-T107-Z106*V107/AB106</x:f>
        <x:v>29.43461437387514</x:v>
      </x:c>
      <x:c r="AA107" s="32" t="n">
        <x:f>AA106+X107-U107-AA106*V107/AB106</x:f>
        <x:v>7.296004895274449</x:v>
      </x:c>
      <x:c r="AB107" s="10" t="n">
        <x:f>Y107+Z107+AA107</x:f>
        <x:v>86.58222789821326</x:v>
      </x:c>
      <x:c r="AC107" s="8" t="n">
        <x:f>IF(AND(tun_WinterTrigger=1,D107=1,AB106/AE106&gt;=K107),1,0)</x:f>
        <x:v>0</x:v>
      </x:c>
      <x:c r="AD107" s="8" t="n">
        <x:f>H107*IF(AND(OR(AB106/AE106&gt;=tun_FissionTrigger*N107,AC107=1),AB106/AE106*tun_DaughterShare&gt;=tun_MinDaughter),MAX(1,ROUND(AE106*tun_FissionRate,0)),0)</x:f>
        <x:v>0</x:v>
      </x:c>
      <x:c r="AE107" s="8" t="n">
        <x:f>IF(H107=1,MAX(1,MIN(INDEX(tun_Smax,G107),AE106+AD107)),AE106)</x:f>
        <x:v>2</x:v>
      </x:c>
      <x:c r="AF107" s="8" t="n">
        <x:f>MAX(0,AE107-AE106)</x:f>
        <x:v>0</x:v>
      </x:c>
      <x:c r="AG107" s="9" t="str">
        <x:f>IF(AF107&gt;0,B107,"")</x:f>
      </x:c>
      <x:c r="AH107" s="9" t="n">
        <x:f>IF(F107&gt;=1,1,(1+tun_LowTiesShare*(AE107-1))/AE107)</x:f>
        <x:v>1</x:v>
      </x:c>
      <x:c r="AI107" s="32" t="n">
        <x:f>(Z107+tun_ElderCommons*INDEX(LM_Elder,G107)*AA107)*AH107</x:f>
        <x:v>51.322629059698485</x:v>
      </x:c>
      <x:c r="AJ107" s="32" t="n">
        <x:f>H107*tun_CommonsCoef*AI107^tun_CommonsExp*INDEX(LM_Commons,G107)</x:f>
        <x:v>150.10545791390118</x:v>
      </x:c>
      <x:c r="AK107" s="32" t="n">
        <x:f>H107*tun_RoleScale*Arch_Roles*(AE107*(INDEX(tun_ElderRolePerSett,G107)*tun_OutElder*INDEX(LM_Elder,G107)+INDEX(tun_ShamanPerSett,G107)*tun_OutShaman)+Z107*(INDEX(tun_PriestShare,G107)*tun_OutPriest+INDEX(tun_ScribeShare,G107)*tun_OutScribe*INDEX(LM_Scribe,G107)+INDEX(tun_ScholarShare,G107)*tun_OutScholar*INDEX(LM_Scholar,G107)+INDEX(tun_ResearcherShare,G107)*tun_OutResearcher*INDEX(LM_Researcher,G107)))</x:f>
        <x:v>48</x:v>
      </x:c>
      <x:c r="AL107" s="32" t="n">
        <x:f>H107*tun_RoleScale*Arch_Roles*AE107*INDEX(tun_MonasteryPerSett,G107)*tun_OutMonastery*INDEX(LM_Monastery,G107)</x:f>
        <x:v>0</x:v>
      </x:c>
      <x:c r="AM107" s="32" t="n">
        <x:f>(AJ107+AK107+AL107)/4*INDEX(LM_All,G107)*INDEX(tun_Boon,G107)*Arch_Insight</x:f>
        <x:v>52.0336366801981</x:v>
      </x:c>
      <x:c r="AN107" s="32" t="n">
        <x:f>H107*(tun_KHPerAdult*Z107+tun_KHOfCommons*AJ107/4*INDEX(LM_All,G107))*tun_KHUsable*Arch_KH</x:f>
        <x:v>9.193959297226446</x:v>
      </x:c>
      <x:c r="AO107" s="32" t="n">
        <x:f>MIN(AP106+AN107,AM107*tun_KHMaxRatio)</x:f>
        <x:v>9.193959297226446</x:v>
      </x:c>
      <x:c r="AP107" s="32" t="n">
        <x:f>AP106+AN107-AO107</x:f>
        <x:v>0</x:v>
      </x:c>
      <x:c r="AQ107" s="32" t="n">
        <x:f>AM107+AO107</x:f>
        <x:v>61.22759597742454</x:v>
      </x:c>
      <x:c r="AR107" s="10" t="n">
        <x:f>IF(H107=1,INDEX(tun_Req,G107),0)</x:f>
        <x:v>3321.0609999999997</x:v>
      </x:c>
      <x:c r="AS107" s="32" t="n">
        <x:f>IF(H107=1,IF(E107=1,AS106-AR106,AS106)+AQ107,0)</x:f>
        <x:v>1724.852954348144</x:v>
      </x:c>
      <x:c r="AT107" s="11" t="n">
        <x:f>IF(AR107&gt;0,MIN(1,AS107/AR107),1)</x:f>
        <x:v>0.5193680436306783</x:v>
      </x:c>
      <x:c r="AU107" s="10" t="n">
        <x:f>AB107/INDEX(tun_RepScale,G107)</x:f>
        <x:v>86.58222789821326</x:v>
      </x:c>
      <x:c r="AV107" s="32" t="n">
        <x:f>AM107*60/tun_SeasonSeconds</x:f>
        <x:v>208.1345467207924</x:v>
      </x:c>
    </x:row>
    <x:row r="108">
      <x:c r="A108" s="8" t="n">
        <x:f>A107+1</x:f>
        <x:v>105</x:v>
      </x:c>
      <x:c r="B108" s="9" t="n">
        <x:f>A108*tun_SeasonSeconds/60</x:f>
        <x:v>26.25</x:v>
      </x:c>
      <x:c r="C108" s="9" t="n">
        <x:f>A108/4</x:f>
        <x:v>26.25</x:v>
      </x:c>
      <x:c r="D108" s="8" t="n">
        <x:f>IF(MOD(A108,4)=0,1,0)</x:f>
        <x:v>0</x:v>
      </x:c>
      <x:c r="E108" s="8" t="n">
        <x:f>IF(AND(F107&lt;=9,AS107&gt;=AR107),1,0)</x:f>
        <x:v>0</x:v>
      </x:c>
      <x:c r="F108" s="8" t="n">
        <x:f>MIN(10,F107+E108)</x:f>
        <x:v>2</x:v>
      </x:c>
      <x:c r="G108" s="8" t="n">
        <x:f>MIN(F108,9)+1</x:f>
        <x:v>3</x:v>
      </x:c>
      <x:c r="H108" s="8" t="n">
        <x:f>IF(F108&lt;=9,1,0)</x:f>
        <x:v>1</x:v>
      </x:c>
      <x:c r="I108" s="9" t="n">
        <x:f>MIN(10,F107+IF(AR107&gt;0,MIN(1,AS107/AR107),1))</x:f>
        <x:v>2.5193680436306782</x:v>
      </x:c>
      <x:c r="J108" s="32" t="n">
        <x:f>INDEX(tun_FoodCap,G108)*Arch_FoodCap*EXP(tun_CapsByProject*SUMPRODUCT((Cap_Point&lt;=I108)*(Cap_Kind="Food")*Cap_Ln))</x:f>
        <x:v>75.98851969953422</x:v>
      </x:c>
      <x:c r="K108" s="32" t="n">
        <x:f>J108*MIN(1,tun_LeanBase*EXP(tun_CapsByProject*SUMPRODUCT((Cap_Point&lt;=I108)*(Cap_Kind="Lean")*Cap_Ln)))</x:f>
        <x:v>75.98851969953422</x:v>
      </x:c>
      <x:c r="L108" s="10" t="n">
        <x:f>INDEX(tun_HousingCap,G108)*EXP(tun_CapsByProject*SUMPRODUCT((Cap_Point&lt;=I108)*(Cap_Kind="Housing")*Cap_Ln))</x:f>
        <x:v>263.25</x:v>
      </x:c>
      <x:c r="M108" s="10" t="n">
        <x:f>INDEX(tun_GroupCap,G108)*tun_CohesionFactor*EXP(tun_CapsByProject*SUMPRODUCT((Cap_Point&lt;=I108)*(Cap_Kind="Group")*Cap_Ln))</x:f>
        <x:v>500.00000000000017</x:v>
      </x:c>
      <x:c r="N108" s="32" t="n">
        <x:f>MIN(J108,L108,M108)</x:f>
        <x:v>75.98851969953422</x:v>
      </x:c>
      <x:c r="O108" s="10" t="n">
        <x:f>AE107*N108</x:f>
        <x:v>151.97703939906845</x:v>
      </x:c>
      <x:c r="P108" s="9" t="n">
        <x:f>MIN(1,(AB107/(AE107*IF(tun_GroupInCrowding=1,N108,MIN(J108,L108))))^tun_CrowdingExp)</x:f>
        <x:v>0.03419043769709797</x:v>
      </x:c>
      <x:c r="Q108" s="9" t="n">
        <x:f>IF(D108=1,INDEX(tun_WinterMult,G108),1)</x:f>
        <x:v>1</x:v>
      </x:c>
      <x:c r="R108" s="9" t="n">
        <x:f>H108*Z107*tun_WomenShare*tun_BaseFertility*INDEX(tun_FertMult,G108)*Arch_Fertility*(1-P108)</x:f>
        <x:v>2.402185606111406</x:v>
      </x:c>
      <x:c r="S108" s="9" t="n">
        <x:f>H108*Y107*INDEX(tun_MortChild,G108)/4*Q108</x:f>
        <x:v>0.4362015755043072</x:v>
      </x:c>
      <x:c r="T108" s="9" t="n">
        <x:f>H108*Z107*INDEX(tun_MortAdult,G108)*Arch_AdultMort/4*Q108</x:f>
        <x:v>0.08830384312162541</x:v>
      </x:c>
      <x:c r="U108" s="9" t="n">
        <x:f>H108*AA107*INDEX(tun_MortElder,G108)/4*Q108</x:f>
        <x:v>0.1039680697576609</x:v>
      </x:c>
      <x:c r="V108" s="9" t="n">
        <x:f>H108*MAX(0,AB107-O108)*tun_OvercapLoss</x:f>
        <x:v>0</x:v>
      </x:c>
      <x:c r="W108" s="9" t="n">
        <x:f>H108*Y107/(tun_ChildYears*4)</x:f>
        <x:v>0.8902072969475656</x:v>
      </x:c>
      <x:c r="X108" s="9" t="n">
        <x:f>H108*Z107/(tun_AdultYears*4)</x:f>
        <x:v>0.2373759223699608</x:v>
      </x:c>
      <x:c r="Y108" s="32" t="n">
        <x:f>Y107+R108-S108-W108-Y107*V108/AB107</x:f>
        <x:v>50.927385362723214</x:v>
      </x:c>
      <x:c r="Z108" s="32" t="n">
        <x:f>Z107+W108-X108-T108-Z107*V108/AB107</x:f>
        <x:v>29.99914190533112</x:v>
      </x:c>
      <x:c r="AA108" s="32" t="n">
        <x:f>AA107+X108-U108-AA107*V108/AB107</x:f>
        <x:v>7.429412747886749</x:v>
      </x:c>
      <x:c r="AB108" s="10" t="n">
        <x:f>Y108+Z108+AA108</x:f>
        <x:v>88.35594001594107</x:v>
      </x:c>
      <x:c r="AC108" s="8" t="n">
        <x:f>IF(AND(tun_WinterTrigger=1,D108=1,AB107/AE107&gt;=K108),1,0)</x:f>
        <x:v>0</x:v>
      </x:c>
      <x:c r="AD108" s="8" t="n">
        <x:f>H108*IF(AND(OR(AB107/AE107&gt;=tun_FissionTrigger*N108,AC108=1),AB107/AE107*tun_DaughterShare&gt;=tun_MinDaughter),MAX(1,ROUND(AE107*tun_FissionRate,0)),0)</x:f>
        <x:v>0</x:v>
      </x:c>
      <x:c r="AE108" s="8" t="n">
        <x:f>IF(H108=1,MAX(1,MIN(INDEX(tun_Smax,G108),AE107+AD108)),AE107)</x:f>
        <x:v>2</x:v>
      </x:c>
      <x:c r="AF108" s="8" t="n">
        <x:f>MAX(0,AE108-AE107)</x:f>
        <x:v>0</x:v>
      </x:c>
      <x:c r="AG108" s="9" t="str">
        <x:f>IF(AF108&gt;0,B108,"")</x:f>
      </x:c>
      <x:c r="AH108" s="9" t="n">
        <x:f>IF(F108&gt;=1,1,(1+tun_LowTiesShare*(AE108-1))/AE108)</x:f>
        <x:v>1</x:v>
      </x:c>
      <x:c r="AI108" s="32" t="n">
        <x:f>(Z108+tun_ElderCommons*INDEX(LM_Elder,G108)*AA108)*AH108</x:f>
        <x:v>52.28738014899136</x:v>
      </x:c>
      <x:c r="AJ108" s="32" t="n">
        <x:f>H108*tun_CommonsCoef*AI108^tun_CommonsExp*INDEX(LM_Commons,G108)</x:f>
        <x:v>152.50050166338198</x:v>
      </x:c>
      <x:c r="AK108" s="32" t="n">
        <x:f>H108*tun_RoleScale*Arch_Roles*(AE108*(INDEX(tun_ElderRolePerSett,G108)*tun_OutElder*INDEX(LM_Elder,G108)+INDEX(tun_ShamanPerSett,G108)*tun_OutShaman)+Z108*(INDEX(tun_PriestShare,G108)*tun_OutPriest+INDEX(tun_ScribeShare,G108)*tun_OutScribe*INDEX(LM_Scribe,G108)+INDEX(tun_ScholarShare,G108)*tun_OutScholar*INDEX(LM_Scholar,G108)+INDEX(tun_ResearcherShare,G108)*tun_OutResearcher*INDEX(LM_Researcher,G108)))</x:f>
        <x:v>48</x:v>
      </x:c>
      <x:c r="AL108" s="32" t="n">
        <x:f>H108*tun_RoleScale*Arch_Roles*AE108*INDEX(tun_MonasteryPerSett,G108)*tun_OutMonastery*INDEX(LM_Monastery,G108)</x:f>
        <x:v>0</x:v>
      </x:c>
      <x:c r="AM108" s="32" t="n">
        <x:f>(AJ108+AK108+AL108)/4*INDEX(LM_All,G108)*INDEX(tun_Boon,G108)*Arch_Insight</x:f>
        <x:v>52.66270989002267</x:v>
      </x:c>
      <x:c r="AN108" s="32" t="n">
        <x:f>H108*(tun_KHPerAdult*Z108+tun_KHOfCommons*AJ108/4*INDEX(LM_All,G108))*tun_KHUsable*Arch_KH</x:f>
        <x:v>9.340655726882146</x:v>
      </x:c>
      <x:c r="AO108" s="32" t="n">
        <x:f>MIN(AP107+AN108,AM108*tun_KHMaxRatio)</x:f>
        <x:v>9.340655726882146</x:v>
      </x:c>
      <x:c r="AP108" s="32" t="n">
        <x:f>AP107+AN108-AO108</x:f>
        <x:v>0</x:v>
      </x:c>
      <x:c r="AQ108" s="32" t="n">
        <x:f>AM108+AO108</x:f>
        <x:v>62.003365616904816</x:v>
      </x:c>
      <x:c r="AR108" s="10" t="n">
        <x:f>IF(H108=1,INDEX(tun_Req,G108),0)</x:f>
        <x:v>3321.0609999999997</x:v>
      </x:c>
      <x:c r="AS108" s="32" t="n">
        <x:f>IF(H108=1,IF(E108=1,AS107-AR107,AS107)+AQ108,0)</x:f>
        <x:v>1786.856319965049</x:v>
      </x:c>
      <x:c r="AT108" s="11" t="n">
        <x:f>IF(AR108&gt;0,MIN(1,AS108/AR108),1)</x:f>
        <x:v>0.5380377897199266</x:v>
      </x:c>
      <x:c r="AU108" s="10" t="n">
        <x:f>AB108/INDEX(tun_RepScale,G108)</x:f>
        <x:v>88.35594001594107</x:v>
      </x:c>
      <x:c r="AV108" s="32" t="n">
        <x:f>AM108*60/tun_SeasonSeconds</x:f>
        <x:v>210.65083956009067</x:v>
      </x:c>
    </x:row>
    <x:row r="109">
      <x:c r="A109" s="8" t="n">
        <x:f>A108+1</x:f>
        <x:v>106</x:v>
      </x:c>
      <x:c r="B109" s="9" t="n">
        <x:f>A109*tun_SeasonSeconds/60</x:f>
        <x:v>26.5</x:v>
      </x:c>
      <x:c r="C109" s="9" t="n">
        <x:f>A109/4</x:f>
        <x:v>26.5</x:v>
      </x:c>
      <x:c r="D109" s="8" t="n">
        <x:f>IF(MOD(A109,4)=0,1,0)</x:f>
        <x:v>0</x:v>
      </x:c>
      <x:c r="E109" s="8" t="n">
        <x:f>IF(AND(F108&lt;=9,AS108&gt;=AR108),1,0)</x:f>
        <x:v>0</x:v>
      </x:c>
      <x:c r="F109" s="8" t="n">
        <x:f>MIN(10,F108+E109)</x:f>
        <x:v>2</x:v>
      </x:c>
      <x:c r="G109" s="8" t="n">
        <x:f>MIN(F109,9)+1</x:f>
        <x:v>3</x:v>
      </x:c>
      <x:c r="H109" s="8" t="n">
        <x:f>IF(F109&lt;=9,1,0)</x:f>
        <x:v>1</x:v>
      </x:c>
      <x:c r="I109" s="9" t="n">
        <x:f>MIN(10,F108+IF(AR108&gt;0,MIN(1,AS108/AR108),1))</x:f>
        <x:v>2.5380377897199264</x:v>
      </x:c>
      <x:c r="J109" s="32" t="n">
        <x:f>INDEX(tun_FoodCap,G109)*Arch_FoodCap*EXP(tun_CapsByProject*SUMPRODUCT((Cap_Point&lt;=I109)*(Cap_Kind="Food")*Cap_Ln))</x:f>
        <x:v>75.98851969953422</x:v>
      </x:c>
      <x:c r="K109" s="32" t="n">
        <x:f>J109*MIN(1,tun_LeanBase*EXP(tun_CapsByProject*SUMPRODUCT((Cap_Point&lt;=I109)*(Cap_Kind="Lean")*Cap_Ln)))</x:f>
        <x:v>75.98851969953422</x:v>
      </x:c>
      <x:c r="L109" s="10" t="n">
        <x:f>INDEX(tun_HousingCap,G109)*EXP(tun_CapsByProject*SUMPRODUCT((Cap_Point&lt;=I109)*(Cap_Kind="Housing")*Cap_Ln))</x:f>
        <x:v>263.25</x:v>
      </x:c>
      <x:c r="M109" s="10" t="n">
        <x:f>INDEX(tun_GroupCap,G109)*tun_CohesionFactor*EXP(tun_CapsByProject*SUMPRODUCT((Cap_Point&lt;=I109)*(Cap_Kind="Group")*Cap_Ln))</x:f>
        <x:v>500.00000000000017</x:v>
      </x:c>
      <x:c r="N109" s="32" t="n">
        <x:f>MIN(J109,L109,M109)</x:f>
        <x:v>75.98851969953422</x:v>
      </x:c>
      <x:c r="O109" s="10" t="n">
        <x:f>AE108*N109</x:f>
        <x:v>151.97703939906845</x:v>
      </x:c>
      <x:c r="P109" s="9" t="n">
        <x:f>MIN(1,(AB108/(AE108*IF(tun_GroupInCrowding=1,N109,MIN(J109,L109))))^tun_CrowdingExp)</x:f>
        <x:v>0.03861416343660713</x:v>
      </x:c>
      <x:c r="Q109" s="9" t="n">
        <x:f>IF(D109=1,INDEX(tun_WinterMult,G109),1)</x:f>
        <x:v>1</x:v>
      </x:c>
      <x:c r="R109" s="9" t="n">
        <x:f>H109*Z108*tun_WomenShare*tun_BaseFertility*INDEX(tun_FertMult,G109)*Arch_Fertility*(1-P109)</x:f>
        <x:v>2.4370433865630385</x:v>
      </x:c>
      <x:c r="S109" s="9" t="n">
        <x:f>H109*Y108*INDEX(tun_MortChild,G109)/4*Q109</x:f>
        <x:v>0.44561462192382817</x:v>
      </x:c>
      <x:c r="T109" s="9" t="n">
        <x:f>H109*Z108*INDEX(tun_MortAdult,G109)*Arch_AdultMort/4*Q109</x:f>
        <x:v>0.08999742571599335</x:v>
      </x:c>
      <x:c r="U109" s="9" t="n">
        <x:f>H109*AA108*INDEX(tun_MortElder,G109)/4*Q109</x:f>
        <x:v>0.10586913165738618</x:v>
      </x:c>
      <x:c r="V109" s="9" t="n">
        <x:f>H109*MAX(0,AB108-O109)*tun_OvercapLoss</x:f>
        <x:v>0</x:v>
      </x:c>
      <x:c r="W109" s="9" t="n">
        <x:f>H109*Y108/(tun_ChildYears*4)</x:f>
        <x:v>0.9094175957629146</x:v>
      </x:c>
      <x:c r="X109" s="9" t="n">
        <x:f>H109*Z108/(tun_AdultYears*4)</x:f>
        <x:v>0.2419285637526703</x:v>
      </x:c>
      <x:c r="Y109" s="32" t="n">
        <x:f>Y108+R109-S109-W109-Y108*V109/AB108</x:f>
        <x:v>52.009396531599506</x:v>
      </x:c>
      <x:c r="Z109" s="32" t="n">
        <x:f>Z108+W109-X109-T109-Z108*V109/AB108</x:f>
        <x:v>30.57663351162537</x:v>
      </x:c>
      <x:c r="AA109" s="32" t="n">
        <x:f>AA108+X109-U109-AA108*V109/AB108</x:f>
        <x:v>7.565472179982033</x:v>
      </x:c>
      <x:c r="AB109" s="10" t="n">
        <x:f>Y109+Z109+AA109</x:f>
        <x:v>90.15150222320692</x:v>
      </x:c>
      <x:c r="AC109" s="8" t="n">
        <x:f>IF(AND(tun_WinterTrigger=1,D109=1,AB108/AE108&gt;=K109),1,0)</x:f>
        <x:v>0</x:v>
      </x:c>
      <x:c r="AD109" s="8" t="n">
        <x:f>H109*IF(AND(OR(AB108/AE108&gt;=tun_FissionTrigger*N109,AC109=1),AB108/AE108*tun_DaughterShare&gt;=tun_MinDaughter),MAX(1,ROUND(AE108*tun_FissionRate,0)),0)</x:f>
        <x:v>0</x:v>
      </x:c>
      <x:c r="AE109" s="8" t="n">
        <x:f>IF(H109=1,MAX(1,MIN(INDEX(tun_Smax,G109),AE108+AD109)),AE108)</x:f>
        <x:v>2</x:v>
      </x:c>
      <x:c r="AF109" s="8" t="n">
        <x:f>MAX(0,AE109-AE108)</x:f>
        <x:v>0</x:v>
      </x:c>
      <x:c r="AG109" s="9" t="str">
        <x:f>IF(AF109&gt;0,B109,"")</x:f>
      </x:c>
      <x:c r="AH109" s="9" t="n">
        <x:f>IF(F109&gt;=1,1,(1+tun_LowTiesShare*(AE109-1))/AE109)</x:f>
        <x:v>1</x:v>
      </x:c>
      <x:c r="AI109" s="32" t="n">
        <x:f>(Z109+tun_ElderCommons*INDEX(LM_Elder,G109)*AA109)*AH109</x:f>
        <x:v>53.273050051571474</x:v>
      </x:c>
      <x:c r="AJ109" s="32" t="n">
        <x:f>H109*tun_CommonsCoef*AI109^tun_CommonsExp*INDEX(LM_Commons,G109)</x:f>
        <x:v>154.94064174745736</x:v>
      </x:c>
      <x:c r="AK109" s="32" t="n">
        <x:f>H109*tun_RoleScale*Arch_Roles*(AE109*(INDEX(tun_ElderRolePerSett,G109)*tun_OutElder*INDEX(LM_Elder,G109)+INDEX(tun_ShamanPerSett,G109)*tun_OutShaman)+Z109*(INDEX(tun_PriestShare,G109)*tun_OutPriest+INDEX(tun_ScribeShare,G109)*tun_OutScribe*INDEX(LM_Scribe,G109)+INDEX(tun_ScholarShare,G109)*tun_OutScholar*INDEX(LM_Scholar,G109)+INDEX(tun_ResearcherShare,G109)*tun_OutResearcher*INDEX(LM_Researcher,G109)))</x:f>
        <x:v>48</x:v>
      </x:c>
      <x:c r="AL109" s="32" t="n">
        <x:f>H109*tun_RoleScale*Arch_Roles*AE109*INDEX(tun_MonasteryPerSett,G109)*tun_OutMonastery*INDEX(LM_Monastery,G109)</x:f>
        <x:v>0</x:v>
      </x:c>
      <x:c r="AM109" s="32" t="n">
        <x:f>(AJ109+AK109+AL109)/4*INDEX(LM_All,G109)*INDEX(tun_Boon,G109)*Arch_Insight</x:f>
        <x:v>53.30362793398059</x:v>
      </x:c>
      <x:c r="AN109" s="32" t="n">
        <x:f>H109*(tun_KHPerAdult*Z109+tun_KHOfCommons*AJ109/4*INDEX(LM_All,G109))*tun_KHUsable*Arch_KH</x:f>
        <x:v>9.490114307031762</x:v>
      </x:c>
      <x:c r="AO109" s="32" t="n">
        <x:f>MIN(AP108+AN109,AM109*tun_KHMaxRatio)</x:f>
        <x:v>9.490114307031762</x:v>
      </x:c>
      <x:c r="AP109" s="32" t="n">
        <x:f>AP108+AN109-AO109</x:f>
        <x:v>0</x:v>
      </x:c>
      <x:c r="AQ109" s="32" t="n">
        <x:f>AM109+AO109</x:f>
        <x:v>62.79374224101235</x:v>
      </x:c>
      <x:c r="AR109" s="10" t="n">
        <x:f>IF(H109=1,INDEX(tun_Req,G109),0)</x:f>
        <x:v>3321.0609999999997</x:v>
      </x:c>
      <x:c r="AS109" s="32" t="n">
        <x:f>IF(H109=1,IF(E109=1,AS108-AR108,AS108)+AQ109,0)</x:f>
        <x:v>1849.6500622060612</x:v>
      </x:c>
      <x:c r="AT109" s="11" t="n">
        <x:f>IF(AR109&gt;0,MIN(1,AS109/AR109),1)</x:f>
        <x:v>0.5569455250012154</x:v>
      </x:c>
      <x:c r="AU109" s="10" t="n">
        <x:f>AB109/INDEX(tun_RepScale,G109)</x:f>
        <x:v>90.15150222320692</x:v>
      </x:c>
      <x:c r="AV109" s="32" t="n">
        <x:f>AM109*60/tun_SeasonSeconds</x:f>
        <x:v>213.21451173592237</x:v>
      </x:c>
    </x:row>
    <x:row r="110">
      <x:c r="A110" s="8" t="n">
        <x:f>A109+1</x:f>
        <x:v>107</x:v>
      </x:c>
      <x:c r="B110" s="9" t="n">
        <x:f>A110*tun_SeasonSeconds/60</x:f>
        <x:v>26.75</x:v>
      </x:c>
      <x:c r="C110" s="9" t="n">
        <x:f>A110/4</x:f>
        <x:v>26.75</x:v>
      </x:c>
      <x:c r="D110" s="8" t="n">
        <x:f>IF(MOD(A110,4)=0,1,0)</x:f>
        <x:v>0</x:v>
      </x:c>
      <x:c r="E110" s="8" t="n">
        <x:f>IF(AND(F109&lt;=9,AS109&gt;=AR109),1,0)</x:f>
        <x:v>0</x:v>
      </x:c>
      <x:c r="F110" s="8" t="n">
        <x:f>MIN(10,F109+E110)</x:f>
        <x:v>2</x:v>
      </x:c>
      <x:c r="G110" s="8" t="n">
        <x:f>MIN(F110,9)+1</x:f>
        <x:v>3</x:v>
      </x:c>
      <x:c r="H110" s="8" t="n">
        <x:f>IF(F110&lt;=9,1,0)</x:f>
        <x:v>1</x:v>
      </x:c>
      <x:c r="I110" s="9" t="n">
        <x:f>MIN(10,F109+IF(AR109&gt;0,MIN(1,AS109/AR109),1))</x:f>
        <x:v>2.5569455250012156</x:v>
      </x:c>
      <x:c r="J110" s="32" t="n">
        <x:f>INDEX(tun_FoodCap,G110)*Arch_FoodCap*EXP(tun_CapsByProject*SUMPRODUCT((Cap_Point&lt;=I110)*(Cap_Kind="Food")*Cap_Ln))</x:f>
        <x:v>75.98851969953422</x:v>
      </x:c>
      <x:c r="K110" s="32" t="n">
        <x:f>J110*MIN(1,tun_LeanBase*EXP(tun_CapsByProject*SUMPRODUCT((Cap_Point&lt;=I110)*(Cap_Kind="Lean")*Cap_Ln)))</x:f>
        <x:v>75.98851969953422</x:v>
      </x:c>
      <x:c r="L110" s="10" t="n">
        <x:f>INDEX(tun_HousingCap,G110)*EXP(tun_CapsByProject*SUMPRODUCT((Cap_Point&lt;=I110)*(Cap_Kind="Housing")*Cap_Ln))</x:f>
        <x:v>263.25</x:v>
      </x:c>
      <x:c r="M110" s="10" t="n">
        <x:f>INDEX(tun_GroupCap,G110)*tun_CohesionFactor*EXP(tun_CapsByProject*SUMPRODUCT((Cap_Point&lt;=I110)*(Cap_Kind="Group")*Cap_Ln))</x:f>
        <x:v>500.00000000000017</x:v>
      </x:c>
      <x:c r="N110" s="32" t="n">
        <x:f>MIN(J110,L110,M110)</x:f>
        <x:v>75.98851969953422</x:v>
      </x:c>
      <x:c r="O110" s="10" t="n">
        <x:f>AE109*N110</x:f>
        <x:v>151.97703939906845</x:v>
      </x:c>
      <x:c r="P110" s="9" t="n">
        <x:f>MIN(1,(AB109/(AE109*IF(tun_GroupInCrowding=1,N110,MIN(J110,L110))))^tun_CrowdingExp)</x:f>
        <x:v>0.043568231110792874</x:v>
      </x:c>
      <x:c r="Q110" s="9" t="n">
        <x:f>IF(D110=1,INDEX(tun_WinterMult,G110),1)</x:f>
        <x:v>1</x:v>
      </x:c>
      <x:c r="R110" s="9" t="n">
        <x:f>H110*Z109*tun_WomenShare*tun_BaseFertility*INDEX(tun_FertMult,G110)*Arch_Fertility*(1-P110)</x:f>
        <x:v>2.4711571806389734</x:v>
      </x:c>
      <x:c r="S110" s="9" t="n">
        <x:f>H110*Y109*INDEX(tun_MortChild,G110)/4*Q110</x:f>
        <x:v>0.4550822196514957</x:v>
      </x:c>
      <x:c r="T110" s="9" t="n">
        <x:f>H110*Z109*INDEX(tun_MortAdult,G110)*Arch_AdultMort/4*Q110</x:f>
        <x:v>0.09172990053487612</x:v>
      </x:c>
      <x:c r="U110" s="9" t="n">
        <x:f>H110*AA109*INDEX(tun_MortElder,G110)/4*Q110</x:f>
        <x:v>0.10780797856474397</x:v>
      </x:c>
      <x:c r="V110" s="9" t="n">
        <x:f>H110*MAX(0,AB109-O110)*tun_OvercapLoss</x:f>
        <x:v>0</x:v>
      </x:c>
      <x:c r="W110" s="9" t="n">
        <x:f>H110*Y109/(tun_ChildYears*4)</x:f>
        <x:v>0.9287392237785627</x:v>
      </x:c>
      <x:c r="X110" s="9" t="n">
        <x:f>H110*Z109/(tun_AdultYears*4)</x:f>
        <x:v>0.24658575412601105</x:v>
      </x:c>
      <x:c r="Y110" s="32" t="n">
        <x:f>Y109+R110-S110-W110-Y109*V110/AB109</x:f>
        <x:v>53.096732268808424</x:v>
      </x:c>
      <x:c r="Z110" s="32" t="n">
        <x:f>Z109+W110-X110-T110-Z109*V110/AB109</x:f>
        <x:v>31.167057080743046</x:v>
      </x:c>
      <x:c r="AA110" s="32" t="n">
        <x:f>AA109+X110-U110-AA109*V110/AB109</x:f>
        <x:v>7.7042499555432995</x:v>
      </x:c>
      <x:c r="AB110" s="10" t="n">
        <x:f>Y110+Z110+AA110</x:f>
        <x:v>91.96803930509478</x:v>
      </x:c>
      <x:c r="AC110" s="8" t="n">
        <x:f>IF(AND(tun_WinterTrigger=1,D110=1,AB109/AE109&gt;=K110),1,0)</x:f>
        <x:v>0</x:v>
      </x:c>
      <x:c r="AD110" s="8" t="n">
        <x:f>H110*IF(AND(OR(AB109/AE109&gt;=tun_FissionTrigger*N110,AC110=1),AB109/AE109*tun_DaughterShare&gt;=tun_MinDaughter),MAX(1,ROUND(AE109*tun_FissionRate,0)),0)</x:f>
        <x:v>0</x:v>
      </x:c>
      <x:c r="AE110" s="8" t="n">
        <x:f>IF(H110=1,MAX(1,MIN(INDEX(tun_Smax,G110),AE109+AD110)),AE109)</x:f>
        <x:v>2</x:v>
      </x:c>
      <x:c r="AF110" s="8" t="n">
        <x:f>MAX(0,AE110-AE109)</x:f>
        <x:v>0</x:v>
      </x:c>
      <x:c r="AG110" s="9" t="str">
        <x:f>IF(AF110&gt;0,B110,"")</x:f>
      </x:c>
      <x:c r="AH110" s="9" t="n">
        <x:f>IF(F110&gt;=1,1,(1+tun_LowTiesShare*(AE110-1))/AE110)</x:f>
        <x:v>1</x:v>
      </x:c>
      <x:c r="AI110" s="32" t="n">
        <x:f>(Z110+tun_ElderCommons*INDEX(LM_Elder,G110)*AA110)*AH110</x:f>
        <x:v>54.27980694737295</x:v>
      </x:c>
      <x:c r="AJ110" s="32" t="n">
        <x:f>H110*tun_CommonsCoef*AI110^tun_CommonsExp*INDEX(LM_Commons,G110)</x:f>
        <x:v>157.426004365844</x:v>
      </x:c>
      <x:c r="AK110" s="32" t="n">
        <x:f>H110*tun_RoleScale*Arch_Roles*(AE110*(INDEX(tun_ElderRolePerSett,G110)*tun_OutElder*INDEX(LM_Elder,G110)+INDEX(tun_ShamanPerSett,G110)*tun_OutShaman)+Z110*(INDEX(tun_PriestShare,G110)*tun_OutPriest+INDEX(tun_ScribeShare,G110)*tun_OutScribe*INDEX(LM_Scribe,G110)+INDEX(tun_ScholarShare,G110)*tun_OutScholar*INDEX(LM_Scholar,G110)+INDEX(tun_ResearcherShare,G110)*tun_OutResearcher*INDEX(LM_Researcher,G110)))</x:f>
        <x:v>48</x:v>
      </x:c>
      <x:c r="AL110" s="32" t="n">
        <x:f>H110*tun_RoleScale*Arch_Roles*AE110*INDEX(tun_MonasteryPerSett,G110)*tun_OutMonastery*INDEX(LM_Monastery,G110)</x:f>
        <x:v>0</x:v>
      </x:c>
      <x:c r="AM110" s="32" t="n">
        <x:f>(AJ110+AK110+AL110)/4*INDEX(LM_All,G110)*INDEX(tun_Boon,G110)*Arch_Insight</x:f>
        <x:v>53.95642395921621</x:v>
      </x:c>
      <x:c r="AN110" s="32" t="n">
        <x:f>H110*(tun_KHPerAdult*Z110+tun_KHOfCommons*AJ110/4*INDEX(LM_All,G110))*tun_KHUsable*Arch_KH</x:f>
        <x:v>9.642342767407943</x:v>
      </x:c>
      <x:c r="AO110" s="32" t="n">
        <x:f>MIN(AP109+AN110,AM110*tun_KHMaxRatio)</x:f>
        <x:v>9.642342767407943</x:v>
      </x:c>
      <x:c r="AP110" s="32" t="n">
        <x:f>AP109+AN110-AO110</x:f>
        <x:v>0</x:v>
      </x:c>
      <x:c r="AQ110" s="32" t="n">
        <x:f>AM110+AO110</x:f>
        <x:v>63.59876672662415</x:v>
      </x:c>
      <x:c r="AR110" s="10" t="n">
        <x:f>IF(H110=1,INDEX(tun_Req,G110),0)</x:f>
        <x:v>3321.0609999999997</x:v>
      </x:c>
      <x:c r="AS110" s="32" t="n">
        <x:f>IF(H110=1,IF(E110=1,AS109-AR109,AS109)+AQ110,0)</x:f>
        <x:v>1913.2488289326852</x:v>
      </x:c>
      <x:c r="AT110" s="11" t="n">
        <x:f>IF(AR110&gt;0,MIN(1,AS110/AR110),1)</x:f>
        <x:v>0.5760956600714908</x:v>
      </x:c>
      <x:c r="AU110" s="10" t="n">
        <x:f>AB110/INDEX(tun_RepScale,G110)</x:f>
        <x:v>91.96803930509478</x:v>
      </x:c>
      <x:c r="AV110" s="32" t="n">
        <x:f>AM110*60/tun_SeasonSeconds</x:f>
        <x:v>215.82569583686484</x:v>
      </x:c>
    </x:row>
    <x:row r="111">
      <x:c r="A111" s="8" t="n">
        <x:f>A110+1</x:f>
        <x:v>108</x:v>
      </x:c>
      <x:c r="B111" s="9" t="n">
        <x:f>A111*tun_SeasonSeconds/60</x:f>
        <x:v>27</x:v>
      </x:c>
      <x:c r="C111" s="9" t="n">
        <x:f>A111/4</x:f>
        <x:v>27</x:v>
      </x:c>
      <x:c r="D111" s="8" t="n">
        <x:f>IF(MOD(A111,4)=0,1,0)</x:f>
        <x:v>1</x:v>
      </x:c>
      <x:c r="E111" s="8" t="n">
        <x:f>IF(AND(F110&lt;=9,AS110&gt;=AR110),1,0)</x:f>
        <x:v>0</x:v>
      </x:c>
      <x:c r="F111" s="8" t="n">
        <x:f>MIN(10,F110+E111)</x:f>
        <x:v>2</x:v>
      </x:c>
      <x:c r="G111" s="8" t="n">
        <x:f>MIN(F111,9)+1</x:f>
        <x:v>3</x:v>
      </x:c>
      <x:c r="H111" s="8" t="n">
        <x:f>IF(F111&lt;=9,1,0)</x:f>
        <x:v>1</x:v>
      </x:c>
      <x:c r="I111" s="9" t="n">
        <x:f>MIN(10,F110+IF(AR110&gt;0,MIN(1,AS110/AR110),1))</x:f>
        <x:v>2.576095660071491</x:v>
      </x:c>
      <x:c r="J111" s="32" t="n">
        <x:f>INDEX(tun_FoodCap,G111)*Arch_FoodCap*EXP(tun_CapsByProject*SUMPRODUCT((Cap_Point&lt;=I111)*(Cap_Kind="Food")*Cap_Ln))</x:f>
        <x:v>75.98851969953422</x:v>
      </x:c>
      <x:c r="K111" s="32" t="n">
        <x:f>J111*MIN(1,tun_LeanBase*EXP(tun_CapsByProject*SUMPRODUCT((Cap_Point&lt;=I111)*(Cap_Kind="Lean")*Cap_Ln)))</x:f>
        <x:v>75.98851969953422</x:v>
      </x:c>
      <x:c r="L111" s="10" t="n">
        <x:f>INDEX(tun_HousingCap,G111)*EXP(tun_CapsByProject*SUMPRODUCT((Cap_Point&lt;=I111)*(Cap_Kind="Housing")*Cap_Ln))</x:f>
        <x:v>263.25</x:v>
      </x:c>
      <x:c r="M111" s="10" t="n">
        <x:f>INDEX(tun_GroupCap,G111)*tun_CohesionFactor*EXP(tun_CapsByProject*SUMPRODUCT((Cap_Point&lt;=I111)*(Cap_Kind="Group")*Cap_Ln))</x:f>
        <x:v>500.00000000000017</x:v>
      </x:c>
      <x:c r="N111" s="32" t="n">
        <x:f>MIN(J111,L111,M111)</x:f>
        <x:v>75.98851969953422</x:v>
      </x:c>
      <x:c r="O111" s="10" t="n">
        <x:f>AE110*N111</x:f>
        <x:v>151.97703939906845</x:v>
      </x:c>
      <x:c r="P111" s="9" t="n">
        <x:f>MIN(1,(AB110/(AE110*IF(tun_GroupInCrowding=1,N111,MIN(J111,L111))))^tun_CrowdingExp)</x:f>
        <x:v>0.04910816277187807</x:v>
      </x:c>
      <x:c r="Q111" s="9" t="n">
        <x:f>IF(D111=1,INDEX(tun_WinterMult,G111),1)</x:f>
        <x:v>1.4</x:v>
      </x:c>
      <x:c r="R111" s="9" t="n">
        <x:f>H111*Z110*tun_WomenShare*tun_BaseFertility*INDEX(tun_FertMult,G111)*Arch_Fertility*(1-P111)</x:f>
        <x:v>2.5042842642383767</x:v>
      </x:c>
      <x:c r="S111" s="9" t="n">
        <x:f>H111*Y110*INDEX(tun_MortChild,G111)/4*Q111</x:f>
        <x:v>0.6504349702929032</x:v>
      </x:c>
      <x:c r="T111" s="9" t="n">
        <x:f>H111*Z110*INDEX(tun_MortAdult,G111)*Arch_AdultMort/4*Q111</x:f>
        <x:v>0.13090163973912078</x:v>
      </x:c>
      <x:c r="U111" s="9" t="n">
        <x:f>H111*AA110*INDEX(tun_MortElder,G111)/4*Q111</x:f>
        <x:v>0.1536997866130888</x:v>
      </x:c>
      <x:c r="V111" s="9" t="n">
        <x:f>H111*MAX(0,AB110-O111)*tun_OvercapLoss</x:f>
        <x:v>0</x:v>
      </x:c>
      <x:c r="W111" s="9" t="n">
        <x:f>H111*Y110/(tun_ChildYears*4)</x:f>
        <x:v>0.948155933371579</x:v>
      </x:c>
      <x:c r="X111" s="9" t="n">
        <x:f>H111*Z110/(tun_AdultYears*4)</x:f>
        <x:v>0.2513472345221213</x:v>
      </x:c>
      <x:c r="Y111" s="32" t="n">
        <x:f>Y110+R111-S111-W111-Y110*V111/AB110</x:f>
        <x:v>54.002425629382316</x:v>
      </x:c>
      <x:c r="Z111" s="32" t="n">
        <x:f>Z110+W111-X111-T111-Z110*V111/AB110</x:f>
        <x:v>31.73296413985338</x:v>
      </x:c>
      <x:c r="AA111" s="32" t="n">
        <x:f>AA110+X111-U111-AA110*V111/AB110</x:f>
        <x:v>7.801897403452332</x:v>
      </x:c>
      <x:c r="AB111" s="10" t="n">
        <x:f>Y111+Z111+AA111</x:f>
        <x:v>93.53728717268802</x:v>
      </x:c>
      <x:c r="AC111" s="8" t="n">
        <x:f>IF(AND(tun_WinterTrigger=1,D111=1,AB110/AE110&gt;=K111),1,0)</x:f>
        <x:v>0</x:v>
      </x:c>
      <x:c r="AD111" s="8" t="n">
        <x:f>H111*IF(AND(OR(AB110/AE110&gt;=tun_FissionTrigger*N111,AC111=1),AB110/AE110*tun_DaughterShare&gt;=tun_MinDaughter),MAX(1,ROUND(AE110*tun_FissionRate,0)),0)</x:f>
        <x:v>0</x:v>
      </x:c>
      <x:c r="AE111" s="8" t="n">
        <x:f>IF(H111=1,MAX(1,MIN(INDEX(tun_Smax,G111),AE110+AD111)),AE110)</x:f>
        <x:v>2</x:v>
      </x:c>
      <x:c r="AF111" s="8" t="n">
        <x:f>MAX(0,AE111-AE110)</x:f>
        <x:v>0</x:v>
      </x:c>
      <x:c r="AG111" s="9" t="str">
        <x:f>IF(AF111&gt;0,B111,"")</x:f>
      </x:c>
      <x:c r="AH111" s="9" t="n">
        <x:f>IF(F111&gt;=1,1,(1+tun_LowTiesShare*(AE111-1))/AE111)</x:f>
        <x:v>1</x:v>
      </x:c>
      <x:c r="AI111" s="32" t="n">
        <x:f>(Z111+tun_ElderCommons*INDEX(LM_Elder,G111)*AA111)*AH111</x:f>
        <x:v>55.138656350210375</x:v>
      </x:c>
      <x:c r="AJ111" s="32" t="n">
        <x:f>H111*tun_CommonsCoef*AI111^tun_CommonsExp*INDEX(LM_Commons,G111)</x:f>
        <x:v>159.54076658608474</x:v>
      </x:c>
      <x:c r="AK111" s="32" t="n">
        <x:f>H111*tun_RoleScale*Arch_Roles*(AE111*(INDEX(tun_ElderRolePerSett,G111)*tun_OutElder*INDEX(LM_Elder,G111)+INDEX(tun_ShamanPerSett,G111)*tun_OutShaman)+Z111*(INDEX(tun_PriestShare,G111)*tun_OutPriest+INDEX(tun_ScribeShare,G111)*tun_OutScribe*INDEX(LM_Scribe,G111)+INDEX(tun_ScholarShare,G111)*tun_OutScholar*INDEX(LM_Scholar,G111)+INDEX(tun_ResearcherShare,G111)*tun_OutResearcher*INDEX(LM_Researcher,G111)))</x:f>
        <x:v>48</x:v>
      </x:c>
      <x:c r="AL111" s="32" t="n">
        <x:f>H111*tun_RoleScale*Arch_Roles*AE111*INDEX(tun_MonasteryPerSett,G111)*tun_OutMonastery*INDEX(LM_Monastery,G111)</x:f>
        <x:v>0</x:v>
      </x:c>
      <x:c r="AM111" s="32" t="n">
        <x:f>(AJ111+AK111+AL111)/4*INDEX(LM_All,G111)*INDEX(tun_Boon,G111)*Arch_Insight</x:f>
        <x:v>54.511879473626315</x:v>
      </x:c>
      <x:c r="AN111" s="32" t="n">
        <x:f>H111*(tun_KHPerAdult*Z111+tun_KHOfCommons*AJ111/4*INDEX(LM_All,G111))*tun_KHUsable*Arch_KH</x:f>
        <x:v>9.771871953397689</x:v>
      </x:c>
      <x:c r="AO111" s="32" t="n">
        <x:f>MIN(AP110+AN111,AM111*tun_KHMaxRatio)</x:f>
        <x:v>9.771871953397689</x:v>
      </x:c>
      <x:c r="AP111" s="32" t="n">
        <x:f>AP110+AN111-AO111</x:f>
        <x:v>0</x:v>
      </x:c>
      <x:c r="AQ111" s="32" t="n">
        <x:f>AM111+AO111</x:f>
        <x:v>64.283751427024</x:v>
      </x:c>
      <x:c r="AR111" s="10" t="n">
        <x:f>IF(H111=1,INDEX(tun_Req,G111),0)</x:f>
        <x:v>3321.0609999999997</x:v>
      </x:c>
      <x:c r="AS111" s="32" t="n">
        <x:f>IF(H111=1,IF(E111=1,AS110-AR110,AS110)+AQ111,0)</x:f>
        <x:v>1977.5325803597093</x:v>
      </x:c>
      <x:c r="AT111" s="11" t="n">
        <x:f>IF(AR111&gt;0,MIN(1,AS111/AR111),1)</x:f>
        <x:v>0.5954520499201037</x:v>
      </x:c>
      <x:c r="AU111" s="10" t="n">
        <x:f>AB111/INDEX(tun_RepScale,G111)</x:f>
        <x:v>93.53728717268802</x:v>
      </x:c>
      <x:c r="AV111" s="32" t="n">
        <x:f>AM111*60/tun_SeasonSeconds</x:f>
        <x:v>218.04751789450526</x:v>
      </x:c>
    </x:row>
    <x:row r="112">
      <x:c r="A112" s="8" t="n">
        <x:f>A111+1</x:f>
        <x:v>109</x:v>
      </x:c>
      <x:c r="B112" s="9" t="n">
        <x:f>A112*tun_SeasonSeconds/60</x:f>
        <x:v>27.25</x:v>
      </x:c>
      <x:c r="C112" s="9" t="n">
        <x:f>A112/4</x:f>
        <x:v>27.25</x:v>
      </x:c>
      <x:c r="D112" s="8" t="n">
        <x:f>IF(MOD(A112,4)=0,1,0)</x:f>
        <x:v>0</x:v>
      </x:c>
      <x:c r="E112" s="8" t="n">
        <x:f>IF(AND(F111&lt;=9,AS111&gt;=AR111),1,0)</x:f>
        <x:v>0</x:v>
      </x:c>
      <x:c r="F112" s="8" t="n">
        <x:f>MIN(10,F111+E112)</x:f>
        <x:v>2</x:v>
      </x:c>
      <x:c r="G112" s="8" t="n">
        <x:f>MIN(F112,9)+1</x:f>
        <x:v>3</x:v>
      </x:c>
      <x:c r="H112" s="8" t="n">
        <x:f>IF(F112&lt;=9,1,0)</x:f>
        <x:v>1</x:v>
      </x:c>
      <x:c r="I112" s="9" t="n">
        <x:f>MIN(10,F111+IF(AR111&gt;0,MIN(1,AS111/AR111),1))</x:f>
        <x:v>2.5954520499201035</x:v>
      </x:c>
      <x:c r="J112" s="32" t="n">
        <x:f>INDEX(tun_FoodCap,G112)*Arch_FoodCap*EXP(tun_CapsByProject*SUMPRODUCT((Cap_Point&lt;=I112)*(Cap_Kind="Food")*Cap_Ln))</x:f>
        <x:v>75.98851969953422</x:v>
      </x:c>
      <x:c r="K112" s="32" t="n">
        <x:f>J112*MIN(1,tun_LeanBase*EXP(tun_CapsByProject*SUMPRODUCT((Cap_Point&lt;=I112)*(Cap_Kind="Lean")*Cap_Ln)))</x:f>
        <x:v>75.98851969953422</x:v>
      </x:c>
      <x:c r="L112" s="10" t="n">
        <x:f>INDEX(tun_HousingCap,G112)*EXP(tun_CapsByProject*SUMPRODUCT((Cap_Point&lt;=I112)*(Cap_Kind="Housing")*Cap_Ln))</x:f>
        <x:v>263.25</x:v>
      </x:c>
      <x:c r="M112" s="10" t="n">
        <x:f>INDEX(tun_GroupCap,G112)*tun_CohesionFactor*EXP(tun_CapsByProject*SUMPRODUCT((Cap_Point&lt;=I112)*(Cap_Kind="Group")*Cap_Ln))</x:f>
        <x:v>500.00000000000017</x:v>
      </x:c>
      <x:c r="N112" s="32" t="n">
        <x:f>MIN(J112,L112,M112)</x:f>
        <x:v>75.98851969953422</x:v>
      </x:c>
      <x:c r="O112" s="10" t="n">
        <x:f>AE111*N112</x:f>
        <x:v>151.97703939906845</x:v>
      </x:c>
      <x:c r="P112" s="9" t="n">
        <x:f>MIN(1,(AB111/(AE111*IF(tun_GroupInCrowding=1,N112,MIN(J112,L112))))^tun_CrowdingExp)</x:f>
        <x:v>0.05435515527893412</x:v>
      </x:c>
      <x:c r="Q112" s="9" t="n">
        <x:f>IF(D112=1,INDEX(tun_WinterMult,G112),1)</x:f>
        <x:v>1</x:v>
      </x:c>
      <x:c r="R112" s="9" t="n">
        <x:f>H112*Z111*tun_WomenShare*tun_BaseFertility*INDEX(tun_FertMult,G112)*Arch_Fertility*(1-P112)</x:f>
        <x:v>2.5356856284852327</x:v>
      </x:c>
      <x:c r="S112" s="9" t="n">
        <x:f>H112*Y111*INDEX(tun_MortChild,G112)/4*Q112</x:f>
        <x:v>0.4725212242570953</x:v>
      </x:c>
      <x:c r="T112" s="9" t="n">
        <x:f>H112*Z111*INDEX(tun_MortAdult,G112)*Arch_AdultMort/4*Q112</x:f>
        <x:v>0.09519889241956014</x:v>
      </x:c>
      <x:c r="U112" s="9" t="n">
        <x:f>H112*AA111*INDEX(tun_MortElder,G112)/4*Q112</x:f>
        <x:v>0.11117703799919573</x:v>
      </x:c>
      <x:c r="V112" s="9" t="n">
        <x:f>H112*MAX(0,AB111-O112)*tun_OvercapLoss</x:f>
        <x:v>0</x:v>
      </x:c>
      <x:c r="W112" s="9" t="n">
        <x:f>H112*Y111/(tun_ChildYears*4)</x:f>
        <x:v>0.9643290290961127</x:v>
      </x:c>
      <x:c r="X112" s="9" t="n">
        <x:f>H112*Z111/(tun_AdultYears*4)</x:f>
        <x:v>0.2559110011278498</x:v>
      </x:c>
      <x:c r="Y112" s="32" t="n">
        <x:f>Y111+R112-S112-W112-Y111*V112/AB111</x:f>
        <x:v>55.10126100451434</x:v>
      </x:c>
      <x:c r="Z112" s="32" t="n">
        <x:f>Z111+W112-X112-T112-Z111*V112/AB111</x:f>
        <x:v>32.34618327540208</x:v>
      </x:c>
      <x:c r="AA112" s="32" t="n">
        <x:f>AA111+X112-U112-AA111*V112/AB111</x:f>
        <x:v>7.946631366580987</x:v>
      </x:c>
      <x:c r="AB112" s="10" t="n">
        <x:f>Y112+Z112+AA112</x:f>
        <x:v>95.39407564649741</x:v>
      </x:c>
      <x:c r="AC112" s="8" t="n">
        <x:f>IF(AND(tun_WinterTrigger=1,D112=1,AB111/AE111&gt;=K112),1,0)</x:f>
        <x:v>0</x:v>
      </x:c>
      <x:c r="AD112" s="8" t="n">
        <x:f>H112*IF(AND(OR(AB111/AE111&gt;=tun_FissionTrigger*N112,AC112=1),AB111/AE111*tun_DaughterShare&gt;=tun_MinDaughter),MAX(1,ROUND(AE111*tun_FissionRate,0)),0)</x:f>
        <x:v>0</x:v>
      </x:c>
      <x:c r="AE112" s="8" t="n">
        <x:f>IF(H112=1,MAX(1,MIN(INDEX(tun_Smax,G112),AE111+AD112)),AE111)</x:f>
        <x:v>2</x:v>
      </x:c>
      <x:c r="AF112" s="8" t="n">
        <x:f>MAX(0,AE112-AE111)</x:f>
        <x:v>0</x:v>
      </x:c>
      <x:c r="AG112" s="9" t="str">
        <x:f>IF(AF112&gt;0,B112,"")</x:f>
      </x:c>
      <x:c r="AH112" s="9" t="n">
        <x:f>IF(F112&gt;=1,1,(1+tun_LowTiesShare*(AE112-1))/AE112)</x:f>
        <x:v>1</x:v>
      </x:c>
      <x:c r="AI112" s="32" t="n">
        <x:f>(Z112+tun_ElderCommons*INDEX(LM_Elder,G112)*AA112)*AH112</x:f>
        <x:v>56.18607737514505</x:v>
      </x:c>
      <x:c r="AJ112" s="32" t="n">
        <x:f>H112*tun_CommonsCoef*AI112^tun_CommonsExp*INDEX(LM_Commons,G112)</x:f>
        <x:v>162.11318133206936</x:v>
      </x:c>
      <x:c r="AK112" s="32" t="n">
        <x:f>H112*tun_RoleScale*Arch_Roles*(AE112*(INDEX(tun_ElderRolePerSett,G112)*tun_OutElder*INDEX(LM_Elder,G112)+INDEX(tun_ShamanPerSett,G112)*tun_OutShaman)+Z112*(INDEX(tun_PriestShare,G112)*tun_OutPriest+INDEX(tun_ScribeShare,G112)*tun_OutScribe*INDEX(LM_Scribe,G112)+INDEX(tun_ScholarShare,G112)*tun_OutScholar*INDEX(LM_Scholar,G112)+INDEX(tun_ResearcherShare,G112)*tun_OutResearcher*INDEX(LM_Researcher,G112)))</x:f>
        <x:v>48</x:v>
      </x:c>
      <x:c r="AL112" s="32" t="n">
        <x:f>H112*tun_RoleScale*Arch_Roles*AE112*INDEX(tun_MonasteryPerSett,G112)*tun_OutMonastery*INDEX(LM_Monastery,G112)</x:f>
        <x:v>0</x:v>
      </x:c>
      <x:c r="AM112" s="32" t="n">
        <x:f>(AJ112+AK112+AL112)/4*INDEX(LM_All,G112)*INDEX(tun_Boon,G112)*Arch_Insight</x:f>
        <x:v>55.18754028425134</x:v>
      </x:c>
      <x:c r="AN112" s="32" t="n">
        <x:f>H112*(tun_KHPerAdult*Z112+tun_KHOfCommons*AJ112/4*INDEX(LM_All,G112))*tun_KHUsable*Arch_KH</x:f>
        <x:v>9.929432356589247</x:v>
      </x:c>
      <x:c r="AO112" s="32" t="n">
        <x:f>MIN(AP111+AN112,AM112*tun_KHMaxRatio)</x:f>
        <x:v>9.929432356589247</x:v>
      </x:c>
      <x:c r="AP112" s="32" t="n">
        <x:f>AP111+AN112-AO112</x:f>
        <x:v>0</x:v>
      </x:c>
      <x:c r="AQ112" s="32" t="n">
        <x:f>AM112+AO112</x:f>
        <x:v>65.11697264084059</x:v>
      </x:c>
      <x:c r="AR112" s="10" t="n">
        <x:f>IF(H112=1,INDEX(tun_Req,G112),0)</x:f>
        <x:v>3321.0609999999997</x:v>
      </x:c>
      <x:c r="AS112" s="32" t="n">
        <x:f>IF(H112=1,IF(E112=1,AS111-AR111,AS111)+AQ112,0)</x:f>
        <x:v>2042.64955300055</x:v>
      </x:c>
      <x:c r="AT112" s="11" t="n">
        <x:f>IF(AR112&gt;0,MIN(1,AS112/AR112),1)</x:f>
        <x:v>0.6150593298348179</x:v>
      </x:c>
      <x:c r="AU112" s="10" t="n">
        <x:f>AB112/INDEX(tun_RepScale,G112)</x:f>
        <x:v>95.39407564649741</x:v>
      </x:c>
      <x:c r="AV112" s="32" t="n">
        <x:f>AM112*60/tun_SeasonSeconds</x:f>
        <x:v>220.75016113700536</x:v>
      </x:c>
    </x:row>
    <x:row r="113">
      <x:c r="A113" s="8" t="n">
        <x:f>A112+1</x:f>
        <x:v>110</x:v>
      </x:c>
      <x:c r="B113" s="9" t="n">
        <x:f>A113*tun_SeasonSeconds/60</x:f>
        <x:v>27.5</x:v>
      </x:c>
      <x:c r="C113" s="9" t="n">
        <x:f>A113/4</x:f>
        <x:v>27.5</x:v>
      </x:c>
      <x:c r="D113" s="8" t="n">
        <x:f>IF(MOD(A113,4)=0,1,0)</x:f>
        <x:v>0</x:v>
      </x:c>
      <x:c r="E113" s="8" t="n">
        <x:f>IF(AND(F112&lt;=9,AS112&gt;=AR112),1,0)</x:f>
        <x:v>0</x:v>
      </x:c>
      <x:c r="F113" s="8" t="n">
        <x:f>MIN(10,F112+E113)</x:f>
        <x:v>2</x:v>
      </x:c>
      <x:c r="G113" s="8" t="n">
        <x:f>MIN(F113,9)+1</x:f>
        <x:v>3</x:v>
      </x:c>
      <x:c r="H113" s="8" t="n">
        <x:f>IF(F113&lt;=9,1,0)</x:f>
        <x:v>1</x:v>
      </x:c>
      <x:c r="I113" s="9" t="n">
        <x:f>MIN(10,F112+IF(AR112&gt;0,MIN(1,AS112/AR112),1))</x:f>
        <x:v>2.6150593298348177</x:v>
      </x:c>
      <x:c r="J113" s="32" t="n">
        <x:f>INDEX(tun_FoodCap,G113)*Arch_FoodCap*EXP(tun_CapsByProject*SUMPRODUCT((Cap_Point&lt;=I113)*(Cap_Kind="Food")*Cap_Ln))</x:f>
        <x:v>75.98851969953422</x:v>
      </x:c>
      <x:c r="K113" s="32" t="n">
        <x:f>J113*MIN(1,tun_LeanBase*EXP(tun_CapsByProject*SUMPRODUCT((Cap_Point&lt;=I113)*(Cap_Kind="Lean")*Cap_Ln)))</x:f>
        <x:v>75.98851969953422</x:v>
      </x:c>
      <x:c r="L113" s="10" t="n">
        <x:f>INDEX(tun_HousingCap,G113)*EXP(tun_CapsByProject*SUMPRODUCT((Cap_Point&lt;=I113)*(Cap_Kind="Housing")*Cap_Ln))</x:f>
        <x:v>394.875</x:v>
      </x:c>
      <x:c r="M113" s="10" t="n">
        <x:f>INDEX(tun_GroupCap,G113)*tun_CohesionFactor*EXP(tun_CapsByProject*SUMPRODUCT((Cap_Point&lt;=I113)*(Cap_Kind="Group")*Cap_Ln))</x:f>
        <x:v>500.00000000000017</x:v>
      </x:c>
      <x:c r="N113" s="32" t="n">
        <x:f>MIN(J113,L113,M113)</x:f>
        <x:v>75.98851969953422</x:v>
      </x:c>
      <x:c r="O113" s="10" t="n">
        <x:f>AE112*N113</x:f>
        <x:v>151.97703939906845</x:v>
      </x:c>
      <x:c r="P113" s="9" t="n">
        <x:f>MIN(1,(AB112/(AE112*IF(tun_GroupInCrowding=1,N113,MIN(J113,L113))))^tun_CrowdingExp)</x:f>
        <x:v>0.061159023840473795</x:v>
      </x:c>
      <x:c r="Q113" s="9" t="n">
        <x:f>IF(D113=1,INDEX(tun_WinterMult,G113),1)</x:f>
        <x:v>1</x:v>
      </x:c>
      <x:c r="R113" s="9" t="n">
        <x:f>H113*Z112*tun_WomenShare*tun_BaseFertility*INDEX(tun_FertMult,G113)*Arch_Fertility*(1-P113)</x:f>
        <x:v>2.5660894327709847</x:v>
      </x:c>
      <x:c r="S113" s="9" t="n">
        <x:f>H113*Y112*INDEX(tun_MortChild,G113)/4*Q113</x:f>
        <x:v>0.48213603378950054</x:v>
      </x:c>
      <x:c r="T113" s="9" t="n">
        <x:f>H113*Z112*INDEX(tun_MortAdult,G113)*Arch_AdultMort/4*Q113</x:f>
        <x:v>0.09703854982620626</x:v>
      </x:c>
      <x:c r="U113" s="9" t="n">
        <x:f>H113*AA112*INDEX(tun_MortElder,G113)/4*Q113</x:f>
        <x:v>0.11323949697377907</x:v>
      </x:c>
      <x:c r="V113" s="9" t="n">
        <x:f>H113*MAX(0,AB112-O113)*tun_OvercapLoss</x:f>
        <x:v>0</x:v>
      </x:c>
      <x:c r="W113" s="9" t="n">
        <x:f>H113*Y112/(tun_ChildYears*4)</x:f>
        <x:v>0.9839510893663276</x:v>
      </x:c>
      <x:c r="X113" s="9" t="n">
        <x:f>H113*Z112/(tun_AdultYears*4)</x:f>
        <x:v>0.26085631673711357</x:v>
      </x:c>
      <x:c r="Y113" s="32" t="n">
        <x:f>Y112+R113-S113-W113-Y112*V113/AB112</x:f>
        <x:v>56.2012633141295</x:v>
      </x:c>
      <x:c r="Z113" s="32" t="n">
        <x:f>Z112+W113-X113-T113-Z112*V113/AB112</x:f>
        <x:v>32.97223949820509</x:v>
      </x:c>
      <x:c r="AA113" s="32" t="n">
        <x:f>AA112+X113-U113-AA112*V113/AB112</x:f>
        <x:v>8.094248186344322</x:v>
      </x:c>
      <x:c r="AB113" s="10" t="n">
        <x:f>Y113+Z113+AA113</x:f>
        <x:v>97.2677509986789</x:v>
      </x:c>
      <x:c r="AC113" s="8" t="n">
        <x:f>IF(AND(tun_WinterTrigger=1,D113=1,AB112/AE112&gt;=K113),1,0)</x:f>
        <x:v>0</x:v>
      </x:c>
      <x:c r="AD113" s="8" t="n">
        <x:f>H113*IF(AND(OR(AB112/AE112&gt;=tun_FissionTrigger*N113,AC113=1),AB112/AE112*tun_DaughterShare&gt;=tun_MinDaughter),MAX(1,ROUND(AE112*tun_FissionRate,0)),0)</x:f>
        <x:v>0</x:v>
      </x:c>
      <x:c r="AE113" s="8" t="n">
        <x:f>IF(H113=1,MAX(1,MIN(INDEX(tun_Smax,G113),AE112+AD113)),AE112)</x:f>
        <x:v>2</x:v>
      </x:c>
      <x:c r="AF113" s="8" t="n">
        <x:f>MAX(0,AE113-AE112)</x:f>
        <x:v>0</x:v>
      </x:c>
      <x:c r="AG113" s="9" t="str">
        <x:f>IF(AF113&gt;0,B113,"")</x:f>
      </x:c>
      <x:c r="AH113" s="9" t="n">
        <x:f>IF(F113&gt;=1,1,(1+tun_LowTiesShare*(AE113-1))/AE113)</x:f>
        <x:v>1</x:v>
      </x:c>
      <x:c r="AI113" s="32" t="n">
        <x:f>(Z113+tun_ElderCommons*INDEX(LM_Elder,G113)*AA113)*AH113</x:f>
        <x:v>57.254984057238055</x:v>
      </x:c>
      <x:c r="AJ113" s="32" t="n">
        <x:f>H113*tun_CommonsCoef*AI113^tun_CommonsExp*INDEX(LM_Commons,G113)</x:f>
        <x:v>164.730958683727</x:v>
      </x:c>
      <x:c r="AK113" s="32" t="n">
        <x:f>H113*tun_RoleScale*Arch_Roles*(AE113*(INDEX(tun_ElderRolePerSett,G113)*tun_OutElder*INDEX(LM_Elder,G113)+INDEX(tun_ShamanPerSett,G113)*tun_OutShaman)+Z113*(INDEX(tun_PriestShare,G113)*tun_OutPriest+INDEX(tun_ScribeShare,G113)*tun_OutScribe*INDEX(LM_Scribe,G113)+INDEX(tun_ScholarShare,G113)*tun_OutScholar*INDEX(LM_Scholar,G113)+INDEX(tun_ResearcherShare,G113)*tun_OutResearcher*INDEX(LM_Researcher,G113)))</x:f>
        <x:v>48</x:v>
      </x:c>
      <x:c r="AL113" s="32" t="n">
        <x:f>H113*tun_RoleScale*Arch_Roles*AE113*INDEX(tun_MonasteryPerSett,G113)*tun_OutMonastery*INDEX(LM_Monastery,G113)</x:f>
        <x:v>0</x:v>
      </x:c>
      <x:c r="AM113" s="32" t="n">
        <x:f>(AJ113+AK113+AL113)/4*INDEX(LM_All,G113)*INDEX(tun_Boon,G113)*Arch_Insight</x:f>
        <x:v>55.87511586677267</x:v>
      </x:c>
      <x:c r="AN113" s="32" t="n">
        <x:f>H113*(tun_KHPerAdult*Z113+tun_KHOfCommons*AJ113/4*INDEX(LM_All,G113))*tun_KHUsable*Arch_KH</x:f>
        <x:v>10.089771219378278</x:v>
      </x:c>
      <x:c r="AO113" s="32" t="n">
        <x:f>MIN(AP112+AN113,AM113*tun_KHMaxRatio)</x:f>
        <x:v>10.089771219378278</x:v>
      </x:c>
      <x:c r="AP113" s="32" t="n">
        <x:f>AP112+AN113-AO113</x:f>
        <x:v>0</x:v>
      </x:c>
      <x:c r="AQ113" s="32" t="n">
        <x:f>AM113+AO113</x:f>
        <x:v>65.96488708615095</x:v>
      </x:c>
      <x:c r="AR113" s="10" t="n">
        <x:f>IF(H113=1,INDEX(tun_Req,G113),0)</x:f>
        <x:v>3321.0609999999997</x:v>
      </x:c>
      <x:c r="AS113" s="32" t="n">
        <x:f>IF(H113=1,IF(E113=1,AS112-AR112,AS112)+AQ113,0)</x:f>
        <x:v>2108.614440086701</x:v>
      </x:c>
      <x:c r="AT113" s="11" t="n">
        <x:f>IF(AR113&gt;0,MIN(1,AS113/AR113),1)</x:f>
        <x:v>0.6349219240738732</x:v>
      </x:c>
      <x:c r="AU113" s="10" t="n">
        <x:f>AB113/INDEX(tun_RepScale,G113)</x:f>
        <x:v>97.2677509986789</x:v>
      </x:c>
      <x:c r="AV113" s="32" t="n">
        <x:f>AM113*60/tun_SeasonSeconds</x:f>
        <x:v>223.50046346709067</x:v>
      </x:c>
    </x:row>
    <x:row r="114">
      <x:c r="A114" s="8" t="n">
        <x:f>A113+1</x:f>
        <x:v>111</x:v>
      </x:c>
      <x:c r="B114" s="9" t="n">
        <x:f>A114*tun_SeasonSeconds/60</x:f>
        <x:v>27.75</x:v>
      </x:c>
      <x:c r="C114" s="9" t="n">
        <x:f>A114/4</x:f>
        <x:v>27.75</x:v>
      </x:c>
      <x:c r="D114" s="8" t="n">
        <x:f>IF(MOD(A114,4)=0,1,0)</x:f>
        <x:v>0</x:v>
      </x:c>
      <x:c r="E114" s="8" t="n">
        <x:f>IF(AND(F113&lt;=9,AS113&gt;=AR113),1,0)</x:f>
        <x:v>0</x:v>
      </x:c>
      <x:c r="F114" s="8" t="n">
        <x:f>MIN(10,F113+E114)</x:f>
        <x:v>2</x:v>
      </x:c>
      <x:c r="G114" s="8" t="n">
        <x:f>MIN(F114,9)+1</x:f>
        <x:v>3</x:v>
      </x:c>
      <x:c r="H114" s="8" t="n">
        <x:f>IF(F114&lt;=9,1,0)</x:f>
        <x:v>1</x:v>
      </x:c>
      <x:c r="I114" s="9" t="n">
        <x:f>MIN(10,F113+IF(AR113&gt;0,MIN(1,AS113/AR113),1))</x:f>
        <x:v>2.6349219240738733</x:v>
      </x:c>
      <x:c r="J114" s="32" t="n">
        <x:f>INDEX(tun_FoodCap,G114)*Arch_FoodCap*EXP(tun_CapsByProject*SUMPRODUCT((Cap_Point&lt;=I114)*(Cap_Kind="Food")*Cap_Ln))</x:f>
        <x:v>75.98851969953422</x:v>
      </x:c>
      <x:c r="K114" s="32" t="n">
        <x:f>J114*MIN(1,tun_LeanBase*EXP(tun_CapsByProject*SUMPRODUCT((Cap_Point&lt;=I114)*(Cap_Kind="Lean")*Cap_Ln)))</x:f>
        <x:v>75.98851969953422</x:v>
      </x:c>
      <x:c r="L114" s="10" t="n">
        <x:f>INDEX(tun_HousingCap,G114)*EXP(tun_CapsByProject*SUMPRODUCT((Cap_Point&lt;=I114)*(Cap_Kind="Housing")*Cap_Ln))</x:f>
        <x:v>394.875</x:v>
      </x:c>
      <x:c r="M114" s="10" t="n">
        <x:f>INDEX(tun_GroupCap,G114)*tun_CohesionFactor*EXP(tun_CapsByProject*SUMPRODUCT((Cap_Point&lt;=I114)*(Cap_Kind="Group")*Cap_Ln))</x:f>
        <x:v>500.00000000000017</x:v>
      </x:c>
      <x:c r="N114" s="32" t="n">
        <x:f>MIN(J114,L114,M114)</x:f>
        <x:v>75.98851969953422</x:v>
      </x:c>
      <x:c r="O114" s="10" t="n">
        <x:f>AE113*N114</x:f>
        <x:v>151.97703939906845</x:v>
      </x:c>
      <x:c r="P114" s="9" t="n">
        <x:f>MIN(1,(AB113/(AE113*IF(tun_GroupInCrowding=1,N114,MIN(J114,L114))))^tun_CrowdingExp)</x:f>
        <x:v>0.06872984529522341</x:v>
      </x:c>
      <x:c r="Q114" s="9" t="n">
        <x:f>IF(D114=1,INDEX(tun_WinterMult,G114),1)</x:f>
        <x:v>1</x:v>
      </x:c>
      <x:c r="R114" s="9" t="n">
        <x:f>H114*Z113*tun_WomenShare*tun_BaseFertility*INDEX(tun_FertMult,G114)*Arch_Fertility*(1-P114)</x:f>
        <x:v>2.594662287879566</x:v>
      </x:c>
      <x:c r="S114" s="9" t="n">
        <x:f>H114*Y113*INDEX(tun_MortChild,G114)/4*Q114</x:f>
        <x:v>0.4917610539986332</x:v>
      </x:c>
      <x:c r="T114" s="9" t="n">
        <x:f>H114*Z113*INDEX(tun_MortAdult,G114)*Arch_AdultMort/4*Q114</x:f>
        <x:v>0.09891671849461528</x:v>
      </x:c>
      <x:c r="U114" s="9" t="n">
        <x:f>H114*AA113*INDEX(tun_MortElder,G114)/4*Q114</x:f>
        <x:v>0.11534303665540659</x:v>
      </x:c>
      <x:c r="V114" s="9" t="n">
        <x:f>H114*MAX(0,AB113-O114)*tun_OvercapLoss</x:f>
        <x:v>0</x:v>
      </x:c>
      <x:c r="W114" s="9" t="n">
        <x:f>H114*Y113/(tun_ChildYears*4)</x:f>
        <x:v>1.0035939877523126</x:v>
      </x:c>
      <x:c r="X114" s="9" t="n">
        <x:f>H114*Z113/(tun_AdultYears*4)</x:f>
        <x:v>0.26590515724358943</x:v>
      </x:c>
      <x:c r="Y114" s="32" t="n">
        <x:f>Y113+R114-S114-W114-Y113*V114/AB113</x:f>
        <x:v>57.30057056025812</x:v>
      </x:c>
      <x:c r="Z114" s="32" t="n">
        <x:f>Z113+W114-X114-T114-Z113*V114/AB113</x:f>
        <x:v>33.6110116102192</x:v>
      </x:c>
      <x:c r="AA114" s="32" t="n">
        <x:f>AA113+X114-U114-AA113*V114/AB113</x:f>
        <x:v>8.244810306932504</x:v>
      </x:c>
      <x:c r="AB114" s="10" t="n">
        <x:f>Y114+Z114+AA114</x:f>
        <x:v>99.15639247740982</x:v>
      </x:c>
      <x:c r="AC114" s="8" t="n">
        <x:f>IF(AND(tun_WinterTrigger=1,D114=1,AB113/AE113&gt;=K114),1,0)</x:f>
        <x:v>0</x:v>
      </x:c>
      <x:c r="AD114" s="8" t="n">
        <x:f>H114*IF(AND(OR(AB113/AE113&gt;=tun_FissionTrigger*N114,AC114=1),AB113/AE113*tun_DaughterShare&gt;=tun_MinDaughter),MAX(1,ROUND(AE113*tun_FissionRate,0)),0)</x:f>
        <x:v>0</x:v>
      </x:c>
      <x:c r="AE114" s="8" t="n">
        <x:f>IF(H114=1,MAX(1,MIN(INDEX(tun_Smax,G114),AE113+AD114)),AE113)</x:f>
        <x:v>2</x:v>
      </x:c>
      <x:c r="AF114" s="8" t="n">
        <x:f>MAX(0,AE114-AE113)</x:f>
        <x:v>0</x:v>
      </x:c>
      <x:c r="AG114" s="9" t="str">
        <x:f>IF(AF114&gt;0,B114,"")</x:f>
      </x:c>
      <x:c r="AH114" s="9" t="n">
        <x:f>IF(F114&gt;=1,1,(1+tun_LowTiesShare*(AE114-1))/AE114)</x:f>
        <x:v>1</x:v>
      </x:c>
      <x:c r="AI114" s="32" t="n">
        <x:f>(Z114+tun_ElderCommons*INDEX(LM_Elder,G114)*AA114)*AH114</x:f>
        <x:v>58.345442531016715</x:v>
      </x:c>
      <x:c r="AJ114" s="32" t="n">
        <x:f>H114*tun_CommonsCoef*AI114^tun_CommonsExp*INDEX(LM_Commons,G114)</x:f>
        <x:v>167.39397406458826</x:v>
      </x:c>
      <x:c r="AK114" s="32" t="n">
        <x:f>H114*tun_RoleScale*Arch_Roles*(AE114*(INDEX(tun_ElderRolePerSett,G114)*tun_OutElder*INDEX(LM_Elder,G114)+INDEX(tun_ShamanPerSett,G114)*tun_OutShaman)+Z114*(INDEX(tun_PriestShare,G114)*tun_OutPriest+INDEX(tun_ScribeShare,G114)*tun_OutScribe*INDEX(LM_Scribe,G114)+INDEX(tun_ScholarShare,G114)*tun_OutScholar*INDEX(LM_Scholar,G114)+INDEX(tun_ResearcherShare,G114)*tun_OutResearcher*INDEX(LM_Researcher,G114)))</x:f>
        <x:v>48</x:v>
      </x:c>
      <x:c r="AL114" s="32" t="n">
        <x:f>H114*tun_RoleScale*Arch_Roles*AE114*INDEX(tun_MonasteryPerSett,G114)*tun_OutMonastery*INDEX(LM_Monastery,G114)</x:f>
        <x:v>0</x:v>
      </x:c>
      <x:c r="AM114" s="32" t="n">
        <x:f>(AJ114+AK114+AL114)/4*INDEX(LM_All,G114)*INDEX(tun_Boon,G114)*Arch_Insight</x:f>
        <x:v>56.574573500402</x:v>
      </x:c>
      <x:c r="AN114" s="32" t="n">
        <x:f>H114*(tun_KHPerAdult*Z114+tun_KHOfCommons*AJ114/4*INDEX(LM_All,G114))*tun_KHUsable*Arch_KH</x:f>
        <x:v>10.25288091145603</x:v>
      </x:c>
      <x:c r="AO114" s="32" t="n">
        <x:f>MIN(AP113+AN114,AM114*tun_KHMaxRatio)</x:f>
        <x:v>10.25288091145603</x:v>
      </x:c>
      <x:c r="AP114" s="32" t="n">
        <x:f>AP113+AN114-AO114</x:f>
        <x:v>0</x:v>
      </x:c>
      <x:c r="AQ114" s="32" t="n">
        <x:f>AM114+AO114</x:f>
        <x:v>66.82745441185803</x:v>
      </x:c>
      <x:c r="AR114" s="10" t="n">
        <x:f>IF(H114=1,INDEX(tun_Req,G114),0)</x:f>
        <x:v>3321.0609999999997</x:v>
      </x:c>
      <x:c r="AS114" s="32" t="n">
        <x:f>IF(H114=1,IF(E114=1,AS113-AR113,AS113)+AQ114,0)</x:f>
        <x:v>2175.441894498559</x:v>
      </x:c>
      <x:c r="AT114" s="11" t="n">
        <x:f>IF(AR114&gt;0,MIN(1,AS114/AR114),1)</x:f>
        <x:v>0.6550442447454471</x:v>
      </x:c>
      <x:c r="AU114" s="10" t="n">
        <x:f>AB114/INDEX(tun_RepScale,G114)</x:f>
        <x:v>99.15639247740982</x:v>
      </x:c>
      <x:c r="AV114" s="32" t="n">
        <x:f>AM114*60/tun_SeasonSeconds</x:f>
        <x:v>226.298294001608</x:v>
      </x:c>
    </x:row>
    <x:row r="115">
      <x:c r="A115" s="8" t="n">
        <x:f>A114+1</x:f>
        <x:v>112</x:v>
      </x:c>
      <x:c r="B115" s="9" t="n">
        <x:f>A115*tun_SeasonSeconds/60</x:f>
        <x:v>28</x:v>
      </x:c>
      <x:c r="C115" s="9" t="n">
        <x:f>A115/4</x:f>
        <x:v>28</x:v>
      </x:c>
      <x:c r="D115" s="8" t="n">
        <x:f>IF(MOD(A115,4)=0,1,0)</x:f>
        <x:v>1</x:v>
      </x:c>
      <x:c r="E115" s="8" t="n">
        <x:f>IF(AND(F114&lt;=9,AS114&gt;=AR114),1,0)</x:f>
        <x:v>0</x:v>
      </x:c>
      <x:c r="F115" s="8" t="n">
        <x:f>MIN(10,F114+E115)</x:f>
        <x:v>2</x:v>
      </x:c>
      <x:c r="G115" s="8" t="n">
        <x:f>MIN(F115,9)+1</x:f>
        <x:v>3</x:v>
      </x:c>
      <x:c r="H115" s="8" t="n">
        <x:f>IF(F115&lt;=9,1,0)</x:f>
        <x:v>1</x:v>
      </x:c>
      <x:c r="I115" s="9" t="n">
        <x:f>MIN(10,F114+IF(AR114&gt;0,MIN(1,AS114/AR114),1))</x:f>
        <x:v>2.655044244745447</x:v>
      </x:c>
      <x:c r="J115" s="32" t="n">
        <x:f>INDEX(tun_FoodCap,G115)*Arch_FoodCap*EXP(tun_CapsByProject*SUMPRODUCT((Cap_Point&lt;=I115)*(Cap_Kind="Food")*Cap_Ln))</x:f>
        <x:v>79.78794568451092</x:v>
      </x:c>
      <x:c r="K115" s="32" t="n">
        <x:f>J115*MIN(1,tun_LeanBase*EXP(tun_CapsByProject*SUMPRODUCT((Cap_Point&lt;=I115)*(Cap_Kind="Lean")*Cap_Ln)))</x:f>
        <x:v>79.78794568451092</x:v>
      </x:c>
      <x:c r="L115" s="10" t="n">
        <x:f>INDEX(tun_HousingCap,G115)*EXP(tun_CapsByProject*SUMPRODUCT((Cap_Point&lt;=I115)*(Cap_Kind="Housing")*Cap_Ln))</x:f>
        <x:v>394.875</x:v>
      </x:c>
      <x:c r="M115" s="10" t="n">
        <x:f>INDEX(tun_GroupCap,G115)*tun_CohesionFactor*EXP(tun_CapsByProject*SUMPRODUCT((Cap_Point&lt;=I115)*(Cap_Kind="Group")*Cap_Ln))</x:f>
        <x:v>500.00000000000017</x:v>
      </x:c>
      <x:c r="N115" s="32" t="n">
        <x:f>MIN(J115,L115,M115)</x:f>
        <x:v>79.78794568451092</x:v>
      </x:c>
      <x:c r="O115" s="10" t="n">
        <x:f>AE114*N115</x:f>
        <x:v>159.57589136902183</x:v>
      </x:c>
      <x:c r="P115" s="9" t="n">
        <x:f>MIN(1,(AB114/(AE114*IF(tun_GroupInCrowding=1,N115,MIN(J115,L115))))^tun_CrowdingExp)</x:f>
        <x:v>0.057559979791983434</x:v>
      </x:c>
      <x:c r="Q115" s="9" t="n">
        <x:f>IF(D115=1,INDEX(tun_WinterMult,G115),1)</x:f>
        <x:v>1.4</x:v>
      </x:c>
      <x:c r="R115" s="9" t="n">
        <x:f>H115*Z114*tun_WomenShare*tun_BaseFertility*INDEX(tun_FertMult,G115)*Arch_Fertility*(1-P115)</x:f>
        <x:v>2.67665262796691</x:v>
      </x:c>
      <x:c r="S115" s="9" t="n">
        <x:f>H115*Y114*INDEX(tun_MortChild,G115)/4*Q115</x:f>
        <x:v>0.701931989363162</x:v>
      </x:c>
      <x:c r="T115" s="9" t="n">
        <x:f>H115*Z114*INDEX(tun_MortAdult,G115)*Arch_AdultMort/4*Q115</x:f>
        <x:v>0.14116624876292064</x:v>
      </x:c>
      <x:c r="U115" s="9" t="n">
        <x:f>H115*AA114*INDEX(tun_MortElder,G115)/4*Q115</x:f>
        <x:v>0.16448396562330345</x:v>
      </x:c>
      <x:c r="V115" s="9" t="n">
        <x:f>H115*MAX(0,AB114-O115)*tun_OvercapLoss</x:f>
        <x:v>0</x:v>
      </x:c>
      <x:c r="W115" s="9" t="n">
        <x:f>H115*Y114/(tun_ChildYears*4)</x:f>
        <x:v>1.0232244742903236</x:v>
      </x:c>
      <x:c r="X115" s="9" t="n">
        <x:f>H115*Z114/(tun_AdultYears*4)</x:f>
        <x:v>0.2710565452437032</x:v>
      </x:c>
      <x:c r="Y115" s="32" t="n">
        <x:f>Y114+R115-S115-W115-Y114*V115/AB114</x:f>
        <x:v>58.25206672457155</x:v>
      </x:c>
      <x:c r="Z115" s="32" t="n">
        <x:f>Z114+W115-X115-T115-Z114*V115/AB114</x:f>
        <x:v>34.2220132905029</x:v>
      </x:c>
      <x:c r="AA115" s="32" t="n">
        <x:f>AA114+X115-U115-AA114*V115/AB114</x:f>
        <x:v>8.351382886552903</x:v>
      </x:c>
      <x:c r="AB115" s="10" t="n">
        <x:f>Y115+Z115+AA115</x:f>
        <x:v>100.82546290162735</x:v>
      </x:c>
      <x:c r="AC115" s="8" t="n">
        <x:f>IF(AND(tun_WinterTrigger=1,D115=1,AB114/AE114&gt;=K115),1,0)</x:f>
        <x:v>0</x:v>
      </x:c>
      <x:c r="AD115" s="8" t="n">
        <x:f>H115*IF(AND(OR(AB114/AE114&gt;=tun_FissionTrigger*N115,AC115=1),AB114/AE114*tun_DaughterShare&gt;=tun_MinDaughter),MAX(1,ROUND(AE114*tun_FissionRate,0)),0)</x:f>
        <x:v>0</x:v>
      </x:c>
      <x:c r="AE115" s="8" t="n">
        <x:f>IF(H115=1,MAX(1,MIN(INDEX(tun_Smax,G115),AE114+AD115)),AE114)</x:f>
        <x:v>2</x:v>
      </x:c>
      <x:c r="AF115" s="8" t="n">
        <x:f>MAX(0,AE115-AE114)</x:f>
        <x:v>0</x:v>
      </x:c>
      <x:c r="AG115" s="9" t="str">
        <x:f>IF(AF115&gt;0,B115,"")</x:f>
      </x:c>
      <x:c r="AH115" s="9" t="n">
        <x:f>IF(F115&gt;=1,1,(1+tun_LowTiesShare*(AE115-1))/AE115)</x:f>
        <x:v>1</x:v>
      </x:c>
      <x:c r="AI115" s="32" t="n">
        <x:f>(Z115+tun_ElderCommons*INDEX(LM_Elder,G115)*AA115)*AH115</x:f>
        <x:v>59.27616195016161</x:v>
      </x:c>
      <x:c r="AJ115" s="32" t="n">
        <x:f>H115*tun_CommonsCoef*AI115^tun_CommonsExp*INDEX(LM_Commons,G115)</x:f>
        <x:v>169.66098617379532</x:v>
      </x:c>
      <x:c r="AK115" s="32" t="n">
        <x:f>H115*tun_RoleScale*Arch_Roles*(AE115*(INDEX(tun_ElderRolePerSett,G115)*tun_OutElder*INDEX(LM_Elder,G115)+INDEX(tun_ShamanPerSett,G115)*tun_OutShaman)+Z115*(INDEX(tun_PriestShare,G115)*tun_OutPriest+INDEX(tun_ScribeShare,G115)*tun_OutScribe*INDEX(LM_Scribe,G115)+INDEX(tun_ScholarShare,G115)*tun_OutScholar*INDEX(LM_Scholar,G115)+INDEX(tun_ResearcherShare,G115)*tun_OutResearcher*INDEX(LM_Researcher,G115)))</x:f>
        <x:v>48</x:v>
      </x:c>
      <x:c r="AL115" s="32" t="n">
        <x:f>H115*tun_RoleScale*Arch_Roles*AE115*INDEX(tun_MonasteryPerSett,G115)*tun_OutMonastery*INDEX(LM_Monastery,G115)</x:f>
        <x:v>0</x:v>
      </x:c>
      <x:c r="AM115" s="32" t="n">
        <x:f>(AJ115+AK115+AL115)/4*INDEX(LM_All,G115)*INDEX(tun_Boon,G115)*Arch_Insight</x:f>
        <x:v>57.170018399710926</x:v>
      </x:c>
      <x:c r="AN115" s="32" t="n">
        <x:f>H115*(tun_KHPerAdult*Z115+tun_KHOfCommons*AJ115/4*INDEX(LM_All,G115))*tun_KHUsable*Arch_KH</x:f>
        <x:v>10.391735403144962</x:v>
      </x:c>
      <x:c r="AO115" s="32" t="n">
        <x:f>MIN(AP114+AN115,AM115*tun_KHMaxRatio)</x:f>
        <x:v>10.391735403144962</x:v>
      </x:c>
      <x:c r="AP115" s="32" t="n">
        <x:f>AP114+AN115-AO115</x:f>
        <x:v>0</x:v>
      </x:c>
      <x:c r="AQ115" s="32" t="n">
        <x:f>AM115+AO115</x:f>
        <x:v>67.56175380285589</x:v>
      </x:c>
      <x:c r="AR115" s="10" t="n">
        <x:f>IF(H115=1,INDEX(tun_Req,G115),0)</x:f>
        <x:v>3321.0609999999997</x:v>
      </x:c>
      <x:c r="AS115" s="32" t="n">
        <x:f>IF(H115=1,IF(E115=1,AS114-AR114,AS114)+AQ115,0)</x:f>
        <x:v>2243.003648301415</x:v>
      </x:c>
      <x:c r="AT115" s="11" t="n">
        <x:f>IF(AR115&gt;0,MIN(1,AS115/AR115),1)</x:f>
        <x:v>0.6753876692723847</x:v>
      </x:c>
      <x:c r="AU115" s="10" t="n">
        <x:f>AB115/INDEX(tun_RepScale,G115)</x:f>
        <x:v>100.82546290162735</x:v>
      </x:c>
      <x:c r="AV115" s="32" t="n">
        <x:f>AM115*60/tun_SeasonSeconds</x:f>
        <x:v>228.6800735988437</x:v>
      </x:c>
    </x:row>
    <x:row r="116">
      <x:c r="A116" s="8" t="n">
        <x:f>A115+1</x:f>
        <x:v>113</x:v>
      </x:c>
      <x:c r="B116" s="9" t="n">
        <x:f>A116*tun_SeasonSeconds/60</x:f>
        <x:v>28.25</x:v>
      </x:c>
      <x:c r="C116" s="9" t="n">
        <x:f>A116/4</x:f>
        <x:v>28.25</x:v>
      </x:c>
      <x:c r="D116" s="8" t="n">
        <x:f>IF(MOD(A116,4)=0,1,0)</x:f>
        <x:v>0</x:v>
      </x:c>
      <x:c r="E116" s="8" t="n">
        <x:f>IF(AND(F115&lt;=9,AS115&gt;=AR115),1,0)</x:f>
        <x:v>0</x:v>
      </x:c>
      <x:c r="F116" s="8" t="n">
        <x:f>MIN(10,F115+E116)</x:f>
        <x:v>2</x:v>
      </x:c>
      <x:c r="G116" s="8" t="n">
        <x:f>MIN(F116,9)+1</x:f>
        <x:v>3</x:v>
      </x:c>
      <x:c r="H116" s="8" t="n">
        <x:f>IF(F116&lt;=9,1,0)</x:f>
        <x:v>1</x:v>
      </x:c>
      <x:c r="I116" s="9" t="n">
        <x:f>MIN(10,F115+IF(AR115&gt;0,MIN(1,AS115/AR115),1))</x:f>
        <x:v>2.675387669272385</x:v>
      </x:c>
      <x:c r="J116" s="32" t="n">
        <x:f>INDEX(tun_FoodCap,G116)*Arch_FoodCap*EXP(tun_CapsByProject*SUMPRODUCT((Cap_Point&lt;=I116)*(Cap_Kind="Food")*Cap_Ln))</x:f>
        <x:v>79.78794568451092</x:v>
      </x:c>
      <x:c r="K116" s="32" t="n">
        <x:f>J116*MIN(1,tun_LeanBase*EXP(tun_CapsByProject*SUMPRODUCT((Cap_Point&lt;=I116)*(Cap_Kind="Lean")*Cap_Ln)))</x:f>
        <x:v>79.78794568451092</x:v>
      </x:c>
      <x:c r="L116" s="10" t="n">
        <x:f>INDEX(tun_HousingCap,G116)*EXP(tun_CapsByProject*SUMPRODUCT((Cap_Point&lt;=I116)*(Cap_Kind="Housing")*Cap_Ln))</x:f>
        <x:v>394.875</x:v>
      </x:c>
      <x:c r="M116" s="10" t="n">
        <x:f>INDEX(tun_GroupCap,G116)*tun_CohesionFactor*EXP(tun_CapsByProject*SUMPRODUCT((Cap_Point&lt;=I116)*(Cap_Kind="Group")*Cap_Ln))</x:f>
        <x:v>500.00000000000017</x:v>
      </x:c>
      <x:c r="N116" s="32" t="n">
        <x:f>MIN(J116,L116,M116)</x:f>
        <x:v>79.78794568451092</x:v>
      </x:c>
      <x:c r="O116" s="10" t="n">
        <x:f>AE115*N116</x:f>
        <x:v>159.57589136902183</x:v>
      </x:c>
      <x:c r="P116" s="9" t="n">
        <x:f>MIN(1,(AB115/(AE115*IF(tun_GroupInCrowding=1,N116,MIN(J116,L116))))^tun_CrowdingExp)</x:f>
        <x:v>0.06362351712966521</x:v>
      </x:c>
      <x:c r="Q116" s="9" t="n">
        <x:f>IF(D116=1,INDEX(tun_WinterMult,G116),1)</x:f>
        <x:v>1</x:v>
      </x:c>
      <x:c r="R116" s="9" t="n">
        <x:f>H116*Z115*tun_WomenShare*tun_BaseFertility*INDEX(tun_FertMult,G116)*Arch_Fertility*(1-P116)</x:f>
        <x:v>2.7077761733239</x:v>
      </x:c>
      <x:c r="S116" s="9" t="n">
        <x:f>H116*Y115*INDEX(tun_MortChild,G116)/4*Q116</x:f>
        <x:v>0.5097055838400011</x:v>
      </x:c>
      <x:c r="T116" s="9" t="n">
        <x:f>H116*Z115*INDEX(tun_MortAdult,G116)*Arch_AdultMort/4*Q116</x:f>
        <x:v>0.1026660398715087</x:v>
      </x:c>
      <x:c r="U116" s="9" t="n">
        <x:f>H116*AA115*INDEX(tun_MortElder,G116)/4*Q116</x:f>
        <x:v>0.11900720613337887</x:v>
      </x:c>
      <x:c r="V116" s="9" t="n">
        <x:f>H116*MAX(0,AB115-O116)*tun_OvercapLoss</x:f>
        <x:v>0</x:v>
      </x:c>
      <x:c r="W116" s="9" t="n">
        <x:f>H116*Y115/(tun_ChildYears*4)</x:f>
        <x:v>1.040215477224492</x:v>
      </x:c>
      <x:c r="X116" s="9" t="n">
        <x:f>H116*Z115/(tun_AdultYears*4)</x:f>
        <x:v>0.27598397814921694</x:v>
      </x:c>
      <x:c r="Y116" s="32" t="n">
        <x:f>Y115+R116-S116-W116-Y115*V116/AB115</x:f>
        <x:v>59.409921836830954</x:v>
      </x:c>
      <x:c r="Z116" s="32" t="n">
        <x:f>Z115+W116-X116-T116-Z115*V116/AB115</x:f>
        <x:v>34.883578749706665</x:v>
      </x:c>
      <x:c r="AA116" s="32" t="n">
        <x:f>AA115+X116-U116-AA115*V116/AB115</x:f>
        <x:v>8.508359658568741</x:v>
      </x:c>
      <x:c r="AB116" s="10" t="n">
        <x:f>Y116+Z116+AA116</x:f>
        <x:v>102.80186024510635</x:v>
      </x:c>
      <x:c r="AC116" s="8" t="n">
        <x:f>IF(AND(tun_WinterTrigger=1,D116=1,AB115/AE115&gt;=K116),1,0)</x:f>
        <x:v>0</x:v>
      </x:c>
      <x:c r="AD116" s="8" t="n">
        <x:f>H116*IF(AND(OR(AB115/AE115&gt;=tun_FissionTrigger*N116,AC116=1),AB115/AE115*tun_DaughterShare&gt;=tun_MinDaughter),MAX(1,ROUND(AE115*tun_FissionRate,0)),0)</x:f>
        <x:v>0</x:v>
      </x:c>
      <x:c r="AE116" s="8" t="n">
        <x:f>IF(H116=1,MAX(1,MIN(INDEX(tun_Smax,G116),AE115+AD116)),AE115)</x:f>
        <x:v>2</x:v>
      </x:c>
      <x:c r="AF116" s="8" t="n">
        <x:f>MAX(0,AE116-AE115)</x:f>
        <x:v>0</x:v>
      </x:c>
      <x:c r="AG116" s="9" t="str">
        <x:f>IF(AF116&gt;0,B116,"")</x:f>
      </x:c>
      <x:c r="AH116" s="9" t="n">
        <x:f>IF(F116&gt;=1,1,(1+tun_LowTiesShare*(AE116-1))/AE116)</x:f>
        <x:v>1</x:v>
      </x:c>
      <x:c r="AI116" s="32" t="n">
        <x:f>(Z116+tun_ElderCommons*INDEX(LM_Elder,G116)*AA116)*AH116</x:f>
        <x:v>60.40865772541289</x:v>
      </x:c>
      <x:c r="AJ116" s="32" t="n">
        <x:f>H116*tun_CommonsCoef*AI116^tun_CommonsExp*INDEX(LM_Commons,G116)</x:f>
        <x:v>172.41229407681385</x:v>
      </x:c>
      <x:c r="AK116" s="32" t="n">
        <x:f>H116*tun_RoleScale*Arch_Roles*(AE116*(INDEX(tun_ElderRolePerSett,G116)*tun_OutElder*INDEX(LM_Elder,G116)+INDEX(tun_ShamanPerSett,G116)*tun_OutShaman)+Z116*(INDEX(tun_PriestShare,G116)*tun_OutPriest+INDEX(tun_ScribeShare,G116)*tun_OutScribe*INDEX(LM_Scribe,G116)+INDEX(tun_ScholarShare,G116)*tun_OutScholar*INDEX(LM_Scholar,G116)+INDEX(tun_ResearcherShare,G116)*tun_OutResearcher*INDEX(LM_Researcher,G116)))</x:f>
        <x:v>48</x:v>
      </x:c>
      <x:c r="AL116" s="32" t="n">
        <x:f>H116*tun_RoleScale*Arch_Roles*AE116*INDEX(tun_MonasteryPerSett,G116)*tun_OutMonastery*INDEX(LM_Monastery,G116)</x:f>
        <x:v>0</x:v>
      </x:c>
      <x:c r="AM116" s="32" t="n">
        <x:f>(AJ116+AK116+AL116)/4*INDEX(LM_All,G116)*INDEX(tun_Boon,G116)*Arch_Insight</x:f>
        <x:v>57.89266661611313</x:v>
      </x:c>
      <x:c r="AN116" s="32" t="n">
        <x:f>H116*(tun_KHPerAdult*Z116+tun_KHOfCommons*AJ116/4*INDEX(LM_All,G116))*tun_KHUsable*Arch_KH</x:f>
        <x:v>10.560253012204846</x:v>
      </x:c>
      <x:c r="AO116" s="32" t="n">
        <x:f>MIN(AP115+AN116,AM116*tun_KHMaxRatio)</x:f>
        <x:v>10.560253012204846</x:v>
      </x:c>
      <x:c r="AP116" s="32" t="n">
        <x:f>AP115+AN116-AO116</x:f>
        <x:v>0</x:v>
      </x:c>
      <x:c r="AQ116" s="32" t="n">
        <x:f>AM116+AO116</x:f>
        <x:v>68.45291962831797</x:v>
      </x:c>
      <x:c r="AR116" s="10" t="n">
        <x:f>IF(H116=1,INDEX(tun_Req,G116),0)</x:f>
        <x:v>3321.0609999999997</x:v>
      </x:c>
      <x:c r="AS116" s="32" t="n">
        <x:f>IF(H116=1,IF(E116=1,AS115-AR115,AS115)+AQ116,0)</x:f>
        <x:v>2311.456567929733</x:v>
      </x:c>
      <x:c r="AT116" s="11" t="n">
        <x:f>IF(AR116&gt;0,MIN(1,AS116/AR116),1)</x:f>
        <x:v>0.6959994314858213</x:v>
      </x:c>
      <x:c r="AU116" s="10" t="n">
        <x:f>AB116/INDEX(tun_RepScale,G116)</x:f>
        <x:v>102.80186024510635</x:v>
      </x:c>
      <x:c r="AV116" s="32" t="n">
        <x:f>AM116*60/tun_SeasonSeconds</x:f>
        <x:v>231.57066646445253</x:v>
      </x:c>
    </x:row>
    <x:row r="117">
      <x:c r="A117" s="8" t="n">
        <x:f>A116+1</x:f>
        <x:v>114</x:v>
      </x:c>
      <x:c r="B117" s="9" t="n">
        <x:f>A117*tun_SeasonSeconds/60</x:f>
        <x:v>28.5</x:v>
      </x:c>
      <x:c r="C117" s="9" t="n">
        <x:f>A117/4</x:f>
        <x:v>28.5</x:v>
      </x:c>
      <x:c r="D117" s="8" t="n">
        <x:f>IF(MOD(A117,4)=0,1,0)</x:f>
        <x:v>0</x:v>
      </x:c>
      <x:c r="E117" s="8" t="n">
        <x:f>IF(AND(F116&lt;=9,AS116&gt;=AR116),1,0)</x:f>
        <x:v>0</x:v>
      </x:c>
      <x:c r="F117" s="8" t="n">
        <x:f>MIN(10,F116+E117)</x:f>
        <x:v>2</x:v>
      </x:c>
      <x:c r="G117" s="8" t="n">
        <x:f>MIN(F117,9)+1</x:f>
        <x:v>3</x:v>
      </x:c>
      <x:c r="H117" s="8" t="n">
        <x:f>IF(F117&lt;=9,1,0)</x:f>
        <x:v>1</x:v>
      </x:c>
      <x:c r="I117" s="9" t="n">
        <x:f>MIN(10,F116+IF(AR116&gt;0,MIN(1,AS116/AR116),1))</x:f>
        <x:v>2.6959994314858213</x:v>
      </x:c>
      <x:c r="J117" s="32" t="n">
        <x:f>INDEX(tun_FoodCap,G117)*Arch_FoodCap*EXP(tun_CapsByProject*SUMPRODUCT((Cap_Point&lt;=I117)*(Cap_Kind="Food")*Cap_Ln))</x:f>
        <x:v>79.78794568451092</x:v>
      </x:c>
      <x:c r="K117" s="32" t="n">
        <x:f>J117*MIN(1,tun_LeanBase*EXP(tun_CapsByProject*SUMPRODUCT((Cap_Point&lt;=I117)*(Cap_Kind="Lean")*Cap_Ln)))</x:f>
        <x:v>79.78794568451092</x:v>
      </x:c>
      <x:c r="L117" s="10" t="n">
        <x:f>INDEX(tun_HousingCap,G117)*EXP(tun_CapsByProject*SUMPRODUCT((Cap_Point&lt;=I117)*(Cap_Kind="Housing")*Cap_Ln))</x:f>
        <x:v>394.875</x:v>
      </x:c>
      <x:c r="M117" s="10" t="n">
        <x:f>INDEX(tun_GroupCap,G117)*tun_CohesionFactor*EXP(tun_CapsByProject*SUMPRODUCT((Cap_Point&lt;=I117)*(Cap_Kind="Group")*Cap_Ln))</x:f>
        <x:v>500.00000000000017</x:v>
      </x:c>
      <x:c r="N117" s="32" t="n">
        <x:f>MIN(J117,L117,M117)</x:f>
        <x:v>79.78794568451092</x:v>
      </x:c>
      <x:c r="O117" s="10" t="n">
        <x:f>AE116*N117</x:f>
        <x:v>159.57589136902183</x:v>
      </x:c>
      <x:c r="P117" s="9" t="n">
        <x:f>MIN(1,(AB116/(AE116*IF(tun_GroupInCrowding=1,N117,MIN(J117,L117))))^tun_CrowdingExp)</x:f>
        <x:v>0.07148290059783718</x:v>
      </x:c>
      <x:c r="Q117" s="9" t="n">
        <x:f>IF(D117=1,INDEX(tun_WinterMult,G117),1)</x:f>
        <x:v>1</x:v>
      </x:c>
      <x:c r="R117" s="9" t="n">
        <x:f>H117*Z116*tun_WomenShare*tun_BaseFertility*INDEX(tun_FertMult,G117)*Arch_Fertility*(1-P117)</x:f>
        <x:v>2.736954945704065</x:v>
      </x:c>
      <x:c r="S117" s="9" t="n">
        <x:f>H117*Y116*INDEX(tun_MortChild,G117)/4*Q117</x:f>
        <x:v>0.519836816072271</x:v>
      </x:c>
      <x:c r="T117" s="9" t="n">
        <x:f>H117*Z116*INDEX(tun_MortAdult,G117)*Arch_AdultMort/4*Q117</x:f>
        <x:v>0.10465073624912</x:v>
      </x:c>
      <x:c r="U117" s="9" t="n">
        <x:f>H117*AA116*INDEX(tun_MortElder,G117)/4*Q117</x:f>
        <x:v>0.12124412513460457</x:v>
      </x:c>
      <x:c r="V117" s="9" t="n">
        <x:f>H117*MAX(0,AB116-O117)*tun_OvercapLoss</x:f>
        <x:v>0</x:v>
      </x:c>
      <x:c r="W117" s="9" t="n">
        <x:f>H117*Y116/(tun_ChildYears*4)</x:f>
        <x:v>1.0608914613719813</x:v>
      </x:c>
      <x:c r="X117" s="9" t="n">
        <x:f>H117*Z116/(tun_AdultYears*4)</x:f>
        <x:v>0.2813191834653763</x:v>
      </x:c>
      <x:c r="Y117" s="32" t="n">
        <x:f>Y116+R117-S117-W117-Y116*V117/AB116</x:f>
        <x:v>60.566148505090766</x:v>
      </x:c>
      <x:c r="Z117" s="32" t="n">
        <x:f>Z116+W117-X117-T117-Z116*V117/AB116</x:f>
        <x:v>35.55850029136415</x:v>
      </x:c>
      <x:c r="AA117" s="32" t="n">
        <x:f>AA116+X117-U117-AA116*V117/AB116</x:f>
        <x:v>8.668434716899514</x:v>
      </x:c>
      <x:c r="AB117" s="10" t="n">
        <x:f>Y117+Z117+AA117</x:f>
        <x:v>104.79308351335443</x:v>
      </x:c>
      <x:c r="AC117" s="8" t="n">
        <x:f>IF(AND(tun_WinterTrigger=1,D117=1,AB116/AE116&gt;=K117),1,0)</x:f>
        <x:v>0</x:v>
      </x:c>
      <x:c r="AD117" s="8" t="n">
        <x:f>H117*IF(AND(OR(AB116/AE116&gt;=tun_FissionTrigger*N117,AC117=1),AB116/AE116*tun_DaughterShare&gt;=tun_MinDaughter),MAX(1,ROUND(AE116*tun_FissionRate,0)),0)</x:f>
        <x:v>0</x:v>
      </x:c>
      <x:c r="AE117" s="8" t="n">
        <x:f>IF(H117=1,MAX(1,MIN(INDEX(tun_Smax,G117),AE116+AD117)),AE116)</x:f>
        <x:v>2</x:v>
      </x:c>
      <x:c r="AF117" s="8" t="n">
        <x:f>MAX(0,AE117-AE116)</x:f>
        <x:v>0</x:v>
      </x:c>
      <x:c r="AG117" s="9" t="str">
        <x:f>IF(AF117&gt;0,B117,"")</x:f>
      </x:c>
      <x:c r="AH117" s="9" t="n">
        <x:f>IF(F117&gt;=1,1,(1+tun_LowTiesShare*(AE117-1))/AE117)</x:f>
        <x:v>1</x:v>
      </x:c>
      <x:c r="AI117" s="32" t="n">
        <x:f>(Z117+tun_ElderCommons*INDEX(LM_Elder,G117)*AA117)*AH117</x:f>
        <x:v>61.56380444206269</x:v>
      </x:c>
      <x:c r="AJ117" s="32" t="n">
        <x:f>H117*tun_CommonsCoef*AI117^tun_CommonsExp*INDEX(LM_Commons,G117)</x:f>
        <x:v>175.210671877575</x:v>
      </x:c>
      <x:c r="AK117" s="32" t="n">
        <x:f>H117*tun_RoleScale*Arch_Roles*(AE117*(INDEX(tun_ElderRolePerSett,G117)*tun_OutElder*INDEX(LM_Elder,G117)+INDEX(tun_ShamanPerSett,G117)*tun_OutShaman)+Z117*(INDEX(tun_PriestShare,G117)*tun_OutPriest+INDEX(tun_ScribeShare,G117)*tun_OutScribe*INDEX(LM_Scribe,G117)+INDEX(tun_ScholarShare,G117)*tun_OutScholar*INDEX(LM_Scholar,G117)+INDEX(tun_ResearcherShare,G117)*tun_OutResearcher*INDEX(LM_Researcher,G117)))</x:f>
        <x:v>48</x:v>
      </x:c>
      <x:c r="AL117" s="32" t="n">
        <x:f>H117*tun_RoleScale*Arch_Roles*AE117*INDEX(tun_MonasteryPerSett,G117)*tun_OutMonastery*INDEX(LM_Monastery,G117)</x:f>
        <x:v>0</x:v>
      </x:c>
      <x:c r="AM117" s="32" t="n">
        <x:f>(AJ117+AK117+AL117)/4*INDEX(LM_All,G117)*INDEX(tun_Boon,G117)*Arch_Insight</x:f>
        <x:v>58.62767803534431</x:v>
      </x:c>
      <x:c r="AN117" s="32" t="n">
        <x:f>H117*(tun_KHPerAdult*Z117+tun_KHOfCommons*AJ117/4*INDEX(LM_All,G117))*tun_KHUsable*Arch_KH</x:f>
        <x:v>10.731653652501468</x:v>
      </x:c>
      <x:c r="AO117" s="32" t="n">
        <x:f>MIN(AP116+AN117,AM117*tun_KHMaxRatio)</x:f>
        <x:v>10.731653652501468</x:v>
      </x:c>
      <x:c r="AP117" s="32" t="n">
        <x:f>AP116+AN117-AO117</x:f>
        <x:v>0</x:v>
      </x:c>
      <x:c r="AQ117" s="32" t="n">
        <x:f>AM117+AO117</x:f>
        <x:v>69.35933168784578</x:v>
      </x:c>
      <x:c r="AR117" s="10" t="n">
        <x:f>IF(H117=1,INDEX(tun_Req,G117),0)</x:f>
        <x:v>3321.0609999999997</x:v>
      </x:c>
      <x:c r="AS117" s="32" t="n">
        <x:f>IF(H117=1,IF(E117=1,AS116-AR116,AS116)+AQ117,0)</x:f>
        <x:v>2380.815899617579</x:v>
      </x:c>
      <x:c r="AT117" s="11" t="n">
        <x:f>IF(AR117&gt;0,MIN(1,AS117/AR117),1)</x:f>
        <x:v>0.7168841221578222</x:v>
      </x:c>
      <x:c r="AU117" s="10" t="n">
        <x:f>AB117/INDEX(tun_RepScale,G117)</x:f>
        <x:v>104.79308351335443</x:v>
      </x:c>
      <x:c r="AV117" s="32" t="n">
        <x:f>AM117*60/tun_SeasonSeconds</x:f>
        <x:v>234.51071214137724</x:v>
      </x:c>
    </x:row>
    <x:row r="118">
      <x:c r="A118" s="8" t="n">
        <x:f>A117+1</x:f>
        <x:v>115</x:v>
      </x:c>
      <x:c r="B118" s="9" t="n">
        <x:f>A118*tun_SeasonSeconds/60</x:f>
        <x:v>28.75</x:v>
      </x:c>
      <x:c r="C118" s="9" t="n">
        <x:f>A118/4</x:f>
        <x:v>28.75</x:v>
      </x:c>
      <x:c r="D118" s="8" t="n">
        <x:f>IF(MOD(A118,4)=0,1,0)</x:f>
        <x:v>0</x:v>
      </x:c>
      <x:c r="E118" s="8" t="n">
        <x:f>IF(AND(F117&lt;=9,AS117&gt;=AR117),1,0)</x:f>
        <x:v>0</x:v>
      </x:c>
      <x:c r="F118" s="8" t="n">
        <x:f>MIN(10,F117+E118)</x:f>
        <x:v>2</x:v>
      </x:c>
      <x:c r="G118" s="8" t="n">
        <x:f>MIN(F118,9)+1</x:f>
        <x:v>3</x:v>
      </x:c>
      <x:c r="H118" s="8" t="n">
        <x:f>IF(F118&lt;=9,1,0)</x:f>
        <x:v>1</x:v>
      </x:c>
      <x:c r="I118" s="9" t="n">
        <x:f>MIN(10,F117+IF(AR117&gt;0,MIN(1,AS117/AR117),1))</x:f>
        <x:v>2.716884122157822</x:v>
      </x:c>
      <x:c r="J118" s="32" t="n">
        <x:f>INDEX(tun_FoodCap,G118)*Arch_FoodCap*EXP(tun_CapsByProject*SUMPRODUCT((Cap_Point&lt;=I118)*(Cap_Kind="Food")*Cap_Ln))</x:f>
        <x:v>85.51034591559758</x:v>
      </x:c>
      <x:c r="K118" s="32" t="n">
        <x:f>J118*MIN(1,tun_LeanBase*EXP(tun_CapsByProject*SUMPRODUCT((Cap_Point&lt;=I118)*(Cap_Kind="Lean")*Cap_Ln)))</x:f>
        <x:v>85.51034591559758</x:v>
      </x:c>
      <x:c r="L118" s="10" t="n">
        <x:f>INDEX(tun_HousingCap,G118)*EXP(tun_CapsByProject*SUMPRODUCT((Cap_Point&lt;=I118)*(Cap_Kind="Housing")*Cap_Ln))</x:f>
        <x:v>394.875</x:v>
      </x:c>
      <x:c r="M118" s="10" t="n">
        <x:f>INDEX(tun_GroupCap,G118)*tun_CohesionFactor*EXP(tun_CapsByProject*SUMPRODUCT((Cap_Point&lt;=I118)*(Cap_Kind="Group")*Cap_Ln))</x:f>
        <x:v>500.00000000000017</x:v>
      </x:c>
      <x:c r="N118" s="32" t="n">
        <x:f>MIN(J118,L118,M118)</x:f>
        <x:v>85.51034591559758</x:v>
      </x:c>
      <x:c r="O118" s="10" t="n">
        <x:f>AE117*N118</x:f>
        <x:v>171.02069183119517</x:v>
      </x:c>
      <x:c r="P118" s="9" t="n">
        <x:f>MIN(1,(AB117/(AE117*IF(tun_GroupInCrowding=1,N118,MIN(J118,L118))))^tun_CrowdingExp)</x:f>
        <x:v>0.052930227866730045</x:v>
      </x:c>
      <x:c r="Q118" s="9" t="n">
        <x:f>IF(D118=1,INDEX(tun_WinterMult,G118),1)</x:f>
        <x:v>1</x:v>
      </x:c>
      <x:c r="R118" s="9" t="n">
        <x:f>H118*Z117*tun_WomenShare*tun_BaseFertility*INDEX(tun_FertMult,G118)*Arch_Fertility*(1-P118)</x:f>
        <x:v>2.845654174924989</x:v>
      </x:c>
      <x:c r="S118" s="9" t="n">
        <x:f>H118*Y117*INDEX(tun_MortChild,G118)/4*Q118</x:f>
        <x:v>0.5299537994195442</x:v>
      </x:c>
      <x:c r="T118" s="9" t="n">
        <x:f>H118*Z117*INDEX(tun_MortAdult,G118)*Arch_AdultMort/4*Q118</x:f>
        <x:v>0.10667550087409244</x:v>
      </x:c>
      <x:c r="U118" s="9" t="n">
        <x:f>H118*AA117*INDEX(tun_MortElder,G118)/4*Q118</x:f>
        <x:v>0.12352519471581808</x:v>
      </x:c>
      <x:c r="V118" s="9" t="n">
        <x:f>H118*MAX(0,AB117-O118)*tun_OvercapLoss</x:f>
        <x:v>0</x:v>
      </x:c>
      <x:c r="W118" s="9" t="n">
        <x:f>H118*Y117/(tun_ChildYears*4)</x:f>
        <x:v>1.081538366162335</x:v>
      </x:c>
      <x:c r="X118" s="9" t="n">
        <x:f>H118*Z117/(tun_AdultYears*4)</x:f>
        <x:v>0.28676209912390443</x:v>
      </x:c>
      <x:c r="Y118" s="32" t="n">
        <x:f>Y117+R118-S118-W118-Y117*V118/AB117</x:f>
        <x:v>61.800310514433875</x:v>
      </x:c>
      <x:c r="Z118" s="32" t="n">
        <x:f>Z117+W118-X118-T118-Z117*V118/AB117</x:f>
        <x:v>36.24660105752849</x:v>
      </x:c>
      <x:c r="AA118" s="32" t="n">
        <x:f>AA117+X118-U118-AA117*V118/AB117</x:f>
        <x:v>8.831671621307601</x:v>
      </x:c>
      <x:c r="AB118" s="10" t="n">
        <x:f>Y118+Z118+AA118</x:f>
        <x:v>106.87858319326998</x:v>
      </x:c>
      <x:c r="AC118" s="8" t="n">
        <x:f>IF(AND(tun_WinterTrigger=1,D118=1,AB117/AE117&gt;=K118),1,0)</x:f>
        <x:v>0</x:v>
      </x:c>
      <x:c r="AD118" s="8" t="n">
        <x:f>H118*IF(AND(OR(AB117/AE117&gt;=tun_FissionTrigger*N118,AC118=1),AB117/AE117*tun_DaughterShare&gt;=tun_MinDaughter),MAX(1,ROUND(AE117*tun_FissionRate,0)),0)</x:f>
        <x:v>0</x:v>
      </x:c>
      <x:c r="AE118" s="8" t="n">
        <x:f>IF(H118=1,MAX(1,MIN(INDEX(tun_Smax,G118),AE117+AD118)),AE117)</x:f>
        <x:v>2</x:v>
      </x:c>
      <x:c r="AF118" s="8" t="n">
        <x:f>MAX(0,AE118-AE117)</x:f>
        <x:v>0</x:v>
      </x:c>
      <x:c r="AG118" s="9" t="str">
        <x:f>IF(AF118&gt;0,B118,"")</x:f>
      </x:c>
      <x:c r="AH118" s="9" t="n">
        <x:f>IF(F118&gt;=1,1,(1+tun_LowTiesShare*(AE118-1))/AE118)</x:f>
        <x:v>1</x:v>
      </x:c>
      <x:c r="AI118" s="32" t="n">
        <x:f>(Z118+tun_ElderCommons*INDEX(LM_Elder,G118)*AA118)*AH118</x:f>
        <x:v>62.74161592145129</x:v>
      </x:c>
      <x:c r="AJ118" s="32" t="n">
        <x:f>H118*tun_CommonsCoef*AI118^tun_CommonsExp*INDEX(LM_Commons,G118)</x:f>
        <x:v>178.05585839100428</x:v>
      </x:c>
      <x:c r="AK118" s="32" t="n">
        <x:f>H118*tun_RoleScale*Arch_Roles*(AE118*(INDEX(tun_ElderRolePerSett,G118)*tun_OutElder*INDEX(LM_Elder,G118)+INDEX(tun_ShamanPerSett,G118)*tun_OutShaman)+Z118*(INDEX(tun_PriestShare,G118)*tun_OutPriest+INDEX(tun_ScribeShare,G118)*tun_OutScribe*INDEX(LM_Scribe,G118)+INDEX(tun_ScholarShare,G118)*tun_OutScholar*INDEX(LM_Scholar,G118)+INDEX(tun_ResearcherShare,G118)*tun_OutResearcher*INDEX(LM_Researcher,G118)))</x:f>
        <x:v>48</x:v>
      </x:c>
      <x:c r="AL118" s="32" t="n">
        <x:f>H118*tun_RoleScale*Arch_Roles*AE118*INDEX(tun_MonasteryPerSett,G118)*tun_OutMonastery*INDEX(LM_Monastery,G118)</x:f>
        <x:v>0</x:v>
      </x:c>
      <x:c r="AM118" s="32" t="n">
        <x:f>(AJ118+AK118+AL118)/4*INDEX(LM_All,G118)*INDEX(tun_Boon,G118)*Arch_Insight</x:f>
        <x:v>59.374984055512215</x:v>
      </x:c>
      <x:c r="AN118" s="32" t="n">
        <x:f>H118*(tun_KHPerAdult*Z118+tun_KHOfCommons*AJ118/4*INDEX(LM_All,G118))*tun_KHUsable*Arch_KH</x:f>
        <x:v>10.905921326449011</x:v>
      </x:c>
      <x:c r="AO118" s="32" t="n">
        <x:f>MIN(AP117+AN118,AM118*tun_KHMaxRatio)</x:f>
        <x:v>10.905921326449011</x:v>
      </x:c>
      <x:c r="AP118" s="32" t="n">
        <x:f>AP117+AN118-AO118</x:f>
        <x:v>0</x:v>
      </x:c>
      <x:c r="AQ118" s="32" t="n">
        <x:f>AM118+AO118</x:f>
        <x:v>70.28090538196122</x:v>
      </x:c>
      <x:c r="AR118" s="10" t="n">
        <x:f>IF(H118=1,INDEX(tun_Req,G118),0)</x:f>
        <x:v>3321.0609999999997</x:v>
      </x:c>
      <x:c r="AS118" s="32" t="n">
        <x:f>IF(H118=1,IF(E118=1,AS117-AR117,AS117)+AQ118,0)</x:f>
        <x:v>2451.09680499954</x:v>
      </x:c>
      <x:c r="AT118" s="11" t="n">
        <x:f>IF(AR118&gt;0,MIN(1,AS118/AR118),1)</x:f>
        <x:v>0.7380463065868228</x:v>
      </x:c>
      <x:c r="AU118" s="10" t="n">
        <x:f>AB118/INDEX(tun_RepScale,G118)</x:f>
        <x:v>106.87858319326998</x:v>
      </x:c>
      <x:c r="AV118" s="32" t="n">
        <x:f>AM118*60/tun_SeasonSeconds</x:f>
        <x:v>237.49993622204886</x:v>
      </x:c>
    </x:row>
    <x:row r="119">
      <x:c r="A119" s="8" t="n">
        <x:f>A118+1</x:f>
        <x:v>116</x:v>
      </x:c>
      <x:c r="B119" s="9" t="n">
        <x:f>A119*tun_SeasonSeconds/60</x:f>
        <x:v>29</x:v>
      </x:c>
      <x:c r="C119" s="9" t="n">
        <x:f>A119/4</x:f>
        <x:v>29</x:v>
      </x:c>
      <x:c r="D119" s="8" t="n">
        <x:f>IF(MOD(A119,4)=0,1,0)</x:f>
        <x:v>1</x:v>
      </x:c>
      <x:c r="E119" s="8" t="n">
        <x:f>IF(AND(F118&lt;=9,AS118&gt;=AR118),1,0)</x:f>
        <x:v>0</x:v>
      </x:c>
      <x:c r="F119" s="8" t="n">
        <x:f>MIN(10,F118+E119)</x:f>
        <x:v>2</x:v>
      </x:c>
      <x:c r="G119" s="8" t="n">
        <x:f>MIN(F119,9)+1</x:f>
        <x:v>3</x:v>
      </x:c>
      <x:c r="H119" s="8" t="n">
        <x:f>IF(F119&lt;=9,1,0)</x:f>
        <x:v>1</x:v>
      </x:c>
      <x:c r="I119" s="9" t="n">
        <x:f>MIN(10,F118+IF(AR118&gt;0,MIN(1,AS118/AR118),1))</x:f>
        <x:v>2.738046306586823</x:v>
      </x:c>
      <x:c r="J119" s="32" t="n">
        <x:f>INDEX(tun_FoodCap,G119)*Arch_FoodCap*EXP(tun_CapsByProject*SUMPRODUCT((Cap_Point&lt;=I119)*(Cap_Kind="Food")*Cap_Ln))</x:f>
        <x:v>85.51034591559758</x:v>
      </x:c>
      <x:c r="K119" s="32" t="n">
        <x:f>J119*MIN(1,tun_LeanBase*EXP(tun_CapsByProject*SUMPRODUCT((Cap_Point&lt;=I119)*(Cap_Kind="Lean")*Cap_Ln)))</x:f>
        <x:v>85.51034591559758</x:v>
      </x:c>
      <x:c r="L119" s="10" t="n">
        <x:f>INDEX(tun_HousingCap,G119)*EXP(tun_CapsByProject*SUMPRODUCT((Cap_Point&lt;=I119)*(Cap_Kind="Housing")*Cap_Ln))</x:f>
        <x:v>394.875</x:v>
      </x:c>
      <x:c r="M119" s="10" t="n">
        <x:f>INDEX(tun_GroupCap,G119)*tun_CohesionFactor*EXP(tun_CapsByProject*SUMPRODUCT((Cap_Point&lt;=I119)*(Cap_Kind="Group")*Cap_Ln))</x:f>
        <x:v>500.00000000000017</x:v>
      </x:c>
      <x:c r="N119" s="32" t="n">
        <x:f>MIN(J119,L119,M119)</x:f>
        <x:v>85.51034591559758</x:v>
      </x:c>
      <x:c r="O119" s="10" t="n">
        <x:f>AE118*N119</x:f>
        <x:v>171.02069183119517</x:v>
      </x:c>
      <x:c r="P119" s="9" t="n">
        <x:f>MIN(1,(AB118/(AE118*IF(tun_GroupInCrowding=1,N119,MIN(J119,L119))))^tun_CrowdingExp)</x:f>
        <x:v>0.0595733708626703</x:v>
      </x:c>
      <x:c r="Q119" s="9" t="n">
        <x:f>IF(D119=1,INDEX(tun_WinterMult,G119),1)</x:f>
        <x:v>1.4</x:v>
      </x:c>
      <x:c r="R119" s="9" t="n">
        <x:f>H119*Z118*tun_WomenShare*tun_BaseFertility*INDEX(tun_FertMult,G119)*Arch_Fertility*(1-P119)</x:f>
        <x:v>2.880374217843344</x:v>
      </x:c>
      <x:c r="S119" s="9" t="n">
        <x:f>H119*Y118*INDEX(tun_MortChild,G119)/4*Q119</x:f>
        <x:v>0.757053803801815</x:v>
      </x:c>
      <x:c r="T119" s="9" t="n">
        <x:f>H119*Z118*INDEX(tun_MortAdult,G119)*Arch_AdultMort/4*Q119</x:f>
        <x:v>0.15223572444161965</x:v>
      </x:c>
      <x:c r="U119" s="9" t="n">
        <x:f>H119*AA118*INDEX(tun_MortElder,G119)/4*Q119</x:f>
        <x:v>0.17619184884508665</x:v>
      </x:c>
      <x:c r="V119" s="9" t="n">
        <x:f>H119*MAX(0,AB118-O119)*tun_OvercapLoss</x:f>
        <x:v>0</x:v>
      </x:c>
      <x:c r="W119" s="9" t="n">
        <x:f>H119*Y118/(tun_ChildYears*4)</x:f>
        <x:v>1.1035769734720335</x:v>
      </x:c>
      <x:c r="X119" s="9" t="n">
        <x:f>H119*Z118/(tun_AdultYears*4)</x:f>
        <x:v>0.2923112988510362</x:v>
      </x:c>
      <x:c r="Y119" s="32" t="n">
        <x:f>Y118+R119-S119-W119-Y118*V119/AB118</x:f>
        <x:v>62.82005395500337</x:v>
      </x:c>
      <x:c r="Z119" s="32" t="n">
        <x:f>Z118+W119-X119-T119-Z118*V119/AB118</x:f>
        <x:v>36.90563100770786</x:v>
      </x:c>
      <x:c r="AA119" s="32" t="n">
        <x:f>AA118+X119-U119-AA118*V119/AB118</x:f>
        <x:v>8.947791071313551</x:v>
      </x:c>
      <x:c r="AB119" s="10" t="n">
        <x:f>Y119+Z119+AA119</x:f>
        <x:v>108.67347603402477</x:v>
      </x:c>
      <x:c r="AC119" s="8" t="n">
        <x:f>IF(AND(tun_WinterTrigger=1,D119=1,AB118/AE118&gt;=K119),1,0)</x:f>
        <x:v>0</x:v>
      </x:c>
      <x:c r="AD119" s="8" t="n">
        <x:f>H119*IF(AND(OR(AB118/AE118&gt;=tun_FissionTrigger*N119,AC119=1),AB118/AE118*tun_DaughterShare&gt;=tun_MinDaughter),MAX(1,ROUND(AE118*tun_FissionRate,0)),0)</x:f>
        <x:v>0</x:v>
      </x:c>
      <x:c r="AE119" s="8" t="n">
        <x:f>IF(H119=1,MAX(1,MIN(INDEX(tun_Smax,G119),AE118+AD119)),AE118)</x:f>
        <x:v>2</x:v>
      </x:c>
      <x:c r="AF119" s="8" t="n">
        <x:f>MAX(0,AE119-AE118)</x:f>
        <x:v>0</x:v>
      </x:c>
      <x:c r="AG119" s="9" t="str">
        <x:f>IF(AF119&gt;0,B119,"")</x:f>
      </x:c>
      <x:c r="AH119" s="9" t="n">
        <x:f>IF(F119&gt;=1,1,(1+tun_LowTiesShare*(AE119-1))/AE119)</x:f>
        <x:v>1</x:v>
      </x:c>
      <x:c r="AI119" s="32" t="n">
        <x:f>(Z119+tun_ElderCommons*INDEX(LM_Elder,G119)*AA119)*AH119</x:f>
        <x:v>63.74900422164851</x:v>
      </x:c>
      <x:c r="AJ119" s="32" t="n">
        <x:f>H119*tun_CommonsCoef*AI119^tun_CommonsExp*INDEX(LM_Commons,G119)</x:f>
        <x:v>180.4830065859283</x:v>
      </x:c>
      <x:c r="AK119" s="32" t="n">
        <x:f>H119*tun_RoleScale*Arch_Roles*(AE119*(INDEX(tun_ElderRolePerSett,G119)*tun_OutElder*INDEX(LM_Elder,G119)+INDEX(tun_ShamanPerSett,G119)*tun_OutShaman)+Z119*(INDEX(tun_PriestShare,G119)*tun_OutPriest+INDEX(tun_ScribeShare,G119)*tun_OutScribe*INDEX(LM_Scribe,G119)+INDEX(tun_ScholarShare,G119)*tun_OutScholar*INDEX(LM_Scholar,G119)+INDEX(tun_ResearcherShare,G119)*tun_OutResearcher*INDEX(LM_Researcher,G119)))</x:f>
        <x:v>48</x:v>
      </x:c>
      <x:c r="AL119" s="32" t="n">
        <x:f>H119*tun_RoleScale*Arch_Roles*AE119*INDEX(tun_MonasteryPerSett,G119)*tun_OutMonastery*INDEX(LM_Monastery,G119)</x:f>
        <x:v>0</x:v>
      </x:c>
      <x:c r="AM119" s="32" t="n">
        <x:f>(AJ119+AK119+AL119)/4*INDEX(LM_All,G119)*INDEX(tun_Boon,G119)*Arch_Insight</x:f>
        <x:v>60.01248969858523</x:v>
      </x:c>
      <x:c r="AN119" s="32" t="n">
        <x:f>H119*(tun_KHPerAdult*Z119+tun_KHOfCommons*AJ119/4*INDEX(LM_All,G119))*tun_KHUsable*Arch_KH</x:f>
        <x:v>11.054584153388108</x:v>
      </x:c>
      <x:c r="AO119" s="32" t="n">
        <x:f>MIN(AP118+AN119,AM119*tun_KHMaxRatio)</x:f>
        <x:v>11.054584153388108</x:v>
      </x:c>
      <x:c r="AP119" s="32" t="n">
        <x:f>AP118+AN119-AO119</x:f>
        <x:v>0</x:v>
      </x:c>
      <x:c r="AQ119" s="32" t="n">
        <x:f>AM119+AO119</x:f>
        <x:v>71.06707385197333</x:v>
      </x:c>
      <x:c r="AR119" s="10" t="n">
        <x:f>IF(H119=1,INDEX(tun_Req,G119),0)</x:f>
        <x:v>3321.0609999999997</x:v>
      </x:c>
      <x:c r="AS119" s="32" t="n">
        <x:f>IF(H119=1,IF(E119=1,AS118-AR118,AS118)+AQ119,0)</x:f>
        <x:v>2522.1638788515133</x:v>
      </x:c>
      <x:c r="AT119" s="11" t="n">
        <x:f>IF(AR119&gt;0,MIN(1,AS119/AR119),1)</x:f>
        <x:v>0.7594452130965115</x:v>
      </x:c>
      <x:c r="AU119" s="10" t="n">
        <x:f>AB119/INDEX(tun_RepScale,G119)</x:f>
        <x:v>108.67347603402477</x:v>
      </x:c>
      <x:c r="AV119" s="32" t="n">
        <x:f>AM119*60/tun_SeasonSeconds</x:f>
        <x:v>240.0499587943409</x:v>
      </x:c>
    </x:row>
    <x:row r="120">
      <x:c r="A120" s="8" t="n">
        <x:f>A119+1</x:f>
        <x:v>117</x:v>
      </x:c>
      <x:c r="B120" s="9" t="n">
        <x:f>A120*tun_SeasonSeconds/60</x:f>
        <x:v>29.25</x:v>
      </x:c>
      <x:c r="C120" s="9" t="n">
        <x:f>A120/4</x:f>
        <x:v>29.25</x:v>
      </x:c>
      <x:c r="D120" s="8" t="n">
        <x:f>IF(MOD(A120,4)=0,1,0)</x:f>
        <x:v>0</x:v>
      </x:c>
      <x:c r="E120" s="8" t="n">
        <x:f>IF(AND(F119&lt;=9,AS119&gt;=AR119),1,0)</x:f>
        <x:v>0</x:v>
      </x:c>
      <x:c r="F120" s="8" t="n">
        <x:f>MIN(10,F119+E120)</x:f>
        <x:v>2</x:v>
      </x:c>
      <x:c r="G120" s="8" t="n">
        <x:f>MIN(F120,9)+1</x:f>
        <x:v>3</x:v>
      </x:c>
      <x:c r="H120" s="8" t="n">
        <x:f>IF(F120&lt;=9,1,0)</x:f>
        <x:v>1</x:v>
      </x:c>
      <x:c r="I120" s="9" t="n">
        <x:f>MIN(10,F119+IF(AR119&gt;0,MIN(1,AS119/AR119),1))</x:f>
        <x:v>2.7594452130965115</x:v>
      </x:c>
      <x:c r="J120" s="32" t="n">
        <x:f>INDEX(tun_FoodCap,G120)*Arch_FoodCap*EXP(tun_CapsByProject*SUMPRODUCT((Cap_Point&lt;=I120)*(Cap_Kind="Food")*Cap_Ln))</x:f>
        <x:v>88.18366924681426</x:v>
      </x:c>
      <x:c r="K120" s="32" t="n">
        <x:f>J120*MIN(1,tun_LeanBase*EXP(tun_CapsByProject*SUMPRODUCT((Cap_Point&lt;=I120)*(Cap_Kind="Lean")*Cap_Ln)))</x:f>
        <x:v>88.18366924681426</x:v>
      </x:c>
      <x:c r="L120" s="10" t="n">
        <x:f>INDEX(tun_HousingCap,G120)*EXP(tun_CapsByProject*SUMPRODUCT((Cap_Point&lt;=I120)*(Cap_Kind="Housing")*Cap_Ln))</x:f>
        <x:v>394.875</x:v>
      </x:c>
      <x:c r="M120" s="10" t="n">
        <x:f>INDEX(tun_GroupCap,G120)*tun_CohesionFactor*EXP(tun_CapsByProject*SUMPRODUCT((Cap_Point&lt;=I120)*(Cap_Kind="Group")*Cap_Ln))</x:f>
        <x:v>500.00000000000017</x:v>
      </x:c>
      <x:c r="N120" s="32" t="n">
        <x:f>MIN(J120,L120,M120)</x:f>
        <x:v>88.18366924681426</x:v>
      </x:c>
      <x:c r="O120" s="10" t="n">
        <x:f>AE119*N120</x:f>
        <x:v>176.36733849362852</x:v>
      </x:c>
      <x:c r="P120" s="9" t="n">
        <x:f>MIN(1,(AB119/(AE119*IF(tun_GroupInCrowding=1,N120,MIN(J120,L120))))^tun_CrowdingExp)</x:f>
        <x:v>0.054730874186987806</x:v>
      </x:c>
      <x:c r="Q120" s="9" t="n">
        <x:f>IF(D120=1,INDEX(tun_WinterMult,G120),1)</x:f>
        <x:v>1</x:v>
      </x:c>
      <x:c r="R120" s="9" t="n">
        <x:f>H120*Z119*tun_WomenShare*tun_BaseFertility*INDEX(tun_FertMult,G120)*Arch_Fertility*(1-P120)</x:f>
        <x:v>2.94784617583974</x:v>
      </x:c>
      <x:c r="S120" s="9" t="n">
        <x:f>H120*Y119*INDEX(tun_MortChild,G120)/4*Q120</x:f>
        <x:v>0.5496754721062795</x:v>
      </x:c>
      <x:c r="T120" s="9" t="n">
        <x:f>H120*Z119*INDEX(tun_MortAdult,G120)*Arch_AdultMort/4*Q120</x:f>
        <x:v>0.11071689302312358</x:v>
      </x:c>
      <x:c r="U120" s="9" t="n">
        <x:f>H120*AA119*INDEX(tun_MortElder,G120)/4*Q120</x:f>
        <x:v>0.1275060227662181</x:v>
      </x:c>
      <x:c r="V120" s="9" t="n">
        <x:f>H120*MAX(0,AB119-O120)*tun_OvercapLoss</x:f>
        <x:v>0</x:v>
      </x:c>
      <x:c r="W120" s="9" t="n">
        <x:f>H120*Y119/(tun_ChildYears*4)</x:f>
        <x:v>1.1217866777679173</x:v>
      </x:c>
      <x:c r="X120" s="9" t="n">
        <x:f>H120*Z119/(tun_AdultYears*4)</x:f>
        <x:v>0.29762605651377305</x:v>
      </x:c>
      <x:c r="Y120" s="32" t="n">
        <x:f>Y119+R120-S120-W120-Y119*V120/AB119</x:f>
        <x:v>64.09643798096891</x:v>
      </x:c>
      <x:c r="Z120" s="32" t="n">
        <x:f>Z119+W120-X120-T120-Z119*V120/AB119</x:f>
        <x:v>37.61907473593888</x:v>
      </x:c>
      <x:c r="AA120" s="32" t="n">
        <x:f>AA119+X120-U120-AA119*V120/AB119</x:f>
        <x:v>9.117911105061106</x:v>
      </x:c>
      <x:c r="AB120" s="10" t="n">
        <x:f>Y120+Z120+AA120</x:f>
        <x:v>110.8334238219689</x:v>
      </x:c>
      <x:c r="AC120" s="8" t="n">
        <x:f>IF(AND(tun_WinterTrigger=1,D120=1,AB119/AE119&gt;=K120),1,0)</x:f>
        <x:v>0</x:v>
      </x:c>
      <x:c r="AD120" s="8" t="n">
        <x:f>H120*IF(AND(OR(AB119/AE119&gt;=tun_FissionTrigger*N120,AC120=1),AB119/AE119*tun_DaughterShare&gt;=tun_MinDaughter),MAX(1,ROUND(AE119*tun_FissionRate,0)),0)</x:f>
        <x:v>0</x:v>
      </x:c>
      <x:c r="AE120" s="8" t="n">
        <x:f>IF(H120=1,MAX(1,MIN(INDEX(tun_Smax,G120),AE119+AD120)),AE119)</x:f>
        <x:v>2</x:v>
      </x:c>
      <x:c r="AF120" s="8" t="n">
        <x:f>MAX(0,AE120-AE119)</x:f>
        <x:v>0</x:v>
      </x:c>
      <x:c r="AG120" s="9" t="str">
        <x:f>IF(AF120&gt;0,B120,"")</x:f>
      </x:c>
      <x:c r="AH120" s="9" t="n">
        <x:f>IF(F120&gt;=1,1,(1+tun_LowTiesShare*(AE120-1))/AE120)</x:f>
        <x:v>1</x:v>
      </x:c>
      <x:c r="AI120" s="32" t="n">
        <x:f>(Z120+tun_ElderCommons*INDEX(LM_Elder,G120)*AA120)*AH120</x:f>
        <x:v>64.9728080511222</x:v>
      </x:c>
      <x:c r="AJ120" s="32" t="n">
        <x:f>H120*tun_CommonsCoef*AI120^tun_CommonsExp*INDEX(LM_Commons,G120)</x:f>
        <x:v>183.42385380040892</x:v>
      </x:c>
      <x:c r="AK120" s="32" t="n">
        <x:f>H120*tun_RoleScale*Arch_Roles*(AE120*(INDEX(tun_ElderRolePerSett,G120)*tun_OutElder*INDEX(LM_Elder,G120)+INDEX(tun_ShamanPerSett,G120)*tun_OutShaman)+Z120*(INDEX(tun_PriestShare,G120)*tun_OutPriest+INDEX(tun_ScribeShare,G120)*tun_OutScribe*INDEX(LM_Scribe,G120)+INDEX(tun_ScholarShare,G120)*tun_OutScholar*INDEX(LM_Scholar,G120)+INDEX(tun_ResearcherShare,G120)*tun_OutResearcher*INDEX(LM_Researcher,G120)))</x:f>
        <x:v>48</x:v>
      </x:c>
      <x:c r="AL120" s="32" t="n">
        <x:f>H120*tun_RoleScale*Arch_Roles*AE120*INDEX(tun_MonasteryPerSett,G120)*tun_OutMonastery*INDEX(LM_Monastery,G120)</x:f>
        <x:v>0</x:v>
      </x:c>
      <x:c r="AM120" s="32" t="n">
        <x:f>(AJ120+AK120+AL120)/4*INDEX(LM_All,G120)*INDEX(tun_Boon,G120)*Arch_Insight</x:f>
        <x:v>60.78492159976365</x:v>
      </x:c>
      <x:c r="AN120" s="32" t="n">
        <x:f>H120*(tun_KHPerAdult*Z120+tun_KHOfCommons*AJ120/4*INDEX(LM_All,G120))*tun_KHUsable*Arch_KH</x:f>
        <x:v>11.234711045275045</x:v>
      </x:c>
      <x:c r="AO120" s="32" t="n">
        <x:f>MIN(AP119+AN120,AM120*tun_KHMaxRatio)</x:f>
        <x:v>11.234711045275045</x:v>
      </x:c>
      <x:c r="AP120" s="32" t="n">
        <x:f>AP119+AN120-AO120</x:f>
        <x:v>0</x:v>
      </x:c>
      <x:c r="AQ120" s="32" t="n">
        <x:f>AM120+AO120</x:f>
        <x:v>72.0196326450387</x:v>
      </x:c>
      <x:c r="AR120" s="10" t="n">
        <x:f>IF(H120=1,INDEX(tun_Req,G120),0)</x:f>
        <x:v>3321.0609999999997</x:v>
      </x:c>
      <x:c r="AS120" s="32" t="n">
        <x:f>IF(H120=1,IF(E120=1,AS119-AR119,AS119)+AQ120,0)</x:f>
        <x:v>2594.183511496552</x:v>
      </x:c>
      <x:c r="AT120" s="11" t="n">
        <x:f>IF(AR120&gt;0,MIN(1,AS120/AR120),1)</x:f>
        <x:v>0.7811309432427024</x:v>
      </x:c>
      <x:c r="AU120" s="10" t="n">
        <x:f>AB120/INDEX(tun_RepScale,G120)</x:f>
        <x:v>110.8334238219689</x:v>
      </x:c>
      <x:c r="AV120" s="32" t="n">
        <x:f>AM120*60/tun_SeasonSeconds</x:f>
        <x:v>243.1396863990546</x:v>
      </x:c>
    </x:row>
    <x:row r="121">
      <x:c r="A121" s="8" t="n">
        <x:f>A120+1</x:f>
        <x:v>118</x:v>
      </x:c>
      <x:c r="B121" s="9" t="n">
        <x:f>A121*tun_SeasonSeconds/60</x:f>
        <x:v>29.5</x:v>
      </x:c>
      <x:c r="C121" s="9" t="n">
        <x:f>A121/4</x:f>
        <x:v>29.5</x:v>
      </x:c>
      <x:c r="D121" s="8" t="n">
        <x:f>IF(MOD(A121,4)=0,1,0)</x:f>
        <x:v>0</x:v>
      </x:c>
      <x:c r="E121" s="8" t="n">
        <x:f>IF(AND(F120&lt;=9,AS120&gt;=AR120),1,0)</x:f>
        <x:v>0</x:v>
      </x:c>
      <x:c r="F121" s="8" t="n">
        <x:f>MIN(10,F120+E121)</x:f>
        <x:v>2</x:v>
      </x:c>
      <x:c r="G121" s="8" t="n">
        <x:f>MIN(F121,9)+1</x:f>
        <x:v>3</x:v>
      </x:c>
      <x:c r="H121" s="8" t="n">
        <x:f>IF(F121&lt;=9,1,0)</x:f>
        <x:v>1</x:v>
      </x:c>
      <x:c r="I121" s="9" t="n">
        <x:f>MIN(10,F120+IF(AR120&gt;0,MIN(1,AS120/AR120),1))</x:f>
        <x:v>2.7811309432427023</x:v>
      </x:c>
      <x:c r="J121" s="32" t="n">
        <x:f>INDEX(tun_FoodCap,G121)*Arch_FoodCap*EXP(tun_CapsByProject*SUMPRODUCT((Cap_Point&lt;=I121)*(Cap_Kind="Food")*Cap_Ln))</x:f>
        <x:v>88.18366924681426</x:v>
      </x:c>
      <x:c r="K121" s="32" t="n">
        <x:f>J121*MIN(1,tun_LeanBase*EXP(tun_CapsByProject*SUMPRODUCT((Cap_Point&lt;=I121)*(Cap_Kind="Lean")*Cap_Ln)))</x:f>
        <x:v>88.18366924681426</x:v>
      </x:c>
      <x:c r="L121" s="10" t="n">
        <x:f>INDEX(tun_HousingCap,G121)*EXP(tun_CapsByProject*SUMPRODUCT((Cap_Point&lt;=I121)*(Cap_Kind="Housing")*Cap_Ln))</x:f>
        <x:v>394.875</x:v>
      </x:c>
      <x:c r="M121" s="10" t="n">
        <x:f>INDEX(tun_GroupCap,G121)*tun_CohesionFactor*EXP(tun_CapsByProject*SUMPRODUCT((Cap_Point&lt;=I121)*(Cap_Kind="Group")*Cap_Ln))</x:f>
        <x:v>500.00000000000017</x:v>
      </x:c>
      <x:c r="N121" s="32" t="n">
        <x:f>MIN(J121,L121,M121)</x:f>
        <x:v>88.18366924681426</x:v>
      </x:c>
      <x:c r="O121" s="10" t="n">
        <x:f>AE120*N121</x:f>
        <x:v>176.36733849362852</x:v>
      </x:c>
      <x:c r="P121" s="9" t="n">
        <x:f>MIN(1,(AB120/(AE120*IF(tun_GroupInCrowding=1,N121,MIN(J121,L121))))^tun_CrowdingExp)</x:f>
        <x:v>0.06159075531337826</x:v>
      </x:c>
      <x:c r="Q121" s="9" t="n">
        <x:f>IF(D121=1,INDEX(tun_WinterMult,G121),1)</x:f>
        <x:v>1</x:v>
      </x:c>
      <x:c r="R121" s="9" t="n">
        <x:f>H121*Z120*tun_WomenShare*tun_BaseFertility*INDEX(tun_FertMult,G121)*Arch_Fertility*(1-P121)</x:f>
        <x:v>2.9830263944903876</x:v>
      </x:c>
      <x:c r="S121" s="9" t="n">
        <x:f>H121*Y120*INDEX(tun_MortChild,G121)/4*Q121</x:f>
        <x:v>0.560843832333478</x:v>
      </x:c>
      <x:c r="T121" s="9" t="n">
        <x:f>H121*Z120*INDEX(tun_MortAdult,G121)*Arch_AdultMort/4*Q121</x:f>
        <x:v>0.11285722420781664</x:v>
      </x:c>
      <x:c r="U121" s="9" t="n">
        <x:f>H121*AA120*INDEX(tun_MortElder,G121)/4*Q121</x:f>
        <x:v>0.12993023324712077</x:v>
      </x:c>
      <x:c r="V121" s="9" t="n">
        <x:f>H121*MAX(0,AB120-O121)*tun_OvercapLoss</x:f>
        <x:v>0</x:v>
      </x:c>
      <x:c r="W121" s="9" t="n">
        <x:f>H121*Y120/(tun_ChildYears*4)</x:f>
        <x:v>1.1445792496601592</x:v>
      </x:c>
      <x:c r="X121" s="9" t="n">
        <x:f>H121*Z120/(tun_AdultYears*4)</x:f>
        <x:v>0.303379634967249</x:v>
      </x:c>
      <x:c r="Y121" s="32" t="n">
        <x:f>Y120+R121-S121-W121-Y120*V121/AB120</x:f>
        <x:v>65.37404129346568</x:v>
      </x:c>
      <x:c r="Z121" s="32" t="n">
        <x:f>Z120+W121-X121-T121-Z120*V121/AB120</x:f>
        <x:v>38.34741712642398</x:v>
      </x:c>
      <x:c r="AA121" s="32" t="n">
        <x:f>AA120+X121-U121-AA120*V121/AB120</x:f>
        <x:v>9.291360506781233</x:v>
      </x:c>
      <x:c r="AB121" s="10" t="n">
        <x:f>Y121+Z121+AA121</x:f>
        <x:v>113.01281892667089</x:v>
      </x:c>
      <x:c r="AC121" s="8" t="n">
        <x:f>IF(AND(tun_WinterTrigger=1,D121=1,AB120/AE120&gt;=K121),1,0)</x:f>
        <x:v>0</x:v>
      </x:c>
      <x:c r="AD121" s="8" t="n">
        <x:f>H121*IF(AND(OR(AB120/AE120&gt;=tun_FissionTrigger*N121,AC121=1),AB120/AE120*tun_DaughterShare&gt;=tun_MinDaughter),MAX(1,ROUND(AE120*tun_FissionRate,0)),0)</x:f>
        <x:v>0</x:v>
      </x:c>
      <x:c r="AE121" s="8" t="n">
        <x:f>IF(H121=1,MAX(1,MIN(INDEX(tun_Smax,G121),AE120+AD121)),AE120)</x:f>
        <x:v>2</x:v>
      </x:c>
      <x:c r="AF121" s="8" t="n">
        <x:f>MAX(0,AE121-AE120)</x:f>
        <x:v>0</x:v>
      </x:c>
      <x:c r="AG121" s="9" t="str">
        <x:f>IF(AF121&gt;0,B121,"")</x:f>
      </x:c>
      <x:c r="AH121" s="9" t="n">
        <x:f>IF(F121&gt;=1,1,(1+tun_LowTiesShare*(AE121-1))/AE121)</x:f>
        <x:v>1</x:v>
      </x:c>
      <x:c r="AI121" s="32" t="n">
        <x:f>(Z121+tun_ElderCommons*INDEX(LM_Elder,G121)*AA121)*AH121</x:f>
        <x:v>66.22149864676769</x:v>
      </x:c>
      <x:c r="AJ121" s="32" t="n">
        <x:f>H121*tun_CommonsCoef*AI121^tun_CommonsExp*INDEX(LM_Commons,G121)</x:f>
        <x:v>186.41595357419493</x:v>
      </x:c>
      <x:c r="AK121" s="32" t="n">
        <x:f>H121*tun_RoleScale*Arch_Roles*(AE121*(INDEX(tun_ElderRolePerSett,G121)*tun_OutElder*INDEX(LM_Elder,G121)+INDEX(tun_ShamanPerSett,G121)*tun_OutShaman)+Z121*(INDEX(tun_PriestShare,G121)*tun_OutPriest+INDEX(tun_ScribeShare,G121)*tun_OutScribe*INDEX(LM_Scribe,G121)+INDEX(tun_ScholarShare,G121)*tun_OutScholar*INDEX(LM_Scholar,G121)+INDEX(tun_ResearcherShare,G121)*tun_OutResearcher*INDEX(LM_Researcher,G121)))</x:f>
        <x:v>48</x:v>
      </x:c>
      <x:c r="AL121" s="32" t="n">
        <x:f>H121*tun_RoleScale*Arch_Roles*AE121*INDEX(tun_MonasteryPerSett,G121)*tun_OutMonastery*INDEX(LM_Monastery,G121)</x:f>
        <x:v>0</x:v>
      </x:c>
      <x:c r="AM121" s="32" t="n">
        <x:f>(AJ121+AK121+AL121)/4*INDEX(LM_All,G121)*INDEX(tun_Boon,G121)*Arch_Insight</x:f>
        <x:v>61.57081530597213</x:v>
      </x:c>
      <x:c r="AN121" s="32" t="n">
        <x:f>H121*(tun_KHPerAdult*Z121+tun_KHOfCommons*AJ121/4*INDEX(LM_All,G121))*tun_KHUsable*Arch_KH</x:f>
        <x:v>11.417977156419438</x:v>
      </x:c>
      <x:c r="AO121" s="32" t="n">
        <x:f>MIN(AP120+AN121,AM121*tun_KHMaxRatio)</x:f>
        <x:v>11.417977156419438</x:v>
      </x:c>
      <x:c r="AP121" s="32" t="n">
        <x:f>AP120+AN121-AO121</x:f>
        <x:v>0</x:v>
      </x:c>
      <x:c r="AQ121" s="32" t="n">
        <x:f>AM121+AO121</x:f>
        <x:v>72.98879246239157</x:v>
      </x:c>
      <x:c r="AR121" s="10" t="n">
        <x:f>IF(H121=1,INDEX(tun_Req,G121),0)</x:f>
        <x:v>3321.0609999999997</x:v>
      </x:c>
      <x:c r="AS121" s="32" t="n">
        <x:f>IF(H121=1,IF(E121=1,AS120-AR120,AS120)+AQ121,0)</x:f>
        <x:v>2667.1723039589438</x:v>
      </x:c>
      <x:c r="AT121" s="11" t="n">
        <x:f>IF(AR121&gt;0,MIN(1,AS121/AR121),1)</x:f>
        <x:v>0.8031084957364361</x:v>
      </x:c>
      <x:c r="AU121" s="10" t="n">
        <x:f>AB121/INDEX(tun_RepScale,G121)</x:f>
        <x:v>113.01281892667089</x:v>
      </x:c>
      <x:c r="AV121" s="32" t="n">
        <x:f>AM121*60/tun_SeasonSeconds</x:f>
        <x:v>246.28326122388853</x:v>
      </x:c>
    </x:row>
    <x:row r="122">
      <x:c r="A122" s="8" t="n">
        <x:f>A121+1</x:f>
        <x:v>119</x:v>
      </x:c>
      <x:c r="B122" s="9" t="n">
        <x:f>A122*tun_SeasonSeconds/60</x:f>
        <x:v>29.75</x:v>
      </x:c>
      <x:c r="C122" s="9" t="n">
        <x:f>A122/4</x:f>
        <x:v>29.75</x:v>
      </x:c>
      <x:c r="D122" s="8" t="n">
        <x:f>IF(MOD(A122,4)=0,1,0)</x:f>
        <x:v>0</x:v>
      </x:c>
      <x:c r="E122" s="8" t="n">
        <x:f>IF(AND(F121&lt;=9,AS121&gt;=AR121),1,0)</x:f>
        <x:v>0</x:v>
      </x:c>
      <x:c r="F122" s="8" t="n">
        <x:f>MIN(10,F121+E122)</x:f>
        <x:v>2</x:v>
      </x:c>
      <x:c r="G122" s="8" t="n">
        <x:f>MIN(F122,9)+1</x:f>
        <x:v>3</x:v>
      </x:c>
      <x:c r="H122" s="8" t="n">
        <x:f>IF(F122&lt;=9,1,0)</x:f>
        <x:v>1</x:v>
      </x:c>
      <x:c r="I122" s="9" t="n">
        <x:f>MIN(10,F121+IF(AR121&gt;0,MIN(1,AS121/AR121),1))</x:f>
        <x:v>2.803108495736436</x:v>
      </x:c>
      <x:c r="J122" s="32" t="n">
        <x:f>INDEX(tun_FoodCap,G122)*Arch_FoodCap*EXP(tun_CapsByProject*SUMPRODUCT((Cap_Point&lt;=I122)*(Cap_Kind="Food")*Cap_Ln))</x:f>
        <x:v>88.18366924681426</x:v>
      </x:c>
      <x:c r="K122" s="32" t="n">
        <x:f>J122*MIN(1,tun_LeanBase*EXP(tun_CapsByProject*SUMPRODUCT((Cap_Point&lt;=I122)*(Cap_Kind="Lean")*Cap_Ln)))</x:f>
        <x:v>88.18366924681426</x:v>
      </x:c>
      <x:c r="L122" s="10" t="n">
        <x:f>INDEX(tun_HousingCap,G122)*EXP(tun_CapsByProject*SUMPRODUCT((Cap_Point&lt;=I122)*(Cap_Kind="Housing")*Cap_Ln))</x:f>
        <x:v>394.875</x:v>
      </x:c>
      <x:c r="M122" s="10" t="n">
        <x:f>INDEX(tun_GroupCap,G122)*tun_CohesionFactor*EXP(tun_CapsByProject*SUMPRODUCT((Cap_Point&lt;=I122)*(Cap_Kind="Group")*Cap_Ln))</x:f>
        <x:v>2000.0000000000011</x:v>
      </x:c>
      <x:c r="N122" s="32" t="n">
        <x:f>MIN(J122,L122,M122)</x:f>
        <x:v>88.18366924681426</x:v>
      </x:c>
      <x:c r="O122" s="10" t="n">
        <x:f>AE121*N122</x:f>
        <x:v>176.36733849362852</x:v>
      </x:c>
      <x:c r="P122" s="9" t="n">
        <x:f>MIN(1,(AB121/(AE121*IF(tun_GroupInCrowding=1,N122,MIN(J122,L122))))^tun_CrowdingExp)</x:f>
        <x:v>0.06922409396034417</x:v>
      </x:c>
      <x:c r="Q122" s="9" t="n">
        <x:f>IF(D122=1,INDEX(tun_WinterMult,G122),1)</x:f>
        <x:v>1</x:v>
      </x:c>
      <x:c r="R122" s="9" t="n">
        <x:f>H122*Z121*tun_WomenShare*tun_BaseFertility*INDEX(tun_FertMult,G122)*Arch_Fertility*(1-P122)</x:f>
        <x:v>3.016045987250807</x:v>
      </x:c>
      <x:c r="S122" s="9" t="n">
        <x:f>H122*Y121*INDEX(tun_MortChild,G122)/4*Q122</x:f>
        <x:v>0.5720228613178248</x:v>
      </x:c>
      <x:c r="T122" s="9" t="n">
        <x:f>H122*Z121*INDEX(tun_MortAdult,G122)*Arch_AdultMort/4*Q122</x:f>
        <x:v>0.11504225137927193</x:v>
      </x:c>
      <x:c r="U122" s="9" t="n">
        <x:f>H122*AA121*INDEX(tun_MortElder,G122)/4*Q122</x:f>
        <x:v>0.13240188722163257</x:v>
      </x:c>
      <x:c r="V122" s="9" t="n">
        <x:f>H122*MAX(0,AB121-O122)*tun_OvercapLoss</x:f>
        <x:v>0</x:v>
      </x:c>
      <x:c r="W122" s="9" t="n">
        <x:f>H122*Y121/(tun_ChildYears*4)</x:f>
        <x:v>1.1673935945261729</x:v>
      </x:c>
      <x:c r="X122" s="9" t="n">
        <x:f>H122*Z121/(tun_AdultYears*4)</x:f>
        <x:v>0.309253363922774</x:v>
      </x:c>
      <x:c r="Y122" s="32" t="n">
        <x:f>Y121+R122-S122-W122-Y121*V122/AB121</x:f>
        <x:v>66.65067082487249</x:v>
      </x:c>
      <x:c r="Z122" s="32" t="n">
        <x:f>Z121+W122-X122-T122-Z121*V122/AB121</x:f>
        <x:v>39.09051510564811</x:v>
      </x:c>
      <x:c r="AA122" s="32" t="n">
        <x:f>AA121+X122-U122-AA121*V122/AB121</x:f>
        <x:v>9.468211983482375</x:v>
      </x:c>
      <x:c r="AB122" s="10" t="n">
        <x:f>Y122+Z122+AA122</x:f>
        <x:v>115.20939791400298</x:v>
      </x:c>
      <x:c r="AC122" s="8" t="n">
        <x:f>IF(AND(tun_WinterTrigger=1,D122=1,AB121/AE121&gt;=K122),1,0)</x:f>
        <x:v>0</x:v>
      </x:c>
      <x:c r="AD122" s="8" t="n">
        <x:f>H122*IF(AND(OR(AB121/AE121&gt;=tun_FissionTrigger*N122,AC122=1),AB121/AE121*tun_DaughterShare&gt;=tun_MinDaughter),MAX(1,ROUND(AE121*tun_FissionRate,0)),0)</x:f>
        <x:v>0</x:v>
      </x:c>
      <x:c r="AE122" s="8" t="n">
        <x:f>IF(H122=1,MAX(1,MIN(INDEX(tun_Smax,G122),AE121+AD122)),AE121)</x:f>
        <x:v>2</x:v>
      </x:c>
      <x:c r="AF122" s="8" t="n">
        <x:f>MAX(0,AE122-AE121)</x:f>
        <x:v>0</x:v>
      </x:c>
      <x:c r="AG122" s="9" t="str">
        <x:f>IF(AF122&gt;0,B122,"")</x:f>
      </x:c>
      <x:c r="AH122" s="9" t="n">
        <x:f>IF(F122&gt;=1,1,(1+tun_LowTiesShare*(AE122-1))/AE122)</x:f>
        <x:v>1</x:v>
      </x:c>
      <x:c r="AI122" s="32" t="n">
        <x:f>(Z122+tun_ElderCommons*INDEX(LM_Elder,G122)*AA122)*AH122</x:f>
        <x:v>67.49515105609524</x:v>
      </x:c>
      <x:c r="AJ122" s="32" t="n">
        <x:f>H122*tun_CommonsCoef*AI122^tun_CommonsExp*INDEX(LM_Commons,G122)</x:f>
        <x:v>189.4591611675372</x:v>
      </x:c>
      <x:c r="AK122" s="32" t="n">
        <x:f>H122*tun_RoleScale*Arch_Roles*(AE122*(INDEX(tun_ElderRolePerSett,G122)*tun_OutElder*INDEX(LM_Elder,G122)+INDEX(tun_ShamanPerSett,G122)*tun_OutShaman)+Z122*(INDEX(tun_PriestShare,G122)*tun_OutPriest+INDEX(tun_ScribeShare,G122)*tun_OutScribe*INDEX(LM_Scribe,G122)+INDEX(tun_ScholarShare,G122)*tun_OutScholar*INDEX(LM_Scholar,G122)+INDEX(tun_ResearcherShare,G122)*tun_OutResearcher*INDEX(LM_Researcher,G122)))</x:f>
        <x:v>48</x:v>
      </x:c>
      <x:c r="AL122" s="32" t="n">
        <x:f>H122*tun_RoleScale*Arch_Roles*AE122*INDEX(tun_MonasteryPerSett,G122)*tun_OutMonastery*INDEX(LM_Monastery,G122)</x:f>
        <x:v>0</x:v>
      </x:c>
      <x:c r="AM122" s="32" t="n">
        <x:f>(AJ122+AK122+AL122)/4*INDEX(LM_All,G122)*INDEX(tun_Boon,G122)*Arch_Insight</x:f>
        <x:v>62.370132800410936</x:v>
      </x:c>
      <x:c r="AN122" s="32" t="n">
        <x:f>H122*(tun_KHPerAdult*Z122+tun_KHOfCommons*AJ122/4*INDEX(LM_All,G122))*tun_KHUsable*Arch_KH</x:f>
        <x:v>11.604373621511652</x:v>
      </x:c>
      <x:c r="AO122" s="32" t="n">
        <x:f>MIN(AP121+AN122,AM122*tun_KHMaxRatio)</x:f>
        <x:v>11.604373621511652</x:v>
      </x:c>
      <x:c r="AP122" s="32" t="n">
        <x:f>AP121+AN122-AO122</x:f>
        <x:v>0</x:v>
      </x:c>
      <x:c r="AQ122" s="32" t="n">
        <x:f>AM122+AO122</x:f>
        <x:v>73.97450642192258</x:v>
      </x:c>
      <x:c r="AR122" s="10" t="n">
        <x:f>IF(H122=1,INDEX(tun_Req,G122),0)</x:f>
        <x:v>3321.0609999999997</x:v>
      </x:c>
      <x:c r="AS122" s="32" t="n">
        <x:f>IF(H122=1,IF(E122=1,AS121-AR121,AS121)+AQ122,0)</x:f>
        <x:v>2741.1468103808666</x:v>
      </x:c>
      <x:c r="AT122" s="11" t="n">
        <x:f>IF(AR122&gt;0,MIN(1,AS122/AR122),1)</x:f>
        <x:v>0.8253828551721474</x:v>
      </x:c>
      <x:c r="AU122" s="10" t="n">
        <x:f>AB122/INDEX(tun_RepScale,G122)</x:f>
        <x:v>115.20939791400298</x:v>
      </x:c>
      <x:c r="AV122" s="32" t="n">
        <x:f>AM122*60/tun_SeasonSeconds</x:f>
        <x:v>249.48053120164374</x:v>
      </x:c>
    </x:row>
    <x:row r="123">
      <x:c r="A123" s="8" t="n">
        <x:f>A122+1</x:f>
        <x:v>120</x:v>
      </x:c>
      <x:c r="B123" s="9" t="n">
        <x:f>A123*tun_SeasonSeconds/60</x:f>
        <x:v>30</x:v>
      </x:c>
      <x:c r="C123" s="9" t="n">
        <x:f>A123/4</x:f>
        <x:v>30</x:v>
      </x:c>
      <x:c r="D123" s="8" t="n">
        <x:f>IF(MOD(A123,4)=0,1,0)</x:f>
        <x:v>1</x:v>
      </x:c>
      <x:c r="E123" s="8" t="n">
        <x:f>IF(AND(F122&lt;=9,AS122&gt;=AR122),1,0)</x:f>
        <x:v>0</x:v>
      </x:c>
      <x:c r="F123" s="8" t="n">
        <x:f>MIN(10,F122+E123)</x:f>
        <x:v>2</x:v>
      </x:c>
      <x:c r="G123" s="8" t="n">
        <x:f>MIN(F123,9)+1</x:f>
        <x:v>3</x:v>
      </x:c>
      <x:c r="H123" s="8" t="n">
        <x:f>IF(F123&lt;=9,1,0)</x:f>
        <x:v>1</x:v>
      </x:c>
      <x:c r="I123" s="9" t="n">
        <x:f>MIN(10,F122+IF(AR122&gt;0,MIN(1,AS122/AR122),1))</x:f>
        <x:v>2.8253828551721476</x:v>
      </x:c>
      <x:c r="J123" s="32" t="n">
        <x:f>INDEX(tun_FoodCap,G123)*Arch_FoodCap*EXP(tun_CapsByProject*SUMPRODUCT((Cap_Point&lt;=I123)*(Cap_Kind="Food")*Cap_Ln))</x:f>
        <x:v>88.18366924681426</x:v>
      </x:c>
      <x:c r="K123" s="32" t="n">
        <x:f>J123*MIN(1,tun_LeanBase*EXP(tun_CapsByProject*SUMPRODUCT((Cap_Point&lt;=I123)*(Cap_Kind="Lean")*Cap_Ln)))</x:f>
        <x:v>88.18366924681426</x:v>
      </x:c>
      <x:c r="L123" s="10" t="n">
        <x:f>INDEX(tun_HousingCap,G123)*EXP(tun_CapsByProject*SUMPRODUCT((Cap_Point&lt;=I123)*(Cap_Kind="Housing")*Cap_Ln))</x:f>
        <x:v>394.875</x:v>
      </x:c>
      <x:c r="M123" s="10" t="n">
        <x:f>INDEX(tun_GroupCap,G123)*tun_CohesionFactor*EXP(tun_CapsByProject*SUMPRODUCT((Cap_Point&lt;=I123)*(Cap_Kind="Group")*Cap_Ln))</x:f>
        <x:v>2000.0000000000011</x:v>
      </x:c>
      <x:c r="N123" s="32" t="n">
        <x:f>MIN(J123,L123,M123)</x:f>
        <x:v>88.18366924681426</x:v>
      </x:c>
      <x:c r="O123" s="10" t="n">
        <x:f>AE122*N123</x:f>
        <x:v>176.36733849362852</x:v>
      </x:c>
      <x:c r="P123" s="9" t="n">
        <x:f>MIN(1,(AB122/(AE122*IF(tun_GroupInCrowding=1,N123,MIN(J123,L123))))^tun_CrowdingExp)</x:f>
        <x:v>0.07769954490607228</x:v>
      </x:c>
      <x:c r="Q123" s="9" t="n">
        <x:f>IF(D123=1,INDEX(tun_WinterMult,G123),1)</x:f>
        <x:v>1.4</x:v>
      </x:c>
      <x:c r="R123" s="9" t="n">
        <x:f>H123*Z122*tun_WomenShare*tun_BaseFertility*INDEX(tun_FertMult,G123)*Arch_Fertility*(1-P123)</x:f>
        <x:v>3.046495389166704</x:v>
      </x:c>
      <x:c r="S123" s="9" t="n">
        <x:f>H123*Y122*INDEX(tun_MortChild,G123)/4*Q123</x:f>
        <x:v>0.816470717604688</x:v>
      </x:c>
      <x:c r="T123" s="9" t="n">
        <x:f>H123*Z122*INDEX(tun_MortAdult,G123)*Arch_AdultMort/4*Q123</x:f>
        <x:v>0.16418016344372205</x:v>
      </x:c>
      <x:c r="U123" s="9" t="n">
        <x:f>H123*AA122*INDEX(tun_MortElder,G123)/4*Q123</x:f>
        <x:v>0.18889082907047336</x:v>
      </x:c>
      <x:c r="V123" s="9" t="n">
        <x:f>H123*MAX(0,AB122-O123)*tun_OvercapLoss</x:f>
        <x:v>0</x:v>
      </x:c>
      <x:c r="W123" s="9" t="n">
        <x:f>H123*Y122/(tun_ChildYears*4)</x:f>
        <x:v>1.1901905504441517</x:v>
      </x:c>
      <x:c r="X123" s="9" t="n">
        <x:f>H123*Z122/(tun_AdultYears*4)</x:f>
        <x:v>0.3152460895616783</x:v>
      </x:c>
      <x:c r="Y123" s="32" t="n">
        <x:f>Y122+R123-S123-W123-Y122*V123/AB122</x:f>
        <x:v>67.69050494599036</x:v>
      </x:c>
      <x:c r="Z123" s="32" t="n">
        <x:f>Z122+W123-X123-T123-Z122*V123/AB122</x:f>
        <x:v>39.80127940308686</x:v>
      </x:c>
      <x:c r="AA123" s="32" t="n">
        <x:f>AA122+X123-U123-AA122*V123/AB122</x:f>
        <x:v>9.59456724397358</x:v>
      </x:c>
      <x:c r="AB123" s="10" t="n">
        <x:f>Y123+Z123+AA123</x:f>
        <x:v>117.08635159305081</x:v>
      </x:c>
      <x:c r="AC123" s="8" t="n">
        <x:f>IF(AND(tun_WinterTrigger=1,D123=1,AB122/AE122&gt;=K123),1,0)</x:f>
        <x:v>0</x:v>
      </x:c>
      <x:c r="AD123" s="8" t="n">
        <x:f>H123*IF(AND(OR(AB122/AE122&gt;=tun_FissionTrigger*N123,AC123=1),AB122/AE122*tun_DaughterShare&gt;=tun_MinDaughter),MAX(1,ROUND(AE122*tun_FissionRate,0)),0)</x:f>
        <x:v>0</x:v>
      </x:c>
      <x:c r="AE123" s="8" t="n">
        <x:f>IF(H123=1,MAX(1,MIN(INDEX(tun_Smax,G123),AE122+AD123)),AE122)</x:f>
        <x:v>2</x:v>
      </x:c>
      <x:c r="AF123" s="8" t="n">
        <x:f>MAX(0,AE123-AE122)</x:f>
        <x:v>0</x:v>
      </x:c>
      <x:c r="AG123" s="9" t="str">
        <x:f>IF(AF123&gt;0,B123,"")</x:f>
      </x:c>
      <x:c r="AH123" s="9" t="n">
        <x:f>IF(F123&gt;=1,1,(1+tun_LowTiesShare*(AE123-1))/AE123)</x:f>
        <x:v>1</x:v>
      </x:c>
      <x:c r="AI123" s="32" t="n">
        <x:f>(Z123+tun_ElderCommons*INDEX(LM_Elder,G123)*AA123)*AH123</x:f>
        <x:v>68.58498113500761</x:v>
      </x:c>
      <x:c r="AJ123" s="32" t="n">
        <x:f>H123*tun_CommonsCoef*AI123^tun_CommonsExp*INDEX(LM_Commons,G123)</x:f>
        <x:v>192.05631533507116</x:v>
      </x:c>
      <x:c r="AK123" s="32" t="n">
        <x:f>H123*tun_RoleScale*Arch_Roles*(AE123*(INDEX(tun_ElderRolePerSett,G123)*tun_OutElder*INDEX(LM_Elder,G123)+INDEX(tun_ShamanPerSett,G123)*tun_OutShaman)+Z123*(INDEX(tun_PriestShare,G123)*tun_OutPriest+INDEX(tun_ScribeShare,G123)*tun_OutScribe*INDEX(LM_Scribe,G123)+INDEX(tun_ScholarShare,G123)*tun_OutScholar*INDEX(LM_Scholar,G123)+INDEX(tun_ResearcherShare,G123)*tun_OutResearcher*INDEX(LM_Researcher,G123)))</x:f>
        <x:v>48</x:v>
      </x:c>
      <x:c r="AL123" s="32" t="n">
        <x:f>H123*tun_RoleScale*Arch_Roles*AE123*INDEX(tun_MonasteryPerSett,G123)*tun_OutMonastery*INDEX(LM_Monastery,G123)</x:f>
        <x:v>0</x:v>
      </x:c>
      <x:c r="AM123" s="32" t="n">
        <x:f>(AJ123+AK123+AL123)/4*INDEX(LM_All,G123)*INDEX(tun_Boon,G123)*Arch_Insight</x:f>
        <x:v>63.05229157472728</x:v>
      </x:c>
      <x:c r="AN123" s="32" t="n">
        <x:f>H123*(tun_KHPerAdult*Z123+tun_KHOfCommons*AJ123/4*INDEX(LM_All,G123))*tun_KHUsable*Arch_KH</x:f>
        <x:v>11.763449314273107</x:v>
      </x:c>
      <x:c r="AO123" s="32" t="n">
        <x:f>MIN(AP122+AN123,AM123*tun_KHMaxRatio)</x:f>
        <x:v>11.763449314273107</x:v>
      </x:c>
      <x:c r="AP123" s="32" t="n">
        <x:f>AP122+AN123-AO123</x:f>
        <x:v>0</x:v>
      </x:c>
      <x:c r="AQ123" s="32" t="n">
        <x:f>AM123+AO123</x:f>
        <x:v>74.81574088900038</x:v>
      </x:c>
      <x:c r="AR123" s="10" t="n">
        <x:f>IF(H123=1,INDEX(tun_Req,G123),0)</x:f>
        <x:v>3321.0609999999997</x:v>
      </x:c>
      <x:c r="AS123" s="32" t="n">
        <x:f>IF(H123=1,IF(E123=1,AS122-AR122,AS122)+AQ123,0)</x:f>
        <x:v>2815.9625512698667</x:v>
      </x:c>
      <x:c r="AT123" s="11" t="n">
        <x:f>IF(AR123&gt;0,MIN(1,AS123/AR123),1)</x:f>
        <x:v>0.8479105175333627</x:v>
      </x:c>
      <x:c r="AU123" s="10" t="n">
        <x:f>AB123/INDEX(tun_RepScale,G123)</x:f>
        <x:v>117.08635159305081</x:v>
      </x:c>
      <x:c r="AV123" s="32" t="n">
        <x:f>AM123*60/tun_SeasonSeconds</x:f>
        <x:v>252.2091662989091</x:v>
      </x:c>
    </x:row>
    <x:row r="124">
      <x:c r="A124" s="8" t="n">
        <x:f>A123+1</x:f>
        <x:v>121</x:v>
      </x:c>
      <x:c r="B124" s="9" t="n">
        <x:f>A124*tun_SeasonSeconds/60</x:f>
        <x:v>30.25</x:v>
      </x:c>
      <x:c r="C124" s="9" t="n">
        <x:f>A124/4</x:f>
        <x:v>30.25</x:v>
      </x:c>
      <x:c r="D124" s="8" t="n">
        <x:f>IF(MOD(A124,4)=0,1,0)</x:f>
        <x:v>0</x:v>
      </x:c>
      <x:c r="E124" s="8" t="n">
        <x:f>IF(AND(F123&lt;=9,AS123&gt;=AR123),1,0)</x:f>
        <x:v>0</x:v>
      </x:c>
      <x:c r="F124" s="8" t="n">
        <x:f>MIN(10,F123+E124)</x:f>
        <x:v>2</x:v>
      </x:c>
      <x:c r="G124" s="8" t="n">
        <x:f>MIN(F124,9)+1</x:f>
        <x:v>3</x:v>
      </x:c>
      <x:c r="H124" s="8" t="n">
        <x:f>IF(F124&lt;=9,1,0)</x:f>
        <x:v>1</x:v>
      </x:c>
      <x:c r="I124" s="9" t="n">
        <x:f>MIN(10,F123+IF(AR123&gt;0,MIN(1,AS123/AR123),1))</x:f>
        <x:v>2.8479105175333626</x:v>
      </x:c>
      <x:c r="J124" s="32" t="n">
        <x:f>INDEX(tun_FoodCap,G124)*Arch_FoodCap*EXP(tun_CapsByProject*SUMPRODUCT((Cap_Point&lt;=I124)*(Cap_Kind="Food")*Cap_Ln))</x:f>
        <x:v>88.18366924681426</x:v>
      </x:c>
      <x:c r="K124" s="32" t="n">
        <x:f>J124*MIN(1,tun_LeanBase*EXP(tun_CapsByProject*SUMPRODUCT((Cap_Point&lt;=I124)*(Cap_Kind="Lean")*Cap_Ln)))</x:f>
        <x:v>88.18366924681426</x:v>
      </x:c>
      <x:c r="L124" s="10" t="n">
        <x:f>INDEX(tun_HousingCap,G124)*EXP(tun_CapsByProject*SUMPRODUCT((Cap_Point&lt;=I124)*(Cap_Kind="Housing")*Cap_Ln))</x:f>
        <x:v>394.875</x:v>
      </x:c>
      <x:c r="M124" s="10" t="n">
        <x:f>INDEX(tun_GroupCap,G124)*tun_CohesionFactor*EXP(tun_CapsByProject*SUMPRODUCT((Cap_Point&lt;=I124)*(Cap_Kind="Group")*Cap_Ln))</x:f>
        <x:v>2000.0000000000011</x:v>
      </x:c>
      <x:c r="N124" s="32" t="n">
        <x:f>MIN(J124,L124,M124)</x:f>
        <x:v>88.18366924681426</x:v>
      </x:c>
      <x:c r="O124" s="10" t="n">
        <x:f>AE123*N124</x:f>
        <x:v>176.36733849362852</x:v>
      </x:c>
      <x:c r="P124" s="9" t="n">
        <x:f>MIN(1,(AB123/(AE123*IF(tun_GroupInCrowding=1,N124,MIN(J124,L124))))^tun_CrowdingExp)</x:f>
        <x:v>0.08561082353046007</x:v>
      </x:c>
      <x:c r="Q124" s="9" t="n">
        <x:f>IF(D124=1,INDEX(tun_WinterMult,G124),1)</x:f>
        <x:v>1</x:v>
      </x:c>
      <x:c r="R124" s="9" t="n">
        <x:f>H124*Z123*tun_WomenShare*tun_BaseFertility*INDEX(tun_FertMult,G124)*Arch_Fertility*(1-P124)</x:f>
        <x:v>3.0752810935970145</x:v>
      </x:c>
      <x:c r="S124" s="9" t="n">
        <x:f>H124*Y123*INDEX(tun_MortChild,G124)/4*Q124</x:f>
        <x:v>0.5922919182774157</x:v>
      </x:c>
      <x:c r="T124" s="9" t="n">
        <x:f>H124*Z123*INDEX(tun_MortAdult,G124)*Arch_AdultMort/4*Q124</x:f>
        <x:v>0.11940383820926058</x:v>
      </x:c>
      <x:c r="U124" s="9" t="n">
        <x:f>H124*AA123*INDEX(tun_MortElder,G124)/4*Q124</x:f>
        <x:v>0.13672258322662353</x:v>
      </x:c>
      <x:c r="V124" s="9" t="n">
        <x:f>H124*MAX(0,AB123-O124)*tun_OvercapLoss</x:f>
        <x:v>0</x:v>
      </x:c>
      <x:c r="W124" s="9" t="n">
        <x:f>H124*Y123/(tun_ChildYears*4)</x:f>
        <x:v>1.208759016892685</x:v>
      </x:c>
      <x:c r="X124" s="9" t="n">
        <x:f>H124*Z123/(tun_AdultYears*4)</x:f>
        <x:v>0.32097805970231336</x:v>
      </x:c>
      <x:c r="Y124" s="32" t="n">
        <x:f>Y123+R124-S124-W124-Y123*V124/AB123</x:f>
        <x:v>68.96473510441727</x:v>
      </x:c>
      <x:c r="Z124" s="32" t="n">
        <x:f>Z123+W124-X124-T124-Z123*V124/AB123</x:f>
        <x:v>40.56965652206797</x:v>
      </x:c>
      <x:c r="AA124" s="32" t="n">
        <x:f>AA123+X124-U124-AA123*V124/AB123</x:f>
        <x:v>9.77882272044927</x:v>
      </x:c>
      <x:c r="AB124" s="10" t="n">
        <x:f>Y124+Z124+AA124</x:f>
        <x:v>119.31321434693452</x:v>
      </x:c>
      <x:c r="AC124" s="8" t="n">
        <x:f>IF(AND(tun_WinterTrigger=1,D124=1,AB123/AE123&gt;=K124),1,0)</x:f>
        <x:v>0</x:v>
      </x:c>
      <x:c r="AD124" s="8" t="n">
        <x:f>H124*IF(AND(OR(AB123/AE123&gt;=tun_FissionTrigger*N124,AC124=1),AB123/AE123*tun_DaughterShare&gt;=tun_MinDaughter),MAX(1,ROUND(AE123*tun_FissionRate,0)),0)</x:f>
        <x:v>0</x:v>
      </x:c>
      <x:c r="AE124" s="8" t="n">
        <x:f>IF(H124=1,MAX(1,MIN(INDEX(tun_Smax,G124),AE123+AD124)),AE123)</x:f>
        <x:v>2</x:v>
      </x:c>
      <x:c r="AF124" s="8" t="n">
        <x:f>MAX(0,AE124-AE123)</x:f>
        <x:v>0</x:v>
      </x:c>
      <x:c r="AG124" s="9" t="str">
        <x:f>IF(AF124&gt;0,B124,"")</x:f>
      </x:c>
      <x:c r="AH124" s="9" t="n">
        <x:f>IF(F124&gt;=1,1,(1+tun_LowTiesShare*(AE124-1))/AE124)</x:f>
        <x:v>1</x:v>
      </x:c>
      <x:c r="AI124" s="32" t="n">
        <x:f>(Z124+tun_ElderCommons*INDEX(LM_Elder,G124)*AA124)*AH124</x:f>
        <x:v>69.90612468341578</x:v>
      </x:c>
      <x:c r="AJ124" s="32" t="n">
        <x:f>H124*tun_CommonsCoef*AI124^tun_CommonsExp*INDEX(LM_Commons,G124)</x:f>
        <x:v>195.19642784975906</x:v>
      </x:c>
      <x:c r="AK124" s="32" t="n">
        <x:f>H124*tun_RoleScale*Arch_Roles*(AE124*(INDEX(tun_ElderRolePerSett,G124)*tun_OutElder*INDEX(LM_Elder,G124)+INDEX(tun_ShamanPerSett,G124)*tun_OutShaman)+Z124*(INDEX(tun_PriestShare,G124)*tun_OutPriest+INDEX(tun_ScribeShare,G124)*tun_OutScribe*INDEX(LM_Scribe,G124)+INDEX(tun_ScholarShare,G124)*tun_OutScholar*INDEX(LM_Scholar,G124)+INDEX(tun_ResearcherShare,G124)*tun_OutResearcher*INDEX(LM_Researcher,G124)))</x:f>
        <x:v>48</x:v>
      </x:c>
      <x:c r="AL124" s="32" t="n">
        <x:f>H124*tun_RoleScale*Arch_Roles*AE124*INDEX(tun_MonasteryPerSett,G124)*tun_OutMonastery*INDEX(LM_Monastery,G124)</x:f>
        <x:v>0</x:v>
      </x:c>
      <x:c r="AM124" s="32" t="n">
        <x:f>(AJ124+AK124+AL124)/4*INDEX(LM_All,G124)*INDEX(tun_Boon,G124)*Arch_Insight</x:f>
        <x:v>63.877061752413276</x:v>
      </x:c>
      <x:c r="AN124" s="32" t="n">
        <x:f>H124*(tun_KHPerAdult*Z124+tun_KHOfCommons*AJ124/4*INDEX(LM_All,G124))*tun_KHUsable*Arch_KH</x:f>
        <x:v>11.955781205797742</x:v>
      </x:c>
      <x:c r="AO124" s="32" t="n">
        <x:f>MIN(AP123+AN124,AM124*tun_KHMaxRatio)</x:f>
        <x:v>11.955781205797742</x:v>
      </x:c>
      <x:c r="AP124" s="32" t="n">
        <x:f>AP123+AN124-AO124</x:f>
        <x:v>0</x:v>
      </x:c>
      <x:c r="AQ124" s="32" t="n">
        <x:f>AM124+AO124</x:f>
        <x:v>75.83284295821102</x:v>
      </x:c>
      <x:c r="AR124" s="10" t="n">
        <x:f>IF(H124=1,INDEX(tun_Req,G124),0)</x:f>
        <x:v>3321.0609999999997</x:v>
      </x:c>
      <x:c r="AS124" s="32" t="n">
        <x:f>IF(H124=1,IF(E124=1,AS123-AR123,AS123)+AQ124,0)</x:f>
        <x:v>2891.795394228078</x:v>
      </x:c>
      <x:c r="AT124" s="11" t="n">
        <x:f>IF(AR124&gt;0,MIN(1,AS124/AR124),1)</x:f>
        <x:v>0.8707444380660512</x:v>
      </x:c>
      <x:c r="AU124" s="10" t="n">
        <x:f>AB124/INDEX(tun_RepScale,G124)</x:f>
        <x:v>119.31321434693452</x:v>
      </x:c>
      <x:c r="AV124" s="32" t="n">
        <x:f>AM124*60/tun_SeasonSeconds</x:f>
        <x:v>255.5082470096531</x:v>
      </x:c>
    </x:row>
    <x:row r="125">
      <x:c r="A125" s="8" t="n">
        <x:f>A124+1</x:f>
        <x:v>122</x:v>
      </x:c>
      <x:c r="B125" s="9" t="n">
        <x:f>A125*tun_SeasonSeconds/60</x:f>
        <x:v>30.5</x:v>
      </x:c>
      <x:c r="C125" s="9" t="n">
        <x:f>A125/4</x:f>
        <x:v>30.5</x:v>
      </x:c>
      <x:c r="D125" s="8" t="n">
        <x:f>IF(MOD(A125,4)=0,1,0)</x:f>
        <x:v>0</x:v>
      </x:c>
      <x:c r="E125" s="8" t="n">
        <x:f>IF(AND(F124&lt;=9,AS124&gt;=AR124),1,0)</x:f>
        <x:v>0</x:v>
      </x:c>
      <x:c r="F125" s="8" t="n">
        <x:f>MIN(10,F124+E125)</x:f>
        <x:v>2</x:v>
      </x:c>
      <x:c r="G125" s="8" t="n">
        <x:f>MIN(F125,9)+1</x:f>
        <x:v>3</x:v>
      </x:c>
      <x:c r="H125" s="8" t="n">
        <x:f>IF(F125&lt;=9,1,0)</x:f>
        <x:v>1</x:v>
      </x:c>
      <x:c r="I125" s="9" t="n">
        <x:f>MIN(10,F124+IF(AR124&gt;0,MIN(1,AS124/AR124),1))</x:f>
        <x:v>2.870744438066051</x:v>
      </x:c>
      <x:c r="J125" s="32" t="n">
        <x:f>INDEX(tun_FoodCap,G125)*Arch_FoodCap*EXP(tun_CapsByProject*SUMPRODUCT((Cap_Point&lt;=I125)*(Cap_Kind="Food")*Cap_Ln))</x:f>
        <x:v>88.18366924681426</x:v>
      </x:c>
      <x:c r="K125" s="32" t="n">
        <x:f>J125*MIN(1,tun_LeanBase*EXP(tun_CapsByProject*SUMPRODUCT((Cap_Point&lt;=I125)*(Cap_Kind="Lean")*Cap_Ln)))</x:f>
        <x:v>88.18366924681426</x:v>
      </x:c>
      <x:c r="L125" s="10" t="n">
        <x:f>INDEX(tun_HousingCap,G125)*EXP(tun_CapsByProject*SUMPRODUCT((Cap_Point&lt;=I125)*(Cap_Kind="Housing")*Cap_Ln))</x:f>
        <x:v>394.875</x:v>
      </x:c>
      <x:c r="M125" s="10" t="n">
        <x:f>INDEX(tun_GroupCap,G125)*tun_CohesionFactor*EXP(tun_CapsByProject*SUMPRODUCT((Cap_Point&lt;=I125)*(Cap_Kind="Group")*Cap_Ln))</x:f>
        <x:v>2000.0000000000011</x:v>
      </x:c>
      <x:c r="N125" s="32" t="n">
        <x:f>MIN(J125,L125,M125)</x:f>
        <x:v>88.18366924681426</x:v>
      </x:c>
      <x:c r="O125" s="10" t="n">
        <x:f>AE124*N125</x:f>
        <x:v>176.36733849362852</x:v>
      </x:c>
      <x:c r="P125" s="9" t="n">
        <x:f>MIN(1,(AB124/(AE124*IF(tun_GroupInCrowding=1,N125,MIN(J125,L125))))^tun_CrowdingExp)</x:f>
        <x:v>0.09585666357704384</x:v>
      </x:c>
      <x:c r="Q125" s="9" t="n">
        <x:f>IF(D125=1,INDEX(tun_WinterMult,G125),1)</x:f>
        <x:v>1</x:v>
      </x:c>
      <x:c r="R125" s="9" t="n">
        <x:f>H125*Z124*tun_WomenShare*tun_BaseFertility*INDEX(tun_FertMult,G125)*Arch_Fertility*(1-P125)</x:f>
        <x:v>3.099526299155952</x:v>
      </x:c>
      <x:c r="S125" s="9" t="n">
        <x:f>H125*Y124*INDEX(tun_MortChild,G125)/4*Q125</x:f>
        <x:v>0.6034414321636512</x:v>
      </x:c>
      <x:c r="T125" s="9" t="n">
        <x:f>H125*Z124*INDEX(tun_MortAdult,G125)*Arch_AdultMort/4*Q125</x:f>
        <x:v>0.12170896956620392</x:v>
      </x:c>
      <x:c r="U125" s="9" t="n">
        <x:f>H125*AA124*INDEX(tun_MortElder,G125)/4*Q125</x:f>
        <x:v>0.1393482237664021</x:v>
      </x:c>
      <x:c r="V125" s="9" t="n">
        <x:f>H125*MAX(0,AB124-O125)*tun_OvercapLoss</x:f>
        <x:v>0</x:v>
      </x:c>
      <x:c r="W125" s="9" t="n">
        <x:f>H125*Y124/(tun_ChildYears*4)</x:f>
        <x:v>1.2315131268645942</x:v>
      </x:c>
      <x:c r="X125" s="9" t="n">
        <x:f>H125*Z124/(tun_AdultYears*4)</x:f>
        <x:v>0.3271746493715159</x:v>
      </x:c>
      <x:c r="Y125" s="32" t="n">
        <x:f>Y124+R125-S125-W125-Y124*V125/AB124</x:f>
        <x:v>70.22930684454498</x:v>
      </x:c>
      <x:c r="Z125" s="32" t="n">
        <x:f>Z124+W125-X125-T125-Z124*V125/AB124</x:f>
        <x:v>41.35228602999484</x:v>
      </x:c>
      <x:c r="AA125" s="32" t="n">
        <x:f>AA124+X125-U125-AA124*V125/AB124</x:f>
        <x:v>9.966649146054383</x:v>
      </x:c>
      <x:c r="AB125" s="10" t="n">
        <x:f>Y125+Z125+AA125</x:f>
        <x:v>121.5482420205942</x:v>
      </x:c>
      <x:c r="AC125" s="8" t="n">
        <x:f>IF(AND(tun_WinterTrigger=1,D125=1,AB124/AE124&gt;=K125),1,0)</x:f>
        <x:v>0</x:v>
      </x:c>
      <x:c r="AD125" s="8" t="n">
        <x:f>H125*IF(AND(OR(AB124/AE124&gt;=tun_FissionTrigger*N125,AC125=1),AB124/AE124*tun_DaughterShare&gt;=tun_MinDaughter),MAX(1,ROUND(AE124*tun_FissionRate,0)),0)</x:f>
        <x:v>0</x:v>
      </x:c>
      <x:c r="AE125" s="8" t="n">
        <x:f>IF(H125=1,MAX(1,MIN(INDEX(tun_Smax,G125),AE124+AD125)),AE124)</x:f>
        <x:v>2</x:v>
      </x:c>
      <x:c r="AF125" s="8" t="n">
        <x:f>MAX(0,AE125-AE124)</x:f>
        <x:v>0</x:v>
      </x:c>
      <x:c r="AG125" s="9" t="str">
        <x:f>IF(AF125&gt;0,B125,"")</x:f>
      </x:c>
      <x:c r="AH125" s="9" t="n">
        <x:f>IF(F125&gt;=1,1,(1+tun_LowTiesShare*(AE125-1))/AE125)</x:f>
        <x:v>1</x:v>
      </x:c>
      <x:c r="AI125" s="32" t="n">
        <x:f>(Z125+tun_ElderCommons*INDEX(LM_Elder,G125)*AA125)*AH125</x:f>
        <x:v>71.252233468158</x:v>
      </x:c>
      <x:c r="AJ125" s="32" t="n">
        <x:f>H125*tun_CommonsCoef*AI125^tun_CommonsExp*INDEX(LM_Commons,G125)</x:f>
        <x:v>198.38673613552137</x:v>
      </x:c>
      <x:c r="AK125" s="32" t="n">
        <x:f>H125*tun_RoleScale*Arch_Roles*(AE125*(INDEX(tun_ElderRolePerSett,G125)*tun_OutElder*INDEX(LM_Elder,G125)+INDEX(tun_ShamanPerSett,G125)*tun_OutShaman)+Z125*(INDEX(tun_PriestShare,G125)*tun_OutPriest+INDEX(tun_ScribeShare,G125)*tun_OutScribe*INDEX(LM_Scribe,G125)+INDEX(tun_ScholarShare,G125)*tun_OutScholar*INDEX(LM_Scholar,G125)+INDEX(tun_ResearcherShare,G125)*tun_OutResearcher*INDEX(LM_Researcher,G125)))</x:f>
        <x:v>48</x:v>
      </x:c>
      <x:c r="AL125" s="32" t="n">
        <x:f>H125*tun_RoleScale*Arch_Roles*AE125*INDEX(tun_MonasteryPerSett,G125)*tun_OutMonastery*INDEX(LM_Monastery,G125)</x:f>
        <x:v>0</x:v>
      </x:c>
      <x:c r="AM125" s="32" t="n">
        <x:f>(AJ125+AK125+AL125)/4*INDEX(LM_All,G125)*INDEX(tun_Boon,G125)*Arch_Insight</x:f>
        <x:v>64.71501616309553</x:v>
      </x:c>
      <x:c r="AN125" s="32" t="n">
        <x:f>H125*(tun_KHPerAdult*Z125+tun_KHOfCommons*AJ125/4*INDEX(LM_All,G125))*tun_KHUsable*Arch_KH</x:f>
        <x:v>12.151187588300683</x:v>
      </x:c>
      <x:c r="AO125" s="32" t="n">
        <x:f>MIN(AP124+AN125,AM125*tun_KHMaxRatio)</x:f>
        <x:v>12.151187588300683</x:v>
      </x:c>
      <x:c r="AP125" s="32" t="n">
        <x:f>AP124+AN125-AO125</x:f>
        <x:v>0</x:v>
      </x:c>
      <x:c r="AQ125" s="32" t="n">
        <x:f>AM125+AO125</x:f>
        <x:v>76.86620375139621</x:v>
      </x:c>
      <x:c r="AR125" s="10" t="n">
        <x:f>IF(H125=1,INDEX(tun_Req,G125),0)</x:f>
        <x:v>3321.0609999999997</x:v>
      </x:c>
      <x:c r="AS125" s="32" t="n">
        <x:f>IF(H125=1,IF(E125=1,AS124-AR124,AS124)+AQ125,0)</x:f>
        <x:v>2968.661597979474</x:v>
      </x:c>
      <x:c r="AT125" s="11" t="n">
        <x:f>IF(AR125&gt;0,MIN(1,AS125/AR125),1)</x:f>
        <x:v>0.8938895124116885</x:v>
      </x:c>
      <x:c r="AU125" s="10" t="n">
        <x:f>AB125/INDEX(tun_RepScale,G125)</x:f>
        <x:v>121.5482420205942</x:v>
      </x:c>
      <x:c r="AV125" s="32" t="n">
        <x:f>AM125*60/tun_SeasonSeconds</x:f>
        <x:v>258.8600646523821</x:v>
      </x:c>
    </x:row>
    <x:row r="126">
      <x:c r="A126" s="8" t="n">
        <x:f>A125+1</x:f>
        <x:v>123</x:v>
      </x:c>
      <x:c r="B126" s="9" t="n">
        <x:f>A126*tun_SeasonSeconds/60</x:f>
        <x:v>30.75</x:v>
      </x:c>
      <x:c r="C126" s="9" t="n">
        <x:f>A126/4</x:f>
        <x:v>30.75</x:v>
      </x:c>
      <x:c r="D126" s="8" t="n">
        <x:f>IF(MOD(A126,4)=0,1,0)</x:f>
        <x:v>0</x:v>
      </x:c>
      <x:c r="E126" s="8" t="n">
        <x:f>IF(AND(F125&lt;=9,AS125&gt;=AR125),1,0)</x:f>
        <x:v>0</x:v>
      </x:c>
      <x:c r="F126" s="8" t="n">
        <x:f>MIN(10,F125+E126)</x:f>
        <x:v>2</x:v>
      </x:c>
      <x:c r="G126" s="8" t="n">
        <x:f>MIN(F126,9)+1</x:f>
        <x:v>3</x:v>
      </x:c>
      <x:c r="H126" s="8" t="n">
        <x:f>IF(F126&lt;=9,1,0)</x:f>
        <x:v>1</x:v>
      </x:c>
      <x:c r="I126" s="9" t="n">
        <x:f>MIN(10,F125+IF(AR125&gt;0,MIN(1,AS125/AR125),1))</x:f>
        <x:v>2.8938895124116883</x:v>
      </x:c>
      <x:c r="J126" s="32" t="n">
        <x:f>INDEX(tun_FoodCap,G126)*Arch_FoodCap*EXP(tun_CapsByProject*SUMPRODUCT((Cap_Point&lt;=I126)*(Cap_Kind="Food")*Cap_Ln))</x:f>
        <x:v>88.18366924681426</x:v>
      </x:c>
      <x:c r="K126" s="32" t="n">
        <x:f>J126*MIN(1,tun_LeanBase*EXP(tun_CapsByProject*SUMPRODUCT((Cap_Point&lt;=I126)*(Cap_Kind="Lean")*Cap_Ln)))</x:f>
        <x:v>88.18366924681426</x:v>
      </x:c>
      <x:c r="L126" s="10" t="n">
        <x:f>INDEX(tun_HousingCap,G126)*EXP(tun_CapsByProject*SUMPRODUCT((Cap_Point&lt;=I126)*(Cap_Kind="Housing")*Cap_Ln))</x:f>
        <x:v>394.875</x:v>
      </x:c>
      <x:c r="M126" s="10" t="n">
        <x:f>INDEX(tun_GroupCap,G126)*tun_CohesionFactor*EXP(tun_CapsByProject*SUMPRODUCT((Cap_Point&lt;=I126)*(Cap_Kind="Group")*Cap_Ln))</x:f>
        <x:v>2000.0000000000011</x:v>
      </x:c>
      <x:c r="N126" s="32" t="n">
        <x:f>MIN(J126,L126,M126)</x:f>
        <x:v>88.18366924681426</x:v>
      </x:c>
      <x:c r="O126" s="10" t="n">
        <x:f>AE125*N126</x:f>
        <x:v>176.36733849362852</x:v>
      </x:c>
      <x:c r="P126" s="9" t="n">
        <x:f>MIN(1,(AB125/(AE125*IF(tun_GroupInCrowding=1,N126,MIN(J126,L126))))^tun_CrowdingExp)</x:f>
        <x:v>0.10714776701048617</x:v>
      </x:c>
      <x:c r="Q126" s="9" t="n">
        <x:f>IF(D126=1,INDEX(tun_WinterMult,G126),1)</x:f>
        <x:v>1</x:v>
      </x:c>
      <x:c r="R126" s="9" t="n">
        <x:f>H126*Z125*tun_WomenShare*tun_BaseFertility*INDEX(tun_FertMult,G126)*Arch_Fertility*(1-P126)</x:f>
        <x:v>3.1198651378331173</x:v>
      </x:c>
      <x:c r="S126" s="9" t="n">
        <x:f>H126*Y125*INDEX(tun_MortChild,G126)/4*Q126</x:f>
        <x:v>0.6145064348897686</x:v>
      </x:c>
      <x:c r="T126" s="9" t="n">
        <x:f>H126*Z125*INDEX(tun_MortAdult,G126)*Arch_AdultMort/4*Q126</x:f>
        <x:v>0.12405685808998453</x:v>
      </x:c>
      <x:c r="U126" s="9" t="n">
        <x:f>H126*AA125*INDEX(tun_MortElder,G126)/4*Q126</x:f>
        <x:v>0.14202475033127496</x:v>
      </x:c>
      <x:c r="V126" s="9" t="n">
        <x:f>H126*MAX(0,AB125-O126)*tun_OvercapLoss</x:f>
        <x:v>0</x:v>
      </x:c>
      <x:c r="W126" s="9" t="n">
        <x:f>H126*Y125/(tun_ChildYears*4)</x:f>
        <x:v>1.2540947650811602</x:v>
      </x:c>
      <x:c r="X126" s="9" t="n">
        <x:f>H126*Z125/(tun_AdultYears*4)</x:f>
        <x:v>0.3334861776612487</x:v>
      </x:c>
      <x:c r="Y126" s="32" t="n">
        <x:f>Y125+R126-S126-W126-Y125*V126/AB125</x:f>
        <x:v>71.48057078240717</x:v>
      </x:c>
      <x:c r="Z126" s="32" t="n">
        <x:f>Z125+W126-X126-T126-Z125*V126/AB125</x:f>
        <x:v>42.14883775932477</x:v>
      </x:c>
      <x:c r="AA126" s="32" t="n">
        <x:f>AA125+X126-U126-AA125*V126/AB125</x:f>
        <x:v>10.158110573384356</x:v>
      </x:c>
      <x:c r="AB126" s="10" t="n">
        <x:f>Y126+Z126+AA126</x:f>
        <x:v>123.78751911511631</x:v>
      </x:c>
      <x:c r="AC126" s="8" t="n">
        <x:f>IF(AND(tun_WinterTrigger=1,D126=1,AB125/AE125&gt;=K126),1,0)</x:f>
        <x:v>0</x:v>
      </x:c>
      <x:c r="AD126" s="8" t="n">
        <x:f>H126*IF(AND(OR(AB125/AE125&gt;=tun_FissionTrigger*N126,AC126=1),AB125/AE125*tun_DaughterShare&gt;=tun_MinDaughter),MAX(1,ROUND(AE125*tun_FissionRate,0)),0)</x:f>
        <x:v>0</x:v>
      </x:c>
      <x:c r="AE126" s="8" t="n">
        <x:f>IF(H126=1,MAX(1,MIN(INDEX(tun_Smax,G126),AE125+AD126)),AE125)</x:f>
        <x:v>2</x:v>
      </x:c>
      <x:c r="AF126" s="8" t="n">
        <x:f>MAX(0,AE126-AE125)</x:f>
        <x:v>0</x:v>
      </x:c>
      <x:c r="AG126" s="9" t="str">
        <x:f>IF(AF126&gt;0,B126,"")</x:f>
      </x:c>
      <x:c r="AH126" s="9" t="n">
        <x:f>IF(F126&gt;=1,1,(1+tun_LowTiesShare*(AE126-1))/AE126)</x:f>
        <x:v>1</x:v>
      </x:c>
      <x:c r="AI126" s="32" t="n">
        <x:f>(Z126+tun_ElderCommons*INDEX(LM_Elder,G126)*AA126)*AH126</x:f>
        <x:v>72.62316947947784</x:v>
      </x:c>
      <x:c r="AJ126" s="32" t="n">
        <x:f>H126*tun_CommonsCoef*AI126^tun_CommonsExp*INDEX(LM_Commons,G126)</x:f>
        <x:v>201.62660686943786</x:v>
      </x:c>
      <x:c r="AK126" s="32" t="n">
        <x:f>H126*tun_RoleScale*Arch_Roles*(AE126*(INDEX(tun_ElderRolePerSett,G126)*tun_OutElder*INDEX(LM_Elder,G126)+INDEX(tun_ShamanPerSett,G126)*tun_OutShaman)+Z126*(INDEX(tun_PriestShare,G126)*tun_OutPriest+INDEX(tun_ScribeShare,G126)*tun_OutScribe*INDEX(LM_Scribe,G126)+INDEX(tun_ScholarShare,G126)*tun_OutScholar*INDEX(LM_Scholar,G126)+INDEX(tun_ResearcherShare,G126)*tun_OutResearcher*INDEX(LM_Researcher,G126)))</x:f>
        <x:v>48</x:v>
      </x:c>
      <x:c r="AL126" s="32" t="n">
        <x:f>H126*tun_RoleScale*Arch_Roles*AE126*INDEX(tun_MonasteryPerSett,G126)*tun_OutMonastery*INDEX(LM_Monastery,G126)</x:f>
        <x:v>0</x:v>
      </x:c>
      <x:c r="AM126" s="32" t="n">
        <x:f>(AJ126+AK126+AL126)/4*INDEX(LM_All,G126)*INDEX(tun_Boon,G126)*Arch_Insight</x:f>
        <x:v>65.56598846055078</x:v>
      </x:c>
      <x:c r="AN126" s="32" t="n">
        <x:f>H126*(tun_KHPerAdult*Z126+tun_KHOfCommons*AJ126/4*INDEX(LM_All,G126))*tun_KHUsable*Arch_KH</x:f>
        <x:v>12.349629670753068</x:v>
      </x:c>
      <x:c r="AO126" s="32" t="n">
        <x:f>MIN(AP125+AN126,AM126*tun_KHMaxRatio)</x:f>
        <x:v>12.349629670753068</x:v>
      </x:c>
      <x:c r="AP126" s="32" t="n">
        <x:f>AP125+AN126-AO126</x:f>
        <x:v>0</x:v>
      </x:c>
      <x:c r="AQ126" s="32" t="n">
        <x:f>AM126+AO126</x:f>
        <x:v>77.91561813130386</x:v>
      </x:c>
      <x:c r="AR126" s="10" t="n">
        <x:f>IF(H126=1,INDEX(tun_Req,G126),0)</x:f>
        <x:v>3321.0609999999997</x:v>
      </x:c>
      <x:c r="AS126" s="32" t="n">
        <x:f>IF(H126=1,IF(E126=1,AS125-AR125,AS125)+AQ126,0)</x:f>
        <x:v>3046.577216110778</x:v>
      </x:c>
      <x:c r="AT126" s="11" t="n">
        <x:f>IF(AR126&gt;0,MIN(1,AS126/AR126),1)</x:f>
        <x:v>0.9173505744431608</x:v>
      </x:c>
      <x:c r="AU126" s="10" t="n">
        <x:f>AB126/INDEX(tun_RepScale,G126)</x:f>
        <x:v>123.78751911511631</x:v>
      </x:c>
      <x:c r="AV126" s="32" t="n">
        <x:f>AM126*60/tun_SeasonSeconds</x:f>
        <x:v>262.26395384220314</x:v>
      </x:c>
    </x:row>
    <x:row r="127">
      <x:c r="A127" s="8" t="n">
        <x:f>A126+1</x:f>
        <x:v>124</x:v>
      </x:c>
      <x:c r="B127" s="9" t="n">
        <x:f>A127*tun_SeasonSeconds/60</x:f>
        <x:v>31</x:v>
      </x:c>
      <x:c r="C127" s="9" t="n">
        <x:f>A127/4</x:f>
        <x:v>31</x:v>
      </x:c>
      <x:c r="D127" s="8" t="n">
        <x:f>IF(MOD(A127,4)=0,1,0)</x:f>
        <x:v>1</x:v>
      </x:c>
      <x:c r="E127" s="8" t="n">
        <x:f>IF(AND(F126&lt;=9,AS126&gt;=AR126),1,0)</x:f>
        <x:v>0</x:v>
      </x:c>
      <x:c r="F127" s="8" t="n">
        <x:f>MIN(10,F126+E127)</x:f>
        <x:v>2</x:v>
      </x:c>
      <x:c r="G127" s="8" t="n">
        <x:f>MIN(F127,9)+1</x:f>
        <x:v>3</x:v>
      </x:c>
      <x:c r="H127" s="8" t="n">
        <x:f>IF(F127&lt;=9,1,0)</x:f>
        <x:v>1</x:v>
      </x:c>
      <x:c r="I127" s="9" t="n">
        <x:f>MIN(10,F126+IF(AR126&gt;0,MIN(1,AS126/AR126),1))</x:f>
        <x:v>2.917350574443161</x:v>
      </x:c>
      <x:c r="J127" s="32" t="n">
        <x:f>INDEX(tun_FoodCap,G127)*Arch_FoodCap*EXP(tun_CapsByProject*SUMPRODUCT((Cap_Point&lt;=I127)*(Cap_Kind="Food")*Cap_Ln))</x:f>
        <x:v>88.18366924681426</x:v>
      </x:c>
      <x:c r="K127" s="32" t="n">
        <x:f>J127*MIN(1,tun_LeanBase*EXP(tun_CapsByProject*SUMPRODUCT((Cap_Point&lt;=I127)*(Cap_Kind="Lean")*Cap_Ln)))</x:f>
        <x:v>88.18366924681426</x:v>
      </x:c>
      <x:c r="L127" s="10" t="n">
        <x:f>INDEX(tun_HousingCap,G127)*EXP(tun_CapsByProject*SUMPRODUCT((Cap_Point&lt;=I127)*(Cap_Kind="Housing")*Cap_Ln))</x:f>
        <x:v>394.875</x:v>
      </x:c>
      <x:c r="M127" s="10" t="n">
        <x:f>INDEX(tun_GroupCap,G127)*tun_CohesionFactor*EXP(tun_CapsByProject*SUMPRODUCT((Cap_Point&lt;=I127)*(Cap_Kind="Group")*Cap_Ln))</x:f>
        <x:v>2000.0000000000011</x:v>
      </x:c>
      <x:c r="N127" s="32" t="n">
        <x:f>MIN(J127,L127,M127)</x:f>
        <x:v>88.18366924681426</x:v>
      </x:c>
      <x:c r="O127" s="10" t="n">
        <x:f>AE126*N127</x:f>
        <x:v>176.36733849362852</x:v>
      </x:c>
      <x:c r="P127" s="9" t="n">
        <x:f>MIN(1,(AB126/(AE126*IF(tun_GroupInCrowding=1,N127,MIN(J127,L127))))^tun_CrowdingExp)</x:f>
        <x:v>0.1195507177433646</x:v>
      </x:c>
      <x:c r="Q127" s="9" t="n">
        <x:f>IF(D127=1,INDEX(tun_WinterMult,G127),1)</x:f>
        <x:v>1.4</x:v>
      </x:c>
      <x:c r="R127" s="9" t="n">
        <x:f>H127*Z126*tun_WomenShare*tun_BaseFertility*INDEX(tun_FertMult,G127)*Arch_Fertility*(1-P127)</x:f>
        <x:v>3.1357877290410796</x:v>
      </x:c>
      <x:c r="S127" s="9" t="n">
        <x:f>H127*Y126*INDEX(tun_MortChild,G127)/4*Q127</x:f>
        <x:v>0.8756369920844879</x:v>
      </x:c>
      <x:c r="T127" s="9" t="n">
        <x:f>H127*Z126*INDEX(tun_MortAdult,G127)*Arch_AdultMort/4*Q127</x:f>
        <x:v>0.17702511858916403</x:v>
      </x:c>
      <x:c r="U127" s="9" t="n">
        <x:f>H127*AA126*INDEX(tun_MortElder,G127)/4*Q127</x:f>
        <x:v>0.20265430593901787</x:v>
      </x:c>
      <x:c r="V127" s="9" t="n">
        <x:f>H127*MAX(0,AB126-O127)*tun_OvercapLoss</x:f>
        <x:v>0</x:v>
      </x:c>
      <x:c r="W127" s="9" t="n">
        <x:f>H127*Y126/(tun_ChildYears*4)</x:f>
        <x:v>1.2764387639715566</x:v>
      </x:c>
      <x:c r="X127" s="9" t="n">
        <x:f>H127*Z126/(tun_AdultYears*4)</x:f>
        <x:v>0.33990998193003846</x:v>
      </x:c>
      <x:c r="Y127" s="32" t="n">
        <x:f>Y126+R127-S127-W127-Y126*V127/AB126</x:f>
        <x:v>72.4642827553922</x:v>
      </x:c>
      <x:c r="Z127" s="32" t="n">
        <x:f>Z126+W127-X127-T127-Z126*V127/AB126</x:f>
        <x:v>42.90834142277712</x:v>
      </x:c>
      <x:c r="AA127" s="32" t="n">
        <x:f>AA126+X127-U127-AA126*V127/AB126</x:f>
        <x:v>10.295366249375377</x:v>
      </x:c>
      <x:c r="AB127" s="10" t="n">
        <x:f>Y127+Z127+AA127</x:f>
        <x:v>125.66799042754471</x:v>
      </x:c>
      <x:c r="AC127" s="8" t="n">
        <x:f>IF(AND(tun_WinterTrigger=1,D127=1,AB126/AE126&gt;=K127),1,0)</x:f>
        <x:v>0</x:v>
      </x:c>
      <x:c r="AD127" s="8" t="n">
        <x:f>H127*IF(AND(OR(AB126/AE126&gt;=tun_FissionTrigger*N127,AC127=1),AB126/AE126*tun_DaughterShare&gt;=tun_MinDaughter),MAX(1,ROUND(AE126*tun_FissionRate,0)),0)</x:f>
        <x:v>0</x:v>
      </x:c>
      <x:c r="AE127" s="8" t="n">
        <x:f>IF(H127=1,MAX(1,MIN(INDEX(tun_Smax,G127),AE126+AD127)),AE126)</x:f>
        <x:v>2</x:v>
      </x:c>
      <x:c r="AF127" s="8" t="n">
        <x:f>MAX(0,AE127-AE126)</x:f>
        <x:v>0</x:v>
      </x:c>
      <x:c r="AG127" s="9" t="str">
        <x:f>IF(AF127&gt;0,B127,"")</x:f>
      </x:c>
      <x:c r="AH127" s="9" t="n">
        <x:f>IF(F127&gt;=1,1,(1+tun_LowTiesShare*(AE127-1))/AE127)</x:f>
        <x:v>1</x:v>
      </x:c>
      <x:c r="AI127" s="32" t="n">
        <x:f>(Z127+tun_ElderCommons*INDEX(LM_Elder,G127)*AA127)*AH127</x:f>
        <x:v>73.79444017090324</x:v>
      </x:c>
      <x:c r="AJ127" s="32" t="n">
        <x:f>H127*tun_CommonsCoef*AI127^tun_CommonsExp*INDEX(LM_Commons,G127)</x:f>
        <x:v>204.3873527058925</x:v>
      </x:c>
      <x:c r="AK127" s="32" t="n">
        <x:f>H127*tun_RoleScale*Arch_Roles*(AE127*(INDEX(tun_ElderRolePerSett,G127)*tun_OutElder*INDEX(LM_Elder,G127)+INDEX(tun_ShamanPerSett,G127)*tun_OutShaman)+Z127*(INDEX(tun_PriestShare,G127)*tun_OutPriest+INDEX(tun_ScribeShare,G127)*tun_OutScribe*INDEX(LM_Scribe,G127)+INDEX(tun_ScholarShare,G127)*tun_OutScholar*INDEX(LM_Scholar,G127)+INDEX(tun_ResearcherShare,G127)*tun_OutResearcher*INDEX(LM_Researcher,G127)))</x:f>
        <x:v>48</x:v>
      </x:c>
      <x:c r="AL127" s="32" t="n">
        <x:f>H127*tun_RoleScale*Arch_Roles*AE127*INDEX(tun_MonasteryPerSett,G127)*tun_OutMonastery*INDEX(LM_Monastery,G127)</x:f>
        <x:v>0</x:v>
      </x:c>
      <x:c r="AM127" s="32" t="n">
        <x:f>(AJ127+AK127+AL127)/4*INDEX(LM_All,G127)*INDEX(tun_Boon,G127)*Arch_Insight</x:f>
        <x:v>66.29111560915707</x:v>
      </x:c>
      <x:c r="AN127" s="32" t="n">
        <x:f>H127*(tun_KHPerAdult*Z127+tun_KHOfCommons*AJ127/4*INDEX(LM_All,G127))*tun_KHUsable*Arch_KH</x:f>
        <x:v>12.518725353235915</x:v>
      </x:c>
      <x:c r="AO127" s="32" t="n">
        <x:f>MIN(AP126+AN127,AM127*tun_KHMaxRatio)</x:f>
        <x:v>12.518725353235915</x:v>
      </x:c>
      <x:c r="AP127" s="32" t="n">
        <x:f>AP126+AN127-AO127</x:f>
        <x:v>0</x:v>
      </x:c>
      <x:c r="AQ127" s="32" t="n">
        <x:f>AM127+AO127</x:f>
        <x:v>78.809840962393</x:v>
      </x:c>
      <x:c r="AR127" s="10" t="n">
        <x:f>IF(H127=1,INDEX(tun_Req,G127),0)</x:f>
        <x:v>3321.0609999999997</x:v>
      </x:c>
      <x:c r="AS127" s="32" t="n">
        <x:f>IF(H127=1,IF(E127=1,AS126-AR126,AS126)+AQ127,0)</x:f>
        <x:v>3125.387057073171</x:v>
      </x:c>
      <x:c r="AT127" s="11" t="n">
        <x:f>IF(AR127&gt;0,MIN(1,AS127/AR127),1)</x:f>
        <x:v>0.9410808946517909</x:v>
      </x:c>
      <x:c r="AU127" s="10" t="n">
        <x:f>AB127/INDEX(tun_RepScale,G127)</x:f>
        <x:v>125.66799042754471</x:v>
      </x:c>
      <x:c r="AV127" s="32" t="n">
        <x:f>AM127*60/tun_SeasonSeconds</x:f>
        <x:v>265.1644624366283</x:v>
      </x:c>
    </x:row>
    <x:row r="128">
      <x:c r="A128" s="8" t="n">
        <x:f>A127+1</x:f>
        <x:v>125</x:v>
      </x:c>
      <x:c r="B128" s="9" t="n">
        <x:f>A128*tun_SeasonSeconds/60</x:f>
        <x:v>31.25</x:v>
      </x:c>
      <x:c r="C128" s="9" t="n">
        <x:f>A128/4</x:f>
        <x:v>31.25</x:v>
      </x:c>
      <x:c r="D128" s="8" t="n">
        <x:f>IF(MOD(A128,4)=0,1,0)</x:f>
        <x:v>0</x:v>
      </x:c>
      <x:c r="E128" s="8" t="n">
        <x:f>IF(AND(F127&lt;=9,AS127&gt;=AR127),1,0)</x:f>
        <x:v>0</x:v>
      </x:c>
      <x:c r="F128" s="8" t="n">
        <x:f>MIN(10,F127+E128)</x:f>
        <x:v>2</x:v>
      </x:c>
      <x:c r="G128" s="8" t="n">
        <x:f>MIN(F128,9)+1</x:f>
        <x:v>3</x:v>
      </x:c>
      <x:c r="H128" s="8" t="n">
        <x:f>IF(F128&lt;=9,1,0)</x:f>
        <x:v>1</x:v>
      </x:c>
      <x:c r="I128" s="9" t="n">
        <x:f>MIN(10,F127+IF(AR127&gt;0,MIN(1,AS127/AR127),1))</x:f>
        <x:v>2.941080894651791</x:v>
      </x:c>
      <x:c r="J128" s="32" t="n">
        <x:f>INDEX(tun_FoodCap,G128)*Arch_FoodCap*EXP(tun_CapsByProject*SUMPRODUCT((Cap_Point&lt;=I128)*(Cap_Kind="Food")*Cap_Ln))</x:f>
        <x:v>88.18366924681426</x:v>
      </x:c>
      <x:c r="K128" s="32" t="n">
        <x:f>J128*MIN(1,tun_LeanBase*EXP(tun_CapsByProject*SUMPRODUCT((Cap_Point&lt;=I128)*(Cap_Kind="Lean")*Cap_Ln)))</x:f>
        <x:v>88.18366924681426</x:v>
      </x:c>
      <x:c r="L128" s="10" t="n">
        <x:f>INDEX(tun_HousingCap,G128)*EXP(tun_CapsByProject*SUMPRODUCT((Cap_Point&lt;=I128)*(Cap_Kind="Housing")*Cap_Ln))</x:f>
        <x:v>394.875</x:v>
      </x:c>
      <x:c r="M128" s="10" t="n">
        <x:f>INDEX(tun_GroupCap,G128)*tun_CohesionFactor*EXP(tun_CapsByProject*SUMPRODUCT((Cap_Point&lt;=I128)*(Cap_Kind="Group")*Cap_Ln))</x:f>
        <x:v>2000.0000000000011</x:v>
      </x:c>
      <x:c r="N128" s="32" t="n">
        <x:f>MIN(J128,L128,M128)</x:f>
        <x:v>88.18366924681426</x:v>
      </x:c>
      <x:c r="O128" s="10" t="n">
        <x:f>AE127*N128</x:f>
        <x:v>176.36733849362852</x:v>
      </x:c>
      <x:c r="P128" s="9" t="n">
        <x:f>MIN(1,(AB127/(AE127*IF(tun_GroupInCrowding=1,N128,MIN(J128,L128))))^tun_CrowdingExp)</x:f>
        <x:v>0.1308696843045107</x:v>
      </x:c>
      <x:c r="Q128" s="9" t="n">
        <x:f>IF(D128=1,INDEX(tun_WinterMult,G128),1)</x:f>
        <x:v>1</x:v>
      </x:c>
      <x:c r="R128" s="9" t="n">
        <x:f>H128*Z127*tun_WomenShare*tun_BaseFertility*INDEX(tun_FertMult,G128)*Arch_Fertility*(1-P128)</x:f>
        <x:v>3.1512534576102165</x:v>
      </x:c>
      <x:c r="S128" s="9" t="n">
        <x:f>H128*Y127*INDEX(tun_MortChild,G128)/4*Q128</x:f>
        <x:v>0.6340624741096819</x:v>
      </x:c>
      <x:c r="T128" s="9" t="n">
        <x:f>H128*Z127*INDEX(tun_MortAdult,G128)*Arch_AdultMort/4*Q128</x:f>
        <x:v>0.12872502426833135</x:v>
      </x:c>
      <x:c r="U128" s="9" t="n">
        <x:f>H128*AA127*INDEX(tun_MortElder,G128)/4*Q128</x:f>
        <x:v>0.14670896905359912</x:v>
      </x:c>
      <x:c r="V128" s="9" t="n">
        <x:f>H128*MAX(0,AB127-O128)*tun_OvercapLoss</x:f>
        <x:v>0</x:v>
      </x:c>
      <x:c r="W128" s="9" t="n">
        <x:f>H128*Y127/(tun_ChildYears*4)</x:f>
        <x:v>1.2940050492034323</x:v>
      </x:c>
      <x:c r="X128" s="9" t="n">
        <x:f>H128*Z127/(tun_AdultYears*4)</x:f>
        <x:v>0.34603501147400906</x:v>
      </x:c>
      <x:c r="Y128" s="32" t="n">
        <x:f>Y127+R128-S128-W128-Y127*V128/AB127</x:f>
        <x:v>73.6874686896893</x:v>
      </x:c>
      <x:c r="Z128" s="32" t="n">
        <x:f>Z127+W128-X128-T128-Z127*V128/AB127</x:f>
        <x:v>43.72758643623821</x:v>
      </x:c>
      <x:c r="AA128" s="32" t="n">
        <x:f>AA127+X128-U128-AA127*V128/AB127</x:f>
        <x:v>10.494692291795788</x:v>
      </x:c>
      <x:c r="AB128" s="10" t="n">
        <x:f>Y128+Z128+AA128</x:f>
        <x:v>127.9097474177233</x:v>
      </x:c>
      <x:c r="AC128" s="8" t="n">
        <x:f>IF(AND(tun_WinterTrigger=1,D128=1,AB127/AE127&gt;=K128),1,0)</x:f>
        <x:v>0</x:v>
      </x:c>
      <x:c r="AD128" s="8" t="n">
        <x:f>H128*IF(AND(OR(AB127/AE127&gt;=tun_FissionTrigger*N128,AC128=1),AB127/AE127*tun_DaughterShare&gt;=tun_MinDaughter),MAX(1,ROUND(AE127*tun_FissionRate,0)),0)</x:f>
        <x:v>0</x:v>
      </x:c>
      <x:c r="AE128" s="8" t="n">
        <x:f>IF(H128=1,MAX(1,MIN(INDEX(tun_Smax,G128),AE127+AD128)),AE127)</x:f>
        <x:v>2</x:v>
      </x:c>
      <x:c r="AF128" s="8" t="n">
        <x:f>MAX(0,AE128-AE127)</x:f>
        <x:v>0</x:v>
      </x:c>
      <x:c r="AG128" s="9" t="str">
        <x:f>IF(AF128&gt;0,B128,"")</x:f>
      </x:c>
      <x:c r="AH128" s="9" t="n">
        <x:f>IF(F128&gt;=1,1,(1+tun_LowTiesShare*(AE128-1))/AE128)</x:f>
        <x:v>1</x:v>
      </x:c>
      <x:c r="AI128" s="32" t="n">
        <x:f>(Z128+tun_ElderCommons*INDEX(LM_Elder,G128)*AA128)*AH128</x:f>
        <x:v>75.21166331162559</x:v>
      </x:c>
      <x:c r="AJ128" s="32" t="n">
        <x:f>H128*tun_CommonsCoef*AI128^tun_CommonsExp*INDEX(LM_Commons,G128)</x:f>
        <x:v>207.71905435203323</x:v>
      </x:c>
      <x:c r="AK128" s="32" t="n">
        <x:f>H128*tun_RoleScale*Arch_Roles*(AE128*(INDEX(tun_ElderRolePerSett,G128)*tun_OutElder*INDEX(LM_Elder,G128)+INDEX(tun_ShamanPerSett,G128)*tun_OutShaman)+Z128*(INDEX(tun_PriestShare,G128)*tun_OutPriest+INDEX(tun_ScribeShare,G128)*tun_OutScribe*INDEX(LM_Scribe,G128)+INDEX(tun_ScholarShare,G128)*tun_OutScholar*INDEX(LM_Scholar,G128)+INDEX(tun_ResearcherShare,G128)*tun_OutResearcher*INDEX(LM_Researcher,G128)))</x:f>
        <x:v>48</x:v>
      </x:c>
      <x:c r="AL128" s="32" t="n">
        <x:f>H128*tun_RoleScale*Arch_Roles*AE128*INDEX(tun_MonasteryPerSett,G128)*tun_OutMonastery*INDEX(LM_Monastery,G128)</x:f>
        <x:v>0</x:v>
      </x:c>
      <x:c r="AM128" s="32" t="n">
        <x:f>(AJ128+AK128+AL128)/4*INDEX(LM_All,G128)*INDEX(tun_Boon,G128)*Arch_Insight</x:f>
        <x:v>67.16620786965122</x:v>
      </x:c>
      <x:c r="AN128" s="32" t="n">
        <x:f>H128*(tun_KHPerAdult*Z128+tun_KHOfCommons*AJ128/4*INDEX(LM_All,G128))*tun_KHUsable*Arch_KH</x:f>
        <x:v>12.722792079062033</x:v>
      </x:c>
      <x:c r="AO128" s="32" t="n">
        <x:f>MIN(AP127+AN128,AM128*tun_KHMaxRatio)</x:f>
        <x:v>12.722792079062033</x:v>
      </x:c>
      <x:c r="AP128" s="32" t="n">
        <x:f>AP127+AN128-AO128</x:f>
        <x:v>0</x:v>
      </x:c>
      <x:c r="AQ128" s="32" t="n">
        <x:f>AM128+AO128</x:f>
        <x:v>79.88899994871325</x:v>
      </x:c>
      <x:c r="AR128" s="10" t="n">
        <x:f>IF(H128=1,INDEX(tun_Req,G128),0)</x:f>
        <x:v>3321.0609999999997</x:v>
      </x:c>
      <x:c r="AS128" s="32" t="n">
        <x:f>IF(H128=1,IF(E128=1,AS127-AR127,AS127)+AQ128,0)</x:f>
        <x:v>3205.2760570218843</x:v>
      </x:c>
      <x:c r="AT128" s="11" t="n">
        <x:f>IF(AR128&gt;0,MIN(1,AS128/AR128),1)</x:f>
        <x:v>0.9651361589027978</x:v>
      </x:c>
      <x:c r="AU128" s="10" t="n">
        <x:f>AB128/INDEX(tun_RepScale,G128)</x:f>
        <x:v>127.9097474177233</x:v>
      </x:c>
      <x:c r="AV128" s="32" t="n">
        <x:f>AM128*60/tun_SeasonSeconds</x:f>
        <x:v>268.66483147860487</x:v>
      </x:c>
    </x:row>
    <x:row r="129">
      <x:c r="A129" s="8" t="n">
        <x:f>A128+1</x:f>
        <x:v>126</x:v>
      </x:c>
      <x:c r="B129" s="9" t="n">
        <x:f>A129*tun_SeasonSeconds/60</x:f>
        <x:v>31.5</x:v>
      </x:c>
      <x:c r="C129" s="9" t="n">
        <x:f>A129/4</x:f>
        <x:v>31.5</x:v>
      </x:c>
      <x:c r="D129" s="8" t="n">
        <x:f>IF(MOD(A129,4)=0,1,0)</x:f>
        <x:v>0</x:v>
      </x:c>
      <x:c r="E129" s="8" t="n">
        <x:f>IF(AND(F128&lt;=9,AS128&gt;=AR128),1,0)</x:f>
        <x:v>0</x:v>
      </x:c>
      <x:c r="F129" s="8" t="n">
        <x:f>MIN(10,F128+E129)</x:f>
        <x:v>2</x:v>
      </x:c>
      <x:c r="G129" s="8" t="n">
        <x:f>MIN(F129,9)+1</x:f>
        <x:v>3</x:v>
      </x:c>
      <x:c r="H129" s="8" t="n">
        <x:f>IF(F129&lt;=9,1,0)</x:f>
        <x:v>1</x:v>
      </x:c>
      <x:c r="I129" s="9" t="n">
        <x:f>MIN(10,F128+IF(AR128&gt;0,MIN(1,AS128/AR128),1))</x:f>
        <x:v>2.965136158902798</x:v>
      </x:c>
      <x:c r="J129" s="32" t="n">
        <x:f>INDEX(tun_FoodCap,G129)*Arch_FoodCap*EXP(tun_CapsByProject*SUMPRODUCT((Cap_Point&lt;=I129)*(Cap_Kind="Food")*Cap_Ln))</x:f>
        <x:v>88.18366924681426</x:v>
      </x:c>
      <x:c r="K129" s="32" t="n">
        <x:f>J129*MIN(1,tun_LeanBase*EXP(tun_CapsByProject*SUMPRODUCT((Cap_Point&lt;=I129)*(Cap_Kind="Lean")*Cap_Ln)))</x:f>
        <x:v>88.18366924681426</x:v>
      </x:c>
      <x:c r="L129" s="10" t="n">
        <x:f>INDEX(tun_HousingCap,G129)*EXP(tun_CapsByProject*SUMPRODUCT((Cap_Point&lt;=I129)*(Cap_Kind="Housing")*Cap_Ln))</x:f>
        <x:v>394.875</x:v>
      </x:c>
      <x:c r="M129" s="10" t="n">
        <x:f>INDEX(tun_GroupCap,G129)*tun_CohesionFactor*EXP(tun_CapsByProject*SUMPRODUCT((Cap_Point&lt;=I129)*(Cap_Kind="Group")*Cap_Ln))</x:f>
        <x:v>2000.0000000000011</x:v>
      </x:c>
      <x:c r="N129" s="32" t="n">
        <x:f>MIN(J129,L129,M129)</x:f>
        <x:v>88.18366924681426</x:v>
      </x:c>
      <x:c r="O129" s="10" t="n">
        <x:f>AE128*N129</x:f>
        <x:v>176.36733849362852</x:v>
      </x:c>
      <x:c r="P129" s="9" t="n">
        <x:f>MIN(1,(AB128/(AE128*IF(tun_GroupInCrowding=1,N129,MIN(J129,L129))))^tun_CrowdingExp)</x:f>
        <x:v>0.14551671467847044</x:v>
      </x:c>
      <x:c r="Q129" s="9" t="n">
        <x:f>IF(D129=1,INDEX(tun_WinterMult,G129),1)</x:f>
        <x:v>1</x:v>
      </x:c>
      <x:c r="R129" s="9" t="n">
        <x:f>H129*Z128*tun_WomenShare*tun_BaseFertility*INDEX(tun_FertMult,G129)*Arch_Fertility*(1-P129)</x:f>
        <x:v>3.15729955010492</x:v>
      </x:c>
      <x:c r="S129" s="9" t="n">
        <x:f>H129*Y128*INDEX(tun_MortChild,G129)/4*Q129</x:f>
        <x:v>0.6447653510347814</x:v>
      </x:c>
      <x:c r="T129" s="9" t="n">
        <x:f>H129*Z128*INDEX(tun_MortAdult,G129)*Arch_AdultMort/4*Q129</x:f>
        <x:v>0.13118275930871465</x:v>
      </x:c>
      <x:c r="U129" s="9" t="n">
        <x:f>H129*AA128*INDEX(tun_MortElder,G129)/4*Q129</x:f>
        <x:v>0.14954936515808998</x:v>
      </x:c>
      <x:c r="V129" s="9" t="n">
        <x:f>H129*MAX(0,AB128-O129)*tun_OvercapLoss</x:f>
        <x:v>0</x:v>
      </x:c>
      <x:c r="W129" s="9" t="n">
        <x:f>H129*Y128/(tun_ChildYears*4)</x:f>
        <x:v>1.3158476551730232</x:v>
      </x:c>
      <x:c r="X129" s="9" t="n">
        <x:f>H129*Z128/(tun_AdultYears*4)</x:f>
        <x:v>0.35264182609869527</x:v>
      </x:c>
      <x:c r="Y129" s="32" t="n">
        <x:f>Y128+R129-S129-W129-Y128*V129/AB128</x:f>
        <x:v>74.88415523358643</x:v>
      </x:c>
      <x:c r="Z129" s="32" t="n">
        <x:f>Z128+W129-X129-T129-Z128*V129/AB128</x:f>
        <x:v>44.559609506003824</x:v>
      </x:c>
      <x:c r="AA129" s="32" t="n">
        <x:f>AA128+X129-U129-AA128*V129/AB128</x:f>
        <x:v>10.697784752736393</x:v>
      </x:c>
      <x:c r="AB129" s="10" t="n">
        <x:f>Y129+Z129+AA129</x:f>
        <x:v>130.14154949232665</x:v>
      </x:c>
      <x:c r="AC129" s="8" t="n">
        <x:f>IF(AND(tun_WinterTrigger=1,D129=1,AB128/AE128&gt;=K129),1,0)</x:f>
        <x:v>0</x:v>
      </x:c>
      <x:c r="AD129" s="8" t="n">
        <x:f>H129*IF(AND(OR(AB128/AE128&gt;=tun_FissionTrigger*N129,AC129=1),AB128/AE128*tun_DaughterShare&gt;=tun_MinDaughter),MAX(1,ROUND(AE128*tun_FissionRate,0)),0)</x:f>
        <x:v>0</x:v>
      </x:c>
      <x:c r="AE129" s="8" t="n">
        <x:f>IF(H129=1,MAX(1,MIN(INDEX(tun_Smax,G129),AE128+AD129)),AE128)</x:f>
        <x:v>2</x:v>
      </x:c>
      <x:c r="AF129" s="8" t="n">
        <x:f>MAX(0,AE129-AE128)</x:f>
        <x:v>0</x:v>
      </x:c>
      <x:c r="AG129" s="9" t="str">
        <x:f>IF(AF129&gt;0,B129,"")</x:f>
      </x:c>
      <x:c r="AH129" s="9" t="n">
        <x:f>IF(F129&gt;=1,1,(1+tun_LowTiesShare*(AE129-1))/AE129)</x:f>
        <x:v>1</x:v>
      </x:c>
      <x:c r="AI129" s="32" t="n">
        <x:f>(Z129+tun_ElderCommons*INDEX(LM_Elder,G129)*AA129)*AH129</x:f>
        <x:v>76.652963764213</x:v>
      </x:c>
      <x:c r="AJ129" s="32" t="n">
        <x:f>H129*tun_CommonsCoef*AI129^tun_CommonsExp*INDEX(LM_Commons,G129)</x:f>
        <x:v>211.097714436571</x:v>
      </x:c>
      <x:c r="AK129" s="32" t="n">
        <x:f>H129*tun_RoleScale*Arch_Roles*(AE129*(INDEX(tun_ElderRolePerSett,G129)*tun_OutElder*INDEX(LM_Elder,G129)+INDEX(tun_ShamanPerSett,G129)*tun_OutShaman)+Z129*(INDEX(tun_PriestShare,G129)*tun_OutPriest+INDEX(tun_ScribeShare,G129)*tun_OutScribe*INDEX(LM_Scribe,G129)+INDEX(tun_ScholarShare,G129)*tun_OutScholar*INDEX(LM_Scholar,G129)+INDEX(tun_ResearcherShare,G129)*tun_OutResearcher*INDEX(LM_Researcher,G129)))</x:f>
        <x:v>48</x:v>
      </x:c>
      <x:c r="AL129" s="32" t="n">
        <x:f>H129*tun_RoleScale*Arch_Roles*AE129*INDEX(tun_MonasteryPerSett,G129)*tun_OutMonastery*INDEX(LM_Monastery,G129)</x:f>
        <x:v>0</x:v>
      </x:c>
      <x:c r="AM129" s="32" t="n">
        <x:f>(AJ129+AK129+AL129)/4*INDEX(LM_All,G129)*INDEX(tun_Boon,G129)*Arch_Insight</x:f>
        <x:v>68.0536340574806</x:v>
      </x:c>
      <x:c r="AN129" s="32" t="n">
        <x:f>H129*(tun_KHPerAdult*Z129+tun_KHOfCommons*AJ129/4*INDEX(LM_All,G129))*tun_KHUsable*Arch_KH</x:f>
        <x:v>12.929735009239973</x:v>
      </x:c>
      <x:c r="AO129" s="32" t="n">
        <x:f>MIN(AP128+AN129,AM129*tun_KHMaxRatio)</x:f>
        <x:v>12.929735009239973</x:v>
      </x:c>
      <x:c r="AP129" s="32" t="n">
        <x:f>AP128+AN129-AO129</x:f>
        <x:v>0</x:v>
      </x:c>
      <x:c r="AQ129" s="32" t="n">
        <x:f>AM129+AO129</x:f>
        <x:v>80.98336906672057</x:v>
      </x:c>
      <x:c r="AR129" s="10" t="n">
        <x:f>IF(H129=1,INDEX(tun_Req,G129),0)</x:f>
        <x:v>3321.0609999999997</x:v>
      </x:c>
      <x:c r="AS129" s="32" t="n">
        <x:f>IF(H129=1,IF(E129=1,AS128-AR128,AS128)+AQ129,0)</x:f>
        <x:v>3286.259426088605</x:v>
      </x:c>
      <x:c r="AT129" s="11" t="n">
        <x:f>IF(AR129&gt;0,MIN(1,AS129/AR129),1)</x:f>
        <x:v>0.9895209470975105</x:v>
      </x:c>
      <x:c r="AU129" s="10" t="n">
        <x:f>AB129/INDEX(tun_RepScale,G129)</x:f>
        <x:v>130.14154949232665</x:v>
      </x:c>
      <x:c r="AV129" s="32" t="n">
        <x:f>AM129*60/tun_SeasonSeconds</x:f>
        <x:v>272.2145362299224</x:v>
      </x:c>
    </x:row>
    <x:row r="130">
      <x:c r="A130" s="8" t="n">
        <x:f>A129+1</x:f>
        <x:v>127</x:v>
      </x:c>
      <x:c r="B130" s="9" t="n">
        <x:f>A130*tun_SeasonSeconds/60</x:f>
        <x:v>31.75</x:v>
      </x:c>
      <x:c r="C130" s="9" t="n">
        <x:f>A130/4</x:f>
        <x:v>31.75</x:v>
      </x:c>
      <x:c r="D130" s="8" t="n">
        <x:f>IF(MOD(A130,4)=0,1,0)</x:f>
        <x:v>0</x:v>
      </x:c>
      <x:c r="E130" s="8" t="n">
        <x:f>IF(AND(F129&lt;=9,AS129&gt;=AR129),1,0)</x:f>
        <x:v>0</x:v>
      </x:c>
      <x:c r="F130" s="8" t="n">
        <x:f>MIN(10,F129+E130)</x:f>
        <x:v>2</x:v>
      </x:c>
      <x:c r="G130" s="8" t="n">
        <x:f>MIN(F130,9)+1</x:f>
        <x:v>3</x:v>
      </x:c>
      <x:c r="H130" s="8" t="n">
        <x:f>IF(F130&lt;=9,1,0)</x:f>
        <x:v>1</x:v>
      </x:c>
      <x:c r="I130" s="9" t="n">
        <x:f>MIN(10,F129+IF(AR129&gt;0,MIN(1,AS129/AR129),1))</x:f>
        <x:v>2.9895209470975104</x:v>
      </x:c>
      <x:c r="J130" s="32" t="n">
        <x:f>INDEX(tun_FoodCap,G130)*Arch_FoodCap*EXP(tun_CapsByProject*SUMPRODUCT((Cap_Point&lt;=I130)*(Cap_Kind="Food")*Cap_Ln))</x:f>
        <x:v>88.18366924681426</x:v>
      </x:c>
      <x:c r="K130" s="32" t="n">
        <x:f>J130*MIN(1,tun_LeanBase*EXP(tun_CapsByProject*SUMPRODUCT((Cap_Point&lt;=I130)*(Cap_Kind="Lean")*Cap_Ln)))</x:f>
        <x:v>88.18366924681426</x:v>
      </x:c>
      <x:c r="L130" s="10" t="n">
        <x:f>INDEX(tun_HousingCap,G130)*EXP(tun_CapsByProject*SUMPRODUCT((Cap_Point&lt;=I130)*(Cap_Kind="Housing")*Cap_Ln))</x:f>
        <x:v>394.875</x:v>
      </x:c>
      <x:c r="M130" s="10" t="n">
        <x:f>INDEX(tun_GroupCap,G130)*tun_CohesionFactor*EXP(tun_CapsByProject*SUMPRODUCT((Cap_Point&lt;=I130)*(Cap_Kind="Group")*Cap_Ln))</x:f>
        <x:v>2000.0000000000011</x:v>
      </x:c>
      <x:c r="N130" s="32" t="n">
        <x:f>MIN(J130,L130,M130)</x:f>
        <x:v>88.18366924681426</x:v>
      </x:c>
      <x:c r="O130" s="10" t="n">
        <x:f>AE129*N130</x:f>
        <x:v>176.36733849362852</x:v>
      </x:c>
      <x:c r="P130" s="9" t="n">
        <x:f>MIN(1,(AB129/(AE129*IF(tun_GroupInCrowding=1,N130,MIN(J130,L130))))^tun_CrowdingExp)</x:f>
        <x:v>0.1614309759927727</x:v>
      </x:c>
      <x:c r="Q130" s="9" t="n">
        <x:f>IF(D130=1,INDEX(tun_WinterMult,G130),1)</x:f>
        <x:v>1</x:v>
      </x:c>
      <x:c r="R130" s="9" t="n">
        <x:f>H130*Z129*tun_WomenShare*tun_BaseFertility*INDEX(tun_FertMult,G130)*Arch_Fertility*(1-P130)</x:f>
        <x:v>3.157453047428591</x:v>
      </x:c>
      <x:c r="S130" s="9" t="n">
        <x:f>H130*Y129*INDEX(tun_MortChild,G130)/4*Q130</x:f>
        <x:v>0.6552363582938813</x:v>
      </x:c>
      <x:c r="T130" s="9" t="n">
        <x:f>H130*Z129*INDEX(tun_MortAdult,G130)*Arch_AdultMort/4*Q130</x:f>
        <x:v>0.13367882851801147</x:v>
      </x:c>
      <x:c r="U130" s="9" t="n">
        <x:f>H130*AA129*INDEX(tun_MortElder,G130)/4*Q130</x:f>
        <x:v>0.1524434327264936</x:v>
      </x:c>
      <x:c r="V130" s="9" t="n">
        <x:f>H130*MAX(0,AB129-O130)*tun_OvercapLoss</x:f>
        <x:v>0</x:v>
      </x:c>
      <x:c r="W130" s="9" t="n">
        <x:f>H130*Y129/(tun_ChildYears*4)</x:f>
        <x:v>1.3372170577426148</x:v>
      </x:c>
      <x:c r="X130" s="9" t="n">
        <x:f>H130*Z129/(tun_AdultYears*4)</x:f>
        <x:v>0.35935168956454694</x:v>
      </x:c>
      <x:c r="Y130" s="32" t="n">
        <x:f>Y129+R130-S130-W130-Y129*V130/AB129</x:f>
        <x:v>76.04915486497852</x:v>
      </x:c>
      <x:c r="Z130" s="32" t="n">
        <x:f>Z129+W130-X130-T130-Z129*V130/AB129</x:f>
        <x:v>45.403796045663874</x:v>
      </x:c>
      <x:c r="AA130" s="32" t="n">
        <x:f>AA129+X130-U130-AA129*V130/AB129</x:f>
        <x:v>10.904693009574446</x:v>
      </x:c>
      <x:c r="AB130" s="10" t="n">
        <x:f>Y130+Z130+AA130</x:f>
        <x:v>132.35764392021684</x:v>
      </x:c>
      <x:c r="AC130" s="8" t="n">
        <x:f>IF(AND(tun_WinterTrigger=1,D130=1,AB129/AE129&gt;=K130),1,0)</x:f>
        <x:v>0</x:v>
      </x:c>
      <x:c r="AD130" s="8" t="n">
        <x:f>H130*IF(AND(OR(AB129/AE129&gt;=tun_FissionTrigger*N130,AC130=1),AB129/AE129*tun_DaughterShare&gt;=tun_MinDaughter),MAX(1,ROUND(AE129*tun_FissionRate,0)),0)</x:f>
        <x:v>0</x:v>
      </x:c>
      <x:c r="AE130" s="8" t="n">
        <x:f>IF(H130=1,MAX(1,MIN(INDEX(tun_Smax,G130),AE129+AD130)),AE129)</x:f>
        <x:v>2</x:v>
      </x:c>
      <x:c r="AF130" s="8" t="n">
        <x:f>MAX(0,AE130-AE129)</x:f>
        <x:v>0</x:v>
      </x:c>
      <x:c r="AG130" s="9" t="str">
        <x:f>IF(AF130&gt;0,B130,"")</x:f>
      </x:c>
      <x:c r="AH130" s="9" t="n">
        <x:f>IF(F130&gt;=1,1,(1+tun_LowTiesShare*(AE130-1))/AE130)</x:f>
        <x:v>1</x:v>
      </x:c>
      <x:c r="AI130" s="32" t="n">
        <x:f>(Z130+tun_ElderCommons*INDEX(LM_Elder,G130)*AA130)*AH130</x:f>
        <x:v>78.11787507438721</x:v>
      </x:c>
      <x:c r="AJ130" s="32" t="n">
        <x:f>H130*tun_CommonsCoef*AI130^tun_CommonsExp*INDEX(LM_Commons,G130)</x:f>
        <x:v>214.52197203260408</x:v>
      </x:c>
      <x:c r="AK130" s="32" t="n">
        <x:f>H130*tun_RoleScale*Arch_Roles*(AE130*(INDEX(tun_ElderRolePerSett,G130)*tun_OutElder*INDEX(LM_Elder,G130)+INDEX(tun_ShamanPerSett,G130)*tun_OutShaman)+Z130*(INDEX(tun_PriestShare,G130)*tun_OutPriest+INDEX(tun_ScribeShare,G130)*tun_OutScribe*INDEX(LM_Scribe,G130)+INDEX(tun_ScholarShare,G130)*tun_OutScholar*INDEX(LM_Scholar,G130)+INDEX(tun_ResearcherShare,G130)*tun_OutResearcher*INDEX(LM_Researcher,G130)))</x:f>
        <x:v>48</x:v>
      </x:c>
      <x:c r="AL130" s="32" t="n">
        <x:f>H130*tun_RoleScale*Arch_Roles*AE130*INDEX(tun_MonasteryPerSett,G130)*tun_OutMonastery*INDEX(LM_Monastery,G130)</x:f>
        <x:v>0</x:v>
      </x:c>
      <x:c r="AM130" s="32" t="n">
        <x:f>(AJ130+AK130+AL130)/4*INDEX(LM_All,G130)*INDEX(tun_Boon,G130)*Arch_Insight</x:f>
        <x:v>68.95303671668866</x:v>
      </x:c>
      <x:c r="AN130" s="32" t="n">
        <x:f>H130*(tun_KHPerAdult*Z130+tun_KHOfCommons*AJ130/4*INDEX(LM_All,G130))*tun_KHUsable*Arch_KH</x:f>
        <x:v>13.139470786996997</x:v>
      </x:c>
      <x:c r="AO130" s="32" t="n">
        <x:f>MIN(AP129+AN130,AM130*tun_KHMaxRatio)</x:f>
        <x:v>13.139470786996997</x:v>
      </x:c>
      <x:c r="AP130" s="32" t="n">
        <x:f>AP129+AN130-AO130</x:f>
        <x:v>0</x:v>
      </x:c>
      <x:c r="AQ130" s="32" t="n">
        <x:f>AM130+AO130</x:f>
        <x:v>82.09250750368565</x:v>
      </x:c>
      <x:c r="AR130" s="10" t="n">
        <x:f>IF(H130=1,INDEX(tun_Req,G130),0)</x:f>
        <x:v>3321.0609999999997</x:v>
      </x:c>
      <x:c r="AS130" s="32" t="n">
        <x:f>IF(H130=1,IF(E130=1,AS129-AR129,AS129)+AQ130,0)</x:f>
        <x:v>3368.3519335922906</x:v>
      </x:c>
      <x:c r="AT130" s="11" t="n">
        <x:f>IF(AR130&gt;0,MIN(1,AS130/AR130),1)</x:f>
        <x:v>1</x:v>
      </x:c>
      <x:c r="AU130" s="10" t="n">
        <x:f>AB130/INDEX(tun_RepScale,G130)</x:f>
        <x:v>132.35764392021684</x:v>
      </x:c>
      <x:c r="AV130" s="32" t="n">
        <x:f>AM130*60/tun_SeasonSeconds</x:f>
        <x:v>275.81214686675463</x:v>
      </x:c>
    </x:row>
    <x:row r="131">
      <x:c r="A131" s="8" t="n">
        <x:f>A130+1</x:f>
        <x:v>128</x:v>
      </x:c>
      <x:c r="B131" s="9" t="n">
        <x:f>A131*tun_SeasonSeconds/60</x:f>
        <x:v>32</x:v>
      </x:c>
      <x:c r="C131" s="9" t="n">
        <x:f>A131/4</x:f>
        <x:v>32</x:v>
      </x:c>
      <x:c r="D131" s="8" t="n">
        <x:f>IF(MOD(A131,4)=0,1,0)</x:f>
        <x:v>1</x:v>
      </x:c>
      <x:c r="E131" s="8" t="n">
        <x:f>IF(AND(F130&lt;=9,AS130&gt;=AR130),1,0)</x:f>
        <x:v>1</x:v>
      </x:c>
      <x:c r="F131" s="8" t="n">
        <x:f>MIN(10,F130+E131)</x:f>
        <x:v>3</x:v>
      </x:c>
      <x:c r="G131" s="8" t="n">
        <x:f>MIN(F131,9)+1</x:f>
        <x:v>4</x:v>
      </x:c>
      <x:c r="H131" s="8" t="n">
        <x:f>IF(F131&lt;=9,1,0)</x:f>
        <x:v>1</x:v>
      </x:c>
      <x:c r="I131" s="9" t="n">
        <x:f>MIN(10,F130+IF(AR130&gt;0,MIN(1,AS130/AR130),1))</x:f>
        <x:v>3</x:v>
      </x:c>
      <x:c r="J131" s="32" t="n">
        <x:f>INDEX(tun_FoodCap,G131)*Arch_FoodCap*EXP(tun_CapsByProject*SUMPRODUCT((Cap_Point&lt;=I131)*(Cap_Kind="Food")*Cap_Ln))</x:f>
        <x:v>88.18366924681426</x:v>
      </x:c>
      <x:c r="K131" s="32" t="n">
        <x:f>J131*MIN(1,tun_LeanBase*EXP(tun_CapsByProject*SUMPRODUCT((Cap_Point&lt;=I131)*(Cap_Kind="Lean")*Cap_Ln)))</x:f>
        <x:v>88.18366924681426</x:v>
      </x:c>
      <x:c r="L131" s="10" t="n">
        <x:f>INDEX(tun_HousingCap,G131)*EXP(tun_CapsByProject*SUMPRODUCT((Cap_Point&lt;=I131)*(Cap_Kind="Housing")*Cap_Ln))</x:f>
        <x:v>394.875</x:v>
      </x:c>
      <x:c r="M131" s="10" t="n">
        <x:f>INDEX(tun_GroupCap,G131)*tun_CohesionFactor*EXP(tun_CapsByProject*SUMPRODUCT((Cap_Point&lt;=I131)*(Cap_Kind="Group")*Cap_Ln))</x:f>
        <x:v>2000.0000000000011</x:v>
      </x:c>
      <x:c r="N131" s="32" t="n">
        <x:f>MIN(J131,L131,M131)</x:f>
        <x:v>88.18366924681426</x:v>
      </x:c>
      <x:c r="O131" s="10" t="n">
        <x:f>AE130*N131</x:f>
        <x:v>176.36733849362852</x:v>
      </x:c>
      <x:c r="P131" s="9" t="n">
        <x:f>MIN(1,(AB130/(AE130*IF(tun_GroupInCrowding=1,N131,MIN(J131,L131))))^tun_CrowdingExp)</x:f>
        <x:v>0.1786426693627372</x:v>
      </x:c>
      <x:c r="Q131" s="9" t="n">
        <x:f>IF(D131=1,INDEX(tun_WinterMult,G131),1)</x:f>
        <x:v>1.25</x:v>
      </x:c>
      <x:c r="R131" s="9" t="n">
        <x:f>H131*Z130*tun_WomenShare*tun_BaseFertility*INDEX(tun_FertMult,G131)*Arch_Fertility*(1-P131)</x:f>
        <x:v>3.030035183570297</x:v>
      </x:c>
      <x:c r="S131" s="9" t="n">
        <x:f>H131*Y130*INDEX(tun_MortChild,G131)/4*Q131</x:f>
        <x:v>0.8080222704403968</x:v>
      </x:c>
      <x:c r="T131" s="9" t="n">
        <x:f>H131*Z130*INDEX(tun_MortAdult,G131)*Arch_AdultMort/4*Q131</x:f>
        <x:v>0.15607554890696956</x:v>
      </x:c>
      <x:c r="U131" s="9" t="n">
        <x:f>H131*AA130*INDEX(tun_MortElder,G131)/4*Q131</x:f>
        <x:v>0.1874244111020608</x:v>
      </x:c>
      <x:c r="V131" s="9" t="n">
        <x:f>H131*MAX(0,AB130-O131)*tun_OvercapLoss</x:f>
        <x:v>0</x:v>
      </x:c>
      <x:c r="W131" s="9" t="n">
        <x:f>H131*Y130/(tun_ChildYears*4)</x:f>
        <x:v>1.3580206225889022</x:v>
      </x:c>
      <x:c r="X131" s="9" t="n">
        <x:f>H131*Z130/(tun_AdultYears*4)</x:f>
        <x:v>0.3661596455295474</x:v>
      </x:c>
      <x:c r="Y131" s="32" t="n">
        <x:f>Y130+R131-S131-W131-Y130*V131/AB130</x:f>
        <x:v>76.91314715551951</x:v>
      </x:c>
      <x:c r="Z131" s="32" t="n">
        <x:f>Z130+W131-X131-T131-Z130*V131/AB130</x:f>
        <x:v>46.23958147381626</x:v>
      </x:c>
      <x:c r="AA131" s="32" t="n">
        <x:f>AA130+X131-U131-AA130*V131/AB130</x:f>
        <x:v>11.083428244001933</x:v>
      </x:c>
      <x:c r="AB131" s="10" t="n">
        <x:f>Y131+Z131+AA131</x:f>
        <x:v>134.2361568733377</x:v>
      </x:c>
      <x:c r="AC131" s="8" t="n">
        <x:f>IF(AND(tun_WinterTrigger=1,D131=1,AB130/AE130&gt;=K131),1,0)</x:f>
        <x:v>0</x:v>
      </x:c>
      <x:c r="AD131" s="8" t="n">
        <x:f>H131*IF(AND(OR(AB130/AE130&gt;=tun_FissionTrigger*N131,AC131=1),AB130/AE130*tun_DaughterShare&gt;=tun_MinDaughter),MAX(1,ROUND(AE130*tun_FissionRate,0)),0)</x:f>
        <x:v>0</x:v>
      </x:c>
      <x:c r="AE131" s="8" t="n">
        <x:f>IF(H131=1,MAX(1,MIN(INDEX(tun_Smax,G131),AE130+AD131)),AE130)</x:f>
        <x:v>2</x:v>
      </x:c>
      <x:c r="AF131" s="8" t="n">
        <x:f>MAX(0,AE131-AE130)</x:f>
        <x:v>0</x:v>
      </x:c>
      <x:c r="AG131" s="9" t="str">
        <x:f>IF(AF131&gt;0,B131,"")</x:f>
      </x:c>
      <x:c r="AH131" s="9" t="n">
        <x:f>IF(F131&gt;=1,1,(1+tun_LowTiesShare*(AE131-1))/AE131)</x:f>
        <x:v>1</x:v>
      </x:c>
      <x:c r="AI131" s="32" t="n">
        <x:f>(Z131+tun_ElderCommons*INDEX(LM_Elder,G131)*AA131)*AH131</x:f>
        <x:v>79.48986620582205</x:v>
      </x:c>
      <x:c r="AJ131" s="32" t="n">
        <x:f>H131*tun_CommonsCoef*AI131^tun_CommonsExp*INDEX(LM_Commons,G131)</x:f>
        <x:v>217.72029978202812</x:v>
      </x:c>
      <x:c r="AK131" s="32" t="n">
        <x:f>H131*tun_RoleScale*Arch_Roles*(AE131*(INDEX(tun_ElderRolePerSett,G131)*tun_OutElder*INDEX(LM_Elder,G131)+INDEX(tun_ShamanPerSett,G131)*tun_OutShaman)+Z131*(INDEX(tun_PriestShare,G131)*tun_OutPriest+INDEX(tun_ScribeShare,G131)*tun_OutScribe*INDEX(LM_Scribe,G131)+INDEX(tun_ScholarShare,G131)*tun_OutScholar*INDEX(LM_Scholar,G131)+INDEX(tun_ResearcherShare,G131)*tun_OutResearcher*INDEX(LM_Researcher,G131)))</x:f>
        <x:v>50.589416562533714</x:v>
      </x:c>
      <x:c r="AL131" s="32" t="n">
        <x:f>H131*tun_RoleScale*Arch_Roles*AE131*INDEX(tun_MonasteryPerSett,G131)*tun_OutMonastery*INDEX(LM_Monastery,G131)</x:f>
        <x:v>0</x:v>
      </x:c>
      <x:c r="AM131" s="32" t="n">
        <x:f>(AJ131+AK131+AL131)/4*INDEX(LM_All,G131)*INDEX(tun_Boon,G131)*Arch_Insight</x:f>
        <x:v>72.23505453196695</x:v>
      </x:c>
      <x:c r="AN131" s="32" t="n">
        <x:f>H131*(tun_KHPerAdult*Z131+tun_KHOfCommons*AJ131/4*INDEX(LM_All,G131))*tun_KHUsable*Arch_KH</x:f>
        <x:v>13.335368361649222</x:v>
      </x:c>
      <x:c r="AO131" s="32" t="n">
        <x:f>MIN(AP130+AN131,AM131*tun_KHMaxRatio)</x:f>
        <x:v>13.335368361649222</x:v>
      </x:c>
      <x:c r="AP131" s="32" t="n">
        <x:f>AP130+AN131-AO131</x:f>
        <x:v>0</x:v>
      </x:c>
      <x:c r="AQ131" s="32" t="n">
        <x:f>AM131+AO131</x:f>
        <x:v>85.57042289361617</x:v>
      </x:c>
      <x:c r="AR131" s="10" t="n">
        <x:f>IF(H131=1,INDEX(tun_Req,G131),0)</x:f>
        <x:v>5252.7422</x:v>
      </x:c>
      <x:c r="AS131" s="32" t="n">
        <x:f>IF(H131=1,IF(E131=1,AS130-AR130,AS130)+AQ131,0)</x:f>
        <x:v>132.8613564859071</x:v>
      </x:c>
      <x:c r="AT131" s="11" t="n">
        <x:f>IF(AR131&gt;0,MIN(1,AS131/AR131),1)</x:f>
        <x:v>0.025293713536123495</x:v>
      </x:c>
      <x:c r="AU131" s="10" t="n">
        <x:f>AB131/INDEX(tun_RepScale,G131)</x:f>
        <x:v>134.2361568733377</x:v>
      </x:c>
      <x:c r="AV131" s="32" t="n">
        <x:f>AM131*60/tun_SeasonSeconds</x:f>
        <x:v>288.9402181278678</x:v>
      </x:c>
    </x:row>
    <x:row r="132">
      <x:c r="A132" s="8" t="n">
        <x:f>A131+1</x:f>
        <x:v>129</x:v>
      </x:c>
      <x:c r="B132" s="9" t="n">
        <x:f>A132*tun_SeasonSeconds/60</x:f>
        <x:v>32.25</x:v>
      </x:c>
      <x:c r="C132" s="9" t="n">
        <x:f>A132/4</x:f>
        <x:v>32.25</x:v>
      </x:c>
      <x:c r="D132" s="8" t="n">
        <x:f>IF(MOD(A132,4)=0,1,0)</x:f>
        <x:v>0</x:v>
      </x:c>
      <x:c r="E132" s="8" t="n">
        <x:f>IF(AND(F131&lt;=9,AS131&gt;=AR131),1,0)</x:f>
        <x:v>0</x:v>
      </x:c>
      <x:c r="F132" s="8" t="n">
        <x:f>MIN(10,F131+E132)</x:f>
        <x:v>3</x:v>
      </x:c>
      <x:c r="G132" s="8" t="n">
        <x:f>MIN(F132,9)+1</x:f>
        <x:v>4</x:v>
      </x:c>
      <x:c r="H132" s="8" t="n">
        <x:f>IF(F132&lt;=9,1,0)</x:f>
        <x:v>1</x:v>
      </x:c>
      <x:c r="I132" s="9" t="n">
        <x:f>MIN(10,F131+IF(AR131&gt;0,MIN(1,AS131/AR131),1))</x:f>
        <x:v>3.0252937135361235</x:v>
      </x:c>
      <x:c r="J132" s="32" t="n">
        <x:f>INDEX(tun_FoodCap,G132)*Arch_FoodCap*EXP(tun_CapsByProject*SUMPRODUCT((Cap_Point&lt;=I132)*(Cap_Kind="Food")*Cap_Ln))</x:f>
        <x:v>88.18366924681426</x:v>
      </x:c>
      <x:c r="K132" s="32" t="n">
        <x:f>J132*MIN(1,tun_LeanBase*EXP(tun_CapsByProject*SUMPRODUCT((Cap_Point&lt;=I132)*(Cap_Kind="Lean")*Cap_Ln)))</x:f>
        <x:v>88.18366924681426</x:v>
      </x:c>
      <x:c r="L132" s="10" t="n">
        <x:f>INDEX(tun_HousingCap,G132)*EXP(tun_CapsByProject*SUMPRODUCT((Cap_Point&lt;=I132)*(Cap_Kind="Housing")*Cap_Ln))</x:f>
        <x:v>394.875</x:v>
      </x:c>
      <x:c r="M132" s="10" t="n">
        <x:f>INDEX(tun_GroupCap,G132)*tun_CohesionFactor*EXP(tun_CapsByProject*SUMPRODUCT((Cap_Point&lt;=I132)*(Cap_Kind="Group")*Cap_Ln))</x:f>
        <x:v>2000.0000000000011</x:v>
      </x:c>
      <x:c r="N132" s="32" t="n">
        <x:f>MIN(J132,L132,M132)</x:f>
        <x:v>88.18366924681426</x:v>
      </x:c>
      <x:c r="O132" s="10" t="n">
        <x:f>AE131*N132</x:f>
        <x:v>176.36733849362852</x:v>
      </x:c>
      <x:c r="P132" s="9" t="n">
        <x:f>MIN(1,(AB131/(AE131*IF(tun_GroupInCrowding=1,N132,MIN(J132,L132))))^tun_CrowdingExp)</x:f>
        <x:v>0.19440529653515803</x:v>
      </x:c>
      <x:c r="Q132" s="9" t="n">
        <x:f>IF(D132=1,INDEX(tun_WinterMult,G132),1)</x:f>
        <x:v>1</x:v>
      </x:c>
      <x:c r="R132" s="9" t="n">
        <x:f>H132*Z131*tun_WomenShare*tun_BaseFertility*INDEX(tun_FertMult,G132)*Arch_Fertility*(1-P132)</x:f>
        <x:v>3.026591906466164</x:v>
      </x:c>
      <x:c r="S132" s="9" t="n">
        <x:f>H132*Y131*INDEX(tun_MortChild,G132)/4*Q132</x:f>
        <x:v>0.6537617508219159</x:v>
      </x:c>
      <x:c r="T132" s="9" t="n">
        <x:f>H132*Z131*INDEX(tun_MortAdult,G132)*Arch_AdultMort/4*Q132</x:f>
        <x:v>0.1271588490529947</x:v>
      </x:c>
      <x:c r="U132" s="9" t="n">
        <x:f>H132*AA131*INDEX(tun_MortElder,G132)/4*Q132</x:f>
        <x:v>0.15239713835502658</x:v>
      </x:c>
      <x:c r="V132" s="9" t="n">
        <x:f>H132*MAX(0,AB131-O132)*tun_OvercapLoss</x:f>
        <x:v>0</x:v>
      </x:c>
      <x:c r="W132" s="9" t="n">
        <x:f>H132*Y131/(tun_ChildYears*4)</x:f>
        <x:v>1.3734490563485626</x:v>
      </x:c>
      <x:c r="X132" s="9" t="n">
        <x:f>H132*Z131/(tun_AdultYears*4)</x:f>
        <x:v>0.3728998505952924</x:v>
      </x:c>
      <x:c r="Y132" s="32" t="n">
        <x:f>Y131+R132-S132-W132-Y131*V132/AB131</x:f>
        <x:v>77.9125282548152</x:v>
      </x:c>
      <x:c r="Z132" s="32" t="n">
        <x:f>Z131+W132-X132-T132-Z131*V132/AB131</x:f>
        <x:v>47.11297183051653</x:v>
      </x:c>
      <x:c r="AA132" s="32" t="n">
        <x:f>AA131+X132-U132-AA131*V132/AB131</x:f>
        <x:v>11.3039309562422</x:v>
      </x:c>
      <x:c r="AB132" s="10" t="n">
        <x:f>Y132+Z132+AA132</x:f>
        <x:v>136.32943104157394</x:v>
      </x:c>
      <x:c r="AC132" s="8" t="n">
        <x:f>IF(AND(tun_WinterTrigger=1,D132=1,AB131/AE131&gt;=K132),1,0)</x:f>
        <x:v>0</x:v>
      </x:c>
      <x:c r="AD132" s="8" t="n">
        <x:f>H132*IF(AND(OR(AB131/AE131&gt;=tun_FissionTrigger*N132,AC132=1),AB131/AE131*tun_DaughterShare&gt;=tun_MinDaughter),MAX(1,ROUND(AE131*tun_FissionRate,0)),0)</x:f>
        <x:v>0</x:v>
      </x:c>
      <x:c r="AE132" s="8" t="n">
        <x:f>IF(H132=1,MAX(1,MIN(INDEX(tun_Smax,G132),AE131+AD132)),AE131)</x:f>
        <x:v>2</x:v>
      </x:c>
      <x:c r="AF132" s="8" t="n">
        <x:f>MAX(0,AE132-AE131)</x:f>
        <x:v>0</x:v>
      </x:c>
      <x:c r="AG132" s="9" t="str">
        <x:f>IF(AF132&gt;0,B132,"")</x:f>
      </x:c>
      <x:c r="AH132" s="9" t="n">
        <x:f>IF(F132&gt;=1,1,(1+tun_LowTiesShare*(AE132-1))/AE132)</x:f>
        <x:v>1</x:v>
      </x:c>
      <x:c r="AI132" s="32" t="n">
        <x:f>(Z132+tun_ElderCommons*INDEX(LM_Elder,G132)*AA132)*AH132</x:f>
        <x:v>81.02476469924312</x:v>
      </x:c>
      <x:c r="AJ132" s="32" t="n">
        <x:f>H132*tun_CommonsCoef*AI132^tun_CommonsExp*INDEX(LM_Commons,G132)</x:f>
        <x:v>221.2885964586123</x:v>
      </x:c>
      <x:c r="AK132" s="32" t="n">
        <x:f>H132*tun_RoleScale*Arch_Roles*(AE132*(INDEX(tun_ElderRolePerSett,G132)*tun_OutElder*INDEX(LM_Elder,G132)+INDEX(tun_ShamanPerSett,G132)*tun_OutShaman)+Z132*(INDEX(tun_PriestShare,G132)*tun_OutPriest+INDEX(tun_ScribeShare,G132)*tun_OutScribe*INDEX(LM_Scribe,G132)+INDEX(tun_ScholarShare,G132)*tun_OutScholar*INDEX(LM_Scholar,G132)+INDEX(tun_ResearcherShare,G132)*tun_OutResearcher*INDEX(LM_Researcher,G132)))</x:f>
        <x:v>50.638326422508925</x:v>
      </x:c>
      <x:c r="AL132" s="32" t="n">
        <x:f>H132*tun_RoleScale*Arch_Roles*AE132*INDEX(tun_MonasteryPerSett,G132)*tun_OutMonastery*INDEX(LM_Monastery,G132)</x:f>
        <x:v>0</x:v>
      </x:c>
      <x:c r="AM132" s="32" t="n">
        <x:f>(AJ132+AK132+AL132)/4*INDEX(LM_All,G132)*INDEX(tun_Boon,G132)*Arch_Insight</x:f>
        <x:v>73.20888848394432</x:v>
      </x:c>
      <x:c r="AN132" s="32" t="n">
        <x:f>H132*(tun_KHPerAdult*Z132+tun_KHOfCommons*AJ132/4*INDEX(LM_All,G132))*tun_KHUsable*Arch_KH</x:f>
        <x:v>13.553926533090001</x:v>
      </x:c>
      <x:c r="AO132" s="32" t="n">
        <x:f>MIN(AP131+AN132,AM132*tun_KHMaxRatio)</x:f>
        <x:v>13.553926533090001</x:v>
      </x:c>
      <x:c r="AP132" s="32" t="n">
        <x:f>AP131+AN132-AO132</x:f>
        <x:v>0</x:v>
      </x:c>
      <x:c r="AQ132" s="32" t="n">
        <x:f>AM132+AO132</x:f>
        <x:v>86.76281501703433</x:v>
      </x:c>
      <x:c r="AR132" s="10" t="n">
        <x:f>IF(H132=1,INDEX(tun_Req,G132),0)</x:f>
        <x:v>5252.7422</x:v>
      </x:c>
      <x:c r="AS132" s="32" t="n">
        <x:f>IF(H132=1,IF(E132=1,AS131-AR131,AS131)+AQ132,0)</x:f>
        <x:v>219.6241715029414</x:v>
      </x:c>
      <x:c r="AT132" s="11" t="n">
        <x:f>IF(AR132&gt;0,MIN(1,AS132/AR132),1)</x:f>
        <x:v>0.04181133646782464</x:v>
      </x:c>
      <x:c r="AU132" s="10" t="n">
        <x:f>AB132/INDEX(tun_RepScale,G132)</x:f>
        <x:v>136.32943104157394</x:v>
      </x:c>
      <x:c r="AV132" s="32" t="n">
        <x:f>AM132*60/tun_SeasonSeconds</x:f>
        <x:v>292.8355539357773</x:v>
      </x:c>
    </x:row>
    <x:row r="133">
      <x:c r="A133" s="8" t="n">
        <x:f>A132+1</x:f>
        <x:v>130</x:v>
      </x:c>
      <x:c r="B133" s="9" t="n">
        <x:f>A133*tun_SeasonSeconds/60</x:f>
        <x:v>32.5</x:v>
      </x:c>
      <x:c r="C133" s="9" t="n">
        <x:f>A133/4</x:f>
        <x:v>32.5</x:v>
      </x:c>
      <x:c r="D133" s="8" t="n">
        <x:f>IF(MOD(A133,4)=0,1,0)</x:f>
        <x:v>0</x:v>
      </x:c>
      <x:c r="E133" s="8" t="n">
        <x:f>IF(AND(F132&lt;=9,AS132&gt;=AR132),1,0)</x:f>
        <x:v>0</x:v>
      </x:c>
      <x:c r="F133" s="8" t="n">
        <x:f>MIN(10,F132+E133)</x:f>
        <x:v>3</x:v>
      </x:c>
      <x:c r="G133" s="8" t="n">
        <x:f>MIN(F133,9)+1</x:f>
        <x:v>4</x:v>
      </x:c>
      <x:c r="H133" s="8" t="n">
        <x:f>IF(F133&lt;=9,1,0)</x:f>
        <x:v>1</x:v>
      </x:c>
      <x:c r="I133" s="9" t="n">
        <x:f>MIN(10,F132+IF(AR132&gt;0,MIN(1,AS132/AR132),1))</x:f>
        <x:v>3.0418113364678248</x:v>
      </x:c>
      <x:c r="J133" s="32" t="n">
        <x:f>INDEX(tun_FoodCap,G133)*Arch_FoodCap*EXP(tun_CapsByProject*SUMPRODUCT((Cap_Point&lt;=I133)*(Cap_Kind="Food")*Cap_Ln))</x:f>
        <x:v>88.18366924681426</x:v>
      </x:c>
      <x:c r="K133" s="32" t="n">
        <x:f>J133*MIN(1,tun_LeanBase*EXP(tun_CapsByProject*SUMPRODUCT((Cap_Point&lt;=I133)*(Cap_Kind="Lean")*Cap_Ln)))</x:f>
        <x:v>88.18366924681426</x:v>
      </x:c>
      <x:c r="L133" s="10" t="n">
        <x:f>INDEX(tun_HousingCap,G133)*EXP(tun_CapsByProject*SUMPRODUCT((Cap_Point&lt;=I133)*(Cap_Kind="Housing")*Cap_Ln))</x:f>
        <x:v>394.875</x:v>
      </x:c>
      <x:c r="M133" s="10" t="n">
        <x:f>INDEX(tun_GroupCap,G133)*tun_CohesionFactor*EXP(tun_CapsByProject*SUMPRODUCT((Cap_Point&lt;=I133)*(Cap_Kind="Group")*Cap_Ln))</x:f>
        <x:v>2000.0000000000011</x:v>
      </x:c>
      <x:c r="N133" s="32" t="n">
        <x:f>MIN(J133,L133,M133)</x:f>
        <x:v>88.18366924681426</x:v>
      </x:c>
      <x:c r="O133" s="10" t="n">
        <x:f>AE132*N133</x:f>
        <x:v>176.36733849362852</x:v>
      </x:c>
      <x:c r="P133" s="9" t="n">
        <x:f>MIN(1,(AB132/(AE132*IF(tun_GroupInCrowding=1,N133,MIN(J133,L133))))^tun_CrowdingExp)</x:f>
        <x:v>0.21331862047552363</x:v>
      </x:c>
      <x:c r="Q133" s="9" t="n">
        <x:f>IF(D133=1,INDEX(tun_WinterMult,G133),1)</x:f>
        <x:v>1</x:v>
      </x:c>
      <x:c r="R133" s="9" t="n">
        <x:f>H133*Z132*tun_WomenShare*tun_BaseFertility*INDEX(tun_FertMult,G133)*Arch_Fertility*(1-P133)</x:f>
        <x:v>3.0113604359416937</x:v>
      </x:c>
      <x:c r="S133" s="9" t="n">
        <x:f>H133*Y132*INDEX(tun_MortChild,G133)/4*Q133</x:f>
        <x:v>0.6622564901659292</x:v>
      </x:c>
      <x:c r="T133" s="9" t="n">
        <x:f>H133*Z132*INDEX(tun_MortAdult,G133)*Arch_AdultMort/4*Q133</x:f>
        <x:v>0.12956067253392045</x:v>
      </x:c>
      <x:c r="U133" s="9" t="n">
        <x:f>H133*AA132*INDEX(tun_MortElder,G133)/4*Q133</x:f>
        <x:v>0.15542905064833024</x:v>
      </x:c>
      <x:c r="V133" s="9" t="n">
        <x:f>H133*MAX(0,AB132-O133)*tun_OvercapLoss</x:f>
        <x:v>0</x:v>
      </x:c>
      <x:c r="W133" s="9" t="n">
        <x:f>H133*Y132/(tun_ChildYears*4)</x:f>
        <x:v>1.3912951474074142</x:v>
      </x:c>
      <x:c r="X133" s="9" t="n">
        <x:f>H133*Z132/(tun_AdultYears*4)</x:f>
        <x:v>0.37994332121384294</x:v>
      </x:c>
      <x:c r="Y133" s="32" t="n">
        <x:f>Y132+R133-S133-W133-Y132*V133/AB132</x:f>
        <x:v>78.87033705318355</x:v>
      </x:c>
      <x:c r="Z133" s="32" t="n">
        <x:f>Z132+W133-X133-T133-Z132*V133/AB132</x:f>
        <x:v>47.99476298417618</x:v>
      </x:c>
      <x:c r="AA133" s="32" t="n">
        <x:f>AA132+X133-U133-AA132*V133/AB132</x:f>
        <x:v>11.528445226807712</x:v>
      </x:c>
      <x:c r="AB133" s="10" t="n">
        <x:f>Y133+Z133+AA133</x:f>
        <x:v>138.39354526416744</x:v>
      </x:c>
      <x:c r="AC133" s="8" t="n">
        <x:f>IF(AND(tun_WinterTrigger=1,D133=1,AB132/AE132&gt;=K133),1,0)</x:f>
        <x:v>0</x:v>
      </x:c>
      <x:c r="AD133" s="8" t="n">
        <x:f>H133*IF(AND(OR(AB132/AE132&gt;=tun_FissionTrigger*N133,AC133=1),AB132/AE132*tun_DaughterShare&gt;=tun_MinDaughter),MAX(1,ROUND(AE132*tun_FissionRate,0)),0)</x:f>
        <x:v>0</x:v>
      </x:c>
      <x:c r="AE133" s="8" t="n">
        <x:f>IF(H133=1,MAX(1,MIN(INDEX(tun_Smax,G133),AE132+AD133)),AE132)</x:f>
        <x:v>2</x:v>
      </x:c>
      <x:c r="AF133" s="8" t="n">
        <x:f>MAX(0,AE133-AE132)</x:f>
        <x:v>0</x:v>
      </x:c>
      <x:c r="AG133" s="9" t="str">
        <x:f>IF(AF133&gt;0,B133,"")</x:f>
      </x:c>
      <x:c r="AH133" s="9" t="n">
        <x:f>IF(F133&gt;=1,1,(1+tun_LowTiesShare*(AE133-1))/AE133)</x:f>
        <x:v>1</x:v>
      </x:c>
      <x:c r="AI133" s="32" t="n">
        <x:f>(Z133+tun_ElderCommons*INDEX(LM_Elder,G133)*AA133)*AH133</x:f>
        <x:v>82.58009866459932</x:v>
      </x:c>
      <x:c r="AJ133" s="32" t="n">
        <x:f>H133*tun_CommonsCoef*AI133^tun_CommonsExp*INDEX(LM_Commons,G133)</x:f>
        <x:v>224.89407322117677</x:v>
      </x:c>
      <x:c r="AK133" s="32" t="n">
        <x:f>H133*tun_RoleScale*Arch_Roles*(AE133*(INDEX(tun_ElderRolePerSett,G133)*tun_OutElder*INDEX(LM_Elder,G133)+INDEX(tun_ShamanPerSett,G133)*tun_OutShaman)+Z133*(INDEX(tun_PriestShare,G133)*tun_OutPriest+INDEX(tun_ScribeShare,G133)*tun_OutScribe*INDEX(LM_Scribe,G133)+INDEX(tun_ScholarShare,G133)*tun_OutScholar*INDEX(LM_Scholar,G133)+INDEX(tun_ResearcherShare,G133)*tun_OutResearcher*INDEX(LM_Researcher,G133)))</x:f>
        <x:v>50.68770672711386</x:v>
      </x:c>
      <x:c r="AL133" s="32" t="n">
        <x:f>H133*tun_RoleScale*Arch_Roles*AE133*INDEX(tun_MonasteryPerSett,G133)*tun_OutMonastery*INDEX(LM_Monastery,G133)</x:f>
        <x:v>0</x:v>
      </x:c>
      <x:c r="AM133" s="32" t="n">
        <x:f>(AJ133+AK133+AL133)/4*INDEX(LM_All,G133)*INDEX(tun_Boon,G133)*Arch_Insight</x:f>
        <x:v>74.19285881178178</x:v>
      </x:c>
      <x:c r="AN133" s="32" t="n">
        <x:f>H133*(tun_KHPerAdult*Z133+tun_KHOfCommons*AJ133/4*INDEX(LM_All,G133))*tun_KHUsable*Arch_KH</x:f>
        <x:v>13.774761984797076</x:v>
      </x:c>
      <x:c r="AO133" s="32" t="n">
        <x:f>MIN(AP132+AN133,AM133*tun_KHMaxRatio)</x:f>
        <x:v>13.774761984797076</x:v>
      </x:c>
      <x:c r="AP133" s="32" t="n">
        <x:f>AP132+AN133-AO133</x:f>
        <x:v>0</x:v>
      </x:c>
      <x:c r="AQ133" s="32" t="n">
        <x:f>AM133+AO133</x:f>
        <x:v>87.96762079657886</x:v>
      </x:c>
      <x:c r="AR133" s="10" t="n">
        <x:f>IF(H133=1,INDEX(tun_Req,G133),0)</x:f>
        <x:v>5252.7422</x:v>
      </x:c>
      <x:c r="AS133" s="32" t="n">
        <x:f>IF(H133=1,IF(E133=1,AS132-AR132,AS132)+AQ133,0)</x:f>
        <x:v>307.59179229952025</x:v>
      </x:c>
      <x:c r="AT133" s="11" t="n">
        <x:f>IF(AR133&gt;0,MIN(1,AS133/AR133),1)</x:f>
        <x:v>0.058558326410826</x:v>
      </x:c>
      <x:c r="AU133" s="10" t="n">
        <x:f>AB133/INDEX(tun_RepScale,G133)</x:f>
        <x:v>138.39354526416744</x:v>
      </x:c>
      <x:c r="AV133" s="32" t="n">
        <x:f>AM133*60/tun_SeasonSeconds</x:f>
        <x:v>296.77143524712716</x:v>
      </x:c>
    </x:row>
    <x:row r="134">
      <x:c r="A134" s="8" t="n">
        <x:f>A133+1</x:f>
        <x:v>131</x:v>
      </x:c>
      <x:c r="B134" s="9" t="n">
        <x:f>A134*tun_SeasonSeconds/60</x:f>
        <x:v>32.75</x:v>
      </x:c>
      <x:c r="C134" s="9" t="n">
        <x:f>A134/4</x:f>
        <x:v>32.75</x:v>
      </x:c>
      <x:c r="D134" s="8" t="n">
        <x:f>IF(MOD(A134,4)=0,1,0)</x:f>
        <x:v>0</x:v>
      </x:c>
      <x:c r="E134" s="8" t="n">
        <x:f>IF(AND(F133&lt;=9,AS133&gt;=AR133),1,0)</x:f>
        <x:v>0</x:v>
      </x:c>
      <x:c r="F134" s="8" t="n">
        <x:f>MIN(10,F133+E134)</x:f>
        <x:v>3</x:v>
      </x:c>
      <x:c r="G134" s="8" t="n">
        <x:f>MIN(F134,9)+1</x:f>
        <x:v>4</x:v>
      </x:c>
      <x:c r="H134" s="8" t="n">
        <x:f>IF(F134&lt;=9,1,0)</x:f>
        <x:v>1</x:v>
      </x:c>
      <x:c r="I134" s="9" t="n">
        <x:f>MIN(10,F133+IF(AR133&gt;0,MIN(1,AS133/AR133),1))</x:f>
        <x:v>3.058558326410826</x:v>
      </x:c>
      <x:c r="J134" s="32" t="n">
        <x:f>INDEX(tun_FoodCap,G134)*Arch_FoodCap*EXP(tun_CapsByProject*SUMPRODUCT((Cap_Point&lt;=I134)*(Cap_Kind="Food")*Cap_Ln))</x:f>
        <x:v>88.18366924681426</x:v>
      </x:c>
      <x:c r="K134" s="32" t="n">
        <x:f>J134*MIN(1,tun_LeanBase*EXP(tun_CapsByProject*SUMPRODUCT((Cap_Point&lt;=I134)*(Cap_Kind="Lean")*Cap_Ln)))</x:f>
        <x:v>88.18366924681426</x:v>
      </x:c>
      <x:c r="L134" s="10" t="n">
        <x:f>INDEX(tun_HousingCap,G134)*EXP(tun_CapsByProject*SUMPRODUCT((Cap_Point&lt;=I134)*(Cap_Kind="Housing")*Cap_Ln))</x:f>
        <x:v>394.875</x:v>
      </x:c>
      <x:c r="M134" s="10" t="n">
        <x:f>INDEX(tun_GroupCap,G134)*tun_CohesionFactor*EXP(tun_CapsByProject*SUMPRODUCT((Cap_Point&lt;=I134)*(Cap_Kind="Group")*Cap_Ln))</x:f>
        <x:v>2000.0000000000011</x:v>
      </x:c>
      <x:c r="N134" s="32" t="n">
        <x:f>MIN(J134,L134,M134)</x:f>
        <x:v>88.18366924681426</x:v>
      </x:c>
      <x:c r="O134" s="10" t="n">
        <x:f>AE133*N134</x:f>
        <x:v>176.36733849362852</x:v>
      </x:c>
      <x:c r="P134" s="9" t="n">
        <x:f>MIN(1,(AB133/(AE133*IF(tun_GroupInCrowding=1,N134,MIN(J134,L134))))^tun_CrowdingExp)</x:f>
        <x:v>0.23344578803235852</x:v>
      </x:c>
      <x:c r="Q134" s="9" t="n">
        <x:f>IF(D134=1,INDEX(tun_WinterMult,G134),1)</x:f>
        <x:v>1</x:v>
      </x:c>
      <x:c r="R134" s="9" t="n">
        <x:f>H134*Z133*tun_WomenShare*tun_BaseFertility*INDEX(tun_FertMult,G134)*Arch_Fertility*(1-P134)</x:f>
        <x:v>2.9892352520800984</x:v>
      </x:c>
      <x:c r="S134" s="9" t="n">
        <x:f>H134*Y133*INDEX(tun_MortChild,G134)/4*Q134</x:f>
        <x:v>0.6703978649520602</x:v>
      </x:c>
      <x:c r="T134" s="9" t="n">
        <x:f>H134*Z133*INDEX(tun_MortAdult,G134)*Arch_AdultMort/4*Q134</x:f>
        <x:v>0.13198559820648448</x:v>
      </x:c>
      <x:c r="U134" s="9" t="n">
        <x:f>H134*AA133*INDEX(tun_MortElder,G134)/4*Q134</x:f>
        <x:v>0.15851612186860603</x:v>
      </x:c>
      <x:c r="V134" s="9" t="n">
        <x:f>H134*MAX(0,AB133-O134)*tun_OvercapLoss</x:f>
        <x:v>0</x:v>
      </x:c>
      <x:c r="W134" s="9" t="n">
        <x:f>H134*Y133/(tun_ChildYears*4)</x:f>
        <x:v>1.4083988759497061</x:v>
      </x:c>
      <x:c r="X134" s="9" t="n">
        <x:f>H134*Z133/(tun_AdultYears*4)</x:f>
        <x:v>0.38705454019496915</x:v>
      </x:c>
      <x:c r="Y134" s="32" t="n">
        <x:f>Y133+R134-S134-W134-Y133*V134/AB133</x:f>
        <x:v>79.78077556436187</x:v>
      </x:c>
      <x:c r="Z134" s="32" t="n">
        <x:f>Z133+W134-X134-T134-Z133*V134/AB133</x:f>
        <x:v>48.88412172172443</x:v>
      </x:c>
      <x:c r="AA134" s="32" t="n">
        <x:f>AA133+X134-U134-AA133*V134/AB133</x:f>
        <x:v>11.756983645134074</x:v>
      </x:c>
      <x:c r="AB134" s="10" t="n">
        <x:f>Y134+Z134+AA134</x:f>
        <x:v>140.4218809312204</x:v>
      </x:c>
      <x:c r="AC134" s="8" t="n">
        <x:f>IF(AND(tun_WinterTrigger=1,D134=1,AB133/AE133&gt;=K134),1,0)</x:f>
        <x:v>0</x:v>
      </x:c>
      <x:c r="AD134" s="8" t="n">
        <x:f>H134*IF(AND(OR(AB133/AE133&gt;=tun_FissionTrigger*N134,AC134=1),AB133/AE133*tun_DaughterShare&gt;=tun_MinDaughter),MAX(1,ROUND(AE133*tun_FissionRate,0)),0)</x:f>
        <x:v>0</x:v>
      </x:c>
      <x:c r="AE134" s="8" t="n">
        <x:f>IF(H134=1,MAX(1,MIN(INDEX(tun_Smax,G134),AE133+AD134)),AE133)</x:f>
        <x:v>2</x:v>
      </x:c>
      <x:c r="AF134" s="8" t="n">
        <x:f>MAX(0,AE134-AE133)</x:f>
        <x:v>0</x:v>
      </x:c>
      <x:c r="AG134" s="9" t="str">
        <x:f>IF(AF134&gt;0,B134,"")</x:f>
      </x:c>
      <x:c r="AH134" s="9" t="n">
        <x:f>IF(F134&gt;=1,1,(1+tun_LowTiesShare*(AE134-1))/AE134)</x:f>
        <x:v>1</x:v>
      </x:c>
      <x:c r="AI134" s="32" t="n">
        <x:f>(Z134+tun_ElderCommons*INDEX(LM_Elder,G134)*AA134)*AH134</x:f>
        <x:v>84.15507265712665</x:v>
      </x:c>
      <x:c r="AJ134" s="32" t="n">
        <x:f>H134*tun_CommonsCoef*AI134^tun_CommonsExp*INDEX(LM_Commons,G134)</x:f>
        <x:v>228.53471346414264</x:v>
      </x:c>
      <x:c r="AK134" s="32" t="n">
        <x:f>H134*tun_RoleScale*Arch_Roles*(AE134*(INDEX(tun_ElderRolePerSett,G134)*tun_OutElder*INDEX(LM_Elder,G134)+INDEX(tun_ShamanPerSett,G134)*tun_OutShaman)+Z134*(INDEX(tun_PriestShare,G134)*tun_OutPriest+INDEX(tun_ScribeShare,G134)*tun_OutScribe*INDEX(LM_Scribe,G134)+INDEX(tun_ScholarShare,G134)*tun_OutScholar*INDEX(LM_Scholar,G134)+INDEX(tun_ResearcherShare,G134)*tun_OutResearcher*INDEX(LM_Researcher,G134)))</x:f>
        <x:v>50.73751081641657</x:v>
      </x:c>
      <x:c r="AL134" s="32" t="n">
        <x:f>H134*tun_RoleScale*Arch_Roles*AE134*INDEX(tun_MonasteryPerSett,G134)*tun_OutMonastery*INDEX(LM_Monastery,G134)</x:f>
        <x:v>0</x:v>
      </x:c>
      <x:c r="AM134" s="32" t="n">
        <x:f>(AJ134+AK134+AL134)/4*INDEX(LM_All,G134)*INDEX(tun_Boon,G134)*Arch_Insight</x:f>
        <x:v>75.18641003765788</x:v>
      </x:c>
      <x:c r="AN134" s="32" t="n">
        <x:f>H134*(tun_KHPerAdult*Z134+tun_KHOfCommons*AJ134/4*INDEX(LM_All,G134))*tun_KHUsable*Arch_KH</x:f>
        <x:v>13.997751199678735</x:v>
      </x:c>
      <x:c r="AO134" s="32" t="n">
        <x:f>MIN(AP133+AN134,AM134*tun_KHMaxRatio)</x:f>
        <x:v>13.997751199678735</x:v>
      </x:c>
      <x:c r="AP134" s="32" t="n">
        <x:f>AP133+AN134-AO134</x:f>
        <x:v>0</x:v>
      </x:c>
      <x:c r="AQ134" s="32" t="n">
        <x:f>AM134+AO134</x:f>
        <x:v>89.18416123733661</x:v>
      </x:c>
      <x:c r="AR134" s="10" t="n">
        <x:f>IF(H134=1,INDEX(tun_Req,G134),0)</x:f>
        <x:v>5252.7422</x:v>
      </x:c>
      <x:c r="AS134" s="32" t="n">
        <x:f>IF(H134=1,IF(E134=1,AS133-AR133,AS133)+AQ134,0)</x:f>
        <x:v>396.77595353685683</x:v>
      </x:c>
      <x:c r="AT134" s="11" t="n">
        <x:f>IF(AR134&gt;0,MIN(1,AS134/AR134),1)</x:f>
        <x:v>0.07553691737181711</x:v>
      </x:c>
      <x:c r="AU134" s="10" t="n">
        <x:f>AB134/INDEX(tun_RepScale,G134)</x:f>
        <x:v>140.4218809312204</x:v>
      </x:c>
      <x:c r="AV134" s="32" t="n">
        <x:f>AM134*60/tun_SeasonSeconds</x:f>
        <x:v>300.7456401506315</x:v>
      </x:c>
    </x:row>
    <x:row r="135">
      <x:c r="A135" s="8" t="n">
        <x:f>A134+1</x:f>
        <x:v>132</x:v>
      </x:c>
      <x:c r="B135" s="9" t="n">
        <x:f>A135*tun_SeasonSeconds/60</x:f>
        <x:v>33</x:v>
      </x:c>
      <x:c r="C135" s="9" t="n">
        <x:f>A135/4</x:f>
        <x:v>33</x:v>
      </x:c>
      <x:c r="D135" s="8" t="n">
        <x:f>IF(MOD(A135,4)=0,1,0)</x:f>
        <x:v>1</x:v>
      </x:c>
      <x:c r="E135" s="8" t="n">
        <x:f>IF(AND(F134&lt;=9,AS134&gt;=AR134),1,0)</x:f>
        <x:v>0</x:v>
      </x:c>
      <x:c r="F135" s="8" t="n">
        <x:f>MIN(10,F134+E135)</x:f>
        <x:v>3</x:v>
      </x:c>
      <x:c r="G135" s="8" t="n">
        <x:f>MIN(F135,9)+1</x:f>
        <x:v>4</x:v>
      </x:c>
      <x:c r="H135" s="8" t="n">
        <x:f>IF(F135&lt;=9,1,0)</x:f>
        <x:v>1</x:v>
      </x:c>
      <x:c r="I135" s="9" t="n">
        <x:f>MIN(10,F134+IF(AR134&gt;0,MIN(1,AS134/AR134),1))</x:f>
        <x:v>3.0755369173718172</x:v>
      </x:c>
      <x:c r="J135" s="32" t="n">
        <x:f>INDEX(tun_FoodCap,G135)*Arch_FoodCap*EXP(tun_CapsByProject*SUMPRODUCT((Cap_Point&lt;=I135)*(Cap_Kind="Food")*Cap_Ln))</x:f>
        <x:v>88.18366924681426</x:v>
      </x:c>
      <x:c r="K135" s="32" t="n">
        <x:f>J135*MIN(1,tun_LeanBase*EXP(tun_CapsByProject*SUMPRODUCT((Cap_Point&lt;=I135)*(Cap_Kind="Lean")*Cap_Ln)))</x:f>
        <x:v>88.18366924681426</x:v>
      </x:c>
      <x:c r="L135" s="10" t="n">
        <x:f>INDEX(tun_HousingCap,G135)*EXP(tun_CapsByProject*SUMPRODUCT((Cap_Point&lt;=I135)*(Cap_Kind="Housing")*Cap_Ln))</x:f>
        <x:v>394.875</x:v>
      </x:c>
      <x:c r="M135" s="10" t="n">
        <x:f>INDEX(tun_GroupCap,G135)*tun_CohesionFactor*EXP(tun_CapsByProject*SUMPRODUCT((Cap_Point&lt;=I135)*(Cap_Kind="Group")*Cap_Ln))</x:f>
        <x:v>2000.0000000000011</x:v>
      </x:c>
      <x:c r="N135" s="32" t="n">
        <x:f>MIN(J135,L135,M135)</x:f>
        <x:v>88.18366924681426</x:v>
      </x:c>
      <x:c r="O135" s="10" t="n">
        <x:f>AE134*N135</x:f>
        <x:v>176.36733849362852</x:v>
      </x:c>
      <x:c r="P135" s="9" t="n">
        <x:f>MIN(1,(AB134/(AE134*IF(tun_GroupInCrowding=1,N135,MIN(J135,L135))))^tun_CrowdingExp)</x:f>
        <x:v>0.2547415279503291</x:v>
      </x:c>
      <x:c r="Q135" s="9" t="n">
        <x:f>IF(D135=1,INDEX(tun_WinterMult,G135),1)</x:f>
        <x:v>1.25</x:v>
      </x:c>
      <x:c r="R135" s="9" t="n">
        <x:f>H135*Z134*tun_WomenShare*tun_BaseFertility*INDEX(tun_FertMult,G135)*Arch_Fertility*(1-P135)</x:f>
        <x:v>2.9600436012730764</x:v>
      </x:c>
      <x:c r="S135" s="9" t="n">
        <x:f>H135*Y134*INDEX(tun_MortChild,G135)/4*Q135</x:f>
        <x:v>0.847670740371345</x:v>
      </x:c>
      <x:c r="T135" s="9" t="n">
        <x:f>H135*Z134*INDEX(tun_MortAdult,G135)*Arch_AdultMort/4*Q135</x:f>
        <x:v>0.16803916841842775</x:v>
      </x:c>
      <x:c r="U135" s="9" t="n">
        <x:f>H135*AA134*INDEX(tun_MortElder,G135)/4*Q135</x:f>
        <x:v>0.20207315640074192</x:v>
      </x:c>
      <x:c r="V135" s="9" t="n">
        <x:f>H135*MAX(0,AB134-O135)*tun_OvercapLoss</x:f>
        <x:v>0</x:v>
      </x:c>
      <x:c r="W135" s="9" t="n">
        <x:f>H135*Y134/(tun_ChildYears*4)</x:f>
        <x:v>1.4246567065064621</x:v>
      </x:c>
      <x:c r="X135" s="9" t="n">
        <x:f>H135*Z134/(tun_AdultYears*4)</x:f>
        <x:v>0.3942267880784229</x:v>
      </x:c>
      <x:c r="Y135" s="32" t="n">
        <x:f>Y134+R135-S135-W135-Y134*V135/AB134</x:f>
        <x:v>80.46849171875714</x:v>
      </x:c>
      <x:c r="Z135" s="32" t="n">
        <x:f>Z134+W135-X135-T135-Z134*V135/AB134</x:f>
        <x:v>49.74651247173405</x:v>
      </x:c>
      <x:c r="AA135" s="32" t="n">
        <x:f>AA134+X135-U135-AA134*V135/AB134</x:f>
        <x:v>11.949137276811756</x:v>
      </x:c>
      <x:c r="AB135" s="10" t="n">
        <x:f>Y135+Z135+AA135</x:f>
        <x:v>142.16414146730295</x:v>
      </x:c>
      <x:c r="AC135" s="8" t="n">
        <x:f>IF(AND(tun_WinterTrigger=1,D135=1,AB134/AE134&gt;=K135),1,0)</x:f>
        <x:v>0</x:v>
      </x:c>
      <x:c r="AD135" s="8" t="n">
        <x:f>H135*IF(AND(OR(AB134/AE134&gt;=tun_FissionTrigger*N135,AC135=1),AB134/AE134*tun_DaughterShare&gt;=tun_MinDaughter),MAX(1,ROUND(AE134*tun_FissionRate,0)),0)</x:f>
        <x:v>0</x:v>
      </x:c>
      <x:c r="AE135" s="8" t="n">
        <x:f>IF(H135=1,MAX(1,MIN(INDEX(tun_Smax,G135),AE134+AD135)),AE134)</x:f>
        <x:v>2</x:v>
      </x:c>
      <x:c r="AF135" s="8" t="n">
        <x:f>MAX(0,AE135-AE134)</x:f>
        <x:v>0</x:v>
      </x:c>
      <x:c r="AG135" s="9" t="str">
        <x:f>IF(AF135&gt;0,B135,"")</x:f>
      </x:c>
      <x:c r="AH135" s="9" t="n">
        <x:f>IF(F135&gt;=1,1,(1+tun_LowTiesShare*(AE135-1))/AE135)</x:f>
        <x:v>1</x:v>
      </x:c>
      <x:c r="AI135" s="32" t="n">
        <x:f>(Z135+tun_ElderCommons*INDEX(LM_Elder,G135)*AA135)*AH135</x:f>
        <x:v>85.59392430216931</x:v>
      </x:c>
      <x:c r="AJ135" s="32" t="n">
        <x:f>H135*tun_CommonsCoef*AI135^tun_CommonsExp*INDEX(LM_Commons,G135)</x:f>
        <x:v>231.8517723385221</x:v>
      </x:c>
      <x:c r="AK135" s="32" t="n">
        <x:f>H135*tun_RoleScale*Arch_Roles*(AE135*(INDEX(tun_ElderRolePerSett,G135)*tun_OutElder*INDEX(LM_Elder,G135)+INDEX(tun_ShamanPerSett,G135)*tun_OutShaman)+Z135*(INDEX(tun_PriestShare,G135)*tun_OutPriest+INDEX(tun_ScribeShare,G135)*tun_OutScribe*INDEX(LM_Scribe,G135)+INDEX(tun_ScholarShare,G135)*tun_OutScholar*INDEX(LM_Scholar,G135)+INDEX(tun_ResearcherShare,G135)*tun_OutResearcher*INDEX(LM_Researcher,G135)))</x:f>
        <x:v>50.78580469841711</x:v>
      </x:c>
      <x:c r="AL135" s="32" t="n">
        <x:f>H135*tun_RoleScale*Arch_Roles*AE135*INDEX(tun_MonasteryPerSett,G135)*tun_OutMonastery*INDEX(LM_Monastery,G135)</x:f>
        <x:v>0</x:v>
      </x:c>
      <x:c r="AM135" s="32" t="n">
        <x:f>(AJ135+AK135+AL135)/4*INDEX(LM_All,G135)*INDEX(tun_Boon,G135)*Arch_Insight</x:f>
        <x:v>76.09243924594875</x:v>
      </x:c>
      <x:c r="AN135" s="32" t="n">
        <x:f>H135*(tun_KHPerAdult*Z135+tun_KHOfCommons*AJ135/4*INDEX(LM_All,G135))*tun_KHUsable*Arch_KH</x:f>
        <x:v>14.200921055734476</x:v>
      </x:c>
      <x:c r="AO135" s="32" t="n">
        <x:f>MIN(AP134+AN135,AM135*tun_KHMaxRatio)</x:f>
        <x:v>14.200921055734476</x:v>
      </x:c>
      <x:c r="AP135" s="32" t="n">
        <x:f>AP134+AN135-AO135</x:f>
        <x:v>0</x:v>
      </x:c>
      <x:c r="AQ135" s="32" t="n">
        <x:f>AM135+AO135</x:f>
        <x:v>90.29336030168324</x:v>
      </x:c>
      <x:c r="AR135" s="10" t="n">
        <x:f>IF(H135=1,INDEX(tun_Req,G135),0)</x:f>
        <x:v>5252.7422</x:v>
      </x:c>
      <x:c r="AS135" s="32" t="n">
        <x:f>IF(H135=1,IF(E135=1,AS134-AR134,AS134)+AQ135,0)</x:f>
        <x:v>487.0693138385401</x:v>
      </x:c>
      <x:c r="AT135" s="11" t="n">
        <x:f>IF(AR135&gt;0,MIN(1,AS135/AR135),1)</x:f>
        <x:v>0.09272667404818384</x:v>
      </x:c>
      <x:c r="AU135" s="10" t="n">
        <x:f>AB135/INDEX(tun_RepScale,G135)</x:f>
        <x:v>142.16414146730295</x:v>
      </x:c>
      <x:c r="AV135" s="32" t="n">
        <x:f>AM135*60/tun_SeasonSeconds</x:f>
        <x:v>304.369756983795</x:v>
      </x:c>
    </x:row>
    <x:row r="136">
      <x:c r="A136" s="8" t="n">
        <x:f>A135+1</x:f>
        <x:v>133</x:v>
      </x:c>
      <x:c r="B136" s="9" t="n">
        <x:f>A136*tun_SeasonSeconds/60</x:f>
        <x:v>33.25</x:v>
      </x:c>
      <x:c r="C136" s="9" t="n">
        <x:f>A136/4</x:f>
        <x:v>33.25</x:v>
      </x:c>
      <x:c r="D136" s="8" t="n">
        <x:f>IF(MOD(A136,4)=0,1,0)</x:f>
        <x:v>0</x:v>
      </x:c>
      <x:c r="E136" s="8" t="n">
        <x:f>IF(AND(F135&lt;=9,AS135&gt;=AR135),1,0)</x:f>
        <x:v>0</x:v>
      </x:c>
      <x:c r="F136" s="8" t="n">
        <x:f>MIN(10,F135+E136)</x:f>
        <x:v>3</x:v>
      </x:c>
      <x:c r="G136" s="8" t="n">
        <x:f>MIN(F136,9)+1</x:f>
        <x:v>4</x:v>
      </x:c>
      <x:c r="H136" s="8" t="n">
        <x:f>IF(F136&lt;=9,1,0)</x:f>
        <x:v>1</x:v>
      </x:c>
      <x:c r="I136" s="9" t="n">
        <x:f>MIN(10,F135+IF(AR135&gt;0,MIN(1,AS135/AR135),1))</x:f>
        <x:v>3.092726674048184</x:v>
      </x:c>
      <x:c r="J136" s="32" t="n">
        <x:f>INDEX(tun_FoodCap,G136)*Arch_FoodCap*EXP(tun_CapsByProject*SUMPRODUCT((Cap_Point&lt;=I136)*(Cap_Kind="Food")*Cap_Ln))</x:f>
        <x:v>88.18366924681426</x:v>
      </x:c>
      <x:c r="K136" s="32" t="n">
        <x:f>J136*MIN(1,tun_LeanBase*EXP(tun_CapsByProject*SUMPRODUCT((Cap_Point&lt;=I136)*(Cap_Kind="Lean")*Cap_Ln)))</x:f>
        <x:v>88.18366924681426</x:v>
      </x:c>
      <x:c r="L136" s="10" t="n">
        <x:f>INDEX(tun_HousingCap,G136)*EXP(tun_CapsByProject*SUMPRODUCT((Cap_Point&lt;=I136)*(Cap_Kind="Housing")*Cap_Ln))</x:f>
        <x:v>394.875</x:v>
      </x:c>
      <x:c r="M136" s="10" t="n">
        <x:f>INDEX(tun_GroupCap,G136)*tun_CohesionFactor*EXP(tun_CapsByProject*SUMPRODUCT((Cap_Point&lt;=I136)*(Cap_Kind="Group")*Cap_Ln))</x:f>
        <x:v>2000.0000000000011</x:v>
      </x:c>
      <x:c r="N136" s="32" t="n">
        <x:f>MIN(J136,L136,M136)</x:f>
        <x:v>88.18366924681426</x:v>
      </x:c>
      <x:c r="O136" s="10" t="n">
        <x:f>AE135*N136</x:f>
        <x:v>176.36733849362852</x:v>
      </x:c>
      <x:c r="P136" s="9" t="n">
        <x:f>MIN(1,(AB135/(AE135*IF(tun_GroupInCrowding=1,N136,MIN(J136,L136))))^tun_CrowdingExp)</x:f>
        <x:v>0.2743035530887821</x:v>
      </x:c>
      <x:c r="Q136" s="9" t="n">
        <x:f>IF(D136=1,INDEX(tun_WinterMult,G136),1)</x:f>
        <x:v>1</x:v>
      </x:c>
      <x:c r="R136" s="9" t="n">
        <x:f>H136*Z135*tun_WomenShare*tun_BaseFertility*INDEX(tun_FertMult,G136)*Arch_Fertility*(1-P136)</x:f>
        <x:v>2.933195471940661</x:v>
      </x:c>
      <x:c r="S136" s="9" t="n">
        <x:f>H136*Y135*INDEX(tun_MortChild,G136)/4*Q136</x:f>
        <x:v>0.6839821796094357</x:v>
      </x:c>
      <x:c r="T136" s="9" t="n">
        <x:f>H136*Z135*INDEX(tun_MortAdult,G136)*Arch_AdultMort/4*Q136</x:f>
        <x:v>0.13680290929726863</x:v>
      </x:c>
      <x:c r="U136" s="9" t="n">
        <x:f>H136*AA135*INDEX(tun_MortElder,G136)/4*Q136</x:f>
        <x:v>0.16430063755616164</x:v>
      </x:c>
      <x:c r="V136" s="9" t="n">
        <x:f>H136*MAX(0,AB135-O136)*tun_OvercapLoss</x:f>
        <x:v>0</x:v>
      </x:c>
      <x:c r="W136" s="9" t="n">
        <x:f>H136*Y135/(tun_ChildYears*4)</x:f>
        <x:v>1.4369373521206632</x:v>
      </x:c>
      <x:c r="X136" s="9" t="n">
        <x:f>H136*Z135/(tun_AdultYears*4)</x:f>
        <x:v>0.4011815521914036</x:v>
      </x:c>
      <x:c r="Y136" s="32" t="n">
        <x:f>Y135+R136-S136-W136-Y135*V136/AB135</x:f>
        <x:v>81.2807676589677</x:v>
      </x:c>
      <x:c r="Z136" s="32" t="n">
        <x:f>Z135+W136-X136-T136-Z135*V136/AB135</x:f>
        <x:v>50.645465362366046</x:v>
      </x:c>
      <x:c r="AA136" s="32" t="n">
        <x:f>AA135+X136-U136-AA135*V136/AB135</x:f>
        <x:v>12.186018191446998</x:v>
      </x:c>
      <x:c r="AB136" s="10" t="n">
        <x:f>Y136+Z136+AA136</x:f>
        <x:v>144.11225121278076</x:v>
      </x:c>
      <x:c r="AC136" s="8" t="n">
        <x:f>IF(AND(tun_WinterTrigger=1,D136=1,AB135/AE135&gt;=K136),1,0)</x:f>
        <x:v>0</x:v>
      </x:c>
      <x:c r="AD136" s="8" t="n">
        <x:f>H136*IF(AND(OR(AB135/AE135&gt;=tun_FissionTrigger*N136,AC136=1),AB135/AE135*tun_DaughterShare&gt;=tun_MinDaughter),MAX(1,ROUND(AE135*tun_FissionRate,0)),0)</x:f>
        <x:v>0</x:v>
      </x:c>
      <x:c r="AE136" s="8" t="n">
        <x:f>IF(H136=1,MAX(1,MIN(INDEX(tun_Smax,G136),AE135+AD136)),AE135)</x:f>
        <x:v>2</x:v>
      </x:c>
      <x:c r="AF136" s="8" t="n">
        <x:f>MAX(0,AE136-AE135)</x:f>
        <x:v>0</x:v>
      </x:c>
      <x:c r="AG136" s="9" t="str">
        <x:f>IF(AF136&gt;0,B136,"")</x:f>
      </x:c>
      <x:c r="AH136" s="9" t="n">
        <x:f>IF(F136&gt;=1,1,(1+tun_LowTiesShare*(AE136-1))/AE136)</x:f>
        <x:v>1</x:v>
      </x:c>
      <x:c r="AI136" s="32" t="n">
        <x:f>(Z136+tun_ElderCommons*INDEX(LM_Elder,G136)*AA136)*AH136</x:f>
        <x:v>87.20351993670704</x:v>
      </x:c>
      <x:c r="AJ136" s="32" t="n">
        <x:f>H136*tun_CommonsCoef*AI136^tun_CommonsExp*INDEX(LM_Commons,G136)</x:f>
        <x:v>235.5525638501472</x:v>
      </x:c>
      <x:c r="AK136" s="32" t="n">
        <x:f>H136*tun_RoleScale*Arch_Roles*(AE136*(INDEX(tun_ElderRolePerSett,G136)*tun_OutElder*INDEX(LM_Elder,G136)+INDEX(tun_ShamanPerSett,G136)*tun_OutShaman)+Z136*(INDEX(tun_PriestShare,G136)*tun_OutPriest+INDEX(tun_ScribeShare,G136)*tun_OutScribe*INDEX(LM_Scribe,G136)+INDEX(tun_ScholarShare,G136)*tun_OutScholar*INDEX(LM_Scholar,G136)+INDEX(tun_ResearcherShare,G136)*tun_OutResearcher*INDEX(LM_Researcher,G136)))</x:f>
        <x:v>50.8361460602925</x:v>
      </x:c>
      <x:c r="AL136" s="32" t="n">
        <x:f>H136*tun_RoleScale*Arch_Roles*AE136*INDEX(tun_MonasteryPerSett,G136)*tun_OutMonastery*INDEX(LM_Monastery,G136)</x:f>
        <x:v>0</x:v>
      </x:c>
      <x:c r="AM136" s="32" t="n">
        <x:f>(AJ136+AK136+AL136)/4*INDEX(LM_All,G136)*INDEX(tun_Boon,G136)*Arch_Insight</x:f>
        <x:v>77.10232920209926</x:v>
      </x:c>
      <x:c r="AN136" s="32" t="n">
        <x:f>H136*(tun_KHPerAdult*Z136+tun_KHOfCommons*AJ136/4*INDEX(LM_All,G136))*tun_KHUsable*Arch_KH</x:f>
        <x:v>14.427594535821516</x:v>
      </x:c>
      <x:c r="AO136" s="32" t="n">
        <x:f>MIN(AP135+AN136,AM136*tun_KHMaxRatio)</x:f>
        <x:v>14.427594535821516</x:v>
      </x:c>
      <x:c r="AP136" s="32" t="n">
        <x:f>AP135+AN136-AO136</x:f>
        <x:v>0</x:v>
      </x:c>
      <x:c r="AQ136" s="32" t="n">
        <x:f>AM136+AO136</x:f>
        <x:v>91.52992373792077</x:v>
      </x:c>
      <x:c r="AR136" s="10" t="n">
        <x:f>IF(H136=1,INDEX(tun_Req,G136),0)</x:f>
        <x:v>5252.7422</x:v>
      </x:c>
      <x:c r="AS136" s="32" t="n">
        <x:f>IF(H136=1,IF(E136=1,AS135-AR135,AS135)+AQ136,0)</x:f>
        <x:v>578.5992375764608</x:v>
      </x:c>
      <x:c r="AT136" s="11" t="n">
        <x:f>IF(AR136&gt;0,MIN(1,AS136/AR136),1)</x:f>
        <x:v>0.1101518436553884</x:v>
      </x:c>
      <x:c r="AU136" s="10" t="n">
        <x:f>AB136/INDEX(tun_RepScale,G136)</x:f>
        <x:v>144.11225121278076</x:v>
      </x:c>
      <x:c r="AV136" s="32" t="n">
        <x:f>AM136*60/tun_SeasonSeconds</x:f>
        <x:v>308.409316808397</x:v>
      </x:c>
    </x:row>
    <x:row r="137">
      <x:c r="A137" s="8" t="n">
        <x:f>A136+1</x:f>
        <x:v>134</x:v>
      </x:c>
      <x:c r="B137" s="9" t="n">
        <x:f>A137*tun_SeasonSeconds/60</x:f>
        <x:v>33.5</x:v>
      </x:c>
      <x:c r="C137" s="9" t="n">
        <x:f>A137/4</x:f>
        <x:v>33.5</x:v>
      </x:c>
      <x:c r="D137" s="8" t="n">
        <x:f>IF(MOD(A137,4)=0,1,0)</x:f>
        <x:v>0</x:v>
      </x:c>
      <x:c r="E137" s="8" t="n">
        <x:f>IF(AND(F136&lt;=9,AS136&gt;=AR136),1,0)</x:f>
        <x:v>0</x:v>
      </x:c>
      <x:c r="F137" s="8" t="n">
        <x:f>MIN(10,F136+E137)</x:f>
        <x:v>3</x:v>
      </x:c>
      <x:c r="G137" s="8" t="n">
        <x:f>MIN(F137,9)+1</x:f>
        <x:v>4</x:v>
      </x:c>
      <x:c r="H137" s="8" t="n">
        <x:f>IF(F137&lt;=9,1,0)</x:f>
        <x:v>1</x:v>
      </x:c>
      <x:c r="I137" s="9" t="n">
        <x:f>MIN(10,F136+IF(AR136&gt;0,MIN(1,AS136/AR136),1))</x:f>
        <x:v>3.1101518436553883</x:v>
      </x:c>
      <x:c r="J137" s="32" t="n">
        <x:f>INDEX(tun_FoodCap,G137)*Arch_FoodCap*EXP(tun_CapsByProject*SUMPRODUCT((Cap_Point&lt;=I137)*(Cap_Kind="Food")*Cap_Ln))</x:f>
        <x:v>88.18366924681426</x:v>
      </x:c>
      <x:c r="K137" s="32" t="n">
        <x:f>J137*MIN(1,tun_LeanBase*EXP(tun_CapsByProject*SUMPRODUCT((Cap_Point&lt;=I137)*(Cap_Kind="Lean")*Cap_Ln)))</x:f>
        <x:v>88.18366924681426</x:v>
      </x:c>
      <x:c r="L137" s="10" t="n">
        <x:f>INDEX(tun_HousingCap,G137)*EXP(tun_CapsByProject*SUMPRODUCT((Cap_Point&lt;=I137)*(Cap_Kind="Housing")*Cap_Ln))</x:f>
        <x:v>394.875</x:v>
      </x:c>
      <x:c r="M137" s="10" t="n">
        <x:f>INDEX(tun_GroupCap,G137)*tun_CohesionFactor*EXP(tun_CapsByProject*SUMPRODUCT((Cap_Point&lt;=I137)*(Cap_Kind="Group")*Cap_Ln))</x:f>
        <x:v>2000.0000000000011</x:v>
      </x:c>
      <x:c r="N137" s="32" t="n">
        <x:f>MIN(J137,L137,M137)</x:f>
        <x:v>88.18366924681426</x:v>
      </x:c>
      <x:c r="O137" s="10" t="n">
        <x:f>AE136*N137</x:f>
        <x:v>176.36733849362852</x:v>
      </x:c>
      <x:c r="P137" s="9" t="n">
        <x:f>MIN(1,(AB136/(AE136*IF(tun_GroupInCrowding=1,N137,MIN(J137,L137))))^tun_CrowdingExp)</x:f>
        <x:v>0.29764353085646894</x:v>
      </x:c>
      <x:c r="Q137" s="9" t="n">
        <x:f>IF(D137=1,INDEX(tun_WinterMult,G137),1)</x:f>
        <x:v>1</x:v>
      </x:c>
      <x:c r="R137" s="9" t="n">
        <x:f>H137*Z136*tun_WomenShare*tun_BaseFertility*INDEX(tun_FertMult,G137)*Arch_Fertility*(1-P137)</x:f>
        <x:v>2.8901575811909472</x:v>
      </x:c>
      <x:c r="S137" s="9" t="n">
        <x:f>H137*Y136*INDEX(tun_MortChild,G137)/4*Q137</x:f>
        <x:v>0.6908865251012255</x:v>
      </x:c>
      <x:c r="T137" s="9" t="n">
        <x:f>H137*Z136*INDEX(tun_MortAdult,G137)*Arch_AdultMort/4*Q137</x:f>
        <x:v>0.13927502974650663</x:v>
      </x:c>
      <x:c r="U137" s="9" t="n">
        <x:f>H137*AA136*INDEX(tun_MortElder,G137)/4*Q137</x:f>
        <x:v>0.1675577501323962</x:v>
      </x:c>
      <x:c r="V137" s="9" t="n">
        <x:f>H137*MAX(0,AB136-O137)*tun_OvercapLoss</x:f>
        <x:v>0</x:v>
      </x:c>
      <x:c r="W137" s="9" t="n">
        <x:f>H137*Y136/(tun_ChildYears*4)</x:f>
        <x:v>1.4514422796244233</x:v>
      </x:c>
      <x:c r="X137" s="9" t="n">
        <x:f>H137*Z136/(tun_AdultYears*4)</x:f>
        <x:v>0.40843117227714554</x:v>
      </x:c>
      <x:c r="Y137" s="32" t="n">
        <x:f>Y136+R137-S137-W137-Y136*V137/AB136</x:f>
        <x:v>82.028596435433</x:v>
      </x:c>
      <x:c r="Z137" s="32" t="n">
        <x:f>Z136+W137-X137-T137-Z136*V137/AB136</x:f>
        <x:v>51.549201439966815</x:v>
      </x:c>
      <x:c r="AA137" s="32" t="n">
        <x:f>AA136+X137-U137-AA136*V137/AB136</x:f>
        <x:v>12.426891613591748</x:v>
      </x:c>
      <x:c r="AB137" s="10" t="n">
        <x:f>Y137+Z137+AA137</x:f>
        <x:v>146.00468948899157</x:v>
      </x:c>
      <x:c r="AC137" s="8" t="n">
        <x:f>IF(AND(tun_WinterTrigger=1,D137=1,AB136/AE136&gt;=K137),1,0)</x:f>
        <x:v>0</x:v>
      </x:c>
      <x:c r="AD137" s="8" t="n">
        <x:f>H137*IF(AND(OR(AB136/AE136&gt;=tun_FissionTrigger*N137,AC137=1),AB136/AE136*tun_DaughterShare&gt;=tun_MinDaughter),MAX(1,ROUND(AE136*tun_FissionRate,0)),0)</x:f>
        <x:v>0</x:v>
      </x:c>
      <x:c r="AE137" s="8" t="n">
        <x:f>IF(H137=1,MAX(1,MIN(INDEX(tun_Smax,G137),AE136+AD137)),AE136)</x:f>
        <x:v>2</x:v>
      </x:c>
      <x:c r="AF137" s="8" t="n">
        <x:f>MAX(0,AE137-AE136)</x:f>
        <x:v>0</x:v>
      </x:c>
      <x:c r="AG137" s="9" t="str">
        <x:f>IF(AF137&gt;0,B137,"")</x:f>
      </x:c>
      <x:c r="AH137" s="9" t="n">
        <x:f>IF(F137&gt;=1,1,(1+tun_LowTiesShare*(AE137-1))/AE137)</x:f>
        <x:v>1</x:v>
      </x:c>
      <x:c r="AI137" s="32" t="n">
        <x:f>(Z137+tun_ElderCommons*INDEX(LM_Elder,G137)*AA137)*AH137</x:f>
        <x:v>88.82987628074206</x:v>
      </x:c>
      <x:c r="AJ137" s="32" t="n">
        <x:f>H137*tun_CommonsCoef*AI137^tun_CommonsExp*INDEX(LM_Commons,G137)</x:f>
        <x:v>239.28149926386155</x:v>
      </x:c>
      <x:c r="AK137" s="32" t="n">
        <x:f>H137*tun_RoleScale*Arch_Roles*(AE137*(INDEX(tun_ElderRolePerSett,G137)*tun_OutElder*INDEX(LM_Elder,G137)+INDEX(tun_ShamanPerSett,G137)*tun_OutShaman)+Z137*(INDEX(tun_PriestShare,G137)*tun_OutPriest+INDEX(tun_ScribeShare,G137)*tun_OutScribe*INDEX(LM_Scribe,G137)+INDEX(tun_ScholarShare,G137)*tun_OutScholar*INDEX(LM_Scholar,G137)+INDEX(tun_ResearcherShare,G137)*tun_OutResearcher*INDEX(LM_Researcher,G137)))</x:f>
        <x:v>50.88675528063814</x:v>
      </x:c>
      <x:c r="AL137" s="32" t="n">
        <x:f>H137*tun_RoleScale*Arch_Roles*AE137*INDEX(tun_MonasteryPerSett,G137)*tun_OutMonastery*INDEX(LM_Monastery,G137)</x:f>
        <x:v>0</x:v>
      </x:c>
      <x:c r="AM137" s="32" t="n">
        <x:f>(AJ137+AK137+AL137)/4*INDEX(LM_All,G137)*INDEX(tun_Boon,G137)*Arch_Insight</x:f>
        <x:v>78.11986824789632</x:v>
      </x:c>
      <x:c r="AN137" s="32" t="n">
        <x:f>H137*(tun_KHPerAdult*Z137+tun_KHOfCommons*AJ137/4*INDEX(LM_All,G137))*tun_KHUsable*Arch_KH</x:f>
        <x:v>14.655991829911517</x:v>
      </x:c>
      <x:c r="AO137" s="32" t="n">
        <x:f>MIN(AP136+AN137,AM137*tun_KHMaxRatio)</x:f>
        <x:v>14.655991829911517</x:v>
      </x:c>
      <x:c r="AP137" s="32" t="n">
        <x:f>AP136+AN137-AO137</x:f>
        <x:v>0</x:v>
      </x:c>
      <x:c r="AQ137" s="32" t="n">
        <x:f>AM137+AO137</x:f>
        <x:v>92.77586007780783</x:v>
      </x:c>
      <x:c r="AR137" s="10" t="n">
        <x:f>IF(H137=1,INDEX(tun_Req,G137),0)</x:f>
        <x:v>5252.7422</x:v>
      </x:c>
      <x:c r="AS137" s="32" t="n">
        <x:f>IF(H137=1,IF(E137=1,AS136-AR136,AS136)+AQ137,0)</x:f>
        <x:v>671.3750976542686</x:v>
      </x:c>
      <x:c r="AT137" s="11" t="n">
        <x:f>IF(AR137&gt;0,MIN(1,AS137/AR137),1)</x:f>
        <x:v>0.12781421057638592</x:v>
      </x:c>
      <x:c r="AU137" s="10" t="n">
        <x:f>AB137/INDEX(tun_RepScale,G137)</x:f>
        <x:v>146.00468948899157</x:v>
      </x:c>
      <x:c r="AV137" s="32" t="n">
        <x:f>AM137*60/tun_SeasonSeconds</x:f>
        <x:v>312.4794729915853</x:v>
      </x:c>
    </x:row>
    <x:row r="138">
      <x:c r="A138" s="8" t="n">
        <x:f>A137+1</x:f>
        <x:v>135</x:v>
      </x:c>
      <x:c r="B138" s="9" t="n">
        <x:f>A138*tun_SeasonSeconds/60</x:f>
        <x:v>33.75</x:v>
      </x:c>
      <x:c r="C138" s="9" t="n">
        <x:f>A138/4</x:f>
        <x:v>33.75</x:v>
      </x:c>
      <x:c r="D138" s="8" t="n">
        <x:f>IF(MOD(A138,4)=0,1,0)</x:f>
        <x:v>0</x:v>
      </x:c>
      <x:c r="E138" s="8" t="n">
        <x:f>IF(AND(F137&lt;=9,AS137&gt;=AR137),1,0)</x:f>
        <x:v>0</x:v>
      </x:c>
      <x:c r="F138" s="8" t="n">
        <x:f>MIN(10,F137+E138)</x:f>
        <x:v>3</x:v>
      </x:c>
      <x:c r="G138" s="8" t="n">
        <x:f>MIN(F138,9)+1</x:f>
        <x:v>4</x:v>
      </x:c>
      <x:c r="H138" s="8" t="n">
        <x:f>IF(F138&lt;=9,1,0)</x:f>
        <x:v>1</x:v>
      </x:c>
      <x:c r="I138" s="9" t="n">
        <x:f>MIN(10,F137+IF(AR137&gt;0,MIN(1,AS137/AR137),1))</x:f>
        <x:v>3.127814210576386</x:v>
      </x:c>
      <x:c r="J138" s="32" t="n">
        <x:f>INDEX(tun_FoodCap,G138)*Arch_FoodCap*EXP(tun_CapsByProject*SUMPRODUCT((Cap_Point&lt;=I138)*(Cap_Kind="Food")*Cap_Ln))</x:f>
        <x:v>88.18366924681426</x:v>
      </x:c>
      <x:c r="K138" s="32" t="n">
        <x:f>J138*MIN(1,tun_LeanBase*EXP(tun_CapsByProject*SUMPRODUCT((Cap_Point&lt;=I138)*(Cap_Kind="Lean")*Cap_Ln)))</x:f>
        <x:v>88.18366924681426</x:v>
      </x:c>
      <x:c r="L138" s="10" t="n">
        <x:f>INDEX(tun_HousingCap,G138)*EXP(tun_CapsByProject*SUMPRODUCT((Cap_Point&lt;=I138)*(Cap_Kind="Housing")*Cap_Ln))</x:f>
        <x:v>394.875</x:v>
      </x:c>
      <x:c r="M138" s="10" t="n">
        <x:f>INDEX(tun_GroupCap,G138)*tun_CohesionFactor*EXP(tun_CapsByProject*SUMPRODUCT((Cap_Point&lt;=I138)*(Cap_Kind="Group")*Cap_Ln))</x:f>
        <x:v>2000.0000000000011</x:v>
      </x:c>
      <x:c r="N138" s="32" t="n">
        <x:f>MIN(J138,L138,M138)</x:f>
        <x:v>88.18366924681426</x:v>
      </x:c>
      <x:c r="O138" s="10" t="n">
        <x:f>AE137*N138</x:f>
        <x:v>176.36733849362852</x:v>
      </x:c>
      <x:c r="P138" s="9" t="n">
        <x:f>MIN(1,(AB137/(AE137*IF(tun_GroupInCrowding=1,N138,MIN(J138,L138))))^tun_CrowdingExp)</x:f>
        <x:v>0.32187842169763964</x:v>
      </x:c>
      <x:c r="Q138" s="9" t="n">
        <x:f>IF(D138=1,INDEX(tun_WinterMult,G138),1)</x:f>
        <x:v>1</x:v>
      </x:c>
      <x:c r="R138" s="9" t="n">
        <x:f>H138*Z137*tun_WomenShare*tun_BaseFertility*INDEX(tun_FertMult,G138)*Arch_Fertility*(1-P138)</x:f>
        <x:v>2.8402258495565995</x:v>
      </x:c>
      <x:c r="S138" s="9" t="n">
        <x:f>H138*Y137*INDEX(tun_MortChild,G138)/4*Q138</x:f>
        <x:v>0.6972430697011806</x:v>
      </x:c>
      <x:c r="T138" s="9" t="n">
        <x:f>H138*Z137*INDEX(tun_MortAdult,G138)*Arch_AdultMort/4*Q138</x:f>
        <x:v>0.14176030395990874</x:v>
      </x:c>
      <x:c r="U138" s="9" t="n">
        <x:f>H138*AA137*INDEX(tun_MortElder,G138)/4*Q138</x:f>
        <x:v>0.17086975968688653</x:v>
      </x:c>
      <x:c r="V138" s="9" t="n">
        <x:f>H138*MAX(0,AB137-O138)*tun_OvercapLoss</x:f>
        <x:v>0</x:v>
      </x:c>
      <x:c r="W138" s="9" t="n">
        <x:f>H138*Y137/(tun_ChildYears*4)</x:f>
        <x:v>1.4647963649184466</x:v>
      </x:c>
      <x:c r="X138" s="9" t="n">
        <x:f>H138*Z137/(tun_AdultYears*4)</x:f>
        <x:v>0.4157193664513453</x:v>
      </x:c>
      <x:c r="Y138" s="32" t="n">
        <x:f>Y137+R138-S138-W138-Y137*V138/AB137</x:f>
        <x:v>82.70678285036998</x:v>
      </x:c>
      <x:c r="Z138" s="32" t="n">
        <x:f>Z137+W138-X138-T138-Z137*V138/AB137</x:f>
        <x:v>52.45651813447401</x:v>
      </x:c>
      <x:c r="AA138" s="32" t="n">
        <x:f>AA137+X138-U138-AA137*V138/AB137</x:f>
        <x:v>12.671741220356205</x:v>
      </x:c>
      <x:c r="AB138" s="10" t="n">
        <x:f>Y138+Z138+AA138</x:f>
        <x:v>147.8350422052002</x:v>
      </x:c>
      <x:c r="AC138" s="8" t="n">
        <x:f>IF(AND(tun_WinterTrigger=1,D138=1,AB137/AE137&gt;=K138),1,0)</x:f>
        <x:v>0</x:v>
      </x:c>
      <x:c r="AD138" s="8" t="n">
        <x:f>H138*IF(AND(OR(AB137/AE137&gt;=tun_FissionTrigger*N138,AC138=1),AB137/AE137*tun_DaughterShare&gt;=tun_MinDaughter),MAX(1,ROUND(AE137*tun_FissionRate,0)),0)</x:f>
        <x:v>0</x:v>
      </x:c>
      <x:c r="AE138" s="8" t="n">
        <x:f>IF(H138=1,MAX(1,MIN(INDEX(tun_Smax,G138),AE137+AD138)),AE137)</x:f>
        <x:v>2</x:v>
      </x:c>
      <x:c r="AF138" s="8" t="n">
        <x:f>MAX(0,AE138-AE137)</x:f>
        <x:v>0</x:v>
      </x:c>
      <x:c r="AG138" s="9" t="str">
        <x:f>IF(AF138&gt;0,B138,"")</x:f>
      </x:c>
      <x:c r="AH138" s="9" t="n">
        <x:f>IF(F138&gt;=1,1,(1+tun_LowTiesShare*(AE138-1))/AE138)</x:f>
        <x:v>1</x:v>
      </x:c>
      <x:c r="AI138" s="32" t="n">
        <x:f>(Z138+tun_ElderCommons*INDEX(LM_Elder,G138)*AA138)*AH138</x:f>
        <x:v>90.47174179554263</x:v>
      </x:c>
      <x:c r="AJ138" s="32" t="n">
        <x:f>H138*tun_CommonsCoef*AI138^tun_CommonsExp*INDEX(LM_Commons,G138)</x:f>
        <x:v>243.0356209388089</x:v>
      </x:c>
      <x:c r="AK138" s="32" t="n">
        <x:f>H138*tun_RoleScale*Arch_Roles*(AE138*(INDEX(tun_ElderRolePerSett,G138)*tun_OutElder*INDEX(LM_Elder,G138)+INDEX(tun_ShamanPerSett,G138)*tun_OutShaman)+Z138*(INDEX(tun_PriestShare,G138)*tun_OutPriest+INDEX(tun_ScribeShare,G138)*tun_OutScribe*INDEX(LM_Scribe,G138)+INDEX(tun_ScholarShare,G138)*tun_OutScholar*INDEX(LM_Scholar,G138)+INDEX(tun_ResearcherShare,G138)*tun_OutResearcher*INDEX(LM_Researcher,G138)))</x:f>
        <x:v>50.937565015530545</x:v>
      </x:c>
      <x:c r="AL138" s="32" t="n">
        <x:f>H138*tun_RoleScale*Arch_Roles*AE138*INDEX(tun_MonasteryPerSett,G138)*tun_OutMonastery*INDEX(LM_Monastery,G138)</x:f>
        <x:v>0</x:v>
      </x:c>
      <x:c r="AM138" s="32" t="n">
        <x:f>(AJ138+AK138+AL138)/4*INDEX(LM_All,G138)*INDEX(tun_Boon,G138)*Arch_Insight</x:f>
        <x:v>79.14424198890244</x:v>
      </x:c>
      <x:c r="AN138" s="32" t="n">
        <x:f>H138*(tun_KHPerAdult*Z138+tun_KHOfCommons*AJ138/4*INDEX(LM_All,G138))*tun_KHUsable*Arch_KH</x:f>
        <x:v>14.885931782502043</x:v>
      </x:c>
      <x:c r="AO138" s="32" t="n">
        <x:f>MIN(AP137+AN138,AM138*tun_KHMaxRatio)</x:f>
        <x:v>14.885931782502043</x:v>
      </x:c>
      <x:c r="AP138" s="32" t="n">
        <x:f>AP137+AN138-AO138</x:f>
        <x:v>0</x:v>
      </x:c>
      <x:c r="AQ138" s="32" t="n">
        <x:f>AM138+AO138</x:f>
        <x:v>94.03017377140448</x:v>
      </x:c>
      <x:c r="AR138" s="10" t="n">
        <x:f>IF(H138=1,INDEX(tun_Req,G138),0)</x:f>
        <x:v>5252.7422</x:v>
      </x:c>
      <x:c r="AS138" s="32" t="n">
        <x:f>IF(H138=1,IF(E138=1,AS137-AR137,AS137)+AQ138,0)</x:f>
        <x:v>765.4052714256732</x:v>
      </x:c>
      <x:c r="AT138" s="11" t="n">
        <x:f>IF(AR138&gt;0,MIN(1,AS138/AR138),1)</x:f>
        <x:v>0.14571536966456744</x:v>
      </x:c>
      <x:c r="AU138" s="10" t="n">
        <x:f>AB138/INDEX(tun_RepScale,G138)</x:f>
        <x:v>147.8350422052002</x:v>
      </x:c>
      <x:c r="AV138" s="32" t="n">
        <x:f>AM138*60/tun_SeasonSeconds</x:f>
        <x:v>316.57696795560975</x:v>
      </x:c>
    </x:row>
    <x:row r="139">
      <x:c r="A139" s="8" t="n">
        <x:f>A138+1</x:f>
        <x:v>136</x:v>
      </x:c>
      <x:c r="B139" s="9" t="n">
        <x:f>A139*tun_SeasonSeconds/60</x:f>
        <x:v>34</x:v>
      </x:c>
      <x:c r="C139" s="9" t="n">
        <x:f>A139/4</x:f>
        <x:v>34</x:v>
      </x:c>
      <x:c r="D139" s="8" t="n">
        <x:f>IF(MOD(A139,4)=0,1,0)</x:f>
        <x:v>1</x:v>
      </x:c>
      <x:c r="E139" s="8" t="n">
        <x:f>IF(AND(F138&lt;=9,AS138&gt;=AR138),1,0)</x:f>
        <x:v>0</x:v>
      </x:c>
      <x:c r="F139" s="8" t="n">
        <x:f>MIN(10,F138+E139)</x:f>
        <x:v>3</x:v>
      </x:c>
      <x:c r="G139" s="8" t="n">
        <x:f>MIN(F139,9)+1</x:f>
        <x:v>4</x:v>
      </x:c>
      <x:c r="H139" s="8" t="n">
        <x:f>IF(F139&lt;=9,1,0)</x:f>
        <x:v>1</x:v>
      </x:c>
      <x:c r="I139" s="9" t="n">
        <x:f>MIN(10,F138+IF(AR138&gt;0,MIN(1,AS138/AR138),1))</x:f>
        <x:v>3.1457153696645674</x:v>
      </x:c>
      <x:c r="J139" s="32" t="n">
        <x:f>INDEX(tun_FoodCap,G139)*Arch_FoodCap*EXP(tun_CapsByProject*SUMPRODUCT((Cap_Point&lt;=I139)*(Cap_Kind="Food")*Cap_Ln))</x:f>
        <x:v>88.18366924681426</x:v>
      </x:c>
      <x:c r="K139" s="32" t="n">
        <x:f>J139*MIN(1,tun_LeanBase*EXP(tun_CapsByProject*SUMPRODUCT((Cap_Point&lt;=I139)*(Cap_Kind="Lean")*Cap_Ln)))</x:f>
        <x:v>88.18366924681426</x:v>
      </x:c>
      <x:c r="L139" s="10" t="n">
        <x:f>INDEX(tun_HousingCap,G139)*EXP(tun_CapsByProject*SUMPRODUCT((Cap_Point&lt;=I139)*(Cap_Kind="Housing")*Cap_Ln))</x:f>
        <x:v>394.875</x:v>
      </x:c>
      <x:c r="M139" s="10" t="n">
        <x:f>INDEX(tun_GroupCap,G139)*tun_CohesionFactor*EXP(tun_CapsByProject*SUMPRODUCT((Cap_Point&lt;=I139)*(Cap_Kind="Group")*Cap_Ln))</x:f>
        <x:v>2000.0000000000011</x:v>
      </x:c>
      <x:c r="N139" s="32" t="n">
        <x:f>MIN(J139,L139,M139)</x:f>
        <x:v>88.18366924681426</x:v>
      </x:c>
      <x:c r="O139" s="10" t="n">
        <x:f>AE138*N139</x:f>
        <x:v>176.36733849362852</x:v>
      </x:c>
      <x:c r="P139" s="9" t="n">
        <x:f>MIN(1,(AB138/(AE138*IF(tun_GroupInCrowding=1,N139,MIN(J139,L139))))^tun_CrowdingExp)</x:f>
        <x:v>0.3468609193387827</x:v>
      </x:c>
      <x:c r="Q139" s="9" t="n">
        <x:f>IF(D139=1,INDEX(tun_WinterMult,G139),1)</x:f>
        <x:v>1.25</x:v>
      </x:c>
      <x:c r="R139" s="9" t="n">
        <x:f>H139*Z138*tun_WomenShare*tun_BaseFertility*INDEX(tun_FertMult,G139)*Arch_Fertility*(1-P139)</x:f>
        <x:v>2.7837389148594047</x:v>
      </x:c>
      <x:c r="S139" s="9" t="n">
        <x:f>H139*Y138*INDEX(tun_MortChild,G139)/4*Q139</x:f>
        <x:v>0.878759567785181</x:v>
      </x:c>
      <x:c r="T139" s="9" t="n">
        <x:f>H139*Z138*INDEX(tun_MortAdult,G139)*Arch_AdultMort/4*Q139</x:f>
        <x:v>0.18031928108725442</x:v>
      </x:c>
      <x:c r="U139" s="9" t="n">
        <x:f>H139*AA138*INDEX(tun_MortElder,G139)/4*Q139</x:f>
        <x:v>0.2177955522248723</x:v>
      </x:c>
      <x:c r="V139" s="9" t="n">
        <x:f>H139*MAX(0,AB138-O139)*tun_OvercapLoss</x:f>
        <x:v>0</x:v>
      </x:c>
      <x:c r="W139" s="9" t="n">
        <x:f>H139*Y138/(tun_ChildYears*4)</x:f>
        <x:v>1.4769068366137497</x:v>
      </x:c>
      <x:c r="X139" s="9" t="n">
        <x:f>H139*Z138/(tun_AdultYears*4)</x:f>
        <x:v>0.4230364365683388</x:v>
      </x:c>
      <x:c r="Y139" s="32" t="n">
        <x:f>Y138+R139-S139-W139-Y138*V139/AB138</x:f>
        <x:v>83.13485536083044</x:v>
      </x:c>
      <x:c r="Z139" s="32" t="n">
        <x:f>Z138+W139-X139-T139-Z138*V139/AB138</x:f>
        <x:v>53.330069253432164</x:v>
      </x:c>
      <x:c r="AA139" s="32" t="n">
        <x:f>AA138+X139-U139-AA138*V139/AB138</x:f>
        <x:v>12.876982104699671</x:v>
      </x:c>
      <x:c r="AB139" s="10" t="n">
        <x:f>Y139+Z139+AA139</x:f>
        <x:v>149.34190671896226</x:v>
      </x:c>
      <x:c r="AC139" s="8" t="n">
        <x:f>IF(AND(tun_WinterTrigger=1,D139=1,AB138/AE138&gt;=K139),1,0)</x:f>
        <x:v>0</x:v>
      </x:c>
      <x:c r="AD139" s="8" t="n">
        <x:f>H139*IF(AND(OR(AB138/AE138&gt;=tun_FissionTrigger*N139,AC139=1),AB138/AE138*tun_DaughterShare&gt;=tun_MinDaughter),MAX(1,ROUND(AE138*tun_FissionRate,0)),0)</x:f>
        <x:v>0</x:v>
      </x:c>
      <x:c r="AE139" s="8" t="n">
        <x:f>IF(H139=1,MAX(1,MIN(INDEX(tun_Smax,G139),AE138+AD139)),AE138)</x:f>
        <x:v>2</x:v>
      </x:c>
      <x:c r="AF139" s="8" t="n">
        <x:f>MAX(0,AE139-AE138)</x:f>
        <x:v>0</x:v>
      </x:c>
      <x:c r="AG139" s="9" t="str">
        <x:f>IF(AF139&gt;0,B139,"")</x:f>
      </x:c>
      <x:c r="AH139" s="9" t="n">
        <x:f>IF(F139&gt;=1,1,(1+tun_LowTiesShare*(AE139-1))/AE139)</x:f>
        <x:v>1</x:v>
      </x:c>
      <x:c r="AI139" s="32" t="n">
        <x:f>(Z139+tun_ElderCommons*INDEX(LM_Elder,G139)*AA139)*AH139</x:f>
        <x:v>91.96101556753118</x:v>
      </x:c>
      <x:c r="AJ139" s="32" t="n">
        <x:f>H139*tun_CommonsCoef*AI139^tun_CommonsExp*INDEX(LM_Commons,G139)</x:f>
        <x:v>246.43200893622574</x:v>
      </x:c>
      <x:c r="AK139" s="32" t="n">
        <x:f>H139*tun_RoleScale*Arch_Roles*(AE139*(INDEX(tun_ElderRolePerSett,G139)*tun_OutElder*INDEX(LM_Elder,G139)+INDEX(tun_ShamanPerSett,G139)*tun_OutShaman)+Z139*(INDEX(tun_PriestShare,G139)*tun_OutPriest+INDEX(tun_ScribeShare,G139)*tun_OutScribe*INDEX(LM_Scribe,G139)+INDEX(tun_ScholarShare,G139)*tun_OutScholar*INDEX(LM_Scholar,G139)+INDEX(tun_ResearcherShare,G139)*tun_OutResearcher*INDEX(LM_Researcher,G139)))</x:f>
        <x:v>50.9864838781922</x:v>
      </x:c>
      <x:c r="AL139" s="32" t="n">
        <x:f>H139*tun_RoleScale*Arch_Roles*AE139*INDEX(tun_MonasteryPerSett,G139)*tun_OutMonastery*INDEX(LM_Monastery,G139)</x:f>
        <x:v>0</x:v>
      </x:c>
      <x:c r="AM139" s="32" t="n">
        <x:f>(AJ139+AK139+AL139)/4*INDEX(LM_All,G139)*INDEX(tun_Boon,G139)*Arch_Insight</x:f>
        <x:v>80.07179665336912</x:v>
      </x:c>
      <x:c r="AN139" s="32" t="n">
        <x:f>H139*(tun_KHPerAdult*Z139+tun_KHOfCommons*AJ139/4*INDEX(LM_All,G139))*tun_KHUsable*Arch_KH</x:f>
        <x:v>15.093960547343825</x:v>
      </x:c>
      <x:c r="AO139" s="32" t="n">
        <x:f>MIN(AP138+AN139,AM139*tun_KHMaxRatio)</x:f>
        <x:v>15.093960547343825</x:v>
      </x:c>
      <x:c r="AP139" s="32" t="n">
        <x:f>AP138+AN139-AO139</x:f>
        <x:v>0</x:v>
      </x:c>
      <x:c r="AQ139" s="32" t="n">
        <x:f>AM139+AO139</x:f>
        <x:v>95.16575720071295</x:v>
      </x:c>
      <x:c r="AR139" s="10" t="n">
        <x:f>IF(H139=1,INDEX(tun_Req,G139),0)</x:f>
        <x:v>5252.7422</x:v>
      </x:c>
      <x:c r="AS139" s="32" t="n">
        <x:f>IF(H139=1,IF(E139=1,AS138-AR138,AS138)+AQ139,0)</x:f>
        <x:v>860.5710286263861</x:v>
      </x:c>
      <x:c r="AT139" s="11" t="n">
        <x:f>IF(AR139&gt;0,MIN(1,AS139/AR139),1)</x:f>
        <x:v>0.16383271743783392</x:v>
      </x:c>
      <x:c r="AU139" s="10" t="n">
        <x:f>AB139/INDEX(tun_RepScale,G139)</x:f>
        <x:v>149.34190671896226</x:v>
      </x:c>
      <x:c r="AV139" s="32" t="n">
        <x:f>AM139*60/tun_SeasonSeconds</x:f>
        <x:v>320.2871866134765</x:v>
      </x:c>
    </x:row>
    <x:row r="140">
      <x:c r="A140" s="8" t="n">
        <x:f>A139+1</x:f>
        <x:v>137</x:v>
      </x:c>
      <x:c r="B140" s="9" t="n">
        <x:f>A140*tun_SeasonSeconds/60</x:f>
        <x:v>34.25</x:v>
      </x:c>
      <x:c r="C140" s="9" t="n">
        <x:f>A140/4</x:f>
        <x:v>34.25</x:v>
      </x:c>
      <x:c r="D140" s="8" t="n">
        <x:f>IF(MOD(A140,4)=0,1,0)</x:f>
        <x:v>0</x:v>
      </x:c>
      <x:c r="E140" s="8" t="n">
        <x:f>IF(AND(F139&lt;=9,AS139&gt;=AR139),1,0)</x:f>
        <x:v>0</x:v>
      </x:c>
      <x:c r="F140" s="8" t="n">
        <x:f>MIN(10,F139+E140)</x:f>
        <x:v>3</x:v>
      </x:c>
      <x:c r="G140" s="8" t="n">
        <x:f>MIN(F140,9)+1</x:f>
        <x:v>4</x:v>
      </x:c>
      <x:c r="H140" s="8" t="n">
        <x:f>IF(F140&lt;=9,1,0)</x:f>
        <x:v>1</x:v>
      </x:c>
      <x:c r="I140" s="9" t="n">
        <x:f>MIN(10,F139+IF(AR139&gt;0,MIN(1,AS139/AR139),1))</x:f>
        <x:v>3.163832717437834</x:v>
      </x:c>
      <x:c r="J140" s="32" t="n">
        <x:f>INDEX(tun_FoodCap,G140)*Arch_FoodCap*EXP(tun_CapsByProject*SUMPRODUCT((Cap_Point&lt;=I140)*(Cap_Kind="Food")*Cap_Ln))</x:f>
        <x:v>109.20030677106902</x:v>
      </x:c>
      <x:c r="K140" s="32" t="n">
        <x:f>J140*MIN(1,tun_LeanBase*EXP(tun_CapsByProject*SUMPRODUCT((Cap_Point&lt;=I140)*(Cap_Kind="Lean")*Cap_Ln)))</x:f>
        <x:v>109.20030677106902</x:v>
      </x:c>
      <x:c r="L140" s="10" t="n">
        <x:f>INDEX(tun_HousingCap,G140)*EXP(tun_CapsByProject*SUMPRODUCT((Cap_Point&lt;=I140)*(Cap_Kind="Housing")*Cap_Ln))</x:f>
        <x:v>592.3124999999999</x:v>
      </x:c>
      <x:c r="M140" s="10" t="n">
        <x:f>INDEX(tun_GroupCap,G140)*tun_CohesionFactor*EXP(tun_CapsByProject*SUMPRODUCT((Cap_Point&lt;=I140)*(Cap_Kind="Group")*Cap_Ln))</x:f>
        <x:v>2000.0000000000011</x:v>
      </x:c>
      <x:c r="N140" s="32" t="n">
        <x:f>MIN(J140,L140,M140)</x:f>
        <x:v>109.20030677106902</x:v>
      </x:c>
      <x:c r="O140" s="10" t="n">
        <x:f>AE139*N140</x:f>
        <x:v>218.40061354213805</x:v>
      </x:c>
      <x:c r="P140" s="9" t="n">
        <x:f>MIN(1,(AB139/(AE139*IF(tun_GroupInCrowding=1,N140,MIN(J140,L140))))^tun_CrowdingExp)</x:f>
        <x:v>0.10222733208120993</x:v>
      </x:c>
      <x:c r="Q140" s="9" t="n">
        <x:f>IF(D140=1,INDEX(tun_WinterMult,G140),1)</x:f>
        <x:v>1</x:v>
      </x:c>
      <x:c r="R140" s="9" t="n">
        <x:f>H140*Z139*tun_WomenShare*tun_BaseFertility*INDEX(tun_FertMult,G140)*Arch_Fertility*(1-P140)</x:f>
        <x:v>3.8901101325082448</x:v>
      </x:c>
      <x:c r="S140" s="9" t="n">
        <x:f>H140*Y139*INDEX(tun_MortChild,G140)/4*Q140</x:f>
        <x:v>0.7066462705670589</x:v>
      </x:c>
      <x:c r="T140" s="9" t="n">
        <x:f>H140*Z139*INDEX(tun_MortAdult,G140)*Arch_AdultMort/4*Q140</x:f>
        <x:v>0.14665769044693844</x:v>
      </x:c>
      <x:c r="U140" s="9" t="n">
        <x:f>H140*AA139*INDEX(tun_MortElder,G140)/4*Q140</x:f>
        <x:v>0.17705850393962047</x:v>
      </x:c>
      <x:c r="V140" s="9" t="n">
        <x:f>H140*MAX(0,AB139-O140)*tun_OvercapLoss</x:f>
        <x:v>0</x:v>
      </x:c>
      <x:c r="W140" s="9" t="n">
        <x:f>H140*Y139/(tun_ChildYears*4)</x:f>
        <x:v>1.484550988586258</x:v>
      </x:c>
      <x:c r="X140" s="9" t="n">
        <x:f>H140*Z139/(tun_AdultYears*4)</x:f>
        <x:v>0.430081203656711</x:v>
      </x:c>
      <x:c r="Y140" s="32" t="n">
        <x:f>Y139+R140-S140-W140-Y139*V140/AB139</x:f>
        <x:v>84.83376823418536</x:v>
      </x:c>
      <x:c r="Z140" s="32" t="n">
        <x:f>Z139+W140-X140-T140-Z139*V140/AB139</x:f>
        <x:v>54.23788134791477</x:v>
      </x:c>
      <x:c r="AA140" s="32" t="n">
        <x:f>AA139+X140-U140-AA139*V140/AB139</x:f>
        <x:v>13.13000480441676</x:v>
      </x:c>
      <x:c r="AB140" s="10" t="n">
        <x:f>Y140+Z140+AA140</x:f>
        <x:v>152.20165438651688</x:v>
      </x:c>
      <x:c r="AC140" s="8" t="n">
        <x:f>IF(AND(tun_WinterTrigger=1,D140=1,AB139/AE139&gt;=K140),1,0)</x:f>
        <x:v>0</x:v>
      </x:c>
      <x:c r="AD140" s="8" t="n">
        <x:f>H140*IF(AND(OR(AB139/AE139&gt;=tun_FissionTrigger*N140,AC140=1),AB139/AE139*tun_DaughterShare&gt;=tun_MinDaughter),MAX(1,ROUND(AE139*tun_FissionRate,0)),0)</x:f>
        <x:v>0</x:v>
      </x:c>
      <x:c r="AE140" s="8" t="n">
        <x:f>IF(H140=1,MAX(1,MIN(INDEX(tun_Smax,G140),AE139+AD140)),AE139)</x:f>
        <x:v>2</x:v>
      </x:c>
      <x:c r="AF140" s="8" t="n">
        <x:f>MAX(0,AE140-AE139)</x:f>
        <x:v>0</x:v>
      </x:c>
      <x:c r="AG140" s="9" t="str">
        <x:f>IF(AF140&gt;0,B140,"")</x:f>
      </x:c>
      <x:c r="AH140" s="9" t="n">
        <x:f>IF(F140&gt;=1,1,(1+tun_LowTiesShare*(AE140-1))/AE140)</x:f>
        <x:v>1</x:v>
      </x:c>
      <x:c r="AI140" s="32" t="n">
        <x:f>(Z140+tun_ElderCommons*INDEX(LM_Elder,G140)*AA140)*AH140</x:f>
        <x:v>93.62789576116506</x:v>
      </x:c>
      <x:c r="AJ140" s="32" t="n">
        <x:f>H140*tun_CommonsCoef*AI140^tun_CommonsExp*INDEX(LM_Commons,G140)</x:f>
        <x:v>250.2236737416546</x:v>
      </x:c>
      <x:c r="AK140" s="32" t="n">
        <x:f>H140*tun_RoleScale*Arch_Roles*(AE140*(INDEX(tun_ElderRolePerSett,G140)*tun_OutElder*INDEX(LM_Elder,G140)+INDEX(tun_ShamanPerSett,G140)*tun_OutShaman)+Z140*(INDEX(tun_PriestShare,G140)*tun_OutPriest+INDEX(tun_ScribeShare,G140)*tun_OutScribe*INDEX(LM_Scribe,G140)+INDEX(tun_ScholarShare,G140)*tun_OutScholar*INDEX(LM_Scholar,G140)+INDEX(tun_ResearcherShare,G140)*tun_OutResearcher*INDEX(LM_Researcher,G140)))</x:f>
        <x:v>51.03732135548323</x:v>
      </x:c>
      <x:c r="AL140" s="32" t="n">
        <x:f>H140*tun_RoleScale*Arch_Roles*AE140*INDEX(tun_MonasteryPerSett,G140)*tun_OutMonastery*INDEX(LM_Monastery,G140)</x:f>
        <x:v>0</x:v>
      </x:c>
      <x:c r="AM140" s="32" t="n">
        <x:f>(AJ140+AK140+AL140)/4*INDEX(LM_All,G140)*INDEX(tun_Boon,G140)*Arch_Insight</x:f>
        <x:v>81.10628532456964</x:v>
      </x:c>
      <x:c r="AN140" s="32" t="n">
        <x:f>H140*(tun_KHPerAdult*Z140+tun_KHOfCommons*AJ140/4*INDEX(LM_All,G140))*tun_KHUsable*Arch_KH</x:f>
        <x:v>15.326200016676344</x:v>
      </x:c>
      <x:c r="AO140" s="32" t="n">
        <x:f>MIN(AP139+AN140,AM140*tun_KHMaxRatio)</x:f>
        <x:v>15.326200016676344</x:v>
      </x:c>
      <x:c r="AP140" s="32" t="n">
        <x:f>AP139+AN140-AO140</x:f>
        <x:v>0</x:v>
      </x:c>
      <x:c r="AQ140" s="32" t="n">
        <x:f>AM140+AO140</x:f>
        <x:v>96.43248534124598</x:v>
      </x:c>
      <x:c r="AR140" s="10" t="n">
        <x:f>IF(H140=1,INDEX(tun_Req,G140),0)</x:f>
        <x:v>5252.7422</x:v>
      </x:c>
      <x:c r="AS140" s="32" t="n">
        <x:f>IF(H140=1,IF(E140=1,AS139-AR139,AS139)+AQ140,0)</x:f>
        <x:v>957.0035139676321</x:v>
      </x:c>
      <x:c r="AT140" s="11" t="n">
        <x:f>IF(AR140&gt;0,MIN(1,AS140/AR140),1)</x:f>
        <x:v>0.18219122080037206</x:v>
      </x:c>
      <x:c r="AU140" s="10" t="n">
        <x:f>AB140/INDEX(tun_RepScale,G140)</x:f>
        <x:v>152.20165438651688</x:v>
      </x:c>
      <x:c r="AV140" s="32" t="n">
        <x:f>AM140*60/tun_SeasonSeconds</x:f>
        <x:v>324.42514129827856</x:v>
      </x:c>
    </x:row>
    <x:row r="141">
      <x:c r="A141" s="8" t="n">
        <x:f>A140+1</x:f>
        <x:v>138</x:v>
      </x:c>
      <x:c r="B141" s="9" t="n">
        <x:f>A141*tun_SeasonSeconds/60</x:f>
        <x:v>34.5</x:v>
      </x:c>
      <x:c r="C141" s="9" t="n">
        <x:f>A141/4</x:f>
        <x:v>34.5</x:v>
      </x:c>
      <x:c r="D141" s="8" t="n">
        <x:f>IF(MOD(A141,4)=0,1,0)</x:f>
        <x:v>0</x:v>
      </x:c>
      <x:c r="E141" s="8" t="n">
        <x:f>IF(AND(F140&lt;=9,AS140&gt;=AR140),1,0)</x:f>
        <x:v>0</x:v>
      </x:c>
      <x:c r="F141" s="8" t="n">
        <x:f>MIN(10,F140+E141)</x:f>
        <x:v>3</x:v>
      </x:c>
      <x:c r="G141" s="8" t="n">
        <x:f>MIN(F141,9)+1</x:f>
        <x:v>4</x:v>
      </x:c>
      <x:c r="H141" s="8" t="n">
        <x:f>IF(F141&lt;=9,1,0)</x:f>
        <x:v>1</x:v>
      </x:c>
      <x:c r="I141" s="9" t="n">
        <x:f>MIN(10,F140+IF(AR140&gt;0,MIN(1,AS140/AR140),1))</x:f>
        <x:v>3.182191220800372</x:v>
      </x:c>
      <x:c r="J141" s="32" t="n">
        <x:f>INDEX(tun_FoodCap,G141)*Arch_FoodCap*EXP(tun_CapsByProject*SUMPRODUCT((Cap_Point&lt;=I141)*(Cap_Kind="Food")*Cap_Ln))</x:f>
        <x:v>109.20030677106902</x:v>
      </x:c>
      <x:c r="K141" s="32" t="n">
        <x:f>J141*MIN(1,tun_LeanBase*EXP(tun_CapsByProject*SUMPRODUCT((Cap_Point&lt;=I141)*(Cap_Kind="Lean")*Cap_Ln)))</x:f>
        <x:v>109.20030677106902</x:v>
      </x:c>
      <x:c r="L141" s="10" t="n">
        <x:f>INDEX(tun_HousingCap,G141)*EXP(tun_CapsByProject*SUMPRODUCT((Cap_Point&lt;=I141)*(Cap_Kind="Housing")*Cap_Ln))</x:f>
        <x:v>592.3124999999999</x:v>
      </x:c>
      <x:c r="M141" s="10" t="n">
        <x:f>INDEX(tun_GroupCap,G141)*tun_CohesionFactor*EXP(tun_CapsByProject*SUMPRODUCT((Cap_Point&lt;=I141)*(Cap_Kind="Group")*Cap_Ln))</x:f>
        <x:v>2000.0000000000011</x:v>
      </x:c>
      <x:c r="N141" s="32" t="n">
        <x:f>MIN(J141,L141,M141)</x:f>
        <x:v>109.20030677106902</x:v>
      </x:c>
      <x:c r="O141" s="10" t="n">
        <x:f>AE140*N141</x:f>
        <x:v>218.40061354213805</x:v>
      </x:c>
      <x:c r="P141" s="9" t="n">
        <x:f>MIN(1,(AB140/(AE140*IF(tun_GroupInCrowding=1,N141,MIN(J141,L141))))^tun_CrowdingExp)</x:f>
        <x:v>0.11454947793454597</x:v>
      </x:c>
      <x:c r="Q141" s="9" t="n">
        <x:f>IF(D141=1,INDEX(tun_WinterMult,G141),1)</x:f>
        <x:v>1</x:v>
      </x:c>
      <x:c r="R141" s="9" t="n">
        <x:f>H141*Z140*tun_WomenShare*tun_BaseFertility*INDEX(tun_FertMult,G141)*Arch_Fertility*(1-P141)</x:f>
        <x:v>3.9020280288628673</x:v>
      </x:c>
      <x:c r="S141" s="9" t="n">
        <x:f>H141*Y140*INDEX(tun_MortChild,G141)/4*Q141</x:f>
        <x:v>0.7210870299905756</x:v>
      </x:c>
      <x:c r="T141" s="9" t="n">
        <x:f>H141*Z140*INDEX(tun_MortAdult,G141)*Arch_AdultMort/4*Q141</x:f>
        <x:v>0.14915417370676562</x:v>
      </x:c>
      <x:c r="U141" s="9" t="n">
        <x:f>H141*AA140*INDEX(tun_MortElder,G141)/4*Q141</x:f>
        <x:v>0.18053756606073046</x:v>
      </x:c>
      <x:c r="V141" s="9" t="n">
        <x:f>H141*MAX(0,AB140-O141)*tun_OvercapLoss</x:f>
        <x:v>0</x:v>
      </x:c>
      <x:c r="W141" s="9" t="n">
        <x:f>H141*Y140/(tun_ChildYears*4)</x:f>
        <x:v>1.5148887184675957</x:v>
      </x:c>
      <x:c r="X141" s="9" t="n">
        <x:f>H141*Z140/(tun_AdultYears*4)</x:f>
        <x:v>0.43740226893479656</x:v>
      </x:c>
      <x:c r="Y141" s="32" t="n">
        <x:f>Y140+R141-S141-W141-Y140*V141/AB140</x:f>
        <x:v>86.49982051459006</x:v>
      </x:c>
      <x:c r="Z141" s="32" t="n">
        <x:f>Z140+W141-X141-T141-Z140*V141/AB140</x:f>
        <x:v>55.16621362374081</x:v>
      </x:c>
      <x:c r="AA141" s="32" t="n">
        <x:f>AA140+X141-U141-AA140*V141/AB140</x:f>
        <x:v>13.386869507290827</x:v>
      </x:c>
      <x:c r="AB141" s="10" t="n">
        <x:f>Y141+Z141+AA141</x:f>
        <x:v>155.0529036456217</x:v>
      </x:c>
      <x:c r="AC141" s="8" t="n">
        <x:f>IF(AND(tun_WinterTrigger=1,D141=1,AB140/AE140&gt;=K141),1,0)</x:f>
        <x:v>0</x:v>
      </x:c>
      <x:c r="AD141" s="8" t="n">
        <x:f>H141*IF(AND(OR(AB140/AE140&gt;=tun_FissionTrigger*N141,AC141=1),AB140/AE140*tun_DaughterShare&gt;=tun_MinDaughter),MAX(1,ROUND(AE140*tun_FissionRate,0)),0)</x:f>
        <x:v>0</x:v>
      </x:c>
      <x:c r="AE141" s="8" t="n">
        <x:f>IF(H141=1,MAX(1,MIN(INDEX(tun_Smax,G141),AE140+AD141)),AE140)</x:f>
        <x:v>2</x:v>
      </x:c>
      <x:c r="AF141" s="8" t="n">
        <x:f>MAX(0,AE141-AE140)</x:f>
        <x:v>0</x:v>
      </x:c>
      <x:c r="AG141" s="9" t="str">
        <x:f>IF(AF141&gt;0,B141,"")</x:f>
      </x:c>
      <x:c r="AH141" s="9" t="n">
        <x:f>IF(F141&gt;=1,1,(1+tun_LowTiesShare*(AE141-1))/AE141)</x:f>
        <x:v>1</x:v>
      </x:c>
      <x:c r="AI141" s="32" t="n">
        <x:f>(Z141+tun_ElderCommons*INDEX(LM_Elder,G141)*AA141)*AH141</x:f>
        <x:v>95.32682214561329</x:v>
      </x:c>
      <x:c r="AJ141" s="32" t="n">
        <x:f>H141*tun_CommonsCoef*AI141^tun_CommonsExp*INDEX(LM_Commons,G141)</x:f>
        <x:v>254.0778294571004</x:v>
      </x:c>
      <x:c r="AK141" s="32" t="n">
        <x:f>H141*tun_RoleScale*Arch_Roles*(AE141*(INDEX(tun_ElderRolePerSett,G141)*tun_OutElder*INDEX(LM_Elder,G141)+INDEX(tun_ShamanPerSett,G141)*tun_OutShaman)+Z141*(INDEX(tun_PriestShare,G141)*tun_OutPriest+INDEX(tun_ScribeShare,G141)*tun_OutScribe*INDEX(LM_Scribe,G141)+INDEX(tun_ScholarShare,G141)*tun_OutScholar*INDEX(LM_Scholar,G141)+INDEX(tun_ResearcherShare,G141)*tun_OutResearcher*INDEX(LM_Researcher,G141)))</x:f>
        <x:v>51.08930796292948</x:v>
      </x:c>
      <x:c r="AL141" s="32" t="n">
        <x:f>H141*tun_RoleScale*Arch_Roles*AE141*INDEX(tun_MonasteryPerSett,G141)*tun_OutMonastery*INDEX(LM_Monastery,G141)</x:f>
        <x:v>0</x:v>
      </x:c>
      <x:c r="AM141" s="32" t="n">
        <x:f>(AJ141+AK141+AL141)/4*INDEX(LM_All,G141)*INDEX(tun_Boon,G141)*Arch_Insight</x:f>
        <x:v>82.15790733642919</x:v>
      </x:c>
      <x:c r="AN141" s="32" t="n">
        <x:f>H141*(tun_KHPerAdult*Z141+tun_KHOfCommons*AJ141/4*INDEX(LM_All,G141))*tun_KHUsable*Arch_KH</x:f>
        <x:v>15.562267054247398</x:v>
      </x:c>
      <x:c r="AO141" s="32" t="n">
        <x:f>MIN(AP140+AN141,AM141*tun_KHMaxRatio)</x:f>
        <x:v>15.562267054247398</x:v>
      </x:c>
      <x:c r="AP141" s="32" t="n">
        <x:f>AP140+AN141-AO141</x:f>
        <x:v>0</x:v>
      </x:c>
      <x:c r="AQ141" s="32" t="n">
        <x:f>AM141+AO141</x:f>
        <x:v>97.72017439067659</x:v>
      </x:c>
      <x:c r="AR141" s="10" t="n">
        <x:f>IF(H141=1,INDEX(tun_Req,G141),0)</x:f>
        <x:v>5252.7422</x:v>
      </x:c>
      <x:c r="AS141" s="32" t="n">
        <x:f>IF(H141=1,IF(E141=1,AS140-AR140,AS140)+AQ141,0)</x:f>
        <x:v>1054.7236883583087</x:v>
      </x:c>
      <x:c r="AT141" s="11" t="n">
        <x:f>IF(AR141&gt;0,MIN(1,AS141/AR141),1)</x:f>
        <x:v>0.2007948702219402</x:v>
      </x:c>
      <x:c r="AU141" s="10" t="n">
        <x:f>AB141/INDEX(tun_RepScale,G141)</x:f>
        <x:v>155.0529036456217</x:v>
      </x:c>
      <x:c r="AV141" s="32" t="n">
        <x:f>AM141*60/tun_SeasonSeconds</x:f>
        <x:v>328.63162934571676</x:v>
      </x:c>
    </x:row>
    <x:row r="142">
      <x:c r="A142" s="8" t="n">
        <x:f>A141+1</x:f>
        <x:v>139</x:v>
      </x:c>
      <x:c r="B142" s="9" t="n">
        <x:f>A142*tun_SeasonSeconds/60</x:f>
        <x:v>34.75</x:v>
      </x:c>
      <x:c r="C142" s="9" t="n">
        <x:f>A142/4</x:f>
        <x:v>34.75</x:v>
      </x:c>
      <x:c r="D142" s="8" t="n">
        <x:f>IF(MOD(A142,4)=0,1,0)</x:f>
        <x:v>0</x:v>
      </x:c>
      <x:c r="E142" s="8" t="n">
        <x:f>IF(AND(F141&lt;=9,AS141&gt;=AR141),1,0)</x:f>
        <x:v>0</x:v>
      </x:c>
      <x:c r="F142" s="8" t="n">
        <x:f>MIN(10,F141+E142)</x:f>
        <x:v>3</x:v>
      </x:c>
      <x:c r="G142" s="8" t="n">
        <x:f>MIN(F142,9)+1</x:f>
        <x:v>4</x:v>
      </x:c>
      <x:c r="H142" s="8" t="n">
        <x:f>IF(F142&lt;=9,1,0)</x:f>
        <x:v>1</x:v>
      </x:c>
      <x:c r="I142" s="9" t="n">
        <x:f>MIN(10,F141+IF(AR141&gt;0,MIN(1,AS141/AR141),1))</x:f>
        <x:v>3.20079487022194</x:v>
      </x:c>
      <x:c r="J142" s="32" t="n">
        <x:f>INDEX(tun_FoodCap,G142)*Arch_FoodCap*EXP(tun_CapsByProject*SUMPRODUCT((Cap_Point&lt;=I142)*(Cap_Kind="Food")*Cap_Ln))</x:f>
        <x:v>109.20030677106902</x:v>
      </x:c>
      <x:c r="K142" s="32" t="n">
        <x:f>J142*MIN(1,tun_LeanBase*EXP(tun_CapsByProject*SUMPRODUCT((Cap_Point&lt;=I142)*(Cap_Kind="Lean")*Cap_Ln)))</x:f>
        <x:v>109.20030677106902</x:v>
      </x:c>
      <x:c r="L142" s="10" t="n">
        <x:f>INDEX(tun_HousingCap,G142)*EXP(tun_CapsByProject*SUMPRODUCT((Cap_Point&lt;=I142)*(Cap_Kind="Housing")*Cap_Ln))</x:f>
        <x:v>592.3124999999999</x:v>
      </x:c>
      <x:c r="M142" s="10" t="n">
        <x:f>INDEX(tun_GroupCap,G142)*tun_CohesionFactor*EXP(tun_CapsByProject*SUMPRODUCT((Cap_Point&lt;=I142)*(Cap_Kind="Group")*Cap_Ln))</x:f>
        <x:v>2000.0000000000011</x:v>
      </x:c>
      <x:c r="N142" s="32" t="n">
        <x:f>MIN(J142,L142,M142)</x:f>
        <x:v>109.20030677106902</x:v>
      </x:c>
      <x:c r="O142" s="10" t="n">
        <x:f>AE141*N142</x:f>
        <x:v>218.40061354213805</x:v>
      </x:c>
      <x:c r="P142" s="9" t="n">
        <x:f>MIN(1,(AB141/(AE141*IF(tun_GroupInCrowding=1,N142,MIN(J142,L142))))^tun_CrowdingExp)</x:f>
        <x:v>0.12804313449499213</x:v>
      </x:c>
      <x:c r="Q142" s="9" t="n">
        <x:f>IF(D142=1,INDEX(tun_WinterMult,G142),1)</x:f>
        <x:v>1</x:v>
      </x:c>
      <x:c r="R142" s="9" t="n">
        <x:f>H142*Z141*tun_WomenShare*tun_BaseFertility*INDEX(tun_FertMult,G142)*Arch_Fertility*(1-P142)</x:f>
        <x:v>3.908332895442357</x:v>
      </x:c>
      <x:c r="S142" s="9" t="n">
        <x:f>H142*Y141*INDEX(tun_MortChild,G142)/4*Q142</x:f>
        <x:v>0.7352484743740155</x:v>
      </x:c>
      <x:c r="T142" s="9" t="n">
        <x:f>H142*Z141*INDEX(tun_MortAdult,G142)*Arch_AdultMort/4*Q142</x:f>
        <x:v>0.15170708746528722</x:v>
      </x:c>
      <x:c r="U142" s="9" t="n">
        <x:f>H142*AA141*INDEX(tun_MortElder,G142)/4*Q142</x:f>
        <x:v>0.18406945572524888</x:v>
      </x:c>
      <x:c r="V142" s="9" t="n">
        <x:f>H142*MAX(0,AB141-O142)*tun_OvercapLoss</x:f>
        <x:v>0</x:v>
      </x:c>
      <x:c r="W142" s="9" t="n">
        <x:f>H142*Y141/(tun_ChildYears*4)</x:f>
        <x:v>1.544639652046251</x:v>
      </x:c>
      <x:c r="X142" s="9" t="n">
        <x:f>H142*Z141/(tun_AdultYears*4)</x:f>
        <x:v>0.44488881954629683</x:v>
      </x:c>
      <x:c r="Y142" s="32" t="n">
        <x:f>Y141+R142-S142-W142-Y141*V142/AB141</x:f>
        <x:v>88.12826528361214</x:v>
      </x:c>
      <x:c r="Z142" s="32" t="n">
        <x:f>Z141+W142-X142-T142-Z141*V142/AB141</x:f>
        <x:v>56.11425736877547</x:v>
      </x:c>
      <x:c r="AA142" s="32" t="n">
        <x:f>AA141+X142-U142-AA141*V142/AB141</x:f>
        <x:v>13.647688871111875</x:v>
      </x:c>
      <x:c r="AB142" s="10" t="n">
        <x:f>Y142+Z142+AA142</x:f>
        <x:v>157.8902115234995</x:v>
      </x:c>
      <x:c r="AC142" s="8" t="n">
        <x:f>IF(AND(tun_WinterTrigger=1,D142=1,AB141/AE141&gt;=K142),1,0)</x:f>
        <x:v>0</x:v>
      </x:c>
      <x:c r="AD142" s="8" t="n">
        <x:f>H142*IF(AND(OR(AB141/AE141&gt;=tun_FissionTrigger*N142,AC142=1),AB141/AE141*tun_DaughterShare&gt;=tun_MinDaughter),MAX(1,ROUND(AE141*tun_FissionRate,0)),0)</x:f>
        <x:v>0</x:v>
      </x:c>
      <x:c r="AE142" s="8" t="n">
        <x:f>IF(H142=1,MAX(1,MIN(INDEX(tun_Smax,G142),AE141+AD142)),AE141)</x:f>
        <x:v>2</x:v>
      </x:c>
      <x:c r="AF142" s="8" t="n">
        <x:f>MAX(0,AE142-AE141)</x:f>
        <x:v>0</x:v>
      </x:c>
      <x:c r="AG142" s="9" t="str">
        <x:f>IF(AF142&gt;0,B142,"")</x:f>
      </x:c>
      <x:c r="AH142" s="9" t="n">
        <x:f>IF(F142&gt;=1,1,(1+tun_LowTiesShare*(AE142-1))/AE142)</x:f>
        <x:v>1</x:v>
      </x:c>
      <x:c r="AI142" s="32" t="n">
        <x:f>(Z142+tun_ElderCommons*INDEX(LM_Elder,G142)*AA142)*AH142</x:f>
        <x:v>97.05732398211109</x:v>
      </x:c>
      <x:c r="AJ142" s="32" t="n">
        <x:f>H142*tun_CommonsCoef*AI142^tun_CommonsExp*INDEX(LM_Commons,G142)</x:f>
        <x:v>257.9930391787386</x:v>
      </x:c>
      <x:c r="AK142" s="32" t="n">
        <x:f>H142*tun_RoleScale*Arch_Roles*(AE142*(INDEX(tun_ElderRolePerSett,G142)*tun_OutElder*INDEX(LM_Elder,G142)+INDEX(tun_ShamanPerSett,G142)*tun_OutShaman)+Z142*(INDEX(tun_PriestShare,G142)*tun_OutPriest+INDEX(tun_ScribeShare,G142)*tun_OutScribe*INDEX(LM_Scribe,G142)+INDEX(tun_ScholarShare,G142)*tun_OutScholar*INDEX(LM_Scholar,G142)+INDEX(tun_ResearcherShare,G142)*tun_OutResearcher*INDEX(LM_Researcher,G142)))</x:f>
        <x:v>51.142398412651424</x:v>
      </x:c>
      <x:c r="AL142" s="32" t="n">
        <x:f>H142*tun_RoleScale*Arch_Roles*AE142*INDEX(tun_MonasteryPerSett,G142)*tun_OutMonastery*INDEX(LM_Monastery,G142)</x:f>
        <x:v>0</x:v>
      </x:c>
      <x:c r="AM142" s="32" t="n">
        <x:f>(AJ142+AK142+AL142)/4*INDEX(LM_All,G142)*INDEX(tun_Boon,G142)*Arch_Insight</x:f>
        <x:v>83.2262636493601</x:v>
      </x:c>
      <x:c r="AN142" s="32" t="n">
        <x:f>H142*(tun_KHPerAdult*Z142+tun_KHOfCommons*AJ142/4*INDEX(LM_All,G142))*tun_KHUsable*Arch_KH</x:f>
        <x:v>15.80207364969774</x:v>
      </x:c>
      <x:c r="AO142" s="32" t="n">
        <x:f>MIN(AP141+AN142,AM142*tun_KHMaxRatio)</x:f>
        <x:v>15.80207364969774</x:v>
      </x:c>
      <x:c r="AP142" s="32" t="n">
        <x:f>AP141+AN142-AO142</x:f>
        <x:v>0</x:v>
      </x:c>
      <x:c r="AQ142" s="32" t="n">
        <x:f>AM142+AO142</x:f>
        <x:v>99.02833729905785</x:v>
      </x:c>
      <x:c r="AR142" s="10" t="n">
        <x:f>IF(H142=1,INDEX(tun_Req,G142),0)</x:f>
        <x:v>5252.7422</x:v>
      </x:c>
      <x:c r="AS142" s="32" t="n">
        <x:f>IF(H142=1,IF(E142=1,AS141-AR141,AS141)+AQ142,0)</x:f>
        <x:v>1153.7520256573666</x:v>
      </x:c>
      <x:c r="AT142" s="11" t="n">
        <x:f>IF(AR142&gt;0,MIN(1,AS142/AR142),1)</x:f>
        <x:v>0.21964756344930972</x:v>
      </x:c>
      <x:c r="AU142" s="10" t="n">
        <x:f>AB142/INDEX(tun_RepScale,G142)</x:f>
        <x:v>157.8902115234995</x:v>
      </x:c>
      <x:c r="AV142" s="32" t="n">
        <x:f>AM142*60/tun_SeasonSeconds</x:f>
        <x:v>332.9050545974404</x:v>
      </x:c>
    </x:row>
    <x:row r="143">
      <x:c r="A143" s="8" t="n">
        <x:f>A142+1</x:f>
        <x:v>140</x:v>
      </x:c>
      <x:c r="B143" s="9" t="n">
        <x:f>A143*tun_SeasonSeconds/60</x:f>
        <x:v>35</x:v>
      </x:c>
      <x:c r="C143" s="9" t="n">
        <x:f>A143/4</x:f>
        <x:v>35</x:v>
      </x:c>
      <x:c r="D143" s="8" t="n">
        <x:f>IF(MOD(A143,4)=0,1,0)</x:f>
        <x:v>1</x:v>
      </x:c>
      <x:c r="E143" s="8" t="n">
        <x:f>IF(AND(F142&lt;=9,AS142&gt;=AR142),1,0)</x:f>
        <x:v>0</x:v>
      </x:c>
      <x:c r="F143" s="8" t="n">
        <x:f>MIN(10,F142+E143)</x:f>
        <x:v>3</x:v>
      </x:c>
      <x:c r="G143" s="8" t="n">
        <x:f>MIN(F143,9)+1</x:f>
        <x:v>4</x:v>
      </x:c>
      <x:c r="H143" s="8" t="n">
        <x:f>IF(F143&lt;=9,1,0)</x:f>
        <x:v>1</x:v>
      </x:c>
      <x:c r="I143" s="9" t="n">
        <x:f>MIN(10,F142+IF(AR142&gt;0,MIN(1,AS142/AR142),1))</x:f>
        <x:v>3.2196475634493096</x:v>
      </x:c>
      <x:c r="J143" s="32" t="n">
        <x:f>INDEX(tun_FoodCap,G143)*Arch_FoodCap*EXP(tun_CapsByProject*SUMPRODUCT((Cap_Point&lt;=I143)*(Cap_Kind="Food")*Cap_Ln))</x:f>
        <x:v>109.20030677106902</x:v>
      </x:c>
      <x:c r="K143" s="32" t="n">
        <x:f>J143*MIN(1,tun_LeanBase*EXP(tun_CapsByProject*SUMPRODUCT((Cap_Point&lt;=I143)*(Cap_Kind="Lean")*Cap_Ln)))</x:f>
        <x:v>109.20030677106902</x:v>
      </x:c>
      <x:c r="L143" s="10" t="n">
        <x:f>INDEX(tun_HousingCap,G143)*EXP(tun_CapsByProject*SUMPRODUCT((Cap_Point&lt;=I143)*(Cap_Kind="Housing")*Cap_Ln))</x:f>
        <x:v>592.3124999999999</x:v>
      </x:c>
      <x:c r="M143" s="10" t="n">
        <x:f>INDEX(tun_GroupCap,G143)*tun_CohesionFactor*EXP(tun_CapsByProject*SUMPRODUCT((Cap_Point&lt;=I143)*(Cap_Kind="Group")*Cap_Ln))</x:f>
        <x:v>2000.0000000000011</x:v>
      </x:c>
      <x:c r="N143" s="32" t="n">
        <x:f>MIN(J143,L143,M143)</x:f>
        <x:v>109.20030677106902</x:v>
      </x:c>
      <x:c r="O143" s="10" t="n">
        <x:f>AE142*N143</x:f>
        <x:v>218.40061354213805</x:v>
      </x:c>
      <x:c r="P143" s="9" t="n">
        <x:f>MIN(1,(AB142/(AE142*IF(tun_GroupInCrowding=1,N143,MIN(J143,L143))))^tun_CrowdingExp)</x:f>
        <x:v>0.14276051792531622</x:v>
      </x:c>
      <x:c r="Q143" s="9" t="n">
        <x:f>IF(D143=1,INDEX(tun_WinterMult,G143),1)</x:f>
        <x:v>1.25</x:v>
      </x:c>
      <x:c r="R143" s="9" t="n">
        <x:f>H143*Z142*tun_WomenShare*tun_BaseFertility*INDEX(tun_FertMult,G143)*Arch_Fertility*(1-P143)</x:f>
        <x:v>3.9083977500599363</x:v>
      </x:c>
      <x:c r="S143" s="9" t="n">
        <x:f>H143*Y142*INDEX(tun_MortChild,G143)/4*Q143</x:f>
        <x:v>0.936362818638379</x:v>
      </x:c>
      <x:c r="T143" s="9" t="n">
        <x:f>H143*Z142*INDEX(tun_MortAdult,G143)*Arch_AdultMort/4*Q143</x:f>
        <x:v>0.19289275970516567</x:v>
      </x:c>
      <x:c r="U143" s="9" t="n">
        <x:f>H143*AA142*INDEX(tun_MortElder,G143)/4*Q143</x:f>
        <x:v>0.23456965247223532</x:v>
      </x:c>
      <x:c r="V143" s="9" t="n">
        <x:f>H143*MAX(0,AB142-O143)*tun_OvercapLoss</x:f>
        <x:v>0</x:v>
      </x:c>
      <x:c r="W143" s="9" t="n">
        <x:f>H143*Y142/(tun_ChildYears*4)</x:f>
        <x:v>1.5737190229216453</x:v>
      </x:c>
      <x:c r="X143" s="9" t="n">
        <x:f>H143*Z142/(tun_AdultYears*4)</x:f>
        <x:v>0.452534333619157</x:v>
      </x:c>
      <x:c r="Y143" s="32" t="n">
        <x:f>Y142+R143-S143-W143-Y142*V143/AB142</x:f>
        <x:v>89.52658119211205</x:v>
      </x:c>
      <x:c r="Z143" s="32" t="n">
        <x:f>Z142+W143-X143-T143-Z142*V143/AB142</x:f>
        <x:v>57.04254929837279</x:v>
      </x:c>
      <x:c r="AA143" s="32" t="n">
        <x:f>AA142+X143-U143-AA142*V143/AB142</x:f>
        <x:v>13.865653552258797</x:v>
      </x:c>
      <x:c r="AB143" s="10" t="n">
        <x:f>Y143+Z143+AA143</x:f>
        <x:v>160.43478404274364</x:v>
      </x:c>
      <x:c r="AC143" s="8" t="n">
        <x:f>IF(AND(tun_WinterTrigger=1,D143=1,AB142/AE142&gt;=K143),1,0)</x:f>
        <x:v>0</x:v>
      </x:c>
      <x:c r="AD143" s="8" t="n">
        <x:f>H143*IF(AND(OR(AB142/AE142&gt;=tun_FissionTrigger*N143,AC143=1),AB142/AE142*tun_DaughterShare&gt;=tun_MinDaughter),MAX(1,ROUND(AE142*tun_FissionRate,0)),0)</x:f>
        <x:v>0</x:v>
      </x:c>
      <x:c r="AE143" s="8" t="n">
        <x:f>IF(H143=1,MAX(1,MIN(INDEX(tun_Smax,G143),AE142+AD143)),AE142)</x:f>
        <x:v>2</x:v>
      </x:c>
      <x:c r="AF143" s="8" t="n">
        <x:f>MAX(0,AE143-AE142)</x:f>
        <x:v>0</x:v>
      </x:c>
      <x:c r="AG143" s="9" t="str">
        <x:f>IF(AF143&gt;0,B143,"")</x:f>
      </x:c>
      <x:c r="AH143" s="9" t="n">
        <x:f>IF(F143&gt;=1,1,(1+tun_LowTiesShare*(AE143-1))/AE143)</x:f>
        <x:v>1</x:v>
      </x:c>
      <x:c r="AI143" s="32" t="n">
        <x:f>(Z143+tun_ElderCommons*INDEX(LM_Elder,G143)*AA143)*AH143</x:f>
        <x:v>98.63950995514918</x:v>
      </x:c>
      <x:c r="AJ143" s="32" t="n">
        <x:f>H143*tun_CommonsCoef*AI143^tun_CommonsExp*INDEX(LM_Commons,G143)</x:f>
        <x:v>261.5635316673341</x:v>
      </x:c>
      <x:c r="AK143" s="32" t="n">
        <x:f>H143*tun_RoleScale*Arch_Roles*(AE143*(INDEX(tun_ElderRolePerSett,G143)*tun_OutElder*INDEX(LM_Elder,G143)+INDEX(tun_ShamanPerSett,G143)*tun_OutShaman)+Z143*(INDEX(tun_PriestShare,G143)*tun_OutPriest+INDEX(tun_ScribeShare,G143)*tun_OutScribe*INDEX(LM_Scribe,G143)+INDEX(tun_ScholarShare,G143)*tun_OutScholar*INDEX(LM_Scholar,G143)+INDEX(tun_ResearcherShare,G143)*tun_OutResearcher*INDEX(LM_Researcher,G143)))</x:f>
        <x:v>51.194382760708876</x:v>
      </x:c>
      <x:c r="AL143" s="32" t="n">
        <x:f>H143*tun_RoleScale*Arch_Roles*AE143*INDEX(tun_MonasteryPerSett,G143)*tun_OutMonastery*INDEX(LM_Monastery,G143)</x:f>
        <x:v>0</x:v>
      </x:c>
      <x:c r="AM143" s="32" t="n">
        <x:f>(AJ143+AK143+AL143)/4*INDEX(LM_All,G143)*INDEX(tun_Boon,G143)*Arch_Insight</x:f>
        <x:v>84.2015164855279</x:v>
      </x:c>
      <x:c r="AN143" s="32" t="n">
        <x:f>H143*(tun_KHPerAdult*Z143+tun_KHOfCommons*AJ143/4*INDEX(LM_All,G143))*tun_KHUsable*Arch_KH</x:f>
        <x:v>16.020766314624208</x:v>
      </x:c>
      <x:c r="AO143" s="32" t="n">
        <x:f>MIN(AP142+AN143,AM143*tun_KHMaxRatio)</x:f>
        <x:v>16.020766314624208</x:v>
      </x:c>
      <x:c r="AP143" s="32" t="n">
        <x:f>AP142+AN143-AO143</x:f>
        <x:v>0</x:v>
      </x:c>
      <x:c r="AQ143" s="32" t="n">
        <x:f>AM143+AO143</x:f>
        <x:v>100.22228280015212</x:v>
      </x:c>
      <x:c r="AR143" s="10" t="n">
        <x:f>IF(H143=1,INDEX(tun_Req,G143),0)</x:f>
        <x:v>5252.7422</x:v>
      </x:c>
      <x:c r="AS143" s="32" t="n">
        <x:f>IF(H143=1,IF(E143=1,AS142-AR142,AS142)+AQ143,0)</x:f>
        <x:v>1253.9743084575186</x:v>
      </x:c>
      <x:c r="AT143" s="11" t="n">
        <x:f>IF(AR143&gt;0,MIN(1,AS143/AR143),1)</x:f>
        <x:v>0.2387275561434404</x:v>
      </x:c>
      <x:c r="AU143" s="10" t="n">
        <x:f>AB143/INDEX(tun_RepScale,G143)</x:f>
        <x:v>160.43478404274364</x:v>
      </x:c>
      <x:c r="AV143" s="32" t="n">
        <x:f>AM143*60/tun_SeasonSeconds</x:f>
        <x:v>336.8060659421116</x:v>
      </x:c>
    </x:row>
    <x:row r="144">
      <x:c r="A144" s="8" t="n">
        <x:f>A143+1</x:f>
        <x:v>141</x:v>
      </x:c>
      <x:c r="B144" s="9" t="n">
        <x:f>A144*tun_SeasonSeconds/60</x:f>
        <x:v>35.25</x:v>
      </x:c>
      <x:c r="C144" s="9" t="n">
        <x:f>A144/4</x:f>
        <x:v>35.25</x:v>
      </x:c>
      <x:c r="D144" s="8" t="n">
        <x:f>IF(MOD(A144,4)=0,1,0)</x:f>
        <x:v>0</x:v>
      </x:c>
      <x:c r="E144" s="8" t="n">
        <x:f>IF(AND(F143&lt;=9,AS143&gt;=AR143),1,0)</x:f>
        <x:v>0</x:v>
      </x:c>
      <x:c r="F144" s="8" t="n">
        <x:f>MIN(10,F143+E144)</x:f>
        <x:v>3</x:v>
      </x:c>
      <x:c r="G144" s="8" t="n">
        <x:f>MIN(F144,9)+1</x:f>
        <x:v>4</x:v>
      </x:c>
      <x:c r="H144" s="8" t="n">
        <x:f>IF(F144&lt;=9,1,0)</x:f>
        <x:v>1</x:v>
      </x:c>
      <x:c r="I144" s="9" t="n">
        <x:f>MIN(10,F143+IF(AR143&gt;0,MIN(1,AS143/AR143),1))</x:f>
        <x:v>3.2387275561434405</x:v>
      </x:c>
      <x:c r="J144" s="32" t="n">
        <x:f>INDEX(tun_FoodCap,G144)*Arch_FoodCap*EXP(tun_CapsByProject*SUMPRODUCT((Cap_Point&lt;=I144)*(Cap_Kind="Food")*Cap_Ln))</x:f>
        <x:v>109.20030677106902</x:v>
      </x:c>
      <x:c r="K144" s="32" t="n">
        <x:f>J144*MIN(1,tun_LeanBase*EXP(tun_CapsByProject*SUMPRODUCT((Cap_Point&lt;=I144)*(Cap_Kind="Lean")*Cap_Ln)))</x:f>
        <x:v>109.20030677106902</x:v>
      </x:c>
      <x:c r="L144" s="10" t="n">
        <x:f>INDEX(tun_HousingCap,G144)*EXP(tun_CapsByProject*SUMPRODUCT((Cap_Point&lt;=I144)*(Cap_Kind="Housing")*Cap_Ln))</x:f>
        <x:v>592.3124999999999</x:v>
      </x:c>
      <x:c r="M144" s="10" t="n">
        <x:f>INDEX(tun_GroupCap,G144)*tun_CohesionFactor*EXP(tun_CapsByProject*SUMPRODUCT((Cap_Point&lt;=I144)*(Cap_Kind="Group")*Cap_Ln))</x:f>
        <x:v>2000.0000000000011</x:v>
      </x:c>
      <x:c r="N144" s="32" t="n">
        <x:f>MIN(J144,L144,M144)</x:f>
        <x:v>109.20030677106902</x:v>
      </x:c>
      <x:c r="O144" s="10" t="n">
        <x:f>AE143*N144</x:f>
        <x:v>218.40061354213805</x:v>
      </x:c>
      <x:c r="P144" s="9" t="n">
        <x:f>MIN(1,(AB143/(AE143*IF(tun_GroupInCrowding=1,N144,MIN(J144,L144))))^tun_CrowdingExp)</x:f>
        <x:v>0.15713324512777932</x:v>
      </x:c>
      <x:c r="Q144" s="9" t="n">
        <x:f>IF(D144=1,INDEX(tun_WinterMult,G144),1)</x:f>
        <x:v>1</x:v>
      </x:c>
      <x:c r="R144" s="9" t="n">
        <x:f>H144*Z143*tun_WomenShare*tun_BaseFertility*INDEX(tun_FertMult,G144)*Arch_Fertility*(1-P144)</x:f>
        <x:v>3.906440558861599</x:v>
      </x:c>
      <x:c r="S144" s="9" t="n">
        <x:f>H144*Y143*INDEX(tun_MortChild,G144)/4*Q144</x:f>
        <x:v>0.7609759401329524</x:v>
      </x:c>
      <x:c r="T144" s="9" t="n">
        <x:f>H144*Z143*INDEX(tun_MortAdult,G144)*Arch_AdultMort/4*Q144</x:f>
        <x:v>0.15686701057052516</x:v>
      </x:c>
      <x:c r="U144" s="9" t="n">
        <x:f>H144*AA143*INDEX(tun_MortElder,G144)/4*Q144</x:f>
        <x:v>0.19065273634355845</x:v>
      </x:c>
      <x:c r="V144" s="9" t="n">
        <x:f>H144*MAX(0,AB143-O144)*tun_OvercapLoss</x:f>
        <x:v>0</x:v>
      </x:c>
      <x:c r="W144" s="9" t="n">
        <x:f>H144*Y143/(tun_ChildYears*4)</x:f>
        <x:v>1.5986889498591437</x:v>
      </x:c>
      <x:c r="X144" s="9" t="n">
        <x:f>H144*Z143/(tun_AdultYears*4)</x:f>
        <x:v>0.4600205588578451</x:v>
      </x:c>
      <x:c r="Y144" s="32" t="n">
        <x:f>Y143+R144-S144-W144-Y143*V144/AB143</x:f>
        <x:v>91.07335686098156</x:v>
      </x:c>
      <x:c r="Z144" s="32" t="n">
        <x:f>Z143+W144-X144-T144-Z143*V144/AB143</x:f>
        <x:v>58.02435067880357</x:v>
      </x:c>
      <x:c r="AA144" s="32" t="n">
        <x:f>AA143+X144-U144-AA143*V144/AB143</x:f>
        <x:v>14.135021374773084</x:v>
      </x:c>
      <x:c r="AB144" s="10" t="n">
        <x:f>Y144+Z144+AA144</x:f>
        <x:v>163.2327289145582</x:v>
      </x:c>
      <x:c r="AC144" s="8" t="n">
        <x:f>IF(AND(tun_WinterTrigger=1,D144=1,AB143/AE143&gt;=K144),1,0)</x:f>
        <x:v>0</x:v>
      </x:c>
      <x:c r="AD144" s="8" t="n">
        <x:f>H144*IF(AND(OR(AB143/AE143&gt;=tun_FissionTrigger*N144,AC144=1),AB143/AE143*tun_DaughterShare&gt;=tun_MinDaughter),MAX(1,ROUND(AE143*tun_FissionRate,0)),0)</x:f>
        <x:v>0</x:v>
      </x:c>
      <x:c r="AE144" s="8" t="n">
        <x:f>IF(H144=1,MAX(1,MIN(INDEX(tun_Smax,G144),AE143+AD144)),AE143)</x:f>
        <x:v>2</x:v>
      </x:c>
      <x:c r="AF144" s="8" t="n">
        <x:f>MAX(0,AE144-AE143)</x:f>
        <x:v>0</x:v>
      </x:c>
      <x:c r="AG144" s="9" t="str">
        <x:f>IF(AF144&gt;0,B144,"")</x:f>
      </x:c>
      <x:c r="AH144" s="9" t="n">
        <x:f>IF(F144&gt;=1,1,(1+tun_LowTiesShare*(AE144-1))/AE144)</x:f>
        <x:v>1</x:v>
      </x:c>
      <x:c r="AI144" s="32" t="n">
        <x:f>(Z144+tun_ElderCommons*INDEX(LM_Elder,G144)*AA144)*AH144</x:f>
        <x:v>100.42941480312282</x:v>
      </x:c>
      <x:c r="AJ144" s="32" t="n">
        <x:f>H144*tun_CommonsCoef*AI144^tun_CommonsExp*INDEX(LM_Commons,G144)</x:f>
        <x:v>265.5924436599589</x:v>
      </x:c>
      <x:c r="AK144" s="32" t="n">
        <x:f>H144*tun_RoleScale*Arch_Roles*(AE144*(INDEX(tun_ElderRolePerSett,G144)*tun_OutElder*INDEX(LM_Elder,G144)+INDEX(tun_ShamanPerSett,G144)*tun_OutShaman)+Z144*(INDEX(tun_PriestShare,G144)*tun_OutPriest+INDEX(tun_ScribeShare,G144)*tun_OutScribe*INDEX(LM_Scribe,G144)+INDEX(tun_ScholarShare,G144)*tun_OutScholar*INDEX(LM_Scholar,G144)+INDEX(tun_ResearcherShare,G144)*tun_OutResearcher*INDEX(LM_Researcher,G144)))</x:f>
        <x:v>51.249363638013</x:v>
      </x:c>
      <x:c r="AL144" s="32" t="n">
        <x:f>H144*tun_RoleScale*Arch_Roles*AE144*INDEX(tun_MonasteryPerSett,G144)*tun_OutMonastery*INDEX(LM_Monastery,G144)</x:f>
        <x:v>0</x:v>
      </x:c>
      <x:c r="AM144" s="32" t="n">
        <x:f>(AJ144+AK144+AL144)/4*INDEX(LM_All,G144)*INDEX(tun_Boon,G144)*Arch_Insight</x:f>
        <x:v>85.3009929718106</x:v>
      </x:c>
      <x:c r="AN144" s="32" t="n">
        <x:f>H144*(tun_KHPerAdult*Z144+tun_KHOfCommons*AJ144/4*INDEX(LM_All,G144))*tun_KHUsable*Arch_KH</x:f>
        <x:v>16.26753717417248</x:v>
      </x:c>
      <x:c r="AO144" s="32" t="n">
        <x:f>MIN(AP143+AN144,AM144*tun_KHMaxRatio)</x:f>
        <x:v>16.26753717417248</x:v>
      </x:c>
      <x:c r="AP144" s="32" t="n">
        <x:f>AP143+AN144-AO144</x:f>
        <x:v>0</x:v>
      </x:c>
      <x:c r="AQ144" s="32" t="n">
        <x:f>AM144+AO144</x:f>
        <x:v>101.56853014598309</x:v>
      </x:c>
      <x:c r="AR144" s="10" t="n">
        <x:f>IF(H144=1,INDEX(tun_Req,G144),0)</x:f>
        <x:v>5252.7422</x:v>
      </x:c>
      <x:c r="AS144" s="32" t="n">
        <x:f>IF(H144=1,IF(E144=1,AS143-AR143,AS143)+AQ144,0)</x:f>
        <x:v>1355.5428386035017</x:v>
      </x:c>
      <x:c r="AT144" s="11" t="n">
        <x:f>IF(AR144&gt;0,MIN(1,AS144/AR144),1)</x:f>
        <x:v>0.25806384303488217</x:v>
      </x:c>
      <x:c r="AU144" s="10" t="n">
        <x:f>AB144/INDEX(tun_RepScale,G144)</x:f>
        <x:v>163.2327289145582</x:v>
      </x:c>
      <x:c r="AV144" s="32" t="n">
        <x:f>AM144*60/tun_SeasonSeconds</x:f>
        <x:v>341.2039718872424</x:v>
      </x:c>
    </x:row>
    <x:row r="145">
      <x:c r="A145" s="8" t="n">
        <x:f>A144+1</x:f>
        <x:v>142</x:v>
      </x:c>
      <x:c r="B145" s="9" t="n">
        <x:f>A145*tun_SeasonSeconds/60</x:f>
        <x:v>35.5</x:v>
      </x:c>
      <x:c r="C145" s="9" t="n">
        <x:f>A145/4</x:f>
        <x:v>35.5</x:v>
      </x:c>
      <x:c r="D145" s="8" t="n">
        <x:f>IF(MOD(A145,4)=0,1,0)</x:f>
        <x:v>0</x:v>
      </x:c>
      <x:c r="E145" s="8" t="n">
        <x:f>IF(AND(F144&lt;=9,AS144&gt;=AR144),1,0)</x:f>
        <x:v>0</x:v>
      </x:c>
      <x:c r="F145" s="8" t="n">
        <x:f>MIN(10,F144+E145)</x:f>
        <x:v>3</x:v>
      </x:c>
      <x:c r="G145" s="8" t="n">
        <x:f>MIN(F145,9)+1</x:f>
        <x:v>4</x:v>
      </x:c>
      <x:c r="H145" s="8" t="n">
        <x:f>IF(F145&lt;=9,1,0)</x:f>
        <x:v>1</x:v>
      </x:c>
      <x:c r="I145" s="9" t="n">
        <x:f>MIN(10,F144+IF(AR144&gt;0,MIN(1,AS144/AR144),1))</x:f>
        <x:v>3.2580638430348823</x:v>
      </x:c>
      <x:c r="J145" s="32" t="n">
        <x:f>INDEX(tun_FoodCap,G145)*Arch_FoodCap*EXP(tun_CapsByProject*SUMPRODUCT((Cap_Point&lt;=I145)*(Cap_Kind="Food")*Cap_Ln))</x:f>
        <x:v>109.20030677106902</x:v>
      </x:c>
      <x:c r="K145" s="32" t="n">
        <x:f>J145*MIN(1,tun_LeanBase*EXP(tun_CapsByProject*SUMPRODUCT((Cap_Point&lt;=I145)*(Cap_Kind="Lean")*Cap_Ln)))</x:f>
        <x:v>109.20030677106902</x:v>
      </x:c>
      <x:c r="L145" s="10" t="n">
        <x:f>INDEX(tun_HousingCap,G145)*EXP(tun_CapsByProject*SUMPRODUCT((Cap_Point&lt;=I145)*(Cap_Kind="Housing")*Cap_Ln))</x:f>
        <x:v>592.3124999999999</x:v>
      </x:c>
      <x:c r="M145" s="10" t="n">
        <x:f>INDEX(tun_GroupCap,G145)*tun_CohesionFactor*EXP(tun_CapsByProject*SUMPRODUCT((Cap_Point&lt;=I145)*(Cap_Kind="Group")*Cap_Ln))</x:f>
        <x:v>2000.0000000000011</x:v>
      </x:c>
      <x:c r="N145" s="32" t="n">
        <x:f>MIN(J145,L145,M145)</x:f>
        <x:v>109.20030677106902</x:v>
      </x:c>
      <x:c r="O145" s="10" t="n">
        <x:f>AE144*N145</x:f>
        <x:v>218.40061354213805</x:v>
      </x:c>
      <x:c r="P145" s="9" t="n">
        <x:f>MIN(1,(AB144/(AE144*IF(tun_GroupInCrowding=1,N145,MIN(J145,L145))))^tun_CrowdingExp)</x:f>
        <x:v>0.17430920522845925</x:v>
      </x:c>
      <x:c r="Q145" s="9" t="n">
        <x:f>IF(D145=1,INDEX(tun_WinterMult,G145),1)</x:f>
        <x:v>1</x:v>
      </x:c>
      <x:c r="R145" s="9" t="n">
        <x:f>H145*Z144*tun_WomenShare*tun_BaseFertility*INDEX(tun_FertMult,G145)*Arch_Fertility*(1-P145)</x:f>
        <x:v>3.892701493531818</x:v>
      </x:c>
      <x:c r="S145" s="9" t="n">
        <x:f>H145*Y144*INDEX(tun_MortChild,G145)/4*Q145</x:f>
        <x:v>0.7741235333183434</x:v>
      </x:c>
      <x:c r="T145" s="9" t="n">
        <x:f>H145*Z144*INDEX(tun_MortAdult,G145)*Arch_AdultMort/4*Q145</x:f>
        <x:v>0.1595669643667098</x:v>
      </x:c>
      <x:c r="U145" s="9" t="n">
        <x:f>H145*AA144*INDEX(tun_MortElder,G145)/4*Q145</x:f>
        <x:v>0.1943565439031299</x:v>
      </x:c>
      <x:c r="V145" s="9" t="n">
        <x:f>H145*MAX(0,AB144-O145)*tun_OvercapLoss</x:f>
        <x:v>0</x:v>
      </x:c>
      <x:c r="W145" s="9" t="n">
        <x:f>H145*Y144/(tun_ChildYears*4)</x:f>
        <x:v>1.6263099439460993</x:v>
      </x:c>
      <x:c r="X145" s="9" t="n">
        <x:f>H145*Z144/(tun_AdultYears*4)</x:f>
        <x:v>0.46793831192583524</x:v>
      </x:c>
      <x:c r="Y145" s="32" t="n">
        <x:f>Y144+R145-S145-W145-Y144*V145/AB144</x:f>
        <x:v>92.56562487724894</x:v>
      </x:c>
      <x:c r="Z145" s="32" t="n">
        <x:f>Z144+W145-X145-T145-Z144*V145/AB144</x:f>
        <x:v>59.02315534645712</x:v>
      </x:c>
      <x:c r="AA145" s="32" t="n">
        <x:f>AA144+X145-U145-AA144*V145/AB144</x:f>
        <x:v>14.408603142795789</x:v>
      </x:c>
      <x:c r="AB145" s="10" t="n">
        <x:f>Y145+Z145+AA145</x:f>
        <x:v>165.99738336650185</x:v>
      </x:c>
      <x:c r="AC145" s="8" t="n">
        <x:f>IF(AND(tun_WinterTrigger=1,D145=1,AB144/AE144&gt;=K145),1,0)</x:f>
        <x:v>0</x:v>
      </x:c>
      <x:c r="AD145" s="8" t="n">
        <x:f>H145*IF(AND(OR(AB144/AE144&gt;=tun_FissionTrigger*N145,AC145=1),AB144/AE144*tun_DaughterShare&gt;=tun_MinDaughter),MAX(1,ROUND(AE144*tun_FissionRate,0)),0)</x:f>
        <x:v>0</x:v>
      </x:c>
      <x:c r="AE145" s="8" t="n">
        <x:f>IF(H145=1,MAX(1,MIN(INDEX(tun_Smax,G145),AE144+AD145)),AE144)</x:f>
        <x:v>2</x:v>
      </x:c>
      <x:c r="AF145" s="8" t="n">
        <x:f>MAX(0,AE145-AE144)</x:f>
        <x:v>0</x:v>
      </x:c>
      <x:c r="AG145" s="9" t="str">
        <x:f>IF(AF145&gt;0,B145,"")</x:f>
      </x:c>
      <x:c r="AH145" s="9" t="n">
        <x:f>IF(F145&gt;=1,1,(1+tun_LowTiesShare*(AE145-1))/AE145)</x:f>
        <x:v>1</x:v>
      </x:c>
      <x:c r="AI145" s="32" t="n">
        <x:f>(Z145+tun_ElderCommons*INDEX(LM_Elder,G145)*AA145)*AH145</x:f>
        <x:v>102.2489647748445</x:v>
      </x:c>
      <x:c r="AJ145" s="32" t="n">
        <x:f>H145*tun_CommonsCoef*AI145^tun_CommonsExp*INDEX(LM_Commons,G145)</x:f>
        <x:v>269.6770596004904</x:v>
      </x:c>
      <x:c r="AK145" s="32" t="n">
        <x:f>H145*tun_RoleScale*Arch_Roles*(AE145*(INDEX(tun_ElderRolePerSett,G145)*tun_OutElder*INDEX(LM_Elder,G145)+INDEX(tun_ShamanPerSett,G145)*tun_OutShaman)+Z145*(INDEX(tun_PriestShare,G145)*tun_OutPriest+INDEX(tun_ScribeShare,G145)*tun_OutScribe*INDEX(LM_Scribe,G145)+INDEX(tun_ScholarShare,G145)*tun_OutScholar*INDEX(LM_Scholar,G145)+INDEX(tun_ResearcherShare,G145)*tun_OutResearcher*INDEX(LM_Researcher,G145)))</x:f>
        <x:v>51.3052966994016</x:v>
      </x:c>
      <x:c r="AL145" s="32" t="n">
        <x:f>H145*tun_RoleScale*Arch_Roles*AE145*INDEX(tun_MonasteryPerSett,G145)*tun_OutMonastery*INDEX(LM_Monastery,G145)</x:f>
        <x:v>0</x:v>
      </x:c>
      <x:c r="AM145" s="32" t="n">
        <x:f>(AJ145+AK145+AL145)/4*INDEX(LM_All,G145)*INDEX(tun_Boon,G145)*Arch_Insight</x:f>
        <x:v>86.41572257244081</x:v>
      </x:c>
      <x:c r="AN145" s="32" t="n">
        <x:f>H145*(tun_KHPerAdult*Z145+tun_KHOfCommons*AJ145/4*INDEX(LM_All,G145))*tun_KHUsable*Arch_KH</x:f>
        <x:v>16.517719900530036</x:v>
      </x:c>
      <x:c r="AO145" s="32" t="n">
        <x:f>MIN(AP144+AN145,AM145*tun_KHMaxRatio)</x:f>
        <x:v>16.517719900530036</x:v>
      </x:c>
      <x:c r="AP145" s="32" t="n">
        <x:f>AP144+AN145-AO145</x:f>
        <x:v>0</x:v>
      </x:c>
      <x:c r="AQ145" s="32" t="n">
        <x:f>AM145+AO145</x:f>
        <x:v>102.93344247297085</x:v>
      </x:c>
      <x:c r="AR145" s="10" t="n">
        <x:f>IF(H145=1,INDEX(tun_Req,G145),0)</x:f>
        <x:v>5252.7422</x:v>
      </x:c>
      <x:c r="AS145" s="32" t="n">
        <x:f>IF(H145=1,IF(E145=1,AS144-AR144,AS144)+AQ145,0)</x:f>
        <x:v>1458.4762810764726</x:v>
      </x:c>
      <x:c r="AT145" s="11" t="n">
        <x:f>IF(AR145&gt;0,MIN(1,AS145/AR145),1)</x:f>
        <x:v>0.2776599775021269</x:v>
      </x:c>
      <x:c r="AU145" s="10" t="n">
        <x:f>AB145/INDEX(tun_RepScale,G145)</x:f>
        <x:v>165.99738336650185</x:v>
      </x:c>
      <x:c r="AV145" s="32" t="n">
        <x:f>AM145*60/tun_SeasonSeconds</x:f>
        <x:v>345.6628902897633</x:v>
      </x:c>
    </x:row>
    <x:row r="146">
      <x:c r="A146" s="8" t="n">
        <x:f>A145+1</x:f>
        <x:v>143</x:v>
      </x:c>
      <x:c r="B146" s="9" t="n">
        <x:f>A146*tun_SeasonSeconds/60</x:f>
        <x:v>35.75</x:v>
      </x:c>
      <x:c r="C146" s="9" t="n">
        <x:f>A146/4</x:f>
        <x:v>35.75</x:v>
      </x:c>
      <x:c r="D146" s="8" t="n">
        <x:f>IF(MOD(A146,4)=0,1,0)</x:f>
        <x:v>0</x:v>
      </x:c>
      <x:c r="E146" s="8" t="n">
        <x:f>IF(AND(F145&lt;=9,AS145&gt;=AR145),1,0)</x:f>
        <x:v>0</x:v>
      </x:c>
      <x:c r="F146" s="8" t="n">
        <x:f>MIN(10,F145+E146)</x:f>
        <x:v>3</x:v>
      </x:c>
      <x:c r="G146" s="8" t="n">
        <x:f>MIN(F146,9)+1</x:f>
        <x:v>4</x:v>
      </x:c>
      <x:c r="H146" s="8" t="n">
        <x:f>IF(F146&lt;=9,1,0)</x:f>
        <x:v>1</x:v>
      </x:c>
      <x:c r="I146" s="9" t="n">
        <x:f>MIN(10,F145+IF(AR145&gt;0,MIN(1,AS145/AR145),1))</x:f>
        <x:v>3.277659977502127</x:v>
      </x:c>
      <x:c r="J146" s="32" t="n">
        <x:f>INDEX(tun_FoodCap,G146)*Arch_FoodCap*EXP(tun_CapsByProject*SUMPRODUCT((Cap_Point&lt;=I146)*(Cap_Kind="Food")*Cap_Ln))</x:f>
        <x:v>109.20030677106902</x:v>
      </x:c>
      <x:c r="K146" s="32" t="n">
        <x:f>J146*MIN(1,tun_LeanBase*EXP(tun_CapsByProject*SUMPRODUCT((Cap_Point&lt;=I146)*(Cap_Kind="Lean")*Cap_Ln)))</x:f>
        <x:v>109.20030677106902</x:v>
      </x:c>
      <x:c r="L146" s="10" t="n">
        <x:f>INDEX(tun_HousingCap,G146)*EXP(tun_CapsByProject*SUMPRODUCT((Cap_Point&lt;=I146)*(Cap_Kind="Housing")*Cap_Ln))</x:f>
        <x:v>592.3124999999999</x:v>
      </x:c>
      <x:c r="M146" s="10" t="n">
        <x:f>INDEX(tun_GroupCap,G146)*tun_CohesionFactor*EXP(tun_CapsByProject*SUMPRODUCT((Cap_Point&lt;=I146)*(Cap_Kind="Group")*Cap_Ln))</x:f>
        <x:v>2000.0000000000011</x:v>
      </x:c>
      <x:c r="N146" s="32" t="n">
        <x:f>MIN(J146,L146,M146)</x:f>
        <x:v>109.20030677106902</x:v>
      </x:c>
      <x:c r="O146" s="10" t="n">
        <x:f>AE145*N146</x:f>
        <x:v>218.40061354213805</x:v>
      </x:c>
      <x:c r="P146" s="9" t="n">
        <x:f>MIN(1,(AB145/(AE145*IF(tun_GroupInCrowding=1,N146,MIN(J146,L146))))^tun_CrowdingExp)</x:f>
        <x:v>0.19278992267120443</x:v>
      </x:c>
      <x:c r="Q146" s="9" t="n">
        <x:f>IF(D146=1,INDEX(tun_WinterMult,G146),1)</x:f>
        <x:v>1</x:v>
      </x:c>
      <x:c r="R146" s="9" t="n">
        <x:f>H146*Z145*tun_WomenShare*tun_BaseFertility*INDEX(tun_FertMult,G146)*Arch_Fertility*(1-P146)</x:f>
        <x:v>3.8710819705515074</x:v>
      </x:c>
      <x:c r="S146" s="9" t="n">
        <x:f>H146*Y145*INDEX(tun_MortChild,G146)/4*Q146</x:f>
        <x:v>0.786807811456616</x:v>
      </x:c>
      <x:c r="T146" s="9" t="n">
        <x:f>H146*Z145*INDEX(tun_MortAdult,G146)*Arch_AdultMort/4*Q146</x:f>
        <x:v>0.16231367720275708</x:v>
      </x:c>
      <x:c r="U146" s="9" t="n">
        <x:f>H146*AA145*INDEX(tun_MortElder,G146)/4*Q146</x:f>
        <x:v>0.1981182932134421</x:v>
      </x:c>
      <x:c r="V146" s="9" t="n">
        <x:f>H146*MAX(0,AB145-O146)*tun_OvercapLoss</x:f>
        <x:v>0</x:v>
      </x:c>
      <x:c r="W146" s="9" t="n">
        <x:f>H146*Y145/(tun_ChildYears*4)</x:f>
        <x:v>1.652957587093731</x:v>
      </x:c>
      <x:c r="X146" s="9" t="n">
        <x:f>H146*Z145/(tun_AdultYears*4)</x:f>
        <x:v>0.47599318827788</x:v>
      </x:c>
      <x:c r="Y146" s="32" t="n">
        <x:f>Y145+R146-S146-W146-Y145*V146/AB145</x:f>
        <x:v>93.99694144925009</x:v>
      </x:c>
      <x:c r="Z146" s="32" t="n">
        <x:f>Z145+W146-X146-T146-Z145*V146/AB145</x:f>
        <x:v>60.03780606807022</x:v>
      </x:c>
      <x:c r="AA146" s="32" t="n">
        <x:f>AA145+X146-U146-AA145*V146/AB145</x:f>
        <x:v>14.686478037860226</x:v>
      </x:c>
      <x:c r="AB146" s="10" t="n">
        <x:f>Y146+Z146+AA146</x:f>
        <x:v>168.72122555518052</x:v>
      </x:c>
      <x:c r="AC146" s="8" t="n">
        <x:f>IF(AND(tun_WinterTrigger=1,D146=1,AB145/AE145&gt;=K146),1,0)</x:f>
        <x:v>0</x:v>
      </x:c>
      <x:c r="AD146" s="8" t="n">
        <x:f>H146*IF(AND(OR(AB145/AE145&gt;=tun_FissionTrigger*N146,AC146=1),AB145/AE145*tun_DaughterShare&gt;=tun_MinDaughter),MAX(1,ROUND(AE145*tun_FissionRate,0)),0)</x:f>
        <x:v>0</x:v>
      </x:c>
      <x:c r="AE146" s="8" t="n">
        <x:f>IF(H146=1,MAX(1,MIN(INDEX(tun_Smax,G146),AE145+AD146)),AE145)</x:f>
        <x:v>2</x:v>
      </x:c>
      <x:c r="AF146" s="8" t="n">
        <x:f>MAX(0,AE146-AE145)</x:f>
        <x:v>0</x:v>
      </x:c>
      <x:c r="AG146" s="9" t="str">
        <x:f>IF(AF146&gt;0,B146,"")</x:f>
      </x:c>
      <x:c r="AH146" s="9" t="n">
        <x:f>IF(F146&gt;=1,1,(1+tun_LowTiesShare*(AE146-1))/AE146)</x:f>
        <x:v>1</x:v>
      </x:c>
      <x:c r="AI146" s="32" t="n">
        <x:f>(Z146+tun_ElderCommons*INDEX(LM_Elder,G146)*AA146)*AH146</x:f>
        <x:v>104.0972401816509</x:v>
      </x:c>
      <x:c r="AJ146" s="32" t="n">
        <x:f>H146*tun_CommonsCoef*AI146^tun_CommonsExp*INDEX(LM_Commons,G146)</x:f>
        <x:v>273.8150126747407</x:v>
      </x:c>
      <x:c r="AK146" s="32" t="n">
        <x:f>H146*tun_RoleScale*Arch_Roles*(AE146*(INDEX(tun_ElderRolePerSett,G146)*tun_OutElder*INDEX(LM_Elder,G146)+INDEX(tun_ShamanPerSett,G146)*tun_OutShaman)+Z146*(INDEX(tun_PriestShare,G146)*tun_OutPriest+INDEX(tun_ScribeShare,G146)*tun_OutScribe*INDEX(LM_Scribe,G146)+INDEX(tun_ScholarShare,G146)*tun_OutScholar*INDEX(LM_Scholar,G146)+INDEX(tun_ResearcherShare,G146)*tun_OutResearcher*INDEX(LM_Researcher,G146)))</x:f>
        <x:v>51.36211713981193</x:v>
      </x:c>
      <x:c r="AL146" s="32" t="n">
        <x:f>H146*tun_RoleScale*Arch_Roles*AE146*INDEX(tun_MonasteryPerSett,G146)*tun_OutMonastery*INDEX(LM_Monastery,G146)</x:f>
        <x:v>0</x:v>
      </x:c>
      <x:c r="AM146" s="32" t="n">
        <x:f>(AJ146+AK146+AL146)/4*INDEX(LM_All,G146)*INDEX(tun_Boon,G146)*Arch_Insight</x:f>
        <x:v>87.54505064042489</x:v>
      </x:c>
      <x:c r="AN146" s="32" t="n">
        <x:f>H146*(tun_KHPerAdult*Z146+tun_KHOfCommons*AJ146/4*INDEX(LM_All,G146))*tun_KHUsable*Arch_KH</x:f>
        <x:v>16.771169526327864</x:v>
      </x:c>
      <x:c r="AO146" s="32" t="n">
        <x:f>MIN(AP145+AN146,AM146*tun_KHMaxRatio)</x:f>
        <x:v>16.771169526327864</x:v>
      </x:c>
      <x:c r="AP146" s="32" t="n">
        <x:f>AP145+AN146-AO146</x:f>
        <x:v>0</x:v>
      </x:c>
      <x:c r="AQ146" s="32" t="n">
        <x:f>AM146+AO146</x:f>
        <x:v>104.31622016675276</x:v>
      </x:c>
      <x:c r="AR146" s="10" t="n">
        <x:f>IF(H146=1,INDEX(tun_Req,G146),0)</x:f>
        <x:v>5252.7422</x:v>
      </x:c>
      <x:c r="AS146" s="32" t="n">
        <x:f>IF(H146=1,IF(E146=1,AS145-AR145,AS145)+AQ146,0)</x:f>
        <x:v>1562.7925012432254</x:v>
      </x:c>
      <x:c r="AT146" s="11" t="n">
        <x:f>IF(AR146&gt;0,MIN(1,AS146/AR146),1)</x:f>
        <x:v>0.2975193606956811</x:v>
      </x:c>
      <x:c r="AU146" s="10" t="n">
        <x:f>AB146/INDEX(tun_RepScale,G146)</x:f>
        <x:v>168.72122555518052</x:v>
      </x:c>
      <x:c r="AV146" s="32" t="n">
        <x:f>AM146*60/tun_SeasonSeconds</x:f>
        <x:v>350.18020256169956</x:v>
      </x:c>
    </x:row>
    <x:row r="147">
      <x:c r="A147" s="8" t="n">
        <x:f>A146+1</x:f>
        <x:v>144</x:v>
      </x:c>
      <x:c r="B147" s="9" t="n">
        <x:f>A147*tun_SeasonSeconds/60</x:f>
        <x:v>36</x:v>
      </x:c>
      <x:c r="C147" s="9" t="n">
        <x:f>A147/4</x:f>
        <x:v>36</x:v>
      </x:c>
      <x:c r="D147" s="8" t="n">
        <x:f>IF(MOD(A147,4)=0,1,0)</x:f>
        <x:v>1</x:v>
      </x:c>
      <x:c r="E147" s="8" t="n">
        <x:f>IF(AND(F146&lt;=9,AS146&gt;=AR146),1,0)</x:f>
        <x:v>0</x:v>
      </x:c>
      <x:c r="F147" s="8" t="n">
        <x:f>MIN(10,F146+E147)</x:f>
        <x:v>3</x:v>
      </x:c>
      <x:c r="G147" s="8" t="n">
        <x:f>MIN(F147,9)+1</x:f>
        <x:v>4</x:v>
      </x:c>
      <x:c r="H147" s="8" t="n">
        <x:f>IF(F147&lt;=9,1,0)</x:f>
        <x:v>1</x:v>
      </x:c>
      <x:c r="I147" s="9" t="n">
        <x:f>MIN(10,F146+IF(AR146&gt;0,MIN(1,AS146/AR146),1))</x:f>
        <x:v>3.297519360695681</x:v>
      </x:c>
      <x:c r="J147" s="32" t="n">
        <x:f>INDEX(tun_FoodCap,G147)*Arch_FoodCap*EXP(tun_CapsByProject*SUMPRODUCT((Cap_Point&lt;=I147)*(Cap_Kind="Food")*Cap_Ln))</x:f>
        <x:v>109.20030677106902</x:v>
      </x:c>
      <x:c r="K147" s="32" t="n">
        <x:f>J147*MIN(1,tun_LeanBase*EXP(tun_CapsByProject*SUMPRODUCT((Cap_Point&lt;=I147)*(Cap_Kind="Lean")*Cap_Ln)))</x:f>
        <x:v>109.20030677106902</x:v>
      </x:c>
      <x:c r="L147" s="10" t="n">
        <x:f>INDEX(tun_HousingCap,G147)*EXP(tun_CapsByProject*SUMPRODUCT((Cap_Point&lt;=I147)*(Cap_Kind="Housing")*Cap_Ln))</x:f>
        <x:v>592.3124999999999</x:v>
      </x:c>
      <x:c r="M147" s="10" t="n">
        <x:f>INDEX(tun_GroupCap,G147)*tun_CohesionFactor*EXP(tun_CapsByProject*SUMPRODUCT((Cap_Point&lt;=I147)*(Cap_Kind="Group")*Cap_Ln))</x:f>
        <x:v>2000.0000000000011</x:v>
      </x:c>
      <x:c r="N147" s="32" t="n">
        <x:f>MIN(J147,L147,M147)</x:f>
        <x:v>109.20030677106902</x:v>
      </x:c>
      <x:c r="O147" s="10" t="n">
        <x:f>AE146*N147</x:f>
        <x:v>218.40061354213805</x:v>
      </x:c>
      <x:c r="P147" s="9" t="n">
        <x:f>MIN(1,(AB146/(AE146*IF(tun_GroupInCrowding=1,N147,MIN(J147,L147))))^tun_CrowdingExp)</x:f>
        <x:v>0.21256668696320968</x:v>
      </x:c>
      <x:c r="Q147" s="9" t="n">
        <x:f>IF(D147=1,INDEX(tun_WinterMult,G147),1)</x:f>
        <x:v>1.25</x:v>
      </x:c>
      <x:c r="R147" s="9" t="n">
        <x:f>H147*Z146*tun_WomenShare*tun_BaseFertility*INDEX(tun_FertMult,G147)*Arch_Fertility*(1-P147)</x:f>
        <x:v>3.841156193845819</x:v>
      </x:c>
      <x:c r="S147" s="9" t="n">
        <x:f>H147*Y146*INDEX(tun_MortChild,G147)/4*Q147</x:f>
        <x:v>0.9987175028982822</x:v>
      </x:c>
      <x:c r="T147" s="9" t="n">
        <x:f>H147*Z146*INDEX(tun_MortAdult,G147)*Arch_AdultMort/4*Q147</x:f>
        <x:v>0.20637995835899137</x:v>
      </x:c>
      <x:c r="U147" s="9" t="n">
        <x:f>H147*AA146*INDEX(tun_MortElder,G147)/4*Q147</x:f>
        <x:v>0.25242384127572265</x:v>
      </x:c>
      <x:c r="V147" s="9" t="n">
        <x:f>H147*MAX(0,AB146-O147)*tun_OvercapLoss</x:f>
        <x:v>0</x:v>
      </x:c>
      <x:c r="W147" s="9" t="n">
        <x:f>H147*Y146/(tun_ChildYears*4)</x:f>
        <x:v>1.6785168115937517</x:v>
      </x:c>
      <x:c r="X147" s="9" t="n">
        <x:f>H147*Z146/(tun_AdultYears*4)</x:f>
        <x:v>0.48417585538766306</x:v>
      </x:c>
      <x:c r="Y147" s="32" t="n">
        <x:f>Y146+R147-S147-W147-Y146*V147/AB146</x:f>
        <x:v>95.16086332860387</x:v>
      </x:c>
      <x:c r="Z147" s="32" t="n">
        <x:f>Z146+W147-X147-T147-Z146*V147/AB146</x:f>
        <x:v>61.025767065917314</x:v>
      </x:c>
      <x:c r="AA147" s="32" t="n">
        <x:f>AA146+X147-U147-AA146*V147/AB146</x:f>
        <x:v>14.918230051972166</x:v>
      </x:c>
      <x:c r="AB147" s="10" t="n">
        <x:f>Y147+Z147+AA147</x:f>
        <x:v>171.10486044649335</x:v>
      </x:c>
      <x:c r="AC147" s="8" t="n">
        <x:f>IF(AND(tun_WinterTrigger=1,D147=1,AB146/AE146&gt;=K147),1,0)</x:f>
        <x:v>0</x:v>
      </x:c>
      <x:c r="AD147" s="8" t="n">
        <x:f>H147*IF(AND(OR(AB146/AE146&gt;=tun_FissionTrigger*N147,AC147=1),AB146/AE146*tun_DaughterShare&gt;=tun_MinDaughter),MAX(1,ROUND(AE146*tun_FissionRate,0)),0)</x:f>
        <x:v>0</x:v>
      </x:c>
      <x:c r="AE147" s="8" t="n">
        <x:f>IF(H147=1,MAX(1,MIN(INDEX(tun_Smax,G147),AE146+AD147)),AE146)</x:f>
        <x:v>2</x:v>
      </x:c>
      <x:c r="AF147" s="8" t="n">
        <x:f>MAX(0,AE147-AE146)</x:f>
        <x:v>0</x:v>
      </x:c>
      <x:c r="AG147" s="9" t="str">
        <x:f>IF(AF147&gt;0,B147,"")</x:f>
      </x:c>
      <x:c r="AH147" s="9" t="n">
        <x:f>IF(F147&gt;=1,1,(1+tun_LowTiesShare*(AE147-1))/AE147)</x:f>
        <x:v>1</x:v>
      </x:c>
      <x:c r="AI147" s="32" t="n">
        <x:f>(Z147+tun_ElderCommons*INDEX(LM_Elder,G147)*AA147)*AH147</x:f>
        <x:v>105.78045722183381</x:v>
      </x:c>
      <x:c r="AJ147" s="32" t="n">
        <x:f>H147*tun_CommonsCoef*AI147^tun_CommonsExp*INDEX(LM_Commons,G147)</x:f>
        <x:v>277.5738482296022</x:v>
      </x:c>
      <x:c r="AK147" s="32" t="n">
        <x:f>H147*tun_RoleScale*Arch_Roles*(AE147*(INDEX(tun_ElderRolePerSett,G147)*tun_OutElder*INDEX(LM_Elder,G147)+INDEX(tun_ShamanPerSett,G147)*tun_OutShaman)+Z147*(INDEX(tun_PriestShare,G147)*tun_OutPriest+INDEX(tun_ScribeShare,G147)*tun_OutScribe*INDEX(LM_Scribe,G147)+INDEX(tun_ScholarShare,G147)*tun_OutScholar*INDEX(LM_Scholar,G147)+INDEX(tun_ResearcherShare,G147)*tun_OutResearcher*INDEX(LM_Researcher,G147)))</x:f>
        <x:v>51.41744295569137</x:v>
      </x:c>
      <x:c r="AL147" s="32" t="n">
        <x:f>H147*tun_RoleScale*Arch_Roles*AE147*INDEX(tun_MonasteryPerSett,G147)*tun_OutMonastery*INDEX(LM_Monastery,G147)</x:f>
        <x:v>0</x:v>
      </x:c>
      <x:c r="AM147" s="32" t="n">
        <x:f>(AJ147+AK147+AL147)/4*INDEX(LM_All,G147)*INDEX(tun_Boon,G147)*Arch_Insight</x:f>
        <x:v>88.57190929602191</x:v>
      </x:c>
      <x:c r="AN147" s="32" t="n">
        <x:f>H147*(tun_KHPerAdult*Z147+tun_KHOfCommons*AJ147/4*INDEX(LM_All,G147))*tun_KHUsable*Arch_KH</x:f>
        <x:v>17.001398204063133</x:v>
      </x:c>
      <x:c r="AO147" s="32" t="n">
        <x:f>MIN(AP146+AN147,AM147*tun_KHMaxRatio)</x:f>
        <x:v>17.001398204063133</x:v>
      </x:c>
      <x:c r="AP147" s="32" t="n">
        <x:f>AP146+AN147-AO147</x:f>
        <x:v>0</x:v>
      </x:c>
      <x:c r="AQ147" s="32" t="n">
        <x:f>AM147+AO147</x:f>
        <x:v>105.57330750008505</x:v>
      </x:c>
      <x:c r="AR147" s="10" t="n">
        <x:f>IF(H147=1,INDEX(tun_Req,G147),0)</x:f>
        <x:v>5252.7422</x:v>
      </x:c>
      <x:c r="AS147" s="32" t="n">
        <x:f>IF(H147=1,IF(E147=1,AS146-AR146,AS146)+AQ147,0)</x:f>
        <x:v>1668.3658087433105</x:v>
      </x:c>
      <x:c r="AT147" s="11" t="n">
        <x:f>IF(AR147&gt;0,MIN(1,AS147/AR147),1)</x:f>
        <x:v>0.3176180640929438</x:v>
      </x:c>
      <x:c r="AU147" s="10" t="n">
        <x:f>AB147/INDEX(tun_RepScale,G147)</x:f>
        <x:v>171.10486044649335</x:v>
      </x:c>
      <x:c r="AV147" s="32" t="n">
        <x:f>AM147*60/tun_SeasonSeconds</x:f>
        <x:v>354.28763718408766</x:v>
      </x:c>
    </x:row>
    <x:row r="148">
      <x:c r="A148" s="8" t="n">
        <x:f>A147+1</x:f>
        <x:v>145</x:v>
      </x:c>
      <x:c r="B148" s="9" t="n">
        <x:f>A148*tun_SeasonSeconds/60</x:f>
        <x:v>36.25</x:v>
      </x:c>
      <x:c r="C148" s="9" t="n">
        <x:f>A148/4</x:f>
        <x:v>36.25</x:v>
      </x:c>
      <x:c r="D148" s="8" t="n">
        <x:f>IF(MOD(A148,4)=0,1,0)</x:f>
        <x:v>0</x:v>
      </x:c>
      <x:c r="E148" s="8" t="n">
        <x:f>IF(AND(F147&lt;=9,AS147&gt;=AR147),1,0)</x:f>
        <x:v>0</x:v>
      </x:c>
      <x:c r="F148" s="8" t="n">
        <x:f>MIN(10,F147+E148)</x:f>
        <x:v>3</x:v>
      </x:c>
      <x:c r="G148" s="8" t="n">
        <x:f>MIN(F148,9)+1</x:f>
        <x:v>4</x:v>
      </x:c>
      <x:c r="H148" s="8" t="n">
        <x:f>IF(F148&lt;=9,1,0)</x:f>
        <x:v>1</x:v>
      </x:c>
      <x:c r="I148" s="9" t="n">
        <x:f>MIN(10,F147+IF(AR147&gt;0,MIN(1,AS147/AR147),1))</x:f>
        <x:v>3.317618064092944</x:v>
      </x:c>
      <x:c r="J148" s="32" t="n">
        <x:f>INDEX(tun_FoodCap,G148)*Arch_FoodCap*EXP(tun_CapsByProject*SUMPRODUCT((Cap_Point&lt;=I148)*(Cap_Kind="Food")*Cap_Ln))</x:f>
        <x:v>109.20030677106902</x:v>
      </x:c>
      <x:c r="K148" s="32" t="n">
        <x:f>J148*MIN(1,tun_LeanBase*EXP(tun_CapsByProject*SUMPRODUCT((Cap_Point&lt;=I148)*(Cap_Kind="Lean")*Cap_Ln)))</x:f>
        <x:v>109.20030677106902</x:v>
      </x:c>
      <x:c r="L148" s="10" t="n">
        <x:f>INDEX(tun_HousingCap,G148)*EXP(tun_CapsByProject*SUMPRODUCT((Cap_Point&lt;=I148)*(Cap_Kind="Housing")*Cap_Ln))</x:f>
        <x:v>592.3124999999999</x:v>
      </x:c>
      <x:c r="M148" s="10" t="n">
        <x:f>INDEX(tun_GroupCap,G148)*tun_CohesionFactor*EXP(tun_CapsByProject*SUMPRODUCT((Cap_Point&lt;=I148)*(Cap_Kind="Group")*Cap_Ln))</x:f>
        <x:v>2000.0000000000011</x:v>
      </x:c>
      <x:c r="N148" s="32" t="n">
        <x:f>MIN(J148,L148,M148)</x:f>
        <x:v>109.20030677106902</x:v>
      </x:c>
      <x:c r="O148" s="10" t="n">
        <x:f>AE147*N148</x:f>
        <x:v>218.40061354213805</x:v>
      </x:c>
      <x:c r="P148" s="9" t="n">
        <x:f>MIN(1,(AB147/(AE147*IF(tun_GroupInCrowding=1,N148,MIN(J148,L148))))^tun_CrowdingExp)</x:f>
        <x:v>0.23123360706319884</x:v>
      </x:c>
      <x:c r="Q148" s="9" t="n">
        <x:f>IF(D148=1,INDEX(tun_WinterMult,G148),1)</x:f>
        <x:v>1</x:v>
      </x:c>
      <x:c r="R148" s="9" t="n">
        <x:f>H148*Z147*tun_WomenShare*tun_BaseFertility*INDEX(tun_FertMult,G148)*Arch_Fertility*(1-P148)</x:f>
        <x:v>3.8118079044066686</x:v>
      </x:c>
      <x:c r="S148" s="9" t="n">
        <x:f>H148*Y147*INDEX(tun_MortChild,G148)/4*Q148</x:f>
        <x:v>0.808867338293133</x:v>
      </x:c>
      <x:c r="T148" s="9" t="n">
        <x:f>H148*Z147*INDEX(tun_MortAdult,G148)*Arch_AdultMort/4*Q148</x:f>
        <x:v>0.16782085943127262</x:v>
      </x:c>
      <x:c r="U148" s="9" t="n">
        <x:f>H148*AA147*INDEX(tun_MortElder,G148)/4*Q148</x:f>
        <x:v>0.20512566321461728</x:v>
      </x:c>
      <x:c r="V148" s="9" t="n">
        <x:f>H148*MAX(0,AB147-O148)*tun_OvercapLoss</x:f>
        <x:v>0</x:v>
      </x:c>
      <x:c r="W148" s="9" t="n">
        <x:f>H148*Y147/(tun_ChildYears*4)</x:f>
        <x:v>1.6993011308679262</x:v>
      </x:c>
      <x:c r="X148" s="9" t="n">
        <x:f>H148*Z147/(tun_AdultYears*4)</x:f>
        <x:v>0.49214328278965574</x:v>
      </x:c>
      <x:c r="Y148" s="32" t="n">
        <x:f>Y147+R148-S148-W148-Y147*V148/AB147</x:f>
        <x:v>96.46450276384948</x:v>
      </x:c>
      <x:c r="Z148" s="32" t="n">
        <x:f>Z147+W148-X148-T148-Z147*V148/AB147</x:f>
        <x:v>62.06510405456431</x:v>
      </x:c>
      <x:c r="AA148" s="32" t="n">
        <x:f>AA147+X148-U148-AA147*V148/AB147</x:f>
        <x:v>15.205247671547204</x:v>
      </x:c>
      <x:c r="AB148" s="10" t="n">
        <x:f>Y148+Z148+AA148</x:f>
        <x:v>173.73485448996098</x:v>
      </x:c>
      <x:c r="AC148" s="8" t="n">
        <x:f>IF(AND(tun_WinterTrigger=1,D148=1,AB147/AE147&gt;=K148),1,0)</x:f>
        <x:v>0</x:v>
      </x:c>
      <x:c r="AD148" s="8" t="n">
        <x:f>H148*IF(AND(OR(AB147/AE147&gt;=tun_FissionTrigger*N148,AC148=1),AB147/AE147*tun_DaughterShare&gt;=tun_MinDaughter),MAX(1,ROUND(AE147*tun_FissionRate,0)),0)</x:f>
        <x:v>0</x:v>
      </x:c>
      <x:c r="AE148" s="8" t="n">
        <x:f>IF(H148=1,MAX(1,MIN(INDEX(tun_Smax,G148),AE147+AD148)),AE147)</x:f>
        <x:v>2</x:v>
      </x:c>
      <x:c r="AF148" s="8" t="n">
        <x:f>MAX(0,AE148-AE147)</x:f>
        <x:v>0</x:v>
      </x:c>
      <x:c r="AG148" s="9" t="str">
        <x:f>IF(AF148&gt;0,B148,"")</x:f>
      </x:c>
      <x:c r="AH148" s="9" t="n">
        <x:f>IF(F148&gt;=1,1,(1+tun_LowTiesShare*(AE148-1))/AE148)</x:f>
        <x:v>1</x:v>
      </x:c>
      <x:c r="AI148" s="32" t="n">
        <x:f>(Z148+tun_ElderCommons*INDEX(LM_Elder,G148)*AA148)*AH148</x:f>
        <x:v>107.68084706920592</x:v>
      </x:c>
      <x:c r="AJ148" s="32" t="n">
        <x:f>H148*tun_CommonsCoef*AI148^tun_CommonsExp*INDEX(LM_Commons,G148)</x:f>
        <x:v>281.8068959557175</x:v>
      </x:c>
      <x:c r="AK148" s="32" t="n">
        <x:f>H148*tun_RoleScale*Arch_Roles*(AE148*(INDEX(tun_ElderRolePerSett,G148)*tun_OutElder*INDEX(LM_Elder,G148)+INDEX(tun_ShamanPerSett,G148)*tun_OutShaman)+Z148*(INDEX(tun_PriestShare,G148)*tun_OutPriest+INDEX(tun_ScribeShare,G148)*tun_OutScribe*INDEX(LM_Scribe,G148)+INDEX(tun_ScholarShare,G148)*tun_OutScholar*INDEX(LM_Scholar,G148)+INDEX(tun_ResearcherShare,G148)*tun_OutResearcher*INDEX(LM_Researcher,G148)))</x:f>
        <x:v>51.4756458270556</x:v>
      </x:c>
      <x:c r="AL148" s="32" t="n">
        <x:f>H148*tun_RoleScale*Arch_Roles*AE148*INDEX(tun_MonasteryPerSett,G148)*tun_OutMonastery*INDEX(LM_Monastery,G148)</x:f>
        <x:v>0</x:v>
      </x:c>
      <x:c r="AM148" s="32" t="n">
        <x:f>(AJ148+AK148+AL148)/4*INDEX(LM_All,G148)*INDEX(tun_Boon,G148)*Arch_Insight</x:f>
        <x:v>89.72721118050976</x:v>
      </x:c>
      <x:c r="AN148" s="32" t="n">
        <x:f>H148*(tun_KHPerAdult*Z148+tun_KHOfCommons*AJ148/4*INDEX(LM_All,G148))*tun_KHUsable*Arch_KH</x:f>
        <x:v>17.260672377287694</x:v>
      </x:c>
      <x:c r="AO148" s="32" t="n">
        <x:f>MIN(AP147+AN148,AM148*tun_KHMaxRatio)</x:f>
        <x:v>17.260672377287694</x:v>
      </x:c>
      <x:c r="AP148" s="32" t="n">
        <x:f>AP147+AN148-AO148</x:f>
        <x:v>0</x:v>
      </x:c>
      <x:c r="AQ148" s="32" t="n">
        <x:f>AM148+AO148</x:f>
        <x:v>106.98788355779745</x:v>
      </x:c>
      <x:c r="AR148" s="10" t="n">
        <x:f>IF(H148=1,INDEX(tun_Req,G148),0)</x:f>
        <x:v>5252.7422</x:v>
      </x:c>
      <x:c r="AS148" s="32" t="n">
        <x:f>IF(H148=1,IF(E148=1,AS147-AR147,AS147)+AQ148,0)</x:f>
        <x:v>1775.353692301108</x:v>
      </x:c>
      <x:c r="AT148" s="11" t="n">
        <x:f>IF(AR148&gt;0,MIN(1,AS148/AR148),1)</x:f>
        <x:v>0.3379860698857652</x:v>
      </x:c>
      <x:c r="AU148" s="10" t="n">
        <x:f>AB148/INDEX(tun_RepScale,G148)</x:f>
        <x:v>173.73485448996098</x:v>
      </x:c>
      <x:c r="AV148" s="32" t="n">
        <x:f>AM148*60/tun_SeasonSeconds</x:f>
        <x:v>358.908844722039</x:v>
      </x:c>
    </x:row>
    <x:row r="149">
      <x:c r="A149" s="8" t="n">
        <x:f>A148+1</x:f>
        <x:v>146</x:v>
      </x:c>
      <x:c r="B149" s="9" t="n">
        <x:f>A149*tun_SeasonSeconds/60</x:f>
        <x:v>36.5</x:v>
      </x:c>
      <x:c r="C149" s="9" t="n">
        <x:f>A149/4</x:f>
        <x:v>36.5</x:v>
      </x:c>
      <x:c r="D149" s="8" t="n">
        <x:f>IF(MOD(A149,4)=0,1,0)</x:f>
        <x:v>0</x:v>
      </x:c>
      <x:c r="E149" s="8" t="n">
        <x:f>IF(AND(F148&lt;=9,AS148&gt;=AR148),1,0)</x:f>
        <x:v>0</x:v>
      </x:c>
      <x:c r="F149" s="8" t="n">
        <x:f>MIN(10,F148+E149)</x:f>
        <x:v>3</x:v>
      </x:c>
      <x:c r="G149" s="8" t="n">
        <x:f>MIN(F149,9)+1</x:f>
        <x:v>4</x:v>
      </x:c>
      <x:c r="H149" s="8" t="n">
        <x:f>IF(F149&lt;=9,1,0)</x:f>
        <x:v>1</x:v>
      </x:c>
      <x:c r="I149" s="9" t="n">
        <x:f>MIN(10,F148+IF(AR148&gt;0,MIN(1,AS148/AR148),1))</x:f>
        <x:v>3.337986069885765</x:v>
      </x:c>
      <x:c r="J149" s="32" t="n">
        <x:f>INDEX(tun_FoodCap,G149)*Arch_FoodCap*EXP(tun_CapsByProject*SUMPRODUCT((Cap_Point&lt;=I149)*(Cap_Kind="Food")*Cap_Ln))</x:f>
        <x:v>109.20030677106902</x:v>
      </x:c>
      <x:c r="K149" s="32" t="n">
        <x:f>J149*MIN(1,tun_LeanBase*EXP(tun_CapsByProject*SUMPRODUCT((Cap_Point&lt;=I149)*(Cap_Kind="Lean")*Cap_Ln)))</x:f>
        <x:v>109.20030677106902</x:v>
      </x:c>
      <x:c r="L149" s="10" t="n">
        <x:f>INDEX(tun_HousingCap,G149)*EXP(tun_CapsByProject*SUMPRODUCT((Cap_Point&lt;=I149)*(Cap_Kind="Housing")*Cap_Ln))</x:f>
        <x:v>592.3124999999999</x:v>
      </x:c>
      <x:c r="M149" s="10" t="n">
        <x:f>INDEX(tun_GroupCap,G149)*tun_CohesionFactor*EXP(tun_CapsByProject*SUMPRODUCT((Cap_Point&lt;=I149)*(Cap_Kind="Group")*Cap_Ln))</x:f>
        <x:v>2000.0000000000011</x:v>
      </x:c>
      <x:c r="N149" s="32" t="n">
        <x:f>MIN(J149,L149,M149)</x:f>
        <x:v>109.20030677106902</x:v>
      </x:c>
      <x:c r="O149" s="10" t="n">
        <x:f>AE148*N149</x:f>
        <x:v>218.40061354213805</x:v>
      </x:c>
      <x:c r="P149" s="9" t="n">
        <x:f>MIN(1,(AB148/(AE148*IF(tun_GroupInCrowding=1,N149,MIN(J149,L149))))^tun_CrowdingExp)</x:f>
        <x:v>0.25339532881563737</x:v>
      </x:c>
      <x:c r="Q149" s="9" t="n">
        <x:f>IF(D149=1,INDEX(tun_WinterMult,G149),1)</x:f>
        <x:v>1</x:v>
      </x:c>
      <x:c r="R149" s="9" t="n">
        <x:f>H149*Z148*tun_WomenShare*tun_BaseFertility*INDEX(tun_FertMult,G149)*Arch_Fertility*(1-P149)</x:f>
        <x:v>3.76497034913035</x:v>
      </x:c>
      <x:c r="S149" s="9" t="n">
        <x:f>H149*Y148*INDEX(tun_MortChild,G149)/4*Q149</x:f>
        <x:v>0.8199482734927206</x:v>
      </x:c>
      <x:c r="T149" s="9" t="n">
        <x:f>H149*Z148*INDEX(tun_MortAdult,G149)*Arch_AdultMort/4*Q149</x:f>
        <x:v>0.17067903615005184</x:v>
      </x:c>
      <x:c r="U149" s="9" t="n">
        <x:f>H149*AA148*INDEX(tun_MortElder,G149)/4*Q149</x:f>
        <x:v>0.20907215548377406</x:v>
      </x:c>
      <x:c r="V149" s="9" t="n">
        <x:f>H149*MAX(0,AB148-O149)*tun_OvercapLoss</x:f>
        <x:v>0</x:v>
      </x:c>
      <x:c r="W149" s="9" t="n">
        <x:f>H149*Y148/(tun_ChildYears*4)</x:f>
        <x:v>1.7225804064973123</x:v>
      </x:c>
      <x:c r="X149" s="9" t="n">
        <x:f>H149*Z148/(tun_AdultYears*4)</x:f>
        <x:v>0.5005250326980992</x:v>
      </x:c>
      <x:c r="Y149" s="32" t="n">
        <x:f>Y148+R149-S149-W149-Y148*V149/AB148</x:f>
        <x:v>97.68694443298979</x:v>
      </x:c>
      <x:c r="Z149" s="32" t="n">
        <x:f>Z148+W149-X149-T149-Z148*V149/AB148</x:f>
        <x:v>63.11648039221347</x:v>
      </x:c>
      <x:c r="AA149" s="32" t="n">
        <x:f>AA148+X149-U149-AA148*V149/AB148</x:f>
        <x:v>15.49670054876153</x:v>
      </x:c>
      <x:c r="AB149" s="10" t="n">
        <x:f>Y149+Z149+AA149</x:f>
        <x:v>176.3001253739648</x:v>
      </x:c>
      <x:c r="AC149" s="8" t="n">
        <x:f>IF(AND(tun_WinterTrigger=1,D149=1,AB148/AE148&gt;=K149),1,0)</x:f>
        <x:v>0</x:v>
      </x:c>
      <x:c r="AD149" s="8" t="n">
        <x:f>H149*IF(AND(OR(AB148/AE148&gt;=tun_FissionTrigger*N149,AC149=1),AB148/AE148*tun_DaughterShare&gt;=tun_MinDaughter),MAX(1,ROUND(AE148*tun_FissionRate,0)),0)</x:f>
        <x:v>0</x:v>
      </x:c>
      <x:c r="AE149" s="8" t="n">
        <x:f>IF(H149=1,MAX(1,MIN(INDEX(tun_Smax,G149),AE148+AD149)),AE148)</x:f>
        <x:v>2</x:v>
      </x:c>
      <x:c r="AF149" s="8" t="n">
        <x:f>MAX(0,AE149-AE148)</x:f>
        <x:v>0</x:v>
      </x:c>
      <x:c r="AG149" s="9" t="str">
        <x:f>IF(AF149&gt;0,B149,"")</x:f>
      </x:c>
      <x:c r="AH149" s="9" t="n">
        <x:f>IF(F149&gt;=1,1,(1+tun_LowTiesShare*(AE149-1))/AE149)</x:f>
        <x:v>1</x:v>
      </x:c>
      <x:c r="AI149" s="32" t="n">
        <x:f>(Z149+tun_ElderCommons*INDEX(LM_Elder,G149)*AA149)*AH149</x:f>
        <x:v>109.60658203849806</x:v>
      </x:c>
      <x:c r="AJ149" s="32" t="n">
        <x:f>H149*tun_CommonsCoef*AI149^tun_CommonsExp*INDEX(LM_Commons,G149)</x:f>
        <x:v>286.08498337634865</x:v>
      </x:c>
      <x:c r="AK149" s="32" t="n">
        <x:f>H149*tun_RoleScale*Arch_Roles*(AE149*(INDEX(tun_ElderRolePerSett,G149)*tun_OutElder*INDEX(LM_Elder,G149)+INDEX(tun_ShamanPerSett,G149)*tun_OutShaman)+Z149*(INDEX(tun_PriestShare,G149)*tun_OutPriest+INDEX(tun_ScribeShare,G149)*tun_OutScribe*INDEX(LM_Scribe,G149)+INDEX(tun_ScholarShare,G149)*tun_OutScholar*INDEX(LM_Scholar,G149)+INDEX(tun_ResearcherShare,G149)*tun_OutResearcher*INDEX(LM_Researcher,G149)))</x:f>
        <x:v>51.53452290196395</x:v>
      </x:c>
      <x:c r="AL149" s="32" t="n">
        <x:f>H149*tun_RoleScale*Arch_Roles*AE149*INDEX(tun_MonasteryPerSett,G149)*tun_OutMonastery*INDEX(LM_Monastery,G149)</x:f>
        <x:v>0</x:v>
      </x:c>
      <x:c r="AM149" s="32" t="n">
        <x:f>(AJ149+AK149+AL149)/4*INDEX(LM_All,G149)*INDEX(tun_Boon,G149)*Arch_Insight</x:f>
        <x:v>90.89482028206083</x:v>
      </x:c>
      <x:c r="AN149" s="32" t="n">
        <x:f>H149*(tun_KHPerAdult*Z149+tun_KHOfCommons*AJ149/4*INDEX(LM_All,G149))*tun_KHUsable*Arch_KH</x:f>
        <x:v>17.522705231801353</x:v>
      </x:c>
      <x:c r="AO149" s="32" t="n">
        <x:f>MIN(AP148+AN149,AM149*tun_KHMaxRatio)</x:f>
        <x:v>17.522705231801353</x:v>
      </x:c>
      <x:c r="AP149" s="32" t="n">
        <x:f>AP148+AN149-AO149</x:f>
        <x:v>0</x:v>
      </x:c>
      <x:c r="AQ149" s="32" t="n">
        <x:f>AM149+AO149</x:f>
        <x:v>108.41752551386219</x:v>
      </x:c>
      <x:c r="AR149" s="10" t="n">
        <x:f>IF(H149=1,INDEX(tun_Req,G149),0)</x:f>
        <x:v>5252.7422</x:v>
      </x:c>
      <x:c r="AS149" s="32" t="n">
        <x:f>IF(H149=1,IF(E149=1,AS148-AR148,AS148)+AQ149,0)</x:f>
        <x:v>1883.77121781497</x:v>
      </x:c>
      <x:c r="AT149" s="11" t="n">
        <x:f>IF(AR149&gt;0,MIN(1,AS149/AR149),1)</x:f>
        <x:v>0.3586262462709421</x:v>
      </x:c>
      <x:c r="AU149" s="10" t="n">
        <x:f>AB149/INDEX(tun_RepScale,G149)</x:f>
        <x:v>176.3001253739648</x:v>
      </x:c>
      <x:c r="AV149" s="32" t="n">
        <x:f>AM149*60/tun_SeasonSeconds</x:f>
        <x:v>363.57928112824334</x:v>
      </x:c>
    </x:row>
    <x:row r="150">
      <x:c r="A150" s="8" t="n">
        <x:f>A149+1</x:f>
        <x:v>147</x:v>
      </x:c>
      <x:c r="B150" s="9" t="n">
        <x:f>A150*tun_SeasonSeconds/60</x:f>
        <x:v>36.75</x:v>
      </x:c>
      <x:c r="C150" s="9" t="n">
        <x:f>A150/4</x:f>
        <x:v>36.75</x:v>
      </x:c>
      <x:c r="D150" s="8" t="n">
        <x:f>IF(MOD(A150,4)=0,1,0)</x:f>
        <x:v>0</x:v>
      </x:c>
      <x:c r="E150" s="8" t="n">
        <x:f>IF(AND(F149&lt;=9,AS149&gt;=AR149),1,0)</x:f>
        <x:v>0</x:v>
      </x:c>
      <x:c r="F150" s="8" t="n">
        <x:f>MIN(10,F149+E150)</x:f>
        <x:v>3</x:v>
      </x:c>
      <x:c r="G150" s="8" t="n">
        <x:f>MIN(F150,9)+1</x:f>
        <x:v>4</x:v>
      </x:c>
      <x:c r="H150" s="8" t="n">
        <x:f>IF(F150&lt;=9,1,0)</x:f>
        <x:v>1</x:v>
      </x:c>
      <x:c r="I150" s="9" t="n">
        <x:f>MIN(10,F149+IF(AR149&gt;0,MIN(1,AS149/AR149),1))</x:f>
        <x:v>3.358626246270942</x:v>
      </x:c>
      <x:c r="J150" s="32" t="n">
        <x:f>INDEX(tun_FoodCap,G150)*Arch_FoodCap*EXP(tun_CapsByProject*SUMPRODUCT((Cap_Point&lt;=I150)*(Cap_Kind="Food")*Cap_Ln))</x:f>
        <x:v>127.76435892215076</x:v>
      </x:c>
      <x:c r="K150" s="32" t="n">
        <x:f>J150*MIN(1,tun_LeanBase*EXP(tun_CapsByProject*SUMPRODUCT((Cap_Point&lt;=I150)*(Cap_Kind="Lean")*Cap_Ln)))</x:f>
        <x:v>127.76435892215076</x:v>
      </x:c>
      <x:c r="L150" s="10" t="n">
        <x:f>INDEX(tun_HousingCap,G150)*EXP(tun_CapsByProject*SUMPRODUCT((Cap_Point&lt;=I150)*(Cap_Kind="Housing")*Cap_Ln))</x:f>
        <x:v>592.3124999999999</x:v>
      </x:c>
      <x:c r="M150" s="10" t="n">
        <x:f>INDEX(tun_GroupCap,G150)*tun_CohesionFactor*EXP(tun_CapsByProject*SUMPRODUCT((Cap_Point&lt;=I150)*(Cap_Kind="Group")*Cap_Ln))</x:f>
        <x:v>2000.0000000000011</x:v>
      </x:c>
      <x:c r="N150" s="32" t="n">
        <x:f>MIN(J150,L150,M150)</x:f>
        <x:v>127.76435892215076</x:v>
      </x:c>
      <x:c r="O150" s="10" t="n">
        <x:f>AE149*N150</x:f>
        <x:v>255.52871784430153</x:v>
      </x:c>
      <x:c r="P150" s="9" t="n">
        <x:f>MIN(1,(AB149/(AE149*IF(tun_GroupInCrowding=1,N150,MIN(J150,L150))))^tun_CrowdingExp)</x:f>
        <x:v>0.10786422611544871</x:v>
      </x:c>
      <x:c r="Q150" s="9" t="n">
        <x:f>IF(D150=1,INDEX(tun_WinterMult,G150),1)</x:f>
        <x:v>1</x:v>
      </x:c>
      <x:c r="R150" s="9" t="n">
        <x:f>H150*Z149*tun_WomenShare*tun_BaseFertility*INDEX(tun_FertMult,G150)*Arch_Fertility*(1-P150)</x:f>
        <x:v>4.575063193965588</x:v>
      </x:c>
      <x:c r="S150" s="9" t="n">
        <x:f>H150*Y149*INDEX(tun_MortChild,G150)/4*Q150</x:f>
        <x:v>0.8303390276804132</x:v>
      </x:c>
      <x:c r="T150" s="9" t="n">
        <x:f>H150*Z149*INDEX(tun_MortAdult,G150)*Arch_AdultMort/4*Q150</x:f>
        <x:v>0.17357032107858703</x:v>
      </x:c>
      <x:c r="U150" s="9" t="n">
        <x:f>H150*AA149*INDEX(tun_MortElder,G150)/4*Q150</x:f>
        <x:v>0.21307963254547102</x:v>
      </x:c>
      <x:c r="V150" s="9" t="n">
        <x:f>H150*MAX(0,AB149-O150)*tun_OvercapLoss</x:f>
        <x:v>0</x:v>
      </x:c>
      <x:c r="W150" s="9" t="n">
        <x:f>H150*Y149/(tun_ChildYears*4)</x:f>
        <x:v>1.7444097220176749</x:v>
      </x:c>
      <x:c r="X150" s="9" t="n">
        <x:f>H150*Z149/(tun_AdultYears*4)</x:f>
        <x:v>0.5090038741307538</x:v>
      </x:c>
      <x:c r="Y150" s="32" t="n">
        <x:f>Y149+R150-S150-W150-Y149*V150/AB149</x:f>
        <x:v>99.68725887725729</x:v>
      </x:c>
      <x:c r="Z150" s="32" t="n">
        <x:f>Z149+W150-X150-T150-Z149*V150/AB149</x:f>
        <x:v>64.1783159190218</x:v>
      </x:c>
      <x:c r="AA150" s="32" t="n">
        <x:f>AA149+X150-U150-AA149*V150/AB149</x:f>
        <x:v>15.792624790346812</x:v>
      </x:c>
      <x:c r="AB150" s="10" t="n">
        <x:f>Y150+Z150+AA150</x:f>
        <x:v>179.6581995866259</x:v>
      </x:c>
      <x:c r="AC150" s="8" t="n">
        <x:f>IF(AND(tun_WinterTrigger=1,D150=1,AB149/AE149&gt;=K150),1,0)</x:f>
        <x:v>0</x:v>
      </x:c>
      <x:c r="AD150" s="8" t="n">
        <x:f>H150*IF(AND(OR(AB149/AE149&gt;=tun_FissionTrigger*N150,AC150=1),AB149/AE149*tun_DaughterShare&gt;=tun_MinDaughter),MAX(1,ROUND(AE149*tun_FissionRate,0)),0)</x:f>
        <x:v>0</x:v>
      </x:c>
      <x:c r="AE150" s="8" t="n">
        <x:f>IF(H150=1,MAX(1,MIN(INDEX(tun_Smax,G150),AE149+AD150)),AE149)</x:f>
        <x:v>2</x:v>
      </x:c>
      <x:c r="AF150" s="8" t="n">
        <x:f>MAX(0,AE150-AE149)</x:f>
        <x:v>0</x:v>
      </x:c>
      <x:c r="AG150" s="9" t="str">
        <x:f>IF(AF150&gt;0,B150,"")</x:f>
      </x:c>
      <x:c r="AH150" s="9" t="n">
        <x:f>IF(F150&gt;=1,1,(1+tun_LowTiesShare*(AE150-1))/AE150)</x:f>
        <x:v>1</x:v>
      </x:c>
      <x:c r="AI150" s="32" t="n">
        <x:f>(Z150+tun_ElderCommons*INDEX(LM_Elder,G150)*AA150)*AH150</x:f>
        <x:v>111.55619029006223</x:v>
      </x:c>
      <x:c r="AJ150" s="32" t="n">
        <x:f>H150*tun_CommonsCoef*AI150^tun_CommonsExp*INDEX(LM_Commons,G150)</x:f>
        <x:v>290.40463644881675</x:v>
      </x:c>
      <x:c r="AK150" s="32" t="n">
        <x:f>H150*tun_RoleScale*Arch_Roles*(AE150*(INDEX(tun_ElderRolePerSett,G150)*tun_OutElder*INDEX(LM_Elder,G150)+INDEX(tun_ShamanPerSett,G150)*tun_OutShaman)+Z150*(INDEX(tun_PriestShare,G150)*tun_OutPriest+INDEX(tun_ScribeShare,G150)*tun_OutScribe*INDEX(LM_Scribe,G150)+INDEX(tun_ScholarShare,G150)*tun_OutScholar*INDEX(LM_Scholar,G150)+INDEX(tun_ResearcherShare,G150)*tun_OutResearcher*INDEX(LM_Researcher,G150)))</x:f>
        <x:v>51.59398569146522</x:v>
      </x:c>
      <x:c r="AL150" s="32" t="n">
        <x:f>H150*tun_RoleScale*Arch_Roles*AE150*INDEX(tun_MonasteryPerSett,G150)*tun_OutMonastery*INDEX(LM_Monastery,G150)</x:f>
        <x:v>0</x:v>
      </x:c>
      <x:c r="AM150" s="32" t="n">
        <x:f>(AJ150+AK150+AL150)/4*INDEX(LM_All,G150)*INDEX(tun_Boon,G150)*Arch_Insight</x:f>
        <x:v>92.07377748644674</x:v>
      </x:c>
      <x:c r="AN150" s="32" t="n">
        <x:f>H150*(tun_KHPerAdult*Z150+tun_KHOfCommons*AJ150/4*INDEX(LM_All,G150))*tun_KHUsable*Arch_KH</x:f>
        <x:v>17.787283982490024</x:v>
      </x:c>
      <x:c r="AO150" s="32" t="n">
        <x:f>MIN(AP149+AN150,AM150*tun_KHMaxRatio)</x:f>
        <x:v>17.787283982490024</x:v>
      </x:c>
      <x:c r="AP150" s="32" t="n">
        <x:f>AP149+AN150-AO150</x:f>
        <x:v>0</x:v>
      </x:c>
      <x:c r="AQ150" s="32" t="n">
        <x:f>AM150+AO150</x:f>
        <x:v>109.86106146893677</x:v>
      </x:c>
      <x:c r="AR150" s="10" t="n">
        <x:f>IF(H150=1,INDEX(tun_Req,G150),0)</x:f>
        <x:v>5252.7422</x:v>
      </x:c>
      <x:c r="AS150" s="32" t="n">
        <x:f>IF(H150=1,IF(E150=1,AS149-AR149,AS149)+AQ150,0)</x:f>
        <x:v>1993.6322792839067</x:v>
      </x:c>
      <x:c r="AT150" s="11" t="n">
        <x:f>IF(AR150&gt;0,MIN(1,AS150/AR150),1)</x:f>
        <x:v>0.37954123834288056</x:v>
      </x:c>
      <x:c r="AU150" s="10" t="n">
        <x:f>AB150/INDEX(tun_RepScale,G150)</x:f>
        <x:v>179.6581995866259</x:v>
      </x:c>
      <x:c r="AV150" s="32" t="n">
        <x:f>AM150*60/tun_SeasonSeconds</x:f>
        <x:v>368.295109945787</x:v>
      </x:c>
    </x:row>
    <x:row r="151">
      <x:c r="A151" s="8" t="n">
        <x:f>A150+1</x:f>
        <x:v>148</x:v>
      </x:c>
      <x:c r="B151" s="9" t="n">
        <x:f>A151*tun_SeasonSeconds/60</x:f>
        <x:v>37</x:v>
      </x:c>
      <x:c r="C151" s="9" t="n">
        <x:f>A151/4</x:f>
        <x:v>37</x:v>
      </x:c>
      <x:c r="D151" s="8" t="n">
        <x:f>IF(MOD(A151,4)=0,1,0)</x:f>
        <x:v>1</x:v>
      </x:c>
      <x:c r="E151" s="8" t="n">
        <x:f>IF(AND(F150&lt;=9,AS150&gt;=AR150),1,0)</x:f>
        <x:v>0</x:v>
      </x:c>
      <x:c r="F151" s="8" t="n">
        <x:f>MIN(10,F150+E151)</x:f>
        <x:v>3</x:v>
      </x:c>
      <x:c r="G151" s="8" t="n">
        <x:f>MIN(F151,9)+1</x:f>
        <x:v>4</x:v>
      </x:c>
      <x:c r="H151" s="8" t="n">
        <x:f>IF(F151&lt;=9,1,0)</x:f>
        <x:v>1</x:v>
      </x:c>
      <x:c r="I151" s="9" t="n">
        <x:f>MIN(10,F150+IF(AR150&gt;0,MIN(1,AS150/AR150),1))</x:f>
        <x:v>3.3795412383428807</x:v>
      </x:c>
      <x:c r="J151" s="32" t="n">
        <x:f>INDEX(tun_FoodCap,G151)*Arch_FoodCap*EXP(tun_CapsByProject*SUMPRODUCT((Cap_Point&lt;=I151)*(Cap_Kind="Food")*Cap_Ln))</x:f>
        <x:v>127.76435892215076</x:v>
      </x:c>
      <x:c r="K151" s="32" t="n">
        <x:f>J151*MIN(1,tun_LeanBase*EXP(tun_CapsByProject*SUMPRODUCT((Cap_Point&lt;=I151)*(Cap_Kind="Lean")*Cap_Ln)))</x:f>
        <x:v>127.76435892215076</x:v>
      </x:c>
      <x:c r="L151" s="10" t="n">
        <x:f>INDEX(tun_HousingCap,G151)*EXP(tun_CapsByProject*SUMPRODUCT((Cap_Point&lt;=I151)*(Cap_Kind="Housing")*Cap_Ln))</x:f>
        <x:v>592.3124999999999</x:v>
      </x:c>
      <x:c r="M151" s="10" t="n">
        <x:f>INDEX(tun_GroupCap,G151)*tun_CohesionFactor*EXP(tun_CapsByProject*SUMPRODUCT((Cap_Point&lt;=I151)*(Cap_Kind="Group")*Cap_Ln))</x:f>
        <x:v>2000.0000000000011</x:v>
      </x:c>
      <x:c r="N151" s="32" t="n">
        <x:f>MIN(J151,L151,M151)</x:f>
        <x:v>127.76435892215076</x:v>
      </x:c>
      <x:c r="O151" s="10" t="n">
        <x:f>AE150*N151</x:f>
        <x:v>255.52871784430153</x:v>
      </x:c>
      <x:c r="P151" s="9" t="n">
        <x:f>MIN(1,(AB150/(AE150*IF(tun_GroupInCrowding=1,N151,MIN(J151,L151))))^tun_CrowdingExp)</x:f>
        <x:v>0.12079361093875174</x:v>
      </x:c>
      <x:c r="Q151" s="9" t="n">
        <x:f>IF(D151=1,INDEX(tun_WinterMult,G151),1)</x:f>
        <x:v>1.25</x:v>
      </x:c>
      <x:c r="R151" s="9" t="n">
        <x:f>H151*Z150*tun_WomenShare*tun_BaseFertility*INDEX(tun_FertMult,G151)*Arch_Fertility*(1-P151)</x:f>
        <x:v>4.584611313359609</x:v>
      </x:c>
      <x:c r="S151" s="9" t="n">
        <x:f>H151*Y150*INDEX(tun_MortChild,G151)/4*Q151</x:f>
        <x:v>1.0591771255708586</x:v>
      </x:c>
      <x:c r="T151" s="9" t="n">
        <x:f>H151*Z150*INDEX(tun_MortAdult,G151)*Arch_AdultMort/4*Q151</x:f>
        <x:v>0.22061296097163743</x:v>
      </x:c>
      <x:c r="U151" s="9" t="n">
        <x:f>H151*AA150*INDEX(tun_MortElder,G151)/4*Q151</x:f>
        <x:v>0.2714357385840859</x:v>
      </x:c>
      <x:c r="V151" s="9" t="n">
        <x:f>H151*MAX(0,AB150-O151)*tun_OvercapLoss</x:f>
        <x:v>0</x:v>
      </x:c>
      <x:c r="W151" s="9" t="n">
        <x:f>H151*Y150/(tun_ChildYears*4)</x:f>
        <x:v>1.780129622808166</x:v>
      </x:c>
      <x:c r="X151" s="9" t="n">
        <x:f>H151*Z150/(tun_AdultYears*4)</x:f>
        <x:v>0.517567063863079</x:v>
      </x:c>
      <x:c r="Y151" s="32" t="n">
        <x:f>Y150+R151-S151-W151-Y150*V151/AB150</x:f>
        <x:v>101.43256344223789</x:v>
      </x:c>
      <x:c r="Z151" s="32" t="n">
        <x:f>Z150+W151-X151-T151-Z150*V151/AB150</x:f>
        <x:v>65.22026551699524</x:v>
      </x:c>
      <x:c r="AA151" s="32" t="n">
        <x:f>AA150+X151-U151-AA150*V151/AB150</x:f>
        <x:v>16.038756115625805</x:v>
      </x:c>
      <x:c r="AB151" s="10" t="n">
        <x:f>Y151+Z151+AA151</x:f>
        <x:v>182.69158507485895</x:v>
      </x:c>
      <x:c r="AC151" s="8" t="n">
        <x:f>IF(AND(tun_WinterTrigger=1,D151=1,AB150/AE150&gt;=K151),1,0)</x:f>
        <x:v>0</x:v>
      </x:c>
      <x:c r="AD151" s="8" t="n">
        <x:f>H151*IF(AND(OR(AB150/AE150&gt;=tun_FissionTrigger*N151,AC151=1),AB150/AE150*tun_DaughterShare&gt;=tun_MinDaughter),MAX(1,ROUND(AE150*tun_FissionRate,0)),0)</x:f>
        <x:v>0</x:v>
      </x:c>
      <x:c r="AE151" s="8" t="n">
        <x:f>IF(H151=1,MAX(1,MIN(INDEX(tun_Smax,G151),AE150+AD151)),AE150)</x:f>
        <x:v>2</x:v>
      </x:c>
      <x:c r="AF151" s="8" t="n">
        <x:f>MAX(0,AE151-AE150)</x:f>
        <x:v>0</x:v>
      </x:c>
      <x:c r="AG151" s="9" t="str">
        <x:f>IF(AF151&gt;0,B151,"")</x:f>
      </x:c>
      <x:c r="AH151" s="9" t="n">
        <x:f>IF(F151&gt;=1,1,(1+tun_LowTiesShare*(AE151-1))/AE151)</x:f>
        <x:v>1</x:v>
      </x:c>
      <x:c r="AI151" s="32" t="n">
        <x:f>(Z151+tun_ElderCommons*INDEX(LM_Elder,G151)*AA151)*AH151</x:f>
        <x:v>113.33653386387266</x:v>
      </x:c>
      <x:c r="AJ151" s="32" t="n">
        <x:f>H151*tun_CommonsCoef*AI151^tun_CommonsExp*INDEX(LM_Commons,G151)</x:f>
        <x:v>294.33937282779584</x:v>
      </x:c>
      <x:c r="AK151" s="32" t="n">
        <x:f>H151*tun_RoleScale*Arch_Roles*(AE151*(INDEX(tun_ElderRolePerSett,G151)*tun_OutElder*INDEX(LM_Elder,G151)+INDEX(tun_ShamanPerSett,G151)*tun_OutShaman)+Z151*(INDEX(tun_PriestShare,G151)*tun_OutPriest+INDEX(tun_ScribeShare,G151)*tun_OutScribe*INDEX(LM_Scribe,G151)+INDEX(tun_ScholarShare,G151)*tun_OutScholar*INDEX(LM_Scholar,G151)+INDEX(tun_ResearcherShare,G151)*tun_OutResearcher*INDEX(LM_Researcher,G151)))</x:f>
        <x:v>51.65233486895173</x:v>
      </x:c>
      <x:c r="AL151" s="32" t="n">
        <x:f>H151*tun_RoleScale*Arch_Roles*AE151*INDEX(tun_MonasteryPerSett,G151)*tun_OutMonastery*INDEX(LM_Monastery,G151)</x:f>
        <x:v>0</x:v>
      </x:c>
      <x:c r="AM151" s="32" t="n">
        <x:f>(AJ151+AK151+AL151)/4*INDEX(LM_All,G151)*INDEX(tun_Boon,G151)*Arch_Insight</x:f>
        <x:v>93.14880658659193</x:v>
      </x:c>
      <x:c r="AN151" s="32" t="n">
        <x:f>H151*(tun_KHPerAdult*Z151+tun_KHOfCommons*AJ151/4*INDEX(LM_All,G151))*tun_KHUsable*Arch_KH</x:f>
        <x:v>18.028286585702492</x:v>
      </x:c>
      <x:c r="AO151" s="32" t="n">
        <x:f>MIN(AP150+AN151,AM151*tun_KHMaxRatio)</x:f>
        <x:v>18.028286585702492</x:v>
      </x:c>
      <x:c r="AP151" s="32" t="n">
        <x:f>AP150+AN151-AO151</x:f>
        <x:v>0</x:v>
      </x:c>
      <x:c r="AQ151" s="32" t="n">
        <x:f>AM151+AO151</x:f>
        <x:v>111.17709317229442</x:v>
      </x:c>
      <x:c r="AR151" s="10" t="n">
        <x:f>IF(H151=1,INDEX(tun_Req,G151),0)</x:f>
        <x:v>5252.7422</x:v>
      </x:c>
      <x:c r="AS151" s="32" t="n">
        <x:f>IF(H151=1,IF(E151=1,AS150-AR150,AS150)+AQ151,0)</x:f>
        <x:v>2104.809372456201</x:v>
      </x:c>
      <x:c r="AT151" s="11" t="n">
        <x:f>IF(AR151&gt;0,MIN(1,AS151/AR151),1)</x:f>
        <x:v>0.4007067722562514</x:v>
      </x:c>
      <x:c r="AU151" s="10" t="n">
        <x:f>AB151/INDEX(tun_RepScale,G151)</x:f>
        <x:v>182.69158507485895</x:v>
      </x:c>
      <x:c r="AV151" s="32" t="n">
        <x:f>AM151*60/tun_SeasonSeconds</x:f>
        <x:v>372.5952263463677</x:v>
      </x:c>
    </x:row>
    <x:row r="152">
      <x:c r="A152" s="8" t="n">
        <x:f>A151+1</x:f>
        <x:v>149</x:v>
      </x:c>
      <x:c r="B152" s="9" t="n">
        <x:f>A152*tun_SeasonSeconds/60</x:f>
        <x:v>37.25</x:v>
      </x:c>
      <x:c r="C152" s="9" t="n">
        <x:f>A152/4</x:f>
        <x:v>37.25</x:v>
      </x:c>
      <x:c r="D152" s="8" t="n">
        <x:f>IF(MOD(A152,4)=0,1,0)</x:f>
        <x:v>0</x:v>
      </x:c>
      <x:c r="E152" s="8" t="n">
        <x:f>IF(AND(F151&lt;=9,AS151&gt;=AR151),1,0)</x:f>
        <x:v>0</x:v>
      </x:c>
      <x:c r="F152" s="8" t="n">
        <x:f>MIN(10,F151+E152)</x:f>
        <x:v>3</x:v>
      </x:c>
      <x:c r="G152" s="8" t="n">
        <x:f>MIN(F152,9)+1</x:f>
        <x:v>4</x:v>
      </x:c>
      <x:c r="H152" s="8" t="n">
        <x:f>IF(F152&lt;=9,1,0)</x:f>
        <x:v>1</x:v>
      </x:c>
      <x:c r="I152" s="9" t="n">
        <x:f>MIN(10,F151+IF(AR151&gt;0,MIN(1,AS151/AR151),1))</x:f>
        <x:v>3.4007067722562514</x:v>
      </x:c>
      <x:c r="J152" s="32" t="n">
        <x:f>INDEX(tun_FoodCap,G152)*Arch_FoodCap*EXP(tun_CapsByProject*SUMPRODUCT((Cap_Point&lt;=I152)*(Cap_Kind="Food")*Cap_Ln))</x:f>
        <x:v>135.4302204574798</x:v>
      </x:c>
      <x:c r="K152" s="32" t="n">
        <x:f>J152*MIN(1,tun_LeanBase*EXP(tun_CapsByProject*SUMPRODUCT((Cap_Point&lt;=I152)*(Cap_Kind="Lean")*Cap_Ln)))</x:f>
        <x:v>135.4302204574798</x:v>
      </x:c>
      <x:c r="L152" s="10" t="n">
        <x:f>INDEX(tun_HousingCap,G152)*EXP(tun_CapsByProject*SUMPRODUCT((Cap_Point&lt;=I152)*(Cap_Kind="Housing")*Cap_Ln))</x:f>
        <x:v>592.3124999999999</x:v>
      </x:c>
      <x:c r="M152" s="10" t="n">
        <x:f>INDEX(tun_GroupCap,G152)*tun_CohesionFactor*EXP(tun_CapsByProject*SUMPRODUCT((Cap_Point&lt;=I152)*(Cap_Kind="Group")*Cap_Ln))</x:f>
        <x:v>2000.0000000000011</x:v>
      </x:c>
      <x:c r="N152" s="32" t="n">
        <x:f>MIN(J152,L152,M152)</x:f>
        <x:v>135.4302204574798</x:v>
      </x:c>
      <x:c r="O152" s="10" t="n">
        <x:f>AE151*N152</x:f>
        <x:v>270.8604409149596</x:v>
      </x:c>
      <x:c r="P152" s="9" t="n">
        <x:f>MIN(1,(AB151/(AE151*IF(tun_GroupInCrowding=1,N152,MIN(J152,L152))))^tun_CrowdingExp)</x:f>
        <x:v>0.09415378351646445</x:v>
      </x:c>
      <x:c r="Q152" s="9" t="n">
        <x:f>IF(D152=1,INDEX(tun_WinterMult,G152),1)</x:f>
        <x:v>1</x:v>
      </x:c>
      <x:c r="R152" s="9" t="n">
        <x:f>H152*Z151*tun_WomenShare*tun_BaseFertility*INDEX(tun_FertMult,G152)*Arch_Fertility*(1-P152)</x:f>
        <x:v>4.800211873975518</x:v>
      </x:c>
      <x:c r="S152" s="9" t="n">
        <x:f>H152*Y151*INDEX(tun_MortChild,G152)/4*Q152</x:f>
        <x:v>0.8621767892590222</x:v>
      </x:c>
      <x:c r="T152" s="9" t="n">
        <x:f>H152*Z151*INDEX(tun_MortAdult,G152)*Arch_AdultMort/4*Q152</x:f>
        <x:v>0.1793557301717369</x:v>
      </x:c>
      <x:c r="U152" s="9" t="n">
        <x:f>H152*AA151*INDEX(tun_MortElder,G152)/4*Q152</x:f>
        <x:v>0.2205328965898548</x:v>
      </x:c>
      <x:c r="V152" s="9" t="n">
        <x:f>H152*MAX(0,AB151-O152)*tun_OvercapLoss</x:f>
        <x:v>0</x:v>
      </x:c>
      <x:c r="W152" s="9" t="n">
        <x:f>H152*Y151/(tun_ChildYears*4)</x:f>
        <x:v>1.811295775754248</x:v>
      </x:c>
      <x:c r="X152" s="9" t="n">
        <x:f>H152*Z151/(tun_AdultYears*4)</x:f>
        <x:v>0.5259698832015746</x:v>
      </x:c>
      <x:c r="Y152" s="32" t="n">
        <x:f>Y151+R152-S152-W152-Y151*V152/AB151</x:f>
        <x:v>103.55930275120014</x:v>
      </x:c>
      <x:c r="Z152" s="32" t="n">
        <x:f>Z151+W152-X152-T152-Z151*V152/AB151</x:f>
        <x:v>66.32623567937618</x:v>
      </x:c>
      <x:c r="AA152" s="32" t="n">
        <x:f>AA151+X152-U152-AA151*V152/AB151</x:f>
        <x:v>16.344193102237526</x:v>
      </x:c>
      <x:c r="AB152" s="10" t="n">
        <x:f>Y152+Z152+AA152</x:f>
        <x:v>186.22973153281384</x:v>
      </x:c>
      <x:c r="AC152" s="8" t="n">
        <x:f>IF(AND(tun_WinterTrigger=1,D152=1,AB151/AE151&gt;=K152),1,0)</x:f>
        <x:v>0</x:v>
      </x:c>
      <x:c r="AD152" s="8" t="n">
        <x:f>H152*IF(AND(OR(AB151/AE151&gt;=tun_FissionTrigger*N152,AC152=1),AB151/AE151*tun_DaughterShare&gt;=tun_MinDaughter),MAX(1,ROUND(AE151*tun_FissionRate,0)),0)</x:f>
        <x:v>0</x:v>
      </x:c>
      <x:c r="AE152" s="8" t="n">
        <x:f>IF(H152=1,MAX(1,MIN(INDEX(tun_Smax,G152),AE151+AD152)),AE151)</x:f>
        <x:v>2</x:v>
      </x:c>
      <x:c r="AF152" s="8" t="n">
        <x:f>MAX(0,AE152-AE151)</x:f>
        <x:v>0</x:v>
      </x:c>
      <x:c r="AG152" s="9" t="str">
        <x:f>IF(AF152&gt;0,B152,"")</x:f>
      </x:c>
      <x:c r="AH152" s="9" t="n">
        <x:f>IF(F152&gt;=1,1,(1+tun_LowTiesShare*(AE152-1))/AE152)</x:f>
        <x:v>1</x:v>
      </x:c>
      <x:c r="AI152" s="32" t="n">
        <x:f>(Z152+tun_ElderCommons*INDEX(LM_Elder,G152)*AA152)*AH152</x:f>
        <x:v>115.35881498608876</x:v>
      </x:c>
      <x:c r="AJ152" s="32" t="n">
        <x:f>H152*tun_CommonsCoef*AI152^tun_CommonsExp*INDEX(LM_Commons,G152)</x:f>
        <x:v>298.79759032385346</x:v>
      </x:c>
      <x:c r="AK152" s="32" t="n">
        <x:f>H152*tun_RoleScale*Arch_Roles*(AE152*(INDEX(tun_ElderRolePerSett,G152)*tun_OutElder*INDEX(LM_Elder,G152)+INDEX(tun_ShamanPerSett,G152)*tun_OutShaman)+Z152*(INDEX(tun_PriestShare,G152)*tun_OutPriest+INDEX(tun_ScribeShare,G152)*tun_OutScribe*INDEX(LM_Scribe,G152)+INDEX(tun_ScholarShare,G152)*tun_OutScholar*INDEX(LM_Scholar,G152)+INDEX(tun_ResearcherShare,G152)*tun_OutResearcher*INDEX(LM_Researcher,G152)))</x:f>
        <x:v>51.714269198045066</x:v>
      </x:c>
      <x:c r="AL152" s="32" t="n">
        <x:f>H152*tun_RoleScale*Arch_Roles*AE152*INDEX(tun_MonasteryPerSett,G152)*tun_OutMonastery*INDEX(LM_Monastery,G152)</x:f>
        <x:v>0</x:v>
      </x:c>
      <x:c r="AM152" s="32" t="n">
        <x:f>(AJ152+AK152+AL152)/4*INDEX(LM_All,G152)*INDEX(tun_Boon,G152)*Arch_Insight</x:f>
        <x:v>94.36573386761235</x:v>
      </x:c>
      <x:c r="AN152" s="32" t="n">
        <x:f>H152*(tun_KHPerAdult*Z152+tun_KHOfCommons*AJ152/4*INDEX(LM_All,G152))*tun_KHUsable*Arch_KH</x:f>
        <x:v>18.301352407336022</x:v>
      </x:c>
      <x:c r="AO152" s="32" t="n">
        <x:f>MIN(AP151+AN152,AM152*tun_KHMaxRatio)</x:f>
        <x:v>18.301352407336022</x:v>
      </x:c>
      <x:c r="AP152" s="32" t="n">
        <x:f>AP151+AN152-AO152</x:f>
        <x:v>0</x:v>
      </x:c>
      <x:c r="AQ152" s="32" t="n">
        <x:f>AM152+AO152</x:f>
        <x:v>112.66708627494837</x:v>
      </x:c>
      <x:c r="AR152" s="10" t="n">
        <x:f>IF(H152=1,INDEX(tun_Req,G152),0)</x:f>
        <x:v>5252.7422</x:v>
      </x:c>
      <x:c r="AS152" s="32" t="n">
        <x:f>IF(H152=1,IF(E152=1,AS151-AR151,AS151)+AQ152,0)</x:f>
        <x:v>2217.4764587311493</x:v>
      </x:c>
      <x:c r="AT152" s="11" t="n">
        <x:f>IF(AR152&gt;0,MIN(1,AS152/AR152),1)</x:f>
        <x:v>0.42215596621725493</x:v>
      </x:c>
      <x:c r="AU152" s="10" t="n">
        <x:f>AB152/INDEX(tun_RepScale,G152)</x:f>
        <x:v>186.22973153281384</x:v>
      </x:c>
      <x:c r="AV152" s="32" t="n">
        <x:f>AM152*60/tun_SeasonSeconds</x:f>
        <x:v>377.4629354704494</x:v>
      </x:c>
    </x:row>
    <x:row r="153">
      <x:c r="A153" s="8" t="n">
        <x:f>A152+1</x:f>
        <x:v>150</x:v>
      </x:c>
      <x:c r="B153" s="9" t="n">
        <x:f>A153*tun_SeasonSeconds/60</x:f>
        <x:v>37.5</x:v>
      </x:c>
      <x:c r="C153" s="9" t="n">
        <x:f>A153/4</x:f>
        <x:v>37.5</x:v>
      </x:c>
      <x:c r="D153" s="8" t="n">
        <x:f>IF(MOD(A153,4)=0,1,0)</x:f>
        <x:v>0</x:v>
      </x:c>
      <x:c r="E153" s="8" t="n">
        <x:f>IF(AND(F152&lt;=9,AS152&gt;=AR152),1,0)</x:f>
        <x:v>0</x:v>
      </x:c>
      <x:c r="F153" s="8" t="n">
        <x:f>MIN(10,F152+E153)</x:f>
        <x:v>3</x:v>
      </x:c>
      <x:c r="G153" s="8" t="n">
        <x:f>MIN(F153,9)+1</x:f>
        <x:v>4</x:v>
      </x:c>
      <x:c r="H153" s="8" t="n">
        <x:f>IF(F153&lt;=9,1,0)</x:f>
        <x:v>1</x:v>
      </x:c>
      <x:c r="I153" s="9" t="n">
        <x:f>MIN(10,F152+IF(AR152&gt;0,MIN(1,AS152/AR152),1))</x:f>
        <x:v>3.4221559662172547</x:v>
      </x:c>
      <x:c r="J153" s="32" t="n">
        <x:f>INDEX(tun_FoodCap,G153)*Arch_FoodCap*EXP(tun_CapsByProject*SUMPRODUCT((Cap_Point&lt;=I153)*(Cap_Kind="Food")*Cap_Ln))</x:f>
        <x:v>135.4302204574798</x:v>
      </x:c>
      <x:c r="K153" s="32" t="n">
        <x:f>J153*MIN(1,tun_LeanBase*EXP(tun_CapsByProject*SUMPRODUCT((Cap_Point&lt;=I153)*(Cap_Kind="Lean")*Cap_Ln)))</x:f>
        <x:v>135.4302204574798</x:v>
      </x:c>
      <x:c r="L153" s="10" t="n">
        <x:f>INDEX(tun_HousingCap,G153)*EXP(tun_CapsByProject*SUMPRODUCT((Cap_Point&lt;=I153)*(Cap_Kind="Housing")*Cap_Ln))</x:f>
        <x:v>592.3124999999999</x:v>
      </x:c>
      <x:c r="M153" s="10" t="n">
        <x:f>INDEX(tun_GroupCap,G153)*tun_CohesionFactor*EXP(tun_CapsByProject*SUMPRODUCT((Cap_Point&lt;=I153)*(Cap_Kind="Group")*Cap_Ln))</x:f>
        <x:v>2000.0000000000011</x:v>
      </x:c>
      <x:c r="N153" s="32" t="n">
        <x:f>MIN(J153,L153,M153)</x:f>
        <x:v>135.4302204574798</x:v>
      </x:c>
      <x:c r="O153" s="10" t="n">
        <x:f>AE152*N153</x:f>
        <x:v>270.8604409149596</x:v>
      </x:c>
      <x:c r="P153" s="9" t="n">
        <x:f>MIN(1,(AB152/(AE152*IF(tun_GroupInCrowding=1,N153,MIN(J153,L153))))^tun_CrowdingExp)</x:f>
        <x:v>0.10563810856605156</x:v>
      </x:c>
      <x:c r="Q153" s="9" t="n">
        <x:f>IF(D153=1,INDEX(tun_WinterMult,G153),1)</x:f>
        <x:v>1</x:v>
      </x:c>
      <x:c r="R153" s="9" t="n">
        <x:f>H153*Z152*tun_WomenShare*tun_BaseFertility*INDEX(tun_FertMult,G153)*Arch_Fertility*(1-P153)</x:f>
        <x:v>4.819722179504433</x:v>
      </x:c>
      <x:c r="S153" s="9" t="n">
        <x:f>H153*Y152*INDEX(tun_MortChild,G153)/4*Q153</x:f>
        <x:v>0.8802540733852012</x:v>
      </x:c>
      <x:c r="T153" s="9" t="n">
        <x:f>H153*Z152*INDEX(tun_MortAdult,G153)*Arch_AdultMort/4*Q153</x:f>
        <x:v>0.1823971481182845</x:v>
      </x:c>
      <x:c r="U153" s="9" t="n">
        <x:f>H153*AA152*INDEX(tun_MortElder,G153)/4*Q153</x:f>
        <x:v>0.224732655155766</x:v>
      </x:c>
      <x:c r="V153" s="9" t="n">
        <x:f>H153*MAX(0,AB152-O153)*tun_OvercapLoss</x:f>
        <x:v>0</x:v>
      </x:c>
      <x:c r="W153" s="9" t="n">
        <x:f>H153*Y152/(tun_ChildYears*4)</x:f>
        <x:v>1.849273263414288</x:v>
      </x:c>
      <x:c r="X153" s="9" t="n">
        <x:f>H153*Z152/(tun_AdultYears*4)</x:f>
        <x:v>0.534888997414324</x:v>
      </x:c>
      <x:c r="Y153" s="32" t="n">
        <x:f>Y152+R153-S153-W153-Y152*V153/AB152</x:f>
        <x:v>105.64949759390508</x:v>
      </x:c>
      <x:c r="Z153" s="32" t="n">
        <x:f>Z152+W153-X153-T153-Z152*V153/AB152</x:f>
        <x:v>67.45822279725786</x:v>
      </x:c>
      <x:c r="AA153" s="32" t="n">
        <x:f>AA152+X153-U153-AA152*V153/AB152</x:f>
        <x:v>16.654349444496084</x:v>
      </x:c>
      <x:c r="AB153" s="10" t="n">
        <x:f>Y153+Z153+AA153</x:f>
        <x:v>189.76206983565905</x:v>
      </x:c>
      <x:c r="AC153" s="8" t="n">
        <x:f>IF(AND(tun_WinterTrigger=1,D153=1,AB152/AE152&gt;=K153),1,0)</x:f>
        <x:v>0</x:v>
      </x:c>
      <x:c r="AD153" s="8" t="n">
        <x:f>H153*IF(AND(OR(AB152/AE152&gt;=tun_FissionTrigger*N153,AC153=1),AB152/AE152*tun_DaughterShare&gt;=tun_MinDaughter),MAX(1,ROUND(AE152*tun_FissionRate,0)),0)</x:f>
        <x:v>0</x:v>
      </x:c>
      <x:c r="AE153" s="8" t="n">
        <x:f>IF(H153=1,MAX(1,MIN(INDEX(tun_Smax,G153),AE152+AD153)),AE152)</x:f>
        <x:v>2</x:v>
      </x:c>
      <x:c r="AF153" s="8" t="n">
        <x:f>MAX(0,AE153-AE152)</x:f>
        <x:v>0</x:v>
      </x:c>
      <x:c r="AG153" s="9" t="str">
        <x:f>IF(AF153&gt;0,B153,"")</x:f>
      </x:c>
      <x:c r="AH153" s="9" t="n">
        <x:f>IF(F153&gt;=1,1,(1+tun_LowTiesShare*(AE153-1))/AE153)</x:f>
        <x:v>1</x:v>
      </x:c>
      <x:c r="AI153" s="32" t="n">
        <x:f>(Z153+tun_ElderCommons*INDEX(LM_Elder,G153)*AA153)*AH153</x:f>
        <x:v>117.4212711307461</x:v>
      </x:c>
      <x:c r="AJ153" s="32" t="n">
        <x:f>H153*tun_CommonsCoef*AI153^tun_CommonsExp*INDEX(LM_Commons,G153)</x:f>
        <x:v>303.33231763704526</x:v>
      </x:c>
      <x:c r="AK153" s="32" t="n">
        <x:f>H153*tun_RoleScale*Arch_Roles*(AE153*(INDEX(tun_ElderRolePerSett,G153)*tun_OutElder*INDEX(LM_Elder,G153)+INDEX(tun_ShamanPerSett,G153)*tun_OutShaman)+Z153*(INDEX(tun_PriestShare,G153)*tun_OutPriest+INDEX(tun_ScribeShare,G153)*tun_OutScribe*INDEX(LM_Scribe,G153)+INDEX(tun_ScholarShare,G153)*tun_OutScholar*INDEX(LM_Scholar,G153)+INDEX(tun_ResearcherShare,G153)*tun_OutResearcher*INDEX(LM_Researcher,G153)))</x:f>
        <x:v>51.77766047664644</x:v>
      </x:c>
      <x:c r="AL153" s="32" t="n">
        <x:f>H153*tun_RoleScale*Arch_Roles*AE153*INDEX(tun_MonasteryPerSett,G153)*tun_OutMonastery*INDEX(LM_Monastery,G153)</x:f>
        <x:v>0</x:v>
      </x:c>
      <x:c r="AM153" s="32" t="n">
        <x:f>(AJ153+AK153+AL153)/4*INDEX(LM_All,G153)*INDEX(tun_Boon,G153)*Arch_Insight</x:f>
        <x:v>95.60365156864741</x:v>
      </x:c>
      <x:c r="AN153" s="32" t="n">
        <x:f>H153*(tun_KHPerAdult*Z153+tun_KHOfCommons*AJ153/4*INDEX(LM_All,G153))*tun_KHUsable*Arch_KH</x:f>
        <x:v>18.579104455269018</x:v>
      </x:c>
      <x:c r="AO153" s="32" t="n">
        <x:f>MIN(AP152+AN153,AM153*tun_KHMaxRatio)</x:f>
        <x:v>18.579104455269018</x:v>
      </x:c>
      <x:c r="AP153" s="32" t="n">
        <x:f>AP152+AN153-AO153</x:f>
        <x:v>0</x:v>
      </x:c>
      <x:c r="AQ153" s="32" t="n">
        <x:f>AM153+AO153</x:f>
        <x:v>114.18275602391643</x:v>
      </x:c>
      <x:c r="AR153" s="10" t="n">
        <x:f>IF(H153=1,INDEX(tun_Req,G153),0)</x:f>
        <x:v>5252.7422</x:v>
      </x:c>
      <x:c r="AS153" s="32" t="n">
        <x:f>IF(H153=1,IF(E153=1,AS152-AR152,AS152)+AQ153,0)</x:f>
        <x:v>2331.6592147550655</x:v>
      </x:c>
      <x:c r="AT153" s="11" t="n">
        <x:f>IF(AR153&gt;0,MIN(1,AS153/AR153),1)</x:f>
        <x:v>0.4438937084624229</x:v>
      </x:c>
      <x:c r="AU153" s="10" t="n">
        <x:f>AB153/INDEX(tun_RepScale,G153)</x:f>
        <x:v>189.76206983565905</x:v>
      </x:c>
      <x:c r="AV153" s="32" t="n">
        <x:f>AM153*60/tun_SeasonSeconds</x:f>
        <x:v>382.41460627458963</x:v>
      </x:c>
    </x:row>
    <x:row r="154">
      <x:c r="A154" s="8" t="n">
        <x:f>A153+1</x:f>
        <x:v>151</x:v>
      </x:c>
      <x:c r="B154" s="9" t="n">
        <x:f>A154*tun_SeasonSeconds/60</x:f>
        <x:v>37.75</x:v>
      </x:c>
      <x:c r="C154" s="9" t="n">
        <x:f>A154/4</x:f>
        <x:v>37.75</x:v>
      </x:c>
      <x:c r="D154" s="8" t="n">
        <x:f>IF(MOD(A154,4)=0,1,0)</x:f>
        <x:v>0</x:v>
      </x:c>
      <x:c r="E154" s="8" t="n">
        <x:f>IF(AND(F153&lt;=9,AS153&gt;=AR153),1,0)</x:f>
        <x:v>0</x:v>
      </x:c>
      <x:c r="F154" s="8" t="n">
        <x:f>MIN(10,F153+E154)</x:f>
        <x:v>3</x:v>
      </x:c>
      <x:c r="G154" s="8" t="n">
        <x:f>MIN(F154,9)+1</x:f>
        <x:v>4</x:v>
      </x:c>
      <x:c r="H154" s="8" t="n">
        <x:f>IF(F154&lt;=9,1,0)</x:f>
        <x:v>1</x:v>
      </x:c>
      <x:c r="I154" s="9" t="n">
        <x:f>MIN(10,F153+IF(AR153&gt;0,MIN(1,AS153/AR153),1))</x:f>
        <x:v>3.443893708462423</x:v>
      </x:c>
      <x:c r="J154" s="32" t="n">
        <x:f>INDEX(tun_FoodCap,G154)*Arch_FoodCap*EXP(tun_CapsByProject*SUMPRODUCT((Cap_Point&lt;=I154)*(Cap_Kind="Food")*Cap_Ln))</x:f>
        <x:v>135.4302204574798</x:v>
      </x:c>
      <x:c r="K154" s="32" t="n">
        <x:f>J154*MIN(1,tun_LeanBase*EXP(tun_CapsByProject*SUMPRODUCT((Cap_Point&lt;=I154)*(Cap_Kind="Lean")*Cap_Ln)))</x:f>
        <x:v>135.4302204574798</x:v>
      </x:c>
      <x:c r="L154" s="10" t="n">
        <x:f>INDEX(tun_HousingCap,G154)*EXP(tun_CapsByProject*SUMPRODUCT((Cap_Point&lt;=I154)*(Cap_Kind="Housing")*Cap_Ln))</x:f>
        <x:v>592.3124999999999</x:v>
      </x:c>
      <x:c r="M154" s="10" t="n">
        <x:f>INDEX(tun_GroupCap,G154)*tun_CohesionFactor*EXP(tun_CapsByProject*SUMPRODUCT((Cap_Point&lt;=I154)*(Cap_Kind="Group")*Cap_Ln))</x:f>
        <x:v>2000.0000000000011</x:v>
      </x:c>
      <x:c r="N154" s="32" t="n">
        <x:f>MIN(J154,L154,M154)</x:f>
        <x:v>135.4302204574798</x:v>
      </x:c>
      <x:c r="O154" s="10" t="n">
        <x:f>AE153*N154</x:f>
        <x:v>270.8604409149596</x:v>
      </x:c>
      <x:c r="P154" s="9" t="n">
        <x:f>MIN(1,(AB153/(AE153*IF(tun_GroupInCrowding=1,N154,MIN(J154,L154))))^tun_CrowdingExp)</x:f>
        <x:v>0.11824504917164069</x:v>
      </x:c>
      <x:c r="Q154" s="9" t="n">
        <x:f>IF(D154=1,INDEX(tun_WinterMult,G154),1)</x:f>
        <x:v>1</x:v>
      </x:c>
      <x:c r="R154" s="9" t="n">
        <x:f>H154*Z153*tun_WomenShare*tun_BaseFertility*INDEX(tun_FertMult,G154)*Arch_Fertility*(1-P154)</x:f>
        <x:v>4.832881781452125</x:v>
      </x:c>
      <x:c r="S154" s="9" t="n">
        <x:f>H154*Y153*INDEX(tun_MortChild,G154)/4*Q154</x:f>
        <x:v>0.8980207295481932</x:v>
      </x:c>
      <x:c r="T154" s="9" t="n">
        <x:f>H154*Z153*INDEX(tun_MortAdult,G154)*Arch_AdultMort/4*Q154</x:f>
        <x:v>0.1855101126924591</x:v>
      </x:c>
      <x:c r="U154" s="9" t="n">
        <x:f>H154*AA153*INDEX(tun_MortElder,G154)/4*Q154</x:f>
        <x:v>0.22899730486182115</x:v>
      </x:c>
      <x:c r="V154" s="9" t="n">
        <x:f>H154*MAX(0,AB153-O154)*tun_OvercapLoss</x:f>
        <x:v>0</x:v>
      </x:c>
      <x:c r="W154" s="9" t="n">
        <x:f>H154*Y153/(tun_ChildYears*4)</x:f>
        <x:v>1.8865981713197335</x:v>
      </x:c>
      <x:c r="X154" s="9" t="n">
        <x:f>H154*Z153/(tun_AdultYears*4)</x:f>
        <x:v>0.5440179257843376</x:v>
      </x:c>
      <x:c r="Y154" s="32" t="n">
        <x:f>Y153+R154-S154-W154-Y153*V154/AB153</x:f>
        <x:v>107.69776047448929</x:v>
      </x:c>
      <x:c r="Z154" s="32" t="n">
        <x:f>Z153+W154-X154-T154-Z153*V154/AB153</x:f>
        <x:v>68.61529293010081</x:v>
      </x:c>
      <x:c r="AA154" s="32" t="n">
        <x:f>AA153+X154-U154-AA153*V154/AB153</x:f>
        <x:v>16.9693700654186</x:v>
      </x:c>
      <x:c r="AB154" s="10" t="n">
        <x:f>Y154+Z154+AA154</x:f>
        <x:v>193.28242347000872</x:v>
      </x:c>
      <x:c r="AC154" s="8" t="n">
        <x:f>IF(AND(tun_WinterTrigger=1,D154=1,AB153/AE153&gt;=K154),1,0)</x:f>
        <x:v>0</x:v>
      </x:c>
      <x:c r="AD154" s="8" t="n">
        <x:f>H154*IF(AND(OR(AB153/AE153&gt;=tun_FissionTrigger*N154,AC154=1),AB153/AE153*tun_DaughterShare&gt;=tun_MinDaughter),MAX(1,ROUND(AE153*tun_FissionRate,0)),0)</x:f>
        <x:v>0</x:v>
      </x:c>
      <x:c r="AE154" s="8" t="n">
        <x:f>IF(H154=1,MAX(1,MIN(INDEX(tun_Smax,G154),AE153+AD154)),AE153)</x:f>
        <x:v>2</x:v>
      </x:c>
      <x:c r="AF154" s="8" t="n">
        <x:f>MAX(0,AE154-AE153)</x:f>
        <x:v>0</x:v>
      </x:c>
      <x:c r="AG154" s="9" t="str">
        <x:f>IF(AF154&gt;0,B154,"")</x:f>
      </x:c>
      <x:c r="AH154" s="9" t="n">
        <x:f>IF(F154&gt;=1,1,(1+tun_LowTiesShare*(AE154-1))/AE154)</x:f>
        <x:v>1</x:v>
      </x:c>
      <x:c r="AI154" s="32" t="n">
        <x:f>(Z154+tun_ElderCommons*INDEX(LM_Elder,G154)*AA154)*AH154</x:f>
        <x:v>119.52340312635661</x:v>
      </x:c>
      <x:c r="AJ154" s="32" t="n">
        <x:f>H154*tun_CommonsCoef*AI154^tun_CommonsExp*INDEX(LM_Commons,G154)</x:f>
        <x:v>307.94200285941616</x:v>
      </x:c>
      <x:c r="AK154" s="32" t="n">
        <x:f>H154*tun_RoleScale*Arch_Roles*(AE154*(INDEX(tun_ElderRolePerSett,G154)*tun_OutElder*INDEX(LM_Elder,G154)+INDEX(tun_ShamanPerSett,G154)*tun_OutShaman)+Z154*(INDEX(tun_PriestShare,G154)*tun_OutPriest+INDEX(tun_ScribeShare,G154)*tun_OutScribe*INDEX(LM_Scribe,G154)+INDEX(tun_ScholarShare,G154)*tun_OutScholar*INDEX(LM_Scholar,G154)+INDEX(tun_ResearcherShare,G154)*tun_OutResearcher*INDEX(LM_Researcher,G154)))</x:f>
        <x:v>51.842456404085645</x:v>
      </x:c>
      <x:c r="AL154" s="32" t="n">
        <x:f>H154*tun_RoleScale*Arch_Roles*AE154*INDEX(tun_MonasteryPerSett,G154)*tun_OutMonastery*INDEX(LM_Monastery,G154)</x:f>
        <x:v>0</x:v>
      </x:c>
      <x:c r="AM154" s="32" t="n">
        <x:f>(AJ154+AK154+AL154)/4*INDEX(LM_All,G154)*INDEX(tun_Boon,G154)*Arch_Insight</x:f>
        <x:v>96.86212780038984</x:v>
      </x:c>
      <x:c r="AN154" s="32" t="n">
        <x:f>H154*(tun_KHPerAdult*Z154+tun_KHOfCommons*AJ154/4*INDEX(LM_All,G154))*tun_KHUsable*Arch_KH</x:f>
        <x:v>18.86144767513924</x:v>
      </x:c>
      <x:c r="AO154" s="32" t="n">
        <x:f>MIN(AP153+AN154,AM154*tun_KHMaxRatio)</x:f>
        <x:v>18.86144767513924</x:v>
      </x:c>
      <x:c r="AP154" s="32" t="n">
        <x:f>AP153+AN154-AO154</x:f>
        <x:v>0</x:v>
      </x:c>
      <x:c r="AQ154" s="32" t="n">
        <x:f>AM154+AO154</x:f>
        <x:v>115.72357547552909</x:v>
      </x:c>
      <x:c r="AR154" s="10" t="n">
        <x:f>IF(H154=1,INDEX(tun_Req,G154),0)</x:f>
        <x:v>5252.7422</x:v>
      </x:c>
      <x:c r="AS154" s="32" t="n">
        <x:f>IF(H154=1,IF(E154=1,AS153-AR153,AS153)+AQ154,0)</x:f>
        <x:v>2447.3827902305948</x:v>
      </x:c>
      <x:c r="AT154" s="11" t="n">
        <x:f>IF(AR154&gt;0,MIN(1,AS154/AR154),1)</x:f>
        <x:v>0.4659247869104627</x:v>
      </x:c>
      <x:c r="AU154" s="10" t="n">
        <x:f>AB154/INDEX(tun_RepScale,G154)</x:f>
        <x:v>193.28242347000872</x:v>
      </x:c>
      <x:c r="AV154" s="32" t="n">
        <x:f>AM154*60/tun_SeasonSeconds</x:f>
        <x:v>387.44851120155937</x:v>
      </x:c>
    </x:row>
    <x:row r="155">
      <x:c r="A155" s="8" t="n">
        <x:f>A154+1</x:f>
        <x:v>152</x:v>
      </x:c>
      <x:c r="B155" s="9" t="n">
        <x:f>A155*tun_SeasonSeconds/60</x:f>
        <x:v>38</x:v>
      </x:c>
      <x:c r="C155" s="9" t="n">
        <x:f>A155/4</x:f>
        <x:v>38</x:v>
      </x:c>
      <x:c r="D155" s="8" t="n">
        <x:f>IF(MOD(A155,4)=0,1,0)</x:f>
        <x:v>1</x:v>
      </x:c>
      <x:c r="E155" s="8" t="n">
        <x:f>IF(AND(F154&lt;=9,AS154&gt;=AR154),1,0)</x:f>
        <x:v>0</x:v>
      </x:c>
      <x:c r="F155" s="8" t="n">
        <x:f>MIN(10,F154+E155)</x:f>
        <x:v>3</x:v>
      </x:c>
      <x:c r="G155" s="8" t="n">
        <x:f>MIN(F155,9)+1</x:f>
        <x:v>4</x:v>
      </x:c>
      <x:c r="H155" s="8" t="n">
        <x:f>IF(F155&lt;=9,1,0)</x:f>
        <x:v>1</x:v>
      </x:c>
      <x:c r="I155" s="9" t="n">
        <x:f>MIN(10,F154+IF(AR154&gt;0,MIN(1,AS154/AR154),1))</x:f>
        <x:v>3.465924786910463</x:v>
      </x:c>
      <x:c r="J155" s="32" t="n">
        <x:f>INDEX(tun_FoodCap,G155)*Arch_FoodCap*EXP(tun_CapsByProject*SUMPRODUCT((Cap_Point&lt;=I155)*(Cap_Kind="Food")*Cap_Ln))</x:f>
        <x:v>135.4302204574798</x:v>
      </x:c>
      <x:c r="K155" s="32" t="n">
        <x:f>J155*MIN(1,tun_LeanBase*EXP(tun_CapsByProject*SUMPRODUCT((Cap_Point&lt;=I155)*(Cap_Kind="Lean")*Cap_Ln)))</x:f>
        <x:v>135.4302204574798</x:v>
      </x:c>
      <x:c r="L155" s="10" t="n">
        <x:f>INDEX(tun_HousingCap,G155)*EXP(tun_CapsByProject*SUMPRODUCT((Cap_Point&lt;=I155)*(Cap_Kind="Housing")*Cap_Ln))</x:f>
        <x:v>592.3124999999999</x:v>
      </x:c>
      <x:c r="M155" s="10" t="n">
        <x:f>INDEX(tun_GroupCap,G155)*tun_CohesionFactor*EXP(tun_CapsByProject*SUMPRODUCT((Cap_Point&lt;=I155)*(Cap_Kind="Group")*Cap_Ln))</x:f>
        <x:v>2000.0000000000011</x:v>
      </x:c>
      <x:c r="N155" s="32" t="n">
        <x:f>MIN(J155,L155,M155)</x:f>
        <x:v>135.4302204574798</x:v>
      </x:c>
      <x:c r="O155" s="10" t="n">
        <x:f>AE154*N155</x:f>
        <x:v>270.8604409149596</x:v>
      </x:c>
      <x:c r="P155" s="9" t="n">
        <x:f>MIN(1,(AB154/(AE154*IF(tun_GroupInCrowding=1,N155,MIN(J155,L155))))^tun_CrowdingExp)</x:f>
        <x:v>0.1320324516923212</x:v>
      </x:c>
      <x:c r="Q155" s="9" t="n">
        <x:f>IF(D155=1,INDEX(tun_WinterMult,G155),1)</x:f>
        <x:v>1.25</x:v>
      </x:c>
      <x:c r="R155" s="9" t="n">
        <x:f>H155*Z154*tun_WomenShare*tun_BaseFertility*INDEX(tun_FertMult,G155)*Arch_Fertility*(1-P155)</x:f>
        <x:v>4.838912615952416</x:v>
      </x:c>
      <x:c r="S155" s="9" t="n">
        <x:f>H155*Y154*INDEX(tun_MortChild,G155)/4*Q155</x:f>
        <x:v>1.1442887050414488</x:v>
      </x:c>
      <x:c r="T155" s="9" t="n">
        <x:f>H155*Z154*INDEX(tun_MortAdult,G155)*Arch_AdultMort/4*Q155</x:f>
        <x:v>0.23586506944722152</x:v>
      </x:c>
      <x:c r="U155" s="9" t="n">
        <x:f>H155*AA154*INDEX(tun_MortElder,G155)/4*Q155</x:f>
        <x:v>0.2916610479993822</x:v>
      </x:c>
      <x:c r="V155" s="9" t="n">
        <x:f>H155*MAX(0,AB154-O155)*tun_OvercapLoss</x:f>
        <x:v>0</x:v>
      </x:c>
      <x:c r="W155" s="9" t="n">
        <x:f>H155*Y154/(tun_ChildYears*4)</x:f>
        <x:v>1.9231742941873087</x:v>
      </x:c>
      <x:c r="X155" s="9" t="n">
        <x:f>H155*Z154/(tun_AdultYears*4)</x:f>
        <x:v>0.553349136533071</x:v>
      </x:c>
      <x:c r="Y155" s="32" t="n">
        <x:f>Y154+R155-S155-W155-Y154*V155/AB154</x:f>
        <x:v>109.46921009121294</x:v>
      </x:c>
      <x:c r="Z155" s="32" t="n">
        <x:f>Z154+W155-X155-T155-Z154*V155/AB154</x:f>
        <x:v>69.74925301830783</x:v>
      </x:c>
      <x:c r="AA155" s="32" t="n">
        <x:f>AA154+X155-U155-AA154*V155/AB154</x:f>
        <x:v>17.23105815395229</x:v>
      </x:c>
      <x:c r="AB155" s="10" t="n">
        <x:f>Y155+Z155+AA155</x:f>
        <x:v>196.44952126347306</x:v>
      </x:c>
      <x:c r="AC155" s="8" t="n">
        <x:f>IF(AND(tun_WinterTrigger=1,D155=1,AB154/AE154&gt;=K155),1,0)</x:f>
        <x:v>0</x:v>
      </x:c>
      <x:c r="AD155" s="8" t="n">
        <x:f>H155*IF(AND(OR(AB154/AE154&gt;=tun_FissionTrigger*N155,AC155=1),AB154/AE154*tun_DaughterShare&gt;=tun_MinDaughter),MAX(1,ROUND(AE154*tun_FissionRate,0)),0)</x:f>
        <x:v>0</x:v>
      </x:c>
      <x:c r="AE155" s="8" t="n">
        <x:f>IF(H155=1,MAX(1,MIN(INDEX(tun_Smax,G155),AE154+AD155)),AE154)</x:f>
        <x:v>2</x:v>
      </x:c>
      <x:c r="AF155" s="8" t="n">
        <x:f>MAX(0,AE155-AE154)</x:f>
        <x:v>0</x:v>
      </x:c>
      <x:c r="AG155" s="9" t="str">
        <x:f>IF(AF155&gt;0,B155,"")</x:f>
      </x:c>
      <x:c r="AH155" s="9" t="n">
        <x:f>IF(F155&gt;=1,1,(1+tun_LowTiesShare*(AE155-1))/AE155)</x:f>
        <x:v>1</x:v>
      </x:c>
      <x:c r="AI155" s="32" t="n">
        <x:f>(Z155+tun_ElderCommons*INDEX(LM_Elder,G155)*AA155)*AH155</x:f>
        <x:v>121.4424274801647</x:v>
      </x:c>
      <x:c r="AJ155" s="32" t="n">
        <x:f>H155*tun_CommonsCoef*AI155^tun_CommonsExp*INDEX(LM_Commons,G155)</x:f>
        <x:v>312.13954733371213</x:v>
      </x:c>
      <x:c r="AK155" s="32" t="n">
        <x:f>H155*tun_RoleScale*Arch_Roles*(AE155*(INDEX(tun_ElderRolePerSett,G155)*tun_OutElder*INDEX(LM_Elder,G155)+INDEX(tun_ShamanPerSett,G155)*tun_OutShaman)+Z155*(INDEX(tun_PriestShare,G155)*tun_OutPriest+INDEX(tun_ScribeShare,G155)*tun_OutScribe*INDEX(LM_Scribe,G155)+INDEX(tun_ScholarShare,G155)*tun_OutScholar*INDEX(LM_Scholar,G155)+INDEX(tun_ResearcherShare,G155)*tun_OutResearcher*INDEX(LM_Researcher,G155)))</x:f>
        <x:v>51.90595816902524</x:v>
      </x:c>
      <x:c r="AL155" s="32" t="n">
        <x:f>H155*tun_RoleScale*Arch_Roles*AE155*INDEX(tun_MonasteryPerSett,G155)*tun_OutMonastery*INDEX(LM_Monastery,G155)</x:f>
        <x:v>0</x:v>
      </x:c>
      <x:c r="AM155" s="32" t="n">
        <x:f>(AJ155+AK155+AL155)/4*INDEX(LM_All,G155)*INDEX(tun_Boon,G155)*Arch_Insight</x:f>
        <x:v>98.0092979873209</x:v>
      </x:c>
      <x:c r="AN155" s="32" t="n">
        <x:f>H155*(tun_KHPerAdult*Z155+tun_KHOfCommons*AJ155/4*INDEX(LM_All,G155))*tun_KHUsable*Arch_KH</x:f>
        <x:v>19.118547274189865</x:v>
      </x:c>
      <x:c r="AO155" s="32" t="n">
        <x:f>MIN(AP154+AN155,AM155*tun_KHMaxRatio)</x:f>
        <x:v>19.118547274189865</x:v>
      </x:c>
      <x:c r="AP155" s="32" t="n">
        <x:f>AP154+AN155-AO155</x:f>
        <x:v>0</x:v>
      </x:c>
      <x:c r="AQ155" s="32" t="n">
        <x:f>AM155+AO155</x:f>
        <x:v>117.12784526151077</x:v>
      </x:c>
      <x:c r="AR155" s="10" t="n">
        <x:f>IF(H155=1,INDEX(tun_Req,G155),0)</x:f>
        <x:v>5252.7422</x:v>
      </x:c>
      <x:c r="AS155" s="32" t="n">
        <x:f>IF(H155=1,IF(E155=1,AS154-AR154,AS154)+AQ155,0)</x:f>
        <x:v>2564.5106354921054</x:v>
      </x:c>
      <x:c r="AT155" s="11" t="n">
        <x:f>IF(AR155&gt;0,MIN(1,AS155/AR155),1)</x:f>
        <x:v>0.4882232056795221</x:v>
      </x:c>
      <x:c r="AU155" s="10" t="n">
        <x:f>AB155/INDEX(tun_RepScale,G155)</x:f>
        <x:v>196.44952126347306</x:v>
      </x:c>
      <x:c r="AV155" s="32" t="n">
        <x:f>AM155*60/tun_SeasonSeconds</x:f>
        <x:v>392.0371919492836</x:v>
      </x:c>
    </x:row>
    <x:row r="156">
      <x:c r="A156" s="8" t="n">
        <x:f>A155+1</x:f>
        <x:v>153</x:v>
      </x:c>
      <x:c r="B156" s="9" t="n">
        <x:f>A156*tun_SeasonSeconds/60</x:f>
        <x:v>38.25</x:v>
      </x:c>
      <x:c r="C156" s="9" t="n">
        <x:f>A156/4</x:f>
        <x:v>38.25</x:v>
      </x:c>
      <x:c r="D156" s="8" t="n">
        <x:f>IF(MOD(A156,4)=0,1,0)</x:f>
        <x:v>0</x:v>
      </x:c>
      <x:c r="E156" s="8" t="n">
        <x:f>IF(AND(F155&lt;=9,AS155&gt;=AR155),1,0)</x:f>
        <x:v>0</x:v>
      </x:c>
      <x:c r="F156" s="8" t="n">
        <x:f>MIN(10,F155+E156)</x:f>
        <x:v>3</x:v>
      </x:c>
      <x:c r="G156" s="8" t="n">
        <x:f>MIN(F156,9)+1</x:f>
        <x:v>4</x:v>
      </x:c>
      <x:c r="H156" s="8" t="n">
        <x:f>IF(F156&lt;=9,1,0)</x:f>
        <x:v>1</x:v>
      </x:c>
      <x:c r="I156" s="9" t="n">
        <x:f>MIN(10,F155+IF(AR155&gt;0,MIN(1,AS155/AR155),1))</x:f>
        <x:v>3.488223205679522</x:v>
      </x:c>
      <x:c r="J156" s="32" t="n">
        <x:f>INDEX(tun_FoodCap,G156)*Arch_FoodCap*EXP(tun_CapsByProject*SUMPRODUCT((Cap_Point&lt;=I156)*(Cap_Kind="Food")*Cap_Ln))</x:f>
        <x:v>135.4302204574798</x:v>
      </x:c>
      <x:c r="K156" s="32" t="n">
        <x:f>J156*MIN(1,tun_LeanBase*EXP(tun_CapsByProject*SUMPRODUCT((Cap_Point&lt;=I156)*(Cap_Kind="Lean")*Cap_Ln)))</x:f>
        <x:v>135.4302204574798</x:v>
      </x:c>
      <x:c r="L156" s="10" t="n">
        <x:f>INDEX(tun_HousingCap,G156)*EXP(tun_CapsByProject*SUMPRODUCT((Cap_Point&lt;=I156)*(Cap_Kind="Housing")*Cap_Ln))</x:f>
        <x:v>592.3124999999999</x:v>
      </x:c>
      <x:c r="M156" s="10" t="n">
        <x:f>INDEX(tun_GroupCap,G156)*tun_CohesionFactor*EXP(tun_CapsByProject*SUMPRODUCT((Cap_Point&lt;=I156)*(Cap_Kind="Group")*Cap_Ln))</x:f>
        <x:v>2000.0000000000011</x:v>
      </x:c>
      <x:c r="N156" s="32" t="n">
        <x:f>MIN(J156,L156,M156)</x:f>
        <x:v>135.4302204574798</x:v>
      </x:c>
      <x:c r="O156" s="10" t="n">
        <x:f>AE155*N156</x:f>
        <x:v>270.8604409149596</x:v>
      </x:c>
      <x:c r="P156" s="9" t="n">
        <x:f>MIN(1,(AB155/(AE155*IF(tun_GroupInCrowding=1,N156,MIN(J156,L156))))^tun_CrowdingExp)</x:f>
        <x:v>0.14555675408625962</x:v>
      </x:c>
      <x:c r="Q156" s="9" t="n">
        <x:f>IF(D156=1,INDEX(tun_WinterMult,G156),1)</x:f>
        <x:v>1</x:v>
      </x:c>
      <x:c r="R156" s="9" t="n">
        <x:f>H156*Z155*tun_WomenShare*tun_BaseFertility*INDEX(tun_FertMult,G156)*Arch_Fertility*(1-P156)</x:f>
        <x:v>4.842238224608012</x:v>
      </x:c>
      <x:c r="S156" s="9" t="n">
        <x:f>H156*Y155*INDEX(tun_MortChild,G156)/4*Q156</x:f>
        <x:v>0.9304882857753101</x:v>
      </x:c>
      <x:c r="T156" s="9" t="n">
        <x:f>H156*Z155*INDEX(tun_MortAdult,G156)*Arch_AdultMort/4*Q156</x:f>
        <x:v>0.1918104458003465</x:v>
      </x:c>
      <x:c r="U156" s="9" t="n">
        <x:f>H156*AA155*INDEX(tun_MortElder,G156)/4*Q156</x:f>
        <x:v>0.236927049616844</x:v>
      </x:c>
      <x:c r="V156" s="9" t="n">
        <x:f>H156*MAX(0,AB155-O156)*tun_OvercapLoss</x:f>
        <x:v>0</x:v>
      </x:c>
      <x:c r="W156" s="9" t="n">
        <x:f>H156*Y155/(tun_ChildYears*4)</x:f>
        <x:v>1.954807323057374</x:v>
      </x:c>
      <x:c r="X156" s="9" t="n">
        <x:f>H156*Z155/(tun_AdultYears*4)</x:f>
        <x:v>0.5624939759540953</x:v>
      </x:c>
      <x:c r="Y156" s="32" t="n">
        <x:f>Y155+R156-S156-W156-Y155*V156/AB155</x:f>
        <x:v>111.42615270698826</x:v>
      </x:c>
      <x:c r="Z156" s="32" t="n">
        <x:f>Z155+W156-X156-T156-Z155*V156/AB155</x:f>
        <x:v>70.94975591961077</x:v>
      </x:c>
      <x:c r="AA156" s="32" t="n">
        <x:f>AA155+X156-U156-AA155*V156/AB155</x:f>
        <x:v>17.55662508028954</x:v>
      </x:c>
      <x:c r="AB156" s="10" t="n">
        <x:f>Y156+Z156+AA156</x:f>
        <x:v>199.93253370688856</x:v>
      </x:c>
      <x:c r="AC156" s="8" t="n">
        <x:f>IF(AND(tun_WinterTrigger=1,D156=1,AB155/AE155&gt;=K156),1,0)</x:f>
        <x:v>0</x:v>
      </x:c>
      <x:c r="AD156" s="8" t="n">
        <x:f>H156*IF(AND(OR(AB155/AE155&gt;=tun_FissionTrigger*N156,AC156=1),AB155/AE155*tun_DaughterShare&gt;=tun_MinDaughter),MAX(1,ROUND(AE155*tun_FissionRate,0)),0)</x:f>
        <x:v>0</x:v>
      </x:c>
      <x:c r="AE156" s="8" t="n">
        <x:f>IF(H156=1,MAX(1,MIN(INDEX(tun_Smax,G156),AE155+AD156)),AE155)</x:f>
        <x:v>2</x:v>
      </x:c>
      <x:c r="AF156" s="8" t="n">
        <x:f>MAX(0,AE156-AE155)</x:f>
        <x:v>0</x:v>
      </x:c>
      <x:c r="AG156" s="9" t="str">
        <x:f>IF(AF156&gt;0,B156,"")</x:f>
      </x:c>
      <x:c r="AH156" s="9" t="n">
        <x:f>IF(F156&gt;=1,1,(1+tun_LowTiesShare*(AE156-1))/AE156)</x:f>
        <x:v>1</x:v>
      </x:c>
      <x:c r="AI156" s="32" t="n">
        <x:f>(Z156+tun_ElderCommons*INDEX(LM_Elder,G156)*AA156)*AH156</x:f>
        <x:v>123.61963116047939</x:v>
      </x:c>
      <x:c r="AJ156" s="32" t="n">
        <x:f>H156*tun_CommonsCoef*AI156^tun_CommonsExp*INDEX(LM_Commons,G156)</x:f>
        <x:v>316.88979202525593</x:v>
      </x:c>
      <x:c r="AK156" s="32" t="n">
        <x:f>H156*tun_RoleScale*Arch_Roles*(AE156*(INDEX(tun_ElderRolePerSett,G156)*tun_OutElder*INDEX(LM_Elder,G156)+INDEX(tun_ShamanPerSett,G156)*tun_OutShaman)+Z156*(INDEX(tun_PriestShare,G156)*tun_OutPriest+INDEX(tun_ScribeShare,G156)*tun_OutScribe*INDEX(LM_Scribe,G156)+INDEX(tun_ScholarShare,G156)*tun_OutScholar*INDEX(LM_Scholar,G156)+INDEX(tun_ResearcherShare,G156)*tun_OutResearcher*INDEX(LM_Researcher,G156)))</x:f>
        <x:v>51.973186331498205</x:v>
      </x:c>
      <x:c r="AL156" s="32" t="n">
        <x:f>H156*tun_RoleScale*Arch_Roles*AE156*INDEX(tun_MonasteryPerSett,G156)*tun_OutMonastery*INDEX(LM_Monastery,G156)</x:f>
        <x:v>0</x:v>
      </x:c>
      <x:c r="AM156" s="32" t="n">
        <x:f>(AJ156+AK156+AL156)/4*INDEX(LM_All,G156)*INDEX(tun_Boon,G156)*Arch_Insight</x:f>
        <x:v>99.30627082549158</x:v>
      </x:c>
      <x:c r="AN156" s="32" t="n">
        <x:f>H156*(tun_KHPerAdult*Z156+tun_KHOfCommons*AJ156/4*INDEX(LM_All,G156))*tun_KHUsable*Arch_KH</x:f>
        <x:v>19.409499761546922</x:v>
      </x:c>
      <x:c r="AO156" s="32" t="n">
        <x:f>MIN(AP155+AN156,AM156*tun_KHMaxRatio)</x:f>
        <x:v>19.409499761546922</x:v>
      </x:c>
      <x:c r="AP156" s="32" t="n">
        <x:f>AP155+AN156-AO156</x:f>
        <x:v>0</x:v>
      </x:c>
      <x:c r="AQ156" s="32" t="n">
        <x:f>AM156+AO156</x:f>
        <x:v>118.7157705870385</x:v>
      </x:c>
      <x:c r="AR156" s="10" t="n">
        <x:f>IF(H156=1,INDEX(tun_Req,G156),0)</x:f>
        <x:v>5252.7422</x:v>
      </x:c>
      <x:c r="AS156" s="32" t="n">
        <x:f>IF(H156=1,IF(E156=1,AS155-AR155,AS155)+AQ156,0)</x:f>
        <x:v>2683.226406079144</x:v>
      </x:c>
      <x:c r="AT156" s="11" t="n">
        <x:f>IF(AR156&gt;0,MIN(1,AS156/AR156),1)</x:f>
        <x:v>0.5108239285147373</x:v>
      </x:c>
      <x:c r="AU156" s="10" t="n">
        <x:f>AB156/INDEX(tun_RepScale,G156)</x:f>
        <x:v>199.93253370688856</x:v>
      </x:c>
      <x:c r="AV156" s="32" t="n">
        <x:f>AM156*60/tun_SeasonSeconds</x:f>
        <x:v>397.2250833019663</x:v>
      </x:c>
    </x:row>
    <x:row r="157">
      <x:c r="A157" s="8" t="n">
        <x:f>A156+1</x:f>
        <x:v>154</x:v>
      </x:c>
      <x:c r="B157" s="9" t="n">
        <x:f>A157*tun_SeasonSeconds/60</x:f>
        <x:v>38.5</x:v>
      </x:c>
      <x:c r="C157" s="9" t="n">
        <x:f>A157/4</x:f>
        <x:v>38.5</x:v>
      </x:c>
      <x:c r="D157" s="8" t="n">
        <x:f>IF(MOD(A157,4)=0,1,0)</x:f>
        <x:v>0</x:v>
      </x:c>
      <x:c r="E157" s="8" t="n">
        <x:f>IF(AND(F156&lt;=9,AS156&gt;=AR156),1,0)</x:f>
        <x:v>0</x:v>
      </x:c>
      <x:c r="F157" s="8" t="n">
        <x:f>MIN(10,F156+E157)</x:f>
        <x:v>3</x:v>
      </x:c>
      <x:c r="G157" s="8" t="n">
        <x:f>MIN(F157,9)+1</x:f>
        <x:v>4</x:v>
      </x:c>
      <x:c r="H157" s="8" t="n">
        <x:f>IF(F157&lt;=9,1,0)</x:f>
        <x:v>1</x:v>
      </x:c>
      <x:c r="I157" s="9" t="n">
        <x:f>MIN(10,F156+IF(AR156&gt;0,MIN(1,AS156/AR156),1))</x:f>
        <x:v>3.5108239285147373</x:v>
      </x:c>
      <x:c r="J157" s="32" t="n">
        <x:f>INDEX(tun_FoodCap,G157)*Arch_FoodCap*EXP(tun_CapsByProject*SUMPRODUCT((Cap_Point&lt;=I157)*(Cap_Kind="Food")*Cap_Ln))</x:f>
        <x:v>140.7432136275654</x:v>
      </x:c>
      <x:c r="K157" s="32" t="n">
        <x:f>J157*MIN(1,tun_LeanBase*EXP(tun_CapsByProject*SUMPRODUCT((Cap_Point&lt;=I157)*(Cap_Kind="Lean")*Cap_Ln)))</x:f>
        <x:v>140.7432136275654</x:v>
      </x:c>
      <x:c r="L157" s="10" t="n">
        <x:f>INDEX(tun_HousingCap,G157)*EXP(tun_CapsByProject*SUMPRODUCT((Cap_Point&lt;=I157)*(Cap_Kind="Housing")*Cap_Ln))</x:f>
        <x:v>592.3124999999999</x:v>
      </x:c>
      <x:c r="M157" s="10" t="n">
        <x:f>INDEX(tun_GroupCap,G157)*tun_CohesionFactor*EXP(tun_CapsByProject*SUMPRODUCT((Cap_Point&lt;=I157)*(Cap_Kind="Group")*Cap_Ln))</x:f>
        <x:v>2000.0000000000011</x:v>
      </x:c>
      <x:c r="N157" s="32" t="n">
        <x:f>MIN(J157,L157,M157)</x:f>
        <x:v>140.7432136275654</x:v>
      </x:c>
      <x:c r="O157" s="10" t="n">
        <x:f>AE156*N157</x:f>
        <x:v>281.4864272551308</x:v>
      </x:c>
      <x:c r="P157" s="9" t="n">
        <x:f>MIN(1,(AB156/(AE156*IF(tun_GroupInCrowding=1,N157,MIN(J157,L157))))^tun_CrowdingExp)</x:f>
        <x:v>0.12839735152083787</x:v>
      </x:c>
      <x:c r="Q157" s="9" t="n">
        <x:f>IF(D157=1,INDEX(tun_WinterMult,G157),1)</x:f>
        <x:v>1</x:v>
      </x:c>
      <x:c r="R157" s="9" t="n">
        <x:f>H157*Z156*tun_WomenShare*tun_BaseFertility*INDEX(tun_FertMult,G157)*Arch_Fertility*(1-P157)</x:f>
        <x:v>5.024499607439232</x:v>
      </x:c>
      <x:c r="S157" s="9" t="n">
        <x:f>H157*Y156*INDEX(tun_MortChild,G157)/4*Q157</x:f>
        <x:v>0.9471222980094003</x:v>
      </x:c>
      <x:c r="T157" s="9" t="n">
        <x:f>H157*Z156*INDEX(tun_MortAdult,G157)*Arch_AdultMort/4*Q157</x:f>
        <x:v>0.1951118287789296</x:v>
      </x:c>
      <x:c r="U157" s="9" t="n">
        <x:f>H157*AA156*INDEX(tun_MortElder,G157)/4*Q157</x:f>
        <x:v>0.24140359485398116</x:v>
      </x:c>
      <x:c r="V157" s="9" t="n">
        <x:f>H157*MAX(0,AB156-O157)*tun_OvercapLoss</x:f>
        <x:v>0</x:v>
      </x:c>
      <x:c r="W157" s="9" t="n">
        <x:f>H157*Y156/(tun_ChildYears*4)</x:f>
        <x:v>1.9897527269105046</x:v>
      </x:c>
      <x:c r="X157" s="9" t="n">
        <x:f>H157*Z156/(tun_AdultYears*4)</x:f>
        <x:v>0.572175450964603</x:v>
      </x:c>
      <x:c r="Y157" s="32" t="n">
        <x:f>Y156+R157-S157-W157-Y156*V157/AB156</x:f>
        <x:v>113.51377728950757</x:v>
      </x:c>
      <x:c r="Z157" s="32" t="n">
        <x:f>Z156+W157-X157-T157-Z156*V157/AB156</x:f>
        <x:v>72.17222136677773</x:v>
      </x:c>
      <x:c r="AA157" s="32" t="n">
        <x:f>AA156+X157-U157-AA156*V157/AB156</x:f>
        <x:v>17.88739693640016</x:v>
      </x:c>
      <x:c r="AB157" s="10" t="n">
        <x:f>Y157+Z157+AA157</x:f>
        <x:v>203.57339559268547</x:v>
      </x:c>
      <x:c r="AC157" s="8" t="n">
        <x:f>IF(AND(tun_WinterTrigger=1,D157=1,AB156/AE156&gt;=K157),1,0)</x:f>
        <x:v>0</x:v>
      </x:c>
      <x:c r="AD157" s="8" t="n">
        <x:f>H157*IF(AND(OR(AB156/AE156&gt;=tun_FissionTrigger*N157,AC157=1),AB156/AE156*tun_DaughterShare&gt;=tun_MinDaughter),MAX(1,ROUND(AE156*tun_FissionRate,0)),0)</x:f>
        <x:v>0</x:v>
      </x:c>
      <x:c r="AE157" s="8" t="n">
        <x:f>IF(H157=1,MAX(1,MIN(INDEX(tun_Smax,G157),AE156+AD157)),AE156)</x:f>
        <x:v>2</x:v>
      </x:c>
      <x:c r="AF157" s="8" t="n">
        <x:f>MAX(0,AE157-AE156)</x:f>
        <x:v>0</x:v>
      </x:c>
      <x:c r="AG157" s="9" t="str">
        <x:f>IF(AF157&gt;0,B157,"")</x:f>
      </x:c>
      <x:c r="AH157" s="9" t="n">
        <x:f>IF(F157&gt;=1,1,(1+tun_LowTiesShare*(AE157-1))/AE157)</x:f>
        <x:v>1</x:v>
      </x:c>
      <x:c r="AI157" s="32" t="n">
        <x:f>(Z157+tun_ElderCommons*INDEX(LM_Elder,G157)*AA157)*AH157</x:f>
        <x:v>125.83441217597822</x:v>
      </x:c>
      <x:c r="AJ157" s="32" t="n">
        <x:f>H157*tun_CommonsCoef*AI157^tun_CommonsExp*INDEX(LM_Commons,G157)</x:f>
        <x:v>321.70916504381853</x:v>
      </x:c>
      <x:c r="AK157" s="32" t="n">
        <x:f>H157*tun_RoleScale*Arch_Roles*(AE157*(INDEX(tun_ElderRolePerSett,G157)*tun_OutElder*INDEX(LM_Elder,G157)+INDEX(tun_ShamanPerSett,G157)*tun_OutShaman)+Z157*(INDEX(tun_PriestShare,G157)*tun_OutPriest+INDEX(tun_ScribeShare,G157)*tun_OutScribe*INDEX(LM_Scribe,G157)+INDEX(tun_ScholarShare,G157)*tun_OutScholar*INDEX(LM_Scholar,G157)+INDEX(tun_ResearcherShare,G157)*tun_OutResearcher*INDEX(LM_Researcher,G157)))</x:f>
        <x:v>52.04164439653955</x:v>
      </x:c>
      <x:c r="AL157" s="32" t="n">
        <x:f>H157*tun_RoleScale*Arch_Roles*AE157*INDEX(tun_MonasteryPerSett,G157)*tun_OutMonastery*INDEX(LM_Monastery,G157)</x:f>
        <x:v>0</x:v>
      </x:c>
      <x:c r="AM157" s="32" t="n">
        <x:f>(AJ157+AK157+AL157)/4*INDEX(LM_All,G157)*INDEX(tun_Boon,G157)*Arch_Insight</x:f>
        <x:v>100.62218569312074</x:v>
      </x:c>
      <x:c r="AN157" s="32" t="n">
        <x:f>H157*(tun_KHPerAdult*Z157+tun_KHOfCommons*AJ157/4*INDEX(LM_All,G157))*tun_KHUsable*Arch_KH</x:f>
        <x:v>19.704686358933884</x:v>
      </x:c>
      <x:c r="AO157" s="32" t="n">
        <x:f>MIN(AP156+AN157,AM157*tun_KHMaxRatio)</x:f>
        <x:v>19.704686358933884</x:v>
      </x:c>
      <x:c r="AP157" s="32" t="n">
        <x:f>AP156+AN157-AO157</x:f>
        <x:v>0</x:v>
      </x:c>
      <x:c r="AQ157" s="32" t="n">
        <x:f>AM157+AO157</x:f>
        <x:v>120.32687205205463</x:v>
      </x:c>
      <x:c r="AR157" s="10" t="n">
        <x:f>IF(H157=1,INDEX(tun_Req,G157),0)</x:f>
        <x:v>5252.7422</x:v>
      </x:c>
      <x:c r="AS157" s="32" t="n">
        <x:f>IF(H157=1,IF(E157=1,AS156-AR156,AS156)+AQ157,0)</x:f>
        <x:v>2803.5532781311986</x:v>
      </x:c>
      <x:c r="AT157" s="11" t="n">
        <x:f>IF(AR157&gt;0,MIN(1,AS157/AR157),1)</x:f>
        <x:v>0.5337313676142718</x:v>
      </x:c>
      <x:c r="AU157" s="10" t="n">
        <x:f>AB157/INDEX(tun_RepScale,G157)</x:f>
        <x:v>203.57339559268547</x:v>
      </x:c>
      <x:c r="AV157" s="32" t="n">
        <x:f>AM157*60/tun_SeasonSeconds</x:f>
        <x:v>402.488742772483</x:v>
      </x:c>
    </x:row>
    <x:row r="158">
      <x:c r="A158" s="8" t="n">
        <x:f>A157+1</x:f>
        <x:v>155</x:v>
      </x:c>
      <x:c r="B158" s="9" t="n">
        <x:f>A158*tun_SeasonSeconds/60</x:f>
        <x:v>38.75</x:v>
      </x:c>
      <x:c r="C158" s="9" t="n">
        <x:f>A158/4</x:f>
        <x:v>38.75</x:v>
      </x:c>
      <x:c r="D158" s="8" t="n">
        <x:f>IF(MOD(A158,4)=0,1,0)</x:f>
        <x:v>0</x:v>
      </x:c>
      <x:c r="E158" s="8" t="n">
        <x:f>IF(AND(F157&lt;=9,AS157&gt;=AR157),1,0)</x:f>
        <x:v>0</x:v>
      </x:c>
      <x:c r="F158" s="8" t="n">
        <x:f>MIN(10,F157+E158)</x:f>
        <x:v>3</x:v>
      </x:c>
      <x:c r="G158" s="8" t="n">
        <x:f>MIN(F158,9)+1</x:f>
        <x:v>4</x:v>
      </x:c>
      <x:c r="H158" s="8" t="n">
        <x:f>IF(F158&lt;=9,1,0)</x:f>
        <x:v>1</x:v>
      </x:c>
      <x:c r="I158" s="9" t="n">
        <x:f>MIN(10,F157+IF(AR157&gt;0,MIN(1,AS157/AR157),1))</x:f>
        <x:v>3.533731367614272</x:v>
      </x:c>
      <x:c r="J158" s="32" t="n">
        <x:f>INDEX(tun_FoodCap,G158)*Arch_FoodCap*EXP(tun_CapsByProject*SUMPRODUCT((Cap_Point&lt;=I158)*(Cap_Kind="Food")*Cap_Ln))</x:f>
        <x:v>140.7432136275654</x:v>
      </x:c>
      <x:c r="K158" s="32" t="n">
        <x:f>J158*MIN(1,tun_LeanBase*EXP(tun_CapsByProject*SUMPRODUCT((Cap_Point&lt;=I158)*(Cap_Kind="Lean")*Cap_Ln)))</x:f>
        <x:v>140.7432136275654</x:v>
      </x:c>
      <x:c r="L158" s="10" t="n">
        <x:f>INDEX(tun_HousingCap,G158)*EXP(tun_CapsByProject*SUMPRODUCT((Cap_Point&lt;=I158)*(Cap_Kind="Housing")*Cap_Ln))</x:f>
        <x:v>592.3124999999999</x:v>
      </x:c>
      <x:c r="M158" s="10" t="n">
        <x:f>INDEX(tun_GroupCap,G158)*tun_CohesionFactor*EXP(tun_CapsByProject*SUMPRODUCT((Cap_Point&lt;=I158)*(Cap_Kind="Group")*Cap_Ln))</x:f>
        <x:v>2000.0000000000011</x:v>
      </x:c>
      <x:c r="N158" s="32" t="n">
        <x:f>MIN(J158,L158,M158)</x:f>
        <x:v>140.7432136275654</x:v>
      </x:c>
      <x:c r="O158" s="10" t="n">
        <x:f>AE157*N158</x:f>
        <x:v>281.4864272551308</x:v>
      </x:c>
      <x:c r="P158" s="9" t="n">
        <x:f>MIN(1,(AB157/(AE157*IF(tun_GroupInCrowding=1,N158,MIN(J158,L158))))^tun_CrowdingExp)</x:f>
        <x:v>0.1430808037963545</x:v>
      </x:c>
      <x:c r="Q158" s="9" t="n">
        <x:f>IF(D158=1,INDEX(tun_WinterMult,G158),1)</x:f>
        <x:v>1</x:v>
      </x:c>
      <x:c r="R158" s="9" t="n">
        <x:f>H158*Z157*tun_WomenShare*tun_BaseFertility*INDEX(tun_FertMult,G158)*Arch_Fertility*(1-P158)</x:f>
        <x:v>5.024968156150374</x:v>
      </x:c>
      <x:c r="S158" s="9" t="n">
        <x:f>H158*Y157*INDEX(tun_MortChild,G158)/4*Q158</x:f>
        <x:v>0.9648671069608145</x:v>
      </x:c>
      <x:c r="T158" s="9" t="n">
        <x:f>H158*Z157*INDEX(tun_MortAdult,G158)*Arch_AdultMort/4*Q158</x:f>
        <x:v>0.19847360875863876</x:v>
      </x:c>
      <x:c r="U158" s="9" t="n">
        <x:f>H158*AA157*INDEX(tun_MortElder,G158)/4*Q158</x:f>
        <x:v>0.24595170787550222</x:v>
      </x:c>
      <x:c r="V158" s="9" t="n">
        <x:f>H158*MAX(0,AB157-O158)*tun_OvercapLoss</x:f>
        <x:v>0</x:v>
      </x:c>
      <x:c r="W158" s="9" t="n">
        <x:f>H158*Y157/(tun_ChildYears*4)</x:f>
        <x:v>2.0270317373126354</x:v>
      </x:c>
      <x:c r="X158" s="9" t="n">
        <x:f>H158*Z157/(tun_AdultYears*4)</x:f>
        <x:v>0.5820340432804656</x:v>
      </x:c>
      <x:c r="Y158" s="32" t="n">
        <x:f>Y157+R158-S158-W158-Y157*V158/AB157</x:f>
        <x:v>115.5468466013845</x:v>
      </x:c>
      <x:c r="Z158" s="32" t="n">
        <x:f>Z157+W158-X158-T158-Z157*V158/AB157</x:f>
        <x:v>73.41874545205127</x:v>
      </x:c>
      <x:c r="AA158" s="32" t="n">
        <x:f>AA157+X158-U158-AA157*V158/AB157</x:f>
        <x:v>18.223479271805125</x:v>
      </x:c>
      <x:c r="AB158" s="10" t="n">
        <x:f>Y158+Z158+AA158</x:f>
        <x:v>207.18907132524092</x:v>
      </x:c>
      <x:c r="AC158" s="8" t="n">
        <x:f>IF(AND(tun_WinterTrigger=1,D158=1,AB157/AE157&gt;=K158),1,0)</x:f>
        <x:v>0</x:v>
      </x:c>
      <x:c r="AD158" s="8" t="n">
        <x:f>H158*IF(AND(OR(AB157/AE157&gt;=tun_FissionTrigger*N158,AC158=1),AB157/AE157*tun_DaughterShare&gt;=tun_MinDaughter),MAX(1,ROUND(AE157*tun_FissionRate,0)),0)</x:f>
        <x:v>0</x:v>
      </x:c>
      <x:c r="AE158" s="8" t="n">
        <x:f>IF(H158=1,MAX(1,MIN(INDEX(tun_Smax,G158),AE157+AD158)),AE157)</x:f>
        <x:v>2</x:v>
      </x:c>
      <x:c r="AF158" s="8" t="n">
        <x:f>MAX(0,AE158-AE157)</x:f>
        <x:v>0</x:v>
      </x:c>
      <x:c r="AG158" s="9" t="str">
        <x:f>IF(AF158&gt;0,B158,"")</x:f>
      </x:c>
      <x:c r="AH158" s="9" t="n">
        <x:f>IF(F158&gt;=1,1,(1+tun_LowTiesShare*(AE158-1))/AE158)</x:f>
        <x:v>1</x:v>
      </x:c>
      <x:c r="AI158" s="32" t="n">
        <x:f>(Z158+tun_ElderCommons*INDEX(LM_Elder,G158)*AA158)*AH158</x:f>
        <x:v>128.08918326746664</x:v>
      </x:c>
      <x:c r="AJ158" s="32" t="n">
        <x:f>H158*tun_CommonsCoef*AI158^tun_CommonsExp*INDEX(LM_Commons,G158)</x:f>
        <x:v>326.6025043547017</x:v>
      </x:c>
      <x:c r="AK158" s="32" t="n">
        <x:f>H158*tun_RoleScale*Arch_Roles*(AE158*(INDEX(tun_ElderRolePerSett,G158)*tun_OutElder*INDEX(LM_Elder,G158)+INDEX(tun_ShamanPerSett,G158)*tun_OutShaman)+Z158*(INDEX(tun_PriestShare,G158)*tun_OutPriest+INDEX(tun_ScribeShare,G158)*tun_OutScribe*INDEX(LM_Scribe,G158)+INDEX(tun_ScholarShare,G158)*tun_OutScholar*INDEX(LM_Scholar,G158)+INDEX(tun_ResearcherShare,G158)*tun_OutResearcher*INDEX(LM_Researcher,G158)))</x:f>
        <x:v>52.11144974531487</x:v>
      </x:c>
      <x:c r="AL158" s="32" t="n">
        <x:f>H158*tun_RoleScale*Arch_Roles*AE158*INDEX(tun_MonasteryPerSett,G158)*tun_OutMonastery*INDEX(LM_Monastery,G158)</x:f>
        <x:v>0</x:v>
      </x:c>
      <x:c r="AM158" s="32" t="n">
        <x:f>(AJ158+AK158+AL158)/4*INDEX(LM_All,G158)*INDEX(tun_Boon,G158)*Arch_Insight</x:f>
        <x:v>101.95837668174701</x:v>
      </x:c>
      <x:c r="AN158" s="32" t="n">
        <x:f>H158*(tun_KHPerAdult*Z158+tun_KHOfCommons*AJ158/4*INDEX(LM_All,G158))*tun_KHUsable*Arch_KH</x:f>
        <x:v>20.004403391725475</x:v>
      </x:c>
      <x:c r="AO158" s="32" t="n">
        <x:f>MIN(AP157+AN158,AM158*tun_KHMaxRatio)</x:f>
        <x:v>20.004403391725475</x:v>
      </x:c>
      <x:c r="AP158" s="32" t="n">
        <x:f>AP157+AN158-AO158</x:f>
        <x:v>0</x:v>
      </x:c>
      <x:c r="AQ158" s="32" t="n">
        <x:f>AM158+AO158</x:f>
        <x:v>121.96278007347249</x:v>
      </x:c>
      <x:c r="AR158" s="10" t="n">
        <x:f>IF(H158=1,INDEX(tun_Req,G158),0)</x:f>
        <x:v>5252.7422</x:v>
      </x:c>
      <x:c r="AS158" s="32" t="n">
        <x:f>IF(H158=1,IF(E158=1,AS157-AR157,AS157)+AQ158,0)</x:f>
        <x:v>2925.516058204671</x:v>
      </x:c>
      <x:c r="AT158" s="11" t="n">
        <x:f>IF(AR158&gt;0,MIN(1,AS158/AR158),1)</x:f>
        <x:v>0.5569502455697657</x:v>
      </x:c>
      <x:c r="AU158" s="10" t="n">
        <x:f>AB158/INDEX(tun_RepScale,G158)</x:f>
        <x:v>207.18907132524092</x:v>
      </x:c>
      <x:c r="AV158" s="32" t="n">
        <x:f>AM158*60/tun_SeasonSeconds</x:f>
        <x:v>407.83350672698805</x:v>
      </x:c>
    </x:row>
    <x:row r="159">
      <x:c r="A159" s="8" t="n">
        <x:f>A158+1</x:f>
        <x:v>156</x:v>
      </x:c>
      <x:c r="B159" s="9" t="n">
        <x:f>A159*tun_SeasonSeconds/60</x:f>
        <x:v>39</x:v>
      </x:c>
      <x:c r="C159" s="9" t="n">
        <x:f>A159/4</x:f>
        <x:v>39</x:v>
      </x:c>
      <x:c r="D159" s="8" t="n">
        <x:f>IF(MOD(A159,4)=0,1,0)</x:f>
        <x:v>1</x:v>
      </x:c>
      <x:c r="E159" s="8" t="n">
        <x:f>IF(AND(F158&lt;=9,AS158&gt;=AR158),1,0)</x:f>
        <x:v>0</x:v>
      </x:c>
      <x:c r="F159" s="8" t="n">
        <x:f>MIN(10,F158+E159)</x:f>
        <x:v>3</x:v>
      </x:c>
      <x:c r="G159" s="8" t="n">
        <x:f>MIN(F159,9)+1</x:f>
        <x:v>4</x:v>
      </x:c>
      <x:c r="H159" s="8" t="n">
        <x:f>IF(F159&lt;=9,1,0)</x:f>
        <x:v>1</x:v>
      </x:c>
      <x:c r="I159" s="9" t="n">
        <x:f>MIN(10,F158+IF(AR158&gt;0,MIN(1,AS158/AR158),1))</x:f>
        <x:v>3.556950245569766</x:v>
      </x:c>
      <x:c r="J159" s="32" t="n">
        <x:f>INDEX(tun_FoodCap,G159)*Arch_FoodCap*EXP(tun_CapsByProject*SUMPRODUCT((Cap_Point&lt;=I159)*(Cap_Kind="Food")*Cap_Ln))</x:f>
        <x:v>164.66955994425152</x:v>
      </x:c>
      <x:c r="K159" s="32" t="n">
        <x:f>J159*MIN(1,tun_LeanBase*EXP(tun_CapsByProject*SUMPRODUCT((Cap_Point&lt;=I159)*(Cap_Kind="Lean")*Cap_Ln)))</x:f>
        <x:v>164.66955994425152</x:v>
      </x:c>
      <x:c r="L159" s="10" t="n">
        <x:f>INDEX(tun_HousingCap,G159)*EXP(tun_CapsByProject*SUMPRODUCT((Cap_Point&lt;=I159)*(Cap_Kind="Housing")*Cap_Ln))</x:f>
        <x:v>592.3124999999999</x:v>
      </x:c>
      <x:c r="M159" s="10" t="n">
        <x:f>INDEX(tun_GroupCap,G159)*tun_CohesionFactor*EXP(tun_CapsByProject*SUMPRODUCT((Cap_Point&lt;=I159)*(Cap_Kind="Group")*Cap_Ln))</x:f>
        <x:v>2000.0000000000011</x:v>
      </x:c>
      <x:c r="N159" s="32" t="n">
        <x:f>MIN(J159,L159,M159)</x:f>
        <x:v>164.66955994425152</x:v>
      </x:c>
      <x:c r="O159" s="10" t="n">
        <x:f>AE158*N159</x:f>
        <x:v>329.33911988850303</x:v>
      </x:c>
      <x:c r="P159" s="9" t="n">
        <x:f>MIN(1,(AB158/(AE158*IF(tun_GroupInCrowding=1,N159,MIN(J159,L159))))^tun_CrowdingExp)</x:f>
        <x:v>0.06199278385958269</x:v>
      </x:c>
      <x:c r="Q159" s="9" t="n">
        <x:f>IF(D159=1,INDEX(tun_WinterMult,G159),1)</x:f>
        <x:v>1.25</x:v>
      </x:c>
      <x:c r="R159" s="9" t="n">
        <x:f>H159*Z158*tun_WomenShare*tun_BaseFertility*INDEX(tun_FertMult,G159)*Arch_Fertility*(1-P159)</x:f>
        <x:v>5.595469184012543</x:v>
      </x:c>
      <x:c r="S159" s="9" t="n">
        <x:f>H159*Y158*INDEX(tun_MortChild,G159)/4*Q159</x:f>
        <x:v>1.2276852451397104</x:v>
      </x:c>
      <x:c r="T159" s="9" t="n">
        <x:f>H159*Z158*INDEX(tun_MortAdult,G159)*Arch_AdultMort/4*Q159</x:f>
        <x:v>0.2523769374914262</x:v>
      </x:c>
      <x:c r="U159" s="9" t="n">
        <x:f>H159*AA158*INDEX(tun_MortElder,G159)/4*Q159</x:f>
        <x:v>0.31321604998415065</x:v>
      </x:c>
      <x:c r="V159" s="9" t="n">
        <x:f>H159*MAX(0,AB158-O159)*tun_OvercapLoss</x:f>
        <x:v>0</x:v>
      </x:c>
      <x:c r="W159" s="9" t="n">
        <x:f>H159*Y158/(tun_ChildYears*4)</x:f>
        <x:v>2.0633365464532947</x:v>
      </x:c>
      <x:c r="X159" s="9" t="n">
        <x:f>H159*Z158/(tun_AdultYears*4)</x:f>
        <x:v>0.5920866568713812</x:v>
      </x:c>
      <x:c r="Y159" s="32" t="n">
        <x:f>Y158+R159-S159-W159-Y158*V159/AB158</x:f>
        <x:v>117.85129399380403</x:v>
      </x:c>
      <x:c r="Z159" s="32" t="n">
        <x:f>Z158+W159-X159-T159-Z158*V159/AB158</x:f>
        <x:v>74.63761840414176</x:v>
      </x:c>
      <x:c r="AA159" s="32" t="n">
        <x:f>AA158+X159-U159-AA158*V159/AB158</x:f>
        <x:v>18.502349878692357</x:v>
      </x:c>
      <x:c r="AB159" s="10" t="n">
        <x:f>Y159+Z159+AA159</x:f>
        <x:v>210.99126227663817</x:v>
      </x:c>
      <x:c r="AC159" s="8" t="n">
        <x:f>IF(AND(tun_WinterTrigger=1,D159=1,AB158/AE158&gt;=K159),1,0)</x:f>
        <x:v>0</x:v>
      </x:c>
      <x:c r="AD159" s="8" t="n">
        <x:f>H159*IF(AND(OR(AB158/AE158&gt;=tun_FissionTrigger*N159,AC159=1),AB158/AE158*tun_DaughterShare&gt;=tun_MinDaughter),MAX(1,ROUND(AE158*tun_FissionRate,0)),0)</x:f>
        <x:v>0</x:v>
      </x:c>
      <x:c r="AE159" s="8" t="n">
        <x:f>IF(H159=1,MAX(1,MIN(INDEX(tun_Smax,G159),AE158+AD159)),AE158)</x:f>
        <x:v>2</x:v>
      </x:c>
      <x:c r="AF159" s="8" t="n">
        <x:f>MAX(0,AE159-AE158)</x:f>
        <x:v>0</x:v>
      </x:c>
      <x:c r="AG159" s="9" t="str">
        <x:f>IF(AF159&gt;0,B159,"")</x:f>
      </x:c>
      <x:c r="AH159" s="9" t="n">
        <x:f>IF(F159&gt;=1,1,(1+tun_LowTiesShare*(AE159-1))/AE159)</x:f>
        <x:v>1</x:v>
      </x:c>
      <x:c r="AI159" s="32" t="n">
        <x:f>(Z159+tun_ElderCommons*INDEX(LM_Elder,G159)*AA159)*AH159</x:f>
        <x:v>130.14466804021885</x:v>
      </x:c>
      <x:c r="AJ159" s="32" t="n">
        <x:f>H159*tun_CommonsCoef*AI159^tun_CommonsExp*INDEX(LM_Commons,G159)</x:f>
        <x:v>331.0520987724449</x:v>
      </x:c>
      <x:c r="AK159" s="32" t="n">
        <x:f>H159*tun_RoleScale*Arch_Roles*(AE159*(INDEX(tun_ElderRolePerSett,G159)*tun_OutElder*INDEX(LM_Elder,G159)+INDEX(tun_ShamanPerSett,G159)*tun_OutShaman)+Z159*(INDEX(tun_PriestShare,G159)*tun_OutPriest+INDEX(tun_ScribeShare,G159)*tun_OutScribe*INDEX(LM_Scribe,G159)+INDEX(tun_ScholarShare,G159)*tun_OutScholar*INDEX(LM_Scholar,G159)+INDEX(tun_ResearcherShare,G159)*tun_OutResearcher*INDEX(LM_Researcher,G159)))</x:f>
        <x:v>52.17970663063194</x:v>
      </x:c>
      <x:c r="AL159" s="32" t="n">
        <x:f>H159*tun_RoleScale*Arch_Roles*AE159*INDEX(tun_MonasteryPerSett,G159)*tun_OutMonastery*INDEX(LM_Monastery,G159)</x:f>
        <x:v>0</x:v>
      </x:c>
      <x:c r="AM159" s="32" t="n">
        <x:f>(AJ159+AK159+AL159)/4*INDEX(LM_All,G159)*INDEX(tun_Boon,G159)*Arch_Insight</x:f>
        <x:v>103.1746846100994</x:v>
      </x:c>
      <x:c r="AN159" s="32" t="n">
        <x:f>H159*(tun_KHPerAdult*Z159+tun_KHOfCommons*AJ159/4*INDEX(LM_All,G159))*tun_KHUsable*Arch_KH</x:f>
        <x:v>20.276941049812244</x:v>
      </x:c>
      <x:c r="AO159" s="32" t="n">
        <x:f>MIN(AP158+AN159,AM159*tun_KHMaxRatio)</x:f>
        <x:v>20.276941049812244</x:v>
      </x:c>
      <x:c r="AP159" s="32" t="n">
        <x:f>AP158+AN159-AO159</x:f>
        <x:v>0</x:v>
      </x:c>
      <x:c r="AQ159" s="32" t="n">
        <x:f>AM159+AO159</x:f>
        <x:v>123.45162565991166</x:v>
      </x:c>
      <x:c r="AR159" s="10" t="n">
        <x:f>IF(H159=1,INDEX(tun_Req,G159),0)</x:f>
        <x:v>5252.7422</x:v>
      </x:c>
      <x:c r="AS159" s="32" t="n">
        <x:f>IF(H159=1,IF(E159=1,AS158-AR158,AS158)+AQ159,0)</x:f>
        <x:v>3048.967683864583</x:v>
      </x:c>
      <x:c r="AT159" s="11" t="n">
        <x:f>IF(AR159&gt;0,MIN(1,AS159/AR159),1)</x:f>
        <x:v>0.5804525651124822</x:v>
      </x:c>
      <x:c r="AU159" s="10" t="n">
        <x:f>AB159/INDEX(tun_RepScale,G159)</x:f>
        <x:v>210.99126227663817</x:v>
      </x:c>
      <x:c r="AV159" s="32" t="n">
        <x:f>AM159*60/tun_SeasonSeconds</x:f>
        <x:v>412.6987384403976</x:v>
      </x:c>
    </x:row>
    <x:row r="160">
      <x:c r="A160" s="8" t="n">
        <x:f>A159+1</x:f>
        <x:v>157</x:v>
      </x:c>
      <x:c r="B160" s="9" t="n">
        <x:f>A160*tun_SeasonSeconds/60</x:f>
        <x:v>39.25</x:v>
      </x:c>
      <x:c r="C160" s="9" t="n">
        <x:f>A160/4</x:f>
        <x:v>39.25</x:v>
      </x:c>
      <x:c r="D160" s="8" t="n">
        <x:f>IF(MOD(A160,4)=0,1,0)</x:f>
        <x:v>0</x:v>
      </x:c>
      <x:c r="E160" s="8" t="n">
        <x:f>IF(AND(F159&lt;=9,AS159&gt;=AR159),1,0)</x:f>
        <x:v>0</x:v>
      </x:c>
      <x:c r="F160" s="8" t="n">
        <x:f>MIN(10,F159+E160)</x:f>
        <x:v>3</x:v>
      </x:c>
      <x:c r="G160" s="8" t="n">
        <x:f>MIN(F160,9)+1</x:f>
        <x:v>4</x:v>
      </x:c>
      <x:c r="H160" s="8" t="n">
        <x:f>IF(F160&lt;=9,1,0)</x:f>
        <x:v>1</x:v>
      </x:c>
      <x:c r="I160" s="9" t="n">
        <x:f>MIN(10,F159+IF(AR159&gt;0,MIN(1,AS159/AR159),1))</x:f>
        <x:v>3.5804525651124823</x:v>
      </x:c>
      <x:c r="J160" s="32" t="n">
        <x:f>INDEX(tun_FoodCap,G160)*Arch_FoodCap*EXP(tun_CapsByProject*SUMPRODUCT((Cap_Point&lt;=I160)*(Cap_Kind="Food")*Cap_Ln))</x:f>
        <x:v>164.66955994425152</x:v>
      </x:c>
      <x:c r="K160" s="32" t="n">
        <x:f>J160*MIN(1,tun_LeanBase*EXP(tun_CapsByProject*SUMPRODUCT((Cap_Point&lt;=I160)*(Cap_Kind="Lean")*Cap_Ln)))</x:f>
        <x:v>164.66955994425152</x:v>
      </x:c>
      <x:c r="L160" s="10" t="n">
        <x:f>INDEX(tun_HousingCap,G160)*EXP(tun_CapsByProject*SUMPRODUCT((Cap_Point&lt;=I160)*(Cap_Kind="Housing")*Cap_Ln))</x:f>
        <x:v>592.3124999999999</x:v>
      </x:c>
      <x:c r="M160" s="10" t="n">
        <x:f>INDEX(tun_GroupCap,G160)*tun_CohesionFactor*EXP(tun_CapsByProject*SUMPRODUCT((Cap_Point&lt;=I160)*(Cap_Kind="Group")*Cap_Ln))</x:f>
        <x:v>2000.0000000000011</x:v>
      </x:c>
      <x:c r="N160" s="32" t="n">
        <x:f>MIN(J160,L160,M160)</x:f>
        <x:v>164.66955994425152</x:v>
      </x:c>
      <x:c r="O160" s="10" t="n">
        <x:f>AE159*N160</x:f>
        <x:v>329.33911988850303</x:v>
      </x:c>
      <x:c r="P160" s="9" t="n">
        <x:f>MIN(1,(AB159/(AE159*IF(tun_GroupInCrowding=1,N160,MIN(J160,L160))))^tun_CrowdingExp)</x:f>
        <x:v>0.06913960573102465</x:v>
      </x:c>
      <x:c r="Q160" s="9" t="n">
        <x:f>IF(D160=1,INDEX(tun_WinterMult,G160),1)</x:f>
        <x:v>1</x:v>
      </x:c>
      <x:c r="R160" s="9" t="n">
        <x:f>H160*Z159*tun_WomenShare*tun_BaseFertility*INDEX(tun_FertMult,G160)*Arch_Fertility*(1-P160)</x:f>
        <x:v>5.64502273521686</x:v>
      </x:c>
      <x:c r="S160" s="9" t="n">
        <x:f>H160*Y159*INDEX(tun_MortChild,G160)/4*Q160</x:f>
        <x:v>1.0017359989473344</x:v>
      </x:c>
      <x:c r="T160" s="9" t="n">
        <x:f>H160*Z159*INDEX(tun_MortAdult,G160)*Arch_AdultMort/4*Q160</x:f>
        <x:v>0.20525345061138983</x:v>
      </x:c>
      <x:c r="U160" s="9" t="n">
        <x:f>H160*AA159*INDEX(tun_MortElder,G160)/4*Q160</x:f>
        <x:v>0.2544073108320199</x:v>
      </x:c>
      <x:c r="V160" s="9" t="n">
        <x:f>H160*MAX(0,AB159-O160)*tun_OvercapLoss</x:f>
        <x:v>0</x:v>
      </x:c>
      <x:c r="W160" s="9" t="n">
        <x:f>H160*Y159/(tun_ChildYears*4)</x:f>
        <x:v>2.1044873927465004</x:v>
      </x:c>
      <x:c r="X160" s="9" t="n">
        <x:f>H160*Z159/(tun_AdultYears*4)</x:f>
        <x:v>0.6019162774527561</x:v>
      </x:c>
      <x:c r="Y160" s="32" t="n">
        <x:f>Y159+R160-S160-W160-Y159*V160/AB159</x:f>
        <x:v>120.39009333732704</x:v>
      </x:c>
      <x:c r="Z160" s="32" t="n">
        <x:f>Z159+W160-X160-T160-Z159*V160/AB159</x:f>
        <x:v>75.93493606882411</x:v>
      </x:c>
      <x:c r="AA160" s="32" t="n">
        <x:f>AA159+X160-U160-AA159*V160/AB159</x:f>
        <x:v>18.849858845313094</x:v>
      </x:c>
      <x:c r="AB160" s="10" t="n">
        <x:f>Y160+Z160+AA160</x:f>
        <x:v>215.17488825146424</x:v>
      </x:c>
      <x:c r="AC160" s="8" t="n">
        <x:f>IF(AND(tun_WinterTrigger=1,D160=1,AB159/AE159&gt;=K160),1,0)</x:f>
        <x:v>0</x:v>
      </x:c>
      <x:c r="AD160" s="8" t="n">
        <x:f>H160*IF(AND(OR(AB159/AE159&gt;=tun_FissionTrigger*N160,AC160=1),AB159/AE159*tun_DaughterShare&gt;=tun_MinDaughter),MAX(1,ROUND(AE159*tun_FissionRate,0)),0)</x:f>
        <x:v>0</x:v>
      </x:c>
      <x:c r="AE160" s="8" t="n">
        <x:f>IF(H160=1,MAX(1,MIN(INDEX(tun_Smax,G160),AE159+AD160)),AE159)</x:f>
        <x:v>2</x:v>
      </x:c>
      <x:c r="AF160" s="8" t="n">
        <x:f>MAX(0,AE160-AE159)</x:f>
        <x:v>0</x:v>
      </x:c>
      <x:c r="AG160" s="9" t="str">
        <x:f>IF(AF160&gt;0,B160,"")</x:f>
      </x:c>
      <x:c r="AH160" s="9" t="n">
        <x:f>IF(F160&gt;=1,1,(1+tun_LowTiesShare*(AE160-1))/AE160)</x:f>
        <x:v>1</x:v>
      </x:c>
      <x:c r="AI160" s="32" t="n">
        <x:f>(Z160+tun_ElderCommons*INDEX(LM_Elder,G160)*AA160)*AH160</x:f>
        <x:v>132.48451260476338</x:v>
      </x:c>
      <x:c r="AJ160" s="32" t="n">
        <x:f>H160*tun_CommonsCoef*AI160^tun_CommonsExp*INDEX(LM_Commons,G160)</x:f>
        <x:v>336.1044542589543</x:v>
      </x:c>
      <x:c r="AK160" s="32" t="n">
        <x:f>H160*tun_RoleScale*Arch_Roles*(AE160*(INDEX(tun_ElderRolePerSett,G160)*tun_OutElder*INDEX(LM_Elder,G160)+INDEX(tun_ShamanPerSett,G160)*tun_OutShaman)+Z160*(INDEX(tun_PriestShare,G160)*tun_OutPriest+INDEX(tun_ScribeShare,G160)*tun_OutScribe*INDEX(LM_Scribe,G160)+INDEX(tun_ScholarShare,G160)*tun_OutScholar*INDEX(LM_Scholar,G160)+INDEX(tun_ResearcherShare,G160)*tun_OutResearcher*INDEX(LM_Researcher,G160)))</x:f>
        <x:v>52.25235641985415</x:v>
      </x:c>
      <x:c r="AL160" s="32" t="n">
        <x:f>H160*tun_RoleScale*Arch_Roles*AE160*INDEX(tun_MonasteryPerSett,G160)*tun_OutMonastery*INDEX(LM_Monastery,G160)</x:f>
        <x:v>0</x:v>
      </x:c>
      <x:c r="AM160" s="32" t="n">
        <x:f>(AJ160+AK160+AL160)/4*INDEX(LM_All,G160)*INDEX(tun_Boon,G160)*Arch_Insight</x:f>
        <x:v>104.55445214372715</x:v>
      </x:c>
      <x:c r="AN160" s="32" t="n">
        <x:f>H160*(tun_KHPerAdult*Z160+tun_KHOfCommons*AJ160/4*INDEX(LM_All,G160))*tun_KHUsable*Arch_KH</x:f>
        <x:v>20.586397823360947</x:v>
      </x:c>
      <x:c r="AO160" s="32" t="n">
        <x:f>MIN(AP159+AN160,AM160*tun_KHMaxRatio)</x:f>
        <x:v>20.586397823360947</x:v>
      </x:c>
      <x:c r="AP160" s="32" t="n">
        <x:f>AP159+AN160-AO160</x:f>
        <x:v>0</x:v>
      </x:c>
      <x:c r="AQ160" s="32" t="n">
        <x:f>AM160+AO160</x:f>
        <x:v>125.14084996708809</x:v>
      </x:c>
      <x:c r="AR160" s="10" t="n">
        <x:f>IF(H160=1,INDEX(tun_Req,G160),0)</x:f>
        <x:v>5252.7422</x:v>
      </x:c>
      <x:c r="AS160" s="32" t="n">
        <x:f>IF(H160=1,IF(E160=1,AS159-AR159,AS159)+AQ160,0)</x:f>
        <x:v>3174.1085338316707</x:v>
      </x:c>
      <x:c r="AT160" s="11" t="n">
        <x:f>IF(AR160&gt;0,MIN(1,AS160/AR160),1)</x:f>
        <x:v>0.6042764736924784</x:v>
      </x:c>
      <x:c r="AU160" s="10" t="n">
        <x:f>AB160/INDEX(tun_RepScale,G160)</x:f>
        <x:v>215.17488825146424</x:v>
      </x:c>
      <x:c r="AV160" s="32" t="n">
        <x:f>AM160*60/tun_SeasonSeconds</x:f>
        <x:v>418.2178085749086</x:v>
      </x:c>
    </x:row>
    <x:row r="161">
      <x:c r="A161" s="8" t="n">
        <x:f>A160+1</x:f>
        <x:v>158</x:v>
      </x:c>
      <x:c r="B161" s="9" t="n">
        <x:f>A161*tun_SeasonSeconds/60</x:f>
        <x:v>39.5</x:v>
      </x:c>
      <x:c r="C161" s="9" t="n">
        <x:f>A161/4</x:f>
        <x:v>39.5</x:v>
      </x:c>
      <x:c r="D161" s="8" t="n">
        <x:f>IF(MOD(A161,4)=0,1,0)</x:f>
        <x:v>0</x:v>
      </x:c>
      <x:c r="E161" s="8" t="n">
        <x:f>IF(AND(F160&lt;=9,AS160&gt;=AR160),1,0)</x:f>
        <x:v>0</x:v>
      </x:c>
      <x:c r="F161" s="8" t="n">
        <x:f>MIN(10,F160+E161)</x:f>
        <x:v>3</x:v>
      </x:c>
      <x:c r="G161" s="8" t="n">
        <x:f>MIN(F161,9)+1</x:f>
        <x:v>4</x:v>
      </x:c>
      <x:c r="H161" s="8" t="n">
        <x:f>IF(F161&lt;=9,1,0)</x:f>
        <x:v>1</x:v>
      </x:c>
      <x:c r="I161" s="9" t="n">
        <x:f>MIN(10,F160+IF(AR160&gt;0,MIN(1,AS160/AR160),1))</x:f>
        <x:v>3.6042764736924786</x:v>
      </x:c>
      <x:c r="J161" s="32" t="n">
        <x:f>INDEX(tun_FoodCap,G161)*Arch_FoodCap*EXP(tun_CapsByProject*SUMPRODUCT((Cap_Point&lt;=I161)*(Cap_Kind="Food")*Cap_Ln))</x:f>
        <x:v>183.07887500316286</x:v>
      </x:c>
      <x:c r="K161" s="32" t="n">
        <x:f>J161*MIN(1,tun_LeanBase*EXP(tun_CapsByProject*SUMPRODUCT((Cap_Point&lt;=I161)*(Cap_Kind="Lean")*Cap_Ln)))</x:f>
        <x:v>183.07887500316286</x:v>
      </x:c>
      <x:c r="L161" s="10" t="n">
        <x:f>INDEX(tun_HousingCap,G161)*EXP(tun_CapsByProject*SUMPRODUCT((Cap_Point&lt;=I161)*(Cap_Kind="Housing")*Cap_Ln))</x:f>
        <x:v>947.6999999999999</x:v>
      </x:c>
      <x:c r="M161" s="10" t="n">
        <x:f>INDEX(tun_GroupCap,G161)*tun_CohesionFactor*EXP(tun_CapsByProject*SUMPRODUCT((Cap_Point&lt;=I161)*(Cap_Kind="Group")*Cap_Ln))</x:f>
        <x:v>10000.000000000005</x:v>
      </x:c>
      <x:c r="N161" s="32" t="n">
        <x:f>MIN(J161,L161,M161)</x:f>
        <x:v>183.07887500316286</x:v>
      </x:c>
      <x:c r="O161" s="10" t="n">
        <x:f>AE160*N161</x:f>
        <x:v>366.1577500063257</x:v>
      </x:c>
      <x:c r="P161" s="9" t="n">
        <x:f>MIN(1,(AB160/(AE160*IF(tun_GroupInCrowding=1,N161,MIN(J161,L161))))^tun_CrowdingExp)</x:f>
        <x:v>0.041185100690834205</x:v>
      </x:c>
      <x:c r="Q161" s="9" t="n">
        <x:f>IF(D161=1,INDEX(tun_WinterMult,G161),1)</x:f>
        <x:v>1</x:v>
      </x:c>
      <x:c r="R161" s="9" t="n">
        <x:f>H161*Z160*tun_WomenShare*tun_BaseFertility*INDEX(tun_FertMult,G161)*Arch_Fertility*(1-P161)</x:f>
        <x:v>5.915613281571299</x:v>
      </x:c>
      <x:c r="S161" s="9" t="n">
        <x:f>H161*Y160*INDEX(tun_MortChild,G161)/4*Q161</x:f>
        <x:v>1.0233157933672798</x:v>
      </x:c>
      <x:c r="T161" s="9" t="n">
        <x:f>H161*Z160*INDEX(tun_MortAdult,G161)*Arch_AdultMort/4*Q161</x:f>
        <x:v>0.2088210741892663</x:v>
      </x:c>
      <x:c r="U161" s="9" t="n">
        <x:f>H161*AA160*INDEX(tun_MortElder,G161)/4*Q161</x:f>
        <x:v>0.259185559123055</x:v>
      </x:c>
      <x:c r="V161" s="9" t="n">
        <x:f>H161*MAX(0,AB160-O161)*tun_OvercapLoss</x:f>
        <x:v>0</x:v>
      </x:c>
      <x:c r="W161" s="9" t="n">
        <x:f>H161*Y160/(tun_ChildYears*4)</x:f>
        <x:v>2.1498230953094115</x:v>
      </x:c>
      <x:c r="X161" s="9" t="n">
        <x:f>H161*Z160/(tun_AdultYears*4)</x:f>
        <x:v>0.6123785166840654</x:v>
      </x:c>
      <x:c r="Y161" s="32" t="n">
        <x:f>Y160+R161-S161-W161-Y160*V161/AB160</x:f>
        <x:v>123.13256773022165</x:v>
      </x:c>
      <x:c r="Z161" s="32" t="n">
        <x:f>Z160+W161-X161-T161-Z160*V161/AB160</x:f>
        <x:v>77.26355957326021</x:v>
      </x:c>
      <x:c r="AA161" s="32" t="n">
        <x:f>AA160+X161-U161-AA160*V161/AB160</x:f>
        <x:v>19.203051802874104</x:v>
      </x:c>
      <x:c r="AB161" s="10" t="n">
        <x:f>Y161+Z161+AA161</x:f>
        <x:v>219.599179106356</x:v>
      </x:c>
      <x:c r="AC161" s="8" t="n">
        <x:f>IF(AND(tun_WinterTrigger=1,D161=1,AB160/AE160&gt;=K161),1,0)</x:f>
        <x:v>0</x:v>
      </x:c>
      <x:c r="AD161" s="8" t="n">
        <x:f>H161*IF(AND(OR(AB160/AE160&gt;=tun_FissionTrigger*N161,AC161=1),AB160/AE160*tun_DaughterShare&gt;=tun_MinDaughter),MAX(1,ROUND(AE160*tun_FissionRate,0)),0)</x:f>
        <x:v>0</x:v>
      </x:c>
      <x:c r="AE161" s="8" t="n">
        <x:f>IF(H161=1,MAX(1,MIN(INDEX(tun_Smax,G161),AE160+AD161)),AE160)</x:f>
        <x:v>2</x:v>
      </x:c>
      <x:c r="AF161" s="8" t="n">
        <x:f>MAX(0,AE161-AE160)</x:f>
        <x:v>0</x:v>
      </x:c>
      <x:c r="AG161" s="9" t="str">
        <x:f>IF(AF161&gt;0,B161,"")</x:f>
      </x:c>
      <x:c r="AH161" s="9" t="n">
        <x:f>IF(F161&gt;=1,1,(1+tun_LowTiesShare*(AE161-1))/AE161)</x:f>
        <x:v>1</x:v>
      </x:c>
      <x:c r="AI161" s="32" t="n">
        <x:f>(Z161+tun_ElderCommons*INDEX(LM_Elder,G161)*AA161)*AH161</x:f>
        <x:v>134.87271498188252</x:v>
      </x:c>
      <x:c r="AJ161" s="32" t="n">
        <x:f>H161*tun_CommonsCoef*AI161^tun_CommonsExp*INDEX(LM_Commons,G161)</x:f>
        <x:v>341.24744427013735</x:v>
      </x:c>
      <x:c r="AK161" s="32" t="n">
        <x:f>H161*tun_RoleScale*Arch_Roles*(AE161*(INDEX(tun_ElderRolePerSett,G161)*tun_OutElder*INDEX(LM_Elder,G161)+INDEX(tun_ShamanPerSett,G161)*tun_OutShaman)+Z161*(INDEX(tun_PriestShare,G161)*tun_OutPriest+INDEX(tun_ScribeShare,G161)*tun_OutScribe*INDEX(LM_Scribe,G161)+INDEX(tun_ScholarShare,G161)*tun_OutScholar*INDEX(LM_Scholar,G161)+INDEX(tun_ResearcherShare,G161)*tun_OutResearcher*INDEX(LM_Researcher,G161)))</x:f>
        <x:v>52.32675933610257</x:v>
      </x:c>
      <x:c r="AL161" s="32" t="n">
        <x:f>H161*tun_RoleScale*Arch_Roles*AE161*INDEX(tun_MonasteryPerSett,G161)*tun_OutMonastery*INDEX(LM_Monastery,G161)</x:f>
        <x:v>0</x:v>
      </x:c>
      <x:c r="AM161" s="32" t="n">
        <x:f>(AJ161+AK161+AL161)/4*INDEX(LM_All,G161)*INDEX(tun_Boon,G161)*Arch_Insight</x:f>
        <x:v>105.9590925263502</x:v>
      </x:c>
      <x:c r="AN161" s="32" t="n">
        <x:f>H161*(tun_KHPerAdult*Z161+tun_KHOfCommons*AJ161/4*INDEX(LM_All,G161))*tun_KHUsable*Arch_KH</x:f>
        <x:v>20.90140596154591</x:v>
      </x:c>
      <x:c r="AO161" s="32" t="n">
        <x:f>MIN(AP160+AN161,AM161*tun_KHMaxRatio)</x:f>
        <x:v>20.90140596154591</x:v>
      </x:c>
      <x:c r="AP161" s="32" t="n">
        <x:f>AP160+AN161-AO161</x:f>
        <x:v>0</x:v>
      </x:c>
      <x:c r="AQ161" s="32" t="n">
        <x:f>AM161+AO161</x:f>
        <x:v>126.86049848789611</x:v>
      </x:c>
      <x:c r="AR161" s="10" t="n">
        <x:f>IF(H161=1,INDEX(tun_Req,G161),0)</x:f>
        <x:v>5252.7422</x:v>
      </x:c>
      <x:c r="AS161" s="32" t="n">
        <x:f>IF(H161=1,IF(E161=1,AS160-AR160,AS160)+AQ161,0)</x:f>
        <x:v>3300.969032319567</x:v>
      </x:c>
      <x:c r="AT161" s="11" t="n">
        <x:f>IF(AR161&gt;0,MIN(1,AS161/AR161),1)</x:f>
        <x:v>0.6284277633727327</x:v>
      </x:c>
      <x:c r="AU161" s="10" t="n">
        <x:f>AB161/INDEX(tun_RepScale,G161)</x:f>
        <x:v>219.599179106356</x:v>
      </x:c>
      <x:c r="AV161" s="32" t="n">
        <x:f>AM161*60/tun_SeasonSeconds</x:f>
        <x:v>423.8363701054008</x:v>
      </x:c>
    </x:row>
    <x:row r="162">
      <x:c r="A162" s="8" t="n">
        <x:f>A161+1</x:f>
        <x:v>159</x:v>
      </x:c>
      <x:c r="B162" s="9" t="n">
        <x:f>A162*tun_SeasonSeconds/60</x:f>
        <x:v>39.75</x:v>
      </x:c>
      <x:c r="C162" s="9" t="n">
        <x:f>A162/4</x:f>
        <x:v>39.75</x:v>
      </x:c>
      <x:c r="D162" s="8" t="n">
        <x:f>IF(MOD(A162,4)=0,1,0)</x:f>
        <x:v>0</x:v>
      </x:c>
      <x:c r="E162" s="8" t="n">
        <x:f>IF(AND(F161&lt;=9,AS161&gt;=AR161),1,0)</x:f>
        <x:v>0</x:v>
      </x:c>
      <x:c r="F162" s="8" t="n">
        <x:f>MIN(10,F161+E162)</x:f>
        <x:v>3</x:v>
      </x:c>
      <x:c r="G162" s="8" t="n">
        <x:f>MIN(F162,9)+1</x:f>
        <x:v>4</x:v>
      </x:c>
      <x:c r="H162" s="8" t="n">
        <x:f>IF(F162&lt;=9,1,0)</x:f>
        <x:v>1</x:v>
      </x:c>
      <x:c r="I162" s="9" t="n">
        <x:f>MIN(10,F161+IF(AR161&gt;0,MIN(1,AS161/AR161),1))</x:f>
        <x:v>3.6284277633727324</x:v>
      </x:c>
      <x:c r="J162" s="32" t="n">
        <x:f>INDEX(tun_FoodCap,G162)*Arch_FoodCap*EXP(tun_CapsByProject*SUMPRODUCT((Cap_Point&lt;=I162)*(Cap_Kind="Food")*Cap_Ln))</x:f>
        <x:v>183.07887500316286</x:v>
      </x:c>
      <x:c r="K162" s="32" t="n">
        <x:f>J162*MIN(1,tun_LeanBase*EXP(tun_CapsByProject*SUMPRODUCT((Cap_Point&lt;=I162)*(Cap_Kind="Lean")*Cap_Ln)))</x:f>
        <x:v>183.07887500316286</x:v>
      </x:c>
      <x:c r="L162" s="10" t="n">
        <x:f>INDEX(tun_HousingCap,G162)*EXP(tun_CapsByProject*SUMPRODUCT((Cap_Point&lt;=I162)*(Cap_Kind="Housing")*Cap_Ln))</x:f>
        <x:v>947.6999999999999</x:v>
      </x:c>
      <x:c r="M162" s="10" t="n">
        <x:f>INDEX(tun_GroupCap,G162)*tun_CohesionFactor*EXP(tun_CapsByProject*SUMPRODUCT((Cap_Point&lt;=I162)*(Cap_Kind="Group")*Cap_Ln))</x:f>
        <x:v>10000.000000000005</x:v>
      </x:c>
      <x:c r="N162" s="32" t="n">
        <x:f>MIN(J162,L162,M162)</x:f>
        <x:v>183.07887500316286</x:v>
      </x:c>
      <x:c r="O162" s="10" t="n">
        <x:f>AE161*N162</x:f>
        <x:v>366.1577500063257</x:v>
      </x:c>
      <x:c r="P162" s="9" t="n">
        <x:f>MIN(1,(AB161/(AE161*IF(tun_GroupInCrowding=1,N162,MIN(J162,L162))))^tun_CrowdingExp)</x:f>
        <x:v>0.04653448259846526</x:v>
      </x:c>
      <x:c r="Q162" s="9" t="n">
        <x:f>IF(D162=1,INDEX(tun_WinterMult,G162),1)</x:f>
        <x:v>1</x:v>
      </x:c>
      <x:c r="R162" s="9" t="n">
        <x:f>H162*Z161*tun_WomenShare*tun_BaseFertility*INDEX(tun_FertMult,G162)*Arch_Fertility*(1-P162)</x:f>
        <x:v>5.985536359140231</x:v>
      </x:c>
      <x:c r="S162" s="9" t="n">
        <x:f>H162*Y161*INDEX(tun_MortChild,G162)/4*Q162</x:f>
        <x:v>1.046626825706884</x:v>
      </x:c>
      <x:c r="T162" s="9" t="n">
        <x:f>H162*Z161*INDEX(tun_MortAdult,G162)*Arch_AdultMort/4*Q162</x:f>
        <x:v>0.21247478882646556</x:v>
      </x:c>
      <x:c r="U162" s="9" t="n">
        <x:f>H162*AA161*INDEX(tun_MortElder,G162)/4*Q162</x:f>
        <x:v>0.26404196228951893</x:v>
      </x:c>
      <x:c r="V162" s="9" t="n">
        <x:f>H162*MAX(0,AB161-O162)*tun_OvercapLoss</x:f>
        <x:v>0</x:v>
      </x:c>
      <x:c r="W162" s="9" t="n">
        <x:f>H162*Y161/(tun_ChildYears*4)</x:f>
        <x:v>2.1987958523253868</x:v>
      </x:c>
      <x:c r="X162" s="9" t="n">
        <x:f>H162*Z161/(tun_AdultYears*4)</x:f>
        <x:v>0.6230932223650016</x:v>
      </x:c>
      <x:c r="Y162" s="32" t="n">
        <x:f>Y161+R162-S162-W162-Y161*V162/AB161</x:f>
        <x:v>125.87268141132961</x:v>
      </x:c>
      <x:c r="Z162" s="32" t="n">
        <x:f>Z161+W162-X162-T162-Z161*V162/AB161</x:f>
        <x:v>78.62678741439413</x:v>
      </x:c>
      <x:c r="AA162" s="32" t="n">
        <x:f>AA161+X162-U162-AA161*V162/AB161</x:f>
        <x:v>19.562103062949586</x:v>
      </x:c>
      <x:c r="AB162" s="10" t="n">
        <x:f>Y162+Z162+AA162</x:f>
        <x:v>224.0615718886733</x:v>
      </x:c>
      <x:c r="AC162" s="8" t="n">
        <x:f>IF(AND(tun_WinterTrigger=1,D162=1,AB161/AE161&gt;=K162),1,0)</x:f>
        <x:v>0</x:v>
      </x:c>
      <x:c r="AD162" s="8" t="n">
        <x:f>H162*IF(AND(OR(AB161/AE161&gt;=tun_FissionTrigger*N162,AC162=1),AB161/AE161*tun_DaughterShare&gt;=tun_MinDaughter),MAX(1,ROUND(AE161*tun_FissionRate,0)),0)</x:f>
        <x:v>0</x:v>
      </x:c>
      <x:c r="AE162" s="8" t="n">
        <x:f>IF(H162=1,MAX(1,MIN(INDEX(tun_Smax,G162),AE161+AD162)),AE161)</x:f>
        <x:v>2</x:v>
      </x:c>
      <x:c r="AF162" s="8" t="n">
        <x:f>MAX(0,AE162-AE161)</x:f>
        <x:v>0</x:v>
      </x:c>
      <x:c r="AG162" s="9" t="str">
        <x:f>IF(AF162&gt;0,B162,"")</x:f>
      </x:c>
      <x:c r="AH162" s="9" t="n">
        <x:f>IF(F162&gt;=1,1,(1+tun_LowTiesShare*(AE162-1))/AE162)</x:f>
        <x:v>1</x:v>
      </x:c>
      <x:c r="AI162" s="32" t="n">
        <x:f>(Z162+tun_ElderCommons*INDEX(LM_Elder,G162)*AA162)*AH162</x:f>
        <x:v>137.31309660324288</x:v>
      </x:c>
      <x:c r="AJ162" s="32" t="n">
        <x:f>H162*tun_CommonsCoef*AI162^tun_CommonsExp*INDEX(LM_Commons,G162)</x:f>
        <x:v>346.48871115573814</x:v>
      </x:c>
      <x:c r="AK162" s="32" t="n">
        <x:f>H162*tun_RoleScale*Arch_Roles*(AE162*(INDEX(tun_ElderRolePerSett,G162)*tun_OutElder*INDEX(LM_Elder,G162)+INDEX(tun_ShamanPerSett,G162)*tun_OutShaman)+Z162*(INDEX(tun_PriestShare,G162)*tun_OutPriest+INDEX(tun_ScribeShare,G162)*tun_OutScribe*INDEX(LM_Scribe,G162)+INDEX(tun_ScholarShare,G162)*tun_OutScholar*INDEX(LM_Scholar,G162)+INDEX(tun_ResearcherShare,G162)*tun_OutResearcher*INDEX(LM_Researcher,G162)))</x:f>
        <x:v>52.40310009520607</x:v>
      </x:c>
      <x:c r="AL162" s="32" t="n">
        <x:f>H162*tun_RoleScale*Arch_Roles*AE162*INDEX(tun_MonasteryPerSett,G162)*tun_OutMonastery*INDEX(LM_Monastery,G162)</x:f>
        <x:v>0</x:v>
      </x:c>
      <x:c r="AM162" s="32" t="n">
        <x:f>(AJ162+AK162+AL162)/4*INDEX(LM_All,G162)*INDEX(tun_Boon,G162)*Arch_Insight</x:f>
        <x:v>107.3907129813528</x:v>
      </x:c>
      <x:c r="AN162" s="32" t="n">
        <x:f>H162*(tun_KHPerAdult*Z162+tun_KHOfCommons*AJ162/4*INDEX(LM_All,G162))*tun_KHUsable*Arch_KH</x:f>
        <x:v>21.22243355828896</x:v>
      </x:c>
      <x:c r="AO162" s="32" t="n">
        <x:f>MIN(AP161+AN162,AM162*tun_KHMaxRatio)</x:f>
        <x:v>21.22243355828896</x:v>
      </x:c>
      <x:c r="AP162" s="32" t="n">
        <x:f>AP161+AN162-AO162</x:f>
        <x:v>0</x:v>
      </x:c>
      <x:c r="AQ162" s="32" t="n">
        <x:f>AM162+AO162</x:f>
        <x:v>128.61314653964178</x:v>
      </x:c>
      <x:c r="AR162" s="10" t="n">
        <x:f>IF(H162=1,INDEX(tun_Req,G162),0)</x:f>
        <x:v>5252.7422</x:v>
      </x:c>
      <x:c r="AS162" s="32" t="n">
        <x:f>IF(H162=1,IF(E162=1,AS161-AR161,AS161)+AQ162,0)</x:f>
        <x:v>3429.5821788592084</x:v>
      </x:c>
      <x:c r="AT162" s="11" t="n">
        <x:f>IF(AR162&gt;0,MIN(1,AS162/AR162),1)</x:f>
        <x:v>0.6529127164967679</x:v>
      </x:c>
      <x:c r="AU162" s="10" t="n">
        <x:f>AB162/INDEX(tun_RepScale,G162)</x:f>
        <x:v>224.0615718886733</x:v>
      </x:c>
      <x:c r="AV162" s="32" t="n">
        <x:f>AM162*60/tun_SeasonSeconds</x:f>
        <x:v>429.5628519254112</x:v>
      </x:c>
    </x:row>
    <x:row r="163">
      <x:c r="A163" s="8" t="n">
        <x:f>A162+1</x:f>
        <x:v>160</x:v>
      </x:c>
      <x:c r="B163" s="9" t="n">
        <x:f>A163*tun_SeasonSeconds/60</x:f>
        <x:v>40</x:v>
      </x:c>
      <x:c r="C163" s="9" t="n">
        <x:f>A163/4</x:f>
        <x:v>40</x:v>
      </x:c>
      <x:c r="D163" s="8" t="n">
        <x:f>IF(MOD(A163,4)=0,1,0)</x:f>
        <x:v>1</x:v>
      </x:c>
      <x:c r="E163" s="8" t="n">
        <x:f>IF(AND(F162&lt;=9,AS162&gt;=AR162),1,0)</x:f>
        <x:v>0</x:v>
      </x:c>
      <x:c r="F163" s="8" t="n">
        <x:f>MIN(10,F162+E163)</x:f>
        <x:v>3</x:v>
      </x:c>
      <x:c r="G163" s="8" t="n">
        <x:f>MIN(F163,9)+1</x:f>
        <x:v>4</x:v>
      </x:c>
      <x:c r="H163" s="8" t="n">
        <x:f>IF(F163&lt;=9,1,0)</x:f>
        <x:v>1</x:v>
      </x:c>
      <x:c r="I163" s="9" t="n">
        <x:f>MIN(10,F162+IF(AR162&gt;0,MIN(1,AS162/AR162),1))</x:f>
        <x:v>3.652912716496768</x:v>
      </x:c>
      <x:c r="J163" s="32" t="n">
        <x:f>INDEX(tun_FoodCap,G163)*Arch_FoodCap*EXP(tun_CapsByProject*SUMPRODUCT((Cap_Point&lt;=I163)*(Cap_Kind="Food")*Cap_Ln))</x:f>
        <x:v>183.07887500316286</x:v>
      </x:c>
      <x:c r="K163" s="32" t="n">
        <x:f>J163*MIN(1,tun_LeanBase*EXP(tun_CapsByProject*SUMPRODUCT((Cap_Point&lt;=I163)*(Cap_Kind="Lean")*Cap_Ln)))</x:f>
        <x:v>183.07887500316286</x:v>
      </x:c>
      <x:c r="L163" s="10" t="n">
        <x:f>INDEX(tun_HousingCap,G163)*EXP(tun_CapsByProject*SUMPRODUCT((Cap_Point&lt;=I163)*(Cap_Kind="Housing")*Cap_Ln))</x:f>
        <x:v>947.6999999999999</x:v>
      </x:c>
      <x:c r="M163" s="10" t="n">
        <x:f>INDEX(tun_GroupCap,G163)*tun_CohesionFactor*EXP(tun_CapsByProject*SUMPRODUCT((Cap_Point&lt;=I163)*(Cap_Kind="Group")*Cap_Ln))</x:f>
        <x:v>10000.000000000005</x:v>
      </x:c>
      <x:c r="N163" s="32" t="n">
        <x:f>MIN(J163,L163,M163)</x:f>
        <x:v>183.07887500316286</x:v>
      </x:c>
      <x:c r="O163" s="10" t="n">
        <x:f>AE162*N163</x:f>
        <x:v>366.1577500063257</x:v>
      </x:c>
      <x:c r="P163" s="9" t="n">
        <x:f>MIN(1,(AB162/(AE162*IF(tun_GroupInCrowding=1,N163,MIN(J163,L163))))^tun_CrowdingExp)</x:f>
        <x:v>0.05250430160474375</x:v>
      </x:c>
      <x:c r="Q163" s="9" t="n">
        <x:f>IF(D163=1,INDEX(tun_WinterMult,G163),1)</x:f>
        <x:v>1.25</x:v>
      </x:c>
      <x:c r="R163" s="9" t="n">
        <x:f>H163*Z162*tun_WomenShare*tun_BaseFertility*INDEX(tun_FertMult,G163)*Arch_Fertility*(1-P163)</x:f>
        <x:v>6.053006606869358</x:v>
      </x:c>
      <x:c r="S163" s="9" t="n">
        <x:f>H163*Y162*INDEX(tun_MortChild,G163)/4*Q163</x:f>
        <x:v>1.337397239995377</x:v>
      </x:c>
      <x:c r="T163" s="9" t="n">
        <x:f>H163*Z162*INDEX(tun_MortAdult,G163)*Arch_AdultMort/4*Q163</x:f>
        <x:v>0.2702795817369798</x:v>
      </x:c>
      <x:c r="U163" s="9" t="n">
        <x:f>H163*AA162*INDEX(tun_MortElder,G163)/4*Q163</x:f>
        <x:v>0.336223646394446</x:v>
      </x:c>
      <x:c r="V163" s="9" t="n">
        <x:f>H163*MAX(0,AB162-O163)*tun_OvercapLoss</x:f>
        <x:v>0</x:v>
      </x:c>
      <x:c r="W163" s="9" t="n">
        <x:f>H163*Y162/(tun_ChildYears*4)</x:f>
        <x:v>2.247726453773743</x:v>
      </x:c>
      <x:c r="X163" s="9" t="n">
        <x:f>H163*Z162/(tun_AdultYears*4)</x:f>
        <x:v>0.634086995277372</x:v>
      </x:c>
      <x:c r="Y163" s="32" t="n">
        <x:f>Y162+R163-S163-W163-Y162*V163/AB162</x:f>
        <x:v>128.34056432442986</x:v>
      </x:c>
      <x:c r="Z163" s="32" t="n">
        <x:f>Z162+W163-X163-T163-Z162*V163/AB162</x:f>
        <x:v>79.97014729115351</x:v>
      </x:c>
      <x:c r="AA163" s="32" t="n">
        <x:f>AA162+X163-U163-AA162*V163/AB162</x:f>
        <x:v>19.85996641183251</x:v>
      </x:c>
      <x:c r="AB163" s="10" t="n">
        <x:f>Y163+Z163+AA163</x:f>
        <x:v>228.1706780274159</x:v>
      </x:c>
      <x:c r="AC163" s="8" t="n">
        <x:f>IF(AND(tun_WinterTrigger=1,D163=1,AB162/AE162&gt;=K163),1,0)</x:f>
        <x:v>0</x:v>
      </x:c>
      <x:c r="AD163" s="8" t="n">
        <x:f>H163*IF(AND(OR(AB162/AE162&gt;=tun_FissionTrigger*N163,AC163=1),AB162/AE162*tun_DaughterShare&gt;=tun_MinDaughter),MAX(1,ROUND(AE162*tun_FissionRate,0)),0)</x:f>
        <x:v>0</x:v>
      </x:c>
      <x:c r="AE163" s="8" t="n">
        <x:f>IF(H163=1,MAX(1,MIN(INDEX(tun_Smax,G163),AE162+AD163)),AE162)</x:f>
        <x:v>2</x:v>
      </x:c>
      <x:c r="AF163" s="8" t="n">
        <x:f>MAX(0,AE163-AE162)</x:f>
        <x:v>0</x:v>
      </x:c>
      <x:c r="AG163" s="9" t="str">
        <x:f>IF(AF163&gt;0,B163,"")</x:f>
      </x:c>
      <x:c r="AH163" s="9" t="n">
        <x:f>IF(F163&gt;=1,1,(1+tun_LowTiesShare*(AE163-1))/AE163)</x:f>
        <x:v>1</x:v>
      </x:c>
      <x:c r="AI163" s="32" t="n">
        <x:f>(Z163+tun_ElderCommons*INDEX(LM_Elder,G163)*AA163)*AH163</x:f>
        <x:v>139.55004652665104</x:v>
      </x:c>
      <x:c r="AJ163" s="32" t="n">
        <x:f>H163*tun_CommonsCoef*AI163^tun_CommonsExp*INDEX(LM_Commons,G163)</x:f>
        <x:v>351.2807977029124</x:v>
      </x:c>
      <x:c r="AK163" s="32" t="n">
        <x:f>H163*tun_RoleScale*Arch_Roles*(AE163*(INDEX(tun_ElderRolePerSett,G163)*tun_OutElder*INDEX(LM_Elder,G163)+INDEX(tun_ShamanPerSett,G163)*tun_OutShaman)+Z163*(INDEX(tun_PriestShare,G163)*tun_OutPriest+INDEX(tun_ScribeShare,G163)*tun_OutScribe*INDEX(LM_Scribe,G163)+INDEX(tun_ScholarShare,G163)*tun_OutScholar*INDEX(LM_Scholar,G163)+INDEX(tun_ResearcherShare,G163)*tun_OutResearcher*INDEX(LM_Researcher,G163)))</x:f>
        <x:v>52.4783282483046</x:v>
      </x:c>
      <x:c r="AL163" s="32" t="n">
        <x:f>H163*tun_RoleScale*Arch_Roles*AE163*INDEX(tun_MonasteryPerSett,G163)*tun_OutMonastery*INDEX(LM_Monastery,G163)</x:f>
        <x:v>0</x:v>
      </x:c>
      <x:c r="AM163" s="32" t="n">
        <x:f>(AJ163+AK163+AL163)/4*INDEX(LM_All,G163)*INDEX(tun_Boon,G163)*Arch_Insight</x:f>
        <x:v>108.70110437376492</x:v>
      </x:c>
      <x:c r="AN163" s="32" t="n">
        <x:f>H163*(tun_KHPerAdult*Z163+tun_KHOfCommons*AJ163/4*INDEX(LM_All,G163))*tun_KHUsable*Arch_KH</x:f>
        <x:v>21.515948859303382</x:v>
      </x:c>
      <x:c r="AO163" s="32" t="n">
        <x:f>MIN(AP162+AN163,AM163*tun_KHMaxRatio)</x:f>
        <x:v>21.515948859303382</x:v>
      </x:c>
      <x:c r="AP163" s="32" t="n">
        <x:f>AP162+AN163-AO163</x:f>
        <x:v>0</x:v>
      </x:c>
      <x:c r="AQ163" s="32" t="n">
        <x:f>AM163+AO163</x:f>
        <x:v>130.2170532330683</x:v>
      </x:c>
      <x:c r="AR163" s="10" t="n">
        <x:f>IF(H163=1,INDEX(tun_Req,G163),0)</x:f>
        <x:v>5252.7422</x:v>
      </x:c>
      <x:c r="AS163" s="32" t="n">
        <x:f>IF(H163=1,IF(E163=1,AS162-AR162,AS162)+AQ163,0)</x:f>
        <x:v>3559.7992320922767</x:v>
      </x:c>
      <x:c r="AT163" s="11" t="n">
        <x:f>IF(AR163&gt;0,MIN(1,AS163/AR163),1)</x:f>
        <x:v>0.6777030161678745</x:v>
      </x:c>
      <x:c r="AU163" s="10" t="n">
        <x:f>AB163/INDEX(tun_RepScale,G163)</x:f>
        <x:v>228.1706780274159</x:v>
      </x:c>
      <x:c r="AV163" s="32" t="n">
        <x:f>AM163*60/tun_SeasonSeconds</x:f>
        <x:v>434.8044174950597</x:v>
      </x:c>
    </x:row>
    <x:row r="164">
      <x:c r="A164" s="8" t="n">
        <x:f>A163+1</x:f>
        <x:v>161</x:v>
      </x:c>
      <x:c r="B164" s="9" t="n">
        <x:f>A164*tun_SeasonSeconds/60</x:f>
        <x:v>40.25</x:v>
      </x:c>
      <x:c r="C164" s="9" t="n">
        <x:f>A164/4</x:f>
        <x:v>40.25</x:v>
      </x:c>
      <x:c r="D164" s="8" t="n">
        <x:f>IF(MOD(A164,4)=0,1,0)</x:f>
        <x:v>0</x:v>
      </x:c>
      <x:c r="E164" s="8" t="n">
        <x:f>IF(AND(F163&lt;=9,AS163&gt;=AR163),1,0)</x:f>
        <x:v>0</x:v>
      </x:c>
      <x:c r="F164" s="8" t="n">
        <x:f>MIN(10,F163+E164)</x:f>
        <x:v>3</x:v>
      </x:c>
      <x:c r="G164" s="8" t="n">
        <x:f>MIN(F164,9)+1</x:f>
        <x:v>4</x:v>
      </x:c>
      <x:c r="H164" s="8" t="n">
        <x:f>IF(F164&lt;=9,1,0)</x:f>
        <x:v>1</x:v>
      </x:c>
      <x:c r="I164" s="9" t="n">
        <x:f>MIN(10,F163+IF(AR163&gt;0,MIN(1,AS163/AR163),1))</x:f>
        <x:v>3.6777030161678743</x:v>
      </x:c>
      <x:c r="J164" s="32" t="n">
        <x:f>INDEX(tun_FoodCap,G164)*Arch_FoodCap*EXP(tun_CapsByProject*SUMPRODUCT((Cap_Point&lt;=I164)*(Cap_Kind="Food")*Cap_Ln))</x:f>
        <x:v>183.07887500316286</x:v>
      </x:c>
      <x:c r="K164" s="32" t="n">
        <x:f>J164*MIN(1,tun_LeanBase*EXP(tun_CapsByProject*SUMPRODUCT((Cap_Point&lt;=I164)*(Cap_Kind="Lean")*Cap_Ln)))</x:f>
        <x:v>183.07887500316286</x:v>
      </x:c>
      <x:c r="L164" s="10" t="n">
        <x:f>INDEX(tun_HousingCap,G164)*EXP(tun_CapsByProject*SUMPRODUCT((Cap_Point&lt;=I164)*(Cap_Kind="Housing")*Cap_Ln))</x:f>
        <x:v>947.6999999999999</x:v>
      </x:c>
      <x:c r="M164" s="10" t="n">
        <x:f>INDEX(tun_GroupCap,G164)*tun_CohesionFactor*EXP(tun_CapsByProject*SUMPRODUCT((Cap_Point&lt;=I164)*(Cap_Kind="Group")*Cap_Ln))</x:f>
        <x:v>10000.000000000005</x:v>
      </x:c>
      <x:c r="N164" s="32" t="n">
        <x:f>MIN(J164,L164,M164)</x:f>
        <x:v>183.07887500316286</x:v>
      </x:c>
      <x:c r="O164" s="10" t="n">
        <x:f>AE163*N164</x:f>
        <x:v>366.1577500063257</x:v>
      </x:c>
      <x:c r="P164" s="9" t="n">
        <x:f>MIN(1,(AB163/(AE163*IF(tun_GroupInCrowding=1,N164,MIN(J164,L164))))^tun_CrowdingExp)</x:f>
        <x:v>0.05855306227172624</x:v>
      </x:c>
      <x:c r="Q164" s="9" t="n">
        <x:f>IF(D164=1,INDEX(tun_WinterMult,G164),1)</x:f>
        <x:v>1</x:v>
      </x:c>
      <x:c r="R164" s="9" t="n">
        <x:f>H164*Z163*tun_WomenShare*tun_BaseFertility*INDEX(tun_FertMult,G164)*Arch_Fertility*(1-P164)</x:f>
        <x:v>6.117121585001008</x:v>
      </x:c>
      <x:c r="S164" s="9" t="n">
        <x:f>H164*Y163*INDEX(tun_MortChild,G164)/4*Q164</x:f>
        <x:v>1.0908947967576539</x:v>
      </x:c>
      <x:c r="T164" s="9" t="n">
        <x:f>H164*Z163*INDEX(tun_MortAdult,G164)*Arch_AdultMort/4*Q164</x:f>
        <x:v>0.21991790505067213</x:v>
      </x:c>
      <x:c r="U164" s="9" t="n">
        <x:f>H164*AA163*INDEX(tun_MortElder,G164)/4*Q164</x:f>
        <x:v>0.273074538162697</x:v>
      </x:c>
      <x:c r="V164" s="9" t="n">
        <x:f>H164*MAX(0,AB163-O164)*tun_OvercapLoss</x:f>
        <x:v>0</x:v>
      </x:c>
      <x:c r="W164" s="9" t="n">
        <x:f>H164*Y163/(tun_ChildYears*4)</x:f>
        <x:v>2.2917957915076763</x:v>
      </x:c>
      <x:c r="X164" s="9" t="n">
        <x:f>H164*Z163/(tun_AdultYears*4)</x:f>
        <x:v>0.6449205426705928</x:v>
      </x:c>
      <x:c r="Y164" s="32" t="n">
        <x:f>Y163+R164-S164-W164-Y163*V164/AB163</x:f>
        <x:v>131.07499532116555</x:v>
      </x:c>
      <x:c r="Z164" s="32" t="n">
        <x:f>Z163+W164-X164-T164-Z163*V164/AB163</x:f>
        <x:v>81.39710463493992</x:v>
      </x:c>
      <x:c r="AA164" s="32" t="n">
        <x:f>AA163+X164-U164-AA163*V164/AB163</x:f>
        <x:v>20.231812416340407</x:v>
      </x:c>
      <x:c r="AB164" s="10" t="n">
        <x:f>Y164+Z164+AA164</x:f>
        <x:v>232.70391237244587</x:v>
      </x:c>
      <x:c r="AC164" s="8" t="n">
        <x:f>IF(AND(tun_WinterTrigger=1,D164=1,AB163/AE163&gt;=K164),1,0)</x:f>
        <x:v>0</x:v>
      </x:c>
      <x:c r="AD164" s="8" t="n">
        <x:f>H164*IF(AND(OR(AB163/AE163&gt;=tun_FissionTrigger*N164,AC164=1),AB163/AE163*tun_DaughterShare&gt;=tun_MinDaughter),MAX(1,ROUND(AE163*tun_FissionRate,0)),0)</x:f>
        <x:v>0</x:v>
      </x:c>
      <x:c r="AE164" s="8" t="n">
        <x:f>IF(H164=1,MAX(1,MIN(INDEX(tun_Smax,G164),AE163+AD164)),AE163)</x:f>
        <x:v>2</x:v>
      </x:c>
      <x:c r="AF164" s="8" t="n">
        <x:f>MAX(0,AE164-AE163)</x:f>
        <x:v>0</x:v>
      </x:c>
      <x:c r="AG164" s="9" t="str">
        <x:f>IF(AF164&gt;0,B164,"")</x:f>
      </x:c>
      <x:c r="AH164" s="9" t="n">
        <x:f>IF(F164&gt;=1,1,(1+tun_LowTiesShare*(AE164-1))/AE164)</x:f>
        <x:v>1</x:v>
      </x:c>
      <x:c r="AI164" s="32" t="n">
        <x:f>(Z164+tun_ElderCommons*INDEX(LM_Elder,G164)*AA164)*AH164</x:f>
        <x:v>142.09254188396113</x:v>
      </x:c>
      <x:c r="AJ164" s="32" t="n">
        <x:f>H164*tun_CommonsCoef*AI164^tun_CommonsExp*INDEX(LM_Commons,G164)</x:f>
        <x:v>356.7134734501181</x:v>
      </x:c>
      <x:c r="AK164" s="32" t="n">
        <x:f>H164*tun_RoleScale*Arch_Roles*(AE164*(INDEX(tun_ElderRolePerSett,G164)*tun_OutElder*INDEX(LM_Elder,G164)+INDEX(tun_ShamanPerSett,G164)*tun_OutShaman)+Z164*(INDEX(tun_PriestShare,G164)*tun_OutPriest+INDEX(tun_ScribeShare,G164)*tun_OutScribe*INDEX(LM_Scribe,G164)+INDEX(tun_ScholarShare,G164)*tun_OutScholar*INDEX(LM_Scholar,G164)+INDEX(tun_ResearcherShare,G164)*tun_OutResearcher*INDEX(LM_Researcher,G164)))</x:f>
        <x:v>52.558237859556634</x:v>
      </x:c>
      <x:c r="AL164" s="32" t="n">
        <x:f>H164*tun_RoleScale*Arch_Roles*AE164*INDEX(tun_MonasteryPerSett,G164)*tun_OutMonastery*INDEX(LM_Monastery,G164)</x:f>
        <x:v>0</x:v>
      </x:c>
      <x:c r="AM164" s="32" t="n">
        <x:f>(AJ164+AK164+AL164)/4*INDEX(LM_All,G164)*INDEX(tun_Boon,G164)*Arch_Insight</x:f>
        <x:v>110.18521724677376</x:v>
      </x:c>
      <x:c r="AN164" s="32" t="n">
        <x:f>H164*(tun_KHPerAdult*Z164+tun_KHOfCommons*AJ164/4*INDEX(LM_All,G164))*tun_KHUsable*Arch_KH</x:f>
        <x:v>21.84870024881973</x:v>
      </x:c>
      <x:c r="AO164" s="32" t="n">
        <x:f>MIN(AP163+AN164,AM164*tun_KHMaxRatio)</x:f>
        <x:v>21.84870024881973</x:v>
      </x:c>
      <x:c r="AP164" s="32" t="n">
        <x:f>AP163+AN164-AO164</x:f>
        <x:v>0</x:v>
      </x:c>
      <x:c r="AQ164" s="32" t="n">
        <x:f>AM164+AO164</x:f>
        <x:v>132.0339174955935</x:v>
      </x:c>
      <x:c r="AR164" s="10" t="n">
        <x:f>IF(H164=1,INDEX(tun_Req,G164),0)</x:f>
        <x:v>5252.7422</x:v>
      </x:c>
      <x:c r="AS164" s="32" t="n">
        <x:f>IF(H164=1,IF(E164=1,AS163-AR163,AS163)+AQ164,0)</x:f>
        <x:v>3691.83314958787</x:v>
      </x:c>
      <x:c r="AT164" s="11" t="n">
        <x:f>IF(AR164&gt;0,MIN(1,AS164/AR164),1)</x:f>
        <x:v>0.7028392045564068</x:v>
      </x:c>
      <x:c r="AU164" s="10" t="n">
        <x:f>AB164/INDEX(tun_RepScale,G164)</x:f>
        <x:v>232.70391237244587</x:v>
      </x:c>
      <x:c r="AV164" s="32" t="n">
        <x:f>AM164*60/tun_SeasonSeconds</x:f>
        <x:v>440.74086898709504</x:v>
      </x:c>
    </x:row>
    <x:row r="165">
      <x:c r="A165" s="8" t="n">
        <x:f>A164+1</x:f>
        <x:v>162</x:v>
      </x:c>
      <x:c r="B165" s="9" t="n">
        <x:f>A165*tun_SeasonSeconds/60</x:f>
        <x:v>40.5</x:v>
      </x:c>
      <x:c r="C165" s="9" t="n">
        <x:f>A165/4</x:f>
        <x:v>40.5</x:v>
      </x:c>
      <x:c r="D165" s="8" t="n">
        <x:f>IF(MOD(A165,4)=0,1,0)</x:f>
        <x:v>0</x:v>
      </x:c>
      <x:c r="E165" s="8" t="n">
        <x:f>IF(AND(F164&lt;=9,AS164&gt;=AR164),1,0)</x:f>
        <x:v>0</x:v>
      </x:c>
      <x:c r="F165" s="8" t="n">
        <x:f>MIN(10,F164+E165)</x:f>
        <x:v>3</x:v>
      </x:c>
      <x:c r="G165" s="8" t="n">
        <x:f>MIN(F165,9)+1</x:f>
        <x:v>4</x:v>
      </x:c>
      <x:c r="H165" s="8" t="n">
        <x:f>IF(F165&lt;=9,1,0)</x:f>
        <x:v>1</x:v>
      </x:c>
      <x:c r="I165" s="9" t="n">
        <x:f>MIN(10,F164+IF(AR164&gt;0,MIN(1,AS164/AR164),1))</x:f>
        <x:v>3.702839204556407</x:v>
      </x:c>
      <x:c r="J165" s="32" t="n">
        <x:f>INDEX(tun_FoodCap,G165)*Arch_FoodCap*EXP(tun_CapsByProject*SUMPRODUCT((Cap_Point&lt;=I165)*(Cap_Kind="Food")*Cap_Ln))</x:f>
        <x:v>190.40203000328933</x:v>
      </x:c>
      <x:c r="K165" s="32" t="n">
        <x:f>J165*MIN(1,tun_LeanBase*EXP(tun_CapsByProject*SUMPRODUCT((Cap_Point&lt;=I165)*(Cap_Kind="Lean")*Cap_Ln)))</x:f>
        <x:v>190.40203000328933</x:v>
      </x:c>
      <x:c r="L165" s="10" t="n">
        <x:f>INDEX(tun_HousingCap,G165)*EXP(tun_CapsByProject*SUMPRODUCT((Cap_Point&lt;=I165)*(Cap_Kind="Housing")*Cap_Ln))</x:f>
        <x:v>947.6999999999999</x:v>
      </x:c>
      <x:c r="M165" s="10" t="n">
        <x:f>INDEX(tun_GroupCap,G165)*tun_CohesionFactor*EXP(tun_CapsByProject*SUMPRODUCT((Cap_Point&lt;=I165)*(Cap_Kind="Group")*Cap_Ln))</x:f>
        <x:v>10000.000000000005</x:v>
      </x:c>
      <x:c r="N165" s="32" t="n">
        <x:f>MIN(J165,L165,M165)</x:f>
        <x:v>190.40203000328933</x:v>
      </x:c>
      <x:c r="O165" s="10" t="n">
        <x:f>AE164*N165</x:f>
        <x:v>380.80406000657865</x:v>
      </x:c>
      <x:c r="P165" s="9" t="n">
        <x:f>MIN(1,(AB164/(AE164*IF(tun_GroupInCrowding=1,N165,MIN(J165,L165))))^tun_CrowdingExp)</x:f>
        <x:v>0.05207301091130826</x:v>
      </x:c>
      <x:c r="Q165" s="9" t="n">
        <x:f>IF(D165=1,INDEX(tun_WinterMult,G165),1)</x:f>
        <x:v>1</x:v>
      </x:c>
      <x:c r="R165" s="9" t="n">
        <x:f>H165*Z164*tun_WomenShare*tun_BaseFertility*INDEX(tun_FertMult,G165)*Arch_Fertility*(1-P165)</x:f>
        <x:v>6.269129125767285</x:v>
      </x:c>
      <x:c r="S165" s="9" t="n">
        <x:f>H165*Y164*INDEX(tun_MortChild,G165)/4*Q165</x:f>
        <x:v>1.1141374602299072</x:v>
      </x:c>
      <x:c r="T165" s="9" t="n">
        <x:f>H165*Z164*INDEX(tun_MortAdult,G165)*Arch_AdultMort/4*Q165</x:f>
        <x:v>0.22384203774608477</x:v>
      </x:c>
      <x:c r="U165" s="9" t="n">
        <x:f>H165*AA164*INDEX(tun_MortElder,G165)/4*Q165</x:f>
        <x:v>0.2781874207246806</x:v>
      </x:c>
      <x:c r="V165" s="9" t="n">
        <x:f>H165*MAX(0,AB164-O165)*tun_OvercapLoss</x:f>
        <x:v>0</x:v>
      </x:c>
      <x:c r="W165" s="9" t="n">
        <x:f>H165*Y164/(tun_ChildYears*4)</x:f>
        <x:v>2.340624916449385</x:v>
      </x:c>
      <x:c r="X165" s="9" t="n">
        <x:f>H165*Z164/(tun_AdultYears*4)</x:f>
        <x:v>0.6564282631849994</x:v>
      </x:c>
      <x:c r="Y165" s="32" t="n">
        <x:f>Y164+R165-S165-W165-Y164*V165/AB164</x:f>
        <x:v>133.88936207025355</x:v>
      </x:c>
      <x:c r="Z165" s="32" t="n">
        <x:f>Z164+W165-X165-T165-Z164*V165/AB164</x:f>
        <x:v>82.85745925045822</x:v>
      </x:c>
      <x:c r="AA165" s="32" t="n">
        <x:f>AA164+X165-U165-AA164*V165/AB164</x:f>
        <x:v>20.610053258800725</x:v>
      </x:c>
      <x:c r="AB165" s="10" t="n">
        <x:f>Y165+Z165+AA165</x:f>
        <x:v>237.3568745795125</x:v>
      </x:c>
      <x:c r="AC165" s="8" t="n">
        <x:f>IF(AND(tun_WinterTrigger=1,D165=1,AB164/AE164&gt;=K165),1,0)</x:f>
        <x:v>0</x:v>
      </x:c>
      <x:c r="AD165" s="8" t="n">
        <x:f>H165*IF(AND(OR(AB164/AE164&gt;=tun_FissionTrigger*N165,AC165=1),AB164/AE164*tun_DaughterShare&gt;=tun_MinDaughter),MAX(1,ROUND(AE164*tun_FissionRate,0)),0)</x:f>
        <x:v>0</x:v>
      </x:c>
      <x:c r="AE165" s="8" t="n">
        <x:f>IF(H165=1,MAX(1,MIN(INDEX(tun_Smax,G165),AE164+AD165)),AE164)</x:f>
        <x:v>2</x:v>
      </x:c>
      <x:c r="AF165" s="8" t="n">
        <x:f>MAX(0,AE165-AE164)</x:f>
        <x:v>0</x:v>
      </x:c>
      <x:c r="AG165" s="9" t="str">
        <x:f>IF(AF165&gt;0,B165,"")</x:f>
      </x:c>
      <x:c r="AH165" s="9" t="n">
        <x:f>IF(F165&gt;=1,1,(1+tun_LowTiesShare*(AE165-1))/AE165)</x:f>
        <x:v>1</x:v>
      </x:c>
      <x:c r="AI165" s="32" t="n">
        <x:f>(Z165+tun_ElderCommons*INDEX(LM_Elder,G165)*AA165)*AH165</x:f>
        <x:v>144.6876190268604</x:v>
      </x:c>
      <x:c r="AJ165" s="32" t="n">
        <x:f>H165*tun_CommonsCoef*AI165^tun_CommonsExp*INDEX(LM_Commons,G165)</x:f>
        <x:v>362.24348803743885</x:v>
      </x:c>
      <x:c r="AK165" s="32" t="n">
        <x:f>H165*tun_RoleScale*Arch_Roles*(AE165*(INDEX(tun_ElderRolePerSett,G165)*tun_OutElder*INDEX(LM_Elder,G165)+INDEX(tun_ShamanPerSett,G165)*tun_OutShaman)+Z165*(INDEX(tun_PriestShare,G165)*tun_OutPriest+INDEX(tun_ScribeShare,G165)*tun_OutScribe*INDEX(LM_Scribe,G165)+INDEX(tun_ScholarShare,G165)*tun_OutScholar*INDEX(LM_Scholar,G165)+INDEX(tun_ResearcherShare,G165)*tun_OutResearcher*INDEX(LM_Researcher,G165)))</x:f>
        <x:v>52.64001771802566</x:v>
      </x:c>
      <x:c r="AL165" s="32" t="n">
        <x:f>H165*tun_RoleScale*Arch_Roles*AE165*INDEX(tun_MonasteryPerSett,G165)*tun_OutMonastery*INDEX(LM_Monastery,G165)</x:f>
        <x:v>0</x:v>
      </x:c>
      <x:c r="AM165" s="32" t="n">
        <x:f>(AJ165+AK165+AL165)/4*INDEX(LM_All,G165)*INDEX(tun_Boon,G165)*Arch_Insight</x:f>
        <x:v>111.69603945379828</x:v>
      </x:c>
      <x:c r="AN165" s="32" t="n">
        <x:f>H165*(tun_KHPerAdult*Z165+tun_KHOfCommons*AJ165/4*INDEX(LM_All,G165))*tun_KHUsable*Arch_KH</x:f>
        <x:v>22.187413642293127</x:v>
      </x:c>
      <x:c r="AO165" s="32" t="n">
        <x:f>MIN(AP164+AN165,AM165*tun_KHMaxRatio)</x:f>
        <x:v>22.187413642293127</x:v>
      </x:c>
      <x:c r="AP165" s="32" t="n">
        <x:f>AP164+AN165-AO165</x:f>
        <x:v>0</x:v>
      </x:c>
      <x:c r="AQ165" s="32" t="n">
        <x:f>AM165+AO165</x:f>
        <x:v>133.88345309609142</x:v>
      </x:c>
      <x:c r="AR165" s="10" t="n">
        <x:f>IF(H165=1,INDEX(tun_Req,G165),0)</x:f>
        <x:v>5252.7422</x:v>
      </x:c>
      <x:c r="AS165" s="32" t="n">
        <x:f>IF(H165=1,IF(E165=1,AS164-AR164,AS164)+AQ165,0)</x:f>
        <x:v>3825.7166026839614</x:v>
      </x:c>
      <x:c r="AT165" s="11" t="n">
        <x:f>IF(AR165&gt;0,MIN(1,AS165/AR165),1)</x:f>
        <x:v>0.7283275015255768</x:v>
      </x:c>
      <x:c r="AU165" s="10" t="n">
        <x:f>AB165/INDEX(tun_RepScale,G165)</x:f>
        <x:v>237.3568745795125</x:v>
      </x:c>
      <x:c r="AV165" s="32" t="n">
        <x:f>AM165*60/tun_SeasonSeconds</x:f>
        <x:v>446.7841578151931</x:v>
      </x:c>
    </x:row>
    <x:row r="166">
      <x:c r="A166" s="8" t="n">
        <x:f>A165+1</x:f>
        <x:v>163</x:v>
      </x:c>
      <x:c r="B166" s="9" t="n">
        <x:f>A166*tun_SeasonSeconds/60</x:f>
        <x:v>40.75</x:v>
      </x:c>
      <x:c r="C166" s="9" t="n">
        <x:f>A166/4</x:f>
        <x:v>40.75</x:v>
      </x:c>
      <x:c r="D166" s="8" t="n">
        <x:f>IF(MOD(A166,4)=0,1,0)</x:f>
        <x:v>0</x:v>
      </x:c>
      <x:c r="E166" s="8" t="n">
        <x:f>IF(AND(F165&lt;=9,AS165&gt;=AR165),1,0)</x:f>
        <x:v>0</x:v>
      </x:c>
      <x:c r="F166" s="8" t="n">
        <x:f>MIN(10,F165+E166)</x:f>
        <x:v>3</x:v>
      </x:c>
      <x:c r="G166" s="8" t="n">
        <x:f>MIN(F166,9)+1</x:f>
        <x:v>4</x:v>
      </x:c>
      <x:c r="H166" s="8" t="n">
        <x:f>IF(F166&lt;=9,1,0)</x:f>
        <x:v>1</x:v>
      </x:c>
      <x:c r="I166" s="9" t="n">
        <x:f>MIN(10,F165+IF(AR165&gt;0,MIN(1,AS165/AR165),1))</x:f>
        <x:v>3.728327501525577</x:v>
      </x:c>
      <x:c r="J166" s="32" t="n">
        <x:f>INDEX(tun_FoodCap,G166)*Arch_FoodCap*EXP(tun_CapsByProject*SUMPRODUCT((Cap_Point&lt;=I166)*(Cap_Kind="Food")*Cap_Ln))</x:f>
        <x:v>190.40203000328933</x:v>
      </x:c>
      <x:c r="K166" s="32" t="n">
        <x:f>J166*MIN(1,tun_LeanBase*EXP(tun_CapsByProject*SUMPRODUCT((Cap_Point&lt;=I166)*(Cap_Kind="Lean")*Cap_Ln)))</x:f>
        <x:v>190.40203000328933</x:v>
      </x:c>
      <x:c r="L166" s="10" t="n">
        <x:f>INDEX(tun_HousingCap,G166)*EXP(tun_CapsByProject*SUMPRODUCT((Cap_Point&lt;=I166)*(Cap_Kind="Housing")*Cap_Ln))</x:f>
        <x:v>947.6999999999999</x:v>
      </x:c>
      <x:c r="M166" s="10" t="n">
        <x:f>INDEX(tun_GroupCap,G166)*tun_CohesionFactor*EXP(tun_CapsByProject*SUMPRODUCT((Cap_Point&lt;=I166)*(Cap_Kind="Group")*Cap_Ln))</x:f>
        <x:v>10000.000000000005</x:v>
      </x:c>
      <x:c r="N166" s="32" t="n">
        <x:f>MIN(J166,L166,M166)</x:f>
        <x:v>190.40203000328933</x:v>
      </x:c>
      <x:c r="O166" s="10" t="n">
        <x:f>AE165*N166</x:f>
        <x:v>380.80406000657865</x:v>
      </x:c>
      <x:c r="P166" s="9" t="n">
        <x:f>MIN(1,(AB165/(AE165*IF(tun_GroupInCrowding=1,N166,MIN(J166,L166))))^tun_CrowdingExp)</x:f>
        <x:v>0.05864101356377545</x:v>
      </x:c>
      <x:c r="Q166" s="9" t="n">
        <x:f>IF(D166=1,INDEX(tun_WinterMult,G166),1)</x:f>
        <x:v>1</x:v>
      </x:c>
      <x:c r="R166" s="9" t="n">
        <x:f>H166*Z165*tun_WomenShare*tun_BaseFertility*INDEX(tun_FertMult,G166)*Arch_Fertility*(1-P166)</x:f>
        <x:v>6.337387376018736</x:v>
      </x:c>
      <x:c r="S166" s="9" t="n">
        <x:f>H166*Y165*INDEX(tun_MortChild,G166)/4*Q166</x:f>
        <x:v>1.1380595775971554</x:v>
      </x:c>
      <x:c r="T166" s="9" t="n">
        <x:f>H166*Z165*INDEX(tun_MortAdult,G166)*Arch_AdultMort/4*Q166</x:f>
        <x:v>0.2278580129387601</x:v>
      </x:c>
      <x:c r="U166" s="9" t="n">
        <x:f>H166*AA165*INDEX(tun_MortElder,G166)/4*Q166</x:f>
        <x:v>0.28338823230850996</x:v>
      </x:c>
      <x:c r="V166" s="9" t="n">
        <x:f>H166*MAX(0,AB165-O166)*tun_OvercapLoss</x:f>
        <x:v>0</x:v>
      </x:c>
      <x:c r="W166" s="9" t="n">
        <x:f>H166*Y165/(tun_ChildYears*4)</x:f>
        <x:v>2.390881465540242</x:v>
      </x:c>
      <x:c r="X166" s="9" t="n">
        <x:f>H166*Z165/(tun_AdultYears*4)</x:f>
        <x:v>0.6682053165359534</x:v>
      </x:c>
      <x:c r="Y166" s="32" t="n">
        <x:f>Y165+R166-S166-W166-Y165*V166/AB165</x:f>
        <x:v>136.6978084031349</x:v>
      </x:c>
      <x:c r="Z166" s="32" t="n">
        <x:f>Z165+W166-X166-T166-Z165*V166/AB165</x:f>
        <x:v>84.35227738652375</x:v>
      </x:c>
      <x:c r="AA166" s="32" t="n">
        <x:f>AA165+X166-U166-AA165*V166/AB165</x:f>
        <x:v>20.99487034302817</x:v>
      </x:c>
      <x:c r="AB166" s="10" t="n">
        <x:f>Y166+Z166+AA166</x:f>
        <x:v>242.04495613268682</x:v>
      </x:c>
      <x:c r="AC166" s="8" t="n">
        <x:f>IF(AND(tun_WinterTrigger=1,D166=1,AB165/AE165&gt;=K166),1,0)</x:f>
        <x:v>0</x:v>
      </x:c>
      <x:c r="AD166" s="8" t="n">
        <x:f>H166*IF(AND(OR(AB165/AE165&gt;=tun_FissionTrigger*N166,AC166=1),AB165/AE165*tun_DaughterShare&gt;=tun_MinDaughter),MAX(1,ROUND(AE165*tun_FissionRate,0)),0)</x:f>
        <x:v>0</x:v>
      </x:c>
      <x:c r="AE166" s="8" t="n">
        <x:f>IF(H166=1,MAX(1,MIN(INDEX(tun_Smax,G166),AE165+AD166)),AE165)</x:f>
        <x:v>2</x:v>
      </x:c>
      <x:c r="AF166" s="8" t="n">
        <x:f>MAX(0,AE166-AE165)</x:f>
        <x:v>0</x:v>
      </x:c>
      <x:c r="AG166" s="9" t="str">
        <x:f>IF(AF166&gt;0,B166,"")</x:f>
      </x:c>
      <x:c r="AH166" s="9" t="n">
        <x:f>IF(F166&gt;=1,1,(1+tun_LowTiesShare*(AE166-1))/AE166)</x:f>
        <x:v>1</x:v>
      </x:c>
      <x:c r="AI166" s="32" t="n">
        <x:f>(Z166+tun_ElderCommons*INDEX(LM_Elder,G166)*AA166)*AH166</x:f>
        <x:v>147.33688841560826</x:v>
      </x:c>
      <x:c r="AJ166" s="32" t="n">
        <x:f>H166*tun_CommonsCoef*AI166^tun_CommonsExp*INDEX(LM_Commons,G166)</x:f>
        <x:v>367.8736592471627</x:v>
      </x:c>
      <x:c r="AK166" s="32" t="n">
        <x:f>H166*tun_RoleScale*Arch_Roles*(AE166*(INDEX(tun_ElderRolePerSett,G166)*tun_OutElder*INDEX(LM_Elder,G166)+INDEX(tun_ShamanPerSett,G166)*tun_OutShaman)+Z166*(INDEX(tun_PriestShare,G166)*tun_OutPriest+INDEX(tun_ScribeShare,G166)*tun_OutScribe*INDEX(LM_Scribe,G166)+INDEX(tun_ScholarShare,G166)*tun_OutScholar*INDEX(LM_Scholar,G166)+INDEX(tun_ResearcherShare,G166)*tun_OutResearcher*INDEX(LM_Researcher,G166)))</x:f>
        <x:v>52.72372753364533</x:v>
      </x:c>
      <x:c r="AL166" s="32" t="n">
        <x:f>H166*tun_RoleScale*Arch_Roles*AE166*INDEX(tun_MonasteryPerSett,G166)*tun_OutMonastery*INDEX(LM_Monastery,G166)</x:f>
        <x:v>0</x:v>
      </x:c>
      <x:c r="AM166" s="32" t="n">
        <x:f>(AJ166+AK166+AL166)/4*INDEX(LM_All,G166)*INDEX(tun_Boon,G166)*Arch_Insight</x:f>
        <x:v>113.23434568093775</x:v>
      </x:c>
      <x:c r="AN166" s="32" t="n">
        <x:f>H166*(tun_KHPerAdult*Z166+tun_KHOfCommons*AJ166/4*INDEX(LM_All,G166))*tun_KHUsable*Arch_KH</x:f>
        <x:v>22.532261628888715</x:v>
      </x:c>
      <x:c r="AO166" s="32" t="n">
        <x:f>MIN(AP165+AN166,AM166*tun_KHMaxRatio)</x:f>
        <x:v>22.532261628888715</x:v>
      </x:c>
      <x:c r="AP166" s="32" t="n">
        <x:f>AP165+AN166-AO166</x:f>
        <x:v>0</x:v>
      </x:c>
      <x:c r="AQ166" s="32" t="n">
        <x:f>AM166+AO166</x:f>
        <x:v>135.76660730982647</x:v>
      </x:c>
      <x:c r="AR166" s="10" t="n">
        <x:f>IF(H166=1,INDEX(tun_Req,G166),0)</x:f>
        <x:v>5252.7422</x:v>
      </x:c>
      <x:c r="AS166" s="32" t="n">
        <x:f>IF(H166=1,IF(E166=1,AS165-AR165,AS165)+AQ166,0)</x:f>
        <x:v>3961.483209993788</x:v>
      </x:c>
      <x:c r="AT166" s="11" t="n">
        <x:f>IF(AR166&gt;0,MIN(1,AS166/AR166),1)</x:f>
        <x:v>0.754174307277785</x:v>
      </x:c>
      <x:c r="AU166" s="10" t="n">
        <x:f>AB166/INDEX(tun_RepScale,G166)</x:f>
        <x:v>242.04495613268682</x:v>
      </x:c>
      <x:c r="AV166" s="32" t="n">
        <x:f>AM166*60/tun_SeasonSeconds</x:f>
        <x:v>452.937382723751</x:v>
      </x:c>
    </x:row>
    <x:row r="167">
      <x:c r="A167" s="8" t="n">
        <x:f>A166+1</x:f>
        <x:v>164</x:v>
      </x:c>
      <x:c r="B167" s="9" t="n">
        <x:f>A167*tun_SeasonSeconds/60</x:f>
        <x:v>41</x:v>
      </x:c>
      <x:c r="C167" s="9" t="n">
        <x:f>A167/4</x:f>
        <x:v>41</x:v>
      </x:c>
      <x:c r="D167" s="8" t="n">
        <x:f>IF(MOD(A167,4)=0,1,0)</x:f>
        <x:v>1</x:v>
      </x:c>
      <x:c r="E167" s="8" t="n">
        <x:f>IF(AND(F166&lt;=9,AS166&gt;=AR166),1,0)</x:f>
        <x:v>0</x:v>
      </x:c>
      <x:c r="F167" s="8" t="n">
        <x:f>MIN(10,F166+E167)</x:f>
        <x:v>3</x:v>
      </x:c>
      <x:c r="G167" s="8" t="n">
        <x:f>MIN(F167,9)+1</x:f>
        <x:v>4</x:v>
      </x:c>
      <x:c r="H167" s="8" t="n">
        <x:f>IF(F167&lt;=9,1,0)</x:f>
        <x:v>1</x:v>
      </x:c>
      <x:c r="I167" s="9" t="n">
        <x:f>MIN(10,F166+IF(AR166&gt;0,MIN(1,AS166/AR166),1))</x:f>
        <x:v>3.754174307277785</x:v>
      </x:c>
      <x:c r="J167" s="32" t="n">
        <x:f>INDEX(tun_FoodCap,G167)*Arch_FoodCap*EXP(tun_CapsByProject*SUMPRODUCT((Cap_Point&lt;=I167)*(Cap_Kind="Food")*Cap_Ln))</x:f>
        <x:v>190.40203000328933</x:v>
      </x:c>
      <x:c r="K167" s="32" t="n">
        <x:f>J167*MIN(1,tun_LeanBase*EXP(tun_CapsByProject*SUMPRODUCT((Cap_Point&lt;=I167)*(Cap_Kind="Lean")*Cap_Ln)))</x:f>
        <x:v>190.40203000328933</x:v>
      </x:c>
      <x:c r="L167" s="10" t="n">
        <x:f>INDEX(tun_HousingCap,G167)*EXP(tun_CapsByProject*SUMPRODUCT((Cap_Point&lt;=I167)*(Cap_Kind="Housing")*Cap_Ln))</x:f>
        <x:v>947.6999999999999</x:v>
      </x:c>
      <x:c r="M167" s="10" t="n">
        <x:f>INDEX(tun_GroupCap,G167)*tun_CohesionFactor*EXP(tun_CapsByProject*SUMPRODUCT((Cap_Point&lt;=I167)*(Cap_Kind="Group")*Cap_Ln))</x:f>
        <x:v>10000.000000000005</x:v>
      </x:c>
      <x:c r="N167" s="32" t="n">
        <x:f>MIN(J167,L167,M167)</x:f>
        <x:v>190.40203000328933</x:v>
      </x:c>
      <x:c r="O167" s="10" t="n">
        <x:f>AE166*N167</x:f>
        <x:v>380.80406000657865</x:v>
      </x:c>
      <x:c r="P167" s="9" t="n">
        <x:f>MIN(1,(AB166/(AE166*IF(tun_GroupInCrowding=1,N167,MIN(J167,L167))))^tun_CrowdingExp)</x:f>
        <x:v>0.06594271162505827</x:v>
      </x:c>
      <x:c r="Q167" s="9" t="n">
        <x:f>IF(D167=1,INDEX(tun_WinterMult,G167),1)</x:f>
        <x:v>1.25</x:v>
      </x:c>
      <x:c r="R167" s="9" t="n">
        <x:f>H167*Z166*tun_WomenShare*tun_BaseFertility*INDEX(tun_FertMult,G167)*Arch_Fertility*(1-P167)</x:f>
        <x:v>6.401676083067468</x:v>
      </x:c>
      <x:c r="S167" s="9" t="n">
        <x:f>H167*Y166*INDEX(tun_MortChild,G167)/4*Q167</x:f>
        <x:v>1.4524142142833085</x:v>
      </x:c>
      <x:c r="T167" s="9" t="n">
        <x:f>H167*Z166*INDEX(tun_MortAdult,G167)*Arch_AdultMort/4*Q167</x:f>
        <x:v>0.28996095351617535</x:v>
      </x:c>
      <x:c r="U167" s="9" t="n">
        <x:f>H167*AA166*INDEX(tun_MortElder,G167)/4*Q167</x:f>
        <x:v>0.36084933402079666</x:v>
      </x:c>
      <x:c r="V167" s="9" t="n">
        <x:f>H167*MAX(0,AB166-O167)*tun_OvercapLoss</x:f>
        <x:v>0</x:v>
      </x:c>
      <x:c r="W167" s="9" t="n">
        <x:f>H167*Y166/(tun_ChildYears*4)</x:f>
        <x:v>2.4410322929131234</x:v>
      </x:c>
      <x:c r="X167" s="9" t="n">
        <x:f>H167*Z166/(tun_AdultYears*4)</x:f>
        <x:v>0.6802603015042238</x:v>
      </x:c>
      <x:c r="Y167" s="32" t="n">
        <x:f>Y166+R167-S167-W167-Y166*V167/AB166</x:f>
        <x:v>139.20603797900594</x:v>
      </x:c>
      <x:c r="Z167" s="32" t="n">
        <x:f>Z166+W167-X167-T167-Z166*V167/AB166</x:f>
        <x:v>85.82308842441648</x:v>
      </x:c>
      <x:c r="AA167" s="32" t="n">
        <x:f>AA166+X167-U167-AA166*V167/AB166</x:f>
        <x:v>21.314281310511596</x:v>
      </x:c>
      <x:c r="AB167" s="10" t="n">
        <x:f>Y167+Z167+AA167</x:f>
        <x:v>246.34340771393403</x:v>
      </x:c>
      <x:c r="AC167" s="8" t="n">
        <x:f>IF(AND(tun_WinterTrigger=1,D167=1,AB166/AE166&gt;=K167),1,0)</x:f>
        <x:v>0</x:v>
      </x:c>
      <x:c r="AD167" s="8" t="n">
        <x:f>H167*IF(AND(OR(AB166/AE166&gt;=tun_FissionTrigger*N167,AC167=1),AB166/AE166*tun_DaughterShare&gt;=tun_MinDaughter),MAX(1,ROUND(AE166*tun_FissionRate,0)),0)</x:f>
        <x:v>0</x:v>
      </x:c>
      <x:c r="AE167" s="8" t="n">
        <x:f>IF(H167=1,MAX(1,MIN(INDEX(tun_Smax,G167),AE166+AD167)),AE166)</x:f>
        <x:v>2</x:v>
      </x:c>
      <x:c r="AF167" s="8" t="n">
        <x:f>MAX(0,AE167-AE166)</x:f>
        <x:v>0</x:v>
      </x:c>
      <x:c r="AG167" s="9" t="str">
        <x:f>IF(AF167&gt;0,B167,"")</x:f>
      </x:c>
      <x:c r="AH167" s="9" t="n">
        <x:f>IF(F167&gt;=1,1,(1+tun_LowTiesShare*(AE167-1))/AE167)</x:f>
        <x:v>1</x:v>
      </x:c>
      <x:c r="AI167" s="32" t="n">
        <x:f>(Z167+tun_ElderCommons*INDEX(LM_Elder,G167)*AA167)*AH167</x:f>
        <x:v>149.76593235595126</x:v>
      </x:c>
      <x:c r="AJ167" s="32" t="n">
        <x:f>H167*tun_CommonsCoef*AI167^tun_CommonsExp*INDEX(LM_Commons,G167)</x:f>
        <x:v>373.02247720364596</x:v>
      </x:c>
      <x:c r="AK167" s="32" t="n">
        <x:f>H167*tun_RoleScale*Arch_Roles*(AE167*(INDEX(tun_ElderRolePerSett,G167)*tun_OutElder*INDEX(LM_Elder,G167)+INDEX(tun_ShamanPerSett,G167)*tun_OutShaman)+Z167*(INDEX(tun_PriestShare,G167)*tun_OutPriest+INDEX(tun_ScribeShare,G167)*tun_OutScribe*INDEX(LM_Scribe,G167)+INDEX(tun_ScholarShare,G167)*tun_OutScholar*INDEX(LM_Scholar,G167)+INDEX(tun_ResearcherShare,G167)*tun_OutResearcher*INDEX(LM_Researcher,G167)))</x:f>
        <x:v>52.806092951767326</x:v>
      </x:c>
      <x:c r="AL167" s="32" t="n">
        <x:f>H167*tun_RoleScale*Arch_Roles*AE167*INDEX(tun_MonasteryPerSett,G167)*tun_OutMonastery*INDEX(LM_Monastery,G167)</x:f>
        <x:v>0</x:v>
      </x:c>
      <x:c r="AM167" s="32" t="n">
        <x:f>(AJ167+AK167+AL167)/4*INDEX(LM_All,G167)*INDEX(tun_Boon,G167)*Arch_Insight</x:f>
        <x:v>114.6426987643798</x:v>
      </x:c>
      <x:c r="AN167" s="32" t="n">
        <x:f>H167*(tun_KHPerAdult*Z167+tun_KHOfCommons*AJ167/4*INDEX(LM_All,G167))*tun_KHUsable*Arch_KH</x:f>
        <x:v>22.847626728723313</x:v>
      </x:c>
      <x:c r="AO167" s="32" t="n">
        <x:f>MIN(AP166+AN167,AM167*tun_KHMaxRatio)</x:f>
        <x:v>22.847626728723313</x:v>
      </x:c>
      <x:c r="AP167" s="32" t="n">
        <x:f>AP166+AN167-AO167</x:f>
        <x:v>0</x:v>
      </x:c>
      <x:c r="AQ167" s="32" t="n">
        <x:f>AM167+AO167</x:f>
        <x:v>137.49032549310311</x:v>
      </x:c>
      <x:c r="AR167" s="10" t="n">
        <x:f>IF(H167=1,INDEX(tun_Req,G167),0)</x:f>
        <x:v>5252.7422</x:v>
      </x:c>
      <x:c r="AS167" s="32" t="n">
        <x:f>IF(H167=1,IF(E167=1,AS166-AR166,AS166)+AQ167,0)</x:f>
        <x:v>4098.973535486891</x:v>
      </x:c>
      <x:c r="AT167" s="11" t="n">
        <x:f>IF(AR167&gt;0,MIN(1,AS167/AR167),1)</x:f>
        <x:v>0.7803492688993743</x:v>
      </x:c>
      <x:c r="AU167" s="10" t="n">
        <x:f>AB167/INDEX(tun_RepScale,G167)</x:f>
        <x:v>246.34340771393403</x:v>
      </x:c>
      <x:c r="AV167" s="32" t="n">
        <x:f>AM167*60/tun_SeasonSeconds</x:f>
        <x:v>458.5707950575192</x:v>
      </x:c>
    </x:row>
    <x:row r="168">
      <x:c r="A168" s="8" t="n">
        <x:f>A167+1</x:f>
        <x:v>165</x:v>
      </x:c>
      <x:c r="B168" s="9" t="n">
        <x:f>A168*tun_SeasonSeconds/60</x:f>
        <x:v>41.25</x:v>
      </x:c>
      <x:c r="C168" s="9" t="n">
        <x:f>A168/4</x:f>
        <x:v>41.25</x:v>
      </x:c>
      <x:c r="D168" s="8" t="n">
        <x:f>IF(MOD(A168,4)=0,1,0)</x:f>
        <x:v>0</x:v>
      </x:c>
      <x:c r="E168" s="8" t="n">
        <x:f>IF(AND(F167&lt;=9,AS167&gt;=AR167),1,0)</x:f>
        <x:v>0</x:v>
      </x:c>
      <x:c r="F168" s="8" t="n">
        <x:f>MIN(10,F167+E168)</x:f>
        <x:v>3</x:v>
      </x:c>
      <x:c r="G168" s="8" t="n">
        <x:f>MIN(F168,9)+1</x:f>
        <x:v>4</x:v>
      </x:c>
      <x:c r="H168" s="8" t="n">
        <x:f>IF(F168&lt;=9,1,0)</x:f>
        <x:v>1</x:v>
      </x:c>
      <x:c r="I168" s="9" t="n">
        <x:f>MIN(10,F167+IF(AR167&gt;0,MIN(1,AS167/AR167),1))</x:f>
        <x:v>3.780349268899374</x:v>
      </x:c>
      <x:c r="J168" s="32" t="n">
        <x:f>INDEX(tun_FoodCap,G168)*Arch_FoodCap*EXP(tun_CapsByProject*SUMPRODUCT((Cap_Point&lt;=I168)*(Cap_Kind="Food")*Cap_Ln))</x:f>
        <x:v>190.40203000328933</x:v>
      </x:c>
      <x:c r="K168" s="32" t="n">
        <x:f>J168*MIN(1,tun_LeanBase*EXP(tun_CapsByProject*SUMPRODUCT((Cap_Point&lt;=I168)*(Cap_Kind="Lean")*Cap_Ln)))</x:f>
        <x:v>190.40203000328933</x:v>
      </x:c>
      <x:c r="L168" s="10" t="n">
        <x:f>INDEX(tun_HousingCap,G168)*EXP(tun_CapsByProject*SUMPRODUCT((Cap_Point&lt;=I168)*(Cap_Kind="Housing")*Cap_Ln))</x:f>
        <x:v>947.6999999999999</x:v>
      </x:c>
      <x:c r="M168" s="10" t="n">
        <x:f>INDEX(tun_GroupCap,G168)*tun_CohesionFactor*EXP(tun_CapsByProject*SUMPRODUCT((Cap_Point&lt;=I168)*(Cap_Kind="Group")*Cap_Ln))</x:f>
        <x:v>10000.000000000005</x:v>
      </x:c>
      <x:c r="N168" s="32" t="n">
        <x:f>MIN(J168,L168,M168)</x:f>
        <x:v>190.40203000328933</x:v>
      </x:c>
      <x:c r="O168" s="10" t="n">
        <x:f>AE167*N168</x:f>
        <x:v>380.80406000657865</x:v>
      </x:c>
      <x:c r="P168" s="9" t="n">
        <x:f>MIN(1,(AB167/(AE167*IF(tun_GroupInCrowding=1,N168,MIN(J168,L168))))^tun_CrowdingExp)</x:f>
        <x:v>0.07328857012270566</x:v>
      </x:c>
      <x:c r="Q168" s="9" t="n">
        <x:f>IF(D168=1,INDEX(tun_WinterMult,G168),1)</x:f>
        <x:v>1</x:v>
      </x:c>
      <x:c r="R168" s="9" t="n">
        <x:f>H168*Z167*tun_WomenShare*tun_BaseFertility*INDEX(tun_FertMult,G168)*Arch_Fertility*(1-P168)</x:f>
        <x:v>6.462075505459963</x:v>
      </x:c>
      <x:c r="S168" s="9" t="n">
        <x:f>H168*Y167*INDEX(tun_MortChild,G168)/4*Q168</x:f>
        <x:v>1.1832513228215507</x:v>
      </x:c>
      <x:c r="T168" s="9" t="n">
        <x:f>H168*Z167*INDEX(tun_MortAdult,G168)*Arch_AdultMort/4*Q168</x:f>
        <x:v>0.23601349316714532</x:v>
      </x:c>
      <x:c r="U168" s="9" t="n">
        <x:f>H168*AA167*INDEX(tun_MortElder,G168)/4*Q168</x:f>
        <x:v>0.29307136801953443</x:v>
      </x:c>
      <x:c r="V168" s="9" t="n">
        <x:f>H168*MAX(0,AB167-O168)*tun_OvercapLoss</x:f>
        <x:v>0</x:v>
      </x:c>
      <x:c r="W168" s="9" t="n">
        <x:f>H168*Y167/(tun_ChildYears*4)</x:f>
        <x:v>2.485822106767963</x:v>
      </x:c>
      <x:c r="X168" s="9" t="n">
        <x:f>H168*Z167/(tun_AdultYears*4)</x:f>
        <x:v>0.6921216808420684</x:v>
      </x:c>
      <x:c r="Y168" s="32" t="n">
        <x:f>Y167+R168-S168-W168-Y167*V168/AB167</x:f>
        <x:v>141.9990400548764</x:v>
      </x:c>
      <x:c r="Z168" s="32" t="n">
        <x:f>Z167+W168-X168-T168-Z167*V168/AB167</x:f>
        <x:v>87.38077535717524</x:v>
      </x:c>
      <x:c r="AA168" s="32" t="n">
        <x:f>AA167+X168-U168-AA167*V168/AB167</x:f>
        <x:v>21.713331623334128</x:v>
      </x:c>
      <x:c r="AB168" s="10" t="n">
        <x:f>Y168+Z168+AA168</x:f>
        <x:v>251.09314703538575</x:v>
      </x:c>
      <x:c r="AC168" s="8" t="n">
        <x:f>IF(AND(tun_WinterTrigger=1,D168=1,AB167/AE167&gt;=K168),1,0)</x:f>
        <x:v>0</x:v>
      </x:c>
      <x:c r="AD168" s="8" t="n">
        <x:f>H168*IF(AND(OR(AB167/AE167&gt;=tun_FissionTrigger*N168,AC168=1),AB167/AE167*tun_DaughterShare&gt;=tun_MinDaughter),MAX(1,ROUND(AE167*tun_FissionRate,0)),0)</x:f>
        <x:v>0</x:v>
      </x:c>
      <x:c r="AE168" s="8" t="n">
        <x:f>IF(H168=1,MAX(1,MIN(INDEX(tun_Smax,G168),AE167+AD168)),AE167)</x:f>
        <x:v>2</x:v>
      </x:c>
      <x:c r="AF168" s="8" t="n">
        <x:f>MAX(0,AE168-AE167)</x:f>
        <x:v>0</x:v>
      </x:c>
      <x:c r="AG168" s="9" t="str">
        <x:f>IF(AF168&gt;0,B168,"")</x:f>
      </x:c>
      <x:c r="AH168" s="9" t="n">
        <x:f>IF(F168&gt;=1,1,(1+tun_LowTiesShare*(AE168-1))/AE168)</x:f>
        <x:v>1</x:v>
      </x:c>
      <x:c r="AI168" s="32" t="n">
        <x:f>(Z168+tun_ElderCommons*INDEX(LM_Elder,G168)*AA168)*AH168</x:f>
        <x:v>152.52077022717762</x:v>
      </x:c>
      <x:c r="AJ168" s="32" t="n">
        <x:f>H168*tun_CommonsCoef*AI168^tun_CommonsExp*INDEX(LM_Commons,G168)</x:f>
        <x:v>378.8467481843306</x:v>
      </x:c>
      <x:c r="AK168" s="32" t="n">
        <x:f>H168*tun_RoleScale*Arch_Roles*(AE168*(INDEX(tun_ElderRolePerSett,G168)*tun_OutElder*INDEX(LM_Elder,G168)+INDEX(tun_ShamanPerSett,G168)*tun_OutShaman)+Z168*(INDEX(tun_PriestShare,G168)*tun_OutPriest+INDEX(tun_ScribeShare,G168)*tun_OutScribe*INDEX(LM_Scribe,G168)+INDEX(tun_ScholarShare,G168)*tun_OutScholar*INDEX(LM_Scholar,G168)+INDEX(tun_ResearcherShare,G168)*tun_OutResearcher*INDEX(LM_Researcher,G168)))</x:f>
        <x:v>52.89332342000181</x:v>
      </x:c>
      <x:c r="AL168" s="32" t="n">
        <x:f>H168*tun_RoleScale*Arch_Roles*AE168*INDEX(tun_MonasteryPerSett,G168)*tun_OutMonastery*INDEX(LM_Monastery,G168)</x:f>
        <x:v>0</x:v>
      </x:c>
      <x:c r="AM168" s="32" t="n">
        <x:f>(AJ168+AK168+AL168)/4*INDEX(LM_All,G168)*INDEX(tun_Boon,G168)*Arch_Insight</x:f>
        <x:v>116.23420888688354</x:v>
      </x:c>
      <x:c r="AN168" s="32" t="n">
        <x:f>H168*(tun_KHPerAdult*Z168+tun_KHOfCommons*AJ168/4*INDEX(LM_All,G168))*tun_KHUsable*Arch_KH</x:f>
        <x:v>23.204363326290245</x:v>
      </x:c>
      <x:c r="AO168" s="32" t="n">
        <x:f>MIN(AP167+AN168,AM168*tun_KHMaxRatio)</x:f>
        <x:v>23.204363326290245</x:v>
      </x:c>
      <x:c r="AP168" s="32" t="n">
        <x:f>AP167+AN168-AO168</x:f>
        <x:v>0</x:v>
      </x:c>
      <x:c r="AQ168" s="32" t="n">
        <x:f>AM168+AO168</x:f>
        <x:v>139.43857221317379</x:v>
      </x:c>
      <x:c r="AR168" s="10" t="n">
        <x:f>IF(H168=1,INDEX(tun_Req,G168),0)</x:f>
        <x:v>5252.7422</x:v>
      </x:c>
      <x:c r="AS168" s="32" t="n">
        <x:f>IF(H168=1,IF(E168=1,AS167-AR167,AS167)+AQ168,0)</x:f>
        <x:v>4238.412107700065</x:v>
      </x:c>
      <x:c r="AT168" s="11" t="n">
        <x:f>IF(AR168&gt;0,MIN(1,AS168/AR168),1)</x:f>
        <x:v>0.8068951314039483</x:v>
      </x:c>
      <x:c r="AU168" s="10" t="n">
        <x:f>AB168/INDEX(tun_RepScale,G168)</x:f>
        <x:v>251.09314703538575</x:v>
      </x:c>
      <x:c r="AV168" s="32" t="n">
        <x:f>AM168*60/tun_SeasonSeconds</x:f>
        <x:v>464.93683554753414</x:v>
      </x:c>
    </x:row>
    <x:row r="169">
      <x:c r="A169" s="8" t="n">
        <x:f>A168+1</x:f>
        <x:v>166</x:v>
      </x:c>
      <x:c r="B169" s="9" t="n">
        <x:f>A169*tun_SeasonSeconds/60</x:f>
        <x:v>41.5</x:v>
      </x:c>
      <x:c r="C169" s="9" t="n">
        <x:f>A169/4</x:f>
        <x:v>41.5</x:v>
      </x:c>
      <x:c r="D169" s="8" t="n">
        <x:f>IF(MOD(A169,4)=0,1,0)</x:f>
        <x:v>0</x:v>
      </x:c>
      <x:c r="E169" s="8" t="n">
        <x:f>IF(AND(F168&lt;=9,AS168&gt;=AR168),1,0)</x:f>
        <x:v>0</x:v>
      </x:c>
      <x:c r="F169" s="8" t="n">
        <x:f>MIN(10,F168+E169)</x:f>
        <x:v>3</x:v>
      </x:c>
      <x:c r="G169" s="8" t="n">
        <x:f>MIN(F169,9)+1</x:f>
        <x:v>4</x:v>
      </x:c>
      <x:c r="H169" s="8" t="n">
        <x:f>IF(F169&lt;=9,1,0)</x:f>
        <x:v>1</x:v>
      </x:c>
      <x:c r="I169" s="9" t="n">
        <x:f>MIN(10,F168+IF(AR168&gt;0,MIN(1,AS168/AR168),1))</x:f>
        <x:v>3.806895131403948</x:v>
      </x:c>
      <x:c r="J169" s="32" t="n">
        <x:f>INDEX(tun_FoodCap,G169)*Arch_FoodCap*EXP(tun_CapsByProject*SUMPRODUCT((Cap_Point&lt;=I169)*(Cap_Kind="Food")*Cap_Ln))</x:f>
        <x:v>190.40203000328933</x:v>
      </x:c>
      <x:c r="K169" s="32" t="n">
        <x:f>J169*MIN(1,tun_LeanBase*EXP(tun_CapsByProject*SUMPRODUCT((Cap_Point&lt;=I169)*(Cap_Kind="Lean")*Cap_Ln)))</x:f>
        <x:v>190.40203000328933</x:v>
      </x:c>
      <x:c r="L169" s="10" t="n">
        <x:f>INDEX(tun_HousingCap,G169)*EXP(tun_CapsByProject*SUMPRODUCT((Cap_Point&lt;=I169)*(Cap_Kind="Housing")*Cap_Ln))</x:f>
        <x:v>947.6999999999999</x:v>
      </x:c>
      <x:c r="M169" s="10" t="n">
        <x:f>INDEX(tun_GroupCap,G169)*tun_CohesionFactor*EXP(tun_CapsByProject*SUMPRODUCT((Cap_Point&lt;=I169)*(Cap_Kind="Group")*Cap_Ln))</x:f>
        <x:v>10000.000000000005</x:v>
      </x:c>
      <x:c r="N169" s="32" t="n">
        <x:f>MIN(J169,L169,M169)</x:f>
        <x:v>190.40203000328933</x:v>
      </x:c>
      <x:c r="O169" s="10" t="n">
        <x:f>AE168*N169</x:f>
        <x:v>380.80406000657865</x:v>
      </x:c>
      <x:c r="P169" s="9" t="n">
        <x:f>MIN(1,(AB168/(AE168*IF(tun_GroupInCrowding=1,N169,MIN(J169,L169))))^tun_CrowdingExp)</x:f>
        <x:v>0.08218635865817078</x:v>
      </x:c>
      <x:c r="Q169" s="9" t="n">
        <x:f>IF(D169=1,INDEX(tun_WinterMult,G169),1)</x:f>
        <x:v>1</x:v>
      </x:c>
      <x:c r="R169" s="9" t="n">
        <x:f>H169*Z168*tun_WomenShare*tun_BaseFertility*INDEX(tun_FertMult,G169)*Arch_Fertility*(1-P169)</x:f>
        <x:v>6.516190493624613</x:v>
      </x:c>
      <x:c r="S169" s="9" t="n">
        <x:f>H169*Y168*INDEX(tun_MortChild,G169)/4*Q169</x:f>
        <x:v>1.2069918404664495</x:v>
      </x:c>
      <x:c r="T169" s="9" t="n">
        <x:f>H169*Z168*INDEX(tun_MortAdult,G169)*Arch_AdultMort/4*Q169</x:f>
        <x:v>0.2402971322322319</x:v>
      </x:c>
      <x:c r="U169" s="9" t="n">
        <x:f>H169*AA168*INDEX(tun_MortElder,G169)/4*Q169</x:f>
        <x:v>0.29855830982084425</x:v>
      </x:c>
      <x:c r="V169" s="9" t="n">
        <x:f>H169*MAX(0,AB168-O169)*tun_OvercapLoss</x:f>
        <x:v>0</x:v>
      </x:c>
      <x:c r="W169" s="9" t="n">
        <x:f>H169*Y168/(tun_ChildYears*4)</x:f>
        <x:v>2.5356971438370786</x:v>
      </x:c>
      <x:c r="X169" s="9" t="n">
        <x:f>H169*Z168/(tun_AdultYears*4)</x:f>
        <x:v>0.7046836722352842</x:v>
      </x:c>
      <x:c r="Y169" s="32" t="n">
        <x:f>Y168+R169-S169-W169-Y168*V169/AB168</x:f>
        <x:v>144.77254156419747</x:v>
      </x:c>
      <x:c r="Z169" s="32" t="n">
        <x:f>Z168+W169-X169-T169-Z168*V169/AB168</x:f>
        <x:v>88.9714916965448</x:v>
      </x:c>
      <x:c r="AA169" s="32" t="n">
        <x:f>AA168+X169-U169-AA168*V169/AB168</x:f>
        <x:v>22.119456985748567</x:v>
      </x:c>
      <x:c r="AB169" s="10" t="n">
        <x:f>Y169+Z169+AA169</x:f>
        <x:v>255.86349024649084</x:v>
      </x:c>
      <x:c r="AC169" s="8" t="n">
        <x:f>IF(AND(tun_WinterTrigger=1,D169=1,AB168/AE168&gt;=K169),1,0)</x:f>
        <x:v>0</x:v>
      </x:c>
      <x:c r="AD169" s="8" t="n">
        <x:f>H169*IF(AND(OR(AB168/AE168&gt;=tun_FissionTrigger*N169,AC169=1),AB168/AE168*tun_DaughterShare&gt;=tun_MinDaughter),MAX(1,ROUND(AE168*tun_FissionRate,0)),0)</x:f>
        <x:v>0</x:v>
      </x:c>
      <x:c r="AE169" s="8" t="n">
        <x:f>IF(H169=1,MAX(1,MIN(INDEX(tun_Smax,G169),AE168+AD169)),AE168)</x:f>
        <x:v>2</x:v>
      </x:c>
      <x:c r="AF169" s="8" t="n">
        <x:f>MAX(0,AE169-AE168)</x:f>
        <x:v>0</x:v>
      </x:c>
      <x:c r="AG169" s="9" t="str">
        <x:f>IF(AF169&gt;0,B169,"")</x:f>
      </x:c>
      <x:c r="AH169" s="9" t="n">
        <x:f>IF(F169&gt;=1,1,(1+tun_LowTiesShare*(AE169-1))/AE169)</x:f>
        <x:v>1</x:v>
      </x:c>
      <x:c r="AI169" s="32" t="n">
        <x:f>(Z169+tun_ElderCommons*INDEX(LM_Elder,G169)*AA169)*AH169</x:f>
        <x:v>155.32986265379049</x:v>
      </x:c>
      <x:c r="AJ169" s="32" t="n">
        <x:f>H169*tun_CommonsCoef*AI169^tun_CommonsExp*INDEX(LM_Commons,G169)</x:f>
        <x:v>384.7694982812548</x:v>
      </x:c>
      <x:c r="AK169" s="32" t="n">
        <x:f>H169*tun_RoleScale*Arch_Roles*(AE169*(INDEX(tun_ElderRolePerSett,G169)*tun_OutElder*INDEX(LM_Elder,G169)+INDEX(tun_ShamanPerSett,G169)*tun_OutShaman)+Z169*(INDEX(tun_PriestShare,G169)*tun_OutPriest+INDEX(tun_ScribeShare,G169)*tun_OutScribe*INDEX(LM_Scribe,G169)+INDEX(tun_ScholarShare,G169)*tun_OutScholar*INDEX(LM_Scholar,G169)+INDEX(tun_ResearcherShare,G169)*tun_OutResearcher*INDEX(LM_Researcher,G169)))</x:f>
        <x:v>52.98240353500651</x:v>
      </x:c>
      <x:c r="AL169" s="32" t="n">
        <x:f>H169*tun_RoleScale*Arch_Roles*AE169*INDEX(tun_MonasteryPerSett,G169)*tun_OutMonastery*INDEX(LM_Monastery,G169)</x:f>
        <x:v>0</x:v>
      </x:c>
      <x:c r="AM169" s="32" t="n">
        <x:f>(AJ169+AK169+AL169)/4*INDEX(LM_All,G169)*INDEX(tun_Boon,G169)*Arch_Insight</x:f>
        <x:v>117.85272978546304</x:v>
      </x:c>
      <x:c r="AN169" s="32" t="n">
        <x:f>H169*(tun_KHPerAdult*Z169+tun_KHOfCommons*AJ169/4*INDEX(LM_All,G169))*tun_KHUsable*Arch_KH</x:f>
        <x:v>23.567131769726856</x:v>
      </x:c>
      <x:c r="AO169" s="32" t="n">
        <x:f>MIN(AP168+AN169,AM169*tun_KHMaxRatio)</x:f>
        <x:v>23.567131769726856</x:v>
      </x:c>
      <x:c r="AP169" s="32" t="n">
        <x:f>AP168+AN169-AO169</x:f>
        <x:v>0</x:v>
      </x:c>
      <x:c r="AQ169" s="32" t="n">
        <x:f>AM169+AO169</x:f>
        <x:v>141.4198615551899</x:v>
      </x:c>
      <x:c r="AR169" s="10" t="n">
        <x:f>IF(H169=1,INDEX(tun_Req,G169),0)</x:f>
        <x:v>5252.7422</x:v>
      </x:c>
      <x:c r="AS169" s="32" t="n">
        <x:f>IF(H169=1,IF(E169=1,AS168-AR168,AS168)+AQ169,0)</x:f>
        <x:v>4379.831969255254</x:v>
      </x:c>
      <x:c r="AT169" s="11" t="n">
        <x:f>IF(AR169&gt;0,MIN(1,AS169/AR169),1)</x:f>
        <x:v>0.833818185338556</x:v>
      </x:c>
      <x:c r="AU169" s="10" t="n">
        <x:f>AB169/INDEX(tun_RepScale,G169)</x:f>
        <x:v>255.86349024649084</x:v>
      </x:c>
      <x:c r="AV169" s="32" t="n">
        <x:f>AM169*60/tun_SeasonSeconds</x:f>
        <x:v>471.41091914185216</x:v>
      </x:c>
    </x:row>
    <x:row r="170">
      <x:c r="A170" s="8" t="n">
        <x:f>A169+1</x:f>
        <x:v>167</x:v>
      </x:c>
      <x:c r="B170" s="9" t="n">
        <x:f>A170*tun_SeasonSeconds/60</x:f>
        <x:v>41.75</x:v>
      </x:c>
      <x:c r="C170" s="9" t="n">
        <x:f>A170/4</x:f>
        <x:v>41.75</x:v>
      </x:c>
      <x:c r="D170" s="8" t="n">
        <x:f>IF(MOD(A170,4)=0,1,0)</x:f>
        <x:v>0</x:v>
      </x:c>
      <x:c r="E170" s="8" t="n">
        <x:f>IF(AND(F169&lt;=9,AS169&gt;=AR169),1,0)</x:f>
        <x:v>0</x:v>
      </x:c>
      <x:c r="F170" s="8" t="n">
        <x:f>MIN(10,F169+E170)</x:f>
        <x:v>3</x:v>
      </x:c>
      <x:c r="G170" s="8" t="n">
        <x:f>MIN(F170,9)+1</x:f>
        <x:v>4</x:v>
      </x:c>
      <x:c r="H170" s="8" t="n">
        <x:f>IF(F170&lt;=9,1,0)</x:f>
        <x:v>1</x:v>
      </x:c>
      <x:c r="I170" s="9" t="n">
        <x:f>MIN(10,F169+IF(AR169&gt;0,MIN(1,AS169/AR169),1))</x:f>
        <x:v>3.833818185338556</x:v>
      </x:c>
      <x:c r="J170" s="32" t="n">
        <x:f>INDEX(tun_FoodCap,G170)*Arch_FoodCap*EXP(tun_CapsByProject*SUMPRODUCT((Cap_Point&lt;=I170)*(Cap_Kind="Food")*Cap_Ln))</x:f>
        <x:v>190.40203000328933</x:v>
      </x:c>
      <x:c r="K170" s="32" t="n">
        <x:f>J170*MIN(1,tun_LeanBase*EXP(tun_CapsByProject*SUMPRODUCT((Cap_Point&lt;=I170)*(Cap_Kind="Lean")*Cap_Ln)))</x:f>
        <x:v>190.40203000328933</x:v>
      </x:c>
      <x:c r="L170" s="10" t="n">
        <x:f>INDEX(tun_HousingCap,G170)*EXP(tun_CapsByProject*SUMPRODUCT((Cap_Point&lt;=I170)*(Cap_Kind="Housing")*Cap_Ln))</x:f>
        <x:v>947.6999999999999</x:v>
      </x:c>
      <x:c r="M170" s="10" t="n">
        <x:f>INDEX(tun_GroupCap,G170)*tun_CohesionFactor*EXP(tun_CapsByProject*SUMPRODUCT((Cap_Point&lt;=I170)*(Cap_Kind="Group")*Cap_Ln))</x:f>
        <x:v>10000.000000000005</x:v>
      </x:c>
      <x:c r="N170" s="32" t="n">
        <x:f>MIN(J170,L170,M170)</x:f>
        <x:v>190.40203000328933</x:v>
      </x:c>
      <x:c r="O170" s="10" t="n">
        <x:f>AE169*N170</x:f>
        <x:v>380.80406000657865</x:v>
      </x:c>
      <x:c r="P170" s="9" t="n">
        <x:f>MIN(1,(AB169/(AE169*IF(tun_GroupInCrowding=1,N170,MIN(J170,L170))))^tun_CrowdingExp)</x:f>
        <x:v>0.09201115846115347</x:v>
      </x:c>
      <x:c r="Q170" s="9" t="n">
        <x:f>IF(D170=1,INDEX(tun_WinterMult,G170),1)</x:f>
        <x:v>1</x:v>
      </x:c>
      <x:c r="R170" s="9" t="n">
        <x:f>H170*Z169*tun_WomenShare*tun_BaseFertility*INDEX(tun_FertMult,G170)*Arch_Fertility*(1-P170)</x:f>
        <x:v>6.563791136136717</x:v>
      </x:c>
      <x:c r="S170" s="9" t="n">
        <x:f>H170*Y169*INDEX(tun_MortChild,G170)/4*Q170</x:f>
        <x:v>1.2305666032956786</x:v>
      </x:c>
      <x:c r="T170" s="9" t="n">
        <x:f>H170*Z169*INDEX(tun_MortAdult,G170)*Arch_AdultMort/4*Q170</x:f>
        <x:v>0.2446716021654982</x:v>
      </x:c>
      <x:c r="U170" s="9" t="n">
        <x:f>H170*AA169*INDEX(tun_MortElder,G170)/4*Q170</x:f>
        <x:v>0.3041425335540428</x:v>
      </x:c>
      <x:c r="V170" s="9" t="n">
        <x:f>H170*MAX(0,AB169-O170)*tun_OvercapLoss</x:f>
        <x:v>0</x:v>
      </x:c>
      <x:c r="W170" s="9" t="n">
        <x:f>H170*Y169/(tun_ChildYears*4)</x:f>
        <x:v>2.585223956503526</x:v>
      </x:c>
      <x:c r="X170" s="9" t="n">
        <x:f>H170*Z169/(tun_AdultYears*4)</x:f>
        <x:v>0.7175120298108452</x:v>
      </x:c>
      <x:c r="Y170" s="32" t="n">
        <x:f>Y169+R170-S170-W170-Y169*V170/AB169</x:f>
        <x:v>147.52054214053499</x:v>
      </x:c>
      <x:c r="Z170" s="32" t="n">
        <x:f>Z169+W170-X170-T170-Z169*V170/AB169</x:f>
        <x:v>90.59453202107198</x:v>
      </x:c>
      <x:c r="AA170" s="32" t="n">
        <x:f>AA169+X170-U170-AA169*V170/AB169</x:f>
        <x:v>22.53282648200537</x:v>
      </x:c>
      <x:c r="AB170" s="10" t="n">
        <x:f>Y170+Z170+AA170</x:f>
        <x:v>260.64790064361233</x:v>
      </x:c>
      <x:c r="AC170" s="8" t="n">
        <x:f>IF(AND(tun_WinterTrigger=1,D170=1,AB169/AE169&gt;=K170),1,0)</x:f>
        <x:v>0</x:v>
      </x:c>
      <x:c r="AD170" s="8" t="n">
        <x:f>H170*IF(AND(OR(AB169/AE169&gt;=tun_FissionTrigger*N170,AC170=1),AB169/AE169*tun_DaughterShare&gt;=tun_MinDaughter),MAX(1,ROUND(AE169*tun_FissionRate,0)),0)</x:f>
        <x:v>0</x:v>
      </x:c>
      <x:c r="AE170" s="8" t="n">
        <x:f>IF(H170=1,MAX(1,MIN(INDEX(tun_Smax,G170),AE169+AD170)),AE169)</x:f>
        <x:v>2</x:v>
      </x:c>
      <x:c r="AF170" s="8" t="n">
        <x:f>MAX(0,AE170-AE169)</x:f>
        <x:v>0</x:v>
      </x:c>
      <x:c r="AG170" s="9" t="str">
        <x:f>IF(AF170&gt;0,B170,"")</x:f>
      </x:c>
      <x:c r="AH170" s="9" t="n">
        <x:f>IF(F170&gt;=1,1,(1+tun_LowTiesShare*(AE170-1))/AE170)</x:f>
        <x:v>1</x:v>
      </x:c>
      <x:c r="AI170" s="32" t="n">
        <x:f>(Z170+tun_ElderCommons*INDEX(LM_Elder,G170)*AA170)*AH170</x:f>
        <x:v>158.1930114670881</x:v>
      </x:c>
      <x:c r="AJ170" s="32" t="n">
        <x:f>H170*tun_CommonsCoef*AI170^tun_CommonsExp*INDEX(LM_Commons,G170)</x:f>
        <x:v>390.78971222624574</x:v>
      </x:c>
      <x:c r="AK170" s="32" t="n">
        <x:f>H170*tun_RoleScale*Arch_Roles*(AE170*(INDEX(tun_ElderRolePerSett,G170)*tun_OutElder*INDEX(LM_Elder,G170)+INDEX(tun_ShamanPerSett,G170)*tun_OutShaman)+Z170*(INDEX(tun_PriestShare,G170)*tun_OutPriest+INDEX(tun_ScribeShare,G170)*tun_OutScribe*INDEX(LM_Scribe,G170)+INDEX(tun_ScholarShare,G170)*tun_OutScholar*INDEX(LM_Scholar,G170)+INDEX(tun_ResearcherShare,G170)*tun_OutResearcher*INDEX(LM_Researcher,G170)))</x:f>
        <x:v>53.07329379318003</x:v>
      </x:c>
      <x:c r="AL170" s="32" t="n">
        <x:f>H170*tun_RoleScale*Arch_Roles*AE170*INDEX(tun_MonasteryPerSett,G170)*tun_OutMonastery*INDEX(LM_Monastery,G170)</x:f>
        <x:v>0</x:v>
      </x:c>
      <x:c r="AM170" s="32" t="n">
        <x:f>(AJ170+AK170+AL170)/4*INDEX(LM_All,G170)*INDEX(tun_Boon,G170)*Arch_Insight</x:f>
        <x:v>119.49797749165951</x:v>
      </x:c>
      <x:c r="AN170" s="32" t="n">
        <x:f>H170*(tun_KHPerAdult*Z170+tun_KHOfCommons*AJ170/4*INDEX(LM_All,G170))*tun_KHUsable*Arch_KH</x:f>
        <x:v>23.93586987385755</x:v>
      </x:c>
      <x:c r="AO170" s="32" t="n">
        <x:f>MIN(AP169+AN170,AM170*tun_KHMaxRatio)</x:f>
        <x:v>23.93586987385755</x:v>
      </x:c>
      <x:c r="AP170" s="32" t="n">
        <x:f>AP169+AN170-AO170</x:f>
        <x:v>0</x:v>
      </x:c>
      <x:c r="AQ170" s="32" t="n">
        <x:f>AM170+AO170</x:f>
        <x:v>143.43384736551707</x:v>
      </x:c>
      <x:c r="AR170" s="10" t="n">
        <x:f>IF(H170=1,INDEX(tun_Req,G170),0)</x:f>
        <x:v>5252.7422</x:v>
      </x:c>
      <x:c r="AS170" s="32" t="n">
        <x:f>IF(H170=1,IF(E170=1,AS169-AR169,AS169)+AQ170,0)</x:f>
        <x:v>4523.265816620771</x:v>
      </x:c>
      <x:c r="AT170" s="11" t="n">
        <x:f>IF(AR170&gt;0,MIN(1,AS170/AR170),1)</x:f>
        <x:v>0.8611246553506416</x:v>
      </x:c>
      <x:c r="AU170" s="10" t="n">
        <x:f>AB170/INDEX(tun_RepScale,G170)</x:f>
        <x:v>260.64790064361233</x:v>
      </x:c>
      <x:c r="AV170" s="32" t="n">
        <x:f>AM170*60/tun_SeasonSeconds</x:f>
        <x:v>477.99190996663805</x:v>
      </x:c>
    </x:row>
    <x:row r="171">
      <x:c r="A171" s="8" t="n">
        <x:f>A170+1</x:f>
        <x:v>168</x:v>
      </x:c>
      <x:c r="B171" s="9" t="n">
        <x:f>A171*tun_SeasonSeconds/60</x:f>
        <x:v>42</x:v>
      </x:c>
      <x:c r="C171" s="9" t="n">
        <x:f>A171/4</x:f>
        <x:v>42</x:v>
      </x:c>
      <x:c r="D171" s="8" t="n">
        <x:f>IF(MOD(A171,4)=0,1,0)</x:f>
        <x:v>1</x:v>
      </x:c>
      <x:c r="E171" s="8" t="n">
        <x:f>IF(AND(F170&lt;=9,AS170&gt;=AR170),1,0)</x:f>
        <x:v>0</x:v>
      </x:c>
      <x:c r="F171" s="8" t="n">
        <x:f>MIN(10,F170+E171)</x:f>
        <x:v>3</x:v>
      </x:c>
      <x:c r="G171" s="8" t="n">
        <x:f>MIN(F171,9)+1</x:f>
        <x:v>4</x:v>
      </x:c>
      <x:c r="H171" s="8" t="n">
        <x:f>IF(F171&lt;=9,1,0)</x:f>
        <x:v>1</x:v>
      </x:c>
      <x:c r="I171" s="9" t="n">
        <x:f>MIN(10,F170+IF(AR170&gt;0,MIN(1,AS170/AR170),1))</x:f>
        <x:v>3.8611246553506415</x:v>
      </x:c>
      <x:c r="J171" s="32" t="n">
        <x:f>INDEX(tun_FoodCap,G171)*Arch_FoodCap*EXP(tun_CapsByProject*SUMPRODUCT((Cap_Point&lt;=I171)*(Cap_Kind="Food")*Cap_Ln))</x:f>
        <x:v>190.40203000328933</x:v>
      </x:c>
      <x:c r="K171" s="32" t="n">
        <x:f>J171*MIN(1,tun_LeanBase*EXP(tun_CapsByProject*SUMPRODUCT((Cap_Point&lt;=I171)*(Cap_Kind="Lean")*Cap_Ln)))</x:f>
        <x:v>190.40203000328933</x:v>
      </x:c>
      <x:c r="L171" s="10" t="n">
        <x:f>INDEX(tun_HousingCap,G171)*EXP(tun_CapsByProject*SUMPRODUCT((Cap_Point&lt;=I171)*(Cap_Kind="Housing")*Cap_Ln))</x:f>
        <x:v>947.6999999999999</x:v>
      </x:c>
      <x:c r="M171" s="10" t="n">
        <x:f>INDEX(tun_GroupCap,G171)*tun_CohesionFactor*EXP(tun_CapsByProject*SUMPRODUCT((Cap_Point&lt;=I171)*(Cap_Kind="Group")*Cap_Ln))</x:f>
        <x:v>10000.000000000005</x:v>
      </x:c>
      <x:c r="N171" s="32" t="n">
        <x:f>MIN(J171,L171,M171)</x:f>
        <x:v>190.40203000328933</x:v>
      </x:c>
      <x:c r="O171" s="10" t="n">
        <x:f>AE170*N171</x:f>
        <x:v>380.80406000657865</x:v>
      </x:c>
      <x:c r="P171" s="9" t="n">
        <x:f>MIN(1,(AB170/(AE170*IF(tun_GroupInCrowding=1,N171,MIN(J171,L171))))^tun_CrowdingExp)</x:f>
        <x:v>0.10282908410814685</x:v>
      </x:c>
      <x:c r="Q171" s="9" t="n">
        <x:f>IF(D171=1,INDEX(tun_WinterMult,G171),1)</x:f>
        <x:v>1.25</x:v>
      </x:c>
      <x:c r="R171" s="9" t="n">
        <x:f>H171*Z170*tun_WomenShare*tun_BaseFertility*INDEX(tun_FertMult,G171)*Arch_Fertility*(1-P171)</x:f>
        <x:v>6.603900815536291</x:v>
      </x:c>
      <x:c r="S171" s="9" t="n">
        <x:f>H171*Y170*INDEX(tun_MortChild,G171)/4*Q171</x:f>
        <x:v>1.5674057602431843</x:v>
      </x:c>
      <x:c r="T171" s="9" t="n">
        <x:f>H171*Z170*INDEX(tun_MortAdult,G171)*Arch_AdultMort/4*Q171</x:f>
        <x:v>0.3114187038224349</x:v>
      </x:c>
      <x:c r="U171" s="9" t="n">
        <x:f>H171*AA170*INDEX(tun_MortElder,G171)/4*Q171</x:f>
        <x:v>0.38728295515946726</x:v>
      </x:c>
      <x:c r="V171" s="9" t="n">
        <x:f>H171*MAX(0,AB170-O171)*tun_OvercapLoss</x:f>
        <x:v>0</x:v>
      </x:c>
      <x:c r="W171" s="9" t="n">
        <x:f>H171*Y170/(tun_ChildYears*4)</x:f>
        <x:v>2.634295395366696</x:v>
      </x:c>
      <x:c r="X171" s="9" t="n">
        <x:f>H171*Z170/(tun_AdultYears*4)</x:f>
        <x:v>0.7306010646860643</x:v>
      </x:c>
      <x:c r="Y171" s="32" t="n">
        <x:f>Y170+R171-S171-W171-Y170*V171/AB170</x:f>
        <x:v>149.92274180046138</x:v>
      </x:c>
      <x:c r="Z171" s="32" t="n">
        <x:f>Z170+W171-X171-T171-Z170*V171/AB170</x:f>
        <x:v>92.18680764793017</x:v>
      </x:c>
      <x:c r="AA171" s="32" t="n">
        <x:f>AA170+X171-U171-AA170*V171/AB170</x:f>
        <x:v>22.876144591531965</x:v>
      </x:c>
      <x:c r="AB171" s="10" t="n">
        <x:f>Y171+Z171+AA171</x:f>
        <x:v>264.9856940399235</x:v>
      </x:c>
      <x:c r="AC171" s="8" t="n">
        <x:f>IF(AND(tun_WinterTrigger=1,D171=1,AB170/AE170&gt;=K171),1,0)</x:f>
        <x:v>0</x:v>
      </x:c>
      <x:c r="AD171" s="8" t="n">
        <x:f>H171*IF(AND(OR(AB170/AE170&gt;=tun_FissionTrigger*N171,AC171=1),AB170/AE170*tun_DaughterShare&gt;=tun_MinDaughter),MAX(1,ROUND(AE170*tun_FissionRate,0)),0)</x:f>
        <x:v>0</x:v>
      </x:c>
      <x:c r="AE171" s="8" t="n">
        <x:f>IF(H171=1,MAX(1,MIN(INDEX(tun_Smax,G171),AE170+AD171)),AE170)</x:f>
        <x:v>2</x:v>
      </x:c>
      <x:c r="AF171" s="8" t="n">
        <x:f>MAX(0,AE171-AE170)</x:f>
        <x:v>0</x:v>
      </x:c>
      <x:c r="AG171" s="9" t="str">
        <x:f>IF(AF171&gt;0,B171,"")</x:f>
      </x:c>
      <x:c r="AH171" s="9" t="n">
        <x:f>IF(F171&gt;=1,1,(1+tun_LowTiesShare*(AE171-1))/AE171)</x:f>
        <x:v>1</x:v>
      </x:c>
      <x:c r="AI171" s="32" t="n">
        <x:f>(Z171+tun_ElderCommons*INDEX(LM_Elder,G171)*AA171)*AH171</x:f>
        <x:v>160.81524142252607</x:v>
      </x:c>
      <x:c r="AJ171" s="32" t="n">
        <x:f>H171*tun_CommonsCoef*AI171^tun_CommonsExp*INDEX(LM_Commons,G171)</x:f>
        <x:v>396.28902825267403</x:v>
      </x:c>
      <x:c r="AK171" s="32" t="n">
        <x:f>H171*tun_RoleScale*Arch_Roles*(AE171*(INDEX(tun_ElderRolePerSett,G171)*tun_OutElder*INDEX(LM_Elder,G171)+INDEX(tun_ShamanPerSett,G171)*tun_OutShaman)+Z171*(INDEX(tun_PriestShare,G171)*tun_OutPriest+INDEX(tun_ScribeShare,G171)*tun_OutScribe*INDEX(LM_Scribe,G171)+INDEX(tun_ScholarShare,G171)*tun_OutScholar*INDEX(LM_Scholar,G171)+INDEX(tun_ResearcherShare,G171)*tun_OutResearcher*INDEX(LM_Researcher,G171)))</x:f>
        <x:v>53.16246122828409</x:v>
      </x:c>
      <x:c r="AL171" s="32" t="n">
        <x:f>H171*tun_RoleScale*Arch_Roles*AE171*INDEX(tun_MonasteryPerSett,G171)*tun_OutMonastery*INDEX(LM_Monastery,G171)</x:f>
        <x:v>0</x:v>
      </x:c>
      <x:c r="AM171" s="32" t="n">
        <x:f>(AJ171+AK171+AL171)/4*INDEX(LM_All,G171)*INDEX(tun_Boon,G171)*Arch_Insight</x:f>
        <x:v>121.00252385358245</x:v>
      </x:c>
      <x:c r="AN171" s="32" t="n">
        <x:f>H171*(tun_KHPerAdult*Z171+tun_KHOfCommons*AJ171/4*INDEX(LM_All,G171))*tun_KHUsable*Arch_KH</x:f>
        <x:v>24.272702980476282</x:v>
      </x:c>
      <x:c r="AO171" s="32" t="n">
        <x:f>MIN(AP170+AN171,AM171*tun_KHMaxRatio)</x:f>
        <x:v>24.272702980476282</x:v>
      </x:c>
      <x:c r="AP171" s="32" t="n">
        <x:f>AP170+AN171-AO171</x:f>
        <x:v>0</x:v>
      </x:c>
      <x:c r="AQ171" s="32" t="n">
        <x:f>AM171+AO171</x:f>
        <x:v>145.27522683405874</x:v>
      </x:c>
      <x:c r="AR171" s="10" t="n">
        <x:f>IF(H171=1,INDEX(tun_Req,G171),0)</x:f>
        <x:v>5252.7422</x:v>
      </x:c>
      <x:c r="AS171" s="32" t="n">
        <x:f>IF(H171=1,IF(E171=1,AS170-AR170,AS170)+AQ171,0)</x:f>
        <x:v>4668.54104345483</x:v>
      </x:c>
      <x:c r="AT171" s="11" t="n">
        <x:f>IF(AR171&gt;0,MIN(1,AS171/AR171),1)</x:f>
        <x:v>0.8887816812054531</x:v>
      </x:c>
      <x:c r="AU171" s="10" t="n">
        <x:f>AB171/INDEX(tun_RepScale,G171)</x:f>
        <x:v>264.9856940399235</x:v>
      </x:c>
      <x:c r="AV171" s="32" t="n">
        <x:f>AM171*60/tun_SeasonSeconds</x:f>
        <x:v>484.0100954143298</x:v>
      </x:c>
    </x:row>
    <x:row r="172">
      <x:c r="A172" s="8" t="n">
        <x:f>A171+1</x:f>
        <x:v>169</x:v>
      </x:c>
      <x:c r="B172" s="9" t="n">
        <x:f>A172*tun_SeasonSeconds/60</x:f>
        <x:v>42.25</x:v>
      </x:c>
      <x:c r="C172" s="9" t="n">
        <x:f>A172/4</x:f>
        <x:v>42.25</x:v>
      </x:c>
      <x:c r="D172" s="8" t="n">
        <x:f>IF(MOD(A172,4)=0,1,0)</x:f>
        <x:v>0</x:v>
      </x:c>
      <x:c r="E172" s="8" t="n">
        <x:f>IF(AND(F171&lt;=9,AS171&gt;=AR171),1,0)</x:f>
        <x:v>0</x:v>
      </x:c>
      <x:c r="F172" s="8" t="n">
        <x:f>MIN(10,F171+E172)</x:f>
        <x:v>3</x:v>
      </x:c>
      <x:c r="G172" s="8" t="n">
        <x:f>MIN(F172,9)+1</x:f>
        <x:v>4</x:v>
      </x:c>
      <x:c r="H172" s="8" t="n">
        <x:f>IF(F172&lt;=9,1,0)</x:f>
        <x:v>1</x:v>
      </x:c>
      <x:c r="I172" s="9" t="n">
        <x:f>MIN(10,F171+IF(AR171&gt;0,MIN(1,AS171/AR171),1))</x:f>
        <x:v>3.888781681205453</x:v>
      </x:c>
      <x:c r="J172" s="32" t="n">
        <x:f>INDEX(tun_FoodCap,G172)*Arch_FoodCap*EXP(tun_CapsByProject*SUMPRODUCT((Cap_Point&lt;=I172)*(Cap_Kind="Food")*Cap_Ln))</x:f>
        <x:v>190.40203000328933</x:v>
      </x:c>
      <x:c r="K172" s="32" t="n">
        <x:f>J172*MIN(1,tun_LeanBase*EXP(tun_CapsByProject*SUMPRODUCT((Cap_Point&lt;=I172)*(Cap_Kind="Lean")*Cap_Ln)))</x:f>
        <x:v>190.40203000328933</x:v>
      </x:c>
      <x:c r="L172" s="10" t="n">
        <x:f>INDEX(tun_HousingCap,G172)*EXP(tun_CapsByProject*SUMPRODUCT((Cap_Point&lt;=I172)*(Cap_Kind="Housing")*Cap_Ln))</x:f>
        <x:v>947.6999999999999</x:v>
      </x:c>
      <x:c r="M172" s="10" t="n">
        <x:f>INDEX(tun_GroupCap,G172)*tun_CohesionFactor*EXP(tun_CapsByProject*SUMPRODUCT((Cap_Point&lt;=I172)*(Cap_Kind="Group")*Cap_Ln))</x:f>
        <x:v>10000.000000000005</x:v>
      </x:c>
      <x:c r="N172" s="32" t="n">
        <x:f>MIN(J172,L172,M172)</x:f>
        <x:v>190.40203000328933</x:v>
      </x:c>
      <x:c r="O172" s="10" t="n">
        <x:f>AE171*N172</x:f>
        <x:v>380.80406000657865</x:v>
      </x:c>
      <x:c r="P172" s="9" t="n">
        <x:f>MIN(1,(AB171/(AE171*IF(tun_GroupInCrowding=1,N172,MIN(J172,L172))))^tun_CrowdingExp)</x:f>
        <x:v>0.11353379316827092</x:v>
      </x:c>
      <x:c r="Q172" s="9" t="n">
        <x:f>IF(D172=1,INDEX(tun_WinterMult,G172),1)</x:f>
        <x:v>1</x:v>
      </x:c>
      <x:c r="R172" s="9" t="n">
        <x:f>H172*Z171*tun_WomenShare*tun_BaseFertility*INDEX(tun_FertMult,G172)*Arch_Fertility*(1-P172)</x:f>
        <x:v>6.639789787766435</x:v>
      </x:c>
      <x:c r="S172" s="9" t="n">
        <x:f>H172*Y171*INDEX(tun_MortChild,G172)/4*Q172</x:f>
        <x:v>1.274343305303922</x:v>
      </x:c>
      <x:c r="T172" s="9" t="n">
        <x:f>H172*Z171*INDEX(tun_MortAdult,G172)*Arch_AdultMort/4*Q172</x:f>
        <x:v>0.25351372103180797</x:v>
      </x:c>
      <x:c r="U172" s="9" t="n">
        <x:f>H172*AA171*INDEX(tun_MortElder,G172)/4*Q172</x:f>
        <x:v>0.3145469881335645</x:v>
      </x:c>
      <x:c r="V172" s="9" t="n">
        <x:f>H172*MAX(0,AB171-O172)*tun_OvercapLoss</x:f>
        <x:v>0</x:v>
      </x:c>
      <x:c r="W172" s="9" t="n">
        <x:f>H172*Y171/(tun_ChildYears*4)</x:f>
        <x:v>2.6771918178653817</x:v>
      </x:c>
      <x:c r="X172" s="9" t="n">
        <x:f>H172*Z171/(tun_AdultYears*4)</x:f>
        <x:v>0.7434419971607271</x:v>
      </x:c>
      <x:c r="Y172" s="32" t="n">
        <x:f>Y171+R172-S172-W172-Y171*V172/AB171</x:f>
        <x:v>152.61099646505852</x:v>
      </x:c>
      <x:c r="Z172" s="32" t="n">
        <x:f>Z171+W172-X172-T172-Z171*V172/AB171</x:f>
        <x:v>93.867043747603</x:v>
      </x:c>
      <x:c r="AA172" s="32" t="n">
        <x:f>AA171+X172-U172-AA171*V172/AB171</x:f>
        <x:v>23.305039600559127</x:v>
      </x:c>
      <x:c r="AB172" s="10" t="n">
        <x:f>Y172+Z172+AA172</x:f>
        <x:v>269.78307981322064</x:v>
      </x:c>
      <x:c r="AC172" s="8" t="n">
        <x:f>IF(AND(tun_WinterTrigger=1,D172=1,AB171/AE171&gt;=K172),1,0)</x:f>
        <x:v>0</x:v>
      </x:c>
      <x:c r="AD172" s="8" t="n">
        <x:f>H172*IF(AND(OR(AB171/AE171&gt;=tun_FissionTrigger*N172,AC172=1),AB171/AE171*tun_DaughterShare&gt;=tun_MinDaughter),MAX(1,ROUND(AE171*tun_FissionRate,0)),0)</x:f>
        <x:v>0</x:v>
      </x:c>
      <x:c r="AE172" s="8" t="n">
        <x:f>IF(H172=1,MAX(1,MIN(INDEX(tun_Smax,G172),AE171+AD172)),AE171)</x:f>
        <x:v>2</x:v>
      </x:c>
      <x:c r="AF172" s="8" t="n">
        <x:f>MAX(0,AE172-AE171)</x:f>
        <x:v>0</x:v>
      </x:c>
      <x:c r="AG172" s="9" t="str">
        <x:f>IF(AF172&gt;0,B172,"")</x:f>
      </x:c>
      <x:c r="AH172" s="9" t="n">
        <x:f>IF(F172&gt;=1,1,(1+tun_LowTiesShare*(AE172-1))/AE172)</x:f>
        <x:v>1</x:v>
      </x:c>
      <x:c r="AI172" s="32" t="n">
        <x:f>(Z172+tun_ElderCommons*INDEX(LM_Elder,G172)*AA172)*AH172</x:f>
        <x:v>163.78216254928037</x:v>
      </x:c>
      <x:c r="AJ172" s="32" t="n">
        <x:f>H172*tun_CommonsCoef*AI172^tun_CommonsExp*INDEX(LM_Commons,G172)</x:f>
        <x:v>402.4950406033156</x:v>
      </x:c>
      <x:c r="AK172" s="32" t="n">
        <x:f>H172*tun_RoleScale*Arch_Roles*(AE172*(INDEX(tun_ElderRolePerSett,G172)*tun_OutElder*INDEX(LM_Elder,G172)+INDEX(tun_ShamanPerSett,G172)*tun_OutShaman)+Z172*(INDEX(tun_PriestShare,G172)*tun_OutPriest+INDEX(tun_ScribeShare,G172)*tun_OutScribe*INDEX(LM_Scribe,G172)+INDEX(tun_ScholarShare,G172)*tun_OutScholar*INDEX(LM_Scholar,G172)+INDEX(tun_ResearcherShare,G172)*tun_OutResearcher*INDEX(LM_Researcher,G172)))</x:f>
        <x:v>53.25655444986577</x:v>
      </x:c>
      <x:c r="AL172" s="32" t="n">
        <x:f>H172*tun_RoleScale*Arch_Roles*AE172*INDEX(tun_MonasteryPerSett,G172)*tun_OutMonastery*INDEX(LM_Monastery,G172)</x:f>
        <x:v>0</x:v>
      </x:c>
      <x:c r="AM172" s="32" t="n">
        <x:f>(AJ172+AK172+AL172)/4*INDEX(LM_All,G172)*INDEX(tun_Boon,G172)*Arch_Insight</x:f>
        <x:v>122.6986550103918</x:v>
      </x:c>
      <x:c r="AN172" s="32" t="n">
        <x:f>H172*(tun_KHPerAdult*Z172+tun_KHOfCommons*AJ172/4*INDEX(LM_All,G172))*tun_KHUsable*Arch_KH</x:f>
        <x:v>24.65282123695308</x:v>
      </x:c>
      <x:c r="AO172" s="32" t="n">
        <x:f>MIN(AP171+AN172,AM172*tun_KHMaxRatio)</x:f>
        <x:v>24.65282123695308</x:v>
      </x:c>
      <x:c r="AP172" s="32" t="n">
        <x:f>AP171+AN172-AO172</x:f>
        <x:v>0</x:v>
      </x:c>
      <x:c r="AQ172" s="32" t="n">
        <x:f>AM172+AO172</x:f>
        <x:v>147.3514762473449</x:v>
      </x:c>
      <x:c r="AR172" s="10" t="n">
        <x:f>IF(H172=1,INDEX(tun_Req,G172),0)</x:f>
        <x:v>5252.7422</x:v>
      </x:c>
      <x:c r="AS172" s="32" t="n">
        <x:f>IF(H172=1,IF(E172=1,AS171-AR171,AS171)+AQ172,0)</x:f>
        <x:v>4815.892519702175</x:v>
      </x:c>
      <x:c r="AT172" s="11" t="n">
        <x:f>IF(AR172&gt;0,MIN(1,AS172/AR172),1)</x:f>
        <x:v>0.916833976680252</x:v>
      </x:c>
      <x:c r="AU172" s="10" t="n">
        <x:f>AB172/INDEX(tun_RepScale,G172)</x:f>
        <x:v>269.78307981322064</x:v>
      </x:c>
      <x:c r="AV172" s="32" t="n">
        <x:f>AM172*60/tun_SeasonSeconds</x:f>
        <x:v>490.7946200415672</x:v>
      </x:c>
    </x:row>
    <x:row r="173">
      <x:c r="A173" s="8" t="n">
        <x:f>A172+1</x:f>
        <x:v>170</x:v>
      </x:c>
      <x:c r="B173" s="9" t="n">
        <x:f>A173*tun_SeasonSeconds/60</x:f>
        <x:v>42.5</x:v>
      </x:c>
      <x:c r="C173" s="9" t="n">
        <x:f>A173/4</x:f>
        <x:v>42.5</x:v>
      </x:c>
      <x:c r="D173" s="8" t="n">
        <x:f>IF(MOD(A173,4)=0,1,0)</x:f>
        <x:v>0</x:v>
      </x:c>
      <x:c r="E173" s="8" t="n">
        <x:f>IF(AND(F172&lt;=9,AS172&gt;=AR172),1,0)</x:f>
        <x:v>0</x:v>
      </x:c>
      <x:c r="F173" s="8" t="n">
        <x:f>MIN(10,F172+E173)</x:f>
        <x:v>3</x:v>
      </x:c>
      <x:c r="G173" s="8" t="n">
        <x:f>MIN(F173,9)+1</x:f>
        <x:v>4</x:v>
      </x:c>
      <x:c r="H173" s="8" t="n">
        <x:f>IF(F173&lt;=9,1,0)</x:f>
        <x:v>1</x:v>
      </x:c>
      <x:c r="I173" s="9" t="n">
        <x:f>MIN(10,F172+IF(AR172&gt;0,MIN(1,AS172/AR172),1))</x:f>
        <x:v>3.916833976680252</x:v>
      </x:c>
      <x:c r="J173" s="32" t="n">
        <x:f>INDEX(tun_FoodCap,G173)*Arch_FoodCap*EXP(tun_CapsByProject*SUMPRODUCT((Cap_Point&lt;=I173)*(Cap_Kind="Food")*Cap_Ln))</x:f>
        <x:v>190.40203000328933</x:v>
      </x:c>
      <x:c r="K173" s="32" t="n">
        <x:f>J173*MIN(1,tun_LeanBase*EXP(tun_CapsByProject*SUMPRODUCT((Cap_Point&lt;=I173)*(Cap_Kind="Lean")*Cap_Ln)))</x:f>
        <x:v>190.40203000328933</x:v>
      </x:c>
      <x:c r="L173" s="10" t="n">
        <x:f>INDEX(tun_HousingCap,G173)*EXP(tun_CapsByProject*SUMPRODUCT((Cap_Point&lt;=I173)*(Cap_Kind="Housing")*Cap_Ln))</x:f>
        <x:v>947.6999999999999</x:v>
      </x:c>
      <x:c r="M173" s="10" t="n">
        <x:f>INDEX(tun_GroupCap,G173)*tun_CohesionFactor*EXP(tun_CapsByProject*SUMPRODUCT((Cap_Point&lt;=I173)*(Cap_Kind="Group")*Cap_Ln))</x:f>
        <x:v>10000.000000000005</x:v>
      </x:c>
      <x:c r="N173" s="32" t="n">
        <x:f>MIN(J173,L173,M173)</x:f>
        <x:v>190.40203000328933</x:v>
      </x:c>
      <x:c r="O173" s="10" t="n">
        <x:f>AE172*N173</x:f>
        <x:v>380.80406000657865</x:v>
      </x:c>
      <x:c r="P173" s="9" t="n">
        <x:f>MIN(1,(AB172/(AE172*IF(tun_GroupInCrowding=1,N173,MIN(J173,L173))))^tun_CrowdingExp)</x:f>
        <x:v>0.12643835271807333</x:v>
      </x:c>
      <x:c r="Q173" s="9" t="n">
        <x:f>IF(D173=1,INDEX(tun_WinterMult,G173),1)</x:f>
        <x:v>1</x:v>
      </x:c>
      <x:c r="R173" s="9" t="n">
        <x:f>H173*Z172*tun_WomenShare*tun_BaseFertility*INDEX(tun_FertMult,G173)*Arch_Fertility*(1-P173)</x:f>
        <x:v>6.662390260633311</x:v>
      </x:c>
      <x:c r="S173" s="9" t="n">
        <x:f>H173*Y172*INDEX(tun_MortChild,G173)/4*Q173</x:f>
        <x:v>1.2971934699529974</x:v>
      </x:c>
      <x:c r="T173" s="9" t="n">
        <x:f>H173*Z172*INDEX(tun_MortAdult,G173)*Arch_AdultMort/4*Q173</x:f>
        <x:v>0.25813437030590825</x:v>
      </x:c>
      <x:c r="U173" s="9" t="n">
        <x:f>H173*AA172*INDEX(tun_MortElder,G173)/4*Q173</x:f>
        <x:v>0.320444294507688</x:v>
      </x:c>
      <x:c r="V173" s="9" t="n">
        <x:f>H173*MAX(0,AB172-O173)*tun_OvercapLoss</x:f>
        <x:v>0</x:v>
      </x:c>
      <x:c r="W173" s="9" t="n">
        <x:f>H173*Y172/(tun_ChildYears*4)</x:f>
        <x:v>2.7251963654474736</x:v>
      </x:c>
      <x:c r="X173" s="9" t="n">
        <x:f>H173*Z172/(tun_AdultYears*4)</x:f>
        <x:v>0.7569922882871211</x:v>
      </x:c>
      <x:c r="Y173" s="32" t="n">
        <x:f>Y172+R173-S173-W173-Y172*V173/AB172</x:f>
        <x:v>155.2509968902914</x:v>
      </x:c>
      <x:c r="Z173" s="32" t="n">
        <x:f>Z172+W173-X173-T173-Z172*V173/AB172</x:f>
        <x:v>95.57711345445745</x:v>
      </x:c>
      <x:c r="AA173" s="32" t="n">
        <x:f>AA172+X173-U173-AA172*V173/AB172</x:f>
        <x:v>23.74158759433856</x:v>
      </x:c>
      <x:c r="AB173" s="10" t="n">
        <x:f>Y173+Z173+AA173</x:f>
        <x:v>274.5696979390874</x:v>
      </x:c>
      <x:c r="AC173" s="8" t="n">
        <x:f>IF(AND(tun_WinterTrigger=1,D173=1,AB172/AE172&gt;=K173),1,0)</x:f>
        <x:v>0</x:v>
      </x:c>
      <x:c r="AD173" s="8" t="n">
        <x:f>H173*IF(AND(OR(AB172/AE172&gt;=tun_FissionTrigger*N173,AC173=1),AB172/AE172*tun_DaughterShare&gt;=tun_MinDaughter),MAX(1,ROUND(AE172*tun_FissionRate,0)),0)</x:f>
        <x:v>0</x:v>
      </x:c>
      <x:c r="AE173" s="8" t="n">
        <x:f>IF(H173=1,MAX(1,MIN(INDEX(tun_Smax,G173),AE172+AD173)),AE172)</x:f>
        <x:v>2</x:v>
      </x:c>
      <x:c r="AF173" s="8" t="n">
        <x:f>MAX(0,AE173-AE172)</x:f>
        <x:v>0</x:v>
      </x:c>
      <x:c r="AG173" s="9" t="str">
        <x:f>IF(AF173&gt;0,B173,"")</x:f>
      </x:c>
      <x:c r="AH173" s="9" t="n">
        <x:f>IF(F173&gt;=1,1,(1+tun_LowTiesShare*(AE173-1))/AE173)</x:f>
        <x:v>1</x:v>
      </x:c>
      <x:c r="AI173" s="32" t="n">
        <x:f>(Z173+tun_ElderCommons*INDEX(LM_Elder,G173)*AA173)*AH173</x:f>
        <x:v>166.80187623747312</x:v>
      </x:c>
      <x:c r="AJ173" s="32" t="n">
        <x:f>H173*tun_CommonsCoef*AI173^tun_CommonsExp*INDEX(LM_Commons,G173)</x:f>
        <x:v>408.7941895105906</x:v>
      </x:c>
      <x:c r="AK173" s="32" t="n">
        <x:f>H173*tun_RoleScale*Arch_Roles*(AE173*(INDEX(tun_ElderRolePerSett,G173)*tun_OutElder*INDEX(LM_Elder,G173)+INDEX(tun_ShamanPerSett,G173)*tun_OutShaman)+Z173*(INDEX(tun_PriestShare,G173)*tun_OutPriest+INDEX(tun_ScribeShare,G173)*tun_OutScribe*INDEX(LM_Scribe,G173)+INDEX(tun_ScholarShare,G173)*tun_OutScholar*INDEX(LM_Scholar,G173)+INDEX(tun_ResearcherShare,G173)*tun_OutResearcher*INDEX(LM_Researcher,G173)))</x:f>
        <x:v>53.35231835344962</x:v>
      </x:c>
      <x:c r="AL173" s="32" t="n">
        <x:f>H173*tun_RoleScale*Arch_Roles*AE173*INDEX(tun_MonasteryPerSett,G173)*tun_OutMonastery*INDEX(LM_Monastery,G173)</x:f>
        <x:v>0</x:v>
      </x:c>
      <x:c r="AM173" s="32" t="n">
        <x:f>(AJ173+AK173+AL173)/4*INDEX(LM_All,G173)*INDEX(tun_Boon,G173)*Arch_Insight</x:f>
        <x:v>124.42031042381839</x:v>
      </x:c>
      <x:c r="AN173" s="32" t="n">
        <x:f>H173*(tun_KHPerAdult*Z173+tun_KHOfCommons*AJ173/4*INDEX(LM_All,G173))*tun_KHUsable*Arch_KH</x:f>
        <x:v>25.038644107523673</x:v>
      </x:c>
      <x:c r="AO173" s="32" t="n">
        <x:f>MIN(AP172+AN173,AM173*tun_KHMaxRatio)</x:f>
        <x:v>25.038644107523673</x:v>
      </x:c>
      <x:c r="AP173" s="32" t="n">
        <x:f>AP172+AN173-AO173</x:f>
        <x:v>0</x:v>
      </x:c>
      <x:c r="AQ173" s="32" t="n">
        <x:f>AM173+AO173</x:f>
        <x:v>149.45895453134207</x:v>
      </x:c>
      <x:c r="AR173" s="10" t="n">
        <x:f>IF(H173=1,INDEX(tun_Req,G173),0)</x:f>
        <x:v>5252.7422</x:v>
      </x:c>
      <x:c r="AS173" s="32" t="n">
        <x:f>IF(H173=1,IF(E173=1,AS172-AR172,AS172)+AQ173,0)</x:f>
        <x:v>4965.351474233517</x:v>
      </x:c>
      <x:c r="AT173" s="11" t="n">
        <x:f>IF(AR173&gt;0,MIN(1,AS173/AR173),1)</x:f>
        <x:v>0.9452874870260181</x:v>
      </x:c>
      <x:c r="AU173" s="10" t="n">
        <x:f>AB173/INDEX(tun_RepScale,G173)</x:f>
        <x:v>274.5696979390874</x:v>
      </x:c>
      <x:c r="AV173" s="32" t="n">
        <x:f>AM173*60/tun_SeasonSeconds</x:f>
        <x:v>497.68124169527357</x:v>
      </x:c>
    </x:row>
    <x:row r="174">
      <x:c r="A174" s="8" t="n">
        <x:f>A173+1</x:f>
        <x:v>171</x:v>
      </x:c>
      <x:c r="B174" s="9" t="n">
        <x:f>A174*tun_SeasonSeconds/60</x:f>
        <x:v>42.75</x:v>
      </x:c>
      <x:c r="C174" s="9" t="n">
        <x:f>A174/4</x:f>
        <x:v>42.75</x:v>
      </x:c>
      <x:c r="D174" s="8" t="n">
        <x:f>IF(MOD(A174,4)=0,1,0)</x:f>
        <x:v>0</x:v>
      </x:c>
      <x:c r="E174" s="8" t="n">
        <x:f>IF(AND(F173&lt;=9,AS173&gt;=AR173),1,0)</x:f>
        <x:v>0</x:v>
      </x:c>
      <x:c r="F174" s="8" t="n">
        <x:f>MIN(10,F173+E174)</x:f>
        <x:v>3</x:v>
      </x:c>
      <x:c r="G174" s="8" t="n">
        <x:f>MIN(F174,9)+1</x:f>
        <x:v>4</x:v>
      </x:c>
      <x:c r="H174" s="8" t="n">
        <x:f>IF(F174&lt;=9,1,0)</x:f>
        <x:v>1</x:v>
      </x:c>
      <x:c r="I174" s="9" t="n">
        <x:f>MIN(10,F173+IF(AR173&gt;0,MIN(1,AS173/AR173),1))</x:f>
        <x:v>3.945287487026018</x:v>
      </x:c>
      <x:c r="J174" s="32" t="n">
        <x:f>INDEX(tun_FoodCap,G174)*Arch_FoodCap*EXP(tun_CapsByProject*SUMPRODUCT((Cap_Point&lt;=I174)*(Cap_Kind="Food")*Cap_Ln))</x:f>
        <x:v>190.40203000328933</x:v>
      </x:c>
      <x:c r="K174" s="32" t="n">
        <x:f>J174*MIN(1,tun_LeanBase*EXP(tun_CapsByProject*SUMPRODUCT((Cap_Point&lt;=I174)*(Cap_Kind="Lean")*Cap_Ln)))</x:f>
        <x:v>190.40203000328933</x:v>
      </x:c>
      <x:c r="L174" s="10" t="n">
        <x:f>INDEX(tun_HousingCap,G174)*EXP(tun_CapsByProject*SUMPRODUCT((Cap_Point&lt;=I174)*(Cap_Kind="Housing")*Cap_Ln))</x:f>
        <x:v>947.6999999999999</x:v>
      </x:c>
      <x:c r="M174" s="10" t="n">
        <x:f>INDEX(tun_GroupCap,G174)*tun_CohesionFactor*EXP(tun_CapsByProject*SUMPRODUCT((Cap_Point&lt;=I174)*(Cap_Kind="Group")*Cap_Ln))</x:f>
        <x:v>10000.000000000005</x:v>
      </x:c>
      <x:c r="N174" s="32" t="n">
        <x:f>MIN(J174,L174,M174)</x:f>
        <x:v>190.40203000328933</x:v>
      </x:c>
      <x:c r="O174" s="10" t="n">
        <x:f>AE173*N174</x:f>
        <x:v>380.80406000657865</x:v>
      </x:c>
      <x:c r="P174" s="9" t="n">
        <x:f>MIN(1,(AB173/(AE173*IF(tun_GroupInCrowding=1,N174,MIN(J174,L174))))^tun_CrowdingExp)</x:f>
        <x:v>0.14050967051168653</x:v>
      </x:c>
      <x:c r="Q174" s="9" t="n">
        <x:f>IF(D174=1,INDEX(tun_WinterMult,G174),1)</x:f>
        <x:v>1</x:v>
      </x:c>
      <x:c r="R174" s="9" t="n">
        <x:f>H174*Z173*tun_WomenShare*tun_BaseFertility*INDEX(tun_FertMult,G174)*Arch_Fertility*(1-P174)</x:f>
        <x:v>6.674492884679227</x:v>
      </x:c>
      <x:c r="S174" s="9" t="n">
        <x:f>H174*Y173*INDEX(tun_MortChild,G174)/4*Q174</x:f>
        <x:v>1.3196334735674768</x:v>
      </x:c>
      <x:c r="T174" s="9" t="n">
        <x:f>H174*Z173*INDEX(tun_MortAdult,G174)*Arch_AdultMort/4*Q174</x:f>
        <x:v>0.262837061999758</x:v>
      </x:c>
      <x:c r="U174" s="9" t="n">
        <x:f>H174*AA173*INDEX(tun_MortElder,G174)/4*Q174</x:f>
        <x:v>0.32644682942215525</x:v>
      </x:c>
      <x:c r="V174" s="9" t="n">
        <x:f>H174*MAX(0,AB173-O174)*tun_OvercapLoss</x:f>
        <x:v>0</x:v>
      </x:c>
      <x:c r="W174" s="9" t="n">
        <x:f>H174*Y173/(tun_ChildYears*4)</x:f>
        <x:v>2.772339230183775</x:v>
      </x:c>
      <x:c r="X174" s="9" t="n">
        <x:f>H174*Z173/(tun_AdultYears*4)</x:f>
        <x:v>0.7707831730198181</x:v>
      </x:c>
      <x:c r="Y174" s="32" t="n">
        <x:f>Y173+R174-S174-W174-Y173*V174/AB173</x:f>
        <x:v>157.83351707121938</x:v>
      </x:c>
      <x:c r="Z174" s="32" t="n">
        <x:f>Z173+W174-X174-T174-Z173*V174/AB173</x:f>
        <x:v>97.31583244962164</x:v>
      </x:c>
      <x:c r="AA174" s="32" t="n">
        <x:f>AA173+X174-U174-AA173*V174/AB173</x:f>
        <x:v>24.185923937936224</x:v>
      </x:c>
      <x:c r="AB174" s="10" t="n">
        <x:f>Y174+Z174+AA174</x:f>
        <x:v>279.33527345877724</x:v>
      </x:c>
      <x:c r="AC174" s="8" t="n">
        <x:f>IF(AND(tun_WinterTrigger=1,D174=1,AB173/AE173&gt;=K174),1,0)</x:f>
        <x:v>0</x:v>
      </x:c>
      <x:c r="AD174" s="8" t="n">
        <x:f>H174*IF(AND(OR(AB173/AE173&gt;=tun_FissionTrigger*N174,AC174=1),AB173/AE173*tun_DaughterShare&gt;=tun_MinDaughter),MAX(1,ROUND(AE173*tun_FissionRate,0)),0)</x:f>
        <x:v>0</x:v>
      </x:c>
      <x:c r="AE174" s="8" t="n">
        <x:f>IF(H174=1,MAX(1,MIN(INDEX(tun_Smax,G174),AE173+AD174)),AE173)</x:f>
        <x:v>2</x:v>
      </x:c>
      <x:c r="AF174" s="8" t="n">
        <x:f>MAX(0,AE174-AE173)</x:f>
        <x:v>0</x:v>
      </x:c>
      <x:c r="AG174" s="9" t="str">
        <x:f>IF(AF174&gt;0,B174,"")</x:f>
      </x:c>
      <x:c r="AH174" s="9" t="n">
        <x:f>IF(F174&gt;=1,1,(1+tun_LowTiesShare*(AE174-1))/AE174)</x:f>
        <x:v>1</x:v>
      </x:c>
      <x:c r="AI174" s="32" t="n">
        <x:f>(Z174+tun_ElderCommons*INDEX(LM_Elder,G174)*AA174)*AH174</x:f>
        <x:v>169.8736042634303</x:v>
      </x:c>
      <x:c r="AJ174" s="32" t="n">
        <x:f>H174*tun_CommonsCoef*AI174^tun_CommonsExp*INDEX(LM_Commons,G174)</x:f>
        <x:v>415.18431554344437</x:v>
      </x:c>
      <x:c r="AK174" s="32" t="n">
        <x:f>H174*tun_RoleScale*Arch_Roles*(AE174*(INDEX(tun_ElderRolePerSett,G174)*tun_OutElder*INDEX(LM_Elder,G174)+INDEX(tun_ShamanPerSett,G174)*tun_OutShaman)+Z174*(INDEX(tun_PriestShare,G174)*tun_OutPriest+INDEX(tun_ScribeShare,G174)*tun_OutScribe*INDEX(LM_Scribe,G174)+INDEX(tun_ScholarShare,G174)*tun_OutScholar*INDEX(LM_Scholar,G174)+INDEX(tun_ResearcherShare,G174)*tun_OutResearcher*INDEX(LM_Researcher,G174)))</x:f>
        <x:v>53.44968661717881</x:v>
      </x:c>
      <x:c r="AL174" s="32" t="n">
        <x:f>H174*tun_RoleScale*Arch_Roles*AE174*INDEX(tun_MonasteryPerSett,G174)*tun_OutMonastery*INDEX(LM_Monastery,G174)</x:f>
        <x:v>0</x:v>
      </x:c>
      <x:c r="AM174" s="32" t="n">
        <x:f>(AJ174+AK174+AL174)/4*INDEX(LM_All,G174)*INDEX(tun_Boon,G174)*Arch_Insight</x:f>
        <x:v>126.16689087075117</x:v>
      </x:c>
      <x:c r="AN174" s="32" t="n">
        <x:f>H174*(tun_KHPerAdult*Z174+tun_KHOfCommons*AJ174/4*INDEX(LM_All,G174))*tun_KHUsable*Arch_KH</x:f>
        <x:v>25.430039327035963</x:v>
      </x:c>
      <x:c r="AO174" s="32" t="n">
        <x:f>MIN(AP173+AN174,AM174*tun_KHMaxRatio)</x:f>
        <x:v>25.430039327035963</x:v>
      </x:c>
      <x:c r="AP174" s="32" t="n">
        <x:f>AP173+AN174-AO174</x:f>
        <x:v>0</x:v>
      </x:c>
      <x:c r="AQ174" s="32" t="n">
        <x:f>AM174+AO174</x:f>
        <x:v>151.59693019778715</x:v>
      </x:c>
      <x:c r="AR174" s="10" t="n">
        <x:f>IF(H174=1,INDEX(tun_Req,G174),0)</x:f>
        <x:v>5252.7422</x:v>
      </x:c>
      <x:c r="AS174" s="32" t="n">
        <x:f>IF(H174=1,IF(E174=1,AS173-AR173,AS173)+AQ174,0)</x:f>
        <x:v>5116.948404431305</x:v>
      </x:c>
      <x:c r="AT174" s="11" t="n">
        <x:f>IF(AR174&gt;0,MIN(1,AS174/AR174),1)</x:f>
        <x:v>0.9741480182353714</x:v>
      </x:c>
      <x:c r="AU174" s="10" t="n">
        <x:f>AB174/INDEX(tun_RepScale,G174)</x:f>
        <x:v>279.33527345877724</x:v>
      </x:c>
      <x:c r="AV174" s="32" t="n">
        <x:f>AM174*60/tun_SeasonSeconds</x:f>
        <x:v>504.6675634830047</x:v>
      </x:c>
    </x:row>
    <x:row r="175">
      <x:c r="A175" s="8" t="n">
        <x:f>A174+1</x:f>
        <x:v>172</x:v>
      </x:c>
      <x:c r="B175" s="9" t="n">
        <x:f>A175*tun_SeasonSeconds/60</x:f>
        <x:v>43</x:v>
      </x:c>
      <x:c r="C175" s="9" t="n">
        <x:f>A175/4</x:f>
        <x:v>43</x:v>
      </x:c>
      <x:c r="D175" s="8" t="n">
        <x:f>IF(MOD(A175,4)=0,1,0)</x:f>
        <x:v>1</x:v>
      </x:c>
      <x:c r="E175" s="8" t="n">
        <x:f>IF(AND(F174&lt;=9,AS174&gt;=AR174),1,0)</x:f>
        <x:v>0</x:v>
      </x:c>
      <x:c r="F175" s="8" t="n">
        <x:f>MIN(10,F174+E175)</x:f>
        <x:v>3</x:v>
      </x:c>
      <x:c r="G175" s="8" t="n">
        <x:f>MIN(F175,9)+1</x:f>
        <x:v>4</x:v>
      </x:c>
      <x:c r="H175" s="8" t="n">
        <x:f>IF(F175&lt;=9,1,0)</x:f>
        <x:v>1</x:v>
      </x:c>
      <x:c r="I175" s="9" t="n">
        <x:f>MIN(10,F174+IF(AR174&gt;0,MIN(1,AS174/AR174),1))</x:f>
        <x:v>3.9741480182353714</x:v>
      </x:c>
      <x:c r="J175" s="32" t="n">
        <x:f>INDEX(tun_FoodCap,G175)*Arch_FoodCap*EXP(tun_CapsByProject*SUMPRODUCT((Cap_Point&lt;=I175)*(Cap_Kind="Food")*Cap_Ln))</x:f>
        <x:v>190.40203000328933</x:v>
      </x:c>
      <x:c r="K175" s="32" t="n">
        <x:f>J175*MIN(1,tun_LeanBase*EXP(tun_CapsByProject*SUMPRODUCT((Cap_Point&lt;=I175)*(Cap_Kind="Lean")*Cap_Ln)))</x:f>
        <x:v>190.40203000328933</x:v>
      </x:c>
      <x:c r="L175" s="10" t="n">
        <x:f>INDEX(tun_HousingCap,G175)*EXP(tun_CapsByProject*SUMPRODUCT((Cap_Point&lt;=I175)*(Cap_Kind="Housing")*Cap_Ln))</x:f>
        <x:v>947.6999999999999</x:v>
      </x:c>
      <x:c r="M175" s="10" t="n">
        <x:f>INDEX(tun_GroupCap,G175)*tun_CohesionFactor*EXP(tun_CapsByProject*SUMPRODUCT((Cap_Point&lt;=I175)*(Cap_Kind="Group")*Cap_Ln))</x:f>
        <x:v>10000.000000000005</x:v>
      </x:c>
      <x:c r="N175" s="32" t="n">
        <x:f>MIN(J175,L175,M175)</x:f>
        <x:v>190.40203000328933</x:v>
      </x:c>
      <x:c r="O175" s="10" t="n">
        <x:f>AE174*N175</x:f>
        <x:v>380.80406000657865</x:v>
      </x:c>
      <x:c r="P175" s="9" t="n">
        <x:f>MIN(1,(AB174/(AE174*IF(tun_GroupInCrowding=1,N175,MIN(J175,L175))))^tun_CrowdingExp)</x:f>
        <x:v>0.15579203909906267</x:v>
      </x:c>
      <x:c r="Q175" s="9" t="n">
        <x:f>IF(D175=1,INDEX(tun_WinterMult,G175),1)</x:f>
        <x:v>1.25</x:v>
      </x:c>
      <x:c r="R175" s="9" t="n">
        <x:f>H175*Z174*tun_WomenShare*tun_BaseFertility*INDEX(tun_FertMult,G175)*Arch_Fertility*(1-P175)</x:f>
        <x:v>6.675077538648379</x:v>
      </x:c>
      <x:c r="S175" s="9" t="n">
        <x:f>H175*Y174*INDEX(tun_MortChild,G175)/4*Q175</x:f>
        <x:v>1.676981118881706</x:v>
      </x:c>
      <x:c r="T175" s="9" t="n">
        <x:f>H175*Z174*INDEX(tun_MortAdult,G175)*Arch_AdultMort/4*Q175</x:f>
        <x:v>0.3345231740455744</x:v>
      </x:c>
      <x:c r="U175" s="9" t="n">
        <x:f>H175*AA174*INDEX(tun_MortElder,G175)/4*Q175</x:f>
        <x:v>0.41569556768327887</x:v>
      </x:c>
      <x:c r="V175" s="9" t="n">
        <x:f>H175*MAX(0,AB174-O175)*tun_OvercapLoss</x:f>
        <x:v>0</x:v>
      </x:c>
      <x:c r="W175" s="9" t="n">
        <x:f>H175*Y174/(tun_ChildYears*4)</x:f>
        <x:v>2.8184556619860603</x:v>
      </x:c>
      <x:c r="X175" s="9" t="n">
        <x:f>H175*Z174/(tun_AdultYears*4)</x:f>
        <x:v>0.7848051004001745</x:v>
      </x:c>
      <x:c r="Y175" s="32" t="n">
        <x:f>Y174+R175-S175-W175-Y174*V175/AB174</x:f>
        <x:v>160.01315782899997</x:v>
      </x:c>
      <x:c r="Z175" s="32" t="n">
        <x:f>Z174+W175-X175-T175-Z174*V175/AB174</x:f>
        <x:v>99.01495983716195</x:v>
      </x:c>
      <x:c r="AA175" s="32" t="n">
        <x:f>AA174+X175-U175-AA174*V175/AB174</x:f>
        <x:v>24.555033470653118</x:v>
      </x:c>
      <x:c r="AB175" s="10" t="n">
        <x:f>Y175+Z175+AA175</x:f>
        <x:v>283.58315113681505</x:v>
      </x:c>
      <x:c r="AC175" s="8" t="n">
        <x:f>IF(AND(tun_WinterTrigger=1,D175=1,AB174/AE174&gt;=K175),1,0)</x:f>
        <x:v>0</x:v>
      </x:c>
      <x:c r="AD175" s="8" t="n">
        <x:f>H175*IF(AND(OR(AB174/AE174&gt;=tun_FissionTrigger*N175,AC175=1),AB174/AE174*tun_DaughterShare&gt;=tun_MinDaughter),MAX(1,ROUND(AE174*tun_FissionRate,0)),0)</x:f>
        <x:v>0</x:v>
      </x:c>
      <x:c r="AE175" s="8" t="n">
        <x:f>IF(H175=1,MAX(1,MIN(INDEX(tun_Smax,G175),AE174+AD175)),AE174)</x:f>
        <x:v>2</x:v>
      </x:c>
      <x:c r="AF175" s="8" t="n">
        <x:f>MAX(0,AE175-AE174)</x:f>
        <x:v>0</x:v>
      </x:c>
      <x:c r="AG175" s="9" t="str">
        <x:f>IF(AF175&gt;0,B175,"")</x:f>
      </x:c>
      <x:c r="AH175" s="9" t="n">
        <x:f>IF(F175&gt;=1,1,(1+tun_LowTiesShare*(AE175-1))/AE175)</x:f>
        <x:v>1</x:v>
      </x:c>
      <x:c r="AI175" s="32" t="n">
        <x:f>(Z175+tun_ElderCommons*INDEX(LM_Elder,G175)*AA175)*AH175</x:f>
        <x:v>172.6800602491213</x:v>
      </x:c>
      <x:c r="AJ175" s="32" t="n">
        <x:f>H175*tun_CommonsCoef*AI175^tun_CommonsExp*INDEX(LM_Commons,G175)</x:f>
        <x:v>421.0074541615585</x:v>
      </x:c>
      <x:c r="AK175" s="32" t="n">
        <x:f>H175*tun_RoleScale*Arch_Roles*(AE175*(INDEX(tun_ElderRolePerSett,G175)*tun_OutElder*INDEX(LM_Elder,G175)+INDEX(tun_ShamanPerSett,G175)*tun_OutShaman)+Z175*(INDEX(tun_PriestShare,G175)*tun_OutPriest+INDEX(tun_ScribeShare,G175)*tun_OutScribe*INDEX(LM_Scribe,G175)+INDEX(tun_ScholarShare,G175)*tun_OutScholar*INDEX(LM_Scholar,G175)+INDEX(tun_ResearcherShare,G175)*tun_OutResearcher*INDEX(LM_Researcher,G175)))</x:f>
        <x:v>53.54483775088107</x:v>
      </x:c>
      <x:c r="AL175" s="32" t="n">
        <x:f>H175*tun_RoleScale*Arch_Roles*AE175*INDEX(tun_MonasteryPerSett,G175)*tun_OutMonastery*INDEX(LM_Monastery,G175)</x:f>
        <x:v>0</x:v>
      </x:c>
      <x:c r="AM175" s="32" t="n">
        <x:f>(AJ175+AK175+AL175)/4*INDEX(LM_All,G175)*INDEX(tun_Boon,G175)*Arch_Insight</x:f>
        <x:v>127.76022855819232</x:v>
      </x:c>
      <x:c r="AN175" s="32" t="n">
        <x:f>H175*(tun_KHPerAdult*Z175+tun_KHOfCommons*AJ175/4*INDEX(LM_All,G175))*tun_KHUsable*Arch_KH</x:f>
        <x:v>25.786706567395452</x:v>
      </x:c>
      <x:c r="AO175" s="32" t="n">
        <x:f>MIN(AP174+AN175,AM175*tun_KHMaxRatio)</x:f>
        <x:v>25.786706567395452</x:v>
      </x:c>
      <x:c r="AP175" s="32" t="n">
        <x:f>AP174+AN175-AO175</x:f>
        <x:v>0</x:v>
      </x:c>
      <x:c r="AQ175" s="32" t="n">
        <x:f>AM175+AO175</x:f>
        <x:v>153.54693512558777</x:v>
      </x:c>
      <x:c r="AR175" s="10" t="n">
        <x:f>IF(H175=1,INDEX(tun_Req,G175),0)</x:f>
        <x:v>5252.7422</x:v>
      </x:c>
      <x:c r="AS175" s="32" t="n">
        <x:f>IF(H175=1,IF(E175=1,AS174-AR174,AS174)+AQ175,0)</x:f>
        <x:v>5270.495339556893</x:v>
      </x:c>
      <x:c r="AT175" s="11" t="n">
        <x:f>IF(AR175&gt;0,MIN(1,AS175/AR175),1)</x:f>
        <x:v>1</x:v>
      </x:c>
      <x:c r="AU175" s="10" t="n">
        <x:f>AB175/INDEX(tun_RepScale,G175)</x:f>
        <x:v>283.58315113681505</x:v>
      </x:c>
      <x:c r="AV175" s="32" t="n">
        <x:f>AM175*60/tun_SeasonSeconds</x:f>
        <x:v>511.0409142327693</x:v>
      </x:c>
    </x:row>
    <x:row r="176">
      <x:c r="A176" s="8" t="n">
        <x:f>A175+1</x:f>
        <x:v>173</x:v>
      </x:c>
      <x:c r="B176" s="9" t="n">
        <x:f>A176*tun_SeasonSeconds/60</x:f>
        <x:v>43.25</x:v>
      </x:c>
      <x:c r="C176" s="9" t="n">
        <x:f>A176/4</x:f>
        <x:v>43.25</x:v>
      </x:c>
      <x:c r="D176" s="8" t="n">
        <x:f>IF(MOD(A176,4)=0,1,0)</x:f>
        <x:v>0</x:v>
      </x:c>
      <x:c r="E176" s="8" t="n">
        <x:f>IF(AND(F175&lt;=9,AS175&gt;=AR175),1,0)</x:f>
        <x:v>1</x:v>
      </x:c>
      <x:c r="F176" s="8" t="n">
        <x:f>MIN(10,F175+E176)</x:f>
        <x:v>4</x:v>
      </x:c>
      <x:c r="G176" s="8" t="n">
        <x:f>MIN(F176,9)+1</x:f>
        <x:v>5</x:v>
      </x:c>
      <x:c r="H176" s="8" t="n">
        <x:f>IF(F176&lt;=9,1,0)</x:f>
        <x:v>1</x:v>
      </x:c>
      <x:c r="I176" s="9" t="n">
        <x:f>MIN(10,F175+IF(AR175&gt;0,MIN(1,AS175/AR175),1))</x:f>
        <x:v>4</x:v>
      </x:c>
      <x:c r="J176" s="32" t="n">
        <x:f>INDEX(tun_FoodCap,G176)*Arch_FoodCap*EXP(tun_CapsByProject*SUMPRODUCT((Cap_Point&lt;=I176)*(Cap_Kind="Food")*Cap_Ln))</x:f>
        <x:v>190.40203000328933</x:v>
      </x:c>
      <x:c r="K176" s="32" t="n">
        <x:f>J176*MIN(1,tun_LeanBase*EXP(tun_CapsByProject*SUMPRODUCT((Cap_Point&lt;=I176)*(Cap_Kind="Lean")*Cap_Ln)))</x:f>
        <x:v>190.40203000328933</x:v>
      </x:c>
      <x:c r="L176" s="10" t="n">
        <x:f>INDEX(tun_HousingCap,G176)*EXP(tun_CapsByProject*SUMPRODUCT((Cap_Point&lt;=I176)*(Cap_Kind="Housing")*Cap_Ln))</x:f>
        <x:v>947.6999999999999</x:v>
      </x:c>
      <x:c r="M176" s="10" t="n">
        <x:f>INDEX(tun_GroupCap,G176)*tun_CohesionFactor*EXP(tun_CapsByProject*SUMPRODUCT((Cap_Point&lt;=I176)*(Cap_Kind="Group")*Cap_Ln))</x:f>
        <x:v>10000.000000000005</x:v>
      </x:c>
      <x:c r="N176" s="32" t="n">
        <x:f>MIN(J176,L176,M176)</x:f>
        <x:v>190.40203000328933</x:v>
      </x:c>
      <x:c r="O176" s="10" t="n">
        <x:f>AE175*N176</x:f>
        <x:v>380.80406000657865</x:v>
      </x:c>
      <x:c r="P176" s="9" t="n">
        <x:f>MIN(1,(AB175/(AE175*IF(tun_GroupInCrowding=1,N176,MIN(J176,L176))))^tun_CrowdingExp)</x:f>
        <x:v>0.17055840417116092</x:v>
      </x:c>
      <x:c r="Q176" s="9" t="n">
        <x:f>IF(D176=1,INDEX(tun_WinterMult,G176),1)</x:f>
        <x:v>1</x:v>
      </x:c>
      <x:c r="R176" s="9" t="n">
        <x:f>H176*Z175*tun_WomenShare*tun_BaseFertility*INDEX(tun_FertMult,G176)*Arch_Fertility*(1-P176)</x:f>
        <x:v>6.405915851264592</x:v>
      </x:c>
      <x:c r="S176" s="9" t="n">
        <x:f>H176*Y175*INDEX(tun_MortChild,G176)/4*Q176</x:f>
        <x:v>1.2000986837174996</x:v>
      </x:c>
      <x:c r="T176" s="9" t="n">
        <x:f>H176*Z175*INDEX(tun_MortAdult,G176)*Arch_AdultMort/4*Q176</x:f>
        <x:v>0.25991426957255015</x:v>
      </x:c>
      <x:c r="U176" s="9" t="n">
        <x:f>H176*AA175*INDEX(tun_MortElder,G176)/4*Q176</x:f>
        <x:v>0.3253541934861538</x:v>
      </x:c>
      <x:c r="V176" s="9" t="n">
        <x:f>H176*MAX(0,AB175-O176)*tun_OvercapLoss</x:f>
        <x:v>0</x:v>
      </x:c>
      <x:c r="W176" s="9" t="n">
        <x:f>H176*Y175/(tun_ChildYears*4)</x:f>
        <x:v>2.8573778183749994</x:v>
      </x:c>
      <x:c r="X176" s="9" t="n">
        <x:f>H176*Z175/(tun_AdultYears*4)</x:f>
        <x:v>0.7985077406222738</x:v>
      </x:c>
      <x:c r="Y176" s="32" t="n">
        <x:f>Y175+R176-S176-W176-Y175*V176/AB175</x:f>
        <x:v>162.36159717817205</x:v>
      </x:c>
      <x:c r="Z176" s="32" t="n">
        <x:f>Z175+W176-X176-T176-Z175*V176/AB175</x:f>
        <x:v>100.81391564534214</x:v>
      </x:c>
      <x:c r="AA176" s="32" t="n">
        <x:f>AA175+X176-U176-AA175*V176/AB175</x:f>
        <x:v>25.02818701778924</x:v>
      </x:c>
      <x:c r="AB176" s="10" t="n">
        <x:f>Y176+Z176+AA176</x:f>
        <x:v>288.20369984130343</x:v>
      </x:c>
      <x:c r="AC176" s="8" t="n">
        <x:f>IF(AND(tun_WinterTrigger=1,D176=1,AB175/AE175&gt;=K176),1,0)</x:f>
        <x:v>0</x:v>
      </x:c>
      <x:c r="AD176" s="8" t="n">
        <x:f>H176*IF(AND(OR(AB175/AE175&gt;=tun_FissionTrigger*N176,AC176=1),AB175/AE175*tun_DaughterShare&gt;=tun_MinDaughter),MAX(1,ROUND(AE175*tun_FissionRate,0)),0)</x:f>
        <x:v>0</x:v>
      </x:c>
      <x:c r="AE176" s="8" t="n">
        <x:f>IF(H176=1,MAX(1,MIN(INDEX(tun_Smax,G176),AE175+AD176)),AE175)</x:f>
        <x:v>2</x:v>
      </x:c>
      <x:c r="AF176" s="8" t="n">
        <x:f>MAX(0,AE176-AE175)</x:f>
        <x:v>0</x:v>
      </x:c>
      <x:c r="AG176" s="9" t="str">
        <x:f>IF(AF176&gt;0,B176,"")</x:f>
      </x:c>
      <x:c r="AH176" s="9" t="n">
        <x:f>IF(F176&gt;=1,1,(1+tun_LowTiesShare*(AE176-1))/AE176)</x:f>
        <x:v>1</x:v>
      </x:c>
      <x:c r="AI176" s="32" t="n">
        <x:f>(Z176+tun_ElderCommons*INDEX(LM_Elder,G176)*AA176)*AH176</x:f>
        <x:v>175.89847669870986</x:v>
      </x:c>
      <x:c r="AJ176" s="32" t="n">
        <x:f>H176*tun_CommonsCoef*AI176^tun_CommonsExp*INDEX(LM_Commons,G176)</x:f>
        <x:v>469.94849044738083</x:v>
      </x:c>
      <x:c r="AK176" s="32" t="n">
        <x:f>H176*tun_RoleScale*Arch_Roles*(AE176*(INDEX(tun_ElderRolePerSett,G176)*tun_OutElder*INDEX(LM_Elder,G176)+INDEX(tun_ShamanPerSett,G176)*tun_OutShaman)+Z176*(INDEX(tun_PriestShare,G176)*tun_OutPriest+INDEX(tun_ScribeShare,G176)*tun_OutScribe*INDEX(LM_Scribe,G176)+INDEX(tun_ScholarShare,G176)*tun_OutScholar*INDEX(LM_Scholar,G176)+INDEX(tun_ResearcherShare,G176)*tun_OutResearcher*INDEX(LM_Researcher,G176)))</x:f>
        <x:v>70.78950832638367</x:v>
      </x:c>
      <x:c r="AL176" s="32" t="n">
        <x:f>H176*tun_RoleScale*Arch_Roles*AE176*INDEX(tun_MonasteryPerSett,G176)*tun_OutMonastery*INDEX(LM_Monastery,G176)</x:f>
        <x:v>0</x:v>
      </x:c>
      <x:c r="AM176" s="32" t="n">
        <x:f>(AJ176+AK176+AL176)/4*INDEX(LM_All,G176)*INDEX(tun_Boon,G176)*Arch_Insight</x:f>
        <x:v>162.64120375353363</x:v>
      </x:c>
      <x:c r="AN176" s="32" t="n">
        <x:f>H176*(tun_KHPerAdult*Z176+tun_KHOfCommons*AJ176/4*INDEX(LM_All,G176))*tun_KHUsable*Arch_KH</x:f>
        <x:v>31.373615682908603</x:v>
      </x:c>
      <x:c r="AO176" s="32" t="n">
        <x:f>MIN(AP175+AN176,AM176*tun_KHMaxRatio)</x:f>
        <x:v>31.373615682908603</x:v>
      </x:c>
      <x:c r="AP176" s="32" t="n">
        <x:f>AP175+AN176-AO176</x:f>
        <x:v>0</x:v>
      </x:c>
      <x:c r="AQ176" s="32" t="n">
        <x:f>AM176+AO176</x:f>
        <x:v>194.01481943644222</x:v>
      </x:c>
      <x:c r="AR176" s="10" t="n">
        <x:f>IF(H176=1,INDEX(tun_Req,G176),0)</x:f>
        <x:v>21071.475087999996</x:v>
      </x:c>
      <x:c r="AS176" s="32" t="n">
        <x:f>IF(H176=1,IF(E176=1,AS175-AR175,AS175)+AQ176,0)</x:f>
        <x:v>211.7679589933353</x:v>
      </x:c>
      <x:c r="AT176" s="11" t="n">
        <x:f>IF(AR176&gt;0,MIN(1,AS176/AR176),1)</x:f>
        <x:v>0.010049982647581002</x:v>
      </x:c>
      <x:c r="AU176" s="10" t="n">
        <x:f>AB176/INDEX(tun_RepScale,G176)</x:f>
        <x:v>144.10184992065172</x:v>
      </x:c>
      <x:c r="AV176" s="32" t="n">
        <x:f>AM176*60/tun_SeasonSeconds</x:f>
        <x:v>650.5648150141345</x:v>
      </x:c>
    </x:row>
    <x:row r="177">
      <x:c r="A177" s="8" t="n">
        <x:f>A176+1</x:f>
        <x:v>174</x:v>
      </x:c>
      <x:c r="B177" s="9" t="n">
        <x:f>A177*tun_SeasonSeconds/60</x:f>
        <x:v>43.5</x:v>
      </x:c>
      <x:c r="C177" s="9" t="n">
        <x:f>A177/4</x:f>
        <x:v>43.5</x:v>
      </x:c>
      <x:c r="D177" s="8" t="n">
        <x:f>IF(MOD(A177,4)=0,1,0)</x:f>
        <x:v>0</x:v>
      </x:c>
      <x:c r="E177" s="8" t="n">
        <x:f>IF(AND(F176&lt;=9,AS176&gt;=AR176),1,0)</x:f>
        <x:v>0</x:v>
      </x:c>
      <x:c r="F177" s="8" t="n">
        <x:f>MIN(10,F176+E177)</x:f>
        <x:v>4</x:v>
      </x:c>
      <x:c r="G177" s="8" t="n">
        <x:f>MIN(F177,9)+1</x:f>
        <x:v>5</x:v>
      </x:c>
      <x:c r="H177" s="8" t="n">
        <x:f>IF(F177&lt;=9,1,0)</x:f>
        <x:v>1</x:v>
      </x:c>
      <x:c r="I177" s="9" t="n">
        <x:f>MIN(10,F176+IF(AR176&gt;0,MIN(1,AS176/AR176),1))</x:f>
        <x:v>4.010049982647581</x:v>
      </x:c>
      <x:c r="J177" s="32" t="n">
        <x:f>INDEX(tun_FoodCap,G177)*Arch_FoodCap*EXP(tun_CapsByProject*SUMPRODUCT((Cap_Point&lt;=I177)*(Cap_Kind="Food")*Cap_Ln))</x:f>
        <x:v>190.40203000328933</x:v>
      </x:c>
      <x:c r="K177" s="32" t="n">
        <x:f>J177*MIN(1,tun_LeanBase*EXP(tun_CapsByProject*SUMPRODUCT((Cap_Point&lt;=I177)*(Cap_Kind="Lean")*Cap_Ln)))</x:f>
        <x:v>190.40203000328933</x:v>
      </x:c>
      <x:c r="L177" s="10" t="n">
        <x:f>INDEX(tun_HousingCap,G177)*EXP(tun_CapsByProject*SUMPRODUCT((Cap_Point&lt;=I177)*(Cap_Kind="Housing")*Cap_Ln))</x:f>
        <x:v>947.6999999999999</x:v>
      </x:c>
      <x:c r="M177" s="10" t="n">
        <x:f>INDEX(tun_GroupCap,G177)*tun_CohesionFactor*EXP(tun_CapsByProject*SUMPRODUCT((Cap_Point&lt;=I177)*(Cap_Kind="Group")*Cap_Ln))</x:f>
        <x:v>10000.000000000005</x:v>
      </x:c>
      <x:c r="N177" s="32" t="n">
        <x:f>MIN(J177,L177,M177)</x:f>
        <x:v>190.40203000328933</x:v>
      </x:c>
      <x:c r="O177" s="10" t="n">
        <x:f>AE176*N177</x:f>
        <x:v>380.80406000657865</x:v>
      </x:c>
      <x:c r="P177" s="9" t="n">
        <x:f>MIN(1,(AB176/(AE176*IF(tun_GroupInCrowding=1,N177,MIN(J177,L177))))^tun_CrowdingExp)</x:f>
        <x:v>0.18792644167199568</x:v>
      </x:c>
      <x:c r="Q177" s="9" t="n">
        <x:f>IF(D177=1,INDEX(tun_WinterMult,G177),1)</x:f>
        <x:v>1</x:v>
      </x:c>
      <x:c r="R177" s="9" t="n">
        <x:f>H177*Z176*tun_WomenShare*tun_BaseFertility*INDEX(tun_FertMult,G177)*Arch_Fertility*(1-P177)</x:f>
        <x:v>6.385728586153196</x:v>
      </x:c>
      <x:c r="S177" s="9" t="n">
        <x:f>H177*Y176*INDEX(tun_MortChild,G177)/4*Q177</x:f>
        <x:v>1.2177119788362902</x:v>
      </x:c>
      <x:c r="T177" s="9" t="n">
        <x:f>H177*Z176*INDEX(tun_MortAdult,G177)*Arch_AdultMort/4*Q177</x:f>
        <x:v>0.26463652856902314</x:v>
      </x:c>
      <x:c r="U177" s="9" t="n">
        <x:f>H177*AA176*INDEX(tun_MortElder,G177)/4*Q177</x:f>
        <x:v>0.3316234779857074</x:v>
      </x:c>
      <x:c r="V177" s="9" t="n">
        <x:f>H177*MAX(0,AB176-O177)*tun_OvercapLoss</x:f>
        <x:v>0</x:v>
      </x:c>
      <x:c r="W177" s="9" t="n">
        <x:f>H177*Y176/(tun_ChildYears*4)</x:f>
        <x:v>2.8993142353245007</x:v>
      </x:c>
      <x:c r="X177" s="9" t="n">
        <x:f>H177*Z176/(tun_AdultYears*4)</x:f>
        <x:v>0.8130154487527591</x:v>
      </x:c>
      <x:c r="Y177" s="32" t="n">
        <x:f>Y176+R177-S177-W177-Y176*V177/AB176</x:f>
        <x:v>164.63029955016444</x:v>
      </x:c>
      <x:c r="Z177" s="32" t="n">
        <x:f>Z176+W177-X177-T177-Z176*V177/AB176</x:f>
        <x:v>102.63557790334484</x:v>
      </x:c>
      <x:c r="AA177" s="32" t="n">
        <x:f>AA176+X177-U177-AA176*V177/AB176</x:f>
        <x:v>25.50957898855629</x:v>
      </x:c>
      <x:c r="AB177" s="10" t="n">
        <x:f>Y177+Z177+AA177</x:f>
        <x:v>292.7754564420656</x:v>
      </x:c>
      <x:c r="AC177" s="8" t="n">
        <x:f>IF(AND(tun_WinterTrigger=1,D177=1,AB176/AE176&gt;=K177),1,0)</x:f>
        <x:v>0</x:v>
      </x:c>
      <x:c r="AD177" s="8" t="n">
        <x:f>H177*IF(AND(OR(AB176/AE176&gt;=tun_FissionTrigger*N177,AC177=1),AB176/AE176*tun_DaughterShare&gt;=tun_MinDaughter),MAX(1,ROUND(AE176*tun_FissionRate,0)),0)</x:f>
        <x:v>0</x:v>
      </x:c>
      <x:c r="AE177" s="8" t="n">
        <x:f>IF(H177=1,MAX(1,MIN(INDEX(tun_Smax,G177),AE176+AD177)),AE176)</x:f>
        <x:v>2</x:v>
      </x:c>
      <x:c r="AF177" s="8" t="n">
        <x:f>MAX(0,AE177-AE176)</x:f>
        <x:v>0</x:v>
      </x:c>
      <x:c r="AG177" s="9" t="str">
        <x:f>IF(AF177&gt;0,B177,"")</x:f>
      </x:c>
      <x:c r="AH177" s="9" t="n">
        <x:f>IF(F177&gt;=1,1,(1+tun_LowTiesShare*(AE177-1))/AE177)</x:f>
        <x:v>1</x:v>
      </x:c>
      <x:c r="AI177" s="32" t="n">
        <x:f>(Z177+tun_ElderCommons*INDEX(LM_Elder,G177)*AA177)*AH177</x:f>
        <x:v>179.1643148690137</x:v>
      </x:c>
      <x:c r="AJ177" s="32" t="n">
        <x:f>H177*tun_CommonsCoef*AI177^tun_CommonsExp*INDEX(LM_Commons,G177)</x:f>
        <x:v>477.3547829474417</x:v>
      </x:c>
      <x:c r="AK177" s="32" t="n">
        <x:f>H177*tun_RoleScale*Arch_Roles*(AE177*(INDEX(tun_ElderRolePerSett,G177)*tun_OutElder*INDEX(LM_Elder,G177)+INDEX(tun_ShamanPerSett,G177)*tun_OutShaman)+Z177*(INDEX(tun_PriestShare,G177)*tun_OutPriest+INDEX(tun_ScribeShare,G177)*tun_OutScribe*INDEX(LM_Scribe,G177)+INDEX(tun_ScholarShare,G177)*tun_OutScholar*INDEX(LM_Scholar,G177)+INDEX(tun_ResearcherShare,G177)*tun_OutResearcher*INDEX(LM_Researcher,G177)))</x:f>
        <x:v>71.20130452466505</x:v>
      </x:c>
      <x:c r="AL177" s="32" t="n">
        <x:f>H177*tun_RoleScale*Arch_Roles*AE177*INDEX(tun_MonasteryPerSett,G177)*tun_OutMonastery*INDEX(LM_Monastery,G177)</x:f>
        <x:v>0</x:v>
      </x:c>
      <x:c r="AM177" s="32" t="n">
        <x:f>(AJ177+AK177+AL177)/4*INDEX(LM_All,G177)*INDEX(tun_Boon,G177)*Arch_Insight</x:f>
        <x:v>164.9926999676591</x:v>
      </x:c>
      <x:c r="AN177" s="32" t="n">
        <x:f>H177*(tun_KHPerAdult*Z177+tun_KHOfCommons*AJ177/4*INDEX(LM_All,G177))*tun_KHUsable*Arch_KH</x:f>
        <x:v>31.868057476542017</x:v>
      </x:c>
      <x:c r="AO177" s="32" t="n">
        <x:f>MIN(AP176+AN177,AM177*tun_KHMaxRatio)</x:f>
        <x:v>31.868057476542017</x:v>
      </x:c>
      <x:c r="AP177" s="32" t="n">
        <x:f>AP176+AN177-AO177</x:f>
        <x:v>0</x:v>
      </x:c>
      <x:c r="AQ177" s="32" t="n">
        <x:f>AM177+AO177</x:f>
        <x:v>196.8607574442011</x:v>
      </x:c>
      <x:c r="AR177" s="10" t="n">
        <x:f>IF(H177=1,INDEX(tun_Req,G177),0)</x:f>
        <x:v>21071.475087999996</x:v>
      </x:c>
      <x:c r="AS177" s="32" t="n">
        <x:f>IF(H177=1,IF(E177=1,AS176-AR176,AS176)+AQ177,0)</x:f>
        <x:v>408.6287164375364</x:v>
      </x:c>
      <x:c r="AT177" s="11" t="n">
        <x:f>IF(AR177&gt;0,MIN(1,AS177/AR177),1)</x:f>
        <x:v>0.019392506444422895</x:v>
      </x:c>
      <x:c r="AU177" s="10" t="n">
        <x:f>AB177/INDEX(tun_RepScale,G177)</x:f>
        <x:v>146.3877282210328</x:v>
      </x:c>
      <x:c r="AV177" s="32" t="n">
        <x:f>AM177*60/tun_SeasonSeconds</x:f>
        <x:v>659.9707998706364</x:v>
      </x:c>
    </x:row>
    <x:row r="178">
      <x:c r="A178" s="8" t="n">
        <x:f>A177+1</x:f>
        <x:v>175</x:v>
      </x:c>
      <x:c r="B178" s="9" t="n">
        <x:f>A178*tun_SeasonSeconds/60</x:f>
        <x:v>43.75</x:v>
      </x:c>
      <x:c r="C178" s="9" t="n">
        <x:f>A178/4</x:f>
        <x:v>43.75</x:v>
      </x:c>
      <x:c r="D178" s="8" t="n">
        <x:f>IF(MOD(A178,4)=0,1,0)</x:f>
        <x:v>0</x:v>
      </x:c>
      <x:c r="E178" s="8" t="n">
        <x:f>IF(AND(F177&lt;=9,AS177&gt;=AR177),1,0)</x:f>
        <x:v>0</x:v>
      </x:c>
      <x:c r="F178" s="8" t="n">
        <x:f>MIN(10,F177+E178)</x:f>
        <x:v>4</x:v>
      </x:c>
      <x:c r="G178" s="8" t="n">
        <x:f>MIN(F178,9)+1</x:f>
        <x:v>5</x:v>
      </x:c>
      <x:c r="H178" s="8" t="n">
        <x:f>IF(F178&lt;=9,1,0)</x:f>
        <x:v>1</x:v>
      </x:c>
      <x:c r="I178" s="9" t="n">
        <x:f>MIN(10,F177+IF(AR177&gt;0,MIN(1,AS177/AR177),1))</x:f>
        <x:v>4.019392506444423</x:v>
      </x:c>
      <x:c r="J178" s="32" t="n">
        <x:f>INDEX(tun_FoodCap,G178)*Arch_FoodCap*EXP(tun_CapsByProject*SUMPRODUCT((Cap_Point&lt;=I178)*(Cap_Kind="Food")*Cap_Ln))</x:f>
        <x:v>190.40203000328933</x:v>
      </x:c>
      <x:c r="K178" s="32" t="n">
        <x:f>J178*MIN(1,tun_LeanBase*EXP(tun_CapsByProject*SUMPRODUCT((Cap_Point&lt;=I178)*(Cap_Kind="Lean")*Cap_Ln)))</x:f>
        <x:v>190.40203000328933</x:v>
      </x:c>
      <x:c r="L178" s="10" t="n">
        <x:f>INDEX(tun_HousingCap,G178)*EXP(tun_CapsByProject*SUMPRODUCT((Cap_Point&lt;=I178)*(Cap_Kind="Housing")*Cap_Ln))</x:f>
        <x:v>947.6999999999999</x:v>
      </x:c>
      <x:c r="M178" s="10" t="n">
        <x:f>INDEX(tun_GroupCap,G178)*tun_CohesionFactor*EXP(tun_CapsByProject*SUMPRODUCT((Cap_Point&lt;=I178)*(Cap_Kind="Group")*Cap_Ln))</x:f>
        <x:v>10000.000000000005</x:v>
      </x:c>
      <x:c r="N178" s="32" t="n">
        <x:f>MIN(J178,L178,M178)</x:f>
        <x:v>190.40203000328933</x:v>
      </x:c>
      <x:c r="O178" s="10" t="n">
        <x:f>AE177*N178</x:f>
        <x:v>380.80406000657865</x:v>
      </x:c>
      <x:c r="P178" s="9" t="n">
        <x:f>MIN(1,(AB177/(AE177*IF(tun_GroupInCrowding=1,N178,MIN(J178,L178))))^tun_CrowdingExp)</x:f>
        <x:v>0.20653734031197982</x:v>
      </x:c>
      <x:c r="Q178" s="9" t="n">
        <x:f>IF(D178=1,INDEX(tun_WinterMult,G178),1)</x:f>
        <x:v>1</x:v>
      </x:c>
      <x:c r="R178" s="9" t="n">
        <x:f>H178*Z177*tun_WomenShare*tun_BaseFertility*INDEX(tun_FertMult,G178)*Arch_Fertility*(1-P178)</x:f>
        <x:v>6.352124892500789</x:v>
      </x:c>
      <x:c r="S178" s="9" t="n">
        <x:f>H178*Y177*INDEX(tun_MortChild,G178)/4*Q178</x:f>
        <x:v>1.2347272466262333</x:v>
      </x:c>
      <x:c r="T178" s="9" t="n">
        <x:f>H178*Z177*INDEX(tun_MortAdult,G178)*Arch_AdultMort/4*Q178</x:f>
        <x:v>0.2694183919962802</x:v>
      </x:c>
      <x:c r="U178" s="9" t="n">
        <x:f>H178*AA177*INDEX(tun_MortElder,G178)/4*Q178</x:f>
        <x:v>0.33800192159837084</x:v>
      </x:c>
      <x:c r="V178" s="9" t="n">
        <x:f>H178*MAX(0,AB177-O178)*tun_OvercapLoss</x:f>
        <x:v>0</x:v>
      </x:c>
      <x:c r="W178" s="9" t="n">
        <x:f>H178*Y177/(tun_ChildYears*4)</x:f>
        <x:v>2.9398267776815077</x:v>
      </x:c>
      <x:c r="X178" s="9" t="n">
        <x:f>H178*Z177/(tun_AdultYears*4)</x:f>
        <x:v>0.8277062734140713</x:v>
      </x:c>
      <x:c r="Y178" s="32" t="n">
        <x:f>Y177+R178-S178-W178-Y177*V178/AB177</x:f>
        <x:v>166.8078704183575</x:v>
      </x:c>
      <x:c r="Z178" s="32" t="n">
        <x:f>Z177+W178-X178-T178-Z177*V178/AB177</x:f>
        <x:v>104.478280015616</x:v>
      </x:c>
      <x:c r="AA178" s="32" t="n">
        <x:f>AA177+X178-U178-AA177*V178/AB177</x:f>
        <x:v>25.999283340371992</x:v>
      </x:c>
      <x:c r="AB178" s="10" t="n">
        <x:f>Y178+Z178+AA178</x:f>
        <x:v>297.2854337743455</x:v>
      </x:c>
      <x:c r="AC178" s="8" t="n">
        <x:f>IF(AND(tun_WinterTrigger=1,D178=1,AB177/AE177&gt;=K178),1,0)</x:f>
        <x:v>0</x:v>
      </x:c>
      <x:c r="AD178" s="8" t="n">
        <x:f>H178*IF(AND(OR(AB177/AE177&gt;=tun_FissionTrigger*N178,AC178=1),AB177/AE177*tun_DaughterShare&gt;=tun_MinDaughter),MAX(1,ROUND(AE177*tun_FissionRate,0)),0)</x:f>
        <x:v>0</x:v>
      </x:c>
      <x:c r="AE178" s="8" t="n">
        <x:f>IF(H178=1,MAX(1,MIN(INDEX(tun_Smax,G178),AE177+AD178)),AE177)</x:f>
        <x:v>2</x:v>
      </x:c>
      <x:c r="AF178" s="8" t="n">
        <x:f>MAX(0,AE178-AE177)</x:f>
        <x:v>0</x:v>
      </x:c>
      <x:c r="AG178" s="9" t="str">
        <x:f>IF(AF178&gt;0,B178,"")</x:f>
      </x:c>
      <x:c r="AH178" s="9" t="n">
        <x:f>IF(F178&gt;=1,1,(1+tun_LowTiesShare*(AE178-1))/AE178)</x:f>
        <x:v>1</x:v>
      </x:c>
      <x:c r="AI178" s="32" t="n">
        <x:f>(Z178+tun_ElderCommons*INDEX(LM_Elder,G178)*AA178)*AH178</x:f>
        <x:v>182.47613003673197</x:v>
      </x:c>
      <x:c r="AJ178" s="32" t="n">
        <x:f>H178*tun_CommonsCoef*AI178^tun_CommonsExp*INDEX(LM_Commons,G178)</x:f>
        <x:v>484.84469134169234</x:v>
      </x:c>
      <x:c r="AK178" s="32" t="n">
        <x:f>H178*tun_RoleScale*Arch_Roles*(AE178*(INDEX(tun_ElderRolePerSett,G178)*tun_OutElder*INDEX(LM_Elder,G178)+INDEX(tun_ShamanPerSett,G178)*tun_OutShaman)+Z178*(INDEX(tun_PriestShare,G178)*tun_OutPriest+INDEX(tun_ScribeShare,G178)*tun_OutScribe*INDEX(LM_Scribe,G178)+INDEX(tun_ScholarShare,G178)*tun_OutScholar*INDEX(LM_Scholar,G178)+INDEX(tun_ResearcherShare,G178)*tun_OutResearcher*INDEX(LM_Researcher,G178)))</x:f>
        <x:v>71.61785689109016</x:v>
      </x:c>
      <x:c r="AL178" s="32" t="n">
        <x:f>H178*tun_RoleScale*Arch_Roles*AE178*INDEX(tun_MonasteryPerSett,G178)*tun_OutMonastery*INDEX(LM_Monastery,G178)</x:f>
        <x:v>0</x:v>
      </x:c>
      <x:c r="AM178" s="32" t="n">
        <x:f>(AJ178+AK178+AL178)/4*INDEX(LM_All,G178)*INDEX(tun_Boon,G178)*Arch_Insight</x:f>
        <x:v>167.3707764084908</x:v>
      </x:c>
      <x:c r="AN178" s="32" t="n">
        <x:f>H178*(tun_KHPerAdult*Z178+tun_KHOfCommons*AJ178/4*INDEX(LM_All,G178))*tun_KHUsable*Arch_KH</x:f>
        <x:v>32.368081441376354</x:v>
      </x:c>
      <x:c r="AO178" s="32" t="n">
        <x:f>MIN(AP177+AN178,AM178*tun_KHMaxRatio)</x:f>
        <x:v>32.368081441376354</x:v>
      </x:c>
      <x:c r="AP178" s="32" t="n">
        <x:f>AP177+AN178-AO178</x:f>
        <x:v>0</x:v>
      </x:c>
      <x:c r="AQ178" s="32" t="n">
        <x:f>AM178+AO178</x:f>
        <x:v>199.73885784986714</x:v>
      </x:c>
      <x:c r="AR178" s="10" t="n">
        <x:f>IF(H178=1,INDEX(tun_Req,G178),0)</x:f>
        <x:v>21071.475087999996</x:v>
      </x:c>
      <x:c r="AS178" s="32" t="n">
        <x:f>IF(H178=1,IF(E178=1,AS177-AR177,AS177)+AQ178,0)</x:f>
        <x:v>608.3675742874036</x:v>
      </x:c>
      <x:c r="AT178" s="11" t="n">
        <x:f>IF(AR178&gt;0,MIN(1,AS178/AR178),1)</x:f>
        <x:v>0.02887161775560094</x:v>
      </x:c>
      <x:c r="AU178" s="10" t="n">
        <x:f>AB178/INDEX(tun_RepScale,G178)</x:f>
        <x:v>148.64271688717275</x:v>
      </x:c>
      <x:c r="AV178" s="32" t="n">
        <x:f>AM178*60/tun_SeasonSeconds</x:f>
        <x:v>669.4831056339632</x:v>
      </x:c>
    </x:row>
    <x:row r="179">
      <x:c r="A179" s="8" t="n">
        <x:f>A178+1</x:f>
        <x:v>176</x:v>
      </x:c>
      <x:c r="B179" s="9" t="n">
        <x:f>A179*tun_SeasonSeconds/60</x:f>
        <x:v>44</x:v>
      </x:c>
      <x:c r="C179" s="9" t="n">
        <x:f>A179/4</x:f>
        <x:v>44</x:v>
      </x:c>
      <x:c r="D179" s="8" t="n">
        <x:f>IF(MOD(A179,4)=0,1,0)</x:f>
        <x:v>1</x:v>
      </x:c>
      <x:c r="E179" s="8" t="n">
        <x:f>IF(AND(F178&lt;=9,AS178&gt;=AR178),1,0)</x:f>
        <x:v>0</x:v>
      </x:c>
      <x:c r="F179" s="8" t="n">
        <x:f>MIN(10,F178+E179)</x:f>
        <x:v>4</x:v>
      </x:c>
      <x:c r="G179" s="8" t="n">
        <x:f>MIN(F179,9)+1</x:f>
        <x:v>5</x:v>
      </x:c>
      <x:c r="H179" s="8" t="n">
        <x:f>IF(F179&lt;=9,1,0)</x:f>
        <x:v>1</x:v>
      </x:c>
      <x:c r="I179" s="9" t="n">
        <x:f>MIN(10,F178+IF(AR178&gt;0,MIN(1,AS178/AR178),1))</x:f>
        <x:v>4.028871617755601</x:v>
      </x:c>
      <x:c r="J179" s="32" t="n">
        <x:f>INDEX(tun_FoodCap,G179)*Arch_FoodCap*EXP(tun_CapsByProject*SUMPRODUCT((Cap_Point&lt;=I179)*(Cap_Kind="Food")*Cap_Ln))</x:f>
        <x:v>190.40203000328933</x:v>
      </x:c>
      <x:c r="K179" s="32" t="n">
        <x:f>J179*MIN(1,tun_LeanBase*EXP(tun_CapsByProject*SUMPRODUCT((Cap_Point&lt;=I179)*(Cap_Kind="Lean")*Cap_Ln)))</x:f>
        <x:v>190.40203000328933</x:v>
      </x:c>
      <x:c r="L179" s="10" t="n">
        <x:f>INDEX(tun_HousingCap,G179)*EXP(tun_CapsByProject*SUMPRODUCT((Cap_Point&lt;=I179)*(Cap_Kind="Housing")*Cap_Ln))</x:f>
        <x:v>947.6999999999999</x:v>
      </x:c>
      <x:c r="M179" s="10" t="n">
        <x:f>INDEX(tun_GroupCap,G179)*tun_CohesionFactor*EXP(tun_CapsByProject*SUMPRODUCT((Cap_Point&lt;=I179)*(Cap_Kind="Group")*Cap_Ln))</x:f>
        <x:v>10000.000000000005</x:v>
      </x:c>
      <x:c r="N179" s="32" t="n">
        <x:f>MIN(J179,L179,M179)</x:f>
        <x:v>190.40203000328933</x:v>
      </x:c>
      <x:c r="O179" s="10" t="n">
        <x:f>AE178*N179</x:f>
        <x:v>380.80406000657865</x:v>
      </x:c>
      <x:c r="P179" s="9" t="n">
        <x:f>MIN(1,(AB178/(AE178*IF(tun_GroupInCrowding=1,N179,MIN(J179,L179))))^tun_CrowdingExp)</x:f>
        <x:v>0.2263770322910614</x:v>
      </x:c>
      <x:c r="Q179" s="9" t="n">
        <x:f>IF(D179=1,INDEX(tun_WinterMult,G179),1)</x:f>
        <x:v>1.2</x:v>
      </x:c>
      <x:c r="R179" s="9" t="n">
        <x:f>H179*Z178*tun_WomenShare*tun_BaseFertility*INDEX(tun_FertMult,G179)*Arch_Fertility*(1-P179)</x:f>
        <x:v>6.304490169650893</x:v>
      </x:c>
      <x:c r="S179" s="9" t="n">
        <x:f>H179*Y178*INDEX(tun_MortChild,G179)/4*Q179</x:f>
        <x:v>1.5012708337652174</x:v>
      </x:c>
      <x:c r="T179" s="9" t="n">
        <x:f>H179*Z178*INDEX(tun_MortAdult,G179)*Arch_AdultMort/4*Q179</x:f>
        <x:v>0.3291065820491904</x:v>
      </x:c>
      <x:c r="U179" s="9" t="n">
        <x:f>H179*AA178*INDEX(tun_MortElder,G179)/4*Q179</x:f>
        <x:v>0.41338860511191466</x:v>
      </x:c>
      <x:c r="V179" s="9" t="n">
        <x:f>H179*MAX(0,AB178-O179)*tun_OvercapLoss</x:f>
        <x:v>0</x:v>
      </x:c>
      <x:c r="W179" s="9" t="n">
        <x:f>H179*Y178/(tun_ChildYears*4)</x:f>
        <x:v>2.978711971756384</x:v>
      </x:c>
      <x:c r="X179" s="9" t="n">
        <x:f>H179*Z178/(tun_AdultYears*4)</x:f>
        <x:v>0.8425667743194838</x:v>
      </x:c>
      <x:c r="Y179" s="32" t="n">
        <x:f>Y178+R179-S179-W179-Y178*V179/AB178</x:f>
        <x:v>168.63237778248683</x:v>
      </x:c>
      <x:c r="Z179" s="32" t="n">
        <x:f>Z178+W179-X179-T179-Z178*V179/AB178</x:f>
        <x:v>106.2853186310037</x:v>
      </x:c>
      <x:c r="AA179" s="32" t="n">
        <x:f>AA178+X179-U179-AA178*V179/AB178</x:f>
        <x:v>26.42846150957956</x:v>
      </x:c>
      <x:c r="AB179" s="10" t="n">
        <x:f>Y179+Z179+AA179</x:f>
        <x:v>301.3461579230701</x:v>
      </x:c>
      <x:c r="AC179" s="8" t="n">
        <x:f>IF(AND(tun_WinterTrigger=1,D179=1,AB178/AE178&gt;=K179),1,0)</x:f>
        <x:v>0</x:v>
      </x:c>
      <x:c r="AD179" s="8" t="n">
        <x:f>H179*IF(AND(OR(AB178/AE178&gt;=tun_FissionTrigger*N179,AC179=1),AB178/AE178*tun_DaughterShare&gt;=tun_MinDaughter),MAX(1,ROUND(AE178*tun_FissionRate,0)),0)</x:f>
        <x:v>0</x:v>
      </x:c>
      <x:c r="AE179" s="8" t="n">
        <x:f>IF(H179=1,MAX(1,MIN(INDEX(tun_Smax,G179),AE178+AD179)),AE178)</x:f>
        <x:v>2</x:v>
      </x:c>
      <x:c r="AF179" s="8" t="n">
        <x:f>MAX(0,AE179-AE178)</x:f>
        <x:v>0</x:v>
      </x:c>
      <x:c r="AG179" s="9" t="str">
        <x:f>IF(AF179&gt;0,B179,"")</x:f>
      </x:c>
      <x:c r="AH179" s="9" t="n">
        <x:f>IF(F179&gt;=1,1,(1+tun_LowTiesShare*(AE179-1))/AE179)</x:f>
        <x:v>1</x:v>
      </x:c>
      <x:c r="AI179" s="32" t="n">
        <x:f>(Z179+tun_ElderCommons*INDEX(LM_Elder,G179)*AA179)*AH179</x:f>
        <x:v>185.57070315974238</x:v>
      </x:c>
      <x:c r="AJ179" s="32" t="n">
        <x:f>H179*tun_CommonsCoef*AI179^tun_CommonsExp*INDEX(LM_Commons,G179)</x:f>
        <x:v>491.82487880706475</x:v>
      </x:c>
      <x:c r="AK179" s="32" t="n">
        <x:f>H179*tun_RoleScale*Arch_Roles*(AE179*(INDEX(tun_ElderRolePerSett,G179)*tun_OutElder*INDEX(LM_Elder,G179)+INDEX(tun_ShamanPerSett,G179)*tun_OutShaman)+Z179*(INDEX(tun_PriestShare,G179)*tun_OutPriest+INDEX(tun_ScribeShare,G179)*tun_OutScribe*INDEX(LM_Scribe,G179)+INDEX(tun_ScholarShare,G179)*tun_OutScholar*INDEX(LM_Scholar,G179)+INDEX(tun_ResearcherShare,G179)*tun_OutResearcher*INDEX(LM_Researcher,G179)))</x:f>
        <x:v>72.02634733913851</x:v>
      </x:c>
      <x:c r="AL179" s="32" t="n">
        <x:f>H179*tun_RoleScale*Arch_Roles*AE179*INDEX(tun_MonasteryPerSett,G179)*tun_OutMonastery*INDEX(LM_Monastery,G179)</x:f>
        <x:v>0</x:v>
      </x:c>
      <x:c r="AM179" s="32" t="n">
        <x:f>(AJ179+AK179+AL179)/4*INDEX(LM_All,G179)*INDEX(tun_Boon,G179)*Arch_Insight</x:f>
        <x:v>169.59311601234887</x:v>
      </x:c>
      <x:c r="AN179" s="32" t="n">
        <x:f>H179*(tun_KHPerAdult*Z179+tun_KHOfCommons*AJ179/4*INDEX(LM_All,G179))*tun_KHUsable*Arch_KH</x:f>
        <x:v>32.83407659485535</x:v>
      </x:c>
      <x:c r="AO179" s="32" t="n">
        <x:f>MIN(AP178+AN179,AM179*tun_KHMaxRatio)</x:f>
        <x:v>32.83407659485535</x:v>
      </x:c>
      <x:c r="AP179" s="32" t="n">
        <x:f>AP178+AN179-AO179</x:f>
        <x:v>0</x:v>
      </x:c>
      <x:c r="AQ179" s="32" t="n">
        <x:f>AM179+AO179</x:f>
        <x:v>202.42719260720423</x:v>
      </x:c>
      <x:c r="AR179" s="10" t="n">
        <x:f>IF(H179=1,INDEX(tun_Req,G179),0)</x:f>
        <x:v>21071.475087999996</x:v>
      </x:c>
      <x:c r="AS179" s="32" t="n">
        <x:f>IF(H179=1,IF(E179=1,AS178-AR178,AS178)+AQ179,0)</x:f>
        <x:v>810.7947668946078</x:v>
      </x:c>
      <x:c r="AT179" s="11" t="n">
        <x:f>IF(AR179&gt;0,MIN(1,AS179/AR179),1)</x:f>
        <x:v>0.03847831077361773</x:v>
      </x:c>
      <x:c r="AU179" s="10" t="n">
        <x:f>AB179/INDEX(tun_RepScale,G179)</x:f>
        <x:v>150.67307896153505</x:v>
      </x:c>
      <x:c r="AV179" s="32" t="n">
        <x:f>AM179*60/tun_SeasonSeconds</x:f>
        <x:v>678.3724640493955</x:v>
      </x:c>
    </x:row>
    <x:row r="180">
      <x:c r="A180" s="8" t="n">
        <x:f>A179+1</x:f>
        <x:v>177</x:v>
      </x:c>
      <x:c r="B180" s="9" t="n">
        <x:f>A180*tun_SeasonSeconds/60</x:f>
        <x:v>44.25</x:v>
      </x:c>
      <x:c r="C180" s="9" t="n">
        <x:f>A180/4</x:f>
        <x:v>44.25</x:v>
      </x:c>
      <x:c r="D180" s="8" t="n">
        <x:f>IF(MOD(A180,4)=0,1,0)</x:f>
        <x:v>0</x:v>
      </x:c>
      <x:c r="E180" s="8" t="n">
        <x:f>IF(AND(F179&lt;=9,AS179&gt;=AR179),1,0)</x:f>
        <x:v>0</x:v>
      </x:c>
      <x:c r="F180" s="8" t="n">
        <x:f>MIN(10,F179+E180)</x:f>
        <x:v>4</x:v>
      </x:c>
      <x:c r="G180" s="8" t="n">
        <x:f>MIN(F180,9)+1</x:f>
        <x:v>5</x:v>
      </x:c>
      <x:c r="H180" s="8" t="n">
        <x:f>IF(F180&lt;=9,1,0)</x:f>
        <x:v>1</x:v>
      </x:c>
      <x:c r="I180" s="9" t="n">
        <x:f>MIN(10,F179+IF(AR179&gt;0,MIN(1,AS179/AR179),1))</x:f>
        <x:v>4.038478310773618</x:v>
      </x:c>
      <x:c r="J180" s="32" t="n">
        <x:f>INDEX(tun_FoodCap,G180)*Arch_FoodCap*EXP(tun_CapsByProject*SUMPRODUCT((Cap_Point&lt;=I180)*(Cap_Kind="Food")*Cap_Ln))</x:f>
        <x:v>190.40203000328933</x:v>
      </x:c>
      <x:c r="K180" s="32" t="n">
        <x:f>J180*MIN(1,tun_LeanBase*EXP(tun_CapsByProject*SUMPRODUCT((Cap_Point&lt;=I180)*(Cap_Kind="Lean")*Cap_Ln)))</x:f>
        <x:v>190.40203000328933</x:v>
      </x:c>
      <x:c r="L180" s="10" t="n">
        <x:f>INDEX(tun_HousingCap,G180)*EXP(tun_CapsByProject*SUMPRODUCT((Cap_Point&lt;=I180)*(Cap_Kind="Housing")*Cap_Ln))</x:f>
        <x:v>947.6999999999999</x:v>
      </x:c>
      <x:c r="M180" s="10" t="n">
        <x:f>INDEX(tun_GroupCap,G180)*tun_CohesionFactor*EXP(tun_CapsByProject*SUMPRODUCT((Cap_Point&lt;=I180)*(Cap_Kind="Group")*Cap_Ln))</x:f>
        <x:v>10000.000000000005</x:v>
      </x:c>
      <x:c r="N180" s="32" t="n">
        <x:f>MIN(J180,L180,M180)</x:f>
        <x:v>190.40203000328933</x:v>
      </x:c>
      <x:c r="O180" s="10" t="n">
        <x:f>AE179*N180</x:f>
        <x:v>380.80406000657865</x:v>
      </x:c>
      <x:c r="P180" s="9" t="n">
        <x:f>MIN(1,(AB179/(AE179*IF(tun_GroupInCrowding=1,N180,MIN(J180,L180))))^tun_CrowdingExp)</x:f>
        <x:v>0.24557521447375338</x:v>
      </x:c>
      <x:c r="Q180" s="9" t="n">
        <x:f>IF(D180=1,INDEX(tun_WinterMult,G180),1)</x:f>
        <x:v>1</x:v>
      </x:c>
      <x:c r="R180" s="9" t="n">
        <x:f>H180*Z179*tun_WomenShare*tun_BaseFertility*INDEX(tun_FertMult,G180)*Arch_Fertility*(1-P180)</x:f>
        <x:v>6.254373739597132</x:v>
      </x:c>
      <x:c r="S180" s="9" t="n">
        <x:f>H180*Y179*INDEX(tun_MortChild,G180)/4*Q180</x:f>
        <x:v>1.2647428333686512</x:v>
      </x:c>
      <x:c r="T180" s="9" t="n">
        <x:f>H180*Z179*INDEX(tun_MortAdult,G180)*Arch_AdultMort/4*Q180</x:f>
        <x:v>0.27899896140638475</x:v>
      </x:c>
      <x:c r="U180" s="9" t="n">
        <x:f>H180*AA179*INDEX(tun_MortElder,G180)/4*Q180</x:f>
        <x:v>0.35017711500192916</x:v>
      </x:c>
      <x:c r="V180" s="9" t="n">
        <x:f>H180*MAX(0,AB179-O180)*tun_OvercapLoss</x:f>
        <x:v>0</x:v>
      </x:c>
      <x:c r="W180" s="9" t="n">
        <x:f>H180*Y179/(tun_ChildYears*4)</x:f>
        <x:v>3.0112924604015503</x:v>
      </x:c>
      <x:c r="X180" s="9" t="n">
        <x:f>H180*Z179/(tun_AdultYears*4)</x:f>
        <x:v>0.8571396663790621</x:v>
      </x:c>
      <x:c r="Y180" s="32" t="n">
        <x:f>Y179+R180-S180-W180-Y179*V180/AB179</x:f>
        <x:v>170.61071622831375</x:v>
      </x:c>
      <x:c r="Z180" s="32" t="n">
        <x:f>Z179+W180-X180-T180-Z179*V180/AB179</x:f>
        <x:v>108.16047246361981</x:v>
      </x:c>
      <x:c r="AA180" s="32" t="n">
        <x:f>AA179+X180-U180-AA179*V180/AB179</x:f>
        <x:v>26.93542406095669</x:v>
      </x:c>
      <x:c r="AB180" s="10" t="n">
        <x:f>Y180+Z180+AA180</x:f>
        <x:v>305.70661275289024</x:v>
      </x:c>
      <x:c r="AC180" s="8" t="n">
        <x:f>IF(AND(tun_WinterTrigger=1,D180=1,AB179/AE179&gt;=K180),1,0)</x:f>
        <x:v>0</x:v>
      </x:c>
      <x:c r="AD180" s="8" t="n">
        <x:f>H180*IF(AND(OR(AB179/AE179&gt;=tun_FissionTrigger*N180,AC180=1),AB179/AE179*tun_DaughterShare&gt;=tun_MinDaughter),MAX(1,ROUND(AE179*tun_FissionRate,0)),0)</x:f>
        <x:v>0</x:v>
      </x:c>
      <x:c r="AE180" s="8" t="n">
        <x:f>IF(H180=1,MAX(1,MIN(INDEX(tun_Smax,G180),AE179+AD180)),AE179)</x:f>
        <x:v>2</x:v>
      </x:c>
      <x:c r="AF180" s="8" t="n">
        <x:f>MAX(0,AE180-AE179)</x:f>
        <x:v>0</x:v>
      </x:c>
      <x:c r="AG180" s="9" t="str">
        <x:f>IF(AF180&gt;0,B180,"")</x:f>
      </x:c>
      <x:c r="AH180" s="9" t="n">
        <x:f>IF(F180&gt;=1,1,(1+tun_LowTiesShare*(AE180-1))/AE180)</x:f>
        <x:v>1</x:v>
      </x:c>
      <x:c r="AI180" s="32" t="n">
        <x:f>(Z180+tun_ElderCommons*INDEX(LM_Elder,G180)*AA180)*AH180</x:f>
        <x:v>188.96674464648987</x:v>
      </x:c>
      <x:c r="AJ180" s="32" t="n">
        <x:f>H180*tun_CommonsCoef*AI180^tun_CommonsExp*INDEX(LM_Commons,G180)</x:f>
        <x:v>499.4650069697719</x:v>
      </x:c>
      <x:c r="AK180" s="32" t="n">
        <x:f>H180*tun_RoleScale*Arch_Roles*(AE180*(INDEX(tun_ElderRolePerSett,G180)*tun_OutElder*INDEX(LM_Elder,G180)+INDEX(tun_ShamanPerSett,G180)*tun_OutShaman)+Z180*(INDEX(tun_PriestShare,G180)*tun_OutPriest+INDEX(tun_ScribeShare,G180)*tun_OutScribe*INDEX(LM_Scribe,G180)+INDEX(tun_ScholarShare,G180)*tun_OutScholar*INDEX(LM_Scholar,G180)+INDEX(tun_ResearcherShare,G180)*tun_OutResearcher*INDEX(LM_Researcher,G180)))</x:f>
        <x:v>72.45023558520158</x:v>
      </x:c>
      <x:c r="AL180" s="32" t="n">
        <x:f>H180*tun_RoleScale*Arch_Roles*AE180*INDEX(tun_MonasteryPerSett,G180)*tun_OutMonastery*INDEX(LM_Monastery,G180)</x:f>
        <x:v>0</x:v>
      </x:c>
      <x:c r="AM180" s="32" t="n">
        <x:f>(AJ180+AK180+AL180)/4*INDEX(LM_All,G180)*INDEX(tun_Boon,G180)*Arch_Insight</x:f>
        <x:v>172.0185814665704</x:v>
      </x:c>
      <x:c r="AN180" s="32" t="n">
        <x:f>H180*(tun_KHPerAdult*Z180+tun_KHOfCommons*AJ180/4*INDEX(LM_All,G180))*tun_KHUsable*Arch_KH</x:f>
        <x:v>33.34412918490995</x:v>
      </x:c>
      <x:c r="AO180" s="32" t="n">
        <x:f>MIN(AP179+AN180,AM180*tun_KHMaxRatio)</x:f>
        <x:v>33.34412918490995</x:v>
      </x:c>
      <x:c r="AP180" s="32" t="n">
        <x:f>AP179+AN180-AO180</x:f>
        <x:v>0</x:v>
      </x:c>
      <x:c r="AQ180" s="32" t="n">
        <x:f>AM180+AO180</x:f>
        <x:v>205.36271065148034</x:v>
      </x:c>
      <x:c r="AR180" s="10" t="n">
        <x:f>IF(H180=1,INDEX(tun_Req,G180),0)</x:f>
        <x:v>21071.475087999996</x:v>
      </x:c>
      <x:c r="AS180" s="32" t="n">
        <x:f>IF(H180=1,IF(E180=1,AS179-AR179,AS179)+AQ180,0)</x:f>
        <x:v>1016.1574775460882</x:v>
      </x:c>
      <x:c r="AT180" s="11" t="n">
        <x:f>IF(AR180&gt;0,MIN(1,AS180/AR180),1)</x:f>
        <x:v>0.04822431620483847</x:v>
      </x:c>
      <x:c r="AU180" s="10" t="n">
        <x:f>AB180/INDEX(tun_RepScale,G180)</x:f>
        <x:v>152.85330637644512</x:v>
      </x:c>
      <x:c r="AV180" s="32" t="n">
        <x:f>AM180*60/tun_SeasonSeconds</x:f>
        <x:v>688.0743258662816</x:v>
      </x:c>
    </x:row>
    <x:row r="181">
      <x:c r="A181" s="8" t="n">
        <x:f>A180+1</x:f>
        <x:v>178</x:v>
      </x:c>
      <x:c r="B181" s="9" t="n">
        <x:f>A181*tun_SeasonSeconds/60</x:f>
        <x:v>44.5</x:v>
      </x:c>
      <x:c r="C181" s="9" t="n">
        <x:f>A181/4</x:f>
        <x:v>44.5</x:v>
      </x:c>
      <x:c r="D181" s="8" t="n">
        <x:f>IF(MOD(A181,4)=0,1,0)</x:f>
        <x:v>0</x:v>
      </x:c>
      <x:c r="E181" s="8" t="n">
        <x:f>IF(AND(F180&lt;=9,AS180&gt;=AR180),1,0)</x:f>
        <x:v>0</x:v>
      </x:c>
      <x:c r="F181" s="8" t="n">
        <x:f>MIN(10,F180+E181)</x:f>
        <x:v>4</x:v>
      </x:c>
      <x:c r="G181" s="8" t="n">
        <x:f>MIN(F181,9)+1</x:f>
        <x:v>5</x:v>
      </x:c>
      <x:c r="H181" s="8" t="n">
        <x:f>IF(F181&lt;=9,1,0)</x:f>
        <x:v>1</x:v>
      </x:c>
      <x:c r="I181" s="9" t="n">
        <x:f>MIN(10,F180+IF(AR180&gt;0,MIN(1,AS180/AR180),1))</x:f>
        <x:v>4.048224316204839</x:v>
      </x:c>
      <x:c r="J181" s="32" t="n">
        <x:f>INDEX(tun_FoodCap,G181)*Arch_FoodCap*EXP(tun_CapsByProject*SUMPRODUCT((Cap_Point&lt;=I181)*(Cap_Kind="Food")*Cap_Ln))</x:f>
        <x:v>190.40203000328933</x:v>
      </x:c>
      <x:c r="K181" s="32" t="n">
        <x:f>J181*MIN(1,tun_LeanBase*EXP(tun_CapsByProject*SUMPRODUCT((Cap_Point&lt;=I181)*(Cap_Kind="Lean")*Cap_Ln)))</x:f>
        <x:v>190.40203000328933</x:v>
      </x:c>
      <x:c r="L181" s="10" t="n">
        <x:f>INDEX(tun_HousingCap,G181)*EXP(tun_CapsByProject*SUMPRODUCT((Cap_Point&lt;=I181)*(Cap_Kind="Housing")*Cap_Ln))</x:f>
        <x:v>947.6999999999999</x:v>
      </x:c>
      <x:c r="M181" s="10" t="n">
        <x:f>INDEX(tun_GroupCap,G181)*tun_CohesionFactor*EXP(tun_CapsByProject*SUMPRODUCT((Cap_Point&lt;=I181)*(Cap_Kind="Group")*Cap_Ln))</x:f>
        <x:v>10000.000000000005</x:v>
      </x:c>
      <x:c r="N181" s="32" t="n">
        <x:f>MIN(J181,L181,M181)</x:f>
        <x:v>190.40203000328933</x:v>
      </x:c>
      <x:c r="O181" s="10" t="n">
        <x:f>AE180*N181</x:f>
        <x:v>380.80406000657865</x:v>
      </x:c>
      <x:c r="P181" s="9" t="n">
        <x:f>MIN(1,(AB180/(AE180*IF(tun_GroupInCrowding=1,N181,MIN(J181,L181))))^tun_CrowdingExp)</x:f>
        <x:v>0.2676822525184846</x:v>
      </x:c>
      <x:c r="Q181" s="9" t="n">
        <x:f>IF(D181=1,INDEX(tun_WinterMult,G181),1)</x:f>
        <x:v>1</x:v>
      </x:c>
      <x:c r="R181" s="9" t="n">
        <x:f>H181*Z180*tun_WomenShare*tun_BaseFertility*INDEX(tun_FertMult,G181)*Arch_Fertility*(1-P181)</x:f>
        <x:v>6.178211017765374</x:v>
      </x:c>
      <x:c r="S181" s="9" t="n">
        <x:f>H181*Y180*INDEX(tun_MortChild,G181)/4*Q181</x:f>
        <x:v>1.279580371712353</x:v>
      </x:c>
      <x:c r="T181" s="9" t="n">
        <x:f>H181*Z180*INDEX(tun_MortAdult,G181)*Arch_AdultMort/4*Q181</x:f>
        <x:v>0.28392124021700205</x:v>
      </x:c>
      <x:c r="U181" s="9" t="n">
        <x:f>H181*AA180*INDEX(tun_MortElder,G181)/4*Q181</x:f>
        <x:v>0.35689436880767617</x:v>
      </x:c>
      <x:c r="V181" s="9" t="n">
        <x:f>H181*MAX(0,AB180-O181)*tun_OvercapLoss</x:f>
        <x:v>0</x:v>
      </x:c>
      <x:c r="W181" s="9" t="n">
        <x:f>H181*Y180/(tun_ChildYears*4)</x:f>
        <x:v>3.04661993264846</x:v>
      </x:c>
      <x:c r="X181" s="9" t="n">
        <x:f>H181*Z180/(tun_AdultYears*4)</x:f>
        <x:v>0.8722618747066114</x:v>
      </x:c>
      <x:c r="Y181" s="32" t="n">
        <x:f>Y180+R181-S181-W181-Y180*V181/AB180</x:f>
        <x:v>172.4627269417183</x:v>
      </x:c>
      <x:c r="Z181" s="32" t="n">
        <x:f>Z180+W181-X181-T181-Z180*V181/AB180</x:f>
        <x:v>110.05090928134466</x:v>
      </x:c>
      <x:c r="AA181" s="32" t="n">
        <x:f>AA180+X181-U181-AA180*V181/AB180</x:f>
        <x:v>27.450791566855628</x:v>
      </x:c>
      <x:c r="AB181" s="10" t="n">
        <x:f>Y181+Z181+AA181</x:f>
        <x:v>309.9644277899186</x:v>
      </x:c>
      <x:c r="AC181" s="8" t="n">
        <x:f>IF(AND(tun_WinterTrigger=1,D181=1,AB180/AE180&gt;=K181),1,0)</x:f>
        <x:v>0</x:v>
      </x:c>
      <x:c r="AD181" s="8" t="n">
        <x:f>H181*IF(AND(OR(AB180/AE180&gt;=tun_FissionTrigger*N181,AC181=1),AB180/AE180*tun_DaughterShare&gt;=tun_MinDaughter),MAX(1,ROUND(AE180*tun_FissionRate,0)),0)</x:f>
        <x:v>0</x:v>
      </x:c>
      <x:c r="AE181" s="8" t="n">
        <x:f>IF(H181=1,MAX(1,MIN(INDEX(tun_Smax,G181),AE180+AD181)),AE180)</x:f>
        <x:v>2</x:v>
      </x:c>
      <x:c r="AF181" s="8" t="n">
        <x:f>MAX(0,AE181-AE180)</x:f>
        <x:v>0</x:v>
      </x:c>
      <x:c r="AG181" s="9" t="str">
        <x:f>IF(AF181&gt;0,B181,"")</x:f>
      </x:c>
      <x:c r="AH181" s="9" t="n">
        <x:f>IF(F181&gt;=1,1,(1+tun_LowTiesShare*(AE181-1))/AE181)</x:f>
        <x:v>1</x:v>
      </x:c>
      <x:c r="AI181" s="32" t="n">
        <x:f>(Z181+tun_ElderCommons*INDEX(LM_Elder,G181)*AA181)*AH181</x:f>
        <x:v>192.40328398191156</x:v>
      </x:c>
      <x:c r="AJ181" s="32" t="n">
        <x:f>H181*tun_CommonsCoef*AI181^tun_CommonsExp*INDEX(LM_Commons,G181)</x:f>
        <x:v>507.1753067964468</x:v>
      </x:c>
      <x:c r="AK181" s="32" t="n">
        <x:f>H181*tun_RoleScale*Arch_Roles*(AE181*(INDEX(tun_ElderRolePerSett,G181)*tun_OutElder*INDEX(LM_Elder,G181)+INDEX(tun_ShamanPerSett,G181)*tun_OutShaman)+Z181*(INDEX(tun_PriestShare,G181)*tun_OutPriest+INDEX(tun_ScribeShare,G181)*tun_OutScribe*INDEX(LM_Scribe,G181)+INDEX(tun_ScholarShare,G181)*tun_OutScholar*INDEX(LM_Scholar,G181)+INDEX(tun_ResearcherShare,G181)*tun_OutResearcher*INDEX(LM_Researcher,G181)))</x:f>
        <x:v>72.87757862928692</x:v>
      </x:c>
      <x:c r="AL181" s="32" t="n">
        <x:f>H181*tun_RoleScale*Arch_Roles*AE181*INDEX(tun_MonasteryPerSett,G181)*tun_OutMonastery*INDEX(LM_Monastery,G181)</x:f>
        <x:v>0</x:v>
      </x:c>
      <x:c r="AM181" s="32" t="n">
        <x:f>(AJ181+AK181+AL181)/4*INDEX(LM_All,G181)*INDEX(tun_Boon,G181)*Arch_Insight</x:f>
        <x:v>174.46619201958893</x:v>
      </x:c>
      <x:c r="AN181" s="32" t="n">
        <x:f>H181*(tun_KHPerAdult*Z181+tun_KHOfCommons*AJ181/4*INDEX(LM_All,G181))*tun_KHUsable*Arch_KH</x:f>
        <x:v>33.85886641351944</x:v>
      </x:c>
      <x:c r="AO181" s="32" t="n">
        <x:f>MIN(AP180+AN181,AM181*tun_KHMaxRatio)</x:f>
        <x:v>33.85886641351944</x:v>
      </x:c>
      <x:c r="AP181" s="32" t="n">
        <x:f>AP180+AN181-AO181</x:f>
        <x:v>0</x:v>
      </x:c>
      <x:c r="AQ181" s="32" t="n">
        <x:f>AM181+AO181</x:f>
        <x:v>208.32505843310838</x:v>
      </x:c>
      <x:c r="AR181" s="10" t="n">
        <x:f>IF(H181=1,INDEX(tun_Req,G181),0)</x:f>
        <x:v>21071.475087999996</x:v>
      </x:c>
      <x:c r="AS181" s="32" t="n">
        <x:f>IF(H181=1,IF(E181=1,AS180-AR180,AS180)+AQ181,0)</x:f>
        <x:v>1224.4825359791967</x:v>
      </x:c>
      <x:c r="AT181" s="11" t="n">
        <x:f>IF(AR181&gt;0,MIN(1,AS181/AR181),1)</x:f>
        <x:v>0.058110907322123255</x:v>
      </x:c>
      <x:c r="AU181" s="10" t="n">
        <x:f>AB181/INDEX(tun_RepScale,G181)</x:f>
        <x:v>154.9822138949593</x:v>
      </x:c>
      <x:c r="AV181" s="32" t="n">
        <x:f>AM181*60/tun_SeasonSeconds</x:f>
        <x:v>697.8647680783557</x:v>
      </x:c>
    </x:row>
    <x:row r="182">
      <x:c r="A182" s="8" t="n">
        <x:f>A181+1</x:f>
        <x:v>179</x:v>
      </x:c>
      <x:c r="B182" s="9" t="n">
        <x:f>A182*tun_SeasonSeconds/60</x:f>
        <x:v>44.75</x:v>
      </x:c>
      <x:c r="C182" s="9" t="n">
        <x:f>A182/4</x:f>
        <x:v>44.75</x:v>
      </x:c>
      <x:c r="D182" s="8" t="n">
        <x:f>IF(MOD(A182,4)=0,1,0)</x:f>
        <x:v>0</x:v>
      </x:c>
      <x:c r="E182" s="8" t="n">
        <x:f>IF(AND(F181&lt;=9,AS181&gt;=AR181),1,0)</x:f>
        <x:v>0</x:v>
      </x:c>
      <x:c r="F182" s="8" t="n">
        <x:f>MIN(10,F181+E182)</x:f>
        <x:v>4</x:v>
      </x:c>
      <x:c r="G182" s="8" t="n">
        <x:f>MIN(F182,9)+1</x:f>
        <x:v>5</x:v>
      </x:c>
      <x:c r="H182" s="8" t="n">
        <x:f>IF(F182&lt;=9,1,0)</x:f>
        <x:v>1</x:v>
      </x:c>
      <x:c r="I182" s="9" t="n">
        <x:f>MIN(10,F181+IF(AR181&gt;0,MIN(1,AS181/AR181),1))</x:f>
        <x:v>4.058110907322123</x:v>
      </x:c>
      <x:c r="J182" s="32" t="n">
        <x:f>INDEX(tun_FoodCap,G182)*Arch_FoodCap*EXP(tun_CapsByProject*SUMPRODUCT((Cap_Point&lt;=I182)*(Cap_Kind="Food")*Cap_Ln))</x:f>
        <x:v>190.40203000328933</x:v>
      </x:c>
      <x:c r="K182" s="32" t="n">
        <x:f>J182*MIN(1,tun_LeanBase*EXP(tun_CapsByProject*SUMPRODUCT((Cap_Point&lt;=I182)*(Cap_Kind="Lean")*Cap_Ln)))</x:f>
        <x:v>190.40203000328933</x:v>
      </x:c>
      <x:c r="L182" s="10" t="n">
        <x:f>INDEX(tun_HousingCap,G182)*EXP(tun_CapsByProject*SUMPRODUCT((Cap_Point&lt;=I182)*(Cap_Kind="Housing")*Cap_Ln))</x:f>
        <x:v>947.6999999999999</x:v>
      </x:c>
      <x:c r="M182" s="10" t="n">
        <x:f>INDEX(tun_GroupCap,G182)*tun_CohesionFactor*EXP(tun_CapsByProject*SUMPRODUCT((Cap_Point&lt;=I182)*(Cap_Kind="Group")*Cap_Ln))</x:f>
        <x:v>10000.000000000005</x:v>
      </x:c>
      <x:c r="N182" s="32" t="n">
        <x:f>MIN(J182,L182,M182)</x:f>
        <x:v>190.40203000328933</x:v>
      </x:c>
      <x:c r="O182" s="10" t="n">
        <x:f>AE181*N182</x:f>
        <x:v>380.80406000657865</x:v>
      </x:c>
      <x:c r="P182" s="9" t="n">
        <x:f>MIN(1,(AB181/(AE181*IF(tun_GroupInCrowding=1,N182,MIN(J182,L182))))^tun_CrowdingExp)</x:f>
        <x:v>0.29084507646093066</x:v>
      </x:c>
      <x:c r="Q182" s="9" t="n">
        <x:f>IF(D182=1,INDEX(tun_WinterMult,G182),1)</x:f>
        <x:v>1</x:v>
      </x:c>
      <x:c r="R182" s="9" t="n">
        <x:f>H182*Z181*tun_WomenShare*tun_BaseFertility*INDEX(tun_FertMult,G182)*Arch_Fertility*(1-P182)</x:f>
        <x:v>6.0873652442317265</x:v>
      </x:c>
      <x:c r="S182" s="9" t="n">
        <x:f>H182*Y181*INDEX(tun_MortChild,G182)/4*Q182</x:f>
        <x:v>1.2934704520628872</x:v>
      </x:c>
      <x:c r="T182" s="9" t="n">
        <x:f>H182*Z181*INDEX(tun_MortAdult,G182)*Arch_AdultMort/4*Q182</x:f>
        <x:v>0.28888363686352975</x:v>
      </x:c>
      <x:c r="U182" s="9" t="n">
        <x:f>H182*AA181*INDEX(tun_MortElder,G182)/4*Q182</x:f>
        <x:v>0.36372298826083704</x:v>
      </x:c>
      <x:c r="V182" s="9" t="n">
        <x:f>H182*MAX(0,AB181-O182)*tun_OvercapLoss</x:f>
        <x:v>0</x:v>
      </x:c>
      <x:c r="W182" s="9" t="n">
        <x:f>H182*Y181/(tun_ChildYears*4)</x:f>
        <x:v>3.079691552530684</x:v>
      </x:c>
      <x:c r="X182" s="9" t="n">
        <x:f>H182*Z181/(tun_AdultYears*4)</x:f>
        <x:v>0.8875073329140698</x:v>
      </x:c>
      <x:c r="Y182" s="32" t="n">
        <x:f>Y181+R182-S182-W182-Y181*V182/AB181</x:f>
        <x:v>174.17693018135648</x:v>
      </x:c>
      <x:c r="Z182" s="32" t="n">
        <x:f>Z181+W182-X182-T182-Z181*V182/AB181</x:f>
        <x:v>111.95420986409775</x:v>
      </x:c>
      <x:c r="AA182" s="32" t="n">
        <x:f>AA181+X182-U182-AA181*V182/AB181</x:f>
        <x:v>27.97457591150886</x:v>
      </x:c>
      <x:c r="AB182" s="10" t="n">
        <x:f>Y182+Z182+AA182</x:f>
        <x:v>314.1057159569631</x:v>
      </x:c>
      <x:c r="AC182" s="8" t="n">
        <x:f>IF(AND(tun_WinterTrigger=1,D182=1,AB181/AE181&gt;=K182),1,0)</x:f>
        <x:v>0</x:v>
      </x:c>
      <x:c r="AD182" s="8" t="n">
        <x:f>H182*IF(AND(OR(AB181/AE181&gt;=tun_FissionTrigger*N182,AC182=1),AB181/AE181*tun_DaughterShare&gt;=tun_MinDaughter),MAX(1,ROUND(AE181*tun_FissionRate,0)),0)</x:f>
        <x:v>0</x:v>
      </x:c>
      <x:c r="AE182" s="8" t="n">
        <x:f>IF(H182=1,MAX(1,MIN(INDEX(tun_Smax,G182),AE181+AD182)),AE181)</x:f>
        <x:v>2</x:v>
      </x:c>
      <x:c r="AF182" s="8" t="n">
        <x:f>MAX(0,AE182-AE181)</x:f>
        <x:v>0</x:v>
      </x:c>
      <x:c r="AG182" s="9" t="str">
        <x:f>IF(AF182&gt;0,B182,"")</x:f>
      </x:c>
      <x:c r="AH182" s="9" t="n">
        <x:f>IF(F182&gt;=1,1,(1+tun_LowTiesShare*(AE182-1))/AE182)</x:f>
        <x:v>1</x:v>
      </x:c>
      <x:c r="AI182" s="32" t="n">
        <x:f>(Z182+tun_ElderCommons*INDEX(LM_Elder,G182)*AA182)*AH182</x:f>
        <x:v>195.87793759862433</x:v>
      </x:c>
      <x:c r="AJ182" s="32" t="n">
        <x:f>H182*tun_CommonsCoef*AI182^tun_CommonsExp*INDEX(LM_Commons,G182)</x:f>
        <x:v>514.9501470767514</x:v>
      </x:c>
      <x:c r="AK182" s="32" t="n">
        <x:f>H182*tun_RoleScale*Arch_Roles*(AE182*(INDEX(tun_ElderRolePerSett,G182)*tun_OutElder*INDEX(LM_Elder,G182)+INDEX(tun_ShamanPerSett,G182)*tun_OutShaman)+Z182*(INDEX(tun_PriestShare,G182)*tun_OutPriest+INDEX(tun_ScribeShare,G182)*tun_OutScribe*INDEX(LM_Scribe,G182)+INDEX(tun_ScholarShare,G182)*tun_OutScholar*INDEX(LM_Scholar,G182)+INDEX(tun_ResearcherShare,G182)*tun_OutResearcher*INDEX(LM_Researcher,G182)))</x:f>
        <x:v>73.30782959415227</x:v>
      </x:c>
      <x:c r="AL182" s="32" t="n">
        <x:f>H182*tun_RoleScale*Arch_Roles*AE182*INDEX(tun_MonasteryPerSett,G182)*tun_OutMonastery*INDEX(LM_Monastery,G182)</x:f>
        <x:v>0</x:v>
      </x:c>
      <x:c r="AM182" s="32" t="n">
        <x:f>(AJ182+AK182+AL182)/4*INDEX(LM_All,G182)*INDEX(tun_Boon,G182)*Arch_Insight</x:f>
        <x:v>176.93408944874733</x:v>
      </x:c>
      <x:c r="AN182" s="32" t="n">
        <x:f>H182*(tun_KHPerAdult*Z182+tun_KHOfCommons*AJ182/4*INDEX(LM_All,G182))*tun_KHUsable*Arch_KH</x:f>
        <x:v>34.37791234282557</x:v>
      </x:c>
      <x:c r="AO182" s="32" t="n">
        <x:f>MIN(AP181+AN182,AM182*tun_KHMaxRatio)</x:f>
        <x:v>34.37791234282557</x:v>
      </x:c>
      <x:c r="AP182" s="32" t="n">
        <x:f>AP181+AN182-AO182</x:f>
        <x:v>0</x:v>
      </x:c>
      <x:c r="AQ182" s="32" t="n">
        <x:f>AM182+AO182</x:f>
        <x:v>211.3120017915729</x:v>
      </x:c>
      <x:c r="AR182" s="10" t="n">
        <x:f>IF(H182=1,INDEX(tun_Req,G182),0)</x:f>
        <x:v>21071.475087999996</x:v>
      </x:c>
      <x:c r="AS182" s="32" t="n">
        <x:f>IF(H182=1,IF(E182=1,AS181-AR181,AS181)+AQ182,0)</x:f>
        <x:v>1435.7945377707695</x:v>
      </x:c>
      <x:c r="AT182" s="11" t="n">
        <x:f>IF(AR182&gt;0,MIN(1,AS182/AR182),1)</x:f>
        <x:v>0.06813925137060958</x:v>
      </x:c>
      <x:c r="AU182" s="10" t="n">
        <x:f>AB182/INDEX(tun_RepScale,G182)</x:f>
        <x:v>157.05285797848154</x:v>
      </x:c>
      <x:c r="AV182" s="32" t="n">
        <x:f>AM182*60/tun_SeasonSeconds</x:f>
        <x:v>707.7363577949893</x:v>
      </x:c>
    </x:row>
    <x:row r="183">
      <x:c r="A183" s="8" t="n">
        <x:f>A182+1</x:f>
        <x:v>180</x:v>
      </x:c>
      <x:c r="B183" s="9" t="n">
        <x:f>A183*tun_SeasonSeconds/60</x:f>
        <x:v>45</x:v>
      </x:c>
      <x:c r="C183" s="9" t="n">
        <x:f>A183/4</x:f>
        <x:v>45</x:v>
      </x:c>
      <x:c r="D183" s="8" t="n">
        <x:f>IF(MOD(A183,4)=0,1,0)</x:f>
        <x:v>1</x:v>
      </x:c>
      <x:c r="E183" s="8" t="n">
        <x:f>IF(AND(F182&lt;=9,AS182&gt;=AR182),1,0)</x:f>
        <x:v>0</x:v>
      </x:c>
      <x:c r="F183" s="8" t="n">
        <x:f>MIN(10,F182+E183)</x:f>
        <x:v>4</x:v>
      </x:c>
      <x:c r="G183" s="8" t="n">
        <x:f>MIN(F183,9)+1</x:f>
        <x:v>5</x:v>
      </x:c>
      <x:c r="H183" s="8" t="n">
        <x:f>IF(F183&lt;=9,1,0)</x:f>
        <x:v>1</x:v>
      </x:c>
      <x:c r="I183" s="9" t="n">
        <x:f>MIN(10,F182+IF(AR182&gt;0,MIN(1,AS182/AR182),1))</x:f>
        <x:v>4.068139251370609</x:v>
      </x:c>
      <x:c r="J183" s="32" t="n">
        <x:f>INDEX(tun_FoodCap,G183)*Arch_FoodCap*EXP(tun_CapsByProject*SUMPRODUCT((Cap_Point&lt;=I183)*(Cap_Kind="Food")*Cap_Ln))</x:f>
        <x:v>190.40203000328933</x:v>
      </x:c>
      <x:c r="K183" s="32" t="n">
        <x:f>J183*MIN(1,tun_LeanBase*EXP(tun_CapsByProject*SUMPRODUCT((Cap_Point&lt;=I183)*(Cap_Kind="Lean")*Cap_Ln)))</x:f>
        <x:v>190.40203000328933</x:v>
      </x:c>
      <x:c r="L183" s="10" t="n">
        <x:f>INDEX(tun_HousingCap,G183)*EXP(tun_CapsByProject*SUMPRODUCT((Cap_Point&lt;=I183)*(Cap_Kind="Housing")*Cap_Ln))</x:f>
        <x:v>947.6999999999999</x:v>
      </x:c>
      <x:c r="M183" s="10" t="n">
        <x:f>INDEX(tun_GroupCap,G183)*tun_CohesionFactor*EXP(tun_CapsByProject*SUMPRODUCT((Cap_Point&lt;=I183)*(Cap_Kind="Group")*Cap_Ln))</x:f>
        <x:v>10000.000000000005</x:v>
      </x:c>
      <x:c r="N183" s="32" t="n">
        <x:f>MIN(J183,L183,M183)</x:f>
        <x:v>190.40203000328933</x:v>
      </x:c>
      <x:c r="O183" s="10" t="n">
        <x:f>AE182*N183</x:f>
        <x:v>380.80406000657865</x:v>
      </x:c>
      <x:c r="P183" s="9" t="n">
        <x:f>MIN(1,(AB182/(AE182*IF(tun_GroupInCrowding=1,N183,MIN(J183,L183))))^tun_CrowdingExp)</x:f>
        <x:v>0.31495290406300575</x:v>
      </x:c>
      <x:c r="Q183" s="9" t="n">
        <x:f>IF(D183=1,INDEX(tun_WinterMult,G183),1)</x:f>
        <x:v>1.2</x:v>
      </x:c>
      <x:c r="R183" s="9" t="n">
        <x:f>H183*Z182*tun_WomenShare*tun_BaseFertility*INDEX(tun_FertMult,G183)*Arch_Fertility*(1-P183)</x:f>
        <x:v>5.9821246949350355</x:v>
      </x:c>
      <x:c r="S183" s="9" t="n">
        <x:f>H183*Y182*INDEX(tun_MortChild,G183)/4*Q183</x:f>
        <x:v>1.5675923716322082</x:v>
      </x:c>
      <x:c r="T183" s="9" t="n">
        <x:f>H183*Z182*INDEX(tun_MortAdult,G183)*Arch_AdultMort/4*Q183</x:f>
        <x:v>0.35265576107190794</x:v>
      </x:c>
      <x:c r="U183" s="9" t="n">
        <x:f>H183*AA182*INDEX(tun_MortElder,G183)/4*Q183</x:f>
        <x:v>0.4447957569929909</x:v>
      </x:c>
      <x:c r="V183" s="9" t="n">
        <x:f>H183*MAX(0,AB182-O183)*tun_OvercapLoss</x:f>
        <x:v>0</x:v>
      </x:c>
      <x:c r="W183" s="9" t="n">
        <x:f>H183*Y182/(tun_ChildYears*4)</x:f>
        <x:v>3.1103023246670802</x:v>
      </x:c>
      <x:c r="X183" s="9" t="n">
        <x:f>H183*Z182/(tun_AdultYears*4)</x:f>
        <x:v>0.9028565311620786</x:v>
      </x:c>
      <x:c r="Y183" s="32" t="n">
        <x:f>Y182+R183-S183-W183-Y182*V183/AB182</x:f>
        <x:v>175.48116017999223</x:v>
      </x:c>
      <x:c r="Z183" s="32" t="n">
        <x:f>Z182+W183-X183-T183-Z182*V183/AB182</x:f>
        <x:v>113.80899989653085</x:v>
      </x:c>
      <x:c r="AA183" s="32" t="n">
        <x:f>AA182+X183-U183-AA182*V183/AB182</x:f>
        <x:v>28.43263668567795</x:v>
      </x:c>
      <x:c r="AB183" s="10" t="n">
        <x:f>Y183+Z183+AA183</x:f>
        <x:v>317.722796762201</x:v>
      </x:c>
      <x:c r="AC183" s="8" t="n">
        <x:f>IF(AND(tun_WinterTrigger=1,D183=1,AB182/AE182&gt;=K183),1,0)</x:f>
        <x:v>0</x:v>
      </x:c>
      <x:c r="AD183" s="8" t="n">
        <x:f>H183*IF(AND(OR(AB182/AE182&gt;=tun_FissionTrigger*N183,AC183=1),AB182/AE182*tun_DaughterShare&gt;=tun_MinDaughter),MAX(1,ROUND(AE182*tun_FissionRate,0)),0)</x:f>
        <x:v>0</x:v>
      </x:c>
      <x:c r="AE183" s="8" t="n">
        <x:f>IF(H183=1,MAX(1,MIN(INDEX(tun_Smax,G183),AE182+AD183)),AE182)</x:f>
        <x:v>2</x:v>
      </x:c>
      <x:c r="AF183" s="8" t="n">
        <x:f>MAX(0,AE183-AE182)</x:f>
        <x:v>0</x:v>
      </x:c>
      <x:c r="AG183" s="9" t="str">
        <x:f>IF(AF183&gt;0,B183,"")</x:f>
      </x:c>
      <x:c r="AH183" s="9" t="n">
        <x:f>IF(F183&gt;=1,1,(1+tun_LowTiesShare*(AE183-1))/AE183)</x:f>
        <x:v>1</x:v>
      </x:c>
      <x:c r="AI183" s="32" t="n">
        <x:f>(Z183+tun_ElderCommons*INDEX(LM_Elder,G183)*AA183)*AH183</x:f>
        <x:v>199.1069099535647</x:v>
      </x:c>
      <x:c r="AJ183" s="32" t="n">
        <x:f>H183*tun_CommonsCoef*AI183^tun_CommonsExp*INDEX(LM_Commons,G183)</x:f>
        <x:v>522.1567237769458</x:v>
      </x:c>
      <x:c r="AK183" s="32" t="n">
        <x:f>H183*tun_RoleScale*Arch_Roles*(AE183*(INDEX(tun_ElderRolePerSett,G183)*tun_OutElder*INDEX(LM_Elder,G183)+INDEX(tun_ShamanPerSett,G183)*tun_OutShaman)+Z183*(INDEX(tun_PriestShare,G183)*tun_OutPriest+INDEX(tun_ScribeShare,G183)*tun_OutScribe*INDEX(LM_Scribe,G183)+INDEX(tun_ScholarShare,G183)*tun_OutScholar*INDEX(LM_Scholar,G183)+INDEX(tun_ResearcherShare,G183)*tun_OutResearcher*INDEX(LM_Researcher,G183)))</x:f>
        <x:v>73.7271144976028</x:v>
      </x:c>
      <x:c r="AL183" s="32" t="n">
        <x:f>H183*tun_RoleScale*Arch_Roles*AE183*INDEX(tun_MonasteryPerSett,G183)*tun_OutMonastery*INDEX(LM_Monastery,G183)</x:f>
        <x:v>0</x:v>
      </x:c>
      <x:c r="AM183" s="32" t="n">
        <x:f>(AJ183+AK183+AL183)/4*INDEX(LM_All,G183)*INDEX(tun_Boon,G183)*Arch_Insight</x:f>
        <x:v>179.22776829818503</x:v>
      </x:c>
      <x:c r="AN183" s="32" t="n">
        <x:f>H183*(tun_KHPerAdult*Z183+tun_KHOfCommons*AJ183/4*INDEX(LM_All,G183))*tun_KHUsable*Arch_KH</x:f>
        <x:v>34.859021171510314</x:v>
      </x:c>
      <x:c r="AO183" s="32" t="n">
        <x:f>MIN(AP182+AN183,AM183*tun_KHMaxRatio)</x:f>
        <x:v>34.859021171510314</x:v>
      </x:c>
      <x:c r="AP183" s="32" t="n">
        <x:f>AP182+AN183-AO183</x:f>
        <x:v>0</x:v>
      </x:c>
      <x:c r="AQ183" s="32" t="n">
        <x:f>AM183+AO183</x:f>
        <x:v>214.08678946969533</x:v>
      </x:c>
      <x:c r="AR183" s="10" t="n">
        <x:f>IF(H183=1,INDEX(tun_Req,G183),0)</x:f>
        <x:v>21071.475087999996</x:v>
      </x:c>
      <x:c r="AS183" s="32" t="n">
        <x:f>IF(H183=1,IF(E183=1,AS182-AR182,AS182)+AQ183,0)</x:f>
        <x:v>1649.8813272404648</x:v>
      </x:c>
      <x:c r="AT183" s="11" t="n">
        <x:f>IF(AR183&gt;0,MIN(1,AS183/AR183),1)</x:f>
        <x:v>0.07829927996735532</x:v>
      </x:c>
      <x:c r="AU183" s="10" t="n">
        <x:f>AB183/INDEX(tun_RepScale,G183)</x:f>
        <x:v>158.8613983811005</x:v>
      </x:c>
      <x:c r="AV183" s="32" t="n">
        <x:f>AM183*60/tun_SeasonSeconds</x:f>
        <x:v>716.9110731927401</x:v>
      </x:c>
    </x:row>
    <x:row r="184">
      <x:c r="A184" s="8" t="n">
        <x:f>A183+1</x:f>
        <x:v>181</x:v>
      </x:c>
      <x:c r="B184" s="9" t="n">
        <x:f>A184*tun_SeasonSeconds/60</x:f>
        <x:v>45.25</x:v>
      </x:c>
      <x:c r="C184" s="9" t="n">
        <x:f>A184/4</x:f>
        <x:v>45.25</x:v>
      </x:c>
      <x:c r="D184" s="8" t="n">
        <x:f>IF(MOD(A184,4)=0,1,0)</x:f>
        <x:v>0</x:v>
      </x:c>
      <x:c r="E184" s="8" t="n">
        <x:f>IF(AND(F183&lt;=9,AS183&gt;=AR183),1,0)</x:f>
        <x:v>0</x:v>
      </x:c>
      <x:c r="F184" s="8" t="n">
        <x:f>MIN(10,F183+E184)</x:f>
        <x:v>4</x:v>
      </x:c>
      <x:c r="G184" s="8" t="n">
        <x:f>MIN(F184,9)+1</x:f>
        <x:v>5</x:v>
      </x:c>
      <x:c r="H184" s="8" t="n">
        <x:f>IF(F184&lt;=9,1,0)</x:f>
        <x:v>1</x:v>
      </x:c>
      <x:c r="I184" s="9" t="n">
        <x:f>MIN(10,F183+IF(AR183&gt;0,MIN(1,AS183/AR183),1))</x:f>
        <x:v>4.078299279967355</x:v>
      </x:c>
      <x:c r="J184" s="32" t="n">
        <x:f>INDEX(tun_FoodCap,G184)*Arch_FoodCap*EXP(tun_CapsByProject*SUMPRODUCT((Cap_Point&lt;=I184)*(Cap_Kind="Food")*Cap_Ln))</x:f>
        <x:v>190.40203000328933</x:v>
      </x:c>
      <x:c r="K184" s="32" t="n">
        <x:f>J184*MIN(1,tun_LeanBase*EXP(tun_CapsByProject*SUMPRODUCT((Cap_Point&lt;=I184)*(Cap_Kind="Lean")*Cap_Ln)))</x:f>
        <x:v>190.40203000328933</x:v>
      </x:c>
      <x:c r="L184" s="10" t="n">
        <x:f>INDEX(tun_HousingCap,G184)*EXP(tun_CapsByProject*SUMPRODUCT((Cap_Point&lt;=I184)*(Cap_Kind="Housing")*Cap_Ln))</x:f>
        <x:v>947.6999999999999</x:v>
      </x:c>
      <x:c r="M184" s="10" t="n">
        <x:f>INDEX(tun_GroupCap,G184)*tun_CohesionFactor*EXP(tun_CapsByProject*SUMPRODUCT((Cap_Point&lt;=I184)*(Cap_Kind="Group")*Cap_Ln))</x:f>
        <x:v>10000.000000000005</x:v>
      </x:c>
      <x:c r="N184" s="32" t="n">
        <x:f>MIN(J184,L184,M184)</x:f>
        <x:v>190.40203000328933</x:v>
      </x:c>
      <x:c r="O184" s="10" t="n">
        <x:f>AE183*N184</x:f>
        <x:v>380.80406000657865</x:v>
      </x:c>
      <x:c r="P184" s="9" t="n">
        <x:f>MIN(1,(AB183/(AE183*IF(tun_GroupInCrowding=1,N184,MIN(J184,L184))))^tun_CrowdingExp)</x:f>
        <x:v>0.33735009783628356</x:v>
      </x:c>
      <x:c r="Q184" s="9" t="n">
        <x:f>IF(D184=1,INDEX(tun_WinterMult,G184),1)</x:f>
        <x:v>1</x:v>
      </x:c>
      <x:c r="R184" s="9" t="n">
        <x:f>H184*Z183*tun_WomenShare*tun_BaseFertility*INDEX(tun_FertMult,G184)*Arch_Fertility*(1-P184)</x:f>
        <x:v>5.882410766449353</x:v>
      </x:c>
      <x:c r="S184" s="9" t="n">
        <x:f>H184*Y183*INDEX(tun_MortChild,G184)/4*Q184</x:f>
        <x:v>1.3161087013499417</x:v>
      </x:c>
      <x:c r="T184" s="9" t="n">
        <x:f>H184*Z183*INDEX(tun_MortAdult,G184)*Arch_AdultMort/4*Q184</x:f>
        <x:v>0.2987486247283935</x:v>
      </x:c>
      <x:c r="U184" s="9" t="n">
        <x:f>H184*AA183*INDEX(tun_MortElder,G184)/4*Q184</x:f>
        <x:v>0.3767324360852328</x:v>
      </x:c>
      <x:c r="V184" s="9" t="n">
        <x:f>H184*MAX(0,AB183-O184)*tun_OvercapLoss</x:f>
        <x:v>0</x:v>
      </x:c>
      <x:c r="W184" s="9" t="n">
        <x:f>H184*Y183/(tun_ChildYears*4)</x:f>
        <x:v>3.13359214607129</x:v>
      </x:c>
      <x:c r="X184" s="9" t="n">
        <x:f>H184*Z183/(tun_AdultYears*4)</x:f>
        <x:v>0.9178145152946037</x:v>
      </x:c>
      <x:c r="Y184" s="32" t="n">
        <x:f>Y183+R184-S184-W184-Y183*V184/AB183</x:f>
        <x:v>176.91387009902033</x:v>
      </x:c>
      <x:c r="Z184" s="32" t="n">
        <x:f>Z183+W184-X184-T184-Z183*V184/AB183</x:f>
        <x:v>115.72602890257915</x:v>
      </x:c>
      <x:c r="AA184" s="32" t="n">
        <x:f>AA183+X184-U184-AA183*V184/AB183</x:f>
        <x:v>28.97371876488732</x:v>
      </x:c>
      <x:c r="AB184" s="10" t="n">
        <x:f>Y184+Z184+AA184</x:f>
        <x:v>321.6136177664868</x:v>
      </x:c>
      <x:c r="AC184" s="8" t="n">
        <x:f>IF(AND(tun_WinterTrigger=1,D184=1,AB183/AE183&gt;=K184),1,0)</x:f>
        <x:v>0</x:v>
      </x:c>
      <x:c r="AD184" s="8" t="n">
        <x:f>H184*IF(AND(OR(AB183/AE183&gt;=tun_FissionTrigger*N184,AC184=1),AB183/AE183*tun_DaughterShare&gt;=tun_MinDaughter),MAX(1,ROUND(AE183*tun_FissionRate,0)),0)</x:f>
        <x:v>0</x:v>
      </x:c>
      <x:c r="AE184" s="8" t="n">
        <x:f>IF(H184=1,MAX(1,MIN(INDEX(tun_Smax,G184),AE183+AD184)),AE183)</x:f>
        <x:v>2</x:v>
      </x:c>
      <x:c r="AF184" s="8" t="n">
        <x:f>MAX(0,AE184-AE183)</x:f>
        <x:v>0</x:v>
      </x:c>
      <x:c r="AG184" s="9" t="str">
        <x:f>IF(AF184&gt;0,B184,"")</x:f>
      </x:c>
      <x:c r="AH184" s="9" t="n">
        <x:f>IF(F184&gt;=1,1,(1+tun_LowTiesShare*(AE184-1))/AE184)</x:f>
        <x:v>1</x:v>
      </x:c>
      <x:c r="AI184" s="32" t="n">
        <x:f>(Z184+tun_ElderCommons*INDEX(LM_Elder,G184)*AA184)*AH184</x:f>
        <x:v>202.6471851972411</x:v>
      </x:c>
      <x:c r="AJ184" s="32" t="n">
        <x:f>H184*tun_CommonsCoef*AI184^tun_CommonsExp*INDEX(LM_Commons,G184)</x:f>
        <x:v>530.0379694997757</x:v>
      </x:c>
      <x:c r="AK184" s="32" t="n">
        <x:f>H184*tun_RoleScale*Arch_Roles*(AE184*(INDEX(tun_ElderRolePerSett,G184)*tun_OutElder*INDEX(LM_Elder,G184)+INDEX(tun_ShamanPerSett,G184)*tun_OutShaman)+Z184*(INDEX(tun_PriestShare,G184)*tun_OutPriest+INDEX(tun_ScribeShare,G184)*tun_OutScribe*INDEX(LM_Scribe,G184)+INDEX(tun_ScholarShare,G184)*tun_OutScholar*INDEX(LM_Scholar,G184)+INDEX(tun_ResearcherShare,G184)*tun_OutResearcher*INDEX(LM_Researcher,G184)))</x:f>
        <x:v>74.16046884373245</x:v>
      </x:c>
      <x:c r="AL184" s="32" t="n">
        <x:f>H184*tun_RoleScale*Arch_Roles*AE184*INDEX(tun_MonasteryPerSett,G184)*tun_OutMonastery*INDEX(LM_Monastery,G184)</x:f>
        <x:v>0</x:v>
      </x:c>
      <x:c r="AM184" s="32" t="n">
        <x:f>(AJ184+AK184+AL184)/4*INDEX(LM_All,G184)*INDEX(tun_Boon,G184)*Arch_Insight</x:f>
        <x:v>181.72860339209635</x:v>
      </x:c>
      <x:c r="AN184" s="32" t="n">
        <x:f>H184*(tun_KHPerAdult*Z184+tun_KHOfCommons*AJ184/4*INDEX(LM_All,G184))*tun_KHUsable*Arch_KH</x:f>
        <x:v>35.3851706952065</x:v>
      </x:c>
      <x:c r="AO184" s="32" t="n">
        <x:f>MIN(AP183+AN184,AM184*tun_KHMaxRatio)</x:f>
        <x:v>35.3851706952065</x:v>
      </x:c>
      <x:c r="AP184" s="32" t="n">
        <x:f>AP183+AN184-AO184</x:f>
        <x:v>0</x:v>
      </x:c>
      <x:c r="AQ184" s="32" t="n">
        <x:f>AM184+AO184</x:f>
        <x:v>217.11377408730283</x:v>
      </x:c>
      <x:c r="AR184" s="10" t="n">
        <x:f>IF(H184=1,INDEX(tun_Req,G184),0)</x:f>
        <x:v>21071.475087999996</x:v>
      </x:c>
      <x:c r="AS184" s="32" t="n">
        <x:f>IF(H184=1,IF(E184=1,AS183-AR183,AS183)+AQ184,0)</x:f>
        <x:v>1866.9951013277675</x:v>
      </x:c>
      <x:c r="AT184" s="11" t="n">
        <x:f>IF(AR184&gt;0,MIN(1,AS184/AR184),1)</x:f>
        <x:v>0.08860296175425343</x:v>
      </x:c>
      <x:c r="AU184" s="10" t="n">
        <x:f>AB184/INDEX(tun_RepScale,G184)</x:f>
        <x:v>160.8068088832434</x:v>
      </x:c>
      <x:c r="AV184" s="32" t="n">
        <x:f>AM184*60/tun_SeasonSeconds</x:f>
        <x:v>726.9144135683854</x:v>
      </x:c>
    </x:row>
    <x:row r="185">
      <x:c r="A185" s="8" t="n">
        <x:f>A184+1</x:f>
        <x:v>182</x:v>
      </x:c>
      <x:c r="B185" s="9" t="n">
        <x:f>A185*tun_SeasonSeconds/60</x:f>
        <x:v>45.5</x:v>
      </x:c>
      <x:c r="C185" s="9" t="n">
        <x:f>A185/4</x:f>
        <x:v>45.5</x:v>
      </x:c>
      <x:c r="D185" s="8" t="n">
        <x:f>IF(MOD(A185,4)=0,1,0)</x:f>
        <x:v>0</x:v>
      </x:c>
      <x:c r="E185" s="8" t="n">
        <x:f>IF(AND(F184&lt;=9,AS184&gt;=AR184),1,0)</x:f>
        <x:v>0</x:v>
      </x:c>
      <x:c r="F185" s="8" t="n">
        <x:f>MIN(10,F184+E185)</x:f>
        <x:v>4</x:v>
      </x:c>
      <x:c r="G185" s="8" t="n">
        <x:f>MIN(F185,9)+1</x:f>
        <x:v>5</x:v>
      </x:c>
      <x:c r="H185" s="8" t="n">
        <x:f>IF(F185&lt;=9,1,0)</x:f>
        <x:v>1</x:v>
      </x:c>
      <x:c r="I185" s="9" t="n">
        <x:f>MIN(10,F184+IF(AR184&gt;0,MIN(1,AS184/AR184),1))</x:f>
        <x:v>4.088602961754254</x:v>
      </x:c>
      <x:c r="J185" s="32" t="n">
        <x:f>INDEX(tun_FoodCap,G185)*Arch_FoodCap*EXP(tun_CapsByProject*SUMPRODUCT((Cap_Point&lt;=I185)*(Cap_Kind="Food")*Cap_Ln))</x:f>
        <x:v>190.40203000328933</x:v>
      </x:c>
      <x:c r="K185" s="32" t="n">
        <x:f>J185*MIN(1,tun_LeanBase*EXP(tun_CapsByProject*SUMPRODUCT((Cap_Point&lt;=I185)*(Cap_Kind="Lean")*Cap_Ln)))</x:f>
        <x:v>190.40203000328933</x:v>
      </x:c>
      <x:c r="L185" s="10" t="n">
        <x:f>INDEX(tun_HousingCap,G185)*EXP(tun_CapsByProject*SUMPRODUCT((Cap_Point&lt;=I185)*(Cap_Kind="Housing")*Cap_Ln))</x:f>
        <x:v>947.6999999999999</x:v>
      </x:c>
      <x:c r="M185" s="10" t="n">
        <x:f>INDEX(tun_GroupCap,G185)*tun_CohesionFactor*EXP(tun_CapsByProject*SUMPRODUCT((Cap_Point&lt;=I185)*(Cap_Kind="Group")*Cap_Ln))</x:f>
        <x:v>10000.000000000005</x:v>
      </x:c>
      <x:c r="N185" s="32" t="n">
        <x:f>MIN(J185,L185,M185)</x:f>
        <x:v>190.40203000328933</x:v>
      </x:c>
      <x:c r="O185" s="10" t="n">
        <x:f>AE184*N185</x:f>
        <x:v>380.80406000657865</x:v>
      </x:c>
      <x:c r="P185" s="9" t="n">
        <x:f>MIN(1,(AB184/(AE184*IF(tun_GroupInCrowding=1,N185,MIN(J185,L185))))^tun_CrowdingExp)</x:f>
        <x:v>0.36290851306850774</x:v>
      </x:c>
      <x:c r="Q185" s="9" t="n">
        <x:f>IF(D185=1,INDEX(tun_WinterMult,G185),1)</x:f>
        <x:v>1</x:v>
      </x:c>
      <x:c r="R185" s="9" t="n">
        <x:f>H185*Z184*tun_WomenShare*tun_BaseFertility*INDEX(tun_FertMult,G185)*Arch_Fertility*(1-P185)</x:f>
        <x:v>5.750789290757238</x:v>
      </x:c>
      <x:c r="S185" s="9" t="n">
        <x:f>H185*Y184*INDEX(tun_MortChild,G185)/4*Q185</x:f>
        <x:v>1.3268540257426524</x:v>
      </x:c>
      <x:c r="T185" s="9" t="n">
        <x:f>H185*Z184*INDEX(tun_MortAdult,G185)*Arch_AdultMort/4*Q185</x:f>
        <x:v>0.3037808258692703</x:v>
      </x:c>
      <x:c r="U185" s="9" t="n">
        <x:f>H185*AA184*INDEX(tun_MortElder,G185)/4*Q185</x:f>
        <x:v>0.38390177363475697</x:v>
      </x:c>
      <x:c r="V185" s="9" t="n">
        <x:f>H185*MAX(0,AB184-O185)*tun_OvercapLoss</x:f>
        <x:v>0</x:v>
      </x:c>
      <x:c r="W185" s="9" t="n">
        <x:f>H185*Y184/(tun_ChildYears*4)</x:f>
        <x:v>3.15917625176822</x:v>
      </x:c>
      <x:c r="X185" s="9" t="n">
        <x:f>H185*Z184/(tun_AdultYears*4)</x:f>
        <x:v>0.9332744266337027</x:v>
      </x:c>
      <x:c r="Y185" s="32" t="n">
        <x:f>Y184+R185-S185-W185-Y184*V185/AB184</x:f>
        <x:v>178.1786291122667</x:v>
      </x:c>
      <x:c r="Z185" s="32" t="n">
        <x:f>Z184+W185-X185-T185-Z184*V185/AB184</x:f>
        <x:v>117.64814990184439</x:v>
      </x:c>
      <x:c r="AA185" s="32" t="n">
        <x:f>AA184+X185-U185-AA184*V185/AB184</x:f>
        <x:v>29.523091417886263</x:v>
      </x:c>
      <x:c r="AB185" s="10" t="n">
        <x:f>Y185+Z185+AA185</x:f>
        <x:v>325.3498704319974</x:v>
      </x:c>
      <x:c r="AC185" s="8" t="n">
        <x:f>IF(AND(tun_WinterTrigger=1,D185=1,AB184/AE184&gt;=K185),1,0)</x:f>
        <x:v>0</x:v>
      </x:c>
      <x:c r="AD185" s="8" t="n">
        <x:f>H185*IF(AND(OR(AB184/AE184&gt;=tun_FissionTrigger*N185,AC185=1),AB184/AE184*tun_DaughterShare&gt;=tun_MinDaughter),MAX(1,ROUND(AE184*tun_FissionRate,0)),0)</x:f>
        <x:v>0</x:v>
      </x:c>
      <x:c r="AE185" s="8" t="n">
        <x:f>IF(H185=1,MAX(1,MIN(INDEX(tun_Smax,G185),AE184+AD185)),AE184)</x:f>
        <x:v>2</x:v>
      </x:c>
      <x:c r="AF185" s="8" t="n">
        <x:f>MAX(0,AE185-AE184)</x:f>
        <x:v>0</x:v>
      </x:c>
      <x:c r="AG185" s="9" t="str">
        <x:f>IF(AF185&gt;0,B185,"")</x:f>
      </x:c>
      <x:c r="AH185" s="9" t="n">
        <x:f>IF(F185&gt;=1,1,(1+tun_LowTiesShare*(AE185-1))/AE185)</x:f>
        <x:v>1</x:v>
      </x:c>
      <x:c r="AI185" s="32" t="n">
        <x:f>(Z185+tun_ElderCommons*INDEX(LM_Elder,G185)*AA185)*AH185</x:f>
        <x:v>206.21742415550318</x:v>
      </x:c>
      <x:c r="AJ185" s="32" t="n">
        <x:f>H185*tun_CommonsCoef*AI185^tun_CommonsExp*INDEX(LM_Commons,G185)</x:f>
        <x:v>537.9650309712513</x:v>
      </x:c>
      <x:c r="AK185" s="32" t="n">
        <x:f>H185*tun_RoleScale*Arch_Roles*(AE185*(INDEX(tun_ElderRolePerSett,G185)*tun_OutElder*INDEX(LM_Elder,G185)+INDEX(tun_ShamanPerSett,G185)*tun_OutShaman)+Z185*(INDEX(tun_PriestShare,G185)*tun_OutPriest+INDEX(tun_ScribeShare,G185)*tun_OutScribe*INDEX(LM_Scribe,G185)+INDEX(tun_ScholarShare,G185)*tun_OutScholar*INDEX(LM_Scholar,G185)+INDEX(tun_ResearcherShare,G185)*tun_OutResearcher*INDEX(LM_Researcher,G185)))</x:f>
        <x:v>74.59497426132948</x:v>
      </x:c>
      <x:c r="AL185" s="32" t="n">
        <x:f>H185*tun_RoleScale*Arch_Roles*AE185*INDEX(tun_MonasteryPerSett,G185)*tun_OutMonastery*INDEX(LM_Monastery,G185)</x:f>
        <x:v>0</x:v>
      </x:c>
      <x:c r="AM185" s="32" t="n">
        <x:f>(AJ185+AK185+AL185)/4*INDEX(LM_All,G185)*INDEX(tun_Boon,G185)*Arch_Insight</x:f>
        <x:v>184.24356499492137</x:v>
      </x:c>
      <x:c r="AN185" s="32" t="n">
        <x:f>H185*(tun_KHPerAdult*Z185+tun_KHOfCommons*AJ185/4*INDEX(LM_All,G185))*tun_KHUsable*Arch_KH</x:f>
        <x:v>35.91437886409349</x:v>
      </x:c>
      <x:c r="AO185" s="32" t="n">
        <x:f>MIN(AP184+AN185,AM185*tun_KHMaxRatio)</x:f>
        <x:v>35.91437886409349</x:v>
      </x:c>
      <x:c r="AP185" s="32" t="n">
        <x:f>AP184+AN185-AO185</x:f>
        <x:v>0</x:v>
      </x:c>
      <x:c r="AQ185" s="32" t="n">
        <x:f>AM185+AO185</x:f>
        <x:v>220.15794385901486</x:v>
      </x:c>
      <x:c r="AR185" s="10" t="n">
        <x:f>IF(H185=1,INDEX(tun_Req,G185),0)</x:f>
        <x:v>21071.475087999996</x:v>
      </x:c>
      <x:c r="AS185" s="32" t="n">
        <x:f>IF(H185=1,IF(E185=1,AS184-AR184,AS184)+AQ185,0)</x:f>
        <x:v>2087.1530451867825</x:v>
      </x:c>
      <x:c r="AT185" s="11" t="n">
        <x:f>IF(AR185&gt;0,MIN(1,AS185/AR185),1)</x:f>
        <x:v>0.09905111229613897</x:v>
      </x:c>
      <x:c r="AU185" s="10" t="n">
        <x:f>AB185/INDEX(tun_RepScale,G185)</x:f>
        <x:v>162.6749352159987</x:v>
      </x:c>
      <x:c r="AV185" s="32" t="n">
        <x:f>AM185*60/tun_SeasonSeconds</x:f>
        <x:v>736.9742599796856</x:v>
      </x:c>
    </x:row>
    <x:row r="186">
      <x:c r="A186" s="8" t="n">
        <x:f>A185+1</x:f>
        <x:v>183</x:v>
      </x:c>
      <x:c r="B186" s="9" t="n">
        <x:f>A186*tun_SeasonSeconds/60</x:f>
        <x:v>45.75</x:v>
      </x:c>
      <x:c r="C186" s="9" t="n">
        <x:f>A186/4</x:f>
        <x:v>45.75</x:v>
      </x:c>
      <x:c r="D186" s="8" t="n">
        <x:f>IF(MOD(A186,4)=0,1,0)</x:f>
        <x:v>0</x:v>
      </x:c>
      <x:c r="E186" s="8" t="n">
        <x:f>IF(AND(F185&lt;=9,AS185&gt;=AR185),1,0)</x:f>
        <x:v>0</x:v>
      </x:c>
      <x:c r="F186" s="8" t="n">
        <x:f>MIN(10,F185+E186)</x:f>
        <x:v>4</x:v>
      </x:c>
      <x:c r="G186" s="8" t="n">
        <x:f>MIN(F186,9)+1</x:f>
        <x:v>5</x:v>
      </x:c>
      <x:c r="H186" s="8" t="n">
        <x:f>IF(F186&lt;=9,1,0)</x:f>
        <x:v>1</x:v>
      </x:c>
      <x:c r="I186" s="9" t="n">
        <x:f>MIN(10,F185+IF(AR185&gt;0,MIN(1,AS185/AR185),1))</x:f>
        <x:v>4.099051112296139</x:v>
      </x:c>
      <x:c r="J186" s="32" t="n">
        <x:f>INDEX(tun_FoodCap,G186)*Arch_FoodCap*EXP(tun_CapsByProject*SUMPRODUCT((Cap_Point&lt;=I186)*(Cap_Kind="Food")*Cap_Ln))</x:f>
        <x:v>190.40203000328933</x:v>
      </x:c>
      <x:c r="K186" s="32" t="n">
        <x:f>J186*MIN(1,tun_LeanBase*EXP(tun_CapsByProject*SUMPRODUCT((Cap_Point&lt;=I186)*(Cap_Kind="Lean")*Cap_Ln)))</x:f>
        <x:v>190.40203000328933</x:v>
      </x:c>
      <x:c r="L186" s="10" t="n">
        <x:f>INDEX(tun_HousingCap,G186)*EXP(tun_CapsByProject*SUMPRODUCT((Cap_Point&lt;=I186)*(Cap_Kind="Housing")*Cap_Ln))</x:f>
        <x:v>947.6999999999999</x:v>
      </x:c>
      <x:c r="M186" s="10" t="n">
        <x:f>INDEX(tun_GroupCap,G186)*tun_CohesionFactor*EXP(tun_CapsByProject*SUMPRODUCT((Cap_Point&lt;=I186)*(Cap_Kind="Group")*Cap_Ln))</x:f>
        <x:v>10000.000000000005</x:v>
      </x:c>
      <x:c r="N186" s="32" t="n">
        <x:f>MIN(J186,L186,M186)</x:f>
        <x:v>190.40203000328933</x:v>
      </x:c>
      <x:c r="O186" s="10" t="n">
        <x:f>AE185*N186</x:f>
        <x:v>380.80406000657865</x:v>
      </x:c>
      <x:c r="P186" s="9" t="n">
        <x:f>MIN(1,(AB185/(AE185*IF(tun_GroupInCrowding=1,N186,MIN(J186,L186))))^tun_CrowdingExp)</x:f>
        <x:v>0.38895056657193466</x:v>
      </x:c>
      <x:c r="Q186" s="9" t="n">
        <x:f>IF(D186=1,INDEX(tun_WinterMult,G186),1)</x:f>
        <x:v>1</x:v>
      </x:c>
      <x:c r="R186" s="9" t="n">
        <x:f>H186*Z185*tun_WomenShare*tun_BaseFertility*INDEX(tun_FertMult,G186)*Arch_Fertility*(1-P186)</x:f>
        <x:v>5.607329156627806</x:v>
      </x:c>
      <x:c r="S186" s="9" t="n">
        <x:f>H186*Y185*INDEX(tun_MortChild,G186)/4*Q186</x:f>
        <x:v>1.336339718342</x:v>
      </x:c>
      <x:c r="T186" s="9" t="n">
        <x:f>H186*Z185*INDEX(tun_MortAdult,G186)*Arch_AdultMort/4*Q186</x:f>
        <x:v>0.30882639349234153</x:v>
      </x:c>
      <x:c r="U186" s="9" t="n">
        <x:f>H186*AA185*INDEX(tun_MortElder,G186)/4*Q186</x:f>
        <x:v>0.391180961286993</x:v>
      </x:c>
      <x:c r="V186" s="9" t="n">
        <x:f>H186*MAX(0,AB185-O186)*tun_OvercapLoss</x:f>
        <x:v>0</x:v>
      </x:c>
      <x:c r="W186" s="9" t="n">
        <x:f>H186*Y185/(tun_ChildYears*4)</x:f>
        <x:v>3.1817612341476194</x:v>
      </x:c>
      <x:c r="X186" s="9" t="n">
        <x:f>H186*Z185/(tun_AdultYears*4)</x:f>
        <x:v>0.948775402434229</x:v>
      </x:c>
      <x:c r="Y186" s="32" t="n">
        <x:f>Y185+R186-S186-W186-Y185*V186/AB185</x:f>
        <x:v>179.26785731640487</x:v>
      </x:c>
      <x:c r="Z186" s="32" t="n">
        <x:f>Z185+W186-X186-T186-Z185*V186/AB185</x:f>
        <x:v>119.57230934006544</x:v>
      </x:c>
      <x:c r="AA186" s="32" t="n">
        <x:f>AA185+X186-U186-AA185*V186/AB185</x:f>
        <x:v>30.0806858590335</x:v>
      </x:c>
      <x:c r="AB186" s="10" t="n">
        <x:f>Y186+Z186+AA186</x:f>
        <x:v>328.92085251550384</x:v>
      </x:c>
      <x:c r="AC186" s="8" t="n">
        <x:f>IF(AND(tun_WinterTrigger=1,D186=1,AB185/AE185&gt;=K186),1,0)</x:f>
        <x:v>0</x:v>
      </x:c>
      <x:c r="AD186" s="8" t="n">
        <x:f>H186*IF(AND(OR(AB185/AE185&gt;=tun_FissionTrigger*N186,AC186=1),AB185/AE185*tun_DaughterShare&gt;=tun_MinDaughter),MAX(1,ROUND(AE185*tun_FissionRate,0)),0)</x:f>
        <x:v>1</x:v>
      </x:c>
      <x:c r="AE186" s="8" t="n">
        <x:f>IF(H186=1,MAX(1,MIN(INDEX(tun_Smax,G186),AE185+AD186)),AE185)</x:f>
        <x:v>3</x:v>
      </x:c>
      <x:c r="AF186" s="8" t="n">
        <x:f>MAX(0,AE186-AE185)</x:f>
        <x:v>1</x:v>
      </x:c>
      <x:c r="AG186" s="9" t="n">
        <x:f>IF(AF186&gt;0,B186,"")</x:f>
        <x:v>45.75</x:v>
      </x:c>
      <x:c r="AH186" s="9" t="n">
        <x:f>IF(F186&gt;=1,1,(1+tun_LowTiesShare*(AE186-1))/AE186)</x:f>
        <x:v>1</x:v>
      </x:c>
      <x:c r="AI186" s="32" t="n">
        <x:f>(Z186+tun_ElderCommons*INDEX(LM_Elder,G186)*AA186)*AH186</x:f>
        <x:v>209.81436691716596</x:v>
      </x:c>
      <x:c r="AJ186" s="32" t="n">
        <x:f>H186*tun_CommonsCoef*AI186^tun_CommonsExp*INDEX(LM_Commons,G186)</x:f>
        <x:v>545.9305925586176</x:v>
      </x:c>
      <x:c r="AK186" s="32" t="n">
        <x:f>H186*tun_RoleScale*Arch_Roles*(AE186*(INDEX(tun_ElderRolePerSett,G186)*tun_OutElder*INDEX(LM_Elder,G186)+INDEX(tun_ShamanPerSett,G186)*tun_OutShaman)+Z186*(INDEX(tun_PriestShare,G186)*tun_OutPriest+INDEX(tun_ScribeShare,G186)*tun_OutScribe*INDEX(LM_Scribe,G186)+INDEX(tun_ScholarShare,G186)*tun_OutScholar*INDEX(LM_Scholar,G186)+INDEX(tun_ResearcherShare,G186)*tun_OutResearcher*INDEX(LM_Researcher,G186)))</x:f>
        <x:v>99.02994047862128</x:v>
      </x:c>
      <x:c r="AL186" s="32" t="n">
        <x:f>H186*tun_RoleScale*Arch_Roles*AE186*INDEX(tun_MonasteryPerSett,G186)*tun_OutMonastery*INDEX(LM_Monastery,G186)</x:f>
        <x:v>0</x:v>
      </x:c>
      <x:c r="AM186" s="32" t="n">
        <x:f>(AJ186+AK186+AL186)/4*INDEX(LM_All,G186)*INDEX(tun_Boon,G186)*Arch_Insight</x:f>
        <x:v>193.98887761646722</x:v>
      </x:c>
      <x:c r="AN186" s="32" t="n">
        <x:f>H186*(tun_KHPerAdult*Z186+tun_KHOfCommons*AJ186/4*INDEX(LM_All,G186))*tun_KHUsable*Arch_KH</x:f>
        <x:v>36.44615728879418</x:v>
      </x:c>
      <x:c r="AO186" s="32" t="n">
        <x:f>MIN(AP185+AN186,AM186*tun_KHMaxRatio)</x:f>
        <x:v>36.44615728879418</x:v>
      </x:c>
      <x:c r="AP186" s="32" t="n">
        <x:f>AP185+AN186-AO186</x:f>
        <x:v>0</x:v>
      </x:c>
      <x:c r="AQ186" s="32" t="n">
        <x:f>AM186+AO186</x:f>
        <x:v>230.4350349052614</x:v>
      </x:c>
      <x:c r="AR186" s="10" t="n">
        <x:f>IF(H186=1,INDEX(tun_Req,G186),0)</x:f>
        <x:v>21071.475087999996</x:v>
      </x:c>
      <x:c r="AS186" s="32" t="n">
        <x:f>IF(H186=1,IF(E186=1,AS185-AR185,AS185)+AQ186,0)</x:f>
        <x:v>2317.588080092044</x:v>
      </x:c>
      <x:c r="AT186" s="11" t="n">
        <x:f>IF(AR186&gt;0,MIN(1,AS186/AR186),1)</x:f>
        <x:v>0.10998698811607587</x:v>
      </x:c>
      <x:c r="AU186" s="10" t="n">
        <x:f>AB186/INDEX(tun_RepScale,G186)</x:f>
        <x:v>164.46042625775192</x:v>
      </x:c>
      <x:c r="AV186" s="32" t="n">
        <x:f>AM186*60/tun_SeasonSeconds</x:f>
        <x:v>775.9555104658689</x:v>
      </x:c>
    </x:row>
    <x:row r="187">
      <x:c r="A187" s="8" t="n">
        <x:f>A186+1</x:f>
        <x:v>184</x:v>
      </x:c>
      <x:c r="B187" s="9" t="n">
        <x:f>A187*tun_SeasonSeconds/60</x:f>
        <x:v>46</x:v>
      </x:c>
      <x:c r="C187" s="9" t="n">
        <x:f>A187/4</x:f>
        <x:v>46</x:v>
      </x:c>
      <x:c r="D187" s="8" t="n">
        <x:f>IF(MOD(A187,4)=0,1,0)</x:f>
        <x:v>1</x:v>
      </x:c>
      <x:c r="E187" s="8" t="n">
        <x:f>IF(AND(F186&lt;=9,AS186&gt;=AR186),1,0)</x:f>
        <x:v>0</x:v>
      </x:c>
      <x:c r="F187" s="8" t="n">
        <x:f>MIN(10,F186+E187)</x:f>
        <x:v>4</x:v>
      </x:c>
      <x:c r="G187" s="8" t="n">
        <x:f>MIN(F187,9)+1</x:f>
        <x:v>5</x:v>
      </x:c>
      <x:c r="H187" s="8" t="n">
        <x:f>IF(F187&lt;=9,1,0)</x:f>
        <x:v>1</x:v>
      </x:c>
      <x:c r="I187" s="9" t="n">
        <x:f>MIN(10,F186+IF(AR186&gt;0,MIN(1,AS186/AR186),1))</x:f>
        <x:v>4.109986988116076</x:v>
      </x:c>
      <x:c r="J187" s="32" t="n">
        <x:f>INDEX(tun_FoodCap,G187)*Arch_FoodCap*EXP(tun_CapsByProject*SUMPRODUCT((Cap_Point&lt;=I187)*(Cap_Kind="Food")*Cap_Ln))</x:f>
        <x:v>190.40203000328933</x:v>
      </x:c>
      <x:c r="K187" s="32" t="n">
        <x:f>J187*MIN(1,tun_LeanBase*EXP(tun_CapsByProject*SUMPRODUCT((Cap_Point&lt;=I187)*(Cap_Kind="Lean")*Cap_Ln)))</x:f>
        <x:v>190.40203000328933</x:v>
      </x:c>
      <x:c r="L187" s="10" t="n">
        <x:f>INDEX(tun_HousingCap,G187)*EXP(tun_CapsByProject*SUMPRODUCT((Cap_Point&lt;=I187)*(Cap_Kind="Housing")*Cap_Ln))</x:f>
        <x:v>947.6999999999999</x:v>
      </x:c>
      <x:c r="M187" s="10" t="n">
        <x:f>INDEX(tun_GroupCap,G187)*tun_CohesionFactor*EXP(tun_CapsByProject*SUMPRODUCT((Cap_Point&lt;=I187)*(Cap_Kind="Group")*Cap_Ln))</x:f>
        <x:v>10000.000000000005</x:v>
      </x:c>
      <x:c r="N187" s="32" t="n">
        <x:f>MIN(J187,L187,M187)</x:f>
        <x:v>190.40203000328933</x:v>
      </x:c>
      <x:c r="O187" s="10" t="n">
        <x:f>AE186*N187</x:f>
        <x:v>571.2060900098679</x:v>
      </x:c>
      <x:c r="P187" s="9" t="n">
        <x:f>MIN(1,(AB186/(AE186*IF(tun_GroupInCrowding=1,N187,MIN(J187,L187))))^tun_CrowdingExp)</x:f>
        <x:v>0.036457884834498674</x:v>
      </x:c>
      <x:c r="Q187" s="9" t="n">
        <x:f>IF(D187=1,INDEX(tun_WinterMult,G187),1)</x:f>
        <x:v>1.2</x:v>
      </x:c>
      <x:c r="R187" s="9" t="n">
        <x:f>H187*Z186*tun_WomenShare*tun_BaseFertility*INDEX(tun_FertMult,G187)*Arch_Fertility*(1-P187)</x:f>
        <x:v>8.986610556826523</x:v>
      </x:c>
      <x:c r="S187" s="9" t="n">
        <x:f>H187*Y186*INDEX(tun_MortChild,G187)/4*Q187</x:f>
        <x:v>1.6134107158476436</x:v>
      </x:c>
      <x:c r="T187" s="9" t="n">
        <x:f>H187*Z186*INDEX(tun_MortAdult,G187)*Arch_AdultMort/4*Q187</x:f>
        <x:v>0.3766527744212062</x:v>
      </x:c>
      <x:c r="U187" s="9" t="n">
        <x:f>H187*AA186*INDEX(tun_MortElder,G187)/4*Q187</x:f>
        <x:v>0.47828290515863264</x:v>
      </x:c>
      <x:c r="V187" s="9" t="n">
        <x:f>H187*MAX(0,AB186-O187)*tun_OvercapLoss</x:f>
        <x:v>0</x:v>
      </x:c>
      <x:c r="W187" s="9" t="n">
        <x:f>H187*Y186/(tun_ChildYears*4)</x:f>
        <x:v>3.2012117377929443</x:v>
      </x:c>
      <x:c r="X187" s="9" t="n">
        <x:f>H187*Z186/(tun_AdultYears*4)</x:f>
        <x:v>0.9642928172585923</x:v>
      </x:c>
      <x:c r="Y187" s="32" t="n">
        <x:f>Y186+R187-S187-W187-Y186*V187/AB186</x:f>
        <x:v>183.43984541959082</x:v>
      </x:c>
      <x:c r="Z187" s="32" t="n">
        <x:f>Z186+W187-X187-T187-Z186*V187/AB186</x:f>
        <x:v>121.43257548617859</x:v>
      </x:c>
      <x:c r="AA187" s="32" t="n">
        <x:f>AA186+X187-U187-AA186*V187/AB186</x:f>
        <x:v>30.56669577113346</x:v>
      </x:c>
      <x:c r="AB187" s="10" t="n">
        <x:f>Y187+Z187+AA187</x:f>
        <x:v>335.4391166769029</x:v>
      </x:c>
      <x:c r="AC187" s="8" t="n">
        <x:f>IF(AND(tun_WinterTrigger=1,D187=1,AB186/AE186&gt;=K187),1,0)</x:f>
        <x:v>0</x:v>
      </x:c>
      <x:c r="AD187" s="8" t="n">
        <x:f>H187*IF(AND(OR(AB186/AE186&gt;=tun_FissionTrigger*N187,AC187=1),AB186/AE186*tun_DaughterShare&gt;=tun_MinDaughter),MAX(1,ROUND(AE186*tun_FissionRate,0)),0)</x:f>
        <x:v>0</x:v>
      </x:c>
      <x:c r="AE187" s="8" t="n">
        <x:f>IF(H187=1,MAX(1,MIN(INDEX(tun_Smax,G187),AE186+AD187)),AE186)</x:f>
        <x:v>3</x:v>
      </x:c>
      <x:c r="AF187" s="8" t="n">
        <x:f>MAX(0,AE187-AE186)</x:f>
        <x:v>0</x:v>
      </x:c>
      <x:c r="AG187" s="9" t="str">
        <x:f>IF(AF187&gt;0,B187,"")</x:f>
      </x:c>
      <x:c r="AH187" s="9" t="n">
        <x:f>IF(F187&gt;=1,1,(1+tun_LowTiesShare*(AE187-1))/AE187)</x:f>
        <x:v>1</x:v>
      </x:c>
      <x:c r="AI187" s="32" t="n">
        <x:f>(Z187+tun_ElderCommons*INDEX(LM_Elder,G187)*AA187)*AH187</x:f>
        <x:v>213.13266279957898</x:v>
      </x:c>
      <x:c r="AJ187" s="32" t="n">
        <x:f>H187*tun_CommonsCoef*AI187^tun_CommonsExp*INDEX(LM_Commons,G187)</x:f>
        <x:v>553.2609288170887</x:v>
      </x:c>
      <x:c r="AK187" s="32" t="n">
        <x:f>H187*tun_RoleScale*Arch_Roles*(AE187*(INDEX(tun_ElderRolePerSett,G187)*tun_OutElder*INDEX(LM_Elder,G187)+INDEX(tun_ShamanPerSett,G187)*tun_OutShaman)+Z187*(INDEX(tun_PriestShare,G187)*tun_OutPriest+INDEX(tun_ScribeShare,G187)*tun_OutScribe*INDEX(LM_Scribe,G187)+INDEX(tun_ScholarShare,G187)*tun_OutScholar*INDEX(LM_Scholar,G187)+INDEX(tun_ResearcherShare,G187)*tun_OutResearcher*INDEX(LM_Researcher,G187)))</x:f>
        <x:v>99.45046328596146</x:v>
      </x:c>
      <x:c r="AL187" s="32" t="n">
        <x:f>H187*tun_RoleScale*Arch_Roles*AE187*INDEX(tun_MonasteryPerSett,G187)*tun_OutMonastery*INDEX(LM_Monastery,G187)</x:f>
        <x:v>0</x:v>
      </x:c>
      <x:c r="AM187" s="32" t="n">
        <x:f>(AJ187+AK187+AL187)/4*INDEX(LM_All,G187)*INDEX(tun_Boon,G187)*Arch_Insight</x:f>
        <x:v>196.32015274683764</x:v>
      </x:c>
      <x:c r="AN187" s="32" t="n">
        <x:f>H187*(tun_KHPerAdult*Z187+tun_KHOfCommons*AJ187/4*INDEX(LM_All,G187))*tun_KHUsable*Arch_KH</x:f>
        <x:v>36.93552826726211</x:v>
      </x:c>
      <x:c r="AO187" s="32" t="n">
        <x:f>MIN(AP186+AN187,AM187*tun_KHMaxRatio)</x:f>
        <x:v>36.93552826726211</x:v>
      </x:c>
      <x:c r="AP187" s="32" t="n">
        <x:f>AP186+AN187-AO187</x:f>
        <x:v>0</x:v>
      </x:c>
      <x:c r="AQ187" s="32" t="n">
        <x:f>AM187+AO187</x:f>
        <x:v>233.25568101409974</x:v>
      </x:c>
      <x:c r="AR187" s="10" t="n">
        <x:f>IF(H187=1,INDEX(tun_Req,G187),0)</x:f>
        <x:v>21071.475087999996</x:v>
      </x:c>
      <x:c r="AS187" s="32" t="n">
        <x:f>IF(H187=1,IF(E187=1,AS186-AR186,AS186)+AQ187,0)</x:f>
        <x:v>2550.8437611061436</x:v>
      </x:c>
      <x:c r="AT187" s="11" t="n">
        <x:f>IF(AR187&gt;0,MIN(1,AS187/AR187),1)</x:f>
        <x:v>0.1210567248117729</x:v>
      </x:c>
      <x:c r="AU187" s="10" t="n">
        <x:f>AB187/INDEX(tun_RepScale,G187)</x:f>
        <x:v>167.71955833845146</x:v>
      </x:c>
      <x:c r="AV187" s="32" t="n">
        <x:f>AM187*60/tun_SeasonSeconds</x:f>
        <x:v>785.2806109873505</x:v>
      </x:c>
    </x:row>
    <x:row r="188">
      <x:c r="A188" s="8" t="n">
        <x:f>A187+1</x:f>
        <x:v>185</x:v>
      </x:c>
      <x:c r="B188" s="9" t="n">
        <x:f>A188*tun_SeasonSeconds/60</x:f>
        <x:v>46.25</x:v>
      </x:c>
      <x:c r="C188" s="9" t="n">
        <x:f>A188/4</x:f>
        <x:v>46.25</x:v>
      </x:c>
      <x:c r="D188" s="8" t="n">
        <x:f>IF(MOD(A188,4)=0,1,0)</x:f>
        <x:v>0</x:v>
      </x:c>
      <x:c r="E188" s="8" t="n">
        <x:f>IF(AND(F187&lt;=9,AS187&gt;=AR187),1,0)</x:f>
        <x:v>0</x:v>
      </x:c>
      <x:c r="F188" s="8" t="n">
        <x:f>MIN(10,F187+E188)</x:f>
        <x:v>4</x:v>
      </x:c>
      <x:c r="G188" s="8" t="n">
        <x:f>MIN(F188,9)+1</x:f>
        <x:v>5</x:v>
      </x:c>
      <x:c r="H188" s="8" t="n">
        <x:f>IF(F188&lt;=9,1,0)</x:f>
        <x:v>1</x:v>
      </x:c>
      <x:c r="I188" s="9" t="n">
        <x:f>MIN(10,F187+IF(AR187&gt;0,MIN(1,AS187/AR187),1))</x:f>
        <x:v>4.121056724811773</x:v>
      </x:c>
      <x:c r="J188" s="32" t="n">
        <x:f>INDEX(tun_FoodCap,G188)*Arch_FoodCap*EXP(tun_CapsByProject*SUMPRODUCT((Cap_Point&lt;=I188)*(Cap_Kind="Food")*Cap_Ln))</x:f>
        <x:v>190.40203000328933</x:v>
      </x:c>
      <x:c r="K188" s="32" t="n">
        <x:f>J188*MIN(1,tun_LeanBase*EXP(tun_CapsByProject*SUMPRODUCT((Cap_Point&lt;=I188)*(Cap_Kind="Lean")*Cap_Ln)))</x:f>
        <x:v>190.40203000328933</x:v>
      </x:c>
      <x:c r="L188" s="10" t="n">
        <x:f>INDEX(tun_HousingCap,G188)*EXP(tun_CapsByProject*SUMPRODUCT((Cap_Point&lt;=I188)*(Cap_Kind="Housing")*Cap_Ln))</x:f>
        <x:v>947.6999999999999</x:v>
      </x:c>
      <x:c r="M188" s="10" t="n">
        <x:f>INDEX(tun_GroupCap,G188)*tun_CohesionFactor*EXP(tun_CapsByProject*SUMPRODUCT((Cap_Point&lt;=I188)*(Cap_Kind="Group")*Cap_Ln))</x:f>
        <x:v>10000.000000000005</x:v>
      </x:c>
      <x:c r="N188" s="32" t="n">
        <x:f>MIN(J188,L188,M188)</x:f>
        <x:v>190.40203000328933</x:v>
      </x:c>
      <x:c r="O188" s="10" t="n">
        <x:f>AE187*N188</x:f>
        <x:v>571.2060900098679</x:v>
      </x:c>
      <x:c r="P188" s="9" t="n">
        <x:f>MIN(1,(AB187/(AE187*IF(tun_GroupInCrowding=1,N188,MIN(J188,L188))))^tun_CrowdingExp)</x:f>
        <x:v>0.041013351485183855</x:v>
      </x:c>
      <x:c r="Q188" s="9" t="n">
        <x:f>IF(D188=1,INDEX(tun_WinterMult,G188),1)</x:f>
        <x:v>1</x:v>
      </x:c>
      <x:c r="R188" s="9" t="n">
        <x:f>H188*Z187*tun_WomenShare*tun_BaseFertility*INDEX(tun_FertMult,G188)*Arch_Fertility*(1-P188)</x:f>
        <x:v>9.083273049709002</x:v>
      </x:c>
      <x:c r="S188" s="9" t="n">
        <x:f>H188*Y187*INDEX(tun_MortChild,G188)/4*Q188</x:f>
        <x:v>1.375798840646931</x:v>
      </x:c>
      <x:c r="T188" s="9" t="n">
        <x:f>H188*Z187*INDEX(tun_MortAdult,G188)*Arch_AdultMort/4*Q188</x:f>
        <x:v>0.3187605106512188</x:v>
      </x:c>
      <x:c r="U188" s="9" t="n">
        <x:f>H188*AA187*INDEX(tun_MortElder,G188)/4*Q188</x:f>
        <x:v>0.40500871896751833</x:v>
      </x:c>
      <x:c r="V188" s="9" t="n">
        <x:f>H188*MAX(0,AB187-O188)*tun_OvercapLoss</x:f>
        <x:v>0</x:v>
      </x:c>
      <x:c r="W188" s="9" t="n">
        <x:f>H188*Y187/(tun_ChildYears*4)</x:f>
        <x:v>3.2757115253498363</x:v>
      </x:c>
      <x:c r="X188" s="9" t="n">
        <x:f>H188*Z187/(tun_AdultYears*4)</x:f>
        <x:v>0.9792949635982144</x:v>
      </x:c>
      <x:c r="Y188" s="32" t="n">
        <x:f>Y187+R188-S188-W188-Y187*V188/AB187</x:f>
        <x:v>187.87160810330306</x:v>
      </x:c>
      <x:c r="Z188" s="32" t="n">
        <x:f>Z187+W188-X188-T188-Z187*V188/AB187</x:f>
        <x:v>123.41023153727899</x:v>
      </x:c>
      <x:c r="AA188" s="32" t="n">
        <x:f>AA187+X188-U188-AA187*V188/AB187</x:f>
        <x:v>31.140982015764155</x:v>
      </x:c>
      <x:c r="AB188" s="10" t="n">
        <x:f>Y188+Z188+AA188</x:f>
        <x:v>342.42282165634623</x:v>
      </x:c>
      <x:c r="AC188" s="8" t="n">
        <x:f>IF(AND(tun_WinterTrigger=1,D188=1,AB187/AE187&gt;=K188),1,0)</x:f>
        <x:v>0</x:v>
      </x:c>
      <x:c r="AD188" s="8" t="n">
        <x:f>H188*IF(AND(OR(AB187/AE187&gt;=tun_FissionTrigger*N188,AC188=1),AB187/AE187*tun_DaughterShare&gt;=tun_MinDaughter),MAX(1,ROUND(AE187*tun_FissionRate,0)),0)</x:f>
        <x:v>0</x:v>
      </x:c>
      <x:c r="AE188" s="8" t="n">
        <x:f>IF(H188=1,MAX(1,MIN(INDEX(tun_Smax,G188),AE187+AD188)),AE187)</x:f>
        <x:v>3</x:v>
      </x:c>
      <x:c r="AF188" s="8" t="n">
        <x:f>MAX(0,AE188-AE187)</x:f>
        <x:v>0</x:v>
      </x:c>
      <x:c r="AG188" s="9" t="str">
        <x:f>IF(AF188&gt;0,B188,"")</x:f>
      </x:c>
      <x:c r="AH188" s="9" t="n">
        <x:f>IF(F188&gt;=1,1,(1+tun_LowTiesShare*(AE188-1))/AE188)</x:f>
        <x:v>1</x:v>
      </x:c>
      <x:c r="AI188" s="32" t="n">
        <x:f>(Z188+tun_ElderCommons*INDEX(LM_Elder,G188)*AA188)*AH188</x:f>
        <x:v>216.83317758457144</x:v>
      </x:c>
      <x:c r="AJ188" s="32" t="n">
        <x:f>H188*tun_CommonsCoef*AI188^tun_CommonsExp*INDEX(LM_Commons,G188)</x:f>
        <x:v>561.4154580303191</x:v>
      </x:c>
      <x:c r="AK188" s="32" t="n">
        <x:f>H188*tun_RoleScale*Arch_Roles*(AE188*(INDEX(tun_ElderRolePerSett,G188)*tun_OutElder*INDEX(LM_Elder,G188)+INDEX(tun_ShamanPerSett,G188)*tun_OutShaman)+Z188*(INDEX(tun_PriestShare,G188)*tun_OutPriest+INDEX(tun_ScribeShare,G188)*tun_OutScribe*INDEX(LM_Scribe,G188)+INDEX(tun_ScholarShare,G188)*tun_OutScholar*INDEX(LM_Scholar,G188)+INDEX(tun_ResearcherShare,G188)*tun_OutResearcher*INDEX(LM_Researcher,G188)))</x:f>
        <x:v>99.8975226899611</x:v>
      </x:c>
      <x:c r="AL188" s="32" t="n">
        <x:f>H188*tun_RoleScale*Arch_Roles*AE188*INDEX(tun_MonasteryPerSett,G188)*tun_OutMonastery*INDEX(LM_Monastery,G188)</x:f>
        <x:v>0</x:v>
      </x:c>
      <x:c r="AM188" s="32" t="n">
        <x:f>(AJ188+AK188+AL188)/4*INDEX(LM_All,G188)*INDEX(tun_Boon,G188)*Arch_Insight</x:f>
        <x:v>198.90730720994443</x:v>
      </x:c>
      <x:c r="AN188" s="32" t="n">
        <x:f>H188*(tun_KHPerAdult*Z188+tun_KHOfCommons*AJ188/4*INDEX(LM_All,G188))*tun_KHUsable*Arch_KH</x:f>
        <x:v>37.47992211214368</x:v>
      </x:c>
      <x:c r="AO188" s="32" t="n">
        <x:f>MIN(AP187+AN188,AM188*tun_KHMaxRatio)</x:f>
        <x:v>37.47992211214368</x:v>
      </x:c>
      <x:c r="AP188" s="32" t="n">
        <x:f>AP187+AN188-AO188</x:f>
        <x:v>0</x:v>
      </x:c>
      <x:c r="AQ188" s="32" t="n">
        <x:f>AM188+AO188</x:f>
        <x:v>236.3872293220881</x:v>
      </x:c>
      <x:c r="AR188" s="10" t="n">
        <x:f>IF(H188=1,INDEX(tun_Req,G188),0)</x:f>
        <x:v>21071.475087999996</x:v>
      </x:c>
      <x:c r="AS188" s="32" t="n">
        <x:f>IF(H188=1,IF(E188=1,AS187-AR187,AS187)+AQ188,0)</x:f>
        <x:v>2787.2309904282315</x:v>
      </x:c>
      <x:c r="AT188" s="11" t="n">
        <x:f>IF(AR188&gt;0,MIN(1,AS188/AR188),1)</x:f>
        <x:v>0.13227507703129587</x:v>
      </x:c>
      <x:c r="AU188" s="10" t="n">
        <x:f>AB188/INDEX(tun_RepScale,G188)</x:f>
        <x:v>171.21141082817311</x:v>
      </x:c>
      <x:c r="AV188" s="32" t="n">
        <x:f>AM188*60/tun_SeasonSeconds</x:f>
        <x:v>795.6292288397777</x:v>
      </x:c>
    </x:row>
    <x:row r="189">
      <x:c r="A189" s="8" t="n">
        <x:f>A188+1</x:f>
        <x:v>186</x:v>
      </x:c>
      <x:c r="B189" s="9" t="n">
        <x:f>A189*tun_SeasonSeconds/60</x:f>
        <x:v>46.5</x:v>
      </x:c>
      <x:c r="C189" s="9" t="n">
        <x:f>A189/4</x:f>
        <x:v>46.5</x:v>
      </x:c>
      <x:c r="D189" s="8" t="n">
        <x:f>IF(MOD(A189,4)=0,1,0)</x:f>
        <x:v>0</x:v>
      </x:c>
      <x:c r="E189" s="8" t="n">
        <x:f>IF(AND(F188&lt;=9,AS188&gt;=AR188),1,0)</x:f>
        <x:v>0</x:v>
      </x:c>
      <x:c r="F189" s="8" t="n">
        <x:f>MIN(10,F188+E189)</x:f>
        <x:v>4</x:v>
      </x:c>
      <x:c r="G189" s="8" t="n">
        <x:f>MIN(F189,9)+1</x:f>
        <x:v>5</x:v>
      </x:c>
      <x:c r="H189" s="8" t="n">
        <x:f>IF(F189&lt;=9,1,0)</x:f>
        <x:v>1</x:v>
      </x:c>
      <x:c r="I189" s="9" t="n">
        <x:f>MIN(10,F188+IF(AR188&gt;0,MIN(1,AS188/AR188),1))</x:f>
        <x:v>4.132275077031296</x:v>
      </x:c>
      <x:c r="J189" s="32" t="n">
        <x:f>INDEX(tun_FoodCap,G189)*Arch_FoodCap*EXP(tun_CapsByProject*SUMPRODUCT((Cap_Point&lt;=I189)*(Cap_Kind="Food")*Cap_Ln))</x:f>
        <x:v>190.40203000328933</x:v>
      </x:c>
      <x:c r="K189" s="32" t="n">
        <x:f>J189*MIN(1,tun_LeanBase*EXP(tun_CapsByProject*SUMPRODUCT((Cap_Point&lt;=I189)*(Cap_Kind="Lean")*Cap_Ln)))</x:f>
        <x:v>190.40203000328933</x:v>
      </x:c>
      <x:c r="L189" s="10" t="n">
        <x:f>INDEX(tun_HousingCap,G189)*EXP(tun_CapsByProject*SUMPRODUCT((Cap_Point&lt;=I189)*(Cap_Kind="Housing")*Cap_Ln))</x:f>
        <x:v>947.6999999999999</x:v>
      </x:c>
      <x:c r="M189" s="10" t="n">
        <x:f>INDEX(tun_GroupCap,G189)*tun_CohesionFactor*EXP(tun_CapsByProject*SUMPRODUCT((Cap_Point&lt;=I189)*(Cap_Kind="Group")*Cap_Ln))</x:f>
        <x:v>10000.000000000005</x:v>
      </x:c>
      <x:c r="N189" s="32" t="n">
        <x:f>MIN(J189,L189,M189)</x:f>
        <x:v>190.40203000328933</x:v>
      </x:c>
      <x:c r="O189" s="10" t="n">
        <x:f>AE188*N189</x:f>
        <x:v>571.2060900098679</x:v>
      </x:c>
      <x:c r="P189" s="9" t="n">
        <x:f>MIN(1,(AB188/(AE188*IF(tun_GroupInCrowding=1,N189,MIN(J189,L189))))^tun_CrowdingExp)</x:f>
        <x:v>0.04641081931576899</x:v>
      </x:c>
      <x:c r="Q189" s="9" t="n">
        <x:f>IF(D189=1,INDEX(tun_WinterMult,G189),1)</x:f>
        <x:v>1</x:v>
      </x:c>
      <x:c r="R189" s="9" t="n">
        <x:f>H189*Z188*tun_WomenShare*tun_BaseFertility*INDEX(tun_FertMult,G189)*Arch_Fertility*(1-P189)</x:f>
        <x:v>9.17924760321544</x:v>
      </x:c>
      <x:c r="S189" s="9" t="n">
        <x:f>H189*Y188*INDEX(tun_MortChild,G189)/4*Q189</x:f>
        <x:v>1.4090370607747729</x:v>
      </x:c>
      <x:c r="T189" s="9" t="n">
        <x:f>H189*Z188*INDEX(tun_MortAdult,G189)*Arch_AdultMort/4*Q189</x:f>
        <x:v>0.32395185778535734</x:v>
      </x:c>
      <x:c r="U189" s="9" t="n">
        <x:f>H189*AA188*INDEX(tun_MortElder,G189)/4*Q189</x:f>
        <x:v>0.412618011708875</x:v>
      </x:c>
      <x:c r="V189" s="9" t="n">
        <x:f>H189*MAX(0,AB188-O189)*tun_OvercapLoss</x:f>
        <x:v>0</x:v>
      </x:c>
      <x:c r="W189" s="9" t="n">
        <x:f>H189*Y188/(tun_ChildYears*4)</x:f>
        <x:v>3.35485014470184</x:v>
      </x:c>
      <x:c r="X189" s="9" t="n">
        <x:f>H189*Z188/(tun_AdultYears*4)</x:f>
        <x:v>0.9952438027199918</x:v>
      </x:c>
      <x:c r="Y189" s="32" t="n">
        <x:f>Y188+R189-S189-W189-Y188*V189/AB188</x:f>
        <x:v>192.28696850104188</x:v>
      </x:c>
      <x:c r="Z189" s="32" t="n">
        <x:f>Z188+W189-X189-T189-Z188*V189/AB188</x:f>
        <x:v>125.44588602147547</x:v>
      </x:c>
      <x:c r="AA189" s="32" t="n">
        <x:f>AA188+X189-U189-AA188*V189/AB188</x:f>
        <x:v>31.723607806775274</x:v>
      </x:c>
      <x:c r="AB189" s="10" t="n">
        <x:f>Y189+Z189+AA189</x:f>
        <x:v>349.4564623292926</x:v>
      </x:c>
      <x:c r="AC189" s="8" t="n">
        <x:f>IF(AND(tun_WinterTrigger=1,D189=1,AB188/AE188&gt;=K189),1,0)</x:f>
        <x:v>0</x:v>
      </x:c>
      <x:c r="AD189" s="8" t="n">
        <x:f>H189*IF(AND(OR(AB188/AE188&gt;=tun_FissionTrigger*N189,AC189=1),AB188/AE188*tun_DaughterShare&gt;=tun_MinDaughter),MAX(1,ROUND(AE188*tun_FissionRate,0)),0)</x:f>
        <x:v>0</x:v>
      </x:c>
      <x:c r="AE189" s="8" t="n">
        <x:f>IF(H189=1,MAX(1,MIN(INDEX(tun_Smax,G189),AE188+AD189)),AE188)</x:f>
        <x:v>3</x:v>
      </x:c>
      <x:c r="AF189" s="8" t="n">
        <x:f>MAX(0,AE189-AE188)</x:f>
        <x:v>0</x:v>
      </x:c>
      <x:c r="AG189" s="9" t="str">
        <x:f>IF(AF189&gt;0,B189,"")</x:f>
      </x:c>
      <x:c r="AH189" s="9" t="n">
        <x:f>IF(F189&gt;=1,1,(1+tun_LowTiesShare*(AE189-1))/AE189)</x:f>
        <x:v>1</x:v>
      </x:c>
      <x:c r="AI189" s="32" t="n">
        <x:f>(Z189+tun_ElderCommons*INDEX(LM_Elder,G189)*AA189)*AH189</x:f>
        <x:v>220.61670944180128</x:v>
      </x:c>
      <x:c r="AJ189" s="32" t="n">
        <x:f>H189*tun_CommonsCoef*AI189^tun_CommonsExp*INDEX(LM_Commons,G189)</x:f>
        <x:v>569.7313722360769</x:v>
      </x:c>
      <x:c r="AK189" s="32" t="n">
        <x:f>H189*tun_RoleScale*Arch_Roles*(AE189*(INDEX(tun_ElderRolePerSett,G189)*tun_OutElder*INDEX(LM_Elder,G189)+INDEX(tun_ShamanPerSett,G189)*tun_OutShaman)+Z189*(INDEX(tun_PriestShare,G189)*tun_OutPriest+INDEX(tun_ScribeShare,G189)*tun_OutScribe*INDEX(LM_Scribe,G189)+INDEX(tun_ScholarShare,G189)*tun_OutScholar*INDEX(LM_Scholar,G189)+INDEX(tun_ResearcherShare,G189)*tun_OutResearcher*INDEX(LM_Researcher,G189)))</x:f>
        <x:v>100.35769294046935</x:v>
      </x:c>
      <x:c r="AL189" s="32" t="n">
        <x:f>H189*tun_RoleScale*Arch_Roles*AE189*INDEX(tun_MonasteryPerSett,G189)*tun_OutMonastery*INDEX(LM_Monastery,G189)</x:f>
        <x:v>0</x:v>
      </x:c>
      <x:c r="AM189" s="32" t="n">
        <x:f>(AJ189+AK189+AL189)/4*INDEX(LM_All,G189)*INDEX(tun_Boon,G189)*Arch_Insight</x:f>
        <x:v>201.5469458953089</x:v>
      </x:c>
      <x:c r="AN189" s="32" t="n">
        <x:f>H189*(tun_KHPerAdult*Z189+tun_KHOfCommons*AJ189/4*INDEX(LM_All,G189))*tun_KHUsable*Arch_KH</x:f>
        <x:v>38.035089969146725</x:v>
      </x:c>
      <x:c r="AO189" s="32" t="n">
        <x:f>MIN(AP188+AN189,AM189*tun_KHMaxRatio)</x:f>
        <x:v>38.035089969146725</x:v>
      </x:c>
      <x:c r="AP189" s="32" t="n">
        <x:f>AP188+AN189-AO189</x:f>
        <x:v>0</x:v>
      </x:c>
      <x:c r="AQ189" s="32" t="n">
        <x:f>AM189+AO189</x:f>
        <x:v>239.58203586445563</x:v>
      </x:c>
      <x:c r="AR189" s="10" t="n">
        <x:f>IF(H189=1,INDEX(tun_Req,G189),0)</x:f>
        <x:v>21071.475087999996</x:v>
      </x:c>
      <x:c r="AS189" s="32" t="n">
        <x:f>IF(H189=1,IF(E189=1,AS188-AR188,AS188)+AQ189,0)</x:f>
        <x:v>3026.813026292687</x:v>
      </x:c>
      <x:c r="AT189" s="11" t="n">
        <x:f>IF(AR189&gt;0,MIN(1,AS189/AR189),1)</x:f>
        <x:v>0.14364504685371687</x:v>
      </x:c>
      <x:c r="AU189" s="10" t="n">
        <x:f>AB189/INDEX(tun_RepScale,G189)</x:f>
        <x:v>174.7282311646463</x:v>
      </x:c>
      <x:c r="AV189" s="32" t="n">
        <x:f>AM189*60/tun_SeasonSeconds</x:f>
        <x:v>806.1877835812356</x:v>
      </x:c>
    </x:row>
    <x:row r="190">
      <x:c r="A190" s="8" t="n">
        <x:f>A189+1</x:f>
        <x:v>187</x:v>
      </x:c>
      <x:c r="B190" s="9" t="n">
        <x:f>A190*tun_SeasonSeconds/60</x:f>
        <x:v>46.75</x:v>
      </x:c>
      <x:c r="C190" s="9" t="n">
        <x:f>A190/4</x:f>
        <x:v>46.75</x:v>
      </x:c>
      <x:c r="D190" s="8" t="n">
        <x:f>IF(MOD(A190,4)=0,1,0)</x:f>
        <x:v>0</x:v>
      </x:c>
      <x:c r="E190" s="8" t="n">
        <x:f>IF(AND(F189&lt;=9,AS189&gt;=AR189),1,0)</x:f>
        <x:v>0</x:v>
      </x:c>
      <x:c r="F190" s="8" t="n">
        <x:f>MIN(10,F189+E190)</x:f>
        <x:v>4</x:v>
      </x:c>
      <x:c r="G190" s="8" t="n">
        <x:f>MIN(F190,9)+1</x:f>
        <x:v>5</x:v>
      </x:c>
      <x:c r="H190" s="8" t="n">
        <x:f>IF(F190&lt;=9,1,0)</x:f>
        <x:v>1</x:v>
      </x:c>
      <x:c r="I190" s="9" t="n">
        <x:f>MIN(10,F189+IF(AR189&gt;0,MIN(1,AS189/AR189),1))</x:f>
        <x:v>4.143645046853717</x:v>
      </x:c>
      <x:c r="J190" s="32" t="n">
        <x:f>INDEX(tun_FoodCap,G190)*Arch_FoodCap*EXP(tun_CapsByProject*SUMPRODUCT((Cap_Point&lt;=I190)*(Cap_Kind="Food")*Cap_Ln))</x:f>
        <x:v>190.40203000328933</x:v>
      </x:c>
      <x:c r="K190" s="32" t="n">
        <x:f>J190*MIN(1,tun_LeanBase*EXP(tun_CapsByProject*SUMPRODUCT((Cap_Point&lt;=I190)*(Cap_Kind="Lean")*Cap_Ln)))</x:f>
        <x:v>190.40203000328933</x:v>
      </x:c>
      <x:c r="L190" s="10" t="n">
        <x:f>INDEX(tun_HousingCap,G190)*EXP(tun_CapsByProject*SUMPRODUCT((Cap_Point&lt;=I190)*(Cap_Kind="Housing")*Cap_Ln))</x:f>
        <x:v>947.6999999999999</x:v>
      </x:c>
      <x:c r="M190" s="10" t="n">
        <x:f>INDEX(tun_GroupCap,G190)*tun_CohesionFactor*EXP(tun_CapsByProject*SUMPRODUCT((Cap_Point&lt;=I190)*(Cap_Kind="Group")*Cap_Ln))</x:f>
        <x:v>10000.000000000005</x:v>
      </x:c>
      <x:c r="N190" s="32" t="n">
        <x:f>MIN(J190,L190,M190)</x:f>
        <x:v>190.40203000328933</x:v>
      </x:c>
      <x:c r="O190" s="10" t="n">
        <x:f>AE189*N190</x:f>
        <x:v>571.2060900098679</x:v>
      </x:c>
      <x:c r="P190" s="9" t="n">
        <x:f>MIN(1,(AB189/(AE189*IF(tun_GroupInCrowding=1,N190,MIN(J190,L190))))^tun_CrowdingExp)</x:f>
        <x:v>0.0524326106363041</x:v>
      </x:c>
      <x:c r="Q190" s="9" t="n">
        <x:f>IF(D190=1,INDEX(tun_WinterMult,G190),1)</x:f>
        <x:v>1</x:v>
      </x:c>
      <x:c r="R190" s="9" t="n">
        <x:f>H190*Z189*tun_WomenShare*tun_BaseFertility*INDEX(tun_FertMult,G190)*Arch_Fertility*(1-P190)</x:f>
        <x:v>9.271737596455251</x:v>
      </x:c>
      <x:c r="S190" s="9" t="n">
        <x:f>H190*Y189*INDEX(tun_MortChild,G190)/4*Q190</x:f>
        <x:v>1.4421522637578141</x:v>
      </x:c>
      <x:c r="T190" s="9" t="n">
        <x:f>H190*Z189*INDEX(tun_MortAdult,G190)*Arch_AdultMort/4*Q190</x:f>
        <x:v>0.3292954508063731</x:v>
      </x:c>
      <x:c r="U190" s="9" t="n">
        <x:f>H190*AA189*INDEX(tun_MortElder,G190)/4*Q190</x:f>
        <x:v>0.42033780343977234</x:v>
      </x:c>
      <x:c r="V190" s="9" t="n">
        <x:f>H190*MAX(0,AB189-O190)*tun_OvercapLoss</x:f>
        <x:v>0</x:v>
      </x:c>
      <x:c r="W190" s="9" t="n">
        <x:f>H190*Y189/(tun_ChildYears*4)</x:f>
        <x:v>3.4336958660900336</x:v>
      </x:c>
      <x:c r="X190" s="9" t="n">
        <x:f>H190*Z189/(tun_AdultYears*4)</x:f>
        <x:v>1.0116603711409313</x:v>
      </x:c>
      <x:c r="Y190" s="32" t="n">
        <x:f>Y189+R190-S190-W190-Y189*V190/AB189</x:f>
        <x:v>196.68285796764928</x:v>
      </x:c>
      <x:c r="Z190" s="32" t="n">
        <x:f>Z189+W190-X190-T190-Z189*V190/AB189</x:f>
        <x:v>127.5386260656182</x:v>
      </x:c>
      <x:c r="AA190" s="32" t="n">
        <x:f>AA189+X190-U190-AA189*V190/AB189</x:f>
        <x:v>32.31493037447643</x:v>
      </x:c>
      <x:c r="AB190" s="10" t="n">
        <x:f>Y190+Z190+AA190</x:f>
        <x:v>356.5364144077439</x:v>
      </x:c>
      <x:c r="AC190" s="8" t="n">
        <x:f>IF(AND(tun_WinterTrigger=1,D190=1,AB189/AE189&gt;=K190),1,0)</x:f>
        <x:v>0</x:v>
      </x:c>
      <x:c r="AD190" s="8" t="n">
        <x:f>H190*IF(AND(OR(AB189/AE189&gt;=tun_FissionTrigger*N190,AC190=1),AB189/AE189*tun_DaughterShare&gt;=tun_MinDaughter),MAX(1,ROUND(AE189*tun_FissionRate,0)),0)</x:f>
        <x:v>0</x:v>
      </x:c>
      <x:c r="AE190" s="8" t="n">
        <x:f>IF(H190=1,MAX(1,MIN(INDEX(tun_Smax,G190),AE189+AD190)),AE189)</x:f>
        <x:v>3</x:v>
      </x:c>
      <x:c r="AF190" s="8" t="n">
        <x:f>MAX(0,AE190-AE189)</x:f>
        <x:v>0</x:v>
      </x:c>
      <x:c r="AG190" s="9" t="str">
        <x:f>IF(AF190&gt;0,B190,"")</x:f>
      </x:c>
      <x:c r="AH190" s="9" t="n">
        <x:f>IF(F190&gt;=1,1,(1+tun_LowTiesShare*(AE190-1))/AE190)</x:f>
        <x:v>1</x:v>
      </x:c>
      <x:c r="AI190" s="32" t="n">
        <x:f>(Z190+tun_ElderCommons*INDEX(LM_Elder,G190)*AA190)*AH190</x:f>
        <x:v>224.4834171890475</x:v>
      </x:c>
      <x:c r="AJ190" s="32" t="n">
        <x:f>H190*tun_CommonsCoef*AI190^tun_CommonsExp*INDEX(LM_Commons,G190)</x:f>
        <x:v>578.2080280711666</x:v>
      </x:c>
      <x:c r="AK190" s="32" t="n">
        <x:f>H190*tun_RoleScale*Arch_Roles*(AE190*(INDEX(tun_ElderRolePerSett,G190)*tun_OutElder*INDEX(LM_Elder,G190)+INDEX(tun_ShamanPerSett,G190)*tun_OutShaman)+Z190*(INDEX(tun_PriestShare,G190)*tun_OutPriest+INDEX(tun_ScribeShare,G190)*tun_OutScribe*INDEX(LM_Scribe,G190)+INDEX(tun_ScholarShare,G190)*tun_OutScholar*INDEX(LM_Scholar,G190)+INDEX(tun_ResearcherShare,G190)*tun_OutResearcher*INDEX(LM_Researcher,G190)))</x:f>
        <x:v>100.83076767777771</x:v>
      </x:c>
      <x:c r="AL190" s="32" t="n">
        <x:f>H190*tun_RoleScale*Arch_Roles*AE190*INDEX(tun_MonasteryPerSett,G190)*tun_OutMonastery*INDEX(LM_Monastery,G190)</x:f>
        <x:v>0</x:v>
      </x:c>
      <x:c r="AM190" s="32" t="n">
        <x:f>(AJ190+AK190+AL190)/4*INDEX(LM_All,G190)*INDEX(tun_Boon,G190)*Arch_Insight</x:f>
        <x:v>204.23881322637402</x:v>
      </x:c>
      <x:c r="AN190" s="32" t="n">
        <x:f>H190*(tun_KHPerAdult*Z190+tun_KHOfCommons*AJ190/4*INDEX(LM_All,G190))*tun_KHUsable*Arch_KH</x:f>
        <x:v>38.600988887543544</x:v>
      </x:c>
      <x:c r="AO190" s="32" t="n">
        <x:f>MIN(AP189+AN190,AM190*tun_KHMaxRatio)</x:f>
        <x:v>38.600988887543544</x:v>
      </x:c>
      <x:c r="AP190" s="32" t="n">
        <x:f>AP189+AN190-AO190</x:f>
        <x:v>0</x:v>
      </x:c>
      <x:c r="AQ190" s="32" t="n">
        <x:f>AM190+AO190</x:f>
        <x:v>242.83980211391756</x:v>
      </x:c>
      <x:c r="AR190" s="10" t="n">
        <x:f>IF(H190=1,INDEX(tun_Req,G190),0)</x:f>
        <x:v>21071.475087999996</x:v>
      </x:c>
      <x:c r="AS190" s="32" t="n">
        <x:f>IF(H190=1,IF(E190=1,AS189-AR189,AS189)+AQ190,0)</x:f>
        <x:v>3269.6528284066044</x:v>
      </x:c>
      <x:c r="AT190" s="11" t="n">
        <x:f>IF(AR190&gt;0,MIN(1,AS190/AR190),1)</x:f>
        <x:v>0.15516962219074262</x:v>
      </x:c>
      <x:c r="AU190" s="10" t="n">
        <x:f>AB190/INDEX(tun_RepScale,G190)</x:f>
        <x:v>178.26820720387195</x:v>
      </x:c>
      <x:c r="AV190" s="32" t="n">
        <x:f>AM190*60/tun_SeasonSeconds</x:f>
        <x:v>816.9552529054961</x:v>
      </x:c>
    </x:row>
    <x:row r="191">
      <x:c r="A191" s="8" t="n">
        <x:f>A190+1</x:f>
        <x:v>188</x:v>
      </x:c>
      <x:c r="B191" s="9" t="n">
        <x:f>A191*tun_SeasonSeconds/60</x:f>
        <x:v>47</x:v>
      </x:c>
      <x:c r="C191" s="9" t="n">
        <x:f>A191/4</x:f>
        <x:v>47</x:v>
      </x:c>
      <x:c r="D191" s="8" t="n">
        <x:f>IF(MOD(A191,4)=0,1,0)</x:f>
        <x:v>1</x:v>
      </x:c>
      <x:c r="E191" s="8" t="n">
        <x:f>IF(AND(F190&lt;=9,AS190&gt;=AR190),1,0)</x:f>
        <x:v>0</x:v>
      </x:c>
      <x:c r="F191" s="8" t="n">
        <x:f>MIN(10,F190+E191)</x:f>
        <x:v>4</x:v>
      </x:c>
      <x:c r="G191" s="8" t="n">
        <x:f>MIN(F191,9)+1</x:f>
        <x:v>5</x:v>
      </x:c>
      <x:c r="H191" s="8" t="n">
        <x:f>IF(F191&lt;=9,1,0)</x:f>
        <x:v>1</x:v>
      </x:c>
      <x:c r="I191" s="9" t="n">
        <x:f>MIN(10,F190+IF(AR190&gt;0,MIN(1,AS190/AR190),1))</x:f>
        <x:v>4.155169622190742</x:v>
      </x:c>
      <x:c r="J191" s="32" t="n">
        <x:f>INDEX(tun_FoodCap,G191)*Arch_FoodCap*EXP(tun_CapsByProject*SUMPRODUCT((Cap_Point&lt;=I191)*(Cap_Kind="Food")*Cap_Ln))</x:f>
        <x:v>196.11409090338805</x:v>
      </x:c>
      <x:c r="K191" s="32" t="n">
        <x:f>J191*MIN(1,tun_LeanBase*EXP(tun_CapsByProject*SUMPRODUCT((Cap_Point&lt;=I191)*(Cap_Kind="Lean")*Cap_Ln)))</x:f>
        <x:v>196.11409090338805</x:v>
      </x:c>
      <x:c r="L191" s="10" t="n">
        <x:f>INDEX(tun_HousingCap,G191)*EXP(tun_CapsByProject*SUMPRODUCT((Cap_Point&lt;=I191)*(Cap_Kind="Housing")*Cap_Ln))</x:f>
        <x:v>1137.2399999999998</x:v>
      </x:c>
      <x:c r="M191" s="10" t="n">
        <x:f>INDEX(tun_GroupCap,G191)*tun_CohesionFactor*EXP(tun_CapsByProject*SUMPRODUCT((Cap_Point&lt;=I191)*(Cap_Kind="Group")*Cap_Ln))</x:f>
        <x:v>10000.000000000005</x:v>
      </x:c>
      <x:c r="N191" s="32" t="n">
        <x:f>MIN(J191,L191,M191)</x:f>
        <x:v>196.11409090338805</x:v>
      </x:c>
      <x:c r="O191" s="10" t="n">
        <x:f>AE190*N191</x:f>
        <x:v>588.3422727101641</x:v>
      </x:c>
      <x:c r="P191" s="9" t="n">
        <x:f>MIN(1,(AB190/(AE190*IF(tun_GroupInCrowding=1,N191,MIN(J191,L191))))^tun_CrowdingExp)</x:f>
        <x:v>0.04952711523219306</x:v>
      </x:c>
      <x:c r="Q191" s="9" t="n">
        <x:f>IF(D191=1,INDEX(tun_WinterMult,G191),1)</x:f>
        <x:v>1.2</x:v>
      </x:c>
      <x:c r="R191" s="9" t="n">
        <x:f>H191*Z190*tun_WomenShare*tun_BaseFertility*INDEX(tun_FertMult,G191)*Arch_Fertility*(1-P191)</x:f>
        <x:v>9.455316455201036</x:v>
      </x:c>
      <x:c r="S191" s="9" t="n">
        <x:f>H191*Y190*INDEX(tun_MortChild,G191)/4*Q191</x:f>
        <x:v>1.7701457217088434</x:v>
      </x:c>
      <x:c r="T191" s="9" t="n">
        <x:f>H191*Z190*INDEX(tun_MortAdult,G191)*Arch_AdultMort/4*Q191</x:f>
        <x:v>0.4017466721066974</x:v>
      </x:c>
      <x:c r="U191" s="9" t="n">
        <x:f>H191*AA190*INDEX(tun_MortElder,G191)/4*Q191</x:f>
        <x:v>0.5138073929541752</x:v>
      </x:c>
      <x:c r="V191" s="9" t="n">
        <x:f>H191*MAX(0,AB190-O191)*tun_OvercapLoss</x:f>
        <x:v>0</x:v>
      </x:c>
      <x:c r="W191" s="9" t="n">
        <x:f>H191*Y190/(tun_ChildYears*4)</x:f>
        <x:v>3.5121938922794516</x:v>
      </x:c>
      <x:c r="X191" s="9" t="n">
        <x:f>H191*Z190/(tun_AdultYears*4)</x:f>
        <x:v>1.028537306980792</x:v>
      </x:c>
      <x:c r="Y191" s="32" t="n">
        <x:f>Y190+R191-S191-W191-Y190*V191/AB190</x:f>
        <x:v>200.85583480886203</x:v>
      </x:c>
      <x:c r="Z191" s="32" t="n">
        <x:f>Z190+W191-X191-T191-Z190*V191/AB190</x:f>
        <x:v>129.62053597881018</x:v>
      </x:c>
      <x:c r="AA191" s="32" t="n">
        <x:f>AA190+X191-U191-AA190*V191/AB190</x:f>
        <x:v>32.82966028850305</x:v>
      </x:c>
      <x:c r="AB191" s="10" t="n">
        <x:f>Y191+Z191+AA191</x:f>
        <x:v>363.30603107617526</x:v>
      </x:c>
      <x:c r="AC191" s="8" t="n">
        <x:f>IF(AND(tun_WinterTrigger=1,D191=1,AB190/AE190&gt;=K191),1,0)</x:f>
        <x:v>0</x:v>
      </x:c>
      <x:c r="AD191" s="8" t="n">
        <x:f>H191*IF(AND(OR(AB190/AE190&gt;=tun_FissionTrigger*N191,AC191=1),AB190/AE190*tun_DaughterShare&gt;=tun_MinDaughter),MAX(1,ROUND(AE190*tun_FissionRate,0)),0)</x:f>
        <x:v>0</x:v>
      </x:c>
      <x:c r="AE191" s="8" t="n">
        <x:f>IF(H191=1,MAX(1,MIN(INDEX(tun_Smax,G191),AE190+AD191)),AE190)</x:f>
        <x:v>3</x:v>
      </x:c>
      <x:c r="AF191" s="8" t="n">
        <x:f>MAX(0,AE191-AE190)</x:f>
        <x:v>0</x:v>
      </x:c>
      <x:c r="AG191" s="9" t="str">
        <x:f>IF(AF191&gt;0,B191,"")</x:f>
      </x:c>
      <x:c r="AH191" s="9" t="n">
        <x:f>IF(F191&gt;=1,1,(1+tun_LowTiesShare*(AE191-1))/AE191)</x:f>
        <x:v>1</x:v>
      </x:c>
      <x:c r="AI191" s="32" t="n">
        <x:f>(Z191+tun_ElderCommons*INDEX(LM_Elder,G191)*AA191)*AH191</x:f>
        <x:v>228.10951684431933</x:v>
      </x:c>
      <x:c r="AJ191" s="32" t="n">
        <x:f>H191*tun_CommonsCoef*AI191^tun_CommonsExp*INDEX(LM_Commons,G191)</x:f>
        <x:v>586.1373360956923</x:v>
      </x:c>
      <x:c r="AK191" s="32" t="n">
        <x:f>H191*tun_RoleScale*Arch_Roles*(AE191*(INDEX(tun_ElderRolePerSett,G191)*tun_OutElder*INDEX(LM_Elder,G191)+INDEX(tun_ShamanPerSett,G191)*tun_OutShaman)+Z191*(INDEX(tun_PriestShare,G191)*tun_OutPriest+INDEX(tun_ScribeShare,G191)*tun_OutScribe*INDEX(LM_Scribe,G191)+INDEX(tun_ScholarShare,G191)*tun_OutScholar*INDEX(LM_Scholar,G191)+INDEX(tun_ResearcherShare,G191)*tun_OutResearcher*INDEX(LM_Researcher,G191)))</x:f>
        <x:v>101.30139420783316</x:v>
      </x:c>
      <x:c r="AL191" s="32" t="n">
        <x:f>H191*tun_RoleScale*Arch_Roles*AE191*INDEX(tun_MonasteryPerSett,G191)*tun_OutMonastery*INDEX(LM_Monastery,G191)</x:f>
        <x:v>0</x:v>
      </x:c>
      <x:c r="AM191" s="32" t="n">
        <x:f>(AJ191+AK191+AL191)/4*INDEX(LM_All,G191)*INDEX(tun_Boon,G191)*Arch_Insight</x:f>
        <x:v>206.7653149157431</x:v>
      </x:c>
      <x:c r="AN191" s="32" t="n">
        <x:f>H191*(tun_KHPerAdult*Z191+tun_KHOfCommons*AJ191/4*INDEX(LM_All,G191))*tun_KHUsable*Arch_KH</x:f>
        <x:v>39.130347035616424</x:v>
      </x:c>
      <x:c r="AO191" s="32" t="n">
        <x:f>MIN(AP190+AN191,AM191*tun_KHMaxRatio)</x:f>
        <x:v>39.130347035616424</x:v>
      </x:c>
      <x:c r="AP191" s="32" t="n">
        <x:f>AP190+AN191-AO191</x:f>
        <x:v>0</x:v>
      </x:c>
      <x:c r="AQ191" s="32" t="n">
        <x:f>AM191+AO191</x:f>
        <x:v>245.8956619513595</x:v>
      </x:c>
      <x:c r="AR191" s="10" t="n">
        <x:f>IF(H191=1,INDEX(tun_Req,G191),0)</x:f>
        <x:v>21071.475087999996</x:v>
      </x:c>
      <x:c r="AS191" s="32" t="n">
        <x:f>IF(H191=1,IF(E191=1,AS190-AR190,AS190)+AQ191,0)</x:f>
        <x:v>3515.548490357964</x:v>
      </x:c>
      <x:c r="AT191" s="11" t="n">
        <x:f>IF(AR191&gt;0,MIN(1,AS191/AR191),1)</x:f>
        <x:v>0.1668392210643115</x:v>
      </x:c>
      <x:c r="AU191" s="10" t="n">
        <x:f>AB191/INDEX(tun_RepScale,G191)</x:f>
        <x:v>181.65301553808763</x:v>
      </x:c>
      <x:c r="AV191" s="32" t="n">
        <x:f>AM191*60/tun_SeasonSeconds</x:f>
        <x:v>827.0612596629724</x:v>
      </x:c>
    </x:row>
    <x:row r="192">
      <x:c r="A192" s="8" t="n">
        <x:f>A191+1</x:f>
        <x:v>189</x:v>
      </x:c>
      <x:c r="B192" s="9" t="n">
        <x:f>A192*tun_SeasonSeconds/60</x:f>
        <x:v>47.25</x:v>
      </x:c>
      <x:c r="C192" s="9" t="n">
        <x:f>A192/4</x:f>
        <x:v>47.25</x:v>
      </x:c>
      <x:c r="D192" s="8" t="n">
        <x:f>IF(MOD(A192,4)=0,1,0)</x:f>
        <x:v>0</x:v>
      </x:c>
      <x:c r="E192" s="8" t="n">
        <x:f>IF(AND(F191&lt;=9,AS191&gt;=AR191),1,0)</x:f>
        <x:v>0</x:v>
      </x:c>
      <x:c r="F192" s="8" t="n">
        <x:f>MIN(10,F191+E192)</x:f>
        <x:v>4</x:v>
      </x:c>
      <x:c r="G192" s="8" t="n">
        <x:f>MIN(F192,9)+1</x:f>
        <x:v>5</x:v>
      </x:c>
      <x:c r="H192" s="8" t="n">
        <x:f>IF(F192&lt;=9,1,0)</x:f>
        <x:v>1</x:v>
      </x:c>
      <x:c r="I192" s="9" t="n">
        <x:f>MIN(10,F191+IF(AR191&gt;0,MIN(1,AS191/AR191),1))</x:f>
        <x:v>4.166839221064311</x:v>
      </x:c>
      <x:c r="J192" s="32" t="n">
        <x:f>INDEX(tun_FoodCap,G192)*Arch_FoodCap*EXP(tun_CapsByProject*SUMPRODUCT((Cap_Point&lt;=I192)*(Cap_Kind="Food")*Cap_Ln))</x:f>
        <x:v>196.11409090338805</x:v>
      </x:c>
      <x:c r="K192" s="32" t="n">
        <x:f>J192*MIN(1,tun_LeanBase*EXP(tun_CapsByProject*SUMPRODUCT((Cap_Point&lt;=I192)*(Cap_Kind="Lean")*Cap_Ln)))</x:f>
        <x:v>196.11409090338805</x:v>
      </x:c>
      <x:c r="L192" s="10" t="n">
        <x:f>INDEX(tun_HousingCap,G192)*EXP(tun_CapsByProject*SUMPRODUCT((Cap_Point&lt;=I192)*(Cap_Kind="Housing")*Cap_Ln))</x:f>
        <x:v>1137.2399999999998</x:v>
      </x:c>
      <x:c r="M192" s="10" t="n">
        <x:f>INDEX(tun_GroupCap,G192)*tun_CohesionFactor*EXP(tun_CapsByProject*SUMPRODUCT((Cap_Point&lt;=I192)*(Cap_Kind="Group")*Cap_Ln))</x:f>
        <x:v>10000.000000000005</x:v>
      </x:c>
      <x:c r="N192" s="32" t="n">
        <x:f>MIN(J192,L192,M192)</x:f>
        <x:v>196.11409090338805</x:v>
      </x:c>
      <x:c r="O192" s="10" t="n">
        <x:f>AE191*N192</x:f>
        <x:v>588.3422727101641</x:v>
      </x:c>
      <x:c r="P192" s="9" t="n">
        <x:f>MIN(1,(AB191/(AE191*IF(tun_GroupInCrowding=1,N192,MIN(J192,L192))))^tun_CrowdingExp)</x:f>
        <x:v>0.05544409792008109</x:v>
      </x:c>
      <x:c r="Q192" s="9" t="n">
        <x:f>IF(D192=1,INDEX(tun_WinterMult,G192),1)</x:f>
        <x:v>1</x:v>
      </x:c>
      <x:c r="R192" s="9" t="n">
        <x:f>H192*Z191*tun_WomenShare*tun_BaseFertility*INDEX(tun_FertMult,G192)*Arch_Fertility*(1-P192)</x:f>
        <x:v>9.549839698584716</x:v>
      </x:c>
      <x:c r="S192" s="9" t="n">
        <x:f>H192*Y191*INDEX(tun_MortChild,G192)/4*Q192</x:f>
        <x:v>1.5064187610664652</x:v>
      </x:c>
      <x:c r="T192" s="9" t="n">
        <x:f>H192*Z191*INDEX(tun_MortAdult,G192)*Arch_AdultMort/4*Q192</x:f>
        <x:v>0.34025390694437674</x:v>
      </x:c>
      <x:c r="U192" s="9" t="n">
        <x:f>H192*AA191*INDEX(tun_MortElder,G192)/4*Q192</x:f>
        <x:v>0.4349929988226654</x:v>
      </x:c>
      <x:c r="V192" s="9" t="n">
        <x:f>H192*MAX(0,AB191-O192)*tun_OvercapLoss</x:f>
        <x:v>0</x:v>
      </x:c>
      <x:c r="W192" s="9" t="n">
        <x:f>H192*Y191/(tun_ChildYears*4)</x:f>
        <x:v>3.586711335872536</x:v>
      </x:c>
      <x:c r="X192" s="9" t="n">
        <x:f>H192*Z191/(tun_AdultYears*4)</x:f>
        <x:v>1.0453269030549208</x:v>
      </x:c>
      <x:c r="Y192" s="32" t="n">
        <x:f>Y191+R192-S192-W192-Y191*V192/AB191</x:f>
        <x:v>205.31254441050774</x:v>
      </x:c>
      <x:c r="Z192" s="32" t="n">
        <x:f>Z191+W192-X192-T192-Z191*V192/AB191</x:f>
        <x:v>131.8216665046834</x:v>
      </x:c>
      <x:c r="AA192" s="32" t="n">
        <x:f>AA191+X192-U192-AA191*V192/AB191</x:f>
        <x:v>33.439994192735305</x:v>
      </x:c>
      <x:c r="AB192" s="10" t="n">
        <x:f>Y192+Z192+AA192</x:f>
        <x:v>370.57420510792645</x:v>
      </x:c>
      <x:c r="AC192" s="8" t="n">
        <x:f>IF(AND(tun_WinterTrigger=1,D192=1,AB191/AE191&gt;=K192),1,0)</x:f>
        <x:v>0</x:v>
      </x:c>
      <x:c r="AD192" s="8" t="n">
        <x:f>H192*IF(AND(OR(AB191/AE191&gt;=tun_FissionTrigger*N192,AC192=1),AB191/AE191*tun_DaughterShare&gt;=tun_MinDaughter),MAX(1,ROUND(AE191*tun_FissionRate,0)),0)</x:f>
        <x:v>0</x:v>
      </x:c>
      <x:c r="AE192" s="8" t="n">
        <x:f>IF(H192=1,MAX(1,MIN(INDEX(tun_Smax,G192),AE191+AD192)),AE191)</x:f>
        <x:v>3</x:v>
      </x:c>
      <x:c r="AF192" s="8" t="n">
        <x:f>MAX(0,AE192-AE191)</x:f>
        <x:v>0</x:v>
      </x:c>
      <x:c r="AG192" s="9" t="str">
        <x:f>IF(AF192&gt;0,B192,"")</x:f>
      </x:c>
      <x:c r="AH192" s="9" t="n">
        <x:f>IF(F192&gt;=1,1,(1+tun_LowTiesShare*(AE192-1))/AE192)</x:f>
        <x:v>1</x:v>
      </x:c>
      <x:c r="AI192" s="32" t="n">
        <x:f>(Z192+tun_ElderCommons*INDEX(LM_Elder,G192)*AA192)*AH192</x:f>
        <x:v>232.14164908288933</x:v>
      </x:c>
      <x:c r="AJ192" s="32" t="n">
        <x:f>H192*tun_CommonsCoef*AI192^tun_CommonsExp*INDEX(LM_Commons,G192)</x:f>
        <x:v>594.9323677709722</x:v>
      </x:c>
      <x:c r="AK192" s="32" t="n">
        <x:f>H192*tun_RoleScale*Arch_Roles*(AE192*(INDEX(tun_ElderRolePerSett,G192)*tun_OutElder*INDEX(LM_Elder,G192)+INDEX(tun_ShamanPerSett,G192)*tun_OutShaman)+Z192*(INDEX(tun_PriestShare,G192)*tun_OutPriest+INDEX(tun_ScribeShare,G192)*tun_OutScribe*INDEX(LM_Scribe,G192)+INDEX(tun_ScholarShare,G192)*tun_OutScholar*INDEX(LM_Scholar,G192)+INDEX(tun_ResearcherShare,G192)*tun_OutResearcher*INDEX(LM_Researcher,G192)))</x:f>
        <x:v>101.79897117551403</x:v>
      </x:c>
      <x:c r="AL192" s="32" t="n">
        <x:f>H192*tun_RoleScale*Arch_Roles*AE192*INDEX(tun_MonasteryPerSett,G192)*tun_OutMonastery*INDEX(LM_Monastery,G192)</x:f>
        <x:v>0</x:v>
      </x:c>
      <x:c r="AM192" s="32" t="n">
        <x:f>(AJ192+AK192+AL192)/4*INDEX(LM_All,G192)*INDEX(tun_Boon,G192)*Arch_Insight</x:f>
        <x:v>209.56031186274691</x:v>
      </x:c>
      <x:c r="AN192" s="32" t="n">
        <x:f>H192*(tun_KHPerAdult*Z192+tun_KHOfCommons*AJ192/4*INDEX(LM_All,G192))*tun_KHUsable*Arch_KH</x:f>
        <x:v>39.71750062650583</x:v>
      </x:c>
      <x:c r="AO192" s="32" t="n">
        <x:f>MIN(AP191+AN192,AM192*tun_KHMaxRatio)</x:f>
        <x:v>39.71750062650583</x:v>
      </x:c>
      <x:c r="AP192" s="32" t="n">
        <x:f>AP191+AN192-AO192</x:f>
        <x:v>0</x:v>
      </x:c>
      <x:c r="AQ192" s="32" t="n">
        <x:f>AM192+AO192</x:f>
        <x:v>249.27781248925274</x:v>
      </x:c>
      <x:c r="AR192" s="10" t="n">
        <x:f>IF(H192=1,INDEX(tun_Req,G192),0)</x:f>
        <x:v>21071.475087999996</x:v>
      </x:c>
      <x:c r="AS192" s="32" t="n">
        <x:f>IF(H192=1,IF(E192=1,AS191-AR191,AS191)+AQ192,0)</x:f>
        <x:v>3764.826302847217</x:v>
      </x:c>
      <x:c r="AT192" s="11" t="n">
        <x:f>IF(AR192&gt;0,MIN(1,AS192/AR192),1)</x:f>
        <x:v>0.17866932842263378</x:v>
      </x:c>
      <x:c r="AU192" s="10" t="n">
        <x:f>AB192/INDEX(tun_RepScale,G192)</x:f>
        <x:v>185.28710255396322</x:v>
      </x:c>
      <x:c r="AV192" s="32" t="n">
        <x:f>AM192*60/tun_SeasonSeconds</x:f>
        <x:v>838.2412474509877</x:v>
      </x:c>
    </x:row>
    <x:row r="193">
      <x:c r="A193" s="8" t="n">
        <x:f>A192+1</x:f>
        <x:v>190</x:v>
      </x:c>
      <x:c r="B193" s="9" t="n">
        <x:f>A193*tun_SeasonSeconds/60</x:f>
        <x:v>47.5</x:v>
      </x:c>
      <x:c r="C193" s="9" t="n">
        <x:f>A193/4</x:f>
        <x:v>47.5</x:v>
      </x:c>
      <x:c r="D193" s="8" t="n">
        <x:f>IF(MOD(A193,4)=0,1,0)</x:f>
        <x:v>0</x:v>
      </x:c>
      <x:c r="E193" s="8" t="n">
        <x:f>IF(AND(F192&lt;=9,AS192&gt;=AR192),1,0)</x:f>
        <x:v>0</x:v>
      </x:c>
      <x:c r="F193" s="8" t="n">
        <x:f>MIN(10,F192+E193)</x:f>
        <x:v>4</x:v>
      </x:c>
      <x:c r="G193" s="8" t="n">
        <x:f>MIN(F193,9)+1</x:f>
        <x:v>5</x:v>
      </x:c>
      <x:c r="H193" s="8" t="n">
        <x:f>IF(F193&lt;=9,1,0)</x:f>
        <x:v>1</x:v>
      </x:c>
      <x:c r="I193" s="9" t="n">
        <x:f>MIN(10,F192+IF(AR192&gt;0,MIN(1,AS192/AR192),1))</x:f>
        <x:v>4.178669328422634</x:v>
      </x:c>
      <x:c r="J193" s="32" t="n">
        <x:f>INDEX(tun_FoodCap,G193)*Arch_FoodCap*EXP(tun_CapsByProject*SUMPRODUCT((Cap_Point&lt;=I193)*(Cap_Kind="Food")*Cap_Ln))</x:f>
        <x:v>196.11409090338805</x:v>
      </x:c>
      <x:c r="K193" s="32" t="n">
        <x:f>J193*MIN(1,tun_LeanBase*EXP(tun_CapsByProject*SUMPRODUCT((Cap_Point&lt;=I193)*(Cap_Kind="Lean")*Cap_Ln)))</x:f>
        <x:v>196.11409090338805</x:v>
      </x:c>
      <x:c r="L193" s="10" t="n">
        <x:f>INDEX(tun_HousingCap,G193)*EXP(tun_CapsByProject*SUMPRODUCT((Cap_Point&lt;=I193)*(Cap_Kind="Housing")*Cap_Ln))</x:f>
        <x:v>1137.2399999999998</x:v>
      </x:c>
      <x:c r="M193" s="10" t="n">
        <x:f>INDEX(tun_GroupCap,G193)*tun_CohesionFactor*EXP(tun_CapsByProject*SUMPRODUCT((Cap_Point&lt;=I193)*(Cap_Kind="Group")*Cap_Ln))</x:f>
        <x:v>10000.000000000005</x:v>
      </x:c>
      <x:c r="N193" s="32" t="n">
        <x:f>MIN(J193,L193,M193)</x:f>
        <x:v>196.11409090338805</x:v>
      </x:c>
      <x:c r="O193" s="10" t="n">
        <x:f>AE192*N193</x:f>
        <x:v>588.3422727101641</x:v>
      </x:c>
      <x:c r="P193" s="9" t="n">
        <x:f>MIN(1,(AB192/(AE192*IF(tun_GroupInCrowding=1,N193,MIN(J193,L193))))^tun_CrowdingExp)</x:f>
        <x:v>0.06244113539601869</x:v>
      </x:c>
      <x:c r="Q193" s="9" t="n">
        <x:f>IF(D193=1,INDEX(tun_WinterMult,G193),1)</x:f>
        <x:v>1</x:v>
      </x:c>
      <x:c r="R193" s="9" t="n">
        <x:f>H193*Z192*tun_WomenShare*tun_BaseFertility*INDEX(tun_FertMult,G193)*Arch_Fertility*(1-P193)</x:f>
        <x:v>9.64006461431018</x:v>
      </x:c>
      <x:c r="S193" s="9" t="n">
        <x:f>H193*Y192*INDEX(tun_MortChild,G193)/4*Q193</x:f>
        <x:v>1.539844083078808</x:v>
      </x:c>
      <x:c r="T193" s="9" t="n">
        <x:f>H193*Z192*INDEX(tun_MortAdult,G193)*Arch_AdultMort/4*Q193</x:f>
        <x:v>0.34603187457479395</x:v>
      </x:c>
      <x:c r="U193" s="9" t="n">
        <x:f>H193*AA192*INDEX(tun_MortElder,G193)/4*Q193</x:f>
        <x:v>0.4430799230537428</x:v>
      </x:c>
      <x:c r="V193" s="9" t="n">
        <x:f>H193*MAX(0,AB192-O193)*tun_OvercapLoss</x:f>
        <x:v>0</x:v>
      </x:c>
      <x:c r="W193" s="9" t="n">
        <x:f>H193*Y192/(tun_ChildYears*4)</x:f>
        <x:v>3.6662954359019237</x:v>
      </x:c>
      <x:c r="X193" s="9" t="n">
        <x:f>H193*Z192/(tun_AdultYears*4)</x:f>
        <x:v>1.0630779556829306</x:v>
      </x:c>
      <x:c r="Y193" s="32" t="n">
        <x:f>Y192+R193-S193-W193-Y192*V193/AB192</x:f>
        <x:v>209.74646950583718</x:v>
      </x:c>
      <x:c r="Z193" s="32" t="n">
        <x:f>Z192+W193-X193-T193-Z192*V193/AB192</x:f>
        <x:v>134.0788521103276</x:v>
      </x:c>
      <x:c r="AA193" s="32" t="n">
        <x:f>AA192+X193-U193-AA192*V193/AB192</x:f>
        <x:v>34.05999222536449</x:v>
      </x:c>
      <x:c r="AB193" s="10" t="n">
        <x:f>Y193+Z193+AA193</x:f>
        <x:v>377.8853138415293</x:v>
      </x:c>
      <x:c r="AC193" s="8" t="n">
        <x:f>IF(AND(tun_WinterTrigger=1,D193=1,AB192/AE192&gt;=K193),1,0)</x:f>
        <x:v>0</x:v>
      </x:c>
      <x:c r="AD193" s="8" t="n">
        <x:f>H193*IF(AND(OR(AB192/AE192&gt;=tun_FissionTrigger*N193,AC193=1),AB192/AE192*tun_DaughterShare&gt;=tun_MinDaughter),MAX(1,ROUND(AE192*tun_FissionRate,0)),0)</x:f>
        <x:v>0</x:v>
      </x:c>
      <x:c r="AE193" s="8" t="n">
        <x:f>IF(H193=1,MAX(1,MIN(INDEX(tun_Smax,G193),AE192+AD193)),AE192)</x:f>
        <x:v>3</x:v>
      </x:c>
      <x:c r="AF193" s="8" t="n">
        <x:f>MAX(0,AE193-AE192)</x:f>
        <x:v>0</x:v>
      </x:c>
      <x:c r="AG193" s="9" t="str">
        <x:f>IF(AF193&gt;0,B193,"")</x:f>
      </x:c>
      <x:c r="AH193" s="9" t="n">
        <x:f>IF(F193&gt;=1,1,(1+tun_LowTiesShare*(AE193-1))/AE193)</x:f>
        <x:v>1</x:v>
      </x:c>
      <x:c r="AI193" s="32" t="n">
        <x:f>(Z193+tun_ElderCommons*INDEX(LM_Elder,G193)*AA193)*AH193</x:f>
        <x:v>236.25882878642108</x:v>
      </x:c>
      <x:c r="AJ193" s="32" t="n">
        <x:f>H193*tun_CommonsCoef*AI193^tun_CommonsExp*INDEX(LM_Commons,G193)</x:f>
        <x:v>603.8892962371319</x:v>
      </x:c>
      <x:c r="AK193" s="32" t="n">
        <x:f>H193*tun_RoleScale*Arch_Roles*(AE193*(INDEX(tun_ElderRolePerSett,G193)*tun_OutElder*INDEX(LM_Elder,G193)+INDEX(tun_ShamanPerSett,G193)*tun_OutShaman)+Z193*(INDEX(tun_PriestShare,G193)*tun_OutPriest+INDEX(tun_ScribeShare,G193)*tun_OutScribe*INDEX(LM_Scribe,G193)+INDEX(tun_ScholarShare,G193)*tun_OutScholar*INDEX(LM_Scholar,G193)+INDEX(tun_ResearcherShare,G193)*tun_OutResearcher*INDEX(LM_Researcher,G193)))</x:f>
        <x:v>102.30921968460859</x:v>
      </x:c>
      <x:c r="AL193" s="32" t="n">
        <x:f>H193*tun_RoleScale*Arch_Roles*AE193*INDEX(tun_MonasteryPerSett,G193)*tun_OutMonastery*INDEX(LM_Monastery,G193)</x:f>
        <x:v>0</x:v>
      </x:c>
      <x:c r="AM193" s="32" t="n">
        <x:f>(AJ193+AK193+AL193)/4*INDEX(LM_All,G193)*INDEX(tun_Boon,G193)*Arch_Insight</x:f>
        <x:v>212.40781483626608</x:v>
      </x:c>
      <x:c r="AN193" s="32" t="n">
        <x:f>H193*(tun_KHPerAdult*Z193+tun_KHOfCommons*AJ193/4*INDEX(LM_All,G193))*tun_KHUsable*Arch_KH</x:f>
        <x:v>40.31546239701622</x:v>
      </x:c>
      <x:c r="AO193" s="32" t="n">
        <x:f>MIN(AP192+AN193,AM193*tun_KHMaxRatio)</x:f>
        <x:v>40.31546239701622</x:v>
      </x:c>
      <x:c r="AP193" s="32" t="n">
        <x:f>AP192+AN193-AO193</x:f>
        <x:v>0</x:v>
      </x:c>
      <x:c r="AQ193" s="32" t="n">
        <x:f>AM193+AO193</x:f>
        <x:v>252.72327723328232</x:v>
      </x:c>
      <x:c r="AR193" s="10" t="n">
        <x:f>IF(H193=1,INDEX(tun_Req,G193),0)</x:f>
        <x:v>21071.475087999996</x:v>
      </x:c>
      <x:c r="AS193" s="32" t="n">
        <x:f>IF(H193=1,IF(E193=1,AS192-AR192,AS192)+AQ193,0)</x:f>
        <x:v>4017.5495800804993</x:v>
      </x:c>
      <x:c r="AT193" s="11" t="n">
        <x:f>IF(AR193&gt;0,MIN(1,AS193/AR193),1)</x:f>
        <x:v>0.19066294900106237</x:v>
      </x:c>
      <x:c r="AU193" s="10" t="n">
        <x:f>AB193/INDEX(tun_RepScale,G193)</x:f>
        <x:v>188.94265692076465</x:v>
      </x:c>
      <x:c r="AV193" s="32" t="n">
        <x:f>AM193*60/tun_SeasonSeconds</x:f>
        <x:v>849.6312593450643</x:v>
      </x:c>
    </x:row>
    <x:row r="194">
      <x:c r="A194" s="8" t="n">
        <x:f>A193+1</x:f>
        <x:v>191</x:v>
      </x:c>
      <x:c r="B194" s="9" t="n">
        <x:f>A194*tun_SeasonSeconds/60</x:f>
        <x:v>47.75</x:v>
      </x:c>
      <x:c r="C194" s="9" t="n">
        <x:f>A194/4</x:f>
        <x:v>47.75</x:v>
      </x:c>
      <x:c r="D194" s="8" t="n">
        <x:f>IF(MOD(A194,4)=0,1,0)</x:f>
        <x:v>0</x:v>
      </x:c>
      <x:c r="E194" s="8" t="n">
        <x:f>IF(AND(F193&lt;=9,AS193&gt;=AR193),1,0)</x:f>
        <x:v>0</x:v>
      </x:c>
      <x:c r="F194" s="8" t="n">
        <x:f>MIN(10,F193+E194)</x:f>
        <x:v>4</x:v>
      </x:c>
      <x:c r="G194" s="8" t="n">
        <x:f>MIN(F194,9)+1</x:f>
        <x:v>5</x:v>
      </x:c>
      <x:c r="H194" s="8" t="n">
        <x:f>IF(F194&lt;=9,1,0)</x:f>
        <x:v>1</x:v>
      </x:c>
      <x:c r="I194" s="9" t="n">
        <x:f>MIN(10,F193+IF(AR193&gt;0,MIN(1,AS193/AR193),1))</x:f>
        <x:v>4.190662949001062</x:v>
      </x:c>
      <x:c r="J194" s="32" t="n">
        <x:f>INDEX(tun_FoodCap,G194)*Arch_FoodCap*EXP(tun_CapsByProject*SUMPRODUCT((Cap_Point&lt;=I194)*(Cap_Kind="Food")*Cap_Ln))</x:f>
        <x:v>196.11409090338805</x:v>
      </x:c>
      <x:c r="K194" s="32" t="n">
        <x:f>J194*MIN(1,tun_LeanBase*EXP(tun_CapsByProject*SUMPRODUCT((Cap_Point&lt;=I194)*(Cap_Kind="Lean")*Cap_Ln)))</x:f>
        <x:v>196.11409090338805</x:v>
      </x:c>
      <x:c r="L194" s="10" t="n">
        <x:f>INDEX(tun_HousingCap,G194)*EXP(tun_CapsByProject*SUMPRODUCT((Cap_Point&lt;=I194)*(Cap_Kind="Housing")*Cap_Ln))</x:f>
        <x:v>1137.2399999999998</x:v>
      </x:c>
      <x:c r="M194" s="10" t="n">
        <x:f>INDEX(tun_GroupCap,G194)*tun_CohesionFactor*EXP(tun_CapsByProject*SUMPRODUCT((Cap_Point&lt;=I194)*(Cap_Kind="Group")*Cap_Ln))</x:f>
        <x:v>10000.000000000005</x:v>
      </x:c>
      <x:c r="N194" s="32" t="n">
        <x:f>MIN(J194,L194,M194)</x:f>
        <x:v>196.11409090338805</x:v>
      </x:c>
      <x:c r="O194" s="10" t="n">
        <x:f>AE193*N194</x:f>
        <x:v>588.3422727101641</x:v>
      </x:c>
      <x:c r="P194" s="9" t="n">
        <x:f>MIN(1,(AB193/(AE193*IF(tun_GroupInCrowding=1,N194,MIN(J194,L194))))^tun_CrowdingExp)</x:f>
        <x:v>0.07020689399860468</x:v>
      </x:c>
      <x:c r="Q194" s="9" t="n">
        <x:f>IF(D194=1,INDEX(tun_WinterMult,G194),1)</x:f>
        <x:v>1</x:v>
      </x:c>
      <x:c r="R194" s="9" t="n">
        <x:f>H194*Z193*tun_WomenShare*tun_BaseFertility*INDEX(tun_FertMult,G194)*Arch_Fertility*(1-P194)</x:f>
        <x:v>9.723916203515534</x:v>
      </x:c>
      <x:c r="S194" s="9" t="n">
        <x:f>H194*Y193*INDEX(tun_MortChild,G194)/4*Q194</x:f>
        <x:v>1.573098521293779</x:v>
      </x:c>
      <x:c r="T194" s="9" t="n">
        <x:f>H194*Z193*INDEX(tun_MortAdult,G194)*Arch_AdultMort/4*Q194</x:f>
        <x:v>0.35195698678960996</x:v>
      </x:c>
      <x:c r="U194" s="9" t="n">
        <x:f>H194*AA193*INDEX(tun_MortElder,G194)/4*Q194</x:f>
        <x:v>0.45129489698607944</x:v>
      </x:c>
      <x:c r="V194" s="9" t="n">
        <x:f>H194*MAX(0,AB193-O194)*tun_OvercapLoss</x:f>
        <x:v>0</x:v>
      </x:c>
      <x:c r="W194" s="9" t="n">
        <x:f>H194*Y193/(tun_ChildYears*4)</x:f>
        <x:v>3.7454726697470924</x:v>
      </x:c>
      <x:c r="X194" s="9" t="n">
        <x:f>H194*Z193/(tun_AdultYears*4)</x:f>
        <x:v>1.0812810654058678</x:v>
      </x:c>
      <x:c r="Y194" s="32" t="n">
        <x:f>Y193+R194-S194-W194-Y193*V194/AB193</x:f>
        <x:v>214.15181451831182</x:v>
      </x:c>
      <x:c r="Z194" s="32" t="n">
        <x:f>Z193+W194-X194-T194-Z193*V194/AB193</x:f>
        <x:v>136.3910867278792</x:v>
      </x:c>
      <x:c r="AA194" s="32" t="n">
        <x:f>AA193+X194-U194-AA193*V194/AB193</x:f>
        <x:v>34.68997839378428</x:v>
      </x:c>
      <x:c r="AB194" s="10" t="n">
        <x:f>Y194+Z194+AA194</x:f>
        <x:v>385.2328796399753</x:v>
      </x:c>
      <x:c r="AC194" s="8" t="n">
        <x:f>IF(AND(tun_WinterTrigger=1,D194=1,AB193/AE193&gt;=K194),1,0)</x:f>
        <x:v>0</x:v>
      </x:c>
      <x:c r="AD194" s="8" t="n">
        <x:f>H194*IF(AND(OR(AB193/AE193&gt;=tun_FissionTrigger*N194,AC194=1),AB193/AE193*tun_DaughterShare&gt;=tun_MinDaughter),MAX(1,ROUND(AE193*tun_FissionRate,0)),0)</x:f>
        <x:v>0</x:v>
      </x:c>
      <x:c r="AE194" s="8" t="n">
        <x:f>IF(H194=1,MAX(1,MIN(INDEX(tun_Smax,G194),AE193+AD194)),AE193)</x:f>
        <x:v>3</x:v>
      </x:c>
      <x:c r="AF194" s="8" t="n">
        <x:f>MAX(0,AE194-AE193)</x:f>
        <x:v>0</x:v>
      </x:c>
      <x:c r="AG194" s="9" t="str">
        <x:f>IF(AF194&gt;0,B194,"")</x:f>
      </x:c>
      <x:c r="AH194" s="9" t="n">
        <x:f>IF(F194&gt;=1,1,(1+tun_LowTiesShare*(AE194-1))/AE194)</x:f>
        <x:v>1</x:v>
      </x:c>
      <x:c r="AI194" s="32" t="n">
        <x:f>(Z194+tun_ElderCommons*INDEX(LM_Elder,G194)*AA194)*AH194</x:f>
        <x:v>240.46102190923204</x:v>
      </x:c>
      <x:c r="AJ194" s="32" t="n">
        <x:f>H194*tun_CommonsCoef*AI194^tun_CommonsExp*INDEX(LM_Commons,G194)</x:f>
        <x:v>613.0070615551923</x:v>
      </x:c>
      <x:c r="AK194" s="32" t="n">
        <x:f>H194*tun_RoleScale*Arch_Roles*(AE194*(INDEX(tun_ElderRolePerSett,G194)*tun_OutElder*INDEX(LM_Elder,G194)+INDEX(tun_ShamanPerSett,G194)*tun_OutShaman)+Z194*(INDEX(tun_PriestShare,G194)*tun_OutPriest+INDEX(tun_ScribeShare,G194)*tun_OutScribe*INDEX(LM_Scribe,G194)+INDEX(tun_ScholarShare,G194)*tun_OutScholar*INDEX(LM_Scholar,G194)+INDEX(tun_ResearcherShare,G194)*tun_OutResearcher*INDEX(LM_Researcher,G194)))</x:f>
        <x:v>102.8319123082601</x:v>
      </x:c>
      <x:c r="AL194" s="32" t="n">
        <x:f>H194*tun_RoleScale*Arch_Roles*AE194*INDEX(tun_MonasteryPerSett,G194)*tun_OutMonastery*INDEX(LM_Monastery,G194)</x:f>
        <x:v>0</x:v>
      </x:c>
      <x:c r="AM194" s="32" t="n">
        <x:f>(AJ194+AK194+AL194)/4*INDEX(LM_All,G194)*INDEX(tun_Boon,G194)*Arch_Insight</x:f>
        <x:v>215.30743662709816</x:v>
      </x:c>
      <x:c r="AN194" s="32" t="n">
        <x:f>H194*(tun_KHPerAdult*Z194+tun_KHOfCommons*AJ194/4*INDEX(LM_All,G194))*tun_KHUsable*Arch_KH</x:f>
        <x:v>40.924161585949584</x:v>
      </x:c>
      <x:c r="AO194" s="32" t="n">
        <x:f>MIN(AP193+AN194,AM194*tun_KHMaxRatio)</x:f>
        <x:v>40.924161585949584</x:v>
      </x:c>
      <x:c r="AP194" s="32" t="n">
        <x:f>AP193+AN194-AO194</x:f>
        <x:v>0</x:v>
      </x:c>
      <x:c r="AQ194" s="32" t="n">
        <x:f>AM194+AO194</x:f>
        <x:v>256.23159821304773</x:v>
      </x:c>
      <x:c r="AR194" s="10" t="n">
        <x:f>IF(H194=1,INDEX(tun_Req,G194),0)</x:f>
        <x:v>21071.475087999996</x:v>
      </x:c>
      <x:c r="AS194" s="32" t="n">
        <x:f>IF(H194=1,IF(E194=1,AS193-AR193,AS193)+AQ194,0)</x:f>
        <x:v>4273.781178293547</x:v>
      </x:c>
      <x:c r="AT194" s="11" t="n">
        <x:f>IF(AR194&gt;0,MIN(1,AS194/AR194),1)</x:f>
        <x:v>0.20282306580080978</x:v>
      </x:c>
      <x:c r="AU194" s="10" t="n">
        <x:f>AB194/INDEX(tun_RepScale,G194)</x:f>
        <x:v>192.61643981998765</x:v>
      </x:c>
      <x:c r="AV194" s="32" t="n">
        <x:f>AM194*60/tun_SeasonSeconds</x:f>
        <x:v>861.2297465083926</x:v>
      </x:c>
    </x:row>
    <x:row r="195">
      <x:c r="A195" s="8" t="n">
        <x:f>A194+1</x:f>
        <x:v>192</x:v>
      </x:c>
      <x:c r="B195" s="9" t="n">
        <x:f>A195*tun_SeasonSeconds/60</x:f>
        <x:v>48</x:v>
      </x:c>
      <x:c r="C195" s="9" t="n">
        <x:f>A195/4</x:f>
        <x:v>48</x:v>
      </x:c>
      <x:c r="D195" s="8" t="n">
        <x:f>IF(MOD(A195,4)=0,1,0)</x:f>
        <x:v>1</x:v>
      </x:c>
      <x:c r="E195" s="8" t="n">
        <x:f>IF(AND(F194&lt;=9,AS194&gt;=AR194),1,0)</x:f>
        <x:v>0</x:v>
      </x:c>
      <x:c r="F195" s="8" t="n">
        <x:f>MIN(10,F194+E195)</x:f>
        <x:v>4</x:v>
      </x:c>
      <x:c r="G195" s="8" t="n">
        <x:f>MIN(F195,9)+1</x:f>
        <x:v>5</x:v>
      </x:c>
      <x:c r="H195" s="8" t="n">
        <x:f>IF(F195&lt;=9,1,0)</x:f>
        <x:v>1</x:v>
      </x:c>
      <x:c r="I195" s="9" t="n">
        <x:f>MIN(10,F194+IF(AR194&gt;0,MIN(1,AS194/AR194),1))</x:f>
        <x:v>4.20282306580081</x:v>
      </x:c>
      <x:c r="J195" s="32" t="n">
        <x:f>INDEX(tun_FoodCap,G195)*Arch_FoodCap*EXP(tun_CapsByProject*SUMPRODUCT((Cap_Point&lt;=I195)*(Cap_Kind="Food")*Cap_Ln))</x:f>
        <x:v>196.11409090338805</x:v>
      </x:c>
      <x:c r="K195" s="32" t="n">
        <x:f>J195*MIN(1,tun_LeanBase*EXP(tun_CapsByProject*SUMPRODUCT((Cap_Point&lt;=I195)*(Cap_Kind="Lean")*Cap_Ln)))</x:f>
        <x:v>196.11409090338805</x:v>
      </x:c>
      <x:c r="L195" s="10" t="n">
        <x:f>INDEX(tun_HousingCap,G195)*EXP(tun_CapsByProject*SUMPRODUCT((Cap_Point&lt;=I195)*(Cap_Kind="Housing")*Cap_Ln))</x:f>
        <x:v>1137.2399999999998</x:v>
      </x:c>
      <x:c r="M195" s="10" t="n">
        <x:f>INDEX(tun_GroupCap,G195)*tun_CohesionFactor*EXP(tun_CapsByProject*SUMPRODUCT((Cap_Point&lt;=I195)*(Cap_Kind="Group")*Cap_Ln))</x:f>
        <x:v>10000.000000000005</x:v>
      </x:c>
      <x:c r="N195" s="32" t="n">
        <x:f>MIN(J195,L195,M195)</x:f>
        <x:v>196.11409090338805</x:v>
      </x:c>
      <x:c r="O195" s="10" t="n">
        <x:f>AE194*N195</x:f>
        <x:v>588.3422727101641</x:v>
      </x:c>
      <x:c r="P195" s="9" t="n">
        <x:f>MIN(1,(AB194/(AE194*IF(tun_GroupInCrowding=1,N195,MIN(J195,L195))))^tun_CrowdingExp)</x:f>
        <x:v>0.07880608625675262</x:v>
      </x:c>
      <x:c r="Q195" s="9" t="n">
        <x:f>IF(D195=1,INDEX(tun_WinterMult,G195),1)</x:f>
        <x:v>1.2</x:v>
      </x:c>
      <x:c r="R195" s="9" t="n">
        <x:f>H195*Z194*tun_WomenShare*tun_BaseFertility*INDEX(tun_FertMult,G195)*Arch_Fertility*(1-P195)</x:f>
        <x:v>9.800125840638879</x:v>
      </x:c>
      <x:c r="S195" s="9" t="n">
        <x:f>H195*Y194*INDEX(tun_MortChild,G195)/4*Q195</x:f>
        <x:v>1.9273663306648063</x:v>
      </x:c>
      <x:c r="T195" s="9" t="n">
        <x:f>H195*Z194*INDEX(tun_MortAdult,G195)*Arch_AdultMort/4*Q195</x:f>
        <x:v>0.42963192319281956</x:v>
      </x:c>
      <x:c r="U195" s="9" t="n">
        <x:f>H195*AA194*INDEX(tun_MortElder,G195)/4*Q195</x:f>
        <x:v>0.55157065646117</x:v>
      </x:c>
      <x:c r="V195" s="9" t="n">
        <x:f>H195*MAX(0,AB194-O195)*tun_OvercapLoss</x:f>
        <x:v>0</x:v>
      </x:c>
      <x:c r="W195" s="9" t="n">
        <x:f>H195*Y194/(tun_ChildYears*4)</x:f>
        <x:v>3.824139544969854</x:v>
      </x:c>
      <x:c r="X195" s="9" t="n">
        <x:f>H195*Z194/(tun_AdultYears*4)</x:f>
        <x:v>1.0999281187732195</x:v>
      </x:c>
      <x:c r="Y195" s="32" t="n">
        <x:f>Y194+R195-S195-W195-Y194*V195/AB194</x:f>
        <x:v>218.20043448331606</x:v>
      </x:c>
      <x:c r="Z195" s="32" t="n">
        <x:f>Z194+W195-X195-T195-Z194*V195/AB194</x:f>
        <x:v>138.68566623088302</x:v>
      </x:c>
      <x:c r="AA195" s="32" t="n">
        <x:f>AA194+X195-U195-AA194*V195/AB194</x:f>
        <x:v>35.23833585609633</x:v>
      </x:c>
      <x:c r="AB195" s="10" t="n">
        <x:f>Y195+Z195+AA195</x:f>
        <x:v>392.1244365702954</x:v>
      </x:c>
      <x:c r="AC195" s="8" t="n">
        <x:f>IF(AND(tun_WinterTrigger=1,D195=1,AB194/AE194&gt;=K195),1,0)</x:f>
        <x:v>0</x:v>
      </x:c>
      <x:c r="AD195" s="8" t="n">
        <x:f>H195*IF(AND(OR(AB194/AE194&gt;=tun_FissionTrigger*N195,AC195=1),AB194/AE194*tun_DaughterShare&gt;=tun_MinDaughter),MAX(1,ROUND(AE194*tun_FissionRate,0)),0)</x:f>
        <x:v>0</x:v>
      </x:c>
      <x:c r="AE195" s="8" t="n">
        <x:f>IF(H195=1,MAX(1,MIN(INDEX(tun_Smax,G195),AE194+AD195)),AE194)</x:f>
        <x:v>3</x:v>
      </x:c>
      <x:c r="AF195" s="8" t="n">
        <x:f>MAX(0,AE195-AE194)</x:f>
        <x:v>0</x:v>
      </x:c>
      <x:c r="AG195" s="9" t="str">
        <x:f>IF(AF195&gt;0,B195,"")</x:f>
      </x:c>
      <x:c r="AH195" s="9" t="n">
        <x:f>IF(F195&gt;=1,1,(1+tun_LowTiesShare*(AE195-1))/AE195)</x:f>
        <x:v>1</x:v>
      </x:c>
      <x:c r="AI195" s="32" t="n">
        <x:f>(Z195+tun_ElderCommons*INDEX(LM_Elder,G195)*AA195)*AH195</x:f>
        <x:v>244.400673799172</x:v>
      </x:c>
      <x:c r="AJ195" s="32" t="n">
        <x:f>H195*tun_CommonsCoef*AI195^tun_CommonsExp*INDEX(LM_Commons,G195)</x:f>
        <x:v>621.53348523929</x:v>
      </x:c>
      <x:c r="AK195" s="32" t="n">
        <x:f>H195*tun_RoleScale*Arch_Roles*(AE195*(INDEX(tun_ElderRolePerSett,G195)*tun_OutElder*INDEX(LM_Elder,G195)+INDEX(tun_ShamanPerSett,G195)*tun_OutShaman)+Z195*(INDEX(tun_PriestShare,G195)*tun_OutPriest+INDEX(tun_ScribeShare,G195)*tun_OutScribe*INDEX(LM_Scribe,G195)+INDEX(tun_ScholarShare,G195)*tun_OutScholar*INDEX(LM_Scholar,G195)+INDEX(tun_ResearcherShare,G195)*tun_OutResearcher*INDEX(LM_Researcher,G195)))</x:f>
        <x:v>103.35061390173075</x:v>
      </x:c>
      <x:c r="AL195" s="32" t="n">
        <x:f>H195*tun_RoleScale*Arch_Roles*AE195*INDEX(tun_MonasteryPerSett,G195)*tun_OutMonastery*INDEX(LM_Monastery,G195)</x:f>
        <x:v>0</x:v>
      </x:c>
      <x:c r="AM195" s="32" t="n">
        <x:f>(AJ195+AK195+AL195)/4*INDEX(LM_All,G195)*INDEX(tun_Boon,G195)*Arch_Insight</x:f>
        <x:v>218.02799642977763</x:v>
      </x:c>
      <x:c r="AN195" s="32" t="n">
        <x:f>H195*(tun_KHPerAdult*Z195+tun_KHOfCommons*AJ195/4*INDEX(LM_All,G195))*tun_KHUsable*Arch_KH</x:f>
        <x:v>41.49338299053347</x:v>
      </x:c>
      <x:c r="AO195" s="32" t="n">
        <x:f>MIN(AP194+AN195,AM195*tun_KHMaxRatio)</x:f>
        <x:v>41.49338299053347</x:v>
      </x:c>
      <x:c r="AP195" s="32" t="n">
        <x:f>AP194+AN195-AO195</x:f>
        <x:v>0</x:v>
      </x:c>
      <x:c r="AQ195" s="32" t="n">
        <x:f>AM195+AO195</x:f>
        <x:v>259.5213794203111</x:v>
      </x:c>
      <x:c r="AR195" s="10" t="n">
        <x:f>IF(H195=1,INDEX(tun_Req,G195),0)</x:f>
        <x:v>21071.475087999996</x:v>
      </x:c>
      <x:c r="AS195" s="32" t="n">
        <x:f>IF(H195=1,IF(E195=1,AS194-AR194,AS194)+AQ195,0)</x:f>
        <x:v>4533.302557713858</x:v>
      </x:c>
      <x:c r="AT195" s="11" t="n">
        <x:f>IF(AR195&gt;0,MIN(1,AS195/AR195),1)</x:f>
        <x:v>0.21513930746573742</x:v>
      </x:c>
      <x:c r="AU195" s="10" t="n">
        <x:f>AB195/INDEX(tun_RepScale,G195)</x:f>
        <x:v>196.0622182851477</x:v>
      </x:c>
      <x:c r="AV195" s="32" t="n">
        <x:f>AM195*60/tun_SeasonSeconds</x:f>
        <x:v>872.1119857191105</x:v>
      </x:c>
    </x:row>
    <x:row r="196">
      <x:c r="A196" s="8" t="n">
        <x:f>A195+1</x:f>
        <x:v>193</x:v>
      </x:c>
      <x:c r="B196" s="9" t="n">
        <x:f>A196*tun_SeasonSeconds/60</x:f>
        <x:v>48.25</x:v>
      </x:c>
      <x:c r="C196" s="9" t="n">
        <x:f>A196/4</x:f>
        <x:v>48.25</x:v>
      </x:c>
      <x:c r="D196" s="8" t="n">
        <x:f>IF(MOD(A196,4)=0,1,0)</x:f>
        <x:v>0</x:v>
      </x:c>
      <x:c r="E196" s="8" t="n">
        <x:f>IF(AND(F195&lt;=9,AS195&gt;=AR195),1,0)</x:f>
        <x:v>0</x:v>
      </x:c>
      <x:c r="F196" s="8" t="n">
        <x:f>MIN(10,F195+E196)</x:f>
        <x:v>4</x:v>
      </x:c>
      <x:c r="G196" s="8" t="n">
        <x:f>MIN(F196,9)+1</x:f>
        <x:v>5</x:v>
      </x:c>
      <x:c r="H196" s="8" t="n">
        <x:f>IF(F196&lt;=9,1,0)</x:f>
        <x:v>1</x:v>
      </x:c>
      <x:c r="I196" s="9" t="n">
        <x:f>MIN(10,F195+IF(AR195&gt;0,MIN(1,AS195/AR195),1))</x:f>
        <x:v>4.215139307465737</x:v>
      </x:c>
      <x:c r="J196" s="32" t="n">
        <x:f>INDEX(tun_FoodCap,G196)*Arch_FoodCap*EXP(tun_CapsByProject*SUMPRODUCT((Cap_Point&lt;=I196)*(Cap_Kind="Food")*Cap_Ln))</x:f>
        <x:v>196.11409090338805</x:v>
      </x:c>
      <x:c r="K196" s="32" t="n">
        <x:f>J196*MIN(1,tun_LeanBase*EXP(tun_CapsByProject*SUMPRODUCT((Cap_Point&lt;=I196)*(Cap_Kind="Lean")*Cap_Ln)))</x:f>
        <x:v>196.11409090338805</x:v>
      </x:c>
      <x:c r="L196" s="10" t="n">
        <x:f>INDEX(tun_HousingCap,G196)*EXP(tun_CapsByProject*SUMPRODUCT((Cap_Point&lt;=I196)*(Cap_Kind="Housing")*Cap_Ln))</x:f>
        <x:v>1137.2399999999998</x:v>
      </x:c>
      <x:c r="M196" s="10" t="n">
        <x:f>INDEX(tun_GroupCap,G196)*tun_CohesionFactor*EXP(tun_CapsByProject*SUMPRODUCT((Cap_Point&lt;=I196)*(Cap_Kind="Group")*Cap_Ln))</x:f>
        <x:v>10000.000000000005</x:v>
      </x:c>
      <x:c r="N196" s="32" t="n">
        <x:f>MIN(J196,L196,M196)</x:f>
        <x:v>196.11409090338805</x:v>
      </x:c>
      <x:c r="O196" s="10" t="n">
        <x:f>AE195*N196</x:f>
        <x:v>588.3422727101641</x:v>
      </x:c>
      <x:c r="P196" s="9" t="n">
        <x:f>MIN(1,(AB195/(AE195*IF(tun_GroupInCrowding=1,N196,MIN(J196,L196))))^tun_CrowdingExp)</x:f>
        <x:v>0.0876522610088051</x:v>
      </x:c>
      <x:c r="Q196" s="9" t="n">
        <x:f>IF(D196=1,INDEX(tun_WinterMult,G196),1)</x:f>
        <x:v>1</x:v>
      </x:c>
      <x:c r="R196" s="9" t="n">
        <x:f>H196*Z195*tun_WomenShare*tun_BaseFertility*INDEX(tun_FertMult,G196)*Arch_Fertility*(1-P196)</x:f>
        <x:v>9.869305213266223</x:v>
      </x:c>
      <x:c r="S196" s="9" t="n">
        <x:f>H196*Y195*INDEX(tun_MortChild,G196)/4*Q196</x:f>
        <x:v>1.6365032586248704</x:v>
      </x:c>
      <x:c r="T196" s="9" t="n">
        <x:f>H196*Z195*INDEX(tun_MortAdult,G196)*Arch_AdultMort/4*Q196</x:f>
        <x:v>0.36404987385606796</x:v>
      </x:c>
      <x:c r="U196" s="9" t="n">
        <x:f>H196*AA195*INDEX(tun_MortElder,G196)/4*Q196</x:f>
        <x:v>0.46690795009327635</x:v>
      </x:c>
      <x:c r="V196" s="9" t="n">
        <x:f>H196*MAX(0,AB195-O196)*tun_OvercapLoss</x:f>
        <x:v>0</x:v>
      </x:c>
      <x:c r="W196" s="9" t="n">
        <x:f>H196*Y195/(tun_ChildYears*4)</x:f>
        <x:v>3.8964363300592155</x:v>
      </x:c>
      <x:c r="X196" s="9" t="n">
        <x:f>H196*Z195/(tun_AdultYears*4)</x:f>
        <x:v>1.1184327921845405</x:v>
      </x:c>
      <x:c r="Y196" s="32" t="n">
        <x:f>Y195+R196-S196-W196-Y195*V196/AB195</x:f>
        <x:v>222.5368001078982</x:v>
      </x:c>
      <x:c r="Z196" s="32" t="n">
        <x:f>Z195+W196-X196-T196-Z195*V196/AB195</x:f>
        <x:v>141.09961989490162</x:v>
      </x:c>
      <x:c r="AA196" s="32" t="n">
        <x:f>AA195+X196-U196-AA195*V196/AB195</x:f>
        <x:v>35.88986069818759</x:v>
      </x:c>
      <x:c r="AB196" s="10" t="n">
        <x:f>Y196+Z196+AA196</x:f>
        <x:v>399.5262807009874</x:v>
      </x:c>
      <x:c r="AC196" s="8" t="n">
        <x:f>IF(AND(tun_WinterTrigger=1,D196=1,AB195/AE195&gt;=K196),1,0)</x:f>
        <x:v>0</x:v>
      </x:c>
      <x:c r="AD196" s="8" t="n">
        <x:f>H196*IF(AND(OR(AB195/AE195&gt;=tun_FissionTrigger*N196,AC196=1),AB195/AE195*tun_DaughterShare&gt;=tun_MinDaughter),MAX(1,ROUND(AE195*tun_FissionRate,0)),0)</x:f>
        <x:v>0</x:v>
      </x:c>
      <x:c r="AE196" s="8" t="n">
        <x:f>IF(H196=1,MAX(1,MIN(INDEX(tun_Smax,G196),AE195+AD196)),AE195)</x:f>
        <x:v>3</x:v>
      </x:c>
      <x:c r="AF196" s="8" t="n">
        <x:f>MAX(0,AE196-AE195)</x:f>
        <x:v>0</x:v>
      </x:c>
      <x:c r="AG196" s="9" t="str">
        <x:f>IF(AF196&gt;0,B196,"")</x:f>
      </x:c>
      <x:c r="AH196" s="9" t="n">
        <x:f>IF(F196&gt;=1,1,(1+tun_LowTiesShare*(AE196-1))/AE196)</x:f>
        <x:v>1</x:v>
      </x:c>
      <x:c r="AI196" s="32" t="n">
        <x:f>(Z196+tun_ElderCommons*INDEX(LM_Elder,G196)*AA196)*AH196</x:f>
        <x:v>248.7692019894644</x:v>
      </x:c>
      <x:c r="AJ196" s="32" t="n">
        <x:f>H196*tun_CommonsCoef*AI196^tun_CommonsExp*INDEX(LM_Commons,G196)</x:f>
        <x:v>630.9640468892085</x:v>
      </x:c>
      <x:c r="AK196" s="32" t="n">
        <x:f>H196*tun_RoleScale*Arch_Roles*(AE196*(INDEX(tun_ElderRolePerSett,G196)*tun_OutElder*INDEX(LM_Elder,G196)+INDEX(tun_ShamanPerSett,G196)*tun_OutShaman)+Z196*(INDEX(tun_PriestShare,G196)*tun_OutPriest+INDEX(tun_ScribeShare,G196)*tun_OutScribe*INDEX(LM_Scribe,G196)+INDEX(tun_ScholarShare,G196)*tun_OutScholar*INDEX(LM_Scholar,G196)+INDEX(tun_ResearcherShare,G196)*tun_OutResearcher*INDEX(LM_Researcher,G196)))</x:f>
        <x:v>103.89630064322374</x:v>
      </x:c>
      <x:c r="AL196" s="32" t="n">
        <x:f>H196*tun_RoleScale*Arch_Roles*AE196*INDEX(tun_MonasteryPerSett,G196)*tun_OutMonastery*INDEX(LM_Monastery,G196)</x:f>
        <x:v>0</x:v>
      </x:c>
      <x:c r="AM196" s="32" t="n">
        <x:f>(AJ196+AK196+AL196)/4*INDEX(LM_All,G196)*INDEX(tun_Boon,G196)*Arch_Insight</x:f>
        <x:v>221.0286160477865</x:v>
      </x:c>
      <x:c r="AN196" s="32" t="n">
        <x:f>H196*(tun_KHPerAdult*Z196+tun_KHOfCommons*AJ196/4*INDEX(LM_All,G196))*tun_KHUsable*Arch_KH</x:f>
        <x:v>42.122964365711105</x:v>
      </x:c>
      <x:c r="AO196" s="32" t="n">
        <x:f>MIN(AP195+AN196,AM196*tun_KHMaxRatio)</x:f>
        <x:v>42.122964365711105</x:v>
      </x:c>
      <x:c r="AP196" s="32" t="n">
        <x:f>AP195+AN196-AO196</x:f>
        <x:v>0</x:v>
      </x:c>
      <x:c r="AQ196" s="32" t="n">
        <x:f>AM196+AO196</x:f>
        <x:v>263.1515804134976</x:v>
      </x:c>
      <x:c r="AR196" s="10" t="n">
        <x:f>IF(H196=1,INDEX(tun_Req,G196),0)</x:f>
        <x:v>21071.475087999996</x:v>
      </x:c>
      <x:c r="AS196" s="32" t="n">
        <x:f>IF(H196=1,IF(E196=1,AS195-AR195,AS195)+AQ196,0)</x:f>
        <x:v>4796.454138127356</x:v>
      </x:c>
      <x:c r="AT196" s="11" t="n">
        <x:f>IF(AR196&gt;0,MIN(1,AS196/AR196),1)</x:f>
        <x:v>0.22762782947544524</x:v>
      </x:c>
      <x:c r="AU196" s="10" t="n">
        <x:f>AB196/INDEX(tun_RepScale,G196)</x:f>
        <x:v>199.7631403504937</x:v>
      </x:c>
      <x:c r="AV196" s="32" t="n">
        <x:f>AM196*60/tun_SeasonSeconds</x:f>
        <x:v>884.1144641911461</x:v>
      </x:c>
    </x:row>
    <x:row r="197">
      <x:c r="A197" s="8" t="n">
        <x:f>A196+1</x:f>
        <x:v>194</x:v>
      </x:c>
      <x:c r="B197" s="9" t="n">
        <x:f>A197*tun_SeasonSeconds/60</x:f>
        <x:v>48.5</x:v>
      </x:c>
      <x:c r="C197" s="9" t="n">
        <x:f>A197/4</x:f>
        <x:v>48.5</x:v>
      </x:c>
      <x:c r="D197" s="8" t="n">
        <x:f>IF(MOD(A197,4)=0,1,0)</x:f>
        <x:v>0</x:v>
      </x:c>
      <x:c r="E197" s="8" t="n">
        <x:f>IF(AND(F196&lt;=9,AS196&gt;=AR196),1,0)</x:f>
        <x:v>0</x:v>
      </x:c>
      <x:c r="F197" s="8" t="n">
        <x:f>MIN(10,F196+E197)</x:f>
        <x:v>4</x:v>
      </x:c>
      <x:c r="G197" s="8" t="n">
        <x:f>MIN(F197,9)+1</x:f>
        <x:v>5</x:v>
      </x:c>
      <x:c r="H197" s="8" t="n">
        <x:f>IF(F197&lt;=9,1,0)</x:f>
        <x:v>1</x:v>
      </x:c>
      <x:c r="I197" s="9" t="n">
        <x:f>MIN(10,F196+IF(AR196&gt;0,MIN(1,AS196/AR196),1))</x:f>
        <x:v>4.227627829475445</x:v>
      </x:c>
      <x:c r="J197" s="32" t="n">
        <x:f>INDEX(tun_FoodCap,G197)*Arch_FoodCap*EXP(tun_CapsByProject*SUMPRODUCT((Cap_Point&lt;=I197)*(Cap_Kind="Food")*Cap_Ln))</x:f>
        <x:v>196.11409090338805</x:v>
      </x:c>
      <x:c r="K197" s="32" t="n">
        <x:f>J197*MIN(1,tun_LeanBase*EXP(tun_CapsByProject*SUMPRODUCT((Cap_Point&lt;=I197)*(Cap_Kind="Lean")*Cap_Ln)))</x:f>
        <x:v>196.11409090338805</x:v>
      </x:c>
      <x:c r="L197" s="10" t="n">
        <x:f>INDEX(tun_HousingCap,G197)*EXP(tun_CapsByProject*SUMPRODUCT((Cap_Point&lt;=I197)*(Cap_Kind="Housing")*Cap_Ln))</x:f>
        <x:v>1137.2399999999998</x:v>
      </x:c>
      <x:c r="M197" s="10" t="n">
        <x:f>INDEX(tun_GroupCap,G197)*tun_CohesionFactor*EXP(tun_CapsByProject*SUMPRODUCT((Cap_Point&lt;=I197)*(Cap_Kind="Group")*Cap_Ln))</x:f>
        <x:v>10000.000000000005</x:v>
      </x:c>
      <x:c r="N197" s="32" t="n">
        <x:f>MIN(J197,L197,M197)</x:f>
        <x:v>196.11409090338805</x:v>
      </x:c>
      <x:c r="O197" s="10" t="n">
        <x:f>AE196*N197</x:f>
        <x:v>588.3422727101641</x:v>
      </x:c>
      <x:c r="P197" s="9" t="n">
        <x:f>MIN(1,(AB196/(AE196*IF(tun_GroupInCrowding=1,N197,MIN(J197,L197))))^tun_CrowdingExp)</x:f>
        <x:v>0.09805997793231437</x:v>
      </x:c>
      <x:c r="Q197" s="9" t="n">
        <x:f>IF(D197=1,INDEX(tun_WinterMult,G197),1)</x:f>
        <x:v>1</x:v>
      </x:c>
      <x:c r="R197" s="9" t="n">
        <x:f>H197*Z196*tun_WomenShare*tun_BaseFertility*INDEX(tun_FertMult,G197)*Arch_Fertility*(1-P197)</x:f>
        <x:v>9.92654475397647</x:v>
      </x:c>
      <x:c r="S197" s="9" t="n">
        <x:f>H197*Y196*INDEX(tun_MortChild,G197)/4*Q197</x:f>
        <x:v>1.6690260008092364</x:v>
      </x:c>
      <x:c r="T197" s="9" t="n">
        <x:f>H197*Z196*INDEX(tun_MortAdult,G197)*Arch_AdultMort/4*Q197</x:f>
        <x:v>0.3703865022241168</x:v>
      </x:c>
      <x:c r="U197" s="9" t="n">
        <x:f>H197*AA196*INDEX(tun_MortElder,G197)/4*Q197</x:f>
        <x:v>0.4755406542509856</x:v>
      </x:c>
      <x:c r="V197" s="9" t="n">
        <x:f>H197*MAX(0,AB196-O197)*tun_OvercapLoss</x:f>
        <x:v>0</x:v>
      </x:c>
      <x:c r="W197" s="9" t="n">
        <x:f>H197*Y196/(tun_ChildYears*4)</x:f>
        <x:v>3.973871430498182</x:v>
      </x:c>
      <x:c r="X197" s="9" t="n">
        <x:f>H197*Z196/(tun_AdultYears*4)</x:f>
        <x:v>1.137900160442755</x:v>
      </x:c>
      <x:c r="Y197" s="32" t="n">
        <x:f>Y196+R197-S197-W197-Y196*V197/AB196</x:f>
        <x:v>226.82044743056724</x:v>
      </x:c>
      <x:c r="Z197" s="32" t="n">
        <x:f>Z196+W197-X197-T197-Z196*V197/AB196</x:f>
        <x:v>143.56520466273292</x:v>
      </x:c>
      <x:c r="AA197" s="32" t="n">
        <x:f>AA196+X197-U197-AA196*V197/AB196</x:f>
        <x:v>36.55222020437936</x:v>
      </x:c>
      <x:c r="AB197" s="10" t="n">
        <x:f>Y197+Z197+AA197</x:f>
        <x:v>406.9378722976795</x:v>
      </x:c>
      <x:c r="AC197" s="8" t="n">
        <x:f>IF(AND(tun_WinterTrigger=1,D197=1,AB196/AE196&gt;=K197),1,0)</x:f>
        <x:v>0</x:v>
      </x:c>
      <x:c r="AD197" s="8" t="n">
        <x:f>H197*IF(AND(OR(AB196/AE196&gt;=tun_FissionTrigger*N197,AC197=1),AB196/AE196*tun_DaughterShare&gt;=tun_MinDaughter),MAX(1,ROUND(AE196*tun_FissionRate,0)),0)</x:f>
        <x:v>0</x:v>
      </x:c>
      <x:c r="AE197" s="8" t="n">
        <x:f>IF(H197=1,MAX(1,MIN(INDEX(tun_Smax,G197),AE196+AD197)),AE196)</x:f>
        <x:v>3</x:v>
      </x:c>
      <x:c r="AF197" s="8" t="n">
        <x:f>MAX(0,AE197-AE196)</x:f>
        <x:v>0</x:v>
      </x:c>
      <x:c r="AG197" s="9" t="str">
        <x:f>IF(AF197&gt;0,B197,"")</x:f>
      </x:c>
      <x:c r="AH197" s="9" t="n">
        <x:f>IF(F197&gt;=1,1,(1+tun_LowTiesShare*(AE197-1))/AE197)</x:f>
        <x:v>1</x:v>
      </x:c>
      <x:c r="AI197" s="32" t="n">
        <x:f>(Z197+tun_ElderCommons*INDEX(LM_Elder,G197)*AA197)*AH197</x:f>
        <x:v>253.221865275871</x:v>
      </x:c>
      <x:c r="AJ197" s="32" t="n">
        <x:f>H197*tun_CommonsCoef*AI197^tun_CommonsExp*INDEX(LM_Commons,G197)</x:f>
        <x:v>640.5507075748311</x:v>
      </x:c>
      <x:c r="AK197" s="32" t="n">
        <x:f>H197*tun_RoleScale*Arch_Roles*(AE197*(INDEX(tun_ElderRolePerSett,G197)*tun_OutElder*INDEX(LM_Elder,G197)+INDEX(tun_ShamanPerSett,G197)*tun_OutShaman)+Z197*(INDEX(tun_PriestShare,G197)*tun_OutPriest+INDEX(tun_ScribeShare,G197)*tun_OutScribe*INDEX(LM_Scribe,G197)+INDEX(tun_ScholarShare,G197)*tun_OutScholar*INDEX(LM_Scholar,G197)+INDEX(tun_ResearcherShare,G197)*tun_OutResearcher*INDEX(LM_Researcher,G197)))</x:f>
        <x:v>104.45365886342786</x:v>
      </x:c>
      <x:c r="AL197" s="32" t="n">
        <x:f>H197*tun_RoleScale*Arch_Roles*AE197*INDEX(tun_MonasteryPerSett,G197)*tun_OutMonastery*INDEX(LM_Monastery,G197)</x:f>
        <x:v>0</x:v>
      </x:c>
      <x:c r="AM197" s="32" t="n">
        <x:f>(AJ197+AK197+AL197)/4*INDEX(LM_All,G197)*INDEX(tun_Boon,G197)*Arch_Insight</x:f>
        <x:v>224.07969706943396</x:v>
      </x:c>
      <x:c r="AN197" s="32" t="n">
        <x:f>H197*(tun_KHPerAdult*Z197+tun_KHOfCommons*AJ197/4*INDEX(LM_All,G197))*tun_KHUsable*Arch_KH</x:f>
        <x:v>42.76296686416971</x:v>
      </x:c>
      <x:c r="AO197" s="32" t="n">
        <x:f>MIN(AP196+AN197,AM197*tun_KHMaxRatio)</x:f>
        <x:v>42.76296686416971</x:v>
      </x:c>
      <x:c r="AP197" s="32" t="n">
        <x:f>AP196+AN197-AO197</x:f>
        <x:v>0</x:v>
      </x:c>
      <x:c r="AQ197" s="32" t="n">
        <x:f>AM197+AO197</x:f>
        <x:v>266.84266393360366</x:v>
      </x:c>
      <x:c r="AR197" s="10" t="n">
        <x:f>IF(H197=1,INDEX(tun_Req,G197),0)</x:f>
        <x:v>21071.475087999996</x:v>
      </x:c>
      <x:c r="AS197" s="32" t="n">
        <x:f>IF(H197=1,IF(E197=1,AS196-AR196,AS196)+AQ197,0)</x:f>
        <x:v>5063.29680206096</x:v>
      </x:c>
      <x:c r="AT197" s="11" t="n">
        <x:f>IF(AR197&gt;0,MIN(1,AS197/AR197),1)</x:f>
        <x:v>0.24029152116381539</x:v>
      </x:c>
      <x:c r="AU197" s="10" t="n">
        <x:f>AB197/INDEX(tun_RepScale,G197)</x:f>
        <x:v>203.46893614883976</x:v>
      </x:c>
      <x:c r="AV197" s="32" t="n">
        <x:f>AM197*60/tun_SeasonSeconds</x:f>
        <x:v>896.3187882777358</x:v>
      </x:c>
    </x:row>
    <x:row r="198">
      <x:c r="A198" s="8" t="n">
        <x:f>A197+1</x:f>
        <x:v>195</x:v>
      </x:c>
      <x:c r="B198" s="9" t="n">
        <x:f>A198*tun_SeasonSeconds/60</x:f>
        <x:v>48.75</x:v>
      </x:c>
      <x:c r="C198" s="9" t="n">
        <x:f>A198/4</x:f>
        <x:v>48.75</x:v>
      </x:c>
      <x:c r="D198" s="8" t="n">
        <x:f>IF(MOD(A198,4)=0,1,0)</x:f>
        <x:v>0</x:v>
      </x:c>
      <x:c r="E198" s="8" t="n">
        <x:f>IF(AND(F197&lt;=9,AS197&gt;=AR197),1,0)</x:f>
        <x:v>0</x:v>
      </x:c>
      <x:c r="F198" s="8" t="n">
        <x:f>MIN(10,F197+E198)</x:f>
        <x:v>4</x:v>
      </x:c>
      <x:c r="G198" s="8" t="n">
        <x:f>MIN(F198,9)+1</x:f>
        <x:v>5</x:v>
      </x:c>
      <x:c r="H198" s="8" t="n">
        <x:f>IF(F198&lt;=9,1,0)</x:f>
        <x:v>1</x:v>
      </x:c>
      <x:c r="I198" s="9" t="n">
        <x:f>MIN(10,F197+IF(AR197&gt;0,MIN(1,AS197/AR197),1))</x:f>
        <x:v>4.240291521163815</x:v>
      </x:c>
      <x:c r="J198" s="32" t="n">
        <x:f>INDEX(tun_FoodCap,G198)*Arch_FoodCap*EXP(tun_CapsByProject*SUMPRODUCT((Cap_Point&lt;=I198)*(Cap_Kind="Food")*Cap_Ln))</x:f>
        <x:v>196.11409090338805</x:v>
      </x:c>
      <x:c r="K198" s="32" t="n">
        <x:f>J198*MIN(1,tun_LeanBase*EXP(tun_CapsByProject*SUMPRODUCT((Cap_Point&lt;=I198)*(Cap_Kind="Lean")*Cap_Ln)))</x:f>
        <x:v>196.11409090338805</x:v>
      </x:c>
      <x:c r="L198" s="10" t="n">
        <x:f>INDEX(tun_HousingCap,G198)*EXP(tun_CapsByProject*SUMPRODUCT((Cap_Point&lt;=I198)*(Cap_Kind="Housing")*Cap_Ln))</x:f>
        <x:v>1137.2399999999998</x:v>
      </x:c>
      <x:c r="M198" s="10" t="n">
        <x:f>INDEX(tun_GroupCap,G198)*tun_CohesionFactor*EXP(tun_CapsByProject*SUMPRODUCT((Cap_Point&lt;=I198)*(Cap_Kind="Group")*Cap_Ln))</x:f>
        <x:v>10000.000000000005</x:v>
      </x:c>
      <x:c r="N198" s="32" t="n">
        <x:f>MIN(J198,L198,M198)</x:f>
        <x:v>196.11409090338805</x:v>
      </x:c>
      <x:c r="O198" s="10" t="n">
        <x:f>AE197*N198</x:f>
        <x:v>588.3422727101641</x:v>
      </x:c>
      <x:c r="P198" s="9" t="n">
        <x:f>MIN(1,(AB197/(AE197*IF(tun_GroupInCrowding=1,N198,MIN(J198,L198))))^tun_CrowdingExp)</x:f>
        <x:v>0.10949349972697847</x:v>
      </x:c>
      <x:c r="Q198" s="9" t="n">
        <x:f>IF(D198=1,INDEX(tun_WinterMult,G198),1)</x:f>
        <x:v>1</x:v>
      </x:c>
      <x:c r="R198" s="9" t="n">
        <x:f>H198*Z197*tun_WomenShare*tun_BaseFertility*INDEX(tun_FertMult,G198)*Arch_Fertility*(1-P198)</x:f>
        <x:v>9.971968341284848</x:v>
      </x:c>
      <x:c r="S198" s="9" t="n">
        <x:f>H198*Y197*INDEX(tun_MortChild,G198)/4*Q198</x:f>
        <x:v>1.7011533557292542</x:v>
      </x:c>
      <x:c r="T198" s="9" t="n">
        <x:f>H198*Z197*INDEX(tun_MortAdult,G198)*Arch_AdultMort/4*Q198</x:f>
        <x:v>0.37685866223967396</x:v>
      </x:c>
      <x:c r="U198" s="9" t="n">
        <x:f>H198*AA197*INDEX(tun_MortElder,G198)/4*Q198</x:f>
        <x:v>0.4843169177080265</x:v>
      </x:c>
      <x:c r="V198" s="9" t="n">
        <x:f>H198*MAX(0,AB197-O198)*tun_OvercapLoss</x:f>
        <x:v>0</x:v>
      </x:c>
      <x:c r="W198" s="9" t="n">
        <x:f>H198*Y197/(tun_ChildYears*4)</x:f>
        <x:v>4.050365132688701</x:v>
      </x:c>
      <x:c r="X198" s="9" t="n">
        <x:f>H198*Z197/(tun_AdultYears*4)</x:f>
        <x:v>1.157783908570427</x:v>
      </x:c>
      <x:c r="Y198" s="32" t="n">
        <x:f>Y197+R198-S198-W198-Y197*V198/AB197</x:f>
        <x:v>231.04089728343413</x:v>
      </x:c>
      <x:c r="Z198" s="32" t="n">
        <x:f>Z197+W198-X198-T198-Z197*V198/AB197</x:f>
        <x:v>146.08092722461154</x:v>
      </x:c>
      <x:c r="AA198" s="32" t="n">
        <x:f>AA197+X198-U198-AA197*V198/AB197</x:f>
        <x:v>37.22568719524176</x:v>
      </x:c>
      <x:c r="AB198" s="10" t="n">
        <x:f>Y198+Z198+AA198</x:f>
        <x:v>414.3475117032874</x:v>
      </x:c>
      <x:c r="AC198" s="8" t="n">
        <x:f>IF(AND(tun_WinterTrigger=1,D198=1,AB197/AE197&gt;=K198),1,0)</x:f>
        <x:v>0</x:v>
      </x:c>
      <x:c r="AD198" s="8" t="n">
        <x:f>H198*IF(AND(OR(AB197/AE197&gt;=tun_FissionTrigger*N198,AC198=1),AB197/AE197*tun_DaughterShare&gt;=tun_MinDaughter),MAX(1,ROUND(AE197*tun_FissionRate,0)),0)</x:f>
        <x:v>0</x:v>
      </x:c>
      <x:c r="AE198" s="8" t="n">
        <x:f>IF(H198=1,MAX(1,MIN(INDEX(tun_Smax,G198),AE197+AD198)),AE197)</x:f>
        <x:v>3</x:v>
      </x:c>
      <x:c r="AF198" s="8" t="n">
        <x:f>MAX(0,AE198-AE197)</x:f>
        <x:v>0</x:v>
      </x:c>
      <x:c r="AG198" s="9" t="str">
        <x:f>IF(AF198&gt;0,B198,"")</x:f>
      </x:c>
      <x:c r="AH198" s="9" t="n">
        <x:f>IF(F198&gt;=1,1,(1+tun_LowTiesShare*(AE198-1))/AE198)</x:f>
        <x:v>1</x:v>
      </x:c>
      <x:c r="AI198" s="32" t="n">
        <x:f>(Z198+tun_ElderCommons*INDEX(LM_Elder,G198)*AA198)*AH198</x:f>
        <x:v>257.7579888103368</x:v>
      </x:c>
      <x:c r="AJ198" s="32" t="n">
        <x:f>H198*tun_CommonsCoef*AI198^tun_CommonsExp*INDEX(LM_Commons,G198)</x:f>
        <x:v>650.2910944768547</x:v>
      </x:c>
      <x:c r="AK198" s="32" t="n">
        <x:f>H198*tun_RoleScale*Arch_Roles*(AE198*(INDEX(tun_ElderRolePerSett,G198)*tun_OutElder*INDEX(LM_Elder,G198)+INDEX(tun_ShamanPerSett,G198)*tun_OutShaman)+Z198*(INDEX(tun_PriestShare,G198)*tun_OutPriest+INDEX(tun_ScribeShare,G198)*tun_OutScribe*INDEX(LM_Scribe,G198)+INDEX(tun_ScholarShare,G198)*tun_OutScholar*INDEX(LM_Scholar,G198)+INDEX(tun_ResearcherShare,G198)*tun_OutResearcher*INDEX(LM_Researcher,G198)))</x:f>
        <x:v>105.02235099192822</x:v>
      </x:c>
      <x:c r="AL198" s="32" t="n">
        <x:f>H198*tun_RoleScale*Arch_Roles*AE198*INDEX(tun_MonasteryPerSett,G198)*tun_OutMonastery*INDEX(LM_Monastery,G198)</x:f>
        <x:v>0</x:v>
      </x:c>
      <x:c r="AM198" s="32" t="n">
        <x:f>(AJ198+AK198+AL198)/4*INDEX(LM_All,G198)*INDEX(tun_Boon,G198)*Arch_Insight</x:f>
        <x:v>227.18042427358262</x:v>
      </x:c>
      <x:c r="AN198" s="32" t="n">
        <x:f>H198*(tun_KHPerAdult*Z198+tun_KHOfCommons*AJ198/4*INDEX(LM_All,G198))*tun_KHUsable*Arch_KH</x:f>
        <x:v>43.41323207722744</x:v>
      </x:c>
      <x:c r="AO198" s="32" t="n">
        <x:f>MIN(AP197+AN198,AM198*tun_KHMaxRatio)</x:f>
        <x:v>43.41323207722744</x:v>
      </x:c>
      <x:c r="AP198" s="32" t="n">
        <x:f>AP197+AN198-AO198</x:f>
        <x:v>0</x:v>
      </x:c>
      <x:c r="AQ198" s="32" t="n">
        <x:f>AM198+AO198</x:f>
        <x:v>270.5936563508101</x:v>
      </x:c>
      <x:c r="AR198" s="10" t="n">
        <x:f>IF(H198=1,INDEX(tun_Req,G198),0)</x:f>
        <x:v>21071.475087999996</x:v>
      </x:c>
      <x:c r="AS198" s="32" t="n">
        <x:f>IF(H198=1,IF(E198=1,AS197-AR197,AS197)+AQ198,0)</x:f>
        <x:v>5333.89045841177</x:v>
      </x:c>
      <x:c r="AT198" s="11" t="n">
        <x:f>IF(AR198&gt;0,MIN(1,AS198/AR198),1)</x:f>
        <x:v>0.25313322565867113</x:v>
      </x:c>
      <x:c r="AU198" s="10" t="n">
        <x:f>AB198/INDEX(tun_RepScale,G198)</x:f>
        <x:v>207.1737558516437</x:v>
      </x:c>
      <x:c r="AV198" s="32" t="n">
        <x:f>AM198*60/tun_SeasonSeconds</x:f>
        <x:v>908.7216970943305</x:v>
      </x:c>
    </x:row>
    <x:row r="199">
      <x:c r="A199" s="8" t="n">
        <x:f>A198+1</x:f>
        <x:v>196</x:v>
      </x:c>
      <x:c r="B199" s="9" t="n">
        <x:f>A199*tun_SeasonSeconds/60</x:f>
        <x:v>49</x:v>
      </x:c>
      <x:c r="C199" s="9" t="n">
        <x:f>A199/4</x:f>
        <x:v>49</x:v>
      </x:c>
      <x:c r="D199" s="8" t="n">
        <x:f>IF(MOD(A199,4)=0,1,0)</x:f>
        <x:v>1</x:v>
      </x:c>
      <x:c r="E199" s="8" t="n">
        <x:f>IF(AND(F198&lt;=9,AS198&gt;=AR198),1,0)</x:f>
        <x:v>0</x:v>
      </x:c>
      <x:c r="F199" s="8" t="n">
        <x:f>MIN(10,F198+E199)</x:f>
        <x:v>4</x:v>
      </x:c>
      <x:c r="G199" s="8" t="n">
        <x:f>MIN(F199,9)+1</x:f>
        <x:v>5</x:v>
      </x:c>
      <x:c r="H199" s="8" t="n">
        <x:f>IF(F199&lt;=9,1,0)</x:f>
        <x:v>1</x:v>
      </x:c>
      <x:c r="I199" s="9" t="n">
        <x:f>MIN(10,F198+IF(AR198&gt;0,MIN(1,AS198/AR198),1))</x:f>
        <x:v>4.253133225658671</x:v>
      </x:c>
      <x:c r="J199" s="32" t="n">
        <x:f>INDEX(tun_FoodCap,G199)*Arch_FoodCap*EXP(tun_CapsByProject*SUMPRODUCT((Cap_Point&lt;=I199)*(Cap_Kind="Food")*Cap_Ln))</x:f>
        <x:v>196.11409090338805</x:v>
      </x:c>
      <x:c r="K199" s="32" t="n">
        <x:f>J199*MIN(1,tun_LeanBase*EXP(tun_CapsByProject*SUMPRODUCT((Cap_Point&lt;=I199)*(Cap_Kind="Lean")*Cap_Ln)))</x:f>
        <x:v>196.11409090338805</x:v>
      </x:c>
      <x:c r="L199" s="10" t="n">
        <x:f>INDEX(tun_HousingCap,G199)*EXP(tun_CapsByProject*SUMPRODUCT((Cap_Point&lt;=I199)*(Cap_Kind="Housing")*Cap_Ln))</x:f>
        <x:v>1137.2399999999998</x:v>
      </x:c>
      <x:c r="M199" s="10" t="n">
        <x:f>INDEX(tun_GroupCap,G199)*tun_CohesionFactor*EXP(tun_CapsByProject*SUMPRODUCT((Cap_Point&lt;=I199)*(Cap_Kind="Group")*Cap_Ln))</x:f>
        <x:v>10000.000000000005</x:v>
      </x:c>
      <x:c r="N199" s="32" t="n">
        <x:f>MIN(J199,L199,M199)</x:f>
        <x:v>196.11409090338805</x:v>
      </x:c>
      <x:c r="O199" s="10" t="n">
        <x:f>AE198*N199</x:f>
        <x:v>588.3422727101641</x:v>
      </x:c>
      <x:c r="P199" s="9" t="n">
        <x:f>MIN(1,(AB198/(AE198*IF(tun_GroupInCrowding=1,N199,MIN(J199,L199))))^tun_CrowdingExp)</x:f>
        <x:v>0.12201355692337135</x:v>
      </x:c>
      <x:c r="Q199" s="9" t="n">
        <x:f>IF(D199=1,INDEX(tun_WinterMult,G199),1)</x:f>
        <x:v>1.2</x:v>
      </x:c>
      <x:c r="R199" s="9" t="n">
        <x:f>H199*Z198*tun_WomenShare*tun_BaseFertility*INDEX(tun_FertMult,G199)*Arch_Fertility*(1-P199)</x:f>
        <x:v>10.004051748231259</x:v>
      </x:c>
      <x:c r="S199" s="9" t="n">
        <x:f>H199*Y198*INDEX(tun_MortChild,G199)/4*Q199</x:f>
        <x:v>2.079368075550907</x:v>
      </x:c>
      <x:c r="T199" s="9" t="n">
        <x:f>H199*Z198*INDEX(tun_MortAdult,G199)*Arch_AdultMort/4*Q199</x:f>
        <x:v>0.4601549207575264</x:v>
      </x:c>
      <x:c r="U199" s="9" t="n">
        <x:f>H199*AA198*INDEX(tun_MortElder,G199)/4*Q199</x:f>
        <x:v>0.5918884264043439</x:v>
      </x:c>
      <x:c r="V199" s="9" t="n">
        <x:f>H199*MAX(0,AB198-O199)*tun_OvercapLoss</x:f>
        <x:v>0</x:v>
      </x:c>
      <x:c r="W199" s="9" t="n">
        <x:f>H199*Y198/(tun_ChildYears*4)</x:f>
        <x:v>4.125730308632752</x:v>
      </x:c>
      <x:c r="X199" s="9" t="n">
        <x:f>H199*Z198/(tun_AdultYears*4)</x:f>
        <x:v>1.1780719937468673</x:v>
      </x:c>
      <x:c r="Y199" s="32" t="n">
        <x:f>Y198+R199-S199-W199-Y198*V199/AB198</x:f>
        <x:v>234.83985064748174</x:v>
      </x:c>
      <x:c r="Z199" s="32" t="n">
        <x:f>Z198+W199-X199-T199-Z198*V199/AB198</x:f>
        <x:v>148.56843061873988</x:v>
      </x:c>
      <x:c r="AA199" s="32" t="n">
        <x:f>AA198+X199-U199-AA198*V199/AB198</x:f>
        <x:v>37.811870762584284</x:v>
      </x:c>
      <x:c r="AB199" s="10" t="n">
        <x:f>Y199+Z199+AA199</x:f>
        <x:v>421.2201520288059</x:v>
      </x:c>
      <x:c r="AC199" s="8" t="n">
        <x:f>IF(AND(tun_WinterTrigger=1,D199=1,AB198/AE198&gt;=K199),1,0)</x:f>
        <x:v>0</x:v>
      </x:c>
      <x:c r="AD199" s="8" t="n">
        <x:f>H199*IF(AND(OR(AB198/AE198&gt;=tun_FissionTrigger*N199,AC199=1),AB198/AE198*tun_DaughterShare&gt;=tun_MinDaughter),MAX(1,ROUND(AE198*tun_FissionRate,0)),0)</x:f>
        <x:v>0</x:v>
      </x:c>
      <x:c r="AE199" s="8" t="n">
        <x:f>IF(H199=1,MAX(1,MIN(INDEX(tun_Smax,G199),AE198+AD199)),AE198)</x:f>
        <x:v>3</x:v>
      </x:c>
      <x:c r="AF199" s="8" t="n">
        <x:f>MAX(0,AE199-AE198)</x:f>
        <x:v>0</x:v>
      </x:c>
      <x:c r="AG199" s="9" t="str">
        <x:f>IF(AF199&gt;0,B199,"")</x:f>
      </x:c>
      <x:c r="AH199" s="9" t="n">
        <x:f>IF(F199&gt;=1,1,(1+tun_LowTiesShare*(AE199-1))/AE199)</x:f>
        <x:v>1</x:v>
      </x:c>
      <x:c r="AI199" s="32" t="n">
        <x:f>(Z199+tun_ElderCommons*INDEX(LM_Elder,G199)*AA199)*AH199</x:f>
        <x:v>262.0040429064927</x:v>
      </x:c>
      <x:c r="AJ199" s="32" t="n">
        <x:f>H199*tun_CommonsCoef*AI199^tun_CommonsExp*INDEX(LM_Commons,G199)</x:f>
        <x:v>659.3853382380071</x:v>
      </x:c>
      <x:c r="AK199" s="32" t="n">
        <x:f>H199*tun_RoleScale*Arch_Roles*(AE199*(INDEX(tun_ElderRolePerSett,G199)*tun_OutElder*INDEX(LM_Elder,G199)+INDEX(tun_ShamanPerSett,G199)*tun_OutShaman)+Z199*(INDEX(tun_PriestShare,G199)*tun_OutPriest+INDEX(tun_ScribeShare,G199)*tun_OutScribe*INDEX(LM_Scribe,G199)+INDEX(tun_ScholarShare,G199)*tun_OutScholar*INDEX(LM_Scholar,G199)+INDEX(tun_ResearcherShare,G199)*tun_OutResearcher*INDEX(LM_Researcher,G199)))</x:f>
        <x:v>105.58466403124933</x:v>
      </x:c>
      <x:c r="AL199" s="32" t="n">
        <x:f>H199*tun_RoleScale*Arch_Roles*AE199*INDEX(tun_MonasteryPerSett,G199)*tun_OutMonastery*INDEX(LM_Monastery,G199)</x:f>
        <x:v>0</x:v>
      </x:c>
      <x:c r="AM199" s="32" t="n">
        <x:f>(AJ199+AK199+AL199)/4*INDEX(LM_All,G199)*INDEX(tun_Boon,G199)*Arch_Insight</x:f>
        <x:v>230.08488822045695</x:v>
      </x:c>
      <x:c r="AN199" s="32" t="n">
        <x:f>H199*(tun_KHPerAdult*Z199+tun_KHOfCommons*AJ199/4*INDEX(LM_All,G199))*tun_KHUsable*Arch_KH</x:f>
        <x:v>44.020360974306065</x:v>
      </x:c>
      <x:c r="AO199" s="32" t="n">
        <x:f>MIN(AP198+AN199,AM199*tun_KHMaxRatio)</x:f>
        <x:v>44.020360974306065</x:v>
      </x:c>
      <x:c r="AP199" s="32" t="n">
        <x:f>AP198+AN199-AO199</x:f>
        <x:v>0</x:v>
      </x:c>
      <x:c r="AQ199" s="32" t="n">
        <x:f>AM199+AO199</x:f>
        <x:v>274.105249194763</x:v>
      </x:c>
      <x:c r="AR199" s="10" t="n">
        <x:f>IF(H199=1,INDEX(tun_Req,G199),0)</x:f>
        <x:v>21071.475087999996</x:v>
      </x:c>
      <x:c r="AS199" s="32" t="n">
        <x:f>IF(H199=1,IF(E199=1,AS198-AR198,AS198)+AQ199,0)</x:f>
        <x:v>5607.995707606533</x:v>
      </x:c>
      <x:c r="AT199" s="11" t="n">
        <x:f>IF(AR199&gt;0,MIN(1,AS199/AR199),1)</x:f>
        <x:v>0.2661415816494135</x:v>
      </x:c>
      <x:c r="AU199" s="10" t="n">
        <x:f>AB199/INDEX(tun_RepScale,G199)</x:f>
        <x:v>210.61007601440295</x:v>
      </x:c>
      <x:c r="AV199" s="32" t="n">
        <x:f>AM199*60/tun_SeasonSeconds</x:f>
        <x:v>920.3395528818278</x:v>
      </x:c>
    </x:row>
    <x:row r="200">
      <x:c r="A200" s="8" t="n">
        <x:f>A199+1</x:f>
        <x:v>197</x:v>
      </x:c>
      <x:c r="B200" s="9" t="n">
        <x:f>A200*tun_SeasonSeconds/60</x:f>
        <x:v>49.25</x:v>
      </x:c>
      <x:c r="C200" s="9" t="n">
        <x:f>A200/4</x:f>
        <x:v>49.25</x:v>
      </x:c>
      <x:c r="D200" s="8" t="n">
        <x:f>IF(MOD(A200,4)=0,1,0)</x:f>
        <x:v>0</x:v>
      </x:c>
      <x:c r="E200" s="8" t="n">
        <x:f>IF(AND(F199&lt;=9,AS199&gt;=AR199),1,0)</x:f>
        <x:v>0</x:v>
      </x:c>
      <x:c r="F200" s="8" t="n">
        <x:f>MIN(10,F199+E200)</x:f>
        <x:v>4</x:v>
      </x:c>
      <x:c r="G200" s="8" t="n">
        <x:f>MIN(F200,9)+1</x:f>
        <x:v>5</x:v>
      </x:c>
      <x:c r="H200" s="8" t="n">
        <x:f>IF(F200&lt;=9,1,0)</x:f>
        <x:v>1</x:v>
      </x:c>
      <x:c r="I200" s="9" t="n">
        <x:f>MIN(10,F199+IF(AR199&gt;0,MIN(1,AS199/AR199),1))</x:f>
        <x:v>4.266141581649413</x:v>
      </x:c>
      <x:c r="J200" s="32" t="n">
        <x:f>INDEX(tun_FoodCap,G200)*Arch_FoodCap*EXP(tun_CapsByProject*SUMPRODUCT((Cap_Point&lt;=I200)*(Cap_Kind="Food")*Cap_Ln))</x:f>
        <x:v>196.11409090338805</x:v>
      </x:c>
      <x:c r="K200" s="32" t="n">
        <x:f>J200*MIN(1,tun_LeanBase*EXP(tun_CapsByProject*SUMPRODUCT((Cap_Point&lt;=I200)*(Cap_Kind="Lean")*Cap_Ln)))</x:f>
        <x:v>196.11409090338805</x:v>
      </x:c>
      <x:c r="L200" s="10" t="n">
        <x:f>INDEX(tun_HousingCap,G200)*EXP(tun_CapsByProject*SUMPRODUCT((Cap_Point&lt;=I200)*(Cap_Kind="Housing")*Cap_Ln))</x:f>
        <x:v>1137.2399999999998</x:v>
      </x:c>
      <x:c r="M200" s="10" t="n">
        <x:f>INDEX(tun_GroupCap,G200)*tun_CohesionFactor*EXP(tun_CapsByProject*SUMPRODUCT((Cap_Point&lt;=I200)*(Cap_Kind="Group")*Cap_Ln))</x:f>
        <x:v>10000.000000000005</x:v>
      </x:c>
      <x:c r="N200" s="32" t="n">
        <x:f>MIN(J200,L200,M200)</x:f>
        <x:v>196.11409090338805</x:v>
      </x:c>
      <x:c r="O200" s="10" t="n">
        <x:f>AE199*N200</x:f>
        <x:v>588.3422727101641</x:v>
      </x:c>
      <x:c r="P200" s="9" t="n">
        <x:f>MIN(1,(AB199/(AE199*IF(tun_GroupInCrowding=1,N200,MIN(J200,L200))))^tun_CrowdingExp)</x:f>
        <x:v>0.13467113503008776</x:v>
      </x:c>
      <x:c r="Q200" s="9" t="n">
        <x:f>IF(D200=1,INDEX(tun_WinterMult,G200),1)</x:f>
        <x:v>1</x:v>
      </x:c>
      <x:c r="R200" s="9" t="n">
        <x:f>H200*Z199*tun_WomenShare*tun_BaseFertility*INDEX(tun_FertMult,G200)*Arch_Fertility*(1-P200)</x:f>
        <x:v>10.027723012138676</x:v>
      </x:c>
      <x:c r="S200" s="9" t="n">
        <x:f>H200*Y199*INDEX(tun_MortChild,G200)/4*Q200</x:f>
        <x:v>1.7612988798561129</x:v>
      </x:c>
      <x:c r="T200" s="9" t="n">
        <x:f>H200*Z199*INDEX(tun_MortAdult,G200)*Arch_AdultMort/4*Q200</x:f>
        <x:v>0.3899921303741922</x:v>
      </x:c>
      <x:c r="U200" s="9" t="n">
        <x:f>H200*AA199*INDEX(tun_MortElder,G200)/4*Q200</x:f>
        <x:v>0.5010072876042417</x:v>
      </x:c>
      <x:c r="V200" s="9" t="n">
        <x:f>H200*MAX(0,AB199-O200)*tun_OvercapLoss</x:f>
        <x:v>0</x:v>
      </x:c>
      <x:c r="W200" s="9" t="n">
        <x:f>H200*Y199/(tun_ChildYears*4)</x:f>
        <x:v>4.193568761562174</x:v>
      </x:c>
      <x:c r="X200" s="9" t="n">
        <x:f>H200*Z199/(tun_AdultYears*4)</x:f>
        <x:v>1.1981325049898377</x:v>
      </x:c>
      <x:c r="Y200" s="32" t="n">
        <x:f>Y199+R200-S200-W200-Y199*V200/AB199</x:f>
        <x:v>238.91270601820213</x:v>
      </x:c>
      <x:c r="Z200" s="32" t="n">
        <x:f>Z199+W200-X200-T200-Z199*V200/AB199</x:f>
        <x:v>151.17387474493802</x:v>
      </x:c>
      <x:c r="AA200" s="32" t="n">
        <x:f>AA199+X200-U200-AA199*V200/AB199</x:f>
        <x:v>38.50899597996988</x:v>
      </x:c>
      <x:c r="AB200" s="10" t="n">
        <x:f>Y200+Z200+AA200</x:f>
        <x:v>428.59557674311003</x:v>
      </x:c>
      <x:c r="AC200" s="8" t="n">
        <x:f>IF(AND(tun_WinterTrigger=1,D200=1,AB199/AE199&gt;=K200),1,0)</x:f>
        <x:v>0</x:v>
      </x:c>
      <x:c r="AD200" s="8" t="n">
        <x:f>H200*IF(AND(OR(AB199/AE199&gt;=tun_FissionTrigger*N200,AC200=1),AB199/AE199*tun_DaughterShare&gt;=tun_MinDaughter),MAX(1,ROUND(AE199*tun_FissionRate,0)),0)</x:f>
        <x:v>0</x:v>
      </x:c>
      <x:c r="AE200" s="8" t="n">
        <x:f>IF(H200=1,MAX(1,MIN(INDEX(tun_Smax,G200),AE199+AD200)),AE199)</x:f>
        <x:v>3</x:v>
      </x:c>
      <x:c r="AF200" s="8" t="n">
        <x:f>MAX(0,AE200-AE199)</x:f>
        <x:v>0</x:v>
      </x:c>
      <x:c r="AG200" s="9" t="str">
        <x:f>IF(AF200&gt;0,B200,"")</x:f>
      </x:c>
      <x:c r="AH200" s="9" t="n">
        <x:f>IF(F200&gt;=1,1,(1+tun_LowTiesShare*(AE200-1))/AE200)</x:f>
        <x:v>1</x:v>
      </x:c>
      <x:c r="AI200" s="32" t="n">
        <x:f>(Z200+tun_ElderCommons*INDEX(LM_Elder,G200)*AA200)*AH200</x:f>
        <x:v>266.70086268484766</x:v>
      </x:c>
      <x:c r="AJ200" s="32" t="n">
        <x:f>H200*tun_CommonsCoef*AI200^tun_CommonsExp*INDEX(LM_Commons,G200)</x:f>
        <x:v>669.419331334715</x:v>
      </x:c>
      <x:c r="AK200" s="32" t="n">
        <x:f>H200*tun_RoleScale*Arch_Roles*(AE200*(INDEX(tun_ElderRolePerSett,G200)*tun_OutElder*INDEX(LM_Elder,G200)+INDEX(tun_ShamanPerSett,G200)*tun_OutShaman)+Z200*(INDEX(tun_PriestShare,G200)*tun_OutPriest+INDEX(tun_ScribeShare,G200)*tun_OutScribe*INDEX(LM_Scribe,G200)+INDEX(tun_ScholarShare,G200)*tun_OutScholar*INDEX(LM_Scholar,G200)+INDEX(tun_ResearcherShare,G200)*tun_OutResearcher*INDEX(LM_Researcher,G200)))</x:f>
        <x:v>106.17363818454781</x:v>
      </x:c>
      <x:c r="AL200" s="32" t="n">
        <x:f>H200*tun_RoleScale*Arch_Roles*AE200*INDEX(tun_MonasteryPerSett,G200)*tun_OutMonastery*INDEX(LM_Monastery,G200)</x:f>
        <x:v>0</x:v>
      </x:c>
      <x:c r="AM200" s="32" t="n">
        <x:f>(AJ200+AK200+AL200)/4*INDEX(LM_All,G200)*INDEX(tun_Boon,G200)*Arch_Insight</x:f>
        <x:v>233.28002557883275</x:v>
      </x:c>
      <x:c r="AN200" s="32" t="n">
        <x:f>H200*(tun_KHPerAdult*Z200+tun_KHOfCommons*AJ200/4*INDEX(LM_All,G200))*tun_KHUsable*Arch_KH</x:f>
        <x:v>44.69022724599339</x:v>
      </x:c>
      <x:c r="AO200" s="32" t="n">
        <x:f>MIN(AP199+AN200,AM200*tun_KHMaxRatio)</x:f>
        <x:v>44.69022724599339</x:v>
      </x:c>
      <x:c r="AP200" s="32" t="n">
        <x:f>AP199+AN200-AO200</x:f>
        <x:v>0</x:v>
      </x:c>
      <x:c r="AQ200" s="32" t="n">
        <x:f>AM200+AO200</x:f>
        <x:v>277.97025282482616</x:v>
      </x:c>
      <x:c r="AR200" s="10" t="n">
        <x:f>IF(H200=1,INDEX(tun_Req,G200),0)</x:f>
        <x:v>21071.475087999996</x:v>
      </x:c>
      <x:c r="AS200" s="32" t="n">
        <x:f>IF(H200=1,IF(E200=1,AS199-AR199,AS199)+AQ200,0)</x:f>
        <x:v>5885.965960431359</x:v>
      </x:c>
      <x:c r="AT200" s="11" t="n">
        <x:f>IF(AR200&gt;0,MIN(1,AS200/AR200),1)</x:f>
        <x:v>0.27933336113632407</x:v>
      </x:c>
      <x:c r="AU200" s="10" t="n">
        <x:f>AB200/INDEX(tun_RepScale,G200)</x:f>
        <x:v>214.29778837155501</x:v>
      </x:c>
      <x:c r="AV200" s="32" t="n">
        <x:f>AM200*60/tun_SeasonSeconds</x:f>
        <x:v>933.120102315331</x:v>
      </x:c>
    </x:row>
    <x:row r="201">
      <x:c r="A201" s="8" t="n">
        <x:f>A200+1</x:f>
        <x:v>198</x:v>
      </x:c>
      <x:c r="B201" s="9" t="n">
        <x:f>A201*tun_SeasonSeconds/60</x:f>
        <x:v>49.5</x:v>
      </x:c>
      <x:c r="C201" s="9" t="n">
        <x:f>A201/4</x:f>
        <x:v>49.5</x:v>
      </x:c>
      <x:c r="D201" s="8" t="n">
        <x:f>IF(MOD(A201,4)=0,1,0)</x:f>
        <x:v>0</x:v>
      </x:c>
      <x:c r="E201" s="8" t="n">
        <x:f>IF(AND(F200&lt;=9,AS200&gt;=AR200),1,0)</x:f>
        <x:v>0</x:v>
      </x:c>
      <x:c r="F201" s="8" t="n">
        <x:f>MIN(10,F200+E201)</x:f>
        <x:v>4</x:v>
      </x:c>
      <x:c r="G201" s="8" t="n">
        <x:f>MIN(F201,9)+1</x:f>
        <x:v>5</x:v>
      </x:c>
      <x:c r="H201" s="8" t="n">
        <x:f>IF(F201&lt;=9,1,0)</x:f>
        <x:v>1</x:v>
      </x:c>
      <x:c r="I201" s="9" t="n">
        <x:f>MIN(10,F200+IF(AR200&gt;0,MIN(1,AS200/AR200),1))</x:f>
        <x:v>4.279333361136324</x:v>
      </x:c>
      <x:c r="J201" s="32" t="n">
        <x:f>INDEX(tun_FoodCap,G201)*Arch_FoodCap*EXP(tun_CapsByProject*SUMPRODUCT((Cap_Point&lt;=I201)*(Cap_Kind="Food")*Cap_Ln))</x:f>
        <x:v>196.11409090338805</x:v>
      </x:c>
      <x:c r="K201" s="32" t="n">
        <x:f>J201*MIN(1,tun_LeanBase*EXP(tun_CapsByProject*SUMPRODUCT((Cap_Point&lt;=I201)*(Cap_Kind="Lean")*Cap_Ln)))</x:f>
        <x:v>196.11409090338805</x:v>
      </x:c>
      <x:c r="L201" s="10" t="n">
        <x:f>INDEX(tun_HousingCap,G201)*EXP(tun_CapsByProject*SUMPRODUCT((Cap_Point&lt;=I201)*(Cap_Kind="Housing")*Cap_Ln))</x:f>
        <x:v>1137.2399999999998</x:v>
      </x:c>
      <x:c r="M201" s="10" t="n">
        <x:f>INDEX(tun_GroupCap,G201)*tun_CohesionFactor*EXP(tun_CapsByProject*SUMPRODUCT((Cap_Point&lt;=I201)*(Cap_Kind="Group")*Cap_Ln))</x:f>
        <x:v>10000.000000000005</x:v>
      </x:c>
      <x:c r="N201" s="32" t="n">
        <x:f>MIN(J201,L201,M201)</x:f>
        <x:v>196.11409090338805</x:v>
      </x:c>
      <x:c r="O201" s="10" t="n">
        <x:f>AE200*N201</x:f>
        <x:v>588.3422727101641</x:v>
      </x:c>
      <x:c r="P201" s="9" t="n">
        <x:f>MIN(1,(AB200/(AE200*IF(tun_GroupInCrowding=1,N201,MIN(J201,L201))))^tun_CrowdingExp)</x:f>
        <x:v>0.1494533950566668</x:v>
      </x:c>
      <x:c r="Q201" s="9" t="n">
        <x:f>IF(D201=1,INDEX(tun_WinterMult,G201),1)</x:f>
        <x:v>1</x:v>
      </x:c>
      <x:c r="R201" s="9" t="n">
        <x:f>H201*Z200*tun_WomenShare*tun_BaseFertility*INDEX(tun_FertMult,G201)*Arch_Fertility*(1-P201)</x:f>
        <x:v>10.029273221793986</x:v>
      </x:c>
      <x:c r="S201" s="9" t="n">
        <x:f>H201*Y200*INDEX(tun_MortChild,G201)/4*Q201</x:f>
        <x:v>1.7918452951365158</x:v>
      </x:c>
      <x:c r="T201" s="9" t="n">
        <x:f>H201*Z200*INDEX(tun_MortAdult,G201)*Arch_AdultMort/4*Q201</x:f>
        <x:v>0.39683142120546233</x:v>
      </x:c>
      <x:c r="U201" s="9" t="n">
        <x:f>H201*AA200*INDEX(tun_MortElder,G201)/4*Q201</x:f>
        <x:v>0.510244196734601</x:v>
      </x:c>
      <x:c r="V201" s="9" t="n">
        <x:f>H201*MAX(0,AB200-O201)*tun_OvercapLoss</x:f>
        <x:v>0</x:v>
      </x:c>
      <x:c r="W201" s="9" t="n">
        <x:f>H201*Y200/(tun_ChildYears*4)</x:f>
        <x:v>4.2662983217536095</x:v>
      </x:c>
      <x:c r="X201" s="9" t="n">
        <x:f>H201*Z200/(tun_AdultYears*4)</x:f>
        <x:v>1.219144151168855</x:v>
      </x:c>
      <x:c r="Y201" s="32" t="n">
        <x:f>Y200+R201-S201-W201-Y200*V201/AB200</x:f>
        <x:v>242.883835623106</x:v>
      </x:c>
      <x:c r="Z201" s="32" t="n">
        <x:f>Z200+W201-X201-T201-Z200*V201/AB200</x:f>
        <x:v>153.8241974943173</x:v>
      </x:c>
      <x:c r="AA201" s="32" t="n">
        <x:f>AA200+X201-U201-AA200*V201/AB200</x:f>
        <x:v>39.21789593440413</x:v>
      </x:c>
      <x:c r="AB201" s="10" t="n">
        <x:f>Y201+Z201+AA201</x:f>
        <x:v>435.9259290518274</x:v>
      </x:c>
      <x:c r="AC201" s="8" t="n">
        <x:f>IF(AND(tun_WinterTrigger=1,D201=1,AB200/AE200&gt;=K201),1,0)</x:f>
        <x:v>0</x:v>
      </x:c>
      <x:c r="AD201" s="8" t="n">
        <x:f>H201*IF(AND(OR(AB200/AE200&gt;=tun_FissionTrigger*N201,AC201=1),AB200/AE200*tun_DaughterShare&gt;=tun_MinDaughter),MAX(1,ROUND(AE200*tun_FissionRate,0)),0)</x:f>
        <x:v>0</x:v>
      </x:c>
      <x:c r="AE201" s="8" t="n">
        <x:f>IF(H201=1,MAX(1,MIN(INDEX(tun_Smax,G201),AE200+AD201)),AE200)</x:f>
        <x:v>3</x:v>
      </x:c>
      <x:c r="AF201" s="8" t="n">
        <x:f>MAX(0,AE201-AE200)</x:f>
        <x:v>0</x:v>
      </x:c>
      <x:c r="AG201" s="9" t="str">
        <x:f>IF(AF201&gt;0,B201,"")</x:f>
      </x:c>
      <x:c r="AH201" s="9" t="n">
        <x:f>IF(F201&gt;=1,1,(1+tun_LowTiesShare*(AE201-1))/AE201)</x:f>
        <x:v>1</x:v>
      </x:c>
      <x:c r="AI201" s="32" t="n">
        <x:f>(Z201+tun_ElderCommons*INDEX(LM_Elder,G201)*AA201)*AH201</x:f>
        <x:v>271.4778852975297</x:v>
      </x:c>
      <x:c r="AJ201" s="32" t="n">
        <x:f>H201*tun_CommonsCoef*AI201^tun_CommonsExp*INDEX(LM_Commons,G201)</x:f>
        <x:v>679.5975134323608</x:v>
      </x:c>
      <x:c r="AK201" s="32" t="n">
        <x:f>H201*tun_RoleScale*Arch_Roles*(AE201*(INDEX(tun_ElderRolePerSett,G201)*tun_OutElder*INDEX(LM_Elder,G201)+INDEX(tun_ShamanPerSett,G201)*tun_OutShaman)+Z201*(INDEX(tun_PriestShare,G201)*tun_OutPriest+INDEX(tun_ScribeShare,G201)*tun_OutScribe*INDEX(LM_Scribe,G201)+INDEX(tun_ScholarShare,G201)*tun_OutScholar*INDEX(LM_Scholar,G201)+INDEX(tun_ResearcherShare,G201)*tun_OutResearcher*INDEX(LM_Researcher,G201)))</x:f>
        <x:v>106.77275738330076</x:v>
      </x:c>
      <x:c r="AL201" s="32" t="n">
        <x:f>H201*tun_RoleScale*Arch_Roles*AE201*INDEX(tun_MonasteryPerSett,G201)*tun_OutMonastery*INDEX(LM_Monastery,G201)</x:f>
        <x:v>0</x:v>
      </x:c>
      <x:c r="AM201" s="32" t="n">
        <x:f>(AJ201+AK201+AL201)/4*INDEX(LM_All,G201)*INDEX(tun_Boon,G201)*Arch_Insight</x:f>
        <x:v>236.5215829689842</x:v>
      </x:c>
      <x:c r="AN201" s="32" t="n">
        <x:f>H201*(tun_KHPerAdult*Z201+tun_KHOfCommons*AJ201/4*INDEX(LM_All,G201))*tun_KHUsable*Arch_KH</x:f>
        <x:v>45.36971953072912</x:v>
      </x:c>
      <x:c r="AO201" s="32" t="n">
        <x:f>MIN(AP200+AN201,AM201*tun_KHMaxRatio)</x:f>
        <x:v>45.36971953072912</x:v>
      </x:c>
      <x:c r="AP201" s="32" t="n">
        <x:f>AP200+AN201-AO201</x:f>
        <x:v>0</x:v>
      </x:c>
      <x:c r="AQ201" s="32" t="n">
        <x:f>AM201+AO201</x:f>
        <x:v>281.89130249971333</x:v>
      </x:c>
      <x:c r="AR201" s="10" t="n">
        <x:f>IF(H201=1,INDEX(tun_Req,G201),0)</x:f>
        <x:v>21071.475087999996</x:v>
      </x:c>
      <x:c r="AS201" s="32" t="n">
        <x:f>IF(H201=1,IF(E201=1,AS200-AR200,AS200)+AQ201,0)</x:f>
        <x:v>6167.857262931073</x:v>
      </x:c>
      <x:c r="AT201" s="11" t="n">
        <x:f>IF(AR201&gt;0,MIN(1,AS201/AR201),1)</x:f>
        <x:v>0.292711223925828</x:v>
      </x:c>
      <x:c r="AU201" s="10" t="n">
        <x:f>AB201/INDEX(tun_RepScale,G201)</x:f>
        <x:v>217.9629645259137</x:v>
      </x:c>
      <x:c r="AV201" s="32" t="n">
        <x:f>AM201*60/tun_SeasonSeconds</x:f>
        <x:v>946.0863318759368</x:v>
      </x:c>
    </x:row>
    <x:row r="202">
      <x:c r="A202" s="8" t="n">
        <x:f>A201+1</x:f>
        <x:v>199</x:v>
      </x:c>
      <x:c r="B202" s="9" t="n">
        <x:f>A202*tun_SeasonSeconds/60</x:f>
        <x:v>49.75</x:v>
      </x:c>
      <x:c r="C202" s="9" t="n">
        <x:f>A202/4</x:f>
        <x:v>49.75</x:v>
      </x:c>
      <x:c r="D202" s="8" t="n">
        <x:f>IF(MOD(A202,4)=0,1,0)</x:f>
        <x:v>0</x:v>
      </x:c>
      <x:c r="E202" s="8" t="n">
        <x:f>IF(AND(F201&lt;=9,AS201&gt;=AR201),1,0)</x:f>
        <x:v>0</x:v>
      </x:c>
      <x:c r="F202" s="8" t="n">
        <x:f>MIN(10,F201+E202)</x:f>
        <x:v>4</x:v>
      </x:c>
      <x:c r="G202" s="8" t="n">
        <x:f>MIN(F202,9)+1</x:f>
        <x:v>5</x:v>
      </x:c>
      <x:c r="H202" s="8" t="n">
        <x:f>IF(F202&lt;=9,1,0)</x:f>
        <x:v>1</x:v>
      </x:c>
      <x:c r="I202" s="9" t="n">
        <x:f>MIN(10,F201+IF(AR201&gt;0,MIN(1,AS201/AR201),1))</x:f>
        <x:v>4.292711223925828</x:v>
      </x:c>
      <x:c r="J202" s="32" t="n">
        <x:f>INDEX(tun_FoodCap,G202)*Arch_FoodCap*EXP(tun_CapsByProject*SUMPRODUCT((Cap_Point&lt;=I202)*(Cap_Kind="Food")*Cap_Ln))</x:f>
        <x:v>196.11409090338805</x:v>
      </x:c>
      <x:c r="K202" s="32" t="n">
        <x:f>J202*MIN(1,tun_LeanBase*EXP(tun_CapsByProject*SUMPRODUCT((Cap_Point&lt;=I202)*(Cap_Kind="Lean")*Cap_Ln)))</x:f>
        <x:v>196.11409090338805</x:v>
      </x:c>
      <x:c r="L202" s="10" t="n">
        <x:f>INDEX(tun_HousingCap,G202)*EXP(tun_CapsByProject*SUMPRODUCT((Cap_Point&lt;=I202)*(Cap_Kind="Housing")*Cap_Ln))</x:f>
        <x:v>1137.2399999999998</x:v>
      </x:c>
      <x:c r="M202" s="10" t="n">
        <x:f>INDEX(tun_GroupCap,G202)*tun_CohesionFactor*EXP(tun_CapsByProject*SUMPRODUCT((Cap_Point&lt;=I202)*(Cap_Kind="Group")*Cap_Ln))</x:f>
        <x:v>10000.000000000005</x:v>
      </x:c>
      <x:c r="N202" s="32" t="n">
        <x:f>MIN(J202,L202,M202)</x:f>
        <x:v>196.11409090338805</x:v>
      </x:c>
      <x:c r="O202" s="10" t="n">
        <x:f>AE201*N202</x:f>
        <x:v>588.3422727101641</x:v>
      </x:c>
      <x:c r="P202" s="9" t="n">
        <x:f>MIN(1,(AB201/(AE201*IF(tun_GroupInCrowding=1,N202,MIN(J202,L202))))^tun_CrowdingExp)</x:f>
        <x:v>0.16546109266702794</x:v>
      </x:c>
      <x:c r="Q202" s="9" t="n">
        <x:f>IF(D202=1,INDEX(tun_WinterMult,G202),1)</x:f>
        <x:v>1</x:v>
      </x:c>
      <x:c r="R202" s="9" t="n">
        <x:f>H202*Z201*tun_WomenShare*tun_BaseFertility*INDEX(tun_FertMult,G202)*Arch_Fertility*(1-P202)</x:f>
        <x:v>10.013037660465752</x:v>
      </x:c>
      <x:c r="S202" s="9" t="n">
        <x:f>H202*Y201*INDEX(tun_MortChild,G202)/4*Q202</x:f>
        <x:v>1.821628767173295</x:v>
      </x:c>
      <x:c r="T202" s="9" t="n">
        <x:f>H202*Z201*INDEX(tun_MortAdult,G202)*Arch_AdultMort/4*Q202</x:f>
        <x:v>0.40378851842258295</x:v>
      </x:c>
      <x:c r="U202" s="9" t="n">
        <x:f>H202*AA201*INDEX(tun_MortElder,G202)/4*Q202</x:f>
        <x:v>0.5196371211308547</x:v>
      </x:c>
      <x:c r="V202" s="9" t="n">
        <x:f>H202*MAX(0,AB201-O202)*tun_OvercapLoss</x:f>
        <x:v>0</x:v>
      </x:c>
      <x:c r="W202" s="9" t="n">
        <x:f>H202*Y201/(tun_ChildYears*4)</x:f>
        <x:v>4.337211350412607</x:v>
      </x:c>
      <x:c r="X202" s="9" t="n">
        <x:f>H202*Z201/(tun_AdultYears*4)</x:f>
        <x:v>1.2405177217283654</x:v>
      </x:c>
      <x:c r="Y202" s="32" t="n">
        <x:f>Y201+R202-S202-W202-Y201*V202/AB201</x:f>
        <x:v>246.73803316598583</x:v>
      </x:c>
      <x:c r="Z202" s="32" t="n">
        <x:f>Z201+W202-X202-T202-Z201*V202/AB201</x:f>
        <x:v>156.51710260457898</x:v>
      </x:c>
      <x:c r="AA202" s="32" t="n">
        <x:f>AA201+X202-U202-AA201*V202/AB201</x:f>
        <x:v>39.938776535001644</x:v>
      </x:c>
      <x:c r="AB202" s="10" t="n">
        <x:f>Y202+Z202+AA202</x:f>
        <x:v>443.19391230556647</x:v>
      </x:c>
      <x:c r="AC202" s="8" t="n">
        <x:f>IF(AND(tun_WinterTrigger=1,D202=1,AB201/AE201&gt;=K202),1,0)</x:f>
        <x:v>0</x:v>
      </x:c>
      <x:c r="AD202" s="8" t="n">
        <x:f>H202*IF(AND(OR(AB201/AE201&gt;=tun_FissionTrigger*N202,AC202=1),AB201/AE201*tun_DaughterShare&gt;=tun_MinDaughter),MAX(1,ROUND(AE201*tun_FissionRate,0)),0)</x:f>
        <x:v>0</x:v>
      </x:c>
      <x:c r="AE202" s="8" t="n">
        <x:f>IF(H202=1,MAX(1,MIN(INDEX(tun_Smax,G202),AE201+AD202)),AE201)</x:f>
        <x:v>3</x:v>
      </x:c>
      <x:c r="AF202" s="8" t="n">
        <x:f>MAX(0,AE202-AE201)</x:f>
        <x:v>0</x:v>
      </x:c>
      <x:c r="AG202" s="9" t="str">
        <x:f>IF(AF202&gt;0,B202,"")</x:f>
      </x:c>
      <x:c r="AH202" s="9" t="n">
        <x:f>IF(F202&gt;=1,1,(1+tun_LowTiesShare*(AE202-1))/AE202)</x:f>
        <x:v>1</x:v>
      </x:c>
      <x:c r="AI202" s="32" t="n">
        <x:f>(Z202+tun_ElderCommons*INDEX(LM_Elder,G202)*AA202)*AH202</x:f>
        <x:v>276.3334322095839</x:v>
      </x:c>
      <x:c r="AJ202" s="32" t="n">
        <x:f>H202*tun_CommonsCoef*AI202^tun_CommonsExp*INDEX(LM_Commons,G202)</x:f>
        <x:v>689.9155105601908</x:v>
      </x:c>
      <x:c r="AK202" s="32" t="n">
        <x:f>H202*tun_RoleScale*Arch_Roles*(AE202*(INDEX(tun_ElderRolePerSett,G202)*tun_OutElder*INDEX(LM_Elder,G202)+INDEX(tun_ShamanPerSett,G202)*tun_OutShaman)+Z202*(INDEX(tun_PriestShare,G202)*tun_OutPriest+INDEX(tun_ScribeShare,G202)*tun_OutScribe*INDEX(LM_Scribe,G202)+INDEX(tun_ScholarShare,G202)*tun_OutScholar*INDEX(LM_Scholar,G202)+INDEX(tun_ResearcherShare,G202)*tun_OutResearcher*INDEX(LM_Researcher,G202)))</x:f>
        <x:v>107.38150254550996</x:v>
      </x:c>
      <x:c r="AL202" s="32" t="n">
        <x:f>H202*tun_RoleScale*Arch_Roles*AE202*INDEX(tun_MonasteryPerSett,G202)*tun_OutMonastery*INDEX(LM_Monastery,G202)</x:f>
        <x:v>0</x:v>
      </x:c>
      <x:c r="AM202" s="32" t="n">
        <x:f>(AJ202+AK202+AL202)/4*INDEX(LM_All,G202)*INDEX(tun_Boon,G202)*Arch_Insight</x:f>
        <x:v>239.80808867634462</x:v>
      </x:c>
      <x:c r="AN202" s="32" t="n">
        <x:f>H202*(tun_KHPerAdult*Z202+tun_KHOfCommons*AJ202/4*INDEX(LM_All,G202))*tun_KHUsable*Arch_KH</x:f>
        <x:v>46.05854582358033</x:v>
      </x:c>
      <x:c r="AO202" s="32" t="n">
        <x:f>MIN(AP201+AN202,AM202*tun_KHMaxRatio)</x:f>
        <x:v>46.05854582358033</x:v>
      </x:c>
      <x:c r="AP202" s="32" t="n">
        <x:f>AP201+AN202-AO202</x:f>
        <x:v>0</x:v>
      </x:c>
      <x:c r="AQ202" s="32" t="n">
        <x:f>AM202+AO202</x:f>
        <x:v>285.86663449992494</x:v>
      </x:c>
      <x:c r="AR202" s="10" t="n">
        <x:f>IF(H202=1,INDEX(tun_Req,G202),0)</x:f>
        <x:v>21071.475087999996</x:v>
      </x:c>
      <x:c r="AS202" s="32" t="n">
        <x:f>IF(H202=1,IF(E202=1,AS201-AR201,AS201)+AQ202,0)</x:f>
        <x:v>6453.723897430998</x:v>
      </x:c>
      <x:c r="AT202" s="11" t="n">
        <x:f>IF(AR202&gt;0,MIN(1,AS202/AR202),1)</x:f>
        <x:v>0.3062777461225926</x:v>
      </x:c>
      <x:c r="AU202" s="10" t="n">
        <x:f>AB202/INDEX(tun_RepScale,G202)</x:f>
        <x:v>221.59695615278324</x:v>
      </x:c>
      <x:c r="AV202" s="32" t="n">
        <x:f>AM202*60/tun_SeasonSeconds</x:f>
        <x:v>959.2323547053785</x:v>
      </x:c>
    </x:row>
    <x:row r="203">
      <x:c r="A203" s="8" t="n">
        <x:f>A202+1</x:f>
        <x:v>200</x:v>
      </x:c>
      <x:c r="B203" s="9" t="n">
        <x:f>A203*tun_SeasonSeconds/60</x:f>
        <x:v>50</x:v>
      </x:c>
      <x:c r="C203" s="9" t="n">
        <x:f>A203/4</x:f>
        <x:v>50</x:v>
      </x:c>
      <x:c r="D203" s="8" t="n">
        <x:f>IF(MOD(A203,4)=0,1,0)</x:f>
        <x:v>1</x:v>
      </x:c>
      <x:c r="E203" s="8" t="n">
        <x:f>IF(AND(F202&lt;=9,AS202&gt;=AR202),1,0)</x:f>
        <x:v>0</x:v>
      </x:c>
      <x:c r="F203" s="8" t="n">
        <x:f>MIN(10,F202+E203)</x:f>
        <x:v>4</x:v>
      </x:c>
      <x:c r="G203" s="8" t="n">
        <x:f>MIN(F203,9)+1</x:f>
        <x:v>5</x:v>
      </x:c>
      <x:c r="H203" s="8" t="n">
        <x:f>IF(F203&lt;=9,1,0)</x:f>
        <x:v>1</x:v>
      </x:c>
      <x:c r="I203" s="9" t="n">
        <x:f>MIN(10,F202+IF(AR202&gt;0,MIN(1,AS202/AR202),1))</x:f>
        <x:v>4.306277746122593</x:v>
      </x:c>
      <x:c r="J203" s="32" t="n">
        <x:f>INDEX(tun_FoodCap,G203)*Arch_FoodCap*EXP(tun_CapsByProject*SUMPRODUCT((Cap_Point&lt;=I203)*(Cap_Kind="Food")*Cap_Ln))</x:f>
        <x:v>196.11409090338805</x:v>
      </x:c>
      <x:c r="K203" s="32" t="n">
        <x:f>J203*MIN(1,tun_LeanBase*EXP(tun_CapsByProject*SUMPRODUCT((Cap_Point&lt;=I203)*(Cap_Kind="Lean")*Cap_Ln)))</x:f>
        <x:v>196.11409090338805</x:v>
      </x:c>
      <x:c r="L203" s="10" t="n">
        <x:f>INDEX(tun_HousingCap,G203)*EXP(tun_CapsByProject*SUMPRODUCT((Cap_Point&lt;=I203)*(Cap_Kind="Housing")*Cap_Ln))</x:f>
        <x:v>1137.2399999999998</x:v>
      </x:c>
      <x:c r="M203" s="10" t="n">
        <x:f>INDEX(tun_GroupCap,G203)*tun_CohesionFactor*EXP(tun_CapsByProject*SUMPRODUCT((Cap_Point&lt;=I203)*(Cap_Kind="Group")*Cap_Ln))</x:f>
        <x:v>10000.000000000005</x:v>
      </x:c>
      <x:c r="N203" s="32" t="n">
        <x:f>MIN(J203,L203,M203)</x:f>
        <x:v>196.11409090338805</x:v>
      </x:c>
      <x:c r="O203" s="10" t="n">
        <x:f>AE202*N203</x:f>
        <x:v>588.3422727101641</x:v>
      </x:c>
      <x:c r="P203" s="9" t="n">
        <x:f>MIN(1,(AB202/(AE202*IF(tun_GroupInCrowding=1,N203,MIN(J203,L203))))^tun_CrowdingExp)</x:f>
        <x:v>0.18271844687905375</x:v>
      </x:c>
      <x:c r="Q203" s="9" t="n">
        <x:f>IF(D203=1,INDEX(tun_WinterMult,G203),1)</x:f>
        <x:v>1.2</x:v>
      </x:c>
      <x:c r="R203" s="9" t="n">
        <x:f>H203*Z202*tun_WomenShare*tun_BaseFertility*INDEX(tun_FertMult,G203)*Arch_Fertility*(1-P203)</x:f>
        <x:v>9.977646175119544</x:v>
      </x:c>
      <x:c r="S203" s="9" t="n">
        <x:f>H203*Y202*INDEX(tun_MortChild,G203)/4*Q203</x:f>
        <x:v>2.220642298493872</x:v>
      </x:c>
      <x:c r="T203" s="9" t="n">
        <x:f>H203*Z202*INDEX(tun_MortAdult,G203)*Arch_AdultMort/4*Q203</x:f>
        <x:v>0.4930288732044238</x:v>
      </x:c>
      <x:c r="U203" s="9" t="n">
        <x:f>H203*AA202*INDEX(tun_MortElder,G203)/4*Q203</x:f>
        <x:v>0.635026546906526</x:v>
      </x:c>
      <x:c r="V203" s="9" t="n">
        <x:f>H203*MAX(0,AB202-O203)*tun_OvercapLoss</x:f>
        <x:v>0</x:v>
      </x:c>
      <x:c r="W203" s="9" t="n">
        <x:f>H203*Y202/(tun_ChildYears*4)</x:f>
        <x:v>4.406036306535461</x:v>
      </x:c>
      <x:c r="X203" s="9" t="n">
        <x:f>H203*Z202/(tun_AdultYears*4)</x:f>
        <x:v>1.262234698424024</x:v>
      </x:c>
      <x:c r="Y203" s="32" t="n">
        <x:f>Y202+R203-S203-W203-Y202*V203/AB202</x:f>
        <x:v>250.08900073607603</x:v>
      </x:c>
      <x:c r="Z203" s="32" t="n">
        <x:f>Z202+W203-X203-T203-Z202*V203/AB202</x:f>
        <x:v>159.167875339486</x:v>
      </x:c>
      <x:c r="AA203" s="32" t="n">
        <x:f>AA202+X203-U203-AA202*V203/AB202</x:f>
        <x:v>40.565984686519144</x:v>
      </x:c>
      <x:c r="AB203" s="10" t="n">
        <x:f>Y203+Z203+AA203</x:f>
        <x:v>449.8228607620811</x:v>
      </x:c>
      <x:c r="AC203" s="8" t="n">
        <x:f>IF(AND(tun_WinterTrigger=1,D203=1,AB202/AE202&gt;=K203),1,0)</x:f>
        <x:v>0</x:v>
      </x:c>
      <x:c r="AD203" s="8" t="n">
        <x:f>H203*IF(AND(OR(AB202/AE202&gt;=tun_FissionTrigger*N203,AC203=1),AB202/AE202*tun_DaughterShare&gt;=tun_MinDaughter),MAX(1,ROUND(AE202*tun_FissionRate,0)),0)</x:f>
        <x:v>0</x:v>
      </x:c>
      <x:c r="AE203" s="8" t="n">
        <x:f>IF(H203=1,MAX(1,MIN(INDEX(tun_Smax,G203),AE202+AD203)),AE202)</x:f>
        <x:v>3</x:v>
      </x:c>
      <x:c r="AF203" s="8" t="n">
        <x:f>MAX(0,AE203-AE202)</x:f>
        <x:v>0</x:v>
      </x:c>
      <x:c r="AG203" s="9" t="str">
        <x:f>IF(AF203&gt;0,B203,"")</x:f>
      </x:c>
      <x:c r="AH203" s="9" t="n">
        <x:f>IF(F203&gt;=1,1,(1+tun_LowTiesShare*(AE203-1))/AE203)</x:f>
        <x:v>1</x:v>
      </x:c>
      <x:c r="AI203" s="32" t="n">
        <x:f>(Z203+tun_ElderCommons*INDEX(LM_Elder,G203)*AA203)*AH203</x:f>
        <x:v>280.86582939904343</x:v>
      </x:c>
      <x:c r="AJ203" s="32" t="n">
        <x:f>H203*tun_CommonsCoef*AI203^tun_CommonsExp*INDEX(LM_Commons,G203)</x:f>
        <x:v>699.5222967528105</x:v>
      </x:c>
      <x:c r="AK203" s="32" t="n">
        <x:f>H203*tun_RoleScale*Arch_Roles*(AE203*(INDEX(tun_ElderRolePerSett,G203)*tun_OutElder*INDEX(LM_Elder,G203)+INDEX(tun_ShamanPerSett,G203)*tun_OutShaman)+Z203*(INDEX(tun_PriestShare,G203)*tun_OutPriest+INDEX(tun_ScribeShare,G203)*tun_OutScribe*INDEX(LM_Scribe,G203)+INDEX(tun_ScholarShare,G203)*tun_OutScholar*INDEX(LM_Scholar,G203)+INDEX(tun_ResearcherShare,G203)*tun_OutResearcher*INDEX(LM_Researcher,G203)))</x:f>
        <x:v>107.9807234658245</x:v>
      </x:c>
      <x:c r="AL203" s="32" t="n">
        <x:f>H203*tun_RoleScale*Arch_Roles*AE203*INDEX(tun_MonasteryPerSett,G203)*tun_OutMonastery*INDEX(LM_Monastery,G203)</x:f>
        <x:v>0</x:v>
      </x:c>
      <x:c r="AM203" s="32" t="n">
        <x:f>(AJ203+AK203+AL203)/4*INDEX(LM_All,G203)*INDEX(tun_Boon,G203)*Arch_Insight</x:f>
        <x:v>242.87781428491834</x:v>
      </x:c>
      <x:c r="AN203" s="32" t="n">
        <x:f>H203*(tun_KHPerAdult*Z203+tun_KHOfCommons*AJ203/4*INDEX(LM_All,G203))*tun_KHUsable*Arch_KH</x:f>
        <x:v>46.69989189465334</x:v>
      </x:c>
      <x:c r="AO203" s="32" t="n">
        <x:f>MIN(AP202+AN203,AM203*tun_KHMaxRatio)</x:f>
        <x:v>46.69989189465334</x:v>
      </x:c>
      <x:c r="AP203" s="32" t="n">
        <x:f>AP202+AN203-AO203</x:f>
        <x:v>0</x:v>
      </x:c>
      <x:c r="AQ203" s="32" t="n">
        <x:f>AM203+AO203</x:f>
        <x:v>289.5777061795717</x:v>
      </x:c>
      <x:c r="AR203" s="10" t="n">
        <x:f>IF(H203=1,INDEX(tun_Req,G203),0)</x:f>
        <x:v>21071.475087999996</x:v>
      </x:c>
      <x:c r="AS203" s="32" t="n">
        <x:f>IF(H203=1,IF(E203=1,AS202-AR202,AS202)+AQ203,0)</x:f>
        <x:v>6743.301603610569</x:v>
      </x:c>
      <x:c r="AT203" s="11" t="n">
        <x:f>IF(AR203&gt;0,MIN(1,AS203/AR203),1)</x:f>
        <x:v>0.32002038658654774</x:v>
      </x:c>
      <x:c r="AU203" s="10" t="n">
        <x:f>AB203/INDEX(tun_RepScale,G203)</x:f>
        <x:v>224.91143038104056</x:v>
      </x:c>
      <x:c r="AV203" s="32" t="n">
        <x:f>AM203*60/tun_SeasonSeconds</x:f>
        <x:v>971.5112571396734</x:v>
      </x:c>
    </x:row>
    <x:row r="204">
      <x:c r="A204" s="8" t="n">
        <x:f>A203+1</x:f>
        <x:v>201</x:v>
      </x:c>
      <x:c r="B204" s="9" t="n">
        <x:f>A204*tun_SeasonSeconds/60</x:f>
        <x:v>50.25</x:v>
      </x:c>
      <x:c r="C204" s="9" t="n">
        <x:f>A204/4</x:f>
        <x:v>50.25</x:v>
      </x:c>
      <x:c r="D204" s="8" t="n">
        <x:f>IF(MOD(A204,4)=0,1,0)</x:f>
        <x:v>0</x:v>
      </x:c>
      <x:c r="E204" s="8" t="n">
        <x:f>IF(AND(F203&lt;=9,AS203&gt;=AR203),1,0)</x:f>
        <x:v>0</x:v>
      </x:c>
      <x:c r="F204" s="8" t="n">
        <x:f>MIN(10,F203+E204)</x:f>
        <x:v>4</x:v>
      </x:c>
      <x:c r="G204" s="8" t="n">
        <x:f>MIN(F204,9)+1</x:f>
        <x:v>5</x:v>
      </x:c>
      <x:c r="H204" s="8" t="n">
        <x:f>IF(F204&lt;=9,1,0)</x:f>
        <x:v>1</x:v>
      </x:c>
      <x:c r="I204" s="9" t="n">
        <x:f>MIN(10,F203+IF(AR203&gt;0,MIN(1,AS203/AR203),1))</x:f>
        <x:v>4.320020386586548</x:v>
      </x:c>
      <x:c r="J204" s="32" t="n">
        <x:f>INDEX(tun_FoodCap,G204)*Arch_FoodCap*EXP(tun_CapsByProject*SUMPRODUCT((Cap_Point&lt;=I204)*(Cap_Kind="Food")*Cap_Ln))</x:f>
        <x:v>196.11409090338805</x:v>
      </x:c>
      <x:c r="K204" s="32" t="n">
        <x:f>J204*MIN(1,tun_LeanBase*EXP(tun_CapsByProject*SUMPRODUCT((Cap_Point&lt;=I204)*(Cap_Kind="Lean")*Cap_Ln)))</x:f>
        <x:v>196.11409090338805</x:v>
      </x:c>
      <x:c r="L204" s="10" t="n">
        <x:f>INDEX(tun_HousingCap,G204)*EXP(tun_CapsByProject*SUMPRODUCT((Cap_Point&lt;=I204)*(Cap_Kind="Housing")*Cap_Ln))</x:f>
        <x:v>1137.2399999999998</x:v>
      </x:c>
      <x:c r="M204" s="10" t="n">
        <x:f>INDEX(tun_GroupCap,G204)*tun_CohesionFactor*EXP(tun_CapsByProject*SUMPRODUCT((Cap_Point&lt;=I204)*(Cap_Kind="Group")*Cap_Ln))</x:f>
        <x:v>10000.000000000005</x:v>
      </x:c>
      <x:c r="N204" s="32" t="n">
        <x:f>MIN(J204,L204,M204)</x:f>
        <x:v>196.11409090338805</x:v>
      </x:c>
      <x:c r="O204" s="10" t="n">
        <x:f>AE203*N204</x:f>
        <x:v>588.3422727101641</x:v>
      </x:c>
      <x:c r="P204" s="9" t="n">
        <x:f>MIN(1,(AB203/(AE203*IF(tun_GroupInCrowding=1,N204,MIN(J204,L204))))^tun_CrowdingExp)</x:f>
        <x:v>0.19974173441176837</x:v>
      </x:c>
      <x:c r="Q204" s="9" t="n">
        <x:f>IF(D204=1,INDEX(tun_WinterMult,G204),1)</x:f>
        <x:v>1</x:v>
      </x:c>
      <x:c r="R204" s="9" t="n">
        <x:f>H204*Z203*tun_WomenShare*tun_BaseFertility*INDEX(tun_FertMult,G204)*Arch_Fertility*(1-P204)</x:f>
        <x:v>9.935281812810192</x:v>
      </x:c>
      <x:c r="S204" s="9" t="n">
        <x:f>H204*Y203*INDEX(tun_MortChild,G204)/4*Q204</x:f>
        <x:v>1.8756675055205703</x:v>
      </x:c>
      <x:c r="T204" s="9" t="n">
        <x:f>H204*Z203*INDEX(tun_MortAdult,G204)*Arch_AdultMort/4*Q204</x:f>
        <x:v>0.4178156727661507</x:v>
      </x:c>
      <x:c r="U204" s="9" t="n">
        <x:f>H204*AA203*INDEX(tun_MortElder,G204)/4*Q204</x:f>
        <x:v>0.5374992970963787</x:v>
      </x:c>
      <x:c r="V204" s="9" t="n">
        <x:f>H204*MAX(0,AB203-O204)*tun_OvercapLoss</x:f>
        <x:v>0</x:v>
      </x:c>
      <x:c r="W204" s="9" t="n">
        <x:f>H204*Y203/(tun_ChildYears*4)</x:f>
        <x:v>4.465875013144215</x:v>
      </x:c>
      <x:c r="X204" s="9" t="n">
        <x:f>H204*Z203/(tun_AdultYears*4)</x:f>
        <x:v>1.2836118978990805</x:v>
      </x:c>
      <x:c r="Y204" s="32" t="n">
        <x:f>Y203+R204-S204-W204-Y203*V204/AB203</x:f>
        <x:v>253.6827400302214</x:v>
      </x:c>
      <x:c r="Z204" s="32" t="n">
        <x:f>Z203+W204-X204-T204-Z203*V204/AB203</x:f>
        <x:v>161.93232278196498</x:v>
      </x:c>
      <x:c r="AA204" s="32" t="n">
        <x:f>AA203+X204-U204-AA203*V204/AB203</x:f>
        <x:v>41.31209728732184</x:v>
      </x:c>
      <x:c r="AB204" s="10" t="n">
        <x:f>Y204+Z204+AA204</x:f>
        <x:v>456.92716009950817</x:v>
      </x:c>
      <x:c r="AC204" s="8" t="n">
        <x:f>IF(AND(tun_WinterTrigger=1,D204=1,AB203/AE203&gt;=K204),1,0)</x:f>
        <x:v>0</x:v>
      </x:c>
      <x:c r="AD204" s="8" t="n">
        <x:f>H204*IF(AND(OR(AB203/AE203&gt;=tun_FissionTrigger*N204,AC204=1),AB203/AE203*tun_DaughterShare&gt;=tun_MinDaughter),MAX(1,ROUND(AE203*tun_FissionRate,0)),0)</x:f>
        <x:v>0</x:v>
      </x:c>
      <x:c r="AE204" s="8" t="n">
        <x:f>IF(H204=1,MAX(1,MIN(INDEX(tun_Smax,G204),AE203+AD204)),AE203)</x:f>
        <x:v>3</x:v>
      </x:c>
      <x:c r="AF204" s="8" t="n">
        <x:f>MAX(0,AE204-AE203)</x:f>
        <x:v>0</x:v>
      </x:c>
      <x:c r="AG204" s="9" t="str">
        <x:f>IF(AF204&gt;0,B204,"")</x:f>
      </x:c>
      <x:c r="AH204" s="9" t="n">
        <x:f>IF(F204&gt;=1,1,(1+tun_LowTiesShare*(AE204-1))/AE204)</x:f>
        <x:v>1</x:v>
      </x:c>
      <x:c r="AI204" s="32" t="n">
        <x:f>(Z204+tun_ElderCommons*INDEX(LM_Elder,G204)*AA204)*AH204</x:f>
        <x:v>285.8686146439305</x:v>
      </x:c>
      <x:c r="AJ204" s="32" t="n">
        <x:f>H204*tun_CommonsCoef*AI204^tun_CommonsExp*INDEX(LM_Commons,G204)</x:f>
        <x:v>710.099158054147</x:v>
      </x:c>
      <x:c r="AK204" s="32" t="n">
        <x:f>H204*tun_RoleScale*Arch_Roles*(AE204*(INDEX(tun_ElderRolePerSett,G204)*tun_OutElder*INDEX(LM_Elder,G204)+INDEX(tun_ShamanPerSett,G204)*tun_OutShaman)+Z204*(INDEX(tun_PriestShare,G204)*tun_OutPriest+INDEX(tun_ScribeShare,G204)*tun_OutScribe*INDEX(LM_Scribe,G204)+INDEX(tun_ScholarShare,G204)*tun_OutScholar*INDEX(LM_Scholar,G204)+INDEX(tun_ResearcherShare,G204)*tun_OutResearcher*INDEX(LM_Researcher,G204)))</x:f>
        <x:v>108.6056411431604</x:v>
      </x:c>
      <x:c r="AL204" s="32" t="n">
        <x:f>H204*tun_RoleScale*Arch_Roles*AE204*INDEX(tun_MonasteryPerSett,G204)*tun_OutMonastery*INDEX(LM_Monastery,G204)</x:f>
        <x:v>0</x:v>
      </x:c>
      <x:c r="AM204" s="32" t="n">
        <x:f>(AJ204+AK204+AL204)/4*INDEX(LM_All,G204)*INDEX(tun_Boon,G204)*Arch_Insight</x:f>
        <x:v>246.24704452470874</x:v>
      </x:c>
      <x:c r="AN204" s="32" t="n">
        <x:f>H204*(tun_KHPerAdult*Z204+tun_KHOfCommons*AJ204/4*INDEX(LM_All,G204))*tun_KHUsable*Arch_KH</x:f>
        <x:v>47.40599987955966</x:v>
      </x:c>
      <x:c r="AO204" s="32" t="n">
        <x:f>MIN(AP203+AN204,AM204*tun_KHMaxRatio)</x:f>
        <x:v>47.40599987955966</x:v>
      </x:c>
      <x:c r="AP204" s="32" t="n">
        <x:f>AP203+AN204-AO204</x:f>
        <x:v>0</x:v>
      </x:c>
      <x:c r="AQ204" s="32" t="n">
        <x:f>AM204+AO204</x:f>
        <x:v>293.65304440426837</x:v>
      </x:c>
      <x:c r="AR204" s="10" t="n">
        <x:f>IF(H204=1,INDEX(tun_Req,G204),0)</x:f>
        <x:v>21071.475087999996</x:v>
      </x:c>
      <x:c r="AS204" s="32" t="n">
        <x:f>IF(H204=1,IF(E204=1,AS203-AR203,AS203)+AQ204,0)</x:f>
        <x:v>7036.954648014837</x:v>
      </x:c>
      <x:c r="AT204" s="11" t="n">
        <x:f>IF(AR204&gt;0,MIN(1,AS204/AR204),1)</x:f>
        <x:v>0.3339564325053976</x:v>
      </x:c>
      <x:c r="AU204" s="10" t="n">
        <x:f>AB204/INDEX(tun_RepScale,G204)</x:f>
        <x:v>228.46358004975409</x:v>
      </x:c>
      <x:c r="AV204" s="32" t="n">
        <x:f>AM204*60/tun_SeasonSeconds</x:f>
        <x:v>984.988178098835</x:v>
      </x:c>
    </x:row>
    <x:row r="205">
      <x:c r="A205" s="8" t="n">
        <x:f>A204+1</x:f>
        <x:v>202</x:v>
      </x:c>
      <x:c r="B205" s="9" t="n">
        <x:f>A205*tun_SeasonSeconds/60</x:f>
        <x:v>50.5</x:v>
      </x:c>
      <x:c r="C205" s="9" t="n">
        <x:f>A205/4</x:f>
        <x:v>50.5</x:v>
      </x:c>
      <x:c r="D205" s="8" t="n">
        <x:f>IF(MOD(A205,4)=0,1,0)</x:f>
        <x:v>0</x:v>
      </x:c>
      <x:c r="E205" s="8" t="n">
        <x:f>IF(AND(F204&lt;=9,AS204&gt;=AR204),1,0)</x:f>
        <x:v>0</x:v>
      </x:c>
      <x:c r="F205" s="8" t="n">
        <x:f>MIN(10,F204+E205)</x:f>
        <x:v>4</x:v>
      </x:c>
      <x:c r="G205" s="8" t="n">
        <x:f>MIN(F205,9)+1</x:f>
        <x:v>5</x:v>
      </x:c>
      <x:c r="H205" s="8" t="n">
        <x:f>IF(F205&lt;=9,1,0)</x:f>
        <x:v>1</x:v>
      </x:c>
      <x:c r="I205" s="9" t="n">
        <x:f>MIN(10,F204+IF(AR204&gt;0,MIN(1,AS204/AR204),1))</x:f>
        <x:v>4.333956432505397</x:v>
      </x:c>
      <x:c r="J205" s="32" t="n">
        <x:f>INDEX(tun_FoodCap,G205)*Arch_FoodCap*EXP(tun_CapsByProject*SUMPRODUCT((Cap_Point&lt;=I205)*(Cap_Kind="Food")*Cap_Ln))</x:f>
        <x:v>196.11409090338805</x:v>
      </x:c>
      <x:c r="K205" s="32" t="n">
        <x:f>J205*MIN(1,tun_LeanBase*EXP(tun_CapsByProject*SUMPRODUCT((Cap_Point&lt;=I205)*(Cap_Kind="Lean")*Cap_Ln)))</x:f>
        <x:v>196.11409090338805</x:v>
      </x:c>
      <x:c r="L205" s="10" t="n">
        <x:f>INDEX(tun_HousingCap,G205)*EXP(tun_CapsByProject*SUMPRODUCT((Cap_Point&lt;=I205)*(Cap_Kind="Housing")*Cap_Ln))</x:f>
        <x:v>1137.2399999999998</x:v>
      </x:c>
      <x:c r="M205" s="10" t="n">
        <x:f>INDEX(tun_GroupCap,G205)*tun_CohesionFactor*EXP(tun_CapsByProject*SUMPRODUCT((Cap_Point&lt;=I205)*(Cap_Kind="Group")*Cap_Ln))</x:f>
        <x:v>10000.000000000005</x:v>
      </x:c>
      <x:c r="N205" s="32" t="n">
        <x:f>MIN(J205,L205,M205)</x:f>
        <x:v>196.11409090338805</x:v>
      </x:c>
      <x:c r="O205" s="10" t="n">
        <x:f>AE204*N205</x:f>
        <x:v>588.3422727101641</x:v>
      </x:c>
      <x:c r="P205" s="9" t="n">
        <x:f>MIN(1,(AB204/(AE204*IF(tun_GroupInCrowding=1,N205,MIN(J205,L205))))^tun_CrowdingExp)</x:f>
        <x:v>0.2194327869063215</x:v>
      </x:c>
      <x:c r="Q205" s="9" t="n">
        <x:f>IF(D205=1,INDEX(tun_WinterMult,G205),1)</x:f>
        <x:v>1</x:v>
      </x:c>
      <x:c r="R205" s="9" t="n">
        <x:f>H205*Z204*tun_WomenShare*tun_BaseFertility*INDEX(tun_FertMult,G205)*Arch_Fertility*(1-P205)</x:f>
        <x:v>9.859126828488941</x:v>
      </x:c>
      <x:c r="S205" s="9" t="n">
        <x:f>H205*Y204*INDEX(tun_MortChild,G205)/4*Q205</x:f>
        <x:v>1.9026205502266604</x:v>
      </x:c>
      <x:c r="T205" s="9" t="n">
        <x:f>H205*Z204*INDEX(tun_MortAdult,G205)*Arch_AdultMort/4*Q205</x:f>
        <x:v>0.42507234730265814</x:v>
      </x:c>
      <x:c r="U205" s="9" t="n">
        <x:f>H205*AA204*INDEX(tun_MortElder,G205)/4*Q205</x:f>
        <x:v>0.5473852890570143</x:v>
      </x:c>
      <x:c r="V205" s="9" t="n">
        <x:f>H205*MAX(0,AB204-O205)*tun_OvercapLoss</x:f>
        <x:v>0</x:v>
      </x:c>
      <x:c r="W205" s="9" t="n">
        <x:f>H205*Y204/(tun_ChildYears*4)</x:f>
        <x:v>4.530048929111096</x:v>
      </x:c>
      <x:c r="X205" s="9" t="n">
        <x:f>H205*Z204/(tun_AdultYears*4)</x:f>
        <x:v>1.3059058288868144</x:v>
      </x:c>
      <x:c r="Y205" s="32" t="n">
        <x:f>Y204+R205-S205-W205-Y204*V205/AB204</x:f>
        <x:v>257.1091973793726</x:v>
      </x:c>
      <x:c r="Z205" s="32" t="n">
        <x:f>Z204+W205-X205-T205-Z204*V205/AB204</x:f>
        <x:v>164.73139353488662</x:v>
      </x:c>
      <x:c r="AA205" s="32" t="n">
        <x:f>AA204+X205-U205-AA204*V205/AB204</x:f>
        <x:v>42.070617827151644</x:v>
      </x:c>
      <x:c r="AB205" s="10" t="n">
        <x:f>Y205+Z205+AA205</x:f>
        <x:v>463.91120874141086</x:v>
      </x:c>
      <x:c r="AC205" s="8" t="n">
        <x:f>IF(AND(tun_WinterTrigger=1,D205=1,AB204/AE204&gt;=K205),1,0)</x:f>
        <x:v>0</x:v>
      </x:c>
      <x:c r="AD205" s="8" t="n">
        <x:f>H205*IF(AND(OR(AB204/AE204&gt;=tun_FissionTrigger*N205,AC205=1),AB204/AE204*tun_DaughterShare&gt;=tun_MinDaughter),MAX(1,ROUND(AE204*tun_FissionRate,0)),0)</x:f>
        <x:v>0</x:v>
      </x:c>
      <x:c r="AE205" s="8" t="n">
        <x:f>IF(H205=1,MAX(1,MIN(INDEX(tun_Smax,G205),AE204+AD205)),AE204)</x:f>
        <x:v>3</x:v>
      </x:c>
      <x:c r="AF205" s="8" t="n">
        <x:f>MAX(0,AE205-AE204)</x:f>
        <x:v>0</x:v>
      </x:c>
      <x:c r="AG205" s="9" t="str">
        <x:f>IF(AF205&gt;0,B205,"")</x:f>
      </x:c>
      <x:c r="AH205" s="9" t="n">
        <x:f>IF(F205&gt;=1,1,(1+tun_LowTiesShare*(AE205-1))/AE205)</x:f>
        <x:v>1</x:v>
      </x:c>
      <x:c r="AI205" s="32" t="n">
        <x:f>(Z205+tun_ElderCommons*INDEX(LM_Elder,G205)*AA205)*AH205</x:f>
        <x:v>290.94324701634156</x:v>
      </x:c>
      <x:c r="AJ205" s="32" t="n">
        <x:f>H205*tun_CommonsCoef*AI205^tun_CommonsExp*INDEX(LM_Commons,G205)</x:f>
        <x:v>720.799590805464</x:v>
      </x:c>
      <x:c r="AK205" s="32" t="n">
        <x:f>H205*tun_RoleScale*Arch_Roles*(AE205*(INDEX(tun_ElderRolePerSett,G205)*tun_OutElder*INDEX(LM_Elder,G205)+INDEX(tun_ShamanPerSett,G205)*tun_OutShaman)+Z205*(INDEX(tun_PriestShare,G205)*tun_OutPriest+INDEX(tun_ScribeShare,G205)*tun_OutScribe*INDEX(LM_Scribe,G205)+INDEX(tun_ScholarShare,G205)*tun_OutScholar*INDEX(LM_Scholar,G205)+INDEX(tun_ResearcherShare,G205)*tun_OutResearcher*INDEX(LM_Researcher,G205)))</x:f>
        <x:v>109.238385599335</x:v>
      </x:c>
      <x:c r="AL205" s="32" t="n">
        <x:f>H205*tun_RoleScale*Arch_Roles*AE205*INDEX(tun_MonasteryPerSett,G205)*tun_OutMonastery*INDEX(LM_Monastery,G205)</x:f>
        <x:v>0</x:v>
      </x:c>
      <x:c r="AM205" s="32" t="n">
        <x:f>(AJ205+AK205+AL205)/4*INDEX(LM_All,G205)*INDEX(tun_Boon,G205)*Arch_Insight</x:f>
        <x:v>249.65579624468864</x:v>
      </x:c>
      <x:c r="AN205" s="32" t="n">
        <x:f>H205*(tun_KHPerAdult*Z205+tun_KHOfCommons*AJ205/4*INDEX(LM_All,G205))*tun_KHUsable*Arch_KH</x:f>
        <x:v>48.12035745619756</x:v>
      </x:c>
      <x:c r="AO205" s="32" t="n">
        <x:f>MIN(AP204+AN205,AM205*tun_KHMaxRatio)</x:f>
        <x:v>48.12035745619756</x:v>
      </x:c>
      <x:c r="AP205" s="32" t="n">
        <x:f>AP204+AN205-AO205</x:f>
        <x:v>0</x:v>
      </x:c>
      <x:c r="AQ205" s="32" t="n">
        <x:f>AM205+AO205</x:f>
        <x:v>297.7761537008862</x:v>
      </x:c>
      <x:c r="AR205" s="10" t="n">
        <x:f>IF(H205=1,INDEX(tun_Req,G205),0)</x:f>
        <x:v>21071.475087999996</x:v>
      </x:c>
      <x:c r="AS205" s="32" t="n">
        <x:f>IF(H205=1,IF(E205=1,AS204-AR204,AS204)+AQ205,0)</x:f>
        <x:v>7334.730801715724</x:v>
      </x:c>
      <x:c r="AT205" s="11" t="n">
        <x:f>IF(AR205&gt;0,MIN(1,AS205/AR205),1)</x:f>
        <x:v>0.34808815097585566</x:v>
      </x:c>
      <x:c r="AU205" s="10" t="n">
        <x:f>AB205/INDEX(tun_RepScale,G205)</x:f>
        <x:v>231.95560437070543</x:v>
      </x:c>
      <x:c r="AV205" s="32" t="n">
        <x:f>AM205*60/tun_SeasonSeconds</x:f>
        <x:v>998.6231849787546</x:v>
      </x:c>
    </x:row>
    <x:row r="206">
      <x:c r="A206" s="8" t="n">
        <x:f>A205+1</x:f>
        <x:v>203</x:v>
      </x:c>
      <x:c r="B206" s="9" t="n">
        <x:f>A206*tun_SeasonSeconds/60</x:f>
        <x:v>50.75</x:v>
      </x:c>
      <x:c r="C206" s="9" t="n">
        <x:f>A206/4</x:f>
        <x:v>50.75</x:v>
      </x:c>
      <x:c r="D206" s="8" t="n">
        <x:f>IF(MOD(A206,4)=0,1,0)</x:f>
        <x:v>0</x:v>
      </x:c>
      <x:c r="E206" s="8" t="n">
        <x:f>IF(AND(F205&lt;=9,AS205&gt;=AR205),1,0)</x:f>
        <x:v>0</x:v>
      </x:c>
      <x:c r="F206" s="8" t="n">
        <x:f>MIN(10,F205+E206)</x:f>
        <x:v>4</x:v>
      </x:c>
      <x:c r="G206" s="8" t="n">
        <x:f>MIN(F206,9)+1</x:f>
        <x:v>5</x:v>
      </x:c>
      <x:c r="H206" s="8" t="n">
        <x:f>IF(F206&lt;=9,1,0)</x:f>
        <x:v>1</x:v>
      </x:c>
      <x:c r="I206" s="9" t="n">
        <x:f>MIN(10,F205+IF(AR205&gt;0,MIN(1,AS205/AR205),1))</x:f>
        <x:v>4.3480881509758555</x:v>
      </x:c>
      <x:c r="J206" s="32" t="n">
        <x:f>INDEX(tun_FoodCap,G206)*Arch_FoodCap*EXP(tun_CapsByProject*SUMPRODUCT((Cap_Point&lt;=I206)*(Cap_Kind="Food")*Cap_Ln))</x:f>
        <x:v>196.11409090338805</x:v>
      </x:c>
      <x:c r="K206" s="32" t="n">
        <x:f>J206*MIN(1,tun_LeanBase*EXP(tun_CapsByProject*SUMPRODUCT((Cap_Point&lt;=I206)*(Cap_Kind="Lean")*Cap_Ln)))</x:f>
        <x:v>196.11409090338805</x:v>
      </x:c>
      <x:c r="L206" s="10" t="n">
        <x:f>INDEX(tun_HousingCap,G206)*EXP(tun_CapsByProject*SUMPRODUCT((Cap_Point&lt;=I206)*(Cap_Kind="Housing")*Cap_Ln))</x:f>
        <x:v>1137.2399999999998</x:v>
      </x:c>
      <x:c r="M206" s="10" t="n">
        <x:f>INDEX(tun_GroupCap,G206)*tun_CohesionFactor*EXP(tun_CapsByProject*SUMPRODUCT((Cap_Point&lt;=I206)*(Cap_Kind="Group")*Cap_Ln))</x:f>
        <x:v>10000.000000000005</x:v>
      </x:c>
      <x:c r="N206" s="32" t="n">
        <x:f>MIN(J206,L206,M206)</x:f>
        <x:v>196.11409090338805</x:v>
      </x:c>
      <x:c r="O206" s="10" t="n">
        <x:f>AE205*N206</x:f>
        <x:v>588.3422727101641</x:v>
      </x:c>
      <x:c r="P206" s="9" t="n">
        <x:f>MIN(1,(AB205/(AE205*IF(tun_GroupInCrowding=1,N206,MIN(J206,L206))))^tun_CrowdingExp)</x:f>
        <x:v>0.24034155793868883</x:v>
      </x:c>
      <x:c r="Q206" s="9" t="n">
        <x:f>IF(D206=1,INDEX(tun_WinterMult,G206),1)</x:f>
        <x:v>1</x:v>
      </x:c>
      <x:c r="R206" s="9" t="n">
        <x:f>H206*Z205*tun_WomenShare*tun_BaseFertility*INDEX(tun_FertMult,G206)*Arch_Fertility*(1-P206)</x:f>
        <x:v>9.760888314161456</x:v>
      </x:c>
      <x:c r="S206" s="9" t="n">
        <x:f>H206*Y205*INDEX(tun_MortChild,G206)/4*Q206</x:f>
        <x:v>1.9283189803452943</x:v>
      </x:c>
      <x:c r="T206" s="9" t="n">
        <x:f>H206*Z205*INDEX(tun_MortAdult,G206)*Arch_AdultMort/4*Q206</x:f>
        <x:v>0.4324199080290774</x:v>
      </x:c>
      <x:c r="U206" s="9" t="n">
        <x:f>H206*AA205*INDEX(tun_MortElder,G206)/4*Q206</x:f>
        <x:v>0.5574356862097593</x:v>
      </x:c>
      <x:c r="V206" s="9" t="n">
        <x:f>H206*MAX(0,AB205-O206)*tun_OvercapLoss</x:f>
        <x:v>0</x:v>
      </x:c>
      <x:c r="W206" s="9" t="n">
        <x:f>H206*Y205/(tun_ChildYears*4)</x:f>
        <x:v>4.591235667488796</x:v>
      </x:c>
      <x:c r="X206" s="9" t="n">
        <x:f>H206*Z205/(tun_AdultYears*4)</x:f>
        <x:v>1.3284789801200534</x:v>
      </x:c>
      <x:c r="Y206" s="32" t="n">
        <x:f>Y205+R206-S206-W206-Y205*V206/AB205</x:f>
        <x:v>260.35053104569994</x:v>
      </x:c>
      <x:c r="Z206" s="32" t="n">
        <x:f>Z205+W206-X206-T206-Z205*V206/AB205</x:f>
        <x:v>167.56173031422628</x:v>
      </x:c>
      <x:c r="AA206" s="32" t="n">
        <x:f>AA205+X206-U206-AA205*V206/AB205</x:f>
        <x:v>42.84166112106194</x:v>
      </x:c>
      <x:c r="AB206" s="10" t="n">
        <x:f>Y206+Z206+AA206</x:f>
        <x:v>470.75392248098814</x:v>
      </x:c>
      <x:c r="AC206" s="8" t="n">
        <x:f>IF(AND(tun_WinterTrigger=1,D206=1,AB205/AE205&gt;=K206),1,0)</x:f>
        <x:v>0</x:v>
      </x:c>
      <x:c r="AD206" s="8" t="n">
        <x:f>H206*IF(AND(OR(AB205/AE205&gt;=tun_FissionTrigger*N206,AC206=1),AB205/AE205*tun_DaughterShare&gt;=tun_MinDaughter),MAX(1,ROUND(AE205*tun_FissionRate,0)),0)</x:f>
        <x:v>0</x:v>
      </x:c>
      <x:c r="AE206" s="8" t="n">
        <x:f>IF(H206=1,MAX(1,MIN(INDEX(tun_Smax,G206),AE205+AD206)),AE205)</x:f>
        <x:v>3</x:v>
      </x:c>
      <x:c r="AF206" s="8" t="n">
        <x:f>MAX(0,AE206-AE205)</x:f>
        <x:v>0</x:v>
      </x:c>
      <x:c r="AG206" s="9" t="str">
        <x:f>IF(AF206&gt;0,B206,"")</x:f>
      </x:c>
      <x:c r="AH206" s="9" t="n">
        <x:f>IF(F206&gt;=1,1,(1+tun_LowTiesShare*(AE206-1))/AE206)</x:f>
        <x:v>1</x:v>
      </x:c>
      <x:c r="AI206" s="32" t="n">
        <x:f>(Z206+tun_ElderCommons*INDEX(LM_Elder,G206)*AA206)*AH206</x:f>
        <x:v>296.0867136774121</x:v>
      </x:c>
      <x:c r="AJ206" s="32" t="n">
        <x:f>H206*tun_CommonsCoef*AI206^tun_CommonsExp*INDEX(LM_Commons,G206)</x:f>
        <x:v>731.6166390071506</x:v>
      </x:c>
      <x:c r="AK206" s="32" t="n">
        <x:f>H206*tun_RoleScale*Arch_Roles*(AE206*(INDEX(tun_ElderRolePerSett,G206)*tun_OutElder*INDEX(LM_Elder,G206)+INDEX(tun_ShamanPerSett,G206)*tun_OutShaman)+Z206*(INDEX(tun_PriestShare,G206)*tun_OutPriest+INDEX(tun_ScribeShare,G206)*tun_OutScribe*INDEX(LM_Scribe,G206)+INDEX(tun_ScholarShare,G206)*tun_OutScholar*INDEX(LM_Scholar,G206)+INDEX(tun_ResearcherShare,G206)*tun_OutResearcher*INDEX(LM_Researcher,G206)))</x:f>
        <x:v>109.87819790288788</x:v>
      </x:c>
      <x:c r="AL206" s="32" t="n">
        <x:f>H206*tun_RoleScale*Arch_Roles*AE206*INDEX(tun_MonasteryPerSett,G206)*tun_OutMonastery*INDEX(LM_Monastery,G206)</x:f>
        <x:v>0</x:v>
      </x:c>
      <x:c r="AM206" s="32" t="n">
        <x:f>(AJ206+AK206+AL206)/4*INDEX(LM_All,G206)*INDEX(tun_Boon,G206)*Arch_Insight</x:f>
        <x:v>253.10174897601883</x:v>
      </x:c>
      <x:c r="AN206" s="32" t="n">
        <x:f>H206*(tun_KHPerAdult*Z206+tun_KHOfCommons*AJ206/4*INDEX(LM_All,G206))*tun_KHUsable*Arch_KH</x:f>
        <x:v>48.842500244187235</x:v>
      </x:c>
      <x:c r="AO206" s="32" t="n">
        <x:f>MIN(AP205+AN206,AM206*tun_KHMaxRatio)</x:f>
        <x:v>48.842500244187235</x:v>
      </x:c>
      <x:c r="AP206" s="32" t="n">
        <x:f>AP205+AN206-AO206</x:f>
        <x:v>0</x:v>
      </x:c>
      <x:c r="AQ206" s="32" t="n">
        <x:f>AM206+AO206</x:f>
        <x:v>301.9442492202061</x:v>
      </x:c>
      <x:c r="AR206" s="10" t="n">
        <x:f>IF(H206=1,INDEX(tun_Req,G206),0)</x:f>
        <x:v>21071.475087999996</x:v>
      </x:c>
      <x:c r="AS206" s="32" t="n">
        <x:f>IF(H206=1,IF(E206=1,AS205-AR205,AS205)+AQ206,0)</x:f>
        <x:v>7636.67505093593</x:v>
      </x:c>
      <x:c r="AT206" s="11" t="n">
        <x:f>IF(AR206&gt;0,MIN(1,AS206/AR206),1)</x:f>
        <x:v>0.36241767693259136</x:v>
      </x:c>
      <x:c r="AU206" s="10" t="n">
        <x:f>AB206/INDEX(tun_RepScale,G206)</x:f>
        <x:v>235.37696124049407</x:v>
      </x:c>
      <x:c r="AV206" s="32" t="n">
        <x:f>AM206*60/tun_SeasonSeconds</x:f>
        <x:v>1012.4069959040753</x:v>
      </x:c>
    </x:row>
    <x:row r="207">
      <x:c r="A207" s="8" t="n">
        <x:f>A206+1</x:f>
        <x:v>204</x:v>
      </x:c>
      <x:c r="B207" s="9" t="n">
        <x:f>A207*tun_SeasonSeconds/60</x:f>
        <x:v>51</x:v>
      </x:c>
      <x:c r="C207" s="9" t="n">
        <x:f>A207/4</x:f>
        <x:v>51</x:v>
      </x:c>
      <x:c r="D207" s="8" t="n">
        <x:f>IF(MOD(A207,4)=0,1,0)</x:f>
        <x:v>1</x:v>
      </x:c>
      <x:c r="E207" s="8" t="n">
        <x:f>IF(AND(F206&lt;=9,AS206&gt;=AR206),1,0)</x:f>
        <x:v>0</x:v>
      </x:c>
      <x:c r="F207" s="8" t="n">
        <x:f>MIN(10,F206+E207)</x:f>
        <x:v>4</x:v>
      </x:c>
      <x:c r="G207" s="8" t="n">
        <x:f>MIN(F207,9)+1</x:f>
        <x:v>5</x:v>
      </x:c>
      <x:c r="H207" s="8" t="n">
        <x:f>IF(F207&lt;=9,1,0)</x:f>
        <x:v>1</x:v>
      </x:c>
      <x:c r="I207" s="9" t="n">
        <x:f>MIN(10,F206+IF(AR206&gt;0,MIN(1,AS206/AR206),1))</x:f>
        <x:v>4.3624176769325915</x:v>
      </x:c>
      <x:c r="J207" s="32" t="n">
        <x:f>INDEX(tun_FoodCap,G207)*Arch_FoodCap*EXP(tun_CapsByProject*SUMPRODUCT((Cap_Point&lt;=I207)*(Cap_Kind="Food")*Cap_Ln))</x:f>
        <x:v>196.11409090338805</x:v>
      </x:c>
      <x:c r="K207" s="32" t="n">
        <x:f>J207*MIN(1,tun_LeanBase*EXP(tun_CapsByProject*SUMPRODUCT((Cap_Point&lt;=I207)*(Cap_Kind="Lean")*Cap_Ln)))</x:f>
        <x:v>196.11409090338805</x:v>
      </x:c>
      <x:c r="L207" s="10" t="n">
        <x:f>INDEX(tun_HousingCap,G207)*EXP(tun_CapsByProject*SUMPRODUCT((Cap_Point&lt;=I207)*(Cap_Kind="Housing")*Cap_Ln))</x:f>
        <x:v>1137.2399999999998</x:v>
      </x:c>
      <x:c r="M207" s="10" t="n">
        <x:f>INDEX(tun_GroupCap,G207)*tun_CohesionFactor*EXP(tun_CapsByProject*SUMPRODUCT((Cap_Point&lt;=I207)*(Cap_Kind="Group")*Cap_Ln))</x:f>
        <x:v>10000.000000000005</x:v>
      </x:c>
      <x:c r="N207" s="32" t="n">
        <x:f>MIN(J207,L207,M207)</x:f>
        <x:v>196.11409090338805</x:v>
      </x:c>
      <x:c r="O207" s="10" t="n">
        <x:f>AE206*N207</x:f>
        <x:v>588.3422727101641</x:v>
      </x:c>
      <x:c r="P207" s="9" t="n">
        <x:f>MIN(1,(AB206/(AE206*IF(tun_GroupInCrowding=1,N207,MIN(J207,L207))))^tun_CrowdingExp)</x:f>
        <x:v>0.2624118007665077</x:v>
      </x:c>
      <x:c r="Q207" s="9" t="n">
        <x:f>IF(D207=1,INDEX(tun_WinterMult,G207),1)</x:f>
        <x:v>1.2</x:v>
      </x:c>
      <x:c r="R207" s="9" t="n">
        <x:f>H207*Z206*tun_WomenShare*tun_BaseFertility*INDEX(tun_FertMult,G207)*Arch_Fertility*(1-P207)</x:f>
        <x:v>9.640141283987624</x:v>
      </x:c>
      <x:c r="S207" s="9" t="n">
        <x:f>H207*Y206*INDEX(tun_MortChild,G207)/4*Q207</x:f>
        <x:v>2.3431547794112992</x:v>
      </x:c>
      <x:c r="T207" s="9" t="n">
        <x:f>H207*Z206*INDEX(tun_MortAdult,G207)*Arch_AdultMort/4*Q207</x:f>
        <x:v>0.5278194504898128</x:v>
      </x:c>
      <x:c r="U207" s="9" t="n">
        <x:f>H207*AA206*INDEX(tun_MortElder,G207)/4*Q207</x:f>
        <x:v>0.6811824118248848</x:v>
      </x:c>
      <x:c r="V207" s="9" t="n">
        <x:f>H207*MAX(0,AB206-O207)*tun_OvercapLoss</x:f>
        <x:v>0</x:v>
      </x:c>
      <x:c r="W207" s="9" t="n">
        <x:f>H207*Y206/(tun_ChildYears*4)</x:f>
        <x:v>4.64911662581607</x:v>
      </x:c>
      <x:c r="X207" s="9" t="n">
        <x:f>H207*Z206/(tun_AdultYears*4)</x:f>
        <x:v>1.3513042767276313</x:v>
      </x:c>
      <x:c r="Y207" s="32" t="n">
        <x:f>Y206+R207-S207-W207-Y206*V207/AB206</x:f>
        <x:v>262.9984009244602</x:v>
      </x:c>
      <x:c r="Z207" s="32" t="n">
        <x:f>Z206+W207-X207-T207-Z206*V207/AB206</x:f>
        <x:v>170.33172321282493</x:v>
      </x:c>
      <x:c r="AA207" s="32" t="n">
        <x:f>AA206+X207-U207-AA206*V207/AB206</x:f>
        <x:v>43.511782985964686</x:v>
      </x:c>
      <x:c r="AB207" s="10" t="n">
        <x:f>Y207+Z207+AA207</x:f>
        <x:v>476.8419071232498</x:v>
      </x:c>
      <x:c r="AC207" s="8" t="n">
        <x:f>IF(AND(tun_WinterTrigger=1,D207=1,AB206/AE206&gt;=K207),1,0)</x:f>
        <x:v>0</x:v>
      </x:c>
      <x:c r="AD207" s="8" t="n">
        <x:f>H207*IF(AND(OR(AB206/AE206&gt;=tun_FissionTrigger*N207,AC207=1),AB206/AE206*tun_DaughterShare&gt;=tun_MinDaughter),MAX(1,ROUND(AE206*tun_FissionRate,0)),0)</x:f>
        <x:v>0</x:v>
      </x:c>
      <x:c r="AE207" s="8" t="n">
        <x:f>IF(H207=1,MAX(1,MIN(INDEX(tun_Smax,G207),AE206+AD207)),AE206)</x:f>
        <x:v>3</x:v>
      </x:c>
      <x:c r="AF207" s="8" t="n">
        <x:f>MAX(0,AE207-AE206)</x:f>
        <x:v>0</x:v>
      </x:c>
      <x:c r="AG207" s="9" t="str">
        <x:f>IF(AF207&gt;0,B207,"")</x:f>
      </x:c>
      <x:c r="AH207" s="9" t="n">
        <x:f>IF(F207&gt;=1,1,(1+tun_LowTiesShare*(AE207-1))/AE207)</x:f>
        <x:v>1</x:v>
      </x:c>
      <x:c r="AI207" s="32" t="n">
        <x:f>(Z207+tun_ElderCommons*INDEX(LM_Elder,G207)*AA207)*AH207</x:f>
        <x:v>300.867072170719</x:v>
      </x:c>
      <x:c r="AJ207" s="32" t="n">
        <x:f>H207*tun_CommonsCoef*AI207^tun_CommonsExp*INDEX(LM_Commons,G207)</x:f>
        <x:v>741.6447949366592</x:v>
      </x:c>
      <x:c r="AK207" s="32" t="n">
        <x:f>H207*tun_RoleScale*Arch_Roles*(AE207*(INDEX(tun_ElderRolePerSett,G207)*tun_OutElder*INDEX(LM_Elder,G207)+INDEX(tun_ShamanPerSett,G207)*tun_OutShaman)+Z207*(INDEX(tun_PriestShare,G207)*tun_OutPriest+INDEX(tun_ScribeShare,G207)*tun_OutScribe*INDEX(LM_Scribe,G207)+INDEX(tun_ScholarShare,G207)*tun_OutScholar*INDEX(LM_Scholar,G207)+INDEX(tun_ResearcherShare,G207)*tun_OutResearcher*INDEX(LM_Researcher,G207)))</x:f>
        <x:v>110.50436915933142</x:v>
      </x:c>
      <x:c r="AL207" s="32" t="n">
        <x:f>H207*tun_RoleScale*Arch_Roles*AE207*INDEX(tun_MonasteryPerSett,G207)*tun_OutMonastery*INDEX(LM_Monastery,G207)</x:f>
        <x:v>0</x:v>
      </x:c>
      <x:c r="AM207" s="32" t="n">
        <x:f>(AJ207+AK207+AL207)/4*INDEX(LM_All,G207)*INDEX(tun_Boon,G207)*Arch_Insight</x:f>
        <x:v>256.30631866159075</x:v>
      </x:c>
      <x:c r="AN207" s="32" t="n">
        <x:f>H207*(tun_KHPerAdult*Z207+tun_KHOfCommons*AJ207/4*INDEX(LM_All,G207))*tun_KHUsable*Arch_KH</x:f>
        <x:v>49.511976828400044</x:v>
      </x:c>
      <x:c r="AO207" s="32" t="n">
        <x:f>MIN(AP206+AN207,AM207*tun_KHMaxRatio)</x:f>
        <x:v>49.511976828400044</x:v>
      </x:c>
      <x:c r="AP207" s="32" t="n">
        <x:f>AP206+AN207-AO207</x:f>
        <x:v>0</x:v>
      </x:c>
      <x:c r="AQ207" s="32" t="n">
        <x:f>AM207+AO207</x:f>
        <x:v>305.8182954899908</x:v>
      </x:c>
      <x:c r="AR207" s="10" t="n">
        <x:f>IF(H207=1,INDEX(tun_Req,G207),0)</x:f>
        <x:v>21071.475087999996</x:v>
      </x:c>
      <x:c r="AS207" s="32" t="n">
        <x:f>IF(H207=1,IF(E207=1,AS206-AR206,AS206)+AQ207,0)</x:f>
        <x:v>7942.493346425921</x:v>
      </x:c>
      <x:c r="AT207" s="11" t="n">
        <x:f>IF(AR207&gt;0,MIN(1,AS207/AR207),1)</x:f>
        <x:v>0.3769310555267721</x:v>
      </x:c>
      <x:c r="AU207" s="10" t="n">
        <x:f>AB207/INDEX(tun_RepScale,G207)</x:f>
        <x:v>238.4209535616249</x:v>
      </x:c>
      <x:c r="AV207" s="32" t="n">
        <x:f>AM207*60/tun_SeasonSeconds</x:f>
        <x:v>1025.225274646363</x:v>
      </x:c>
    </x:row>
    <x:row r="208">
      <x:c r="A208" s="8" t="n">
        <x:f>A207+1</x:f>
        <x:v>205</x:v>
      </x:c>
      <x:c r="B208" s="9" t="n">
        <x:f>A208*tun_SeasonSeconds/60</x:f>
        <x:v>51.25</x:v>
      </x:c>
      <x:c r="C208" s="9" t="n">
        <x:f>A208/4</x:f>
        <x:v>51.25</x:v>
      </x:c>
      <x:c r="D208" s="8" t="n">
        <x:f>IF(MOD(A208,4)=0,1,0)</x:f>
        <x:v>0</x:v>
      </x:c>
      <x:c r="E208" s="8" t="n">
        <x:f>IF(AND(F207&lt;=9,AS207&gt;=AR207),1,0)</x:f>
        <x:v>0</x:v>
      </x:c>
      <x:c r="F208" s="8" t="n">
        <x:f>MIN(10,F207+E208)</x:f>
        <x:v>4</x:v>
      </x:c>
      <x:c r="G208" s="8" t="n">
        <x:f>MIN(F208,9)+1</x:f>
        <x:v>5</x:v>
      </x:c>
      <x:c r="H208" s="8" t="n">
        <x:f>IF(F208&lt;=9,1,0)</x:f>
        <x:v>1</x:v>
      </x:c>
      <x:c r="I208" s="9" t="n">
        <x:f>MIN(10,F207+IF(AR207&gt;0,MIN(1,AS207/AR207),1))</x:f>
        <x:v>4.376931055526772</x:v>
      </x:c>
      <x:c r="J208" s="32" t="n">
        <x:f>INDEX(tun_FoodCap,G208)*Arch_FoodCap*EXP(tun_CapsByProject*SUMPRODUCT((Cap_Point&lt;=I208)*(Cap_Kind="Food")*Cap_Ln))</x:f>
        <x:v>196.11409090338805</x:v>
      </x:c>
      <x:c r="K208" s="32" t="n">
        <x:f>J208*MIN(1,tun_LeanBase*EXP(tun_CapsByProject*SUMPRODUCT((Cap_Point&lt;=I208)*(Cap_Kind="Lean")*Cap_Ln)))</x:f>
        <x:v>196.11409090338805</x:v>
      </x:c>
      <x:c r="L208" s="10" t="n">
        <x:f>INDEX(tun_HousingCap,G208)*EXP(tun_CapsByProject*SUMPRODUCT((Cap_Point&lt;=I208)*(Cap_Kind="Housing")*Cap_Ln))</x:f>
        <x:v>1137.2399999999998</x:v>
      </x:c>
      <x:c r="M208" s="10" t="n">
        <x:f>INDEX(tun_GroupCap,G208)*tun_CohesionFactor*EXP(tun_CapsByProject*SUMPRODUCT((Cap_Point&lt;=I208)*(Cap_Kind="Group")*Cap_Ln))</x:f>
        <x:v>10000.000000000005</x:v>
      </x:c>
      <x:c r="N208" s="32" t="n">
        <x:f>MIN(J208,L208,M208)</x:f>
        <x:v>196.11409090338805</x:v>
      </x:c>
      <x:c r="O208" s="10" t="n">
        <x:f>AE207*N208</x:f>
        <x:v>588.3422727101641</x:v>
      </x:c>
      <x:c r="P208" s="9" t="n">
        <x:f>MIN(1,(AB207/(AE207*IF(tun_GroupInCrowding=1,N208,MIN(J208,L208))))^tun_CrowdingExp)</x:f>
        <x:v>0.2834432863767056</x:v>
      </x:c>
      <x:c r="Q208" s="9" t="n">
        <x:f>IF(D208=1,INDEX(tun_WinterMult,G208),1)</x:f>
        <x:v>1</x:v>
      </x:c>
      <x:c r="R208" s="9" t="n">
        <x:f>H208*Z207*tun_WomenShare*tun_BaseFertility*INDEX(tun_FertMult,G208)*Arch_Fertility*(1-P208)</x:f>
        <x:v>9.520082505271606</x:v>
      </x:c>
      <x:c r="S208" s="9" t="n">
        <x:f>H208*Y207*INDEX(tun_MortChild,G208)/4*Q208</x:f>
        <x:v>1.9724880069334516</x:v>
      </x:c>
      <x:c r="T208" s="9" t="n">
        <x:f>H208*Z207*INDEX(tun_MortAdult,G208)*Arch_AdultMort/4*Q208</x:f>
        <x:v>0.44712077343366546</x:v>
      </x:c>
      <x:c r="U208" s="9" t="n">
        <x:f>H208*AA207*INDEX(tun_MortElder,G208)/4*Q208</x:f>
        <x:v>0.5765311245640321</x:v>
      </x:c>
      <x:c r="V208" s="9" t="n">
        <x:f>H208*MAX(0,AB207-O208)*tun_OvercapLoss</x:f>
        <x:v>0</x:v>
      </x:c>
      <x:c r="W208" s="9" t="n">
        <x:f>H208*Y207/(tun_ChildYears*4)</x:f>
        <x:v>4.6964000165082185</x:v>
      </x:c>
      <x:c r="X208" s="9" t="n">
        <x:f>H208*Z207/(tun_AdultYears*4)</x:f>
        <x:v>1.3736429291356849</x:v>
      </x:c>
      <x:c r="Y208" s="32" t="n">
        <x:f>Y207+R208-S208-W208-Y207*V208/AB207</x:f>
        <x:v>265.8495954062901</x:v>
      </x:c>
      <x:c r="Z208" s="32" t="n">
        <x:f>Z207+W208-X208-T208-Z207*V208/AB207</x:f>
        <x:v>173.2073595267638</x:v>
      </x:c>
      <x:c r="AA208" s="32" t="n">
        <x:f>AA207+X208-U208-AA207*V208/AB207</x:f>
        <x:v>44.308894790536336</x:v>
      </x:c>
      <x:c r="AB208" s="10" t="n">
        <x:f>Y208+Z208+AA208</x:f>
        <x:v>483.36584972359026</x:v>
      </x:c>
      <x:c r="AC208" s="8" t="n">
        <x:f>IF(AND(tun_WinterTrigger=1,D208=1,AB207/AE207&gt;=K208),1,0)</x:f>
        <x:v>0</x:v>
      </x:c>
      <x:c r="AD208" s="8" t="n">
        <x:f>H208*IF(AND(OR(AB207/AE207&gt;=tun_FissionTrigger*N208,AC208=1),AB207/AE207*tun_DaughterShare&gt;=tun_MinDaughter),MAX(1,ROUND(AE207*tun_FissionRate,0)),0)</x:f>
        <x:v>0</x:v>
      </x:c>
      <x:c r="AE208" s="8" t="n">
        <x:f>IF(H208=1,MAX(1,MIN(INDEX(tun_Smax,G208),AE207+AD208)),AE207)</x:f>
        <x:v>3</x:v>
      </x:c>
      <x:c r="AF208" s="8" t="n">
        <x:f>MAX(0,AE208-AE207)</x:f>
        <x:v>0</x:v>
      </x:c>
      <x:c r="AG208" s="9" t="str">
        <x:f>IF(AF208&gt;0,B208,"")</x:f>
      </x:c>
      <x:c r="AH208" s="9" t="n">
        <x:f>IF(F208&gt;=1,1,(1+tun_LowTiesShare*(AE208-1))/AE208)</x:f>
        <x:v>1</x:v>
      </x:c>
      <x:c r="AI208" s="32" t="n">
        <x:f>(Z208+tun_ElderCommons*INDEX(LM_Elder,G208)*AA208)*AH208</x:f>
        <x:v>306.13404389837285</x:v>
      </x:c>
      <x:c r="AJ208" s="32" t="n">
        <x:f>H208*tun_CommonsCoef*AI208^tun_CommonsExp*INDEX(LM_Commons,G208)</x:f>
        <x:v>752.666135465883</x:v>
      </x:c>
      <x:c r="AK208" s="32" t="n">
        <x:f>H208*tun_RoleScale*Arch_Roles*(AE208*(INDEX(tun_ElderRolePerSett,G208)*tun_OutElder*INDEX(LM_Elder,G208)+INDEX(tun_ShamanPerSett,G208)*tun_OutShaman)+Z208*(INDEX(tun_PriestShare,G208)*tun_OutPriest+INDEX(tun_ScribeShare,G208)*tun_OutScribe*INDEX(LM_Scribe,G208)+INDEX(tun_ScholarShare,G208)*tun_OutScholar*INDEX(LM_Scholar,G208)+INDEX(tun_ResearcherShare,G208)*tun_OutResearcher*INDEX(LM_Researcher,G208)))</x:f>
        <x:v>111.15442165754712</x:v>
      </x:c>
      <x:c r="AL208" s="32" t="n">
        <x:f>H208*tun_RoleScale*Arch_Roles*AE208*INDEX(tun_MonasteryPerSett,G208)*tun_OutMonastery*INDEX(LM_Monastery,G208)</x:f>
        <x:v>0</x:v>
      </x:c>
      <x:c r="AM208" s="32" t="n">
        <x:f>(AJ208+AK208+AL208)/4*INDEX(LM_All,G208)*INDEX(tun_Boon,G208)*Arch_Insight</x:f>
        <x:v>259.8167977027679</x:v>
      </x:c>
      <x:c r="AN208" s="32" t="n">
        <x:f>H208*(tun_KHPerAdult*Z208+tun_KHOfCommons*AJ208/4*INDEX(LM_All,G208))*tun_KHUsable*Arch_KH</x:f>
        <x:v>50.24775810890839</x:v>
      </x:c>
      <x:c r="AO208" s="32" t="n">
        <x:f>MIN(AP207+AN208,AM208*tun_KHMaxRatio)</x:f>
        <x:v>50.24775810890839</x:v>
      </x:c>
      <x:c r="AP208" s="32" t="n">
        <x:f>AP207+AN208-AO208</x:f>
        <x:v>0</x:v>
      </x:c>
      <x:c r="AQ208" s="32" t="n">
        <x:f>AM208+AO208</x:f>
        <x:v>310.06455581167626</x:v>
      </x:c>
      <x:c r="AR208" s="10" t="n">
        <x:f>IF(H208=1,INDEX(tun_Req,G208),0)</x:f>
        <x:v>21071.475087999996</x:v>
      </x:c>
      <x:c r="AS208" s="32" t="n">
        <x:f>IF(H208=1,IF(E208=1,AS207-AR207,AS207)+AQ208,0)</x:f>
        <x:v>8252.557902237597</x:v>
      </x:c>
      <x:c r="AT208" s="11" t="n">
        <x:f>IF(AR208&gt;0,MIN(1,AS208/AR208),1)</x:f>
        <x:v>0.39164595111508593</x:v>
      </x:c>
      <x:c r="AU208" s="10" t="n">
        <x:f>AB208/INDEX(tun_RepScale,G208)</x:f>
        <x:v>241.68292486179513</x:v>
      </x:c>
      <x:c r="AV208" s="32" t="n">
        <x:f>AM208*60/tun_SeasonSeconds</x:f>
        <x:v>1039.2671908110715</x:v>
      </x:c>
    </x:row>
    <x:row r="209">
      <x:c r="A209" s="8" t="n">
        <x:f>A208+1</x:f>
        <x:v>206</x:v>
      </x:c>
      <x:c r="B209" s="9" t="n">
        <x:f>A209*tun_SeasonSeconds/60</x:f>
        <x:v>51.5</x:v>
      </x:c>
      <x:c r="C209" s="9" t="n">
        <x:f>A209/4</x:f>
        <x:v>51.5</x:v>
      </x:c>
      <x:c r="D209" s="8" t="n">
        <x:f>IF(MOD(A209,4)=0,1,0)</x:f>
        <x:v>0</x:v>
      </x:c>
      <x:c r="E209" s="8" t="n">
        <x:f>IF(AND(F208&lt;=9,AS208&gt;=AR208),1,0)</x:f>
        <x:v>0</x:v>
      </x:c>
      <x:c r="F209" s="8" t="n">
        <x:f>MIN(10,F208+E209)</x:f>
        <x:v>4</x:v>
      </x:c>
      <x:c r="G209" s="8" t="n">
        <x:f>MIN(F209,9)+1</x:f>
        <x:v>5</x:v>
      </x:c>
      <x:c r="H209" s="8" t="n">
        <x:f>IF(F209&lt;=9,1,0)</x:f>
        <x:v>1</x:v>
      </x:c>
      <x:c r="I209" s="9" t="n">
        <x:f>MIN(10,F208+IF(AR208&gt;0,MIN(1,AS208/AR208),1))</x:f>
        <x:v>4.391645951115086</x:v>
      </x:c>
      <x:c r="J209" s="32" t="n">
        <x:f>INDEX(tun_FoodCap,G209)*Arch_FoodCap*EXP(tun_CapsByProject*SUMPRODUCT((Cap_Point&lt;=I209)*(Cap_Kind="Food")*Cap_Ln))</x:f>
        <x:v>196.11409090338805</x:v>
      </x:c>
      <x:c r="K209" s="32" t="n">
        <x:f>J209*MIN(1,tun_LeanBase*EXP(tun_CapsByProject*SUMPRODUCT((Cap_Point&lt;=I209)*(Cap_Kind="Lean")*Cap_Ln)))</x:f>
        <x:v>196.11409090338805</x:v>
      </x:c>
      <x:c r="L209" s="10" t="n">
        <x:f>INDEX(tun_HousingCap,G209)*EXP(tun_CapsByProject*SUMPRODUCT((Cap_Point&lt;=I209)*(Cap_Kind="Housing")*Cap_Ln))</x:f>
        <x:v>1137.2399999999998</x:v>
      </x:c>
      <x:c r="M209" s="10" t="n">
        <x:f>INDEX(tun_GroupCap,G209)*tun_CohesionFactor*EXP(tun_CapsByProject*SUMPRODUCT((Cap_Point&lt;=I209)*(Cap_Kind="Group")*Cap_Ln))</x:f>
        <x:v>10000.000000000005</x:v>
      </x:c>
      <x:c r="N209" s="32" t="n">
        <x:f>MIN(J209,L209,M209)</x:f>
        <x:v>196.11409090338805</x:v>
      </x:c>
      <x:c r="O209" s="10" t="n">
        <x:f>AE208*N209</x:f>
        <x:v>588.3422727101641</x:v>
      </x:c>
      <x:c r="P209" s="9" t="n">
        <x:f>MIN(1,(AB208/(AE208*IF(tun_GroupInCrowding=1,N209,MIN(J209,L209))))^tun_CrowdingExp)</x:f>
        <x:v>0.307521482831409</x:v>
      </x:c>
      <x:c r="Q209" s="9" t="n">
        <x:f>IF(D209=1,INDEX(tun_WinterMult,G209),1)</x:f>
        <x:v>1</x:v>
      </x:c>
      <x:c r="R209" s="9" t="n">
        <x:f>H209*Z208*tun_WomenShare*tun_BaseFertility*INDEX(tun_FertMult,G209)*Arch_Fertility*(1-P209)</x:f>
        <x:v>9.355505288046874</x:v>
      </x:c>
      <x:c r="S209" s="9" t="n">
        <x:f>H209*Y208*INDEX(tun_MortChild,G209)/4*Q209</x:f>
        <x:v>1.993871965547176</x:v>
      </x:c>
      <x:c r="T209" s="9" t="n">
        <x:f>H209*Z208*INDEX(tun_MortAdult,G209)*Arch_AdultMort/4*Q209</x:f>
        <x:v>0.454669318757755</x:v>
      </x:c>
      <x:c r="U209" s="9" t="n">
        <x:f>H209*AA208*INDEX(tun_MortElder,G209)/4*Q209</x:f>
        <x:v>0.5870928559746065</x:v>
      </x:c>
      <x:c r="V209" s="9" t="n">
        <x:f>H209*MAX(0,AB208-O209)*tun_OvercapLoss</x:f>
        <x:v>0</x:v>
      </x:c>
      <x:c r="W209" s="9" t="n">
        <x:f>H209*Y208/(tun_ChildYears*4)</x:f>
        <x:v>4.747314203683752</x:v>
      </x:c>
      <x:c r="X209" s="9" t="n">
        <x:f>H209*Z208/(tun_AdultYears*4)</x:f>
        <x:v>1.3968335445706759</x:v>
      </x:c>
      <x:c r="Y209" s="32" t="n">
        <x:f>Y208+R209-S209-W209-Y208*V209/AB208</x:f>
        <x:v>268.4639145251061</x:v>
      </x:c>
      <x:c r="Z209" s="32" t="n">
        <x:f>Z208+W209-X209-T209-Z208*V209/AB208</x:f>
        <x:v>176.1031708671191</x:v>
      </x:c>
      <x:c r="AA209" s="32" t="n">
        <x:f>AA208+X209-U209-AA208*V209/AB208</x:f>
        <x:v>45.11863547913241</x:v>
      </x:c>
      <x:c r="AB209" s="10" t="n">
        <x:f>Y209+Z209+AA209</x:f>
        <x:v>489.6857208713576</x:v>
      </x:c>
      <x:c r="AC209" s="8" t="n">
        <x:f>IF(AND(tun_WinterTrigger=1,D209=1,AB208/AE208&gt;=K209),1,0)</x:f>
        <x:v>0</x:v>
      </x:c>
      <x:c r="AD209" s="8" t="n">
        <x:f>H209*IF(AND(OR(AB208/AE208&gt;=tun_FissionTrigger*N209,AC209=1),AB208/AE208*tun_DaughterShare&gt;=tun_MinDaughter),MAX(1,ROUND(AE208*tun_FissionRate,0)),0)</x:f>
        <x:v>0</x:v>
      </x:c>
      <x:c r="AE209" s="8" t="n">
        <x:f>IF(H209=1,MAX(1,MIN(INDEX(tun_Smax,G209),AE208+AD209)),AE208)</x:f>
        <x:v>3</x:v>
      </x:c>
      <x:c r="AF209" s="8" t="n">
        <x:f>MAX(0,AE209-AE208)</x:f>
        <x:v>0</x:v>
      </x:c>
      <x:c r="AG209" s="9" t="str">
        <x:f>IF(AF209&gt;0,B209,"")</x:f>
      </x:c>
      <x:c r="AH209" s="9" t="n">
        <x:f>IF(F209&gt;=1,1,(1+tun_LowTiesShare*(AE209-1))/AE209)</x:f>
        <x:v>1</x:v>
      </x:c>
      <x:c r="AI209" s="32" t="n">
        <x:f>(Z209+tun_ElderCommons*INDEX(LM_Elder,G209)*AA209)*AH209</x:f>
        <x:v>311.4590773045163</x:v>
      </x:c>
      <x:c r="AJ209" s="32" t="n">
        <x:f>H209*tun_CommonsCoef*AI209^tun_CommonsExp*INDEX(LM_Commons,G209)</x:f>
        <x:v>763.7800950894082</x:v>
      </x:c>
      <x:c r="AK209" s="32" t="n">
        <x:f>H209*tun_RoleScale*Arch_Roles*(AE209*(INDEX(tun_ElderRolePerSett,G209)*tun_OutElder*INDEX(LM_Elder,G209)+INDEX(tun_ShamanPerSett,G209)*tun_OutShaman)+Z209*(INDEX(tun_PriestShare,G209)*tun_OutPriest+INDEX(tun_ScribeShare,G209)*tun_OutScribe*INDEX(LM_Scribe,G209)+INDEX(tun_ScholarShare,G209)*tun_OutScholar*INDEX(LM_Scholar,G209)+INDEX(tun_ResearcherShare,G209)*tun_OutResearcher*INDEX(LM_Researcher,G209)))</x:f>
        <x:v>111.80903482508668</x:v>
      </x:c>
      <x:c r="AL209" s="32" t="n">
        <x:f>H209*tun_RoleScale*Arch_Roles*AE209*INDEX(tun_MonasteryPerSett,G209)*tun_OutMonastery*INDEX(LM_Monastery,G209)</x:f>
        <x:v>0</x:v>
      </x:c>
      <x:c r="AM209" s="32" t="n">
        <x:f>(AJ209+AK209+AL209)/4*INDEX(LM_All,G209)*INDEX(tun_Boon,G209)*Arch_Insight</x:f>
        <x:v>263.3565061189331</x:v>
      </x:c>
      <x:c r="AN209" s="32" t="n">
        <x:f>H209*(tun_KHPerAdult*Z209+tun_KHOfCommons*AJ209/4*INDEX(LM_All,G209))*tun_KHUsable*Arch_KH</x:f>
        <x:v>50.98972261146888</x:v>
      </x:c>
      <x:c r="AO209" s="32" t="n">
        <x:f>MIN(AP208+AN209,AM209*tun_KHMaxRatio)</x:f>
        <x:v>50.98972261146888</x:v>
      </x:c>
      <x:c r="AP209" s="32" t="n">
        <x:f>AP208+AN209-AO209</x:f>
        <x:v>0</x:v>
      </x:c>
      <x:c r="AQ209" s="32" t="n">
        <x:f>AM209+AO209</x:f>
        <x:v>314.346228730402</x:v>
      </x:c>
      <x:c r="AR209" s="10" t="n">
        <x:f>IF(H209=1,INDEX(tun_Req,G209),0)</x:f>
        <x:v>21071.475087999996</x:v>
      </x:c>
      <x:c r="AS209" s="32" t="n">
        <x:f>IF(H209=1,IF(E209=1,AS208-AR208,AS208)+AQ209,0)</x:f>
        <x:v>8566.904130968</x:v>
      </x:c>
      <x:c r="AT209" s="11" t="n">
        <x:f>IF(AR209&gt;0,MIN(1,AS209/AR209),1)</x:f>
        <x:v>0.40656404429164855</x:v>
      </x:c>
      <x:c r="AU209" s="10" t="n">
        <x:f>AB209/INDEX(tun_RepScale,G209)</x:f>
        <x:v>244.8428604356788</x:v>
      </x:c>
      <x:c r="AV209" s="32" t="n">
        <x:f>AM209*60/tun_SeasonSeconds</x:f>
        <x:v>1053.4260244757324</x:v>
      </x:c>
    </x:row>
    <x:row r="210">
      <x:c r="A210" s="8" t="n">
        <x:f>A209+1</x:f>
        <x:v>207</x:v>
      </x:c>
      <x:c r="B210" s="9" t="n">
        <x:f>A210*tun_SeasonSeconds/60</x:f>
        <x:v>51.75</x:v>
      </x:c>
      <x:c r="C210" s="9" t="n">
        <x:f>A210/4</x:f>
        <x:v>51.75</x:v>
      </x:c>
      <x:c r="D210" s="8" t="n">
        <x:f>IF(MOD(A210,4)=0,1,0)</x:f>
        <x:v>0</x:v>
      </x:c>
      <x:c r="E210" s="8" t="n">
        <x:f>IF(AND(F209&lt;=9,AS209&gt;=AR209),1,0)</x:f>
        <x:v>0</x:v>
      </x:c>
      <x:c r="F210" s="8" t="n">
        <x:f>MIN(10,F209+E210)</x:f>
        <x:v>4</x:v>
      </x:c>
      <x:c r="G210" s="8" t="n">
        <x:f>MIN(F210,9)+1</x:f>
        <x:v>5</x:v>
      </x:c>
      <x:c r="H210" s="8" t="n">
        <x:f>IF(F210&lt;=9,1,0)</x:f>
        <x:v>1</x:v>
      </x:c>
      <x:c r="I210" s="9" t="n">
        <x:f>MIN(10,F209+IF(AR209&gt;0,MIN(1,AS209/AR209),1))</x:f>
        <x:v>4.406564044291649</x:v>
      </x:c>
      <x:c r="J210" s="32" t="n">
        <x:f>INDEX(tun_FoodCap,G210)*Arch_FoodCap*EXP(tun_CapsByProject*SUMPRODUCT((Cap_Point&lt;=I210)*(Cap_Kind="Food")*Cap_Ln))</x:f>
        <x:v>235.3369090840656</x:v>
      </x:c>
      <x:c r="K210" s="32" t="n">
        <x:f>J210*MIN(1,tun_LeanBase*EXP(tun_CapsByProject*SUMPRODUCT((Cap_Point&lt;=I210)*(Cap_Kind="Lean")*Cap_Ln)))</x:f>
        <x:v>235.3369090840656</x:v>
      </x:c>
      <x:c r="L210" s="10" t="n">
        <x:f>INDEX(tun_HousingCap,G210)*EXP(tun_CapsByProject*SUMPRODUCT((Cap_Point&lt;=I210)*(Cap_Kind="Housing")*Cap_Ln))</x:f>
        <x:v>1478.4119999999994</x:v>
      </x:c>
      <x:c r="M210" s="10" t="n">
        <x:f>INDEX(tun_GroupCap,G210)*tun_CohesionFactor*EXP(tun_CapsByProject*SUMPRODUCT((Cap_Point&lt;=I210)*(Cap_Kind="Group")*Cap_Ln))</x:f>
        <x:v>10000.000000000005</x:v>
      </x:c>
      <x:c r="N210" s="32" t="n">
        <x:f>MIN(J210,L210,M210)</x:f>
        <x:v>235.3369090840656</x:v>
      </x:c>
      <x:c r="O210" s="10" t="n">
        <x:f>AE209*N210</x:f>
        <x:v>706.0107272521968</x:v>
      </x:c>
      <x:c r="P210" s="9" t="n">
        <x:f>MIN(1,(AB209/(AE209*IF(tun_GroupInCrowding=1,N210,MIN(J210,L210))))^tun_CrowdingExp)</x:f>
        <x:v>0.1113363148875681</x:v>
      </x:c>
      <x:c r="Q210" s="9" t="n">
        <x:f>IF(D210=1,INDEX(tun_WinterMult,G210),1)</x:f>
        <x:v>1</x:v>
      </x:c>
      <x:c r="R210" s="9" t="n">
        <x:f>H210*Z209*tun_WomenShare*tun_BaseFertility*INDEX(tun_FertMult,G210)*Arch_Fertility*(1-P210)</x:f>
        <x:v>12.206726437055147</x:v>
      </x:c>
      <x:c r="S210" s="9" t="n">
        <x:f>H210*Y209*INDEX(tun_MortChild,G210)/4*Q210</x:f>
        <x:v>2.0134793589382953</x:v>
      </x:c>
      <x:c r="T210" s="9" t="n">
        <x:f>H210*Z209*INDEX(tun_MortAdult,G210)*Arch_AdultMort/4*Q210</x:f>
        <x:v>0.4622708235261877</x:v>
      </x:c>
      <x:c r="U210" s="9" t="n">
        <x:f>H210*AA209*INDEX(tun_MortElder,G210)/4*Q210</x:f>
        <x:v>0.5978219200985044</x:v>
      </x:c>
      <x:c r="V210" s="9" t="n">
        <x:f>H210*MAX(0,AB209-O210)*tun_OvercapLoss</x:f>
        <x:v>0</x:v>
      </x:c>
      <x:c r="W210" s="9" t="n">
        <x:f>H210*Y209/(tun_ChildYears*4)</x:f>
        <x:v>4.793998473662609</x:v>
      </x:c>
      <x:c r="X210" s="9" t="n">
        <x:f>H210*Z209/(tun_AdultYears*4)</x:f>
        <x:v>1.4201868618316056</x:v>
      </x:c>
      <x:c r="Y210" s="32" t="n">
        <x:f>Y209+R210-S210-W210-Y209*V210/AB209</x:f>
        <x:v>273.8631631295603</x:v>
      </x:c>
      <x:c r="Z210" s="32" t="n">
        <x:f>Z209+W210-X210-T210-Z209*V210/AB209</x:f>
        <x:v>179.01471165542392</x:v>
      </x:c>
      <x:c r="AA210" s="32" t="n">
        <x:f>AA209+X210-U210-AA209*V210/AB209</x:f>
        <x:v>45.94100042086551</x:v>
      </x:c>
      <x:c r="AB210" s="10" t="n">
        <x:f>Y210+Z210+AA210</x:f>
        <x:v>498.81887520584974</x:v>
      </x:c>
      <x:c r="AC210" s="8" t="n">
        <x:f>IF(AND(tun_WinterTrigger=1,D210=1,AB209/AE209&gt;=K210),1,0)</x:f>
        <x:v>0</x:v>
      </x:c>
      <x:c r="AD210" s="8" t="n">
        <x:f>H210*IF(AND(OR(AB209/AE209&gt;=tun_FissionTrigger*N210,AC210=1),AB209/AE209*tun_DaughterShare&gt;=tun_MinDaughter),MAX(1,ROUND(AE209*tun_FissionRate,0)),0)</x:f>
        <x:v>0</x:v>
      </x:c>
      <x:c r="AE210" s="8" t="n">
        <x:f>IF(H210=1,MAX(1,MIN(INDEX(tun_Smax,G210),AE209+AD210)),AE209)</x:f>
        <x:v>3</x:v>
      </x:c>
      <x:c r="AF210" s="8" t="n">
        <x:f>MAX(0,AE210-AE209)</x:f>
        <x:v>0</x:v>
      </x:c>
      <x:c r="AG210" s="9" t="str">
        <x:f>IF(AF210&gt;0,B210,"")</x:f>
      </x:c>
      <x:c r="AH210" s="9" t="n">
        <x:f>IF(F210&gt;=1,1,(1+tun_LowTiesShare*(AE210-1))/AE210)</x:f>
        <x:v>1</x:v>
      </x:c>
      <x:c r="AI210" s="32" t="n">
        <x:f>(Z210+tun_ElderCommons*INDEX(LM_Elder,G210)*AA210)*AH210</x:f>
        <x:v>316.83771291802043</x:v>
      </x:c>
      <x:c r="AJ210" s="32" t="n">
        <x:f>H210*tun_CommonsCoef*AI210^tun_CommonsExp*INDEX(LM_Commons,G210)</x:f>
        <x:v>774.9770319525475</x:v>
      </x:c>
      <x:c r="AK210" s="32" t="n">
        <x:f>H210*tun_RoleScale*Arch_Roles*(AE210*(INDEX(tun_ElderRolePerSett,G210)*tun_OutElder*INDEX(LM_Elder,G210)+INDEX(tun_ShamanPerSett,G210)*tun_OutShaman)+Z210*(INDEX(tun_PriestShare,G210)*tun_OutPriest+INDEX(tun_ScribeShare,G210)*tun_OutScribe*INDEX(LM_Scribe,G210)+INDEX(tun_ScholarShare,G210)*tun_OutScholar*INDEX(LM_Scholar,G210)+INDEX(tun_ResearcherShare,G210)*tun_OutResearcher*INDEX(LM_Researcher,G210)))</x:f>
        <x:v>112.46720371588845</x:v>
      </x:c>
      <x:c r="AL210" s="32" t="n">
        <x:f>H210*tun_RoleScale*Arch_Roles*AE210*INDEX(tun_MonasteryPerSett,G210)*tun_OutMonastery*INDEX(LM_Monastery,G210)</x:f>
        <x:v>0</x:v>
      </x:c>
      <x:c r="AM210" s="32" t="n">
        <x:f>(AJ210+AK210+AL210)/4*INDEX(LM_All,G210)*INDEX(tun_Boon,G210)*Arch_Insight</x:f>
        <x:v>266.92224160417527</x:v>
      </x:c>
      <x:c r="AN210" s="32" t="n">
        <x:f>H210*(tun_KHPerAdult*Z210+tun_KHOfCommons*AJ210/4*INDEX(LM_All,G210))*tun_KHUsable*Arch_KH</x:f>
        <x:v>51.7372266488486</x:v>
      </x:c>
      <x:c r="AO210" s="32" t="n">
        <x:f>MIN(AP209+AN210,AM210*tun_KHMaxRatio)</x:f>
        <x:v>51.7372266488486</x:v>
      </x:c>
      <x:c r="AP210" s="32" t="n">
        <x:f>AP209+AN210-AO210</x:f>
        <x:v>0</x:v>
      </x:c>
      <x:c r="AQ210" s="32" t="n">
        <x:f>AM210+AO210</x:f>
        <x:v>318.6594682530239</x:v>
      </x:c>
      <x:c r="AR210" s="10" t="n">
        <x:f>IF(H210=1,INDEX(tun_Req,G210),0)</x:f>
        <x:v>21071.475087999996</x:v>
      </x:c>
      <x:c r="AS210" s="32" t="n">
        <x:f>IF(H210=1,IF(E210=1,AS209-AR209,AS209)+AQ210,0)</x:f>
        <x:v>8885.563599221023</x:v>
      </x:c>
      <x:c r="AT210" s="11" t="n">
        <x:f>IF(AR210&gt;0,MIN(1,AS210/AR210),1)</x:f>
        <x:v>0.4216868331292699</x:v>
      </x:c>
      <x:c r="AU210" s="10" t="n">
        <x:f>AB210/INDEX(tun_RepScale,G210)</x:f>
        <x:v>249.40943760292487</x:v>
      </x:c>
      <x:c r="AV210" s="32" t="n">
        <x:f>AM210*60/tun_SeasonSeconds</x:f>
        <x:v>1067.688966416701</x:v>
      </x:c>
    </x:row>
    <x:row r="211">
      <x:c r="A211" s="8" t="n">
        <x:f>A210+1</x:f>
        <x:v>208</x:v>
      </x:c>
      <x:c r="B211" s="9" t="n">
        <x:f>A211*tun_SeasonSeconds/60</x:f>
        <x:v>52</x:v>
      </x:c>
      <x:c r="C211" s="9" t="n">
        <x:f>A211/4</x:f>
        <x:v>52</x:v>
      </x:c>
      <x:c r="D211" s="8" t="n">
        <x:f>IF(MOD(A211,4)=0,1,0)</x:f>
        <x:v>1</x:v>
      </x:c>
      <x:c r="E211" s="8" t="n">
        <x:f>IF(AND(F210&lt;=9,AS210&gt;=AR210),1,0)</x:f>
        <x:v>0</x:v>
      </x:c>
      <x:c r="F211" s="8" t="n">
        <x:f>MIN(10,F210+E211)</x:f>
        <x:v>4</x:v>
      </x:c>
      <x:c r="G211" s="8" t="n">
        <x:f>MIN(F211,9)+1</x:f>
        <x:v>5</x:v>
      </x:c>
      <x:c r="H211" s="8" t="n">
        <x:f>IF(F211&lt;=9,1,0)</x:f>
        <x:v>1</x:v>
      </x:c>
      <x:c r="I211" s="9" t="n">
        <x:f>MIN(10,F210+IF(AR210&gt;0,MIN(1,AS210/AR210),1))</x:f>
        <x:v>4.42168683312927</x:v>
      </x:c>
      <x:c r="J211" s="32" t="n">
        <x:f>INDEX(tun_FoodCap,G211)*Arch_FoodCap*EXP(tun_CapsByProject*SUMPRODUCT((Cap_Point&lt;=I211)*(Cap_Kind="Food")*Cap_Ln))</x:f>
        <x:v>235.3369090840656</x:v>
      </x:c>
      <x:c r="K211" s="32" t="n">
        <x:f>J211*MIN(1,tun_LeanBase*EXP(tun_CapsByProject*SUMPRODUCT((Cap_Point&lt;=I211)*(Cap_Kind="Lean")*Cap_Ln)))</x:f>
        <x:v>235.3369090840656</x:v>
      </x:c>
      <x:c r="L211" s="10" t="n">
        <x:f>INDEX(tun_HousingCap,G211)*EXP(tun_CapsByProject*SUMPRODUCT((Cap_Point&lt;=I211)*(Cap_Kind="Housing")*Cap_Ln))</x:f>
        <x:v>1478.4119999999994</x:v>
      </x:c>
      <x:c r="M211" s="10" t="n">
        <x:f>INDEX(tun_GroupCap,G211)*tun_CohesionFactor*EXP(tun_CapsByProject*SUMPRODUCT((Cap_Point&lt;=I211)*(Cap_Kind="Group")*Cap_Ln))</x:f>
        <x:v>10000.000000000005</x:v>
      </x:c>
      <x:c r="N211" s="32" t="n">
        <x:f>MIN(J211,L211,M211)</x:f>
        <x:v>235.3369090840656</x:v>
      </x:c>
      <x:c r="O211" s="10" t="n">
        <x:f>AE210*N211</x:f>
        <x:v>706.0107272521968</x:v>
      </x:c>
      <x:c r="P211" s="9" t="n">
        <x:f>MIN(1,(AB210/(AE210*IF(tun_GroupInCrowding=1,N211,MIN(J211,L211))))^tun_CrowdingExp)</x:f>
        <x:v>0.1243911472502288</x:v>
      </x:c>
      <x:c r="Q211" s="9" t="n">
        <x:f>IF(D211=1,INDEX(tun_WinterMult,G211),1)</x:f>
        <x:v>1.2</x:v>
      </x:c>
      <x:c r="R211" s="9" t="n">
        <x:f>H211*Z210*tun_WomenShare*tun_BaseFertility*INDEX(tun_FertMult,G211)*Arch_Fertility*(1-P211)</x:f>
        <x:v>12.226255571239072</x:v>
      </x:c>
      <x:c r="S211" s="9" t="n">
        <x:f>H211*Y210*INDEX(tun_MortChild,G211)/4*Q211</x:f>
        <x:v>2.4647684681660427</x:v>
      </x:c>
      <x:c r="T211" s="9" t="n">
        <x:f>H211*Z210*INDEX(tun_MortAdult,G211)*Arch_AdultMort/4*Q211</x:f>
        <x:v>0.5638963417145854</x:v>
      </x:c>
      <x:c r="U211" s="9" t="n">
        <x:f>H211*AA210*INDEX(tun_MortElder,G211)/4*Q211</x:f>
        <x:v>0.7304619066917616</x:v>
      </x:c>
      <x:c r="V211" s="9" t="n">
        <x:f>H211*MAX(0,AB210-O211)*tun_OvercapLoss</x:f>
        <x:v>0</x:v>
      </x:c>
      <x:c r="W211" s="9" t="n">
        <x:f>H211*Y210/(tun_ChildYears*4)</x:f>
        <x:v>4.890413627313577</x:v>
      </x:c>
      <x:c r="X211" s="9" t="n">
        <x:f>H211*Z210/(tun_AdultYears*4)</x:f>
        <x:v>1.443667029479225</x:v>
      </x:c>
      <x:c r="Y211" s="32" t="n">
        <x:f>Y210+R211-S211-W211-Y210*V211/AB210</x:f>
        <x:v>278.7342366053197</x:v>
      </x:c>
      <x:c r="Z211" s="32" t="n">
        <x:f>Z210+W211-X211-T211-Z210*V211/AB210</x:f>
        <x:v>181.89756191154368</x:v>
      </x:c>
      <x:c r="AA211" s="32" t="n">
        <x:f>AA210+X211-U211-AA210*V211/AB210</x:f>
        <x:v>46.65420554365297</x:v>
      </x:c>
      <x:c r="AB211" s="10" t="n">
        <x:f>Y211+Z211+AA211</x:f>
        <x:v>507.28600406051635</x:v>
      </x:c>
      <x:c r="AC211" s="8" t="n">
        <x:f>IF(AND(tun_WinterTrigger=1,D211=1,AB210/AE210&gt;=K211),1,0)</x:f>
        <x:v>0</x:v>
      </x:c>
      <x:c r="AD211" s="8" t="n">
        <x:f>H211*IF(AND(OR(AB210/AE210&gt;=tun_FissionTrigger*N211,AC211=1),AB210/AE210*tun_DaughterShare&gt;=tun_MinDaughter),MAX(1,ROUND(AE210*tun_FissionRate,0)),0)</x:f>
        <x:v>0</x:v>
      </x:c>
      <x:c r="AE211" s="8" t="n">
        <x:f>IF(H211=1,MAX(1,MIN(INDEX(tun_Smax,G211),AE210+AD211)),AE210)</x:f>
        <x:v>3</x:v>
      </x:c>
      <x:c r="AF211" s="8" t="n">
        <x:f>MAX(0,AE211-AE210)</x:f>
        <x:v>0</x:v>
      </x:c>
      <x:c r="AG211" s="9" t="str">
        <x:f>IF(AF211&gt;0,B211,"")</x:f>
      </x:c>
      <x:c r="AH211" s="9" t="n">
        <x:f>IF(F211&gt;=1,1,(1+tun_LowTiesShare*(AE211-1))/AE211)</x:f>
        <x:v>1</x:v>
      </x:c>
      <x:c r="AI211" s="32" t="n">
        <x:f>(Z211+tun_ElderCommons*INDEX(LM_Elder,G211)*AA211)*AH211</x:f>
        <x:v>321.8601785425026</x:v>
      </x:c>
      <x:c r="AJ211" s="32" t="n">
        <x:f>H211*tun_CommonsCoef*AI211^tun_CommonsExp*INDEX(LM_Commons,G211)</x:f>
        <x:v>785.4067925542637</x:v>
      </x:c>
      <x:c r="AK211" s="32" t="n">
        <x:f>H211*tun_RoleScale*Arch_Roles*(AE211*(INDEX(tun_ElderRolePerSett,G211)*tun_OutElder*INDEX(LM_Elder,G211)+INDEX(tun_ShamanPerSett,G211)*tun_OutShaman)+Z211*(INDEX(tun_PriestShare,G211)*tun_OutPriest+INDEX(tun_ScribeShare,G211)*tun_OutScribe*INDEX(LM_Scribe,G211)+INDEX(tun_ScholarShare,G211)*tun_OutScholar*INDEX(LM_Scholar,G211)+INDEX(tun_ResearcherShare,G211)*tun_OutResearcher*INDEX(LM_Researcher,G211)))</x:f>
        <x:v>113.11888696313662</x:v>
      </x:c>
      <x:c r="AL211" s="32" t="n">
        <x:f>H211*tun_RoleScale*Arch_Roles*AE211*INDEX(tun_MonasteryPerSett,G211)*tun_OutMonastery*INDEX(LM_Monastery,G211)</x:f>
        <x:v>0</x:v>
      </x:c>
      <x:c r="AM211" s="32" t="n">
        <x:f>(AJ211+AK211+AL211)/4*INDEX(LM_All,G211)*INDEX(tun_Boon,G211)*Arch_Insight</x:f>
        <x:v>270.255277882391</x:v>
      </x:c>
      <x:c r="AN211" s="32" t="n">
        <x:f>H211*(tun_KHPerAdult*Z211+tun_KHOfCommons*AJ211/4*INDEX(LM_All,G211))*tun_KHUsable*Arch_KH</x:f>
        <x:v>52.43351423660418</x:v>
      </x:c>
      <x:c r="AO211" s="32" t="n">
        <x:f>MIN(AP210+AN211,AM211*tun_KHMaxRatio)</x:f>
        <x:v>52.43351423660418</x:v>
      </x:c>
      <x:c r="AP211" s="32" t="n">
        <x:f>AP210+AN211-AO211</x:f>
        <x:v>0</x:v>
      </x:c>
      <x:c r="AQ211" s="32" t="n">
        <x:f>AM211+AO211</x:f>
        <x:v>322.6887921189952</x:v>
      </x:c>
      <x:c r="AR211" s="10" t="n">
        <x:f>IF(H211=1,INDEX(tun_Req,G211),0)</x:f>
        <x:v>21071.475087999996</x:v>
      </x:c>
      <x:c r="AS211" s="32" t="n">
        <x:f>IF(H211=1,IF(E211=1,AS210-AR210,AS210)+AQ211,0)</x:f>
        <x:v>9208.252391340018</x:v>
      </x:c>
      <x:c r="AT211" s="11" t="n">
        <x:f>IF(AR211&gt;0,MIN(1,AS211/AR211),1)</x:f>
        <x:v>0.4370008436943283</x:v>
      </x:c>
      <x:c r="AU211" s="10" t="n">
        <x:f>AB211/INDEX(tun_RepScale,G211)</x:f>
        <x:v>253.64300203025817</x:v>
      </x:c>
      <x:c r="AV211" s="32" t="n">
        <x:f>AM211*60/tun_SeasonSeconds</x:f>
        <x:v>1081.021111529564</x:v>
      </x:c>
    </x:row>
    <x:row r="212">
      <x:c r="A212" s="8" t="n">
        <x:f>A211+1</x:f>
        <x:v>209</x:v>
      </x:c>
      <x:c r="B212" s="9" t="n">
        <x:f>A212*tun_SeasonSeconds/60</x:f>
        <x:v>52.25</x:v>
      </x:c>
      <x:c r="C212" s="9" t="n">
        <x:f>A212/4</x:f>
        <x:v>52.25</x:v>
      </x:c>
      <x:c r="D212" s="8" t="n">
        <x:f>IF(MOD(A212,4)=0,1,0)</x:f>
        <x:v>0</x:v>
      </x:c>
      <x:c r="E212" s="8" t="n">
        <x:f>IF(AND(F211&lt;=9,AS211&gt;=AR211),1,0)</x:f>
        <x:v>0</x:v>
      </x:c>
      <x:c r="F212" s="8" t="n">
        <x:f>MIN(10,F211+E212)</x:f>
        <x:v>4</x:v>
      </x:c>
      <x:c r="G212" s="8" t="n">
        <x:f>MIN(F212,9)+1</x:f>
        <x:v>5</x:v>
      </x:c>
      <x:c r="H212" s="8" t="n">
        <x:f>IF(F212&lt;=9,1,0)</x:f>
        <x:v>1</x:v>
      </x:c>
      <x:c r="I212" s="9" t="n">
        <x:f>MIN(10,F211+IF(AR211&gt;0,MIN(1,AS211/AR211),1))</x:f>
        <x:v>4.437000843694328</x:v>
      </x:c>
      <x:c r="J212" s="32" t="n">
        <x:f>INDEX(tun_FoodCap,G212)*Arch_FoodCap*EXP(tun_CapsByProject*SUMPRODUCT((Cap_Point&lt;=I212)*(Cap_Kind="Food")*Cap_Ln))</x:f>
        <x:v>235.3369090840656</x:v>
      </x:c>
      <x:c r="K212" s="32" t="n">
        <x:f>J212*MIN(1,tun_LeanBase*EXP(tun_CapsByProject*SUMPRODUCT((Cap_Point&lt;=I212)*(Cap_Kind="Lean")*Cap_Ln)))</x:f>
        <x:v>235.3369090840656</x:v>
      </x:c>
      <x:c r="L212" s="10" t="n">
        <x:f>INDEX(tun_HousingCap,G212)*EXP(tun_CapsByProject*SUMPRODUCT((Cap_Point&lt;=I212)*(Cap_Kind="Housing")*Cap_Ln))</x:f>
        <x:v>1478.4119999999994</x:v>
      </x:c>
      <x:c r="M212" s="10" t="n">
        <x:f>INDEX(tun_GroupCap,G212)*tun_CohesionFactor*EXP(tun_CapsByProject*SUMPRODUCT((Cap_Point&lt;=I212)*(Cap_Kind="Group")*Cap_Ln))</x:f>
        <x:v>10000.000000000005</x:v>
      </x:c>
      <x:c r="N212" s="32" t="n">
        <x:f>MIN(J212,L212,M212)</x:f>
        <x:v>235.3369090840656</x:v>
      </x:c>
      <x:c r="O212" s="10" t="n">
        <x:f>AE211*N212</x:f>
        <x:v>706.0107272521968</x:v>
      </x:c>
      <x:c r="P212" s="9" t="n">
        <x:f>MIN(1,(AB211/(AE211*IF(tun_GroupInCrowding=1,N212,MIN(J212,L212))))^tun_CrowdingExp)</x:f>
        <x:v>0.13760983785019373</x:v>
      </x:c>
      <x:c r="Q212" s="9" t="n">
        <x:f>IF(D212=1,INDEX(tun_WinterMult,G212),1)</x:f>
        <x:v>1</x:v>
      </x:c>
      <x:c r="R212" s="9" t="n">
        <x:f>H212*Z211*tun_WomenShare*tun_BaseFertility*INDEX(tun_FertMult,G212)*Arch_Fertility*(1-P212)</x:f>
        <x:v>12.235600097100944</x:v>
      </x:c>
      <x:c r="S212" s="9" t="n">
        <x:f>H212*Y211*INDEX(tun_MortChild,G212)/4*Q212</x:f>
        <x:v>2.090506774539898</x:v>
      </x:c>
      <x:c r="T212" s="9" t="n">
        <x:f>H212*Z211*INDEX(tun_MortAdult,G212)*Arch_AdultMort/4*Q212</x:f>
        <x:v>0.4774811000178022</x:v>
      </x:c>
      <x:c r="U212" s="9" t="n">
        <x:f>H212*AA211*INDEX(tun_MortElder,G212)/4*Q212</x:f>
        <x:v>0.6181682234534018</x:v>
      </x:c>
      <x:c r="V212" s="9" t="n">
        <x:f>H212*MAX(0,AB211-O212)*tun_OvercapLoss</x:f>
        <x:v>0</x:v>
      </x:c>
      <x:c r="W212" s="9" t="n">
        <x:f>H212*Y211/(tun_ChildYears*4)</x:f>
        <x:v>4.977397082237852</x:v>
      </x:c>
      <x:c r="X212" s="9" t="n">
        <x:f>H212*Z211/(tun_AdultYears*4)</x:f>
        <x:v>1.4669158218672878</x:v>
      </x:c>
      <x:c r="Y212" s="32" t="n">
        <x:f>Y211+R212-S212-W212-Y211*V212/AB211</x:f>
        <x:v>283.9019328456429</x:v>
      </x:c>
      <x:c r="Z212" s="32" t="n">
        <x:f>Z211+W212-X212-T212-Z211*V212/AB211</x:f>
        <x:v>184.93056207189645</x:v>
      </x:c>
      <x:c r="AA212" s="32" t="n">
        <x:f>AA211+X212-U212-AA211*V212/AB211</x:f>
        <x:v>47.50295314206686</x:v>
      </x:c>
      <x:c r="AB212" s="10" t="n">
        <x:f>Y212+Z212+AA212</x:f>
        <x:v>516.3354480596062</x:v>
      </x:c>
      <x:c r="AC212" s="8" t="n">
        <x:f>IF(AND(tun_WinterTrigger=1,D212=1,AB211/AE211&gt;=K212),1,0)</x:f>
        <x:v>0</x:v>
      </x:c>
      <x:c r="AD212" s="8" t="n">
        <x:f>H212*IF(AND(OR(AB211/AE211&gt;=tun_FissionTrigger*N212,AC212=1),AB211/AE211*tun_DaughterShare&gt;=tun_MinDaughter),MAX(1,ROUND(AE211*tun_FissionRate,0)),0)</x:f>
        <x:v>0</x:v>
      </x:c>
      <x:c r="AE212" s="8" t="n">
        <x:f>IF(H212=1,MAX(1,MIN(INDEX(tun_Smax,G212),AE211+AD212)),AE211)</x:f>
        <x:v>3</x:v>
      </x:c>
      <x:c r="AF212" s="8" t="n">
        <x:f>MAX(0,AE212-AE211)</x:f>
        <x:v>0</x:v>
      </x:c>
      <x:c r="AG212" s="9" t="str">
        <x:f>IF(AF212&gt;0,B212,"")</x:f>
      </x:c>
      <x:c r="AH212" s="9" t="n">
        <x:f>IF(F212&gt;=1,1,(1+tun_LowTiesShare*(AE212-1))/AE212)</x:f>
        <x:v>1</x:v>
      </x:c>
      <x:c r="AI212" s="32" t="n">
        <x:f>(Z212+tun_ElderCommons*INDEX(LM_Elder,G212)*AA212)*AH212</x:f>
        <x:v>327.439421498097</x:v>
      </x:c>
      <x:c r="AJ212" s="32" t="n">
        <x:f>H212*tun_CommonsCoef*AI212^tun_CommonsExp*INDEX(LM_Commons,G212)</x:f>
        <x:v>796.9641978306886</x:v>
      </x:c>
      <x:c r="AK212" s="32" t="n">
        <x:f>H212*tun_RoleScale*Arch_Roles*(AE212*(INDEX(tun_ElderRolePerSett,G212)*tun_OutElder*INDEX(LM_Elder,G212)+INDEX(tun_ShamanPerSett,G212)*tun_OutShaman)+Z212*(INDEX(tun_PriestShare,G212)*tun_OutPriest+INDEX(tun_ScribeShare,G212)*tun_OutScribe*INDEX(LM_Scribe,G212)+INDEX(tun_ScholarShare,G212)*tun_OutScholar*INDEX(LM_Scholar,G212)+INDEX(tun_ResearcherShare,G212)*tun_OutResearcher*INDEX(LM_Researcher,G212)))</x:f>
        <x:v>113.80451237472607</x:v>
      </x:c>
      <x:c r="AL212" s="32" t="n">
        <x:f>H212*tun_RoleScale*Arch_Roles*AE212*INDEX(tun_MonasteryPerSett,G212)*tun_OutMonastery*INDEX(LM_Monastery,G212)</x:f>
        <x:v>0</x:v>
      </x:c>
      <x:c r="AM212" s="32" t="n">
        <x:f>(AJ212+AK212+AL212)/4*INDEX(LM_All,G212)*INDEX(tun_Boon,G212)*Arch_Insight</x:f>
        <x:v>273.9376920149388</x:v>
      </x:c>
      <x:c r="AN212" s="32" t="n">
        <x:f>H212*(tun_KHPerAdult*Z212+tun_KHOfCommons*AJ212/4*INDEX(LM_All,G212))*tun_KHUsable*Arch_KH</x:f>
        <x:v>53.20508303362062</x:v>
      </x:c>
      <x:c r="AO212" s="32" t="n">
        <x:f>MIN(AP211+AN212,AM212*tun_KHMaxRatio)</x:f>
        <x:v>53.20508303362062</x:v>
      </x:c>
      <x:c r="AP212" s="32" t="n">
        <x:f>AP211+AN212-AO212</x:f>
        <x:v>0</x:v>
      </x:c>
      <x:c r="AQ212" s="32" t="n">
        <x:f>AM212+AO212</x:f>
        <x:v>327.14277504855943</x:v>
      </x:c>
      <x:c r="AR212" s="10" t="n">
        <x:f>IF(H212=1,INDEX(tun_Req,G212),0)</x:f>
        <x:v>21071.475087999996</x:v>
      </x:c>
      <x:c r="AS212" s="32" t="n">
        <x:f>IF(H212=1,IF(E212=1,AS211-AR211,AS211)+AQ212,0)</x:f>
        <x:v>9535.395166388578</x:v>
      </x:c>
      <x:c r="AT212" s="11" t="n">
        <x:f>IF(AR212&gt;0,MIN(1,AS212/AR212),1)</x:f>
        <x:v>0.4525262292538264</x:v>
      </x:c>
      <x:c r="AU212" s="10" t="n">
        <x:f>AB212/INDEX(tun_RepScale,G212)</x:f>
        <x:v>258.1677240298031</x:v>
      </x:c>
      <x:c r="AV212" s="32" t="n">
        <x:f>AM212*60/tun_SeasonSeconds</x:f>
        <x:v>1095.7507680597553</x:v>
      </x:c>
    </x:row>
    <x:row r="213">
      <x:c r="A213" s="8" t="n">
        <x:f>A212+1</x:f>
        <x:v>210</x:v>
      </x:c>
      <x:c r="B213" s="9" t="n">
        <x:f>A213*tun_SeasonSeconds/60</x:f>
        <x:v>52.5</x:v>
      </x:c>
      <x:c r="C213" s="9" t="n">
        <x:f>A213/4</x:f>
        <x:v>52.5</x:v>
      </x:c>
      <x:c r="D213" s="8" t="n">
        <x:f>IF(MOD(A213,4)=0,1,0)</x:f>
        <x:v>0</x:v>
      </x:c>
      <x:c r="E213" s="8" t="n">
        <x:f>IF(AND(F212&lt;=9,AS212&gt;=AR212),1,0)</x:f>
        <x:v>0</x:v>
      </x:c>
      <x:c r="F213" s="8" t="n">
        <x:f>MIN(10,F212+E213)</x:f>
        <x:v>4</x:v>
      </x:c>
      <x:c r="G213" s="8" t="n">
        <x:f>MIN(F213,9)+1</x:f>
        <x:v>5</x:v>
      </x:c>
      <x:c r="H213" s="8" t="n">
        <x:f>IF(F213&lt;=9,1,0)</x:f>
        <x:v>1</x:v>
      </x:c>
      <x:c r="I213" s="9" t="n">
        <x:f>MIN(10,F212+IF(AR212&gt;0,MIN(1,AS212/AR212),1))</x:f>
        <x:v>4.452526229253826</x:v>
      </x:c>
      <x:c r="J213" s="32" t="n">
        <x:f>INDEX(tun_FoodCap,G213)*Arch_FoodCap*EXP(tun_CapsByProject*SUMPRODUCT((Cap_Point&lt;=I213)*(Cap_Kind="Food")*Cap_Ln))</x:f>
        <x:v>235.3369090840656</x:v>
      </x:c>
      <x:c r="K213" s="32" t="n">
        <x:f>J213*MIN(1,tun_LeanBase*EXP(tun_CapsByProject*SUMPRODUCT((Cap_Point&lt;=I213)*(Cap_Kind="Lean")*Cap_Ln)))</x:f>
        <x:v>235.3369090840656</x:v>
      </x:c>
      <x:c r="L213" s="10" t="n">
        <x:f>INDEX(tun_HousingCap,G213)*EXP(tun_CapsByProject*SUMPRODUCT((Cap_Point&lt;=I213)*(Cap_Kind="Housing")*Cap_Ln))</x:f>
        <x:v>1478.4119999999994</x:v>
      </x:c>
      <x:c r="M213" s="10" t="n">
        <x:f>INDEX(tun_GroupCap,G213)*tun_CohesionFactor*EXP(tun_CapsByProject*SUMPRODUCT((Cap_Point&lt;=I213)*(Cap_Kind="Group")*Cap_Ln))</x:f>
        <x:v>10000.000000000005</x:v>
      </x:c>
      <x:c r="N213" s="32" t="n">
        <x:f>MIN(J213,L213,M213)</x:f>
        <x:v>235.3369090840656</x:v>
      </x:c>
      <x:c r="O213" s="10" t="n">
        <x:f>AE212*N213</x:f>
        <x:v>706.0107272521968</x:v>
      </x:c>
      <x:c r="P213" s="9" t="n">
        <x:f>MIN(1,(AB212/(AE212*IF(tun_GroupInCrowding=1,N213,MIN(J213,L213))))^tun_CrowdingExp)</x:f>
        <x:v>0.15301142207240723</x:v>
      </x:c>
      <x:c r="Q213" s="9" t="n">
        <x:f>IF(D213=1,INDEX(tun_WinterMult,G213),1)</x:f>
        <x:v>1</x:v>
      </x:c>
      <x:c r="R213" s="9" t="n">
        <x:f>H213*Z212*tun_WomenShare*tun_BaseFertility*INDEX(tun_FertMult,G213)*Arch_Fertility*(1-P213)</x:f>
        <x:v>12.217457755200828</x:v>
      </x:c>
      <x:c r="S213" s="9" t="n">
        <x:f>H213*Y212*INDEX(tun_MortChild,G213)/4*Q213</x:f>
        <x:v>2.1292644963423215</x:v>
      </x:c>
      <x:c r="T213" s="9" t="n">
        <x:f>H213*Z212*INDEX(tun_MortAdult,G213)*Arch_AdultMort/4*Q213</x:f>
        <x:v>0.4854427254387282</x:v>
      </x:c>
      <x:c r="U213" s="9" t="n">
        <x:f>H213*AA212*INDEX(tun_MortElder,G213)/4*Q213</x:f>
        <x:v>0.6294141291323858</x:v>
      </x:c>
      <x:c r="V213" s="9" t="n">
        <x:f>H213*MAX(0,AB212-O213)*tun_OvercapLoss</x:f>
        <x:v>0</x:v>
      </x:c>
      <x:c r="W213" s="9" t="n">
        <x:f>H213*Y212/(tun_ChildYears*4)</x:f>
        <x:v>5.069677372243623</x:v>
      </x:c>
      <x:c r="X213" s="9" t="n">
        <x:f>H213*Z212/(tun_AdultYears*4)</x:f>
        <x:v>1.49137550057981</x:v>
      </x:c>
      <x:c r="Y213" s="32" t="n">
        <x:f>Y212+R213-S213-W213-Y212*V213/AB212</x:f>
        <x:v>288.92044873225774</x:v>
      </x:c>
      <x:c r="Z213" s="32" t="n">
        <x:f>Z212+W213-X213-T213-Z212*V213/AB212</x:f>
        <x:v>188.02342121812154</x:v>
      </x:c>
      <x:c r="AA213" s="32" t="n">
        <x:f>AA212+X213-U213-AA212*V213/AB212</x:f>
        <x:v>48.36491451351428</x:v>
      </x:c>
      <x:c r="AB213" s="10" t="n">
        <x:f>Y213+Z213+AA213</x:f>
        <x:v>525.3087844638935</x:v>
      </x:c>
      <x:c r="AC213" s="8" t="n">
        <x:f>IF(AND(tun_WinterTrigger=1,D213=1,AB212/AE212&gt;=K213),1,0)</x:f>
        <x:v>0</x:v>
      </x:c>
      <x:c r="AD213" s="8" t="n">
        <x:f>H213*IF(AND(OR(AB212/AE212&gt;=tun_FissionTrigger*N213,AC213=1),AB212/AE212*tun_DaughterShare&gt;=tun_MinDaughter),MAX(1,ROUND(AE212*tun_FissionRate,0)),0)</x:f>
        <x:v>0</x:v>
      </x:c>
      <x:c r="AE213" s="8" t="n">
        <x:f>IF(H213=1,MAX(1,MIN(INDEX(tun_Smax,G213),AE212+AD213)),AE212)</x:f>
        <x:v>3</x:v>
      </x:c>
      <x:c r="AF213" s="8" t="n">
        <x:f>MAX(0,AE213-AE212)</x:f>
        <x:v>0</x:v>
      </x:c>
      <x:c r="AG213" s="9" t="str">
        <x:f>IF(AF213&gt;0,B213,"")</x:f>
      </x:c>
      <x:c r="AH213" s="9" t="n">
        <x:f>IF(F213&gt;=1,1,(1+tun_LowTiesShare*(AE213-1))/AE213)</x:f>
        <x:v>1</x:v>
      </x:c>
      <x:c r="AI213" s="32" t="n">
        <x:f>(Z213+tun_ElderCommons*INDEX(LM_Elder,G213)*AA213)*AH213</x:f>
        <x:v>333.11816475866436</x:v>
      </x:c>
      <x:c r="AJ213" s="32" t="n">
        <x:f>H213*tun_CommonsCoef*AI213^tun_CommonsExp*INDEX(LM_Commons,G213)</x:f>
        <x:v>808.6974248008181</x:v>
      </x:c>
      <x:c r="AK213" s="32" t="n">
        <x:f>H213*tun_RoleScale*Arch_Roles*(AE213*(INDEX(tun_ElderRolePerSett,G213)*tun_OutElder*INDEX(LM_Elder,G213)+INDEX(tun_ShamanPerSett,G213)*tun_OutShaman)+Z213*(INDEX(tun_PriestShare,G213)*tun_OutPriest+INDEX(tun_ScribeShare,G213)*tun_OutScribe*INDEX(LM_Scribe,G213)+INDEX(tun_ScholarShare,G213)*tun_OutScholar*INDEX(LM_Scholar,G213)+INDEX(tun_ResearcherShare,G213)*tun_OutResearcher*INDEX(LM_Researcher,G213)))</x:f>
        <x:v>114.50366922042572</x:v>
      </x:c>
      <x:c r="AL213" s="32" t="n">
        <x:f>H213*tun_RoleScale*Arch_Roles*AE213*INDEX(tun_MonasteryPerSett,G213)*tun_OutMonastery*INDEX(LM_Monastery,G213)</x:f>
        <x:v>0</x:v>
      </x:c>
      <x:c r="AM213" s="32" t="n">
        <x:f>(AJ213+AK213+AL213)/4*INDEX(LM_All,G213)*INDEX(tun_Boon,G213)*Arch_Insight</x:f>
        <x:v>277.6770590908938</x:v>
      </x:c>
      <x:c r="AN213" s="32" t="n">
        <x:f>H213*(tun_KHPerAdult*Z213+tun_KHOfCommons*AJ213/4*INDEX(LM_All,G213))*tun_KHUsable*Arch_KH</x:f>
        <x:v>53.98838963245817</x:v>
      </x:c>
      <x:c r="AO213" s="32" t="n">
        <x:f>MIN(AP212+AN213,AM213*tun_KHMaxRatio)</x:f>
        <x:v>53.98838963245817</x:v>
      </x:c>
      <x:c r="AP213" s="32" t="n">
        <x:f>AP212+AN213-AO213</x:f>
        <x:v>0</x:v>
      </x:c>
      <x:c r="AQ213" s="32" t="n">
        <x:f>AM213+AO213</x:f>
        <x:v>331.665448723352</x:v>
      </x:c>
      <x:c r="AR213" s="10" t="n">
        <x:f>IF(H213=1,INDEX(tun_Req,G213),0)</x:f>
        <x:v>21071.475087999996</x:v>
      </x:c>
      <x:c r="AS213" s="32" t="n">
        <x:f>IF(H213=1,IF(E213=1,AS212-AR212,AS212)+AQ213,0)</x:f>
        <x:v>9867.06061511193</x:v>
      </x:c>
      <x:c r="AT213" s="11" t="n">
        <x:f>IF(AR213&gt;0,MIN(1,AS213/AR213),1)</x:f>
        <x:v>0.4682662497003414</x:v>
      </x:c>
      <x:c r="AU213" s="10" t="n">
        <x:f>AB213/INDEX(tun_RepScale,G213)</x:f>
        <x:v>262.65439223194676</x:v>
      </x:c>
      <x:c r="AV213" s="32" t="n">
        <x:f>AM213*60/tun_SeasonSeconds</x:f>
        <x:v>1110.7082363635752</x:v>
      </x:c>
    </x:row>
    <x:row r="214">
      <x:c r="A214" s="8" t="n">
        <x:f>A213+1</x:f>
        <x:v>211</x:v>
      </x:c>
      <x:c r="B214" s="9" t="n">
        <x:f>A214*tun_SeasonSeconds/60</x:f>
        <x:v>52.75</x:v>
      </x:c>
      <x:c r="C214" s="9" t="n">
        <x:f>A214/4</x:f>
        <x:v>52.75</x:v>
      </x:c>
      <x:c r="D214" s="8" t="n">
        <x:f>IF(MOD(A214,4)=0,1,0)</x:f>
        <x:v>0</x:v>
      </x:c>
      <x:c r="E214" s="8" t="n">
        <x:f>IF(AND(F213&lt;=9,AS213&gt;=AR213),1,0)</x:f>
        <x:v>0</x:v>
      </x:c>
      <x:c r="F214" s="8" t="n">
        <x:f>MIN(10,F213+E214)</x:f>
        <x:v>4</x:v>
      </x:c>
      <x:c r="G214" s="8" t="n">
        <x:f>MIN(F214,9)+1</x:f>
        <x:v>5</x:v>
      </x:c>
      <x:c r="H214" s="8" t="n">
        <x:f>IF(F214&lt;=9,1,0)</x:f>
        <x:v>1</x:v>
      </x:c>
      <x:c r="I214" s="9" t="n">
        <x:f>MIN(10,F213+IF(AR213&gt;0,MIN(1,AS213/AR213),1))</x:f>
        <x:v>4.468266249700341</x:v>
      </x:c>
      <x:c r="J214" s="32" t="n">
        <x:f>INDEX(tun_FoodCap,G214)*Arch_FoodCap*EXP(tun_CapsByProject*SUMPRODUCT((Cap_Point&lt;=I214)*(Cap_Kind="Food")*Cap_Ln))</x:f>
        <x:v>235.3369090840656</x:v>
      </x:c>
      <x:c r="K214" s="32" t="n">
        <x:f>J214*MIN(1,tun_LeanBase*EXP(tun_CapsByProject*SUMPRODUCT((Cap_Point&lt;=I214)*(Cap_Kind="Lean")*Cap_Ln)))</x:f>
        <x:v>235.3369090840656</x:v>
      </x:c>
      <x:c r="L214" s="10" t="n">
        <x:f>INDEX(tun_HousingCap,G214)*EXP(tun_CapsByProject*SUMPRODUCT((Cap_Point&lt;=I214)*(Cap_Kind="Housing")*Cap_Ln))</x:f>
        <x:v>1478.4119999999994</x:v>
      </x:c>
      <x:c r="M214" s="10" t="n">
        <x:f>INDEX(tun_GroupCap,G214)*tun_CohesionFactor*EXP(tun_CapsByProject*SUMPRODUCT((Cap_Point&lt;=I214)*(Cap_Kind="Group")*Cap_Ln))</x:f>
        <x:v>10000.000000000005</x:v>
      </x:c>
      <x:c r="N214" s="32" t="n">
        <x:f>MIN(J214,L214,M214)</x:f>
        <x:v>235.3369090840656</x:v>
      </x:c>
      <x:c r="O214" s="10" t="n">
        <x:f>AE213*N214</x:f>
        <x:v>706.0107272521968</x:v>
      </x:c>
      <x:c r="P214" s="9" t="n">
        <x:f>MIN(1,(AB213/(AE213*IF(tun_GroupInCrowding=1,N214,MIN(J214,L214))))^tun_CrowdingExp)</x:f>
        <x:v>0.16967590761685056</x:v>
      </x:c>
      <x:c r="Q214" s="9" t="n">
        <x:f>IF(D214=1,INDEX(tun_WinterMult,G214),1)</x:f>
        <x:v>1</x:v>
      </x:c>
      <x:c r="R214" s="9" t="n">
        <x:f>H214*Z213*tun_WomenShare*tun_BaseFertility*INDEX(tun_FertMult,G214)*Arch_Fertility*(1-P214)</x:f>
        <x:v>12.177389372437487</x:v>
      </x:c>
      <x:c r="S214" s="9" t="n">
        <x:f>H214*Y213*INDEX(tun_MortChild,G214)/4*Q214</x:f>
        <x:v>2.1669033654919327</x:v>
      </x:c>
      <x:c r="T214" s="9" t="n">
        <x:f>H214*Z213*INDEX(tun_MortAdult,G214)*Arch_AdultMort/4*Q214</x:f>
        <x:v>0.49356148069756905</x:v>
      </x:c>
      <x:c r="U214" s="9" t="n">
        <x:f>H214*AA213*INDEX(tun_MortElder,G214)/4*Q214</x:f>
        <x:v>0.6408351173040642</x:v>
      </x:c>
      <x:c r="V214" s="9" t="n">
        <x:f>H214*MAX(0,AB213-O214)*tun_OvercapLoss</x:f>
        <x:v>0</x:v>
      </x:c>
      <x:c r="W214" s="9" t="n">
        <x:f>H214*Y213/(tun_ChildYears*4)</x:f>
        <x:v>5.159293727361745</x:v>
      </x:c>
      <x:c r="X214" s="9" t="n">
        <x:f>H214*Z213/(tun_AdultYears*4)</x:f>
        <x:v>1.5163179130493674</x:v>
      </x:c>
      <x:c r="Y214" s="32" t="n">
        <x:f>Y213+R214-S214-W214-Y213*V214/AB213</x:f>
        <x:v>293.77164101184155</x:v>
      </x:c>
      <x:c r="Z214" s="32" t="n">
        <x:f>Z213+W214-X214-T214-Z213*V214/AB213</x:f>
        <x:v>191.17283555173637</x:v>
      </x:c>
      <x:c r="AA214" s="32" t="n">
        <x:f>AA213+X214-U214-AA213*V214/AB213</x:f>
        <x:v>49.240397309259585</x:v>
      </x:c>
      <x:c r="AB214" s="10" t="n">
        <x:f>Y214+Z214+AA214</x:f>
        <x:v>534.1848738728376</x:v>
      </x:c>
      <x:c r="AC214" s="8" t="n">
        <x:f>IF(AND(tun_WinterTrigger=1,D214=1,AB213/AE213&gt;=K214),1,0)</x:f>
        <x:v>0</x:v>
      </x:c>
      <x:c r="AD214" s="8" t="n">
        <x:f>H214*IF(AND(OR(AB213/AE213&gt;=tun_FissionTrigger*N214,AC214=1),AB213/AE213*tun_DaughterShare&gt;=tun_MinDaughter),MAX(1,ROUND(AE213*tun_FissionRate,0)),0)</x:f>
        <x:v>0</x:v>
      </x:c>
      <x:c r="AE214" s="8" t="n">
        <x:f>IF(H214=1,MAX(1,MIN(INDEX(tun_Smax,G214),AE213+AD214)),AE213)</x:f>
        <x:v>3</x:v>
      </x:c>
      <x:c r="AF214" s="8" t="n">
        <x:f>MAX(0,AE214-AE213)</x:f>
        <x:v>0</x:v>
      </x:c>
      <x:c r="AG214" s="9" t="str">
        <x:f>IF(AF214&gt;0,B214,"")</x:f>
      </x:c>
      <x:c r="AH214" s="9" t="n">
        <x:f>IF(F214&gt;=1,1,(1+tun_LowTiesShare*(AE214-1))/AE214)</x:f>
        <x:v>1</x:v>
      </x:c>
      <x:c r="AI214" s="32" t="n">
        <x:f>(Z214+tun_ElderCommons*INDEX(LM_Elder,G214)*AA214)*AH214</x:f>
        <x:v>338.8940274795151</x:v>
      </x:c>
      <x:c r="AJ214" s="32" t="n">
        <x:f>H214*tun_CommonsCoef*AI214^tun_CommonsExp*INDEX(LM_Commons,G214)</x:f>
        <x:v>820.6005809080978</x:v>
      </x:c>
      <x:c r="AK214" s="32" t="n">
        <x:f>H214*tun_RoleScale*Arch_Roles*(AE214*(INDEX(tun_ElderRolePerSett,G214)*tun_OutElder*INDEX(LM_Elder,G214)+INDEX(tun_ShamanPerSett,G214)*tun_OutShaman)+Z214*(INDEX(tun_PriestShare,G214)*tun_OutPriest+INDEX(tun_ScribeShare,G214)*tun_OutScribe*INDEX(LM_Scribe,G214)+INDEX(tun_ScholarShare,G214)*tun_OutScholar*INDEX(LM_Scholar,G214)+INDEX(tun_ResearcherShare,G214)*tun_OutResearcher*INDEX(LM_Researcher,G214)))</x:f>
        <x:v>115.21561065945923</x:v>
      </x:c>
      <x:c r="AL214" s="32" t="n">
        <x:f>H214*tun_RoleScale*Arch_Roles*AE214*INDEX(tun_MonasteryPerSett,G214)*tun_OutMonastery*INDEX(LM_Monastery,G214)</x:f>
        <x:v>0</x:v>
      </x:c>
      <x:c r="AM214" s="32" t="n">
        <x:f>(AJ214+AK214+AL214)/4*INDEX(LM_All,G214)*INDEX(tun_Boon,G214)*Arch_Insight</x:f>
        <x:v>281.4713821365339</x:v>
      </x:c>
      <x:c r="AN214" s="32" t="n">
        <x:f>H214*(tun_KHPerAdult*Z214+tun_KHOfCommons*AJ214/4*INDEX(LM_All,G214))*tun_KHUsable*Arch_KH</x:f>
        <x:v>54.78304064786615</x:v>
      </x:c>
      <x:c r="AO214" s="32" t="n">
        <x:f>MIN(AP213+AN214,AM214*tun_KHMaxRatio)</x:f>
        <x:v>54.78304064786615</x:v>
      </x:c>
      <x:c r="AP214" s="32" t="n">
        <x:f>AP213+AN214-AO214</x:f>
        <x:v>0</x:v>
      </x:c>
      <x:c r="AQ214" s="32" t="n">
        <x:f>AM214+AO214</x:f>
        <x:v>336.25442278440005</x:v>
      </x:c>
      <x:c r="AR214" s="10" t="n">
        <x:f>IF(H214=1,INDEX(tun_Req,G214),0)</x:f>
        <x:v>21071.475087999996</x:v>
      </x:c>
      <x:c r="AS214" s="32" t="n">
        <x:f>IF(H214=1,IF(E214=1,AS213-AR213,AS213)+AQ214,0)</x:f>
        <x:v>10203.31503789633</x:v>
      </x:c>
      <x:c r="AT214" s="11" t="n">
        <x:f>IF(AR214&gt;0,MIN(1,AS214/AR214),1)</x:f>
        <x:v>0.48422405148593606</x:v>
      </x:c>
      <x:c r="AU214" s="10" t="n">
        <x:f>AB214/INDEX(tun_RepScale,G214)</x:f>
        <x:v>267.0924369364188</x:v>
      </x:c>
      <x:c r="AV214" s="32" t="n">
        <x:f>AM214*60/tun_SeasonSeconds</x:f>
        <x:v>1125.8855285461357</x:v>
      </x:c>
    </x:row>
    <x:row r="215">
      <x:c r="A215" s="8" t="n">
        <x:f>A214+1</x:f>
        <x:v>212</x:v>
      </x:c>
      <x:c r="B215" s="9" t="n">
        <x:f>A215*tun_SeasonSeconds/60</x:f>
        <x:v>53</x:v>
      </x:c>
      <x:c r="C215" s="9" t="n">
        <x:f>A215/4</x:f>
        <x:v>53</x:v>
      </x:c>
      <x:c r="D215" s="8" t="n">
        <x:f>IF(MOD(A215,4)=0,1,0)</x:f>
        <x:v>1</x:v>
      </x:c>
      <x:c r="E215" s="8" t="n">
        <x:f>IF(AND(F214&lt;=9,AS214&gt;=AR214),1,0)</x:f>
        <x:v>0</x:v>
      </x:c>
      <x:c r="F215" s="8" t="n">
        <x:f>MIN(10,F214+E215)</x:f>
        <x:v>4</x:v>
      </x:c>
      <x:c r="G215" s="8" t="n">
        <x:f>MIN(F215,9)+1</x:f>
        <x:v>5</x:v>
      </x:c>
      <x:c r="H215" s="8" t="n">
        <x:f>IF(F215&lt;=9,1,0)</x:f>
        <x:v>1</x:v>
      </x:c>
      <x:c r="I215" s="9" t="n">
        <x:f>MIN(10,F214+IF(AR214&gt;0,MIN(1,AS214/AR214),1))</x:f>
        <x:v>4.484224051485936</x:v>
      </x:c>
      <x:c r="J215" s="32" t="n">
        <x:f>INDEX(tun_FoodCap,G215)*Arch_FoodCap*EXP(tun_CapsByProject*SUMPRODUCT((Cap_Point&lt;=I215)*(Cap_Kind="Food")*Cap_Ln))</x:f>
        <x:v>235.3369090840656</x:v>
      </x:c>
      <x:c r="K215" s="32" t="n">
        <x:f>J215*MIN(1,tun_LeanBase*EXP(tun_CapsByProject*SUMPRODUCT((Cap_Point&lt;=I215)*(Cap_Kind="Lean")*Cap_Ln)))</x:f>
        <x:v>235.3369090840656</x:v>
      </x:c>
      <x:c r="L215" s="10" t="n">
        <x:f>INDEX(tun_HousingCap,G215)*EXP(tun_CapsByProject*SUMPRODUCT((Cap_Point&lt;=I215)*(Cap_Kind="Housing")*Cap_Ln))</x:f>
        <x:v>1478.4119999999994</x:v>
      </x:c>
      <x:c r="M215" s="10" t="n">
        <x:f>INDEX(tun_GroupCap,G215)*tun_CohesionFactor*EXP(tun_CapsByProject*SUMPRODUCT((Cap_Point&lt;=I215)*(Cap_Kind="Group")*Cap_Ln))</x:f>
        <x:v>10000.000000000005</x:v>
      </x:c>
      <x:c r="N215" s="32" t="n">
        <x:f>MIN(J215,L215,M215)</x:f>
        <x:v>235.3369090840656</x:v>
      </x:c>
      <x:c r="O215" s="10" t="n">
        <x:f>AE214*N215</x:f>
        <x:v>706.0107272521968</x:v>
      </x:c>
      <x:c r="P215" s="9" t="n">
        <x:f>MIN(1,(AB214/(AE214*IF(tun_GroupInCrowding=1,N215,MIN(J215,L215))))^tun_CrowdingExp)</x:f>
        <x:v>0.1876211175362197</x:v>
      </x:c>
      <x:c r="Q215" s="9" t="n">
        <x:f>IF(D215=1,INDEX(tun_WinterMult,G215),1)</x:f>
        <x:v>1.2</x:v>
      </x:c>
      <x:c r="R215" s="9" t="n">
        <x:f>H215*Z214*tun_WomenShare*tun_BaseFertility*INDEX(tun_FertMult,G215)*Arch_Fertility*(1-P215)</x:f>
        <x:v>12.113772411230228</x:v>
      </x:c>
      <x:c r="S215" s="9" t="n">
        <x:f>H215*Y214*INDEX(tun_MortChild,G215)/4*Q215</x:f>
        <x:v>2.643944769106574</x:v>
      </x:c>
      <x:c r="T215" s="9" t="n">
        <x:f>H215*Z214*INDEX(tun_MortAdult,G215)*Arch_AdultMort/4*Q215</x:f>
        <x:v>0.6021944319879696</x:v>
      </x:c>
      <x:c r="U215" s="9" t="n">
        <x:f>H215*AA214*INDEX(tun_MortElder,G215)/4*Q215</x:f>
        <x:v>0.7829223172172274</x:v>
      </x:c>
      <x:c r="V215" s="9" t="n">
        <x:f>H215*MAX(0,AB214-O215)*tun_OvercapLoss</x:f>
        <x:v>0</x:v>
      </x:c>
      <x:c r="W215" s="9" t="n">
        <x:f>H215*Y214/(tun_ChildYears*4)</x:f>
        <x:v>5.245922160925742</x:v>
      </x:c>
      <x:c r="X215" s="9" t="n">
        <x:f>H215*Z214/(tun_AdultYears*4)</x:f>
        <x:v>1.5417164157398093</x:v>
      </x:c>
      <x:c r="Y215" s="32" t="n">
        <x:f>Y214+R215-S215-W215-Y214*V215/AB214</x:f>
        <x:v>297.9955464930395</x:v>
      </x:c>
      <x:c r="Z215" s="32" t="n">
        <x:f>Z214+W215-X215-T215-Z214*V215/AB214</x:f>
        <x:v>194.27484686493432</x:v>
      </x:c>
      <x:c r="AA215" s="32" t="n">
        <x:f>AA214+X215-U215-AA214*V215/AB214</x:f>
        <x:v>49.99919140778216</x:v>
      </x:c>
      <x:c r="AB215" s="10" t="n">
        <x:f>Y215+Z215+AA215</x:f>
        <x:v>542.269584765756</x:v>
      </x:c>
      <x:c r="AC215" s="8" t="n">
        <x:f>IF(AND(tun_WinterTrigger=1,D215=1,AB214/AE214&gt;=K215),1,0)</x:f>
        <x:v>0</x:v>
      </x:c>
      <x:c r="AD215" s="8" t="n">
        <x:f>H215*IF(AND(OR(AB214/AE214&gt;=tun_FissionTrigger*N215,AC215=1),AB214/AE214*tun_DaughterShare&gt;=tun_MinDaughter),MAX(1,ROUND(AE214*tun_FissionRate,0)),0)</x:f>
        <x:v>0</x:v>
      </x:c>
      <x:c r="AE215" s="8" t="n">
        <x:f>IF(H215=1,MAX(1,MIN(INDEX(tun_Smax,G215),AE214+AD215)),AE214)</x:f>
        <x:v>3</x:v>
      </x:c>
      <x:c r="AF215" s="8" t="n">
        <x:f>MAX(0,AE215-AE214)</x:f>
        <x:v>0</x:v>
      </x:c>
      <x:c r="AG215" s="9" t="str">
        <x:f>IF(AF215&gt;0,B215,"")</x:f>
      </x:c>
      <x:c r="AH215" s="9" t="n">
        <x:f>IF(F215&gt;=1,1,(1+tun_LowTiesShare*(AE215-1))/AE215)</x:f>
        <x:v>1</x:v>
      </x:c>
      <x:c r="AI215" s="32" t="n">
        <x:f>(Z215+tun_ElderCommons*INDEX(LM_Elder,G215)*AA215)*AH215</x:f>
        <x:v>344.2724210882808</x:v>
      </x:c>
      <x:c r="AJ215" s="32" t="n">
        <x:f>H215*tun_CommonsCoef*AI215^tun_CommonsExp*INDEX(LM_Commons,G215)</x:f>
        <x:v>831.6572749986626</x:v>
      </x:c>
      <x:c r="AK215" s="32" t="n">
        <x:f>H215*tun_RoleScale*Arch_Roles*(AE215*(INDEX(tun_ElderRolePerSett,G215)*tun_OutElder*INDEX(LM_Elder,G215)+INDEX(tun_ShamanPerSett,G215)*tun_OutShaman)+Z215*(INDEX(tun_PriestShare,G215)*tun_OutPriest+INDEX(tun_ScribeShare,G215)*tun_OutScribe*INDEX(LM_Scribe,G215)+INDEX(tun_ScholarShare,G215)*tun_OutScholar*INDEX(LM_Scholar,G215)+INDEX(tun_ResearcherShare,G215)*tun_OutResearcher*INDEX(LM_Researcher,G215)))</x:f>
        <x:v>115.91683639995478</x:v>
      </x:c>
      <x:c r="AL215" s="32" t="n">
        <x:f>H215*tun_RoleScale*Arch_Roles*AE215*INDEX(tun_MonasteryPerSett,G215)*tun_OutMonastery*INDEX(LM_Monastery,G215)</x:f>
        <x:v>0</x:v>
      </x:c>
      <x:c r="AM215" s="32" t="n">
        <x:f>(AJ215+AK215+AL215)/4*INDEX(LM_All,G215)*INDEX(tun_Boon,G215)*Arch_Insight</x:f>
        <x:v>285.0078863942295</x:v>
      </x:c>
      <x:c r="AN215" s="32" t="n">
        <x:f>H215*(tun_KHPerAdult*Z215+tun_KHOfCommons*AJ215/4*INDEX(LM_All,G215))*tun_KHUsable*Arch_KH</x:f>
        <x:v>55.5211821211809</x:v>
      </x:c>
      <x:c r="AO215" s="32" t="n">
        <x:f>MIN(AP214+AN215,AM215*tun_KHMaxRatio)</x:f>
        <x:v>55.5211821211809</x:v>
      </x:c>
      <x:c r="AP215" s="32" t="n">
        <x:f>AP214+AN215-AO215</x:f>
        <x:v>0</x:v>
      </x:c>
      <x:c r="AQ215" s="32" t="n">
        <x:f>AM215+AO215</x:f>
        <x:v>340.5290685154104</x:v>
      </x:c>
      <x:c r="AR215" s="10" t="n">
        <x:f>IF(H215=1,INDEX(tun_Req,G215),0)</x:f>
        <x:v>21071.475087999996</x:v>
      </x:c>
      <x:c r="AS215" s="32" t="n">
        <x:f>IF(H215=1,IF(E215=1,AS214-AR214,AS214)+AQ215,0)</x:f>
        <x:v>10543.84410641174</x:v>
      </x:c>
      <x:c r="AT215" s="11" t="n">
        <x:f>IF(AR215&gt;0,MIN(1,AS215/AR215),1)</x:f>
        <x:v>0.5003847173668614</x:v>
      </x:c>
      <x:c r="AU215" s="10" t="n">
        <x:f>AB215/INDEX(tun_RepScale,G215)</x:f>
        <x:v>271.134792382878</x:v>
      </x:c>
      <x:c r="AV215" s="32" t="n">
        <x:f>AM215*60/tun_SeasonSeconds</x:f>
        <x:v>1140.031545576918</x:v>
      </x:c>
    </x:row>
    <x:row r="216">
      <x:c r="A216" s="8" t="n">
        <x:f>A215+1</x:f>
        <x:v>213</x:v>
      </x:c>
      <x:c r="B216" s="9" t="n">
        <x:f>A216*tun_SeasonSeconds/60</x:f>
        <x:v>53.25</x:v>
      </x:c>
      <x:c r="C216" s="9" t="n">
        <x:f>A216/4</x:f>
        <x:v>53.25</x:v>
      </x:c>
      <x:c r="D216" s="8" t="n">
        <x:f>IF(MOD(A216,4)=0,1,0)</x:f>
        <x:v>0</x:v>
      </x:c>
      <x:c r="E216" s="8" t="n">
        <x:f>IF(AND(F215&lt;=9,AS215&gt;=AR215),1,0)</x:f>
        <x:v>0</x:v>
      </x:c>
      <x:c r="F216" s="8" t="n">
        <x:f>MIN(10,F215+E216)</x:f>
        <x:v>4</x:v>
      </x:c>
      <x:c r="G216" s="8" t="n">
        <x:f>MIN(F216,9)+1</x:f>
        <x:v>5</x:v>
      </x:c>
      <x:c r="H216" s="8" t="n">
        <x:f>IF(F216&lt;=9,1,0)</x:f>
        <x:v>1</x:v>
      </x:c>
      <x:c r="I216" s="9" t="n">
        <x:f>MIN(10,F215+IF(AR215&gt;0,MIN(1,AS215/AR215),1))</x:f>
        <x:v>4.500384717366861</x:v>
      </x:c>
      <x:c r="J216" s="32" t="n">
        <x:f>INDEX(tun_FoodCap,G216)*Arch_FoodCap*EXP(tun_CapsByProject*SUMPRODUCT((Cap_Point&lt;=I216)*(Cap_Kind="Food")*Cap_Ln))</x:f>
        <x:v>263.22097712516194</x:v>
      </x:c>
      <x:c r="K216" s="32" t="n">
        <x:f>J216*MIN(1,tun_LeanBase*EXP(tun_CapsByProject*SUMPRODUCT((Cap_Point&lt;=I216)*(Cap_Kind="Lean")*Cap_Ln)))</x:f>
        <x:v>263.22097712516194</x:v>
      </x:c>
      <x:c r="L216" s="10" t="n">
        <x:f>INDEX(tun_HousingCap,G216)*EXP(tun_CapsByProject*SUMPRODUCT((Cap_Point&lt;=I216)*(Cap_Kind="Housing")*Cap_Ln))</x:f>
        <x:v>1478.4119999999994</x:v>
      </x:c>
      <x:c r="M216" s="10" t="n">
        <x:f>INDEX(tun_GroupCap,G216)*tun_CohesionFactor*EXP(tun_CapsByProject*SUMPRODUCT((Cap_Point&lt;=I216)*(Cap_Kind="Group")*Cap_Ln))</x:f>
        <x:v>50000.00000000004</x:v>
      </x:c>
      <x:c r="N216" s="32" t="n">
        <x:f>MIN(J216,L216,M216)</x:f>
        <x:v>263.22097712516194</x:v>
      </x:c>
      <x:c r="O216" s="10" t="n">
        <x:f>AE215*N216</x:f>
        <x:v>789.6629313754859</x:v>
      </x:c>
      <x:c r="P216" s="9" t="n">
        <x:f>MIN(1,(AB215/(AE215*IF(tun_GroupInCrowding=1,N216,MIN(J216,L216))))^tun_CrowdingExp)</x:f>
        <x:v>0.10486751245346443</x:v>
      </x:c>
      <x:c r="Q216" s="9" t="n">
        <x:f>IF(D216=1,INDEX(tun_WinterMult,G216),1)</x:f>
        <x:v>1</x:v>
      </x:c>
      <x:c r="R216" s="9" t="n">
        <x:f>H216*Z215*tun_WomenShare*tun_BaseFertility*INDEX(tun_FertMult,G216)*Arch_Fertility*(1-P216)</x:f>
        <x:v>13.564334701470612</x:v>
      </x:c>
      <x:c r="S216" s="9" t="n">
        <x:f>H216*Y215*INDEX(tun_MortChild,G216)/4*Q216</x:f>
        <x:v>2.2349665986977962</x:v>
      </x:c>
      <x:c r="T216" s="9" t="n">
        <x:f>H216*Z215*INDEX(tun_MortAdult,G216)*Arch_AdultMort/4*Q216</x:f>
        <x:v>0.5099714730204526</x:v>
      </x:c>
      <x:c r="U216" s="9" t="n">
        <x:f>H216*AA215*INDEX(tun_MortElder,G216)/4*Q216</x:f>
        <x:v>0.6624892861531136</x:v>
      </x:c>
      <x:c r="V216" s="9" t="n">
        <x:f>H216*MAX(0,AB215-O216)*tun_OvercapLoss</x:f>
        <x:v>0</x:v>
      </x:c>
      <x:c r="W216" s="9" t="n">
        <x:f>H216*Y215/(tun_ChildYears*4)</x:f>
        <x:v>5.321349044518563</x:v>
      </x:c>
      <x:c r="X216" s="9" t="n">
        <x:f>H216*Z215/(tun_AdultYears*4)</x:f>
        <x:v>1.5667326360075349</x:v>
      </x:c>
      <x:c r="Y216" s="32" t="n">
        <x:f>Y215+R216-S216-W216-Y215*V216/AB215</x:f>
        <x:v>304.0035655512938</x:v>
      </x:c>
      <x:c r="Z216" s="32" t="n">
        <x:f>Z215+W216-X216-T216-Z215*V216/AB215</x:f>
        <x:v>197.5194918004249</x:v>
      </x:c>
      <x:c r="AA216" s="32" t="n">
        <x:f>AA215+X216-U216-AA215*V216/AB215</x:f>
        <x:v>50.90343475763659</x:v>
      </x:c>
      <x:c r="AB216" s="10" t="n">
        <x:f>Y216+Z216+AA216</x:f>
        <x:v>552.4264921093552</x:v>
      </x:c>
      <x:c r="AC216" s="8" t="n">
        <x:f>IF(AND(tun_WinterTrigger=1,D216=1,AB215/AE215&gt;=K216),1,0)</x:f>
        <x:v>0</x:v>
      </x:c>
      <x:c r="AD216" s="8" t="n">
        <x:f>H216*IF(AND(OR(AB215/AE215&gt;=tun_FissionTrigger*N216,AC216=1),AB215/AE215*tun_DaughterShare&gt;=tun_MinDaughter),MAX(1,ROUND(AE215*tun_FissionRate,0)),0)</x:f>
        <x:v>0</x:v>
      </x:c>
      <x:c r="AE216" s="8" t="n">
        <x:f>IF(H216=1,MAX(1,MIN(INDEX(tun_Smax,G216),AE215+AD216)),AE215)</x:f>
        <x:v>3</x:v>
      </x:c>
      <x:c r="AF216" s="8" t="n">
        <x:f>MAX(0,AE216-AE215)</x:f>
        <x:v>0</x:v>
      </x:c>
      <x:c r="AG216" s="9" t="str">
        <x:f>IF(AF216&gt;0,B216,"")</x:f>
      </x:c>
      <x:c r="AH216" s="9" t="n">
        <x:f>IF(F216&gt;=1,1,(1+tun_LowTiesShare*(AE216-1))/AE216)</x:f>
        <x:v>1</x:v>
      </x:c>
      <x:c r="AI216" s="32" t="n">
        <x:f>(Z216+tun_ElderCommons*INDEX(LM_Elder,G216)*AA216)*AH216</x:f>
        <x:v>350.2297960733347</x:v>
      </x:c>
      <x:c r="AJ216" s="32" t="n">
        <x:f>H216*tun_CommonsCoef*AI216^tun_CommonsExp*INDEX(LM_Commons,G216)</x:f>
        <x:v>843.8740261623261</x:v>
      </x:c>
      <x:c r="AK216" s="32" t="n">
        <x:f>H216*tun_RoleScale*Arch_Roles*(AE216*(INDEX(tun_ElderRolePerSett,G216)*tun_OutElder*INDEX(LM_Elder,G216)+INDEX(tun_ShamanPerSett,G216)*tun_OutShaman)+Z216*(INDEX(tun_PriestShare,G216)*tun_OutPriest+INDEX(tun_ScribeShare,G216)*tun_OutScribe*INDEX(LM_Scribe,G216)+INDEX(tun_ScholarShare,G216)*tun_OutScholar*INDEX(LM_Scholar,G216)+INDEX(tun_ResearcherShare,G216)*tun_OutResearcher*INDEX(LM_Researcher,G216)))</x:f>
        <x:v>116.65030521028898</x:v>
      </x:c>
      <x:c r="AL216" s="32" t="n">
        <x:f>H216*tun_RoleScale*Arch_Roles*AE216*INDEX(tun_MonasteryPerSett,G216)*tun_OutMonastery*INDEX(LM_Monastery,G216)</x:f>
        <x:v>0</x:v>
      </x:c>
      <x:c r="AM216" s="32" t="n">
        <x:f>(AJ216+AK216+AL216)/4*INDEX(LM_All,G216)*INDEX(tun_Boon,G216)*Arch_Insight</x:f>
        <x:v>288.90300634182034</x:v>
      </x:c>
      <x:c r="AN216" s="32" t="n">
        <x:f>H216*(tun_KHPerAdult*Z216+tun_KHOfCommons*AJ216/4*INDEX(LM_All,G216))*tun_KHUsable*Arch_KH</x:f>
        <x:v>56.33676864543513</x:v>
      </x:c>
      <x:c r="AO216" s="32" t="n">
        <x:f>MIN(AP215+AN216,AM216*tun_KHMaxRatio)</x:f>
        <x:v>56.33676864543513</x:v>
      </x:c>
      <x:c r="AP216" s="32" t="n">
        <x:f>AP215+AN216-AO216</x:f>
        <x:v>0</x:v>
      </x:c>
      <x:c r="AQ216" s="32" t="n">
        <x:f>AM216+AO216</x:f>
        <x:v>345.2397749872555</x:v>
      </x:c>
      <x:c r="AR216" s="10" t="n">
        <x:f>IF(H216=1,INDEX(tun_Req,G216),0)</x:f>
        <x:v>21071.475087999996</x:v>
      </x:c>
      <x:c r="AS216" s="32" t="n">
        <x:f>IF(H216=1,IF(E216=1,AS215-AR215,AS215)+AQ216,0)</x:f>
        <x:v>10889.083881398996</x:v>
      </x:c>
      <x:c r="AT216" s="11" t="n">
        <x:f>IF(AR216&gt;0,MIN(1,AS216/AR216),1)</x:f>
        <x:v>0.5167689417054729</x:v>
      </x:c>
      <x:c r="AU216" s="10" t="n">
        <x:f>AB216/INDEX(tun_RepScale,G216)</x:f>
        <x:v>276.2132460546776</x:v>
      </x:c>
      <x:c r="AV216" s="32" t="n">
        <x:f>AM216*60/tun_SeasonSeconds</x:f>
        <x:v>1155.6120253672814</x:v>
      </x:c>
    </x:row>
    <x:row r="217">
      <x:c r="A217" s="8" t="n">
        <x:f>A216+1</x:f>
        <x:v>214</x:v>
      </x:c>
      <x:c r="B217" s="9" t="n">
        <x:f>A217*tun_SeasonSeconds/60</x:f>
        <x:v>53.5</x:v>
      </x:c>
      <x:c r="C217" s="9" t="n">
        <x:f>A217/4</x:f>
        <x:v>53.5</x:v>
      </x:c>
      <x:c r="D217" s="8" t="n">
        <x:f>IF(MOD(A217,4)=0,1,0)</x:f>
        <x:v>0</x:v>
      </x:c>
      <x:c r="E217" s="8" t="n">
        <x:f>IF(AND(F216&lt;=9,AS216&gt;=AR216),1,0)</x:f>
        <x:v>0</x:v>
      </x:c>
      <x:c r="F217" s="8" t="n">
        <x:f>MIN(10,F216+E217)</x:f>
        <x:v>4</x:v>
      </x:c>
      <x:c r="G217" s="8" t="n">
        <x:f>MIN(F217,9)+1</x:f>
        <x:v>5</x:v>
      </x:c>
      <x:c r="H217" s="8" t="n">
        <x:f>IF(F217&lt;=9,1,0)</x:f>
        <x:v>1</x:v>
      </x:c>
      <x:c r="I217" s="9" t="n">
        <x:f>MIN(10,F216+IF(AR216&gt;0,MIN(1,AS216/AR216),1))</x:f>
        <x:v>4.516768941705473</x:v>
      </x:c>
      <x:c r="J217" s="32" t="n">
        <x:f>INDEX(tun_FoodCap,G217)*Arch_FoodCap*EXP(tun_CapsByProject*SUMPRODUCT((Cap_Point&lt;=I217)*(Cap_Kind="Food")*Cap_Ln))</x:f>
        <x:v>263.22097712516194</x:v>
      </x:c>
      <x:c r="K217" s="32" t="n">
        <x:f>J217*MIN(1,tun_LeanBase*EXP(tun_CapsByProject*SUMPRODUCT((Cap_Point&lt;=I217)*(Cap_Kind="Lean")*Cap_Ln)))</x:f>
        <x:v>263.22097712516194</x:v>
      </x:c>
      <x:c r="L217" s="10" t="n">
        <x:f>INDEX(tun_HousingCap,G217)*EXP(tun_CapsByProject*SUMPRODUCT((Cap_Point&lt;=I217)*(Cap_Kind="Housing")*Cap_Ln))</x:f>
        <x:v>1478.4119999999994</x:v>
      </x:c>
      <x:c r="M217" s="10" t="n">
        <x:f>INDEX(tun_GroupCap,G217)*tun_CohesionFactor*EXP(tun_CapsByProject*SUMPRODUCT((Cap_Point&lt;=I217)*(Cap_Kind="Group")*Cap_Ln))</x:f>
        <x:v>50000.00000000004</x:v>
      </x:c>
      <x:c r="N217" s="32" t="n">
        <x:f>MIN(J217,L217,M217)</x:f>
        <x:v>263.22097712516194</x:v>
      </x:c>
      <x:c r="O217" s="10" t="n">
        <x:f>AE216*N217</x:f>
        <x:v>789.6629313754859</x:v>
      </x:c>
      <x:c r="P217" s="9" t="n">
        <x:f>MIN(1,(AB216/(AE216*IF(tun_GroupInCrowding=1,N217,MIN(J217,L217))))^tun_CrowdingExp)</x:f>
        <x:v>0.11721858490992315</x:v>
      </x:c>
      <x:c r="Q217" s="9" t="n">
        <x:f>IF(D217=1,INDEX(tun_WinterMult,G217),1)</x:f>
        <x:v>1</x:v>
      </x:c>
      <x:c r="R217" s="9" t="n">
        <x:f>H217*Z216*tun_WomenShare*tun_BaseFertility*INDEX(tun_FertMult,G217)*Arch_Fertility*(1-P217)</x:f>
        <x:v>13.600589845397248</x:v>
      </x:c>
      <x:c r="S217" s="9" t="n">
        <x:f>H217*Y216*INDEX(tun_MortChild,G217)/4*Q217</x:f>
        <x:v>2.2800267416347033</x:v>
      </x:c>
      <x:c r="T217" s="9" t="n">
        <x:f>H217*Z216*INDEX(tun_MortAdult,G217)*Arch_AdultMort/4*Q217</x:f>
        <x:v>0.5184886659761154</x:v>
      </x:c>
      <x:c r="U217" s="9" t="n">
        <x:f>H217*AA216*INDEX(tun_MortElder,G217)/4*Q217</x:f>
        <x:v>0.6744705105386848</x:v>
      </x:c>
      <x:c r="V217" s="9" t="n">
        <x:f>H217*MAX(0,AB216-O217)*tun_OvercapLoss</x:f>
        <x:v>0</x:v>
      </x:c>
      <x:c r="W217" s="9" t="n">
        <x:f>H217*Y216/(tun_ChildYears*4)</x:f>
        <x:v>5.428635099130246</x:v>
      </x:c>
      <x:c r="X217" s="9" t="n">
        <x:f>H217*Z216/(tun_AdultYears*4)</x:f>
        <x:v>1.5928991274227815</x:v>
      </x:c>
      <x:c r="Y217" s="32" t="n">
        <x:f>Y216+R217-S217-W217-Y216*V217/AB216</x:f>
        <x:v>309.89549355592607</x:v>
      </x:c>
      <x:c r="Z217" s="32" t="n">
        <x:f>Z216+W217-X217-T217-Z216*V217/AB216</x:f>
        <x:v>200.83673910615624</x:v>
      </x:c>
      <x:c r="AA217" s="32" t="n">
        <x:f>AA216+X217-U217-AA216*V217/AB216</x:f>
        <x:v>51.82186337452069</x:v>
      </x:c>
      <x:c r="AB217" s="10" t="n">
        <x:f>Y217+Z217+AA217</x:f>
        <x:v>562.554096036603</x:v>
      </x:c>
      <x:c r="AC217" s="8" t="n">
        <x:f>IF(AND(tun_WinterTrigger=1,D217=1,AB216/AE216&gt;=K217),1,0)</x:f>
        <x:v>0</x:v>
      </x:c>
      <x:c r="AD217" s="8" t="n">
        <x:f>H217*IF(AND(OR(AB216/AE216&gt;=tun_FissionTrigger*N217,AC217=1),AB216/AE216*tun_DaughterShare&gt;=tun_MinDaughter),MAX(1,ROUND(AE216*tun_FissionRate,0)),0)</x:f>
        <x:v>0</x:v>
      </x:c>
      <x:c r="AE217" s="8" t="n">
        <x:f>IF(H217=1,MAX(1,MIN(INDEX(tun_Smax,G217),AE216+AD217)),AE216)</x:f>
        <x:v>3</x:v>
      </x:c>
      <x:c r="AF217" s="8" t="n">
        <x:f>MAX(0,AE217-AE216)</x:f>
        <x:v>0</x:v>
      </x:c>
      <x:c r="AG217" s="9" t="str">
        <x:f>IF(AF217&gt;0,B217,"")</x:f>
      </x:c>
      <x:c r="AH217" s="9" t="n">
        <x:f>IF(F217&gt;=1,1,(1+tun_LowTiesShare*(AE217-1))/AE217)</x:f>
        <x:v>1</x:v>
      </x:c>
      <x:c r="AI217" s="32" t="n">
        <x:f>(Z217+tun_ElderCommons*INDEX(LM_Elder,G217)*AA217)*AH217</x:f>
        <x:v>356.30232922971834</x:v>
      </x:c>
      <x:c r="AJ217" s="32" t="n">
        <x:f>H217*tun_CommonsCoef*AI217^tun_CommonsExp*INDEX(LM_Commons,G217)</x:f>
        <x:v>856.2948941900411</x:v>
      </x:c>
      <x:c r="AK217" s="32" t="n">
        <x:f>H217*tun_RoleScale*Arch_Roles*(AE217*(INDEX(tun_ElderRolePerSett,G217)*tun_OutElder*INDEX(LM_Elder,G217)+INDEX(tun_ShamanPerSett,G217)*tun_OutShaman)+Z217*(INDEX(tun_PriestShare,G217)*tun_OutPriest+INDEX(tun_ScribeShare,G217)*tun_OutScribe*INDEX(LM_Scribe,G217)+INDEX(tun_ScholarShare,G217)*tun_OutScholar*INDEX(LM_Scholar,G217)+INDEX(tun_ResearcherShare,G217)*tun_OutResearcher*INDEX(LM_Researcher,G217)))</x:f>
        <x:v>117.4001861628411</x:v>
      </x:c>
      <x:c r="AL217" s="32" t="n">
        <x:f>H217*tun_RoleScale*Arch_Roles*AE217*INDEX(tun_MonasteryPerSett,G217)*tun_OutMonastery*INDEX(LM_Monastery,G217)</x:f>
        <x:v>0</x:v>
      </x:c>
      <x:c r="AM217" s="32" t="n">
        <x:f>(AJ217+AK217+AL217)/4*INDEX(LM_All,G217)*INDEX(tun_Boon,G217)*Arch_Insight</x:f>
        <x:v>292.8644561998735</x:v>
      </x:c>
      <x:c r="AN217" s="32" t="n">
        <x:f>H217*(tun_KHPerAdult*Z217+tun_KHOfCommons*AJ217/4*INDEX(LM_All,G217))*tun_KHUsable*Arch_KH</x:f>
        <x:v>57.16598194832006</x:v>
      </x:c>
      <x:c r="AO217" s="32" t="n">
        <x:f>MIN(AP216+AN217,AM217*tun_KHMaxRatio)</x:f>
        <x:v>57.16598194832006</x:v>
      </x:c>
      <x:c r="AP217" s="32" t="n">
        <x:f>AP216+AN217-AO217</x:f>
        <x:v>0</x:v>
      </x:c>
      <x:c r="AQ217" s="32" t="n">
        <x:f>AM217+AO217</x:f>
        <x:v>350.0304381481935</x:v>
      </x:c>
      <x:c r="AR217" s="10" t="n">
        <x:f>IF(H217=1,INDEX(tun_Req,G217),0)</x:f>
        <x:v>21071.475087999996</x:v>
      </x:c>
      <x:c r="AS217" s="32" t="n">
        <x:f>IF(H217=1,IF(E217=1,AS216-AR216,AS216)+AQ217,0)</x:f>
        <x:v>11239.114319547189</x:v>
      </x:c>
      <x:c r="AT217" s="11" t="n">
        <x:f>IF(AR217&gt;0,MIN(1,AS217/AR217),1)</x:f>
        <x:v>0.5333805190481304</x:v>
      </x:c>
      <x:c r="AU217" s="10" t="n">
        <x:f>AB217/INDEX(tun_RepScale,G217)</x:f>
        <x:v>281.2770480183015</x:v>
      </x:c>
      <x:c r="AV217" s="32" t="n">
        <x:f>AM217*60/tun_SeasonSeconds</x:f>
        <x:v>1171.457824799494</x:v>
      </x:c>
    </x:row>
    <x:row r="218">
      <x:c r="A218" s="8" t="n">
        <x:f>A217+1</x:f>
        <x:v>215</x:v>
      </x:c>
      <x:c r="B218" s="9" t="n">
        <x:f>A218*tun_SeasonSeconds/60</x:f>
        <x:v>53.75</x:v>
      </x:c>
      <x:c r="C218" s="9" t="n">
        <x:f>A218/4</x:f>
        <x:v>53.75</x:v>
      </x:c>
      <x:c r="D218" s="8" t="n">
        <x:f>IF(MOD(A218,4)=0,1,0)</x:f>
        <x:v>0</x:v>
      </x:c>
      <x:c r="E218" s="8" t="n">
        <x:f>IF(AND(F217&lt;=9,AS217&gt;=AR217),1,0)</x:f>
        <x:v>0</x:v>
      </x:c>
      <x:c r="F218" s="8" t="n">
        <x:f>MIN(10,F217+E218)</x:f>
        <x:v>4</x:v>
      </x:c>
      <x:c r="G218" s="8" t="n">
        <x:f>MIN(F218,9)+1</x:f>
        <x:v>5</x:v>
      </x:c>
      <x:c r="H218" s="8" t="n">
        <x:f>IF(F218&lt;=9,1,0)</x:f>
        <x:v>1</x:v>
      </x:c>
      <x:c r="I218" s="9" t="n">
        <x:f>MIN(10,F217+IF(AR217&gt;0,MIN(1,AS217/AR217),1))</x:f>
        <x:v>4.53338051904813</x:v>
      </x:c>
      <x:c r="J218" s="32" t="n">
        <x:f>INDEX(tun_FoodCap,G218)*Arch_FoodCap*EXP(tun_CapsByProject*SUMPRODUCT((Cap_Point&lt;=I218)*(Cap_Kind="Food")*Cap_Ln))</x:f>
        <x:v>263.22097712516194</x:v>
      </x:c>
      <x:c r="K218" s="32" t="n">
        <x:f>J218*MIN(1,tun_LeanBase*EXP(tun_CapsByProject*SUMPRODUCT((Cap_Point&lt;=I218)*(Cap_Kind="Lean")*Cap_Ln)))</x:f>
        <x:v>263.22097712516194</x:v>
      </x:c>
      <x:c r="L218" s="10" t="n">
        <x:f>INDEX(tun_HousingCap,G218)*EXP(tun_CapsByProject*SUMPRODUCT((Cap_Point&lt;=I218)*(Cap_Kind="Housing")*Cap_Ln))</x:f>
        <x:v>1478.4119999999994</x:v>
      </x:c>
      <x:c r="M218" s="10" t="n">
        <x:f>INDEX(tun_GroupCap,G218)*tun_CohesionFactor*EXP(tun_CapsByProject*SUMPRODUCT((Cap_Point&lt;=I218)*(Cap_Kind="Group")*Cap_Ln))</x:f>
        <x:v>50000.00000000004</x:v>
      </x:c>
      <x:c r="N218" s="32" t="n">
        <x:f>MIN(J218,L218,M218)</x:f>
        <x:v>263.22097712516194</x:v>
      </x:c>
      <x:c r="O218" s="10" t="n">
        <x:f>AE217*N218</x:f>
        <x:v>789.6629313754859</x:v>
      </x:c>
      <x:c r="P218" s="9" t="n">
        <x:f>MIN(1,(AB217/(AE217*IF(tun_GroupInCrowding=1,N218,MIN(J218,L218))))^tun_CrowdingExp)</x:f>
        <x:v>0.13071795259914182</x:v>
      </x:c>
      <x:c r="Q218" s="9" t="n">
        <x:f>IF(D218=1,INDEX(tun_WinterMult,G218),1)</x:f>
        <x:v>1</x:v>
      </x:c>
      <x:c r="R218" s="9" t="n">
        <x:f>H218*Z217*tun_WomenShare*tun_BaseFertility*INDEX(tun_FertMult,G218)*Arch_Fertility*(1-P218)</x:f>
        <x:v>13.617534197553898</x:v>
      </x:c>
      <x:c r="S218" s="9" t="n">
        <x:f>H218*Y217*INDEX(tun_MortChild,G218)/4*Q218</x:f>
        <x:v>2.3242162016694454</x:v>
      </x:c>
      <x:c r="T218" s="9" t="n">
        <x:f>H218*Z217*INDEX(tun_MortAdult,G218)*Arch_AdultMort/4*Q218</x:f>
        <x:v>0.5271964401536602</x:v>
      </x:c>
      <x:c r="U218" s="9" t="n">
        <x:f>H218*AA217*INDEX(tun_MortElder,G218)/4*Q218</x:f>
        <x:v>0.6866396897123991</x:v>
      </x:c>
      <x:c r="V218" s="9" t="n">
        <x:f>H218*MAX(0,AB217-O218)*tun_OvercapLoss</x:f>
        <x:v>0</x:v>
      </x:c>
      <x:c r="W218" s="9" t="n">
        <x:f>H218*Y217/(tun_ChildYears*4)</x:f>
        <x:v>5.533848099212966</x:v>
      </x:c>
      <x:c r="X218" s="9" t="n">
        <x:f>H218*Z217/(tun_AdultYears*4)</x:f>
        <x:v>1.6196511218238407</x:v>
      </x:c>
      <x:c r="Y218" s="32" t="n">
        <x:f>Y217+R218-S218-W218-Y217*V218/AB217</x:f>
        <x:v>315.65496345259754</x:v>
      </x:c>
      <x:c r="Z218" s="32" t="n">
        <x:f>Z217+W218-X218-T218-Z217*V218/AB217</x:f>
        <x:v>204.22373964339172</x:v>
      </x:c>
      <x:c r="AA218" s="32" t="n">
        <x:f>AA217+X218-U218-AA217*V218/AB217</x:f>
        <x:v>52.75487480663213</x:v>
      </x:c>
      <x:c r="AB218" s="10" t="n">
        <x:f>Y218+Z218+AA218</x:f>
        <x:v>572.6335779026215</x:v>
      </x:c>
      <x:c r="AC218" s="8" t="n">
        <x:f>IF(AND(tun_WinterTrigger=1,D218=1,AB217/AE217&gt;=K218),1,0)</x:f>
        <x:v>0</x:v>
      </x:c>
      <x:c r="AD218" s="8" t="n">
        <x:f>H218*IF(AND(OR(AB217/AE217&gt;=tun_FissionTrigger*N218,AC218=1),AB217/AE217*tun_DaughterShare&gt;=tun_MinDaughter),MAX(1,ROUND(AE217*tun_FissionRate,0)),0)</x:f>
        <x:v>0</x:v>
      </x:c>
      <x:c r="AE218" s="8" t="n">
        <x:f>IF(H218=1,MAX(1,MIN(INDEX(tun_Smax,G218),AE217+AD218)),AE217)</x:f>
        <x:v>3</x:v>
      </x:c>
      <x:c r="AF218" s="8" t="n">
        <x:f>MAX(0,AE218-AE217)</x:f>
        <x:v>0</x:v>
      </x:c>
      <x:c r="AG218" s="9" t="str">
        <x:f>IF(AF218&gt;0,B218,"")</x:f>
      </x:c>
      <x:c r="AH218" s="9" t="n">
        <x:f>IF(F218&gt;=1,1,(1+tun_LowTiesShare*(AE218-1))/AE218)</x:f>
        <x:v>1</x:v>
      </x:c>
      <x:c r="AI218" s="32" t="n">
        <x:f>(Z218+tun_ElderCommons*INDEX(LM_Elder,G218)*AA218)*AH218</x:f>
        <x:v>362.48836406328815</x:v>
      </x:c>
      <x:c r="AJ218" s="32" t="n">
        <x:f>H218*tun_CommonsCoef*AI218^tun_CommonsExp*INDEX(LM_Commons,G218)</x:f>
        <x:v>868.9153150123099</x:v>
      </x:c>
      <x:c r="AK218" s="32" t="n">
        <x:f>H218*tun_RoleScale*Arch_Roles*(AE218*(INDEX(tun_ElderRolePerSett,G218)*tun_OutElder*INDEX(LM_Elder,G218)+INDEX(tun_ShamanPerSett,G218)*tun_OutShaman)+Z218*(INDEX(tun_PriestShare,G218)*tun_OutPriest+INDEX(tun_ScribeShare,G218)*tun_OutScribe*INDEX(LM_Scribe,G218)+INDEX(tun_ScholarShare,G218)*tun_OutScholar*INDEX(LM_Scholar,G218)+INDEX(tun_ResearcherShare,G218)*tun_OutResearcher*INDEX(LM_Researcher,G218)))</x:f>
        <x:v>118.16583519502765</x:v>
      </x:c>
      <x:c r="AL218" s="32" t="n">
        <x:f>H218*tun_RoleScale*Arch_Roles*AE218*INDEX(tun_MonasteryPerSett,G218)*tun_OutMonastery*INDEX(LM_Monastery,G218)</x:f>
        <x:v>0</x:v>
      </x:c>
      <x:c r="AM218" s="32" t="n">
        <x:f>(AJ218+AK218+AL218)/4*INDEX(LM_All,G218)*INDEX(tun_Boon,G218)*Arch_Insight</x:f>
        <x:v>296.8906694854102</x:v>
      </x:c>
      <x:c r="AN218" s="32" t="n">
        <x:f>H218*(tun_KHPerAdult*Z218+tun_KHOfCommons*AJ218/4*INDEX(LM_All,G218))*tun_KHUsable*Arch_KH</x:f>
        <x:v>58.00851733396946</x:v>
      </x:c>
      <x:c r="AO218" s="32" t="n">
        <x:f>MIN(AP217+AN218,AM218*tun_KHMaxRatio)</x:f>
        <x:v>58.00851733396946</x:v>
      </x:c>
      <x:c r="AP218" s="32" t="n">
        <x:f>AP217+AN218-AO218</x:f>
        <x:v>0</x:v>
      </x:c>
      <x:c r="AQ218" s="32" t="n">
        <x:f>AM218+AO218</x:f>
        <x:v>354.8991868193797</x:v>
      </x:c>
      <x:c r="AR218" s="10" t="n">
        <x:f>IF(H218=1,INDEX(tun_Req,G218),0)</x:f>
        <x:v>21071.475087999996</x:v>
      </x:c>
      <x:c r="AS218" s="32" t="n">
        <x:f>IF(H218=1,IF(E218=1,AS217-AR217,AS217)+AQ218,0)</x:f>
        <x:v>11594.013506366568</x:v>
      </x:c>
      <x:c r="AT218" s="11" t="n">
        <x:f>IF(AR218&gt;0,MIN(1,AS218/AR218),1)</x:f>
        <x:v>0.5502231551396821</x:v>
      </x:c>
      <x:c r="AU218" s="10" t="n">
        <x:f>AB218/INDEX(tun_RepScale,G218)</x:f>
        <x:v>286.31678895131074</x:v>
      </x:c>
      <x:c r="AV218" s="32" t="n">
        <x:f>AM218*60/tun_SeasonSeconds</x:f>
        <x:v>1187.562677941641</x:v>
      </x:c>
    </x:row>
    <x:row r="219">
      <x:c r="A219" s="8" t="n">
        <x:f>A218+1</x:f>
        <x:v>216</x:v>
      </x:c>
      <x:c r="B219" s="9" t="n">
        <x:f>A219*tun_SeasonSeconds/60</x:f>
        <x:v>54</x:v>
      </x:c>
      <x:c r="C219" s="9" t="n">
        <x:f>A219/4</x:f>
        <x:v>54</x:v>
      </x:c>
      <x:c r="D219" s="8" t="n">
        <x:f>IF(MOD(A219,4)=0,1,0)</x:f>
        <x:v>1</x:v>
      </x:c>
      <x:c r="E219" s="8" t="n">
        <x:f>IF(AND(F218&lt;=9,AS218&gt;=AR218),1,0)</x:f>
        <x:v>0</x:v>
      </x:c>
      <x:c r="F219" s="8" t="n">
        <x:f>MIN(10,F218+E219)</x:f>
        <x:v>4</x:v>
      </x:c>
      <x:c r="G219" s="8" t="n">
        <x:f>MIN(F219,9)+1</x:f>
        <x:v>5</x:v>
      </x:c>
      <x:c r="H219" s="8" t="n">
        <x:f>IF(F219&lt;=9,1,0)</x:f>
        <x:v>1</x:v>
      </x:c>
      <x:c r="I219" s="9" t="n">
        <x:f>MIN(10,F218+IF(AR218&gt;0,MIN(1,AS218/AR218),1))</x:f>
        <x:v>4.550223155139682</x:v>
      </x:c>
      <x:c r="J219" s="32" t="n">
        <x:f>INDEX(tun_FoodCap,G219)*Arch_FoodCap*EXP(tun_CapsByProject*SUMPRODUCT((Cap_Point&lt;=I219)*(Cap_Kind="Food")*Cap_Ln))</x:f>
        <x:v>263.22097712516194</x:v>
      </x:c>
      <x:c r="K219" s="32" t="n">
        <x:f>J219*MIN(1,tun_LeanBase*EXP(tun_CapsByProject*SUMPRODUCT((Cap_Point&lt;=I219)*(Cap_Kind="Lean")*Cap_Ln)))</x:f>
        <x:v>263.22097712516194</x:v>
      </x:c>
      <x:c r="L219" s="10" t="n">
        <x:f>INDEX(tun_HousingCap,G219)*EXP(tun_CapsByProject*SUMPRODUCT((Cap_Point&lt;=I219)*(Cap_Kind="Housing")*Cap_Ln))</x:f>
        <x:v>1478.4119999999994</x:v>
      </x:c>
      <x:c r="M219" s="10" t="n">
        <x:f>INDEX(tun_GroupCap,G219)*tun_CohesionFactor*EXP(tun_CapsByProject*SUMPRODUCT((Cap_Point&lt;=I219)*(Cap_Kind="Group")*Cap_Ln))</x:f>
        <x:v>50000.00000000004</x:v>
      </x:c>
      <x:c r="N219" s="32" t="n">
        <x:f>MIN(J219,L219,M219)</x:f>
        <x:v>263.22097712516194</x:v>
      </x:c>
      <x:c r="O219" s="10" t="n">
        <x:f>AE218*N219</x:f>
        <x:v>789.6629313754859</x:v>
      </x:c>
      <x:c r="P219" s="9" t="n">
        <x:f>MIN(1,(AB218/(AE218*IF(tun_GroupInCrowding=1,N219,MIN(J219,L219))))^tun_CrowdingExp)</x:f>
        <x:v>0.14541538335453616</x:v>
      </x:c>
      <x:c r="Q219" s="9" t="n">
        <x:f>IF(D219=1,INDEX(tun_WinterMult,G219),1)</x:f>
        <x:v>1.2</x:v>
      </x:c>
      <x:c r="R219" s="9" t="n">
        <x:f>H219*Z218*tun_WomenShare*tun_BaseFertility*INDEX(tun_FertMult,G219)*Arch_Fertility*(1-P219)</x:f>
        <x:v>13.613064367737971</x:v>
      </x:c>
      <x:c r="S219" s="9" t="n">
        <x:f>H219*Y218*INDEX(tun_MortChild,G219)/4*Q219</x:f>
        <x:v>2.840894671073378</x:v>
      </x:c>
      <x:c r="T219" s="9" t="n">
        <x:f>H219*Z218*INDEX(tun_MortAdult,G219)*Arch_AdultMort/4*Q219</x:f>
        <x:v>0.6433047798766839</x:v>
      </x:c>
      <x:c r="U219" s="9" t="n">
        <x:f>H219*AA218*INDEX(tun_MortElder,G219)/4*Q219</x:f>
        <x:v>0.8388025094254509</x:v>
      </x:c>
      <x:c r="V219" s="9" t="n">
        <x:f>H219*MAX(0,AB218-O219)*tun_OvercapLoss</x:f>
        <x:v>0</x:v>
      </x:c>
      <x:c r="W219" s="9" t="n">
        <x:f>H219*Y218/(tun_ChildYears*4)</x:f>
        <x:v>5.636695775939242</x:v>
      </x:c>
      <x:c r="X219" s="9" t="n">
        <x:f>H219*Z218/(tun_AdultYears*4)</x:f>
        <x:v>1.646965642285417</x:v>
      </x:c>
      <x:c r="Y219" s="32" t="n">
        <x:f>Y218+R219-S219-W219-Y218*V219/AB218</x:f>
        <x:v>320.7904373733229</x:v>
      </x:c>
      <x:c r="Z219" s="32" t="n">
        <x:f>Z218+W219-X219-T219-Z218*V219/AB218</x:f>
        <x:v>207.5701649971689</x:v>
      </x:c>
      <x:c r="AA219" s="32" t="n">
        <x:f>AA218+X219-U219-AA218*V219/AB218</x:f>
        <x:v>53.5630379394921</x:v>
      </x:c>
      <x:c r="AB219" s="10" t="n">
        <x:f>Y219+Z219+AA219</x:f>
        <x:v>581.9236403099839</x:v>
      </x:c>
      <x:c r="AC219" s="8" t="n">
        <x:f>IF(AND(tun_WinterTrigger=1,D219=1,AB218/AE218&gt;=K219),1,0)</x:f>
        <x:v>0</x:v>
      </x:c>
      <x:c r="AD219" s="8" t="n">
        <x:f>H219*IF(AND(OR(AB218/AE218&gt;=tun_FissionTrigger*N219,AC219=1),AB218/AE218*tun_DaughterShare&gt;=tun_MinDaughter),MAX(1,ROUND(AE218*tun_FissionRate,0)),0)</x:f>
        <x:v>0</x:v>
      </x:c>
      <x:c r="AE219" s="8" t="n">
        <x:f>IF(H219=1,MAX(1,MIN(INDEX(tun_Smax,G219),AE218+AD219)),AE218)</x:f>
        <x:v>3</x:v>
      </x:c>
      <x:c r="AF219" s="8" t="n">
        <x:f>MAX(0,AE219-AE218)</x:f>
        <x:v>0</x:v>
      </x:c>
      <x:c r="AG219" s="9" t="str">
        <x:f>IF(AF219&gt;0,B219,"")</x:f>
      </x:c>
      <x:c r="AH219" s="9" t="n">
        <x:f>IF(F219&gt;=1,1,(1+tun_LowTiesShare*(AE219-1))/AE219)</x:f>
        <x:v>1</x:v>
      </x:c>
      <x:c r="AI219" s="32" t="n">
        <x:f>(Z219+tun_ElderCommons*INDEX(LM_Elder,G219)*AA219)*AH219</x:f>
        <x:v>368.2592788156452</x:v>
      </x:c>
      <x:c r="AJ219" s="32" t="n">
        <x:f>H219*tun_CommonsCoef*AI219^tun_CommonsExp*INDEX(LM_Commons,G219)</x:f>
        <x:v>880.6597260234125</x:v>
      </x:c>
      <x:c r="AK219" s="32" t="n">
        <x:f>H219*tun_RoleScale*Arch_Roles*(AE219*(INDEX(tun_ElderRolePerSett,G219)*tun_OutElder*INDEX(LM_Elder,G219)+INDEX(tun_ShamanPerSett,G219)*tun_OutShaman)+Z219*(INDEX(tun_PriestShare,G219)*tun_OutPriest+INDEX(tun_ScribeShare,G219)*tun_OutScribe*INDEX(LM_Scribe,G219)+INDEX(tun_ScholarShare,G219)*tun_OutScholar*INDEX(LM_Scholar,G219)+INDEX(tun_ResearcherShare,G219)*tun_OutResearcher*INDEX(LM_Researcher,G219)))</x:f>
        <x:v>118.92231199662136</x:v>
      </x:c>
      <x:c r="AL219" s="32" t="n">
        <x:f>H219*tun_RoleScale*Arch_Roles*AE219*INDEX(tun_MonasteryPerSett,G219)*tun_OutMonastery*INDEX(LM_Monastery,G219)</x:f>
        <x:v>0</x:v>
      </x:c>
      <x:c r="AM219" s="32" t="n">
        <x:f>(AJ219+AK219+AL219)/4*INDEX(LM_All,G219)*INDEX(tun_Boon,G219)*Arch_Insight</x:f>
        <x:v>300.6506409437791</x:v>
      </x:c>
      <x:c r="AN219" s="32" t="n">
        <x:f>H219*(tun_KHPerAdult*Z219+tun_KHOfCommons*AJ219/4*INDEX(LM_All,G219))*tun_KHUsable*Arch_KH</x:f>
        <x:v>58.79257057591877</x:v>
      </x:c>
      <x:c r="AO219" s="32" t="n">
        <x:f>MIN(AP218+AN219,AM219*tun_KHMaxRatio)</x:f>
        <x:v>58.79257057591877</x:v>
      </x:c>
      <x:c r="AP219" s="32" t="n">
        <x:f>AP218+AN219-AO219</x:f>
        <x:v>0</x:v>
      </x:c>
      <x:c r="AQ219" s="32" t="n">
        <x:f>AM219+AO219</x:f>
        <x:v>359.44321151969785</x:v>
      </x:c>
      <x:c r="AR219" s="10" t="n">
        <x:f>IF(H219=1,INDEX(tun_Req,G219),0)</x:f>
        <x:v>21071.475087999996</x:v>
      </x:c>
      <x:c r="AS219" s="32" t="n">
        <x:f>IF(H219=1,IF(E219=1,AS218-AR218,AS218)+AQ219,0)</x:f>
        <x:v>11953.456717886265</x:v>
      </x:c>
      <x:c r="AT219" s="11" t="n">
        <x:f>IF(AR219&gt;0,MIN(1,AS219/AR219),1)</x:f>
        <x:v>0.5672814393850217</x:v>
      </x:c>
      <x:c r="AU219" s="10" t="n">
        <x:f>AB219/INDEX(tun_RepScale,G219)</x:f>
        <x:v>290.9618201549919</x:v>
      </x:c>
      <x:c r="AV219" s="32" t="n">
        <x:f>AM219*60/tun_SeasonSeconds</x:f>
        <x:v>1202.6025637751163</x:v>
      </x:c>
    </x:row>
    <x:row r="220">
      <x:c r="A220" s="8" t="n">
        <x:f>A219+1</x:f>
        <x:v>217</x:v>
      </x:c>
      <x:c r="B220" s="9" t="n">
        <x:f>A220*tun_SeasonSeconds/60</x:f>
        <x:v>54.25</x:v>
      </x:c>
      <x:c r="C220" s="9" t="n">
        <x:f>A220/4</x:f>
        <x:v>54.25</x:v>
      </x:c>
      <x:c r="D220" s="8" t="n">
        <x:f>IF(MOD(A220,4)=0,1,0)</x:f>
        <x:v>0</x:v>
      </x:c>
      <x:c r="E220" s="8" t="n">
        <x:f>IF(AND(F219&lt;=9,AS219&gt;=AR219),1,0)</x:f>
        <x:v>0</x:v>
      </x:c>
      <x:c r="F220" s="8" t="n">
        <x:f>MIN(10,F219+E220)</x:f>
        <x:v>4</x:v>
      </x:c>
      <x:c r="G220" s="8" t="n">
        <x:f>MIN(F220,9)+1</x:f>
        <x:v>5</x:v>
      </x:c>
      <x:c r="H220" s="8" t="n">
        <x:f>IF(F220&lt;=9,1,0)</x:f>
        <x:v>1</x:v>
      </x:c>
      <x:c r="I220" s="9" t="n">
        <x:f>MIN(10,F219+IF(AR219&gt;0,MIN(1,AS219/AR219),1))</x:f>
        <x:v>4.567281439385022</x:v>
      </x:c>
      <x:c r="J220" s="32" t="n">
        <x:f>INDEX(tun_FoodCap,G220)*Arch_FoodCap*EXP(tun_CapsByProject*SUMPRODUCT((Cap_Point&lt;=I220)*(Cap_Kind="Food")*Cap_Ln))</x:f>
        <x:v>263.22097712516194</x:v>
      </x:c>
      <x:c r="K220" s="32" t="n">
        <x:f>J220*MIN(1,tun_LeanBase*EXP(tun_CapsByProject*SUMPRODUCT((Cap_Point&lt;=I220)*(Cap_Kind="Lean")*Cap_Ln)))</x:f>
        <x:v>263.22097712516194</x:v>
      </x:c>
      <x:c r="L220" s="10" t="n">
        <x:f>INDEX(tun_HousingCap,G220)*EXP(tun_CapsByProject*SUMPRODUCT((Cap_Point&lt;=I220)*(Cap_Kind="Housing")*Cap_Ln))</x:f>
        <x:v>1478.4119999999994</x:v>
      </x:c>
      <x:c r="M220" s="10" t="n">
        <x:f>INDEX(tun_GroupCap,G220)*tun_CohesionFactor*EXP(tun_CapsByProject*SUMPRODUCT((Cap_Point&lt;=I220)*(Cap_Kind="Group")*Cap_Ln))</x:f>
        <x:v>50000.00000000004</x:v>
      </x:c>
      <x:c r="N220" s="32" t="n">
        <x:f>MIN(J220,L220,M220)</x:f>
        <x:v>263.22097712516194</x:v>
      </x:c>
      <x:c r="O220" s="10" t="n">
        <x:f>AE219*N220</x:f>
        <x:v>789.6629313754859</x:v>
      </x:c>
      <x:c r="P220" s="9" t="n">
        <x:f>MIN(1,(AB219/(AE219*IF(tun_GroupInCrowding=1,N220,MIN(J220,L220))))^tun_CrowdingExp)</x:f>
        <x:v>0.16015684059592916</x:v>
      </x:c>
      <x:c r="Q220" s="9" t="n">
        <x:f>IF(D220=1,INDEX(tun_WinterMult,G220),1)</x:f>
        <x:v>1</x:v>
      </x:c>
      <x:c r="R220" s="9" t="n">
        <x:f>H220*Z219*tun_WomenShare*tun_BaseFertility*INDEX(tun_FertMult,G220)*Arch_Fertility*(1-P220)</x:f>
        <x:v>13.597457887201235</x:v>
      </x:c>
      <x:c r="S220" s="9" t="n">
        <x:f>H220*Y219*INDEX(tun_MortChild,G220)/4*Q220</x:f>
        <x:v>2.405928280299922</x:v>
      </x:c>
      <x:c r="T220" s="9" t="n">
        <x:f>H220*Z219*INDEX(tun_MortAdult,G220)*Arch_AdultMort/4*Q220</x:f>
        <x:v>0.5448716831175684</x:v>
      </x:c>
      <x:c r="U220" s="9" t="n">
        <x:f>H220*AA219*INDEX(tun_MortElder,G220)/4*Q220</x:f>
        <x:v>0.7097102526982703</x:v>
      </x:c>
      <x:c r="V220" s="9" t="n">
        <x:f>H220*MAX(0,AB219-O220)*tun_OvercapLoss</x:f>
        <x:v>0</x:v>
      </x:c>
      <x:c r="W220" s="9" t="n">
        <x:f>H220*Y219/(tun_ChildYears*4)</x:f>
        <x:v>5.728400667380766</x:v>
      </x:c>
      <x:c r="X220" s="9" t="n">
        <x:f>H220*Z219/(tun_AdultYears*4)</x:f>
        <x:v>1.6739529435255556</x:v>
      </x:c>
      <x:c r="Y220" s="32" t="n">
        <x:f>Y219+R220-S220-W220-Y219*V220/AB219</x:f>
        <x:v>326.2535663128435</x:v>
      </x:c>
      <x:c r="Z220" s="32" t="n">
        <x:f>Z219+W220-X220-T220-Z219*V220/AB219</x:f>
        <x:v>211.0797410379065</x:v>
      </x:c>
      <x:c r="AA220" s="32" t="n">
        <x:f>AA219+X220-U220-AA219*V220/AB219</x:f>
        <x:v>54.52728063031938</x:v>
      </x:c>
      <x:c r="AB220" s="10" t="n">
        <x:f>Y220+Z220+AA220</x:f>
        <x:v>591.8605879810693</x:v>
      </x:c>
      <x:c r="AC220" s="8" t="n">
        <x:f>IF(AND(tun_WinterTrigger=1,D220=1,AB219/AE219&gt;=K220),1,0)</x:f>
        <x:v>0</x:v>
      </x:c>
      <x:c r="AD220" s="8" t="n">
        <x:f>H220*IF(AND(OR(AB219/AE219&gt;=tun_FissionTrigger*N220,AC220=1),AB219/AE219*tun_DaughterShare&gt;=tun_MinDaughter),MAX(1,ROUND(AE219*tun_FissionRate,0)),0)</x:f>
        <x:v>0</x:v>
      </x:c>
      <x:c r="AE220" s="8" t="n">
        <x:f>IF(H220=1,MAX(1,MIN(INDEX(tun_Smax,G220),AE219+AD220)),AE219)</x:f>
        <x:v>3</x:v>
      </x:c>
      <x:c r="AF220" s="8" t="n">
        <x:f>MAX(0,AE220-AE219)</x:f>
        <x:v>0</x:v>
      </x:c>
      <x:c r="AG220" s="9" t="str">
        <x:f>IF(AF220&gt;0,B220,"")</x:f>
      </x:c>
      <x:c r="AH220" s="9" t="n">
        <x:f>IF(F220&gt;=1,1,(1+tun_LowTiesShare*(AE220-1))/AE220)</x:f>
        <x:v>1</x:v>
      </x:c>
      <x:c r="AI220" s="32" t="n">
        <x:f>(Z220+tun_ElderCommons*INDEX(LM_Elder,G220)*AA220)*AH220</x:f>
        <x:v>374.6615829288646</x:v>
      </x:c>
      <x:c r="AJ220" s="32" t="n">
        <x:f>H220*tun_CommonsCoef*AI220^tun_CommonsExp*INDEX(LM_Commons,G220)</x:f>
        <x:v>893.6568350211285</x:v>
      </x:c>
      <x:c r="AK220" s="32" t="n">
        <x:f>H220*tun_RoleScale*Arch_Roles*(AE220*(INDEX(tun_ElderRolePerSett,G220)*tun_OutElder*INDEX(LM_Elder,G220)+INDEX(tun_ShamanPerSett,G220)*tun_OutShaman)+Z220*(INDEX(tun_PriestShare,G220)*tun_OutPriest+INDEX(tun_ScribeShare,G220)*tun_OutScribe*INDEX(LM_Scribe,G220)+INDEX(tun_ScholarShare,G220)*tun_OutScholar*INDEX(LM_Scholar,G220)+INDEX(tun_ResearcherShare,G220)*tun_OutResearcher*INDEX(LM_Researcher,G220)))</x:f>
        <x:v>119.71566985689769</x:v>
      </x:c>
      <x:c r="AL220" s="32" t="n">
        <x:f>H220*tun_RoleScale*Arch_Roles*AE220*INDEX(tun_MonasteryPerSett,G220)*tun_OutMonastery*INDEX(LM_Monastery,G220)</x:f>
        <x:v>0</x:v>
      </x:c>
      <x:c r="AM220" s="32" t="n">
        <x:f>(AJ220+AK220+AL220)/4*INDEX(LM_All,G220)*INDEX(tun_Boon,G220)*Arch_Insight</x:f>
        <x:v>304.79848728561797</x:v>
      </x:c>
      <x:c r="AN220" s="32" t="n">
        <x:f>H220*(tun_KHPerAdult*Z220+tun_KHOfCommons*AJ220/4*INDEX(LM_All,G220))*tun_KHUsable*Arch_KH</x:f>
        <x:v>59.66025354750364</x:v>
      </x:c>
      <x:c r="AO220" s="32" t="n">
        <x:f>MIN(AP219+AN220,AM220*tun_KHMaxRatio)</x:f>
        <x:v>59.66025354750364</x:v>
      </x:c>
      <x:c r="AP220" s="32" t="n">
        <x:f>AP219+AN220-AO220</x:f>
        <x:v>0</x:v>
      </x:c>
      <x:c r="AQ220" s="32" t="n">
        <x:f>AM220+AO220</x:f>
        <x:v>364.4587408331216</x:v>
      </x:c>
      <x:c r="AR220" s="10" t="n">
        <x:f>IF(H220=1,INDEX(tun_Req,G220),0)</x:f>
        <x:v>21071.475087999996</x:v>
      </x:c>
      <x:c r="AS220" s="32" t="n">
        <x:f>IF(H220=1,IF(E220=1,AS219-AR219,AS219)+AQ220,0)</x:f>
        <x:v>12317.915458719386</x:v>
      </x:c>
      <x:c r="AT220" s="11" t="n">
        <x:f>IF(AR220&gt;0,MIN(1,AS220/AR220),1)</x:f>
        <x:v>0.5845777482248654</x:v>
      </x:c>
      <x:c r="AU220" s="10" t="n">
        <x:f>AB220/INDEX(tun_RepScale,G220)</x:f>
        <x:v>295.93029399053466</x:v>
      </x:c>
      <x:c r="AV220" s="32" t="n">
        <x:f>AM220*60/tun_SeasonSeconds</x:f>
        <x:v>1219.1939491424719</x:v>
      </x:c>
    </x:row>
    <x:row r="221">
      <x:c r="A221" s="8" t="n">
        <x:f>A220+1</x:f>
        <x:v>218</x:v>
      </x:c>
      <x:c r="B221" s="9" t="n">
        <x:f>A221*tun_SeasonSeconds/60</x:f>
        <x:v>54.5</x:v>
      </x:c>
      <x:c r="C221" s="9" t="n">
        <x:f>A221/4</x:f>
        <x:v>54.5</x:v>
      </x:c>
      <x:c r="D221" s="8" t="n">
        <x:f>IF(MOD(A221,4)=0,1,0)</x:f>
        <x:v>0</x:v>
      </x:c>
      <x:c r="E221" s="8" t="n">
        <x:f>IF(AND(F220&lt;=9,AS220&gt;=AR220),1,0)</x:f>
        <x:v>0</x:v>
      </x:c>
      <x:c r="F221" s="8" t="n">
        <x:f>MIN(10,F220+E221)</x:f>
        <x:v>4</x:v>
      </x:c>
      <x:c r="G221" s="8" t="n">
        <x:f>MIN(F221,9)+1</x:f>
        <x:v>5</x:v>
      </x:c>
      <x:c r="H221" s="8" t="n">
        <x:f>IF(F221&lt;=9,1,0)</x:f>
        <x:v>1</x:v>
      </x:c>
      <x:c r="I221" s="9" t="n">
        <x:f>MIN(10,F220+IF(AR220&gt;0,MIN(1,AS220/AR220),1))</x:f>
        <x:v>4.5845777482248655</x:v>
      </x:c>
      <x:c r="J221" s="32" t="n">
        <x:f>INDEX(tun_FoodCap,G221)*Arch_FoodCap*EXP(tun_CapsByProject*SUMPRODUCT((Cap_Point&lt;=I221)*(Cap_Kind="Food")*Cap_Ln))</x:f>
        <x:v>263.22097712516194</x:v>
      </x:c>
      <x:c r="K221" s="32" t="n">
        <x:f>J221*MIN(1,tun_LeanBase*EXP(tun_CapsByProject*SUMPRODUCT((Cap_Point&lt;=I221)*(Cap_Kind="Lean")*Cap_Ln)))</x:f>
        <x:v>263.22097712516194</x:v>
      </x:c>
      <x:c r="L221" s="10" t="n">
        <x:f>INDEX(tun_HousingCap,G221)*EXP(tun_CapsByProject*SUMPRODUCT((Cap_Point&lt;=I221)*(Cap_Kind="Housing")*Cap_Ln))</x:f>
        <x:v>1478.4119999999994</x:v>
      </x:c>
      <x:c r="M221" s="10" t="n">
        <x:f>INDEX(tun_GroupCap,G221)*tun_CohesionFactor*EXP(tun_CapsByProject*SUMPRODUCT((Cap_Point&lt;=I221)*(Cap_Kind="Group")*Cap_Ln))</x:f>
        <x:v>50000.00000000004</x:v>
      </x:c>
      <x:c r="N221" s="32" t="n">
        <x:f>MIN(J221,L221,M221)</x:f>
        <x:v>263.22097712516194</x:v>
      </x:c>
      <x:c r="O221" s="10" t="n">
        <x:f>AE220*N221</x:f>
        <x:v>789.6629313754859</x:v>
      </x:c>
      <x:c r="P221" s="9" t="n">
        <x:f>MIN(1,(AB220/(AE220*IF(tun_GroupInCrowding=1,N221,MIN(J221,L221))))^tun_CrowdingExp)</x:f>
        <x:v>0.1772825611963035</x:v>
      </x:c>
      <x:c r="Q221" s="9" t="n">
        <x:f>IF(D221=1,INDEX(tun_WinterMult,G221),1)</x:f>
        <x:v>1</x:v>
      </x:c>
      <x:c r="R221" s="9" t="n">
        <x:f>H221*Z220*tun_WomenShare*tun_BaseFertility*INDEX(tun_FertMult,G221)*Arch_Fertility*(1-P221)</x:f>
        <x:v>13.545400746544207</x:v>
      </x:c>
      <x:c r="S221" s="9" t="n">
        <x:f>H221*Y220*INDEX(tun_MortChild,G221)/4*Q221</x:f>
        <x:v>2.446901747346326</x:v>
      </x:c>
      <x:c r="T221" s="9" t="n">
        <x:f>H221*Z220*INDEX(tun_MortAdult,G221)*Arch_AdultMort/4*Q221</x:f>
        <x:v>0.5540843202245046</x:v>
      </x:c>
      <x:c r="U221" s="9" t="n">
        <x:f>H221*AA220*INDEX(tun_MortElder,G221)/4*Q221</x:f>
        <x:v>0.7224864683517318</x:v>
      </x:c>
      <x:c r="V221" s="9" t="n">
        <x:f>H221*MAX(0,AB220-O221)*tun_OvercapLoss</x:f>
        <x:v>0</x:v>
      </x:c>
      <x:c r="W221" s="9" t="n">
        <x:f>H221*Y220/(tun_ChildYears*4)</x:f>
        <x:v>5.825956541300776</x:v>
      </x:c>
      <x:c r="X221" s="9" t="n">
        <x:f>H221*Z220/(tun_AdultYears*4)</x:f>
        <x:v>1.7022559761121492</x:v>
      </x:c>
      <x:c r="Y221" s="32" t="n">
        <x:f>Y220+R221-S221-W221-Y220*V221/AB220</x:f>
        <x:v>331.52610877074056</x:v>
      </x:c>
      <x:c r="Z221" s="32" t="n">
        <x:f>Z220+W221-X221-T221-Z220*V221/AB220</x:f>
        <x:v>214.6493572828706</x:v>
      </x:c>
      <x:c r="AA221" s="32" t="n">
        <x:f>AA220+X221-U221-AA220*V221/AB220</x:f>
        <x:v>55.5070501380798</x:v>
      </x:c>
      <x:c r="AB221" s="10" t="n">
        <x:f>Y221+Z221+AA221</x:f>
        <x:v>601.682516191691</x:v>
      </x:c>
      <x:c r="AC221" s="8" t="n">
        <x:f>IF(AND(tun_WinterTrigger=1,D221=1,AB220/AE220&gt;=K221),1,0)</x:f>
        <x:v>0</x:v>
      </x:c>
      <x:c r="AD221" s="8" t="n">
        <x:f>H221*IF(AND(OR(AB220/AE220&gt;=tun_FissionTrigger*N221,AC221=1),AB220/AE220*tun_DaughterShare&gt;=tun_MinDaughter),MAX(1,ROUND(AE220*tun_FissionRate,0)),0)</x:f>
        <x:v>0</x:v>
      </x:c>
      <x:c r="AE221" s="8" t="n">
        <x:f>IF(H221=1,MAX(1,MIN(INDEX(tun_Smax,G221),AE220+AD221)),AE220)</x:f>
        <x:v>3</x:v>
      </x:c>
      <x:c r="AF221" s="8" t="n">
        <x:f>MAX(0,AE221-AE220)</x:f>
        <x:v>0</x:v>
      </x:c>
      <x:c r="AG221" s="9" t="str">
        <x:f>IF(AF221&gt;0,B221,"")</x:f>
      </x:c>
      <x:c r="AH221" s="9" t="n">
        <x:f>IF(F221&gt;=1,1,(1+tun_LowTiesShare*(AE221-1))/AE221)</x:f>
        <x:v>1</x:v>
      </x:c>
      <x:c r="AI221" s="32" t="n">
        <x:f>(Z221+tun_ElderCommons*INDEX(LM_Elder,G221)*AA221)*AH221</x:f>
        <x:v>381.17050769711</x:v>
      </x:c>
      <x:c r="AJ221" s="32" t="n">
        <x:f>H221*tun_CommonsCoef*AI221^tun_CommonsExp*INDEX(LM_Commons,G221)</x:f>
        <x:v>906.8362853037632</x:v>
      </x:c>
      <x:c r="AK221" s="32" t="n">
        <x:f>H221*tun_RoleScale*Arch_Roles*(AE221*(INDEX(tun_ElderRolePerSett,G221)*tun_OutElder*INDEX(LM_Elder,G221)+INDEX(tun_ShamanPerSett,G221)*tun_OutShaman)+Z221*(INDEX(tun_PriestShare,G221)*tun_OutPriest+INDEX(tun_ScribeShare,G221)*tun_OutScribe*INDEX(LM_Scribe,G221)+INDEX(tun_ScholarShare,G221)*tun_OutScholar*INDEX(LM_Scholar,G221)+INDEX(tun_ResearcherShare,G221)*tun_OutResearcher*INDEX(LM_Researcher,G221)))</x:f>
        <x:v>120.52260011663273</x:v>
      </x:c>
      <x:c r="AL221" s="32" t="n">
        <x:f>H221*tun_RoleScale*Arch_Roles*AE221*INDEX(tun_MonasteryPerSett,G221)*tun_OutMonastery*INDEX(LM_Monastery,G221)</x:f>
        <x:v>0</x:v>
      </x:c>
      <x:c r="AM221" s="32" t="n">
        <x:f>(AJ221+AK221+AL221)/4*INDEX(LM_All,G221)*INDEX(tun_Boon,G221)*Arch_Insight</x:f>
        <x:v>309.00525983114755</x:v>
      </x:c>
      <x:c r="AN221" s="32" t="n">
        <x:f>H221*(tun_KHPerAdult*Z221+tun_KHOfCommons*AJ221/4*INDEX(LM_All,G221))*tun_KHUsable*Arch_KH</x:f>
        <x:v>60.540109566800055</x:v>
      </x:c>
      <x:c r="AO221" s="32" t="n">
        <x:f>MIN(AP220+AN221,AM221*tun_KHMaxRatio)</x:f>
        <x:v>60.540109566800055</x:v>
      </x:c>
      <x:c r="AP221" s="32" t="n">
        <x:f>AP220+AN221-AO221</x:f>
        <x:v>0</x:v>
      </x:c>
      <x:c r="AQ221" s="32" t="n">
        <x:f>AM221+AO221</x:f>
        <x:v>369.54536939794764</x:v>
      </x:c>
      <x:c r="AR221" s="10" t="n">
        <x:f>IF(H221=1,INDEX(tun_Req,G221),0)</x:f>
        <x:v>21071.475087999996</x:v>
      </x:c>
      <x:c r="AS221" s="32" t="n">
        <x:f>IF(H221=1,IF(E221=1,AS220-AR220,AS220)+AQ221,0)</x:f>
        <x:v>12687.460828117333</x:v>
      </x:c>
      <x:c r="AT221" s="11" t="n">
        <x:f>IF(AR221&gt;0,MIN(1,AS221/AR221),1)</x:f>
        <x:v>0.602115455853526</x:v>
      </x:c>
      <x:c r="AU221" s="10" t="n">
        <x:f>AB221/INDEX(tun_RepScale,G221)</x:f>
        <x:v>300.8412580958455</x:v>
      </x:c>
      <x:c r="AV221" s="32" t="n">
        <x:f>AM221*60/tun_SeasonSeconds</x:f>
        <x:v>1236.0210393245902</x:v>
      </x:c>
    </x:row>
    <x:row r="222">
      <x:c r="A222" s="8" t="n">
        <x:f>A221+1</x:f>
        <x:v>219</x:v>
      </x:c>
      <x:c r="B222" s="9" t="n">
        <x:f>A222*tun_SeasonSeconds/60</x:f>
        <x:v>54.75</x:v>
      </x:c>
      <x:c r="C222" s="9" t="n">
        <x:f>A222/4</x:f>
        <x:v>54.75</x:v>
      </x:c>
      <x:c r="D222" s="8" t="n">
        <x:f>IF(MOD(A222,4)=0,1,0)</x:f>
        <x:v>0</x:v>
      </x:c>
      <x:c r="E222" s="8" t="n">
        <x:f>IF(AND(F221&lt;=9,AS221&gt;=AR221),1,0)</x:f>
        <x:v>0</x:v>
      </x:c>
      <x:c r="F222" s="8" t="n">
        <x:f>MIN(10,F221+E222)</x:f>
        <x:v>4</x:v>
      </x:c>
      <x:c r="G222" s="8" t="n">
        <x:f>MIN(F222,9)+1</x:f>
        <x:v>5</x:v>
      </x:c>
      <x:c r="H222" s="8" t="n">
        <x:f>IF(F222&lt;=9,1,0)</x:f>
        <x:v>1</x:v>
      </x:c>
      <x:c r="I222" s="9" t="n">
        <x:f>MIN(10,F221+IF(AR221&gt;0,MIN(1,AS221/AR221),1))</x:f>
        <x:v>4.602115455853526</x:v>
      </x:c>
      <x:c r="J222" s="32" t="n">
        <x:f>INDEX(tun_FoodCap,G222)*Arch_FoodCap*EXP(tun_CapsByProject*SUMPRODUCT((Cap_Point&lt;=I222)*(Cap_Kind="Food")*Cap_Ln))</x:f>
        <x:v>298.31906766221067</x:v>
      </x:c>
      <x:c r="K222" s="32" t="n">
        <x:f>J222*MIN(1,tun_LeanBase*EXP(tun_CapsByProject*SUMPRODUCT((Cap_Point&lt;=I222)*(Cap_Kind="Lean")*Cap_Ln)))</x:f>
        <x:v>298.31906766221067</x:v>
      </x:c>
      <x:c r="L222" s="10" t="n">
        <x:f>INDEX(tun_HousingCap,G222)*EXP(tun_CapsByProject*SUMPRODUCT((Cap_Point&lt;=I222)*(Cap_Kind="Housing")*Cap_Ln))</x:f>
        <x:v>1981.8141431314853</x:v>
      </x:c>
      <x:c r="M222" s="10" t="n">
        <x:f>INDEX(tun_GroupCap,G222)*tun_CohesionFactor*EXP(tun_CapsByProject*SUMPRODUCT((Cap_Point&lt;=I222)*(Cap_Kind="Group")*Cap_Ln))</x:f>
        <x:v>50000.00000000004</x:v>
      </x:c>
      <x:c r="N222" s="32" t="n">
        <x:f>MIN(J222,L222,M222)</x:f>
        <x:v>298.31906766221067</x:v>
      </x:c>
      <x:c r="O222" s="10" t="n">
        <x:f>AE221*N222</x:f>
        <x:v>894.957202986632</x:v>
      </x:c>
      <x:c r="P222" s="9" t="n">
        <x:f>MIN(1,(AB221/(AE221*IF(tun_GroupInCrowding=1,N222,MIN(J222,L222))))^tun_CrowdingExp)</x:f>
        <x:v>0.09234018589749633</x:v>
      </x:c>
      <x:c r="Q222" s="9" t="n">
        <x:f>IF(D222=1,INDEX(tun_WinterMult,G222),1)</x:f>
        <x:v>1</x:v>
      </x:c>
      <x:c r="R222" s="9" t="n">
        <x:f>H222*Z221*tun_WomenShare*tun_BaseFertility*INDEX(tun_FertMult,G222)*Arch_Fertility*(1-P222)</x:f>
        <x:v>15.196630466830193</x:v>
      </x:c>
      <x:c r="S222" s="9" t="n">
        <x:f>H222*Y221*INDEX(tun_MortChild,G222)/4*Q222</x:f>
        <x:v>2.486445815780554</x:v>
      </x:c>
      <x:c r="T222" s="9" t="n">
        <x:f>H222*Z221*INDEX(tun_MortAdult,G222)*Arch_AdultMort/4*Q222</x:f>
        <x:v>0.5634545628675354</x:v>
      </x:c>
      <x:c r="U222" s="9" t="n">
        <x:f>H222*AA221*INDEX(tun_MortElder,G222)/4*Q222</x:f>
        <x:v>0.7354684143295573</x:v>
      </x:c>
      <x:c r="V222" s="9" t="n">
        <x:f>H222*MAX(0,AB221-O222)*tun_OvercapLoss</x:f>
        <x:v>0</x:v>
      </x:c>
      <x:c r="W222" s="9" t="n">
        <x:f>H222*Y221/(tun_ChildYears*4)</x:f>
        <x:v>5.920109085191796</x:v>
      </x:c>
      <x:c r="X222" s="9" t="n">
        <x:f>H222*Z221/(tun_AdultYears*4)</x:f>
        <x:v>1.7310432038941177</x:v>
      </x:c>
      <x:c r="Y222" s="32" t="n">
        <x:f>Y221+R222-S222-W222-Y221*V222/AB221</x:f>
        <x:v>338.31618433659844</x:v>
      </x:c>
      <x:c r="Z222" s="32" t="n">
        <x:f>Z221+W222-X222-T222-Z221*V222/AB221</x:f>
        <x:v>218.2749686013007</x:v>
      </x:c>
      <x:c r="AA222" s="32" t="n">
        <x:f>AA221+X222-U222-AA221*V222/AB221</x:f>
        <x:v>56.502624927644355</x:v>
      </x:c>
      <x:c r="AB222" s="10" t="n">
        <x:f>Y222+Z222+AA222</x:f>
        <x:v>613.0937778655434</x:v>
      </x:c>
      <x:c r="AC222" s="8" t="n">
        <x:f>IF(AND(tun_WinterTrigger=1,D222=1,AB221/AE221&gt;=K222),1,0)</x:f>
        <x:v>0</x:v>
      </x:c>
      <x:c r="AD222" s="8" t="n">
        <x:f>H222*IF(AND(OR(AB221/AE221&gt;=tun_FissionTrigger*N222,AC222=1),AB221/AE221*tun_DaughterShare&gt;=tun_MinDaughter),MAX(1,ROUND(AE221*tun_FissionRate,0)),0)</x:f>
        <x:v>0</x:v>
      </x:c>
      <x:c r="AE222" s="8" t="n">
        <x:f>IF(H222=1,MAX(1,MIN(INDEX(tun_Smax,G222),AE221+AD222)),AE221)</x:f>
        <x:v>3</x:v>
      </x:c>
      <x:c r="AF222" s="8" t="n">
        <x:f>MAX(0,AE222-AE221)</x:f>
        <x:v>0</x:v>
      </x:c>
      <x:c r="AG222" s="9" t="str">
        <x:f>IF(AF222&gt;0,B222,"")</x:f>
      </x:c>
      <x:c r="AH222" s="9" t="n">
        <x:f>IF(F222&gt;=1,1,(1+tun_LowTiesShare*(AE222-1))/AE222)</x:f>
        <x:v>1</x:v>
      </x:c>
      <x:c r="AI222" s="32" t="n">
        <x:f>(Z222+tun_ElderCommons*INDEX(LM_Elder,G222)*AA222)*AH222</x:f>
        <x:v>387.7828433842338</x:v>
      </x:c>
      <x:c r="AJ222" s="32" t="n">
        <x:f>H222*tun_CommonsCoef*AI222^tun_CommonsExp*INDEX(LM_Commons,G222)</x:f>
        <x:v>920.1906039511267</x:v>
      </x:c>
      <x:c r="AK222" s="32" t="n">
        <x:f>H222*tun_RoleScale*Arch_Roles*(AE222*(INDEX(tun_ElderRolePerSett,G222)*tun_OutElder*INDEX(LM_Elder,G222)+INDEX(tun_ShamanPerSett,G222)*tun_OutShaman)+Z222*(INDEX(tun_PriestShare,G222)*tun_OutPriest+INDEX(tun_ScribeShare,G222)*tun_OutScribe*INDEX(LM_Scribe,G222)+INDEX(tun_ScholarShare,G222)*tun_OutScholar*INDEX(LM_Scholar,G222)+INDEX(tun_ResearcherShare,G222)*tun_OutResearcher*INDEX(LM_Researcher,G222)))</x:f>
        <x:v>121.34218835304515</x:v>
      </x:c>
      <x:c r="AL222" s="32" t="n">
        <x:f>H222*tun_RoleScale*Arch_Roles*AE222*INDEX(tun_MonasteryPerSett,G222)*tun_OutMonastery*INDEX(LM_Monastery,G222)</x:f>
        <x:v>0</x:v>
      </x:c>
      <x:c r="AM222" s="32" t="n">
        <x:f>(AJ222+AK222+AL222)/4*INDEX(LM_All,G222)*INDEX(tun_Boon,G222)*Arch_Insight</x:f>
        <x:v>313.2684358659286</x:v>
      </x:c>
      <x:c r="AN222" s="32" t="n">
        <x:f>H222*(tun_KHPerAdult*Z222+tun_KHOfCommons*AJ222/4*INDEX(LM_All,G222))*tun_KHUsable*Arch_KH</x:f>
        <x:v>61.43163974397037</x:v>
      </x:c>
      <x:c r="AO222" s="32" t="n">
        <x:f>MIN(AP221+AN222,AM222*tun_KHMaxRatio)</x:f>
        <x:v>61.43163974397037</x:v>
      </x:c>
      <x:c r="AP222" s="32" t="n">
        <x:f>AP221+AN222-AO222</x:f>
        <x:v>0</x:v>
      </x:c>
      <x:c r="AQ222" s="32" t="n">
        <x:f>AM222+AO222</x:f>
        <x:v>374.700075609899</x:v>
      </x:c>
      <x:c r="AR222" s="10" t="n">
        <x:f>IF(H222=1,INDEX(tun_Req,G222),0)</x:f>
        <x:v>21071.475087999996</x:v>
      </x:c>
      <x:c r="AS222" s="32" t="n">
        <x:f>IF(H222=1,IF(E222=1,AS221-AR221,AS221)+AQ222,0)</x:f>
        <x:v>13062.160903727232</x:v>
      </x:c>
      <x:c r="AT222" s="11" t="n">
        <x:f>IF(AR222&gt;0,MIN(1,AS222/AR222),1)</x:f>
        <x:v>0.6198977930674634</x:v>
      </x:c>
      <x:c r="AU222" s="10" t="n">
        <x:f>AB222/INDEX(tun_RepScale,G222)</x:f>
        <x:v>306.5468889327717</x:v>
      </x:c>
      <x:c r="AV222" s="32" t="n">
        <x:f>AM222*60/tun_SeasonSeconds</x:f>
        <x:v>1253.0737434637144</x:v>
      </x:c>
    </x:row>
    <x:row r="223">
      <x:c r="A223" s="8" t="n">
        <x:f>A222+1</x:f>
        <x:v>220</x:v>
      </x:c>
      <x:c r="B223" s="9" t="n">
        <x:f>A223*tun_SeasonSeconds/60</x:f>
        <x:v>55</x:v>
      </x:c>
      <x:c r="C223" s="9" t="n">
        <x:f>A223/4</x:f>
        <x:v>55</x:v>
      </x:c>
      <x:c r="D223" s="8" t="n">
        <x:f>IF(MOD(A223,4)=0,1,0)</x:f>
        <x:v>1</x:v>
      </x:c>
      <x:c r="E223" s="8" t="n">
        <x:f>IF(AND(F222&lt;=9,AS222&gt;=AR222),1,0)</x:f>
        <x:v>0</x:v>
      </x:c>
      <x:c r="F223" s="8" t="n">
        <x:f>MIN(10,F222+E223)</x:f>
        <x:v>4</x:v>
      </x:c>
      <x:c r="G223" s="8" t="n">
        <x:f>MIN(F223,9)+1</x:f>
        <x:v>5</x:v>
      </x:c>
      <x:c r="H223" s="8" t="n">
        <x:f>IF(F223&lt;=9,1,0)</x:f>
        <x:v>1</x:v>
      </x:c>
      <x:c r="I223" s="9" t="n">
        <x:f>MIN(10,F222+IF(AR222&gt;0,MIN(1,AS222/AR222),1))</x:f>
        <x:v>4.619897793067463</x:v>
      </x:c>
      <x:c r="J223" s="32" t="n">
        <x:f>INDEX(tun_FoodCap,G223)*Arch_FoodCap*EXP(tun_CapsByProject*SUMPRODUCT((Cap_Point&lt;=I223)*(Cap_Kind="Food")*Cap_Ln))</x:f>
        <x:v>298.31906766221067</x:v>
      </x:c>
      <x:c r="K223" s="32" t="n">
        <x:f>J223*MIN(1,tun_LeanBase*EXP(tun_CapsByProject*SUMPRODUCT((Cap_Point&lt;=I223)*(Cap_Kind="Lean")*Cap_Ln)))</x:f>
        <x:v>298.31906766221067</x:v>
      </x:c>
      <x:c r="L223" s="10" t="n">
        <x:f>INDEX(tun_HousingCap,G223)*EXP(tun_CapsByProject*SUMPRODUCT((Cap_Point&lt;=I223)*(Cap_Kind="Housing")*Cap_Ln))</x:f>
        <x:v>1981.8141431314853</x:v>
      </x:c>
      <x:c r="M223" s="10" t="n">
        <x:f>INDEX(tun_GroupCap,G223)*tun_CohesionFactor*EXP(tun_CapsByProject*SUMPRODUCT((Cap_Point&lt;=I223)*(Cap_Kind="Group")*Cap_Ln))</x:f>
        <x:v>50000.00000000004</x:v>
      </x:c>
      <x:c r="N223" s="32" t="n">
        <x:f>MIN(J223,L223,M223)</x:f>
        <x:v>298.31906766221067</x:v>
      </x:c>
      <x:c r="O223" s="10" t="n">
        <x:f>AE222*N223</x:f>
        <x:v>894.957202986632</x:v>
      </x:c>
      <x:c r="P223" s="9" t="n">
        <x:f>MIN(1,(AB222/(AE222*IF(tun_GroupInCrowding=1,N223,MIN(J223,L223))))^tun_CrowdingExp)</x:f>
        <x:v>0.10335889198070403</x:v>
      </x:c>
      <x:c r="Q223" s="9" t="n">
        <x:f>IF(D223=1,INDEX(tun_WinterMult,G223),1)</x:f>
        <x:v>1.2</x:v>
      </x:c>
      <x:c r="R223" s="9" t="n">
        <x:f>H223*Z222*tun_WomenShare*tun_BaseFertility*INDEX(tun_FertMult,G223)*Arch_Fertility*(1-P223)</x:f>
        <x:v>15.265716156564691</x:v>
      </x:c>
      <x:c r="S223" s="9" t="n">
        <x:f>H223*Y222*INDEX(tun_MortChild,G223)/4*Q223</x:f>
        <x:v>3.0448456590293858</x:v>
      </x:c>
      <x:c r="T223" s="9" t="n">
        <x:f>H223*Z222*INDEX(tun_MortAdult,G223)*Arch_AdultMort/4*Q223</x:f>
        <x:v>0.6875661510940974</x:v>
      </x:c>
      <x:c r="U223" s="9" t="n">
        <x:f>H223*AA222*INDEX(tun_MortElder,G223)/4*Q223</x:f>
        <x:v>0.8983917363495452</x:v>
      </x:c>
      <x:c r="V223" s="9" t="n">
        <x:f>H223*MAX(0,AB222-O223)*tun_OvercapLoss</x:f>
        <x:v>0</x:v>
      </x:c>
      <x:c r="W223" s="9" t="n">
        <x:f>H223*Y222/(tun_ChildYears*4)</x:f>
        <x:v>6.041360434582115</x:v>
      </x:c>
      <x:c r="X223" s="9" t="n">
        <x:f>H223*Z222/(tun_AdultYears*4)</x:f>
        <x:v>1.7602820048491994</x:v>
      </x:c>
      <x:c r="Y223" s="32" t="n">
        <x:f>Y222+R223-S223-W223-Y222*V223/AB222</x:f>
        <x:v>344.49569439955167</x:v>
      </x:c>
      <x:c r="Z223" s="32" t="n">
        <x:f>Z222+W223-X223-T223-Z222*V223/AB222</x:f>
        <x:v>221.86848087993954</x:v>
      </x:c>
      <x:c r="AA223" s="32" t="n">
        <x:f>AA222+X223-U223-AA222*V223/AB222</x:f>
        <x:v>57.36451519614401</x:v>
      </x:c>
      <x:c r="AB223" s="10" t="n">
        <x:f>Y223+Z223+AA223</x:f>
        <x:v>623.7286904756352</x:v>
      </x:c>
      <x:c r="AC223" s="8" t="n">
        <x:f>IF(AND(tun_WinterTrigger=1,D223=1,AB222/AE222&gt;=K223),1,0)</x:f>
        <x:v>0</x:v>
      </x:c>
      <x:c r="AD223" s="8" t="n">
        <x:f>H223*IF(AND(OR(AB222/AE222&gt;=tun_FissionTrigger*N223,AC223=1),AB222/AE222*tun_DaughterShare&gt;=tun_MinDaughter),MAX(1,ROUND(AE222*tun_FissionRate,0)),0)</x:f>
        <x:v>0</x:v>
      </x:c>
      <x:c r="AE223" s="8" t="n">
        <x:f>IF(H223=1,MAX(1,MIN(INDEX(tun_Smax,G223),AE222+AD223)),AE222)</x:f>
        <x:v>3</x:v>
      </x:c>
      <x:c r="AF223" s="8" t="n">
        <x:f>MAX(0,AE223-AE222)</x:f>
        <x:v>0</x:v>
      </x:c>
      <x:c r="AG223" s="9" t="str">
        <x:f>IF(AF223&gt;0,B223,"")</x:f>
      </x:c>
      <x:c r="AH223" s="9" t="n">
        <x:f>IF(F223&gt;=1,1,(1+tun_LowTiesShare*(AE223-1))/AE223)</x:f>
        <x:v>1</x:v>
      </x:c>
      <x:c r="AI223" s="32" t="n">
        <x:f>(Z223+tun_ElderCommons*INDEX(LM_Elder,G223)*AA223)*AH223</x:f>
        <x:v>393.9620264683716</x:v>
      </x:c>
      <x:c r="AJ223" s="32" t="n">
        <x:f>H223*tun_CommonsCoef*AI223^tun_CommonsExp*INDEX(LM_Commons,G223)</x:f>
        <x:v>932.6392753900832</x:v>
      </x:c>
      <x:c r="AK223" s="32" t="n">
        <x:f>H223*tun_RoleScale*Arch_Roles*(AE223*(INDEX(tun_ElderRolePerSett,G223)*tun_OutElder*INDEX(LM_Elder,G223)+INDEX(tun_ShamanPerSett,G223)*tun_OutShaman)+Z223*(INDEX(tun_PriestShare,G223)*tun_OutPriest+INDEX(tun_ScribeShare,G223)*tun_OutScribe*INDEX(LM_Scribe,G223)+INDEX(tun_ScholarShare,G223)*tun_OutScholar*INDEX(LM_Scholar,G223)+INDEX(tun_ResearcherShare,G223)*tun_OutResearcher*INDEX(LM_Researcher,G223)))</x:f>
        <x:v>122.15452043508728</x:v>
      </x:c>
      <x:c r="AL223" s="32" t="n">
        <x:f>H223*tun_RoleScale*Arch_Roles*AE223*INDEX(tun_MonasteryPerSett,G223)*tun_OutMonastery*INDEX(LM_Monastery,G223)</x:f>
        <x:v>0</x:v>
      </x:c>
      <x:c r="AM223" s="32" t="n">
        <x:f>(AJ223+AK223+AL223)/4*INDEX(LM_All,G223)*INDEX(tun_Boon,G223)*Arch_Insight</x:f>
        <x:v>317.2570321556771</x:v>
      </x:c>
      <x:c r="AN223" s="32" t="n">
        <x:f>H223*(tun_KHPerAdult*Z223+tun_KHOfCommons*AJ223/4*INDEX(LM_All,G223))*tun_KHUsable*Arch_KH</x:f>
        <x:v>62.26270919397928</x:v>
      </x:c>
      <x:c r="AO223" s="32" t="n">
        <x:f>MIN(AP222+AN223,AM223*tun_KHMaxRatio)</x:f>
        <x:v>62.26270919397928</x:v>
      </x:c>
      <x:c r="AP223" s="32" t="n">
        <x:f>AP222+AN223-AO223</x:f>
        <x:v>0</x:v>
      </x:c>
      <x:c r="AQ223" s="32" t="n">
        <x:f>AM223+AO223</x:f>
        <x:v>379.5197413496564</x:v>
      </x:c>
      <x:c r="AR223" s="10" t="n">
        <x:f>IF(H223=1,INDEX(tun_Req,G223),0)</x:f>
        <x:v>21071.475087999996</x:v>
      </x:c>
      <x:c r="AS223" s="32" t="n">
        <x:f>IF(H223=1,IF(E223=1,AS222-AR222,AS222)+AQ223,0)</x:f>
        <x:v>13441.680645076889</x:v>
      </x:c>
      <x:c r="AT223" s="11" t="n">
        <x:f>IF(AR223&gt;0,MIN(1,AS223/AR223),1)</x:f>
        <x:v>0.6379088596759795</x:v>
      </x:c>
      <x:c r="AU223" s="10" t="n">
        <x:f>AB223/INDEX(tun_RepScale,G223)</x:f>
        <x:v>311.8643452378176</x:v>
      </x:c>
      <x:c r="AV223" s="32" t="n">
        <x:f>AM223*60/tun_SeasonSeconds</x:f>
        <x:v>1269.0281286227084</x:v>
      </x:c>
    </x:row>
    <x:row r="224">
      <x:c r="A224" s="8" t="n">
        <x:f>A223+1</x:f>
        <x:v>221</x:v>
      </x:c>
      <x:c r="B224" s="9" t="n">
        <x:f>A224*tun_SeasonSeconds/60</x:f>
        <x:v>55.25</x:v>
      </x:c>
      <x:c r="C224" s="9" t="n">
        <x:f>A224/4</x:f>
        <x:v>55.25</x:v>
      </x:c>
      <x:c r="D224" s="8" t="n">
        <x:f>IF(MOD(A224,4)=0,1,0)</x:f>
        <x:v>0</x:v>
      </x:c>
      <x:c r="E224" s="8" t="n">
        <x:f>IF(AND(F223&lt;=9,AS223&gt;=AR223),1,0)</x:f>
        <x:v>0</x:v>
      </x:c>
      <x:c r="F224" s="8" t="n">
        <x:f>MIN(10,F223+E224)</x:f>
        <x:v>4</x:v>
      </x:c>
      <x:c r="G224" s="8" t="n">
        <x:f>MIN(F224,9)+1</x:f>
        <x:v>5</x:v>
      </x:c>
      <x:c r="H224" s="8" t="n">
        <x:f>IF(F224&lt;=9,1,0)</x:f>
        <x:v>1</x:v>
      </x:c>
      <x:c r="I224" s="9" t="n">
        <x:f>MIN(10,F223+IF(AR223&gt;0,MIN(1,AS223/AR223),1))</x:f>
        <x:v>4.63790885967598</x:v>
      </x:c>
      <x:c r="J224" s="32" t="n">
        <x:f>INDEX(tun_FoodCap,G224)*Arch_FoodCap*EXP(tun_CapsByProject*SUMPRODUCT((Cap_Point&lt;=I224)*(Cap_Kind="Food")*Cap_Ln))</x:f>
        <x:v>298.31906766221067</x:v>
      </x:c>
      <x:c r="K224" s="32" t="n">
        <x:f>J224*MIN(1,tun_LeanBase*EXP(tun_CapsByProject*SUMPRODUCT((Cap_Point&lt;=I224)*(Cap_Kind="Lean")*Cap_Ln)))</x:f>
        <x:v>298.31906766221067</x:v>
      </x:c>
      <x:c r="L224" s="10" t="n">
        <x:f>INDEX(tun_HousingCap,G224)*EXP(tun_CapsByProject*SUMPRODUCT((Cap_Point&lt;=I224)*(Cap_Kind="Housing")*Cap_Ln))</x:f>
        <x:v>1981.8141431314853</x:v>
      </x:c>
      <x:c r="M224" s="10" t="n">
        <x:f>INDEX(tun_GroupCap,G224)*tun_CohesionFactor*EXP(tun_CapsByProject*SUMPRODUCT((Cap_Point&lt;=I224)*(Cap_Kind="Group")*Cap_Ln))</x:f>
        <x:v>50000.00000000004</x:v>
      </x:c>
      <x:c r="N224" s="32" t="n">
        <x:f>MIN(J224,L224,M224)</x:f>
        <x:v>298.31906766221067</x:v>
      </x:c>
      <x:c r="O224" s="10" t="n">
        <x:f>AE223*N224</x:f>
        <x:v>894.957202986632</x:v>
      </x:c>
      <x:c r="P224" s="9" t="n">
        <x:f>MIN(1,(AB223/(AE223*IF(tun_GroupInCrowding=1,N224,MIN(J224,L224))))^tun_CrowdingExp)</x:f>
        <x:v>0.11459369451023735</x:v>
      </x:c>
      <x:c r="Q224" s="9" t="n">
        <x:f>IF(D224=1,INDEX(tun_WinterMult,G224),1)</x:f>
        <x:v>1</x:v>
      </x:c>
      <x:c r="R224" s="9" t="n">
        <x:f>H224*Z223*tun_WomenShare*tun_BaseFertility*INDEX(tun_FertMult,G224)*Arch_Fertility*(1-P224)</x:f>
        <x:v>15.322612652921597</x:v>
      </x:c>
      <x:c r="S224" s="9" t="n">
        <x:f>H224*Y223*INDEX(tun_MortChild,G224)/4*Q224</x:f>
        <x:v>2.5837177079966374</x:v>
      </x:c>
      <x:c r="T224" s="9" t="n">
        <x:f>H224*Z223*INDEX(tun_MortAdult,G224)*Arch_AdultMort/4*Q224</x:f>
        <x:v>0.5824047623098413</x:v>
      </x:c>
      <x:c r="U224" s="9" t="n">
        <x:f>H224*AA223*INDEX(tun_MortElder,G224)/4*Q224</x:f>
        <x:v>0.7600798263489081</x:v>
      </x:c>
      <x:c r="V224" s="9" t="n">
        <x:f>H224*MAX(0,AB223-O224)*tun_OvercapLoss</x:f>
        <x:v>0</x:v>
      </x:c>
      <x:c r="W224" s="9" t="n">
        <x:f>H224*Y223/(tun_ChildYears*4)</x:f>
        <x:v>6.1517088285634225</x:v>
      </x:c>
      <x:c r="X224" s="9" t="n">
        <x:f>H224*Z223/(tun_AdultYears*4)</x:f>
        <x:v>1.7892619425801575</x:v>
      </x:c>
      <x:c r="Y224" s="32" t="n">
        <x:f>Y223+R224-S224-W224-Y223*V224/AB223</x:f>
        <x:v>351.0828805159132</x:v>
      </x:c>
      <x:c r="Z224" s="32" t="n">
        <x:f>Z223+W224-X224-T224-Z223*V224/AB223</x:f>
        <x:v>225.64852300361295</x:v>
      </x:c>
      <x:c r="AA224" s="32" t="n">
        <x:f>AA223+X224-U224-AA223*V224/AB223</x:f>
        <x:v>58.39369731237526</x:v>
      </x:c>
      <x:c r="AB224" s="10" t="n">
        <x:f>Y224+Z224+AA224</x:f>
        <x:v>635.1251008319014</x:v>
      </x:c>
      <x:c r="AC224" s="8" t="n">
        <x:f>IF(AND(tun_WinterTrigger=1,D224=1,AB223/AE223&gt;=K224),1,0)</x:f>
        <x:v>0</x:v>
      </x:c>
      <x:c r="AD224" s="8" t="n">
        <x:f>H224*IF(AND(OR(AB223/AE223&gt;=tun_FissionTrigger*N224,AC224=1),AB223/AE223*tun_DaughterShare&gt;=tun_MinDaughter),MAX(1,ROUND(AE223*tun_FissionRate,0)),0)</x:f>
        <x:v>0</x:v>
      </x:c>
      <x:c r="AE224" s="8" t="n">
        <x:f>IF(H224=1,MAX(1,MIN(INDEX(tun_Smax,G224),AE223+AD224)),AE223)</x:f>
        <x:v>3</x:v>
      </x:c>
      <x:c r="AF224" s="8" t="n">
        <x:f>MAX(0,AE224-AE223)</x:f>
        <x:v>0</x:v>
      </x:c>
      <x:c r="AG224" s="9" t="str">
        <x:f>IF(AF224&gt;0,B224,"")</x:f>
      </x:c>
      <x:c r="AH224" s="9" t="n">
        <x:f>IF(F224&gt;=1,1,(1+tun_LowTiesShare*(AE224-1))/AE224)</x:f>
        <x:v>1</x:v>
      </x:c>
      <x:c r="AI224" s="32" t="n">
        <x:f>(Z224+tun_ElderCommons*INDEX(LM_Elder,G224)*AA224)*AH224</x:f>
        <x:v>400.82961494073874</x:v>
      </x:c>
      <x:c r="AJ224" s="32" t="n">
        <x:f>H224*tun_CommonsCoef*AI224^tun_CommonsExp*INDEX(LM_Commons,G224)</x:f>
        <x:v>946.440515728711</x:v>
      </x:c>
      <x:c r="AK224" s="32" t="n">
        <x:f>H224*tun_RoleScale*Arch_Roles*(AE224*(INDEX(tun_ElderRolePerSett,G224)*tun_OutElder*INDEX(LM_Elder,G224)+INDEX(tun_ShamanPerSett,G224)*tun_OutShaman)+Z224*(INDEX(tun_PriestShare,G224)*tun_OutPriest+INDEX(tun_ScribeShare,G224)*tun_OutScribe*INDEX(LM_Scribe,G224)+INDEX(tun_ScholarShare,G224)*tun_OutScholar*INDEX(LM_Scholar,G224)+INDEX(tun_ResearcherShare,G224)*tun_OutResearcher*INDEX(LM_Researcher,G224)))</x:f>
        <x:v>123.00901855570973</x:v>
      </x:c>
      <x:c r="AL224" s="32" t="n">
        <x:f>H224*tun_RoleScale*Arch_Roles*AE224*INDEX(tun_MonasteryPerSett,G224)*tun_OutMonastery*INDEX(LM_Monastery,G224)</x:f>
        <x:v>0</x:v>
      </x:c>
      <x:c r="AM224" s="32" t="n">
        <x:f>(AJ224+AK224+AL224)/4*INDEX(LM_All,G224)*INDEX(tun_Boon,G224)*Arch_Insight</x:f>
        <x:v>321.6651317349831</x:v>
      </x:c>
      <x:c r="AN224" s="32" t="n">
        <x:f>H224*(tun_KHPerAdult*Z224+tun_KHOfCommons*AJ224/4*INDEX(LM_All,G224))*tun_KHUsable*Arch_KH</x:f>
        <x:v>63.18407572485029</x:v>
      </x:c>
      <x:c r="AO224" s="32" t="n">
        <x:f>MIN(AP223+AN224,AM224*tun_KHMaxRatio)</x:f>
        <x:v>63.18407572485029</x:v>
      </x:c>
      <x:c r="AP224" s="32" t="n">
        <x:f>AP223+AN224-AO224</x:f>
        <x:v>0</x:v>
      </x:c>
      <x:c r="AQ224" s="32" t="n">
        <x:f>AM224+AO224</x:f>
        <x:v>384.8492074598334</x:v>
      </x:c>
      <x:c r="AR224" s="10" t="n">
        <x:f>IF(H224=1,INDEX(tun_Req,G224),0)</x:f>
        <x:v>21071.475087999996</x:v>
      </x:c>
      <x:c r="AS224" s="32" t="n">
        <x:f>IF(H224=1,IF(E224=1,AS223-AR223,AS223)+AQ224,0)</x:f>
        <x:v>13826.529852536722</x:v>
      </x:c>
      <x:c r="AT224" s="11" t="n">
        <x:f>IF(AR224&gt;0,MIN(1,AS224/AR224),1)</x:f>
        <x:v>0.6561728495415491</x:v>
      </x:c>
      <x:c r="AU224" s="10" t="n">
        <x:f>AB224/INDEX(tun_RepScale,G224)</x:f>
        <x:v>317.5625504159507</x:v>
      </x:c>
      <x:c r="AV224" s="32" t="n">
        <x:f>AM224*60/tun_SeasonSeconds</x:f>
        <x:v>1286.6605269399324</x:v>
      </x:c>
    </x:row>
    <x:row r="225">
      <x:c r="A225" s="8" t="n">
        <x:f>A224+1</x:f>
        <x:v>222</x:v>
      </x:c>
      <x:c r="B225" s="9" t="n">
        <x:f>A225*tun_SeasonSeconds/60</x:f>
        <x:v>55.5</x:v>
      </x:c>
      <x:c r="C225" s="9" t="n">
        <x:f>A225/4</x:f>
        <x:v>55.5</x:v>
      </x:c>
      <x:c r="D225" s="8" t="n">
        <x:f>IF(MOD(A225,4)=0,1,0)</x:f>
        <x:v>0</x:v>
      </x:c>
      <x:c r="E225" s="8" t="n">
        <x:f>IF(AND(F224&lt;=9,AS224&gt;=AR224),1,0)</x:f>
        <x:v>0</x:v>
      </x:c>
      <x:c r="F225" s="8" t="n">
        <x:f>MIN(10,F224+E225)</x:f>
        <x:v>4</x:v>
      </x:c>
      <x:c r="G225" s="8" t="n">
        <x:f>MIN(F225,9)+1</x:f>
        <x:v>5</x:v>
      </x:c>
      <x:c r="H225" s="8" t="n">
        <x:f>IF(F225&lt;=9,1,0)</x:f>
        <x:v>1</x:v>
      </x:c>
      <x:c r="I225" s="9" t="n">
        <x:f>MIN(10,F224+IF(AR224&gt;0,MIN(1,AS224/AR224),1))</x:f>
        <x:v>4.656172849541549</x:v>
      </x:c>
      <x:c r="J225" s="32" t="n">
        <x:f>INDEX(tun_FoodCap,G225)*Arch_FoodCap*EXP(tun_CapsByProject*SUMPRODUCT((Cap_Point&lt;=I225)*(Cap_Kind="Food")*Cap_Ln))</x:f>
        <x:v>298.31906766221067</x:v>
      </x:c>
      <x:c r="K225" s="32" t="n">
        <x:f>J225*MIN(1,tun_LeanBase*EXP(tun_CapsByProject*SUMPRODUCT((Cap_Point&lt;=I225)*(Cap_Kind="Lean")*Cap_Ln)))</x:f>
        <x:v>298.31906766221067</x:v>
      </x:c>
      <x:c r="L225" s="10" t="n">
        <x:f>INDEX(tun_HousingCap,G225)*EXP(tun_CapsByProject*SUMPRODUCT((Cap_Point&lt;=I225)*(Cap_Kind="Housing")*Cap_Ln))</x:f>
        <x:v>1981.8141431314853</x:v>
      </x:c>
      <x:c r="M225" s="10" t="n">
        <x:f>INDEX(tun_GroupCap,G225)*tun_CohesionFactor*EXP(tun_CapsByProject*SUMPRODUCT((Cap_Point&lt;=I225)*(Cap_Kind="Group")*Cap_Ln))</x:f>
        <x:v>50000.00000000004</x:v>
      </x:c>
      <x:c r="N225" s="32" t="n">
        <x:f>MIN(J225,L225,M225)</x:f>
        <x:v>298.31906766221067</x:v>
      </x:c>
      <x:c r="O225" s="10" t="n">
        <x:f>AE224*N225</x:f>
        <x:v>894.957202986632</x:v>
      </x:c>
      <x:c r="P225" s="9" t="n">
        <x:f>MIN(1,(AB224/(AE224*IF(tun_GroupInCrowding=1,N225,MIN(J225,L225))))^tun_CrowdingExp)</x:f>
        <x:v>0.12774445404568568</x:v>
      </x:c>
      <x:c r="Q225" s="9" t="n">
        <x:f>IF(D225=1,INDEX(tun_WinterMult,G225),1)</x:f>
        <x:v>1</x:v>
      </x:c>
      <x:c r="R225" s="9" t="n">
        <x:f>H225*Z224*tun_WomenShare*tun_BaseFertility*INDEX(tun_FertMult,G225)*Arch_Fertility*(1-P225)</x:f>
        <x:v>15.352207698851485</x:v>
      </x:c>
      <x:c r="S225" s="9" t="n">
        <x:f>H225*Y224*INDEX(tun_MortChild,G225)/4*Q225</x:f>
        <x:v>2.633121603869349</x:v>
      </x:c>
      <x:c r="T225" s="9" t="n">
        <x:f>H225*Z224*INDEX(tun_MortAdult,G225)*Arch_AdultMort/4*Q225</x:f>
        <x:v>0.592327372884484</x:v>
      </x:c>
      <x:c r="U225" s="9" t="n">
        <x:f>H225*AA224*INDEX(tun_MortElder,G225)/4*Q225</x:f>
        <x:v>0.7737164893889722</x:v>
      </x:c>
      <x:c r="V225" s="9" t="n">
        <x:f>H225*MAX(0,AB224-O225)*tun_OvercapLoss</x:f>
        <x:v>0</x:v>
      </x:c>
      <x:c r="W225" s="9" t="n">
        <x:f>H225*Y224/(tun_ChildYears*4)</x:f>
        <x:v>6.269337152069879</x:v>
      </x:c>
      <x:c r="X225" s="9" t="n">
        <x:f>H225*Z224/(tun_AdultYears*4)</x:f>
        <x:v>1.819746153254943</x:v>
      </x:c>
      <x:c r="Y225" s="32" t="n">
        <x:f>Y224+R225-S225-W225-Y224*V225/AB224</x:f>
        <x:v>357.53262945882545</x:v>
      </x:c>
      <x:c r="Z225" s="32" t="n">
        <x:f>Z224+W225-X225-T225-Z224*V225/AB224</x:f>
        <x:v>229.5057866295434</x:v>
      </x:c>
      <x:c r="AA225" s="32" t="n">
        <x:f>AA224+X225-U225-AA224*V225/AB224</x:f>
        <x:v>59.439726976241225</x:v>
      </x:c>
      <x:c r="AB225" s="10" t="n">
        <x:f>Y225+Z225+AA225</x:f>
        <x:v>646.4781430646101</x:v>
      </x:c>
      <x:c r="AC225" s="8" t="n">
        <x:f>IF(AND(tun_WinterTrigger=1,D225=1,AB224/AE224&gt;=K225),1,0)</x:f>
        <x:v>0</x:v>
      </x:c>
      <x:c r="AD225" s="8" t="n">
        <x:f>H225*IF(AND(OR(AB224/AE224&gt;=tun_FissionTrigger*N225,AC225=1),AB224/AE224*tun_DaughterShare&gt;=tun_MinDaughter),MAX(1,ROUND(AE224*tun_FissionRate,0)),0)</x:f>
        <x:v>0</x:v>
      </x:c>
      <x:c r="AE225" s="8" t="n">
        <x:f>IF(H225=1,MAX(1,MIN(INDEX(tun_Smax,G225),AE224+AD225)),AE224)</x:f>
        <x:v>3</x:v>
      </x:c>
      <x:c r="AF225" s="8" t="n">
        <x:f>MAX(0,AE225-AE224)</x:f>
        <x:v>0</x:v>
      </x:c>
      <x:c r="AG225" s="9" t="str">
        <x:f>IF(AF225&gt;0,B225,"")</x:f>
      </x:c>
      <x:c r="AH225" s="9" t="n">
        <x:f>IF(F225&gt;=1,1,(1+tun_LowTiesShare*(AE225-1))/AE225)</x:f>
        <x:v>1</x:v>
      </x:c>
      <x:c r="AI225" s="32" t="n">
        <x:f>(Z225+tun_ElderCommons*INDEX(LM_Elder,G225)*AA225)*AH225</x:f>
        <x:v>407.8249675582671</x:v>
      </x:c>
      <x:c r="AJ225" s="32" t="n">
        <x:f>H225*tun_CommonsCoef*AI225^tun_CommonsExp*INDEX(LM_Commons,G225)</x:f>
        <x:v>960.4620973671174</x:v>
      </x:c>
      <x:c r="AK225" s="32" t="n">
        <x:f>H225*tun_RoleScale*Arch_Roles*(AE225*(INDEX(tun_ElderRolePerSett,G225)*tun_OutElder*INDEX(LM_Elder,G225)+INDEX(tun_ShamanPerSett,G225)*tun_OutShaman)+Z225*(INDEX(tun_PriestShare,G225)*tun_OutPriest+INDEX(tun_ScribeShare,G225)*tun_OutScribe*INDEX(LM_Scribe,G225)+INDEX(tun_ScholarShare,G225)*tun_OutScholar*INDEX(LM_Scholar,G225)+INDEX(tun_ResearcherShare,G225)*tun_OutResearcher*INDEX(LM_Researcher,G225)))</x:f>
        <x:v>123.88097299729144</x:v>
      </x:c>
      <x:c r="AL225" s="32" t="n">
        <x:f>H225*tun_RoleScale*Arch_Roles*AE225*INDEX(tun_MonasteryPerSett,G225)*tun_OutMonastery*INDEX(LM_Monastery,G225)</x:f>
        <x:v>0</x:v>
      </x:c>
      <x:c r="AM225" s="32" t="n">
        <x:f>(AJ225+AK225+AL225)/4*INDEX(LM_All,G225)*INDEX(tun_Boon,G225)*Arch_Insight</x:f>
        <x:v>326.1447552156503</x:v>
      </x:c>
      <x:c r="AN225" s="32" t="n">
        <x:f>H225*(tun_KHPerAdult*Z225+tun_KHOfCommons*AJ225/4*INDEX(LM_All,G225))*tun_KHUsable*Arch_KH</x:f>
        <x:v>64.12015217265652</x:v>
      </x:c>
      <x:c r="AO225" s="32" t="n">
        <x:f>MIN(AP224+AN225,AM225*tun_KHMaxRatio)</x:f>
        <x:v>64.12015217265652</x:v>
      </x:c>
      <x:c r="AP225" s="32" t="n">
        <x:f>AP224+AN225-AO225</x:f>
        <x:v>0</x:v>
      </x:c>
      <x:c r="AQ225" s="32" t="n">
        <x:f>AM225+AO225</x:f>
        <x:v>390.2649073883068</x:v>
      </x:c>
      <x:c r="AR225" s="10" t="n">
        <x:f>IF(H225=1,INDEX(tun_Req,G225),0)</x:f>
        <x:v>21071.475087999996</x:v>
      </x:c>
      <x:c r="AS225" s="32" t="n">
        <x:f>IF(H225=1,IF(E225=1,AS224-AR224,AS224)+AQ225,0)</x:f>
        <x:v>14216.79475992503</x:v>
      </x:c>
      <x:c r="AT225" s="11" t="n">
        <x:f>IF(AR225&gt;0,MIN(1,AS225/AR225),1)</x:f>
        <x:v>0.6746938551075315</x:v>
      </x:c>
      <x:c r="AU225" s="10" t="n">
        <x:f>AB225/INDEX(tun_RepScale,G225)</x:f>
        <x:v>323.23907153230505</x:v>
      </x:c>
      <x:c r="AV225" s="32" t="n">
        <x:f>AM225*60/tun_SeasonSeconds</x:f>
        <x:v>1304.5790208626013</x:v>
      </x:c>
    </x:row>
    <x:row r="226">
      <x:c r="A226" s="8" t="n">
        <x:f>A225+1</x:f>
        <x:v>223</x:v>
      </x:c>
      <x:c r="B226" s="9" t="n">
        <x:f>A226*tun_SeasonSeconds/60</x:f>
        <x:v>55.75</x:v>
      </x:c>
      <x:c r="C226" s="9" t="n">
        <x:f>A226/4</x:f>
        <x:v>55.75</x:v>
      </x:c>
      <x:c r="D226" s="8" t="n">
        <x:f>IF(MOD(A226,4)=0,1,0)</x:f>
        <x:v>0</x:v>
      </x:c>
      <x:c r="E226" s="8" t="n">
        <x:f>IF(AND(F225&lt;=9,AS225&gt;=AR225),1,0)</x:f>
        <x:v>0</x:v>
      </x:c>
      <x:c r="F226" s="8" t="n">
        <x:f>MIN(10,F225+E226)</x:f>
        <x:v>4</x:v>
      </x:c>
      <x:c r="G226" s="8" t="n">
        <x:f>MIN(F226,9)+1</x:f>
        <x:v>5</x:v>
      </x:c>
      <x:c r="H226" s="8" t="n">
        <x:f>IF(F226&lt;=9,1,0)</x:f>
        <x:v>1</x:v>
      </x:c>
      <x:c r="I226" s="9" t="n">
        <x:f>MIN(10,F225+IF(AR225&gt;0,MIN(1,AS225/AR225),1))</x:f>
        <x:v>4.674693855107532</x:v>
      </x:c>
      <x:c r="J226" s="32" t="n">
        <x:f>INDEX(tun_FoodCap,G226)*Arch_FoodCap*EXP(tun_CapsByProject*SUMPRODUCT((Cap_Point&lt;=I226)*(Cap_Kind="Food")*Cap_Ln))</x:f>
        <x:v>298.31906766221067</x:v>
      </x:c>
      <x:c r="K226" s="32" t="n">
        <x:f>J226*MIN(1,tun_LeanBase*EXP(tun_CapsByProject*SUMPRODUCT((Cap_Point&lt;=I226)*(Cap_Kind="Lean")*Cap_Ln)))</x:f>
        <x:v>298.31906766221067</x:v>
      </x:c>
      <x:c r="L226" s="10" t="n">
        <x:f>INDEX(tun_HousingCap,G226)*EXP(tun_CapsByProject*SUMPRODUCT((Cap_Point&lt;=I226)*(Cap_Kind="Housing")*Cap_Ln))</x:f>
        <x:v>1981.8141431314853</x:v>
      </x:c>
      <x:c r="M226" s="10" t="n">
        <x:f>INDEX(tun_GroupCap,G226)*tun_CohesionFactor*EXP(tun_CapsByProject*SUMPRODUCT((Cap_Point&lt;=I226)*(Cap_Kind="Group")*Cap_Ln))</x:f>
        <x:v>50000.00000000004</x:v>
      </x:c>
      <x:c r="N226" s="32" t="n">
        <x:f>MIN(J226,L226,M226)</x:f>
        <x:v>298.31906766221067</x:v>
      </x:c>
      <x:c r="O226" s="10" t="n">
        <x:f>AE225*N226</x:f>
        <x:v>894.957202986632</x:v>
      </x:c>
      <x:c r="P226" s="9" t="n">
        <x:f>MIN(1,(AB225/(AE225*IF(tun_GroupInCrowding=1,N226,MIN(J226,L226))))^tun_CrowdingExp)</x:f>
        <x:v>0.14207231958377908</x:v>
      </x:c>
      <x:c r="Q226" s="9" t="n">
        <x:f>IF(D226=1,INDEX(tun_WinterMult,G226),1)</x:f>
        <x:v>1</x:v>
      </x:c>
      <x:c r="R226" s="9" t="n">
        <x:f>H226*Z225*tun_WomenShare*tun_BaseFertility*INDEX(tun_FertMult,G226)*Arch_Fertility*(1-P226)</x:f>
        <x:v>15.358150638884375</x:v>
      </x:c>
      <x:c r="S226" s="9" t="n">
        <x:f>H226*Y225*INDEX(tun_MortChild,G226)/4*Q226</x:f>
        <x:v>2.681494720941191</x:v>
      </x:c>
      <x:c r="T226" s="9" t="n">
        <x:f>H226*Z225*INDEX(tun_MortAdult,G226)*Arch_AdultMort/4*Q226</x:f>
        <x:v>0.6024526899025514</x:v>
      </x:c>
      <x:c r="U226" s="9" t="n">
        <x:f>H226*AA225*INDEX(tun_MortElder,G226)/4*Q226</x:f>
        <x:v>0.7875763824351962</x:v>
      </x:c>
      <x:c r="V226" s="9" t="n">
        <x:f>H226*MAX(0,AB225-O226)*tun_OvercapLoss</x:f>
        <x:v>0</x:v>
      </x:c>
      <x:c r="W226" s="9" t="n">
        <x:f>H226*Y225/(tun_ChildYears*4)</x:f>
        <x:v>6.384511240336169</x:v>
      </x:c>
      <x:c r="X226" s="9" t="n">
        <x:f>H226*Z225/(tun_AdultYears*4)</x:f>
        <x:v>1.8508531179801886</x:v>
      </x:c>
      <x:c r="Y226" s="32" t="n">
        <x:f>Y225+R226-S226-W226-Y225*V226/AB225</x:f>
        <x:v>363.82477413643244</x:v>
      </x:c>
      <x:c r="Z226" s="32" t="n">
        <x:f>Z225+W226-X226-T226-Z225*V226/AB225</x:f>
        <x:v>233.43699206199682</x:v>
      </x:c>
      <x:c r="AA226" s="32" t="n">
        <x:f>AA225+X226-U226-AA225*V226/AB225</x:f>
        <x:v>60.503003711786214</x:v>
      </x:c>
      <x:c r="AB226" s="10" t="n">
        <x:f>Y226+Z226+AA226</x:f>
        <x:v>657.7647699102155</x:v>
      </x:c>
      <x:c r="AC226" s="8" t="n">
        <x:f>IF(AND(tun_WinterTrigger=1,D226=1,AB225/AE225&gt;=K226),1,0)</x:f>
        <x:v>0</x:v>
      </x:c>
      <x:c r="AD226" s="8" t="n">
        <x:f>H226*IF(AND(OR(AB225/AE225&gt;=tun_FissionTrigger*N226,AC226=1),AB225/AE225*tun_DaughterShare&gt;=tun_MinDaughter),MAX(1,ROUND(AE225*tun_FissionRate,0)),0)</x:f>
        <x:v>0</x:v>
      </x:c>
      <x:c r="AE226" s="8" t="n">
        <x:f>IF(H226=1,MAX(1,MIN(INDEX(tun_Smax,G226),AE225+AD226)),AE225)</x:f>
        <x:v>3</x:v>
      </x:c>
      <x:c r="AF226" s="8" t="n">
        <x:f>MAX(0,AE226-AE225)</x:f>
        <x:v>0</x:v>
      </x:c>
      <x:c r="AG226" s="9" t="str">
        <x:f>IF(AF226&gt;0,B226,"")</x:f>
      </x:c>
      <x:c r="AH226" s="9" t="n">
        <x:f>IF(F226&gt;=1,1,(1+tun_LowTiesShare*(AE226-1))/AE226)</x:f>
        <x:v>1</x:v>
      </x:c>
      <x:c r="AI226" s="32" t="n">
        <x:f>(Z226+tun_ElderCommons*INDEX(LM_Elder,G226)*AA226)*AH226</x:f>
        <x:v>414.9460031973555</x:v>
      </x:c>
      <x:c r="AJ226" s="32" t="n">
        <x:f>H226*tun_CommonsCoef*AI226^tun_CommonsExp*INDEX(LM_Commons,G226)</x:f>
        <x:v>974.698595250667</x:v>
      </x:c>
      <x:c r="AK226" s="32" t="n">
        <x:f>H226*tun_RoleScale*Arch_Roles*(AE226*(INDEX(tun_ElderRolePerSett,G226)*tun_OutElder*INDEX(LM_Elder,G226)+INDEX(tun_ShamanPerSett,G226)*tun_OutShaman)+Z226*(INDEX(tun_PriestShare,G226)*tun_OutPriest+INDEX(tun_ScribeShare,G226)*tun_OutScribe*INDEX(LM_Scribe,G226)+INDEX(tun_ScholarShare,G226)*tun_OutScholar*INDEX(LM_Scholar,G226)+INDEX(tun_ResearcherShare,G226)*tun_OutResearcher*INDEX(LM_Researcher,G226)))</x:f>
        <x:v>124.76964236760729</x:v>
      </x:c>
      <x:c r="AL226" s="32" t="n">
        <x:f>H226*tun_RoleScale*Arch_Roles*AE226*INDEX(tun_MonasteryPerSett,G226)*tun_OutMonastery*INDEX(LM_Monastery,G226)</x:f>
        <x:v>0</x:v>
      </x:c>
      <x:c r="AM226" s="32" t="n">
        <x:f>(AJ226+AK226+AL226)/4*INDEX(LM_All,G226)*INDEX(tun_Boon,G226)*Arch_Insight</x:f>
        <x:v>330.6940478762747</x:v>
      </x:c>
      <x:c r="AN226" s="32" t="n">
        <x:f>H226*(tun_KHPerAdult*Z226+tun_KHOfCommons*AJ226/4*INDEX(LM_All,G226))*tun_KHUsable*Arch_KH</x:f>
        <x:v>65.07057636243066</x:v>
      </x:c>
      <x:c r="AO226" s="32" t="n">
        <x:f>MIN(AP225+AN226,AM226*tun_KHMaxRatio)</x:f>
        <x:v>65.07057636243066</x:v>
      </x:c>
      <x:c r="AP226" s="32" t="n">
        <x:f>AP225+AN226-AO226</x:f>
        <x:v>0</x:v>
      </x:c>
      <x:c r="AQ226" s="32" t="n">
        <x:f>AM226+AO226</x:f>
        <x:v>395.7646242387053</x:v>
      </x:c>
      <x:c r="AR226" s="10" t="n">
        <x:f>IF(H226=1,INDEX(tun_Req,G226),0)</x:f>
        <x:v>21071.475087999996</x:v>
      </x:c>
      <x:c r="AS226" s="32" t="n">
        <x:f>IF(H226=1,IF(E226=1,AS225-AR225,AS225)+AQ226,0)</x:f>
        <x:v>14612.559384163735</x:v>
      </x:c>
      <x:c r="AT226" s="11" t="n">
        <x:f>IF(AR226&gt;0,MIN(1,AS226/AR226),1)</x:f>
        <x:v>0.693475863608877</x:v>
      </x:c>
      <x:c r="AU226" s="10" t="n">
        <x:f>AB226/INDEX(tun_RepScale,G226)</x:f>
        <x:v>328.88238495510774</x:v>
      </x:c>
      <x:c r="AV226" s="32" t="n">
        <x:f>AM226*60/tun_SeasonSeconds</x:f>
        <x:v>1322.7761915050987</x:v>
      </x:c>
    </x:row>
    <x:row r="227">
      <x:c r="A227" s="8" t="n">
        <x:f>A226+1</x:f>
        <x:v>224</x:v>
      </x:c>
      <x:c r="B227" s="9" t="n">
        <x:f>A227*tun_SeasonSeconds/60</x:f>
        <x:v>56</x:v>
      </x:c>
      <x:c r="C227" s="9" t="n">
        <x:f>A227/4</x:f>
        <x:v>56</x:v>
      </x:c>
      <x:c r="D227" s="8" t="n">
        <x:f>IF(MOD(A227,4)=0,1,0)</x:f>
        <x:v>1</x:v>
      </x:c>
      <x:c r="E227" s="8" t="n">
        <x:f>IF(AND(F226&lt;=9,AS226&gt;=AR226),1,0)</x:f>
        <x:v>0</x:v>
      </x:c>
      <x:c r="F227" s="8" t="n">
        <x:f>MIN(10,F226+E227)</x:f>
        <x:v>4</x:v>
      </x:c>
      <x:c r="G227" s="8" t="n">
        <x:f>MIN(F227,9)+1</x:f>
        <x:v>5</x:v>
      </x:c>
      <x:c r="H227" s="8" t="n">
        <x:f>IF(F227&lt;=9,1,0)</x:f>
        <x:v>1</x:v>
      </x:c>
      <x:c r="I227" s="9" t="n">
        <x:f>MIN(10,F226+IF(AR226&gt;0,MIN(1,AS226/AR226),1))</x:f>
        <x:v>4.693475863608877</x:v>
      </x:c>
      <x:c r="J227" s="32" t="n">
        <x:f>INDEX(tun_FoodCap,G227)*Arch_FoodCap*EXP(tun_CapsByProject*SUMPRODUCT((Cap_Point&lt;=I227)*(Cap_Kind="Food")*Cap_Ln))</x:f>
        <x:v>298.31906766221067</x:v>
      </x:c>
      <x:c r="K227" s="32" t="n">
        <x:f>J227*MIN(1,tun_LeanBase*EXP(tun_CapsByProject*SUMPRODUCT((Cap_Point&lt;=I227)*(Cap_Kind="Lean")*Cap_Ln)))</x:f>
        <x:v>298.31906766221067</x:v>
      </x:c>
      <x:c r="L227" s="10" t="n">
        <x:f>INDEX(tun_HousingCap,G227)*EXP(tun_CapsByProject*SUMPRODUCT((Cap_Point&lt;=I227)*(Cap_Kind="Housing")*Cap_Ln))</x:f>
        <x:v>1981.8141431314853</x:v>
      </x:c>
      <x:c r="M227" s="10" t="n">
        <x:f>INDEX(tun_GroupCap,G227)*tun_CohesionFactor*EXP(tun_CapsByProject*SUMPRODUCT((Cap_Point&lt;=I227)*(Cap_Kind="Group")*Cap_Ln))</x:f>
        <x:v>50000.00000000004</x:v>
      </x:c>
      <x:c r="N227" s="32" t="n">
        <x:f>MIN(J227,L227,M227)</x:f>
        <x:v>298.31906766221067</x:v>
      </x:c>
      <x:c r="O227" s="10" t="n">
        <x:f>AE226*N227</x:f>
        <x:v>894.957202986632</x:v>
      </x:c>
      <x:c r="P227" s="9" t="n">
        <x:f>MIN(1,(AB226/(AE226*IF(tun_GroupInCrowding=1,N227,MIN(J227,L227))))^tun_CrowdingExp)</x:f>
        <x:v>0.15761953657444652</x:v>
      </x:c>
      <x:c r="Q227" s="9" t="n">
        <x:f>IF(D227=1,INDEX(tun_WinterMult,G227),1)</x:f>
        <x:v>1.2</x:v>
      </x:c>
      <x:c r="R227" s="9" t="n">
        <x:f>H227*Z226*tun_WomenShare*tun_BaseFertility*INDEX(tun_FertMult,G227)*Arch_Fertility*(1-P227)</x:f>
        <x:v>15.338135401200466</x:v>
      </x:c>
      <x:c r="S227" s="9" t="n">
        <x:f>H227*Y226*INDEX(tun_MortChild,G227)/4*Q227</x:f>
        <x:v>3.274422967227892</x:v>
      </x:c>
      <x:c r="T227" s="9" t="n">
        <x:f>H227*Z226*INDEX(tun_MortAdult,G227)*Arch_AdultMort/4*Q227</x:f>
        <x:v>0.7353265249952899</x:v>
      </x:c>
      <x:c r="U227" s="9" t="n">
        <x:f>H227*AA226*INDEX(tun_MortElder,G227)/4*Q227</x:f>
        <x:v>0.9619977590174007</x:v>
      </x:c>
      <x:c r="V227" s="9" t="n">
        <x:f>H227*MAX(0,AB226-O227)*tun_OvercapLoss</x:f>
        <x:v>0</x:v>
      </x:c>
      <x:c r="W227" s="9" t="n">
        <x:f>H227*Y226/(tun_ChildYears*4)</x:f>
        <x:v>6.496870966722008</x:v>
      </x:c>
      <x:c r="X227" s="9" t="n">
        <x:f>H227*Z226/(tun_AdultYears*4)</x:f>
        <x:v>1.8825563875967486</x:v>
      </x:c>
      <x:c r="Y227" s="32" t="n">
        <x:f>Y226+R227-S227-W227-Y226*V227/AB226</x:f>
        <x:v>369.391615603683</x:v>
      </x:c>
      <x:c r="Z227" s="32" t="n">
        <x:f>Z226+W227-X227-T227-Z226*V227/AB226</x:f>
        <x:v>237.3159801161268</x:v>
      </x:c>
      <x:c r="AA227" s="32" t="n">
        <x:f>AA226+X227-U227-AA226*V227/AB226</x:f>
        <x:v>61.423562340365564</x:v>
      </x:c>
      <x:c r="AB227" s="10" t="n">
        <x:f>Y227+Z227+AA227</x:f>
        <x:v>668.1311580601755</x:v>
      </x:c>
      <x:c r="AC227" s="8" t="n">
        <x:f>IF(AND(tun_WinterTrigger=1,D227=1,AB226/AE226&gt;=K227),1,0)</x:f>
        <x:v>0</x:v>
      </x:c>
      <x:c r="AD227" s="8" t="n">
        <x:f>H227*IF(AND(OR(AB226/AE226&gt;=tun_FissionTrigger*N227,AC227=1),AB226/AE226*tun_DaughterShare&gt;=tun_MinDaughter),MAX(1,ROUND(AE226*tun_FissionRate,0)),0)</x:f>
        <x:v>0</x:v>
      </x:c>
      <x:c r="AE227" s="8" t="n">
        <x:f>IF(H227=1,MAX(1,MIN(INDEX(tun_Smax,G227),AE226+AD227)),AE226)</x:f>
        <x:v>3</x:v>
      </x:c>
      <x:c r="AF227" s="8" t="n">
        <x:f>MAX(0,AE227-AE226)</x:f>
        <x:v>0</x:v>
      </x:c>
      <x:c r="AG227" s="9" t="str">
        <x:f>IF(AF227&gt;0,B227,"")</x:f>
      </x:c>
      <x:c r="AH227" s="9" t="n">
        <x:f>IF(F227&gt;=1,1,(1+tun_LowTiesShare*(AE227-1))/AE227)</x:f>
        <x:v>1</x:v>
      </x:c>
      <x:c r="AI227" s="32" t="n">
        <x:f>(Z227+tun_ElderCommons*INDEX(LM_Elder,G227)*AA227)*AH227</x:f>
        <x:v>421.5866671372235</x:v>
      </x:c>
      <x:c r="AJ227" s="32" t="n">
        <x:f>H227*tun_CommonsCoef*AI227^tun_CommonsExp*INDEX(LM_Commons,G227)</x:f>
        <x:v>987.9417291710628</x:v>
      </x:c>
      <x:c r="AK227" s="32" t="n">
        <x:f>H227*tun_RoleScale*Arch_Roles*(AE227*(INDEX(tun_ElderRolePerSett,G227)*tun_OutElder*INDEX(LM_Elder,G227)+INDEX(tun_ShamanPerSett,G227)*tun_OutShaman)+Z227*(INDEX(tun_PriestShare,G227)*tun_OutPriest+INDEX(tun_ScribeShare,G227)*tun_OutScribe*INDEX(LM_Scribe,G227)+INDEX(tun_ScholarShare,G227)*tun_OutScholar*INDEX(LM_Scholar,G227)+INDEX(tun_ResearcherShare,G227)*tun_OutResearcher*INDEX(LM_Researcher,G227)))</x:f>
        <x:v>125.64650772881919</x:v>
      </x:c>
      <x:c r="AL227" s="32" t="n">
        <x:f>H227*tun_RoleScale*Arch_Roles*AE227*INDEX(tun_MonasteryPerSett,G227)*tun_OutMonastery*INDEX(LM_Monastery,G227)</x:f>
        <x:v>0</x:v>
      </x:c>
      <x:c r="AM227" s="32" t="n">
        <x:f>(AJ227+AK227+AL227)/4*INDEX(LM_All,G227)*INDEX(tun_Boon,G227)*Arch_Insight</x:f>
        <x:v>334.94100977902144</x:v>
      </x:c>
      <x:c r="AN227" s="32" t="n">
        <x:f>H227*(tun_KHPerAdult*Z227+tun_KHOfCommons*AJ227/4*INDEX(LM_All,G227))*tun_KHUsable*Arch_KH</x:f>
        <x:v>65.95468388166165</x:v>
      </x:c>
      <x:c r="AO227" s="32" t="n">
        <x:f>MIN(AP226+AN227,AM227*tun_KHMaxRatio)</x:f>
        <x:v>65.95468388166165</x:v>
      </x:c>
      <x:c r="AP227" s="32" t="n">
        <x:f>AP226+AN227-AO227</x:f>
        <x:v>0</x:v>
      </x:c>
      <x:c r="AQ227" s="32" t="n">
        <x:f>AM227+AO227</x:f>
        <x:v>400.8956936606831</x:v>
      </x:c>
      <x:c r="AR227" s="10" t="n">
        <x:f>IF(H227=1,INDEX(tun_Req,G227),0)</x:f>
        <x:v>21071.475087999996</x:v>
      </x:c>
      <x:c r="AS227" s="32" t="n">
        <x:f>IF(H227=1,IF(E227=1,AS226-AR226,AS226)+AQ227,0)</x:f>
        <x:v>15013.455077824417</x:v>
      </x:c>
      <x:c r="AT227" s="11" t="n">
        <x:f>IF(AR227&gt;0,MIN(1,AS227/AR227),1)</x:f>
        <x:v>0.7125013799520109</x:v>
      </x:c>
      <x:c r="AU227" s="10" t="n">
        <x:f>AB227/INDEX(tun_RepScale,G227)</x:f>
        <x:v>334.06557903008775</x:v>
      </x:c>
      <x:c r="AV227" s="32" t="n">
        <x:f>AM227*60/tun_SeasonSeconds</x:f>
        <x:v>1339.7640391160858</x:v>
      </x:c>
    </x:row>
    <x:row r="228">
      <x:c r="A228" s="8" t="n">
        <x:f>A227+1</x:f>
        <x:v>225</x:v>
      </x:c>
      <x:c r="B228" s="9" t="n">
        <x:f>A228*tun_SeasonSeconds/60</x:f>
        <x:v>56.25</x:v>
      </x:c>
      <x:c r="C228" s="9" t="n">
        <x:f>A228/4</x:f>
        <x:v>56.25</x:v>
      </x:c>
      <x:c r="D228" s="8" t="n">
        <x:f>IF(MOD(A228,4)=0,1,0)</x:f>
        <x:v>0</x:v>
      </x:c>
      <x:c r="E228" s="8" t="n">
        <x:f>IF(AND(F227&lt;=9,AS227&gt;=AR227),1,0)</x:f>
        <x:v>0</x:v>
      </x:c>
      <x:c r="F228" s="8" t="n">
        <x:f>MIN(10,F227+E228)</x:f>
        <x:v>4</x:v>
      </x:c>
      <x:c r="G228" s="8" t="n">
        <x:f>MIN(F228,9)+1</x:f>
        <x:v>5</x:v>
      </x:c>
      <x:c r="H228" s="8" t="n">
        <x:f>IF(F228&lt;=9,1,0)</x:f>
        <x:v>1</x:v>
      </x:c>
      <x:c r="I228" s="9" t="n">
        <x:f>MIN(10,F227+IF(AR227&gt;0,MIN(1,AS227/AR227),1))</x:f>
        <x:v>4.712501379952011</x:v>
      </x:c>
      <x:c r="J228" s="32" t="n">
        <x:f>INDEX(tun_FoodCap,G228)*Arch_FoodCap*EXP(tun_CapsByProject*SUMPRODUCT((Cap_Point&lt;=I228)*(Cap_Kind="Food")*Cap_Ln))</x:f>
        <x:v>372.89883457776335</x:v>
      </x:c>
      <x:c r="K228" s="32" t="n">
        <x:f>J228*MIN(1,tun_LeanBase*EXP(tun_CapsByProject*SUMPRODUCT((Cap_Point&lt;=I228)*(Cap_Kind="Lean")*Cap_Ln)))</x:f>
        <x:v>372.89883457776335</x:v>
      </x:c>
      <x:c r="L228" s="10" t="n">
        <x:f>INDEX(tun_HousingCap,G228)*EXP(tun_CapsByProject*SUMPRODUCT((Cap_Point&lt;=I228)*(Cap_Kind="Housing")*Cap_Ln))</x:f>
        <x:v>1981.8141431314853</x:v>
      </x:c>
      <x:c r="M228" s="10" t="n">
        <x:f>INDEX(tun_GroupCap,G228)*tun_CohesionFactor*EXP(tun_CapsByProject*SUMPRODUCT((Cap_Point&lt;=I228)*(Cap_Kind="Group")*Cap_Ln))</x:f>
        <x:v>50000.00000000004</x:v>
      </x:c>
      <x:c r="N228" s="32" t="n">
        <x:f>MIN(J228,L228,M228)</x:f>
        <x:v>372.89883457776335</x:v>
      </x:c>
      <x:c r="O228" s="10" t="n">
        <x:f>AE227*N228</x:f>
        <x:v>1118.69650373329</x:v>
      </x:c>
      <x:c r="P228" s="9" t="n">
        <x:f>MIN(1,(AB227/(AE227*IF(tun_GroupInCrowding=1,N228,MIN(J228,L228))))^tun_CrowdingExp)</x:f>
        <x:v>0.0453833622515366</x:v>
      </x:c>
      <x:c r="Q228" s="9" t="n">
        <x:f>IF(D228=1,INDEX(tun_WinterMult,G228),1)</x:f>
        <x:v>1</x:v>
      </x:c>
      <x:c r="R228" s="9" t="n">
        <x:f>H228*Z227*tun_WomenShare*tun_BaseFertility*INDEX(tun_FertMult,G228)*Arch_Fertility*(1-P228)</x:f>
        <x:v>17.67057107575018</x:v>
      </x:c>
      <x:c r="S228" s="9" t="n">
        <x:f>H228*Y227*INDEX(tun_MortChild,G228)/4*Q228</x:f>
        <x:v>2.7704371170276225</x:v>
      </x:c>
      <x:c r="T228" s="9" t="n">
        <x:f>H228*Z227*INDEX(tun_MortAdult,G228)*Arch_AdultMort/4*Q228</x:f>
        <x:v>0.6229544478048329</x:v>
      </x:c>
      <x:c r="U228" s="9" t="n">
        <x:f>H228*AA227*INDEX(tun_MortElder,G228)/4*Q228</x:f>
        <x:v>0.8138622010098437</x:v>
      </x:c>
      <x:c r="V228" s="9" t="n">
        <x:f>H228*MAX(0,AB227-O228)*tun_OvercapLoss</x:f>
        <x:v>0</x:v>
      </x:c>
      <x:c r="W228" s="9" t="n">
        <x:f>H228*Y227/(tun_ChildYears*4)</x:f>
        <x:v>6.596278850065768</x:v>
      </x:c>
      <x:c r="X228" s="9" t="n">
        <x:f>H228*Z227/(tun_AdultYears*4)</x:f>
        <x:v>1.9138385493236032</x:v>
      </x:c>
      <x:c r="Y228" s="32" t="n">
        <x:f>Y227+R228-S228-W228-Y227*V228/AB227</x:f>
        <x:v>377.69547071233984</x:v>
      </x:c>
      <x:c r="Z228" s="32" t="n">
        <x:f>Z227+W228-X228-T228-Z227*V228/AB227</x:f>
        <x:v>241.37546596906415</x:v>
      </x:c>
      <x:c r="AA228" s="32" t="n">
        <x:f>AA227+X228-U228-AA227*V228/AB227</x:f>
        <x:v>62.523538688679324</x:v>
      </x:c>
      <x:c r="AB228" s="10" t="n">
        <x:f>Y228+Z228+AA228</x:f>
        <x:v>681.5944753700833</x:v>
      </x:c>
      <x:c r="AC228" s="8" t="n">
        <x:f>IF(AND(tun_WinterTrigger=1,D228=1,AB227/AE227&gt;=K228),1,0)</x:f>
        <x:v>0</x:v>
      </x:c>
      <x:c r="AD228" s="8" t="n">
        <x:f>H228*IF(AND(OR(AB227/AE227&gt;=tun_FissionTrigger*N228,AC228=1),AB227/AE227*tun_DaughterShare&gt;=tun_MinDaughter),MAX(1,ROUND(AE227*tun_FissionRate,0)),0)</x:f>
        <x:v>0</x:v>
      </x:c>
      <x:c r="AE228" s="8" t="n">
        <x:f>IF(H228=1,MAX(1,MIN(INDEX(tun_Smax,G228),AE227+AD228)),AE227)</x:f>
        <x:v>3</x:v>
      </x:c>
      <x:c r="AF228" s="8" t="n">
        <x:f>MAX(0,AE228-AE227)</x:f>
        <x:v>0</x:v>
      </x:c>
      <x:c r="AG228" s="9" t="str">
        <x:f>IF(AF228&gt;0,B228,"")</x:f>
      </x:c>
      <x:c r="AH228" s="9" t="n">
        <x:f>IF(F228&gt;=1,1,(1+tun_LowTiesShare*(AE228-1))/AE228)</x:f>
        <x:v>1</x:v>
      </x:c>
      <x:c r="AI228" s="32" t="n">
        <x:f>(Z228+tun_ElderCommons*INDEX(LM_Elder,G228)*AA228)*AH228</x:f>
        <x:v>428.9460820351021</x:v>
      </x:c>
      <x:c r="AJ228" s="32" t="n">
        <x:f>H228*tun_CommonsCoef*AI228^tun_CommonsExp*INDEX(LM_Commons,G228)</x:f>
        <x:v>1002.581742889763</x:v>
      </x:c>
      <x:c r="AK228" s="32" t="n">
        <x:f>H228*tun_RoleScale*Arch_Roles*(AE228*(INDEX(tun_ElderRolePerSett,G228)*tun_OutElder*INDEX(LM_Elder,G228)+INDEX(tun_ShamanPerSett,G228)*tun_OutShaman)+Z228*(INDEX(tun_PriestShare,G228)*tun_OutPriest+INDEX(tun_ScribeShare,G228)*tun_OutScribe*INDEX(LM_Scribe,G228)+INDEX(tun_ScholarShare,G228)*tun_OutScholar*INDEX(LM_Scholar,G228)+INDEX(tun_ResearcherShare,G228)*tun_OutResearcher*INDEX(LM_Researcher,G228)))</x:f>
        <x:v>126.5641755532871</x:v>
      </x:c>
      <x:c r="AL228" s="32" t="n">
        <x:f>H228*tun_RoleScale*Arch_Roles*AE228*INDEX(tun_MonasteryPerSett,G228)*tun_OutMonastery*INDEX(LM_Monastery,G228)</x:f>
        <x:v>0</x:v>
      </x:c>
      <x:c r="AM228" s="32" t="n">
        <x:f>(AJ228+AK228+AL228)/4*INDEX(LM_All,G228)*INDEX(tun_Boon,G228)*Arch_Insight</x:f>
        <x:v>339.62039251064573</x:v>
      </x:c>
      <x:c r="AN228" s="32" t="n">
        <x:f>H228*(tun_KHPerAdult*Z228+tun_KHOfCommons*AJ228/4*INDEX(LM_All,G228))*tun_KHUsable*Arch_KH</x:f>
        <x:v>66.93204666362476</x:v>
      </x:c>
      <x:c r="AO228" s="32" t="n">
        <x:f>MIN(AP227+AN228,AM228*tun_KHMaxRatio)</x:f>
        <x:v>66.93204666362476</x:v>
      </x:c>
      <x:c r="AP228" s="32" t="n">
        <x:f>AP227+AN228-AO228</x:f>
        <x:v>0</x:v>
      </x:c>
      <x:c r="AQ228" s="32" t="n">
        <x:f>AM228+AO228</x:f>
        <x:v>406.5524391742705</x:v>
      </x:c>
      <x:c r="AR228" s="10" t="n">
        <x:f>IF(H228=1,INDEX(tun_Req,G228),0)</x:f>
        <x:v>21071.475087999996</x:v>
      </x:c>
      <x:c r="AS228" s="32" t="n">
        <x:f>IF(H228=1,IF(E228=1,AS227-AR227,AS227)+AQ228,0)</x:f>
        <x:v>15420.007516998689</x:v>
      </x:c>
      <x:c r="AT228" s="11" t="n">
        <x:f>IF(AR228&gt;0,MIN(1,AS228/AR228),1)</x:f>
        <x:v>0.7317953514218013</x:v>
      </x:c>
      <x:c r="AU228" s="10" t="n">
        <x:f>AB228/INDEX(tun_RepScale,G228)</x:f>
        <x:v>340.79723768504164</x:v>
      </x:c>
      <x:c r="AV228" s="32" t="n">
        <x:f>AM228*60/tun_SeasonSeconds</x:f>
        <x:v>1358.481570042583</x:v>
      </x:c>
    </x:row>
    <x:row r="229">
      <x:c r="A229" s="8" t="n">
        <x:f>A228+1</x:f>
        <x:v>226</x:v>
      </x:c>
      <x:c r="B229" s="9" t="n">
        <x:f>A229*tun_SeasonSeconds/60</x:f>
        <x:v>56.5</x:v>
      </x:c>
      <x:c r="C229" s="9" t="n">
        <x:f>A229/4</x:f>
        <x:v>56.5</x:v>
      </x:c>
      <x:c r="D229" s="8" t="n">
        <x:f>IF(MOD(A229,4)=0,1,0)</x:f>
        <x:v>0</x:v>
      </x:c>
      <x:c r="E229" s="8" t="n">
        <x:f>IF(AND(F228&lt;=9,AS228&gt;=AR228),1,0)</x:f>
        <x:v>0</x:v>
      </x:c>
      <x:c r="F229" s="8" t="n">
        <x:f>MIN(10,F228+E229)</x:f>
        <x:v>4</x:v>
      </x:c>
      <x:c r="G229" s="8" t="n">
        <x:f>MIN(F229,9)+1</x:f>
        <x:v>5</x:v>
      </x:c>
      <x:c r="H229" s="8" t="n">
        <x:f>IF(F229&lt;=9,1,0)</x:f>
        <x:v>1</x:v>
      </x:c>
      <x:c r="I229" s="9" t="n">
        <x:f>MIN(10,F228+IF(AR228&gt;0,MIN(1,AS228/AR228),1))</x:f>
        <x:v>4.731795351421801</x:v>
      </x:c>
      <x:c r="J229" s="32" t="n">
        <x:f>INDEX(tun_FoodCap,G229)*Arch_FoodCap*EXP(tun_CapsByProject*SUMPRODUCT((Cap_Point&lt;=I229)*(Cap_Kind="Food")*Cap_Ln))</x:f>
        <x:v>372.89883457776335</x:v>
      </x:c>
      <x:c r="K229" s="32" t="n">
        <x:f>J229*MIN(1,tun_LeanBase*EXP(tun_CapsByProject*SUMPRODUCT((Cap_Point&lt;=I229)*(Cap_Kind="Lean")*Cap_Ln)))</x:f>
        <x:v>372.89883457776335</x:v>
      </x:c>
      <x:c r="L229" s="10" t="n">
        <x:f>INDEX(tun_HousingCap,G229)*EXP(tun_CapsByProject*SUMPRODUCT((Cap_Point&lt;=I229)*(Cap_Kind="Housing")*Cap_Ln))</x:f>
        <x:v>1981.8141431314853</x:v>
      </x:c>
      <x:c r="M229" s="10" t="n">
        <x:f>INDEX(tun_GroupCap,G229)*tun_CohesionFactor*EXP(tun_CapsByProject*SUMPRODUCT((Cap_Point&lt;=I229)*(Cap_Kind="Group")*Cap_Ln))</x:f>
        <x:v>50000.00000000004</x:v>
      </x:c>
      <x:c r="N229" s="32" t="n">
        <x:f>MIN(J229,L229,M229)</x:f>
        <x:v>372.89883457776335</x:v>
      </x:c>
      <x:c r="O229" s="10" t="n">
        <x:f>AE228*N229</x:f>
        <x:v>1118.69650373329</x:v>
      </x:c>
      <x:c r="P229" s="9" t="n">
        <x:f>MIN(1,(AB228/(AE228*IF(tun_GroupInCrowding=1,N229,MIN(J229,L229))))^tun_CrowdingExp)</x:f>
        <x:v>0.05115436347804108</x:v>
      </x:c>
      <x:c r="Q229" s="9" t="n">
        <x:f>IF(D229=1,INDEX(tun_WinterMult,G229),1)</x:f>
        <x:v>1</x:v>
      </x:c>
      <x:c r="R229" s="9" t="n">
        <x:f>H229*Z228*tun_WomenShare*tun_BaseFertility*INDEX(tun_FertMult,G229)*Arch_Fertility*(1-P229)</x:f>
        <x:v>17.864188496559688</x:v>
      </x:c>
      <x:c r="S229" s="9" t="n">
        <x:f>H229*Y228*INDEX(tun_MortChild,G229)/4*Q229</x:f>
        <x:v>2.8327160303425485</x:v>
      </x:c>
      <x:c r="T229" s="9" t="n">
        <x:f>H229*Z228*INDEX(tun_MortAdult,G229)*Arch_AdultMort/4*Q229</x:f>
        <x:v>0.6336105981687934</x:v>
      </x:c>
      <x:c r="U229" s="9" t="n">
        <x:f>H229*AA228*INDEX(tun_MortElder,G229)/4*Q229</x:f>
        <x:v>0.828436887625001</x:v>
      </x:c>
      <x:c r="V229" s="9" t="n">
        <x:f>H229*MAX(0,AB228-O229)*tun_OvercapLoss</x:f>
        <x:v>0</x:v>
      </x:c>
      <x:c r="W229" s="9" t="n">
        <x:f>H229*Y228/(tun_ChildYears*4)</x:f>
        <x:v>6.744561977006069</x:v>
      </x:c>
      <x:c r="X229" s="9" t="n">
        <x:f>H229*Z228/(tun_AdultYears*4)</x:f>
        <x:v>1.9465763384601948</x:v>
      </x:c>
      <x:c r="Y229" s="32" t="n">
        <x:f>Y228+R229-S229-W229-Y228*V229/AB228</x:f>
        <x:v>385.9823812015509</x:v>
      </x:c>
      <x:c r="Z229" s="32" t="n">
        <x:f>Z228+W229-X229-T229-Z228*V229/AB228</x:f>
        <x:v>245.53984100944123</x:v>
      </x:c>
      <x:c r="AA229" s="32" t="n">
        <x:f>AA228+X229-U229-AA228*V229/AB228</x:f>
        <x:v>63.64167813951451</x:v>
      </x:c>
      <x:c r="AB229" s="10" t="n">
        <x:f>Y229+Z229+AA229</x:f>
        <x:v>695.1639003505067</x:v>
      </x:c>
      <x:c r="AC229" s="8" t="n">
        <x:f>IF(AND(tun_WinterTrigger=1,D229=1,AB228/AE228&gt;=K229),1,0)</x:f>
        <x:v>0</x:v>
      </x:c>
      <x:c r="AD229" s="8" t="n">
        <x:f>H229*IF(AND(OR(AB228/AE228&gt;=tun_FissionTrigger*N229,AC229=1),AB228/AE228*tun_DaughterShare&gt;=tun_MinDaughter),MAX(1,ROUND(AE228*tun_FissionRate,0)),0)</x:f>
        <x:v>0</x:v>
      </x:c>
      <x:c r="AE229" s="8" t="n">
        <x:f>IF(H229=1,MAX(1,MIN(INDEX(tun_Smax,G229),AE228+AD229)),AE228)</x:f>
        <x:v>3</x:v>
      </x:c>
      <x:c r="AF229" s="8" t="n">
        <x:f>MAX(0,AE229-AE228)</x:f>
        <x:v>0</x:v>
      </x:c>
      <x:c r="AG229" s="9" t="str">
        <x:f>IF(AF229&gt;0,B229,"")</x:f>
      </x:c>
      <x:c r="AH229" s="9" t="n">
        <x:f>IF(F229&gt;=1,1,(1+tun_LowTiesShare*(AE229-1))/AE229)</x:f>
        <x:v>1</x:v>
      </x:c>
      <x:c r="AI229" s="32" t="n">
        <x:f>(Z229+tun_ElderCommons*INDEX(LM_Elder,G229)*AA229)*AH229</x:f>
        <x:v>436.4648754279848</x:v>
      </x:c>
      <x:c r="AJ229" s="32" t="n">
        <x:f>H229*tun_CommonsCoef*AI229^tun_CommonsExp*INDEX(LM_Commons,G229)</x:f>
        <x:v>1017.4999506965956</x:v>
      </x:c>
      <x:c r="AK229" s="32" t="n">
        <x:f>H229*tun_RoleScale*Arch_Roles*(AE229*(INDEX(tun_ElderRolePerSett,G229)*tun_OutElder*INDEX(LM_Elder,G229)+INDEX(tun_ShamanPerSett,G229)*tun_OutShaman)+Z229*(INDEX(tun_PriestShare,G229)*tun_OutPriest+INDEX(tun_ScribeShare,G229)*tun_OutScribe*INDEX(LM_Scribe,G229)+INDEX(tun_ScholarShare,G229)*tun_OutScholar*INDEX(LM_Scholar,G229)+INDEX(tun_ResearcherShare,G229)*tun_OutResearcher*INDEX(LM_Researcher,G229)))</x:f>
        <x:v>127.50555412239976</x:v>
      </x:c>
      <x:c r="AL229" s="32" t="n">
        <x:f>H229*tun_RoleScale*Arch_Roles*AE229*INDEX(tun_MonasteryPerSett,G229)*tun_OutMonastery*INDEX(LM_Monastery,G229)</x:f>
        <x:v>0</x:v>
      </x:c>
      <x:c r="AM229" s="32" t="n">
        <x:f>(AJ229+AK229+AL229)/4*INDEX(LM_All,G229)*INDEX(tun_Boon,G229)*Arch_Insight</x:f>
        <x:v>344.3905810771349</x:v>
      </x:c>
      <x:c r="AN229" s="32" t="n">
        <x:f>H229*(tun_KHPerAdult*Z229+tun_KHOfCommons*AJ229/4*INDEX(LM_All,G229))*tun_KHUsable*Arch_KH</x:f>
        <x:v>67.92798159675705</x:v>
      </x:c>
      <x:c r="AO229" s="32" t="n">
        <x:f>MIN(AP228+AN229,AM229*tun_KHMaxRatio)</x:f>
        <x:v>67.92798159675705</x:v>
      </x:c>
      <x:c r="AP229" s="32" t="n">
        <x:f>AP228+AN229-AO229</x:f>
        <x:v>0</x:v>
      </x:c>
      <x:c r="AQ229" s="32" t="n">
        <x:f>AM229+AO229</x:f>
        <x:v>412.31856267389196</x:v>
      </x:c>
      <x:c r="AR229" s="10" t="n">
        <x:f>IF(H229=1,INDEX(tun_Req,G229),0)</x:f>
        <x:v>21071.475087999996</x:v>
      </x:c>
      <x:c r="AS229" s="32" t="n">
        <x:f>IF(H229=1,IF(E229=1,AS228-AR228,AS228)+AQ229,0)</x:f>
        <x:v>15832.32607967258</x:v>
      </x:c>
      <x:c r="AT229" s="11" t="n">
        <x:f>IF(AR229&gt;0,MIN(1,AS229/AR229),1)</x:f>
        <x:v>0.7513629688264652</x:v>
      </x:c>
      <x:c r="AU229" s="10" t="n">
        <x:f>AB229/INDEX(tun_RepScale,G229)</x:f>
        <x:v>347.5819501752533</x:v>
      </x:c>
      <x:c r="AV229" s="32" t="n">
        <x:f>AM229*60/tun_SeasonSeconds</x:f>
        <x:v>1377.5623243085397</x:v>
      </x:c>
    </x:row>
    <x:row r="230">
      <x:c r="A230" s="8" t="n">
        <x:f>A229+1</x:f>
        <x:v>227</x:v>
      </x:c>
      <x:c r="B230" s="9" t="n">
        <x:f>A230*tun_SeasonSeconds/60</x:f>
        <x:v>56.75</x:v>
      </x:c>
      <x:c r="C230" s="9" t="n">
        <x:f>A230/4</x:f>
        <x:v>56.75</x:v>
      </x:c>
      <x:c r="D230" s="8" t="n">
        <x:f>IF(MOD(A230,4)=0,1,0)</x:f>
        <x:v>0</x:v>
      </x:c>
      <x:c r="E230" s="8" t="n">
        <x:f>IF(AND(F229&lt;=9,AS229&gt;=AR229),1,0)</x:f>
        <x:v>0</x:v>
      </x:c>
      <x:c r="F230" s="8" t="n">
        <x:f>MIN(10,F229+E230)</x:f>
        <x:v>4</x:v>
      </x:c>
      <x:c r="G230" s="8" t="n">
        <x:f>MIN(F230,9)+1</x:f>
        <x:v>5</x:v>
      </x:c>
      <x:c r="H230" s="8" t="n">
        <x:f>IF(F230&lt;=9,1,0)</x:f>
        <x:v>1</x:v>
      </x:c>
      <x:c r="I230" s="9" t="n">
        <x:f>MIN(10,F229+IF(AR229&gt;0,MIN(1,AS229/AR229),1))</x:f>
        <x:v>4.751362968826466</x:v>
      </x:c>
      <x:c r="J230" s="32" t="n">
        <x:f>INDEX(tun_FoodCap,G230)*Arch_FoodCap*EXP(tun_CapsByProject*SUMPRODUCT((Cap_Point&lt;=I230)*(Cap_Kind="Food")*Cap_Ln))</x:f>
        <x:v>372.89883457776335</x:v>
      </x:c>
      <x:c r="K230" s="32" t="n">
        <x:f>J230*MIN(1,tun_LeanBase*EXP(tun_CapsByProject*SUMPRODUCT((Cap_Point&lt;=I230)*(Cap_Kind="Lean")*Cap_Ln)))</x:f>
        <x:v>372.89883457776335</x:v>
      </x:c>
      <x:c r="L230" s="10" t="n">
        <x:f>INDEX(tun_HousingCap,G230)*EXP(tun_CapsByProject*SUMPRODUCT((Cap_Point&lt;=I230)*(Cap_Kind="Housing")*Cap_Ln))</x:f>
        <x:v>1981.8141431314853</x:v>
      </x:c>
      <x:c r="M230" s="10" t="n">
        <x:f>INDEX(tun_GroupCap,G230)*tun_CohesionFactor*EXP(tun_CapsByProject*SUMPRODUCT((Cap_Point&lt;=I230)*(Cap_Kind="Group")*Cap_Ln))</x:f>
        <x:v>50000.00000000004</x:v>
      </x:c>
      <x:c r="N230" s="32" t="n">
        <x:f>MIN(J230,L230,M230)</x:f>
        <x:v>372.89883457776335</x:v>
      </x:c>
      <x:c r="O230" s="10" t="n">
        <x:f>AE229*N230</x:f>
        <x:v>1118.69650373329</x:v>
      </x:c>
      <x:c r="P230" s="9" t="n">
        <x:f>MIN(1,(AB229/(AE229*IF(tun_GroupInCrowding=1,N230,MIN(J230,L230))))^tun_CrowdingExp)</x:f>
        <x:v>0.05757707294334599</x:v>
      </x:c>
      <x:c r="Q230" s="9" t="n">
        <x:f>IF(D230=1,INDEX(tun_WinterMult,G230),1)</x:f>
        <x:v>1</x:v>
      </x:c>
      <x:c r="R230" s="9" t="n">
        <x:f>H230*Z229*tun_WomenShare*tun_BaseFertility*INDEX(tun_FertMult,G230)*Arch_Fertility*(1-P230)</x:f>
        <x:v>18.049385302505158</x:v>
      </x:c>
      <x:c r="S230" s="9" t="n">
        <x:f>H230*Y229*INDEX(tun_MortChild,G230)/4*Q230</x:f>
        <x:v>2.8948678590116317</x:v>
      </x:c>
      <x:c r="T230" s="9" t="n">
        <x:f>H230*Z229*INDEX(tun_MortAdult,G230)*Arch_AdultMort/4*Q230</x:f>
        <x:v>0.6445420826497833</x:v>
      </x:c>
      <x:c r="U230" s="9" t="n">
        <x:f>H230*AA229*INDEX(tun_MortElder,G230)/4*Q230</x:f>
        <x:v>0.8432522353485672</x:v>
      </x:c>
      <x:c r="V230" s="9" t="n">
        <x:f>H230*MAX(0,AB229-O230)*tun_OvercapLoss</x:f>
        <x:v>0</x:v>
      </x:c>
      <x:c r="W230" s="9" t="n">
        <x:f>H230*Y229/(tun_ChildYears*4)</x:f>
        <x:v>6.8925425214562654</x:v>
      </x:c>
      <x:c r="X230" s="9" t="n">
        <x:f>H230*Z229/(tun_AdultYears*4)</x:f>
        <x:v>1.9801600081406552</x:v>
      </x:c>
      <x:c r="Y230" s="32" t="n">
        <x:f>Y229+R230-S230-W230-Y229*V230/AB229</x:f>
        <x:v>394.2443561235881</x:v>
      </x:c>
      <x:c r="Z230" s="32" t="n">
        <x:f>Z229+W230-X230-T230-Z229*V230/AB229</x:f>
        <x:v>249.80768144010707</x:v>
      </x:c>
      <x:c r="AA230" s="32" t="n">
        <x:f>AA229+X230-U230-AA229*V230/AB229</x:f>
        <x:v>64.7785859123066</x:v>
      </x:c>
      <x:c r="AB230" s="10" t="n">
        <x:f>Y230+Z230+AA230</x:f>
        <x:v>708.8306234760018</x:v>
      </x:c>
      <x:c r="AC230" s="8" t="n">
        <x:f>IF(AND(tun_WinterTrigger=1,D230=1,AB229/AE229&gt;=K230),1,0)</x:f>
        <x:v>0</x:v>
      </x:c>
      <x:c r="AD230" s="8" t="n">
        <x:f>H230*IF(AND(OR(AB229/AE229&gt;=tun_FissionTrigger*N230,AC230=1),AB229/AE229*tun_DaughterShare&gt;=tun_MinDaughter),MAX(1,ROUND(AE229*tun_FissionRate,0)),0)</x:f>
        <x:v>0</x:v>
      </x:c>
      <x:c r="AE230" s="8" t="n">
        <x:f>IF(H230=1,MAX(1,MIN(INDEX(tun_Smax,G230),AE229+AD230)),AE229)</x:f>
        <x:v>3</x:v>
      </x:c>
      <x:c r="AF230" s="8" t="n">
        <x:f>MAX(0,AE230-AE229)</x:f>
        <x:v>0</x:v>
      </x:c>
      <x:c r="AG230" s="9" t="str">
        <x:f>IF(AF230&gt;0,B230,"")</x:f>
      </x:c>
      <x:c r="AH230" s="9" t="n">
        <x:f>IF(F230&gt;=1,1,(1+tun_LowTiesShare*(AE230-1))/AE230)</x:f>
        <x:v>1</x:v>
      </x:c>
      <x:c r="AI230" s="32" t="n">
        <x:f>(Z230+tun_ElderCommons*INDEX(LM_Elder,G230)*AA230)*AH230</x:f>
        <x:v>444.14343917702683</x:v>
      </x:c>
      <x:c r="AJ230" s="32" t="n">
        <x:f>H230*tun_CommonsCoef*AI230^tun_CommonsExp*INDEX(LM_Commons,G230)</x:f>
        <x:v>1032.6954314088262</x:v>
      </x:c>
      <x:c r="AK230" s="32" t="n">
        <x:f>H230*tun_RoleScale*Arch_Roles*(AE230*(INDEX(tun_ElderRolePerSett,G230)*tun_OutElder*INDEX(LM_Elder,G230)+INDEX(tun_ShamanPerSett,G230)*tun_OutShaman)+Z230*(INDEX(tun_PriestShare,G230)*tun_OutPriest+INDEX(tun_ScribeShare,G230)*tun_OutScribe*INDEX(LM_Scribe,G230)+INDEX(tun_ScholarShare,G230)*tun_OutScholar*INDEX(LM_Scholar,G230)+INDEX(tun_ResearcherShare,G230)*tun_OutResearcher*INDEX(LM_Researcher,G230)))</x:f>
        <x:v>128.4703215794292</x:v>
      </x:c>
      <x:c r="AL230" s="32" t="n">
        <x:f>H230*tun_RoleScale*Arch_Roles*AE230*INDEX(tun_MonasteryPerSett,G230)*tun_OutMonastery*INDEX(LM_Monastery,G230)</x:f>
        <x:v>0</x:v>
      </x:c>
      <x:c r="AM230" s="32" t="n">
        <x:f>(AJ230+AK230+AL230)/4*INDEX(LM_All,G230)*INDEX(tun_Boon,G230)*Arch_Insight</x:f>
        <x:v>349.2512016016118</x:v>
      </x:c>
      <x:c r="AN230" s="32" t="n">
        <x:f>H230*(tun_KHPerAdult*Z230+tun_KHOfCommons*AJ230/4*INDEX(LM_All,G230))*tun_KHUsable*Arch_KH</x:f>
        <x:v>68.94242718318446</x:v>
      </x:c>
      <x:c r="AO230" s="32" t="n">
        <x:f>MIN(AP229+AN230,AM230*tun_KHMaxRatio)</x:f>
        <x:v>68.94242718318446</x:v>
      </x:c>
      <x:c r="AP230" s="32" t="n">
        <x:f>AP229+AN230-AO230</x:f>
        <x:v>0</x:v>
      </x:c>
      <x:c r="AQ230" s="32" t="n">
        <x:f>AM230+AO230</x:f>
        <x:v>418.19362878479626</x:v>
      </x:c>
      <x:c r="AR230" s="10" t="n">
        <x:f>IF(H230=1,INDEX(tun_Req,G230),0)</x:f>
        <x:v>21071.475087999996</x:v>
      </x:c>
      <x:c r="AS230" s="32" t="n">
        <x:f>IF(H230=1,IF(E230=1,AS229-AR229,AS229)+AQ230,0)</x:f>
        <x:v>16250.519708457377</x:v>
      </x:c>
      <x:c r="AT230" s="11" t="n">
        <x:f>IF(AR230&gt;0,MIN(1,AS230/AR230),1)</x:f>
        <x:v>0.7712094023124131</x:v>
      </x:c>
      <x:c r="AU230" s="10" t="n">
        <x:f>AB230/INDEX(tun_RepScale,G230)</x:f>
        <x:v>354.4153117380009</x:v>
      </x:c>
      <x:c r="AV230" s="32" t="n">
        <x:f>AM230*60/tun_SeasonSeconds</x:f>
        <x:v>1397.0048064064472</x:v>
      </x:c>
    </x:row>
    <x:row r="231">
      <x:c r="A231" s="8" t="n">
        <x:f>A230+1</x:f>
        <x:v>228</x:v>
      </x:c>
      <x:c r="B231" s="9" t="n">
        <x:f>A231*tun_SeasonSeconds/60</x:f>
        <x:v>57</x:v>
      </x:c>
      <x:c r="C231" s="9" t="n">
        <x:f>A231/4</x:f>
        <x:v>57</x:v>
      </x:c>
      <x:c r="D231" s="8" t="n">
        <x:f>IF(MOD(A231,4)=0,1,0)</x:f>
        <x:v>1</x:v>
      </x:c>
      <x:c r="E231" s="8" t="n">
        <x:f>IF(AND(F230&lt;=9,AS230&gt;=AR230),1,0)</x:f>
        <x:v>0</x:v>
      </x:c>
      <x:c r="F231" s="8" t="n">
        <x:f>MIN(10,F230+E231)</x:f>
        <x:v>4</x:v>
      </x:c>
      <x:c r="G231" s="8" t="n">
        <x:f>MIN(F231,9)+1</x:f>
        <x:v>5</x:v>
      </x:c>
      <x:c r="H231" s="8" t="n">
        <x:f>IF(F231&lt;=9,1,0)</x:f>
        <x:v>1</x:v>
      </x:c>
      <x:c r="I231" s="9" t="n">
        <x:f>MIN(10,F230+IF(AR230&gt;0,MIN(1,AS230/AR230),1))</x:f>
        <x:v>4.771209402312413</x:v>
      </x:c>
      <x:c r="J231" s="32" t="n">
        <x:f>INDEX(tun_FoodCap,G231)*Arch_FoodCap*EXP(tun_CapsByProject*SUMPRODUCT((Cap_Point&lt;=I231)*(Cap_Kind="Food")*Cap_Ln))</x:f>
        <x:v>372.89883457776335</x:v>
      </x:c>
      <x:c r="K231" s="32" t="n">
        <x:f>J231*MIN(1,tun_LeanBase*EXP(tun_CapsByProject*SUMPRODUCT((Cap_Point&lt;=I231)*(Cap_Kind="Lean")*Cap_Ln)))</x:f>
        <x:v>372.89883457776335</x:v>
      </x:c>
      <x:c r="L231" s="10" t="n">
        <x:f>INDEX(tun_HousingCap,G231)*EXP(tun_CapsByProject*SUMPRODUCT((Cap_Point&lt;=I231)*(Cap_Kind="Housing")*Cap_Ln))</x:f>
        <x:v>1981.8141431314853</x:v>
      </x:c>
      <x:c r="M231" s="10" t="n">
        <x:f>INDEX(tun_GroupCap,G231)*tun_CohesionFactor*EXP(tun_CapsByProject*SUMPRODUCT((Cap_Point&lt;=I231)*(Cap_Kind="Group")*Cap_Ln))</x:f>
        <x:v>50000.00000000004</x:v>
      </x:c>
      <x:c r="N231" s="32" t="n">
        <x:f>MIN(J231,L231,M231)</x:f>
        <x:v>372.89883457776335</x:v>
      </x:c>
      <x:c r="O231" s="10" t="n">
        <x:f>AE230*N231</x:f>
        <x:v>1118.69650373329</x:v>
      </x:c>
      <x:c r="P231" s="9" t="n">
        <x:f>MIN(1,(AB230/(AE230*IF(tun_GroupInCrowding=1,N231,MIN(J231,L231))))^tun_CrowdingExp)</x:f>
        <x:v>0.06471145241970093</x:v>
      </x:c>
      <x:c r="Q231" s="9" t="n">
        <x:f>IF(D231=1,INDEX(tun_WinterMult,G231),1)</x:f>
        <x:v>1.2</x:v>
      </x:c>
      <x:c r="R231" s="9" t="n">
        <x:f>H231*Z230*tun_WomenShare*tun_BaseFertility*INDEX(tun_FertMult,G231)*Arch_Fertility*(1-P231)</x:f>
        <x:v>18.22409655678454</x:v>
      </x:c>
      <x:c r="S231" s="9" t="n">
        <x:f>H231*Y230*INDEX(tun_MortChild,G231)/4*Q231</x:f>
        <x:v>3.5481992051122924</x:v>
      </x:c>
      <x:c r="T231" s="9" t="n">
        <x:f>H231*Z230*INDEX(tun_MortAdult,G231)*Arch_AdultMort/4*Q231</x:f>
        <x:v>0.7868941965363373</x:v>
      </x:c>
      <x:c r="U231" s="9" t="n">
        <x:f>H231*AA230*INDEX(tun_MortElder,G231)/4*Q231</x:f>
        <x:v>1.0299795160056748</x:v>
      </x:c>
      <x:c r="V231" s="9" t="n">
        <x:f>H231*MAX(0,AB230-O231)*tun_OvercapLoss</x:f>
        <x:v>0</x:v>
      </x:c>
      <x:c r="W231" s="9" t="n">
        <x:f>H231*Y230/(tun_ChildYears*4)</x:f>
        <x:v>7.0400777879212155</x:v>
      </x:c>
      <x:c r="X231" s="9" t="n">
        <x:f>H231*Z230/(tun_AdultYears*4)</x:f>
        <x:v>2.014578076129896</x:v>
      </x:c>
      <x:c r="Y231" s="32" t="n">
        <x:f>Y230+R231-S231-W231-Y230*V231/AB230</x:f>
        <x:v>401.88017568733915</x:v>
      </x:c>
      <x:c r="Z231" s="32" t="n">
        <x:f>Z230+W231-X231-T231-Z230*V231/AB230</x:f>
        <x:v>254.04628695536204</x:v>
      </x:c>
      <x:c r="AA231" s="32" t="n">
        <x:f>AA230+X231-U231-AA230*V231/AB230</x:f>
        <x:v>65.76318447243081</x:v>
      </x:c>
      <x:c r="AB231" s="10" t="n">
        <x:f>Y231+Z231+AA231</x:f>
        <x:v>721.689647115132</x:v>
      </x:c>
      <x:c r="AC231" s="8" t="n">
        <x:f>IF(AND(tun_WinterTrigger=1,D231=1,AB230/AE230&gt;=K231),1,0)</x:f>
        <x:v>0</x:v>
      </x:c>
      <x:c r="AD231" s="8" t="n">
        <x:f>H231*IF(AND(OR(AB230/AE230&gt;=tun_FissionTrigger*N231,AC231=1),AB230/AE230*tun_DaughterShare&gt;=tun_MinDaughter),MAX(1,ROUND(AE230*tun_FissionRate,0)),0)</x:f>
        <x:v>0</x:v>
      </x:c>
      <x:c r="AE231" s="8" t="n">
        <x:f>IF(H231=1,MAX(1,MIN(INDEX(tun_Smax,G231),AE230+AD231)),AE230)</x:f>
        <x:v>3</x:v>
      </x:c>
      <x:c r="AF231" s="8" t="n">
        <x:f>MAX(0,AE231-AE230)</x:f>
        <x:v>0</x:v>
      </x:c>
      <x:c r="AG231" s="9" t="str">
        <x:f>IF(AF231&gt;0,B231,"")</x:f>
      </x:c>
      <x:c r="AH231" s="9" t="n">
        <x:f>IF(F231&gt;=1,1,(1+tun_LowTiesShare*(AE231-1))/AE231)</x:f>
        <x:v>1</x:v>
      </x:c>
      <x:c r="AI231" s="32" t="n">
        <x:f>(Z231+tun_ElderCommons*INDEX(LM_Elder,G231)*AA231)*AH231</x:f>
        <x:v>451.3358403726545</x:v>
      </x:c>
      <x:c r="AJ231" s="32" t="n">
        <x:f>H231*tun_CommonsCoef*AI231^tun_CommonsExp*INDEX(LM_Commons,G231)</x:f>
        <x:v>1046.8931085569282</x:v>
      </x:c>
      <x:c r="AK231" s="32" t="n">
        <x:f>H231*tun_RoleScale*Arch_Roles*(AE231*(INDEX(tun_ElderRolePerSett,G231)*tun_OutElder*INDEX(LM_Elder,G231)+INDEX(tun_ShamanPerSett,G231)*tun_OutShaman)+Z231*(INDEX(tun_PriestShare,G231)*tun_OutPriest+INDEX(tun_ScribeShare,G231)*tun_OutScribe*INDEX(LM_Scribe,G231)+INDEX(tun_ScholarShare,G231)*tun_OutScholar*INDEX(LM_Scholar,G231)+INDEX(tun_ResearcherShare,G231)*tun_OutResearcher*INDEX(LM_Researcher,G231)))</x:f>
        <x:v>129.4284803322543</x:v>
      </x:c>
      <x:c r="AL231" s="32" t="n">
        <x:f>H231*tun_RoleScale*Arch_Roles*AE231*INDEX(tun_MonasteryPerSett,G231)*tun_OutMonastery*INDEX(LM_Monastery,G231)</x:f>
        <x:v>0</x:v>
      </x:c>
      <x:c r="AM231" s="32" t="n">
        <x:f>(AJ231+AK231+AL231)/4*INDEX(LM_All,G231)*INDEX(tun_Boon,G231)*Arch_Insight</x:f>
        <x:v>353.80971866608223</x:v>
      </x:c>
      <x:c r="AN231" s="32" t="n">
        <x:f>H231*(tun_KHPerAdult*Z231+tun_KHOfCommons*AJ231/4*INDEX(LM_All,G231))*tun_KHUsable*Arch_KH</x:f>
        <x:v>69.89025971268258</x:v>
      </x:c>
      <x:c r="AO231" s="32" t="n">
        <x:f>MIN(AP230+AN231,AM231*tun_KHMaxRatio)</x:f>
        <x:v>69.89025971268258</x:v>
      </x:c>
      <x:c r="AP231" s="32" t="n">
        <x:f>AP230+AN231-AO231</x:f>
        <x:v>0</x:v>
      </x:c>
      <x:c r="AQ231" s="32" t="n">
        <x:f>AM231+AO231</x:f>
        <x:v>423.6999783787648</x:v>
      </x:c>
      <x:c r="AR231" s="10" t="n">
        <x:f>IF(H231=1,INDEX(tun_Req,G231),0)</x:f>
        <x:v>21071.475087999996</x:v>
      </x:c>
      <x:c r="AS231" s="32" t="n">
        <x:f>IF(H231=1,IF(E231=1,AS230-AR230,AS230)+AQ231,0)</x:f>
        <x:v>16674.219686836143</x:v>
      </x:c>
      <x:c r="AT231" s="11" t="n">
        <x:f>IF(AR231&gt;0,MIN(1,AS231/AR231),1)</x:f>
        <x:v>0.7913171535073001</x:v>
      </x:c>
      <x:c r="AU231" s="10" t="n">
        <x:f>AB231/INDEX(tun_RepScale,G231)</x:f>
        <x:v>360.844823557566</x:v>
      </x:c>
      <x:c r="AV231" s="32" t="n">
        <x:f>AM231*60/tun_SeasonSeconds</x:f>
        <x:v>1415.238874664329</x:v>
      </x:c>
    </x:row>
    <x:row r="232">
      <x:c r="A232" s="8" t="n">
        <x:f>A231+1</x:f>
        <x:v>229</x:v>
      </x:c>
      <x:c r="B232" s="9" t="n">
        <x:f>A232*tun_SeasonSeconds/60</x:f>
        <x:v>57.25</x:v>
      </x:c>
      <x:c r="C232" s="9" t="n">
        <x:f>A232/4</x:f>
        <x:v>57.25</x:v>
      </x:c>
      <x:c r="D232" s="8" t="n">
        <x:f>IF(MOD(A232,4)=0,1,0)</x:f>
        <x:v>0</x:v>
      </x:c>
      <x:c r="E232" s="8" t="n">
        <x:f>IF(AND(F231&lt;=9,AS231&gt;=AR231),1,0)</x:f>
        <x:v>0</x:v>
      </x:c>
      <x:c r="F232" s="8" t="n">
        <x:f>MIN(10,F231+E232)</x:f>
        <x:v>4</x:v>
      </x:c>
      <x:c r="G232" s="8" t="n">
        <x:f>MIN(F232,9)+1</x:f>
        <x:v>5</x:v>
      </x:c>
      <x:c r="H232" s="8" t="n">
        <x:f>IF(F232&lt;=9,1,0)</x:f>
        <x:v>1</x:v>
      </x:c>
      <x:c r="I232" s="9" t="n">
        <x:f>MIN(10,F231+IF(AR231&gt;0,MIN(1,AS231/AR231),1))</x:f>
        <x:v>4.7913171535073005</x:v>
      </x:c>
      <x:c r="J232" s="32" t="n">
        <x:f>INDEX(tun_FoodCap,G232)*Arch_FoodCap*EXP(tun_CapsByProject*SUMPRODUCT((Cap_Point&lt;=I232)*(Cap_Kind="Food")*Cap_Ln))</x:f>
        <x:v>372.89883457776335</x:v>
      </x:c>
      <x:c r="K232" s="32" t="n">
        <x:f>J232*MIN(1,tun_LeanBase*EXP(tun_CapsByProject*SUMPRODUCT((Cap_Point&lt;=I232)*(Cap_Kind="Lean")*Cap_Ln)))</x:f>
        <x:v>372.89883457776335</x:v>
      </x:c>
      <x:c r="L232" s="10" t="n">
        <x:f>INDEX(tun_HousingCap,G232)*EXP(tun_CapsByProject*SUMPRODUCT((Cap_Point&lt;=I232)*(Cap_Kind="Housing")*Cap_Ln))</x:f>
        <x:v>1981.8141431314853</x:v>
      </x:c>
      <x:c r="M232" s="10" t="n">
        <x:f>INDEX(tun_GroupCap,G232)*tun_CohesionFactor*EXP(tun_CapsByProject*SUMPRODUCT((Cap_Point&lt;=I232)*(Cap_Kind="Group")*Cap_Ln))</x:f>
        <x:v>50000.00000000004</x:v>
      </x:c>
      <x:c r="N232" s="32" t="n">
        <x:f>MIN(J232,L232,M232)</x:f>
        <x:v>372.89883457776335</x:v>
      </x:c>
      <x:c r="O232" s="10" t="n">
        <x:f>AE231*N232</x:f>
        <x:v>1118.69650373329</x:v>
      </x:c>
      <x:c r="P232" s="9" t="n">
        <x:f>MIN(1,(AB231/(AE231*IF(tun_GroupInCrowding=1,N232,MIN(J232,L232))))^tun_CrowdingExp)</x:f>
        <x:v>0.07208238815043568</x:v>
      </x:c>
      <x:c r="Q232" s="9" t="n">
        <x:f>IF(D232=1,INDEX(tun_WinterMult,G232),1)</x:f>
        <x:v>1</x:v>
      </x:c>
      <x:c r="R232" s="9" t="n">
        <x:f>H232*Z231*tun_WomenShare*tun_BaseFertility*INDEX(tun_FertMult,G232)*Arch_Fertility*(1-P232)</x:f>
        <x:v>18.387253863487757</x:v>
      </x:c>
      <x:c r="S232" s="9" t="n">
        <x:f>H232*Y231*INDEX(tun_MortChild,G232)/4*Q232</x:f>
        <x:v>3.0141013176550433</x:v>
      </x:c>
      <x:c r="T232" s="9" t="n">
        <x:f>H232*Z231*INDEX(tun_MortAdult,G232)*Arch_AdultMort/4*Q232</x:f>
        <x:v>0.6668715032578254</x:v>
      </x:c>
      <x:c r="U232" s="9" t="n">
        <x:f>H232*AA231*INDEX(tun_MortElder,G232)/4*Q232</x:f>
        <x:v>0.8713621942597082</x:v>
      </x:c>
      <x:c r="V232" s="9" t="n">
        <x:f>H232*MAX(0,AB231-O232)*tun_OvercapLoss</x:f>
        <x:v>0</x:v>
      </x:c>
      <x:c r="W232" s="9" t="n">
        <x:f>H232*Y231/(tun_ChildYears*4)</x:f>
        <x:v>7.176431708702485</x:v>
      </x:c>
      <x:c r="X232" s="9" t="n">
        <x:f>H232*Z231/(tun_AdultYears*4)</x:f>
        <x:v>2.0487603786722746</x:v>
      </x:c>
      <x:c r="Y232" s="32" t="n">
        <x:f>Y231+R232-S232-W232-Y231*V232/AB231</x:f>
        <x:v>410.0768965244694</x:v>
      </x:c>
      <x:c r="Z232" s="32" t="n">
        <x:f>Z231+W232-X232-T232-Z231*V232/AB231</x:f>
        <x:v>258.5070867821344</x:v>
      </x:c>
      <x:c r="AA232" s="32" t="n">
        <x:f>AA231+X232-U232-AA231*V232/AB231</x:f>
        <x:v>66.94058265684338</x:v>
      </x:c>
      <x:c r="AB232" s="10" t="n">
        <x:f>Y232+Z232+AA232</x:f>
        <x:v>735.5245659634472</x:v>
      </x:c>
      <x:c r="AC232" s="8" t="n">
        <x:f>IF(AND(tun_WinterTrigger=1,D232=1,AB231/AE231&gt;=K232),1,0)</x:f>
        <x:v>0</x:v>
      </x:c>
      <x:c r="AD232" s="8" t="n">
        <x:f>H232*IF(AND(OR(AB231/AE231&gt;=tun_FissionTrigger*N232,AC232=1),AB231/AE231*tun_DaughterShare&gt;=tun_MinDaughter),MAX(1,ROUND(AE231*tun_FissionRate,0)),0)</x:f>
        <x:v>0</x:v>
      </x:c>
      <x:c r="AE232" s="8" t="n">
        <x:f>IF(H232=1,MAX(1,MIN(INDEX(tun_Smax,G232),AE231+AD232)),AE231)</x:f>
        <x:v>3</x:v>
      </x:c>
      <x:c r="AF232" s="8" t="n">
        <x:f>MAX(0,AE232-AE231)</x:f>
        <x:v>0</x:v>
      </x:c>
      <x:c r="AG232" s="9" t="str">
        <x:f>IF(AF232&gt;0,B232,"")</x:f>
      </x:c>
      <x:c r="AH232" s="9" t="n">
        <x:f>IF(F232&gt;=1,1,(1+tun_LowTiesShare*(AE232-1))/AE232)</x:f>
        <x:v>1</x:v>
      </x:c>
      <x:c r="AI232" s="32" t="n">
        <x:f>(Z232+tun_ElderCommons*INDEX(LM_Elder,G232)*AA232)*AH232</x:f>
        <x:v>459.32883475266453</x:v>
      </x:c>
      <x:c r="AJ232" s="32" t="n">
        <x:f>H232*tun_CommonsCoef*AI232^tun_CommonsExp*INDEX(LM_Commons,G232)</x:f>
        <x:v>1062.6314010835677</x:v>
      </x:c>
      <x:c r="AK232" s="32" t="n">
        <x:f>H232*tun_RoleScale*Arch_Roles*(AE232*(INDEX(tun_ElderRolePerSett,G232)*tun_OutElder*INDEX(LM_Elder,G232)+INDEX(tun_ShamanPerSett,G232)*tun_OutShaman)+Z232*(INDEX(tun_PriestShare,G232)*tun_OutPriest+INDEX(tun_ScribeShare,G232)*tun_OutScribe*INDEX(LM_Scribe,G232)+INDEX(tun_ScholarShare,G232)*tun_OutScholar*INDEX(LM_Scholar,G232)+INDEX(tun_ResearcherShare,G232)*tun_OutResearcher*INDEX(LM_Researcher,G232)))</x:f>
        <x:v>130.4368672612195</x:v>
      </x:c>
      <x:c r="AL232" s="32" t="n">
        <x:f>H232*tun_RoleScale*Arch_Roles*AE232*INDEX(tun_MonasteryPerSett,G232)*tun_OutMonastery*INDEX(LM_Monastery,G232)</x:f>
        <x:v>0</x:v>
      </x:c>
      <x:c r="AM232" s="32" t="n">
        <x:f>(AJ232+AK232+AL232)/4*INDEX(LM_All,G232)*INDEX(tun_Boon,G232)*Arch_Insight</x:f>
        <x:v>358.84672385475153</x:v>
      </x:c>
      <x:c r="AN232" s="32" t="n">
        <x:f>H232*(tun_KHPerAdult*Z232+tun_KHOfCommons*AJ232/4*INDEX(LM_All,G232))*tun_KHUsable*Arch_KH</x:f>
        <x:v>70.94094324773539</x:v>
      </x:c>
      <x:c r="AO232" s="32" t="n">
        <x:f>MIN(AP231+AN232,AM232*tun_KHMaxRatio)</x:f>
        <x:v>70.94094324773539</x:v>
      </x:c>
      <x:c r="AP232" s="32" t="n">
        <x:f>AP231+AN232-AO232</x:f>
        <x:v>0</x:v>
      </x:c>
      <x:c r="AQ232" s="32" t="n">
        <x:f>AM232+AO232</x:f>
        <x:v>429.7876671024869</x:v>
      </x:c>
      <x:c r="AR232" s="10" t="n">
        <x:f>IF(H232=1,INDEX(tun_Req,G232),0)</x:f>
        <x:v>21071.475087999996</x:v>
      </x:c>
      <x:c r="AS232" s="32" t="n">
        <x:f>IF(H232=1,IF(E232=1,AS231-AR231,AS231)+AQ232,0)</x:f>
        <x:v>17104.00735393863</x:v>
      </x:c>
      <x:c r="AT232" s="11" t="n">
        <x:f>IF(AR232&gt;0,MIN(1,AS232/AR232),1)</x:f>
        <x:v>0.8117138113258714</x:v>
      </x:c>
      <x:c r="AU232" s="10" t="n">
        <x:f>AB232/INDEX(tun_RepScale,G232)</x:f>
        <x:v>367.7622829817236</x:v>
      </x:c>
      <x:c r="AV232" s="32" t="n">
        <x:f>AM232*60/tun_SeasonSeconds</x:f>
        <x:v>1435.3868954190061</x:v>
      </x:c>
    </x:row>
    <x:row r="233">
      <x:c r="A233" s="8" t="n">
        <x:f>A232+1</x:f>
        <x:v>230</x:v>
      </x:c>
      <x:c r="B233" s="9" t="n">
        <x:f>A233*tun_SeasonSeconds/60</x:f>
        <x:v>57.5</x:v>
      </x:c>
      <x:c r="C233" s="9" t="n">
        <x:f>A233/4</x:f>
        <x:v>57.5</x:v>
      </x:c>
      <x:c r="D233" s="8" t="n">
        <x:f>IF(MOD(A233,4)=0,1,0)</x:f>
        <x:v>0</x:v>
      </x:c>
      <x:c r="E233" s="8" t="n">
        <x:f>IF(AND(F232&lt;=9,AS232&gt;=AR232),1,0)</x:f>
        <x:v>0</x:v>
      </x:c>
      <x:c r="F233" s="8" t="n">
        <x:f>MIN(10,F232+E233)</x:f>
        <x:v>4</x:v>
      </x:c>
      <x:c r="G233" s="8" t="n">
        <x:f>MIN(F233,9)+1</x:f>
        <x:v>5</x:v>
      </x:c>
      <x:c r="H233" s="8" t="n">
        <x:f>IF(F233&lt;=9,1,0)</x:f>
        <x:v>1</x:v>
      </x:c>
      <x:c r="I233" s="9" t="n">
        <x:f>MIN(10,F232+IF(AR232&gt;0,MIN(1,AS232/AR232),1))</x:f>
        <x:v>4.8117138113258715</x:v>
      </x:c>
      <x:c r="J233" s="32" t="n">
        <x:f>INDEX(tun_FoodCap,G233)*Arch_FoodCap*EXP(tun_CapsByProject*SUMPRODUCT((Cap_Point&lt;=I233)*(Cap_Kind="Food")*Cap_Ln))</x:f>
        <x:v>372.89883457776335</x:v>
      </x:c>
      <x:c r="K233" s="32" t="n">
        <x:f>J233*MIN(1,tun_LeanBase*EXP(tun_CapsByProject*SUMPRODUCT((Cap_Point&lt;=I233)*(Cap_Kind="Lean")*Cap_Ln)))</x:f>
        <x:v>372.89883457776335</x:v>
      </x:c>
      <x:c r="L233" s="10" t="n">
        <x:f>INDEX(tun_HousingCap,G233)*EXP(tun_CapsByProject*SUMPRODUCT((Cap_Point&lt;=I233)*(Cap_Kind="Housing")*Cap_Ln))</x:f>
        <x:v>1981.8141431314853</x:v>
      </x:c>
      <x:c r="M233" s="10" t="n">
        <x:f>INDEX(tun_GroupCap,G233)*tun_CohesionFactor*EXP(tun_CapsByProject*SUMPRODUCT((Cap_Point&lt;=I233)*(Cap_Kind="Group")*Cap_Ln))</x:f>
        <x:v>50000.00000000004</x:v>
      </x:c>
      <x:c r="N233" s="32" t="n">
        <x:f>MIN(J233,L233,M233)</x:f>
        <x:v>372.89883457776335</x:v>
      </x:c>
      <x:c r="O233" s="10" t="n">
        <x:f>AE232*N233</x:f>
        <x:v>1118.69650373329</x:v>
      </x:c>
      <x:c r="P233" s="9" t="n">
        <x:f>MIN(1,(AB232/(AE232*IF(tun_GroupInCrowding=1,N233,MIN(J233,L233))))^tun_CrowdingExp)</x:f>
        <x:v>0.08078103436026686</x:v>
      </x:c>
      <x:c r="Q233" s="9" t="n">
        <x:f>IF(D233=1,INDEX(tun_WinterMult,G233),1)</x:f>
        <x:v>1</x:v>
      </x:c>
      <x:c r="R233" s="9" t="n">
        <x:f>H233*Z232*tun_WomenShare*tun_BaseFertility*INDEX(tun_FertMult,G233)*Arch_Fertility*(1-P233)</x:f>
        <x:v>18.534720119948318</x:v>
      </x:c>
      <x:c r="S233" s="9" t="n">
        <x:f>H233*Y232*INDEX(tun_MortChild,G233)/4*Q233</x:f>
        <x:v>3.0755767239335206</x:v>
      </x:c>
      <x:c r="T233" s="9" t="n">
        <x:f>H233*Z232*INDEX(tun_MortAdult,G233)*Arch_AdultMort/4*Q233</x:f>
        <x:v>0.6785811028031029</x:v>
      </x:c>
      <x:c r="U233" s="9" t="n">
        <x:f>H233*AA232*INDEX(tun_MortElder,G233)/4*Q233</x:f>
        <x:v>0.8869627202031747</x:v>
      </x:c>
      <x:c r="V233" s="9" t="n">
        <x:f>H233*MAX(0,AB232-O233)*tun_OvercapLoss</x:f>
        <x:v>0</x:v>
      </x:c>
      <x:c r="W233" s="9" t="n">
        <x:f>H233*Y232/(tun_ChildYears*4)</x:f>
        <x:v>7.3228017236512395</x:v>
      </x:c>
      <x:c r="X233" s="9" t="n">
        <x:f>H233*Z232/(tun_AdultYears*4)</x:f>
        <x:v>2.084734570823665</x:v>
      </x:c>
      <x:c r="Y233" s="32" t="n">
        <x:f>Y232+R233-S233-W233-Y232*V233/AB232</x:f>
        <x:v>418.21323819683295</x:v>
      </x:c>
      <x:c r="Z233" s="32" t="n">
        <x:f>Z232+W233-X233-T233-Z232*V233/AB232</x:f>
        <x:v>263.0665728321589</x:v>
      </x:c>
      <x:c r="AA233" s="32" t="n">
        <x:f>AA232+X233-U233-AA232*V233/AB232</x:f>
        <x:v>68.13835450746387</x:v>
      </x:c>
      <x:c r="AB233" s="10" t="n">
        <x:f>Y233+Z233+AA233</x:f>
        <x:v>749.4181655364557</x:v>
      </x:c>
      <x:c r="AC233" s="8" t="n">
        <x:f>IF(AND(tun_WinterTrigger=1,D233=1,AB232/AE232&gt;=K233),1,0)</x:f>
        <x:v>0</x:v>
      </x:c>
      <x:c r="AD233" s="8" t="n">
        <x:f>H233*IF(AND(OR(AB232/AE232&gt;=tun_FissionTrigger*N233,AC233=1),AB232/AE232*tun_DaughterShare&gt;=tun_MinDaughter),MAX(1,ROUND(AE232*tun_FissionRate,0)),0)</x:f>
        <x:v>0</x:v>
      </x:c>
      <x:c r="AE233" s="8" t="n">
        <x:f>IF(H233=1,MAX(1,MIN(INDEX(tun_Smax,G233),AE232+AD233)),AE232)</x:f>
        <x:v>3</x:v>
      </x:c>
      <x:c r="AF233" s="8" t="n">
        <x:f>MAX(0,AE233-AE232)</x:f>
        <x:v>0</x:v>
      </x:c>
      <x:c r="AG233" s="9" t="str">
        <x:f>IF(AF233&gt;0,B233,"")</x:f>
      </x:c>
      <x:c r="AH233" s="9" t="n">
        <x:f>IF(F233&gt;=1,1,(1+tun_LowTiesShare*(AE233-1))/AE233)</x:f>
        <x:v>1</x:v>
      </x:c>
      <x:c r="AI233" s="32" t="n">
        <x:f>(Z233+tun_ElderCommons*INDEX(LM_Elder,G233)*AA233)*AH233</x:f>
        <x:v>467.4816363545505</x:v>
      </x:c>
      <x:c r="AJ233" s="32" t="n">
        <x:f>H233*tun_CommonsCoef*AI233^tun_CommonsExp*INDEX(LM_Commons,G233)</x:f>
        <x:v>1078.6420936228885</x:v>
      </x:c>
      <x:c r="AK233" s="32" t="n">
        <x:f>H233*tun_RoleScale*Arch_Roles*(AE233*(INDEX(tun_ElderRolePerSett,G233)*tun_OutElder*INDEX(LM_Elder,G233)+INDEX(tun_ShamanPerSett,G233)*tun_OutShaman)+Z233*(INDEX(tun_PriestShare,G233)*tun_OutPriest+INDEX(tun_ScribeShare,G233)*tun_OutScribe*INDEX(LM_Scribe,G233)+INDEX(tun_ScholarShare,G233)*tun_OutScholar*INDEX(LM_Scholar,G233)+INDEX(tun_ResearcherShare,G233)*tun_OutResearcher*INDEX(LM_Researcher,G233)))</x:f>
        <x:v>131.467562722614</x:v>
      </x:c>
      <x:c r="AL233" s="32" t="n">
        <x:f>H233*tun_RoleScale*Arch_Roles*AE233*INDEX(tun_MonasteryPerSett,G233)*tun_OutMonastery*INDEX(LM_Monastery,G233)</x:f>
        <x:v>0</x:v>
      </x:c>
      <x:c r="AM233" s="32" t="n">
        <x:f>(AJ233+AK233+AL233)/4*INDEX(LM_All,G233)*INDEX(tun_Boon,G233)*Arch_Insight</x:f>
        <x:v>363.972370405119</x:v>
      </x:c>
      <x:c r="AN233" s="32" t="n">
        <x:f>H233*(tun_KHPerAdult*Z233+tun_KHOfCommons*AJ233/4*INDEX(LM_All,G233))*tun_KHUsable*Arch_KH</x:f>
        <x:v>72.00981212327464</x:v>
      </x:c>
      <x:c r="AO233" s="32" t="n">
        <x:f>MIN(AP232+AN233,AM233*tun_KHMaxRatio)</x:f>
        <x:v>72.00981212327464</x:v>
      </x:c>
      <x:c r="AP233" s="32" t="n">
        <x:f>AP232+AN233-AO233</x:f>
        <x:v>0</x:v>
      </x:c>
      <x:c r="AQ233" s="32" t="n">
        <x:f>AM233+AO233</x:f>
        <x:v>435.98218252839365</x:v>
      </x:c>
      <x:c r="AR233" s="10" t="n">
        <x:f>IF(H233=1,INDEX(tun_Req,G233),0)</x:f>
        <x:v>21071.475087999996</x:v>
      </x:c>
      <x:c r="AS233" s="32" t="n">
        <x:f>IF(H233=1,IF(E233=1,AS232-AR232,AS232)+AQ233,0)</x:f>
        <x:v>17539.989536467023</x:v>
      </x:c>
      <x:c r="AT233" s="11" t="n">
        <x:f>IF(AR233&gt;0,MIN(1,AS233/AR233),1)</x:f>
        <x:v>0.8324044454987339</x:v>
      </x:c>
      <x:c r="AU233" s="10" t="n">
        <x:f>AB233/INDEX(tun_RepScale,G233)</x:f>
        <x:v>374.70908276822786</x:v>
      </x:c>
      <x:c r="AV233" s="32" t="n">
        <x:f>AM233*60/tun_SeasonSeconds</x:f>
        <x:v>1455.889481620476</x:v>
      </x:c>
    </x:row>
    <x:row r="234">
      <x:c r="A234" s="8" t="n">
        <x:f>A233+1</x:f>
        <x:v>231</x:v>
      </x:c>
      <x:c r="B234" s="9" t="n">
        <x:f>A234*tun_SeasonSeconds/60</x:f>
        <x:v>57.75</x:v>
      </x:c>
      <x:c r="C234" s="9" t="n">
        <x:f>A234/4</x:f>
        <x:v>57.75</x:v>
      </x:c>
      <x:c r="D234" s="8" t="n">
        <x:f>IF(MOD(A234,4)=0,1,0)</x:f>
        <x:v>0</x:v>
      </x:c>
      <x:c r="E234" s="8" t="n">
        <x:f>IF(AND(F233&lt;=9,AS233&gt;=AR233),1,0)</x:f>
        <x:v>0</x:v>
      </x:c>
      <x:c r="F234" s="8" t="n">
        <x:f>MIN(10,F233+E234)</x:f>
        <x:v>4</x:v>
      </x:c>
      <x:c r="G234" s="8" t="n">
        <x:f>MIN(F234,9)+1</x:f>
        <x:v>5</x:v>
      </x:c>
      <x:c r="H234" s="8" t="n">
        <x:f>IF(F234&lt;=9,1,0)</x:f>
        <x:v>1</x:v>
      </x:c>
      <x:c r="I234" s="9" t="n">
        <x:f>MIN(10,F233+IF(AR233&gt;0,MIN(1,AS233/AR233),1))</x:f>
        <x:v>4.832404445498734</x:v>
      </x:c>
      <x:c r="J234" s="32" t="n">
        <x:f>INDEX(tun_FoodCap,G234)*Arch_FoodCap*EXP(tun_CapsByProject*SUMPRODUCT((Cap_Point&lt;=I234)*(Cap_Kind="Food")*Cap_Ln))</x:f>
        <x:v>372.89883457776335</x:v>
      </x:c>
      <x:c r="K234" s="32" t="n">
        <x:f>J234*MIN(1,tun_LeanBase*EXP(tun_CapsByProject*SUMPRODUCT((Cap_Point&lt;=I234)*(Cap_Kind="Lean")*Cap_Ln)))</x:f>
        <x:v>372.89883457776335</x:v>
      </x:c>
      <x:c r="L234" s="10" t="n">
        <x:f>INDEX(tun_HousingCap,G234)*EXP(tun_CapsByProject*SUMPRODUCT((Cap_Point&lt;=I234)*(Cap_Kind="Housing")*Cap_Ln))</x:f>
        <x:v>1981.8141431314853</x:v>
      </x:c>
      <x:c r="M234" s="10" t="n">
        <x:f>INDEX(tun_GroupCap,G234)*tun_CohesionFactor*EXP(tun_CapsByProject*SUMPRODUCT((Cap_Point&lt;=I234)*(Cap_Kind="Group")*Cap_Ln))</x:f>
        <x:v>50000.00000000004</x:v>
      </x:c>
      <x:c r="N234" s="32" t="n">
        <x:f>MIN(J234,L234,M234)</x:f>
        <x:v>372.89883457776335</x:v>
      </x:c>
      <x:c r="O234" s="10" t="n">
        <x:f>AE233*N234</x:f>
        <x:v>1118.69650373329</x:v>
      </x:c>
      <x:c r="P234" s="9" t="n">
        <x:f>MIN(1,(AB233/(AE233*IF(tun_GroupInCrowding=1,N234,MIN(J234,L234))))^tun_CrowdingExp)</x:f>
        <x:v>0.09037984894944529</x:v>
      </x:c>
      <x:c r="Q234" s="9" t="n">
        <x:f>IF(D234=1,INDEX(tun_WinterMult,G234),1)</x:f>
        <x:v>1</x:v>
      </x:c>
      <x:c r="R234" s="9" t="n">
        <x:f>H234*Z233*tun_WomenShare*tun_BaseFertility*INDEX(tun_FertMult,G234)*Arch_Fertility*(1-P234)</x:f>
        <x:v>18.66467114584333</x:v>
      </x:c>
      <x:c r="S234" s="9" t="n">
        <x:f>H234*Y233*INDEX(tun_MortChild,G234)/4*Q234</x:f>
        <x:v>3.136599286476247</x:v>
      </x:c>
      <x:c r="T234" s="9" t="n">
        <x:f>H234*Z233*INDEX(tun_MortAdult,G234)*Arch_AdultMort/4*Q234</x:f>
        <x:v>0.6905497536844172</x:v>
      </x:c>
      <x:c r="U234" s="9" t="n">
        <x:f>H234*AA233*INDEX(tun_MortElder,G234)/4*Q234</x:f>
        <x:v>0.9028331972238963</x:v>
      </x:c>
      <x:c r="V234" s="9" t="n">
        <x:f>H234*MAX(0,AB233-O234)*tun_OvercapLoss</x:f>
        <x:v>0</x:v>
      </x:c>
      <x:c r="W234" s="9" t="n">
        <x:f>H234*Y233/(tun_ChildYears*4)</x:f>
        <x:v>7.46809353922916</x:v>
      </x:c>
      <x:c r="X234" s="9" t="n">
        <x:f>H234*Z233/(tun_AdultYears*4)</x:f>
        <x:v>2.1215046196141847</x:v>
      </x:c>
      <x:c r="Y234" s="32" t="n">
        <x:f>Y233+R234-S234-W234-Y233*V234/AB233</x:f>
        <x:v>426.2732165169708</x:v>
      </x:c>
      <x:c r="Z234" s="32" t="n">
        <x:f>Z233+W234-X234-T234-Z233*V234/AB233</x:f>
        <x:v>267.72261199808946</x:v>
      </x:c>
      <x:c r="AA234" s="32" t="n">
        <x:f>AA233+X234-U234-AA233*V234/AB233</x:f>
        <x:v>69.35702592985416</x:v>
      </x:c>
      <x:c r="AB234" s="10" t="n">
        <x:f>Y234+Z234+AA234</x:f>
        <x:v>763.3528544449146</x:v>
      </x:c>
      <x:c r="AC234" s="8" t="n">
        <x:f>IF(AND(tun_WinterTrigger=1,D234=1,AB233/AE233&gt;=K234),1,0)</x:f>
        <x:v>0</x:v>
      </x:c>
      <x:c r="AD234" s="8" t="n">
        <x:f>H234*IF(AND(OR(AB233/AE233&gt;=tun_FissionTrigger*N234,AC234=1),AB233/AE233*tun_DaughterShare&gt;=tun_MinDaughter),MAX(1,ROUND(AE233*tun_FissionRate,0)),0)</x:f>
        <x:v>0</x:v>
      </x:c>
      <x:c r="AE234" s="8" t="n">
        <x:f>IF(H234=1,MAX(1,MIN(INDEX(tun_Smax,G234),AE233+AD234)),AE233)</x:f>
        <x:v>3</x:v>
      </x:c>
      <x:c r="AF234" s="8" t="n">
        <x:f>MAX(0,AE234-AE233)</x:f>
        <x:v>0</x:v>
      </x:c>
      <x:c r="AG234" s="9" t="str">
        <x:f>IF(AF234&gt;0,B234,"")</x:f>
      </x:c>
      <x:c r="AH234" s="9" t="n">
        <x:f>IF(F234&gt;=1,1,(1+tun_LowTiesShare*(AE234-1))/AE234)</x:f>
        <x:v>1</x:v>
      </x:c>
      <x:c r="AI234" s="32" t="n">
        <x:f>(Z234+tun_ElderCommons*INDEX(LM_Elder,G234)*AA234)*AH234</x:f>
        <x:v>475.79368978765194</x:v>
      </x:c>
      <x:c r="AJ234" s="32" t="n">
        <x:f>H234*tun_CommonsCoef*AI234^tun_CommonsExp*INDEX(LM_Commons,G234)</x:f>
        <x:v>1094.9224700442626</x:v>
      </x:c>
      <x:c r="AK234" s="32" t="n">
        <x:f>H234*tun_RoleScale*Arch_Roles*(AE234*(INDEX(tun_ElderRolePerSett,G234)*tun_OutElder*INDEX(LM_Elder,G234)+INDEX(tun_ShamanPerSett,G234)*tun_OutShaman)+Z234*(INDEX(tun_PriestShare,G234)*tun_OutPriest+INDEX(tun_ScribeShare,G234)*tun_OutScribe*INDEX(LM_Scribe,G234)+INDEX(tun_ScholarShare,G234)*tun_OutScholar*INDEX(LM_Scholar,G234)+INDEX(tun_ResearcherShare,G234)*tun_OutResearcher*INDEX(LM_Researcher,G234)))</x:f>
        <x:v>132.52008451646265</x:v>
      </x:c>
      <x:c r="AL234" s="32" t="n">
        <x:f>H234*tun_RoleScale*Arch_Roles*AE234*INDEX(tun_MonasteryPerSett,G234)*tun_OutMonastery*INDEX(LM_Monastery,G234)</x:f>
        <x:v>0</x:v>
      </x:c>
      <x:c r="AM234" s="32" t="n">
        <x:f>(AJ234+AK234+AL234)/4*INDEX(LM_All,G234)*INDEX(tun_Boon,G234)*Arch_Insight</x:f>
        <x:v>369.1856963349669</x:v>
      </x:c>
      <x:c r="AN234" s="32" t="n">
        <x:f>H234*(tun_KHPerAdult*Z234+tun_KHOfCommons*AJ234/4*INDEX(LM_All,G234))*tun_KHUsable*Arch_KH</x:f>
        <x:v>73.0966850112608</x:v>
      </x:c>
      <x:c r="AO234" s="32" t="n">
        <x:f>MIN(AP233+AN234,AM234*tun_KHMaxRatio)</x:f>
        <x:v>73.0966850112608</x:v>
      </x:c>
      <x:c r="AP234" s="32" t="n">
        <x:f>AP233+AN234-AO234</x:f>
        <x:v>0</x:v>
      </x:c>
      <x:c r="AQ234" s="32" t="n">
        <x:f>AM234+AO234</x:f>
        <x:v>442.2823813462277</x:v>
      </x:c>
      <x:c r="AR234" s="10" t="n">
        <x:f>IF(H234=1,INDEX(tun_Req,G234),0)</x:f>
        <x:v>21071.475087999996</x:v>
      </x:c>
      <x:c r="AS234" s="32" t="n">
        <x:f>IF(H234=1,IF(E234=1,AS233-AR233,AS233)+AQ234,0)</x:f>
        <x:v>17982.27191781325</x:v>
      </x:c>
      <x:c r="AT234" s="11" t="n">
        <x:f>IF(AR234&gt;0,MIN(1,AS234/AR234),1)</x:f>
        <x:v>0.8533940714978223</x:v>
      </x:c>
      <x:c r="AU234" s="10" t="n">
        <x:f>AB234/INDEX(tun_RepScale,G234)</x:f>
        <x:v>381.6764272224573</x:v>
      </x:c>
      <x:c r="AV234" s="32" t="n">
        <x:f>AM234*60/tun_SeasonSeconds</x:f>
        <x:v>1476.7427853398674</x:v>
      </x:c>
    </x:row>
    <x:row r="235">
      <x:c r="A235" s="8" t="n">
        <x:f>A234+1</x:f>
        <x:v>232</x:v>
      </x:c>
      <x:c r="B235" s="9" t="n">
        <x:f>A235*tun_SeasonSeconds/60</x:f>
        <x:v>58</x:v>
      </x:c>
      <x:c r="C235" s="9" t="n">
        <x:f>A235/4</x:f>
        <x:v>58</x:v>
      </x:c>
      <x:c r="D235" s="8" t="n">
        <x:f>IF(MOD(A235,4)=0,1,0)</x:f>
        <x:v>1</x:v>
      </x:c>
      <x:c r="E235" s="8" t="n">
        <x:f>IF(AND(F234&lt;=9,AS234&gt;=AR234),1,0)</x:f>
        <x:v>0</x:v>
      </x:c>
      <x:c r="F235" s="8" t="n">
        <x:f>MIN(10,F234+E235)</x:f>
        <x:v>4</x:v>
      </x:c>
      <x:c r="G235" s="8" t="n">
        <x:f>MIN(F235,9)+1</x:f>
        <x:v>5</x:v>
      </x:c>
      <x:c r="H235" s="8" t="n">
        <x:f>IF(F235&lt;=9,1,0)</x:f>
        <x:v>1</x:v>
      </x:c>
      <x:c r="I235" s="9" t="n">
        <x:f>MIN(10,F234+IF(AR234&gt;0,MIN(1,AS234/AR234),1))</x:f>
        <x:v>4.8533940714978225</x:v>
      </x:c>
      <x:c r="J235" s="32" t="n">
        <x:f>INDEX(tun_FoodCap,G235)*Arch_FoodCap*EXP(tun_CapsByProject*SUMPRODUCT((Cap_Point&lt;=I235)*(Cap_Kind="Food")*Cap_Ln))</x:f>
        <x:v>372.89883457776335</x:v>
      </x:c>
      <x:c r="K235" s="32" t="n">
        <x:f>J235*MIN(1,tun_LeanBase*EXP(tun_CapsByProject*SUMPRODUCT((Cap_Point&lt;=I235)*(Cap_Kind="Lean")*Cap_Ln)))</x:f>
        <x:v>372.89883457776335</x:v>
      </x:c>
      <x:c r="L235" s="10" t="n">
        <x:f>INDEX(tun_HousingCap,G235)*EXP(tun_CapsByProject*SUMPRODUCT((Cap_Point&lt;=I235)*(Cap_Kind="Housing")*Cap_Ln))</x:f>
        <x:v>1981.8141431314853</x:v>
      </x:c>
      <x:c r="M235" s="10" t="n">
        <x:f>INDEX(tun_GroupCap,G235)*tun_CohesionFactor*EXP(tun_CapsByProject*SUMPRODUCT((Cap_Point&lt;=I235)*(Cap_Kind="Group")*Cap_Ln))</x:f>
        <x:v>50000.00000000004</x:v>
      </x:c>
      <x:c r="N235" s="32" t="n">
        <x:f>MIN(J235,L235,M235)</x:f>
        <x:v>372.89883457776335</x:v>
      </x:c>
      <x:c r="O235" s="10" t="n">
        <x:f>AE234*N235</x:f>
        <x:v>1118.69650373329</x:v>
      </x:c>
      <x:c r="P235" s="9" t="n">
        <x:f>MIN(1,(AB234/(AE234*IF(tun_GroupInCrowding=1,N235,MIN(J235,L235))))^tun_CrowdingExp)</x:f>
        <x:v>0.10094349067845612</x:v>
      </x:c>
      <x:c r="Q235" s="9" t="n">
        <x:f>IF(D235=1,INDEX(tun_WinterMult,G235),1)</x:f>
        <x:v>1.2</x:v>
      </x:c>
      <x:c r="R235" s="9" t="n">
        <x:f>H235*Z234*tun_WomenShare*tun_BaseFertility*INDEX(tun_FertMult,G235)*Arch_Fertility*(1-P235)</x:f>
        <x:v>18.774425046736976</x:v>
      </x:c>
      <x:c r="S235" s="9" t="n">
        <x:f>H235*Y234*INDEX(tun_MortChild,G235)/4*Q235</x:f>
        <x:v>3.836458948652737</x:v>
      </x:c>
      <x:c r="T235" s="9" t="n">
        <x:f>H235*Z234*INDEX(tun_MortAdult,G235)*Arch_AdultMort/4*Q235</x:f>
        <x:v>0.8433262277939818</x:v>
      </x:c>
      <x:c r="U235" s="9" t="n">
        <x:f>H235*AA234*INDEX(tun_MortElder,G235)/4*Q235</x:f>
        <x:v>1.102776712284681</x:v>
      </x:c>
      <x:c r="V235" s="9" t="n">
        <x:f>H235*MAX(0,AB234-O235)*tun_OvercapLoss</x:f>
        <x:v>0</x:v>
      </x:c>
      <x:c r="W235" s="9" t="n">
        <x:f>H235*Y234/(tun_ChildYears*4)</x:f>
        <x:v>7.612021723517336</x:v>
      </x:c>
      <x:c r="X235" s="9" t="n">
        <x:f>H235*Z234/(tun_AdultYears*4)</x:f>
        <x:v>2.1590533225652377</x:v>
      </x:c>
      <x:c r="Y235" s="32" t="n">
        <x:f>Y234+R235-S235-W235-Y234*V235/AB234</x:f>
        <x:v>433.5991608915377</x:v>
      </x:c>
      <x:c r="Z235" s="32" t="n">
        <x:f>Z234+W235-X235-T235-Z234*V235/AB234</x:f>
        <x:v>272.3322541712476</x:v>
      </x:c>
      <x:c r="AA235" s="32" t="n">
        <x:f>AA234+X235-U235-AA234*V235/AB234</x:f>
        <x:v>70.41330254013472</x:v>
      </x:c>
      <x:c r="AB235" s="10" t="n">
        <x:f>Y235+Z235+AA235</x:f>
        <x:v>776.34471760292</x:v>
      </x:c>
      <x:c r="AC235" s="8" t="n">
        <x:f>IF(AND(tun_WinterTrigger=1,D235=1,AB234/AE234&gt;=K235),1,0)</x:f>
        <x:v>0</x:v>
      </x:c>
      <x:c r="AD235" s="8" t="n">
        <x:f>H235*IF(AND(OR(AB234/AE234&gt;=tun_FissionTrigger*N235,AC235=1),AB234/AE234*tun_DaughterShare&gt;=tun_MinDaughter),MAX(1,ROUND(AE234*tun_FissionRate,0)),0)</x:f>
        <x:v>0</x:v>
      </x:c>
      <x:c r="AE235" s="8" t="n">
        <x:f>IF(H235=1,MAX(1,MIN(INDEX(tun_Smax,G235),AE234+AD235)),AE234)</x:f>
        <x:v>3</x:v>
      </x:c>
      <x:c r="AF235" s="8" t="n">
        <x:f>MAX(0,AE235-AE234)</x:f>
        <x:v>0</x:v>
      </x:c>
      <x:c r="AG235" s="9" t="str">
        <x:f>IF(AF235&gt;0,B235,"")</x:f>
      </x:c>
      <x:c r="AH235" s="9" t="n">
        <x:f>IF(F235&gt;=1,1,(1+tun_LowTiesShare*(AE235-1))/AE235)</x:f>
        <x:v>1</x:v>
      </x:c>
      <x:c r="AI235" s="32" t="n">
        <x:f>(Z235+tun_ElderCommons*INDEX(LM_Elder,G235)*AA235)*AH235</x:f>
        <x:v>483.57216179165175</x:v>
      </x:c>
      <x:c r="AJ235" s="32" t="n">
        <x:f>H235*tun_CommonsCoef*AI235^tun_CommonsExp*INDEX(LM_Commons,G235)</x:f>
        <x:v>1110.1191386438288</x:v>
      </x:c>
      <x:c r="AK235" s="32" t="n">
        <x:f>H235*tun_RoleScale*Arch_Roles*(AE235*(INDEX(tun_ElderRolePerSett,G235)*tun_OutElder*INDEX(LM_Elder,G235)+INDEX(tun_ShamanPerSett,G235)*tun_OutShaman)+Z235*(INDEX(tun_PriestShare,G235)*tun_OutPriest+INDEX(tun_ScribeShare,G235)*tun_OutScribe*INDEX(LM_Scribe,G235)+INDEX(tun_ScholarShare,G235)*tun_OutScholar*INDEX(LM_Scholar,G235)+INDEX(tun_ResearcherShare,G235)*tun_OutResearcher*INDEX(LM_Researcher,G235)))</x:f>
        <x:v>133.5621180295384</x:v>
      </x:c>
      <x:c r="AL235" s="32" t="n">
        <x:f>H235*tun_RoleScale*Arch_Roles*AE235*INDEX(tun_MonasteryPerSett,G235)*tun_OutMonastery*INDEX(LM_Monastery,G235)</x:f>
        <x:v>0</x:v>
      </x:c>
      <x:c r="AM235" s="32" t="n">
        <x:f>(AJ235+AK235+AL235)/4*INDEX(LM_All,G235)*INDEX(tun_Boon,G235)*Arch_Insight</x:f>
        <x:v>374.06991395049295</x:v>
      </x:c>
      <x:c r="AN235" s="32" t="n">
        <x:f>H235*(tun_KHPerAdult*Z235+tun_KHOfCommons*AJ235/4*INDEX(LM_All,G235))*tun_KHUsable*Arch_KH</x:f>
        <x:v>74.11120990067886</x:v>
      </x:c>
      <x:c r="AO235" s="32" t="n">
        <x:f>MIN(AP234+AN235,AM235*tun_KHMaxRatio)</x:f>
        <x:v>74.11120990067886</x:v>
      </x:c>
      <x:c r="AP235" s="32" t="n">
        <x:f>AP234+AN235-AO235</x:f>
        <x:v>0</x:v>
      </x:c>
      <x:c r="AQ235" s="32" t="n">
        <x:f>AM235+AO235</x:f>
        <x:v>448.18112385117183</x:v>
      </x:c>
      <x:c r="AR235" s="10" t="n">
        <x:f>IF(H235=1,INDEX(tun_Req,G235),0)</x:f>
        <x:v>21071.475087999996</x:v>
      </x:c>
      <x:c r="AS235" s="32" t="n">
        <x:f>IF(H235=1,IF(E235=1,AS234-AR234,AS234)+AQ235,0)</x:f>
        <x:v>18430.453041664423</x:v>
      </x:c>
      <x:c r="AT235" s="11" t="n">
        <x:f>IF(AR235&gt;0,MIN(1,AS235/AR235),1)</x:f>
        <x:v>0.8746636372011939</x:v>
      </x:c>
      <x:c r="AU235" s="10" t="n">
        <x:f>AB235/INDEX(tun_RepScale,G235)</x:f>
        <x:v>388.17235880146</x:v>
      </x:c>
      <x:c r="AV235" s="32" t="n">
        <x:f>AM235*60/tun_SeasonSeconds</x:f>
        <x:v>1496.2796558019718</x:v>
      </x:c>
    </x:row>
    <x:row r="236">
      <x:c r="A236" s="8" t="n">
        <x:f>A235+1</x:f>
        <x:v>233</x:v>
      </x:c>
      <x:c r="B236" s="9" t="n">
        <x:f>A236*tun_SeasonSeconds/60</x:f>
        <x:v>58.25</x:v>
      </x:c>
      <x:c r="C236" s="9" t="n">
        <x:f>A236/4</x:f>
        <x:v>58.25</x:v>
      </x:c>
      <x:c r="D236" s="8" t="n">
        <x:f>IF(MOD(A236,4)=0,1,0)</x:f>
        <x:v>0</x:v>
      </x:c>
      <x:c r="E236" s="8" t="n">
        <x:f>IF(AND(F235&lt;=9,AS235&gt;=AR235),1,0)</x:f>
        <x:v>0</x:v>
      </x:c>
      <x:c r="F236" s="8" t="n">
        <x:f>MIN(10,F235+E236)</x:f>
        <x:v>4</x:v>
      </x:c>
      <x:c r="G236" s="8" t="n">
        <x:f>MIN(F236,9)+1</x:f>
        <x:v>5</x:v>
      </x:c>
      <x:c r="H236" s="8" t="n">
        <x:f>IF(F236&lt;=9,1,0)</x:f>
        <x:v>1</x:v>
      </x:c>
      <x:c r="I236" s="9" t="n">
        <x:f>MIN(10,F235+IF(AR235&gt;0,MIN(1,AS235/AR235),1))</x:f>
        <x:v>4.874663637201194</x:v>
      </x:c>
      <x:c r="J236" s="32" t="n">
        <x:f>INDEX(tun_FoodCap,G236)*Arch_FoodCap*EXP(tun_CapsByProject*SUMPRODUCT((Cap_Point&lt;=I236)*(Cap_Kind="Food")*Cap_Ln))</x:f>
        <x:v>372.89883457776335</x:v>
      </x:c>
      <x:c r="K236" s="32" t="n">
        <x:f>J236*MIN(1,tun_LeanBase*EXP(tun_CapsByProject*SUMPRODUCT((Cap_Point&lt;=I236)*(Cap_Kind="Lean")*Cap_Ln)))</x:f>
        <x:v>372.89883457776335</x:v>
      </x:c>
      <x:c r="L236" s="10" t="n">
        <x:f>INDEX(tun_HousingCap,G236)*EXP(tun_CapsByProject*SUMPRODUCT((Cap_Point&lt;=I236)*(Cap_Kind="Housing")*Cap_Ln))</x:f>
        <x:v>1981.8141431314853</x:v>
      </x:c>
      <x:c r="M236" s="10" t="n">
        <x:f>INDEX(tun_GroupCap,G236)*tun_CohesionFactor*EXP(tun_CapsByProject*SUMPRODUCT((Cap_Point&lt;=I236)*(Cap_Kind="Group")*Cap_Ln))</x:f>
        <x:v>50000.00000000004</x:v>
      </x:c>
      <x:c r="N236" s="32" t="n">
        <x:f>MIN(J236,L236,M236)</x:f>
        <x:v>372.89883457776335</x:v>
      </x:c>
      <x:c r="O236" s="10" t="n">
        <x:f>AE235*N236</x:f>
        <x:v>1118.69650373329</x:v>
      </x:c>
      <x:c r="P236" s="9" t="n">
        <x:f>MIN(1,(AB235/(AE235*IF(tun_GroupInCrowding=1,N236,MIN(J236,L236))))^tun_CrowdingExp)</x:f>
        <x:v>0.11170019448614596</x:v>
      </x:c>
      <x:c r="Q236" s="9" t="n">
        <x:f>IF(D236=1,INDEX(tun_WinterMult,G236),1)</x:f>
        <x:v>1</x:v>
      </x:c>
      <x:c r="R236" s="9" t="n">
        <x:f>H236*Z235*tun_WomenShare*tun_BaseFertility*INDEX(tun_FertMult,G236)*Arch_Fertility*(1-P236)</x:f>
        <x:v>18.869189696406558</x:v>
      </x:c>
      <x:c r="S236" s="9" t="n">
        <x:f>H236*Y235*INDEX(tun_MortChild,G236)/4*Q236</x:f>
        <x:v>3.2519937066865325</x:v>
      </x:c>
      <x:c r="T236" s="9" t="n">
        <x:f>H236*Z235*INDEX(tun_MortAdult,G236)*Arch_AdultMort/4*Q236</x:f>
        <x:v>0.714872167199525</x:v>
      </x:c>
      <x:c r="U236" s="9" t="n">
        <x:f>H236*AA235*INDEX(tun_MortElder,G236)/4*Q236</x:f>
        <x:v>0.932976258656785</x:v>
      </x:c>
      <x:c r="V236" s="9" t="n">
        <x:f>H236*MAX(0,AB235-O236)*tun_OvercapLoss</x:f>
        <x:v>0</x:v>
      </x:c>
      <x:c r="W236" s="9" t="n">
        <x:f>H236*Y235/(tun_ChildYears*4)</x:f>
        <x:v>7.742842158777458</x:v>
      </x:c>
      <x:c r="X236" s="9" t="n">
        <x:f>H236*Z235/(tun_AdultYears*4)</x:f>
        <x:v>2.1962278562197386</x:v>
      </x:c>
      <x:c r="Y236" s="32" t="n">
        <x:f>Y235+R236-S236-W236-Y235*V236/AB235</x:f>
        <x:v>441.4735147224803</x:v>
      </x:c>
      <x:c r="Z236" s="32" t="n">
        <x:f>Z235+W236-X236-T236-Z235*V236/AB235</x:f>
        <x:v>277.1639963066058</x:v>
      </x:c>
      <x:c r="AA236" s="32" t="n">
        <x:f>AA235+X236-U236-AA235*V236/AB235</x:f>
        <x:v>71.67655413769768</x:v>
      </x:c>
      <x:c r="AB236" s="10" t="n">
        <x:f>Y236+Z236+AA236</x:f>
        <x:v>790.3140651667836</x:v>
      </x:c>
      <x:c r="AC236" s="8" t="n">
        <x:f>IF(AND(tun_WinterTrigger=1,D236=1,AB235/AE235&gt;=K236),1,0)</x:f>
        <x:v>0</x:v>
      </x:c>
      <x:c r="AD236" s="8" t="n">
        <x:f>H236*IF(AND(OR(AB235/AE235&gt;=tun_FissionTrigger*N236,AC236=1),AB235/AE235*tun_DaughterShare&gt;=tun_MinDaughter),MAX(1,ROUND(AE235*tun_FissionRate,0)),0)</x:f>
        <x:v>0</x:v>
      </x:c>
      <x:c r="AE236" s="8" t="n">
        <x:f>IF(H236=1,MAX(1,MIN(INDEX(tun_Smax,G236),AE235+AD236)),AE235)</x:f>
        <x:v>3</x:v>
      </x:c>
      <x:c r="AF236" s="8" t="n">
        <x:f>MAX(0,AE236-AE235)</x:f>
        <x:v>0</x:v>
      </x:c>
      <x:c r="AG236" s="9" t="str">
        <x:f>IF(AF236&gt;0,B236,"")</x:f>
      </x:c>
      <x:c r="AH236" s="9" t="n">
        <x:f>IF(F236&gt;=1,1,(1+tun_LowTiesShare*(AE236-1))/AE236)</x:f>
        <x:v>1</x:v>
      </x:c>
      <x:c r="AI236" s="32" t="n">
        <x:f>(Z236+tun_ElderCommons*INDEX(LM_Elder,G236)*AA236)*AH236</x:f>
        <x:v>492.1936587196988</x:v>
      </x:c>
      <x:c r="AJ236" s="32" t="n">
        <x:f>H236*tun_CommonsCoef*AI236^tun_CommonsExp*INDEX(LM_Commons,G236)</x:f>
        <x:v>1126.9200457152085</x:v>
      </x:c>
      <x:c r="AK236" s="32" t="n">
        <x:f>H236*tun_RoleScale*Arch_Roles*(AE236*(INDEX(tun_ElderRolePerSett,G236)*tun_OutElder*INDEX(LM_Elder,G236)+INDEX(tun_ShamanPerSett,G236)*tun_OutShaman)+Z236*(INDEX(tun_PriestShare,G236)*tun_OutPriest+INDEX(tun_ScribeShare,G236)*tun_OutScribe*INDEX(LM_Scribe,G236)+INDEX(tun_ScholarShare,G236)*tun_OutScholar*INDEX(LM_Scholar,G236)+INDEX(tun_ResearcherShare,G236)*tun_OutResearcher*INDEX(LM_Researcher,G236)))</x:f>
        <x:v>134.6543583906018</x:v>
      </x:c>
      <x:c r="AL236" s="32" t="n">
        <x:f>H236*tun_RoleScale*Arch_Roles*AE236*INDEX(tun_MonasteryPerSett,G236)*tun_OutMonastery*INDEX(LM_Monastery,G236)</x:f>
        <x:v>0</x:v>
      </x:c>
      <x:c r="AM236" s="32" t="n">
        <x:f>(AJ236+AK236+AL236)/4*INDEX(LM_All,G236)*INDEX(tun_Boon,G236)*Arch_Insight</x:f>
        <x:v>379.45174959724125</x:v>
      </x:c>
      <x:c r="AN236" s="32" t="n">
        <x:f>H236*(tun_KHPerAdult*Z236+tun_KHOfCommons*AJ236/4*INDEX(LM_All,G236))*tun_KHUsable*Arch_KH</x:f>
        <x:v>75.23283325365513</x:v>
      </x:c>
      <x:c r="AO236" s="32" t="n">
        <x:f>MIN(AP235+AN236,AM236*tun_KHMaxRatio)</x:f>
        <x:v>75.23283325365513</x:v>
      </x:c>
      <x:c r="AP236" s="32" t="n">
        <x:f>AP235+AN236-AO236</x:f>
        <x:v>0</x:v>
      </x:c>
      <x:c r="AQ236" s="32" t="n">
        <x:f>AM236+AO236</x:f>
        <x:v>454.6845828508964</x:v>
      </x:c>
      <x:c r="AR236" s="10" t="n">
        <x:f>IF(H236=1,INDEX(tun_Req,G236),0)</x:f>
        <x:v>21071.475087999996</x:v>
      </x:c>
      <x:c r="AS236" s="32" t="n">
        <x:f>IF(H236=1,IF(E236=1,AS235-AR235,AS235)+AQ236,0)</x:f>
        <x:v>18885.13762451532</x:v>
      </x:c>
      <x:c r="AT236" s="11" t="n">
        <x:f>IF(AR236&gt;0,MIN(1,AS236/AR236),1)</x:f>
        <x:v>0.8962418409554168</x:v>
      </x:c>
      <x:c r="AU236" s="10" t="n">
        <x:f>AB236/INDEX(tun_RepScale,G236)</x:f>
        <x:v>395.1570325833918</x:v>
      </x:c>
      <x:c r="AV236" s="32" t="n">
        <x:f>AM236*60/tun_SeasonSeconds</x:f>
        <x:v>1517.806998388965</x:v>
      </x:c>
    </x:row>
    <x:row r="237">
      <x:c r="A237" s="8" t="n">
        <x:f>A236+1</x:f>
        <x:v>234</x:v>
      </x:c>
      <x:c r="B237" s="9" t="n">
        <x:f>A237*tun_SeasonSeconds/60</x:f>
        <x:v>58.5</x:v>
      </x:c>
      <x:c r="C237" s="9" t="n">
        <x:f>A237/4</x:f>
        <x:v>58.5</x:v>
      </x:c>
      <x:c r="D237" s="8" t="n">
        <x:f>IF(MOD(A237,4)=0,1,0)</x:f>
        <x:v>0</x:v>
      </x:c>
      <x:c r="E237" s="8" t="n">
        <x:f>IF(AND(F236&lt;=9,AS236&gt;=AR236),1,0)</x:f>
        <x:v>0</x:v>
      </x:c>
      <x:c r="F237" s="8" t="n">
        <x:f>MIN(10,F236+E237)</x:f>
        <x:v>4</x:v>
      </x:c>
      <x:c r="G237" s="8" t="n">
        <x:f>MIN(F237,9)+1</x:f>
        <x:v>5</x:v>
      </x:c>
      <x:c r="H237" s="8" t="n">
        <x:f>IF(F237&lt;=9,1,0)</x:f>
        <x:v>1</x:v>
      </x:c>
      <x:c r="I237" s="9" t="n">
        <x:f>MIN(10,F236+IF(AR236&gt;0,MIN(1,AS236/AR236),1))</x:f>
        <x:v>4.896241840955417</x:v>
      </x:c>
      <x:c r="J237" s="32" t="n">
        <x:f>INDEX(tun_FoodCap,G237)*Arch_FoodCap*EXP(tun_CapsByProject*SUMPRODUCT((Cap_Point&lt;=I237)*(Cap_Kind="Food")*Cap_Ln))</x:f>
        <x:v>372.89883457776335</x:v>
      </x:c>
      <x:c r="K237" s="32" t="n">
        <x:f>J237*MIN(1,tun_LeanBase*EXP(tun_CapsByProject*SUMPRODUCT((Cap_Point&lt;=I237)*(Cap_Kind="Lean")*Cap_Ln)))</x:f>
        <x:v>372.89883457776335</x:v>
      </x:c>
      <x:c r="L237" s="10" t="n">
        <x:f>INDEX(tun_HousingCap,G237)*EXP(tun_CapsByProject*SUMPRODUCT((Cap_Point&lt;=I237)*(Cap_Kind="Housing")*Cap_Ln))</x:f>
        <x:v>1981.8141431314853</x:v>
      </x:c>
      <x:c r="M237" s="10" t="n">
        <x:f>INDEX(tun_GroupCap,G237)*tun_CohesionFactor*EXP(tun_CapsByProject*SUMPRODUCT((Cap_Point&lt;=I237)*(Cap_Kind="Group")*Cap_Ln))</x:f>
        <x:v>50000.00000000004</x:v>
      </x:c>
      <x:c r="N237" s="32" t="n">
        <x:f>MIN(J237,L237,M237)</x:f>
        <x:v>372.89883457776335</x:v>
      </x:c>
      <x:c r="O237" s="10" t="n">
        <x:f>AE236*N237</x:f>
        <x:v>1118.69650373329</x:v>
      </x:c>
      <x:c r="P237" s="9" t="n">
        <x:f>MIN(1,(AB236/(AE236*IF(tun_GroupInCrowding=1,N237,MIN(J237,L237))))^tun_CrowdingExp)</x:f>
        <x:v>0.12431529990478855</x:v>
      </x:c>
      <x:c r="Q237" s="9" t="n">
        <x:f>IF(D237=1,INDEX(tun_WinterMult,G237),1)</x:f>
        <x:v>1</x:v>
      </x:c>
      <x:c r="R237" s="9" t="n">
        <x:f>H237*Z236*tun_WomenShare*tun_BaseFertility*INDEX(tun_FertMult,G237)*Arch_Fertility*(1-P237)</x:f>
        <x:v>18.931245136669354</x:v>
      </x:c>
      <x:c r="S237" s="9" t="n">
        <x:f>H237*Y236*INDEX(tun_MortChild,G237)/4*Q237</x:f>
        <x:v>3.311051360418602</x:v>
      </x:c>
      <x:c r="T237" s="9" t="n">
        <x:f>H237*Z236*INDEX(tun_MortAdult,G237)*Arch_AdultMort/4*Q237</x:f>
        <x:v>0.7275554903048402</x:v>
      </x:c>
      <x:c r="U237" s="9" t="n">
        <x:f>H237*AA236*INDEX(tun_MortElder,G237)/4*Q237</x:f>
        <x:v>0.9497143423244943</x:v>
      </x:c>
      <x:c r="V237" s="9" t="n">
        <x:f>H237*MAX(0,AB236-O237)*tun_OvercapLoss</x:f>
        <x:v>0</x:v>
      </x:c>
      <x:c r="W237" s="9" t="n">
        <x:f>H237*Y236/(tun_ChildYears*4)</x:f>
        <x:v>7.88345562004429</x:v>
      </x:c>
      <x:c r="X237" s="9" t="n">
        <x:f>H237*Z236/(tun_AdultYears*4)</x:f>
        <x:v>2.2351935186016596</x:v>
      </x:c>
      <x:c r="Y237" s="32" t="n">
        <x:f>Y236+R237-S237-W237-Y236*V237/AB236</x:f>
        <x:v>449.21025287868673</x:v>
      </x:c>
      <x:c r="Z237" s="32" t="n">
        <x:f>Z236+W237-X237-T237-Z236*V237/AB236</x:f>
        <x:v>282.0847029177436</x:v>
      </x:c>
      <x:c r="AA237" s="32" t="n">
        <x:f>AA236+X237-U237-AA236*V237/AB236</x:f>
        <x:v>72.96203331397484</x:v>
      </x:c>
      <x:c r="AB237" s="10" t="n">
        <x:f>Y237+Z237+AA237</x:f>
        <x:v>804.2569891104051</x:v>
      </x:c>
      <x:c r="AC237" s="8" t="n">
        <x:f>IF(AND(tun_WinterTrigger=1,D237=1,AB236/AE236&gt;=K237),1,0)</x:f>
        <x:v>0</x:v>
      </x:c>
      <x:c r="AD237" s="8" t="n">
        <x:f>H237*IF(AND(OR(AB236/AE236&gt;=tun_FissionTrigger*N237,AC237=1),AB236/AE236*tun_DaughterShare&gt;=tun_MinDaughter),MAX(1,ROUND(AE236*tun_FissionRate,0)),0)</x:f>
        <x:v>0</x:v>
      </x:c>
      <x:c r="AE237" s="8" t="n">
        <x:f>IF(H237=1,MAX(1,MIN(INDEX(tun_Smax,G237),AE236+AD237)),AE236)</x:f>
        <x:v>3</x:v>
      </x:c>
      <x:c r="AF237" s="8" t="n">
        <x:f>MAX(0,AE237-AE236)</x:f>
        <x:v>0</x:v>
      </x:c>
      <x:c r="AG237" s="9" t="str">
        <x:f>IF(AF237&gt;0,B237,"")</x:f>
      </x:c>
      <x:c r="AH237" s="9" t="n">
        <x:f>IF(F237&gt;=1,1,(1+tun_LowTiesShare*(AE237-1))/AE237)</x:f>
        <x:v>1</x:v>
      </x:c>
      <x:c r="AI237" s="32" t="n">
        <x:f>(Z237+tun_ElderCommons*INDEX(LM_Elder,G237)*AA237)*AH237</x:f>
        <x:v>500.9708028596681</x:v>
      </x:c>
      <x:c r="AJ237" s="32" t="n">
        <x:f>H237*tun_CommonsCoef*AI237^tun_CommonsExp*INDEX(LM_Commons,G237)</x:f>
        <x:v>1143.9789820106869</x:v>
      </x:c>
      <x:c r="AK237" s="32" t="n">
        <x:f>H237*tun_RoleScale*Arch_Roles*(AE237*(INDEX(tun_ElderRolePerSett,G237)*tun_OutElder*INDEX(LM_Elder,G237)+INDEX(tun_ShamanPerSett,G237)*tun_OutShaman)+Z237*(INDEX(tun_PriestShare,G237)*tun_OutPriest+INDEX(tun_ScribeShare,G237)*tun_OutScribe*INDEX(LM_Scribe,G237)+INDEX(tun_ScholarShare,G237)*tun_OutScholar*INDEX(LM_Scholar,G237)+INDEX(tun_ResearcherShare,G237)*tun_OutResearcher*INDEX(LM_Researcher,G237)))</x:f>
        <x:v>135.76670963267358</x:v>
      </x:c>
      <x:c r="AL237" s="32" t="n">
        <x:f>H237*tun_RoleScale*Arch_Roles*AE237*INDEX(tun_MonasteryPerSett,G237)*tun_OutMonastery*INDEX(LM_Monastery,G237)</x:f>
        <x:v>0</x:v>
      </x:c>
      <x:c r="AM237" s="32" t="n">
        <x:f>(AJ237+AK237+AL237)/4*INDEX(LM_All,G237)*INDEX(tun_Boon,G237)*Arch_Insight</x:f>
        <x:v>384.9172432107116</x:v>
      </x:c>
      <x:c r="AN237" s="32" t="n">
        <x:f>H237*(tun_KHPerAdult*Z237+tun_KHOfCommons*AJ237/4*INDEX(LM_All,G237))*tun_KHUsable*Arch_KH</x:f>
        <x:v>76.3716825577226</x:v>
      </x:c>
      <x:c r="AO237" s="32" t="n">
        <x:f>MIN(AP236+AN237,AM237*tun_KHMaxRatio)</x:f>
        <x:v>76.3716825577226</x:v>
      </x:c>
      <x:c r="AP237" s="32" t="n">
        <x:f>AP236+AN237-AO237</x:f>
        <x:v>0</x:v>
      </x:c>
      <x:c r="AQ237" s="32" t="n">
        <x:f>AM237+AO237</x:f>
        <x:v>461.2889257684342</x:v>
      </x:c>
      <x:c r="AR237" s="10" t="n">
        <x:f>IF(H237=1,INDEX(tun_Req,G237),0)</x:f>
        <x:v>21071.475087999996</x:v>
      </x:c>
      <x:c r="AS237" s="32" t="n">
        <x:f>IF(H237=1,IF(E237=1,AS236-AR236,AS236)+AQ237,0)</x:f>
        <x:v>19346.42655028375</x:v>
      </x:c>
      <x:c r="AT237" s="11" t="n">
        <x:f>IF(AR237&gt;0,MIN(1,AS237/AR237),1)</x:f>
        <x:v>0.9181334704612757</x:v>
      </x:c>
      <x:c r="AU237" s="10" t="n">
        <x:f>AB237/INDEX(tun_RepScale,G237)</x:f>
        <x:v>402.12849455520256</x:v>
      </x:c>
      <x:c r="AV237" s="32" t="n">
        <x:f>AM237*60/tun_SeasonSeconds</x:f>
        <x:v>1539.6689728428464</x:v>
      </x:c>
    </x:row>
    <x:row r="238">
      <x:c r="A238" s="8" t="n">
        <x:f>A237+1</x:f>
        <x:v>235</x:v>
      </x:c>
      <x:c r="B238" s="9" t="n">
        <x:f>A238*tun_SeasonSeconds/60</x:f>
        <x:v>58.75</x:v>
      </x:c>
      <x:c r="C238" s="9" t="n">
        <x:f>A238/4</x:f>
        <x:v>58.75</x:v>
      </x:c>
      <x:c r="D238" s="8" t="n">
        <x:f>IF(MOD(A238,4)=0,1,0)</x:f>
        <x:v>0</x:v>
      </x:c>
      <x:c r="E238" s="8" t="n">
        <x:f>IF(AND(F237&lt;=9,AS237&gt;=AR237),1,0)</x:f>
        <x:v>0</x:v>
      </x:c>
      <x:c r="F238" s="8" t="n">
        <x:f>MIN(10,F237+E238)</x:f>
        <x:v>4</x:v>
      </x:c>
      <x:c r="G238" s="8" t="n">
        <x:f>MIN(F238,9)+1</x:f>
        <x:v>5</x:v>
      </x:c>
      <x:c r="H238" s="8" t="n">
        <x:f>IF(F238&lt;=9,1,0)</x:f>
        <x:v>1</x:v>
      </x:c>
      <x:c r="I238" s="9" t="n">
        <x:f>MIN(10,F237+IF(AR237&gt;0,MIN(1,AS237/AR237),1))</x:f>
        <x:v>4.918133470461275</x:v>
      </x:c>
      <x:c r="J238" s="32" t="n">
        <x:f>INDEX(tun_FoodCap,G238)*Arch_FoodCap*EXP(tun_CapsByProject*SUMPRODUCT((Cap_Point&lt;=I238)*(Cap_Kind="Food")*Cap_Ln))</x:f>
        <x:v>372.89883457776335</x:v>
      </x:c>
      <x:c r="K238" s="32" t="n">
        <x:f>J238*MIN(1,tun_LeanBase*EXP(tun_CapsByProject*SUMPRODUCT((Cap_Point&lt;=I238)*(Cap_Kind="Lean")*Cap_Ln)))</x:f>
        <x:v>372.89883457776335</x:v>
      </x:c>
      <x:c r="L238" s="10" t="n">
        <x:f>INDEX(tun_HousingCap,G238)*EXP(tun_CapsByProject*SUMPRODUCT((Cap_Point&lt;=I238)*(Cap_Kind="Housing")*Cap_Ln))</x:f>
        <x:v>1981.8141431314853</x:v>
      </x:c>
      <x:c r="M238" s="10" t="n">
        <x:f>INDEX(tun_GroupCap,G238)*tun_CohesionFactor*EXP(tun_CapsByProject*SUMPRODUCT((Cap_Point&lt;=I238)*(Cap_Kind="Group")*Cap_Ln))</x:f>
        <x:v>50000.00000000004</x:v>
      </x:c>
      <x:c r="N238" s="32" t="n">
        <x:f>MIN(J238,L238,M238)</x:f>
        <x:v>372.89883457776335</x:v>
      </x:c>
      <x:c r="O238" s="10" t="n">
        <x:f>AE237*N238</x:f>
        <x:v>1118.69650373329</x:v>
      </x:c>
      <x:c r="P238" s="9" t="n">
        <x:f>MIN(1,(AB237/(AE237*IF(tun_GroupInCrowding=1,N238,MIN(J238,L238))))^tun_CrowdingExp)</x:f>
        <x:v>0.13806874502496064</x:v>
      </x:c>
      <x:c r="Q238" s="9" t="n">
        <x:f>IF(D238=1,INDEX(tun_WinterMult,G238),1)</x:f>
        <x:v>1</x:v>
      </x:c>
      <x:c r="R238" s="9" t="n">
        <x:f>H238*Z237*tun_WomenShare*tun_BaseFertility*INDEX(tun_FertMult,G238)*Arch_Fertility*(1-P238)</x:f>
        <x:v>18.964734515621846</x:v>
      </x:c>
      <x:c r="S238" s="9" t="n">
        <x:f>H238*Y237*INDEX(tun_MortChild,G238)/4*Q238</x:f>
        <x:v>3.3690768965901503</x:v>
      </x:c>
      <x:c r="T238" s="9" t="n">
        <x:f>H238*Z237*INDEX(tun_MortAdult,G238)*Arch_AdultMort/4*Q238</x:f>
        <x:v>0.740472345159077</x:v>
      </x:c>
      <x:c r="U238" s="9" t="n">
        <x:f>H238*AA237*INDEX(tun_MortElder,G238)/4*Q238</x:f>
        <x:v>0.9667469414101666</x:v>
      </x:c>
      <x:c r="V238" s="9" t="n">
        <x:f>H238*MAX(0,AB237-O238)*tun_OvercapLoss</x:f>
        <x:v>0</x:v>
      </x:c>
      <x:c r="W238" s="9" t="n">
        <x:f>H238*Y237/(tun_ChildYears*4)</x:f>
        <x:v>8.021611658547977</x:v>
      </x:c>
      <x:c r="X238" s="9" t="n">
        <x:f>H238*Z237/(tun_AdultYears*4)</x:f>
        <x:v>2.274876636433416</x:v>
      </x:c>
      <x:c r="Y238" s="32" t="n">
        <x:f>Y237+R238-S238-W238-Y237*V238/AB237</x:f>
        <x:v>456.78429883917045</x:v>
      </x:c>
      <x:c r="Z238" s="32" t="n">
        <x:f>Z237+W238-X238-T238-Z237*V238/AB237</x:f>
        <x:v>287.090965594699</x:v>
      </x:c>
      <x:c r="AA238" s="32" t="n">
        <x:f>AA237+X238-U238-AA237*V238/AB237</x:f>
        <x:v>74.2701630089981</x:v>
      </x:c>
      <x:c r="AB238" s="10" t="n">
        <x:f>Y238+Z238+AA238</x:f>
        <x:v>818.1454274428676</x:v>
      </x:c>
      <x:c r="AC238" s="8" t="n">
        <x:f>IF(AND(tun_WinterTrigger=1,D238=1,AB237/AE237&gt;=K238),1,0)</x:f>
        <x:v>0</x:v>
      </x:c>
      <x:c r="AD238" s="8" t="n">
        <x:f>H238*IF(AND(OR(AB237/AE237&gt;=tun_FissionTrigger*N238,AC238=1),AB237/AE237*tun_DaughterShare&gt;=tun_MinDaughter),MAX(1,ROUND(AE237*tun_FissionRate,0)),0)</x:f>
        <x:v>0</x:v>
      </x:c>
      <x:c r="AE238" s="8" t="n">
        <x:f>IF(H238=1,MAX(1,MIN(INDEX(tun_Smax,G238),AE237+AD238)),AE237)</x:f>
        <x:v>3</x:v>
      </x:c>
      <x:c r="AF238" s="8" t="n">
        <x:f>MAX(0,AE238-AE237)</x:f>
        <x:v>0</x:v>
      </x:c>
      <x:c r="AG238" s="9" t="str">
        <x:f>IF(AF238&gt;0,B238,"")</x:f>
      </x:c>
      <x:c r="AH238" s="9" t="n">
        <x:f>IF(F238&gt;=1,1,(1+tun_LowTiesShare*(AE238-1))/AE238)</x:f>
        <x:v>1</x:v>
      </x:c>
      <x:c r="AI238" s="32" t="n">
        <x:f>(Z238+tun_ElderCommons*INDEX(LM_Elder,G238)*AA238)*AH238</x:f>
        <x:v>509.9014546216933</x:v>
      </x:c>
      <x:c r="AJ238" s="32" t="n">
        <x:f>H238*tun_CommonsCoef*AI238^tun_CommonsExp*INDEX(LM_Commons,G238)</x:f>
        <x:v>1161.2903187841525</x:v>
      </x:c>
      <x:c r="AK238" s="32" t="n">
        <x:f>H238*tun_RoleScale*Arch_Roles*(AE238*(INDEX(tun_ElderRolePerSett,G238)*tun_OutElder*INDEX(LM_Elder,G238)+INDEX(tun_ShamanPerSett,G238)*tun_OutShaman)+Z238*(INDEX(tun_PriestShare,G238)*tun_OutPriest+INDEX(tun_ScribeShare,G238)*tun_OutScribe*INDEX(LM_Scribe,G238)+INDEX(tun_ScholarShare,G238)*tun_OutScholar*INDEX(LM_Scholar,G238)+INDEX(tun_ResearcherShare,G238)*tun_OutResearcher*INDEX(LM_Researcher,G238)))</x:f>
        <x:v>136.8984012670101</x:v>
      </x:c>
      <x:c r="AL238" s="32" t="n">
        <x:f>H238*tun_RoleScale*Arch_Roles*AE238*INDEX(tun_MonasteryPerSett,G238)*tun_OutMonastery*INDEX(LM_Monastery,G238)</x:f>
        <x:v>0</x:v>
      </x:c>
      <x:c r="AM238" s="32" t="n">
        <x:f>(AJ238+AK238+AL238)/4*INDEX(LM_All,G238)*INDEX(tun_Boon,G238)*Arch_Insight</x:f>
        <x:v>390.4644700523757</x:v>
      </x:c>
      <x:c r="AN238" s="32" t="n">
        <x:f>H238*(tun_KHPerAdult*Z238+tun_KHOfCommons*AJ238/4*INDEX(LM_All,G238))*tun_KHUsable*Arch_KH</x:f>
        <x:v>77.52738203953406</x:v>
      </x:c>
      <x:c r="AO238" s="32" t="n">
        <x:f>MIN(AP237+AN238,AM238*tun_KHMaxRatio)</x:f>
        <x:v>77.52738203953406</x:v>
      </x:c>
      <x:c r="AP238" s="32" t="n">
        <x:f>AP237+AN238-AO238</x:f>
        <x:v>0</x:v>
      </x:c>
      <x:c r="AQ238" s="32" t="n">
        <x:f>AM238+AO238</x:f>
        <x:v>467.9918520919098</x:v>
      </x:c>
      <x:c r="AR238" s="10" t="n">
        <x:f>IF(H238=1,INDEX(tun_Req,G238),0)</x:f>
        <x:v>21071.475087999996</x:v>
      </x:c>
      <x:c r="AS238" s="32" t="n">
        <x:f>IF(H238=1,IF(E238=1,AS237-AR237,AS237)+AQ238,0)</x:f>
        <x:v>19814.41840237566</x:v>
      </x:c>
      <x:c r="AT238" s="11" t="n">
        <x:f>IF(AR238&gt;0,MIN(1,AS238/AR238),1)</x:f>
        <x:v>0.9403432042429618</x:v>
      </x:c>
      <x:c r="AU238" s="10" t="n">
        <x:f>AB238/INDEX(tun_RepScale,G238)</x:f>
        <x:v>409.0727137214338</x:v>
      </x:c>
      <x:c r="AV238" s="32" t="n">
        <x:f>AM238*60/tun_SeasonSeconds</x:f>
        <x:v>1561.8578802095028</x:v>
      </x:c>
    </x:row>
    <x:row r="239">
      <x:c r="A239" s="8" t="n">
        <x:f>A238+1</x:f>
        <x:v>236</x:v>
      </x:c>
      <x:c r="B239" s="9" t="n">
        <x:f>A239*tun_SeasonSeconds/60</x:f>
        <x:v>59</x:v>
      </x:c>
      <x:c r="C239" s="9" t="n">
        <x:f>A239/4</x:f>
        <x:v>59</x:v>
      </x:c>
      <x:c r="D239" s="8" t="n">
        <x:f>IF(MOD(A239,4)=0,1,0)</x:f>
        <x:v>1</x:v>
      </x:c>
      <x:c r="E239" s="8" t="n">
        <x:f>IF(AND(F238&lt;=9,AS238&gt;=AR238),1,0)</x:f>
        <x:v>0</x:v>
      </x:c>
      <x:c r="F239" s="8" t="n">
        <x:f>MIN(10,F238+E239)</x:f>
        <x:v>4</x:v>
      </x:c>
      <x:c r="G239" s="8" t="n">
        <x:f>MIN(F239,9)+1</x:f>
        <x:v>5</x:v>
      </x:c>
      <x:c r="H239" s="8" t="n">
        <x:f>IF(F239&lt;=9,1,0)</x:f>
        <x:v>1</x:v>
      </x:c>
      <x:c r="I239" s="9" t="n">
        <x:f>MIN(10,F238+IF(AR238&gt;0,MIN(1,AS238/AR238),1))</x:f>
        <x:v>4.940343204242962</x:v>
      </x:c>
      <x:c r="J239" s="32" t="n">
        <x:f>INDEX(tun_FoodCap,G239)*Arch_FoodCap*EXP(tun_CapsByProject*SUMPRODUCT((Cap_Point&lt;=I239)*(Cap_Kind="Food")*Cap_Ln))</x:f>
        <x:v>372.89883457776335</x:v>
      </x:c>
      <x:c r="K239" s="32" t="n">
        <x:f>J239*MIN(1,tun_LeanBase*EXP(tun_CapsByProject*SUMPRODUCT((Cap_Point&lt;=I239)*(Cap_Kind="Lean")*Cap_Ln)))</x:f>
        <x:v>372.89883457776335</x:v>
      </x:c>
      <x:c r="L239" s="10" t="n">
        <x:f>INDEX(tun_HousingCap,G239)*EXP(tun_CapsByProject*SUMPRODUCT((Cap_Point&lt;=I239)*(Cap_Kind="Housing")*Cap_Ln))</x:f>
        <x:v>1981.8141431314853</x:v>
      </x:c>
      <x:c r="M239" s="10" t="n">
        <x:f>INDEX(tun_GroupCap,G239)*tun_CohesionFactor*EXP(tun_CapsByProject*SUMPRODUCT((Cap_Point&lt;=I239)*(Cap_Kind="Group")*Cap_Ln))</x:f>
        <x:v>50000.00000000004</x:v>
      </x:c>
      <x:c r="N239" s="32" t="n">
        <x:f>MIN(J239,L239,M239)</x:f>
        <x:v>372.89883457776335</x:v>
      </x:c>
      <x:c r="O239" s="10" t="n">
        <x:f>AE238*N239</x:f>
        <x:v>1118.69650373329</x:v>
      </x:c>
      <x:c r="P239" s="9" t="n">
        <x:f>MIN(1,(AB238/(AE238*IF(tun_GroupInCrowding=1,N239,MIN(J239,L239))))^tun_CrowdingExp)</x:f>
        <x:v>0.15300631658749259</x:v>
      </x:c>
      <x:c r="Q239" s="9" t="n">
        <x:f>IF(D239=1,INDEX(tun_WinterMult,G239),1)</x:f>
        <x:v>1.2</x:v>
      </x:c>
      <x:c r="R239" s="9" t="n">
        <x:f>H239*Z238*tun_WomenShare*tun_BaseFertility*INDEX(tun_FertMult,G239)*Arch_Fertility*(1-P239)</x:f>
        <x:v>18.966810285033585</x:v>
      </x:c>
      <x:c r="S239" s="9" t="n">
        <x:f>H239*Y238*INDEX(tun_MortChild,G239)/4*Q239</x:f>
        <x:v>4.111058689552534</x:v>
      </x:c>
      <x:c r="T239" s="9" t="n">
        <x:f>H239*Z238*INDEX(tun_MortAdult,G239)*Arch_AdultMort/4*Q239</x:f>
        <x:v>0.9043365416233019</x:v>
      </x:c>
      <x:c r="U239" s="9" t="n">
        <x:f>H239*AA238*INDEX(tun_MortElder,G239)/4*Q239</x:f>
        <x:v>1.1808955918430697</x:v>
      </x:c>
      <x:c r="V239" s="9" t="n">
        <x:f>H239*MAX(0,AB238-O239)*tun_OvercapLoss</x:f>
        <x:v>0</x:v>
      </x:c>
      <x:c r="W239" s="9" t="n">
        <x:f>H239*Y238/(tun_ChildYears*4)</x:f>
        <x:v>8.1568624792709</x:v>
      </x:c>
      <x:c r="X239" s="9" t="n">
        <x:f>H239*Z238/(tun_AdultYears*4)</x:f>
        <x:v>2.3152497225378954</x:v>
      </x:c>
      <x:c r="Y239" s="32" t="n">
        <x:f>Y238+R239-S239-W239-Y238*V239/AB238</x:f>
        <x:v>463.48318795538063</x:v>
      </x:c>
      <x:c r="Z239" s="32" t="n">
        <x:f>Z238+W239-X239-T239-Z238*V239/AB238</x:f>
        <x:v>292.0282418098087</x:v>
      </x:c>
      <x:c r="AA239" s="32" t="n">
        <x:f>AA238+X239-U239-AA238*V239/AB238</x:f>
        <x:v>75.40451713969293</x:v>
      </x:c>
      <x:c r="AB239" s="10" t="n">
        <x:f>Y239+Z239+AA239</x:f>
        <x:v>830.9159469048823</x:v>
      </x:c>
      <x:c r="AC239" s="8" t="n">
        <x:f>IF(AND(tun_WinterTrigger=1,D239=1,AB238/AE238&gt;=K239),1,0)</x:f>
        <x:v>0</x:v>
      </x:c>
      <x:c r="AD239" s="8" t="n">
        <x:f>H239*IF(AND(OR(AB238/AE238&gt;=tun_FissionTrigger*N239,AC239=1),AB238/AE238*tun_DaughterShare&gt;=tun_MinDaughter),MAX(1,ROUND(AE238*tun_FissionRate,0)),0)</x:f>
        <x:v>0</x:v>
      </x:c>
      <x:c r="AE239" s="8" t="n">
        <x:f>IF(H239=1,MAX(1,MIN(INDEX(tun_Smax,G239),AE238+AD239)),AE238)</x:f>
        <x:v>3</x:v>
      </x:c>
      <x:c r="AF239" s="8" t="n">
        <x:f>MAX(0,AE239-AE238)</x:f>
        <x:v>0</x:v>
      </x:c>
      <x:c r="AG239" s="9" t="str">
        <x:f>IF(AF239&gt;0,B239,"")</x:f>
      </x:c>
      <x:c r="AH239" s="9" t="n">
        <x:f>IF(F239&gt;=1,1,(1+tun_LowTiesShare*(AE239-1))/AE239)</x:f>
        <x:v>1</x:v>
      </x:c>
      <x:c r="AI239" s="32" t="n">
        <x:f>(Z239+tun_ElderCommons*INDEX(LM_Elder,G239)*AA239)*AH239</x:f>
        <x:v>518.2417932288874</x:v>
      </x:c>
      <x:c r="AJ239" s="32" t="n">
        <x:f>H239*tun_CommonsCoef*AI239^tun_CommonsExp*INDEX(LM_Commons,G239)</x:f>
        <x:v>1177.416345598696</x:v>
      </x:c>
      <x:c r="AK239" s="32" t="n">
        <x:f>H239*tun_RoleScale*Arch_Roles*(AE239*(INDEX(tun_ElderRolePerSett,G239)*tun_OutElder*INDEX(LM_Elder,G239)+INDEX(tun_ShamanPerSett,G239)*tun_OutShaman)+Z239*(INDEX(tun_PriestShare,G239)*tun_OutPriest+INDEX(tun_ScribeShare,G239)*tun_OutScribe*INDEX(LM_Scribe,G239)+INDEX(tun_ScholarShare,G239)*tun_OutScholar*INDEX(LM_Scholar,G239)+INDEX(tun_ResearcherShare,G239)*tun_OutResearcher*INDEX(LM_Researcher,G239)))</x:f>
        <x:v>138.01449815396893</x:v>
      </x:c>
      <x:c r="AL239" s="32" t="n">
        <x:f>H239*tun_RoleScale*Arch_Roles*AE239*INDEX(tun_MonasteryPerSett,G239)*tun_OutMonastery*INDEX(LM_Monastery,G239)</x:f>
        <x:v>0</x:v>
      </x:c>
      <x:c r="AM239" s="32" t="n">
        <x:f>(AJ239+AK239+AL239)/4*INDEX(LM_All,G239)*INDEX(tun_Boon,G239)*Arch_Insight</x:f>
        <x:v>395.6504931549484</x:v>
      </x:c>
      <x:c r="AN239" s="32" t="n">
        <x:f>H239*(tun_KHPerAdult*Z239+tun_KHOfCommons*AJ239/4*INDEX(LM_All,G239))*tun_KHUsable*Arch_KH</x:f>
        <x:v>78.60395059556905</x:v>
      </x:c>
      <x:c r="AO239" s="32" t="n">
        <x:f>MIN(AP238+AN239,AM239*tun_KHMaxRatio)</x:f>
        <x:v>78.60395059556905</x:v>
      </x:c>
      <x:c r="AP239" s="32" t="n">
        <x:f>AP238+AN239-AO239</x:f>
        <x:v>0</x:v>
      </x:c>
      <x:c r="AQ239" s="32" t="n">
        <x:f>AM239+AO239</x:f>
        <x:v>474.25444375051745</x:v>
      </x:c>
      <x:c r="AR239" s="10" t="n">
        <x:f>IF(H239=1,INDEX(tun_Req,G239),0)</x:f>
        <x:v>21071.475087999996</x:v>
      </x:c>
      <x:c r="AS239" s="32" t="n">
        <x:f>IF(H239=1,IF(E239=1,AS238-AR238,AS238)+AQ239,0)</x:f>
        <x:v>20288.672846126177</x:v>
      </x:c>
      <x:c r="AT239" s="11" t="n">
        <x:f>IF(AR239&gt;0,MIN(1,AS239/AR239),1)</x:f>
        <x:v>0.962850145108274</x:v>
      </x:c>
      <x:c r="AU239" s="10" t="n">
        <x:f>AB239/INDEX(tun_RepScale,G239)</x:f>
        <x:v>415.45797345244114</x:v>
      </x:c>
      <x:c r="AV239" s="32" t="n">
        <x:f>AM239*60/tun_SeasonSeconds</x:f>
        <x:v>1582.6019726197935</x:v>
      </x:c>
    </x:row>
    <x:row r="240">
      <x:c r="A240" s="8" t="n">
        <x:f>A239+1</x:f>
        <x:v>237</x:v>
      </x:c>
      <x:c r="B240" s="9" t="n">
        <x:f>A240*tun_SeasonSeconds/60</x:f>
        <x:v>59.25</x:v>
      </x:c>
      <x:c r="C240" s="9" t="n">
        <x:f>A240/4</x:f>
        <x:v>59.25</x:v>
      </x:c>
      <x:c r="D240" s="8" t="n">
        <x:f>IF(MOD(A240,4)=0,1,0)</x:f>
        <x:v>0</x:v>
      </x:c>
      <x:c r="E240" s="8" t="n">
        <x:f>IF(AND(F239&lt;=9,AS239&gt;=AR239),1,0)</x:f>
        <x:v>0</x:v>
      </x:c>
      <x:c r="F240" s="8" t="n">
        <x:f>MIN(10,F239+E240)</x:f>
        <x:v>4</x:v>
      </x:c>
      <x:c r="G240" s="8" t="n">
        <x:f>MIN(F240,9)+1</x:f>
        <x:v>5</x:v>
      </x:c>
      <x:c r="H240" s="8" t="n">
        <x:f>IF(F240&lt;=9,1,0)</x:f>
        <x:v>1</x:v>
      </x:c>
      <x:c r="I240" s="9" t="n">
        <x:f>MIN(10,F239+IF(AR239&gt;0,MIN(1,AS239/AR239),1))</x:f>
        <x:v>4.962850145108274</x:v>
      </x:c>
      <x:c r="J240" s="32" t="n">
        <x:f>INDEX(tun_FoodCap,G240)*Arch_FoodCap*EXP(tun_CapsByProject*SUMPRODUCT((Cap_Point&lt;=I240)*(Cap_Kind="Food")*Cap_Ln))</x:f>
        <x:v>372.89883457776335</x:v>
      </x:c>
      <x:c r="K240" s="32" t="n">
        <x:f>J240*MIN(1,tun_LeanBase*EXP(tun_CapsByProject*SUMPRODUCT((Cap_Point&lt;=I240)*(Cap_Kind="Lean")*Cap_Ln)))</x:f>
        <x:v>372.89883457776335</x:v>
      </x:c>
      <x:c r="L240" s="10" t="n">
        <x:f>INDEX(tun_HousingCap,G240)*EXP(tun_CapsByProject*SUMPRODUCT((Cap_Point&lt;=I240)*(Cap_Kind="Housing")*Cap_Ln))</x:f>
        <x:v>1981.8141431314853</x:v>
      </x:c>
      <x:c r="M240" s="10" t="n">
        <x:f>INDEX(tun_GroupCap,G240)*tun_CohesionFactor*EXP(tun_CapsByProject*SUMPRODUCT((Cap_Point&lt;=I240)*(Cap_Kind="Group")*Cap_Ln))</x:f>
        <x:v>50000.00000000004</x:v>
      </x:c>
      <x:c r="N240" s="32" t="n">
        <x:f>MIN(J240,L240,M240)</x:f>
        <x:v>372.89883457776335</x:v>
      </x:c>
      <x:c r="O240" s="10" t="n">
        <x:f>AE239*N240</x:f>
        <x:v>1118.69650373329</x:v>
      </x:c>
      <x:c r="P240" s="9" t="n">
        <x:f>MIN(1,(AB239/(AE239*IF(tun_GroupInCrowding=1,N240,MIN(J240,L240))))^tun_CrowdingExp)</x:f>
        <x:v>0.16790702986187164</x:v>
      </x:c>
      <x:c r="Q240" s="9" t="n">
        <x:f>IF(D240=1,INDEX(tun_WinterMult,G240),1)</x:f>
        <x:v>1</x:v>
      </x:c>
      <x:c r="R240" s="9" t="n">
        <x:f>H240*Z239*tun_WomenShare*tun_BaseFertility*INDEX(tun_FertMult,G240)*Arch_Fertility*(1-P240)</x:f>
        <x:v>18.953582473155667</x:v>
      </x:c>
      <x:c r="S240" s="9" t="n">
        <x:f>H240*Y239*INDEX(tun_MortChild,G240)/4*Q240</x:f>
        <x:v>3.4761239096653545</x:v>
      </x:c>
      <x:c r="T240" s="9" t="n">
        <x:f>H240*Z239*INDEX(tun_MortAdult,G240)*Arch_AdultMort/4*Q240</x:f>
        <x:v>0.766574134750748</x:v>
      </x:c>
      <x:c r="U240" s="9" t="n">
        <x:f>H240*AA239*INDEX(tun_MortElder,G240)/4*Q240</x:f>
        <x:v>0.9991098521009313</x:v>
      </x:c>
      <x:c r="V240" s="9" t="n">
        <x:f>H240*MAX(0,AB239-O240)*tun_OvercapLoss</x:f>
        <x:v>0</x:v>
      </x:c>
      <x:c r="W240" s="9" t="n">
        <x:f>H240*Y239/(tun_ChildYears*4)</x:f>
        <x:v>8.276485499203226</x:v>
      </x:c>
      <x:c r="X240" s="9" t="n">
        <x:f>H240*Z239/(tun_AdultYears*4)</x:f>
        <x:v>2.3550664662081346</x:v>
      </x:c>
      <x:c r="Y240" s="32" t="n">
        <x:f>Y239+R240-S240-W240-Y239*V240/AB239</x:f>
        <x:v>470.6841610196677</x:v>
      </x:c>
      <x:c r="Z240" s="32" t="n">
        <x:f>Z239+W240-X240-T240-Z239*V240/AB239</x:f>
        <x:v>297.18308670805305</x:v>
      </x:c>
      <x:c r="AA240" s="32" t="n">
        <x:f>AA239+X240-U240-AA239*V240/AB239</x:f>
        <x:v>76.76047375380013</x:v>
      </x:c>
      <x:c r="AB240" s="10" t="n">
        <x:f>Y240+Z240+AA240</x:f>
        <x:v>844.6277214815209</x:v>
      </x:c>
      <x:c r="AC240" s="8" t="n">
        <x:f>IF(AND(tun_WinterTrigger=1,D240=1,AB239/AE239&gt;=K240),1,0)</x:f>
        <x:v>0</x:v>
      </x:c>
      <x:c r="AD240" s="8" t="n">
        <x:f>H240*IF(AND(OR(AB239/AE239&gt;=tun_FissionTrigger*N240,AC240=1),AB239/AE239*tun_DaughterShare&gt;=tun_MinDaughter),MAX(1,ROUND(AE239*tun_FissionRate,0)),0)</x:f>
        <x:v>0</x:v>
      </x:c>
      <x:c r="AE240" s="8" t="n">
        <x:f>IF(H240=1,MAX(1,MIN(INDEX(tun_Smax,G240),AE239+AD240)),AE239)</x:f>
        <x:v>3</x:v>
      </x:c>
      <x:c r="AF240" s="8" t="n">
        <x:f>MAX(0,AE240-AE239)</x:f>
        <x:v>0</x:v>
      </x:c>
      <x:c r="AG240" s="9" t="str">
        <x:f>IF(AF240&gt;0,B240,"")</x:f>
      </x:c>
      <x:c r="AH240" s="9" t="n">
        <x:f>IF(F240&gt;=1,1,(1+tun_LowTiesShare*(AE240-1))/AE240)</x:f>
        <x:v>1</x:v>
      </x:c>
      <x:c r="AI240" s="32" t="n">
        <x:f>(Z240+tun_ElderCommons*INDEX(LM_Elder,G240)*AA240)*AH240</x:f>
        <x:v>527.4645079694535</x:v>
      </x:c>
      <x:c r="AJ240" s="32" t="n">
        <x:f>H240*tun_CommonsCoef*AI240^tun_CommonsExp*INDEX(LM_Commons,G240)</x:f>
        <x:v>1195.2032022866974</x:v>
      </x:c>
      <x:c r="AK240" s="32" t="n">
        <x:f>H240*tun_RoleScale*Arch_Roles*(AE240*(INDEX(tun_ElderRolePerSett,G240)*tun_OutElder*INDEX(LM_Elder,G240)+INDEX(tun_ShamanPerSett,G240)*tun_OutShaman)+Z240*(INDEX(tun_PriestShare,G240)*tun_OutPriest+INDEX(tun_ScribeShare,G240)*tun_OutScribe*INDEX(LM_Scribe,G240)+INDEX(tun_ScholarShare,G240)*tun_OutScholar*INDEX(LM_Scholar,G240)+INDEX(tun_ResearcherShare,G240)*tun_OutResearcher*INDEX(LM_Researcher,G240)))</x:f>
        <x:v>139.17977756978917</x:v>
      </x:c>
      <x:c r="AL240" s="32" t="n">
        <x:f>H240*tun_RoleScale*Arch_Roles*AE240*INDEX(tun_MonasteryPerSett,G240)*tun_OutMonastery*INDEX(LM_Monastery,G240)</x:f>
        <x:v>0</x:v>
      </x:c>
      <x:c r="AM240" s="32" t="n">
        <x:f>(AJ240+AK240+AL240)/4*INDEX(LM_All,G240)*INDEX(tun_Boon,G240)*Arch_Insight</x:f>
        <x:v>401.3508475532269</x:v>
      </x:c>
      <x:c r="AN240" s="32" t="n">
        <x:f>H240*(tun_KHPerAdult*Z240+tun_KHOfCommons*AJ240/4*INDEX(LM_All,G240))*tun_KHUsable*Arch_KH</x:f>
        <x:v>79.79139563961014</x:v>
      </x:c>
      <x:c r="AO240" s="32" t="n">
        <x:f>MIN(AP239+AN240,AM240*tun_KHMaxRatio)</x:f>
        <x:v>79.79139563961014</x:v>
      </x:c>
      <x:c r="AP240" s="32" t="n">
        <x:f>AP239+AN240-AO240</x:f>
        <x:v>0</x:v>
      </x:c>
      <x:c r="AQ240" s="32" t="n">
        <x:f>AM240+AO240</x:f>
        <x:v>481.14224319283704</x:v>
      </x:c>
      <x:c r="AR240" s="10" t="n">
        <x:f>IF(H240=1,INDEX(tun_Req,G240),0)</x:f>
        <x:v>21071.475087999996</x:v>
      </x:c>
      <x:c r="AS240" s="32" t="n">
        <x:f>IF(H240=1,IF(E240=1,AS239-AR239,AS239)+AQ240,0)</x:f>
        <x:v>20769.815089319014</x:v>
      </x:c>
      <x:c r="AT240" s="11" t="n">
        <x:f>IF(AR240&gt;0,MIN(1,AS240/AR240),1)</x:f>
        <x:v>0.9856839638695833</x:v>
      </x:c>
      <x:c r="AU240" s="10" t="n">
        <x:f>AB240/INDEX(tun_RepScale,G240)</x:f>
        <x:v>422.31386074076045</x:v>
      </x:c>
      <x:c r="AV240" s="32" t="n">
        <x:f>AM240*60/tun_SeasonSeconds</x:f>
        <x:v>1605.4033902129077</x:v>
      </x:c>
    </x:row>
    <x:row r="241">
      <x:c r="A241" s="8" t="n">
        <x:f>A240+1</x:f>
        <x:v>238</x:v>
      </x:c>
      <x:c r="B241" s="9" t="n">
        <x:f>A241*tun_SeasonSeconds/60</x:f>
        <x:v>59.5</x:v>
      </x:c>
      <x:c r="C241" s="9" t="n">
        <x:f>A241/4</x:f>
        <x:v>59.5</x:v>
      </x:c>
      <x:c r="D241" s="8" t="n">
        <x:f>IF(MOD(A241,4)=0,1,0)</x:f>
        <x:v>0</x:v>
      </x:c>
      <x:c r="E241" s="8" t="n">
        <x:f>IF(AND(F240&lt;=9,AS240&gt;=AR240),1,0)</x:f>
        <x:v>0</x:v>
      </x:c>
      <x:c r="F241" s="8" t="n">
        <x:f>MIN(10,F240+E241)</x:f>
        <x:v>4</x:v>
      </x:c>
      <x:c r="G241" s="8" t="n">
        <x:f>MIN(F241,9)+1</x:f>
        <x:v>5</x:v>
      </x:c>
      <x:c r="H241" s="8" t="n">
        <x:f>IF(F241&lt;=9,1,0)</x:f>
        <x:v>1</x:v>
      </x:c>
      <x:c r="I241" s="9" t="n">
        <x:f>MIN(10,F240+IF(AR240&gt;0,MIN(1,AS240/AR240),1))</x:f>
        <x:v>4.985683963869583</x:v>
      </x:c>
      <x:c r="J241" s="32" t="n">
        <x:f>INDEX(tun_FoodCap,G241)*Arch_FoodCap*EXP(tun_CapsByProject*SUMPRODUCT((Cap_Point&lt;=I241)*(Cap_Kind="Food")*Cap_Ln))</x:f>
        <x:v>372.89883457776335</x:v>
      </x:c>
      <x:c r="K241" s="32" t="n">
        <x:f>J241*MIN(1,tun_LeanBase*EXP(tun_CapsByProject*SUMPRODUCT((Cap_Point&lt;=I241)*(Cap_Kind="Lean")*Cap_Ln)))</x:f>
        <x:v>372.89883457776335</x:v>
      </x:c>
      <x:c r="L241" s="10" t="n">
        <x:f>INDEX(tun_HousingCap,G241)*EXP(tun_CapsByProject*SUMPRODUCT((Cap_Point&lt;=I241)*(Cap_Kind="Housing")*Cap_Ln))</x:f>
        <x:v>1981.8141431314853</x:v>
      </x:c>
      <x:c r="M241" s="10" t="n">
        <x:f>INDEX(tun_GroupCap,G241)*tun_CohesionFactor*EXP(tun_CapsByProject*SUMPRODUCT((Cap_Point&lt;=I241)*(Cap_Kind="Group")*Cap_Ln))</x:f>
        <x:v>50000.00000000004</x:v>
      </x:c>
      <x:c r="N241" s="32" t="n">
        <x:f>MIN(J241,L241,M241)</x:f>
        <x:v>372.89883457776335</x:v>
      </x:c>
      <x:c r="O241" s="10" t="n">
        <x:f>AE240*N241</x:f>
        <x:v>1118.69650373329</x:v>
      </x:c>
      <x:c r="P241" s="9" t="n">
        <x:f>MIN(1,(AB240/(AE240*IF(tun_GroupInCrowding=1,N241,MIN(J241,L241))))^tun_CrowdingExp)</x:f>
        <x:v>0.18523297545429762</x:v>
      </x:c>
      <x:c r="Q241" s="9" t="n">
        <x:f>IF(D241=1,INDEX(tun_WinterMult,G241),1)</x:f>
        <x:v>1</x:v>
      </x:c>
      <x:c r="R241" s="9" t="n">
        <x:f>H241*Z240*tun_WomenShare*tun_BaseFertility*INDEX(tun_FertMult,G241)*Arch_Fertility*(1-P241)</x:f>
        <x:v>18.886528385589372</x:v>
      </x:c>
      <x:c r="S241" s="9" t="n">
        <x:f>H241*Y240*INDEX(tun_MortChild,G241)/4*Q241</x:f>
        <x:v>3.530131207647508</x:v>
      </x:c>
      <x:c r="T241" s="9" t="n">
        <x:f>H241*Z240*INDEX(tun_MortAdult,G241)*Arch_AdultMort/4*Q241</x:f>
        <x:v>0.7801056026086394</x:v>
      </x:c>
      <x:c r="U241" s="9" t="n">
        <x:f>H241*AA240*INDEX(tun_MortElder,G241)/4*Q241</x:f>
        <x:v>1.0170762772378517</x:v>
      </x:c>
      <x:c r="V241" s="9" t="n">
        <x:f>H241*MAX(0,AB240-O241)*tun_OvercapLoss</x:f>
        <x:v>0</x:v>
      </x:c>
      <x:c r="W241" s="9" t="n">
        <x:f>H241*Y240/(tun_ChildYears*4)</x:f>
        <x:v>8.405074303922637</x:v>
      </x:c>
      <x:c r="X241" s="9" t="n">
        <x:f>H241*Z240/(tun_AdultYears*4)</x:f>
        <x:v>2.396637796032686</x:v>
      </x:c>
      <x:c r="Y241" s="32" t="n">
        <x:f>Y240+R241-S241-W241-Y240*V241/AB240</x:f>
        <x:v>477.63548389368697</x:v>
      </x:c>
      <x:c r="Z241" s="32" t="n">
        <x:f>Z240+W241-X241-T241-Z240*V241/AB240</x:f>
        <x:v>302.4114176133344</x:v>
      </x:c>
      <x:c r="AA241" s="32" t="n">
        <x:f>AA240+X241-U241-AA240*V241/AB240</x:f>
        <x:v>78.14003527259497</x:v>
      </x:c>
      <x:c r="AB241" s="10" t="n">
        <x:f>Y241+Z241+AA241</x:f>
        <x:v>858.1869367796164</x:v>
      </x:c>
      <x:c r="AC241" s="8" t="n">
        <x:f>IF(AND(tun_WinterTrigger=1,D241=1,AB240/AE240&gt;=K241),1,0)</x:f>
        <x:v>0</x:v>
      </x:c>
      <x:c r="AD241" s="8" t="n">
        <x:f>H241*IF(AND(OR(AB240/AE240&gt;=tun_FissionTrigger*N241,AC241=1),AB240/AE240*tun_DaughterShare&gt;=tun_MinDaughter),MAX(1,ROUND(AE240*tun_FissionRate,0)),0)</x:f>
        <x:v>0</x:v>
      </x:c>
      <x:c r="AE241" s="8" t="n">
        <x:f>IF(H241=1,MAX(1,MIN(INDEX(tun_Smax,G241),AE240+AD241)),AE240)</x:f>
        <x:v>3</x:v>
      </x:c>
      <x:c r="AF241" s="8" t="n">
        <x:f>MAX(0,AE241-AE240)</x:f>
        <x:v>0</x:v>
      </x:c>
      <x:c r="AG241" s="9" t="str">
        <x:f>IF(AF241&gt;0,B241,"")</x:f>
      </x:c>
      <x:c r="AH241" s="9" t="n">
        <x:f>IF(F241&gt;=1,1,(1+tun_LowTiesShare*(AE241-1))/AE241)</x:f>
        <x:v>1</x:v>
      </x:c>
      <x:c r="AI241" s="32" t="n">
        <x:f>(Z241+tun_ElderCommons*INDEX(LM_Elder,G241)*AA241)*AH241</x:f>
        <x:v>536.8315234311193</x:v>
      </x:c>
      <x:c r="AJ241" s="32" t="n">
        <x:f>H241*tun_CommonsCoef*AI241^tun_CommonsExp*INDEX(LM_Commons,G241)</x:f>
        <x:v>1213.220670111786</x:v>
      </x:c>
      <x:c r="AK241" s="32" t="n">
        <x:f>H241*tun_RoleScale*Arch_Roles*(AE241*(INDEX(tun_ElderRolePerSett,G241)*tun_OutElder*INDEX(LM_Elder,G241)+INDEX(tun_ShamanPerSett,G241)*tun_OutShaman)+Z241*(INDEX(tun_PriestShare,G241)*tun_OutPriest+INDEX(tun_ScribeShare,G241)*tun_OutScribe*INDEX(LM_Scribe,G241)+INDEX(tun_ScholarShare,G241)*tun_OutScholar*INDEX(LM_Scholar,G241)+INDEX(tun_ResearcherShare,G241)*tun_OutResearcher*INDEX(LM_Researcher,G241)))</x:f>
        <x:v>140.36166887850658</x:v>
      </x:c>
      <x:c r="AL241" s="32" t="n">
        <x:f>H241*tun_RoleScale*Arch_Roles*AE241*INDEX(tun_MonasteryPerSett,G241)*tun_OutMonastery*INDEX(LM_Monastery,G241)</x:f>
        <x:v>0</x:v>
      </x:c>
      <x:c r="AM241" s="32" t="n">
        <x:f>(AJ241+AK241+AL241)/4*INDEX(LM_All,G241)*INDEX(tun_Boon,G241)*Arch_Insight</x:f>
        <x:v>407.12556079309496</x:v>
      </x:c>
      <x:c r="AN241" s="32" t="n">
        <x:f>H241*(tun_KHPerAdult*Z241+tun_KHOfCommons*AJ241/4*INDEX(LM_All,G241))*tun_KHUsable*Arch_KH</x:f>
        <x:v>80.99423621174469</x:v>
      </x:c>
      <x:c r="AO241" s="32" t="n">
        <x:f>MIN(AP240+AN241,AM241*tun_KHMaxRatio)</x:f>
        <x:v>80.99423621174469</x:v>
      </x:c>
      <x:c r="AP241" s="32" t="n">
        <x:f>AP240+AN241-AO241</x:f>
        <x:v>0</x:v>
      </x:c>
      <x:c r="AQ241" s="32" t="n">
        <x:f>AM241+AO241</x:f>
        <x:v>488.11979700483965</x:v>
      </x:c>
      <x:c r="AR241" s="10" t="n">
        <x:f>IF(H241=1,INDEX(tun_Req,G241),0)</x:f>
        <x:v>21071.475087999996</x:v>
      </x:c>
      <x:c r="AS241" s="32" t="n">
        <x:f>IF(H241=1,IF(E241=1,AS240-AR240,AS240)+AQ241,0)</x:f>
        <x:v>21257.934886323852</x:v>
      </x:c>
      <x:c r="AT241" s="11" t="n">
        <x:f>IF(AR241&gt;0,MIN(1,AS241/AR241),1)</x:f>
        <x:v>1</x:v>
      </x:c>
      <x:c r="AU241" s="10" t="n">
        <x:f>AB241/INDEX(tun_RepScale,G241)</x:f>
        <x:v>429.0934683898082</x:v>
      </x:c>
      <x:c r="AV241" s="32" t="n">
        <x:f>AM241*60/tun_SeasonSeconds</x:f>
        <x:v>1628.5022431723798</x:v>
      </x:c>
    </x:row>
    <x:row r="242">
      <x:c r="A242" s="8" t="n">
        <x:f>A241+1</x:f>
        <x:v>239</x:v>
      </x:c>
      <x:c r="B242" s="9" t="n">
        <x:f>A242*tun_SeasonSeconds/60</x:f>
        <x:v>59.75</x:v>
      </x:c>
      <x:c r="C242" s="9" t="n">
        <x:f>A242/4</x:f>
        <x:v>59.75</x:v>
      </x:c>
      <x:c r="D242" s="8" t="n">
        <x:f>IF(MOD(A242,4)=0,1,0)</x:f>
        <x:v>0</x:v>
      </x:c>
      <x:c r="E242" s="8" t="n">
        <x:f>IF(AND(F241&lt;=9,AS241&gt;=AR241),1,0)</x:f>
        <x:v>1</x:v>
      </x:c>
      <x:c r="F242" s="8" t="n">
        <x:f>MIN(10,F241+E242)</x:f>
        <x:v>5</x:v>
      </x:c>
      <x:c r="G242" s="8" t="n">
        <x:f>MIN(F242,9)+1</x:f>
        <x:v>6</x:v>
      </x:c>
      <x:c r="H242" s="8" t="n">
        <x:f>IF(F242&lt;=9,1,0)</x:f>
        <x:v>1</x:v>
      </x:c>
      <x:c r="I242" s="9" t="n">
        <x:f>MIN(10,F241+IF(AR241&gt;0,MIN(1,AS241/AR241),1))</x:f>
        <x:v>5</x:v>
      </x:c>
      <x:c r="J242" s="32" t="n">
        <x:f>INDEX(tun_FoodCap,G242)*Arch_FoodCap*EXP(tun_CapsByProject*SUMPRODUCT((Cap_Point&lt;=I242)*(Cap_Kind="Food")*Cap_Ln))</x:f>
        <x:v>372.89883457776335</x:v>
      </x:c>
      <x:c r="K242" s="32" t="n">
        <x:f>J242*MIN(1,tun_LeanBase*EXP(tun_CapsByProject*SUMPRODUCT((Cap_Point&lt;=I242)*(Cap_Kind="Lean")*Cap_Ln)))</x:f>
        <x:v>372.89883457776335</x:v>
      </x:c>
      <x:c r="L242" s="10" t="n">
        <x:f>INDEX(tun_HousingCap,G242)*EXP(tun_CapsByProject*SUMPRODUCT((Cap_Point&lt;=I242)*(Cap_Kind="Housing")*Cap_Ln))</x:f>
        <x:v>1981.8141431314853</x:v>
      </x:c>
      <x:c r="M242" s="10" t="n">
        <x:f>INDEX(tun_GroupCap,G242)*tun_CohesionFactor*EXP(tun_CapsByProject*SUMPRODUCT((Cap_Point&lt;=I242)*(Cap_Kind="Group")*Cap_Ln))</x:f>
        <x:v>50000.00000000004</x:v>
      </x:c>
      <x:c r="N242" s="32" t="n">
        <x:f>MIN(J242,L242,M242)</x:f>
        <x:v>372.89883457776335</x:v>
      </x:c>
      <x:c r="O242" s="10" t="n">
        <x:f>AE241*N242</x:f>
        <x:v>1118.69650373329</x:v>
      </x:c>
      <x:c r="P242" s="9" t="n">
        <x:f>MIN(1,(AB241/(AE241*IF(tun_GroupInCrowding=1,N242,MIN(J242,L242))))^tun_CrowdingExp)</x:f>
        <x:v>0.20380635042911724</x:v>
      </x:c>
      <x:c r="Q242" s="9" t="n">
        <x:f>IF(D242=1,INDEX(tun_WinterMult,G242),1)</x:f>
        <x:v>1</x:v>
      </x:c>
      <x:c r="R242" s="9" t="n">
        <x:f>H242*Z241*tun_WomenShare*tun_BaseFertility*INDEX(tun_FertMult,G242)*Arch_Fertility*(1-P242)</x:f>
        <x:v>17.215630593694755</x:v>
      </x:c>
      <x:c r="S242" s="9" t="n">
        <x:f>H242*Y241*INDEX(tun_MortChild,G242)/4*Q242</x:f>
        <x:v>3.4628572582292305</x:v>
      </x:c>
      <x:c r="T242" s="9" t="n">
        <x:f>H242*Z241*INDEX(tun_MortAdult,G242)*Arch_AdultMort/4*Q242</x:f>
        <x:v>0.7938299712350028</x:v>
      </x:c>
      <x:c r="U242" s="9" t="n">
        <x:f>H242*AA241*INDEX(tun_MortElder,G242)/4*Q242</x:f>
        <x:v>0.9962854497255859</x:v>
      </x:c>
      <x:c r="V242" s="9" t="n">
        <x:f>H242*MAX(0,AB241-O242)*tun_OvercapLoss</x:f>
        <x:v>0</x:v>
      </x:c>
      <x:c r="W242" s="9" t="n">
        <x:f>H242*Y241/(tun_ChildYears*4)</x:f>
        <x:v>8.529205069530125</x:v>
      </x:c>
      <x:c r="X242" s="9" t="n">
        <x:f>H242*Z241/(tun_AdultYears*4)</x:f>
        <x:v>2.438801754946245</x:v>
      </x:c>
      <x:c r="Y242" s="32" t="n">
        <x:f>Y241+R242-S242-W242-Y241*V242/AB241</x:f>
        <x:v>482.85905215962237</x:v>
      </x:c>
      <x:c r="Z242" s="32" t="n">
        <x:f>Z241+W242-X242-T242-Z241*V242/AB241</x:f>
        <x:v>307.7079909566832</x:v>
      </x:c>
      <x:c r="AA242" s="32" t="n">
        <x:f>AA241+X242-U242-AA241*V242/AB241</x:f>
        <x:v>79.58255157781562</x:v>
      </x:c>
      <x:c r="AB242" s="10" t="n">
        <x:f>Y242+Z242+AA242</x:f>
        <x:v>870.1495946941211</x:v>
      </x:c>
      <x:c r="AC242" s="8" t="n">
        <x:f>IF(AND(tun_WinterTrigger=1,D242=1,AB241/AE241&gt;=K242),1,0)</x:f>
        <x:v>0</x:v>
      </x:c>
      <x:c r="AD242" s="8" t="n">
        <x:f>H242*IF(AND(OR(AB241/AE241&gt;=tun_FissionTrigger*N242,AC242=1),AB241/AE241*tun_DaughterShare&gt;=tun_MinDaughter),MAX(1,ROUND(AE241*tun_FissionRate,0)),0)</x:f>
        <x:v>0</x:v>
      </x:c>
      <x:c r="AE242" s="8" t="n">
        <x:f>IF(H242=1,MAX(1,MIN(INDEX(tun_Smax,G242),AE241+AD242)),AE241)</x:f>
        <x:v>3</x:v>
      </x:c>
      <x:c r="AF242" s="8" t="n">
        <x:f>MAX(0,AE242-AE241)</x:f>
        <x:v>0</x:v>
      </x:c>
      <x:c r="AG242" s="9" t="str">
        <x:f>IF(AF242&gt;0,B242,"")</x:f>
      </x:c>
      <x:c r="AH242" s="9" t="n">
        <x:f>IF(F242&gt;=1,1,(1+tun_LowTiesShare*(AE242-1))/AE242)</x:f>
        <x:v>1</x:v>
      </x:c>
      <x:c r="AI242" s="32" t="n">
        <x:f>(Z242+tun_ElderCommons*INDEX(LM_Elder,G242)*AA242)*AH242</x:f>
        <x:v>574.6359836830015</x:v>
      </x:c>
      <x:c r="AJ242" s="32" t="n">
        <x:f>H242*tun_CommonsCoef*AI242^tun_CommonsExp*INDEX(LM_Commons,G242)</x:f>
        <x:v>1412.5536681649082</x:v>
      </x:c>
      <x:c r="AK242" s="32" t="n">
        <x:f>H242*tun_RoleScale*Arch_Roles*(AE242*(INDEX(tun_ElderRolePerSett,G242)*tun_OutElder*INDEX(LM_Elder,G242)+INDEX(tun_ShamanPerSett,G242)*tun_OutShaman)+Z242*(INDEX(tun_PriestShare,G242)*tun_OutPriest+INDEX(tun_ScribeShare,G242)*tun_OutScribe*INDEX(LM_Scribe,G242)+INDEX(tun_ScholarShare,G242)*tun_OutScholar*INDEX(LM_Scholar,G242)+INDEX(tun_ResearcherShare,G242)*tun_OutResearcher*INDEX(LM_Researcher,G242)))</x:f>
        <x:v>250.812835272434</x:v>
      </x:c>
      <x:c r="AL242" s="32" t="n">
        <x:f>H242*tun_RoleScale*Arch_Roles*AE242*INDEX(tun_MonasteryPerSett,G242)*tun_OutMonastery*INDEX(LM_Monastery,G242)</x:f>
        <x:v>7.551423706825091</x:v>
      </x:c>
      <x:c r="AM242" s="32" t="n">
        <x:f>(AJ242+AK242+AL242)/4*INDEX(LM_All,G242)*INDEX(tun_Boon,G242)*Arch_Insight</x:f>
        <x:v>602.1155108177403</x:v>
      </x:c>
      <x:c r="AN242" s="32" t="n">
        <x:f>H242*(tun_KHPerAdult*Z242+tun_KHOfCommons*AJ242/4*INDEX(LM_All,G242))*tun_KHUsable*Arch_KH</x:f>
        <x:v>110.22406185548716</x:v>
      </x:c>
      <x:c r="AO242" s="32" t="n">
        <x:f>MIN(AP241+AN242,AM242*tun_KHMaxRatio)</x:f>
        <x:v>110.22406185548716</x:v>
      </x:c>
      <x:c r="AP242" s="32" t="n">
        <x:f>AP241+AN242-AO242</x:f>
        <x:v>0</x:v>
      </x:c>
      <x:c r="AQ242" s="32" t="n">
        <x:f>AM242+AO242</x:f>
        <x:v>712.3395726732275</x:v>
      </x:c>
      <x:c r="AR242" s="10" t="n">
        <x:f>IF(H242=1,INDEX(tun_Req,G242),0)</x:f>
        <x:v>88783.394528</x:v>
      </x:c>
      <x:c r="AS242" s="32" t="n">
        <x:f>IF(H242=1,IF(E242=1,AS241-AR241,AS241)+AQ242,0)</x:f>
        <x:v>898.7993709970839</x:v>
      </x:c>
      <x:c r="AT242" s="11" t="n">
        <x:f>IF(AR242&gt;0,MIN(1,AS242/AR242),1)</x:f>
        <x:v>0.010123507619587867</x:v>
      </x:c>
      <x:c r="AU242" s="10" t="n">
        <x:f>AB242/INDEX(tun_RepScale,G242)</x:f>
        <x:v>174.0299189388242</x:v>
      </x:c>
      <x:c r="AV242" s="32" t="n">
        <x:f>AM242*60/tun_SeasonSeconds</x:f>
        <x:v>2408.462043270961</x:v>
      </x:c>
    </x:row>
    <x:row r="243">
      <x:c r="A243" s="8" t="n">
        <x:f>A242+1</x:f>
        <x:v>240</x:v>
      </x:c>
      <x:c r="B243" s="9" t="n">
        <x:f>A243*tun_SeasonSeconds/60</x:f>
        <x:v>60</x:v>
      </x:c>
      <x:c r="C243" s="9" t="n">
        <x:f>A243/4</x:f>
        <x:v>60</x:v>
      </x:c>
      <x:c r="D243" s="8" t="n">
        <x:f>IF(MOD(A243,4)=0,1,0)</x:f>
        <x:v>1</x:v>
      </x:c>
      <x:c r="E243" s="8" t="n">
        <x:f>IF(AND(F242&lt;=9,AS242&gt;=AR242),1,0)</x:f>
        <x:v>0</x:v>
      </x:c>
      <x:c r="F243" s="8" t="n">
        <x:f>MIN(10,F242+E243)</x:f>
        <x:v>5</x:v>
      </x:c>
      <x:c r="G243" s="8" t="n">
        <x:f>MIN(F243,9)+1</x:f>
        <x:v>6</x:v>
      </x:c>
      <x:c r="H243" s="8" t="n">
        <x:f>IF(F243&lt;=9,1,0)</x:f>
        <x:v>1</x:v>
      </x:c>
      <x:c r="I243" s="9" t="n">
        <x:f>MIN(10,F242+IF(AR242&gt;0,MIN(1,AS242/AR242),1))</x:f>
        <x:v>5.010123507619588</x:v>
      </x:c>
      <x:c r="J243" s="32" t="n">
        <x:f>INDEX(tun_FoodCap,G243)*Arch_FoodCap*EXP(tun_CapsByProject*SUMPRODUCT((Cap_Point&lt;=I243)*(Cap_Kind="Food")*Cap_Ln))</x:f>
        <x:v>372.89883457776335</x:v>
      </x:c>
      <x:c r="K243" s="32" t="n">
        <x:f>J243*MIN(1,tun_LeanBase*EXP(tun_CapsByProject*SUMPRODUCT((Cap_Point&lt;=I243)*(Cap_Kind="Lean")*Cap_Ln)))</x:f>
        <x:v>372.89883457776335</x:v>
      </x:c>
      <x:c r="L243" s="10" t="n">
        <x:f>INDEX(tun_HousingCap,G243)*EXP(tun_CapsByProject*SUMPRODUCT((Cap_Point&lt;=I243)*(Cap_Kind="Housing")*Cap_Ln))</x:f>
        <x:v>1981.8141431314853</x:v>
      </x:c>
      <x:c r="M243" s="10" t="n">
        <x:f>INDEX(tun_GroupCap,G243)*tun_CohesionFactor*EXP(tun_CapsByProject*SUMPRODUCT((Cap_Point&lt;=I243)*(Cap_Kind="Group")*Cap_Ln))</x:f>
        <x:v>50000.00000000004</x:v>
      </x:c>
      <x:c r="N243" s="32" t="n">
        <x:f>MIN(J243,L243,M243)</x:f>
        <x:v>372.89883457776335</x:v>
      </x:c>
      <x:c r="O243" s="10" t="n">
        <x:f>AE242*N243</x:f>
        <x:v>1118.69650373329</x:v>
      </x:c>
      <x:c r="P243" s="9" t="n">
        <x:f>MIN(1,(AB242/(AE242*IF(tun_GroupInCrowding=1,N243,MIN(J243,L243))))^tun_CrowdingExp)</x:f>
        <x:v>0.22145722249692087</x:v>
      </x:c>
      <x:c r="Q243" s="9" t="n">
        <x:f>IF(D243=1,INDEX(tun_WinterMult,G243),1)</x:f>
        <x:v>1.15</x:v>
      </x:c>
      <x:c r="R243" s="9" t="n">
        <x:f>H243*Z242*tun_WomenShare*tun_BaseFertility*INDEX(tun_FertMult,G243)*Arch_Fertility*(1-P243)</x:f>
        <x:v>17.128814126660558</x:v>
      </x:c>
      <x:c r="S243" s="9" t="n">
        <x:f>H243*Y242*INDEX(tun_MortChild,G243)/4*Q243</x:f>
        <x:v>4.025837347380851</x:v>
      </x:c>
      <x:c r="T243" s="9" t="n">
        <x:f>H243*Z242*INDEX(tun_MortAdult,G243)*Arch_AdultMort/4*Q243</x:f>
        <x:v>0.9288934977004873</x:v>
      </x:c>
      <x:c r="U243" s="9" t="n">
        <x:f>H243*AA242*INDEX(tun_MortElder,G243)/4*Q243</x:f>
        <x:v>1.1668791625097215</x:v>
      </x:c>
      <x:c r="V243" s="9" t="n">
        <x:f>H243*MAX(0,AB242-O243)*tun_OvercapLoss</x:f>
        <x:v>0</x:v>
      </x:c>
      <x:c r="W243" s="9" t="n">
        <x:f>H243*Y242/(tun_ChildYears*4)</x:f>
        <x:v>8.622483074278971</x:v>
      </x:c>
      <x:c r="X243" s="9" t="n">
        <x:f>H243*Z242/(tun_AdultYears*4)</x:f>
        <x:v>2.4815160561022838</x:v>
      </x:c>
      <x:c r="Y243" s="32" t="n">
        <x:f>Y242+R243-S243-W243-Y242*V243/AB242</x:f>
        <x:v>487.3395458646231</x:v>
      </x:c>
      <x:c r="Z243" s="32" t="n">
        <x:f>Z242+W243-X243-T243-Z242*V243/AB242</x:f>
        <x:v>312.9200644771594</x:v>
      </x:c>
      <x:c r="AA243" s="32" t="n">
        <x:f>AA242+X243-U243-AA242*V243/AB242</x:f>
        <x:v>80.89718847140819</x:v>
      </x:c>
      <x:c r="AB243" s="10" t="n">
        <x:f>Y243+Z243+AA243</x:f>
        <x:v>881.1567988131907</x:v>
      </x:c>
      <x:c r="AC243" s="8" t="n">
        <x:f>IF(AND(tun_WinterTrigger=1,D243=1,AB242/AE242&gt;=K243),1,0)</x:f>
        <x:v>0</x:v>
      </x:c>
      <x:c r="AD243" s="8" t="n">
        <x:f>H243*IF(AND(OR(AB242/AE242&gt;=tun_FissionTrigger*N243,AC243=1),AB242/AE242*tun_DaughterShare&gt;=tun_MinDaughter),MAX(1,ROUND(AE242*tun_FissionRate,0)),0)</x:f>
        <x:v>0</x:v>
      </x:c>
      <x:c r="AE243" s="8" t="n">
        <x:f>IF(H243=1,MAX(1,MIN(INDEX(tun_Smax,G243),AE242+AD243)),AE242)</x:f>
        <x:v>3</x:v>
      </x:c>
      <x:c r="AF243" s="8" t="n">
        <x:f>MAX(0,AE243-AE242)</x:f>
        <x:v>0</x:v>
      </x:c>
      <x:c r="AG243" s="9" t="str">
        <x:f>IF(AF243&gt;0,B243,"")</x:f>
      </x:c>
      <x:c r="AH243" s="9" t="n">
        <x:f>IF(F243&gt;=1,1,(1+tun_LowTiesShare*(AE243-1))/AE243)</x:f>
        <x:v>1</x:v>
      </x:c>
      <x:c r="AI243" s="32" t="n">
        <x:f>(Z243+tun_ElderCommons*INDEX(LM_Elder,G243)*AA243)*AH243</x:f>
        <x:v>584.257483393181</x:v>
      </x:c>
      <x:c r="AJ243" s="32" t="n">
        <x:f>H243*tun_CommonsCoef*AI243^tun_CommonsExp*INDEX(LM_Commons,G243)</x:f>
        <x:v>1432.632183266602</x:v>
      </x:c>
      <x:c r="AK243" s="32" t="n">
        <x:f>H243*tun_RoleScale*Arch_Roles*(AE243*(INDEX(tun_ElderRolePerSett,G243)*tun_OutElder*INDEX(LM_Elder,G243)+INDEX(tun_ShamanPerSett,G243)*tun_OutShaman)+Z243*(INDEX(tun_PriestShare,G243)*tun_OutPriest+INDEX(tun_ScribeShare,G243)*tun_OutScribe*INDEX(LM_Scribe,G243)+INDEX(tun_ScholarShare,G243)*tun_OutScholar*INDEX(LM_Scholar,G243)+INDEX(tun_ResearcherShare,G243)*tun_OutResearcher*INDEX(LM_Researcher,G243)))</x:f>
        <x:v>253.76965929001614</x:v>
      </x:c>
      <x:c r="AL243" s="32" t="n">
        <x:f>H243*tun_RoleScale*Arch_Roles*AE243*INDEX(tun_MonasteryPerSett,G243)*tun_OutMonastery*INDEX(LM_Monastery,G243)</x:f>
        <x:v>7.551423706825091</x:v>
      </x:c>
      <x:c r="AM243" s="32" t="n">
        <x:f>(AJ243+AK243+AL243)/4*INDEX(LM_All,G243)*INDEX(tun_Boon,G243)*Arch_Insight</x:f>
        <x:v>610.4162985197241</x:v>
      </x:c>
      <x:c r="AN243" s="32" t="n">
        <x:f>H243*(tun_KHPerAdult*Z243+tun_KHOfCommons*AJ243/4*INDEX(LM_All,G243))*tun_KHUsable*Arch_KH</x:f>
        <x:v>111.79082391233034</x:v>
      </x:c>
      <x:c r="AO243" s="32" t="n">
        <x:f>MIN(AP242+AN243,AM243*tun_KHMaxRatio)</x:f>
        <x:v>111.79082391233034</x:v>
      </x:c>
      <x:c r="AP243" s="32" t="n">
        <x:f>AP242+AN243-AO243</x:f>
        <x:v>0</x:v>
      </x:c>
      <x:c r="AQ243" s="32" t="n">
        <x:f>AM243+AO243</x:f>
        <x:v>722.2071224320545</x:v>
      </x:c>
      <x:c r="AR243" s="10" t="n">
        <x:f>IF(H243=1,INDEX(tun_Req,G243),0)</x:f>
        <x:v>88783.394528</x:v>
      </x:c>
      <x:c r="AS243" s="32" t="n">
        <x:f>IF(H243=1,IF(E243=1,AS242-AR242,AS242)+AQ243,0)</x:f>
        <x:v>1621.0064934291383</x:v>
      </x:c>
      <x:c r="AT243" s="11" t="n">
        <x:f>IF(AR243&gt;0,MIN(1,AS243/AR243),1)</x:f>
        <x:v>0.01825799184686405</x:v>
      </x:c>
      <x:c r="AU243" s="10" t="n">
        <x:f>AB243/INDEX(tun_RepScale,G243)</x:f>
        <x:v>176.23135976263814</x:v>
      </x:c>
      <x:c r="AV243" s="32" t="n">
        <x:f>AM243*60/tun_SeasonSeconds</x:f>
        <x:v>2441.6651940788965</x:v>
      </x:c>
    </x:row>
    <x:row r="244">
      <x:c r="A244" s="8" t="n">
        <x:f>A243+1</x:f>
        <x:v>241</x:v>
      </x:c>
      <x:c r="B244" s="9" t="n">
        <x:f>A244*tun_SeasonSeconds/60</x:f>
        <x:v>60.25</x:v>
      </x:c>
      <x:c r="C244" s="9" t="n">
        <x:f>A244/4</x:f>
        <x:v>60.25</x:v>
      </x:c>
      <x:c r="D244" s="8" t="n">
        <x:f>IF(MOD(A244,4)=0,1,0)</x:f>
        <x:v>0</x:v>
      </x:c>
      <x:c r="E244" s="8" t="n">
        <x:f>IF(AND(F243&lt;=9,AS243&gt;=AR243),1,0)</x:f>
        <x:v>0</x:v>
      </x:c>
      <x:c r="F244" s="8" t="n">
        <x:f>MIN(10,F243+E244)</x:f>
        <x:v>5</x:v>
      </x:c>
      <x:c r="G244" s="8" t="n">
        <x:f>MIN(F244,9)+1</x:f>
        <x:v>6</x:v>
      </x:c>
      <x:c r="H244" s="8" t="n">
        <x:f>IF(F244&lt;=9,1,0)</x:f>
        <x:v>1</x:v>
      </x:c>
      <x:c r="I244" s="9" t="n">
        <x:f>MIN(10,F243+IF(AR243&gt;0,MIN(1,AS243/AR243),1))</x:f>
        <x:v>5.018257991846864</x:v>
      </x:c>
      <x:c r="J244" s="32" t="n">
        <x:f>INDEX(tun_FoodCap,G244)*Arch_FoodCap*EXP(tun_CapsByProject*SUMPRODUCT((Cap_Point&lt;=I244)*(Cap_Kind="Food")*Cap_Ln))</x:f>
        <x:v>372.89883457776335</x:v>
      </x:c>
      <x:c r="K244" s="32" t="n">
        <x:f>J244*MIN(1,tun_LeanBase*EXP(tun_CapsByProject*SUMPRODUCT((Cap_Point&lt;=I244)*(Cap_Kind="Lean")*Cap_Ln)))</x:f>
        <x:v>372.89883457776335</x:v>
      </x:c>
      <x:c r="L244" s="10" t="n">
        <x:f>INDEX(tun_HousingCap,G244)*EXP(tun_CapsByProject*SUMPRODUCT((Cap_Point&lt;=I244)*(Cap_Kind="Housing")*Cap_Ln))</x:f>
        <x:v>1981.8141431314853</x:v>
      </x:c>
      <x:c r="M244" s="10" t="n">
        <x:f>INDEX(tun_GroupCap,G244)*tun_CohesionFactor*EXP(tun_CapsByProject*SUMPRODUCT((Cap_Point&lt;=I244)*(Cap_Kind="Group")*Cap_Ln))</x:f>
        <x:v>50000.00000000004</x:v>
      </x:c>
      <x:c r="N244" s="32" t="n">
        <x:f>MIN(J244,L244,M244)</x:f>
        <x:v>372.89883457776335</x:v>
      </x:c>
      <x:c r="O244" s="10" t="n">
        <x:f>AE243*N244</x:f>
        <x:v>1118.69650373329</x:v>
      </x:c>
      <x:c r="P244" s="9" t="n">
        <x:f>MIN(1,(AB243/(AE243*IF(tun_GroupInCrowding=1,N244,MIN(J244,L244))))^tun_CrowdingExp)</x:f>
        <x:v>0.2388061429869991</x:v>
      </x:c>
      <x:c r="Q244" s="9" t="n">
        <x:f>IF(D244=1,INDEX(tun_WinterMult,G244),1)</x:f>
        <x:v>1</x:v>
      </x:c>
      <x:c r="R244" s="9" t="n">
        <x:f>H244*Z243*tun_WomenShare*tun_BaseFertility*INDEX(tun_FertMult,G244)*Arch_Fertility*(1-P244)</x:f>
        <x:v>17.030787403353006</x:v>
      </x:c>
      <x:c r="S244" s="9" t="n">
        <x:f>H244*Y243*INDEX(tun_MortChild,G244)/4*Q244</x:f>
        <x:v>3.5332117075185177</x:v>
      </x:c>
      <x:c r="T244" s="9" t="n">
        <x:f>H244*Z243*INDEX(tun_MortAdult,G244)*Arch_AdultMort/4*Q244</x:f>
        <x:v>0.8214151692525435</x:v>
      </x:c>
      <x:c r="U244" s="9" t="n">
        <x:f>H244*AA243*INDEX(tun_MortElder,G244)/4*Q244</x:f>
        <x:v>1.0314391530104543</x:v>
      </x:c>
      <x:c r="V244" s="9" t="n">
        <x:f>H244*MAX(0,AB243-O244)*tun_OvercapLoss</x:f>
        <x:v>0</x:v>
      </x:c>
      <x:c r="W244" s="9" t="n">
        <x:f>H244*Y243/(tun_ChildYears*4)</x:f>
        <x:v>8.702491890439699</x:v>
      </x:c>
      <x:c r="X244" s="9" t="n">
        <x:f>H244*Z243/(tun_AdultYears*4)</x:f>
        <x:v>2.523548907073866</x:v>
      </x:c>
      <x:c r="Y244" s="32" t="n">
        <x:f>Y243+R244-S244-W244-Y243*V244/AB243</x:f>
        <x:v>492.13462967001794</x:v>
      </x:c>
      <x:c r="Z244" s="32" t="n">
        <x:f>Z243+W244-X244-T244-Z243*V244/AB243</x:f>
        <x:v>318.27759229127275</x:v>
      </x:c>
      <x:c r="AA244" s="32" t="n">
        <x:f>AA243+X244-U244-AA243*V244/AB243</x:f>
        <x:v>82.38929822547159</x:v>
      </x:c>
      <x:c r="AB244" s="10" t="n">
        <x:f>Y244+Z244+AA244</x:f>
        <x:v>892.8015201867623</x:v>
      </x:c>
      <x:c r="AC244" s="8" t="n">
        <x:f>IF(AND(tun_WinterTrigger=1,D244=1,AB243/AE243&gt;=K244),1,0)</x:f>
        <x:v>0</x:v>
      </x:c>
      <x:c r="AD244" s="8" t="n">
        <x:f>H244*IF(AND(OR(AB243/AE243&gt;=tun_FissionTrigger*N244,AC244=1),AB243/AE243*tun_DaughterShare&gt;=tun_MinDaughter),MAX(1,ROUND(AE243*tun_FissionRate,0)),0)</x:f>
        <x:v>0</x:v>
      </x:c>
      <x:c r="AE244" s="8" t="n">
        <x:f>IF(H244=1,MAX(1,MIN(INDEX(tun_Smax,G244),AE243+AD244)),AE243)</x:f>
        <x:v>3</x:v>
      </x:c>
      <x:c r="AF244" s="8" t="n">
        <x:f>MAX(0,AE244-AE243)</x:f>
        <x:v>0</x:v>
      </x:c>
      <x:c r="AG244" s="9" t="str">
        <x:f>IF(AF244&gt;0,B244,"")</x:f>
      </x:c>
      <x:c r="AH244" s="9" t="n">
        <x:f>IF(F244&gt;=1,1,(1+tun_LowTiesShare*(AE244-1))/AE244)</x:f>
        <x:v>1</x:v>
      </x:c>
      <x:c r="AI244" s="32" t="n">
        <x:f>(Z244+tun_ElderCommons*INDEX(LM_Elder,G244)*AA244)*AH244</x:f>
        <x:v>594.6196994672587</x:v>
      </x:c>
      <x:c r="AJ244" s="32" t="n">
        <x:f>H244*tun_CommonsCoef*AI244^tun_CommonsExp*INDEX(LM_Commons,G244)</x:f>
        <x:v>1454.2010740544604</x:v>
      </x:c>
      <x:c r="AK244" s="32" t="n">
        <x:f>H244*tun_RoleScale*Arch_Roles*(AE244*(INDEX(tun_ElderRolePerSett,G244)*tun_OutElder*INDEX(LM_Elder,G244)+INDEX(tun_ShamanPerSett,G244)*tun_OutShaman)+Z244*(INDEX(tun_PriestShare,G244)*tun_OutPriest+INDEX(tun_ScribeShare,G244)*tun_OutScribe*INDEX(LM_Scribe,G244)+INDEX(tun_ScholarShare,G244)*tun_OutScholar*INDEX(LM_Scholar,G244)+INDEX(tun_ResearcherShare,G244)*tun_OutResearcher*INDEX(LM_Researcher,G244)))</x:f>
        <x:v>256.8089999388769</x:v>
      </x:c>
      <x:c r="AL244" s="32" t="n">
        <x:f>H244*tun_RoleScale*Arch_Roles*AE244*INDEX(tun_MonasteryPerSett,G244)*tun_OutMonastery*INDEX(LM_Monastery,G244)</x:f>
        <x:v>7.551423706825091</x:v>
      </x:c>
      <x:c r="AM244" s="32" t="n">
        <x:f>(AJ244+AK244+AL244)/4*INDEX(LM_All,G244)*INDEX(tun_Boon,G244)*Arch_Insight</x:f>
        <x:v>619.2838781902384</x:v>
      </x:c>
      <x:c r="AN244" s="32" t="n">
        <x:f>H244*(tun_KHPerAdult*Z244+tun_KHOfCommons*AJ244/4*INDEX(LM_All,G244))*tun_KHUsable*Arch_KH</x:f>
        <x:v>113.47388262077837</x:v>
      </x:c>
      <x:c r="AO244" s="32" t="n">
        <x:f>MIN(AP243+AN244,AM244*tun_KHMaxRatio)</x:f>
        <x:v>113.47388262077837</x:v>
      </x:c>
      <x:c r="AP244" s="32" t="n">
        <x:f>AP243+AN244-AO244</x:f>
        <x:v>0</x:v>
      </x:c>
      <x:c r="AQ244" s="32" t="n">
        <x:f>AM244+AO244</x:f>
        <x:v>732.7577608110167</x:v>
      </x:c>
      <x:c r="AR244" s="10" t="n">
        <x:f>IF(H244=1,INDEX(tun_Req,G244),0)</x:f>
        <x:v>88783.394528</x:v>
      </x:c>
      <x:c r="AS244" s="32" t="n">
        <x:f>IF(H244=1,IF(E244=1,AS243-AR243,AS243)+AQ244,0)</x:f>
        <x:v>2353.764254240155</x:v>
      </x:c>
      <x:c r="AT244" s="11" t="n">
        <x:f>IF(AR244&gt;0,MIN(1,AS244/AR244),1)</x:f>
        <x:v>0.026511311791506665</x:v>
      </x:c>
      <x:c r="AU244" s="10" t="n">
        <x:f>AB244/INDEX(tun_RepScale,G244)</x:f>
        <x:v>178.56030403735247</x:v>
      </x:c>
      <x:c r="AV244" s="32" t="n">
        <x:f>AM244*60/tun_SeasonSeconds</x:f>
        <x:v>2477.1355127609536</x:v>
      </x:c>
    </x:row>
    <x:row r="245">
      <x:c r="A245" s="8" t="n">
        <x:f>A244+1</x:f>
        <x:v>242</x:v>
      </x:c>
      <x:c r="B245" s="9" t="n">
        <x:f>A245*tun_SeasonSeconds/60</x:f>
        <x:v>60.5</x:v>
      </x:c>
      <x:c r="C245" s="9" t="n">
        <x:f>A245/4</x:f>
        <x:v>60.5</x:v>
      </x:c>
      <x:c r="D245" s="8" t="n">
        <x:f>IF(MOD(A245,4)=0,1,0)</x:f>
        <x:v>0</x:v>
      </x:c>
      <x:c r="E245" s="8" t="n">
        <x:f>IF(AND(F244&lt;=9,AS244&gt;=AR244),1,0)</x:f>
        <x:v>0</x:v>
      </x:c>
      <x:c r="F245" s="8" t="n">
        <x:f>MIN(10,F244+E245)</x:f>
        <x:v>5</x:v>
      </x:c>
      <x:c r="G245" s="8" t="n">
        <x:f>MIN(F245,9)+1</x:f>
        <x:v>6</x:v>
      </x:c>
      <x:c r="H245" s="8" t="n">
        <x:f>IF(F245&lt;=9,1,0)</x:f>
        <x:v>1</x:v>
      </x:c>
      <x:c r="I245" s="9" t="n">
        <x:f>MIN(10,F244+IF(AR244&gt;0,MIN(1,AS244/AR244),1))</x:f>
        <x:v>5.026511311791507</x:v>
      </x:c>
      <x:c r="J245" s="32" t="n">
        <x:f>INDEX(tun_FoodCap,G245)*Arch_FoodCap*EXP(tun_CapsByProject*SUMPRODUCT((Cap_Point&lt;=I245)*(Cap_Kind="Food")*Cap_Ln))</x:f>
        <x:v>372.89883457776335</x:v>
      </x:c>
      <x:c r="K245" s="32" t="n">
        <x:f>J245*MIN(1,tun_LeanBase*EXP(tun_CapsByProject*SUMPRODUCT((Cap_Point&lt;=I245)*(Cap_Kind="Lean")*Cap_Ln)))</x:f>
        <x:v>372.89883457776335</x:v>
      </x:c>
      <x:c r="L245" s="10" t="n">
        <x:f>INDEX(tun_HousingCap,G245)*EXP(tun_CapsByProject*SUMPRODUCT((Cap_Point&lt;=I245)*(Cap_Kind="Housing")*Cap_Ln))</x:f>
        <x:v>1981.8141431314853</x:v>
      </x:c>
      <x:c r="M245" s="10" t="n">
        <x:f>INDEX(tun_GroupCap,G245)*tun_CohesionFactor*EXP(tun_CapsByProject*SUMPRODUCT((Cap_Point&lt;=I245)*(Cap_Kind="Group")*Cap_Ln))</x:f>
        <x:v>50000.00000000004</x:v>
      </x:c>
      <x:c r="N245" s="32" t="n">
        <x:f>MIN(J245,L245,M245)</x:f>
        <x:v>372.89883457776335</x:v>
      </x:c>
      <x:c r="O245" s="10" t="n">
        <x:f>AE244*N245</x:f>
        <x:v>1118.69650373329</x:v>
      </x:c>
      <x:c r="P245" s="9" t="n">
        <x:f>MIN(1,(AB244/(AE244*IF(tun_GroupInCrowding=1,N245,MIN(J245,L245))))^tun_CrowdingExp)</x:f>
        <x:v>0.2583781841608633</x:v>
      </x:c>
      <x:c r="Q245" s="9" t="n">
        <x:f>IF(D245=1,INDEX(tun_WinterMult,G245),1)</x:f>
        <x:v>1</x:v>
      </x:c>
      <x:c r="R245" s="9" t="n">
        <x:f>H245*Z244*tun_WomenShare*tun_BaseFertility*INDEX(tun_FertMult,G245)*Arch_Fertility*(1-P245)</x:f>
        <x:v>16.876974824421293</x:v>
      </x:c>
      <x:c r="S245" s="9" t="n">
        <x:f>H245*Y244*INDEX(tun_MortChild,G245)/4*Q245</x:f>
        <x:v>3.56797606510763</x:v>
      </x:c>
      <x:c r="T245" s="9" t="n">
        <x:f>H245*Z244*INDEX(tun_MortAdult,G245)*Arch_AdultMort/4*Q245</x:f>
        <x:v>0.835478679764591</x:v>
      </x:c>
      <x:c r="U245" s="9" t="n">
        <x:f>H245*AA244*INDEX(tun_MortElder,G245)/4*Q245</x:f>
        <x:v>1.0504635523747627</x:v>
      </x:c>
      <x:c r="V245" s="9" t="n">
        <x:f>H245*MAX(0,AB244-O245)*tun_OvercapLoss</x:f>
        <x:v>0</x:v>
      </x:c>
      <x:c r="W245" s="9" t="n">
        <x:f>H245*Y244/(tun_ChildYears*4)</x:f>
        <x:v>8.788118386964607</x:v>
      </x:c>
      <x:c r="X245" s="9" t="n">
        <x:f>H245*Z244/(tun_AdultYears*4)</x:f>
        <x:v>2.5667547765425223</x:v>
      </x:c>
      <x:c r="Y245" s="32" t="n">
        <x:f>Y244+R245-S245-W245-Y244*V245/AB244</x:f>
        <x:v>496.655510042367</x:v>
      </x:c>
      <x:c r="Z245" s="32" t="n">
        <x:f>Z244+W245-X245-T245-Z244*V245/AB244</x:f>
        <x:v>323.66347722193024</x:v>
      </x:c>
      <x:c r="AA245" s="32" t="n">
        <x:f>AA244+X245-U245-AA244*V245/AB244</x:f>
        <x:v>83.90558944963935</x:v>
      </x:c>
      <x:c r="AB245" s="10" t="n">
        <x:f>Y245+Z245+AA245</x:f>
        <x:v>904.2245767139366</x:v>
      </x:c>
      <x:c r="AC245" s="8" t="n">
        <x:f>IF(AND(tun_WinterTrigger=1,D245=1,AB244/AE244&gt;=K245),1,0)</x:f>
        <x:v>0</x:v>
      </x:c>
      <x:c r="AD245" s="8" t="n">
        <x:f>H245*IF(AND(OR(AB244/AE244&gt;=tun_FissionTrigger*N245,AC245=1),AB244/AE244*tun_DaughterShare&gt;=tun_MinDaughter),MAX(1,ROUND(AE244*tun_FissionRate,0)),0)</x:f>
        <x:v>0</x:v>
      </x:c>
      <x:c r="AE245" s="8" t="n">
        <x:f>IF(H245=1,MAX(1,MIN(INDEX(tun_Smax,G245),AE244+AD245)),AE244)</x:f>
        <x:v>3</x:v>
      </x:c>
      <x:c r="AF245" s="8" t="n">
        <x:f>MAX(0,AE245-AE244)</x:f>
        <x:v>0</x:v>
      </x:c>
      <x:c r="AG245" s="9" t="str">
        <x:f>IF(AF245&gt;0,B245,"")</x:f>
      </x:c>
      <x:c r="AH245" s="9" t="n">
        <x:f>IF(F245&gt;=1,1,(1+tun_LowTiesShare*(AE245-1))/AE245)</x:f>
        <x:v>1</x:v>
      </x:c>
      <x:c r="AI245" s="32" t="n">
        <x:f>(Z245+tun_ElderCommons*INDEX(LM_Elder,G245)*AA245)*AH245</x:f>
        <x:v>605.0913797743044</x:v>
      </x:c>
      <x:c r="AJ245" s="32" t="n">
        <x:f>H245*tun_CommonsCoef*AI245^tun_CommonsExp*INDEX(LM_Commons,G245)</x:f>
        <x:v>1475.9406121808986</x:v>
      </x:c>
      <x:c r="AK245" s="32" t="n">
        <x:f>H245*tun_RoleScale*Arch_Roles*(AE245*(INDEX(tun_ElderRolePerSett,G245)*tun_OutElder*INDEX(LM_Elder,G245)+INDEX(tun_ShamanPerSett,G245)*tun_OutShaman)+Z245*(INDEX(tun_PriestShare,G245)*tun_OutPriest+INDEX(tun_ScribeShare,G245)*tun_OutScribe*INDEX(LM_Scribe,G245)+INDEX(tun_ScholarShare,G245)*tun_OutScholar*INDEX(LM_Scholar,G245)+INDEX(tun_ResearcherShare,G245)*tun_OutResearcher*INDEX(LM_Researcher,G245)))</x:f>
        <x:v>259.8644276599822</x:v>
      </x:c>
      <x:c r="AL245" s="32" t="n">
        <x:f>H245*tun_RoleScale*Arch_Roles*AE245*INDEX(tun_MonasteryPerSett,G245)*tun_OutMonastery*INDEX(LM_Monastery,G245)</x:f>
        <x:v>7.551423706825091</x:v>
      </x:c>
      <x:c r="AM245" s="32" t="n">
        <x:f>(AJ245+AK245+AL245)/4*INDEX(LM_All,G245)*INDEX(tun_Boon,G245)*Arch_Insight</x:f>
        <x:v>628.2187476320419</x:v>
      </x:c>
      <x:c r="AN245" s="32" t="n">
        <x:f>H245*(tun_KHPerAdult*Z245+tun_KHOfCommons*AJ245/4*INDEX(LM_All,G245))*tun_KHUsable*Arch_KH</x:f>
        <x:v>115.17025724296973</x:v>
      </x:c>
      <x:c r="AO245" s="32" t="n">
        <x:f>MIN(AP244+AN245,AM245*tun_KHMaxRatio)</x:f>
        <x:v>115.17025724296973</x:v>
      </x:c>
      <x:c r="AP245" s="32" t="n">
        <x:f>AP244+AN245-AO245</x:f>
        <x:v>0</x:v>
      </x:c>
      <x:c r="AQ245" s="32" t="n">
        <x:f>AM245+AO245</x:f>
        <x:v>743.3890048750116</x:v>
      </x:c>
      <x:c r="AR245" s="10" t="n">
        <x:f>IF(H245=1,INDEX(tun_Req,G245),0)</x:f>
        <x:v>88783.394528</x:v>
      </x:c>
      <x:c r="AS245" s="32" t="n">
        <x:f>IF(H245=1,IF(E245=1,AS244-AR244,AS244)+AQ245,0)</x:f>
        <x:v>3097.1532591151663</x:v>
      </x:c>
      <x:c r="AT245" s="11" t="n">
        <x:f>IF(AR245&gt;0,MIN(1,AS245/AR245),1)</x:f>
        <x:v>0.0348843753449684</x:v>
      </x:c>
      <x:c r="AU245" s="10" t="n">
        <x:f>AB245/INDEX(tun_RepScale,G245)</x:f>
        <x:v>180.84491534278732</x:v>
      </x:c>
      <x:c r="AV245" s="32" t="n">
        <x:f>AM245*60/tun_SeasonSeconds</x:f>
        <x:v>2512.8749905281675</x:v>
      </x:c>
    </x:row>
    <x:row r="246">
      <x:c r="A246" s="8" t="n">
        <x:f>A245+1</x:f>
        <x:v>243</x:v>
      </x:c>
      <x:c r="B246" s="9" t="n">
        <x:f>A246*tun_SeasonSeconds/60</x:f>
        <x:v>60.75</x:v>
      </x:c>
      <x:c r="C246" s="9" t="n">
        <x:f>A246/4</x:f>
        <x:v>60.75</x:v>
      </x:c>
      <x:c r="D246" s="8" t="n">
        <x:f>IF(MOD(A246,4)=0,1,0)</x:f>
        <x:v>0</x:v>
      </x:c>
      <x:c r="E246" s="8" t="n">
        <x:f>IF(AND(F245&lt;=9,AS245&gt;=AR245),1,0)</x:f>
        <x:v>0</x:v>
      </x:c>
      <x:c r="F246" s="8" t="n">
        <x:f>MIN(10,F245+E246)</x:f>
        <x:v>5</x:v>
      </x:c>
      <x:c r="G246" s="8" t="n">
        <x:f>MIN(F246,9)+1</x:f>
        <x:v>6</x:v>
      </x:c>
      <x:c r="H246" s="8" t="n">
        <x:f>IF(F246&lt;=9,1,0)</x:f>
        <x:v>1</x:v>
      </x:c>
      <x:c r="I246" s="9" t="n">
        <x:f>MIN(10,F245+IF(AR245&gt;0,MIN(1,AS245/AR245),1))</x:f>
        <x:v>5.034884375344968</x:v>
      </x:c>
      <x:c r="J246" s="32" t="n">
        <x:f>INDEX(tun_FoodCap,G246)*Arch_FoodCap*EXP(tun_CapsByProject*SUMPRODUCT((Cap_Point&lt;=I246)*(Cap_Kind="Food")*Cap_Ln))</x:f>
        <x:v>372.89883457776335</x:v>
      </x:c>
      <x:c r="K246" s="32" t="n">
        <x:f>J246*MIN(1,tun_LeanBase*EXP(tun_CapsByProject*SUMPRODUCT((Cap_Point&lt;=I246)*(Cap_Kind="Lean")*Cap_Ln)))</x:f>
        <x:v>372.89883457776335</x:v>
      </x:c>
      <x:c r="L246" s="10" t="n">
        <x:f>INDEX(tun_HousingCap,G246)*EXP(tun_CapsByProject*SUMPRODUCT((Cap_Point&lt;=I246)*(Cap_Kind="Housing")*Cap_Ln))</x:f>
        <x:v>1981.8141431314853</x:v>
      </x:c>
      <x:c r="M246" s="10" t="n">
        <x:f>INDEX(tun_GroupCap,G246)*tun_CohesionFactor*EXP(tun_CapsByProject*SUMPRODUCT((Cap_Point&lt;=I246)*(Cap_Kind="Group")*Cap_Ln))</x:f>
        <x:v>50000.00000000004</x:v>
      </x:c>
      <x:c r="N246" s="32" t="n">
        <x:f>MIN(J246,L246,M246)</x:f>
        <x:v>372.89883457776335</x:v>
      </x:c>
      <x:c r="O246" s="10" t="n">
        <x:f>AE245*N246</x:f>
        <x:v>1118.69650373329</x:v>
      </x:c>
      <x:c r="P246" s="9" t="n">
        <x:f>MIN(1,(AB245/(AE245*IF(tun_GroupInCrowding=1,N246,MIN(J246,L246))))^tun_CrowdingExp)</x:f>
        <x:v>0.27885867333840153</x:v>
      </x:c>
      <x:c r="Q246" s="9" t="n">
        <x:f>IF(D246=1,INDEX(tun_WinterMult,G246),1)</x:f>
        <x:v>1</x:v>
      </x:c>
      <x:c r="R246" s="9" t="n">
        <x:f>H246*Z245*tun_WomenShare*tun_BaseFertility*INDEX(tun_FertMult,G246)*Arch_Fertility*(1-P246)</x:f>
        <x:v>16.688608318934612</x:v>
      </x:c>
      <x:c r="S246" s="9" t="n">
        <x:f>H246*Y245*INDEX(tun_MortChild,G246)/4*Q246</x:f>
        <x:v>3.6007524478071606</x:v>
      </x:c>
      <x:c r="T246" s="9" t="n">
        <x:f>H246*Z245*INDEX(tun_MortAdult,G246)*Arch_AdultMort/4*Q246</x:f>
        <x:v>0.849616627707567</x:v>
      </x:c>
      <x:c r="U246" s="9" t="n">
        <x:f>H246*AA245*INDEX(tun_MortElder,G246)/4*Q246</x:f>
        <x:v>1.0697962654829016</x:v>
      </x:c>
      <x:c r="V246" s="9" t="n">
        <x:f>H246*MAX(0,AB245-O246)*tun_OvercapLoss</x:f>
        <x:v>0</x:v>
      </x:c>
      <x:c r="W246" s="9" t="n">
        <x:f>H246*Y245/(tun_ChildYears*4)</x:f>
        <x:v>8.868848393613696</x:v>
      </x:c>
      <x:c r="X246" s="9" t="n">
        <x:f>H246*Z245/(tun_AdultYears*4)</x:f>
        <x:v>2.6101893324349215</x:v>
      </x:c>
      <x:c r="Y246" s="32" t="n">
        <x:f>Y245+R246-S246-W246-Y245*V246/AB245</x:f>
        <x:v>500.8745175198808</x:v>
      </x:c>
      <x:c r="Z246" s="32" t="n">
        <x:f>Z245+W246-X246-T246-Z245*V246/AB245</x:f>
        <x:v>329.07251965540144</x:v>
      </x:c>
      <x:c r="AA246" s="32" t="n">
        <x:f>AA245+X246-U246-AA245*V246/AB245</x:f>
        <x:v>85.44598251659137</x:v>
      </x:c>
      <x:c r="AB246" s="10" t="n">
        <x:f>Y246+Z246+AA246</x:f>
        <x:v>915.3930196918736</x:v>
      </x:c>
      <x:c r="AC246" s="8" t="n">
        <x:f>IF(AND(tun_WinterTrigger=1,D246=1,AB245/AE245&gt;=K246),1,0)</x:f>
        <x:v>0</x:v>
      </x:c>
      <x:c r="AD246" s="8" t="n">
        <x:f>H246*IF(AND(OR(AB245/AE245&gt;=tun_FissionTrigger*N246,AC246=1),AB245/AE245*tun_DaughterShare&gt;=tun_MinDaughter),MAX(1,ROUND(AE245*tun_FissionRate,0)),0)</x:f>
        <x:v>0</x:v>
      </x:c>
      <x:c r="AE246" s="8" t="n">
        <x:f>IF(H246=1,MAX(1,MIN(INDEX(tun_Smax,G246),AE245+AD246)),AE245)</x:f>
        <x:v>3</x:v>
      </x:c>
      <x:c r="AF246" s="8" t="n">
        <x:f>MAX(0,AE246-AE245)</x:f>
        <x:v>0</x:v>
      </x:c>
      <x:c r="AG246" s="9" t="str">
        <x:f>IF(AF246&gt;0,B246,"")</x:f>
      </x:c>
      <x:c r="AH246" s="9" t="n">
        <x:f>IF(F246&gt;=1,1,(1+tun_LowTiesShare*(AE246-1))/AE246)</x:f>
        <x:v>1</x:v>
      </x:c>
      <x:c r="AI246" s="32" t="n">
        <x:f>(Z246+tun_ElderCommons*INDEX(LM_Elder,G246)*AA246)*AH246</x:f>
        <x:v>615.6670576224367</x:v>
      </x:c>
      <x:c r="AJ246" s="32" t="n">
        <x:f>H246*tun_CommonsCoef*AI246^tun_CommonsExp*INDEX(LM_Commons,G246)</x:f>
        <x:v>1497.8388504538054</x:v>
      </x:c>
      <x:c r="AK246" s="32" t="n">
        <x:f>H246*tun_RoleScale*Arch_Roles*(AE246*(INDEX(tun_ElderRolePerSett,G246)*tun_OutElder*INDEX(LM_Elder,G246)+INDEX(tun_ShamanPerSett,G246)*tun_OutShaman)+Z246*(INDEX(tun_PriestShare,G246)*tun_OutPriest+INDEX(tun_ScribeShare,G246)*tun_OutScribe*INDEX(LM_Scribe,G246)+INDEX(tun_ScholarShare,G246)*tun_OutScholar*INDEX(LM_Scholar,G246)+INDEX(tun_ResearcherShare,G246)*tun_OutResearcher*INDEX(LM_Researcher,G246)))</x:f>
        <x:v>262.93299269778834</x:v>
      </x:c>
      <x:c r="AL246" s="32" t="n">
        <x:f>H246*tun_RoleScale*Arch_Roles*AE246*INDEX(tun_MonasteryPerSett,G246)*tun_OutMonastery*INDEX(LM_Monastery,G246)</x:f>
        <x:v>7.551423706825091</x:v>
      </x:c>
      <x:c r="AM246" s="32" t="n">
        <x:f>(AJ246+AK246+AL246)/4*INDEX(LM_All,G246)*INDEX(tun_Boon,G246)*Arch_Insight</x:f>
        <x:v>637.2155387279453</x:v>
      </x:c>
      <x:c r="AN246" s="32" t="n">
        <x:f>H246*(tun_KHPerAdult*Z246+tun_KHOfCommons*AJ246/4*INDEX(LM_All,G246))*tun_KHUsable*Arch_KH</x:f>
        <x:v>116.87901551836664</x:v>
      </x:c>
      <x:c r="AO246" s="32" t="n">
        <x:f>MIN(AP245+AN246,AM246*tun_KHMaxRatio)</x:f>
        <x:v>116.87901551836664</x:v>
      </x:c>
      <x:c r="AP246" s="32" t="n">
        <x:f>AP245+AN246-AO246</x:f>
        <x:v>0</x:v>
      </x:c>
      <x:c r="AQ246" s="32" t="n">
        <x:f>AM246+AO246</x:f>
        <x:v>754.0945542463119</x:v>
      </x:c>
      <x:c r="AR246" s="10" t="n">
        <x:f>IF(H246=1,INDEX(tun_Req,G246),0)</x:f>
        <x:v>88783.394528</x:v>
      </x:c>
      <x:c r="AS246" s="32" t="n">
        <x:f>IF(H246=1,IF(E246=1,AS245-AR245,AS245)+AQ246,0)</x:f>
        <x:v>3851.247813361478</x:v>
      </x:c>
      <x:c r="AT246" s="11" t="n">
        <x:f>IF(AR246&gt;0,MIN(1,AS246/AR246),1)</x:f>
        <x:v>0.043378019435232264</x:v>
      </x:c>
      <x:c r="AU246" s="10" t="n">
        <x:f>AB246/INDEX(tun_RepScale,G246)</x:f>
        <x:v>183.07860393837473</x:v>
      </x:c>
      <x:c r="AV246" s="32" t="n">
        <x:f>AM246*60/tun_SeasonSeconds</x:f>
        <x:v>2548.862154911781</x:v>
      </x:c>
    </x:row>
    <x:row r="247">
      <x:c r="A247" s="8" t="n">
        <x:f>A246+1</x:f>
        <x:v>244</x:v>
      </x:c>
      <x:c r="B247" s="9" t="n">
        <x:f>A247*tun_SeasonSeconds/60</x:f>
        <x:v>61</x:v>
      </x:c>
      <x:c r="C247" s="9" t="n">
        <x:f>A247/4</x:f>
        <x:v>61</x:v>
      </x:c>
      <x:c r="D247" s="8" t="n">
        <x:f>IF(MOD(A247,4)=0,1,0)</x:f>
        <x:v>1</x:v>
      </x:c>
      <x:c r="E247" s="8" t="n">
        <x:f>IF(AND(F246&lt;=9,AS246&gt;=AR246),1,0)</x:f>
        <x:v>0</x:v>
      </x:c>
      <x:c r="F247" s="8" t="n">
        <x:f>MIN(10,F246+E247)</x:f>
        <x:v>5</x:v>
      </x:c>
      <x:c r="G247" s="8" t="n">
        <x:f>MIN(F247,9)+1</x:f>
        <x:v>6</x:v>
      </x:c>
      <x:c r="H247" s="8" t="n">
        <x:f>IF(F247&lt;=9,1,0)</x:f>
        <x:v>1</x:v>
      </x:c>
      <x:c r="I247" s="9" t="n">
        <x:f>MIN(10,F246+IF(AR246&gt;0,MIN(1,AS246/AR246),1))</x:f>
        <x:v>5.043378019435233</x:v>
      </x:c>
      <x:c r="J247" s="32" t="n">
        <x:f>INDEX(tun_FoodCap,G247)*Arch_FoodCap*EXP(tun_CapsByProject*SUMPRODUCT((Cap_Point&lt;=I247)*(Cap_Kind="Food")*Cap_Ln))</x:f>
        <x:v>372.89883457776335</x:v>
      </x:c>
      <x:c r="K247" s="32" t="n">
        <x:f>J247*MIN(1,tun_LeanBase*EXP(tun_CapsByProject*SUMPRODUCT((Cap_Point&lt;=I247)*(Cap_Kind="Lean")*Cap_Ln)))</x:f>
        <x:v>372.89883457776335</x:v>
      </x:c>
      <x:c r="L247" s="10" t="n">
        <x:f>INDEX(tun_HousingCap,G247)*EXP(tun_CapsByProject*SUMPRODUCT((Cap_Point&lt;=I247)*(Cap_Kind="Housing")*Cap_Ln))</x:f>
        <x:v>1981.8141431314853</x:v>
      </x:c>
      <x:c r="M247" s="10" t="n">
        <x:f>INDEX(tun_GroupCap,G247)*tun_CohesionFactor*EXP(tun_CapsByProject*SUMPRODUCT((Cap_Point&lt;=I247)*(Cap_Kind="Group")*Cap_Ln))</x:f>
        <x:v>50000.00000000004</x:v>
      </x:c>
      <x:c r="N247" s="32" t="n">
        <x:f>MIN(J247,L247,M247)</x:f>
        <x:v>372.89883457776335</x:v>
      </x:c>
      <x:c r="O247" s="10" t="n">
        <x:f>AE246*N247</x:f>
        <x:v>1118.69650373329</x:v>
      </x:c>
      <x:c r="P247" s="9" t="n">
        <x:f>MIN(1,(AB246/(AE246*IF(tun_GroupInCrowding=1,N247,MIN(J247,L247))))^tun_CrowdingExp)</x:f>
        <x:v>0.3001731852598889</x:v>
      </x:c>
      <x:c r="Q247" s="9" t="n">
        <x:f>IF(D247=1,INDEX(tun_WinterMult,G247),1)</x:f>
        <x:v>1.15</x:v>
      </x:c>
      <x:c r="R247" s="9" t="n">
        <x:f>H247*Z246*tun_WomenShare*tun_BaseFertility*INDEX(tun_FertMult,G247)*Arch_Fertility*(1-P247)</x:f>
        <x:v>16.46600478729937</x:v>
      </x:c>
      <x:c r="S247" s="9" t="n">
        <x:f>H247*Y246*INDEX(tun_MortChild,G247)/4*Q247</x:f>
        <x:v>4.176041289822006</x:v>
      </x:c>
      <x:c r="T247" s="9" t="n">
        <x:f>H247*Z246*INDEX(tun_MortAdult,G247)*Arch_AdultMort/4*Q247</x:f>
        <x:v>0.993387668709743</x:v>
      </x:c>
      <x:c r="U247" s="9" t="n">
        <x:f>H247*AA246*INDEX(tun_MortElder,G247)/4*Q247</x:f>
        <x:v>1.252851718649521</x:v>
      </x:c>
      <x:c r="V247" s="9" t="n">
        <x:f>H247*MAX(0,AB246-O247)*tun_OvercapLoss</x:f>
        <x:v>0</x:v>
      </x:c>
      <x:c r="W247" s="9" t="n">
        <x:f>H247*Y246/(tun_ChildYears*4)</x:f>
        <x:v>8.944187812855015</x:v>
      </x:c>
      <x:c r="X247" s="9" t="n">
        <x:f>H247*Z246/(tun_AdultYears*4)</x:f>
        <x:v>2.6538106423822696</x:v>
      </x:c>
      <x:c r="Y247" s="32" t="n">
        <x:f>Y246+R247-S247-W247-Y246*V247/AB246</x:f>
        <x:v>504.22029320450315</x:v>
      </x:c>
      <x:c r="Z247" s="32" t="n">
        <x:f>Z246+W247-X247-T247-Z246*V247/AB246</x:f>
        <x:v>334.3695091571645</x:v>
      </x:c>
      <x:c r="AA247" s="32" t="n">
        <x:f>AA246+X247-U247-AA246*V247/AB246</x:f>
        <x:v>86.84694144032412</x:v>
      </x:c>
      <x:c r="AB247" s="10" t="n">
        <x:f>Y247+Z247+AA247</x:f>
        <x:v>925.4367438019917</x:v>
      </x:c>
      <x:c r="AC247" s="8" t="n">
        <x:f>IF(AND(tun_WinterTrigger=1,D247=1,AB246/AE246&gt;=K247),1,0)</x:f>
        <x:v>0</x:v>
      </x:c>
      <x:c r="AD247" s="8" t="n">
        <x:f>H247*IF(AND(OR(AB246/AE246&gt;=tun_FissionTrigger*N247,AC247=1),AB246/AE246*tun_DaughterShare&gt;=tun_MinDaughter),MAX(1,ROUND(AE246*tun_FissionRate,0)),0)</x:f>
        <x:v>0</x:v>
      </x:c>
      <x:c r="AE247" s="8" t="n">
        <x:f>IF(H247=1,MAX(1,MIN(INDEX(tun_Smax,G247),AE246+AD247)),AE246)</x:f>
        <x:v>3</x:v>
      </x:c>
      <x:c r="AF247" s="8" t="n">
        <x:f>MAX(0,AE247-AE246)</x:f>
        <x:v>0</x:v>
      </x:c>
      <x:c r="AG247" s="9" t="str">
        <x:f>IF(AF247&gt;0,B247,"")</x:f>
      </x:c>
      <x:c r="AH247" s="9" t="n">
        <x:f>IF(F247&gt;=1,1,(1+tun_LowTiesShare*(AE247-1))/AE247)</x:f>
        <x:v>1</x:v>
      </x:c>
      <x:c r="AI247" s="32" t="n">
        <x:f>(Z247+tun_ElderCommons*INDEX(LM_Elder,G247)*AA247)*AH247</x:f>
        <x:v>625.6630062049269</x:v>
      </x:c>
      <x:c r="AJ247" s="32" t="n">
        <x:f>H247*tun_CommonsCoef*AI247^tun_CommonsExp*INDEX(LM_Commons,G247)</x:f>
        <x:v>1518.48486453227</x:v>
      </x:c>
      <x:c r="AK247" s="32" t="n">
        <x:f>H247*tun_RoleScale*Arch_Roles*(AE247*(INDEX(tun_ElderRolePerSett,G247)*tun_OutElder*INDEX(LM_Elder,G247)+INDEX(tun_ShamanPerSett,G247)*tun_OutShaman)+Z247*(INDEX(tun_PriestShare,G247)*tun_OutPriest+INDEX(tun_ScribeShare,G247)*tun_OutScribe*INDEX(LM_Scribe,G247)+INDEX(tun_ScholarShare,G247)*tun_OutScholar*INDEX(LM_Scholar,G247)+INDEX(tun_ResearcherShare,G247)*tun_OutResearcher*INDEX(LM_Researcher,G247)))</x:f>
        <x:v>265.9379897912028</x:v>
      </x:c>
      <x:c r="AL247" s="32" t="n">
        <x:f>H247*tun_RoleScale*Arch_Roles*AE247*INDEX(tun_MonasteryPerSett,G247)*tun_OutMonastery*INDEX(LM_Monastery,G247)</x:f>
        <x:v>7.551423706825091</x:v>
      </x:c>
      <x:c r="AM247" s="32" t="n">
        <x:f>(AJ247+AK247+AL247)/4*INDEX(LM_All,G247)*INDEX(tun_Boon,G247)*Arch_Insight</x:f>
        <x:v>645.7381839409578</x:v>
      </x:c>
      <x:c r="AN247" s="32" t="n">
        <x:f>H247*(tun_KHPerAdult*Z247+tun_KHOfCommons*AJ247/4*INDEX(LM_All,G247))*tun_KHUsable*Arch_KH</x:f>
        <x:v>118.49006052440197</x:v>
      </x:c>
      <x:c r="AO247" s="32" t="n">
        <x:f>MIN(AP246+AN247,AM247*tun_KHMaxRatio)</x:f>
        <x:v>118.49006052440197</x:v>
      </x:c>
      <x:c r="AP247" s="32" t="n">
        <x:f>AP246+AN247-AO247</x:f>
        <x:v>0</x:v>
      </x:c>
      <x:c r="AQ247" s="32" t="n">
        <x:f>AM247+AO247</x:f>
        <x:v>764.2282444653598</x:v>
      </x:c>
      <x:c r="AR247" s="10" t="n">
        <x:f>IF(H247=1,INDEX(tun_Req,G247),0)</x:f>
        <x:v>88783.394528</x:v>
      </x:c>
      <x:c r="AS247" s="32" t="n">
        <x:f>IF(H247=1,IF(E247=1,AS246-AR246,AS246)+AQ247,0)</x:f>
        <x:v>4615.476057826838</x:v>
      </x:c>
      <x:c r="AT247" s="11" t="n">
        <x:f>IF(AR247&gt;0,MIN(1,AS247/AR247),1)</x:f>
        <x:v>0.05198580300251119</x:v>
      </x:c>
      <x:c r="AU247" s="10" t="n">
        <x:f>AB247/INDEX(tun_RepScale,G247)</x:f>
        <x:v>185.08734876039836</x:v>
      </x:c>
      <x:c r="AV247" s="32" t="n">
        <x:f>AM247*60/tun_SeasonSeconds</x:f>
        <x:v>2582.9527357638312</x:v>
      </x:c>
    </x:row>
    <x:row r="248">
      <x:c r="A248" s="8" t="n">
        <x:f>A247+1</x:f>
        <x:v>245</x:v>
      </x:c>
      <x:c r="B248" s="9" t="n">
        <x:f>A248*tun_SeasonSeconds/60</x:f>
        <x:v>61.25</x:v>
      </x:c>
      <x:c r="C248" s="9" t="n">
        <x:f>A248/4</x:f>
        <x:v>61.25</x:v>
      </x:c>
      <x:c r="D248" s="8" t="n">
        <x:f>IF(MOD(A248,4)=0,1,0)</x:f>
        <x:v>0</x:v>
      </x:c>
      <x:c r="E248" s="8" t="n">
        <x:f>IF(AND(F247&lt;=9,AS247&gt;=AR247),1,0)</x:f>
        <x:v>0</x:v>
      </x:c>
      <x:c r="F248" s="8" t="n">
        <x:f>MIN(10,F247+E248)</x:f>
        <x:v>5</x:v>
      </x:c>
      <x:c r="G248" s="8" t="n">
        <x:f>MIN(F248,9)+1</x:f>
        <x:v>6</x:v>
      </x:c>
      <x:c r="H248" s="8" t="n">
        <x:f>IF(F248&lt;=9,1,0)</x:f>
        <x:v>1</x:v>
      </x:c>
      <x:c r="I248" s="9" t="n">
        <x:f>MIN(10,F247+IF(AR247&gt;0,MIN(1,AS247/AR247),1))</x:f>
        <x:v>5.051985803002511</x:v>
      </x:c>
      <x:c r="J248" s="32" t="n">
        <x:f>INDEX(tun_FoodCap,G248)*Arch_FoodCap*EXP(tun_CapsByProject*SUMPRODUCT((Cap_Point&lt;=I248)*(Cap_Kind="Food")*Cap_Ln))</x:f>
        <x:v>372.89883457776335</x:v>
      </x:c>
      <x:c r="K248" s="32" t="n">
        <x:f>J248*MIN(1,tun_LeanBase*EXP(tun_CapsByProject*SUMPRODUCT((Cap_Point&lt;=I248)*(Cap_Kind="Lean")*Cap_Ln)))</x:f>
        <x:v>372.89883457776335</x:v>
      </x:c>
      <x:c r="L248" s="10" t="n">
        <x:f>INDEX(tun_HousingCap,G248)*EXP(tun_CapsByProject*SUMPRODUCT((Cap_Point&lt;=I248)*(Cap_Kind="Housing")*Cap_Ln))</x:f>
        <x:v>1981.8141431314853</x:v>
      </x:c>
      <x:c r="M248" s="10" t="n">
        <x:f>INDEX(tun_GroupCap,G248)*tun_CohesionFactor*EXP(tun_CapsByProject*SUMPRODUCT((Cap_Point&lt;=I248)*(Cap_Kind="Group")*Cap_Ln))</x:f>
        <x:v>50000.00000000004</x:v>
      </x:c>
      <x:c r="N248" s="32" t="n">
        <x:f>MIN(J248,L248,M248)</x:f>
        <x:v>372.89883457776335</x:v>
      </x:c>
      <x:c r="O248" s="10" t="n">
        <x:f>AE247*N248</x:f>
        <x:v>1118.69650373329</x:v>
      </x:c>
      <x:c r="P248" s="9" t="n">
        <x:f>MIN(1,(AB247/(AE247*IF(tun_GroupInCrowding=1,N248,MIN(J248,L248))))^tun_CrowdingExp)</x:f>
        <x:v>0.3204842922188652</x:v>
      </x:c>
      <x:c r="Q248" s="9" t="n">
        <x:f>IF(D248=1,INDEX(tun_WinterMult,G248),1)</x:f>
        <x:v>1</x:v>
      </x:c>
      <x:c r="R248" s="9" t="n">
        <x:f>H248*Z247*tun_WomenShare*tun_BaseFertility*INDEX(tun_FertMult,G248)*Arch_Fertility*(1-P248)</x:f>
        <x:v>16.245467357788332</x:v>
      </x:c>
      <x:c r="S248" s="9" t="n">
        <x:f>H248*Y247*INDEX(tun_MortChild,G248)/4*Q248</x:f>
        <x:v>3.655597125732648</x:v>
      </x:c>
      <x:c r="T248" s="9" t="n">
        <x:f>H248*Z247*INDEX(tun_MortAdult,G248)*Arch_AdultMort/4*Q248</x:f>
        <x:v>0.8777199615375568</x:v>
      </x:c>
      <x:c r="U248" s="9" t="n">
        <x:f>H248*AA247*INDEX(tun_MortElder,G248)/4*Q248</x:f>
        <x:v>1.1072985033641325</x:v>
      </x:c>
      <x:c r="V248" s="9" t="n">
        <x:f>H248*MAX(0,AB247-O248)*tun_OvercapLoss</x:f>
        <x:v>0</x:v>
      </x:c>
      <x:c r="W248" s="9" t="n">
        <x:f>H248*Y247/(tun_ChildYears*4)</x:f>
        <x:v>9.003933807223271</x:v>
      </x:c>
      <x:c r="X248" s="9" t="n">
        <x:f>H248*Z247/(tun_AdultYears*4)</x:f>
        <x:v>2.696528299654552</x:v>
      </x:c>
      <x:c r="Y248" s="32" t="n">
        <x:f>Y247+R248-S248-W248-Y247*V248/AB247</x:f>
        <x:v>507.8062296293355</x:v>
      </x:c>
      <x:c r="Z248" s="32" t="n">
        <x:f>Z247+W248-X248-T248-Z247*V248/AB247</x:f>
        <x:v>339.79919470319567</x:v>
      </x:c>
      <x:c r="AA248" s="32" t="n">
        <x:f>AA247+X248-U248-AA247*V248/AB247</x:f>
        <x:v>88.43617123661453</x:v>
      </x:c>
      <x:c r="AB248" s="10" t="n">
        <x:f>Y248+Z248+AA248</x:f>
        <x:v>936.0415955691457</x:v>
      </x:c>
      <x:c r="AC248" s="8" t="n">
        <x:f>IF(AND(tun_WinterTrigger=1,D248=1,AB247/AE247&gt;=K248),1,0)</x:f>
        <x:v>0</x:v>
      </x:c>
      <x:c r="AD248" s="8" t="n">
        <x:f>H248*IF(AND(OR(AB247/AE247&gt;=tun_FissionTrigger*N248,AC248=1),AB247/AE247*tun_DaughterShare&gt;=tun_MinDaughter),MAX(1,ROUND(AE247*tun_FissionRate,0)),0)</x:f>
        <x:v>0</x:v>
      </x:c>
      <x:c r="AE248" s="8" t="n">
        <x:f>IF(H248=1,MAX(1,MIN(INDEX(tun_Smax,G248),AE247+AD248)),AE247)</x:f>
        <x:v>3</x:v>
      </x:c>
      <x:c r="AF248" s="8" t="n">
        <x:f>MAX(0,AE248-AE247)</x:f>
        <x:v>0</x:v>
      </x:c>
      <x:c r="AG248" s="9" t="str">
        <x:f>IF(AF248&gt;0,B248,"")</x:f>
      </x:c>
      <x:c r="AH248" s="9" t="n">
        <x:f>IF(F248&gt;=1,1,(1+tun_LowTiesShare*(AE248-1))/AE248)</x:f>
        <x:v>1</x:v>
      </x:c>
      <x:c r="AI248" s="32" t="n">
        <x:f>(Z248+tun_ElderCommons*INDEX(LM_Elder,G248)*AA248)*AH248</x:f>
        <x:v>636.4231305355183</x:v>
      </x:c>
      <x:c r="AJ248" s="32" t="n">
        <x:f>H248*tun_CommonsCoef*AI248^tun_CommonsExp*INDEX(LM_Commons,G248)</x:f>
        <x:v>1540.654029478065</x:v>
      </x:c>
      <x:c r="AK248" s="32" t="n">
        <x:f>H248*tun_RoleScale*Arch_Roles*(AE248*(INDEX(tun_ElderRolePerSett,G248)*tun_OutElder*INDEX(LM_Elder,G248)+INDEX(tun_ShamanPerSett,G248)*tun_OutShaman)+Z248*(INDEX(tun_PriestShare,G248)*tun_OutPriest+INDEX(tun_ScribeShare,G248)*tun_OutScribe*INDEX(LM_Scribe,G248)+INDEX(tun_ScholarShare,G248)*tun_OutScholar*INDEX(LM_Scholar,G248)+INDEX(tun_ResearcherShare,G248)*tun_OutResearcher*INDEX(LM_Researcher,G248)))</x:f>
        <x:v>269.01826572502284</x:v>
      </x:c>
      <x:c r="AL248" s="32" t="n">
        <x:f>H248*tun_RoleScale*Arch_Roles*AE248*INDEX(tun_MonasteryPerSett,G248)*tun_OutMonastery*INDEX(LM_Monastery,G248)</x:f>
        <x:v>7.551423706825091</x:v>
      </x:c>
      <x:c r="AM248" s="32" t="n">
        <x:f>(AJ248+AK248+AL248)/4*INDEX(LM_All,G248)*INDEX(tun_Boon,G248)*Arch_Insight</x:f>
        <x:v>654.8368235246959</x:v>
      </x:c>
      <x:c r="AN248" s="32" t="n">
        <x:f>H248*(tun_KHPerAdult*Z248+tun_KHOfCommons*AJ248/4*INDEX(LM_All,G248))*tun_KHUsable*Arch_KH</x:f>
        <x:v>120.21995968741525</x:v>
      </x:c>
      <x:c r="AO248" s="32" t="n">
        <x:f>MIN(AP247+AN248,AM248*tun_KHMaxRatio)</x:f>
        <x:v>120.21995968741525</x:v>
      </x:c>
      <x:c r="AP248" s="32" t="n">
        <x:f>AP247+AN248-AO248</x:f>
        <x:v>0</x:v>
      </x:c>
      <x:c r="AQ248" s="32" t="n">
        <x:f>AM248+AO248</x:f>
        <x:v>775.0567832121111</x:v>
      </x:c>
      <x:c r="AR248" s="10" t="n">
        <x:f>IF(H248=1,INDEX(tun_Req,G248),0)</x:f>
        <x:v>88783.394528</x:v>
      </x:c>
      <x:c r="AS248" s="32" t="n">
        <x:f>IF(H248=1,IF(E248=1,AS247-AR247,AS247)+AQ248,0)</x:f>
        <x:v>5390.532841038949</x:v>
      </x:c>
      <x:c r="AT248" s="11" t="n">
        <x:f>IF(AR248&gt;0,MIN(1,AS248/AR248),1)</x:f>
        <x:v>0.06071555238112588</x:v>
      </x:c>
      <x:c r="AU248" s="10" t="n">
        <x:f>AB248/INDEX(tun_RepScale,G248)</x:f>
        <x:v>187.20831911382913</x:v>
      </x:c>
      <x:c r="AV248" s="32" t="n">
        <x:f>AM248*60/tun_SeasonSeconds</x:f>
        <x:v>2619.3472940987835</x:v>
      </x:c>
    </x:row>
    <x:row r="249">
      <x:c r="A249" s="8" t="n">
        <x:f>A248+1</x:f>
        <x:v>246</x:v>
      </x:c>
      <x:c r="B249" s="9" t="n">
        <x:f>A249*tun_SeasonSeconds/60</x:f>
        <x:v>61.5</x:v>
      </x:c>
      <x:c r="C249" s="9" t="n">
        <x:f>A249/4</x:f>
        <x:v>61.5</x:v>
      </x:c>
      <x:c r="D249" s="8" t="n">
        <x:f>IF(MOD(A249,4)=0,1,0)</x:f>
        <x:v>0</x:v>
      </x:c>
      <x:c r="E249" s="8" t="n">
        <x:f>IF(AND(F248&lt;=9,AS248&gt;=AR248),1,0)</x:f>
        <x:v>0</x:v>
      </x:c>
      <x:c r="F249" s="8" t="n">
        <x:f>MIN(10,F248+E249)</x:f>
        <x:v>5</x:v>
      </x:c>
      <x:c r="G249" s="8" t="n">
        <x:f>MIN(F249,9)+1</x:f>
        <x:v>6</x:v>
      </x:c>
      <x:c r="H249" s="8" t="n">
        <x:f>IF(F249&lt;=9,1,0)</x:f>
        <x:v>1</x:v>
      </x:c>
      <x:c r="I249" s="9" t="n">
        <x:f>MIN(10,F248+IF(AR248&gt;0,MIN(1,AS248/AR248),1))</x:f>
        <x:v>5.060715552381126</x:v>
      </x:c>
      <x:c r="J249" s="32" t="n">
        <x:f>INDEX(tun_FoodCap,G249)*Arch_FoodCap*EXP(tun_CapsByProject*SUMPRODUCT((Cap_Point&lt;=I249)*(Cap_Kind="Food")*Cap_Ln))</x:f>
        <x:v>372.89883457776335</x:v>
      </x:c>
      <x:c r="K249" s="32" t="n">
        <x:f>J249*MIN(1,tun_LeanBase*EXP(tun_CapsByProject*SUMPRODUCT((Cap_Point&lt;=I249)*(Cap_Kind="Lean")*Cap_Ln)))</x:f>
        <x:v>372.89883457776335</x:v>
      </x:c>
      <x:c r="L249" s="10" t="n">
        <x:f>INDEX(tun_HousingCap,G249)*EXP(tun_CapsByProject*SUMPRODUCT((Cap_Point&lt;=I249)*(Cap_Kind="Housing")*Cap_Ln))</x:f>
        <x:v>1981.8141431314853</x:v>
      </x:c>
      <x:c r="M249" s="10" t="n">
        <x:f>INDEX(tun_GroupCap,G249)*tun_CohesionFactor*EXP(tun_CapsByProject*SUMPRODUCT((Cap_Point&lt;=I249)*(Cap_Kind="Group")*Cap_Ln))</x:f>
        <x:v>50000.00000000004</x:v>
      </x:c>
      <x:c r="N249" s="32" t="n">
        <x:f>MIN(J249,L249,M249)</x:f>
        <x:v>372.89883457776335</x:v>
      </x:c>
      <x:c r="O249" s="10" t="n">
        <x:f>AE248*N249</x:f>
        <x:v>1118.69650373329</x:v>
      </x:c>
      <x:c r="P249" s="9" t="n">
        <x:f>MIN(1,(AB248/(AE248*IF(tun_GroupInCrowding=1,N249,MIN(J249,L249))))^tun_CrowdingExp)</x:f>
        <x:v>0.34316043106408795</x:v>
      </x:c>
      <x:c r="Q249" s="9" t="n">
        <x:f>IF(D249=1,INDEX(tun_WinterMult,G249),1)</x:f>
        <x:v>1</x:v>
      </x:c>
      <x:c r="R249" s="9" t="n">
        <x:f>H249*Z248*tun_WomenShare*tun_BaseFertility*INDEX(tun_FertMult,G249)*Arch_Fertility*(1-P249)</x:f>
        <x:v>15.958339295013623</x:v>
      </x:c>
      <x:c r="S249" s="9" t="n">
        <x:f>H249*Y248*INDEX(tun_MortChild,G249)/4*Q249</x:f>
        <x:v>3.681595164812683</x:v>
      </x:c>
      <x:c r="T249" s="9" t="n">
        <x:f>H249*Z248*INDEX(tun_MortAdult,G249)*Arch_AdultMort/4*Q249</x:f>
        <x:v>0.8919728860958887</x:v>
      </x:c>
      <x:c r="U249" s="9" t="n">
        <x:f>H249*AA248*INDEX(tun_MortElder,G249)/4*Q249</x:f>
        <x:v>1.127561183266835</x:v>
      </x:c>
      <x:c r="V249" s="9" t="n">
        <x:f>H249*MAX(0,AB248-O249)*tun_OvercapLoss</x:f>
        <x:v>0</x:v>
      </x:c>
      <x:c r="W249" s="9" t="n">
        <x:f>H249*Y248/(tun_ChildYears*4)</x:f>
        <x:v>9.067968386238134</x:v>
      </x:c>
      <x:c r="X249" s="9" t="n">
        <x:f>H249*Z248/(tun_AdultYears*4)</x:f>
        <x:v>2.7403160863160942</x:v>
      </x:c>
      <x:c r="Y249" s="32" t="n">
        <x:f>Y248+R249-S249-W249-Y248*V249/AB248</x:f>
        <x:v>511.0150053732983</x:v>
      </x:c>
      <x:c r="Z249" s="32" t="n">
        <x:f>Z248+W249-X249-T249-Z248*V249/AB248</x:f>
        <x:v>345.2348741170218</x:v>
      </x:c>
      <x:c r="AA249" s="32" t="n">
        <x:f>AA248+X249-U249-AA248*V249/AB248</x:f>
        <x:v>90.04892613966379</x:v>
      </x:c>
      <x:c r="AB249" s="10" t="n">
        <x:f>Y249+Z249+AA249</x:f>
        <x:v>946.2988056299839</x:v>
      </x:c>
      <x:c r="AC249" s="8" t="n">
        <x:f>IF(AND(tun_WinterTrigger=1,D249=1,AB248/AE248&gt;=K249),1,0)</x:f>
        <x:v>0</x:v>
      </x:c>
      <x:c r="AD249" s="8" t="n">
        <x:f>H249*IF(AND(OR(AB248/AE248&gt;=tun_FissionTrigger*N249,AC249=1),AB248/AE248*tun_DaughterShare&gt;=tun_MinDaughter),MAX(1,ROUND(AE248*tun_FissionRate,0)),0)</x:f>
        <x:v>0</x:v>
      </x:c>
      <x:c r="AE249" s="8" t="n">
        <x:f>IF(H249=1,MAX(1,MIN(INDEX(tun_Smax,G249),AE248+AD249)),AE248)</x:f>
        <x:v>3</x:v>
      </x:c>
      <x:c r="AF249" s="8" t="n">
        <x:f>MAX(0,AE249-AE248)</x:f>
        <x:v>0</x:v>
      </x:c>
      <x:c r="AG249" s="9" t="str">
        <x:f>IF(AF249&gt;0,B249,"")</x:f>
      </x:c>
      <x:c r="AH249" s="9" t="n">
        <x:f>IF(F249&gt;=1,1,(1+tun_LowTiesShare*(AE249-1))/AE249)</x:f>
        <x:v>1</x:v>
      </x:c>
      <x:c r="AI249" s="32" t="n">
        <x:f>(Z249+tun_ElderCommons*INDEX(LM_Elder,G249)*AA249)*AH249</x:f>
        <x:v>647.2681543407407</x:v>
      </x:c>
      <x:c r="AJ249" s="32" t="n">
        <x:f>H249*tun_CommonsCoef*AI249^tun_CommonsExp*INDEX(LM_Commons,G249)</x:f>
        <x:v>1562.9412956071073</x:v>
      </x:c>
      <x:c r="AK249" s="32" t="n">
        <x:f>H249*tun_RoleScale*Arch_Roles*(AE249*(INDEX(tun_ElderRolePerSett,G249)*tun_OutElder*INDEX(LM_Elder,G249)+INDEX(tun_ShamanPerSett,G249)*tun_OutShaman)+Z249*(INDEX(tun_PriestShare,G249)*tun_OutPriest+INDEX(tun_ScribeShare,G249)*tun_OutScribe*INDEX(LM_Scribe,G249)+INDEX(tun_ScholarShare,G249)*tun_OutScholar*INDEX(LM_Scholar,G249)+INDEX(tun_ResearcherShare,G249)*tun_OutResearcher*INDEX(LM_Researcher,G249)))</x:f>
        <x:v>272.1019419969587</x:v>
      </x:c>
      <x:c r="AL249" s="32" t="n">
        <x:f>H249*tun_RoleScale*Arch_Roles*AE249*INDEX(tun_MonasteryPerSett,G249)*tun_OutMonastery*INDEX(LM_Monastery,G249)</x:f>
        <x:v>7.551423706825091</x:v>
      </x:c>
      <x:c r="AM249" s="32" t="n">
        <x:f>(AJ249+AK249+AL249)/4*INDEX(LM_All,G249)*INDEX(tun_Boon,G249)*Arch_Insight</x:f>
        <x:v>663.9792461988017</x:v>
      </x:c>
      <x:c r="AN249" s="32" t="n">
        <x:f>H249*(tun_KHPerAdult*Z249+tun_KHOfCommons*AJ249/4*INDEX(LM_All,G249))*tun_KHUsable*Arch_KH</x:f>
        <x:v>121.95907449470513</x:v>
      </x:c>
      <x:c r="AO249" s="32" t="n">
        <x:f>MIN(AP248+AN249,AM249*tun_KHMaxRatio)</x:f>
        <x:v>121.95907449470513</x:v>
      </x:c>
      <x:c r="AP249" s="32" t="n">
        <x:f>AP248+AN249-AO249</x:f>
        <x:v>0</x:v>
      </x:c>
      <x:c r="AQ249" s="32" t="n">
        <x:f>AM249+AO249</x:f>
        <x:v>785.9383206935067</x:v>
      </x:c>
      <x:c r="AR249" s="10" t="n">
        <x:f>IF(H249=1,INDEX(tun_Req,G249),0)</x:f>
        <x:v>88783.394528</x:v>
      </x:c>
      <x:c r="AS249" s="32" t="n">
        <x:f>IF(H249=1,IF(E249=1,AS248-AR248,AS248)+AQ249,0)</x:f>
        <x:v>6176.471161732456</x:v>
      </x:c>
      <x:c r="AT249" s="11" t="n">
        <x:f>IF(AR249&gt;0,MIN(1,AS249/AR249),1)</x:f>
        <x:v>0.06956786451530139</x:v>
      </x:c>
      <x:c r="AU249" s="10" t="n">
        <x:f>AB249/INDEX(tun_RepScale,G249)</x:f>
        <x:v>189.2597611259968</x:v>
      </x:c>
      <x:c r="AV249" s="32" t="n">
        <x:f>AM249*60/tun_SeasonSeconds</x:f>
        <x:v>2655.9169847952066</x:v>
      </x:c>
    </x:row>
    <x:row r="250">
      <x:c r="A250" s="8" t="n">
        <x:f>A249+1</x:f>
        <x:v>247</x:v>
      </x:c>
      <x:c r="B250" s="9" t="n">
        <x:f>A250*tun_SeasonSeconds/60</x:f>
        <x:v>61.75</x:v>
      </x:c>
      <x:c r="C250" s="9" t="n">
        <x:f>A250/4</x:f>
        <x:v>61.75</x:v>
      </x:c>
      <x:c r="D250" s="8" t="n">
        <x:f>IF(MOD(A250,4)=0,1,0)</x:f>
        <x:v>0</x:v>
      </x:c>
      <x:c r="E250" s="8" t="n">
        <x:f>IF(AND(F249&lt;=9,AS249&gt;=AR249),1,0)</x:f>
        <x:v>0</x:v>
      </x:c>
      <x:c r="F250" s="8" t="n">
        <x:f>MIN(10,F249+E250)</x:f>
        <x:v>5</x:v>
      </x:c>
      <x:c r="G250" s="8" t="n">
        <x:f>MIN(F250,9)+1</x:f>
        <x:v>6</x:v>
      </x:c>
      <x:c r="H250" s="8" t="n">
        <x:f>IF(F250&lt;=9,1,0)</x:f>
        <x:v>1</x:v>
      </x:c>
      <x:c r="I250" s="9" t="n">
        <x:f>MIN(10,F249+IF(AR249&gt;0,MIN(1,AS249/AR249),1))</x:f>
        <x:v>5.069567864515301</x:v>
      </x:c>
      <x:c r="J250" s="32" t="n">
        <x:f>INDEX(tun_FoodCap,G250)*Arch_FoodCap*EXP(tun_CapsByProject*SUMPRODUCT((Cap_Point&lt;=I250)*(Cap_Kind="Food")*Cap_Ln))</x:f>
        <x:v>372.89883457776335</x:v>
      </x:c>
      <x:c r="K250" s="32" t="n">
        <x:f>J250*MIN(1,tun_LeanBase*EXP(tun_CapsByProject*SUMPRODUCT((Cap_Point&lt;=I250)*(Cap_Kind="Lean")*Cap_Ln)))</x:f>
        <x:v>372.89883457776335</x:v>
      </x:c>
      <x:c r="L250" s="10" t="n">
        <x:f>INDEX(tun_HousingCap,G250)*EXP(tun_CapsByProject*SUMPRODUCT((Cap_Point&lt;=I250)*(Cap_Kind="Housing")*Cap_Ln))</x:f>
        <x:v>1981.8141431314853</x:v>
      </x:c>
      <x:c r="M250" s="10" t="n">
        <x:f>INDEX(tun_GroupCap,G250)*tun_CohesionFactor*EXP(tun_CapsByProject*SUMPRODUCT((Cap_Point&lt;=I250)*(Cap_Kind="Group")*Cap_Ln))</x:f>
        <x:v>50000.00000000004</x:v>
      </x:c>
      <x:c r="N250" s="32" t="n">
        <x:f>MIN(J250,L250,M250)</x:f>
        <x:v>372.89883457776335</x:v>
      </x:c>
      <x:c r="O250" s="10" t="n">
        <x:f>AE249*N250</x:f>
        <x:v>1118.69650373329</x:v>
      </x:c>
      <x:c r="P250" s="9" t="n">
        <x:f>MIN(1,(AB249/(AE249*IF(tun_GroupInCrowding=1,N250,MIN(J250,L250))))^tun_CrowdingExp)</x:f>
        <x:v>0.3663498912857305</x:v>
      </x:c>
      <x:c r="Q250" s="9" t="n">
        <x:f>IF(D250=1,INDEX(tun_WinterMult,G250),1)</x:f>
        <x:v>1</x:v>
      </x:c>
      <x:c r="R250" s="9" t="n">
        <x:f>H250*Z249*tun_WomenShare*tun_BaseFertility*INDEX(tun_FertMult,G250)*Arch_Fertility*(1-P250)</x:f>
        <x:v>15.641205259408876</x:v>
      </x:c>
      <x:c r="S250" s="9" t="n">
        <x:f>H250*Y249*INDEX(tun_MortChild,G250)/4*Q250</x:f>
        <x:v>3.704858788956413</x:v>
      </x:c>
      <x:c r="T250" s="9" t="n">
        <x:f>H250*Z249*INDEX(tun_MortAdult,G250)*Arch_AdultMort/4*Q250</x:f>
        <x:v>0.9062415445571822</x:v>
      </x:c>
      <x:c r="U250" s="9" t="n">
        <x:f>H250*AA249*INDEX(tun_MortElder,G250)/4*Q250</x:f>
        <x:v>1.1481238082807133</x:v>
      </x:c>
      <x:c r="V250" s="9" t="n">
        <x:f>H250*MAX(0,AB249-O250)*tun_OvercapLoss</x:f>
        <x:v>0</x:v>
      </x:c>
      <x:c r="W250" s="9" t="n">
        <x:f>H250*Y249/(tun_ChildYears*4)</x:f>
        <x:v>9.125267953094612</x:v>
      </x:c>
      <x:c r="X250" s="9" t="n">
        <x:f>H250*Z249/(tun_AdultYears*4)</x:f>
        <x:v>2.7841522106211434</x:v>
      </x:c>
      <x:c r="Y250" s="32" t="n">
        <x:f>Y249+R250-S250-W250-Y249*V250/AB249</x:f>
        <x:v>513.8260838906562</x:v>
      </x:c>
      <x:c r="Z250" s="32" t="n">
        <x:f>Z249+W250-X250-T250-Z249*V250/AB249</x:f>
        <x:v>350.6697483149381</x:v>
      </x:c>
      <x:c r="AA250" s="32" t="n">
        <x:f>AA249+X250-U250-AA249*V250/AB249</x:f>
        <x:v>91.68495454200422</x:v>
      </x:c>
      <x:c r="AB250" s="10" t="n">
        <x:f>Y250+Z250+AA250</x:f>
        <x:v>956.1807867475985</x:v>
      </x:c>
      <x:c r="AC250" s="8" t="n">
        <x:f>IF(AND(tun_WinterTrigger=1,D250=1,AB249/AE249&gt;=K250),1,0)</x:f>
        <x:v>0</x:v>
      </x:c>
      <x:c r="AD250" s="8" t="n">
        <x:f>H250*IF(AND(OR(AB249/AE249&gt;=tun_FissionTrigger*N250,AC250=1),AB249/AE249*tun_DaughterShare&gt;=tun_MinDaughter),MAX(1,ROUND(AE249*tun_FissionRate,0)),0)</x:f>
        <x:v>0</x:v>
      </x:c>
      <x:c r="AE250" s="8" t="n">
        <x:f>IF(H250=1,MAX(1,MIN(INDEX(tun_Smax,G250),AE249+AD250)),AE249)</x:f>
        <x:v>3</x:v>
      </x:c>
      <x:c r="AF250" s="8" t="n">
        <x:f>MAX(0,AE250-AE249)</x:f>
        <x:v>0</x:v>
      </x:c>
      <x:c r="AG250" s="9" t="str">
        <x:f>IF(AF250&gt;0,B250,"")</x:f>
      </x:c>
      <x:c r="AH250" s="9" t="n">
        <x:f>IF(F250&gt;=1,1,(1+tun_LowTiesShare*(AE250-1))/AE250)</x:f>
        <x:v>1</x:v>
      </x:c>
      <x:c r="AI250" s="32" t="n">
        <x:f>(Z250+tun_ElderCommons*INDEX(LM_Elder,G250)*AA250)*AH250</x:f>
        <x:v>658.1904346197874</x:v>
      </x:c>
      <x:c r="AJ250" s="32" t="n">
        <x:f>H250*tun_CommonsCoef*AI250^tun_CommonsExp*INDEX(LM_Commons,G250)</x:f>
        <x:v>1585.3307862179304</x:v>
      </x:c>
      <x:c r="AK250" s="32" t="n">
        <x:f>H250*tun_RoleScale*Arch_Roles*(AE250*(INDEX(tun_ElderRolePerSett,G250)*tun_OutElder*INDEX(LM_Elder,G250)+INDEX(tun_ShamanPerSett,G250)*tun_OutShaman)+Z250*(INDEX(tun_PriestShare,G250)*tun_OutPriest+INDEX(tun_ScribeShare,G250)*tun_OutScribe*INDEX(LM_Scribe,G250)+INDEX(tun_ScholarShare,G250)*tun_OutScholar*INDEX(LM_Scholar,G250)+INDEX(tun_ResearcherShare,G250)*tun_OutResearcher*INDEX(LM_Researcher,G250)))</x:f>
        <x:v>275.1851614676365</x:v>
      </x:c>
      <x:c r="AL250" s="32" t="n">
        <x:f>H250*tun_RoleScale*Arch_Roles*AE250*INDEX(tun_MonasteryPerSett,G250)*tun_OutMonastery*INDEX(LM_Monastery,G250)</x:f>
        <x:v>7.551423706825091</x:v>
      </x:c>
      <x:c r="AM250" s="32" t="n">
        <x:f>(AJ250+AK250+AL250)/4*INDEX(LM_All,G250)*INDEX(tun_Boon,G250)*Arch_Insight</x:f>
        <x:v>673.1583408709433</x:v>
      </x:c>
      <x:c r="AN250" s="32" t="n">
        <x:f>H250*(tun_KHPerAdult*Z250+tun_KHOfCommons*AJ250/4*INDEX(LM_All,G250))*tun_KHUsable*Arch_KH</x:f>
        <x:v>123.70616605916676</x:v>
      </x:c>
      <x:c r="AO250" s="32" t="n">
        <x:f>MIN(AP249+AN250,AM250*tun_KHMaxRatio)</x:f>
        <x:v>123.70616605916676</x:v>
      </x:c>
      <x:c r="AP250" s="32" t="n">
        <x:f>AP249+AN250-AO250</x:f>
        <x:v>0</x:v>
      </x:c>
      <x:c r="AQ250" s="32" t="n">
        <x:f>AM250+AO250</x:f>
        <x:v>796.8645069301101</x:v>
      </x:c>
      <x:c r="AR250" s="10" t="n">
        <x:f>IF(H250=1,INDEX(tun_Req,G250),0)</x:f>
        <x:v>88783.394528</x:v>
      </x:c>
      <x:c r="AS250" s="32" t="n">
        <x:f>IF(H250=1,IF(E250=1,AS249-AR249,AS249)+AQ250,0)</x:f>
        <x:v>6973.335668662566</x:v>
      </x:c>
      <x:c r="AT250" s="11" t="n">
        <x:f>IF(AR250&gt;0,MIN(1,AS250/AR250),1)</x:f>
        <x:v>0.07854324230037582</x:v>
      </x:c>
      <x:c r="AU250" s="10" t="n">
        <x:f>AB250/INDEX(tun_RepScale,G250)</x:f>
        <x:v>191.23615734951971</x:v>
      </x:c>
      <x:c r="AV250" s="32" t="n">
        <x:f>AM250*60/tun_SeasonSeconds</x:f>
        <x:v>2692.6333634837733</x:v>
      </x:c>
    </x:row>
    <x:row r="251">
      <x:c r="A251" s="8" t="n">
        <x:f>A250+1</x:f>
        <x:v>248</x:v>
      </x:c>
      <x:c r="B251" s="9" t="n">
        <x:f>A251*tun_SeasonSeconds/60</x:f>
        <x:v>62</x:v>
      </x:c>
      <x:c r="C251" s="9" t="n">
        <x:f>A251/4</x:f>
        <x:v>62</x:v>
      </x:c>
      <x:c r="D251" s="8" t="n">
        <x:f>IF(MOD(A251,4)=0,1,0)</x:f>
        <x:v>1</x:v>
      </x:c>
      <x:c r="E251" s="8" t="n">
        <x:f>IF(AND(F250&lt;=9,AS250&gt;=AR250),1,0)</x:f>
        <x:v>0</x:v>
      </x:c>
      <x:c r="F251" s="8" t="n">
        <x:f>MIN(10,F250+E251)</x:f>
        <x:v>5</x:v>
      </x:c>
      <x:c r="G251" s="8" t="n">
        <x:f>MIN(F251,9)+1</x:f>
        <x:v>6</x:v>
      </x:c>
      <x:c r="H251" s="8" t="n">
        <x:f>IF(F251&lt;=9,1,0)</x:f>
        <x:v>1</x:v>
      </x:c>
      <x:c r="I251" s="9" t="n">
        <x:f>MIN(10,F250+IF(AR250&gt;0,MIN(1,AS250/AR250),1))</x:f>
        <x:v>5.078543242300376</x:v>
      </x:c>
      <x:c r="J251" s="32" t="n">
        <x:f>INDEX(tun_FoodCap,G251)*Arch_FoodCap*EXP(tun_CapsByProject*SUMPRODUCT((Cap_Point&lt;=I251)*(Cap_Kind="Food")*Cap_Ln))</x:f>
        <x:v>372.89883457776335</x:v>
      </x:c>
      <x:c r="K251" s="32" t="n">
        <x:f>J251*MIN(1,tun_LeanBase*EXP(tun_CapsByProject*SUMPRODUCT((Cap_Point&lt;=I251)*(Cap_Kind="Lean")*Cap_Ln)))</x:f>
        <x:v>372.89883457776335</x:v>
      </x:c>
      <x:c r="L251" s="10" t="n">
        <x:f>INDEX(tun_HousingCap,G251)*EXP(tun_CapsByProject*SUMPRODUCT((Cap_Point&lt;=I251)*(Cap_Kind="Housing")*Cap_Ln))</x:f>
        <x:v>1981.8141431314853</x:v>
      </x:c>
      <x:c r="M251" s="10" t="n">
        <x:f>INDEX(tun_GroupCap,G251)*tun_CohesionFactor*EXP(tun_CapsByProject*SUMPRODUCT((Cap_Point&lt;=I251)*(Cap_Kind="Group")*Cap_Ln))</x:f>
        <x:v>50000.00000000004</x:v>
      </x:c>
      <x:c r="N251" s="32" t="n">
        <x:f>MIN(J251,L251,M251)</x:f>
        <x:v>372.89883457776335</x:v>
      </x:c>
      <x:c r="O251" s="10" t="n">
        <x:f>AE250*N251</x:f>
        <x:v>1118.69650373329</x:v>
      </x:c>
      <x:c r="P251" s="9" t="n">
        <x:f>MIN(1,(AB250/(AE250*IF(tun_GroupInCrowding=1,N251,MIN(J251,L251))))^tun_CrowdingExp)</x:f>
        <x:v>0.38991181242076833</x:v>
      </x:c>
      <x:c r="Q251" s="9" t="n">
        <x:f>IF(D251=1,INDEX(tun_WinterMult,G251),1)</x:f>
        <x:v>1.15</x:v>
      </x:c>
      <x:c r="R251" s="9" t="n">
        <x:f>H251*Z250*tun_WomenShare*tun_BaseFertility*INDEX(tun_FertMult,G251)*Arch_Fertility*(1-P251)</x:f>
        <x:v>15.296672189965305</x:v>
      </x:c>
      <x:c r="S251" s="9" t="n">
        <x:f>H251*Y250*INDEX(tun_MortChild,G251)/4*Q251</x:f>
        <x:v>4.284024974438346</x:v>
      </x:c>
      <x:c r="T251" s="9" t="n">
        <x:f>H251*Z250*INDEX(tun_MortAdult,G251)*Arch_AdultMort/4*Q251</x:f>
        <x:v>1.0585843027257194</x:v>
      </x:c>
      <x:c r="U251" s="9" t="n">
        <x:f>H251*AA250*INDEX(tun_MortElder,G251)/4*Q251</x:f>
        <x:v>1.3443306459721367</x:v>
      </x:c>
      <x:c r="V251" s="9" t="n">
        <x:f>H251*MAX(0,AB250-O251)*tun_OvercapLoss</x:f>
        <x:v>0</x:v>
      </x:c>
      <x:c r="W251" s="9" t="n">
        <x:f>H251*Y250/(tun_ChildYears*4)</x:f>
        <x:v>9.175465783761718</x:v>
      </x:c>
      <x:c r="X251" s="9" t="n">
        <x:f>H251*Z250/(tun_AdultYears*4)</x:f>
        <x:v>2.8279818412495006</x:v>
      </x:c>
      <x:c r="Y251" s="32" t="n">
        <x:f>Y250+R251-S251-W251-Y250*V251/AB250</x:f>
        <x:v>515.6632653224214</x:v>
      </x:c>
      <x:c r="Z251" s="32" t="n">
        <x:f>Z250+W251-X251-T251-Z250*V251/AB250</x:f>
        <x:v>355.9586479547246</x:v>
      </x:c>
      <x:c r="AA251" s="32" t="n">
        <x:f>AA250+X251-U251-AA250*V251/AB250</x:f>
        <x:v>93.16860573728158</x:v>
      </x:c>
      <x:c r="AB251" s="10" t="n">
        <x:f>Y251+Z251+AA251</x:f>
        <x:v>964.7905190144276</x:v>
      </x:c>
      <x:c r="AC251" s="8" t="n">
        <x:f>IF(AND(tun_WinterTrigger=1,D251=1,AB250/AE250&gt;=K251),1,0)</x:f>
        <x:v>0</x:v>
      </x:c>
      <x:c r="AD251" s="8" t="n">
        <x:f>H251*IF(AND(OR(AB250/AE250&gt;=tun_FissionTrigger*N251,AC251=1),AB250/AE250*tun_DaughterShare&gt;=tun_MinDaughter),MAX(1,ROUND(AE250*tun_FissionRate,0)),0)</x:f>
        <x:v>1</x:v>
      </x:c>
      <x:c r="AE251" s="8" t="n">
        <x:f>IF(H251=1,MAX(1,MIN(INDEX(tun_Smax,G251),AE250+AD251)),AE250)</x:f>
        <x:v>4</x:v>
      </x:c>
      <x:c r="AF251" s="8" t="n">
        <x:f>MAX(0,AE251-AE250)</x:f>
        <x:v>1</x:v>
      </x:c>
      <x:c r="AG251" s="9" t="n">
        <x:f>IF(AF251&gt;0,B251,"")</x:f>
        <x:v>62</x:v>
      </x:c>
      <x:c r="AH251" s="9" t="n">
        <x:f>IF(F251&gt;=1,1,(1+tun_LowTiesShare*(AE251-1))/AE251)</x:f>
        <x:v>1</x:v>
      </x:c>
      <x:c r="AI251" s="32" t="n">
        <x:f>(Z251+tun_ElderCommons*INDEX(LM_Elder,G251)*AA251)*AH251</x:f>
        <x:v>668.4556516508824</x:v>
      </x:c>
      <x:c r="AJ251" s="32" t="n">
        <x:f>H251*tun_CommonsCoef*AI251^tun_CommonsExp*INDEX(LM_Commons,G251)</x:f>
        <x:v>1606.3226069266063</x:v>
      </x:c>
      <x:c r="AK251" s="32" t="n">
        <x:f>H251*tun_RoleScale*Arch_Roles*(AE251*(INDEX(tun_ElderRolePerSett,G251)*tun_OutElder*INDEX(LM_Elder,G251)+INDEX(tun_ShamanPerSett,G251)*tun_OutShaman)+Z251*(INDEX(tun_PriestShare,G251)*tun_OutPriest+INDEX(tun_ScribeShare,G251)*tun_OutScribe*INDEX(LM_Scribe,G251)+INDEX(tun_ScholarShare,G251)*tun_OutScholar*INDEX(LM_Scholar,G251)+INDEX(tun_ResearcherShare,G251)*tun_OutResearcher*INDEX(LM_Researcher,G251)))</x:f>
        <x:v>303.60197702451933</x:v>
      </x:c>
      <x:c r="AL251" s="32" t="n">
        <x:f>H251*tun_RoleScale*Arch_Roles*AE251*INDEX(tun_MonasteryPerSett,G251)*tun_OutMonastery*INDEX(LM_Monastery,G251)</x:f>
        <x:v>10.068564942433456</x:v>
      </x:c>
      <x:c r="AM251" s="32" t="n">
        <x:f>(AJ251+AK251+AL251)/4*INDEX(LM_All,G251)*INDEX(tun_Boon,G251)*Arch_Insight</x:f>
        <x:v>691.869802120366</x:v>
      </x:c>
      <x:c r="AN251" s="32" t="n">
        <x:f>H251*(tun_KHPerAdult*Z251+tun_KHOfCommons*AJ251/4*INDEX(LM_All,G251))*tun_KHUsable*Arch_KH</x:f>
        <x:v>125.344194968368</x:v>
      </x:c>
      <x:c r="AO251" s="32" t="n">
        <x:f>MIN(AP250+AN251,AM251*tun_KHMaxRatio)</x:f>
        <x:v>125.344194968368</x:v>
      </x:c>
      <x:c r="AP251" s="32" t="n">
        <x:f>AP250+AN251-AO251</x:f>
        <x:v>0</x:v>
      </x:c>
      <x:c r="AQ251" s="32" t="n">
        <x:f>AM251+AO251</x:f>
        <x:v>817.213997088734</x:v>
      </x:c>
      <x:c r="AR251" s="10" t="n">
        <x:f>IF(H251=1,INDEX(tun_Req,G251),0)</x:f>
        <x:v>88783.394528</x:v>
      </x:c>
      <x:c r="AS251" s="32" t="n">
        <x:f>IF(H251=1,IF(E251=1,AS250-AR250,AS250)+AQ251,0)</x:f>
        <x:v>7790.5496657512995</x:v>
      </x:c>
      <x:c r="AT251" s="11" t="n">
        <x:f>IF(AR251&gt;0,MIN(1,AS251/AR251),1)</x:f>
        <x:v>0.08774782387143758</x:v>
      </x:c>
      <x:c r="AU251" s="10" t="n">
        <x:f>AB251/INDEX(tun_RepScale,G251)</x:f>
        <x:v>192.95810380288552</x:v>
      </x:c>
      <x:c r="AV251" s="32" t="n">
        <x:f>AM251*60/tun_SeasonSeconds</x:f>
        <x:v>2767.479208481464</x:v>
      </x:c>
    </x:row>
    <x:row r="252">
      <x:c r="A252" s="8" t="n">
        <x:f>A251+1</x:f>
        <x:v>249</x:v>
      </x:c>
      <x:c r="B252" s="9" t="n">
        <x:f>A252*tun_SeasonSeconds/60</x:f>
        <x:v>62.25</x:v>
      </x:c>
      <x:c r="C252" s="9" t="n">
        <x:f>A252/4</x:f>
        <x:v>62.25</x:v>
      </x:c>
      <x:c r="D252" s="8" t="n">
        <x:f>IF(MOD(A252,4)=0,1,0)</x:f>
        <x:v>0</x:v>
      </x:c>
      <x:c r="E252" s="8" t="n">
        <x:f>IF(AND(F251&lt;=9,AS251&gt;=AR251),1,0)</x:f>
        <x:v>0</x:v>
      </x:c>
      <x:c r="F252" s="8" t="n">
        <x:f>MIN(10,F251+E252)</x:f>
        <x:v>5</x:v>
      </x:c>
      <x:c r="G252" s="8" t="n">
        <x:f>MIN(F252,9)+1</x:f>
        <x:v>6</x:v>
      </x:c>
      <x:c r="H252" s="8" t="n">
        <x:f>IF(F252&lt;=9,1,0)</x:f>
        <x:v>1</x:v>
      </x:c>
      <x:c r="I252" s="9" t="n">
        <x:f>MIN(10,F251+IF(AR251&gt;0,MIN(1,AS251/AR251),1))</x:f>
        <x:v>5.087747823871438</x:v>
      </x:c>
      <x:c r="J252" s="32" t="n">
        <x:f>INDEX(tun_FoodCap,G252)*Arch_FoodCap*EXP(tun_CapsByProject*SUMPRODUCT((Cap_Point&lt;=I252)*(Cap_Kind="Food")*Cap_Ln))</x:f>
        <x:v>372.89883457776335</x:v>
      </x:c>
      <x:c r="K252" s="32" t="n">
        <x:f>J252*MIN(1,tun_LeanBase*EXP(tun_CapsByProject*SUMPRODUCT((Cap_Point&lt;=I252)*(Cap_Kind="Lean")*Cap_Ln)))</x:f>
        <x:v>372.89883457776335</x:v>
      </x:c>
      <x:c r="L252" s="10" t="n">
        <x:f>INDEX(tun_HousingCap,G252)*EXP(tun_CapsByProject*SUMPRODUCT((Cap_Point&lt;=I252)*(Cap_Kind="Housing")*Cap_Ln))</x:f>
        <x:v>1981.8141431314853</x:v>
      </x:c>
      <x:c r="M252" s="10" t="n">
        <x:f>INDEX(tun_GroupCap,G252)*tun_CohesionFactor*EXP(tun_CapsByProject*SUMPRODUCT((Cap_Point&lt;=I252)*(Cap_Kind="Group")*Cap_Ln))</x:f>
        <x:v>50000.00000000004</x:v>
      </x:c>
      <x:c r="N252" s="32" t="n">
        <x:f>MIN(J252,L252,M252)</x:f>
        <x:v>372.89883457776335</x:v>
      </x:c>
      <x:c r="O252" s="10" t="n">
        <x:f>AE251*N252</x:f>
        <x:v>1491.5953383110534</x:v>
      </x:c>
      <x:c r="P252" s="9" t="n">
        <x:f>MIN(1,(AB251/(AE251*IF(tun_GroupInCrowding=1,N252,MIN(J252,L252))))^tun_CrowdingExp)</x:f>
        <x:v>0.07323050983422666</x:v>
      </x:c>
      <x:c r="Q252" s="9" t="n">
        <x:f>IF(D252=1,INDEX(tun_WinterMult,G252),1)</x:f>
        <x:v>1</x:v>
      </x:c>
      <x:c r="R252" s="9" t="n">
        <x:f>H252*Z251*tun_WomenShare*tun_BaseFertility*INDEX(tun_FertMult,G252)*Arch_Fertility*(1-P252)</x:f>
        <x:v>23.587250449984516</x:v>
      </x:c>
      <x:c r="S252" s="9" t="n">
        <x:f>H252*Y251*INDEX(tun_MortChild,G252)/4*Q252</x:f>
        <x:v>3.738558673587555</x:v>
      </x:c>
      <x:c r="T252" s="9" t="n">
        <x:f>H252*Z251*INDEX(tun_MortAdult,G252)*Arch_AdultMort/4*Q252</x:f>
        <x:v>0.9343914508811522</x:v>
      </x:c>
      <x:c r="U252" s="9" t="n">
        <x:f>H252*AA251*INDEX(tun_MortElder,G252)/4*Q252</x:f>
        <x:v>1.18789972315034</x:v>
      </x:c>
      <x:c r="V252" s="9" t="n">
        <x:f>H252*MAX(0,AB251-O252)*tun_OvercapLoss</x:f>
        <x:v>0</x:v>
      </x:c>
      <x:c r="W252" s="9" t="n">
        <x:f>H252*Y251/(tun_ChildYears*4)</x:f>
        <x:v>9.208272595043239</x:v>
      </x:c>
      <x:c r="X252" s="9" t="n">
        <x:f>H252*Z251/(tun_AdultYears*4)</x:f>
        <x:v>2.870634257699392</x:v>
      </x:c>
      <x:c r="Y252" s="32" t="n">
        <x:f>Y251+R252-S252-W252-Y251*V252/AB251</x:f>
        <x:v>526.303684503775</x:v>
      </x:c>
      <x:c r="Z252" s="32" t="n">
        <x:f>Z251+W252-X252-T252-Z251*V252/AB251</x:f>
        <x:v>361.3618948411873</x:v>
      </x:c>
      <x:c r="AA252" s="32" t="n">
        <x:f>AA251+X252-U252-AA251*V252/AB251</x:f>
        <x:v>94.85134027183064</x:v>
      </x:c>
      <x:c r="AB252" s="10" t="n">
        <x:f>Y252+Z252+AA252</x:f>
        <x:v>982.5169196167928</x:v>
      </x:c>
      <x:c r="AC252" s="8" t="n">
        <x:f>IF(AND(tun_WinterTrigger=1,D252=1,AB251/AE251&gt;=K252),1,0)</x:f>
        <x:v>0</x:v>
      </x:c>
      <x:c r="AD252" s="8" t="n">
        <x:f>H252*IF(AND(OR(AB251/AE251&gt;=tun_FissionTrigger*N252,AC252=1),AB251/AE251*tun_DaughterShare&gt;=tun_MinDaughter),MAX(1,ROUND(AE251*tun_FissionRate,0)),0)</x:f>
        <x:v>0</x:v>
      </x:c>
      <x:c r="AE252" s="8" t="n">
        <x:f>IF(H252=1,MAX(1,MIN(INDEX(tun_Smax,G252),AE251+AD252)),AE251)</x:f>
        <x:v>4</x:v>
      </x:c>
      <x:c r="AF252" s="8" t="n">
        <x:f>MAX(0,AE252-AE251)</x:f>
        <x:v>0</x:v>
      </x:c>
      <x:c r="AG252" s="9" t="str">
        <x:f>IF(AF252&gt;0,B252,"")</x:f>
      </x:c>
      <x:c r="AH252" s="9" t="n">
        <x:f>IF(F252&gt;=1,1,(1+tun_LowTiesShare*(AE252-1))/AE252)</x:f>
        <x:v>1</x:v>
      </x:c>
      <x:c r="AI252" s="32" t="n">
        <x:f>(Z252+tun_ElderCommons*INDEX(LM_Elder,G252)*AA252)*AH252</x:f>
        <x:v>679.5029617483524</x:v>
      </x:c>
      <x:c r="AJ252" s="32" t="n">
        <x:f>H252*tun_CommonsCoef*AI252^tun_CommonsExp*INDEX(LM_Commons,G252)</x:f>
        <x:v>1628.859829139007</x:v>
      </x:c>
      <x:c r="AK252" s="32" t="n">
        <x:f>H252*tun_RoleScale*Arch_Roles*(AE252*(INDEX(tun_ElderRolePerSett,G252)*tun_OutElder*INDEX(LM_Elder,G252)+INDEX(tun_ShamanPerSett,G252)*tun_OutShaman)+Z252*(INDEX(tun_PriestShare,G252)*tun_OutPriest+INDEX(tun_ScribeShare,G252)*tun_OutScribe*INDEX(LM_Scribe,G252)+INDEX(tun_ScholarShare,G252)*tun_OutScholar*INDEX(LM_Scholar,G252)+INDEX(tun_ResearcherShare,G252)*tun_OutResearcher*INDEX(LM_Researcher,G252)))</x:f>
        <x:v>306.6672542321515</x:v>
      </x:c>
      <x:c r="AL252" s="32" t="n">
        <x:f>H252*tun_RoleScale*Arch_Roles*AE252*INDEX(tun_MonasteryPerSett,G252)*tun_OutMonastery*INDEX(LM_Monastery,G252)</x:f>
        <x:v>10.068564942433456</x:v>
      </x:c>
      <x:c r="AM252" s="32" t="n">
        <x:f>(AJ252+AK252+AL252)/4*INDEX(LM_All,G252)*INDEX(tun_Boon,G252)*Arch_Insight</x:f>
        <x:v>701.0956663989613</x:v>
      </x:c>
      <x:c r="AN252" s="32" t="n">
        <x:f>H252*(tun_KHPerAdult*Z252+tun_KHOfCommons*AJ252/4*INDEX(LM_All,G252))*tun_KHUsable*Arch_KH</x:f>
        <x:v>127.10281429107152</x:v>
      </x:c>
      <x:c r="AO252" s="32" t="n">
        <x:f>MIN(AP251+AN252,AM252*tun_KHMaxRatio)</x:f>
        <x:v>127.10281429107152</x:v>
      </x:c>
      <x:c r="AP252" s="32" t="n">
        <x:f>AP251+AN252-AO252</x:f>
        <x:v>0</x:v>
      </x:c>
      <x:c r="AQ252" s="32" t="n">
        <x:f>AM252+AO252</x:f>
        <x:v>828.1984806900327</x:v>
      </x:c>
      <x:c r="AR252" s="10" t="n">
        <x:f>IF(H252=1,INDEX(tun_Req,G252),0)</x:f>
        <x:v>88783.394528</x:v>
      </x:c>
      <x:c r="AS252" s="32" t="n">
        <x:f>IF(H252=1,IF(E252=1,AS251-AR251,AS251)+AQ252,0)</x:f>
        <x:v>8618.748146441332</x:v>
      </x:c>
      <x:c r="AT252" s="11" t="n">
        <x:f>IF(AR252&gt;0,MIN(1,AS252/AR252),1)</x:f>
        <x:v>0.09707612771804079</x:v>
      </x:c>
      <x:c r="AU252" s="10" t="n">
        <x:f>AB252/INDEX(tun_RepScale,G252)</x:f>
        <x:v>196.50338392335857</x:v>
      </x:c>
      <x:c r="AV252" s="32" t="n">
        <x:f>AM252*60/tun_SeasonSeconds</x:f>
        <x:v>2804.382665595845</x:v>
      </x:c>
    </x:row>
    <x:row r="253">
      <x:c r="A253" s="8" t="n">
        <x:f>A252+1</x:f>
        <x:v>250</x:v>
      </x:c>
      <x:c r="B253" s="9" t="n">
        <x:f>A253*tun_SeasonSeconds/60</x:f>
        <x:v>62.5</x:v>
      </x:c>
      <x:c r="C253" s="9" t="n">
        <x:f>A253/4</x:f>
        <x:v>62.5</x:v>
      </x:c>
      <x:c r="D253" s="8" t="n">
        <x:f>IF(MOD(A253,4)=0,1,0)</x:f>
        <x:v>0</x:v>
      </x:c>
      <x:c r="E253" s="8" t="n">
        <x:f>IF(AND(F252&lt;=9,AS252&gt;=AR252),1,0)</x:f>
        <x:v>0</x:v>
      </x:c>
      <x:c r="F253" s="8" t="n">
        <x:f>MIN(10,F252+E253)</x:f>
        <x:v>5</x:v>
      </x:c>
      <x:c r="G253" s="8" t="n">
        <x:f>MIN(F253,9)+1</x:f>
        <x:v>6</x:v>
      </x:c>
      <x:c r="H253" s="8" t="n">
        <x:f>IF(F253&lt;=9,1,0)</x:f>
        <x:v>1</x:v>
      </x:c>
      <x:c r="I253" s="9" t="n">
        <x:f>MIN(10,F252+IF(AR252&gt;0,MIN(1,AS252/AR252),1))</x:f>
        <x:v>5.097076127718041</x:v>
      </x:c>
      <x:c r="J253" s="32" t="n">
        <x:f>INDEX(tun_FoodCap,G253)*Arch_FoodCap*EXP(tun_CapsByProject*SUMPRODUCT((Cap_Point&lt;=I253)*(Cap_Kind="Food")*Cap_Ln))</x:f>
        <x:v>372.89883457776335</x:v>
      </x:c>
      <x:c r="K253" s="32" t="n">
        <x:f>J253*MIN(1,tun_LeanBase*EXP(tun_CapsByProject*SUMPRODUCT((Cap_Point&lt;=I253)*(Cap_Kind="Lean")*Cap_Ln)))</x:f>
        <x:v>372.89883457776335</x:v>
      </x:c>
      <x:c r="L253" s="10" t="n">
        <x:f>INDEX(tun_HousingCap,G253)*EXP(tun_CapsByProject*SUMPRODUCT((Cap_Point&lt;=I253)*(Cap_Kind="Housing")*Cap_Ln))</x:f>
        <x:v>1981.8141431314853</x:v>
      </x:c>
      <x:c r="M253" s="10" t="n">
        <x:f>INDEX(tun_GroupCap,G253)*tun_CohesionFactor*EXP(tun_CapsByProject*SUMPRODUCT((Cap_Point&lt;=I253)*(Cap_Kind="Group")*Cap_Ln))</x:f>
        <x:v>50000.00000000004</x:v>
      </x:c>
      <x:c r="N253" s="32" t="n">
        <x:f>MIN(J253,L253,M253)</x:f>
        <x:v>372.89883457776335</x:v>
      </x:c>
      <x:c r="O253" s="10" t="n">
        <x:f>AE252*N253</x:f>
        <x:v>1491.5953383110534</x:v>
      </x:c>
      <x:c r="P253" s="9" t="n">
        <x:f>MIN(1,(AB252/(AE252*IF(tun_GroupInCrowding=1,N253,MIN(J253,L253))))^tun_CrowdingExp)</x:f>
        <x:v>0.08168345959434656</x:v>
      </x:c>
      <x:c r="Q253" s="9" t="n">
        <x:f>IF(D253=1,INDEX(tun_WinterMult,G253),1)</x:f>
        <x:v>1</x:v>
      </x:c>
      <x:c r="R253" s="9" t="n">
        <x:f>H253*Z252*tun_WomenShare*tun_BaseFertility*INDEX(tun_FertMult,G253)*Arch_Fertility*(1-P253)</x:f>
        <x:v>23.726889265006836</x:v>
      </x:c>
      <x:c r="S253" s="9" t="n">
        <x:f>H253*Y252*INDEX(tun_MortChild,G253)/4*Q253</x:f>
        <x:v>3.815701712652369</x:v>
      </x:c>
      <x:c r="T253" s="9" t="n">
        <x:f>H253*Z252*INDEX(tun_MortAdult,G253)*Arch_AdultMort/4*Q253</x:f>
        <x:v>0.9485749739581166</x:v>
      </x:c>
      <x:c r="U253" s="9" t="n">
        <x:f>H253*AA252*INDEX(tun_MortElder,G253)/4*Q253</x:f>
        <x:v>1.2093545884658405</x:v>
      </x:c>
      <x:c r="V253" s="9" t="n">
        <x:f>H253*MAX(0,AB252-O253)*tun_OvercapLoss</x:f>
        <x:v>0</x:v>
      </x:c>
      <x:c r="W253" s="9" t="n">
        <x:f>H253*Y252/(tun_ChildYears*4)</x:f>
        <x:v>9.398280080424554</x:v>
      </x:c>
      <x:c r="X253" s="9" t="n">
        <x:f>H253*Z252/(tun_AdultYears*4)</x:f>
        <x:v>2.9142088293644135</x:v>
      </x:c>
      <x:c r="Y253" s="32" t="n">
        <x:f>Y252+R253-S253-W253-Y252*V253/AB252</x:f>
        <x:v>536.8165919757049</x:v>
      </x:c>
      <x:c r="Z253" s="32" t="n">
        <x:f>Z252+W253-X253-T253-Z252*V253/AB252</x:f>
        <x:v>366.8973911182893</x:v>
      </x:c>
      <x:c r="AA253" s="32" t="n">
        <x:f>AA252+X253-U253-AA252*V253/AB252</x:f>
        <x:v>96.5561945127292</x:v>
      </x:c>
      <x:c r="AB253" s="10" t="n">
        <x:f>Y253+Z253+AA253</x:f>
        <x:v>1000.2701776067235</x:v>
      </x:c>
      <x:c r="AC253" s="8" t="n">
        <x:f>IF(AND(tun_WinterTrigger=1,D253=1,AB252/AE252&gt;=K253),1,0)</x:f>
        <x:v>0</x:v>
      </x:c>
      <x:c r="AD253" s="8" t="n">
        <x:f>H253*IF(AND(OR(AB252/AE252&gt;=tun_FissionTrigger*N253,AC253=1),AB252/AE252*tun_DaughterShare&gt;=tun_MinDaughter),MAX(1,ROUND(AE252*tun_FissionRate,0)),0)</x:f>
        <x:v>0</x:v>
      </x:c>
      <x:c r="AE253" s="8" t="n">
        <x:f>IF(H253=1,MAX(1,MIN(INDEX(tun_Smax,G253),AE252+AD253)),AE252)</x:f>
        <x:v>4</x:v>
      </x:c>
      <x:c r="AF253" s="8" t="n">
        <x:f>MAX(0,AE253-AE252)</x:f>
        <x:v>0</x:v>
      </x:c>
      <x:c r="AG253" s="9" t="str">
        <x:f>IF(AF253&gt;0,B253,"")</x:f>
      </x:c>
      <x:c r="AH253" s="9" t="n">
        <x:f>IF(F253&gt;=1,1,(1+tun_LowTiesShare*(AE253-1))/AE253)</x:f>
        <x:v>1</x:v>
      </x:c>
      <x:c r="AI253" s="32" t="n">
        <x:f>(Z253+tun_ElderCommons*INDEX(LM_Elder,G253)*AA253)*AH253</x:f>
        <x:v>690.7567129870213</x:v>
      </x:c>
      <x:c r="AJ253" s="32" t="n">
        <x:f>H253*tun_CommonsCoef*AI253^tun_CommonsExp*INDEX(LM_Commons,G253)</x:f>
        <x:v>1651.7617657682722</x:v>
      </x:c>
      <x:c r="AK253" s="32" t="n">
        <x:f>H253*tun_RoleScale*Arch_Roles*(AE253*(INDEX(tun_ElderRolePerSett,G253)*tun_OutElder*INDEX(LM_Elder,G253)+INDEX(tun_ShamanPerSett,G253)*tun_OutShaman)+Z253*(INDEX(tun_PriestShare,G253)*tun_OutPriest+INDEX(tun_ScribeShare,G253)*tun_OutScribe*INDEX(LM_Scribe,G253)+INDEX(tun_ScholarShare,G253)*tun_OutScholar*INDEX(LM_Scholar,G253)+INDEX(tun_ResearcherShare,G253)*tun_OutResearcher*INDEX(LM_Researcher,G253)))</x:f>
        <x:v>309.80755689232507</x:v>
      </x:c>
      <x:c r="AL253" s="32" t="n">
        <x:f>H253*tun_RoleScale*Arch_Roles*AE253*INDEX(tun_MonasteryPerSett,G253)*tun_OutMonastery*INDEX(LM_Monastery,G253)</x:f>
        <x:v>10.068564942433456</x:v>
      </x:c>
      <x:c r="AM253" s="32" t="n">
        <x:f>(AJ253+AK253+AL253)/4*INDEX(LM_All,G253)*INDEX(tun_Boon,G253)*Arch_Insight</x:f>
        <x:v>710.4799910015456</x:v>
      </x:c>
      <x:c r="AN253" s="32" t="n">
        <x:f>H253*(tun_KHPerAdult*Z253+tun_KHOfCommons*AJ253/4*INDEX(LM_All,G253))*tun_KHUsable*Arch_KH</x:f>
        <x:v>128.88989292498567</x:v>
      </x:c>
      <x:c r="AO253" s="32" t="n">
        <x:f>MIN(AP252+AN253,AM253*tun_KHMaxRatio)</x:f>
        <x:v>128.88989292498567</x:v>
      </x:c>
      <x:c r="AP253" s="32" t="n">
        <x:f>AP252+AN253-AO253</x:f>
        <x:v>0</x:v>
      </x:c>
      <x:c r="AQ253" s="32" t="n">
        <x:f>AM253+AO253</x:f>
        <x:v>839.3698839265313</x:v>
      </x:c>
      <x:c r="AR253" s="10" t="n">
        <x:f>IF(H253=1,INDEX(tun_Req,G253),0)</x:f>
        <x:v>88783.394528</x:v>
      </x:c>
      <x:c r="AS253" s="32" t="n">
        <x:f>IF(H253=1,IF(E253=1,AS252-AR252,AS252)+AQ253,0)</x:f>
        <x:v>9458.118030367863</x:v>
      </x:c>
      <x:c r="AT253" s="11" t="n">
        <x:f>IF(AR253&gt;0,MIN(1,AS253/AR253),1)</x:f>
        <x:v>0.10653025918472868</x:v>
      </x:c>
      <x:c r="AU253" s="10" t="n">
        <x:f>AB253/INDEX(tun_RepScale,G253)</x:f>
        <x:v>200.0540355213447</x:v>
      </x:c>
      <x:c r="AV253" s="32" t="n">
        <x:f>AM253*60/tun_SeasonSeconds</x:f>
        <x:v>2841.9199640061825</x:v>
      </x:c>
    </x:row>
    <x:row r="254">
      <x:c r="A254" s="8" t="n">
        <x:f>A253+1</x:f>
        <x:v>251</x:v>
      </x:c>
      <x:c r="B254" s="9" t="n">
        <x:f>A254*tun_SeasonSeconds/60</x:f>
        <x:v>62.75</x:v>
      </x:c>
      <x:c r="C254" s="9" t="n">
        <x:f>A254/4</x:f>
        <x:v>62.75</x:v>
      </x:c>
      <x:c r="D254" s="8" t="n">
        <x:f>IF(MOD(A254,4)=0,1,0)</x:f>
        <x:v>0</x:v>
      </x:c>
      <x:c r="E254" s="8" t="n">
        <x:f>IF(AND(F253&lt;=9,AS253&gt;=AR253),1,0)</x:f>
        <x:v>0</x:v>
      </x:c>
      <x:c r="F254" s="8" t="n">
        <x:f>MIN(10,F253+E254)</x:f>
        <x:v>5</x:v>
      </x:c>
      <x:c r="G254" s="8" t="n">
        <x:f>MIN(F254,9)+1</x:f>
        <x:v>6</x:v>
      </x:c>
      <x:c r="H254" s="8" t="n">
        <x:f>IF(F254&lt;=9,1,0)</x:f>
        <x:v>1</x:v>
      </x:c>
      <x:c r="I254" s="9" t="n">
        <x:f>MIN(10,F253+IF(AR253&gt;0,MIN(1,AS253/AR253),1))</x:f>
        <x:v>5.106530259184729</x:v>
      </x:c>
      <x:c r="J254" s="32" t="n">
        <x:f>INDEX(tun_FoodCap,G254)*Arch_FoodCap*EXP(tun_CapsByProject*SUMPRODUCT((Cap_Point&lt;=I254)*(Cap_Kind="Food")*Cap_Ln))</x:f>
        <x:v>372.89883457776335</x:v>
      </x:c>
      <x:c r="K254" s="32" t="n">
        <x:f>J254*MIN(1,tun_LeanBase*EXP(tun_CapsByProject*SUMPRODUCT((Cap_Point&lt;=I254)*(Cap_Kind="Lean")*Cap_Ln)))</x:f>
        <x:v>372.89883457776335</x:v>
      </x:c>
      <x:c r="L254" s="10" t="n">
        <x:f>INDEX(tun_HousingCap,G254)*EXP(tun_CapsByProject*SUMPRODUCT((Cap_Point&lt;=I254)*(Cap_Kind="Housing")*Cap_Ln))</x:f>
        <x:v>1981.8141431314853</x:v>
      </x:c>
      <x:c r="M254" s="10" t="n">
        <x:f>INDEX(tun_GroupCap,G254)*tun_CohesionFactor*EXP(tun_CapsByProject*SUMPRODUCT((Cap_Point&lt;=I254)*(Cap_Kind="Group")*Cap_Ln))</x:f>
        <x:v>50000.00000000004</x:v>
      </x:c>
      <x:c r="N254" s="32" t="n">
        <x:f>MIN(J254,L254,M254)</x:f>
        <x:v>372.89883457776335</x:v>
      </x:c>
      <x:c r="O254" s="10" t="n">
        <x:f>AE253*N254</x:f>
        <x:v>1491.5953383110534</x:v>
      </x:c>
      <x:c r="P254" s="9" t="n">
        <x:f>MIN(1,(AB253/(AE253*IF(tun_GroupInCrowding=1,N254,MIN(J254,L254))))^tun_CrowdingExp)</x:f>
        <x:v>0.0909489774157692</x:v>
      </x:c>
      <x:c r="Q254" s="9" t="n">
        <x:f>IF(D254=1,INDEX(tun_WinterMult,G254),1)</x:f>
        <x:v>1</x:v>
      </x:c>
      <x:c r="R254" s="9" t="n">
        <x:f>H254*Z253*tun_WomenShare*tun_BaseFertility*INDEX(tun_FertMult,G254)*Arch_Fertility*(1-P254)</x:f>
        <x:v>23.84728407343907</x:v>
      </x:c>
      <x:c r="S254" s="9" t="n">
        <x:f>H254*Y253*INDEX(tun_MortChild,G254)/4*Q254</x:f>
        <x:v>3.891920291823861</x:v>
      </x:c>
      <x:c r="T254" s="9" t="n">
        <x:f>H254*Z253*INDEX(tun_MortAdult,G254)*Arch_AdultMort/4*Q254</x:f>
        <x:v>0.9631056516855094</x:v>
      </x:c>
      <x:c r="U254" s="9" t="n">
        <x:f>H254*AA253*INDEX(tun_MortElder,G254)/4*Q254</x:f>
        <x:v>1.2310914800372974</x:v>
      </x:c>
      <x:c r="V254" s="9" t="n">
        <x:f>H254*MAX(0,AB253-O254)*tun_OvercapLoss</x:f>
        <x:v>0</x:v>
      </x:c>
      <x:c r="W254" s="9" t="n">
        <x:f>H254*Y253/(tun_ChildYears*4)</x:f>
        <x:v>9.58601057099473</x:v>
      </x:c>
      <x:c r="X254" s="9" t="n">
        <x:f>H254*Z253/(tun_AdultYears*4)</x:f>
        <x:v>2.9588499283733007</x:v>
      </x:c>
      <x:c r="Y254" s="32" t="n">
        <x:f>Y253+R254-S254-W254-Y253*V254/AB253</x:f>
        <x:v>547.1859451863253</x:v>
      </x:c>
      <x:c r="Z254" s="32" t="n">
        <x:f>Z253+W254-X254-T254-Z253*V254/AB253</x:f>
        <x:v>372.56144610922524</x:v>
      </x:c>
      <x:c r="AA254" s="32" t="n">
        <x:f>AA253+X254-U254-AA253*V254/AB253</x:f>
        <x:v>98.28395296106521</x:v>
      </x:c>
      <x:c r="AB254" s="10" t="n">
        <x:f>Y254+Z254+AA254</x:f>
        <x:v>1018.0313442566157</x:v>
      </x:c>
      <x:c r="AC254" s="8" t="n">
        <x:f>IF(AND(tun_WinterTrigger=1,D254=1,AB253/AE253&gt;=K254),1,0)</x:f>
        <x:v>0</x:v>
      </x:c>
      <x:c r="AD254" s="8" t="n">
        <x:f>H254*IF(AND(OR(AB253/AE253&gt;=tun_FissionTrigger*N254,AC254=1),AB253/AE253*tun_DaughterShare&gt;=tun_MinDaughter),MAX(1,ROUND(AE253*tun_FissionRate,0)),0)</x:f>
        <x:v>0</x:v>
      </x:c>
      <x:c r="AE254" s="8" t="n">
        <x:f>IF(H254=1,MAX(1,MIN(INDEX(tun_Smax,G254),AE253+AD254)),AE253)</x:f>
        <x:v>4</x:v>
      </x:c>
      <x:c r="AF254" s="8" t="n">
        <x:f>MAX(0,AE254-AE253)</x:f>
        <x:v>0</x:v>
      </x:c>
      <x:c r="AG254" s="9" t="str">
        <x:f>IF(AF254&gt;0,B254,"")</x:f>
      </x:c>
      <x:c r="AH254" s="9" t="n">
        <x:f>IF(F254&gt;=1,1,(1+tun_LowTiesShare*(AE254-1))/AE254)</x:f>
        <x:v>1</x:v>
      </x:c>
      <x:c r="AI254" s="32" t="n">
        <x:f>(Z254+tun_ElderCommons*INDEX(LM_Elder,G254)*AA254)*AH254</x:f>
        <x:v>702.2158459867255</x:v>
      </x:c>
      <x:c r="AJ254" s="32" t="n">
        <x:f>H254*tun_CommonsCoef*AI254^tun_CommonsExp*INDEX(LM_Commons,G254)</x:f>
        <x:v>1675.0242294399627</x:v>
      </x:c>
      <x:c r="AK254" s="32" t="n">
        <x:f>H254*tun_RoleScale*Arch_Roles*(AE254*(INDEX(tun_ElderRolePerSett,G254)*tun_OutElder*INDEX(LM_Elder,G254)+INDEX(tun_ShamanPerSett,G254)*tun_OutShaman)+Z254*(INDEX(tun_PriestShare,G254)*tun_OutPriest+INDEX(tun_ScribeShare,G254)*tun_OutScribe*INDEX(LM_Scribe,G254)+INDEX(tun_ScholarShare,G254)*tun_OutScholar*INDEX(LM_Scholar,G254)+INDEX(tun_ResearcherShare,G254)*tun_OutResearcher*INDEX(LM_Researcher,G254)))</x:f>
        <x:v>313.0207912736726</x:v>
      </x:c>
      <x:c r="AL254" s="32" t="n">
        <x:f>H254*tun_RoleScale*Arch_Roles*AE254*INDEX(tun_MonasteryPerSett,G254)*tun_OutMonastery*INDEX(LM_Monastery,G254)</x:f>
        <x:v>10.068564942433456</x:v>
      </x:c>
      <x:c r="AM254" s="32" t="n">
        <x:f>(AJ254+AK254+AL254)/4*INDEX(LM_All,G254)*INDEX(tun_Boon,G254)*Arch_Insight</x:f>
        <x:v>720.0205125307552</x:v>
      </x:c>
      <x:c r="AN254" s="32" t="n">
        <x:f>H254*(tun_KHPerAdult*Z254+tun_KHOfCommons*AJ254/4*INDEX(LM_All,G254))*tun_KHUsable*Arch_KH</x:f>
        <x:v>130.70510412187457</x:v>
      </x:c>
      <x:c r="AO254" s="32" t="n">
        <x:f>MIN(AP253+AN254,AM254*tun_KHMaxRatio)</x:f>
        <x:v>130.70510412187457</x:v>
      </x:c>
      <x:c r="AP254" s="32" t="n">
        <x:f>AP253+AN254-AO254</x:f>
        <x:v>0</x:v>
      </x:c>
      <x:c r="AQ254" s="32" t="n">
        <x:f>AM254+AO254</x:f>
        <x:v>850.7256166526298</x:v>
      </x:c>
      <x:c r="AR254" s="10" t="n">
        <x:f>IF(H254=1,INDEX(tun_Req,G254),0)</x:f>
        <x:v>88783.394528</x:v>
      </x:c>
      <x:c r="AS254" s="32" t="n">
        <x:f>IF(H254=1,IF(E254=1,AS253-AR253,AS253)+AQ254,0)</x:f>
        <x:v>10308.843647020492</x:v>
      </x:c>
      <x:c r="AT254" s="11" t="n">
        <x:f>IF(AR254&gt;0,MIN(1,AS254/AR254),1)</x:f>
        <x:v>0.11611229444228276</x:v>
      </x:c>
      <x:c r="AU254" s="10" t="n">
        <x:f>AB254/INDEX(tun_RepScale,G254)</x:f>
        <x:v>203.60626885132314</x:v>
      </x:c>
      <x:c r="AV254" s="32" t="n">
        <x:f>AM254*60/tun_SeasonSeconds</x:f>
        <x:v>2880.082050123021</x:v>
      </x:c>
    </x:row>
    <x:row r="255">
      <x:c r="A255" s="8" t="n">
        <x:f>A254+1</x:f>
        <x:v>252</x:v>
      </x:c>
      <x:c r="B255" s="9" t="n">
        <x:f>A255*tun_SeasonSeconds/60</x:f>
        <x:v>63</x:v>
      </x:c>
      <x:c r="C255" s="9" t="n">
        <x:f>A255/4</x:f>
        <x:v>63</x:v>
      </x:c>
      <x:c r="D255" s="8" t="n">
        <x:f>IF(MOD(A255,4)=0,1,0)</x:f>
        <x:v>1</x:v>
      </x:c>
      <x:c r="E255" s="8" t="n">
        <x:f>IF(AND(F254&lt;=9,AS254&gt;=AR254),1,0)</x:f>
        <x:v>0</x:v>
      </x:c>
      <x:c r="F255" s="8" t="n">
        <x:f>MIN(10,F254+E255)</x:f>
        <x:v>5</x:v>
      </x:c>
      <x:c r="G255" s="8" t="n">
        <x:f>MIN(F255,9)+1</x:f>
        <x:v>6</x:v>
      </x:c>
      <x:c r="H255" s="8" t="n">
        <x:f>IF(F255&lt;=9,1,0)</x:f>
        <x:v>1</x:v>
      </x:c>
      <x:c r="I255" s="9" t="n">
        <x:f>MIN(10,F254+IF(AR254&gt;0,MIN(1,AS254/AR254),1))</x:f>
        <x:v>5.116112294442282</x:v>
      </x:c>
      <x:c r="J255" s="32" t="n">
        <x:f>INDEX(tun_FoodCap,G255)*Arch_FoodCap*EXP(tun_CapsByProject*SUMPRODUCT((Cap_Point&lt;=I255)*(Cap_Kind="Food")*Cap_Ln))</x:f>
        <x:v>372.89883457776335</x:v>
      </x:c>
      <x:c r="K255" s="32" t="n">
        <x:f>J255*MIN(1,tun_LeanBase*EXP(tun_CapsByProject*SUMPRODUCT((Cap_Point&lt;=I255)*(Cap_Kind="Lean")*Cap_Ln)))</x:f>
        <x:v>372.89883457776335</x:v>
      </x:c>
      <x:c r="L255" s="10" t="n">
        <x:f>INDEX(tun_HousingCap,G255)*EXP(tun_CapsByProject*SUMPRODUCT((Cap_Point&lt;=I255)*(Cap_Kind="Housing")*Cap_Ln))</x:f>
        <x:v>1981.8141431314853</x:v>
      </x:c>
      <x:c r="M255" s="10" t="n">
        <x:f>INDEX(tun_GroupCap,G255)*tun_CohesionFactor*EXP(tun_CapsByProject*SUMPRODUCT((Cap_Point&lt;=I255)*(Cap_Kind="Group")*Cap_Ln))</x:f>
        <x:v>50000.00000000004</x:v>
      </x:c>
      <x:c r="N255" s="32" t="n">
        <x:f>MIN(J255,L255,M255)</x:f>
        <x:v>372.89883457776335</x:v>
      </x:c>
      <x:c r="O255" s="10" t="n">
        <x:f>AE254*N255</x:f>
        <x:v>1491.5953383110534</x:v>
      </x:c>
      <x:c r="P255" s="9" t="n">
        <x:f>MIN(1,(AB254/(AE254*IF(tun_GroupInCrowding=1,N255,MIN(J255,L255))))^tun_CrowdingExp)</x:f>
        <x:v>0.10107896681239356</x:v>
      </x:c>
      <x:c r="Q255" s="9" t="n">
        <x:f>IF(D255=1,INDEX(tun_WinterMult,G255),1)</x:f>
        <x:v>1.15</x:v>
      </x:c>
      <x:c r="R255" s="9" t="n">
        <x:f>H255*Z254*tun_WomenShare*tun_BaseFertility*INDEX(tun_FertMult,G255)*Arch_Fertility*(1-P255)</x:f>
        <x:v>23.945587384459706</x:v>
      </x:c>
      <x:c r="S255" s="9" t="n">
        <x:f>H255*Y254*INDEX(tun_MortChild,G255)/4*Q255</x:f>
        <x:v>4.562162817990987</x:v>
      </x:c>
      <x:c r="T255" s="9" t="n">
        <x:f>H255*Z254*INDEX(tun_MortAdult,G255)*Arch_AdultMort/4*Q255</x:f>
        <x:v>1.1246698654422236</x:v>
      </x:c>
      <x:c r="U255" s="9" t="n">
        <x:f>H255*AA254*INDEX(tun_MortElder,G255)/4*Q255</x:f>
        <x:v>1.4410884602916185</x:v>
      </x:c>
      <x:c r="V255" s="9" t="n">
        <x:f>H255*MAX(0,AB254-O255)*tun_OvercapLoss</x:f>
        <x:v>0</x:v>
      </x:c>
      <x:c r="W255" s="9" t="n">
        <x:f>H255*Y254/(tun_ChildYears*4)</x:f>
        <x:v>9.771177592612952</x:v>
      </x:c>
      <x:c r="X255" s="9" t="n">
        <x:f>H255*Z254/(tun_AdultYears*4)</x:f>
        <x:v>3.0045277912034294</x:v>
      </x:c>
      <x:c r="Y255" s="32" t="n">
        <x:f>Y254+R255-S255-W255-Y254*V255/AB254</x:f>
        <x:v>556.7981921601811</x:v>
      </x:c>
      <x:c r="Z255" s="32" t="n">
        <x:f>Z254+W255-X255-T255-Z254*V255/AB254</x:f>
        <x:v>378.20342604519254</x:v>
      </x:c>
      <x:c r="AA255" s="32" t="n">
        <x:f>AA254+X255-U255-AA254*V255/AB254</x:f>
        <x:v>99.84739229197702</x:v>
      </x:c>
      <x:c r="AB255" s="10" t="n">
        <x:f>Y255+Z255+AA255</x:f>
        <x:v>1034.8490104973507</x:v>
      </x:c>
      <x:c r="AC255" s="8" t="n">
        <x:f>IF(AND(tun_WinterTrigger=1,D255=1,AB254/AE254&gt;=K255),1,0)</x:f>
        <x:v>0</x:v>
      </x:c>
      <x:c r="AD255" s="8" t="n">
        <x:f>H255*IF(AND(OR(AB254/AE254&gt;=tun_FissionTrigger*N255,AC255=1),AB254/AE254*tun_DaughterShare&gt;=tun_MinDaughter),MAX(1,ROUND(AE254*tun_FissionRate,0)),0)</x:f>
        <x:v>0</x:v>
      </x:c>
      <x:c r="AE255" s="8" t="n">
        <x:f>IF(H255=1,MAX(1,MIN(INDEX(tun_Smax,G255),AE254+AD255)),AE254)</x:f>
        <x:v>4</x:v>
      </x:c>
      <x:c r="AF255" s="8" t="n">
        <x:f>MAX(0,AE255-AE254)</x:f>
        <x:v>0</x:v>
      </x:c>
      <x:c r="AG255" s="9" t="str">
        <x:f>IF(AF255&gt;0,B255,"")</x:f>
      </x:c>
      <x:c r="AH255" s="9" t="n">
        <x:f>IF(F255&gt;=1,1,(1+tun_LowTiesShare*(AE255-1))/AE255)</x:f>
        <x:v>1</x:v>
      </x:c>
      <x:c r="AI255" s="32" t="n">
        <x:f>(Z255+tun_ElderCommons*INDEX(LM_Elder,G255)*AA255)*AH255</x:f>
        <x:v>713.1017608566162</x:v>
      </x:c>
      <x:c r="AJ255" s="32" t="n">
        <x:f>H255*tun_CommonsCoef*AI255^tun_CommonsExp*INDEX(LM_Commons,G255)</x:f>
        <x:v>1697.0703446680566</x:v>
      </x:c>
      <x:c r="AK255" s="32" t="n">
        <x:f>H255*tun_RoleScale*Arch_Roles*(AE255*(INDEX(tun_ElderRolePerSett,G255)*tun_OutElder*INDEX(LM_Elder,G255)+INDEX(tun_ShamanPerSett,G255)*tun_OutShaman)+Z255*(INDEX(tun_PriestShare,G255)*tun_OutPriest+INDEX(tun_ScribeShare,G255)*tun_OutScribe*INDEX(LM_Scribe,G255)+INDEX(tun_ScholarShare,G255)*tun_OutScholar*INDEX(LM_Scholar,G255)+INDEX(tun_ResearcherShare,G255)*tun_OutResearcher*INDEX(LM_Researcher,G255)))</x:f>
        <x:v>316.22150241403665</x:v>
      </x:c>
      <x:c r="AL255" s="32" t="n">
        <x:f>H255*tun_RoleScale*Arch_Roles*AE255*INDEX(tun_MonasteryPerSett,G255)*tun_OutMonastery*INDEX(LM_Monastery,G255)</x:f>
        <x:v>10.068564942433456</x:v>
      </x:c>
      <x:c r="AM255" s="32" t="n">
        <x:f>(AJ255+AK255+AL255)/4*INDEX(LM_All,G255)*INDEX(tun_Boon,G255)*Arch_Insight</x:f>
        <x:v>729.1182099750291</x:v>
      </x:c>
      <x:c r="AN255" s="32" t="n">
        <x:f>H255*(tun_KHPerAdult*Z255+tun_KHOfCommons*AJ255/4*INDEX(LM_All,G255))*tun_KHUsable*Arch_KH</x:f>
        <x:v>132.4254014977127</x:v>
      </x:c>
      <x:c r="AO255" s="32" t="n">
        <x:f>MIN(AP254+AN255,AM255*tun_KHMaxRatio)</x:f>
        <x:v>132.4254014977127</x:v>
      </x:c>
      <x:c r="AP255" s="32" t="n">
        <x:f>AP254+AN255-AO255</x:f>
        <x:v>0</x:v>
      </x:c>
      <x:c r="AQ255" s="32" t="n">
        <x:f>AM255+AO255</x:f>
        <x:v>861.5436114727418</x:v>
      </x:c>
      <x:c r="AR255" s="10" t="n">
        <x:f>IF(H255=1,INDEX(tun_Req,G255),0)</x:f>
        <x:v>88783.394528</x:v>
      </x:c>
      <x:c r="AS255" s="32" t="n">
        <x:f>IF(H255=1,IF(E255=1,AS254-AR254,AS254)+AQ255,0)</x:f>
        <x:v>11170.387258493234</x:v>
      </x:c>
      <x:c r="AT255" s="11" t="n">
        <x:f>IF(AR255&gt;0,MIN(1,AS255/AR255),1)</x:f>
        <x:v>0.12581617675105203</x:v>
      </x:c>
      <x:c r="AU255" s="10" t="n">
        <x:f>AB255/INDEX(tun_RepScale,G255)</x:f>
        <x:v>206.96980209947014</x:v>
      </x:c>
      <x:c r="AV255" s="32" t="n">
        <x:f>AM255*60/tun_SeasonSeconds</x:f>
        <x:v>2916.4728399001165</x:v>
      </x:c>
    </x:row>
    <x:row r="256">
      <x:c r="A256" s="8" t="n">
        <x:f>A255+1</x:f>
        <x:v>253</x:v>
      </x:c>
      <x:c r="B256" s="9" t="n">
        <x:f>A256*tun_SeasonSeconds/60</x:f>
        <x:v>63.25</x:v>
      </x:c>
      <x:c r="C256" s="9" t="n">
        <x:f>A256/4</x:f>
        <x:v>63.25</x:v>
      </x:c>
      <x:c r="D256" s="8" t="n">
        <x:f>IF(MOD(A256,4)=0,1,0)</x:f>
        <x:v>0</x:v>
      </x:c>
      <x:c r="E256" s="8" t="n">
        <x:f>IF(AND(F255&lt;=9,AS255&gt;=AR255),1,0)</x:f>
        <x:v>0</x:v>
      </x:c>
      <x:c r="F256" s="8" t="n">
        <x:f>MIN(10,F255+E256)</x:f>
        <x:v>5</x:v>
      </x:c>
      <x:c r="G256" s="8" t="n">
        <x:f>MIN(F256,9)+1</x:f>
        <x:v>6</x:v>
      </x:c>
      <x:c r="H256" s="8" t="n">
        <x:f>IF(F256&lt;=9,1,0)</x:f>
        <x:v>1</x:v>
      </x:c>
      <x:c r="I256" s="9" t="n">
        <x:f>MIN(10,F255+IF(AR255&gt;0,MIN(1,AS255/AR255),1))</x:f>
        <x:v>5.125816176751052</x:v>
      </x:c>
      <x:c r="J256" s="32" t="n">
        <x:f>INDEX(tun_FoodCap,G256)*Arch_FoodCap*EXP(tun_CapsByProject*SUMPRODUCT((Cap_Point&lt;=I256)*(Cap_Kind="Food")*Cap_Ln))</x:f>
        <x:v>372.89883457776335</x:v>
      </x:c>
      <x:c r="K256" s="32" t="n">
        <x:f>J256*MIN(1,tun_LeanBase*EXP(tun_CapsByProject*SUMPRODUCT((Cap_Point&lt;=I256)*(Cap_Kind="Lean")*Cap_Ln)))</x:f>
        <x:v>372.89883457776335</x:v>
      </x:c>
      <x:c r="L256" s="10" t="n">
        <x:f>INDEX(tun_HousingCap,G256)*EXP(tun_CapsByProject*SUMPRODUCT((Cap_Point&lt;=I256)*(Cap_Kind="Housing")*Cap_Ln))</x:f>
        <x:v>1981.8141431314853</x:v>
      </x:c>
      <x:c r="M256" s="10" t="n">
        <x:f>INDEX(tun_GroupCap,G256)*tun_CohesionFactor*EXP(tun_CapsByProject*SUMPRODUCT((Cap_Point&lt;=I256)*(Cap_Kind="Group")*Cap_Ln))</x:f>
        <x:v>50000.00000000004</x:v>
      </x:c>
      <x:c r="N256" s="32" t="n">
        <x:f>MIN(J256,L256,M256)</x:f>
        <x:v>372.89883457776335</x:v>
      </x:c>
      <x:c r="O256" s="10" t="n">
        <x:f>AE255*N256</x:f>
        <x:v>1491.5953383110534</x:v>
      </x:c>
      <x:c r="P256" s="9" t="n">
        <x:f>MIN(1,(AB255/(AE255*IF(tun_GroupInCrowding=1,N256,MIN(J256,L256))))^tun_CrowdingExp)</x:f>
        <x:v>0.11152078764811375</x:v>
      </x:c>
      <x:c r="Q256" s="9" t="n">
        <x:f>IF(D256=1,INDEX(tun_WinterMult,G256),1)</x:f>
        <x:v>1</x:v>
      </x:c>
      <x:c r="R256" s="9" t="n">
        <x:f>H256*Z255*tun_WomenShare*tun_BaseFertility*INDEX(tun_FertMult,G256)*Arch_Fertility*(1-P256)</x:f>
        <x:v>24.02585056882135</x:v>
      </x:c>
      <x:c r="S256" s="9" t="n">
        <x:f>H256*Y255*INDEX(tun_MortChild,G256)/4*Q256</x:f>
        <x:v>4.036786893161313</x:v>
      </x:c>
      <x:c r="T256" s="9" t="n">
        <x:f>H256*Z255*INDEX(tun_MortAdult,G256)*Arch_AdultMort/4*Q256</x:f>
        <x:v>0.9927839933686304</x:v>
      </x:c>
      <x:c r="U256" s="9" t="n">
        <x:f>H256*AA255*INDEX(tun_MortElder,G256)/4*Q256</x:f>
        <x:v>1.2730542517227068</x:v>
      </x:c>
      <x:c r="V256" s="9" t="n">
        <x:f>H256*MAX(0,AB255-O256)*tun_OvercapLoss</x:f>
        <x:v>0</x:v>
      </x:c>
      <x:c r="W256" s="9" t="n">
        <x:f>H256*Y255/(tun_ChildYears*4)</x:f>
        <x:v>9.942824860003233</x:v>
      </x:c>
      <x:c r="X256" s="9" t="n">
        <x:f>H256*Z255/(tun_AdultYears*4)</x:f>
        <x:v>3.050027629396714</x:v>
      </x:c>
      <x:c r="Y256" s="32" t="n">
        <x:f>Y255+R256-S256-W256-Y255*V256/AB255</x:f>
        <x:v>566.8444309758379</x:v>
      </x:c>
      <x:c r="Z256" s="32" t="n">
        <x:f>Z255+W256-X256-T256-Z255*V256/AB255</x:f>
        <x:v>384.10343928243043</x:v>
      </x:c>
      <x:c r="AA256" s="32" t="n">
        <x:f>AA255+X256-U256-AA255*V256/AB255</x:f>
        <x:v>101.62436566965101</x:v>
      </x:c>
      <x:c r="AB256" s="10" t="n">
        <x:f>Y256+Z256+AA256</x:f>
        <x:v>1052.5722359279193</x:v>
      </x:c>
      <x:c r="AC256" s="8" t="n">
        <x:f>IF(AND(tun_WinterTrigger=1,D256=1,AB255/AE255&gt;=K256),1,0)</x:f>
        <x:v>0</x:v>
      </x:c>
      <x:c r="AD256" s="8" t="n">
        <x:f>H256*IF(AND(OR(AB255/AE255&gt;=tun_FissionTrigger*N256,AC256=1),AB255/AE255*tun_DaughterShare&gt;=tun_MinDaughter),MAX(1,ROUND(AE255*tun_FissionRate,0)),0)</x:f>
        <x:v>0</x:v>
      </x:c>
      <x:c r="AE256" s="8" t="n">
        <x:f>IF(H256=1,MAX(1,MIN(INDEX(tun_Smax,G256),AE255+AD256)),AE255)</x:f>
        <x:v>4</x:v>
      </x:c>
      <x:c r="AF256" s="8" t="n">
        <x:f>MAX(0,AE256-AE255)</x:f>
        <x:v>0</x:v>
      </x:c>
      <x:c r="AG256" s="9" t="str">
        <x:f>IF(AF256&gt;0,B256,"")</x:f>
      </x:c>
      <x:c r="AH256" s="9" t="n">
        <x:f>IF(F256&gt;=1,1,(1+tun_LowTiesShare*(AE256-1))/AE256)</x:f>
        <x:v>1</x:v>
      </x:c>
      <x:c r="AI256" s="32" t="n">
        <x:f>(Z256+tun_ElderCommons*INDEX(LM_Elder,G256)*AA256)*AH256</x:f>
        <x:v>724.9619239938838</x:v>
      </x:c>
      <x:c r="AJ256" s="32" t="n">
        <x:f>H256*tun_CommonsCoef*AI256^tun_CommonsExp*INDEX(LM_Commons,G256)</x:f>
        <x:v>1721.0321359662357</x:v>
      </x:c>
      <x:c r="AK256" s="32" t="n">
        <x:f>H256*tun_RoleScale*Arch_Roles*(AE256*(INDEX(tun_ElderRolePerSett,G256)*tun_OutElder*INDEX(LM_Elder,G256)+INDEX(tun_ShamanPerSett,G256)*tun_OutShaman)+Z256*(INDEX(tun_PriestShare,G256)*tun_OutPriest+INDEX(tun_ScribeShare,G256)*tun_OutScribe*INDEX(LM_Scribe,G256)+INDEX(tun_ScholarShare,G256)*tun_OutScholar*INDEX(LM_Scholar,G256)+INDEX(tun_ResearcherShare,G256)*tun_OutResearcher*INDEX(LM_Researcher,G256)))</x:f>
        <x:v>319.5685965744282</x:v>
      </x:c>
      <x:c r="AL256" s="32" t="n">
        <x:f>H256*tun_RoleScale*Arch_Roles*AE256*INDEX(tun_MonasteryPerSett,G256)*tun_OutMonastery*INDEX(LM_Monastery,G256)</x:f>
        <x:v>10.068564942433456</x:v>
      </x:c>
      <x:c r="AM256" s="32" t="n">
        <x:f>(AJ256+AK256+AL256)/4*INDEX(LM_All,G256)*INDEX(tun_Boon,G256)*Arch_Insight</x:f>
        <x:v>738.9589707033876</x:v>
      </x:c>
      <x:c r="AN256" s="32" t="n">
        <x:f>H256*(tun_KHPerAdult*Z256+tun_KHOfCommons*AJ256/4*INDEX(LM_All,G256))*tun_KHUsable*Arch_KH</x:f>
        <x:v>134.29518246656608</x:v>
      </x:c>
      <x:c r="AO256" s="32" t="n">
        <x:f>MIN(AP255+AN256,AM256*tun_KHMaxRatio)</x:f>
        <x:v>134.29518246656608</x:v>
      </x:c>
      <x:c r="AP256" s="32" t="n">
        <x:f>AP255+AN256-AO256</x:f>
        <x:v>0</x:v>
      </x:c>
      <x:c r="AQ256" s="32" t="n">
        <x:f>AM256+AO256</x:f>
        <x:v>873.2541531699537</x:v>
      </x:c>
      <x:c r="AR256" s="10" t="n">
        <x:f>IF(H256=1,INDEX(tun_Req,G256),0)</x:f>
        <x:v>88783.394528</x:v>
      </x:c>
      <x:c r="AS256" s="32" t="n">
        <x:f>IF(H256=1,IF(E256=1,AS255-AR255,AS255)+AQ256,0)</x:f>
        <x:v>12043.641411663188</x:v>
      </x:c>
      <x:c r="AT256" s="11" t="n">
        <x:f>IF(AR256&gt;0,MIN(1,AS256/AR256),1)</x:f>
        <x:v>0.13565195919451956</x:v>
      </x:c>
      <x:c r="AU256" s="10" t="n">
        <x:f>AB256/INDEX(tun_RepScale,G256)</x:f>
        <x:v>210.51444718558386</x:v>
      </x:c>
      <x:c r="AV256" s="32" t="n">
        <x:f>AM256*60/tun_SeasonSeconds</x:f>
        <x:v>2955.8358828135506</x:v>
      </x:c>
    </x:row>
    <x:row r="257">
      <x:c r="A257" s="8" t="n">
        <x:f>A256+1</x:f>
        <x:v>254</x:v>
      </x:c>
      <x:c r="B257" s="9" t="n">
        <x:f>A257*tun_SeasonSeconds/60</x:f>
        <x:v>63.5</x:v>
      </x:c>
      <x:c r="C257" s="9" t="n">
        <x:f>A257/4</x:f>
        <x:v>63.5</x:v>
      </x:c>
      <x:c r="D257" s="8" t="n">
        <x:f>IF(MOD(A257,4)=0,1,0)</x:f>
        <x:v>0</x:v>
      </x:c>
      <x:c r="E257" s="8" t="n">
        <x:f>IF(AND(F256&lt;=9,AS256&gt;=AR256),1,0)</x:f>
        <x:v>0</x:v>
      </x:c>
      <x:c r="F257" s="8" t="n">
        <x:f>MIN(10,F256+E257)</x:f>
        <x:v>5</x:v>
      </x:c>
      <x:c r="G257" s="8" t="n">
        <x:f>MIN(F257,9)+1</x:f>
        <x:v>6</x:v>
      </x:c>
      <x:c r="H257" s="8" t="n">
        <x:f>IF(F257&lt;=9,1,0)</x:f>
        <x:v>1</x:v>
      </x:c>
      <x:c r="I257" s="9" t="n">
        <x:f>MIN(10,F256+IF(AR256&gt;0,MIN(1,AS256/AR256),1))</x:f>
        <x:v>5.1356519591945196</x:v>
      </x:c>
      <x:c r="J257" s="32" t="n">
        <x:f>INDEX(tun_FoodCap,G257)*Arch_FoodCap*EXP(tun_CapsByProject*SUMPRODUCT((Cap_Point&lt;=I257)*(Cap_Kind="Food")*Cap_Ln))</x:f>
        <x:v>372.89883457776335</x:v>
      </x:c>
      <x:c r="K257" s="32" t="n">
        <x:f>J257*MIN(1,tun_LeanBase*EXP(tun_CapsByProject*SUMPRODUCT((Cap_Point&lt;=I257)*(Cap_Kind="Lean")*Cap_Ln)))</x:f>
        <x:v>372.89883457776335</x:v>
      </x:c>
      <x:c r="L257" s="10" t="n">
        <x:f>INDEX(tun_HousingCap,G257)*EXP(tun_CapsByProject*SUMPRODUCT((Cap_Point&lt;=I257)*(Cap_Kind="Housing")*Cap_Ln))</x:f>
        <x:v>1981.8141431314853</x:v>
      </x:c>
      <x:c r="M257" s="10" t="n">
        <x:f>INDEX(tun_GroupCap,G257)*tun_CohesionFactor*EXP(tun_CapsByProject*SUMPRODUCT((Cap_Point&lt;=I257)*(Cap_Kind="Group")*Cap_Ln))</x:f>
        <x:v>50000.00000000004</x:v>
      </x:c>
      <x:c r="N257" s="32" t="n">
        <x:f>MIN(J257,L257,M257)</x:f>
        <x:v>372.89883457776335</x:v>
      </x:c>
      <x:c r="O257" s="10" t="n">
        <x:f>AE256*N257</x:f>
        <x:v>1491.5953383110534</x:v>
      </x:c>
      <x:c r="P257" s="9" t="n">
        <x:f>MIN(1,(AB256/(AE256*IF(tun_GroupInCrowding=1,N257,MIN(J257,L257))))^tun_CrowdingExp)</x:f>
        <x:v>0.12348248404588776</x:v>
      </x:c>
      <x:c r="Q257" s="9" t="n">
        <x:f>IF(D257=1,INDEX(tun_WinterMult,G257),1)</x:f>
        <x:v>1</x:v>
      </x:c>
      <x:c r="R257" s="9" t="n">
        <x:f>H257*Z256*tun_WomenShare*tun_BaseFertility*INDEX(tun_FertMult,G257)*Arch_Fertility*(1-P257)</x:f>
        <x:v>24.0721475615526</x:v>
      </x:c>
      <x:c r="S257" s="9" t="n">
        <x:f>H257*Y256*INDEX(tun_MortChild,G257)/4*Q257</x:f>
        <x:v>4.109622124574825</x:v>
      </x:c>
      <x:c r="T257" s="9" t="n">
        <x:f>H257*Z256*INDEX(tun_MortAdult,G257)*Arch_AdultMort/4*Q257</x:f>
        <x:v>1.0082715281163799</x:v>
      </x:c>
      <x:c r="U257" s="9" t="n">
        <x:f>H257*AA256*INDEX(tun_MortElder,G257)/4*Q257</x:f>
        <x:v>1.2957106622880503</x:v>
      </x:c>
      <x:c r="V257" s="9" t="n">
        <x:f>H257*MAX(0,AB256-O257)*tun_OvercapLoss</x:f>
        <x:v>0</x:v>
      </x:c>
      <x:c r="W257" s="9" t="n">
        <x:f>H257*Y256/(tun_ChildYears*4)</x:f>
        <x:v>10.122221981711391</x:v>
      </x:c>
      <x:c r="X257" s="9" t="n">
        <x:f>H257*Z256/(tun_AdultYears*4)</x:f>
        <x:v>3.097608381309923</x:v>
      </x:c>
      <x:c r="Y257" s="32" t="n">
        <x:f>Y256+R257-S257-W257-Y256*V257/AB256</x:f>
        <x:v>576.6847344311043</x:v>
      </x:c>
      <x:c r="Z257" s="32" t="n">
        <x:f>Z256+W257-X257-T257-Z256*V257/AB256</x:f>
        <x:v>390.11978135471554</x:v>
      </x:c>
      <x:c r="AA257" s="32" t="n">
        <x:f>AA256+X257-U257-AA256*V257/AB256</x:f>
        <x:v>103.4262633886729</x:v>
      </x:c>
      <x:c r="AB257" s="10" t="n">
        <x:f>Y257+Z257+AA257</x:f>
        <x:v>1070.2307791744927</x:v>
      </x:c>
      <x:c r="AC257" s="8" t="n">
        <x:f>IF(AND(tun_WinterTrigger=1,D257=1,AB256/AE256&gt;=K257),1,0)</x:f>
        <x:v>0</x:v>
      </x:c>
      <x:c r="AD257" s="8" t="n">
        <x:f>H257*IF(AND(OR(AB256/AE256&gt;=tun_FissionTrigger*N257,AC257=1),AB256/AE256*tun_DaughterShare&gt;=tun_MinDaughter),MAX(1,ROUND(AE256*tun_FissionRate,0)),0)</x:f>
        <x:v>0</x:v>
      </x:c>
      <x:c r="AE257" s="8" t="n">
        <x:f>IF(H257=1,MAX(1,MIN(INDEX(tun_Smax,G257),AE256+AD257)),AE256)</x:f>
        <x:v>4</x:v>
      </x:c>
      <x:c r="AF257" s="8" t="n">
        <x:f>MAX(0,AE257-AE256)</x:f>
        <x:v>0</x:v>
      </x:c>
      <x:c r="AG257" s="9" t="str">
        <x:f>IF(AF257&gt;0,B257,"")</x:f>
      </x:c>
      <x:c r="AH257" s="9" t="n">
        <x:f>IF(F257&gt;=1,1,(1+tun_LowTiesShare*(AE257-1))/AE257)</x:f>
        <x:v>1</x:v>
      </x:c>
      <x:c r="AI257" s="32" t="n">
        <x:f>(Z257+tun_ElderCommons*INDEX(LM_Elder,G257)*AA257)*AH257</x:f>
        <x:v>737.0220147485211</x:v>
      </x:c>
      <x:c r="AJ257" s="32" t="n">
        <x:f>H257*tun_CommonsCoef*AI257^tun_CommonsExp*INDEX(LM_Commons,G257)</x:f>
        <x:v>1745.3376338870332</x:v>
      </x:c>
      <x:c r="AK257" s="32" t="n">
        <x:f>H257*tun_RoleScale*Arch_Roles*(AE257*(INDEX(tun_ElderRolePerSett,G257)*tun_OutElder*INDEX(LM_Elder,G257)+INDEX(tun_ShamanPerSett,G257)*tun_OutShaman)+Z257*(INDEX(tun_PriestShare,G257)*tun_OutPriest+INDEX(tun_ScribeShare,G257)*tun_OutScribe*INDEX(LM_Scribe,G257)+INDEX(tun_ScholarShare,G257)*tun_OutScholar*INDEX(LM_Scholar,G257)+INDEX(tun_ResearcherShare,G257)*tun_OutResearcher*INDEX(LM_Researcher,G257)))</x:f>
        <x:v>322.9816844112431</x:v>
      </x:c>
      <x:c r="AL257" s="32" t="n">
        <x:f>H257*tun_RoleScale*Arch_Roles*AE257*INDEX(tun_MonasteryPerSett,G257)*tun_OutMonastery*INDEX(LM_Monastery,G257)</x:f>
        <x:v>10.068564942433456</x:v>
      </x:c>
      <x:c r="AM257" s="32" t="n">
        <x:f>(AJ257+AK257+AL257)/4*INDEX(LM_All,G257)*INDEX(tun_Boon,G257)*Arch_Insight</x:f>
        <x:v>748.9473669923157</x:v>
      </x:c>
      <x:c r="AN257" s="32" t="n">
        <x:f>H257*(tun_KHPerAdult*Z257+tun_KHOfCommons*AJ257/4*INDEX(LM_All,G257))*tun_KHUsable*Arch_KH</x:f>
        <x:v>136.19178347127752</x:v>
      </x:c>
      <x:c r="AO257" s="32" t="n">
        <x:f>MIN(AP256+AN257,AM257*tun_KHMaxRatio)</x:f>
        <x:v>136.19178347127752</x:v>
      </x:c>
      <x:c r="AP257" s="32" t="n">
        <x:f>AP256+AN257-AO257</x:f>
        <x:v>0</x:v>
      </x:c>
      <x:c r="AQ257" s="32" t="n">
        <x:f>AM257+AO257</x:f>
        <x:v>885.1391504635932</x:v>
      </x:c>
      <x:c r="AR257" s="10" t="n">
        <x:f>IF(H257=1,INDEX(tun_Req,G257),0)</x:f>
        <x:v>88783.394528</x:v>
      </x:c>
      <x:c r="AS257" s="32" t="n">
        <x:f>IF(H257=1,IF(E257=1,AS256-AR256,AS256)+AQ257,0)</x:f>
        <x:v>12928.780562126782</x:v>
      </x:c>
      <x:c r="AT257" s="11" t="n">
        <x:f>IF(AR257&gt;0,MIN(1,AS257/AR257),1)</x:f>
        <x:v>0.14562160673017943</x:v>
      </x:c>
      <x:c r="AU257" s="10" t="n">
        <x:f>AB257/INDEX(tun_RepScale,G257)</x:f>
        <x:v>214.04615583489854</x:v>
      </x:c>
      <x:c r="AV257" s="32" t="n">
        <x:f>AM257*60/tun_SeasonSeconds</x:f>
        <x:v>2995.7894679692627</x:v>
      </x:c>
    </x:row>
    <x:row r="258">
      <x:c r="A258" s="8" t="n">
        <x:f>A257+1</x:f>
        <x:v>255</x:v>
      </x:c>
      <x:c r="B258" s="9" t="n">
        <x:f>A258*tun_SeasonSeconds/60</x:f>
        <x:v>63.75</x:v>
      </x:c>
      <x:c r="C258" s="9" t="n">
        <x:f>A258/4</x:f>
        <x:v>63.75</x:v>
      </x:c>
      <x:c r="D258" s="8" t="n">
        <x:f>IF(MOD(A258,4)=0,1,0)</x:f>
        <x:v>0</x:v>
      </x:c>
      <x:c r="E258" s="8" t="n">
        <x:f>IF(AND(F257&lt;=9,AS257&gt;=AR257),1,0)</x:f>
        <x:v>0</x:v>
      </x:c>
      <x:c r="F258" s="8" t="n">
        <x:f>MIN(10,F257+E258)</x:f>
        <x:v>5</x:v>
      </x:c>
      <x:c r="G258" s="8" t="n">
        <x:f>MIN(F258,9)+1</x:f>
        <x:v>6</x:v>
      </x:c>
      <x:c r="H258" s="8" t="n">
        <x:f>IF(F258&lt;=9,1,0)</x:f>
        <x:v>1</x:v>
      </x:c>
      <x:c r="I258" s="9" t="n">
        <x:f>MIN(10,F257+IF(AR257&gt;0,MIN(1,AS257/AR257),1))</x:f>
        <x:v>5.145621606730179</x:v>
      </x:c>
      <x:c r="J258" s="32" t="n">
        <x:f>INDEX(tun_FoodCap,G258)*Arch_FoodCap*EXP(tun_CapsByProject*SUMPRODUCT((Cap_Point&lt;=I258)*(Cap_Kind="Food")*Cap_Ln))</x:f>
        <x:v>372.89883457776335</x:v>
      </x:c>
      <x:c r="K258" s="32" t="n">
        <x:f>J258*MIN(1,tun_LeanBase*EXP(tun_CapsByProject*SUMPRODUCT((Cap_Point&lt;=I258)*(Cap_Kind="Lean")*Cap_Ln)))</x:f>
        <x:v>372.89883457776335</x:v>
      </x:c>
      <x:c r="L258" s="10" t="n">
        <x:f>INDEX(tun_HousingCap,G258)*EXP(tun_CapsByProject*SUMPRODUCT((Cap_Point&lt;=I258)*(Cap_Kind="Housing")*Cap_Ln))</x:f>
        <x:v>1981.8141431314853</x:v>
      </x:c>
      <x:c r="M258" s="10" t="n">
        <x:f>INDEX(tun_GroupCap,G258)*tun_CohesionFactor*EXP(tun_CapsByProject*SUMPRODUCT((Cap_Point&lt;=I258)*(Cap_Kind="Group")*Cap_Ln))</x:f>
        <x:v>50000.00000000004</x:v>
      </x:c>
      <x:c r="N258" s="32" t="n">
        <x:f>MIN(J258,L258,M258)</x:f>
        <x:v>372.89883457776335</x:v>
      </x:c>
      <x:c r="O258" s="10" t="n">
        <x:f>AE257*N258</x:f>
        <x:v>1491.5953383110534</x:v>
      </x:c>
      <x:c r="P258" s="9" t="n">
        <x:f>MIN(1,(AB257/(AE257*IF(tun_GroupInCrowding=1,N258,MIN(J258,L258))))^tun_CrowdingExp)</x:f>
        <x:v>0.13644527997922112</x:v>
      </x:c>
      <x:c r="Q258" s="9" t="n">
        <x:f>IF(D258=1,INDEX(tun_WinterMult,G258),1)</x:f>
        <x:v>1</x:v>
      </x:c>
      <x:c r="R258" s="9" t="n">
        <x:f>H258*Z257*tun_WomenShare*tun_BaseFertility*INDEX(tun_FertMult,G258)*Arch_Fertility*(1-P258)</x:f>
        <x:v>24.087619167207233</x:v>
      </x:c>
      <x:c r="S258" s="9" t="n">
        <x:f>H258*Y257*INDEX(tun_MortChild,G258)/4*Q258</x:f>
        <x:v>4.180964324625506</x:v>
      </x:c>
      <x:c r="T258" s="9" t="n">
        <x:f>H258*Z257*INDEX(tun_MortAdult,G258)*Arch_AdultMort/4*Q258</x:f>
        <x:v>1.0240644260561285</x:v>
      </x:c>
      <x:c r="U258" s="9" t="n">
        <x:f>H258*AA257*INDEX(tun_MortElder,G258)/4*Q258</x:f>
        <x:v>1.3186848582055792</x:v>
      </x:c>
      <x:c r="V258" s="9" t="n">
        <x:f>H258*MAX(0,AB257-O258)*tun_OvercapLoss</x:f>
        <x:v>0</x:v>
      </x:c>
      <x:c r="W258" s="9" t="n">
        <x:f>H258*Y257/(tun_ChildYears*4)</x:f>
        <x:v>10.29794168626972</x:v>
      </x:c>
      <x:c r="X258" s="9" t="n">
        <x:f>H258*Z257/(tun_AdultYears*4)</x:f>
        <x:v>3.1461272689896416</x:v>
      </x:c>
      <x:c r="Y258" s="32" t="n">
        <x:f>Y257+R258-S258-W258-Y257*V258/AB257</x:f>
        <x:v>586.2934475874163</x:v>
      </x:c>
      <x:c r="Z258" s="32" t="n">
        <x:f>Z257+W258-X258-T258-Z257*V258/AB257</x:f>
        <x:v>396.2475313459395</x:v>
      </x:c>
      <x:c r="AA258" s="32" t="n">
        <x:f>AA257+X258-U258-AA257*V258/AB257</x:f>
        <x:v>105.25370579945695</x:v>
      </x:c>
      <x:c r="AB258" s="10" t="n">
        <x:f>Y258+Z258+AA258</x:f>
        <x:v>1087.7946847328126</x:v>
      </x:c>
      <x:c r="AC258" s="8" t="n">
        <x:f>IF(AND(tun_WinterTrigger=1,D258=1,AB257/AE257&gt;=K258),1,0)</x:f>
        <x:v>0</x:v>
      </x:c>
      <x:c r="AD258" s="8" t="n">
        <x:f>H258*IF(AND(OR(AB257/AE257&gt;=tun_FissionTrigger*N258,AC258=1),AB257/AE257*tun_DaughterShare&gt;=tun_MinDaughter),MAX(1,ROUND(AE257*tun_FissionRate,0)),0)</x:f>
        <x:v>0</x:v>
      </x:c>
      <x:c r="AE258" s="8" t="n">
        <x:f>IF(H258=1,MAX(1,MIN(INDEX(tun_Smax,G258),AE257+AD258)),AE257)</x:f>
        <x:v>4</x:v>
      </x:c>
      <x:c r="AF258" s="8" t="n">
        <x:f>MAX(0,AE258-AE257)</x:f>
        <x:v>0</x:v>
      </x:c>
      <x:c r="AG258" s="9" t="str">
        <x:f>IF(AF258&gt;0,B258,"")</x:f>
      </x:c>
      <x:c r="AH258" s="9" t="n">
        <x:f>IF(F258&gt;=1,1,(1+tun_LowTiesShare*(AE258-1))/AE258)</x:f>
        <x:v>1</x:v>
      </x:c>
      <x:c r="AI258" s="32" t="n">
        <x:f>(Z258+tun_ElderCommons*INDEX(LM_Elder,G258)*AA258)*AH258</x:f>
        <x:v>749.2791929229638</x:v>
      </x:c>
      <x:c r="AJ258" s="32" t="n">
        <x:f>H258*tun_CommonsCoef*AI258^tun_CommonsExp*INDEX(LM_Commons,G258)</x:f>
        <x:v>1769.9792853653312</x:v>
      </x:c>
      <x:c r="AK258" s="32" t="n">
        <x:f>H258*tun_RoleScale*Arch_Roles*(AE258*(INDEX(tun_ElderRolePerSett,G258)*tun_OutElder*INDEX(LM_Elder,G258)+INDEX(tun_ShamanPerSett,G258)*tun_OutShaman)+Z258*(INDEX(tun_PriestShare,G258)*tun_OutPriest+INDEX(tun_ScribeShare,G258)*tun_OutScribe*INDEX(LM_Scribe,G258)+INDEX(tun_ScholarShare,G258)*tun_OutScholar*INDEX(LM_Scholar,G258)+INDEX(tun_ResearcherShare,G258)*tun_OutResearcher*INDEX(LM_Researcher,G258)))</x:f>
        <x:v>326.4579742748854</x:v>
      </x:c>
      <x:c r="AL258" s="32" t="n">
        <x:f>H258*tun_RoleScale*Arch_Roles*AE258*INDEX(tun_MonasteryPerSett,G258)*tun_OutMonastery*INDEX(LM_Monastery,G258)</x:f>
        <x:v>10.068564942433456</x:v>
      </x:c>
      <x:c r="AM258" s="32" t="n">
        <x:f>(AJ258+AK258+AL258)/4*INDEX(LM_All,G258)*INDEX(tun_Boon,G258)*Arch_Insight</x:f>
        <x:v>759.0796711224064</x:v>
      </x:c>
      <x:c r="AN258" s="32" t="n">
        <x:f>H258*(tun_KHPerAdult*Z258+tun_KHOfCommons*AJ258/4*INDEX(LM_All,G258))*tun_KHUsable*Arch_KH</x:f>
        <x:v>138.1146151328128</x:v>
      </x:c>
      <x:c r="AO258" s="32" t="n">
        <x:f>MIN(AP257+AN258,AM258*tun_KHMaxRatio)</x:f>
        <x:v>138.1146151328128</x:v>
      </x:c>
      <x:c r="AP258" s="32" t="n">
        <x:f>AP257+AN258-AO258</x:f>
        <x:v>0</x:v>
      </x:c>
      <x:c r="AQ258" s="32" t="n">
        <x:f>AM258+AO258</x:f>
        <x:v>897.1942862552191</x:v>
      </x:c>
      <x:c r="AR258" s="10" t="n">
        <x:f>IF(H258=1,INDEX(tun_Req,G258),0)</x:f>
        <x:v>88783.394528</x:v>
      </x:c>
      <x:c r="AS258" s="32" t="n">
        <x:f>IF(H258=1,IF(E258=1,AS257-AR257,AS257)+AQ258,0)</x:f>
        <x:v>13825.974848382</x:v>
      </x:c>
      <x:c r="AT258" s="11" t="n">
        <x:f>IF(AR258&gt;0,MIN(1,AS258/AR258),1)</x:f>
        <x:v>0.15572703569045945</x:v>
      </x:c>
      <x:c r="AU258" s="10" t="n">
        <x:f>AB258/INDEX(tun_RepScale,G258)</x:f>
        <x:v>217.5589369465625</x:v>
      </x:c>
      <x:c r="AV258" s="32" t="n">
        <x:f>AM258*60/tun_SeasonSeconds</x:f>
        <x:v>3036.3186844896254</x:v>
      </x:c>
    </x:row>
    <x:row r="259">
      <x:c r="A259" s="8" t="n">
        <x:f>A258+1</x:f>
        <x:v>256</x:v>
      </x:c>
      <x:c r="B259" s="9" t="n">
        <x:f>A259*tun_SeasonSeconds/60</x:f>
        <x:v>64</x:v>
      </x:c>
      <x:c r="C259" s="9" t="n">
        <x:f>A259/4</x:f>
        <x:v>64</x:v>
      </x:c>
      <x:c r="D259" s="8" t="n">
        <x:f>IF(MOD(A259,4)=0,1,0)</x:f>
        <x:v>1</x:v>
      </x:c>
      <x:c r="E259" s="8" t="n">
        <x:f>IF(AND(F258&lt;=9,AS258&gt;=AR258),1,0)</x:f>
        <x:v>0</x:v>
      </x:c>
      <x:c r="F259" s="8" t="n">
        <x:f>MIN(10,F258+E259)</x:f>
        <x:v>5</x:v>
      </x:c>
      <x:c r="G259" s="8" t="n">
        <x:f>MIN(F259,9)+1</x:f>
        <x:v>6</x:v>
      </x:c>
      <x:c r="H259" s="8" t="n">
        <x:f>IF(F259&lt;=9,1,0)</x:f>
        <x:v>1</x:v>
      </x:c>
      <x:c r="I259" s="9" t="n">
        <x:f>MIN(10,F258+IF(AR258&gt;0,MIN(1,AS258/AR258),1))</x:f>
        <x:v>5.155727035690459</x:v>
      </x:c>
      <x:c r="J259" s="32" t="n">
        <x:f>INDEX(tun_FoodCap,G259)*Arch_FoodCap*EXP(tun_CapsByProject*SUMPRODUCT((Cap_Point&lt;=I259)*(Cap_Kind="Food")*Cap_Ln))</x:f>
        <x:v>372.89883457776335</x:v>
      </x:c>
      <x:c r="K259" s="32" t="n">
        <x:f>J259*MIN(1,tun_LeanBase*EXP(tun_CapsByProject*SUMPRODUCT((Cap_Point&lt;=I259)*(Cap_Kind="Lean")*Cap_Ln)))</x:f>
        <x:v>372.89883457776335</x:v>
      </x:c>
      <x:c r="L259" s="10" t="n">
        <x:f>INDEX(tun_HousingCap,G259)*EXP(tun_CapsByProject*SUMPRODUCT((Cap_Point&lt;=I259)*(Cap_Kind="Housing")*Cap_Ln))</x:f>
        <x:v>1981.8141431314853</x:v>
      </x:c>
      <x:c r="M259" s="10" t="n">
        <x:f>INDEX(tun_GroupCap,G259)*tun_CohesionFactor*EXP(tun_CapsByProject*SUMPRODUCT((Cap_Point&lt;=I259)*(Cap_Kind="Group")*Cap_Ln))</x:f>
        <x:v>50000.00000000004</x:v>
      </x:c>
      <x:c r="N259" s="32" t="n">
        <x:f>MIN(J259,L259,M259)</x:f>
        <x:v>372.89883457776335</x:v>
      </x:c>
      <x:c r="O259" s="10" t="n">
        <x:f>AE258*N259</x:f>
        <x:v>1491.5953383110534</x:v>
      </x:c>
      <x:c r="P259" s="9" t="n">
        <x:f>MIN(1,(AB258/(AE258*IF(tun_GroupInCrowding=1,N259,MIN(J259,L259))))^tun_CrowdingExp)</x:f>
        <x:v>0.15044421413676975</x:v>
      </x:c>
      <x:c r="Q259" s="9" t="n">
        <x:f>IF(D259=1,INDEX(tun_WinterMult,G259),1)</x:f>
        <x:v>1.15</x:v>
      </x:c>
      <x:c r="R259" s="9" t="n">
        <x:f>H259*Z258*tun_WomenShare*tun_BaseFertility*INDEX(tun_FertMult,G259)*Arch_Fertility*(1-P259)</x:f>
        <x:v>24.06935837656097</x:v>
      </x:c>
      <x:c r="S259" s="9" t="n">
        <x:f>H259*Y258*INDEX(tun_MortChild,G259)/4*Q259</x:f>
        <x:v>4.888221619260083</x:v>
      </x:c>
      <x:c r="T259" s="9" t="n">
        <x:f>H259*Z258*INDEX(tun_MortAdult,G259)*Arch_AdultMort/4*Q259</x:f>
        <x:v>1.1961722352505548</x:v>
      </x:c>
      <x:c r="U259" s="9" t="n">
        <x:f>H259*AA258*INDEX(tun_MortElder,G259)/4*Q259</x:f>
        <x:v>1.5432824612845373</x:v>
      </x:c>
      <x:c r="V259" s="9" t="n">
        <x:f>H259*MAX(0,AB258-O259)*tun_OvercapLoss</x:f>
        <x:v>0</x:v>
      </x:c>
      <x:c r="W259" s="9" t="n">
        <x:f>H259*Y258/(tun_ChildYears*4)</x:f>
        <x:v>10.469525849775291</x:v>
      </x:c>
      <x:c r="X259" s="9" t="n">
        <x:f>H259*Z258/(tun_AdultYears*4)</x:f>
        <x:v>3.1955446076285443</x:v>
      </x:c>
      <x:c r="Y259" s="32" t="n">
        <x:f>Y258+R259-S259-W259-Y258*V259/AB258</x:f>
        <x:v>595.0050584949419</x:v>
      </x:c>
      <x:c r="Z259" s="32" t="n">
        <x:f>Z258+W259-X259-T259-Z258*V259/AB258</x:f>
        <x:v>402.3253403528356</x:v>
      </x:c>
      <x:c r="AA259" s="32" t="n">
        <x:f>AA258+X259-U259-AA258*V259/AB258</x:f>
        <x:v>106.90596794580097</x:v>
      </x:c>
      <x:c r="AB259" s="10" t="n">
        <x:f>Y259+Z259+AA259</x:f>
        <x:v>1104.2363667935783</x:v>
      </x:c>
      <x:c r="AC259" s="8" t="n">
        <x:f>IF(AND(tun_WinterTrigger=1,D259=1,AB258/AE258&gt;=K259),1,0)</x:f>
        <x:v>0</x:v>
      </x:c>
      <x:c r="AD259" s="8" t="n">
        <x:f>H259*IF(AND(OR(AB258/AE258&gt;=tun_FissionTrigger*N259,AC259=1),AB258/AE258*tun_DaughterShare&gt;=tun_MinDaughter),MAX(1,ROUND(AE258*tun_FissionRate,0)),0)</x:f>
        <x:v>0</x:v>
      </x:c>
      <x:c r="AE259" s="8" t="n">
        <x:f>IF(H259=1,MAX(1,MIN(INDEX(tun_Smax,G259),AE258+AD259)),AE258)</x:f>
        <x:v>4</x:v>
      </x:c>
      <x:c r="AF259" s="8" t="n">
        <x:f>MAX(0,AE259-AE258)</x:f>
        <x:v>0</x:v>
      </x:c>
      <x:c r="AG259" s="9" t="str">
        <x:f>IF(AF259&gt;0,B259,"")</x:f>
      </x:c>
      <x:c r="AH259" s="9" t="n">
        <x:f>IF(F259&gt;=1,1,(1+tun_LowTiesShare*(AE259-1))/AE259)</x:f>
        <x:v>1</x:v>
      </x:c>
      <x:c r="AI259" s="32" t="n">
        <x:f>(Z259+tun_ElderCommons*INDEX(LM_Elder,G259)*AA259)*AH259</x:f>
        <x:v>760.8988576436724</x:v>
      </x:c>
      <x:c r="AJ259" s="32" t="n">
        <x:f>H259*tun_CommonsCoef*AI259^tun_CommonsExp*INDEX(LM_Commons,G259)</x:f>
        <x:v>1793.2835068955462</x:v>
      </x:c>
      <x:c r="AK259" s="32" t="n">
        <x:f>H259*tun_RoleScale*Arch_Roles*(AE259*(INDEX(tun_ElderRolePerSett,G259)*tun_OutElder*INDEX(LM_Elder,G259)+INDEX(tun_ShamanPerSett,G259)*tun_OutShaman)+Z259*(INDEX(tun_PriestShare,G259)*tun_OutPriest+INDEX(tun_ScribeShare,G259)*tun_OutScribe*INDEX(LM_Scribe,G259)+INDEX(tun_ScholarShare,G259)*tun_OutScholar*INDEX(LM_Scholar,G259)+INDEX(tun_ResearcherShare,G259)*tun_OutResearcher*INDEX(LM_Researcher,G259)))</x:f>
        <x:v>329.90593247717595</x:v>
      </x:c>
      <x:c r="AL259" s="32" t="n">
        <x:f>H259*tun_RoleScale*Arch_Roles*AE259*INDEX(tun_MonasteryPerSett,G259)*tun_OutMonastery*INDEX(LM_Monastery,G259)</x:f>
        <x:v>10.068564942433456</x:v>
      </x:c>
      <x:c r="AM259" s="32" t="n">
        <x:f>(AJ259+AK259+AL259)/4*INDEX(LM_All,G259)*INDEX(tun_Boon,G259)*Arch_Insight</x:f>
        <x:v>768.7198228638246</x:v>
      </x:c>
      <x:c r="AN259" s="32" t="n">
        <x:f>H259*(tun_KHPerAdult*Z259+tun_KHOfCommons*AJ259/4*INDEX(LM_All,G259))*tun_KHUsable*Arch_KH</x:f>
        <x:v>139.93308476928152</x:v>
      </x:c>
      <x:c r="AO259" s="32" t="n">
        <x:f>MIN(AP258+AN259,AM259*tun_KHMaxRatio)</x:f>
        <x:v>139.93308476928152</x:v>
      </x:c>
      <x:c r="AP259" s="32" t="n">
        <x:f>AP258+AN259-AO259</x:f>
        <x:v>0</x:v>
      </x:c>
      <x:c r="AQ259" s="32" t="n">
        <x:f>AM259+AO259</x:f>
        <x:v>908.6529076331061</x:v>
      </x:c>
      <x:c r="AR259" s="10" t="n">
        <x:f>IF(H259=1,INDEX(tun_Req,G259),0)</x:f>
        <x:v>88783.394528</x:v>
      </x:c>
      <x:c r="AS259" s="32" t="n">
        <x:f>IF(H259=1,IF(E259=1,AS258-AR258,AS258)+AQ259,0)</x:f>
        <x:v>14734.627756015107</x:v>
      </x:c>
      <x:c r="AT259" s="11" t="n">
        <x:f>IF(AR259&gt;0,MIN(1,AS259/AR259),1)</x:f>
        <x:v>0.1659615273143018</x:v>
      </x:c>
      <x:c r="AU259" s="10" t="n">
        <x:f>AB259/INDEX(tun_RepScale,G259)</x:f>
        <x:v>220.84727335871565</x:v>
      </x:c>
      <x:c r="AV259" s="32" t="n">
        <x:f>AM259*60/tun_SeasonSeconds</x:f>
        <x:v>3074.8792914552982</x:v>
      </x:c>
    </x:row>
    <x:row r="260">
      <x:c r="A260" s="8" t="n">
        <x:f>A259+1</x:f>
        <x:v>257</x:v>
      </x:c>
      <x:c r="B260" s="9" t="n">
        <x:f>A260*tun_SeasonSeconds/60</x:f>
        <x:v>64.25</x:v>
      </x:c>
      <x:c r="C260" s="9" t="n">
        <x:f>A260/4</x:f>
        <x:v>64.25</x:v>
      </x:c>
      <x:c r="D260" s="8" t="n">
        <x:f>IF(MOD(A260,4)=0,1,0)</x:f>
        <x:v>0</x:v>
      </x:c>
      <x:c r="E260" s="8" t="n">
        <x:f>IF(AND(F259&lt;=9,AS259&gt;=AR259),1,0)</x:f>
        <x:v>0</x:v>
      </x:c>
      <x:c r="F260" s="8" t="n">
        <x:f>MIN(10,F259+E260)</x:f>
        <x:v>5</x:v>
      </x:c>
      <x:c r="G260" s="8" t="n">
        <x:f>MIN(F260,9)+1</x:f>
        <x:v>6</x:v>
      </x:c>
      <x:c r="H260" s="8" t="n">
        <x:f>IF(F260&lt;=9,1,0)</x:f>
        <x:v>1</x:v>
      </x:c>
      <x:c r="I260" s="9" t="n">
        <x:f>MIN(10,F259+IF(AR259&gt;0,MIN(1,AS259/AR259),1))</x:f>
        <x:v>5.165961527314302</x:v>
      </x:c>
      <x:c r="J260" s="32" t="n">
        <x:f>INDEX(tun_FoodCap,G260)*Arch_FoodCap*EXP(tun_CapsByProject*SUMPRODUCT((Cap_Point&lt;=I260)*(Cap_Kind="Food")*Cap_Ln))</x:f>
        <x:v>372.89883457776335</x:v>
      </x:c>
      <x:c r="K260" s="32" t="n">
        <x:f>J260*MIN(1,tun_LeanBase*EXP(tun_CapsByProject*SUMPRODUCT((Cap_Point&lt;=I260)*(Cap_Kind="Lean")*Cap_Ln)))</x:f>
        <x:v>372.89883457776335</x:v>
      </x:c>
      <x:c r="L260" s="10" t="n">
        <x:f>INDEX(tun_HousingCap,G260)*EXP(tun_CapsByProject*SUMPRODUCT((Cap_Point&lt;=I260)*(Cap_Kind="Housing")*Cap_Ln))</x:f>
        <x:v>1981.8141431314853</x:v>
      </x:c>
      <x:c r="M260" s="10" t="n">
        <x:f>INDEX(tun_GroupCap,G260)*tun_CohesionFactor*EXP(tun_CapsByProject*SUMPRODUCT((Cap_Point&lt;=I260)*(Cap_Kind="Group")*Cap_Ln))</x:f>
        <x:v>50000.00000000004</x:v>
      </x:c>
      <x:c r="N260" s="32" t="n">
        <x:f>MIN(J260,L260,M260)</x:f>
        <x:v>372.89883457776335</x:v>
      </x:c>
      <x:c r="O260" s="10" t="n">
        <x:f>AE259*N260</x:f>
        <x:v>1491.5953383110534</x:v>
      </x:c>
      <x:c r="P260" s="9" t="n">
        <x:f>MIN(1,(AB259/(AE259*IF(tun_GroupInCrowding=1,N260,MIN(J260,L260))))^tun_CrowdingExp)</x:f>
        <x:v>0.16461377403601196</x:v>
      </x:c>
      <x:c r="Q260" s="9" t="n">
        <x:f>IF(D260=1,INDEX(tun_WinterMult,G260),1)</x:f>
        <x:v>1</x:v>
      </x:c>
      <x:c r="R260" s="9" t="n">
        <x:f>H260*Z259*tun_WomenShare*tun_BaseFertility*INDEX(tun_FertMult,G260)*Arch_Fertility*(1-P260)</x:f>
        <x:v>24.03093890962281</x:v>
      </x:c>
      <x:c r="S260" s="9" t="n">
        <x:f>H260*Y259*INDEX(tun_MortChild,G260)/4*Q260</x:f>
        <x:v>4.313786674088329</x:v>
      </x:c>
      <x:c r="T260" s="9" t="n">
        <x:f>H260*Z259*INDEX(tun_MortAdult,G260)*Arch_AdultMort/4*Q260</x:f>
        <x:v>1.0561040184261936</x:v>
      </x:c>
      <x:c r="U260" s="9" t="n">
        <x:f>H260*AA259*INDEX(tun_MortElder,G260)/4*Q260</x:f>
        <x:v>1.3630510913089622</x:v>
      </x:c>
      <x:c r="V260" s="9" t="n">
        <x:f>H260*MAX(0,AB259-O260)*tun_OvercapLoss</x:f>
        <x:v>0</x:v>
      </x:c>
      <x:c r="W260" s="9" t="n">
        <x:f>H260*Y259/(tun_ChildYears*4)</x:f>
        <x:v>10.625090330266818</x:v>
      </x:c>
      <x:c r="X260" s="9" t="n">
        <x:f>H260*Z259/(tun_AdultYears*4)</x:f>
        <x:v>3.2445591963938356</x:v>
      </x:c>
      <x:c r="Y260" s="32" t="n">
        <x:f>Y259+R260-S260-W260-Y259*V260/AB259</x:f>
        <x:v>604.0971204002095</x:v>
      </x:c>
      <x:c r="Z260" s="32" t="n">
        <x:f>Z259+W260-X260-T260-Z259*V260/AB259</x:f>
        <x:v>408.6497674682824</x:v>
      </x:c>
      <x:c r="AA260" s="32" t="n">
        <x:f>AA259+X260-U260-AA259*V260/AB259</x:f>
        <x:v>108.78747605088584</x:v>
      </x:c>
      <x:c r="AB260" s="10" t="n">
        <x:f>Y260+Z260+AA260</x:f>
        <x:v>1121.5343639193777</x:v>
      </x:c>
      <x:c r="AC260" s="8" t="n">
        <x:f>IF(AND(tun_WinterTrigger=1,D260=1,AB259/AE259&gt;=K260),1,0)</x:f>
        <x:v>0</x:v>
      </x:c>
      <x:c r="AD260" s="8" t="n">
        <x:f>H260*IF(AND(OR(AB259/AE259&gt;=tun_FissionTrigger*N260,AC260=1),AB259/AE259*tun_DaughterShare&gt;=tun_MinDaughter),MAX(1,ROUND(AE259*tun_FissionRate,0)),0)</x:f>
        <x:v>0</x:v>
      </x:c>
      <x:c r="AE260" s="8" t="n">
        <x:f>IF(H260=1,MAX(1,MIN(INDEX(tun_Smax,G260),AE259+AD260)),AE259)</x:f>
        <x:v>4</x:v>
      </x:c>
      <x:c r="AF260" s="8" t="n">
        <x:f>MAX(0,AE260-AE259)</x:f>
        <x:v>0</x:v>
      </x:c>
      <x:c r="AG260" s="9" t="str">
        <x:f>IF(AF260&gt;0,B260,"")</x:f>
      </x:c>
      <x:c r="AH260" s="9" t="n">
        <x:f>IF(F260&gt;=1,1,(1+tun_LowTiesShare*(AE260-1))/AE260)</x:f>
        <x:v>1</x:v>
      </x:c>
      <x:c r="AI260" s="32" t="n">
        <x:f>(Z260+tun_ElderCommons*INDEX(LM_Elder,G260)*AA260)*AH260</x:f>
        <x:v>773.534054793899</x:v>
      </x:c>
      <x:c r="AJ260" s="32" t="n">
        <x:f>H260*tun_CommonsCoef*AI260^tun_CommonsExp*INDEX(LM_Commons,G260)</x:f>
        <x:v>1818.5639784531766</x:v>
      </x:c>
      <x:c r="AK260" s="32" t="n">
        <x:f>H260*tun_RoleScale*Arch_Roles*(AE260*(INDEX(tun_ElderRolePerSett,G260)*tun_OutElder*INDEX(LM_Elder,G260)+INDEX(tun_ShamanPerSett,G260)*tun_OutShaman)+Z260*(INDEX(tun_PriestShare,G260)*tun_OutPriest+INDEX(tun_ScribeShare,G260)*tun_OutScribe*INDEX(LM_Scribe,G260)+INDEX(tun_ScholarShare,G260)*tun_OutScholar*INDEX(LM_Scholar,G260)+INDEX(tun_ResearcherShare,G260)*tun_OutResearcher*INDEX(LM_Researcher,G260)))</x:f>
        <x:v>333.49379782844835</x:v>
      </x:c>
      <x:c r="AL260" s="32" t="n">
        <x:f>H260*tun_RoleScale*Arch_Roles*AE260*INDEX(tun_MonasteryPerSett,G260)*tun_OutMonastery*INDEX(LM_Monastery,G260)</x:f>
        <x:v>10.068564942433456</x:v>
      </x:c>
      <x:c r="AM260" s="32" t="n">
        <x:f>(AJ260+AK260+AL260)/4*INDEX(LM_All,G260)*INDEX(tun_Boon,G260)*Arch_Insight</x:f>
        <x:v>779.1225321423533</x:v>
      </x:c>
      <x:c r="AN260" s="32" t="n">
        <x:f>H260*(tun_KHPerAdult*Z260+tun_KHOfCommons*AJ260/4*INDEX(LM_All,G260))*tun_KHUsable*Arch_KH</x:f>
        <x:v>141.90576469182503</x:v>
      </x:c>
      <x:c r="AO260" s="32" t="n">
        <x:f>MIN(AP259+AN260,AM260*tun_KHMaxRatio)</x:f>
        <x:v>141.90576469182503</x:v>
      </x:c>
      <x:c r="AP260" s="32" t="n">
        <x:f>AP259+AN260-AO260</x:f>
        <x:v>0</x:v>
      </x:c>
      <x:c r="AQ260" s="32" t="n">
        <x:f>AM260+AO260</x:f>
        <x:v>921.0282968341783</x:v>
      </x:c>
      <x:c r="AR260" s="10" t="n">
        <x:f>IF(H260=1,INDEX(tun_Req,G260),0)</x:f>
        <x:v>88783.394528</x:v>
      </x:c>
      <x:c r="AS260" s="32" t="n">
        <x:f>IF(H260=1,IF(E260=1,AS259-AR259,AS259)+AQ260,0)</x:f>
        <x:v>15655.656052849285</x:v>
      </x:c>
      <x:c r="AT260" s="11" t="n">
        <x:f>IF(AR260&gt;0,MIN(1,AS260/AR260),1)</x:f>
        <x:v>0.17633540749460636</x:v>
      </x:c>
      <x:c r="AU260" s="10" t="n">
        <x:f>AB260/INDEX(tun_RepScale,G260)</x:f>
        <x:v>224.30687278387555</x:v>
      </x:c>
      <x:c r="AV260" s="32" t="n">
        <x:f>AM260*60/tun_SeasonSeconds</x:f>
        <x:v>3116.490128569413</x:v>
      </x:c>
    </x:row>
    <x:row r="261">
      <x:c r="A261" s="8" t="n">
        <x:f>A260+1</x:f>
        <x:v>258</x:v>
      </x:c>
      <x:c r="B261" s="9" t="n">
        <x:f>A261*tun_SeasonSeconds/60</x:f>
        <x:v>64.5</x:v>
      </x:c>
      <x:c r="C261" s="9" t="n">
        <x:f>A261/4</x:f>
        <x:v>64.5</x:v>
      </x:c>
      <x:c r="D261" s="8" t="n">
        <x:f>IF(MOD(A261,4)=0,1,0)</x:f>
        <x:v>0</x:v>
      </x:c>
      <x:c r="E261" s="8" t="n">
        <x:f>IF(AND(F260&lt;=9,AS260&gt;=AR260),1,0)</x:f>
        <x:v>0</x:v>
      </x:c>
      <x:c r="F261" s="8" t="n">
        <x:f>MIN(10,F260+E261)</x:f>
        <x:v>5</x:v>
      </x:c>
      <x:c r="G261" s="8" t="n">
        <x:f>MIN(F261,9)+1</x:f>
        <x:v>6</x:v>
      </x:c>
      <x:c r="H261" s="8" t="n">
        <x:f>IF(F261&lt;=9,1,0)</x:f>
        <x:v>1</x:v>
      </x:c>
      <x:c r="I261" s="9" t="n">
        <x:f>MIN(10,F260+IF(AR260&gt;0,MIN(1,AS260/AR260),1))</x:f>
        <x:v>5.176335407494606</x:v>
      </x:c>
      <x:c r="J261" s="32" t="n">
        <x:f>INDEX(tun_FoodCap,G261)*Arch_FoodCap*EXP(tun_CapsByProject*SUMPRODUCT((Cap_Point&lt;=I261)*(Cap_Kind="Food")*Cap_Ln))</x:f>
        <x:v>372.89883457776335</x:v>
      </x:c>
      <x:c r="K261" s="32" t="n">
        <x:f>J261*MIN(1,tun_LeanBase*EXP(tun_CapsByProject*SUMPRODUCT((Cap_Point&lt;=I261)*(Cap_Kind="Lean")*Cap_Ln)))</x:f>
        <x:v>372.89883457776335</x:v>
      </x:c>
      <x:c r="L261" s="10" t="n">
        <x:f>INDEX(tun_HousingCap,G261)*EXP(tun_CapsByProject*SUMPRODUCT((Cap_Point&lt;=I261)*(Cap_Kind="Housing")*Cap_Ln))</x:f>
        <x:v>1981.8141431314853</x:v>
      </x:c>
      <x:c r="M261" s="10" t="n">
        <x:f>INDEX(tun_GroupCap,G261)*tun_CohesionFactor*EXP(tun_CapsByProject*SUMPRODUCT((Cap_Point&lt;=I261)*(Cap_Kind="Group")*Cap_Ln))</x:f>
        <x:v>50000.00000000004</x:v>
      </x:c>
      <x:c r="N261" s="32" t="n">
        <x:f>MIN(J261,L261,M261)</x:f>
        <x:v>372.89883457776335</x:v>
      </x:c>
      <x:c r="O261" s="10" t="n">
        <x:f>AE260*N261</x:f>
        <x:v>1491.5953383110534</x:v>
      </x:c>
      <x:c r="P261" s="9" t="n">
        <x:f>MIN(1,(AB260/(AE260*IF(tun_GroupInCrowding=1,N261,MIN(J261,L261))))^tun_CrowdingExp)</x:f>
        <x:v>0.18070468208775395</x:v>
      </x:c>
      <x:c r="Q261" s="9" t="n">
        <x:f>IF(D261=1,INDEX(tun_WinterMult,G261),1)</x:f>
        <x:v>1</x:v>
      </x:c>
      <x:c r="R261" s="9" t="n">
        <x:f>H261*Z260*tun_WomenShare*tun_BaseFertility*INDEX(tun_FertMult,G261)*Arch_Fertility*(1-P261)</x:f>
        <x:v>23.938546142417472</x:v>
      </x:c>
      <x:c r="S261" s="9" t="n">
        <x:f>H261*Y260*INDEX(tun_MortChild,G261)/4*Q261</x:f>
        <x:v>4.3797041229015194</x:v>
      </x:c>
      <x:c r="T261" s="9" t="n">
        <x:f>H261*Z260*INDEX(tun_MortAdult,G261)*Arch_AdultMort/4*Q261</x:f>
        <x:v>1.0727056396042414</x:v>
      </x:c>
      <x:c r="U261" s="9" t="n">
        <x:f>H261*AA260*INDEX(tun_MortElder,G261)/4*Q261</x:f>
        <x:v>1.3870403196487944</x:v>
      </x:c>
      <x:c r="V261" s="9" t="n">
        <x:f>H261*MAX(0,AB260-O261)*tun_OvercapLoss</x:f>
        <x:v>0</x:v>
      </x:c>
      <x:c r="W261" s="9" t="n">
        <x:f>H261*Y260/(tun_ChildYears*4)</x:f>
        <x:v>10.78744857857517</x:v>
      </x:c>
      <x:c r="X261" s="9" t="n">
        <x:f>H261*Z260/(tun_AdultYears*4)</x:f>
        <x:v>3.295562640873245</x:v>
      </x:c>
      <x:c r="Y261" s="32" t="n">
        <x:f>Y260+R261-S261-W261-Y260*V261/AB260</x:f>
        <x:v>612.8685138411503</x:v>
      </x:c>
      <x:c r="Z261" s="32" t="n">
        <x:f>Z260+W261-X261-T261-Z260*V261/AB260</x:f>
        <x:v>415.06894776638006</x:v>
      </x:c>
      <x:c r="AA261" s="32" t="n">
        <x:f>AA260+X261-U261-AA260*V261/AB260</x:f>
        <x:v>110.6959983721103</x:v>
      </x:c>
      <x:c r="AB261" s="10" t="n">
        <x:f>Y261+Z261+AA261</x:f>
        <x:v>1138.6334599796407</x:v>
      </x:c>
      <x:c r="AC261" s="8" t="n">
        <x:f>IF(AND(tun_WinterTrigger=1,D261=1,AB260/AE260&gt;=K261),1,0)</x:f>
        <x:v>0</x:v>
      </x:c>
      <x:c r="AD261" s="8" t="n">
        <x:f>H261*IF(AND(OR(AB260/AE260&gt;=tun_FissionTrigger*N261,AC261=1),AB260/AE260*tun_DaughterShare&gt;=tun_MinDaughter),MAX(1,ROUND(AE260*tun_FissionRate,0)),0)</x:f>
        <x:v>0</x:v>
      </x:c>
      <x:c r="AE261" s="8" t="n">
        <x:f>IF(H261=1,MAX(1,MIN(INDEX(tun_Smax,G261),AE260+AD261)),AE260)</x:f>
        <x:v>4</x:v>
      </x:c>
      <x:c r="AF261" s="8" t="n">
        <x:f>MAX(0,AE261-AE260)</x:f>
        <x:v>0</x:v>
      </x:c>
      <x:c r="AG261" s="9" t="str">
        <x:f>IF(AF261&gt;0,B261,"")</x:f>
      </x:c>
      <x:c r="AH261" s="9" t="n">
        <x:f>IF(F261&gt;=1,1,(1+tun_LowTiesShare*(AE261-1))/AE261)</x:f>
        <x:v>1</x:v>
      </x:c>
      <x:c r="AI261" s="32" t="n">
        <x:f>(Z261+tun_ElderCommons*INDEX(LM_Elder,G261)*AA261)*AH261</x:f>
        <x:v>786.3546135622471</x:v>
      </x:c>
      <x:c r="AJ261" s="32" t="n">
        <x:f>H261*tun_CommonsCoef*AI261^tun_CommonsExp*INDEX(LM_Commons,G261)</x:f>
        <x:v>1844.1520905007314</x:v>
      </x:c>
      <x:c r="AK261" s="32" t="n">
        <x:f>H261*tun_RoleScale*Arch_Roles*(AE261*(INDEX(tun_ElderRolePerSett,G261)*tun_OutElder*INDEX(LM_Elder,G261)+INDEX(tun_ShamanPerSett,G261)*tun_OutShaman)+Z261*(INDEX(tun_PriestShare,G261)*tun_OutPriest+INDEX(tun_ScribeShare,G261)*tun_OutScribe*INDEX(LM_Scribe,G261)+INDEX(tun_ScholarShare,G261)*tun_OutScholar*INDEX(LM_Scholar,G261)+INDEX(tun_ResearcherShare,G261)*tun_OutResearcher*INDEX(LM_Researcher,G261)))</x:f>
        <x:v>337.1354169276492</x:v>
      </x:c>
      <x:c r="AL261" s="32" t="n">
        <x:f>H261*tun_RoleScale*Arch_Roles*AE261*INDEX(tun_MonasteryPerSett,G261)*tun_OutMonastery*INDEX(LM_Monastery,G261)</x:f>
        <x:v>10.068564942433456</x:v>
      </x:c>
      <x:c r="AM261" s="32" t="n">
        <x:f>(AJ261+AK261+AL261)/4*INDEX(LM_All,G261)*INDEX(tun_Boon,G261)*Arch_Insight</x:f>
        <x:v>789.6554698854861</x:v>
      </x:c>
      <x:c r="AN261" s="32" t="n">
        <x:f>H261*(tun_KHPerAdult*Z261+tun_KHOfCommons*AJ261/4*INDEX(LM_All,G261))*tun_KHUsable*Arch_KH</x:f>
        <x:v>143.90245034608336</x:v>
      </x:c>
      <x:c r="AO261" s="32" t="n">
        <x:f>MIN(AP260+AN261,AM261*tun_KHMaxRatio)</x:f>
        <x:v>143.90245034608336</x:v>
      </x:c>
      <x:c r="AP261" s="32" t="n">
        <x:f>AP260+AN261-AO261</x:f>
        <x:v>0</x:v>
      </x:c>
      <x:c r="AQ261" s="32" t="n">
        <x:f>AM261+AO261</x:f>
        <x:v>933.5579202315695</x:v>
      </x:c>
      <x:c r="AR261" s="10" t="n">
        <x:f>IF(H261=1,INDEX(tun_Req,G261),0)</x:f>
        <x:v>88783.394528</x:v>
      </x:c>
      <x:c r="AS261" s="32" t="n">
        <x:f>IF(H261=1,IF(E261=1,AS260-AR260,AS260)+AQ261,0)</x:f>
        <x:v>16589.213973080856</x:v>
      </x:c>
      <x:c r="AT261" s="11" t="n">
        <x:f>IF(AR261&gt;0,MIN(1,AS261/AR261),1)</x:f>
        <x:v>0.1868504134278065</x:v>
      </x:c>
      <x:c r="AU261" s="10" t="n">
        <x:f>AB261/INDEX(tun_RepScale,G261)</x:f>
        <x:v>227.72669199592815</x:v>
      </x:c>
      <x:c r="AV261" s="32" t="n">
        <x:f>AM261*60/tun_SeasonSeconds</x:f>
        <x:v>3158.621879541945</x:v>
      </x:c>
    </x:row>
    <x:row r="262">
      <x:c r="A262" s="8" t="n">
        <x:f>A261+1</x:f>
        <x:v>259</x:v>
      </x:c>
      <x:c r="B262" s="9" t="n">
        <x:f>A262*tun_SeasonSeconds/60</x:f>
        <x:v>64.75</x:v>
      </x:c>
      <x:c r="C262" s="9" t="n">
        <x:f>A262/4</x:f>
        <x:v>64.75</x:v>
      </x:c>
      <x:c r="D262" s="8" t="n">
        <x:f>IF(MOD(A262,4)=0,1,0)</x:f>
        <x:v>0</x:v>
      </x:c>
      <x:c r="E262" s="8" t="n">
        <x:f>IF(AND(F261&lt;=9,AS261&gt;=AR261),1,0)</x:f>
        <x:v>0</x:v>
      </x:c>
      <x:c r="F262" s="8" t="n">
        <x:f>MIN(10,F261+E262)</x:f>
        <x:v>5</x:v>
      </x:c>
      <x:c r="G262" s="8" t="n">
        <x:f>MIN(F262,9)+1</x:f>
        <x:v>6</x:v>
      </x:c>
      <x:c r="H262" s="8" t="n">
        <x:f>IF(F262&lt;=9,1,0)</x:f>
        <x:v>1</x:v>
      </x:c>
      <x:c r="I262" s="9" t="n">
        <x:f>MIN(10,F261+IF(AR261&gt;0,MIN(1,AS261/AR261),1))</x:f>
        <x:v>5.186850413427806</x:v>
      </x:c>
      <x:c r="J262" s="32" t="n">
        <x:f>INDEX(tun_FoodCap,G262)*Arch_FoodCap*EXP(tun_CapsByProject*SUMPRODUCT((Cap_Point&lt;=I262)*(Cap_Kind="Food")*Cap_Ln))</x:f>
        <x:v>372.89883457776335</x:v>
      </x:c>
      <x:c r="K262" s="32" t="n">
        <x:f>J262*MIN(1,tun_LeanBase*EXP(tun_CapsByProject*SUMPRODUCT((Cap_Point&lt;=I262)*(Cap_Kind="Lean")*Cap_Ln)))</x:f>
        <x:v>372.89883457776335</x:v>
      </x:c>
      <x:c r="L262" s="10" t="n">
        <x:f>INDEX(tun_HousingCap,G262)*EXP(tun_CapsByProject*SUMPRODUCT((Cap_Point&lt;=I262)*(Cap_Kind="Housing")*Cap_Ln))</x:f>
        <x:v>1981.8141431314853</x:v>
      </x:c>
      <x:c r="M262" s="10" t="n">
        <x:f>INDEX(tun_GroupCap,G262)*tun_CohesionFactor*EXP(tun_CapsByProject*SUMPRODUCT((Cap_Point&lt;=I262)*(Cap_Kind="Group")*Cap_Ln))</x:f>
        <x:v>50000.00000000004</x:v>
      </x:c>
      <x:c r="N262" s="32" t="n">
        <x:f>MIN(J262,L262,M262)</x:f>
        <x:v>372.89883457776335</x:v>
      </x:c>
      <x:c r="O262" s="10" t="n">
        <x:f>AE261*N262</x:f>
        <x:v>1491.5953383110534</x:v>
      </x:c>
      <x:c r="P262" s="9" t="n">
        <x:f>MIN(1,(AB261/(AE261*IF(tun_GroupInCrowding=1,N262,MIN(J262,L262))))^tun_CrowdingExp)</x:f>
        <x:v>0.19787801582606585</x:v>
      </x:c>
      <x:c r="Q262" s="9" t="n">
        <x:f>IF(D262=1,INDEX(tun_WinterMult,G262),1)</x:f>
        <x:v>1</x:v>
      </x:c>
      <x:c r="R262" s="9" t="n">
        <x:f>H262*Z261*tun_WomenShare*tun_BaseFertility*INDEX(tun_FertMult,G262)*Arch_Fertility*(1-P262)</x:f>
        <x:v>23.804918848521947</x:v>
      </x:c>
      <x:c r="S262" s="9" t="n">
        <x:f>H262*Y261*INDEX(tun_MortChild,G262)/4*Q262</x:f>
        <x:v>4.44329672534834</x:v>
      </x:c>
      <x:c r="T262" s="9" t="n">
        <x:f>H262*Z261*INDEX(tun_MortAdult,G262)*Arch_AdultMort/4*Q262</x:f>
        <x:v>1.0895559878867478</x:v>
      </x:c>
      <x:c r="U262" s="9" t="n">
        <x:f>H262*AA261*INDEX(tun_MortElder,G262)/4*Q262</x:f>
        <x:v>1.4113739792444062</x:v>
      </x:c>
      <x:c r="V262" s="9" t="n">
        <x:f>H262*MAX(0,AB261-O262)*tun_OvercapLoss</x:f>
        <x:v>0</x:v>
      </x:c>
      <x:c r="W262" s="9" t="n">
        <x:f>H262*Y261/(tun_ChildYears*4)</x:f>
        <x:v>10.944080604306254</x:v>
      </x:c>
      <x:c r="X262" s="9" t="n">
        <x:f>H262*Z261/(tun_AdultYears*4)</x:f>
        <x:v>3.34733022392242</x:v>
      </x:c>
      <x:c r="Y262" s="32" t="n">
        <x:f>Y261+R262-S262-W262-Y261*V262/AB261</x:f>
        <x:v>621.2860553600177</x:v>
      </x:c>
      <x:c r="Z262" s="32" t="n">
        <x:f>Z261+W262-X262-T262-Z261*V262/AB261</x:f>
        <x:v>421.57614215887713</x:v>
      </x:c>
      <x:c r="AA262" s="32" t="n">
        <x:f>AA261+X262-U262-AA261*V262/AB261</x:f>
        <x:v>112.63195461678832</x:v>
      </x:c>
      <x:c r="AB262" s="10" t="n">
        <x:f>Y262+Z262+AA262</x:f>
        <x:v>1155.4941521356832</x:v>
      </x:c>
      <x:c r="AC262" s="8" t="n">
        <x:f>IF(AND(tun_WinterTrigger=1,D262=1,AB261/AE261&gt;=K262),1,0)</x:f>
        <x:v>0</x:v>
      </x:c>
      <x:c r="AD262" s="8" t="n">
        <x:f>H262*IF(AND(OR(AB261/AE261&gt;=tun_FissionTrigger*N262,AC262=1),AB261/AE261*tun_DaughterShare&gt;=tun_MinDaughter),MAX(1,ROUND(AE261*tun_FissionRate,0)),0)</x:f>
        <x:v>0</x:v>
      </x:c>
      <x:c r="AE262" s="8" t="n">
        <x:f>IF(H262=1,MAX(1,MIN(INDEX(tun_Smax,G262),AE261+AD262)),AE261)</x:f>
        <x:v>4</x:v>
      </x:c>
      <x:c r="AF262" s="8" t="n">
        <x:f>MAX(0,AE262-AE261)</x:f>
        <x:v>0</x:v>
      </x:c>
      <x:c r="AG262" s="9" t="str">
        <x:f>IF(AF262&gt;0,B262,"")</x:f>
      </x:c>
      <x:c r="AH262" s="9" t="n">
        <x:f>IF(F262&gt;=1,1,(1+tun_LowTiesShare*(AE262-1))/AE262)</x:f>
        <x:v>1</x:v>
      </x:c>
      <x:c r="AI262" s="32" t="n">
        <x:f>(Z262+tun_ElderCommons*INDEX(LM_Elder,G262)*AA262)*AH262</x:f>
        <x:v>799.355202601592</x:v>
      </x:c>
      <x:c r="AJ262" s="32" t="n">
        <x:f>H262*tun_CommonsCoef*AI262^tun_CommonsExp*INDEX(LM_Commons,G262)</x:f>
        <x:v>1870.0356976207183</x:v>
      </x:c>
      <x:c r="AK262" s="32" t="n">
        <x:f>H262*tun_RoleScale*Arch_Roles*(AE262*(INDEX(tun_ElderRolePerSett,G262)*tun_OutElder*INDEX(LM_Elder,G262)+INDEX(tun_ShamanPerSett,G262)*tun_OutShaman)+Z262*(INDEX(tun_PriestShare,G262)*tun_OutPriest+INDEX(tun_ScribeShare,G262)*tun_OutScribe*INDEX(LM_Scribe,G262)+INDEX(tun_ScholarShare,G262)*tun_OutScholar*INDEX(LM_Scholar,G262)+INDEX(tun_ResearcherShare,G262)*tun_OutResearcher*INDEX(LM_Researcher,G262)))</x:f>
        <x:v>340.8269666709945</x:v>
      </x:c>
      <x:c r="AL262" s="32" t="n">
        <x:f>H262*tun_RoleScale*Arch_Roles*AE262*INDEX(tun_MonasteryPerSett,G262)*tun_OutMonastery*INDEX(LM_Monastery,G262)</x:f>
        <x:v>10.068564942433456</x:v>
      </x:c>
      <x:c r="AM262" s="32" t="n">
        <x:f>(AJ262+AK262+AL262)/4*INDEX(LM_All,G262)*INDEX(tun_Boon,G262)*Arch_Insight</x:f>
        <x:v>800.3128818343278</x:v>
      </x:c>
      <x:c r="AN262" s="32" t="n">
        <x:f>H262*(tun_KHPerAdult*Z262+tun_KHOfCommons*AJ262/4*INDEX(LM_All,G262))*tun_KHUsable*Arch_KH</x:f>
        <x:v>145.9221940036415</x:v>
      </x:c>
      <x:c r="AO262" s="32" t="n">
        <x:f>MIN(AP261+AN262,AM262*tun_KHMaxRatio)</x:f>
        <x:v>145.9221940036415</x:v>
      </x:c>
      <x:c r="AP262" s="32" t="n">
        <x:f>AP261+AN262-AO262</x:f>
        <x:v>0</x:v>
      </x:c>
      <x:c r="AQ262" s="32" t="n">
        <x:f>AM262+AO262</x:f>
        <x:v>946.2350758379692</x:v>
      </x:c>
      <x:c r="AR262" s="10" t="n">
        <x:f>IF(H262=1,INDEX(tun_Req,G262),0)</x:f>
        <x:v>88783.394528</x:v>
      </x:c>
      <x:c r="AS262" s="32" t="n">
        <x:f>IF(H262=1,IF(E262=1,AS261-AR261,AS261)+AQ262,0)</x:f>
        <x:v>17535.449048918825</x:v>
      </x:c>
      <x:c r="AT262" s="11" t="n">
        <x:f>IF(AR262&gt;0,MIN(1,AS262/AR262),1)</x:f>
        <x:v>0.19750820682338963</x:v>
      </x:c>
      <x:c r="AU262" s="10" t="n">
        <x:f>AB262/INDEX(tun_RepScale,G262)</x:f>
        <x:v>231.09883042713665</x:v>
      </x:c>
      <x:c r="AV262" s="32" t="n">
        <x:f>AM262*60/tun_SeasonSeconds</x:f>
        <x:v>3201.251527337311</x:v>
      </x:c>
    </x:row>
    <x:row r="263">
      <x:c r="A263" s="8" t="n">
        <x:f>A262+1</x:f>
        <x:v>260</x:v>
      </x:c>
      <x:c r="B263" s="9" t="n">
        <x:f>A263*tun_SeasonSeconds/60</x:f>
        <x:v>65</x:v>
      </x:c>
      <x:c r="C263" s="9" t="n">
        <x:f>A263/4</x:f>
        <x:v>65</x:v>
      </x:c>
      <x:c r="D263" s="8" t="n">
        <x:f>IF(MOD(A263,4)=0,1,0)</x:f>
        <x:v>1</x:v>
      </x:c>
      <x:c r="E263" s="8" t="n">
        <x:f>IF(AND(F262&lt;=9,AS262&gt;=AR262),1,0)</x:f>
        <x:v>0</x:v>
      </x:c>
      <x:c r="F263" s="8" t="n">
        <x:f>MIN(10,F262+E263)</x:f>
        <x:v>5</x:v>
      </x:c>
      <x:c r="G263" s="8" t="n">
        <x:f>MIN(F263,9)+1</x:f>
        <x:v>6</x:v>
      </x:c>
      <x:c r="H263" s="8" t="n">
        <x:f>IF(F263&lt;=9,1,0)</x:f>
        <x:v>1</x:v>
      </x:c>
      <x:c r="I263" s="9" t="n">
        <x:f>MIN(10,F262+IF(AR262&gt;0,MIN(1,AS262/AR262),1))</x:f>
        <x:v>5.1975082068233895</x:v>
      </x:c>
      <x:c r="J263" s="32" t="n">
        <x:f>INDEX(tun_FoodCap,G263)*Arch_FoodCap*EXP(tun_CapsByProject*SUMPRODUCT((Cap_Point&lt;=I263)*(Cap_Kind="Food")*Cap_Ln))</x:f>
        <x:v>372.89883457776335</x:v>
      </x:c>
      <x:c r="K263" s="32" t="n">
        <x:f>J263*MIN(1,tun_LeanBase*EXP(tun_CapsByProject*SUMPRODUCT((Cap_Point&lt;=I263)*(Cap_Kind="Lean")*Cap_Ln)))</x:f>
        <x:v>372.89883457776335</x:v>
      </x:c>
      <x:c r="L263" s="10" t="n">
        <x:f>INDEX(tun_HousingCap,G263)*EXP(tun_CapsByProject*SUMPRODUCT((Cap_Point&lt;=I263)*(Cap_Kind="Housing")*Cap_Ln))</x:f>
        <x:v>1981.8141431314853</x:v>
      </x:c>
      <x:c r="M263" s="10" t="n">
        <x:f>INDEX(tun_GroupCap,G263)*tun_CohesionFactor*EXP(tun_CapsByProject*SUMPRODUCT((Cap_Point&lt;=I263)*(Cap_Kind="Group")*Cap_Ln))</x:f>
        <x:v>50000.00000000004</x:v>
      </x:c>
      <x:c r="N263" s="32" t="n">
        <x:f>MIN(J263,L263,M263)</x:f>
        <x:v>372.89883457776335</x:v>
      </x:c>
      <x:c r="O263" s="10" t="n">
        <x:f>AE262*N263</x:f>
        <x:v>1491.5953383110534</x:v>
      </x:c>
      <x:c r="P263" s="9" t="n">
        <x:f>MIN(1,(AB262/(AE262*IF(tun_GroupInCrowding=1,N263,MIN(J263,L263))))^tun_CrowdingExp)</x:f>
        <x:v>0.2161227112018355</x:v>
      </x:c>
      <x:c r="Q263" s="9" t="n">
        <x:f>IF(D263=1,INDEX(tun_WinterMult,G263),1)</x:f>
        <x:v>1.15</x:v>
      </x:c>
      <x:c r="R263" s="9" t="n">
        <x:f>H263*Z262*tun_WomenShare*tun_BaseFertility*INDEX(tun_FertMult,G263)*Arch_Fertility*(1-P263)</x:f>
        <x:v>23.628173378630553</x:v>
      </x:c>
      <x:c r="S263" s="9" t="n">
        <x:f>H263*Y262*INDEX(tun_MortChild,G263)/4*Q263</x:f>
        <x:v>5.179972486564148</x:v>
      </x:c>
      <x:c r="T263" s="9" t="n">
        <x:f>H263*Z262*INDEX(tun_MortAdult,G263)*Arch_AdultMort/4*Q263</x:f>
        <x:v>1.2726329791421103</x:v>
      </x:c>
      <x:c r="U263" s="9" t="n">
        <x:f>H263*AA262*INDEX(tun_MortElder,G263)/4*Q263</x:f>
        <x:v>1.6514660345686585</x:v>
      </x:c>
      <x:c r="V263" s="9" t="n">
        <x:f>H263*MAX(0,AB262-O263)*tun_OvercapLoss</x:f>
        <x:v>0</x:v>
      </x:c>
      <x:c r="W263" s="9" t="n">
        <x:f>H263*Y262/(tun_ChildYears*4)</x:f>
        <x:v>11.094393845714603</x:v>
      </x:c>
      <x:c r="X263" s="9" t="n">
        <x:f>H263*Z262/(tun_AdultYears*4)</x:f>
        <x:v>3.3998075980554607</x:v>
      </x:c>
      <x:c r="Y263" s="32" t="n">
        <x:f>Y262+R263-S263-W263-Y262*V263/AB262</x:f>
        <x:v>628.6398624063695</x:v>
      </x:c>
      <x:c r="Z263" s="32" t="n">
        <x:f>Z262+W263-X263-T263-Z262*V263/AB262</x:f>
        <x:v>427.99809542739416</x:v>
      </x:c>
      <x:c r="AA263" s="32" t="n">
        <x:f>AA262+X263-U263-AA262*V263/AB262</x:f>
        <x:v>114.38029618027512</x:v>
      </x:c>
      <x:c r="AB263" s="10" t="n">
        <x:f>Y263+Z263+AA263</x:f>
        <x:v>1171.0182540140388</x:v>
      </x:c>
      <x:c r="AC263" s="8" t="n">
        <x:f>IF(AND(tun_WinterTrigger=1,D263=1,AB262/AE262&gt;=K263),1,0)</x:f>
        <x:v>0</x:v>
      </x:c>
      <x:c r="AD263" s="8" t="n">
        <x:f>H263*IF(AND(OR(AB262/AE262&gt;=tun_FissionTrigger*N263,AC263=1),AB262/AE262*tun_DaughterShare&gt;=tun_MinDaughter),MAX(1,ROUND(AE262*tun_FissionRate,0)),0)</x:f>
        <x:v>0</x:v>
      </x:c>
      <x:c r="AE263" s="8" t="n">
        <x:f>IF(H263=1,MAX(1,MIN(INDEX(tun_Smax,G263),AE262+AD263)),AE262)</x:f>
        <x:v>4</x:v>
      </x:c>
      <x:c r="AF263" s="8" t="n">
        <x:f>MAX(0,AE263-AE262)</x:f>
        <x:v>0</x:v>
      </x:c>
      <x:c r="AG263" s="9" t="str">
        <x:f>IF(AF263&gt;0,B263,"")</x:f>
      </x:c>
      <x:c r="AH263" s="9" t="n">
        <x:f>IF(F263&gt;=1,1,(1+tun_LowTiesShare*(AE263-1))/AE263)</x:f>
        <x:v>1</x:v>
      </x:c>
      <x:c r="AI263" s="32" t="n">
        <x:f>(Z263+tun_ElderCommons*INDEX(LM_Elder,G263)*AA263)*AH263</x:f>
        <x:v>811.6412717458763</x:v>
      </x:c>
      <x:c r="AJ263" s="32" t="n">
        <x:f>H263*tun_CommonsCoef*AI263^tun_CommonsExp*INDEX(LM_Commons,G263)</x:f>
        <x:v>1894.4387403231267</x:v>
      </x:c>
      <x:c r="AK263" s="32" t="n">
        <x:f>H263*tun_RoleScale*Arch_Roles*(AE263*(INDEX(tun_ElderRolePerSett,G263)*tun_OutElder*INDEX(LM_Elder,G263)+INDEX(tun_ShamanPerSett,G263)*tun_OutShaman)+Z263*(INDEX(tun_PriestShare,G263)*tun_OutPriest+INDEX(tun_ScribeShare,G263)*tun_OutScribe*INDEX(LM_Scribe,G263)+INDEX(tun_ScholarShare,G263)*tun_OutScholar*INDEX(LM_Scholar,G263)+INDEX(tun_ResearcherShare,G263)*tun_OutResearcher*INDEX(LM_Researcher,G263)))</x:f>
        <x:v>344.4701588841401</x:v>
      </x:c>
      <x:c r="AL263" s="32" t="n">
        <x:f>H263*tun_RoleScale*Arch_Roles*AE263*INDEX(tun_MonasteryPerSett,G263)*tun_OutMonastery*INDEX(LM_Monastery,G263)</x:f>
        <x:v>10.068564942433456</x:v>
      </x:c>
      <x:c r="AM263" s="32" t="n">
        <x:f>(AJ263+AK263+AL263)/4*INDEX(LM_All,G263)*INDEX(tun_Boon,G263)*Arch_Insight</x:f>
        <x:v>810.4193465435523</x:v>
      </x:c>
      <x:c r="AN263" s="32" t="n">
        <x:f>H263*(tun_KHPerAdult*Z263+tun_KHOfCommons*AJ263/4*INDEX(LM_All,G263))*tun_KHUsable*Arch_KH</x:f>
        <x:v>147.82640660024092</x:v>
      </x:c>
      <x:c r="AO263" s="32" t="n">
        <x:f>MIN(AP262+AN263,AM263*tun_KHMaxRatio)</x:f>
        <x:v>147.82640660024092</x:v>
      </x:c>
      <x:c r="AP263" s="32" t="n">
        <x:f>AP262+AN263-AO263</x:f>
        <x:v>0</x:v>
      </x:c>
      <x:c r="AQ263" s="32" t="n">
        <x:f>AM263+AO263</x:f>
        <x:v>958.2457531437932</x:v>
      </x:c>
      <x:c r="AR263" s="10" t="n">
        <x:f>IF(H263=1,INDEX(tun_Req,G263),0)</x:f>
        <x:v>88783.394528</x:v>
      </x:c>
      <x:c r="AS263" s="32" t="n">
        <x:f>IF(H263=1,IF(E263=1,AS262-AR262,AS262)+AQ263,0)</x:f>
        <x:v>18493.69480206262</x:v>
      </x:c>
      <x:c r="AT263" s="11" t="n">
        <x:f>IF(AR263&gt;0,MIN(1,AS263/AR263),1)</x:f>
        <x:v>0.2083012808913291</x:v>
      </x:c>
      <x:c r="AU263" s="10" t="n">
        <x:f>AB263/INDEX(tun_RepScale,G263)</x:f>
        <x:v>234.20365080280777</x:v>
      </x:c>
      <x:c r="AV263" s="32" t="n">
        <x:f>AM263*60/tun_SeasonSeconds</x:f>
        <x:v>3241.677386174209</x:v>
      </x:c>
    </x:row>
    <x:row r="264">
      <x:c r="A264" s="8" t="n">
        <x:f>A263+1</x:f>
        <x:v>261</x:v>
      </x:c>
      <x:c r="B264" s="9" t="n">
        <x:f>A264*tun_SeasonSeconds/60</x:f>
        <x:v>65.25</x:v>
      </x:c>
      <x:c r="C264" s="9" t="n">
        <x:f>A264/4</x:f>
        <x:v>65.25</x:v>
      </x:c>
      <x:c r="D264" s="8" t="n">
        <x:f>IF(MOD(A264,4)=0,1,0)</x:f>
        <x:v>0</x:v>
      </x:c>
      <x:c r="E264" s="8" t="n">
        <x:f>IF(AND(F263&lt;=9,AS263&gt;=AR263),1,0)</x:f>
        <x:v>0</x:v>
      </x:c>
      <x:c r="F264" s="8" t="n">
        <x:f>MIN(10,F263+E264)</x:f>
        <x:v>5</x:v>
      </x:c>
      <x:c r="G264" s="8" t="n">
        <x:f>MIN(F264,9)+1</x:f>
        <x:v>6</x:v>
      </x:c>
      <x:c r="H264" s="8" t="n">
        <x:f>IF(F264&lt;=9,1,0)</x:f>
        <x:v>1</x:v>
      </x:c>
      <x:c r="I264" s="9" t="n">
        <x:f>MIN(10,F263+IF(AR263&gt;0,MIN(1,AS263/AR263),1))</x:f>
        <x:v>5.208301280891329</x:v>
      </x:c>
      <x:c r="J264" s="32" t="n">
        <x:f>INDEX(tun_FoodCap,G264)*Arch_FoodCap*EXP(tun_CapsByProject*SUMPRODUCT((Cap_Point&lt;=I264)*(Cap_Kind="Food")*Cap_Ln))</x:f>
        <x:v>372.89883457776335</x:v>
      </x:c>
      <x:c r="K264" s="32" t="n">
        <x:f>J264*MIN(1,tun_LeanBase*EXP(tun_CapsByProject*SUMPRODUCT((Cap_Point&lt;=I264)*(Cap_Kind="Lean")*Cap_Ln)))</x:f>
        <x:v>372.89883457776335</x:v>
      </x:c>
      <x:c r="L264" s="10" t="n">
        <x:f>INDEX(tun_HousingCap,G264)*EXP(tun_CapsByProject*SUMPRODUCT((Cap_Point&lt;=I264)*(Cap_Kind="Housing")*Cap_Ln))</x:f>
        <x:v>1981.8141431314853</x:v>
      </x:c>
      <x:c r="M264" s="10" t="n">
        <x:f>INDEX(tun_GroupCap,G264)*tun_CohesionFactor*EXP(tun_CapsByProject*SUMPRODUCT((Cap_Point&lt;=I264)*(Cap_Kind="Group")*Cap_Ln))</x:f>
        <x:v>50000.00000000004</x:v>
      </x:c>
      <x:c r="N264" s="32" t="n">
        <x:f>MIN(J264,L264,M264)</x:f>
        <x:v>372.89883457776335</x:v>
      </x:c>
      <x:c r="O264" s="10" t="n">
        <x:f>AE263*N264</x:f>
        <x:v>1491.5953383110534</x:v>
      </x:c>
      <x:c r="P264" s="9" t="n">
        <x:f>MIN(1,(AB263/(AE263*IF(tun_GroupInCrowding=1,N264,MIN(J264,L264))))^tun_CrowdingExp)</x:f>
        <x:v>0.23414014637098376</x:v>
      </x:c>
      <x:c r="Q264" s="9" t="n">
        <x:f>IF(D264=1,INDEX(tun_WinterMult,G264),1)</x:f>
        <x:v>1</x:v>
      </x:c>
      <x:c r="R264" s="9" t="n">
        <x:f>H264*Z263*tun_WomenShare*tun_BaseFertility*INDEX(tun_FertMult,G264)*Arch_Fertility*(1-P264)</x:f>
        <x:v>23.436738948302814</x:v>
      </x:c>
      <x:c r="S264" s="9" t="n">
        <x:f>H264*Y263*INDEX(tun_MortChild,G264)/4*Q264</x:f>
        <x:v>4.557639002446179</x:v>
      </x:c>
      <x:c r="T264" s="9" t="n">
        <x:f>H264*Z263*INDEX(tun_MortAdult,G264)*Arch_AdultMort/4*Q264</x:f>
        <x:v>1.1234950004969098</x:v>
      </x:c>
      <x:c r="U264" s="9" t="n">
        <x:f>H264*AA263*INDEX(tun_MortElder,G264)/4*Q264</x:f>
        <x:v>1.4583487762985077</x:v>
      </x:c>
      <x:c r="V264" s="9" t="n">
        <x:f>H264*MAX(0,AB263-O264)*tun_OvercapLoss</x:f>
        <x:v>0</x:v>
      </x:c>
      <x:c r="W264" s="9" t="n">
        <x:f>H264*Y263/(tun_ChildYears*4)</x:f>
        <x:v>11.225711828685169</x:v>
      </x:c>
      <x:c r="X264" s="9" t="n">
        <x:f>H264*Z263/(tun_AdultYears*4)</x:f>
        <x:v>3.451597543769308</x:v>
      </x:c>
      <x:c r="Y264" s="32" t="n">
        <x:f>Y263+R264-S264-W264-Y263*V264/AB263</x:f>
        <x:v>636.293250523541</x:v>
      </x:c>
      <x:c r="Z264" s="32" t="n">
        <x:f>Z263+W264-X264-T264-Z263*V264/AB263</x:f>
        <x:v>434.6487147118131</x:v>
      </x:c>
      <x:c r="AA264" s="32" t="n">
        <x:f>AA263+X264-U264-AA263*V264/AB263</x:f>
        <x:v>116.37354494774593</x:v>
      </x:c>
      <x:c r="AB264" s="10" t="n">
        <x:f>Y264+Z264+AA264</x:f>
        <x:v>1187.3155101830998</x:v>
      </x:c>
      <x:c r="AC264" s="8" t="n">
        <x:f>IF(AND(tun_WinterTrigger=1,D264=1,AB263/AE263&gt;=K264),1,0)</x:f>
        <x:v>0</x:v>
      </x:c>
      <x:c r="AD264" s="8" t="n">
        <x:f>H264*IF(AND(OR(AB263/AE263&gt;=tun_FissionTrigger*N264,AC264=1),AB263/AE263*tun_DaughterShare&gt;=tun_MinDaughter),MAX(1,ROUND(AE263*tun_FissionRate,0)),0)</x:f>
        <x:v>0</x:v>
      </x:c>
      <x:c r="AE264" s="8" t="n">
        <x:f>IF(H264=1,MAX(1,MIN(INDEX(tun_Smax,G264),AE263+AD264)),AE263)</x:f>
        <x:v>4</x:v>
      </x:c>
      <x:c r="AF264" s="8" t="n">
        <x:f>MAX(0,AE264-AE263)</x:f>
        <x:v>0</x:v>
      </x:c>
      <x:c r="AG264" s="9" t="str">
        <x:f>IF(AF264&gt;0,B264,"")</x:f>
      </x:c>
      <x:c r="AH264" s="9" t="n">
        <x:f>IF(F264&gt;=1,1,(1+tun_LowTiesShare*(AE264-1))/AE264)</x:f>
        <x:v>1</x:v>
      </x:c>
      <x:c r="AI264" s="32" t="n">
        <x:f>(Z264+tun_ElderCommons*INDEX(LM_Elder,G264)*AA264)*AH264</x:f>
        <x:v>824.9774506404938</x:v>
      </x:c>
      <x:c r="AJ264" s="32" t="n">
        <x:f>H264*tun_CommonsCoef*AI264^tun_CommonsExp*INDEX(LM_Commons,G264)</x:f>
        <x:v>1920.8649332598902</x:v>
      </x:c>
      <x:c r="AK264" s="32" t="n">
        <x:f>H264*tun_RoleScale*Arch_Roles*(AE264*(INDEX(tun_ElderRolePerSett,G264)*tun_OutElder*INDEX(LM_Elder,G264)+INDEX(tun_ShamanPerSett,G264)*tun_OutShaman)+Z264*(INDEX(tun_PriestShare,G264)*tun_OutPriest+INDEX(tun_ScribeShare,G264)*tun_OutScribe*INDEX(LM_Scribe,G264)+INDEX(tun_ScholarShare,G264)*tun_OutScholar*INDEX(LM_Scholar,G264)+INDEX(tun_ResearcherShare,G264)*tun_OutResearcher*INDEX(LM_Researcher,G264)))</x:f>
        <x:v>348.24307397344376</x:v>
      </x:c>
      <x:c r="AL264" s="32" t="n">
        <x:f>H264*tun_RoleScale*Arch_Roles*AE264*INDEX(tun_MonasteryPerSett,G264)*tun_OutMonastery*INDEX(LM_Monastery,G264)</x:f>
        <x:v>10.068564942433456</x:v>
      </x:c>
      <x:c r="AM264" s="32" t="n">
        <x:f>(AJ264+AK264+AL264)/4*INDEX(LM_All,G264)*INDEX(tun_Boon,G264)*Arch_Insight</x:f>
        <x:v>821.3015993819268</x:v>
      </x:c>
      <x:c r="AN264" s="32" t="n">
        <x:f>H264*(tun_KHPerAdult*Z264+tun_KHOfCommons*AJ264/4*INDEX(LM_All,G264))*tun_KHUsable*Arch_KH</x:f>
        <x:v>149.8884891890398</x:v>
      </x:c>
      <x:c r="AO264" s="32" t="n">
        <x:f>MIN(AP263+AN264,AM264*tun_KHMaxRatio)</x:f>
        <x:v>149.8884891890398</x:v>
      </x:c>
      <x:c r="AP264" s="32" t="n">
        <x:f>AP263+AN264-AO264</x:f>
        <x:v>0</x:v>
      </x:c>
      <x:c r="AQ264" s="32" t="n">
        <x:f>AM264+AO264</x:f>
        <x:v>971.1900885709666</x:v>
      </x:c>
      <x:c r="AR264" s="10" t="n">
        <x:f>IF(H264=1,INDEX(tun_Req,G264),0)</x:f>
        <x:v>88783.394528</x:v>
      </x:c>
      <x:c r="AS264" s="32" t="n">
        <x:f>IF(H264=1,IF(E264=1,AS263-AR263,AS263)+AQ264,0)</x:f>
        <x:v>19464.884890633584</x:v>
      </x:c>
      <x:c r="AT264" s="11" t="n">
        <x:f>IF(AR264&gt;0,MIN(1,AS264/AR264),1)</x:f>
        <x:v>0.21924015176616005</x:v>
      </x:c>
      <x:c r="AU264" s="10" t="n">
        <x:f>AB264/INDEX(tun_RepScale,G264)</x:f>
        <x:v>237.46310203661997</x:v>
      </x:c>
      <x:c r="AV264" s="32" t="n">
        <x:f>AM264*60/tun_SeasonSeconds</x:f>
        <x:v>3285.2063975277074</x:v>
      </x:c>
    </x:row>
    <x:row r="265">
      <x:c r="A265" s="8" t="n">
        <x:f>A264+1</x:f>
        <x:v>262</x:v>
      </x:c>
      <x:c r="B265" s="9" t="n">
        <x:f>A265*tun_SeasonSeconds/60</x:f>
        <x:v>65.5</x:v>
      </x:c>
      <x:c r="C265" s="9" t="n">
        <x:f>A265/4</x:f>
        <x:v>65.5</x:v>
      </x:c>
      <x:c r="D265" s="8" t="n">
        <x:f>IF(MOD(A265,4)=0,1,0)</x:f>
        <x:v>0</x:v>
      </x:c>
      <x:c r="E265" s="8" t="n">
        <x:f>IF(AND(F264&lt;=9,AS264&gt;=AR264),1,0)</x:f>
        <x:v>0</x:v>
      </x:c>
      <x:c r="F265" s="8" t="n">
        <x:f>MIN(10,F264+E265)</x:f>
        <x:v>5</x:v>
      </x:c>
      <x:c r="G265" s="8" t="n">
        <x:f>MIN(F265,9)+1</x:f>
        <x:v>6</x:v>
      </x:c>
      <x:c r="H265" s="8" t="n">
        <x:f>IF(F265&lt;=9,1,0)</x:f>
        <x:v>1</x:v>
      </x:c>
      <x:c r="I265" s="9" t="n">
        <x:f>MIN(10,F264+IF(AR264&gt;0,MIN(1,AS264/AR264),1))</x:f>
        <x:v>5.21924015176616</x:v>
      </x:c>
      <x:c r="J265" s="32" t="n">
        <x:f>INDEX(tun_FoodCap,G265)*Arch_FoodCap*EXP(tun_CapsByProject*SUMPRODUCT((Cap_Point&lt;=I265)*(Cap_Kind="Food")*Cap_Ln))</x:f>
        <x:v>372.89883457776335</x:v>
      </x:c>
      <x:c r="K265" s="32" t="n">
        <x:f>J265*MIN(1,tun_LeanBase*EXP(tun_CapsByProject*SUMPRODUCT((Cap_Point&lt;=I265)*(Cap_Kind="Lean")*Cap_Ln)))</x:f>
        <x:v>372.89883457776335</x:v>
      </x:c>
      <x:c r="L265" s="10" t="n">
        <x:f>INDEX(tun_HousingCap,G265)*EXP(tun_CapsByProject*SUMPRODUCT((Cap_Point&lt;=I265)*(Cap_Kind="Housing")*Cap_Ln))</x:f>
        <x:v>1981.8141431314853</x:v>
      </x:c>
      <x:c r="M265" s="10" t="n">
        <x:f>INDEX(tun_GroupCap,G265)*tun_CohesionFactor*EXP(tun_CapsByProject*SUMPRODUCT((Cap_Point&lt;=I265)*(Cap_Kind="Group")*Cap_Ln))</x:f>
        <x:v>50000.00000000004</x:v>
      </x:c>
      <x:c r="N265" s="32" t="n">
        <x:f>MIN(J265,L265,M265)</x:f>
        <x:v>372.89883457776335</x:v>
      </x:c>
      <x:c r="O265" s="10" t="n">
        <x:f>AE264*N265</x:f>
        <x:v>1491.5953383110534</x:v>
      </x:c>
      <x:c r="P265" s="9" t="n">
        <x:f>MIN(1,(AB264/(AE264*IF(tun_GroupInCrowding=1,N265,MIN(J265,L265))))^tun_CrowdingExp)</x:f>
        <x:v>0.2543845567207904</x:v>
      </x:c>
      <x:c r="Q265" s="9" t="n">
        <x:f>IF(D265=1,INDEX(tun_WinterMult,G265),1)</x:f>
        <x:v>1</x:v>
      </x:c>
      <x:c r="R265" s="9" t="n">
        <x:f>H265*Z264*tun_WomenShare*tun_BaseFertility*INDEX(tun_FertMult,G265)*Arch_Fertility*(1-P265)</x:f>
        <x:v>23.171776777476992</x:v>
      </x:c>
      <x:c r="S265" s="9" t="n">
        <x:f>H265*Y264*INDEX(tun_MortChild,G265)/4*Q265</x:f>
        <x:v>4.613126066295672</x:v>
      </x:c>
      <x:c r="T265" s="9" t="n">
        <x:f>H265*Z264*INDEX(tun_MortAdult,G265)*Arch_AdultMort/4*Q265</x:f>
        <x:v>1.1409528761185095</x:v>
      </x:c>
      <x:c r="U265" s="9" t="n">
        <x:f>H265*AA264*INDEX(tun_MortElder,G265)/4*Q265</x:f>
        <x:v>1.4837626980837604</x:v>
      </x:c>
      <x:c r="V265" s="9" t="n">
        <x:f>H265*MAX(0,AB264-O265)*tun_OvercapLoss</x:f>
        <x:v>0</x:v>
      </x:c>
      <x:c r="W265" s="9" t="n">
        <x:f>H265*Y264/(tun_ChildYears*4)</x:f>
        <x:v>11.362379473634661</x:v>
      </x:c>
      <x:c r="X265" s="9" t="n">
        <x:f>H265*Z264/(tun_AdultYears*4)</x:f>
        <x:v>3.5052315702565573</x:v>
      </x:c>
      <x:c r="Y265" s="32" t="n">
        <x:f>Y264+R265-S265-W265-Y264*V265/AB264</x:f>
        <x:v>643.4895217610878</x:v>
      </x:c>
      <x:c r="Z265" s="32" t="n">
        <x:f>Z264+W265-X265-T265-Z264*V265/AB264</x:f>
        <x:v>441.3649097390727</x:v>
      </x:c>
      <x:c r="AA265" s="32" t="n">
        <x:f>AA264+X265-U265-AA264*V265/AB264</x:f>
        <x:v>118.39501381991872</x:v>
      </x:c>
      <x:c r="AB265" s="10" t="n">
        <x:f>Y265+Z265+AA265</x:f>
        <x:v>1203.249445320079</x:v>
      </x:c>
      <x:c r="AC265" s="8" t="n">
        <x:f>IF(AND(tun_WinterTrigger=1,D265=1,AB264/AE264&gt;=K265),1,0)</x:f>
        <x:v>0</x:v>
      </x:c>
      <x:c r="AD265" s="8" t="n">
        <x:f>H265*IF(AND(OR(AB264/AE264&gt;=tun_FissionTrigger*N265,AC265=1),AB264/AE264*tun_DaughterShare&gt;=tun_MinDaughter),MAX(1,ROUND(AE264*tun_FissionRate,0)),0)</x:f>
        <x:v>0</x:v>
      </x:c>
      <x:c r="AE265" s="8" t="n">
        <x:f>IF(H265=1,MAX(1,MIN(INDEX(tun_Smax,G265),AE264+AD265)),AE264)</x:f>
        <x:v>4</x:v>
      </x:c>
      <x:c r="AF265" s="8" t="n">
        <x:f>MAX(0,AE265-AE264)</x:f>
        <x:v>0</x:v>
      </x:c>
      <x:c r="AG265" s="9" t="str">
        <x:f>IF(AF265&gt;0,B265,"")</x:f>
      </x:c>
      <x:c r="AH265" s="9" t="n">
        <x:f>IF(F265&gt;=1,1,(1+tun_LowTiesShare*(AE265-1))/AE265)</x:f>
        <x:v>1</x:v>
      </x:c>
      <x:c r="AI265" s="32" t="n">
        <x:f>(Z265+tun_ElderCommons*INDEX(LM_Elder,G265)*AA265)*AH265</x:f>
        <x:v>838.4738583866206</x:v>
      </x:c>
      <x:c r="AJ265" s="32" t="n">
        <x:f>H265*tun_CommonsCoef*AI265^tun_CommonsExp*INDEX(LM_Commons,G265)</x:f>
        <x:v>1947.5434687508978</x:v>
      </x:c>
      <x:c r="AK265" s="32" t="n">
        <x:f>H265*tun_RoleScale*Arch_Roles*(AE265*(INDEX(tun_ElderRolePerSett,G265)*tun_OutElder*INDEX(LM_Elder,G265)+INDEX(tun_ShamanPerSett,G265)*tun_OutShaman)+Z265*(INDEX(tun_PriestShare,G265)*tun_OutPriest+INDEX(tun_ScribeShare,G265)*tun_OutScribe*INDEX(LM_Scribe,G265)+INDEX(tun_ScholarShare,G265)*tun_OutScholar*INDEX(LM_Scholar,G265)+INDEX(tun_ResearcherShare,G265)*tun_OutResearcher*INDEX(LM_Researcher,G265)))</x:f>
        <x:v>352.05319036672756</x:v>
      </x:c>
      <x:c r="AL265" s="32" t="n">
        <x:f>H265*tun_RoleScale*Arch_Roles*AE265*INDEX(tun_MonasteryPerSett,G265)*tun_OutMonastery*INDEX(LM_Monastery,G265)</x:f>
        <x:v>10.068564942433456</x:v>
      </x:c>
      <x:c r="AM265" s="32" t="n">
        <x:f>(AJ265+AK265+AL265)/4*INDEX(LM_All,G265)*INDEX(tun_Boon,G265)*Arch_Insight</x:f>
        <x:v>832.288189390468</x:v>
      </x:c>
      <x:c r="AN265" s="32" t="n">
        <x:f>H265*(tun_KHPerAdult*Z265+tun_KHOfCommons*AJ265/4*INDEX(LM_All,G265))*tun_KHUsable*Arch_KH</x:f>
        <x:v>151.9702625137977</x:v>
      </x:c>
      <x:c r="AO265" s="32" t="n">
        <x:f>MIN(AP264+AN265,AM265*tun_KHMaxRatio)</x:f>
        <x:v>151.9702625137977</x:v>
      </x:c>
      <x:c r="AP265" s="32" t="n">
        <x:f>AP264+AN265-AO265</x:f>
        <x:v>0</x:v>
      </x:c>
      <x:c r="AQ265" s="32" t="n">
        <x:f>AM265+AO265</x:f>
        <x:v>984.2584519042657</x:v>
      </x:c>
      <x:c r="AR265" s="10" t="n">
        <x:f>IF(H265=1,INDEX(tun_Req,G265),0)</x:f>
        <x:v>88783.394528</x:v>
      </x:c>
      <x:c r="AS265" s="32" t="n">
        <x:f>IF(H265=1,IF(E265=1,AS264-AR264,AS264)+AQ265,0)</x:f>
        <x:v>20449.14334253785</x:v>
      </x:c>
      <x:c r="AT265" s="11" t="n">
        <x:f>IF(AR265&gt;0,MIN(1,AS265/AR265),1)</x:f>
        <x:v>0.23032621641976883</x:v>
      </x:c>
      <x:c r="AU265" s="10" t="n">
        <x:f>AB265/INDEX(tun_RepScale,G265)</x:f>
        <x:v>240.6498890640158</x:v>
      </x:c>
      <x:c r="AV265" s="32" t="n">
        <x:f>AM265*60/tun_SeasonSeconds</x:f>
        <x:v>3329.152757561872</x:v>
      </x:c>
    </x:row>
    <x:row r="266">
      <x:c r="A266" s="8" t="n">
        <x:f>A265+1</x:f>
        <x:v>263</x:v>
      </x:c>
      <x:c r="B266" s="9" t="n">
        <x:f>A266*tun_SeasonSeconds/60</x:f>
        <x:v>65.75</x:v>
      </x:c>
      <x:c r="C266" s="9" t="n">
        <x:f>A266/4</x:f>
        <x:v>65.75</x:v>
      </x:c>
      <x:c r="D266" s="8" t="n">
        <x:f>IF(MOD(A266,4)=0,1,0)</x:f>
        <x:v>0</x:v>
      </x:c>
      <x:c r="E266" s="8" t="n">
        <x:f>IF(AND(F265&lt;=9,AS265&gt;=AR265),1,0)</x:f>
        <x:v>0</x:v>
      </x:c>
      <x:c r="F266" s="8" t="n">
        <x:f>MIN(10,F265+E266)</x:f>
        <x:v>5</x:v>
      </x:c>
      <x:c r="G266" s="8" t="n">
        <x:f>MIN(F266,9)+1</x:f>
        <x:v>6</x:v>
      </x:c>
      <x:c r="H266" s="8" t="n">
        <x:f>IF(F266&lt;=9,1,0)</x:f>
        <x:v>1</x:v>
      </x:c>
      <x:c r="I266" s="9" t="n">
        <x:f>MIN(10,F265+IF(AR265&gt;0,MIN(1,AS265/AR265),1))</x:f>
        <x:v>5.230326216419769</x:v>
      </x:c>
      <x:c r="J266" s="32" t="n">
        <x:f>INDEX(tun_FoodCap,G266)*Arch_FoodCap*EXP(tun_CapsByProject*SUMPRODUCT((Cap_Point&lt;=I266)*(Cap_Kind="Food")*Cap_Ln))</x:f>
        <x:v>372.89883457776335</x:v>
      </x:c>
      <x:c r="K266" s="32" t="n">
        <x:f>J266*MIN(1,tun_LeanBase*EXP(tun_CapsByProject*SUMPRODUCT((Cap_Point&lt;=I266)*(Cap_Kind="Lean")*Cap_Ln)))</x:f>
        <x:v>372.89883457776335</x:v>
      </x:c>
      <x:c r="L266" s="10" t="n">
        <x:f>INDEX(tun_HousingCap,G266)*EXP(tun_CapsByProject*SUMPRODUCT((Cap_Point&lt;=I266)*(Cap_Kind="Housing")*Cap_Ln))</x:f>
        <x:v>1981.8141431314853</x:v>
      </x:c>
      <x:c r="M266" s="10" t="n">
        <x:f>INDEX(tun_GroupCap,G266)*tun_CohesionFactor*EXP(tun_CapsByProject*SUMPRODUCT((Cap_Point&lt;=I266)*(Cap_Kind="Group")*Cap_Ln))</x:f>
        <x:v>50000.00000000004</x:v>
      </x:c>
      <x:c r="N266" s="32" t="n">
        <x:f>MIN(J266,L266,M266)</x:f>
        <x:v>372.89883457776335</x:v>
      </x:c>
      <x:c r="O266" s="10" t="n">
        <x:f>AE265*N266</x:f>
        <x:v>1491.5953383110534</x:v>
      </x:c>
      <x:c r="P266" s="9" t="n">
        <x:f>MIN(1,(AB265/(AE265*IF(tun_GroupInCrowding=1,N266,MIN(J266,L266))))^tun_CrowdingExp)</x:f>
        <x:v>0.27556744942830735</x:v>
      </x:c>
      <x:c r="Q266" s="9" t="n">
        <x:f>IF(D266=1,INDEX(tun_WinterMult,G266),1)</x:f>
        <x:v>1</x:v>
      </x:c>
      <x:c r="R266" s="9" t="n">
        <x:f>H266*Z265*tun_WomenShare*tun_BaseFertility*INDEX(tun_FertMult,G266)*Arch_Fertility*(1-P266)</x:f>
        <x:v>22.86134617160118</x:v>
      </x:c>
      <x:c r="S266" s="9" t="n">
        <x:f>H266*Y265*INDEX(tun_MortChild,G266)/4*Q266</x:f>
        <x:v>4.665299032767886</x:v>
      </x:c>
      <x:c r="T266" s="9" t="n">
        <x:f>H266*Z265*INDEX(tun_MortAdult,G266)*Arch_AdultMort/4*Q266</x:f>
        <x:v>1.158582888065066</x:v>
      </x:c>
      <x:c r="U266" s="9" t="n">
        <x:f>H266*AA265*INDEX(tun_MortElder,G266)/4*Q266</x:f>
        <x:v>1.5095364262039634</x:v>
      </x:c>
      <x:c r="V266" s="9" t="n">
        <x:f>H266*MAX(0,AB265-O266)*tun_OvercapLoss</x:f>
        <x:v>0</x:v>
      </x:c>
      <x:c r="W266" s="9" t="n">
        <x:f>H266*Y265/(tun_ChildYears*4)</x:f>
        <x:v>11.490884317162282</x:v>
      </x:c>
      <x:c r="X266" s="9" t="n">
        <x:f>H266*Z265/(tun_AdultYears*4)</x:f>
        <x:v>3.5593944333796186</x:v>
      </x:c>
      <x:c r="Y266" s="32" t="n">
        <x:f>Y265+R266-S266-W266-Y265*V266/AB265</x:f>
        <x:v>650.1946845827589</x:v>
      </x:c>
      <x:c r="Z266" s="32" t="n">
        <x:f>Z265+W266-X266-T266-Z265*V266/AB265</x:f>
        <x:v>448.1378167347903</x:v>
      </x:c>
      <x:c r="AA266" s="32" t="n">
        <x:f>AA265+X266-U266-AA265*V266/AB265</x:f>
        <x:v>120.44487182709437</x:v>
      </x:c>
      <x:c r="AB266" s="10" t="n">
        <x:f>Y266+Z266+AA266</x:f>
        <x:v>1218.7773731446437</x:v>
      </x:c>
      <x:c r="AC266" s="8" t="n">
        <x:f>IF(AND(tun_WinterTrigger=1,D266=1,AB265/AE265&gt;=K266),1,0)</x:f>
        <x:v>0</x:v>
      </x:c>
      <x:c r="AD266" s="8" t="n">
        <x:f>H266*IF(AND(OR(AB265/AE265&gt;=tun_FissionTrigger*N266,AC266=1),AB265/AE265*tun_DaughterShare&gt;=tun_MinDaughter),MAX(1,ROUND(AE265*tun_FissionRate,0)),0)</x:f>
        <x:v>0</x:v>
      </x:c>
      <x:c r="AE266" s="8" t="n">
        <x:f>IF(H266=1,MAX(1,MIN(INDEX(tun_Smax,G266),AE265+AD266)),AE265)</x:f>
        <x:v>4</x:v>
      </x:c>
      <x:c r="AF266" s="8" t="n">
        <x:f>MAX(0,AE266-AE265)</x:f>
        <x:v>0</x:v>
      </x:c>
      <x:c r="AG266" s="9" t="str">
        <x:f>IF(AF266&gt;0,B266,"")</x:f>
      </x:c>
      <x:c r="AH266" s="9" t="n">
        <x:f>IF(F266&gt;=1,1,(1+tun_LowTiesShare*(AE266-1))/AE266)</x:f>
        <x:v>1</x:v>
      </x:c>
      <x:c r="AI266" s="32" t="n">
        <x:f>(Z266+tun_ElderCommons*INDEX(LM_Elder,G266)*AA266)*AH266</x:f>
        <x:v>852.1221981547387</x:v>
      </x:c>
      <x:c r="AJ266" s="32" t="n">
        <x:f>H266*tun_CommonsCoef*AI266^tun_CommonsExp*INDEX(LM_Commons,G266)</x:f>
        <x:v>1974.4569048434585</x:v>
      </x:c>
      <x:c r="AK266" s="32" t="n">
        <x:f>H266*tun_RoleScale*Arch_Roles*(AE266*(INDEX(tun_ElderRolePerSett,G266)*tun_OutElder*INDEX(LM_Elder,G266)+INDEX(tun_ShamanPerSett,G266)*tun_OutShaman)+Z266*(INDEX(tun_PriestShare,G266)*tun_OutPriest+INDEX(tun_ScribeShare,G266)*tun_OutScribe*INDEX(LM_Scribe,G266)+INDEX(tun_ScholarShare,G266)*tun_OutScholar*INDEX(LM_Scholar,G266)+INDEX(tun_ResearcherShare,G266)*tun_OutResearcher*INDEX(LM_Researcher,G266)))</x:f>
        <x:v>355.89547961976905</x:v>
      </x:c>
      <x:c r="AL266" s="32" t="n">
        <x:f>H266*tun_RoleScale*Arch_Roles*AE266*INDEX(tun_MonasteryPerSett,G266)*tun_OutMonastery*INDEX(LM_Monastery,G266)</x:f>
        <x:v>10.068564942433456</x:v>
      </x:c>
      <x:c r="AM266" s="32" t="n">
        <x:f>(AJ266+AK266+AL266)/4*INDEX(LM_All,G266)*INDEX(tun_Boon,G266)*Arch_Insight</x:f>
        <x:v>843.3710193584773</x:v>
      </x:c>
      <x:c r="AN266" s="32" t="n">
        <x:f>H266*(tun_KHPerAdult*Z266+tun_KHOfCommons*AJ266/4*INDEX(LM_All,G266))*tun_KHUsable*Arch_KH</x:f>
        <x:v>154.07036554808738</x:v>
      </x:c>
      <x:c r="AO266" s="32" t="n">
        <x:f>MIN(AP265+AN266,AM266*tun_KHMaxRatio)</x:f>
        <x:v>154.07036554808738</x:v>
      </x:c>
      <x:c r="AP266" s="32" t="n">
        <x:f>AP265+AN266-AO266</x:f>
        <x:v>0</x:v>
      </x:c>
      <x:c r="AQ266" s="32" t="n">
        <x:f>AM266+AO266</x:f>
        <x:v>997.4413849065646</x:v>
      </x:c>
      <x:c r="AR266" s="10" t="n">
        <x:f>IF(H266=1,INDEX(tun_Req,G266),0)</x:f>
        <x:v>88783.394528</x:v>
      </x:c>
      <x:c r="AS266" s="32" t="n">
        <x:f>IF(H266=1,IF(E266=1,AS265-AR265,AS265)+AQ266,0)</x:f>
        <x:v>21446.584727444413</x:v>
      </x:c>
      <x:c r="AT266" s="11" t="n">
        <x:f>IF(AR266&gt;0,MIN(1,AS266/AR266),1)</x:f>
        <x:v>0.24156076529244117</x:v>
      </x:c>
      <x:c r="AU266" s="10" t="n">
        <x:f>AB266/INDEX(tun_RepScale,G266)</x:f>
        <x:v>243.75547462892874</x:v>
      </x:c>
      <x:c r="AV266" s="32" t="n">
        <x:f>AM266*60/tun_SeasonSeconds</x:f>
        <x:v>3373.484077433909</x:v>
      </x:c>
    </x:row>
    <x:row r="267">
      <x:c r="A267" s="8" t="n">
        <x:f>A266+1</x:f>
        <x:v>264</x:v>
      </x:c>
      <x:c r="B267" s="9" t="n">
        <x:f>A267*tun_SeasonSeconds/60</x:f>
        <x:v>66</x:v>
      </x:c>
      <x:c r="C267" s="9" t="n">
        <x:f>A267/4</x:f>
        <x:v>66</x:v>
      </x:c>
      <x:c r="D267" s="8" t="n">
        <x:f>IF(MOD(A267,4)=0,1,0)</x:f>
        <x:v>1</x:v>
      </x:c>
      <x:c r="E267" s="8" t="n">
        <x:f>IF(AND(F266&lt;=9,AS266&gt;=AR266),1,0)</x:f>
        <x:v>0</x:v>
      </x:c>
      <x:c r="F267" s="8" t="n">
        <x:f>MIN(10,F266+E267)</x:f>
        <x:v>5</x:v>
      </x:c>
      <x:c r="G267" s="8" t="n">
        <x:f>MIN(F267,9)+1</x:f>
        <x:v>6</x:v>
      </x:c>
      <x:c r="H267" s="8" t="n">
        <x:f>IF(F267&lt;=9,1,0)</x:f>
        <x:v>1</x:v>
      </x:c>
      <x:c r="I267" s="9" t="n">
        <x:f>MIN(10,F266+IF(AR266&gt;0,MIN(1,AS266/AR266),1))</x:f>
        <x:v>5.241560765292441</x:v>
      </x:c>
      <x:c r="J267" s="32" t="n">
        <x:f>INDEX(tun_FoodCap,G267)*Arch_FoodCap*EXP(tun_CapsByProject*SUMPRODUCT((Cap_Point&lt;=I267)*(Cap_Kind="Food")*Cap_Ln))</x:f>
        <x:v>372.89883457776335</x:v>
      </x:c>
      <x:c r="K267" s="32" t="n">
        <x:f>J267*MIN(1,tun_LeanBase*EXP(tun_CapsByProject*SUMPRODUCT((Cap_Point&lt;=I267)*(Cap_Kind="Lean")*Cap_Ln)))</x:f>
        <x:v>372.89883457776335</x:v>
      </x:c>
      <x:c r="L267" s="10" t="n">
        <x:f>INDEX(tun_HousingCap,G267)*EXP(tun_CapsByProject*SUMPRODUCT((Cap_Point&lt;=I267)*(Cap_Kind="Housing")*Cap_Ln))</x:f>
        <x:v>1981.8141431314853</x:v>
      </x:c>
      <x:c r="M267" s="10" t="n">
        <x:f>INDEX(tun_GroupCap,G267)*tun_CohesionFactor*EXP(tun_CapsByProject*SUMPRODUCT((Cap_Point&lt;=I267)*(Cap_Kind="Group")*Cap_Ln))</x:f>
        <x:v>50000.00000000004</x:v>
      </x:c>
      <x:c r="N267" s="32" t="n">
        <x:f>MIN(J267,L267,M267)</x:f>
        <x:v>372.89883457776335</x:v>
      </x:c>
      <x:c r="O267" s="10" t="n">
        <x:f>AE266*N267</x:f>
        <x:v>1491.5953383110534</x:v>
      </x:c>
      <x:c r="P267" s="9" t="n">
        <x:f>MIN(1,(AB266/(AE266*IF(tun_GroupInCrowding=1,N267,MIN(J267,L267))))^tun_CrowdingExp)</x:f>
        <x:v>0.2976049790223494</x:v>
      </x:c>
      <x:c r="Q267" s="9" t="n">
        <x:f>IF(D267=1,INDEX(tun_WinterMult,G267),1)</x:f>
        <x:v>1.15</x:v>
      </x:c>
      <x:c r="R267" s="9" t="n">
        <x:f>H267*Z266*tun_WomenShare*tun_BaseFertility*INDEX(tun_FertMult,G267)*Arch_Fertility*(1-P267)</x:f>
        <x:v>22.50603863982128</x:v>
      </x:c>
      <x:c r="S267" s="9" t="n">
        <x:f>H267*Y266*INDEX(tun_MortChild,G267)/4*Q267</x:f>
        <x:v>5.420998182708752</x:v>
      </x:c>
      <x:c r="T267" s="9" t="n">
        <x:f>H267*Z266*INDEX(tun_MortAdult,G267)*Arch_AdultMort/4*Q267</x:f>
        <x:v>1.3528160342681481</x:v>
      </x:c>
      <x:c r="U267" s="9" t="n">
        <x:f>H267*AA266*INDEX(tun_MortElder,G267)/4*Q267</x:f>
        <x:v>1.766022933164771</x:v>
      </x:c>
      <x:c r="V267" s="9" t="n">
        <x:f>H267*MAX(0,AB266-O267)*tun_OvercapLoss</x:f>
        <x:v>0</x:v>
      </x:c>
      <x:c r="W267" s="9" t="n">
        <x:f>H267*Y266/(tun_ChildYears*4)</x:f>
        <x:v>11.610619367549265</x:v>
      </x:c>
      <x:c r="X267" s="9" t="n">
        <x:f>H267*Z266/(tun_AdultYears*4)</x:f>
        <x:v>3.6140146510870186</x:v>
      </x:c>
      <x:c r="Y267" s="32" t="n">
        <x:f>Y266+R267-S267-W267-Y266*V267/AB266</x:f>
        <x:v>655.6691056723222</x:v>
      </x:c>
      <x:c r="Z267" s="32" t="n">
        <x:f>Z266+W267-X267-T267-Z266*V267/AB266</x:f>
        <x:v>454.7816054169844</x:v>
      </x:c>
      <x:c r="AA267" s="32" t="n">
        <x:f>AA266+X267-U267-AA266*V267/AB266</x:f>
        <x:v>122.29286354501662</x:v>
      </x:c>
      <x:c r="AB267" s="10" t="n">
        <x:f>Y267+Z267+AA267</x:f>
        <x:v>1232.7435746343233</x:v>
      </x:c>
      <x:c r="AC267" s="8" t="n">
        <x:f>IF(AND(tun_WinterTrigger=1,D267=1,AB266/AE266&gt;=K267),1,0)</x:f>
        <x:v>0</x:v>
      </x:c>
      <x:c r="AD267" s="8" t="n">
        <x:f>H267*IF(AND(OR(AB266/AE266&gt;=tun_FissionTrigger*N267,AC267=1),AB266/AE266*tun_DaughterShare&gt;=tun_MinDaughter),MAX(1,ROUND(AE266*tun_FissionRate,0)),0)</x:f>
        <x:v>0</x:v>
      </x:c>
      <x:c r="AE267" s="8" t="n">
        <x:f>IF(H267=1,MAX(1,MIN(INDEX(tun_Smax,G267),AE266+AD267)),AE266)</x:f>
        <x:v>4</x:v>
      </x:c>
      <x:c r="AF267" s="8" t="n">
        <x:f>MAX(0,AE267-AE266)</x:f>
        <x:v>0</x:v>
      </x:c>
      <x:c r="AG267" s="9" t="str">
        <x:f>IF(AF267&gt;0,B267,"")</x:f>
      </x:c>
      <x:c r="AH267" s="9" t="n">
        <x:f>IF(F267&gt;=1,1,(1+tun_LowTiesShare*(AE267-1))/AE267)</x:f>
        <x:v>1</x:v>
      </x:c>
      <x:c r="AI267" s="32" t="n">
        <x:f>(Z267+tun_ElderCommons*INDEX(LM_Elder,G267)*AA267)*AH267</x:f>
        <x:v>864.9643394916291</x:v>
      </x:c>
      <x:c r="AJ267" s="32" t="n">
        <x:f>H267*tun_CommonsCoef*AI267^tun_CommonsExp*INDEX(LM_Commons,G267)</x:f>
        <x:v>1999.721584925297</x:v>
      </x:c>
      <x:c r="AK267" s="32" t="n">
        <x:f>H267*tun_RoleScale*Arch_Roles*(AE267*(INDEX(tun_ElderRolePerSett,G267)*tun_OutElder*INDEX(LM_Elder,G267)+INDEX(tun_ShamanPerSett,G267)*tun_OutShaman)+Z267*(INDEX(tun_PriestShare,G267)*tun_OutPriest+INDEX(tun_ScribeShare,G267)*tun_OutScribe*INDEX(LM_Scribe,G267)+INDEX(tun_ScholarShare,G267)*tun_OutScholar*INDEX(LM_Scholar,G267)+INDEX(tun_ResearcherShare,G267)*tun_OutResearcher*INDEX(LM_Researcher,G267)))</x:f>
        <x:v>359.6645196891534</x:v>
      </x:c>
      <x:c r="AL267" s="32" t="n">
        <x:f>H267*tun_RoleScale*Arch_Roles*AE267*INDEX(tun_MonasteryPerSett,G267)*tun_OutMonastery*INDEX(LM_Monastery,G267)</x:f>
        <x:v>10.068564942433456</x:v>
      </x:c>
      <x:c r="AM267" s="32" t="n">
        <x:f>(AJ267+AK267+AL267)/4*INDEX(LM_All,G267)*INDEX(tun_Boon,G267)*Arch_Insight</x:f>
        <x:v>853.8333245117121</x:v>
      </x:c>
      <x:c r="AN267" s="32" t="n">
        <x:f>H267*(tun_KHPerAdult*Z267+tun_KHOfCommons*AJ267/4*INDEX(LM_All,G267))*tun_KHUsable*Arch_KH</x:f>
        <x:v>156.04181323383614</x:v>
      </x:c>
      <x:c r="AO267" s="32" t="n">
        <x:f>MIN(AP266+AN267,AM267*tun_KHMaxRatio)</x:f>
        <x:v>156.04181323383614</x:v>
      </x:c>
      <x:c r="AP267" s="32" t="n">
        <x:f>AP266+AN267-AO267</x:f>
        <x:v>0</x:v>
      </x:c>
      <x:c r="AQ267" s="32" t="n">
        <x:f>AM267+AO267</x:f>
        <x:v>1009.8751377455483</x:v>
      </x:c>
      <x:c r="AR267" s="10" t="n">
        <x:f>IF(H267=1,INDEX(tun_Req,G267),0)</x:f>
        <x:v>88783.394528</x:v>
      </x:c>
      <x:c r="AS267" s="32" t="n">
        <x:f>IF(H267=1,IF(E267=1,AS266-AR266,AS266)+AQ267,0)</x:f>
        <x:v>22456.45986518996</x:v>
      </x:c>
      <x:c r="AT267" s="11" t="n">
        <x:f>IF(AR267&gt;0,MIN(1,AS267/AR267),1)</x:f>
        <x:v>0.2529353600926778</x:v>
      </x:c>
      <x:c r="AU267" s="10" t="n">
        <x:f>AB267/INDEX(tun_RepScale,G267)</x:f>
        <x:v>246.54871492686465</x:v>
      </x:c>
      <x:c r="AV267" s="32" t="n">
        <x:f>AM267*60/tun_SeasonSeconds</x:f>
        <x:v>3415.3332980468485</x:v>
      </x:c>
    </x:row>
    <x:row r="268">
      <x:c r="A268" s="8" t="n">
        <x:f>A267+1</x:f>
        <x:v>265</x:v>
      </x:c>
      <x:c r="B268" s="9" t="n">
        <x:f>A268*tun_SeasonSeconds/60</x:f>
        <x:v>66.25</x:v>
      </x:c>
      <x:c r="C268" s="9" t="n">
        <x:f>A268/4</x:f>
        <x:v>66.25</x:v>
      </x:c>
      <x:c r="D268" s="8" t="n">
        <x:f>IF(MOD(A268,4)=0,1,0)</x:f>
        <x:v>0</x:v>
      </x:c>
      <x:c r="E268" s="8" t="n">
        <x:f>IF(AND(F267&lt;=9,AS267&gt;=AR267),1,0)</x:f>
        <x:v>0</x:v>
      </x:c>
      <x:c r="F268" s="8" t="n">
        <x:f>MIN(10,F267+E268)</x:f>
        <x:v>5</x:v>
      </x:c>
      <x:c r="G268" s="8" t="n">
        <x:f>MIN(F268,9)+1</x:f>
        <x:v>6</x:v>
      </x:c>
      <x:c r="H268" s="8" t="n">
        <x:f>IF(F268&lt;=9,1,0)</x:f>
        <x:v>1</x:v>
      </x:c>
      <x:c r="I268" s="9" t="n">
        <x:f>MIN(10,F267+IF(AR267&gt;0,MIN(1,AS267/AR267),1))</x:f>
        <x:v>5.252935360092678</x:v>
      </x:c>
      <x:c r="J268" s="32" t="n">
        <x:f>INDEX(tun_FoodCap,G268)*Arch_FoodCap*EXP(tun_CapsByProject*SUMPRODUCT((Cap_Point&lt;=I268)*(Cap_Kind="Food")*Cap_Ln))</x:f>
        <x:v>372.89883457776335</x:v>
      </x:c>
      <x:c r="K268" s="32" t="n">
        <x:f>J268*MIN(1,tun_LeanBase*EXP(tun_CapsByProject*SUMPRODUCT((Cap_Point&lt;=I268)*(Cap_Kind="Lean")*Cap_Ln)))</x:f>
        <x:v>372.89883457776335</x:v>
      </x:c>
      <x:c r="L268" s="10" t="n">
        <x:f>INDEX(tun_HousingCap,G268)*EXP(tun_CapsByProject*SUMPRODUCT((Cap_Point&lt;=I268)*(Cap_Kind="Housing")*Cap_Ln))</x:f>
        <x:v>1981.8141431314853</x:v>
      </x:c>
      <x:c r="M268" s="10" t="n">
        <x:f>INDEX(tun_GroupCap,G268)*tun_CohesionFactor*EXP(tun_CapsByProject*SUMPRODUCT((Cap_Point&lt;=I268)*(Cap_Kind="Group")*Cap_Ln))</x:f>
        <x:v>50000.00000000004</x:v>
      </x:c>
      <x:c r="N268" s="32" t="n">
        <x:f>MIN(J268,L268,M268)</x:f>
        <x:v>372.89883457776335</x:v>
      </x:c>
      <x:c r="O268" s="10" t="n">
        <x:f>AE267*N268</x:f>
        <x:v>1491.5953383110534</x:v>
      </x:c>
      <x:c r="P268" s="9" t="n">
        <x:f>MIN(1,(AB267/(AE267*IF(tun_GroupInCrowding=1,N268,MIN(J268,L268))))^tun_CrowdingExp)</x:f>
        <x:v>0.3186620759184484</x:v>
      </x:c>
      <x:c r="Q268" s="9" t="n">
        <x:f>IF(D268=1,INDEX(tun_WinterMult,G268),1)</x:f>
        <x:v>1</x:v>
      </x:c>
      <x:c r="R268" s="9" t="n">
        <x:f>H268*Z267*tun_WomenShare*tun_BaseFertility*INDEX(tun_FertMult,G268)*Arch_Fertility*(1-P268)</x:f>
        <x:v>22.15498677858777</x:v>
      </x:c>
      <x:c r="S268" s="9" t="n">
        <x:f>H268*Y267*INDEX(tun_MortChild,G268)/4*Q268</x:f>
        <x:v>4.753601016124336</x:v>
      </x:c>
      <x:c r="T268" s="9" t="n">
        <x:f>H268*Z267*INDEX(tun_MortAdult,G268)*Arch_AdultMort/4*Q268</x:f>
        <x:v>1.193801714219584</x:v>
      </x:c>
      <x:c r="U268" s="9" t="n">
        <x:f>H268*AA267*INDEX(tun_MortElder,G268)/4*Q268</x:f>
        <x:v>1.5592340101989617</x:v>
      </x:c>
      <x:c r="V268" s="9" t="n">
        <x:f>H268*MAX(0,AB267-O268)*tun_OvercapLoss</x:f>
        <x:v>0</x:v>
      </x:c>
      <x:c r="W268" s="9" t="n">
        <x:f>H268*Y267/(tun_ChildYears*4)</x:f>
        <x:v>11.708376887005754</x:v>
      </x:c>
      <x:c r="X268" s="9" t="n">
        <x:f>H268*Z267/(tun_AdultYears*4)</x:f>
        <x:v>3.6675935920724547</x:v>
      </x:c>
      <x:c r="Y268" s="32" t="n">
        <x:f>Y267+R268-S268-W268-Y267*V268/AB267</x:f>
        <x:v>661.3621145477798</x:v>
      </x:c>
      <x:c r="Z268" s="32" t="n">
        <x:f>Z267+W268-X268-T268-Z267*V268/AB267</x:f>
        <x:v>461.62858699769805</x:v>
      </x:c>
      <x:c r="AA268" s="32" t="n">
        <x:f>AA267+X268-U268-AA267*V268/AB267</x:f>
        <x:v>124.4012231268901</x:v>
      </x:c>
      <x:c r="AB268" s="10" t="n">
        <x:f>Y268+Z268+AA268</x:f>
        <x:v>1247.3919246723678</x:v>
      </x:c>
      <x:c r="AC268" s="8" t="n">
        <x:f>IF(AND(tun_WinterTrigger=1,D268=1,AB267/AE267&gt;=K268),1,0)</x:f>
        <x:v>0</x:v>
      </x:c>
      <x:c r="AD268" s="8" t="n">
        <x:f>H268*IF(AND(OR(AB267/AE267&gt;=tun_FissionTrigger*N268,AC268=1),AB267/AE267*tun_DaughterShare&gt;=tun_MinDaughter),MAX(1,ROUND(AE267*tun_FissionRate,0)),0)</x:f>
        <x:v>0</x:v>
      </x:c>
      <x:c r="AE268" s="8" t="n">
        <x:f>IF(H268=1,MAX(1,MIN(INDEX(tun_Smax,G268),AE267+AD268)),AE267)</x:f>
        <x:v>4</x:v>
      </x:c>
      <x:c r="AF268" s="8" t="n">
        <x:f>MAX(0,AE268-AE267)</x:f>
        <x:v>0</x:v>
      </x:c>
      <x:c r="AG268" s="9" t="str">
        <x:f>IF(AF268&gt;0,B268,"")</x:f>
      </x:c>
      <x:c r="AH268" s="9" t="n">
        <x:f>IF(F268&gt;=1,1,(1+tun_LowTiesShare*(AE268-1))/AE268)</x:f>
        <x:v>1</x:v>
      </x:c>
      <x:c r="AI268" s="32" t="n">
        <x:f>(Z268+tun_ElderCommons*INDEX(LM_Elder,G268)*AA268)*AH268</x:f>
        <x:v>878.8829740914659</x:v>
      </x:c>
      <x:c r="AJ268" s="32" t="n">
        <x:f>H268*tun_CommonsCoef*AI268^tun_CommonsExp*INDEX(LM_Commons,G268)</x:f>
        <x:v>2027.0406383598431</x:v>
      </x:c>
      <x:c r="AK268" s="32" t="n">
        <x:f>H268*tun_RoleScale*Arch_Roles*(AE268*(INDEX(tun_ElderRolePerSett,G268)*tun_OutElder*INDEX(LM_Elder,G268)+INDEX(tun_ShamanPerSett,G268)*tun_OutShaman)+Z268*(INDEX(tun_PriestShare,G268)*tun_OutPriest+INDEX(tun_ScribeShare,G268)*tun_OutScribe*INDEX(LM_Scribe,G268)+INDEX(tun_ScholarShare,G268)*tun_OutScholar*INDEX(LM_Scholar,G268)+INDEX(tun_ResearcherShare,G268)*tun_OutResearcher*INDEX(LM_Researcher,G268)))</x:f>
        <x:v>363.548831663315</x:v>
      </x:c>
      <x:c r="AL268" s="32" t="n">
        <x:f>H268*tun_RoleScale*Arch_Roles*AE268*INDEX(tun_MonasteryPerSett,G268)*tun_OutMonastery*INDEX(LM_Monastery,G268)</x:f>
        <x:v>10.068564942433456</x:v>
      </x:c>
      <x:c r="AM268" s="32" t="n">
        <x:f>(AJ268+AK268+AL268)/4*INDEX(LM_All,G268)*INDEX(tun_Boon,G268)*Arch_Insight</x:f>
        <x:v>865.0774616396249</x:v>
      </x:c>
      <x:c r="AN268" s="32" t="n">
        <x:f>H268*(tun_KHPerAdult*Z268+tun_KHOfCommons*AJ268/4*INDEX(LM_All,G268))*tun_KHUsable*Arch_KH</x:f>
        <x:v>158.17356730695025</x:v>
      </x:c>
      <x:c r="AO268" s="32" t="n">
        <x:f>MIN(AP267+AN268,AM268*tun_KHMaxRatio)</x:f>
        <x:v>158.17356730695025</x:v>
      </x:c>
      <x:c r="AP268" s="32" t="n">
        <x:f>AP267+AN268-AO268</x:f>
        <x:v>0</x:v>
      </x:c>
      <x:c r="AQ268" s="32" t="n">
        <x:f>AM268+AO268</x:f>
        <x:v>1023.2510289465752</x:v>
      </x:c>
      <x:c r="AR268" s="10" t="n">
        <x:f>IF(H268=1,INDEX(tun_Req,G268),0)</x:f>
        <x:v>88783.394528</x:v>
      </x:c>
      <x:c r="AS268" s="32" t="n">
        <x:f>IF(H268=1,IF(E268=1,AS267-AR267,AS267)+AQ268,0)</x:f>
        <x:v>23479.710894136537</x:v>
      </x:c>
      <x:c r="AT268" s="11" t="n">
        <x:f>IF(AR268&gt;0,MIN(1,AS268/AR268),1)</x:f>
        <x:v>0.2644606124710814</x:v>
      </x:c>
      <x:c r="AU268" s="10" t="n">
        <x:f>AB268/INDEX(tun_RepScale,G268)</x:f>
        <x:v>249.47838493447358</x:v>
      </x:c>
      <x:c r="AV268" s="32" t="n">
        <x:f>AM268*60/tun_SeasonSeconds</x:f>
        <x:v>3460.3098465584994</x:v>
      </x:c>
    </x:row>
    <x:row r="269">
      <x:c r="A269" s="8" t="n">
        <x:f>A268+1</x:f>
        <x:v>266</x:v>
      </x:c>
      <x:c r="B269" s="9" t="n">
        <x:f>A269*tun_SeasonSeconds/60</x:f>
        <x:v>66.5</x:v>
      </x:c>
      <x:c r="C269" s="9" t="n">
        <x:f>A269/4</x:f>
        <x:v>66.5</x:v>
      </x:c>
      <x:c r="D269" s="8" t="n">
        <x:f>IF(MOD(A269,4)=0,1,0)</x:f>
        <x:v>0</x:v>
      </x:c>
      <x:c r="E269" s="8" t="n">
        <x:f>IF(AND(F268&lt;=9,AS268&gt;=AR268),1,0)</x:f>
        <x:v>0</x:v>
      </x:c>
      <x:c r="F269" s="8" t="n">
        <x:f>MIN(10,F268+E269)</x:f>
        <x:v>5</x:v>
      </x:c>
      <x:c r="G269" s="8" t="n">
        <x:f>MIN(F269,9)+1</x:f>
        <x:v>6</x:v>
      </x:c>
      <x:c r="H269" s="8" t="n">
        <x:f>IF(F269&lt;=9,1,0)</x:f>
        <x:v>1</x:v>
      </x:c>
      <x:c r="I269" s="9" t="n">
        <x:f>MIN(10,F268+IF(AR268&gt;0,MIN(1,AS268/AR268),1))</x:f>
        <x:v>5.2644606124710815</x:v>
      </x:c>
      <x:c r="J269" s="32" t="n">
        <x:f>INDEX(tun_FoodCap,G269)*Arch_FoodCap*EXP(tun_CapsByProject*SUMPRODUCT((Cap_Point&lt;=I269)*(Cap_Kind="Food")*Cap_Ln))</x:f>
        <x:v>372.89883457776335</x:v>
      </x:c>
      <x:c r="K269" s="32" t="n">
        <x:f>J269*MIN(1,tun_LeanBase*EXP(tun_CapsByProject*SUMPRODUCT((Cap_Point&lt;=I269)*(Cap_Kind="Lean")*Cap_Ln)))</x:f>
        <x:v>372.89883457776335</x:v>
      </x:c>
      <x:c r="L269" s="10" t="n">
        <x:f>INDEX(tun_HousingCap,G269)*EXP(tun_CapsByProject*SUMPRODUCT((Cap_Point&lt;=I269)*(Cap_Kind="Housing")*Cap_Ln))</x:f>
        <x:v>1981.8141431314853</x:v>
      </x:c>
      <x:c r="M269" s="10" t="n">
        <x:f>INDEX(tun_GroupCap,G269)*tun_CohesionFactor*EXP(tun_CapsByProject*SUMPRODUCT((Cap_Point&lt;=I269)*(Cap_Kind="Group")*Cap_Ln))</x:f>
        <x:v>50000.00000000004</x:v>
      </x:c>
      <x:c r="N269" s="32" t="n">
        <x:f>MIN(J269,L269,M269)</x:f>
        <x:v>372.89883457776335</x:v>
      </x:c>
      <x:c r="O269" s="10" t="n">
        <x:f>AE268*N269</x:f>
        <x:v>1491.5953383110534</x:v>
      </x:c>
      <x:c r="P269" s="9" t="n">
        <x:f>MIN(1,(AB268/(AE268*IF(tun_GroupInCrowding=1,N269,MIN(J269,L269))))^tun_CrowdingExp)</x:f>
        <x:v>0.3420672253204887</x:v>
      </x:c>
      <x:c r="Q269" s="9" t="n">
        <x:f>IF(D269=1,INDEX(tun_WinterMult,G269),1)</x:f>
        <x:v>1</x:v>
      </x:c>
      <x:c r="R269" s="9" t="n">
        <x:f>H269*Z268*tun_WomenShare*tun_BaseFertility*INDEX(tun_FertMult,G269)*Arch_Fertility*(1-P269)</x:f>
        <x:v>21.716021263706608</x:v>
      </x:c>
      <x:c r="S269" s="9" t="n">
        <x:f>H269*Y268*INDEX(tun_MortChild,G269)/4*Q269</x:f>
        <x:v>4.794875330471404</x:v>
      </x:c>
      <x:c r="T269" s="9" t="n">
        <x:f>H269*Z268*INDEX(tun_MortAdult,G269)*Arch_AdultMort/4*Q269</x:f>
        <x:v>1.2117750408689574</x:v>
      </x:c>
      <x:c r="U269" s="9" t="n">
        <x:f>H269*AA268*INDEX(tun_MortElder,G269)/4*Q269</x:f>
        <x:v>1.5861155948678487</x:v>
      </x:c>
      <x:c r="V269" s="9" t="n">
        <x:f>H269*MAX(0,AB268-O269)*tun_OvercapLoss</x:f>
        <x:v>0</x:v>
      </x:c>
      <x:c r="W269" s="9" t="n">
        <x:f>H269*Y268/(tun_ChildYears*4)</x:f>
        <x:v>11.810037759781782</x:v>
      </x:c>
      <x:c r="X269" s="9" t="n">
        <x:f>H269*Z268/(tun_AdultYears*4)</x:f>
        <x:v>3.7228111854653068</x:v>
      </x:c>
      <x:c r="Y269" s="32" t="n">
        <x:f>Y268+R269-S269-W269-Y268*V269/AB268</x:f>
        <x:v>666.4732227212331</x:v>
      </x:c>
      <x:c r="Z269" s="32" t="n">
        <x:f>Z268+W269-X269-T269-Z268*V269/AB268</x:f>
        <x:v>468.5040385311455</x:v>
      </x:c>
      <x:c r="AA269" s="32" t="n">
        <x:f>AA268+X269-U269-AA268*V269/AB268</x:f>
        <x:v>126.53791871748756</x:v>
      </x:c>
      <x:c r="AB269" s="10" t="n">
        <x:f>Y269+Z269+AA269</x:f>
        <x:v>1261.5151799698663</x:v>
      </x:c>
      <x:c r="AC269" s="8" t="n">
        <x:f>IF(AND(tun_WinterTrigger=1,D269=1,AB268/AE268&gt;=K269),1,0)</x:f>
        <x:v>0</x:v>
      </x:c>
      <x:c r="AD269" s="8" t="n">
        <x:f>H269*IF(AND(OR(AB268/AE268&gt;=tun_FissionTrigger*N269,AC269=1),AB268/AE268*tun_DaughterShare&gt;=tun_MinDaughter),MAX(1,ROUND(AE268*tun_FissionRate,0)),0)</x:f>
        <x:v>0</x:v>
      </x:c>
      <x:c r="AE269" s="8" t="n">
        <x:f>IF(H269=1,MAX(1,MIN(INDEX(tun_Smax,G269),AE268+AD269)),AE268)</x:f>
        <x:v>4</x:v>
      </x:c>
      <x:c r="AF269" s="8" t="n">
        <x:f>MAX(0,AE269-AE268)</x:f>
        <x:v>0</x:v>
      </x:c>
      <x:c r="AG269" s="9" t="str">
        <x:f>IF(AF269&gt;0,B269,"")</x:f>
      </x:c>
      <x:c r="AH269" s="9" t="n">
        <x:f>IF(F269&gt;=1,1,(1+tun_LowTiesShare*(AE269-1))/AE269)</x:f>
        <x:v>1</x:v>
      </x:c>
      <x:c r="AI269" s="32" t="n">
        <x:f>(Z269+tun_ElderCommons*INDEX(LM_Elder,G269)*AA269)*AH269</x:f>
        <x:v>892.9251205066133</x:v>
      </x:c>
      <x:c r="AJ269" s="32" t="n">
        <x:f>H269*tun_CommonsCoef*AI269^tun_CommonsExp*INDEX(LM_Commons,G269)</x:f>
        <x:v>2054.536432405934</x:v>
      </x:c>
      <x:c r="AK269" s="32" t="n">
        <x:f>H269*tun_RoleScale*Arch_Roles*(AE269*(INDEX(tun_ElderRolePerSett,G269)*tun_OutElder*INDEX(LM_Elder,G269)+INDEX(tun_ShamanPerSett,G269)*tun_OutShaman)+Z269*(INDEX(tun_PriestShare,G269)*tun_OutPriest+INDEX(tun_ScribeShare,G269)*tun_OutScribe*INDEX(LM_Scribe,G269)+INDEX(tun_ScholarShare,G269)*tun_OutScholar*INDEX(LM_Scholar,G269)+INDEX(tun_ResearcherShare,G269)*tun_OutResearcher*INDEX(LM_Researcher,G269)))</x:f>
        <x:v>367.4492947220099</x:v>
      </x:c>
      <x:c r="AL269" s="32" t="n">
        <x:f>H269*tun_RoleScale*Arch_Roles*AE269*INDEX(tun_MonasteryPerSett,G269)*tun_OutMonastery*INDEX(LM_Monastery,G269)</x:f>
        <x:v>10.068564942433456</x:v>
      </x:c>
      <x:c r="AM269" s="32" t="n">
        <x:f>(AJ269+AK269+AL269)/4*INDEX(LM_All,G269)*INDEX(tun_Boon,G269)*Arch_Insight</x:f>
        <x:v>876.3911073174371</x:v>
      </x:c>
      <x:c r="AN269" s="32" t="n">
        <x:f>H269*(tun_KHPerAdult*Z269+tun_KHOfCommons*AJ269/4*INDEX(LM_All,G269))*tun_KHUsable*Arch_KH</x:f>
        <x:v>160.31911276267746</x:v>
      </x:c>
      <x:c r="AO269" s="32" t="n">
        <x:f>MIN(AP268+AN269,AM269*tun_KHMaxRatio)</x:f>
        <x:v>160.31911276267746</x:v>
      </x:c>
      <x:c r="AP269" s="32" t="n">
        <x:f>AP268+AN269-AO269</x:f>
        <x:v>0</x:v>
      </x:c>
      <x:c r="AQ269" s="32" t="n">
        <x:f>AM269+AO269</x:f>
        <x:v>1036.7102200801146</x:v>
      </x:c>
      <x:c r="AR269" s="10" t="n">
        <x:f>IF(H269=1,INDEX(tun_Req,G269),0)</x:f>
        <x:v>88783.394528</x:v>
      </x:c>
      <x:c r="AS269" s="32" t="n">
        <x:f>IF(H269=1,IF(E269=1,AS268-AR268,AS268)+AQ269,0)</x:f>
        <x:v>24516.421114216653</x:v>
      </x:c>
      <x:c r="AT269" s="11" t="n">
        <x:f>IF(AR269&gt;0,MIN(1,AS269/AR269),1)</x:f>
        <x:v>0.27613746066540407</x:v>
      </x:c>
      <x:c r="AU269" s="10" t="n">
        <x:f>AB269/INDEX(tun_RepScale,G269)</x:f>
        <x:v>252.30303599397325</x:v>
      </x:c>
      <x:c r="AV269" s="32" t="n">
        <x:f>AM269*60/tun_SeasonSeconds</x:f>
        <x:v>3505.5644292697484</x:v>
      </x:c>
    </x:row>
    <x:row r="270">
      <x:c r="A270" s="8" t="n">
        <x:f>A269+1</x:f>
        <x:v>267</x:v>
      </x:c>
      <x:c r="B270" s="9" t="n">
        <x:f>A270*tun_SeasonSeconds/60</x:f>
        <x:v>66.75</x:v>
      </x:c>
      <x:c r="C270" s="9" t="n">
        <x:f>A270/4</x:f>
        <x:v>66.75</x:v>
      </x:c>
      <x:c r="D270" s="8" t="n">
        <x:f>IF(MOD(A270,4)=0,1,0)</x:f>
        <x:v>0</x:v>
      </x:c>
      <x:c r="E270" s="8" t="n">
        <x:f>IF(AND(F269&lt;=9,AS269&gt;=AR269),1,0)</x:f>
        <x:v>0</x:v>
      </x:c>
      <x:c r="F270" s="8" t="n">
        <x:f>MIN(10,F269+E270)</x:f>
        <x:v>5</x:v>
      </x:c>
      <x:c r="G270" s="8" t="n">
        <x:f>MIN(F270,9)+1</x:f>
        <x:v>6</x:v>
      </x:c>
      <x:c r="H270" s="8" t="n">
        <x:f>IF(F270&lt;=9,1,0)</x:f>
        <x:v>1</x:v>
      </x:c>
      <x:c r="I270" s="9" t="n">
        <x:f>MIN(10,F269+IF(AR269&gt;0,MIN(1,AS269/AR269),1))</x:f>
        <x:v>5.276137460665404</x:v>
      </x:c>
      <x:c r="J270" s="32" t="n">
        <x:f>INDEX(tun_FoodCap,G270)*Arch_FoodCap*EXP(tun_CapsByProject*SUMPRODUCT((Cap_Point&lt;=I270)*(Cap_Kind="Food")*Cap_Ln))</x:f>
        <x:v>372.89883457776335</x:v>
      </x:c>
      <x:c r="K270" s="32" t="n">
        <x:f>J270*MIN(1,tun_LeanBase*EXP(tun_CapsByProject*SUMPRODUCT((Cap_Point&lt;=I270)*(Cap_Kind="Lean")*Cap_Ln)))</x:f>
        <x:v>372.89883457776335</x:v>
      </x:c>
      <x:c r="L270" s="10" t="n">
        <x:f>INDEX(tun_HousingCap,G270)*EXP(tun_CapsByProject*SUMPRODUCT((Cap_Point&lt;=I270)*(Cap_Kind="Housing")*Cap_Ln))</x:f>
        <x:v>1981.8141431314853</x:v>
      </x:c>
      <x:c r="M270" s="10" t="n">
        <x:f>INDEX(tun_GroupCap,G270)*tun_CohesionFactor*EXP(tun_CapsByProject*SUMPRODUCT((Cap_Point&lt;=I270)*(Cap_Kind="Group")*Cap_Ln))</x:f>
        <x:v>50000.00000000004</x:v>
      </x:c>
      <x:c r="N270" s="32" t="n">
        <x:f>MIN(J270,L270,M270)</x:f>
        <x:v>372.89883457776335</x:v>
      </x:c>
      <x:c r="O270" s="10" t="n">
        <x:f>AE269*N270</x:f>
        <x:v>1491.5953383110534</x:v>
      </x:c>
      <x:c r="P270" s="9" t="n">
        <x:f>MIN(1,(AB269/(AE269*IF(tun_GroupInCrowding=1,N270,MIN(J270,L270))))^tun_CrowdingExp)</x:f>
        <x:v>0.36597277618264756</x:v>
      </x:c>
      <x:c r="Q270" s="9" t="n">
        <x:f>IF(D270=1,INDEX(tun_WinterMult,G270),1)</x:f>
        <x:v>1</x:v>
      </x:c>
      <x:c r="R270" s="9" t="n">
        <x:f>H270*Z269*tun_WomenShare*tun_BaseFertility*INDEX(tun_FertMult,G270)*Arch_Fertility*(1-P270)</x:f>
        <x:v>21.238668515144088</x:v>
      </x:c>
      <x:c r="S270" s="9" t="n">
        <x:f>H270*Y269*INDEX(tun_MortChild,G270)/4*Q270</x:f>
        <x:v>4.831930864728941</x:v>
      </x:c>
      <x:c r="T270" s="9" t="n">
        <x:f>H270*Z269*INDEX(tun_MortAdult,G270)*Arch_AdultMort/4*Q270</x:f>
        <x:v>1.229823101144257</x:v>
      </x:c>
      <x:c r="U270" s="9" t="n">
        <x:f>H270*AA269*INDEX(tun_MortElder,G270)/4*Q270</x:f>
        <x:v>1.6133584636479663</x:v>
      </x:c>
      <x:c r="V270" s="9" t="n">
        <x:f>H270*MAX(0,AB269-O270)*tun_OvercapLoss</x:f>
        <x:v>0</x:v>
      </x:c>
      <x:c r="W270" s="9" t="n">
        <x:f>H270*Y269/(tun_ChildYears*4)</x:f>
        <x:v>11.901307548593449</x:v>
      </x:c>
      <x:c r="X270" s="9" t="n">
        <x:f>H270*Z269/(tun_AdultYears*4)</x:f>
        <x:v>3.7782583752511734</x:v>
      </x:c>
      <x:c r="Y270" s="32" t="n">
        <x:f>Y269+R270-S270-W270-Y269*V270/AB269</x:f>
        <x:v>670.9786528230549</x:v>
      </x:c>
      <x:c r="Z270" s="32" t="n">
        <x:f>Z269+W270-X270-T270-Z269*V270/AB269</x:f>
        <x:v>475.3972646033435</x:v>
      </x:c>
      <x:c r="AA270" s="32" t="n">
        <x:f>AA269+X270-U270-AA269*V270/AB269</x:f>
        <x:v>128.70281862909079</x:v>
      </x:c>
      <x:c r="AB270" s="10" t="n">
        <x:f>Y270+Z270+AA270</x:f>
        <x:v>1275.0787360554891</x:v>
      </x:c>
      <x:c r="AC270" s="8" t="n">
        <x:f>IF(AND(tun_WinterTrigger=1,D270=1,AB269/AE269&gt;=K270),1,0)</x:f>
        <x:v>0</x:v>
      </x:c>
      <x:c r="AD270" s="8" t="n">
        <x:f>H270*IF(AND(OR(AB269/AE269&gt;=tun_FissionTrigger*N270,AC270=1),AB269/AE269*tun_DaughterShare&gt;=tun_MinDaughter),MAX(1,ROUND(AE269*tun_FissionRate,0)),0)</x:f>
        <x:v>0</x:v>
      </x:c>
      <x:c r="AE270" s="8" t="n">
        <x:f>IF(H270=1,MAX(1,MIN(INDEX(tun_Smax,G270),AE269+AD270)),AE269)</x:f>
        <x:v>4</x:v>
      </x:c>
      <x:c r="AF270" s="8" t="n">
        <x:f>MAX(0,AE270-AE269)</x:f>
        <x:v>0</x:v>
      </x:c>
      <x:c r="AG270" s="9" t="str">
        <x:f>IF(AF270&gt;0,B270,"")</x:f>
      </x:c>
      <x:c r="AH270" s="9" t="n">
        <x:f>IF(F270&gt;=1,1,(1+tun_LowTiesShare*(AE270-1))/AE270)</x:f>
        <x:v>1</x:v>
      </x:c>
      <x:c r="AI270" s="32" t="n">
        <x:f>(Z270+tun_ElderCommons*INDEX(LM_Elder,G270)*AA270)*AH270</x:f>
        <x:v>907.0796416290534</x:v>
      </x:c>
      <x:c r="AJ270" s="32" t="n">
        <x:f>H270*tun_CommonsCoef*AI270^tun_CommonsExp*INDEX(LM_Commons,G270)</x:f>
        <x:v>2082.1867033852873</x:v>
      </x:c>
      <x:c r="AK270" s="32" t="n">
        <x:f>H270*tun_RoleScale*Arch_Roles*(AE270*(INDEX(tun_ElderRolePerSett,G270)*tun_OutElder*INDEX(LM_Elder,G270)+INDEX(tun_ShamanPerSett,G270)*tun_OutShaman)+Z270*(INDEX(tun_PriestShare,G270)*tun_OutPriest+INDEX(tun_ScribeShare,G270)*tun_OutScribe*INDEX(LM_Scribe,G270)+INDEX(tun_ScholarShare,G270)*tun_OutScholar*INDEX(LM_Scholar,G270)+INDEX(tun_ResearcherShare,G270)*tun_OutResearcher*INDEX(LM_Researcher,G270)))</x:f>
        <x:v>371.3598413267009</x:v>
      </x:c>
      <x:c r="AL270" s="32" t="n">
        <x:f>H270*tun_RoleScale*Arch_Roles*AE270*INDEX(tun_MonasteryPerSett,G270)*tun_OutMonastery*INDEX(LM_Monastery,G270)</x:f>
        <x:v>10.068564942433456</x:v>
      </x:c>
      <x:c r="AM270" s="32" t="n">
        <x:f>(AJ270+AK270+AL270)/4*INDEX(LM_All,G270)*INDEX(tun_Boon,G270)*Arch_Insight</x:f>
        <x:v>887.7640523871696</x:v>
      </x:c>
      <x:c r="AN270" s="32" t="n">
        <x:f>H270*(tun_KHPerAdult*Z270+tun_KHOfCommons*AJ270/4*INDEX(LM_All,G270))*tun_KHUsable*Arch_KH</x:f>
        <x:v>162.476712326812</x:v>
      </x:c>
      <x:c r="AO270" s="32" t="n">
        <x:f>MIN(AP269+AN270,AM270*tun_KHMaxRatio)</x:f>
        <x:v>162.476712326812</x:v>
      </x:c>
      <x:c r="AP270" s="32" t="n">
        <x:f>AP269+AN270-AO270</x:f>
        <x:v>0</x:v>
      </x:c>
      <x:c r="AQ270" s="32" t="n">
        <x:f>AM270+AO270</x:f>
        <x:v>1050.2407647139817</x:v>
      </x:c>
      <x:c r="AR270" s="10" t="n">
        <x:f>IF(H270=1,INDEX(tun_Req,G270),0)</x:f>
        <x:v>88783.394528</x:v>
      </x:c>
      <x:c r="AS270" s="32" t="n">
        <x:f>IF(H270=1,IF(E270=1,AS269-AR269,AS269)+AQ270,0)</x:f>
        <x:v>25566.661878930634</x:v>
      </x:c>
      <x:c r="AT270" s="11" t="n">
        <x:f>IF(AR270&gt;0,MIN(1,AS270/AR270),1)</x:f>
        <x:v>0.2879667083563421</x:v>
      </x:c>
      <x:c r="AU270" s="10" t="n">
        <x:f>AB270/INDEX(tun_RepScale,G270)</x:f>
        <x:v>255.01574721109782</x:v>
      </x:c>
      <x:c r="AV270" s="32" t="n">
        <x:f>AM270*60/tun_SeasonSeconds</x:f>
        <x:v>3551.056209548678</x:v>
      </x:c>
    </x:row>
    <x:row r="271">
      <x:c r="A271" s="8" t="n">
        <x:f>A270+1</x:f>
        <x:v>268</x:v>
      </x:c>
      <x:c r="B271" s="9" t="n">
        <x:f>A271*tun_SeasonSeconds/60</x:f>
        <x:v>67</x:v>
      </x:c>
      <x:c r="C271" s="9" t="n">
        <x:f>A271/4</x:f>
        <x:v>67</x:v>
      </x:c>
      <x:c r="D271" s="8" t="n">
        <x:f>IF(MOD(A271,4)=0,1,0)</x:f>
        <x:v>1</x:v>
      </x:c>
      <x:c r="E271" s="8" t="n">
        <x:f>IF(AND(F270&lt;=9,AS270&gt;=AR270),1,0)</x:f>
        <x:v>0</x:v>
      </x:c>
      <x:c r="F271" s="8" t="n">
        <x:f>MIN(10,F270+E271)</x:f>
        <x:v>5</x:v>
      </x:c>
      <x:c r="G271" s="8" t="n">
        <x:f>MIN(F271,9)+1</x:f>
        <x:v>6</x:v>
      </x:c>
      <x:c r="H271" s="8" t="n">
        <x:f>IF(F271&lt;=9,1,0)</x:f>
        <x:v>1</x:v>
      </x:c>
      <x:c r="I271" s="9" t="n">
        <x:f>MIN(10,F270+IF(AR270&gt;0,MIN(1,AS270/AR270),1))</x:f>
        <x:v>5.287966708356342</x:v>
      </x:c>
      <x:c r="J271" s="32" t="n">
        <x:f>INDEX(tun_FoodCap,G271)*Arch_FoodCap*EXP(tun_CapsByProject*SUMPRODUCT((Cap_Point&lt;=I271)*(Cap_Kind="Food")*Cap_Ln))</x:f>
        <x:v>372.89883457776335</x:v>
      </x:c>
      <x:c r="K271" s="32" t="n">
        <x:f>J271*MIN(1,tun_LeanBase*EXP(tun_CapsByProject*SUMPRODUCT((Cap_Point&lt;=I271)*(Cap_Kind="Lean")*Cap_Ln)))</x:f>
        <x:v>372.89883457776335</x:v>
      </x:c>
      <x:c r="L271" s="10" t="n">
        <x:f>INDEX(tun_HousingCap,G271)*EXP(tun_CapsByProject*SUMPRODUCT((Cap_Point&lt;=I271)*(Cap_Kind="Housing")*Cap_Ln))</x:f>
        <x:v>1981.8141431314853</x:v>
      </x:c>
      <x:c r="M271" s="10" t="n">
        <x:f>INDEX(tun_GroupCap,G271)*tun_CohesionFactor*EXP(tun_CapsByProject*SUMPRODUCT((Cap_Point&lt;=I271)*(Cap_Kind="Group")*Cap_Ln))</x:f>
        <x:v>50000.00000000004</x:v>
      </x:c>
      <x:c r="N271" s="32" t="n">
        <x:f>MIN(J271,L271,M271)</x:f>
        <x:v>372.89883457776335</x:v>
      </x:c>
      <x:c r="O271" s="10" t="n">
        <x:f>AE270*N271</x:f>
        <x:v>1491.5953383110534</x:v>
      </x:c>
      <x:c r="P271" s="9" t="n">
        <x:f>MIN(1,(AB270/(AE270*IF(tun_GroupInCrowding=1,N271,MIN(J271,L271))))^tun_CrowdingExp)</x:f>
        <x:v>0.39022574214378264</x:v>
      </x:c>
      <x:c r="Q271" s="9" t="n">
        <x:f>IF(D271=1,INDEX(tun_WinterMult,G271),1)</x:f>
        <x:v>1.15</x:v>
      </x:c>
      <x:c r="R271" s="9" t="n">
        <x:f>H271*Z270*tun_WomenShare*tun_BaseFertility*INDEX(tun_FertMult,G271)*Arch_Fertility*(1-P271)</x:f>
        <x:v>20.72677851604214</x:v>
      </x:c>
      <x:c r="S271" s="9" t="n">
        <x:f>H271*Y270*INDEX(tun_MortChild,G271)/4*Q271</x:f>
        <x:v>5.59428451791222</x:v>
      </x:c>
      <x:c r="T271" s="9" t="n">
        <x:f>H271*Z270*INDEX(tun_MortAdult,G271)*Arch_AdultMort/4*Q271</x:f>
        <x:v>1.4351054925213431</x:v>
      </x:c>
      <x:c r="U271" s="9" t="n">
        <x:f>H271*AA270*INDEX(tun_MortElder,G271)/4*Q271</x:f>
        <x:v>1.8871050781490433</x:v>
      </x:c>
      <x:c r="V271" s="9" t="n">
        <x:f>H271*MAX(0,AB270-O271)*tun_OvercapLoss</x:f>
        <x:v>0</x:v>
      </x:c>
      <x:c r="W271" s="9" t="n">
        <x:f>H271*Y270/(tun_ChildYears*4)</x:f>
        <x:v>11.981761657554552</x:v>
      </x:c>
      <x:c r="X271" s="9" t="n">
        <x:f>H271*Z270/(tun_AdultYears*4)</x:f>
        <x:v>3.83384890809148</x:v>
      </x:c>
      <x:c r="Y271" s="32" t="n">
        <x:f>Y270+R271-S271-W271-Y270*V271/AB270</x:f>
        <x:v>674.1293851636302</x:v>
      </x:c>
      <x:c r="Z271" s="32" t="n">
        <x:f>Z270+W271-X271-T271-Z270*V271/AB270</x:f>
        <x:v>482.11007186028525</x:v>
      </x:c>
      <x:c r="AA271" s="32" t="n">
        <x:f>AA270+X271-U271-AA270*V271/AB270</x:f>
        <x:v>130.64956245903323</x:v>
      </x:c>
      <x:c r="AB271" s="10" t="n">
        <x:f>Y271+Z271+AA271</x:f>
        <x:v>1286.8890194829487</x:v>
      </x:c>
      <x:c r="AC271" s="8" t="n">
        <x:f>IF(AND(tun_WinterTrigger=1,D271=1,AB270/AE270&gt;=K271),1,0)</x:f>
        <x:v>0</x:v>
      </x:c>
      <x:c r="AD271" s="8" t="n">
        <x:f>H271*IF(AND(OR(AB270/AE270&gt;=tun_FissionTrigger*N271,AC271=1),AB270/AE270*tun_DaughterShare&gt;=tun_MinDaughter),MAX(1,ROUND(AE270*tun_FissionRate,0)),0)</x:f>
        <x:v>1</x:v>
      </x:c>
      <x:c r="AE271" s="8" t="n">
        <x:f>IF(H271=1,MAX(1,MIN(INDEX(tun_Smax,G271),AE270+AD271)),AE270)</x:f>
        <x:v>5</x:v>
      </x:c>
      <x:c r="AF271" s="8" t="n">
        <x:f>MAX(0,AE271-AE270)</x:f>
        <x:v>1</x:v>
      </x:c>
      <x:c r="AG271" s="9" t="n">
        <x:f>IF(AF271&gt;0,B271,"")</x:f>
        <x:v>67</x:v>
      </x:c>
      <x:c r="AH271" s="9" t="n">
        <x:f>IF(F271&gt;=1,1,(1+tun_LowTiesShare*(AE271-1))/AE271)</x:f>
        <x:v>1</x:v>
      </x:c>
      <x:c r="AI271" s="32" t="n">
        <x:f>(Z271+tun_ElderCommons*INDEX(LM_Elder,G271)*AA271)*AH271</x:f>
        <x:v>920.3220261937896</x:v>
      </x:c>
      <x:c r="AJ271" s="32" t="n">
        <x:f>H271*tun_CommonsCoef*AI271^tun_CommonsExp*INDEX(LM_Commons,G271)</x:f>
        <x:v>2107.996598281178</x:v>
      </x:c>
      <x:c r="AK271" s="32" t="n">
        <x:f>H271*tun_RoleScale*Arch_Roles*(AE271*(INDEX(tun_ElderRolePerSett,G271)*tun_OutElder*INDEX(LM_Elder,G271)+INDEX(tun_ShamanPerSett,G271)*tun_OutShaman)+Z271*(INDEX(tun_PriestShare,G271)*tun_OutPriest+INDEX(tun_ScribeShare,G271)*tun_OutScribe*INDEX(LM_Scribe,G271)+INDEX(tun_ScholarShare,G271)*tun_OutScholar*INDEX(LM_Scholar,G271)+INDEX(tun_ResearcherShare,G271)*tun_OutResearcher*INDEX(LM_Researcher,G271)))</x:f>
        <x:v>400.5844436933213</x:v>
      </x:c>
      <x:c r="AL271" s="32" t="n">
        <x:f>H271*tun_RoleScale*Arch_Roles*AE271*INDEX(tun_MonasteryPerSett,G271)*tun_OutMonastery*INDEX(LM_Monastery,G271)</x:f>
        <x:v>12.58570617804182</x:v>
      </x:c>
      <x:c r="AM271" s="32" t="n">
        <x:f>(AJ271+AK271+AL271)/4*INDEX(LM_All,G271)*INDEX(tun_Boon,G271)*Arch_Insight</x:f>
        <x:v>908.502793440669</x:v>
      </x:c>
      <x:c r="AN271" s="32" t="n">
        <x:f>H271*(tun_KHPerAdult*Z271+tun_KHOfCommons*AJ271/4*INDEX(LM_All,G271))*tun_KHUsable*Arch_KH</x:f>
        <x:v>164.49070408911024</x:v>
      </x:c>
      <x:c r="AO271" s="32" t="n">
        <x:f>MIN(AP270+AN271,AM271*tun_KHMaxRatio)</x:f>
        <x:v>164.49070408911024</x:v>
      </x:c>
      <x:c r="AP271" s="32" t="n">
        <x:f>AP270+AN271-AO271</x:f>
        <x:v>0</x:v>
      </x:c>
      <x:c r="AQ271" s="32" t="n">
        <x:f>AM271+AO271</x:f>
        <x:v>1072.9934975297792</x:v>
      </x:c>
      <x:c r="AR271" s="10" t="n">
        <x:f>IF(H271=1,INDEX(tun_Req,G271),0)</x:f>
        <x:v>88783.394528</x:v>
      </x:c>
      <x:c r="AS271" s="32" t="n">
        <x:f>IF(H271=1,IF(E271=1,AS270-AR270,AS270)+AQ271,0)</x:f>
        <x:v>26639.655376460414</x:v>
      </x:c>
      <x:c r="AT271" s="11" t="n">
        <x:f>IF(AR271&gt;0,MIN(1,AS271/AR271),1)</x:f>
        <x:v>0.3000522284384942</x:v>
      </x:c>
      <x:c r="AU271" s="10" t="n">
        <x:f>AB271/INDEX(tun_RepScale,G271)</x:f>
        <x:v>257.37780389658974</x:v>
      </x:c>
      <x:c r="AV271" s="32" t="n">
        <x:f>AM271*60/tun_SeasonSeconds</x:f>
        <x:v>3634.011173762676</x:v>
      </x:c>
    </x:row>
    <x:row r="272">
      <x:c r="A272" s="8" t="n">
        <x:f>A271+1</x:f>
        <x:v>269</x:v>
      </x:c>
      <x:c r="B272" s="9" t="n">
        <x:f>A272*tun_SeasonSeconds/60</x:f>
        <x:v>67.25</x:v>
      </x:c>
      <x:c r="C272" s="9" t="n">
        <x:f>A272/4</x:f>
        <x:v>67.25</x:v>
      </x:c>
      <x:c r="D272" s="8" t="n">
        <x:f>IF(MOD(A272,4)=0,1,0)</x:f>
        <x:v>0</x:v>
      </x:c>
      <x:c r="E272" s="8" t="n">
        <x:f>IF(AND(F271&lt;=9,AS271&gt;=AR271),1,0)</x:f>
        <x:v>0</x:v>
      </x:c>
      <x:c r="F272" s="8" t="n">
        <x:f>MIN(10,F271+E272)</x:f>
        <x:v>5</x:v>
      </x:c>
      <x:c r="G272" s="8" t="n">
        <x:f>MIN(F272,9)+1</x:f>
        <x:v>6</x:v>
      </x:c>
      <x:c r="H272" s="8" t="n">
        <x:f>IF(F272&lt;=9,1,0)</x:f>
        <x:v>1</x:v>
      </x:c>
      <x:c r="I272" s="9" t="n">
        <x:f>MIN(10,F271+IF(AR271&gt;0,MIN(1,AS271/AR271),1))</x:f>
        <x:v>5.300052228438494</x:v>
      </x:c>
      <x:c r="J272" s="32" t="n">
        <x:f>INDEX(tun_FoodCap,G272)*Arch_FoodCap*EXP(tun_CapsByProject*SUMPRODUCT((Cap_Point&lt;=I272)*(Cap_Kind="Food")*Cap_Ln))</x:f>
        <x:v>391.5437763066515</x:v>
      </x:c>
      <x:c r="K272" s="32" t="n">
        <x:f>J272*MIN(1,tun_LeanBase*EXP(tun_CapsByProject*SUMPRODUCT((Cap_Point&lt;=I272)*(Cap_Kind="Lean")*Cap_Ln)))</x:f>
        <x:v>391.5437763066515</x:v>
      </x:c>
      <x:c r="L272" s="10" t="n">
        <x:f>INDEX(tun_HousingCap,G272)*EXP(tun_CapsByProject*SUMPRODUCT((Cap_Point&lt;=I272)*(Cap_Kind="Housing")*Cap_Ln))</x:f>
        <x:v>1981.8141431314853</x:v>
      </x:c>
      <x:c r="M272" s="10" t="n">
        <x:f>INDEX(tun_GroupCap,G272)*tun_CohesionFactor*EXP(tun_CapsByProject*SUMPRODUCT((Cap_Point&lt;=I272)*(Cap_Kind="Group")*Cap_Ln))</x:f>
        <x:v>50000.00000000004</x:v>
      </x:c>
      <x:c r="N272" s="32" t="n">
        <x:f>MIN(J272,L272,M272)</x:f>
        <x:v>391.5437763066515</x:v>
      </x:c>
      <x:c r="O272" s="10" t="n">
        <x:f>AE271*N272</x:f>
        <x:v>1957.7188815332577</x:v>
      </x:c>
      <x:c r="P272" s="9" t="n">
        <x:f>MIN(1,(AB271/(AE271*IF(tun_GroupInCrowding=1,N272,MIN(J272,L272))))^tun_CrowdingExp)</x:f>
        <x:v>0.08067604407751525</x:v>
      </x:c>
      <x:c r="Q272" s="9" t="n">
        <x:f>IF(D272=1,INDEX(tun_WinterMult,G272),1)</x:f>
        <x:v>1</x:v>
      </x:c>
      <x:c r="R272" s="9" t="n">
        <x:f>H272*Z271*tun_WomenShare*tun_BaseFertility*INDEX(tun_FertMult,G272)*Arch_Fertility*(1-P272)</x:f>
        <x:v>31.689896699365967</x:v>
      </x:c>
      <x:c r="S272" s="9" t="n">
        <x:f>H272*Y271*INDEX(tun_MortChild,G272)/4*Q272</x:f>
        <x:v>4.88743804243632</x:v>
      </x:c>
      <x:c r="T272" s="9" t="n">
        <x:f>H272*Z271*INDEX(tun_MortAdult,G272)*Arch_AdultMort/4*Q272</x:f>
        <x:v>1.265538938633249</x:v>
      </x:c>
      <x:c r="U272" s="9" t="n">
        <x:f>H272*AA271*INDEX(tun_MortElder,G272)/4*Q272</x:f>
        <x:v>1.6657819213526737</x:v>
      </x:c>
      <x:c r="V272" s="9" t="n">
        <x:f>H272*MAX(0,AB271-O272)*tun_OvercapLoss</x:f>
        <x:v>0</x:v>
      </x:c>
      <x:c r="W272" s="9" t="n">
        <x:f>H272*Y271/(tun_ChildYears*4)</x:f>
        <x:v>12.038024735064825</x:v>
      </x:c>
      <x:c r="X272" s="9" t="n">
        <x:f>H272*Z271/(tun_AdultYears*4)</x:f>
        <x:v>3.8879844504861714</x:v>
      </x:c>
      <x:c r="Y272" s="32" t="n">
        <x:f>Y271+R272-S272-W272-Y271*V272/AB271</x:f>
        <x:v>688.893819085495</x:v>
      </x:c>
      <x:c r="Z272" s="32" t="n">
        <x:f>Z271+W272-X272-T272-Z271*V272/AB271</x:f>
        <x:v>488.99457320623065</x:v>
      </x:c>
      <x:c r="AA272" s="32" t="n">
        <x:f>AA271+X272-U272-AA271*V272/AB271</x:f>
        <x:v>132.87176498816672</x:v>
      </x:c>
      <x:c r="AB272" s="10" t="n">
        <x:f>Y272+Z272+AA272</x:f>
        <x:v>1310.7601572798924</x:v>
      </x:c>
      <x:c r="AC272" s="8" t="n">
        <x:f>IF(AND(tun_WinterTrigger=1,D272=1,AB271/AE271&gt;=K272),1,0)</x:f>
        <x:v>0</x:v>
      </x:c>
      <x:c r="AD272" s="8" t="n">
        <x:f>H272*IF(AND(OR(AB271/AE271&gt;=tun_FissionTrigger*N272,AC272=1),AB271/AE271*tun_DaughterShare&gt;=tun_MinDaughter),MAX(1,ROUND(AE271*tun_FissionRate,0)),0)</x:f>
        <x:v>0</x:v>
      </x:c>
      <x:c r="AE272" s="8" t="n">
        <x:f>IF(H272=1,MAX(1,MIN(INDEX(tun_Smax,G272),AE271+AD272)),AE271)</x:f>
        <x:v>5</x:v>
      </x:c>
      <x:c r="AF272" s="8" t="n">
        <x:f>MAX(0,AE272-AE271)</x:f>
        <x:v>0</x:v>
      </x:c>
      <x:c r="AG272" s="9" t="str">
        <x:f>IF(AF272&gt;0,B272,"")</x:f>
      </x:c>
      <x:c r="AH272" s="9" t="n">
        <x:f>IF(F272&gt;=1,1,(1+tun_LowTiesShare*(AE272-1))/AE272)</x:f>
        <x:v>1</x:v>
      </x:c>
      <x:c r="AI272" s="32" t="n">
        <x:f>(Z272+tun_ElderCommons*INDEX(LM_Elder,G272)*AA272)*AH272</x:f>
        <x:v>934.6600214121066</x:v>
      </x:c>
      <x:c r="AJ272" s="32" t="n">
        <x:f>H272*tun_CommonsCoef*AI272^tun_CommonsExp*INDEX(LM_Commons,G272)</x:f>
        <x:v>2135.879162271824</x:v>
      </x:c>
      <x:c r="AK272" s="32" t="n">
        <x:f>H272*tun_RoleScale*Arch_Roles*(AE272*(INDEX(tun_ElderRolePerSett,G272)*tun_OutElder*INDEX(LM_Elder,G272)+INDEX(tun_ShamanPerSett,G272)*tun_OutShaman)+Z272*(INDEX(tun_PriestShare,G272)*tun_OutPriest+INDEX(tun_ScribeShare,G272)*tun_OutScribe*INDEX(LM_Scribe,G272)+INDEX(tun_ScholarShare,G272)*tun_OutScholar*INDEX(LM_Scholar,G272)+INDEX(tun_ResearcherShare,G272)*tun_OutResearcher*INDEX(LM_Researcher,G272)))</x:f>
        <x:v>404.49004073618653</x:v>
      </x:c>
      <x:c r="AL272" s="32" t="n">
        <x:f>H272*tun_RoleScale*Arch_Roles*AE272*INDEX(tun_MonasteryPerSett,G272)*tun_OutMonastery*INDEX(LM_Monastery,G272)</x:f>
        <x:v>12.58570617804182</x:v>
      </x:c>
      <x:c r="AM272" s="32" t="n">
        <x:f>(AJ272+AK272+AL272)/4*INDEX(LM_All,G272)*INDEX(tun_Boon,G272)*Arch_Insight</x:f>
        <x:v>919.9576617544961</x:v>
      </x:c>
      <x:c r="AN272" s="32" t="n">
        <x:f>H272*(tun_KHPerAdult*Z272+tun_KHOfCommons*AJ272/4*INDEX(LM_All,G272))*tun_KHUsable*Arch_KH</x:f>
        <x:v>166.66642988789508</x:v>
      </x:c>
      <x:c r="AO272" s="32" t="n">
        <x:f>MIN(AP271+AN272,AM272*tun_KHMaxRatio)</x:f>
        <x:v>166.66642988789508</x:v>
      </x:c>
      <x:c r="AP272" s="32" t="n">
        <x:f>AP271+AN272-AO272</x:f>
        <x:v>0</x:v>
      </x:c>
      <x:c r="AQ272" s="32" t="n">
        <x:f>AM272+AO272</x:f>
        <x:v>1086.6240916423912</x:v>
      </x:c>
      <x:c r="AR272" s="10" t="n">
        <x:f>IF(H272=1,INDEX(tun_Req,G272),0)</x:f>
        <x:v>88783.394528</x:v>
      </x:c>
      <x:c r="AS272" s="32" t="n">
        <x:f>IF(H272=1,IF(E272=1,AS271-AR271,AS271)+AQ272,0)</x:f>
        <x:v>27726.279468102806</x:v>
      </x:c>
      <x:c r="AT272" s="11" t="n">
        <x:f>IF(AR272&gt;0,MIN(1,AS272/AR272),1)</x:f>
        <x:v>0.3122912749113084</x:v>
      </x:c>
      <x:c r="AU272" s="10" t="n">
        <x:f>AB272/INDEX(tun_RepScale,G272)</x:f>
        <x:v>262.1520314559785</x:v>
      </x:c>
      <x:c r="AV272" s="32" t="n">
        <x:f>AM272*60/tun_SeasonSeconds</x:f>
        <x:v>3679.8306470179846</x:v>
      </x:c>
    </x:row>
    <x:row r="273">
      <x:c r="A273" s="8" t="n">
        <x:f>A272+1</x:f>
        <x:v>270</x:v>
      </x:c>
      <x:c r="B273" s="9" t="n">
        <x:f>A273*tun_SeasonSeconds/60</x:f>
        <x:v>67.5</x:v>
      </x:c>
      <x:c r="C273" s="9" t="n">
        <x:f>A273/4</x:f>
        <x:v>67.5</x:v>
      </x:c>
      <x:c r="D273" s="8" t="n">
        <x:f>IF(MOD(A273,4)=0,1,0)</x:f>
        <x:v>0</x:v>
      </x:c>
      <x:c r="E273" s="8" t="n">
        <x:f>IF(AND(F272&lt;=9,AS272&gt;=AR272),1,0)</x:f>
        <x:v>0</x:v>
      </x:c>
      <x:c r="F273" s="8" t="n">
        <x:f>MIN(10,F272+E273)</x:f>
        <x:v>5</x:v>
      </x:c>
      <x:c r="G273" s="8" t="n">
        <x:f>MIN(F273,9)+1</x:f>
        <x:v>6</x:v>
      </x:c>
      <x:c r="H273" s="8" t="n">
        <x:f>IF(F273&lt;=9,1,0)</x:f>
        <x:v>1</x:v>
      </x:c>
      <x:c r="I273" s="9" t="n">
        <x:f>MIN(10,F272+IF(AR272&gt;0,MIN(1,AS272/AR272),1))</x:f>
        <x:v>5.312291274911308</x:v>
      </x:c>
      <x:c r="J273" s="32" t="n">
        <x:f>INDEX(tun_FoodCap,G273)*Arch_FoodCap*EXP(tun_CapsByProject*SUMPRODUCT((Cap_Point&lt;=I273)*(Cap_Kind="Food")*Cap_Ln))</x:f>
        <x:v>391.5437763066515</x:v>
      </x:c>
      <x:c r="K273" s="32" t="n">
        <x:f>J273*MIN(1,tun_LeanBase*EXP(tun_CapsByProject*SUMPRODUCT((Cap_Point&lt;=I273)*(Cap_Kind="Lean")*Cap_Ln)))</x:f>
        <x:v>391.5437763066515</x:v>
      </x:c>
      <x:c r="L273" s="10" t="n">
        <x:f>INDEX(tun_HousingCap,G273)*EXP(tun_CapsByProject*SUMPRODUCT((Cap_Point&lt;=I273)*(Cap_Kind="Housing")*Cap_Ln))</x:f>
        <x:v>1981.8141431314853</x:v>
      </x:c>
      <x:c r="M273" s="10" t="n">
        <x:f>INDEX(tun_GroupCap,G273)*tun_CohesionFactor*EXP(tun_CapsByProject*SUMPRODUCT((Cap_Point&lt;=I273)*(Cap_Kind="Group")*Cap_Ln))</x:f>
        <x:v>50000.00000000004</x:v>
      </x:c>
      <x:c r="N273" s="32" t="n">
        <x:f>MIN(J273,L273,M273)</x:f>
        <x:v>391.5437763066515</x:v>
      </x:c>
      <x:c r="O273" s="10" t="n">
        <x:f>AE272*N273</x:f>
        <x:v>1957.7188815332577</x:v>
      </x:c>
      <x:c r="P273" s="9" t="n">
        <x:f>MIN(1,(AB272/(AE272*IF(tun_GroupInCrowding=1,N273,MIN(J273,L273))))^tun_CrowdingExp)</x:f>
        <x:v>0.09008187435592917</x:v>
      </x:c>
      <x:c r="Q273" s="9" t="n">
        <x:f>IF(D273=1,INDEX(tun_WinterMult,G273),1)</x:f>
        <x:v>1</x:v>
      </x:c>
      <x:c r="R273" s="9" t="n">
        <x:f>H273*Z272*tun_WomenShare*tun_BaseFertility*INDEX(tun_FertMult,G273)*Arch_Fertility*(1-P273)</x:f>
        <x:v>31.81356932338841</x:v>
      </x:c>
      <x:c r="S273" s="9" t="n">
        <x:f>H273*Y272*INDEX(tun_MortChild,G273)/4*Q273</x:f>
        <x:v>4.994480188369839</x:v>
      </x:c>
      <x:c r="T273" s="9" t="n">
        <x:f>H273*Z272*INDEX(tun_MortAdult,G273)*Arch_AdultMort/4*Q273</x:f>
        <x:v>1.2836107546663555</x:v>
      </x:c>
      <x:c r="U273" s="9" t="n">
        <x:f>H273*AA272*INDEX(tun_MortElder,G273)/4*Q273</x:f>
        <x:v>1.6941150035991255</x:v>
      </x:c>
      <x:c r="V273" s="9" t="n">
        <x:f>H273*MAX(0,AB272-O273)*tun_OvercapLoss</x:f>
        <x:v>0</x:v>
      </x:c>
      <x:c r="W273" s="9" t="n">
        <x:f>H273*Y272/(tun_ChildYears*4)</x:f>
        <x:v>12.30167534081241</x:v>
      </x:c>
      <x:c r="X273" s="9" t="n">
        <x:f>H273*Z272/(tun_AdultYears*4)</x:f>
        <x:v>3.9435046226308925</x:v>
      </x:c>
      <x:c r="Y273" s="32" t="n">
        <x:f>Y272+R273-S273-W273-Y272*V273/AB272</x:f>
        <x:v>703.4112328797012</x:v>
      </x:c>
      <x:c r="Z273" s="32" t="n">
        <x:f>Z272+W273-X273-T273-Z272*V273/AB272</x:f>
        <x:v>496.06913316974584</x:v>
      </x:c>
      <x:c r="AA273" s="32" t="n">
        <x:f>AA272+X273-U273-AA272*V273/AB272</x:f>
        <x:v>135.12115460719846</x:v>
      </x:c>
      <x:c r="AB273" s="10" t="n">
        <x:f>Y273+Z273+AA273</x:f>
        <x:v>1334.6015206566453</x:v>
      </x:c>
      <x:c r="AC273" s="8" t="n">
        <x:f>IF(AND(tun_WinterTrigger=1,D273=1,AB272/AE272&gt;=K273),1,0)</x:f>
        <x:v>0</x:v>
      </x:c>
      <x:c r="AD273" s="8" t="n">
        <x:f>H273*IF(AND(OR(AB272/AE272&gt;=tun_FissionTrigger*N273,AC273=1),AB272/AE272*tun_DaughterShare&gt;=tun_MinDaughter),MAX(1,ROUND(AE272*tun_FissionRate,0)),0)</x:f>
        <x:v>0</x:v>
      </x:c>
      <x:c r="AE273" s="8" t="n">
        <x:f>IF(H273=1,MAX(1,MIN(INDEX(tun_Smax,G273),AE272+AD273)),AE272)</x:f>
        <x:v>5</x:v>
      </x:c>
      <x:c r="AF273" s="8" t="n">
        <x:f>MAX(0,AE273-AE272)</x:f>
        <x:v>0</x:v>
      </x:c>
      <x:c r="AG273" s="9" t="str">
        <x:f>IF(AF273&gt;0,B273,"")</x:f>
      </x:c>
      <x:c r="AH273" s="9" t="n">
        <x:f>IF(F273&gt;=1,1,(1+tun_LowTiesShare*(AE273-1))/AE273)</x:f>
        <x:v>1</x:v>
      </x:c>
      <x:c r="AI273" s="32" t="n">
        <x:f>(Z273+tun_ElderCommons*INDEX(LM_Elder,G273)*AA273)*AH273</x:f>
        <x:v>949.2792635196779</x:v>
      </x:c>
      <x:c r="AJ273" s="32" t="n">
        <x:f>H273*tun_CommonsCoef*AI273^tun_CommonsExp*INDEX(LM_Commons,G273)</x:f>
        <x:v>2164.242678018158</x:v>
      </x:c>
      <x:c r="AK273" s="32" t="n">
        <x:f>H273*tun_RoleScale*Arch_Roles*(AE273*(INDEX(tun_ElderRolePerSett,G273)*tun_OutElder*INDEX(LM_Elder,G273)+INDEX(tun_ShamanPerSett,G273)*tun_OutShaman)+Z273*(INDEX(tun_PriestShare,G273)*tun_OutPriest+INDEX(tun_ScribeShare,G273)*tun_OutScribe*INDEX(LM_Scribe,G273)+INDEX(tun_ScholarShare,G273)*tun_OutScholar*INDEX(LM_Scholar,G273)+INDEX(tun_ResearcherShare,G273)*tun_OutResearcher*INDEX(LM_Researcher,G273)))</x:f>
        <x:v>408.50345856917886</x:v>
      </x:c>
      <x:c r="AL273" s="32" t="n">
        <x:f>H273*tun_RoleScale*Arch_Roles*AE273*INDEX(tun_MonasteryPerSett,G273)*tun_OutMonastery*INDEX(LM_Monastery,G273)</x:f>
        <x:v>12.58570617804182</x:v>
      </x:c>
      <x:c r="AM273" s="32" t="n">
        <x:f>(AJ273+AK273+AL273)/4*INDEX(LM_All,G273)*INDEX(tun_Boon,G273)*Arch_Insight</x:f>
        <x:v>931.624694338285</x:v>
      </x:c>
      <x:c r="AN273" s="32" t="n">
        <x:f>H273*(tun_KHPerAdult*Z273+tun_KHOfCommons*AJ273/4*INDEX(LM_All,G273))*tun_KHUsable*Arch_KH</x:f>
        <x:v>168.87968520308922</x:v>
      </x:c>
      <x:c r="AO273" s="32" t="n">
        <x:f>MIN(AP272+AN273,AM273*tun_KHMaxRatio)</x:f>
        <x:v>168.87968520308922</x:v>
      </x:c>
      <x:c r="AP273" s="32" t="n">
        <x:f>AP272+AN273-AO273</x:f>
        <x:v>0</x:v>
      </x:c>
      <x:c r="AQ273" s="32" t="n">
        <x:f>AM273+AO273</x:f>
        <x:v>1100.5043795413742</x:v>
      </x:c>
      <x:c r="AR273" s="10" t="n">
        <x:f>IF(H273=1,INDEX(tun_Req,G273),0)</x:f>
        <x:v>88783.394528</x:v>
      </x:c>
      <x:c r="AS273" s="32" t="n">
        <x:f>IF(H273=1,IF(E273=1,AS272-AR272,AS272)+AQ273,0)</x:f>
        <x:v>28826.78384764418</x:v>
      </x:c>
      <x:c r="AT273" s="11" t="n">
        <x:f>IF(AR273&gt;0,MIN(1,AS273/AR273),1)</x:f>
        <x:v>0.3246866601676618</x:v>
      </x:c>
      <x:c r="AU273" s="10" t="n">
        <x:f>AB273/INDEX(tun_RepScale,G273)</x:f>
        <x:v>266.9203041313291</x:v>
      </x:c>
      <x:c r="AV273" s="32" t="n">
        <x:f>AM273*60/tun_SeasonSeconds</x:f>
        <x:v>3726.49877735314</x:v>
      </x:c>
    </x:row>
    <x:row r="274">
      <x:c r="A274" s="8" t="n">
        <x:f>A273+1</x:f>
        <x:v>271</x:v>
      </x:c>
      <x:c r="B274" s="9" t="n">
        <x:f>A274*tun_SeasonSeconds/60</x:f>
        <x:v>67.75</x:v>
      </x:c>
      <x:c r="C274" s="9" t="n">
        <x:f>A274/4</x:f>
        <x:v>67.75</x:v>
      </x:c>
      <x:c r="D274" s="8" t="n">
        <x:f>IF(MOD(A274,4)=0,1,0)</x:f>
        <x:v>0</x:v>
      </x:c>
      <x:c r="E274" s="8" t="n">
        <x:f>IF(AND(F273&lt;=9,AS273&gt;=AR273),1,0)</x:f>
        <x:v>0</x:v>
      </x:c>
      <x:c r="F274" s="8" t="n">
        <x:f>MIN(10,F273+E274)</x:f>
        <x:v>5</x:v>
      </x:c>
      <x:c r="G274" s="8" t="n">
        <x:f>MIN(F274,9)+1</x:f>
        <x:v>6</x:v>
      </x:c>
      <x:c r="H274" s="8" t="n">
        <x:f>IF(F274&lt;=9,1,0)</x:f>
        <x:v>1</x:v>
      </x:c>
      <x:c r="I274" s="9" t="n">
        <x:f>MIN(10,F273+IF(AR273&gt;0,MIN(1,AS273/AR273),1))</x:f>
        <x:v>5.324686660167662</x:v>
      </x:c>
      <x:c r="J274" s="32" t="n">
        <x:f>INDEX(tun_FoodCap,G274)*Arch_FoodCap*EXP(tun_CapsByProject*SUMPRODUCT((Cap_Point&lt;=I274)*(Cap_Kind="Food")*Cap_Ln))</x:f>
        <x:v>391.5437763066515</x:v>
      </x:c>
      <x:c r="K274" s="32" t="n">
        <x:f>J274*MIN(1,tun_LeanBase*EXP(tun_CapsByProject*SUMPRODUCT((Cap_Point&lt;=I274)*(Cap_Kind="Lean")*Cap_Ln)))</x:f>
        <x:v>391.5437763066515</x:v>
      </x:c>
      <x:c r="L274" s="10" t="n">
        <x:f>INDEX(tun_HousingCap,G274)*EXP(tun_CapsByProject*SUMPRODUCT((Cap_Point&lt;=I274)*(Cap_Kind="Housing")*Cap_Ln))</x:f>
        <x:v>1981.8141431314853</x:v>
      </x:c>
      <x:c r="M274" s="10" t="n">
        <x:f>INDEX(tun_GroupCap,G274)*tun_CohesionFactor*EXP(tun_CapsByProject*SUMPRODUCT((Cap_Point&lt;=I274)*(Cap_Kind="Group")*Cap_Ln))</x:f>
        <x:v>50000.00000000004</x:v>
      </x:c>
      <x:c r="N274" s="32" t="n">
        <x:f>MIN(J274,L274,M274)</x:f>
        <x:v>391.5437763066515</x:v>
      </x:c>
      <x:c r="O274" s="10" t="n">
        <x:f>AE273*N274</x:f>
        <x:v>1957.7188815332577</x:v>
      </x:c>
      <x:c r="P274" s="9" t="n">
        <x:f>MIN(1,(AB273/(AE273*IF(tun_GroupInCrowding=1,N274,MIN(J274,L274))))^tun_CrowdingExp)</x:f>
        <x:v>0.10037087618323427</x:v>
      </x:c>
      <x:c r="Q274" s="9" t="n">
        <x:f>IF(D274=1,INDEX(tun_WinterMult,G274),1)</x:f>
        <x:v>1</x:v>
      </x:c>
      <x:c r="R274" s="9" t="n">
        <x:f>H274*Z273*tun_WomenShare*tun_BaseFertility*INDEX(tun_FertMult,G274)*Arch_Fertility*(1-P274)</x:f>
        <x:v>31.90889413326193</x:v>
      </x:c>
      <x:c r="S274" s="9" t="n">
        <x:f>H274*Y273*INDEX(tun_MortChild,G274)/4*Q274</x:f>
        <x:v>5.099731438377834</x:v>
      </x:c>
      <x:c r="T274" s="9" t="n">
        <x:f>H274*Z273*INDEX(tun_MortAdult,G274)*Arch_AdultMort/4*Q274</x:f>
        <x:v>1.3021814745705829</x:v>
      </x:c>
      <x:c r="U274" s="9" t="n">
        <x:f>H274*AA273*INDEX(tun_MortElder,G274)/4*Q274</x:f>
        <x:v>1.7227947212417802</x:v>
      </x:c>
      <x:c r="V274" s="9" t="n">
        <x:f>H274*MAX(0,AB273-O274)*tun_OvercapLoss</x:f>
        <x:v>0</x:v>
      </x:c>
      <x:c r="W274" s="9" t="n">
        <x:f>H274*Y273/(tun_ChildYears*4)</x:f>
        <x:v>12.560914872851807</x:v>
      </x:c>
      <x:c r="X274" s="9" t="n">
        <x:f>H274*Z273/(tun_AdultYears*4)</x:f>
        <x:v>4.000557525562466</x:v>
      </x:c>
      <x:c r="Y274" s="32" t="n">
        <x:f>Y273+R274-S274-W274-Y273*V274/AB273</x:f>
        <x:v>717.6594807017335</x:v>
      </x:c>
      <x:c r="Z274" s="32" t="n">
        <x:f>Z273+W274-X274-T274-Z273*V274/AB273</x:f>
        <x:v>503.3273090424646</x:v>
      </x:c>
      <x:c r="AA274" s="32" t="n">
        <x:f>AA273+X274-U274-AA273*V274/AB273</x:f>
        <x:v>137.39891741151916</x:v>
      </x:c>
      <x:c r="AB274" s="10" t="n">
        <x:f>Y274+Z274+AA274</x:f>
        <x:v>1358.3857071557172</x:v>
      </x:c>
      <x:c r="AC274" s="8" t="n">
        <x:f>IF(AND(tun_WinterTrigger=1,D274=1,AB273/AE273&gt;=K274),1,0)</x:f>
        <x:v>0</x:v>
      </x:c>
      <x:c r="AD274" s="8" t="n">
        <x:f>H274*IF(AND(OR(AB273/AE273&gt;=tun_FissionTrigger*N274,AC274=1),AB273/AE273*tun_DaughterShare&gt;=tun_MinDaughter),MAX(1,ROUND(AE273*tun_FissionRate,0)),0)</x:f>
        <x:v>0</x:v>
      </x:c>
      <x:c r="AE274" s="8" t="n">
        <x:f>IF(H274=1,MAX(1,MIN(INDEX(tun_Smax,G274),AE273+AD274)),AE273)</x:f>
        <x:v>5</x:v>
      </x:c>
      <x:c r="AF274" s="8" t="n">
        <x:f>MAX(0,AE274-AE273)</x:f>
        <x:v>0</x:v>
      </x:c>
      <x:c r="AG274" s="9" t="str">
        <x:f>IF(AF274&gt;0,B274,"")</x:f>
      </x:c>
      <x:c r="AH274" s="9" t="n">
        <x:f>IF(F274&gt;=1,1,(1+tun_LowTiesShare*(AE274-1))/AE274)</x:f>
        <x:v>1</x:v>
      </x:c>
      <x:c r="AI274" s="32" t="n">
        <x:f>(Z274+tun_ElderCommons*INDEX(LM_Elder,G274)*AA274)*AH274</x:f>
        <x:v>964.1772880930191</x:v>
      </x:c>
      <x:c r="AJ274" s="32" t="n">
        <x:f>H274*tun_CommonsCoef*AI274^tun_CommonsExp*INDEX(LM_Commons,G274)</x:f>
        <x:v>2193.079748534709</x:v>
      </x:c>
      <x:c r="AK274" s="32" t="n">
        <x:f>H274*tun_RoleScale*Arch_Roles*(AE274*(INDEX(tun_ElderRolePerSett,G274)*tun_OutElder*INDEX(LM_Elder,G274)+INDEX(tun_ShamanPerSett,G274)*tun_OutShaman)+Z274*(INDEX(tun_PriestShare,G274)*tun_OutPriest+INDEX(tun_ScribeShare,G274)*tun_OutScribe*INDEX(LM_Scribe,G274)+INDEX(tun_ScholarShare,G274)*tun_OutScholar*INDEX(LM_Scholar,G274)+INDEX(tun_ResearcherShare,G274)*tun_OutResearcher*INDEX(LM_Researcher,G274)))</x:f>
        <x:v>412.62104222565983</x:v>
      </x:c>
      <x:c r="AL274" s="32" t="n">
        <x:f>H274*tun_RoleScale*Arch_Roles*AE274*INDEX(tun_MonasteryPerSett,G274)*tun_OutMonastery*INDEX(LM_Monastery,G274)</x:f>
        <x:v>12.58570617804182</x:v>
      </x:c>
      <x:c r="AM274" s="32" t="n">
        <x:f>(AJ274+AK274+AL274)/4*INDEX(LM_All,G274)*INDEX(tun_Boon,G274)*Arch_Insight</x:f>
        <x:v>943.4999086195338</x:v>
      </x:c>
      <x:c r="AN274" s="32" t="n">
        <x:f>H274*(tun_KHPerAdult*Z274+tun_KHOfCommons*AJ274/4*INDEX(LM_All,G274))*tun_KHUsable*Arch_KH</x:f>
        <x:v>171.12989283482946</x:v>
      </x:c>
      <x:c r="AO274" s="32" t="n">
        <x:f>MIN(AP273+AN274,AM274*tun_KHMaxRatio)</x:f>
        <x:v>171.12989283482946</x:v>
      </x:c>
      <x:c r="AP274" s="32" t="n">
        <x:f>AP273+AN274-AO274</x:f>
        <x:v>0</x:v>
      </x:c>
      <x:c r="AQ274" s="32" t="n">
        <x:f>AM274+AO274</x:f>
        <x:v>1114.6298014543634</x:v>
      </x:c>
      <x:c r="AR274" s="10" t="n">
        <x:f>IF(H274=1,INDEX(tun_Req,G274),0)</x:f>
        <x:v>88783.394528</x:v>
      </x:c>
      <x:c r="AS274" s="32" t="n">
        <x:f>IF(H274=1,IF(E274=1,AS273-AR273,AS273)+AQ274,0)</x:f>
        <x:v>29941.413649098544</x:v>
      </x:c>
      <x:c r="AT274" s="11" t="n">
        <x:f>IF(AR274&gt;0,MIN(1,AS274/AR274),1)</x:f>
        <x:v>0.3372411452420395</x:v>
      </x:c>
      <x:c r="AU274" s="10" t="n">
        <x:f>AB274/INDEX(tun_RepScale,G274)</x:f>
        <x:v>271.67714143114347</x:v>
      </x:c>
      <x:c r="AV274" s="32" t="n">
        <x:f>AM274*60/tun_SeasonSeconds</x:f>
        <x:v>3773.9996344781352</x:v>
      </x:c>
    </x:row>
    <x:row r="275">
      <x:c r="A275" s="8" t="n">
        <x:f>A274+1</x:f>
        <x:v>272</x:v>
      </x:c>
      <x:c r="B275" s="9" t="n">
        <x:f>A275*tun_SeasonSeconds/60</x:f>
        <x:v>68</x:v>
      </x:c>
      <x:c r="C275" s="9" t="n">
        <x:f>A275/4</x:f>
        <x:v>68</x:v>
      </x:c>
      <x:c r="D275" s="8" t="n">
        <x:f>IF(MOD(A275,4)=0,1,0)</x:f>
        <x:v>1</x:v>
      </x:c>
      <x:c r="E275" s="8" t="n">
        <x:f>IF(AND(F274&lt;=9,AS274&gt;=AR274),1,0)</x:f>
        <x:v>0</x:v>
      </x:c>
      <x:c r="F275" s="8" t="n">
        <x:f>MIN(10,F274+E275)</x:f>
        <x:v>5</x:v>
      </x:c>
      <x:c r="G275" s="8" t="n">
        <x:f>MIN(F275,9)+1</x:f>
        <x:v>6</x:v>
      </x:c>
      <x:c r="H275" s="8" t="n">
        <x:f>IF(F275&lt;=9,1,0)</x:f>
        <x:v>1</x:v>
      </x:c>
      <x:c r="I275" s="9" t="n">
        <x:f>MIN(10,F274+IF(AR274&gt;0,MIN(1,AS274/AR274),1))</x:f>
        <x:v>5.337241145242039</x:v>
      </x:c>
      <x:c r="J275" s="32" t="n">
        <x:f>INDEX(tun_FoodCap,G275)*Arch_FoodCap*EXP(tun_CapsByProject*SUMPRODUCT((Cap_Point&lt;=I275)*(Cap_Kind="Food")*Cap_Ln))</x:f>
        <x:v>391.5437763066515</x:v>
      </x:c>
      <x:c r="K275" s="32" t="n">
        <x:f>J275*MIN(1,tun_LeanBase*EXP(tun_CapsByProject*SUMPRODUCT((Cap_Point&lt;=I275)*(Cap_Kind="Lean")*Cap_Ln)))</x:f>
        <x:v>391.5437763066515</x:v>
      </x:c>
      <x:c r="L275" s="10" t="n">
        <x:f>INDEX(tun_HousingCap,G275)*EXP(tun_CapsByProject*SUMPRODUCT((Cap_Point&lt;=I275)*(Cap_Kind="Housing")*Cap_Ln))</x:f>
        <x:v>1981.8141431314853</x:v>
      </x:c>
      <x:c r="M275" s="10" t="n">
        <x:f>INDEX(tun_GroupCap,G275)*tun_CohesionFactor*EXP(tun_CapsByProject*SUMPRODUCT((Cap_Point&lt;=I275)*(Cap_Kind="Group")*Cap_Ln))</x:f>
        <x:v>50000.00000000004</x:v>
      </x:c>
      <x:c r="N275" s="32" t="n">
        <x:f>MIN(J275,L275,M275)</x:f>
        <x:v>391.5437763066515</x:v>
      </x:c>
      <x:c r="O275" s="10" t="n">
        <x:f>AE274*N275</x:f>
        <x:v>1957.7188815332577</x:v>
      </x:c>
      <x:c r="P275" s="9" t="n">
        <x:f>MIN(1,(AB274/(AE274*IF(tun_GroupInCrowding=1,N275,MIN(J275,L275))))^tun_CrowdingExp)</x:f>
        <x:v>0.11159292033985098</x:v>
      </x:c>
      <x:c r="Q275" s="9" t="n">
        <x:f>IF(D275=1,INDEX(tun_WinterMult,G275),1)</x:f>
        <x:v>1.15</x:v>
      </x:c>
      <x:c r="R275" s="9" t="n">
        <x:f>H275*Z274*tun_WomenShare*tun_BaseFertility*INDEX(tun_FertMult,G275)*Arch_Fertility*(1-P275)</x:f>
        <x:v>31.97190744888264</x:v>
      </x:c>
      <x:c r="S275" s="9" t="n">
        <x:f>H275*Y274*INDEX(tun_MortChild,G275)/4*Q275</x:f>
        <x:v>5.983485920350703</x:v>
      </x:c>
      <x:c r="T275" s="9" t="n">
        <x:f>H275*Z274*INDEX(tun_MortAdult,G275)*Arch_AdultMort/4*Q275</x:f>
        <x:v>1.5194193141719399</x:v>
      </x:c>
      <x:c r="U275" s="9" t="n">
        <x:f>H275*AA274*INDEX(tun_MortElder,G275)/4*Q275</x:f>
        <x:v>2.0146116265463996</x:v>
      </x:c>
      <x:c r="V275" s="9" t="n">
        <x:f>H275*MAX(0,AB274-O275)*tun_OvercapLoss</x:f>
        <x:v>0</x:v>
      </x:c>
      <x:c r="W275" s="9" t="n">
        <x:f>H275*Y274/(tun_ChildYears*4)</x:f>
        <x:v>12.815347869673813</x:v>
      </x:c>
      <x:c r="X275" s="9" t="n">
        <x:f>H275*Z274/(tun_AdultYears*4)</x:f>
        <x:v>4.0590912019553596</x:v>
      </x:c>
      <x:c r="Y275" s="32" t="n">
        <x:f>Y274+R275-S275-W275-Y274*V275/AB274</x:f>
        <x:v>730.8325543605916</x:v>
      </x:c>
      <x:c r="Z275" s="32" t="n">
        <x:f>Z274+W275-X275-T275-Z274*V275/AB274</x:f>
        <x:v>510.5641463960111</x:v>
      </x:c>
      <x:c r="AA275" s="32" t="n">
        <x:f>AA274+X275-U275-AA274*V275/AB274</x:f>
        <x:v>139.44339698692812</x:v>
      </x:c>
      <x:c r="AB275" s="10" t="n">
        <x:f>Y275+Z275+AA275</x:f>
        <x:v>1380.8400977435308</x:v>
      </x:c>
      <x:c r="AC275" s="8" t="n">
        <x:f>IF(AND(tun_WinterTrigger=1,D275=1,AB274/AE274&gt;=K275),1,0)</x:f>
        <x:v>0</x:v>
      </x:c>
      <x:c r="AD275" s="8" t="n">
        <x:f>H275*IF(AND(OR(AB274/AE274&gt;=tun_FissionTrigger*N275,AC275=1),AB274/AE274*tun_DaughterShare&gt;=tun_MinDaughter),MAX(1,ROUND(AE274*tun_FissionRate,0)),0)</x:f>
        <x:v>0</x:v>
      </x:c>
      <x:c r="AE275" s="8" t="n">
        <x:f>IF(H275=1,MAX(1,MIN(INDEX(tun_Smax,G275),AE274+AD275)),AE274)</x:f>
        <x:v>5</x:v>
      </x:c>
      <x:c r="AF275" s="8" t="n">
        <x:f>MAX(0,AE275-AE274)</x:f>
        <x:v>0</x:v>
      </x:c>
      <x:c r="AG275" s="9" t="str">
        <x:f>IF(AF275&gt;0,B275,"")</x:f>
      </x:c>
      <x:c r="AH275" s="9" t="n">
        <x:f>IF(F275&gt;=1,1,(1+tun_LowTiesShare*(AE275-1))/AE275)</x:f>
        <x:v>1</x:v>
      </x:c>
      <x:c r="AI275" s="32" t="n">
        <x:f>(Z275+tun_ElderCommons*INDEX(LM_Elder,G275)*AA275)*AH275</x:f>
        <x:v>978.271518410402</x:v>
      </x:c>
      <x:c r="AJ275" s="32" t="n">
        <x:f>H275*tun_CommonsCoef*AI275^tun_CommonsExp*INDEX(LM_Commons,G275)</x:f>
        <x:v>2220.299494721921</x:v>
      </x:c>
      <x:c r="AK275" s="32" t="n">
        <x:f>H275*tun_RoleScale*Arch_Roles*(AE275*(INDEX(tun_ElderRolePerSett,G275)*tun_OutElder*INDEX(LM_Elder,G275)+INDEX(tun_ShamanPerSett,G275)*tun_OutShaman)+Z275*(INDEX(tun_PriestShare,G275)*tun_OutPriest+INDEX(tun_ScribeShare,G275)*tun_OutScribe*INDEX(LM_Scribe,G275)+INDEX(tun_ScholarShare,G275)*tun_OutScholar*INDEX(LM_Scholar,G275)+INDEX(tun_ResearcherShare,G275)*tun_OutResearcher*INDEX(LM_Researcher,G275)))</x:f>
        <x:v>416.72652047999316</x:v>
      </x:c>
      <x:c r="AL275" s="32" t="n">
        <x:f>H275*tun_RoleScale*Arch_Roles*AE275*INDEX(tun_MonasteryPerSett,G275)*tun_OutMonastery*INDEX(LM_Monastery,G275)</x:f>
        <x:v>12.58570617804182</x:v>
      </x:c>
      <x:c r="AM275" s="32" t="n">
        <x:f>(AJ275+AK275+AL275)/4*INDEX(LM_All,G275)*INDEX(tun_Boon,G275)*Arch_Insight</x:f>
        <x:v>954.7879576671243</x:v>
      </x:c>
      <x:c r="AN275" s="32" t="n">
        <x:f>H275*(tun_KHPerAdult*Z275+tun_KHOfCommons*AJ275/4*INDEX(LM_All,G275))*tun_KHUsable*Arch_KH</x:f>
        <x:v>173.25389778773697</x:v>
      </x:c>
      <x:c r="AO275" s="32" t="n">
        <x:f>MIN(AP274+AN275,AM275*tun_KHMaxRatio)</x:f>
        <x:v>173.25389778773697</x:v>
      </x:c>
      <x:c r="AP275" s="32" t="n">
        <x:f>AP274+AN275-AO275</x:f>
        <x:v>0</x:v>
      </x:c>
      <x:c r="AQ275" s="32" t="n">
        <x:f>AM275+AO275</x:f>
        <x:v>1128.0418554548612</x:v>
      </x:c>
      <x:c r="AR275" s="10" t="n">
        <x:f>IF(H275=1,INDEX(tun_Req,G275),0)</x:f>
        <x:v>88783.394528</x:v>
      </x:c>
      <x:c r="AS275" s="32" t="n">
        <x:f>IF(H275=1,IF(E275=1,AS274-AR274,AS274)+AQ275,0)</x:f>
        <x:v>31069.455504553403</x:v>
      </x:c>
      <x:c r="AT275" s="11" t="n">
        <x:f>IF(AR275&gt;0,MIN(1,AS275/AR275),1)</x:f>
        <x:v>0.3499466952094842</x:v>
      </x:c>
      <x:c r="AU275" s="10" t="n">
        <x:f>AB275/INDEX(tun_RepScale,G275)</x:f>
        <x:v>276.1680195487062</x:v>
      </x:c>
      <x:c r="AV275" s="32" t="n">
        <x:f>AM275*60/tun_SeasonSeconds</x:f>
        <x:v>3819.151830668497</x:v>
      </x:c>
    </x:row>
    <x:row r="276">
      <x:c r="A276" s="8" t="n">
        <x:f>A275+1</x:f>
        <x:v>273</x:v>
      </x:c>
      <x:c r="B276" s="9" t="n">
        <x:f>A276*tun_SeasonSeconds/60</x:f>
        <x:v>68.25</x:v>
      </x:c>
      <x:c r="C276" s="9" t="n">
        <x:f>A276/4</x:f>
        <x:v>68.25</x:v>
      </x:c>
      <x:c r="D276" s="8" t="n">
        <x:f>IF(MOD(A276,4)=0,1,0)</x:f>
        <x:v>0</x:v>
      </x:c>
      <x:c r="E276" s="8" t="n">
        <x:f>IF(AND(F275&lt;=9,AS275&gt;=AR275),1,0)</x:f>
        <x:v>0</x:v>
      </x:c>
      <x:c r="F276" s="8" t="n">
        <x:f>MIN(10,F275+E276)</x:f>
        <x:v>5</x:v>
      </x:c>
      <x:c r="G276" s="8" t="n">
        <x:f>MIN(F276,9)+1</x:f>
        <x:v>6</x:v>
      </x:c>
      <x:c r="H276" s="8" t="n">
        <x:f>IF(F276&lt;=9,1,0)</x:f>
        <x:v>1</x:v>
      </x:c>
      <x:c r="I276" s="9" t="n">
        <x:f>MIN(10,F275+IF(AR275&gt;0,MIN(1,AS275/AR275),1))</x:f>
        <x:v>5.349946695209484</x:v>
      </x:c>
      <x:c r="J276" s="32" t="n">
        <x:f>INDEX(tun_FoodCap,G276)*Arch_FoodCap*EXP(tun_CapsByProject*SUMPRODUCT((Cap_Point&lt;=I276)*(Cap_Kind="Food")*Cap_Ln))</x:f>
        <x:v>391.5437763066515</x:v>
      </x:c>
      <x:c r="K276" s="32" t="n">
        <x:f>J276*MIN(1,tun_LeanBase*EXP(tun_CapsByProject*SUMPRODUCT((Cap_Point&lt;=I276)*(Cap_Kind="Lean")*Cap_Ln)))</x:f>
        <x:v>391.5437763066515</x:v>
      </x:c>
      <x:c r="L276" s="10" t="n">
        <x:f>INDEX(tun_HousingCap,G276)*EXP(tun_CapsByProject*SUMPRODUCT((Cap_Point&lt;=I276)*(Cap_Kind="Housing")*Cap_Ln))</x:f>
        <x:v>1981.8141431314853</x:v>
      </x:c>
      <x:c r="M276" s="10" t="n">
        <x:f>INDEX(tun_GroupCap,G276)*tun_CohesionFactor*EXP(tun_CapsByProject*SUMPRODUCT((Cap_Point&lt;=I276)*(Cap_Kind="Group")*Cap_Ln))</x:f>
        <x:v>50000.00000000004</x:v>
      </x:c>
      <x:c r="N276" s="32" t="n">
        <x:f>MIN(J276,L276,M276)</x:f>
        <x:v>391.5437763066515</x:v>
      </x:c>
      <x:c r="O276" s="10" t="n">
        <x:f>AE275*N276</x:f>
        <x:v>1957.7188815332577</x:v>
      </x:c>
      <x:c r="P276" s="9" t="n">
        <x:f>MIN(1,(AB275/(AE275*IF(tun_GroupInCrowding=1,N276,MIN(J276,L276))))^tun_CrowdingExp)</x:f>
        <x:v>0.12312843585211714</x:v>
      </x:c>
      <x:c r="Q276" s="9" t="n">
        <x:f>IF(D276=1,INDEX(tun_WinterMult,G276),1)</x:f>
        <x:v>1</x:v>
      </x:c>
      <x:c r="R276" s="9" t="n">
        <x:f>H276*Z275*tun_WomenShare*tun_BaseFertility*INDEX(tun_FertMult,G276)*Arch_Fertility*(1-P276)</x:f>
        <x:v>32.010491487839076</x:v>
      </x:c>
      <x:c r="S276" s="9" t="n">
        <x:f>H276*Y275*INDEX(tun_MortChild,G276)/4*Q276</x:f>
        <x:v>5.29853601911429</x:v>
      </x:c>
      <x:c r="T276" s="9" t="n">
        <x:f>H276*Z275*INDEX(tun_MortAdult,G276)*Arch_AdultMort/4*Q276</x:f>
        <x:v>1.3402308842895292</x:v>
      </x:c>
      <x:c r="U276" s="9" t="n">
        <x:f>H276*AA275*INDEX(tun_MortElder,G276)/4*Q276</x:f>
        <x:v>1.7779033115833334</x:v>
      </x:c>
      <x:c r="V276" s="9" t="n">
        <x:f>H276*MAX(0,AB275-O276)*tun_OvercapLoss</x:f>
        <x:v>0</x:v>
      </x:c>
      <x:c r="W276" s="9" t="n">
        <x:f>H276*Y275/(tun_ChildYears*4)</x:f>
        <x:v>13.050581327867707</x:v>
      </x:c>
      <x:c r="X276" s="9" t="n">
        <x:f>H276*Z275/(tun_AdultYears*4)</x:f>
        <x:v>4.117452793516218</x:v>
      </x:c>
      <x:c r="Y276" s="32" t="n">
        <x:f>Y275+R276-S276-W276-Y275*V276/AB275</x:f>
        <x:v>744.4939285014487</x:v>
      </x:c>
      <x:c r="Z276" s="32" t="n">
        <x:f>Z275+W276-X276-T276-Z275*V276/AB275</x:f>
        <x:v>518.157044046073</x:v>
      </x:c>
      <x:c r="AA276" s="32" t="n">
        <x:f>AA275+X276-U276-AA275*V276/AB275</x:f>
        <x:v>141.78294646886098</x:v>
      </x:c>
      <x:c r="AB276" s="10" t="n">
        <x:f>Y276+Z276+AA276</x:f>
        <x:v>1404.4339190163826</x:v>
      </x:c>
      <x:c r="AC276" s="8" t="n">
        <x:f>IF(AND(tun_WinterTrigger=1,D276=1,AB275/AE275&gt;=K276),1,0)</x:f>
        <x:v>0</x:v>
      </x:c>
      <x:c r="AD276" s="8" t="n">
        <x:f>H276*IF(AND(OR(AB275/AE275&gt;=tun_FissionTrigger*N276,AC276=1),AB275/AE275*tun_DaughterShare&gt;=tun_MinDaughter),MAX(1,ROUND(AE275*tun_FissionRate,0)),0)</x:f>
        <x:v>0</x:v>
      </x:c>
      <x:c r="AE276" s="8" t="n">
        <x:f>IF(H276=1,MAX(1,MIN(INDEX(tun_Smax,G276),AE275+AD276)),AE275)</x:f>
        <x:v>5</x:v>
      </x:c>
      <x:c r="AF276" s="8" t="n">
        <x:f>MAX(0,AE276-AE275)</x:f>
        <x:v>0</x:v>
      </x:c>
      <x:c r="AG276" s="9" t="str">
        <x:f>IF(AF276&gt;0,B276,"")</x:f>
      </x:c>
      <x:c r="AH276" s="9" t="n">
        <x:f>IF(F276&gt;=1,1,(1+tun_LowTiesShare*(AE276-1))/AE276)</x:f>
        <x:v>1</x:v>
      </x:c>
      <x:c r="AI276" s="32" t="n">
        <x:f>(Z276+tun_ElderCommons*INDEX(LM_Elder,G276)*AA276)*AH276</x:f>
        <x:v>993.7115035779534</x:v>
      </x:c>
      <x:c r="AJ276" s="32" t="n">
        <x:f>H276*tun_CommonsCoef*AI276^tun_CommonsExp*INDEX(LM_Commons,G276)</x:f>
        <x:v>2250.050843245136</x:v>
      </x:c>
      <x:c r="AK276" s="32" t="n">
        <x:f>H276*tun_RoleScale*Arch_Roles*(AE276*(INDEX(tun_ElderRolePerSett,G276)*tun_OutElder*INDEX(LM_Elder,G276)+INDEX(tun_ShamanPerSett,G276)*tun_OutShaman)+Z276*(INDEX(tun_PriestShare,G276)*tun_OutPriest+INDEX(tun_ScribeShare,G276)*tun_OutScribe*INDEX(LM_Scribe,G276)+INDEX(tun_ScholarShare,G276)*tun_OutScholar*INDEX(LM_Scholar,G276)+INDEX(tun_ResearcherShare,G276)*tun_OutResearcher*INDEX(LM_Researcher,G276)))</x:f>
        <x:v>421.0339927454064</x:v>
      </x:c>
      <x:c r="AL276" s="32" t="n">
        <x:f>H276*tun_RoleScale*Arch_Roles*AE276*INDEX(tun_MonasteryPerSett,G276)*tun_OutMonastery*INDEX(LM_Monastery,G276)</x:f>
        <x:v>12.58570617804182</x:v>
      </x:c>
      <x:c r="AM276" s="32" t="n">
        <x:f>(AJ276+AK276+AL276)/4*INDEX(LM_All,G276)*INDEX(tun_Boon,G276)*Arch_Insight</x:f>
        <x:v>967.0610585441044</x:v>
      </x:c>
      <x:c r="AN276" s="32" t="n">
        <x:f>H276*(tun_KHPerAdult*Z276+tun_KHOfCommons*AJ276/4*INDEX(LM_All,G276))*tun_KHUsable*Arch_KH</x:f>
        <x:v>175.57544814990285</x:v>
      </x:c>
      <x:c r="AO276" s="32" t="n">
        <x:f>MIN(AP275+AN276,AM276*tun_KHMaxRatio)</x:f>
        <x:v>175.57544814990285</x:v>
      </x:c>
      <x:c r="AP276" s="32" t="n">
        <x:f>AP275+AN276-AO276</x:f>
        <x:v>0</x:v>
      </x:c>
      <x:c r="AQ276" s="32" t="n">
        <x:f>AM276+AO276</x:f>
        <x:v>1142.6365066940073</x:v>
      </x:c>
      <x:c r="AR276" s="10" t="n">
        <x:f>IF(H276=1,INDEX(tun_Req,G276),0)</x:f>
        <x:v>88783.394528</x:v>
      </x:c>
      <x:c r="AS276" s="32" t="n">
        <x:f>IF(H276=1,IF(E276=1,AS275-AR275,AS275)+AQ276,0)</x:f>
        <x:v>32212.092011247412</x:v>
      </x:c>
      <x:c r="AT276" s="11" t="n">
        <x:f>IF(AR276&gt;0,MIN(1,AS276/AR276),1)</x:f>
        <x:v>0.3628166300972931</x:v>
      </x:c>
      <x:c r="AU276" s="10" t="n">
        <x:f>AB276/INDEX(tun_RepScale,G276)</x:f>
        <x:v>280.8867838032765</x:v>
      </x:c>
      <x:c r="AV276" s="32" t="n">
        <x:f>AM276*60/tun_SeasonSeconds</x:f>
        <x:v>3868.2442341764176</x:v>
      </x:c>
    </x:row>
    <x:row r="277">
      <x:c r="A277" s="8" t="n">
        <x:f>A276+1</x:f>
        <x:v>274</x:v>
      </x:c>
      <x:c r="B277" s="9" t="n">
        <x:f>A277*tun_SeasonSeconds/60</x:f>
        <x:v>68.5</x:v>
      </x:c>
      <x:c r="C277" s="9" t="n">
        <x:f>A277/4</x:f>
        <x:v>68.5</x:v>
      </x:c>
      <x:c r="D277" s="8" t="n">
        <x:f>IF(MOD(A277,4)=0,1,0)</x:f>
        <x:v>0</x:v>
      </x:c>
      <x:c r="E277" s="8" t="n">
        <x:f>IF(AND(F276&lt;=9,AS276&gt;=AR276),1,0)</x:f>
        <x:v>0</x:v>
      </x:c>
      <x:c r="F277" s="8" t="n">
        <x:f>MIN(10,F276+E277)</x:f>
        <x:v>5</x:v>
      </x:c>
      <x:c r="G277" s="8" t="n">
        <x:f>MIN(F277,9)+1</x:f>
        <x:v>6</x:v>
      </x:c>
      <x:c r="H277" s="8" t="n">
        <x:f>IF(F277&lt;=9,1,0)</x:f>
        <x:v>1</x:v>
      </x:c>
      <x:c r="I277" s="9" t="n">
        <x:f>MIN(10,F276+IF(AR276&gt;0,MIN(1,AS276/AR276),1))</x:f>
        <x:v>5.362816630097293</x:v>
      </x:c>
      <x:c r="J277" s="32" t="n">
        <x:f>INDEX(tun_FoodCap,G277)*Arch_FoodCap*EXP(tun_CapsByProject*SUMPRODUCT((Cap_Point&lt;=I277)*(Cap_Kind="Food")*Cap_Ln))</x:f>
        <x:v>391.5437763066515</x:v>
      </x:c>
      <x:c r="K277" s="32" t="n">
        <x:f>J277*MIN(1,tun_LeanBase*EXP(tun_CapsByProject*SUMPRODUCT((Cap_Point&lt;=I277)*(Cap_Kind="Lean")*Cap_Ln)))</x:f>
        <x:v>391.5437763066515</x:v>
      </x:c>
      <x:c r="L277" s="10" t="n">
        <x:f>INDEX(tun_HousingCap,G277)*EXP(tun_CapsByProject*SUMPRODUCT((Cap_Point&lt;=I277)*(Cap_Kind="Housing")*Cap_Ln))</x:f>
        <x:v>1981.8141431314853</x:v>
      </x:c>
      <x:c r="M277" s="10" t="n">
        <x:f>INDEX(tun_GroupCap,G277)*tun_CohesionFactor*EXP(tun_CapsByProject*SUMPRODUCT((Cap_Point&lt;=I277)*(Cap_Kind="Group")*Cap_Ln))</x:f>
        <x:v>50000.00000000004</x:v>
      </x:c>
      <x:c r="N277" s="32" t="n">
        <x:f>MIN(J277,L277,M277)</x:f>
        <x:v>391.5437763066515</x:v>
      </x:c>
      <x:c r="O277" s="10" t="n">
        <x:f>AE276*N277</x:f>
        <x:v>1957.7188815332577</x:v>
      </x:c>
      <x:c r="P277" s="9" t="n">
        <x:f>MIN(1,(AB276/(AE276*IF(tun_GroupInCrowding=1,N277,MIN(J277,L277))))^tun_CrowdingExp)</x:f>
        <x:v>0.13630314654043468</x:v>
      </x:c>
      <x:c r="Q277" s="9" t="n">
        <x:f>IF(D277=1,INDEX(tun_WinterMult,G277),1)</x:f>
        <x:v>1</x:v>
      </x:c>
      <x:c r="R277" s="9" t="n">
        <x:f>H277*Z276*tun_WomenShare*tun_BaseFertility*INDEX(tun_FertMult,G277)*Arch_Fertility*(1-P277)</x:f>
        <x:v>31.99843851064594</x:v>
      </x:c>
      <x:c r="S277" s="9" t="n">
        <x:f>H277*Y276*INDEX(tun_MortChild,G277)/4*Q277</x:f>
        <x:v>5.397580981635504</x:v>
      </x:c>
      <x:c r="T277" s="9" t="n">
        <x:f>H277*Z276*INDEX(tun_MortAdult,G277)*Arch_AdultMort/4*Q277</x:f>
        <x:v>1.3601622406209417</x:v>
      </x:c>
      <x:c r="U277" s="9" t="n">
        <x:f>H277*AA276*INDEX(tun_MortElder,G277)/4*Q277</x:f>
        <x:v>1.8077325674779774</x:v>
      </x:c>
      <x:c r="V277" s="9" t="n">
        <x:f>H277*MAX(0,AB276-O277)*tun_OvercapLoss</x:f>
        <x:v>0</x:v>
      </x:c>
      <x:c r="W277" s="9" t="n">
        <x:f>H277*Y276/(tun_ChildYears*4)</x:f>
        <x:v>13.29453443752587</x:v>
      </x:c>
      <x:c r="X277" s="9" t="n">
        <x:f>H277*Z276/(tun_AdultYears*4)</x:f>
        <x:v>4.178685839081234</x:v>
      </x:c>
      <x:c r="Y277" s="32" t="n">
        <x:f>Y276+R277-S277-W277-Y276*V277/AB276</x:f>
        <x:v>757.8002515929334</x:v>
      </x:c>
      <x:c r="Z277" s="32" t="n">
        <x:f>Z276+W277-X277-T277-Z276*V277/AB276</x:f>
        <x:v>525.9127304038966</x:v>
      </x:c>
      <x:c r="AA277" s="32" t="n">
        <x:f>AA276+X277-U277-AA276*V277/AB276</x:f>
        <x:v>144.15389974046423</x:v>
      </x:c>
      <x:c r="AB277" s="10" t="n">
        <x:f>Y277+Z277+AA277</x:f>
        <x:v>1427.866881737294</x:v>
      </x:c>
      <x:c r="AC277" s="8" t="n">
        <x:f>IF(AND(tun_WinterTrigger=1,D277=1,AB276/AE276&gt;=K277),1,0)</x:f>
        <x:v>0</x:v>
      </x:c>
      <x:c r="AD277" s="8" t="n">
        <x:f>H277*IF(AND(OR(AB276/AE276&gt;=tun_FissionTrigger*N277,AC277=1),AB276/AE276*tun_DaughterShare&gt;=tun_MinDaughter),MAX(1,ROUND(AE276*tun_FissionRate,0)),0)</x:f>
        <x:v>0</x:v>
      </x:c>
      <x:c r="AE277" s="8" t="n">
        <x:f>IF(H277=1,MAX(1,MIN(INDEX(tun_Smax,G277),AE276+AD277)),AE276)</x:f>
        <x:v>5</x:v>
      </x:c>
      <x:c r="AF277" s="8" t="n">
        <x:f>MAX(0,AE277-AE276)</x:f>
        <x:v>0</x:v>
      </x:c>
      <x:c r="AG277" s="9" t="str">
        <x:f>IF(AF277&gt;0,B277,"")</x:f>
      </x:c>
      <x:c r="AH277" s="9" t="n">
        <x:f>IF(F277&gt;=1,1,(1+tun_LowTiesShare*(AE277-1))/AE277)</x:f>
        <x:v>1</x:v>
      </x:c>
      <x:c r="AI277" s="32" t="n">
        <x:f>(Z277+tun_ElderCommons*INDEX(LM_Elder,G277)*AA277)*AH277</x:f>
        <x:v>1009.4196089659476</x:v>
      </x:c>
      <x:c r="AJ277" s="32" t="n">
        <x:f>H277*tun_CommonsCoef*AI277^tun_CommonsExp*INDEX(LM_Commons,G277)</x:f>
        <x:v>2280.2477636842136</x:v>
      </x:c>
      <x:c r="AK277" s="32" t="n">
        <x:f>H277*tun_RoleScale*Arch_Roles*(AE277*(INDEX(tun_ElderRolePerSett,G277)*tun_OutElder*INDEX(LM_Elder,G277)+INDEX(tun_ShamanPerSett,G277)*tun_OutShaman)+Z277*(INDEX(tun_PriestShare,G277)*tun_OutPriest+INDEX(tun_ScribeShare,G277)*tun_OutScribe*INDEX(LM_Scribe,G277)+INDEX(tun_ScholarShare,G277)*tun_OutScholar*INDEX(LM_Scholar,G277)+INDEX(tun_ResearcherShare,G277)*tun_OutResearcher*INDEX(LM_Researcher,G277)))</x:f>
        <x:v>425.4338155041521</x:v>
      </x:c>
      <x:c r="AL277" s="32" t="n">
        <x:f>H277*tun_RoleScale*Arch_Roles*AE277*INDEX(tun_MonasteryPerSett,G277)*tun_OutMonastery*INDEX(LM_Monastery,G277)</x:f>
        <x:v>12.58570617804182</x:v>
      </x:c>
      <x:c r="AM277" s="32" t="n">
        <x:f>(AJ277+AK277+AL277)/4*INDEX(LM_All,G277)*INDEX(tun_Boon,G277)*Arch_Insight</x:f>
        <x:v>979.5279998371402</x:v>
      </x:c>
      <x:c r="AN277" s="32" t="n">
        <x:f>H277*(tun_KHPerAdult*Z277+tun_KHOfCommons*AJ277/4*INDEX(LM_All,G277))*tun_KHUsable*Arch_KH</x:f>
        <x:v>177.93176727698153</x:v>
      </x:c>
      <x:c r="AO277" s="32" t="n">
        <x:f>MIN(AP276+AN277,AM277*tun_KHMaxRatio)</x:f>
        <x:v>177.93176727698153</x:v>
      </x:c>
      <x:c r="AP277" s="32" t="n">
        <x:f>AP276+AN277-AO277</x:f>
        <x:v>0</x:v>
      </x:c>
      <x:c r="AQ277" s="32" t="n">
        <x:f>AM277+AO277</x:f>
        <x:v>1157.4597671141219</x:v>
      </x:c>
      <x:c r="AR277" s="10" t="n">
        <x:f>IF(H277=1,INDEX(tun_Req,G277),0)</x:f>
        <x:v>88783.394528</x:v>
      </x:c>
      <x:c r="AS277" s="32" t="n">
        <x:f>IF(H277=1,IF(E277=1,AS276-AR276,AS276)+AQ277,0)</x:f>
        <x:v>33369.551778361536</x:v>
      </x:c>
      <x:c r="AT277" s="11" t="n">
        <x:f>IF(AR277&gt;0,MIN(1,AS277/AR277),1)</x:f>
        <x:v>0.3758535248146841</x:v>
      </x:c>
      <x:c r="AU277" s="10" t="n">
        <x:f>AB277/INDEX(tun_RepScale,G277)</x:f>
        <x:v>285.5733763474588</x:v>
      </x:c>
      <x:c r="AV277" s="32" t="n">
        <x:f>AM277*60/tun_SeasonSeconds</x:f>
        <x:v>3918.111999348561</x:v>
      </x:c>
    </x:row>
    <x:row r="278">
      <x:c r="A278" s="8" t="n">
        <x:f>A277+1</x:f>
        <x:v>275</x:v>
      </x:c>
      <x:c r="B278" s="9" t="n">
        <x:f>A278*tun_SeasonSeconds/60</x:f>
        <x:v>68.75</x:v>
      </x:c>
      <x:c r="C278" s="9" t="n">
        <x:f>A278/4</x:f>
        <x:v>68.75</x:v>
      </x:c>
      <x:c r="D278" s="8" t="n">
        <x:f>IF(MOD(A278,4)=0,1,0)</x:f>
        <x:v>0</x:v>
      </x:c>
      <x:c r="E278" s="8" t="n">
        <x:f>IF(AND(F277&lt;=9,AS277&gt;=AR277),1,0)</x:f>
        <x:v>0</x:v>
      </x:c>
      <x:c r="F278" s="8" t="n">
        <x:f>MIN(10,F277+E278)</x:f>
        <x:v>5</x:v>
      </x:c>
      <x:c r="G278" s="8" t="n">
        <x:f>MIN(F278,9)+1</x:f>
        <x:v>6</x:v>
      </x:c>
      <x:c r="H278" s="8" t="n">
        <x:f>IF(F278&lt;=9,1,0)</x:f>
        <x:v>1</x:v>
      </x:c>
      <x:c r="I278" s="9" t="n">
        <x:f>MIN(10,F277+IF(AR277&gt;0,MIN(1,AS277/AR277),1))</x:f>
        <x:v>5.375853524814684</x:v>
      </x:c>
      <x:c r="J278" s="32" t="n">
        <x:f>INDEX(tun_FoodCap,G278)*Arch_FoodCap*EXP(tun_CapsByProject*SUMPRODUCT((Cap_Point&lt;=I278)*(Cap_Kind="Food")*Cap_Ln))</x:f>
        <x:v>391.5437763066515</x:v>
      </x:c>
      <x:c r="K278" s="32" t="n">
        <x:f>J278*MIN(1,tun_LeanBase*EXP(tun_CapsByProject*SUMPRODUCT((Cap_Point&lt;=I278)*(Cap_Kind="Lean")*Cap_Ln)))</x:f>
        <x:v>391.5437763066515</x:v>
      </x:c>
      <x:c r="L278" s="10" t="n">
        <x:f>INDEX(tun_HousingCap,G278)*EXP(tun_CapsByProject*SUMPRODUCT((Cap_Point&lt;=I278)*(Cap_Kind="Housing")*Cap_Ln))</x:f>
        <x:v>1981.8141431314853</x:v>
      </x:c>
      <x:c r="M278" s="10" t="n">
        <x:f>INDEX(tun_GroupCap,G278)*tun_CohesionFactor*EXP(tun_CapsByProject*SUMPRODUCT((Cap_Point&lt;=I278)*(Cap_Kind="Group")*Cap_Ln))</x:f>
        <x:v>50000.00000000004</x:v>
      </x:c>
      <x:c r="N278" s="32" t="n">
        <x:f>MIN(J278,L278,M278)</x:f>
        <x:v>391.5437763066515</x:v>
      </x:c>
      <x:c r="O278" s="10" t="n">
        <x:f>AE277*N278</x:f>
        <x:v>1957.7188815332577</x:v>
      </x:c>
      <x:c r="P278" s="9" t="n">
        <x:f>MIN(1,(AB277/(AE277*IF(tun_GroupInCrowding=1,N278,MIN(J278,L278))))^tun_CrowdingExp)</x:f>
        <x:v>0.15053044542930524</x:v>
      </x:c>
      <x:c r="Q278" s="9" t="n">
        <x:f>IF(D278=1,INDEX(tun_WinterMult,G278),1)</x:f>
        <x:v>1</x:v>
      </x:c>
      <x:c r="R278" s="9" t="n">
        <x:f>H278*Z277*tun_WomenShare*tun_BaseFertility*INDEX(tun_FertMult,G278)*Arch_Fertility*(1-P278)</x:f>
        <x:v>31.9423999780068</x:v>
      </x:c>
      <x:c r="S278" s="9" t="n">
        <x:f>H278*Y277*INDEX(tun_MortChild,G278)/4*Q278</x:f>
        <x:v>5.494051824048767</x:v>
      </x:c>
      <x:c r="T278" s="9" t="n">
        <x:f>H278*Z277*INDEX(tun_MortAdult,G278)*Arch_AdultMort/4*Q278</x:f>
        <x:v>1.3805209173102286</x:v>
      </x:c>
      <x:c r="U278" s="9" t="n">
        <x:f>H278*AA277*INDEX(tun_MortElder,G278)/4*Q278</x:f>
        <x:v>1.8379622216909188</x:v>
      </x:c>
      <x:c r="V278" s="9" t="n">
        <x:f>H278*MAX(0,AB277-O278)*tun_OvercapLoss</x:f>
        <x:v>0</x:v>
      </x:c>
      <x:c r="W278" s="9" t="n">
        <x:f>H278*Y277/(tun_ChildYears*4)</x:f>
        <x:v>13.53214734987381</x:v>
      </x:c>
      <x:c r="X278" s="9" t="n">
        <x:f>H278*Z277/(tun_AdultYears*4)</x:f>
        <x:v>4.241231696805618</x:v>
      </x:c>
      <x:c r="Y278" s="32" t="n">
        <x:f>Y277+R278-S278-W278-Y277*V278/AB277</x:f>
        <x:v>770.7164523970177</x:v>
      </x:c>
      <x:c r="Z278" s="32" t="n">
        <x:f>Z277+W278-X278-T278-Z277*V278/AB277</x:f>
        <x:v>533.8231251396546</x:v>
      </x:c>
      <x:c r="AA278" s="32" t="n">
        <x:f>AA277+X278-U278-AA277*V278/AB277</x:f>
        <x:v>146.5571692155789</x:v>
      </x:c>
      <x:c r="AB278" s="10" t="n">
        <x:f>Y278+Z278+AA278</x:f>
        <x:v>1451.0967467522512</x:v>
      </x:c>
      <x:c r="AC278" s="8" t="n">
        <x:f>IF(AND(tun_WinterTrigger=1,D278=1,AB277/AE277&gt;=K278),1,0)</x:f>
        <x:v>0</x:v>
      </x:c>
      <x:c r="AD278" s="8" t="n">
        <x:f>H278*IF(AND(OR(AB277/AE277&gt;=tun_FissionTrigger*N278,AC278=1),AB277/AE277*tun_DaughterShare&gt;=tun_MinDaughter),MAX(1,ROUND(AE277*tun_FissionRate,0)),0)</x:f>
        <x:v>0</x:v>
      </x:c>
      <x:c r="AE278" s="8" t="n">
        <x:f>IF(H278=1,MAX(1,MIN(INDEX(tun_Smax,G278),AE277+AD278)),AE277)</x:f>
        <x:v>5</x:v>
      </x:c>
      <x:c r="AF278" s="8" t="n">
        <x:f>MAX(0,AE278-AE277)</x:f>
        <x:v>0</x:v>
      </x:c>
      <x:c r="AG278" s="9" t="str">
        <x:f>IF(AF278&gt;0,B278,"")</x:f>
      </x:c>
      <x:c r="AH278" s="9" t="n">
        <x:f>IF(F278&gt;=1,1,(1+tun_LowTiesShare*(AE278-1))/AE278)</x:f>
        <x:v>1</x:v>
      </x:c>
      <x:c r="AI278" s="32" t="n">
        <x:f>(Z278+tun_ElderCommons*INDEX(LM_Elder,G278)*AA278)*AH278</x:f>
        <x:v>1025.3908145736157</x:v>
      </x:c>
      <x:c r="AJ278" s="32" t="n">
        <x:f>H278*tun_CommonsCoef*AI278^tun_CommonsExp*INDEX(LM_Commons,G278)</x:f>
        <x:v>2310.878283274472</x:v>
      </x:c>
      <x:c r="AK278" s="32" t="n">
        <x:f>H278*tun_RoleScale*Arch_Roles*(AE278*(INDEX(tun_ElderRolePerSett,G278)*tun_OutElder*INDEX(LM_Elder,G278)+INDEX(tun_ShamanPerSett,G278)*tun_OutShaman)+Z278*(INDEX(tun_PriestShare,G278)*tun_OutPriest+INDEX(tun_ScribeShare,G278)*tun_OutScribe*INDEX(LM_Scribe,G278)+INDEX(tun_ScholarShare,G278)*tun_OutScholar*INDEX(LM_Scholar,G278)+INDEX(tun_ResearcherShare,G278)*tun_OutResearcher*INDEX(LM_Researcher,G278)))</x:f>
        <x:v>429.921404762315</x:v>
      </x:c>
      <x:c r="AL278" s="32" t="n">
        <x:f>H278*tun_RoleScale*Arch_Roles*AE278*INDEX(tun_MonasteryPerSett,G278)*tun_OutMonastery*INDEX(LM_Monastery,G278)</x:f>
        <x:v>12.58570617804182</x:v>
      </x:c>
      <x:c r="AM278" s="32" t="n">
        <x:f>(AJ278+AK278+AL278)/4*INDEX(LM_All,G278)*INDEX(tun_Boon,G278)*Arch_Insight</x:f>
        <x:v>992.1828153159353</x:v>
      </x:c>
      <x:c r="AN278" s="32" t="n">
        <x:f>H278*(tun_KHPerAdult*Z278+tun_KHOfCommons*AJ278/4*INDEX(LM_All,G278))*tun_KHUsable*Arch_KH</x:f>
        <x:v>180.3219209129623</x:v>
      </x:c>
      <x:c r="AO278" s="32" t="n">
        <x:f>MIN(AP277+AN278,AM278*tun_KHMaxRatio)</x:f>
        <x:v>180.3219209129623</x:v>
      </x:c>
      <x:c r="AP278" s="32" t="n">
        <x:f>AP277+AN278-AO278</x:f>
        <x:v>0</x:v>
      </x:c>
      <x:c r="AQ278" s="32" t="n">
        <x:f>AM278+AO278</x:f>
        <x:v>1172.5047362288976</x:v>
      </x:c>
      <x:c r="AR278" s="10" t="n">
        <x:f>IF(H278=1,INDEX(tun_Req,G278),0)</x:f>
        <x:v>88783.394528</x:v>
      </x:c>
      <x:c r="AS278" s="32" t="n">
        <x:f>IF(H278=1,IF(E278=1,AS277-AR277,AS277)+AQ278,0)</x:f>
        <x:v>34542.05651459043</x:v>
      </x:c>
      <x:c r="AT278" s="11" t="n">
        <x:f>IF(AR278&gt;0,MIN(1,AS278/AR278),1)</x:f>
        <x:v>0.3890598765481619</x:v>
      </x:c>
      <x:c r="AU278" s="10" t="n">
        <x:f>AB278/INDEX(tun_RepScale,G278)</x:f>
        <x:v>290.2193493504502</x:v>
      </x:c>
      <x:c r="AV278" s="32" t="n">
        <x:f>AM278*60/tun_SeasonSeconds</x:f>
        <x:v>3968.731261263741</x:v>
      </x:c>
    </x:row>
    <x:row r="279">
      <x:c r="A279" s="8" t="n">
        <x:f>A278+1</x:f>
        <x:v>276</x:v>
      </x:c>
      <x:c r="B279" s="9" t="n">
        <x:f>A279*tun_SeasonSeconds/60</x:f>
        <x:v>69</x:v>
      </x:c>
      <x:c r="C279" s="9" t="n">
        <x:f>A279/4</x:f>
        <x:v>69</x:v>
      </x:c>
      <x:c r="D279" s="8" t="n">
        <x:f>IF(MOD(A279,4)=0,1,0)</x:f>
        <x:v>1</x:v>
      </x:c>
      <x:c r="E279" s="8" t="n">
        <x:f>IF(AND(F278&lt;=9,AS278&gt;=AR278),1,0)</x:f>
        <x:v>0</x:v>
      </x:c>
      <x:c r="F279" s="8" t="n">
        <x:f>MIN(10,F278+E279)</x:f>
        <x:v>5</x:v>
      </x:c>
      <x:c r="G279" s="8" t="n">
        <x:f>MIN(F279,9)+1</x:f>
        <x:v>6</x:v>
      </x:c>
      <x:c r="H279" s="8" t="n">
        <x:f>IF(F279&lt;=9,1,0)</x:f>
        <x:v>1</x:v>
      </x:c>
      <x:c r="I279" s="9" t="n">
        <x:f>MIN(10,F278+IF(AR278&gt;0,MIN(1,AS278/AR278),1))</x:f>
        <x:v>5.389059876548162</x:v>
      </x:c>
      <x:c r="J279" s="32" t="n">
        <x:f>INDEX(tun_FoodCap,G279)*Arch_FoodCap*EXP(tun_CapsByProject*SUMPRODUCT((Cap_Point&lt;=I279)*(Cap_Kind="Food")*Cap_Ln))</x:f>
        <x:v>391.5437763066515</x:v>
      </x:c>
      <x:c r="K279" s="32" t="n">
        <x:f>J279*MIN(1,tun_LeanBase*EXP(tun_CapsByProject*SUMPRODUCT((Cap_Point&lt;=I279)*(Cap_Kind="Lean")*Cap_Ln)))</x:f>
        <x:v>391.5437763066515</x:v>
      </x:c>
      <x:c r="L279" s="10" t="n">
        <x:f>INDEX(tun_HousingCap,G279)*EXP(tun_CapsByProject*SUMPRODUCT((Cap_Point&lt;=I279)*(Cap_Kind="Housing")*Cap_Ln))</x:f>
        <x:v>1981.8141431314853</x:v>
      </x:c>
      <x:c r="M279" s="10" t="n">
        <x:f>INDEX(tun_GroupCap,G279)*tun_CohesionFactor*EXP(tun_CapsByProject*SUMPRODUCT((Cap_Point&lt;=I279)*(Cap_Kind="Group")*Cap_Ln))</x:f>
        <x:v>50000.00000000004</x:v>
      </x:c>
      <x:c r="N279" s="32" t="n">
        <x:f>MIN(J279,L279,M279)</x:f>
        <x:v>391.5437763066515</x:v>
      </x:c>
      <x:c r="O279" s="10" t="n">
        <x:f>AE278*N279</x:f>
        <x:v>1957.7188815332577</x:v>
      </x:c>
      <x:c r="P279" s="9" t="n">
        <x:f>MIN(1,(AB278/(AE278*IF(tun_GroupInCrowding=1,N279,MIN(J279,L279))))^tun_CrowdingExp)</x:f>
        <x:v>0.16583501482116453</x:v>
      </x:c>
      <x:c r="Q279" s="9" t="n">
        <x:f>IF(D279=1,INDEX(tun_WinterMult,G279),1)</x:f>
        <x:v>1.15</x:v>
      </x:c>
      <x:c r="R279" s="9" t="n">
        <x:f>H279*Z278*tun_WomenShare*tun_BaseFertility*INDEX(tun_FertMult,G279)*Arch_Fertility*(1-P279)</x:f>
        <x:v>31.838703987822143</x:v>
      </x:c>
      <x:c r="S279" s="9" t="n">
        <x:f>H279*Y278*INDEX(tun_MortChild,G279)/4*Q279</x:f>
        <x:v>6.4258484218601355</x:v>
      </x:c>
      <x:c r="T279" s="9" t="n">
        <x:f>H279*Z278*INDEX(tun_MortAdult,G279)*Arch_AdultMort/4*Q279</x:f>
        <x:v>1.6114785590153324</x:v>
      </x:c>
      <x:c r="U279" s="9" t="n">
        <x:f>H279*AA278*INDEX(tun_MortElder,G279)/4*Q279</x:f>
        <x:v>2.1488944936234256</x:v>
      </x:c>
      <x:c r="V279" s="9" t="n">
        <x:f>H279*MAX(0,AB278-O279)*tun_OvercapLoss</x:f>
        <x:v>0</x:v>
      </x:c>
      <x:c r="W279" s="9" t="n">
        <x:f>H279*Y278/(tun_ChildYears*4)</x:f>
        <x:v>13.762793792803889</x:v>
      </x:c>
      <x:c r="X279" s="9" t="n">
        <x:f>H279*Z278/(tun_AdultYears*4)</x:f>
        <x:v>4.3050252027391505</x:v>
      </x:c>
      <x:c r="Y279" s="32" t="n">
        <x:f>Y278+R279-S279-W279-Y278*V279/AB278</x:f>
        <x:v>782.3665141701758</x:v>
      </x:c>
      <x:c r="Z279" s="32" t="n">
        <x:f>Z278+W279-X279-T279-Z278*V279/AB278</x:f>
        <x:v>541.669415170704</x:v>
      </x:c>
      <x:c r="AA279" s="32" t="n">
        <x:f>AA278+X279-U279-AA278*V279/AB278</x:f>
        <x:v>148.71329992469464</x:v>
      </x:c>
      <x:c r="AB279" s="10" t="n">
        <x:f>Y279+Z279+AA279</x:f>
        <x:v>1472.7492292655745</x:v>
      </x:c>
      <x:c r="AC279" s="8" t="n">
        <x:f>IF(AND(tun_WinterTrigger=1,D279=1,AB278/AE278&gt;=K279),1,0)</x:f>
        <x:v>0</x:v>
      </x:c>
      <x:c r="AD279" s="8" t="n">
        <x:f>H279*IF(AND(OR(AB278/AE278&gt;=tun_FissionTrigger*N279,AC279=1),AB278/AE278*tun_DaughterShare&gt;=tun_MinDaughter),MAX(1,ROUND(AE278*tun_FissionRate,0)),0)</x:f>
        <x:v>0</x:v>
      </x:c>
      <x:c r="AE279" s="8" t="n">
        <x:f>IF(H279=1,MAX(1,MIN(INDEX(tun_Smax,G279),AE278+AD279)),AE278)</x:f>
        <x:v>5</x:v>
      </x:c>
      <x:c r="AF279" s="8" t="n">
        <x:f>MAX(0,AE279-AE278)</x:f>
        <x:v>0</x:v>
      </x:c>
      <x:c r="AG279" s="9" t="str">
        <x:f>IF(AF279&gt;0,B279,"")</x:f>
      </x:c>
      <x:c r="AH279" s="9" t="n">
        <x:f>IF(F279&gt;=1,1,(1+tun_LowTiesShare*(AE279-1))/AE279)</x:f>
        <x:v>1</x:v>
      </x:c>
      <x:c r="AI279" s="32" t="n">
        <x:f>(Z279+tun_ElderCommons*INDEX(LM_Elder,G279)*AA279)*AH279</x:f>
        <x:v>1040.4689868556015</x:v>
      </x:c>
      <x:c r="AJ279" s="32" t="n">
        <x:f>H279*tun_CommonsCoef*AI279^tun_CommonsExp*INDEX(LM_Commons,G279)</x:f>
        <x:v>2339.7304694987665</x:v>
      </x:c>
      <x:c r="AK279" s="32" t="n">
        <x:f>H279*tun_RoleScale*Arch_Roles*(AE279*(INDEX(tun_ElderRolePerSett,G279)*tun_OutElder*INDEX(LM_Elder,G279)+INDEX(tun_ShamanPerSett,G279)*tun_OutShaman)+Z279*(INDEX(tun_PriestShare,G279)*tun_OutPriest+INDEX(tun_ScribeShare,G279)*tun_OutScribe*INDEX(LM_Scribe,G279)+INDEX(tun_ScholarShare,G279)*tun_OutScholar*INDEX(LM_Scholar,G279)+INDEX(tun_ResearcherShare,G279)*tun_OutResearcher*INDEX(LM_Researcher,G279)))</x:f>
        <x:v>434.37262724058166</x:v>
      </x:c>
      <x:c r="AL279" s="32" t="n">
        <x:f>H279*tun_RoleScale*Arch_Roles*AE279*INDEX(tun_MonasteryPerSett,G279)*tun_OutMonastery*INDEX(LM_Monastery,G279)</x:f>
        <x:v>12.58570617804182</x:v>
      </x:c>
      <x:c r="AM279" s="32" t="n">
        <x:f>(AJ279+AK279+AL279)/4*INDEX(LM_All,G279)*INDEX(tun_Boon,G279)*Arch_Insight</x:f>
        <x:v>1004.1837033411102</x:v>
      </x:c>
      <x:c r="AN279" s="32" t="n">
        <x:f>H279*(tun_KHPerAdult*Z279+tun_KHOfCommons*AJ279/4*INDEX(LM_All,G279))*tun_KHUsable*Arch_KH</x:f>
        <x:v>182.57330805012091</x:v>
      </x:c>
      <x:c r="AO279" s="32" t="n">
        <x:f>MIN(AP278+AN279,AM279*tun_KHMaxRatio)</x:f>
        <x:v>182.57330805012091</x:v>
      </x:c>
      <x:c r="AP279" s="32" t="n">
        <x:f>AP278+AN279-AO279</x:f>
        <x:v>0</x:v>
      </x:c>
      <x:c r="AQ279" s="32" t="n">
        <x:f>AM279+AO279</x:f>
        <x:v>1186.7570113912311</x:v>
      </x:c>
      <x:c r="AR279" s="10" t="n">
        <x:f>IF(H279=1,INDEX(tun_Req,G279),0)</x:f>
        <x:v>88783.394528</x:v>
      </x:c>
      <x:c r="AS279" s="32" t="n">
        <x:f>IF(H279=1,IF(E279=1,AS278-AR278,AS278)+AQ279,0)</x:f>
        <x:v>35728.81352598166</x:v>
      </x:c>
      <x:c r="AT279" s="11" t="n">
        <x:f>IF(AR279&gt;0,MIN(1,AS279/AR279),1)</x:f>
        <x:v>0.4024267568944293</x:v>
      </x:c>
      <x:c r="AU279" s="10" t="n">
        <x:f>AB279/INDEX(tun_RepScale,G279)</x:f>
        <x:v>294.5498458531149</x:v>
      </x:c>
      <x:c r="AV279" s="32" t="n">
        <x:f>AM279*60/tun_SeasonSeconds</x:f>
        <x:v>4016.734813364441</x:v>
      </x:c>
    </x:row>
    <x:row r="280">
      <x:c r="A280" s="8" t="n">
        <x:f>A279+1</x:f>
        <x:v>277</x:v>
      </x:c>
      <x:c r="B280" s="9" t="n">
        <x:f>A280*tun_SeasonSeconds/60</x:f>
        <x:v>69.25</x:v>
      </x:c>
      <x:c r="C280" s="9" t="n">
        <x:f>A280/4</x:f>
        <x:v>69.25</x:v>
      </x:c>
      <x:c r="D280" s="8" t="n">
        <x:f>IF(MOD(A280,4)=0,1,0)</x:f>
        <x:v>0</x:v>
      </x:c>
      <x:c r="E280" s="8" t="n">
        <x:f>IF(AND(F279&lt;=9,AS279&gt;=AR279),1,0)</x:f>
        <x:v>0</x:v>
      </x:c>
      <x:c r="F280" s="8" t="n">
        <x:f>MIN(10,F279+E280)</x:f>
        <x:v>5</x:v>
      </x:c>
      <x:c r="G280" s="8" t="n">
        <x:f>MIN(F280,9)+1</x:f>
        <x:v>6</x:v>
      </x:c>
      <x:c r="H280" s="8" t="n">
        <x:f>IF(F280&lt;=9,1,0)</x:f>
        <x:v>1</x:v>
      </x:c>
      <x:c r="I280" s="9" t="n">
        <x:f>MIN(10,F279+IF(AR279&gt;0,MIN(1,AS279/AR279),1))</x:f>
        <x:v>5.402426756894429</x:v>
      </x:c>
      <x:c r="J280" s="32" t="n">
        <x:f>INDEX(tun_FoodCap,G280)*Arch_FoodCap*EXP(tun_CapsByProject*SUMPRODUCT((Cap_Point&lt;=I280)*(Cap_Kind="Food")*Cap_Ln))</x:f>
        <x:v>391.5437763066515</x:v>
      </x:c>
      <x:c r="K280" s="32" t="n">
        <x:f>J280*MIN(1,tun_LeanBase*EXP(tun_CapsByProject*SUMPRODUCT((Cap_Point&lt;=I280)*(Cap_Kind="Lean")*Cap_Ln)))</x:f>
        <x:v>391.5437763066515</x:v>
      </x:c>
      <x:c r="L280" s="10" t="n">
        <x:f>INDEX(tun_HousingCap,G280)*EXP(tun_CapsByProject*SUMPRODUCT((Cap_Point&lt;=I280)*(Cap_Kind="Housing")*Cap_Ln))</x:f>
        <x:v>1981.8141431314853</x:v>
      </x:c>
      <x:c r="M280" s="10" t="n">
        <x:f>INDEX(tun_GroupCap,G280)*tun_CohesionFactor*EXP(tun_CapsByProject*SUMPRODUCT((Cap_Point&lt;=I280)*(Cap_Kind="Group")*Cap_Ln))</x:f>
        <x:v>50000.00000000004</x:v>
      </x:c>
      <x:c r="N280" s="32" t="n">
        <x:f>MIN(J280,L280,M280)</x:f>
        <x:v>391.5437763066515</x:v>
      </x:c>
      <x:c r="O280" s="10" t="n">
        <x:f>AE279*N280</x:f>
        <x:v>1957.7188815332577</x:v>
      </x:c>
      <x:c r="P280" s="9" t="n">
        <x:f>MIN(1,(AB279/(AE279*IF(tun_GroupInCrowding=1,N280,MIN(J280,L280))))^tun_CrowdingExp)</x:f>
        <x:v>0.18124700880912603</x:v>
      </x:c>
      <x:c r="Q280" s="9" t="n">
        <x:f>IF(D280=1,INDEX(tun_WinterMult,G280),1)</x:f>
        <x:v>1</x:v>
      </x:c>
      <x:c r="R280" s="9" t="n">
        <x:f>H280*Z279*tun_WomenShare*tun_BaseFertility*INDEX(tun_FertMult,G280)*Arch_Fertility*(1-P280)</x:f>
        <x:v>31.70978195439521</x:v>
      </x:c>
      <x:c r="S280" s="9" t="n">
        <x:f>H280*Y279*INDEX(tun_MortChild,G280)/4*Q280</x:f>
        <x:v>5.672157227733775</x:v>
      </x:c>
      <x:c r="T280" s="9" t="n">
        <x:f>H280*Z279*INDEX(tun_MortAdult,G280)*Arch_AdultMort/4*Q280</x:f>
        <x:v>1.4218822148230983</x:v>
      </x:c>
      <x:c r="U280" s="9" t="n">
        <x:f>H280*AA279*INDEX(tun_MortElder,G280)/4*Q280</x:f>
        <x:v>1.8960945740398565</x:v>
      </x:c>
      <x:c r="V280" s="9" t="n">
        <x:f>H280*MAX(0,AB279-O280)*tun_OvercapLoss</x:f>
        <x:v>0</x:v>
      </x:c>
      <x:c r="W280" s="9" t="n">
        <x:f>H280*Y279/(tun_ChildYears*4)</x:f>
        <x:v>13.97083061018171</x:v>
      </x:c>
      <x:c r="X280" s="9" t="n">
        <x:f>H280*Z279/(tun_AdultYears*4)</x:f>
        <x:v>4.368301735247614</x:v>
      </x:c>
      <x:c r="Y280" s="32" t="n">
        <x:f>Y279+R280-S280-W280-Y279*V280/AB279</x:f>
        <x:v>794.4333082866556</x:v>
      </x:c>
      <x:c r="Z280" s="32" t="n">
        <x:f>Z279+W280-X280-T280-Z279*V280/AB279</x:f>
        <x:v>549.850061830815</x:v>
      </x:c>
      <x:c r="AA280" s="32" t="n">
        <x:f>AA279+X280-U280-AA279*V280/AB279</x:f>
        <x:v>151.1855070859024</x:v>
      </x:c>
      <x:c r="AB280" s="10" t="n">
        <x:f>Y280+Z280+AA280</x:f>
        <x:v>1495.4688772033728</x:v>
      </x:c>
      <x:c r="AC280" s="8" t="n">
        <x:f>IF(AND(tun_WinterTrigger=1,D280=1,AB279/AE279&gt;=K280),1,0)</x:f>
        <x:v>0</x:v>
      </x:c>
      <x:c r="AD280" s="8" t="n">
        <x:f>H280*IF(AND(OR(AB279/AE279&gt;=tun_FissionTrigger*N280,AC280=1),AB279/AE279*tun_DaughterShare&gt;=tun_MinDaughter),MAX(1,ROUND(AE279*tun_FissionRate,0)),0)</x:f>
        <x:v>0</x:v>
      </x:c>
      <x:c r="AE280" s="8" t="n">
        <x:f>IF(H280=1,MAX(1,MIN(INDEX(tun_Smax,G280),AE279+AD280)),AE279)</x:f>
        <x:v>5</x:v>
      </x:c>
      <x:c r="AF280" s="8" t="n">
        <x:f>MAX(0,AE280-AE279)</x:f>
        <x:v>0</x:v>
      </x:c>
      <x:c r="AG280" s="9" t="str">
        <x:f>IF(AF280&gt;0,B280,"")</x:f>
      </x:c>
      <x:c r="AH280" s="9" t="n">
        <x:f>IF(F280&gt;=1,1,(1+tun_LowTiesShare*(AE280-1))/AE280)</x:f>
        <x:v>1</x:v>
      </x:c>
      <x:c r="AI280" s="32" t="n">
        <x:f>(Z280+tun_ElderCommons*INDEX(LM_Elder,G280)*AA280)*AH280</x:f>
        <x:v>1056.9416684160958</x:v>
      </x:c>
      <x:c r="AJ280" s="32" t="n">
        <x:f>H280*tun_CommonsCoef*AI280^tun_CommonsExp*INDEX(LM_Commons,G280)</x:f>
        <x:v>2371.1794839230297</x:v>
      </x:c>
      <x:c r="AK280" s="32" t="n">
        <x:f>H280*tun_RoleScale*Arch_Roles*(AE280*(INDEX(tun_ElderRolePerSett,G280)*tun_OutElder*INDEX(LM_Elder,G280)+INDEX(tun_ShamanPerSett,G280)*tun_OutShaman)+Z280*(INDEX(tun_PriestShare,G280)*tun_OutPriest+INDEX(tun_ScribeShare,G280)*tun_OutScribe*INDEX(LM_Scribe,G280)+INDEX(tun_ScholarShare,G280)*tun_OutScholar*INDEX(LM_Scholar,G280)+INDEX(tun_ResearcherShare,G280)*tun_OutResearcher*INDEX(LM_Researcher,G280)))</x:f>
        <x:v>439.01353117812994</x:v>
      </x:c>
      <x:c r="AL280" s="32" t="n">
        <x:f>H280*tun_RoleScale*Arch_Roles*AE280*INDEX(tun_MonasteryPerSett,G280)*tun_OutMonastery*INDEX(LM_Monastery,G280)</x:f>
        <x:v>12.58570617804182</x:v>
      </x:c>
      <x:c r="AM280" s="32" t="n">
        <x:f>(AJ280+AK280+AL280)/4*INDEX(LM_All,G280)*INDEX(tun_Boon,G280)*Arch_Insight</x:f>
        <x:v>1017.1887105151807</x:v>
      </x:c>
      <x:c r="AN280" s="32" t="n">
        <x:f>H280*(tun_KHPerAdult*Z280+tun_KHOfCommons*AJ280/4*INDEX(LM_All,G280))*tun_KHUsable*Arch_KH</x:f>
        <x:v>185.02733028610254</x:v>
      </x:c>
      <x:c r="AO280" s="32" t="n">
        <x:f>MIN(AP279+AN280,AM280*tun_KHMaxRatio)</x:f>
        <x:v>185.02733028610254</x:v>
      </x:c>
      <x:c r="AP280" s="32" t="n">
        <x:f>AP279+AN280-AO280</x:f>
        <x:v>0</x:v>
      </x:c>
      <x:c r="AQ280" s="32" t="n">
        <x:f>AM280+AO280</x:f>
        <x:v>1202.2160408012833</x:v>
      </x:c>
      <x:c r="AR280" s="10" t="n">
        <x:f>IF(H280=1,INDEX(tun_Req,G280),0)</x:f>
        <x:v>88783.394528</x:v>
      </x:c>
      <x:c r="AS280" s="32" t="n">
        <x:f>IF(H280=1,IF(E280=1,AS279-AR279,AS279)+AQ280,0)</x:f>
        <x:v>36931.02956678295</x:v>
      </x:c>
      <x:c r="AT280" s="11" t="n">
        <x:f>IF(AR280&gt;0,MIN(1,AS280/AR280),1)</x:f>
        <x:v>0.4159677579700543</x:v>
      </x:c>
      <x:c r="AU280" s="10" t="n">
        <x:f>AB280/INDEX(tun_RepScale,G280)</x:f>
        <x:v>299.09377544067456</x:v>
      </x:c>
      <x:c r="AV280" s="32" t="n">
        <x:f>AM280*60/tun_SeasonSeconds</x:f>
        <x:v>4068.7548420607227</x:v>
      </x:c>
    </x:row>
    <x:row r="281">
      <x:c r="A281" s="8" t="n">
        <x:f>A280+1</x:f>
        <x:v>278</x:v>
      </x:c>
      <x:c r="B281" s="9" t="n">
        <x:f>A281*tun_SeasonSeconds/60</x:f>
        <x:v>69.5</x:v>
      </x:c>
      <x:c r="C281" s="9" t="n">
        <x:f>A281/4</x:f>
        <x:v>69.5</x:v>
      </x:c>
      <x:c r="D281" s="8" t="n">
        <x:f>IF(MOD(A281,4)=0,1,0)</x:f>
        <x:v>0</x:v>
      </x:c>
      <x:c r="E281" s="8" t="n">
        <x:f>IF(AND(F280&lt;=9,AS280&gt;=AR280),1,0)</x:f>
        <x:v>0</x:v>
      </x:c>
      <x:c r="F281" s="8" t="n">
        <x:f>MIN(10,F280+E281)</x:f>
        <x:v>5</x:v>
      </x:c>
      <x:c r="G281" s="8" t="n">
        <x:f>MIN(F281,9)+1</x:f>
        <x:v>6</x:v>
      </x:c>
      <x:c r="H281" s="8" t="n">
        <x:f>IF(F281&lt;=9,1,0)</x:f>
        <x:v>1</x:v>
      </x:c>
      <x:c r="I281" s="9" t="n">
        <x:f>MIN(10,F280+IF(AR280&gt;0,MIN(1,AS280/AR280),1))</x:f>
        <x:v>5.415967757970054</x:v>
      </x:c>
      <x:c r="J281" s="32" t="n">
        <x:f>INDEX(tun_FoodCap,G281)*Arch_FoodCap*EXP(tun_CapsByProject*SUMPRODUCT((Cap_Point&lt;=I281)*(Cap_Kind="Food")*Cap_Ln))</x:f>
        <x:v>391.5437763066515</x:v>
      </x:c>
      <x:c r="K281" s="32" t="n">
        <x:f>J281*MIN(1,tun_LeanBase*EXP(tun_CapsByProject*SUMPRODUCT((Cap_Point&lt;=I281)*(Cap_Kind="Lean")*Cap_Ln)))</x:f>
        <x:v>391.5437763066515</x:v>
      </x:c>
      <x:c r="L281" s="10" t="n">
        <x:f>INDEX(tun_HousingCap,G281)*EXP(tun_CapsByProject*SUMPRODUCT((Cap_Point&lt;=I281)*(Cap_Kind="Housing")*Cap_Ln))</x:f>
        <x:v>1981.8141431314853</x:v>
      </x:c>
      <x:c r="M281" s="10" t="n">
        <x:f>INDEX(tun_GroupCap,G281)*tun_CohesionFactor*EXP(tun_CapsByProject*SUMPRODUCT((Cap_Point&lt;=I281)*(Cap_Kind="Group")*Cap_Ln))</x:f>
        <x:v>50000.00000000004</x:v>
      </x:c>
      <x:c r="N281" s="32" t="n">
        <x:f>MIN(J281,L281,M281)</x:f>
        <x:v>391.5437763066515</x:v>
      </x:c>
      <x:c r="O281" s="10" t="n">
        <x:f>AE280*N281</x:f>
        <x:v>1957.7188815332577</x:v>
      </x:c>
      <x:c r="P281" s="9" t="n">
        <x:f>MIN(1,(AB280/(AE280*IF(tun_GroupInCrowding=1,N281,MIN(J281,L281))))^tun_CrowdingExp)</x:f>
        <x:v>0.19868372710188073</x:v>
      </x:c>
      <x:c r="Q281" s="9" t="n">
        <x:f>IF(D281=1,INDEX(tun_WinterMult,G281),1)</x:f>
        <x:v>1</x:v>
      </x:c>
      <x:c r="R281" s="9" t="n">
        <x:f>H281*Z280*tun_WomenShare*tun_BaseFertility*INDEX(tun_FertMult,G281)*Arch_Fertility*(1-P281)</x:f>
        <x:v>31.503171857233443</x:v>
      </x:c>
      <x:c r="S281" s="9" t="n">
        <x:f>H281*Y280*INDEX(tun_MortChild,G281)/4*Q281</x:f>
        <x:v>5.759641485078253</x:v>
      </x:c>
      <x:c r="T281" s="9" t="n">
        <x:f>H281*Z280*INDEX(tun_MortAdult,G281)*Arch_AdultMort/4*Q281</x:f>
        <x:v>1.4433564123058895</x:v>
      </x:c>
      <x:c r="U281" s="9" t="n">
        <x:f>H281*AA280*INDEX(tun_MortElder,G281)/4*Q281</x:f>
        <x:v>1.9276152153452555</x:v>
      </x:c>
      <x:c r="V281" s="9" t="n">
        <x:f>H281*MAX(0,AB280-O281)*tun_OvercapLoss</x:f>
        <x:v>0</x:v>
      </x:c>
      <x:c r="W281" s="9" t="n">
        <x:f>H281*Y280/(tun_ChildYears*4)</x:f>
        <x:v>14.18630907654742</x:v>
      </x:c>
      <x:c r="X281" s="9" t="n">
        <x:f>H281*Z280/(tun_AdultYears*4)</x:f>
        <x:v>4.434274692183992</x:v>
      </x:c>
      <x:c r="Y281" s="32" t="n">
        <x:f>Y280+R281-S281-W281-Y280*V281/AB280</x:f>
        <x:v>805.9905295822633</x:v>
      </x:c>
      <x:c r="Z281" s="32" t="n">
        <x:f>Z280+W281-X281-T281-Z280*V281/AB280</x:f>
        <x:v>558.1587398028726</x:v>
      </x:c>
      <x:c r="AA281" s="32" t="n">
        <x:f>AA280+X281-U281-AA280*V281/AB280</x:f>
        <x:v>153.69216656274116</x:v>
      </x:c>
      <x:c r="AB281" s="10" t="n">
        <x:f>Y281+Z281+AA281</x:f>
        <x:v>1517.8414359478772</x:v>
      </x:c>
      <x:c r="AC281" s="8" t="n">
        <x:f>IF(AND(tun_WinterTrigger=1,D281=1,AB280/AE280&gt;=K281),1,0)</x:f>
        <x:v>0</x:v>
      </x:c>
      <x:c r="AD281" s="8" t="n">
        <x:f>H281*IF(AND(OR(AB280/AE280&gt;=tun_FissionTrigger*N281,AC281=1),AB280/AE280*tun_DaughterShare&gt;=tun_MinDaughter),MAX(1,ROUND(AE280*tun_FissionRate,0)),0)</x:f>
        <x:v>0</x:v>
      </x:c>
      <x:c r="AE281" s="8" t="n">
        <x:f>IF(H281=1,MAX(1,MIN(INDEX(tun_Smax,G281),AE280+AD281)),AE280)</x:f>
        <x:v>5</x:v>
      </x:c>
      <x:c r="AF281" s="8" t="n">
        <x:f>MAX(0,AE281-AE280)</x:f>
        <x:v>0</x:v>
      </x:c>
      <x:c r="AG281" s="9" t="str">
        <x:f>IF(AF281&gt;0,B281,"")</x:f>
      </x:c>
      <x:c r="AH281" s="9" t="n">
        <x:f>IF(F281&gt;=1,1,(1+tun_LowTiesShare*(AE281-1))/AE281)</x:f>
        <x:v>1</x:v>
      </x:c>
      <x:c r="AI281" s="32" t="n">
        <x:f>(Z281+tun_ElderCommons*INDEX(LM_Elder,G281)*AA281)*AH281</x:f>
        <x:v>1073.6579378681367</x:v>
      </x:c>
      <x:c r="AJ281" s="32" t="n">
        <x:f>H281*tun_CommonsCoef*AI281^tun_CommonsExp*INDEX(LM_Commons,G281)</x:f>
        <x:v>2403.0184783001773</x:v>
      </x:c>
      <x:c r="AK281" s="32" t="n">
        <x:f>H281*tun_RoleScale*Arch_Roles*(AE281*(INDEX(tun_ElderRolePerSett,G281)*tun_OutElder*INDEX(LM_Elder,G281)+INDEX(tun_ShamanPerSett,G281)*tun_OutShaman)+Z281*(INDEX(tun_PriestShare,G281)*tun_OutPriest+INDEX(tun_ScribeShare,G281)*tun_OutScribe*INDEX(LM_Scribe,G281)+INDEX(tun_ScholarShare,G281)*tun_OutScholar*INDEX(LM_Scholar,G281)+INDEX(tun_ResearcherShare,G281)*tun_OutResearcher*INDEX(LM_Researcher,G281)))</x:f>
        <x:v>443.72706764027305</x:v>
      </x:c>
      <x:c r="AL281" s="32" t="n">
        <x:f>H281*tun_RoleScale*Arch_Roles*AE281*INDEX(tun_MonasteryPerSett,G281)*tun_OutMonastery*INDEX(LM_Monastery,G281)</x:f>
        <x:v>12.58570617804182</x:v>
      </x:c>
      <x:c r="AM281" s="32" t="n">
        <x:f>(AJ281+AK281+AL281)/4*INDEX(LM_All,G281)*INDEX(tun_Boon,G281)*Arch_Insight</x:f>
        <x:v>1030.3604201607866</x:v>
      </x:c>
      <x:c r="AN281" s="32" t="n">
        <x:f>H281*(tun_KHPerAdult*Z281+tun_KHOfCommons*AJ281/4*INDEX(LM_All,G281))*tun_KHUsable*Arch_KH</x:f>
        <x:v>187.51178334777094</x:v>
      </x:c>
      <x:c r="AO281" s="32" t="n">
        <x:f>MIN(AP280+AN281,AM281*tun_KHMaxRatio)</x:f>
        <x:v>187.51178334777094</x:v>
      </x:c>
      <x:c r="AP281" s="32" t="n">
        <x:f>AP280+AN281-AO281</x:f>
        <x:v>0</x:v>
      </x:c>
      <x:c r="AQ281" s="32" t="n">
        <x:f>AM281+AO281</x:f>
        <x:v>1217.8722035085575</x:v>
      </x:c>
      <x:c r="AR281" s="10" t="n">
        <x:f>IF(H281=1,INDEX(tun_Req,G281),0)</x:f>
        <x:v>88783.394528</x:v>
      </x:c>
      <x:c r="AS281" s="32" t="n">
        <x:f>IF(H281=1,IF(E281=1,AS280-AR280,AS280)+AQ281,0)</x:f>
        <x:v>38148.90177029151</x:v>
      </x:c>
      <x:c r="AT281" s="11" t="n">
        <x:f>IF(AR281&gt;0,MIN(1,AS281/AR281),1)</x:f>
        <x:v>0.4296851001598089</x:v>
      </x:c>
      <x:c r="AU281" s="10" t="n">
        <x:f>AB281/INDEX(tun_RepScale,G281)</x:f>
        <x:v>303.56828718957547</x:v>
      </x:c>
      <x:c r="AV281" s="32" t="n">
        <x:f>AM281*60/tun_SeasonSeconds</x:f>
        <x:v>4121.441680643146</x:v>
      </x:c>
    </x:row>
    <x:row r="282">
      <x:c r="A282" s="8" t="n">
        <x:f>A281+1</x:f>
        <x:v>279</x:v>
      </x:c>
      <x:c r="B282" s="9" t="n">
        <x:f>A282*tun_SeasonSeconds/60</x:f>
        <x:v>69.75</x:v>
      </x:c>
      <x:c r="C282" s="9" t="n">
        <x:f>A282/4</x:f>
        <x:v>69.75</x:v>
      </x:c>
      <x:c r="D282" s="8" t="n">
        <x:f>IF(MOD(A282,4)=0,1,0)</x:f>
        <x:v>0</x:v>
      </x:c>
      <x:c r="E282" s="8" t="n">
        <x:f>IF(AND(F281&lt;=9,AS281&gt;=AR281),1,0)</x:f>
        <x:v>0</x:v>
      </x:c>
      <x:c r="F282" s="8" t="n">
        <x:f>MIN(10,F281+E282)</x:f>
        <x:v>5</x:v>
      </x:c>
      <x:c r="G282" s="8" t="n">
        <x:f>MIN(F282,9)+1</x:f>
        <x:v>6</x:v>
      </x:c>
      <x:c r="H282" s="8" t="n">
        <x:f>IF(F282&lt;=9,1,0)</x:f>
        <x:v>1</x:v>
      </x:c>
      <x:c r="I282" s="9" t="n">
        <x:f>MIN(10,F281+IF(AR281&gt;0,MIN(1,AS281/AR281),1))</x:f>
        <x:v>5.4296851001598085</x:v>
      </x:c>
      <x:c r="J282" s="32" t="n">
        <x:f>INDEX(tun_FoodCap,G282)*Arch_FoodCap*EXP(tun_CapsByProject*SUMPRODUCT((Cap_Point&lt;=I282)*(Cap_Kind="Food")*Cap_Ln))</x:f>
        <x:v>391.5437763066515</x:v>
      </x:c>
      <x:c r="K282" s="32" t="n">
        <x:f>J282*MIN(1,tun_LeanBase*EXP(tun_CapsByProject*SUMPRODUCT((Cap_Point&lt;=I282)*(Cap_Kind="Lean")*Cap_Ln)))</x:f>
        <x:v>391.5437763066515</x:v>
      </x:c>
      <x:c r="L282" s="10" t="n">
        <x:f>INDEX(tun_HousingCap,G282)*EXP(tun_CapsByProject*SUMPRODUCT((Cap_Point&lt;=I282)*(Cap_Kind="Housing")*Cap_Ln))</x:f>
        <x:v>1981.8141431314853</x:v>
      </x:c>
      <x:c r="M282" s="10" t="n">
        <x:f>INDEX(tun_GroupCap,G282)*tun_CohesionFactor*EXP(tun_CapsByProject*SUMPRODUCT((Cap_Point&lt;=I282)*(Cap_Kind="Group")*Cap_Ln))</x:f>
        <x:v>50000.00000000004</x:v>
      </x:c>
      <x:c r="N282" s="32" t="n">
        <x:f>MIN(J282,L282,M282)</x:f>
        <x:v>391.5437763066515</x:v>
      </x:c>
      <x:c r="O282" s="10" t="n">
        <x:f>AE281*N282</x:f>
        <x:v>1957.7188815332577</x:v>
      </x:c>
      <x:c r="P282" s="9" t="n">
        <x:f>MIN(1,(AB281/(AE281*IF(tun_GroupInCrowding=1,N282,MIN(J282,L282))))^tun_CrowdingExp)</x:f>
        <x:v>0.21719831444802337</x:v>
      </x:c>
      <x:c r="Q282" s="9" t="n">
        <x:f>IF(D282=1,INDEX(tun_WinterMult,G282),1)</x:f>
        <x:v>1</x:v>
      </x:c>
      <x:c r="R282" s="9" t="n">
        <x:f>H282*Z281*tun_WomenShare*tun_BaseFertility*INDEX(tun_FertMult,G282)*Arch_Fertility*(1-P282)</x:f>
        <x:v>31.24032356611279</x:v>
      </x:c>
      <x:c r="S282" s="9" t="n">
        <x:f>H282*Y281*INDEX(tun_MortChild,G282)/4*Q282</x:f>
        <x:v>5.843431339471409</x:v>
      </x:c>
      <x:c r="T282" s="9" t="n">
        <x:f>H282*Z281*INDEX(tun_MortAdult,G282)*Arch_AdultMort/4*Q282</x:f>
        <x:v>1.4651666919825406</x:v>
      </x:c>
      <x:c r="U282" s="9" t="n">
        <x:f>H282*AA281*INDEX(tun_MortElder,G282)/4*Q282</x:f>
        <x:v>1.9595751236749497</x:v>
      </x:c>
      <x:c r="V282" s="9" t="n">
        <x:f>H282*MAX(0,AB281-O282)*tun_OvercapLoss</x:f>
        <x:v>0</x:v>
      </x:c>
      <x:c r="W282" s="9" t="n">
        <x:f>H282*Y281/(tun_ChildYears*4)</x:f>
        <x:v>14.392688028254701</x:v>
      </x:c>
      <x:c r="X282" s="9" t="n">
        <x:f>H282*Z281/(tun_AdultYears*4)</x:f>
        <x:v>4.501280159700586</x:v>
      </x:c>
      <x:c r="Y282" s="32" t="n">
        <x:f>Y281+R282-S282-W282-Y281*V282/AB281</x:f>
        <x:v>816.99473378065</x:v>
      </x:c>
      <x:c r="Z282" s="32" t="n">
        <x:f>Z281+W282-X282-T282-Z281*V282/AB281</x:f>
        <x:v>566.5849809794441</x:v>
      </x:c>
      <x:c r="AA282" s="32" t="n">
        <x:f>AA281+X282-U282-AA281*V282/AB281</x:f>
        <x:v>156.23387159876683</x:v>
      </x:c>
      <x:c r="AB282" s="10" t="n">
        <x:f>Y282+Z282+AA282</x:f>
        <x:v>1539.8135863588611</x:v>
      </x:c>
      <x:c r="AC282" s="8" t="n">
        <x:f>IF(AND(tun_WinterTrigger=1,D282=1,AB281/AE281&gt;=K282),1,0)</x:f>
        <x:v>0</x:v>
      </x:c>
      <x:c r="AD282" s="8" t="n">
        <x:f>H282*IF(AND(OR(AB281/AE281&gt;=tun_FissionTrigger*N282,AC282=1),AB281/AE281*tun_DaughterShare&gt;=tun_MinDaughter),MAX(1,ROUND(AE281*tun_FissionRate,0)),0)</x:f>
        <x:v>0</x:v>
      </x:c>
      <x:c r="AE282" s="8" t="n">
        <x:f>IF(H282=1,MAX(1,MIN(INDEX(tun_Smax,G282),AE281+AD282)),AE281)</x:f>
        <x:v>5</x:v>
      </x:c>
      <x:c r="AF282" s="8" t="n">
        <x:f>MAX(0,AE282-AE281)</x:f>
        <x:v>0</x:v>
      </x:c>
      <x:c r="AG282" s="9" t="str">
        <x:f>IF(AF282&gt;0,B282,"")</x:f>
      </x:c>
      <x:c r="AH282" s="9" t="n">
        <x:f>IF(F282&gt;=1,1,(1+tun_LowTiesShare*(AE282-1))/AE282)</x:f>
        <x:v>1</x:v>
      </x:c>
      <x:c r="AI282" s="32" t="n">
        <x:f>(Z282+tun_ElderCommons*INDEX(LM_Elder,G282)*AA282)*AH282</x:f>
        <x:v>1090.6093169036687</x:v>
      </x:c>
      <x:c r="AJ282" s="32" t="n">
        <x:f>H282*tun_CommonsCoef*AI282^tun_CommonsExp*INDEX(LM_Commons,G282)</x:f>
        <x:v>2435.2294372669503</x:v>
      </x:c>
      <x:c r="AK282" s="32" t="n">
        <x:f>H282*tun_RoleScale*Arch_Roles*(AE282*(INDEX(tun_ElderRolePerSett,G282)*tun_OutElder*INDEX(LM_Elder,G282)+INDEX(tun_ShamanPerSett,G282)*tun_OutShaman)+Z282*(INDEX(tun_PriestShare,G282)*tun_OutPriest+INDEX(tun_ScribeShare,G282)*tun_OutScribe*INDEX(LM_Scribe,G282)+INDEX(tun_ScholarShare,G282)*tun_OutScholar*INDEX(LM_Scholar,G282)+INDEX(tun_ResearcherShare,G282)*tun_OutResearcher*INDEX(LM_Researcher,G282)))</x:f>
        <x:v>448.50729804012167</x:v>
      </x:c>
      <x:c r="AL282" s="32" t="n">
        <x:f>H282*tun_RoleScale*Arch_Roles*AE282*INDEX(tun_MonasteryPerSett,G282)*tun_OutMonastery*INDEX(LM_Monastery,G282)</x:f>
        <x:v>12.58570617804182</x:v>
      </x:c>
      <x:c r="AM282" s="32" t="n">
        <x:f>(AJ282+AK282+AL282)/4*INDEX(LM_All,G282)*INDEX(tun_Boon,G282)*Arch_Insight</x:f>
        <x:v>1043.6902004686124</x:v>
      </x:c>
      <x:c r="AN282" s="32" t="n">
        <x:f>H282*(tun_KHPerAdult*Z282+tun_KHOfCommons*AJ282/4*INDEX(LM_All,G282))*tun_KHUsable*Arch_KH</x:f>
        <x:v>190.02526146445774</x:v>
      </x:c>
      <x:c r="AO282" s="32" t="n">
        <x:f>MIN(AP281+AN282,AM282*tun_KHMaxRatio)</x:f>
        <x:v>190.02526146445774</x:v>
      </x:c>
      <x:c r="AP282" s="32" t="n">
        <x:f>AP281+AN282-AO282</x:f>
        <x:v>0</x:v>
      </x:c>
      <x:c r="AQ282" s="32" t="n">
        <x:f>AM282+AO282</x:f>
        <x:v>1233.7154619330702</x:v>
      </x:c>
      <x:c r="AR282" s="10" t="n">
        <x:f>IF(H282=1,INDEX(tun_Req,G282),0)</x:f>
        <x:v>88783.394528</x:v>
      </x:c>
      <x:c r="AS282" s="32" t="n">
        <x:f>IF(H282=1,IF(E282=1,AS281-AR281,AS281)+AQ282,0)</x:f>
        <x:v>39382.61723222458</x:v>
      </x:c>
      <x:c r="AT282" s="11" t="n">
        <x:f>IF(AR282&gt;0,MIN(1,AS282/AR282),1)</x:f>
        <x:v>0.4435808907915129</x:v>
      </x:c>
      <x:c r="AU282" s="10" t="n">
        <x:f>AB282/INDEX(tun_RepScale,G282)</x:f>
        <x:v>307.96271727177225</x:v>
      </x:c>
      <x:c r="AV282" s="32" t="n">
        <x:f>AM282*60/tun_SeasonSeconds</x:f>
        <x:v>4174.7608018744495</x:v>
      </x:c>
    </x:row>
    <x:row r="283">
      <x:c r="A283" s="8" t="n">
        <x:f>A282+1</x:f>
        <x:v>280</x:v>
      </x:c>
      <x:c r="B283" s="9" t="n">
        <x:f>A283*tun_SeasonSeconds/60</x:f>
        <x:v>70</x:v>
      </x:c>
      <x:c r="C283" s="9" t="n">
        <x:f>A283/4</x:f>
        <x:v>70</x:v>
      </x:c>
      <x:c r="D283" s="8" t="n">
        <x:f>IF(MOD(A283,4)=0,1,0)</x:f>
        <x:v>1</x:v>
      </x:c>
      <x:c r="E283" s="8" t="n">
        <x:f>IF(AND(F282&lt;=9,AS282&gt;=AR282),1,0)</x:f>
        <x:v>0</x:v>
      </x:c>
      <x:c r="F283" s="8" t="n">
        <x:f>MIN(10,F282+E283)</x:f>
        <x:v>5</x:v>
      </x:c>
      <x:c r="G283" s="8" t="n">
        <x:f>MIN(F283,9)+1</x:f>
        <x:v>6</x:v>
      </x:c>
      <x:c r="H283" s="8" t="n">
        <x:f>IF(F283&lt;=9,1,0)</x:f>
        <x:v>1</x:v>
      </x:c>
      <x:c r="I283" s="9" t="n">
        <x:f>MIN(10,F282+IF(AR282&gt;0,MIN(1,AS282/AR282),1))</x:f>
        <x:v>5.443580890791513</x:v>
      </x:c>
      <x:c r="J283" s="32" t="n">
        <x:f>INDEX(tun_FoodCap,G283)*Arch_FoodCap*EXP(tun_CapsByProject*SUMPRODUCT((Cap_Point&lt;=I283)*(Cap_Kind="Food")*Cap_Ln))</x:f>
        <x:v>391.5437763066515</x:v>
      </x:c>
      <x:c r="K283" s="32" t="n">
        <x:f>J283*MIN(1,tun_LeanBase*EXP(tun_CapsByProject*SUMPRODUCT((Cap_Point&lt;=I283)*(Cap_Kind="Lean")*Cap_Ln)))</x:f>
        <x:v>391.5437763066515</x:v>
      </x:c>
      <x:c r="L283" s="10" t="n">
        <x:f>INDEX(tun_HousingCap,G283)*EXP(tun_CapsByProject*SUMPRODUCT((Cap_Point&lt;=I283)*(Cap_Kind="Housing")*Cap_Ln))</x:f>
        <x:v>1981.8141431314853</x:v>
      </x:c>
      <x:c r="M283" s="10" t="n">
        <x:f>INDEX(tun_GroupCap,G283)*tun_CohesionFactor*EXP(tun_CapsByProject*SUMPRODUCT((Cap_Point&lt;=I283)*(Cap_Kind="Group")*Cap_Ln))</x:f>
        <x:v>50000.00000000004</x:v>
      </x:c>
      <x:c r="N283" s="32" t="n">
        <x:f>MIN(J283,L283,M283)</x:f>
        <x:v>391.5437763066515</x:v>
      </x:c>
      <x:c r="O283" s="10" t="n">
        <x:f>AE282*N283</x:f>
        <x:v>1957.7188815332577</x:v>
      </x:c>
      <x:c r="P283" s="9" t="n">
        <x:f>MIN(1,(AB282/(AE282*IF(tun_GroupInCrowding=1,N283,MIN(J283,L283))))^tun_CrowdingExp)</x:f>
        <x:v>0.23675922338017338</x:v>
      </x:c>
      <x:c r="Q283" s="9" t="n">
        <x:f>IF(D283=1,INDEX(tun_WinterMult,G283),1)</x:f>
        <x:v>1.15</x:v>
      </x:c>
      <x:c r="R283" s="9" t="n">
        <x:f>H283*Z282*tun_WomenShare*tun_BaseFertility*INDEX(tun_FertMult,G283)*Arch_Fertility*(1-P283)</x:f>
        <x:v>30.919514404627467</x:v>
      </x:c>
      <x:c r="S283" s="9" t="n">
        <x:f>H283*Y282*INDEX(tun_MortChild,G283)/4*Q283</x:f>
        <x:v>6.8116935928961695</x:v>
      </x:c>
      <x:c r="T283" s="9" t="n">
        <x:f>H283*Z282*INDEX(tun_MortAdult,G283)*Arch_AdultMort/4*Q283</x:f>
        <x:v>1.710378411331697</x:v>
      </x:c>
      <x:c r="U283" s="9" t="n">
        <x:f>H283*AA282*INDEX(tun_MortElder,G283)/4*Q283</x:f>
        <x:v>2.2907791423169184</x:v>
      </x:c>
      <x:c r="V283" s="9" t="n">
        <x:f>H283*MAX(0,AB282-O283)*tun_OvercapLoss</x:f>
        <x:v>0</x:v>
      </x:c>
      <x:c r="W283" s="9" t="n">
        <x:f>H283*Y282/(tun_ChildYears*4)</x:f>
        <x:v>14.589191674654463</x:v>
      </x:c>
      <x:c r="X283" s="9" t="n">
        <x:f>H283*Z282/(tun_AdultYears*4)</x:f>
        <x:v>4.569233717576163</x:v>
      </x:c>
      <x:c r="Y283" s="32" t="n">
        <x:f>Y282+R283-S283-W283-Y282*V283/AB282</x:f>
        <x:v>826.5133629177268</x:v>
      </x:c>
      <x:c r="Z283" s="32" t="n">
        <x:f>Z282+W283-X283-T283-Z282*V283/AB282</x:f>
        <x:v>574.8945605251907</x:v>
      </x:c>
      <x:c r="AA283" s="32" t="n">
        <x:f>AA282+X283-U283-AA282*V283/AB282</x:f>
        <x:v>158.51232617402607</x:v>
      </x:c>
      <x:c r="AB283" s="10" t="n">
        <x:f>Y283+Z283+AA283</x:f>
        <x:v>1559.9202496169437</x:v>
      </x:c>
      <x:c r="AC283" s="8" t="n">
        <x:f>IF(AND(tun_WinterTrigger=1,D283=1,AB282/AE282&gt;=K283),1,0)</x:f>
        <x:v>0</x:v>
      </x:c>
      <x:c r="AD283" s="8" t="n">
        <x:f>H283*IF(AND(OR(AB282/AE282&gt;=tun_FissionTrigger*N283,AC283=1),AB282/AE282*tun_DaughterShare&gt;=tun_MinDaughter),MAX(1,ROUND(AE282*tun_FissionRate,0)),0)</x:f>
        <x:v>0</x:v>
      </x:c>
      <x:c r="AE283" s="8" t="n">
        <x:f>IF(H283=1,MAX(1,MIN(INDEX(tun_Smax,G283),AE282+AD283)),AE282)</x:f>
        <x:v>5</x:v>
      </x:c>
      <x:c r="AF283" s="8" t="n">
        <x:f>MAX(0,AE283-AE282)</x:f>
        <x:v>0</x:v>
      </x:c>
      <x:c r="AG283" s="9" t="str">
        <x:f>IF(AF283&gt;0,B283,"")</x:f>
      </x:c>
      <x:c r="AH283" s="9" t="n">
        <x:f>IF(F283&gt;=1,1,(1+tun_LowTiesShare*(AE283-1))/AE283)</x:f>
        <x:v>1</x:v>
      </x:c>
      <x:c r="AI283" s="32" t="n">
        <x:f>(Z283+tun_ElderCommons*INDEX(LM_Elder,G283)*AA283)*AH283</x:f>
        <x:v>1106.5610654203028</x:v>
      </x:c>
      <x:c r="AJ283" s="32" t="n">
        <x:f>H283*tun_CommonsCoef*AI283^tun_CommonsExp*INDEX(LM_Commons,G283)</x:f>
        <x:v>2465.4723682941612</x:v>
      </x:c>
      <x:c r="AK283" s="32" t="n">
        <x:f>H283*tun_RoleScale*Arch_Roles*(AE283*(INDEX(tun_ElderRolePerSett,G283)*tun_OutElder*INDEX(LM_Elder,G283)+INDEX(tun_ShamanPerSett,G283)*tun_OutShaman)+Z283*(INDEX(tun_PriestShare,G283)*tun_OutPriest+INDEX(tun_ScribeShare,G283)*tun_OutScribe*INDEX(LM_Scribe,G283)+INDEX(tun_ScholarShare,G283)*tun_OutScholar*INDEX(LM_Scholar,G283)+INDEX(tun_ResearcherShare,G283)*tun_OutResearcher*INDEX(LM_Researcher,G283)))</x:f>
        <x:v>453.221345967563</x:v>
      </x:c>
      <x:c r="AL283" s="32" t="n">
        <x:f>H283*tun_RoleScale*Arch_Roles*AE283*INDEX(tun_MonasteryPerSett,G283)*tun_OutMonastery*INDEX(LM_Monastery,G283)</x:f>
        <x:v>12.58570617804182</x:v>
      </x:c>
      <x:c r="AM283" s="32" t="n">
        <x:f>(AJ283+AK283+AL283)/4*INDEX(LM_All,G283)*INDEX(tun_Boon,G283)*Arch_Insight</x:f>
        <x:v>1056.2869527674518</x:v>
      </x:c>
      <x:c r="AN283" s="32" t="n">
        <x:f>H283*(tun_KHPerAdult*Z283+tun_KHOfCommons*AJ283/4*INDEX(LM_All,G283))*tun_KHUsable*Arch_KH</x:f>
        <x:v>192.38517087913164</x:v>
      </x:c>
      <x:c r="AO283" s="32" t="n">
        <x:f>MIN(AP282+AN283,AM283*tun_KHMaxRatio)</x:f>
        <x:v>192.38517087913164</x:v>
      </x:c>
      <x:c r="AP283" s="32" t="n">
        <x:f>AP282+AN283-AO283</x:f>
        <x:v>0</x:v>
      </x:c>
      <x:c r="AQ283" s="32" t="n">
        <x:f>AM283+AO283</x:f>
        <x:v>1248.6721236465835</x:v>
      </x:c>
      <x:c r="AR283" s="10" t="n">
        <x:f>IF(H283=1,INDEX(tun_Req,G283),0)</x:f>
        <x:v>88783.394528</x:v>
      </x:c>
      <x:c r="AS283" s="32" t="n">
        <x:f>IF(H283=1,IF(E283=1,AS282-AR282,AS282)+AQ283,0)</x:f>
        <x:v>40631.28935587116</x:v>
      </x:c>
      <x:c r="AT283" s="11" t="n">
        <x:f>IF(AR283&gt;0,MIN(1,AS283/AR283),1)</x:f>
        <x:v>0.4576451438005909</x:v>
      </x:c>
      <x:c r="AU283" s="10" t="n">
        <x:f>AB283/INDEX(tun_RepScale,G283)</x:f>
        <x:v>311.98404992338874</x:v>
      </x:c>
      <x:c r="AV283" s="32" t="n">
        <x:f>AM283*60/tun_SeasonSeconds</x:f>
        <x:v>4225.147811069807</x:v>
      </x:c>
    </x:row>
    <x:row r="284">
      <x:c r="A284" s="8" t="n">
        <x:f>A283+1</x:f>
        <x:v>281</x:v>
      </x:c>
      <x:c r="B284" s="9" t="n">
        <x:f>A284*tun_SeasonSeconds/60</x:f>
        <x:v>70.25</x:v>
      </x:c>
      <x:c r="C284" s="9" t="n">
        <x:f>A284/4</x:f>
        <x:v>70.25</x:v>
      </x:c>
      <x:c r="D284" s="8" t="n">
        <x:f>IF(MOD(A284,4)=0,1,0)</x:f>
        <x:v>0</x:v>
      </x:c>
      <x:c r="E284" s="8" t="n">
        <x:f>IF(AND(F283&lt;=9,AS283&gt;=AR283),1,0)</x:f>
        <x:v>0</x:v>
      </x:c>
      <x:c r="F284" s="8" t="n">
        <x:f>MIN(10,F283+E284)</x:f>
        <x:v>5</x:v>
      </x:c>
      <x:c r="G284" s="8" t="n">
        <x:f>MIN(F284,9)+1</x:f>
        <x:v>6</x:v>
      </x:c>
      <x:c r="H284" s="8" t="n">
        <x:f>IF(F284&lt;=9,1,0)</x:f>
        <x:v>1</x:v>
      </x:c>
      <x:c r="I284" s="9" t="n">
        <x:f>MIN(10,F283+IF(AR283&gt;0,MIN(1,AS283/AR283),1))</x:f>
        <x:v>5.457645143800591</x:v>
      </x:c>
      <x:c r="J284" s="32" t="n">
        <x:f>INDEX(tun_FoodCap,G284)*Arch_FoodCap*EXP(tun_CapsByProject*SUMPRODUCT((Cap_Point&lt;=I284)*(Cap_Kind="Food")*Cap_Ln))</x:f>
        <x:v>391.5437763066515</x:v>
      </x:c>
      <x:c r="K284" s="32" t="n">
        <x:f>J284*MIN(1,tun_LeanBase*EXP(tun_CapsByProject*SUMPRODUCT((Cap_Point&lt;=I284)*(Cap_Kind="Lean")*Cap_Ln)))</x:f>
        <x:v>391.5437763066515</x:v>
      </x:c>
      <x:c r="L284" s="10" t="n">
        <x:f>INDEX(tun_HousingCap,G284)*EXP(tun_CapsByProject*SUMPRODUCT((Cap_Point&lt;=I284)*(Cap_Kind="Housing")*Cap_Ln))</x:f>
        <x:v>1981.8141431314853</x:v>
      </x:c>
      <x:c r="M284" s="10" t="n">
        <x:f>INDEX(tun_GroupCap,G284)*tun_CohesionFactor*EXP(tun_CapsByProject*SUMPRODUCT((Cap_Point&lt;=I284)*(Cap_Kind="Group")*Cap_Ln))</x:f>
        <x:v>50000.00000000004</x:v>
      </x:c>
      <x:c r="N284" s="32" t="n">
        <x:f>MIN(J284,L284,M284)</x:f>
        <x:v>391.5437763066515</x:v>
      </x:c>
      <x:c r="O284" s="10" t="n">
        <x:f>AE283*N284</x:f>
        <x:v>1957.7188815332577</x:v>
      </x:c>
      <x:c r="P284" s="9" t="n">
        <x:f>MIN(1,(AB283/(AE283*IF(tun_GroupInCrowding=1,N284,MIN(J284,L284))))^tun_CrowdingExp)</x:f>
        <x:v>0.2559248148689764</x:v>
      </x:c>
      <x:c r="Q284" s="9" t="n">
        <x:f>IF(D284=1,INDEX(tun_WinterMult,G284),1)</x:f>
        <x:v>1</x:v>
      </x:c>
      <x:c r="R284" s="9" t="n">
        <x:f>H284*Z283*tun_WomenShare*tun_BaseFertility*INDEX(tun_FertMult,G284)*Arch_Fertility*(1-P284)</x:f>
        <x:v>30.585181523582392</x:v>
      </x:c>
      <x:c r="S284" s="9" t="n">
        <x:f>H284*Y283*INDEX(tun_MortChild,G284)/4*Q284</x:f>
        <x:v>5.99222188115352</x:v>
      </x:c>
      <x:c r="T284" s="9" t="n">
        <x:f>H284*Z283*INDEX(tun_MortAdult,G284)*Arch_AdultMort/4*Q284</x:f>
        <x:v>1.5090982213786257</x:v>
      </x:c>
      <x:c r="U284" s="9" t="n">
        <x:f>H284*AA283*INDEX(tun_MortElder,G284)/4*Q284</x:f>
        <x:v>2.0210321587188322</x:v>
      </x:c>
      <x:c r="V284" s="9" t="n">
        <x:f>H284*MAX(0,AB283-O284)*tun_OvercapLoss</x:f>
        <x:v>0</x:v>
      </x:c>
      <x:c r="W284" s="9" t="n">
        <x:f>H284*Y283/(tun_ChildYears*4)</x:f>
        <x:v>14.759167194959407</x:v>
      </x:c>
      <x:c r="X284" s="9" t="n">
        <x:f>H284*Z283/(tun_AdultYears*4)</x:f>
        <x:v>4.636246455848313</x:v>
      </x:c>
      <x:c r="Y284" s="32" t="n">
        <x:f>Y283+R284-S284-W284-Y283*V284/AB283</x:f>
        <x:v>836.3471553651962</x:v>
      </x:c>
      <x:c r="Z284" s="32" t="n">
        <x:f>Z283+W284-X284-T284-Z283*V284/AB283</x:f>
        <x:v>583.5083830429232</x:v>
      </x:c>
      <x:c r="AA284" s="32" t="n">
        <x:f>AA283+X284-U284-AA283*V284/AB283</x:f>
        <x:v>161.12754047115556</x:v>
      </x:c>
      <x:c r="AB284" s="10" t="n">
        <x:f>Y284+Z284+AA284</x:f>
        <x:v>1580.983078879275</x:v>
      </x:c>
      <x:c r="AC284" s="8" t="n">
        <x:f>IF(AND(tun_WinterTrigger=1,D284=1,AB283/AE283&gt;=K284),1,0)</x:f>
        <x:v>0</x:v>
      </x:c>
      <x:c r="AD284" s="8" t="n">
        <x:f>H284*IF(AND(OR(AB283/AE283&gt;=tun_FissionTrigger*N284,AC284=1),AB283/AE283*tun_DaughterShare&gt;=tun_MinDaughter),MAX(1,ROUND(AE283*tun_FissionRate,0)),0)</x:f>
        <x:v>0</x:v>
      </x:c>
      <x:c r="AE284" s="8" t="n">
        <x:f>IF(H284=1,MAX(1,MIN(INDEX(tun_Smax,G284),AE283+AD284)),AE283)</x:f>
        <x:v>5</x:v>
      </x:c>
      <x:c r="AF284" s="8" t="n">
        <x:f>MAX(0,AE284-AE283)</x:f>
        <x:v>0</x:v>
      </x:c>
      <x:c r="AG284" s="9" t="str">
        <x:f>IF(AF284&gt;0,B284,"")</x:f>
      </x:c>
      <x:c r="AH284" s="9" t="n">
        <x:f>IF(F284&gt;=1,1,(1+tun_LowTiesShare*(AE284-1))/AE284)</x:f>
        <x:v>1</x:v>
      </x:c>
      <x:c r="AI284" s="32" t="n">
        <x:f>(Z284+tun_ElderCommons*INDEX(LM_Elder,G284)*AA284)*AH284</x:f>
        <x:v>1123.9465833542017</x:v>
      </x:c>
      <x:c r="AJ284" s="32" t="n">
        <x:f>H284*tun_CommonsCoef*AI284^tun_CommonsExp*INDEX(LM_Commons,G284)</x:f>
        <x:v>2498.3592216211223</x:v>
      </x:c>
      <x:c r="AK284" s="32" t="n">
        <x:f>H284*tun_RoleScale*Arch_Roles*(AE284*(INDEX(tun_ElderRolePerSett,G284)*tun_OutElder*INDEX(LM_Elder,G284)+INDEX(tun_ShamanPerSett,G284)*tun_OutShaman)+Z284*(INDEX(tun_PriestShare,G284)*tun_OutPriest+INDEX(tun_ScribeShare,G284)*tun_OutScribe*INDEX(LM_Scribe,G284)+INDEX(tun_ScholarShare,G284)*tun_OutScholar*INDEX(LM_Scholar,G284)+INDEX(tun_ResearcherShare,G284)*tun_OutResearcher*INDEX(LM_Researcher,G284)))</x:f>
        <x:v>458.10799179164076</x:v>
      </x:c>
      <x:c r="AL284" s="32" t="n">
        <x:f>H284*tun_RoleScale*Arch_Roles*AE284*INDEX(tun_MonasteryPerSett,G284)*tun_OutMonastery*INDEX(LM_Monastery,G284)</x:f>
        <x:v>12.58570617804182</x:v>
      </x:c>
      <x:c r="AM284" s="32" t="n">
        <x:f>(AJ284+AK284+AL284)/4*INDEX(LM_All,G284)*INDEX(tun_Boon,G284)*Arch_Insight</x:f>
        <x:v>1069.8986385164783</x:v>
      </x:c>
      <x:c r="AN284" s="32" t="n">
        <x:f>H284*(tun_KHPerAdult*Z284+tun_KHOfCommons*AJ284/4*INDEX(LM_All,G284))*tun_KHUsable*Arch_KH</x:f>
        <x:v>194.9513902285547</x:v>
      </x:c>
      <x:c r="AO284" s="32" t="n">
        <x:f>MIN(AP283+AN284,AM284*tun_KHMaxRatio)</x:f>
        <x:v>194.9513902285547</x:v>
      </x:c>
      <x:c r="AP284" s="32" t="n">
        <x:f>AP283+AN284-AO284</x:f>
        <x:v>0</x:v>
      </x:c>
      <x:c r="AQ284" s="32" t="n">
        <x:f>AM284+AO284</x:f>
        <x:v>1264.850028745033</x:v>
      </x:c>
      <x:c r="AR284" s="10" t="n">
        <x:f>IF(H284=1,INDEX(tun_Req,G284),0)</x:f>
        <x:v>88783.394528</x:v>
      </x:c>
      <x:c r="AS284" s="32" t="n">
        <x:f>IF(H284=1,IF(E284=1,AS283-AR283,AS283)+AQ284,0)</x:f>
        <x:v>41896.13938461619</x:v>
      </x:c>
      <x:c r="AT284" s="11" t="n">
        <x:f>IF(AR284&gt;0,MIN(1,AS284/AR284),1)</x:f>
        <x:v>0.4718916145000879</x:v>
      </x:c>
      <x:c r="AU284" s="10" t="n">
        <x:f>AB284/INDEX(tun_RepScale,G284)</x:f>
        <x:v>316.196615775855</x:v>
      </x:c>
      <x:c r="AV284" s="32" t="n">
        <x:f>AM284*60/tun_SeasonSeconds</x:f>
        <x:v>4279.594554065913</x:v>
      </x:c>
    </x:row>
    <x:row r="285">
      <x:c r="A285" s="8" t="n">
        <x:f>A284+1</x:f>
        <x:v>282</x:v>
      </x:c>
      <x:c r="B285" s="9" t="n">
        <x:f>A285*tun_SeasonSeconds/60</x:f>
        <x:v>70.5</x:v>
      </x:c>
      <x:c r="C285" s="9" t="n">
        <x:f>A285/4</x:f>
        <x:v>70.5</x:v>
      </x:c>
      <x:c r="D285" s="8" t="n">
        <x:f>IF(MOD(A285,4)=0,1,0)</x:f>
        <x:v>0</x:v>
      </x:c>
      <x:c r="E285" s="8" t="n">
        <x:f>IF(AND(F284&lt;=9,AS284&gt;=AR284),1,0)</x:f>
        <x:v>0</x:v>
      </x:c>
      <x:c r="F285" s="8" t="n">
        <x:f>MIN(10,F284+E285)</x:f>
        <x:v>5</x:v>
      </x:c>
      <x:c r="G285" s="8" t="n">
        <x:f>MIN(F285,9)+1</x:f>
        <x:v>6</x:v>
      </x:c>
      <x:c r="H285" s="8" t="n">
        <x:f>IF(F285&lt;=9,1,0)</x:f>
        <x:v>1</x:v>
      </x:c>
      <x:c r="I285" s="9" t="n">
        <x:f>MIN(10,F284+IF(AR284&gt;0,MIN(1,AS284/AR284),1))</x:f>
        <x:v>5.4718916145000875</x:v>
      </x:c>
      <x:c r="J285" s="32" t="n">
        <x:f>INDEX(tun_FoodCap,G285)*Arch_FoodCap*EXP(tun_CapsByProject*SUMPRODUCT((Cap_Point&lt;=I285)*(Cap_Kind="Food")*Cap_Ln))</x:f>
        <x:v>391.5437763066515</x:v>
      </x:c>
      <x:c r="K285" s="32" t="n">
        <x:f>J285*MIN(1,tun_LeanBase*EXP(tun_CapsByProject*SUMPRODUCT((Cap_Point&lt;=I285)*(Cap_Kind="Lean")*Cap_Ln)))</x:f>
        <x:v>391.5437763066515</x:v>
      </x:c>
      <x:c r="L285" s="10" t="n">
        <x:f>INDEX(tun_HousingCap,G285)*EXP(tun_CapsByProject*SUMPRODUCT((Cap_Point&lt;=I285)*(Cap_Kind="Housing")*Cap_Ln))</x:f>
        <x:v>1981.8141431314853</x:v>
      </x:c>
      <x:c r="M285" s="10" t="n">
        <x:f>INDEX(tun_GroupCap,G285)*tun_CohesionFactor*EXP(tun_CapsByProject*SUMPRODUCT((Cap_Point&lt;=I285)*(Cap_Kind="Group")*Cap_Ln))</x:f>
        <x:v>50000.00000000004</x:v>
      </x:c>
      <x:c r="N285" s="32" t="n">
        <x:f>MIN(J285,L285,M285)</x:f>
        <x:v>391.5437763066515</x:v>
      </x:c>
      <x:c r="O285" s="10" t="n">
        <x:f>AE284*N285</x:f>
        <x:v>1957.7188815332577</x:v>
      </x:c>
      <x:c r="P285" s="9" t="n">
        <x:f>MIN(1,(AB284/(AE284*IF(tun_GroupInCrowding=1,N285,MIN(J285,L285))))^tun_CrowdingExp)</x:f>
        <x:v>0.2773711924802987</x:v>
      </x:c>
      <x:c r="Q285" s="9" t="n">
        <x:f>IF(D285=1,INDEX(tun_WinterMult,G285),1)</x:f>
        <x:v>1</x:v>
      </x:c>
      <x:c r="R285" s="9" t="n">
        <x:f>H285*Z284*tun_WomenShare*tun_BaseFertility*INDEX(tun_FertMult,G285)*Arch_Fertility*(1-P285)</x:f>
        <x:v>30.148687641648056</x:v>
      </x:c>
      <x:c r="S285" s="9" t="n">
        <x:f>H285*Y284*INDEX(tun_MortChild,G285)/4*Q285</x:f>
        <x:v>6.063516876397673</x:v>
      </x:c>
      <x:c r="T285" s="9" t="n">
        <x:f>H285*Z284*INDEX(tun_MortAdult,G285)*Arch_AdultMort/4*Q285</x:f>
        <x:v>1.5317095054876737</x:v>
      </x:c>
      <x:c r="U285" s="9" t="n">
        <x:f>H285*AA284*INDEX(tun_MortElder,G285)/4*Q285</x:f>
        <x:v>2.054376141007233</x:v>
      </x:c>
      <x:c r="V285" s="9" t="n">
        <x:f>H285*MAX(0,AB284-O285)*tun_OvercapLoss</x:f>
        <x:v>0</x:v>
      </x:c>
      <x:c r="W285" s="9" t="n">
        <x:f>H285*Y284/(tun_ChildYears*4)</x:f>
        <x:v>14.93477063152136</x:v>
      </x:c>
      <x:c r="X285" s="9" t="n">
        <x:f>H285*Z284/(tun_AdultYears*4)</x:f>
        <x:v>4.705712766475187</x:v>
      </x:c>
      <x:c r="Y285" s="32" t="n">
        <x:f>Y284+R285-S285-W285-Y284*V285/AB284</x:f>
        <x:v>845.4975554989252</x:v>
      </x:c>
      <x:c r="Z285" s="32" t="n">
        <x:f>Z284+W285-X285-T285-Z284*V285/AB284</x:f>
        <x:v>592.2057314024817</x:v>
      </x:c>
      <x:c r="AA285" s="32" t="n">
        <x:f>AA284+X285-U285-AA284*V285/AB284</x:f>
        <x:v>163.77887709662352</x:v>
      </x:c>
      <x:c r="AB285" s="10" t="n">
        <x:f>Y285+Z285+AA285</x:f>
        <x:v>1601.4821639980305</x:v>
      </x:c>
      <x:c r="AC285" s="8" t="n">
        <x:f>IF(AND(tun_WinterTrigger=1,D285=1,AB284/AE284&gt;=K285),1,0)</x:f>
        <x:v>0</x:v>
      </x:c>
      <x:c r="AD285" s="8" t="n">
        <x:f>H285*IF(AND(OR(AB284/AE284&gt;=tun_FissionTrigger*N285,AC285=1),AB284/AE284*tun_DaughterShare&gt;=tun_MinDaughter),MAX(1,ROUND(AE284*tun_FissionRate,0)),0)</x:f>
        <x:v>0</x:v>
      </x:c>
      <x:c r="AE285" s="8" t="n">
        <x:f>IF(H285=1,MAX(1,MIN(INDEX(tun_Smax,G285),AE284+AD285)),AE284)</x:f>
        <x:v>5</x:v>
      </x:c>
      <x:c r="AF285" s="8" t="n">
        <x:f>MAX(0,AE285-AE284)</x:f>
        <x:v>0</x:v>
      </x:c>
      <x:c r="AG285" s="9" t="str">
        <x:f>IF(AF285&gt;0,B285,"")</x:f>
      </x:c>
      <x:c r="AH285" s="9" t="n">
        <x:f>IF(F285&gt;=1,1,(1+tun_LowTiesShare*(AE285-1))/AE285)</x:f>
        <x:v>1</x:v>
      </x:c>
      <x:c r="AI285" s="32" t="n">
        <x:f>(Z285+tun_ElderCommons*INDEX(LM_Elder,G285)*AA285)*AH285</x:f>
        <x:v>1141.536785102432</x:v>
      </x:c>
      <x:c r="AJ285" s="32" t="n">
        <x:f>H285*tun_CommonsCoef*AI285^tun_CommonsExp*INDEX(LM_Commons,G285)</x:f>
        <x:v>2531.5556934432884</x:v>
      </x:c>
      <x:c r="AK285" s="32" t="n">
        <x:f>H285*tun_RoleScale*Arch_Roles*(AE285*(INDEX(tun_ElderRolePerSett,G285)*tun_OutElder*INDEX(LM_Elder,G285)+INDEX(tun_ShamanPerSett,G285)*tun_OutShaman)+Z285*(INDEX(tun_PriestShare,G285)*tun_OutPriest+INDEX(tun_ScribeShare,G285)*tun_OutScribe*INDEX(LM_Scribe,G285)+INDEX(tun_ScholarShare,G285)*tun_OutScholar*INDEX(LM_Scholar,G285)+INDEX(tun_ResearcherShare,G285)*tun_OutResearcher*INDEX(LM_Researcher,G285)))</x:f>
        <x:v>463.0420220615114</x:v>
      </x:c>
      <x:c r="AL285" s="32" t="n">
        <x:f>H285*tun_RoleScale*Arch_Roles*AE285*INDEX(tun_MonasteryPerSett,G285)*tun_OutMonastery*INDEX(LM_Monastery,G285)</x:f>
        <x:v>12.58570617804182</x:v>
      </x:c>
      <x:c r="AM285" s="32" t="n">
        <x:f>(AJ285+AK285+AL285)/4*INDEX(LM_All,G285)*INDEX(tun_Boon,G285)*Arch_Insight</x:f>
        <x:v>1083.6389703256675</x:v>
      </x:c>
      <x:c r="AN285" s="32" t="n">
        <x:f>H285*(tun_KHPerAdult*Z285+tun_KHOfCommons*AJ285/4*INDEX(LM_All,G285))*tun_KHUsable*Arch_KH</x:f>
        <x:v>197.54176965694407</x:v>
      </x:c>
      <x:c r="AO285" s="32" t="n">
        <x:f>MIN(AP284+AN285,AM285*tun_KHMaxRatio)</x:f>
        <x:v>197.54176965694407</x:v>
      </x:c>
      <x:c r="AP285" s="32" t="n">
        <x:f>AP284+AN285-AO285</x:f>
        <x:v>0</x:v>
      </x:c>
      <x:c r="AQ285" s="32" t="n">
        <x:f>AM285+AO285</x:f>
        <x:v>1281.1807399826116</x:v>
      </x:c>
      <x:c r="AR285" s="10" t="n">
        <x:f>IF(H285=1,INDEX(tun_Req,G285),0)</x:f>
        <x:v>88783.394528</x:v>
      </x:c>
      <x:c r="AS285" s="32" t="n">
        <x:f>IF(H285=1,IF(E285=1,AS284-AR284,AS284)+AQ285,0)</x:f>
        <x:v>43177.3201245988</x:v>
      </x:c>
      <x:c r="AT285" s="11" t="n">
        <x:f>IF(AR285&gt;0,MIN(1,AS285/AR285),1)</x:f>
        <x:v>0.4863220240017043</x:v>
      </x:c>
      <x:c r="AU285" s="10" t="n">
        <x:f>AB285/INDEX(tun_RepScale,G285)</x:f>
        <x:v>320.2964327996061</x:v>
      </x:c>
      <x:c r="AV285" s="32" t="n">
        <x:f>AM285*60/tun_SeasonSeconds</x:f>
        <x:v>4334.55588130267</x:v>
      </x:c>
    </x:row>
    <x:row r="286">
      <x:c r="A286" s="8" t="n">
        <x:f>A285+1</x:f>
        <x:v>283</x:v>
      </x:c>
      <x:c r="B286" s="9" t="n">
        <x:f>A286*tun_SeasonSeconds/60</x:f>
        <x:v>70.75</x:v>
      </x:c>
      <x:c r="C286" s="9" t="n">
        <x:f>A286/4</x:f>
        <x:v>70.75</x:v>
      </x:c>
      <x:c r="D286" s="8" t="n">
        <x:f>IF(MOD(A286,4)=0,1,0)</x:f>
        <x:v>0</x:v>
      </x:c>
      <x:c r="E286" s="8" t="n">
        <x:f>IF(AND(F285&lt;=9,AS285&gt;=AR285),1,0)</x:f>
        <x:v>0</x:v>
      </x:c>
      <x:c r="F286" s="8" t="n">
        <x:f>MIN(10,F285+E286)</x:f>
        <x:v>5</x:v>
      </x:c>
      <x:c r="G286" s="8" t="n">
        <x:f>MIN(F286,9)+1</x:f>
        <x:v>6</x:v>
      </x:c>
      <x:c r="H286" s="8" t="n">
        <x:f>IF(F286&lt;=9,1,0)</x:f>
        <x:v>1</x:v>
      </x:c>
      <x:c r="I286" s="9" t="n">
        <x:f>MIN(10,F285+IF(AR285&gt;0,MIN(1,AS285/AR285),1))</x:f>
        <x:v>5.486322024001704</x:v>
      </x:c>
      <x:c r="J286" s="32" t="n">
        <x:f>INDEX(tun_FoodCap,G286)*Arch_FoodCap*EXP(tun_CapsByProject*SUMPRODUCT((Cap_Point&lt;=I286)*(Cap_Kind="Food")*Cap_Ln))</x:f>
        <x:v>391.5437763066515</x:v>
      </x:c>
      <x:c r="K286" s="32" t="n">
        <x:f>J286*MIN(1,tun_LeanBase*EXP(tun_CapsByProject*SUMPRODUCT((Cap_Point&lt;=I286)*(Cap_Kind="Lean")*Cap_Ln)))</x:f>
        <x:v>391.5437763066515</x:v>
      </x:c>
      <x:c r="L286" s="10" t="n">
        <x:f>INDEX(tun_HousingCap,G286)*EXP(tun_CapsByProject*SUMPRODUCT((Cap_Point&lt;=I286)*(Cap_Kind="Housing")*Cap_Ln))</x:f>
        <x:v>1981.8141431314853</x:v>
      </x:c>
      <x:c r="M286" s="10" t="n">
        <x:f>INDEX(tun_GroupCap,G286)*tun_CohesionFactor*EXP(tun_CapsByProject*SUMPRODUCT((Cap_Point&lt;=I286)*(Cap_Kind="Group")*Cap_Ln))</x:f>
        <x:v>50000.00000000004</x:v>
      </x:c>
      <x:c r="N286" s="32" t="n">
        <x:f>MIN(J286,L286,M286)</x:f>
        <x:v>391.5437763066515</x:v>
      </x:c>
      <x:c r="O286" s="10" t="n">
        <x:f>AE285*N286</x:f>
        <x:v>1957.7188815332577</x:v>
      </x:c>
      <x:c r="P286" s="9" t="n">
        <x:f>MIN(1,(AB285/(AE285*IF(tun_GroupInCrowding=1,N286,MIN(J286,L286))))^tun_CrowdingExp)</x:f>
        <x:v>0.29966130082509157</x:v>
      </x:c>
      <x:c r="Q286" s="9" t="n">
        <x:f>IF(D286=1,INDEX(tun_WinterMult,G286),1)</x:f>
        <x:v>1</x:v>
      </x:c>
      <x:c r="R286" s="9" t="n">
        <x:f>H286*Z285*tun_WomenShare*tun_BaseFertility*INDEX(tun_FertMult,G286)*Arch_Fertility*(1-P286)</x:f>
        <x:v>29.654238297565257</x:v>
      </x:c>
      <x:c r="S286" s="9" t="n">
        <x:f>H286*Y285*INDEX(tun_MortChild,G286)/4*Q286</x:f>
        <x:v>6.129857277367208</x:v>
      </x:c>
      <x:c r="T286" s="9" t="n">
        <x:f>H286*Z285*INDEX(tun_MortAdult,G286)*Arch_AdultMort/4*Q286</x:f>
        <x:v>1.5545400449315145</x:v>
      </x:c>
      <x:c r="U286" s="9" t="n">
        <x:f>H286*AA285*INDEX(tun_MortElder,G286)/4*Q286</x:f>
        <x:v>2.0881806829819496</x:v>
      </x:c>
      <x:c r="V286" s="9" t="n">
        <x:f>H286*MAX(0,AB285-O286)*tun_OvercapLoss</x:f>
        <x:v>0</x:v>
      </x:c>
      <x:c r="W286" s="9" t="n">
        <x:f>H286*Y285/(tun_ChildYears*4)</x:f>
        <x:v>15.098170633909378</x:v>
      </x:c>
      <x:c r="X286" s="9" t="n">
        <x:f>H286*Z285/(tun_AdultYears*4)</x:f>
        <x:v>4.775852672600658</x:v>
      </x:c>
      <x:c r="Y286" s="32" t="n">
        <x:f>Y285+R286-S286-W286-Y285*V286/AB285</x:f>
        <x:v>853.9237658852138</x:v>
      </x:c>
      <x:c r="Z286" s="32" t="n">
        <x:f>Z285+W286-X286-T286-Z285*V286/AB285</x:f>
        <x:v>600.9735093188589</x:v>
      </x:c>
      <x:c r="AA286" s="32" t="n">
        <x:f>AA285+X286-U286-AA285*V286/AB285</x:f>
        <x:v>166.46654908624222</x:v>
      </x:c>
      <x:c r="AB286" s="10" t="n">
        <x:f>Y286+Z286+AA286</x:f>
        <x:v>1621.3638242903148</x:v>
      </x:c>
      <x:c r="AC286" s="8" t="n">
        <x:f>IF(AND(tun_WinterTrigger=1,D286=1,AB285/AE285&gt;=K286),1,0)</x:f>
        <x:v>0</x:v>
      </x:c>
      <x:c r="AD286" s="8" t="n">
        <x:f>H286*IF(AND(OR(AB285/AE285&gt;=tun_FissionTrigger*N286,AC286=1),AB285/AE285*tun_DaughterShare&gt;=tun_MinDaughter),MAX(1,ROUND(AE285*tun_FissionRate,0)),0)</x:f>
        <x:v>0</x:v>
      </x:c>
      <x:c r="AE286" s="8" t="n">
        <x:f>IF(H286=1,MAX(1,MIN(INDEX(tun_Smax,G286),AE285+AD286)),AE285)</x:f>
        <x:v>5</x:v>
      </x:c>
      <x:c r="AF286" s="8" t="n">
        <x:f>MAX(0,AE286-AE285)</x:f>
        <x:v>0</x:v>
      </x:c>
      <x:c r="AG286" s="9" t="str">
        <x:f>IF(AF286&gt;0,B286,"")</x:f>
      </x:c>
      <x:c r="AH286" s="9" t="n">
        <x:f>IF(F286&gt;=1,1,(1+tun_LowTiesShare*(AE286-1))/AE286)</x:f>
        <x:v>1</x:v>
      </x:c>
      <x:c r="AI286" s="32" t="n">
        <x:f>(Z286+tun_ElderCommons*INDEX(LM_Elder,G286)*AA286)*AH286</x:f>
        <x:v>1159.3192889238235</x:v>
      </x:c>
      <x:c r="AJ286" s="32" t="n">
        <x:f>H286*tun_CommonsCoef*AI286^tun_CommonsExp*INDEX(LM_Commons,G286)</x:f>
        <x:v>2565.0371794948555</x:v>
      </x:c>
      <x:c r="AK286" s="32" t="n">
        <x:f>H286*tun_RoleScale*Arch_Roles*(AE286*(INDEX(tun_ElderRolePerSett,G286)*tun_OutElder*INDEX(LM_Elder,G286)+INDEX(tun_ShamanPerSett,G286)*tun_OutShaman)+Z286*(INDEX(tun_PriestShare,G286)*tun_OutPriest+INDEX(tun_ScribeShare,G286)*tun_OutScribe*INDEX(LM_Scribe,G286)+INDEX(tun_ScholarShare,G286)*tun_OutScholar*INDEX(LM_Scholar,G286)+INDEX(tun_ResearcherShare,G286)*tun_OutResearcher*INDEX(LM_Researcher,G286)))</x:f>
        <x:v>468.01600721773025</x:v>
      </x:c>
      <x:c r="AL286" s="32" t="n">
        <x:f>H286*tun_RoleScale*Arch_Roles*AE286*INDEX(tun_MonasteryPerSett,G286)*tun_OutMonastery*INDEX(LM_Monastery,G286)</x:f>
        <x:v>12.58570617804182</x:v>
      </x:c>
      <x:c r="AM286" s="32" t="n">
        <x:f>(AJ286+AK286+AL286)/4*INDEX(LM_All,G286)*INDEX(tun_Boon,G286)*Arch_Insight</x:f>
        <x:v>1097.496404801571</x:v>
      </x:c>
      <x:c r="AN286" s="32" t="n">
        <x:f>H286*(tun_KHPerAdult*Z286+tun_KHOfCommons*AJ286/4*INDEX(LM_All,G286))*tun_KHUsable*Arch_KH</x:f>
        <x:v>200.15438924990863</x:v>
      </x:c>
      <x:c r="AO286" s="32" t="n">
        <x:f>MIN(AP285+AN286,AM286*tun_KHMaxRatio)</x:f>
        <x:v>200.15438924990863</x:v>
      </x:c>
      <x:c r="AP286" s="32" t="n">
        <x:f>AP285+AN286-AO286</x:f>
        <x:v>0</x:v>
      </x:c>
      <x:c r="AQ286" s="32" t="n">
        <x:f>AM286+AO286</x:f>
        <x:v>1297.6507940514798</x:v>
      </x:c>
      <x:c r="AR286" s="10" t="n">
        <x:f>IF(H286=1,INDEX(tun_Req,G286),0)</x:f>
        <x:v>88783.394528</x:v>
      </x:c>
      <x:c r="AS286" s="32" t="n">
        <x:f>IF(H286=1,IF(E286=1,AS285-AR285,AS285)+AQ286,0)</x:f>
        <x:v>44474.97091865028</x:v>
      </x:c>
      <x:c r="AT286" s="11" t="n">
        <x:f>IF(AR286&gt;0,MIN(1,AS286/AR286),1)</x:f>
        <x:v>0.5009379417749568</x:v>
      </x:c>
      <x:c r="AU286" s="10" t="n">
        <x:f>AB286/INDEX(tun_RepScale,G286)</x:f>
        <x:v>324.27276485806294</x:v>
      </x:c>
      <x:c r="AV286" s="32" t="n">
        <x:f>AM286*60/tun_SeasonSeconds</x:f>
        <x:v>4389.985619206284</x:v>
      </x:c>
    </x:row>
    <x:row r="287">
      <x:c r="A287" s="8" t="n">
        <x:f>A286+1</x:f>
        <x:v>284</x:v>
      </x:c>
      <x:c r="B287" s="9" t="n">
        <x:f>A287*tun_SeasonSeconds/60</x:f>
        <x:v>71</x:v>
      </x:c>
      <x:c r="C287" s="9" t="n">
        <x:f>A287/4</x:f>
        <x:v>71</x:v>
      </x:c>
      <x:c r="D287" s="8" t="n">
        <x:f>IF(MOD(A287,4)=0,1,0)</x:f>
        <x:v>1</x:v>
      </x:c>
      <x:c r="E287" s="8" t="n">
        <x:f>IF(AND(F286&lt;=9,AS286&gt;=AR286),1,0)</x:f>
        <x:v>0</x:v>
      </x:c>
      <x:c r="F287" s="8" t="n">
        <x:f>MIN(10,F286+E287)</x:f>
        <x:v>5</x:v>
      </x:c>
      <x:c r="G287" s="8" t="n">
        <x:f>MIN(F287,9)+1</x:f>
        <x:v>6</x:v>
      </x:c>
      <x:c r="H287" s="8" t="n">
        <x:f>IF(F287&lt;=9,1,0)</x:f>
        <x:v>1</x:v>
      </x:c>
      <x:c r="I287" s="9" t="n">
        <x:f>MIN(10,F286+IF(AR286&gt;0,MIN(1,AS286/AR286),1))</x:f>
        <x:v>5.500937941774957</x:v>
      </x:c>
      <x:c r="J287" s="32" t="n">
        <x:f>INDEX(tun_FoodCap,G287)*Arch_FoodCap*EXP(tun_CapsByProject*SUMPRODUCT((Cap_Point&lt;=I287)*(Cap_Kind="Food")*Cap_Ln))</x:f>
        <x:v>553.1571743814293</x:v>
      </x:c>
      <x:c r="K287" s="32" t="n">
        <x:f>J287*MIN(1,tun_LeanBase*EXP(tun_CapsByProject*SUMPRODUCT((Cap_Point&lt;=I287)*(Cap_Kind="Lean")*Cap_Ln)))</x:f>
        <x:v>553.1571743814293</x:v>
      </x:c>
      <x:c r="L287" s="10" t="n">
        <x:f>INDEX(tun_HousingCap,G287)*EXP(tun_CapsByProject*SUMPRODUCT((Cap_Point&lt;=I287)*(Cap_Kind="Housing")*Cap_Ln))</x:f>
        <x:v>1981.8141431314853</x:v>
      </x:c>
      <x:c r="M287" s="10" t="n">
        <x:f>INDEX(tun_GroupCap,G287)*tun_CohesionFactor*EXP(tun_CapsByProject*SUMPRODUCT((Cap_Point&lt;=I287)*(Cap_Kind="Group")*Cap_Ln))</x:f>
        <x:v>50000.00000000004</x:v>
      </x:c>
      <x:c r="N287" s="32" t="n">
        <x:f>MIN(J287,L287,M287)</x:f>
        <x:v>553.1571743814293</x:v>
      </x:c>
      <x:c r="O287" s="10" t="n">
        <x:f>AE286*N287</x:f>
        <x:v>2765.7858719071464</x:v>
      </x:c>
      <x:c r="P287" s="9" t="n">
        <x:f>MIN(1,(AB286/(AE286*IF(tun_GroupInCrowding=1,N287,MIN(J287,L287))))^tun_CrowdingExp)</x:f>
        <x:v>0.040585560681967635</x:v>
      </x:c>
      <x:c r="Q287" s="9" t="n">
        <x:f>IF(D287=1,INDEX(tun_WinterMult,G287),1)</x:f>
        <x:v>1.15</x:v>
      </x:c>
      <x:c r="R287" s="9" t="n">
        <x:f>H287*Z286*tun_WomenShare*tun_BaseFertility*INDEX(tun_FertMult,G287)*Arch_Fertility*(1-P287)</x:f>
        <x:v>41.22566036790225</x:v>
      </x:c>
      <x:c r="S287" s="9" t="n">
        <x:f>H287*Y286*INDEX(tun_MortChild,G287)/4*Q287</x:f>
        <x:v>7.11958939806797</x:v>
      </x:c>
      <x:c r="T287" s="9" t="n">
        <x:f>H287*Z286*INDEX(tun_MortAdult,G287)*Arch_AdultMort/4*Q287</x:f>
        <x:v>1.8141887812563053</x:v>
      </x:c>
      <x:c r="U287" s="9" t="n">
        <x:f>H287*AA286*INDEX(tun_MortElder,G287)/4*Q287</x:f>
        <x:v>2.4408157759770264</x:v>
      </x:c>
      <x:c r="V287" s="9" t="n">
        <x:f>H287*MAX(0,AB286-O287)*tun_OvercapLoss</x:f>
        <x:v>0</x:v>
      </x:c>
      <x:c r="W287" s="9" t="n">
        <x:f>H287*Y286/(tun_ChildYears*4)</x:f>
        <x:v>15.248638676521676</x:v>
      </x:c>
      <x:c r="X287" s="9" t="n">
        <x:f>H287*Z286/(tun_AdultYears*4)</x:f>
        <x:v>4.846560559023056</x:v>
      </x:c>
      <x:c r="Y287" s="32" t="n">
        <x:f>Y286+R287-S287-W287-Y286*V287/AB286</x:f>
        <x:v>872.7811981785264</x:v>
      </x:c>
      <x:c r="Z287" s="32" t="n">
        <x:f>Z286+W287-X287-T287-Z286*V287/AB286</x:f>
        <x:v>609.5613986551011</x:v>
      </x:c>
      <x:c r="AA287" s="32" t="n">
        <x:f>AA286+X287-U287-AA286*V287/AB286</x:f>
        <x:v>168.87229386928826</x:v>
      </x:c>
      <x:c r="AB287" s="10" t="n">
        <x:f>Y287+Z287+AA287</x:f>
        <x:v>1651.214890702916</x:v>
      </x:c>
      <x:c r="AC287" s="8" t="n">
        <x:f>IF(AND(tun_WinterTrigger=1,D287=1,AB286/AE286&gt;=K287),1,0)</x:f>
        <x:v>0</x:v>
      </x:c>
      <x:c r="AD287" s="8" t="n">
        <x:f>H287*IF(AND(OR(AB286/AE286&gt;=tun_FissionTrigger*N287,AC287=1),AB286/AE286*tun_DaughterShare&gt;=tun_MinDaughter),MAX(1,ROUND(AE286*tun_FissionRate,0)),0)</x:f>
        <x:v>0</x:v>
      </x:c>
      <x:c r="AE287" s="8" t="n">
        <x:f>IF(H287=1,MAX(1,MIN(INDEX(tun_Smax,G287),AE286+AD287)),AE286)</x:f>
        <x:v>5</x:v>
      </x:c>
      <x:c r="AF287" s="8" t="n">
        <x:f>MAX(0,AE287-AE286)</x:f>
        <x:v>0</x:v>
      </x:c>
      <x:c r="AG287" s="9" t="str">
        <x:f>IF(AF287&gt;0,B287,"")</x:f>
      </x:c>
      <x:c r="AH287" s="9" t="n">
        <x:f>IF(F287&gt;=1,1,(1+tun_LowTiesShare*(AE287-1))/AE287)</x:f>
        <x:v>1</x:v>
      </x:c>
      <x:c r="AI287" s="32" t="n">
        <x:f>(Z287+tun_ElderCommons*INDEX(LM_Elder,G287)*AA287)*AH287</x:f>
        <x:v>1175.9762915671754</x:v>
      </x:c>
      <x:c r="AJ287" s="32" t="n">
        <x:f>H287*tun_CommonsCoef*AI287^tun_CommonsExp*INDEX(LM_Commons,G287)</x:f>
        <x:v>2596.3297110114995</x:v>
      </x:c>
      <x:c r="AK287" s="32" t="n">
        <x:f>H287*tun_RoleScale*Arch_Roles*(AE287*(INDEX(tun_ElderRolePerSett,G287)*tun_OutElder*INDEX(LM_Elder,G287)+INDEX(tun_ShamanPerSett,G287)*tun_OutShaman)+Z287*(INDEX(tun_PriestShare,G287)*tun_OutPriest+INDEX(tun_ScribeShare,G287)*tun_OutScribe*INDEX(LM_Scribe,G287)+INDEX(tun_ScholarShare,G287)*tun_OutScholar*INDEX(LM_Scholar,G287)+INDEX(tun_ResearcherShare,G287)*tun_OutResearcher*INDEX(LM_Researcher,G287)))</x:f>
        <x:v>472.88794107476053</x:v>
      </x:c>
      <x:c r="AL287" s="32" t="n">
        <x:f>H287*tun_RoleScale*Arch_Roles*AE287*INDEX(tun_MonasteryPerSett,G287)*tun_OutMonastery*INDEX(LM_Monastery,G287)</x:f>
        <x:v>12.58570617804182</x:v>
      </x:c>
      <x:c r="AM287" s="32" t="n">
        <x:f>(AJ287+AK287+AL287)/4*INDEX(LM_All,G287)*INDEX(tun_Boon,G287)*Arch_Insight</x:f>
        <x:v>1110.5282750018848</x:v>
      </x:c>
      <x:c r="AN287" s="32" t="n">
        <x:f>H287*(tun_KHPerAdult*Z287+tun_KHOfCommons*AJ287/4*INDEX(LM_All,G287))*tun_KHUsable*Arch_KH</x:f>
        <x:v>202.5962008477549</x:v>
      </x:c>
      <x:c r="AO287" s="32" t="n">
        <x:f>MIN(AP286+AN287,AM287*tun_KHMaxRatio)</x:f>
        <x:v>202.5962008477549</x:v>
      </x:c>
      <x:c r="AP287" s="32" t="n">
        <x:f>AP286+AN287-AO287</x:f>
        <x:v>0</x:v>
      </x:c>
      <x:c r="AQ287" s="32" t="n">
        <x:f>AM287+AO287</x:f>
        <x:v>1313.1244758496398</x:v>
      </x:c>
      <x:c r="AR287" s="10" t="n">
        <x:f>IF(H287=1,INDEX(tun_Req,G287),0)</x:f>
        <x:v>88783.394528</x:v>
      </x:c>
      <x:c r="AS287" s="32" t="n">
        <x:f>IF(H287=1,IF(E287=1,AS286-AR286,AS286)+AQ287,0)</x:f>
        <x:v>45788.09539449992</x:v>
      </x:c>
      <x:c r="AT287" s="11" t="n">
        <x:f>IF(AR287&gt;0,MIN(1,AS287/AR287),1)</x:f>
        <x:v>0.5157281453127986</x:v>
      </x:c>
      <x:c r="AU287" s="10" t="n">
        <x:f>AB287/INDEX(tun_RepScale,G287)</x:f>
        <x:v>330.2429781405832</x:v>
      </x:c>
      <x:c r="AV287" s="32" t="n">
        <x:f>AM287*60/tun_SeasonSeconds</x:f>
        <x:v>4442.113100007539</x:v>
      </x:c>
    </x:row>
    <x:row r="288">
      <x:c r="A288" s="8" t="n">
        <x:f>A287+1</x:f>
        <x:v>285</x:v>
      </x:c>
      <x:c r="B288" s="9" t="n">
        <x:f>A288*tun_SeasonSeconds/60</x:f>
        <x:v>71.25</x:v>
      </x:c>
      <x:c r="C288" s="9" t="n">
        <x:f>A288/4</x:f>
        <x:v>71.25</x:v>
      </x:c>
      <x:c r="D288" s="8" t="n">
        <x:f>IF(MOD(A288,4)=0,1,0)</x:f>
        <x:v>0</x:v>
      </x:c>
      <x:c r="E288" s="8" t="n">
        <x:f>IF(AND(F287&lt;=9,AS287&gt;=AR287),1,0)</x:f>
        <x:v>0</x:v>
      </x:c>
      <x:c r="F288" s="8" t="n">
        <x:f>MIN(10,F287+E288)</x:f>
        <x:v>5</x:v>
      </x:c>
      <x:c r="G288" s="8" t="n">
        <x:f>MIN(F288,9)+1</x:f>
        <x:v>6</x:v>
      </x:c>
      <x:c r="H288" s="8" t="n">
        <x:f>IF(F288&lt;=9,1,0)</x:f>
        <x:v>1</x:v>
      </x:c>
      <x:c r="I288" s="9" t="n">
        <x:f>MIN(10,F287+IF(AR287&gt;0,MIN(1,AS287/AR287),1))</x:f>
        <x:v>5.515728145312798</x:v>
      </x:c>
      <x:c r="J288" s="32" t="n">
        <x:f>INDEX(tun_FoodCap,G288)*Arch_FoodCap*EXP(tun_CapsByProject*SUMPRODUCT((Cap_Point&lt;=I288)*(Cap_Kind="Food")*Cap_Ln))</x:f>
        <x:v>553.1571743814293</x:v>
      </x:c>
      <x:c r="K288" s="32" t="n">
        <x:f>J288*MIN(1,tun_LeanBase*EXP(tun_CapsByProject*SUMPRODUCT((Cap_Point&lt;=I288)*(Cap_Kind="Lean")*Cap_Ln)))</x:f>
        <x:v>553.1571743814293</x:v>
      </x:c>
      <x:c r="L288" s="10" t="n">
        <x:f>INDEX(tun_HousingCap,G288)*EXP(tun_CapsByProject*SUMPRODUCT((Cap_Point&lt;=I288)*(Cap_Kind="Housing")*Cap_Ln))</x:f>
        <x:v>1981.8141431314853</x:v>
      </x:c>
      <x:c r="M288" s="10" t="n">
        <x:f>INDEX(tun_GroupCap,G288)*tun_CohesionFactor*EXP(tun_CapsByProject*SUMPRODUCT((Cap_Point&lt;=I288)*(Cap_Kind="Group")*Cap_Ln))</x:f>
        <x:v>50000.00000000004</x:v>
      </x:c>
      <x:c r="N288" s="32" t="n">
        <x:f>MIN(J288,L288,M288)</x:f>
        <x:v>553.1571743814293</x:v>
      </x:c>
      <x:c r="O288" s="10" t="n">
        <x:f>AE287*N288</x:f>
        <x:v>2765.7858719071464</x:v>
      </x:c>
      <x:c r="P288" s="9" t="n">
        <x:f>MIN(1,(AB287/(AE287*IF(tun_GroupInCrowding=1,N288,MIN(J288,L288))))^tun_CrowdingExp)</x:f>
        <x:v>0.04528040009398348</x:v>
      </x:c>
      <x:c r="Q288" s="9" t="n">
        <x:f>IF(D288=1,INDEX(tun_WinterMult,G288),1)</x:f>
        <x:v>1</x:v>
      </x:c>
      <x:c r="R288" s="9" t="n">
        <x:f>H288*Z287*tun_WomenShare*tun_BaseFertility*INDEX(tun_FertMult,G288)*Arch_Fertility*(1-P288)</x:f>
        <x:v>41.610155346913736</x:v>
      </x:c>
      <x:c r="S288" s="9" t="n">
        <x:f>H288*Y287*INDEX(tun_MortChild,G288)/4*Q288</x:f>
        <x:v>6.327663686794317</x:v>
      </x:c>
      <x:c r="T288" s="9" t="n">
        <x:f>H288*Z287*INDEX(tun_MortAdult,G288)*Arch_AdultMort/4*Q288</x:f>
        <x:v>1.6000986714696406</x:v>
      </x:c>
      <x:c r="U288" s="9" t="n">
        <x:f>H288*AA287*INDEX(tun_MortElder,G288)/4*Q288</x:f>
        <x:v>2.153121746833425</x:v>
      </x:c>
      <x:c r="V288" s="9" t="n">
        <x:f>H288*MAX(0,AB287-O288)*tun_OvercapLoss</x:f>
        <x:v>0</x:v>
      </x:c>
      <x:c r="W288" s="9" t="n">
        <x:f>H288*Y287/(tun_ChildYears*4)</x:f>
        <x:v>15.585378538902258</x:v>
      </x:c>
      <x:c r="X288" s="9" t="n">
        <x:f>H288*Z287/(tun_AdultYears*4)</x:f>
        <x:v>4.9158177310895255</x:v>
      </x:c>
      <x:c r="Y288" s="32" t="n">
        <x:f>Y287+R288-S288-W288-Y287*V288/AB287</x:f>
        <x:v>892.4783112997437</x:v>
      </x:c>
      <x:c r="Z288" s="32" t="n">
        <x:f>Z287+W288-X288-T288-Z287*V288/AB287</x:f>
        <x:v>618.6308607914442</x:v>
      </x:c>
      <x:c r="AA288" s="32" t="n">
        <x:f>AA287+X288-U288-AA287*V288/AB287</x:f>
        <x:v>171.63498985354437</x:v>
      </x:c>
      <x:c r="AB288" s="10" t="n">
        <x:f>Y288+Z288+AA288</x:f>
        <x:v>1682.7441619447322</x:v>
      </x:c>
      <x:c r="AC288" s="8" t="n">
        <x:f>IF(AND(tun_WinterTrigger=1,D288=1,AB287/AE287&gt;=K288),1,0)</x:f>
        <x:v>0</x:v>
      </x:c>
      <x:c r="AD288" s="8" t="n">
        <x:f>H288*IF(AND(OR(AB287/AE287&gt;=tun_FissionTrigger*N288,AC288=1),AB287/AE287*tun_DaughterShare&gt;=tun_MinDaughter),MAX(1,ROUND(AE287*tun_FissionRate,0)),0)</x:f>
        <x:v>0</x:v>
      </x:c>
      <x:c r="AE288" s="8" t="n">
        <x:f>IF(H288=1,MAX(1,MIN(INDEX(tun_Smax,G288),AE287+AD288)),AE287)</x:f>
        <x:v>5</x:v>
      </x:c>
      <x:c r="AF288" s="8" t="n">
        <x:f>MAX(0,AE288-AE287)</x:f>
        <x:v>0</x:v>
      </x:c>
      <x:c r="AG288" s="9" t="str">
        <x:f>IF(AF288&gt;0,B288,"")</x:f>
      </x:c>
      <x:c r="AH288" s="9" t="n">
        <x:f>IF(F288&gt;=1,1,(1+tun_LowTiesShare*(AE288-1))/AE288)</x:f>
        <x:v>1</x:v>
      </x:c>
      <x:c r="AI288" s="32" t="n">
        <x:f>(Z288+tun_ElderCommons*INDEX(LM_Elder,G288)*AA288)*AH288</x:f>
        <x:v>1194.312117736462</x:v>
      </x:c>
      <x:c r="AJ288" s="32" t="n">
        <x:f>H288*tun_CommonsCoef*AI288^tun_CommonsExp*INDEX(LM_Commons,G288)</x:f>
        <x:v>2630.699394942212</x:v>
      </x:c>
      <x:c r="AK288" s="32" t="n">
        <x:f>H288*tun_RoleScale*Arch_Roles*(AE288*(INDEX(tun_ElderRolePerSett,G288)*tun_OutElder*INDEX(LM_Elder,G288)+INDEX(tun_ShamanPerSett,G288)*tun_OutShaman)+Z288*(INDEX(tun_PriestShare,G288)*tun_OutPriest+INDEX(tun_ScribeShare,G288)*tun_OutScribe*INDEX(LM_Scribe,G288)+INDEX(tun_ScholarShare,G288)*tun_OutScholar*INDEX(LM_Scholar,G288)+INDEX(tun_ResearcherShare,G288)*tun_OutResearcher*INDEX(LM_Researcher,G288)))</x:f>
        <x:v>478.0330725403736</x:v>
      </x:c>
      <x:c r="AL288" s="32" t="n">
        <x:f>H288*tun_RoleScale*Arch_Roles*AE288*INDEX(tun_MonasteryPerSett,G288)*tun_OutMonastery*INDEX(LM_Monastery,G288)</x:f>
        <x:v>12.58570617804182</x:v>
      </x:c>
      <x:c r="AM288" s="32" t="n">
        <x:f>(AJ288+AK288+AL288)/4*INDEX(LM_All,G288)*INDEX(tun_Boon,G288)*Arch_Insight</x:f>
        <x:v>1124.7674443056055</x:v>
      </x:c>
      <x:c r="AN288" s="32" t="n">
        <x:f>H288*(tun_KHPerAdult*Z288+tun_KHOfCommons*AJ288/4*INDEX(LM_All,G288))*tun_KHUsable*Arch_KH</x:f>
        <x:v>205.2781280926531</x:v>
      </x:c>
      <x:c r="AO288" s="32" t="n">
        <x:f>MIN(AP287+AN288,AM288*tun_KHMaxRatio)</x:f>
        <x:v>205.2781280926531</x:v>
      </x:c>
      <x:c r="AP288" s="32" t="n">
        <x:f>AP287+AN288-AO288</x:f>
        <x:v>0</x:v>
      </x:c>
      <x:c r="AQ288" s="32" t="n">
        <x:f>AM288+AO288</x:f>
        <x:v>1330.0455723982586</x:v>
      </x:c>
      <x:c r="AR288" s="10" t="n">
        <x:f>IF(H288=1,INDEX(tun_Req,G288),0)</x:f>
        <x:v>88783.394528</x:v>
      </x:c>
      <x:c r="AS288" s="32" t="n">
        <x:f>IF(H288=1,IF(E288=1,AS287-AR287,AS287)+AQ288,0)</x:f>
        <x:v>47118.14096689818</x:v>
      </x:c>
      <x:c r="AT288" s="11" t="n">
        <x:f>IF(AR288&gt;0,MIN(1,AS288/AR288),1)</x:f>
        <x:v>0.5307089373794818</x:v>
      </x:c>
      <x:c r="AU288" s="10" t="n">
        <x:f>AB288/INDEX(tun_RepScale,G288)</x:f>
        <x:v>336.54883238894644</x:v>
      </x:c>
      <x:c r="AV288" s="32" t="n">
        <x:f>AM288*60/tun_SeasonSeconds</x:f>
        <x:v>4499.069777222422</x:v>
      </x:c>
    </x:row>
    <x:row r="289">
      <x:c r="A289" s="8" t="n">
        <x:f>A288+1</x:f>
        <x:v>286</x:v>
      </x:c>
      <x:c r="B289" s="9" t="n">
        <x:f>A289*tun_SeasonSeconds/60</x:f>
        <x:v>71.5</x:v>
      </x:c>
      <x:c r="C289" s="9" t="n">
        <x:f>A289/4</x:f>
        <x:v>71.5</x:v>
      </x:c>
      <x:c r="D289" s="8" t="n">
        <x:f>IF(MOD(A289,4)=0,1,0)</x:f>
        <x:v>0</x:v>
      </x:c>
      <x:c r="E289" s="8" t="n">
        <x:f>IF(AND(F288&lt;=9,AS288&gt;=AR288),1,0)</x:f>
        <x:v>0</x:v>
      </x:c>
      <x:c r="F289" s="8" t="n">
        <x:f>MIN(10,F288+E289)</x:f>
        <x:v>5</x:v>
      </x:c>
      <x:c r="G289" s="8" t="n">
        <x:f>MIN(F289,9)+1</x:f>
        <x:v>6</x:v>
      </x:c>
      <x:c r="H289" s="8" t="n">
        <x:f>IF(F289&lt;=9,1,0)</x:f>
        <x:v>1</x:v>
      </x:c>
      <x:c r="I289" s="9" t="n">
        <x:f>MIN(10,F288+IF(AR288&gt;0,MIN(1,AS288/AR288),1))</x:f>
        <x:v>5.530708937379481</x:v>
      </x:c>
      <x:c r="J289" s="32" t="n">
        <x:f>INDEX(tun_FoodCap,G289)*Arch_FoodCap*EXP(tun_CapsByProject*SUMPRODUCT((Cap_Point&lt;=I289)*(Cap_Kind="Food")*Cap_Ln))</x:f>
        <x:v>553.1571743814293</x:v>
      </x:c>
      <x:c r="K289" s="32" t="n">
        <x:f>J289*MIN(1,tun_LeanBase*EXP(tun_CapsByProject*SUMPRODUCT((Cap_Point&lt;=I289)*(Cap_Kind="Lean")*Cap_Ln)))</x:f>
        <x:v>553.1571743814293</x:v>
      </x:c>
      <x:c r="L289" s="10" t="n">
        <x:f>INDEX(tun_HousingCap,G289)*EXP(tun_CapsByProject*SUMPRODUCT((Cap_Point&lt;=I289)*(Cap_Kind="Housing")*Cap_Ln))</x:f>
        <x:v>1981.8141431314853</x:v>
      </x:c>
      <x:c r="M289" s="10" t="n">
        <x:f>INDEX(tun_GroupCap,G289)*tun_CohesionFactor*EXP(tun_CapsByProject*SUMPRODUCT((Cap_Point&lt;=I289)*(Cap_Kind="Group")*Cap_Ln))</x:f>
        <x:v>50000.00000000004</x:v>
      </x:c>
      <x:c r="N289" s="32" t="n">
        <x:f>MIN(J289,L289,M289)</x:f>
        <x:v>553.1571743814293</x:v>
      </x:c>
      <x:c r="O289" s="10" t="n">
        <x:f>AE288*N289</x:f>
        <x:v>2765.7858719071464</x:v>
      </x:c>
      <x:c r="P289" s="9" t="n">
        <x:f>MIN(1,(AB288/(AE288*IF(tun_GroupInCrowding=1,N289,MIN(J289,L289))))^tun_CrowdingExp)</x:f>
        <x:v>0.0507221007021729</x:v>
      </x:c>
      <x:c r="Q289" s="9" t="n">
        <x:f>IF(D289=1,INDEX(tun_WinterMult,G289),1)</x:f>
        <x:v>1</x:v>
      </x:c>
      <x:c r="R289" s="9" t="n">
        <x:f>H289*Z288*tun_WomenShare*tun_BaseFertility*INDEX(tun_FertMult,G289)*Arch_Fertility*(1-P289)</x:f>
        <x:v>41.98856118406297</x:v>
      </x:c>
      <x:c r="S289" s="9" t="n">
        <x:f>H289*Y288*INDEX(tun_MortChild,G289)/4*Q289</x:f>
        <x:v>6.470467756923142</x:v>
      </x:c>
      <x:c r="T289" s="9" t="n">
        <x:f>H289*Z288*INDEX(tun_MortAdult,G289)*Arch_AdultMort/4*Q289</x:f>
        <x:v>1.623906009577541</x:v>
      </x:c>
      <x:c r="U289" s="9" t="n">
        <x:f>H289*AA288*INDEX(tun_MortElder,G289)/4*Q289</x:f>
        <x:v>2.1883461206326906</x:v>
      </x:c>
      <x:c r="V289" s="9" t="n">
        <x:f>H289*MAX(0,AB288-O289)*tun_OvercapLoss</x:f>
        <x:v>0</x:v>
      </x:c>
      <x:c r="W289" s="9" t="n">
        <x:f>H289*Y288/(tun_ChildYears*4)</x:f>
        <x:v>15.937112701781137</x:v>
      </x:c>
      <x:c r="X289" s="9" t="n">
        <x:f>H289*Z288/(tun_AdultYears*4)</x:f>
        <x:v>4.988958554769711</x:v>
      </x:c>
      <x:c r="Y289" s="32" t="n">
        <x:f>Y288+R289-S289-W289-Y288*V289/AB288</x:f>
        <x:v>912.0592920251024</x:v>
      </x:c>
      <x:c r="Z289" s="32" t="n">
        <x:f>Z288+W289-X289-T289-Z288*V289/AB288</x:f>
        <x:v>627.9551089288781</x:v>
      </x:c>
      <x:c r="AA289" s="32" t="n">
        <x:f>AA288+X289-U289-AA288*V289/AB288</x:f>
        <x:v>174.43560228768138</x:v>
      </x:c>
      <x:c r="AB289" s="10" t="n">
        <x:f>Y289+Z289+AA289</x:f>
        <x:v>1714.4500032416618</x:v>
      </x:c>
      <x:c r="AC289" s="8" t="n">
        <x:f>IF(AND(tun_WinterTrigger=1,D289=1,AB288/AE288&gt;=K289),1,0)</x:f>
        <x:v>0</x:v>
      </x:c>
      <x:c r="AD289" s="8" t="n">
        <x:f>H289*IF(AND(OR(AB288/AE288&gt;=tun_FissionTrigger*N289,AC289=1),AB288/AE288*tun_DaughterShare&gt;=tun_MinDaughter),MAX(1,ROUND(AE288*tun_FissionRate,0)),0)</x:f>
        <x:v>0</x:v>
      </x:c>
      <x:c r="AE289" s="8" t="n">
        <x:f>IF(H289=1,MAX(1,MIN(INDEX(tun_Smax,G289),AE288+AD289)),AE288)</x:f>
        <x:v>5</x:v>
      </x:c>
      <x:c r="AF289" s="8" t="n">
        <x:f>MAX(0,AE289-AE288)</x:f>
        <x:v>0</x:v>
      </x:c>
      <x:c r="AG289" s="9" t="str">
        <x:f>IF(AF289&gt;0,B289,"")</x:f>
      </x:c>
      <x:c r="AH289" s="9" t="n">
        <x:f>IF(F289&gt;=1,1,(1+tun_LowTiesShare*(AE289-1))/AE289)</x:f>
        <x:v>1</x:v>
      </x:c>
      <x:c r="AI289" s="32" t="n">
        <x:f>(Z289+tun_ElderCommons*INDEX(LM_Elder,G289)*AA289)*AH289</x:f>
        <x:v>1213.0299055459382</x:v>
      </x:c>
      <x:c r="AJ289" s="32" t="n">
        <x:f>H289*tun_CommonsCoef*AI289^tun_CommonsExp*INDEX(LM_Commons,G289)</x:f>
        <x:v>2665.703509137685</x:v>
      </x:c>
      <x:c r="AK289" s="32" t="n">
        <x:f>H289*tun_RoleScale*Arch_Roles*(AE289*(INDEX(tun_ElderRolePerSett,G289)*tun_OutElder*INDEX(LM_Elder,G289)+INDEX(tun_ShamanPerSett,G289)*tun_OutShaman)+Z289*(INDEX(tun_PriestShare,G289)*tun_OutPriest+INDEX(tun_ScribeShare,G289)*tun_OutScribe*INDEX(LM_Scribe,G289)+INDEX(tun_ScholarShare,G289)*tun_OutScholar*INDEX(LM_Scholar,G289)+INDEX(tun_ResearcherShare,G289)*tun_OutResearcher*INDEX(LM_Researcher,G289)))</x:f>
        <x:v>483.3227448234577</x:v>
      </x:c>
      <x:c r="AL289" s="32" t="n">
        <x:f>H289*tun_RoleScale*Arch_Roles*AE289*INDEX(tun_MonasteryPerSett,G289)*tun_OutMonastery*INDEX(LM_Monastery,G289)</x:f>
        <x:v>12.58570617804182</x:v>
      </x:c>
      <x:c r="AM289" s="32" t="n">
        <x:f>(AJ289+AK289+AL289)/4*INDEX(LM_All,G289)*INDEX(tun_Boon,G289)*Arch_Insight</x:f>
        <x:v>1139.287315948723</x:v>
      </x:c>
      <x:c r="AN289" s="32" t="n">
        <x:f>H289*(tun_KHPerAdult*Z289+tun_KHOfCommons*AJ289/4*INDEX(LM_All,G289))*tun_KHUsable*Arch_KH</x:f>
        <x:v>208.009561053562</x:v>
      </x:c>
      <x:c r="AO289" s="32" t="n">
        <x:f>MIN(AP288+AN289,AM289*tun_KHMaxRatio)</x:f>
        <x:v>208.009561053562</x:v>
      </x:c>
      <x:c r="AP289" s="32" t="n">
        <x:f>AP288+AN289-AO289</x:f>
        <x:v>0</x:v>
      </x:c>
      <x:c r="AQ289" s="32" t="n">
        <x:f>AM289+AO289</x:f>
        <x:v>1347.296877002285</x:v>
      </x:c>
      <x:c r="AR289" s="10" t="n">
        <x:f>IF(H289=1,INDEX(tun_Req,G289),0)</x:f>
        <x:v>88783.394528</x:v>
      </x:c>
      <x:c r="AS289" s="32" t="n">
        <x:f>IF(H289=1,IF(E289=1,AS288-AR288,AS288)+AQ289,0)</x:f>
        <x:v>48465.437843900465</x:v>
      </x:c>
      <x:c r="AT289" s="11" t="n">
        <x:f>IF(AR289&gt;0,MIN(1,AS289/AR289),1)</x:f>
        <x:v>0.5458840372296838</x:v>
      </x:c>
      <x:c r="AU289" s="10" t="n">
        <x:f>AB289/INDEX(tun_RepScale,G289)</x:f>
        <x:v>342.8900006483324</x:v>
      </x:c>
      <x:c r="AV289" s="32" t="n">
        <x:f>AM289*60/tun_SeasonSeconds</x:f>
        <x:v>4557.149263794892</x:v>
      </x:c>
    </x:row>
    <x:row r="290">
      <x:c r="A290" s="8" t="n">
        <x:f>A289+1</x:f>
        <x:v>287</x:v>
      </x:c>
      <x:c r="B290" s="9" t="n">
        <x:f>A290*tun_SeasonSeconds/60</x:f>
        <x:v>71.75</x:v>
      </x:c>
      <x:c r="C290" s="9" t="n">
        <x:f>A290/4</x:f>
        <x:v>71.75</x:v>
      </x:c>
      <x:c r="D290" s="8" t="n">
        <x:f>IF(MOD(A290,4)=0,1,0)</x:f>
        <x:v>0</x:v>
      </x:c>
      <x:c r="E290" s="8" t="n">
        <x:f>IF(AND(F289&lt;=9,AS289&gt;=AR289),1,0)</x:f>
        <x:v>0</x:v>
      </x:c>
      <x:c r="F290" s="8" t="n">
        <x:f>MIN(10,F289+E290)</x:f>
        <x:v>5</x:v>
      </x:c>
      <x:c r="G290" s="8" t="n">
        <x:f>MIN(F290,9)+1</x:f>
        <x:v>6</x:v>
      </x:c>
      <x:c r="H290" s="8" t="n">
        <x:f>IF(F290&lt;=9,1,0)</x:f>
        <x:v>1</x:v>
      </x:c>
      <x:c r="I290" s="9" t="n">
        <x:f>MIN(10,F289+IF(AR289&gt;0,MIN(1,AS289/AR289),1))</x:f>
        <x:v>5.545884037229683</x:v>
      </x:c>
      <x:c r="J290" s="32" t="n">
        <x:f>INDEX(tun_FoodCap,G290)*Arch_FoodCap*EXP(tun_CapsByProject*SUMPRODUCT((Cap_Point&lt;=I290)*(Cap_Kind="Food")*Cap_Ln))</x:f>
        <x:v>553.1571743814293</x:v>
      </x:c>
      <x:c r="K290" s="32" t="n">
        <x:f>J290*MIN(1,tun_LeanBase*EXP(tun_CapsByProject*SUMPRODUCT((Cap_Point&lt;=I290)*(Cap_Kind="Lean")*Cap_Ln)))</x:f>
        <x:v>553.1571743814293</x:v>
      </x:c>
      <x:c r="L290" s="10" t="n">
        <x:f>INDEX(tun_HousingCap,G290)*EXP(tun_CapsByProject*SUMPRODUCT((Cap_Point&lt;=I290)*(Cap_Kind="Housing")*Cap_Ln))</x:f>
        <x:v>1981.8141431314853</x:v>
      </x:c>
      <x:c r="M290" s="10" t="n">
        <x:f>INDEX(tun_GroupCap,G290)*tun_CohesionFactor*EXP(tun_CapsByProject*SUMPRODUCT((Cap_Point&lt;=I290)*(Cap_Kind="Group")*Cap_Ln))</x:f>
        <x:v>50000.00000000004</x:v>
      </x:c>
      <x:c r="N290" s="32" t="n">
        <x:f>MIN(J290,L290,M290)</x:f>
        <x:v>553.1571743814293</x:v>
      </x:c>
      <x:c r="O290" s="10" t="n">
        <x:f>AE289*N290</x:f>
        <x:v>2765.7858719071464</x:v>
      </x:c>
      <x:c r="P290" s="9" t="n">
        <x:f>MIN(1,(AB289/(AE289*IF(tun_GroupInCrowding=1,N290,MIN(J290,L290))))^tun_CrowdingExp)</x:f>
        <x:v>0.056733245074921695</x:v>
      </x:c>
      <x:c r="Q290" s="9" t="n">
        <x:f>IF(D290=1,INDEX(tun_WinterMult,G290),1)</x:f>
        <x:v>1</x:v>
      </x:c>
      <x:c r="R290" s="9" t="n">
        <x:f>H290*Z289*tun_WomenShare*tun_BaseFertility*INDEX(tun_FertMult,G290)*Arch_Fertility*(1-P290)</x:f>
        <x:v>42.35153621541463</x:v>
      </x:c>
      <x:c r="S290" s="9" t="n">
        <x:f>H290*Y289*INDEX(tun_MortChild,G290)/4*Q290</x:f>
        <x:v>6.6124298671819925</x:v>
      </x:c>
      <x:c r="T290" s="9" t="n">
        <x:f>H290*Z289*INDEX(tun_MortAdult,G290)*Arch_AdultMort/4*Q290</x:f>
        <x:v>1.6483821609383051</x:v>
      </x:c>
      <x:c r="U290" s="9" t="n">
        <x:f>H290*AA289*INDEX(tun_MortElder,G290)/4*Q290</x:f>
        <x:v>2.2240539291679373</x:v>
      </x:c>
      <x:c r="V290" s="9" t="n">
        <x:f>H290*MAX(0,AB289-O290)*tun_OvercapLoss</x:f>
        <x:v>0</x:v>
      </x:c>
      <x:c r="W290" s="9" t="n">
        <x:f>H290*Y289/(tun_ChildYears*4)</x:f>
        <x:v>16.28677307187683</x:v>
      </x:c>
      <x:c r="X290" s="9" t="n">
        <x:f>H290*Z289/(tun_AdultYears*4)</x:f>
        <x:v>5.064154104265146</x:v>
      </x:c>
      <x:c r="Y290" s="32" t="n">
        <x:f>Y289+R290-S290-W290-Y289*V290/AB289</x:f>
        <x:v>931.5116253014583</x:v>
      </x:c>
      <x:c r="Z290" s="32" t="n">
        <x:f>Z289+W290-X290-T290-Z289*V290/AB289</x:f>
        <x:v>637.5293457355514</x:v>
      </x:c>
      <x:c r="AA290" s="32" t="n">
        <x:f>AA289+X290-U290-AA289*V290/AB289</x:f>
        <x:v>177.27570246277858</x:v>
      </x:c>
      <x:c r="AB290" s="10" t="n">
        <x:f>Y290+Z290+AA290</x:f>
        <x:v>1746.316673499788</x:v>
      </x:c>
      <x:c r="AC290" s="8" t="n">
        <x:f>IF(AND(tun_WinterTrigger=1,D290=1,AB289/AE289&gt;=K290),1,0)</x:f>
        <x:v>0</x:v>
      </x:c>
      <x:c r="AD290" s="8" t="n">
        <x:f>H290*IF(AND(OR(AB289/AE289&gt;=tun_FissionTrigger*N290,AC290=1),AB289/AE289*tun_DaughterShare&gt;=tun_MinDaughter),MAX(1,ROUND(AE289*tun_FissionRate,0)),0)</x:f>
        <x:v>0</x:v>
      </x:c>
      <x:c r="AE290" s="8" t="n">
        <x:f>IF(H290=1,MAX(1,MIN(INDEX(tun_Smax,G290),AE289+AD290)),AE289)</x:f>
        <x:v>5</x:v>
      </x:c>
      <x:c r="AF290" s="8" t="n">
        <x:f>MAX(0,AE290-AE289)</x:f>
        <x:v>0</x:v>
      </x:c>
      <x:c r="AG290" s="9" t="str">
        <x:f>IF(AF290&gt;0,B290,"")</x:f>
      </x:c>
      <x:c r="AH290" s="9" t="n">
        <x:f>IF(F290&gt;=1,1,(1+tun_LowTiesShare*(AE290-1))/AE290)</x:f>
        <x:v>1</x:v>
      </x:c>
      <x:c r="AI290" s="32" t="n">
        <x:f>(Z290+tun_ElderCommons*INDEX(LM_Elder,G290)*AA290)*AH290</x:f>
        <x:v>1232.130127934251</x:v>
      </x:c>
      <x:c r="AJ290" s="32" t="n">
        <x:f>H290*tun_CommonsCoef*AI290^tun_CommonsExp*INDEX(LM_Commons,G290)</x:f>
        <x:v>2701.339396659677</x:v>
      </x:c>
      <x:c r="AK290" s="32" t="n">
        <x:f>H290*tun_RoleScale*Arch_Roles*(AE290*(INDEX(tun_ElderRolePerSett,G290)*tun_OutElder*INDEX(LM_Elder,G290)+INDEX(tun_ShamanPerSett,G290)*tun_OutShaman)+Z290*(INDEX(tun_PriestShare,G290)*tun_OutPriest+INDEX(tun_ScribeShare,G290)*tun_OutScribe*INDEX(LM_Scribe,G290)+INDEX(tun_ScholarShare,G290)*tun_OutScholar*INDEX(LM_Scholar,G290)+INDEX(tun_ResearcherShare,G290)*tun_OutResearcher*INDEX(LM_Researcher,G290)))</x:f>
        <x:v>488.75423638411473</x:v>
      </x:c>
      <x:c r="AL290" s="32" t="n">
        <x:f>H290*tun_RoleScale*Arch_Roles*AE290*INDEX(tun_MonasteryPerSett,G290)*tun_OutMonastery*INDEX(LM_Monastery,G290)</x:f>
        <x:v>12.58570617804182</x:v>
      </x:c>
      <x:c r="AM290" s="32" t="n">
        <x:f>(AJ290+AK290+AL290)/4*INDEX(LM_All,G290)*INDEX(tun_Boon,G290)*Arch_Insight</x:f>
        <x:v>1154.085951795881</x:v>
      </x:c>
      <x:c r="AN290" s="32" t="n">
        <x:f>H290*(tun_KHPerAdult*Z290+tun_KHOfCommons*AJ290/4*INDEX(LM_All,G290))*tun_KHUsable*Arch_KH</x:f>
        <x:v>210.79029240488975</x:v>
      </x:c>
      <x:c r="AO290" s="32" t="n">
        <x:f>MIN(AP289+AN290,AM290*tun_KHMaxRatio)</x:f>
        <x:v>210.79029240488975</x:v>
      </x:c>
      <x:c r="AP290" s="32" t="n">
        <x:f>AP289+AN290-AO290</x:f>
        <x:v>0</x:v>
      </x:c>
      <x:c r="AQ290" s="32" t="n">
        <x:f>AM290+AO290</x:f>
        <x:v>1364.8762442007708</x:v>
      </x:c>
      <x:c r="AR290" s="10" t="n">
        <x:f>IF(H290=1,INDEX(tun_Req,G290),0)</x:f>
        <x:v>88783.394528</x:v>
      </x:c>
      <x:c r="AS290" s="32" t="n">
        <x:f>IF(H290=1,IF(E290=1,AS289-AR289,AS289)+AQ290,0)</x:f>
        <x:v>49830.31408810124</x:v>
      </x:c>
      <x:c r="AT290" s="11" t="n">
        <x:f>IF(AR290&gt;0,MIN(1,AS290/AR290),1)</x:f>
        <x:v>0.5612571399529676</x:v>
      </x:c>
      <x:c r="AU290" s="10" t="n">
        <x:f>AB290/INDEX(tun_RepScale,G290)</x:f>
        <x:v>349.2633346999576</x:v>
      </x:c>
      <x:c r="AV290" s="32" t="n">
        <x:f>AM290*60/tun_SeasonSeconds</x:f>
        <x:v>4616.343807183524</x:v>
      </x:c>
    </x:row>
    <x:row r="291">
      <x:c r="A291" s="8" t="n">
        <x:f>A290+1</x:f>
        <x:v>288</x:v>
      </x:c>
      <x:c r="B291" s="9" t="n">
        <x:f>A291*tun_SeasonSeconds/60</x:f>
        <x:v>72</x:v>
      </x:c>
      <x:c r="C291" s="9" t="n">
        <x:f>A291/4</x:f>
        <x:v>72</x:v>
      </x:c>
      <x:c r="D291" s="8" t="n">
        <x:f>IF(MOD(A291,4)=0,1,0)</x:f>
        <x:v>1</x:v>
      </x:c>
      <x:c r="E291" s="8" t="n">
        <x:f>IF(AND(F290&lt;=9,AS290&gt;=AR290),1,0)</x:f>
        <x:v>0</x:v>
      </x:c>
      <x:c r="F291" s="8" t="n">
        <x:f>MIN(10,F290+E291)</x:f>
        <x:v>5</x:v>
      </x:c>
      <x:c r="G291" s="8" t="n">
        <x:f>MIN(F291,9)+1</x:f>
        <x:v>6</x:v>
      </x:c>
      <x:c r="H291" s="8" t="n">
        <x:f>IF(F291&lt;=9,1,0)</x:f>
        <x:v>1</x:v>
      </x:c>
      <x:c r="I291" s="9" t="n">
        <x:f>MIN(10,F290+IF(AR290&gt;0,MIN(1,AS290/AR290),1))</x:f>
        <x:v>5.561257139952968</x:v>
      </x:c>
      <x:c r="J291" s="32" t="n">
        <x:f>INDEX(tun_FoodCap,G291)*Arch_FoodCap*EXP(tun_CapsByProject*SUMPRODUCT((Cap_Point&lt;=I291)*(Cap_Kind="Food")*Cap_Ln))</x:f>
        <x:v>553.1571743814293</x:v>
      </x:c>
      <x:c r="K291" s="32" t="n">
        <x:f>J291*MIN(1,tun_LeanBase*EXP(tun_CapsByProject*SUMPRODUCT((Cap_Point&lt;=I291)*(Cap_Kind="Lean")*Cap_Ln)))</x:f>
        <x:v>553.1571743814293</x:v>
      </x:c>
      <x:c r="L291" s="10" t="n">
        <x:f>INDEX(tun_HousingCap,G291)*EXP(tun_CapsByProject*SUMPRODUCT((Cap_Point&lt;=I291)*(Cap_Kind="Housing")*Cap_Ln))</x:f>
        <x:v>1981.8141431314853</x:v>
      </x:c>
      <x:c r="M291" s="10" t="n">
        <x:f>INDEX(tun_GroupCap,G291)*tun_CohesionFactor*EXP(tun_CapsByProject*SUMPRODUCT((Cap_Point&lt;=I291)*(Cap_Kind="Group")*Cap_Ln))</x:f>
        <x:v>50000.00000000004</x:v>
      </x:c>
      <x:c r="N291" s="32" t="n">
        <x:f>MIN(J291,L291,M291)</x:f>
        <x:v>553.1571743814293</x:v>
      </x:c>
      <x:c r="O291" s="10" t="n">
        <x:f>AE290*N291</x:f>
        <x:v>2765.7858719071464</x:v>
      </x:c>
      <x:c r="P291" s="9" t="n">
        <x:f>MIN(1,(AB290/(AE290*IF(tun_GroupInCrowding=1,N291,MIN(J291,L291))))^tun_CrowdingExp)</x:f>
        <x:v>0.06336167950688794</x:v>
      </x:c>
      <x:c r="Q291" s="9" t="n">
        <x:f>IF(D291=1,INDEX(tun_WinterMult,G291),1)</x:f>
        <x:v>1.15</x:v>
      </x:c>
      <x:c r="R291" s="9" t="n">
        <x:f>H291*Z290*tun_WomenShare*tun_BaseFertility*INDEX(tun_FertMult,G291)*Arch_Fertility*(1-P291)</x:f>
        <x:v>42.695110719319594</x:v>
      </x:c>
      <x:c r="S291" s="9" t="n">
        <x:f>H291*Y290*INDEX(tun_MortChild,G291)/4*Q291</x:f>
        <x:v>7.766478175950908</x:v>
      </x:c>
      <x:c r="T291" s="9" t="n">
        <x:f>H291*Z290*INDEX(tun_MortAdult,G291)*Arch_AdultMort/4*Q291</x:f>
        <x:v>1.9245417124391957</x:v>
      </x:c>
      <x:c r="U291" s="9" t="n">
        <x:f>H291*AA290*INDEX(tun_MortElder,G291)/4*Q291</x:f>
        <x:v>2.5993049873604908</x:v>
      </x:c>
      <x:c r="V291" s="9" t="n">
        <x:f>H291*MAX(0,AB290-O291)*tun_OvercapLoss</x:f>
        <x:v>0</x:v>
      </x:c>
      <x:c r="W291" s="9" t="n">
        <x:f>H291*Y290/(tun_ChildYears*4)</x:f>
        <x:v>16.63413616609747</x:v>
      </x:c>
      <x:c r="X291" s="9" t="n">
        <x:f>H291*Z290/(tun_AdultYears*4)</x:f>
        <x:v>5.141365691415737</x:v>
      </x:c>
      <x:c r="Y291" s="32" t="n">
        <x:f>Y290+R291-S291-W291-Y290*V291/AB290</x:f>
        <x:v>949.8061216787294</x:v>
      </x:c>
      <x:c r="Z291" s="32" t="n">
        <x:f>Z290+W291-X291-T291-Z290*V291/AB290</x:f>
        <x:v>647.0975744977939</x:v>
      </x:c>
      <x:c r="AA291" s="32" t="n">
        <x:f>AA290+X291-U291-AA290*V291/AB290</x:f>
        <x:v>179.81776316683383</x:v>
      </x:c>
      <x:c r="AB291" s="10" t="n">
        <x:f>Y291+Z291+AA291</x:f>
        <x:v>1776.721459343357</x:v>
      </x:c>
      <x:c r="AC291" s="8" t="n">
        <x:f>IF(AND(tun_WinterTrigger=1,D291=1,AB290/AE290&gt;=K291),1,0)</x:f>
        <x:v>0</x:v>
      </x:c>
      <x:c r="AD291" s="8" t="n">
        <x:f>H291*IF(AND(OR(AB290/AE290&gt;=tun_FissionTrigger*N291,AC291=1),AB290/AE290*tun_DaughterShare&gt;=tun_MinDaughter),MAX(1,ROUND(AE290*tun_FissionRate,0)),0)</x:f>
        <x:v>0</x:v>
      </x:c>
      <x:c r="AE291" s="8" t="n">
        <x:f>IF(H291=1,MAX(1,MIN(INDEX(tun_Smax,G291),AE290+AD291)),AE290)</x:f>
        <x:v>5</x:v>
      </x:c>
      <x:c r="AF291" s="8" t="n">
        <x:f>MAX(0,AE291-AE290)</x:f>
        <x:v>0</x:v>
      </x:c>
      <x:c r="AG291" s="9" t="str">
        <x:f>IF(AF291&gt;0,B291,"")</x:f>
      </x:c>
      <x:c r="AH291" s="9" t="n">
        <x:f>IF(F291&gt;=1,1,(1+tun_LowTiesShare*(AE291-1))/AE291)</x:f>
        <x:v>1</x:v>
      </x:c>
      <x:c r="AI291" s="32" t="n">
        <x:f>(Z291+tun_ElderCommons*INDEX(LM_Elder,G291)*AA291)*AH291</x:f>
        <x:v>1250.2246875022913</x:v>
      </x:c>
      <x:c r="AJ291" s="32" t="n">
        <x:f>H291*tun_CommonsCoef*AI291^tun_CommonsExp*INDEX(LM_Commons,G291)</x:f>
        <x:v>2735.0226156170543</x:v>
      </x:c>
      <x:c r="AK291" s="32" t="n">
        <x:f>H291*tun_RoleScale*Arch_Roles*(AE291*(INDEX(tun_ElderRolePerSett,G291)*tun_OutElder*INDEX(LM_Elder,G291)+INDEX(tun_ShamanPerSett,G291)*tun_OutShaman)+Z291*(INDEX(tun_PriestShare,G291)*tun_OutPriest+INDEX(tun_ScribeShare,G291)*tun_OutScribe*INDEX(LM_Scribe,G291)+INDEX(tun_ScholarShare,G291)*tun_OutScholar*INDEX(LM_Scholar,G291)+INDEX(tun_ResearcherShare,G291)*tun_OutResearcher*INDEX(LM_Researcher,G291)))</x:f>
        <x:v>494.1823195642104</x:v>
      </x:c>
      <x:c r="AL291" s="32" t="n">
        <x:f>H291*tun_RoleScale*Arch_Roles*AE291*INDEX(tun_MonasteryPerSett,G291)*tun_OutMonastery*INDEX(LM_Monastery,G291)</x:f>
        <x:v>12.58570617804182</x:v>
      </x:c>
      <x:c r="AM291" s="32" t="n">
        <x:f>(AJ291+AK291+AL291)/4*INDEX(LM_All,G291)*INDEX(tun_Boon,G291)*Arch_Insight</x:f>
        <x:v>1168.179715039837</x:v>
      </x:c>
      <x:c r="AN291" s="32" t="n">
        <x:f>H291*(tun_KHPerAdult*Z291+tun_KHOfCommons*AJ291/4*INDEX(LM_All,G291))*tun_KHUsable*Arch_KH</x:f>
        <x:v>213.41865357340603</x:v>
      </x:c>
      <x:c r="AO291" s="32" t="n">
        <x:f>MIN(AP290+AN291,AM291*tun_KHMaxRatio)</x:f>
        <x:v>213.41865357340603</x:v>
      </x:c>
      <x:c r="AP291" s="32" t="n">
        <x:f>AP290+AN291-AO291</x:f>
        <x:v>0</x:v>
      </x:c>
      <x:c r="AQ291" s="32" t="n">
        <x:f>AM291+AO291</x:f>
        <x:v>1381.598368613243</x:v>
      </x:c>
      <x:c r="AR291" s="10" t="n">
        <x:f>IF(H291=1,INDEX(tun_Req,G291),0)</x:f>
        <x:v>88783.394528</x:v>
      </x:c>
      <x:c r="AS291" s="32" t="n">
        <x:f>IF(H291=1,IF(E291=1,AS290-AR290,AS290)+AQ291,0)</x:f>
        <x:v>51211.91245671448</x:v>
      </x:c>
      <x:c r="AT291" s="11" t="n">
        <x:f>IF(AR291&gt;0,MIN(1,AS291/AR291),1)</x:f>
        <x:v>0.5768185901088019</x:v>
      </x:c>
      <x:c r="AU291" s="10" t="n">
        <x:f>AB291/INDEX(tun_RepScale,G291)</x:f>
        <x:v>355.3442918686714</x:v>
      </x:c>
      <x:c r="AV291" s="32" t="n">
        <x:f>AM291*60/tun_SeasonSeconds</x:f>
        <x:v>4672.718860159348</x:v>
      </x:c>
    </x:row>
    <x:row r="292">
      <x:c r="A292" s="8" t="n">
        <x:f>A291+1</x:f>
        <x:v>289</x:v>
      </x:c>
      <x:c r="B292" s="9" t="n">
        <x:f>A292*tun_SeasonSeconds/60</x:f>
        <x:v>72.25</x:v>
      </x:c>
      <x:c r="C292" s="9" t="n">
        <x:f>A292/4</x:f>
        <x:v>72.25</x:v>
      </x:c>
      <x:c r="D292" s="8" t="n">
        <x:f>IF(MOD(A292,4)=0,1,0)</x:f>
        <x:v>0</x:v>
      </x:c>
      <x:c r="E292" s="8" t="n">
        <x:f>IF(AND(F291&lt;=9,AS291&gt;=AR291),1,0)</x:f>
        <x:v>0</x:v>
      </x:c>
      <x:c r="F292" s="8" t="n">
        <x:f>MIN(10,F291+E292)</x:f>
        <x:v>5</x:v>
      </x:c>
      <x:c r="G292" s="8" t="n">
        <x:f>MIN(F292,9)+1</x:f>
        <x:v>6</x:v>
      </x:c>
      <x:c r="H292" s="8" t="n">
        <x:f>IF(F292&lt;=9,1,0)</x:f>
        <x:v>1</x:v>
      </x:c>
      <x:c r="I292" s="9" t="n">
        <x:f>MIN(10,F291+IF(AR291&gt;0,MIN(1,AS291/AR291),1))</x:f>
        <x:v>5.576818590108802</x:v>
      </x:c>
      <x:c r="J292" s="32" t="n">
        <x:f>INDEX(tun_FoodCap,G292)*Arch_FoodCap*EXP(tun_CapsByProject*SUMPRODUCT((Cap_Point&lt;=I292)*(Cap_Kind="Food")*Cap_Ln))</x:f>
        <x:v>553.1571743814293</x:v>
      </x:c>
      <x:c r="K292" s="32" t="n">
        <x:f>J292*MIN(1,tun_LeanBase*EXP(tun_CapsByProject*SUMPRODUCT((Cap_Point&lt;=I292)*(Cap_Kind="Lean")*Cap_Ln)))</x:f>
        <x:v>553.1571743814293</x:v>
      </x:c>
      <x:c r="L292" s="10" t="n">
        <x:f>INDEX(tun_HousingCap,G292)*EXP(tun_CapsByProject*SUMPRODUCT((Cap_Point&lt;=I292)*(Cap_Kind="Housing")*Cap_Ln))</x:f>
        <x:v>1981.8141431314853</x:v>
      </x:c>
      <x:c r="M292" s="10" t="n">
        <x:f>INDEX(tun_GroupCap,G292)*tun_CohesionFactor*EXP(tun_CapsByProject*SUMPRODUCT((Cap_Point&lt;=I292)*(Cap_Kind="Group")*Cap_Ln))</x:f>
        <x:v>50000.00000000004</x:v>
      </x:c>
      <x:c r="N292" s="32" t="n">
        <x:f>MIN(J292,L292,M292)</x:f>
        <x:v>553.1571743814293</x:v>
      </x:c>
      <x:c r="O292" s="10" t="n">
        <x:f>AE291*N292</x:f>
        <x:v>2765.7858719071464</x:v>
      </x:c>
      <x:c r="P292" s="9" t="n">
        <x:f>MIN(1,(AB291/(AE291*IF(tun_GroupInCrowding=1,N292,MIN(J292,L292))))^tun_CrowdingExp)</x:f>
        <x:v>0.07027563261520961</x:v>
      </x:c>
      <x:c r="Q292" s="9" t="n">
        <x:f>IF(D292=1,INDEX(tun_WinterMult,G292),1)</x:f>
        <x:v>1</x:v>
      </x:c>
      <x:c r="R292" s="9" t="n">
        <x:f>H292*Z291*tun_WomenShare*tun_BaseFertility*INDEX(tun_FertMult,G292)*Arch_Fertility*(1-P292)</x:f>
        <x:v>43.01600039066285</x:v>
      </x:c>
      <x:c r="S292" s="9" t="n">
        <x:f>H292*Y291*INDEX(tun_MortChild,G292)/4*Q292</x:f>
        <x:v>6.886094382170788</x:v>
      </x:c>
      <x:c r="T292" s="9" t="n">
        <x:f>H292*Z291*INDEX(tun_MortAdult,G292)*Arch_AdultMort/4*Q292</x:f>
        <x:v>1.698631133056709</x:v>
      </x:c>
      <x:c r="U292" s="9" t="n">
        <x:f>H292*AA291*INDEX(tun_MortElder,G292)/4*Q292</x:f>
        <x:v>2.292676480377131</x:v>
      </x:c>
      <x:c r="V292" s="9" t="n">
        <x:f>H292*MAX(0,AB291-O292)*tun_OvercapLoss</x:f>
        <x:v>0</x:v>
      </x:c>
      <x:c r="W292" s="9" t="n">
        <x:f>H292*Y291/(tun_ChildYears*4)</x:f>
        <x:v>16.96082360140588</x:v>
      </x:c>
      <x:c r="X292" s="9" t="n">
        <x:f>H292*Z291/(tun_AdultYears*4)</x:f>
        <x:v>5.2185288265951115</x:v>
      </x:c>
      <x:c r="Y292" s="32" t="n">
        <x:f>Y291+R292-S292-W292-Y291*V292/AB291</x:f>
        <x:v>968.9752040858156</x:v>
      </x:c>
      <x:c r="Z292" s="32" t="n">
        <x:f>Z291+W292-X292-T292-Z291*V292/AB291</x:f>
        <x:v>657.1412381395479</x:v>
      </x:c>
      <x:c r="AA292" s="32" t="n">
        <x:f>AA291+X292-U292-AA291*V292/AB291</x:f>
        <x:v>182.7436155130518</x:v>
      </x:c>
      <x:c r="AB292" s="10" t="n">
        <x:f>Y292+Z292+AA292</x:f>
        <x:v>1808.8600577384152</x:v>
      </x:c>
      <x:c r="AC292" s="8" t="n">
        <x:f>IF(AND(tun_WinterTrigger=1,D292=1,AB291/AE291&gt;=K292),1,0)</x:f>
        <x:v>0</x:v>
      </x:c>
      <x:c r="AD292" s="8" t="n">
        <x:f>H292*IF(AND(OR(AB291/AE291&gt;=tun_FissionTrigger*N292,AC292=1),AB291/AE291*tun_DaughterShare&gt;=tun_MinDaughter),MAX(1,ROUND(AE291*tun_FissionRate,0)),0)</x:f>
        <x:v>0</x:v>
      </x:c>
      <x:c r="AE292" s="8" t="n">
        <x:f>IF(H292=1,MAX(1,MIN(INDEX(tun_Smax,G292),AE291+AD292)),AE291)</x:f>
        <x:v>5</x:v>
      </x:c>
      <x:c r="AF292" s="8" t="n">
        <x:f>MAX(0,AE292-AE291)</x:f>
        <x:v>0</x:v>
      </x:c>
      <x:c r="AG292" s="9" t="str">
        <x:f>IF(AF292&gt;0,B292,"")</x:f>
      </x:c>
      <x:c r="AH292" s="9" t="n">
        <x:f>IF(F292&gt;=1,1,(1+tun_LowTiesShare*(AE292-1))/AE292)</x:f>
        <x:v>1</x:v>
      </x:c>
      <x:c r="AI292" s="32" t="n">
        <x:f>(Z292+tun_ElderCommons*INDEX(LM_Elder,G292)*AA292)*AH292</x:f>
        <x:v>1270.0819582514514</x:v>
      </x:c>
      <x:c r="AJ292" s="32" t="n">
        <x:f>H292*tun_CommonsCoef*AI292^tun_CommonsExp*INDEX(LM_Commons,G292)</x:f>
        <x:v>2771.903116594245</x:v>
      </x:c>
      <x:c r="AK292" s="32" t="n">
        <x:f>H292*tun_RoleScale*Arch_Roles*(AE292*(INDEX(tun_ElderRolePerSett,G292)*tun_OutElder*INDEX(LM_Elder,G292)+INDEX(tun_ShamanPerSett,G292)*tun_OutShaman)+Z292*(INDEX(tun_PriestShare,G292)*tun_OutPriest+INDEX(tun_ScribeShare,G292)*tun_OutScribe*INDEX(LM_Scribe,G292)+INDEX(tun_ScholarShare,G292)*tun_OutScholar*INDEX(LM_Scholar,G292)+INDEX(tun_ResearcherShare,G292)*tun_OutResearcher*INDEX(LM_Researcher,G292)))</x:f>
        <x:v>499.88011829321624</x:v>
      </x:c>
      <x:c r="AL292" s="32" t="n">
        <x:f>H292*tun_RoleScale*Arch_Roles*AE292*INDEX(tun_MonasteryPerSett,G292)*tun_OutMonastery*INDEX(LM_Monastery,G292)</x:f>
        <x:v>12.58570617804182</x:v>
      </x:c>
      <x:c r="AM292" s="32" t="n">
        <x:f>(AJ292+AK292+AL292)/4*INDEX(LM_All,G292)*INDEX(tun_Boon,G292)*Arch_Insight</x:f>
        <x:v>1183.5228113468859</x:v>
      </x:c>
      <x:c r="AN292" s="32" t="n">
        <x:f>H292*(tun_KHPerAdult*Z292+tun_KHOfCommons*AJ292/4*INDEX(LM_All,G292))*tun_KHUsable*Arch_KH</x:f>
        <x:v>216.29650431464717</x:v>
      </x:c>
      <x:c r="AO292" s="32" t="n">
        <x:f>MIN(AP291+AN292,AM292*tun_KHMaxRatio)</x:f>
        <x:v>216.29650431464717</x:v>
      </x:c>
      <x:c r="AP292" s="32" t="n">
        <x:f>AP291+AN292-AO292</x:f>
        <x:v>0</x:v>
      </x:c>
      <x:c r="AQ292" s="32" t="n">
        <x:f>AM292+AO292</x:f>
        <x:v>1399.819315661533</x:v>
      </x:c>
      <x:c r="AR292" s="10" t="n">
        <x:f>IF(H292=1,INDEX(tun_Req,G292),0)</x:f>
        <x:v>88783.394528</x:v>
      </x:c>
      <x:c r="AS292" s="32" t="n">
        <x:f>IF(H292=1,IF(E292=1,AS291-AR291,AS291)+AQ292,0)</x:f>
        <x:v>52611.73177237601</x:v>
      </x:c>
      <x:c r="AT292" s="11" t="n">
        <x:f>IF(AR292&gt;0,MIN(1,AS292/AR292),1)</x:f>
        <x:v>0.5925852694873435</x:v>
      </x:c>
      <x:c r="AU292" s="10" t="n">
        <x:f>AB292/INDEX(tun_RepScale,G292)</x:f>
        <x:v>361.77201154768306</x:v>
      </x:c>
      <x:c r="AV292" s="32" t="n">
        <x:f>AM292*60/tun_SeasonSeconds</x:f>
        <x:v>4734.0912453875435</x:v>
      </x:c>
    </x:row>
    <x:row r="293">
      <x:c r="A293" s="8" t="n">
        <x:f>A292+1</x:f>
        <x:v>290</x:v>
      </x:c>
      <x:c r="B293" s="9" t="n">
        <x:f>A293*tun_SeasonSeconds/60</x:f>
        <x:v>72.5</x:v>
      </x:c>
      <x:c r="C293" s="9" t="n">
        <x:f>A293/4</x:f>
        <x:v>72.5</x:v>
      </x:c>
      <x:c r="D293" s="8" t="n">
        <x:f>IF(MOD(A293,4)=0,1,0)</x:f>
        <x:v>0</x:v>
      </x:c>
      <x:c r="E293" s="8" t="n">
        <x:f>IF(AND(F292&lt;=9,AS292&gt;=AR292),1,0)</x:f>
        <x:v>0</x:v>
      </x:c>
      <x:c r="F293" s="8" t="n">
        <x:f>MIN(10,F292+E293)</x:f>
        <x:v>5</x:v>
      </x:c>
      <x:c r="G293" s="8" t="n">
        <x:f>MIN(F293,9)+1</x:f>
        <x:v>6</x:v>
      </x:c>
      <x:c r="H293" s="8" t="n">
        <x:f>IF(F293&lt;=9,1,0)</x:f>
        <x:v>1</x:v>
      </x:c>
      <x:c r="I293" s="9" t="n">
        <x:f>MIN(10,F292+IF(AR292&gt;0,MIN(1,AS292/AR292),1))</x:f>
        <x:v>5.592585269487343</x:v>
      </x:c>
      <x:c r="J293" s="32" t="n">
        <x:f>INDEX(tun_FoodCap,G293)*Arch_FoodCap*EXP(tun_CapsByProject*SUMPRODUCT((Cap_Point&lt;=I293)*(Cap_Kind="Food")*Cap_Ln))</x:f>
        <x:v>553.1571743814293</x:v>
      </x:c>
      <x:c r="K293" s="32" t="n">
        <x:f>J293*MIN(1,tun_LeanBase*EXP(tun_CapsByProject*SUMPRODUCT((Cap_Point&lt;=I293)*(Cap_Kind="Lean")*Cap_Ln)))</x:f>
        <x:v>553.1571743814293</x:v>
      </x:c>
      <x:c r="L293" s="10" t="n">
        <x:f>INDEX(tun_HousingCap,G293)*EXP(tun_CapsByProject*SUMPRODUCT((Cap_Point&lt;=I293)*(Cap_Kind="Housing")*Cap_Ln))</x:f>
        <x:v>1981.8141431314853</x:v>
      </x:c>
      <x:c r="M293" s="10" t="n">
        <x:f>INDEX(tun_GroupCap,G293)*tun_CohesionFactor*EXP(tun_CapsByProject*SUMPRODUCT((Cap_Point&lt;=I293)*(Cap_Kind="Group")*Cap_Ln))</x:f>
        <x:v>50000.00000000004</x:v>
      </x:c>
      <x:c r="N293" s="32" t="n">
        <x:f>MIN(J293,L293,M293)</x:f>
        <x:v>553.1571743814293</x:v>
      </x:c>
      <x:c r="O293" s="10" t="n">
        <x:f>AE292*N293</x:f>
        <x:v>2765.7858719071464</x:v>
      </x:c>
      <x:c r="P293" s="9" t="n">
        <x:f>MIN(1,(AB292/(AE292*IF(tun_GroupInCrowding=1,N293,MIN(J293,L293))))^tun_CrowdingExp)</x:f>
        <x:v>0.07825615235659612</x:v>
      </x:c>
      <x:c r="Q293" s="9" t="n">
        <x:f>IF(D293=1,INDEX(tun_WinterMult,G293),1)</x:f>
        <x:v>1</x:v>
      </x:c>
      <x:c r="R293" s="9" t="n">
        <x:f>H293*Z292*tun_WomenShare*tun_BaseFertility*INDEX(tun_FertMult,G293)*Arch_Fertility*(1-P293)</x:f>
        <x:v>43.30868637008465</x:v>
      </x:c>
      <x:c r="S293" s="9" t="n">
        <x:f>H293*Y292*INDEX(tun_MortChild,G293)/4*Q293</x:f>
        <x:v>7.025070229622163</x:v>
      </x:c>
      <x:c r="T293" s="9" t="n">
        <x:f>H293*Z292*INDEX(tun_MortAdult,G293)*Arch_AdultMort/4*Q293</x:f>
        <x:v>1.7249957501163133</x:v>
      </x:c>
      <x:c r="U293" s="9" t="n">
        <x:f>H293*AA292*INDEX(tun_MortElder,G293)/4*Q293</x:f>
        <x:v>2.32998109779141</x:v>
      </x:c>
      <x:c r="V293" s="9" t="n">
        <x:f>H293*MAX(0,AB292-O293)*tun_OvercapLoss</x:f>
        <x:v>0</x:v>
      </x:c>
      <x:c r="W293" s="9" t="n">
        <x:f>H293*Y292/(tun_ChildYears*4)</x:f>
        <x:v>17.303128644389563</x:v>
      </x:c>
      <x:c r="X293" s="9" t="n">
        <x:f>H293*Z292/(tun_AdultYears*4)</x:f>
        <x:v>5.2995261140286125</x:v>
      </x:c>
      <x:c r="Y293" s="32" t="n">
        <x:f>Y292+R293-S293-W293-Y292*V293/AB292</x:f>
        <x:v>987.9556915818885</x:v>
      </x:c>
      <x:c r="Z293" s="32" t="n">
        <x:f>Z292+W293-X293-T293-Z292*V293/AB292</x:f>
        <x:v>667.4198449197925</x:v>
      </x:c>
      <x:c r="AA293" s="32" t="n">
        <x:f>AA292+X293-U293-AA292*V293/AB292</x:f>
        <x:v>185.713160529289</x:v>
      </x:c>
      <x:c r="AB293" s="10" t="n">
        <x:f>Y293+Z293+AA293</x:f>
        <x:v>1841.08869703097</x:v>
      </x:c>
      <x:c r="AC293" s="8" t="n">
        <x:f>IF(AND(tun_WinterTrigger=1,D293=1,AB292/AE292&gt;=K293),1,0)</x:f>
        <x:v>0</x:v>
      </x:c>
      <x:c r="AD293" s="8" t="n">
        <x:f>H293*IF(AND(OR(AB292/AE292&gt;=tun_FissionTrigger*N293,AC293=1),AB292/AE292*tun_DaughterShare&gt;=tun_MinDaughter),MAX(1,ROUND(AE292*tun_FissionRate,0)),0)</x:f>
        <x:v>0</x:v>
      </x:c>
      <x:c r="AE293" s="8" t="n">
        <x:f>IF(H293=1,MAX(1,MIN(INDEX(tun_Smax,G293),AE292+AD293)),AE292)</x:f>
        <x:v>5</x:v>
      </x:c>
      <x:c r="AF293" s="8" t="n">
        <x:f>MAX(0,AE293-AE292)</x:f>
        <x:v>0</x:v>
      </x:c>
      <x:c r="AG293" s="9" t="str">
        <x:f>IF(AF293&gt;0,B293,"")</x:f>
      </x:c>
      <x:c r="AH293" s="9" t="n">
        <x:f>IF(F293&gt;=1,1,(1+tun_LowTiesShare*(AE293-1))/AE293)</x:f>
        <x:v>1</x:v>
      </x:c>
      <x:c r="AI293" s="32" t="n">
        <x:f>(Z293+tun_ElderCommons*INDEX(LM_Elder,G293)*AA293)*AH293</x:f>
        <x:v>1290.320721809524</x:v>
      </x:c>
      <x:c r="AJ293" s="32" t="n">
        <x:f>H293*tun_CommonsCoef*AI293^tun_CommonsExp*INDEX(LM_Commons,G293)</x:f>
        <x:v>2809.4032664249244</x:v>
      </x:c>
      <x:c r="AK293" s="32" t="n">
        <x:f>H293*tun_RoleScale*Arch_Roles*(AE293*(INDEX(tun_ElderRolePerSett,G293)*tun_OutElder*INDEX(LM_Elder,G293)+INDEX(tun_ShamanPerSett,G293)*tun_OutShaman)+Z293*(INDEX(tun_PriestShare,G293)*tun_OutPriest+INDEX(tun_ScribeShare,G293)*tun_OutScribe*INDEX(LM_Scribe,G293)+INDEX(tun_ScholarShare,G293)*tun_OutScholar*INDEX(LM_Scholar,G293)+INDEX(tun_ResearcherShare,G293)*tun_OutResearcher*INDEX(LM_Researcher,G293)))</x:f>
        <x:v>505.71120092774004</x:v>
      </x:c>
      <x:c r="AL293" s="32" t="n">
        <x:f>H293*tun_RoleScale*Arch_Roles*AE293*INDEX(tun_MonasteryPerSett,G293)*tun_OutMonastery*INDEX(LM_Monastery,G293)</x:f>
        <x:v>12.58570617804182</x:v>
      </x:c>
      <x:c r="AM293" s="32" t="n">
        <x:f>(AJ293+AK293+AL293)/4*INDEX(LM_All,G293)*INDEX(tun_Boon,G293)*Arch_Insight</x:f>
        <x:v>1199.1372270798836</x:v>
      </x:c>
      <x:c r="AN293" s="32" t="n">
        <x:f>H293*(tun_KHPerAdult*Z293+tun_KHOfCommons*AJ293/4*INDEX(LM_All,G293))*tun_KHUsable*Arch_KH</x:f>
        <x:v>219.22270735222565</x:v>
      </x:c>
      <x:c r="AO293" s="32" t="n">
        <x:f>MIN(AP292+AN293,AM293*tun_KHMaxRatio)</x:f>
        <x:v>219.22270735222565</x:v>
      </x:c>
      <x:c r="AP293" s="32" t="n">
        <x:f>AP292+AN293-AO293</x:f>
        <x:v>0</x:v>
      </x:c>
      <x:c r="AQ293" s="32" t="n">
        <x:f>AM293+AO293</x:f>
        <x:v>1418.3599344321092</x:v>
      </x:c>
      <x:c r="AR293" s="10" t="n">
        <x:f>IF(H293=1,INDEX(tun_Req,G293),0)</x:f>
        <x:v>88783.394528</x:v>
      </x:c>
      <x:c r="AS293" s="32" t="n">
        <x:f>IF(H293=1,IF(E293=1,AS292-AR292,AS292)+AQ293,0)</x:f>
        <x:v>54030.091706808125</x:v>
      </x:c>
      <x:c r="AT293" s="11" t="n">
        <x:f>IF(AR293&gt;0,MIN(1,AS293/AR293),1)</x:f>
        <x:v>0.608560778668678</x:v>
      </x:c>
      <x:c r="AU293" s="10" t="n">
        <x:f>AB293/INDEX(tun_RepScale,G293)</x:f>
        <x:v>368.217739406194</x:v>
      </x:c>
      <x:c r="AV293" s="32" t="n">
        <x:f>AM293*60/tun_SeasonSeconds</x:f>
        <x:v>4796.548908319534</x:v>
      </x:c>
    </x:row>
    <x:row r="294">
      <x:c r="A294" s="8" t="n">
        <x:f>A293+1</x:f>
        <x:v>291</x:v>
      </x:c>
      <x:c r="B294" s="9" t="n">
        <x:f>A294*tun_SeasonSeconds/60</x:f>
        <x:v>72.75</x:v>
      </x:c>
      <x:c r="C294" s="9" t="n">
        <x:f>A294/4</x:f>
        <x:v>72.75</x:v>
      </x:c>
      <x:c r="D294" s="8" t="n">
        <x:f>IF(MOD(A294,4)=0,1,0)</x:f>
        <x:v>0</x:v>
      </x:c>
      <x:c r="E294" s="8" t="n">
        <x:f>IF(AND(F293&lt;=9,AS293&gt;=AR293),1,0)</x:f>
        <x:v>0</x:v>
      </x:c>
      <x:c r="F294" s="8" t="n">
        <x:f>MIN(10,F293+E294)</x:f>
        <x:v>5</x:v>
      </x:c>
      <x:c r="G294" s="8" t="n">
        <x:f>MIN(F294,9)+1</x:f>
        <x:v>6</x:v>
      </x:c>
      <x:c r="H294" s="8" t="n">
        <x:f>IF(F294&lt;=9,1,0)</x:f>
        <x:v>1</x:v>
      </x:c>
      <x:c r="I294" s="9" t="n">
        <x:f>MIN(10,F293+IF(AR293&gt;0,MIN(1,AS293/AR293),1))</x:f>
        <x:v>5.608560778668678</x:v>
      </x:c>
      <x:c r="J294" s="32" t="n">
        <x:f>INDEX(tun_FoodCap,G294)*Arch_FoodCap*EXP(tun_CapsByProject*SUMPRODUCT((Cap_Point&lt;=I294)*(Cap_Kind="Food")*Cap_Ln))</x:f>
        <x:v>610.0101168966467</x:v>
      </x:c>
      <x:c r="K294" s="32" t="n">
        <x:f>J294*MIN(1,tun_LeanBase*EXP(tun_CapsByProject*SUMPRODUCT((Cap_Point&lt;=I294)*(Cap_Kind="Lean")*Cap_Ln)))</x:f>
        <x:v>610.0101168966467</x:v>
      </x:c>
      <x:c r="L294" s="10" t="n">
        <x:f>INDEX(tun_HousingCap,G294)*EXP(tun_CapsByProject*SUMPRODUCT((Cap_Point&lt;=I294)*(Cap_Kind="Housing")*Cap_Ln))</x:f>
        <x:v>2125.258900135082</x:v>
      </x:c>
      <x:c r="M294" s="10" t="n">
        <x:f>INDEX(tun_GroupCap,G294)*tun_CohesionFactor*EXP(tun_CapsByProject*SUMPRODUCT((Cap_Point&lt;=I294)*(Cap_Kind="Group")*Cap_Ln))</x:f>
        <x:v>50000.00000000004</x:v>
      </x:c>
      <x:c r="N294" s="32" t="n">
        <x:f>MIN(J294,L294,M294)</x:f>
        <x:v>610.0101168966467</x:v>
      </x:c>
      <x:c r="O294" s="10" t="n">
        <x:f>AE293*N294</x:f>
        <x:v>3050.0505844832333</x:v>
      </x:c>
      <x:c r="P294" s="9" t="n">
        <x:f>MIN(1,(AB293/(AE293*IF(tun_GroupInCrowding=1,N294,MIN(J294,L294))))^tun_CrowdingExp)</x:f>
        <x:v>0.048373333663261006</x:v>
      </x:c>
      <x:c r="Q294" s="9" t="n">
        <x:f>IF(D294=1,INDEX(tun_WinterMult,G294),1)</x:f>
        <x:v>1</x:v>
      </x:c>
      <x:c r="R294" s="9" t="n">
        <x:f>H294*Z293*tun_WomenShare*tun_BaseFertility*INDEX(tun_FertMult,G294)*Arch_Fertility*(1-P294)</x:f>
        <x:v>45.41211832786239</x:v>
      </x:c>
      <x:c r="S294" s="9" t="n">
        <x:f>H294*Y293*INDEX(tun_MortChild,G294)/4*Q294</x:f>
        <x:v>7.1626787639686915</x:v>
      </x:c>
      <x:c r="T294" s="9" t="n">
        <x:f>H294*Z293*INDEX(tun_MortAdult,G294)*Arch_AdultMort/4*Q294</x:f>
        <x:v>1.7519770929144554</x:v>
      </x:c>
      <x:c r="U294" s="9" t="n">
        <x:f>H294*AA293*INDEX(tun_MortElder,G294)/4*Q294</x:f>
        <x:v>2.367842796748435</x:v>
      </x:c>
      <x:c r="V294" s="9" t="n">
        <x:f>H294*MAX(0,AB293-O294)*tun_OvercapLoss</x:f>
        <x:v>0</x:v>
      </x:c>
      <x:c r="W294" s="9" t="n">
        <x:f>H294*Y293/(tun_ChildYears*4)</x:f>
        <x:v>17.64206592110515</x:v>
      </x:c>
      <x:c r="X294" s="9" t="n">
        <x:f>H294*Z293/(tun_AdultYears*4)</x:f>
        <x:v>5.382418104191875</x:v>
      </x:c>
      <x:c r="Y294" s="32" t="n">
        <x:f>Y293+R294-S294-W294-Y293*V294/AB293</x:f>
        <x:v>1008.563065224677</x:v>
      </x:c>
      <x:c r="Z294" s="32" t="n">
        <x:f>Z293+W294-X294-T294-Z293*V294/AB293</x:f>
        <x:v>677.9275156437914</x:v>
      </x:c>
      <x:c r="AA294" s="32" t="n">
        <x:f>AA293+X294-U294-AA293*V294/AB293</x:f>
        <x:v>188.72773583673245</x:v>
      </x:c>
      <x:c r="AB294" s="10" t="n">
        <x:f>Y294+Z294+AA294</x:f>
        <x:v>1875.2183167052008</x:v>
      </x:c>
      <x:c r="AC294" s="8" t="n">
        <x:f>IF(AND(tun_WinterTrigger=1,D294=1,AB293/AE293&gt;=K294),1,0)</x:f>
        <x:v>0</x:v>
      </x:c>
      <x:c r="AD294" s="8" t="n">
        <x:f>H294*IF(AND(OR(AB293/AE293&gt;=tun_FissionTrigger*N294,AC294=1),AB293/AE293*tun_DaughterShare&gt;=tun_MinDaughter),MAX(1,ROUND(AE293*tun_FissionRate,0)),0)</x:f>
        <x:v>0</x:v>
      </x:c>
      <x:c r="AE294" s="8" t="n">
        <x:f>IF(H294=1,MAX(1,MIN(INDEX(tun_Smax,G294),AE293+AD294)),AE293)</x:f>
        <x:v>5</x:v>
      </x:c>
      <x:c r="AF294" s="8" t="n">
        <x:f>MAX(0,AE294-AE293)</x:f>
        <x:v>0</x:v>
      </x:c>
      <x:c r="AG294" s="9" t="str">
        <x:f>IF(AF294&gt;0,B294,"")</x:f>
      </x:c>
      <x:c r="AH294" s="9" t="n">
        <x:f>IF(F294&gt;=1,1,(1+tun_LowTiesShare*(AE294-1))/AE294)</x:f>
        <x:v>1</x:v>
      </x:c>
      <x:c r="AI294" s="32" t="n">
        <x:f>(Z294+tun_ElderCommons*INDEX(LM_Elder,G294)*AA294)*AH294</x:f>
        <x:v>1310.939585499627</x:v>
      </x:c>
      <x:c r="AJ294" s="32" t="n">
        <x:f>H294*tun_CommonsCoef*AI294^tun_CommonsExp*INDEX(LM_Commons,G294)</x:f>
        <x:v>2847.5170818924944</x:v>
      </x:c>
      <x:c r="AK294" s="32" t="n">
        <x:f>H294*tun_RoleScale*Arch_Roles*(AE294*(INDEX(tun_ElderRolePerSett,G294)*tun_OutElder*INDEX(LM_Elder,G294)+INDEX(tun_ShamanPerSett,G294)*tun_OutShaman)+Z294*(INDEX(tun_PriestShare,G294)*tun_OutPriest+INDEX(tun_ScribeShare,G294)*tun_OutScribe*INDEX(LM_Scribe,G294)+INDEX(tun_ScholarShare,G294)*tun_OutScholar*INDEX(LM_Scholar,G294)+INDEX(tun_ResearcherShare,G294)*tun_OutResearcher*INDEX(LM_Researcher,G294)))</x:f>
        <x:v>511.67223218401546</x:v>
      </x:c>
      <x:c r="AL294" s="32" t="n">
        <x:f>H294*tun_RoleScale*Arch_Roles*AE294*INDEX(tun_MonasteryPerSett,G294)*tun_OutMonastery*INDEX(LM_Monastery,G294)</x:f>
        <x:v>12.58570617804182</x:v>
      </x:c>
      <x:c r="AM294" s="32" t="n">
        <x:f>(AJ294+AK294+AL294)/4*INDEX(LM_All,G294)*INDEX(tun_Boon,G294)*Arch_Insight</x:f>
        <x:v>1215.0196043159094</x:v>
      </x:c>
      <x:c r="AN294" s="32" t="n">
        <x:f>H294*(tun_KHPerAdult*Z294+tun_KHOfCommons*AJ294/4*INDEX(LM_All,G294))*tun_KHUsable*Arch_KH</x:f>
        <x:v>222.1967958051648</x:v>
      </x:c>
      <x:c r="AO294" s="32" t="n">
        <x:f>MIN(AP293+AN294,AM294*tun_KHMaxRatio)</x:f>
        <x:v>222.1967958051648</x:v>
      </x:c>
      <x:c r="AP294" s="32" t="n">
        <x:f>AP293+AN294-AO294</x:f>
        <x:v>0</x:v>
      </x:c>
      <x:c r="AQ294" s="32" t="n">
        <x:f>AM294+AO294</x:f>
        <x:v>1437.2164001210742</x:v>
      </x:c>
      <x:c r="AR294" s="10" t="n">
        <x:f>IF(H294=1,INDEX(tun_Req,G294),0)</x:f>
        <x:v>88783.394528</x:v>
      </x:c>
      <x:c r="AS294" s="32" t="n">
        <x:f>IF(H294=1,IF(E294=1,AS293-AR293,AS293)+AQ294,0)</x:f>
        <x:v>55467.3081069292</x:v>
      </x:c>
      <x:c r="AT294" s="11" t="n">
        <x:f>IF(AR294&gt;0,MIN(1,AS294/AR294),1)</x:f>
        <x:v>0.6247486751527195</x:v>
      </x:c>
      <x:c r="AU294" s="10" t="n">
        <x:f>AB294/INDEX(tun_RepScale,G294)</x:f>
        <x:v>375.04366334104014</x:v>
      </x:c>
      <x:c r="AV294" s="32" t="n">
        <x:f>AM294*60/tun_SeasonSeconds</x:f>
        <x:v>4860.078417263638</x:v>
      </x:c>
    </x:row>
    <x:row r="295">
      <x:c r="A295" s="8" t="n">
        <x:f>A294+1</x:f>
        <x:v>292</x:v>
      </x:c>
      <x:c r="B295" s="9" t="n">
        <x:f>A295*tun_SeasonSeconds/60</x:f>
        <x:v>73</x:v>
      </x:c>
      <x:c r="C295" s="9" t="n">
        <x:f>A295/4</x:f>
        <x:v>73</x:v>
      </x:c>
      <x:c r="D295" s="8" t="n">
        <x:f>IF(MOD(A295,4)=0,1,0)</x:f>
        <x:v>1</x:v>
      </x:c>
      <x:c r="E295" s="8" t="n">
        <x:f>IF(AND(F294&lt;=9,AS294&gt;=AR294),1,0)</x:f>
        <x:v>0</x:v>
      </x:c>
      <x:c r="F295" s="8" t="n">
        <x:f>MIN(10,F294+E295)</x:f>
        <x:v>5</x:v>
      </x:c>
      <x:c r="G295" s="8" t="n">
        <x:f>MIN(F295,9)+1</x:f>
        <x:v>6</x:v>
      </x:c>
      <x:c r="H295" s="8" t="n">
        <x:f>IF(F295&lt;=9,1,0)</x:f>
        <x:v>1</x:v>
      </x:c>
      <x:c r="I295" s="9" t="n">
        <x:f>MIN(10,F294+IF(AR294&gt;0,MIN(1,AS294/AR294),1))</x:f>
        <x:v>5.62474867515272</x:v>
      </x:c>
      <x:c r="J295" s="32" t="n">
        <x:f>INDEX(tun_FoodCap,G295)*Arch_FoodCap*EXP(tun_CapsByProject*SUMPRODUCT((Cap_Point&lt;=I295)*(Cap_Kind="Food")*Cap_Ln))</x:f>
        <x:v>610.0101168966467</x:v>
      </x:c>
      <x:c r="K295" s="32" t="n">
        <x:f>J295*MIN(1,tun_LeanBase*EXP(tun_CapsByProject*SUMPRODUCT((Cap_Point&lt;=I295)*(Cap_Kind="Lean")*Cap_Ln)))</x:f>
        <x:v>610.0101168966467</x:v>
      </x:c>
      <x:c r="L295" s="10" t="n">
        <x:f>INDEX(tun_HousingCap,G295)*EXP(tun_CapsByProject*SUMPRODUCT((Cap_Point&lt;=I295)*(Cap_Kind="Housing")*Cap_Ln))</x:f>
        <x:v>2125.258900135082</x:v>
      </x:c>
      <x:c r="M295" s="10" t="n">
        <x:f>INDEX(tun_GroupCap,G295)*tun_CohesionFactor*EXP(tun_CapsByProject*SUMPRODUCT((Cap_Point&lt;=I295)*(Cap_Kind="Group")*Cap_Ln))</x:f>
        <x:v>50000.00000000004</x:v>
      </x:c>
      <x:c r="N295" s="32" t="n">
        <x:f>MIN(J295,L295,M295)</x:f>
        <x:v>610.0101168966467</x:v>
      </x:c>
      <x:c r="O295" s="10" t="n">
        <x:f>AE294*N295</x:f>
        <x:v>3050.0505844832333</x:v>
      </x:c>
      <x:c r="P295" s="9" t="n">
        <x:f>MIN(1,(AB294/(AE294*IF(tun_GroupInCrowding=1,N295,MIN(J295,L295))))^tun_CrowdingExp)</x:f>
        <x:v>0.05400932705850098</x:v>
      </x:c>
      <x:c r="Q295" s="9" t="n">
        <x:f>IF(D295=1,INDEX(tun_WinterMult,G295),1)</x:f>
        <x:v>1.15</x:v>
      </x:c>
      <x:c r="R295" s="9" t="n">
        <x:f>H295*Z294*tun_WomenShare*tun_BaseFertility*INDEX(tun_FertMult,G295)*Arch_Fertility*(1-P295)</x:f>
        <x:v>45.85388713115417</x:v>
      </x:c>
      <x:c r="S295" s="9" t="n">
        <x:f>H295*Y294*INDEX(tun_MortChild,G295)/4*Q295</x:f>
        <x:v>8.408894556310743</x:v>
      </x:c>
      <x:c r="T295" s="9" t="n">
        <x:f>H295*Z294*INDEX(tun_MortAdult,G295)*Arch_AdultMort/4*Q295</x:f>
        <x:v>2.0464936878496953</x:v>
      </x:c>
      <x:c r="U295" s="9" t="n">
        <x:f>H295*AA294*INDEX(tun_MortElder,G295)/4*Q295</x:f>
        <x:v>2.767220426706089</x:v>
      </x:c>
      <x:c r="V295" s="9" t="n">
        <x:f>H295*MAX(0,AB294-O295)*tun_OvercapLoss</x:f>
        <x:v>0</x:v>
      </x:c>
      <x:c r="W295" s="9" t="n">
        <x:f>H295*Y294/(tun_ChildYears*4)</x:f>
        <x:v>18.010054736154945</x:v>
      </x:c>
      <x:c r="X295" s="9" t="n">
        <x:f>H295*Z294/(tun_AdultYears*4)</x:f>
        <x:v>5.467157384224124</x:v>
      </x:c>
      <x:c r="Y295" s="32" t="n">
        <x:f>Y294+R295-S295-W295-Y294*V295/AB294</x:f>
        <x:v>1027.9980030633656</x:v>
      </x:c>
      <x:c r="Z295" s="32" t="n">
        <x:f>Z294+W295-X295-T295-Z294*V295/AB294</x:f>
        <x:v>688.4239193078726</x:v>
      </x:c>
      <x:c r="AA295" s="32" t="n">
        <x:f>AA294+X295-U295-AA294*V295/AB294</x:f>
        <x:v>191.4276727942505</x:v>
      </x:c>
      <x:c r="AB295" s="10" t="n">
        <x:f>Y295+Z295+AA295</x:f>
        <x:v>1907.8495951654886</x:v>
      </x:c>
      <x:c r="AC295" s="8" t="n">
        <x:f>IF(AND(tun_WinterTrigger=1,D295=1,AB294/AE294&gt;=K295),1,0)</x:f>
        <x:v>0</x:v>
      </x:c>
      <x:c r="AD295" s="8" t="n">
        <x:f>H295*IF(AND(OR(AB294/AE294&gt;=tun_FissionTrigger*N295,AC295=1),AB294/AE294*tun_DaughterShare&gt;=tun_MinDaughter),MAX(1,ROUND(AE294*tun_FissionRate,0)),0)</x:f>
        <x:v>0</x:v>
      </x:c>
      <x:c r="AE295" s="8" t="n">
        <x:f>IF(H295=1,MAX(1,MIN(INDEX(tun_Smax,G295),AE294+AD295)),AE294)</x:f>
        <x:v>5</x:v>
      </x:c>
      <x:c r="AF295" s="8" t="n">
        <x:f>MAX(0,AE295-AE294)</x:f>
        <x:v>0</x:v>
      </x:c>
      <x:c r="AG295" s="9" t="str">
        <x:f>IF(AF295&gt;0,B295,"")</x:f>
      </x:c>
      <x:c r="AH295" s="9" t="n">
        <x:f>IF(F295&gt;=1,1,(1+tun_LowTiesShare*(AE295-1))/AE295)</x:f>
        <x:v>1</x:v>
      </x:c>
      <x:c r="AI295" s="32" t="n">
        <x:f>(Z295+tun_ElderCommons*INDEX(LM_Elder,G295)*AA295)*AH295</x:f>
        <x:v>1330.4918530216694</x:v>
      </x:c>
      <x:c r="AJ295" s="32" t="n">
        <x:f>H295*tun_CommonsCoef*AI295^tun_CommonsExp*INDEX(LM_Commons,G295)</x:f>
        <x:v>2883.576307899591</x:v>
      </x:c>
      <x:c r="AK295" s="32" t="n">
        <x:f>H295*tun_RoleScale*Arch_Roles*(AE295*(INDEX(tun_ElderRolePerSett,G295)*tun_OutElder*INDEX(LM_Elder,G295)+INDEX(tun_ShamanPerSett,G295)*tun_OutShaman)+Z295*(INDEX(tun_PriestShare,G295)*tun_OutPriest+INDEX(tun_ScribeShare,G295)*tun_OutScribe*INDEX(LM_Scribe,G295)+INDEX(tun_ScholarShare,G295)*tun_OutScholar*INDEX(LM_Scholar,G295)+INDEX(tun_ResearcherShare,G295)*tun_OutResearcher*INDEX(LM_Researcher,G295)))</x:f>
        <x:v>517.626871605402</x:v>
      </x:c>
      <x:c r="AL295" s="32" t="n">
        <x:f>H295*tun_RoleScale*Arch_Roles*AE295*INDEX(tun_MonasteryPerSett,G295)*tun_OutMonastery*INDEX(LM_Monastery,G295)</x:f>
        <x:v>12.58570617804182</x:v>
      </x:c>
      <x:c r="AM295" s="32" t="n">
        <x:f>(AJ295+AK295+AL295)/4*INDEX(LM_All,G295)*INDEX(tun_Boon,G295)*Arch_Insight</x:f>
        <x:v>1230.159306651341</x:v>
      </x:c>
      <x:c r="AN295" s="32" t="n">
        <x:f>H295*(tun_KHPerAdult*Z295+tun_KHOfCommons*AJ295/4*INDEX(LM_All,G295))*tun_KHUsable*Arch_KH</x:f>
        <x:v>225.01056100746732</x:v>
      </x:c>
      <x:c r="AO295" s="32" t="n">
        <x:f>MIN(AP294+AN295,AM295*tun_KHMaxRatio)</x:f>
        <x:v>225.01056100746732</x:v>
      </x:c>
      <x:c r="AP295" s="32" t="n">
        <x:f>AP294+AN295-AO295</x:f>
        <x:v>0</x:v>
      </x:c>
      <x:c r="AQ295" s="32" t="n">
        <x:f>AM295+AO295</x:f>
        <x:v>1455.1698676588082</x:v>
      </x:c>
      <x:c r="AR295" s="10" t="n">
        <x:f>IF(H295=1,INDEX(tun_Req,G295),0)</x:f>
        <x:v>88783.394528</x:v>
      </x:c>
      <x:c r="AS295" s="32" t="n">
        <x:f>IF(H295=1,IF(E295=1,AS294-AR294,AS294)+AQ295,0)</x:f>
        <x:v>56922.47797458801</x:v>
      </x:c>
      <x:c r="AT295" s="11" t="n">
        <x:f>IF(AR295&gt;0,MIN(1,AS295/AR295),1)</x:f>
        <x:v>0.6411387881394434</x:v>
      </x:c>
      <x:c r="AU295" s="10" t="n">
        <x:f>AB295/INDEX(tun_RepScale,G295)</x:f>
        <x:v>381.56991903309773</x:v>
      </x:c>
      <x:c r="AV295" s="32" t="n">
        <x:f>AM295*60/tun_SeasonSeconds</x:f>
        <x:v>4920.637226605364</x:v>
      </x:c>
    </x:row>
    <x:row r="296">
      <x:c r="A296" s="8" t="n">
        <x:f>A295+1</x:f>
        <x:v>293</x:v>
      </x:c>
      <x:c r="B296" s="9" t="n">
        <x:f>A296*tun_SeasonSeconds/60</x:f>
        <x:v>73.25</x:v>
      </x:c>
      <x:c r="C296" s="9" t="n">
        <x:f>A296/4</x:f>
        <x:v>73.25</x:v>
      </x:c>
      <x:c r="D296" s="8" t="n">
        <x:f>IF(MOD(A296,4)=0,1,0)</x:f>
        <x:v>0</x:v>
      </x:c>
      <x:c r="E296" s="8" t="n">
        <x:f>IF(AND(F295&lt;=9,AS295&gt;=AR295),1,0)</x:f>
        <x:v>0</x:v>
      </x:c>
      <x:c r="F296" s="8" t="n">
        <x:f>MIN(10,F295+E296)</x:f>
        <x:v>5</x:v>
      </x:c>
      <x:c r="G296" s="8" t="n">
        <x:f>MIN(F296,9)+1</x:f>
        <x:v>6</x:v>
      </x:c>
      <x:c r="H296" s="8" t="n">
        <x:f>IF(F296&lt;=9,1,0)</x:f>
        <x:v>1</x:v>
      </x:c>
      <x:c r="I296" s="9" t="n">
        <x:f>MIN(10,F295+IF(AR295&gt;0,MIN(1,AS295/AR295),1))</x:f>
        <x:v>5.641138788139443</x:v>
      </x:c>
      <x:c r="J296" s="32" t="n">
        <x:f>INDEX(tun_FoodCap,G296)*Arch_FoodCap*EXP(tun_CapsByProject*SUMPRODUCT((Cap_Point&lt;=I296)*(Cap_Kind="Food")*Cap_Ln))</x:f>
        <x:v>610.0101168966467</x:v>
      </x:c>
      <x:c r="K296" s="32" t="n">
        <x:f>J296*MIN(1,tun_LeanBase*EXP(tun_CapsByProject*SUMPRODUCT((Cap_Point&lt;=I296)*(Cap_Kind="Lean")*Cap_Ln)))</x:f>
        <x:v>610.0101168966467</x:v>
      </x:c>
      <x:c r="L296" s="10" t="n">
        <x:f>INDEX(tun_HousingCap,G296)*EXP(tun_CapsByProject*SUMPRODUCT((Cap_Point&lt;=I296)*(Cap_Kind="Housing")*Cap_Ln))</x:f>
        <x:v>2125.258900135082</x:v>
      </x:c>
      <x:c r="M296" s="10" t="n">
        <x:f>INDEX(tun_GroupCap,G296)*tun_CohesionFactor*EXP(tun_CapsByProject*SUMPRODUCT((Cap_Point&lt;=I296)*(Cap_Kind="Group")*Cap_Ln))</x:f>
        <x:v>50000.00000000004</x:v>
      </x:c>
      <x:c r="N296" s="32" t="n">
        <x:f>MIN(J296,L296,M296)</x:f>
        <x:v>610.0101168966467</x:v>
      </x:c>
      <x:c r="O296" s="10" t="n">
        <x:f>AE295*N296</x:f>
        <x:v>3050.0505844832333</x:v>
      </x:c>
      <x:c r="P296" s="9" t="n">
        <x:f>MIN(1,(AB295/(AE295*IF(tun_GroupInCrowding=1,N296,MIN(J296,L296))))^tun_CrowdingExp)</x:f>
        <x:v>0.05989941111684476</x:v>
      </x:c>
      <x:c r="Q296" s="9" t="n">
        <x:f>IF(D296=1,INDEX(tun_WinterMult,G296),1)</x:f>
        <x:v>1</x:v>
      </x:c>
      <x:c r="R296" s="9" t="n">
        <x:f>H296*Z295*tun_WomenShare*tun_BaseFertility*INDEX(tun_FertMult,G296)*Arch_Fertility*(1-P296)</x:f>
        <x:v>46.27392283389453</x:v>
      </x:c>
      <x:c r="S296" s="9" t="n">
        <x:f>H296*Y295*INDEX(tun_MortChild,G296)/4*Q296</x:f>
        <x:v>7.452985522209401</x:v>
      </x:c>
      <x:c r="T296" s="9" t="n">
        <x:f>H296*Z295*INDEX(tun_MortAdult,G296)*Arch_AdultMort/4*Q296</x:f>
        <x:v>1.8071127881831655</x:v>
      </x:c>
      <x:c r="U296" s="9" t="n">
        <x:f>H296*AA295*INDEX(tun_MortElder,G296)/4*Q296</x:f>
        <x:v>2.440702828126694</x:v>
      </x:c>
      <x:c r="V296" s="9" t="n">
        <x:f>H296*MAX(0,AB295-O296)*tun_OvercapLoss</x:f>
        <x:v>0</x:v>
      </x:c>
      <x:c r="W296" s="9" t="n">
        <x:f>H296*Y295/(tun_ChildYears*4)</x:f>
        <x:v>18.3571071975601</x:v>
      </x:c>
      <x:c r="X296" s="9" t="n">
        <x:f>H296*Z295/(tun_AdultYears*4)</x:f>
        <x:v>5.55180580086994</x:v>
      </x:c>
      <x:c r="Y296" s="32" t="n">
        <x:f>Y295+R296-S296-W296-Y295*V296/AB295</x:f>
        <x:v>1048.4618331774907</x:v>
      </x:c>
      <x:c r="Z296" s="32" t="n">
        <x:f>Z295+W296-X296-T296-Z295*V296/AB295</x:f>
        <x:v>699.4221079163796</x:v>
      </x:c>
      <x:c r="AA296" s="32" t="n">
        <x:f>AA295+X296-U296-AA295*V296/AB295</x:f>
        <x:v>194.53877576699375</x:v>
      </x:c>
      <x:c r="AB296" s="10" t="n">
        <x:f>Y296+Z296+AA296</x:f>
        <x:v>1942.422716860864</x:v>
      </x:c>
      <x:c r="AC296" s="8" t="n">
        <x:f>IF(AND(tun_WinterTrigger=1,D296=1,AB295/AE295&gt;=K296),1,0)</x:f>
        <x:v>0</x:v>
      </x:c>
      <x:c r="AD296" s="8" t="n">
        <x:f>H296*IF(AND(OR(AB295/AE295&gt;=tun_FissionTrigger*N296,AC296=1),AB295/AE295*tun_DaughterShare&gt;=tun_MinDaughter),MAX(1,ROUND(AE295*tun_FissionRate,0)),0)</x:f>
        <x:v>0</x:v>
      </x:c>
      <x:c r="AE296" s="8" t="n">
        <x:f>IF(H296=1,MAX(1,MIN(INDEX(tun_Smax,G296),AE295+AD296)),AE295)</x:f>
        <x:v>5</x:v>
      </x:c>
      <x:c r="AF296" s="8" t="n">
        <x:f>MAX(0,AE296-AE295)</x:f>
        <x:v>0</x:v>
      </x:c>
      <x:c r="AG296" s="9" t="str">
        <x:f>IF(AF296&gt;0,B296,"")</x:f>
      </x:c>
      <x:c r="AH296" s="9" t="n">
        <x:f>IF(F296&gt;=1,1,(1+tun_LowTiesShare*(AE296-1))/AE296)</x:f>
        <x:v>1</x:v>
      </x:c>
      <x:c r="AI296" s="32" t="n">
        <x:f>(Z296+tun_ElderCommons*INDEX(LM_Elder,G296)*AA296)*AH296</x:f>
        <x:v>1351.92499822826</x:v>
      </x:c>
      <x:c r="AJ296" s="32" t="n">
        <x:f>H296*tun_CommonsCoef*AI296^tun_CommonsExp*INDEX(LM_Commons,G296)</x:f>
        <x:v>2923.0131607648523</x:v>
      </x:c>
      <x:c r="AK296" s="32" t="n">
        <x:f>H296*tun_RoleScale*Arch_Roles*(AE296*(INDEX(tun_ElderRolePerSett,G296)*tun_OutElder*INDEX(LM_Elder,G296)+INDEX(tun_ShamanPerSett,G296)*tun_OutShaman)+Z296*(INDEX(tun_PriestShare,G296)*tun_OutPriest+INDEX(tun_ScribeShare,G296)*tun_OutScribe*INDEX(LM_Scribe,G296)+INDEX(tun_ScholarShare,G296)*tun_OutScholar*INDEX(LM_Scholar,G296)+INDEX(tun_ResearcherShare,G296)*tun_OutResearcher*INDEX(LM_Researcher,G296)))</x:f>
        <x:v>523.8661750418893</x:v>
      </x:c>
      <x:c r="AL296" s="32" t="n">
        <x:f>H296*tun_RoleScale*Arch_Roles*AE296*INDEX(tun_MonasteryPerSett,G296)*tun_OutMonastery*INDEX(LM_Monastery,G296)</x:f>
        <x:v>12.58570617804182</x:v>
      </x:c>
      <x:c r="AM296" s="32" t="n">
        <x:f>(AJ296+AK296+AL296)/4*INDEX(LM_All,G296)*INDEX(tun_Boon,G296)*Arch_Insight</x:f>
        <x:v>1246.6187160197137</x:v>
      </x:c>
      <x:c r="AN296" s="32" t="n">
        <x:f>H296*(tun_KHPerAdult*Z296+tun_KHOfCommons*AJ296/4*INDEX(LM_All,G296))*tun_KHUsable*Arch_KH</x:f>
        <x:v>228.08788840930225</x:v>
      </x:c>
      <x:c r="AO296" s="32" t="n">
        <x:f>MIN(AP295+AN296,AM296*tun_KHMaxRatio)</x:f>
        <x:v>228.08788840930225</x:v>
      </x:c>
      <x:c r="AP296" s="32" t="n">
        <x:f>AP295+AN296-AO296</x:f>
        <x:v>0</x:v>
      </x:c>
      <x:c r="AQ296" s="32" t="n">
        <x:f>AM296+AO296</x:f>
        <x:v>1474.706604429016</x:v>
      </x:c>
      <x:c r="AR296" s="10" t="n">
        <x:f>IF(H296=1,INDEX(tun_Req,G296),0)</x:f>
        <x:v>88783.394528</x:v>
      </x:c>
      <x:c r="AS296" s="32" t="n">
        <x:f>IF(H296=1,IF(E296=1,AS295-AR295,AS295)+AQ296,0)</x:f>
        <x:v>58397.18457901703</x:v>
      </x:c>
      <x:c r="AT296" s="11" t="n">
        <x:f>IF(AR296&gt;0,MIN(1,AS296/AR296),1)</x:f>
        <x:v>0.6577489505720583</x:v>
      </x:c>
      <x:c r="AU296" s="10" t="n">
        <x:f>AB296/INDEX(tun_RepScale,G296)</x:f>
        <x:v>388.4845433721728</x:v>
      </x:c>
      <x:c r="AV296" s="32" t="n">
        <x:f>AM296*60/tun_SeasonSeconds</x:f>
        <x:v>4986.474864078855</x:v>
      </x:c>
    </x:row>
    <x:row r="297">
      <x:c r="A297" s="8" t="n">
        <x:f>A296+1</x:f>
        <x:v>294</x:v>
      </x:c>
      <x:c r="B297" s="9" t="n">
        <x:f>A297*tun_SeasonSeconds/60</x:f>
        <x:v>73.5</x:v>
      </x:c>
      <x:c r="C297" s="9" t="n">
        <x:f>A297/4</x:f>
        <x:v>73.5</x:v>
      </x:c>
      <x:c r="D297" s="8" t="n">
        <x:f>IF(MOD(A297,4)=0,1,0)</x:f>
        <x:v>0</x:v>
      </x:c>
      <x:c r="E297" s="8" t="n">
        <x:f>IF(AND(F296&lt;=9,AS296&gt;=AR296),1,0)</x:f>
        <x:v>0</x:v>
      </x:c>
      <x:c r="F297" s="8" t="n">
        <x:f>MIN(10,F296+E297)</x:f>
        <x:v>5</x:v>
      </x:c>
      <x:c r="G297" s="8" t="n">
        <x:f>MIN(F297,9)+1</x:f>
        <x:v>6</x:v>
      </x:c>
      <x:c r="H297" s="8" t="n">
        <x:f>IF(F297&lt;=9,1,0)</x:f>
        <x:v>1</x:v>
      </x:c>
      <x:c r="I297" s="9" t="n">
        <x:f>MIN(10,F296+IF(AR296&gt;0,MIN(1,AS296/AR296),1))</x:f>
        <x:v>5.657748950572058</x:v>
      </x:c>
      <x:c r="J297" s="32" t="n">
        <x:f>INDEX(tun_FoodCap,G297)*Arch_FoodCap*EXP(tun_CapsByProject*SUMPRODUCT((Cap_Point&lt;=I297)*(Cap_Kind="Food")*Cap_Ln))</x:f>
        <x:v>610.0101168966467</x:v>
      </x:c>
      <x:c r="K297" s="32" t="n">
        <x:f>J297*MIN(1,tun_LeanBase*EXP(tun_CapsByProject*SUMPRODUCT((Cap_Point&lt;=I297)*(Cap_Kind="Lean")*Cap_Ln)))</x:f>
        <x:v>610.0101168966467</x:v>
      </x:c>
      <x:c r="L297" s="10" t="n">
        <x:f>INDEX(tun_HousingCap,G297)*EXP(tun_CapsByProject*SUMPRODUCT((Cap_Point&lt;=I297)*(Cap_Kind="Housing")*Cap_Ln))</x:f>
        <x:v>2125.258900135082</x:v>
      </x:c>
      <x:c r="M297" s="10" t="n">
        <x:f>INDEX(tun_GroupCap,G297)*tun_CohesionFactor*EXP(tun_CapsByProject*SUMPRODUCT((Cap_Point&lt;=I297)*(Cap_Kind="Group")*Cap_Ln))</x:f>
        <x:v>50000.00000000004</x:v>
      </x:c>
      <x:c r="N297" s="32" t="n">
        <x:f>MIN(J297,L297,M297)</x:f>
        <x:v>610.0101168966467</x:v>
      </x:c>
      <x:c r="O297" s="10" t="n">
        <x:f>AE296*N297</x:f>
        <x:v>3050.0505844832333</x:v>
      </x:c>
      <x:c r="P297" s="9" t="n">
        <x:f>MIN(1,(AB296/(AE296*IF(tun_GroupInCrowding=1,N297,MIN(J297,L297))))^tun_CrowdingExp)</x:f>
        <x:v>0.0667145004965612</x:v>
      </x:c>
      <x:c r="Q297" s="9" t="n">
        <x:f>IF(D297=1,INDEX(tun_WinterMult,G297),1)</x:f>
        <x:v>1</x:v>
      </x:c>
      <x:c r="R297" s="9" t="n">
        <x:f>H297*Z296*tun_WomenShare*tun_BaseFertility*INDEX(tun_FertMult,G297)*Arch_Fertility*(1-P297)</x:f>
        <x:v>46.67237656155977</x:v>
      </x:c>
      <x:c r="S297" s="9" t="n">
        <x:f>H297*Y296*INDEX(tun_MortChild,G297)/4*Q297</x:f>
        <x:v>7.601348290536808</x:v>
      </x:c>
      <x:c r="T297" s="9" t="n">
        <x:f>H297*Z296*INDEX(tun_MortAdult,G297)*Arch_AdultMort/4*Q297</x:f>
        <x:v>1.8359830332804965</x:v>
      </x:c>
      <x:c r="U297" s="9" t="n">
        <x:f>H297*AA296*INDEX(tun_MortElder,G297)/4*Q297</x:f>
        <x:v>2.48036939102917</x:v>
      </x:c>
      <x:c r="V297" s="9" t="n">
        <x:f>H297*MAX(0,AB296-O297)*tun_OvercapLoss</x:f>
        <x:v>0</x:v>
      </x:c>
      <x:c r="W297" s="9" t="n">
        <x:f>H297*Y296/(tun_ChildYears*4)</x:f>
        <x:v>18.722532735312335</x:v>
      </x:c>
      <x:c r="X297" s="9" t="n">
        <x:f>H297*Z296/(tun_AdultYears*4)</x:f>
        <x:v>5.640500870293383</x:v>
      </x:c>
      <x:c r="Y297" s="32" t="n">
        <x:f>Y296+R297-S297-W297-Y296*V297/AB296</x:f>
        <x:v>1068.8103287132012</x:v>
      </x:c>
      <x:c r="Z297" s="32" t="n">
        <x:f>Z296+W297-X297-T297-Z296*V297/AB296</x:f>
        <x:v>710.668156748118</x:v>
      </x:c>
      <x:c r="AA297" s="32" t="n">
        <x:f>AA296+X297-U297-AA296*V297/AB296</x:f>
        <x:v>197.69890724625796</x:v>
      </x:c>
      <x:c r="AB297" s="10" t="n">
        <x:f>Y297+Z297+AA297</x:f>
        <x:v>1977.1773927075772</x:v>
      </x:c>
      <x:c r="AC297" s="8" t="n">
        <x:f>IF(AND(tun_WinterTrigger=1,D297=1,AB296/AE296&gt;=K297),1,0)</x:f>
        <x:v>0</x:v>
      </x:c>
      <x:c r="AD297" s="8" t="n">
        <x:f>H297*IF(AND(OR(AB296/AE296&gt;=tun_FissionTrigger*N297,AC297=1),AB296/AE296*tun_DaughterShare&gt;=tun_MinDaughter),MAX(1,ROUND(AE296*tun_FissionRate,0)),0)</x:f>
        <x:v>0</x:v>
      </x:c>
      <x:c r="AE297" s="8" t="n">
        <x:f>IF(H297=1,MAX(1,MIN(INDEX(tun_Smax,G297),AE296+AD297)),AE296)</x:f>
        <x:v>5</x:v>
      </x:c>
      <x:c r="AF297" s="8" t="n">
        <x:f>MAX(0,AE297-AE296)</x:f>
        <x:v>0</x:v>
      </x:c>
      <x:c r="AG297" s="9" t="str">
        <x:f>IF(AF297&gt;0,B297,"")</x:f>
      </x:c>
      <x:c r="AH297" s="9" t="n">
        <x:f>IF(F297&gt;=1,1,(1+tun_LowTiesShare*(AE297-1))/AE297)</x:f>
        <x:v>1</x:v>
      </x:c>
      <x:c r="AI297" s="32" t="n">
        <x:f>(Z297+tun_ElderCommons*INDEX(LM_Elder,G297)*AA297)*AH297</x:f>
        <x:v>1373.7704502682059</x:v>
      </x:c>
      <x:c r="AJ297" s="32" t="n">
        <x:f>H297*tun_CommonsCoef*AI297^tun_CommonsExp*INDEX(LM_Commons,G297)</x:f>
        <x:v>2963.1122700260394</x:v>
      </x:c>
      <x:c r="AK297" s="32" t="n">
        <x:f>H297*tun_RoleScale*Arch_Roles*(AE297*(INDEX(tun_ElderRolePerSett,G297)*tun_OutElder*INDEX(LM_Elder,G297)+INDEX(tun_ShamanPerSett,G297)*tun_OutShaman)+Z297*(INDEX(tun_PriestShare,G297)*tun_OutPriest+INDEX(tun_ScribeShare,G297)*tun_OutScribe*INDEX(LM_Scribe,G297)+INDEX(tun_ScholarShare,G297)*tun_OutScholar*INDEX(LM_Scholar,G297)+INDEX(tun_ResearcherShare,G297)*tun_OutResearcher*INDEX(LM_Researcher,G297)))</x:f>
        <x:v>530.2460902825222</x:v>
      </x:c>
      <x:c r="AL297" s="32" t="n">
        <x:f>H297*tun_RoleScale*Arch_Roles*AE297*INDEX(tun_MonasteryPerSett,G297)*tun_OutMonastery*INDEX(LM_Monastery,G297)</x:f>
        <x:v>12.58570617804182</x:v>
      </x:c>
      <x:c r="AM297" s="32" t="n">
        <x:f>(AJ297+AK297+AL297)/4*INDEX(LM_All,G297)*INDEX(tun_Boon,G297)*Arch_Insight</x:f>
        <x:v>1263.367439057269</x:v>
      </x:c>
      <x:c r="AN297" s="32" t="n">
        <x:f>H297*(tun_KHPerAdult*Z297+tun_KHOfCommons*AJ297/4*INDEX(LM_All,G297))*tun_KHUsable*Arch_KH</x:f>
        <x:v>231.21689284939336</x:v>
      </x:c>
      <x:c r="AO297" s="32" t="n">
        <x:f>MIN(AP296+AN297,AM297*tun_KHMaxRatio)</x:f>
        <x:v>231.21689284939336</x:v>
      </x:c>
      <x:c r="AP297" s="32" t="n">
        <x:f>AP296+AN297-AO297</x:f>
        <x:v>0</x:v>
      </x:c>
      <x:c r="AQ297" s="32" t="n">
        <x:f>AM297+AO297</x:f>
        <x:v>1494.5843319066623</x:v>
      </x:c>
      <x:c r="AR297" s="10" t="n">
        <x:f>IF(H297=1,INDEX(tun_Req,G297),0)</x:f>
        <x:v>88783.394528</x:v>
      </x:c>
      <x:c r="AS297" s="32" t="n">
        <x:f>IF(H297=1,IF(E297=1,AS296-AR296,AS296)+AQ297,0)</x:f>
        <x:v>59891.76891092369</x:v>
      </x:c>
      <x:c r="AT297" s="11" t="n">
        <x:f>IF(AR297&gt;0,MIN(1,AS297/AR297),1)</x:f>
        <x:v>0.6745830031542144</x:v>
      </x:c>
      <x:c r="AU297" s="10" t="n">
        <x:f>AB297/INDEX(tun_RepScale,G297)</x:f>
        <x:v>395.4354785415154</x:v>
      </x:c>
      <x:c r="AV297" s="32" t="n">
        <x:f>AM297*60/tun_SeasonSeconds</x:f>
        <x:v>5053.469756229076</x:v>
      </x:c>
    </x:row>
    <x:row r="298">
      <x:c r="A298" s="8" t="n">
        <x:f>A297+1</x:f>
        <x:v>295</x:v>
      </x:c>
      <x:c r="B298" s="9" t="n">
        <x:f>A298*tun_SeasonSeconds/60</x:f>
        <x:v>73.75</x:v>
      </x:c>
      <x:c r="C298" s="9" t="n">
        <x:f>A298/4</x:f>
        <x:v>73.75</x:v>
      </x:c>
      <x:c r="D298" s="8" t="n">
        <x:f>IF(MOD(A298,4)=0,1,0)</x:f>
        <x:v>0</x:v>
      </x:c>
      <x:c r="E298" s="8" t="n">
        <x:f>IF(AND(F297&lt;=9,AS297&gt;=AR297),1,0)</x:f>
        <x:v>0</x:v>
      </x:c>
      <x:c r="F298" s="8" t="n">
        <x:f>MIN(10,F297+E298)</x:f>
        <x:v>5</x:v>
      </x:c>
      <x:c r="G298" s="8" t="n">
        <x:f>MIN(F298,9)+1</x:f>
        <x:v>6</x:v>
      </x:c>
      <x:c r="H298" s="8" t="n">
        <x:f>IF(F298&lt;=9,1,0)</x:f>
        <x:v>1</x:v>
      </x:c>
      <x:c r="I298" s="9" t="n">
        <x:f>MIN(10,F297+IF(AR297&gt;0,MIN(1,AS297/AR297),1))</x:f>
        <x:v>5.674583003154215</x:v>
      </x:c>
      <x:c r="J298" s="32" t="n">
        <x:f>INDEX(tun_FoodCap,G298)*Arch_FoodCap*EXP(tun_CapsByProject*SUMPRODUCT((Cap_Point&lt;=I298)*(Cap_Kind="Food")*Cap_Ln))</x:f>
        <x:v>610.0101168966467</x:v>
      </x:c>
      <x:c r="K298" s="32" t="n">
        <x:f>J298*MIN(1,tun_LeanBase*EXP(tun_CapsByProject*SUMPRODUCT((Cap_Point&lt;=I298)*(Cap_Kind="Lean")*Cap_Ln)))</x:f>
        <x:v>610.0101168966467</x:v>
      </x:c>
      <x:c r="L298" s="10" t="n">
        <x:f>INDEX(tun_HousingCap,G298)*EXP(tun_CapsByProject*SUMPRODUCT((Cap_Point&lt;=I298)*(Cap_Kind="Housing")*Cap_Ln))</x:f>
        <x:v>2125.258900135082</x:v>
      </x:c>
      <x:c r="M298" s="10" t="n">
        <x:f>INDEX(tun_GroupCap,G298)*tun_CohesionFactor*EXP(tun_CapsByProject*SUMPRODUCT((Cap_Point&lt;=I298)*(Cap_Kind="Group")*Cap_Ln))</x:f>
        <x:v>50000.00000000004</x:v>
      </x:c>
      <x:c r="N298" s="32" t="n">
        <x:f>MIN(J298,L298,M298)</x:f>
        <x:v>610.0101168966467</x:v>
      </x:c>
      <x:c r="O298" s="10" t="n">
        <x:f>AE297*N298</x:f>
        <x:v>3050.0505844832333</x:v>
      </x:c>
      <x:c r="P298" s="9" t="n">
        <x:f>MIN(1,(AB297/(AE297*IF(tun_GroupInCrowding=1,N298,MIN(J298,L298))))^tun_CrowdingExp)</x:f>
        <x:v>0.07420472563747439</x:v>
      </x:c>
      <x:c r="Q298" s="9" t="n">
        <x:f>IF(D298=1,INDEX(tun_WinterMult,G298),1)</x:f>
        <x:v>1</x:v>
      </x:c>
      <x:c r="R298" s="9" t="n">
        <x:f>H298*Z297*tun_WomenShare*tun_BaseFertility*INDEX(tun_FertMult,G298)*Arch_Fertility*(1-P298)</x:f>
        <x:v>47.04222531274941</x:v>
      </x:c>
      <x:c r="S298" s="9" t="n">
        <x:f>H298*Y297*INDEX(tun_MortChild,G298)/4*Q298</x:f>
        <x:v>7.748874883170709</x:v>
      </x:c>
      <x:c r="T298" s="9" t="n">
        <x:f>H298*Z297*INDEX(tun_MortAdult,G298)*Arch_AdultMort/4*Q298</x:f>
        <x:v>1.86550391146381</x:v>
      </x:c>
      <x:c r="U298" s="9" t="n">
        <x:f>H298*AA297*INDEX(tun_MortElder,G298)/4*Q298</x:f>
        <x:v>2.520661067389789</x:v>
      </x:c>
      <x:c r="V298" s="9" t="n">
        <x:f>H298*MAX(0,AB297-O298)*tun_OvercapLoss</x:f>
        <x:v>0</x:v>
      </x:c>
      <x:c r="W298" s="9" t="n">
        <x:f>H298*Y297/(tun_ChildYears*4)</x:f>
        <x:v>19.08589872702145</x:v>
      </x:c>
      <x:c r="X298" s="9" t="n">
        <x:f>H298*Z297/(tun_AdultYears*4)</x:f>
        <x:v>5.731194812484823</x:v>
      </x:c>
      <x:c r="Y298" s="32" t="n">
        <x:f>Y297+R298-S298-W298-Y297*V298/AB297</x:f>
        <x:v>1089.0177804157586</x:v>
      </x:c>
      <x:c r="Z298" s="32" t="n">
        <x:f>Z297+W298-X298-T298-Z297*V298/AB297</x:f>
        <x:v>722.1573567511908</x:v>
      </x:c>
      <x:c r="AA298" s="32" t="n">
        <x:f>AA297+X298-U298-AA297*V298/AB297</x:f>
        <x:v>200.909440991353</x:v>
      </x:c>
      <x:c r="AB298" s="10" t="n">
        <x:f>Y298+Z298+AA298</x:f>
        <x:v>2012.0845781583023</x:v>
      </x:c>
      <x:c r="AC298" s="8" t="n">
        <x:f>IF(AND(tun_WinterTrigger=1,D298=1,AB297/AE297&gt;=K298),1,0)</x:f>
        <x:v>0</x:v>
      </x:c>
      <x:c r="AD298" s="8" t="n">
        <x:f>H298*IF(AND(OR(AB297/AE297&gt;=tun_FissionTrigger*N298,AC298=1),AB297/AE297*tun_DaughterShare&gt;=tun_MinDaughter),MAX(1,ROUND(AE297*tun_FissionRate,0)),0)</x:f>
        <x:v>0</x:v>
      </x:c>
      <x:c r="AE298" s="8" t="n">
        <x:f>IF(H298=1,MAX(1,MIN(INDEX(tun_Smax,G298),AE297+AD298)),AE297)</x:f>
        <x:v>5</x:v>
      </x:c>
      <x:c r="AF298" s="8" t="n">
        <x:f>MAX(0,AE298-AE297)</x:f>
        <x:v>0</x:v>
      </x:c>
      <x:c r="AG298" s="9" t="str">
        <x:f>IF(AF298&gt;0,B298,"")</x:f>
      </x:c>
      <x:c r="AH298" s="9" t="n">
        <x:f>IF(F298&gt;=1,1,(1+tun_LowTiesShare*(AE298-1))/AE298)</x:f>
        <x:v>1</x:v>
      </x:c>
      <x:c r="AI298" s="32" t="n">
        <x:f>(Z298+tun_ElderCommons*INDEX(LM_Elder,G298)*AA298)*AH298</x:f>
        <x:v>1396.028107818413</x:v>
      </x:c>
      <x:c r="AJ298" s="32" t="n">
        <x:f>H298*tun_CommonsCoef*AI298^tun_CommonsExp*INDEX(LM_Commons,G298)</x:f>
        <x:v>3003.8697685778657</x:v>
      </x:c>
      <x:c r="AK298" s="32" t="n">
        <x:f>H298*tun_RoleScale*Arch_Roles*(AE298*(INDEX(tun_ElderRolePerSett,G298)*tun_OutElder*INDEX(LM_Elder,G298)+INDEX(tun_ShamanPerSett,G298)*tun_OutShaman)+Z298*(INDEX(tun_PriestShare,G298)*tun_OutPriest+INDEX(tun_ScribeShare,G298)*tun_OutScribe*INDEX(LM_Scribe,G298)+INDEX(tun_ScholarShare,G298)*tun_OutScholar*INDEX(LM_Scholar,G298)+INDEX(tun_ResearcherShare,G298)*tun_OutResearcher*INDEX(LM_Researcher,G298)))</x:f>
        <x:v>536.7639458688699</x:v>
      </x:c>
      <x:c r="AL298" s="32" t="n">
        <x:f>H298*tun_RoleScale*Arch_Roles*AE298*INDEX(tun_MonasteryPerSett,G298)*tun_OutMonastery*INDEX(LM_Monastery,G298)</x:f>
        <x:v>12.58570617804182</x:v>
      </x:c>
      <x:c r="AM298" s="32" t="n">
        <x:f>(AJ298+AK298+AL298)/4*INDEX(LM_All,G298)*INDEX(tun_Boon,G298)*Arch_Insight</x:f>
        <x:v>1280.4031195916486</x:v>
      </x:c>
      <x:c r="AN298" s="32" t="n">
        <x:f>H298*(tun_KHPerAdult*Z298+tun_KHOfCommons*AJ298/4*INDEX(LM_All,G298))*tun_KHUsable*Arch_KH</x:f>
        <x:v>234.3972725706734</x:v>
      </x:c>
      <x:c r="AO298" s="32" t="n">
        <x:f>MIN(AP297+AN298,AM298*tun_KHMaxRatio)</x:f>
        <x:v>234.3972725706734</x:v>
      </x:c>
      <x:c r="AP298" s="32" t="n">
        <x:f>AP297+AN298-AO298</x:f>
        <x:v>0</x:v>
      </x:c>
      <x:c r="AQ298" s="32" t="n">
        <x:f>AM298+AO298</x:f>
        <x:v>1514.8003921623222</x:v>
      </x:c>
      <x:c r="AR298" s="10" t="n">
        <x:f>IF(H298=1,INDEX(tun_Req,G298),0)</x:f>
        <x:v>88783.394528</x:v>
      </x:c>
      <x:c r="AS298" s="32" t="n">
        <x:f>IF(H298=1,IF(E298=1,AS297-AR297,AS297)+AQ298,0)</x:f>
        <x:v>61406.56930308601</x:v>
      </x:c>
      <x:c r="AT298" s="11" t="n">
        <x:f>IF(AR298&gt;0,MIN(1,AS298/AR298),1)</x:f>
        <x:v>0.6916447566523259</x:v>
      </x:c>
      <x:c r="AU298" s="10" t="n">
        <x:f>AB298/INDEX(tun_RepScale,G298)</x:f>
        <x:v>402.41691563166046</x:v>
      </x:c>
      <x:c r="AV298" s="32" t="n">
        <x:f>AM298*60/tun_SeasonSeconds</x:f>
        <x:v>5121.6124783665955</x:v>
      </x:c>
    </x:row>
    <x:row r="299">
      <x:c r="A299" s="8" t="n">
        <x:f>A298+1</x:f>
        <x:v>296</x:v>
      </x:c>
      <x:c r="B299" s="9" t="n">
        <x:f>A299*tun_SeasonSeconds/60</x:f>
        <x:v>74</x:v>
      </x:c>
      <x:c r="C299" s="9" t="n">
        <x:f>A299/4</x:f>
        <x:v>74</x:v>
      </x:c>
      <x:c r="D299" s="8" t="n">
        <x:f>IF(MOD(A299,4)=0,1,0)</x:f>
        <x:v>1</x:v>
      </x:c>
      <x:c r="E299" s="8" t="n">
        <x:f>IF(AND(F298&lt;=9,AS298&gt;=AR298),1,0)</x:f>
        <x:v>0</x:v>
      </x:c>
      <x:c r="F299" s="8" t="n">
        <x:f>MIN(10,F298+E299)</x:f>
        <x:v>5</x:v>
      </x:c>
      <x:c r="G299" s="8" t="n">
        <x:f>MIN(F299,9)+1</x:f>
        <x:v>6</x:v>
      </x:c>
      <x:c r="H299" s="8" t="n">
        <x:f>IF(F299&lt;=9,1,0)</x:f>
        <x:v>1</x:v>
      </x:c>
      <x:c r="I299" s="9" t="n">
        <x:f>MIN(10,F298+IF(AR298&gt;0,MIN(1,AS298/AR298),1))</x:f>
        <x:v>5.691644756652326</x:v>
      </x:c>
      <x:c r="J299" s="32" t="n">
        <x:f>INDEX(tun_FoodCap,G299)*Arch_FoodCap*EXP(tun_CapsByProject*SUMPRODUCT((Cap_Point&lt;=I299)*(Cap_Kind="Food")*Cap_Ln))</x:f>
        <x:v>610.0101168966467</x:v>
      </x:c>
      <x:c r="K299" s="32" t="n">
        <x:f>J299*MIN(1,tun_LeanBase*EXP(tun_CapsByProject*SUMPRODUCT((Cap_Point&lt;=I299)*(Cap_Kind="Lean")*Cap_Ln)))</x:f>
        <x:v>610.0101168966467</x:v>
      </x:c>
      <x:c r="L299" s="10" t="n">
        <x:f>INDEX(tun_HousingCap,G299)*EXP(tun_CapsByProject*SUMPRODUCT((Cap_Point&lt;=I299)*(Cap_Kind="Housing")*Cap_Ln))</x:f>
        <x:v>2125.258900135082</x:v>
      </x:c>
      <x:c r="M299" s="10" t="n">
        <x:f>INDEX(tun_GroupCap,G299)*tun_CohesionFactor*EXP(tun_CapsByProject*SUMPRODUCT((Cap_Point&lt;=I299)*(Cap_Kind="Group")*Cap_Ln))</x:f>
        <x:v>50000.00000000004</x:v>
      </x:c>
      <x:c r="N299" s="32" t="n">
        <x:f>MIN(J299,L299,M299)</x:f>
        <x:v>610.0101168966467</x:v>
      </x:c>
      <x:c r="O299" s="10" t="n">
        <x:f>AE298*N299</x:f>
        <x:v>3050.0505844832333</x:v>
      </x:c>
      <x:c r="P299" s="9" t="n">
        <x:f>MIN(1,(AB298/(AE298*IF(tun_GroupInCrowding=1,N299,MIN(J299,L299))))^tun_CrowdingExp)</x:f>
        <x:v>0.08242048042706437</x:v>
      </x:c>
      <x:c r="Q299" s="9" t="n">
        <x:f>IF(D299=1,INDEX(tun_WinterMult,G299),1)</x:f>
        <x:v>1.15</x:v>
      </x:c>
      <x:c r="R299" s="9" t="n">
        <x:f>H299*Z298*tun_WomenShare*tun_BaseFertility*INDEX(tun_FertMult,G299)*Arch_Fertility*(1-P299)</x:f>
        <x:v>47.378531233163045</x:v>
      </x:c>
      <x:c r="S299" s="9" t="n">
        <x:f>H299*Y298*INDEX(tun_MortChild,G299)/4*Q299</x:f>
        <x:v>9.079685744216388</x:v>
      </x:c>
      <x:c r="T299" s="9" t="n">
        <x:f>H299*Z298*INDEX(tun_MortAdult,G299)*Arch_AdultMort/4*Q299</x:f>
        <x:v>2.1800125206926575</x:v>
      </x:c>
      <x:c r="U299" s="9" t="n">
        <x:f>H299*AA298*INDEX(tun_MortElder,G299)/4*Q299</x:f>
        <x:v>2.945834678535713</x:v>
      </x:c>
      <x:c r="V299" s="9" t="n">
        <x:f>H299*MAX(0,AB298-O299)*tun_OvercapLoss</x:f>
        <x:v>0</x:v>
      </x:c>
      <x:c r="W299" s="9" t="n">
        <x:f>H299*Y298/(tun_ChildYears*4)</x:f>
        <x:v>19.446746078852833</x:v>
      </x:c>
      <x:c r="X299" s="9" t="n">
        <x:f>H299*Z298/(tun_AdultYears*4)</x:f>
        <x:v>5.823849651219281</x:v>
      </x:c>
      <x:c r="Y299" s="32" t="n">
        <x:f>Y298+R299-S299-W299-Y298*V299/AB298</x:f>
        <x:v>1107.8698798258524</x:v>
      </x:c>
      <x:c r="Z299" s="32" t="n">
        <x:f>Z298+W299-X299-T299-Z298*V299/AB298</x:f>
        <x:v>733.6002406581317</x:v>
      </x:c>
      <x:c r="AA299" s="32" t="n">
        <x:f>AA298+X299-U299-AA298*V299/AB298</x:f>
        <x:v>203.78745596403658</x:v>
      </x:c>
      <x:c r="AB299" s="10" t="n">
        <x:f>Y299+Z299+AA299</x:f>
        <x:v>2045.2575764480207</x:v>
      </x:c>
      <x:c r="AC299" s="8" t="n">
        <x:f>IF(AND(tun_WinterTrigger=1,D299=1,AB298/AE298&gt;=K299),1,0)</x:f>
        <x:v>0</x:v>
      </x:c>
      <x:c r="AD299" s="8" t="n">
        <x:f>H299*IF(AND(OR(AB298/AE298&gt;=tun_FissionTrigger*N299,AC299=1),AB298/AE298*tun_DaughterShare&gt;=tun_MinDaughter),MAX(1,ROUND(AE298*tun_FissionRate,0)),0)</x:f>
        <x:v>0</x:v>
      </x:c>
      <x:c r="AE299" s="8" t="n">
        <x:f>IF(H299=1,MAX(1,MIN(INDEX(tun_Smax,G299),AE298+AD299)),AE298)</x:f>
        <x:v>5</x:v>
      </x:c>
      <x:c r="AF299" s="8" t="n">
        <x:f>MAX(0,AE299-AE298)</x:f>
        <x:v>0</x:v>
      </x:c>
      <x:c r="AG299" s="9" t="str">
        <x:f>IF(AF299&gt;0,B299,"")</x:f>
      </x:c>
      <x:c r="AH299" s="9" t="n">
        <x:f>IF(F299&gt;=1,1,(1+tun_LowTiesShare*(AE299-1))/AE299)</x:f>
        <x:v>1</x:v>
      </x:c>
      <x:c r="AI299" s="32" t="n">
        <x:f>(Z299+tun_ElderCommons*INDEX(LM_Elder,G299)*AA299)*AH299</x:f>
        <x:v>1417.1241474041278</x:v>
      </x:c>
      <x:c r="AJ299" s="32" t="n">
        <x:f>H299*tun_CommonsCoef*AI299^tun_CommonsExp*INDEX(LM_Commons,G299)</x:f>
        <x:v>3042.4102499954615</x:v>
      </x:c>
      <x:c r="AK299" s="32" t="n">
        <x:f>H299*tun_RoleScale*Arch_Roles*(AE299*(INDEX(tun_ElderRolePerSett,G299)*tun_OutElder*INDEX(LM_Elder,G299)+INDEX(tun_ShamanPerSett,G299)*tun_OutShaman)+Z299*(INDEX(tun_PriestShare,G299)*tun_OutPriest+INDEX(tun_ScribeShare,G299)*tun_OutScribe*INDEX(LM_Scribe,G299)+INDEX(tun_ScholarShare,G299)*tun_OutScholar*INDEX(LM_Scholar,G299)+INDEX(tun_ResearcherShare,G299)*tun_OutResearcher*INDEX(LM_Researcher,G299)))</x:f>
        <x:v>543.2555262031694</x:v>
      </x:c>
      <x:c r="AL299" s="32" t="n">
        <x:f>H299*tun_RoleScale*Arch_Roles*AE299*INDEX(tun_MonasteryPerSett,G299)*tun_OutMonastery*INDEX(LM_Monastery,G299)</x:f>
        <x:v>12.58570617804182</x:v>
      </x:c>
      <x:c r="AM299" s="32" t="n">
        <x:f>(AJ299+AK299+AL299)/4*INDEX(LM_All,G299)*INDEX(tun_Boon,G299)*Arch_Insight</x:f>
        <x:v>1296.630429398098</x:v>
      </x:c>
      <x:c r="AN299" s="32" t="n">
        <x:f>H299*(tun_KHPerAdult*Z299+tun_KHOfCommons*AJ299/4*INDEX(LM_All,G299))*tun_KHUsable*Arch_KH</x:f>
        <x:v>237.40465452256217</x:v>
      </x:c>
      <x:c r="AO299" s="32" t="n">
        <x:f>MIN(AP298+AN299,AM299*tun_KHMaxRatio)</x:f>
        <x:v>237.40465452256217</x:v>
      </x:c>
      <x:c r="AP299" s="32" t="n">
        <x:f>AP298+AN299-AO299</x:f>
        <x:v>0</x:v>
      </x:c>
      <x:c r="AQ299" s="32" t="n">
        <x:f>AM299+AO299</x:f>
        <x:v>1534.03508392066</x:v>
      </x:c>
      <x:c r="AR299" s="10" t="n">
        <x:f>IF(H299=1,INDEX(tun_Req,G299),0)</x:f>
        <x:v>88783.394528</x:v>
      </x:c>
      <x:c r="AS299" s="32" t="n">
        <x:f>IF(H299=1,IF(E299=1,AS298-AR298,AS298)+AQ299,0)</x:f>
        <x:v>62940.60438700667</x:v>
      </x:c>
      <x:c r="AT299" s="11" t="n">
        <x:f>IF(AR299&gt;0,MIN(1,AS299/AR299),1)</x:f>
        <x:v>0.7089231575523599</x:v>
      </x:c>
      <x:c r="AU299" s="10" t="n">
        <x:f>AB299/INDEX(tun_RepScale,G299)</x:f>
        <x:v>409.05151528960414</x:v>
      </x:c>
      <x:c r="AV299" s="32" t="n">
        <x:f>AM299*60/tun_SeasonSeconds</x:f>
        <x:v>5186.521717592392</x:v>
      </x:c>
    </x:row>
    <x:row r="300">
      <x:c r="A300" s="8" t="n">
        <x:f>A299+1</x:f>
        <x:v>297</x:v>
      </x:c>
      <x:c r="B300" s="9" t="n">
        <x:f>A300*tun_SeasonSeconds/60</x:f>
        <x:v>74.25</x:v>
      </x:c>
      <x:c r="C300" s="9" t="n">
        <x:f>A300/4</x:f>
        <x:v>74.25</x:v>
      </x:c>
      <x:c r="D300" s="8" t="n">
        <x:f>IF(MOD(A300,4)=0,1,0)</x:f>
        <x:v>0</x:v>
      </x:c>
      <x:c r="E300" s="8" t="n">
        <x:f>IF(AND(F299&lt;=9,AS299&gt;=AR299),1,0)</x:f>
        <x:v>0</x:v>
      </x:c>
      <x:c r="F300" s="8" t="n">
        <x:f>MIN(10,F299+E300)</x:f>
        <x:v>5</x:v>
      </x:c>
      <x:c r="G300" s="8" t="n">
        <x:f>MIN(F300,9)+1</x:f>
        <x:v>6</x:v>
      </x:c>
      <x:c r="H300" s="8" t="n">
        <x:f>IF(F300&lt;=9,1,0)</x:f>
        <x:v>1</x:v>
      </x:c>
      <x:c r="I300" s="9" t="n">
        <x:f>MIN(10,F299+IF(AR299&gt;0,MIN(1,AS299/AR299),1))</x:f>
        <x:v>5.70892315755236</x:v>
      </x:c>
      <x:c r="J300" s="32" t="n">
        <x:f>INDEX(tun_FoodCap,G300)*Arch_FoodCap*EXP(tun_CapsByProject*SUMPRODUCT((Cap_Point&lt;=I300)*(Cap_Kind="Food")*Cap_Ln))</x:f>
        <x:v>610.0101168966467</x:v>
      </x:c>
      <x:c r="K300" s="32" t="n">
        <x:f>J300*MIN(1,tun_LeanBase*EXP(tun_CapsByProject*SUMPRODUCT((Cap_Point&lt;=I300)*(Cap_Kind="Lean")*Cap_Ln)))</x:f>
        <x:v>610.0101168966467</x:v>
      </x:c>
      <x:c r="L300" s="10" t="n">
        <x:f>INDEX(tun_HousingCap,G300)*EXP(tun_CapsByProject*SUMPRODUCT((Cap_Point&lt;=I300)*(Cap_Kind="Housing")*Cap_Ln))</x:f>
        <x:v>2125.258900135082</x:v>
      </x:c>
      <x:c r="M300" s="10" t="n">
        <x:f>INDEX(tun_GroupCap,G300)*tun_CohesionFactor*EXP(tun_CapsByProject*SUMPRODUCT((Cap_Point&lt;=I300)*(Cap_Kind="Group")*Cap_Ln))</x:f>
        <x:v>50000.00000000004</x:v>
      </x:c>
      <x:c r="N300" s="32" t="n">
        <x:f>MIN(J300,L300,M300)</x:f>
        <x:v>610.0101168966467</x:v>
      </x:c>
      <x:c r="O300" s="10" t="n">
        <x:f>AE299*N300</x:f>
        <x:v>3050.0505844832333</x:v>
      </x:c>
      <x:c r="P300" s="9" t="n">
        <x:f>MIN(1,(AB299/(AE299*IF(tun_GroupInCrowding=1,N300,MIN(J300,L300))))^tun_CrowdingExp)</x:f>
        <x:v>0.09091714893418039</x:v>
      </x:c>
      <x:c r="Q300" s="9" t="n">
        <x:f>IF(D300=1,INDEX(tun_WinterMult,G300),1)</x:f>
        <x:v>1</x:v>
      </x:c>
      <x:c r="R300" s="9" t="n">
        <x:f>H300*Z299*tun_WomenShare*tun_BaseFertility*INDEX(tun_FertMult,G300)*Arch_Fertility*(1-P300)</x:f>
        <x:v>47.68359297988471</x:v>
      </x:c>
      <x:c r="S300" s="9" t="n">
        <x:f>H300*Y299*INDEX(tun_MortChild,G300)/4*Q300</x:f>
        <x:v>8.03205662873743</x:v>
      </x:c>
      <x:c r="T300" s="9" t="n">
        <x:f>H300*Z299*INDEX(tun_MortAdult,G300)*Arch_AdultMort/4*Q300</x:f>
        <x:v>1.925700631727596</x:v>
      </x:c>
      <x:c r="U300" s="9" t="n">
        <x:f>H300*AA299*INDEX(tun_MortElder,G300)/4*Q300</x:f>
        <x:v>2.5982900635414663</x:v>
      </x:c>
      <x:c r="V300" s="9" t="n">
        <x:f>H300*MAX(0,AB299-O300)*tun_OvercapLoss</x:f>
        <x:v>0</x:v>
      </x:c>
      <x:c r="W300" s="9" t="n">
        <x:f>H300*Y299/(tun_ChildYears*4)</x:f>
        <x:v>19.783390711175937</x:v>
      </x:c>
      <x:c r="X300" s="9" t="n">
        <x:f>H300*Z299/(tun_AdultYears*4)</x:f>
        <x:v>5.91613097304945</x:v>
      </x:c>
      <x:c r="Y300" s="32" t="n">
        <x:f>Y299+R300-S300-W300-Y299*V300/AB299</x:f>
        <x:v>1127.7380254658237</x:v>
      </x:c>
      <x:c r="Z300" s="32" t="n">
        <x:f>Z299+W300-X300-T300-Z299*V300/AB299</x:f>
        <x:v>745.5417997645305</x:v>
      </x:c>
      <x:c r="AA300" s="32" t="n">
        <x:f>AA299+X300-U300-AA299*V300/AB299</x:f>
        <x:v>207.10529687354457</x:v>
      </x:c>
      <x:c r="AB300" s="10" t="n">
        <x:f>Y300+Z300+AA300</x:f>
        <x:v>2080.3851221038985</x:v>
      </x:c>
      <x:c r="AC300" s="8" t="n">
        <x:f>IF(AND(tun_WinterTrigger=1,D300=1,AB299/AE299&gt;=K300),1,0)</x:f>
        <x:v>0</x:v>
      </x:c>
      <x:c r="AD300" s="8" t="n">
        <x:f>H300*IF(AND(OR(AB299/AE299&gt;=tun_FissionTrigger*N300,AC300=1),AB299/AE299*tun_DaughterShare&gt;=tun_MinDaughter),MAX(1,ROUND(AE299*tun_FissionRate,0)),0)</x:f>
        <x:v>0</x:v>
      </x:c>
      <x:c r="AE300" s="8" t="n">
        <x:f>IF(H300=1,MAX(1,MIN(INDEX(tun_Smax,G300),AE299+AD300)),AE299)</x:f>
        <x:v>5</x:v>
      </x:c>
      <x:c r="AF300" s="8" t="n">
        <x:f>MAX(0,AE300-AE299)</x:f>
        <x:v>0</x:v>
      </x:c>
      <x:c r="AG300" s="9" t="str">
        <x:f>IF(AF300&gt;0,B300,"")</x:f>
      </x:c>
      <x:c r="AH300" s="9" t="n">
        <x:f>IF(F300&gt;=1,1,(1+tun_LowTiesShare*(AE300-1))/AE300)</x:f>
        <x:v>1</x:v>
      </x:c>
      <x:c r="AI300" s="32" t="n">
        <x:f>(Z300+tun_ElderCommons*INDEX(LM_Elder,G300)*AA300)*AH300</x:f>
        <x:v>1440.194083228811</x:v>
      </x:c>
      <x:c r="AJ300" s="32" t="n">
        <x:f>H300*tun_CommonsCoef*AI300^tun_CommonsExp*INDEX(LM_Commons,G300)</x:f>
        <x:v>3084.458497082201</x:v>
      </x:c>
      <x:c r="AK300" s="32" t="n">
        <x:f>H300*tun_RoleScale*Arch_Roles*(AE300*(INDEX(tun_ElderRolePerSett,G300)*tun_OutElder*INDEX(LM_Elder,G300)+INDEX(tun_ShamanPerSett,G300)*tun_OutShaman)+Z300*(INDEX(tun_PriestShare,G300)*tun_OutPriest+INDEX(tun_ScribeShare,G300)*tun_OutScribe*INDEX(LM_Scribe,G300)+INDEX(tun_ScholarShare,G300)*tun_OutScholar*INDEX(LM_Scholar,G300)+INDEX(tun_ResearcherShare,G300)*tun_OutResearcher*INDEX(LM_Researcher,G300)))</x:f>
        <x:v>550.0300063854733</x:v>
      </x:c>
      <x:c r="AL300" s="32" t="n">
        <x:f>H300*tun_RoleScale*Arch_Roles*AE300*INDEX(tun_MonasteryPerSett,G300)*tun_OutMonastery*INDEX(LM_Monastery,G300)</x:f>
        <x:v>12.58570617804182</x:v>
      </x:c>
      <x:c r="AM300" s="32" t="n">
        <x:f>(AJ300+AK300+AL300)/4*INDEX(LM_All,G300)*INDEX(tun_Boon,G300)*Arch_Insight</x:f>
        <x:v>1314.2237060585253</x:v>
      </x:c>
      <x:c r="AN300" s="32" t="n">
        <x:f>H300*(tun_KHPerAdult*Z300+tun_KHOfCommons*AJ300/4*INDEX(LM_All,G300))*tun_KHUsable*Arch_KH</x:f>
        <x:v>240.6857536356491</x:v>
      </x:c>
      <x:c r="AO300" s="32" t="n">
        <x:f>MIN(AP299+AN300,AM300*tun_KHMaxRatio)</x:f>
        <x:v>240.6857536356491</x:v>
      </x:c>
      <x:c r="AP300" s="32" t="n">
        <x:f>AP299+AN300-AO300</x:f>
        <x:v>0</x:v>
      </x:c>
      <x:c r="AQ300" s="32" t="n">
        <x:f>AM300+AO300</x:f>
        <x:v>1554.9094596941743</x:v>
      </x:c>
      <x:c r="AR300" s="10" t="n">
        <x:f>IF(H300=1,INDEX(tun_Req,G300),0)</x:f>
        <x:v>88783.394528</x:v>
      </x:c>
      <x:c r="AS300" s="32" t="n">
        <x:f>IF(H300=1,IF(E300=1,AS299-AR299,AS299)+AQ300,0)</x:f>
        <x:v>64495.513846700844</x:v>
      </x:c>
      <x:c r="AT300" s="11" t="n">
        <x:f>IF(AR300&gt;0,MIN(1,AS300/AR300),1)</x:f>
        <x:v>0.7264366742179543</x:v>
      </x:c>
      <x:c r="AU300" s="10" t="n">
        <x:f>AB300/INDEX(tun_RepScale,G300)</x:f>
        <x:v>416.0770244207797</x:v>
      </x:c>
      <x:c r="AV300" s="32" t="n">
        <x:f>AM300*60/tun_SeasonSeconds</x:f>
        <x:v>5256.894824234101</x:v>
      </x:c>
    </x:row>
    <x:row r="301">
      <x:c r="A301" s="8" t="n">
        <x:f>A300+1</x:f>
        <x:v>298</x:v>
      </x:c>
      <x:c r="B301" s="9" t="n">
        <x:f>A301*tun_SeasonSeconds/60</x:f>
        <x:v>74.5</x:v>
      </x:c>
      <x:c r="C301" s="9" t="n">
        <x:f>A301/4</x:f>
        <x:v>74.5</x:v>
      </x:c>
      <x:c r="D301" s="8" t="n">
        <x:f>IF(MOD(A301,4)=0,1,0)</x:f>
        <x:v>0</x:v>
      </x:c>
      <x:c r="E301" s="8" t="n">
        <x:f>IF(AND(F300&lt;=9,AS300&gt;=AR300),1,0)</x:f>
        <x:v>0</x:v>
      </x:c>
      <x:c r="F301" s="8" t="n">
        <x:f>MIN(10,F300+E301)</x:f>
        <x:v>5</x:v>
      </x:c>
      <x:c r="G301" s="8" t="n">
        <x:f>MIN(F301,9)+1</x:f>
        <x:v>6</x:v>
      </x:c>
      <x:c r="H301" s="8" t="n">
        <x:f>IF(F301&lt;=9,1,0)</x:f>
        <x:v>1</x:v>
      </x:c>
      <x:c r="I301" s="9" t="n">
        <x:f>MIN(10,F300+IF(AR300&gt;0,MIN(1,AS300/AR300),1))</x:f>
        <x:v>5.726436674217954</x:v>
      </x:c>
      <x:c r="J301" s="32" t="n">
        <x:f>INDEX(tun_FoodCap,G301)*Arch_FoodCap*EXP(tun_CapsByProject*SUMPRODUCT((Cap_Point&lt;=I301)*(Cap_Kind="Food")*Cap_Ln))</x:f>
        <x:v>610.0101168966467</x:v>
      </x:c>
      <x:c r="K301" s="32" t="n">
        <x:f>J301*MIN(1,tun_LeanBase*EXP(tun_CapsByProject*SUMPRODUCT((Cap_Point&lt;=I301)*(Cap_Kind="Lean")*Cap_Ln)))</x:f>
        <x:v>610.0101168966467</x:v>
      </x:c>
      <x:c r="L301" s="10" t="n">
        <x:f>INDEX(tun_HousingCap,G301)*EXP(tun_CapsByProject*SUMPRODUCT((Cap_Point&lt;=I301)*(Cap_Kind="Housing")*Cap_Ln))</x:f>
        <x:v>2125.258900135082</x:v>
      </x:c>
      <x:c r="M301" s="10" t="n">
        <x:f>INDEX(tun_GroupCap,G301)*tun_CohesionFactor*EXP(tun_CapsByProject*SUMPRODUCT((Cap_Point&lt;=I301)*(Cap_Kind="Group")*Cap_Ln))</x:f>
        <x:v>50000.00000000004</x:v>
      </x:c>
      <x:c r="N301" s="32" t="n">
        <x:f>MIN(J301,L301,M301)</x:f>
        <x:v>610.0101168966467</x:v>
      </x:c>
      <x:c r="O301" s="10" t="n">
        <x:f>AE300*N301</x:f>
        <x:v>3050.0505844832333</x:v>
      </x:c>
      <x:c r="P301" s="9" t="n">
        <x:f>MIN(1,(AB300/(AE300*IF(tun_GroupInCrowding=1,N301,MIN(J301,L301))))^tun_CrowdingExp)</x:f>
        <x:v>0.10069784650307768</x:v>
      </x:c>
      <x:c r="Q301" s="9" t="n">
        <x:f>IF(D301=1,INDEX(tun_WinterMult,G301),1)</x:f>
        <x:v>1</x:v>
      </x:c>
      <x:c r="R301" s="9" t="n">
        <x:f>H301*Z300*tun_WomenShare*tun_BaseFertility*INDEX(tun_FertMult,G301)*Arch_Fertility*(1-P301)</x:f>
        <x:v>47.93841524259027</x:v>
      </x:c>
      <x:c r="S301" s="9" t="n">
        <x:f>H301*Y300*INDEX(tun_MortChild,G301)/4*Q301</x:f>
        <x:v>8.176100684627222</x:v>
      </x:c>
      <x:c r="T301" s="9" t="n">
        <x:f>H301*Z300*INDEX(tun_MortAdult,G301)*Arch_AdultMort/4*Q301</x:f>
        <x:v>1.9570472243818928</x:v>
      </x:c>
      <x:c r="U301" s="9" t="n">
        <x:f>H301*AA300*INDEX(tun_MortElder,G301)/4*Q301</x:f>
        <x:v>2.640592535137693</x:v>
      </x:c>
      <x:c r="V301" s="9" t="n">
        <x:f>H301*MAX(0,AB300-O301)*tun_OvercapLoss</x:f>
        <x:v>0</x:v>
      </x:c>
      <x:c r="W301" s="9" t="n">
        <x:f>H301*Y300/(tun_ChildYears*4)</x:f>
        <x:v>20.138179026175425</x:v>
      </x:c>
      <x:c r="X301" s="9" t="n">
        <x:f>H301*Z300/(tun_AdultYears*4)</x:f>
        <x:v>6.012433869068794</x:v>
      </x:c>
      <x:c r="Y301" s="32" t="n">
        <x:f>Y300+R301-S301-W301-Y300*V301/AB300</x:f>
        <x:v>1147.3621609976112</x:v>
      </x:c>
      <x:c r="Z301" s="32" t="n">
        <x:f>Z300+W301-X301-T301-Z300*V301/AB300</x:f>
        <x:v>757.7104976972553</x:v>
      </x:c>
      <x:c r="AA301" s="32" t="n">
        <x:f>AA300+X301-U301-AA300*V301/AB300</x:f>
        <x:v>210.47713820747566</x:v>
      </x:c>
      <x:c r="AB301" s="10" t="n">
        <x:f>Y301+Z301+AA301</x:f>
        <x:v>2115.549796902342</x:v>
      </x:c>
      <x:c r="AC301" s="8" t="n">
        <x:f>IF(AND(tun_WinterTrigger=1,D301=1,AB300/AE300&gt;=K301),1,0)</x:f>
        <x:v>0</x:v>
      </x:c>
      <x:c r="AD301" s="8" t="n">
        <x:f>H301*IF(AND(OR(AB300/AE300&gt;=tun_FissionTrigger*N301,AC301=1),AB300/AE300*tun_DaughterShare&gt;=tun_MinDaughter),MAX(1,ROUND(AE300*tun_FissionRate,0)),0)</x:f>
        <x:v>0</x:v>
      </x:c>
      <x:c r="AE301" s="8" t="n">
        <x:f>IF(H301=1,MAX(1,MIN(INDEX(tun_Smax,G301),AE300+AD301)),AE300)</x:f>
        <x:v>5</x:v>
      </x:c>
      <x:c r="AF301" s="8" t="n">
        <x:f>MAX(0,AE301-AE300)</x:f>
        <x:v>0</x:v>
      </x:c>
      <x:c r="AG301" s="9" t="str">
        <x:f>IF(AF301&gt;0,B301,"")</x:f>
      </x:c>
      <x:c r="AH301" s="9" t="n">
        <x:f>IF(F301&gt;=1,1,(1+tun_LowTiesShare*(AE301-1))/AE301)</x:f>
        <x:v>1</x:v>
      </x:c>
      <x:c r="AI301" s="32" t="n">
        <x:f>(Z301+tun_ElderCommons*INDEX(LM_Elder,G301)*AA301)*AH301</x:f>
        <x:v>1463.672280809556</x:v>
      </x:c>
      <x:c r="AJ301" s="32" t="n">
        <x:f>H301*tun_CommonsCoef*AI301^tun_CommonsExp*INDEX(LM_Commons,G301)</x:f>
        <x:v>3127.14725930097</x:v>
      </x:c>
      <x:c r="AK301" s="32" t="n">
        <x:f>H301*tun_RoleScale*Arch_Roles*(AE301*(INDEX(tun_ElderRolePerSett,G301)*tun_OutElder*INDEX(LM_Elder,G301)+INDEX(tun_ShamanPerSett,G301)*tun_OutShaman)+Z301*(INDEX(tun_PriestShare,G301)*tun_OutPriest+INDEX(tun_ScribeShare,G301)*tun_OutScribe*INDEX(LM_Scribe,G301)+INDEX(tun_ScholarShare,G301)*tun_OutScholar*INDEX(LM_Scholar,G301)+INDEX(tun_ResearcherShare,G301)*tun_OutResearcher*INDEX(LM_Researcher,G301)))</x:f>
        <x:v>556.9333430649787</x:v>
      </x:c>
      <x:c r="AL301" s="32" t="n">
        <x:f>H301*tun_RoleScale*Arch_Roles*AE301*INDEX(tun_MonasteryPerSett,G301)*tun_OutMonastery*INDEX(LM_Monastery,G301)</x:f>
        <x:v>12.58570617804182</x:v>
      </x:c>
      <x:c r="AM301" s="32" t="n">
        <x:f>(AJ301+AK301+AL301)/4*INDEX(LM_All,G301)*INDEX(tun_Boon,G301)*Arch_Insight</x:f>
        <x:v>1332.0942258941066</x:v>
      </x:c>
      <x:c r="AN301" s="32" t="n">
        <x:f>H301*(tun_KHPerAdult*Z301+tun_KHOfCommons*AJ301/4*INDEX(LM_All,G301))*tun_KHUsable*Arch_KH</x:f>
        <x:v>244.0168332777052</x:v>
      </x:c>
      <x:c r="AO301" s="32" t="n">
        <x:f>MIN(AP300+AN301,AM301*tun_KHMaxRatio)</x:f>
        <x:v>244.0168332777052</x:v>
      </x:c>
      <x:c r="AP301" s="32" t="n">
        <x:f>AP300+AN301-AO301</x:f>
        <x:v>0</x:v>
      </x:c>
      <x:c r="AQ301" s="32" t="n">
        <x:f>AM301+AO301</x:f>
        <x:v>1576.1110591718118</x:v>
      </x:c>
      <x:c r="AR301" s="10" t="n">
        <x:f>IF(H301=1,INDEX(tun_Req,G301),0)</x:f>
        <x:v>88783.394528</x:v>
      </x:c>
      <x:c r="AS301" s="32" t="n">
        <x:f>IF(H301=1,IF(E301=1,AS300-AR300,AS300)+AQ301,0)</x:f>
        <x:v>66071.62490587265</x:v>
      </x:c>
      <x:c r="AT301" s="11" t="n">
        <x:f>IF(AR301&gt;0,MIN(1,AS301/AR301),1)</x:f>
        <x:v>0.7441889922899417</x:v>
      </x:c>
      <x:c r="AU301" s="10" t="n">
        <x:f>AB301/INDEX(tun_RepScale,G301)</x:f>
        <x:v>423.10995938046847</x:v>
      </x:c>
      <x:c r="AV301" s="32" t="n">
        <x:f>AM301*60/tun_SeasonSeconds</x:f>
        <x:v>5328.376903576426</x:v>
      </x:c>
    </x:row>
    <x:row r="302">
      <x:c r="A302" s="8" t="n">
        <x:f>A301+1</x:f>
        <x:v>299</x:v>
      </x:c>
      <x:c r="B302" s="9" t="n">
        <x:f>A302*tun_SeasonSeconds/60</x:f>
        <x:v>74.75</x:v>
      </x:c>
      <x:c r="C302" s="9" t="n">
        <x:f>A302/4</x:f>
        <x:v>74.75</x:v>
      </x:c>
      <x:c r="D302" s="8" t="n">
        <x:f>IF(MOD(A302,4)=0,1,0)</x:f>
        <x:v>0</x:v>
      </x:c>
      <x:c r="E302" s="8" t="n">
        <x:f>IF(AND(F301&lt;=9,AS301&gt;=AR301),1,0)</x:f>
        <x:v>0</x:v>
      </x:c>
      <x:c r="F302" s="8" t="n">
        <x:f>MIN(10,F301+E302)</x:f>
        <x:v>5</x:v>
      </x:c>
      <x:c r="G302" s="8" t="n">
        <x:f>MIN(F302,9)+1</x:f>
        <x:v>6</x:v>
      </x:c>
      <x:c r="H302" s="8" t="n">
        <x:f>IF(F302&lt;=9,1,0)</x:f>
        <x:v>1</x:v>
      </x:c>
      <x:c r="I302" s="9" t="n">
        <x:f>MIN(10,F301+IF(AR301&gt;0,MIN(1,AS301/AR301),1))</x:f>
        <x:v>5.744188992289942</x:v>
      </x:c>
      <x:c r="J302" s="32" t="n">
        <x:f>INDEX(tun_FoodCap,G302)*Arch_FoodCap*EXP(tun_CapsByProject*SUMPRODUCT((Cap_Point&lt;=I302)*(Cap_Kind="Food")*Cap_Ln))</x:f>
        <x:v>610.0101168966467</x:v>
      </x:c>
      <x:c r="K302" s="32" t="n">
        <x:f>J302*MIN(1,tun_LeanBase*EXP(tun_CapsByProject*SUMPRODUCT((Cap_Point&lt;=I302)*(Cap_Kind="Lean")*Cap_Ln)))</x:f>
        <x:v>610.0101168966467</x:v>
      </x:c>
      <x:c r="L302" s="10" t="n">
        <x:f>INDEX(tun_HousingCap,G302)*EXP(tun_CapsByProject*SUMPRODUCT((Cap_Point&lt;=I302)*(Cap_Kind="Housing")*Cap_Ln))</x:f>
        <x:v>2125.258900135082</x:v>
      </x:c>
      <x:c r="M302" s="10" t="n">
        <x:f>INDEX(tun_GroupCap,G302)*tun_CohesionFactor*EXP(tun_CapsByProject*SUMPRODUCT((Cap_Point&lt;=I302)*(Cap_Kind="Group")*Cap_Ln))</x:f>
        <x:v>50000.00000000004</x:v>
      </x:c>
      <x:c r="N302" s="32" t="n">
        <x:f>MIN(J302,L302,M302)</x:f>
        <x:v>610.0101168966467</x:v>
      </x:c>
      <x:c r="O302" s="10" t="n">
        <x:f>AE301*N302</x:f>
        <x:v>3050.0505844832333</x:v>
      </x:c>
      <x:c r="P302" s="9" t="n">
        <x:f>MIN(1,(AB301/(AE301*IF(tun_GroupInCrowding=1,N302,MIN(J302,L302))))^tun_CrowdingExp)</x:f>
        <x:v>0.11135180519346162</x:v>
      </x:c>
      <x:c r="Q302" s="9" t="n">
        <x:f>IF(D302=1,INDEX(tun_WinterMult,G302),1)</x:f>
        <x:v>1</x:v>
      </x:c>
      <x:c r="R302" s="9" t="n">
        <x:f>H302*Z301*tun_WomenShare*tun_BaseFertility*INDEX(tun_FertMult,G302)*Arch_Fertility*(1-P302)</x:f>
        <x:v>48.143671716471026</x:v>
      </x:c>
      <x:c r="S302" s="9" t="n">
        <x:f>H302*Y301*INDEX(tun_MortChild,G302)/4*Q302</x:f>
        <x:v>8.318375667232681</x:v>
      </x:c>
      <x:c r="T302" s="9" t="n">
        <x:f>H302*Z301*INDEX(tun_MortAdult,G302)*Arch_AdultMort/4*Q302</x:f>
        <x:v>1.9889900564552951</x:v>
      </x:c>
      <x:c r="U302" s="9" t="n">
        <x:f>H302*AA301*INDEX(tun_MortElder,G302)/4*Q302</x:f>
        <x:v>2.6835835121453147</x:v>
      </x:c>
      <x:c r="V302" s="9" t="n">
        <x:f>H302*MAX(0,AB301-O302)*tun_OvercapLoss</x:f>
        <x:v>0</x:v>
      </x:c>
      <x:c r="W302" s="9" t="n">
        <x:f>H302*Y301/(tun_ChildYears*4)</x:f>
        <x:v>20.488610017814487</x:v>
      </x:c>
      <x:c r="X302" s="9" t="n">
        <x:f>H302*Z301/(tun_AdultYears*4)</x:f>
        <x:v>6.110568529816574</x:v>
      </x:c>
      <x:c r="Y302" s="32" t="n">
        <x:f>Y301+R302-S302-W302-Y301*V302/AB301</x:f>
        <x:v>1166.6988470290353</x:v>
      </x:c>
      <x:c r="Z302" s="32" t="n">
        <x:f>Z301+W302-X302-T302-Z301*V302/AB301</x:f>
        <x:v>770.0995491287979</x:v>
      </x:c>
      <x:c r="AA302" s="32" t="n">
        <x:f>AA301+X302-U302-AA301*V302/AB301</x:f>
        <x:v>213.90412322514692</x:v>
      </x:c>
      <x:c r="AB302" s="10" t="n">
        <x:f>Y302+Z302+AA302</x:f>
        <x:v>2150.70251938298</x:v>
      </x:c>
      <x:c r="AC302" s="8" t="n">
        <x:f>IF(AND(tun_WinterTrigger=1,D302=1,AB301/AE301&gt;=K302),1,0)</x:f>
        <x:v>0</x:v>
      </x:c>
      <x:c r="AD302" s="8" t="n">
        <x:f>H302*IF(AND(OR(AB301/AE301&gt;=tun_FissionTrigger*N302,AC302=1),AB301/AE301*tun_DaughterShare&gt;=tun_MinDaughter),MAX(1,ROUND(AE301*tun_FissionRate,0)),0)</x:f>
        <x:v>0</x:v>
      </x:c>
      <x:c r="AE302" s="8" t="n">
        <x:f>IF(H302=1,MAX(1,MIN(INDEX(tun_Smax,G302),AE301+AD302)),AE301)</x:f>
        <x:v>5</x:v>
      </x:c>
      <x:c r="AF302" s="8" t="n">
        <x:f>MAX(0,AE302-AE301)</x:f>
        <x:v>0</x:v>
      </x:c>
      <x:c r="AG302" s="9" t="str">
        <x:f>IF(AF302&gt;0,B302,"")</x:f>
      </x:c>
      <x:c r="AH302" s="9" t="n">
        <x:f>IF(F302&gt;=1,1,(1+tun_LowTiesShare*(AE302-1))/AE302)</x:f>
        <x:v>1</x:v>
      </x:c>
      <x:c r="AI302" s="32" t="n">
        <x:f>(Z302+tun_ElderCommons*INDEX(LM_Elder,G302)*AA302)*AH302</x:f>
        <x:v>1487.555789427178</x:v>
      </x:c>
      <x:c r="AJ302" s="32" t="n">
        <x:f>H302*tun_CommonsCoef*AI302^tun_CommonsExp*INDEX(LM_Commons,G302)</x:f>
        <x:v>3170.4677149766653</x:v>
      </x:c>
      <x:c r="AK302" s="32" t="n">
        <x:f>H302*tun_RoleScale*Arch_Roles*(AE302*(INDEX(tun_ElderRolePerSett,G302)*tun_OutElder*INDEX(LM_Elder,G302)+INDEX(tun_ShamanPerSett,G302)*tun_OutShaman)+Z302*(INDEX(tun_PriestShare,G302)*tun_OutPriest+INDEX(tun_ScribeShare,G302)*tun_OutScribe*INDEX(LM_Scribe,G302)+INDEX(tun_ScholarShare,G302)*tun_OutScholar*INDEX(LM_Scholar,G302)+INDEX(tun_ResearcherShare,G302)*tun_OutResearcher*INDEX(LM_Researcher,G302)))</x:f>
        <x:v>563.961686906241</x:v>
      </x:c>
      <x:c r="AL302" s="32" t="n">
        <x:f>H302*tun_RoleScale*Arch_Roles*AE302*INDEX(tun_MonasteryPerSett,G302)*tun_OutMonastery*INDEX(LM_Monastery,G302)</x:f>
        <x:v>12.58570617804182</x:v>
      </x:c>
      <x:c r="AM302" s="32" t="n">
        <x:f>(AJ302+AK302+AL302)/4*INDEX(LM_All,G302)*INDEX(tun_Boon,G302)*Arch_Insight</x:f>
        <x:v>1350.2374229044035</x:v>
      </x:c>
      <x:c r="AN302" s="32" t="n">
        <x:f>H302*(tun_KHPerAdult*Z302+tun_KHOfCommons*AJ302/4*INDEX(LM_All,G302))*tun_KHUsable*Arch_KH</x:f>
        <x:v>247.3972050778146</x:v>
      </x:c>
      <x:c r="AO302" s="32" t="n">
        <x:f>MIN(AP301+AN302,AM302*tun_KHMaxRatio)</x:f>
        <x:v>247.3972050778146</x:v>
      </x:c>
      <x:c r="AP302" s="32" t="n">
        <x:f>AP301+AN302-AO302</x:f>
        <x:v>0</x:v>
      </x:c>
      <x:c r="AQ302" s="32" t="n">
        <x:f>AM302+AO302</x:f>
        <x:v>1597.634627982218</x:v>
      </x:c>
      <x:c r="AR302" s="10" t="n">
        <x:f>IF(H302=1,INDEX(tun_Req,G302),0)</x:f>
        <x:v>88783.394528</x:v>
      </x:c>
      <x:c r="AS302" s="32" t="n">
        <x:f>IF(H302=1,IF(E302=1,AS301-AR301,AS301)+AQ302,0)</x:f>
        <x:v>67669.25953385487</x:v>
      </x:c>
      <x:c r="AT302" s="11" t="n">
        <x:f>IF(AR302&gt;0,MIN(1,AS302/AR302),1)</x:f>
        <x:v>0.7621837382272394</x:v>
      </x:c>
      <x:c r="AU302" s="10" t="n">
        <x:f>AB302/INDEX(tun_RepScale,G302)</x:f>
        <x:v>430.140503876596</x:v>
      </x:c>
      <x:c r="AV302" s="32" t="n">
        <x:f>AM302*60/tun_SeasonSeconds</x:f>
        <x:v>5400.949691617614</x:v>
      </x:c>
    </x:row>
    <x:row r="303">
      <x:c r="A303" s="8" t="n">
        <x:f>A302+1</x:f>
        <x:v>300</x:v>
      </x:c>
      <x:c r="B303" s="9" t="n">
        <x:f>A303*tun_SeasonSeconds/60</x:f>
        <x:v>75</x:v>
      </x:c>
      <x:c r="C303" s="9" t="n">
        <x:f>A303/4</x:f>
        <x:v>75</x:v>
      </x:c>
      <x:c r="D303" s="8" t="n">
        <x:f>IF(MOD(A303,4)=0,1,0)</x:f>
        <x:v>1</x:v>
      </x:c>
      <x:c r="E303" s="8" t="n">
        <x:f>IF(AND(F302&lt;=9,AS302&gt;=AR302),1,0)</x:f>
        <x:v>0</x:v>
      </x:c>
      <x:c r="F303" s="8" t="n">
        <x:f>MIN(10,F302+E303)</x:f>
        <x:v>5</x:v>
      </x:c>
      <x:c r="G303" s="8" t="n">
        <x:f>MIN(F303,9)+1</x:f>
        <x:v>6</x:v>
      </x:c>
      <x:c r="H303" s="8" t="n">
        <x:f>IF(F303&lt;=9,1,0)</x:f>
        <x:v>1</x:v>
      </x:c>
      <x:c r="I303" s="9" t="n">
        <x:f>MIN(10,F302+IF(AR302&gt;0,MIN(1,AS302/AR302),1))</x:f>
        <x:v>5.76218373822724</x:v>
      </x:c>
      <x:c r="J303" s="32" t="n">
        <x:f>INDEX(tun_FoodCap,G303)*Arch_FoodCap*EXP(tun_CapsByProject*SUMPRODUCT((Cap_Point&lt;=I303)*(Cap_Kind="Food")*Cap_Ln))</x:f>
        <x:v>610.0101168966467</x:v>
      </x:c>
      <x:c r="K303" s="32" t="n">
        <x:f>J303*MIN(1,tun_LeanBase*EXP(tun_CapsByProject*SUMPRODUCT((Cap_Point&lt;=I303)*(Cap_Kind="Lean")*Cap_Ln)))</x:f>
        <x:v>610.0101168966467</x:v>
      </x:c>
      <x:c r="L303" s="10" t="n">
        <x:f>INDEX(tun_HousingCap,G303)*EXP(tun_CapsByProject*SUMPRODUCT((Cap_Point&lt;=I303)*(Cap_Kind="Housing")*Cap_Ln))</x:f>
        <x:v>2125.258900135082</x:v>
      </x:c>
      <x:c r="M303" s="10" t="n">
        <x:f>INDEX(tun_GroupCap,G303)*tun_CohesionFactor*EXP(tun_CapsByProject*SUMPRODUCT((Cap_Point&lt;=I303)*(Cap_Kind="Group")*Cap_Ln))</x:f>
        <x:v>50000.00000000004</x:v>
      </x:c>
      <x:c r="N303" s="32" t="n">
        <x:f>MIN(J303,L303,M303)</x:f>
        <x:v>610.0101168966467</x:v>
      </x:c>
      <x:c r="O303" s="10" t="n">
        <x:f>AE302*N303</x:f>
        <x:v>3050.0505844832333</x:v>
      </x:c>
      <x:c r="P303" s="9" t="n">
        <x:f>MIN(1,(AB302/(AE302*IF(tun_GroupInCrowding=1,N303,MIN(J303,L303))))^tun_CrowdingExp)</x:f>
        <x:v>0.12292488496033797</x:v>
      </x:c>
      <x:c r="Q303" s="9" t="n">
        <x:f>IF(D303=1,INDEX(tun_WinterMult,G303),1)</x:f>
        <x:v>1.15</x:v>
      </x:c>
      <x:c r="R303" s="9" t="n">
        <x:f>H303*Z302*tun_WomenShare*tun_BaseFertility*INDEX(tun_FertMult,G303)*Arch_Fertility*(1-P303)</x:f>
        <x:v>48.29361327105547</x:v>
      </x:c>
      <x:c r="S303" s="9" t="n">
        <x:f>H303*Y302*INDEX(tun_MortChild,G303)/4*Q303</x:f>
        <x:v>9.727351637104581</x:v>
      </x:c>
      <x:c r="T303" s="9" t="n">
        <x:f>H303*Z302*INDEX(tun_MortAdult,G303)*Arch_AdultMort/4*Q303</x:f>
        <x:v>2.3247380139325586</x:v>
      </x:c>
      <x:c r="U303" s="9" t="n">
        <x:f>H303*AA302*INDEX(tun_MortElder,G303)/4*Q303</x:f>
        <x:v>3.1363692067887166</x:v>
      </x:c>
      <x:c r="V303" s="9" t="n">
        <x:f>H303*MAX(0,AB302-O303)*tun_OvercapLoss</x:f>
        <x:v>0</x:v>
      </x:c>
      <x:c r="W303" s="9" t="n">
        <x:f>H303*Y302/(tun_ChildYears*4)</x:f>
        <x:v>20.833907982661344</x:v>
      </x:c>
      <x:c r="X303" s="9" t="n">
        <x:f>H303*Z302/(tun_AdultYears*4)</x:f>
        <x:v>6.21048023490966</x:v>
      </x:c>
      <x:c r="Y303" s="32" t="n">
        <x:f>Y302+R303-S303-W303-Y302*V303/AB302</x:f>
        <x:v>1184.4312006803248</x:v>
      </x:c>
      <x:c r="Z303" s="32" t="n">
        <x:f>Z302+W303-X303-T303-Z302*V303/AB302</x:f>
        <x:v>782.398238862617</x:v>
      </x:c>
      <x:c r="AA303" s="32" t="n">
        <x:f>AA302+X303-U303-AA302*V303/AB302</x:f>
        <x:v>216.97823425326786</x:v>
      </x:c>
      <x:c r="AB303" s="10" t="n">
        <x:f>Y303+Z303+AA303</x:f>
        <x:v>2183.8076737962097</x:v>
      </x:c>
      <x:c r="AC303" s="8" t="n">
        <x:f>IF(AND(tun_WinterTrigger=1,D303=1,AB302/AE302&gt;=K303),1,0)</x:f>
        <x:v>0</x:v>
      </x:c>
      <x:c r="AD303" s="8" t="n">
        <x:f>H303*IF(AND(OR(AB302/AE302&gt;=tun_FissionTrigger*N303,AC303=1),AB302/AE302*tun_DaughterShare&gt;=tun_MinDaughter),MAX(1,ROUND(AE302*tun_FissionRate,0)),0)</x:f>
        <x:v>0</x:v>
      </x:c>
      <x:c r="AE303" s="8" t="n">
        <x:f>IF(H303=1,MAX(1,MIN(INDEX(tun_Smax,G303),AE302+AD303)),AE302)</x:f>
        <x:v>5</x:v>
      </x:c>
      <x:c r="AF303" s="8" t="n">
        <x:f>MAX(0,AE303-AE302)</x:f>
        <x:v>0</x:v>
      </x:c>
      <x:c r="AG303" s="9" t="str">
        <x:f>IF(AF303&gt;0,B303,"")</x:f>
      </x:c>
      <x:c r="AH303" s="9" t="n">
        <x:f>IF(F303&gt;=1,1,(1+tun_LowTiesShare*(AE303-1))/AE303)</x:f>
        <x:v>1</x:v>
      </x:c>
      <x:c r="AI303" s="32" t="n">
        <x:f>(Z303+tun_ElderCommons*INDEX(LM_Elder,G303)*AA303)*AH303</x:f>
        <x:v>1510.1653610048875</x:v>
      </x:c>
      <x:c r="AJ303" s="32" t="n">
        <x:f>H303*tun_CommonsCoef*AI303^tun_CommonsExp*INDEX(LM_Commons,G303)</x:f>
        <x:v>3211.3814233819157</x:v>
      </x:c>
      <x:c r="AK303" s="32" t="n">
        <x:f>H303*tun_RoleScale*Arch_Roles*(AE303*(INDEX(tun_ElderRolePerSett,G303)*tun_OutElder*INDEX(LM_Elder,G303)+INDEX(tun_ShamanPerSett,G303)*tun_OutShaman)+Z303*(INDEX(tun_PriestShare,G303)*tun_OutPriest+INDEX(tun_ScribeShare,G303)*tun_OutScribe*INDEX(LM_Scribe,G303)+INDEX(tun_ScholarShare,G303)*tun_OutScholar*INDEX(LM_Scholar,G303)+INDEX(tun_ResearcherShare,G303)*tun_OutResearcher*INDEX(LM_Researcher,G303)))</x:f>
        <x:v>570.9387683013676</x:v>
      </x:c>
      <x:c r="AL303" s="32" t="n">
        <x:f>H303*tun_RoleScale*Arch_Roles*AE303*INDEX(tun_MonasteryPerSett,G303)*tun_OutMonastery*INDEX(LM_Monastery,G303)</x:f>
        <x:v>12.58570617804182</x:v>
      </x:c>
      <x:c r="AM303" s="32" t="n">
        <x:f>(AJ303+AK303+AL303)/4*INDEX(LM_All,G303)*INDEX(tun_Boon,G303)*Arch_Insight</x:f>
        <x:v>1367.494875766498</x:v>
      </x:c>
      <x:c r="AN303" s="32" t="n">
        <x:f>H303*(tun_KHPerAdult*Z303+tun_KHOfCommons*AJ303/4*INDEX(LM_All,G303))*tun_KHUsable*Arch_KH</x:f>
        <x:v>250.58977413032807</x:v>
      </x:c>
      <x:c r="AO303" s="32" t="n">
        <x:f>MIN(AP302+AN303,AM303*tun_KHMaxRatio)</x:f>
        <x:v>250.58977413032807</x:v>
      </x:c>
      <x:c r="AP303" s="32" t="n">
        <x:f>AP302+AN303-AO303</x:f>
        <x:v>0</x:v>
      </x:c>
      <x:c r="AQ303" s="32" t="n">
        <x:f>AM303+AO303</x:f>
        <x:v>1618.084649896826</x:v>
      </x:c>
      <x:c r="AR303" s="10" t="n">
        <x:f>IF(H303=1,INDEX(tun_Req,G303),0)</x:f>
        <x:v>88783.394528</x:v>
      </x:c>
      <x:c r="AS303" s="32" t="n">
        <x:f>IF(H303=1,IF(E303=1,AS302-AR302,AS302)+AQ303,0)</x:f>
        <x:v>69287.3441837517</x:v>
      </x:c>
      <x:c r="AT303" s="11" t="n">
        <x:f>IF(AR303&gt;0,MIN(1,AS303/AR303),1)</x:f>
        <x:v>0.7804088202766369</x:v>
      </x:c>
      <x:c r="AU303" s="10" t="n">
        <x:f>AB303/INDEX(tun_RepScale,G303)</x:f>
        <x:v>436.76153475924195</x:v>
      </x:c>
      <x:c r="AV303" s="32" t="n">
        <x:f>AM303*60/tun_SeasonSeconds</x:f>
        <x:v>5469.979503065992</x:v>
      </x:c>
    </x:row>
    <x:row r="304">
      <x:c r="A304" s="8" t="n">
        <x:f>A303+1</x:f>
        <x:v>301</x:v>
      </x:c>
      <x:c r="B304" s="9" t="n">
        <x:f>A304*tun_SeasonSeconds/60</x:f>
        <x:v>75.25</x:v>
      </x:c>
      <x:c r="C304" s="9" t="n">
        <x:f>A304/4</x:f>
        <x:v>75.25</x:v>
      </x:c>
      <x:c r="D304" s="8" t="n">
        <x:f>IF(MOD(A304,4)=0,1,0)</x:f>
        <x:v>0</x:v>
      </x:c>
      <x:c r="E304" s="8" t="n">
        <x:f>IF(AND(F303&lt;=9,AS303&gt;=AR303),1,0)</x:f>
        <x:v>0</x:v>
      </x:c>
      <x:c r="F304" s="8" t="n">
        <x:f>MIN(10,F303+E304)</x:f>
        <x:v>5</x:v>
      </x:c>
      <x:c r="G304" s="8" t="n">
        <x:f>MIN(F304,9)+1</x:f>
        <x:v>6</x:v>
      </x:c>
      <x:c r="H304" s="8" t="n">
        <x:f>IF(F304&lt;=9,1,0)</x:f>
        <x:v>1</x:v>
      </x:c>
      <x:c r="I304" s="9" t="n">
        <x:f>MIN(10,F303+IF(AR303&gt;0,MIN(1,AS303/AR303),1))</x:f>
        <x:v>5.780408820276637</x:v>
      </x:c>
      <x:c r="J304" s="32" t="n">
        <x:f>INDEX(tun_FoodCap,G304)*Arch_FoodCap*EXP(tun_CapsByProject*SUMPRODUCT((Cap_Point&lt;=I304)*(Cap_Kind="Food")*Cap_Ln))</x:f>
        <x:v>610.0101168966467</x:v>
      </x:c>
      <x:c r="K304" s="32" t="n">
        <x:f>J304*MIN(1,tun_LeanBase*EXP(tun_CapsByProject*SUMPRODUCT((Cap_Point&lt;=I304)*(Cap_Kind="Lean")*Cap_Ln)))</x:f>
        <x:v>610.0101168966467</x:v>
      </x:c>
      <x:c r="L304" s="10" t="n">
        <x:f>INDEX(tun_HousingCap,G304)*EXP(tun_CapsByProject*SUMPRODUCT((Cap_Point&lt;=I304)*(Cap_Kind="Housing")*Cap_Ln))</x:f>
        <x:v>2125.258900135082</x:v>
      </x:c>
      <x:c r="M304" s="10" t="n">
        <x:f>INDEX(tun_GroupCap,G304)*tun_CohesionFactor*EXP(tun_CapsByProject*SUMPRODUCT((Cap_Point&lt;=I304)*(Cap_Kind="Group")*Cap_Ln))</x:f>
        <x:v>50000.00000000004</x:v>
      </x:c>
      <x:c r="N304" s="32" t="n">
        <x:f>MIN(J304,L304,M304)</x:f>
        <x:v>610.0101168966467</x:v>
      </x:c>
      <x:c r="O304" s="10" t="n">
        <x:f>AE303*N304</x:f>
        <x:v>3050.0505844832333</x:v>
      </x:c>
      <x:c r="P304" s="9" t="n">
        <x:f>MIN(1,(AB303/(AE303*IF(tun_GroupInCrowding=1,N304,MIN(J304,L304))))^tun_CrowdingExp)</x:f>
        <x:v>0.13472372242928232</x:v>
      </x:c>
      <x:c r="Q304" s="9" t="n">
        <x:f>IF(D304=1,INDEX(tun_WinterMult,G304),1)</x:f>
        <x:v>1</x:v>
      </x:c>
      <x:c r="R304" s="9" t="n">
        <x:f>H304*Z303*tun_WomenShare*tun_BaseFertility*INDEX(tun_FertMult,G304)*Arch_Fertility*(1-P304)</x:f>
        <x:v>48.40483045261653</x:v>
      </x:c>
      <x:c r="S304" s="9" t="n">
        <x:f>H304*Y303*INDEX(tun_MortChild,G304)/4*Q304</x:f>
        <x:v>8.587126204932355</x:v>
      </x:c>
      <x:c r="T304" s="9" t="n">
        <x:f>H304*Z303*INDEX(tun_MortAdult,G304)*Arch_AdultMort/4*Q304</x:f>
        <x:v>2.0537953770143695</x:v>
      </x:c>
      <x:c r="U304" s="9" t="n">
        <x:f>H304*AA303*INDEX(tun_MortElder,G304)/4*Q304</x:f>
        <x:v>2.766472486729165</x:v>
      </x:c>
      <x:c r="V304" s="9" t="n">
        <x:f>H304*MAX(0,AB303-O304)*tun_OvercapLoss</x:f>
        <x:v>0</x:v>
      </x:c>
      <x:c r="W304" s="9" t="n">
        <x:f>H304*Y303/(tun_ChildYears*4)</x:f>
        <x:v>21.1505571550058</x:v>
      </x:c>
      <x:c r="X304" s="9" t="n">
        <x:f>H304*Z303/(tun_AdultYears*4)</x:f>
        <x:v>6.309663216634008</x:v>
      </x:c>
      <x:c r="Y304" s="32" t="n">
        <x:f>Y303+R304-S304-W304-Y303*V304/AB303</x:f>
        <x:v>1203.0983477730033</x:v>
      </x:c>
      <x:c r="Z304" s="32" t="n">
        <x:f>Z303+W304-X304-T304-Z303*V304/AB303</x:f>
        <x:v>795.1853374239744</x:v>
      </x:c>
      <x:c r="AA304" s="32" t="n">
        <x:f>AA303+X304-U304-AA303*V304/AB303</x:f>
        <x:v>220.52142498317272</x:v>
      </x:c>
      <x:c r="AB304" s="10" t="n">
        <x:f>Y304+Z304+AA304</x:f>
        <x:v>2218.8051101801507</x:v>
      </x:c>
      <x:c r="AC304" s="8" t="n">
        <x:f>IF(AND(tun_WinterTrigger=1,D304=1,AB303/AE303&gt;=K304),1,0)</x:f>
        <x:v>0</x:v>
      </x:c>
      <x:c r="AD304" s="8" t="n">
        <x:f>H304*IF(AND(OR(AB303/AE303&gt;=tun_FissionTrigger*N304,AC304=1),AB303/AE303*tun_DaughterShare&gt;=tun_MinDaughter),MAX(1,ROUND(AE303*tun_FissionRate,0)),0)</x:f>
        <x:v>0</x:v>
      </x:c>
      <x:c r="AE304" s="8" t="n">
        <x:f>IF(H304=1,MAX(1,MIN(INDEX(tun_Smax,G304),AE303+AD304)),AE303)</x:f>
        <x:v>5</x:v>
      </x:c>
      <x:c r="AF304" s="8" t="n">
        <x:f>MAX(0,AE304-AE303)</x:f>
        <x:v>0</x:v>
      </x:c>
      <x:c r="AG304" s="9" t="str">
        <x:f>IF(AF304&gt;0,B304,"")</x:f>
      </x:c>
      <x:c r="AH304" s="9" t="n">
        <x:f>IF(F304&gt;=1,1,(1+tun_LowTiesShare*(AE304-1))/AE304)</x:f>
        <x:v>1</x:v>
      </x:c>
      <x:c r="AI304" s="32" t="n">
        <x:f>(Z304+tun_ElderCommons*INDEX(LM_Elder,G304)*AA304)*AH304</x:f>
        <x:v>1534.8366825602163</x:v>
      </x:c>
      <x:c r="AJ304" s="32" t="n">
        <x:f>H304*tun_CommonsCoef*AI304^tun_CommonsExp*INDEX(LM_Commons,G304)</x:f>
        <x:v>3255.921358715824</x:v>
      </x:c>
      <x:c r="AK304" s="32" t="n">
        <x:f>H304*tun_RoleScale*Arch_Roles*(AE304*(INDEX(tun_ElderRolePerSett,G304)*tun_OutElder*INDEX(LM_Elder,G304)+INDEX(tun_ShamanPerSett,G304)*tun_OutShaman)+Z304*(INDEX(tun_PriestShare,G304)*tun_OutPriest+INDEX(tun_ScribeShare,G304)*tun_OutScribe*INDEX(LM_Scribe,G304)+INDEX(tun_ScholarShare,G304)*tun_OutScholar*INDEX(LM_Scholar,G304)+INDEX(tun_ResearcherShare,G304)*tun_OutResearcher*INDEX(LM_Researcher,G304)))</x:f>
        <x:v>578.1929254027351</x:v>
      </x:c>
      <x:c r="AL304" s="32" t="n">
        <x:f>H304*tun_RoleScale*Arch_Roles*AE304*INDEX(tun_MonasteryPerSett,G304)*tun_OutMonastery*INDEX(LM_Monastery,G304)</x:f>
        <x:v>12.58570617804182</x:v>
      </x:c>
      <x:c r="AM304" s="32" t="n">
        <x:f>(AJ304+AK304+AL304)/4*INDEX(LM_All,G304)*INDEX(tun_Boon,G304)*Arch_Insight</x:f>
        <x:v>1386.1588842838453</x:v>
      </x:c>
      <x:c r="AN304" s="32" t="n">
        <x:f>H304*(tun_KHPerAdult*Z304+tun_KHOfCommons*AJ304/4*INDEX(LM_All,G304))*tun_KHUsable*Arch_KH</x:f>
        <x:v>254.06530408570458</x:v>
      </x:c>
      <x:c r="AO304" s="32" t="n">
        <x:f>MIN(AP303+AN304,AM304*tun_KHMaxRatio)</x:f>
        <x:v>254.06530408570458</x:v>
      </x:c>
      <x:c r="AP304" s="32" t="n">
        <x:f>AP303+AN304-AO304</x:f>
        <x:v>0</x:v>
      </x:c>
      <x:c r="AQ304" s="32" t="n">
        <x:f>AM304+AO304</x:f>
        <x:v>1640.22418836955</x:v>
      </x:c>
      <x:c r="AR304" s="10" t="n">
        <x:f>IF(H304=1,INDEX(tun_Req,G304),0)</x:f>
        <x:v>88783.394528</x:v>
      </x:c>
      <x:c r="AS304" s="32" t="n">
        <x:f>IF(H304=1,IF(E304=1,AS303-AR303,AS303)+AQ304,0)</x:f>
        <x:v>70927.56837212126</x:v>
      </x:c>
      <x:c r="AT304" s="11" t="n">
        <x:f>IF(AR304&gt;0,MIN(1,AS304/AR304),1)</x:f>
        <x:v>0.7988832680840168</x:v>
      </x:c>
      <x:c r="AU304" s="10" t="n">
        <x:f>AB304/INDEX(tun_RepScale,G304)</x:f>
        <x:v>443.7610220360301</x:v>
      </x:c>
      <x:c r="AV304" s="32" t="n">
        <x:f>AM304*60/tun_SeasonSeconds</x:f>
        <x:v>5544.635537135381</x:v>
      </x:c>
    </x:row>
    <x:row r="305">
      <x:c r="A305" s="8" t="n">
        <x:f>A304+1</x:f>
        <x:v>302</x:v>
      </x:c>
      <x:c r="B305" s="9" t="n">
        <x:f>A305*tun_SeasonSeconds/60</x:f>
        <x:v>75.5</x:v>
      </x:c>
      <x:c r="C305" s="9" t="n">
        <x:f>A305/4</x:f>
        <x:v>75.5</x:v>
      </x:c>
      <x:c r="D305" s="8" t="n">
        <x:f>IF(MOD(A305,4)=0,1,0)</x:f>
        <x:v>0</x:v>
      </x:c>
      <x:c r="E305" s="8" t="n">
        <x:f>IF(AND(F304&lt;=9,AS304&gt;=AR304),1,0)</x:f>
        <x:v>0</x:v>
      </x:c>
      <x:c r="F305" s="8" t="n">
        <x:f>MIN(10,F304+E305)</x:f>
        <x:v>5</x:v>
      </x:c>
      <x:c r="G305" s="8" t="n">
        <x:f>MIN(F305,9)+1</x:f>
        <x:v>6</x:v>
      </x:c>
      <x:c r="H305" s="8" t="n">
        <x:f>IF(F305&lt;=9,1,0)</x:f>
        <x:v>1</x:v>
      </x:c>
      <x:c r="I305" s="9" t="n">
        <x:f>MIN(10,F304+IF(AR304&gt;0,MIN(1,AS304/AR304),1))</x:f>
        <x:v>5.798883268084017</x:v>
      </x:c>
      <x:c r="J305" s="32" t="n">
        <x:f>INDEX(tun_FoodCap,G305)*Arch_FoodCap*EXP(tun_CapsByProject*SUMPRODUCT((Cap_Point&lt;=I305)*(Cap_Kind="Food")*Cap_Ln))</x:f>
        <x:v>610.0101168966467</x:v>
      </x:c>
      <x:c r="K305" s="32" t="n">
        <x:f>J305*MIN(1,tun_LeanBase*EXP(tun_CapsByProject*SUMPRODUCT((Cap_Point&lt;=I305)*(Cap_Kind="Lean")*Cap_Ln)))</x:f>
        <x:v>610.0101168966467</x:v>
      </x:c>
      <x:c r="L305" s="10" t="n">
        <x:f>INDEX(tun_HousingCap,G305)*EXP(tun_CapsByProject*SUMPRODUCT((Cap_Point&lt;=I305)*(Cap_Kind="Housing")*Cap_Ln))</x:f>
        <x:v>2125.258900135082</x:v>
      </x:c>
      <x:c r="M305" s="10" t="n">
        <x:f>INDEX(tun_GroupCap,G305)*tun_CohesionFactor*EXP(tun_CapsByProject*SUMPRODUCT((Cap_Point&lt;=I305)*(Cap_Kind="Group")*Cap_Ln))</x:f>
        <x:v>50000.00000000004</x:v>
      </x:c>
      <x:c r="N305" s="32" t="n">
        <x:f>MIN(J305,L305,M305)</x:f>
        <x:v>610.0101168966467</x:v>
      </x:c>
      <x:c r="O305" s="10" t="n">
        <x:f>AE304*N305</x:f>
        <x:v>3050.0505844832333</x:v>
      </x:c>
      <x:c r="P305" s="9" t="n">
        <x:f>MIN(1,(AB304/(AE304*IF(tun_GroupInCrowding=1,N305,MIN(J305,L305))))^tun_CrowdingExp)</x:f>
        <x:v>0.1482083567468611</x:v>
      </x:c>
      <x:c r="Q305" s="9" t="n">
        <x:f>IF(D305=1,INDEX(tun_WinterMult,G305),1)</x:f>
        <x:v>1</x:v>
      </x:c>
      <x:c r="R305" s="9" t="n">
        <x:f>H305*Z304*tun_WomenShare*tun_BaseFertility*INDEX(tun_FertMult,G305)*Arch_Fertility*(1-P305)</x:f>
        <x:v>48.42925410574458</x:v>
      </x:c>
      <x:c r="S305" s="9" t="n">
        <x:f>H305*Y304*INDEX(tun_MortChild,G305)/4*Q305</x:f>
        <x:v>8.722463021354274</x:v>
      </x:c>
      <x:c r="T305" s="9" t="n">
        <x:f>H305*Z304*INDEX(tun_MortAdult,G305)*Arch_AdultMort/4*Q305</x:f>
        <x:v>2.087361510737933</x:v>
      </x:c>
      <x:c r="U305" s="9" t="n">
        <x:f>H305*AA304*INDEX(tun_MortElder,G305)/4*Q305</x:f>
        <x:v>2.811648168535452</x:v>
      </x:c>
      <x:c r="V305" s="9" t="n">
        <x:f>H305*MAX(0,AB304-O305)*tun_OvercapLoss</x:f>
        <x:v>0</x:v>
      </x:c>
      <x:c r="W305" s="9" t="n">
        <x:f>H305*Y304/(tun_ChildYears*4)</x:f>
        <x:v>21.48389906737506</x:v>
      </x:c>
      <x:c r="X305" s="9" t="n">
        <x:f>H305*Z304/(tun_AdultYears*4)</x:f>
        <x:v>6.4127849792255995</x:v>
      </x:c>
      <x:c r="Y305" s="32" t="n">
        <x:f>Y304+R305-S305-W305-Y304*V305/AB304</x:f>
        <x:v>1221.3212397900186</x:v>
      </x:c>
      <x:c r="Z305" s="32" t="n">
        <x:f>Z304+W305-X305-T305-Z304*V305/AB304</x:f>
        <x:v>808.1690900013859</x:v>
      </x:c>
      <x:c r="AA305" s="32" t="n">
        <x:f>AA304+X305-U305-AA304*V305/AB304</x:f>
        <x:v>224.12256179386287</x:v>
      </x:c>
      <x:c r="AB305" s="10" t="n">
        <x:f>Y305+Z305+AA305</x:f>
        <x:v>2253.6128915852673</x:v>
      </x:c>
      <x:c r="AC305" s="8" t="n">
        <x:f>IF(AND(tun_WinterTrigger=1,D305=1,AB304/AE304&gt;=K305),1,0)</x:f>
        <x:v>0</x:v>
      </x:c>
      <x:c r="AD305" s="8" t="n">
        <x:f>H305*IF(AND(OR(AB304/AE304&gt;=tun_FissionTrigger*N305,AC305=1),AB304/AE304*tun_DaughterShare&gt;=tun_MinDaughter),MAX(1,ROUND(AE304*tun_FissionRate,0)),0)</x:f>
        <x:v>0</x:v>
      </x:c>
      <x:c r="AE305" s="8" t="n">
        <x:f>IF(H305=1,MAX(1,MIN(INDEX(tun_Smax,G305),AE304+AD305)),AE304)</x:f>
        <x:v>5</x:v>
      </x:c>
      <x:c r="AF305" s="8" t="n">
        <x:f>MAX(0,AE305-AE304)</x:f>
        <x:v>0</x:v>
      </x:c>
      <x:c r="AG305" s="9" t="str">
        <x:f>IF(AF305&gt;0,B305,"")</x:f>
      </x:c>
      <x:c r="AH305" s="9" t="n">
        <x:f>IF(F305&gt;=1,1,(1+tun_LowTiesShare*(AE305-1))/AE305)</x:f>
        <x:v>1</x:v>
      </x:c>
      <x:c r="AI305" s="32" t="n">
        <x:f>(Z305+tun_ElderCommons*INDEX(LM_Elder,G305)*AA305)*AH305</x:f>
        <x:v>1559.899015195098</x:v>
      </x:c>
      <x:c r="AJ305" s="32" t="n">
        <x:f>H305*tun_CommonsCoef*AI305^tun_CommonsExp*INDEX(LM_Commons,G305)</x:f>
        <x:v>3301.0573786909</x:v>
      </x:c>
      <x:c r="AK305" s="32" t="n">
        <x:f>H305*tun_RoleScale*Arch_Roles*(AE305*(INDEX(tun_ElderRolePerSett,G305)*tun_OutElder*INDEX(LM_Elder,G305)+INDEX(tun_ShamanPerSett,G305)*tun_OutShaman)+Z305*(INDEX(tun_PriestShare,G305)*tun_OutPriest+INDEX(tun_ScribeShare,G305)*tun_OutScribe*INDEX(LM_Scribe,G305)+INDEX(tun_ScholarShare,G305)*tun_OutScholar*INDEX(LM_Scholar,G305)+INDEX(tun_ResearcherShare,G305)*tun_OutResearcher*INDEX(LM_Researcher,G305)))</x:f>
        <x:v>585.5586448824033</x:v>
      </x:c>
      <x:c r="AL305" s="32" t="n">
        <x:f>H305*tun_RoleScale*Arch_Roles*AE305*INDEX(tun_MonasteryPerSett,G305)*tun_OutMonastery*INDEX(LM_Monastery,G305)</x:f>
        <x:v>12.58570617804182</x:v>
      </x:c>
      <x:c r="AM305" s="32" t="n">
        <x:f>(AJ305+AK305+AL305)/4*INDEX(LM_All,G305)*INDEX(tun_Boon,G305)*Arch_Insight</x:f>
        <x:v>1405.0778935045091</x:v>
      </x:c>
      <x:c r="AN305" s="32" t="n">
        <x:f>H305*(tun_KHPerAdult*Z305+tun_KHOfCommons*AJ305/4*INDEX(LM_All,G305))*tun_KHUsable*Arch_KH</x:f>
        <x:v>257.5873475802406</x:v>
      </x:c>
      <x:c r="AO305" s="32" t="n">
        <x:f>MIN(AP304+AN305,AM305*tun_KHMaxRatio)</x:f>
        <x:v>257.5873475802406</x:v>
      </x:c>
      <x:c r="AP305" s="32" t="n">
        <x:f>AP304+AN305-AO305</x:f>
        <x:v>0</x:v>
      </x:c>
      <x:c r="AQ305" s="32" t="n">
        <x:f>AM305+AO305</x:f>
        <x:v>1662.6652410847496</x:v>
      </x:c>
      <x:c r="AR305" s="10" t="n">
        <x:f>IF(H305=1,INDEX(tun_Req,G305),0)</x:f>
        <x:v>88783.394528</x:v>
      </x:c>
      <x:c r="AS305" s="32" t="n">
        <x:f>IF(H305=1,IF(E305=1,AS304-AR304,AS304)+AQ305,0)</x:f>
        <x:v>72590.233613206</x:v>
      </x:c>
      <x:c r="AT305" s="11" t="n">
        <x:f>IF(AR305&gt;0,MIN(1,AS305/AR305),1)</x:f>
        <x:v>0.8176104777150969</x:v>
      </x:c>
      <x:c r="AU305" s="10" t="n">
        <x:f>AB305/INDEX(tun_RepScale,G305)</x:f>
        <x:v>450.7225783170535</x:v>
      </x:c>
      <x:c r="AV305" s="32" t="n">
        <x:f>AM305*60/tun_SeasonSeconds</x:f>
        <x:v>5620.3115740180365</x:v>
      </x:c>
    </x:row>
    <x:row r="306">
      <x:c r="A306" s="8" t="n">
        <x:f>A305+1</x:f>
        <x:v>303</x:v>
      </x:c>
      <x:c r="B306" s="9" t="n">
        <x:f>A306*tun_SeasonSeconds/60</x:f>
        <x:v>75.75</x:v>
      </x:c>
      <x:c r="C306" s="9" t="n">
        <x:f>A306/4</x:f>
        <x:v>75.75</x:v>
      </x:c>
      <x:c r="D306" s="8" t="n">
        <x:f>IF(MOD(A306,4)=0,1,0)</x:f>
        <x:v>0</x:v>
      </x:c>
      <x:c r="E306" s="8" t="n">
        <x:f>IF(AND(F305&lt;=9,AS305&gt;=AR305),1,0)</x:f>
        <x:v>0</x:v>
      </x:c>
      <x:c r="F306" s="8" t="n">
        <x:f>MIN(10,F305+E306)</x:f>
        <x:v>5</x:v>
      </x:c>
      <x:c r="G306" s="8" t="n">
        <x:f>MIN(F306,9)+1</x:f>
        <x:v>6</x:v>
      </x:c>
      <x:c r="H306" s="8" t="n">
        <x:f>IF(F306&lt;=9,1,0)</x:f>
        <x:v>1</x:v>
      </x:c>
      <x:c r="I306" s="9" t="n">
        <x:f>MIN(10,F305+IF(AR305&gt;0,MIN(1,AS305/AR305),1))</x:f>
        <x:v>5.817610477715097</x:v>
      </x:c>
      <x:c r="J306" s="32" t="n">
        <x:f>INDEX(tun_FoodCap,G306)*Arch_FoodCap*EXP(tun_CapsByProject*SUMPRODUCT((Cap_Point&lt;=I306)*(Cap_Kind="Food")*Cap_Ln))</x:f>
        <x:v>610.0101168966467</x:v>
      </x:c>
      <x:c r="K306" s="32" t="n">
        <x:f>J306*MIN(1,tun_LeanBase*EXP(tun_CapsByProject*SUMPRODUCT((Cap_Point&lt;=I306)*(Cap_Kind="Lean")*Cap_Ln)))</x:f>
        <x:v>610.0101168966467</x:v>
      </x:c>
      <x:c r="L306" s="10" t="n">
        <x:f>INDEX(tun_HousingCap,G306)*EXP(tun_CapsByProject*SUMPRODUCT((Cap_Point&lt;=I306)*(Cap_Kind="Housing")*Cap_Ln))</x:f>
        <x:v>2125.258900135082</x:v>
      </x:c>
      <x:c r="M306" s="10" t="n">
        <x:f>INDEX(tun_GroupCap,G306)*tun_CohesionFactor*EXP(tun_CapsByProject*SUMPRODUCT((Cap_Point&lt;=I306)*(Cap_Kind="Group")*Cap_Ln))</x:f>
        <x:v>50000.00000000004</x:v>
      </x:c>
      <x:c r="N306" s="32" t="n">
        <x:f>MIN(J306,L306,M306)</x:f>
        <x:v>610.0101168966467</x:v>
      </x:c>
      <x:c r="O306" s="10" t="n">
        <x:f>AE305*N306</x:f>
        <x:v>3050.0505844832333</x:v>
      </x:c>
      <x:c r="P306" s="9" t="n">
        <x:f>MIN(1,(AB305/(AE305*IF(tun_GroupInCrowding=1,N306,MIN(J306,L306))))^tun_CrowdingExp)</x:f>
        <x:v>0.16271727305675363</x:v>
      </x:c>
      <x:c r="Q306" s="9" t="n">
        <x:f>IF(D306=1,INDEX(tun_WinterMult,G306),1)</x:f>
        <x:v>1</x:v>
      </x:c>
      <x:c r="R306" s="9" t="n">
        <x:f>H306*Z305*tun_WomenShare*tun_BaseFertility*INDEX(tun_FertMult,G306)*Arch_Fertility*(1-P306)</x:f>
        <x:v>48.381620394793565</x:v>
      </x:c>
      <x:c r="S306" s="9" t="n">
        <x:f>H306*Y305*INDEX(tun_MortChild,G306)/4*Q306</x:f>
        <x:v>8.854578988477636</x:v>
      </x:c>
      <x:c r="T306" s="9" t="n">
        <x:f>H306*Z305*INDEX(tun_MortAdult,G306)*Arch_AdultMort/4*Q306</x:f>
        <x:v>2.1214438612536384</x:v>
      </x:c>
      <x:c r="U306" s="9" t="n">
        <x:f>H306*AA305*INDEX(tun_MortElder,G306)/4*Q306</x:f>
        <x:v>2.8575626628717514</x:v>
      </x:c>
      <x:c r="V306" s="9" t="n">
        <x:f>H306*MAX(0,AB305-O306)*tun_OvercapLoss</x:f>
        <x:v>0</x:v>
      </x:c>
      <x:c r="W306" s="9" t="n">
        <x:f>H306*Y305/(tun_ChildYears*4)</x:f>
        <x:v>21.80930785339319</x:v>
      </x:c>
      <x:c r="X306" s="9" t="n">
        <x:f>H306*Z305/(tun_AdultYears*4)</x:f>
        <x:v>6.5174926613015</x:v>
      </x:c>
      <x:c r="Y306" s="32" t="n">
        <x:f>Y305+R306-S306-W306-Y305*V306/AB305</x:f>
        <x:v>1239.0389733429413</x:v>
      </x:c>
      <x:c r="Z306" s="32" t="n">
        <x:f>Z305+W306-X306-T306-Z305*V306/AB305</x:f>
        <x:v>821.339461332224</x:v>
      </x:c>
      <x:c r="AA306" s="32" t="n">
        <x:f>AA305+X306-U306-AA305*V306/AB305</x:f>
        <x:v>227.78249179229263</x:v>
      </x:c>
      <x:c r="AB306" s="10" t="n">
        <x:f>Y306+Z306+AA306</x:f>
        <x:v>2288.160926467458</x:v>
      </x:c>
      <x:c r="AC306" s="8" t="n">
        <x:f>IF(AND(tun_WinterTrigger=1,D306=1,AB305/AE305&gt;=K306),1,0)</x:f>
        <x:v>0</x:v>
      </x:c>
      <x:c r="AD306" s="8" t="n">
        <x:f>H306*IF(AND(OR(AB305/AE305&gt;=tun_FissionTrigger*N306,AC306=1),AB305/AE305*tun_DaughterShare&gt;=tun_MinDaughter),MAX(1,ROUND(AE305*tun_FissionRate,0)),0)</x:f>
        <x:v>0</x:v>
      </x:c>
      <x:c r="AE306" s="8" t="n">
        <x:f>IF(H306=1,MAX(1,MIN(INDEX(tun_Smax,G306),AE305+AD306)),AE305)</x:f>
        <x:v>5</x:v>
      </x:c>
      <x:c r="AF306" s="8" t="n">
        <x:f>MAX(0,AE306-AE305)</x:f>
        <x:v>0</x:v>
      </x:c>
      <x:c r="AG306" s="9" t="str">
        <x:f>IF(AF306&gt;0,B306,"")</x:f>
      </x:c>
      <x:c r="AH306" s="9" t="n">
        <x:f>IF(F306&gt;=1,1,(1+tun_LowTiesShare*(AE306-1))/AE306)</x:f>
        <x:v>1</x:v>
      </x:c>
      <x:c r="AI306" s="32" t="n">
        <x:f>(Z306+tun_ElderCommons*INDEX(LM_Elder,G306)*AA306)*AH306</x:f>
        <x:v>1585.3451649300055</x:v>
      </x:c>
      <x:c r="AJ306" s="32" t="n">
        <x:f>H306*tun_CommonsCoef*AI306^tun_CommonsExp*INDEX(LM_Commons,G306)</x:f>
        <x:v>3346.77348432905</x:v>
      </x:c>
      <x:c r="AK306" s="32" t="n">
        <x:f>H306*tun_RoleScale*Arch_Roles*(AE306*(INDEX(tun_ElderRolePerSett,G306)*tun_OutElder*INDEX(LM_Elder,G306)+INDEX(tun_ShamanPerSett,G306)*tun_OutShaman)+Z306*(INDEX(tun_PriestShare,G306)*tun_OutPriest+INDEX(tun_ScribeShare,G306)*tun_OutScribe*INDEX(LM_Scribe,G306)+INDEX(tun_ScholarShare,G306)*tun_OutScholar*INDEX(LM_Scholar,G306)+INDEX(tun_ResearcherShare,G306)*tun_OutResearcher*INDEX(LM_Researcher,G306)))</x:f>
        <x:v>593.0302337075623</x:v>
      </x:c>
      <x:c r="AL306" s="32" t="n">
        <x:f>H306*tun_RoleScale*Arch_Roles*AE306*INDEX(tun_MonasteryPerSett,G306)*tun_OutMonastery*INDEX(LM_Monastery,G306)</x:f>
        <x:v>12.58570617804182</x:v>
      </x:c>
      <x:c r="AM306" s="32" t="n">
        <x:f>(AJ306+AK306+AL306)/4*INDEX(LM_All,G306)*INDEX(tun_Boon,G306)*Arch_Insight</x:f>
        <x:v>1424.2440867092998</x:v>
      </x:c>
      <x:c r="AN306" s="32" t="n">
        <x:f>H306*(tun_KHPerAdult*Z306+tun_KHOfCommons*AJ306/4*INDEX(LM_All,G306))*tun_KHUsable*Arch_KH</x:f>
        <x:v>261.1546561853698</x:v>
      </x:c>
      <x:c r="AO306" s="32" t="n">
        <x:f>MIN(AP305+AN306,AM306*tun_KHMaxRatio)</x:f>
        <x:v>261.1546561853698</x:v>
      </x:c>
      <x:c r="AP306" s="32" t="n">
        <x:f>AP305+AN306-AO306</x:f>
        <x:v>0</x:v>
      </x:c>
      <x:c r="AQ306" s="32" t="n">
        <x:f>AM306+AO306</x:f>
        <x:v>1685.3987428946696</x:v>
      </x:c>
      <x:c r="AR306" s="10" t="n">
        <x:f>IF(H306=1,INDEX(tun_Req,G306),0)</x:f>
        <x:v>88783.394528</x:v>
      </x:c>
      <x:c r="AS306" s="32" t="n">
        <x:f>IF(H306=1,IF(E306=1,AS305-AR305,AS305)+AQ306,0)</x:f>
        <x:v>74275.63235610067</x:v>
      </x:c>
      <x:c r="AT306" s="11" t="n">
        <x:f>IF(AR306&gt;0,MIN(1,AS306/AR306),1)</x:f>
        <x:v>0.8365937431315047</x:v>
      </x:c>
      <x:c r="AU306" s="10" t="n">
        <x:f>AB306/INDEX(tun_RepScale,G306)</x:f>
        <x:v>457.6321852934916</x:v>
      </x:c>
      <x:c r="AV306" s="32" t="n">
        <x:f>AM306*60/tun_SeasonSeconds</x:f>
        <x:v>5696.976346837199</x:v>
      </x:c>
    </x:row>
    <x:row r="307">
      <x:c r="A307" s="8" t="n">
        <x:f>A306+1</x:f>
        <x:v>304</x:v>
      </x:c>
      <x:c r="B307" s="9" t="n">
        <x:f>A307*tun_SeasonSeconds/60</x:f>
        <x:v>76</x:v>
      </x:c>
      <x:c r="C307" s="9" t="n">
        <x:f>A307/4</x:f>
        <x:v>76</x:v>
      </x:c>
      <x:c r="D307" s="8" t="n">
        <x:f>IF(MOD(A307,4)=0,1,0)</x:f>
        <x:v>1</x:v>
      </x:c>
      <x:c r="E307" s="8" t="n">
        <x:f>IF(AND(F306&lt;=9,AS306&gt;=AR306),1,0)</x:f>
        <x:v>0</x:v>
      </x:c>
      <x:c r="F307" s="8" t="n">
        <x:f>MIN(10,F306+E307)</x:f>
        <x:v>5</x:v>
      </x:c>
      <x:c r="G307" s="8" t="n">
        <x:f>MIN(F307,9)+1</x:f>
        <x:v>6</x:v>
      </x:c>
      <x:c r="H307" s="8" t="n">
        <x:f>IF(F307&lt;=9,1,0)</x:f>
        <x:v>1</x:v>
      </x:c>
      <x:c r="I307" s="9" t="n">
        <x:f>MIN(10,F306+IF(AR306&gt;0,MIN(1,AS306/AR306),1))</x:f>
        <x:v>5.8365937431315045</x:v>
      </x:c>
      <x:c r="J307" s="32" t="n">
        <x:f>INDEX(tun_FoodCap,G307)*Arch_FoodCap*EXP(tun_CapsByProject*SUMPRODUCT((Cap_Point&lt;=I307)*(Cap_Kind="Food")*Cap_Ln))</x:f>
        <x:v>610.0101168966467</x:v>
      </x:c>
      <x:c r="K307" s="32" t="n">
        <x:f>J307*MIN(1,tun_LeanBase*EXP(tun_CapsByProject*SUMPRODUCT((Cap_Point&lt;=I307)*(Cap_Kind="Lean")*Cap_Ln)))</x:f>
        <x:v>610.0101168966467</x:v>
      </x:c>
      <x:c r="L307" s="10" t="n">
        <x:f>INDEX(tun_HousingCap,G307)*EXP(tun_CapsByProject*SUMPRODUCT((Cap_Point&lt;=I307)*(Cap_Kind="Housing")*Cap_Ln))</x:f>
        <x:v>2125.258900135082</x:v>
      </x:c>
      <x:c r="M307" s="10" t="n">
        <x:f>INDEX(tun_GroupCap,G307)*tun_CohesionFactor*EXP(tun_CapsByProject*SUMPRODUCT((Cap_Point&lt;=I307)*(Cap_Kind="Group")*Cap_Ln))</x:f>
        <x:v>50000.00000000004</x:v>
      </x:c>
      <x:c r="N307" s="32" t="n">
        <x:f>MIN(J307,L307,M307)</x:f>
        <x:v>610.0101168966467</x:v>
      </x:c>
      <x:c r="O307" s="10" t="n">
        <x:f>AE306*N307</x:f>
        <x:v>3050.0505844832333</x:v>
      </x:c>
      <x:c r="P307" s="9" t="n">
        <x:f>MIN(1,(AB306/(AE306*IF(tun_GroupInCrowding=1,N307,MIN(J307,L307))))^tun_CrowdingExp)</x:f>
        <x:v>0.17826953772882126</x:v>
      </x:c>
      <x:c r="Q307" s="9" t="n">
        <x:f>IF(D307=1,INDEX(tun_WinterMult,G307),1)</x:f>
        <x:v>1.15</x:v>
      </x:c>
      <x:c r="R307" s="9" t="n">
        <x:f>H307*Z306*tun_WomenShare*tun_BaseFertility*INDEX(tun_FertMult,G307)*Arch_Fertility*(1-P307)</x:f>
        <x:v>48.256755349809396</x:v>
      </x:c>
      <x:c r="S307" s="9" t="n">
        <x:f>H307*Y306*INDEX(tun_MortChild,G307)/4*Q307</x:f>
        <x:v>10.330487440246772</x:v>
      </x:c>
      <x:c r="T307" s="9" t="n">
        <x:f>H307*Z306*INDEX(tun_MortAdult,G307)*Arch_AdultMort/4*Q307</x:f>
        <x:v>2.4794184988966514</x:v>
      </x:c>
      <x:c r="U307" s="9" t="n">
        <x:f>H307*AA306*INDEX(tun_MortElder,G307)/4*Q307</x:f>
        <x:v>3.33986078590449</x:v>
      </x:c>
      <x:c r="V307" s="9" t="n">
        <x:f>H307*MAX(0,AB306-O307)*tun_OvercapLoss</x:f>
        <x:v>0</x:v>
      </x:c>
      <x:c r="W307" s="9" t="n">
        <x:f>H307*Y306/(tun_ChildYears*4)</x:f>
        <x:v>22.125695952552523</x:v>
      </x:c>
      <x:c r="X307" s="9" t="n">
        <x:f>H307*Z306/(tun_AdultYears*4)</x:f>
        <x:v>6.623705333324387</x:v>
      </x:c>
      <x:c r="Y307" s="32" t="n">
        <x:f>Y306+R307-S307-W307-Y306*V307/AB306</x:f>
        <x:v>1254.8395452999514</x:v>
      </x:c>
      <x:c r="Z307" s="32" t="n">
        <x:f>Z306+W307-X307-T307-Z306*V307/AB306</x:f>
        <x:v>834.3620334525555</x:v>
      </x:c>
      <x:c r="AA307" s="32" t="n">
        <x:f>AA306+X307-U307-AA306*V307/AB306</x:f>
        <x:v>231.06633633971254</x:v>
      </x:c>
      <x:c r="AB307" s="10" t="n">
        <x:f>Y307+Z307+AA307</x:f>
        <x:v>2320.2679150922195</x:v>
      </x:c>
      <x:c r="AC307" s="8" t="n">
        <x:f>IF(AND(tun_WinterTrigger=1,D307=1,AB306/AE306&gt;=K307),1,0)</x:f>
        <x:v>0</x:v>
      </x:c>
      <x:c r="AD307" s="8" t="n">
        <x:f>H307*IF(AND(OR(AB306/AE306&gt;=tun_FissionTrigger*N307,AC307=1),AB306/AE306*tun_DaughterShare&gt;=tun_MinDaughter),MAX(1,ROUND(AE306*tun_FissionRate,0)),0)</x:f>
        <x:v>0</x:v>
      </x:c>
      <x:c r="AE307" s="8" t="n">
        <x:f>IF(H307=1,MAX(1,MIN(INDEX(tun_Smax,G307),AE306+AD307)),AE306)</x:f>
        <x:v>5</x:v>
      </x:c>
      <x:c r="AF307" s="8" t="n">
        <x:f>MAX(0,AE307-AE306)</x:f>
        <x:v>0</x:v>
      </x:c>
      <x:c r="AG307" s="9" t="str">
        <x:f>IF(AF307&gt;0,B307,"")</x:f>
      </x:c>
      <x:c r="AH307" s="9" t="n">
        <x:f>IF(F307&gt;=1,1,(1+tun_LowTiesShare*(AE307-1))/AE307)</x:f>
        <x:v>1</x:v>
      </x:c>
      <x:c r="AI307" s="32" t="n">
        <x:f>(Z307+tun_ElderCommons*INDEX(LM_Elder,G307)*AA307)*AH307</x:f>
        <x:v>1609.3820865036962</x:v>
      </x:c>
      <x:c r="AJ307" s="32" t="n">
        <x:f>H307*tun_CommonsCoef*AI307^tun_CommonsExp*INDEX(LM_Commons,G307)</x:f>
        <x:v>3389.8567854547937</x:v>
      </x:c>
      <x:c r="AK307" s="32" t="n">
        <x:f>H307*tun_RoleScale*Arch_Roles*(AE307*(INDEX(tun_ElderRolePerSett,G307)*tun_OutElder*INDEX(LM_Elder,G307)+INDEX(tun_ShamanPerSett,G307)*tun_OutShaman)+Z307*(INDEX(tun_PriestShare,G307)*tun_OutPriest+INDEX(tun_ScribeShare,G307)*tun_OutScribe*INDEX(LM_Scribe,G307)+INDEX(tun_ScholarShare,G307)*tun_OutScholar*INDEX(LM_Scholar,G307)+INDEX(tun_ResearcherShare,G307)*tun_OutResearcher*INDEX(LM_Researcher,G307)))</x:f>
        <x:v>600.4179756234847</x:v>
      </x:c>
      <x:c r="AL307" s="32" t="n">
        <x:f>H307*tun_RoleScale*Arch_Roles*AE307*INDEX(tun_MonasteryPerSett,G307)*tun_OutMonastery*INDEX(LM_Monastery,G307)</x:f>
        <x:v>12.58570617804182</x:v>
      </x:c>
      <x:c r="AM307" s="32" t="n">
        <x:f>(AJ307+AK307+AL307)/4*INDEX(LM_All,G307)*INDEX(tun_Boon,G307)*Arch_Insight</x:f>
        <x:v>1442.431334190974</x:v>
      </x:c>
      <x:c r="AN307" s="32" t="n">
        <x:f>H307*(tun_KHPerAdult*Z307+tun_KHOfCommons*AJ307/4*INDEX(LM_All,G307))*tun_KHUsable*Arch_KH</x:f>
        <x:v>264.5165223963661</x:v>
      </x:c>
      <x:c r="AO307" s="32" t="n">
        <x:f>MIN(AP306+AN307,AM307*tun_KHMaxRatio)</x:f>
        <x:v>264.5165223963661</x:v>
      </x:c>
      <x:c r="AP307" s="32" t="n">
        <x:f>AP306+AN307-AO307</x:f>
        <x:v>0</x:v>
      </x:c>
      <x:c r="AQ307" s="32" t="n">
        <x:f>AM307+AO307</x:f>
        <x:v>1706.94785658734</x:v>
      </x:c>
      <x:c r="AR307" s="10" t="n">
        <x:f>IF(H307=1,INDEX(tun_Req,G307),0)</x:f>
        <x:v>88783.394528</x:v>
      </x:c>
      <x:c r="AS307" s="32" t="n">
        <x:f>IF(H307=1,IF(E307=1,AS306-AR306,AS306)+AQ307,0)</x:f>
        <x:v>75982.58021268802</x:v>
      </x:c>
      <x:c r="AT307" s="11" t="n">
        <x:f>IF(AR307&gt;0,MIN(1,AS307/AR307),1)</x:f>
        <x:v>0.8558197241346192</x:v>
      </x:c>
      <x:c r="AU307" s="10" t="n">
        <x:f>AB307/INDEX(tun_RepScale,G307)</x:f>
        <x:v>464.0535830184439</x:v>
      </x:c>
      <x:c r="AV307" s="32" t="n">
        <x:f>AM307*60/tun_SeasonSeconds</x:f>
        <x:v>5769.725336763896</x:v>
      </x:c>
    </x:row>
    <x:row r="308">
      <x:c r="A308" s="8" t="n">
        <x:f>A307+1</x:f>
        <x:v>305</x:v>
      </x:c>
      <x:c r="B308" s="9" t="n">
        <x:f>A308*tun_SeasonSeconds/60</x:f>
        <x:v>76.25</x:v>
      </x:c>
      <x:c r="C308" s="9" t="n">
        <x:f>A308/4</x:f>
        <x:v>76.25</x:v>
      </x:c>
      <x:c r="D308" s="8" t="n">
        <x:f>IF(MOD(A308,4)=0,1,0)</x:f>
        <x:v>0</x:v>
      </x:c>
      <x:c r="E308" s="8" t="n">
        <x:f>IF(AND(F307&lt;=9,AS307&gt;=AR307),1,0)</x:f>
        <x:v>0</x:v>
      </x:c>
      <x:c r="F308" s="8" t="n">
        <x:f>MIN(10,F307+E308)</x:f>
        <x:v>5</x:v>
      </x:c>
      <x:c r="G308" s="8" t="n">
        <x:f>MIN(F308,9)+1</x:f>
        <x:v>6</x:v>
      </x:c>
      <x:c r="H308" s="8" t="n">
        <x:f>IF(F308&lt;=9,1,0)</x:f>
        <x:v>1</x:v>
      </x:c>
      <x:c r="I308" s="9" t="n">
        <x:f>MIN(10,F307+IF(AR307&gt;0,MIN(1,AS307/AR307),1))</x:f>
        <x:v>5.855819724134619</x:v>
      </x:c>
      <x:c r="J308" s="32" t="n">
        <x:f>INDEX(tun_FoodCap,G308)*Arch_FoodCap*EXP(tun_CapsByProject*SUMPRODUCT((Cap_Point&lt;=I308)*(Cap_Kind="Food")*Cap_Ln))</x:f>
        <x:v>610.0101168966467</x:v>
      </x:c>
      <x:c r="K308" s="32" t="n">
        <x:f>J308*MIN(1,tun_LeanBase*EXP(tun_CapsByProject*SUMPRODUCT((Cap_Point&lt;=I308)*(Cap_Kind="Lean")*Cap_Ln)))</x:f>
        <x:v>610.0101168966467</x:v>
      </x:c>
      <x:c r="L308" s="10" t="n">
        <x:f>INDEX(tun_HousingCap,G308)*EXP(tun_CapsByProject*SUMPRODUCT((Cap_Point&lt;=I308)*(Cap_Kind="Housing")*Cap_Ln))</x:f>
        <x:v>2125.258900135082</x:v>
      </x:c>
      <x:c r="M308" s="10" t="n">
        <x:f>INDEX(tun_GroupCap,G308)*tun_CohesionFactor*EXP(tun_CapsByProject*SUMPRODUCT((Cap_Point&lt;=I308)*(Cap_Kind="Group")*Cap_Ln))</x:f>
        <x:v>50000.00000000004</x:v>
      </x:c>
      <x:c r="N308" s="32" t="n">
        <x:f>MIN(J308,L308,M308)</x:f>
        <x:v>610.0101168966467</x:v>
      </x:c>
      <x:c r="O308" s="10" t="n">
        <x:f>AE307*N308</x:f>
        <x:v>3050.0505844832333</x:v>
      </x:c>
      <x:c r="P308" s="9" t="n">
        <x:f>MIN(1,(AB307/(AE307*IF(tun_GroupInCrowding=1,N308,MIN(J308,L308))))^tun_CrowdingExp)</x:f>
        <x:v>0.19381462937074614</x:v>
      </x:c>
      <x:c r="Q308" s="9" t="n">
        <x:f>IF(D308=1,INDEX(tun_WinterMult,G308),1)</x:f>
        <x:v>1</x:v>
      </x:c>
      <x:c r="R308" s="9" t="n">
        <x:f>H308*Z307*tun_WomenShare*tun_BaseFertility*INDEX(tun_FertMult,G308)*Arch_Fertility*(1-P308)</x:f>
        <x:v>48.09450826022174</x:v>
      </x:c>
      <x:c r="S308" s="9" t="n">
        <x:f>H308*Y307*INDEX(tun_MortChild,G308)/4*Q308</x:f>
        <x:v>9.097586703424648</x:v>
      </x:c>
      <x:c r="T308" s="9" t="n">
        <x:f>H308*Z307*INDEX(tun_MortAdult,G308)*Arch_AdultMort/4*Q308</x:f>
        <x:v>2.1902003378129584</x:v>
      </x:c>
      <x:c r="U308" s="9" t="n">
        <x:f>H308*AA307*INDEX(tun_MortElder,G308)/4*Q308</x:f>
        <x:v>2.9460957883313346</x:v>
      </x:c>
      <x:c r="V308" s="9" t="n">
        <x:f>H308*MAX(0,AB307-O308)*tun_OvercapLoss</x:f>
        <x:v>0</x:v>
      </x:c>
      <x:c r="W308" s="9" t="n">
        <x:f>H308*Y307/(tun_ChildYears*4)</x:f>
        <x:v>22.40784902321342</x:v>
      </x:c>
      <x:c r="X308" s="9" t="n">
        <x:f>H308*Z307/(tun_AdultYears*4)</x:f>
        <x:v>6.728726076230286</x:v>
      </x:c>
      <x:c r="Y308" s="32" t="n">
        <x:f>Y307+R308-S308-W308-Y307*V308/AB307</x:f>
        <x:v>1271.428617833535</x:v>
      </x:c>
      <x:c r="Z308" s="32" t="n">
        <x:f>Z307+W308-X308-T308-Z307*V308/AB307</x:f>
        <x:v>847.8509560617257</x:v>
      </x:c>
      <x:c r="AA308" s="32" t="n">
        <x:f>AA307+X308-U308-AA307*V308/AB307</x:f>
        <x:v>234.84896662761147</x:v>
      </x:c>
      <x:c r="AB308" s="10" t="n">
        <x:f>Y308+Z308+AA308</x:f>
        <x:v>2354.1285405228723</x:v>
      </x:c>
      <x:c r="AC308" s="8" t="n">
        <x:f>IF(AND(tun_WinterTrigger=1,D308=1,AB307/AE307&gt;=K308),1,0)</x:f>
        <x:v>0</x:v>
      </x:c>
      <x:c r="AD308" s="8" t="n">
        <x:f>H308*IF(AND(OR(AB307/AE307&gt;=tun_FissionTrigger*N308,AC308=1),AB307/AE307*tun_DaughterShare&gt;=tun_MinDaughter),MAX(1,ROUND(AE307*tun_FissionRate,0)),0)</x:f>
        <x:v>0</x:v>
      </x:c>
      <x:c r="AE308" s="8" t="n">
        <x:f>IF(H308=1,MAX(1,MIN(INDEX(tun_Smax,G308),AE307+AD308)),AE307)</x:f>
        <x:v>5</x:v>
      </x:c>
      <x:c r="AF308" s="8" t="n">
        <x:f>MAX(0,AE308-AE307)</x:f>
        <x:v>0</x:v>
      </x:c>
      <x:c r="AG308" s="9" t="str">
        <x:f>IF(AF308&gt;0,B308,"")</x:f>
      </x:c>
      <x:c r="AH308" s="9" t="n">
        <x:f>IF(F308&gt;=1,1,(1+tun_LowTiesShare*(AE308-1))/AE308)</x:f>
        <x:v>1</x:v>
      </x:c>
      <x:c r="AI308" s="32" t="n">
        <x:f>(Z308+tun_ElderCommons*INDEX(LM_Elder,G308)*AA308)*AH308</x:f>
        <x:v>1635.558336799104</x:v>
      </x:c>
      <x:c r="AJ308" s="32" t="n">
        <x:f>H308*tun_CommonsCoef*AI308^tun_CommonsExp*INDEX(LM_Commons,G308)</x:f>
        <x:v>3436.664962213015</x:v>
      </x:c>
      <x:c r="AK308" s="32" t="n">
        <x:f>H308*tun_RoleScale*Arch_Roles*(AE308*(INDEX(tun_ElderRolePerSett,G308)*tun_OutElder*INDEX(LM_Elder,G308)+INDEX(tun_ShamanPerSett,G308)*tun_OutShaman)+Z308*(INDEX(tun_PriestShare,G308)*tun_OutPriest+INDEX(tun_ScribeShare,G308)*tun_OutScribe*INDEX(LM_Scribe,G308)+INDEX(tun_ScholarShare,G308)*tun_OutScholar*INDEX(LM_Scholar,G308)+INDEX(tun_ResearcherShare,G308)*tun_OutResearcher*INDEX(LM_Researcher,G308)))</x:f>
        <x:v>608.0702794878509</x:v>
      </x:c>
      <x:c r="AL308" s="32" t="n">
        <x:f>H308*tun_RoleScale*Arch_Roles*AE308*INDEX(tun_MonasteryPerSett,G308)*tun_OutMonastery*INDEX(LM_Monastery,G308)</x:f>
        <x:v>12.58570617804182</x:v>
      </x:c>
      <x:c r="AM308" s="32" t="n">
        <x:f>(AJ308+AK308+AL308)/4*INDEX(LM_All,G308)*INDEX(tun_Boon,G308)*Arch_Insight</x:f>
        <x:v>1462.056176067854</x:v>
      </x:c>
      <x:c r="AN308" s="32" t="n">
        <x:f>H308*(tun_KHPerAdult*Z308+tun_KHOfCommons*AJ308/4*INDEX(LM_All,G308))*tun_KHUsable*Arch_KH</x:f>
        <x:v>268.16904724311655</x:v>
      </x:c>
      <x:c r="AO308" s="32" t="n">
        <x:f>MIN(AP307+AN308,AM308*tun_KHMaxRatio)</x:f>
        <x:v>268.16904724311655</x:v>
      </x:c>
      <x:c r="AP308" s="32" t="n">
        <x:f>AP307+AN308-AO308</x:f>
        <x:v>0</x:v>
      </x:c>
      <x:c r="AQ308" s="32" t="n">
        <x:f>AM308+AO308</x:f>
        <x:v>1730.2252233109707</x:v>
      </x:c>
      <x:c r="AR308" s="10" t="n">
        <x:f>IF(H308=1,INDEX(tun_Req,G308),0)</x:f>
        <x:v>88783.394528</x:v>
      </x:c>
      <x:c r="AS308" s="32" t="n">
        <x:f>IF(H308=1,IF(E308=1,AS307-AR307,AS307)+AQ308,0)</x:f>
        <x:v>77712.80543599899</x:v>
      </x:c>
      <x:c r="AT308" s="11" t="n">
        <x:f>IF(AR308&gt;0,MIN(1,AS308/AR308),1)</x:f>
        <x:v>0.8753078866734518</x:v>
      </x:c>
      <x:c r="AU308" s="10" t="n">
        <x:f>AB308/INDEX(tun_RepScale,G308)</x:f>
        <x:v>470.82570810457446</x:v>
      </x:c>
      <x:c r="AV308" s="32" t="n">
        <x:f>AM308*60/tun_SeasonSeconds</x:f>
        <x:v>5848.224704271416</x:v>
      </x:c>
    </x:row>
    <x:row r="309">
      <x:c r="A309" s="8" t="n">
        <x:f>A308+1</x:f>
        <x:v>306</x:v>
      </x:c>
      <x:c r="B309" s="9" t="n">
        <x:f>A309*tun_SeasonSeconds/60</x:f>
        <x:v>76.5</x:v>
      </x:c>
      <x:c r="C309" s="9" t="n">
        <x:f>A309/4</x:f>
        <x:v>76.5</x:v>
      </x:c>
      <x:c r="D309" s="8" t="n">
        <x:f>IF(MOD(A309,4)=0,1,0)</x:f>
        <x:v>0</x:v>
      </x:c>
      <x:c r="E309" s="8" t="n">
        <x:f>IF(AND(F308&lt;=9,AS308&gt;=AR308),1,0)</x:f>
        <x:v>0</x:v>
      </x:c>
      <x:c r="F309" s="8" t="n">
        <x:f>MIN(10,F308+E309)</x:f>
        <x:v>5</x:v>
      </x:c>
      <x:c r="G309" s="8" t="n">
        <x:f>MIN(F309,9)+1</x:f>
        <x:v>6</x:v>
      </x:c>
      <x:c r="H309" s="8" t="n">
        <x:f>IF(F309&lt;=9,1,0)</x:f>
        <x:v>1</x:v>
      </x:c>
      <x:c r="I309" s="9" t="n">
        <x:f>MIN(10,F308+IF(AR308&gt;0,MIN(1,AS308/AR308),1))</x:f>
        <x:v>5.875307886673452</x:v>
      </x:c>
      <x:c r="J309" s="32" t="n">
        <x:f>INDEX(tun_FoodCap,G309)*Arch_FoodCap*EXP(tun_CapsByProject*SUMPRODUCT((Cap_Point&lt;=I309)*(Cap_Kind="Food")*Cap_Ln))</x:f>
        <x:v>610.0101168966467</x:v>
      </x:c>
      <x:c r="K309" s="32" t="n">
        <x:f>J309*MIN(1,tun_LeanBase*EXP(tun_CapsByProject*SUMPRODUCT((Cap_Point&lt;=I309)*(Cap_Kind="Lean")*Cap_Ln)))</x:f>
        <x:v>610.0101168966467</x:v>
      </x:c>
      <x:c r="L309" s="10" t="n">
        <x:f>INDEX(tun_HousingCap,G309)*EXP(tun_CapsByProject*SUMPRODUCT((Cap_Point&lt;=I309)*(Cap_Kind="Housing")*Cap_Ln))</x:f>
        <x:v>2125.258900135082</x:v>
      </x:c>
      <x:c r="M309" s="10" t="n">
        <x:f>INDEX(tun_GroupCap,G309)*tun_CohesionFactor*EXP(tun_CapsByProject*SUMPRODUCT((Cap_Point&lt;=I309)*(Cap_Kind="Group")*Cap_Ln))</x:f>
        <x:v>50000.00000000004</x:v>
      </x:c>
      <x:c r="N309" s="32" t="n">
        <x:f>MIN(J309,L309,M309)</x:f>
        <x:v>610.0101168966467</x:v>
      </x:c>
      <x:c r="O309" s="10" t="n">
        <x:f>AE308*N309</x:f>
        <x:v>3050.0505844832333</x:v>
      </x:c>
      <x:c r="P309" s="9" t="n">
        <x:f>MIN(1,(AB308/(AE308*IF(tun_GroupInCrowding=1,N309,MIN(J309,L309))))^tun_CrowdingExp)</x:f>
        <x:v>0.21141645330600187</x:v>
      </x:c>
      <x:c r="Q309" s="9" t="n">
        <x:f>IF(D309=1,INDEX(tun_WinterMult,G309),1)</x:f>
        <x:v>1</x:v>
      </x:c>
      <x:c r="R309" s="9" t="n">
        <x:f>H309*Z308*tun_WomenShare*tun_BaseFertility*INDEX(tun_FertMult,G309)*Arch_Fertility*(1-P309)</x:f>
        <x:v>47.80499395093228</x:v>
      </x:c>
      <x:c r="S309" s="9" t="n">
        <x:f>H309*Y308*INDEX(tun_MortChild,G309)/4*Q309</x:f>
        <x:v>9.21785747929313</x:v>
      </x:c>
      <x:c r="T309" s="9" t="n">
        <x:f>H309*Z308*INDEX(tun_MortAdult,G309)*Arch_AdultMort/4*Q309</x:f>
        <x:v>2.22560875966203</x:v>
      </x:c>
      <x:c r="U309" s="9" t="n">
        <x:f>H309*AA308*INDEX(tun_MortElder,G309)/4*Q309</x:f>
        <x:v>2.9943243245020463</x:v>
      </x:c>
      <x:c r="V309" s="9" t="n">
        <x:f>H309*MAX(0,AB308-O309)*tun_OvercapLoss</x:f>
        <x:v>0</x:v>
      </x:c>
      <x:c r="W309" s="9" t="n">
        <x:f>H309*Y308/(tun_ChildYears*4)</x:f>
        <x:v>22.704082461313128</x:v>
      </x:c>
      <x:c r="X309" s="9" t="n">
        <x:f>H309*Z308/(tun_AdultYears*4)</x:f>
        <x:v>6.837507710175207</x:v>
      </x:c>
      <x:c r="Y309" s="32" t="n">
        <x:f>Y308+R309-S309-W309-Y308*V309/AB308</x:f>
        <x:v>1287.3116718438612</x:v>
      </x:c>
      <x:c r="Z309" s="32" t="n">
        <x:f>Z308+W309-X309-T309-Z308*V309/AB308</x:f>
        <x:v>861.4919220532015</x:v>
      </x:c>
      <x:c r="AA309" s="32" t="n">
        <x:f>AA308+X309-U309-AA308*V309/AB308</x:f>
        <x:v>238.69215001328462</x:v>
      </x:c>
      <x:c r="AB309" s="10" t="n">
        <x:f>Y309+Z309+AA309</x:f>
        <x:v>2387.4957439103473</x:v>
      </x:c>
      <x:c r="AC309" s="8" t="n">
        <x:f>IF(AND(tun_WinterTrigger=1,D309=1,AB308/AE308&gt;=K309),1,0)</x:f>
        <x:v>0</x:v>
      </x:c>
      <x:c r="AD309" s="8" t="n">
        <x:f>H309*IF(AND(OR(AB308/AE308&gt;=tun_FissionTrigger*N309,AC309=1),AB308/AE308*tun_DaughterShare&gt;=tun_MinDaughter),MAX(1,ROUND(AE308*tun_FissionRate,0)),0)</x:f>
        <x:v>0</x:v>
      </x:c>
      <x:c r="AE309" s="8" t="n">
        <x:f>IF(H309=1,MAX(1,MIN(INDEX(tun_Smax,G309),AE308+AD309)),AE308)</x:f>
        <x:v>5</x:v>
      </x:c>
      <x:c r="AF309" s="8" t="n">
        <x:f>MAX(0,AE309-AE308)</x:f>
        <x:v>0</x:v>
      </x:c>
      <x:c r="AG309" s="9" t="str">
        <x:f>IF(AF309&gt;0,B309,"")</x:f>
      </x:c>
      <x:c r="AH309" s="9" t="n">
        <x:f>IF(F309&gt;=1,1,(1+tun_LowTiesShare*(AE309-1))/AE309)</x:f>
        <x:v>1</x:v>
      </x:c>
      <x:c r="AI309" s="32" t="n">
        <x:f>(Z309+tun_ElderCommons*INDEX(LM_Elder,G309)*AA309)*AH309</x:f>
        <x:v>1662.089731741124</x:v>
      </x:c>
      <x:c r="AJ309" s="32" t="n">
        <x:f>H309*tun_CommonsCoef*AI309^tun_CommonsExp*INDEX(LM_Commons,G309)</x:f>
        <x:v>3483.993679469979</x:v>
      </x:c>
      <x:c r="AK309" s="32" t="n">
        <x:f>H309*tun_RoleScale*Arch_Roles*(AE309*(INDEX(tun_ElderRolePerSett,G309)*tun_OutElder*INDEX(LM_Elder,G309)+INDEX(tun_ShamanPerSett,G309)*tun_OutShaman)+Z309*(INDEX(tun_PriestShare,G309)*tun_OutPriest+INDEX(tun_ScribeShare,G309)*tun_OutScribe*INDEX(LM_Scribe,G309)+INDEX(tun_ScholarShare,G309)*tun_OutScholar*INDEX(LM_Scholar,G309)+INDEX(tun_ResearcherShare,G309)*tun_OutResearcher*INDEX(LM_Researcher,G309)))</x:f>
        <x:v>615.8088379920931</x:v>
      </x:c>
      <x:c r="AL309" s="32" t="n">
        <x:f>H309*tun_RoleScale*Arch_Roles*AE309*INDEX(tun_MonasteryPerSett,G309)*tun_OutMonastery*INDEX(LM_Monastery,G309)</x:f>
        <x:v>12.58570617804182</x:v>
      </x:c>
      <x:c r="AM309" s="32" t="n">
        <x:f>(AJ309+AK309+AL309)/4*INDEX(LM_All,G309)*INDEX(tun_Boon,G309)*Arch_Insight</x:f>
        <x:v>1481.899676658556</x:v>
      </x:c>
      <x:c r="AN309" s="32" t="n">
        <x:f>H309*(tun_KHPerAdult*Z309+tun_KHOfCommons*AJ309/4*INDEX(LM_All,G309))*tun_KHUsable*Arch_KH</x:f>
        <x:v>271.8621907859383</x:v>
      </x:c>
      <x:c r="AO309" s="32" t="n">
        <x:f>MIN(AP308+AN309,AM309*tun_KHMaxRatio)</x:f>
        <x:v>271.8621907859383</x:v>
      </x:c>
      <x:c r="AP309" s="32" t="n">
        <x:f>AP308+AN309-AO309</x:f>
        <x:v>0</x:v>
      </x:c>
      <x:c r="AQ309" s="32" t="n">
        <x:f>AM309+AO309</x:f>
        <x:v>1753.7618674444943</x:v>
      </x:c>
      <x:c r="AR309" s="10" t="n">
        <x:f>IF(H309=1,INDEX(tun_Req,G309),0)</x:f>
        <x:v>88783.394528</x:v>
      </x:c>
      <x:c r="AS309" s="32" t="n">
        <x:f>IF(H309=1,IF(E309=1,AS308-AR308,AS308)+AQ309,0)</x:f>
        <x:v>79466.56730344349</x:v>
      </x:c>
      <x:c r="AT309" s="11" t="n">
        <x:f>IF(AR309&gt;0,MIN(1,AS309/AR309),1)</x:f>
        <x:v>0.8950611510847535</x:v>
      </x:c>
      <x:c r="AU309" s="10" t="n">
        <x:f>AB309/INDEX(tun_RepScale,G309)</x:f>
        <x:v>477.4991487820695</x:v>
      </x:c>
      <x:c r="AV309" s="32" t="n">
        <x:f>AM309*60/tun_SeasonSeconds</x:f>
        <x:v>5927.598706634224</x:v>
      </x:c>
    </x:row>
    <x:row r="310">
      <x:c r="A310" s="8" t="n">
        <x:f>A309+1</x:f>
        <x:v>307</x:v>
      </x:c>
      <x:c r="B310" s="9" t="n">
        <x:f>A310*tun_SeasonSeconds/60</x:f>
        <x:v>76.75</x:v>
      </x:c>
      <x:c r="C310" s="9" t="n">
        <x:f>A310/4</x:f>
        <x:v>76.75</x:v>
      </x:c>
      <x:c r="D310" s="8" t="n">
        <x:f>IF(MOD(A310,4)=0,1,0)</x:f>
        <x:v>0</x:v>
      </x:c>
      <x:c r="E310" s="8" t="n">
        <x:f>IF(AND(F309&lt;=9,AS309&gt;=AR309),1,0)</x:f>
        <x:v>0</x:v>
      </x:c>
      <x:c r="F310" s="8" t="n">
        <x:f>MIN(10,F309+E310)</x:f>
        <x:v>5</x:v>
      </x:c>
      <x:c r="G310" s="8" t="n">
        <x:f>MIN(F310,9)+1</x:f>
        <x:v>6</x:v>
      </x:c>
      <x:c r="H310" s="8" t="n">
        <x:f>IF(F310&lt;=9,1,0)</x:f>
        <x:v>1</x:v>
      </x:c>
      <x:c r="I310" s="9" t="n">
        <x:f>MIN(10,F309+IF(AR309&gt;0,MIN(1,AS309/AR309),1))</x:f>
        <x:v>5.895061151084754</x:v>
      </x:c>
      <x:c r="J310" s="32" t="n">
        <x:f>INDEX(tun_FoodCap,G310)*Arch_FoodCap*EXP(tun_CapsByProject*SUMPRODUCT((Cap_Point&lt;=I310)*(Cap_Kind="Food")*Cap_Ln))</x:f>
        <x:v>610.0101168966467</x:v>
      </x:c>
      <x:c r="K310" s="32" t="n">
        <x:f>J310*MIN(1,tun_LeanBase*EXP(tun_CapsByProject*SUMPRODUCT((Cap_Point&lt;=I310)*(Cap_Kind="Lean")*Cap_Ln)))</x:f>
        <x:v>610.0101168966467</x:v>
      </x:c>
      <x:c r="L310" s="10" t="n">
        <x:f>INDEX(tun_HousingCap,G310)*EXP(tun_CapsByProject*SUMPRODUCT((Cap_Point&lt;=I310)*(Cap_Kind="Housing")*Cap_Ln))</x:f>
        <x:v>2125.258900135082</x:v>
      </x:c>
      <x:c r="M310" s="10" t="n">
        <x:f>INDEX(tun_GroupCap,G310)*tun_CohesionFactor*EXP(tun_CapsByProject*SUMPRODUCT((Cap_Point&lt;=I310)*(Cap_Kind="Group")*Cap_Ln))</x:f>
        <x:v>50000.00000000004</x:v>
      </x:c>
      <x:c r="N310" s="32" t="n">
        <x:f>MIN(J310,L310,M310)</x:f>
        <x:v>610.0101168966467</x:v>
      </x:c>
      <x:c r="O310" s="10" t="n">
        <x:f>AE309*N310</x:f>
        <x:v>3050.0505844832333</x:v>
      </x:c>
      <x:c r="P310" s="9" t="n">
        <x:f>MIN(1,(AB309/(AE309*IF(tun_GroupInCrowding=1,N310,MIN(J310,L310))))^tun_CrowdingExp)</x:f>
        <x:v>0.2300453100934404</x:v>
      </x:c>
      <x:c r="Q310" s="9" t="n">
        <x:f>IF(D310=1,INDEX(tun_WinterMult,G310),1)</x:f>
        <x:v>1</x:v>
      </x:c>
      <x:c r="R310" s="9" t="n">
        <x:f>H310*Z309*tun_WomenShare*tun_BaseFertility*INDEX(tun_FertMult,G310)*Arch_Fertility*(1-P310)</x:f>
        <x:v>47.42664681765574</x:v>
      </x:c>
      <x:c r="S310" s="9" t="n">
        <x:f>H310*Y309*INDEX(tun_MortChild,G310)/4*Q310</x:f>
        <x:v>9.333009620867994</x:v>
      </x:c>
      <x:c r="T310" s="9" t="n">
        <x:f>H310*Z309*INDEX(tun_MortAdult,G310)*Arch_AdultMort/4*Q310</x:f>
        <x:v>2.261416295389654</x:v>
      </x:c>
      <x:c r="U310" s="9" t="n">
        <x:f>H310*AA309*INDEX(tun_MortElder,G310)/4*Q310</x:f>
        <x:v>3.043324912669379</x:v>
      </x:c>
      <x:c r="V310" s="9" t="n">
        <x:f>H310*MAX(0,AB309-O310)*tun_OvercapLoss</x:f>
        <x:v>0</x:v>
      </x:c>
      <x:c r="W310" s="9" t="n">
        <x:f>H310*Y309/(tun_ChildYears*4)</x:f>
        <x:v>22.987708425783236</x:v>
      </x:c>
      <x:c r="X310" s="9" t="n">
        <x:f>H310*Z309/(tun_AdultYears*4)</x:f>
        <x:v>6.947515500429044</x:v>
      </x:c>
      <x:c r="Y310" s="32" t="n">
        <x:f>Y309+R310-S310-W310-Y309*V310/AB309</x:f>
        <x:v>1302.4176006148655</x:v>
      </x:c>
      <x:c r="Z310" s="32" t="n">
        <x:f>Z309+W310-X310-T310-Z309*V310/AB309</x:f>
        <x:v>875.2706986831661</x:v>
      </x:c>
      <x:c r="AA310" s="32" t="n">
        <x:f>AA309+X310-U310-AA309*V310/AB309</x:f>
        <x:v>242.59634060104426</x:v>
      </x:c>
      <x:c r="AB310" s="10" t="n">
        <x:f>Y310+Z310+AA310</x:f>
        <x:v>2420.284639899076</x:v>
      </x:c>
      <x:c r="AC310" s="8" t="n">
        <x:f>IF(AND(tun_WinterTrigger=1,D310=1,AB309/AE309&gt;=K310),1,0)</x:f>
        <x:v>0</x:v>
      </x:c>
      <x:c r="AD310" s="8" t="n">
        <x:f>H310*IF(AND(OR(AB309/AE309&gt;=tun_FissionTrigger*N310,AC310=1),AB309/AE309*tun_DaughterShare&gt;=tun_MinDaughter),MAX(1,ROUND(AE309*tun_FissionRate,0)),0)</x:f>
        <x:v>0</x:v>
      </x:c>
      <x:c r="AE310" s="8" t="n">
        <x:f>IF(H310=1,MAX(1,MIN(INDEX(tun_Smax,G310),AE309+AD310)),AE309)</x:f>
        <x:v>5</x:v>
      </x:c>
      <x:c r="AF310" s="8" t="n">
        <x:f>MAX(0,AE310-AE309)</x:f>
        <x:v>0</x:v>
      </x:c>
      <x:c r="AG310" s="9" t="str">
        <x:f>IF(AF310&gt;0,B310,"")</x:f>
      </x:c>
      <x:c r="AH310" s="9" t="n">
        <x:f>IF(F310&gt;=1,1,(1+tun_LowTiesShare*(AE310-1))/AE310)</x:f>
        <x:v>1</x:v>
      </x:c>
      <x:c r="AI310" s="32" t="n">
        <x:f>(Z310+tun_ElderCommons*INDEX(LM_Elder,G310)*AA310)*AH310</x:f>
        <x:v>1688.9635616981068</x:v>
      </x:c>
      <x:c r="AJ310" s="32" t="n">
        <x:f>H310*tun_CommonsCoef*AI310^tun_CommonsExp*INDEX(LM_Commons,G310)</x:f>
        <x:v>3531.8178729494252</x:v>
      </x:c>
      <x:c r="AK310" s="32" t="n">
        <x:f>H310*tun_RoleScale*Arch_Roles*(AE310*(INDEX(tun_ElderRolePerSett,G310)*tun_OutElder*INDEX(LM_Elder,G310)+INDEX(tun_ShamanPerSett,G310)*tun_OutShaman)+Z310*(INDEX(tun_PriestShare,G310)*tun_OutPriest+INDEX(tun_ScribeShare,G310)*tun_OutScribe*INDEX(LM_Scribe,G310)+INDEX(tun_ScholarShare,G310)*tun_OutScholar*INDEX(LM_Scholar,G310)+INDEX(tun_ResearcherShare,G310)*tun_OutResearcher*INDEX(LM_Researcher,G310)))</x:f>
        <x:v>623.6255768604766</x:v>
      </x:c>
      <x:c r="AL310" s="32" t="n">
        <x:f>H310*tun_RoleScale*Arch_Roles*AE310*INDEX(tun_MonasteryPerSett,G310)*tun_OutMonastery*INDEX(LM_Monastery,G310)</x:f>
        <x:v>12.58570617804182</x:v>
      </x:c>
      <x:c r="AM310" s="32" t="n">
        <x:f>(AJ310+AK310+AL310)/4*INDEX(LM_All,G310)*INDEX(tun_Boon,G310)*Arch_Insight</x:f>
        <x:v>1501.9498944811928</x:v>
      </x:c>
      <x:c r="AN310" s="32" t="n">
        <x:f>H310*(tun_KHPerAdult*Z310+tun_KHOfCommons*AJ310/4*INDEX(LM_All,G310))*tun_KHUsable*Arch_KH</x:f>
        <x:v>275.59399721501046</x:v>
      </x:c>
      <x:c r="AO310" s="32" t="n">
        <x:f>MIN(AP309+AN310,AM310*tun_KHMaxRatio)</x:f>
        <x:v>275.59399721501046</x:v>
      </x:c>
      <x:c r="AP310" s="32" t="n">
        <x:f>AP309+AN310-AO310</x:f>
        <x:v>0</x:v>
      </x:c>
      <x:c r="AQ310" s="32" t="n">
        <x:f>AM310+AO310</x:f>
        <x:v>1777.5438916962032</x:v>
      </x:c>
      <x:c r="AR310" s="10" t="n">
        <x:f>IF(H310=1,INDEX(tun_Req,G310),0)</x:f>
        <x:v>88783.394528</x:v>
      </x:c>
      <x:c r="AS310" s="32" t="n">
        <x:f>IF(H310=1,IF(E310=1,AS309-AR309,AS309)+AQ310,0)</x:f>
        <x:v>81244.11119513969</x:v>
      </x:c>
      <x:c r="AT310" s="11" t="n">
        <x:f>IF(AR310&gt;0,MIN(1,AS310/AR310),1)</x:f>
        <x:v>0.915082281174971</x:v>
      </x:c>
      <x:c r="AU310" s="10" t="n">
        <x:f>AB310/INDEX(tun_RepScale,G310)</x:f>
        <x:v>484.0569279798152</x:v>
      </x:c>
      <x:c r="AV310" s="32" t="n">
        <x:f>AM310*60/tun_SeasonSeconds</x:f>
        <x:v>6007.799577924771</x:v>
      </x:c>
    </x:row>
    <x:row r="311">
      <x:c r="A311" s="8" t="n">
        <x:f>A310+1</x:f>
        <x:v>308</x:v>
      </x:c>
      <x:c r="B311" s="9" t="n">
        <x:f>A311*tun_SeasonSeconds/60</x:f>
        <x:v>77</x:v>
      </x:c>
      <x:c r="C311" s="9" t="n">
        <x:f>A311/4</x:f>
        <x:v>77</x:v>
      </x:c>
      <x:c r="D311" s="8" t="n">
        <x:f>IF(MOD(A311,4)=0,1,0)</x:f>
        <x:v>1</x:v>
      </x:c>
      <x:c r="E311" s="8" t="n">
        <x:f>IF(AND(F310&lt;=9,AS310&gt;=AR310),1,0)</x:f>
        <x:v>0</x:v>
      </x:c>
      <x:c r="F311" s="8" t="n">
        <x:f>MIN(10,F310+E311)</x:f>
        <x:v>5</x:v>
      </x:c>
      <x:c r="G311" s="8" t="n">
        <x:f>MIN(F311,9)+1</x:f>
        <x:v>6</x:v>
      </x:c>
      <x:c r="H311" s="8" t="n">
        <x:f>IF(F311&lt;=9,1,0)</x:f>
        <x:v>1</x:v>
      </x:c>
      <x:c r="I311" s="9" t="n">
        <x:f>MIN(10,F310+IF(AR310&gt;0,MIN(1,AS310/AR310),1))</x:f>
        <x:v>5.915082281174971</x:v>
      </x:c>
      <x:c r="J311" s="32" t="n">
        <x:f>INDEX(tun_FoodCap,G311)*Arch_FoodCap*EXP(tun_CapsByProject*SUMPRODUCT((Cap_Point&lt;=I311)*(Cap_Kind="Food")*Cap_Ln))</x:f>
        <x:v>610.0101168966467</x:v>
      </x:c>
      <x:c r="K311" s="32" t="n">
        <x:f>J311*MIN(1,tun_LeanBase*EXP(tun_CapsByProject*SUMPRODUCT((Cap_Point&lt;=I311)*(Cap_Kind="Lean")*Cap_Ln)))</x:f>
        <x:v>610.0101168966467</x:v>
      </x:c>
      <x:c r="L311" s="10" t="n">
        <x:f>INDEX(tun_HousingCap,G311)*EXP(tun_CapsByProject*SUMPRODUCT((Cap_Point&lt;=I311)*(Cap_Kind="Housing")*Cap_Ln))</x:f>
        <x:v>2125.258900135082</x:v>
      </x:c>
      <x:c r="M311" s="10" t="n">
        <x:f>INDEX(tun_GroupCap,G311)*tun_CohesionFactor*EXP(tun_CapsByProject*SUMPRODUCT((Cap_Point&lt;=I311)*(Cap_Kind="Group")*Cap_Ln))</x:f>
        <x:v>50000.00000000004</x:v>
      </x:c>
      <x:c r="N311" s="32" t="n">
        <x:f>MIN(J311,L311,M311)</x:f>
        <x:v>610.0101168966467</x:v>
      </x:c>
      <x:c r="O311" s="10" t="n">
        <x:f>AE310*N311</x:f>
        <x:v>3050.0505844832333</x:v>
      </x:c>
      <x:c r="P311" s="9" t="n">
        <x:f>MIN(1,(AB310/(AE310*IF(tun_GroupInCrowding=1,N311,MIN(J311,L311))))^tun_CrowdingExp)</x:f>
        <x:v>0.24966428212497505</x:v>
      </x:c>
      <x:c r="Q311" s="9" t="n">
        <x:f>IF(D311=1,INDEX(tun_WinterMult,G311),1)</x:f>
        <x:v>1.15</x:v>
      </x:c>
      <x:c r="R311" s="9" t="n">
        <x:f>H311*Z310*tun_WomenShare*tun_BaseFertility*INDEX(tun_FertMult,G311)*Arch_Fertility*(1-P311)</x:f>
        <x:v>46.95740106424568</x:v>
      </x:c>
      <x:c r="S311" s="9" t="n">
        <x:f>H311*Y310*INDEX(tun_MortChild,G311)/4*Q311</x:f>
        <x:v>10.85890674512644</x:v>
      </x:c>
      <x:c r="T311" s="9" t="n">
        <x:f>H311*Z310*INDEX(tun_MortAdult,G311)*Arch_AdultMort/4*Q311</x:f>
        <x:v>2.642223421649808</x:v>
      </x:c>
      <x:c r="U311" s="9" t="n">
        <x:f>H311*AA310*INDEX(tun_MortElder,G311)/4*Q311</x:f>
        <x:v>3.5570688440628113</x:v>
      </x:c>
      <x:c r="V311" s="9" t="n">
        <x:f>H311*MAX(0,AB310-O311)*tun_OvercapLoss</x:f>
        <x:v>0</x:v>
      </x:c>
      <x:c r="W311" s="9" t="n">
        <x:f>H311*Y310/(tun_ChildYears*4)</x:f>
        <x:v>23.257457153836885</x:v>
      </x:c>
      <x:c r="X311" s="9" t="n">
        <x:f>H311*Z310/(tun_AdultYears*4)</x:f>
        <x:v>7.058634666799726</x:v>
      </x:c>
      <x:c r="Y311" s="32" t="n">
        <x:f>Y310+R311-S311-W311-Y310*V311/AB310</x:f>
        <x:v>1315.2586377801479</x:v>
      </x:c>
      <x:c r="Z311" s="32" t="n">
        <x:f>Z310+W311-X311-T311-Z310*V311/AB310</x:f>
        <x:v>888.8272977485534</x:v>
      </x:c>
      <x:c r="AA311" s="32" t="n">
        <x:f>AA310+X311-U311-AA310*V311/AB310</x:f>
        <x:v>246.09790642378118</x:v>
      </x:c>
      <x:c r="AB311" s="10" t="n">
        <x:f>Y311+Z311+AA311</x:f>
        <x:v>2450.1838419524825</x:v>
      </x:c>
      <x:c r="AC311" s="8" t="n">
        <x:f>IF(AND(tun_WinterTrigger=1,D311=1,AB310/AE310&gt;=K311),1,0)</x:f>
        <x:v>0</x:v>
      </x:c>
      <x:c r="AD311" s="8" t="n">
        <x:f>H311*IF(AND(OR(AB310/AE310&gt;=tun_FissionTrigger*N311,AC311=1),AB310/AE310*tun_DaughterShare&gt;=tun_MinDaughter),MAX(1,ROUND(AE310*tun_FissionRate,0)),0)</x:f>
        <x:v>0</x:v>
      </x:c>
      <x:c r="AE311" s="8" t="n">
        <x:f>IF(H311=1,MAX(1,MIN(INDEX(tun_Smax,G311),AE310+AD311)),AE310)</x:f>
        <x:v>5</x:v>
      </x:c>
      <x:c r="AF311" s="8" t="n">
        <x:f>MAX(0,AE311-AE310)</x:f>
        <x:v>0</x:v>
      </x:c>
      <x:c r="AG311" s="9" t="str">
        <x:f>IF(AF311&gt;0,B311,"")</x:f>
      </x:c>
      <x:c r="AH311" s="9" t="n">
        <x:f>IF(F311&gt;=1,1,(1+tun_LowTiesShare*(AE311-1))/AE311)</x:f>
        <x:v>1</x:v>
      </x:c>
      <x:c r="AI311" s="32" t="n">
        <x:f>(Z311+tun_ElderCommons*INDEX(LM_Elder,G311)*AA311)*AH311</x:f>
        <x:v>1714.2647695744888</x:v>
      </x:c>
      <x:c r="AJ311" s="32" t="n">
        <x:f>H311*tun_CommonsCoef*AI311^tun_CommonsExp*INDEX(LM_Commons,G311)</x:f>
        <x:v>3576.7392197793524</x:v>
      </x:c>
      <x:c r="AK311" s="32" t="n">
        <x:f>H311*tun_RoleScale*Arch_Roles*(AE311*(INDEX(tun_ElderRolePerSett,G311)*tun_OutElder*INDEX(LM_Elder,G311)+INDEX(tun_ShamanPerSett,G311)*tun_OutShaman)+Z311*(INDEX(tun_PriestShare,G311)*tun_OutPriest+INDEX(tun_ScribeShare,G311)*tun_OutScribe*INDEX(LM_Scribe,G311)+INDEX(tun_ScholarShare,G311)*tun_OutScholar*INDEX(LM_Scholar,G311)+INDEX(tun_ResearcherShare,G311)*tun_OutResearcher*INDEX(LM_Researcher,G311)))</x:f>
        <x:v>631.31627376945</x:v>
      </x:c>
      <x:c r="AL311" s="32" t="n">
        <x:f>H311*tun_RoleScale*Arch_Roles*AE311*INDEX(tun_MonasteryPerSett,G311)*tun_OutMonastery*INDEX(LM_Monastery,G311)</x:f>
        <x:v>12.58570617804182</x:v>
      </x:c>
      <x:c r="AM311" s="32" t="n">
        <x:f>(AJ311+AK311+AL311)/4*INDEX(LM_All,G311)*INDEX(tun_Boon,G311)*Arch_Insight</x:f>
        <x:v>1520.9086518662168</x:v>
      </x:c>
      <x:c r="AN311" s="32" t="n">
        <x:f>H311*(tun_KHPerAdult*Z311+tun_KHOfCommons*AJ311/4*INDEX(LM_All,G311))*tun_KHUsable*Arch_KH</x:f>
        <x:v>279.09928938422496</x:v>
      </x:c>
      <x:c r="AO311" s="32" t="n">
        <x:f>MIN(AP310+AN311,AM311*tun_KHMaxRatio)</x:f>
        <x:v>279.09928938422496</x:v>
      </x:c>
      <x:c r="AP311" s="32" t="n">
        <x:f>AP310+AN311-AO311</x:f>
        <x:v>0</x:v>
      </x:c>
      <x:c r="AQ311" s="32" t="n">
        <x:f>AM311+AO311</x:f>
        <x:v>1800.0079412504417</x:v>
      </x:c>
      <x:c r="AR311" s="10" t="n">
        <x:f>IF(H311=1,INDEX(tun_Req,G311),0)</x:f>
        <x:v>88783.394528</x:v>
      </x:c>
      <x:c r="AS311" s="32" t="n">
        <x:f>IF(H311=1,IF(E311=1,AS310-AR310,AS310)+AQ311,0)</x:f>
        <x:v>83044.11913639013</x:v>
      </x:c>
      <x:c r="AT311" s="11" t="n">
        <x:f>IF(AR311&gt;0,MIN(1,AS311/AR311),1)</x:f>
        <x:v>0.9353564321107383</x:v>
      </x:c>
      <x:c r="AU311" s="10" t="n">
        <x:f>AB311/INDEX(tun_RepScale,G311)</x:f>
        <x:v>490.0367683904965</x:v>
      </x:c>
      <x:c r="AV311" s="32" t="n">
        <x:f>AM311*60/tun_SeasonSeconds</x:f>
        <x:v>6083.634607464867</x:v>
      </x:c>
    </x:row>
    <x:row r="312">
      <x:c r="A312" s="8" t="n">
        <x:f>A311+1</x:f>
        <x:v>309</x:v>
      </x:c>
      <x:c r="B312" s="9" t="n">
        <x:f>A312*tun_SeasonSeconds/60</x:f>
        <x:v>77.25</x:v>
      </x:c>
      <x:c r="C312" s="9" t="n">
        <x:f>A312/4</x:f>
        <x:v>77.25</x:v>
      </x:c>
      <x:c r="D312" s="8" t="n">
        <x:f>IF(MOD(A312,4)=0,1,0)</x:f>
        <x:v>0</x:v>
      </x:c>
      <x:c r="E312" s="8" t="n">
        <x:f>IF(AND(F311&lt;=9,AS311&gt;=AR311),1,0)</x:f>
        <x:v>0</x:v>
      </x:c>
      <x:c r="F312" s="8" t="n">
        <x:f>MIN(10,F311+E312)</x:f>
        <x:v>5</x:v>
      </x:c>
      <x:c r="G312" s="8" t="n">
        <x:f>MIN(F312,9)+1</x:f>
        <x:v>6</x:v>
      </x:c>
      <x:c r="H312" s="8" t="n">
        <x:f>IF(F312&lt;=9,1,0)</x:f>
        <x:v>1</x:v>
      </x:c>
      <x:c r="I312" s="9" t="n">
        <x:f>MIN(10,F311+IF(AR311&gt;0,MIN(1,AS311/AR311),1))</x:f>
        <x:v>5.935356432110738</x:v>
      </x:c>
      <x:c r="J312" s="32" t="n">
        <x:f>INDEX(tun_FoodCap,G312)*Arch_FoodCap*EXP(tun_CapsByProject*SUMPRODUCT((Cap_Point&lt;=I312)*(Cap_Kind="Food")*Cap_Ln))</x:f>
        <x:v>610.0101168966467</x:v>
      </x:c>
      <x:c r="K312" s="32" t="n">
        <x:f>J312*MIN(1,tun_LeanBase*EXP(tun_CapsByProject*SUMPRODUCT((Cap_Point&lt;=I312)*(Cap_Kind="Lean")*Cap_Ln)))</x:f>
        <x:v>610.0101168966467</x:v>
      </x:c>
      <x:c r="L312" s="10" t="n">
        <x:f>INDEX(tun_HousingCap,G312)*EXP(tun_CapsByProject*SUMPRODUCT((Cap_Point&lt;=I312)*(Cap_Kind="Housing")*Cap_Ln))</x:f>
        <x:v>2125.258900135082</x:v>
      </x:c>
      <x:c r="M312" s="10" t="n">
        <x:f>INDEX(tun_GroupCap,G312)*tun_CohesionFactor*EXP(tun_CapsByProject*SUMPRODUCT((Cap_Point&lt;=I312)*(Cap_Kind="Group")*Cap_Ln))</x:f>
        <x:v>50000.00000000004</x:v>
      </x:c>
      <x:c r="N312" s="32" t="n">
        <x:f>MIN(J312,L312,M312)</x:f>
        <x:v>610.0101168966467</x:v>
      </x:c>
      <x:c r="O312" s="10" t="n">
        <x:f>AE311*N312</x:f>
        <x:v>3050.0505844832333</x:v>
      </x:c>
      <x:c r="P312" s="9" t="n">
        <x:f>MIN(1,(AB311/(AE311*IF(tun_GroupInCrowding=1,N312,MIN(J312,L312))))^tun_CrowdingExp)</x:f>
        <x:v>0.26875080674281554</x:v>
      </x:c>
      <x:c r="Q312" s="9" t="n">
        <x:f>IF(D312=1,INDEX(tun_WinterMult,G312),1)</x:f>
        <x:v>1</x:v>
      </x:c>
      <x:c r="R312" s="9" t="n">
        <x:f>H312*Z311*tun_WomenShare*tun_BaseFertility*INDEX(tun_FertMult,G312)*Arch_Fertility*(1-P312)</x:f>
        <x:v>46.471728476286906</x:v>
      </x:c>
      <x:c r="S312" s="9" t="n">
        <x:f>H312*Y311*INDEX(tun_MortChild,G312)/4*Q312</x:f>
        <x:v>9.535625123906073</x:v>
      </x:c>
      <x:c r="T312" s="9" t="n">
        <x:f>H312*Z311*INDEX(tun_MortAdult,G312)*Arch_AdultMort/4*Q312</x:f>
        <x:v>2.3331716565899527</x:v>
      </x:c>
      <x:c r="U312" s="9" t="n">
        <x:f>H312*AA311*INDEX(tun_MortElder,G312)/4*Q312</x:f>
        <x:v>3.1377483069032097</x:v>
      </x:c>
      <x:c r="V312" s="9" t="n">
        <x:f>H312*MAX(0,AB311-O312)*tun_OvercapLoss</x:f>
        <x:v>0</x:v>
      </x:c>
      <x:c r="W312" s="9" t="n">
        <x:f>H312*Y311/(tun_ChildYears*4)</x:f>
        <x:v>23.48676138893121</x:v>
      </x:c>
      <x:c r="X312" s="9" t="n">
        <x:f>H312*Z311/(tun_AdultYears*4)</x:f>
        <x:v>7.167962078617366</x:v>
      </x:c>
      <x:c r="Y312" s="32" t="n">
        <x:f>Y311+R312-S312-W312-Y311*V312/AB311</x:f>
        <x:v>1328.7079797435974</x:v>
      </x:c>
      <x:c r="Z312" s="32" t="n">
        <x:f>Z311+W312-X312-T312-Z311*V312/AB311</x:f>
        <x:v>902.8129254022773</x:v>
      </x:c>
      <x:c r="AA312" s="32" t="n">
        <x:f>AA311+X312-U312-AA311*V312/AB311</x:f>
        <x:v>250.12812019549534</x:v>
      </x:c>
      <x:c r="AB312" s="10" t="n">
        <x:f>Y312+Z312+AA312</x:f>
        <x:v>2481.64902534137</x:v>
      </x:c>
      <x:c r="AC312" s="8" t="n">
        <x:f>IF(AND(tun_WinterTrigger=1,D312=1,AB311/AE311&gt;=K312),1,0)</x:f>
        <x:v>0</x:v>
      </x:c>
      <x:c r="AD312" s="8" t="n">
        <x:f>H312*IF(AND(OR(AB311/AE311&gt;=tun_FissionTrigger*N312,AC312=1),AB311/AE311*tun_DaughterShare&gt;=tun_MinDaughter),MAX(1,ROUND(AE311*tun_FissionRate,0)),0)</x:f>
        <x:v>0</x:v>
      </x:c>
      <x:c r="AE312" s="8" t="n">
        <x:f>IF(H312=1,MAX(1,MIN(INDEX(tun_Smax,G312),AE311+AD312)),AE311)</x:f>
        <x:v>5</x:v>
      </x:c>
      <x:c r="AF312" s="8" t="n">
        <x:f>MAX(0,AE312-AE311)</x:f>
        <x:v>0</x:v>
      </x:c>
      <x:c r="AG312" s="9" t="str">
        <x:f>IF(AF312&gt;0,B312,"")</x:f>
      </x:c>
      <x:c r="AH312" s="9" t="n">
        <x:f>IF(F312&gt;=1,1,(1+tun_LowTiesShare*(AE312-1))/AE312)</x:f>
        <x:v>1</x:v>
      </x:c>
      <x:c r="AI312" s="32" t="n">
        <x:f>(Z312+tun_ElderCommons*INDEX(LM_Elder,G312)*AA312)*AH312</x:f>
        <x:v>1741.7681451643257</x:v>
      </x:c>
      <x:c r="AJ312" s="32" t="n">
        <x:f>H312*tun_CommonsCoef*AI312^tun_CommonsExp*INDEX(LM_Commons,G312)</x:f>
        <x:v>3625.457797031847</x:v>
      </x:c>
      <x:c r="AK312" s="32" t="n">
        <x:f>H312*tun_RoleScale*Arch_Roles*(AE312*(INDEX(tun_ElderRolePerSett,G312)*tun_OutElder*INDEX(LM_Elder,G312)+INDEX(tun_ShamanPerSett,G312)*tun_OutShaman)+Z312*(INDEX(tun_PriestShare,G312)*tun_OutPriest+INDEX(tun_ScribeShare,G312)*tun_OutScribe*INDEX(LM_Scribe,G312)+INDEX(tun_ScholarShare,G312)*tun_OutScholar*INDEX(LM_Scholar,G312)+INDEX(tun_ResearcherShare,G312)*tun_OutResearcher*INDEX(LM_Researcher,G312)))</x:f>
        <x:v>639.2503598073832</x:v>
      </x:c>
      <x:c r="AL312" s="32" t="n">
        <x:f>H312*tun_RoleScale*Arch_Roles*AE312*INDEX(tun_MonasteryPerSett,G312)*tun_OutMonastery*INDEX(LM_Monastery,G312)</x:f>
        <x:v>12.58570617804182</x:v>
      </x:c>
      <x:c r="AM312" s="32" t="n">
        <x:f>(AJ312+AK312+AL312)/4*INDEX(LM_All,G312)*INDEX(tun_Boon,G312)*Arch_Insight</x:f>
        <x:v>1541.3234470767766</x:v>
      </x:c>
      <x:c r="AN312" s="32" t="n">
        <x:f>H312*(tun_KHPerAdult*Z312+tun_KHOfCommons*AJ312/4*INDEX(LM_All,G312))*tun_KHUsable*Arch_KH</x:f>
        <x:v>282.9008861614763</x:v>
      </x:c>
      <x:c r="AO312" s="32" t="n">
        <x:f>MIN(AP311+AN312,AM312*tun_KHMaxRatio)</x:f>
        <x:v>282.9008861614763</x:v>
      </x:c>
      <x:c r="AP312" s="32" t="n">
        <x:f>AP311+AN312-AO312</x:f>
        <x:v>0</x:v>
      </x:c>
      <x:c r="AQ312" s="32" t="n">
        <x:f>AM312+AO312</x:f>
        <x:v>1824.224333238253</x:v>
      </x:c>
      <x:c r="AR312" s="10" t="n">
        <x:f>IF(H312=1,INDEX(tun_Req,G312),0)</x:f>
        <x:v>88783.394528</x:v>
      </x:c>
      <x:c r="AS312" s="32" t="n">
        <x:f>IF(H312=1,IF(E312=1,AS311-AR311,AS311)+AQ312,0)</x:f>
        <x:v>84868.34346962838</x:v>
      </x:c>
      <x:c r="AT312" s="11" t="n">
        <x:f>IF(AR312&gt;0,MIN(1,AS312/AR312),1)</x:f>
        <x:v>0.9559033411688611</x:v>
      </x:c>
      <x:c r="AU312" s="10" t="n">
        <x:f>AB312/INDEX(tun_RepScale,G312)</x:f>
        <x:v>496.32980506827397</x:v>
      </x:c>
      <x:c r="AV312" s="32" t="n">
        <x:f>AM312*60/tun_SeasonSeconds</x:f>
        <x:v>6165.293788307105</x:v>
      </x:c>
    </x:row>
    <x:row r="313">
      <x:c r="A313" s="8" t="n">
        <x:f>A312+1</x:f>
        <x:v>310</x:v>
      </x:c>
      <x:c r="B313" s="9" t="n">
        <x:f>A313*tun_SeasonSeconds/60</x:f>
        <x:v>77.5</x:v>
      </x:c>
      <x:c r="C313" s="9" t="n">
        <x:f>A313/4</x:f>
        <x:v>77.5</x:v>
      </x:c>
      <x:c r="D313" s="8" t="n">
        <x:f>IF(MOD(A313,4)=0,1,0)</x:f>
        <x:v>0</x:v>
      </x:c>
      <x:c r="E313" s="8" t="n">
        <x:f>IF(AND(F312&lt;=9,AS312&gt;=AR312),1,0)</x:f>
        <x:v>0</x:v>
      </x:c>
      <x:c r="F313" s="8" t="n">
        <x:f>MIN(10,F312+E313)</x:f>
        <x:v>5</x:v>
      </x:c>
      <x:c r="G313" s="8" t="n">
        <x:f>MIN(F313,9)+1</x:f>
        <x:v>6</x:v>
      </x:c>
      <x:c r="H313" s="8" t="n">
        <x:f>IF(F313&lt;=9,1,0)</x:f>
        <x:v>1</x:v>
      </x:c>
      <x:c r="I313" s="9" t="n">
        <x:f>MIN(10,F312+IF(AR312&gt;0,MIN(1,AS312/AR312),1))</x:f>
        <x:v>5.955903341168861</x:v>
      </x:c>
      <x:c r="J313" s="32" t="n">
        <x:f>INDEX(tun_FoodCap,G313)*Arch_FoodCap*EXP(tun_CapsByProject*SUMPRODUCT((Cap_Point&lt;=I313)*(Cap_Kind="Food")*Cap_Ln))</x:f>
        <x:v>610.0101168966467</x:v>
      </x:c>
      <x:c r="K313" s="32" t="n">
        <x:f>J313*MIN(1,tun_LeanBase*EXP(tun_CapsByProject*SUMPRODUCT((Cap_Point&lt;=I313)*(Cap_Kind="Lean")*Cap_Ln)))</x:f>
        <x:v>610.0101168966467</x:v>
      </x:c>
      <x:c r="L313" s="10" t="n">
        <x:f>INDEX(tun_HousingCap,G313)*EXP(tun_CapsByProject*SUMPRODUCT((Cap_Point&lt;=I313)*(Cap_Kind="Housing")*Cap_Ln))</x:f>
        <x:v>2125.258900135082</x:v>
      </x:c>
      <x:c r="M313" s="10" t="n">
        <x:f>INDEX(tun_GroupCap,G313)*tun_CohesionFactor*EXP(tun_CapsByProject*SUMPRODUCT((Cap_Point&lt;=I313)*(Cap_Kind="Group")*Cap_Ln))</x:f>
        <x:v>50000.00000000004</x:v>
      </x:c>
      <x:c r="N313" s="32" t="n">
        <x:f>MIN(J313,L313,M313)</x:f>
        <x:v>610.0101168966467</x:v>
      </x:c>
      <x:c r="O313" s="10" t="n">
        <x:f>AE312*N313</x:f>
        <x:v>3050.0505844832333</x:v>
      </x:c>
      <x:c r="P313" s="9" t="n">
        <x:f>MIN(1,(AB312/(AE312*IF(tun_GroupInCrowding=1,N313,MIN(J313,L313))))^tun_CrowdingExp)</x:f>
        <x:v>0.29013485679637097</x:v>
      </x:c>
      <x:c r="Q313" s="9" t="n">
        <x:f>IF(D313=1,INDEX(tun_WinterMult,G313),1)</x:f>
        <x:v>1</x:v>
      </x:c>
      <x:c r="R313" s="9" t="n">
        <x:f>H313*Z312*tun_WomenShare*tun_BaseFertility*INDEX(tun_FertMult,G313)*Arch_Fertility*(1-P313)</x:f>
        <x:v>45.82259300023941</x:v>
      </x:c>
      <x:c r="S313" s="9" t="n">
        <x:f>H313*Y312*INDEX(tun_MortChild,G313)/4*Q313</x:f>
        <x:v>9.633132853141081</x:v>
      </x:c>
      <x:c r="T313" s="9" t="n">
        <x:f>H313*Z312*INDEX(tun_MortAdult,G313)*Arch_AdultMort/4*Q313</x:f>
        <x:v>2.369883929180978</x:v>
      </x:c>
      <x:c r="U313" s="9" t="n">
        <x:f>H313*AA312*INDEX(tun_MortElder,G313)/4*Q313</x:f>
        <x:v>3.1891335324925656</x:v>
      </x:c>
      <x:c r="V313" s="9" t="n">
        <x:f>H313*MAX(0,AB312-O313)*tun_OvercapLoss</x:f>
        <x:v>0</x:v>
      </x:c>
      <x:c r="W313" s="9" t="n">
        <x:f>H313*Y312/(tun_ChildYears*4)</x:f>
        <x:v>23.726928209707097</x:v>
      </x:c>
      <x:c r="X313" s="9" t="n">
        <x:f>H313*Z312/(tun_AdultYears*4)</x:f>
        <x:v>7.2807493984054625</x:v>
      </x:c>
      <x:c r="Y313" s="32" t="n">
        <x:f>Y312+R313-S313-W313-Y312*V313/AB312</x:f>
        <x:v>1341.1705116809887</x:v>
      </x:c>
      <x:c r="Z313" s="32" t="n">
        <x:f>Z312+W313-X313-T313-Z312*V313/AB312</x:f>
        <x:v>916.889220284398</x:v>
      </x:c>
      <x:c r="AA313" s="32" t="n">
        <x:f>AA312+X313-U313-AA312*V313/AB312</x:f>
        <x:v>254.21973606140824</x:v>
      </x:c>
      <x:c r="AB313" s="10" t="n">
        <x:f>Y313+Z313+AA313</x:f>
        <x:v>2512.279468026795</x:v>
      </x:c>
      <x:c r="AC313" s="8" t="n">
        <x:f>IF(AND(tun_WinterTrigger=1,D313=1,AB312/AE312&gt;=K313),1,0)</x:f>
        <x:v>0</x:v>
      </x:c>
      <x:c r="AD313" s="8" t="n">
        <x:f>H313*IF(AND(OR(AB312/AE312&gt;=tun_FissionTrigger*N313,AC313=1),AB312/AE312*tun_DaughterShare&gt;=tun_MinDaughter),MAX(1,ROUND(AE312*tun_FissionRate,0)),0)</x:f>
        <x:v>0</x:v>
      </x:c>
      <x:c r="AE313" s="8" t="n">
        <x:f>IF(H313=1,MAX(1,MIN(INDEX(tun_Smax,G313),AE312+AD313)),AE312)</x:f>
        <x:v>5</x:v>
      </x:c>
      <x:c r="AF313" s="8" t="n">
        <x:f>MAX(0,AE313-AE312)</x:f>
        <x:v>0</x:v>
      </x:c>
      <x:c r="AG313" s="9" t="str">
        <x:f>IF(AF313&gt;0,B313,"")</x:f>
      </x:c>
      <x:c r="AH313" s="9" t="n">
        <x:f>IF(F313&gt;=1,1,(1+tun_LowTiesShare*(AE313-1))/AE313)</x:f>
        <x:v>1</x:v>
      </x:c>
      <x:c r="AI313" s="32" t="n">
        <x:f>(Z313+tun_ElderCommons*INDEX(LM_Elder,G313)*AA313)*AH313</x:f>
        <x:v>1769.5681368674432</x:v>
      </x:c>
      <x:c r="AJ313" s="32" t="n">
        <x:f>H313*tun_CommonsCoef*AI313^tun_CommonsExp*INDEX(LM_Commons,G313)</x:f>
        <x:v>3674.5846644749718</x:v>
      </x:c>
      <x:c r="AK313" s="32" t="n">
        <x:f>H313*tun_RoleScale*Arch_Roles*(AE313*(INDEX(tun_ElderRolePerSett,G313)*tun_OutElder*INDEX(LM_Elder,G313)+INDEX(tun_ShamanPerSett,G313)*tun_OutShaman)+Z313*(INDEX(tun_PriestShare,G313)*tun_OutPriest+INDEX(tun_ScribeShare,G313)*tun_OutScribe*INDEX(LM_Scribe,G313)+INDEX(tun_ScholarShare,G313)*tun_OutScholar*INDEX(LM_Scholar,G313)+INDEX(tun_ResearcherShare,G313)*tun_OutResearcher*INDEX(LM_Researcher,G313)))</x:f>
        <x:v>647.2358816198653</x:v>
      </x:c>
      <x:c r="AL313" s="32" t="n">
        <x:f>H313*tun_RoleScale*Arch_Roles*AE313*INDEX(tun_MonasteryPerSett,G313)*tun_OutMonastery*INDEX(LM_Monastery,G313)</x:f>
        <x:v>12.58570617804182</x:v>
      </x:c>
      <x:c r="AM313" s="32" t="n">
        <x:f>(AJ313+AK313+AL313)/4*INDEX(LM_All,G313)*INDEX(tun_Boon,G313)*Arch_Insight</x:f>
        <x:v>1561.9039046037576</x:v>
      </x:c>
      <x:c r="AN313" s="32" t="n">
        <x:f>H313*(tun_KHPerAdult*Z313+tun_KHOfCommons*AJ313/4*INDEX(LM_All,G313))*tun_KHUsable*Arch_KH</x:f>
        <x:v>286.73434254466076</x:v>
      </x:c>
      <x:c r="AO313" s="32" t="n">
        <x:f>MIN(AP312+AN313,AM313*tun_KHMaxRatio)</x:f>
        <x:v>286.73434254466076</x:v>
      </x:c>
      <x:c r="AP313" s="32" t="n">
        <x:f>AP312+AN313-AO313</x:f>
        <x:v>0</x:v>
      </x:c>
      <x:c r="AQ313" s="32" t="n">
        <x:f>AM313+AO313</x:f>
        <x:v>1848.6382471484185</x:v>
      </x:c>
      <x:c r="AR313" s="10" t="n">
        <x:f>IF(H313=1,INDEX(tun_Req,G313),0)</x:f>
        <x:v>88783.394528</x:v>
      </x:c>
      <x:c r="AS313" s="32" t="n">
        <x:f>IF(H313=1,IF(E313=1,AS312-AR312,AS312)+AQ313,0)</x:f>
        <x:v>86716.9817167768</x:v>
      </x:c>
      <x:c r="AT313" s="11" t="n">
        <x:f>IF(AR313&gt;0,MIN(1,AS313/AR313),1)</x:f>
        <x:v>0.9767252331113393</x:v>
      </x:c>
      <x:c r="AU313" s="10" t="n">
        <x:f>AB313/INDEX(tun_RepScale,G313)</x:f>
        <x:v>502.45589360535894</x:v>
      </x:c>
      <x:c r="AV313" s="32" t="n">
        <x:f>AM313*60/tun_SeasonSeconds</x:f>
        <x:v>6247.61561841503</x:v>
      </x:c>
    </x:row>
    <x:row r="314">
      <x:c r="A314" s="8" t="n">
        <x:f>A313+1</x:f>
        <x:v>311</x:v>
      </x:c>
      <x:c r="B314" s="9" t="n">
        <x:f>A314*tun_SeasonSeconds/60</x:f>
        <x:v>77.75</x:v>
      </x:c>
      <x:c r="C314" s="9" t="n">
        <x:f>A314/4</x:f>
        <x:v>77.75</x:v>
      </x:c>
      <x:c r="D314" s="8" t="n">
        <x:f>IF(MOD(A314,4)=0,1,0)</x:f>
        <x:v>0</x:v>
      </x:c>
      <x:c r="E314" s="8" t="n">
        <x:f>IF(AND(F313&lt;=9,AS313&gt;=AR313),1,0)</x:f>
        <x:v>0</x:v>
      </x:c>
      <x:c r="F314" s="8" t="n">
        <x:f>MIN(10,F313+E314)</x:f>
        <x:v>5</x:v>
      </x:c>
      <x:c r="G314" s="8" t="n">
        <x:f>MIN(F314,9)+1</x:f>
        <x:v>6</x:v>
      </x:c>
      <x:c r="H314" s="8" t="n">
        <x:f>IF(F314&lt;=9,1,0)</x:f>
        <x:v>1</x:v>
      </x:c>
      <x:c r="I314" s="9" t="n">
        <x:f>MIN(10,F313+IF(AR313&gt;0,MIN(1,AS313/AR313),1))</x:f>
        <x:v>5.976725233111339</x:v>
      </x:c>
      <x:c r="J314" s="32" t="n">
        <x:f>INDEX(tun_FoodCap,G314)*Arch_FoodCap*EXP(tun_CapsByProject*SUMPRODUCT((Cap_Point&lt;=I314)*(Cap_Kind="Food")*Cap_Ln))</x:f>
        <x:v>610.0101168966467</x:v>
      </x:c>
      <x:c r="K314" s="32" t="n">
        <x:f>J314*MIN(1,tun_LeanBase*EXP(tun_CapsByProject*SUMPRODUCT((Cap_Point&lt;=I314)*(Cap_Kind="Lean")*Cap_Ln)))</x:f>
        <x:v>610.0101168966467</x:v>
      </x:c>
      <x:c r="L314" s="10" t="n">
        <x:f>INDEX(tun_HousingCap,G314)*EXP(tun_CapsByProject*SUMPRODUCT((Cap_Point&lt;=I314)*(Cap_Kind="Housing")*Cap_Ln))</x:f>
        <x:v>2125.258900135082</x:v>
      </x:c>
      <x:c r="M314" s="10" t="n">
        <x:f>INDEX(tun_GroupCap,G314)*tun_CohesionFactor*EXP(tun_CapsByProject*SUMPRODUCT((Cap_Point&lt;=I314)*(Cap_Kind="Group")*Cap_Ln))</x:f>
        <x:v>50000.00000000004</x:v>
      </x:c>
      <x:c r="N314" s="32" t="n">
        <x:f>MIN(J314,L314,M314)</x:f>
        <x:v>610.0101168966467</x:v>
      </x:c>
      <x:c r="O314" s="10" t="n">
        <x:f>AE313*N314</x:f>
        <x:v>3050.0505844832333</x:v>
      </x:c>
      <x:c r="P314" s="9" t="n">
        <x:f>MIN(1,(AB313/(AE313*IF(tun_GroupInCrowding=1,N314,MIN(J314,L314))))^tun_CrowdingExp)</x:f>
        <x:v>0.31229529524295774</x:v>
      </x:c>
      <x:c r="Q314" s="9" t="n">
        <x:f>IF(D314=1,INDEX(tun_WinterMult,G314),1)</x:f>
        <x:v>1</x:v>
      </x:c>
      <x:c r="R314" s="9" t="n">
        <x:f>H314*Z313*tun_WomenShare*tun_BaseFertility*INDEX(tun_FertMult,G314)*Arch_Fertility*(1-P314)</x:f>
        <x:v>45.08425568293766</x:v>
      </x:c>
      <x:c r="S314" s="9" t="n">
        <x:f>H314*Y313*INDEX(tun_MortChild,G314)/4*Q314</x:f>
        <x:v>9.723486209687168</x:v>
      </x:c>
      <x:c r="T314" s="9" t="n">
        <x:f>H314*Z313*INDEX(tun_MortAdult,G314)*Arch_AdultMort/4*Q314</x:f>
        <x:v>2.406834203246545</x:v>
      </x:c>
      <x:c r="U314" s="9" t="n">
        <x:f>H314*AA313*INDEX(tun_MortElder,G314)/4*Q314</x:f>
        <x:v>3.241301634782955</x:v>
      </x:c>
      <x:c r="V314" s="9" t="n">
        <x:f>H314*MAX(0,AB313-O314)*tun_OvercapLoss</x:f>
        <x:v>0</x:v>
      </x:c>
      <x:c r="W314" s="9" t="n">
        <x:f>H314*Y313/(tun_ChildYears*4)</x:f>
        <x:v>23.9494734228748</x:v>
      </x:c>
      <x:c r="X314" s="9" t="n">
        <x:f>H314*Z313/(tun_AdultYears*4)</x:f>
        <x:v>7.394267905519339</x:v>
      </x:c>
      <x:c r="Y314" s="32" t="n">
        <x:f>Y313+R314-S314-W314-Y313*V314/AB313</x:f>
        <x:v>1352.5818077313645</x:v>
      </x:c>
      <x:c r="Z314" s="32" t="n">
        <x:f>Z313+W314-X314-T314-Z313*V314/AB313</x:f>
        <x:v>931.037591598507</x:v>
      </x:c>
      <x:c r="AA314" s="32" t="n">
        <x:f>AA313+X314-U314-AA313*V314/AB313</x:f>
        <x:v>258.3727023321446</x:v>
      </x:c>
      <x:c r="AB314" s="10" t="n">
        <x:f>Y314+Z314+AA314</x:f>
        <x:v>2541.9921016620165</x:v>
      </x:c>
      <x:c r="AC314" s="8" t="n">
        <x:f>IF(AND(tun_WinterTrigger=1,D314=1,AB313/AE313&gt;=K314),1,0)</x:f>
        <x:v>0</x:v>
      </x:c>
      <x:c r="AD314" s="8" t="n">
        <x:f>H314*IF(AND(OR(AB313/AE313&gt;=tun_FissionTrigger*N314,AC314=1),AB313/AE313*tun_DaughterShare&gt;=tun_MinDaughter),MAX(1,ROUND(AE313*tun_FissionRate,0)),0)</x:f>
        <x:v>0</x:v>
      </x:c>
      <x:c r="AE314" s="8" t="n">
        <x:f>IF(H314=1,MAX(1,MIN(INDEX(tun_Smax,G314),AE313+AD314)),AE313)</x:f>
        <x:v>5</x:v>
      </x:c>
      <x:c r="AF314" s="8" t="n">
        <x:f>MAX(0,AE314-AE313)</x:f>
        <x:v>0</x:v>
      </x:c>
      <x:c r="AG314" s="9" t="str">
        <x:f>IF(AF314&gt;0,B314,"")</x:f>
      </x:c>
      <x:c r="AH314" s="9" t="n">
        <x:f>IF(F314&gt;=1,1,(1+tun_LowTiesShare*(AE314-1))/AE314)</x:f>
        <x:v>1</x:v>
      </x:c>
      <x:c r="AI314" s="32" t="n">
        <x:f>(Z314+tun_ElderCommons*INDEX(LM_Elder,G314)*AA314)*AH314</x:f>
        <x:v>1797.6459805159977</x:v>
      </x:c>
      <x:c r="AJ314" s="32" t="n">
        <x:f>H314*tun_CommonsCoef*AI314^tun_CommonsExp*INDEX(LM_Commons,G314)</x:f>
        <x:v>3724.0851701163024</x:v>
      </x:c>
      <x:c r="AK314" s="32" t="n">
        <x:f>H314*tun_RoleScale*Arch_Roles*(AE314*(INDEX(tun_ElderRolePerSett,G314)*tun_OutElder*INDEX(LM_Elder,G314)+INDEX(tun_ShamanPerSett,G314)*tun_OutShaman)+Z314*(INDEX(tun_PriestShare,G314)*tun_OutPriest+INDEX(tun_ScribeShare,G314)*tun_OutScribe*INDEX(LM_Scribe,G314)+INDEX(tun_ScholarShare,G314)*tun_OutScholar*INDEX(LM_Scholar,G314)+INDEX(tun_ResearcherShare,G314)*tun_OutResearcher*INDEX(LM_Researcher,G314)))</x:f>
        <x:v>655.2622925956271</x:v>
      </x:c>
      <x:c r="AL314" s="32" t="n">
        <x:f>H314*tun_RoleScale*Arch_Roles*AE314*INDEX(tun_MonasteryPerSett,G314)*tun_OutMonastery*INDEX(LM_Monastery,G314)</x:f>
        <x:v>12.58570617804182</x:v>
      </x:c>
      <x:c r="AM314" s="32" t="n">
        <x:f>(AJ314+AK314+AL314)/4*INDEX(LM_All,G314)*INDEX(tun_Boon,G314)*Arch_Insight</x:f>
        <x:v>1582.6337371239406</x:v>
      </x:c>
      <x:c r="AN314" s="32" t="n">
        <x:f>H314*(tun_KHPerAdult*Z314+tun_KHOfCommons*AJ314/4*INDEX(LM_All,G314))*tun_KHUsable*Arch_KH</x:f>
        <x:v>290.59695457750206</x:v>
      </x:c>
      <x:c r="AO314" s="32" t="n">
        <x:f>MIN(AP313+AN314,AM314*tun_KHMaxRatio)</x:f>
        <x:v>290.59695457750206</x:v>
      </x:c>
      <x:c r="AP314" s="32" t="n">
        <x:f>AP313+AN314-AO314</x:f>
        <x:v>0</x:v>
      </x:c>
      <x:c r="AQ314" s="32" t="n">
        <x:f>AM314+AO314</x:f>
        <x:v>1873.2306917014425</x:v>
      </x:c>
      <x:c r="AR314" s="10" t="n">
        <x:f>IF(H314=1,INDEX(tun_Req,G314),0)</x:f>
        <x:v>88783.394528</x:v>
      </x:c>
      <x:c r="AS314" s="32" t="n">
        <x:f>IF(H314=1,IF(E314=1,AS313-AR313,AS313)+AQ314,0)</x:f>
        <x:v>88590.21240847824</x:v>
      </x:c>
      <x:c r="AT314" s="11" t="n">
        <x:f>IF(AR314&gt;0,MIN(1,AS314/AR314),1)</x:f>
        <x:v>0.9978241187944121</x:v>
      </x:c>
      <x:c r="AU314" s="10" t="n">
        <x:f>AB314/INDEX(tun_RepScale,G314)</x:f>
        <x:v>508.3984203324033</x:v>
      </x:c>
      <x:c r="AV314" s="32" t="n">
        <x:f>AM314*60/tun_SeasonSeconds</x:f>
        <x:v>6330.5349484957615</x:v>
      </x:c>
    </x:row>
    <x:row r="315">
      <x:c r="A315" s="8" t="n">
        <x:f>A314+1</x:f>
        <x:v>312</x:v>
      </x:c>
      <x:c r="B315" s="9" t="n">
        <x:f>A315*tun_SeasonSeconds/60</x:f>
        <x:v>78</x:v>
      </x:c>
      <x:c r="C315" s="9" t="n">
        <x:f>A315/4</x:f>
        <x:v>78</x:v>
      </x:c>
      <x:c r="D315" s="8" t="n">
        <x:f>IF(MOD(A315,4)=0,1,0)</x:f>
        <x:v>1</x:v>
      </x:c>
      <x:c r="E315" s="8" t="n">
        <x:f>IF(AND(F314&lt;=9,AS314&gt;=AR314),1,0)</x:f>
        <x:v>0</x:v>
      </x:c>
      <x:c r="F315" s="8" t="n">
        <x:f>MIN(10,F314+E315)</x:f>
        <x:v>5</x:v>
      </x:c>
      <x:c r="G315" s="8" t="n">
        <x:f>MIN(F315,9)+1</x:f>
        <x:v>6</x:v>
      </x:c>
      <x:c r="H315" s="8" t="n">
        <x:f>IF(F315&lt;=9,1,0)</x:f>
        <x:v>1</x:v>
      </x:c>
      <x:c r="I315" s="9" t="n">
        <x:f>MIN(10,F314+IF(AR314&gt;0,MIN(1,AS314/AR314),1))</x:f>
        <x:v>5.997824118794412</x:v>
      </x:c>
      <x:c r="J315" s="32" t="n">
        <x:f>INDEX(tun_FoodCap,G315)*Arch_FoodCap*EXP(tun_CapsByProject*SUMPRODUCT((Cap_Point&lt;=I315)*(Cap_Kind="Food")*Cap_Ln))</x:f>
        <x:v>610.0101168966467</x:v>
      </x:c>
      <x:c r="K315" s="32" t="n">
        <x:f>J315*MIN(1,tun_LeanBase*EXP(tun_CapsByProject*SUMPRODUCT((Cap_Point&lt;=I315)*(Cap_Kind="Lean")*Cap_Ln)))</x:f>
        <x:v>610.0101168966467</x:v>
      </x:c>
      <x:c r="L315" s="10" t="n">
        <x:f>INDEX(tun_HousingCap,G315)*EXP(tun_CapsByProject*SUMPRODUCT((Cap_Point&lt;=I315)*(Cap_Kind="Housing")*Cap_Ln))</x:f>
        <x:v>2125.258900135082</x:v>
      </x:c>
      <x:c r="M315" s="10" t="n">
        <x:f>INDEX(tun_GroupCap,G315)*tun_CohesionFactor*EXP(tun_CapsByProject*SUMPRODUCT((Cap_Point&lt;=I315)*(Cap_Kind="Group")*Cap_Ln))</x:f>
        <x:v>50000.00000000004</x:v>
      </x:c>
      <x:c r="N315" s="32" t="n">
        <x:f>MIN(J315,L315,M315)</x:f>
        <x:v>610.0101168966467</x:v>
      </x:c>
      <x:c r="O315" s="10" t="n">
        <x:f>AE314*N315</x:f>
        <x:v>3050.0505844832333</x:v>
      </x:c>
      <x:c r="P315" s="9" t="n">
        <x:f>MIN(1,(AB314/(AE314*IF(tun_GroupInCrowding=1,N315,MIN(J315,L315))))^tun_CrowdingExp)</x:f>
        <x:v>0.3351219915424734</x:v>
      </x:c>
      <x:c r="Q315" s="9" t="n">
        <x:f>IF(D315=1,INDEX(tun_WinterMult,G315),1)</x:f>
        <x:v>1.15</x:v>
      </x:c>
      <x:c r="R315" s="9" t="n">
        <x:f>H315*Z314*tun_WomenShare*tun_BaseFertility*INDEX(tun_FertMult,G315)*Arch_Fertility*(1-P315)</x:f>
        <x:v>44.260389008629176</x:v>
      </x:c>
      <x:c r="S315" s="9" t="n">
        <x:f>H315*Y314*INDEX(tun_MortChild,G315)/4*Q315</x:f>
        <x:v>11.277150821960252</x:v>
      </x:c>
      <x:c r="T315" s="9" t="n">
        <x:f>H315*Z314*INDEX(tun_MortAdult,G315)*Arch_AdultMort/4*Q315</x:f>
        <x:v>2.8105697296379932</x:v>
      </x:c>
      <x:c r="U315" s="9" t="n">
        <x:f>H315*AA314*INDEX(tun_MortElder,G315)/4*Q315</x:f>
        <x:v>3.78838974794507</x:v>
      </x:c>
      <x:c r="V315" s="9" t="n">
        <x:f>H315*MAX(0,AB314-O315)*tun_OvercapLoss</x:f>
        <x:v>0</x:v>
      </x:c>
      <x:c r="W315" s="9" t="n">
        <x:f>H315*Y314/(tun_ChildYears*4)</x:f>
        <x:v>24.15324656663151</x:v>
      </x:c>
      <x:c r="X315" s="9" t="n">
        <x:f>H315*Z314/(tun_AdultYears*4)</x:f>
        <x:v>7.508367674181508</x:v>
      </x:c>
      <x:c r="Y315" s="32" t="n">
        <x:f>Y314+R315-S315-W315-Y314*V315/AB314</x:f>
        <x:v>1361.411799351402</x:v>
      </x:c>
      <x:c r="Z315" s="32" t="n">
        <x:f>Z314+W315-X315-T315-Z314*V315/AB314</x:f>
        <x:v>944.871900761319</x:v>
      </x:c>
      <x:c r="AA315" s="32" t="n">
        <x:f>AA314+X315-U315-AA314*V315/AB314</x:f>
        <x:v>262.09268025838105</x:v>
      </x:c>
      <x:c r="AB315" s="10" t="n">
        <x:f>Y315+Z315+AA315</x:f>
        <x:v>2568.3763803711017</x:v>
      </x:c>
      <x:c r="AC315" s="8" t="n">
        <x:f>IF(AND(tun_WinterTrigger=1,D315=1,AB314/AE314&gt;=K315),1,0)</x:f>
        <x:v>0</x:v>
      </x:c>
      <x:c r="AD315" s="8" t="n">
        <x:f>H315*IF(AND(OR(AB314/AE314&gt;=tun_FissionTrigger*N315,AC315=1),AB314/AE314*tun_DaughterShare&gt;=tun_MinDaughter),MAX(1,ROUND(AE314*tun_FissionRate,0)),0)</x:f>
        <x:v>0</x:v>
      </x:c>
      <x:c r="AE315" s="8" t="n">
        <x:f>IF(H315=1,MAX(1,MIN(INDEX(tun_Smax,G315),AE314+AD315)),AE314)</x:f>
        <x:v>5</x:v>
      </x:c>
      <x:c r="AF315" s="8" t="n">
        <x:f>MAX(0,AE315-AE314)</x:f>
        <x:v>0</x:v>
      </x:c>
      <x:c r="AG315" s="9" t="str">
        <x:f>IF(AF315&gt;0,B315,"")</x:f>
      </x:c>
      <x:c r="AH315" s="9" t="n">
        <x:f>IF(F315&gt;=1,1,(1+tun_LowTiesShare*(AE315-1))/AE315)</x:f>
        <x:v>1</x:v>
      </x:c>
      <x:c r="AI315" s="32" t="n">
        <x:f>(Z315+tun_ElderCommons*INDEX(LM_Elder,G315)*AA315)*AH315</x:f>
        <x:v>1823.9574749556048</x:v>
      </x:c>
      <x:c r="AJ315" s="32" t="n">
        <x:f>H315*tun_CommonsCoef*AI315^tun_CommonsExp*INDEX(LM_Commons,G315)</x:f>
        <x:v>3770.366467786209</x:v>
      </x:c>
      <x:c r="AK315" s="32" t="n">
        <x:f>H315*tun_RoleScale*Arch_Roles*(AE315*(INDEX(tun_ElderRolePerSett,G315)*tun_OutElder*INDEX(LM_Elder,G315)+INDEX(tun_ShamanPerSett,G315)*tun_OutShaman)+Z315*(INDEX(tun_PriestShare,G315)*tun_OutPriest+INDEX(tun_ScribeShare,G315)*tun_OutScribe*INDEX(LM_Scribe,G315)+INDEX(tun_ScholarShare,G315)*tun_OutScholar*INDEX(LM_Scholar,G315)+INDEX(tun_ResearcherShare,G315)*tun_OutResearcher*INDEX(LM_Researcher,G315)))</x:f>
        <x:v>663.1105352266177</x:v>
      </x:c>
      <x:c r="AL315" s="32" t="n">
        <x:f>H315*tun_RoleScale*Arch_Roles*AE315*INDEX(tun_MonasteryPerSett,G315)*tun_OutMonastery*INDEX(LM_Monastery,G315)</x:f>
        <x:v>12.58570617804182</x:v>
      </x:c>
      <x:c r="AM315" s="32" t="n">
        <x:f>(AJ315+AK315+AL315)/4*INDEX(LM_All,G315)*INDEX(tun_Boon,G315)*Arch_Insight</x:f>
        <x:v>1602.1393246092032</x:v>
      </x:c>
      <x:c r="AN315" s="32" t="n">
        <x:f>H315*(tun_KHPerAdult*Z315+tun_KHOfCommons*AJ315/4*INDEX(LM_All,G315))*tun_KHUsable*Arch_KH</x:f>
        <x:v>294.2083661168224</x:v>
      </x:c>
      <x:c r="AO315" s="32" t="n">
        <x:f>MIN(AP314+AN315,AM315*tun_KHMaxRatio)</x:f>
        <x:v>294.2083661168224</x:v>
      </x:c>
      <x:c r="AP315" s="32" t="n">
        <x:f>AP314+AN315-AO315</x:f>
        <x:v>0</x:v>
      </x:c>
      <x:c r="AQ315" s="32" t="n">
        <x:f>AM315+AO315</x:f>
        <x:v>1896.3476907260256</x:v>
      </x:c>
      <x:c r="AR315" s="10" t="n">
        <x:f>IF(H315=1,INDEX(tun_Req,G315),0)</x:f>
        <x:v>88783.394528</x:v>
      </x:c>
      <x:c r="AS315" s="32" t="n">
        <x:f>IF(H315=1,IF(E315=1,AS314-AR314,AS314)+AQ315,0)</x:f>
        <x:v>90486.56009920426</x:v>
      </x:c>
      <x:c r="AT315" s="11" t="n">
        <x:f>IF(AR315&gt;0,MIN(1,AS315/AR315),1)</x:f>
        <x:v>1</x:v>
      </x:c>
      <x:c r="AU315" s="10" t="n">
        <x:f>AB315/INDEX(tun_RepScale,G315)</x:f>
        <x:v>513.6752760742204</x:v>
      </x:c>
      <x:c r="AV315" s="32" t="n">
        <x:f>AM315*60/tun_SeasonSeconds</x:f>
        <x:v>6408.557298436813</x:v>
      </x:c>
    </x:row>
    <x:row r="316">
      <x:c r="A316" s="8" t="n">
        <x:f>A315+1</x:f>
        <x:v>313</x:v>
      </x:c>
      <x:c r="B316" s="9" t="n">
        <x:f>A316*tun_SeasonSeconds/60</x:f>
        <x:v>78.25</x:v>
      </x:c>
      <x:c r="C316" s="9" t="n">
        <x:f>A316/4</x:f>
        <x:v>78.25</x:v>
      </x:c>
      <x:c r="D316" s="8" t="n">
        <x:f>IF(MOD(A316,4)=0,1,0)</x:f>
        <x:v>0</x:v>
      </x:c>
      <x:c r="E316" s="8" t="n">
        <x:f>IF(AND(F315&lt;=9,AS315&gt;=AR315),1,0)</x:f>
        <x:v>1</x:v>
      </x:c>
      <x:c r="F316" s="8" t="n">
        <x:f>MIN(10,F315+E316)</x:f>
        <x:v>6</x:v>
      </x:c>
      <x:c r="G316" s="8" t="n">
        <x:f>MIN(F316,9)+1</x:f>
        <x:v>7</x:v>
      </x:c>
      <x:c r="H316" s="8" t="n">
        <x:f>IF(F316&lt;=9,1,0)</x:f>
        <x:v>1</x:v>
      </x:c>
      <x:c r="I316" s="9" t="n">
        <x:f>MIN(10,F315+IF(AR315&gt;0,MIN(1,AS315/AR315),1))</x:f>
        <x:v>6</x:v>
      </x:c>
      <x:c r="J316" s="32" t="n">
        <x:f>INDEX(tun_FoodCap,G316)*Arch_FoodCap*EXP(tun_CapsByProject*SUMPRODUCT((Cap_Point&lt;=I316)*(Cap_Kind="Food")*Cap_Ln))</x:f>
        <x:v>610.0101168966467</x:v>
      </x:c>
      <x:c r="K316" s="32" t="n">
        <x:f>J316*MIN(1,tun_LeanBase*EXP(tun_CapsByProject*SUMPRODUCT((Cap_Point&lt;=I316)*(Cap_Kind="Lean")*Cap_Ln)))</x:f>
        <x:v>610.0101168966467</x:v>
      </x:c>
      <x:c r="L316" s="10" t="n">
        <x:f>INDEX(tun_HousingCap,G316)*EXP(tun_CapsByProject*SUMPRODUCT((Cap_Point&lt;=I316)*(Cap_Kind="Housing")*Cap_Ln))</x:f>
        <x:v>2125.258900135082</x:v>
      </x:c>
      <x:c r="M316" s="10" t="n">
        <x:f>INDEX(tun_GroupCap,G316)*tun_CohesionFactor*EXP(tun_CapsByProject*SUMPRODUCT((Cap_Point&lt;=I316)*(Cap_Kind="Group")*Cap_Ln))</x:f>
        <x:v>50000.00000000004</x:v>
      </x:c>
      <x:c r="N316" s="32" t="n">
        <x:f>MIN(J316,L316,M316)</x:f>
        <x:v>610.0101168966467</x:v>
      </x:c>
      <x:c r="O316" s="10" t="n">
        <x:f>AE315*N316</x:f>
        <x:v>3050.0505844832333</x:v>
      </x:c>
      <x:c r="P316" s="9" t="n">
        <x:f>MIN(1,(AB315/(AE315*IF(tun_GroupInCrowding=1,N316,MIN(J316,L316))))^tun_CrowdingExp)</x:f>
        <x:v>0.35654122437026015</x:v>
      </x:c>
      <x:c r="Q316" s="9" t="n">
        <x:f>IF(D316=1,INDEX(tun_WinterMult,G316),1)</x:f>
        <x:v>1</x:v>
      </x:c>
      <x:c r="R316" s="9" t="n">
        <x:f>H316*Z315*tun_WomenShare*tun_BaseFertility*INDEX(tun_FertMult,G316)*Arch_Fertility*(1-P316)</x:f>
        <x:v>43.47100732194388</x:v>
      </x:c>
      <x:c r="S316" s="9" t="n">
        <x:f>H316*Y315*INDEX(tun_MortChild,G316)/4*Q316</x:f>
        <x:v>8.508823745946263</x:v>
      </x:c>
      <x:c r="T316" s="9" t="n">
        <x:f>H316*Z315*INDEX(tun_MortAdult,G316)*Arch_AdultMort/4*Q316</x:f>
        <x:v>2.2440707643081326</x:v>
      </x:c>
      <x:c r="U316" s="9" t="n">
        <x:f>H316*AA315*INDEX(tun_MortElder,G316)/4*Q316</x:f>
        <x:v>3.210635333165168</x:v>
      </x:c>
      <x:c r="V316" s="9" t="n">
        <x:f>H316*MAX(0,AB315-O316)*tun_OvercapLoss</x:f>
        <x:v>0</x:v>
      </x:c>
      <x:c r="W316" s="9" t="n">
        <x:f>H316*Y315/(tun_ChildYears*4)</x:f>
        <x:v>24.31092498841789</x:v>
      </x:c>
      <x:c r="X316" s="9" t="n">
        <x:f>H316*Z315/(tun_AdultYears*4)</x:f>
        <x:v>7.619934683559024</x:v>
      </x:c>
      <x:c r="Y316" s="32" t="n">
        <x:f>Y315+R316-S316-W316-Y315*V316/AB315</x:f>
        <x:v>1372.0630579389817</x:v>
      </x:c>
      <x:c r="Z316" s="32" t="n">
        <x:f>Z315+W316-X316-T316-Z315*V316/AB315</x:f>
        <x:v>959.3188203018698</x:v>
      </x:c>
      <x:c r="AA316" s="32" t="n">
        <x:f>AA315+X316-U316-AA315*V316/AB315</x:f>
        <x:v>266.50197960877495</x:v>
      </x:c>
      <x:c r="AB316" s="10" t="n">
        <x:f>Y316+Z316+AA316</x:f>
        <x:v>2597.8838578496266</x:v>
      </x:c>
      <x:c r="AC316" s="8" t="n">
        <x:f>IF(AND(tun_WinterTrigger=1,D316=1,AB315/AE315&gt;=K316),1,0)</x:f>
        <x:v>0</x:v>
      </x:c>
      <x:c r="AD316" s="8" t="n">
        <x:f>H316*IF(AND(OR(AB315/AE315&gt;=tun_FissionTrigger*N316,AC316=1),AB315/AE315*tun_DaughterShare&gt;=tun_MinDaughter),MAX(1,ROUND(AE315*tun_FissionRate,0)),0)</x:f>
        <x:v>0</x:v>
      </x:c>
      <x:c r="AE316" s="8" t="n">
        <x:f>IF(H316=1,MAX(1,MIN(INDEX(tun_Smax,G316),AE315+AD316)),AE315)</x:f>
        <x:v>5</x:v>
      </x:c>
      <x:c r="AF316" s="8" t="n">
        <x:f>MAX(0,AE316-AE315)</x:f>
        <x:v>0</x:v>
      </x:c>
      <x:c r="AG316" s="9" t="str">
        <x:f>IF(AF316&gt;0,B316,"")</x:f>
      </x:c>
      <x:c r="AH316" s="9" t="n">
        <x:f>IF(F316&gt;=1,1,(1+tun_LowTiesShare*(AE316-1))/AE316)</x:f>
        <x:v>1</x:v>
      </x:c>
      <x:c r="AI316" s="32" t="n">
        <x:f>(Z316+tun_ElderCommons*INDEX(LM_Elder,G316)*AA316)*AH316</x:f>
        <x:v>1958.7012438347758</x:v>
      </x:c>
      <x:c r="AJ316" s="32" t="n">
        <x:f>H316*tun_CommonsCoef*AI316^tun_CommonsExp*INDEX(LM_Commons,G316)</x:f>
        <x:v>4388.182228086942</x:v>
      </x:c>
      <x:c r="AK316" s="32" t="n">
        <x:f>H316*tun_RoleScale*Arch_Roles*(AE316*(INDEX(tun_ElderRolePerSett,G316)*tun_OutElder*INDEX(LM_Elder,G316)+INDEX(tun_ShamanPerSett,G316)*tun_OutShaman)+Z316*(INDEX(tun_PriestShare,G316)*tun_OutPriest+INDEX(tun_ScribeShare,G316)*tun_OutScribe*INDEX(LM_Scribe,G316)+INDEX(tun_ScholarShare,G316)*tun_OutScholar*INDEX(LM_Scholar,G316)+INDEX(tun_ResearcherShare,G316)*tun_OutResearcher*INDEX(LM_Researcher,G316)))</x:f>
        <x:v>1102.7608259205263</x:v>
      </x:c>
      <x:c r="AL316" s="32" t="n">
        <x:f>H316*tun_RoleScale*Arch_Roles*AE316*INDEX(tun_MonasteryPerSett,G316)*tun_OutMonastery*INDEX(LM_Monastery,G316)</x:f>
        <x:v>26.400000000000002</x:v>
      </x:c>
      <x:c r="AM316" s="32" t="n">
        <x:f>(AJ316+AK316+AL316)/4*INDEX(LM_All,G316)*INDEX(tun_Boon,G316)*Arch_Insight</x:f>
        <x:v>2521.253405642649</x:v>
      </x:c>
      <x:c r="AN316" s="32" t="n">
        <x:f>H316*(tun_KHPerAdult*Z316+tun_KHOfCommons*AJ316/4*INDEX(LM_All,G316))*tun_KHUsable*Arch_KH</x:f>
        <x:v>423.6371678729727</x:v>
      </x:c>
      <x:c r="AO316" s="32" t="n">
        <x:f>MIN(AP315+AN316,AM316*tun_KHMaxRatio)</x:f>
        <x:v>423.6371678729727</x:v>
      </x:c>
      <x:c r="AP316" s="32" t="n">
        <x:f>AP315+AN316-AO316</x:f>
        <x:v>0</x:v>
      </x:c>
      <x:c r="AQ316" s="32" t="n">
        <x:f>AM316+AO316</x:f>
        <x:v>2944.890573515622</x:v>
      </x:c>
      <x:c r="AR316" s="10" t="n">
        <x:f>IF(H316=1,INDEX(tun_Req,G316),0)</x:f>
        <x:v>434961.70024459995</x:v>
      </x:c>
      <x:c r="AS316" s="32" t="n">
        <x:f>IF(H316=1,IF(E316=1,AS315-AR315,AS315)+AQ316,0)</x:f>
        <x:v>4648.056144719878</x:v>
      </x:c>
      <x:c r="AT316" s="11" t="n">
        <x:f>IF(AR316&gt;0,MIN(1,AS316/AR316),1)</x:f>
        <x:v>0.010686127404104894</x:v>
      </x:c>
      <x:c r="AU316" s="10" t="n">
        <x:f>AB316/INDEX(tun_RepScale,G316)</x:f>
        <x:v>103.91535431398506</x:v>
      </x:c>
      <x:c r="AV316" s="32" t="n">
        <x:f>AM316*60/tun_SeasonSeconds</x:f>
        <x:v>10085.013622570596</x:v>
      </x:c>
    </x:row>
    <x:row r="317">
      <x:c r="A317" s="8" t="n">
        <x:f>A316+1</x:f>
        <x:v>314</x:v>
      </x:c>
      <x:c r="B317" s="9" t="n">
        <x:f>A317*tun_SeasonSeconds/60</x:f>
        <x:v>78.5</x:v>
      </x:c>
      <x:c r="C317" s="9" t="n">
        <x:f>A317/4</x:f>
        <x:v>78.5</x:v>
      </x:c>
      <x:c r="D317" s="8" t="n">
        <x:f>IF(MOD(A317,4)=0,1,0)</x:f>
        <x:v>0</x:v>
      </x:c>
      <x:c r="E317" s="8" t="n">
        <x:f>IF(AND(F316&lt;=9,AS316&gt;=AR316),1,0)</x:f>
        <x:v>0</x:v>
      </x:c>
      <x:c r="F317" s="8" t="n">
        <x:f>MIN(10,F316+E317)</x:f>
        <x:v>6</x:v>
      </x:c>
      <x:c r="G317" s="8" t="n">
        <x:f>MIN(F317,9)+1</x:f>
        <x:v>7</x:v>
      </x:c>
      <x:c r="H317" s="8" t="n">
        <x:f>IF(F317&lt;=9,1,0)</x:f>
        <x:v>1</x:v>
      </x:c>
      <x:c r="I317" s="9" t="n">
        <x:f>MIN(10,F316+IF(AR316&gt;0,MIN(1,AS316/AR316),1))</x:f>
        <x:v>6.010686127404105</x:v>
      </x:c>
      <x:c r="J317" s="32" t="n">
        <x:f>INDEX(tun_FoodCap,G317)*Arch_FoodCap*EXP(tun_CapsByProject*SUMPRODUCT((Cap_Point&lt;=I317)*(Cap_Kind="Food")*Cap_Ln))</x:f>
        <x:v>610.0101168966467</x:v>
      </x:c>
      <x:c r="K317" s="32" t="n">
        <x:f>J317*MIN(1,tun_LeanBase*EXP(tun_CapsByProject*SUMPRODUCT((Cap_Point&lt;=I317)*(Cap_Kind="Lean")*Cap_Ln)))</x:f>
        <x:v>610.0101168966467</x:v>
      </x:c>
      <x:c r="L317" s="10" t="n">
        <x:f>INDEX(tun_HousingCap,G317)*EXP(tun_CapsByProject*SUMPRODUCT((Cap_Point&lt;=I317)*(Cap_Kind="Housing")*Cap_Ln))</x:f>
        <x:v>2125.258900135082</x:v>
      </x:c>
      <x:c r="M317" s="10" t="n">
        <x:f>INDEX(tun_GroupCap,G317)*tun_CohesionFactor*EXP(tun_CapsByProject*SUMPRODUCT((Cap_Point&lt;=I317)*(Cap_Kind="Group")*Cap_Ln))</x:f>
        <x:v>50000.00000000004</x:v>
      </x:c>
      <x:c r="N317" s="32" t="n">
        <x:f>MIN(J317,L317,M317)</x:f>
        <x:v>610.0101168966467</x:v>
      </x:c>
      <x:c r="O317" s="10" t="n">
        <x:f>AE316*N317</x:f>
        <x:v>3050.0505844832333</x:v>
      </x:c>
      <x:c r="P317" s="9" t="n">
        <x:f>MIN(1,(AB316/(AE316*IF(tun_GroupInCrowding=1,N317,MIN(J317,L317))))^tun_CrowdingExp)</x:f>
        <x:v>0.3818353529417434</x:v>
      </x:c>
      <x:c r="Q317" s="9" t="n">
        <x:f>IF(D317=1,INDEX(tun_WinterMult,G317),1)</x:f>
        <x:v>1</x:v>
      </x:c>
      <x:c r="R317" s="9" t="n">
        <x:f>H317*Z316*tun_WomenShare*tun_BaseFertility*INDEX(tun_FertMult,G317)*Arch_Fertility*(1-P317)</x:f>
        <x:v>42.400714067729766</x:v>
      </x:c>
      <x:c r="S317" s="9" t="n">
        <x:f>H317*Y316*INDEX(tun_MortChild,G317)/4*Q317</x:f>
        <x:v>8.575394112118635</x:v>
      </x:c>
      <x:c r="T317" s="9" t="n">
        <x:f>H317*Z316*INDEX(tun_MortAdult,G317)*Arch_AdultMort/4*Q317</x:f>
        <x:v>2.2783821982169408</x:v>
      </x:c>
      <x:c r="U317" s="9" t="n">
        <x:f>H317*AA316*INDEX(tun_MortElder,G317)/4*Q317</x:f>
        <x:v>3.2646492502074933</x:v>
      </x:c>
      <x:c r="V317" s="9" t="n">
        <x:f>H317*MAX(0,AB316-O317)*tun_OvercapLoss</x:f>
        <x:v>0</x:v>
      </x:c>
      <x:c r="W317" s="9" t="n">
        <x:f>H317*Y316/(tun_ChildYears*4)</x:f>
        <x:v>24.501126034624672</x:v>
      </x:c>
      <x:c r="X317" s="9" t="n">
        <x:f>H317*Z316/(tun_AdultYears*4)</x:f>
        <x:v>7.736442099208627</x:v>
      </x:c>
      <x:c r="Y317" s="32" t="n">
        <x:f>Y316+R317-S317-W317-Y316*V317/AB316</x:f>
        <x:v>1381.3872518599683</x:v>
      </x:c>
      <x:c r="Z317" s="32" t="n">
        <x:f>Z316+W317-X317-T317-Z316*V317/AB316</x:f>
        <x:v>973.8051220390689</x:v>
      </x:c>
      <x:c r="AA317" s="32" t="n">
        <x:f>AA316+X317-U317-AA316*V317/AB316</x:f>
        <x:v>270.9737724577761</x:v>
      </x:c>
      <x:c r="AB317" s="10" t="n">
        <x:f>Y317+Z317+AA317</x:f>
        <x:v>2626.1661463568134</x:v>
      </x:c>
      <x:c r="AC317" s="8" t="n">
        <x:f>IF(AND(tun_WinterTrigger=1,D317=1,AB316/AE316&gt;=K317),1,0)</x:f>
        <x:v>0</x:v>
      </x:c>
      <x:c r="AD317" s="8" t="n">
        <x:f>H317*IF(AND(OR(AB316/AE316&gt;=tun_FissionTrigger*N317,AC317=1),AB316/AE316*tun_DaughterShare&gt;=tun_MinDaughter),MAX(1,ROUND(AE316*tun_FissionRate,0)),0)</x:f>
        <x:v>2</x:v>
      </x:c>
      <x:c r="AE317" s="8" t="n">
        <x:f>IF(H317=1,MAX(1,MIN(INDEX(tun_Smax,G317),AE316+AD317)),AE316)</x:f>
        <x:v>7</x:v>
      </x:c>
      <x:c r="AF317" s="8" t="n">
        <x:f>MAX(0,AE317-AE316)</x:f>
        <x:v>2</x:v>
      </x:c>
      <x:c r="AG317" s="9" t="n">
        <x:f>IF(AF317&gt;0,B317,"")</x:f>
        <x:v>78.5</x:v>
      </x:c>
      <x:c r="AH317" s="9" t="n">
        <x:f>IF(F317&gt;=1,1,(1+tun_LowTiesShare*(AE317-1))/AE317)</x:f>
        <x:v>1</x:v>
      </x:c>
      <x:c r="AI317" s="32" t="n">
        <x:f>(Z317+tun_ElderCommons*INDEX(LM_Elder,G317)*AA317)*AH317</x:f>
        <x:v>1989.9567687557292</x:v>
      </x:c>
      <x:c r="AJ317" s="32" t="n">
        <x:f>H317*tun_CommonsCoef*AI317^tun_CommonsExp*INDEX(LM_Commons,G317)</x:f>
        <x:v>4447.631324930591</x:v>
      </x:c>
      <x:c r="AK317" s="32" t="n">
        <x:f>H317*tun_RoleScale*Arch_Roles*(AE317*(INDEX(tun_ElderRolePerSett,G317)*tun_OutElder*INDEX(LM_Elder,G317)+INDEX(tun_ShamanPerSett,G317)*tun_OutShaman)+Z317*(INDEX(tun_PriestShare,G317)*tun_OutPriest+INDEX(tun_ScribeShare,G317)*tun_OutScribe*INDEX(LM_Scribe,G317)+INDEX(tun_ScholarShare,G317)*tun_OutScholar*INDEX(LM_Scholar,G317)+INDEX(tun_ResearcherShare,G317)*tun_OutResearcher*INDEX(LM_Researcher,G317)))</x:f>
        <x:v>1171.3746071130126</x:v>
      </x:c>
      <x:c r="AL317" s="32" t="n">
        <x:f>H317*tun_RoleScale*Arch_Roles*AE317*INDEX(tun_MonasteryPerSett,G317)*tun_OutMonastery*INDEX(LM_Monastery,G317)</x:f>
        <x:v>36.96000000000001</x:v>
      </x:c>
      <x:c r="AM317" s="32" t="n">
        <x:f>(AJ317+AK317+AL317)/4*INDEX(LM_All,G317)*INDEX(tun_Boon,G317)*Arch_Insight</x:f>
        <x:v>2584.5997301193797</x:v>
      </x:c>
      <x:c r="AN317" s="32" t="n">
        <x:f>H317*(tun_KHPerAdult*Z317+tun_KHOfCommons*AJ317/4*INDEX(LM_All,G317))*tun_KHUsable*Arch_KH</x:f>
        <x:v>429.37641153023276</x:v>
      </x:c>
      <x:c r="AO317" s="32" t="n">
        <x:f>MIN(AP316+AN317,AM317*tun_KHMaxRatio)</x:f>
        <x:v>429.37641153023276</x:v>
      </x:c>
      <x:c r="AP317" s="32" t="n">
        <x:f>AP316+AN317-AO317</x:f>
        <x:v>0</x:v>
      </x:c>
      <x:c r="AQ317" s="32" t="n">
        <x:f>AM317+AO317</x:f>
        <x:v>3013.9761416496126</x:v>
      </x:c>
      <x:c r="AR317" s="10" t="n">
        <x:f>IF(H317=1,INDEX(tun_Req,G317),0)</x:f>
        <x:v>434961.70024459995</x:v>
      </x:c>
      <x:c r="AS317" s="32" t="n">
        <x:f>IF(H317=1,IF(E317=1,AS316-AR316,AS316)+AQ317,0)</x:f>
        <x:v>7662.032286369491</x:v>
      </x:c>
      <x:c r="AT317" s="11" t="n">
        <x:f>IF(AR317&gt;0,MIN(1,AS317/AR317),1)</x:f>
        <x:v>0.017615418281795296</x:v>
      </x:c>
      <x:c r="AU317" s="10" t="n">
        <x:f>AB317/INDEX(tun_RepScale,G317)</x:f>
        <x:v>105.04664585427254</x:v>
      </x:c>
      <x:c r="AV317" s="32" t="n">
        <x:f>AM317*60/tun_SeasonSeconds</x:f>
        <x:v>10338.398920477519</x:v>
      </x:c>
    </x:row>
    <x:row r="318">
      <x:c r="A318" s="8" t="n">
        <x:f>A317+1</x:f>
        <x:v>315</x:v>
      </x:c>
      <x:c r="B318" s="9" t="n">
        <x:f>A318*tun_SeasonSeconds/60</x:f>
        <x:v>78.75</x:v>
      </x:c>
      <x:c r="C318" s="9" t="n">
        <x:f>A318/4</x:f>
        <x:v>78.75</x:v>
      </x:c>
      <x:c r="D318" s="8" t="n">
        <x:f>IF(MOD(A318,4)=0,1,0)</x:f>
        <x:v>0</x:v>
      </x:c>
      <x:c r="E318" s="8" t="n">
        <x:f>IF(AND(F317&lt;=9,AS317&gt;=AR317),1,0)</x:f>
        <x:v>0</x:v>
      </x:c>
      <x:c r="F318" s="8" t="n">
        <x:f>MIN(10,F317+E318)</x:f>
        <x:v>6</x:v>
      </x:c>
      <x:c r="G318" s="8" t="n">
        <x:f>MIN(F318,9)+1</x:f>
        <x:v>7</x:v>
      </x:c>
      <x:c r="H318" s="8" t="n">
        <x:f>IF(F318&lt;=9,1,0)</x:f>
        <x:v>1</x:v>
      </x:c>
      <x:c r="I318" s="9" t="n">
        <x:f>MIN(10,F317+IF(AR317&gt;0,MIN(1,AS317/AR317),1))</x:f>
        <x:v>6.017615418281795</x:v>
      </x:c>
      <x:c r="J318" s="32" t="n">
        <x:f>INDEX(tun_FoodCap,G318)*Arch_FoodCap*EXP(tun_CapsByProject*SUMPRODUCT((Cap_Point&lt;=I318)*(Cap_Kind="Food")*Cap_Ln))</x:f>
        <x:v>610.0101168966467</x:v>
      </x:c>
      <x:c r="K318" s="32" t="n">
        <x:f>J318*MIN(1,tun_LeanBase*EXP(tun_CapsByProject*SUMPRODUCT((Cap_Point&lt;=I318)*(Cap_Kind="Lean")*Cap_Ln)))</x:f>
        <x:v>610.0101168966467</x:v>
      </x:c>
      <x:c r="L318" s="10" t="n">
        <x:f>INDEX(tun_HousingCap,G318)*EXP(tun_CapsByProject*SUMPRODUCT((Cap_Point&lt;=I318)*(Cap_Kind="Housing")*Cap_Ln))</x:f>
        <x:v>2125.258900135082</x:v>
      </x:c>
      <x:c r="M318" s="10" t="n">
        <x:f>INDEX(tun_GroupCap,G318)*tun_CohesionFactor*EXP(tun_CapsByProject*SUMPRODUCT((Cap_Point&lt;=I318)*(Cap_Kind="Group")*Cap_Ln))</x:f>
        <x:v>50000.00000000004</x:v>
      </x:c>
      <x:c r="N318" s="32" t="n">
        <x:f>MIN(J318,L318,M318)</x:f>
        <x:v>610.0101168966467</x:v>
      </x:c>
      <x:c r="O318" s="10" t="n">
        <x:f>AE317*N318</x:f>
        <x:v>4270.070818276527</x:v>
      </x:c>
      <x:c r="P318" s="9" t="n">
        <x:f>MIN(1,(AB317/(AE317*IF(tun_GroupInCrowding=1,N318,MIN(J318,L318))))^tun_CrowdingExp)</x:f>
        <x:v>0.05411563076367142</x:v>
      </x:c>
      <x:c r="Q318" s="9" t="n">
        <x:f>IF(D318=1,INDEX(tun_WinterMult,G318),1)</x:f>
        <x:v>1</x:v>
      </x:c>
      <x:c r="R318" s="9" t="n">
        <x:f>H318*Z317*tun_WomenShare*tun_BaseFertility*INDEX(tun_FertMult,G318)*Arch_Fertility*(1-P318)</x:f>
        <x:v>65.8591536187607</x:v>
      </x:c>
      <x:c r="S318" s="9" t="n">
        <x:f>H318*Y317*INDEX(tun_MortChild,G318)/4*Q318</x:f>
        <x:v>8.633670324124802</x:v>
      </x:c>
      <x:c r="T318" s="9" t="n">
        <x:f>H318*Z317*INDEX(tun_MortAdult,G318)*Arch_AdultMort/4*Q318</x:f>
        <x:v>2.3127871648427885</x:v>
      </x:c>
      <x:c r="U318" s="9" t="n">
        <x:f>H318*AA317*INDEX(tun_MortElder,G318)/4*Q318</x:f>
        <x:v>3.319428712607757</x:v>
      </x:c>
      <x:c r="V318" s="9" t="n">
        <x:f>H318*MAX(0,AB317-O318)*tun_OvercapLoss</x:f>
        <x:v>0</x:v>
      </x:c>
      <x:c r="W318" s="9" t="n">
        <x:f>H318*Y317/(tun_ChildYears*4)</x:f>
        <x:v>24.667629497499433</x:v>
      </x:c>
      <x:c r="X318" s="9" t="n">
        <x:f>H318*Z317/(tun_AdultYears*4)</x:f>
        <x:v>7.853267113218298</x:v>
      </x:c>
      <x:c r="Y318" s="32" t="n">
        <x:f>Y317+R318-S318-W318-Y317*V318/AB317</x:f>
        <x:v>1413.9451056571047</x:v>
      </x:c>
      <x:c r="Z318" s="32" t="n">
        <x:f>Z317+W318-X318-T318-Z317*V318/AB317</x:f>
        <x:v>988.3066972585073</x:v>
      </x:c>
      <x:c r="AA318" s="32" t="n">
        <x:f>AA317+X318-U318-AA317*V318/AB317</x:f>
        <x:v>275.5076108583866</x:v>
      </x:c>
      <x:c r="AB318" s="10" t="n">
        <x:f>Y318+Z318+AA318</x:f>
        <x:v>2677.7594137739984</x:v>
      </x:c>
      <x:c r="AC318" s="8" t="n">
        <x:f>IF(AND(tun_WinterTrigger=1,D318=1,AB317/AE317&gt;=K318),1,0)</x:f>
        <x:v>0</x:v>
      </x:c>
      <x:c r="AD318" s="8" t="n">
        <x:f>H318*IF(AND(OR(AB317/AE317&gt;=tun_FissionTrigger*N318,AC318=1),AB317/AE317*tun_DaughterShare&gt;=tun_MinDaughter),MAX(1,ROUND(AE317*tun_FissionRate,0)),0)</x:f>
        <x:v>0</x:v>
      </x:c>
      <x:c r="AE318" s="8" t="n">
        <x:f>IF(H318=1,MAX(1,MIN(INDEX(tun_Smax,G318),AE317+AD318)),AE317)</x:f>
        <x:v>7</x:v>
      </x:c>
      <x:c r="AF318" s="8" t="n">
        <x:f>MAX(0,AE318-AE317)</x:f>
        <x:v>0</x:v>
      </x:c>
      <x:c r="AG318" s="9" t="str">
        <x:f>IF(AF318&gt;0,B318,"")</x:f>
      </x:c>
      <x:c r="AH318" s="9" t="n">
        <x:f>IF(F318&gt;=1,1,(1+tun_LowTiesShare*(AE318-1))/AE318)</x:f>
        <x:v>1</x:v>
      </x:c>
      <x:c r="AI318" s="32" t="n">
        <x:f>(Z318+tun_ElderCommons*INDEX(LM_Elder,G318)*AA318)*AH318</x:f>
        <x:v>2021.4602379774572</x:v>
      </x:c>
      <x:c r="AJ318" s="32" t="n">
        <x:f>H318*tun_CommonsCoef*AI318^tun_CommonsExp*INDEX(LM_Commons,G318)</x:f>
        <x:v>4507.410454928673</x:v>
      </x:c>
      <x:c r="AK318" s="32" t="n">
        <x:f>H318*tun_RoleScale*Arch_Roles*(AE318*(INDEX(tun_ElderRolePerSett,G318)*tun_OutElder*INDEX(LM_Elder,G318)+INDEX(tun_ShamanPerSett,G318)*tun_OutShaman)+Z318*(INDEX(tun_PriestShare,G318)*tun_OutPriest+INDEX(tun_ScribeShare,G318)*tun_OutScribe*INDEX(LM_Scribe,G318)+INDEX(tun_ScholarShare,G318)*tun_OutScholar*INDEX(LM_Scholar,G318)+INDEX(tun_ResearcherShare,G318)*tun_OutResearcher*INDEX(LM_Researcher,G318)))</x:f>
        <x:v>1186.0037961943822</x:v>
      </x:c>
      <x:c r="AL318" s="32" t="n">
        <x:f>H318*tun_RoleScale*Arch_Roles*AE318*INDEX(tun_MonasteryPerSett,G318)*tun_OutMonastery*INDEX(LM_Monastery,G318)</x:f>
        <x:v>36.96000000000001</x:v>
      </x:c>
      <x:c r="AM318" s="32" t="n">
        <x:f>(AJ318+AK318+AL318)/4*INDEX(LM_All,G318)*INDEX(tun_Boon,G318)*Arch_Insight</x:f>
        <x:v>2618.60200731165</x:v>
      </x:c>
      <x:c r="AN318" s="32" t="n">
        <x:f>H318*(tun_KHPerAdult*Z318+tun_KHOfCommons*AJ318/4*INDEX(LM_All,G318))*tun_KHUsable*Arch_KH</x:f>
        <x:v>435.1475167428206</x:v>
      </x:c>
      <x:c r="AO318" s="32" t="n">
        <x:f>MIN(AP317+AN318,AM318*tun_KHMaxRatio)</x:f>
        <x:v>435.1475167428206</x:v>
      </x:c>
      <x:c r="AP318" s="32" t="n">
        <x:f>AP317+AN318-AO318</x:f>
        <x:v>0</x:v>
      </x:c>
      <x:c r="AQ318" s="32" t="n">
        <x:f>AM318+AO318</x:f>
        <x:v>3053.749524054471</x:v>
      </x:c>
      <x:c r="AR318" s="10" t="n">
        <x:f>IF(H318=1,INDEX(tun_Req,G318),0)</x:f>
        <x:v>434961.70024459995</x:v>
      </x:c>
      <x:c r="AS318" s="32" t="n">
        <x:f>IF(H318=1,IF(E318=1,AS317-AR317,AS317)+AQ318,0)</x:f>
        <x:v>10715.781810423961</x:v>
      </x:c>
      <x:c r="AT318" s="11" t="n">
        <x:f>IF(AR318&gt;0,MIN(1,AS318/AR318),1)</x:f>
        <x:v>0.02463615027345617</x:v>
      </x:c>
      <x:c r="AU318" s="10" t="n">
        <x:f>AB318/INDEX(tun_RepScale,G318)</x:f>
        <x:v>107.11037655095994</x:v>
      </x:c>
      <x:c r="AV318" s="32" t="n">
        <x:f>AM318*60/tun_SeasonSeconds</x:f>
        <x:v>10474.4080292466</x:v>
      </x:c>
    </x:row>
    <x:row r="319">
      <x:c r="A319" s="8" t="n">
        <x:f>A318+1</x:f>
        <x:v>316</x:v>
      </x:c>
      <x:c r="B319" s="9" t="n">
        <x:f>A319*tun_SeasonSeconds/60</x:f>
        <x:v>79</x:v>
      </x:c>
      <x:c r="C319" s="9" t="n">
        <x:f>A319/4</x:f>
        <x:v>79</x:v>
      </x:c>
      <x:c r="D319" s="8" t="n">
        <x:f>IF(MOD(A319,4)=0,1,0)</x:f>
        <x:v>1</x:v>
      </x:c>
      <x:c r="E319" s="8" t="n">
        <x:f>IF(AND(F318&lt;=9,AS318&gt;=AR318),1,0)</x:f>
        <x:v>0</x:v>
      </x:c>
      <x:c r="F319" s="8" t="n">
        <x:f>MIN(10,F318+E319)</x:f>
        <x:v>6</x:v>
      </x:c>
      <x:c r="G319" s="8" t="n">
        <x:f>MIN(F319,9)+1</x:f>
        <x:v>7</x:v>
      </x:c>
      <x:c r="H319" s="8" t="n">
        <x:f>IF(F319&lt;=9,1,0)</x:f>
        <x:v>1</x:v>
      </x:c>
      <x:c r="I319" s="9" t="n">
        <x:f>MIN(10,F318+IF(AR318&gt;0,MIN(1,AS318/AR318),1))</x:f>
        <x:v>6.024636150273456</x:v>
      </x:c>
      <x:c r="J319" s="32" t="n">
        <x:f>INDEX(tun_FoodCap,G319)*Arch_FoodCap*EXP(tun_CapsByProject*SUMPRODUCT((Cap_Point&lt;=I319)*(Cap_Kind="Food")*Cap_Ln))</x:f>
        <x:v>610.0101168966467</x:v>
      </x:c>
      <x:c r="K319" s="32" t="n">
        <x:f>J319*MIN(1,tun_LeanBase*EXP(tun_CapsByProject*SUMPRODUCT((Cap_Point&lt;=I319)*(Cap_Kind="Lean")*Cap_Ln)))</x:f>
        <x:v>610.0101168966467</x:v>
      </x:c>
      <x:c r="L319" s="10" t="n">
        <x:f>INDEX(tun_HousingCap,G319)*EXP(tun_CapsByProject*SUMPRODUCT((Cap_Point&lt;=I319)*(Cap_Kind="Housing")*Cap_Ln))</x:f>
        <x:v>2125.258900135082</x:v>
      </x:c>
      <x:c r="M319" s="10" t="n">
        <x:f>INDEX(tun_GroupCap,G319)*tun_CohesionFactor*EXP(tun_CapsByProject*SUMPRODUCT((Cap_Point&lt;=I319)*(Cap_Kind="Group")*Cap_Ln))</x:f>
        <x:v>50000.00000000004</x:v>
      </x:c>
      <x:c r="N319" s="32" t="n">
        <x:f>MIN(J319,L319,M319)</x:f>
        <x:v>610.0101168966467</x:v>
      </x:c>
      <x:c r="O319" s="10" t="n">
        <x:f>AE318*N319</x:f>
        <x:v>4270.070818276527</x:v>
      </x:c>
      <x:c r="P319" s="9" t="n">
        <x:f>MIN(1,(AB318/(AE318*IF(tun_GroupInCrowding=1,N319,MIN(J319,L319))))^tun_CrowdingExp)</x:f>
        <x:v>0.06081614139245776</x:v>
      </x:c>
      <x:c r="Q319" s="9" t="n">
        <x:f>IF(D319=1,INDEX(tun_WinterMult,G319),1)</x:f>
        <x:v>1.1</x:v>
      </x:c>
      <x:c r="R319" s="9" t="n">
        <x:f>H319*Z318*tun_WomenShare*tun_BaseFertility*INDEX(tun_FertMult,G319)*Arch_Fertility*(1-P319)</x:f>
        <x:v>66.36642136545287</x:v>
      </x:c>
      <x:c r="S319" s="9" t="n">
        <x:f>H319*Y318*INDEX(tun_MortChild,G319)/4*Q319</x:f>
        <x:v>9.720872601392596</x:v>
      </x:c>
      <x:c r="T319" s="9" t="n">
        <x:f>H319*Z318*INDEX(tun_MortAdult,G319)*Arch_AdultMort/4*Q319</x:f>
        <x:v>2.5819512465878502</x:v>
      </x:c>
      <x:c r="U319" s="9" t="n">
        <x:f>H319*AA318*INDEX(tun_MortElder,G319)/4*Q319</x:f>
        <x:v>3.71246505631676</x:v>
      </x:c>
      <x:c r="V319" s="9" t="n">
        <x:f>H319*MAX(0,AB318-O319)*tun_OvercapLoss</x:f>
        <x:v>0</x:v>
      </x:c>
      <x:c r="W319" s="9" t="n">
        <x:f>H319*Y318/(tun_ChildYears*4)</x:f>
        <x:v>25.249019743876868</x:v>
      </x:c>
      <x:c r="X319" s="9" t="n">
        <x:f>H319*Z318/(tun_AdultYears*4)</x:f>
        <x:v>7.970215300471833</x:v>
      </x:c>
      <x:c r="Y319" s="32" t="n">
        <x:f>Y318+R319-S319-W319-Y318*V319/AB318</x:f>
        <x:v>1445.341634677288</x:v>
      </x:c>
      <x:c r="Z319" s="32" t="n">
        <x:f>Z318+W319-X319-T319-Z318*V319/AB318</x:f>
        <x:v>1003.0035504553243</x:v>
      </x:c>
      <x:c r="AA319" s="32" t="n">
        <x:f>AA318+X319-U319-AA318*V319/AB318</x:f>
        <x:v>279.76536110254165</x:v>
      </x:c>
      <x:c r="AB319" s="10" t="n">
        <x:f>Y319+Z319+AA319</x:f>
        <x:v>2728.1105462351543</x:v>
      </x:c>
      <x:c r="AC319" s="8" t="n">
        <x:f>IF(AND(tun_WinterTrigger=1,D319=1,AB318/AE318&gt;=K319),1,0)</x:f>
        <x:v>0</x:v>
      </x:c>
      <x:c r="AD319" s="8" t="n">
        <x:f>H319*IF(AND(OR(AB318/AE318&gt;=tun_FissionTrigger*N319,AC319=1),AB318/AE318*tun_DaughterShare&gt;=tun_MinDaughter),MAX(1,ROUND(AE318*tun_FissionRate,0)),0)</x:f>
        <x:v>0</x:v>
      </x:c>
      <x:c r="AE319" s="8" t="n">
        <x:f>IF(H319=1,MAX(1,MIN(INDEX(tun_Smax,G319),AE318+AD319)),AE318)</x:f>
        <x:v>7</x:v>
      </x:c>
      <x:c r="AF319" s="8" t="n">
        <x:f>MAX(0,AE319-AE318)</x:f>
        <x:v>0</x:v>
      </x:c>
      <x:c r="AG319" s="9" t="str">
        <x:f>IF(AF319&gt;0,B319,"")</x:f>
      </x:c>
      <x:c r="AH319" s="9" t="n">
        <x:f>IF(F319&gt;=1,1,(1+tun_LowTiesShare*(AE319-1))/AE319)</x:f>
        <x:v>1</x:v>
      </x:c>
      <x:c r="AI319" s="32" t="n">
        <x:f>(Z319+tun_ElderCommons*INDEX(LM_Elder,G319)*AA319)*AH319</x:f>
        <x:v>2052.1236545898555</x:v>
      </x:c>
      <x:c r="AJ319" s="32" t="n">
        <x:f>H319*tun_CommonsCoef*AI319^tun_CommonsExp*INDEX(LM_Commons,G319)</x:f>
        <x:v>4565.46147579016</x:v>
      </x:c>
      <x:c r="AK319" s="32" t="n">
        <x:f>H319*tun_RoleScale*Arch_Roles*(AE319*(INDEX(tun_ElderRolePerSett,G319)*tun_OutElder*INDEX(LM_Elder,G319)+INDEX(tun_ShamanPerSett,G319)*tun_OutShaman)+Z319*(INDEX(tun_PriestShare,G319)*tun_OutPriest+INDEX(tun_ScribeShare,G319)*tun_OutScribe*INDEX(LM_Scribe,G319)+INDEX(tun_ScholarShare,G319)*tun_OutScholar*INDEX(LM_Scholar,G319)+INDEX(tun_ResearcherShare,G319)*tun_OutResearcher*INDEX(LM_Researcher,G319)))</x:f>
        <x:v>1200.8299816993313</x:v>
      </x:c>
      <x:c r="AL319" s="32" t="n">
        <x:f>H319*tun_RoleScale*Arch_Roles*AE319*INDEX(tun_MonasteryPerSett,G319)*tun_OutMonastery*INDEX(LM_Monastery,G319)</x:f>
        <x:v>36.96000000000001</x:v>
      </x:c>
      <x:c r="AM319" s="32" t="n">
        <x:f>(AJ319+AK319+AL319)/4*INDEX(LM_All,G319)*INDEX(tun_Boon,G319)*Arch_Insight</x:f>
        <x:v>2651.9046138283215</x:v>
      </x:c>
      <x:c r="AN319" s="32" t="n">
        <x:f>H319*(tun_KHPerAdult*Z319+tun_KHOfCommons*AJ319/4*INDEX(LM_All,G319))*tun_KHUsable*Arch_KH</x:f>
        <x:v>440.7517894898566</x:v>
      </x:c>
      <x:c r="AO319" s="32" t="n">
        <x:f>MIN(AP318+AN319,AM319*tun_KHMaxRatio)</x:f>
        <x:v>440.7517894898566</x:v>
      </x:c>
      <x:c r="AP319" s="32" t="n">
        <x:f>AP318+AN319-AO319</x:f>
        <x:v>0</x:v>
      </x:c>
      <x:c r="AQ319" s="32" t="n">
        <x:f>AM319+AO319</x:f>
        <x:v>3092.656403318178</x:v>
      </x:c>
      <x:c r="AR319" s="10" t="n">
        <x:f>IF(H319=1,INDEX(tun_Req,G319),0)</x:f>
        <x:v>434961.70024459995</x:v>
      </x:c>
      <x:c r="AS319" s="32" t="n">
        <x:f>IF(H319=1,IF(E319=1,AS318-AR318,AS318)+AQ319,0)</x:f>
        <x:v>13808.43821374214</x:v>
      </x:c>
      <x:c r="AT319" s="11" t="n">
        <x:f>IF(AR319&gt;0,MIN(1,AS319/AR319),1)</x:f>
        <x:v>0.031746331242445</x:v>
      </x:c>
      <x:c r="AU319" s="10" t="n">
        <x:f>AB319/INDEX(tun_RepScale,G319)</x:f>
        <x:v>109.12442184940618</x:v>
      </x:c>
      <x:c r="AV319" s="32" t="n">
        <x:f>AM319*60/tun_SeasonSeconds</x:f>
        <x:v>10607.618455313286</x:v>
      </x:c>
    </x:row>
    <x:row r="320">
      <x:c r="A320" s="8" t="n">
        <x:f>A319+1</x:f>
        <x:v>317</x:v>
      </x:c>
      <x:c r="B320" s="9" t="n">
        <x:f>A320*tun_SeasonSeconds/60</x:f>
        <x:v>79.25</x:v>
      </x:c>
      <x:c r="C320" s="9" t="n">
        <x:f>A320/4</x:f>
        <x:v>79.25</x:v>
      </x:c>
      <x:c r="D320" s="8" t="n">
        <x:f>IF(MOD(A320,4)=0,1,0)</x:f>
        <x:v>0</x:v>
      </x:c>
      <x:c r="E320" s="8" t="n">
        <x:f>IF(AND(F319&lt;=9,AS319&gt;=AR319),1,0)</x:f>
        <x:v>0</x:v>
      </x:c>
      <x:c r="F320" s="8" t="n">
        <x:f>MIN(10,F319+E320)</x:f>
        <x:v>6</x:v>
      </x:c>
      <x:c r="G320" s="8" t="n">
        <x:f>MIN(F320,9)+1</x:f>
        <x:v>7</x:v>
      </x:c>
      <x:c r="H320" s="8" t="n">
        <x:f>IF(F320&lt;=9,1,0)</x:f>
        <x:v>1</x:v>
      </x:c>
      <x:c r="I320" s="9" t="n">
        <x:f>MIN(10,F319+IF(AR319&gt;0,MIN(1,AS319/AR319),1))</x:f>
        <x:v>6.031746331242445</x:v>
      </x:c>
      <x:c r="J320" s="32" t="n">
        <x:f>INDEX(tun_FoodCap,G320)*Arch_FoodCap*EXP(tun_CapsByProject*SUMPRODUCT((Cap_Point&lt;=I320)*(Cap_Kind="Food")*Cap_Ln))</x:f>
        <x:v>610.0101168966467</x:v>
      </x:c>
      <x:c r="K320" s="32" t="n">
        <x:f>J320*MIN(1,tun_LeanBase*EXP(tun_CapsByProject*SUMPRODUCT((Cap_Point&lt;=I320)*(Cap_Kind="Lean")*Cap_Ln)))</x:f>
        <x:v>610.0101168966467</x:v>
      </x:c>
      <x:c r="L320" s="10" t="n">
        <x:f>INDEX(tun_HousingCap,G320)*EXP(tun_CapsByProject*SUMPRODUCT((Cap_Point&lt;=I320)*(Cap_Kind="Housing")*Cap_Ln))</x:f>
        <x:v>2125.258900135082</x:v>
      </x:c>
      <x:c r="M320" s="10" t="n">
        <x:f>INDEX(tun_GroupCap,G320)*tun_CohesionFactor*EXP(tun_CapsByProject*SUMPRODUCT((Cap_Point&lt;=I320)*(Cap_Kind="Group")*Cap_Ln))</x:f>
        <x:v>50000.00000000004</x:v>
      </x:c>
      <x:c r="N320" s="32" t="n">
        <x:f>MIN(J320,L320,M320)</x:f>
        <x:v>610.0101168966467</x:v>
      </x:c>
      <x:c r="O320" s="10" t="n">
        <x:f>AE319*N320</x:f>
        <x:v>4270.070818276527</x:v>
      </x:c>
      <x:c r="P320" s="9" t="n">
        <x:f>MIN(1,(AB319/(AE319*IF(tun_GroupInCrowding=1,N320,MIN(J320,L320))))^tun_CrowdingExp)</x:f>
        <x:v>0.0680082062299628</x:v>
      </x:c>
      <x:c r="Q320" s="9" t="n">
        <x:f>IF(D320=1,INDEX(tun_WinterMult,G320),1)</x:f>
        <x:v>1</x:v>
      </x:c>
      <x:c r="R320" s="9" t="n">
        <x:f>H320*Z319*tun_WomenShare*tun_BaseFertility*INDEX(tun_FertMult,G320)*Arch_Fertility*(1-P320)</x:f>
        <x:v>66.83756208748004</x:v>
      </x:c>
      <x:c r="S320" s="9" t="n">
        <x:f>H320*Y319*INDEX(tun_MortChild,G320)/4*Q320</x:f>
        <x:v>9.03338521673305</x:v>
      </x:c>
      <x:c r="T320" s="9" t="n">
        <x:f>H320*Z319*INDEX(tun_MortAdult,G320)*Arch_AdultMort/4*Q320</x:f>
        <x:v>2.382133432331395</x:v>
      </x:c>
      <x:c r="U320" s="9" t="n">
        <x:f>H320*AA319*INDEX(tun_MortElder,G320)/4*Q320</x:f>
        <x:v>3.4271256735061355</x:v>
      </x:c>
      <x:c r="V320" s="9" t="n">
        <x:f>H320*MAX(0,AB319-O320)*tun_OvercapLoss</x:f>
        <x:v>0</x:v>
      </x:c>
      <x:c r="W320" s="9" t="n">
        <x:f>H320*Y319/(tun_ChildYears*4)</x:f>
        <x:v>25.809672047808714</x:v>
      </x:c>
      <x:c r="X320" s="9" t="n">
        <x:f>H320*Z319/(tun_AdultYears*4)</x:f>
        <x:v>8.088738310123583</x:v>
      </x:c>
      <x:c r="Y320" s="32" t="n">
        <x:f>Y319+R320-S320-W320-Y319*V320/AB319</x:f>
        <x:v>1477.3361395002264</x:v>
      </x:c>
      <x:c r="Z320" s="32" t="n">
        <x:f>Z319+W320-X320-T320-Z319*V320/AB319</x:f>
        <x:v>1018.3423507606781</x:v>
      </x:c>
      <x:c r="AA320" s="32" t="n">
        <x:f>AA319+X320-U320-AA319*V320/AB319</x:f>
        <x:v>284.4269737391591</x:v>
      </x:c>
      <x:c r="AB320" s="10" t="n">
        <x:f>Y320+Z320+AA320</x:f>
        <x:v>2780.1054640000634</x:v>
      </x:c>
      <x:c r="AC320" s="8" t="n">
        <x:f>IF(AND(tun_WinterTrigger=1,D320=1,AB319/AE319&gt;=K320),1,0)</x:f>
        <x:v>0</x:v>
      </x:c>
      <x:c r="AD320" s="8" t="n">
        <x:f>H320*IF(AND(OR(AB319/AE319&gt;=tun_FissionTrigger*N320,AC320=1),AB319/AE319*tun_DaughterShare&gt;=tun_MinDaughter),MAX(1,ROUND(AE319*tun_FissionRate,0)),0)</x:f>
        <x:v>0</x:v>
      </x:c>
      <x:c r="AE320" s="8" t="n">
        <x:f>IF(H320=1,MAX(1,MIN(INDEX(tun_Smax,G320),AE319+AD320)),AE319)</x:f>
        <x:v>7</x:v>
      </x:c>
      <x:c r="AF320" s="8" t="n">
        <x:f>MAX(0,AE320-AE319)</x:f>
        <x:v>0</x:v>
      </x:c>
      <x:c r="AG320" s="9" t="str">
        <x:f>IF(AF320&gt;0,B320,"")</x:f>
      </x:c>
      <x:c r="AH320" s="9" t="n">
        <x:f>IF(F320&gt;=1,1,(1+tun_LowTiesShare*(AE320-1))/AE320)</x:f>
        <x:v>1</x:v>
      </x:c>
      <x:c r="AI320" s="32" t="n">
        <x:f>(Z320+tun_ElderCommons*INDEX(LM_Elder,G320)*AA320)*AH320</x:f>
        <x:v>2084.9435022825246</x:v>
      </x:c>
      <x:c r="AJ320" s="32" t="n">
        <x:f>H320*tun_CommonsCoef*AI320^tun_CommonsExp*INDEX(LM_Commons,G320)</x:f>
        <x:v>4627.4510383259985</x:v>
      </x:c>
      <x:c r="AK320" s="32" t="n">
        <x:f>H320*tun_RoleScale*Arch_Roles*(AE320*(INDEX(tun_ElderRolePerSett,G320)*tun_OutElder*INDEX(LM_Elder,G320)+INDEX(tun_ShamanPerSett,G320)*tun_OutShaman)+Z320*(INDEX(tun_PriestShare,G320)*tun_OutPriest+INDEX(tun_ScribeShare,G320)*tun_OutScribe*INDEX(LM_Scribe,G320)+INDEX(tun_ScholarShare,G320)*tun_OutScholar*INDEX(LM_Scholar,G320)+INDEX(tun_ResearcherShare,G320)*tun_OutResearcher*INDEX(LM_Researcher,G320)))</x:f>
        <x:v>1216.303763447372</x:v>
      </x:c>
      <x:c r="AL320" s="32" t="n">
        <x:f>H320*tun_RoleScale*Arch_Roles*AE320*INDEX(tun_MonasteryPerSett,G320)*tun_OutMonastery*INDEX(LM_Monastery,G320)</x:f>
        <x:v>36.96000000000001</x:v>
      </x:c>
      <x:c r="AM320" s="32" t="n">
        <x:f>(AJ320+AK320+AL320)/4*INDEX(LM_All,G320)*INDEX(tun_Boon,G320)*Arch_Insight</x:f>
        <x:v>2687.302942095465</x:v>
      </x:c>
      <x:c r="AN320" s="32" t="n">
        <x:f>H320*(tun_KHPerAdult*Z320+tun_KHOfCommons*AJ320/4*INDEX(LM_All,G320))*tun_KHUsable*Arch_KH</x:f>
        <x:v>446.73629089508097</x:v>
      </x:c>
      <x:c r="AO320" s="32" t="n">
        <x:f>MIN(AP319+AN320,AM320*tun_KHMaxRatio)</x:f>
        <x:v>446.73629089508097</x:v>
      </x:c>
      <x:c r="AP320" s="32" t="n">
        <x:f>AP319+AN320-AO320</x:f>
        <x:v>0</x:v>
      </x:c>
      <x:c r="AQ320" s="32" t="n">
        <x:f>AM320+AO320</x:f>
        <x:v>3134.0392329905458</x:v>
      </x:c>
      <x:c r="AR320" s="10" t="n">
        <x:f>IF(H320=1,INDEX(tun_Req,G320),0)</x:f>
        <x:v>434961.70024459995</x:v>
      </x:c>
      <x:c r="AS320" s="32" t="n">
        <x:f>IF(H320=1,IF(E320=1,AS319-AR319,AS319)+AQ320,0)</x:f>
        <x:v>16942.477446732686</x:v>
      </x:c>
      <x:c r="AT320" s="11" t="n">
        <x:f>IF(AR320&gt;0,MIN(1,AS320/AR320),1)</x:f>
        <x:v>0.03895165352996623</x:v>
      </x:c>
      <x:c r="AU320" s="10" t="n">
        <x:f>AB320/INDEX(tun_RepScale,G320)</x:f>
        <x:v>111.20421856000253</x:v>
      </x:c>
      <x:c r="AV320" s="32" t="n">
        <x:f>AM320*60/tun_SeasonSeconds</x:f>
        <x:v>10749.21176838186</x:v>
      </x:c>
    </x:row>
    <x:row r="321">
      <x:c r="A321" s="8" t="n">
        <x:f>A320+1</x:f>
        <x:v>318</x:v>
      </x:c>
      <x:c r="B321" s="9" t="n">
        <x:f>A321*tun_SeasonSeconds/60</x:f>
        <x:v>79.5</x:v>
      </x:c>
      <x:c r="C321" s="9" t="n">
        <x:f>A321/4</x:f>
        <x:v>79.5</x:v>
      </x:c>
      <x:c r="D321" s="8" t="n">
        <x:f>IF(MOD(A321,4)=0,1,0)</x:f>
        <x:v>0</x:v>
      </x:c>
      <x:c r="E321" s="8" t="n">
        <x:f>IF(AND(F320&lt;=9,AS320&gt;=AR320),1,0)</x:f>
        <x:v>0</x:v>
      </x:c>
      <x:c r="F321" s="8" t="n">
        <x:f>MIN(10,F320+E321)</x:f>
        <x:v>6</x:v>
      </x:c>
      <x:c r="G321" s="8" t="n">
        <x:f>MIN(F321,9)+1</x:f>
        <x:v>7</x:v>
      </x:c>
      <x:c r="H321" s="8" t="n">
        <x:f>IF(F321&lt;=9,1,0)</x:f>
        <x:v>1</x:v>
      </x:c>
      <x:c r="I321" s="9" t="n">
        <x:f>MIN(10,F320+IF(AR320&gt;0,MIN(1,AS320/AR320),1))</x:f>
        <x:v>6.038951653529966</x:v>
      </x:c>
      <x:c r="J321" s="32" t="n">
        <x:f>INDEX(tun_FoodCap,G321)*Arch_FoodCap*EXP(tun_CapsByProject*SUMPRODUCT((Cap_Point&lt;=I321)*(Cap_Kind="Food")*Cap_Ln))</x:f>
        <x:v>610.0101168966467</x:v>
      </x:c>
      <x:c r="K321" s="32" t="n">
        <x:f>J321*MIN(1,tun_LeanBase*EXP(tun_CapsByProject*SUMPRODUCT((Cap_Point&lt;=I321)*(Cap_Kind="Lean")*Cap_Ln)))</x:f>
        <x:v>610.0101168966467</x:v>
      </x:c>
      <x:c r="L321" s="10" t="n">
        <x:f>INDEX(tun_HousingCap,G321)*EXP(tun_CapsByProject*SUMPRODUCT((Cap_Point&lt;=I321)*(Cap_Kind="Housing")*Cap_Ln))</x:f>
        <x:v>2125.258900135082</x:v>
      </x:c>
      <x:c r="M321" s="10" t="n">
        <x:f>INDEX(tun_GroupCap,G321)*tun_CohesionFactor*EXP(tun_CapsByProject*SUMPRODUCT((Cap_Point&lt;=I321)*(Cap_Kind="Group")*Cap_Ln))</x:f>
        <x:v>50000.00000000004</x:v>
      </x:c>
      <x:c r="N321" s="32" t="n">
        <x:f>MIN(J321,L321,M321)</x:f>
        <x:v>610.0101168966467</x:v>
      </x:c>
      <x:c r="O321" s="10" t="n">
        <x:f>AE320*N321</x:f>
        <x:v>4270.070818276527</x:v>
      </x:c>
      <x:c r="P321" s="9" t="n">
        <x:f>MIN(1,(AB320/(AE320*IF(tun_GroupInCrowding=1,N321,MIN(J321,L321))))^tun_CrowdingExp)</x:f>
        <x:v>0.07616530072731635</x:v>
      </x:c>
      <x:c r="Q321" s="9" t="n">
        <x:f>IF(D321=1,INDEX(tun_WinterMult,G321),1)</x:f>
        <x:v>1</x:v>
      </x:c>
      <x:c r="R321" s="9" t="n">
        <x:f>H321*Z320*tun_WomenShare*tun_BaseFertility*INDEX(tun_FertMult,G321)*Arch_Fertility*(1-P321)</x:f>
        <x:v>67.26576995507146</x:v>
      </x:c>
      <x:c r="S321" s="9" t="n">
        <x:f>H321*Y320*INDEX(tun_MortChild,G321)/4*Q321</x:f>
        <x:v>9.233350871876416</x:v>
      </x:c>
      <x:c r="T321" s="9" t="n">
        <x:f>H321*Z320*INDEX(tun_MortAdult,G321)*Arch_AdultMort/4*Q321</x:f>
        <x:v>2.4185630830566103</x:v>
      </x:c>
      <x:c r="U321" s="9" t="n">
        <x:f>H321*AA320*INDEX(tun_MortElder,G321)/4*Q321</x:f>
        <x:v>3.4842304283046994</x:v>
      </x:c>
      <x:c r="V321" s="9" t="n">
        <x:f>H321*MAX(0,AB320-O321)*tun_OvercapLoss</x:f>
        <x:v>0</x:v>
      </x:c>
      <x:c r="W321" s="9" t="n">
        <x:f>H321*Y320/(tun_ChildYears*4)</x:f>
        <x:v>26.38100249107547</x:v>
      </x:c>
      <x:c r="X321" s="9" t="n">
        <x:f>H321*Z320/(tun_AdultYears*4)</x:f>
        <x:v>8.212438312586114</x:v>
      </x:c>
      <x:c r="Y321" s="32" t="n">
        <x:f>Y320+R321-S321-W321-Y320*V321/AB320</x:f>
        <x:v>1508.987556092346</x:v>
      </x:c>
      <x:c r="Z321" s="32" t="n">
        <x:f>Z320+W321-X321-T321-Z320*V321/AB320</x:f>
        <x:v>1034.0923518561108</x:v>
      </x:c>
      <x:c r="AA321" s="32" t="n">
        <x:f>AA320+X321-U321-AA320*V321/AB320</x:f>
        <x:v>289.1551816234405</x:v>
      </x:c>
      <x:c r="AB321" s="10" t="n">
        <x:f>Y321+Z321+AA321</x:f>
        <x:v>2832.2350895718973</x:v>
      </x:c>
      <x:c r="AC321" s="8" t="n">
        <x:f>IF(AND(tun_WinterTrigger=1,D321=1,AB320/AE320&gt;=K321),1,0)</x:f>
        <x:v>0</x:v>
      </x:c>
      <x:c r="AD321" s="8" t="n">
        <x:f>H321*IF(AND(OR(AB320/AE320&gt;=tun_FissionTrigger*N321,AC321=1),AB320/AE320*tun_DaughterShare&gt;=tun_MinDaughter),MAX(1,ROUND(AE320*tun_FissionRate,0)),0)</x:f>
        <x:v>0</x:v>
      </x:c>
      <x:c r="AE321" s="8" t="n">
        <x:f>IF(H321=1,MAX(1,MIN(INDEX(tun_Smax,G321),AE320+AD321)),AE320)</x:f>
        <x:v>7</x:v>
      </x:c>
      <x:c r="AF321" s="8" t="n">
        <x:f>MAX(0,AE321-AE320)</x:f>
        <x:v>0</x:v>
      </x:c>
      <x:c r="AG321" s="9" t="str">
        <x:f>IF(AF321&gt;0,B321,"")</x:f>
      </x:c>
      <x:c r="AH321" s="9" t="n">
        <x:f>IF(F321&gt;=1,1,(1+tun_LowTiesShare*(AE321-1))/AE321)</x:f>
        <x:v>1</x:v>
      </x:c>
      <x:c r="AI321" s="32" t="n">
        <x:f>(Z321+tun_ElderCommons*INDEX(LM_Elder,G321)*AA321)*AH321</x:f>
        <x:v>2118.4242829440127</x:v>
      </x:c>
      <x:c r="AJ321" s="32" t="n">
        <x:f>H321*tun_CommonsCoef*AI321^tun_CommonsExp*INDEX(LM_Commons,G321)</x:f>
        <x:v>4690.538327914844</x:v>
      </x:c>
      <x:c r="AK321" s="32" t="n">
        <x:f>H321*tun_RoleScale*Arch_Roles*(AE321*(INDEX(tun_ElderRolePerSett,G321)*tun_OutElder*INDEX(LM_Elder,G321)+INDEX(tun_ShamanPerSett,G321)*tun_OutShaman)+Z321*(INDEX(tun_PriestShare,G321)*tun_OutPriest+INDEX(tun_ScribeShare,G321)*tun_OutScribe*INDEX(LM_Scribe,G321)+INDEX(tun_ScholarShare,G321)*tun_OutScholar*INDEX(LM_Scholar,G321)+INDEX(tun_ResearcherShare,G321)*tun_OutResearcher*INDEX(LM_Researcher,G321)))</x:f>
        <x:v>1232.1923645524444</x:v>
      </x:c>
      <x:c r="AL321" s="32" t="n">
        <x:f>H321*tun_RoleScale*Arch_Roles*AE321*INDEX(tun_MonasteryPerSett,G321)*tun_OutMonastery*INDEX(LM_Monastery,G321)</x:f>
        <x:v>36.96000000000001</x:v>
      </x:c>
      <x:c r="AM321" s="32" t="n">
        <x:f>(AJ321+AK321+AL321)/4*INDEX(LM_All,G321)*INDEX(tun_Boon,G321)*Arch_Insight</x:f>
        <x:v>2723.3924568177868</x:v>
      </x:c>
      <x:c r="AN321" s="32" t="n">
        <x:f>H321*(tun_KHPerAdult*Z321+tun_KHOfCommons*AJ321/4*INDEX(LM_All,G321))*tun_KHUsable*Arch_KH</x:f>
        <x:v>452.8267673842152</x:v>
      </x:c>
      <x:c r="AO321" s="32" t="n">
        <x:f>MIN(AP320+AN321,AM321*tun_KHMaxRatio)</x:f>
        <x:v>452.8267673842152</x:v>
      </x:c>
      <x:c r="AP321" s="32" t="n">
        <x:f>AP320+AN321-AO321</x:f>
        <x:v>0</x:v>
      </x:c>
      <x:c r="AQ321" s="32" t="n">
        <x:f>AM321+AO321</x:f>
        <x:v>3176.219224202002</x:v>
      </x:c>
      <x:c r="AR321" s="10" t="n">
        <x:f>IF(H321=1,INDEX(tun_Req,G321),0)</x:f>
        <x:v>434961.70024459995</x:v>
      </x:c>
      <x:c r="AS321" s="32" t="n">
        <x:f>IF(H321=1,IF(E321=1,AS320-AR320,AS320)+AQ321,0)</x:f>
        <x:v>20118.69667093469</x:v>
      </x:c>
      <x:c r="AT321" s="11" t="n">
        <x:f>IF(AR321&gt;0,MIN(1,AS321/AR321),1)</x:f>
        <x:v>0.04625394985264444</x:v>
      </x:c>
      <x:c r="AU321" s="10" t="n">
        <x:f>AB321/INDEX(tun_RepScale,G321)</x:f>
        <x:v>113.28940358287589</x:v>
      </x:c>
      <x:c r="AV321" s="32" t="n">
        <x:f>AM321*60/tun_SeasonSeconds</x:f>
        <x:v>10893.569827271147</x:v>
      </x:c>
    </x:row>
    <x:row r="322">
      <x:c r="A322" s="8" t="n">
        <x:f>A321+1</x:f>
        <x:v>319</x:v>
      </x:c>
      <x:c r="B322" s="9" t="n">
        <x:f>A322*tun_SeasonSeconds/60</x:f>
        <x:v>79.75</x:v>
      </x:c>
      <x:c r="C322" s="9" t="n">
        <x:f>A322/4</x:f>
        <x:v>79.75</x:v>
      </x:c>
      <x:c r="D322" s="8" t="n">
        <x:f>IF(MOD(A322,4)=0,1,0)</x:f>
        <x:v>0</x:v>
      </x:c>
      <x:c r="E322" s="8" t="n">
        <x:f>IF(AND(F321&lt;=9,AS321&gt;=AR321),1,0)</x:f>
        <x:v>0</x:v>
      </x:c>
      <x:c r="F322" s="8" t="n">
        <x:f>MIN(10,F321+E322)</x:f>
        <x:v>6</x:v>
      </x:c>
      <x:c r="G322" s="8" t="n">
        <x:f>MIN(F322,9)+1</x:f>
        <x:v>7</x:v>
      </x:c>
      <x:c r="H322" s="8" t="n">
        <x:f>IF(F322&lt;=9,1,0)</x:f>
        <x:v>1</x:v>
      </x:c>
      <x:c r="I322" s="9" t="n">
        <x:f>MIN(10,F321+IF(AR321&gt;0,MIN(1,AS321/AR321),1))</x:f>
        <x:v>6.046253949852645</x:v>
      </x:c>
      <x:c r="J322" s="32" t="n">
        <x:f>INDEX(tun_FoodCap,G322)*Arch_FoodCap*EXP(tun_CapsByProject*SUMPRODUCT((Cap_Point&lt;=I322)*(Cap_Kind="Food")*Cap_Ln))</x:f>
        <x:v>610.0101168966467</x:v>
      </x:c>
      <x:c r="K322" s="32" t="n">
        <x:f>J322*MIN(1,tun_LeanBase*EXP(tun_CapsByProject*SUMPRODUCT((Cap_Point&lt;=I322)*(Cap_Kind="Lean")*Cap_Ln)))</x:f>
        <x:v>610.0101168966467</x:v>
      </x:c>
      <x:c r="L322" s="10" t="n">
        <x:f>INDEX(tun_HousingCap,G322)*EXP(tun_CapsByProject*SUMPRODUCT((Cap_Point&lt;=I322)*(Cap_Kind="Housing")*Cap_Ln))</x:f>
        <x:v>2125.258900135082</x:v>
      </x:c>
      <x:c r="M322" s="10" t="n">
        <x:f>INDEX(tun_GroupCap,G322)*tun_CohesionFactor*EXP(tun_CapsByProject*SUMPRODUCT((Cap_Point&lt;=I322)*(Cap_Kind="Group")*Cap_Ln))</x:f>
        <x:v>50000.00000000004</x:v>
      </x:c>
      <x:c r="N322" s="32" t="n">
        <x:f>MIN(J322,L322,M322)</x:f>
        <x:v>610.0101168966467</x:v>
      </x:c>
      <x:c r="O322" s="10" t="n">
        <x:f>AE321*N322</x:f>
        <x:v>4270.070818276527</x:v>
      </x:c>
      <x:c r="P322" s="9" t="n">
        <x:f>MIN(1,(AB321/(AE321*IF(tun_GroupInCrowding=1,N322,MIN(J322,L322))))^tun_CrowdingExp)</x:f>
        <x:v>0.08514621127037789</x:v>
      </x:c>
      <x:c r="Q322" s="9" t="n">
        <x:f>IF(D322=1,INDEX(tun_WinterMult,G322),1)</x:f>
        <x:v>1</x:v>
      </x:c>
      <x:c r="R322" s="9" t="n">
        <x:f>H322*Z321*tun_WomenShare*tun_BaseFertility*INDEX(tun_FertMult,G322)*Arch_Fertility*(1-P322)</x:f>
        <x:v>67.64209637842004</x:v>
      </x:c>
      <x:c r="S322" s="9" t="n">
        <x:f>H322*Y321*INDEX(tun_MortChild,G322)/4*Q322</x:f>
        <x:v>9.431172225577162</x:v>
      </x:c>
      <x:c r="T322" s="9" t="n">
        <x:f>H322*Z321*INDEX(tun_MortAdult,G322)*Arch_AdultMort/4*Q322</x:f>
        <x:v>2.455969335658263</x:v>
      </x:c>
      <x:c r="U322" s="9" t="n">
        <x:f>H322*AA321*INDEX(tun_MortElder,G322)/4*Q322</x:f>
        <x:v>3.5421509748871465</x:v>
      </x:c>
      <x:c r="V322" s="9" t="n">
        <x:f>H322*MAX(0,AB321-O322)*tun_OvercapLoss</x:f>
        <x:v>0</x:v>
      </x:c>
      <x:c r="W322" s="9" t="n">
        <x:f>H322*Y321/(tun_ChildYears*4)</x:f>
        <x:v>26.946206358791894</x:v>
      </x:c>
      <x:c r="X322" s="9" t="n">
        <x:f>H322*Z321/(tun_AdultYears*4)</x:f>
        <x:v>8.339454450452505</x:v>
      </x:c>
      <x:c r="Y322" s="32" t="n">
        <x:f>Y321+R322-S322-W322-Y321*V322/AB321</x:f>
        <x:v>1540.252273886397</x:v>
      </x:c>
      <x:c r="Z322" s="32" t="n">
        <x:f>Z321+W322-X322-T322-Z321*V322/AB321</x:f>
        <x:v>1050.243134428792</x:v>
      </x:c>
      <x:c r="AA322" s="32" t="n">
        <x:f>AA321+X322-U322-AA321*V322/AB321</x:f>
        <x:v>293.95248509900586</x:v>
      </x:c>
      <x:c r="AB322" s="10" t="n">
        <x:f>Y322+Z322+AA322</x:f>
        <x:v>2884.447893414195</x:v>
      </x:c>
      <x:c r="AC322" s="8" t="n">
        <x:f>IF(AND(tun_WinterTrigger=1,D322=1,AB321/AE321&gt;=K322),1,0)</x:f>
        <x:v>0</x:v>
      </x:c>
      <x:c r="AD322" s="8" t="n">
        <x:f>H322*IF(AND(OR(AB321/AE321&gt;=tun_FissionTrigger*N322,AC322=1),AB321/AE321*tun_DaughterShare&gt;=tun_MinDaughter),MAX(1,ROUND(AE321*tun_FissionRate,0)),0)</x:f>
        <x:v>0</x:v>
      </x:c>
      <x:c r="AE322" s="8" t="n">
        <x:f>IF(H322=1,MAX(1,MIN(INDEX(tun_Smax,G322),AE321+AD322)),AE321)</x:f>
        <x:v>7</x:v>
      </x:c>
      <x:c r="AF322" s="8" t="n">
        <x:f>MAX(0,AE322-AE321)</x:f>
        <x:v>0</x:v>
      </x:c>
      <x:c r="AG322" s="9" t="str">
        <x:f>IF(AF322&gt;0,B322,"")</x:f>
      </x:c>
      <x:c r="AH322" s="9" t="n">
        <x:f>IF(F322&gt;=1,1,(1+tun_LowTiesShare*(AE322-1))/AE322)</x:f>
        <x:v>1</x:v>
      </x:c>
      <x:c r="AI322" s="32" t="n">
        <x:f>(Z322+tun_ElderCommons*INDEX(LM_Elder,G322)*AA322)*AH322</x:f>
        <x:v>2152.5649535500643</x:v>
      </x:c>
      <x:c r="AJ322" s="32" t="n">
        <x:f>H322*tun_CommonsCoef*AI322^tun_CommonsExp*INDEX(LM_Commons,G322)</x:f>
        <x:v>4754.715220334322</x:v>
      </x:c>
      <x:c r="AK322" s="32" t="n">
        <x:f>H322*tun_RoleScale*Arch_Roles*(AE322*(INDEX(tun_ElderRolePerSett,G322)*tun_OutElder*INDEX(LM_Elder,G322)+INDEX(tun_ShamanPerSett,G322)*tun_OutShaman)+Z322*(INDEX(tun_PriestShare,G322)*tun_OutPriest+INDEX(tun_ScribeShare,G322)*tun_OutScribe*INDEX(LM_Scribe,G322)+INDEX(tun_ScholarShare,G322)*tun_OutScholar*INDEX(LM_Scholar,G322)+INDEX(tun_ResearcherShare,G322)*tun_OutResearcher*INDEX(LM_Researcher,G322)))</x:f>
        <x:v>1248.4852740117653</x:v>
      </x:c>
      <x:c r="AL322" s="32" t="n">
        <x:f>H322*tun_RoleScale*Arch_Roles*AE322*INDEX(tun_MonasteryPerSett,G322)*tun_OutMonastery*INDEX(LM_Monastery,G322)</x:f>
        <x:v>36.96000000000001</x:v>
      </x:c>
      <x:c r="AM322" s="32" t="n">
        <x:f>(AJ322+AK322+AL322)/4*INDEX(LM_All,G322)*INDEX(tun_Boon,G322)*Arch_Insight</x:f>
        <x:v>2760.164642279582</x:v>
      </x:c>
      <x:c r="AN322" s="32" t="n">
        <x:f>H322*(tun_KHPerAdult*Z322+tun_KHOfCommons*AJ322/4*INDEX(LM_All,G322))*tun_KHUsable*Arch_KH</x:f>
        <x:v>459.0224346410258</x:v>
      </x:c>
      <x:c r="AO322" s="32" t="n">
        <x:f>MIN(AP321+AN322,AM322*tun_KHMaxRatio)</x:f>
        <x:v>459.0224346410258</x:v>
      </x:c>
      <x:c r="AP322" s="32" t="n">
        <x:f>AP321+AN322-AO322</x:f>
        <x:v>0</x:v>
      </x:c>
      <x:c r="AQ322" s="32" t="n">
        <x:f>AM322+AO322</x:f>
        <x:v>3219.187076920608</x:v>
      </x:c>
      <x:c r="AR322" s="10" t="n">
        <x:f>IF(H322=1,INDEX(tun_Req,G322),0)</x:f>
        <x:v>434961.70024459995</x:v>
      </x:c>
      <x:c r="AS322" s="32" t="n">
        <x:f>IF(H322=1,IF(E322=1,AS321-AR321,AS321)+AQ322,0)</x:f>
        <x:v>23337.883747855296</x:v>
      </x:c>
      <x:c r="AT322" s="11" t="n">
        <x:f>IF(AR322&gt;0,MIN(1,AS322/AR322),1)</x:f>
        <x:v>0.053655031545837895</x:v>
      </x:c>
      <x:c r="AU322" s="10" t="n">
        <x:f>AB322/INDEX(tun_RepScale,G322)</x:f>
        <x:v>115.37791573656779</x:v>
      </x:c>
      <x:c r="AV322" s="32" t="n">
        <x:f>AM322*60/tun_SeasonSeconds</x:f>
        <x:v>11040.658569118328</x:v>
      </x:c>
    </x:row>
    <x:row r="323">
      <x:c r="A323" s="8" t="n">
        <x:f>A322+1</x:f>
        <x:v>320</x:v>
      </x:c>
      <x:c r="B323" s="9" t="n">
        <x:f>A323*tun_SeasonSeconds/60</x:f>
        <x:v>80</x:v>
      </x:c>
      <x:c r="C323" s="9" t="n">
        <x:f>A323/4</x:f>
        <x:v>80</x:v>
      </x:c>
      <x:c r="D323" s="8" t="n">
        <x:f>IF(MOD(A323,4)=0,1,0)</x:f>
        <x:v>1</x:v>
      </x:c>
      <x:c r="E323" s="8" t="n">
        <x:f>IF(AND(F322&lt;=9,AS322&gt;=AR322),1,0)</x:f>
        <x:v>0</x:v>
      </x:c>
      <x:c r="F323" s="8" t="n">
        <x:f>MIN(10,F322+E323)</x:f>
        <x:v>6</x:v>
      </x:c>
      <x:c r="G323" s="8" t="n">
        <x:f>MIN(F323,9)+1</x:f>
        <x:v>7</x:v>
      </x:c>
      <x:c r="H323" s="8" t="n">
        <x:f>IF(F323&lt;=9,1,0)</x:f>
        <x:v>1</x:v>
      </x:c>
      <x:c r="I323" s="9" t="n">
        <x:f>MIN(10,F322+IF(AR322&gt;0,MIN(1,AS322/AR322),1))</x:f>
        <x:v>6.053655031545838</x:v>
      </x:c>
      <x:c r="J323" s="32" t="n">
        <x:f>INDEX(tun_FoodCap,G323)*Arch_FoodCap*EXP(tun_CapsByProject*SUMPRODUCT((Cap_Point&lt;=I323)*(Cap_Kind="Food")*Cap_Ln))</x:f>
        <x:v>610.0101168966467</x:v>
      </x:c>
      <x:c r="K323" s="32" t="n">
        <x:f>J323*MIN(1,tun_LeanBase*EXP(tun_CapsByProject*SUMPRODUCT((Cap_Point&lt;=I323)*(Cap_Kind="Lean")*Cap_Ln)))</x:f>
        <x:v>610.0101168966467</x:v>
      </x:c>
      <x:c r="L323" s="10" t="n">
        <x:f>INDEX(tun_HousingCap,G323)*EXP(tun_CapsByProject*SUMPRODUCT((Cap_Point&lt;=I323)*(Cap_Kind="Housing")*Cap_Ln))</x:f>
        <x:v>2125.258900135082</x:v>
      </x:c>
      <x:c r="M323" s="10" t="n">
        <x:f>INDEX(tun_GroupCap,G323)*tun_CohesionFactor*EXP(tun_CapsByProject*SUMPRODUCT((Cap_Point&lt;=I323)*(Cap_Kind="Group")*Cap_Ln))</x:f>
        <x:v>50000.00000000004</x:v>
      </x:c>
      <x:c r="N323" s="32" t="n">
        <x:f>MIN(J323,L323,M323)</x:f>
        <x:v>610.0101168966467</x:v>
      </x:c>
      <x:c r="O323" s="10" t="n">
        <x:f>AE322*N323</x:f>
        <x:v>4270.070818276527</x:v>
      </x:c>
      <x:c r="P323" s="9" t="n">
        <x:f>MIN(1,(AB322/(AE322*IF(tun_GroupInCrowding=1,N323,MIN(J323,L323))))^tun_CrowdingExp)</x:f>
        <x:v>0.095009213126885</x:v>
      </x:c>
      <x:c r="Q323" s="9" t="n">
        <x:f>IF(D323=1,INDEX(tun_WinterMult,G323),1)</x:f>
        <x:v>1.1</x:v>
      </x:c>
      <x:c r="R323" s="9" t="n">
        <x:f>H323*Z322*tun_WomenShare*tun_BaseFertility*INDEX(tun_FertMult,G323)*Arch_Fertility*(1-P323)</x:f>
        <x:v>67.95791578538814</x:v>
      </x:c>
      <x:c r="S323" s="9" t="n">
        <x:f>H323*Y322*INDEX(tun_MortChild,G323)/4*Q323</x:f>
        <x:v>10.58923438296898</x:v>
      </x:c>
      <x:c r="T323" s="9" t="n">
        <x:f>H323*Z322*INDEX(tun_MortAdult,G323)*Arch_AdultMort/4*Q323</x:f>
        <x:v>2.7437601886952194</x:v>
      </x:c>
      <x:c r="U323" s="9" t="n">
        <x:f>H323*AA322*INDEX(tun_MortElder,G323)/4*Q323</x:f>
        <x:v>3.9610097367091046</x:v>
      </x:c>
      <x:c r="V323" s="9" t="n">
        <x:f>H323*MAX(0,AB322-O323)*tun_OvercapLoss</x:f>
        <x:v>0</x:v>
      </x:c>
      <x:c r="W323" s="9" t="n">
        <x:f>H323*Y322/(tun_ChildYears*4)</x:f>
        <x:v>27.504504890828517</x:v>
      </x:c>
      <x:c r="X323" s="9" t="n">
        <x:f>H323*Z322/(tun_AdultYears*4)</x:f>
        <x:v>8.469702697006387</x:v>
      </x:c>
      <x:c r="Y323" s="32" t="n">
        <x:f>Y322+R323-S323-W323-Y322*V323/AB322</x:f>
        <x:v>1570.1164503979878</x:v>
      </x:c>
      <x:c r="Z323" s="32" t="n">
        <x:f>Z322+W323-X323-T323-Z322*V323/AB322</x:f>
        <x:v>1066.534176433919</x:v>
      </x:c>
      <x:c r="AA323" s="32" t="n">
        <x:f>AA322+X323-U323-AA322*V323/AB322</x:f>
        <x:v>298.4611780593031</x:v>
      </x:c>
      <x:c r="AB323" s="10" t="n">
        <x:f>Y323+Z323+AA323</x:f>
        <x:v>2935.11180489121</x:v>
      </x:c>
      <x:c r="AC323" s="8" t="n">
        <x:f>IF(AND(tun_WinterTrigger=1,D323=1,AB322/AE322&gt;=K323),1,0)</x:f>
        <x:v>0</x:v>
      </x:c>
      <x:c r="AD323" s="8" t="n">
        <x:f>H323*IF(AND(OR(AB322/AE322&gt;=tun_FissionTrigger*N323,AC323=1),AB322/AE322*tun_DaughterShare&gt;=tun_MinDaughter),MAX(1,ROUND(AE322*tun_FissionRate,0)),0)</x:f>
        <x:v>0</x:v>
      </x:c>
      <x:c r="AE323" s="8" t="n">
        <x:f>IF(H323=1,MAX(1,MIN(INDEX(tun_Smax,G323),AE322+AD323)),AE322)</x:f>
        <x:v>7</x:v>
      </x:c>
      <x:c r="AF323" s="8" t="n">
        <x:f>MAX(0,AE323-AE322)</x:f>
        <x:v>0</x:v>
      </x:c>
      <x:c r="AG323" s="9" t="str">
        <x:f>IF(AF323&gt;0,B323,"")</x:f>
      </x:c>
      <x:c r="AH323" s="9" t="n">
        <x:f>IF(F323&gt;=1,1,(1+tun_LowTiesShare*(AE323-1))/AE323)</x:f>
        <x:v>1</x:v>
      </x:c>
      <x:c r="AI323" s="32" t="n">
        <x:f>(Z323+tun_ElderCommons*INDEX(LM_Elder,G323)*AA323)*AH323</x:f>
        <x:v>2185.7635941563058</x:v>
      </x:c>
      <x:c r="AJ323" s="32" t="n">
        <x:f>H323*tun_CommonsCoef*AI323^tun_CommonsExp*INDEX(LM_Commons,G323)</x:f>
        <x:v>4816.975028230402</x:v>
      </x:c>
      <x:c r="AK323" s="32" t="n">
        <x:f>H323*tun_RoleScale*Arch_Roles*(AE323*(INDEX(tun_ElderRolePerSett,G323)*tun_OutElder*INDEX(LM_Elder,G323)+INDEX(tun_ShamanPerSett,G323)*tun_OutShaman)+Z323*(INDEX(tun_PriestShare,G323)*tun_OutPriest+INDEX(tun_ScribeShare,G323)*tun_OutScribe*INDEX(LM_Scribe,G323)+INDEX(tun_ScholarShare,G323)*tun_OutScholar*INDEX(LM_Scholar,G323)+INDEX(tun_ResearcherShare,G323)*tun_OutResearcher*INDEX(LM_Researcher,G323)))</x:f>
        <x:v>1264.9196771865372</x:v>
      </x:c>
      <x:c r="AL323" s="32" t="n">
        <x:f>H323*tun_RoleScale*Arch_Roles*AE323*INDEX(tun_MonasteryPerSett,G323)*tun_OutMonastery*INDEX(LM_Monastery,G323)</x:f>
        <x:v>36.96000000000001</x:v>
      </x:c>
      <x:c r="AM323" s="32" t="n">
        <x:f>(AJ323+AK323+AL323)/4*INDEX(LM_All,G323)*INDEX(tun_Boon,G323)*Arch_Insight</x:f>
        <x:v>2796.1254382142547</x:v>
      </x:c>
      <x:c r="AN323" s="32" t="n">
        <x:f>H323*(tun_KHPerAdult*Z323+tun_KHOfCommons*AJ323/4*INDEX(LM_All,G323))*tun_KHUsable*Arch_KH</x:f>
        <x:v>465.03302565992004</x:v>
      </x:c>
      <x:c r="AO323" s="32" t="n">
        <x:f>MIN(AP322+AN323,AM323*tun_KHMaxRatio)</x:f>
        <x:v>465.03302565992004</x:v>
      </x:c>
      <x:c r="AP323" s="32" t="n">
        <x:f>AP322+AN323-AO323</x:f>
        <x:v>0</x:v>
      </x:c>
      <x:c r="AQ323" s="32" t="n">
        <x:f>AM323+AO323</x:f>
        <x:v>3261.1584638741747</x:v>
      </x:c>
      <x:c r="AR323" s="10" t="n">
        <x:f>IF(H323=1,INDEX(tun_Req,G323),0)</x:f>
        <x:v>434961.70024459995</x:v>
      </x:c>
      <x:c r="AS323" s="32" t="n">
        <x:f>IF(H323=1,IF(E323=1,AS322-AR322,AS322)+AQ323,0)</x:f>
        <x:v>26599.04221172947</x:v>
      </x:c>
      <x:c r="AT323" s="11" t="n">
        <x:f>IF(AR323&gt;0,MIN(1,AS323/AR323),1)</x:f>
        <x:v>0.061152607681944283</x:v>
      </x:c>
      <x:c r="AU323" s="10" t="n">
        <x:f>AB323/INDEX(tun_RepScale,G323)</x:f>
        <x:v>117.4044721956484</x:v>
      </x:c>
      <x:c r="AV323" s="32" t="n">
        <x:f>AM323*60/tun_SeasonSeconds</x:f>
        <x:v>11184.501752857019</x:v>
      </x:c>
    </x:row>
    <x:row r="324">
      <x:c r="A324" s="8" t="n">
        <x:f>A323+1</x:f>
        <x:v>321</x:v>
      </x:c>
      <x:c r="B324" s="9" t="n">
        <x:f>A324*tun_SeasonSeconds/60</x:f>
        <x:v>80.25</x:v>
      </x:c>
      <x:c r="C324" s="9" t="n">
        <x:f>A324/4</x:f>
        <x:v>80.25</x:v>
      </x:c>
      <x:c r="D324" s="8" t="n">
        <x:f>IF(MOD(A324,4)=0,1,0)</x:f>
        <x:v>0</x:v>
      </x:c>
      <x:c r="E324" s="8" t="n">
        <x:f>IF(AND(F323&lt;=9,AS323&gt;=AR323),1,0)</x:f>
        <x:v>0</x:v>
      </x:c>
      <x:c r="F324" s="8" t="n">
        <x:f>MIN(10,F323+E324)</x:f>
        <x:v>6</x:v>
      </x:c>
      <x:c r="G324" s="8" t="n">
        <x:f>MIN(F324,9)+1</x:f>
        <x:v>7</x:v>
      </x:c>
      <x:c r="H324" s="8" t="n">
        <x:f>IF(F324&lt;=9,1,0)</x:f>
        <x:v>1</x:v>
      </x:c>
      <x:c r="I324" s="9" t="n">
        <x:f>MIN(10,F323+IF(AR323&gt;0,MIN(1,AS323/AR323),1))</x:f>
        <x:v>6.061152607681945</x:v>
      </x:c>
      <x:c r="J324" s="32" t="n">
        <x:f>INDEX(tun_FoodCap,G324)*Arch_FoodCap*EXP(tun_CapsByProject*SUMPRODUCT((Cap_Point&lt;=I324)*(Cap_Kind="Food")*Cap_Ln))</x:f>
        <x:v>610.0101168966467</x:v>
      </x:c>
      <x:c r="K324" s="32" t="n">
        <x:f>J324*MIN(1,tun_LeanBase*EXP(tun_CapsByProject*SUMPRODUCT((Cap_Point&lt;=I324)*(Cap_Kind="Lean")*Cap_Ln)))</x:f>
        <x:v>610.0101168966467</x:v>
      </x:c>
      <x:c r="L324" s="10" t="n">
        <x:f>INDEX(tun_HousingCap,G324)*EXP(tun_CapsByProject*SUMPRODUCT((Cap_Point&lt;=I324)*(Cap_Kind="Housing")*Cap_Ln))</x:f>
        <x:v>2125.258900135082</x:v>
      </x:c>
      <x:c r="M324" s="10" t="n">
        <x:f>INDEX(tun_GroupCap,G324)*tun_CohesionFactor*EXP(tun_CapsByProject*SUMPRODUCT((Cap_Point&lt;=I324)*(Cap_Kind="Group")*Cap_Ln))</x:f>
        <x:v>50000.00000000004</x:v>
      </x:c>
      <x:c r="N324" s="32" t="n">
        <x:f>MIN(J324,L324,M324)</x:f>
        <x:v>610.0101168966467</x:v>
      </x:c>
      <x:c r="O324" s="10" t="n">
        <x:f>AE323*N324</x:f>
        <x:v>4270.070818276527</x:v>
      </x:c>
      <x:c r="P324" s="9" t="n">
        <x:f>MIN(1,(AB323/(AE323*IF(tun_GroupInCrowding=1,N324,MIN(J324,L324))))^tun_CrowdingExp)</x:f>
        <x:v>0.10547205994435543</x:v>
      </x:c>
      <x:c r="Q324" s="9" t="n">
        <x:f>IF(D324=1,INDEX(tun_WinterMult,G324),1)</x:f>
        <x:v>1</x:v>
      </x:c>
      <x:c r="R324" s="9" t="n">
        <x:f>H324*Z323*tun_WomenShare*tun_BaseFertility*INDEX(tun_FertMult,G324)*Arch_Fertility*(1-P324)</x:f>
        <x:v>68.21419031887294</x:v>
      </x:c>
      <x:c r="S324" s="9" t="n">
        <x:f>H324*Y323*INDEX(tun_MortChild,G324)/4*Q324</x:f>
        <x:v>9.813227814987425</x:v>
      </x:c>
      <x:c r="T324" s="9" t="n">
        <x:f>H324*Z323*INDEX(tun_MortAdult,G324)*Arch_AdultMort/4*Q324</x:f>
        <x:v>2.5330186690305574</x:v>
      </x:c>
      <x:c r="U324" s="9" t="n">
        <x:f>H324*AA323*INDEX(tun_MortElder,G324)/4*Q324</x:f>
        <x:v>3.656149431226463</x:v>
      </x:c>
      <x:c r="V324" s="9" t="n">
        <x:f>H324*MAX(0,AB323-O324)*tun_OvercapLoss</x:f>
        <x:v>0</x:v>
      </x:c>
      <x:c r="W324" s="9" t="n">
        <x:f>H324*Y323/(tun_ChildYears*4)</x:f>
        <x:v>28.037793757106925</x:v>
      </x:c>
      <x:c r="X324" s="9" t="n">
        <x:f>H324*Z323/(tun_AdultYears*4)</x:f>
        <x:v>8.601082068015476</x:v>
      </x:c>
      <x:c r="Y324" s="32" t="n">
        <x:f>Y323+R324-S324-W324-Y323*V324/AB323</x:f>
        <x:v>1600.4796191447663</x:v>
      </x:c>
      <x:c r="Z324" s="32" t="n">
        <x:f>Z323+W324-X324-T324-Z323*V324/AB323</x:f>
        <x:v>1083.4378694539798</x:v>
      </x:c>
      <x:c r="AA324" s="32" t="n">
        <x:f>AA323+X324-U324-AA323*V324/AB323</x:f>
        <x:v>303.4061106960921</x:v>
      </x:c>
      <x:c r="AB324" s="10" t="n">
        <x:f>Y324+Z324+AA324</x:f>
        <x:v>2987.323599294838</x:v>
      </x:c>
      <x:c r="AC324" s="8" t="n">
        <x:f>IF(AND(tun_WinterTrigger=1,D324=1,AB323/AE323&gt;=K324),1,0)</x:f>
        <x:v>0</x:v>
      </x:c>
      <x:c r="AD324" s="8" t="n">
        <x:f>H324*IF(AND(OR(AB323/AE323&gt;=tun_FissionTrigger*N324,AC324=1),AB323/AE323*tun_DaughterShare&gt;=tun_MinDaughter),MAX(1,ROUND(AE323*tun_FissionRate,0)),0)</x:f>
        <x:v>0</x:v>
      </x:c>
      <x:c r="AE324" s="8" t="n">
        <x:f>IF(H324=1,MAX(1,MIN(INDEX(tun_Smax,G324),AE323+AD324)),AE323)</x:f>
        <x:v>7</x:v>
      </x:c>
      <x:c r="AF324" s="8" t="n">
        <x:f>MAX(0,AE324-AE323)</x:f>
        <x:v>0</x:v>
      </x:c>
      <x:c r="AG324" s="9" t="str">
        <x:f>IF(AF324&gt;0,B324,"")</x:f>
      </x:c>
      <x:c r="AH324" s="9" t="n">
        <x:f>IF(F324&gt;=1,1,(1+tun_LowTiesShare*(AE324-1))/AE324)</x:f>
        <x:v>1</x:v>
      </x:c>
      <x:c r="AI324" s="32" t="n">
        <x:f>(Z324+tun_ElderCommons*INDEX(LM_Elder,G324)*AA324)*AH324</x:f>
        <x:v>2221.210784564325</x:v>
      </x:c>
      <x:c r="AJ324" s="32" t="n">
        <x:f>H324*tun_CommonsCoef*AI324^tun_CommonsExp*INDEX(LM_Commons,G324)</x:f>
        <x:v>4883.295354963714</x:v>
      </x:c>
      <x:c r="AK324" s="32" t="n">
        <x:f>H324*tun_RoleScale*Arch_Roles*(AE324*(INDEX(tun_ElderRolePerSett,G324)*tun_OutElder*INDEX(LM_Elder,G324)+INDEX(tun_ShamanPerSett,G324)*tun_OutShaman)+Z324*(INDEX(tun_PriestShare,G324)*tun_OutPriest+INDEX(tun_ScribeShare,G324)*tun_OutScribe*INDEX(LM_Scribe,G324)+INDEX(tun_ScholarShare,G324)*tun_OutScholar*INDEX(LM_Scholar,G324)+INDEX(tun_ResearcherShare,G324)*tun_OutResearcher*INDEX(LM_Researcher,G324)))</x:f>
        <x:v>1281.9721227051748</x:v>
      </x:c>
      <x:c r="AL324" s="32" t="n">
        <x:f>H324*tun_RoleScale*Arch_Roles*AE324*INDEX(tun_MonasteryPerSett,G324)*tun_OutMonastery*INDEX(LM_Monastery,G324)</x:f>
        <x:v>36.96000000000001</x:v>
      </x:c>
      <x:c r="AM324" s="32" t="n">
        <x:f>(AJ324+AK324+AL324)/4*INDEX(LM_All,G324)*INDEX(tun_Boon,G324)*Arch_Insight</x:f>
        <x:v>2834.2241904434495</x:v>
      </x:c>
      <x:c r="AN324" s="32" t="n">
        <x:f>H324*(tun_KHPerAdult*Z324+tun_KHOfCommons*AJ324/4*INDEX(LM_All,G324))*tun_KHUsable*Arch_KH</x:f>
        <x:v>471.4356210694455</x:v>
      </x:c>
      <x:c r="AO324" s="32" t="n">
        <x:f>MIN(AP323+AN324,AM324*tun_KHMaxRatio)</x:f>
        <x:v>471.4356210694455</x:v>
      </x:c>
      <x:c r="AP324" s="32" t="n">
        <x:f>AP323+AN324-AO324</x:f>
        <x:v>0</x:v>
      </x:c>
      <x:c r="AQ324" s="32" t="n">
        <x:f>AM324+AO324</x:f>
        <x:v>3305.659811512895</x:v>
      </x:c>
      <x:c r="AR324" s="10" t="n">
        <x:f>IF(H324=1,INDEX(tun_Req,G324),0)</x:f>
        <x:v>434961.70024459995</x:v>
      </x:c>
      <x:c r="AS324" s="32" t="n">
        <x:f>IF(H324=1,IF(E324=1,AS323-AR323,AS323)+AQ324,0)</x:f>
        <x:v>29904.702023242364</x:v>
      </x:c>
      <x:c r="AT324" s="11" t="n">
        <x:f>IF(AR324&gt;0,MIN(1,AS324/AR324),1)</x:f>
        <x:v>0.06875249477465603</x:v>
      </x:c>
      <x:c r="AU324" s="10" t="n">
        <x:f>AB324/INDEX(tun_RepScale,G324)</x:f>
        <x:v>119.49294397179352</x:v>
      </x:c>
      <x:c r="AV324" s="32" t="n">
        <x:f>AM324*60/tun_SeasonSeconds</x:f>
        <x:v>11336.896761773798</x:v>
      </x:c>
    </x:row>
    <x:row r="325">
      <x:c r="A325" s="8" t="n">
        <x:f>A324+1</x:f>
        <x:v>322</x:v>
      </x:c>
      <x:c r="B325" s="9" t="n">
        <x:f>A325*tun_SeasonSeconds/60</x:f>
        <x:v>80.5</x:v>
      </x:c>
      <x:c r="C325" s="9" t="n">
        <x:f>A325/4</x:f>
        <x:v>80.5</x:v>
      </x:c>
      <x:c r="D325" s="8" t="n">
        <x:f>IF(MOD(A325,4)=0,1,0)</x:f>
        <x:v>0</x:v>
      </x:c>
      <x:c r="E325" s="8" t="n">
        <x:f>IF(AND(F324&lt;=9,AS324&gt;=AR324),1,0)</x:f>
        <x:v>0</x:v>
      </x:c>
      <x:c r="F325" s="8" t="n">
        <x:f>MIN(10,F324+E325)</x:f>
        <x:v>6</x:v>
      </x:c>
      <x:c r="G325" s="8" t="n">
        <x:f>MIN(F325,9)+1</x:f>
        <x:v>7</x:v>
      </x:c>
      <x:c r="H325" s="8" t="n">
        <x:f>IF(F325&lt;=9,1,0)</x:f>
        <x:v>1</x:v>
      </x:c>
      <x:c r="I325" s="9" t="n">
        <x:f>MIN(10,F324+IF(AR324&gt;0,MIN(1,AS324/AR324),1))</x:f>
        <x:v>6.068752494774656</x:v>
      </x:c>
      <x:c r="J325" s="32" t="n">
        <x:f>INDEX(tun_FoodCap,G325)*Arch_FoodCap*EXP(tun_CapsByProject*SUMPRODUCT((Cap_Point&lt;=I325)*(Cap_Kind="Food")*Cap_Ln))</x:f>
        <x:v>610.0101168966467</x:v>
      </x:c>
      <x:c r="K325" s="32" t="n">
        <x:f>J325*MIN(1,tun_LeanBase*EXP(tun_CapsByProject*SUMPRODUCT((Cap_Point&lt;=I325)*(Cap_Kind="Lean")*Cap_Ln)))</x:f>
        <x:v>610.0101168966467</x:v>
      </x:c>
      <x:c r="L325" s="10" t="n">
        <x:f>INDEX(tun_HousingCap,G325)*EXP(tun_CapsByProject*SUMPRODUCT((Cap_Point&lt;=I325)*(Cap_Kind="Housing")*Cap_Ln))</x:f>
        <x:v>2125.258900135082</x:v>
      </x:c>
      <x:c r="M325" s="10" t="n">
        <x:f>INDEX(tun_GroupCap,G325)*tun_CohesionFactor*EXP(tun_CapsByProject*SUMPRODUCT((Cap_Point&lt;=I325)*(Cap_Kind="Group")*Cap_Ln))</x:f>
        <x:v>50000.00000000004</x:v>
      </x:c>
      <x:c r="N325" s="32" t="n">
        <x:f>MIN(J325,L325,M325)</x:f>
        <x:v>610.0101168966467</x:v>
      </x:c>
      <x:c r="O325" s="10" t="n">
        <x:f>AE324*N325</x:f>
        <x:v>4270.070818276527</x:v>
      </x:c>
      <x:c r="P325" s="9" t="n">
        <x:f>MIN(1,(AB324/(AE324*IF(tun_GroupInCrowding=1,N325,MIN(J325,L325))))^tun_CrowdingExp)</x:f>
        <x:v>0.11724198202715666</x:v>
      </x:c>
      <x:c r="Q325" s="9" t="n">
        <x:f>IF(D325=1,INDEX(tun_WinterMult,G325),1)</x:f>
        <x:v>1</x:v>
      </x:c>
      <x:c r="R325" s="9" t="n">
        <x:f>H325*Z324*tun_WomenShare*tun_BaseFertility*INDEX(tun_FertMult,G325)*Arch_Fertility*(1-P325)</x:f>
        <x:v>68.38356283586796</x:v>
      </x:c>
      <x:c r="S325" s="9" t="n">
        <x:f>H325*Y324*INDEX(tun_MortChild,G325)/4*Q325</x:f>
        <x:v>10.00299761965479</x:v>
      </x:c>
      <x:c r="T325" s="9" t="n">
        <x:f>H325*Z324*INDEX(tun_MortAdult,G325)*Arch_AdultMort/4*Q325</x:f>
        <x:v>2.573164939953202</x:v>
      </x:c>
      <x:c r="U325" s="9" t="n">
        <x:f>H325*AA324*INDEX(tun_MortElder,G325)/4*Q325</x:f>
        <x:v>3.716724856027129</x:v>
      </x:c>
      <x:c r="V325" s="9" t="n">
        <x:f>H325*MAX(0,AB324-O325)*tun_OvercapLoss</x:f>
        <x:v>0</x:v>
      </x:c>
      <x:c r="W325" s="9" t="n">
        <x:f>H325*Y324/(tun_ChildYears*4)</x:f>
        <x:v>28.579993199013682</x:v>
      </x:c>
      <x:c r="X325" s="9" t="n">
        <x:f>H325*Z324/(tun_AdultYears*4)</x:f>
        <x:v>8.737402173015967</x:v>
      </x:c>
      <x:c r="Y325" s="32" t="n">
        <x:f>Y324+R325-S325-W325-Y324*V325/AB324</x:f>
        <x:v>1630.2801911619658</x:v>
      </x:c>
      <x:c r="Z325" s="32" t="n">
        <x:f>Z324+W325-X325-T325-Z324*V325/AB324</x:f>
        <x:v>1100.7072955400245</x:v>
      </x:c>
      <x:c r="AA325" s="32" t="n">
        <x:f>AA324+X325-U325-AA324*V325/AB324</x:f>
        <x:v>308.42678801308097</x:v>
      </x:c>
      <x:c r="AB325" s="10" t="n">
        <x:f>Y325+Z325+AA325</x:f>
        <x:v>3039.4142747150713</x:v>
      </x:c>
      <x:c r="AC325" s="8" t="n">
        <x:f>IF(AND(tun_WinterTrigger=1,D325=1,AB324/AE324&gt;=K325),1,0)</x:f>
        <x:v>0</x:v>
      </x:c>
      <x:c r="AD325" s="8" t="n">
        <x:f>H325*IF(AND(OR(AB324/AE324&gt;=tun_FissionTrigger*N325,AC325=1),AB324/AE324*tun_DaughterShare&gt;=tun_MinDaughter),MAX(1,ROUND(AE324*tun_FissionRate,0)),0)</x:f>
        <x:v>0</x:v>
      </x:c>
      <x:c r="AE325" s="8" t="n">
        <x:f>IF(H325=1,MAX(1,MIN(INDEX(tun_Smax,G325),AE324+AD325)),AE324)</x:f>
        <x:v>7</x:v>
      </x:c>
      <x:c r="AF325" s="8" t="n">
        <x:f>MAX(0,AE325-AE324)</x:f>
        <x:v>0</x:v>
      </x:c>
      <x:c r="AG325" s="9" t="str">
        <x:f>IF(AF325&gt;0,B325,"")</x:f>
      </x:c>
      <x:c r="AH325" s="9" t="n">
        <x:f>IF(F325&gt;=1,1,(1+tun_LowTiesShare*(AE325-1))/AE325)</x:f>
        <x:v>1</x:v>
      </x:c>
      <x:c r="AI325" s="32" t="n">
        <x:f>(Z325+tun_ElderCommons*INDEX(LM_Elder,G325)*AA325)*AH325</x:f>
        <x:v>2257.307750589078</x:v>
      </x:c>
      <x:c r="AJ325" s="32" t="n">
        <x:f>H325*tun_CommonsCoef*AI325^tun_CommonsExp*INDEX(LM_Commons,G325)</x:f>
        <x:v>4950.668444838897</x:v>
      </x:c>
      <x:c r="AK325" s="32" t="n">
        <x:f>H325*tun_RoleScale*Arch_Roles*(AE325*(INDEX(tun_ElderRolePerSett,G325)*tun_OutElder*INDEX(LM_Elder,G325)+INDEX(tun_ShamanPerSett,G325)*tun_OutShaman)+Z325*(INDEX(tun_PriestShare,G325)*tun_OutPriest+INDEX(tun_ScribeShare,G325)*tun_OutScribe*INDEX(LM_Scribe,G325)+INDEX(tun_ScholarShare,G325)*tun_OutScholar*INDEX(LM_Scholar,G325)+INDEX(tun_ResearcherShare,G325)*tun_OutResearcher*INDEX(LM_Researcher,G325)))</x:f>
        <x:v>1299.3935197407766</x:v>
      </x:c>
      <x:c r="AL325" s="32" t="n">
        <x:f>H325*tun_RoleScale*Arch_Roles*AE325*INDEX(tun_MonasteryPerSett,G325)*tun_OutMonastery*INDEX(LM_Monastery,G325)</x:f>
        <x:v>36.96000000000001</x:v>
      </x:c>
      <x:c r="AM325" s="32" t="n">
        <x:f>(AJ325+AK325+AL325)/4*INDEX(LM_All,G325)*INDEX(tun_Boon,G325)*Arch_Insight</x:f>
        <x:v>2872.9726218552414</x:v>
      </x:c>
      <x:c r="AN325" s="32" t="n">
        <x:f>H325*(tun_KHPerAdult*Z325+tun_KHOfCommons*AJ325/4*INDEX(LM_All,G325))*tun_KHUsable*Arch_KH</x:f>
        <x:v>477.9398507258371</x:v>
      </x:c>
      <x:c r="AO325" s="32" t="n">
        <x:f>MIN(AP324+AN325,AM325*tun_KHMaxRatio)</x:f>
        <x:v>477.9398507258371</x:v>
      </x:c>
      <x:c r="AP325" s="32" t="n">
        <x:f>AP324+AN325-AO325</x:f>
        <x:v>0</x:v>
      </x:c>
      <x:c r="AQ325" s="32" t="n">
        <x:f>AM325+AO325</x:f>
        <x:v>3350.9124725810784</x:v>
      </x:c>
      <x:c r="AR325" s="10" t="n">
        <x:f>IF(H325=1,INDEX(tun_Req,G325),0)</x:f>
        <x:v>434961.70024459995</x:v>
      </x:c>
      <x:c r="AS325" s="32" t="n">
        <x:f>IF(H325=1,IF(E325=1,AS324-AR324,AS324)+AQ325,0)</x:f>
        <x:v>33255.61449582344</x:v>
      </x:c>
      <x:c r="AT325" s="11" t="n">
        <x:f>IF(AR325&gt;0,MIN(1,AS325/AR325),1)</x:f>
        <x:v>0.07645642013336394</x:v>
      </x:c>
      <x:c r="AU325" s="10" t="n">
        <x:f>AB325/INDEX(tun_RepScale,G325)</x:f>
        <x:v>121.57657098860285</x:v>
      </x:c>
      <x:c r="AV325" s="32" t="n">
        <x:f>AM325*60/tun_SeasonSeconds</x:f>
        <x:v>11491.890487420966</x:v>
      </x:c>
    </x:row>
    <x:row r="326">
      <x:c r="A326" s="8" t="n">
        <x:f>A325+1</x:f>
        <x:v>323</x:v>
      </x:c>
      <x:c r="B326" s="9" t="n">
        <x:f>A326*tun_SeasonSeconds/60</x:f>
        <x:v>80.75</x:v>
      </x:c>
      <x:c r="C326" s="9" t="n">
        <x:f>A326/4</x:f>
        <x:v>80.75</x:v>
      </x:c>
      <x:c r="D326" s="8" t="n">
        <x:f>IF(MOD(A326,4)=0,1,0)</x:f>
        <x:v>0</x:v>
      </x:c>
      <x:c r="E326" s="8" t="n">
        <x:f>IF(AND(F325&lt;=9,AS325&gt;=AR325),1,0)</x:f>
        <x:v>0</x:v>
      </x:c>
      <x:c r="F326" s="8" t="n">
        <x:f>MIN(10,F325+E326)</x:f>
        <x:v>6</x:v>
      </x:c>
      <x:c r="G326" s="8" t="n">
        <x:f>MIN(F326,9)+1</x:f>
        <x:v>7</x:v>
      </x:c>
      <x:c r="H326" s="8" t="n">
        <x:f>IF(F326&lt;=9,1,0)</x:f>
        <x:v>1</x:v>
      </x:c>
      <x:c r="I326" s="9" t="n">
        <x:f>MIN(10,F325+IF(AR325&gt;0,MIN(1,AS325/AR325),1))</x:f>
        <x:v>6.076456420133364</x:v>
      </x:c>
      <x:c r="J326" s="32" t="n">
        <x:f>INDEX(tun_FoodCap,G326)*Arch_FoodCap*EXP(tun_CapsByProject*SUMPRODUCT((Cap_Point&lt;=I326)*(Cap_Kind="Food")*Cap_Ln))</x:f>
        <x:v>610.0101168966467</x:v>
      </x:c>
      <x:c r="K326" s="32" t="n">
        <x:f>J326*MIN(1,tun_LeanBase*EXP(tun_CapsByProject*SUMPRODUCT((Cap_Point&lt;=I326)*(Cap_Kind="Lean")*Cap_Ln)))</x:f>
        <x:v>610.0101168966467</x:v>
      </x:c>
      <x:c r="L326" s="10" t="n">
        <x:f>INDEX(tun_HousingCap,G326)*EXP(tun_CapsByProject*SUMPRODUCT((Cap_Point&lt;=I326)*(Cap_Kind="Housing")*Cap_Ln))</x:f>
        <x:v>2125.258900135082</x:v>
      </x:c>
      <x:c r="M326" s="10" t="n">
        <x:f>INDEX(tun_GroupCap,G326)*tun_CohesionFactor*EXP(tun_CapsByProject*SUMPRODUCT((Cap_Point&lt;=I326)*(Cap_Kind="Group")*Cap_Ln))</x:f>
        <x:v>50000.00000000004</x:v>
      </x:c>
      <x:c r="N326" s="32" t="n">
        <x:f>MIN(J326,L326,M326)</x:f>
        <x:v>610.0101168966467</x:v>
      </x:c>
      <x:c r="O326" s="10" t="n">
        <x:f>AE325*N326</x:f>
        <x:v>4270.070818276527</x:v>
      </x:c>
      <x:c r="P326" s="9" t="n">
        <x:f>MIN(1,(AB325/(AE325*IF(tun_GroupInCrowding=1,N326,MIN(J326,L326))))^tun_CrowdingExp)</x:f>
        <x:v>0.13005556084752262</x:v>
      </x:c>
      <x:c r="Q326" s="9" t="n">
        <x:f>IF(D326=1,INDEX(tun_WinterMult,G326),1)</x:f>
        <x:v>1</x:v>
      </x:c>
      <x:c r="R326" s="9" t="n">
        <x:f>H326*Z325*tun_WomenShare*tun_BaseFertility*INDEX(tun_FertMult,G326)*Arch_Fertility*(1-P326)</x:f>
        <x:v>68.46512464860689</x:v>
      </x:c>
      <x:c r="S326" s="9" t="n">
        <x:f>H326*Y325*INDEX(tun_MortChild,G326)/4*Q326</x:f>
        <x:v>10.189251194762287</x:v>
      </x:c>
      <x:c r="T326" s="9" t="n">
        <x:f>H326*Z325*INDEX(tun_MortAdult,G326)*Arch_AdultMort/4*Q326</x:f>
        <x:v>2.614179826907558</x:v>
      </x:c>
      <x:c r="U326" s="9" t="n">
        <x:f>H326*AA325*INDEX(tun_MortElder,G326)/4*Q326</x:f>
        <x:v>3.778228153160242</x:v>
      </x:c>
      <x:c r="V326" s="9" t="n">
        <x:f>H326*MAX(0,AB325-O326)*tun_OvercapLoss</x:f>
        <x:v>0</x:v>
      </x:c>
      <x:c r="W326" s="9" t="n">
        <x:f>H326*Y325/(tun_ChildYears*4)</x:f>
        <x:v>29.11214627074939</x:v>
      </x:c>
      <x:c r="X326" s="9" t="n">
        <x:f>H326*Z325/(tun_AdultYears*4)</x:f>
        <x:v>8.876671738226003</x:v>
      </x:c>
      <x:c r="Y326" s="32" t="n">
        <x:f>Y325+R326-S326-W326-Y325*V326/AB325</x:f>
        <x:v>1659.4439183450609</x:v>
      </x:c>
      <x:c r="Z326" s="32" t="n">
        <x:f>Z325+W326-X326-T326-Z325*V326/AB325</x:f>
        <x:v>1118.3285902456405</x:v>
      </x:c>
      <x:c r="AA326" s="32" t="n">
        <x:f>AA325+X326-U326-AA325*V326/AB325</x:f>
        <x:v>313.5252315981467</x:v>
      </x:c>
      <x:c r="AB326" s="10" t="n">
        <x:f>Y326+Z326+AA326</x:f>
        <x:v>3091.297740188848</x:v>
      </x:c>
      <x:c r="AC326" s="8" t="n">
        <x:f>IF(AND(tun_WinterTrigger=1,D326=1,AB325/AE325&gt;=K326),1,0)</x:f>
        <x:v>0</x:v>
      </x:c>
      <x:c r="AD326" s="8" t="n">
        <x:f>H326*IF(AND(OR(AB325/AE325&gt;=tun_FissionTrigger*N326,AC326=1),AB325/AE325*tun_DaughterShare&gt;=tun_MinDaughter),MAX(1,ROUND(AE325*tun_FissionRate,0)),0)</x:f>
        <x:v>0</x:v>
      </x:c>
      <x:c r="AE326" s="8" t="n">
        <x:f>IF(H326=1,MAX(1,MIN(INDEX(tun_Smax,G326),AE325+AD326)),AE325)</x:f>
        <x:v>7</x:v>
      </x:c>
      <x:c r="AF326" s="8" t="n">
        <x:f>MAX(0,AE326-AE325)</x:f>
        <x:v>0</x:v>
      </x:c>
      <x:c r="AG326" s="9" t="str">
        <x:f>IF(AF326&gt;0,B326,"")</x:f>
      </x:c>
      <x:c r="AH326" s="9" t="n">
        <x:f>IF(F326&gt;=1,1,(1+tun_LowTiesShare*(AE326-1))/AE326)</x:f>
        <x:v>1</x:v>
      </x:c>
      <x:c r="AI326" s="32" t="n">
        <x:f>(Z326+tun_ElderCommons*INDEX(LM_Elder,G326)*AA326)*AH326</x:f>
        <x:v>2294.048208738691</x:v>
      </x:c>
      <x:c r="AJ326" s="32" t="n">
        <x:f>H326*tun_CommonsCoef*AI326^tun_CommonsExp*INDEX(LM_Commons,G326)</x:f>
        <x:v>5019.076835077996</x:v>
      </x:c>
      <x:c r="AK326" s="32" t="n">
        <x:f>H326*tun_RoleScale*Arch_Roles*(AE326*(INDEX(tun_ElderRolePerSett,G326)*tun_OutElder*INDEX(LM_Elder,G326)+INDEX(tun_ShamanPerSett,G326)*tun_OutShaman)+Z326*(INDEX(tun_PriestShare,G326)*tun_OutPriest+INDEX(tun_ScribeShare,G326)*tun_OutScribe*INDEX(LM_Scribe,G326)+INDEX(tun_ScholarShare,G326)*tun_OutScholar*INDEX(LM_Scholar,G326)+INDEX(tun_ResearcherShare,G326)*tun_OutResearcher*INDEX(LM_Researcher,G326)))</x:f>
        <x:v>1317.169881839802</x:v>
      </x:c>
      <x:c r="AL326" s="32" t="n">
        <x:f>H326*tun_RoleScale*Arch_Roles*AE326*INDEX(tun_MonasteryPerSett,G326)*tun_OutMonastery*INDEX(LM_Monastery,G326)</x:f>
        <x:v>36.96000000000001</x:v>
      </x:c>
      <x:c r="AM326" s="32" t="n">
        <x:f>(AJ326+AK326+AL326)/4*INDEX(LM_All,G326)*INDEX(tun_Boon,G326)*Arch_Insight</x:f>
        <x:v>2912.3563611333593</x:v>
      </x:c>
      <x:c r="AN326" s="32" t="n">
        <x:f>H326*(tun_KHPerAdult*Z326+tun_KHOfCommons*AJ326/4*INDEX(LM_All,G326))*tun_KHUsable*Arch_KH</x:f>
        <x:v>484.544028764331</x:v>
      </x:c>
      <x:c r="AO326" s="32" t="n">
        <x:f>MIN(AP325+AN326,AM326*tun_KHMaxRatio)</x:f>
        <x:v>484.544028764331</x:v>
      </x:c>
      <x:c r="AP326" s="32" t="n">
        <x:f>AP325+AN326-AO326</x:f>
        <x:v>0</x:v>
      </x:c>
      <x:c r="AQ326" s="32" t="n">
        <x:f>AM326+AO326</x:f>
        <x:v>3396.9003898976903</x:v>
      </x:c>
      <x:c r="AR326" s="10" t="n">
        <x:f>IF(H326=1,INDEX(tun_Req,G326),0)</x:f>
        <x:v>434961.70024459995</x:v>
      </x:c>
      <x:c r="AS326" s="32" t="n">
        <x:f>IF(H326=1,IF(E326=1,AS325-AR325,AS325)+AQ326,0)</x:f>
        <x:v>36652.51488572113</x:v>
      </x:c>
      <x:c r="AT326" s="11" t="n">
        <x:f>IF(AR326&gt;0,MIN(1,AS326/AR326),1)</x:f>
        <x:v>0.0842660741511486</x:v>
      </x:c>
      <x:c r="AU326" s="10" t="n">
        <x:f>AB326/INDEX(tun_RepScale,G326)</x:f>
        <x:v>123.65190960755392</x:v>
      </x:c>
      <x:c r="AV326" s="32" t="n">
        <x:f>AM326*60/tun_SeasonSeconds</x:f>
        <x:v>11649.425444533437</x:v>
      </x:c>
    </x:row>
    <x:row r="327">
      <x:c r="A327" s="8" t="n">
        <x:f>A326+1</x:f>
        <x:v>324</x:v>
      </x:c>
      <x:c r="B327" s="9" t="n">
        <x:f>A327*tun_SeasonSeconds/60</x:f>
        <x:v>81</x:v>
      </x:c>
      <x:c r="C327" s="9" t="n">
        <x:f>A327/4</x:f>
        <x:v>81</x:v>
      </x:c>
      <x:c r="D327" s="8" t="n">
        <x:f>IF(MOD(A327,4)=0,1,0)</x:f>
        <x:v>1</x:v>
      </x:c>
      <x:c r="E327" s="8" t="n">
        <x:f>IF(AND(F326&lt;=9,AS326&gt;=AR326),1,0)</x:f>
        <x:v>0</x:v>
      </x:c>
      <x:c r="F327" s="8" t="n">
        <x:f>MIN(10,F326+E327)</x:f>
        <x:v>6</x:v>
      </x:c>
      <x:c r="G327" s="8" t="n">
        <x:f>MIN(F327,9)+1</x:f>
        <x:v>7</x:v>
      </x:c>
      <x:c r="H327" s="8" t="n">
        <x:f>IF(F327&lt;=9,1,0)</x:f>
        <x:v>1</x:v>
      </x:c>
      <x:c r="I327" s="9" t="n">
        <x:f>MIN(10,F326+IF(AR326&gt;0,MIN(1,AS326/AR326),1))</x:f>
        <x:v>6.084266074151149</x:v>
      </x:c>
      <x:c r="J327" s="32" t="n">
        <x:f>INDEX(tun_FoodCap,G327)*Arch_FoodCap*EXP(tun_CapsByProject*SUMPRODUCT((Cap_Point&lt;=I327)*(Cap_Kind="Food")*Cap_Ln))</x:f>
        <x:v>610.0101168966467</x:v>
      </x:c>
      <x:c r="K327" s="32" t="n">
        <x:f>J327*MIN(1,tun_LeanBase*EXP(tun_CapsByProject*SUMPRODUCT((Cap_Point&lt;=I327)*(Cap_Kind="Lean")*Cap_Ln)))</x:f>
        <x:v>610.0101168966467</x:v>
      </x:c>
      <x:c r="L327" s="10" t="n">
        <x:f>INDEX(tun_HousingCap,G327)*EXP(tun_CapsByProject*SUMPRODUCT((Cap_Point&lt;=I327)*(Cap_Kind="Housing")*Cap_Ln))</x:f>
        <x:v>2125.258900135082</x:v>
      </x:c>
      <x:c r="M327" s="10" t="n">
        <x:f>INDEX(tun_GroupCap,G327)*tun_CohesionFactor*EXP(tun_CapsByProject*SUMPRODUCT((Cap_Point&lt;=I327)*(Cap_Kind="Group")*Cap_Ln))</x:f>
        <x:v>50000.00000000004</x:v>
      </x:c>
      <x:c r="N327" s="32" t="n">
        <x:f>MIN(J327,L327,M327)</x:f>
        <x:v>610.0101168966467</x:v>
      </x:c>
      <x:c r="O327" s="10" t="n">
        <x:f>AE326*N327</x:f>
        <x:v>4270.070818276527</x:v>
      </x:c>
      <x:c r="P327" s="9" t="n">
        <x:f>MIN(1,(AB326/(AE326*IF(tun_GroupInCrowding=1,N327,MIN(J327,L327))))^tun_CrowdingExp)</x:f>
        <x:v>0.1439575848049414</x:v>
      </x:c>
      <x:c r="Q327" s="9" t="n">
        <x:f>IF(D327=1,INDEX(tun_WinterMult,G327),1)</x:f>
        <x:v>1.1</x:v>
      </x:c>
      <x:c r="R327" s="9" t="n">
        <x:f>H327*Z326*tun_WomenShare*tun_BaseFertility*INDEX(tun_FertMult,G327)*Arch_Fertility*(1-P327)</x:f>
        <x:v>68.44957457735278</x:v>
      </x:c>
      <x:c r="S327" s="9" t="n">
        <x:f>H327*Y326*INDEX(tun_MortChild,G327)/4*Q327</x:f>
        <x:v>11.408676938622294</x:v>
      </x:c>
      <x:c r="T327" s="9" t="n">
        <x:f>H327*Z326*INDEX(tun_MortAdult,G327)*Arch_AdultMort/4*Q327</x:f>
        <x:v>2.921633442016736</x:v>
      </x:c>
      <x:c r="U327" s="9" t="n">
        <x:f>H327*AA326*INDEX(tun_MortElder,G327)/4*Q327</x:f>
        <x:v>4.224752495785028</x:v>
      </x:c>
      <x:c r="V327" s="9" t="n">
        <x:f>H327*MAX(0,AB326-O327)*tun_OvercapLoss</x:f>
        <x:v>0</x:v>
      </x:c>
      <x:c r="W327" s="9" t="n">
        <x:f>H327*Y326/(tun_ChildYears*4)</x:f>
        <x:v>29.632927113304657</x:v>
      </x:c>
      <x:c r="X327" s="9" t="n">
        <x:f>H327*Z326/(tun_AdultYears*4)</x:f>
        <x:v>9.018778953593875</x:v>
      </x:c>
      <x:c r="Y327" s="32" t="n">
        <x:f>Y326+R327-S327-W327-Y326*V327/AB326</x:f>
        <x:v>1686.8518888704866</x:v>
      </x:c>
      <x:c r="Z327" s="32" t="n">
        <x:f>Z326+W327-X327-T327-Z326*V327/AB326</x:f>
        <x:v>1136.0211049633347</x:v>
      </x:c>
      <x:c r="AA327" s="32" t="n">
        <x:f>AA326+X327-U327-AA326*V327/AB326</x:f>
        <x:v>318.3192580559556</x:v>
      </x:c>
      <x:c r="AB327" s="10" t="n">
        <x:f>Y327+Z327+AA327</x:f>
        <x:v>3141.192251889777</x:v>
      </x:c>
      <x:c r="AC327" s="8" t="n">
        <x:f>IF(AND(tun_WinterTrigger=1,D327=1,AB326/AE326&gt;=K327),1,0)</x:f>
        <x:v>0</x:v>
      </x:c>
      <x:c r="AD327" s="8" t="n">
        <x:f>H327*IF(AND(OR(AB326/AE326&gt;=tun_FissionTrigger*N327,AC327=1),AB326/AE326*tun_DaughterShare&gt;=tun_MinDaughter),MAX(1,ROUND(AE326*tun_FissionRate,0)),0)</x:f>
        <x:v>0</x:v>
      </x:c>
      <x:c r="AE327" s="8" t="n">
        <x:f>IF(H327=1,MAX(1,MIN(INDEX(tun_Smax,G327),AE326+AD327)),AE326)</x:f>
        <x:v>7</x:v>
      </x:c>
      <x:c r="AF327" s="8" t="n">
        <x:f>MAX(0,AE327-AE326)</x:f>
        <x:v>0</x:v>
      </x:c>
      <x:c r="AG327" s="9" t="str">
        <x:f>IF(AF327&gt;0,B327,"")</x:f>
      </x:c>
      <x:c r="AH327" s="9" t="n">
        <x:f>IF(F327&gt;=1,1,(1+tun_LowTiesShare*(AE327-1))/AE327)</x:f>
        <x:v>1</x:v>
      </x:c>
      <x:c r="AI327" s="32" t="n">
        <x:f>(Z327+tun_ElderCommons*INDEX(LM_Elder,G327)*AA327)*AH327</x:f>
        <x:v>2329.718322673168</x:v>
      </x:c>
      <x:c r="AJ327" s="32" t="n">
        <x:f>H327*tun_CommonsCoef*AI327^tun_CommonsExp*INDEX(LM_Commons,G327)</x:f>
        <x:v>5085.335238241109</x:v>
      </x:c>
      <x:c r="AK327" s="32" t="n">
        <x:f>H327*tun_RoleScale*Arch_Roles*(AE327*(INDEX(tun_ElderRolePerSett,G327)*tun_OutElder*INDEX(LM_Elder,G327)+INDEX(tun_ShamanPerSett,G327)*tun_OutShaman)+Z327*(INDEX(tun_PriestShare,G327)*tun_OutPriest+INDEX(tun_ScribeShare,G327)*tun_OutScribe*INDEX(LM_Scribe,G327)+INDEX(tun_ScholarShare,G327)*tun_OutScholar*INDEX(LM_Scholar,G327)+INDEX(tun_ResearcherShare,G327)*tun_OutResearcher*INDEX(LM_Researcher,G327)))</x:f>
        <x:v>1335.0180906870119</x:v>
      </x:c>
      <x:c r="AL327" s="32" t="n">
        <x:f>H327*tun_RoleScale*Arch_Roles*AE327*INDEX(tun_MonasteryPerSett,G327)*tun_OutMonastery*INDEX(LM_Monastery,G327)</x:f>
        <x:v>36.96000000000001</x:v>
      </x:c>
      <x:c r="AM327" s="32" t="n">
        <x:f>(AJ327+AK327+AL327)/4*INDEX(LM_All,G327)*INDEX(tun_Boon,G327)*Arch_Insight</x:f>
        <x:v>2950.7904552058803</x:v>
      </x:c>
      <x:c r="AN327" s="32" t="n">
        <x:f>H327*(tun_KHPerAdult*Z327+tun_KHOfCommons*AJ327/4*INDEX(LM_All,G327))*tun_KHUsable*Arch_KH</x:f>
        <x:v>490.9406460433824</x:v>
      </x:c>
      <x:c r="AO327" s="32" t="n">
        <x:f>MIN(AP326+AN327,AM327*tun_KHMaxRatio)</x:f>
        <x:v>490.9406460433824</x:v>
      </x:c>
      <x:c r="AP327" s="32" t="n">
        <x:f>AP326+AN327-AO327</x:f>
        <x:v>0</x:v>
      </x:c>
      <x:c r="AQ327" s="32" t="n">
        <x:f>AM327+AO327</x:f>
        <x:v>3441.731101249263</x:v>
      </x:c>
      <x:c r="AR327" s="10" t="n">
        <x:f>IF(H327=1,INDEX(tun_Req,G327),0)</x:f>
        <x:v>434961.70024459995</x:v>
      </x:c>
      <x:c r="AS327" s="32" t="n">
        <x:f>IF(H327=1,IF(E327=1,AS326-AR326,AS326)+AQ327,0)</x:f>
        <x:v>40094.245986970396</x:v>
      </x:c>
      <x:c r="AT327" s="11" t="n">
        <x:f>IF(AR327&gt;0,MIN(1,AS327/AR327),1)</x:f>
        <x:v>0.09217879635016937</x:v>
      </x:c>
      <x:c r="AU327" s="10" t="n">
        <x:f>AB327/INDEX(tun_RepScale,G327)</x:f>
        <x:v>125.64769007559107</x:v>
      </x:c>
      <x:c r="AV327" s="32" t="n">
        <x:f>AM327*60/tun_SeasonSeconds</x:f>
        <x:v>11803.161820823521</x:v>
      </x:c>
    </x:row>
    <x:row r="328">
      <x:c r="A328" s="8" t="n">
        <x:f>A327+1</x:f>
        <x:v>325</x:v>
      </x:c>
      <x:c r="B328" s="9" t="n">
        <x:f>A328*tun_SeasonSeconds/60</x:f>
        <x:v>81.25</x:v>
      </x:c>
      <x:c r="C328" s="9" t="n">
        <x:f>A328/4</x:f>
        <x:v>81.25</x:v>
      </x:c>
      <x:c r="D328" s="8" t="n">
        <x:f>IF(MOD(A328,4)=0,1,0)</x:f>
        <x:v>0</x:v>
      </x:c>
      <x:c r="E328" s="8" t="n">
        <x:f>IF(AND(F327&lt;=9,AS327&gt;=AR327),1,0)</x:f>
        <x:v>0</x:v>
      </x:c>
      <x:c r="F328" s="8" t="n">
        <x:f>MIN(10,F327+E328)</x:f>
        <x:v>6</x:v>
      </x:c>
      <x:c r="G328" s="8" t="n">
        <x:f>MIN(F328,9)+1</x:f>
        <x:v>7</x:v>
      </x:c>
      <x:c r="H328" s="8" t="n">
        <x:f>IF(F328&lt;=9,1,0)</x:f>
        <x:v>1</x:v>
      </x:c>
      <x:c r="I328" s="9" t="n">
        <x:f>MIN(10,F327+IF(AR327&gt;0,MIN(1,AS327/AR327),1))</x:f>
        <x:v>6.0921787963501695</x:v>
      </x:c>
      <x:c r="J328" s="32" t="n">
        <x:f>INDEX(tun_FoodCap,G328)*Arch_FoodCap*EXP(tun_CapsByProject*SUMPRODUCT((Cap_Point&lt;=I328)*(Cap_Kind="Food")*Cap_Ln))</x:f>
        <x:v>610.0101168966467</x:v>
      </x:c>
      <x:c r="K328" s="32" t="n">
        <x:f>J328*MIN(1,tun_LeanBase*EXP(tun_CapsByProject*SUMPRODUCT((Cap_Point&lt;=I328)*(Cap_Kind="Lean")*Cap_Ln)))</x:f>
        <x:v>610.0101168966467</x:v>
      </x:c>
      <x:c r="L328" s="10" t="n">
        <x:f>INDEX(tun_HousingCap,G328)*EXP(tun_CapsByProject*SUMPRODUCT((Cap_Point&lt;=I328)*(Cap_Kind="Housing")*Cap_Ln))</x:f>
        <x:v>2125.258900135082</x:v>
      </x:c>
      <x:c r="M328" s="10" t="n">
        <x:f>INDEX(tun_GroupCap,G328)*tun_CohesionFactor*EXP(tun_CapsByProject*SUMPRODUCT((Cap_Point&lt;=I328)*(Cap_Kind="Group")*Cap_Ln))</x:f>
        <x:v>50000.00000000004</x:v>
      </x:c>
      <x:c r="N328" s="32" t="n">
        <x:f>MIN(J328,L328,M328)</x:f>
        <x:v>610.0101168966467</x:v>
      </x:c>
      <x:c r="O328" s="10" t="n">
        <x:f>AE327*N328</x:f>
        <x:v>4270.070818276527</x:v>
      </x:c>
      <x:c r="P328" s="9" t="n">
        <x:f>MIN(1,(AB327/(AE327*IF(tun_GroupInCrowding=1,N328,MIN(J328,L328))))^tun_CrowdingExp)</x:f>
        <x:v>0.15847349594913274</x:v>
      </x:c>
      <x:c r="Q328" s="9" t="n">
        <x:f>IF(D328=1,INDEX(tun_WinterMult,G328),1)</x:f>
        <x:v>1</x:v>
      </x:c>
      <x:c r="R328" s="9" t="n">
        <x:f>H328*Z327*tun_WomenShare*tun_BaseFertility*INDEX(tun_FertMult,G328)*Arch_Fertility*(1-P328)</x:f>
        <x:v>68.35341863262758</x:v>
      </x:c>
      <x:c r="S328" s="9" t="n">
        <x:f>H328*Y327*INDEX(tun_MortChild,G328)/4*Q328</x:f>
        <x:v>10.542824305440542</x:v>
      </x:c>
      <x:c r="T328" s="9" t="n">
        <x:f>H328*Z327*INDEX(tun_MortAdult,G328)*Arch_AdultMort/4*Q328</x:f>
        <x:v>2.69805012428792</x:v>
      </x:c>
      <x:c r="U328" s="9" t="n">
        <x:f>H328*AA327*INDEX(tun_MortElder,G328)/4*Q328</x:f>
        <x:v>3.899410911185456</x:v>
      </x:c>
      <x:c r="V328" s="9" t="n">
        <x:f>H328*MAX(0,AB327-O328)*tun_OvercapLoss</x:f>
        <x:v>0</x:v>
      </x:c>
      <x:c r="W328" s="9" t="n">
        <x:f>H328*Y327/(tun_ChildYears*4)</x:f>
        <x:v>30.122355158401547</x:v>
      </x:c>
      <x:c r="X328" s="9" t="n">
        <x:f>H328*Z327/(tun_AdultYears*4)</x:f>
        <x:v>9.16146052389786</x:v>
      </x:c>
      <x:c r="Y328" s="32" t="n">
        <x:f>Y327+R328-S328-W328-Y327*V328/AB327</x:f>
        <x:v>1714.540128039272</x:v>
      </x:c>
      <x:c r="Z328" s="32" t="n">
        <x:f>Z327+W328-X328-T328-Z327*V328/AB327</x:f>
        <x:v>1154.2839494735504</x:v>
      </x:c>
      <x:c r="AA328" s="32" t="n">
        <x:f>AA327+X328-U328-AA327*V328/AB327</x:f>
        <x:v>323.581307668668</x:v>
      </x:c>
      <x:c r="AB328" s="10" t="n">
        <x:f>Y328+Z328+AA328</x:f>
        <x:v>3192.4053851814906</x:v>
      </x:c>
      <x:c r="AC328" s="8" t="n">
        <x:f>IF(AND(tun_WinterTrigger=1,D328=1,AB327/AE327&gt;=K328),1,0)</x:f>
        <x:v>0</x:v>
      </x:c>
      <x:c r="AD328" s="8" t="n">
        <x:f>H328*IF(AND(OR(AB327/AE327&gt;=tun_FissionTrigger*N328,AC328=1),AB327/AE327*tun_DaughterShare&gt;=tun_MinDaughter),MAX(1,ROUND(AE327*tun_FissionRate,0)),0)</x:f>
        <x:v>0</x:v>
      </x:c>
      <x:c r="AE328" s="8" t="n">
        <x:f>IF(H328=1,MAX(1,MIN(INDEX(tun_Smax,G328),AE327+AD328)),AE327)</x:f>
        <x:v>7</x:v>
      </x:c>
      <x:c r="AF328" s="8" t="n">
        <x:f>MAX(0,AE328-AE327)</x:f>
        <x:v>0</x:v>
      </x:c>
      <x:c r="AG328" s="9" t="str">
        <x:f>IF(AF328&gt;0,B328,"")</x:f>
      </x:c>
      <x:c r="AH328" s="9" t="n">
        <x:f>IF(F328&gt;=1,1,(1+tun_LowTiesShare*(AE328-1))/AE328)</x:f>
        <x:v>1</x:v>
      </x:c>
      <x:c r="AI328" s="32" t="n">
        <x:f>(Z328+tun_ElderCommons*INDEX(LM_Elder,G328)*AA328)*AH328</x:f>
        <x:v>2367.7138532310555</x:v>
      </x:c>
      <x:c r="AJ328" s="32" t="n">
        <x:f>H328*tun_CommonsCoef*AI328^tun_CommonsExp*INDEX(LM_Commons,G328)</x:f>
        <x:v>5155.746051812888</x:v>
      </x:c>
      <x:c r="AK328" s="32" t="n">
        <x:f>H328*tun_RoleScale*Arch_Roles*(AE328*(INDEX(tun_ElderRolePerSett,G328)*tun_OutElder*INDEX(LM_Elder,G328)+INDEX(tun_ShamanPerSett,G328)*tun_OutShaman)+Z328*(INDEX(tun_PriestShare,G328)*tun_OutPriest+INDEX(tun_ScribeShare,G328)*tun_OutScribe*INDEX(LM_Scribe,G328)+INDEX(tun_ScholarShare,G328)*tun_OutScholar*INDEX(LM_Scholar,G328)+INDEX(tun_ResearcherShare,G328)*tun_OutResearcher*INDEX(LM_Researcher,G328)))</x:f>
        <x:v>1353.4416482289175</x:v>
      </x:c>
      <x:c r="AL328" s="32" t="n">
        <x:f>H328*tun_RoleScale*Arch_Roles*AE328*INDEX(tun_MonasteryPerSett,G328)*tun_OutMonastery*INDEX(LM_Monastery,G328)</x:f>
        <x:v>36.96000000000001</x:v>
      </x:c>
      <x:c r="AM328" s="32" t="n">
        <x:f>(AJ328+AK328+AL328)/4*INDEX(LM_All,G328)*INDEX(tun_Boon,G328)*Arch_Insight</x:f>
        <x:v>2991.384987486381</x:v>
      </x:c>
      <x:c r="AN328" s="32" t="n">
        <x:f>H328*(tun_KHPerAdult*Z328+tun_KHOfCommons*AJ328/4*INDEX(LM_All,G328))*tun_KHUsable*Arch_KH</x:f>
        <x:v>497.73813896841625</x:v>
      </x:c>
      <x:c r="AO328" s="32" t="n">
        <x:f>MIN(AP327+AN328,AM328*tun_KHMaxRatio)</x:f>
        <x:v>497.73813896841625</x:v>
      </x:c>
      <x:c r="AP328" s="32" t="n">
        <x:f>AP327+AN328-AO328</x:f>
        <x:v>0</x:v>
      </x:c>
      <x:c r="AQ328" s="32" t="n">
        <x:f>AM328+AO328</x:f>
        <x:v>3489.123126454797</x:v>
      </x:c>
      <x:c r="AR328" s="10" t="n">
        <x:f>IF(H328=1,INDEX(tun_Req,G328),0)</x:f>
        <x:v>434961.70024459995</x:v>
      </x:c>
      <x:c r="AS328" s="32" t="n">
        <x:f>IF(H328=1,IF(E328=1,AS327-AR327,AS327)+AQ328,0)</x:f>
        <x:v>43583.36911342519</x:v>
      </x:c>
      <x:c r="AT328" s="11" t="n">
        <x:f>IF(AR328&gt;0,MIN(1,AS328/AR328),1)</x:f>
        <x:v>0.10020047532671535</x:v>
      </x:c>
      <x:c r="AU328" s="10" t="n">
        <x:f>AB328/INDEX(tun_RepScale,G328)</x:f>
        <x:v>127.69621540725963</x:v>
      </x:c>
      <x:c r="AV328" s="32" t="n">
        <x:f>AM328*60/tun_SeasonSeconds</x:f>
        <x:v>11965.539949945523</x:v>
      </x:c>
    </x:row>
    <x:row r="329">
      <x:c r="A329" s="8" t="n">
        <x:f>A328+1</x:f>
        <x:v>326</x:v>
      </x:c>
      <x:c r="B329" s="9" t="n">
        <x:f>A329*tun_SeasonSeconds/60</x:f>
        <x:v>81.5</x:v>
      </x:c>
      <x:c r="C329" s="9" t="n">
        <x:f>A329/4</x:f>
        <x:v>81.5</x:v>
      </x:c>
      <x:c r="D329" s="8" t="n">
        <x:f>IF(MOD(A329,4)=0,1,0)</x:f>
        <x:v>0</x:v>
      </x:c>
      <x:c r="E329" s="8" t="n">
        <x:f>IF(AND(F328&lt;=9,AS328&gt;=AR328),1,0)</x:f>
        <x:v>0</x:v>
      </x:c>
      <x:c r="F329" s="8" t="n">
        <x:f>MIN(10,F328+E329)</x:f>
        <x:v>6</x:v>
      </x:c>
      <x:c r="G329" s="8" t="n">
        <x:f>MIN(F329,9)+1</x:f>
        <x:v>7</x:v>
      </x:c>
      <x:c r="H329" s="8" t="n">
        <x:f>IF(F329&lt;=9,1,0)</x:f>
        <x:v>1</x:v>
      </x:c>
      <x:c r="I329" s="9" t="n">
        <x:f>MIN(10,F328+IF(AR328&gt;0,MIN(1,AS328/AR328),1))</x:f>
        <x:v>6.100200475326715</x:v>
      </x:c>
      <x:c r="J329" s="32" t="n">
        <x:f>INDEX(tun_FoodCap,G329)*Arch_FoodCap*EXP(tun_CapsByProject*SUMPRODUCT((Cap_Point&lt;=I329)*(Cap_Kind="Food")*Cap_Ln))</x:f>
        <x:v>610.0101168966467</x:v>
      </x:c>
      <x:c r="K329" s="32" t="n">
        <x:f>J329*MIN(1,tun_LeanBase*EXP(tun_CapsByProject*SUMPRODUCT((Cap_Point&lt;=I329)*(Cap_Kind="Lean")*Cap_Ln)))</x:f>
        <x:v>610.0101168966467</x:v>
      </x:c>
      <x:c r="L329" s="10" t="n">
        <x:f>INDEX(tun_HousingCap,G329)*EXP(tun_CapsByProject*SUMPRODUCT((Cap_Point&lt;=I329)*(Cap_Kind="Housing")*Cap_Ln))</x:f>
        <x:v>2125.258900135082</x:v>
      </x:c>
      <x:c r="M329" s="10" t="n">
        <x:f>INDEX(tun_GroupCap,G329)*tun_CohesionFactor*EXP(tun_CapsByProject*SUMPRODUCT((Cap_Point&lt;=I329)*(Cap_Kind="Group")*Cap_Ln))</x:f>
        <x:v>50000.00000000004</x:v>
      </x:c>
      <x:c r="N329" s="32" t="n">
        <x:f>MIN(J329,L329,M329)</x:f>
        <x:v>610.0101168966467</x:v>
      </x:c>
      <x:c r="O329" s="10" t="n">
        <x:f>AE328*N329</x:f>
        <x:v>4270.070818276527</x:v>
      </x:c>
      <x:c r="P329" s="9" t="n">
        <x:f>MIN(1,(AB328/(AE328*IF(tun_GroupInCrowding=1,N329,MIN(J329,L329))))^tun_CrowdingExp)</x:f>
        <x:v>0.17462151097343415</x:v>
      </x:c>
      <x:c r="Q329" s="9" t="n">
        <x:f>IF(D329=1,INDEX(tun_WinterMult,G329),1)</x:f>
        <x:v>1</x:v>
      </x:c>
      <x:c r="R329" s="9" t="n">
        <x:f>H329*Z328*tun_WomenShare*tun_BaseFertility*INDEX(tun_FertMult,G329)*Arch_Fertility*(1-P329)</x:f>
        <x:v>68.11956166187286</x:v>
      </x:c>
      <x:c r="S329" s="9" t="n">
        <x:f>H329*Y328*INDEX(tun_MortChild,G329)/4*Q329</x:f>
        <x:v>10.71587580024545</x:v>
      </x:c>
      <x:c r="T329" s="9" t="n">
        <x:f>H329*Z328*INDEX(tun_MortAdult,G329)*Arch_AdultMort/4*Q329</x:f>
        <x:v>2.7414243799996822</x:v>
      </x:c>
      <x:c r="U329" s="9" t="n">
        <x:f>H329*AA328*INDEX(tun_MortElder,G329)/4*Q329</x:f>
        <x:v>3.963871018941183</x:v>
      </x:c>
      <x:c r="V329" s="9" t="n">
        <x:f>H329*MAX(0,AB328-O329)*tun_OvercapLoss</x:f>
        <x:v>0</x:v>
      </x:c>
      <x:c r="W329" s="9" t="n">
        <x:f>H329*Y328/(tun_ChildYears*4)</x:f>
        <x:v>30.616788000701288</x:v>
      </x:c>
      <x:c r="X329" s="9" t="n">
        <x:f>H329*Z328/(tun_AdultYears*4)</x:f>
        <x:v>9.308741528012503</x:v>
      </x:c>
      <x:c r="Y329" s="32" t="n">
        <x:f>Y328+R329-S329-W329-Y328*V329/AB328</x:f>
        <x:v>1741.3270259001984</x:v>
      </x:c>
      <x:c r="Z329" s="32" t="n">
        <x:f>Z328+W329-X329-T329-Z328*V329/AB328</x:f>
        <x:v>1172.8505715662395</x:v>
      </x:c>
      <x:c r="AA329" s="32" t="n">
        <x:f>AA328+X329-U329-AA328*V329/AB328</x:f>
        <x:v>328.9261781777393</x:v>
      </x:c>
      <x:c r="AB329" s="10" t="n">
        <x:f>Y329+Z329+AA329</x:f>
        <x:v>3243.1037756441774</x:v>
      </x:c>
      <x:c r="AC329" s="8" t="n">
        <x:f>IF(AND(tun_WinterTrigger=1,D329=1,AB328/AE328&gt;=K329),1,0)</x:f>
        <x:v>0</x:v>
      </x:c>
      <x:c r="AD329" s="8" t="n">
        <x:f>H329*IF(AND(OR(AB328/AE328&gt;=tun_FissionTrigger*N329,AC329=1),AB328/AE328*tun_DaughterShare&gt;=tun_MinDaughter),MAX(1,ROUND(AE328*tun_FissionRate,0)),0)</x:f>
        <x:v>0</x:v>
      </x:c>
      <x:c r="AE329" s="8" t="n">
        <x:f>IF(H329=1,MAX(1,MIN(INDEX(tun_Smax,G329),AE328+AD329)),AE328)</x:f>
        <x:v>7</x:v>
      </x:c>
      <x:c r="AF329" s="8" t="n">
        <x:f>MAX(0,AE329-AE328)</x:f>
        <x:v>0</x:v>
      </x:c>
      <x:c r="AG329" s="9" t="str">
        <x:f>IF(AF329&gt;0,B329,"")</x:f>
      </x:c>
      <x:c r="AH329" s="9" t="n">
        <x:f>IF(F329&gt;=1,1,(1+tun_LowTiesShare*(AE329-1))/AE329)</x:f>
        <x:v>1</x:v>
      </x:c>
      <x:c r="AI329" s="32" t="n">
        <x:f>(Z329+tun_ElderCommons*INDEX(LM_Elder,G329)*AA329)*AH329</x:f>
        <x:v>2406.323739732762</x:v>
      </x:c>
      <x:c r="AJ329" s="32" t="n">
        <x:f>H329*tun_CommonsCoef*AI329^tun_CommonsExp*INDEX(LM_Commons,G329)</x:f>
        <x:v>5227.121948375642</x:v>
      </x:c>
      <x:c r="AK329" s="32" t="n">
        <x:f>H329*tun_RoleScale*Arch_Roles*(AE329*(INDEX(tun_ElderRolePerSett,G329)*tun_OutElder*INDEX(LM_Elder,G329)+INDEX(tun_ShamanPerSett,G329)*tun_OutShaman)+Z329*(INDEX(tun_PriestShare,G329)*tun_OutPriest+INDEX(tun_ScribeShare,G329)*tun_OutScribe*INDEX(LM_Scribe,G329)+INDEX(tun_ScholarShare,G329)*tun_OutScholar*INDEX(LM_Scholar,G329)+INDEX(tun_ResearcherShare,G329)*tun_OutResearcher*INDEX(LM_Researcher,G329)))</x:f>
        <x:v>1372.1716565960223</x:v>
      </x:c>
      <x:c r="AL329" s="32" t="n">
        <x:f>H329*tun_RoleScale*Arch_Roles*AE329*INDEX(tun_MonasteryPerSett,G329)*tun_OutMonastery*INDEX(LM_Monastery,G329)</x:f>
        <x:v>36.96000000000001</x:v>
      </x:c>
      <x:c r="AM329" s="32" t="n">
        <x:f>(AJ329+AK329+AL329)/4*INDEX(LM_All,G329)*INDEX(tun_Boon,G329)*Arch_Insight</x:f>
        <x:v>3032.560570996256</x:v>
      </x:c>
      <x:c r="AN329" s="32" t="n">
        <x:f>H329*(tun_KHPerAdult*Z329+tun_KHOfCommons*AJ329/4*INDEX(LM_All,G329))*tun_KHUsable*Arch_KH</x:f>
        <x:v>504.6288014574764</x:v>
      </x:c>
      <x:c r="AO329" s="32" t="n">
        <x:f>MIN(AP328+AN329,AM329*tun_KHMaxRatio)</x:f>
        <x:v>504.6288014574764</x:v>
      </x:c>
      <x:c r="AP329" s="32" t="n">
        <x:f>AP328+AN329-AO329</x:f>
        <x:v>0</x:v>
      </x:c>
      <x:c r="AQ329" s="32" t="n">
        <x:f>AM329+AO329</x:f>
        <x:v>3537.1893724537326</x:v>
      </x:c>
      <x:c r="AR329" s="10" t="n">
        <x:f>IF(H329=1,INDEX(tun_Req,G329),0)</x:f>
        <x:v>434961.70024459995</x:v>
      </x:c>
      <x:c r="AS329" s="32" t="n">
        <x:f>IF(H329=1,IF(E329=1,AS328-AR328,AS328)+AQ329,0)</x:f>
        <x:v>47120.55848587892</x:v>
      </x:c>
      <x:c r="AT329" s="11" t="n">
        <x:f>IF(AR329&gt;0,MIN(1,AS329/AR329),1)</x:f>
        <x:v>0.1083326611501214</x:v>
      </x:c>
      <x:c r="AU329" s="10" t="n">
        <x:f>AB329/INDEX(tun_RepScale,G329)</x:f>
        <x:v>129.7241510257671</x:v>
      </x:c>
      <x:c r="AV329" s="32" t="n">
        <x:f>AM329*60/tun_SeasonSeconds</x:f>
        <x:v>12130.242283985024</x:v>
      </x:c>
    </x:row>
    <x:row r="330">
      <x:c r="A330" s="8" t="n">
        <x:f>A329+1</x:f>
        <x:v>327</x:v>
      </x:c>
      <x:c r="B330" s="9" t="n">
        <x:f>A330*tun_SeasonSeconds/60</x:f>
        <x:v>81.75</x:v>
      </x:c>
      <x:c r="C330" s="9" t="n">
        <x:f>A330/4</x:f>
        <x:v>81.75</x:v>
      </x:c>
      <x:c r="D330" s="8" t="n">
        <x:f>IF(MOD(A330,4)=0,1,0)</x:f>
        <x:v>0</x:v>
      </x:c>
      <x:c r="E330" s="8" t="n">
        <x:f>IF(AND(F329&lt;=9,AS329&gt;=AR329),1,0)</x:f>
        <x:v>0</x:v>
      </x:c>
      <x:c r="F330" s="8" t="n">
        <x:f>MIN(10,F329+E330)</x:f>
        <x:v>6</x:v>
      </x:c>
      <x:c r="G330" s="8" t="n">
        <x:f>MIN(F330,9)+1</x:f>
        <x:v>7</x:v>
      </x:c>
      <x:c r="H330" s="8" t="n">
        <x:f>IF(F330&lt;=9,1,0)</x:f>
        <x:v>1</x:v>
      </x:c>
      <x:c r="I330" s="9" t="n">
        <x:f>MIN(10,F329+IF(AR329&gt;0,MIN(1,AS329/AR329),1))</x:f>
        <x:v>6.108332661150121</x:v>
      </x:c>
      <x:c r="J330" s="32" t="n">
        <x:f>INDEX(tun_FoodCap,G330)*Arch_FoodCap*EXP(tun_CapsByProject*SUMPRODUCT((Cap_Point&lt;=I330)*(Cap_Kind="Food")*Cap_Ln))</x:f>
        <x:v>610.0101168966467</x:v>
      </x:c>
      <x:c r="K330" s="32" t="n">
        <x:f>J330*MIN(1,tun_LeanBase*EXP(tun_CapsByProject*SUMPRODUCT((Cap_Point&lt;=I330)*(Cap_Kind="Lean")*Cap_Ln)))</x:f>
        <x:v>610.0101168966467</x:v>
      </x:c>
      <x:c r="L330" s="10" t="n">
        <x:f>INDEX(tun_HousingCap,G330)*EXP(tun_CapsByProject*SUMPRODUCT((Cap_Point&lt;=I330)*(Cap_Kind="Housing")*Cap_Ln))</x:f>
        <x:v>2125.258900135082</x:v>
      </x:c>
      <x:c r="M330" s="10" t="n">
        <x:f>INDEX(tun_GroupCap,G330)*tun_CohesionFactor*EXP(tun_CapsByProject*SUMPRODUCT((Cap_Point&lt;=I330)*(Cap_Kind="Group")*Cap_Ln))</x:f>
        <x:v>50000.00000000004</x:v>
      </x:c>
      <x:c r="N330" s="32" t="n">
        <x:f>MIN(J330,L330,M330)</x:f>
        <x:v>610.0101168966467</x:v>
      </x:c>
      <x:c r="O330" s="10" t="n">
        <x:f>AE329*N330</x:f>
        <x:v>4270.070818276527</x:v>
      </x:c>
      <x:c r="P330" s="9" t="n">
        <x:f>MIN(1,(AB329/(AE329*IF(tun_GroupInCrowding=1,N330,MIN(J330,L330))))^tun_CrowdingExp)</x:f>
        <x:v>0.19193519060751987</x:v>
      </x:c>
      <x:c r="Q330" s="9" t="n">
        <x:f>IF(D330=1,INDEX(tun_WinterMult,G330),1)</x:f>
        <x:v>1</x:v>
      </x:c>
      <x:c r="R330" s="9" t="n">
        <x:f>H330*Z329*tun_WomenShare*tun_BaseFertility*INDEX(tun_FertMult,G330)*Arch_Fertility*(1-P330)</x:f>
        <x:v>67.76335805943525</x:v>
      </x:c>
      <x:c r="S330" s="9" t="n">
        <x:f>H330*Y329*INDEX(tun_MortChild,G330)/4*Q330</x:f>
        <x:v>10.88329391187624</x:v>
      </x:c>
      <x:c r="T330" s="9" t="n">
        <x:f>H330*Z329*INDEX(tun_MortAdult,G330)*Arch_AdultMort/4*Q330</x:f>
        <x:v>2.785520107469819</x:v>
      </x:c>
      <x:c r="U330" s="9" t="n">
        <x:f>H330*AA329*INDEX(tun_MortElder,G330)/4*Q330</x:f>
        <x:v>4.029345682677307</x:v>
      </x:c>
      <x:c r="V330" s="9" t="n">
        <x:f>H330*MAX(0,AB329-O330)*tun_OvercapLoss</x:f>
        <x:v>0</x:v>
      </x:c>
      <x:c r="W330" s="9" t="n">
        <x:f>H330*Y329/(tun_ChildYears*4)</x:f>
        <x:v>31.095125462503542</x:v>
      </x:c>
      <x:c r="X330" s="9" t="n">
        <x:f>H330*Z329/(tun_AdultYears*4)</x:f>
        <x:v>9.45847235134064</x:v>
      </x:c>
      <x:c r="Y330" s="32" t="n">
        <x:f>Y329+R330-S330-W330-Y329*V330/AB329</x:f>
        <x:v>1767.1119645852536</x:v>
      </x:c>
      <x:c r="Z330" s="32" t="n">
        <x:f>Z329+W330-X330-T330-Z329*V330/AB329</x:f>
        <x:v>1191.7017045699326</x:v>
      </x:c>
      <x:c r="AA330" s="32" t="n">
        <x:f>AA329+X330-U330-AA329*V330/AB329</x:f>
        <x:v>334.3553048464026</x:v>
      </x:c>
      <x:c r="AB330" s="10" t="n">
        <x:f>Y330+Z330+AA330</x:f>
        <x:v>3293.168974001589</x:v>
      </x:c>
      <x:c r="AC330" s="8" t="n">
        <x:f>IF(AND(tun_WinterTrigger=1,D330=1,AB329/AE329&gt;=K330),1,0)</x:f>
        <x:v>0</x:v>
      </x:c>
      <x:c r="AD330" s="8" t="n">
        <x:f>H330*IF(AND(OR(AB329/AE329&gt;=tun_FissionTrigger*N330,AC330=1),AB329/AE329*tun_DaughterShare&gt;=tun_MinDaughter),MAX(1,ROUND(AE329*tun_FissionRate,0)),0)</x:f>
        <x:v>0</x:v>
      </x:c>
      <x:c r="AE330" s="8" t="n">
        <x:f>IF(H330=1,MAX(1,MIN(INDEX(tun_Smax,G330),AE329+AD330)),AE329)</x:f>
        <x:v>7</x:v>
      </x:c>
      <x:c r="AF330" s="8" t="n">
        <x:f>MAX(0,AE330-AE329)</x:f>
        <x:v>0</x:v>
      </x:c>
      <x:c r="AG330" s="9" t="str">
        <x:f>IF(AF330&gt;0,B330,"")</x:f>
      </x:c>
      <x:c r="AH330" s="9" t="n">
        <x:f>IF(F330&gt;=1,1,(1+tun_LowTiesShare*(AE330-1))/AE330)</x:f>
        <x:v>1</x:v>
      </x:c>
      <x:c r="AI330" s="32" t="n">
        <x:f>(Z330+tun_ElderCommons*INDEX(LM_Elder,G330)*AA330)*AH330</x:f>
        <x:v>2445.5340977439423</x:v>
      </x:c>
      <x:c r="AJ330" s="32" t="n">
        <x:f>H330*tun_CommonsCoef*AI330^tun_CommonsExp*INDEX(LM_Commons,G330)</x:f>
        <x:v>5299.432308276389</x:v>
      </x:c>
      <x:c r="AK330" s="32" t="n">
        <x:f>H330*tun_RoleScale*Arch_Roles*(AE330*(INDEX(tun_ElderRolePerSett,G330)*tun_OutElder*INDEX(LM_Elder,G330)+INDEX(tun_ShamanPerSett,G330)*tun_OutShaman)+Z330*(INDEX(tun_PriestShare,G330)*tun_OutPriest+INDEX(tun_ScribeShare,G330)*tun_OutScribe*INDEX(LM_Scribe,G330)+INDEX(tun_ScholarShare,G330)*tun_OutScholar*INDEX(LM_Scholar,G330)+INDEX(tun_ResearcherShare,G330)*tun_OutResearcher*INDEX(LM_Researcher,G330)))</x:f>
        <x:v>1391.188679570148</x:v>
      </x:c>
      <x:c r="AL330" s="32" t="n">
        <x:f>H330*tun_RoleScale*Arch_Roles*AE330*INDEX(tun_MonasteryPerSett,G330)*tun_OutMonastery*INDEX(LM_Monastery,G330)</x:f>
        <x:v>36.96000000000001</x:v>
      </x:c>
      <x:c r="AM330" s="32" t="n">
        <x:f>(AJ330+AK330+AL330)/4*INDEX(LM_All,G330)*INDEX(tun_Boon,G330)*Arch_Insight</x:f>
        <x:v>3074.2943317662084</x:v>
      </x:c>
      <x:c r="AN330" s="32" t="n">
        <x:f>H330*(tun_KHPerAdult*Z330+tun_KHOfCommons*AJ330/4*INDEX(LM_All,G330))*tun_KHUsable*Arch_KH</x:f>
        <x:v>511.60967747492083</x:v>
      </x:c>
      <x:c r="AO330" s="32" t="n">
        <x:f>MIN(AP329+AN330,AM330*tun_KHMaxRatio)</x:f>
        <x:v>511.60967747492083</x:v>
      </x:c>
      <x:c r="AP330" s="32" t="n">
        <x:f>AP329+AN330-AO330</x:f>
        <x:v>0</x:v>
      </x:c>
      <x:c r="AQ330" s="32" t="n">
        <x:f>AM330+AO330</x:f>
        <x:v>3585.904009241129</x:v>
      </x:c>
      <x:c r="AR330" s="10" t="n">
        <x:f>IF(H330=1,INDEX(tun_Req,G330),0)</x:f>
        <x:v>434961.70024459995</x:v>
      </x:c>
      <x:c r="AS330" s="32" t="n">
        <x:f>IF(H330=1,IF(E330=1,AS329-AR329,AS329)+AQ330,0)</x:f>
        <x:v>50706.46249512005</x:v>
      </x:c>
      <x:c r="AT330" s="11" t="n">
        <x:f>IF(AR330&gt;0,MIN(1,AS330/AR330),1)</x:f>
        <x:v>0.11657684450517221</x:v>
      </x:c>
      <x:c r="AU330" s="10" t="n">
        <x:f>AB330/INDEX(tun_RepScale,G330)</x:f>
        <x:v>131.72675896006356</x:v>
      </x:c>
      <x:c r="AV330" s="32" t="n">
        <x:f>AM330*60/tun_SeasonSeconds</x:f>
        <x:v>12297.177327064834</x:v>
      </x:c>
    </x:row>
    <x:row r="331">
      <x:c r="A331" s="8" t="n">
        <x:f>A330+1</x:f>
        <x:v>328</x:v>
      </x:c>
      <x:c r="B331" s="9" t="n">
        <x:f>A331*tun_SeasonSeconds/60</x:f>
        <x:v>82</x:v>
      </x:c>
      <x:c r="C331" s="9" t="n">
        <x:f>A331/4</x:f>
        <x:v>82</x:v>
      </x:c>
      <x:c r="D331" s="8" t="n">
        <x:f>IF(MOD(A331,4)=0,1,0)</x:f>
        <x:v>1</x:v>
      </x:c>
      <x:c r="E331" s="8" t="n">
        <x:f>IF(AND(F330&lt;=9,AS330&gt;=AR330),1,0)</x:f>
        <x:v>0</x:v>
      </x:c>
      <x:c r="F331" s="8" t="n">
        <x:f>MIN(10,F330+E331)</x:f>
        <x:v>6</x:v>
      </x:c>
      <x:c r="G331" s="8" t="n">
        <x:f>MIN(F331,9)+1</x:f>
        <x:v>7</x:v>
      </x:c>
      <x:c r="H331" s="8" t="n">
        <x:f>IF(F331&lt;=9,1,0)</x:f>
        <x:v>1</x:v>
      </x:c>
      <x:c r="I331" s="9" t="n">
        <x:f>MIN(10,F330+IF(AR330&gt;0,MIN(1,AS330/AR330),1))</x:f>
        <x:v>6.116576844505172</x:v>
      </x:c>
      <x:c r="J331" s="32" t="n">
        <x:f>INDEX(tun_FoodCap,G331)*Arch_FoodCap*EXP(tun_CapsByProject*SUMPRODUCT((Cap_Point&lt;=I331)*(Cap_Kind="Food")*Cap_Ln))</x:f>
        <x:v>610.0101168966467</x:v>
      </x:c>
      <x:c r="K331" s="32" t="n">
        <x:f>J331*MIN(1,tun_LeanBase*EXP(tun_CapsByProject*SUMPRODUCT((Cap_Point&lt;=I331)*(Cap_Kind="Lean")*Cap_Ln)))</x:f>
        <x:v>610.0101168966467</x:v>
      </x:c>
      <x:c r="L331" s="10" t="n">
        <x:f>INDEX(tun_HousingCap,G331)*EXP(tun_CapsByProject*SUMPRODUCT((Cap_Point&lt;=I331)*(Cap_Kind="Housing")*Cap_Ln))</x:f>
        <x:v>2125.258900135082</x:v>
      </x:c>
      <x:c r="M331" s="10" t="n">
        <x:f>INDEX(tun_GroupCap,G331)*tun_CohesionFactor*EXP(tun_CapsByProject*SUMPRODUCT((Cap_Point&lt;=I331)*(Cap_Kind="Group")*Cap_Ln))</x:f>
        <x:v>50000.00000000004</x:v>
      </x:c>
      <x:c r="N331" s="32" t="n">
        <x:f>MIN(J331,L331,M331)</x:f>
        <x:v>610.0101168966467</x:v>
      </x:c>
      <x:c r="O331" s="10" t="n">
        <x:f>AE330*N331</x:f>
        <x:v>4270.070818276527</x:v>
      </x:c>
      <x:c r="P331" s="9" t="n">
        <x:f>MIN(1,(AB330/(AE330*IF(tun_GroupInCrowding=1,N331,MIN(J331,L331))))^tun_CrowdingExp)</x:f>
        <x:v>0.2104135114889319</x:v>
      </x:c>
      <x:c r="Q331" s="9" t="n">
        <x:f>IF(D331=1,INDEX(tun_WinterMult,G331),1)</x:f>
        <x:v>1.1</x:v>
      </x:c>
      <x:c r="R331" s="9" t="n">
        <x:f>H331*Z330*tun_WomenShare*tun_BaseFertility*INDEX(tun_FertMult,G331)*Arch_Fertility*(1-P331)</x:f>
        <x:v>67.27803684487797</x:v>
      </x:c>
      <x:c r="S331" s="9" t="n">
        <x:f>H331*Y330*INDEX(tun_MortChild,G331)/4*Q331</x:f>
        <x:v>12.14889475652362</x:v>
      </x:c>
      <x:c r="T331" s="9" t="n">
        <x:f>H331*Z330*INDEX(tun_MortAdult,G331)*Arch_AdultMort/4*Q331</x:f>
        <x:v>3.113320703188949</x:v>
      </x:c>
      <x:c r="U331" s="9" t="n">
        <x:f>H331*AA330*INDEX(tun_MortElder,G331)/4*Q331</x:f>
        <x:v>4.505437732805276</x:v>
      </x:c>
      <x:c r="V331" s="9" t="n">
        <x:f>H331*MAX(0,AB330-O331)*tun_OvercapLoss</x:f>
        <x:v>0</x:v>
      </x:c>
      <x:c r="W331" s="9" t="n">
        <x:f>H331*Y330/(tun_ChildYears*4)</x:f>
        <x:v>31.555570796165245</x:v>
      </x:c>
      <x:c r="X331" s="9" t="n">
        <x:f>H331*Z330/(tun_AdultYears*4)</x:f>
        <x:v>9.610497617499457</x:v>
      </x:c>
      <x:c r="Y331" s="32" t="n">
        <x:f>Y330+R331-S331-W331-Y330*V331/AB330</x:f>
        <x:v>1790.6855358774428</x:v>
      </x:c>
      <x:c r="Z331" s="32" t="n">
        <x:f>Z330+W331-X331-T331-Z330*V331/AB330</x:f>
        <x:v>1210.5334570454095</x:v>
      </x:c>
      <x:c r="AA331" s="32" t="n">
        <x:f>AA330+X331-U331-AA330*V331/AB330</x:f>
        <x:v>339.4603647310968</x:v>
      </x:c>
      <x:c r="AB331" s="10" t="n">
        <x:f>Y331+Z331+AA331</x:f>
        <x:v>3340.6793576539494</x:v>
      </x:c>
      <x:c r="AC331" s="8" t="n">
        <x:f>IF(AND(tun_WinterTrigger=1,D331=1,AB330/AE330&gt;=K331),1,0)</x:f>
        <x:v>0</x:v>
      </x:c>
      <x:c r="AD331" s="8" t="n">
        <x:f>H331*IF(AND(OR(AB330/AE330&gt;=tun_FissionTrigger*N331,AC331=1),AB330/AE330*tun_DaughterShare&gt;=tun_MinDaughter),MAX(1,ROUND(AE330*tun_FissionRate,0)),0)</x:f>
        <x:v>0</x:v>
      </x:c>
      <x:c r="AE331" s="8" t="n">
        <x:f>IF(H331=1,MAX(1,MIN(INDEX(tun_Smax,G331),AE330+AD331)),AE330)</x:f>
        <x:v>7</x:v>
      </x:c>
      <x:c r="AF331" s="8" t="n">
        <x:f>MAX(0,AE331-AE330)</x:f>
        <x:v>0</x:v>
      </x:c>
      <x:c r="AG331" s="9" t="str">
        <x:f>IF(AF331&gt;0,B331,"")</x:f>
      </x:c>
      <x:c r="AH331" s="9" t="n">
        <x:f>IF(F331&gt;=1,1,(1+tun_LowTiesShare*(AE331-1))/AE331)</x:f>
        <x:v>1</x:v>
      </x:c>
      <x:c r="AI331" s="32" t="n">
        <x:f>(Z331+tun_ElderCommons*INDEX(LM_Elder,G331)*AA331)*AH331</x:f>
        <x:v>2483.5098247870224</x:v>
      </x:c>
      <x:c r="AJ331" s="32" t="n">
        <x:f>H331*tun_CommonsCoef*AI331^tun_CommonsExp*INDEX(LM_Commons,G331)</x:f>
        <x:v>5369.300184975921</x:v>
      </x:c>
      <x:c r="AK331" s="32" t="n">
        <x:f>H331*tun_RoleScale*Arch_Roles*(AE331*(INDEX(tun_ElderRolePerSett,G331)*tun_OutElder*INDEX(LM_Elder,G331)+INDEX(tun_ShamanPerSett,G331)*tun_OutShaman)+Z331*(INDEX(tun_PriestShare,G331)*tun_OutPriest+INDEX(tun_ScribeShare,G331)*tun_OutScribe*INDEX(LM_Scribe,G331)+INDEX(tun_ScholarShare,G331)*tun_OutScholar*INDEX(LM_Scholar,G331)+INDEX(tun_ResearcherShare,G331)*tun_OutResearcher*INDEX(LM_Researcher,G331)))</x:f>
        <x:v>1410.186151467409</x:v>
      </x:c>
      <x:c r="AL331" s="32" t="n">
        <x:f>H331*tun_RoleScale*Arch_Roles*AE331*INDEX(tun_MonasteryPerSett,G331)*tun_OutMonastery*INDEX(LM_Monastery,G331)</x:f>
        <x:v>36.96000000000001</x:v>
      </x:c>
      <x:c r="AM331" s="32" t="n">
        <x:f>(AJ331+AK331+AL331)/4*INDEX(LM_All,G331)*INDEX(tun_Boon,G331)*Arch_Insight</x:f>
        <x:v>3114.9030197887064</x:v>
      </x:c>
      <x:c r="AN331" s="32" t="n">
        <x:f>H331*(tun_KHPerAdult*Z331+tun_KHOfCommons*AJ331/4*INDEX(LM_All,G331))*tun_KHUsable*Arch_KH</x:f>
        <x:v>518.3547550199779</x:v>
      </x:c>
      <x:c r="AO331" s="32" t="n">
        <x:f>MIN(AP330+AN331,AM331*tun_KHMaxRatio)</x:f>
        <x:v>518.3547550199779</x:v>
      </x:c>
      <x:c r="AP331" s="32" t="n">
        <x:f>AP330+AN331-AO331</x:f>
        <x:v>0</x:v>
      </x:c>
      <x:c r="AQ331" s="32" t="n">
        <x:f>AM331+AO331</x:f>
        <x:v>3633.257774808684</x:v>
      </x:c>
      <x:c r="AR331" s="10" t="n">
        <x:f>IF(H331=1,INDEX(tun_Req,G331),0)</x:f>
        <x:v>434961.70024459995</x:v>
      </x:c>
      <x:c r="AS331" s="32" t="n">
        <x:f>IF(H331=1,IF(E331=1,AS330-AR330,AS330)+AQ331,0)</x:f>
        <x:v>54339.72026992874</x:v>
      </x:c>
      <x:c r="AT331" s="11" t="n">
        <x:f>IF(AR331&gt;0,MIN(1,AS331/AR331),1)</x:f>
        <x:v>0.1249298966768129</x:v>
      </x:c>
      <x:c r="AU331" s="10" t="n">
        <x:f>AB331/INDEX(tun_RepScale,G331)</x:f>
        <x:v>133.62717430615797</x:v>
      </x:c>
      <x:c r="AV331" s="32" t="n">
        <x:f>AM331*60/tun_SeasonSeconds</x:f>
        <x:v>12459.612079154826</x:v>
      </x:c>
    </x:row>
    <x:row r="332">
      <x:c r="A332" s="8" t="n">
        <x:f>A331+1</x:f>
        <x:v>329</x:v>
      </x:c>
      <x:c r="B332" s="9" t="n">
        <x:f>A332*tun_SeasonSeconds/60</x:f>
        <x:v>82.25</x:v>
      </x:c>
      <x:c r="C332" s="9" t="n">
        <x:f>A332/4</x:f>
        <x:v>82.25</x:v>
      </x:c>
      <x:c r="D332" s="8" t="n">
        <x:f>IF(MOD(A332,4)=0,1,0)</x:f>
        <x:v>0</x:v>
      </x:c>
      <x:c r="E332" s="8" t="n">
        <x:f>IF(AND(F331&lt;=9,AS331&gt;=AR331),1,0)</x:f>
        <x:v>0</x:v>
      </x:c>
      <x:c r="F332" s="8" t="n">
        <x:f>MIN(10,F331+E332)</x:f>
        <x:v>6</x:v>
      </x:c>
      <x:c r="G332" s="8" t="n">
        <x:f>MIN(F332,9)+1</x:f>
        <x:v>7</x:v>
      </x:c>
      <x:c r="H332" s="8" t="n">
        <x:f>IF(F332&lt;=9,1,0)</x:f>
        <x:v>1</x:v>
      </x:c>
      <x:c r="I332" s="9" t="n">
        <x:f>MIN(10,F331+IF(AR331&gt;0,MIN(1,AS331/AR331),1))</x:f>
        <x:v>6.124929896676813</x:v>
      </x:c>
      <x:c r="J332" s="32" t="n">
        <x:f>INDEX(tun_FoodCap,G332)*Arch_FoodCap*EXP(tun_CapsByProject*SUMPRODUCT((Cap_Point&lt;=I332)*(Cap_Kind="Food")*Cap_Ln))</x:f>
        <x:v>610.0101168966467</x:v>
      </x:c>
      <x:c r="K332" s="32" t="n">
        <x:f>J332*MIN(1,tun_LeanBase*EXP(tun_CapsByProject*SUMPRODUCT((Cap_Point&lt;=I332)*(Cap_Kind="Lean")*Cap_Ln)))</x:f>
        <x:v>610.0101168966467</x:v>
      </x:c>
      <x:c r="L332" s="10" t="n">
        <x:f>INDEX(tun_HousingCap,G332)*EXP(tun_CapsByProject*SUMPRODUCT((Cap_Point&lt;=I332)*(Cap_Kind="Housing")*Cap_Ln))</x:f>
        <x:v>2125.258900135082</x:v>
      </x:c>
      <x:c r="M332" s="10" t="n">
        <x:f>INDEX(tun_GroupCap,G332)*tun_CohesionFactor*EXP(tun_CapsByProject*SUMPRODUCT((Cap_Point&lt;=I332)*(Cap_Kind="Group")*Cap_Ln))</x:f>
        <x:v>50000.00000000004</x:v>
      </x:c>
      <x:c r="N332" s="32" t="n">
        <x:f>MIN(J332,L332,M332)</x:f>
        <x:v>610.0101168966467</x:v>
      </x:c>
      <x:c r="O332" s="10" t="n">
        <x:f>AE331*N332</x:f>
        <x:v>4270.070818276527</x:v>
      </x:c>
      <x:c r="P332" s="9" t="n">
        <x:f>MIN(1,(AB331/(AE331*IF(tun_GroupInCrowding=1,N332,MIN(J332,L332))))^tun_CrowdingExp)</x:f>
        <x:v>0.22929695877891212</x:v>
      </x:c>
      <x:c r="Q332" s="9" t="n">
        <x:f>IF(D332=1,INDEX(tun_WinterMult,G332),1)</x:f>
        <x:v>1</x:v>
      </x:c>
      <x:c r="R332" s="9" t="n">
        <x:f>H332*Z331*tun_WomenShare*tun_BaseFertility*INDEX(tun_FertMult,G332)*Arch_Fertility*(1-P332)</x:f>
        <x:v>66.70676990440137</x:v>
      </x:c>
      <x:c r="S332" s="9" t="n">
        <x:f>H332*Y331*INDEX(tun_MortChild,G332)/4*Q332</x:f>
        <x:v>11.191784599234019</x:v>
      </x:c>
      <x:c r="T332" s="9" t="n">
        <x:f>H332*Z331*INDEX(tun_MortAdult,G332)*Arch_AdultMort/4*Q332</x:f>
        <x:v>2.8750169604828475</x:v>
      </x:c>
      <x:c r="U332" s="9" t="n">
        <x:f>H332*AA331*INDEX(tun_MortElder,G332)/4*Q332</x:f>
        <x:v>4.158389467955936</x:v>
      </x:c>
      <x:c r="V332" s="9" t="n">
        <x:f>H332*MAX(0,AB331-O332)*tun_OvercapLoss</x:f>
        <x:v>0</x:v>
      </x:c>
      <x:c r="W332" s="9" t="n">
        <x:f>H332*Y331/(tun_ChildYears*4)</x:f>
        <x:v>31.97652742638291</x:v>
      </x:c>
      <x:c r="X332" s="9" t="n">
        <x:f>H332*Z331/(tun_AdultYears*4)</x:f>
        <x:v>9.762366589075883</x:v>
      </x:c>
      <x:c r="Y332" s="32" t="n">
        <x:f>Y331+R332-S332-W332-Y331*V332/AB331</x:f>
        <x:v>1814.2239937562272</x:v>
      </x:c>
      <x:c r="Z332" s="32" t="n">
        <x:f>Z331+W332-X332-T332-Z331*V332/AB331</x:f>
        <x:v>1229.872600922234</x:v>
      </x:c>
      <x:c r="AA332" s="32" t="n">
        <x:f>AA331+X332-U332-AA331*V332/AB331</x:f>
        <x:v>345.0643418522167</x:v>
      </x:c>
      <x:c r="AB332" s="10" t="n">
        <x:f>Y332+Z332+AA332</x:f>
        <x:v>3389.1609365306776</x:v>
      </x:c>
      <x:c r="AC332" s="8" t="n">
        <x:f>IF(AND(tun_WinterTrigger=1,D332=1,AB331/AE331&gt;=K332),1,0)</x:f>
        <x:v>0</x:v>
      </x:c>
      <x:c r="AD332" s="8" t="n">
        <x:f>H332*IF(AND(OR(AB331/AE331&gt;=tun_FissionTrigger*N332,AC332=1),AB331/AE331*tun_DaughterShare&gt;=tun_MinDaughter),MAX(1,ROUND(AE331*tun_FissionRate,0)),0)</x:f>
        <x:v>0</x:v>
      </x:c>
      <x:c r="AE332" s="8" t="n">
        <x:f>IF(H332=1,MAX(1,MIN(INDEX(tun_Smax,G332),AE331+AD332)),AE331)</x:f>
        <x:v>7</x:v>
      </x:c>
      <x:c r="AF332" s="8" t="n">
        <x:f>MAX(0,AE332-AE331)</x:f>
        <x:v>0</x:v>
      </x:c>
      <x:c r="AG332" s="9" t="str">
        <x:f>IF(AF332&gt;0,B332,"")</x:f>
      </x:c>
      <x:c r="AH332" s="9" t="n">
        <x:f>IF(F332&gt;=1,1,(1+tun_LowTiesShare*(AE332-1))/AE332)</x:f>
        <x:v>1</x:v>
      </x:c>
      <x:c r="AI332" s="32" t="n">
        <x:f>(Z332+tun_ElderCommons*INDEX(LM_Elder,G332)*AA332)*AH332</x:f>
        <x:v>2523.863882868047</x:v>
      </x:c>
      <x:c r="AJ332" s="32" t="n">
        <x:f>H332*tun_CommonsCoef*AI332^tun_CommonsExp*INDEX(LM_Commons,G332)</x:f>
        <x:v>5443.368358443946</x:v>
      </x:c>
      <x:c r="AK332" s="32" t="n">
        <x:f>H332*tun_RoleScale*Arch_Roles*(AE332*(INDEX(tun_ElderRolePerSett,G332)*tun_OutElder*INDEX(LM_Elder,G332)+INDEX(tun_ShamanPerSett,G332)*tun_OutShaman)+Z332*(INDEX(tun_PriestShare,G332)*tun_OutPriest+INDEX(tun_ScribeShare,G332)*tun_OutScribe*INDEX(LM_Scribe,G332)+INDEX(tun_ScholarShare,G332)*tun_OutScholar*INDEX(LM_Scholar,G332)+INDEX(tun_ResearcherShare,G332)*tun_OutResearcher*INDEX(LM_Researcher,G332)))</x:f>
        <x:v>1429.6954798103495</x:v>
      </x:c>
      <x:c r="AL332" s="32" t="n">
        <x:f>H332*tun_RoleScale*Arch_Roles*AE332*INDEX(tun_MonasteryPerSett,G332)*tun_OutMonastery*INDEX(LM_Monastery,G332)</x:f>
        <x:v>36.96000000000001</x:v>
      </x:c>
      <x:c r="AM332" s="32" t="n">
        <x:f>(AJ332+AK332+AL332)/4*INDEX(LM_All,G332)*INDEX(tun_Boon,G332)*Arch_Insight</x:f>
        <x:v>3157.665014615375</x:v>
      </x:c>
      <x:c r="AN332" s="32" t="n">
        <x:f>H332*(tun_KHPerAdult*Z332+tun_KHOfCommons*AJ332/4*INDEX(LM_All,G332))*tun_KHUsable*Arch_KH</x:f>
        <x:v>525.5053311826268</x:v>
      </x:c>
      <x:c r="AO332" s="32" t="n">
        <x:f>MIN(AP331+AN332,AM332*tun_KHMaxRatio)</x:f>
        <x:v>525.5053311826268</x:v>
      </x:c>
      <x:c r="AP332" s="32" t="n">
        <x:f>AP331+AN332-AO332</x:f>
        <x:v>0</x:v>
      </x:c>
      <x:c r="AQ332" s="32" t="n">
        <x:f>AM332+AO332</x:f>
        <x:v>3683.170345798002</x:v>
      </x:c>
      <x:c r="AR332" s="10" t="n">
        <x:f>IF(H332=1,INDEX(tun_Req,G332),0)</x:f>
        <x:v>434961.70024459995</x:v>
      </x:c>
      <x:c r="AS332" s="32" t="n">
        <x:f>IF(H332=1,IF(E332=1,AS331-AR331,AS331)+AQ332,0)</x:f>
        <x:v>58022.89061572674</x:v>
      </x:c>
      <x:c r="AT332" s="11" t="n">
        <x:f>IF(AR332&gt;0,MIN(1,AS332/AR332),1)</x:f>
        <x:v>0.13339770049431401</x:v>
      </x:c>
      <x:c r="AU332" s="10" t="n">
        <x:f>AB332/INDEX(tun_RepScale,G332)</x:f>
        <x:v>135.5664374612271</x:v>
      </x:c>
      <x:c r="AV332" s="32" t="n">
        <x:f>AM332*60/tun_SeasonSeconds</x:f>
        <x:v>12630.6600584615</x:v>
      </x:c>
    </x:row>
    <x:row r="333">
      <x:c r="A333" s="8" t="n">
        <x:f>A332+1</x:f>
        <x:v>330</x:v>
      </x:c>
      <x:c r="B333" s="9" t="n">
        <x:f>A333*tun_SeasonSeconds/60</x:f>
        <x:v>82.5</x:v>
      </x:c>
      <x:c r="C333" s="9" t="n">
        <x:f>A333/4</x:f>
        <x:v>82.5</x:v>
      </x:c>
      <x:c r="D333" s="8" t="n">
        <x:f>IF(MOD(A333,4)=0,1,0)</x:f>
        <x:v>0</x:v>
      </x:c>
      <x:c r="E333" s="8" t="n">
        <x:f>IF(AND(F332&lt;=9,AS332&gt;=AR332),1,0)</x:f>
        <x:v>0</x:v>
      </x:c>
      <x:c r="F333" s="8" t="n">
        <x:f>MIN(10,F332+E333)</x:f>
        <x:v>6</x:v>
      </x:c>
      <x:c r="G333" s="8" t="n">
        <x:f>MIN(F333,9)+1</x:f>
        <x:v>7</x:v>
      </x:c>
      <x:c r="H333" s="8" t="n">
        <x:f>IF(F333&lt;=9,1,0)</x:f>
        <x:v>1</x:v>
      </x:c>
      <x:c r="I333" s="9" t="n">
        <x:f>MIN(10,F332+IF(AR332&gt;0,MIN(1,AS332/AR332),1))</x:f>
        <x:v>6.133397700494314</x:v>
      </x:c>
      <x:c r="J333" s="32" t="n">
        <x:f>INDEX(tun_FoodCap,G333)*Arch_FoodCap*EXP(tun_CapsByProject*SUMPRODUCT((Cap_Point&lt;=I333)*(Cap_Kind="Food")*Cap_Ln))</x:f>
        <x:v>610.0101168966467</x:v>
      </x:c>
      <x:c r="K333" s="32" t="n">
        <x:f>J333*MIN(1,tun_LeanBase*EXP(tun_CapsByProject*SUMPRODUCT((Cap_Point&lt;=I333)*(Cap_Kind="Lean")*Cap_Ln)))</x:f>
        <x:v>610.0101168966467</x:v>
      </x:c>
      <x:c r="L333" s="10" t="n">
        <x:f>INDEX(tun_HousingCap,G333)*EXP(tun_CapsByProject*SUMPRODUCT((Cap_Point&lt;=I333)*(Cap_Kind="Housing")*Cap_Ln))</x:f>
        <x:v>2125.258900135082</x:v>
      </x:c>
      <x:c r="M333" s="10" t="n">
        <x:f>INDEX(tun_GroupCap,G333)*tun_CohesionFactor*EXP(tun_CapsByProject*SUMPRODUCT((Cap_Point&lt;=I333)*(Cap_Kind="Group")*Cap_Ln))</x:f>
        <x:v>50000.00000000004</x:v>
      </x:c>
      <x:c r="N333" s="32" t="n">
        <x:f>MIN(J333,L333,M333)</x:f>
        <x:v>610.0101168966467</x:v>
      </x:c>
      <x:c r="O333" s="10" t="n">
        <x:f>AE332*N333</x:f>
        <x:v>4270.070818276527</x:v>
      </x:c>
      <x:c r="P333" s="9" t="n">
        <x:f>MIN(1,(AB332/(AE332*IF(tun_GroupInCrowding=1,N333,MIN(J333,L333))))^tun_CrowdingExp)</x:f>
        <x:v>0.25000154112824535</x:v>
      </x:c>
      <x:c r="Q333" s="9" t="n">
        <x:f>IF(D333=1,INDEX(tun_WinterMult,G333),1)</x:f>
        <x:v>1</x:v>
      </x:c>
      <x:c r="R333" s="9" t="n">
        <x:f>H333*Z332*tun_WomenShare*tun_BaseFertility*INDEX(tun_FertMult,G333)*Arch_Fertility*(1-P333)</x:f>
        <x:v>65.95178270396946</x:v>
      </x:c>
      <x:c r="S333" s="9" t="n">
        <x:f>H333*Y332*INDEX(tun_MortChild,G333)/4*Q333</x:f>
        <x:v>11.33889996097642</x:v>
      </x:c>
      <x:c r="T333" s="9" t="n">
        <x:f>H333*Z332*INDEX(tun_MortAdult,G333)*Arch_AdultMort/4*Q333</x:f>
        <x:v>2.9209474271903053</x:v>
      </x:c>
      <x:c r="U333" s="9" t="n">
        <x:f>H333*AA332*INDEX(tun_MortElder,G333)/4*Q333</x:f>
        <x:v>4.227038187689655</x:v>
      </x:c>
      <x:c r="V333" s="9" t="n">
        <x:f>H333*MAX(0,AB332-O333)*tun_OvercapLoss</x:f>
        <x:v>0</x:v>
      </x:c>
      <x:c r="W333" s="9" t="n">
        <x:f>H333*Y332/(tun_ChildYears*4)</x:f>
        <x:v>32.3968570313612</x:v>
      </x:c>
      <x:c r="X333" s="9" t="n">
        <x:f>H333*Z332/(tun_AdultYears*4)</x:f>
        <x:v>9.918327426792208</x:v>
      </x:c>
      <x:c r="Y333" s="32" t="n">
        <x:f>Y332+R333-S333-W333-Y332*V333/AB332</x:f>
        <x:v>1836.440019467859</x:v>
      </x:c>
      <x:c r="Z333" s="32" t="n">
        <x:f>Z332+W333-X333-T333-Z332*V333/AB332</x:f>
        <x:v>1249.4301830996123</x:v>
      </x:c>
      <x:c r="AA333" s="32" t="n">
        <x:f>AA332+X333-U333-AA332*V333/AB332</x:f>
        <x:v>350.7556310913193</x:v>
      </x:c>
      <x:c r="AB333" s="10" t="n">
        <x:f>Y333+Z333+AA333</x:f>
        <x:v>3436.6258336587903</x:v>
      </x:c>
      <x:c r="AC333" s="8" t="n">
        <x:f>IF(AND(tun_WinterTrigger=1,D333=1,AB332/AE332&gt;=K333),1,0)</x:f>
        <x:v>0</x:v>
      </x:c>
      <x:c r="AD333" s="8" t="n">
        <x:f>H333*IF(AND(OR(AB332/AE332&gt;=tun_FissionTrigger*N333,AC333=1),AB332/AE332*tun_DaughterShare&gt;=tun_MinDaughter),MAX(1,ROUND(AE332*tun_FissionRate,0)),0)</x:f>
        <x:v>0</x:v>
      </x:c>
      <x:c r="AE333" s="8" t="n">
        <x:f>IF(H333=1,MAX(1,MIN(INDEX(tun_Smax,G333),AE332+AD333)),AE332)</x:f>
        <x:v>7</x:v>
      </x:c>
      <x:c r="AF333" s="8" t="n">
        <x:f>MAX(0,AE333-AE332)</x:f>
        <x:v>0</x:v>
      </x:c>
      <x:c r="AG333" s="9" t="str">
        <x:f>IF(AF333&gt;0,B333,"")</x:f>
      </x:c>
      <x:c r="AH333" s="9" t="n">
        <x:f>IF(F333&gt;=1,1,(1+tun_LowTiesShare*(AE333-1))/AE333)</x:f>
        <x:v>1</x:v>
      </x:c>
      <x:c r="AI333" s="32" t="n">
        <x:f>(Z333+tun_ElderCommons*INDEX(LM_Elder,G333)*AA333)*AH333</x:f>
        <x:v>2564.7637996920594</x:v>
      </x:c>
      <x:c r="AJ333" s="32" t="n">
        <x:f>H333*tun_CommonsCoef*AI333^tun_CommonsExp*INDEX(LM_Commons,G333)</x:f>
        <x:v>5518.257394415175</x:v>
      </x:c>
      <x:c r="AK333" s="32" t="n">
        <x:f>H333*tun_RoleScale*Arch_Roles*(AE333*(INDEX(tun_ElderRolePerSett,G333)*tun_OutElder*INDEX(LM_Elder,G333)+INDEX(tun_ShamanPerSett,G333)*tun_OutShaman)+Z333*(INDEX(tun_PriestShare,G333)*tun_OutPriest+INDEX(tun_ScribeShare,G333)*tun_OutScribe*INDEX(LM_Scribe,G333)+INDEX(tun_ScholarShare,G333)*tun_OutScholar*INDEX(LM_Scholar,G333)+INDEX(tun_ResearcherShare,G333)*tun_OutResearcher*INDEX(LM_Researcher,G333)))</x:f>
        <x:v>1449.4251687108888</x:v>
      </x:c>
      <x:c r="AL333" s="32" t="n">
        <x:f>H333*tun_RoleScale*Arch_Roles*AE333*INDEX(tun_MonasteryPerSett,G333)*tun_OutMonastery*INDEX(LM_Monastery,G333)</x:f>
        <x:v>36.96000000000001</x:v>
      </x:c>
      <x:c r="AM333" s="32" t="n">
        <x:f>(AJ333+AK333+AL333)/4*INDEX(LM_All,G333)*INDEX(tun_Boon,G333)*Arch_Insight</x:f>
        <x:v>3200.9028158514684</x:v>
      </x:c>
      <x:c r="AN333" s="32" t="n">
        <x:f>H333*(tun_KHPerAdult*Z333+tun_KHOfCommons*AJ333/4*INDEX(LM_All,G333))*tun_KHUsable*Arch_KH</x:f>
        <x:v>532.7351537958549</x:v>
      </x:c>
      <x:c r="AO333" s="32" t="n">
        <x:f>MIN(AP332+AN333,AM333*tun_KHMaxRatio)</x:f>
        <x:v>532.7351537958549</x:v>
      </x:c>
      <x:c r="AP333" s="32" t="n">
        <x:f>AP332+AN333-AO333</x:f>
        <x:v>0</x:v>
      </x:c>
      <x:c r="AQ333" s="32" t="n">
        <x:f>AM333+AO333</x:f>
        <x:v>3733.637969647323</x:v>
      </x:c>
      <x:c r="AR333" s="10" t="n">
        <x:f>IF(H333=1,INDEX(tun_Req,G333),0)</x:f>
        <x:v>434961.70024459995</x:v>
      </x:c>
      <x:c r="AS333" s="32" t="n">
        <x:f>IF(H333=1,IF(E333=1,AS332-AR332,AS332)+AQ333,0)</x:f>
        <x:v>61756.528585374064</x:v>
      </x:c>
      <x:c r="AT333" s="11" t="n">
        <x:f>IF(AR333&gt;0,MIN(1,AS333/AR333),1)</x:f>
        <x:v>0.1419815320536162</x:v>
      </x:c>
      <x:c r="AU333" s="10" t="n">
        <x:f>AB333/INDEX(tun_RepScale,G333)</x:f>
        <x:v>137.46503334635162</x:v>
      </x:c>
      <x:c r="AV333" s="32" t="n">
        <x:f>AM333*60/tun_SeasonSeconds</x:f>
        <x:v>12803.611263405874</x:v>
      </x:c>
    </x:row>
    <x:row r="334">
      <x:c r="A334" s="8" t="n">
        <x:f>A333+1</x:f>
        <x:v>331</x:v>
      </x:c>
      <x:c r="B334" s="9" t="n">
        <x:f>A334*tun_SeasonSeconds/60</x:f>
        <x:v>82.75</x:v>
      </x:c>
      <x:c r="C334" s="9" t="n">
        <x:f>A334/4</x:f>
        <x:v>82.75</x:v>
      </x:c>
      <x:c r="D334" s="8" t="n">
        <x:f>IF(MOD(A334,4)=0,1,0)</x:f>
        <x:v>0</x:v>
      </x:c>
      <x:c r="E334" s="8" t="n">
        <x:f>IF(AND(F333&lt;=9,AS333&gt;=AR333),1,0)</x:f>
        <x:v>0</x:v>
      </x:c>
      <x:c r="F334" s="8" t="n">
        <x:f>MIN(10,F333+E334)</x:f>
        <x:v>6</x:v>
      </x:c>
      <x:c r="G334" s="8" t="n">
        <x:f>MIN(F334,9)+1</x:f>
        <x:v>7</x:v>
      </x:c>
      <x:c r="H334" s="8" t="n">
        <x:f>IF(F334&lt;=9,1,0)</x:f>
        <x:v>1</x:v>
      </x:c>
      <x:c r="I334" s="9" t="n">
        <x:f>MIN(10,F333+IF(AR333&gt;0,MIN(1,AS333/AR333),1))</x:f>
        <x:v>6.141981532053617</x:v>
      </x:c>
      <x:c r="J334" s="32" t="n">
        <x:f>INDEX(tun_FoodCap,G334)*Arch_FoodCap*EXP(tun_CapsByProject*SUMPRODUCT((Cap_Point&lt;=I334)*(Cap_Kind="Food")*Cap_Ln))</x:f>
        <x:v>610.0101168966467</x:v>
      </x:c>
      <x:c r="K334" s="32" t="n">
        <x:f>J334*MIN(1,tun_LeanBase*EXP(tun_CapsByProject*SUMPRODUCT((Cap_Point&lt;=I334)*(Cap_Kind="Lean")*Cap_Ln)))</x:f>
        <x:v>610.0101168966467</x:v>
      </x:c>
      <x:c r="L334" s="10" t="n">
        <x:f>INDEX(tun_HousingCap,G334)*EXP(tun_CapsByProject*SUMPRODUCT((Cap_Point&lt;=I334)*(Cap_Kind="Housing")*Cap_Ln))</x:f>
        <x:v>2125.258900135082</x:v>
      </x:c>
      <x:c r="M334" s="10" t="n">
        <x:f>INDEX(tun_GroupCap,G334)*tun_CohesionFactor*EXP(tun_CapsByProject*SUMPRODUCT((Cap_Point&lt;=I334)*(Cap_Kind="Group")*Cap_Ln))</x:f>
        <x:v>50000.00000000004</x:v>
      </x:c>
      <x:c r="N334" s="32" t="n">
        <x:f>MIN(J334,L334,M334)</x:f>
        <x:v>610.0101168966467</x:v>
      </x:c>
      <x:c r="O334" s="10" t="n">
        <x:f>AE333*N334</x:f>
        <x:v>4270.070818276527</x:v>
      </x:c>
      <x:c r="P334" s="9" t="n">
        <x:f>MIN(1,(AB333/(AE333*IF(tun_GroupInCrowding=1,N334,MIN(J334,L334))))^tun_CrowdingExp)</x:f>
        <x:v>0.27175843693677537</x:v>
      </x:c>
      <x:c r="Q334" s="9" t="n">
        <x:f>IF(D334=1,INDEX(tun_WinterMult,G334),1)</x:f>
        <x:v>1</x:v>
      </x:c>
      <x:c r="R334" s="9" t="n">
        <x:f>H334*Z333*tun_WomenShare*tun_BaseFertility*INDEX(tun_FertMult,G334)*Arch_Fertility*(1-P334)</x:f>
        <x:v>65.05691974773654</x:v>
      </x:c>
      <x:c r="S334" s="9" t="n">
        <x:f>H334*Y333*INDEX(tun_MortChild,G334)/4*Q334</x:f>
        <x:v>11.47775012167412</x:v>
      </x:c>
      <x:c r="T334" s="9" t="n">
        <x:f>H334*Z333*INDEX(tun_MortAdult,G334)*Arch_AdultMort/4*Q334</x:f>
        <x:v>2.9673966848615794</x:v>
      </x:c>
      <x:c r="U334" s="9" t="n">
        <x:f>H334*AA333*INDEX(tun_MortElder,G334)/4*Q334</x:f>
        <x:v>4.296756480868662</x:v>
      </x:c>
      <x:c r="V334" s="9" t="n">
        <x:f>H334*MAX(0,AB333-O334)*tun_OvercapLoss</x:f>
        <x:v>0</x:v>
      </x:c>
      <x:c r="W334" s="9" t="n">
        <x:f>H334*Y333/(tun_ChildYears*4)</x:f>
        <x:v>32.79357177621177</x:v>
      </x:c>
      <x:c r="X334" s="9" t="n">
        <x:f>H334*Z333/(tun_AdultYears*4)</x:f>
        <x:v>10.076049863706551</x:v>
      </x:c>
      <x:c r="Y334" s="32" t="n">
        <x:f>Y333+R334-S334-W334-Y333*V334/AB333</x:f>
        <x:v>1857.2256173177097</x:v>
      </x:c>
      <x:c r="Z334" s="32" t="n">
        <x:f>Z333+W334-X334-T334-Z333*V334/AB333</x:f>
        <x:v>1269.180308327256</x:v>
      </x:c>
      <x:c r="AA334" s="32" t="n">
        <x:f>AA333+X334-U334-AA333*V334/AB333</x:f>
        <x:v>356.53492447415715</x:v>
      </x:c>
      <x:c r="AB334" s="10" t="n">
        <x:f>Y334+Z334+AA334</x:f>
        <x:v>3482.940850119123</x:v>
      </x:c>
      <x:c r="AC334" s="8" t="n">
        <x:f>IF(AND(tun_WinterTrigger=1,D334=1,AB333/AE333&gt;=K334),1,0)</x:f>
        <x:v>0</x:v>
      </x:c>
      <x:c r="AD334" s="8" t="n">
        <x:f>H334*IF(AND(OR(AB333/AE333&gt;=tun_FissionTrigger*N334,AC334=1),AB333/AE333*tun_DaughterShare&gt;=tun_MinDaughter),MAX(1,ROUND(AE333*tun_FissionRate,0)),0)</x:f>
        <x:v>0</x:v>
      </x:c>
      <x:c r="AE334" s="8" t="n">
        <x:f>IF(H334=1,MAX(1,MIN(INDEX(tun_Smax,G334),AE333+AD334)),AE333)</x:f>
        <x:v>7</x:v>
      </x:c>
      <x:c r="AF334" s="8" t="n">
        <x:f>MAX(0,AE334-AE333)</x:f>
        <x:v>0</x:v>
      </x:c>
      <x:c r="AG334" s="9" t="str">
        <x:f>IF(AF334&gt;0,B334,"")</x:f>
      </x:c>
      <x:c r="AH334" s="9" t="n">
        <x:f>IF(F334&gt;=1,1,(1+tun_LowTiesShare*(AE334-1))/AE334)</x:f>
        <x:v>1</x:v>
      </x:c>
      <x:c r="AI334" s="32" t="n">
        <x:f>(Z334+tun_ElderCommons*INDEX(LM_Elder,G334)*AA334)*AH334</x:f>
        <x:v>2606.186275105345</x:v>
      </x:c>
      <x:c r="AJ334" s="32" t="n">
        <x:f>H334*tun_CommonsCoef*AI334^tun_CommonsExp*INDEX(LM_Commons,G334)</x:f>
        <x:v>5593.92089121672</x:v>
      </x:c>
      <x:c r="AK334" s="32" t="n">
        <x:f>H334*tun_RoleScale*Arch_Roles*(AE334*(INDEX(tun_ElderRolePerSett,G334)*tun_OutElder*INDEX(LM_Elder,G334)+INDEX(tun_ShamanPerSett,G334)*tun_OutShaman)+Z334*(INDEX(tun_PriestShare,G334)*tun_OutPriest+INDEX(tun_ScribeShare,G334)*tun_OutScribe*INDEX(LM_Scribe,G334)+INDEX(tun_ScholarShare,G334)*tun_OutScholar*INDEX(LM_Scholar,G334)+INDEX(tun_ResearcherShare,G334)*tun_OutResearcher*INDEX(LM_Researcher,G334)))</x:f>
        <x:v>1469.3490950405358</x:v>
      </x:c>
      <x:c r="AL334" s="32" t="n">
        <x:f>H334*tun_RoleScale*Arch_Roles*AE334*INDEX(tun_MonasteryPerSett,G334)*tun_OutMonastery*INDEX(LM_Monastery,G334)</x:f>
        <x:v>36.96000000000001</x:v>
      </x:c>
      <x:c r="AM334" s="32" t="n">
        <x:f>(AJ334+AK334+AL334)/4*INDEX(LM_All,G334)*INDEX(tun_Boon,G334)*Arch_Insight</x:f>
        <x:v>3244.583281928536</x:v>
      </x:c>
      <x:c r="AN334" s="32" t="n">
        <x:f>H334*(tun_KHPerAdult*Z334+tun_KHOfCommons*AJ334/4*INDEX(LM_All,G334))*tun_KHUsable*Arch_KH</x:f>
        <x:v>540.0397432204254</x:v>
      </x:c>
      <x:c r="AO334" s="32" t="n">
        <x:f>MIN(AP333+AN334,AM334*tun_KHMaxRatio)</x:f>
        <x:v>540.0397432204254</x:v>
      </x:c>
      <x:c r="AP334" s="32" t="n">
        <x:f>AP333+AN334-AO334</x:f>
        <x:v>0</x:v>
      </x:c>
      <x:c r="AQ334" s="32" t="n">
        <x:f>AM334+AO334</x:f>
        <x:v>3784.6230251489615</x:v>
      </x:c>
      <x:c r="AR334" s="10" t="n">
        <x:f>IF(H334=1,INDEX(tun_Req,G334),0)</x:f>
        <x:v>434961.70024459995</x:v>
      </x:c>
      <x:c r="AS334" s="32" t="n">
        <x:f>IF(H334=1,IF(E334=1,AS333-AR333,AS333)+AQ334,0)</x:f>
        <x:v>65541.15161052303</x:v>
      </x:c>
      <x:c r="AT334" s="11" t="n">
        <x:f>IF(AR334&gt;0,MIN(1,AS334/AR334),1)</x:f>
        <x:v>0.15068258095750975</x:v>
      </x:c>
      <x:c r="AU334" s="10" t="n">
        <x:f>AB334/INDEX(tun_RepScale,G334)</x:f>
        <x:v>139.31763400476493</x:v>
      </x:c>
      <x:c r="AV334" s="32" t="n">
        <x:f>AM334*60/tun_SeasonSeconds</x:f>
        <x:v>12978.333127714144</x:v>
      </x:c>
    </x:row>
    <x:row r="335">
      <x:c r="A335" s="8" t="n">
        <x:f>A334+1</x:f>
        <x:v>332</x:v>
      </x:c>
      <x:c r="B335" s="9" t="n">
        <x:f>A335*tun_SeasonSeconds/60</x:f>
        <x:v>83</x:v>
      </x:c>
      <x:c r="C335" s="9" t="n">
        <x:f>A335/4</x:f>
        <x:v>83</x:v>
      </x:c>
      <x:c r="D335" s="8" t="n">
        <x:f>IF(MOD(A335,4)=0,1,0)</x:f>
        <x:v>1</x:v>
      </x:c>
      <x:c r="E335" s="8" t="n">
        <x:f>IF(AND(F334&lt;=9,AS334&gt;=AR334),1,0)</x:f>
        <x:v>0</x:v>
      </x:c>
      <x:c r="F335" s="8" t="n">
        <x:f>MIN(10,F334+E335)</x:f>
        <x:v>6</x:v>
      </x:c>
      <x:c r="G335" s="8" t="n">
        <x:f>MIN(F335,9)+1</x:f>
        <x:v>7</x:v>
      </x:c>
      <x:c r="H335" s="8" t="n">
        <x:f>IF(F335&lt;=9,1,0)</x:f>
        <x:v>1</x:v>
      </x:c>
      <x:c r="I335" s="9" t="n">
        <x:f>MIN(10,F334+IF(AR334&gt;0,MIN(1,AS334/AR334),1))</x:f>
        <x:v>6.150682580957509</x:v>
      </x:c>
      <x:c r="J335" s="32" t="n">
        <x:f>INDEX(tun_FoodCap,G335)*Arch_FoodCap*EXP(tun_CapsByProject*SUMPRODUCT((Cap_Point&lt;=I335)*(Cap_Kind="Food")*Cap_Ln))</x:f>
        <x:v>610.0101168966467</x:v>
      </x:c>
      <x:c r="K335" s="32" t="n">
        <x:f>J335*MIN(1,tun_LeanBase*EXP(tun_CapsByProject*SUMPRODUCT((Cap_Point&lt;=I335)*(Cap_Kind="Lean")*Cap_Ln)))</x:f>
        <x:v>610.0101168966467</x:v>
      </x:c>
      <x:c r="L335" s="10" t="n">
        <x:f>INDEX(tun_HousingCap,G335)*EXP(tun_CapsByProject*SUMPRODUCT((Cap_Point&lt;=I335)*(Cap_Kind="Housing")*Cap_Ln))</x:f>
        <x:v>2125.258900135082</x:v>
      </x:c>
      <x:c r="M335" s="10" t="n">
        <x:f>INDEX(tun_GroupCap,G335)*tun_CohesionFactor*EXP(tun_CapsByProject*SUMPRODUCT((Cap_Point&lt;=I335)*(Cap_Kind="Group")*Cap_Ln))</x:f>
        <x:v>50000.00000000004</x:v>
      </x:c>
      <x:c r="N335" s="32" t="n">
        <x:f>MIN(J335,L335,M335)</x:f>
        <x:v>610.0101168966467</x:v>
      </x:c>
      <x:c r="O335" s="10" t="n">
        <x:f>AE334*N335</x:f>
        <x:v>4270.070818276527</x:v>
      </x:c>
      <x:c r="P335" s="9" t="n">
        <x:f>MIN(1,(AB334/(AE334*IF(tun_GroupInCrowding=1,N335,MIN(J335,L335))))^tun_CrowdingExp)</x:f>
        <x:v>0.294486999743082</x:v>
      </x:c>
      <x:c r="Q335" s="9" t="n">
        <x:f>IF(D335=1,INDEX(tun_WinterMult,G335),1)</x:f>
        <x:v>1.1</x:v>
      </x:c>
      <x:c r="R335" s="9" t="n">
        <x:f>H335*Z334*tun_WomenShare*tun_BaseFertility*INDEX(tun_FertMult,G335)*Arch_Fertility*(1-P335)</x:f>
        <x:v>64.02275931443984</x:v>
      </x:c>
      <x:c r="S335" s="9" t="n">
        <x:f>H335*Y334*INDEX(tun_MortChild,G335)/4*Q335</x:f>
        <x:v>12.768426119059257</x:v>
      </x:c>
      <x:c r="T335" s="9" t="n">
        <x:f>H335*Z334*INDEX(tun_MortAdult,G335)*Arch_AdultMort/4*Q335</x:f>
        <x:v>3.3157335555049565</x:v>
      </x:c>
      <x:c r="U335" s="9" t="n">
        <x:f>H335*AA334*INDEX(tun_MortElder,G335)/4*Q335</x:f>
        <x:v>4.804308107289268</x:v>
      </x:c>
      <x:c r="V335" s="9" t="n">
        <x:f>H335*MAX(0,AB334-O335)*tun_OvercapLoss</x:f>
        <x:v>0</x:v>
      </x:c>
      <x:c r="W335" s="9" t="n">
        <x:f>H335*Y334/(tun_ChildYears*4)</x:f>
        <x:v>33.16474316638767</x:v>
      </x:c>
      <x:c r="X335" s="9" t="n">
        <x:f>H335*Z334/(tun_AdultYears*4)</x:f>
        <x:v>10.23532506715529</x:v>
      </x:c>
      <x:c r="Y335" s="32" t="n">
        <x:f>Y334+R335-S335-W335-Y334*V335/AB334</x:f>
        <x:v>1875.3152073467024</x:v>
      </x:c>
      <x:c r="Z335" s="32" t="n">
        <x:f>Z334+W335-X335-T335-Z334*V335/AB334</x:f>
        <x:v>1288.7939928709834</x:v>
      </x:c>
      <x:c r="AA335" s="32" t="n">
        <x:f>AA334+X335-U335-AA334*V335/AB334</x:f>
        <x:v>361.9659414340232</x:v>
      </x:c>
      <x:c r="AB335" s="10" t="n">
        <x:f>Y335+Z335+AA335</x:f>
        <x:v>3526.0751416517087</x:v>
      </x:c>
      <x:c r="AC335" s="8" t="n">
        <x:f>IF(AND(tun_WinterTrigger=1,D335=1,AB334/AE334&gt;=K335),1,0)</x:f>
        <x:v>0</x:v>
      </x:c>
      <x:c r="AD335" s="8" t="n">
        <x:f>H335*IF(AND(OR(AB334/AE334&gt;=tun_FissionTrigger*N335,AC335=1),AB334/AE334*tun_DaughterShare&gt;=tun_MinDaughter),MAX(1,ROUND(AE334*tun_FissionRate,0)),0)</x:f>
        <x:v>0</x:v>
      </x:c>
      <x:c r="AE335" s="8" t="n">
        <x:f>IF(H335=1,MAX(1,MIN(INDEX(tun_Smax,G335),AE334+AD335)),AE334)</x:f>
        <x:v>7</x:v>
      </x:c>
      <x:c r="AF335" s="8" t="n">
        <x:f>MAX(0,AE335-AE334)</x:f>
        <x:v>0</x:v>
      </x:c>
      <x:c r="AG335" s="9" t="str">
        <x:f>IF(AF335&gt;0,B335,"")</x:f>
      </x:c>
      <x:c r="AH335" s="9" t="n">
        <x:f>IF(F335&gt;=1,1,(1+tun_LowTiesShare*(AE335-1))/AE335)</x:f>
        <x:v>1</x:v>
      </x:c>
      <x:c r="AI335" s="32" t="n">
        <x:f>(Z335+tun_ElderCommons*INDEX(LM_Elder,G335)*AA335)*AH335</x:f>
        <x:v>2646.16627324857</x:v>
      </x:c>
      <x:c r="AJ335" s="32" t="n">
        <x:f>H335*tun_CommonsCoef*AI335^tun_CommonsExp*INDEX(LM_Commons,G335)</x:f>
        <x:v>5666.7786022209175</x:v>
      </x:c>
      <x:c r="AK335" s="32" t="n">
        <x:f>H335*tun_RoleScale*Arch_Roles*(AE335*(INDEX(tun_ElderRolePerSett,G335)*tun_OutElder*INDEX(LM_Elder,G335)+INDEX(tun_ShamanPerSett,G335)*tun_OutShaman)+Z335*(INDEX(tun_PriestShare,G335)*tun_OutPriest+INDEX(tun_ScribeShare,G335)*tun_OutScribe*INDEX(LM_Scribe,G335)+INDEX(tun_ScholarShare,G335)*tun_OutScholar*INDEX(LM_Scholar,G335)+INDEX(tun_ResearcherShare,G335)*tun_OutResearcher*INDEX(LM_Researcher,G335)))</x:f>
        <x:v>1489.135380008248</x:v>
      </x:c>
      <x:c r="AL335" s="32" t="n">
        <x:f>H335*tun_RoleScale*Arch_Roles*AE335*INDEX(tun_MonasteryPerSett,G335)*tun_OutMonastery*INDEX(LM_Monastery,G335)</x:f>
        <x:v>36.96000000000001</x:v>
      </x:c>
      <x:c r="AM335" s="32" t="n">
        <x:f>(AJ335+AK335+AL335)/4*INDEX(LM_All,G335)*INDEX(tun_Boon,G335)*Arch_Insight</x:f>
        <x:v>3286.9186937508744</x:v>
      </x:c>
      <x:c r="AN335" s="32" t="n">
        <x:f>H335*(tun_KHPerAdult*Z335+tun_KHOfCommons*AJ335/4*INDEX(LM_All,G335))*tun_KHUsable*Arch_KH</x:f>
        <x:v>547.0734607697947</x:v>
      </x:c>
      <x:c r="AO335" s="32" t="n">
        <x:f>MIN(AP334+AN335,AM335*tun_KHMaxRatio)</x:f>
        <x:v>547.0734607697947</x:v>
      </x:c>
      <x:c r="AP335" s="32" t="n">
        <x:f>AP334+AN335-AO335</x:f>
        <x:v>0</x:v>
      </x:c>
      <x:c r="AQ335" s="32" t="n">
        <x:f>AM335+AO335</x:f>
        <x:v>3833.992154520669</x:v>
      </x:c>
      <x:c r="AR335" s="10" t="n">
        <x:f>IF(H335=1,INDEX(tun_Req,G335),0)</x:f>
        <x:v>434961.70024459995</x:v>
      </x:c>
      <x:c r="AS335" s="32" t="n">
        <x:f>IF(H335=1,IF(E335=1,AS334-AR334,AS334)+AQ335,0)</x:f>
        <x:v>69375.1437650437</x:v>
      </x:c>
      <x:c r="AT335" s="11" t="n">
        <x:f>IF(AR335&gt;0,MIN(1,AS335/AR335),1)</x:f>
        <x:v>0.15949713210618477</x:v>
      </x:c>
      <x:c r="AU335" s="10" t="n">
        <x:f>AB335/INDEX(tun_RepScale,G335)</x:f>
        <x:v>141.04300566606835</x:v>
      </x:c>
      <x:c r="AV335" s="32" t="n">
        <x:f>AM335*60/tun_SeasonSeconds</x:f>
        <x:v>13147.674775003497</x:v>
      </x:c>
    </x:row>
    <x:row r="336">
      <x:c r="A336" s="8" t="n">
        <x:f>A335+1</x:f>
        <x:v>333</x:v>
      </x:c>
      <x:c r="B336" s="9" t="n">
        <x:f>A336*tun_SeasonSeconds/60</x:f>
        <x:v>83.25</x:v>
      </x:c>
      <x:c r="C336" s="9" t="n">
        <x:f>A336/4</x:f>
        <x:v>83.25</x:v>
      </x:c>
      <x:c r="D336" s="8" t="n">
        <x:f>IF(MOD(A336,4)=0,1,0)</x:f>
        <x:v>0</x:v>
      </x:c>
      <x:c r="E336" s="8" t="n">
        <x:f>IF(AND(F335&lt;=9,AS335&gt;=AR335),1,0)</x:f>
        <x:v>0</x:v>
      </x:c>
      <x:c r="F336" s="8" t="n">
        <x:f>MIN(10,F335+E336)</x:f>
        <x:v>6</x:v>
      </x:c>
      <x:c r="G336" s="8" t="n">
        <x:f>MIN(F336,9)+1</x:f>
        <x:v>7</x:v>
      </x:c>
      <x:c r="H336" s="8" t="n">
        <x:f>IF(F336&lt;=9,1,0)</x:f>
        <x:v>1</x:v>
      </x:c>
      <x:c r="I336" s="9" t="n">
        <x:f>MIN(10,F335+IF(AR335&gt;0,MIN(1,AS335/AR335),1))</x:f>
        <x:v>6.159497132106185</x:v>
      </x:c>
      <x:c r="J336" s="32" t="n">
        <x:f>INDEX(tun_FoodCap,G336)*Arch_FoodCap*EXP(tun_CapsByProject*SUMPRODUCT((Cap_Point&lt;=I336)*(Cap_Kind="Food")*Cap_Ln))</x:f>
        <x:v>610.0101168966467</x:v>
      </x:c>
      <x:c r="K336" s="32" t="n">
        <x:f>J336*MIN(1,tun_LeanBase*EXP(tun_CapsByProject*SUMPRODUCT((Cap_Point&lt;=I336)*(Cap_Kind="Lean")*Cap_Ln)))</x:f>
        <x:v>610.0101168966467</x:v>
      </x:c>
      <x:c r="L336" s="10" t="n">
        <x:f>INDEX(tun_HousingCap,G336)*EXP(tun_CapsByProject*SUMPRODUCT((Cap_Point&lt;=I336)*(Cap_Kind="Housing")*Cap_Ln))</x:f>
        <x:v>2125.258900135082</x:v>
      </x:c>
      <x:c r="M336" s="10" t="n">
        <x:f>INDEX(tun_GroupCap,G336)*tun_CohesionFactor*EXP(tun_CapsByProject*SUMPRODUCT((Cap_Point&lt;=I336)*(Cap_Kind="Group")*Cap_Ln))</x:f>
        <x:v>50000.00000000004</x:v>
      </x:c>
      <x:c r="N336" s="32" t="n">
        <x:f>MIN(J336,L336,M336)</x:f>
        <x:v>610.0101168966467</x:v>
      </x:c>
      <x:c r="O336" s="10" t="n">
        <x:f>AE335*N336</x:f>
        <x:v>4270.070818276527</x:v>
      </x:c>
      <x:c r="P336" s="9" t="n">
        <x:f>MIN(1,(AB335/(AE335*IF(tun_GroupInCrowding=1,N336,MIN(J336,L336))))^tun_CrowdingExp)</x:f>
        <x:v>0.31705814279225897</x:v>
      </x:c>
      <x:c r="Q336" s="9" t="n">
        <x:f>IF(D336=1,INDEX(tun_WinterMult,G336),1)</x:f>
        <x:v>1</x:v>
      </x:c>
      <x:c r="R336" s="9" t="n">
        <x:f>H336*Z335*tun_WomenShare*tun_BaseFertility*INDEX(tun_FertMult,G336)*Arch_Fertility*(1-P336)</x:f>
        <x:v>62.93225245803851</x:v>
      </x:c>
      <x:c r="S336" s="9" t="n">
        <x:f>H336*Y335*INDEX(tun_MortChild,G336)/4*Q336</x:f>
        <x:v>11.720720045916892</x:v>
      </x:c>
      <x:c r="T336" s="9" t="n">
        <x:f>H336*Z335*INDEX(tun_MortAdult,G336)*Arch_AdultMort/4*Q336</x:f>
        <x:v>3.0608857330685857</x:v>
      </x:c>
      <x:c r="U336" s="9" t="n">
        <x:f>H336*AA335*INDEX(tun_MortElder,G336)/4*Q336</x:f>
        <x:v>4.434082782566784</x:v>
      </x:c>
      <x:c r="V336" s="9" t="n">
        <x:f>H336*MAX(0,AB335-O336)*tun_OvercapLoss</x:f>
        <x:v>0</x:v>
      </x:c>
      <x:c r="W336" s="9" t="n">
        <x:f>H336*Y335/(tun_ChildYears*4)</x:f>
        <x:v>33.48777155976254</x:v>
      </x:c>
      <x:c r="X336" s="9" t="n">
        <x:f>H336*Z335/(tun_AdultYears*4)</x:f>
        <x:v>10.393499942507932</x:v>
      </x:c>
      <x:c r="Y336" s="32" t="n">
        <x:f>Y335+R336-S336-W336-Y335*V336/AB335</x:f>
        <x:v>1893.0389681990616</x:v>
      </x:c>
      <x:c r="Z336" s="32" t="n">
        <x:f>Z335+W336-X336-T336-Z335*V336/AB335</x:f>
        <x:v>1308.8273787551693</x:v>
      </x:c>
      <x:c r="AA336" s="32" t="n">
        <x:f>AA335+X336-U336-AA335*V336/AB335</x:f>
        <x:v>367.92535859396435</x:v>
      </x:c>
      <x:c r="AB336" s="10" t="n">
        <x:f>Y336+Z336+AA336</x:f>
        <x:v>3569.791705548195</x:v>
      </x:c>
      <x:c r="AC336" s="8" t="n">
        <x:f>IF(AND(tun_WinterTrigger=1,D336=1,AB335/AE335&gt;=K336),1,0)</x:f>
        <x:v>0</x:v>
      </x:c>
      <x:c r="AD336" s="8" t="n">
        <x:f>H336*IF(AND(OR(AB335/AE335&gt;=tun_FissionTrigger*N336,AC336=1),AB335/AE335*tun_DaughterShare&gt;=tun_MinDaughter),MAX(1,ROUND(AE335*tun_FissionRate,0)),0)</x:f>
        <x:v>0</x:v>
      </x:c>
      <x:c r="AE336" s="8" t="n">
        <x:f>IF(H336=1,MAX(1,MIN(INDEX(tun_Smax,G336),AE335+AD336)),AE335)</x:f>
        <x:v>7</x:v>
      </x:c>
      <x:c r="AF336" s="8" t="n">
        <x:f>MAX(0,AE336-AE335)</x:f>
        <x:v>0</x:v>
      </x:c>
      <x:c r="AG336" s="9" t="str">
        <x:f>IF(AF336&gt;0,B336,"")</x:f>
      </x:c>
      <x:c r="AH336" s="9" t="n">
        <x:f>IF(F336&gt;=1,1,(1+tun_LowTiesShare*(AE336-1))/AE336)</x:f>
        <x:v>1</x:v>
      </x:c>
      <x:c r="AI336" s="32" t="n">
        <x:f>(Z336+tun_ElderCommons*INDEX(LM_Elder,G336)*AA336)*AH336</x:f>
        <x:v>2688.5474734825357</x:v>
      </x:c>
      <x:c r="AJ336" s="32" t="n">
        <x:f>H336*tun_CommonsCoef*AI336^tun_CommonsExp*INDEX(LM_Commons,G336)</x:f>
        <x:v>5743.832121964947</x:v>
      </x:c>
      <x:c r="AK336" s="32" t="n">
        <x:f>H336*tun_RoleScale*Arch_Roles*(AE336*(INDEX(tun_ElderRolePerSett,G336)*tun_OutElder*INDEX(LM_Elder,G336)+INDEX(tun_ShamanPerSett,G336)*tun_OutShaman)+Z336*(INDEX(tun_PriestShare,G336)*tun_OutPriest+INDEX(tun_ScribeShare,G336)*tun_OutScribe*INDEX(LM_Scribe,G336)+INDEX(tun_ScholarShare,G336)*tun_OutScholar*INDEX(LM_Scholar,G336)+INDEX(tun_ResearcherShare,G336)*tun_OutResearcher*INDEX(LM_Researcher,G336)))</x:f>
        <x:v>1509.3450596882146</x:v>
      </x:c>
      <x:c r="AL336" s="32" t="n">
        <x:f>H336*tun_RoleScale*Arch_Roles*AE336*INDEX(tun_MonasteryPerSett,G336)*tun_OutMonastery*INDEX(LM_Monastery,G336)</x:f>
        <x:v>36.96000000000001</x:v>
      </x:c>
      <x:c r="AM336" s="32" t="n">
        <x:f>(AJ336+AK336+AL336)/4*INDEX(LM_All,G336)*INDEX(tun_Boon,G336)*Arch_Insight</x:f>
        <x:v>3331.36493724</x:v>
      </x:c>
      <x:c r="AN336" s="32" t="n">
        <x:f>H336*(tun_KHPerAdult*Z336+tun_KHOfCommons*AJ336/4*INDEX(LM_All,G336))*tun_KHUsable*Arch_KH</x:f>
        <x:v>554.5122436603666</x:v>
      </x:c>
      <x:c r="AO336" s="32" t="n">
        <x:f>MIN(AP335+AN336,AM336*tun_KHMaxRatio)</x:f>
        <x:v>554.5122436603666</x:v>
      </x:c>
      <x:c r="AP336" s="32" t="n">
        <x:f>AP335+AN336-AO336</x:f>
        <x:v>0</x:v>
      </x:c>
      <x:c r="AQ336" s="32" t="n">
        <x:f>AM336+AO336</x:f>
        <x:v>3885.8771809003665</x:v>
      </x:c>
      <x:c r="AR336" s="10" t="n">
        <x:f>IF(H336=1,INDEX(tun_Req,G336),0)</x:f>
        <x:v>434961.70024459995</x:v>
      </x:c>
      <x:c r="AS336" s="32" t="n">
        <x:f>IF(H336=1,IF(E336=1,AS335-AR335,AS335)+AQ336,0)</x:f>
        <x:v>73261.02094594407</x:v>
      </x:c>
      <x:c r="AT336" s="11" t="n">
        <x:f>IF(AR336&gt;0,MIN(1,AS336/AR336),1)</x:f>
        <x:v>0.1684309696801945</x:v>
      </x:c>
      <x:c r="AU336" s="10" t="n">
        <x:f>AB336/INDEX(tun_RepScale,G336)</x:f>
        <x:v>142.7916682219278</x:v>
      </x:c>
      <x:c r="AV336" s="32" t="n">
        <x:f>AM336*60/tun_SeasonSeconds</x:f>
        <x:v>13325.45974896</x:v>
      </x:c>
    </x:row>
    <x:row r="337">
      <x:c r="A337" s="8" t="n">
        <x:f>A336+1</x:f>
        <x:v>334</x:v>
      </x:c>
      <x:c r="B337" s="9" t="n">
        <x:f>A337*tun_SeasonSeconds/60</x:f>
        <x:v>83.5</x:v>
      </x:c>
      <x:c r="C337" s="9" t="n">
        <x:f>A337/4</x:f>
        <x:v>83.5</x:v>
      </x:c>
      <x:c r="D337" s="8" t="n">
        <x:f>IF(MOD(A337,4)=0,1,0)</x:f>
        <x:v>0</x:v>
      </x:c>
      <x:c r="E337" s="8" t="n">
        <x:f>IF(AND(F336&lt;=9,AS336&gt;=AR336),1,0)</x:f>
        <x:v>0</x:v>
      </x:c>
      <x:c r="F337" s="8" t="n">
        <x:f>MIN(10,F336+E337)</x:f>
        <x:v>6</x:v>
      </x:c>
      <x:c r="G337" s="8" t="n">
        <x:f>MIN(F337,9)+1</x:f>
        <x:v>7</x:v>
      </x:c>
      <x:c r="H337" s="8" t="n">
        <x:f>IF(F337&lt;=9,1,0)</x:f>
        <x:v>1</x:v>
      </x:c>
      <x:c r="I337" s="9" t="n">
        <x:f>MIN(10,F336+IF(AR336&gt;0,MIN(1,AS336/AR336),1))</x:f>
        <x:v>6.168430969680195</x:v>
      </x:c>
      <x:c r="J337" s="32" t="n">
        <x:f>INDEX(tun_FoodCap,G337)*Arch_FoodCap*EXP(tun_CapsByProject*SUMPRODUCT((Cap_Point&lt;=I337)*(Cap_Kind="Food")*Cap_Ln))</x:f>
        <x:v>610.0101168966467</x:v>
      </x:c>
      <x:c r="K337" s="32" t="n">
        <x:f>J337*MIN(1,tun_LeanBase*EXP(tun_CapsByProject*SUMPRODUCT((Cap_Point&lt;=I337)*(Cap_Kind="Lean")*Cap_Ln)))</x:f>
        <x:v>610.0101168966467</x:v>
      </x:c>
      <x:c r="L337" s="10" t="n">
        <x:f>INDEX(tun_HousingCap,G337)*EXP(tun_CapsByProject*SUMPRODUCT((Cap_Point&lt;=I337)*(Cap_Kind="Housing")*Cap_Ln))</x:f>
        <x:v>2125.258900135082</x:v>
      </x:c>
      <x:c r="M337" s="10" t="n">
        <x:f>INDEX(tun_GroupCap,G337)*tun_CohesionFactor*EXP(tun_CapsByProject*SUMPRODUCT((Cap_Point&lt;=I337)*(Cap_Kind="Group")*Cap_Ln))</x:f>
        <x:v>50000.00000000004</x:v>
      </x:c>
      <x:c r="N337" s="32" t="n">
        <x:f>MIN(J337,L337,M337)</x:f>
        <x:v>610.0101168966467</x:v>
      </x:c>
      <x:c r="O337" s="10" t="n">
        <x:f>AE336*N337</x:f>
        <x:v>4270.070818276527</x:v>
      </x:c>
      <x:c r="P337" s="9" t="n">
        <x:f>MIN(1,(AB336/(AE336*IF(tun_GroupInCrowding=1,N337,MIN(J337,L337))))^tun_CrowdingExp)</x:f>
        <x:v>0.34138685135929325</x:v>
      </x:c>
      <x:c r="Q337" s="9" t="n">
        <x:f>IF(D337=1,INDEX(tun_WinterMult,G337),1)</x:f>
        <x:v>1</x:v>
      </x:c>
      <x:c r="R337" s="9" t="n">
        <x:f>H337*Z336*tun_WomenShare*tun_BaseFertility*INDEX(tun_FertMult,G337)*Arch_Fertility*(1-P337)</x:f>
        <x:v>61.633780847861004</x:v>
      </x:c>
      <x:c r="S337" s="9" t="n">
        <x:f>H337*Y336*INDEX(tun_MortChild,G337)/4*Q337</x:f>
        <x:v>11.831493551244137</x:v>
      </x:c>
      <x:c r="T337" s="9" t="n">
        <x:f>H337*Z336*INDEX(tun_MortAdult,G337)*Arch_AdultMort/4*Q337</x:f>
        <x:v>3.108465024543527</x:v>
      </x:c>
      <x:c r="U337" s="9" t="n">
        <x:f>H337*AA336*INDEX(tun_MortElder,G337)/4*Q337</x:f>
        <x:v>4.5070856427760635</x:v>
      </x:c>
      <x:c r="V337" s="9" t="n">
        <x:f>H337*MAX(0,AB336-O337)*tun_OvercapLoss</x:f>
        <x:v>0</x:v>
      </x:c>
      <x:c r="W337" s="9" t="n">
        <x:f>H337*Y336/(tun_ChildYears*4)</x:f>
        <x:v>33.80426728926896</x:v>
      </x:c>
      <x:c r="X337" s="9" t="n">
        <x:f>H337*Z336/(tun_AdultYears*4)</x:f>
        <x:v>10.555059506090075</x:v>
      </x:c>
      <x:c r="Y337" s="32" t="n">
        <x:f>Y336+R337-S337-W337-Y336*V337/AB336</x:f>
        <x:v>1909.0369882064097</x:v>
      </x:c>
      <x:c r="Z337" s="32" t="n">
        <x:f>Z336+W337-X337-T337-Z336*V337/AB336</x:f>
        <x:v>1328.9681215138046</x:v>
      </x:c>
      <x:c r="AA337" s="32" t="n">
        <x:f>AA336+X337-U337-AA336*V337/AB336</x:f>
        <x:v>373.97333245727833</x:v>
      </x:c>
      <x:c r="AB337" s="10" t="n">
        <x:f>Y337+Z337+AA337</x:f>
        <x:v>3611.9784421774925</x:v>
      </x:c>
      <x:c r="AC337" s="8" t="n">
        <x:f>IF(AND(tun_WinterTrigger=1,D337=1,AB336/AE336&gt;=K337),1,0)</x:f>
        <x:v>0</x:v>
      </x:c>
      <x:c r="AD337" s="8" t="n">
        <x:f>H337*IF(AND(OR(AB336/AE336&gt;=tun_FissionTrigger*N337,AC337=1),AB336/AE336*tun_DaughterShare&gt;=tun_MinDaughter),MAX(1,ROUND(AE336*tun_FissionRate,0)),0)</x:f>
        <x:v>0</x:v>
      </x:c>
      <x:c r="AE337" s="8" t="n">
        <x:f>IF(H337=1,MAX(1,MIN(INDEX(tun_Smax,G337),AE336+AD337)),AE336)</x:f>
        <x:v>7</x:v>
      </x:c>
      <x:c r="AF337" s="8" t="n">
        <x:f>MAX(0,AE337-AE336)</x:f>
        <x:v>0</x:v>
      </x:c>
      <x:c r="AG337" s="9" t="str">
        <x:f>IF(AF337&gt;0,B337,"")</x:f>
      </x:c>
      <x:c r="AH337" s="9" t="n">
        <x:f>IF(F337&gt;=1,1,(1+tun_LowTiesShare*(AE337-1))/AE337)</x:f>
        <x:v>1</x:v>
      </x:c>
      <x:c r="AI337" s="32" t="n">
        <x:f>(Z337+tun_ElderCommons*INDEX(LM_Elder,G337)*AA337)*AH337</x:f>
        <x:v>2731.368118228598</x:v>
      </x:c>
      <x:c r="AJ337" s="32" t="n">
        <x:f>H337*tun_CommonsCoef*AI337^tun_CommonsExp*INDEX(LM_Commons,G337)</x:f>
        <x:v>5821.499780596469</x:v>
      </x:c>
      <x:c r="AK337" s="32" t="n">
        <x:f>H337*tun_RoleScale*Arch_Roles*(AE337*(INDEX(tun_ElderRolePerSett,G337)*tun_OutElder*INDEX(LM_Elder,G337)+INDEX(tun_ShamanPerSett,G337)*tun_OutShaman)+Z337*(INDEX(tun_PriestShare,G337)*tun_OutPriest+INDEX(tun_ScribeShare,G337)*tun_OutScribe*INDEX(LM_Scribe,G337)+INDEX(tun_ScholarShare,G337)*tun_OutScholar*INDEX(LM_Scholar,G337)+INDEX(tun_ResearcherShare,G337)*tun_OutResearcher*INDEX(LM_Researcher,G337)))</x:f>
        <x:v>1529.663040983126</x:v>
      </x:c>
      <x:c r="AL337" s="32" t="n">
        <x:f>H337*tun_RoleScale*Arch_Roles*AE337*INDEX(tun_MonasteryPerSett,G337)*tun_OutMonastery*INDEX(LM_Monastery,G337)</x:f>
        <x:v>36.96000000000001</x:v>
      </x:c>
      <x:c r="AM337" s="32" t="n">
        <x:f>(AJ337+AK337+AL337)/4*INDEX(LM_All,G337)*INDEX(tun_Boon,G337)*Arch_Insight</x:f>
        <x:v>3376.141313468618</x:v>
      </x:c>
      <x:c r="AN337" s="32" t="n">
        <x:f>H337*(tun_KHPerAdult*Z337+tun_KHOfCommons*AJ337/4*INDEX(LM_All,G337))*tun_KHUsable*Arch_KH</x:f>
        <x:v>562.0103158068205</x:v>
      </x:c>
      <x:c r="AO337" s="32" t="n">
        <x:f>MIN(AP336+AN337,AM337*tun_KHMaxRatio)</x:f>
        <x:v>562.0103158068205</x:v>
      </x:c>
      <x:c r="AP337" s="32" t="n">
        <x:f>AP336+AN337-AO337</x:f>
        <x:v>0</x:v>
      </x:c>
      <x:c r="AQ337" s="32" t="n">
        <x:f>AM337+AO337</x:f>
        <x:v>3938.1516292754386</x:v>
      </x:c>
      <x:c r="AR337" s="10" t="n">
        <x:f>IF(H337=1,INDEX(tun_Req,G337),0)</x:f>
        <x:v>434961.70024459995</x:v>
      </x:c>
      <x:c r="AS337" s="32" t="n">
        <x:f>IF(H337=1,IF(E337=1,AS336-AR336,AS336)+AQ337,0)</x:f>
        <x:v>77199.1725752195</x:v>
      </x:c>
      <x:c r="AT337" s="11" t="n">
        <x:f>IF(AR337&gt;0,MIN(1,AS337/AR337),1)</x:f>
        <x:v>0.17748498898134407</x:v>
      </x:c>
      <x:c r="AU337" s="10" t="n">
        <x:f>AB337/INDEX(tun_RepScale,G337)</x:f>
        <x:v>144.4791376870997</x:v>
      </x:c>
      <x:c r="AV337" s="32" t="n">
        <x:f>AM337*60/tun_SeasonSeconds</x:f>
        <x:v>13504.565253874473</x:v>
      </x:c>
    </x:row>
    <x:row r="338">
      <x:c r="A338" s="8" t="n">
        <x:f>A337+1</x:f>
        <x:v>335</x:v>
      </x:c>
      <x:c r="B338" s="9" t="n">
        <x:f>A338*tun_SeasonSeconds/60</x:f>
        <x:v>83.75</x:v>
      </x:c>
      <x:c r="C338" s="9" t="n">
        <x:f>A338/4</x:f>
        <x:v>83.75</x:v>
      </x:c>
      <x:c r="D338" s="8" t="n">
        <x:f>IF(MOD(A338,4)=0,1,0)</x:f>
        <x:v>0</x:v>
      </x:c>
      <x:c r="E338" s="8" t="n">
        <x:f>IF(AND(F337&lt;=9,AS337&gt;=AR337),1,0)</x:f>
        <x:v>0</x:v>
      </x:c>
      <x:c r="F338" s="8" t="n">
        <x:f>MIN(10,F337+E338)</x:f>
        <x:v>6</x:v>
      </x:c>
      <x:c r="G338" s="8" t="n">
        <x:f>MIN(F338,9)+1</x:f>
        <x:v>7</x:v>
      </x:c>
      <x:c r="H338" s="8" t="n">
        <x:f>IF(F338&lt;=9,1,0)</x:f>
        <x:v>1</x:v>
      </x:c>
      <x:c r="I338" s="9" t="n">
        <x:f>MIN(10,F337+IF(AR337&gt;0,MIN(1,AS337/AR337),1))</x:f>
        <x:v>6.177484988981344</x:v>
      </x:c>
      <x:c r="J338" s="32" t="n">
        <x:f>INDEX(tun_FoodCap,G338)*Arch_FoodCap*EXP(tun_CapsByProject*SUMPRODUCT((Cap_Point&lt;=I338)*(Cap_Kind="Food")*Cap_Ln))</x:f>
        <x:v>610.0101168966467</x:v>
      </x:c>
      <x:c r="K338" s="32" t="n">
        <x:f>J338*MIN(1,tun_LeanBase*EXP(tun_CapsByProject*SUMPRODUCT((Cap_Point&lt;=I338)*(Cap_Kind="Lean")*Cap_Ln)))</x:f>
        <x:v>610.0101168966467</x:v>
      </x:c>
      <x:c r="L338" s="10" t="n">
        <x:f>INDEX(tun_HousingCap,G338)*EXP(tun_CapsByProject*SUMPRODUCT((Cap_Point&lt;=I338)*(Cap_Kind="Housing")*Cap_Ln))</x:f>
        <x:v>2125.258900135082</x:v>
      </x:c>
      <x:c r="M338" s="10" t="n">
        <x:f>INDEX(tun_GroupCap,G338)*tun_CohesionFactor*EXP(tun_CapsByProject*SUMPRODUCT((Cap_Point&lt;=I338)*(Cap_Kind="Group")*Cap_Ln))</x:f>
        <x:v>50000.00000000004</x:v>
      </x:c>
      <x:c r="N338" s="32" t="n">
        <x:f>MIN(J338,L338,M338)</x:f>
        <x:v>610.0101168966467</x:v>
      </x:c>
      <x:c r="O338" s="10" t="n">
        <x:f>AE337*N338</x:f>
        <x:v>4270.070818276527</x:v>
      </x:c>
      <x:c r="P338" s="9" t="n">
        <x:f>MIN(1,(AB337/(AE337*IF(tun_GroupInCrowding=1,N338,MIN(J338,L338))))^tun_CrowdingExp)</x:f>
        <x:v>0.3663198316546205</x:v>
      </x:c>
      <x:c r="Q338" s="9" t="n">
        <x:f>IF(D338=1,INDEX(tun_WinterMult,G338),1)</x:f>
        <x:v>1</x:v>
      </x:c>
      <x:c r="R338" s="9" t="n">
        <x:f>H338*Z337*tun_WomenShare*tun_BaseFertility*INDEX(tun_FertMult,G338)*Arch_Fertility*(1-P338)</x:f>
        <x:v>60.213063122105495</x:v>
      </x:c>
      <x:c r="S338" s="9" t="n">
        <x:f>H338*Y337*INDEX(tun_MortChild,G338)/4*Q338</x:f>
        <x:v>11.931481176290061</x:v>
      </x:c>
      <x:c r="T338" s="9" t="n">
        <x:f>H338*Z337*INDEX(tun_MortAdult,G338)*Arch_AdultMort/4*Q338</x:f>
        <x:v>3.1562992885952856</x:v>
      </x:c>
      <x:c r="U338" s="9" t="n">
        <x:f>H338*AA337*INDEX(tun_MortElder,G338)/4*Q338</x:f>
        <x:v>4.58117332260166</x:v>
      </x:c>
      <x:c r="V338" s="9" t="n">
        <x:f>H338*MAX(0,AB337-O338)*tun_OvercapLoss</x:f>
        <x:v>0</x:v>
      </x:c>
      <x:c r="W338" s="9" t="n">
        <x:f>H338*Y337/(tun_ChildYears*4)</x:f>
        <x:v>34.0899462179716</x:v>
      </x:c>
      <x:c r="X338" s="9" t="n">
        <x:f>H338*Z337/(tun_AdultYears*4)</x:f>
        <x:v>10.71748485091778</x:v>
      </x:c>
      <x:c r="Y338" s="32" t="n">
        <x:f>Y337+R338-S338-W338-Y337*V338/AB337</x:f>
        <x:v>1923.2286239342534</x:v>
      </x:c>
      <x:c r="Z338" s="32" t="n">
        <x:f>Z337+W338-X338-T338-Z337*V338/AB337</x:f>
        <x:v>1349.184283592263</x:v>
      </x:c>
      <x:c r="AA338" s="32" t="n">
        <x:f>AA337+X338-U338-AA337*V338/AB337</x:f>
        <x:v>380.10964398559446</x:v>
      </x:c>
      <x:c r="AB338" s="10" t="n">
        <x:f>Y338+Z338+AA338</x:f>
        <x:v>3652.522551512111</x:v>
      </x:c>
      <x:c r="AC338" s="8" t="n">
        <x:f>IF(AND(tun_WinterTrigger=1,D338=1,AB337/AE337&gt;=K338),1,0)</x:f>
        <x:v>0</x:v>
      </x:c>
      <x:c r="AD338" s="8" t="n">
        <x:f>H338*IF(AND(OR(AB337/AE337&gt;=tun_FissionTrigger*N338,AC338=1),AB337/AE337*tun_DaughterShare&gt;=tun_MinDaughter),MAX(1,ROUND(AE337*tun_FissionRate,0)),0)</x:f>
        <x:v>0</x:v>
      </x:c>
      <x:c r="AE338" s="8" t="n">
        <x:f>IF(H338=1,MAX(1,MIN(INDEX(tun_Smax,G338),AE337+AD338)),AE337)</x:f>
        <x:v>7</x:v>
      </x:c>
      <x:c r="AF338" s="8" t="n">
        <x:f>MAX(0,AE338-AE337)</x:f>
        <x:v>0</x:v>
      </x:c>
      <x:c r="AG338" s="9" t="str">
        <x:f>IF(AF338&gt;0,B338,"")</x:f>
      </x:c>
      <x:c r="AH338" s="9" t="n">
        <x:f>IF(F338&gt;=1,1,(1+tun_LowTiesShare*(AE338-1))/AE338)</x:f>
        <x:v>1</x:v>
      </x:c>
      <x:c r="AI338" s="32" t="n">
        <x:f>(Z338+tun_ElderCommons*INDEX(LM_Elder,G338)*AA338)*AH338</x:f>
        <x:v>2774.595448538242</x:v>
      </x:c>
      <x:c r="AJ338" s="32" t="n">
        <x:f>H338*tun_CommonsCoef*AI338^tun_CommonsExp*INDEX(LM_Commons,G338)</x:f>
        <x:v>5899.720047641753</x:v>
      </x:c>
      <x:c r="AK338" s="32" t="n">
        <x:f>H338*tun_RoleScale*Arch_Roles*(AE338*(INDEX(tun_ElderRolePerSett,G338)*tun_OutElder*INDEX(LM_Elder,G338)+INDEX(tun_ShamanPerSett,G338)*tun_OutShaman)+Z338*(INDEX(tun_PriestShare,G338)*tun_OutPriest+INDEX(tun_ScribeShare,G338)*tun_OutScribe*INDEX(LM_Scribe,G338)+INDEX(tun_ScholarShare,G338)*tun_OutScholar*INDEX(LM_Scholar,G338)+INDEX(tun_ResearcherShare,G338)*tun_OutResearcher*INDEX(LM_Researcher,G338)))</x:f>
        <x:v>1550.0571052878747</x:v>
      </x:c>
      <x:c r="AL338" s="32" t="n">
        <x:f>H338*tun_RoleScale*Arch_Roles*AE338*INDEX(tun_MonasteryPerSett,G338)*tun_OutMonastery*INDEX(LM_Monastery,G338)</x:f>
        <x:v>36.96000000000001</x:v>
      </x:c>
      <x:c r="AM338" s="32" t="n">
        <x:f>(AJ338+AK338+AL338)/4*INDEX(LM_All,G338)*INDEX(tun_Boon,G338)*Arch_Insight</x:f>
        <x:v>3421.2049820365623</x:v>
      </x:c>
      <x:c r="AN338" s="32" t="n">
        <x:f>H338*(tun_KHPerAdult*Z338+tun_KHOfCommons*AJ338/4*INDEX(LM_All,G338))*tun_KHUsable*Arch_KH</x:f>
        <x:v>569.5617370283996</x:v>
      </x:c>
      <x:c r="AO338" s="32" t="n">
        <x:f>MIN(AP337+AN338,AM338*tun_KHMaxRatio)</x:f>
        <x:v>569.5617370283996</x:v>
      </x:c>
      <x:c r="AP338" s="32" t="n">
        <x:f>AP337+AN338-AO338</x:f>
        <x:v>0</x:v>
      </x:c>
      <x:c r="AQ338" s="32" t="n">
        <x:f>AM338+AO338</x:f>
        <x:v>3990.7667190649618</x:v>
      </x:c>
      <x:c r="AR338" s="10" t="n">
        <x:f>IF(H338=1,INDEX(tun_Req,G338),0)</x:f>
        <x:v>434961.70024459995</x:v>
      </x:c>
      <x:c r="AS338" s="32" t="n">
        <x:f>IF(H338=1,IF(E338=1,AS337-AR337,AS337)+AQ338,0)</x:f>
        <x:v>81189.93929428447</x:v>
      </x:c>
      <x:c r="AT338" s="11" t="n">
        <x:f>IF(AR338&gt;0,MIN(1,AS338/AR338),1)</x:f>
        <x:v>0.18665997316229785</x:v>
      </x:c>
      <x:c r="AU338" s="10" t="n">
        <x:f>AB338/INDEX(tun_RepScale,G338)</x:f>
        <x:v>146.10090206048443</x:v>
      </x:c>
      <x:c r="AV338" s="32" t="n">
        <x:f>AM338*60/tun_SeasonSeconds</x:f>
        <x:v>13684.81992814625</x:v>
      </x:c>
    </x:row>
    <x:row r="339">
      <x:c r="A339" s="8" t="n">
        <x:f>A338+1</x:f>
        <x:v>336</x:v>
      </x:c>
      <x:c r="B339" s="9" t="n">
        <x:f>A339*tun_SeasonSeconds/60</x:f>
        <x:v>84</x:v>
      </x:c>
      <x:c r="C339" s="9" t="n">
        <x:f>A339/4</x:f>
        <x:v>84</x:v>
      </x:c>
      <x:c r="D339" s="8" t="n">
        <x:f>IF(MOD(A339,4)=0,1,0)</x:f>
        <x:v>1</x:v>
      </x:c>
      <x:c r="E339" s="8" t="n">
        <x:f>IF(AND(F338&lt;=9,AS338&gt;=AR338),1,0)</x:f>
        <x:v>0</x:v>
      </x:c>
      <x:c r="F339" s="8" t="n">
        <x:f>MIN(10,F338+E339)</x:f>
        <x:v>6</x:v>
      </x:c>
      <x:c r="G339" s="8" t="n">
        <x:f>MIN(F339,9)+1</x:f>
        <x:v>7</x:v>
      </x:c>
      <x:c r="H339" s="8" t="n">
        <x:f>IF(F339&lt;=9,1,0)</x:f>
        <x:v>1</x:v>
      </x:c>
      <x:c r="I339" s="9" t="n">
        <x:f>MIN(10,F338+IF(AR338&gt;0,MIN(1,AS338/AR338),1))</x:f>
        <x:v>6.186659973162298</x:v>
      </x:c>
      <x:c r="J339" s="32" t="n">
        <x:f>INDEX(tun_FoodCap,G339)*Arch_FoodCap*EXP(tun_CapsByProject*SUMPRODUCT((Cap_Point&lt;=I339)*(Cap_Kind="Food")*Cap_Ln))</x:f>
        <x:v>610.0101168966467</x:v>
      </x:c>
      <x:c r="K339" s="32" t="n">
        <x:f>J339*MIN(1,tun_LeanBase*EXP(tun_CapsByProject*SUMPRODUCT((Cap_Point&lt;=I339)*(Cap_Kind="Lean")*Cap_Ln)))</x:f>
        <x:v>610.0101168966467</x:v>
      </x:c>
      <x:c r="L339" s="10" t="n">
        <x:f>INDEX(tun_HousingCap,G339)*EXP(tun_CapsByProject*SUMPRODUCT((Cap_Point&lt;=I339)*(Cap_Kind="Housing")*Cap_Ln))</x:f>
        <x:v>2125.258900135082</x:v>
      </x:c>
      <x:c r="M339" s="10" t="n">
        <x:f>INDEX(tun_GroupCap,G339)*tun_CohesionFactor*EXP(tun_CapsByProject*SUMPRODUCT((Cap_Point&lt;=I339)*(Cap_Kind="Group")*Cap_Ln))</x:f>
        <x:v>50000.00000000004</x:v>
      </x:c>
      <x:c r="N339" s="32" t="n">
        <x:f>MIN(J339,L339,M339)</x:f>
        <x:v>610.0101168966467</x:v>
      </x:c>
      <x:c r="O339" s="10" t="n">
        <x:f>AE338*N339</x:f>
        <x:v>4270.070818276527</x:v>
      </x:c>
      <x:c r="P339" s="9" t="n">
        <x:f>MIN(1,(AB338/(AE338*IF(tun_GroupInCrowding=1,N339,MIN(J339,L339))))^tun_CrowdingExp)</x:f>
        <x:v>0.39169404564926646</x:v>
      </x:c>
      <x:c r="Q339" s="9" t="n">
        <x:f>IF(D339=1,INDEX(tun_WinterMult,G339),1)</x:f>
        <x:v>1.1</x:v>
      </x:c>
      <x:c r="R339" s="9" t="n">
        <x:f>H339*Z338*tun_WomenShare*tun_BaseFertility*INDEX(tun_FertMult,G339)*Arch_Fertility*(1-P339)</x:f>
        <x:v>58.68125357563056</x:v>
      </x:c>
      <x:c r="S339" s="9" t="n">
        <x:f>H339*Y338*INDEX(tun_MortChild,G339)/4*Q339</x:f>
        <x:v>13.222196789547993</x:v>
      </x:c>
      <x:c r="T339" s="9" t="n">
        <x:f>H339*Z338*INDEX(tun_MortAdult,G339)*Arch_AdultMort/4*Q339</x:f>
        <x:v>3.5247439408847874</x:v>
      </x:c>
      <x:c r="U339" s="9" t="n">
        <x:f>H339*AA338*INDEX(tun_MortElder,G339)/4*Q339</x:f>
        <x:v>5.1219774527058854</x:v>
      </x:c>
      <x:c r="V339" s="9" t="n">
        <x:f>H339*MAX(0,AB338-O339)*tun_OvercapLoss</x:f>
        <x:v>0</x:v>
      </x:c>
      <x:c r="W339" s="9" t="n">
        <x:f>H339*Y338/(tun_ChildYears*4)</x:f>
        <x:v>34.34336828454024</x:v>
      </x:c>
      <x:c r="X339" s="9" t="n">
        <x:f>H339*Z338/(tun_AdultYears*4)</x:f>
        <x:v>10.880518416066637</x:v>
      </x:c>
      <x:c r="Y339" s="32" t="n">
        <x:f>Y338+R339-S339-W339-Y338*V339/AB338</x:f>
        <x:v>1934.3443124357957</x:v>
      </x:c>
      <x:c r="Z339" s="32" t="n">
        <x:f>Z338+W339-X339-T339-Z338*V339/AB338</x:f>
        <x:v>1369.1223895198518</x:v>
      </x:c>
      <x:c r="AA339" s="32" t="n">
        <x:f>AA338+X339-U339-AA338*V339/AB338</x:f>
        <x:v>385.8681849489552</x:v>
      </x:c>
      <x:c r="AB339" s="10" t="n">
        <x:f>Y339+Z339+AA339</x:f>
        <x:v>3689.3348869046026</x:v>
      </x:c>
      <x:c r="AC339" s="8" t="n">
        <x:f>IF(AND(tun_WinterTrigger=1,D339=1,AB338/AE338&gt;=K339),1,0)</x:f>
        <x:v>0</x:v>
      </x:c>
      <x:c r="AD339" s="8" t="n">
        <x:f>H339*IF(AND(OR(AB338/AE338&gt;=tun_FissionTrigger*N339,AC339=1),AB338/AE338*tun_DaughterShare&gt;=tun_MinDaughter),MAX(1,ROUND(AE338*tun_FissionRate,0)),0)</x:f>
        <x:v>2</x:v>
      </x:c>
      <x:c r="AE339" s="8" t="n">
        <x:f>IF(H339=1,MAX(1,MIN(INDEX(tun_Smax,G339),AE338+AD339)),AE338)</x:f>
        <x:v>9</x:v>
      </x:c>
      <x:c r="AF339" s="8" t="n">
        <x:f>MAX(0,AE339-AE338)</x:f>
        <x:v>2</x:v>
      </x:c>
      <x:c r="AG339" s="9" t="n">
        <x:f>IF(AF339&gt;0,B339,"")</x:f>
        <x:v>84</x:v>
      </x:c>
      <x:c r="AH339" s="9" t="n">
        <x:f>IF(F339&gt;=1,1,(1+tun_LowTiesShare*(AE339-1))/AE339)</x:f>
        <x:v>1</x:v>
      </x:c>
      <x:c r="AI339" s="32" t="n">
        <x:f>(Z339+tun_ElderCommons*INDEX(LM_Elder,G339)*AA339)*AH339</x:f>
        <x:v>2816.128083078434</x:v>
      </x:c>
      <x:c r="AJ339" s="32" t="n">
        <x:f>H339*tun_CommonsCoef*AI339^tun_CommonsExp*INDEX(LM_Commons,G339)</x:f>
        <x:v>5974.701712189027</x:v>
      </x:c>
      <x:c r="AK339" s="32" t="n">
        <x:f>H339*tun_RoleScale*Arch_Roles*(AE339*(INDEX(tun_ElderRolePerSett,G339)*tun_OutElder*INDEX(LM_Elder,G339)+INDEX(tun_ShamanPerSett,G339)*tun_OutShaman)+Z339*(INDEX(tun_PriestShare,G339)*tun_OutPriest+INDEX(tun_ScribeShare,G339)*tun_OutScribe*INDEX(LM_Scribe,G339)+INDEX(tun_ScholarShare,G339)*tun_OutScholar*INDEX(LM_Scholar,G339)+INDEX(tun_ResearcherShare,G339)*tun_OutResearcher*INDEX(LM_Researcher,G339)))</x:f>
        <x:v>1624.1706665476263</x:v>
      </x:c>
      <x:c r="AL339" s="32" t="n">
        <x:f>H339*tun_RoleScale*Arch_Roles*AE339*INDEX(tun_MonasteryPerSett,G339)*tun_OutMonastery*INDEX(LM_Monastery,G339)</x:f>
        <x:v>47.519999999999996</x:v>
      </x:c>
      <x:c r="AM339" s="32" t="n">
        <x:f>(AJ339+AK339+AL339)/4*INDEX(LM_All,G339)*INDEX(tun_Boon,G339)*Arch_Insight</x:f>
        <x:v>3494.1624323626274</x:v>
      </x:c>
      <x:c r="AN339" s="32" t="n">
        <x:f>H339*(tun_KHPerAdult*Z339+tun_KHOfCommons*AJ339/4*INDEX(LM_All,G339))*tun_KHUsable*Arch_KH</x:f>
        <x:v>576.8005020477494</x:v>
      </x:c>
      <x:c r="AO339" s="32" t="n">
        <x:f>MIN(AP338+AN339,AM339*tun_KHMaxRatio)</x:f>
        <x:v>576.8005020477494</x:v>
      </x:c>
      <x:c r="AP339" s="32" t="n">
        <x:f>AP338+AN339-AO339</x:f>
        <x:v>0</x:v>
      </x:c>
      <x:c r="AQ339" s="32" t="n">
        <x:f>AM339+AO339</x:f>
        <x:v>4070.962934410377</x:v>
      </x:c>
      <x:c r="AR339" s="10" t="n">
        <x:f>IF(H339=1,INDEX(tun_Req,G339),0)</x:f>
        <x:v>434961.70024459995</x:v>
      </x:c>
      <x:c r="AS339" s="32" t="n">
        <x:f>IF(H339=1,IF(E339=1,AS338-AR338,AS338)+AQ339,0)</x:f>
        <x:v>85260.90222869485</x:v>
      </x:c>
      <x:c r="AT339" s="11" t="n">
        <x:f>IF(AR339&gt;0,MIN(1,AS339/AR339),1)</x:f>
        <x:v>0.19601933269239227</x:v>
      </x:c>
      <x:c r="AU339" s="10" t="n">
        <x:f>AB339/INDEX(tun_RepScale,G339)</x:f>
        <x:v>147.57339547618412</x:v>
      </x:c>
      <x:c r="AV339" s="32" t="n">
        <x:f>AM339*60/tun_SeasonSeconds</x:f>
        <x:v>13976.649729450508</x:v>
      </x:c>
    </x:row>
    <x:row r="340">
      <x:c r="A340" s="8" t="n">
        <x:f>A339+1</x:f>
        <x:v>337</x:v>
      </x:c>
      <x:c r="B340" s="9" t="n">
        <x:f>A340*tun_SeasonSeconds/60</x:f>
        <x:v>84.25</x:v>
      </x:c>
      <x:c r="C340" s="9" t="n">
        <x:f>A340/4</x:f>
        <x:v>84.25</x:v>
      </x:c>
      <x:c r="D340" s="8" t="n">
        <x:f>IF(MOD(A340,4)=0,1,0)</x:f>
        <x:v>0</x:v>
      </x:c>
      <x:c r="E340" s="8" t="n">
        <x:f>IF(AND(F339&lt;=9,AS339&gt;=AR339),1,0)</x:f>
        <x:v>0</x:v>
      </x:c>
      <x:c r="F340" s="8" t="n">
        <x:f>MIN(10,F339+E340)</x:f>
        <x:v>6</x:v>
      </x:c>
      <x:c r="G340" s="8" t="n">
        <x:f>MIN(F340,9)+1</x:f>
        <x:v>7</x:v>
      </x:c>
      <x:c r="H340" s="8" t="n">
        <x:f>IF(F340&lt;=9,1,0)</x:f>
        <x:v>1</x:v>
      </x:c>
      <x:c r="I340" s="9" t="n">
        <x:f>MIN(10,F339+IF(AR339&gt;0,MIN(1,AS339/AR339),1))</x:f>
        <x:v>6.1960193326923925</x:v>
      </x:c>
      <x:c r="J340" s="32" t="n">
        <x:f>INDEX(tun_FoodCap,G340)*Arch_FoodCap*EXP(tun_CapsByProject*SUMPRODUCT((Cap_Point&lt;=I340)*(Cap_Kind="Food")*Cap_Ln))</x:f>
        <x:v>610.0101168966467</x:v>
      </x:c>
      <x:c r="K340" s="32" t="n">
        <x:f>J340*MIN(1,tun_LeanBase*EXP(tun_CapsByProject*SUMPRODUCT((Cap_Point&lt;=I340)*(Cap_Kind="Lean")*Cap_Ln)))</x:f>
        <x:v>610.0101168966467</x:v>
      </x:c>
      <x:c r="L340" s="10" t="n">
        <x:f>INDEX(tun_HousingCap,G340)*EXP(tun_CapsByProject*SUMPRODUCT((Cap_Point&lt;=I340)*(Cap_Kind="Housing")*Cap_Ln))</x:f>
        <x:v>2125.258900135082</x:v>
      </x:c>
      <x:c r="M340" s="10" t="n">
        <x:f>INDEX(tun_GroupCap,G340)*tun_CohesionFactor*EXP(tun_CapsByProject*SUMPRODUCT((Cap_Point&lt;=I340)*(Cap_Kind="Group")*Cap_Ln))</x:f>
        <x:v>50000.00000000004</x:v>
      </x:c>
      <x:c r="N340" s="32" t="n">
        <x:f>MIN(J340,L340,M340)</x:f>
        <x:v>610.0101168966467</x:v>
      </x:c>
      <x:c r="O340" s="10" t="n">
        <x:f>AE339*N340</x:f>
        <x:v>5490.09105206982</x:v>
      </x:c>
      <x:c r="P340" s="9" t="n">
        <x:f>MIN(1,(AB339/(AE339*IF(tun_GroupInCrowding=1,N340,MIN(J340,L340))))^tun_CrowdingExp)</x:f>
        <x:v>0.09208972765473503</x:v>
      </x:c>
      <x:c r="Q340" s="9" t="n">
        <x:f>IF(D340=1,INDEX(tun_WinterMult,G340),1)</x:f>
        <x:v>1</x:v>
      </x:c>
      <x:c r="R340" s="9" t="n">
        <x:f>H340*Z339*tun_WomenShare*tun_BaseFertility*INDEX(tun_FertMult,G340)*Arch_Fertility*(1-P340)</x:f>
        <x:v>88.87738013032227</x:v>
      </x:c>
      <x:c r="S340" s="9" t="n">
        <x:f>H340*Y339*INDEX(tun_MortChild,G340)/4*Q340</x:f>
        <x:v>12.089651952723724</x:v>
      </x:c>
      <x:c r="T340" s="9" t="n">
        <x:f>H340*Z339*INDEX(tun_MortAdult,G340)*Arch_AdultMort/4*Q340</x:f>
        <x:v>3.251665675109648</x:v>
      </x:c>
      <x:c r="U340" s="9" t="n">
        <x:f>H340*AA339*INDEX(tun_MortElder,G340)/4*Q340</x:f>
        <x:v>4.726885265624702</x:v>
      </x:c>
      <x:c r="V340" s="9" t="n">
        <x:f>H340*MAX(0,AB339-O340)*tun_OvercapLoss</x:f>
        <x:v>0</x:v>
      </x:c>
      <x:c r="W340" s="9" t="n">
        <x:f>H340*Y339/(tun_ChildYears*4)</x:f>
        <x:v>34.54186272206778</x:v>
      </x:c>
      <x:c r="X340" s="9" t="n">
        <x:f>H340*Z339/(tun_AdultYears*4)</x:f>
        <x:v>11.041309592902032</x:v>
      </x:c>
      <x:c r="Y340" s="32" t="n">
        <x:f>Y339+R340-S340-W340-Y339*V340/AB339</x:f>
        <x:v>1976.5901778913264</x:v>
      </x:c>
      <x:c r="Z340" s="32" t="n">
        <x:f>Z339+W340-X340-T340-Z339*V340/AB339</x:f>
        <x:v>1389.371276973908</x:v>
      </x:c>
      <x:c r="AA340" s="32" t="n">
        <x:f>AA339+X340-U340-AA339*V340/AB339</x:f>
        <x:v>392.1826092762326</x:v>
      </x:c>
      <x:c r="AB340" s="10" t="n">
        <x:f>Y340+Z340+AA340</x:f>
        <x:v>3758.144064141467</x:v>
      </x:c>
      <x:c r="AC340" s="8" t="n">
        <x:f>IF(AND(tun_WinterTrigger=1,D340=1,AB339/AE339&gt;=K340),1,0)</x:f>
        <x:v>0</x:v>
      </x:c>
      <x:c r="AD340" s="8" t="n">
        <x:f>H340*IF(AND(OR(AB339/AE339&gt;=tun_FissionTrigger*N340,AC340=1),AB339/AE339*tun_DaughterShare&gt;=tun_MinDaughter),MAX(1,ROUND(AE339*tun_FissionRate,0)),0)</x:f>
        <x:v>0</x:v>
      </x:c>
      <x:c r="AE340" s="8" t="n">
        <x:f>IF(H340=1,MAX(1,MIN(INDEX(tun_Smax,G340),AE339+AD340)),AE339)</x:f>
        <x:v>9</x:v>
      </x:c>
      <x:c r="AF340" s="8" t="n">
        <x:f>MAX(0,AE340-AE339)</x:f>
        <x:v>0</x:v>
      </x:c>
      <x:c r="AG340" s="9" t="str">
        <x:f>IF(AF340&gt;0,B340,"")</x:f>
      </x:c>
      <x:c r="AH340" s="9" t="n">
        <x:f>IF(F340&gt;=1,1,(1+tun_LowTiesShare*(AE340-1))/AE340)</x:f>
        <x:v>1</x:v>
      </x:c>
      <x:c r="AI340" s="32" t="n">
        <x:f>(Z340+tun_ElderCommons*INDEX(LM_Elder,G340)*AA340)*AH340</x:f>
        <x:v>2860.0560617597803</x:v>
      </x:c>
      <x:c r="AJ340" s="32" t="n">
        <x:f>H340*tun_CommonsCoef*AI340^tun_CommonsExp*INDEX(LM_Commons,G340)</x:f>
        <x:v>6053.827601900073</x:v>
      </x:c>
      <x:c r="AK340" s="32" t="n">
        <x:f>H340*tun_RoleScale*Arch_Roles*(AE340*(INDEX(tun_ElderRolePerSett,G340)*tun_OutElder*INDEX(LM_Elder,G340)+INDEX(tun_ShamanPerSett,G340)*tun_OutShaman)+Z340*(INDEX(tun_PriestShare,G340)*tun_OutPriest+INDEX(tun_ScribeShare,G340)*tun_OutScribe*INDEX(LM_Scribe,G340)+INDEX(tun_ScholarShare,G340)*tun_OutScholar*INDEX(LM_Scholar,G340)+INDEX(tun_ResearcherShare,G340)*tun_OutResearcher*INDEX(LM_Researcher,G340)))</x:f>
        <x:v>1644.5977442112783</x:v>
      </x:c>
      <x:c r="AL340" s="32" t="n">
        <x:f>H340*tun_RoleScale*Arch_Roles*AE340*INDEX(tun_MonasteryPerSett,G340)*tun_OutMonastery*INDEX(LM_Monastery,G340)</x:f>
        <x:v>47.519999999999996</x:v>
      </x:c>
      <x:c r="AM340" s="32" t="n">
        <x:f>(AJ340+AK340+AL340)/4*INDEX(LM_All,G340)*INDEX(tun_Boon,G340)*Arch_Insight</x:f>
        <x:v>3539.6550282694525</x:v>
      </x:c>
      <x:c r="AN340" s="32" t="n">
        <x:f>H340*(tun_KHPerAdult*Z340+tun_KHOfCommons*AJ340/4*INDEX(LM_All,G340))*tun_KHUsable*Arch_KH</x:f>
        <x:v>584.4393525057055</x:v>
      </x:c>
      <x:c r="AO340" s="32" t="n">
        <x:f>MIN(AP339+AN340,AM340*tun_KHMaxRatio)</x:f>
        <x:v>584.4393525057055</x:v>
      </x:c>
      <x:c r="AP340" s="32" t="n">
        <x:f>AP339+AN340-AO340</x:f>
        <x:v>0</x:v>
      </x:c>
      <x:c r="AQ340" s="32" t="n">
        <x:f>AM340+AO340</x:f>
        <x:v>4124.094380775158</x:v>
      </x:c>
      <x:c r="AR340" s="10" t="n">
        <x:f>IF(H340=1,INDEX(tun_Req,G340),0)</x:f>
        <x:v>434961.70024459995</x:v>
      </x:c>
      <x:c r="AS340" s="32" t="n">
        <x:f>IF(H340=1,IF(E340=1,AS339-AR339,AS339)+AQ340,0)</x:f>
        <x:v>89384.99660947</x:v>
      </x:c>
      <x:c r="AT340" s="11" t="n">
        <x:f>IF(AR340&gt;0,MIN(1,AS340/AR340),1)</x:f>
        <x:v>0.2055008442334222</x:v>
      </x:c>
      <x:c r="AU340" s="10" t="n">
        <x:f>AB340/INDEX(tun_RepScale,G340)</x:f>
        <x:v>150.3257625656587</x:v>
      </x:c>
      <x:c r="AV340" s="32" t="n">
        <x:f>AM340*60/tun_SeasonSeconds</x:f>
        <x:v>14158.62011307781</x:v>
      </x:c>
    </x:row>
    <x:row r="341">
      <x:c r="A341" s="8" t="n">
        <x:f>A340+1</x:f>
        <x:v>338</x:v>
      </x:c>
      <x:c r="B341" s="9" t="n">
        <x:f>A341*tun_SeasonSeconds/60</x:f>
        <x:v>84.5</x:v>
      </x:c>
      <x:c r="C341" s="9" t="n">
        <x:f>A341/4</x:f>
        <x:v>84.5</x:v>
      </x:c>
      <x:c r="D341" s="8" t="n">
        <x:f>IF(MOD(A341,4)=0,1,0)</x:f>
        <x:v>0</x:v>
      </x:c>
      <x:c r="E341" s="8" t="n">
        <x:f>IF(AND(F340&lt;=9,AS340&gt;=AR340),1,0)</x:f>
        <x:v>0</x:v>
      </x:c>
      <x:c r="F341" s="8" t="n">
        <x:f>MIN(10,F340+E341)</x:f>
        <x:v>6</x:v>
      </x:c>
      <x:c r="G341" s="8" t="n">
        <x:f>MIN(F341,9)+1</x:f>
        <x:v>7</x:v>
      </x:c>
      <x:c r="H341" s="8" t="n">
        <x:f>IF(F341&lt;=9,1,0)</x:f>
        <x:v>1</x:v>
      </x:c>
      <x:c r="I341" s="9" t="n">
        <x:f>MIN(10,F340+IF(AR340&gt;0,MIN(1,AS340/AR340),1))</x:f>
        <x:v>6.2055008442334225</x:v>
      </x:c>
      <x:c r="J341" s="32" t="n">
        <x:f>INDEX(tun_FoodCap,G341)*Arch_FoodCap*EXP(tun_CapsByProject*SUMPRODUCT((Cap_Point&lt;=I341)*(Cap_Kind="Food")*Cap_Ln))</x:f>
        <x:v>610.0101168966467</x:v>
      </x:c>
      <x:c r="K341" s="32" t="n">
        <x:f>J341*MIN(1,tun_LeanBase*EXP(tun_CapsByProject*SUMPRODUCT((Cap_Point&lt;=I341)*(Cap_Kind="Lean")*Cap_Ln)))</x:f>
        <x:v>610.0101168966467</x:v>
      </x:c>
      <x:c r="L341" s="10" t="n">
        <x:f>INDEX(tun_HousingCap,G341)*EXP(tun_CapsByProject*SUMPRODUCT((Cap_Point&lt;=I341)*(Cap_Kind="Housing")*Cap_Ln))</x:f>
        <x:v>2125.258900135082</x:v>
      </x:c>
      <x:c r="M341" s="10" t="n">
        <x:f>INDEX(tun_GroupCap,G341)*tun_CohesionFactor*EXP(tun_CapsByProject*SUMPRODUCT((Cap_Point&lt;=I341)*(Cap_Kind="Group")*Cap_Ln))</x:f>
        <x:v>50000.00000000004</x:v>
      </x:c>
      <x:c r="N341" s="32" t="n">
        <x:f>MIN(J341,L341,M341)</x:f>
        <x:v>610.0101168966467</x:v>
      </x:c>
      <x:c r="O341" s="10" t="n">
        <x:f>AE340*N341</x:f>
        <x:v>5490.09105206982</x:v>
      </x:c>
      <x:c r="P341" s="9" t="n">
        <x:f>MIN(1,(AB340/(AE340*IF(tun_GroupInCrowding=1,N341,MIN(J341,L341))))^tun_CrowdingExp)</x:f>
        <x:v>0.10288765344594436</x:v>
      </x:c>
      <x:c r="Q341" s="9" t="n">
        <x:f>IF(D341=1,INDEX(tun_WinterMult,G341),1)</x:f>
        <x:v>1</x:v>
      </x:c>
      <x:c r="R341" s="9" t="n">
        <x:f>H341*Z340*tun_WomenShare*tun_BaseFertility*INDEX(tun_FertMult,G341)*Arch_Fertility*(1-P341)</x:f>
        <x:v>89.11918204624202</x:v>
      </x:c>
      <x:c r="S341" s="9" t="n">
        <x:f>H341*Y340*INDEX(tun_MortChild,G341)/4*Q341</x:f>
        <x:v>12.353688611820791</x:v>
      </x:c>
      <x:c r="T341" s="9" t="n">
        <x:f>H341*Z340*INDEX(tun_MortAdult,G341)*Arch_AdultMort/4*Q341</x:f>
        <x:v>3.299756782813031</x:v>
      </x:c>
      <x:c r="U341" s="9" t="n">
        <x:f>H341*AA340*INDEX(tun_MortElder,G341)/4*Q341</x:f>
        <x:v>4.8042369636338496</x:v>
      </x:c>
      <x:c r="V341" s="9" t="n">
        <x:f>H341*MAX(0,AB340-O341)*tun_OvercapLoss</x:f>
        <x:v>0</x:v>
      </x:c>
      <x:c r="W341" s="9" t="n">
        <x:f>H341*Y340/(tun_ChildYears*4)</x:f>
        <x:v>35.29625317663083</x:v>
      </x:c>
      <x:c r="X341" s="9" t="n">
        <x:f>H341*Z340/(tun_AdultYears*4)</x:f>
        <x:v>11.204607072370225</x:v>
      </x:c>
      <x:c r="Y341" s="32" t="n">
        <x:f>Y340+R341-S341-W341-Y340*V341/AB340</x:f>
        <x:v>2018.0594181491167</x:v>
      </x:c>
      <x:c r="Z341" s="32" t="n">
        <x:f>Z340+W341-X341-T341-Z340*V341/AB340</x:f>
        <x:v>1410.1631662953555</x:v>
      </x:c>
      <x:c r="AA341" s="32" t="n">
        <x:f>AA340+X341-U341-AA340*V341/AB340</x:f>
        <x:v>398.58297938496895</x:v>
      </x:c>
      <x:c r="AB341" s="10" t="n">
        <x:f>Y341+Z341+AA341</x:f>
        <x:v>3826.805563829441</x:v>
      </x:c>
      <x:c r="AC341" s="8" t="n">
        <x:f>IF(AND(tun_WinterTrigger=1,D341=1,AB340/AE340&gt;=K341),1,0)</x:f>
        <x:v>0</x:v>
      </x:c>
      <x:c r="AD341" s="8" t="n">
        <x:f>H341*IF(AND(OR(AB340/AE340&gt;=tun_FissionTrigger*N341,AC341=1),AB340/AE340*tun_DaughterShare&gt;=tun_MinDaughter),MAX(1,ROUND(AE340*tun_FissionRate,0)),0)</x:f>
        <x:v>0</x:v>
      </x:c>
      <x:c r="AE341" s="8" t="n">
        <x:f>IF(H341=1,MAX(1,MIN(INDEX(tun_Smax,G341),AE340+AD341)),AE340)</x:f>
        <x:v>9</x:v>
      </x:c>
      <x:c r="AF341" s="8" t="n">
        <x:f>MAX(0,AE341-AE340)</x:f>
        <x:v>0</x:v>
      </x:c>
      <x:c r="AG341" s="9" t="str">
        <x:f>IF(AF341&gt;0,B341,"")</x:f>
      </x:c>
      <x:c r="AH341" s="9" t="n">
        <x:f>IF(F341&gt;=1,1,(1+tun_LowTiesShare*(AE341-1))/AE341)</x:f>
        <x:v>1</x:v>
      </x:c>
      <x:c r="AI341" s="32" t="n">
        <x:f>(Z341+tun_ElderCommons*INDEX(LM_Elder,G341)*AA341)*AH341</x:f>
        <x:v>2904.849338988989</x:v>
      </x:c>
      <x:c r="AJ341" s="32" t="n">
        <x:f>H341*tun_CommonsCoef*AI341^tun_CommonsExp*INDEX(LM_Commons,G341)</x:f>
        <x:v>6134.324635077831</x:v>
      </x:c>
      <x:c r="AK341" s="32" t="n">
        <x:f>H341*tun_RoleScale*Arch_Roles*(AE341*(INDEX(tun_ElderRolePerSett,G341)*tun_OutElder*INDEX(LM_Elder,G341)+INDEX(tun_ShamanPerSett,G341)*tun_OutShaman)+Z341*(INDEX(tun_PriestShare,G341)*tun_OutPriest+INDEX(tun_ScribeShare,G341)*tun_OutScribe*INDEX(LM_Scribe,G341)+INDEX(tun_ScholarShare,G341)*tun_OutScholar*INDEX(LM_Scholar,G341)+INDEX(tun_ResearcherShare,G341)*tun_OutResearcher*INDEX(LM_Researcher,G341)))</x:f>
        <x:v>1665.5726021587545</x:v>
      </x:c>
      <x:c r="AL341" s="32" t="n">
        <x:f>H341*tun_RoleScale*Arch_Roles*AE341*INDEX(tun_MonasteryPerSett,G341)*tun_OutMonastery*INDEX(LM_Monastery,G341)</x:f>
        <x:v>47.519999999999996</x:v>
      </x:c>
      <x:c r="AM341" s="32" t="n">
        <x:f>(AJ341+AK341+AL341)/4*INDEX(LM_All,G341)*INDEX(tun_Boon,G341)*Arch_Insight</x:f>
        <x:v>3586.0245123802283</x:v>
      </x:c>
      <x:c r="AN341" s="32" t="n">
        <x:f>H341*(tun_KHPerAdult*Z341+tun_KHOfCommons*AJ341/4*INDEX(LM_All,G341))*tun_KHUsable*Arch_KH</x:f>
        <x:v>592.2105737962282</x:v>
      </x:c>
      <x:c r="AO341" s="32" t="n">
        <x:f>MIN(AP340+AN341,AM341*tun_KHMaxRatio)</x:f>
        <x:v>592.2105737962282</x:v>
      </x:c>
      <x:c r="AP341" s="32" t="n">
        <x:f>AP340+AN341-AO341</x:f>
        <x:v>0</x:v>
      </x:c>
      <x:c r="AQ341" s="32" t="n">
        <x:f>AM341+AO341</x:f>
        <x:v>4178.235086176456</x:v>
      </x:c>
      <x:c r="AR341" s="10" t="n">
        <x:f>IF(H341=1,INDEX(tun_Req,G341),0)</x:f>
        <x:v>434961.70024459995</x:v>
      </x:c>
      <x:c r="AS341" s="32" t="n">
        <x:f>IF(H341=1,IF(E341=1,AS340-AR340,AS340)+AQ341,0)</x:f>
        <x:v>93563.23169564646</x:v>
      </x:c>
      <x:c r="AT341" s="11" t="n">
        <x:f>IF(AR341&gt;0,MIN(1,AS341/AR341),1)</x:f>
        <x:v>0.21510682812539897</x:v>
      </x:c>
      <x:c r="AU341" s="10" t="n">
        <x:f>AB341/INDEX(tun_RepScale,G341)</x:f>
        <x:v>153.07222255317762</x:v>
      </x:c>
      <x:c r="AV341" s="32" t="n">
        <x:f>AM341*60/tun_SeasonSeconds</x:f>
        <x:v>14344.098049520913</x:v>
      </x:c>
    </x:row>
    <x:row r="342">
      <x:c r="A342" s="8" t="n">
        <x:f>A341+1</x:f>
        <x:v>339</x:v>
      </x:c>
      <x:c r="B342" s="9" t="n">
        <x:f>A342*tun_SeasonSeconds/60</x:f>
        <x:v>84.75</x:v>
      </x:c>
      <x:c r="C342" s="9" t="n">
        <x:f>A342/4</x:f>
        <x:v>84.75</x:v>
      </x:c>
      <x:c r="D342" s="8" t="n">
        <x:f>IF(MOD(A342,4)=0,1,0)</x:f>
        <x:v>0</x:v>
      </x:c>
      <x:c r="E342" s="8" t="n">
        <x:f>IF(AND(F341&lt;=9,AS341&gt;=AR341),1,0)</x:f>
        <x:v>0</x:v>
      </x:c>
      <x:c r="F342" s="8" t="n">
        <x:f>MIN(10,F341+E342)</x:f>
        <x:v>6</x:v>
      </x:c>
      <x:c r="G342" s="8" t="n">
        <x:f>MIN(F342,9)+1</x:f>
        <x:v>7</x:v>
      </x:c>
      <x:c r="H342" s="8" t="n">
        <x:f>IF(F342&lt;=9,1,0)</x:f>
        <x:v>1</x:v>
      </x:c>
      <x:c r="I342" s="9" t="n">
        <x:f>MIN(10,F341+IF(AR341&gt;0,MIN(1,AS341/AR341),1))</x:f>
        <x:v>6.215106828125399</x:v>
      </x:c>
      <x:c r="J342" s="32" t="n">
        <x:f>INDEX(tun_FoodCap,G342)*Arch_FoodCap*EXP(tun_CapsByProject*SUMPRODUCT((Cap_Point&lt;=I342)*(Cap_Kind="Food")*Cap_Ln))</x:f>
        <x:v>610.0101168966467</x:v>
      </x:c>
      <x:c r="K342" s="32" t="n">
        <x:f>J342*MIN(1,tun_LeanBase*EXP(tun_CapsByProject*SUMPRODUCT((Cap_Point&lt;=I342)*(Cap_Kind="Lean")*Cap_Ln)))</x:f>
        <x:v>610.0101168966467</x:v>
      </x:c>
      <x:c r="L342" s="10" t="n">
        <x:f>INDEX(tun_HousingCap,G342)*EXP(tun_CapsByProject*SUMPRODUCT((Cap_Point&lt;=I342)*(Cap_Kind="Housing")*Cap_Ln))</x:f>
        <x:v>2125.258900135082</x:v>
      </x:c>
      <x:c r="M342" s="10" t="n">
        <x:f>INDEX(tun_GroupCap,G342)*tun_CohesionFactor*EXP(tun_CapsByProject*SUMPRODUCT((Cap_Point&lt;=I342)*(Cap_Kind="Group")*Cap_Ln))</x:f>
        <x:v>50000.00000000004</x:v>
      </x:c>
      <x:c r="N342" s="32" t="n">
        <x:f>MIN(J342,L342,M342)</x:f>
        <x:v>610.0101168966467</x:v>
      </x:c>
      <x:c r="O342" s="10" t="n">
        <x:f>AE341*N342</x:f>
        <x:v>5490.09105206982</x:v>
      </x:c>
      <x:c r="P342" s="9" t="n">
        <x:f>MIN(1,(AB341/(AE341*IF(tun_GroupInCrowding=1,N342,MIN(J342,L342))))^tun_CrowdingExp)</x:f>
        <x:v>0.11469410508532991</x:v>
      </x:c>
      <x:c r="Q342" s="9" t="n">
        <x:f>IF(D342=1,INDEX(tun_WinterMult,G342),1)</x:f>
        <x:v>1</x:v>
      </x:c>
      <x:c r="R342" s="9" t="n">
        <x:f>H342*Z341*tun_WomenShare*tun_BaseFertility*INDEX(tun_FertMult,G342)*Arch_Fertility*(1-P342)</x:f>
        <x:v>89.26244211976625</x:v>
      </x:c>
      <x:c r="S342" s="9" t="n">
        <x:f>H342*Y341*INDEX(tun_MortChild,G342)/4*Q342</x:f>
        <x:v>12.61287136343198</x:v>
      </x:c>
      <x:c r="T342" s="9" t="n">
        <x:f>H342*Z341*INDEX(tun_MortAdult,G342)*Arch_AdultMort/4*Q342</x:f>
        <x:v>3.3491375199514692</x:v>
      </x:c>
      <x:c r="U342" s="9" t="n">
        <x:f>H342*AA341*INDEX(tun_MortElder,G342)/4*Q342</x:f>
        <x:v>4.88264149746587</x:v>
      </x:c>
      <x:c r="V342" s="9" t="n">
        <x:f>H342*MAX(0,AB341-O342)*tun_OvercapLoss</x:f>
        <x:v>0</x:v>
      </x:c>
      <x:c r="W342" s="9" t="n">
        <x:f>H342*Y341/(tun_ChildYears*4)</x:f>
        <x:v>36.03677532409137</x:v>
      </x:c>
      <x:c r="X342" s="9" t="n">
        <x:f>H342*Z341/(tun_AdultYears*4)</x:f>
        <x:v>11.372283599156093</x:v>
      </x:c>
      <x:c r="Y342" s="32" t="n">
        <x:f>Y341+R342-S342-W342-Y341*V342/AB341</x:f>
        <x:v>2058.6722135813598</x:v>
      </x:c>
      <x:c r="Z342" s="32" t="n">
        <x:f>Z341+W342-X342-T342-Z341*V342/AB341</x:f>
        <x:v>1431.4785205003393</x:v>
      </x:c>
      <x:c r="AA342" s="32" t="n">
        <x:f>AA341+X342-U342-AA341*V342/AB341</x:f>
        <x:v>405.07262148665916</x:v>
      </x:c>
      <x:c r="AB342" s="10" t="n">
        <x:f>Y342+Z342+AA342</x:f>
        <x:v>3895.223355568358</x:v>
      </x:c>
      <x:c r="AC342" s="8" t="n">
        <x:f>IF(AND(tun_WinterTrigger=1,D342=1,AB341/AE341&gt;=K342),1,0)</x:f>
        <x:v>0</x:v>
      </x:c>
      <x:c r="AD342" s="8" t="n">
        <x:f>H342*IF(AND(OR(AB341/AE341&gt;=tun_FissionTrigger*N342,AC342=1),AB341/AE341*tun_DaughterShare&gt;=tun_MinDaughter),MAX(1,ROUND(AE341*tun_FissionRate,0)),0)</x:f>
        <x:v>0</x:v>
      </x:c>
      <x:c r="AE342" s="8" t="n">
        <x:f>IF(H342=1,MAX(1,MIN(INDEX(tun_Smax,G342),AE341+AD342)),AE341)</x:f>
        <x:v>9</x:v>
      </x:c>
      <x:c r="AF342" s="8" t="n">
        <x:f>MAX(0,AE342-AE341)</x:f>
        <x:v>0</x:v>
      </x:c>
      <x:c r="AG342" s="9" t="str">
        <x:f>IF(AF342&gt;0,B342,"")</x:f>
      </x:c>
      <x:c r="AH342" s="9" t="n">
        <x:f>IF(F342&gt;=1,1,(1+tun_LowTiesShare*(AE342-1))/AE342)</x:f>
        <x:v>1</x:v>
      </x:c>
      <x:c r="AI342" s="32" t="n">
        <x:f>(Z342+tun_ElderCommons*INDEX(LM_Elder,G342)*AA342)*AH342</x:f>
        <x:v>2950.5008510753114</x:v>
      </x:c>
      <x:c r="AJ342" s="32" t="n">
        <x:f>H342*tun_CommonsCoef*AI342^tun_CommonsExp*INDEX(LM_Commons,G342)</x:f>
        <x:v>6216.172641344528</x:v>
      </x:c>
      <x:c r="AK342" s="32" t="n">
        <x:f>H342*tun_RoleScale*Arch_Roles*(AE342*(INDEX(tun_ElderRolePerSett,G342)*tun_OutElder*INDEX(LM_Elder,G342)+INDEX(tun_ShamanPerSett,G342)*tun_OutShaman)+Z342*(INDEX(tun_PriestShare,G342)*tun_OutPriest+INDEX(tun_ScribeShare,G342)*tun_OutScribe*INDEX(LM_Scribe,G342)+INDEX(tun_ScholarShare,G342)*tun_OutScholar*INDEX(LM_Scholar,G342)+INDEX(tun_ResearcherShare,G342)*tun_OutResearcher*INDEX(LM_Researcher,G342)))</x:f>
        <x:v>1687.0755314807423</x:v>
      </x:c>
      <x:c r="AL342" s="32" t="n">
        <x:f>H342*tun_RoleScale*Arch_Roles*AE342*INDEX(tun_MonasteryPerSett,G342)*tun_OutMonastery*INDEX(LM_Monastery,G342)</x:f>
        <x:v>47.519999999999996</x:v>
      </x:c>
      <x:c r="AM342" s="32" t="n">
        <x:f>(AJ342+AK342+AL342)/4*INDEX(LM_All,G342)*INDEX(tun_Boon,G342)*Arch_Insight</x:f>
        <x:v>3633.2526611066446</x:v>
      </x:c>
      <x:c r="AN342" s="32" t="n">
        <x:f>H342*(tun_KHPerAdult*Z342+tun_KHOfCommons*AJ342/4*INDEX(LM_All,G342))*tun_KHUsable*Arch_KH</x:f>
        <x:v>600.1122186615985</x:v>
      </x:c>
      <x:c r="AO342" s="32" t="n">
        <x:f>MIN(AP341+AN342,AM342*tun_KHMaxRatio)</x:f>
        <x:v>600.1122186615985</x:v>
      </x:c>
      <x:c r="AP342" s="32" t="n">
        <x:f>AP341+AN342-AO342</x:f>
        <x:v>0</x:v>
      </x:c>
      <x:c r="AQ342" s="32" t="n">
        <x:f>AM342+AO342</x:f>
        <x:v>4233.364879768244</x:v>
      </x:c>
      <x:c r="AR342" s="10" t="n">
        <x:f>IF(H342=1,INDEX(tun_Req,G342),0)</x:f>
        <x:v>434961.70024459995</x:v>
      </x:c>
      <x:c r="AS342" s="32" t="n">
        <x:f>IF(H342=1,IF(E342=1,AS341-AR341,AS341)+AQ342,0)</x:f>
        <x:v>97796.5965754147</x:v>
      </x:c>
      <x:c r="AT342" s="11" t="n">
        <x:f>IF(AR342&gt;0,MIN(1,AS342/AR342),1)</x:f>
        <x:v>0.22483955833449004</x:v>
      </x:c>
      <x:c r="AU342" s="10" t="n">
        <x:f>AB342/INDEX(tun_RepScale,G342)</x:f>
        <x:v>155.8089342227343</x:v>
      </x:c>
      <x:c r="AV342" s="32" t="n">
        <x:f>AM342*60/tun_SeasonSeconds</x:f>
        <x:v>14533.010644426578</x:v>
      </x:c>
    </x:row>
    <x:row r="343">
      <x:c r="A343" s="8" t="n">
        <x:f>A342+1</x:f>
        <x:v>340</x:v>
      </x:c>
      <x:c r="B343" s="9" t="n">
        <x:f>A343*tun_SeasonSeconds/60</x:f>
        <x:v>85</x:v>
      </x:c>
      <x:c r="C343" s="9" t="n">
        <x:f>A343/4</x:f>
        <x:v>85</x:v>
      </x:c>
      <x:c r="D343" s="8" t="n">
        <x:f>IF(MOD(A343,4)=0,1,0)</x:f>
        <x:v>1</x:v>
      </x:c>
      <x:c r="E343" s="8" t="n">
        <x:f>IF(AND(F342&lt;=9,AS342&gt;=AR342),1,0)</x:f>
        <x:v>0</x:v>
      </x:c>
      <x:c r="F343" s="8" t="n">
        <x:f>MIN(10,F342+E343)</x:f>
        <x:v>6</x:v>
      </x:c>
      <x:c r="G343" s="8" t="n">
        <x:f>MIN(F343,9)+1</x:f>
        <x:v>7</x:v>
      </x:c>
      <x:c r="H343" s="8" t="n">
        <x:f>IF(F343&lt;=9,1,0)</x:f>
        <x:v>1</x:v>
      </x:c>
      <x:c r="I343" s="9" t="n">
        <x:f>MIN(10,F342+IF(AR342&gt;0,MIN(1,AS342/AR342),1))</x:f>
        <x:v>6.22483955833449</x:v>
      </x:c>
      <x:c r="J343" s="32" t="n">
        <x:f>INDEX(tun_FoodCap,G343)*Arch_FoodCap*EXP(tun_CapsByProject*SUMPRODUCT((Cap_Point&lt;=I343)*(Cap_Kind="Food")*Cap_Ln))</x:f>
        <x:v>610.0101168966467</x:v>
      </x:c>
      <x:c r="K343" s="32" t="n">
        <x:f>J343*MIN(1,tun_LeanBase*EXP(tun_CapsByProject*SUMPRODUCT((Cap_Point&lt;=I343)*(Cap_Kind="Lean")*Cap_Ln)))</x:f>
        <x:v>610.0101168966467</x:v>
      </x:c>
      <x:c r="L343" s="10" t="n">
        <x:f>INDEX(tun_HousingCap,G343)*EXP(tun_CapsByProject*SUMPRODUCT((Cap_Point&lt;=I343)*(Cap_Kind="Housing")*Cap_Ln))</x:f>
        <x:v>2125.258900135082</x:v>
      </x:c>
      <x:c r="M343" s="10" t="n">
        <x:f>INDEX(tun_GroupCap,G343)*tun_CohesionFactor*EXP(tun_CapsByProject*SUMPRODUCT((Cap_Point&lt;=I343)*(Cap_Kind="Group")*Cap_Ln))</x:f>
        <x:v>50000.00000000004</x:v>
      </x:c>
      <x:c r="N343" s="32" t="n">
        <x:f>MIN(J343,L343,M343)</x:f>
        <x:v>610.0101168966467</x:v>
      </x:c>
      <x:c r="O343" s="10" t="n">
        <x:f>AE342*N343</x:f>
        <x:v>5490.09105206982</x:v>
      </x:c>
      <x:c r="P343" s="9" t="n">
        <x:f>MIN(1,(AB342/(AE342*IF(tun_GroupInCrowding=1,N343,MIN(J343,L343))))^tun_CrowdingExp)</x:f>
        <x:v>0.12756070479773018</x:v>
      </x:c>
      <x:c r="Q343" s="9" t="n">
        <x:f>IF(D343=1,INDEX(tun_WinterMult,G343),1)</x:f>
        <x:v>1.1</x:v>
      </x:c>
      <x:c r="R343" s="9" t="n">
        <x:f>H343*Z342*tun_WomenShare*tun_BaseFertility*INDEX(tun_FertMult,G343)*Arch_Fertility*(1-P343)</x:f>
        <x:v>89.29478497385905</x:v>
      </x:c>
      <x:c r="S343" s="9" t="n">
        <x:f>H343*Y342*INDEX(tun_MortChild,G343)/4*Q343</x:f>
        <x:v>14.153371468371851</x:v>
      </x:c>
      <x:c r="T343" s="9" t="n">
        <x:f>H343*Z342*INDEX(tun_MortAdult,G343)*Arch_AdultMort/4*Q343</x:f>
        <x:v>3.739737634807137</x:v>
      </x:c>
      <x:c r="U343" s="9" t="n">
        <x:f>H343*AA342*INDEX(tun_MortElder,G343)/4*Q343</x:f>
        <x:v>5.458353574532732</x:v>
      </x:c>
      <x:c r="V343" s="9" t="n">
        <x:f>H343*MAX(0,AB342-O343)*tun_OvercapLoss</x:f>
        <x:v>0</x:v>
      </x:c>
      <x:c r="W343" s="9" t="n">
        <x:f>H343*Y342/(tun_ChildYears*4)</x:f>
        <x:v>36.76200381395285</x:v>
      </x:c>
      <x:c r="X343" s="9" t="n">
        <x:f>H343*Z342/(tun_AdultYears*4)</x:f>
        <x:v>11.54418161693822</x:v>
      </x:c>
      <x:c r="Y343" s="32" t="n">
        <x:f>Y342+R343-S343-W343-Y342*V343/AB342</x:f>
        <x:v>2097.0516232728937</x:v>
      </x:c>
      <x:c r="Z343" s="32" t="n">
        <x:f>Z342+W343-X343-T343-Z342*V343/AB342</x:f>
        <x:v>1452.9566050625467</x:v>
      </x:c>
      <x:c r="AA343" s="32" t="n">
        <x:f>AA342+X343-U343-AA342*V343/AB342</x:f>
        <x:v>411.1584495290646</x:v>
      </x:c>
      <x:c r="AB343" s="10" t="n">
        <x:f>Y343+Z343+AA343</x:f>
        <x:v>3961.166677864505</x:v>
      </x:c>
      <x:c r="AC343" s="8" t="n">
        <x:f>IF(AND(tun_WinterTrigger=1,D343=1,AB342/AE342&gt;=K343),1,0)</x:f>
        <x:v>0</x:v>
      </x:c>
      <x:c r="AD343" s="8" t="n">
        <x:f>H343*IF(AND(OR(AB342/AE342&gt;=tun_FissionTrigger*N343,AC343=1),AB342/AE342*tun_DaughterShare&gt;=tun_MinDaughter),MAX(1,ROUND(AE342*tun_FissionRate,0)),0)</x:f>
        <x:v>0</x:v>
      </x:c>
      <x:c r="AE343" s="8" t="n">
        <x:f>IF(H343=1,MAX(1,MIN(INDEX(tun_Smax,G343),AE342+AD343)),AE342)</x:f>
        <x:v>9</x:v>
      </x:c>
      <x:c r="AF343" s="8" t="n">
        <x:f>MAX(0,AE343-AE342)</x:f>
        <x:v>0</x:v>
      </x:c>
      <x:c r="AG343" s="9" t="str">
        <x:f>IF(AF343&gt;0,B343,"")</x:f>
      </x:c>
      <x:c r="AH343" s="9" t="n">
        <x:f>IF(F343&gt;=1,1,(1+tun_LowTiesShare*(AE343-1))/AE343)</x:f>
        <x:v>1</x:v>
      </x:c>
      <x:c r="AI343" s="32" t="n">
        <x:f>(Z343+tun_ElderCommons*INDEX(LM_Elder,G343)*AA343)*AH343</x:f>
        <x:v>2994.8007907965393</x:v>
      </x:c>
      <x:c r="AJ343" s="32" t="n">
        <x:f>H343*tun_CommonsCoef*AI343^tun_CommonsExp*INDEX(LM_Commons,G343)</x:f>
        <x:v>6295.415996361462</x:v>
      </x:c>
      <x:c r="AK343" s="32" t="n">
        <x:f>H343*tun_RoleScale*Arch_Roles*(AE343*(INDEX(tun_ElderRolePerSett,G343)*tun_OutElder*INDEX(LM_Elder,G343)+INDEX(tun_ShamanPerSett,G343)*tun_OutShaman)+Z343*(INDEX(tun_PriestShare,G343)*tun_OutPriest+INDEX(tun_ScribeShare,G343)*tun_OutScribe*INDEX(LM_Scribe,G343)+INDEX(tun_ScholarShare,G343)*tun_OutScholar*INDEX(LM_Scholar,G343)+INDEX(tun_ResearcherShare,G343)*tun_OutResearcher*INDEX(LM_Researcher,G343)))</x:f>
        <x:v>1708.742623187097</x:v>
      </x:c>
      <x:c r="AL343" s="32" t="n">
        <x:f>H343*tun_RoleScale*Arch_Roles*AE343*INDEX(tun_MonasteryPerSett,G343)*tun_OutMonastery*INDEX(LM_Monastery,G343)</x:f>
        <x:v>47.519999999999996</x:v>
      </x:c>
      <x:c r="AM343" s="32" t="n">
        <x:f>(AJ343+AK343+AL343)/4*INDEX(LM_All,G343)*INDEX(tun_Boon,G343)*Arch_Insight</x:f>
        <x:v>3679.365582666093</x:v>
      </x:c>
      <x:c r="AN343" s="32" t="n">
        <x:f>H343*(tun_KHPerAdult*Z343+tun_KHOfCommons*AJ343/4*INDEX(LM_All,G343))*tun_KHUsable*Arch_KH</x:f>
        <x:v>607.7624092752098</x:v>
      </x:c>
      <x:c r="AO343" s="32" t="n">
        <x:f>MIN(AP342+AN343,AM343*tun_KHMaxRatio)</x:f>
        <x:v>607.7624092752098</x:v>
      </x:c>
      <x:c r="AP343" s="32" t="n">
        <x:f>AP342+AN343-AO343</x:f>
        <x:v>0</x:v>
      </x:c>
      <x:c r="AQ343" s="32" t="n">
        <x:f>AM343+AO343</x:f>
        <x:v>4287.127991941303</x:v>
      </x:c>
      <x:c r="AR343" s="10" t="n">
        <x:f>IF(H343=1,INDEX(tun_Req,G343),0)</x:f>
        <x:v>434961.70024459995</x:v>
      </x:c>
      <x:c r="AS343" s="32" t="n">
        <x:f>IF(H343=1,IF(E343=1,AS342-AR342,AS342)+AQ343,0)</x:f>
        <x:v>102083.72456735601</x:v>
      </x:c>
      <x:c r="AT343" s="11" t="n">
        <x:f>IF(AR343&gt;0,MIN(1,AS343/AR343),1)</x:f>
        <x:v>0.23469589278768546</x:v>
      </x:c>
      <x:c r="AU343" s="10" t="n">
        <x:f>AB343/INDEX(tun_RepScale,G343)</x:f>
        <x:v>158.4466671145802</x:v>
      </x:c>
      <x:c r="AV343" s="32" t="n">
        <x:f>AM343*60/tun_SeasonSeconds</x:f>
        <x:v>14717.462330664372</x:v>
      </x:c>
    </x:row>
    <x:row r="344">
      <x:c r="A344" s="8" t="n">
        <x:f>A343+1</x:f>
        <x:v>341</x:v>
      </x:c>
      <x:c r="B344" s="9" t="n">
        <x:f>A344*tun_SeasonSeconds/60</x:f>
        <x:v>85.25</x:v>
      </x:c>
      <x:c r="C344" s="9" t="n">
        <x:f>A344/4</x:f>
        <x:v>85.25</x:v>
      </x:c>
      <x:c r="D344" s="8" t="n">
        <x:f>IF(MOD(A344,4)=0,1,0)</x:f>
        <x:v>0</x:v>
      </x:c>
      <x:c r="E344" s="8" t="n">
        <x:f>IF(AND(F343&lt;=9,AS343&gt;=AR343),1,0)</x:f>
        <x:v>0</x:v>
      </x:c>
      <x:c r="F344" s="8" t="n">
        <x:f>MIN(10,F343+E344)</x:f>
        <x:v>6</x:v>
      </x:c>
      <x:c r="G344" s="8" t="n">
        <x:f>MIN(F344,9)+1</x:f>
        <x:v>7</x:v>
      </x:c>
      <x:c r="H344" s="8" t="n">
        <x:f>IF(F344&lt;=9,1,0)</x:f>
        <x:v>1</x:v>
      </x:c>
      <x:c r="I344" s="9" t="n">
        <x:f>MIN(10,F343+IF(AR343&gt;0,MIN(1,AS343/AR343),1))</x:f>
        <x:v>6.234695892787686</x:v>
      </x:c>
      <x:c r="J344" s="32" t="n">
        <x:f>INDEX(tun_FoodCap,G344)*Arch_FoodCap*EXP(tun_CapsByProject*SUMPRODUCT((Cap_Point&lt;=I344)*(Cap_Kind="Food")*Cap_Ln))</x:f>
        <x:v>610.0101168966467</x:v>
      </x:c>
      <x:c r="K344" s="32" t="n">
        <x:f>J344*MIN(1,tun_LeanBase*EXP(tun_CapsByProject*SUMPRODUCT((Cap_Point&lt;=I344)*(Cap_Kind="Lean")*Cap_Ln)))</x:f>
        <x:v>610.0101168966467</x:v>
      </x:c>
      <x:c r="L344" s="10" t="n">
        <x:f>INDEX(tun_HousingCap,G344)*EXP(tun_CapsByProject*SUMPRODUCT((Cap_Point&lt;=I344)*(Cap_Kind="Housing")*Cap_Ln))</x:f>
        <x:v>2125.258900135082</x:v>
      </x:c>
      <x:c r="M344" s="10" t="n">
        <x:f>INDEX(tun_GroupCap,G344)*tun_CohesionFactor*EXP(tun_CapsByProject*SUMPRODUCT((Cap_Point&lt;=I344)*(Cap_Kind="Group")*Cap_Ln))</x:f>
        <x:v>50000.00000000004</x:v>
      </x:c>
      <x:c r="N344" s="32" t="n">
        <x:f>MIN(J344,L344,M344)</x:f>
        <x:v>610.0101168966467</x:v>
      </x:c>
      <x:c r="O344" s="10" t="n">
        <x:f>AE343*N344</x:f>
        <x:v>5490.09105206982</x:v>
      </x:c>
      <x:c r="P344" s="9" t="n">
        <x:f>MIN(1,(AB343/(AE343*IF(tun_GroupInCrowding=1,N344,MIN(J344,L344))))^tun_CrowdingExp)</x:f>
        <x:v>0.1410786901968562</x:v>
      </x:c>
      <x:c r="Q344" s="9" t="n">
        <x:f>IF(D344=1,INDEX(tun_WinterMult,G344),1)</x:f>
        <x:v>1</x:v>
      </x:c>
      <x:c r="R344" s="9" t="n">
        <x:f>H344*Z343*tun_WomenShare*tun_BaseFertility*INDEX(tun_FertMult,G344)*Arch_Fertility*(1-P344)</x:f>
        <x:v>89.23024040698282</x:v>
      </x:c>
      <x:c r="S344" s="9" t="n">
        <x:f>H344*Y343*INDEX(tun_MortChild,G344)/4*Q344</x:f>
        <x:v>13.106572645455586</x:v>
      </x:c>
      <x:c r="T344" s="9" t="n">
        <x:f>H344*Z343*INDEX(tun_MortAdult,G344)*Arch_AdultMort/4*Q344</x:f>
        <x:v>3.4507719370235486</x:v>
      </x:c>
      <x:c r="U344" s="9" t="n">
        <x:f>H344*AA343*INDEX(tun_MortElder,G344)/4*Q344</x:f>
        <x:v>5.036691006731042</x:v>
      </x:c>
      <x:c r="V344" s="9" t="n">
        <x:f>H344*MAX(0,AB343-O344)*tun_OvercapLoss</x:f>
        <x:v>0</x:v>
      </x:c>
      <x:c r="W344" s="9" t="n">
        <x:f>H344*Y343/(tun_ChildYears*4)</x:f>
        <x:v>37.44735041558739</x:v>
      </x:c>
      <x:c r="X344" s="9" t="n">
        <x:f>H344*Z343/(tun_AdultYears*4)</x:f>
        <x:v>11.71739197631086</x:v>
      </x:c>
      <x:c r="Y344" s="32" t="n">
        <x:f>Y343+R344-S344-W344-Y343*V344/AB343</x:f>
        <x:v>2135.727940618833</x:v>
      </x:c>
      <x:c r="Z344" s="32" t="n">
        <x:f>Z343+W344-X344-T344-Z343*V344/AB343</x:f>
        <x:v>1475.2357915647997</x:v>
      </x:c>
      <x:c r="AA344" s="32" t="n">
        <x:f>AA343+X344-U344-AA343*V344/AB343</x:f>
        <x:v>417.83915049864447</x:v>
      </x:c>
      <x:c r="AB344" s="10" t="n">
        <x:f>Y344+Z344+AA344</x:f>
        <x:v>4028.802882682277</x:v>
      </x:c>
      <x:c r="AC344" s="8" t="n">
        <x:f>IF(AND(tun_WinterTrigger=1,D344=1,AB343/AE343&gt;=K344),1,0)</x:f>
        <x:v>0</x:v>
      </x:c>
      <x:c r="AD344" s="8" t="n">
        <x:f>H344*IF(AND(OR(AB343/AE343&gt;=tun_FissionTrigger*N344,AC344=1),AB343/AE343*tun_DaughterShare&gt;=tun_MinDaughter),MAX(1,ROUND(AE343*tun_FissionRate,0)),0)</x:f>
        <x:v>0</x:v>
      </x:c>
      <x:c r="AE344" s="8" t="n">
        <x:f>IF(H344=1,MAX(1,MIN(INDEX(tun_Smax,G344),AE343+AD344)),AE343)</x:f>
        <x:v>9</x:v>
      </x:c>
      <x:c r="AF344" s="8" t="n">
        <x:f>MAX(0,AE344-AE343)</x:f>
        <x:v>0</x:v>
      </x:c>
      <x:c r="AG344" s="9" t="str">
        <x:f>IF(AF344&gt;0,B344,"")</x:f>
      </x:c>
      <x:c r="AH344" s="9" t="n">
        <x:f>IF(F344&gt;=1,1,(1+tun_LowTiesShare*(AE344-1))/AE344)</x:f>
        <x:v>1</x:v>
      </x:c>
      <x:c r="AI344" s="32" t="n">
        <x:f>(Z344+tun_ElderCommons*INDEX(LM_Elder,G344)*AA344)*AH344</x:f>
        <x:v>3042.1326059347166</x:v>
      </x:c>
      <x:c r="AJ344" s="32" t="n">
        <x:f>H344*tun_CommonsCoef*AI344^tun_CommonsExp*INDEX(LM_Commons,G344)</x:f>
        <x:v>6379.88873600331</x:v>
      </x:c>
      <x:c r="AK344" s="32" t="n">
        <x:f>H344*tun_RoleScale*Arch_Roles*(AE344*(INDEX(tun_ElderRolePerSett,G344)*tun_OutElder*INDEX(LM_Elder,G344)+INDEX(tun_ShamanPerSett,G344)*tun_OutShaman)+Z344*(INDEX(tun_PriestShare,G344)*tun_OutPriest+INDEX(tun_ScribeShare,G344)*tun_OutScribe*INDEX(LM_Scribe,G344)+INDEX(tun_ScholarShare,G344)*tun_OutScholar*INDEX(LM_Scholar,G344)+INDEX(tun_ResearcherShare,G344)*tun_OutResearcher*INDEX(LM_Researcher,G344)))</x:f>
        <x:v>1731.2178665305698</x:v>
      </x:c>
      <x:c r="AL344" s="32" t="n">
        <x:f>H344*tun_RoleScale*Arch_Roles*AE344*INDEX(tun_MonasteryPerSett,G344)*tun_OutMonastery*INDEX(LM_Monastery,G344)</x:f>
        <x:v>47.519999999999996</x:v>
      </x:c>
      <x:c r="AM344" s="32" t="n">
        <x:f>(AJ344+AK344+AL344)/4*INDEX(LM_All,G344)*INDEX(tun_Boon,G344)*Arch_Insight</x:f>
        <x:v>3728.2374696756383</x:v>
      </x:c>
      <x:c r="AN344" s="32" t="n">
        <x:f>H344*(tun_KHPerAdult*Z344+tun_KHOfCommons*AJ344/4*INDEX(LM_All,G344))*tun_KHUsable*Arch_KH</x:f>
        <x:v>615.9174471301316</x:v>
      </x:c>
      <x:c r="AO344" s="32" t="n">
        <x:f>MIN(AP343+AN344,AM344*tun_KHMaxRatio)</x:f>
        <x:v>615.9174471301316</x:v>
      </x:c>
      <x:c r="AP344" s="32" t="n">
        <x:f>AP343+AN344-AO344</x:f>
        <x:v>0</x:v>
      </x:c>
      <x:c r="AQ344" s="32" t="n">
        <x:f>AM344+AO344</x:f>
        <x:v>4344.15491680577</x:v>
      </x:c>
      <x:c r="AR344" s="10" t="n">
        <x:f>IF(H344=1,INDEX(tun_Req,G344),0)</x:f>
        <x:v>434961.70024459995</x:v>
      </x:c>
      <x:c r="AS344" s="32" t="n">
        <x:f>IF(H344=1,IF(E344=1,AS343-AR343,AS343)+AQ344,0)</x:f>
        <x:v>106427.87948416178</x:v>
      </x:c>
      <x:c r="AT344" s="11" t="n">
        <x:f>IF(AR344&gt;0,MIN(1,AS344/AR344),1)</x:f>
        <x:v>0.24468333516333104</x:v>
      </x:c>
      <x:c r="AU344" s="10" t="n">
        <x:f>AB344/INDEX(tun_RepScale,G344)</x:f>
        <x:v>161.15211530729107</x:v>
      </x:c>
      <x:c r="AV344" s="32" t="n">
        <x:f>AM344*60/tun_SeasonSeconds</x:f>
        <x:v>14912.949878702553</x:v>
      </x:c>
    </x:row>
    <x:row r="345">
      <x:c r="A345" s="8" t="n">
        <x:f>A344+1</x:f>
        <x:v>342</x:v>
      </x:c>
      <x:c r="B345" s="9" t="n">
        <x:f>A345*tun_SeasonSeconds/60</x:f>
        <x:v>85.5</x:v>
      </x:c>
      <x:c r="C345" s="9" t="n">
        <x:f>A345/4</x:f>
        <x:v>85.5</x:v>
      </x:c>
      <x:c r="D345" s="8" t="n">
        <x:f>IF(MOD(A345,4)=0,1,0)</x:f>
        <x:v>0</x:v>
      </x:c>
      <x:c r="E345" s="8" t="n">
        <x:f>IF(AND(F344&lt;=9,AS344&gt;=AR344),1,0)</x:f>
        <x:v>0</x:v>
      </x:c>
      <x:c r="F345" s="8" t="n">
        <x:f>MIN(10,F344+E345)</x:f>
        <x:v>6</x:v>
      </x:c>
      <x:c r="G345" s="8" t="n">
        <x:f>MIN(F345,9)+1</x:f>
        <x:v>7</x:v>
      </x:c>
      <x:c r="H345" s="8" t="n">
        <x:f>IF(F345&lt;=9,1,0)</x:f>
        <x:v>1</x:v>
      </x:c>
      <x:c r="I345" s="9" t="n">
        <x:f>MIN(10,F344+IF(AR344&gt;0,MIN(1,AS344/AR344),1))</x:f>
        <x:v>6.244683335163331</x:v>
      </x:c>
      <x:c r="J345" s="32" t="n">
        <x:f>INDEX(tun_FoodCap,G345)*Arch_FoodCap*EXP(tun_CapsByProject*SUMPRODUCT((Cap_Point&lt;=I345)*(Cap_Kind="Food")*Cap_Ln))</x:f>
        <x:v>610.0101168966467</x:v>
      </x:c>
      <x:c r="K345" s="32" t="n">
        <x:f>J345*MIN(1,tun_LeanBase*EXP(tun_CapsByProject*SUMPRODUCT((Cap_Point&lt;=I345)*(Cap_Kind="Lean")*Cap_Ln)))</x:f>
        <x:v>610.0101168966467</x:v>
      </x:c>
      <x:c r="L345" s="10" t="n">
        <x:f>INDEX(tun_HousingCap,G345)*EXP(tun_CapsByProject*SUMPRODUCT((Cap_Point&lt;=I345)*(Cap_Kind="Housing")*Cap_Ln))</x:f>
        <x:v>2125.258900135082</x:v>
      </x:c>
      <x:c r="M345" s="10" t="n">
        <x:f>INDEX(tun_GroupCap,G345)*tun_CohesionFactor*EXP(tun_CapsByProject*SUMPRODUCT((Cap_Point&lt;=I345)*(Cap_Kind="Group")*Cap_Ln))</x:f>
        <x:v>50000.00000000004</x:v>
      </x:c>
      <x:c r="N345" s="32" t="n">
        <x:f>MIN(J345,L345,M345)</x:f>
        <x:v>610.0101168966467</x:v>
      </x:c>
      <x:c r="O345" s="10" t="n">
        <x:f>AE344*N345</x:f>
        <x:v>5490.09105206982</x:v>
      </x:c>
      <x:c r="P345" s="9" t="n">
        <x:f>MIN(1,(AB344/(AE344*IF(tun_GroupInCrowding=1,N345,MIN(J345,L345))))^tun_CrowdingExp)</x:f>
        <x:v>0.15616324751743504</x:v>
      </x:c>
      <x:c r="Q345" s="9" t="n">
        <x:f>IF(D345=1,INDEX(tun_WinterMult,G345),1)</x:f>
        <x:v>1</x:v>
      </x:c>
      <x:c r="R345" s="9" t="n">
        <x:f>H345*Z344*tun_WomenShare*tun_BaseFertility*INDEX(tun_FertMult,G345)*Arch_Fertility*(1-P345)</x:f>
        <x:v>89.0073598342562</x:v>
      </x:c>
      <x:c r="S345" s="9" t="n">
        <x:f>H345*Y344*INDEX(tun_MortChild,G345)/4*Q345</x:f>
        <x:v>13.348299628867707</x:v>
      </x:c>
      <x:c r="T345" s="9" t="n">
        <x:f>H345*Z344*INDEX(tun_MortAdult,G345)*Arch_AdultMort/4*Q345</x:f>
        <x:v>3.5036850049663992</x:v>
      </x:c>
      <x:c r="U345" s="9" t="n">
        <x:f>H345*AA344*INDEX(tun_MortElder,G345)/4*Q345</x:f>
        <x:v>5.118529593608395</x:v>
      </x:c>
      <x:c r="V345" s="9" t="n">
        <x:f>H345*MAX(0,AB344-O345)*tun_OvercapLoss</x:f>
        <x:v>0</x:v>
      </x:c>
      <x:c r="W345" s="9" t="n">
        <x:f>H345*Y344/(tun_ChildYears*4)</x:f>
        <x:v>38.13799893962202</x:v>
      </x:c>
      <x:c r="X345" s="9" t="n">
        <x:f>H345*Z344/(tun_AdultYears*4)</x:f>
        <x:v>11.897062835199998</x:v>
      </x:c>
      <x:c r="Y345" s="32" t="n">
        <x:f>Y344+R345-S345-W345-Y344*V345/AB344</x:f>
        <x:v>2173.2490018845997</x:v>
      </x:c>
      <x:c r="Z345" s="32" t="n">
        <x:f>Z344+W345-X345-T345-Z344*V345/AB344</x:f>
        <x:v>1497.9730426642554</x:v>
      </x:c>
      <x:c r="AA345" s="32" t="n">
        <x:f>AA344+X345-U345-AA344*V345/AB344</x:f>
        <x:v>424.6176837402361</x:v>
      </x:c>
      <x:c r="AB345" s="10" t="n">
        <x:f>Y345+Z345+AA345</x:f>
        <x:v>4095.839728289091</x:v>
      </x:c>
      <x:c r="AC345" s="8" t="n">
        <x:f>IF(AND(tun_WinterTrigger=1,D345=1,AB344/AE344&gt;=K345),1,0)</x:f>
        <x:v>0</x:v>
      </x:c>
      <x:c r="AD345" s="8" t="n">
        <x:f>H345*IF(AND(OR(AB344/AE344&gt;=tun_FissionTrigger*N345,AC345=1),AB344/AE344*tun_DaughterShare&gt;=tun_MinDaughter),MAX(1,ROUND(AE344*tun_FissionRate,0)),0)</x:f>
        <x:v>0</x:v>
      </x:c>
      <x:c r="AE345" s="8" t="n">
        <x:f>IF(H345=1,MAX(1,MIN(INDEX(tun_Smax,G345),AE344+AD345)),AE344)</x:f>
        <x:v>9</x:v>
      </x:c>
      <x:c r="AF345" s="8" t="n">
        <x:f>MAX(0,AE345-AE344)</x:f>
        <x:v>0</x:v>
      </x:c>
      <x:c r="AG345" s="9" t="str">
        <x:f>IF(AF345&gt;0,B345,"")</x:f>
      </x:c>
      <x:c r="AH345" s="9" t="n">
        <x:f>IF(F345&gt;=1,1,(1+tun_LowTiesShare*(AE345-1))/AE345)</x:f>
        <x:v>1</x:v>
      </x:c>
      <x:c r="AI345" s="32" t="n">
        <x:f>(Z345+tun_ElderCommons*INDEX(LM_Elder,G345)*AA345)*AH345</x:f>
        <x:v>3090.2893566901407</x:v>
      </x:c>
      <x:c r="AJ345" s="32" t="n">
        <x:f>H345*tun_CommonsCoef*AI345^tun_CommonsExp*INDEX(LM_Commons,G345)</x:f>
        <x:v>6465.631652535314</x:v>
      </x:c>
      <x:c r="AK345" s="32" t="n">
        <x:f>H345*tun_RoleScale*Arch_Roles*(AE345*(INDEX(tun_ElderRolePerSett,G345)*tun_OutElder*INDEX(LM_Elder,G345)+INDEX(tun_ShamanPerSett,G345)*tun_OutShaman)+Z345*(INDEX(tun_PriestShare,G345)*tun_OutPriest+INDEX(tun_ScribeShare,G345)*tun_OutScribe*INDEX(LM_Scribe,G345)+INDEX(tun_ScholarShare,G345)*tun_OutScholar*INDEX(LM_Scholar,G345)+INDEX(tun_ResearcherShare,G345)*tun_OutResearcher*INDEX(LM_Researcher,G345)))</x:f>
        <x:v>1754.1552054397007</x:v>
      </x:c>
      <x:c r="AL345" s="32" t="n">
        <x:f>H345*tun_RoleScale*Arch_Roles*AE345*INDEX(tun_MonasteryPerSett,G345)*tun_OutMonastery*INDEX(LM_Monastery,G345)</x:f>
        <x:v>47.519999999999996</x:v>
      </x:c>
      <x:c r="AM345" s="32" t="n">
        <x:f>(AJ345+AK345+AL345)/4*INDEX(LM_All,G345)*INDEX(tun_Boon,G345)*Arch_Insight</x:f>
        <x:v>3777.9009510787105</x:v>
      </x:c>
      <x:c r="AN345" s="32" t="n">
        <x:f>H345*(tun_KHPerAdult*Z345+tun_KHOfCommons*AJ345/4*INDEX(LM_All,G345))*tun_KHUsable*Arch_KH</x:f>
        <x:v>624.1951084570228</x:v>
      </x:c>
      <x:c r="AO345" s="32" t="n">
        <x:f>MIN(AP344+AN345,AM345*tun_KHMaxRatio)</x:f>
        <x:v>624.1951084570228</x:v>
      </x:c>
      <x:c r="AP345" s="32" t="n">
        <x:f>AP344+AN345-AO345</x:f>
        <x:v>0</x:v>
      </x:c>
      <x:c r="AQ345" s="32" t="n">
        <x:f>AM345+AO345</x:f>
        <x:v>4402.096059535734</x:v>
      </x:c>
      <x:c r="AR345" s="10" t="n">
        <x:f>IF(H345=1,INDEX(tun_Req,G345),0)</x:f>
        <x:v>434961.70024459995</x:v>
      </x:c>
      <x:c r="AS345" s="32" t="n">
        <x:f>IF(H345=1,IF(E345=1,AS344-AR344,AS344)+AQ345,0)</x:f>
        <x:v>110829.97554369751</x:v>
      </x:c>
      <x:c r="AT345" s="11" t="n">
        <x:f>IF(AR345&gt;0,MIN(1,AS345/AR345),1)</x:f>
        <x:v>0.25480398729674925</x:v>
      </x:c>
      <x:c r="AU345" s="10" t="n">
        <x:f>AB345/INDEX(tun_RepScale,G345)</x:f>
        <x:v>163.83358913156363</x:v>
      </x:c>
      <x:c r="AV345" s="32" t="n">
        <x:f>AM345*60/tun_SeasonSeconds</x:f>
        <x:v>15111.603804314842</x:v>
      </x:c>
    </x:row>
    <x:row r="346">
      <x:c r="A346" s="8" t="n">
        <x:f>A345+1</x:f>
        <x:v>343</x:v>
      </x:c>
      <x:c r="B346" s="9" t="n">
        <x:f>A346*tun_SeasonSeconds/60</x:f>
        <x:v>85.75</x:v>
      </x:c>
      <x:c r="C346" s="9" t="n">
        <x:f>A346/4</x:f>
        <x:v>85.75</x:v>
      </x:c>
      <x:c r="D346" s="8" t="n">
        <x:f>IF(MOD(A346,4)=0,1,0)</x:f>
        <x:v>0</x:v>
      </x:c>
      <x:c r="E346" s="8" t="n">
        <x:f>IF(AND(F345&lt;=9,AS345&gt;=AR345),1,0)</x:f>
        <x:v>0</x:v>
      </x:c>
      <x:c r="F346" s="8" t="n">
        <x:f>MIN(10,F345+E346)</x:f>
        <x:v>6</x:v>
      </x:c>
      <x:c r="G346" s="8" t="n">
        <x:f>MIN(F346,9)+1</x:f>
        <x:v>7</x:v>
      </x:c>
      <x:c r="H346" s="8" t="n">
        <x:f>IF(F346&lt;=9,1,0)</x:f>
        <x:v>1</x:v>
      </x:c>
      <x:c r="I346" s="9" t="n">
        <x:f>MIN(10,F345+IF(AR345&gt;0,MIN(1,AS345/AR345),1))</x:f>
        <x:v>6.254803987296749</x:v>
      </x:c>
      <x:c r="J346" s="32" t="n">
        <x:f>INDEX(tun_FoodCap,G346)*Arch_FoodCap*EXP(tun_CapsByProject*SUMPRODUCT((Cap_Point&lt;=I346)*(Cap_Kind="Food")*Cap_Ln))</x:f>
        <x:v>610.0101168966467</x:v>
      </x:c>
      <x:c r="K346" s="32" t="n">
        <x:f>J346*MIN(1,tun_LeanBase*EXP(tun_CapsByProject*SUMPRODUCT((Cap_Point&lt;=I346)*(Cap_Kind="Lean")*Cap_Ln)))</x:f>
        <x:v>610.0101168966467</x:v>
      </x:c>
      <x:c r="L346" s="10" t="n">
        <x:f>INDEX(tun_HousingCap,G346)*EXP(tun_CapsByProject*SUMPRODUCT((Cap_Point&lt;=I346)*(Cap_Kind="Housing")*Cap_Ln))</x:f>
        <x:v>2125.258900135082</x:v>
      </x:c>
      <x:c r="M346" s="10" t="n">
        <x:f>INDEX(tun_GroupCap,G346)*tun_CohesionFactor*EXP(tun_CapsByProject*SUMPRODUCT((Cap_Point&lt;=I346)*(Cap_Kind="Group")*Cap_Ln))</x:f>
        <x:v>50000.00000000004</x:v>
      </x:c>
      <x:c r="N346" s="32" t="n">
        <x:f>MIN(J346,L346,M346)</x:f>
        <x:v>610.0101168966467</x:v>
      </x:c>
      <x:c r="O346" s="10" t="n">
        <x:f>AE345*N346</x:f>
        <x:v>5490.09105206982</x:v>
      </x:c>
      <x:c r="P346" s="9" t="n">
        <x:f>MIN(1,(AB345/(AE345*IF(tun_GroupInCrowding=1,N346,MIN(J346,L346))))^tun_CrowdingExp)</x:f>
        <x:v>0.1724171420335584</x:v>
      </x:c>
      <x:c r="Q346" s="9" t="n">
        <x:f>IF(D346=1,INDEX(tun_WinterMult,G346),1)</x:f>
        <x:v>1</x:v>
      </x:c>
      <x:c r="R346" s="9" t="n">
        <x:f>H346*Z345*tun_WomenShare*tun_BaseFertility*INDEX(tun_FertMult,G346)*Arch_Fertility*(1-P346)</x:f>
        <x:v>88.63832204404112</x:v>
      </x:c>
      <x:c r="S346" s="9" t="n">
        <x:f>H346*Y345*INDEX(tun_MortChild,G346)/4*Q346</x:f>
        <x:v>13.58280626177875</x:v>
      </x:c>
      <x:c r="T346" s="9" t="n">
        <x:f>H346*Z345*INDEX(tun_MortAdult,G346)*Arch_AdultMort/4*Q346</x:f>
        <x:v>3.5576859763276065</x:v>
      </x:c>
      <x:c r="U346" s="9" t="n">
        <x:f>H346*AA345*INDEX(tun_MortElder,G346)/4*Q346</x:f>
        <x:v>5.201566625817892</x:v>
      </x:c>
      <x:c r="V346" s="9" t="n">
        <x:f>H346*MAX(0,AB345-O346)*tun_OvercapLoss</x:f>
        <x:v>0</x:v>
      </x:c>
      <x:c r="W346" s="9" t="n">
        <x:f>H346*Y345/(tun_ChildYears*4)</x:f>
        <x:v>38.80801789079642</x:v>
      </x:c>
      <x:c r="X346" s="9" t="n">
        <x:f>H346*Z345/(tun_AdultYears*4)</x:f>
        <x:v>12.080427763421415</x:v>
      </x:c>
      <x:c r="Y346" s="32" t="n">
        <x:f>Y345+R346-S346-W346-Y345*V346/AB345</x:f>
        <x:v>2209.496499776066</x:v>
      </x:c>
      <x:c r="Z346" s="32" t="n">
        <x:f>Z345+W346-X346-T346-Z345*V346/AB345</x:f>
        <x:v>1521.142946815303</x:v>
      </x:c>
      <x:c r="AA346" s="32" t="n">
        <x:f>AA345+X346-U346-AA345*V346/AB345</x:f>
        <x:v>431.4965448778396</x:v>
      </x:c>
      <x:c r="AB346" s="10" t="n">
        <x:f>Y346+Z346+AA346</x:f>
        <x:v>4162.135991469208</x:v>
      </x:c>
      <x:c r="AC346" s="8" t="n">
        <x:f>IF(AND(tun_WinterTrigger=1,D346=1,AB345/AE345&gt;=K346),1,0)</x:f>
        <x:v>0</x:v>
      </x:c>
      <x:c r="AD346" s="8" t="n">
        <x:f>H346*IF(AND(OR(AB345/AE345&gt;=tun_FissionTrigger*N346,AC346=1),AB345/AE345*tun_DaughterShare&gt;=tun_MinDaughter),MAX(1,ROUND(AE345*tun_FissionRate,0)),0)</x:f>
        <x:v>0</x:v>
      </x:c>
      <x:c r="AE346" s="8" t="n">
        <x:f>IF(H346=1,MAX(1,MIN(INDEX(tun_Smax,G346),AE345+AD346)),AE345)</x:f>
        <x:v>9</x:v>
      </x:c>
      <x:c r="AF346" s="8" t="n">
        <x:f>MAX(0,AE346-AE345)</x:f>
        <x:v>0</x:v>
      </x:c>
      <x:c r="AG346" s="9" t="str">
        <x:f>IF(AF346&gt;0,B346,"")</x:f>
      </x:c>
      <x:c r="AH346" s="9" t="n">
        <x:f>IF(F346&gt;=1,1,(1+tun_LowTiesShare*(AE346-1))/AE346)</x:f>
        <x:v>1</x:v>
      </x:c>
      <x:c r="AI346" s="32" t="n">
        <x:f>(Z346+tun_ElderCommons*INDEX(LM_Elder,G346)*AA346)*AH346</x:f>
        <x:v>3139.2549901072016</x:v>
      </x:c>
      <x:c r="AJ346" s="32" t="n">
        <x:f>H346*tun_CommonsCoef*AI346^tun_CommonsExp*INDEX(LM_Commons,G346)</x:f>
        <x:v>6552.6095321630255</x:v>
      </x:c>
      <x:c r="AK346" s="32" t="n">
        <x:f>H346*tun_RoleScale*Arch_Roles*(AE346*(INDEX(tun_ElderRolePerSett,G346)*tun_OutElder*INDEX(LM_Elder,G346)+INDEX(tun_ShamanPerSett,G346)*tun_OutShaman)+Z346*(INDEX(tun_PriestShare,G346)*tun_OutPriest+INDEX(tun_ScribeShare,G346)*tun_OutScribe*INDEX(LM_Scribe,G346)+INDEX(tun_ScholarShare,G346)*tun_OutScholar*INDEX(LM_Scholar,G346)+INDEX(tun_ResearcherShare,G346)*tun_OutResearcher*INDEX(LM_Researcher,G346)))</x:f>
        <x:v>1777.5290047472777</x:v>
      </x:c>
      <x:c r="AL346" s="32" t="n">
        <x:f>H346*tun_RoleScale*Arch_Roles*AE346*INDEX(tun_MonasteryPerSett,G346)*tun_OutMonastery*INDEX(LM_Monastery,G346)</x:f>
        <x:v>47.519999999999996</x:v>
      </x:c>
      <x:c r="AM346" s="32" t="n">
        <x:f>(AJ346+AK346+AL346)/4*INDEX(LM_All,G346)*INDEX(tun_Boon,G346)*Arch_Insight</x:f>
        <x:v>3828.3282208008454</x:v>
      </x:c>
      <x:c r="AN346" s="32" t="n">
        <x:f>H346*(tun_KHPerAdult*Z346+tun_KHOfCommons*AJ346/4*INDEX(LM_All,G346))*tun_KHUsable*Arch_KH</x:f>
        <x:v>632.5919936996722</x:v>
      </x:c>
      <x:c r="AO346" s="32" t="n">
        <x:f>MIN(AP345+AN346,AM346*tun_KHMaxRatio)</x:f>
        <x:v>632.5919936996722</x:v>
      </x:c>
      <x:c r="AP346" s="32" t="n">
        <x:f>AP345+AN346-AO346</x:f>
        <x:v>0</x:v>
      </x:c>
      <x:c r="AQ346" s="32" t="n">
        <x:f>AM346+AO346</x:f>
        <x:v>4460.920214500517</x:v>
      </x:c>
      <x:c r="AR346" s="10" t="n">
        <x:f>IF(H346=1,INDEX(tun_Req,G346),0)</x:f>
        <x:v>434961.70024459995</x:v>
      </x:c>
      <x:c r="AS346" s="32" t="n">
        <x:f>IF(H346=1,IF(E346=1,AS345-AR345,AS345)+AQ346,0)</x:f>
        <x:v>115290.89575819802</x:v>
      </x:c>
      <x:c r="AT346" s="11" t="n">
        <x:f>IF(AR346&gt;0,MIN(1,AS346/AR346),1)</x:f>
        <x:v>0.2650598792798639</x:v>
      </x:c>
      <x:c r="AU346" s="10" t="n">
        <x:f>AB346/INDEX(tun_RepScale,G346)</x:f>
        <x:v>166.48543965876834</x:v>
      </x:c>
      <x:c r="AV346" s="32" t="n">
        <x:f>AM346*60/tun_SeasonSeconds</x:f>
        <x:v>15313.312883203382</x:v>
      </x:c>
    </x:row>
    <x:row r="347">
      <x:c r="A347" s="8" t="n">
        <x:f>A346+1</x:f>
        <x:v>344</x:v>
      </x:c>
      <x:c r="B347" s="9" t="n">
        <x:f>A347*tun_SeasonSeconds/60</x:f>
        <x:v>86</x:v>
      </x:c>
      <x:c r="C347" s="9" t="n">
        <x:f>A347/4</x:f>
        <x:v>86</x:v>
      </x:c>
      <x:c r="D347" s="8" t="n">
        <x:f>IF(MOD(A347,4)=0,1,0)</x:f>
        <x:v>1</x:v>
      </x:c>
      <x:c r="E347" s="8" t="n">
        <x:f>IF(AND(F346&lt;=9,AS346&gt;=AR346),1,0)</x:f>
        <x:v>0</x:v>
      </x:c>
      <x:c r="F347" s="8" t="n">
        <x:f>MIN(10,F346+E347)</x:f>
        <x:v>6</x:v>
      </x:c>
      <x:c r="G347" s="8" t="n">
        <x:f>MIN(F347,9)+1</x:f>
        <x:v>7</x:v>
      </x:c>
      <x:c r="H347" s="8" t="n">
        <x:f>IF(F347&lt;=9,1,0)</x:f>
        <x:v>1</x:v>
      </x:c>
      <x:c r="I347" s="9" t="n">
        <x:f>MIN(10,F346+IF(AR346&gt;0,MIN(1,AS346/AR346),1))</x:f>
        <x:v>6.265059879279864</x:v>
      </x:c>
      <x:c r="J347" s="32" t="n">
        <x:f>INDEX(tun_FoodCap,G347)*Arch_FoodCap*EXP(tun_CapsByProject*SUMPRODUCT((Cap_Point&lt;=I347)*(Cap_Kind="Food")*Cap_Ln))</x:f>
        <x:v>610.0101168966467</x:v>
      </x:c>
      <x:c r="K347" s="32" t="n">
        <x:f>J347*MIN(1,tun_LeanBase*EXP(tun_CapsByProject*SUMPRODUCT((Cap_Point&lt;=I347)*(Cap_Kind="Lean")*Cap_Ln)))</x:f>
        <x:v>610.0101168966467</x:v>
      </x:c>
      <x:c r="L347" s="10" t="n">
        <x:f>INDEX(tun_HousingCap,G347)*EXP(tun_CapsByProject*SUMPRODUCT((Cap_Point&lt;=I347)*(Cap_Kind="Housing")*Cap_Ln))</x:f>
        <x:v>2125.258900135082</x:v>
      </x:c>
      <x:c r="M347" s="10" t="n">
        <x:f>INDEX(tun_GroupCap,G347)*tun_CohesionFactor*EXP(tun_CapsByProject*SUMPRODUCT((Cap_Point&lt;=I347)*(Cap_Kind="Group")*Cap_Ln))</x:f>
        <x:v>50000.00000000004</x:v>
      </x:c>
      <x:c r="N347" s="32" t="n">
        <x:f>MIN(J347,L347,M347)</x:f>
        <x:v>610.0101168966467</x:v>
      </x:c>
      <x:c r="O347" s="10" t="n">
        <x:f>AE346*N347</x:f>
        <x:v>5490.09105206982</x:v>
      </x:c>
      <x:c r="P347" s="9" t="n">
        <x:f>MIN(1,(AB346/(AE346*IF(tun_GroupInCrowding=1,N347,MIN(J347,L347))))^tun_CrowdingExp)</x:f>
        <x:v>0.1898542453699877</x:v>
      </x:c>
      <x:c r="Q347" s="9" t="n">
        <x:f>IF(D347=1,INDEX(tun_WinterMult,G347),1)</x:f>
        <x:v>1.1</x:v>
      </x:c>
      <x:c r="R347" s="9" t="n">
        <x:f>H347*Z346*tun_WomenShare*tun_BaseFertility*INDEX(tun_FertMult,G347)*Arch_Fertility*(1-P347)</x:f>
        <x:v>88.11284628916802</x:v>
      </x:c>
      <x:c r="S347" s="9" t="n">
        <x:f>H347*Y346*INDEX(tun_MortChild,G347)/4*Q347</x:f>
        <x:v>15.190288435960454</x:v>
      </x:c>
      <x:c r="T347" s="9" t="n">
        <x:f>H347*Z346*INDEX(tun_MortAdult,G347)*Arch_AdultMort/4*Q347</x:f>
        <x:v>3.9739859485549793</x:v>
      </x:c>
      <x:c r="U347" s="9" t="n">
        <x:f>H347*AA346*INDEX(tun_MortElder,G347)/4*Q347</x:f>
        <x:v>5.814415942228889</x:v>
      </x:c>
      <x:c r="V347" s="9" t="n">
        <x:f>H347*MAX(0,AB346-O347)*tun_OvercapLoss</x:f>
        <x:v>0</x:v>
      </x:c>
      <x:c r="W347" s="9" t="n">
        <x:f>H347*Y346/(tun_ChildYears*4)</x:f>
        <x:v>39.45529463885832</x:v>
      </x:c>
      <x:c r="X347" s="9" t="n">
        <x:f>H347*Z346/(tun_AdultYears*4)</x:f>
        <x:v>12.26728182915567</x:v>
      </x:c>
      <x:c r="Y347" s="32" t="n">
        <x:f>Y346+R347-S347-W347-Y346*V347/AB346</x:f>
        <x:v>2242.9637629904146</x:v>
      </x:c>
      <x:c r="Z347" s="32" t="n">
        <x:f>Z346+W347-X347-T347-Z346*V347/AB346</x:f>
        <x:v>1544.3569736764505</x:v>
      </x:c>
      <x:c r="AA347" s="32" t="n">
        <x:f>AA346+X347-U347-AA346*V347/AB346</x:f>
        <x:v>437.94941076476636</x:v>
      </x:c>
      <x:c r="AB347" s="10" t="n">
        <x:f>Y347+Z347+AA347</x:f>
        <x:v>4225.270147431631</x:v>
      </x:c>
      <x:c r="AC347" s="8" t="n">
        <x:f>IF(AND(tun_WinterTrigger=1,D347=1,AB346/AE346&gt;=K347),1,0)</x:f>
        <x:v>0</x:v>
      </x:c>
      <x:c r="AD347" s="8" t="n">
        <x:f>H347*IF(AND(OR(AB346/AE346&gt;=tun_FissionTrigger*N347,AC347=1),AB346/AE346*tun_DaughterShare&gt;=tun_MinDaughter),MAX(1,ROUND(AE346*tun_FissionRate,0)),0)</x:f>
        <x:v>0</x:v>
      </x:c>
      <x:c r="AE347" s="8" t="n">
        <x:f>IF(H347=1,MAX(1,MIN(INDEX(tun_Smax,G347),AE346+AD347)),AE346)</x:f>
        <x:v>9</x:v>
      </x:c>
      <x:c r="AF347" s="8" t="n">
        <x:f>MAX(0,AE347-AE346)</x:f>
        <x:v>0</x:v>
      </x:c>
      <x:c r="AG347" s="9" t="str">
        <x:f>IF(AF347&gt;0,B347,"")</x:f>
      </x:c>
      <x:c r="AH347" s="9" t="n">
        <x:f>IF(F347&gt;=1,1,(1+tun_LowTiesShare*(AE347-1))/AE347)</x:f>
        <x:v>1</x:v>
      </x:c>
      <x:c r="AI347" s="32" t="n">
        <x:f>(Z347+tun_ElderCommons*INDEX(LM_Elder,G347)*AA347)*AH347</x:f>
        <x:v>3186.6672640443244</x:v>
      </x:c>
      <x:c r="AJ347" s="32" t="n">
        <x:f>H347*tun_CommonsCoef*AI347^tun_CommonsExp*INDEX(LM_Commons,G347)</x:f>
        <x:v>6636.634434994749</x:v>
      </x:c>
      <x:c r="AK347" s="32" t="n">
        <x:f>H347*tun_RoleScale*Arch_Roles*(AE347*(INDEX(tun_ElderRolePerSett,G347)*tun_OutElder*INDEX(LM_Elder,G347)+INDEX(tun_ShamanPerSett,G347)*tun_OutShaman)+Z347*(INDEX(tun_PriestShare,G347)*tun_OutPriest+INDEX(tun_ScribeShare,G347)*tun_OutScribe*INDEX(LM_Scribe,G347)+INDEX(tun_ScholarShare,G347)*tun_OutScholar*INDEX(LM_Scholar,G347)+INDEX(tun_ResearcherShare,G347)*tun_OutResearcher*INDEX(LM_Researcher,G347)))</x:f>
        <x:v>1800.9473150448032</x:v>
      </x:c>
      <x:c r="AL347" s="32" t="n">
        <x:f>H347*tun_RoleScale*Arch_Roles*AE347*INDEX(tun_MonasteryPerSett,G347)*tun_OutMonastery*INDEX(LM_Monastery,G347)</x:f>
        <x:v>47.519999999999996</x:v>
      </x:c>
      <x:c r="AM347" s="32" t="n">
        <x:f>(AJ347+AK347+AL347)/4*INDEX(LM_All,G347)*INDEX(tun_Boon,G347)*Arch_Insight</x:f>
        <x:v>3877.4264125144373</x:v>
      </x:c>
      <x:c r="AN347" s="32" t="n">
        <x:f>H347*(tun_KHPerAdult*Z347+tun_KHOfCommons*AJ347/4*INDEX(LM_All,G347))*tun_KHUsable*Arch_KH</x:f>
        <x:v>640.7037971791625</x:v>
      </x:c>
      <x:c r="AO347" s="32" t="n">
        <x:f>MIN(AP346+AN347,AM347*tun_KHMaxRatio)</x:f>
        <x:v>640.7037971791625</x:v>
      </x:c>
      <x:c r="AP347" s="32" t="n">
        <x:f>AP346+AN347-AO347</x:f>
        <x:v>0</x:v>
      </x:c>
      <x:c r="AQ347" s="32" t="n">
        <x:f>AM347+AO347</x:f>
        <x:v>4518.1302096936</x:v>
      </x:c>
      <x:c r="AR347" s="10" t="n">
        <x:f>IF(H347=1,INDEX(tun_Req,G347),0)</x:f>
        <x:v>434961.70024459995</x:v>
      </x:c>
      <x:c r="AS347" s="32" t="n">
        <x:f>IF(H347=1,IF(E347=1,AS346-AR346,AS346)+AQ347,0)</x:f>
        <x:v>119809.02596789162</x:v>
      </x:c>
      <x:c r="AT347" s="11" t="n">
        <x:f>IF(AR347&gt;0,MIN(1,AS347/AR347),1)</x:f>
        <x:v>0.2754473000738162</x:v>
      </x:c>
      <x:c r="AU347" s="10" t="n">
        <x:f>AB347/INDEX(tun_RepScale,G347)</x:f>
        <x:v>169.01080589726524</x:v>
      </x:c>
      <x:c r="AV347" s="32" t="n">
        <x:f>AM347*60/tun_SeasonSeconds</x:f>
        <x:v>15509.70565005775</x:v>
      </x:c>
    </x:row>
    <x:row r="348">
      <x:c r="A348" s="8" t="n">
        <x:f>A347+1</x:f>
        <x:v>345</x:v>
      </x:c>
      <x:c r="B348" s="9" t="n">
        <x:f>A348*tun_SeasonSeconds/60</x:f>
        <x:v>86.25</x:v>
      </x:c>
      <x:c r="C348" s="9" t="n">
        <x:f>A348/4</x:f>
        <x:v>86.25</x:v>
      </x:c>
      <x:c r="D348" s="8" t="n">
        <x:f>IF(MOD(A348,4)=0,1,0)</x:f>
        <x:v>0</x:v>
      </x:c>
      <x:c r="E348" s="8" t="n">
        <x:f>IF(AND(F347&lt;=9,AS347&gt;=AR347),1,0)</x:f>
        <x:v>0</x:v>
      </x:c>
      <x:c r="F348" s="8" t="n">
        <x:f>MIN(10,F347+E348)</x:f>
        <x:v>6</x:v>
      </x:c>
      <x:c r="G348" s="8" t="n">
        <x:f>MIN(F348,9)+1</x:f>
        <x:v>7</x:v>
      </x:c>
      <x:c r="H348" s="8" t="n">
        <x:f>IF(F348&lt;=9,1,0)</x:f>
        <x:v>1</x:v>
      </x:c>
      <x:c r="I348" s="9" t="n">
        <x:f>MIN(10,F347+IF(AR347&gt;0,MIN(1,AS347/AR347),1))</x:f>
        <x:v>6.275447300073816</x:v>
      </x:c>
      <x:c r="J348" s="32" t="n">
        <x:f>INDEX(tun_FoodCap,G348)*Arch_FoodCap*EXP(tun_CapsByProject*SUMPRODUCT((Cap_Point&lt;=I348)*(Cap_Kind="Food")*Cap_Ln))</x:f>
        <x:v>610.0101168966467</x:v>
      </x:c>
      <x:c r="K348" s="32" t="n">
        <x:f>J348*MIN(1,tun_LeanBase*EXP(tun_CapsByProject*SUMPRODUCT((Cap_Point&lt;=I348)*(Cap_Kind="Lean")*Cap_Ln)))</x:f>
        <x:v>610.0101168966467</x:v>
      </x:c>
      <x:c r="L348" s="10" t="n">
        <x:f>INDEX(tun_HousingCap,G348)*EXP(tun_CapsByProject*SUMPRODUCT((Cap_Point&lt;=I348)*(Cap_Kind="Housing")*Cap_Ln))</x:f>
        <x:v>2125.258900135082</x:v>
      </x:c>
      <x:c r="M348" s="10" t="n">
        <x:f>INDEX(tun_GroupCap,G348)*tun_CohesionFactor*EXP(tun_CapsByProject*SUMPRODUCT((Cap_Point&lt;=I348)*(Cap_Kind="Group")*Cap_Ln))</x:f>
        <x:v>50000.00000000004</x:v>
      </x:c>
      <x:c r="N348" s="32" t="n">
        <x:f>MIN(J348,L348,M348)</x:f>
        <x:v>610.0101168966467</x:v>
      </x:c>
      <x:c r="O348" s="10" t="n">
        <x:f>AE347*N348</x:f>
        <x:v>5490.09105206982</x:v>
      </x:c>
      <x:c r="P348" s="9" t="n">
        <x:f>MIN(1,(AB347/(AE347*IF(tun_GroupInCrowding=1,N348,MIN(J348,L348))))^tun_CrowdingExp)</x:f>
        <x:v>0.2078019432441483</x:v>
      </x:c>
      <x:c r="Q348" s="9" t="n">
        <x:f>IF(D348=1,INDEX(tun_WinterMult,G348),1)</x:f>
        <x:v>1</x:v>
      </x:c>
      <x:c r="R348" s="9" t="n">
        <x:f>H348*Z347*tun_WomenShare*tun_BaseFertility*INDEX(tun_FertMult,G348)*Arch_Fertility*(1-P348)</x:f>
        <x:v>87.47571643409401</x:v>
      </x:c>
      <x:c r="S348" s="9" t="n">
        <x:f>H348*Y347*INDEX(tun_MortChild,G348)/4*Q348</x:f>
        <x:v>14.018523518690092</x:v>
      </x:c>
      <x:c r="T348" s="9" t="n">
        <x:f>H348*Z347*INDEX(tun_MortAdult,G348)*Arch_AdultMort/4*Q348</x:f>
        <x:v>3.6678478124815697</x:v>
      </x:c>
      <x:c r="U348" s="9" t="n">
        <x:f>H348*AA347*INDEX(tun_MortElder,G348)/4*Q348</x:f>
        <x:v>5.3648802818683885</x:v>
      </x:c>
      <x:c r="V348" s="9" t="n">
        <x:f>H348*MAX(0,AB347-O348)*tun_OvercapLoss</x:f>
        <x:v>0</x:v>
      </x:c>
      <x:c r="W348" s="9" t="n">
        <x:f>H348*Y347/(tun_ChildYears*4)</x:f>
        <x:v>40.05292433911455</x:v>
      </x:c>
      <x:c r="X348" s="9" t="n">
        <x:f>H348*Z347/(tun_AdultYears*4)</x:f>
        <x:v>12.454491723197181</x:v>
      </x:c>
      <x:c r="Y348" s="32" t="n">
        <x:f>Y347+R348-S348-W348-Y347*V348/AB347</x:f>
        <x:v>2276.368031566704</x:v>
      </x:c>
      <x:c r="Z348" s="32" t="n">
        <x:f>Z347+W348-X348-T348-Z347*V348/AB347</x:f>
        <x:v>1568.2875584798862</x:v>
      </x:c>
      <x:c r="AA348" s="32" t="n">
        <x:f>AA347+X348-U348-AA347*V348/AB347</x:f>
        <x:v>445.0390222060951</x:v>
      </x:c>
      <x:c r="AB348" s="10" t="n">
        <x:f>Y348+Z348+AA348</x:f>
        <x:v>4289.694612252685</x:v>
      </x:c>
      <x:c r="AC348" s="8" t="n">
        <x:f>IF(AND(tun_WinterTrigger=1,D348=1,AB347/AE347&gt;=K348),1,0)</x:f>
        <x:v>0</x:v>
      </x:c>
      <x:c r="AD348" s="8" t="n">
        <x:f>H348*IF(AND(OR(AB347/AE347&gt;=tun_FissionTrigger*N348,AC348=1),AB347/AE347*tun_DaughterShare&gt;=tun_MinDaughter),MAX(1,ROUND(AE347*tun_FissionRate,0)),0)</x:f>
        <x:v>0</x:v>
      </x:c>
      <x:c r="AE348" s="8" t="n">
        <x:f>IF(H348=1,MAX(1,MIN(INDEX(tun_Smax,G348),AE347+AD348)),AE347)</x:f>
        <x:v>9</x:v>
      </x:c>
      <x:c r="AF348" s="8" t="n">
        <x:f>MAX(0,AE348-AE347)</x:f>
        <x:v>0</x:v>
      </x:c>
      <x:c r="AG348" s="9" t="str">
        <x:f>IF(AF348&gt;0,B348,"")</x:f>
      </x:c>
      <x:c r="AH348" s="9" t="n">
        <x:f>IF(F348&gt;=1,1,(1+tun_LowTiesShare*(AE348-1))/AE348)</x:f>
        <x:v>1</x:v>
      </x:c>
      <x:c r="AI348" s="32" t="n">
        <x:f>(Z348+tun_ElderCommons*INDEX(LM_Elder,G348)*AA348)*AH348</x:f>
        <x:v>3237.183891752743</x:v>
      </x:c>
      <x:c r="AJ348" s="32" t="n">
        <x:f>H348*tun_CommonsCoef*AI348^tun_CommonsExp*INDEX(LM_Commons,G348)</x:f>
        <x:v>6725.9548871410725</x:v>
      </x:c>
      <x:c r="AK348" s="32" t="n">
        <x:f>H348*tun_RoleScale*Arch_Roles*(AE348*(INDEX(tun_ElderRolePerSett,G348)*tun_OutElder*INDEX(LM_Elder,G348)+INDEX(tun_ShamanPerSett,G348)*tun_OutShaman)+Z348*(INDEX(tun_PriestShare,G348)*tun_OutPriest+INDEX(tun_ScribeShare,G348)*tun_OutScribe*INDEX(LM_Scribe,G348)+INDEX(tun_ScholarShare,G348)*tun_OutScholar*INDEX(LM_Scholar,G348)+INDEX(tun_ResearcherShare,G348)*tun_OutResearcher*INDEX(LM_Researcher,G348)))</x:f>
        <x:v>1825.0884889945091</x:v>
      </x:c>
      <x:c r="AL348" s="32" t="n">
        <x:f>H348*tun_RoleScale*Arch_Roles*AE348*INDEX(tun_MonasteryPerSett,G348)*tun_OutMonastery*INDEX(LM_Monastery,G348)</x:f>
        <x:v>47.519999999999996</x:v>
      </x:c>
      <x:c r="AM348" s="32" t="n">
        <x:f>(AJ348+AK348+AL348)/4*INDEX(LM_All,G348)*INDEX(tun_Boon,G348)*Arch_Insight</x:f>
        <x:v>3929.274830929635</x:v>
      </x:c>
      <x:c r="AN348" s="32" t="n">
        <x:f>H348*(tun_KHPerAdult*Z348+tun_KHOfCommons*AJ348/4*INDEX(LM_All,G348))*tun_KHUsable*Arch_KH</x:f>
        <x:v>649.3268354700994</x:v>
      </x:c>
      <x:c r="AO348" s="32" t="n">
        <x:f>MIN(AP347+AN348,AM348*tun_KHMaxRatio)</x:f>
        <x:v>649.3268354700994</x:v>
      </x:c>
      <x:c r="AP348" s="32" t="n">
        <x:f>AP347+AN348-AO348</x:f>
        <x:v>0</x:v>
      </x:c>
      <x:c r="AQ348" s="32" t="n">
        <x:f>AM348+AO348</x:f>
        <x:v>4578.601666399734</x:v>
      </x:c>
      <x:c r="AR348" s="10" t="n">
        <x:f>IF(H348=1,INDEX(tun_Req,G348),0)</x:f>
        <x:v>434961.70024459995</x:v>
      </x:c>
      <x:c r="AS348" s="32" t="n">
        <x:f>IF(H348=1,IF(E348=1,AS347-AR347,AS347)+AQ348,0)</x:f>
        <x:v>124387.62763429135</x:v>
      </x:c>
      <x:c r="AT348" s="11" t="n">
        <x:f>IF(AR348&gt;0,MIN(1,AS348/AR348),1)</x:f>
        <x:v>0.28597374795146835</x:v>
      </x:c>
      <x:c r="AU348" s="10" t="n">
        <x:f>AB348/INDEX(tun_RepScale,G348)</x:f>
        <x:v>171.5877844901074</x:v>
      </x:c>
      <x:c r="AV348" s="32" t="n">
        <x:f>AM348*60/tun_SeasonSeconds</x:f>
        <x:v>15717.09932371854</x:v>
      </x:c>
    </x:row>
    <x:row r="349">
      <x:c r="A349" s="8" t="n">
        <x:f>A348+1</x:f>
        <x:v>346</x:v>
      </x:c>
      <x:c r="B349" s="9" t="n">
        <x:f>A349*tun_SeasonSeconds/60</x:f>
        <x:v>86.5</x:v>
      </x:c>
      <x:c r="C349" s="9" t="n">
        <x:f>A349/4</x:f>
        <x:v>86.5</x:v>
      </x:c>
      <x:c r="D349" s="8" t="n">
        <x:f>IF(MOD(A349,4)=0,1,0)</x:f>
        <x:v>0</x:v>
      </x:c>
      <x:c r="E349" s="8" t="n">
        <x:f>IF(AND(F348&lt;=9,AS348&gt;=AR348),1,0)</x:f>
        <x:v>0</x:v>
      </x:c>
      <x:c r="F349" s="8" t="n">
        <x:f>MIN(10,F348+E349)</x:f>
        <x:v>6</x:v>
      </x:c>
      <x:c r="G349" s="8" t="n">
        <x:f>MIN(F349,9)+1</x:f>
        <x:v>7</x:v>
      </x:c>
      <x:c r="H349" s="8" t="n">
        <x:f>IF(F349&lt;=9,1,0)</x:f>
        <x:v>1</x:v>
      </x:c>
      <x:c r="I349" s="9" t="n">
        <x:f>MIN(10,F348+IF(AR348&gt;0,MIN(1,AS348/AR348),1))</x:f>
        <x:v>6.285973747951468</x:v>
      </x:c>
      <x:c r="J349" s="32" t="n">
        <x:f>INDEX(tun_FoodCap,G349)*Arch_FoodCap*EXP(tun_CapsByProject*SUMPRODUCT((Cap_Point&lt;=I349)*(Cap_Kind="Food")*Cap_Ln))</x:f>
        <x:v>610.0101168966467</x:v>
      </x:c>
      <x:c r="K349" s="32" t="n">
        <x:f>J349*MIN(1,tun_LeanBase*EXP(tun_CapsByProject*SUMPRODUCT((Cap_Point&lt;=I349)*(Cap_Kind="Lean")*Cap_Ln)))</x:f>
        <x:v>610.0101168966467</x:v>
      </x:c>
      <x:c r="L349" s="10" t="n">
        <x:f>INDEX(tun_HousingCap,G349)*EXP(tun_CapsByProject*SUMPRODUCT((Cap_Point&lt;=I349)*(Cap_Kind="Housing")*Cap_Ln))</x:f>
        <x:v>2125.258900135082</x:v>
      </x:c>
      <x:c r="M349" s="10" t="n">
        <x:f>INDEX(tun_GroupCap,G349)*tun_CohesionFactor*EXP(tun_CapsByProject*SUMPRODUCT((Cap_Point&lt;=I349)*(Cap_Kind="Group")*Cap_Ln))</x:f>
        <x:v>50000.00000000004</x:v>
      </x:c>
      <x:c r="N349" s="32" t="n">
        <x:f>MIN(J349,L349,M349)</x:f>
        <x:v>610.0101168966467</x:v>
      </x:c>
      <x:c r="O349" s="10" t="n">
        <x:f>AE348*N349</x:f>
        <x:v>5490.09105206982</x:v>
      </x:c>
      <x:c r="P349" s="9" t="n">
        <x:f>MIN(1,(AB348/(AE348*IF(tun_GroupInCrowding=1,N349,MIN(J349,L349))))^tun_CrowdingExp)</x:f>
        <x:v>0.2275521636610916</x:v>
      </x:c>
      <x:c r="Q349" s="9" t="n">
        <x:f>IF(D349=1,INDEX(tun_WinterMult,G349),1)</x:f>
        <x:v>1</x:v>
      </x:c>
      <x:c r="R349" s="9" t="n">
        <x:f>H349*Z348*tun_WomenShare*tun_BaseFertility*INDEX(tun_FertMult,G349)*Arch_Fertility*(1-P349)</x:f>
        <x:v>86.61655368830876</x:v>
      </x:c>
      <x:c r="S349" s="9" t="n">
        <x:f>H349*Y348*INDEX(tun_MortChild,G349)/4*Q349</x:f>
        <x:v>14.2273001972919</x:v>
      </x:c>
      <x:c r="T349" s="9" t="n">
        <x:f>H349*Z348*INDEX(tun_MortAdult,G349)*Arch_AdultMort/4*Q349</x:f>
        <x:v>3.7246829513897297</x:v>
      </x:c>
      <x:c r="U349" s="9" t="n">
        <x:f>H349*AA348*INDEX(tun_MortElder,G349)/4*Q349</x:f>
        <x:v>5.451728022024666</x:v>
      </x:c>
      <x:c r="V349" s="9" t="n">
        <x:f>H349*MAX(0,AB348-O349)*tun_OvercapLoss</x:f>
        <x:v>0</x:v>
      </x:c>
      <x:c r="W349" s="9" t="n">
        <x:f>H349*Y348/(tun_ChildYears*4)</x:f>
        <x:v>40.64942913511971</x:v>
      </x:c>
      <x:c r="X349" s="9" t="n">
        <x:f>H349*Z348/(tun_AdultYears*4)</x:f>
        <x:v>12.647480310321663</x:v>
      </x:c>
      <x:c r="Y349" s="32" t="n">
        <x:f>Y348+R349-S349-W349-Y348*V349/AB348</x:f>
        <x:v>2308.107855922601</x:v>
      </x:c>
      <x:c r="Z349" s="32" t="n">
        <x:f>Z348+W349-X349-T349-Z348*V349/AB348</x:f>
        <x:v>1592.5648243532946</x:v>
      </x:c>
      <x:c r="AA349" s="32" t="n">
        <x:f>AA348+X349-U349-AA348*V349/AB348</x:f>
        <x:v>452.2347744943921</x:v>
      </x:c>
      <x:c r="AB349" s="10" t="n">
        <x:f>Y349+Z349+AA349</x:f>
        <x:v>4352.907454770288</x:v>
      </x:c>
      <x:c r="AC349" s="8" t="n">
        <x:f>IF(AND(tun_WinterTrigger=1,D349=1,AB348/AE348&gt;=K349),1,0)</x:f>
        <x:v>0</x:v>
      </x:c>
      <x:c r="AD349" s="8" t="n">
        <x:f>H349*IF(AND(OR(AB348/AE348&gt;=tun_FissionTrigger*N349,AC349=1),AB348/AE348*tun_DaughterShare&gt;=tun_MinDaughter),MAX(1,ROUND(AE348*tun_FissionRate,0)),0)</x:f>
        <x:v>0</x:v>
      </x:c>
      <x:c r="AE349" s="8" t="n">
        <x:f>IF(H349=1,MAX(1,MIN(INDEX(tun_Smax,G349),AE348+AD349)),AE348)</x:f>
        <x:v>9</x:v>
      </x:c>
      <x:c r="AF349" s="8" t="n">
        <x:f>MAX(0,AE349-AE348)</x:f>
        <x:v>0</x:v>
      </x:c>
      <x:c r="AG349" s="9" t="str">
        <x:f>IF(AF349&gt;0,B349,"")</x:f>
      </x:c>
      <x:c r="AH349" s="9" t="n">
        <x:f>IF(F349&gt;=1,1,(1+tun_LowTiesShare*(AE349-1))/AE349)</x:f>
        <x:v>1</x:v>
      </x:c>
      <x:c r="AI349" s="32" t="n">
        <x:f>(Z349+tun_ElderCommons*INDEX(LM_Elder,G349)*AA349)*AH349</x:f>
        <x:v>3288.4452287072654</x:v>
      </x:c>
      <x:c r="AJ349" s="32" t="n">
        <x:f>H349*tun_CommonsCoef*AI349^tun_CommonsExp*INDEX(LM_Commons,G349)</x:f>
        <x:v>6816.378624118415</x:v>
      </x:c>
      <x:c r="AK349" s="32" t="n">
        <x:f>H349*tun_RoleScale*Arch_Roles*(AE349*(INDEX(tun_ElderRolePerSett,G349)*tun_OutElder*INDEX(LM_Elder,G349)+INDEX(tun_ShamanPerSett,G349)*tun_OutShaman)+Z349*(INDEX(tun_PriestShare,G349)*tun_OutPriest+INDEX(tun_ScribeShare,G349)*tun_OutScribe*INDEX(LM_Scribe,G349)+INDEX(tun_ScholarShare,G349)*tun_OutScholar*INDEX(LM_Scholar,G349)+INDEX(tun_ResearcherShare,G349)*tun_OutResearcher*INDEX(LM_Researcher,G349)))</x:f>
        <x:v>1849.5793948076034</x:v>
      </x:c>
      <x:c r="AL349" s="32" t="n">
        <x:f>H349*tun_RoleScale*Arch_Roles*AE349*INDEX(tun_MonasteryPerSett,G349)*tun_OutMonastery*INDEX(LM_Monastery,G349)</x:f>
        <x:v>47.519999999999996</x:v>
      </x:c>
      <x:c r="AM349" s="32" t="n">
        <x:f>(AJ349+AK349+AL349)/4*INDEX(LM_All,G349)*INDEX(tun_Boon,G349)*Arch_Insight</x:f>
        <x:v>3981.787232579766</x:v>
      </x:c>
      <x:c r="AN349" s="32" t="n">
        <x:f>H349*(tun_KHPerAdult*Z349+tun_KHOfCommons*AJ349/4*INDEX(LM_All,G349))*tun_KHUsable*Arch_KH</x:f>
        <x:v>658.0563853954387</x:v>
      </x:c>
      <x:c r="AO349" s="32" t="n">
        <x:f>MIN(AP348+AN349,AM349*tun_KHMaxRatio)</x:f>
        <x:v>658.0563853954387</x:v>
      </x:c>
      <x:c r="AP349" s="32" t="n">
        <x:f>AP348+AN349-AO349</x:f>
        <x:v>0</x:v>
      </x:c>
      <x:c r="AQ349" s="32" t="n">
        <x:f>AM349+AO349</x:f>
        <x:v>4639.843617975205</x:v>
      </x:c>
      <x:c r="AR349" s="10" t="n">
        <x:f>IF(H349=1,INDEX(tun_Req,G349),0)</x:f>
        <x:v>434961.70024459995</x:v>
      </x:c>
      <x:c r="AS349" s="32" t="n">
        <x:f>IF(H349=1,IF(E349=1,AS348-AR348,AS348)+AQ349,0)</x:f>
        <x:v>129027.47125226655</x:v>
      </x:c>
      <x:c r="AT349" s="11" t="n">
        <x:f>IF(AR349&gt;0,MIN(1,AS349/AR349),1)</x:f>
        <x:v>0.2966409943213579</x:v>
      </x:c>
      <x:c r="AU349" s="10" t="n">
        <x:f>AB349/INDEX(tun_RepScale,G349)</x:f>
        <x:v>174.1162981908115</x:v>
      </x:c>
      <x:c r="AV349" s="32" t="n">
        <x:f>AM349*60/tun_SeasonSeconds</x:f>
        <x:v>15927.148930319065</x:v>
      </x:c>
    </x:row>
    <x:row r="350">
      <x:c r="A350" s="8" t="n">
        <x:f>A349+1</x:f>
        <x:v>347</x:v>
      </x:c>
      <x:c r="B350" s="9" t="n">
        <x:f>A350*tun_SeasonSeconds/60</x:f>
        <x:v>86.75</x:v>
      </x:c>
      <x:c r="C350" s="9" t="n">
        <x:f>A350/4</x:f>
        <x:v>86.75</x:v>
      </x:c>
      <x:c r="D350" s="8" t="n">
        <x:f>IF(MOD(A350,4)=0,1,0)</x:f>
        <x:v>0</x:v>
      </x:c>
      <x:c r="E350" s="8" t="n">
        <x:f>IF(AND(F349&lt;=9,AS349&gt;=AR349),1,0)</x:f>
        <x:v>0</x:v>
      </x:c>
      <x:c r="F350" s="8" t="n">
        <x:f>MIN(10,F349+E350)</x:f>
        <x:v>6</x:v>
      </x:c>
      <x:c r="G350" s="8" t="n">
        <x:f>MIN(F350,9)+1</x:f>
        <x:v>7</x:v>
      </x:c>
      <x:c r="H350" s="8" t="n">
        <x:f>IF(F350&lt;=9,1,0)</x:f>
        <x:v>1</x:v>
      </x:c>
      <x:c r="I350" s="9" t="n">
        <x:f>MIN(10,F349+IF(AR349&gt;0,MIN(1,AS349/AR349),1))</x:f>
        <x:v>6.296640994321358</x:v>
      </x:c>
      <x:c r="J350" s="32" t="n">
        <x:f>INDEX(tun_FoodCap,G350)*Arch_FoodCap*EXP(tun_CapsByProject*SUMPRODUCT((Cap_Point&lt;=I350)*(Cap_Kind="Food")*Cap_Ln))</x:f>
        <x:v>610.0101168966467</x:v>
      </x:c>
      <x:c r="K350" s="32" t="n">
        <x:f>J350*MIN(1,tun_LeanBase*EXP(tun_CapsByProject*SUMPRODUCT((Cap_Point&lt;=I350)*(Cap_Kind="Lean")*Cap_Ln)))</x:f>
        <x:v>610.0101168966467</x:v>
      </x:c>
      <x:c r="L350" s="10" t="n">
        <x:f>INDEX(tun_HousingCap,G350)*EXP(tun_CapsByProject*SUMPRODUCT((Cap_Point&lt;=I350)*(Cap_Kind="Housing")*Cap_Ln))</x:f>
        <x:v>2125.258900135082</x:v>
      </x:c>
      <x:c r="M350" s="10" t="n">
        <x:f>INDEX(tun_GroupCap,G350)*tun_CohesionFactor*EXP(tun_CapsByProject*SUMPRODUCT((Cap_Point&lt;=I350)*(Cap_Kind="Group")*Cap_Ln))</x:f>
        <x:v>50000.00000000004</x:v>
      </x:c>
      <x:c r="N350" s="32" t="n">
        <x:f>MIN(J350,L350,M350)</x:f>
        <x:v>610.0101168966467</x:v>
      </x:c>
      <x:c r="O350" s="10" t="n">
        <x:f>AE349*N350</x:f>
        <x:v>5490.09105206982</x:v>
      </x:c>
      <x:c r="P350" s="9" t="n">
        <x:f>MIN(1,(AB349/(AE349*IF(tun_GroupInCrowding=1,N350,MIN(J350,L350))))^tun_CrowdingExp)</x:f>
        <x:v>0.24842730056217532</x:v>
      </x:c>
      <x:c r="Q350" s="9" t="n">
        <x:f>IF(D350=1,INDEX(tun_WinterMult,G350),1)</x:f>
        <x:v>1</x:v>
      </x:c>
      <x:c r="R350" s="9" t="n">
        <x:f>H350*Z349*tun_WomenShare*tun_BaseFertility*INDEX(tun_FertMult,G350)*Arch_Fertility*(1-P350)</x:f>
        <x:v>85.58036945092856</x:v>
      </x:c>
      <x:c r="S350" s="9" t="n">
        <x:f>H350*Y349*INDEX(tun_MortChild,G350)/4*Q350</x:f>
        <x:v>14.425674099516257</x:v>
      </x:c>
      <x:c r="T350" s="9" t="n">
        <x:f>H350*Z349*INDEX(tun_MortAdult,G350)*Arch_AdultMort/4*Q350</x:f>
        <x:v>3.782341457839075</x:v>
      </x:c>
      <x:c r="U350" s="9" t="n">
        <x:f>H350*AA349*INDEX(tun_MortElder,G350)/4*Q350</x:f>
        <x:v>5.539875987556304</x:v>
      </x:c>
      <x:c r="V350" s="9" t="n">
        <x:f>H350*MAX(0,AB349-O350)*tun_OvercapLoss</x:f>
        <x:v>0</x:v>
      </x:c>
      <x:c r="W350" s="9" t="n">
        <x:f>H350*Y349/(tun_ChildYears*4)</x:f>
        <x:v>41.21621171290359</x:v>
      </x:c>
      <x:c r="X350" s="9" t="n">
        <x:f>H350*Z349/(tun_AdultYears*4)</x:f>
        <x:v>12.843264712526569</x:v>
      </x:c>
      <x:c r="Y350" s="32" t="n">
        <x:f>Y349+R350-S350-W350-Y349*V350/AB349</x:f>
        <x:v>2338.04633956111</x:v>
      </x:c>
      <x:c r="Z350" s="32" t="n">
        <x:f>Z349+W350-X350-T350-Z349*V350/AB349</x:f>
        <x:v>1617.1554298958324</x:v>
      </x:c>
      <x:c r="AA350" s="32" t="n">
        <x:f>AA349+X350-U350-AA349*V350/AB349</x:f>
        <x:v>459.5381632193624</x:v>
      </x:c>
      <x:c r="AB350" s="10" t="n">
        <x:f>Y350+Z350+AA350</x:f>
        <x:v>4414.739932676304</x:v>
      </x:c>
      <x:c r="AC350" s="8" t="n">
        <x:f>IF(AND(tun_WinterTrigger=1,D350=1,AB349/AE349&gt;=K350),1,0)</x:f>
        <x:v>0</x:v>
      </x:c>
      <x:c r="AD350" s="8" t="n">
        <x:f>H350*IF(AND(OR(AB349/AE349&gt;=tun_FissionTrigger*N350,AC350=1),AB349/AE349*tun_DaughterShare&gt;=tun_MinDaughter),MAX(1,ROUND(AE349*tun_FissionRate,0)),0)</x:f>
        <x:v>0</x:v>
      </x:c>
      <x:c r="AE350" s="8" t="n">
        <x:f>IF(H350=1,MAX(1,MIN(INDEX(tun_Smax,G350),AE349+AD350)),AE349)</x:f>
        <x:v>9</x:v>
      </x:c>
      <x:c r="AF350" s="8" t="n">
        <x:f>MAX(0,AE350-AE349)</x:f>
        <x:v>0</x:v>
      </x:c>
      <x:c r="AG350" s="9" t="str">
        <x:f>IF(AF350&gt;0,B350,"")</x:f>
      </x:c>
      <x:c r="AH350" s="9" t="n">
        <x:f>IF(F350&gt;=1,1,(1+tun_LowTiesShare*(AE350-1))/AE350)</x:f>
        <x:v>1</x:v>
      </x:c>
      <x:c r="AI350" s="32" t="n">
        <x:f>(Z350+tun_ElderCommons*INDEX(LM_Elder,G350)*AA350)*AH350</x:f>
        <x:v>3340.4235419684414</x:v>
      </x:c>
      <x:c r="AJ350" s="32" t="n">
        <x:f>H350*tun_CommonsCoef*AI350^tun_CommonsExp*INDEX(LM_Commons,G350)</x:f>
        <x:v>6907.8514606784875</x:v>
      </x:c>
      <x:c r="AK350" s="32" t="n">
        <x:f>H350*tun_RoleScale*Arch_Roles*(AE350*(INDEX(tun_ElderRolePerSett,G350)*tun_OutElder*INDEX(LM_Elder,G350)+INDEX(tun_ShamanPerSett,G350)*tun_OutShaman)+Z350*(INDEX(tun_PriestShare,G350)*tun_OutPriest+INDEX(tun_ScribeShare,G350)*tun_OutScribe*INDEX(LM_Scribe,G350)+INDEX(tun_ScholarShare,G350)*tun_OutScholar*INDEX(LM_Scholar,G350)+INDEX(tun_ResearcherShare,G350)*tun_OutResearcher*INDEX(LM_Researcher,G350)))</x:f>
        <x:v>1874.3863976789155</x:v>
      </x:c>
      <x:c r="AL350" s="32" t="n">
        <x:f>H350*tun_RoleScale*Arch_Roles*AE350*INDEX(tun_MonasteryPerSett,G350)*tun_OutMonastery*INDEX(LM_Monastery,G350)</x:f>
        <x:v>47.519999999999996</x:v>
      </x:c>
      <x:c r="AM350" s="32" t="n">
        <x:f>(AJ350+AK350+AL350)/4*INDEX(LM_All,G350)*INDEX(tun_Boon,G350)*Arch_Insight</x:f>
        <x:v>4034.923486444027</x:v>
      </x:c>
      <x:c r="AN350" s="32" t="n">
        <x:f>H350*(tun_KHPerAdult*Z350+tun_KHOfCommons*AJ350/4*INDEX(LM_All,G350))*tun_KHUsable*Arch_KH</x:f>
        <x:v>666.8872158859286</x:v>
      </x:c>
      <x:c r="AO350" s="32" t="n">
        <x:f>MIN(AP349+AN350,AM350*tun_KHMaxRatio)</x:f>
        <x:v>666.8872158859286</x:v>
      </x:c>
      <x:c r="AP350" s="32" t="n">
        <x:f>AP349+AN350-AO350</x:f>
        <x:v>0</x:v>
      </x:c>
      <x:c r="AQ350" s="32" t="n">
        <x:f>AM350+AO350</x:f>
        <x:v>4701.810702329955</x:v>
      </x:c>
      <x:c r="AR350" s="10" t="n">
        <x:f>IF(H350=1,INDEX(tun_Req,G350),0)</x:f>
        <x:v>434961.70024459995</x:v>
      </x:c>
      <x:c r="AS350" s="32" t="n">
        <x:f>IF(H350=1,IF(E350=1,AS349-AR349,AS349)+AQ350,0)</x:f>
        <x:v>133729.28195459652</x:v>
      </x:c>
      <x:c r="AT350" s="11" t="n">
        <x:f>IF(AR350&gt;0,MIN(1,AS350/AR350),1)</x:f>
        <x:v>0.30745070630217347</x:v>
      </x:c>
      <x:c r="AU350" s="10" t="n">
        <x:f>AB350/INDEX(tun_RepScale,G350)</x:f>
        <x:v>176.58959730705217</x:v>
      </x:c>
      <x:c r="AV350" s="32" t="n">
        <x:f>AM350*60/tun_SeasonSeconds</x:f>
        <x:v>16139.693945776107</x:v>
      </x:c>
    </x:row>
    <x:row r="351">
      <x:c r="A351" s="8" t="n">
        <x:f>A350+1</x:f>
        <x:v>348</x:v>
      </x:c>
      <x:c r="B351" s="9" t="n">
        <x:f>A351*tun_SeasonSeconds/60</x:f>
        <x:v>87</x:v>
      </x:c>
      <x:c r="C351" s="9" t="n">
        <x:f>A351/4</x:f>
        <x:v>87</x:v>
      </x:c>
      <x:c r="D351" s="8" t="n">
        <x:f>IF(MOD(A351,4)=0,1,0)</x:f>
        <x:v>1</x:v>
      </x:c>
      <x:c r="E351" s="8" t="n">
        <x:f>IF(AND(F350&lt;=9,AS350&gt;=AR350),1,0)</x:f>
        <x:v>0</x:v>
      </x:c>
      <x:c r="F351" s="8" t="n">
        <x:f>MIN(10,F350+E351)</x:f>
        <x:v>6</x:v>
      </x:c>
      <x:c r="G351" s="8" t="n">
        <x:f>MIN(F351,9)+1</x:f>
        <x:v>7</x:v>
      </x:c>
      <x:c r="H351" s="8" t="n">
        <x:f>IF(F351&lt;=9,1,0)</x:f>
        <x:v>1</x:v>
      </x:c>
      <x:c r="I351" s="9" t="n">
        <x:f>MIN(10,F350+IF(AR350&gt;0,MIN(1,AS350/AR350),1))</x:f>
        <x:v>6.307450706302173</x:v>
      </x:c>
      <x:c r="J351" s="32" t="n">
        <x:f>INDEX(tun_FoodCap,G351)*Arch_FoodCap*EXP(tun_CapsByProject*SUMPRODUCT((Cap_Point&lt;=I351)*(Cap_Kind="Food")*Cap_Ln))</x:f>
        <x:v>610.0101168966467</x:v>
      </x:c>
      <x:c r="K351" s="32" t="n">
        <x:f>J351*MIN(1,tun_LeanBase*EXP(tun_CapsByProject*SUMPRODUCT((Cap_Point&lt;=I351)*(Cap_Kind="Lean")*Cap_Ln)))</x:f>
        <x:v>610.0101168966467</x:v>
      </x:c>
      <x:c r="L351" s="10" t="n">
        <x:f>INDEX(tun_HousingCap,G351)*EXP(tun_CapsByProject*SUMPRODUCT((Cap_Point&lt;=I351)*(Cap_Kind="Housing")*Cap_Ln))</x:f>
        <x:v>2125.258900135082</x:v>
      </x:c>
      <x:c r="M351" s="10" t="n">
        <x:f>INDEX(tun_GroupCap,G351)*tun_CohesionFactor*EXP(tun_CapsByProject*SUMPRODUCT((Cap_Point&lt;=I351)*(Cap_Kind="Group")*Cap_Ln))</x:f>
        <x:v>50000.00000000004</x:v>
      </x:c>
      <x:c r="N351" s="32" t="n">
        <x:f>MIN(J351,L351,M351)</x:f>
        <x:v>610.0101168966467</x:v>
      </x:c>
      <x:c r="O351" s="10" t="n">
        <x:f>AE350*N351</x:f>
        <x:v>5490.09105206982</x:v>
      </x:c>
      <x:c r="P351" s="9" t="n">
        <x:f>MIN(1,(AB350/(AE350*IF(tun_GroupInCrowding=1,N351,MIN(J351,L351))))^tun_CrowdingExp)</x:f>
        <x:v>0.27036686548378486</x:v>
      </x:c>
      <x:c r="Q351" s="9" t="n">
        <x:f>IF(D351=1,INDEX(tun_WinterMult,G351),1)</x:f>
        <x:v>1.1</x:v>
      </x:c>
      <x:c r="R351" s="9" t="n">
        <x:f>H351*Z350*tun_WomenShare*tun_BaseFertility*INDEX(tun_FertMult,G351)*Arch_Fertility*(1-P351)</x:f>
        <x:v>84.36500825000918</x:v>
      </x:c>
      <x:c r="S351" s="9" t="n">
        <x:f>H351*Y350*INDEX(tun_MortChild,G351)/4*Q351</x:f>
        <x:v>16.074068584482635</x:v>
      </x:c>
      <x:c r="T351" s="9" t="n">
        <x:f>H351*Z350*INDEX(tun_MortAdult,G351)*Arch_AdultMort/4*Q351</x:f>
        <x:v>4.224818560602863</x:v>
      </x:c>
      <x:c r="U351" s="9" t="n">
        <x:f>H351*AA350*INDEX(tun_MortElder,G351)/4*Q351</x:f>
        <x:v>6.192276749380909</x:v>
      </x:c>
      <x:c r="V351" s="9" t="n">
        <x:f>H351*MAX(0,AB350-O351)*tun_OvercapLoss</x:f>
        <x:v>0</x:v>
      </x:c>
      <x:c r="W351" s="9" t="n">
        <x:f>H351*Y350/(tun_ChildYears*4)</x:f>
        <x:v>41.75082749216268</x:v>
      </x:c>
      <x:c r="X351" s="9" t="n">
        <x:f>H351*Z350/(tun_AdultYears*4)</x:f>
        <x:v>13.041576047547036</x:v>
      </x:c>
      <x:c r="Y351" s="32" t="n">
        <x:f>Y350+R351-S351-W351-Y350*V351/AB350</x:f>
        <x:v>2364.586451734474</x:v>
      </x:c>
      <x:c r="Z351" s="32" t="n">
        <x:f>Z350+W351-X351-T351-Z350*V351/AB350</x:f>
        <x:v>1641.639862779845</x:v>
      </x:c>
      <x:c r="AA351" s="32" t="n">
        <x:f>AA350+X351-U351-AA350*V351/AB350</x:f>
        <x:v>466.38746251752855</x:v>
      </x:c>
      <x:c r="AB351" s="10" t="n">
        <x:f>Y351+Z351+AA351</x:f>
        <x:v>4472.613777031847</x:v>
      </x:c>
      <x:c r="AC351" s="8" t="n">
        <x:f>IF(AND(tun_WinterTrigger=1,D351=1,AB350/AE350&gt;=K351),1,0)</x:f>
        <x:v>0</x:v>
      </x:c>
      <x:c r="AD351" s="8" t="n">
        <x:f>H351*IF(AND(OR(AB350/AE350&gt;=tun_FissionTrigger*N351,AC351=1),AB350/AE350*tun_DaughterShare&gt;=tun_MinDaughter),MAX(1,ROUND(AE350*tun_FissionRate,0)),0)</x:f>
        <x:v>0</x:v>
      </x:c>
      <x:c r="AE351" s="8" t="n">
        <x:f>IF(H351=1,MAX(1,MIN(INDEX(tun_Smax,G351),AE350+AD351)),AE350)</x:f>
        <x:v>9</x:v>
      </x:c>
      <x:c r="AF351" s="8" t="n">
        <x:f>MAX(0,AE351-AE350)</x:f>
        <x:v>0</x:v>
      </x:c>
      <x:c r="AG351" s="9" t="str">
        <x:f>IF(AF351&gt;0,B351,"")</x:f>
      </x:c>
      <x:c r="AH351" s="9" t="n">
        <x:f>IF(F351&gt;=1,1,(1+tun_LowTiesShare*(AE351-1))/AE351)</x:f>
        <x:v>1</x:v>
      </x:c>
      <x:c r="AI351" s="32" t="n">
        <x:f>(Z351+tun_ElderCommons*INDEX(LM_Elder,G351)*AA351)*AH351</x:f>
        <x:v>3390.592847220577</x:v>
      </x:c>
      <x:c r="AJ351" s="32" t="n">
        <x:f>H351*tun_CommonsCoef*AI351^tun_CommonsExp*INDEX(LM_Commons,G351)</x:f>
        <x:v>6995.9384554179405</x:v>
      </x:c>
      <x:c r="AK351" s="32" t="n">
        <x:f>H351*tun_RoleScale*Arch_Roles*(AE351*(INDEX(tun_ElderRolePerSett,G351)*tun_OutElder*INDEX(LM_Elder,G351)+INDEX(tun_ShamanPerSett,G351)*tun_OutShaman)+Z351*(INDEX(tun_PriestShare,G351)*tun_OutPriest+INDEX(tun_ScribeShare,G351)*tun_OutScribe*INDEX(LM_Scribe,G351)+INDEX(tun_ScholarShare,G351)*tun_OutScholar*INDEX(LM_Scholar,G351)+INDEX(tun_ResearcherShare,G351)*tun_OutResearcher*INDEX(LM_Researcher,G351)))</x:f>
        <x:v>1899.0862935723076</x:v>
      </x:c>
      <x:c r="AL351" s="32" t="n">
        <x:f>H351*tun_RoleScale*Arch_Roles*AE351*INDEX(tun_MonasteryPerSett,G351)*tun_OutMonastery*INDEX(LM_Monastery,G351)</x:f>
        <x:v>47.519999999999996</x:v>
      </x:c>
      <x:c r="AM351" s="32" t="n">
        <x:f>(AJ351+AK351+AL351)/4*INDEX(LM_All,G351)*INDEX(tun_Boon,G351)*Arch_Insight</x:f>
        <x:v>4086.463571832294</x:v>
      </x:c>
      <x:c r="AN351" s="32" t="n">
        <x:f>H351*(tun_KHPerAdult*Z351+tun_KHOfCommons*AJ351/4*INDEX(LM_All,G351))*tun_KHUsable*Arch_KH</x:f>
        <x:v>675.3911756210128</x:v>
      </x:c>
      <x:c r="AO351" s="32" t="n">
        <x:f>MIN(AP350+AN351,AM351*tun_KHMaxRatio)</x:f>
        <x:v>675.3911756210128</x:v>
      </x:c>
      <x:c r="AP351" s="32" t="n">
        <x:f>AP350+AN351-AO351</x:f>
        <x:v>0</x:v>
      </x:c>
      <x:c r="AQ351" s="32" t="n">
        <x:f>AM351+AO351</x:f>
        <x:v>4761.854747453307</x:v>
      </x:c>
      <x:c r="AR351" s="10" t="n">
        <x:f>IF(H351=1,INDEX(tun_Req,G351),0)</x:f>
        <x:v>434961.70024459995</x:v>
      </x:c>
      <x:c r="AS351" s="32" t="n">
        <x:f>IF(H351=1,IF(E351=1,AS350-AR350,AS350)+AQ351,0)</x:f>
        <x:v>138491.13670204981</x:v>
      </x:c>
      <x:c r="AT351" s="11" t="n">
        <x:f>IF(AR351&gt;0,MIN(1,AS351/AR351),1)</x:f>
        <x:v>0.31839846272480904</x:v>
      </x:c>
      <x:c r="AU351" s="10" t="n">
        <x:f>AB351/INDEX(tun_RepScale,G351)</x:f>
        <x:v>178.9045510812739</x:v>
      </x:c>
      <x:c r="AV351" s="32" t="n">
        <x:f>AM351*60/tun_SeasonSeconds</x:f>
        <x:v>16345.854287329175</x:v>
      </x:c>
    </x:row>
    <x:row r="352">
      <x:c r="A352" s="8" t="n">
        <x:f>A351+1</x:f>
        <x:v>349</x:v>
      </x:c>
      <x:c r="B352" s="9" t="n">
        <x:f>A352*tun_SeasonSeconds/60</x:f>
        <x:v>87.25</x:v>
      </x:c>
      <x:c r="C352" s="9" t="n">
        <x:f>A352/4</x:f>
        <x:v>87.25</x:v>
      </x:c>
      <x:c r="D352" s="8" t="n">
        <x:f>IF(MOD(A352,4)=0,1,0)</x:f>
        <x:v>0</x:v>
      </x:c>
      <x:c r="E352" s="8" t="n">
        <x:f>IF(AND(F351&lt;=9,AS351&gt;=AR351),1,0)</x:f>
        <x:v>0</x:v>
      </x:c>
      <x:c r="F352" s="8" t="n">
        <x:f>MIN(10,F351+E352)</x:f>
        <x:v>6</x:v>
      </x:c>
      <x:c r="G352" s="8" t="n">
        <x:f>MIN(F352,9)+1</x:f>
        <x:v>7</x:v>
      </x:c>
      <x:c r="H352" s="8" t="n">
        <x:f>IF(F352&lt;=9,1,0)</x:f>
        <x:v>1</x:v>
      </x:c>
      <x:c r="I352" s="9" t="n">
        <x:f>MIN(10,F351+IF(AR351&gt;0,MIN(1,AS351/AR351),1))</x:f>
        <x:v>6.318398462724809</x:v>
      </x:c>
      <x:c r="J352" s="32" t="n">
        <x:f>INDEX(tun_FoodCap,G352)*Arch_FoodCap*EXP(tun_CapsByProject*SUMPRODUCT((Cap_Point&lt;=I352)*(Cap_Kind="Food")*Cap_Ln))</x:f>
        <x:v>610.0101168966467</x:v>
      </x:c>
      <x:c r="K352" s="32" t="n">
        <x:f>J352*MIN(1,tun_LeanBase*EXP(tun_CapsByProject*SUMPRODUCT((Cap_Point&lt;=I352)*(Cap_Kind="Lean")*Cap_Ln)))</x:f>
        <x:v>610.0101168966467</x:v>
      </x:c>
      <x:c r="L352" s="10" t="n">
        <x:f>INDEX(tun_HousingCap,G352)*EXP(tun_CapsByProject*SUMPRODUCT((Cap_Point&lt;=I352)*(Cap_Kind="Housing")*Cap_Ln))</x:f>
        <x:v>2125.258900135082</x:v>
      </x:c>
      <x:c r="M352" s="10" t="n">
        <x:f>INDEX(tun_GroupCap,G352)*tun_CohesionFactor*EXP(tun_CapsByProject*SUMPRODUCT((Cap_Point&lt;=I352)*(Cap_Kind="Group")*Cap_Ln))</x:f>
        <x:v>50000.00000000004</x:v>
      </x:c>
      <x:c r="N352" s="32" t="n">
        <x:f>MIN(J352,L352,M352)</x:f>
        <x:v>610.0101168966467</x:v>
      </x:c>
      <x:c r="O352" s="10" t="n">
        <x:f>AE351*N352</x:f>
        <x:v>5490.09105206982</x:v>
      </x:c>
      <x:c r="P352" s="9" t="n">
        <x:f>MIN(1,(AB351/(AE351*IF(tun_GroupInCrowding=1,N352,MIN(J352,L352))))^tun_CrowdingExp)</x:f>
        <x:v>0.2923419235167695</x:v>
      </x:c>
      <x:c r="Q352" s="9" t="n">
        <x:f>IF(D352=1,INDEX(tun_WinterMult,G352),1)</x:f>
        <x:v>1</x:v>
      </x:c>
      <x:c r="R352" s="9" t="n">
        <x:f>H352*Z351*tun_WomenShare*tun_BaseFertility*INDEX(tun_FertMult,G352)*Arch_Fertility*(1-P352)</x:f>
        <x:v>83.06295909146806</x:v>
      </x:c>
      <x:c r="S352" s="9" t="n">
        <x:f>H352*Y351*INDEX(tun_MortChild,G352)/4*Q352</x:f>
        <x:v>14.778665323340462</x:v>
      </x:c>
      <x:c r="T352" s="9" t="n">
        <x:f>H352*Z351*INDEX(tun_MortAdult,G352)*Arch_AdultMort/4*Q352</x:f>
        <x:v>3.898894674102132</x:v>
      </x:c>
      <x:c r="U352" s="9" t="n">
        <x:f>H352*AA351*INDEX(tun_MortElder,G352)/4*Q352</x:f>
        <x:v>5.713246415839725</x:v>
      </x:c>
      <x:c r="V352" s="9" t="n">
        <x:f>H352*MAX(0,AB351-O352)*tun_OvercapLoss</x:f>
        <x:v>0</x:v>
      </x:c>
      <x:c r="W352" s="9" t="n">
        <x:f>H352*Y351/(tun_ChildYears*4)</x:f>
        <x:v>42.22475806668704</x:v>
      </x:c>
      <x:c r="X352" s="9" t="n">
        <x:f>H352*Z351/(tun_AdultYears*4)</x:f>
        <x:v>13.239031151450364</x:v>
      </x:c>
      <x:c r="Y352" s="32" t="n">
        <x:f>Y351+R352-S352-W352-Y351*V352/AB351</x:f>
        <x:v>2390.6459874359143</x:v>
      </x:c>
      <x:c r="Z352" s="32" t="n">
        <x:f>Z351+W352-X352-T352-Z351*V352/AB351</x:f>
        <x:v>1666.7266950209796</x:v>
      </x:c>
      <x:c r="AA352" s="32" t="n">
        <x:f>AA351+X352-U352-AA351*V352/AB351</x:f>
        <x:v>473.9132472531392</x:v>
      </x:c>
      <x:c r="AB352" s="10" t="n">
        <x:f>Y352+Z352+AA352</x:f>
        <x:v>4531.285929710033</x:v>
      </x:c>
      <x:c r="AC352" s="8" t="n">
        <x:f>IF(AND(tun_WinterTrigger=1,D352=1,AB351/AE351&gt;=K352),1,0)</x:f>
        <x:v>0</x:v>
      </x:c>
      <x:c r="AD352" s="8" t="n">
        <x:f>H352*IF(AND(OR(AB351/AE351&gt;=tun_FissionTrigger*N352,AC352=1),AB351/AE351*tun_DaughterShare&gt;=tun_MinDaughter),MAX(1,ROUND(AE351*tun_FissionRate,0)),0)</x:f>
        <x:v>0</x:v>
      </x:c>
      <x:c r="AE352" s="8" t="n">
        <x:f>IF(H352=1,MAX(1,MIN(INDEX(tun_Smax,G352),AE351+AD352)),AE351)</x:f>
        <x:v>9</x:v>
      </x:c>
      <x:c r="AF352" s="8" t="n">
        <x:f>MAX(0,AE352-AE351)</x:f>
        <x:v>0</x:v>
      </x:c>
      <x:c r="AG352" s="9" t="str">
        <x:f>IF(AF352&gt;0,B352,"")</x:f>
      </x:c>
      <x:c r="AH352" s="9" t="n">
        <x:f>IF(F352&gt;=1,1,(1+tun_LowTiesShare*(AE352-1))/AE352)</x:f>
        <x:v>1</x:v>
      </x:c>
      <x:c r="AI352" s="32" t="n">
        <x:f>(Z352+tun_ElderCommons*INDEX(LM_Elder,G352)*AA352)*AH352</x:f>
        <x:v>3443.9013722202517</x:v>
      </x:c>
      <x:c r="AJ352" s="32" t="n">
        <x:f>H352*tun_CommonsCoef*AI352^tun_CommonsExp*INDEX(LM_Commons,G352)</x:f>
        <x:v>7089.323338364662</x:v>
      </x:c>
      <x:c r="AK352" s="32" t="n">
        <x:f>H352*tun_RoleScale*Arch_Roles*(AE352*(INDEX(tun_ElderRolePerSett,G352)*tun_OutElder*INDEX(LM_Elder,G352)+INDEX(tun_ShamanPerSett,G352)*tun_OutShaman)+Z352*(INDEX(tun_PriestShare,G352)*tun_OutPriest+INDEX(tun_ScribeShare,G352)*tun_OutScribe*INDEX(LM_Scribe,G352)+INDEX(tun_ScholarShare,G352)*tun_OutScholar*INDEX(LM_Scholar,G352)+INDEX(tun_ResearcherShare,G352)*tun_OutResearcher*INDEX(LM_Researcher,G352)))</x:f>
        <x:v>1924.3938899371642</x:v>
      </x:c>
      <x:c r="AL352" s="32" t="n">
        <x:f>H352*tun_RoleScale*Arch_Roles*AE352*INDEX(tun_MonasteryPerSett,G352)*tun_OutMonastery*INDEX(LM_Monastery,G352)</x:f>
        <x:v>47.519999999999996</x:v>
      </x:c>
      <x:c r="AM352" s="32" t="n">
        <x:f>(AJ352+AK352+AL352)/4*INDEX(LM_All,G352)*INDEX(tun_Boon,G352)*Arch_Insight</x:f>
        <x:v>4140.702326747329</x:v>
      </x:c>
      <x:c r="AN352" s="32" t="n">
        <x:f>H352*(tun_KHPerAdult*Z352+tun_KHOfCommons*AJ352/4*INDEX(LM_All,G352))*tun_KHUsable*Arch_KH</x:f>
        <x:v>684.4065959653374</x:v>
      </x:c>
      <x:c r="AO352" s="32" t="n">
        <x:f>MIN(AP351+AN352,AM352*tun_KHMaxRatio)</x:f>
        <x:v>684.4065959653374</x:v>
      </x:c>
      <x:c r="AP352" s="32" t="n">
        <x:f>AP351+AN352-AO352</x:f>
        <x:v>0</x:v>
      </x:c>
      <x:c r="AQ352" s="32" t="n">
        <x:f>AM352+AO352</x:f>
        <x:v>4825.108922712666</x:v>
      </x:c>
      <x:c r="AR352" s="10" t="n">
        <x:f>IF(H352=1,INDEX(tun_Req,G352),0)</x:f>
        <x:v>434961.70024459995</x:v>
      </x:c>
      <x:c r="AS352" s="32" t="n">
        <x:f>IF(H352=1,IF(E352=1,AS351-AR351,AS351)+AQ352,0)</x:f>
        <x:v>143316.2456247625</x:v>
      </x:c>
      <x:c r="AT352" s="11" t="n">
        <x:f>IF(AR352&gt;0,MIN(1,AS352/AR352),1)</x:f>
        <x:v>0.3294916438485707</x:v>
      </x:c>
      <x:c r="AU352" s="10" t="n">
        <x:f>AB352/INDEX(tun_RepScale,G352)</x:f>
        <x:v>181.25143718840133</x:v>
      </x:c>
      <x:c r="AV352" s="32" t="n">
        <x:f>AM352*60/tun_SeasonSeconds</x:f>
        <x:v>16562.809306989315</x:v>
      </x:c>
    </x:row>
    <x:row r="353">
      <x:c r="A353" s="8" t="n">
        <x:f>A352+1</x:f>
        <x:v>350</x:v>
      </x:c>
      <x:c r="B353" s="9" t="n">
        <x:f>A353*tun_SeasonSeconds/60</x:f>
        <x:v>87.5</x:v>
      </x:c>
      <x:c r="C353" s="9" t="n">
        <x:f>A353/4</x:f>
        <x:v>87.5</x:v>
      </x:c>
      <x:c r="D353" s="8" t="n">
        <x:f>IF(MOD(A353,4)=0,1,0)</x:f>
        <x:v>0</x:v>
      </x:c>
      <x:c r="E353" s="8" t="n">
        <x:f>IF(AND(F352&lt;=9,AS352&gt;=AR352),1,0)</x:f>
        <x:v>0</x:v>
      </x:c>
      <x:c r="F353" s="8" t="n">
        <x:f>MIN(10,F352+E353)</x:f>
        <x:v>6</x:v>
      </x:c>
      <x:c r="G353" s="8" t="n">
        <x:f>MIN(F353,9)+1</x:f>
        <x:v>7</x:v>
      </x:c>
      <x:c r="H353" s="8" t="n">
        <x:f>IF(F353&lt;=9,1,0)</x:f>
        <x:v>1</x:v>
      </x:c>
      <x:c r="I353" s="9" t="n">
        <x:f>MIN(10,F352+IF(AR352&gt;0,MIN(1,AS352/AR352),1))</x:f>
        <x:v>6.329491643848571</x:v>
      </x:c>
      <x:c r="J353" s="32" t="n">
        <x:f>INDEX(tun_FoodCap,G353)*Arch_FoodCap*EXP(tun_CapsByProject*SUMPRODUCT((Cap_Point&lt;=I353)*(Cap_Kind="Food")*Cap_Ln))</x:f>
        <x:v>610.0101168966467</x:v>
      </x:c>
      <x:c r="K353" s="32" t="n">
        <x:f>J353*MIN(1,tun_LeanBase*EXP(tun_CapsByProject*SUMPRODUCT((Cap_Point&lt;=I353)*(Cap_Kind="Lean")*Cap_Ln)))</x:f>
        <x:v>610.0101168966467</x:v>
      </x:c>
      <x:c r="L353" s="10" t="n">
        <x:f>INDEX(tun_HousingCap,G353)*EXP(tun_CapsByProject*SUMPRODUCT((Cap_Point&lt;=I353)*(Cap_Kind="Housing")*Cap_Ln))</x:f>
        <x:v>2125.258900135082</x:v>
      </x:c>
      <x:c r="M353" s="10" t="n">
        <x:f>INDEX(tun_GroupCap,G353)*tun_CohesionFactor*EXP(tun_CapsByProject*SUMPRODUCT((Cap_Point&lt;=I353)*(Cap_Kind="Group")*Cap_Ln))</x:f>
        <x:v>50000.00000000004</x:v>
      </x:c>
      <x:c r="N353" s="32" t="n">
        <x:f>MIN(J353,L353,M353)</x:f>
        <x:v>610.0101168966467</x:v>
      </x:c>
      <x:c r="O353" s="10" t="n">
        <x:f>AE352*N353</x:f>
        <x:v>5490.09105206982</x:v>
      </x:c>
      <x:c r="P353" s="9" t="n">
        <x:f>MIN(1,(AB352/(AE352*IF(tun_GroupInCrowding=1,N353,MIN(J353,L353))))^tun_CrowdingExp)</x:f>
        <x:v>0.31611967164995064</x:v>
      </x:c>
      <x:c r="Q353" s="9" t="n">
        <x:f>IF(D353=1,INDEX(tun_WinterMult,G353),1)</x:f>
        <x:v>1</x:v>
      </x:c>
      <x:c r="R353" s="9" t="n">
        <x:f>H353*Z352*tun_WomenShare*tun_BaseFertility*INDEX(tun_FertMult,G353)*Arch_Fertility*(1-P353)</x:f>
        <x:v>81.49867436144292</x:v>
      </x:c>
      <x:c r="S353" s="9" t="n">
        <x:f>H353*Y352*INDEX(tun_MortChild,G353)/4*Q353</x:f>
        <x:v>14.941537421474465</x:v>
      </x:c>
      <x:c r="T353" s="9" t="n">
        <x:f>H353*Z352*INDEX(tun_MortAdult,G353)*Arch_AdultMort/4*Q353</x:f>
        <x:v>3.9584759006748262</x:v>
      </x:c>
      <x:c r="U353" s="9" t="n">
        <x:f>H353*AA352*INDEX(tun_MortElder,G353)/4*Q353</x:f>
        <x:v>5.805437278850956</x:v>
      </x:c>
      <x:c r="V353" s="9" t="n">
        <x:f>H353*MAX(0,AB352-O353)*tun_OvercapLoss</x:f>
        <x:v>0</x:v>
      </x:c>
      <x:c r="W353" s="9" t="n">
        <x:f>H353*Y352/(tun_ChildYears*4)</x:f>
        <x:v>42.69010691849847</x:v>
      </x:c>
      <x:c r="X353" s="9" t="n">
        <x:f>H353*Z352/(tun_AdultYears*4)</x:f>
        <x:v>13.441344314685319</x:v>
      </x:c>
      <x:c r="Y353" s="32" t="n">
        <x:f>Y352+R353-S353-W353-Y352*V353/AB352</x:f>
        <x:v>2414.5130174573846</x:v>
      </x:c>
      <x:c r="Z353" s="32" t="n">
        <x:f>Z352+W353-X353-T353-Z352*V353/AB352</x:f>
        <x:v>1692.016981724118</x:v>
      </x:c>
      <x:c r="AA353" s="32" t="n">
        <x:f>AA352+X353-U353-AA352*V353/AB352</x:f>
        <x:v>481.54915428897357</x:v>
      </x:c>
      <x:c r="AB353" s="10" t="n">
        <x:f>Y353+Z353+AA353</x:f>
        <x:v>4588.079153470477</x:v>
      </x:c>
      <x:c r="AC353" s="8" t="n">
        <x:f>IF(AND(tun_WinterTrigger=1,D353=1,AB352/AE352&gt;=K353),1,0)</x:f>
        <x:v>0</x:v>
      </x:c>
      <x:c r="AD353" s="8" t="n">
        <x:f>H353*IF(AND(OR(AB352/AE352&gt;=tun_FissionTrigger*N353,AC353=1),AB352/AE352*tun_DaughterShare&gt;=tun_MinDaughter),MAX(1,ROUND(AE352*tun_FissionRate,0)),0)</x:f>
        <x:v>0</x:v>
      </x:c>
      <x:c r="AE353" s="8" t="n">
        <x:f>IF(H353=1,MAX(1,MIN(INDEX(tun_Smax,G353),AE352+AD353)),AE352)</x:f>
        <x:v>9</x:v>
      </x:c>
      <x:c r="AF353" s="8" t="n">
        <x:f>MAX(0,AE353-AE352)</x:f>
        <x:v>0</x:v>
      </x:c>
      <x:c r="AG353" s="9" t="str">
        <x:f>IF(AF353&gt;0,B353,"")</x:f>
      </x:c>
      <x:c r="AH353" s="9" t="n">
        <x:f>IF(F353&gt;=1,1,(1+tun_LowTiesShare*(AE353-1))/AE353)</x:f>
        <x:v>1</x:v>
      </x:c>
      <x:c r="AI353" s="32" t="n">
        <x:f>(Z353+tun_ElderCommons*INDEX(LM_Elder,G353)*AA353)*AH353</x:f>
        <x:v>3497.826310307769</x:v>
      </x:c>
      <x:c r="AJ353" s="32" t="n">
        <x:f>H353*tun_CommonsCoef*AI353^tun_CommonsExp*INDEX(LM_Commons,G353)</x:f>
        <x:v>7183.567701234837</x:v>
      </x:c>
      <x:c r="AK353" s="32" t="n">
        <x:f>H353*tun_RoleScale*Arch_Roles*(AE353*(INDEX(tun_ElderRolePerSett,G353)*tun_OutElder*INDEX(LM_Elder,G353)+INDEX(tun_ShamanPerSett,G353)*tun_OutShaman)+Z353*(INDEX(tun_PriestShare,G353)*tun_OutPriest+INDEX(tun_ScribeShare,G353)*tun_OutScribe*INDEX(LM_Scribe,G353)+INDEX(tun_ScholarShare,G353)*tun_OutScholar*INDEX(LM_Scholar,G353)+INDEX(tun_ResearcherShare,G353)*tun_OutResearcher*INDEX(LM_Researcher,G353)))</x:f>
        <x:v>1949.9067311632903</x:v>
      </x:c>
      <x:c r="AL353" s="32" t="n">
        <x:f>H353*tun_RoleScale*Arch_Roles*AE353*INDEX(tun_MonasteryPerSett,G353)*tun_OutMonastery*INDEX(LM_Monastery,G353)</x:f>
        <x:v>47.519999999999996</x:v>
      </x:c>
      <x:c r="AM353" s="32" t="n">
        <x:f>(AJ353+AK353+AL353)/4*INDEX(LM_All,G353)*INDEX(tun_Boon,G353)*Arch_Insight</x:f>
        <x:v>4195.42762762539</x:v>
      </x:c>
      <x:c r="AN353" s="32" t="n">
        <x:f>H353*(tun_KHPerAdult*Z353+tun_KHOfCommons*AJ353/4*INDEX(LM_All,G353))*tun_KHUsable*Arch_KH</x:f>
        <x:v>693.5049909040815</x:v>
      </x:c>
      <x:c r="AO353" s="32" t="n">
        <x:f>MIN(AP352+AN353,AM353*tun_KHMaxRatio)</x:f>
        <x:v>693.5049909040815</x:v>
      </x:c>
      <x:c r="AP353" s="32" t="n">
        <x:f>AP352+AN353-AO353</x:f>
        <x:v>0</x:v>
      </x:c>
      <x:c r="AQ353" s="32" t="n">
        <x:f>AM353+AO353</x:f>
        <x:v>4888.932618529472</x:v>
      </x:c>
      <x:c r="AR353" s="10" t="n">
        <x:f>IF(H353=1,INDEX(tun_Req,G353),0)</x:f>
        <x:v>434961.70024459995</x:v>
      </x:c>
      <x:c r="AS353" s="32" t="n">
        <x:f>IF(H353=1,IF(E353=1,AS352-AR352,AS352)+AQ353,0)</x:f>
        <x:v>148205.17824329197</x:v>
      </x:c>
      <x:c r="AT353" s="11" t="n">
        <x:f>IF(AR353&gt;0,MIN(1,AS353/AR353),1)</x:f>
        <x:v>0.3407315590314022</x:v>
      </x:c>
      <x:c r="AU353" s="10" t="n">
        <x:f>AB353/INDEX(tun_RepScale,G353)</x:f>
        <x:v>183.52316613881908</x:v>
      </x:c>
      <x:c r="AV353" s="32" t="n">
        <x:f>AM353*60/tun_SeasonSeconds</x:f>
        <x:v>16781.71051050156</x:v>
      </x:c>
    </x:row>
    <x:row r="354">
      <x:c r="A354" s="8" t="n">
        <x:f>A353+1</x:f>
        <x:v>351</x:v>
      </x:c>
      <x:c r="B354" s="9" t="n">
        <x:f>A354*tun_SeasonSeconds/60</x:f>
        <x:v>87.75</x:v>
      </x:c>
      <x:c r="C354" s="9" t="n">
        <x:f>A354/4</x:f>
        <x:v>87.75</x:v>
      </x:c>
      <x:c r="D354" s="8" t="n">
        <x:f>IF(MOD(A354,4)=0,1,0)</x:f>
        <x:v>0</x:v>
      </x:c>
      <x:c r="E354" s="8" t="n">
        <x:f>IF(AND(F353&lt;=9,AS353&gt;=AR353),1,0)</x:f>
        <x:v>0</x:v>
      </x:c>
      <x:c r="F354" s="8" t="n">
        <x:f>MIN(10,F353+E354)</x:f>
        <x:v>6</x:v>
      </x:c>
      <x:c r="G354" s="8" t="n">
        <x:f>MIN(F354,9)+1</x:f>
        <x:v>7</x:v>
      </x:c>
      <x:c r="H354" s="8" t="n">
        <x:f>IF(F354&lt;=9,1,0)</x:f>
        <x:v>1</x:v>
      </x:c>
      <x:c r="I354" s="9" t="n">
        <x:f>MIN(10,F353+IF(AR353&gt;0,MIN(1,AS353/AR353),1))</x:f>
        <x:v>6.340731559031402</x:v>
      </x:c>
      <x:c r="J354" s="32" t="n">
        <x:f>INDEX(tun_FoodCap,G354)*Arch_FoodCap*EXP(tun_CapsByProject*SUMPRODUCT((Cap_Point&lt;=I354)*(Cap_Kind="Food")*Cap_Ln))</x:f>
        <x:v>610.0101168966467</x:v>
      </x:c>
      <x:c r="K354" s="32" t="n">
        <x:f>J354*MIN(1,tun_LeanBase*EXP(tun_CapsByProject*SUMPRODUCT((Cap_Point&lt;=I354)*(Cap_Kind="Lean")*Cap_Ln)))</x:f>
        <x:v>610.0101168966467</x:v>
      </x:c>
      <x:c r="L354" s="10" t="n">
        <x:f>INDEX(tun_HousingCap,G354)*EXP(tun_CapsByProject*SUMPRODUCT((Cap_Point&lt;=I354)*(Cap_Kind="Housing")*Cap_Ln))</x:f>
        <x:v>2125.258900135082</x:v>
      </x:c>
      <x:c r="M354" s="10" t="n">
        <x:f>INDEX(tun_GroupCap,G354)*tun_CohesionFactor*EXP(tun_CapsByProject*SUMPRODUCT((Cap_Point&lt;=I354)*(Cap_Kind="Group")*Cap_Ln))</x:f>
        <x:v>50000.00000000004</x:v>
      </x:c>
      <x:c r="N354" s="32" t="n">
        <x:f>MIN(J354,L354,M354)</x:f>
        <x:v>610.0101168966467</x:v>
      </x:c>
      <x:c r="O354" s="10" t="n">
        <x:f>AE353*N354</x:f>
        <x:v>5490.09105206982</x:v>
      </x:c>
      <x:c r="P354" s="9" t="n">
        <x:f>MIN(1,(AB353/(AE353*IF(tun_GroupInCrowding=1,N354,MIN(J354,L354))))^tun_CrowdingExp)</x:f>
        <x:v>0.34064979131885703</x:v>
      </x:c>
      <x:c r="Q354" s="9" t="n">
        <x:f>IF(D354=1,INDEX(tun_WinterMult,G354),1)</x:f>
        <x:v>1</x:v>
      </x:c>
      <x:c r="R354" s="9" t="n">
        <x:f>H354*Z353*tun_WomenShare*tun_BaseFertility*INDEX(tun_FertMult,G354)*Arch_Fertility*(1-P354)</x:f>
        <x:v>79.76767012441618</x:v>
      </x:c>
      <x:c r="S354" s="9" t="n">
        <x:f>H354*Y353*INDEX(tun_MortChild,G354)/4*Q354</x:f>
        <x:v>15.090706359108655</x:v>
      </x:c>
      <x:c r="T354" s="9" t="n">
        <x:f>H354*Z353*INDEX(tun_MortAdult,G354)*Arch_AdultMort/4*Q354</x:f>
        <x:v>4.018540331594781</x:v>
      </x:c>
      <x:c r="U354" s="9" t="n">
        <x:f>H354*AA353*INDEX(tun_MortElder,G354)/4*Q354</x:f>
        <x:v>5.898977140039927</x:v>
      </x:c>
      <x:c r="V354" s="9" t="n">
        <x:f>H354*MAX(0,AB353-O354)*tun_OvercapLoss</x:f>
        <x:v>0</x:v>
      </x:c>
      <x:c r="W354" s="9" t="n">
        <x:f>H354*Y353/(tun_ChildYears*4)</x:f>
        <x:v>43.11630388316758</x:v>
      </x:c>
      <x:c r="X354" s="9" t="n">
        <x:f>H354*Z353/(tun_AdultYears*4)</x:f>
        <x:v>13.64529823971063</x:v>
      </x:c>
      <x:c r="Y354" s="32" t="n">
        <x:f>Y353+R354-S354-W354-Y353*V354/AB353</x:f>
        <x:v>2436.0736773395247</x:v>
      </x:c>
      <x:c r="Z354" s="32" t="n">
        <x:f>Z353+W354-X354-T354-Z353*V354/AB353</x:f>
        <x:v>1717.4694470359802</x:v>
      </x:c>
      <x:c r="AA354" s="32" t="n">
        <x:f>AA353+X354-U354-AA353*V354/AB353</x:f>
        <x:v>489.2954753886443</x:v>
      </x:c>
      <x:c r="AB354" s="10" t="n">
        <x:f>Y354+Z354+AA354</x:f>
        <x:v>4642.838599764149</x:v>
      </x:c>
      <x:c r="AC354" s="8" t="n">
        <x:f>IF(AND(tun_WinterTrigger=1,D354=1,AB353/AE353&gt;=K354),1,0)</x:f>
        <x:v>0</x:v>
      </x:c>
      <x:c r="AD354" s="8" t="n">
        <x:f>H354*IF(AND(OR(AB353/AE353&gt;=tun_FissionTrigger*N354,AC354=1),AB353/AE353*tun_DaughterShare&gt;=tun_MinDaughter),MAX(1,ROUND(AE353*tun_FissionRate,0)),0)</x:f>
        <x:v>0</x:v>
      </x:c>
      <x:c r="AE354" s="8" t="n">
        <x:f>IF(H354=1,MAX(1,MIN(INDEX(tun_Smax,G354),AE353+AD354)),AE353)</x:f>
        <x:v>9</x:v>
      </x:c>
      <x:c r="AF354" s="8" t="n">
        <x:f>MAX(0,AE354-AE353)</x:f>
        <x:v>0</x:v>
      </x:c>
      <x:c r="AG354" s="9" t="str">
        <x:f>IF(AF354&gt;0,B354,"")</x:f>
      </x:c>
      <x:c r="AH354" s="9" t="n">
        <x:f>IF(F354&gt;=1,1,(1+tun_LowTiesShare*(AE354-1))/AE354)</x:f>
        <x:v>1</x:v>
      </x:c>
      <x:c r="AI354" s="32" t="n">
        <x:f>(Z354+tun_ElderCommons*INDEX(LM_Elder,G354)*AA354)*AH354</x:f>
        <x:v>3552.3274797433965</x:v>
      </x:c>
      <x:c r="AJ354" s="32" t="n">
        <x:f>H354*tun_CommonsCoef*AI354^tun_CommonsExp*INDEX(LM_Commons,G354)</x:f>
        <x:v>7278.5979549349395</x:v>
      </x:c>
      <x:c r="AK354" s="32" t="n">
        <x:f>H354*tun_RoleScale*Arch_Roles*(AE354*(INDEX(tun_ElderRolePerSett,G354)*tun_OutElder*INDEX(LM_Elder,G354)+INDEX(tun_ShamanPerSett,G354)*tun_OutShaman)+Z354*(INDEX(tun_PriestShare,G354)*tun_OutPriest+INDEX(tun_ScribeShare,G354)*tun_OutScribe*INDEX(LM_Scribe,G354)+INDEX(tun_ScholarShare,G354)*tun_OutScholar*INDEX(LM_Scholar,G354)+INDEX(tun_ResearcherShare,G354)*tun_OutResearcher*INDEX(LM_Researcher,G354)))</x:f>
        <x:v>1975.5831781698967</x:v>
      </x:c>
      <x:c r="AL354" s="32" t="n">
        <x:f>H354*tun_RoleScale*Arch_Roles*AE354*INDEX(tun_MonasteryPerSett,G354)*tun_OutMonastery*INDEX(LM_Monastery,G354)</x:f>
        <x:v>47.519999999999996</x:v>
      </x:c>
      <x:c r="AM354" s="32" t="n">
        <x:f>(AJ354+AK354+AL354)/4*INDEX(LM_All,G354)*INDEX(tun_Boon,G354)*Arch_Insight</x:f>
        <x:v>4250.586818790715</x:v>
      </x:c>
      <x:c r="AN354" s="32" t="n">
        <x:f>H354*(tun_KHPerAdult*Z354+tun_KHOfCommons*AJ354/4*INDEX(LM_All,G354))*tun_KHUsable*Arch_KH</x:f>
        <x:v>702.6792561116849</x:v>
      </x:c>
      <x:c r="AO354" s="32" t="n">
        <x:f>MIN(AP353+AN354,AM354*tun_KHMaxRatio)</x:f>
        <x:v>702.6792561116849</x:v>
      </x:c>
      <x:c r="AP354" s="32" t="n">
        <x:f>AP353+AN354-AO354</x:f>
        <x:v>0</x:v>
      </x:c>
      <x:c r="AQ354" s="32" t="n">
        <x:f>AM354+AO354</x:f>
        <x:v>4953.2660749024</x:v>
      </x:c>
      <x:c r="AR354" s="10" t="n">
        <x:f>IF(H354=1,INDEX(tun_Req,G354),0)</x:f>
        <x:v>434961.70024459995</x:v>
      </x:c>
      <x:c r="AS354" s="32" t="n">
        <x:f>IF(H354=1,IF(E354=1,AS353-AR353,AS353)+AQ354,0)</x:f>
        <x:v>153158.44431819438</x:v>
      </x:c>
      <x:c r="AT354" s="11" t="n">
        <x:f>IF(AR354&gt;0,MIN(1,AS354/AR354),1)</x:f>
        <x:v>0.3521193802398372</x:v>
      </x:c>
      <x:c r="AU354" s="10" t="n">
        <x:f>AB354/INDEX(tun_RepScale,G354)</x:f>
        <x:v>185.71354399056597</x:v>
      </x:c>
      <x:c r="AV354" s="32" t="n">
        <x:f>AM354*60/tun_SeasonSeconds</x:f>
        <x:v>17002.34727516286</x:v>
      </x:c>
    </x:row>
    <x:row r="355">
      <x:c r="A355" s="8" t="n">
        <x:f>A354+1</x:f>
        <x:v>352</x:v>
      </x:c>
      <x:c r="B355" s="9" t="n">
        <x:f>A355*tun_SeasonSeconds/60</x:f>
        <x:v>88</x:v>
      </x:c>
      <x:c r="C355" s="9" t="n">
        <x:f>A355/4</x:f>
        <x:v>88</x:v>
      </x:c>
      <x:c r="D355" s="8" t="n">
        <x:f>IF(MOD(A355,4)=0,1,0)</x:f>
        <x:v>1</x:v>
      </x:c>
      <x:c r="E355" s="8" t="n">
        <x:f>IF(AND(F354&lt;=9,AS354&gt;=AR354),1,0)</x:f>
        <x:v>0</x:v>
      </x:c>
      <x:c r="F355" s="8" t="n">
        <x:f>MIN(10,F354+E355)</x:f>
        <x:v>6</x:v>
      </x:c>
      <x:c r="G355" s="8" t="n">
        <x:f>MIN(F355,9)+1</x:f>
        <x:v>7</x:v>
      </x:c>
      <x:c r="H355" s="8" t="n">
        <x:f>IF(F355&lt;=9,1,0)</x:f>
        <x:v>1</x:v>
      </x:c>
      <x:c r="I355" s="9" t="n">
        <x:f>MIN(10,F354+IF(AR354&gt;0,MIN(1,AS354/AR354),1))</x:f>
        <x:v>6.352119380239837</x:v>
      </x:c>
      <x:c r="J355" s="32" t="n">
        <x:f>INDEX(tun_FoodCap,G355)*Arch_FoodCap*EXP(tun_CapsByProject*SUMPRODUCT((Cap_Point&lt;=I355)*(Cap_Kind="Food")*Cap_Ln))</x:f>
        <x:v>610.0101168966467</x:v>
      </x:c>
      <x:c r="K355" s="32" t="n">
        <x:f>J355*MIN(1,tun_LeanBase*EXP(tun_CapsByProject*SUMPRODUCT((Cap_Point&lt;=I355)*(Cap_Kind="Lean")*Cap_Ln)))</x:f>
        <x:v>610.0101168966467</x:v>
      </x:c>
      <x:c r="L355" s="10" t="n">
        <x:f>INDEX(tun_HousingCap,G355)*EXP(tun_CapsByProject*SUMPRODUCT((Cap_Point&lt;=I355)*(Cap_Kind="Housing")*Cap_Ln))</x:f>
        <x:v>2125.258900135082</x:v>
      </x:c>
      <x:c r="M355" s="10" t="n">
        <x:f>INDEX(tun_GroupCap,G355)*tun_CohesionFactor*EXP(tun_CapsByProject*SUMPRODUCT((Cap_Point&lt;=I355)*(Cap_Kind="Group")*Cap_Ln))</x:f>
        <x:v>50000.00000000004</x:v>
      </x:c>
      <x:c r="N355" s="32" t="n">
        <x:f>MIN(J355,L355,M355)</x:f>
        <x:v>610.0101168966467</x:v>
      </x:c>
      <x:c r="O355" s="10" t="n">
        <x:f>AE354*N355</x:f>
        <x:v>5490.09105206982</x:v>
      </x:c>
      <x:c r="P355" s="9" t="n">
        <x:f>MIN(1,(AB354/(AE354*IF(tun_GroupInCrowding=1,N355,MIN(J355,L355))))^tun_CrowdingExp)</x:f>
        <x:v>0.36578360466851545</x:v>
      </x:c>
      <x:c r="Q355" s="9" t="n">
        <x:f>IF(D355=1,INDEX(tun_WinterMult,G355),1)</x:f>
        <x:v>1.1</x:v>
      </x:c>
      <x:c r="R355" s="9" t="n">
        <x:f>H355*Z354*tun_WomenShare*tun_BaseFertility*INDEX(tun_FertMult,G355)*Arch_Fertility*(1-P355)</x:f>
        <x:v>77.88118064806491</x:v>
      </x:c>
      <x:c r="S355" s="9" t="n">
        <x:f>H355*Y354*INDEX(tun_MortChild,G355)/4*Q355</x:f>
        <x:v>16.748006531709233</x:v>
      </x:c>
      <x:c r="T355" s="9" t="n">
        <x:f>H355*Z354*INDEX(tun_MortAdult,G355)*Arch_AdultMort/4*Q355</x:f>
        <x:v>4.4868889303814985</x:v>
      </x:c>
      <x:c r="U355" s="9" t="n">
        <x:f>H355*AA354*INDEX(tun_MortElder,G355)/4*Q355</x:f>
        <x:v>6.593256530861983</x:v>
      </x:c>
      <x:c r="V355" s="9" t="n">
        <x:f>H355*MAX(0,AB354-O355)*tun_OvercapLoss</x:f>
        <x:v>0</x:v>
      </x:c>
      <x:c r="W355" s="9" t="n">
        <x:f>H355*Y354/(tun_ChildYears*4)</x:f>
        <x:v>43.501315666777224</x:v>
      </x:c>
      <x:c r="X355" s="9" t="n">
        <x:f>H355*Z354/(tun_AdultYears*4)</x:f>
        <x:v>13.850560056741775</x:v>
      </x:c>
      <x:c r="Y355" s="32" t="n">
        <x:f>Y354+R355-S355-W355-Y354*V355/AB354</x:f>
        <x:v>2453.705535789103</x:v>
      </x:c>
      <x:c r="Z355" s="32" t="n">
        <x:f>Z354+W355-X355-T355-Z354*V355/AB354</x:f>
        <x:v>1742.633313715634</x:v>
      </x:c>
      <x:c r="AA355" s="32" t="n">
        <x:f>AA354+X355-U355-AA354*V355/AB354</x:f>
        <x:v>496.5527789145241</x:v>
      </x:c>
      <x:c r="AB355" s="10" t="n">
        <x:f>Y355+Z355+AA355</x:f>
        <x:v>4692.891628419261</x:v>
      </x:c>
      <x:c r="AC355" s="8" t="n">
        <x:f>IF(AND(tun_WinterTrigger=1,D355=1,AB354/AE354&gt;=K355),1,0)</x:f>
        <x:v>0</x:v>
      </x:c>
      <x:c r="AD355" s="8" t="n">
        <x:f>H355*IF(AND(OR(AB354/AE354&gt;=tun_FissionTrigger*N355,AC355=1),AB354/AE354*tun_DaughterShare&gt;=tun_MinDaughter),MAX(1,ROUND(AE354*tun_FissionRate,0)),0)</x:f>
        <x:v>0</x:v>
      </x:c>
      <x:c r="AE355" s="8" t="n">
        <x:f>IF(H355=1,MAX(1,MIN(INDEX(tun_Smax,G355),AE354+AD355)),AE354)</x:f>
        <x:v>9</x:v>
      </x:c>
      <x:c r="AF355" s="8" t="n">
        <x:f>MAX(0,AE355-AE354)</x:f>
        <x:v>0</x:v>
      </x:c>
      <x:c r="AG355" s="9" t="str">
        <x:f>IF(AF355&gt;0,B355,"")</x:f>
      </x:c>
      <x:c r="AH355" s="9" t="n">
        <x:f>IF(F355&gt;=1,1,(1+tun_LowTiesShare*(AE355-1))/AE355)</x:f>
        <x:v>1</x:v>
      </x:c>
      <x:c r="AI355" s="32" t="n">
        <x:f>(Z355+tun_ElderCommons*INDEX(LM_Elder,G355)*AA355)*AH355</x:f>
        <x:v>3604.7062346450994</x:v>
      </x:c>
      <x:c r="AJ355" s="32" t="n">
        <x:f>H355*tun_CommonsCoef*AI355^tun_CommonsExp*INDEX(LM_Commons,G355)</x:f>
        <x:v>7369.721580311109</x:v>
      </x:c>
      <x:c r="AK355" s="32" t="n">
        <x:f>H355*tun_RoleScale*Arch_Roles*(AE355*(INDEX(tun_ElderRolePerSett,G355)*tun_OutElder*INDEX(LM_Elder,G355)+INDEX(tun_ShamanPerSett,G355)*tun_OutShaman)+Z355*(INDEX(tun_PriestShare,G355)*tun_OutPriest+INDEX(tun_ScribeShare,G355)*tun_OutScribe*INDEX(LM_Scribe,G355)+INDEX(tun_ScholarShare,G355)*tun_OutScholar*INDEX(LM_Scholar,G355)+INDEX(tun_ResearcherShare,G355)*tun_OutResearcher*INDEX(LM_Researcher,G355)))</x:f>
        <x:v>2000.9684868763313</x:v>
      </x:c>
      <x:c r="AL355" s="32" t="n">
        <x:f>H355*tun_RoleScale*Arch_Roles*AE355*INDEX(tun_MonasteryPerSett,G355)*tun_OutMonastery*INDEX(LM_Monastery,G355)</x:f>
        <x:v>47.519999999999996</x:v>
      </x:c>
      <x:c r="AM355" s="32" t="n">
        <x:f>(AJ355+AK355+AL355)/4*INDEX(LM_All,G355)*INDEX(tun_Boon,G355)*Arch_Insight</x:f>
        <x:v>4303.827761753326</x:v>
      </x:c>
      <x:c r="AN355" s="32" t="n">
        <x:f>H355*(tun_KHPerAdult*Z355+tun_KHOfCommons*AJ355/4*INDEX(LM_All,G355))*tun_KHUsable*Arch_KH</x:f>
        <x:v>711.4763735908986</x:v>
      </x:c>
      <x:c r="AO355" s="32" t="n">
        <x:f>MIN(AP354+AN355,AM355*tun_KHMaxRatio)</x:f>
        <x:v>711.4763735908986</x:v>
      </x:c>
      <x:c r="AP355" s="32" t="n">
        <x:f>AP354+AN355-AO355</x:f>
        <x:v>0</x:v>
      </x:c>
      <x:c r="AQ355" s="32" t="n">
        <x:f>AM355+AO355</x:f>
        <x:v>5015.304135344224</x:v>
      </x:c>
      <x:c r="AR355" s="10" t="n">
        <x:f>IF(H355=1,INDEX(tun_Req,G355),0)</x:f>
        <x:v>434961.70024459995</x:v>
      </x:c>
      <x:c r="AS355" s="32" t="n">
        <x:f>IF(H355=1,IF(E355=1,AS354-AR354,AS354)+AQ355,0)</x:f>
        <x:v>158173.7484535386</x:v>
      </x:c>
      <x:c r="AT355" s="11" t="n">
        <x:f>IF(AR355&gt;0,MIN(1,AS355/AR355),1)</x:f>
        <x:v>0.3636498302369838</x:v>
      </x:c>
      <x:c r="AU355" s="10" t="n">
        <x:f>AB355/INDEX(tun_RepScale,G355)</x:f>
        <x:v>187.71566513677044</x:v>
      </x:c>
      <x:c r="AV355" s="32" t="n">
        <x:f>AM355*60/tun_SeasonSeconds</x:f>
        <x:v>17215.311047013303</x:v>
      </x:c>
    </x:row>
    <x:row r="356">
      <x:c r="A356" s="8" t="n">
        <x:f>A355+1</x:f>
        <x:v>353</x:v>
      </x:c>
      <x:c r="B356" s="9" t="n">
        <x:f>A356*tun_SeasonSeconds/60</x:f>
        <x:v>88.25</x:v>
      </x:c>
      <x:c r="C356" s="9" t="n">
        <x:f>A356/4</x:f>
        <x:v>88.25</x:v>
      </x:c>
      <x:c r="D356" s="8" t="n">
        <x:f>IF(MOD(A356,4)=0,1,0)</x:f>
        <x:v>0</x:v>
      </x:c>
      <x:c r="E356" s="8" t="n">
        <x:f>IF(AND(F355&lt;=9,AS355&gt;=AR355),1,0)</x:f>
        <x:v>0</x:v>
      </x:c>
      <x:c r="F356" s="8" t="n">
        <x:f>MIN(10,F355+E356)</x:f>
        <x:v>6</x:v>
      </x:c>
      <x:c r="G356" s="8" t="n">
        <x:f>MIN(F356,9)+1</x:f>
        <x:v>7</x:v>
      </x:c>
      <x:c r="H356" s="8" t="n">
        <x:f>IF(F356&lt;=9,1,0)</x:f>
        <x:v>1</x:v>
      </x:c>
      <x:c r="I356" s="9" t="n">
        <x:f>MIN(10,F355+IF(AR355&gt;0,MIN(1,AS355/AR355),1))</x:f>
        <x:v>6.363649830236984</x:v>
      </x:c>
      <x:c r="J356" s="32" t="n">
        <x:f>INDEX(tun_FoodCap,G356)*Arch_FoodCap*EXP(tun_CapsByProject*SUMPRODUCT((Cap_Point&lt;=I356)*(Cap_Kind="Food")*Cap_Ln))</x:f>
        <x:v>610.0101168966467</x:v>
      </x:c>
      <x:c r="K356" s="32" t="n">
        <x:f>J356*MIN(1,tun_LeanBase*EXP(tun_CapsByProject*SUMPRODUCT((Cap_Point&lt;=I356)*(Cap_Kind="Lean")*Cap_Ln)))</x:f>
        <x:v>610.0101168966467</x:v>
      </x:c>
      <x:c r="L356" s="10" t="n">
        <x:f>INDEX(tun_HousingCap,G356)*EXP(tun_CapsByProject*SUMPRODUCT((Cap_Point&lt;=I356)*(Cap_Kind="Housing")*Cap_Ln))</x:f>
        <x:v>2125.258900135082</x:v>
      </x:c>
      <x:c r="M356" s="10" t="n">
        <x:f>INDEX(tun_GroupCap,G356)*tun_CohesionFactor*EXP(tun_CapsByProject*SUMPRODUCT((Cap_Point&lt;=I356)*(Cap_Kind="Group")*Cap_Ln))</x:f>
        <x:v>50000.00000000004</x:v>
      </x:c>
      <x:c r="N356" s="32" t="n">
        <x:f>MIN(J356,L356,M356)</x:f>
        <x:v>610.0101168966467</x:v>
      </x:c>
      <x:c r="O356" s="10" t="n">
        <x:f>AE355*N356</x:f>
        <x:v>5490.09105206982</x:v>
      </x:c>
      <x:c r="P356" s="9" t="n">
        <x:f>MIN(1,(AB355/(AE355*IF(tun_GroupInCrowding=1,N356,MIN(J356,L356))))^tun_CrowdingExp)</x:f>
        <x:v>0.39009094429513197</x:v>
      </x:c>
      <x:c r="Q356" s="9" t="n">
        <x:f>IF(D356=1,INDEX(tun_WinterMult,G356),1)</x:f>
        <x:v>1</x:v>
      </x:c>
      <x:c r="R356" s="9" t="n">
        <x:f>H356*Z355*tun_WomenShare*tun_BaseFertility*INDEX(tun_FertMult,G356)*Arch_Fertility*(1-P356)</x:f>
        <x:v>75.99362047478255</x:v>
      </x:c>
      <x:c r="S356" s="9" t="n">
        <x:f>H356*Y355*INDEX(tun_MortChild,G356)/4*Q356</x:f>
        <x:v>15.335659598681895</x:v>
      </x:c>
      <x:c r="T356" s="9" t="n">
        <x:f>H356*Z355*INDEX(tun_MortAdult,G356)*Arch_AdultMort/4*Q356</x:f>
        <x:v>4.138754120074631</x:v>
      </x:c>
      <x:c r="U356" s="9" t="n">
        <x:f>H356*AA355*INDEX(tun_MortElder,G356)/4*Q356</x:f>
        <x:v>6.08277154170292</x:v>
      </x:c>
      <x:c r="V356" s="9" t="n">
        <x:f>H356*MAX(0,AB355-O356)*tun_OvercapLoss</x:f>
        <x:v>0</x:v>
      </x:c>
      <x:c r="W356" s="9" t="n">
        <x:f>H356*Y355/(tun_ChildYears*4)</x:f>
        <x:v>43.81617028194827</x:v>
      </x:c>
      <x:c r="X356" s="9" t="n">
        <x:f>H356*Z355/(tun_AdultYears*4)</x:f>
        <x:v>14.05349446544866</x:v>
      </x:c>
      <x:c r="Y356" s="32" t="n">
        <x:f>Y355+R356-S356-W356-Y355*V356/AB355</x:f>
        <x:v>2470.547326383255</x:v>
      </x:c>
      <x:c r="Z356" s="32" t="n">
        <x:f>Z355+W356-X356-T356-Z355*V356/AB355</x:f>
        <x:v>1768.2572354120587</x:v>
      </x:c>
      <x:c r="AA356" s="32" t="n">
        <x:f>AA355+X356-U356-AA355*V356/AB355</x:f>
        <x:v>504.5235018382698</x:v>
      </x:c>
      <x:c r="AB356" s="10" t="n">
        <x:f>Y356+Z356+AA356</x:f>
        <x:v>4743.328063633584</x:v>
      </x:c>
      <x:c r="AC356" s="8" t="n">
        <x:f>IF(AND(tun_WinterTrigger=1,D356=1,AB355/AE355&gt;=K356),1,0)</x:f>
        <x:v>0</x:v>
      </x:c>
      <x:c r="AD356" s="8" t="n">
        <x:f>H356*IF(AND(OR(AB355/AE355&gt;=tun_FissionTrigger*N356,AC356=1),AB355/AE355*tun_DaughterShare&gt;=tun_MinDaughter),MAX(1,ROUND(AE355*tun_FissionRate,0)),0)</x:f>
        <x:v>3</x:v>
      </x:c>
      <x:c r="AE356" s="8" t="n">
        <x:f>IF(H356=1,MAX(1,MIN(INDEX(tun_Smax,G356),AE355+AD356)),AE355)</x:f>
        <x:v>12</x:v>
      </x:c>
      <x:c r="AF356" s="8" t="n">
        <x:f>MAX(0,AE356-AE355)</x:f>
        <x:v>3</x:v>
      </x:c>
      <x:c r="AG356" s="9" t="n">
        <x:f>IF(AF356&gt;0,B356,"")</x:f>
        <x:v>88.25</x:v>
      </x:c>
      <x:c r="AH356" s="9" t="n">
        <x:f>IF(F356&gt;=1,1,(1+tun_LowTiesShare*(AE356-1))/AE356)</x:f>
        <x:v>1</x:v>
      </x:c>
      <x:c r="AI356" s="32" t="n">
        <x:f>(Z356+tun_ElderCommons*INDEX(LM_Elder,G356)*AA356)*AH356</x:f>
        <x:v>3660.22036730557</x:v>
      </x:c>
      <x:c r="AJ356" s="32" t="n">
        <x:f>H356*tun_CommonsCoef*AI356^tun_CommonsExp*INDEX(LM_Commons,G356)</x:f>
        <x:v>7466.083338047909</x:v>
      </x:c>
      <x:c r="AK356" s="32" t="n">
        <x:f>H356*tun_RoleScale*Arch_Roles*(AE356*(INDEX(tun_ElderRolePerSett,G356)*tun_OutElder*INDEX(LM_Elder,G356)+INDEX(tun_ShamanPerSett,G356)*tun_OutShaman)+Z356*(INDEX(tun_PriestShare,G356)*tun_OutPriest+INDEX(tun_ScribeShare,G356)*tun_OutScribe*INDEX(LM_Scribe,G356)+INDEX(tun_ScholarShare,G356)*tun_OutScholar*INDEX(LM_Scholar,G356)+INDEX(tun_ResearcherShare,G356)*tun_OutResearcher*INDEX(LM_Researcher,G356)))</x:f>
        <x:v>2107.8178990836846</x:v>
      </x:c>
      <x:c r="AL356" s="32" t="n">
        <x:f>H356*tun_RoleScale*Arch_Roles*AE356*INDEX(tun_MonasteryPerSett,G356)*tun_OutMonastery*INDEX(LM_Monastery,G356)</x:f>
        <x:v>63.36</x:v>
      </x:c>
      <x:c r="AM356" s="32" t="n">
        <x:f>(AJ356+AK356+AL356)/4*INDEX(LM_All,G356)*INDEX(tun_Boon,G356)*Arch_Insight</x:f>
        <x:v>4403.9273029320375</x:v>
      </x:c>
      <x:c r="AN356" s="32" t="n">
        <x:f>H356*(tun_KHPerAdult*Z356+tun_KHOfCommons*AJ356/4*INDEX(LM_All,G356))*tun_KHUsable*Arch_KH</x:f>
        <x:v>720.7791828219263</x:v>
      </x:c>
      <x:c r="AO356" s="32" t="n">
        <x:f>MIN(AP355+AN356,AM356*tun_KHMaxRatio)</x:f>
        <x:v>720.7791828219263</x:v>
      </x:c>
      <x:c r="AP356" s="32" t="n">
        <x:f>AP355+AN356-AO356</x:f>
        <x:v>0</x:v>
      </x:c>
      <x:c r="AQ356" s="32" t="n">
        <x:f>AM356+AO356</x:f>
        <x:v>5124.7064857539635</x:v>
      </x:c>
      <x:c r="AR356" s="10" t="n">
        <x:f>IF(H356=1,INDEX(tun_Req,G356),0)</x:f>
        <x:v>434961.70024459995</x:v>
      </x:c>
      <x:c r="AS356" s="32" t="n">
        <x:f>IF(H356=1,IF(E356=1,AS355-AR355,AS355)+AQ356,0)</x:f>
        <x:v>163298.45493929257</x:v>
      </x:c>
      <x:c r="AT356" s="11" t="n">
        <x:f>IF(AR356&gt;0,MIN(1,AS356/AR356),1)</x:f>
        <x:v>0.37543180203558607</x:v>
      </x:c>
      <x:c r="AU356" s="10" t="n">
        <x:f>AB356/INDEX(tun_RepScale,G356)</x:f>
        <x:v>189.73312254534335</x:v>
      </x:c>
      <x:c r="AV356" s="32" t="n">
        <x:f>AM356*60/tun_SeasonSeconds</x:f>
        <x:v>17615.70921172815</x:v>
      </x:c>
    </x:row>
    <x:row r="357">
      <x:c r="A357" s="8" t="n">
        <x:f>A356+1</x:f>
        <x:v>354</x:v>
      </x:c>
      <x:c r="B357" s="9" t="n">
        <x:f>A357*tun_SeasonSeconds/60</x:f>
        <x:v>88.5</x:v>
      </x:c>
      <x:c r="C357" s="9" t="n">
        <x:f>A357/4</x:f>
        <x:v>88.5</x:v>
      </x:c>
      <x:c r="D357" s="8" t="n">
        <x:f>IF(MOD(A357,4)=0,1,0)</x:f>
        <x:v>0</x:v>
      </x:c>
      <x:c r="E357" s="8" t="n">
        <x:f>IF(AND(F356&lt;=9,AS356&gt;=AR356),1,0)</x:f>
        <x:v>0</x:v>
      </x:c>
      <x:c r="F357" s="8" t="n">
        <x:f>MIN(10,F356+E357)</x:f>
        <x:v>6</x:v>
      </x:c>
      <x:c r="G357" s="8" t="n">
        <x:f>MIN(F357,9)+1</x:f>
        <x:v>7</x:v>
      </x:c>
      <x:c r="H357" s="8" t="n">
        <x:f>IF(F357&lt;=9,1,0)</x:f>
        <x:v>1</x:v>
      </x:c>
      <x:c r="I357" s="9" t="n">
        <x:f>MIN(10,F356+IF(AR356&gt;0,MIN(1,AS356/AR356),1))</x:f>
        <x:v>6.375431802035586</x:v>
      </x:c>
      <x:c r="J357" s="32" t="n">
        <x:f>INDEX(tun_FoodCap,G357)*Arch_FoodCap*EXP(tun_CapsByProject*SUMPRODUCT((Cap_Point&lt;=I357)*(Cap_Kind="Food")*Cap_Ln))</x:f>
        <x:v>610.0101168966467</x:v>
      </x:c>
      <x:c r="K357" s="32" t="n">
        <x:f>J357*MIN(1,tun_LeanBase*EXP(tun_CapsByProject*SUMPRODUCT((Cap_Point&lt;=I357)*(Cap_Kind="Lean")*Cap_Ln)))</x:f>
        <x:v>610.0101168966467</x:v>
      </x:c>
      <x:c r="L357" s="10" t="n">
        <x:f>INDEX(tun_HousingCap,G357)*EXP(tun_CapsByProject*SUMPRODUCT((Cap_Point&lt;=I357)*(Cap_Kind="Housing")*Cap_Ln))</x:f>
        <x:v>2125.258900135082</x:v>
      </x:c>
      <x:c r="M357" s="10" t="n">
        <x:f>INDEX(tun_GroupCap,G357)*tun_CohesionFactor*EXP(tun_CapsByProject*SUMPRODUCT((Cap_Point&lt;=I357)*(Cap_Kind="Group")*Cap_Ln))</x:f>
        <x:v>50000.00000000004</x:v>
      </x:c>
      <x:c r="N357" s="32" t="n">
        <x:f>MIN(J357,L357,M357)</x:f>
        <x:v>610.0101168966467</x:v>
      </x:c>
      <x:c r="O357" s="10" t="n">
        <x:f>AE356*N357</x:f>
        <x:v>7320.12140275976</x:v>
      </x:c>
      <x:c r="P357" s="9" t="n">
        <x:f>MIN(1,(AB356/(AE356*IF(tun_GroupInCrowding=1,N357,MIN(J357,L357))))^tun_CrowdingExp)</x:f>
        <x:v>0.07402685081849511</x:v>
      </x:c>
      <x:c r="Q357" s="9" t="n">
        <x:f>IF(D357=1,INDEX(tun_WinterMult,G357),1)</x:f>
        <x:v>1</x:v>
      </x:c>
      <x:c r="R357" s="9" t="n">
        <x:f>H357*Z356*tun_WomenShare*tun_BaseFertility*INDEX(tun_FertMult,G357)*Arch_Fertility*(1-P357)</x:f>
        <x:v>117.07114853988023</x:v>
      </x:c>
      <x:c r="S357" s="9" t="n">
        <x:f>H357*Y356*INDEX(tun_MortChild,G357)/4*Q357</x:f>
        <x:v>15.440920789895344</x:v>
      </x:c>
      <x:c r="T357" s="9" t="n">
        <x:f>H357*Z356*INDEX(tun_MortAdult,G357)*Arch_AdultMort/4*Q357</x:f>
        <x:v>4.19961093410364</x:v>
      </x:c>
      <x:c r="U357" s="9" t="n">
        <x:f>H357*AA356*INDEX(tun_MortElder,G357)/4*Q357</x:f>
        <x:v>6.1804128975188055</x:v>
      </x:c>
      <x:c r="V357" s="9" t="n">
        <x:f>H357*MAX(0,AB356-O357)*tun_OvercapLoss</x:f>
        <x:v>0</x:v>
      </x:c>
      <x:c r="W357" s="9" t="n">
        <x:f>H357*Y356/(tun_ChildYears*4)</x:f>
        <x:v>44.11691654255812</x:v>
      </x:c>
      <x:c r="X357" s="9" t="n">
        <x:f>H357*Z356/(tun_AdultYears*4)</x:f>
        <x:v>14.260138995258538</x:v>
      </x:c>
      <x:c r="Y357" s="32" t="n">
        <x:f>Y356+R357-S357-W357-Y356*V357/AB356</x:f>
        <x:v>2528.060637590682</x:v>
      </x:c>
      <x:c r="Z357" s="32" t="n">
        <x:f>Z356+W357-X357-T357-Z356*V357/AB356</x:f>
        <x:v>1793.9144020252545</x:v>
      </x:c>
      <x:c r="AA357" s="32" t="n">
        <x:f>AA356+X357-U357-AA356*V357/AB356</x:f>
        <x:v>512.6032279360096</x:v>
      </x:c>
      <x:c r="AB357" s="10" t="n">
        <x:f>Y357+Z357+AA357</x:f>
        <x:v>4834.578267551946</x:v>
      </x:c>
      <x:c r="AC357" s="8" t="n">
        <x:f>IF(AND(tun_WinterTrigger=1,D357=1,AB356/AE356&gt;=K357),1,0)</x:f>
        <x:v>0</x:v>
      </x:c>
      <x:c r="AD357" s="8" t="n">
        <x:f>H357*IF(AND(OR(AB356/AE356&gt;=tun_FissionTrigger*N357,AC357=1),AB356/AE356*tun_DaughterShare&gt;=tun_MinDaughter),MAX(1,ROUND(AE356*tun_FissionRate,0)),0)</x:f>
        <x:v>0</x:v>
      </x:c>
      <x:c r="AE357" s="8" t="n">
        <x:f>IF(H357=1,MAX(1,MIN(INDEX(tun_Smax,G357),AE356+AD357)),AE356)</x:f>
        <x:v>12</x:v>
      </x:c>
      <x:c r="AF357" s="8" t="n">
        <x:f>MAX(0,AE357-AE356)</x:f>
        <x:v>0</x:v>
      </x:c>
      <x:c r="AG357" s="9" t="str">
        <x:f>IF(AF357&gt;0,B357,"")</x:f>
      </x:c>
      <x:c r="AH357" s="9" t="n">
        <x:f>IF(F357&gt;=1,1,(1+tun_LowTiesShare*(AE357-1))/AE357)</x:f>
        <x:v>1</x:v>
      </x:c>
      <x:c r="AI357" s="32" t="n">
        <x:f>(Z357+tun_ElderCommons*INDEX(LM_Elder,G357)*AA357)*AH357</x:f>
        <x:v>3716.1765067852903</x:v>
      </x:c>
      <x:c r="AJ357" s="32" t="n">
        <x:f>H357*tun_CommonsCoef*AI357^tun_CommonsExp*INDEX(LM_Commons,G357)</x:f>
        <x:v>7562.990735733047</x:v>
      </x:c>
      <x:c r="AK357" s="32" t="n">
        <x:f>H357*tun_RoleScale*Arch_Roles*(AE357*(INDEX(tun_ElderRolePerSett,G357)*tun_OutElder*INDEX(LM_Elder,G357)+INDEX(tun_ShamanPerSett,G357)*tun_OutShaman)+Z357*(INDEX(tun_PriestShare,G357)*tun_OutPriest+INDEX(tun_ScribeShare,G357)*tun_OutScribe*INDEX(LM_Scribe,G357)+INDEX(tun_ScholarShare,G357)*tun_OutScholar*INDEX(LM_Scholar,G357)+INDEX(tun_ResearcherShare,G357)*tun_OutResearcher*INDEX(LM_Researcher,G357)))</x:f>
        <x:v>2133.7008487630765</x:v>
      </x:c>
      <x:c r="AL357" s="32" t="n">
        <x:f>H357*tun_RoleScale*Arch_Roles*AE357*INDEX(tun_MonasteryPerSett,G357)*tun_OutMonastery*INDEX(LM_Monastery,G357)</x:f>
        <x:v>63.36</x:v>
      </x:c>
      <x:c r="AM357" s="32" t="n">
        <x:f>(AJ357+AK357+AL357)/4*INDEX(LM_All,G357)*INDEX(tun_Boon,G357)*Arch_Insight</x:f>
        <x:v>4460.038655523753</x:v>
      </x:c>
      <x:c r="AN357" s="32" t="n">
        <x:f>H357*(tun_KHPerAdult*Z357+tun_KHOfCommons*AJ357/4*INDEX(LM_All,G357))*tun_KHUsable*Arch_KH</x:f>
        <x:v>730.134668389163</x:v>
      </x:c>
      <x:c r="AO357" s="32" t="n">
        <x:f>MIN(AP356+AN357,AM357*tun_KHMaxRatio)</x:f>
        <x:v>730.134668389163</x:v>
      </x:c>
      <x:c r="AP357" s="32" t="n">
        <x:f>AP356+AN357-AO357</x:f>
        <x:v>0</x:v>
      </x:c>
      <x:c r="AQ357" s="32" t="n">
        <x:f>AM357+AO357</x:f>
        <x:v>5190.173323912916</x:v>
      </x:c>
      <x:c r="AR357" s="10" t="n">
        <x:f>IF(H357=1,INDEX(tun_Req,G357),0)</x:f>
        <x:v>434961.70024459995</x:v>
      </x:c>
      <x:c r="AS357" s="32" t="n">
        <x:f>IF(H357=1,IF(E357=1,AS356-AR356,AS356)+AQ357,0)</x:f>
        <x:v>168488.6282632055</x:v>
      </x:c>
      <x:c r="AT357" s="11" t="n">
        <x:f>IF(AR357&gt;0,MIN(1,AS357/AR357),1)</x:f>
        <x:v>0.38736428556458236</x:v>
      </x:c>
      <x:c r="AU357" s="10" t="n">
        <x:f>AB357/INDEX(tun_RepScale,G357)</x:f>
        <x:v>193.38313070207784</x:v>
      </x:c>
      <x:c r="AV357" s="32" t="n">
        <x:f>AM357*60/tun_SeasonSeconds</x:f>
        <x:v>17840.15462209501</x:v>
      </x:c>
    </x:row>
    <x:row r="358">
      <x:c r="A358" s="8" t="n">
        <x:f>A357+1</x:f>
        <x:v>355</x:v>
      </x:c>
      <x:c r="B358" s="9" t="n">
        <x:f>A358*tun_SeasonSeconds/60</x:f>
        <x:v>88.75</x:v>
      </x:c>
      <x:c r="C358" s="9" t="n">
        <x:f>A358/4</x:f>
        <x:v>88.75</x:v>
      </x:c>
      <x:c r="D358" s="8" t="n">
        <x:f>IF(MOD(A358,4)=0,1,0)</x:f>
        <x:v>0</x:v>
      </x:c>
      <x:c r="E358" s="8" t="n">
        <x:f>IF(AND(F357&lt;=9,AS357&gt;=AR357),1,0)</x:f>
        <x:v>0</x:v>
      </x:c>
      <x:c r="F358" s="8" t="n">
        <x:f>MIN(10,F357+E358)</x:f>
        <x:v>6</x:v>
      </x:c>
      <x:c r="G358" s="8" t="n">
        <x:f>MIN(F358,9)+1</x:f>
        <x:v>7</x:v>
      </x:c>
      <x:c r="H358" s="8" t="n">
        <x:f>IF(F358&lt;=9,1,0)</x:f>
        <x:v>1</x:v>
      </x:c>
      <x:c r="I358" s="9" t="n">
        <x:f>MIN(10,F357+IF(AR357&gt;0,MIN(1,AS357/AR357),1))</x:f>
        <x:v>6.3873642855645825</x:v>
      </x:c>
      <x:c r="J358" s="32" t="n">
        <x:f>INDEX(tun_FoodCap,G358)*Arch_FoodCap*EXP(tun_CapsByProject*SUMPRODUCT((Cap_Point&lt;=I358)*(Cap_Kind="Food")*Cap_Ln))</x:f>
        <x:v>610.0101168966467</x:v>
      </x:c>
      <x:c r="K358" s="32" t="n">
        <x:f>J358*MIN(1,tun_LeanBase*EXP(tun_CapsByProject*SUMPRODUCT((Cap_Point&lt;=I358)*(Cap_Kind="Lean")*Cap_Ln)))</x:f>
        <x:v>610.0101168966467</x:v>
      </x:c>
      <x:c r="L358" s="10" t="n">
        <x:f>INDEX(tun_HousingCap,G358)*EXP(tun_CapsByProject*SUMPRODUCT((Cap_Point&lt;=I358)*(Cap_Kind="Housing")*Cap_Ln))</x:f>
        <x:v>2125.258900135082</x:v>
      </x:c>
      <x:c r="M358" s="10" t="n">
        <x:f>INDEX(tun_GroupCap,G358)*tun_CohesionFactor*EXP(tun_CapsByProject*SUMPRODUCT((Cap_Point&lt;=I358)*(Cap_Kind="Group")*Cap_Ln))</x:f>
        <x:v>50000.00000000004</x:v>
      </x:c>
      <x:c r="N358" s="32" t="n">
        <x:f>MIN(J358,L358,M358)</x:f>
        <x:v>610.0101168966467</x:v>
      </x:c>
      <x:c r="O358" s="10" t="n">
        <x:f>AE357*N358</x:f>
        <x:v>7320.12140275976</x:v>
      </x:c>
      <x:c r="P358" s="9" t="n">
        <x:f>MIN(1,(AB357/(AE357*IF(tun_GroupInCrowding=1,N358,MIN(J358,L358))))^tun_CrowdingExp)</x:f>
        <x:v>0.08299307766107279</x:v>
      </x:c>
      <x:c r="Q358" s="9" t="n">
        <x:f>IF(D358=1,INDEX(tun_WinterMult,G358),1)</x:f>
        <x:v>1</x:v>
      </x:c>
      <x:c r="R358" s="9" t="n">
        <x:f>H358*Z357*tun_WomenShare*tun_BaseFertility*INDEX(tun_FertMult,G358)*Arch_Fertility*(1-P358)</x:f>
        <x:v>117.61978261895689</x:v>
      </x:c>
      <x:c r="S358" s="9" t="n">
        <x:f>H358*Y357*INDEX(tun_MortChild,G358)/4*Q358</x:f>
        <x:v>15.800378984941762</x:v>
      </x:c>
      <x:c r="T358" s="9" t="n">
        <x:f>H358*Z357*INDEX(tun_MortAdult,G358)*Arch_AdultMort/4*Q358</x:f>
        <x:v>4.260546704809979</x:v>
      </x:c>
      <x:c r="U358" s="9" t="n">
        <x:f>H358*AA357*INDEX(tun_MortElder,G358)/4*Q358</x:f>
        <x:v>6.2793895422161174</x:v>
      </x:c>
      <x:c r="V358" s="9" t="n">
        <x:f>H358*MAX(0,AB357-O358)*tun_OvercapLoss</x:f>
        <x:v>0</x:v>
      </x:c>
      <x:c r="W358" s="9" t="n">
        <x:f>H358*Y357/(tun_ChildYears*4)</x:f>
        <x:v>45.14393995697646</x:v>
      </x:c>
      <x:c r="X358" s="9" t="n">
        <x:f>H358*Z357/(tun_AdultYears*4)</x:f>
        <x:v>14.467051629235923</x:v>
      </x:c>
      <x:c r="Y358" s="32" t="n">
        <x:f>Y357+R358-S358-W358-Y357*V358/AB357</x:f>
        <x:v>2584.7361012677206</x:v>
      </x:c>
      <x:c r="Z358" s="32" t="n">
        <x:f>Z357+W358-X358-T358-Z357*V358/AB357</x:f>
        <x:v>1820.3307436481853</x:v>
      </x:c>
      <x:c r="AA358" s="32" t="n">
        <x:f>AA357+X358-U358-AA357*V358/AB357</x:f>
        <x:v>520.7908900230294</x:v>
      </x:c>
      <x:c r="AB358" s="10" t="n">
        <x:f>Y358+Z358+AA358</x:f>
        <x:v>4925.857734938935</x:v>
      </x:c>
      <x:c r="AC358" s="8" t="n">
        <x:f>IF(AND(tun_WinterTrigger=1,D358=1,AB357/AE357&gt;=K358),1,0)</x:f>
        <x:v>0</x:v>
      </x:c>
      <x:c r="AD358" s="8" t="n">
        <x:f>H358*IF(AND(OR(AB357/AE357&gt;=tun_FissionTrigger*N358,AC358=1),AB357/AE357*tun_DaughterShare&gt;=tun_MinDaughter),MAX(1,ROUND(AE357*tun_FissionRate,0)),0)</x:f>
        <x:v>0</x:v>
      </x:c>
      <x:c r="AE358" s="8" t="n">
        <x:f>IF(H358=1,MAX(1,MIN(INDEX(tun_Smax,G358),AE357+AD358)),AE357)</x:f>
        <x:v>12</x:v>
      </x:c>
      <x:c r="AF358" s="8" t="n">
        <x:f>MAX(0,AE358-AE357)</x:f>
        <x:v>0</x:v>
      </x:c>
      <x:c r="AG358" s="9" t="str">
        <x:f>IF(AF358&gt;0,B358,"")</x:f>
      </x:c>
      <x:c r="AH358" s="9" t="n">
        <x:f>IF(F358&gt;=1,1,(1+tun_LowTiesShare*(AE358-1))/AE358)</x:f>
        <x:v>1</x:v>
      </x:c>
      <x:c r="AI358" s="32" t="n">
        <x:f>(Z358+tun_ElderCommons*INDEX(LM_Elder,G358)*AA358)*AH358</x:f>
        <x:v>3773.2965812345456</x:v>
      </x:c>
      <x:c r="AJ358" s="32" t="n">
        <x:f>H358*tun_CommonsCoef*AI358^tun_CommonsExp*INDEX(LM_Commons,G358)</x:f>
        <x:v>7661.6884082911665</x:v>
      </x:c>
      <x:c r="AK358" s="32" t="n">
        <x:f>H358*tun_RoleScale*Arch_Roles*(AE358*(INDEX(tun_ElderRolePerSett,G358)*tun_OutElder*INDEX(LM_Elder,G358)+INDEX(tun_ShamanPerSett,G358)*tun_OutShaman)+Z358*(INDEX(tun_PriestShare,G358)*tun_OutPriest+INDEX(tun_ScribeShare,G358)*tun_OutScribe*INDEX(LM_Scribe,G358)+INDEX(tun_ScholarShare,G358)*tun_OutScholar*INDEX(LM_Scholar,G358)+INDEX(tun_ResearcherShare,G358)*tun_OutResearcher*INDEX(LM_Researcher,G358)))</x:f>
        <x:v>2160.349654192289</x:v>
      </x:c>
      <x:c r="AL358" s="32" t="n">
        <x:f>H358*tun_RoleScale*Arch_Roles*AE358*INDEX(tun_MonasteryPerSett,G358)*tun_OutMonastery*INDEX(LM_Monastery,G358)</x:f>
        <x:v>63.36</x:v>
      </x:c>
      <x:c r="AM358" s="32" t="n">
        <x:f>(AJ358+AK358+AL358)/4*INDEX(LM_All,G358)*INDEX(tun_Boon,G358)*Arch_Insight</x:f>
        <x:v>4517.318079952751</x:v>
      </x:c>
      <x:c r="AN358" s="32" t="n">
        <x:f>H358*(tun_KHPerAdult*Z358+tun_KHOfCommons*AJ358/4*INDEX(LM_All,G358))*tun_KHUsable*Arch_KH</x:f>
        <x:v>739.6629879312627</x:v>
      </x:c>
      <x:c r="AO358" s="32" t="n">
        <x:f>MIN(AP357+AN358,AM358*tun_KHMaxRatio)</x:f>
        <x:v>739.6629879312627</x:v>
      </x:c>
      <x:c r="AP358" s="32" t="n">
        <x:f>AP357+AN358-AO358</x:f>
        <x:v>0</x:v>
      </x:c>
      <x:c r="AQ358" s="32" t="n">
        <x:f>AM358+AO358</x:f>
        <x:v>5256.981067884013</x:v>
      </x:c>
      <x:c r="AR358" s="10" t="n">
        <x:f>IF(H358=1,INDEX(tun_Req,G358),0)</x:f>
        <x:v>434961.70024459995</x:v>
      </x:c>
      <x:c r="AS358" s="32" t="n">
        <x:f>IF(H358=1,IF(E358=1,AS357-AR357,AS357)+AQ358,0)</x:f>
        <x:v>173745.6093310895</x:v>
      </x:c>
      <x:c r="AT358" s="11" t="n">
        <x:f>IF(AR358&gt;0,MIN(1,AS358/AR358),1)</x:f>
        <x:v>0.3994503636374972</x:v>
      </x:c>
      <x:c r="AU358" s="10" t="n">
        <x:f>AB358/INDEX(tun_RepScale,G358)</x:f>
        <x:v>197.03430939755742</x:v>
      </x:c>
      <x:c r="AV358" s="32" t="n">
        <x:f>AM358*60/tun_SeasonSeconds</x:f>
        <x:v>18069.272319811003</x:v>
      </x:c>
    </x:row>
    <x:row r="359">
      <x:c r="A359" s="8" t="n">
        <x:f>A358+1</x:f>
        <x:v>356</x:v>
      </x:c>
      <x:c r="B359" s="9" t="n">
        <x:f>A359*tun_SeasonSeconds/60</x:f>
        <x:v>89</x:v>
      </x:c>
      <x:c r="C359" s="9" t="n">
        <x:f>A359/4</x:f>
        <x:v>89</x:v>
      </x:c>
      <x:c r="D359" s="8" t="n">
        <x:f>IF(MOD(A359,4)=0,1,0)</x:f>
        <x:v>1</x:v>
      </x:c>
      <x:c r="E359" s="8" t="n">
        <x:f>IF(AND(F358&lt;=9,AS358&gt;=AR358),1,0)</x:f>
        <x:v>0</x:v>
      </x:c>
      <x:c r="F359" s="8" t="n">
        <x:f>MIN(10,F358+E359)</x:f>
        <x:v>6</x:v>
      </x:c>
      <x:c r="G359" s="8" t="n">
        <x:f>MIN(F359,9)+1</x:f>
        <x:v>7</x:v>
      </x:c>
      <x:c r="H359" s="8" t="n">
        <x:f>IF(F359&lt;=9,1,0)</x:f>
        <x:v>1</x:v>
      </x:c>
      <x:c r="I359" s="9" t="n">
        <x:f>MIN(10,F358+IF(AR358&gt;0,MIN(1,AS358/AR358),1))</x:f>
        <x:v>6.399450363637497</x:v>
      </x:c>
      <x:c r="J359" s="32" t="n">
        <x:f>INDEX(tun_FoodCap,G359)*Arch_FoodCap*EXP(tun_CapsByProject*SUMPRODUCT((Cap_Point&lt;=I359)*(Cap_Kind="Food")*Cap_Ln))</x:f>
        <x:v>610.0101168966467</x:v>
      </x:c>
      <x:c r="K359" s="32" t="n">
        <x:f>J359*MIN(1,tun_LeanBase*EXP(tun_CapsByProject*SUMPRODUCT((Cap_Point&lt;=I359)*(Cap_Kind="Lean")*Cap_Ln)))</x:f>
        <x:v>610.0101168966467</x:v>
      </x:c>
      <x:c r="L359" s="10" t="n">
        <x:f>INDEX(tun_HousingCap,G359)*EXP(tun_CapsByProject*SUMPRODUCT((Cap_Point&lt;=I359)*(Cap_Kind="Housing")*Cap_Ln))</x:f>
        <x:v>2125.258900135082</x:v>
      </x:c>
      <x:c r="M359" s="10" t="n">
        <x:f>INDEX(tun_GroupCap,G359)*tun_CohesionFactor*EXP(tun_CapsByProject*SUMPRODUCT((Cap_Point&lt;=I359)*(Cap_Kind="Group")*Cap_Ln))</x:f>
        <x:v>50000.00000000004</x:v>
      </x:c>
      <x:c r="N359" s="32" t="n">
        <x:f>MIN(J359,L359,M359)</x:f>
        <x:v>610.0101168966467</x:v>
      </x:c>
      <x:c r="O359" s="10" t="n">
        <x:f>AE358*N359</x:f>
        <x:v>7320.12140275976</x:v>
      </x:c>
      <x:c r="P359" s="9" t="n">
        <x:f>MIN(1,(AB358/(AE358*IF(tun_GroupInCrowding=1,N359,MIN(J359,L359))))^tun_CrowdingExp)</x:f>
        <x:v>0.09284990963300717</x:v>
      </x:c>
      <x:c r="Q359" s="9" t="n">
        <x:f>IF(D359=1,INDEX(tun_WinterMult,G359),1)</x:f>
        <x:v>1.1</x:v>
      </x:c>
      <x:c r="R359" s="9" t="n">
        <x:f>H359*Z358*tun_WomenShare*tun_BaseFertility*INDEX(tun_FertMult,G359)*Arch_Fertility*(1-P359)</x:f>
        <x:v>118.06889369977605</x:v>
      </x:c>
      <x:c r="S359" s="9" t="n">
        <x:f>H359*Y358*INDEX(tun_MortChild,G359)/4*Q359</x:f>
        <x:v>17.770060696215584</x:v>
      </x:c>
      <x:c r="T359" s="9" t="n">
        <x:f>H359*Z358*INDEX(tun_MortAdult,G359)*Arch_AdultMort/4*Q359</x:f>
        <x:v>4.755614067780884</x:v>
      </x:c>
      <x:c r="U359" s="9" t="n">
        <x:f>H359*AA358*INDEX(tun_MortElder,G359)/4*Q359</x:f>
        <x:v>7.017657243060322</x:v>
      </x:c>
      <x:c r="V359" s="9" t="n">
        <x:f>H359*MAX(0,AB358-O359)*tun_OvercapLoss</x:f>
        <x:v>0</x:v>
      </x:c>
      <x:c r="W359" s="9" t="n">
        <x:f>H359*Y358/(tun_ChildYears*4)</x:f>
        <x:v>46.15600180835215</x:v>
      </x:c>
      <x:c r="X359" s="9" t="n">
        <x:f>H359*Z358/(tun_AdultYears*4)</x:f>
        <x:v>14.680086642324074</x:v>
      </x:c>
      <x:c r="Y359" s="32" t="n">
        <x:f>Y358+R359-S359-W359-Y358*V359/AB358</x:f>
        <x:v>2638.878932462929</x:v>
      </x:c>
      <x:c r="Z359" s="32" t="n">
        <x:f>Z358+W359-X359-T359-Z358*V359/AB358</x:f>
        <x:v>1847.0510447464324</x:v>
      </x:c>
      <x:c r="AA359" s="32" t="n">
        <x:f>AA358+X359-U359-AA358*V359/AB358</x:f>
        <x:v>528.4533194222932</x:v>
      </x:c>
      <x:c r="AB359" s="10" t="n">
        <x:f>Y359+Z359+AA359</x:f>
        <x:v>5014.383296631654</x:v>
      </x:c>
      <x:c r="AC359" s="8" t="n">
        <x:f>IF(AND(tun_WinterTrigger=1,D359=1,AB358/AE358&gt;=K359),1,0)</x:f>
        <x:v>0</x:v>
      </x:c>
      <x:c r="AD359" s="8" t="n">
        <x:f>H359*IF(AND(OR(AB358/AE358&gt;=tun_FissionTrigger*N359,AC359=1),AB358/AE358*tun_DaughterShare&gt;=tun_MinDaughter),MAX(1,ROUND(AE358*tun_FissionRate,0)),0)</x:f>
        <x:v>0</x:v>
      </x:c>
      <x:c r="AE359" s="8" t="n">
        <x:f>IF(H359=1,MAX(1,MIN(INDEX(tun_Smax,G359),AE358+AD359)),AE358)</x:f>
        <x:v>12</x:v>
      </x:c>
      <x:c r="AF359" s="8" t="n">
        <x:f>MAX(0,AE359-AE358)</x:f>
        <x:v>0</x:v>
      </x:c>
      <x:c r="AG359" s="9" t="str">
        <x:f>IF(AF359&gt;0,B359,"")</x:f>
      </x:c>
      <x:c r="AH359" s="9" t="n">
        <x:f>IF(F359&gt;=1,1,(1+tun_LowTiesShare*(AE359-1))/AE359)</x:f>
        <x:v>1</x:v>
      </x:c>
      <x:c r="AI359" s="32" t="n">
        <x:f>(Z359+tun_ElderCommons*INDEX(LM_Elder,G359)*AA359)*AH359</x:f>
        <x:v>3828.7509925800323</x:v>
      </x:c>
      <x:c r="AJ359" s="32" t="n">
        <x:f>H359*tun_CommonsCoef*AI359^tun_CommonsExp*INDEX(LM_Commons,G359)</x:f>
        <x:v>7757.293778287463</x:v>
      </x:c>
      <x:c r="AK359" s="32" t="n">
        <x:f>H359*tun_RoleScale*Arch_Roles*(AE359*(INDEX(tun_ElderRolePerSett,G359)*tun_OutElder*INDEX(LM_Elder,G359)+INDEX(tun_ShamanPerSett,G359)*tun_OutShaman)+Z359*(INDEX(tun_PriestShare,G359)*tun_OutPriest+INDEX(tun_ScribeShare,G359)*tun_OutScribe*INDEX(LM_Scribe,G359)+INDEX(tun_ScholarShare,G359)*tun_OutScholar*INDEX(LM_Scholar,G359)+INDEX(tun_ResearcherShare,G359)*tun_OutResearcher*INDEX(LM_Researcher,G359)))</x:f>
        <x:v>2187.305093940201</x:v>
      </x:c>
      <x:c r="AL359" s="32" t="n">
        <x:f>H359*tun_RoleScale*Arch_Roles*AE359*INDEX(tun_MonasteryPerSett,G359)*tun_OutMonastery*INDEX(LM_Monastery,G359)</x:f>
        <x:v>63.36</x:v>
      </x:c>
      <x:c r="AM359" s="32" t="n">
        <x:f>(AJ359+AK359+AL359)/4*INDEX(LM_All,G359)*INDEX(tun_Boon,G359)*Arch_Insight</x:f>
        <x:v>4573.324541023077</x:v>
      </x:c>
      <x:c r="AN359" s="32" t="n">
        <x:f>H359*(tun_KHPerAdult*Z359+tun_KHOfCommons*AJ359/4*INDEX(LM_All,G359))*tun_KHUsable*Arch_KH</x:f>
        <x:v>748.8927751355047</x:v>
      </x:c>
      <x:c r="AO359" s="32" t="n">
        <x:f>MIN(AP358+AN359,AM359*tun_KHMaxRatio)</x:f>
        <x:v>748.8927751355047</x:v>
      </x:c>
      <x:c r="AP359" s="32" t="n">
        <x:f>AP358+AN359-AO359</x:f>
        <x:v>0</x:v>
      </x:c>
      <x:c r="AQ359" s="32" t="n">
        <x:f>AM359+AO359</x:f>
        <x:v>5322.2173161585815</x:v>
      </x:c>
      <x:c r="AR359" s="10" t="n">
        <x:f>IF(H359=1,INDEX(tun_Req,G359),0)</x:f>
        <x:v>434961.70024459995</x:v>
      </x:c>
      <x:c r="AS359" s="32" t="n">
        <x:f>IF(H359=1,IF(E359=1,AS358-AR358,AS358)+AQ359,0)</x:f>
        <x:v>179067.8266472481</x:v>
      </x:c>
      <x:c r="AT359" s="11" t="n">
        <x:f>IF(AR359&gt;0,MIN(1,AS359/AR359),1)</x:f>
        <x:v>0.4116864233024416</x:v>
      </x:c>
      <x:c r="AU359" s="10" t="n">
        <x:f>AB359/INDEX(tun_RepScale,G359)</x:f>
        <x:v>200.57533186526615</x:v>
      </x:c>
      <x:c r="AV359" s="32" t="n">
        <x:f>AM359*60/tun_SeasonSeconds</x:f>
        <x:v>18293.298164092306</x:v>
      </x:c>
    </x:row>
    <x:row r="360">
      <x:c r="A360" s="8" t="n">
        <x:f>A359+1</x:f>
        <x:v>357</x:v>
      </x:c>
      <x:c r="B360" s="9" t="n">
        <x:f>A360*tun_SeasonSeconds/60</x:f>
        <x:v>89.25</x:v>
      </x:c>
      <x:c r="C360" s="9" t="n">
        <x:f>A360/4</x:f>
        <x:v>89.25</x:v>
      </x:c>
      <x:c r="D360" s="8" t="n">
        <x:f>IF(MOD(A360,4)=0,1,0)</x:f>
        <x:v>0</x:v>
      </x:c>
      <x:c r="E360" s="8" t="n">
        <x:f>IF(AND(F359&lt;=9,AS359&gt;=AR359),1,0)</x:f>
        <x:v>0</x:v>
      </x:c>
      <x:c r="F360" s="8" t="n">
        <x:f>MIN(10,F359+E360)</x:f>
        <x:v>6</x:v>
      </x:c>
      <x:c r="G360" s="8" t="n">
        <x:f>MIN(F360,9)+1</x:f>
        <x:v>7</x:v>
      </x:c>
      <x:c r="H360" s="8" t="n">
        <x:f>IF(F360&lt;=9,1,0)</x:f>
        <x:v>1</x:v>
      </x:c>
      <x:c r="I360" s="9" t="n">
        <x:f>MIN(10,F359+IF(AR359&gt;0,MIN(1,AS359/AR359),1))</x:f>
        <x:v>6.4116864233024415</x:v>
      </x:c>
      <x:c r="J360" s="32" t="n">
        <x:f>INDEX(tun_FoodCap,G360)*Arch_FoodCap*EXP(tun_CapsByProject*SUMPRODUCT((Cap_Point&lt;=I360)*(Cap_Kind="Food")*Cap_Ln))</x:f>
        <x:v>610.0101168966467</x:v>
      </x:c>
      <x:c r="K360" s="32" t="n">
        <x:f>J360*MIN(1,tun_LeanBase*EXP(tun_CapsByProject*SUMPRODUCT((Cap_Point&lt;=I360)*(Cap_Kind="Lean")*Cap_Ln)))</x:f>
        <x:v>610.0101168966467</x:v>
      </x:c>
      <x:c r="L360" s="10" t="n">
        <x:f>INDEX(tun_HousingCap,G360)*EXP(tun_CapsByProject*SUMPRODUCT((Cap_Point&lt;=I360)*(Cap_Kind="Housing")*Cap_Ln))</x:f>
        <x:v>2125.258900135082</x:v>
      </x:c>
      <x:c r="M360" s="10" t="n">
        <x:f>INDEX(tun_GroupCap,G360)*tun_CohesionFactor*EXP(tun_CapsByProject*SUMPRODUCT((Cap_Point&lt;=I360)*(Cap_Kind="Group")*Cap_Ln))</x:f>
        <x:v>50000.00000000004</x:v>
      </x:c>
      <x:c r="N360" s="32" t="n">
        <x:f>MIN(J360,L360,M360)</x:f>
        <x:v>610.0101168966467</x:v>
      </x:c>
      <x:c r="O360" s="10" t="n">
        <x:f>AE359*N360</x:f>
        <x:v>7320.12140275976</x:v>
      </x:c>
      <x:c r="P360" s="9" t="n">
        <x:f>MIN(1,(AB359/(AE359*IF(tun_GroupInCrowding=1,N360,MIN(J360,L360))))^tun_CrowdingExp)</x:f>
        <x:v>0.10332263323102842</x:v>
      </x:c>
      <x:c r="Q360" s="9" t="n">
        <x:f>IF(D360=1,INDEX(tun_WinterMult,G360),1)</x:f>
        <x:v>1</x:v>
      </x:c>
      <x:c r="R360" s="9" t="n">
        <x:f>H360*Z359*tun_WomenShare*tun_BaseFertility*INDEX(tun_FertMult,G360)*Arch_Fertility*(1-P360)</x:f>
        <x:v>118.41893399701429</x:v>
      </x:c>
      <x:c r="S360" s="9" t="n">
        <x:f>H360*Y359*INDEX(tun_MortChild,G360)/4*Q360</x:f>
        <x:v>16.492993327893306</x:v>
      </x:c>
      <x:c r="T360" s="9" t="n">
        <x:f>H360*Z359*INDEX(tun_MortAdult,G360)*Arch_AdultMort/4*Q360</x:f>
        <x:v>4.3867462312727765</x:v>
      </x:c>
      <x:c r="U360" s="9" t="n">
        <x:f>H360*AA359*INDEX(tun_MortElder,G360)/4*Q360</x:f>
        <x:v>6.473553162923093</x:v>
      </x:c>
      <x:c r="V360" s="9" t="n">
        <x:f>H360*MAX(0,AB359-O360)*tun_OvercapLoss</x:f>
        <x:v>0</x:v>
      </x:c>
      <x:c r="W360" s="9" t="n">
        <x:f>H360*Y359/(tun_ChildYears*4)</x:f>
        <x:v>47.12283807969516</x:v>
      </x:c>
      <x:c r="X360" s="9" t="n">
        <x:f>H360*Z359/(tun_AdultYears*4)</x:f>
        <x:v>14.895572941503486</x:v>
      </x:c>
      <x:c r="Y360" s="32" t="n">
        <x:f>Y359+R360-S360-W360-Y359*V360/AB359</x:f>
        <x:v>2693.682035052355</x:v>
      </x:c>
      <x:c r="Z360" s="32" t="n">
        <x:f>Z359+W360-X360-T360-Z359*V360/AB359</x:f>
        <x:v>1874.891563653351</x:v>
      </x:c>
      <x:c r="AA360" s="32" t="n">
        <x:f>AA359+X360-U360-AA359*V360/AB359</x:f>
        <x:v>536.8753392008737</x:v>
      </x:c>
      <x:c r="AB360" s="10" t="n">
        <x:f>Y360+Z360+AA360</x:f>
        <x:v>5105.44893790658</x:v>
      </x:c>
      <x:c r="AC360" s="8" t="n">
        <x:f>IF(AND(tun_WinterTrigger=1,D360=1,AB359/AE359&gt;=K360),1,0)</x:f>
        <x:v>0</x:v>
      </x:c>
      <x:c r="AD360" s="8" t="n">
        <x:f>H360*IF(AND(OR(AB359/AE359&gt;=tun_FissionTrigger*N360,AC360=1),AB359/AE359*tun_DaughterShare&gt;=tun_MinDaughter),MAX(1,ROUND(AE359*tun_FissionRate,0)),0)</x:f>
        <x:v>0</x:v>
      </x:c>
      <x:c r="AE360" s="8" t="n">
        <x:f>IF(H360=1,MAX(1,MIN(INDEX(tun_Smax,G360),AE359+AD360)),AE359)</x:f>
        <x:v>12</x:v>
      </x:c>
      <x:c r="AF360" s="8" t="n">
        <x:f>MAX(0,AE360-AE359)</x:f>
        <x:v>0</x:v>
      </x:c>
      <x:c r="AG360" s="9" t="str">
        <x:f>IF(AF360&gt;0,B360,"")</x:f>
      </x:c>
      <x:c r="AH360" s="9" t="n">
        <x:f>IF(F360&gt;=1,1,(1+tun_LowTiesShare*(AE360-1))/AE360)</x:f>
        <x:v>1</x:v>
      </x:c>
      <x:c r="AI360" s="32" t="n">
        <x:f>(Z360+tun_ElderCommons*INDEX(LM_Elder,G360)*AA360)*AH360</x:f>
        <x:v>3888.1740856566275</x:v>
      </x:c>
      <x:c r="AJ360" s="32" t="n">
        <x:f>H360*tun_CommonsCoef*AI360^tun_CommonsExp*INDEX(LM_Commons,G360)</x:f>
        <x:v>7859.511091589934</x:v>
      </x:c>
      <x:c r="AK360" s="32" t="n">
        <x:f>H360*tun_RoleScale*Arch_Roles*(AE360*(INDEX(tun_ElderRolePerSett,G360)*tun_OutElder*INDEX(LM_Elder,G360)+INDEX(tun_ShamanPerSett,G360)*tun_OutShaman)+Z360*(INDEX(tun_PriestShare,G360)*tun_OutPriest+INDEX(tun_ScribeShare,G360)*tun_OutScribe*INDEX(LM_Scribe,G360)+INDEX(tun_ScholarShare,G360)*tun_OutScholar*INDEX(LM_Scholar,G360)+INDEX(tun_ResearcherShare,G360)*tun_OutResearcher*INDEX(LM_Researcher,G360)))</x:f>
        <x:v>2215.3906094135004</x:v>
      </x:c>
      <x:c r="AL360" s="32" t="n">
        <x:f>H360*tun_RoleScale*Arch_Roles*AE360*INDEX(tun_MonasteryPerSett,G360)*tun_OutMonastery*INDEX(LM_Monastery,G360)</x:f>
        <x:v>63.36</x:v>
      </x:c>
      <x:c r="AM360" s="32" t="n">
        <x:f>(AJ360+AK360+AL360)/4*INDEX(LM_All,G360)*INDEX(tun_Boon,G360)*Arch_Insight</x:f>
        <x:v>4632.868862918588</x:v>
      </x:c>
      <x:c r="AN360" s="32" t="n">
        <x:f>H360*(tun_KHPerAdult*Z360+tun_KHOfCommons*AJ360/4*INDEX(LM_All,G360))*tun_KHUsable*Arch_KH</x:f>
        <x:v>758.7608824437833</x:v>
      </x:c>
      <x:c r="AO360" s="32" t="n">
        <x:f>MIN(AP359+AN360,AM360*tun_KHMaxRatio)</x:f>
        <x:v>758.7608824437833</x:v>
      </x:c>
      <x:c r="AP360" s="32" t="n">
        <x:f>AP359+AN360-AO360</x:f>
        <x:v>0</x:v>
      </x:c>
      <x:c r="AQ360" s="32" t="n">
        <x:f>AM360+AO360</x:f>
        <x:v>5391.629745362371</x:v>
      </x:c>
      <x:c r="AR360" s="10" t="n">
        <x:f>IF(H360=1,INDEX(tun_Req,G360),0)</x:f>
        <x:v>434961.70024459995</x:v>
      </x:c>
      <x:c r="AS360" s="32" t="n">
        <x:f>IF(H360=1,IF(E360=1,AS359-AR359,AS359)+AQ360,0)</x:f>
        <x:v>184459.45639261047</x:v>
      </x:c>
      <x:c r="AT360" s="11" t="n">
        <x:f>IF(AR360&gt;0,MIN(1,AS360/AR360),1)</x:f>
        <x:v>0.42408206582069186</x:v>
      </x:c>
      <x:c r="AU360" s="10" t="n">
        <x:f>AB360/INDEX(tun_RepScale,G360)</x:f>
        <x:v>204.2179575162632</x:v>
      </x:c>
      <x:c r="AV360" s="32" t="n">
        <x:f>AM360*60/tun_SeasonSeconds</x:f>
        <x:v>18531.475451674352</x:v>
      </x:c>
    </x:row>
    <x:row r="361">
      <x:c r="A361" s="8" t="n">
        <x:f>A360+1</x:f>
        <x:v>358</x:v>
      </x:c>
      <x:c r="B361" s="9" t="n">
        <x:f>A361*tun_SeasonSeconds/60</x:f>
        <x:v>89.5</x:v>
      </x:c>
      <x:c r="C361" s="9" t="n">
        <x:f>A361/4</x:f>
        <x:v>89.5</x:v>
      </x:c>
      <x:c r="D361" s="8" t="n">
        <x:f>IF(MOD(A361,4)=0,1,0)</x:f>
        <x:v>0</x:v>
      </x:c>
      <x:c r="E361" s="8" t="n">
        <x:f>IF(AND(F360&lt;=9,AS360&gt;=AR360),1,0)</x:f>
        <x:v>0</x:v>
      </x:c>
      <x:c r="F361" s="8" t="n">
        <x:f>MIN(10,F360+E361)</x:f>
        <x:v>6</x:v>
      </x:c>
      <x:c r="G361" s="8" t="n">
        <x:f>MIN(F361,9)+1</x:f>
        <x:v>7</x:v>
      </x:c>
      <x:c r="H361" s="8" t="n">
        <x:f>IF(F361&lt;=9,1,0)</x:f>
        <x:v>1</x:v>
      </x:c>
      <x:c r="I361" s="9" t="n">
        <x:f>MIN(10,F360+IF(AR360&gt;0,MIN(1,AS360/AR360),1))</x:f>
        <x:v>6.424082065820691</x:v>
      </x:c>
      <x:c r="J361" s="32" t="n">
        <x:f>INDEX(tun_FoodCap,G361)*Arch_FoodCap*EXP(tun_CapsByProject*SUMPRODUCT((Cap_Point&lt;=I361)*(Cap_Kind="Food")*Cap_Ln))</x:f>
        <x:v>610.0101168966467</x:v>
      </x:c>
      <x:c r="K361" s="32" t="n">
        <x:f>J361*MIN(1,tun_LeanBase*EXP(tun_CapsByProject*SUMPRODUCT((Cap_Point&lt;=I361)*(Cap_Kind="Lean")*Cap_Ln)))</x:f>
        <x:v>610.0101168966467</x:v>
      </x:c>
      <x:c r="L361" s="10" t="n">
        <x:f>INDEX(tun_HousingCap,G361)*EXP(tun_CapsByProject*SUMPRODUCT((Cap_Point&lt;=I361)*(Cap_Kind="Housing")*Cap_Ln))</x:f>
        <x:v>2125.258900135082</x:v>
      </x:c>
      <x:c r="M361" s="10" t="n">
        <x:f>INDEX(tun_GroupCap,G361)*tun_CohesionFactor*EXP(tun_CapsByProject*SUMPRODUCT((Cap_Point&lt;=I361)*(Cap_Kind="Group")*Cap_Ln))</x:f>
        <x:v>50000.00000000004</x:v>
      </x:c>
      <x:c r="N361" s="32" t="n">
        <x:f>MIN(J361,L361,M361)</x:f>
        <x:v>610.0101168966467</x:v>
      </x:c>
      <x:c r="O361" s="10" t="n">
        <x:f>AE360*N361</x:f>
        <x:v>7320.12140275976</x:v>
      </x:c>
      <x:c r="P361" s="9" t="n">
        <x:f>MIN(1,(AB360/(AE360*IF(tun_GroupInCrowding=1,N361,MIN(J361,L361))))^tun_CrowdingExp)</x:f>
        <x:v>0.11510492836819636</x:v>
      </x:c>
      <x:c r="Q361" s="9" t="n">
        <x:f>IF(D361=1,INDEX(tun_WinterMult,G361),1)</x:f>
        <x:v>1</x:v>
      </x:c>
      <x:c r="R361" s="9" t="n">
        <x:f>H361*Z360*tun_WomenShare*tun_BaseFertility*INDEX(tun_FertMult,G361)*Arch_Fertility*(1-P361)</x:f>
        <x:v>118.62438477324409</x:v>
      </x:c>
      <x:c r="S361" s="9" t="n">
        <x:f>H361*Y360*INDEX(tun_MortChild,G361)/4*Q361</x:f>
        <x:v>16.83551271907722</x:v>
      </x:c>
      <x:c r="T361" s="9" t="n">
        <x:f>H361*Z360*INDEX(tun_MortAdult,G361)*Arch_AdultMort/4*Q361</x:f>
        <x:v>4.452867463676709</x:v>
      </x:c>
      <x:c r="U361" s="9" t="n">
        <x:f>H361*AA360*INDEX(tun_MortElder,G361)/4*Q361</x:f>
        <x:v>6.576722905210703</x:v>
      </x:c>
      <x:c r="V361" s="9" t="n">
        <x:f>H361*MAX(0,AB360-O361)*tun_OvercapLoss</x:f>
        <x:v>0</x:v>
      </x:c>
      <x:c r="W361" s="9" t="n">
        <x:f>H361*Y360/(tun_ChildYears*4)</x:f>
        <x:v>48.101464911649195</x:v>
      </x:c>
      <x:c r="X361" s="9" t="n">
        <x:f>H361*Z360/(tun_AdultYears*4)</x:f>
        <x:v>15.12009325526896</x:v>
      </x:c>
      <x:c r="Y361" s="32" t="n">
        <x:f>Y360+R361-S361-W361-Y360*V361/AB360</x:f>
        <x:v>2747.3694421948726</x:v>
      </x:c>
      <x:c r="Z361" s="32" t="n">
        <x:f>Z360+W361-X361-T361-Z360*V361/AB360</x:f>
        <x:v>1903.4200678460545</x:v>
      </x:c>
      <x:c r="AA361" s="32" t="n">
        <x:f>AA360+X361-U361-AA360*V361/AB360</x:f>
        <x:v>545.418709550932</x:v>
      </x:c>
      <x:c r="AB361" s="10" t="n">
        <x:f>Y361+Z361+AA361</x:f>
        <x:v>5196.208219591859</x:v>
      </x:c>
      <x:c r="AC361" s="8" t="n">
        <x:f>IF(AND(tun_WinterTrigger=1,D361=1,AB360/AE360&gt;=K361),1,0)</x:f>
        <x:v>0</x:v>
      </x:c>
      <x:c r="AD361" s="8" t="n">
        <x:f>H361*IF(AND(OR(AB360/AE360&gt;=tun_FissionTrigger*N361,AC361=1),AB360/AE360*tun_DaughterShare&gt;=tun_MinDaughter),MAX(1,ROUND(AE360*tun_FissionRate,0)),0)</x:f>
        <x:v>0</x:v>
      </x:c>
      <x:c r="AE361" s="8" t="n">
        <x:f>IF(H361=1,MAX(1,MIN(INDEX(tun_Smax,G361),AE360+AD361)),AE360)</x:f>
        <x:v>12</x:v>
      </x:c>
      <x:c r="AF361" s="8" t="n">
        <x:f>MAX(0,AE361-AE360)</x:f>
        <x:v>0</x:v>
      </x:c>
      <x:c r="AG361" s="9" t="str">
        <x:f>IF(AF361&gt;0,B361,"")</x:f>
      </x:c>
      <x:c r="AH361" s="9" t="n">
        <x:f>IF(F361&gt;=1,1,(1+tun_LowTiesShare*(AE361-1))/AE361)</x:f>
        <x:v>1</x:v>
      </x:c>
      <x:c r="AI361" s="32" t="n">
        <x:f>(Z361+tun_ElderCommons*INDEX(LM_Elder,G361)*AA361)*AH361</x:f>
        <x:v>3948.7402286620495</x:v>
      </x:c>
      <x:c r="AJ361" s="32" t="n">
        <x:f>H361*tun_CommonsCoef*AI361^tun_CommonsExp*INDEX(LM_Commons,G361)</x:f>
        <x:v>7963.453795154921</x:v>
      </x:c>
      <x:c r="AK361" s="32" t="n">
        <x:f>H361*tun_RoleScale*Arch_Roles*(AE361*(INDEX(tun_ElderRolePerSett,G361)*tun_OutElder*INDEX(LM_Elder,G361)+INDEX(tun_ShamanPerSett,G361)*tun_OutShaman)+Z361*(INDEX(tun_PriestShare,G361)*tun_OutPriest+INDEX(tun_ScribeShare,G361)*tun_OutScribe*INDEX(LM_Scribe,G361)+INDEX(tun_ScholarShare,G361)*tun_OutScholar*INDEX(LM_Scholar,G361)+INDEX(tun_ResearcherShare,G361)*tun_OutResearcher*INDEX(LM_Researcher,G361)))</x:f>
        <x:v>2244.1701644430996</x:v>
      </x:c>
      <x:c r="AL361" s="32" t="n">
        <x:f>H361*tun_RoleScale*Arch_Roles*AE361*INDEX(tun_MonasteryPerSett,G361)*tun_OutMonastery*INDEX(LM_Monastery,G361)</x:f>
        <x:v>63.36</x:v>
      </x:c>
      <x:c r="AM361" s="32" t="n">
        <x:f>(AJ361+AK361+AL361)/4*INDEX(LM_All,G361)*INDEX(tun_Boon,G361)*Arch_Insight</x:f>
        <x:v>4693.5187886546955</x:v>
      </x:c>
      <x:c r="AN361" s="32" t="n">
        <x:f>H361*(tun_KHPerAdult*Z361+tun_KHOfCommons*AJ361/4*INDEX(LM_All,G361))*tun_KHUsable*Arch_KH</x:f>
        <x:v>768.7955597362367</x:v>
      </x:c>
      <x:c r="AO361" s="32" t="n">
        <x:f>MIN(AP360+AN361,AM361*tun_KHMaxRatio)</x:f>
        <x:v>768.7955597362367</x:v>
      </x:c>
      <x:c r="AP361" s="32" t="n">
        <x:f>AP360+AN361-AO361</x:f>
        <x:v>0</x:v>
      </x:c>
      <x:c r="AQ361" s="32" t="n">
        <x:f>AM361+AO361</x:f>
        <x:v>5462.3143483909325</x:v>
      </x:c>
      <x:c r="AR361" s="10" t="n">
        <x:f>IF(H361=1,INDEX(tun_Req,G361),0)</x:f>
        <x:v>434961.70024459995</x:v>
      </x:c>
      <x:c r="AS361" s="32" t="n">
        <x:f>IF(H361=1,IF(E361=1,AS360-AR360,AS360)+AQ361,0)</x:f>
        <x:v>189921.7707410014</x:v>
      </x:c>
      <x:c r="AT361" s="11" t="n">
        <x:f>IF(AR361&gt;0,MIN(1,AS361/AR361),1)</x:f>
        <x:v>0.4366402159872909</x:v>
      </x:c>
      <x:c r="AU361" s="10" t="n">
        <x:f>AB361/INDEX(tun_RepScale,G361)</x:f>
        <x:v>207.84832878367436</x:v>
      </x:c>
      <x:c r="AV361" s="32" t="n">
        <x:f>AM361*60/tun_SeasonSeconds</x:f>
        <x:v>18774.075154618782</x:v>
      </x:c>
    </x:row>
    <x:row r="362">
      <x:c r="A362" s="8" t="n">
        <x:f>A361+1</x:f>
        <x:v>359</x:v>
      </x:c>
      <x:c r="B362" s="9" t="n">
        <x:f>A362*tun_SeasonSeconds/60</x:f>
        <x:v>89.75</x:v>
      </x:c>
      <x:c r="C362" s="9" t="n">
        <x:f>A362/4</x:f>
        <x:v>89.75</x:v>
      </x:c>
      <x:c r="D362" s="8" t="n">
        <x:f>IF(MOD(A362,4)=0,1,0)</x:f>
        <x:v>0</x:v>
      </x:c>
      <x:c r="E362" s="8" t="n">
        <x:f>IF(AND(F361&lt;=9,AS361&gt;=AR361),1,0)</x:f>
        <x:v>0</x:v>
      </x:c>
      <x:c r="F362" s="8" t="n">
        <x:f>MIN(10,F361+E362)</x:f>
        <x:v>6</x:v>
      </x:c>
      <x:c r="G362" s="8" t="n">
        <x:f>MIN(F362,9)+1</x:f>
        <x:v>7</x:v>
      </x:c>
      <x:c r="H362" s="8" t="n">
        <x:f>IF(F362&lt;=9,1,0)</x:f>
        <x:v>1</x:v>
      </x:c>
      <x:c r="I362" s="9" t="n">
        <x:f>MIN(10,F361+IF(AR361&gt;0,MIN(1,AS361/AR361),1))</x:f>
        <x:v>6.436640215987291</x:v>
      </x:c>
      <x:c r="J362" s="32" t="n">
        <x:f>INDEX(tun_FoodCap,G362)*Arch_FoodCap*EXP(tun_CapsByProject*SUMPRODUCT((Cap_Point&lt;=I362)*(Cap_Kind="Food")*Cap_Ln))</x:f>
        <x:v>610.0101168966467</x:v>
      </x:c>
      <x:c r="K362" s="32" t="n">
        <x:f>J362*MIN(1,tun_LeanBase*EXP(tun_CapsByProject*SUMPRODUCT((Cap_Point&lt;=I362)*(Cap_Kind="Lean")*Cap_Ln)))</x:f>
        <x:v>610.0101168966467</x:v>
      </x:c>
      <x:c r="L362" s="10" t="n">
        <x:f>INDEX(tun_HousingCap,G362)*EXP(tun_CapsByProject*SUMPRODUCT((Cap_Point&lt;=I362)*(Cap_Kind="Housing")*Cap_Ln))</x:f>
        <x:v>2125.258900135082</x:v>
      </x:c>
      <x:c r="M362" s="10" t="n">
        <x:f>INDEX(tun_GroupCap,G362)*tun_CohesionFactor*EXP(tun_CapsByProject*SUMPRODUCT((Cap_Point&lt;=I362)*(Cap_Kind="Group")*Cap_Ln))</x:f>
        <x:v>50000.00000000004</x:v>
      </x:c>
      <x:c r="N362" s="32" t="n">
        <x:f>MIN(J362,L362,M362)</x:f>
        <x:v>610.0101168966467</x:v>
      </x:c>
      <x:c r="O362" s="10" t="n">
        <x:f>AE361*N362</x:f>
        <x:v>7320.12140275976</x:v>
      </x:c>
      <x:c r="P362" s="9" t="n">
        <x:f>MIN(1,(AB361/(AE361*IF(tun_GroupInCrowding=1,N362,MIN(J362,L362))))^tun_CrowdingExp)</x:f>
        <x:v>0.1279409498105965</x:v>
      </x:c>
      <x:c r="Q362" s="9" t="n">
        <x:f>IF(D362=1,INDEX(tun_WinterMult,G362),1)</x:f>
        <x:v>1</x:v>
      </x:c>
      <x:c r="R362" s="9" t="n">
        <x:f>H362*Z361*tun_WomenShare*tun_BaseFertility*INDEX(tun_FertMult,G362)*Arch_Fertility*(1-P362)</x:f>
        <x:v>118.68247079812555</x:v>
      </x:c>
      <x:c r="S362" s="9" t="n">
        <x:f>H362*Y361*INDEX(tun_MortChild,G362)/4*Q362</x:f>
        <x:v>17.171059013717954</x:v>
      </x:c>
      <x:c r="T362" s="9" t="n">
        <x:f>H362*Z361*INDEX(tun_MortAdult,G362)*Arch_AdultMort/4*Q362</x:f>
        <x:v>4.52062266113438</x:v>
      </x:c>
      <x:c r="U362" s="9" t="n">
        <x:f>H362*AA361*INDEX(tun_MortElder,G362)/4*Q362</x:f>
        <x:v>6.681379191998918</x:v>
      </x:c>
      <x:c r="V362" s="9" t="n">
        <x:f>H362*MAX(0,AB361-O362)*tun_OvercapLoss</x:f>
        <x:v>0</x:v>
      </x:c>
      <x:c r="W362" s="9" t="n">
        <x:f>H362*Y361/(tun_ChildYears*4)</x:f>
        <x:v>49.060168610622725</x:v>
      </x:c>
      <x:c r="X362" s="9" t="n">
        <x:f>H362*Z361/(tun_AdultYears*4)</x:f>
        <x:v>15.350161837468182</x:v>
      </x:c>
      <x:c r="Y362" s="32" t="n">
        <x:f>Y361+R362-S362-W362-Y361*V362/AB361</x:f>
        <x:v>2799.820685368657</x:v>
      </x:c>
      <x:c r="Z362" s="32" t="n">
        <x:f>Z361+W362-X362-T362-Z361*V362/AB361</x:f>
        <x:v>1932.6094519580745</x:v>
      </x:c>
      <x:c r="AA362" s="32" t="n">
        <x:f>AA361+X362-U362-AA361*V362/AB361</x:f>
        <x:v>554.0874921964013</x:v>
      </x:c>
      <x:c r="AB362" s="10" t="n">
        <x:f>Y362+Z362+AA362</x:f>
        <x:v>5286.517629523133</x:v>
      </x:c>
      <x:c r="AC362" s="8" t="n">
        <x:f>IF(AND(tun_WinterTrigger=1,D362=1,AB361/AE361&gt;=K362),1,0)</x:f>
        <x:v>0</x:v>
      </x:c>
      <x:c r="AD362" s="8" t="n">
        <x:f>H362*IF(AND(OR(AB361/AE361&gt;=tun_FissionTrigger*N362,AC362=1),AB361/AE361*tun_DaughterShare&gt;=tun_MinDaughter),MAX(1,ROUND(AE361*tun_FissionRate,0)),0)</x:f>
        <x:v>0</x:v>
      </x:c>
      <x:c r="AE362" s="8" t="n">
        <x:f>IF(H362=1,MAX(1,MIN(INDEX(tun_Smax,G362),AE361+AD362)),AE361)</x:f>
        <x:v>12</x:v>
      </x:c>
      <x:c r="AF362" s="8" t="n">
        <x:f>MAX(0,AE362-AE361)</x:f>
        <x:v>0</x:v>
      </x:c>
      <x:c r="AG362" s="9" t="str">
        <x:f>IF(AF362&gt;0,B362,"")</x:f>
      </x:c>
      <x:c r="AH362" s="9" t="n">
        <x:f>IF(F362&gt;=1,1,(1+tun_LowTiesShare*(AE362-1))/AE362)</x:f>
        <x:v>1</x:v>
      </x:c>
      <x:c r="AI362" s="32" t="n">
        <x:f>(Z362+tun_ElderCommons*INDEX(LM_Elder,G362)*AA362)*AH362</x:f>
        <x:v>4010.4375476945797</x:v>
      </x:c>
      <x:c r="AJ362" s="32" t="n">
        <x:f>H362*tun_CommonsCoef*AI362^tun_CommonsExp*INDEX(LM_Commons,G362)</x:f>
        <x:v>8069.092221327069</x:v>
      </x:c>
      <x:c r="AK362" s="32" t="n">
        <x:f>H362*tun_RoleScale*Arch_Roles*(AE362*(INDEX(tun_ElderRolePerSett,G362)*tun_OutElder*INDEX(LM_Elder,G362)+INDEX(tun_ShamanPerSett,G362)*tun_OutShaman)+Z362*(INDEX(tun_PriestShare,G362)*tun_OutPriest+INDEX(tun_ScribeShare,G362)*tun_OutScribe*INDEX(LM_Scribe,G362)+INDEX(tun_ScholarShare,G362)*tun_OutScholar*INDEX(LM_Scholar,G362)+INDEX(tun_ResearcherShare,G362)*tun_OutResearcher*INDEX(LM_Researcher,G362)))</x:f>
        <x:v>2273.6164151353055</x:v>
      </x:c>
      <x:c r="AL362" s="32" t="n">
        <x:f>H362*tun_RoleScale*Arch_Roles*AE362*INDEX(tun_MonasteryPerSett,G362)*tun_OutMonastery*INDEX(LM_Monastery,G362)</x:f>
        <x:v>63.36</x:v>
      </x:c>
      <x:c r="AM362" s="32" t="n">
        <x:f>(AJ362+AK362+AL362)/4*INDEX(LM_All,G362)*INDEX(tun_Boon,G362)*Arch_Insight</x:f>
        <x:v>4755.248265734612</x:v>
      </x:c>
      <x:c r="AN362" s="32" t="n">
        <x:f>H362*(tun_KHPerAdult*Z362+tun_KHOfCommons*AJ362/4*INDEX(LM_All,G362))*tun_KHUsable*Arch_KH</x:f>
        <x:v>778.9939428835193</x:v>
      </x:c>
      <x:c r="AO362" s="32" t="n">
        <x:f>MIN(AP361+AN362,AM362*tun_KHMaxRatio)</x:f>
        <x:v>778.9939428835193</x:v>
      </x:c>
      <x:c r="AP362" s="32" t="n">
        <x:f>AP361+AN362-AO362</x:f>
        <x:v>0</x:v>
      </x:c>
      <x:c r="AQ362" s="32" t="n">
        <x:f>AM362+AO362</x:f>
        <x:v>5534.242208618131</x:v>
      </x:c>
      <x:c r="AR362" s="10" t="n">
        <x:f>IF(H362=1,INDEX(tun_Req,G362),0)</x:f>
        <x:v>434961.70024459995</x:v>
      </x:c>
      <x:c r="AS362" s="32" t="n">
        <x:f>IF(H362=1,IF(E362=1,AS361-AR361,AS361)+AQ362,0)</x:f>
        <x:v>195456.01294961953</x:v>
      </x:c>
      <x:c r="AT362" s="11" t="n">
        <x:f>IF(AR362&gt;0,MIN(1,AS362/AR362),1)</x:f>
        <x:v>0.44936373211642583</x:v>
      </x:c>
      <x:c r="AU362" s="10" t="n">
        <x:f>AB362/INDEX(tun_RepScale,G362)</x:f>
        <x:v>211.46070518092532</x:v>
      </x:c>
      <x:c r="AV362" s="32" t="n">
        <x:f>AM362*60/tun_SeasonSeconds</x:f>
        <x:v>19020.993062938447</x:v>
      </x:c>
    </x:row>
    <x:row r="363">
      <x:c r="A363" s="8" t="n">
        <x:f>A362+1</x:f>
        <x:v>360</x:v>
      </x:c>
      <x:c r="B363" s="9" t="n">
        <x:f>A363*tun_SeasonSeconds/60</x:f>
        <x:v>90</x:v>
      </x:c>
      <x:c r="C363" s="9" t="n">
        <x:f>A363/4</x:f>
        <x:v>90</x:v>
      </x:c>
      <x:c r="D363" s="8" t="n">
        <x:f>IF(MOD(A363,4)=0,1,0)</x:f>
        <x:v>1</x:v>
      </x:c>
      <x:c r="E363" s="8" t="n">
        <x:f>IF(AND(F362&lt;=9,AS362&gt;=AR362),1,0)</x:f>
        <x:v>0</x:v>
      </x:c>
      <x:c r="F363" s="8" t="n">
        <x:f>MIN(10,F362+E363)</x:f>
        <x:v>6</x:v>
      </x:c>
      <x:c r="G363" s="8" t="n">
        <x:f>MIN(F363,9)+1</x:f>
        <x:v>7</x:v>
      </x:c>
      <x:c r="H363" s="8" t="n">
        <x:f>IF(F363&lt;=9,1,0)</x:f>
        <x:v>1</x:v>
      </x:c>
      <x:c r="I363" s="9" t="n">
        <x:f>MIN(10,F362+IF(AR362&gt;0,MIN(1,AS362/AR362),1))</x:f>
        <x:v>6.449363732116426</x:v>
      </x:c>
      <x:c r="J363" s="32" t="n">
        <x:f>INDEX(tun_FoodCap,G363)*Arch_FoodCap*EXP(tun_CapsByProject*SUMPRODUCT((Cap_Point&lt;=I363)*(Cap_Kind="Food")*Cap_Ln))</x:f>
        <x:v>610.0101168966467</x:v>
      </x:c>
      <x:c r="K363" s="32" t="n">
        <x:f>J363*MIN(1,tun_LeanBase*EXP(tun_CapsByProject*SUMPRODUCT((Cap_Point&lt;=I363)*(Cap_Kind="Lean")*Cap_Ln)))</x:f>
        <x:v>610.0101168966467</x:v>
      </x:c>
      <x:c r="L363" s="10" t="n">
        <x:f>INDEX(tun_HousingCap,G363)*EXP(tun_CapsByProject*SUMPRODUCT((Cap_Point&lt;=I363)*(Cap_Kind="Housing")*Cap_Ln))</x:f>
        <x:v>2125.258900135082</x:v>
      </x:c>
      <x:c r="M363" s="10" t="n">
        <x:f>INDEX(tun_GroupCap,G363)*tun_CohesionFactor*EXP(tun_CapsByProject*SUMPRODUCT((Cap_Point&lt;=I363)*(Cap_Kind="Group")*Cap_Ln))</x:f>
        <x:v>50000.00000000004</x:v>
      </x:c>
      <x:c r="N363" s="32" t="n">
        <x:f>MIN(J363,L363,M363)</x:f>
        <x:v>610.0101168966467</x:v>
      </x:c>
      <x:c r="O363" s="10" t="n">
        <x:f>AE362*N363</x:f>
        <x:v>7320.12140275976</x:v>
      </x:c>
      <x:c r="P363" s="9" t="n">
        <x:f>MIN(1,(AB362/(AE362*IF(tun_GroupInCrowding=1,N363,MIN(J363,L363))))^tun_CrowdingExp)</x:f>
        <x:v>0.14187582703429716</x:v>
      </x:c>
      <x:c r="Q363" s="9" t="n">
        <x:f>IF(D363=1,INDEX(tun_WinterMult,G363),1)</x:f>
        <x:v>1.1</x:v>
      </x:c>
      <x:c r="R363" s="9" t="n">
        <x:f>H363*Z362*tun_WomenShare*tun_BaseFertility*INDEX(tun_FertMult,G363)*Arch_Fertility*(1-P363)</x:f>
        <x:v>118.57695046534644</x:v>
      </x:c>
      <x:c r="S363" s="9" t="n">
        <x:f>H363*Y362*INDEX(tun_MortChild,G363)/4*Q363</x:f>
        <x:v>19.24876721190952</x:v>
      </x:c>
      <x:c r="T363" s="9" t="n">
        <x:f>H363*Z362*INDEX(tun_MortAdult,G363)*Arch_AdultMort/4*Q363</x:f>
        <x:v>5.048942193240469</x:v>
      </x:c>
      <x:c r="U363" s="9" t="n">
        <x:f>H363*AA362*INDEX(tun_MortElder,G363)/4*Q363</x:f>
        <x:v>7.466328957346508</x:v>
      </x:c>
      <x:c r="V363" s="9" t="n">
        <x:f>H363*MAX(0,AB362-O363)*tun_OvercapLoss</x:f>
        <x:v>0</x:v>
      </x:c>
      <x:c r="W363" s="9" t="n">
        <x:f>H363*Y362/(tun_ChildYears*4)</x:f>
        <x:v>49.99679795301173</x:v>
      </x:c>
      <x:c r="X363" s="9" t="n">
        <x:f>H363*Z362/(tun_AdultYears*4)</x:f>
        <x:v>15.585560096436085</x:v>
      </x:c>
      <x:c r="Y363" s="32" t="n">
        <x:f>Y362+R363-S363-W363-Y362*V363/AB362</x:f>
        <x:v>2849.152070669082</x:v>
      </x:c>
      <x:c r="Z363" s="32" t="n">
        <x:f>Z362+W363-X363-T363-Z362*V363/AB362</x:f>
        <x:v>1961.9717476214098</x:v>
      </x:c>
      <x:c r="AA363" s="32" t="n">
        <x:f>AA362+X363-U363-AA362*V363/AB362</x:f>
        <x:v>562.2067233354909</x:v>
      </x:c>
      <x:c r="AB363" s="10" t="n">
        <x:f>Y363+Z363+AA363</x:f>
        <x:v>5373.330541625983</x:v>
      </x:c>
      <x:c r="AC363" s="8" t="n">
        <x:f>IF(AND(tun_WinterTrigger=1,D363=1,AB362/AE362&gt;=K363),1,0)</x:f>
        <x:v>0</x:v>
      </x:c>
      <x:c r="AD363" s="8" t="n">
        <x:f>H363*IF(AND(OR(AB362/AE362&gt;=tun_FissionTrigger*N363,AC363=1),AB362/AE362*tun_DaughterShare&gt;=tun_MinDaughter),MAX(1,ROUND(AE362*tun_FissionRate,0)),0)</x:f>
        <x:v>0</x:v>
      </x:c>
      <x:c r="AE363" s="8" t="n">
        <x:f>IF(H363=1,MAX(1,MIN(INDEX(tun_Smax,G363),AE362+AD363)),AE362)</x:f>
        <x:v>12</x:v>
      </x:c>
      <x:c r="AF363" s="8" t="n">
        <x:f>MAX(0,AE363-AE362)</x:f>
        <x:v>0</x:v>
      </x:c>
      <x:c r="AG363" s="9" t="str">
        <x:f>IF(AF363&gt;0,B363,"")</x:f>
      </x:c>
      <x:c r="AH363" s="9" t="n">
        <x:f>IF(F363&gt;=1,1,(1+tun_LowTiesShare*(AE363-1))/AE363)</x:f>
        <x:v>1</x:v>
      </x:c>
      <x:c r="AI363" s="32" t="n">
        <x:f>(Z363+tun_ElderCommons*INDEX(LM_Elder,G363)*AA363)*AH363</x:f>
        <x:v>4070.2469601295006</x:v>
      </x:c>
      <x:c r="AJ363" s="32" t="n">
        <x:f>H363*tun_CommonsCoef*AI363^tun_CommonsExp*INDEX(LM_Commons,G363)</x:f>
        <x:v>8171.26568292396</x:v>
      </x:c>
      <x:c r="AK363" s="32" t="n">
        <x:f>H363*tun_RoleScale*Arch_Roles*(AE363*(INDEX(tun_ElderRolePerSett,G363)*tun_OutElder*INDEX(LM_Elder,G363)+INDEX(tun_ShamanPerSett,G363)*tun_OutShaman)+Z363*(INDEX(tun_PriestShare,G363)*tun_OutPriest+INDEX(tun_ScribeShare,G363)*tun_OutScribe*INDEX(LM_Scribe,G363)+INDEX(tun_ScholarShare,G363)*tun_OutScholar*INDEX(LM_Scholar,G363)+INDEX(tun_ResearcherShare,G363)*tun_OutResearcher*INDEX(LM_Researcher,G363)))</x:f>
        <x:v>2303.2370990004783</x:v>
      </x:c>
      <x:c r="AL363" s="32" t="n">
        <x:f>H363*tun_RoleScale*Arch_Roles*AE363*INDEX(tun_MonasteryPerSett,G363)*tun_OutMonastery*INDEX(LM_Monastery,G363)</x:f>
        <x:v>63.36</x:v>
      </x:c>
      <x:c r="AM363" s="32" t="n">
        <x:f>(AJ363+AK363+AL363)/4*INDEX(LM_All,G363)*INDEX(tun_Boon,G363)*Arch_Insight</x:f>
        <x:v>4815.474072764799</x:v>
      </x:c>
      <x:c r="AN363" s="32" t="n">
        <x:f>H363*(tun_KHPerAdult*Z363+tun_KHOfCommons*AJ363/4*INDEX(LM_All,G363))*tun_KHUsable*Arch_KH</x:f>
        <x:v>788.8578167275997</x:v>
      </x:c>
      <x:c r="AO363" s="32" t="n">
        <x:f>MIN(AP362+AN363,AM363*tun_KHMaxRatio)</x:f>
        <x:v>788.8578167275997</x:v>
      </x:c>
      <x:c r="AP363" s="32" t="n">
        <x:f>AP362+AN363-AO363</x:f>
        <x:v>0</x:v>
      </x:c>
      <x:c r="AQ363" s="32" t="n">
        <x:f>AM363+AO363</x:f>
        <x:v>5604.331889492399</x:v>
      </x:c>
      <x:c r="AR363" s="10" t="n">
        <x:f>IF(H363=1,INDEX(tun_Req,G363),0)</x:f>
        <x:v>434961.70024459995</x:v>
      </x:c>
      <x:c r="AS363" s="32" t="n">
        <x:f>IF(H363=1,IF(E363=1,AS362-AR362,AS362)+AQ363,0)</x:f>
        <x:v>201060.34483911193</x:v>
      </x:c>
      <x:c r="AT363" s="11" t="n">
        <x:f>IF(AR363&gt;0,MIN(1,AS363/AR363),1)</x:f>
        <x:v>0.46224838813634855</x:v>
      </x:c>
      <x:c r="AU363" s="10" t="n">
        <x:f>AB363/INDEX(tun_RepScale,G363)</x:f>
        <x:v>214.9332216650393</x:v>
      </x:c>
      <x:c r="AV363" s="32" t="n">
        <x:f>AM363*60/tun_SeasonSeconds</x:f>
        <x:v>19261.896291059194</x:v>
      </x:c>
    </x:row>
    <x:row r="364">
      <x:c r="A364" s="8" t="n">
        <x:f>A363+1</x:f>
        <x:v>361</x:v>
      </x:c>
      <x:c r="B364" s="9" t="n">
        <x:f>A364*tun_SeasonSeconds/60</x:f>
        <x:v>90.25</x:v>
      </x:c>
      <x:c r="C364" s="9" t="n">
        <x:f>A364/4</x:f>
        <x:v>90.25</x:v>
      </x:c>
      <x:c r="D364" s="8" t="n">
        <x:f>IF(MOD(A364,4)=0,1,0)</x:f>
        <x:v>0</x:v>
      </x:c>
      <x:c r="E364" s="8" t="n">
        <x:f>IF(AND(F363&lt;=9,AS363&gt;=AR363),1,0)</x:f>
        <x:v>0</x:v>
      </x:c>
      <x:c r="F364" s="8" t="n">
        <x:f>MIN(10,F363+E364)</x:f>
        <x:v>6</x:v>
      </x:c>
      <x:c r="G364" s="8" t="n">
        <x:f>MIN(F364,9)+1</x:f>
        <x:v>7</x:v>
      </x:c>
      <x:c r="H364" s="8" t="n">
        <x:f>IF(F364&lt;=9,1,0)</x:f>
        <x:v>1</x:v>
      </x:c>
      <x:c r="I364" s="9" t="n">
        <x:f>MIN(10,F363+IF(AR363&gt;0,MIN(1,AS363/AR363),1))</x:f>
        <x:v>6.462248388136349</x:v>
      </x:c>
      <x:c r="J364" s="32" t="n">
        <x:f>INDEX(tun_FoodCap,G364)*Arch_FoodCap*EXP(tun_CapsByProject*SUMPRODUCT((Cap_Point&lt;=I364)*(Cap_Kind="Food")*Cap_Ln))</x:f>
        <x:v>610.0101168966467</x:v>
      </x:c>
      <x:c r="K364" s="32" t="n">
        <x:f>J364*MIN(1,tun_LeanBase*EXP(tun_CapsByProject*SUMPRODUCT((Cap_Point&lt;=I364)*(Cap_Kind="Lean")*Cap_Ln)))</x:f>
        <x:v>610.0101168966467</x:v>
      </x:c>
      <x:c r="L364" s="10" t="n">
        <x:f>INDEX(tun_HousingCap,G364)*EXP(tun_CapsByProject*SUMPRODUCT((Cap_Point&lt;=I364)*(Cap_Kind="Housing")*Cap_Ln))</x:f>
        <x:v>2125.258900135082</x:v>
      </x:c>
      <x:c r="M364" s="10" t="n">
        <x:f>INDEX(tun_GroupCap,G364)*tun_CohesionFactor*EXP(tun_CapsByProject*SUMPRODUCT((Cap_Point&lt;=I364)*(Cap_Kind="Group")*Cap_Ln))</x:f>
        <x:v>50000.00000000004</x:v>
      </x:c>
      <x:c r="N364" s="32" t="n">
        <x:f>MIN(J364,L364,M364)</x:f>
        <x:v>610.0101168966467</x:v>
      </x:c>
      <x:c r="O364" s="10" t="n">
        <x:f>AE363*N364</x:f>
        <x:v>7320.12140275976</x:v>
      </x:c>
      <x:c r="P364" s="9" t="n">
        <x:f>MIN(1,(AB363/(AE363*IF(tun_GroupInCrowding=1,N364,MIN(J364,L364))))^tun_CrowdingExp)</x:f>
        <x:v>0.15644138055658444</x:v>
      </x:c>
      <x:c r="Q364" s="9" t="n">
        <x:f>IF(D364=1,INDEX(tun_WinterMult,G364),1)</x:f>
        <x:v>1</x:v>
      </x:c>
      <x:c r="R364" s="9" t="n">
        <x:f>H364*Z363*tun_WomenShare*tun_BaseFertility*INDEX(tun_FertMult,G364)*Arch_Fertility*(1-P364)</x:f>
        <x:v>118.3352297849509</x:v>
      </x:c>
      <x:c r="S364" s="9" t="n">
        <x:f>H364*Y363*INDEX(tun_MortChild,G364)/4*Q364</x:f>
        <x:v>17.807200441681765</x:v>
      </x:c>
      <x:c r="T364" s="9" t="n">
        <x:f>H364*Z363*INDEX(tun_MortAdult,G364)*Arch_AdultMort/4*Q364</x:f>
        <x:v>4.659682900600848</x:v>
      </x:c>
      <x:c r="U364" s="9" t="n">
        <x:f>H364*AA363*INDEX(tun_MortElder,G364)/4*Q364</x:f>
        <x:v>6.887032360859764</x:v>
      </x:c>
      <x:c r="V364" s="9" t="n">
        <x:f>H364*MAX(0,AB363-O364)*tun_OvercapLoss</x:f>
        <x:v>0</x:v>
      </x:c>
      <x:c r="W364" s="9" t="n">
        <x:f>H364*Y363/(tun_ChildYears*4)</x:f>
        <x:v>50.877715547662184</x:v>
      </x:c>
      <x:c r="X364" s="9" t="n">
        <x:f>H364*Z363/(tun_AdultYears*4)</x:f>
        <x:v>15.822352803398466</x:v>
      </x:c>
      <x:c r="Y364" s="32" t="n">
        <x:f>Y363+R364-S364-W364-Y363*V364/AB363</x:f>
        <x:v>2898.802384464689</x:v>
      </x:c>
      <x:c r="Z364" s="32" t="n">
        <x:f>Z363+W364-X364-T364-Z363*V364/AB363</x:f>
        <x:v>1992.3674274650725</x:v>
      </x:c>
      <x:c r="AA364" s="32" t="n">
        <x:f>AA363+X364-U364-AA363*V364/AB363</x:f>
        <x:v>571.1420437780296</x:v>
      </x:c>
      <x:c r="AB364" s="10" t="n">
        <x:f>Y364+Z364+AA364</x:f>
        <x:v>5462.311855707791</x:v>
      </x:c>
      <x:c r="AC364" s="8" t="n">
        <x:f>IF(AND(tun_WinterTrigger=1,D364=1,AB363/AE363&gt;=K364),1,0)</x:f>
        <x:v>0</x:v>
      </x:c>
      <x:c r="AD364" s="8" t="n">
        <x:f>H364*IF(AND(OR(AB363/AE363&gt;=tun_FissionTrigger*N364,AC364=1),AB363/AE363*tun_DaughterShare&gt;=tun_MinDaughter),MAX(1,ROUND(AE363*tun_FissionRate,0)),0)</x:f>
        <x:v>0</x:v>
      </x:c>
      <x:c r="AE364" s="8" t="n">
        <x:f>IF(H364=1,MAX(1,MIN(INDEX(tun_Smax,G364),AE363+AD364)),AE363)</x:f>
        <x:v>12</x:v>
      </x:c>
      <x:c r="AF364" s="8" t="n">
        <x:f>MAX(0,AE364-AE363)</x:f>
        <x:v>0</x:v>
      </x:c>
      <x:c r="AG364" s="9" t="str">
        <x:f>IF(AF364&gt;0,B364,"")</x:f>
      </x:c>
      <x:c r="AH364" s="9" t="n">
        <x:f>IF(F364&gt;=1,1,(1+tun_LowTiesShare*(AE364-1))/AE364)</x:f>
        <x:v>1</x:v>
      </x:c>
      <x:c r="AI364" s="32" t="n">
        <x:f>(Z364+tun_ElderCommons*INDEX(LM_Elder,G364)*AA364)*AH364</x:f>
        <x:v>4134.150091632684</x:v>
      </x:c>
      <x:c r="AJ364" s="32" t="n">
        <x:f>H364*tun_CommonsCoef*AI364^tun_CommonsExp*INDEX(LM_Commons,G364)</x:f>
        <x:v>8280.184021452766</x:v>
      </x:c>
      <x:c r="AK364" s="32" t="n">
        <x:f>H364*tun_RoleScale*Arch_Roles*(AE364*(INDEX(tun_ElderRolePerSett,G364)*tun_OutElder*INDEX(LM_Elder,G364)+INDEX(tun_ShamanPerSett,G364)*tun_OutShaman)+Z364*(INDEX(tun_PriestShare,G364)*tun_OutPriest+INDEX(tun_ScribeShare,G364)*tun_OutScribe*INDEX(LM_Scribe,G364)+INDEX(tun_ScholarShare,G364)*tun_OutScholar*INDEX(LM_Scholar,G364)+INDEX(tun_ResearcherShare,G364)*tun_OutResearcher*INDEX(LM_Researcher,G364)))</x:f>
        <x:v>2333.9002608267647</x:v>
      </x:c>
      <x:c r="AL364" s="32" t="n">
        <x:f>H364*tun_RoleScale*Arch_Roles*AE364*INDEX(tun_MonasteryPerSett,G364)*tun_OutMonastery*INDEX(LM_Monastery,G364)</x:f>
        <x:v>63.36</x:v>
      </x:c>
      <x:c r="AM364" s="32" t="n">
        <x:f>(AJ364+AK364+AL364)/4*INDEX(LM_All,G364)*INDEX(tun_Boon,G364)*Arch_Insight</x:f>
        <x:v>4879.258457692499</x:v>
      </x:c>
      <x:c r="AN364" s="32" t="n">
        <x:f>H364*(tun_KHPerAdult*Z364+tun_KHOfCommons*AJ364/4*INDEX(LM_All,G364))*tun_KHUsable*Arch_KH</x:f>
        <x:v>799.3728441502161</x:v>
      </x:c>
      <x:c r="AO364" s="32" t="n">
        <x:f>MIN(AP363+AN364,AM364*tun_KHMaxRatio)</x:f>
        <x:v>799.3728441502161</x:v>
      </x:c>
      <x:c r="AP364" s="32" t="n">
        <x:f>AP363+AN364-AO364</x:f>
        <x:v>0</x:v>
      </x:c>
      <x:c r="AQ364" s="32" t="n">
        <x:f>AM364+AO364</x:f>
        <x:v>5678.631301842715</x:v>
      </x:c>
      <x:c r="AR364" s="10" t="n">
        <x:f>IF(H364=1,INDEX(tun_Req,G364),0)</x:f>
        <x:v>434961.70024459995</x:v>
      </x:c>
      <x:c r="AS364" s="32" t="n">
        <x:f>IF(H364=1,IF(E364=1,AS363-AR363,AS363)+AQ364,0)</x:f>
        <x:v>206738.97614095465</x:v>
      </x:c>
      <x:c r="AT364" s="11" t="n">
        <x:f>IF(AR364&gt;0,MIN(1,AS364/AR364),1)</x:f>
        <x:v>0.47530386244282047</x:v>
      </x:c>
      <x:c r="AU364" s="10" t="n">
        <x:f>AB364/INDEX(tun_RepScale,G364)</x:f>
        <x:v>218.49247422831166</x:v>
      </x:c>
      <x:c r="AV364" s="32" t="n">
        <x:f>AM364*60/tun_SeasonSeconds</x:f>
        <x:v>19517.033830769997</x:v>
      </x:c>
    </x:row>
    <x:row r="365">
      <x:c r="A365" s="8" t="n">
        <x:f>A364+1</x:f>
        <x:v>362</x:v>
      </x:c>
      <x:c r="B365" s="9" t="n">
        <x:f>A365*tun_SeasonSeconds/60</x:f>
        <x:v>90.5</x:v>
      </x:c>
      <x:c r="C365" s="9" t="n">
        <x:f>A365/4</x:f>
        <x:v>90.5</x:v>
      </x:c>
      <x:c r="D365" s="8" t="n">
        <x:f>IF(MOD(A365,4)=0,1,0)</x:f>
        <x:v>0</x:v>
      </x:c>
      <x:c r="E365" s="8" t="n">
        <x:f>IF(AND(F364&lt;=9,AS364&gt;=AR364),1,0)</x:f>
        <x:v>0</x:v>
      </x:c>
      <x:c r="F365" s="8" t="n">
        <x:f>MIN(10,F364+E365)</x:f>
        <x:v>6</x:v>
      </x:c>
      <x:c r="G365" s="8" t="n">
        <x:f>MIN(F365,9)+1</x:f>
        <x:v>7</x:v>
      </x:c>
      <x:c r="H365" s="8" t="n">
        <x:f>IF(F365&lt;=9,1,0)</x:f>
        <x:v>1</x:v>
      </x:c>
      <x:c r="I365" s="9" t="n">
        <x:f>MIN(10,F364+IF(AR364&gt;0,MIN(1,AS364/AR364),1))</x:f>
        <x:v>6.4753038624428205</x:v>
      </x:c>
      <x:c r="J365" s="32" t="n">
        <x:f>INDEX(tun_FoodCap,G365)*Arch_FoodCap*EXP(tun_CapsByProject*SUMPRODUCT((Cap_Point&lt;=I365)*(Cap_Kind="Food")*Cap_Ln))</x:f>
        <x:v>610.0101168966467</x:v>
      </x:c>
      <x:c r="K365" s="32" t="n">
        <x:f>J365*MIN(1,tun_LeanBase*EXP(tun_CapsByProject*SUMPRODUCT((Cap_Point&lt;=I365)*(Cap_Kind="Lean")*Cap_Ln)))</x:f>
        <x:v>610.0101168966467</x:v>
      </x:c>
      <x:c r="L365" s="10" t="n">
        <x:f>INDEX(tun_HousingCap,G365)*EXP(tun_CapsByProject*SUMPRODUCT((Cap_Point&lt;=I365)*(Cap_Kind="Housing")*Cap_Ln))</x:f>
        <x:v>2125.258900135082</x:v>
      </x:c>
      <x:c r="M365" s="10" t="n">
        <x:f>INDEX(tun_GroupCap,G365)*tun_CohesionFactor*EXP(tun_CapsByProject*SUMPRODUCT((Cap_Point&lt;=I365)*(Cap_Kind="Group")*Cap_Ln))</x:f>
        <x:v>50000.00000000004</x:v>
      </x:c>
      <x:c r="N365" s="32" t="n">
        <x:f>MIN(J365,L365,M365)</x:f>
        <x:v>610.0101168966467</x:v>
      </x:c>
      <x:c r="O365" s="10" t="n">
        <x:f>AE364*N365</x:f>
        <x:v>7320.12140275976</x:v>
      </x:c>
      <x:c r="P365" s="9" t="n">
        <x:f>MIN(1,(AB364/(AE364*IF(tun_GroupInCrowding=1,N365,MIN(J365,L365))))^tun_CrowdingExp)</x:f>
        <x:v>0.1726431078284189</x:v>
      </x:c>
      <x:c r="Q365" s="9" t="n">
        <x:f>IF(D365=1,INDEX(tun_WinterMult,G365),1)</x:f>
        <x:v>1</x:v>
      </x:c>
      <x:c r="R365" s="9" t="n">
        <x:f>H365*Z364*tun_WomenShare*tun_BaseFertility*INDEX(tun_FertMult,G365)*Arch_Fertility*(1-P365)</x:f>
        <x:v>117.8605229838744</x:v>
      </x:c>
      <x:c r="S365" s="9" t="n">
        <x:f>H365*Y364*INDEX(tun_MortChild,G365)/4*Q365</x:f>
        <x:v>18.117514902904308</x:v>
      </x:c>
      <x:c r="T365" s="9" t="n">
        <x:f>H365*Z364*INDEX(tun_MortAdult,G365)*Arch_AdultMort/4*Q365</x:f>
        <x:v>4.731872640229547</x:v>
      </x:c>
      <x:c r="U365" s="9" t="n">
        <x:f>H365*AA364*INDEX(tun_MortElder,G365)/4*Q365</x:f>
        <x:v>6.996490036280862</x:v>
      </x:c>
      <x:c r="V365" s="9" t="n">
        <x:f>H365*MAX(0,AB364-O365)*tun_OvercapLoss</x:f>
        <x:v>0</x:v>
      </x:c>
      <x:c r="W365" s="9" t="n">
        <x:f>H365*Y364/(tun_ChildYears*4)</x:f>
        <x:v>51.76432829401231</x:v>
      </x:c>
      <x:c r="X365" s="9" t="n">
        <x:f>H365*Z364/(tun_AdultYears*4)</x:f>
        <x:v>16.067479253750584</x:v>
      </x:c>
      <x:c r="Y365" s="32" t="n">
        <x:f>Y364+R365-S365-W365-Y364*V365/AB364</x:f>
        <x:v>2946.781064251647</x:v>
      </x:c>
      <x:c r="Z365" s="32" t="n">
        <x:f>Z364+W365-X365-T365-Z364*V365/AB364</x:f>
        <x:v>2023.3324038651047</x:v>
      </x:c>
      <x:c r="AA365" s="32" t="n">
        <x:f>AA364+X365-U365-AA364*V365/AB364</x:f>
        <x:v>580.2130329954992</x:v>
      </x:c>
      <x:c r="AB365" s="10" t="n">
        <x:f>Y365+Z365+AA365</x:f>
        <x:v>5550.32650111225</x:v>
      </x:c>
      <x:c r="AC365" s="8" t="n">
        <x:f>IF(AND(tun_WinterTrigger=1,D365=1,AB364/AE364&gt;=K365),1,0)</x:f>
        <x:v>0</x:v>
      </x:c>
      <x:c r="AD365" s="8" t="n">
        <x:f>H365*IF(AND(OR(AB364/AE364&gt;=tun_FissionTrigger*N365,AC365=1),AB364/AE364*tun_DaughterShare&gt;=tun_MinDaughter),MAX(1,ROUND(AE364*tun_FissionRate,0)),0)</x:f>
        <x:v>0</x:v>
      </x:c>
      <x:c r="AE365" s="8" t="n">
        <x:f>IF(H365=1,MAX(1,MIN(INDEX(tun_Smax,G365),AE364+AD365)),AE364)</x:f>
        <x:v>12</x:v>
      </x:c>
      <x:c r="AF365" s="8" t="n">
        <x:f>MAX(0,AE365-AE364)</x:f>
        <x:v>0</x:v>
      </x:c>
      <x:c r="AG365" s="9" t="str">
        <x:f>IF(AF365&gt;0,B365,"")</x:f>
      </x:c>
      <x:c r="AH365" s="9" t="n">
        <x:f>IF(F365&gt;=1,1,(1+tun_LowTiesShare*(AE365-1))/AE365)</x:f>
        <x:v>1</x:v>
      </x:c>
      <x:c r="AI365" s="32" t="n">
        <x:f>(Z365+tun_ElderCommons*INDEX(LM_Elder,G365)*AA365)*AH365</x:f>
        <x:v>4199.131277598227</x:v>
      </x:c>
      <x:c r="AJ365" s="32" t="n">
        <x:f>H365*tun_CommonsCoef*AI365^tun_CommonsExp*INDEX(LM_Commons,G365)</x:f>
        <x:v>8390.68117632162</x:v>
      </x:c>
      <x:c r="AK365" s="32" t="n">
        <x:f>H365*tun_RoleScale*Arch_Roles*(AE365*(INDEX(tun_ElderRolePerSett,G365)*tun_OutElder*INDEX(LM_Elder,G365)+INDEX(tun_ShamanPerSett,G365)*tun_OutShaman)+Z365*(INDEX(tun_PriestShare,G365)*tun_OutPriest+INDEX(tun_ScribeShare,G365)*tun_OutScribe*INDEX(LM_Scribe,G365)+INDEX(tun_ScholarShare,G365)*tun_OutScholar*INDEX(LM_Scholar,G365)+INDEX(tun_ResearcherShare,G365)*tun_OutResearcher*INDEX(LM_Researcher,G365)))</x:f>
        <x:v>2365.1377290191176</x:v>
      </x:c>
      <x:c r="AL365" s="32" t="n">
        <x:f>H365*tun_RoleScale*Arch_Roles*AE365*INDEX(tun_MonasteryPerSett,G365)*tun_OutMonastery*INDEX(LM_Monastery,G365)</x:f>
        <x:v>63.36</x:v>
      </x:c>
      <x:c r="AM365" s="32" t="n">
        <x:f>(AJ365+AK365+AL365)/4*INDEX(LM_All,G365)*INDEX(tun_Boon,G365)*Arch_Insight</x:f>
        <x:v>4944.026752430123</x:v>
      </x:c>
      <x:c r="AN365" s="32" t="n">
        <x:f>H365*(tun_KHPerAdult*Z365+tun_KHOfCommons*AJ365/4*INDEX(LM_All,G365))*tun_KHUsable*Arch_KH</x:f>
        <x:v>810.0402912418721</x:v>
      </x:c>
      <x:c r="AO365" s="32" t="n">
        <x:f>MIN(AP364+AN365,AM365*tun_KHMaxRatio)</x:f>
        <x:v>810.0402912418721</x:v>
      </x:c>
      <x:c r="AP365" s="32" t="n">
        <x:f>AP364+AN365-AO365</x:f>
        <x:v>0</x:v>
      </x:c>
      <x:c r="AQ365" s="32" t="n">
        <x:f>AM365+AO365</x:f>
        <x:v>5754.067043671996</x:v>
      </x:c>
      <x:c r="AR365" s="10" t="n">
        <x:f>IF(H365=1,INDEX(tun_Req,G365),0)</x:f>
        <x:v>434961.70024459995</x:v>
      </x:c>
      <x:c r="AS365" s="32" t="n">
        <x:f>IF(H365=1,IF(E365=1,AS364-AR364,AS364)+AQ365,0)</x:f>
        <x:v>212493.04318462664</x:v>
      </x:c>
      <x:c r="AT365" s="11" t="n">
        <x:f>IF(AR365&gt;0,MIN(1,AS365/AR365),1)</x:f>
        <x:v>0.48853276751753444</x:v>
      </x:c>
      <x:c r="AU365" s="10" t="n">
        <x:f>AB365/INDEX(tun_RepScale,G365)</x:f>
        <x:v>222.01306004449</x:v>
      </x:c>
      <x:c r="AV365" s="32" t="n">
        <x:f>AM365*60/tun_SeasonSeconds</x:f>
        <x:v>19776.10700972049</x:v>
      </x:c>
    </x:row>
    <x:row r="366">
      <x:c r="A366" s="8" t="n">
        <x:f>A365+1</x:f>
        <x:v>363</x:v>
      </x:c>
      <x:c r="B366" s="9" t="n">
        <x:f>A366*tun_SeasonSeconds/60</x:f>
        <x:v>90.75</x:v>
      </x:c>
      <x:c r="C366" s="9" t="n">
        <x:f>A366/4</x:f>
        <x:v>90.75</x:v>
      </x:c>
      <x:c r="D366" s="8" t="n">
        <x:f>IF(MOD(A366,4)=0,1,0)</x:f>
        <x:v>0</x:v>
      </x:c>
      <x:c r="E366" s="8" t="n">
        <x:f>IF(AND(F365&lt;=9,AS365&gt;=AR365),1,0)</x:f>
        <x:v>0</x:v>
      </x:c>
      <x:c r="F366" s="8" t="n">
        <x:f>MIN(10,F365+E366)</x:f>
        <x:v>6</x:v>
      </x:c>
      <x:c r="G366" s="8" t="n">
        <x:f>MIN(F366,9)+1</x:f>
        <x:v>7</x:v>
      </x:c>
      <x:c r="H366" s="8" t="n">
        <x:f>IF(F366&lt;=9,1,0)</x:f>
        <x:v>1</x:v>
      </x:c>
      <x:c r="I366" s="9" t="n">
        <x:f>MIN(10,F365+IF(AR365&gt;0,MIN(1,AS365/AR365),1))</x:f>
        <x:v>6.488532767517534</x:v>
      </x:c>
      <x:c r="J366" s="32" t="n">
        <x:f>INDEX(tun_FoodCap,G366)*Arch_FoodCap*EXP(tun_CapsByProject*SUMPRODUCT((Cap_Point&lt;=I366)*(Cap_Kind="Food")*Cap_Ln))</x:f>
        <x:v>610.0101168966467</x:v>
      </x:c>
      <x:c r="K366" s="32" t="n">
        <x:f>J366*MIN(1,tun_LeanBase*EXP(tun_CapsByProject*SUMPRODUCT((Cap_Point&lt;=I366)*(Cap_Kind="Lean")*Cap_Ln)))</x:f>
        <x:v>610.0101168966467</x:v>
      </x:c>
      <x:c r="L366" s="10" t="n">
        <x:f>INDEX(tun_HousingCap,G366)*EXP(tun_CapsByProject*SUMPRODUCT((Cap_Point&lt;=I366)*(Cap_Kind="Housing")*Cap_Ln))</x:f>
        <x:v>2125.258900135082</x:v>
      </x:c>
      <x:c r="M366" s="10" t="n">
        <x:f>INDEX(tun_GroupCap,G366)*tun_CohesionFactor*EXP(tun_CapsByProject*SUMPRODUCT((Cap_Point&lt;=I366)*(Cap_Kind="Group")*Cap_Ln))</x:f>
        <x:v>50000.00000000004</x:v>
      </x:c>
      <x:c r="N366" s="32" t="n">
        <x:f>MIN(J366,L366,M366)</x:f>
        <x:v>610.0101168966467</x:v>
      </x:c>
      <x:c r="O366" s="10" t="n">
        <x:f>AE365*N366</x:f>
        <x:v>7320.12140275976</x:v>
      </x:c>
      <x:c r="P366" s="9" t="n">
        <x:f>MIN(1,(AB365/(AE365*IF(tun_GroupInCrowding=1,N366,MIN(J366,L366))))^tun_CrowdingExp)</x:f>
        <x:v>0.19002095049645706</x:v>
      </x:c>
      <x:c r="Q366" s="9" t="n">
        <x:f>IF(D366=1,INDEX(tun_WinterMult,G366),1)</x:f>
        <x:v>1</x:v>
      </x:c>
      <x:c r="R366" s="9" t="n">
        <x:f>H366*Z365*tun_WomenShare*tun_BaseFertility*INDEX(tun_FertMult,G366)*Arch_Fertility*(1-P366)</x:f>
        <x:v>117.17826529783491</x:v>
      </x:c>
      <x:c r="S366" s="9" t="n">
        <x:f>H366*Y365*INDEX(tun_MortChild,G366)/4*Q366</x:f>
        <x:v>18.417381651572793</x:v>
      </x:c>
      <x:c r="T366" s="9" t="n">
        <x:f>H366*Z365*INDEX(tun_MortAdult,G366)*Arch_AdultMort/4*Q366</x:f>
        <x:v>4.805414459179623</x:v>
      </x:c>
      <x:c r="U366" s="9" t="n">
        <x:f>H366*AA365*INDEX(tun_MortElder,G366)/4*Q366</x:f>
        <x:v>7.107609654194866</x:v>
      </x:c>
      <x:c r="V366" s="9" t="n">
        <x:f>H366*MAX(0,AB365-O366)*tun_OvercapLoss</x:f>
        <x:v>0</x:v>
      </x:c>
      <x:c r="W366" s="9" t="n">
        <x:f>H366*Y365/(tun_ChildYears*4)</x:f>
        <x:v>52.62109043306513</x:v>
      </x:c>
      <x:c r="X366" s="9" t="n">
        <x:f>H366*Z365/(tun_AdultYears*4)</x:f>
        <x:v>16.317196805363746</x:v>
      </x:c>
      <x:c r="Y366" s="32" t="n">
        <x:f>Y365+R366-S366-W366-Y365*V366/AB365</x:f>
        <x:v>2992.920857464844</x:v>
      </x:c>
      <x:c r="Z366" s="32" t="n">
        <x:f>Z365+W366-X366-T366-Z365*V366/AB365</x:f>
        <x:v>2054.8308830336264</x:v>
      </x:c>
      <x:c r="AA366" s="32" t="n">
        <x:f>AA365+X366-U366-AA365*V366/AB365</x:f>
        <x:v>589.4226201466681</x:v>
      </x:c>
      <x:c r="AB366" s="10" t="n">
        <x:f>Y366+Z366+AA366</x:f>
        <x:v>5637.174360645138</x:v>
      </x:c>
      <x:c r="AC366" s="8" t="n">
        <x:f>IF(AND(tun_WinterTrigger=1,D366=1,AB365/AE365&gt;=K366),1,0)</x:f>
        <x:v>0</x:v>
      </x:c>
      <x:c r="AD366" s="8" t="n">
        <x:f>H366*IF(AND(OR(AB365/AE365&gt;=tun_FissionTrigger*N366,AC366=1),AB365/AE365*tun_DaughterShare&gt;=tun_MinDaughter),MAX(1,ROUND(AE365*tun_FissionRate,0)),0)</x:f>
        <x:v>0</x:v>
      </x:c>
      <x:c r="AE366" s="8" t="n">
        <x:f>IF(H366=1,MAX(1,MIN(INDEX(tun_Smax,G366),AE365+AD366)),AE365)</x:f>
        <x:v>12</x:v>
      </x:c>
      <x:c r="AF366" s="8" t="n">
        <x:f>MAX(0,AE366-AE365)</x:f>
        <x:v>0</x:v>
      </x:c>
      <x:c r="AG366" s="9" t="str">
        <x:f>IF(AF366&gt;0,B366,"")</x:f>
      </x:c>
      <x:c r="AH366" s="9" t="n">
        <x:f>IF(F366&gt;=1,1,(1+tun_LowTiesShare*(AE366-1))/AE366)</x:f>
        <x:v>1</x:v>
      </x:c>
      <x:c r="AI366" s="32" t="n">
        <x:f>(Z366+tun_ElderCommons*INDEX(LM_Elder,G366)*AA366)*AH366</x:f>
        <x:v>4265.165708583632</x:v>
      </x:c>
      <x:c r="AJ366" s="32" t="n">
        <x:f>H366*tun_CommonsCoef*AI366^tun_CommonsExp*INDEX(LM_Commons,G366)</x:f>
        <x:v>8502.706878809217</x:v>
      </x:c>
      <x:c r="AK366" s="32" t="n">
        <x:f>H366*tun_RoleScale*Arch_Roles*(AE366*(INDEX(tun_ElderRolePerSett,G366)*tun_OutElder*INDEX(LM_Elder,G366)+INDEX(tun_ShamanPerSett,G366)*tun_OutShaman)+Z366*(INDEX(tun_PriestShare,G366)*tun_OutPriest+INDEX(tun_ScribeShare,G366)*tun_OutScribe*INDEX(LM_Scribe,G366)+INDEX(tun_ScholarShare,G366)*tun_OutScholar*INDEX(LM_Scholar,G366)+INDEX(tun_ResearcherShare,G366)*tun_OutResearcher*INDEX(LM_Researcher,G366)))</x:f>
        <x:v>2396.9133948043223</x:v>
      </x:c>
      <x:c r="AL366" s="32" t="n">
        <x:f>H366*tun_RoleScale*Arch_Roles*AE366*INDEX(tun_MonasteryPerSett,G366)*tun_OutMonastery*INDEX(LM_Monastery,G366)</x:f>
        <x:v>63.36</x:v>
      </x:c>
      <x:c r="AM366" s="32" t="n">
        <x:f>(AJ366+AK366+AL366)/4*INDEX(LM_All,G366)*INDEX(tun_Boon,G366)*Arch_Insight</x:f>
        <x:v>5009.73948516124</x:v>
      </x:c>
      <x:c r="AN366" s="32" t="n">
        <x:f>H366*(tun_KHPerAdult*Z366+tun_KHOfCommons*AJ366/4*INDEX(LM_All,G366))*tun_KHUsable*Arch_KH</x:f>
        <x:v>820.8553050366651</x:v>
      </x:c>
      <x:c r="AO366" s="32" t="n">
        <x:f>MIN(AP365+AN366,AM366*tun_KHMaxRatio)</x:f>
        <x:v>820.8553050366651</x:v>
      </x:c>
      <x:c r="AP366" s="32" t="n">
        <x:f>AP365+AN366-AO366</x:f>
        <x:v>0</x:v>
      </x:c>
      <x:c r="AQ366" s="32" t="n">
        <x:f>AM366+AO366</x:f>
        <x:v>5830.594790197905</x:v>
      </x:c>
      <x:c r="AR366" s="10" t="n">
        <x:f>IF(H366=1,INDEX(tun_Req,G366),0)</x:f>
        <x:v>434961.70024459995</x:v>
      </x:c>
      <x:c r="AS366" s="32" t="n">
        <x:f>IF(H366=1,IF(E366=1,AS365-AR365,AS365)+AQ366,0)</x:f>
        <x:v>218323.63797482455</x:v>
      </x:c>
      <x:c r="AT366" s="11" t="n">
        <x:f>IF(AR366&gt;0,MIN(1,AS366/AR366),1)</x:f>
        <x:v>0.5019376139371596</x:v>
      </x:c>
      <x:c r="AU366" s="10" t="n">
        <x:f>AB366/INDEX(tun_RepScale,G366)</x:f>
        <x:v>225.48697442580553</x:v>
      </x:c>
      <x:c r="AV366" s="32" t="n">
        <x:f>AM366*60/tun_SeasonSeconds</x:f>
        <x:v>20038.95794064496</x:v>
      </x:c>
    </x:row>
    <x:row r="367">
      <x:c r="A367" s="8" t="n">
        <x:f>A366+1</x:f>
        <x:v>364</x:v>
      </x:c>
      <x:c r="B367" s="9" t="n">
        <x:f>A367*tun_SeasonSeconds/60</x:f>
        <x:v>91</x:v>
      </x:c>
      <x:c r="C367" s="9" t="n">
        <x:f>A367/4</x:f>
        <x:v>91</x:v>
      </x:c>
      <x:c r="D367" s="8" t="n">
        <x:f>IF(MOD(A367,4)=0,1,0)</x:f>
        <x:v>1</x:v>
      </x:c>
      <x:c r="E367" s="8" t="n">
        <x:f>IF(AND(F366&lt;=9,AS366&gt;=AR366),1,0)</x:f>
        <x:v>0</x:v>
      </x:c>
      <x:c r="F367" s="8" t="n">
        <x:f>MIN(10,F366+E367)</x:f>
        <x:v>6</x:v>
      </x:c>
      <x:c r="G367" s="8" t="n">
        <x:f>MIN(F367,9)+1</x:f>
        <x:v>7</x:v>
      </x:c>
      <x:c r="H367" s="8" t="n">
        <x:f>IF(F367&lt;=9,1,0)</x:f>
        <x:v>1</x:v>
      </x:c>
      <x:c r="I367" s="9" t="n">
        <x:f>MIN(10,F366+IF(AR366&gt;0,MIN(1,AS366/AR366),1))</x:f>
        <x:v>6.50193761393716</x:v>
      </x:c>
      <x:c r="J367" s="32" t="n">
        <x:f>INDEX(tun_FoodCap,G367)*Arch_FoodCap*EXP(tun_CapsByProject*SUMPRODUCT((Cap_Point&lt;=I367)*(Cap_Kind="Food")*Cap_Ln))</x:f>
        <x:v>838.173202942001</x:v>
      </x:c>
      <x:c r="K367" s="32" t="n">
        <x:f>J367*MIN(1,tun_LeanBase*EXP(tun_CapsByProject*SUMPRODUCT((Cap_Point&lt;=I367)*(Cap_Kind="Lean")*Cap_Ln)))</x:f>
        <x:v>838.173202942001</x:v>
      </x:c>
      <x:c r="L367" s="10" t="n">
        <x:f>INDEX(tun_HousingCap,G367)*EXP(tun_CapsByProject*SUMPRODUCT((Cap_Point&lt;=I367)*(Cap_Kind="Housing")*Cap_Ln))</x:f>
        <x:v>2125.258900135082</x:v>
      </x:c>
      <x:c r="M367" s="10" t="n">
        <x:f>INDEX(tun_GroupCap,G367)*tun_CohesionFactor*EXP(tun_CapsByProject*SUMPRODUCT((Cap_Point&lt;=I367)*(Cap_Kind="Group")*Cap_Ln))</x:f>
        <x:v>50000.00000000004</x:v>
      </x:c>
      <x:c r="N367" s="32" t="n">
        <x:f>MIN(J367,L367,M367)</x:f>
        <x:v>838.173202942001</x:v>
      </x:c>
      <x:c r="O367" s="10" t="n">
        <x:f>AE366*N367</x:f>
        <x:v>10058.078435304013</x:v>
      </x:c>
      <x:c r="P367" s="9" t="n">
        <x:f>MIN(1,(AB366/(AE366*IF(tun_GroupInCrowding=1,N367,MIN(J367,L367))))^tun_CrowdingExp)</x:f>
        <x:v>0.030994076431022574</x:v>
      </x:c>
      <x:c r="Q367" s="9" t="n">
        <x:f>IF(D367=1,INDEX(tun_WinterMult,G367),1)</x:f>
        <x:v>1.1</x:v>
      </x:c>
      <x:c r="R367" s="9" t="n">
        <x:f>H367*Z366*tun_WomenShare*tun_BaseFertility*INDEX(tun_FertMult,G367)*Arch_Fertility*(1-P367)</x:f>
        <x:v>142.36674577783208</x:v>
      </x:c>
      <x:c r="S367" s="9" t="n">
        <x:f>H367*Y366*INDEX(tun_MortChild,G367)/4*Q367</x:f>
        <x:v>20.576330895070804</x:v>
      </x:c>
      <x:c r="T367" s="9" t="n">
        <x:f>H367*Z366*INDEX(tun_MortAdult,G367)*Arch_AdultMort/4*Q367</x:f>
        <x:v>5.368245681925349</x:v>
      </x:c>
      <x:c r="U367" s="9" t="n">
        <x:f>H367*AA366*INDEX(tun_MortElder,G367)/4*Q367</x:f>
        <x:v>7.942469806476353</x:v>
      </x:c>
      <x:c r="V367" s="9" t="n">
        <x:f>H367*MAX(0,AB366-O367)*tun_OvercapLoss</x:f>
        <x:v>0</x:v>
      </x:c>
      <x:c r="W367" s="9" t="n">
        <x:f>H367*Y366/(tun_ChildYears*4)</x:f>
        <x:v>53.44501531187222</x:v>
      </x:c>
      <x:c r="X367" s="9" t="n">
        <x:f>H367*Z366/(tun_AdultYears*4)</x:f>
        <x:v>16.571216798658277</x:v>
      </x:c>
      <x:c r="Y367" s="32" t="n">
        <x:f>Y366+R367-S367-W367-Y366*V367/AB366</x:f>
        <x:v>3061.266257035733</x:v>
      </x:c>
      <x:c r="Z367" s="32" t="n">
        <x:f>Z366+W367-X367-T367-Z366*V367/AB366</x:f>
        <x:v>2086.336435864915</x:v>
      </x:c>
      <x:c r="AA367" s="32" t="n">
        <x:f>AA366+X367-U367-AA366*V367/AB366</x:f>
        <x:v>598.0513671388501</x:v>
      </x:c>
      <x:c r="AB367" s="10" t="n">
        <x:f>Y367+Z367+AA367</x:f>
        <x:v>5745.654060039497</x:v>
      </x:c>
      <x:c r="AC367" s="8" t="n">
        <x:f>IF(AND(tun_WinterTrigger=1,D367=1,AB366/AE366&gt;=K367),1,0)</x:f>
        <x:v>0</x:v>
      </x:c>
      <x:c r="AD367" s="8" t="n">
        <x:f>H367*IF(AND(OR(AB366/AE366&gt;=tun_FissionTrigger*N367,AC367=1),AB366/AE366*tun_DaughterShare&gt;=tun_MinDaughter),MAX(1,ROUND(AE366*tun_FissionRate,0)),0)</x:f>
        <x:v>0</x:v>
      </x:c>
      <x:c r="AE367" s="8" t="n">
        <x:f>IF(H367=1,MAX(1,MIN(INDEX(tun_Smax,G367),AE366+AD367)),AE366)</x:f>
        <x:v>12</x:v>
      </x:c>
      <x:c r="AF367" s="8" t="n">
        <x:f>MAX(0,AE367-AE366)</x:f>
        <x:v>0</x:v>
      </x:c>
      <x:c r="AG367" s="9" t="str">
        <x:f>IF(AF367&gt;0,B367,"")</x:f>
      </x:c>
      <x:c r="AH367" s="9" t="n">
        <x:f>IF(F367&gt;=1,1,(1+tun_LowTiesShare*(AE367-1))/AE367)</x:f>
        <x:v>1</x:v>
      </x:c>
      <x:c r="AI367" s="32" t="n">
        <x:f>(Z367+tun_ElderCommons*INDEX(LM_Elder,G367)*AA367)*AH367</x:f>
        <x:v>4329.029062635603</x:v>
      </x:c>
      <x:c r="AJ367" s="32" t="n">
        <x:f>H367*tun_CommonsCoef*AI367^tun_CommonsExp*INDEX(LM_Commons,G367)</x:f>
        <x:v>8610.802162173717</x:v>
      </x:c>
      <x:c r="AK367" s="32" t="n">
        <x:f>H367*tun_RoleScale*Arch_Roles*(AE367*(INDEX(tun_ElderRolePerSett,G367)*tun_OutElder*INDEX(LM_Elder,G367)+INDEX(tun_ShamanPerSett,G367)*tun_OutShaman)+Z367*(INDEX(tun_PriestShare,G367)*tun_OutPriest+INDEX(tun_ScribeShare,G367)*tun_OutScribe*INDEX(LM_Scribe,G367)+INDEX(tun_ScholarShare,G367)*tun_OutScholar*INDEX(LM_Scholar,G367)+INDEX(tun_ResearcherShare,G367)*tun_OutResearcher*INDEX(LM_Researcher,G367)))</x:f>
        <x:v>2428.696196500526</x:v>
      </x:c>
      <x:c r="AL367" s="32" t="n">
        <x:f>H367*tun_RoleScale*Arch_Roles*AE367*INDEX(tun_MonasteryPerSett,G367)*tun_OutMonastery*INDEX(LM_Monastery,G367)</x:f>
        <x:v>63.36</x:v>
      </x:c>
      <x:c r="AM367" s="32" t="n">
        <x:f>(AJ367+AK367+AL367)/4*INDEX(LM_All,G367)*INDEX(tun_Boon,G367)*Arch_Insight</x:f>
        <x:v>5073.659400033655</x:v>
      </x:c>
      <x:c r="AN367" s="32" t="n">
        <x:f>H367*(tun_KHPerAdult*Z367+tun_KHOfCommons*AJ367/4*INDEX(LM_All,G367))*tun_KHUsable*Arch_KH</x:f>
        <x:v>831.2908743281727</x:v>
      </x:c>
      <x:c r="AO367" s="32" t="n">
        <x:f>MIN(AP366+AN367,AM367*tun_KHMaxRatio)</x:f>
        <x:v>831.2908743281727</x:v>
      </x:c>
      <x:c r="AP367" s="32" t="n">
        <x:f>AP366+AN367-AO367</x:f>
        <x:v>0</x:v>
      </x:c>
      <x:c r="AQ367" s="32" t="n">
        <x:f>AM367+AO367</x:f>
        <x:v>5904.950274361828</x:v>
      </x:c>
      <x:c r="AR367" s="10" t="n">
        <x:f>IF(H367=1,INDEX(tun_Req,G367),0)</x:f>
        <x:v>434961.70024459995</x:v>
      </x:c>
      <x:c r="AS367" s="32" t="n">
        <x:f>IF(H367=1,IF(E367=1,AS366-AR366,AS366)+AQ367,0)</x:f>
        <x:v>224228.58824918637</x:v>
      </x:c>
      <x:c r="AT367" s="11" t="n">
        <x:f>IF(AR367&gt;0,MIN(1,AS367/AR367),1)</x:f>
        <x:v>0.5155134075554051</x:v>
      </x:c>
      <x:c r="AU367" s="10" t="n">
        <x:f>AB367/INDEX(tun_RepScale,G367)</x:f>
        <x:v>229.8261624015799</x:v>
      </x:c>
      <x:c r="AV367" s="32" t="n">
        <x:f>AM367*60/tun_SeasonSeconds</x:f>
        <x:v>20294.637600134625</x:v>
      </x:c>
    </x:row>
    <x:row r="368">
      <x:c r="A368" s="8" t="n">
        <x:f>A367+1</x:f>
        <x:v>365</x:v>
      </x:c>
      <x:c r="B368" s="9" t="n">
        <x:f>A368*tun_SeasonSeconds/60</x:f>
        <x:v>91.25</x:v>
      </x:c>
      <x:c r="C368" s="9" t="n">
        <x:f>A368/4</x:f>
        <x:v>91.25</x:v>
      </x:c>
      <x:c r="D368" s="8" t="n">
        <x:f>IF(MOD(A368,4)=0,1,0)</x:f>
        <x:v>0</x:v>
      </x:c>
      <x:c r="E368" s="8" t="n">
        <x:f>IF(AND(F367&lt;=9,AS367&gt;=AR367),1,0)</x:f>
        <x:v>0</x:v>
      </x:c>
      <x:c r="F368" s="8" t="n">
        <x:f>MIN(10,F367+E368)</x:f>
        <x:v>6</x:v>
      </x:c>
      <x:c r="G368" s="8" t="n">
        <x:f>MIN(F368,9)+1</x:f>
        <x:v>7</x:v>
      </x:c>
      <x:c r="H368" s="8" t="n">
        <x:f>IF(F368&lt;=9,1,0)</x:f>
        <x:v>1</x:v>
      </x:c>
      <x:c r="I368" s="9" t="n">
        <x:f>MIN(10,F367+IF(AR367&gt;0,MIN(1,AS367/AR367),1))</x:f>
        <x:v>6.515513407555405</x:v>
      </x:c>
      <x:c r="J368" s="32" t="n">
        <x:f>INDEX(tun_FoodCap,G368)*Arch_FoodCap*EXP(tun_CapsByProject*SUMPRODUCT((Cap_Point&lt;=I368)*(Cap_Kind="Food")*Cap_Ln))</x:f>
        <x:v>838.173202942001</x:v>
      </x:c>
      <x:c r="K368" s="32" t="n">
        <x:f>J368*MIN(1,tun_LeanBase*EXP(tun_CapsByProject*SUMPRODUCT((Cap_Point&lt;=I368)*(Cap_Kind="Lean")*Cap_Ln)))</x:f>
        <x:v>838.173202942001</x:v>
      </x:c>
      <x:c r="L368" s="10" t="n">
        <x:f>INDEX(tun_HousingCap,G368)*EXP(tun_CapsByProject*SUMPRODUCT((Cap_Point&lt;=I368)*(Cap_Kind="Housing")*Cap_Ln))</x:f>
        <x:v>2125.258900135082</x:v>
      </x:c>
      <x:c r="M368" s="10" t="n">
        <x:f>INDEX(tun_GroupCap,G368)*tun_CohesionFactor*EXP(tun_CapsByProject*SUMPRODUCT((Cap_Point&lt;=I368)*(Cap_Kind="Group")*Cap_Ln))</x:f>
        <x:v>50000.00000000004</x:v>
      </x:c>
      <x:c r="N368" s="32" t="n">
        <x:f>MIN(J368,L368,M368)</x:f>
        <x:v>838.173202942001</x:v>
      </x:c>
      <x:c r="O368" s="10" t="n">
        <x:f>AE367*N368</x:f>
        <x:v>10058.078435304013</x:v>
      </x:c>
      <x:c r="P368" s="9" t="n">
        <x:f>MIN(1,(AB367/(AE367*IF(tun_GroupInCrowding=1,N368,MIN(J368,L368))))^tun_CrowdingExp)</x:f>
        <x:v>0.03474935404525297</x:v>
      </x:c>
      <x:c r="Q368" s="9" t="n">
        <x:f>IF(D368=1,INDEX(tun_WinterMult,G368),1)</x:f>
        <x:v>1</x:v>
      </x:c>
      <x:c r="R368" s="9" t="n">
        <x:f>H368*Z367*tun_WomenShare*tun_BaseFertility*INDEX(tun_FertMult,G368)*Arch_Fertility*(1-P368)</x:f>
        <x:v>143.9893878564237</x:v>
      </x:c>
      <x:c r="S368" s="9" t="n">
        <x:f>H368*Y367*INDEX(tun_MortChild,G368)/4*Q368</x:f>
        <x:v>19.132914106473333</x:v>
      </x:c>
      <x:c r="T368" s="9" t="n">
        <x:f>H368*Z367*INDEX(tun_MortAdult,G368)*Arch_AdultMort/4*Q368</x:f>
        <x:v>4.955049035179173</x:v>
      </x:c>
      <x:c r="U368" s="9" t="n">
        <x:f>H368*AA367*INDEX(tun_MortElder,G368)/4*Q368</x:f>
        <x:v>7.326129247450914</x:v>
      </x:c>
      <x:c r="V368" s="9" t="n">
        <x:f>H368*MAX(0,AB367-O368)*tun_OvercapLoss</x:f>
        <x:v>0</x:v>
      </x:c>
      <x:c r="W368" s="9" t="n">
        <x:f>H368*Y367/(tun_ChildYears*4)</x:f>
        <x:v>54.66546887563809</x:v>
      </x:c>
      <x:c r="X368" s="9" t="n">
        <x:f>H368*Z367/(tun_AdultYears*4)</x:f>
        <x:v>16.825293837620283</x:v>
      </x:c>
      <x:c r="Y368" s="32" t="n">
        <x:f>Y367+R368-S368-W368-Y367*V368/AB367</x:f>
        <x:v>3131.457261910045</x:v>
      </x:c>
      <x:c r="Z368" s="32" t="n">
        <x:f>Z367+W368-X368-T368-Z367*V368/AB367</x:f>
        <x:v>2119.2215618677533</x:v>
      </x:c>
      <x:c r="AA368" s="32" t="n">
        <x:f>AA367+X368-U368-AA367*V368/AB367</x:f>
        <x:v>607.5505317290194</x:v>
      </x:c>
      <x:c r="AB368" s="10" t="n">
        <x:f>Y368+Z368+AA368</x:f>
        <x:v>5858.229355506817</x:v>
      </x:c>
      <x:c r="AC368" s="8" t="n">
        <x:f>IF(AND(tun_WinterTrigger=1,D368=1,AB367/AE367&gt;=K368),1,0)</x:f>
        <x:v>0</x:v>
      </x:c>
      <x:c r="AD368" s="8" t="n">
        <x:f>H368*IF(AND(OR(AB367/AE367&gt;=tun_FissionTrigger*N368,AC368=1),AB367/AE367*tun_DaughterShare&gt;=tun_MinDaughter),MAX(1,ROUND(AE367*tun_FissionRate,0)),0)</x:f>
        <x:v>0</x:v>
      </x:c>
      <x:c r="AE368" s="8" t="n">
        <x:f>IF(H368=1,MAX(1,MIN(INDEX(tun_Smax,G368),AE367+AD368)),AE367)</x:f>
        <x:v>12</x:v>
      </x:c>
      <x:c r="AF368" s="8" t="n">
        <x:f>MAX(0,AE368-AE367)</x:f>
        <x:v>0</x:v>
      </x:c>
      <x:c r="AG368" s="9" t="str">
        <x:f>IF(AF368&gt;0,B368,"")</x:f>
      </x:c>
      <x:c r="AH368" s="9" t="n">
        <x:f>IF(F368&gt;=1,1,(1+tun_LowTiesShare*(AE368-1))/AE368)</x:f>
        <x:v>1</x:v>
      </x:c>
      <x:c r="AI368" s="32" t="n">
        <x:f>(Z368+tun_ElderCommons*INDEX(LM_Elder,G368)*AA368)*AH368</x:f>
        <x:v>4397.536055851577</x:v>
      </x:c>
      <x:c r="AJ368" s="32" t="n">
        <x:f>H368*tun_CommonsCoef*AI368^tun_CommonsExp*INDEX(LM_Commons,G368)</x:f>
        <x:v>8726.491753295786</x:v>
      </x:c>
      <x:c r="AK368" s="32" t="n">
        <x:f>H368*tun_RoleScale*Arch_Roles*(AE368*(INDEX(tun_ElderRolePerSett,G368)*tun_OutElder*INDEX(LM_Elder,G368)+INDEX(tun_ShamanPerSett,G368)*tun_OutShaman)+Z368*(INDEX(tun_PriestShare,G368)*tun_OutPriest+INDEX(tun_ScribeShare,G368)*tun_OutScribe*INDEX(LM_Scribe,G368)+INDEX(tun_ScholarShare,G368)*tun_OutScholar*INDEX(LM_Scholar,G368)+INDEX(tun_ResearcherShare,G368)*tun_OutResearcher*INDEX(LM_Researcher,G368)))</x:f>
        <x:v>2461.8707116121896</x:v>
      </x:c>
      <x:c r="AL368" s="32" t="n">
        <x:f>H368*tun_RoleScale*Arch_Roles*AE368*INDEX(tun_MonasteryPerSett,G368)*tun_OutMonastery*INDEX(LM_Monastery,G368)</x:f>
        <x:v>63.36</x:v>
      </x:c>
      <x:c r="AM368" s="32" t="n">
        <x:f>(AJ368+AK368+AL368)/4*INDEX(LM_All,G368)*INDEX(tun_Boon,G368)*Arch_Insight</x:f>
        <x:v>5141.685645845421</x:v>
      </x:c>
      <x:c r="AN368" s="32" t="n">
        <x:f>H368*(tun_KHPerAdult*Z368+tun_KHOfCommons*AJ368/4*INDEX(LM_All,G368))*tun_KHUsable*Arch_KH</x:f>
        <x:v>842.4596016480275</x:v>
      </x:c>
      <x:c r="AO368" s="32" t="n">
        <x:f>MIN(AP367+AN368,AM368*tun_KHMaxRatio)</x:f>
        <x:v>842.4596016480275</x:v>
      </x:c>
      <x:c r="AP368" s="32" t="n">
        <x:f>AP367+AN368-AO368</x:f>
        <x:v>0</x:v>
      </x:c>
      <x:c r="AQ368" s="32" t="n">
        <x:f>AM368+AO368</x:f>
        <x:v>5984.145247493449</x:v>
      </x:c>
      <x:c r="AR368" s="10" t="n">
        <x:f>IF(H368=1,INDEX(tun_Req,G368),0)</x:f>
        <x:v>434961.70024459995</x:v>
      </x:c>
      <x:c r="AS368" s="32" t="n">
        <x:f>IF(H368=1,IF(E368=1,AS367-AR367,AS367)+AQ368,0)</x:f>
        <x:v>230212.7334966798</x:v>
      </x:c>
      <x:c r="AT368" s="11" t="n">
        <x:f>IF(AR368&gt;0,MIN(1,AS368/AR368),1)</x:f>
        <x:v>0.52927127461388</x:v>
      </x:c>
      <x:c r="AU368" s="10" t="n">
        <x:f>AB368/INDEX(tun_RepScale,G368)</x:f>
        <x:v>234.32917422027268</x:v>
      </x:c>
      <x:c r="AV368" s="32" t="n">
        <x:f>AM368*60/tun_SeasonSeconds</x:f>
        <x:v>20566.742583381685</x:v>
      </x:c>
    </x:row>
    <x:row r="369">
      <x:c r="A369" s="8" t="n">
        <x:f>A368+1</x:f>
        <x:v>366</x:v>
      </x:c>
      <x:c r="B369" s="9" t="n">
        <x:f>A369*tun_SeasonSeconds/60</x:f>
        <x:v>91.5</x:v>
      </x:c>
      <x:c r="C369" s="9" t="n">
        <x:f>A369/4</x:f>
        <x:v>91.5</x:v>
      </x:c>
      <x:c r="D369" s="8" t="n">
        <x:f>IF(MOD(A369,4)=0,1,0)</x:f>
        <x:v>0</x:v>
      </x:c>
      <x:c r="E369" s="8" t="n">
        <x:f>IF(AND(F368&lt;=9,AS368&gt;=AR368),1,0)</x:f>
        <x:v>0</x:v>
      </x:c>
      <x:c r="F369" s="8" t="n">
        <x:f>MIN(10,F368+E369)</x:f>
        <x:v>6</x:v>
      </x:c>
      <x:c r="G369" s="8" t="n">
        <x:f>MIN(F369,9)+1</x:f>
        <x:v>7</x:v>
      </x:c>
      <x:c r="H369" s="8" t="n">
        <x:f>IF(F369&lt;=9,1,0)</x:f>
        <x:v>1</x:v>
      </x:c>
      <x:c r="I369" s="9" t="n">
        <x:f>MIN(10,F368+IF(AR368&gt;0,MIN(1,AS368/AR368),1))</x:f>
        <x:v>6.52927127461388</x:v>
      </x:c>
      <x:c r="J369" s="32" t="n">
        <x:f>INDEX(tun_FoodCap,G369)*Arch_FoodCap*EXP(tun_CapsByProject*SUMPRODUCT((Cap_Point&lt;=I369)*(Cap_Kind="Food")*Cap_Ln))</x:f>
        <x:v>838.173202942001</x:v>
      </x:c>
      <x:c r="K369" s="32" t="n">
        <x:f>J369*MIN(1,tun_LeanBase*EXP(tun_CapsByProject*SUMPRODUCT((Cap_Point&lt;=I369)*(Cap_Kind="Lean")*Cap_Ln)))</x:f>
        <x:v>838.173202942001</x:v>
      </x:c>
      <x:c r="L369" s="10" t="n">
        <x:f>INDEX(tun_HousingCap,G369)*EXP(tun_CapsByProject*SUMPRODUCT((Cap_Point&lt;=I369)*(Cap_Kind="Housing")*Cap_Ln))</x:f>
        <x:v>2125.258900135082</x:v>
      </x:c>
      <x:c r="M369" s="10" t="n">
        <x:f>INDEX(tun_GroupCap,G369)*tun_CohesionFactor*EXP(tun_CapsByProject*SUMPRODUCT((Cap_Point&lt;=I369)*(Cap_Kind="Group")*Cap_Ln))</x:f>
        <x:v>50000.00000000004</x:v>
      </x:c>
      <x:c r="N369" s="32" t="n">
        <x:f>MIN(J369,L369,M369)</x:f>
        <x:v>838.173202942001</x:v>
      </x:c>
      <x:c r="O369" s="10" t="n">
        <x:f>AE368*N369</x:f>
        <x:v>10058.078435304013</x:v>
      </x:c>
      <x:c r="P369" s="9" t="n">
        <x:f>MIN(1,(AB368/(AE368*IF(tun_GroupInCrowding=1,N369,MIN(J369,L369))))^tun_CrowdingExp)</x:f>
        <x:v>0.039039847834862994</x:v>
      </x:c>
      <x:c r="Q369" s="9" t="n">
        <x:f>IF(D369=1,INDEX(tun_WinterMult,G369),1)</x:f>
        <x:v>1</x:v>
      </x:c>
      <x:c r="R369" s="9" t="n">
        <x:f>H369*Z368*tun_WomenShare*tun_BaseFertility*INDEX(tun_FertMult,G369)*Arch_Fertility*(1-P369)</x:f>
        <x:v>145.6088544313314</x:v>
      </x:c>
      <x:c r="S369" s="9" t="n">
        <x:f>H369*Y368*INDEX(tun_MortChild,G369)/4*Q369</x:f>
        <x:v>19.571607886937784</x:v>
      </x:c>
      <x:c r="T369" s="9" t="n">
        <x:f>H369*Z368*INDEX(tun_MortAdult,G369)*Arch_AdultMort/4*Q369</x:f>
        <x:v>5.033151209435914</x:v>
      </x:c>
      <x:c r="U369" s="9" t="n">
        <x:f>H369*AA368*INDEX(tun_MortElder,G369)/4*Q369</x:f>
        <x:v>7.442494013680489</x:v>
      </x:c>
      <x:c r="V369" s="9" t="n">
        <x:f>H369*MAX(0,AB368-O369)*tun_OvercapLoss</x:f>
        <x:v>0</x:v>
      </x:c>
      <x:c r="W369" s="9" t="n">
        <x:f>H369*Y368/(tun_ChildYears*4)</x:f>
        <x:v>55.91887967696509</x:v>
      </x:c>
      <x:c r="X369" s="9" t="n">
        <x:f>H369*Z368/(tun_AdultYears*4)</x:f>
        <x:v>17.09049646667543</x:v>
      </x:c>
      <x:c r="Y369" s="32" t="n">
        <x:f>Y368+R369-S369-W369-Y368*V369/AB368</x:f>
        <x:v>3201.575628777474</x:v>
      </x:c>
      <x:c r="Z369" s="32" t="n">
        <x:f>Z368+W369-X369-T369-Z368*V369/AB368</x:f>
        <x:v>2153.016793868607</x:v>
      </x:c>
      <x:c r="AA369" s="32" t="n">
        <x:f>AA368+X369-U369-AA368*V369/AB368</x:f>
        <x:v>617.1985341820143</x:v>
      </x:c>
      <x:c r="AB369" s="10" t="n">
        <x:f>Y369+Z369+AA369</x:f>
        <x:v>5971.790956828096</x:v>
      </x:c>
      <x:c r="AC369" s="8" t="n">
        <x:f>IF(AND(tun_WinterTrigger=1,D369=1,AB368/AE368&gt;=K369),1,0)</x:f>
        <x:v>0</x:v>
      </x:c>
      <x:c r="AD369" s="8" t="n">
        <x:f>H369*IF(AND(OR(AB368/AE368&gt;=tun_FissionTrigger*N369,AC369=1),AB368/AE368*tun_DaughterShare&gt;=tun_MinDaughter),MAX(1,ROUND(AE368*tun_FissionRate,0)),0)</x:f>
        <x:v>0</x:v>
      </x:c>
      <x:c r="AE369" s="8" t="n">
        <x:f>IF(H369=1,MAX(1,MIN(INDEX(tun_Smax,G369),AE368+AD369)),AE368)</x:f>
        <x:v>12</x:v>
      </x:c>
      <x:c r="AF369" s="8" t="n">
        <x:f>MAX(0,AE369-AE368)</x:f>
        <x:v>0</x:v>
      </x:c>
      <x:c r="AG369" s="9" t="str">
        <x:f>IF(AF369&gt;0,B369,"")</x:f>
      </x:c>
      <x:c r="AH369" s="9" t="n">
        <x:f>IF(F369&gt;=1,1,(1+tun_LowTiesShare*(AE369-1))/AE369)</x:f>
        <x:v>1</x:v>
      </x:c>
      <x:c r="AI369" s="32" t="n">
        <x:f>(Z369+tun_ElderCommons*INDEX(LM_Elder,G369)*AA369)*AH369</x:f>
        <x:v>4467.51129705116</x:v>
      </x:c>
      <x:c r="AJ369" s="32" t="n">
        <x:f>H369*tun_CommonsCoef*AI369^tun_CommonsExp*INDEX(LM_Commons,G369)</x:f>
        <x:v>8844.38206966461</x:v>
      </x:c>
      <x:c r="AK369" s="32" t="n">
        <x:f>H369*tun_RoleScale*Arch_Roles*(AE369*(INDEX(tun_ElderRolePerSett,G369)*tun_OutElder*INDEX(LM_Elder,G369)+INDEX(tun_ShamanPerSett,G369)*tun_OutShaman)+Z369*(INDEX(tun_PriestShare,G369)*tun_OutPriest+INDEX(tun_ScribeShare,G369)*tun_OutScribe*INDEX(LM_Scribe,G369)+INDEX(tun_ScholarShare,G369)*tun_OutScholar*INDEX(LM_Scholar,G369)+INDEX(tun_ResearcherShare,G369)*tun_OutResearcher*INDEX(LM_Researcher,G369)))</x:f>
        <x:v>2495.9633416546503</x:v>
      </x:c>
      <x:c r="AL369" s="32" t="n">
        <x:f>H369*tun_RoleScale*Arch_Roles*AE369*INDEX(tun_MonasteryPerSett,G369)*tun_OutMonastery*INDEX(LM_Monastery,G369)</x:f>
        <x:v>63.36</x:v>
      </x:c>
      <x:c r="AM369" s="32" t="n">
        <x:f>(AJ369+AK369+AL369)/4*INDEX(LM_All,G369)*INDEX(tun_Boon,G369)*Arch_Insight</x:f>
        <x:v>5211.137104181102</x:v>
      </x:c>
      <x:c r="AN369" s="32" t="n">
        <x:f>H369*(tun_KHPerAdult*Z369+tun_KHOfCommons*AJ369/4*INDEX(LM_All,G369))*tun_KHUsable*Arch_KH</x:f>
        <x:v>853.8407880140983</x:v>
      </x:c>
      <x:c r="AO369" s="32" t="n">
        <x:f>MIN(AP368+AN369,AM369*tun_KHMaxRatio)</x:f>
        <x:v>853.8407880140983</x:v>
      </x:c>
      <x:c r="AP369" s="32" t="n">
        <x:f>AP368+AN369-AO369</x:f>
        <x:v>0</x:v>
      </x:c>
      <x:c r="AQ369" s="32" t="n">
        <x:f>AM369+AO369</x:f>
        <x:v>6064.9778921952</x:v>
      </x:c>
      <x:c r="AR369" s="10" t="n">
        <x:f>IF(H369=1,INDEX(tun_Req,G369),0)</x:f>
        <x:v>434961.70024459995</x:v>
      </x:c>
      <x:c r="AS369" s="32" t="n">
        <x:f>IF(H369=1,IF(E369=1,AS368-AR368,AS368)+AQ369,0)</x:f>
        <x:v>236277.711388875</x:v>
      </x:c>
      <x:c r="AT369" s="11" t="n">
        <x:f>IF(AR369&gt;0,MIN(1,AS369/AR369),1)</x:f>
        <x:v>0.5432149802063139</x:v>
      </x:c>
      <x:c r="AU369" s="10" t="n">
        <x:f>AB369/INDEX(tun_RepScale,G369)</x:f>
        <x:v>238.87163827312384</x:v>
      </x:c>
      <x:c r="AV369" s="32" t="n">
        <x:f>AM369*60/tun_SeasonSeconds</x:f>
        <x:v>20844.548416724407</x:v>
      </x:c>
    </x:row>
    <x:row r="370">
      <x:c r="A370" s="8" t="n">
        <x:f>A369+1</x:f>
        <x:v>367</x:v>
      </x:c>
      <x:c r="B370" s="9" t="n">
        <x:f>A370*tun_SeasonSeconds/60</x:f>
        <x:v>91.75</x:v>
      </x:c>
      <x:c r="C370" s="9" t="n">
        <x:f>A370/4</x:f>
        <x:v>91.75</x:v>
      </x:c>
      <x:c r="D370" s="8" t="n">
        <x:f>IF(MOD(A370,4)=0,1,0)</x:f>
        <x:v>0</x:v>
      </x:c>
      <x:c r="E370" s="8" t="n">
        <x:f>IF(AND(F369&lt;=9,AS369&gt;=AR369),1,0)</x:f>
        <x:v>0</x:v>
      </x:c>
      <x:c r="F370" s="8" t="n">
        <x:f>MIN(10,F369+E370)</x:f>
        <x:v>6</x:v>
      </x:c>
      <x:c r="G370" s="8" t="n">
        <x:f>MIN(F370,9)+1</x:f>
        <x:v>7</x:v>
      </x:c>
      <x:c r="H370" s="8" t="n">
        <x:f>IF(F370&lt;=9,1,0)</x:f>
        <x:v>1</x:v>
      </x:c>
      <x:c r="I370" s="9" t="n">
        <x:f>MIN(10,F369+IF(AR369&gt;0,MIN(1,AS369/AR369),1))</x:f>
        <x:v>6.543214980206314</x:v>
      </x:c>
      <x:c r="J370" s="32" t="n">
        <x:f>INDEX(tun_FoodCap,G370)*Arch_FoodCap*EXP(tun_CapsByProject*SUMPRODUCT((Cap_Point&lt;=I370)*(Cap_Kind="Food")*Cap_Ln))</x:f>
        <x:v>838.173202942001</x:v>
      </x:c>
      <x:c r="K370" s="32" t="n">
        <x:f>J370*MIN(1,tun_LeanBase*EXP(tun_CapsByProject*SUMPRODUCT((Cap_Point&lt;=I370)*(Cap_Kind="Lean")*Cap_Ln)))</x:f>
        <x:v>838.173202942001</x:v>
      </x:c>
      <x:c r="L370" s="10" t="n">
        <x:f>INDEX(tun_HousingCap,G370)*EXP(tun_CapsByProject*SUMPRODUCT((Cap_Point&lt;=I370)*(Cap_Kind="Housing")*Cap_Ln))</x:f>
        <x:v>2125.258900135082</x:v>
      </x:c>
      <x:c r="M370" s="10" t="n">
        <x:f>INDEX(tun_GroupCap,G370)*tun_CohesionFactor*EXP(tun_CapsByProject*SUMPRODUCT((Cap_Point&lt;=I370)*(Cap_Kind="Group")*Cap_Ln))</x:f>
        <x:v>50000.00000000004</x:v>
      </x:c>
      <x:c r="N370" s="32" t="n">
        <x:f>MIN(J370,L370,M370)</x:f>
        <x:v>838.173202942001</x:v>
      </x:c>
      <x:c r="O370" s="10" t="n">
        <x:f>AE369*N370</x:f>
        <x:v>10058.078435304013</x:v>
      </x:c>
      <x:c r="P370" s="9" t="n">
        <x:f>MIN(1,(AB369/(AE369*IF(tun_GroupInCrowding=1,N370,MIN(J370,L370))))^tun_CrowdingExp)</x:f>
        <x:v>0.04380639073670115</x:v>
      </x:c>
      <x:c r="Q370" s="9" t="n">
        <x:f>IF(D370=1,INDEX(tun_WinterMult,G370),1)</x:f>
        <x:v>1</x:v>
      </x:c>
      <x:c r="R370" s="9" t="n">
        <x:f>H370*Z369*tun_WomenShare*tun_BaseFertility*INDEX(tun_FertMult,G370)*Arch_Fertility*(1-P370)</x:f>
        <x:v>147.19711427376092</x:v>
      </x:c>
      <x:c r="S370" s="9" t="n">
        <x:f>H370*Y369*INDEX(tun_MortChild,G370)/4*Q370</x:f>
        <x:v>20.009847679859213</x:v>
      </x:c>
      <x:c r="T370" s="9" t="n">
        <x:f>H370*Z369*INDEX(tun_MortAdult,G370)*Arch_AdultMort/4*Q370</x:f>
        <x:v>5.113414885437941</x:v>
      </x:c>
      <x:c r="U370" s="9" t="n">
        <x:f>H370*AA369*INDEX(tun_MortElder,G370)/4*Q370</x:f>
        <x:v>7.560682043729676</x:v>
      </x:c>
      <x:c r="V370" s="9" t="n">
        <x:f>H370*MAX(0,AB369-O370)*tun_OvercapLoss</x:f>
        <x:v>0</x:v>
      </x:c>
      <x:c r="W370" s="9" t="n">
        <x:f>H370*Y369/(tun_ChildYears*4)</x:f>
        <x:v>57.17099337102632</x:v>
      </x:c>
      <x:c r="X370" s="9" t="n">
        <x:f>H370*Z369/(tun_AdultYears*4)</x:f>
        <x:v>17.3630386602307</x:v>
      </x:c>
      <x:c r="Y370" s="32" t="n">
        <x:f>Y369+R370-S370-W370-Y369*V370/AB369</x:f>
        <x:v>3271.5919020003494</x:v>
      </x:c>
      <x:c r="Z370" s="32" t="n">
        <x:f>Z369+W370-X370-T370-Z369*V370/AB369</x:f>
        <x:v>2187.711333693964</x:v>
      </x:c>
      <x:c r="AA370" s="32" t="n">
        <x:f>AA369+X370-U370-AA369*V370/AB369</x:f>
        <x:v>627.0008907985153</x:v>
      </x:c>
      <x:c r="AB370" s="10" t="n">
        <x:f>Y370+Z370+AA370</x:f>
        <x:v>6086.304126492829</x:v>
      </x:c>
      <x:c r="AC370" s="8" t="n">
        <x:f>IF(AND(tun_WinterTrigger=1,D370=1,AB369/AE369&gt;=K370),1,0)</x:f>
        <x:v>0</x:v>
      </x:c>
      <x:c r="AD370" s="8" t="n">
        <x:f>H370*IF(AND(OR(AB369/AE369&gt;=tun_FissionTrigger*N370,AC370=1),AB369/AE369*tun_DaughterShare&gt;=tun_MinDaughter),MAX(1,ROUND(AE369*tun_FissionRate,0)),0)</x:f>
        <x:v>0</x:v>
      </x:c>
      <x:c r="AE370" s="8" t="n">
        <x:f>IF(H370=1,MAX(1,MIN(INDEX(tun_Smax,G370),AE369+AD370)),AE369)</x:f>
        <x:v>12</x:v>
      </x:c>
      <x:c r="AF370" s="8" t="n">
        <x:f>MAX(0,AE370-AE369)</x:f>
        <x:v>0</x:v>
      </x:c>
      <x:c r="AG370" s="9" t="str">
        <x:f>IF(AF370&gt;0,B370,"")</x:f>
      </x:c>
      <x:c r="AH370" s="9" t="n">
        <x:f>IF(F370&gt;=1,1,(1+tun_LowTiesShare*(AE370-1))/AE370)</x:f>
        <x:v>1</x:v>
      </x:c>
      <x:c r="AI370" s="32" t="n">
        <x:f>(Z370+tun_ElderCommons*INDEX(LM_Elder,G370)*AA370)*AH370</x:f>
        <x:v>4538.964674188397</x:v>
      </x:c>
      <x:c r="AJ370" s="32" t="n">
        <x:f>H370*tun_CommonsCoef*AI370^tun_CommonsExp*INDEX(LM_Commons,G370)</x:f>
        <x:v>8964.477206586344</x:v>
      </x:c>
      <x:c r="AK370" s="32" t="n">
        <x:f>H370*tun_RoleScale*Arch_Roles*(AE370*(INDEX(tun_ElderRolePerSett,G370)*tun_OutElder*INDEX(LM_Elder,G370)+INDEX(tun_ShamanPerSett,G370)*tun_OutShaman)+Z370*(INDEX(tun_PriestShare,G370)*tun_OutPriest+INDEX(tun_ScribeShare,G370)*tun_OutScribe*INDEX(LM_Scribe,G370)+INDEX(tun_ScholarShare,G370)*tun_OutScholar*INDEX(LM_Scholar,G370)+INDEX(tun_ResearcherShare,G370)*tun_OutResearcher*INDEX(LM_Researcher,G370)))</x:f>
        <x:v>2530.9631934304707</x:v>
      </x:c>
      <x:c r="AL370" s="32" t="n">
        <x:f>H370*tun_RoleScale*Arch_Roles*AE370*INDEX(tun_MonasteryPerSett,G370)*tun_OutMonastery*INDEX(LM_Monastery,G370)</x:f>
        <x:v>63.36</x:v>
      </x:c>
      <x:c r="AM370" s="32" t="n">
        <x:f>(AJ370+AK370+AL370)/4*INDEX(LM_All,G370)*INDEX(tun_Boon,G370)*Arch_Insight</x:f>
        <x:v>5282.010668616757</x:v>
      </x:c>
      <x:c r="AN370" s="32" t="n">
        <x:f>H370*(tun_KHPerAdult*Z370+tun_KHOfCommons*AJ370/4*INDEX(LM_All,G370))*tun_KHUsable*Arch_KH</x:f>
        <x:v>865.4348287891597</x:v>
      </x:c>
      <x:c r="AO370" s="32" t="n">
        <x:f>MIN(AP369+AN370,AM370*tun_KHMaxRatio)</x:f>
        <x:v>865.4348287891597</x:v>
      </x:c>
      <x:c r="AP370" s="32" t="n">
        <x:f>AP369+AN370-AO370</x:f>
        <x:v>0</x:v>
      </x:c>
      <x:c r="AQ370" s="32" t="n">
        <x:f>AM370+AO370</x:f>
        <x:v>6147.445497405917</x:v>
      </x:c>
      <x:c r="AR370" s="10" t="n">
        <x:f>IF(H370=1,INDEX(tun_Req,G370),0)</x:f>
        <x:v>434961.70024459995</x:v>
      </x:c>
      <x:c r="AS370" s="32" t="n">
        <x:f>IF(H370=1,IF(E370=1,AS369-AR369,AS369)+AQ370,0)</x:f>
        <x:v>242425.15688628092</x:v>
      </x:c>
      <x:c r="AT370" s="11" t="n">
        <x:f>IF(AR370&gt;0,MIN(1,AS370/AR370),1)</x:f>
        <x:v>0.5573482831935629</x:v>
      </x:c>
      <x:c r="AU370" s="10" t="n">
        <x:f>AB370/INDEX(tun_RepScale,G370)</x:f>
        <x:v>243.45216505971314</x:v>
      </x:c>
      <x:c r="AV370" s="32" t="n">
        <x:f>AM370*60/tun_SeasonSeconds</x:f>
        <x:v>21128.04267446703</x:v>
      </x:c>
    </x:row>
    <x:row r="371">
      <x:c r="A371" s="8" t="n">
        <x:f>A370+1</x:f>
        <x:v>368</x:v>
      </x:c>
      <x:c r="B371" s="9" t="n">
        <x:f>A371*tun_SeasonSeconds/60</x:f>
        <x:v>92</x:v>
      </x:c>
      <x:c r="C371" s="9" t="n">
        <x:f>A371/4</x:f>
        <x:v>92</x:v>
      </x:c>
      <x:c r="D371" s="8" t="n">
        <x:f>IF(MOD(A371,4)=0,1,0)</x:f>
        <x:v>1</x:v>
      </x:c>
      <x:c r="E371" s="8" t="n">
        <x:f>IF(AND(F370&lt;=9,AS370&gt;=AR370),1,0)</x:f>
        <x:v>0</x:v>
      </x:c>
      <x:c r="F371" s="8" t="n">
        <x:f>MIN(10,F370+E371)</x:f>
        <x:v>6</x:v>
      </x:c>
      <x:c r="G371" s="8" t="n">
        <x:f>MIN(F371,9)+1</x:f>
        <x:v>7</x:v>
      </x:c>
      <x:c r="H371" s="8" t="n">
        <x:f>IF(F371&lt;=9,1,0)</x:f>
        <x:v>1</x:v>
      </x:c>
      <x:c r="I371" s="9" t="n">
        <x:f>MIN(10,F370+IF(AR370&gt;0,MIN(1,AS370/AR370),1))</x:f>
        <x:v>6.557348283193563</x:v>
      </x:c>
      <x:c r="J371" s="32" t="n">
        <x:f>INDEX(tun_FoodCap,G371)*Arch_FoodCap*EXP(tun_CapsByProject*SUMPRODUCT((Cap_Point&lt;=I371)*(Cap_Kind="Food")*Cap_Ln))</x:f>
        <x:v>838.173202942001</x:v>
      </x:c>
      <x:c r="K371" s="32" t="n">
        <x:f>J371*MIN(1,tun_LeanBase*EXP(tun_CapsByProject*SUMPRODUCT((Cap_Point&lt;=I371)*(Cap_Kind="Lean")*Cap_Ln)))</x:f>
        <x:v>838.173202942001</x:v>
      </x:c>
      <x:c r="L371" s="10" t="n">
        <x:f>INDEX(tun_HousingCap,G371)*EXP(tun_CapsByProject*SUMPRODUCT((Cap_Point&lt;=I371)*(Cap_Kind="Housing")*Cap_Ln))</x:f>
        <x:v>2125.258900135082</x:v>
      </x:c>
      <x:c r="M371" s="10" t="n">
        <x:f>INDEX(tun_GroupCap,G371)*tun_CohesionFactor*EXP(tun_CapsByProject*SUMPRODUCT((Cap_Point&lt;=I371)*(Cap_Kind="Group")*Cap_Ln))</x:f>
        <x:v>50000.00000000004</x:v>
      </x:c>
      <x:c r="N371" s="32" t="n">
        <x:f>MIN(J371,L371,M371)</x:f>
        <x:v>838.173202942001</x:v>
      </x:c>
      <x:c r="O371" s="10" t="n">
        <x:f>AE370*N371</x:f>
        <x:v>10058.078435304013</x:v>
      </x:c>
      <x:c r="P371" s="9" t="n">
        <x:f>MIN(1,(AB370/(AE370*IF(tun_GroupInCrowding=1,N371,MIN(J371,L371))))^tun_CrowdingExp)</x:f>
        <x:v>0.04909438123728711</x:v>
      </x:c>
      <x:c r="Q371" s="9" t="n">
        <x:f>IF(D371=1,INDEX(tun_WinterMult,G371),1)</x:f>
        <x:v>1.1</x:v>
      </x:c>
      <x:c r="R371" s="9" t="n">
        <x:f>H371*Z370*tun_WomenShare*tun_BaseFertility*INDEX(tun_FertMult,G371)*Arch_Fertility*(1-P371)</x:f>
        <x:v>148.74195045999284</x:v>
      </x:c>
      <x:c r="S371" s="9" t="n">
        <x:f>H371*Y370*INDEX(tun_MortChild,G371)/4*Q371</x:f>
        <x:v>22.492194326252406</x:v>
      </x:c>
      <x:c r="T371" s="9" t="n">
        <x:f>H371*Z370*INDEX(tun_MortAdult,G371)*Arch_AdultMort/4*Q371</x:f>
        <x:v>5.715395859275482</x:v>
      </x:c>
      <x:c r="U371" s="9" t="n">
        <x:f>H371*AA370*INDEX(tun_MortElder,G371)/4*Q371</x:f>
        <x:v>8.448837003509995</x:v>
      </x:c>
      <x:c r="V371" s="9" t="n">
        <x:f>H371*MAX(0,AB370-O371)*tun_OvercapLoss</x:f>
        <x:v>0</x:v>
      </x:c>
      <x:c r="W371" s="9" t="n">
        <x:f>H371*Y370/(tun_ChildYears*4)</x:f>
        <x:v>58.42128396429195</x:v>
      </x:c>
      <x:c r="X371" s="9" t="n">
        <x:f>H371*Z370/(tun_AdultYears*4)</x:f>
        <x:v>17.642833336241647</x:v>
      </x:c>
      <x:c r="Y371" s="32" t="n">
        <x:f>Y370+R371-S371-W371-Y370*V371/AB370</x:f>
        <x:v>3339.420374169798</x:v>
      </x:c>
      <x:c r="Z371" s="32" t="n">
        <x:f>Z370+W371-X371-T371-Z370*V371/AB370</x:f>
        <x:v>2222.7743884627394</x:v>
      </x:c>
      <x:c r="AA371" s="32" t="n">
        <x:f>AA370+X371-U371-AA370*V371/AB370</x:f>
        <x:v>636.194887131247</x:v>
      </x:c>
      <x:c r="AB371" s="10" t="n">
        <x:f>Y371+Z371+AA371</x:f>
        <x:v>6198.389649763784</x:v>
      </x:c>
      <x:c r="AC371" s="8" t="n">
        <x:f>IF(AND(tun_WinterTrigger=1,D371=1,AB370/AE370&gt;=K371),1,0)</x:f>
        <x:v>0</x:v>
      </x:c>
      <x:c r="AD371" s="8" t="n">
        <x:f>H371*IF(AND(OR(AB370/AE370&gt;=tun_FissionTrigger*N371,AC371=1),AB370/AE370*tun_DaughterShare&gt;=tun_MinDaughter),MAX(1,ROUND(AE370*tun_FissionRate,0)),0)</x:f>
        <x:v>0</x:v>
      </x:c>
      <x:c r="AE371" s="8" t="n">
        <x:f>IF(H371=1,MAX(1,MIN(INDEX(tun_Smax,G371),AE370+AD371)),AE370)</x:f>
        <x:v>12</x:v>
      </x:c>
      <x:c r="AF371" s="8" t="n">
        <x:f>MAX(0,AE371-AE370)</x:f>
        <x:v>0</x:v>
      </x:c>
      <x:c r="AG371" s="9" t="str">
        <x:f>IF(AF371&gt;0,B371,"")</x:f>
      </x:c>
      <x:c r="AH371" s="9" t="n">
        <x:f>IF(F371&gt;=1,1,(1+tun_LowTiesShare*(AE371-1))/AE371)</x:f>
        <x:v>1</x:v>
      </x:c>
      <x:c r="AI371" s="32" t="n">
        <x:f>(Z371+tun_ElderCommons*INDEX(LM_Elder,G371)*AA371)*AH371</x:f>
        <x:v>4608.505215204916</x:v>
      </x:c>
      <x:c r="AJ371" s="32" t="n">
        <x:f>H371*tun_CommonsCoef*AI371^tun_CommonsExp*INDEX(LM_Commons,G371)</x:f>
        <x:v>9081.085314486643</x:v>
      </x:c>
      <x:c r="AK371" s="32" t="n">
        <x:f>H371*tun_RoleScale*Arch_Roles*(AE371*(INDEX(tun_ElderRolePerSett,G371)*tun_OutElder*INDEX(LM_Elder,G371)+INDEX(tun_ShamanPerSett,G371)*tun_OutShaman)+Z371*(INDEX(tun_PriestShare,G371)*tun_OutPriest+INDEX(tun_ScribeShare,G371)*tun_OutScribe*INDEX(LM_Scribe,G371)+INDEX(tun_ScholarShare,G371)*tun_OutScholar*INDEX(LM_Scholar,G371)+INDEX(tun_ResearcherShare,G371)*tun_OutResearcher*INDEX(LM_Researcher,G371)))</x:f>
        <x:v>2566.3348030812112</x:v>
      </x:c>
      <x:c r="AL371" s="32" t="n">
        <x:f>H371*tun_RoleScale*Arch_Roles*AE371*INDEX(tun_MonasteryPerSett,G371)*tun_OutMonastery*INDEX(LM_Monastery,G371)</x:f>
        <x:v>63.36</x:v>
      </x:c>
      <x:c r="AM371" s="32" t="n">
        <x:f>(AJ371+AK371+AL371)/4*INDEX(LM_All,G371)*INDEX(tun_Boon,G371)*Arch_Insight</x:f>
        <x:v>5351.46065146418</x:v>
      </x:c>
      <x:c r="AN371" s="32" t="n">
        <x:f>H371*(tun_KHPerAdult*Z371+tun_KHOfCommons*AJ371/4*INDEX(LM_All,G371))*tun_KHUsable*Arch_KH</x:f>
        <x:v>876.6922301490491</x:v>
      </x:c>
      <x:c r="AO371" s="32" t="n">
        <x:f>MIN(AP370+AN371,AM371*tun_KHMaxRatio)</x:f>
        <x:v>876.6922301490491</x:v>
      </x:c>
      <x:c r="AP371" s="32" t="n">
        <x:f>AP370+AN371-AO371</x:f>
        <x:v>0</x:v>
      </x:c>
      <x:c r="AQ371" s="32" t="n">
        <x:f>AM371+AO371</x:f>
        <x:v>6228.1528816132295</x:v>
      </x:c>
      <x:c r="AR371" s="10" t="n">
        <x:f>IF(H371=1,INDEX(tun_Req,G371),0)</x:f>
        <x:v>434961.70024459995</x:v>
      </x:c>
      <x:c r="AS371" s="32" t="n">
        <x:f>IF(H371=1,IF(E371=1,AS370-AR370,AS370)+AQ371,0)</x:f>
        <x:v>248653.30976789416</x:v>
      </x:c>
      <x:c r="AT371" s="11" t="n">
        <x:f>IF(AR371&gt;0,MIN(1,AS371/AR371),1)</x:f>
        <x:v>0.571667136734256</x:v>
      </x:c>
      <x:c r="AU371" s="10" t="n">
        <x:f>AB371/INDEX(tun_RepScale,G371)</x:f>
        <x:v>247.93558599055137</x:v>
      </x:c>
      <x:c r="AV371" s="32" t="n">
        <x:f>AM371*60/tun_SeasonSeconds</x:f>
        <x:v>21405.84260585672</x:v>
      </x:c>
    </x:row>
    <x:row r="372">
      <x:c r="A372" s="8" t="n">
        <x:f>A371+1</x:f>
        <x:v>369</x:v>
      </x:c>
      <x:c r="B372" s="9" t="n">
        <x:f>A372*tun_SeasonSeconds/60</x:f>
        <x:v>92.25</x:v>
      </x:c>
      <x:c r="C372" s="9" t="n">
        <x:f>A372/4</x:f>
        <x:v>92.25</x:v>
      </x:c>
      <x:c r="D372" s="8" t="n">
        <x:f>IF(MOD(A372,4)=0,1,0)</x:f>
        <x:v>0</x:v>
      </x:c>
      <x:c r="E372" s="8" t="n">
        <x:f>IF(AND(F371&lt;=9,AS371&gt;=AR371),1,0)</x:f>
        <x:v>0</x:v>
      </x:c>
      <x:c r="F372" s="8" t="n">
        <x:f>MIN(10,F371+E372)</x:f>
        <x:v>6</x:v>
      </x:c>
      <x:c r="G372" s="8" t="n">
        <x:f>MIN(F372,9)+1</x:f>
        <x:v>7</x:v>
      </x:c>
      <x:c r="H372" s="8" t="n">
        <x:f>IF(F372&lt;=9,1,0)</x:f>
        <x:v>1</x:v>
      </x:c>
      <x:c r="I372" s="9" t="n">
        <x:f>MIN(10,F371+IF(AR371&gt;0,MIN(1,AS371/AR371),1))</x:f>
        <x:v>6.571667136734256</x:v>
      </x:c>
      <x:c r="J372" s="32" t="n">
        <x:f>INDEX(tun_FoodCap,G372)*Arch_FoodCap*EXP(tun_CapsByProject*SUMPRODUCT((Cap_Point&lt;=I372)*(Cap_Kind="Food")*Cap_Ln))</x:f>
        <x:v>838.173202942001</x:v>
      </x:c>
      <x:c r="K372" s="32" t="n">
        <x:f>J372*MIN(1,tun_LeanBase*EXP(tun_CapsByProject*SUMPRODUCT((Cap_Point&lt;=I372)*(Cap_Kind="Lean")*Cap_Ln)))</x:f>
        <x:v>838.173202942001</x:v>
      </x:c>
      <x:c r="L372" s="10" t="n">
        <x:f>INDEX(tun_HousingCap,G372)*EXP(tun_CapsByProject*SUMPRODUCT((Cap_Point&lt;=I372)*(Cap_Kind="Housing")*Cap_Ln))</x:f>
        <x:v>2125.258900135082</x:v>
      </x:c>
      <x:c r="M372" s="10" t="n">
        <x:f>INDEX(tun_GroupCap,G372)*tun_CohesionFactor*EXP(tun_CapsByProject*SUMPRODUCT((Cap_Point&lt;=I372)*(Cap_Kind="Group")*Cap_Ln))</x:f>
        <x:v>50000.00000000004</x:v>
      </x:c>
      <x:c r="N372" s="32" t="n">
        <x:f>MIN(J372,L372,M372)</x:f>
        <x:v>838.173202942001</x:v>
      </x:c>
      <x:c r="O372" s="10" t="n">
        <x:f>AE371*N372</x:f>
        <x:v>10058.078435304013</x:v>
      </x:c>
      <x:c r="P372" s="9" t="n">
        <x:f>MIN(1,(AB371/(AE371*IF(tun_GroupInCrowding=1,N372,MIN(J372,L372))))^tun_CrowdingExp)</x:f>
        <x:v>0.05477509442202396</x:v>
      </x:c>
      <x:c r="Q372" s="9" t="n">
        <x:f>IF(D372=1,INDEX(tun_WinterMult,G372),1)</x:f>
        <x:v>1</x:v>
      </x:c>
      <x:c r="R372" s="9" t="n">
        <x:f>H372*Z371*tun_WomenShare*tun_BaseFertility*INDEX(tun_FertMult,G372)*Arch_Fertility*(1-P372)</x:f>
        <x:v>150.2230523690923</x:v>
      </x:c>
      <x:c r="S372" s="9" t="n">
        <x:f>H372*Y371*INDEX(tun_MortChild,G372)/4*Q372</x:f>
        <x:v>20.87137733856124</x:v>
      </x:c>
      <x:c r="T372" s="9" t="n">
        <x:f>H372*Z371*INDEX(tun_MortAdult,G372)*Arch_AdultMort/4*Q372</x:f>
        <x:v>5.279089172599006</x:v>
      </x:c>
      <x:c r="U372" s="9" t="n">
        <x:f>H372*AA371*INDEX(tun_MortElder,G372)/4*Q372</x:f>
        <x:v>7.793387367357776</x:v>
      </x:c>
      <x:c r="V372" s="9" t="n">
        <x:f>H372*MAX(0,AB371-O372)*tun_OvercapLoss</x:f>
        <x:v>0</x:v>
      </x:c>
      <x:c r="W372" s="9" t="n">
        <x:f>H372*Y371/(tun_ChildYears*4)</x:f>
        <x:v>59.63250668160354</x:v>
      </x:c>
      <x:c r="X372" s="9" t="n">
        <x:f>H372*Z371/(tun_AdultYears*4)</x:f>
        <x:v>17.925599906957576</x:v>
      </x:c>
      <x:c r="Y372" s="32" t="n">
        <x:f>Y371+R372-S372-W372-Y371*V372/AB371</x:f>
        <x:v>3409.1395425187256</x:v>
      </x:c>
      <x:c r="Z372" s="32" t="n">
        <x:f>Z371+W372-X372-T372-Z371*V372/AB371</x:f>
        <x:v>2259.2022060647864</x:v>
      </x:c>
      <x:c r="AA372" s="32" t="n">
        <x:f>AA371+X372-U372-AA371*V372/AB371</x:f>
        <x:v>646.3270996708468</x:v>
      </x:c>
      <x:c r="AB372" s="10" t="n">
        <x:f>Y372+Z372+AA372</x:f>
        <x:v>6314.66884825436</x:v>
      </x:c>
      <x:c r="AC372" s="8" t="n">
        <x:f>IF(AND(tun_WinterTrigger=1,D372=1,AB371/AE371&gt;=K372),1,0)</x:f>
        <x:v>0</x:v>
      </x:c>
      <x:c r="AD372" s="8" t="n">
        <x:f>H372*IF(AND(OR(AB371/AE371&gt;=tun_FissionTrigger*N372,AC372=1),AB371/AE371*tun_DaughterShare&gt;=tun_MinDaughter),MAX(1,ROUND(AE371*tun_FissionRate,0)),0)</x:f>
        <x:v>0</x:v>
      </x:c>
      <x:c r="AE372" s="8" t="n">
        <x:f>IF(H372=1,MAX(1,MIN(INDEX(tun_Smax,G372),AE371+AD372)),AE371)</x:f>
        <x:v>12</x:v>
      </x:c>
      <x:c r="AF372" s="8" t="n">
        <x:f>MAX(0,AE372-AE371)</x:f>
        <x:v>0</x:v>
      </x:c>
      <x:c r="AG372" s="9" t="str">
        <x:f>IF(AF372&gt;0,B372,"")</x:f>
      </x:c>
      <x:c r="AH372" s="9" t="n">
        <x:f>IF(F372&gt;=1,1,(1+tun_LowTiesShare*(AE372-1))/AE372)</x:f>
        <x:v>1</x:v>
      </x:c>
      <x:c r="AI372" s="32" t="n">
        <x:f>(Z372+tun_ElderCommons*INDEX(LM_Elder,G372)*AA372)*AH372</x:f>
        <x:v>4682.928829830462</x:v>
      </x:c>
      <x:c r="AJ372" s="32" t="n">
        <x:f>H372*tun_CommonsCoef*AI372^tun_CommonsExp*INDEX(LM_Commons,G372)</x:f>
        <x:v>9205.589587856006</x:v>
      </x:c>
      <x:c r="AK372" s="32" t="n">
        <x:f>H372*tun_RoleScale*Arch_Roles*(AE372*(INDEX(tun_ElderRolePerSett,G372)*tun_OutElder*INDEX(LM_Elder,G372)+INDEX(tun_ShamanPerSett,G372)*tun_OutShaman)+Z372*(INDEX(tun_PriestShare,G372)*tun_OutPriest+INDEX(tun_ScribeShare,G372)*tun_OutScribe*INDEX(LM_Scribe,G372)+INDEX(tun_ScholarShare,G372)*tun_OutScholar*INDEX(LM_Scholar,G372)+INDEX(tun_ResearcherShare,G372)*tun_OutResearcher*INDEX(LM_Researcher,G372)))</x:f>
        <x:v>2603.0831854781563</x:v>
      </x:c>
      <x:c r="AL372" s="32" t="n">
        <x:f>H372*tun_RoleScale*Arch_Roles*AE372*INDEX(tun_MonasteryPerSett,G372)*tun_OutMonastery*INDEX(LM_Monastery,G372)</x:f>
        <x:v>63.36</x:v>
      </x:c>
      <x:c r="AM372" s="32" t="n">
        <x:f>(AJ372+AK372+AL372)/4*INDEX(LM_All,G372)*INDEX(tun_Boon,G372)*Arch_Insight</x:f>
        <x:v>5425.148077375538</x:v>
      </x:c>
      <x:c r="AN372" s="32" t="n">
        <x:f>H372*(tun_KHPerAdult*Z372+tun_KHOfCommons*AJ372/4*INDEX(LM_All,G372))*tun_KHUsable*Arch_KH</x:f>
        <x:v>888.7119310221539</x:v>
      </x:c>
      <x:c r="AO372" s="32" t="n">
        <x:f>MIN(AP371+AN372,AM372*tun_KHMaxRatio)</x:f>
        <x:v>888.7119310221539</x:v>
      </x:c>
      <x:c r="AP372" s="32" t="n">
        <x:f>AP371+AN372-AO372</x:f>
        <x:v>0</x:v>
      </x:c>
      <x:c r="AQ372" s="32" t="n">
        <x:f>AM372+AO372</x:f>
        <x:v>6313.860008397693</x:v>
      </x:c>
      <x:c r="AR372" s="10" t="n">
        <x:f>IF(H372=1,INDEX(tun_Req,G372),0)</x:f>
        <x:v>434961.70024459995</x:v>
      </x:c>
      <x:c r="AS372" s="32" t="n">
        <x:f>IF(H372=1,IF(E372=1,AS371-AR371,AS371)+AQ372,0)</x:f>
        <x:v>254967.16977629185</x:v>
      </x:c>
      <x:c r="AT372" s="11" t="n">
        <x:f>IF(AR372&gt;0,MIN(1,AS372/AR372),1)</x:f>
        <x:v>0.586183035501543</x:v>
      </x:c>
      <x:c r="AU372" s="10" t="n">
        <x:f>AB372/INDEX(tun_RepScale,G372)</x:f>
        <x:v>252.58675393017438</x:v>
      </x:c>
      <x:c r="AV372" s="32" t="n">
        <x:f>AM372*60/tun_SeasonSeconds</x:f>
        <x:v>21700.592309502154</x:v>
      </x:c>
    </x:row>
    <x:row r="373">
      <x:c r="A373" s="8" t="n">
        <x:f>A372+1</x:f>
        <x:v>370</x:v>
      </x:c>
      <x:c r="B373" s="9" t="n">
        <x:f>A373*tun_SeasonSeconds/60</x:f>
        <x:v>92.5</x:v>
      </x:c>
      <x:c r="C373" s="9" t="n">
        <x:f>A373/4</x:f>
        <x:v>92.5</x:v>
      </x:c>
      <x:c r="D373" s="8" t="n">
        <x:f>IF(MOD(A373,4)=0,1,0)</x:f>
        <x:v>0</x:v>
      </x:c>
      <x:c r="E373" s="8" t="n">
        <x:f>IF(AND(F372&lt;=9,AS372&gt;=AR372),1,0)</x:f>
        <x:v>0</x:v>
      </x:c>
      <x:c r="F373" s="8" t="n">
        <x:f>MIN(10,F372+E373)</x:f>
        <x:v>6</x:v>
      </x:c>
      <x:c r="G373" s="8" t="n">
        <x:f>MIN(F373,9)+1</x:f>
        <x:v>7</x:v>
      </x:c>
      <x:c r="H373" s="8" t="n">
        <x:f>IF(F373&lt;=9,1,0)</x:f>
        <x:v>1</x:v>
      </x:c>
      <x:c r="I373" s="9" t="n">
        <x:f>MIN(10,F372+IF(AR372&gt;0,MIN(1,AS372/AR372),1))</x:f>
        <x:v>6.586183035501543</x:v>
      </x:c>
      <x:c r="J373" s="32" t="n">
        <x:f>INDEX(tun_FoodCap,G373)*Arch_FoodCap*EXP(tun_CapsByProject*SUMPRODUCT((Cap_Point&lt;=I373)*(Cap_Kind="Food")*Cap_Ln))</x:f>
        <x:v>838.173202942001</x:v>
      </x:c>
      <x:c r="K373" s="32" t="n">
        <x:f>J373*MIN(1,tun_LeanBase*EXP(tun_CapsByProject*SUMPRODUCT((Cap_Point&lt;=I373)*(Cap_Kind="Lean")*Cap_Ln)))</x:f>
        <x:v>838.173202942001</x:v>
      </x:c>
      <x:c r="L373" s="10" t="n">
        <x:f>INDEX(tun_HousingCap,G373)*EXP(tun_CapsByProject*SUMPRODUCT((Cap_Point&lt;=I373)*(Cap_Kind="Housing")*Cap_Ln))</x:f>
        <x:v>2125.258900135082</x:v>
      </x:c>
      <x:c r="M373" s="10" t="n">
        <x:f>INDEX(tun_GroupCap,G373)*tun_CohesionFactor*EXP(tun_CapsByProject*SUMPRODUCT((Cap_Point&lt;=I373)*(Cap_Kind="Group")*Cap_Ln))</x:f>
        <x:v>50000.00000000004</x:v>
      </x:c>
      <x:c r="N373" s="32" t="n">
        <x:f>MIN(J373,L373,M373)</x:f>
        <x:v>838.173202942001</x:v>
      </x:c>
      <x:c r="O373" s="10" t="n">
        <x:f>AE372*N373</x:f>
        <x:v>10058.078435304013</x:v>
      </x:c>
      <x:c r="P373" s="9" t="n">
        <x:f>MIN(1,(AB372/(AE372*IF(tun_GroupInCrowding=1,N373,MIN(J373,L373))))^tun_CrowdingExp)</x:f>
        <x:v>0.0612369249199331</x:v>
      </x:c>
      <x:c r="Q373" s="9" t="n">
        <x:f>IF(D373=1,INDEX(tun_WinterMult,G373),1)</x:f>
        <x:v>1</x:v>
      </x:c>
      <x:c r="R373" s="9" t="n">
        <x:f>H373*Z372*tun_WomenShare*tun_BaseFertility*INDEX(tun_FertMult,G373)*Arch_Fertility*(1-P373)</x:f>
        <x:v>151.6411761288031</x:v>
      </x:c>
      <x:c r="S373" s="9" t="n">
        <x:f>H373*Y372*INDEX(tun_MortChild,G373)/4*Q373</x:f>
        <x:v>21.307122140742038</x:v>
      </x:c>
      <x:c r="T373" s="9" t="n">
        <x:f>H373*Z372*INDEX(tun_MortAdult,G373)*Arch_AdultMort/4*Q373</x:f>
        <x:v>5.365605239403868</x:v>
      </x:c>
      <x:c r="U373" s="9" t="n">
        <x:f>H373*AA372*INDEX(tun_MortElder,G373)/4*Q373</x:f>
        <x:v>7.917506970967874</x:v>
      </x:c>
      <x:c r="V373" s="9" t="n">
        <x:f>H373*MAX(0,AB372-O373)*tun_OvercapLoss</x:f>
        <x:v>0</x:v>
      </x:c>
      <x:c r="W373" s="9" t="n">
        <x:f>H373*Y372/(tun_ChildYears*4)</x:f>
        <x:v>60.87749183069153</x:v>
      </x:c>
      <x:c r="X373" s="9" t="n">
        <x:f>H373*Z372/(tun_AdultYears*4)</x:f>
        <x:v>18.21937262955473</x:v>
      </x:c>
      <x:c r="Y373" s="32" t="n">
        <x:f>Y372+R373-S373-W373-Y372*V373/AB372</x:f>
        <x:v>3478.596104676095</x:v>
      </x:c>
      <x:c r="Z373" s="32" t="n">
        <x:f>Z372+W373-X373-T373-Z372*V373/AB372</x:f>
        <x:v>2296.4947200265196</x:v>
      </x:c>
      <x:c r="AA373" s="32" t="n">
        <x:f>AA372+X373-U373-AA372*V373/AB372</x:f>
        <x:v>656.6289653294336</x:v>
      </x:c>
      <x:c r="AB373" s="10" t="n">
        <x:f>Y373+Z373+AA373</x:f>
        <x:v>6431.719790032048</x:v>
      </x:c>
      <x:c r="AC373" s="8" t="n">
        <x:f>IF(AND(tun_WinterTrigger=1,D373=1,AB372/AE372&gt;=K373),1,0)</x:f>
        <x:v>0</x:v>
      </x:c>
      <x:c r="AD373" s="8" t="n">
        <x:f>H373*IF(AND(OR(AB372/AE372&gt;=tun_FissionTrigger*N373,AC373=1),AB372/AE372*tun_DaughterShare&gt;=tun_MinDaughter),MAX(1,ROUND(AE372*tun_FissionRate,0)),0)</x:f>
        <x:v>0</x:v>
      </x:c>
      <x:c r="AE373" s="8" t="n">
        <x:f>IF(H373=1,MAX(1,MIN(INDEX(tun_Smax,G373),AE372+AD373)),AE372)</x:f>
        <x:v>12</x:v>
      </x:c>
      <x:c r="AF373" s="8" t="n">
        <x:f>MAX(0,AE373-AE372)</x:f>
        <x:v>0</x:v>
      </x:c>
      <x:c r="AG373" s="9" t="str">
        <x:f>IF(AF373&gt;0,B373,"")</x:f>
      </x:c>
      <x:c r="AH373" s="9" t="n">
        <x:f>IF(F373&gt;=1,1,(1+tun_LowTiesShare*(AE373-1))/AE373)</x:f>
        <x:v>1</x:v>
      </x:c>
      <x:c r="AI373" s="32" t="n">
        <x:f>(Z373+tun_ElderCommons*INDEX(LM_Elder,G373)*AA373)*AH373</x:f>
        <x:v>4758.853340011896</x:v>
      </x:c>
      <x:c r="AJ373" s="32" t="n">
        <x:f>H373*tun_CommonsCoef*AI373^tun_CommonsExp*INDEX(LM_Commons,G373)</x:f>
        <x:v>9332.29927532931</x:v>
      </x:c>
      <x:c r="AK373" s="32" t="n">
        <x:f>H373*tun_RoleScale*Arch_Roles*(AE373*(INDEX(tun_ElderRolePerSett,G373)*tun_OutElder*INDEX(LM_Elder,G373)+INDEX(tun_ShamanPerSett,G373)*tun_OutShaman)+Z373*(INDEX(tun_PriestShare,G373)*tun_OutPriest+INDEX(tun_ScribeShare,G373)*tun_OutScribe*INDEX(LM_Scribe,G373)+INDEX(tun_ScholarShare,G373)*tun_OutScholar*INDEX(LM_Scholar,G373)+INDEX(tun_ResearcherShare,G373)*tun_OutResearcher*INDEX(LM_Researcher,G373)))</x:f>
        <x:v>2640.703873562753</x:v>
      </x:c>
      <x:c r="AL373" s="32" t="n">
        <x:f>H373*tun_RoleScale*Arch_Roles*AE373*INDEX(tun_MonasteryPerSett,G373)*tun_OutMonastery*INDEX(LM_Monastery,G373)</x:f>
        <x:v>63.36</x:v>
      </x:c>
      <x:c r="AM373" s="32" t="n">
        <x:f>(AJ373+AK373+AL373)/4*INDEX(LM_All,G373)*INDEX(tun_Boon,G373)*Arch_Insight</x:f>
        <x:v>5500.241925079092</x:v>
      </x:c>
      <x:c r="AN373" s="32" t="n">
        <x:f>H373*(tun_KHPerAdult*Z373+tun_KHOfCommons*AJ373/4*INDEX(LM_All,G373))*tun_KHUsable*Arch_KH</x:f>
        <x:v>900.9445436059439</x:v>
      </x:c>
      <x:c r="AO373" s="32" t="n">
        <x:f>MIN(AP372+AN373,AM373*tun_KHMaxRatio)</x:f>
        <x:v>900.9445436059439</x:v>
      </x:c>
      <x:c r="AP373" s="32" t="n">
        <x:f>AP372+AN373-AO373</x:f>
        <x:v>0</x:v>
      </x:c>
      <x:c r="AQ373" s="32" t="n">
        <x:f>AM373+AO373</x:f>
        <x:v>6401.186468685036</x:v>
      </x:c>
      <x:c r="AR373" s="10" t="n">
        <x:f>IF(H373=1,INDEX(tun_Req,G373),0)</x:f>
        <x:v>434961.70024459995</x:v>
      </x:c>
      <x:c r="AS373" s="32" t="n">
        <x:f>IF(H373=1,IF(E373=1,AS372-AR372,AS372)+AQ373,0)</x:f>
        <x:v>261368.3562449769</x:v>
      </x:c>
      <x:c r="AT373" s="11" t="n">
        <x:f>IF(AR373&gt;0,MIN(1,AS373/AR373),1)</x:f>
        <x:v>0.6008997024289653</x:v>
      </x:c>
      <x:c r="AU373" s="10" t="n">
        <x:f>AB373/INDEX(tun_RepScale,G373)</x:f>
        <x:v>257.2687916012819</x:v>
      </x:c>
      <x:c r="AV373" s="32" t="n">
        <x:f>AM373*60/tun_SeasonSeconds</x:f>
        <x:v>22000.96770031637</x:v>
      </x:c>
    </x:row>
    <x:row r="374">
      <x:c r="A374" s="8" t="n">
        <x:f>A373+1</x:f>
        <x:v>371</x:v>
      </x:c>
      <x:c r="B374" s="9" t="n">
        <x:f>A374*tun_SeasonSeconds/60</x:f>
        <x:v>92.75</x:v>
      </x:c>
      <x:c r="C374" s="9" t="n">
        <x:f>A374/4</x:f>
        <x:v>92.75</x:v>
      </x:c>
      <x:c r="D374" s="8" t="n">
        <x:f>IF(MOD(A374,4)=0,1,0)</x:f>
        <x:v>0</x:v>
      </x:c>
      <x:c r="E374" s="8" t="n">
        <x:f>IF(AND(F373&lt;=9,AS373&gt;=AR373),1,0)</x:f>
        <x:v>0</x:v>
      </x:c>
      <x:c r="F374" s="8" t="n">
        <x:f>MIN(10,F373+E374)</x:f>
        <x:v>6</x:v>
      </x:c>
      <x:c r="G374" s="8" t="n">
        <x:f>MIN(F374,9)+1</x:f>
        <x:v>7</x:v>
      </x:c>
      <x:c r="H374" s="8" t="n">
        <x:f>IF(F374&lt;=9,1,0)</x:f>
        <x:v>1</x:v>
      </x:c>
      <x:c r="I374" s="9" t="n">
        <x:f>MIN(10,F373+IF(AR373&gt;0,MIN(1,AS373/AR373),1))</x:f>
        <x:v>6.600899702428965</x:v>
      </x:c>
      <x:c r="J374" s="32" t="n">
        <x:f>INDEX(tun_FoodCap,G374)*Arch_FoodCap*EXP(tun_CapsByProject*SUMPRODUCT((Cap_Point&lt;=I374)*(Cap_Kind="Food")*Cap_Ln))</x:f>
        <x:v>1030.8296491509448</x:v>
      </x:c>
      <x:c r="K374" s="32" t="n">
        <x:f>J374*MIN(1,tun_LeanBase*EXP(tun_CapsByProject*SUMPRODUCT((Cap_Point&lt;=I374)*(Cap_Kind="Lean")*Cap_Ln)))</x:f>
        <x:v>1030.8296491509448</x:v>
      </x:c>
      <x:c r="L374" s="10" t="n">
        <x:f>INDEX(tun_HousingCap,G374)*EXP(tun_CapsByProject*SUMPRODUCT((Cap_Point&lt;=I374)*(Cap_Kind="Housing")*Cap_Ln))</x:f>
        <x:v>2423.1679699072442</x:v>
      </x:c>
      <x:c r="M374" s="10" t="n">
        <x:f>INDEX(tun_GroupCap,G374)*tun_CohesionFactor*EXP(tun_CapsByProject*SUMPRODUCT((Cap_Point&lt;=I374)*(Cap_Kind="Group")*Cap_Ln))</x:f>
        <x:v>1000000.000000001</x:v>
      </x:c>
      <x:c r="N374" s="32" t="n">
        <x:f>MIN(J374,L374,M374)</x:f>
        <x:v>1030.8296491509448</x:v>
      </x:c>
      <x:c r="O374" s="10" t="n">
        <x:f>AE373*N374</x:f>
        <x:v>12369.955789811338</x:v>
      </x:c>
      <x:c r="P374" s="9" t="n">
        <x:f>MIN(1,(AB373/(AE373*IF(tun_GroupInCrowding=1,N374,MIN(J374,L374))))^tun_CrowdingExp)</x:f>
        <x:v>0.019758492524663957</x:v>
      </x:c>
      <x:c r="Q374" s="9" t="n">
        <x:f>IF(D374=1,INDEX(tun_WinterMult,G374),1)</x:f>
        <x:v>1</x:v>
      </x:c>
      <x:c r="R374" s="9" t="n">
        <x:f>H374*Z373*tun_WomenShare*tun_BaseFertility*INDEX(tun_FertMult,G374)*Arch_Fertility*(1-P374)</x:f>
        <x:v>160.9550404081581</x:v>
      </x:c>
      <x:c r="S374" s="9" t="n">
        <x:f>H374*Y373*INDEX(tun_MortChild,G374)/4*Q374</x:f>
        <x:v>21.741225654225595</x:v>
      </x:c>
      <x:c r="T374" s="9" t="n">
        <x:f>H374*Z373*INDEX(tun_MortAdult,G374)*Arch_AdultMort/4*Q374</x:f>
        <x:v>5.454174960062984</x:v>
      </x:c>
      <x:c r="U374" s="9" t="n">
        <x:f>H374*AA373*INDEX(tun_MortElder,G374)/4*Q374</x:f>
        <x:v>8.043704825285563</x:v>
      </x:c>
      <x:c r="V374" s="9" t="n">
        <x:f>H374*MAX(0,AB373-O374)*tun_OvercapLoss</x:f>
        <x:v>0</x:v>
      </x:c>
      <x:c r="W374" s="9" t="n">
        <x:f>H374*Y373/(tun_ChildYears*4)</x:f>
        <x:v>62.117787583501695</x:v>
      </x:c>
      <x:c r="X374" s="9" t="n">
        <x:f>H374*Z373/(tun_AdultYears*4)</x:f>
        <x:v>18.52011870989129</x:v>
      </x:c>
      <x:c r="Y374" s="32" t="n">
        <x:f>Y373+R374-S374-W374-Y373*V374/AB373</x:f>
        <x:v>3555.6921318465256</x:v>
      </x:c>
      <x:c r="Z374" s="32" t="n">
        <x:f>Z373+W374-X374-T374-Z373*V374/AB373</x:f>
        <x:v>2334.638213940067</x:v>
      </x:c>
      <x:c r="AA374" s="32" t="n">
        <x:f>AA373+X374-U374-AA373*V374/AB373</x:f>
        <x:v>667.1053792140394</x:v>
      </x:c>
      <x:c r="AB374" s="10" t="n">
        <x:f>Y374+Z374+AA374</x:f>
        <x:v>6557.435725000632</x:v>
      </x:c>
      <x:c r="AC374" s="8" t="n">
        <x:f>IF(AND(tun_WinterTrigger=1,D374=1,AB373/AE373&gt;=K374),1,0)</x:f>
        <x:v>0</x:v>
      </x:c>
      <x:c r="AD374" s="8" t="n">
        <x:f>H374*IF(AND(OR(AB373/AE373&gt;=tun_FissionTrigger*N374,AC374=1),AB373/AE373*tun_DaughterShare&gt;=tun_MinDaughter),MAX(1,ROUND(AE373*tun_FissionRate,0)),0)</x:f>
        <x:v>0</x:v>
      </x:c>
      <x:c r="AE374" s="8" t="n">
        <x:f>IF(H374=1,MAX(1,MIN(INDEX(tun_Smax,G374),AE373+AD374)),AE373)</x:f>
        <x:v>12</x:v>
      </x:c>
      <x:c r="AF374" s="8" t="n">
        <x:f>MAX(0,AE374-AE373)</x:f>
        <x:v>0</x:v>
      </x:c>
      <x:c r="AG374" s="9" t="str">
        <x:f>IF(AF374&gt;0,B374,"")</x:f>
      </x:c>
      <x:c r="AH374" s="9" t="n">
        <x:f>IF(F374&gt;=1,1,(1+tun_LowTiesShare*(AE374-1))/AE374)</x:f>
        <x:v>1</x:v>
      </x:c>
      <x:c r="AI374" s="32" t="n">
        <x:f>(Z374+tun_ElderCommons*INDEX(LM_Elder,G374)*AA374)*AH374</x:f>
        <x:v>4836.283385992715</x:v>
      </x:c>
      <x:c r="AJ374" s="32" t="n">
        <x:f>H374*tun_CommonsCoef*AI374^tun_CommonsExp*INDEX(LM_Commons,G374)</x:f>
        <x:v>9461.20961869032</x:v>
      </x:c>
      <x:c r="AK374" s="32" t="n">
        <x:f>H374*tun_RoleScale*Arch_Roles*(AE374*(INDEX(tun_ElderRolePerSett,G374)*tun_OutElder*INDEX(LM_Elder,G374)+INDEX(tun_ShamanPerSett,G374)*tun_OutShaman)+Z374*(INDEX(tun_PriestShare,G374)*tun_OutPriest+INDEX(tun_ScribeShare,G374)*tun_OutScribe*INDEX(LM_Scribe,G374)+INDEX(tun_ScholarShare,G374)*tun_OutScholar*INDEX(LM_Scholar,G374)+INDEX(tun_ResearcherShare,G374)*tun_OutResearcher*INDEX(LM_Researcher,G374)))</x:f>
        <x:v>2679.1830302227395</x:v>
      </x:c>
      <x:c r="AL374" s="32" t="n">
        <x:f>H374*tun_RoleScale*Arch_Roles*AE374*INDEX(tun_MonasteryPerSett,G374)*tun_OutMonastery*INDEX(LM_Monastery,G374)</x:f>
        <x:v>63.36</x:v>
      </x:c>
      <x:c r="AM374" s="32" t="n">
        <x:f>(AJ374+AK374+AL374)/4*INDEX(LM_All,G374)*INDEX(tun_Boon,G374)*Arch_Insight</x:f>
        <x:v>5576.733697090662</x:v>
      </x:c>
      <x:c r="AN374" s="32" t="n">
        <x:f>H374*(tun_KHPerAdult*Z374+tun_KHOfCommons*AJ374/4*INDEX(LM_All,G374))*tun_KHUsable*Arch_KH</x:f>
        <x:v>913.3896085399949</x:v>
      </x:c>
      <x:c r="AO374" s="32" t="n">
        <x:f>MIN(AP373+AN374,AM374*tun_KHMaxRatio)</x:f>
        <x:v>913.3896085399949</x:v>
      </x:c>
      <x:c r="AP374" s="32" t="n">
        <x:f>AP373+AN374-AO374</x:f>
        <x:v>0</x:v>
      </x:c>
      <x:c r="AQ374" s="32" t="n">
        <x:f>AM374+AO374</x:f>
        <x:v>6490.123305630656</x:v>
      </x:c>
      <x:c r="AR374" s="10" t="n">
        <x:f>IF(H374=1,INDEX(tun_Req,G374),0)</x:f>
        <x:v>434961.70024459995</x:v>
      </x:c>
      <x:c r="AS374" s="32" t="n">
        <x:f>IF(H374=1,IF(E374=1,AS373-AR373,AS373)+AQ374,0)</x:f>
        <x:v>267858.47955060756</x:v>
      </x:c>
      <x:c r="AT374" s="11" t="n">
        <x:f>IF(AR374&gt;0,MIN(1,AS374/AR374),1)</x:f>
        <x:v>0.6158208398578031</x:v>
      </x:c>
      <x:c r="AU374" s="10" t="n">
        <x:f>AB374/INDEX(tun_RepScale,G374)</x:f>
        <x:v>262.2974290000253</x:v>
      </x:c>
      <x:c r="AV374" s="32" t="n">
        <x:f>AM374*60/tun_SeasonSeconds</x:f>
        <x:v>22306.934788362647</x:v>
      </x:c>
    </x:row>
    <x:row r="375">
      <x:c r="A375" s="8" t="n">
        <x:f>A374+1</x:f>
        <x:v>372</x:v>
      </x:c>
      <x:c r="B375" s="9" t="n">
        <x:f>A375*tun_SeasonSeconds/60</x:f>
        <x:v>93</x:v>
      </x:c>
      <x:c r="C375" s="9" t="n">
        <x:f>A375/4</x:f>
        <x:v>93</x:v>
      </x:c>
      <x:c r="D375" s="8" t="n">
        <x:f>IF(MOD(A375,4)=0,1,0)</x:f>
        <x:v>1</x:v>
      </x:c>
      <x:c r="E375" s="8" t="n">
        <x:f>IF(AND(F374&lt;=9,AS374&gt;=AR374),1,0)</x:f>
        <x:v>0</x:v>
      </x:c>
      <x:c r="F375" s="8" t="n">
        <x:f>MIN(10,F374+E375)</x:f>
        <x:v>6</x:v>
      </x:c>
      <x:c r="G375" s="8" t="n">
        <x:f>MIN(F375,9)+1</x:f>
        <x:v>7</x:v>
      </x:c>
      <x:c r="H375" s="8" t="n">
        <x:f>IF(F375&lt;=9,1,0)</x:f>
        <x:v>1</x:v>
      </x:c>
      <x:c r="I375" s="9" t="n">
        <x:f>MIN(10,F374+IF(AR374&gt;0,MIN(1,AS374/AR374),1))</x:f>
        <x:v>6.615820839857803</x:v>
      </x:c>
      <x:c r="J375" s="32" t="n">
        <x:f>INDEX(tun_FoodCap,G375)*Arch_FoodCap*EXP(tun_CapsByProject*SUMPRODUCT((Cap_Point&lt;=I375)*(Cap_Kind="Food")*Cap_Ln))</x:f>
        <x:v>1030.8296491509448</x:v>
      </x:c>
      <x:c r="K375" s="32" t="n">
        <x:f>J375*MIN(1,tun_LeanBase*EXP(tun_CapsByProject*SUMPRODUCT((Cap_Point&lt;=I375)*(Cap_Kind="Lean")*Cap_Ln)))</x:f>
        <x:v>1030.8296491509448</x:v>
      </x:c>
      <x:c r="L375" s="10" t="n">
        <x:f>INDEX(tun_HousingCap,G375)*EXP(tun_CapsByProject*SUMPRODUCT((Cap_Point&lt;=I375)*(Cap_Kind="Housing")*Cap_Ln))</x:f>
        <x:v>2423.1679699072442</x:v>
      </x:c>
      <x:c r="M375" s="10" t="n">
        <x:f>INDEX(tun_GroupCap,G375)*tun_CohesionFactor*EXP(tun_CapsByProject*SUMPRODUCT((Cap_Point&lt;=I375)*(Cap_Kind="Group")*Cap_Ln))</x:f>
        <x:v>1000000.000000001</x:v>
      </x:c>
      <x:c r="N375" s="32" t="n">
        <x:f>MIN(J375,L375,M375)</x:f>
        <x:v>1030.8296491509448</x:v>
      </x:c>
      <x:c r="O375" s="10" t="n">
        <x:f>AE374*N375</x:f>
        <x:v>12369.955789811338</x:v>
      </x:c>
      <x:c r="P375" s="9" t="n">
        <x:f>MIN(1,(AB374/(AE374*IF(tun_GroupInCrowding=1,N375,MIN(J375,L375))))^tun_CrowdingExp)</x:f>
        <x:v>0.02219194511197725</x:v>
      </x:c>
      <x:c r="Q375" s="9" t="n">
        <x:f>IF(D375=1,INDEX(tun_WinterMult,G375),1)</x:f>
        <x:v>1.1</x:v>
      </x:c>
      <x:c r="R375" s="9" t="n">
        <x:f>H375*Z374*tun_WomenShare*tun_BaseFertility*INDEX(tun_FertMult,G375)*Arch_Fertility*(1-P375)</x:f>
        <x:v>163.2222056350589</x:v>
      </x:c>
      <x:c r="S375" s="9" t="n">
        <x:f>H375*Y374*INDEX(tun_MortChild,G375)/4*Q375</x:f>
        <x:v>24.44538340644487</x:v>
      </x:c>
      <x:c r="T375" s="9" t="n">
        <x:f>H375*Z374*INDEX(tun_MortAdult,G375)*Arch_AdultMort/4*Q375</x:f>
        <x:v>6.099242333918426</x:v>
      </x:c>
      <x:c r="U375" s="9" t="n">
        <x:f>H375*AA374*INDEX(tun_MortElder,G375)/4*Q375</x:f>
        <x:v>8.989244984909183</x:v>
      </x:c>
      <x:c r="V375" s="9" t="n">
        <x:f>H375*MAX(0,AB374-O375)*tun_OvercapLoss</x:f>
        <x:v>0</x:v>
      </x:c>
      <x:c r="W375" s="9" t="n">
        <x:f>H375*Y374/(tun_ChildYears*4)</x:f>
        <x:v>63.49450235440224</x:v>
      </x:c>
      <x:c r="X375" s="9" t="n">
        <x:f>H375*Z374/(tun_AdultYears*4)</x:f>
        <x:v>18.827727531774734</x:v>
      </x:c>
      <x:c r="Y375" s="32" t="n">
        <x:f>Y374+R375-S375-W375-Y374*V375/AB374</x:f>
        <x:v>3630.9744517207373</x:v>
      </x:c>
      <x:c r="Z375" s="32" t="n">
        <x:f>Z374+W375-X375-T375-Z374*V375/AB374</x:f>
        <x:v>2373.2057464287764</x:v>
      </x:c>
      <x:c r="AA375" s="32" t="n">
        <x:f>AA374+X375-U375-AA374*V375/AB374</x:f>
        <x:v>676.943861760905</x:v>
      </x:c>
      <x:c r="AB375" s="10" t="n">
        <x:f>Y375+Z375+AA375</x:f>
        <x:v>6681.1240599104185</x:v>
      </x:c>
      <x:c r="AC375" s="8" t="n">
        <x:f>IF(AND(tun_WinterTrigger=1,D375=1,AB374/AE374&gt;=K375),1,0)</x:f>
        <x:v>0</x:v>
      </x:c>
      <x:c r="AD375" s="8" t="n">
        <x:f>H375*IF(AND(OR(AB374/AE374&gt;=tun_FissionTrigger*N375,AC375=1),AB374/AE374*tun_DaughterShare&gt;=tun_MinDaughter),MAX(1,ROUND(AE374*tun_FissionRate,0)),0)</x:f>
        <x:v>0</x:v>
      </x:c>
      <x:c r="AE375" s="8" t="n">
        <x:f>IF(H375=1,MAX(1,MIN(INDEX(tun_Smax,G375),AE374+AD375)),AE374)</x:f>
        <x:v>12</x:v>
      </x:c>
      <x:c r="AF375" s="8" t="n">
        <x:f>MAX(0,AE375-AE374)</x:f>
        <x:v>0</x:v>
      </x:c>
      <x:c r="AG375" s="9" t="str">
        <x:f>IF(AF375&gt;0,B375,"")</x:f>
      </x:c>
      <x:c r="AH375" s="9" t="n">
        <x:f>IF(F375&gt;=1,1,(1+tun_LowTiesShare*(AE375-1))/AE375)</x:f>
        <x:v>1</x:v>
      </x:c>
      <x:c r="AI375" s="32" t="n">
        <x:f>(Z375+tun_ElderCommons*INDEX(LM_Elder,G375)*AA375)*AH375</x:f>
        <x:v>4911.74522803217</x:v>
      </x:c>
      <x:c r="AJ375" s="32" t="n">
        <x:f>H375*tun_CommonsCoef*AI375^tun_CommonsExp*INDEX(LM_Commons,G375)</x:f>
        <x:v>9586.545592947778</x:v>
      </x:c>
      <x:c r="AK375" s="32" t="n">
        <x:f>H375*tun_RoleScale*Arch_Roles*(AE375*(INDEX(tun_ElderRolePerSett,G375)*tun_OutElder*INDEX(LM_Elder,G375)+INDEX(tun_ShamanPerSett,G375)*tun_OutShaman)+Z375*(INDEX(tun_PriestShare,G375)*tun_OutPriest+INDEX(tun_ScribeShare,G375)*tun_OutScribe*INDEX(LM_Scribe,G375)+INDEX(tun_ScholarShare,G375)*tun_OutScholar*INDEX(LM_Scholar,G375)+INDEX(tun_ResearcherShare,G375)*tun_OutResearcher*INDEX(LM_Researcher,G375)))</x:f>
        <x:v>2718.0899569973494</x:v>
      </x:c>
      <x:c r="AL375" s="32" t="n">
        <x:f>H375*tun_RoleScale*Arch_Roles*AE375*INDEX(tun_MonasteryPerSett,G375)*tun_OutMonastery*INDEX(LM_Monastery,G375)</x:f>
        <x:v>63.36</x:v>
      </x:c>
      <x:c r="AM375" s="32" t="n">
        <x:f>(AJ375+AK375+AL375)/4*INDEX(LM_All,G375)*INDEX(tun_Boon,G375)*Arch_Insight</x:f>
        <x:v>5651.787571668744</x:v>
      </x:c>
      <x:c r="AN375" s="32" t="n">
        <x:f>H375*(tun_KHPerAdult*Z375+tun_KHOfCommons*AJ375/4*INDEX(LM_All,G375))*tun_KHUsable*Arch_KH</x:f>
        <x:v>925.4896022064333</x:v>
      </x:c>
      <x:c r="AO375" s="32" t="n">
        <x:f>MIN(AP374+AN375,AM375*tun_KHMaxRatio)</x:f>
        <x:v>925.4896022064333</x:v>
      </x:c>
      <x:c r="AP375" s="32" t="n">
        <x:f>AP374+AN375-AO375</x:f>
        <x:v>0</x:v>
      </x:c>
      <x:c r="AQ375" s="32" t="n">
        <x:f>AM375+AO375</x:f>
        <x:v>6577.277173875177</x:v>
      </x:c>
      <x:c r="AR375" s="10" t="n">
        <x:f>IF(H375=1,INDEX(tun_Req,G375),0)</x:f>
        <x:v>434961.70024459995</x:v>
      </x:c>
      <x:c r="AS375" s="32" t="n">
        <x:f>IF(H375=1,IF(E375=1,AS374-AR374,AS374)+AQ375,0)</x:f>
        <x:v>274435.75672448275</x:v>
      </x:c>
      <x:c r="AT375" s="11" t="n">
        <x:f>IF(AR375&gt;0,MIN(1,AS375/AR375),1)</x:f>
        <x:v>0.630942348648523</x:v>
      </x:c>
      <x:c r="AU375" s="10" t="n">
        <x:f>AB375/INDEX(tun_RepScale,G375)</x:f>
        <x:v>267.2449623964167</x:v>
      </x:c>
      <x:c r="AV375" s="32" t="n">
        <x:f>AM375*60/tun_SeasonSeconds</x:f>
        <x:v>22607.150286674976</x:v>
      </x:c>
    </x:row>
    <x:row r="376">
      <x:c r="A376" s="8" t="n">
        <x:f>A375+1</x:f>
        <x:v>373</x:v>
      </x:c>
      <x:c r="B376" s="9" t="n">
        <x:f>A376*tun_SeasonSeconds/60</x:f>
        <x:v>93.25</x:v>
      </x:c>
      <x:c r="C376" s="9" t="n">
        <x:f>A376/4</x:f>
        <x:v>93.25</x:v>
      </x:c>
      <x:c r="D376" s="8" t="n">
        <x:f>IF(MOD(A376,4)=0,1,0)</x:f>
        <x:v>0</x:v>
      </x:c>
      <x:c r="E376" s="8" t="n">
        <x:f>IF(AND(F375&lt;=9,AS375&gt;=AR375),1,0)</x:f>
        <x:v>0</x:v>
      </x:c>
      <x:c r="F376" s="8" t="n">
        <x:f>MIN(10,F375+E376)</x:f>
        <x:v>6</x:v>
      </x:c>
      <x:c r="G376" s="8" t="n">
        <x:f>MIN(F376,9)+1</x:f>
        <x:v>7</x:v>
      </x:c>
      <x:c r="H376" s="8" t="n">
        <x:f>IF(F376&lt;=9,1,0)</x:f>
        <x:v>1</x:v>
      </x:c>
      <x:c r="I376" s="9" t="n">
        <x:f>MIN(10,F375+IF(AR375&gt;0,MIN(1,AS375/AR375),1))</x:f>
        <x:v>6.630942348648523</x:v>
      </x:c>
      <x:c r="J376" s="32" t="n">
        <x:f>INDEX(tun_FoodCap,G376)*Arch_FoodCap*EXP(tun_CapsByProject*SUMPRODUCT((Cap_Point&lt;=I376)*(Cap_Kind="Food")*Cap_Ln))</x:f>
        <x:v>1030.8296491509448</x:v>
      </x:c>
      <x:c r="K376" s="32" t="n">
        <x:f>J376*MIN(1,tun_LeanBase*EXP(tun_CapsByProject*SUMPRODUCT((Cap_Point&lt;=I376)*(Cap_Kind="Lean")*Cap_Ln)))</x:f>
        <x:v>1030.8296491509448</x:v>
      </x:c>
      <x:c r="L376" s="10" t="n">
        <x:f>INDEX(tun_HousingCap,G376)*EXP(tun_CapsByProject*SUMPRODUCT((Cap_Point&lt;=I376)*(Cap_Kind="Housing")*Cap_Ln))</x:f>
        <x:v>2423.1679699072442</x:v>
      </x:c>
      <x:c r="M376" s="10" t="n">
        <x:f>INDEX(tun_GroupCap,G376)*tun_CohesionFactor*EXP(tun_CapsByProject*SUMPRODUCT((Cap_Point&lt;=I376)*(Cap_Kind="Group")*Cap_Ln))</x:f>
        <x:v>1000000.000000001</x:v>
      </x:c>
      <x:c r="N376" s="32" t="n">
        <x:f>MIN(J376,L376,M376)</x:f>
        <x:v>1030.8296491509448</x:v>
      </x:c>
      <x:c r="O376" s="10" t="n">
        <x:f>AE375*N376</x:f>
        <x:v>12369.955789811338</x:v>
      </x:c>
      <x:c r="P376" s="9" t="n">
        <x:f>MIN(1,(AB375/(AE375*IF(tun_GroupInCrowding=1,N376,MIN(J376,L376))))^tun_CrowdingExp)</x:f>
        <x:v>0.024824947112233885</x:v>
      </x:c>
      <x:c r="Q376" s="9" t="n">
        <x:f>IF(D376=1,INDEX(tun_WinterMult,G376),1)</x:f>
        <x:v>1</x:v>
      </x:c>
      <x:c r="R376" s="9" t="n">
        <x:f>H376*Z375*tun_WomenShare*tun_BaseFertility*INDEX(tun_FertMult,G376)*Arch_Fertility*(1-P376)</x:f>
        <x:v>165.47180930903713</x:v>
      </x:c>
      <x:c r="S376" s="9" t="n">
        <x:f>H376*Y375*INDEX(tun_MortChild,G376)/4*Q376</x:f>
        <x:v>22.69359032325461</x:v>
      </x:c>
      <x:c r="T376" s="9" t="n">
        <x:f>H376*Z375*INDEX(tun_MortAdult,G376)*Arch_AdultMort/4*Q376</x:f>
        <x:v>5.636363647768344</x:v>
      </x:c>
      <x:c r="U376" s="9" t="n">
        <x:f>H376*AA375*INDEX(tun_MortElder,G376)/4*Q376</x:f>
        <x:v>8.292562306571085</x:v>
      </x:c>
      <x:c r="V376" s="9" t="n">
        <x:f>H376*MAX(0,AB375-O376)*tun_OvercapLoss</x:f>
        <x:v>0</x:v>
      </x:c>
      <x:c r="W376" s="9" t="n">
        <x:f>H376*Y375/(tun_ChildYears*4)</x:f>
        <x:v>64.83882949501317</x:v>
      </x:c>
      <x:c r="X376" s="9" t="n">
        <x:f>H376*Z375/(tun_AdultYears*4)</x:f>
        <x:v>19.138756019586907</x:v>
      </x:c>
      <x:c r="Y376" s="32" t="n">
        <x:f>Y375+R376-S376-W376-Y375*V376/AB375</x:f>
        <x:v>3708.9138412115067</x:v>
      </x:c>
      <x:c r="Z376" s="32" t="n">
        <x:f>Z375+W376-X376-T376-Z375*V376/AB375</x:f>
        <x:v>2413.2694562564348</x:v>
      </x:c>
      <x:c r="AA376" s="32" t="n">
        <x:f>AA375+X376-U376-AA375*V376/AB375</x:f>
        <x:v>687.7900554739208</x:v>
      </x:c>
      <x:c r="AB376" s="10" t="n">
        <x:f>Y376+Z376+AA376</x:f>
        <x:v>6809.973352941863</x:v>
      </x:c>
      <x:c r="AC376" s="8" t="n">
        <x:f>IF(AND(tun_WinterTrigger=1,D376=1,AB375/AE375&gt;=K376),1,0)</x:f>
        <x:v>0</x:v>
      </x:c>
      <x:c r="AD376" s="8" t="n">
        <x:f>H376*IF(AND(OR(AB375/AE375&gt;=tun_FissionTrigger*N376,AC376=1),AB375/AE375*tun_DaughterShare&gt;=tun_MinDaughter),MAX(1,ROUND(AE375*tun_FissionRate,0)),0)</x:f>
        <x:v>0</x:v>
      </x:c>
      <x:c r="AE376" s="8" t="n">
        <x:f>IF(H376=1,MAX(1,MIN(INDEX(tun_Smax,G376),AE375+AD376)),AE375)</x:f>
        <x:v>12</x:v>
      </x:c>
      <x:c r="AF376" s="8" t="n">
        <x:f>MAX(0,AE376-AE375)</x:f>
        <x:v>0</x:v>
      </x:c>
      <x:c r="AG376" s="9" t="str">
        <x:f>IF(AF376&gt;0,B376,"")</x:f>
      </x:c>
      <x:c r="AH376" s="9" t="n">
        <x:f>IF(F376&gt;=1,1,(1+tun_LowTiesShare*(AE376-1))/AE376)</x:f>
        <x:v>1</x:v>
      </x:c>
      <x:c r="AI376" s="32" t="n">
        <x:f>(Z376+tun_ElderCommons*INDEX(LM_Elder,G376)*AA376)*AH376</x:f>
        <x:v>4992.482164283638</x:v>
      </x:c>
      <x:c r="AJ376" s="32" t="n">
        <x:f>H376*tun_CommonsCoef*AI376^tun_CommonsExp*INDEX(LM_Commons,G376)</x:f>
        <x:v>9720.32372094692</x:v>
      </x:c>
      <x:c r="AK376" s="32" t="n">
        <x:f>H376*tun_RoleScale*Arch_Roles*(AE376*(INDEX(tun_ElderRolePerSett,G376)*tun_OutElder*INDEX(LM_Elder,G376)+INDEX(tun_ShamanPerSett,G376)*tun_OutShaman)+Z376*(INDEX(tun_PriestShare,G376)*tun_OutPriest+INDEX(tun_ScribeShare,G376)*tun_OutScribe*INDEX(LM_Scribe,G376)+INDEX(tun_ScholarShare,G376)*tun_OutScholar*INDEX(LM_Scholar,G376)+INDEX(tun_ResearcherShare,G376)*tun_OutResearcher*INDEX(LM_Researcher,G376)))</x:f>
        <x:v>2758.506227471491</x:v>
      </x:c>
      <x:c r="AL376" s="32" t="n">
        <x:f>H376*tun_RoleScale*Arch_Roles*AE376*INDEX(tun_MonasteryPerSett,G376)*tun_OutMonastery*INDEX(LM_Monastery,G376)</x:f>
        <x:v>63.36</x:v>
      </x:c>
      <x:c r="AM376" s="32" t="n">
        <x:f>(AJ376+AK376+AL376)/4*INDEX(LM_All,G376)*INDEX(tun_Boon,G376)*Arch_Insight</x:f>
        <x:v>5731.388969677817</x:v>
      </x:c>
      <x:c r="AN376" s="32" t="n">
        <x:f>H376*(tun_KHPerAdult*Z376+tun_KHOfCommons*AJ376/4*INDEX(LM_All,G376))*tun_KHUsable*Arch_KH</x:f>
        <x:v>938.4046053496851</x:v>
      </x:c>
      <x:c r="AO376" s="32" t="n">
        <x:f>MIN(AP375+AN376,AM376*tun_KHMaxRatio)</x:f>
        <x:v>938.4046053496851</x:v>
      </x:c>
      <x:c r="AP376" s="32" t="n">
        <x:f>AP375+AN376-AO376</x:f>
        <x:v>0</x:v>
      </x:c>
      <x:c r="AQ376" s="32" t="n">
        <x:f>AM376+AO376</x:f>
        <x:v>6669.793575027502</x:v>
      </x:c>
      <x:c r="AR376" s="10" t="n">
        <x:f>IF(H376=1,INDEX(tun_Req,G376),0)</x:f>
        <x:v>434961.70024459995</x:v>
      </x:c>
      <x:c r="AS376" s="32" t="n">
        <x:f>IF(H376=1,IF(E376=1,AS375-AR375,AS375)+AQ376,0)</x:f>
        <x:v>281105.55029951024</x:v>
      </x:c>
      <x:c r="AT376" s="11" t="n">
        <x:f>IF(AR376&gt;0,MIN(1,AS376/AR376),1)</x:f>
        <x:v>0.6462765575484716</x:v>
      </x:c>
      <x:c r="AU376" s="10" t="n">
        <x:f>AB376/INDEX(tun_RepScale,G376)</x:f>
        <x:v>272.3989341176745</x:v>
      </x:c>
      <x:c r="AV376" s="32" t="n">
        <x:f>AM376*60/tun_SeasonSeconds</x:f>
        <x:v>22925.555878711268</x:v>
      </x:c>
    </x:row>
    <x:row r="377">
      <x:c r="A377" s="8" t="n">
        <x:f>A376+1</x:f>
        <x:v>374</x:v>
      </x:c>
      <x:c r="B377" s="9" t="n">
        <x:f>A377*tun_SeasonSeconds/60</x:f>
        <x:v>93.5</x:v>
      </x:c>
      <x:c r="C377" s="9" t="n">
        <x:f>A377/4</x:f>
        <x:v>93.5</x:v>
      </x:c>
      <x:c r="D377" s="8" t="n">
        <x:f>IF(MOD(A377,4)=0,1,0)</x:f>
        <x:v>0</x:v>
      </x:c>
      <x:c r="E377" s="8" t="n">
        <x:f>IF(AND(F376&lt;=9,AS376&gt;=AR376),1,0)</x:f>
        <x:v>0</x:v>
      </x:c>
      <x:c r="F377" s="8" t="n">
        <x:f>MIN(10,F376+E377)</x:f>
        <x:v>6</x:v>
      </x:c>
      <x:c r="G377" s="8" t="n">
        <x:f>MIN(F377,9)+1</x:f>
        <x:v>7</x:v>
      </x:c>
      <x:c r="H377" s="8" t="n">
        <x:f>IF(F377&lt;=9,1,0)</x:f>
        <x:v>1</x:v>
      </x:c>
      <x:c r="I377" s="9" t="n">
        <x:f>MIN(10,F376+IF(AR376&gt;0,MIN(1,AS376/AR376),1))</x:f>
        <x:v>6.646276557548472</x:v>
      </x:c>
      <x:c r="J377" s="32" t="n">
        <x:f>INDEX(tun_FoodCap,G377)*Arch_FoodCap*EXP(tun_CapsByProject*SUMPRODUCT((Cap_Point&lt;=I377)*(Cap_Kind="Food")*Cap_Ln))</x:f>
        <x:v>1030.8296491509448</x:v>
      </x:c>
      <x:c r="K377" s="32" t="n">
        <x:f>J377*MIN(1,tun_LeanBase*EXP(tun_CapsByProject*SUMPRODUCT((Cap_Point&lt;=I377)*(Cap_Kind="Lean")*Cap_Ln)))</x:f>
        <x:v>1030.8296491509448</x:v>
      </x:c>
      <x:c r="L377" s="10" t="n">
        <x:f>INDEX(tun_HousingCap,G377)*EXP(tun_CapsByProject*SUMPRODUCT((Cap_Point&lt;=I377)*(Cap_Kind="Housing")*Cap_Ln))</x:f>
        <x:v>2423.1679699072442</x:v>
      </x:c>
      <x:c r="M377" s="10" t="n">
        <x:f>INDEX(tun_GroupCap,G377)*tun_CohesionFactor*EXP(tun_CapsByProject*SUMPRODUCT((Cap_Point&lt;=I377)*(Cap_Kind="Group")*Cap_Ln))</x:f>
        <x:v>1000000.000000001</x:v>
      </x:c>
      <x:c r="N377" s="32" t="n">
        <x:f>MIN(J377,L377,M377)</x:f>
        <x:v>1030.8296491509448</x:v>
      </x:c>
      <x:c r="O377" s="10" t="n">
        <x:f>AE376*N377</x:f>
        <x:v>12369.955789811338</x:v>
      </x:c>
      <x:c r="P377" s="9" t="n">
        <x:f>MIN(1,(AB376/(AE376*IF(tun_GroupInCrowding=1,N377,MIN(J377,L377))))^tun_CrowdingExp)</x:f>
        <x:v>0.027839638426822955</x:v>
      </x:c>
      <x:c r="Q377" s="9" t="n">
        <x:f>IF(D377=1,INDEX(tun_WinterMult,G377),1)</x:f>
        <x:v>1</x:v>
      </x:c>
      <x:c r="R377" s="9" t="n">
        <x:f>H377*Z376*tun_WomenShare*tun_BaseFertility*INDEX(tun_FertMult,G377)*Arch_Fertility*(1-P377)</x:f>
        <x:v>167.74507086249486</x:v>
      </x:c>
      <x:c r="S377" s="9" t="n">
        <x:f>H377*Y376*INDEX(tun_MortChild,G377)/4*Q377</x:f>
        <x:v>23.180711507571917</x:v>
      </x:c>
      <x:c r="T377" s="9" t="n">
        <x:f>H377*Z376*INDEX(tun_MortAdult,G377)*Arch_AdultMort/4*Q377</x:f>
        <x:v>5.731514958609033</x:v>
      </x:c>
      <x:c r="U377" s="9" t="n">
        <x:f>H377*AA376*INDEX(tun_MortElder,G377)/4*Q377</x:f>
        <x:v>8.42542817955553</x:v>
      </x:c>
      <x:c r="V377" s="9" t="n">
        <x:f>H377*MAX(0,AB376-O377)*tun_OvercapLoss</x:f>
        <x:v>0</x:v>
      </x:c>
      <x:c r="W377" s="9" t="n">
        <x:f>H377*Y376/(tun_ChildYears*4)</x:f>
        <x:v>66.23060430734833</x:v>
      </x:c>
      <x:c r="X377" s="9" t="n">
        <x:f>H377*Z376/(tun_AdultYears*4)</x:f>
        <x:v>19.461850453680924</x:v>
      </x:c>
      <x:c r="Y377" s="32" t="n">
        <x:f>Y376+R377-S377-W377-Y376*V377/AB376</x:f>
        <x:v>3787.247596259081</x:v>
      </x:c>
      <x:c r="Z377" s="32" t="n">
        <x:f>Z376+W377-X377-T377-Z376*V377/AB376</x:f>
        <x:v>2454.306695151493</x:v>
      </x:c>
      <x:c r="AA377" s="32" t="n">
        <x:f>AA376+X377-U377-AA376*V377/AB376</x:f>
        <x:v>698.8264777480462</x:v>
      </x:c>
      <x:c r="AB377" s="10" t="n">
        <x:f>Y377+Z377+AA377</x:f>
        <x:v>6940.38076915862</x:v>
      </x:c>
      <x:c r="AC377" s="8" t="n">
        <x:f>IF(AND(tun_WinterTrigger=1,D377=1,AB376/AE376&gt;=K377),1,0)</x:f>
        <x:v>0</x:v>
      </x:c>
      <x:c r="AD377" s="8" t="n">
        <x:f>H377*IF(AND(OR(AB376/AE376&gt;=tun_FissionTrigger*N377,AC377=1),AB376/AE376*tun_DaughterShare&gt;=tun_MinDaughter),MAX(1,ROUND(AE376*tun_FissionRate,0)),0)</x:f>
        <x:v>0</x:v>
      </x:c>
      <x:c r="AE377" s="8" t="n">
        <x:f>IF(H377=1,MAX(1,MIN(INDEX(tun_Smax,G377),AE376+AD377)),AE376)</x:f>
        <x:v>12</x:v>
      </x:c>
      <x:c r="AF377" s="8" t="n">
        <x:f>MAX(0,AE377-AE376)</x:f>
        <x:v>0</x:v>
      </x:c>
      <x:c r="AG377" s="9" t="str">
        <x:f>IF(AF377&gt;0,B377,"")</x:f>
      </x:c>
      <x:c r="AH377" s="9" t="n">
        <x:f>IF(F377&gt;=1,1,(1+tun_LowTiesShare*(AE377-1))/AE377)</x:f>
        <x:v>1</x:v>
      </x:c>
      <x:c r="AI377" s="32" t="n">
        <x:f>(Z377+tun_ElderCommons*INDEX(LM_Elder,G377)*AA377)*AH377</x:f>
        <x:v>5074.905986706666</x:v>
      </x:c>
      <x:c r="AJ377" s="32" t="n">
        <x:f>H377*tun_CommonsCoef*AI377^tun_CommonsExp*INDEX(LM_Commons,G377)</x:f>
        <x:v>9856.56263591573</x:v>
      </x:c>
      <x:c r="AK377" s="32" t="n">
        <x:f>H377*tun_RoleScale*Arch_Roles*(AE377*(INDEX(tun_ElderRolePerSett,G377)*tun_OutElder*INDEX(LM_Elder,G377)+INDEX(tun_ShamanPerSett,G377)*tun_OutShaman)+Z377*(INDEX(tun_PriestShare,G377)*tun_OutPriest+INDEX(tun_ScribeShare,G377)*tun_OutScribe*INDEX(LM_Scribe,G377)+INDEX(tun_ScholarShare,G377)*tun_OutScholar*INDEX(LM_Scholar,G377)+INDEX(tun_ResearcherShare,G377)*tun_OutResearcher*INDEX(LM_Researcher,G377)))</x:f>
        <x:v>2799.9045940688256</x:v>
      </x:c>
      <x:c r="AL377" s="32" t="n">
        <x:f>H377*tun_RoleScale*Arch_Roles*AE377*INDEX(tun_MonasteryPerSett,G377)*tun_OutMonastery*INDEX(LM_Monastery,G377)</x:f>
        <x:v>63.36</x:v>
      </x:c>
      <x:c r="AM377" s="32" t="n">
        <x:f>(AJ377+AK377+AL377)/4*INDEX(LM_All,G377)*INDEX(tun_Boon,G377)*Arch_Insight</x:f>
        <x:v>5812.563657699515</x:v>
      </x:c>
      <x:c r="AN377" s="32" t="n">
        <x:f>H377*(tun_KHPerAdult*Z377+tun_KHOfCommons*AJ377/4*INDEX(LM_All,G377))*tun_KHUsable*Arch_KH</x:f>
        <x:v>951.5571740197049</x:v>
      </x:c>
      <x:c r="AO377" s="32" t="n">
        <x:f>MIN(AP376+AN377,AM377*tun_KHMaxRatio)</x:f>
        <x:v>951.5571740197049</x:v>
      </x:c>
      <x:c r="AP377" s="32" t="n">
        <x:f>AP376+AN377-AO377</x:f>
        <x:v>0</x:v>
      </x:c>
      <x:c r="AQ377" s="32" t="n">
        <x:f>AM377+AO377</x:f>
        <x:v>6764.1208317192195</x:v>
      </x:c>
      <x:c r="AR377" s="10" t="n">
        <x:f>IF(H377=1,INDEX(tun_Req,G377),0)</x:f>
        <x:v>434961.70024459995</x:v>
      </x:c>
      <x:c r="AS377" s="32" t="n">
        <x:f>IF(H377=1,IF(E377=1,AS376-AR376,AS376)+AQ377,0)</x:f>
        <x:v>287869.67113122944</x:v>
      </x:c>
      <x:c r="AT377" s="11" t="n">
        <x:f>IF(AR377&gt;0,MIN(1,AS377/AR377),1)</x:f>
        <x:v>0.6618276298105016</x:v>
      </x:c>
      <x:c r="AU377" s="10" t="n">
        <x:f>AB377/INDEX(tun_RepScale,G377)</x:f>
        <x:v>277.6152307663448</x:v>
      </x:c>
      <x:c r="AV377" s="32" t="n">
        <x:f>AM377*60/tun_SeasonSeconds</x:f>
        <x:v>23250.25463079806</x:v>
      </x:c>
    </x:row>
    <x:row r="378">
      <x:c r="A378" s="8" t="n">
        <x:f>A377+1</x:f>
        <x:v>375</x:v>
      </x:c>
      <x:c r="B378" s="9" t="n">
        <x:f>A378*tun_SeasonSeconds/60</x:f>
        <x:v>93.75</x:v>
      </x:c>
      <x:c r="C378" s="9" t="n">
        <x:f>A378/4</x:f>
        <x:v>93.75</x:v>
      </x:c>
      <x:c r="D378" s="8" t="n">
        <x:f>IF(MOD(A378,4)=0,1,0)</x:f>
        <x:v>0</x:v>
      </x:c>
      <x:c r="E378" s="8" t="n">
        <x:f>IF(AND(F377&lt;=9,AS377&gt;=AR377),1,0)</x:f>
        <x:v>0</x:v>
      </x:c>
      <x:c r="F378" s="8" t="n">
        <x:f>MIN(10,F377+E378)</x:f>
        <x:v>6</x:v>
      </x:c>
      <x:c r="G378" s="8" t="n">
        <x:f>MIN(F378,9)+1</x:f>
        <x:v>7</x:v>
      </x:c>
      <x:c r="H378" s="8" t="n">
        <x:f>IF(F378&lt;=9,1,0)</x:f>
        <x:v>1</x:v>
      </x:c>
      <x:c r="I378" s="9" t="n">
        <x:f>MIN(10,F377+IF(AR377&gt;0,MIN(1,AS377/AR377),1))</x:f>
        <x:v>6.661827629810501</x:v>
      </x:c>
      <x:c r="J378" s="32" t="n">
        <x:f>INDEX(tun_FoodCap,G378)*Arch_FoodCap*EXP(tun_CapsByProject*SUMPRODUCT((Cap_Point&lt;=I378)*(Cap_Kind="Food")*Cap_Ln))</x:f>
        <x:v>1030.8296491509448</x:v>
      </x:c>
      <x:c r="K378" s="32" t="n">
        <x:f>J378*MIN(1,tun_LeanBase*EXP(tun_CapsByProject*SUMPRODUCT((Cap_Point&lt;=I378)*(Cap_Kind="Lean")*Cap_Ln)))</x:f>
        <x:v>1030.8296491509448</x:v>
      </x:c>
      <x:c r="L378" s="10" t="n">
        <x:f>INDEX(tun_HousingCap,G378)*EXP(tun_CapsByProject*SUMPRODUCT((Cap_Point&lt;=I378)*(Cap_Kind="Housing")*Cap_Ln))</x:f>
        <x:v>2423.1679699072442</x:v>
      </x:c>
      <x:c r="M378" s="10" t="n">
        <x:f>INDEX(tun_GroupCap,G378)*tun_CohesionFactor*EXP(tun_CapsByProject*SUMPRODUCT((Cap_Point&lt;=I378)*(Cap_Kind="Group")*Cap_Ln))</x:f>
        <x:v>1000000.000000001</x:v>
      </x:c>
      <x:c r="N378" s="32" t="n">
        <x:f>MIN(J378,L378,M378)</x:f>
        <x:v>1030.8296491509448</x:v>
      </x:c>
      <x:c r="O378" s="10" t="n">
        <x:f>AE377*N378</x:f>
        <x:v>12369.955789811338</x:v>
      </x:c>
      <x:c r="P378" s="9" t="n">
        <x:f>MIN(1,(AB377/(AE377*IF(tun_GroupInCrowding=1,N378,MIN(J378,L378))))^tun_CrowdingExp)</x:f>
        <x:v>0.031195424637288995</x:v>
      </x:c>
      <x:c r="Q378" s="9" t="n">
        <x:f>IF(D378=1,INDEX(tun_WinterMult,G378),1)</x:f>
        <x:v>1</x:v>
      </x:c>
      <x:c r="R378" s="9" t="n">
        <x:f>H378*Z377*tun_WomenShare*tun_BaseFertility*INDEX(tun_FertMult,G378)*Arch_Fertility*(1-P378)</x:f>
        <x:v>170.00866422583618</x:v>
      </x:c>
      <x:c r="S378" s="9" t="n">
        <x:f>H378*Y377*INDEX(tun_MortChild,G378)/4*Q378</x:f>
        <x:v>23.670297476619258</x:v>
      </x:c>
      <x:c r="T378" s="9" t="n">
        <x:f>H378*Z377*INDEX(tun_MortAdult,G378)*Arch_AdultMort/4*Q378</x:f>
        <x:v>5.828978400984796</x:v>
      </x:c>
      <x:c r="U378" s="9" t="n">
        <x:f>H378*AA377*INDEX(tun_MortElder,G378)/4*Q378</x:f>
        <x:v>8.560624352413566</x:v>
      </x:c>
      <x:c r="V378" s="9" t="n">
        <x:f>H378*MAX(0,AB377-O378)*tun_OvercapLoss</x:f>
        <x:v>0</x:v>
      </x:c>
      <x:c r="W378" s="9" t="n">
        <x:f>H378*Y377/(tun_ChildYears*4)</x:f>
        <x:v>67.6294213617693</x:v>
      </x:c>
      <x:c r="X378" s="9" t="n">
        <x:f>H378*Z377/(tun_AdultYears*4)</x:f>
        <x:v>19.792795928641073</x:v>
      </x:c>
      <x:c r="Y378" s="32" t="n">
        <x:f>Y377+R378-S378-W378-Y377*V378/AB377</x:f>
        <x:v>3865.9565416465284</x:v>
      </x:c>
      <x:c r="Z378" s="32" t="n">
        <x:f>Z377+W378-X378-T378-Z377*V378/AB377</x:f>
        <x:v>2496.314342183636</x:v>
      </x:c>
      <x:c r="AA378" s="32" t="n">
        <x:f>AA377+X378-U378-AA377*V378/AB377</x:f>
        <x:v>710.0586493242737</x:v>
      </x:c>
      <x:c r="AB378" s="10" t="n">
        <x:f>Y378+Z378+AA378</x:f>
        <x:v>7072.329533154438</x:v>
      </x:c>
      <x:c r="AC378" s="8" t="n">
        <x:f>IF(AND(tun_WinterTrigger=1,D378=1,AB377/AE377&gt;=K378),1,0)</x:f>
        <x:v>0</x:v>
      </x:c>
      <x:c r="AD378" s="8" t="n">
        <x:f>H378*IF(AND(OR(AB377/AE377&gt;=tun_FissionTrigger*N378,AC378=1),AB377/AE377*tun_DaughterShare&gt;=tun_MinDaughter),MAX(1,ROUND(AE377*tun_FissionRate,0)),0)</x:f>
        <x:v>0</x:v>
      </x:c>
      <x:c r="AE378" s="8" t="n">
        <x:f>IF(H378=1,MAX(1,MIN(INDEX(tun_Smax,G378),AE377+AD378)),AE377)</x:f>
        <x:v>12</x:v>
      </x:c>
      <x:c r="AF378" s="8" t="n">
        <x:f>MAX(0,AE378-AE377)</x:f>
        <x:v>0</x:v>
      </x:c>
      <x:c r="AG378" s="9" t="str">
        <x:f>IF(AF378&gt;0,B378,"")</x:f>
      </x:c>
      <x:c r="AH378" s="9" t="n">
        <x:f>IF(F378&gt;=1,1,(1+tun_LowTiesShare*(AE378-1))/AE378)</x:f>
        <x:v>1</x:v>
      </x:c>
      <x:c r="AI378" s="32" t="n">
        <x:f>(Z378+tun_ElderCommons*INDEX(LM_Elder,G378)*AA378)*AH378</x:f>
        <x:v>5159.034277149663</x:v>
      </x:c>
      <x:c r="AJ378" s="32" t="n">
        <x:f>H378*tun_CommonsCoef*AI378^tun_CommonsExp*INDEX(LM_Commons,G378)</x:f>
        <x:v>9995.277048134212</x:v>
      </x:c>
      <x:c r="AK378" s="32" t="n">
        <x:f>H378*tun_RoleScale*Arch_Roles*(AE378*(INDEX(tun_ElderRolePerSett,G378)*tun_OutElder*INDEX(LM_Elder,G378)+INDEX(tun_ShamanPerSett,G378)*tun_OutShaman)+Z378*(INDEX(tun_PriestShare,G378)*tun_OutPriest+INDEX(tun_ScribeShare,G378)*tun_OutScribe*INDEX(LM_Scribe,G378)+INDEX(tun_ScholarShare,G378)*tun_OutScholar*INDEX(LM_Scholar,G378)+INDEX(tun_ResearcherShare,G378)*tun_OutResearcher*INDEX(LM_Researcher,G378)))</x:f>
        <x:v>2842.281908394852</x:v>
      </x:c>
      <x:c r="AL378" s="32" t="n">
        <x:f>H378*tun_RoleScale*Arch_Roles*AE378*INDEX(tun_MonasteryPerSett,G378)*tun_OutMonastery*INDEX(LM_Monastery,G378)</x:f>
        <x:v>63.36</x:v>
      </x:c>
      <x:c r="AM378" s="32" t="n">
        <x:f>(AJ378+AK378+AL378)/4*INDEX(LM_All,G378)*INDEX(tun_Boon,G378)*Arch_Insight</x:f>
        <x:v>5895.316919154306</x:v>
      </x:c>
      <x:c r="AN378" s="32" t="n">
        <x:f>H378*(tun_KHPerAdult*Z378+tun_KHOfCommons*AJ378/4*INDEX(LM_All,G378))*tun_KHUsable*Arch_KH</x:f>
        <x:v>964.9487283538149</x:v>
      </x:c>
      <x:c r="AO378" s="32" t="n">
        <x:f>MIN(AP377+AN378,AM378*tun_KHMaxRatio)</x:f>
        <x:v>964.9487283538149</x:v>
      </x:c>
      <x:c r="AP378" s="32" t="n">
        <x:f>AP377+AN378-AO378</x:f>
        <x:v>0</x:v>
      </x:c>
      <x:c r="AQ378" s="32" t="n">
        <x:f>AM378+AO378</x:f>
        <x:v>6860.26564750812</x:v>
      </x:c>
      <x:c r="AR378" s="10" t="n">
        <x:f>IF(H378=1,INDEX(tun_Req,G378),0)</x:f>
        <x:v>434961.70024459995</x:v>
      </x:c>
      <x:c r="AS378" s="32" t="n">
        <x:f>IF(H378=1,IF(E378=1,AS377-AR377,AS377)+AQ378,0)</x:f>
        <x:v>294729.9367787376</x:v>
      </x:c>
      <x:c r="AT378" s="11" t="n">
        <x:f>IF(AR378&gt;0,MIN(1,AS378/AR378),1)</x:f>
        <x:v>0.6775997440993005</x:v>
      </x:c>
      <x:c r="AU378" s="10" t="n">
        <x:f>AB378/INDEX(tun_RepScale,G378)</x:f>
        <x:v>282.8931813261775</x:v>
      </x:c>
      <x:c r="AV378" s="32" t="n">
        <x:f>AM378*60/tun_SeasonSeconds</x:f>
        <x:v>23581.26767661722</x:v>
      </x:c>
    </x:row>
    <x:row r="379">
      <x:c r="A379" s="8" t="n">
        <x:f>A378+1</x:f>
        <x:v>376</x:v>
      </x:c>
      <x:c r="B379" s="9" t="n">
        <x:f>A379*tun_SeasonSeconds/60</x:f>
        <x:v>94</x:v>
      </x:c>
      <x:c r="C379" s="9" t="n">
        <x:f>A379/4</x:f>
        <x:v>94</x:v>
      </x:c>
      <x:c r="D379" s="8" t="n">
        <x:f>IF(MOD(A379,4)=0,1,0)</x:f>
        <x:v>1</x:v>
      </x:c>
      <x:c r="E379" s="8" t="n">
        <x:f>IF(AND(F378&lt;=9,AS378&gt;=AR378),1,0)</x:f>
        <x:v>0</x:v>
      </x:c>
      <x:c r="F379" s="8" t="n">
        <x:f>MIN(10,F378+E379)</x:f>
        <x:v>6</x:v>
      </x:c>
      <x:c r="G379" s="8" t="n">
        <x:f>MIN(F379,9)+1</x:f>
        <x:v>7</x:v>
      </x:c>
      <x:c r="H379" s="8" t="n">
        <x:f>IF(F379&lt;=9,1,0)</x:f>
        <x:v>1</x:v>
      </x:c>
      <x:c r="I379" s="9" t="n">
        <x:f>MIN(10,F378+IF(AR378&gt;0,MIN(1,AS378/AR378),1))</x:f>
        <x:v>6.6775997440993</x:v>
      </x:c>
      <x:c r="J379" s="32" t="n">
        <x:f>INDEX(tun_FoodCap,G379)*Arch_FoodCap*EXP(tun_CapsByProject*SUMPRODUCT((Cap_Point&lt;=I379)*(Cap_Kind="Food")*Cap_Ln))</x:f>
        <x:v>1030.8296491509448</x:v>
      </x:c>
      <x:c r="K379" s="32" t="n">
        <x:f>J379*MIN(1,tun_LeanBase*EXP(tun_CapsByProject*SUMPRODUCT((Cap_Point&lt;=I379)*(Cap_Kind="Lean")*Cap_Ln)))</x:f>
        <x:v>1030.8296491509448</x:v>
      </x:c>
      <x:c r="L379" s="10" t="n">
        <x:f>INDEX(tun_HousingCap,G379)*EXP(tun_CapsByProject*SUMPRODUCT((Cap_Point&lt;=I379)*(Cap_Kind="Housing")*Cap_Ln))</x:f>
        <x:v>2423.1679699072442</x:v>
      </x:c>
      <x:c r="M379" s="10" t="n">
        <x:f>INDEX(tun_GroupCap,G379)*tun_CohesionFactor*EXP(tun_CapsByProject*SUMPRODUCT((Cap_Point&lt;=I379)*(Cap_Kind="Group")*Cap_Ln))</x:f>
        <x:v>1000000.000000001</x:v>
      </x:c>
      <x:c r="N379" s="32" t="n">
        <x:f>MIN(J379,L379,M379)</x:f>
        <x:v>1030.8296491509448</x:v>
      </x:c>
      <x:c r="O379" s="10" t="n">
        <x:f>AE378*N379</x:f>
        <x:v>12369.955789811338</x:v>
      </x:c>
      <x:c r="P379" s="9" t="n">
        <x:f>MIN(1,(AB378/(AE378*IF(tun_GroupInCrowding=1,N379,MIN(J379,L379))))^tun_CrowdingExp)</x:f>
        <x:v>0.034927382879675714</x:v>
      </x:c>
      <x:c r="Q379" s="9" t="n">
        <x:f>IF(D379=1,INDEX(tun_WinterMult,G379),1)</x:f>
        <x:v>1.1</x:v>
      </x:c>
      <x:c r="R379" s="9" t="n">
        <x:f>H379*Z378*tun_WomenShare*tun_BaseFertility*INDEX(tun_FertMult,G379)*Arch_Fertility*(1-P379)</x:f>
        <x:v>172.25240999868066</x:v>
      </x:c>
      <x:c r="S379" s="9" t="n">
        <x:f>H379*Y378*INDEX(tun_MortChild,G379)/4*Q379</x:f>
        <x:v>26.578451223819886</x:v>
      </x:c>
      <x:c r="T379" s="9" t="n">
        <x:f>H379*Z378*INDEX(tun_MortAdult,G379)*Arch_AdultMort/4*Q379</x:f>
        <x:v>6.52162121895475</x:v>
      </x:c>
      <x:c r="U379" s="9" t="n">
        <x:f>H379*AA378*INDEX(tun_MortElder,G379)/4*Q379</x:f>
        <x:v>9.568040299644588</x:v>
      </x:c>
      <x:c r="V379" s="9" t="n">
        <x:f>H379*MAX(0,AB378-O379)*tun_OvercapLoss</x:f>
        <x:v>0</x:v>
      </x:c>
      <x:c r="W379" s="9" t="n">
        <x:f>H379*Y378/(tun_ChildYears*4)</x:f>
        <x:v>69.034938243688</x:v>
      </x:c>
      <x:c r="X379" s="9" t="n">
        <x:f>H379*Z378/(tun_AdultYears*4)</x:f>
        <x:v>20.131567275674485</x:v>
      </x:c>
      <x:c r="Y379" s="32" t="n">
        <x:f>Y378+R379-S379-W379-Y378*V379/AB378</x:f>
        <x:v>3942.5955621777016</x:v>
      </x:c>
      <x:c r="Z379" s="32" t="n">
        <x:f>Z378+W379-X379-T379-Z378*V379/AB378</x:f>
        <x:v>2538.696091932695</x:v>
      </x:c>
      <x:c r="AA379" s="32" t="n">
        <x:f>AA378+X379-U379-AA378*V379/AB378</x:f>
        <x:v>720.6221763003035</x:v>
      </x:c>
      <x:c r="AB379" s="10" t="n">
        <x:f>Y379+Z379+AA379</x:f>
        <x:v>7201.9138304107</x:v>
      </x:c>
      <x:c r="AC379" s="8" t="n">
        <x:f>IF(AND(tun_WinterTrigger=1,D379=1,AB378/AE378&gt;=K379),1,0)</x:f>
        <x:v>0</x:v>
      </x:c>
      <x:c r="AD379" s="8" t="n">
        <x:f>H379*IF(AND(OR(AB378/AE378&gt;=tun_FissionTrigger*N379,AC379=1),AB378/AE378*tun_DaughterShare&gt;=tun_MinDaughter),MAX(1,ROUND(AE378*tun_FissionRate,0)),0)</x:f>
        <x:v>0</x:v>
      </x:c>
      <x:c r="AE379" s="8" t="n">
        <x:f>IF(H379=1,MAX(1,MIN(INDEX(tun_Smax,G379),AE378+AD379)),AE378)</x:f>
        <x:v>12</x:v>
      </x:c>
      <x:c r="AF379" s="8" t="n">
        <x:f>MAX(0,AE379-AE378)</x:f>
        <x:v>0</x:v>
      </x:c>
      <x:c r="AG379" s="9" t="str">
        <x:f>IF(AF379&gt;0,B379,"")</x:f>
      </x:c>
      <x:c r="AH379" s="9" t="n">
        <x:f>IF(F379&gt;=1,1,(1+tun_LowTiesShare*(AE379-1))/AE379)</x:f>
        <x:v>1</x:v>
      </x:c>
      <x:c r="AI379" s="32" t="n">
        <x:f>(Z379+tun_ElderCommons*INDEX(LM_Elder,G379)*AA379)*AH379</x:f>
        <x:v>5241.029253058833</x:v>
      </x:c>
      <x:c r="AJ379" s="32" t="n">
        <x:f>H379*tun_CommonsCoef*AI379^tun_CommonsExp*INDEX(LM_Commons,G379)</x:f>
        <x:v>10130.147784895611</x:v>
      </x:c>
      <x:c r="AK379" s="32" t="n">
        <x:f>H379*tun_RoleScale*Arch_Roles*(AE379*(INDEX(tun_ElderRolePerSett,G379)*tun_OutElder*INDEX(LM_Elder,G379)+INDEX(tun_ShamanPerSett,G379)*tun_OutShaman)+Z379*(INDEX(tun_PriestShare,G379)*tun_OutPriest+INDEX(tun_ScribeShare,G379)*tun_OutScribe*INDEX(LM_Scribe,G379)+INDEX(tun_ScholarShare,G379)*tun_OutScholar*INDEX(LM_Scholar,G379)+INDEX(tun_ResearcherShare,G379)*tun_OutResearcher*INDEX(LM_Researcher,G379)))</x:f>
        <x:v>2885.0366175417025</x:v>
      </x:c>
      <x:c r="AL379" s="32" t="n">
        <x:f>H379*tun_RoleScale*Arch_Roles*AE379*INDEX(tun_MonasteryPerSett,G379)*tun_OutMonastery*INDEX(LM_Monastery,G379)</x:f>
        <x:v>63.36</x:v>
      </x:c>
      <x:c r="AM379" s="32" t="n">
        <x:f>(AJ379+AK379+AL379)/4*INDEX(LM_All,G379)*INDEX(tun_Boon,G379)*Arch_Insight</x:f>
        <x:v>5976.48619865011</x:v>
      </x:c>
      <x:c r="AN379" s="32" t="n">
        <x:f>H379*(tun_KHPerAdult*Z379+tun_KHOfCommons*AJ379/4*INDEX(LM_All,G379))*tun_KHUsable*Arch_KH</x:f>
        <x:v>977.9692124587898</x:v>
      </x:c>
      <x:c r="AO379" s="32" t="n">
        <x:f>MIN(AP378+AN379,AM379*tun_KHMaxRatio)</x:f>
        <x:v>977.9692124587898</x:v>
      </x:c>
      <x:c r="AP379" s="32" t="n">
        <x:f>AP378+AN379-AO379</x:f>
        <x:v>0</x:v>
      </x:c>
      <x:c r="AQ379" s="32" t="n">
        <x:f>AM379+AO379</x:f>
        <x:v>6954.4554111089</x:v>
      </x:c>
      <x:c r="AR379" s="10" t="n">
        <x:f>IF(H379=1,INDEX(tun_Req,G379),0)</x:f>
        <x:v>434961.70024459995</x:v>
      </x:c>
      <x:c r="AS379" s="32" t="n">
        <x:f>IF(H379=1,IF(E379=1,AS378-AR378,AS378)+AQ379,0)</x:f>
        <x:v>301684.3921898465</x:v>
      </x:c>
      <x:c r="AT379" s="11" t="n">
        <x:f>IF(AR379&gt;0,MIN(1,AS379/AR379),1)</x:f>
        <x:v>0.6935884056462783</x:v>
      </x:c>
      <x:c r="AU379" s="10" t="n">
        <x:f>AB379/INDEX(tun_RepScale,G379)</x:f>
        <x:v>288.076553216428</x:v>
      </x:c>
      <x:c r="AV379" s="32" t="n">
        <x:f>AM379*60/tun_SeasonSeconds</x:f>
        <x:v>23905.94479460044</x:v>
      </x:c>
    </x:row>
    <x:row r="380">
      <x:c r="A380" s="8" t="n">
        <x:f>A379+1</x:f>
        <x:v>377</x:v>
      </x:c>
      <x:c r="B380" s="9" t="n">
        <x:f>A380*tun_SeasonSeconds/60</x:f>
        <x:v>94.25</x:v>
      </x:c>
      <x:c r="C380" s="9" t="n">
        <x:f>A380/4</x:f>
        <x:v>94.25</x:v>
      </x:c>
      <x:c r="D380" s="8" t="n">
        <x:f>IF(MOD(A380,4)=0,1,0)</x:f>
        <x:v>0</x:v>
      </x:c>
      <x:c r="E380" s="8" t="n">
        <x:f>IF(AND(F379&lt;=9,AS379&gt;=AR379),1,0)</x:f>
        <x:v>0</x:v>
      </x:c>
      <x:c r="F380" s="8" t="n">
        <x:f>MIN(10,F379+E380)</x:f>
        <x:v>6</x:v>
      </x:c>
      <x:c r="G380" s="8" t="n">
        <x:f>MIN(F380,9)+1</x:f>
        <x:v>7</x:v>
      </x:c>
      <x:c r="H380" s="8" t="n">
        <x:f>IF(F380&lt;=9,1,0)</x:f>
        <x:v>1</x:v>
      </x:c>
      <x:c r="I380" s="9" t="n">
        <x:f>MIN(10,F379+IF(AR379&gt;0,MIN(1,AS379/AR379),1))</x:f>
        <x:v>6.693588405646278</x:v>
      </x:c>
      <x:c r="J380" s="32" t="n">
        <x:f>INDEX(tun_FoodCap,G380)*Arch_FoodCap*EXP(tun_CapsByProject*SUMPRODUCT((Cap_Point&lt;=I380)*(Cap_Kind="Food")*Cap_Ln))</x:f>
        <x:v>1030.8296491509448</x:v>
      </x:c>
      <x:c r="K380" s="32" t="n">
        <x:f>J380*MIN(1,tun_LeanBase*EXP(tun_CapsByProject*SUMPRODUCT((Cap_Point&lt;=I380)*(Cap_Kind="Lean")*Cap_Ln)))</x:f>
        <x:v>1030.8296491509448</x:v>
      </x:c>
      <x:c r="L380" s="10" t="n">
        <x:f>INDEX(tun_HousingCap,G380)*EXP(tun_CapsByProject*SUMPRODUCT((Cap_Point&lt;=I380)*(Cap_Kind="Housing")*Cap_Ln))</x:f>
        <x:v>2423.1679699072442</x:v>
      </x:c>
      <x:c r="M380" s="10" t="n">
        <x:f>INDEX(tun_GroupCap,G380)*tun_CohesionFactor*EXP(tun_CapsByProject*SUMPRODUCT((Cap_Point&lt;=I380)*(Cap_Kind="Group")*Cap_Ln))</x:f>
        <x:v>1000000.000000001</x:v>
      </x:c>
      <x:c r="N380" s="32" t="n">
        <x:f>MIN(J380,L380,M380)</x:f>
        <x:v>1030.8296491509448</x:v>
      </x:c>
      <x:c r="O380" s="10" t="n">
        <x:f>AE379*N380</x:f>
        <x:v>12369.955789811338</x:v>
      </x:c>
      <x:c r="P380" s="9" t="n">
        <x:f>MIN(1,(AB379/(AE379*IF(tun_GroupInCrowding=1,N380,MIN(J380,L380))))^tun_CrowdingExp)</x:f>
        <x:v>0.038947415171561174</x:v>
      </x:c>
      <x:c r="Q380" s="9" t="n">
        <x:f>IF(D380=1,INDEX(tun_WinterMult,G380),1)</x:f>
        <x:v>1</x:v>
      </x:c>
      <x:c r="R380" s="9" t="n">
        <x:f>H380*Z379*tun_WomenShare*tun_BaseFertility*INDEX(tun_FertMult,G380)*Arch_Fertility*(1-P380)</x:f>
        <x:v>174.44716154907275</x:v>
      </x:c>
      <x:c r="S380" s="9" t="n">
        <x:f>H380*Y379*INDEX(tun_MortChild,G380)/4*Q380</x:f>
        <x:v>24.641222263610636</x:v>
      </x:c>
      <x:c r="T380" s="9" t="n">
        <x:f>H380*Z379*INDEX(tun_MortAdult,G380)*Arch_AdultMort/4*Q380</x:f>
        <x:v>6.02940321834015</x:v>
      </x:c>
      <x:c r="U380" s="9" t="n">
        <x:f>H380*AA379*INDEX(tun_MortElder,G380)/4*Q380</x:f>
        <x:v>8.82762165967872</x:v>
      </x:c>
      <x:c r="V380" s="9" t="n">
        <x:f>H380*MAX(0,AB379-O380)*tun_OvercapLoss</x:f>
        <x:v>0</x:v>
      </x:c>
      <x:c r="W380" s="9" t="n">
        <x:f>H380*Y379/(tun_ChildYears*4)</x:f>
        <x:v>70.40349218174467</x:v>
      </x:c>
      <x:c r="X380" s="9" t="n">
        <x:f>H380*Z379/(tun_AdultYears*4)</x:f>
        <x:v>20.47335558010238</x:v>
      </x:c>
      <x:c r="Y380" s="32" t="n">
        <x:f>Y379+R380-S380-W380-Y379*V380/AB379</x:f>
        <x:v>4021.998009281419</x:v>
      </x:c>
      <x:c r="Z380" s="32" t="n">
        <x:f>Z379+W380-X380-T380-Z379*V380/AB379</x:f>
        <x:v>2582.596825315997</x:v>
      </x:c>
      <x:c r="AA380" s="32" t="n">
        <x:f>AA379+X380-U380-AA379*V380/AB379</x:f>
        <x:v>732.2679102207272</x:v>
      </x:c>
      <x:c r="AB380" s="10" t="n">
        <x:f>Y380+Z380+AA380</x:f>
        <x:v>7336.862744818143</x:v>
      </x:c>
      <x:c r="AC380" s="8" t="n">
        <x:f>IF(AND(tun_WinterTrigger=1,D380=1,AB379/AE379&gt;=K380),1,0)</x:f>
        <x:v>0</x:v>
      </x:c>
      <x:c r="AD380" s="8" t="n">
        <x:f>H380*IF(AND(OR(AB379/AE379&gt;=tun_FissionTrigger*N380,AC380=1),AB379/AE379*tun_DaughterShare&gt;=tun_MinDaughter),MAX(1,ROUND(AE379*tun_FissionRate,0)),0)</x:f>
        <x:v>0</x:v>
      </x:c>
      <x:c r="AE380" s="8" t="n">
        <x:f>IF(H380=1,MAX(1,MIN(INDEX(tun_Smax,G380),AE379+AD380)),AE379)</x:f>
        <x:v>12</x:v>
      </x:c>
      <x:c r="AF380" s="8" t="n">
        <x:f>MAX(0,AE380-AE379)</x:f>
        <x:v>0</x:v>
      </x:c>
      <x:c r="AG380" s="9" t="str">
        <x:f>IF(AF380&gt;0,B380,"")</x:f>
      </x:c>
      <x:c r="AH380" s="9" t="n">
        <x:f>IF(F380&gt;=1,1,(1+tun_LowTiesShare*(AE380-1))/AE380)</x:f>
        <x:v>1</x:v>
      </x:c>
      <x:c r="AI380" s="32" t="n">
        <x:f>(Z380+tun_ElderCommons*INDEX(LM_Elder,G380)*AA380)*AH380</x:f>
        <x:v>5328.601488643724</x:v>
      </x:c>
      <x:c r="AJ380" s="32" t="n">
        <x:f>H380*tun_CommonsCoef*AI380^tun_CommonsExp*INDEX(LM_Commons,G380)</x:f>
        <x:v>10273.843372157782</x:v>
      </x:c>
      <x:c r="AK380" s="32" t="n">
        <x:f>H380*tun_RoleScale*Arch_Roles*(AE380*(INDEX(tun_ElderRolePerSett,G380)*tun_OutElder*INDEX(LM_Elder,G380)+INDEX(tun_ShamanPerSett,G380)*tun_OutShaman)+Z380*(INDEX(tun_PriestShare,G380)*tun_OutPriest+INDEX(tun_ScribeShare,G380)*tun_OutScribe*INDEX(LM_Scribe,G380)+INDEX(tun_ScholarShare,G380)*tun_OutScholar*INDEX(LM_Scholar,G380)+INDEX(tun_ResearcherShare,G380)*tun_OutResearcher*INDEX(LM_Researcher,G380)))</x:f>
        <x:v>2929.3236773787776</x:v>
      </x:c>
      <x:c r="AL380" s="32" t="n">
        <x:f>H380*tun_RoleScale*Arch_Roles*AE380*INDEX(tun_MonasteryPerSett,G380)*tun_OutMonastery*INDEX(LM_Monastery,G380)</x:f>
        <x:v>63.36</x:v>
      </x:c>
      <x:c r="AM380" s="32" t="n">
        <x:f>(AJ380+AK380+AL380)/4*INDEX(LM_All,G380)*INDEX(tun_Boon,G380)*Arch_Insight</x:f>
        <x:v>6062.3883955157635</x:v>
      </x:c>
      <x:c r="AN380" s="32" t="n">
        <x:f>H380*(tun_KHPerAdult*Z380+tun_KHOfCommons*AJ380/4*INDEX(LM_All,G380))*tun_KHUsable*Arch_KH</x:f>
        <x:v>991.8416517649689</x:v>
      </x:c>
      <x:c r="AO380" s="32" t="n">
        <x:f>MIN(AP379+AN380,AM380*tun_KHMaxRatio)</x:f>
        <x:v>991.8416517649689</x:v>
      </x:c>
      <x:c r="AP380" s="32" t="n">
        <x:f>AP379+AN380-AO380</x:f>
        <x:v>0</x:v>
      </x:c>
      <x:c r="AQ380" s="32" t="n">
        <x:f>AM380+AO380</x:f>
        <x:v>7054.230047280733</x:v>
      </x:c>
      <x:c r="AR380" s="10" t="n">
        <x:f>IF(H380=1,INDEX(tun_Req,G380),0)</x:f>
        <x:v>434961.70024459995</x:v>
      </x:c>
      <x:c r="AS380" s="32" t="n">
        <x:f>IF(H380=1,IF(E380=1,AS379-AR379,AS379)+AQ380,0)</x:f>
        <x:v>308738.6222371272</x:v>
      </x:c>
      <x:c r="AT380" s="11" t="n">
        <x:f>IF(AR380&gt;0,MIN(1,AS380/AR380),1)</x:f>
        <x:v>0.7098064543694504</x:v>
      </x:c>
      <x:c r="AU380" s="10" t="n">
        <x:f>AB380/INDEX(tun_RepScale,G380)</x:f>
        <x:v>293.4745097927257</x:v>
      </x:c>
      <x:c r="AV380" s="32" t="n">
        <x:f>AM380*60/tun_SeasonSeconds</x:f>
        <x:v>24249.553582063054</x:v>
      </x:c>
    </x:row>
    <x:row r="381">
      <x:c r="A381" s="8" t="n">
        <x:f>A380+1</x:f>
        <x:v>378</x:v>
      </x:c>
      <x:c r="B381" s="9" t="n">
        <x:f>A381*tun_SeasonSeconds/60</x:f>
        <x:v>94.5</x:v>
      </x:c>
      <x:c r="C381" s="9" t="n">
        <x:f>A381/4</x:f>
        <x:v>94.5</x:v>
      </x:c>
      <x:c r="D381" s="8" t="n">
        <x:f>IF(MOD(A381,4)=0,1,0)</x:f>
        <x:v>0</x:v>
      </x:c>
      <x:c r="E381" s="8" t="n">
        <x:f>IF(AND(F380&lt;=9,AS380&gt;=AR380),1,0)</x:f>
        <x:v>0</x:v>
      </x:c>
      <x:c r="F381" s="8" t="n">
        <x:f>MIN(10,F380+E381)</x:f>
        <x:v>6</x:v>
      </x:c>
      <x:c r="G381" s="8" t="n">
        <x:f>MIN(F381,9)+1</x:f>
        <x:v>7</x:v>
      </x:c>
      <x:c r="H381" s="8" t="n">
        <x:f>IF(F381&lt;=9,1,0)</x:f>
        <x:v>1</x:v>
      </x:c>
      <x:c r="I381" s="9" t="n">
        <x:f>MIN(10,F380+IF(AR380&gt;0,MIN(1,AS380/AR380),1))</x:f>
        <x:v>6.709806454369451</x:v>
      </x:c>
      <x:c r="J381" s="32" t="n">
        <x:f>INDEX(tun_FoodCap,G381)*Arch_FoodCap*EXP(tun_CapsByProject*SUMPRODUCT((Cap_Point&lt;=I381)*(Cap_Kind="Food")*Cap_Ln))</x:f>
        <x:v>1030.8296491509448</x:v>
      </x:c>
      <x:c r="K381" s="32" t="n">
        <x:f>J381*MIN(1,tun_LeanBase*EXP(tun_CapsByProject*SUMPRODUCT((Cap_Point&lt;=I381)*(Cap_Kind="Lean")*Cap_Ln)))</x:f>
        <x:v>1030.8296491509448</x:v>
      </x:c>
      <x:c r="L381" s="10" t="n">
        <x:f>INDEX(tun_HousingCap,G381)*EXP(tun_CapsByProject*SUMPRODUCT((Cap_Point&lt;=I381)*(Cap_Kind="Housing")*Cap_Ln))</x:f>
        <x:v>2423.1679699072442</x:v>
      </x:c>
      <x:c r="M381" s="10" t="n">
        <x:f>INDEX(tun_GroupCap,G381)*tun_CohesionFactor*EXP(tun_CapsByProject*SUMPRODUCT((Cap_Point&lt;=I381)*(Cap_Kind="Group")*Cap_Ln))</x:f>
        <x:v>1000000.000000001</x:v>
      </x:c>
      <x:c r="N381" s="32" t="n">
        <x:f>MIN(J381,L381,M381)</x:f>
        <x:v>1030.8296491509448</x:v>
      </x:c>
      <x:c r="O381" s="10" t="n">
        <x:f>AE380*N381</x:f>
        <x:v>12369.955789811338</x:v>
      </x:c>
      <x:c r="P381" s="9" t="n">
        <x:f>MIN(1,(AB380/(AE380*IF(tun_GroupInCrowding=1,N381,MIN(J381,L381))))^tun_CrowdingExp)</x:f>
        <x:v>0.043536497019789955</x:v>
      </x:c>
      <x:c r="Q381" s="9" t="n">
        <x:f>IF(D381=1,INDEX(tun_WinterMult,G381),1)</x:f>
        <x:v>1</x:v>
      </x:c>
      <x:c r="R381" s="9" t="n">
        <x:f>H381*Z380*tun_WomenShare*tun_BaseFertility*INDEX(tun_FertMult,G381)*Arch_Fertility*(1-P381)</x:f>
        <x:v>176.61641185240256</x:v>
      </x:c>
      <x:c r="S381" s="9" t="n">
        <x:f>H381*Y380*INDEX(tun_MortChild,G381)/4*Q381</x:f>
        <x:v>25.13748755800887</x:v>
      </x:c>
      <x:c r="T381" s="9" t="n">
        <x:f>H381*Z380*INDEX(tun_MortAdult,G381)*Arch_AdultMort/4*Q381</x:f>
        <x:v>6.133667460125493</x:v>
      </x:c>
      <x:c r="U381" s="9" t="n">
        <x:f>H381*AA380*INDEX(tun_MortElder,G381)/4*Q381</x:f>
        <x:v>8.97028190020391</x:v>
      </x:c>
      <x:c r="V381" s="9" t="n">
        <x:f>H381*MAX(0,AB380-O381)*tun_OvercapLoss</x:f>
        <x:v>0</x:v>
      </x:c>
      <x:c r="W381" s="9" t="n">
        <x:f>H381*Y380/(tun_ChildYears*4)</x:f>
        <x:v>71.82139302288248</x:v>
      </x:c>
      <x:c r="X381" s="9" t="n">
        <x:f>H381*Z380/(tun_AdultYears*4)</x:f>
        <x:v>20.827393752548364</x:v>
      </x:c>
      <x:c r="Y381" s="32" t="n">
        <x:f>Y380+R381-S381-W381-Y380*V381/AB380</x:f>
        <x:v>4101.655540552931</x:v>
      </x:c>
      <x:c r="Z381" s="32" t="n">
        <x:f>Z380+W381-X381-T381-Z380*V381/AB380</x:f>
        <x:v>2627.457157126206</x:v>
      </x:c>
      <x:c r="AA381" s="32" t="n">
        <x:f>AA380+X381-U381-AA380*V381/AB380</x:f>
        <x:v>744.1250220730717</x:v>
      </x:c>
      <x:c r="AB381" s="10" t="n">
        <x:f>Y381+Z381+AA381</x:f>
        <x:v>7473.237719752208</x:v>
      </x:c>
      <x:c r="AC381" s="8" t="n">
        <x:f>IF(AND(tun_WinterTrigger=1,D381=1,AB380/AE380&gt;=K381),1,0)</x:f>
        <x:v>0</x:v>
      </x:c>
      <x:c r="AD381" s="8" t="n">
        <x:f>H381*IF(AND(OR(AB380/AE380&gt;=tun_FissionTrigger*N381,AC381=1),AB380/AE380*tun_DaughterShare&gt;=tun_MinDaughter),MAX(1,ROUND(AE380*tun_FissionRate,0)),0)</x:f>
        <x:v>0</x:v>
      </x:c>
      <x:c r="AE381" s="8" t="n">
        <x:f>IF(H381=1,MAX(1,MIN(INDEX(tun_Smax,G381),AE380+AD381)),AE380)</x:f>
        <x:v>12</x:v>
      </x:c>
      <x:c r="AF381" s="8" t="n">
        <x:f>MAX(0,AE381-AE380)</x:f>
        <x:v>0</x:v>
      </x:c>
      <x:c r="AG381" s="9" t="str">
        <x:f>IF(AF381&gt;0,B381,"")</x:f>
      </x:c>
      <x:c r="AH381" s="9" t="n">
        <x:f>IF(F381&gt;=1,1,(1+tun_LowTiesShare*(AE381-1))/AE381)</x:f>
        <x:v>1</x:v>
      </x:c>
      <x:c r="AI381" s="32" t="n">
        <x:f>(Z381+tun_ElderCommons*INDEX(LM_Elder,G381)*AA381)*AH381</x:f>
        <x:v>5417.9259899002245</x:v>
      </x:c>
      <x:c r="AJ381" s="32" t="n">
        <x:f>H381*tun_CommonsCoef*AI381^tun_CommonsExp*INDEX(LM_Commons,G381)</x:f>
        <x:v>10420.049760692113</x:v>
      </x:c>
      <x:c r="AK381" s="32" t="n">
        <x:f>H381*tun_RoleScale*Arch_Roles*(AE381*(INDEX(tun_ElderRolePerSett,G381)*tun_OutElder*INDEX(LM_Elder,G381)+INDEX(tun_ShamanPerSett,G381)*tun_OutShaman)+Z381*(INDEX(tun_PriestShare,G381)*tun_OutPriest+INDEX(tun_ScribeShare,G381)*tun_OutScribe*INDEX(LM_Scribe,G381)+INDEX(tun_ScholarShare,G381)*tun_OutScholar*INDEX(LM_Scholar,G381)+INDEX(tun_ResearcherShare,G381)*tun_OutResearcher*INDEX(LM_Researcher,G381)))</x:f>
        <x:v>2974.5787801089164</x:v>
      </x:c>
      <x:c r="AL381" s="32" t="n">
        <x:f>H381*tun_RoleScale*Arch_Roles*AE381*INDEX(tun_MonasteryPerSett,G381)*tun_OutMonastery*INDEX(LM_Monastery,G381)</x:f>
        <x:v>63.36</x:v>
      </x:c>
      <x:c r="AM381" s="32" t="n">
        <x:f>(AJ381+AK381+AL381)/4*INDEX(LM_All,G381)*INDEX(tun_Boon,G381)*Arch_Insight</x:f>
        <x:v>6149.8803154806355</x:v>
      </x:c>
      <x:c r="AN381" s="32" t="n">
        <x:f>H381*(tun_KHPerAdult*Z381+tun_KHOfCommons*AJ381/4*INDEX(LM_All,G381))*tun_KHUsable*Arch_KH</x:f>
        <x:v>1005.9564850021068</x:v>
      </x:c>
      <x:c r="AO381" s="32" t="n">
        <x:f>MIN(AP380+AN381,AM381*tun_KHMaxRatio)</x:f>
        <x:v>1005.9564850021068</x:v>
      </x:c>
      <x:c r="AP381" s="32" t="n">
        <x:f>AP380+AN381-AO381</x:f>
        <x:v>0</x:v>
      </x:c>
      <x:c r="AQ381" s="32" t="n">
        <x:f>AM381+AO381</x:f>
        <x:v>7155.836800482743</x:v>
      </x:c>
      <x:c r="AR381" s="10" t="n">
        <x:f>IF(H381=1,INDEX(tun_Req,G381),0)</x:f>
        <x:v>434961.70024459995</x:v>
      </x:c>
      <x:c r="AS381" s="32" t="n">
        <x:f>IF(H381=1,IF(E381=1,AS380-AR380,AS380)+AQ381,0)</x:f>
        <x:v>315894.45903761</x:v>
      </x:c>
      <x:c r="AT381" s="11" t="n">
        <x:f>IF(AR381&gt;0,MIN(1,AS381/AR381),1)</x:f>
        <x:v>0.726258102402964</x:v>
      </x:c>
      <x:c r="AU381" s="10" t="n">
        <x:f>AB381/INDEX(tun_RepScale,G381)</x:f>
        <x:v>298.92950879008833</x:v>
      </x:c>
      <x:c r="AV381" s="32" t="n">
        <x:f>AM381*60/tun_SeasonSeconds</x:f>
        <x:v>24599.521261922542</x:v>
      </x:c>
    </x:row>
    <x:row r="382">
      <x:c r="A382" s="8" t="n">
        <x:f>A381+1</x:f>
        <x:v>379</x:v>
      </x:c>
      <x:c r="B382" s="9" t="n">
        <x:f>A382*tun_SeasonSeconds/60</x:f>
        <x:v>94.75</x:v>
      </x:c>
      <x:c r="C382" s="9" t="n">
        <x:f>A382/4</x:f>
        <x:v>94.75</x:v>
      </x:c>
      <x:c r="D382" s="8" t="n">
        <x:f>IF(MOD(A382,4)=0,1,0)</x:f>
        <x:v>0</x:v>
      </x:c>
      <x:c r="E382" s="8" t="n">
        <x:f>IF(AND(F381&lt;=9,AS381&gt;=AR381),1,0)</x:f>
        <x:v>0</x:v>
      </x:c>
      <x:c r="F382" s="8" t="n">
        <x:f>MIN(10,F381+E382)</x:f>
        <x:v>6</x:v>
      </x:c>
      <x:c r="G382" s="8" t="n">
        <x:f>MIN(F382,9)+1</x:f>
        <x:v>7</x:v>
      </x:c>
      <x:c r="H382" s="8" t="n">
        <x:f>IF(F382&lt;=9,1,0)</x:f>
        <x:v>1</x:v>
      </x:c>
      <x:c r="I382" s="9" t="n">
        <x:f>MIN(10,F381+IF(AR381&gt;0,MIN(1,AS381/AR381),1))</x:f>
        <x:v>6.726258102402964</x:v>
      </x:c>
      <x:c r="J382" s="32" t="n">
        <x:f>INDEX(tun_FoodCap,G382)*Arch_FoodCap*EXP(tun_CapsByProject*SUMPRODUCT((Cap_Point&lt;=I382)*(Cap_Kind="Food")*Cap_Ln))</x:f>
        <x:v>1030.8296491509448</x:v>
      </x:c>
      <x:c r="K382" s="32" t="n">
        <x:f>J382*MIN(1,tun_LeanBase*EXP(tun_CapsByProject*SUMPRODUCT((Cap_Point&lt;=I382)*(Cap_Kind="Lean")*Cap_Ln)))</x:f>
        <x:v>1030.8296491509448</x:v>
      </x:c>
      <x:c r="L382" s="10" t="n">
        <x:f>INDEX(tun_HousingCap,G382)*EXP(tun_CapsByProject*SUMPRODUCT((Cap_Point&lt;=I382)*(Cap_Kind="Housing")*Cap_Ln))</x:f>
        <x:v>2423.1679699072442</x:v>
      </x:c>
      <x:c r="M382" s="10" t="n">
        <x:f>INDEX(tun_GroupCap,G382)*tun_CohesionFactor*EXP(tun_CapsByProject*SUMPRODUCT((Cap_Point&lt;=I382)*(Cap_Kind="Group")*Cap_Ln))</x:f>
        <x:v>1000000.000000001</x:v>
      </x:c>
      <x:c r="N382" s="32" t="n">
        <x:f>MIN(J382,L382,M382)</x:f>
        <x:v>1030.8296491509448</x:v>
      </x:c>
      <x:c r="O382" s="10" t="n">
        <x:f>AE381*N382</x:f>
        <x:v>12369.955789811338</x:v>
      </x:c>
      <x:c r="P382" s="9" t="n">
        <x:f>MIN(1,(AB381/(AE381*IF(tun_GroupInCrowding=1,N382,MIN(J382,L382))))^tun_CrowdingExp)</x:f>
        <x:v>0.048623240396375535</x:v>
      </x:c>
      <x:c r="Q382" s="9" t="n">
        <x:f>IF(D382=1,INDEX(tun_WinterMult,G382),1)</x:f>
        <x:v>1</x:v>
      </x:c>
      <x:c r="R382" s="9" t="n">
        <x:f>H382*Z381*tun_WomenShare*tun_BaseFertility*INDEX(tun_FertMult,G382)*Arch_Fertility*(1-P382)</x:f>
        <x:v>178.7286698443018</x:v>
      </x:c>
      <x:c r="S382" s="9" t="n">
        <x:f>H382*Y381*INDEX(tun_MortChild,G382)/4*Q382</x:f>
        <x:v>25.63534712845582</x:v>
      </x:c>
      <x:c r="T382" s="9" t="n">
        <x:f>H382*Z381*INDEX(tun_MortAdult,G382)*Arch_AdultMort/4*Q382</x:f>
        <x:v>6.240210748174738</x:v>
      </x:c>
      <x:c r="U382" s="9" t="n">
        <x:f>H382*AA381*INDEX(tun_MortElder,G382)/4*Q382</x:f>
        <x:v>9.115531520395129</x:v>
      </x:c>
      <x:c r="V382" s="9" t="n">
        <x:f>H382*MAX(0,AB381-O382)*tun_OvercapLoss</x:f>
        <x:v>0</x:v>
      </x:c>
      <x:c r="W382" s="9" t="n">
        <x:f>H382*Y381/(tun_ChildYears*4)</x:f>
        <x:v>73.2438489384452</x:v>
      </x:c>
      <x:c r="X382" s="9" t="n">
        <x:f>H382*Z381/(tun_AdultYears*4)</x:f>
        <x:v>21.189170621985532</x:v>
      </x:c>
      <x:c r="Y382" s="32" t="n">
        <x:f>Y381+R382-S382-W382-Y381*V382/AB381</x:f>
        <x:v>4181.505014330332</x:v>
      </x:c>
      <x:c r="Z382" s="32" t="n">
        <x:f>Z381+W382-X382-T382-Z381*V382/AB381</x:f>
        <x:v>2673.271624694491</x:v>
      </x:c>
      <x:c r="AA382" s="32" t="n">
        <x:f>AA381+X382-U382-AA381*V382/AB381</x:f>
        <x:v>756.1986611746621</x:v>
      </x:c>
      <x:c r="AB382" s="10" t="n">
        <x:f>Y382+Z382+AA382</x:f>
        <x:v>7610.975300199486</x:v>
      </x:c>
      <x:c r="AC382" s="8" t="n">
        <x:f>IF(AND(tun_WinterTrigger=1,D382=1,AB381/AE381&gt;=K382),1,0)</x:f>
        <x:v>0</x:v>
      </x:c>
      <x:c r="AD382" s="8" t="n">
        <x:f>H382*IF(AND(OR(AB381/AE381&gt;=tun_FissionTrigger*N382,AC382=1),AB381/AE381*tun_DaughterShare&gt;=tun_MinDaughter),MAX(1,ROUND(AE381*tun_FissionRate,0)),0)</x:f>
        <x:v>0</x:v>
      </x:c>
      <x:c r="AE382" s="8" t="n">
        <x:f>IF(H382=1,MAX(1,MIN(INDEX(tun_Smax,G382),AE381+AD382)),AE381)</x:f>
        <x:v>12</x:v>
      </x:c>
      <x:c r="AF382" s="8" t="n">
        <x:f>MAX(0,AE382-AE381)</x:f>
        <x:v>0</x:v>
      </x:c>
      <x:c r="AG382" s="9" t="str">
        <x:f>IF(AF382&gt;0,B382,"")</x:f>
      </x:c>
      <x:c r="AH382" s="9" t="n">
        <x:f>IF(F382&gt;=1,1,(1+tun_LowTiesShare*(AE382-1))/AE382)</x:f>
        <x:v>1</x:v>
      </x:c>
      <x:c r="AI382" s="32" t="n">
        <x:f>(Z382+tun_ElderCommons*INDEX(LM_Elder,G382)*AA382)*AH382</x:f>
        <x:v>5509.016604099474</x:v>
      </x:c>
      <x:c r="AJ382" s="32" t="n">
        <x:f>H382*tun_CommonsCoef*AI382^tun_CommonsExp*INDEX(LM_Commons,G382)</x:f>
        <x:v>10568.77504539583</x:v>
      </x:c>
      <x:c r="AK382" s="32" t="n">
        <x:f>H382*tun_RoleScale*Arch_Roles*(AE382*(INDEX(tun_ElderRolePerSett,G382)*tun_OutElder*INDEX(LM_Elder,G382)+INDEX(tun_ShamanPerSett,G382)*tun_OutShaman)+Z382*(INDEX(tun_PriestShare,G382)*tun_OutPriest+INDEX(tun_ScribeShare,G382)*tun_OutScribe*INDEX(LM_Scribe,G382)+INDEX(tun_ScholarShare,G382)*tun_OutScholar*INDEX(LM_Scholar,G382)+INDEX(tun_ResearcherShare,G382)*tun_OutResearcher*INDEX(LM_Researcher,G382)))</x:f>
        <x:v>3020.7964149918025</x:v>
      </x:c>
      <x:c r="AL382" s="32" t="n">
        <x:f>H382*tun_RoleScale*Arch_Roles*AE382*INDEX(tun_MonasteryPerSett,G382)*tun_OutMonastery*INDEX(LM_Monastery,G382)</x:f>
        <x:v>63.36</x:v>
      </x:c>
      <x:c r="AM382" s="32" t="n">
        <x:f>(AJ382+AK382+AL382)/4*INDEX(LM_All,G382)*INDEX(tun_Boon,G382)*Arch_Insight</x:f>
        <x:v>6238.963139423702</x:v>
      </x:c>
      <x:c r="AN382" s="32" t="n">
        <x:f>H382*(tun_KHPerAdult*Z382+tun_KHOfCommons*AJ382/4*INDEX(LM_All,G382))*tun_KHUsable*Arch_KH</x:f>
        <x:v>1020.3144936553737</x:v>
      </x:c>
      <x:c r="AO382" s="32" t="n">
        <x:f>MIN(AP381+AN382,AM382*tun_KHMaxRatio)</x:f>
        <x:v>1020.3144936553737</x:v>
      </x:c>
      <x:c r="AP382" s="32" t="n">
        <x:f>AP381+AN382-AO382</x:f>
        <x:v>0</x:v>
      </x:c>
      <x:c r="AQ382" s="32" t="n">
        <x:f>AM382+AO382</x:f>
        <x:v>7259.277633079076</x:v>
      </x:c>
      <x:c r="AR382" s="10" t="n">
        <x:f>IF(H382=1,INDEX(tun_Req,G382),0)</x:f>
        <x:v>434961.70024459995</x:v>
      </x:c>
      <x:c r="AS382" s="32" t="n">
        <x:f>IF(H382=1,IF(E382=1,AS381-AR381,AS381)+AQ382,0)</x:f>
        <x:v>323153.7366706891</x:v>
      </x:c>
      <x:c r="AT382" s="11" t="n">
        <x:f>IF(AR382&gt;0,MIN(1,AS382/AR382),1)</x:f>
        <x:v>0.7429475663925448</x:v>
      </x:c>
      <x:c r="AU382" s="10" t="n">
        <x:f>AB382/INDEX(tun_RepScale,G382)</x:f>
        <x:v>304.43901200797944</x:v>
      </x:c>
      <x:c r="AV382" s="32" t="n">
        <x:f>AM382*60/tun_SeasonSeconds</x:f>
        <x:v>24955.85255769481</x:v>
      </x:c>
    </x:row>
    <x:row r="383">
      <x:c r="A383" s="8" t="n">
        <x:f>A382+1</x:f>
        <x:v>380</x:v>
      </x:c>
      <x:c r="B383" s="9" t="n">
        <x:f>A383*tun_SeasonSeconds/60</x:f>
        <x:v>95</x:v>
      </x:c>
      <x:c r="C383" s="9" t="n">
        <x:f>A383/4</x:f>
        <x:v>95</x:v>
      </x:c>
      <x:c r="D383" s="8" t="n">
        <x:f>IF(MOD(A383,4)=0,1,0)</x:f>
        <x:v>1</x:v>
      </x:c>
      <x:c r="E383" s="8" t="n">
        <x:f>IF(AND(F382&lt;=9,AS382&gt;=AR382),1,0)</x:f>
        <x:v>0</x:v>
      </x:c>
      <x:c r="F383" s="8" t="n">
        <x:f>MIN(10,F382+E383)</x:f>
        <x:v>6</x:v>
      </x:c>
      <x:c r="G383" s="8" t="n">
        <x:f>MIN(F383,9)+1</x:f>
        <x:v>7</x:v>
      </x:c>
      <x:c r="H383" s="8" t="n">
        <x:f>IF(F383&lt;=9,1,0)</x:f>
        <x:v>1</x:v>
      </x:c>
      <x:c r="I383" s="9" t="n">
        <x:f>MIN(10,F382+IF(AR382&gt;0,MIN(1,AS382/AR382),1))</x:f>
        <x:v>6.7429475663925444</x:v>
      </x:c>
      <x:c r="J383" s="32" t="n">
        <x:f>INDEX(tun_FoodCap,G383)*Arch_FoodCap*EXP(tun_CapsByProject*SUMPRODUCT((Cap_Point&lt;=I383)*(Cap_Kind="Food")*Cap_Ln))</x:f>
        <x:v>1030.8296491509448</x:v>
      </x:c>
      <x:c r="K383" s="32" t="n">
        <x:f>J383*MIN(1,tun_LeanBase*EXP(tun_CapsByProject*SUMPRODUCT((Cap_Point&lt;=I383)*(Cap_Kind="Lean")*Cap_Ln)))</x:f>
        <x:v>1030.8296491509448</x:v>
      </x:c>
      <x:c r="L383" s="10" t="n">
        <x:f>INDEX(tun_HousingCap,G383)*EXP(tun_CapsByProject*SUMPRODUCT((Cap_Point&lt;=I383)*(Cap_Kind="Housing")*Cap_Ln))</x:f>
        <x:v>2423.1679699072442</x:v>
      </x:c>
      <x:c r="M383" s="10" t="n">
        <x:f>INDEX(tun_GroupCap,G383)*tun_CohesionFactor*EXP(tun_CapsByProject*SUMPRODUCT((Cap_Point&lt;=I383)*(Cap_Kind="Group")*Cap_Ln))</x:f>
        <x:v>1000000.000000001</x:v>
      </x:c>
      <x:c r="N383" s="32" t="n">
        <x:f>MIN(J383,L383,M383)</x:f>
        <x:v>1030.8296491509448</x:v>
      </x:c>
      <x:c r="O383" s="10" t="n">
        <x:f>AE382*N383</x:f>
        <x:v>12369.955789811338</x:v>
      </x:c>
      <x:c r="P383" s="9" t="n">
        <x:f>MIN(1,(AB382/(AE382*IF(tun_GroupInCrowding=1,N383,MIN(J383,L383))))^tun_CrowdingExp)</x:f>
        <x:v>0.054254153327447</x:v>
      </x:c>
      <x:c r="Q383" s="9" t="n">
        <x:f>IF(D383=1,INDEX(tun_WinterMult,G383),1)</x:f>
        <x:v>1.1</x:v>
      </x:c>
      <x:c r="R383" s="9" t="n">
        <x:f>H383*Z382*tun_WomenShare*tun_BaseFertility*INDEX(tun_FertMult,G383)*Arch_Fertility*(1-P383)</x:f>
        <x:v>180.76884082989184</x:v>
      </x:c>
      <x:c r="S383" s="9" t="n">
        <x:f>H383*Y382*INDEX(tun_MortChild,G383)/4*Q383</x:f>
        <x:v>28.74784697352104</x:v>
      </x:c>
      <x:c r="T383" s="9" t="n">
        <x:f>H383*Z382*INDEX(tun_MortAdult,G383)*Arch_AdultMort/4*Q383</x:f>
        <x:v>6.983922119514358</x:v>
      </x:c>
      <x:c r="U383" s="9" t="n">
        <x:f>H383*AA382*INDEX(tun_MortElder,G383)/4*Q383</x:f>
        <x:v>10.189776959328572</x:v>
      </x:c>
      <x:c r="V383" s="9" t="n">
        <x:f>H383*MAX(0,AB382-O383)*tun_OvercapLoss</x:f>
        <x:v>0</x:v>
      </x:c>
      <x:c r="W383" s="9" t="n">
        <x:f>H383*Y382/(tun_ChildYears*4)</x:f>
        <x:v>74.66973239875594</x:v>
      </x:c>
      <x:c r="X383" s="9" t="n">
        <x:f>H383*Z382/(tun_AdultYears*4)</x:f>
        <x:v>21.558642134632994</x:v>
      </x:c>
      <x:c r="Y383" s="32" t="n">
        <x:f>Y382+R383-S383-W383-Y382*V383/AB382</x:f>
        <x:v>4258.856275787948</x:v>
      </x:c>
      <x:c r="Z383" s="32" t="n">
        <x:f>Z382+W383-X383-T383-Z382*V383/AB382</x:f>
        <x:v>2719.3987928390998</x:v>
      </x:c>
      <x:c r="AA383" s="32" t="n">
        <x:f>AA382+X383-U383-AA382*V383/AB382</x:f>
        <x:v>767.5675263499666</x:v>
      </x:c>
      <x:c r="AB383" s="10" t="n">
        <x:f>Y383+Z383+AA383</x:f>
        <x:v>7745.822594977015</x:v>
      </x:c>
      <x:c r="AC383" s="8" t="n">
        <x:f>IF(AND(tun_WinterTrigger=1,D383=1,AB382/AE382&gt;=K383),1,0)</x:f>
        <x:v>0</x:v>
      </x:c>
      <x:c r="AD383" s="8" t="n">
        <x:f>H383*IF(AND(OR(AB382/AE382&gt;=tun_FissionTrigger*N383,AC383=1),AB382/AE382*tun_DaughterShare&gt;=tun_MinDaughter),MAX(1,ROUND(AE382*tun_FissionRate,0)),0)</x:f>
        <x:v>0</x:v>
      </x:c>
      <x:c r="AE383" s="8" t="n">
        <x:f>IF(H383=1,MAX(1,MIN(INDEX(tun_Smax,G383),AE382+AD383)),AE382)</x:f>
        <x:v>12</x:v>
      </x:c>
      <x:c r="AF383" s="8" t="n">
        <x:f>MAX(0,AE383-AE382)</x:f>
        <x:v>0</x:v>
      </x:c>
      <x:c r="AG383" s="9" t="str">
        <x:f>IF(AF383&gt;0,B383,"")</x:f>
      </x:c>
      <x:c r="AH383" s="9" t="n">
        <x:f>IF(F383&gt;=1,1,(1+tun_LowTiesShare*(AE383-1))/AE383)</x:f>
        <x:v>1</x:v>
      </x:c>
      <x:c r="AI383" s="32" t="n">
        <x:f>(Z383+tun_ElderCommons*INDEX(LM_Elder,G383)*AA383)*AH383</x:f>
        <x:v>5597.777016651475</x:v>
      </x:c>
      <x:c r="AJ383" s="32" t="n">
        <x:f>H383*tun_CommonsCoef*AI383^tun_CommonsExp*INDEX(LM_Commons,G383)</x:f>
        <x:v>10713.341294919945</x:v>
      </x:c>
      <x:c r="AK383" s="32" t="n">
        <x:f>H383*tun_RoleScale*Arch_Roles*(AE383*(INDEX(tun_ElderRolePerSett,G383)*tun_OutElder*INDEX(LM_Elder,G383)+INDEX(tun_ShamanPerSett,G383)*tun_OutShaman)+Z383*(INDEX(tun_PriestShare,G383)*tun_OutPriest+INDEX(tun_ScribeShare,G383)*tun_OutScribe*INDEX(LM_Scribe,G383)+INDEX(tun_ScholarShare,G383)*tun_OutScholar*INDEX(LM_Scholar,G383)+INDEX(tun_ResearcherShare,G383)*tun_OutResearcher*INDEX(LM_Researcher,G383)))</x:f>
        <x:v>3067.3295022160837</x:v>
      </x:c>
      <x:c r="AL383" s="32" t="n">
        <x:f>H383*tun_RoleScale*Arch_Roles*AE383*INDEX(tun_MonasteryPerSett,G383)*tun_OutMonastery*INDEX(LM_Monastery,G383)</x:f>
        <x:v>63.36</x:v>
      </x:c>
      <x:c r="AM383" s="32" t="n">
        <x:f>(AJ383+AK383+AL383)/4*INDEX(LM_All,G383)*INDEX(tun_Boon,G383)*Arch_Insight</x:f>
        <x:v>6326.289566088976</x:v>
      </x:c>
      <x:c r="AN383" s="32" t="n">
        <x:f>H383*(tun_KHPerAdult*Z383+tun_KHOfCommons*AJ383/4*INDEX(LM_All,G383))*tun_KHUsable*Arch_KH</x:f>
        <x:v>1034.2709871041686</x:v>
      </x:c>
      <x:c r="AO383" s="32" t="n">
        <x:f>MIN(AP382+AN383,AM383*tun_KHMaxRatio)</x:f>
        <x:v>1034.2709871041686</x:v>
      </x:c>
      <x:c r="AP383" s="32" t="n">
        <x:f>AP382+AN383-AO383</x:f>
        <x:v>0</x:v>
      </x:c>
      <x:c r="AQ383" s="32" t="n">
        <x:f>AM383+AO383</x:f>
        <x:v>7360.560553193145</x:v>
      </x:c>
      <x:c r="AR383" s="10" t="n">
        <x:f>IF(H383=1,INDEX(tun_Req,G383),0)</x:f>
        <x:v>434961.70024459995</x:v>
      </x:c>
      <x:c r="AS383" s="32" t="n">
        <x:f>IF(H383=1,IF(E383=1,AS382-AR382,AS382)+AQ383,0)</x:f>
        <x:v>330514.2972238822</x:v>
      </x:c>
      <x:c r="AT383" s="11" t="n">
        <x:f>IF(AR383&gt;0,MIN(1,AS383/AR383),1)</x:f>
        <x:v>0.7598698851830359</x:v>
      </x:c>
      <x:c r="AU383" s="10" t="n">
        <x:f>AB383/INDEX(tun_RepScale,G383)</x:f>
        <x:v>309.8329037990806</x:v>
      </x:c>
      <x:c r="AV383" s="32" t="n">
        <x:f>AM383*60/tun_SeasonSeconds</x:f>
        <x:v>25305.158264355905</x:v>
      </x:c>
    </x:row>
    <x:row r="384">
      <x:c r="A384" s="8" t="n">
        <x:f>A383+1</x:f>
        <x:v>381</x:v>
      </x:c>
      <x:c r="B384" s="9" t="n">
        <x:f>A384*tun_SeasonSeconds/60</x:f>
        <x:v>95.25</x:v>
      </x:c>
      <x:c r="C384" s="9" t="n">
        <x:f>A384/4</x:f>
        <x:v>95.25</x:v>
      </x:c>
      <x:c r="D384" s="8" t="n">
        <x:f>IF(MOD(A384,4)=0,1,0)</x:f>
        <x:v>0</x:v>
      </x:c>
      <x:c r="E384" s="8" t="n">
        <x:f>IF(AND(F383&lt;=9,AS383&gt;=AR383),1,0)</x:f>
        <x:v>0</x:v>
      </x:c>
      <x:c r="F384" s="8" t="n">
        <x:f>MIN(10,F383+E384)</x:f>
        <x:v>6</x:v>
      </x:c>
      <x:c r="G384" s="8" t="n">
        <x:f>MIN(F384,9)+1</x:f>
        <x:v>7</x:v>
      </x:c>
      <x:c r="H384" s="8" t="n">
        <x:f>IF(F384&lt;=9,1,0)</x:f>
        <x:v>1</x:v>
      </x:c>
      <x:c r="I384" s="9" t="n">
        <x:f>MIN(10,F383+IF(AR383&gt;0,MIN(1,AS383/AR383),1))</x:f>
        <x:v>6.759869885183036</x:v>
      </x:c>
      <x:c r="J384" s="32" t="n">
        <x:f>INDEX(tun_FoodCap,G384)*Arch_FoodCap*EXP(tun_CapsByProject*SUMPRODUCT((Cap_Point&lt;=I384)*(Cap_Kind="Food")*Cap_Ln))</x:f>
        <x:v>1030.8296491509448</x:v>
      </x:c>
      <x:c r="K384" s="32" t="n">
        <x:f>J384*MIN(1,tun_LeanBase*EXP(tun_CapsByProject*SUMPRODUCT((Cap_Point&lt;=I384)*(Cap_Kind="Lean")*Cap_Ln)))</x:f>
        <x:v>1030.8296491509448</x:v>
      </x:c>
      <x:c r="L384" s="10" t="n">
        <x:f>INDEX(tun_HousingCap,G384)*EXP(tun_CapsByProject*SUMPRODUCT((Cap_Point&lt;=I384)*(Cap_Kind="Housing")*Cap_Ln))</x:f>
        <x:v>2423.1679699072442</x:v>
      </x:c>
      <x:c r="M384" s="10" t="n">
        <x:f>INDEX(tun_GroupCap,G384)*tun_CohesionFactor*EXP(tun_CapsByProject*SUMPRODUCT((Cap_Point&lt;=I384)*(Cap_Kind="Group")*Cap_Ln))</x:f>
        <x:v>1000000.000000001</x:v>
      </x:c>
      <x:c r="N384" s="32" t="n">
        <x:f>MIN(J384,L384,M384)</x:f>
        <x:v>1030.8296491509448</x:v>
      </x:c>
      <x:c r="O384" s="10" t="n">
        <x:f>AE383*N384</x:f>
        <x:v>12369.955789811338</x:v>
      </x:c>
      <x:c r="P384" s="9" t="n">
        <x:f>MIN(1,(AB383/(AE383*IF(tun_GroupInCrowding=1,N384,MIN(J384,L384))))^tun_CrowdingExp)</x:f>
        <x:v>0.060283212947876696</x:v>
      </x:c>
      <x:c r="Q384" s="9" t="n">
        <x:f>IF(D384=1,INDEX(tun_WinterMult,G384),1)</x:f>
        <x:v>1</x:v>
      </x:c>
      <x:c r="R384" s="9" t="n">
        <x:f>H384*Z383*tun_WomenShare*tun_BaseFertility*INDEX(tun_FertMult,G384)*Arch_Fertility*(1-P384)</x:f>
        <x:v>182.715725786893</x:v>
      </x:c>
      <x:c r="S384" s="9" t="n">
        <x:f>H384*Y383*INDEX(tun_MortChild,G384)/4*Q384</x:f>
        <x:v>26.617851723674676</x:v>
      </x:c>
      <x:c r="T384" s="9" t="n">
        <x:f>H384*Z383*INDEX(tun_MortAdult,G384)*Arch_AdultMort/4*Q384</x:f>
        <x:v>6.458572132992861</x:v>
      </x:c>
      <x:c r="U384" s="9" t="n">
        <x:f>H384*AA383*INDEX(tun_MortElder,G384)/4*Q384</x:f>
        <x:v>9.402702197787091</x:v>
      </x:c>
      <x:c r="V384" s="9" t="n">
        <x:f>H384*MAX(0,AB383-O384)*tun_OvercapLoss</x:f>
        <x:v>0</x:v>
      </x:c>
      <x:c r="W384" s="9" t="n">
        <x:f>H384*Y383/(tun_ChildYears*4)</x:f>
        <x:v>76.05100492478479</x:v>
      </x:c>
      <x:c r="X384" s="9" t="n">
        <x:f>H384*Z383/(tun_AdultYears*4)</x:f>
        <x:v>21.93063542612177</x:v>
      </x:c>
      <x:c r="Y384" s="32" t="n">
        <x:f>Y383+R384-S384-W384-Y383*V384/AB383</x:f>
        <x:v>4338.903144926381</x:v>
      </x:c>
      <x:c r="Z384" s="32" t="n">
        <x:f>Z383+W384-X384-T384-Z383*V384/AB383</x:f>
        <x:v>2767.06059020477</x:v>
      </x:c>
      <x:c r="AA384" s="32" t="n">
        <x:f>AA383+X384-U384-AA383*V384/AB383</x:f>
        <x:v>780.0954595783012</x:v>
      </x:c>
      <x:c r="AB384" s="10" t="n">
        <x:f>Y384+Z384+AA384</x:f>
        <x:v>7886.059194709453</x:v>
      </x:c>
      <x:c r="AC384" s="8" t="n">
        <x:f>IF(AND(tun_WinterTrigger=1,D384=1,AB383/AE383&gt;=K384),1,0)</x:f>
        <x:v>0</x:v>
      </x:c>
      <x:c r="AD384" s="8" t="n">
        <x:f>H384*IF(AND(OR(AB383/AE383&gt;=tun_FissionTrigger*N384,AC384=1),AB383/AE383*tun_DaughterShare&gt;=tun_MinDaughter),MAX(1,ROUND(AE383*tun_FissionRate,0)),0)</x:f>
        <x:v>0</x:v>
      </x:c>
      <x:c r="AE384" s="8" t="n">
        <x:f>IF(H384=1,MAX(1,MIN(INDEX(tun_Smax,G384),AE383+AD384)),AE383)</x:f>
        <x:v>12</x:v>
      </x:c>
      <x:c r="AF384" s="8" t="n">
        <x:f>MAX(0,AE384-AE383)</x:f>
        <x:v>0</x:v>
      </x:c>
      <x:c r="AG384" s="9" t="str">
        <x:f>IF(AF384&gt;0,B384,"")</x:f>
      </x:c>
      <x:c r="AH384" s="9" t="n">
        <x:f>IF(F384&gt;=1,1,(1+tun_LowTiesShare*(AE384-1))/AE384)</x:f>
        <x:v>1</x:v>
      </x:c>
      <x:c r="AI384" s="32" t="n">
        <x:f>(Z384+tun_ElderCommons*INDEX(LM_Elder,G384)*AA384)*AH384</x:f>
        <x:v>5692.4185636234</x:v>
      </x:c>
      <x:c r="AJ384" s="32" t="n">
        <x:f>H384*tun_CommonsCoef*AI384^tun_CommonsExp*INDEX(LM_Commons,G384)</x:f>
        <x:v>10867.108102584976</x:v>
      </x:c>
      <x:c r="AK384" s="32" t="n">
        <x:f>H384*tun_RoleScale*Arch_Roles*(AE384*(INDEX(tun_ElderRolePerSett,G384)*tun_OutElder*INDEX(LM_Elder,G384)+INDEX(tun_ShamanPerSett,G384)*tun_OutShaman)+Z384*(INDEX(tun_PriestShare,G384)*tun_OutPriest+INDEX(tun_ScribeShare,G384)*tun_OutScribe*INDEX(LM_Scribe,G384)+INDEX(tun_ScholarShare,G384)*tun_OutScholar*INDEX(LM_Scholar,G384)+INDEX(tun_ResearcherShare,G384)*tun_OutResearcher*INDEX(LM_Researcher,G384)))</x:f>
        <x:v>3115.410723398572</x:v>
      </x:c>
      <x:c r="AL384" s="32" t="n">
        <x:f>H384*tun_RoleScale*Arch_Roles*AE384*INDEX(tun_MonasteryPerSett,G384)*tun_OutMonastery*INDEX(LM_Monastery,G384)</x:f>
        <x:v>63.36</x:v>
      </x:c>
      <x:c r="AM384" s="32" t="n">
        <x:f>(AJ384+AK384+AL384)/4*INDEX(LM_All,G384)*INDEX(tun_Boon,G384)*Arch_Insight</x:f>
        <x:v>6418.527809238352</x:v>
      </x:c>
      <x:c r="AN384" s="32" t="n">
        <x:f>H384*(tun_KHPerAdult*Z384+tun_KHOfCommons*AJ384/4*INDEX(LM_All,G384))*tun_KHUsable*Arch_KH</x:f>
        <x:v>1049.1157067457411</x:v>
      </x:c>
      <x:c r="AO384" s="32" t="n">
        <x:f>MIN(AP383+AN384,AM384*tun_KHMaxRatio)</x:f>
        <x:v>1049.1157067457411</x:v>
      </x:c>
      <x:c r="AP384" s="32" t="n">
        <x:f>AP383+AN384-AO384</x:f>
        <x:v>0</x:v>
      </x:c>
      <x:c r="AQ384" s="32" t="n">
        <x:f>AM384+AO384</x:f>
        <x:v>7467.643515984093</x:v>
      </x:c>
      <x:c r="AR384" s="10" t="n">
        <x:f>IF(H384=1,INDEX(tun_Req,G384),0)</x:f>
        <x:v>434961.70024459995</x:v>
      </x:c>
      <x:c r="AS384" s="32" t="n">
        <x:f>IF(H384=1,IF(E384=1,AS383-AR383,AS383)+AQ384,0)</x:f>
        <x:v>337981.94073986635</x:v>
      </x:c>
      <x:c r="AT384" s="11" t="n">
        <x:f>IF(AR384&gt;0,MIN(1,AS384/AR384),1)</x:f>
        <x:v>0.7770383933799293</x:v>
      </x:c>
      <x:c r="AU384" s="10" t="n">
        <x:f>AB384/INDEX(tun_RepScale,G384)</x:f>
        <x:v>315.4423677883781</x:v>
      </x:c>
      <x:c r="AV384" s="32" t="n">
        <x:f>AM384*60/tun_SeasonSeconds</x:f>
        <x:v>25674.11123695341</x:v>
      </x:c>
    </x:row>
    <x:row r="385">
      <x:c r="A385" s="8" t="n">
        <x:f>A384+1</x:f>
        <x:v>382</x:v>
      </x:c>
      <x:c r="B385" s="9" t="n">
        <x:f>A385*tun_SeasonSeconds/60</x:f>
        <x:v>95.5</x:v>
      </x:c>
      <x:c r="C385" s="9" t="n">
        <x:f>A385/4</x:f>
        <x:v>95.5</x:v>
      </x:c>
      <x:c r="D385" s="8" t="n">
        <x:f>IF(MOD(A385,4)=0,1,0)</x:f>
        <x:v>0</x:v>
      </x:c>
      <x:c r="E385" s="8" t="n">
        <x:f>IF(AND(F384&lt;=9,AS384&gt;=AR384),1,0)</x:f>
        <x:v>0</x:v>
      </x:c>
      <x:c r="F385" s="8" t="n">
        <x:f>MIN(10,F384+E385)</x:f>
        <x:v>6</x:v>
      </x:c>
      <x:c r="G385" s="8" t="n">
        <x:f>MIN(F385,9)+1</x:f>
        <x:v>7</x:v>
      </x:c>
      <x:c r="H385" s="8" t="n">
        <x:f>IF(F385&lt;=9,1,0)</x:f>
        <x:v>1</x:v>
      </x:c>
      <x:c r="I385" s="9" t="n">
        <x:f>MIN(10,F384+IF(AR384&gt;0,MIN(1,AS384/AR384),1))</x:f>
        <x:v>6.77703839337993</x:v>
      </x:c>
      <x:c r="J385" s="32" t="n">
        <x:f>INDEX(tun_FoodCap,G385)*Arch_FoodCap*EXP(tun_CapsByProject*SUMPRODUCT((Cap_Point&lt;=I385)*(Cap_Kind="Food")*Cap_Ln))</x:f>
        <x:v>1030.8296491509448</x:v>
      </x:c>
      <x:c r="K385" s="32" t="n">
        <x:f>J385*MIN(1,tun_LeanBase*EXP(tun_CapsByProject*SUMPRODUCT((Cap_Point&lt;=I385)*(Cap_Kind="Lean")*Cap_Ln)))</x:f>
        <x:v>1030.8296491509448</x:v>
      </x:c>
      <x:c r="L385" s="10" t="n">
        <x:f>INDEX(tun_HousingCap,G385)*EXP(tun_CapsByProject*SUMPRODUCT((Cap_Point&lt;=I385)*(Cap_Kind="Housing")*Cap_Ln))</x:f>
        <x:v>2423.1679699072442</x:v>
      </x:c>
      <x:c r="M385" s="10" t="n">
        <x:f>INDEX(tun_GroupCap,G385)*tun_CohesionFactor*EXP(tun_CapsByProject*SUMPRODUCT((Cap_Point&lt;=I385)*(Cap_Kind="Group")*Cap_Ln))</x:f>
        <x:v>1000000.000000001</x:v>
      </x:c>
      <x:c r="N385" s="32" t="n">
        <x:f>MIN(J385,L385,M385)</x:f>
        <x:v>1030.8296491509448</x:v>
      </x:c>
      <x:c r="O385" s="10" t="n">
        <x:f>AE384*N385</x:f>
        <x:v>12369.955789811338</x:v>
      </x:c>
      <x:c r="P385" s="9" t="n">
        <x:f>MIN(1,(AB384/(AE384*IF(tun_GroupInCrowding=1,N385,MIN(J385,L385))))^tun_CrowdingExp)</x:f>
        <x:v>0.06713535832470165</x:v>
      </x:c>
      <x:c r="Q385" s="9" t="n">
        <x:f>IF(D385=1,INDEX(tun_WinterMult,G385),1)</x:f>
        <x:v>1</x:v>
      </x:c>
      <x:c r="R385" s="9" t="n">
        <x:f>H385*Z384*tun_WomenShare*tun_BaseFertility*INDEX(tun_FertMult,G385)*Arch_Fertility*(1-P385)</x:f>
        <x:v>184.5624484972277</x:v>
      </x:c>
      <x:c r="S385" s="9" t="n">
        <x:f>H385*Y384*INDEX(tun_MortChild,G385)/4*Q385</x:f>
        <x:v>27.118144655789884</x:v>
      </x:c>
      <x:c r="T385" s="9" t="n">
        <x:f>H385*Z384*INDEX(tun_MortAdult,G385)*Arch_AdultMort/4*Q385</x:f>
        <x:v>6.571768901736329</x:v>
      </x:c>
      <x:c r="U385" s="9" t="n">
        <x:f>H385*AA384*INDEX(tun_MortElder,G385)/4*Q385</x:f>
        <x:v>9.55616937983419</x:v>
      </x:c>
      <x:c r="V385" s="9" t="n">
        <x:f>H385*MAX(0,AB384-O385)*tun_OvercapLoss</x:f>
        <x:v>0</x:v>
      </x:c>
      <x:c r="W385" s="9" t="n">
        <x:f>H385*Y384/(tun_ChildYears*4)</x:f>
        <x:v>77.4804133022568</x:v>
      </x:c>
      <x:c r="X385" s="9" t="n">
        <x:f>H385*Z384/(tun_AdultYears*4)</x:f>
        <x:v>22.315004759715887</x:v>
      </x:c>
      <x:c r="Y385" s="32" t="n">
        <x:f>Y384+R385-S385-W385-Y384*V385/AB384</x:f>
        <x:v>4418.8670354655615</x:v>
      </x:c>
      <x:c r="Z385" s="32" t="n">
        <x:f>Z384+W385-X385-T385-Z384*V385/AB384</x:f>
        <x:v>2815.6542298455743</x:v>
      </x:c>
      <x:c r="AA385" s="32" t="n">
        <x:f>AA384+X385-U385-AA384*V385/AB384</x:f>
        <x:v>792.8542949581829</x:v>
      </x:c>
      <x:c r="AB385" s="10" t="n">
        <x:f>Y385+Z385+AA385</x:f>
        <x:v>8027.375560269318</x:v>
      </x:c>
      <x:c r="AC385" s="8" t="n">
        <x:f>IF(AND(tun_WinterTrigger=1,D385=1,AB384/AE384&gt;=K385),1,0)</x:f>
        <x:v>0</x:v>
      </x:c>
      <x:c r="AD385" s="8" t="n">
        <x:f>H385*IF(AND(OR(AB384/AE384&gt;=tun_FissionTrigger*N385,AC385=1),AB384/AE384*tun_DaughterShare&gt;=tun_MinDaughter),MAX(1,ROUND(AE384*tun_FissionRate,0)),0)</x:f>
        <x:v>0</x:v>
      </x:c>
      <x:c r="AE385" s="8" t="n">
        <x:f>IF(H385=1,MAX(1,MIN(INDEX(tun_Smax,G385),AE384+AD385)),AE384)</x:f>
        <x:v>12</x:v>
      </x:c>
      <x:c r="AF385" s="8" t="n">
        <x:f>MAX(0,AE385-AE384)</x:f>
        <x:v>0</x:v>
      </x:c>
      <x:c r="AG385" s="9" t="str">
        <x:f>IF(AF385&gt;0,B385,"")</x:f>
      </x:c>
      <x:c r="AH385" s="9" t="n">
        <x:f>IF(F385&gt;=1,1,(1+tun_LowTiesShare*(AE385-1))/AE385)</x:f>
        <x:v>1</x:v>
      </x:c>
      <x:c r="AI385" s="32" t="n">
        <x:f>(Z385+tun_ElderCommons*INDEX(LM_Elder,G385)*AA385)*AH385</x:f>
        <x:v>5788.85783593876</x:v>
      </x:c>
      <x:c r="AJ385" s="32" t="n">
        <x:f>H385*tun_CommonsCoef*AI385^tun_CommonsExp*INDEX(LM_Commons,G385)</x:f>
        <x:v>11023.401772858679</x:v>
      </x:c>
      <x:c r="AK385" s="32" t="n">
        <x:f>H385*tun_RoleScale*Arch_Roles*(AE385*(INDEX(tun_ElderRolePerSett,G385)*tun_OutElder*INDEX(LM_Elder,G385)+INDEX(tun_ShamanPerSett,G385)*tun_OutShaman)+Z385*(INDEX(tun_PriestShare,G385)*tun_OutPriest+INDEX(tun_ScribeShare,G385)*tun_OutScribe*INDEX(LM_Scribe,G385)+INDEX(tun_ScholarShare,G385)*tun_OutScholar*INDEX(LM_Scholar,G385)+INDEX(tun_ResearcherShare,G385)*tun_OutResearcher*INDEX(LM_Researcher,G385)))</x:f>
        <x:v>3164.431987068215</x:v>
      </x:c>
      <x:c r="AL385" s="32" t="n">
        <x:f>H385*tun_RoleScale*Arch_Roles*AE385*INDEX(tun_MonasteryPerSett,G385)*tun_OutMonastery*INDEX(LM_Monastery,G385)</x:f>
        <x:v>63.36</x:v>
      </x:c>
      <x:c r="AM385" s="32" t="n">
        <x:f>(AJ385+AK385+AL385)/4*INDEX(LM_All,G385)*INDEX(tun_Boon,G385)*Arch_Insight</x:f>
        <x:v>6512.350319705228</x:v>
      </x:c>
      <x:c r="AN385" s="32" t="n">
        <x:f>H385*(tun_KHPerAdult*Z385+tun_KHOfCommons*AJ385/4*INDEX(LM_All,G385))*tun_KHUsable*Arch_KH</x:f>
        <x:v>1064.204370887223</x:v>
      </x:c>
      <x:c r="AO385" s="32" t="n">
        <x:f>MIN(AP384+AN385,AM385*tun_KHMaxRatio)</x:f>
        <x:v>1064.204370887223</x:v>
      </x:c>
      <x:c r="AP385" s="32" t="n">
        <x:f>AP384+AN385-AO385</x:f>
        <x:v>0</x:v>
      </x:c>
      <x:c r="AQ385" s="32" t="n">
        <x:f>AM385+AO385</x:f>
        <x:v>7576.554690592451</x:v>
      </x:c>
      <x:c r="AR385" s="10" t="n">
        <x:f>IF(H385=1,INDEX(tun_Req,G385),0)</x:f>
        <x:v>434961.70024459995</x:v>
      </x:c>
      <x:c r="AS385" s="32" t="n">
        <x:f>IF(H385=1,IF(E385=1,AS384-AR384,AS384)+AQ385,0)</x:f>
        <x:v>345558.4954304588</x:v>
      </x:c>
      <x:c r="AT385" s="11" t="n">
        <x:f>IF(AR385&gt;0,MIN(1,AS385/AR385),1)</x:f>
        <x:v>0.7944572941390807</x:v>
      </x:c>
      <x:c r="AU385" s="10" t="n">
        <x:f>AB385/INDEX(tun_RepScale,G385)</x:f>
        <x:v>321.09502241077274</x:v>
      </x:c>
      <x:c r="AV385" s="32" t="n">
        <x:f>AM385*60/tun_SeasonSeconds</x:f>
        <x:v>26049.40127882091</x:v>
      </x:c>
    </x:row>
    <x:row r="386">
      <x:c r="A386" s="8" t="n">
        <x:f>A385+1</x:f>
        <x:v>383</x:v>
      </x:c>
      <x:c r="B386" s="9" t="n">
        <x:f>A386*tun_SeasonSeconds/60</x:f>
        <x:v>95.75</x:v>
      </x:c>
      <x:c r="C386" s="9" t="n">
        <x:f>A386/4</x:f>
        <x:v>95.75</x:v>
      </x:c>
      <x:c r="D386" s="8" t="n">
        <x:f>IF(MOD(A386,4)=0,1,0)</x:f>
        <x:v>0</x:v>
      </x:c>
      <x:c r="E386" s="8" t="n">
        <x:f>IF(AND(F385&lt;=9,AS385&gt;=AR385),1,0)</x:f>
        <x:v>0</x:v>
      </x:c>
      <x:c r="F386" s="8" t="n">
        <x:f>MIN(10,F385+E386)</x:f>
        <x:v>6</x:v>
      </x:c>
      <x:c r="G386" s="8" t="n">
        <x:f>MIN(F386,9)+1</x:f>
        <x:v>7</x:v>
      </x:c>
      <x:c r="H386" s="8" t="n">
        <x:f>IF(F386&lt;=9,1,0)</x:f>
        <x:v>1</x:v>
      </x:c>
      <x:c r="I386" s="9" t="n">
        <x:f>MIN(10,F385+IF(AR385&gt;0,MIN(1,AS385/AR385),1))</x:f>
        <x:v>6.794457294139081</x:v>
      </x:c>
      <x:c r="J386" s="32" t="n">
        <x:f>INDEX(tun_FoodCap,G386)*Arch_FoodCap*EXP(tun_CapsByProject*SUMPRODUCT((Cap_Point&lt;=I386)*(Cap_Kind="Food")*Cap_Ln))</x:f>
        <x:v>1030.8296491509448</x:v>
      </x:c>
      <x:c r="K386" s="32" t="n">
        <x:f>J386*MIN(1,tun_LeanBase*EXP(tun_CapsByProject*SUMPRODUCT((Cap_Point&lt;=I386)*(Cap_Kind="Lean")*Cap_Ln)))</x:f>
        <x:v>1030.8296491509448</x:v>
      </x:c>
      <x:c r="L386" s="10" t="n">
        <x:f>INDEX(tun_HousingCap,G386)*EXP(tun_CapsByProject*SUMPRODUCT((Cap_Point&lt;=I386)*(Cap_Kind="Housing")*Cap_Ln))</x:f>
        <x:v>2423.1679699072442</x:v>
      </x:c>
      <x:c r="M386" s="10" t="n">
        <x:f>INDEX(tun_GroupCap,G386)*tun_CohesionFactor*EXP(tun_CapsByProject*SUMPRODUCT((Cap_Point&lt;=I386)*(Cap_Kind="Group")*Cap_Ln))</x:f>
        <x:v>1000000.000000001</x:v>
      </x:c>
      <x:c r="N386" s="32" t="n">
        <x:f>MIN(J386,L386,M386)</x:f>
        <x:v>1030.8296491509448</x:v>
      </x:c>
      <x:c r="O386" s="10" t="n">
        <x:f>AE385*N386</x:f>
        <x:v>12369.955789811338</x:v>
      </x:c>
      <x:c r="P386" s="9" t="n">
        <x:f>MIN(1,(AB385/(AE385*IF(tun_GroupInCrowding=1,N386,MIN(J386,L386))))^tun_CrowdingExp)</x:f>
        <x:v>0.07468486607732448</x:v>
      </x:c>
      <x:c r="Q386" s="9" t="n">
        <x:f>IF(D386=1,INDEX(tun_WinterMult,G386),1)</x:f>
        <x:v>1</x:v>
      </x:c>
      <x:c r="R386" s="9" t="n">
        <x:f>H386*Z385*tun_WomenShare*tun_BaseFertility*INDEX(tun_FertMult,G386)*Arch_Fertility*(1-P386)</x:f>
        <x:v>186.28377416001965</x:v>
      </x:c>
      <x:c r="S386" s="9" t="n">
        <x:f>H386*Y385*INDEX(tun_MortChild,G386)/4*Q386</x:f>
        <x:v>27.617918971659762</x:v>
      </x:c>
      <x:c r="T386" s="9" t="n">
        <x:f>H386*Z385*INDEX(tun_MortAdult,G386)*Arch_AdultMort/4*Q386</x:f>
        <x:v>6.687178795883239</x:v>
      </x:c>
      <x:c r="U386" s="9" t="n">
        <x:f>H386*AA385*INDEX(tun_MortElder,G386)/4*Q386</x:f>
        <x:v>9.71246511323774</x:v>
      </x:c>
      <x:c r="V386" s="9" t="n">
        <x:f>H386*MAX(0,AB385-O386)*tun_OvercapLoss</x:f>
        <x:v>0</x:v>
      </x:c>
      <x:c r="W386" s="9" t="n">
        <x:f>H386*Y385/(tun_ChildYears*4)</x:f>
        <x:v>78.90833991902788</x:v>
      </x:c>
      <x:c r="X386" s="9" t="n">
        <x:f>H386*Z385/(tun_AdultYears*4)</x:f>
        <x:v>22.706888950367535</x:v>
      </x:c>
      <x:c r="Y386" s="32" t="n">
        <x:f>Y385+R386-S386-W386-Y385*V386/AB385</x:f>
        <x:v>4498.624550734894</x:v>
      </x:c>
      <x:c r="Z386" s="32" t="n">
        <x:f>Z385+W386-X386-T386-Z385*V386/AB385</x:f>
        <x:v>2865.168502018352</x:v>
      </x:c>
      <x:c r="AA386" s="32" t="n">
        <x:f>AA385+X386-U386-AA385*V386/AB385</x:f>
        <x:v>805.8487187953127</x:v>
      </x:c>
      <x:c r="AB386" s="10" t="n">
        <x:f>Y386+Z386+AA386</x:f>
        <x:v>8169.641771548559</x:v>
      </x:c>
      <x:c r="AC386" s="8" t="n">
        <x:f>IF(AND(tun_WinterTrigger=1,D386=1,AB385/AE385&gt;=K386),1,0)</x:f>
        <x:v>0</x:v>
      </x:c>
      <x:c r="AD386" s="8" t="n">
        <x:f>H386*IF(AND(OR(AB385/AE385&gt;=tun_FissionTrigger*N386,AC386=1),AB385/AE385*tun_DaughterShare&gt;=tun_MinDaughter),MAX(1,ROUND(AE385*tun_FissionRate,0)),0)</x:f>
        <x:v>0</x:v>
      </x:c>
      <x:c r="AE386" s="8" t="n">
        <x:f>IF(H386=1,MAX(1,MIN(INDEX(tun_Smax,G386),AE385+AD386)),AE385)</x:f>
        <x:v>12</x:v>
      </x:c>
      <x:c r="AF386" s="8" t="n">
        <x:f>MAX(0,AE386-AE385)</x:f>
        <x:v>0</x:v>
      </x:c>
      <x:c r="AG386" s="9" t="str">
        <x:f>IF(AF386&gt;0,B386,"")</x:f>
      </x:c>
      <x:c r="AH386" s="9" t="n">
        <x:f>IF(F386&gt;=1,1,(1+tun_LowTiesShare*(AE386-1))/AE386)</x:f>
        <x:v>1</x:v>
      </x:c>
      <x:c r="AI386" s="32" t="n">
        <x:f>(Z386+tun_ElderCommons*INDEX(LM_Elder,G386)*AA386)*AH386</x:f>
        <x:v>5887.101197500775</x:v>
      </x:c>
      <x:c r="AJ386" s="32" t="n">
        <x:f>H386*tun_CommonsCoef*AI386^tun_CommonsExp*INDEX(LM_Commons,G386)</x:f>
        <x:v>11182.218164260577</x:v>
      </x:c>
      <x:c r="AK386" s="32" t="n">
        <x:f>H386*tun_RoleScale*Arch_Roles*(AE386*(INDEX(tun_ElderRolePerSett,G386)*tun_OutElder*INDEX(LM_Elder,G386)+INDEX(tun_ShamanPerSett,G386)*tun_OutShaman)+Z386*(INDEX(tun_PriestShare,G386)*tun_OutPriest+INDEX(tun_ScribeShare,G386)*tun_OutScribe*INDEX(LM_Scribe,G386)+INDEX(tun_ScholarShare,G386)*tun_OutScholar*INDEX(LM_Scholar,G386)+INDEX(tun_ResearcherShare,G386)*tun_OutResearcher*INDEX(LM_Researcher,G386)))</x:f>
        <x:v>3214.381984836113</x:v>
      </x:c>
      <x:c r="AL386" s="32" t="n">
        <x:f>H386*tun_RoleScale*Arch_Roles*AE386*INDEX(tun_MonasteryPerSett,G386)*tun_OutMonastery*INDEX(LM_Monastery,G386)</x:f>
        <x:v>63.36</x:v>
      </x:c>
      <x:c r="AM386" s="32" t="n">
        <x:f>(AJ386+AK386+AL386)/4*INDEX(LM_All,G386)*INDEX(tun_Boon,G386)*Arch_Insight</x:f>
        <x:v>6607.750037381974</x:v>
      </x:c>
      <x:c r="AN386" s="32" t="n">
        <x:f>H386*(tun_KHPerAdult*Z386+tun_KHOfCommons*AJ386/4*INDEX(LM_All,G386))*tun_KHUsable*Arch_KH</x:f>
        <x:v>1079.536579708149</x:v>
      </x:c>
      <x:c r="AO386" s="32" t="n">
        <x:f>MIN(AP385+AN386,AM386*tun_KHMaxRatio)</x:f>
        <x:v>1079.536579708149</x:v>
      </x:c>
      <x:c r="AP386" s="32" t="n">
        <x:f>AP385+AN386-AO386</x:f>
        <x:v>0</x:v>
      </x:c>
      <x:c r="AQ386" s="32" t="n">
        <x:f>AM386+AO386</x:f>
        <x:v>7687.286617090123</x:v>
      </x:c>
      <x:c r="AR386" s="10" t="n">
        <x:f>IF(H386=1,INDEX(tun_Req,G386),0)</x:f>
        <x:v>434961.70024459995</x:v>
      </x:c>
      <x:c r="AS386" s="32" t="n">
        <x:f>IF(H386=1,IF(E386=1,AS385-AR385,AS385)+AQ386,0)</x:f>
        <x:v>353245.7820475489</x:v>
      </x:c>
      <x:c r="AT386" s="11" t="n">
        <x:f>IF(AR386&gt;0,MIN(1,AS386/AR386),1)</x:f>
        <x:v>0.8121307734655758</x:v>
      </x:c>
      <x:c r="AU386" s="10" t="n">
        <x:f>AB386/INDEX(tun_RepScale,G386)</x:f>
        <x:v>326.7856708619423</x:v>
      </x:c>
      <x:c r="AV386" s="32" t="n">
        <x:f>AM386*60/tun_SeasonSeconds</x:f>
        <x:v>26431.000149527896</x:v>
      </x:c>
    </x:row>
    <x:row r="387">
      <x:c r="A387" s="8" t="n">
        <x:f>A386+1</x:f>
        <x:v>384</x:v>
      </x:c>
      <x:c r="B387" s="9" t="n">
        <x:f>A387*tun_SeasonSeconds/60</x:f>
        <x:v>96</x:v>
      </x:c>
      <x:c r="C387" s="9" t="n">
        <x:f>A387/4</x:f>
        <x:v>96</x:v>
      </x:c>
      <x:c r="D387" s="8" t="n">
        <x:f>IF(MOD(A387,4)=0,1,0)</x:f>
        <x:v>1</x:v>
      </x:c>
      <x:c r="E387" s="8" t="n">
        <x:f>IF(AND(F386&lt;=9,AS386&gt;=AR386),1,0)</x:f>
        <x:v>0</x:v>
      </x:c>
      <x:c r="F387" s="8" t="n">
        <x:f>MIN(10,F386+E387)</x:f>
        <x:v>6</x:v>
      </x:c>
      <x:c r="G387" s="8" t="n">
        <x:f>MIN(F387,9)+1</x:f>
        <x:v>7</x:v>
      </x:c>
      <x:c r="H387" s="8" t="n">
        <x:f>IF(F387&lt;=9,1,0)</x:f>
        <x:v>1</x:v>
      </x:c>
      <x:c r="I387" s="9" t="n">
        <x:f>MIN(10,F386+IF(AR386&gt;0,MIN(1,AS386/AR386),1))</x:f>
        <x:v>6.812130773465576</x:v>
      </x:c>
      <x:c r="J387" s="32" t="n">
        <x:f>INDEX(tun_FoodCap,G387)*Arch_FoodCap*EXP(tun_CapsByProject*SUMPRODUCT((Cap_Point&lt;=I387)*(Cap_Kind="Food")*Cap_Ln))</x:f>
        <x:v>1030.8296491509448</x:v>
      </x:c>
      <x:c r="K387" s="32" t="n">
        <x:f>J387*MIN(1,tun_LeanBase*EXP(tun_CapsByProject*SUMPRODUCT((Cap_Point&lt;=I387)*(Cap_Kind="Lean")*Cap_Ln)))</x:f>
        <x:v>1030.8296491509448</x:v>
      </x:c>
      <x:c r="L387" s="10" t="n">
        <x:f>INDEX(tun_HousingCap,G387)*EXP(tun_CapsByProject*SUMPRODUCT((Cap_Point&lt;=I387)*(Cap_Kind="Housing")*Cap_Ln))</x:f>
        <x:v>2423.1679699072442</x:v>
      </x:c>
      <x:c r="M387" s="10" t="n">
        <x:f>INDEX(tun_GroupCap,G387)*tun_CohesionFactor*EXP(tun_CapsByProject*SUMPRODUCT((Cap_Point&lt;=I387)*(Cap_Kind="Group")*Cap_Ln))</x:f>
        <x:v>1000000.000000001</x:v>
      </x:c>
      <x:c r="N387" s="32" t="n">
        <x:f>MIN(J387,L387,M387)</x:f>
        <x:v>1030.8296491509448</x:v>
      </x:c>
      <x:c r="O387" s="10" t="n">
        <x:f>AE386*N387</x:f>
        <x:v>12369.955789811338</x:v>
      </x:c>
      <x:c r="P387" s="9" t="n">
        <x:f>MIN(1,(AB386/(AE386*IF(tun_GroupInCrowding=1,N387,MIN(J387,L387))))^tun_CrowdingExp)</x:f>
        <x:v>0.08298683419807226</x:v>
      </x:c>
      <x:c r="Q387" s="9" t="n">
        <x:f>IF(D387=1,INDEX(tun_WinterMult,G387),1)</x:f>
        <x:v>1.1</x:v>
      </x:c>
      <x:c r="R387" s="9" t="n">
        <x:f>H387*Z386*tun_WomenShare*tun_BaseFertility*INDEX(tun_FertMult,G387)*Arch_Fertility*(1-P387)</x:f>
        <x:v>187.85890255931486</x:v>
      </x:c>
      <x:c r="S387" s="9" t="n">
        <x:f>H387*Y386*INDEX(tun_MortChild,G387)/4*Q387</x:f>
        <x:v>30.9280437863024</x:v>
      </x:c>
      <x:c r="T387" s="9" t="n">
        <x:f>H387*Z386*INDEX(tun_MortAdult,G387)*Arch_AdultMort/4*Q387</x:f>
        <x:v>7.485252711522944</x:v>
      </x:c>
      <x:c r="U387" s="9" t="n">
        <x:f>H387*AA386*INDEX(tun_MortElder,G387)/4*Q387</x:f>
        <x:v>10.858811485766841</x:v>
      </x:c>
      <x:c r="V387" s="9" t="n">
        <x:f>H387*MAX(0,AB386-O387)*tun_OvercapLoss</x:f>
        <x:v>0</x:v>
      </x:c>
      <x:c r="W387" s="9" t="n">
        <x:f>H387*Y386/(tun_ChildYears*4)</x:f>
        <x:v>80.3325812631231</x:v>
      </x:c>
      <x:c r="X387" s="9" t="n">
        <x:f>H387*Z386/(tun_AdultYears*4)</x:f>
        <x:v>23.106197596922193</x:v>
      </x:c>
      <x:c r="Y387" s="32" t="n">
        <x:f>Y386+R387-S387-W387-Y386*V387/AB386</x:f>
        <x:v>4575.222828244783</x:v>
      </x:c>
      <x:c r="Z387" s="32" t="n">
        <x:f>Z386+W387-X387-T387-Z386*V387/AB386</x:f>
        <x:v>2914.9096329730296</x:v>
      </x:c>
      <x:c r="AA387" s="32" t="n">
        <x:f>AA386+X387-U387-AA386*V387/AB386</x:f>
        <x:v>818.0961049064681</x:v>
      </x:c>
      <x:c r="AB387" s="10" t="n">
        <x:f>Y387+Z387+AA387</x:f>
        <x:v>8308.22856612428</x:v>
      </x:c>
      <x:c r="AC387" s="8" t="n">
        <x:f>IF(AND(tun_WinterTrigger=1,D387=1,AB386/AE386&gt;=K387),1,0)</x:f>
        <x:v>0</x:v>
      </x:c>
      <x:c r="AD387" s="8" t="n">
        <x:f>H387*IF(AND(OR(AB386/AE386&gt;=tun_FissionTrigger*N387,AC387=1),AB386/AE386*tun_DaughterShare&gt;=tun_MinDaughter),MAX(1,ROUND(AE386*tun_FissionRate,0)),0)</x:f>
        <x:v>0</x:v>
      </x:c>
      <x:c r="AE387" s="8" t="n">
        <x:f>IF(H387=1,MAX(1,MIN(INDEX(tun_Smax,G387),AE386+AD387)),AE386)</x:f>
        <x:v>12</x:v>
      </x:c>
      <x:c r="AF387" s="8" t="n">
        <x:f>MAX(0,AE387-AE386)</x:f>
        <x:v>0</x:v>
      </x:c>
      <x:c r="AG387" s="9" t="str">
        <x:f>IF(AF387&gt;0,B387,"")</x:f>
      </x:c>
      <x:c r="AH387" s="9" t="n">
        <x:f>IF(F387&gt;=1,1,(1+tun_LowTiesShare*(AE387-1))/AE387)</x:f>
        <x:v>1</x:v>
      </x:c>
      <x:c r="AI387" s="32" t="n">
        <x:f>(Z387+tun_ElderCommons*INDEX(LM_Elder,G387)*AA387)*AH387</x:f>
        <x:v>5982.770026372285</x:v>
      </x:c>
      <x:c r="AJ387" s="32" t="n">
        <x:f>H387*tun_CommonsCoef*AI387^tun_CommonsExp*INDEX(LM_Commons,G387)</x:f>
        <x:v>11336.49100537761</x:v>
      </x:c>
      <x:c r="AK387" s="32" t="n">
        <x:f>H387*tun_RoleScale*Arch_Roles*(AE387*(INDEX(tun_ElderRolePerSett,G387)*tun_OutElder*INDEX(LM_Elder,G387)+INDEX(tun_ShamanPerSett,G387)*tun_OutShaman)+Z387*(INDEX(tun_PriestShare,G387)*tun_OutPriest+INDEX(tun_ScribeShare,G387)*tun_OutScribe*INDEX(LM_Scribe,G387)+INDEX(tun_ScholarShare,G387)*tun_OutScholar*INDEX(LM_Scholar,G387)+INDEX(tun_ResearcherShare,G387)*tun_OutResearcher*INDEX(LM_Researcher,G387)))</x:f>
        <x:v>3264.560837743192</x:v>
      </x:c>
      <x:c r="AL387" s="32" t="n">
        <x:f>H387*tun_RoleScale*Arch_Roles*AE387*INDEX(tun_MonasteryPerSett,G387)*tun_OutMonastery*INDEX(LM_Monastery,G387)</x:f>
        <x:v>63.36</x:v>
      </x:c>
      <x:c r="AM387" s="32" t="n">
        <x:f>(AJ387+AK387+AL387)/4*INDEX(LM_All,G387)*INDEX(tun_Boon,G387)*Arch_Insight</x:f>
        <x:v>6701.178074174663</x:v>
      </x:c>
      <x:c r="AN387" s="32" t="n">
        <x:f>H387*(tun_KHPerAdult*Z387+tun_KHOfCommons*AJ387/4*INDEX(LM_All,G387))*tun_KHUsable*Arch_KH</x:f>
        <x:v>1094.4301520562212</x:v>
      </x:c>
      <x:c r="AO387" s="32" t="n">
        <x:f>MIN(AP386+AN387,AM387*tun_KHMaxRatio)</x:f>
        <x:v>1094.4301520562212</x:v>
      </x:c>
      <x:c r="AP387" s="32" t="n">
        <x:f>AP386+AN387-AO387</x:f>
        <x:v>0</x:v>
      </x:c>
      <x:c r="AQ387" s="32" t="n">
        <x:f>AM387+AO387</x:f>
        <x:v>7795.608226230885</x:v>
      </x:c>
      <x:c r="AR387" s="10" t="n">
        <x:f>IF(H387=1,INDEX(tun_Req,G387),0)</x:f>
        <x:v>434961.70024459995</x:v>
      </x:c>
      <x:c r="AS387" s="32" t="n">
        <x:f>IF(H387=1,IF(E387=1,AS386-AR386,AS386)+AQ387,0)</x:f>
        <x:v>361041.3902737798</x:v>
      </x:c>
      <x:c r="AT387" s="11" t="n">
        <x:f>IF(AR387&gt;0,MIN(1,AS387/AR387),1)</x:f>
        <x:v>0.8300532899120746</x:v>
      </x:c>
      <x:c r="AU387" s="10" t="n">
        <x:f>AB387/INDEX(tun_RepScale,G387)</x:f>
        <x:v>332.3291426449712</x:v>
      </x:c>
      <x:c r="AV387" s="32" t="n">
        <x:f>AM387*60/tun_SeasonSeconds</x:f>
        <x:v>26804.712296698654</x:v>
      </x:c>
    </x:row>
    <x:row r="388">
      <x:c r="A388" s="8" t="n">
        <x:f>A387+1</x:f>
        <x:v>385</x:v>
      </x:c>
      <x:c r="B388" s="9" t="n">
        <x:f>A388*tun_SeasonSeconds/60</x:f>
        <x:v>96.25</x:v>
      </x:c>
      <x:c r="C388" s="9" t="n">
        <x:f>A388/4</x:f>
        <x:v>96.25</x:v>
      </x:c>
      <x:c r="D388" s="8" t="n">
        <x:f>IF(MOD(A388,4)=0,1,0)</x:f>
        <x:v>0</x:v>
      </x:c>
      <x:c r="E388" s="8" t="n">
        <x:f>IF(AND(F387&lt;=9,AS387&gt;=AR387),1,0)</x:f>
        <x:v>0</x:v>
      </x:c>
      <x:c r="F388" s="8" t="n">
        <x:f>MIN(10,F387+E388)</x:f>
        <x:v>6</x:v>
      </x:c>
      <x:c r="G388" s="8" t="n">
        <x:f>MIN(F388,9)+1</x:f>
        <x:v>7</x:v>
      </x:c>
      <x:c r="H388" s="8" t="n">
        <x:f>IF(F388&lt;=9,1,0)</x:f>
        <x:v>1</x:v>
      </x:c>
      <x:c r="I388" s="9" t="n">
        <x:f>MIN(10,F387+IF(AR387&gt;0,MIN(1,AS387/AR387),1))</x:f>
        <x:v>6.830053289912074</x:v>
      </x:c>
      <x:c r="J388" s="32" t="n">
        <x:f>INDEX(tun_FoodCap,G388)*Arch_FoodCap*EXP(tun_CapsByProject*SUMPRODUCT((Cap_Point&lt;=I388)*(Cap_Kind="Food")*Cap_Ln))</x:f>
        <x:v>1030.8296491509448</x:v>
      </x:c>
      <x:c r="K388" s="32" t="n">
        <x:f>J388*MIN(1,tun_LeanBase*EXP(tun_CapsByProject*SUMPRODUCT((Cap_Point&lt;=I388)*(Cap_Kind="Lean")*Cap_Ln)))</x:f>
        <x:v>1030.8296491509448</x:v>
      </x:c>
      <x:c r="L388" s="10" t="n">
        <x:f>INDEX(tun_HousingCap,G388)*EXP(tun_CapsByProject*SUMPRODUCT((Cap_Point&lt;=I388)*(Cap_Kind="Housing")*Cap_Ln))</x:f>
        <x:v>2423.1679699072442</x:v>
      </x:c>
      <x:c r="M388" s="10" t="n">
        <x:f>INDEX(tun_GroupCap,G388)*tun_CohesionFactor*EXP(tun_CapsByProject*SUMPRODUCT((Cap_Point&lt;=I388)*(Cap_Kind="Group")*Cap_Ln))</x:f>
        <x:v>1000000.000000001</x:v>
      </x:c>
      <x:c r="N388" s="32" t="n">
        <x:f>MIN(J388,L388,M388)</x:f>
        <x:v>1030.8296491509448</x:v>
      </x:c>
      <x:c r="O388" s="10" t="n">
        <x:f>AE387*N388</x:f>
        <x:v>12369.955789811338</x:v>
      </x:c>
      <x:c r="P388" s="9" t="n">
        <x:f>MIN(1,(AB387/(AE387*IF(tun_GroupInCrowding=1,N388,MIN(J388,L388))))^tun_CrowdingExp)</x:f>
        <x:v>0.09179979896812754</x:v>
      </x:c>
      <x:c r="Q388" s="9" t="n">
        <x:f>IF(D388=1,INDEX(tun_WinterMult,G388),1)</x:f>
        <x:v>1</x:v>
      </x:c>
      <x:c r="R388" s="9" t="n">
        <x:f>H388*Z387*tun_WomenShare*tun_BaseFertility*INDEX(tun_FertMult,G388)*Arch_Fertility*(1-P388)</x:f>
        <x:v>189.2834882978931</x:v>
      </x:c>
      <x:c r="S388" s="9" t="n">
        <x:f>H388*Y387*INDEX(tun_MortChild,G388)/4*Q388</x:f>
        <x:v>28.595142676529896</x:v>
      </x:c>
      <x:c r="T388" s="9" t="n">
        <x:f>H388*Z387*INDEX(tun_MortAdult,G388)*Arch_AdultMort/4*Q388</x:f>
        <x:v>6.922910378310945</x:v>
      </x:c>
      <x:c r="U388" s="9" t="n">
        <x:f>H388*AA387*INDEX(tun_MortElder,G388)/4*Q388</x:f>
        <x:v>10.021677285104234</x:v>
      </x:c>
      <x:c r="V388" s="9" t="n">
        <x:f>H388*MAX(0,AB387-O388)*tun_OvercapLoss</x:f>
        <x:v>0</x:v>
      </x:c>
      <x:c r="W388" s="9" t="n">
        <x:f>H388*Y387/(tun_ChildYears*4)</x:f>
        <x:v>81.70040764722827</x:v>
      </x:c>
      <x:c r="X388" s="9" t="n">
        <x:f>H388*Z387/(tun_AdultYears*4)</x:f>
        <x:v>23.507335749782495</x:v>
      </x:c>
      <x:c r="Y388" s="32" t="n">
        <x:f>Y387+R388-S388-W388-Y387*V388/AB387</x:f>
        <x:v>4654.210766218918</x:v>
      </x:c>
      <x:c r="Z388" s="32" t="n">
        <x:f>Z387+W388-X388-T388-Z387*V388/AB387</x:f>
        <x:v>2966.179794492164</x:v>
      </x:c>
      <x:c r="AA388" s="32" t="n">
        <x:f>AA387+X388-U388-AA387*V388/AB387</x:f>
        <x:v>831.5817633711463</x:v>
      </x:c>
      <x:c r="AB388" s="10" t="n">
        <x:f>Y388+Z388+AA388</x:f>
        <x:v>8451.97232408223</x:v>
      </x:c>
      <x:c r="AC388" s="8" t="n">
        <x:f>IF(AND(tun_WinterTrigger=1,D388=1,AB387/AE387&gt;=K388),1,0)</x:f>
        <x:v>0</x:v>
      </x:c>
      <x:c r="AD388" s="8" t="n">
        <x:f>H388*IF(AND(OR(AB387/AE387&gt;=tun_FissionTrigger*N388,AC388=1),AB387/AE387*tun_DaughterShare&gt;=tun_MinDaughter),MAX(1,ROUND(AE387*tun_FissionRate,0)),0)</x:f>
        <x:v>0</x:v>
      </x:c>
      <x:c r="AE388" s="8" t="n">
        <x:f>IF(H388=1,MAX(1,MIN(INDEX(tun_Smax,G388),AE387+AD388)),AE387)</x:f>
        <x:v>12</x:v>
      </x:c>
      <x:c r="AF388" s="8" t="n">
        <x:f>MAX(0,AE388-AE387)</x:f>
        <x:v>0</x:v>
      </x:c>
      <x:c r="AG388" s="9" t="str">
        <x:f>IF(AF388&gt;0,B388,"")</x:f>
      </x:c>
      <x:c r="AH388" s="9" t="n">
        <x:f>IF(F388&gt;=1,1,(1+tun_LowTiesShare*(AE388-1))/AE388)</x:f>
        <x:v>1</x:v>
      </x:c>
      <x:c r="AI388" s="32" t="n">
        <x:f>(Z388+tun_ElderCommons*INDEX(LM_Elder,G388)*AA388)*AH388</x:f>
        <x:v>6084.6114071339625</x:v>
      </x:c>
      <x:c r="AJ388" s="32" t="n">
        <x:f>H388*tun_CommonsCoef*AI388^tun_CommonsExp*INDEX(LM_Commons,G388)</x:f>
        <x:v>11500.311533673343</x:v>
      </x:c>
      <x:c r="AK388" s="32" t="n">
        <x:f>H388*tun_RoleScale*Arch_Roles*(AE388*(INDEX(tun_ElderRolePerSett,G388)*tun_OutElder*INDEX(LM_Elder,G388)+INDEX(tun_ShamanPerSett,G388)*tun_OutShaman)+Z388*(INDEX(tun_PriestShare,G388)*tun_OutPriest+INDEX(tun_ScribeShare,G388)*tun_OutScribe*INDEX(LM_Scribe,G388)+INDEX(tun_ScholarShare,G388)*tun_OutScholar*INDEX(LM_Scholar,G388)+INDEX(tun_ResearcherShare,G388)*tun_OutResearcher*INDEX(LM_Researcher,G388)))</x:f>
        <x:v>3316.282176683695</x:v>
      </x:c>
      <x:c r="AL388" s="32" t="n">
        <x:f>H388*tun_RoleScale*Arch_Roles*AE388*INDEX(tun_MonasteryPerSett,G388)*tun_OutMonastery*INDEX(LM_Monastery,G388)</x:f>
        <x:v>63.36</x:v>
      </x:c>
      <x:c r="AM388" s="32" t="n">
        <x:f>(AJ388+AK388+AL388)/4*INDEX(LM_All,G388)*INDEX(tun_Boon,G388)*Arch_Insight</x:f>
        <x:v>6799.673973651716</x:v>
      </x:c>
      <x:c r="AN388" s="32" t="n">
        <x:f>H388*(tun_KHPerAdult*Z388+tun_KHOfCommons*AJ388/4*INDEX(LM_All,G388))*tun_KHUsable*Arch_KH</x:f>
        <x:v>1110.2454625969854</x:v>
      </x:c>
      <x:c r="AO388" s="32" t="n">
        <x:f>MIN(AP387+AN388,AM388*tun_KHMaxRatio)</x:f>
        <x:v>1110.2454625969854</x:v>
      </x:c>
      <x:c r="AP388" s="32" t="n">
        <x:f>AP387+AN388-AO388</x:f>
        <x:v>0</x:v>
      </x:c>
      <x:c r="AQ388" s="32" t="n">
        <x:f>AM388+AO388</x:f>
        <x:v>7909.9194362487015</x:v>
      </x:c>
      <x:c r="AR388" s="10" t="n">
        <x:f>IF(H388=1,INDEX(tun_Req,G388),0)</x:f>
        <x:v>434961.70024459995</x:v>
      </x:c>
      <x:c r="AS388" s="32" t="n">
        <x:f>IF(H388=1,IF(E388=1,AS387-AR387,AS387)+AQ388,0)</x:f>
        <x:v>368951.3097100285</x:v>
      </x:c>
      <x:c r="AT388" s="11" t="n">
        <x:f>IF(AR388&gt;0,MIN(1,AS388/AR388),1)</x:f>
        <x:v>0.8482386138884168</x:v>
      </x:c>
      <x:c r="AU388" s="10" t="n">
        <x:f>AB388/INDEX(tun_RepScale,G388)</x:f>
        <x:v>338.0788929632892</x:v>
      </x:c>
      <x:c r="AV388" s="32" t="n">
        <x:f>AM388*60/tun_SeasonSeconds</x:f>
        <x:v>27198.695894606863</x:v>
      </x:c>
    </x:row>
    <x:row r="389">
      <x:c r="A389" s="8" t="n">
        <x:f>A388+1</x:f>
        <x:v>386</x:v>
      </x:c>
      <x:c r="B389" s="9" t="n">
        <x:f>A389*tun_SeasonSeconds/60</x:f>
        <x:v>96.5</x:v>
      </x:c>
      <x:c r="C389" s="9" t="n">
        <x:f>A389/4</x:f>
        <x:v>96.5</x:v>
      </x:c>
      <x:c r="D389" s="8" t="n">
        <x:f>IF(MOD(A389,4)=0,1,0)</x:f>
        <x:v>0</x:v>
      </x:c>
      <x:c r="E389" s="8" t="n">
        <x:f>IF(AND(F388&lt;=9,AS388&gt;=AR388),1,0)</x:f>
        <x:v>0</x:v>
      </x:c>
      <x:c r="F389" s="8" t="n">
        <x:f>MIN(10,F388+E389)</x:f>
        <x:v>6</x:v>
      </x:c>
      <x:c r="G389" s="8" t="n">
        <x:f>MIN(F389,9)+1</x:f>
        <x:v>7</x:v>
      </x:c>
      <x:c r="H389" s="8" t="n">
        <x:f>IF(F389&lt;=9,1,0)</x:f>
        <x:v>1</x:v>
      </x:c>
      <x:c r="I389" s="9" t="n">
        <x:f>MIN(10,F388+IF(AR388&gt;0,MIN(1,AS388/AR388),1))</x:f>
        <x:v>6.848238613888417</x:v>
      </x:c>
      <x:c r="J389" s="32" t="n">
        <x:f>INDEX(tun_FoodCap,G389)*Arch_FoodCap*EXP(tun_CapsByProject*SUMPRODUCT((Cap_Point&lt;=I389)*(Cap_Kind="Food")*Cap_Ln))</x:f>
        <x:v>1030.8296491509448</x:v>
      </x:c>
      <x:c r="K389" s="32" t="n">
        <x:f>J389*MIN(1,tun_LeanBase*EXP(tun_CapsByProject*SUMPRODUCT((Cap_Point&lt;=I389)*(Cap_Kind="Lean")*Cap_Ln)))</x:f>
        <x:v>1030.8296491509448</x:v>
      </x:c>
      <x:c r="L389" s="10" t="n">
        <x:f>INDEX(tun_HousingCap,G389)*EXP(tun_CapsByProject*SUMPRODUCT((Cap_Point&lt;=I389)*(Cap_Kind="Housing")*Cap_Ln))</x:f>
        <x:v>2423.1679699072442</x:v>
      </x:c>
      <x:c r="M389" s="10" t="n">
        <x:f>INDEX(tun_GroupCap,G389)*tun_CohesionFactor*EXP(tun_CapsByProject*SUMPRODUCT((Cap_Point&lt;=I389)*(Cap_Kind="Group")*Cap_Ln))</x:f>
        <x:v>1000000.000000001</x:v>
      </x:c>
      <x:c r="N389" s="32" t="n">
        <x:f>MIN(J389,L389,M389)</x:f>
        <x:v>1030.8296491509448</x:v>
      </x:c>
      <x:c r="O389" s="10" t="n">
        <x:f>AE388*N389</x:f>
        <x:v>12369.955789811338</x:v>
      </x:c>
      <x:c r="P389" s="9" t="n">
        <x:f>MIN(1,(AB388/(AE388*IF(tun_GroupInCrowding=1,N389,MIN(J389,L389))))^tun_CrowdingExp)</x:f>
        <x:v>0.10175119371563422</x:v>
      </x:c>
      <x:c r="Q389" s="9" t="n">
        <x:f>IF(D389=1,INDEX(tun_WinterMult,G389),1)</x:f>
        <x:v>1</x:v>
      </x:c>
      <x:c r="R389" s="9" t="n">
        <x:f>H389*Z388*tun_WomenShare*tun_BaseFertility*INDEX(tun_FertMult,G389)*Arch_Fertility*(1-P389)</x:f>
        <x:v>190.50227336335854</x:v>
      </x:c>
      <x:c r="S389" s="9" t="n">
        <x:f>H389*Y388*INDEX(tun_MortChild,G389)/4*Q389</x:f>
        <x:v>29.088817288868242</x:v>
      </x:c>
      <x:c r="T389" s="9" t="n">
        <x:f>H389*Z388*INDEX(tun_MortAdult,G389)*Arch_AdultMort/4*Q389</x:f>
        <x:v>7.04467701191889</x:v>
      </x:c>
      <x:c r="U389" s="9" t="n">
        <x:f>H389*AA388*INDEX(tun_MortElder,G389)/4*Q389</x:f>
        <x:v>10.186876601296543</x:v>
      </x:c>
      <x:c r="V389" s="9" t="n">
        <x:f>H389*MAX(0,AB388-O389)*tun_OvercapLoss</x:f>
        <x:v>0</x:v>
      </x:c>
      <x:c r="W389" s="9" t="n">
        <x:f>H389*Y388/(tun_ChildYears*4)</x:f>
        <x:v>83.11090653962354</x:v>
      </x:c>
      <x:c r="X389" s="9" t="n">
        <x:f>H389*Z388/(tun_AdultYears*4)</x:f>
        <x:v>23.920804794291644</x:v>
      </x:c>
      <x:c r="Y389" s="32" t="n">
        <x:f>Y388+R389-S389-W389-Y388*V389/AB388</x:f>
        <x:v>4732.513315753786</x:v>
      </x:c>
      <x:c r="Z389" s="32" t="n">
        <x:f>Z388+W389-X389-T389-Z388*V389/AB388</x:f>
        <x:v>3018.3252192255773</x:v>
      </x:c>
      <x:c r="AA389" s="32" t="n">
        <x:f>AA388+X389-U389-AA388*V389/AB388</x:f>
        <x:v>845.3156915641414</x:v>
      </x:c>
      <x:c r="AB389" s="10" t="n">
        <x:f>Y389+Z389+AA389</x:f>
        <x:v>8596.154226543504</x:v>
      </x:c>
      <x:c r="AC389" s="8" t="n">
        <x:f>IF(AND(tun_WinterTrigger=1,D389=1,AB388/AE388&gt;=K389),1,0)</x:f>
        <x:v>0</x:v>
      </x:c>
      <x:c r="AD389" s="8" t="n">
        <x:f>H389*IF(AND(OR(AB388/AE388&gt;=tun_FissionTrigger*N389,AC389=1),AB388/AE388*tun_DaughterShare&gt;=tun_MinDaughter),MAX(1,ROUND(AE388*tun_FissionRate,0)),0)</x:f>
        <x:v>0</x:v>
      </x:c>
      <x:c r="AE389" s="8" t="n">
        <x:f>IF(H389=1,MAX(1,MIN(INDEX(tun_Smax,G389),AE388+AD389)),AE388)</x:f>
        <x:v>12</x:v>
      </x:c>
      <x:c r="AF389" s="8" t="n">
        <x:f>MAX(0,AE389-AE388)</x:f>
        <x:v>0</x:v>
      </x:c>
      <x:c r="AG389" s="9" t="str">
        <x:f>IF(AF389&gt;0,B389,"")</x:f>
      </x:c>
      <x:c r="AH389" s="9" t="n">
        <x:f>IF(F389&gt;=1,1,(1+tun_LowTiesShare*(AE389-1))/AE389)</x:f>
        <x:v>1</x:v>
      </x:c>
      <x:c r="AI389" s="32" t="n">
        <x:f>(Z389+tun_ElderCommons*INDEX(LM_Elder,G389)*AA389)*AH389</x:f>
        <x:v>6188.259062591107</x:v>
      </x:c>
      <x:c r="AJ389" s="32" t="n">
        <x:f>H389*tun_CommonsCoef*AI389^tun_CommonsExp*INDEX(LM_Commons,G389)</x:f>
        <x:v>11666.615865107797</x:v>
      </x:c>
      <x:c r="AK389" s="32" t="n">
        <x:f>H389*tun_RoleScale*Arch_Roles*(AE389*(INDEX(tun_ElderRolePerSett,G389)*tun_OutElder*INDEX(LM_Elder,G389)+INDEX(tun_ShamanPerSett,G389)*tun_OutShaman)+Z389*(INDEX(tun_PriestShare,G389)*tun_OutPriest+INDEX(tun_ScribeShare,G389)*tun_OutScribe*INDEX(LM_Scribe,G389)+INDEX(tun_ScholarShare,G389)*tun_OutScholar*INDEX(LM_Scholar,G389)+INDEX(tun_ResearcherShare,G389)*tun_OutResearcher*INDEX(LM_Researcher,G389)))</x:f>
        <x:v>3368.886481154762</x:v>
      </x:c>
      <x:c r="AL389" s="32" t="n">
        <x:f>H389*tun_RoleScale*Arch_Roles*AE389*INDEX(tun_MonasteryPerSett,G389)*tun_OutMonastery*INDEX(LM_Monastery,G389)</x:f>
        <x:v>63.36</x:v>
      </x:c>
      <x:c r="AM389" s="32" t="n">
        <x:f>(AJ389+AK389+AL389)/4*INDEX(LM_All,G389)*INDEX(tun_Boon,G389)*Arch_Insight</x:f>
        <x:v>6899.708381227749</x:v>
      </x:c>
      <x:c r="AN389" s="32" t="n">
        <x:f>H389*(tun_KHPerAdult*Z389+tun_KHOfCommons*AJ389/4*INDEX(LM_All,G389))*tun_KHUsable*Arch_KH</x:f>
        <x:v>1126.3005606562597</x:v>
      </x:c>
      <x:c r="AO389" s="32" t="n">
        <x:f>MIN(AP388+AN389,AM389*tun_KHMaxRatio)</x:f>
        <x:v>1126.3005606562597</x:v>
      </x:c>
      <x:c r="AP389" s="32" t="n">
        <x:f>AP388+AN389-AO389</x:f>
        <x:v>0</x:v>
      </x:c>
      <x:c r="AQ389" s="32" t="n">
        <x:f>AM389+AO389</x:f>
        <x:v>8026.008941884009</x:v>
      </x:c>
      <x:c r="AR389" s="10" t="n">
        <x:f>IF(H389=1,INDEX(tun_Req,G389),0)</x:f>
        <x:v>434961.70024459995</x:v>
      </x:c>
      <x:c r="AS389" s="32" t="n">
        <x:f>IF(H389=1,IF(E389=1,AS388-AR388,AS388)+AQ389,0)</x:f>
        <x:v>376977.31865191256</x:v>
      </x:c>
      <x:c r="AT389" s="11" t="n">
        <x:f>IF(AR389&gt;0,MIN(1,AS389/AR389),1)</x:f>
        <x:v>0.8666908337904694</x:v>
      </x:c>
      <x:c r="AU389" s="10" t="n">
        <x:f>AB389/INDEX(tun_RepScale,G389)</x:f>
        <x:v>343.84616906174017</x:v>
      </x:c>
      <x:c r="AV389" s="32" t="n">
        <x:f>AM389*60/tun_SeasonSeconds</x:f>
        <x:v>27598.833524911</x:v>
      </x:c>
    </x:row>
    <x:row r="390">
      <x:c r="A390" s="8" t="n">
        <x:f>A389+1</x:f>
        <x:v>387</x:v>
      </x:c>
      <x:c r="B390" s="9" t="n">
        <x:f>A390*tun_SeasonSeconds/60</x:f>
        <x:v>96.75</x:v>
      </x:c>
      <x:c r="C390" s="9" t="n">
        <x:f>A390/4</x:f>
        <x:v>96.75</x:v>
      </x:c>
      <x:c r="D390" s="8" t="n">
        <x:f>IF(MOD(A390,4)=0,1,0)</x:f>
        <x:v>0</x:v>
      </x:c>
      <x:c r="E390" s="8" t="n">
        <x:f>IF(AND(F389&lt;=9,AS389&gt;=AR389),1,0)</x:f>
        <x:v>0</x:v>
      </x:c>
      <x:c r="F390" s="8" t="n">
        <x:f>MIN(10,F389+E390)</x:f>
        <x:v>6</x:v>
      </x:c>
      <x:c r="G390" s="8" t="n">
        <x:f>MIN(F390,9)+1</x:f>
        <x:v>7</x:v>
      </x:c>
      <x:c r="H390" s="8" t="n">
        <x:f>IF(F390&lt;=9,1,0)</x:f>
        <x:v>1</x:v>
      </x:c>
      <x:c r="I390" s="9" t="n">
        <x:f>MIN(10,F389+IF(AR389&gt;0,MIN(1,AS389/AR389),1))</x:f>
        <x:v>6.86669083379047</x:v>
      </x:c>
      <x:c r="J390" s="32" t="n">
        <x:f>INDEX(tun_FoodCap,G390)*Arch_FoodCap*EXP(tun_CapsByProject*SUMPRODUCT((Cap_Point&lt;=I390)*(Cap_Kind="Food")*Cap_Ln))</x:f>
        <x:v>1030.8296491509448</x:v>
      </x:c>
      <x:c r="K390" s="32" t="n">
        <x:f>J390*MIN(1,tun_LeanBase*EXP(tun_CapsByProject*SUMPRODUCT((Cap_Point&lt;=I390)*(Cap_Kind="Lean")*Cap_Ln)))</x:f>
        <x:v>1030.8296491509448</x:v>
      </x:c>
      <x:c r="L390" s="10" t="n">
        <x:f>INDEX(tun_HousingCap,G390)*EXP(tun_CapsByProject*SUMPRODUCT((Cap_Point&lt;=I390)*(Cap_Kind="Housing")*Cap_Ln))</x:f>
        <x:v>2423.1679699072442</x:v>
      </x:c>
      <x:c r="M390" s="10" t="n">
        <x:f>INDEX(tun_GroupCap,G390)*tun_CohesionFactor*EXP(tun_CapsByProject*SUMPRODUCT((Cap_Point&lt;=I390)*(Cap_Kind="Group")*Cap_Ln))</x:f>
        <x:v>1000000.000000001</x:v>
      </x:c>
      <x:c r="N390" s="32" t="n">
        <x:f>MIN(J390,L390,M390)</x:f>
        <x:v>1030.8296491509448</x:v>
      </x:c>
      <x:c r="O390" s="10" t="n">
        <x:f>AE389*N390</x:f>
        <x:v>12369.955789811338</x:v>
      </x:c>
      <x:c r="P390" s="9" t="n">
        <x:f>MIN(1,(AB389/(AE389*IF(tun_GroupInCrowding=1,N390,MIN(J390,L390))))^tun_CrowdingExp)</x:f>
        <x:v>0.11262020343408177</x:v>
      </x:c>
      <x:c r="Q390" s="9" t="n">
        <x:f>IF(D390=1,INDEX(tun_WinterMult,G390),1)</x:f>
        <x:v>1</x:v>
      </x:c>
      <x:c r="R390" s="9" t="n">
        <x:f>H390*Z389*tun_WomenShare*tun_BaseFertility*INDEX(tun_FertMult,G390)*Arch_Fertility*(1-P390)</x:f>
        <x:v>191.50565855894143</x:v>
      </x:c>
      <x:c r="S390" s="9" t="n">
        <x:f>H390*Y389*INDEX(tun_MortChild,G390)/4*Q390</x:f>
        <x:v>29.57820822346116</x:v>
      </x:c>
      <x:c r="T390" s="9" t="n">
        <x:f>H390*Z389*INDEX(tun_MortAdult,G390)*Arch_AdultMort/4*Q390</x:f>
        <x:v>7.168522395660746</x:v>
      </x:c>
      <x:c r="U390" s="9" t="n">
        <x:f>H390*AA389*INDEX(tun_MortElder,G390)/4*Q390</x:f>
        <x:v>10.355117221660732</x:v>
      </x:c>
      <x:c r="V390" s="9" t="n">
        <x:f>H390*MAX(0,AB389-O390)*tun_OvercapLoss</x:f>
        <x:v>0</x:v>
      </x:c>
      <x:c r="W390" s="9" t="n">
        <x:f>H390*Y389/(tun_ChildYears*4)</x:f>
        <x:v>84.50916635274618</x:v>
      </x:c>
      <x:c r="X390" s="9" t="n">
        <x:f>H390*Z389/(tun_AdultYears*4)</x:f>
        <x:v>24.341332413109495</x:v>
      </x:c>
      <x:c r="Y390" s="32" t="n">
        <x:f>Y389+R390-S390-W390-Y389*V390/AB389</x:f>
        <x:v>4809.93159973652</x:v>
      </x:c>
      <x:c r="Z390" s="32" t="n">
        <x:f>Z389+W390-X390-T390-Z389*V390/AB389</x:f>
        <x:v>3071.3245307695533</x:v>
      </x:c>
      <x:c r="AA390" s="32" t="n">
        <x:f>AA389+X390-U390-AA389*V390/AB389</x:f>
        <x:v>859.3019067555902</x:v>
      </x:c>
      <x:c r="AB390" s="10" t="n">
        <x:f>Y390+Z390+AA390</x:f>
        <x:v>8740.558037261664</x:v>
      </x:c>
      <x:c r="AC390" s="8" t="n">
        <x:f>IF(AND(tun_WinterTrigger=1,D390=1,AB389/AE389&gt;=K390),1,0)</x:f>
        <x:v>0</x:v>
      </x:c>
      <x:c r="AD390" s="8" t="n">
        <x:f>H390*IF(AND(OR(AB389/AE389&gt;=tun_FissionTrigger*N390,AC390=1),AB389/AE389*tun_DaughterShare&gt;=tun_MinDaughter),MAX(1,ROUND(AE389*tun_FissionRate,0)),0)</x:f>
        <x:v>0</x:v>
      </x:c>
      <x:c r="AE390" s="8" t="n">
        <x:f>IF(H390=1,MAX(1,MIN(INDEX(tun_Smax,G390),AE389+AD390)),AE389)</x:f>
        <x:v>12</x:v>
      </x:c>
      <x:c r="AF390" s="8" t="n">
        <x:f>MAX(0,AE390-AE389)</x:f>
        <x:v>0</x:v>
      </x:c>
      <x:c r="AG390" s="9" t="str">
        <x:f>IF(AF390&gt;0,B390,"")</x:f>
      </x:c>
      <x:c r="AH390" s="9" t="n">
        <x:f>IF(F390&gt;=1,1,(1+tun_LowTiesShare*(AE390-1))/AE390)</x:f>
        <x:v>1</x:v>
      </x:c>
      <x:c r="AI390" s="32" t="n">
        <x:f>(Z390+tun_ElderCommons*INDEX(LM_Elder,G390)*AA390)*AH390</x:f>
        <x:v>6293.706681103016</x:v>
      </x:c>
      <x:c r="AJ390" s="32" t="n">
        <x:f>H390*tun_CommonsCoef*AI390^tun_CommonsExp*INDEX(LM_Commons,G390)</x:f>
        <x:v>11835.38006666829</x:v>
      </x:c>
      <x:c r="AK390" s="32" t="n">
        <x:f>H390*tun_RoleScale*Arch_Roles*(AE390*(INDEX(tun_ElderRolePerSett,G390)*tun_OutElder*INDEX(LM_Elder,G390)+INDEX(tun_ShamanPerSett,G390)*tun_OutShaman)+Z390*(INDEX(tun_PriestShare,G390)*tun_OutPriest+INDEX(tun_ScribeShare,G390)*tun_OutScribe*INDEX(LM_Scribe,G390)+INDEX(tun_ScholarShare,G390)*tun_OutScholar*INDEX(LM_Scholar,G390)+INDEX(tun_ResearcherShare,G390)*tun_OutResearcher*INDEX(LM_Researcher,G390)))</x:f>
        <x:v>3422.3521866403253</x:v>
      </x:c>
      <x:c r="AL390" s="32" t="n">
        <x:f>H390*tun_RoleScale*Arch_Roles*AE390*INDEX(tun_MonasteryPerSett,G390)*tun_OutMonastery*INDEX(LM_Monastery,G390)</x:f>
        <x:v>63.36</x:v>
      </x:c>
      <x:c r="AM390" s="32" t="n">
        <x:f>(AJ390+AK390+AL390)/4*INDEX(LM_All,G390)*INDEX(tun_Boon,G390)*Arch_Insight</x:f>
        <x:v>7001.260505953536</x:v>
      </x:c>
      <x:c r="AN390" s="32" t="n">
        <x:f>H390*(tun_KHPerAdult*Z390+tun_KHOfCommons*AJ390/4*INDEX(LM_All,G390))*tun_KHUsable*Arch_KH</x:f>
        <x:v>1142.5931357297884</x:v>
      </x:c>
      <x:c r="AO390" s="32" t="n">
        <x:f>MIN(AP389+AN390,AM390*tun_KHMaxRatio)</x:f>
        <x:v>1142.5931357297884</x:v>
      </x:c>
      <x:c r="AP390" s="32" t="n">
        <x:f>AP389+AN390-AO390</x:f>
        <x:v>0</x:v>
      </x:c>
      <x:c r="AQ390" s="32" t="n">
        <x:f>AM390+AO390</x:f>
        <x:v>8143.853641683325</x:v>
      </x:c>
      <x:c r="AR390" s="10" t="n">
        <x:f>IF(H390=1,INDEX(tun_Req,G390),0)</x:f>
        <x:v>434961.70024459995</x:v>
      </x:c>
      <x:c r="AS390" s="32" t="n">
        <x:f>IF(H390=1,IF(E390=1,AS389-AR389,AS389)+AQ390,0)</x:f>
        <x:v>385121.1722935959</x:v>
      </x:c>
      <x:c r="AT390" s="11" t="n">
        <x:f>IF(AR390&gt;0,MIN(1,AS390/AR390),1)</x:f>
        <x:v>0.8854139849026332</x:v>
      </x:c>
      <x:c r="AU390" s="10" t="n">
        <x:f>AB390/INDEX(tun_RepScale,G390)</x:f>
        <x:v>349.62232149046656</x:v>
      </x:c>
      <x:c r="AV390" s="32" t="n">
        <x:f>AM390*60/tun_SeasonSeconds</x:f>
        <x:v>28005.042023814145</x:v>
      </x:c>
    </x:row>
    <x:row r="391">
      <x:c r="A391" s="8" t="n">
        <x:f>A390+1</x:f>
        <x:v>388</x:v>
      </x:c>
      <x:c r="B391" s="9" t="n">
        <x:f>A391*tun_SeasonSeconds/60</x:f>
        <x:v>97</x:v>
      </x:c>
      <x:c r="C391" s="9" t="n">
        <x:f>A391/4</x:f>
        <x:v>97</x:v>
      </x:c>
      <x:c r="D391" s="8" t="n">
        <x:f>IF(MOD(A391,4)=0,1,0)</x:f>
        <x:v>1</x:v>
      </x:c>
      <x:c r="E391" s="8" t="n">
        <x:f>IF(AND(F390&lt;=9,AS390&gt;=AR390),1,0)</x:f>
        <x:v>0</x:v>
      </x:c>
      <x:c r="F391" s="8" t="n">
        <x:f>MIN(10,F390+E391)</x:f>
        <x:v>6</x:v>
      </x:c>
      <x:c r="G391" s="8" t="n">
        <x:f>MIN(F391,9)+1</x:f>
        <x:v>7</x:v>
      </x:c>
      <x:c r="H391" s="8" t="n">
        <x:f>IF(F391&lt;=9,1,0)</x:f>
        <x:v>1</x:v>
      </x:c>
      <x:c r="I391" s="9" t="n">
        <x:f>MIN(10,F390+IF(AR390&gt;0,MIN(1,AS390/AR390),1))</x:f>
        <x:v>6.885413984902633</x:v>
      </x:c>
      <x:c r="J391" s="32" t="n">
        <x:f>INDEX(tun_FoodCap,G391)*Arch_FoodCap*EXP(tun_CapsByProject*SUMPRODUCT((Cap_Point&lt;=I391)*(Cap_Kind="Food")*Cap_Ln))</x:f>
        <x:v>1030.8296491509448</x:v>
      </x:c>
      <x:c r="K391" s="32" t="n">
        <x:f>J391*MIN(1,tun_LeanBase*EXP(tun_CapsByProject*SUMPRODUCT((Cap_Point&lt;=I391)*(Cap_Kind="Lean")*Cap_Ln)))</x:f>
        <x:v>1030.8296491509448</x:v>
      </x:c>
      <x:c r="L391" s="10" t="n">
        <x:f>INDEX(tun_HousingCap,G391)*EXP(tun_CapsByProject*SUMPRODUCT((Cap_Point&lt;=I391)*(Cap_Kind="Housing")*Cap_Ln))</x:f>
        <x:v>2423.1679699072442</x:v>
      </x:c>
      <x:c r="M391" s="10" t="n">
        <x:f>INDEX(tun_GroupCap,G391)*tun_CohesionFactor*EXP(tun_CapsByProject*SUMPRODUCT((Cap_Point&lt;=I391)*(Cap_Kind="Group")*Cap_Ln))</x:f>
        <x:v>1000000.000000001</x:v>
      </x:c>
      <x:c r="N391" s="32" t="n">
        <x:f>MIN(J391,L391,M391)</x:f>
        <x:v>1030.8296491509448</x:v>
      </x:c>
      <x:c r="O391" s="10" t="n">
        <x:f>AE390*N391</x:f>
        <x:v>12369.955789811338</x:v>
      </x:c>
      <x:c r="P391" s="9" t="n">
        <x:f>MIN(1,(AB390/(AE390*IF(tun_GroupInCrowding=1,N391,MIN(J391,L391))))^tun_CrowdingExp)</x:f>
        <x:v>0.12445893500992954</x:v>
      </x:c>
      <x:c r="Q391" s="9" t="n">
        <x:f>IF(D391=1,INDEX(tun_WinterMult,G391),1)</x:f>
        <x:v>1.1</x:v>
      </x:c>
      <x:c r="R391" s="9" t="n">
        <x:f>H391*Z390*tun_WomenShare*tun_BaseFertility*INDEX(tun_FertMult,G391)*Arch_Fertility*(1-P391)</x:f>
        <x:v>192.2685586679074</x:v>
      </x:c>
      <x:c r="S391" s="9" t="n">
        <x:f>H391*Y390*INDEX(tun_MortChild,G391)/4*Q391</x:f>
        <x:v>33.06827974818858</x:v>
      </x:c>
      <x:c r="T391" s="9" t="n">
        <x:f>H391*Z390*INDEX(tun_MortAdult,G391)*Arch_AdultMort/4*Q391</x:f>
        <x:v>8.02383533663546</x:v>
      </x:c>
      <x:c r="U391" s="9" t="n">
        <x:f>H391*AA390*INDEX(tun_MortElder,G391)/4*Q391</x:f>
        <x:v>11.579093193531579</x:v>
      </x:c>
      <x:c r="V391" s="9" t="n">
        <x:f>H391*MAX(0,AB390-O391)*tun_OvercapLoss</x:f>
        <x:v>0</x:v>
      </x:c>
      <x:c r="W391" s="9" t="n">
        <x:f>H391*Y390/(tun_ChildYears*4)</x:f>
        <x:v>85.89163570958071</x:v>
      </x:c>
      <x:c r="X391" s="9" t="n">
        <x:f>H391*Z390/(tun_AdultYears*4)</x:f>
        <x:v>24.768746215883496</x:v>
      </x:c>
      <x:c r="Y391" s="32" t="n">
        <x:f>Y390+R391-S391-W391-Y390*V391/AB390</x:f>
        <x:v>4883.240242946658</x:v>
      </x:c>
      <x:c r="Z391" s="32" t="n">
        <x:f>Z390+W391-X391-T391-Z390*V391/AB390</x:f>
        <x:v>3124.4235849266156</x:v>
      </x:c>
      <x:c r="AA391" s="32" t="n">
        <x:f>AA390+X391-U391-AA390*V391/AB390</x:f>
        <x:v>872.4915597779421</x:v>
      </x:c>
      <x:c r="AB391" s="10" t="n">
        <x:f>Y391+Z391+AA391</x:f>
        <x:v>8880.155387651215</x:v>
      </x:c>
      <x:c r="AC391" s="8" t="n">
        <x:f>IF(AND(tun_WinterTrigger=1,D391=1,AB390/AE390&gt;=K391),1,0)</x:f>
        <x:v>0</x:v>
      </x:c>
      <x:c r="AD391" s="8" t="n">
        <x:f>H391*IF(AND(OR(AB390/AE390&gt;=tun_FissionTrigger*N391,AC391=1),AB390/AE390*tun_DaughterShare&gt;=tun_MinDaughter),MAX(1,ROUND(AE390*tun_FissionRate,0)),0)</x:f>
        <x:v>0</x:v>
      </x:c>
      <x:c r="AE391" s="8" t="n">
        <x:f>IF(H391=1,MAX(1,MIN(INDEX(tun_Smax,G391),AE390+AD391)),AE390)</x:f>
        <x:v>12</x:v>
      </x:c>
      <x:c r="AF391" s="8" t="n">
        <x:f>MAX(0,AE391-AE390)</x:f>
        <x:v>0</x:v>
      </x:c>
      <x:c r="AG391" s="9" t="str">
        <x:f>IF(AF391&gt;0,B391,"")</x:f>
      </x:c>
      <x:c r="AH391" s="9" t="n">
        <x:f>IF(F391&gt;=1,1,(1+tun_LowTiesShare*(AE391-1))/AE391)</x:f>
        <x:v>1</x:v>
      </x:c>
      <x:c r="AI391" s="32" t="n">
        <x:f>(Z391+tun_ElderCommons*INDEX(LM_Elder,G391)*AA391)*AH391</x:f>
        <x:v>6396.266934093899</x:v>
      </x:c>
      <x:c r="AJ391" s="32" t="n">
        <x:f>H391*tun_CommonsCoef*AI391^tun_CommonsExp*INDEX(LM_Commons,G391)</x:f>
        <x:v>11999.11671690093</x:v>
      </x:c>
      <x:c r="AK391" s="32" t="n">
        <x:f>H391*tun_RoleScale*Arch_Roles*(AE391*(INDEX(tun_ElderRolePerSett,G391)*tun_OutElder*INDEX(LM_Elder,G391)+INDEX(tun_ShamanPerSett,G391)*tun_OutShaman)+Z391*(INDEX(tun_PriestShare,G391)*tun_OutPriest+INDEX(tun_ScribeShare,G391)*tun_OutScribe*INDEX(LM_Scribe,G391)+INDEX(tun_ScholarShare,G391)*tun_OutScholar*INDEX(LM_Scholar,G391)+INDEX(tun_ResearcherShare,G391)*tun_OutResearcher*INDEX(LM_Researcher,G391)))</x:f>
        <x:v>3475.9185124739697</x:v>
      </x:c>
      <x:c r="AL391" s="32" t="n">
        <x:f>H391*tun_RoleScale*Arch_Roles*AE391*INDEX(tun_MonasteryPerSett,G391)*tun_OutMonastery*INDEX(LM_Monastery,G391)</x:f>
        <x:v>63.36</x:v>
      </x:c>
      <x:c r="AM391" s="32" t="n">
        <x:f>(AJ391+AK391+AL391)/4*INDEX(LM_All,G391)*INDEX(tun_Boon,G391)*Arch_Insight</x:f>
        <x:v>7100.56117714625</x:v>
      </x:c>
      <x:c r="AN391" s="32" t="n">
        <x:f>H391*(tun_KHPerAdult*Z391+tun_KHOfCommons*AJ391/4*INDEX(LM_All,G391))*tun_KHUsable*Arch_KH</x:f>
        <x:v>1158.4003486430506</x:v>
      </x:c>
      <x:c r="AO391" s="32" t="n">
        <x:f>MIN(AP390+AN391,AM391*tun_KHMaxRatio)</x:f>
        <x:v>1158.4003486430506</x:v>
      </x:c>
      <x:c r="AP391" s="32" t="n">
        <x:f>AP390+AN391-AO391</x:f>
        <x:v>0</x:v>
      </x:c>
      <x:c r="AQ391" s="32" t="n">
        <x:f>AM391+AO391</x:f>
        <x:v>8258.9615257893</x:v>
      </x:c>
      <x:c r="AR391" s="10" t="n">
        <x:f>IF(H391=1,INDEX(tun_Req,G391),0)</x:f>
        <x:v>434961.70024459995</x:v>
      </x:c>
      <x:c r="AS391" s="32" t="n">
        <x:f>IF(H391=1,IF(E391=1,AS390-AR390,AS390)+AQ391,0)</x:f>
        <x:v>393380.1338193852</x:v>
      </x:c>
      <x:c r="AT391" s="11" t="n">
        <x:f>IF(AR391&gt;0,MIN(1,AS391/AR391),1)</x:f>
        <x:v>0.9044017751405895</x:v>
      </x:c>
      <x:c r="AU391" s="10" t="n">
        <x:f>AB391/INDEX(tun_RepScale,G391)</x:f>
        <x:v>355.20621550604864</x:v>
      </x:c>
      <x:c r="AV391" s="32" t="n">
        <x:f>AM391*60/tun_SeasonSeconds</x:f>
        <x:v>28402.244708585004</x:v>
      </x:c>
    </x:row>
    <x:row r="392">
      <x:c r="A392" s="8" t="n">
        <x:f>A391+1</x:f>
        <x:v>389</x:v>
      </x:c>
      <x:c r="B392" s="9" t="n">
        <x:f>A392*tun_SeasonSeconds/60</x:f>
        <x:v>97.25</x:v>
      </x:c>
      <x:c r="C392" s="9" t="n">
        <x:f>A392/4</x:f>
        <x:v>97.25</x:v>
      </x:c>
      <x:c r="D392" s="8" t="n">
        <x:f>IF(MOD(A392,4)=0,1,0)</x:f>
        <x:v>0</x:v>
      </x:c>
      <x:c r="E392" s="8" t="n">
        <x:f>IF(AND(F391&lt;=9,AS391&gt;=AR391),1,0)</x:f>
        <x:v>0</x:v>
      </x:c>
      <x:c r="F392" s="8" t="n">
        <x:f>MIN(10,F391+E392)</x:f>
        <x:v>6</x:v>
      </x:c>
      <x:c r="G392" s="8" t="n">
        <x:f>MIN(F392,9)+1</x:f>
        <x:v>7</x:v>
      </x:c>
      <x:c r="H392" s="8" t="n">
        <x:f>IF(F392&lt;=9,1,0)</x:f>
        <x:v>1</x:v>
      </x:c>
      <x:c r="I392" s="9" t="n">
        <x:f>MIN(10,F391+IF(AR391&gt;0,MIN(1,AS391/AR391),1))</x:f>
        <x:v>6.90440177514059</x:v>
      </x:c>
      <x:c r="J392" s="32" t="n">
        <x:f>INDEX(tun_FoodCap,G392)*Arch_FoodCap*EXP(tun_CapsByProject*SUMPRODUCT((Cap_Point&lt;=I392)*(Cap_Kind="Food")*Cap_Ln))</x:f>
        <x:v>1030.8296491509448</x:v>
      </x:c>
      <x:c r="K392" s="32" t="n">
        <x:f>J392*MIN(1,tun_LeanBase*EXP(tun_CapsByProject*SUMPRODUCT((Cap_Point&lt;=I392)*(Cap_Kind="Lean")*Cap_Ln)))</x:f>
        <x:v>1030.8296491509448</x:v>
      </x:c>
      <x:c r="L392" s="10" t="n">
        <x:f>INDEX(tun_HousingCap,G392)*EXP(tun_CapsByProject*SUMPRODUCT((Cap_Point&lt;=I392)*(Cap_Kind="Housing")*Cap_Ln))</x:f>
        <x:v>2423.1679699072442</x:v>
      </x:c>
      <x:c r="M392" s="10" t="n">
        <x:f>INDEX(tun_GroupCap,G392)*tun_CohesionFactor*EXP(tun_CapsByProject*SUMPRODUCT((Cap_Point&lt;=I392)*(Cap_Kind="Group")*Cap_Ln))</x:f>
        <x:v>1000000.000000001</x:v>
      </x:c>
      <x:c r="N392" s="32" t="n">
        <x:f>MIN(J392,L392,M392)</x:f>
        <x:v>1030.8296491509448</x:v>
      </x:c>
      <x:c r="O392" s="10" t="n">
        <x:f>AE391*N392</x:f>
        <x:v>12369.955789811338</x:v>
      </x:c>
      <x:c r="P392" s="9" t="n">
        <x:f>MIN(1,(AB391/(AE391*IF(tun_GroupInCrowding=1,N392,MIN(J392,L392))))^tun_CrowdingExp)</x:f>
        <x:v>0.13687196643091817</x:v>
      </x:c>
      <x:c r="Q392" s="9" t="n">
        <x:f>IF(D392=1,INDEX(tun_WinterMult,G392),1)</x:f>
        <x:v>1</x:v>
      </x:c>
      <x:c r="R392" s="9" t="n">
        <x:f>H392*Z391*tun_WomenShare*tun_BaseFertility*INDEX(tun_FertMult,G392)*Arch_Fertility*(1-P392)</x:f>
        <x:v>192.81959731996182</x:v>
      </x:c>
      <x:c r="S392" s="9" t="n">
        <x:f>H392*Y391*INDEX(tun_MortChild,G392)/4*Q392</x:f>
        <x:v>30.520251518416615</x:v>
      </x:c>
      <x:c r="T392" s="9" t="n">
        <x:f>H392*Z391*INDEX(tun_MortAdult,G392)*Arch_AdultMort/4*Q392</x:f>
        <x:v>7.420506014200712</x:v>
      </x:c>
      <x:c r="U392" s="9" t="n">
        <x:f>H392*AA391*INDEX(tun_MortElder,G392)/4*Q392</x:f>
        <x:v>10.688021607279792</x:v>
      </x:c>
      <x:c r="V392" s="9" t="n">
        <x:f>H392*MAX(0,AB391-O392)*tun_OvercapLoss</x:f>
        <x:v>0</x:v>
      </x:c>
      <x:c r="W392" s="9" t="n">
        <x:f>H392*Y391/(tun_ChildYears*4)</x:f>
        <x:v>87.20071862404747</x:v>
      </x:c>
      <x:c r="X392" s="9" t="n">
        <x:f>H392*Z391/(tun_AdultYears*4)</x:f>
        <x:v>25.19696439456948</x:v>
      </x:c>
      <x:c r="Y392" s="32" t="n">
        <x:f>Y391+R392-S392-W392-Y391*V392/AB391</x:f>
        <x:v>4958.3388701241565</x:v>
      </x:c>
      <x:c r="Z392" s="32" t="n">
        <x:f>Z391+W392-X392-T392-Z391*V392/AB391</x:f>
        <x:v>3179.006833141893</x:v>
      </x:c>
      <x:c r="AA392" s="32" t="n">
        <x:f>AA391+X392-U392-AA391*V392/AB391</x:f>
        <x:v>887.0005025652318</x:v>
      </x:c>
      <x:c r="AB392" s="10" t="n">
        <x:f>Y392+Z392+AA392</x:f>
        <x:v>9024.346205831282</x:v>
      </x:c>
      <x:c r="AC392" s="8" t="n">
        <x:f>IF(AND(tun_WinterTrigger=1,D392=1,AB391/AE391&gt;=K392),1,0)</x:f>
        <x:v>0</x:v>
      </x:c>
      <x:c r="AD392" s="8" t="n">
        <x:f>H392*IF(AND(OR(AB391/AE391&gt;=tun_FissionTrigger*N392,AC392=1),AB391/AE391*tun_DaughterShare&gt;=tun_MinDaughter),MAX(1,ROUND(AE391*tun_FissionRate,0)),0)</x:f>
        <x:v>0</x:v>
      </x:c>
      <x:c r="AE392" s="8" t="n">
        <x:f>IF(H392=1,MAX(1,MIN(INDEX(tun_Smax,G392),AE391+AD392)),AE391)</x:f>
        <x:v>12</x:v>
      </x:c>
      <x:c r="AF392" s="8" t="n">
        <x:f>MAX(0,AE392-AE391)</x:f>
        <x:v>0</x:v>
      </x:c>
      <x:c r="AG392" s="9" t="str">
        <x:f>IF(AF392&gt;0,B392,"")</x:f>
      </x:c>
      <x:c r="AH392" s="9" t="n">
        <x:f>IF(F392&gt;=1,1,(1+tun_LowTiesShare*(AE392-1))/AE392)</x:f>
        <x:v>1</x:v>
      </x:c>
      <x:c r="AI392" s="32" t="n">
        <x:f>(Z392+tun_ElderCommons*INDEX(LM_Elder,G392)*AA392)*AH392</x:f>
        <x:v>6505.258717761512</x:v>
      </x:c>
      <x:c r="AJ392" s="32" t="n">
        <x:f>H392*tun_CommonsCoef*AI392^tun_CommonsExp*INDEX(LM_Commons,G392)</x:f>
        <x:v>12172.690288739217</x:v>
      </x:c>
      <x:c r="AK392" s="32" t="n">
        <x:f>H392*tun_RoleScale*Arch_Roles*(AE392*(INDEX(tun_ElderRolePerSett,G392)*tun_OutElder*INDEX(LM_Elder,G392)+INDEX(tun_ShamanPerSett,G392)*tun_OutShaman)+Z392*(INDEX(tun_PriestShare,G392)*tun_OutPriest+INDEX(tun_ScribeShare,G392)*tun_OutScribe*INDEX(LM_Scribe,G392)+INDEX(tun_ScholarShare,G392)*tun_OutScholar*INDEX(LM_Scholar,G392)+INDEX(tun_ResearcherShare,G392)*tun_OutResearcher*INDEX(LM_Researcher,G392)))</x:f>
        <x:v>3530.9820932735415</x:v>
      </x:c>
      <x:c r="AL392" s="32" t="n">
        <x:f>H392*tun_RoleScale*Arch_Roles*AE392*INDEX(tun_MonasteryPerSett,G392)*tun_OutMonastery*INDEX(LM_Monastery,G392)</x:f>
        <x:v>63.36</x:v>
      </x:c>
      <x:c r="AM392" s="32" t="n">
        <x:f>(AJ392+AK392+AL392)/4*INDEX(LM_All,G392)*INDEX(tun_Boon,G392)*Arch_Insight</x:f>
        <x:v>7205.041212935568</x:v>
      </x:c>
      <x:c r="AN392" s="32" t="n">
        <x:f>H392*(tun_KHPerAdult*Z392+tun_KHOfCommons*AJ392/4*INDEX(LM_All,G392))*tun_KHUsable*Arch_KH</x:f>
        <x:v>1175.1572225760697</x:v>
      </x:c>
      <x:c r="AO392" s="32" t="n">
        <x:f>MIN(AP391+AN392,AM392*tun_KHMaxRatio)</x:f>
        <x:v>1175.1572225760697</x:v>
      </x:c>
      <x:c r="AP392" s="32" t="n">
        <x:f>AP391+AN392-AO392</x:f>
        <x:v>0</x:v>
      </x:c>
      <x:c r="AQ392" s="32" t="n">
        <x:f>AM392+AO392</x:f>
        <x:v>8380.198435511638</x:v>
      </x:c>
      <x:c r="AR392" s="10" t="n">
        <x:f>IF(H392=1,INDEX(tun_Req,G392),0)</x:f>
        <x:v>434961.70024459995</x:v>
      </x:c>
      <x:c r="AS392" s="32" t="n">
        <x:f>IF(H392=1,IF(E392=1,AS391-AR391,AS391)+AQ392,0)</x:f>
        <x:v>401760.3322548968</x:v>
      </x:c>
      <x:c r="AT392" s="11" t="n">
        <x:f>IF(AR392&gt;0,MIN(1,AS392/AR392),1)</x:f>
        <x:v>0.9236682954590429</x:v>
      </x:c>
      <x:c r="AU392" s="10" t="n">
        <x:f>AB392/INDEX(tun_RepScale,G392)</x:f>
        <x:v>360.97384823325126</x:v>
      </x:c>
      <x:c r="AV392" s="32" t="n">
        <x:f>AM392*60/tun_SeasonSeconds</x:f>
        <x:v>28820.164851742273</x:v>
      </x:c>
    </x:row>
    <x:row r="393">
      <x:c r="A393" s="8" t="n">
        <x:f>A392+1</x:f>
        <x:v>390</x:v>
      </x:c>
      <x:c r="B393" s="9" t="n">
        <x:f>A393*tun_SeasonSeconds/60</x:f>
        <x:v>97.5</x:v>
      </x:c>
      <x:c r="C393" s="9" t="n">
        <x:f>A393/4</x:f>
        <x:v>97.5</x:v>
      </x:c>
      <x:c r="D393" s="8" t="n">
        <x:f>IF(MOD(A393,4)=0,1,0)</x:f>
        <x:v>0</x:v>
      </x:c>
      <x:c r="E393" s="8" t="n">
        <x:f>IF(AND(F392&lt;=9,AS392&gt;=AR392),1,0)</x:f>
        <x:v>0</x:v>
      </x:c>
      <x:c r="F393" s="8" t="n">
        <x:f>MIN(10,F392+E393)</x:f>
        <x:v>6</x:v>
      </x:c>
      <x:c r="G393" s="8" t="n">
        <x:f>MIN(F393,9)+1</x:f>
        <x:v>7</x:v>
      </x:c>
      <x:c r="H393" s="8" t="n">
        <x:f>IF(F393&lt;=9,1,0)</x:f>
        <x:v>1</x:v>
      </x:c>
      <x:c r="I393" s="9" t="n">
        <x:f>MIN(10,F392+IF(AR392&gt;0,MIN(1,AS392/AR392),1))</x:f>
        <x:v>6.923668295459043</x:v>
      </x:c>
      <x:c r="J393" s="32" t="n">
        <x:f>INDEX(tun_FoodCap,G393)*Arch_FoodCap*EXP(tun_CapsByProject*SUMPRODUCT((Cap_Point&lt;=I393)*(Cap_Kind="Food")*Cap_Ln))</x:f>
        <x:v>1030.8296491509448</x:v>
      </x:c>
      <x:c r="K393" s="32" t="n">
        <x:f>J393*MIN(1,tun_LeanBase*EXP(tun_CapsByProject*SUMPRODUCT((Cap_Point&lt;=I393)*(Cap_Kind="Lean")*Cap_Ln)))</x:f>
        <x:v>1030.8296491509448</x:v>
      </x:c>
      <x:c r="L393" s="10" t="n">
        <x:f>INDEX(tun_HousingCap,G393)*EXP(tun_CapsByProject*SUMPRODUCT((Cap_Point&lt;=I393)*(Cap_Kind="Housing")*Cap_Ln))</x:f>
        <x:v>2423.1679699072442</x:v>
      </x:c>
      <x:c r="M393" s="10" t="n">
        <x:f>INDEX(tun_GroupCap,G393)*tun_CohesionFactor*EXP(tun_CapsByProject*SUMPRODUCT((Cap_Point&lt;=I393)*(Cap_Kind="Group")*Cap_Ln))</x:f>
        <x:v>1000000.000000001</x:v>
      </x:c>
      <x:c r="N393" s="32" t="n">
        <x:f>MIN(J393,L393,M393)</x:f>
        <x:v>1030.8296491509448</x:v>
      </x:c>
      <x:c r="O393" s="10" t="n">
        <x:f>AE392*N393</x:f>
        <x:v>12369.955789811338</x:v>
      </x:c>
      <x:c r="P393" s="9" t="n">
        <x:f>MIN(1,(AB392/(AE392*IF(tun_GroupInCrowding=1,N393,MIN(J393,L393))))^tun_CrowdingExp)</x:f>
        <x:v>0.15075981762098037</x:v>
      </x:c>
      <x:c r="Q393" s="9" t="n">
        <x:f>IF(D393=1,INDEX(tun_WinterMult,G393),1)</x:f>
        <x:v>1</x:v>
      </x:c>
      <x:c r="R393" s="9" t="n">
        <x:f>H393*Z392*tun_WomenShare*tun_BaseFertility*INDEX(tun_FertMult,G393)*Arch_Fertility*(1-P393)</x:f>
        <x:v>193.03143450745236</x:v>
      </x:c>
      <x:c r="S393" s="9" t="n">
        <x:f>H393*Y392*INDEX(tun_MortChild,G393)/4*Q393</x:f>
        <x:v>30.98961793827598</x:v>
      </x:c>
      <x:c r="T393" s="9" t="n">
        <x:f>H393*Z392*INDEX(tun_MortAdult,G393)*Arch_AdultMort/4*Q393</x:f>
        <x:v>7.550141228711995</x:v>
      </x:c>
      <x:c r="U393" s="9" t="n">
        <x:f>H393*AA392*INDEX(tun_MortElder,G393)/4*Q393</x:f>
        <x:v>10.86575615642409</x:v>
      </x:c>
      <x:c r="V393" s="9" t="n">
        <x:f>H393*MAX(0,AB392-O393)*tun_OvercapLoss</x:f>
        <x:v>0</x:v>
      </x:c>
      <x:c r="W393" s="9" t="n">
        <x:f>H393*Y392/(tun_ChildYears*4)</x:f>
        <x:v>88.54176553793137</x:v>
      </x:c>
      <x:c r="X393" s="9" t="n">
        <x:f>H393*Z392/(tun_AdultYears*4)</x:f>
        <x:v>25.637151880176557</x:v>
      </x:c>
      <x:c r="Y393" s="32" t="n">
        <x:f>Y392+R393-S393-W393-Y392*V393/AB392</x:f>
        <x:v>5031.838921155401</x:v>
      </x:c>
      <x:c r="Z393" s="32" t="n">
        <x:f>Z392+W393-X393-T393-Z392*V393/AB392</x:f>
        <x:v>3234.3613055709357</x:v>
      </x:c>
      <x:c r="AA393" s="32" t="n">
        <x:f>AA392+X393-U393-AA392*V393/AB392</x:f>
        <x:v>901.7718982889843</x:v>
      </x:c>
      <x:c r="AB393" s="10" t="n">
        <x:f>Y393+Z393+AA393</x:f>
        <x:v>9167.972125015322</x:v>
      </x:c>
      <x:c r="AC393" s="8" t="n">
        <x:f>IF(AND(tun_WinterTrigger=1,D393=1,AB392/AE392&gt;=K393),1,0)</x:f>
        <x:v>0</x:v>
      </x:c>
      <x:c r="AD393" s="8" t="n">
        <x:f>H393*IF(AND(OR(AB392/AE392&gt;=tun_FissionTrigger*N393,AC393=1),AB392/AE392*tun_DaughterShare&gt;=tun_MinDaughter),MAX(1,ROUND(AE392*tun_FissionRate,0)),0)</x:f>
        <x:v>0</x:v>
      </x:c>
      <x:c r="AE393" s="8" t="n">
        <x:f>IF(H393=1,MAX(1,MIN(INDEX(tun_Smax,G393),AE392+AD393)),AE392)</x:f>
        <x:v>12</x:v>
      </x:c>
      <x:c r="AF393" s="8" t="n">
        <x:f>MAX(0,AE393-AE392)</x:f>
        <x:v>0</x:v>
      </x:c>
      <x:c r="AG393" s="9" t="str">
        <x:f>IF(AF393&gt;0,B393,"")</x:f>
      </x:c>
      <x:c r="AH393" s="9" t="n">
        <x:f>IF(F393&gt;=1,1,(1+tun_LowTiesShare*(AE393-1))/AE393)</x:f>
        <x:v>1</x:v>
      </x:c>
      <x:c r="AI393" s="32" t="n">
        <x:f>(Z393+tun_ElderCommons*INDEX(LM_Elder,G393)*AA393)*AH393</x:f>
        <x:v>6616.005924154627</x:v>
      </x:c>
      <x:c r="AJ393" s="32" t="n">
        <x:f>H393*tun_CommonsCoef*AI393^tun_CommonsExp*INDEX(LM_Commons,G393)</x:f>
        <x:v>12348.613208873623</x:v>
      </x:c>
      <x:c r="AK393" s="32" t="n">
        <x:f>H393*tun_RoleScale*Arch_Roles*(AE393*(INDEX(tun_ElderRolePerSett,G393)*tun_OutElder*INDEX(LM_Elder,G393)+INDEX(tun_ShamanPerSett,G393)*tun_OutShaman)+Z393*(INDEX(tun_PriestShare,G393)*tun_OutPriest+INDEX(tun_ScribeShare,G393)*tun_OutScribe*INDEX(LM_Scribe,G393)+INDEX(tun_ScholarShare,G393)*tun_OutScholar*INDEX(LM_Scholar,G393)+INDEX(tun_ResearcherShare,G393)*tun_OutResearcher*INDEX(LM_Researcher,G393)))</x:f>
        <x:v>3586.8236850599596</x:v>
      </x:c>
      <x:c r="AL393" s="32" t="n">
        <x:f>H393*tun_RoleScale*Arch_Roles*AE393*INDEX(tun_MonasteryPerSett,G393)*tun_OutMonastery*INDEX(LM_Monastery,G393)</x:f>
        <x:v>63.36</x:v>
      </x:c>
      <x:c r="AM393" s="32" t="n">
        <x:f>(AJ393+AK393+AL393)/4*INDEX(LM_All,G393)*INDEX(tun_Boon,G393)*Arch_Insight</x:f>
        <x:v>7310.9503542138245</x:v>
      </x:c>
      <x:c r="AN393" s="32" t="n">
        <x:f>H393*(tun_KHPerAdult*Z393+tun_KHOfCommons*AJ393/4*INDEX(LM_All,G393))*tun_KHUsable*Arch_KH</x:f>
        <x:v>1192.1409036941106</x:v>
      </x:c>
      <x:c r="AO393" s="32" t="n">
        <x:f>MIN(AP392+AN393,AM393*tun_KHMaxRatio)</x:f>
        <x:v>1192.1409036941106</x:v>
      </x:c>
      <x:c r="AP393" s="32" t="n">
        <x:f>AP392+AN393-AO393</x:f>
        <x:v>0</x:v>
      </x:c>
      <x:c r="AQ393" s="32" t="n">
        <x:f>AM393+AO393</x:f>
        <x:v>8503.091257907936</x:v>
      </x:c>
      <x:c r="AR393" s="10" t="n">
        <x:f>IF(H393=1,INDEX(tun_Req,G393),0)</x:f>
        <x:v>434961.70024459995</x:v>
      </x:c>
      <x:c r="AS393" s="32" t="n">
        <x:f>IF(H393=1,IF(E393=1,AS392-AR392,AS392)+AQ393,0)</x:f>
        <x:v>410263.42351280473</x:v>
      </x:c>
      <x:c r="AT393" s="11" t="n">
        <x:f>IF(AR393&gt;0,MIN(1,AS393/AR393),1)</x:f>
        <x:v>0.9432173528889872</x:v>
      </x:c>
      <x:c r="AU393" s="10" t="n">
        <x:f>AB393/INDEX(tun_RepScale,G393)</x:f>
        <x:v>366.7188850006129</x:v>
      </x:c>
      <x:c r="AV393" s="32" t="n">
        <x:f>AM393*60/tun_SeasonSeconds</x:f>
        <x:v>29243.801416855298</x:v>
      </x:c>
    </x:row>
    <x:row r="394">
      <x:c r="A394" s="8" t="n">
        <x:f>A393+1</x:f>
        <x:v>391</x:v>
      </x:c>
      <x:c r="B394" s="9" t="n">
        <x:f>A394*tun_SeasonSeconds/60</x:f>
        <x:v>97.75</x:v>
      </x:c>
      <x:c r="C394" s="9" t="n">
        <x:f>A394/4</x:f>
        <x:v>97.75</x:v>
      </x:c>
      <x:c r="D394" s="8" t="n">
        <x:f>IF(MOD(A394,4)=0,1,0)</x:f>
        <x:v>0</x:v>
      </x:c>
      <x:c r="E394" s="8" t="n">
        <x:f>IF(AND(F393&lt;=9,AS393&gt;=AR393),1,0)</x:f>
        <x:v>0</x:v>
      </x:c>
      <x:c r="F394" s="8" t="n">
        <x:f>MIN(10,F393+E394)</x:f>
        <x:v>6</x:v>
      </x:c>
      <x:c r="G394" s="8" t="n">
        <x:f>MIN(F394,9)+1</x:f>
        <x:v>7</x:v>
      </x:c>
      <x:c r="H394" s="8" t="n">
        <x:f>IF(F394&lt;=9,1,0)</x:f>
        <x:v>1</x:v>
      </x:c>
      <x:c r="I394" s="9" t="n">
        <x:f>MIN(10,F393+IF(AR393&gt;0,MIN(1,AS393/AR393),1))</x:f>
        <x:v>6.943217352888987</x:v>
      </x:c>
      <x:c r="J394" s="32" t="n">
        <x:f>INDEX(tun_FoodCap,G394)*Arch_FoodCap*EXP(tun_CapsByProject*SUMPRODUCT((Cap_Point&lt;=I394)*(Cap_Kind="Food")*Cap_Ln))</x:f>
        <x:v>1030.8296491509448</x:v>
      </x:c>
      <x:c r="K394" s="32" t="n">
        <x:f>J394*MIN(1,tun_LeanBase*EXP(tun_CapsByProject*SUMPRODUCT((Cap_Point&lt;=I394)*(Cap_Kind="Lean")*Cap_Ln)))</x:f>
        <x:v>1030.8296491509448</x:v>
      </x:c>
      <x:c r="L394" s="10" t="n">
        <x:f>INDEX(tun_HousingCap,G394)*EXP(tun_CapsByProject*SUMPRODUCT((Cap_Point&lt;=I394)*(Cap_Kind="Housing")*Cap_Ln))</x:f>
        <x:v>2423.1679699072442</x:v>
      </x:c>
      <x:c r="M394" s="10" t="n">
        <x:f>INDEX(tun_GroupCap,G394)*tun_CohesionFactor*EXP(tun_CapsByProject*SUMPRODUCT((Cap_Point&lt;=I394)*(Cap_Kind="Group")*Cap_Ln))</x:f>
        <x:v>1000000.000000001</x:v>
      </x:c>
      <x:c r="N394" s="32" t="n">
        <x:f>MIN(J394,L394,M394)</x:f>
        <x:v>1030.8296491509448</x:v>
      </x:c>
      <x:c r="O394" s="10" t="n">
        <x:f>AE393*N394</x:f>
        <x:v>12369.955789811338</x:v>
      </x:c>
      <x:c r="P394" s="9" t="n">
        <x:f>MIN(1,(AB393/(AE393*IF(tun_GroupInCrowding=1,N394,MIN(J394,L394))))^tun_CrowdingExp)</x:f>
        <x:v>0.16574133025047674</x:v>
      </x:c>
      <x:c r="Q394" s="9" t="n">
        <x:f>IF(D394=1,INDEX(tun_WinterMult,G394),1)</x:f>
        <x:v>1</x:v>
      </x:c>
      <x:c r="R394" s="9" t="n">
        <x:f>H394*Z393*tun_WomenShare*tun_BaseFertility*INDEX(tun_FertMult,G394)*Arch_Fertility*(1-P394)</x:f>
        <x:v>192.92801815965822</x:v>
      </x:c>
      <x:c r="S394" s="9" t="n">
        <x:f>H394*Y393*INDEX(tun_MortChild,G394)/4*Q394</x:f>
        <x:v>31.44899325722126</x:v>
      </x:c>
      <x:c r="T394" s="9" t="n">
        <x:f>H394*Z393*INDEX(tun_MortAdult,G394)*Arch_AdultMort/4*Q394</x:f>
        <x:v>7.681608100730972</x:v>
      </x:c>
      <x:c r="U394" s="9" t="n">
        <x:f>H394*AA393*INDEX(tun_MortElder,G394)/4*Q394</x:f>
        <x:v>11.046705754040058</x:v>
      </x:c>
      <x:c r="V394" s="9" t="n">
        <x:f>H394*MAX(0,AB393-O394)*tun_OvercapLoss</x:f>
        <x:v>0</x:v>
      </x:c>
      <x:c r="W394" s="9" t="n">
        <x:f>H394*Y393/(tun_ChildYears*4)</x:f>
        <x:v>89.85426644920359</x:v>
      </x:c>
      <x:c r="X394" s="9" t="n">
        <x:f>H394*Z393/(tun_AdultYears*4)</x:f>
        <x:v>26.083558915894642</x:v>
      </x:c>
      <x:c r="Y394" s="32" t="n">
        <x:f>Y393+R394-S394-W394-Y393*V394/AB393</x:f>
        <x:v>5103.463679608634</x:v>
      </x:c>
      <x:c r="Z394" s="32" t="n">
        <x:f>Z393+W394-X394-T394-Z393*V394/AB393</x:f>
        <x:v>3290.450405003514</x:v>
      </x:c>
      <x:c r="AA394" s="32" t="n">
        <x:f>AA393+X394-U394-AA393*V394/AB393</x:f>
        <x:v>916.8087514508388</x:v>
      </x:c>
      <x:c r="AB394" s="10" t="n">
        <x:f>Y394+Z394+AA394</x:f>
        <x:v>9310.722836062987</x:v>
      </x:c>
      <x:c r="AC394" s="8" t="n">
        <x:f>IF(AND(tun_WinterTrigger=1,D394=1,AB393/AE393&gt;=K394),1,0)</x:f>
        <x:v>0</x:v>
      </x:c>
      <x:c r="AD394" s="8" t="n">
        <x:f>H394*IF(AND(OR(AB393/AE393&gt;=tun_FissionTrigger*N394,AC394=1),AB393/AE393*tun_DaughterShare&gt;=tun_MinDaughter),MAX(1,ROUND(AE393*tun_FissionRate,0)),0)</x:f>
        <x:v>0</x:v>
      </x:c>
      <x:c r="AE394" s="8" t="n">
        <x:f>IF(H394=1,MAX(1,MIN(INDEX(tun_Smax,G394),AE393+AD394)),AE393)</x:f>
        <x:v>12</x:v>
      </x:c>
      <x:c r="AF394" s="8" t="n">
        <x:f>MAX(0,AE394-AE393)</x:f>
        <x:v>0</x:v>
      </x:c>
      <x:c r="AG394" s="9" t="str">
        <x:f>IF(AF394&gt;0,B394,"")</x:f>
      </x:c>
      <x:c r="AH394" s="9" t="n">
        <x:f>IF(F394&gt;=1,1,(1+tun_LowTiesShare*(AE394-1))/AE394)</x:f>
        <x:v>1</x:v>
      </x:c>
      <x:c r="AI394" s="32" t="n">
        <x:f>(Z394+tun_ElderCommons*INDEX(LM_Elder,G394)*AA394)*AH394</x:f>
        <x:v>6728.48322294416</x:v>
      </x:c>
      <x:c r="AJ394" s="32" t="n">
        <x:f>H394*tun_CommonsCoef*AI394^tun_CommonsExp*INDEX(LM_Commons,G394)</x:f>
        <x:v>12526.832857115098</x:v>
      </x:c>
      <x:c r="AK394" s="32" t="n">
        <x:f>H394*tun_RoleScale*Arch_Roles*(AE394*(INDEX(tun_ElderRolePerSett,G394)*tun_OutElder*INDEX(LM_Elder,G394)+INDEX(tun_ShamanPerSett,G394)*tun_OutShaman)+Z394*(INDEX(tun_PriestShare,G394)*tun_OutPriest+INDEX(tun_ScribeShare,G394)*tun_OutScribe*INDEX(LM_Scribe,G394)+INDEX(tun_ScholarShare,G394)*tun_OutScholar*INDEX(LM_Scholar,G394)+INDEX(tun_ResearcherShare,G394)*tun_OutResearcher*INDEX(LM_Researcher,G394)))</x:f>
        <x:v>3643.4063685675446</x:v>
      </x:c>
      <x:c r="AL394" s="32" t="n">
        <x:f>H394*tun_RoleScale*Arch_Roles*AE394*INDEX(tun_MonasteryPerSett,G394)*tun_OutMonastery*INDEX(LM_Monastery,G394)</x:f>
        <x:v>63.36</x:v>
      </x:c>
      <x:c r="AM394" s="32" t="n">
        <x:f>(AJ394+AK394+AL394)/4*INDEX(LM_All,G394)*INDEX(tun_Boon,G394)*Arch_Insight</x:f>
        <x:v>7418.247684247555</x:v>
      </x:c>
      <x:c r="AN394" s="32" t="n">
        <x:f>H394*(tun_KHPerAdult*Z394+tun_KHOfCommons*AJ394/4*INDEX(LM_All,G394))*tun_KHUsable*Arch_KH</x:f>
        <x:v>1209.346312019473</x:v>
      </x:c>
      <x:c r="AO394" s="32" t="n">
        <x:f>MIN(AP393+AN394,AM394*tun_KHMaxRatio)</x:f>
        <x:v>1209.346312019473</x:v>
      </x:c>
      <x:c r="AP394" s="32" t="n">
        <x:f>AP393+AN394-AO394</x:f>
        <x:v>0</x:v>
      </x:c>
      <x:c r="AQ394" s="32" t="n">
        <x:f>AM394+AO394</x:f>
        <x:v>8627.593996267029</x:v>
      </x:c>
      <x:c r="AR394" s="10" t="n">
        <x:f>IF(H394=1,INDEX(tun_Req,G394),0)</x:f>
        <x:v>434961.70024459995</x:v>
      </x:c>
      <x:c r="AS394" s="32" t="n">
        <x:f>IF(H394=1,IF(E394=1,AS393-AR393,AS393)+AQ394,0)</x:f>
        <x:v>418891.01750907174</x:v>
      </x:c>
      <x:c r="AT394" s="11" t="n">
        <x:f>IF(AR394&gt;0,MIN(1,AS394/AR394),1)</x:f>
        <x:v>0.9630526487125397</x:v>
      </x:c>
      <x:c r="AU394" s="10" t="n">
        <x:f>AB394/INDEX(tun_RepScale,G394)</x:f>
        <x:v>372.4289134425195</x:v>
      </x:c>
      <x:c r="AV394" s="32" t="n">
        <x:f>AM394*60/tun_SeasonSeconds</x:f>
        <x:v>29672.99073699022</x:v>
      </x:c>
    </x:row>
    <x:row r="395">
      <x:c r="A395" s="8" t="n">
        <x:f>A394+1</x:f>
        <x:v>392</x:v>
      </x:c>
      <x:c r="B395" s="9" t="n">
        <x:f>A395*tun_SeasonSeconds/60</x:f>
        <x:v>98</x:v>
      </x:c>
      <x:c r="C395" s="9" t="n">
        <x:f>A395/4</x:f>
        <x:v>98</x:v>
      </x:c>
      <x:c r="D395" s="8" t="n">
        <x:f>IF(MOD(A395,4)=0,1,0)</x:f>
        <x:v>1</x:v>
      </x:c>
      <x:c r="E395" s="8" t="n">
        <x:f>IF(AND(F394&lt;=9,AS394&gt;=AR394),1,0)</x:f>
        <x:v>0</x:v>
      </x:c>
      <x:c r="F395" s="8" t="n">
        <x:f>MIN(10,F394+E395)</x:f>
        <x:v>6</x:v>
      </x:c>
      <x:c r="G395" s="8" t="n">
        <x:f>MIN(F395,9)+1</x:f>
        <x:v>7</x:v>
      </x:c>
      <x:c r="H395" s="8" t="n">
        <x:f>IF(F395&lt;=9,1,0)</x:f>
        <x:v>1</x:v>
      </x:c>
      <x:c r="I395" s="9" t="n">
        <x:f>MIN(10,F394+IF(AR394&gt;0,MIN(1,AS394/AR394),1))</x:f>
        <x:v>6.96305264871254</x:v>
      </x:c>
      <x:c r="J395" s="32" t="n">
        <x:f>INDEX(tun_FoodCap,G395)*Arch_FoodCap*EXP(tun_CapsByProject*SUMPRODUCT((Cap_Point&lt;=I395)*(Cap_Kind="Food")*Cap_Ln))</x:f>
        <x:v>1030.8296491509448</x:v>
      </x:c>
      <x:c r="K395" s="32" t="n">
        <x:f>J395*MIN(1,tun_LeanBase*EXP(tun_CapsByProject*SUMPRODUCT((Cap_Point&lt;=I395)*(Cap_Kind="Lean")*Cap_Ln)))</x:f>
        <x:v>1030.8296491509448</x:v>
      </x:c>
      <x:c r="L395" s="10" t="n">
        <x:f>INDEX(tun_HousingCap,G395)*EXP(tun_CapsByProject*SUMPRODUCT((Cap_Point&lt;=I395)*(Cap_Kind="Housing")*Cap_Ln))</x:f>
        <x:v>2423.1679699072442</x:v>
      </x:c>
      <x:c r="M395" s="10" t="n">
        <x:f>INDEX(tun_GroupCap,G395)*tun_CohesionFactor*EXP(tun_CapsByProject*SUMPRODUCT((Cap_Point&lt;=I395)*(Cap_Kind="Group")*Cap_Ln))</x:f>
        <x:v>1000000.000000001</x:v>
      </x:c>
      <x:c r="N395" s="32" t="n">
        <x:f>MIN(J395,L395,M395)</x:f>
        <x:v>1030.8296491509448</x:v>
      </x:c>
      <x:c r="O395" s="10" t="n">
        <x:f>AE394*N395</x:f>
        <x:v>12369.955789811338</x:v>
      </x:c>
      <x:c r="P395" s="9" t="n">
        <x:f>MIN(1,(AB394/(AE394*IF(tun_GroupInCrowding=1,N395,MIN(J395,L395))))^tun_CrowdingExp)</x:f>
        <x:v>0.18184087275154498</x:v>
      </x:c>
      <x:c r="Q395" s="9" t="n">
        <x:f>IF(D395=1,INDEX(tun_WinterMult,G395),1)</x:f>
        <x:v>1.1</x:v>
      </x:c>
      <x:c r="R395" s="9" t="n">
        <x:f>H395*Z394*tun_WomenShare*tun_BaseFertility*INDEX(tun_FertMult,G395)*Arch_Fertility*(1-P395)</x:f>
        <x:v>192.486010260258</x:v>
      </x:c>
      <x:c r="S395" s="9" t="n">
        <x:f>H395*Y394*INDEX(tun_MortChild,G395)/4*Q395</x:f>
        <x:v>35.08631279730937</x:v>
      </x:c>
      <x:c r="T395" s="9" t="n">
        <x:f>H395*Z394*INDEX(tun_MortAdult,G395)*Arch_AdultMort/4*Q395</x:f>
        <x:v>8.59630168307168</x:v>
      </x:c>
      <x:c r="U395" s="9" t="n">
        <x:f>H395*AA394*INDEX(tun_MortElder,G395)/4*Q395</x:f>
        <x:v>12.353997925800055</x:v>
      </x:c>
      <x:c r="V395" s="9" t="n">
        <x:f>H395*MAX(0,AB394-O395)*tun_OvercapLoss</x:f>
        <x:v>0</x:v>
      </x:c>
      <x:c r="W395" s="9" t="n">
        <x:f>H395*Y394/(tun_ChildYears*4)</x:f>
        <x:v>91.13327999301133</x:v>
      </x:c>
      <x:c r="X395" s="9" t="n">
        <x:f>H395*Z394/(tun_AdultYears*4)</x:f>
        <x:v>26.535890362931564</x:v>
      </x:c>
      <x:c r="Y395" s="32" t="n">
        <x:f>Y394+R395-S395-W395-Y394*V395/AB394</x:f>
        <x:v>5169.730097078571</x:v>
      </x:c>
      <x:c r="Z395" s="32" t="n">
        <x:f>Z394+W395-X395-T395-Z394*V395/AB394</x:f>
        <x:v>3346.451492950522</x:v>
      </x:c>
      <x:c r="AA395" s="32" t="n">
        <x:f>AA394+X395-U395-AA394*V395/AB394</x:f>
        <x:v>930.9906438879704</x:v>
      </x:c>
      <x:c r="AB395" s="10" t="n">
        <x:f>Y395+Z395+AA395</x:f>
        <x:v>9447.172233917063</x:v>
      </x:c>
      <x:c r="AC395" s="8" t="n">
        <x:f>IF(AND(tun_WinterTrigger=1,D395=1,AB394/AE394&gt;=K395),1,0)</x:f>
        <x:v>0</x:v>
      </x:c>
      <x:c r="AD395" s="8" t="n">
        <x:f>H395*IF(AND(OR(AB394/AE394&gt;=tun_FissionTrigger*N395,AC395=1),AB394/AE394*tun_DaughterShare&gt;=tun_MinDaughter),MAX(1,ROUND(AE394*tun_FissionRate,0)),0)</x:f>
        <x:v>0</x:v>
      </x:c>
      <x:c r="AE395" s="8" t="n">
        <x:f>IF(H395=1,MAX(1,MIN(INDEX(tun_Smax,G395),AE394+AD395)),AE394)</x:f>
        <x:v>12</x:v>
      </x:c>
      <x:c r="AF395" s="8" t="n">
        <x:f>MAX(0,AE395-AE394)</x:f>
        <x:v>0</x:v>
      </x:c>
      <x:c r="AG395" s="9" t="str">
        <x:f>IF(AF395&gt;0,B395,"")</x:f>
      </x:c>
      <x:c r="AH395" s="9" t="n">
        <x:f>IF(F395&gt;=1,1,(1+tun_LowTiesShare*(AE395-1))/AE395)</x:f>
        <x:v>1</x:v>
      </x:c>
      <x:c r="AI395" s="32" t="n">
        <x:f>(Z395+tun_ElderCommons*INDEX(LM_Elder,G395)*AA395)*AH395</x:f>
        <x:v>6837.666407530411</x:v>
      </x:c>
      <x:c r="AJ395" s="32" t="n">
        <x:f>H395*tun_CommonsCoef*AI395^tun_CommonsExp*INDEX(LM_Commons,G395)</x:f>
        <x:v>12699.405990967613</x:v>
      </x:c>
      <x:c r="AK395" s="32" t="n">
        <x:f>H395*tun_RoleScale*Arch_Roles*(AE395*(INDEX(tun_ElderRolePerSett,G395)*tun_OutElder*INDEX(LM_Elder,G395)+INDEX(tun_ShamanPerSett,G395)*tun_OutShaman)+Z395*(INDEX(tun_PriestShare,G395)*tun_OutPriest+INDEX(tun_ScribeShare,G395)*tun_OutScribe*INDEX(LM_Scribe,G395)+INDEX(tun_ScholarShare,G395)*tun_OutScholar*INDEX(LM_Scholar,G395)+INDEX(tun_ResearcherShare,G395)*tun_OutResearcher*INDEX(LM_Researcher,G395)))</x:f>
        <x:v>3699.9002660884867</x:v>
      </x:c>
      <x:c r="AL395" s="32" t="n">
        <x:f>H395*tun_RoleScale*Arch_Roles*AE395*INDEX(tun_MonasteryPerSett,G395)*tun_OutMonastery*INDEX(LM_Monastery,G395)</x:f>
        <x:v>63.36</x:v>
      </x:c>
      <x:c r="AM395" s="32" t="n">
        <x:f>(AJ395+AK395+AL395)/4*INDEX(LM_All,G395)*INDEX(tun_Boon,G395)*Arch_Insight</x:f>
        <x:v>7522.924161188986</x:v>
      </x:c>
      <x:c r="AN395" s="32" t="n">
        <x:f>H395*(tun_KHPerAdult*Z395+tun_KHOfCommons*AJ395/4*INDEX(LM_All,G395))*tun_KHUsable*Arch_KH</x:f>
        <x:v>1226.0066032007069</x:v>
      </x:c>
      <x:c r="AO395" s="32" t="n">
        <x:f>MIN(AP394+AN395,AM395*tun_KHMaxRatio)</x:f>
        <x:v>1226.0066032007069</x:v>
      </x:c>
      <x:c r="AP395" s="32" t="n">
        <x:f>AP394+AN395-AO395</x:f>
        <x:v>0</x:v>
      </x:c>
      <x:c r="AQ395" s="32" t="n">
        <x:f>AM395+AO395</x:f>
        <x:v>8748.930764389692</x:v>
      </x:c>
      <x:c r="AR395" s="10" t="n">
        <x:f>IF(H395=1,INDEX(tun_Req,G395),0)</x:f>
        <x:v>434961.70024459995</x:v>
      </x:c>
      <x:c r="AS395" s="32" t="n">
        <x:f>IF(H395=1,IF(E395=1,AS394-AR394,AS394)+AQ395,0)</x:f>
        <x:v>427639.9482734614</x:v>
      </x:c>
      <x:c r="AT395" s="11" t="n">
        <x:f>IF(AR395&gt;0,MIN(1,AS395/AR395),1)</x:f>
        <x:v>0.9831669041963438</x:v>
      </x:c>
      <x:c r="AU395" s="10" t="n">
        <x:f>AB395/INDEX(tun_RepScale,G395)</x:f>
        <x:v>377.8868893566825</x:v>
      </x:c>
      <x:c r="AV395" s="32" t="n">
        <x:f>AM395*60/tun_SeasonSeconds</x:f>
        <x:v>30091.696644755943</x:v>
      </x:c>
    </x:row>
    <x:row r="396">
      <x:c r="A396" s="8" t="n">
        <x:f>A395+1</x:f>
        <x:v>393</x:v>
      </x:c>
      <x:c r="B396" s="9" t="n">
        <x:f>A396*tun_SeasonSeconds/60</x:f>
        <x:v>98.25</x:v>
      </x:c>
      <x:c r="C396" s="9" t="n">
        <x:f>A396/4</x:f>
        <x:v>98.25</x:v>
      </x:c>
      <x:c r="D396" s="8" t="n">
        <x:f>IF(MOD(A396,4)=0,1,0)</x:f>
        <x:v>0</x:v>
      </x:c>
      <x:c r="E396" s="8" t="n">
        <x:f>IF(AND(F395&lt;=9,AS395&gt;=AR395),1,0)</x:f>
        <x:v>0</x:v>
      </x:c>
      <x:c r="F396" s="8" t="n">
        <x:f>MIN(10,F395+E396)</x:f>
        <x:v>6</x:v>
      </x:c>
      <x:c r="G396" s="8" t="n">
        <x:f>MIN(F396,9)+1</x:f>
        <x:v>7</x:v>
      </x:c>
      <x:c r="H396" s="8" t="n">
        <x:f>IF(F396&lt;=9,1,0)</x:f>
        <x:v>1</x:v>
      </x:c>
      <x:c r="I396" s="9" t="n">
        <x:f>MIN(10,F395+IF(AR395&gt;0,MIN(1,AS395/AR395),1))</x:f>
        <x:v>6.983166904196343</x:v>
      </x:c>
      <x:c r="J396" s="32" t="n">
        <x:f>INDEX(tun_FoodCap,G396)*Arch_FoodCap*EXP(tun_CapsByProject*SUMPRODUCT((Cap_Point&lt;=I396)*(Cap_Kind="Food")*Cap_Ln))</x:f>
        <x:v>1030.8296491509448</x:v>
      </x:c>
      <x:c r="K396" s="32" t="n">
        <x:f>J396*MIN(1,tun_LeanBase*EXP(tun_CapsByProject*SUMPRODUCT((Cap_Point&lt;=I396)*(Cap_Kind="Lean")*Cap_Ln)))</x:f>
        <x:v>1030.8296491509448</x:v>
      </x:c>
      <x:c r="L396" s="10" t="n">
        <x:f>INDEX(tun_HousingCap,G396)*EXP(tun_CapsByProject*SUMPRODUCT((Cap_Point&lt;=I396)*(Cap_Kind="Housing")*Cap_Ln))</x:f>
        <x:v>2423.1679699072442</x:v>
      </x:c>
      <x:c r="M396" s="10" t="n">
        <x:f>INDEX(tun_GroupCap,G396)*tun_CohesionFactor*EXP(tun_CapsByProject*SUMPRODUCT((Cap_Point&lt;=I396)*(Cap_Kind="Group")*Cap_Ln))</x:f>
        <x:v>1000000.000000001</x:v>
      </x:c>
      <x:c r="N396" s="32" t="n">
        <x:f>MIN(J396,L396,M396)</x:f>
        <x:v>1030.8296491509448</x:v>
      </x:c>
      <x:c r="O396" s="10" t="n">
        <x:f>AE395*N396</x:f>
        <x:v>12369.955789811338</x:v>
      </x:c>
      <x:c r="P396" s="9" t="n">
        <x:f>MIN(1,(AB395/(AE395*IF(tun_GroupInCrowding=1,N396,MIN(J396,L396))))^tun_CrowdingExp)</x:f>
        <x:v>0.19842761582305984</x:v>
      </x:c>
      <x:c r="Q396" s="9" t="n">
        <x:f>IF(D396=1,INDEX(tun_WinterMult,G396),1)</x:f>
        <x:v>1</x:v>
      </x:c>
      <x:c r="R396" s="9" t="n">
        <x:f>H396*Z395*tun_WomenShare*tun_BaseFertility*INDEX(tun_FertMult,G396)*Arch_Fertility*(1-P396)</x:f>
        <x:v>191.79325177418346</x:v>
      </x:c>
      <x:c r="S396" s="9" t="n">
        <x:f>H396*Y395*INDEX(tun_MortChild,G396)/4*Q396</x:f>
        <x:v>32.31081310674107</x:v>
      </x:c>
      <x:c r="T396" s="9" t="n">
        <x:f>H396*Z395*INDEX(tun_MortAdult,G396)*Arch_AdultMort/4*Q396</x:f>
        <x:v>7.94782229575749</x:v>
      </x:c>
      <x:c r="U396" s="9" t="n">
        <x:f>H396*AA395*INDEX(tun_MortElder,G396)/4*Q396</x:f>
        <x:v>11.404635387627637</x:v>
      </x:c>
      <x:c r="V396" s="9" t="n">
        <x:f>H396*MAX(0,AB395-O396)*tun_OvercapLoss</x:f>
        <x:v>0</x:v>
      </x:c>
      <x:c r="W396" s="9" t="n">
        <x:f>H396*Y395/(tun_ChildYears*4)</x:f>
        <x:v>92.31660887640305</x:v>
      </x:c>
      <x:c r="X396" s="9" t="n">
        <x:f>H396*Z395/(tun_AdultYears*4)</x:f>
        <x:v>26.987512039923566</x:v>
      </x:c>
      <x:c r="Y396" s="32" t="n">
        <x:f>Y395+R396-S396-W396-Y395*V396/AB395</x:f>
        <x:v>5236.895926869611</x:v>
      </x:c>
      <x:c r="Z396" s="32" t="n">
        <x:f>Z395+W396-X396-T396-Z395*V396/AB395</x:f>
        <x:v>3403.832767491244</x:v>
      </x:c>
      <x:c r="AA396" s="32" t="n">
        <x:f>AA395+X396-U396-AA395*V396/AB395</x:f>
        <x:v>946.5735205402663</x:v>
      </x:c>
      <x:c r="AB396" s="10" t="n">
        <x:f>Y396+Z396+AA396</x:f>
        <x:v>9587.302214901121</x:v>
      </x:c>
      <x:c r="AC396" s="8" t="n">
        <x:f>IF(AND(tun_WinterTrigger=1,D396=1,AB395/AE395&gt;=K396),1,0)</x:f>
        <x:v>0</x:v>
      </x:c>
      <x:c r="AD396" s="8" t="n">
        <x:f>H396*IF(AND(OR(AB395/AE395&gt;=tun_FissionTrigger*N396,AC396=1),AB395/AE395*tun_DaughterShare&gt;=tun_MinDaughter),MAX(1,ROUND(AE395*tun_FissionRate,0)),0)</x:f>
        <x:v>0</x:v>
      </x:c>
      <x:c r="AE396" s="8" t="n">
        <x:f>IF(H396=1,MAX(1,MIN(INDEX(tun_Smax,G396),AE395+AD396)),AE395)</x:f>
        <x:v>12</x:v>
      </x:c>
      <x:c r="AF396" s="8" t="n">
        <x:f>MAX(0,AE396-AE395)</x:f>
        <x:v>0</x:v>
      </x:c>
      <x:c r="AG396" s="9" t="str">
        <x:f>IF(AF396&gt;0,B396,"")</x:f>
      </x:c>
      <x:c r="AH396" s="9" t="n">
        <x:f>IF(F396&gt;=1,1,(1+tun_LowTiesShare*(AE396-1))/AE396)</x:f>
        <x:v>1</x:v>
      </x:c>
      <x:c r="AI396" s="32" t="n">
        <x:f>(Z396+tun_ElderCommons*INDEX(LM_Elder,G396)*AA396)*AH396</x:f>
        <x:v>6953.483469517242</x:v>
      </x:c>
      <x:c r="AJ396" s="32" t="n">
        <x:f>H396*tun_CommonsCoef*AI396^tun_CommonsExp*INDEX(LM_Commons,G396)</x:f>
        <x:v>12882.013428658069</x:v>
      </x:c>
      <x:c r="AK396" s="32" t="n">
        <x:f>H396*tun_RoleScale*Arch_Roles*(AE396*(INDEX(tun_ElderRolePerSett,G396)*tun_OutElder*INDEX(LM_Elder,G396)+INDEX(tun_ShamanPerSett,G396)*tun_OutShaman)+Z396*(INDEX(tun_PriestShare,G396)*tun_OutPriest+INDEX(tun_ScribeShare,G396)*tun_OutScribe*INDEX(LM_Scribe,G396)+INDEX(tun_ScholarShare,G396)*tun_OutScholar*INDEX(LM_Scholar,G396)+INDEX(tun_ResearcherShare,G396)*tun_OutResearcher*INDEX(LM_Researcher,G396)))</x:f>
        <x:v>3757.7864958451664</x:v>
      </x:c>
      <x:c r="AL396" s="32" t="n">
        <x:f>H396*tun_RoleScale*Arch_Roles*AE396*INDEX(tun_MonasteryPerSett,G396)*tun_OutMonastery*INDEX(LM_Monastery,G396)</x:f>
        <x:v>63.36</x:v>
      </x:c>
      <x:c r="AM396" s="32" t="n">
        <x:f>(AJ396+AK396+AL396)/4*INDEX(LM_All,G396)*INDEX(tun_Boon,G396)*Arch_Insight</x:f>
        <x:v>7632.822253830909</x:v>
      </x:c>
      <x:c r="AN396" s="32" t="n">
        <x:f>H396*(tun_KHPerAdult*Z396+tun_KHOfCommons*AJ396/4*INDEX(LM_All,G396))*tun_KHUsable*Arch_KH</x:f>
        <x:v>1243.6356107748636</x:v>
      </x:c>
      <x:c r="AO396" s="32" t="n">
        <x:f>MIN(AP395+AN396,AM396*tun_KHMaxRatio)</x:f>
        <x:v>1243.6356107748636</x:v>
      </x:c>
      <x:c r="AP396" s="32" t="n">
        <x:f>AP395+AN396-AO396</x:f>
        <x:v>0</x:v>
      </x:c>
      <x:c r="AQ396" s="32" t="n">
        <x:f>AM396+AO396</x:f>
        <x:v>8876.457864605773</x:v>
      </x:c>
      <x:c r="AR396" s="10" t="n">
        <x:f>IF(H396=1,INDEX(tun_Req,G396),0)</x:f>
        <x:v>434961.70024459995</x:v>
      </x:c>
      <x:c r="AS396" s="32" t="n">
        <x:f>IF(H396=1,IF(E396=1,AS395-AR395,AS395)+AQ396,0)</x:f>
        <x:v>436516.4061380672</x:v>
      </x:c>
      <x:c r="AT396" s="11" t="n">
        <x:f>IF(AR396&gt;0,MIN(1,AS396/AR396),1)</x:f>
        <x:v>1</x:v>
      </x:c>
      <x:c r="AU396" s="10" t="n">
        <x:f>AB396/INDEX(tun_RepScale,G396)</x:f>
        <x:v>383.4920885960448</x:v>
      </x:c>
      <x:c r="AV396" s="32" t="n">
        <x:f>AM396*60/tun_SeasonSeconds</x:f>
        <x:v>30531.289015323637</x:v>
      </x:c>
    </x:row>
    <x:row r="397">
      <x:c r="A397" s="8" t="n">
        <x:f>A396+1</x:f>
        <x:v>394</x:v>
      </x:c>
      <x:c r="B397" s="9" t="n">
        <x:f>A397*tun_SeasonSeconds/60</x:f>
        <x:v>98.5</x:v>
      </x:c>
      <x:c r="C397" s="9" t="n">
        <x:f>A397/4</x:f>
        <x:v>98.5</x:v>
      </x:c>
      <x:c r="D397" s="8" t="n">
        <x:f>IF(MOD(A397,4)=0,1,0)</x:f>
        <x:v>0</x:v>
      </x:c>
      <x:c r="E397" s="8" t="n">
        <x:f>IF(AND(F396&lt;=9,AS396&gt;=AR396),1,0)</x:f>
        <x:v>1</x:v>
      </x:c>
      <x:c r="F397" s="8" t="n">
        <x:f>MIN(10,F396+E397)</x:f>
        <x:v>7</x:v>
      </x:c>
      <x:c r="G397" s="8" t="n">
        <x:f>MIN(F397,9)+1</x:f>
        <x:v>8</x:v>
      </x:c>
      <x:c r="H397" s="8" t="n">
        <x:f>IF(F397&lt;=9,1,0)</x:f>
        <x:v>1</x:v>
      </x:c>
      <x:c r="I397" s="9" t="n">
        <x:f>MIN(10,F396+IF(AR396&gt;0,MIN(1,AS396/AR396),1))</x:f>
        <x:v>7</x:v>
      </x:c>
      <x:c r="J397" s="32" t="n">
        <x:f>INDEX(tun_FoodCap,G397)*Arch_FoodCap*EXP(tun_CapsByProject*SUMPRODUCT((Cap_Point&lt;=I397)*(Cap_Kind="Food")*Cap_Ln))</x:f>
        <x:v>1030.8296491509448</x:v>
      </x:c>
      <x:c r="K397" s="32" t="n">
        <x:f>J397*MIN(1,tun_LeanBase*EXP(tun_CapsByProject*SUMPRODUCT((Cap_Point&lt;=I397)*(Cap_Kind="Lean")*Cap_Ln)))</x:f>
        <x:v>1030.8296491509448</x:v>
      </x:c>
      <x:c r="L397" s="10" t="n">
        <x:f>INDEX(tun_HousingCap,G397)*EXP(tun_CapsByProject*SUMPRODUCT((Cap_Point&lt;=I397)*(Cap_Kind="Housing")*Cap_Ln))</x:f>
        <x:v>2423.1679699072442</x:v>
      </x:c>
      <x:c r="M397" s="10" t="n">
        <x:f>INDEX(tun_GroupCap,G397)*tun_CohesionFactor*EXP(tun_CapsByProject*SUMPRODUCT((Cap_Point&lt;=I397)*(Cap_Kind="Group")*Cap_Ln))</x:f>
        <x:v>1000000.000000001</x:v>
      </x:c>
      <x:c r="N397" s="32" t="n">
        <x:f>MIN(J397,L397,M397)</x:f>
        <x:v>1030.8296491509448</x:v>
      </x:c>
      <x:c r="O397" s="10" t="n">
        <x:f>AE396*N397</x:f>
        <x:v>12369.955789811338</x:v>
      </x:c>
      <x:c r="P397" s="9" t="n">
        <x:f>MIN(1,(AB396/(AE396*IF(tun_GroupInCrowding=1,N397,MIN(J397,L397))))^tun_CrowdingExp)</x:f>
        <x:v>0.2167552477695002</x:v>
      </x:c>
      <x:c r="Q397" s="9" t="n">
        <x:f>IF(D397=1,INDEX(tun_WinterMult,G397),1)</x:f>
        <x:v>1</x:v>
      </x:c>
      <x:c r="R397" s="9" t="n">
        <x:f>H397*Z396*tun_WomenShare*tun_BaseFertility*INDEX(tun_FertMult,G397)*Arch_Fertility*(1-P397)</x:f>
        <x:v>173.29221991950283</x:v>
      </x:c>
      <x:c r="S397" s="9" t="n">
        <x:f>H397*Y396*INDEX(tun_MortChild,G397)/4*Q397</x:f>
        <x:v>22.25680768919585</x:v>
      </x:c>
      <x:c r="T397" s="9" t="n">
        <x:f>H397*Z396*INDEX(tun_MortAdult,G397)*Arch_AdultMort/4*Q397</x:f>
        <x:v>6.637473896607926</x:v>
      </x:c>
      <x:c r="U397" s="9" t="n">
        <x:f>H397*AA396*INDEX(tun_MortElder,G397)/4*Q397</x:f>
        <x:v>10.175665345807861</x:v>
      </x:c>
      <x:c r="V397" s="9" t="n">
        <x:f>H397*MAX(0,AB396-O397)*tun_OvercapLoss</x:f>
        <x:v>0</x:v>
      </x:c>
      <x:c r="W397" s="9" t="n">
        <x:f>H397*Y396/(tun_ChildYears*4)</x:f>
        <x:v>93.51599869410019</x:v>
      </x:c>
      <x:c r="X397" s="9" t="n">
        <x:f>H397*Z396/(tun_AdultYears*4)</x:f>
        <x:v>27.450264253961645</x:v>
      </x:c>
      <x:c r="Y397" s="32" t="n">
        <x:f>Y396+R397-S397-W397-Y396*V397/AB396</x:f>
        <x:v>5294.415340405818</x:v>
      </x:c>
      <x:c r="Z397" s="32" t="n">
        <x:f>Z396+W397-X397-T397-Z396*V397/AB396</x:f>
        <x:v>3463.261028034775</x:v>
      </x:c>
      <x:c r="AA397" s="32" t="n">
        <x:f>AA396+X397-U397-AA396*V397/AB396</x:f>
        <x:v>963.8481194484201</x:v>
      </x:c>
      <x:c r="AB397" s="10" t="n">
        <x:f>Y397+Z397+AA397</x:f>
        <x:v>9721.524487889012</x:v>
      </x:c>
      <x:c r="AC397" s="8" t="n">
        <x:f>IF(AND(tun_WinterTrigger=1,D397=1,AB396/AE396&gt;=K397),1,0)</x:f>
        <x:v>0</x:v>
      </x:c>
      <x:c r="AD397" s="8" t="n">
        <x:f>H397*IF(AND(OR(AB396/AE396&gt;=tun_FissionTrigger*N397,AC397=1),AB396/AE396*tun_DaughterShare&gt;=tun_MinDaughter),MAX(1,ROUND(AE396*tun_FissionRate,0)),0)</x:f>
        <x:v>0</x:v>
      </x:c>
      <x:c r="AE397" s="8" t="n">
        <x:f>IF(H397=1,MAX(1,MIN(INDEX(tun_Smax,G397),AE396+AD397)),AE396)</x:f>
        <x:v>12</x:v>
      </x:c>
      <x:c r="AF397" s="8" t="n">
        <x:f>MAX(0,AE397-AE396)</x:f>
        <x:v>0</x:v>
      </x:c>
      <x:c r="AG397" s="9" t="str">
        <x:f>IF(AF397&gt;0,B397,"")</x:f>
      </x:c>
      <x:c r="AH397" s="9" t="n">
        <x:f>IF(F397&gt;=1,1,(1+tun_LowTiesShare*(AE397-1))/AE397)</x:f>
        <x:v>1</x:v>
      </x:c>
      <x:c r="AI397" s="32" t="n">
        <x:f>(Z397+tun_ElderCommons*INDEX(LM_Elder,G397)*AA397)*AH397</x:f>
        <x:v>7077.6914759663505</x:v>
      </x:c>
      <x:c r="AJ397" s="32" t="n">
        <x:f>H397*tun_CommonsCoef*AI397^tun_CommonsExp*INDEX(LM_Commons,G397)</x:f>
        <x:v>17545.09890625906</x:v>
      </x:c>
      <x:c r="AK397" s="32" t="n">
        <x:f>H397*tun_RoleScale*Arch_Roles*(AE397*(INDEX(tun_ElderRolePerSett,G397)*tun_OutElder*INDEX(LM_Elder,G397)+INDEX(tun_ShamanPerSett,G397)*tun_OutShaman)+Z397*(INDEX(tun_PriestShare,G397)*tun_OutPriest+INDEX(tun_ScribeShare,G397)*tun_OutScribe*INDEX(LM_Scribe,G397)+INDEX(tun_ScholarShare,G397)*tun_OutScholar*INDEX(LM_Scholar,G397)+INDEX(tun_ResearcherShare,G397)*tun_OutResearcher*INDEX(LM_Researcher,G397)))</x:f>
        <x:v>5305.000540960735</x:v>
      </x:c>
      <x:c r="AL397" s="32" t="n">
        <x:f>H397*tun_RoleScale*Arch_Roles*AE397*INDEX(tun_MonasteryPerSett,G397)*tun_OutMonastery*INDEX(LM_Monastery,G397)</x:f>
        <x:v>63.36</x:v>
      </x:c>
      <x:c r="AM397" s="32" t="n">
        <x:f>(AJ397+AK397+AL397)/4*INDEX(LM_All,G397)*INDEX(tun_Boon,G397)*Arch_Insight</x:f>
        <x:v>13789.378232929323</x:v>
      </x:c>
      <x:c r="AN397" s="32" t="n">
        <x:f>H397*(tun_KHPerAdult*Z397+tun_KHOfCommons*AJ397/4*INDEX(LM_All,G397))*tun_KHUsable*Arch_KH</x:f>
        <x:v>2176.250421061253</x:v>
      </x:c>
      <x:c r="AO397" s="32" t="n">
        <x:f>MIN(AP396+AN397,AM397*tun_KHMaxRatio)</x:f>
        <x:v>2176.250421061253</x:v>
      </x:c>
      <x:c r="AP397" s="32" t="n">
        <x:f>AP396+AN397-AO397</x:f>
        <x:v>0</x:v>
      </x:c>
      <x:c r="AQ397" s="32" t="n">
        <x:f>AM397+AO397</x:f>
        <x:v>15965.628653990576</x:v>
      </x:c>
      <x:c r="AR397" s="10" t="n">
        <x:f>IF(H397=1,INDEX(tun_Req,G397),0)</x:f>
        <x:v>3142139.1800715</x:v>
      </x:c>
      <x:c r="AS397" s="32" t="n">
        <x:f>IF(H397=1,IF(E397=1,AS396-AR396,AS396)+AQ397,0)</x:f>
        <x:v>17520.334547457816</x:v>
      </x:c>
      <x:c r="AT397" s="11" t="n">
        <x:f>IF(AR397&gt;0,MIN(1,AS397/AR397),1)</x:f>
        <x:v>0.005575925681006637</x:v>
      </x:c>
      <x:c r="AU397" s="10" t="n">
        <x:f>AB397/INDEX(tun_RepScale,G397)</x:f>
        <x:v>97.21524487889012</x:v>
      </x:c>
      <x:c r="AV397" s="32" t="n">
        <x:f>AM397*60/tun_SeasonSeconds</x:f>
        <x:v>55157.51293171729</x:v>
      </x:c>
    </x:row>
    <x:row r="398">
      <x:c r="A398" s="8" t="n">
        <x:f>A397+1</x:f>
        <x:v>395</x:v>
      </x:c>
      <x:c r="B398" s="9" t="n">
        <x:f>A398*tun_SeasonSeconds/60</x:f>
        <x:v>98.75</x:v>
      </x:c>
      <x:c r="C398" s="9" t="n">
        <x:f>A398/4</x:f>
        <x:v>98.75</x:v>
      </x:c>
      <x:c r="D398" s="8" t="n">
        <x:f>IF(MOD(A398,4)=0,1,0)</x:f>
        <x:v>0</x:v>
      </x:c>
      <x:c r="E398" s="8" t="n">
        <x:f>IF(AND(F397&lt;=9,AS397&gt;=AR397),1,0)</x:f>
        <x:v>0</x:v>
      </x:c>
      <x:c r="F398" s="8" t="n">
        <x:f>MIN(10,F397+E398)</x:f>
        <x:v>7</x:v>
      </x:c>
      <x:c r="G398" s="8" t="n">
        <x:f>MIN(F398,9)+1</x:f>
        <x:v>8</x:v>
      </x:c>
      <x:c r="H398" s="8" t="n">
        <x:f>IF(F398&lt;=9,1,0)</x:f>
        <x:v>1</x:v>
      </x:c>
      <x:c r="I398" s="9" t="n">
        <x:f>MIN(10,F397+IF(AR397&gt;0,MIN(1,AS397/AR397),1))</x:f>
        <x:v>7.005575925681007</x:v>
      </x:c>
      <x:c r="J398" s="32" t="n">
        <x:f>INDEX(tun_FoodCap,G398)*Arch_FoodCap*EXP(tun_CapsByProject*SUMPRODUCT((Cap_Point&lt;=I398)*(Cap_Kind="Food")*Cap_Ln))</x:f>
        <x:v>1030.8296491509448</x:v>
      </x:c>
      <x:c r="K398" s="32" t="n">
        <x:f>J398*MIN(1,tun_LeanBase*EXP(tun_CapsByProject*SUMPRODUCT((Cap_Point&lt;=I398)*(Cap_Kind="Lean")*Cap_Ln)))</x:f>
        <x:v>1030.8296491509448</x:v>
      </x:c>
      <x:c r="L398" s="10" t="n">
        <x:f>INDEX(tun_HousingCap,G398)*EXP(tun_CapsByProject*SUMPRODUCT((Cap_Point&lt;=I398)*(Cap_Kind="Housing")*Cap_Ln))</x:f>
        <x:v>2423.1679699072442</x:v>
      </x:c>
      <x:c r="M398" s="10" t="n">
        <x:f>INDEX(tun_GroupCap,G398)*tun_CohesionFactor*EXP(tun_CapsByProject*SUMPRODUCT((Cap_Point&lt;=I398)*(Cap_Kind="Group")*Cap_Ln))</x:f>
        <x:v>1000000.000000001</x:v>
      </x:c>
      <x:c r="N398" s="32" t="n">
        <x:f>MIN(J398,L398,M398)</x:f>
        <x:v>1030.8296491509448</x:v>
      </x:c>
      <x:c r="O398" s="10" t="n">
        <x:f>AE397*N398</x:f>
        <x:v>12369.955789811338</x:v>
      </x:c>
      <x:c r="P398" s="9" t="n">
        <x:f>MIN(1,(AB397/(AE397*IF(tun_GroupInCrowding=1,N398,MIN(J398,L398))))^tun_CrowdingExp)</x:f>
        <x:v>0.23561197624719807</x:v>
      </x:c>
      <x:c r="Q398" s="9" t="n">
        <x:f>IF(D398=1,INDEX(tun_WinterMult,G398),1)</x:f>
        <x:v>1</x:v>
      </x:c>
      <x:c r="R398" s="9" t="n">
        <x:f>H398*Z397*tun_WomenShare*tun_BaseFertility*INDEX(tun_FertMult,G398)*Arch_Fertility*(1-P398)</x:f>
        <x:v>172.0728914423739</x:v>
      </x:c>
      <x:c r="S398" s="9" t="n">
        <x:f>H398*Y397*INDEX(tun_MortChild,G398)/4*Q398</x:f>
        <x:v>22.501265196724727</x:v>
      </x:c>
      <x:c r="T398" s="9" t="n">
        <x:f>H398*Z397*INDEX(tun_MortAdult,G398)*Arch_AdultMort/4*Q398</x:f>
        <x:v>6.753359004667811</x:v>
      </x:c>
      <x:c r="U398" s="9" t="n">
        <x:f>H398*AA397*INDEX(tun_MortElder,G398)/4*Q398</x:f>
        <x:v>10.361367284070516</x:v>
      </x:c>
      <x:c r="V398" s="9" t="n">
        <x:f>H398*MAX(0,AB397-O398)*tun_OvercapLoss</x:f>
        <x:v>0</x:v>
      </x:c>
      <x:c r="W398" s="9" t="n">
        <x:f>H398*Y397/(tun_ChildYears*4)</x:f>
        <x:v>94.54313107867532</x:v>
      </x:c>
      <x:c r="X398" s="9" t="n">
        <x:f>H398*Z397/(tun_AdultYears*4)</x:f>
        <x:v>27.929524419635282</x:v>
      </x:c>
      <x:c r="Y398" s="32" t="n">
        <x:f>Y397+R398-S398-W398-Y397*V398/AB397</x:f>
        <x:v>5349.443835572792</x:v>
      </x:c>
      <x:c r="Z398" s="32" t="n">
        <x:f>Z397+W398-X398-T398-Z397*V398/AB397</x:f>
        <x:v>3523.1212756891473</x:v>
      </x:c>
      <x:c r="AA398" s="32" t="n">
        <x:f>AA397+X398-U398-AA397*V398/AB397</x:f>
        <x:v>981.4162765839849</x:v>
      </x:c>
      <x:c r="AB398" s="10" t="n">
        <x:f>Y398+Z398+AA398</x:f>
        <x:v>9853.981387845923</x:v>
      </x:c>
      <x:c r="AC398" s="8" t="n">
        <x:f>IF(AND(tun_WinterTrigger=1,D398=1,AB397/AE397&gt;=K398),1,0)</x:f>
        <x:v>0</x:v>
      </x:c>
      <x:c r="AD398" s="8" t="n">
        <x:f>H398*IF(AND(OR(AB397/AE397&gt;=tun_FissionTrigger*N398,AC398=1),AB397/AE397*tun_DaughterShare&gt;=tun_MinDaughter),MAX(1,ROUND(AE397*tun_FissionRate,0)),0)</x:f>
        <x:v>0</x:v>
      </x:c>
      <x:c r="AE398" s="8" t="n">
        <x:f>IF(H398=1,MAX(1,MIN(INDEX(tun_Smax,G398),AE397+AD398)),AE397)</x:f>
        <x:v>12</x:v>
      </x:c>
      <x:c r="AF398" s="8" t="n">
        <x:f>MAX(0,AE398-AE397)</x:f>
        <x:v>0</x:v>
      </x:c>
      <x:c r="AG398" s="9" t="str">
        <x:f>IF(AF398&gt;0,B398,"")</x:f>
      </x:c>
      <x:c r="AH398" s="9" t="n">
        <x:f>IF(F398&gt;=1,1,(1+tun_LowTiesShare*(AE398-1))/AE398)</x:f>
        <x:v>1</x:v>
      </x:c>
      <x:c r="AI398" s="32" t="n">
        <x:f>(Z398+tun_ElderCommons*INDEX(LM_Elder,G398)*AA398)*AH398</x:f>
        <x:v>7203.432312879091</x:v>
      </x:c>
      <x:c r="AJ398" s="32" t="n">
        <x:f>H398*tun_CommonsCoef*AI398^tun_CommonsExp*INDEX(LM_Commons,G398)</x:f>
        <x:v>17809.695543016616</x:v>
      </x:c>
      <x:c r="AK398" s="32" t="n">
        <x:f>H398*tun_RoleScale*Arch_Roles*(AE398*(INDEX(tun_ElderRolePerSett,G398)*tun_OutElder*INDEX(LM_Elder,G398)+INDEX(tun_ShamanPerSett,G398)*tun_OutShaman)+Z398*(INDEX(tun_PriestShare,G398)*tun_OutPriest+INDEX(tun_ScribeShare,G398)*tun_OutScribe*INDEX(LM_Scribe,G398)+INDEX(tun_ScholarShare,G398)*tun_OutScholar*INDEX(LM_Scholar,G398)+INDEX(tun_ResearcherShare,G398)*tun_OutResearcher*INDEX(LM_Researcher,G398)))</x:f>
        <x:v>5391.093943547159</x:v>
      </x:c>
      <x:c r="AL398" s="32" t="n">
        <x:f>H398*tun_RoleScale*Arch_Roles*AE398*INDEX(tun_MonasteryPerSett,G398)*tun_OutMonastery*INDEX(LM_Monastery,G398)</x:f>
        <x:v>63.36</x:v>
      </x:c>
      <x:c r="AM398" s="32" t="n">
        <x:f>(AJ398+AK398+AL398)/4*INDEX(LM_All,G398)*INDEX(tun_Boon,G398)*Arch_Insight</x:f>
        <x:v>14000.424391462218</x:v>
      </x:c>
      <x:c r="AN398" s="32" t="n">
        <x:f>H398*(tun_KHPerAdult*Z398+tun_KHOfCommons*AJ398/4*INDEX(LM_All,G398))*tun_KHUsable*Arch_KH</x:f>
        <x:v>2209.070329642652</x:v>
      </x:c>
      <x:c r="AO398" s="32" t="n">
        <x:f>MIN(AP397+AN398,AM398*tun_KHMaxRatio)</x:f>
        <x:v>2209.070329642652</x:v>
      </x:c>
      <x:c r="AP398" s="32" t="n">
        <x:f>AP397+AN398-AO398</x:f>
        <x:v>0</x:v>
      </x:c>
      <x:c r="AQ398" s="32" t="n">
        <x:f>AM398+AO398</x:f>
        <x:v>16209.494721104871</x:v>
      </x:c>
      <x:c r="AR398" s="10" t="n">
        <x:f>IF(H398=1,INDEX(tun_Req,G398),0)</x:f>
        <x:v>3142139.1800715</x:v>
      </x:c>
      <x:c r="AS398" s="32" t="n">
        <x:f>IF(H398=1,IF(E398=1,AS397-AR397,AS397)+AQ398,0)</x:f>
        <x:v>33729.82926856269</x:v>
      </x:c>
      <x:c r="AT398" s="11" t="n">
        <x:f>IF(AR398&gt;0,MIN(1,AS398/AR398),1)</x:f>
        <x:v>0.010734670660831502</x:v>
      </x:c>
      <x:c r="AU398" s="10" t="n">
        <x:f>AB398/INDEX(tun_RepScale,G398)</x:f>
        <x:v>98.53981387845923</x:v>
      </x:c>
      <x:c r="AV398" s="32" t="n">
        <x:f>AM398*60/tun_SeasonSeconds</x:f>
        <x:v>56001.69756584887</x:v>
      </x:c>
    </x:row>
    <x:row r="399">
      <x:c r="A399" s="8" t="n">
        <x:f>A398+1</x:f>
        <x:v>396</x:v>
      </x:c>
      <x:c r="B399" s="9" t="n">
        <x:f>A399*tun_SeasonSeconds/60</x:f>
        <x:v>99</x:v>
      </x:c>
      <x:c r="C399" s="9" t="n">
        <x:f>A399/4</x:f>
        <x:v>99</x:v>
      </x:c>
      <x:c r="D399" s="8" t="n">
        <x:f>IF(MOD(A399,4)=0,1,0)</x:f>
        <x:v>1</x:v>
      </x:c>
      <x:c r="E399" s="8" t="n">
        <x:f>IF(AND(F398&lt;=9,AS398&gt;=AR398),1,0)</x:f>
        <x:v>0</x:v>
      </x:c>
      <x:c r="F399" s="8" t="n">
        <x:f>MIN(10,F398+E399)</x:f>
        <x:v>7</x:v>
      </x:c>
      <x:c r="G399" s="8" t="n">
        <x:f>MIN(F399,9)+1</x:f>
        <x:v>8</x:v>
      </x:c>
      <x:c r="H399" s="8" t="n">
        <x:f>IF(F399&lt;=9,1,0)</x:f>
        <x:v>1</x:v>
      </x:c>
      <x:c r="I399" s="9" t="n">
        <x:f>MIN(10,F398+IF(AR398&gt;0,MIN(1,AS398/AR398),1))</x:f>
        <x:v>7.010734670660831</x:v>
      </x:c>
      <x:c r="J399" s="32" t="n">
        <x:f>INDEX(tun_FoodCap,G399)*Arch_FoodCap*EXP(tun_CapsByProject*SUMPRODUCT((Cap_Point&lt;=I399)*(Cap_Kind="Food")*Cap_Ln))</x:f>
        <x:v>1030.8296491509448</x:v>
      </x:c>
      <x:c r="K399" s="32" t="n">
        <x:f>J399*MIN(1,tun_LeanBase*EXP(tun_CapsByProject*SUMPRODUCT((Cap_Point&lt;=I399)*(Cap_Kind="Lean")*Cap_Ln)))</x:f>
        <x:v>1030.8296491509448</x:v>
      </x:c>
      <x:c r="L399" s="10" t="n">
        <x:f>INDEX(tun_HousingCap,G399)*EXP(tun_CapsByProject*SUMPRODUCT((Cap_Point&lt;=I399)*(Cap_Kind="Housing")*Cap_Ln))</x:f>
        <x:v>2423.1679699072442</x:v>
      </x:c>
      <x:c r="M399" s="10" t="n">
        <x:f>INDEX(tun_GroupCap,G399)*tun_CohesionFactor*EXP(tun_CapsByProject*SUMPRODUCT((Cap_Point&lt;=I399)*(Cap_Kind="Group")*Cap_Ln))</x:f>
        <x:v>1000000.000000001</x:v>
      </x:c>
      <x:c r="N399" s="32" t="n">
        <x:f>MIN(J399,L399,M399)</x:f>
        <x:v>1030.8296491509448</x:v>
      </x:c>
      <x:c r="O399" s="10" t="n">
        <x:f>AE398*N399</x:f>
        <x:v>12369.955789811338</x:v>
      </x:c>
      <x:c r="P399" s="9" t="n">
        <x:f>MIN(1,(AB398/(AE398*IF(tun_GroupInCrowding=1,N399,MIN(J399,L399))))^tun_CrowdingExp)</x:f>
        <x:v>0.255541559643936</x:v>
      </x:c>
      <x:c r="Q399" s="9" t="n">
        <x:f>IF(D399=1,INDEX(tun_WinterMult,G399),1)</x:f>
        <x:v>1.08</x:v>
      </x:c>
      <x:c r="R399" s="9" t="n">
        <x:f>H399*Z398*tun_WomenShare*tun_BaseFertility*INDEX(tun_FertMult,G399)*Arch_Fertility*(1-P399)</x:f>
        <x:v>170.48312905551262</x:v>
      </x:c>
      <x:c r="S399" s="9" t="n">
        <x:f>H399*Y398*INDEX(tun_MortChild,G399)/4*Q399</x:f>
        <x:v>24.553947205279115</x:v>
      </x:c>
      <x:c r="T399" s="9" t="n">
        <x:f>H399*Z398*INDEX(tun_MortAdult,G399)*Arch_AdultMort/4*Q399</x:f>
        <x:v>7.419693406601344</x:v>
      </x:c>
      <x:c r="U399" s="9" t="n">
        <x:f>H399*AA398*INDEX(tun_MortElder,G399)/4*Q399</x:f>
        <x:v>11.394242971140065</x:v>
      </x:c>
      <x:c r="V399" s="9" t="n">
        <x:f>H399*MAX(0,AB398-O399)*tun_OvercapLoss</x:f>
        <x:v>0</x:v>
      </x:c>
      <x:c r="W399" s="9" t="n">
        <x:f>H399*Y398/(tun_ChildYears*4)</x:f>
        <x:v>95.52578277808557</x:v>
      </x:c>
      <x:c r="X399" s="9" t="n">
        <x:f>H399*Z398/(tun_AdultYears*4)</x:f>
        <x:v>28.412268352331832</x:v>
      </x:c>
      <x:c r="Y399" s="32" t="n">
        <x:f>Y398+R399-S399-W399-Y398*V399/AB398</x:f>
        <x:v>5399.847234644941</x:v>
      </x:c>
      <x:c r="Z399" s="32" t="n">
        <x:f>Z398+W399-X399-T399-Z398*V399/AB398</x:f>
        <x:v>3582.8150967082997</x:v>
      </x:c>
      <x:c r="AA399" s="32" t="n">
        <x:f>AA398+X399-U399-AA398*V399/AB398</x:f>
        <x:v>998.4343019651766</x:v>
      </x:c>
      <x:c r="AB399" s="10" t="n">
        <x:f>Y399+Z399+AA399</x:f>
        <x:v>9981.096633318417</x:v>
      </x:c>
      <x:c r="AC399" s="8" t="n">
        <x:f>IF(AND(tun_WinterTrigger=1,D399=1,AB398/AE398&gt;=K399),1,0)</x:f>
        <x:v>0</x:v>
      </x:c>
      <x:c r="AD399" s="8" t="n">
        <x:f>H399*IF(AND(OR(AB398/AE398&gt;=tun_FissionTrigger*N399,AC399=1),AB398/AE398*tun_DaughterShare&gt;=tun_MinDaughter),MAX(1,ROUND(AE398*tun_FissionRate,0)),0)</x:f>
        <x:v>0</x:v>
      </x:c>
      <x:c r="AE399" s="8" t="n">
        <x:f>IF(H399=1,MAX(1,MIN(INDEX(tun_Smax,G399),AE398+AD399)),AE398)</x:f>
        <x:v>12</x:v>
      </x:c>
      <x:c r="AF399" s="8" t="n">
        <x:f>MAX(0,AE399-AE398)</x:f>
        <x:v>0</x:v>
      </x:c>
      <x:c r="AG399" s="9" t="str">
        <x:f>IF(AF399&gt;0,B399,"")</x:f>
      </x:c>
      <x:c r="AH399" s="9" t="n">
        <x:f>IF(F399&gt;=1,1,(1+tun_LowTiesShare*(AE399-1))/AE399)</x:f>
        <x:v>1</x:v>
      </x:c>
      <x:c r="AI399" s="32" t="n">
        <x:f>(Z399+tun_ElderCommons*INDEX(LM_Elder,G399)*AA399)*AH399</x:f>
        <x:v>7326.943729077711</x:v>
      </x:c>
      <x:c r="AJ399" s="32" t="n">
        <x:f>H399*tun_CommonsCoef*AI399^tun_CommonsExp*INDEX(LM_Commons,G399)</x:f>
        <x:v>18068.927081986567</x:v>
      </x:c>
      <x:c r="AK399" s="32" t="n">
        <x:f>H399*tun_RoleScale*Arch_Roles*(AE399*(INDEX(tun_ElderRolePerSett,G399)*tun_OutElder*INDEX(LM_Elder,G399)+INDEX(tun_ShamanPerSett,G399)*tun_OutShaman)+Z399*(INDEX(tun_PriestShare,G399)*tun_OutPriest+INDEX(tun_ScribeShare,G399)*tun_OutScribe*INDEX(LM_Scribe,G399)+INDEX(tun_ScholarShare,G399)*tun_OutScholar*INDEX(LM_Scholar,G399)+INDEX(tun_ResearcherShare,G399)*tun_OutResearcher*INDEX(LM_Researcher,G399)))</x:f>
        <x:v>5476.947984689745</x:v>
      </x:c>
      <x:c r="AL399" s="32" t="n">
        <x:f>H399*tun_RoleScale*Arch_Roles*AE399*INDEX(tun_MonasteryPerSett,G399)*tun_OutMonastery*INDEX(LM_Monastery,G399)</x:f>
        <x:v>63.36</x:v>
      </x:c>
      <x:c r="AM399" s="32" t="n">
        <x:f>(AJ399+AK399+AL399)/4*INDEX(LM_All,G399)*INDEX(tun_Boon,G399)*Arch_Insight</x:f>
        <x:v>14208.097772160694</x:v>
      </x:c>
      <x:c r="AN399" s="32" t="n">
        <x:f>H399*(tun_KHPerAdult*Z399+tun_KHOfCommons*AJ399/4*INDEX(LM_All,G399))*tun_KHUsable*Arch_KH</x:f>
        <x:v>2241.2247648413304</x:v>
      </x:c>
      <x:c r="AO399" s="32" t="n">
        <x:f>MIN(AP398+AN399,AM399*tun_KHMaxRatio)</x:f>
        <x:v>2241.2247648413304</x:v>
      </x:c>
      <x:c r="AP399" s="32" t="n">
        <x:f>AP398+AN399-AO399</x:f>
        <x:v>0</x:v>
      </x:c>
      <x:c r="AQ399" s="32" t="n">
        <x:f>AM399+AO399</x:f>
        <x:v>16449.322537002023</x:v>
      </x:c>
      <x:c r="AR399" s="10" t="n">
        <x:f>IF(H399=1,INDEX(tun_Req,G399),0)</x:f>
        <x:v>3142139.1800715</x:v>
      </x:c>
      <x:c r="AS399" s="32" t="n">
        <x:f>IF(H399=1,IF(E399=1,AS398-AR398,AS398)+AQ399,0)</x:f>
        <x:v>50179.15180556471</x:v>
      </x:c>
      <x:c r="AT399" s="11" t="n">
        <x:f>IF(AR399&gt;0,MIN(1,AS399/AR399),1)</x:f>
        <x:v>0.015969741927352458</x:v>
      </x:c>
      <x:c r="AU399" s="10" t="n">
        <x:f>AB399/INDEX(tun_RepScale,G399)</x:f>
        <x:v>99.81096633318417</x:v>
      </x:c>
      <x:c r="AV399" s="32" t="n">
        <x:f>AM399*60/tun_SeasonSeconds</x:f>
        <x:v>56832.39108864278</x:v>
      </x:c>
    </x:row>
    <x:row r="400">
      <x:c r="A400" s="8" t="n">
        <x:f>A399+1</x:f>
        <x:v>397</x:v>
      </x:c>
      <x:c r="B400" s="9" t="n">
        <x:f>A400*tun_SeasonSeconds/60</x:f>
        <x:v>99.25</x:v>
      </x:c>
      <x:c r="C400" s="9" t="n">
        <x:f>A400/4</x:f>
        <x:v>99.25</x:v>
      </x:c>
      <x:c r="D400" s="8" t="n">
        <x:f>IF(MOD(A400,4)=0,1,0)</x:f>
        <x:v>0</x:v>
      </x:c>
      <x:c r="E400" s="8" t="n">
        <x:f>IF(AND(F399&lt;=9,AS399&gt;=AR399),1,0)</x:f>
        <x:v>0</x:v>
      </x:c>
      <x:c r="F400" s="8" t="n">
        <x:f>MIN(10,F399+E400)</x:f>
        <x:v>7</x:v>
      </x:c>
      <x:c r="G400" s="8" t="n">
        <x:f>MIN(F400,9)+1</x:f>
        <x:v>8</x:v>
      </x:c>
      <x:c r="H400" s="8" t="n">
        <x:f>IF(F400&lt;=9,1,0)</x:f>
        <x:v>1</x:v>
      </x:c>
      <x:c r="I400" s="9" t="n">
        <x:f>MIN(10,F399+IF(AR399&gt;0,MIN(1,AS399/AR399),1))</x:f>
        <x:v>7.015969741927353</x:v>
      </x:c>
      <x:c r="J400" s="32" t="n">
        <x:f>INDEX(tun_FoodCap,G400)*Arch_FoodCap*EXP(tun_CapsByProject*SUMPRODUCT((Cap_Point&lt;=I400)*(Cap_Kind="Food")*Cap_Ln))</x:f>
        <x:v>1030.8296491509448</x:v>
      </x:c>
      <x:c r="K400" s="32" t="n">
        <x:f>J400*MIN(1,tun_LeanBase*EXP(tun_CapsByProject*SUMPRODUCT((Cap_Point&lt;=I400)*(Cap_Kind="Lean")*Cap_Ln)))</x:f>
        <x:v>1030.8296491509448</x:v>
      </x:c>
      <x:c r="L400" s="10" t="n">
        <x:f>INDEX(tun_HousingCap,G400)*EXP(tun_CapsByProject*SUMPRODUCT((Cap_Point&lt;=I400)*(Cap_Kind="Housing")*Cap_Ln))</x:f>
        <x:v>2423.1679699072442</x:v>
      </x:c>
      <x:c r="M400" s="10" t="n">
        <x:f>INDEX(tun_GroupCap,G400)*tun_CohesionFactor*EXP(tun_CapsByProject*SUMPRODUCT((Cap_Point&lt;=I400)*(Cap_Kind="Group")*Cap_Ln))</x:f>
        <x:v>1000000.000000001</x:v>
      </x:c>
      <x:c r="N400" s="32" t="n">
        <x:f>MIN(J400,L400,M400)</x:f>
        <x:v>1030.8296491509448</x:v>
      </x:c>
      <x:c r="O400" s="10" t="n">
        <x:f>AE399*N400</x:f>
        <x:v>12369.955789811338</x:v>
      </x:c>
      <x:c r="P400" s="9" t="n">
        <x:f>MIN(1,(AB399/(AE399*IF(tun_GroupInCrowding=1,N400,MIN(J400,L400))))^tun_CrowdingExp)</x:f>
        <x:v>0.2759692396077496</x:v>
      </x:c>
      <x:c r="Q400" s="9" t="n">
        <x:f>IF(D400=1,INDEX(tun_WinterMult,G400),1)</x:f>
        <x:v>1</x:v>
      </x:c>
      <x:c r="R400" s="9" t="n">
        <x:f>H400*Z399*tun_WomenShare*tun_BaseFertility*INDEX(tun_FertMult,G400)*Arch_Fertility*(1-P400)</x:f>
        <x:v>168.6144420229454</x:v>
      </x:c>
      <x:c r="S400" s="9" t="n">
        <x:f>H400*Y399*INDEX(tun_MortChild,G400)/4*Q400</x:f>
        <x:v>22.949350747241</x:v>
      </x:c>
      <x:c r="T400" s="9" t="n">
        <x:f>H400*Z399*INDEX(tun_MortAdult,G400)*Arch_AdultMort/4*Q400</x:f>
        <x:v>6.986489438581184</x:v>
      </x:c>
      <x:c r="U400" s="9" t="n">
        <x:f>H400*AA399*INDEX(tun_MortElder,G400)/4*Q400</x:f>
        <x:v>10.733168746125648</x:v>
      </x:c>
      <x:c r="V400" s="9" t="n">
        <x:f>H400*MAX(0,AB399-O400)*tun_OvercapLoss</x:f>
        <x:v>0</x:v>
      </x:c>
      <x:c r="W400" s="9" t="n">
        <x:f>H400*Y399/(tun_ChildYears*4)</x:f>
        <x:v>96.42584347580251</x:v>
      </x:c>
      <x:c r="X400" s="9" t="n">
        <x:f>H400*Z399/(tun_AdultYears*4)</x:f>
        <x:v>28.89367013474435</x:v>
      </x:c>
      <x:c r="Y400" s="32" t="n">
        <x:f>Y399+R400-S400-W400-Y399*V400/AB399</x:f>
        <x:v>5449.086482444844</x:v>
      </x:c>
      <x:c r="Z400" s="32" t="n">
        <x:f>Z399+W400-X400-T400-Z399*V400/AB399</x:f>
        <x:v>3643.360780610777</x:v>
      </x:c>
      <x:c r="AA400" s="32" t="n">
        <x:f>AA399+X400-U400-AA399*V400/AB399</x:f>
        <x:v>1016.5948033537953</x:v>
      </x:c>
      <x:c r="AB400" s="10" t="n">
        <x:f>Y400+Z400+AA400</x:f>
        <x:v>10109.042066409416</x:v>
      </x:c>
      <x:c r="AC400" s="8" t="n">
        <x:f>IF(AND(tun_WinterTrigger=1,D400=1,AB399/AE399&gt;=K400),1,0)</x:f>
        <x:v>0</x:v>
      </x:c>
      <x:c r="AD400" s="8" t="n">
        <x:f>H400*IF(AND(OR(AB399/AE399&gt;=tun_FissionTrigger*N400,AC400=1),AB399/AE399*tun_DaughterShare&gt;=tun_MinDaughter),MAX(1,ROUND(AE399*tun_FissionRate,0)),0)</x:f>
        <x:v>0</x:v>
      </x:c>
      <x:c r="AE400" s="8" t="n">
        <x:f>IF(H400=1,MAX(1,MIN(INDEX(tun_Smax,G400),AE399+AD400)),AE399)</x:f>
        <x:v>12</x:v>
      </x:c>
      <x:c r="AF400" s="8" t="n">
        <x:f>MAX(0,AE400-AE399)</x:f>
        <x:v>0</x:v>
      </x:c>
      <x:c r="AG400" s="9" t="str">
        <x:f>IF(AF400&gt;0,B400,"")</x:f>
      </x:c>
      <x:c r="AH400" s="9" t="n">
        <x:f>IF(F400&gt;=1,1,(1+tun_LowTiesShare*(AE400-1))/AE400)</x:f>
        <x:v>1</x:v>
      </x:c>
      <x:c r="AI400" s="32" t="n">
        <x:f>(Z400+tun_ElderCommons*INDEX(LM_Elder,G400)*AA400)*AH400</x:f>
        <x:v>7455.59129318751</x:v>
      </x:c>
      <x:c r="AJ400" s="32" t="n">
        <x:f>H400*tun_CommonsCoef*AI400^tun_CommonsExp*INDEX(LM_Commons,G400)</x:f>
        <x:v>18338.242699182738</x:v>
      </x:c>
      <x:c r="AK400" s="32" t="n">
        <x:f>H400*tun_RoleScale*Arch_Roles*(AE400*(INDEX(tun_ElderRolePerSett,G400)*tun_OutElder*INDEX(LM_Elder,G400)+INDEX(tun_ShamanPerSett,G400)*tun_OutShaman)+Z400*(INDEX(tun_PriestShare,G400)*tun_OutPriest+INDEX(tun_ScribeShare,G400)*tun_OutScribe*INDEX(LM_Scribe,G400)+INDEX(tun_ScholarShare,G400)*tun_OutScholar*INDEX(LM_Scholar,G400)+INDEX(tun_ResearcherShare,G400)*tun_OutResearcher*INDEX(LM_Researcher,G400)))</x:f>
        <x:v>5564.027209105644</x:v>
      </x:c>
      <x:c r="AL400" s="32" t="n">
        <x:f>H400*tun_RoleScale*Arch_Roles*AE400*INDEX(tun_MonasteryPerSett,G400)*tun_OutMonastery*INDEX(LM_Monastery,G400)</x:f>
        <x:v>63.36</x:v>
      </x:c>
      <x:c r="AM400" s="32" t="n">
        <x:f>(AJ400+AK400+AL400)/4*INDEX(LM_All,G400)*INDEX(tun_Boon,G400)*Arch_Insight</x:f>
        <x:v>14422.577095222932</x:v>
      </x:c>
      <x:c r="AN400" s="32" t="n">
        <x:f>H400*(tun_KHPerAdult*Z400+tun_KHOfCommons*AJ400/4*INDEX(LM_All,G400))*tun_KHUsable*Arch_KH</x:f>
        <x:v>2274.630004016839</x:v>
      </x:c>
      <x:c r="AO400" s="32" t="n">
        <x:f>MIN(AP399+AN400,AM400*tun_KHMaxRatio)</x:f>
        <x:v>2274.630004016839</x:v>
      </x:c>
      <x:c r="AP400" s="32" t="n">
        <x:f>AP399+AN400-AO400</x:f>
        <x:v>0</x:v>
      </x:c>
      <x:c r="AQ400" s="32" t="n">
        <x:f>AM400+AO400</x:f>
        <x:v>16697.20709923977</x:v>
      </x:c>
      <x:c r="AR400" s="10" t="n">
        <x:f>IF(H400=1,INDEX(tun_Req,G400),0)</x:f>
        <x:v>3142139.1800715</x:v>
      </x:c>
      <x:c r="AS400" s="32" t="n">
        <x:f>IF(H400=1,IF(E400=1,AS399-AR399,AS399)+AQ400,0)</x:f>
        <x:v>66876.35890480448</x:v>
      </x:c>
      <x:c r="AT400" s="11" t="n">
        <x:f>IF(AR400&gt;0,MIN(1,AS400/AR400),1)</x:f>
        <x:v>0.021283703576517796</x:v>
      </x:c>
      <x:c r="AU400" s="10" t="n">
        <x:f>AB400/INDEX(tun_RepScale,G400)</x:f>
        <x:v>101.09042066409417</x:v>
      </x:c>
      <x:c r="AV400" s="32" t="n">
        <x:f>AM400*60/tun_SeasonSeconds</x:f>
        <x:v>57690.30838089173</x:v>
      </x:c>
    </x:row>
    <x:row r="401">
      <x:c r="A401" s="8" t="n">
        <x:f>A400+1</x:f>
        <x:v>398</x:v>
      </x:c>
      <x:c r="B401" s="9" t="n">
        <x:f>A401*tun_SeasonSeconds/60</x:f>
        <x:v>99.5</x:v>
      </x:c>
      <x:c r="C401" s="9" t="n">
        <x:f>A401/4</x:f>
        <x:v>99.5</x:v>
      </x:c>
      <x:c r="D401" s="8" t="n">
        <x:f>IF(MOD(A401,4)=0,1,0)</x:f>
        <x:v>0</x:v>
      </x:c>
      <x:c r="E401" s="8" t="n">
        <x:f>IF(AND(F400&lt;=9,AS400&gt;=AR400),1,0)</x:f>
        <x:v>0</x:v>
      </x:c>
      <x:c r="F401" s="8" t="n">
        <x:f>MIN(10,F400+E401)</x:f>
        <x:v>7</x:v>
      </x:c>
      <x:c r="G401" s="8" t="n">
        <x:f>MIN(F401,9)+1</x:f>
        <x:v>8</x:v>
      </x:c>
      <x:c r="H401" s="8" t="n">
        <x:f>IF(F401&lt;=9,1,0)</x:f>
        <x:v>1</x:v>
      </x:c>
      <x:c r="I401" s="9" t="n">
        <x:f>MIN(10,F400+IF(AR400&gt;0,MIN(1,AS400/AR400),1))</x:f>
        <x:v>7.021283703576517</x:v>
      </x:c>
      <x:c r="J401" s="32" t="n">
        <x:f>INDEX(tun_FoodCap,G401)*Arch_FoodCap*EXP(tun_CapsByProject*SUMPRODUCT((Cap_Point&lt;=I401)*(Cap_Kind="Food")*Cap_Ln))</x:f>
        <x:v>1030.8296491509448</x:v>
      </x:c>
      <x:c r="K401" s="32" t="n">
        <x:f>J401*MIN(1,tun_LeanBase*EXP(tun_CapsByProject*SUMPRODUCT((Cap_Point&lt;=I401)*(Cap_Kind="Lean")*Cap_Ln)))</x:f>
        <x:v>1030.8296491509448</x:v>
      </x:c>
      <x:c r="L401" s="10" t="n">
        <x:f>INDEX(tun_HousingCap,G401)*EXP(tun_CapsByProject*SUMPRODUCT((Cap_Point&lt;=I401)*(Cap_Kind="Housing")*Cap_Ln))</x:f>
        <x:v>2423.1679699072442</x:v>
      </x:c>
      <x:c r="M401" s="10" t="n">
        <x:f>INDEX(tun_GroupCap,G401)*tun_CohesionFactor*EXP(tun_CapsByProject*SUMPRODUCT((Cap_Point&lt;=I401)*(Cap_Kind="Group")*Cap_Ln))</x:f>
        <x:v>1000000.000000001</x:v>
      </x:c>
      <x:c r="N401" s="32" t="n">
        <x:f>MIN(J401,L401,M401)</x:f>
        <x:v>1030.8296491509448</x:v>
      </x:c>
      <x:c r="O401" s="10" t="n">
        <x:f>AE400*N401</x:f>
        <x:v>12369.955789811338</x:v>
      </x:c>
      <x:c r="P401" s="9" t="n">
        <x:f>MIN(1,(AB400/(AE400*IF(tun_GroupInCrowding=1,N401,MIN(J401,L401))))^tun_CrowdingExp)</x:f>
        <x:v>0.29788671677409656</x:v>
      </x:c>
      <x:c r="Q401" s="9" t="n">
        <x:f>IF(D401=1,INDEX(tun_WinterMult,G401),1)</x:f>
        <x:v>1</x:v>
      </x:c>
      <x:c r="R401" s="9" t="n">
        <x:f>H401*Z400*tun_WomenShare*tun_BaseFertility*INDEX(tun_FertMult,G401)*Arch_Fertility*(1-P401)</x:f>
        <x:v>166.273379977323</x:v>
      </x:c>
      <x:c r="S401" s="9" t="n">
        <x:f>H401*Y400*INDEX(tun_MortChild,G401)/4*Q401</x:f>
        <x:v>23.158617550390588</x:v>
      </x:c>
      <x:c r="T401" s="9" t="n">
        <x:f>H401*Z400*INDEX(tun_MortAdult,G401)*Arch_AdultMort/4*Q401</x:f>
        <x:v>7.104553522191015</x:v>
      </x:c>
      <x:c r="U401" s="9" t="n">
        <x:f>H401*AA400*INDEX(tun_MortElder,G401)/4*Q401</x:f>
        <x:v>10.9283941360533</x:v>
      </x:c>
      <x:c r="V401" s="9" t="n">
        <x:f>H401*MAX(0,AB400-O401)*tun_OvercapLoss</x:f>
        <x:v>0</x:v>
      </x:c>
      <x:c r="W401" s="9" t="n">
        <x:f>H401*Y400/(tun_ChildYears*4)</x:f>
        <x:v>97.30511575794364</x:v>
      </x:c>
      <x:c r="X401" s="9" t="n">
        <x:f>H401*Z400/(tun_AdultYears*4)</x:f>
        <x:v>29.38194177911917</x:v>
      </x:c>
      <x:c r="Y401" s="32" t="n">
        <x:f>Y400+R401-S401-W401-Y400*V401/AB400</x:f>
        <x:v>5494.896129113832</x:v>
      </x:c>
      <x:c r="Z401" s="32" t="n">
        <x:f>Z400+W401-X401-T401-Z400*V401/AB400</x:f>
        <x:v>3704.1794010674103</x:v>
      </x:c>
      <x:c r="AA401" s="32" t="n">
        <x:f>AA400+X401-U401-AA400*V401/AB400</x:f>
        <x:v>1035.048350996861</x:v>
      </x:c>
      <x:c r="AB401" s="10" t="n">
        <x:f>Y401+Z401+AA401</x:f>
        <x:v>10234.123881178104</x:v>
      </x:c>
      <x:c r="AC401" s="8" t="n">
        <x:f>IF(AND(tun_WinterTrigger=1,D401=1,AB400/AE400&gt;=K401),1,0)</x:f>
        <x:v>0</x:v>
      </x:c>
      <x:c r="AD401" s="8" t="n">
        <x:f>H401*IF(AND(OR(AB400/AE400&gt;=tun_FissionTrigger*N401,AC401=1),AB400/AE400*tun_DaughterShare&gt;=tun_MinDaughter),MAX(1,ROUND(AE400*tun_FissionRate,0)),0)</x:f>
        <x:v>0</x:v>
      </x:c>
      <x:c r="AE401" s="8" t="n">
        <x:f>IF(H401=1,MAX(1,MIN(INDEX(tun_Smax,G401),AE400+AD401)),AE400)</x:f>
        <x:v>12</x:v>
      </x:c>
      <x:c r="AF401" s="8" t="n">
        <x:f>MAX(0,AE401-AE400)</x:f>
        <x:v>0</x:v>
      </x:c>
      <x:c r="AG401" s="9" t="str">
        <x:f>IF(AF401&gt;0,B401,"")</x:f>
      </x:c>
      <x:c r="AH401" s="9" t="n">
        <x:f>IF(F401&gt;=1,1,(1+tun_LowTiesShare*(AE401-1))/AE401)</x:f>
        <x:v>1</x:v>
      </x:c>
      <x:c r="AI401" s="32" t="n">
        <x:f>(Z401+tun_ElderCommons*INDEX(LM_Elder,G401)*AA401)*AH401</x:f>
        <x:v>7585.610717305639</x:v>
      </x:c>
      <x:c r="AJ401" s="32" t="n">
        <x:f>H401*tun_CommonsCoef*AI401^tun_CommonsExp*INDEX(LM_Commons,G401)</x:f>
        <x:v>18609.72289396689</x:v>
      </x:c>
      <x:c r="AK401" s="32" t="n">
        <x:f>H401*tun_RoleScale*Arch_Roles*(AE401*(INDEX(tun_ElderRolePerSett,G401)*tun_OutElder*INDEX(LM_Elder,G401)+INDEX(tun_ShamanPerSett,G401)*tun_OutShaman)+Z401*(INDEX(tun_PriestShare,G401)*tun_OutPriest+INDEX(tun_ScribeShare,G401)*tun_OutScribe*INDEX(LM_Scribe,G401)+INDEX(tun_ScholarShare,G401)*tun_OutScholar*INDEX(LM_Scholar,G401)+INDEX(tun_ResearcherShare,G401)*tun_OutResearcher*INDEX(LM_Researcher,G401)))</x:f>
        <x:v>5651.498981791192</x:v>
      </x:c>
      <x:c r="AL401" s="32" t="n">
        <x:f>H401*tun_RoleScale*Arch_Roles*AE401*INDEX(tun_MonasteryPerSett,G401)*tun_OutMonastery*INDEX(LM_Monastery,G401)</x:f>
        <x:v>63.36</x:v>
      </x:c>
      <x:c r="AM401" s="32" t="n">
        <x:f>(AJ401+AK401+AL401)/4*INDEX(LM_All,G401)*INDEX(tun_Boon,G401)*Arch_Insight</x:f>
        <x:v>14638.59530313673</x:v>
      </x:c>
      <x:c r="AN401" s="32" t="n">
        <x:f>H401*(tun_KHPerAdult*Z401+tun_KHOfCommons*AJ401/4*INDEX(LM_All,G401))*tun_KHUsable*Arch_KH</x:f>
        <x:v>2308.3037320115</x:v>
      </x:c>
      <x:c r="AO401" s="32" t="n">
        <x:f>MIN(AP400+AN401,AM401*tun_KHMaxRatio)</x:f>
        <x:v>2308.3037320115</x:v>
      </x:c>
      <x:c r="AP401" s="32" t="n">
        <x:f>AP400+AN401-AO401</x:f>
        <x:v>0</x:v>
      </x:c>
      <x:c r="AQ401" s="32" t="n">
        <x:f>AM401+AO401</x:f>
        <x:v>16946.899035148228</x:v>
      </x:c>
      <x:c r="AR401" s="10" t="n">
        <x:f>IF(H401=1,INDEX(tun_Req,G401),0)</x:f>
        <x:v>3142139.1800715</x:v>
      </x:c>
      <x:c r="AS401" s="32" t="n">
        <x:f>IF(H401=1,IF(E401=1,AS400-AR400,AS400)+AQ401,0)</x:f>
        <x:v>83823.25793995272</x:v>
      </x:c>
      <x:c r="AT401" s="11" t="n">
        <x:f>IF(AR401&gt;0,MIN(1,AS401/AR401),1)</x:f>
        <x:v>0.02667713081316955</x:v>
      </x:c>
      <x:c r="AU401" s="10" t="n">
        <x:f>AB401/INDEX(tun_RepScale,G401)</x:f>
        <x:v>102.34123881178104</x:v>
      </x:c>
      <x:c r="AV401" s="32" t="n">
        <x:f>AM401*60/tun_SeasonSeconds</x:f>
        <x:v>58554.38121254692</x:v>
      </x:c>
    </x:row>
    <x:row r="402">
      <x:c r="A402" s="8" t="n">
        <x:f>A401+1</x:f>
        <x:v>399</x:v>
      </x:c>
      <x:c r="B402" s="9" t="n">
        <x:f>A402*tun_SeasonSeconds/60</x:f>
        <x:v>99.75</x:v>
      </x:c>
      <x:c r="C402" s="9" t="n">
        <x:f>A402/4</x:f>
        <x:v>99.75</x:v>
      </x:c>
      <x:c r="D402" s="8" t="n">
        <x:f>IF(MOD(A402,4)=0,1,0)</x:f>
        <x:v>0</x:v>
      </x:c>
      <x:c r="E402" s="8" t="n">
        <x:f>IF(AND(F401&lt;=9,AS401&gt;=AR401),1,0)</x:f>
        <x:v>0</x:v>
      </x:c>
      <x:c r="F402" s="8" t="n">
        <x:f>MIN(10,F401+E402)</x:f>
        <x:v>7</x:v>
      </x:c>
      <x:c r="G402" s="8" t="n">
        <x:f>MIN(F402,9)+1</x:f>
        <x:v>8</x:v>
      </x:c>
      <x:c r="H402" s="8" t="n">
        <x:f>IF(F402&lt;=9,1,0)</x:f>
        <x:v>1</x:v>
      </x:c>
      <x:c r="I402" s="9" t="n">
        <x:f>MIN(10,F401+IF(AR401&gt;0,MIN(1,AS401/AR401),1))</x:f>
        <x:v>7.0266771308131695</x:v>
      </x:c>
      <x:c r="J402" s="32" t="n">
        <x:f>INDEX(tun_FoodCap,G402)*Arch_FoodCap*EXP(tun_CapsByProject*SUMPRODUCT((Cap_Point&lt;=I402)*(Cap_Kind="Food")*Cap_Ln))</x:f>
        <x:v>1030.8296491509448</x:v>
      </x:c>
      <x:c r="K402" s="32" t="n">
        <x:f>J402*MIN(1,tun_LeanBase*EXP(tun_CapsByProject*SUMPRODUCT((Cap_Point&lt;=I402)*(Cap_Kind="Lean")*Cap_Ln)))</x:f>
        <x:v>1030.8296491509448</x:v>
      </x:c>
      <x:c r="L402" s="10" t="n">
        <x:f>INDEX(tun_HousingCap,G402)*EXP(tun_CapsByProject*SUMPRODUCT((Cap_Point&lt;=I402)*(Cap_Kind="Housing")*Cap_Ln))</x:f>
        <x:v>2423.1679699072442</x:v>
      </x:c>
      <x:c r="M402" s="10" t="n">
        <x:f>INDEX(tun_GroupCap,G402)*tun_CohesionFactor*EXP(tun_CapsByProject*SUMPRODUCT((Cap_Point&lt;=I402)*(Cap_Kind="Group")*Cap_Ln))</x:f>
        <x:v>1000000.000000001</x:v>
      </x:c>
      <x:c r="N402" s="32" t="n">
        <x:f>MIN(J402,L402,M402)</x:f>
        <x:v>1030.8296491509448</x:v>
      </x:c>
      <x:c r="O402" s="10" t="n">
        <x:f>AE401*N402</x:f>
        <x:v>12369.955789811338</x:v>
      </x:c>
      <x:c r="P402" s="9" t="n">
        <x:f>MIN(1,(AB401/(AE401*IF(tun_GroupInCrowding=1,N402,MIN(J402,L402))))^tun_CrowdingExp)</x:f>
        <x:v>0.32069717427470046</x:v>
      </x:c>
      <x:c r="Q402" s="9" t="n">
        <x:f>IF(D402=1,INDEX(tun_WinterMult,G402),1)</x:f>
        <x:v>1</x:v>
      </x:c>
      <x:c r="R402" s="9" t="n">
        <x:f>H402*Z401*tun_WomenShare*tun_BaseFertility*INDEX(tun_FertMult,G402)*Arch_Fertility*(1-P402)</x:f>
        <x:v>163.55686971900508</x:v>
      </x:c>
      <x:c r="S402" s="9" t="n">
        <x:f>H402*Y401*INDEX(tun_MortChild,G402)/4*Q402</x:f>
        <x:v>23.35330854873379</x:v>
      </x:c>
      <x:c r="T402" s="9" t="n">
        <x:f>H402*Z401*INDEX(tun_MortAdult,G402)*Arch_AdultMort/4*Q402</x:f>
        <x:v>7.223149832081449</x:v>
      </x:c>
      <x:c r="U402" s="9" t="n">
        <x:f>H402*AA401*INDEX(tun_MortElder,G402)/4*Q402</x:f>
        <x:v>11.126769773216255</x:v>
      </x:c>
      <x:c r="V402" s="9" t="n">
        <x:f>H402*MAX(0,AB401-O402)*tun_OvercapLoss</x:f>
        <x:v>0</x:v>
      </x:c>
      <x:c r="W402" s="9" t="n">
        <x:f>H402*Y401/(tun_ChildYears*4)</x:f>
        <x:v>98.12314516274701</x:v>
      </x:c>
      <x:c r="X402" s="9" t="n">
        <x:f>H402*Z401/(tun_AdultYears*4)</x:f>
        <x:v>29.87241452473718</x:v>
      </x:c>
      <x:c r="Y402" s="32" t="n">
        <x:f>Y401+R402-S402-W402-Y401*V402/AB401</x:f>
        <x:v>5536.976545121356</x:v>
      </x:c>
      <x:c r="Z402" s="32" t="n">
        <x:f>Z401+W402-X402-T402-Z401*V402/AB401</x:f>
        <x:v>3765.2069818733385</x:v>
      </x:c>
      <x:c r="AA402" s="32" t="n">
        <x:f>AA401+X402-U402-AA401*V402/AB401</x:f>
        <x:v>1053.793995748382</x:v>
      </x:c>
      <x:c r="AB402" s="10" t="n">
        <x:f>Y402+Z402+AA402</x:f>
        <x:v>10355.977522743076</x:v>
      </x:c>
      <x:c r="AC402" s="8" t="n">
        <x:f>IF(AND(tun_WinterTrigger=1,D402=1,AB401/AE401&gt;=K402),1,0)</x:f>
        <x:v>0</x:v>
      </x:c>
      <x:c r="AD402" s="8" t="n">
        <x:f>H402*IF(AND(OR(AB401/AE401&gt;=tun_FissionTrigger*N402,AC402=1),AB401/AE401*tun_DaughterShare&gt;=tun_MinDaughter),MAX(1,ROUND(AE401*tun_FissionRate,0)),0)</x:f>
        <x:v>0</x:v>
      </x:c>
      <x:c r="AE402" s="8" t="n">
        <x:f>IF(H402=1,MAX(1,MIN(INDEX(tun_Smax,G402),AE401+AD402)),AE401)</x:f>
        <x:v>12</x:v>
      </x:c>
      <x:c r="AF402" s="8" t="n">
        <x:f>MAX(0,AE402-AE401)</x:f>
        <x:v>0</x:v>
      </x:c>
      <x:c r="AG402" s="9" t="str">
        <x:f>IF(AF402&gt;0,B402,"")</x:f>
      </x:c>
      <x:c r="AH402" s="9" t="n">
        <x:f>IF(F402&gt;=1,1,(1+tun_LowTiesShare*(AE402-1))/AE402)</x:f>
        <x:v>1</x:v>
      </x:c>
      <x:c r="AI402" s="32" t="n">
        <x:f>(Z402+tun_ElderCommons*INDEX(LM_Elder,G402)*AA402)*AH402</x:f>
        <x:v>7716.934465929771</x:v>
      </x:c>
      <x:c r="AJ402" s="32" t="n">
        <x:f>H402*tun_CommonsCoef*AI402^tun_CommonsExp*INDEX(LM_Commons,G402)</x:f>
        <x:v>18883.21890893564</x:v>
      </x:c>
      <x:c r="AK402" s="32" t="n">
        <x:f>H402*tun_RoleScale*Arch_Roles*(AE402*(INDEX(tun_ElderRolePerSett,G402)*tun_OutElder*INDEX(LM_Elder,G402)+INDEX(tun_ShamanPerSett,G402)*tun_OutShaman)+Z402*(INDEX(tun_PriestShare,G402)*tun_OutPriest+INDEX(tun_ScribeShare,G402)*tun_OutScribe*INDEX(LM_Scribe,G402)+INDEX(tun_ScholarShare,G402)*tun_OutScholar*INDEX(LM_Scholar,G402)+INDEX(tun_ResearcherShare,G402)*tun_OutResearcher*INDEX(LM_Researcher,G402)))</x:f>
        <x:v>5739.27128960951</x:v>
      </x:c>
      <x:c r="AL402" s="32" t="n">
        <x:f>H402*tun_RoleScale*Arch_Roles*AE402*INDEX(tun_MonasteryPerSett,G402)*tun_OutMonastery*INDEX(LM_Monastery,G402)</x:f>
        <x:v>63.36</x:v>
      </x:c>
      <x:c r="AM402" s="32" t="n">
        <x:f>(AJ402+AK402+AL402)/4*INDEX(LM_All,G402)*INDEX(tun_Boon,G402)*Arch_Insight</x:f>
        <x:v>14856.00749957795</x:v>
      </x:c>
      <x:c r="AN402" s="32" t="n">
        <x:f>H402*(tun_KHPerAdult*Z402+tun_KHOfCommons*AJ402/4*INDEX(LM_All,G402))*tun_KHUsable*Arch_KH</x:f>
        <x:v>2342.227497327066</x:v>
      </x:c>
      <x:c r="AO402" s="32" t="n">
        <x:f>MIN(AP401+AN402,AM402*tun_KHMaxRatio)</x:f>
        <x:v>2342.227497327066</x:v>
      </x:c>
      <x:c r="AP402" s="32" t="n">
        <x:f>AP401+AN402-AO402</x:f>
        <x:v>0</x:v>
      </x:c>
      <x:c r="AQ402" s="32" t="n">
        <x:f>AM402+AO402</x:f>
        <x:v>17198.234996905016</x:v>
      </x:c>
      <x:c r="AR402" s="10" t="n">
        <x:f>IF(H402=1,INDEX(tun_Req,G402),0)</x:f>
        <x:v>3142139.1800715</x:v>
      </x:c>
      <x:c r="AS402" s="32" t="n">
        <x:f>IF(H402=1,IF(E402=1,AS401-AR401,AS401)+AQ402,0)</x:f>
        <x:v>101021.49293685773</x:v>
      </x:c>
      <x:c r="AT402" s="11" t="n">
        <x:f>IF(AR402&gt;0,MIN(1,AS402/AR402),1)</x:f>
        <x:v>0.03215054685596676</x:v>
      </x:c>
      <x:c r="AU402" s="10" t="n">
        <x:f>AB402/INDEX(tun_RepScale,G402)</x:f>
        <x:v>103.55977522743076</x:v>
      </x:c>
      <x:c r="AV402" s="32" t="n">
        <x:f>AM402*60/tun_SeasonSeconds</x:f>
        <x:v>59424.0299983118</x:v>
      </x:c>
    </x:row>
    <x:row r="403">
      <x:c r="A403" s="8" t="n">
        <x:f>A402+1</x:f>
        <x:v>400</x:v>
      </x:c>
      <x:c r="B403" s="9" t="n">
        <x:f>A403*tun_SeasonSeconds/60</x:f>
        <x:v>100</x:v>
      </x:c>
      <x:c r="C403" s="9" t="n">
        <x:f>A403/4</x:f>
        <x:v>100</x:v>
      </x:c>
      <x:c r="D403" s="8" t="n">
        <x:f>IF(MOD(A403,4)=0,1,0)</x:f>
        <x:v>1</x:v>
      </x:c>
      <x:c r="E403" s="8" t="n">
        <x:f>IF(AND(F402&lt;=9,AS402&gt;=AR402),1,0)</x:f>
        <x:v>0</x:v>
      </x:c>
      <x:c r="F403" s="8" t="n">
        <x:f>MIN(10,F402+E403)</x:f>
        <x:v>7</x:v>
      </x:c>
      <x:c r="G403" s="8" t="n">
        <x:f>MIN(F403,9)+1</x:f>
        <x:v>8</x:v>
      </x:c>
      <x:c r="H403" s="8" t="n">
        <x:f>IF(F403&lt;=9,1,0)</x:f>
        <x:v>1</x:v>
      </x:c>
      <x:c r="I403" s="9" t="n">
        <x:f>MIN(10,F402+IF(AR402&gt;0,MIN(1,AS402/AR402),1))</x:f>
        <x:v>7.032150546855966</x:v>
      </x:c>
      <x:c r="J403" s="32" t="n">
        <x:f>INDEX(tun_FoodCap,G403)*Arch_FoodCap*EXP(tun_CapsByProject*SUMPRODUCT((Cap_Point&lt;=I403)*(Cap_Kind="Food")*Cap_Ln))</x:f>
        <x:v>1030.8296491509448</x:v>
      </x:c>
      <x:c r="K403" s="32" t="n">
        <x:f>J403*MIN(1,tun_LeanBase*EXP(tun_CapsByProject*SUMPRODUCT((Cap_Point&lt;=I403)*(Cap_Kind="Lean")*Cap_Ln)))</x:f>
        <x:v>1030.8296491509448</x:v>
      </x:c>
      <x:c r="L403" s="10" t="n">
        <x:f>INDEX(tun_HousingCap,G403)*EXP(tun_CapsByProject*SUMPRODUCT((Cap_Point&lt;=I403)*(Cap_Kind="Housing")*Cap_Ln))</x:f>
        <x:v>2423.1679699072442</x:v>
      </x:c>
      <x:c r="M403" s="10" t="n">
        <x:f>INDEX(tun_GroupCap,G403)*tun_CohesionFactor*EXP(tun_CapsByProject*SUMPRODUCT((Cap_Point&lt;=I403)*(Cap_Kind="Group")*Cap_Ln))</x:f>
        <x:v>1000000.000000001</x:v>
      </x:c>
      <x:c r="N403" s="32" t="n">
        <x:f>MIN(J403,L403,M403)</x:f>
        <x:v>1030.8296491509448</x:v>
      </x:c>
      <x:c r="O403" s="10" t="n">
        <x:f>AE402*N403</x:f>
        <x:v>12369.955789811338</x:v>
      </x:c>
      <x:c r="P403" s="9" t="n">
        <x:f>MIN(1,(AB402/(AE402*IF(tun_GroupInCrowding=1,N403,MIN(J403,L403))))^tun_CrowdingExp)</x:f>
        <x:v>0.3443005449357321</x:v>
      </x:c>
      <x:c r="Q403" s="9" t="n">
        <x:f>IF(D403=1,INDEX(tun_WinterMult,G403),1)</x:f>
        <x:v>1.08</x:v>
      </x:c>
      <x:c r="R403" s="9" t="n">
        <x:f>H403*Z402*tun_WomenShare*tun_BaseFertility*INDEX(tun_FertMult,G403)*Arch_Fertility*(1-P403)</x:f>
        <x:v>160.4748708042041</x:v>
      </x:c>
      <x:c r="S403" s="9" t="n">
        <x:f>H403*Y402*INDEX(tun_MortChild,G403)/4*Q403</x:f>
        <x:v>25.414722342107027</x:v>
      </x:c>
      <x:c r="T403" s="9" t="n">
        <x:f>H403*Z402*INDEX(tun_MortAdult,G403)*Arch_AdultMort/4*Q403</x:f>
        <x:v>7.929525903825251</x:v>
      </x:c>
      <x:c r="U403" s="9" t="n">
        <x:f>H403*AA402*INDEX(tun_MortElder,G403)/4*Q403</x:f>
        <x:v>12.234548290638715</x:v>
      </x:c>
      <x:c r="V403" s="9" t="n">
        <x:f>H403*MAX(0,AB402-O403)*tun_OvercapLoss</x:f>
        <x:v>0</x:v>
      </x:c>
      <x:c r="W403" s="9" t="n">
        <x:f>H403*Y402/(tun_ChildYears*4)</x:f>
        <x:v>98.87458116288136</x:v>
      </x:c>
      <x:c r="X403" s="9" t="n">
        <x:f>H403*Z402/(tun_AdultYears*4)</x:f>
        <x:v>30.364572434462406</x:v>
      </x:c>
      <x:c r="Y403" s="32" t="n">
        <x:f>Y402+R403-S403-W403-Y402*V403/AB402</x:f>
        <x:v>5573.162112420572</x:v>
      </x:c>
      <x:c r="Z403" s="32" t="n">
        <x:f>Z402+W403-X403-T403-Z402*V403/AB402</x:f>
        <x:v>3825.787464697932</x:v>
      </x:c>
      <x:c r="AA403" s="32" t="n">
        <x:f>AA402+X403-U403-AA402*V403/AB402</x:f>
        <x:v>1071.9240198922057</x:v>
      </x:c>
      <x:c r="AB403" s="10" t="n">
        <x:f>Y403+Z403+AA403</x:f>
        <x:v>10470.87359701071</x:v>
      </x:c>
      <x:c r="AC403" s="8" t="n">
        <x:f>IF(AND(tun_WinterTrigger=1,D403=1,AB402/AE402&gt;=K403),1,0)</x:f>
        <x:v>0</x:v>
      </x:c>
      <x:c r="AD403" s="8" t="n">
        <x:f>H403*IF(AND(OR(AB402/AE402&gt;=tun_FissionTrigger*N403,AC403=1),AB402/AE402*tun_DaughterShare&gt;=tun_MinDaughter),MAX(1,ROUND(AE402*tun_FissionRate,0)),0)</x:f>
        <x:v>0</x:v>
      </x:c>
      <x:c r="AE403" s="8" t="n">
        <x:f>IF(H403=1,MAX(1,MIN(INDEX(tun_Smax,G403),AE402+AD403)),AE402)</x:f>
        <x:v>12</x:v>
      </x:c>
      <x:c r="AF403" s="8" t="n">
        <x:f>MAX(0,AE403-AE402)</x:f>
        <x:v>0</x:v>
      </x:c>
      <x:c r="AG403" s="9" t="str">
        <x:f>IF(AF403&gt;0,B403,"")</x:f>
      </x:c>
      <x:c r="AH403" s="9" t="n">
        <x:f>IF(F403&gt;=1,1,(1+tun_LowTiesShare*(AE403-1))/AE403)</x:f>
        <x:v>1</x:v>
      </x:c>
      <x:c r="AI403" s="32" t="n">
        <x:f>(Z403+tun_ElderCommons*INDEX(LM_Elder,G403)*AA403)*AH403</x:f>
        <x:v>7845.502539293704</x:v>
      </x:c>
      <x:c r="AJ403" s="32" t="n">
        <x:f>H403*tun_CommonsCoef*AI403^tun_CommonsExp*INDEX(LM_Commons,G403)</x:f>
        <x:v>19150.300349314024</x:v>
      </x:c>
      <x:c r="AK403" s="32" t="n">
        <x:f>H403*tun_RoleScale*Arch_Roles*(AE403*(INDEX(tun_ElderRolePerSett,G403)*tun_OutElder*INDEX(LM_Elder,G403)+INDEX(tun_ShamanPerSett,G403)*tun_OutShaman)+Z403*(INDEX(tun_PriestShare,G403)*tun_OutPriest+INDEX(tun_ScribeShare,G403)*tun_OutScribe*INDEX(LM_Scribe,G403)+INDEX(tun_ScholarShare,G403)*tun_OutScholar*INDEX(LM_Scholar,G403)+INDEX(tun_ResearcherShare,G403)*tun_OutResearcher*INDEX(LM_Researcher,G403)))</x:f>
        <x:v>5826.400563227154</x:v>
      </x:c>
      <x:c r="AL403" s="32" t="n">
        <x:f>H403*tun_RoleScale*Arch_Roles*AE403*INDEX(tun_MonasteryPerSett,G403)*tun_OutMonastery*INDEX(LM_Monastery,G403)</x:f>
        <x:v>63.36</x:v>
      </x:c>
      <x:c r="AM403" s="32" t="n">
        <x:f>(AJ403+AK403+AL403)/4*INDEX(LM_All,G403)*INDEX(tun_Boon,G403)*Arch_Insight</x:f>
        <x:v>15069.172409080073</x:v>
      </x:c>
      <x:c r="AN403" s="32" t="n">
        <x:f>H403*(tun_KHPerAdult*Z403+tun_KHOfCommons*AJ403/4*INDEX(LM_All,G403))*tun_KHUsable*Arch_KH</x:f>
        <x:v>2375.3556147680997</x:v>
      </x:c>
      <x:c r="AO403" s="32" t="n">
        <x:f>MIN(AP402+AN403,AM403*tun_KHMaxRatio)</x:f>
        <x:v>2375.3556147680997</x:v>
      </x:c>
      <x:c r="AP403" s="32" t="n">
        <x:f>AP402+AN403-AO403</x:f>
        <x:v>0</x:v>
      </x:c>
      <x:c r="AQ403" s="32" t="n">
        <x:f>AM403+AO403</x:f>
        <x:v>17444.528023848172</x:v>
      </x:c>
      <x:c r="AR403" s="10" t="n">
        <x:f>IF(H403=1,INDEX(tun_Req,G403),0)</x:f>
        <x:v>3142139.1800715</x:v>
      </x:c>
      <x:c r="AS403" s="32" t="n">
        <x:f>IF(H403=1,IF(E403=1,AS402-AR402,AS402)+AQ403,0)</x:f>
        <x:v>118466.02096070591</x:v>
      </x:c>
      <x:c r="AT403" s="11" t="n">
        <x:f>IF(AR403&gt;0,MIN(1,AS403/AR403),1)</x:f>
        <x:v>0.03770234676810535</x:v>
      </x:c>
      <x:c r="AU403" s="10" t="n">
        <x:f>AB403/INDEX(tun_RepScale,G403)</x:f>
        <x:v>104.7087359701071</x:v>
      </x:c>
      <x:c r="AV403" s="32" t="n">
        <x:f>AM403*60/tun_SeasonSeconds</x:f>
        <x:v>60276.68963632029</x:v>
      </x:c>
    </x:row>
    <x:row r="404">
      <x:c r="A404" s="8" t="n">
        <x:f>A403+1</x:f>
        <x:v>401</x:v>
      </x:c>
      <x:c r="B404" s="9" t="n">
        <x:f>A404*tun_SeasonSeconds/60</x:f>
        <x:v>100.25</x:v>
      </x:c>
      <x:c r="C404" s="9" t="n">
        <x:f>A404/4</x:f>
        <x:v>100.25</x:v>
      </x:c>
      <x:c r="D404" s="8" t="n">
        <x:f>IF(MOD(A404,4)=0,1,0)</x:f>
        <x:v>0</x:v>
      </x:c>
      <x:c r="E404" s="8" t="n">
        <x:f>IF(AND(F403&lt;=9,AS403&gt;=AR403),1,0)</x:f>
        <x:v>0</x:v>
      </x:c>
      <x:c r="F404" s="8" t="n">
        <x:f>MIN(10,F403+E404)</x:f>
        <x:v>7</x:v>
      </x:c>
      <x:c r="G404" s="8" t="n">
        <x:f>MIN(F404,9)+1</x:f>
        <x:v>8</x:v>
      </x:c>
      <x:c r="H404" s="8" t="n">
        <x:f>IF(F404&lt;=9,1,0)</x:f>
        <x:v>1</x:v>
      </x:c>
      <x:c r="I404" s="9" t="n">
        <x:f>MIN(10,F403+IF(AR403&gt;0,MIN(1,AS403/AR403),1))</x:f>
        <x:v>7.037702346768105</x:v>
      </x:c>
      <x:c r="J404" s="32" t="n">
        <x:f>INDEX(tun_FoodCap,G404)*Arch_FoodCap*EXP(tun_CapsByProject*SUMPRODUCT((Cap_Point&lt;=I404)*(Cap_Kind="Food")*Cap_Ln))</x:f>
        <x:v>1030.8296491509448</x:v>
      </x:c>
      <x:c r="K404" s="32" t="n">
        <x:f>J404*MIN(1,tun_LeanBase*EXP(tun_CapsByProject*SUMPRODUCT((Cap_Point&lt;=I404)*(Cap_Kind="Lean")*Cap_Ln)))</x:f>
        <x:v>1030.8296491509448</x:v>
      </x:c>
      <x:c r="L404" s="10" t="n">
        <x:f>INDEX(tun_HousingCap,G404)*EXP(tun_CapsByProject*SUMPRODUCT((Cap_Point&lt;=I404)*(Cap_Kind="Housing")*Cap_Ln))</x:f>
        <x:v>2423.1679699072442</x:v>
      </x:c>
      <x:c r="M404" s="10" t="n">
        <x:f>INDEX(tun_GroupCap,G404)*tun_CohesionFactor*EXP(tun_CapsByProject*SUMPRODUCT((Cap_Point&lt;=I404)*(Cap_Kind="Group")*Cap_Ln))</x:f>
        <x:v>1000000.000000001</x:v>
      </x:c>
      <x:c r="N404" s="32" t="n">
        <x:f>MIN(J404,L404,M404)</x:f>
        <x:v>1030.8296491509448</x:v>
      </x:c>
      <x:c r="O404" s="10" t="n">
        <x:f>AE403*N404</x:f>
        <x:v>12369.955789811338</x:v>
      </x:c>
      <x:c r="P404" s="9" t="n">
        <x:f>MIN(1,(AB403/(AE403*IF(tun_GroupInCrowding=1,N404,MIN(J404,L404))))^tun_CrowdingExp)</x:f>
        <x:v>0.36786512453448666</x:v>
      </x:c>
      <x:c r="Q404" s="9" t="n">
        <x:f>IF(D404=1,INDEX(tun_WinterMult,G404),1)</x:f>
        <x:v>1</x:v>
      </x:c>
      <x:c r="R404" s="9" t="n">
        <x:f>H404*Z403*tun_WomenShare*tun_BaseFertility*INDEX(tun_FertMult,G404)*Arch_Fertility*(1-P404)</x:f>
        <x:v>157.1968893660327</x:v>
      </x:c>
      <x:c r="S404" s="9" t="n">
        <x:f>H404*Y403*INDEX(tun_MortChild,G404)/4*Q404</x:f>
        <x:v>23.685938977787433</x:v>
      </x:c>
      <x:c r="T404" s="9" t="n">
        <x:f>H404*Z403*INDEX(tun_MortAdult,G404)*Arch_AdultMort/4*Q404</x:f>
        <x:v>7.460285556160967</x:v>
      </x:c>
      <x:c r="U404" s="9" t="n">
        <x:f>H404*AA403*INDEX(tun_MortElder,G404)/4*Q404</x:f>
        <x:v>11.523183213841211</x:v>
      </x:c>
      <x:c r="V404" s="9" t="n">
        <x:f>H404*MAX(0,AB403-O404)*tun_OvercapLoss</x:f>
        <x:v>0</x:v>
      </x:c>
      <x:c r="W404" s="9" t="n">
        <x:f>H404*Y403/(tun_ChildYears*4)</x:f>
        <x:v>99.52075200751021</x:v>
      </x:c>
      <x:c r="X404" s="9" t="n">
        <x:f>H404*Z403/(tun_AdultYears*4)</x:f>
        <x:v>30.853124715305903</x:v>
      </x:c>
      <x:c r="Y404" s="32" t="n">
        <x:f>Y403+R404-S404-W404-Y403*V404/AB403</x:f>
        <x:v>5607.152310801307</x:v>
      </x:c>
      <x:c r="Z404" s="32" t="n">
        <x:f>Z403+W404-X404-T404-Z403*V404/AB403</x:f>
        <x:v>3886.994806433975</x:v>
      </x:c>
      <x:c r="AA404" s="32" t="n">
        <x:f>AA403+X404-U404-AA403*V404/AB403</x:f>
        <x:v>1091.2539613936704</x:v>
      </x:c>
      <x:c r="AB404" s="10" t="n">
        <x:f>Y404+Z404+AA404</x:f>
        <x:v>10585.401078628953</x:v>
      </x:c>
      <x:c r="AC404" s="8" t="n">
        <x:f>IF(AND(tun_WinterTrigger=1,D404=1,AB403/AE403&gt;=K404),1,0)</x:f>
        <x:v>0</x:v>
      </x:c>
      <x:c r="AD404" s="8" t="n">
        <x:f>H404*IF(AND(OR(AB403/AE403&gt;=tun_FissionTrigger*N404,AC404=1),AB403/AE403*tun_DaughterShare&gt;=tun_MinDaughter),MAX(1,ROUND(AE403*tun_FissionRate,0)),0)</x:f>
        <x:v>0</x:v>
      </x:c>
      <x:c r="AE404" s="8" t="n">
        <x:f>IF(H404=1,MAX(1,MIN(INDEX(tun_Smax,G404),AE403+AD404)),AE403)</x:f>
        <x:v>12</x:v>
      </x:c>
      <x:c r="AF404" s="8" t="n">
        <x:f>MAX(0,AE404-AE403)</x:f>
        <x:v>0</x:v>
      </x:c>
      <x:c r="AG404" s="9" t="str">
        <x:f>IF(AF404&gt;0,B404,"")</x:f>
      </x:c>
      <x:c r="AH404" s="9" t="n">
        <x:f>IF(F404&gt;=1,1,(1+tun_LowTiesShare*(AE404-1))/AE404)</x:f>
        <x:v>1</x:v>
      </x:c>
      <x:c r="AI404" s="32" t="n">
        <x:f>(Z404+tun_ElderCommons*INDEX(LM_Elder,G404)*AA404)*AH404</x:f>
        <x:v>7979.197161660239</x:v>
      </x:c>
      <x:c r="AJ404" s="32" t="n">
        <x:f>H404*tun_CommonsCoef*AI404^tun_CommonsExp*INDEX(LM_Commons,G404)</x:f>
        <x:v>19427.336134404606</x:v>
      </x:c>
      <x:c r="AK404" s="32" t="n">
        <x:f>H404*tun_RoleScale*Arch_Roles*(AE404*(INDEX(tun_ElderRolePerSett,G404)*tun_OutElder*INDEX(LM_Elder,G404)+INDEX(tun_ShamanPerSett,G404)*tun_OutShaman)+Z404*(INDEX(tun_PriestShare,G404)*tun_OutPriest+INDEX(tun_ScribeShare,G404)*tun_OutScribe*INDEX(LM_Scribe,G404)+INDEX(tun_ScholarShare,G404)*tun_OutScholar*INDEX(LM_Scholar,G404)+INDEX(tun_ResearcherShare,G404)*tun_OutResearcher*INDEX(LM_Researcher,G404)))</x:f>
        <x:v>5914.4314104056</x:v>
      </x:c>
      <x:c r="AL404" s="32" t="n">
        <x:f>H404*tun_RoleScale*Arch_Roles*AE404*INDEX(tun_MonasteryPerSett,G404)*tun_OutMonastery*INDEX(LM_Monastery,G404)</x:f>
        <x:v>63.36</x:v>
      </x:c>
      <x:c r="AM404" s="32" t="n">
        <x:f>(AJ404+AK404+AL404)/4*INDEX(LM_All,G404)*INDEX(tun_Boon,G404)*Arch_Insight</x:f>
        <x:v>15288.870437838019</x:v>
      </x:c>
      <x:c r="AN404" s="32" t="n">
        <x:f>H404*(tun_KHPerAdult*Z404+tun_KHOfCommons*AJ404/4*INDEX(LM_All,G404))*tun_KHUsable*Arch_KH</x:f>
        <x:v>2409.7184443636247</x:v>
      </x:c>
      <x:c r="AO404" s="32" t="n">
        <x:f>MIN(AP403+AN404,AM404*tun_KHMaxRatio)</x:f>
        <x:v>2409.7184443636247</x:v>
      </x:c>
      <x:c r="AP404" s="32" t="n">
        <x:f>AP403+AN404-AO404</x:f>
        <x:v>0</x:v>
      </x:c>
      <x:c r="AQ404" s="32" t="n">
        <x:f>AM404+AO404</x:f>
        <x:v>17698.588882201642</x:v>
      </x:c>
      <x:c r="AR404" s="10" t="n">
        <x:f>IF(H404=1,INDEX(tun_Req,G404),0)</x:f>
        <x:v>3142139.1800715</x:v>
      </x:c>
      <x:c r="AS404" s="32" t="n">
        <x:f>IF(H404=1,IF(E404=1,AS403-AR403,AS403)+AQ404,0)</x:f>
        <x:v>136164.60984290755</x:v>
      </x:c>
      <x:c r="AT404" s="11" t="n">
        <x:f>IF(AR404&gt;0,MIN(1,AS404/AR404),1)</x:f>
        <x:v>0.04333500269705083</x:v>
      </x:c>
      <x:c r="AU404" s="10" t="n">
        <x:f>AB404/INDEX(tun_RepScale,G404)</x:f>
        <x:v>105.85401078628952</x:v>
      </x:c>
      <x:c r="AV404" s="32" t="n">
        <x:f>AM404*60/tun_SeasonSeconds</x:f>
        <x:v>61155.481751352076</x:v>
      </x:c>
    </x:row>
    <x:row r="405">
      <x:c r="A405" s="8" t="n">
        <x:f>A404+1</x:f>
        <x:v>402</x:v>
      </x:c>
      <x:c r="B405" s="9" t="n">
        <x:f>A405*tun_SeasonSeconds/60</x:f>
        <x:v>100.5</x:v>
      </x:c>
      <x:c r="C405" s="9" t="n">
        <x:f>A405/4</x:f>
        <x:v>100.5</x:v>
      </x:c>
      <x:c r="D405" s="8" t="n">
        <x:f>IF(MOD(A405,4)=0,1,0)</x:f>
        <x:v>0</x:v>
      </x:c>
      <x:c r="E405" s="8" t="n">
        <x:f>IF(AND(F404&lt;=9,AS404&gt;=AR404),1,0)</x:f>
        <x:v>0</x:v>
      </x:c>
      <x:c r="F405" s="8" t="n">
        <x:f>MIN(10,F404+E405)</x:f>
        <x:v>7</x:v>
      </x:c>
      <x:c r="G405" s="8" t="n">
        <x:f>MIN(F405,9)+1</x:f>
        <x:v>8</x:v>
      </x:c>
      <x:c r="H405" s="8" t="n">
        <x:f>IF(F405&lt;=9,1,0)</x:f>
        <x:v>1</x:v>
      </x:c>
      <x:c r="I405" s="9" t="n">
        <x:f>MIN(10,F404+IF(AR404&gt;0,MIN(1,AS404/AR404),1))</x:f>
        <x:v>7.0433350026970505</x:v>
      </x:c>
      <x:c r="J405" s="32" t="n">
        <x:f>INDEX(tun_FoodCap,G405)*Arch_FoodCap*EXP(tun_CapsByProject*SUMPRODUCT((Cap_Point&lt;=I405)*(Cap_Kind="Food")*Cap_Ln))</x:f>
        <x:v>1030.8296491509448</x:v>
      </x:c>
      <x:c r="K405" s="32" t="n">
        <x:f>J405*MIN(1,tun_LeanBase*EXP(tun_CapsByProject*SUMPRODUCT((Cap_Point&lt;=I405)*(Cap_Kind="Lean")*Cap_Ln)))</x:f>
        <x:v>1030.8296491509448</x:v>
      </x:c>
      <x:c r="L405" s="10" t="n">
        <x:f>INDEX(tun_HousingCap,G405)*EXP(tun_CapsByProject*SUMPRODUCT((Cap_Point&lt;=I405)*(Cap_Kind="Housing")*Cap_Ln))</x:f>
        <x:v>2423.1679699072442</x:v>
      </x:c>
      <x:c r="M405" s="10" t="n">
        <x:f>INDEX(tun_GroupCap,G405)*tun_CohesionFactor*EXP(tun_CapsByProject*SUMPRODUCT((Cap_Point&lt;=I405)*(Cap_Kind="Group")*Cap_Ln))</x:f>
        <x:v>1000000.000000001</x:v>
      </x:c>
      <x:c r="N405" s="32" t="n">
        <x:f>MIN(J405,L405,M405)</x:f>
        <x:v>1030.8296491509448</x:v>
      </x:c>
      <x:c r="O405" s="10" t="n">
        <x:f>AE404*N405</x:f>
        <x:v>12369.955789811338</x:v>
      </x:c>
      <x:c r="P405" s="9" t="n">
        <x:f>MIN(1,(AB404/(AE404*IF(tun_GroupInCrowding=1,N405,MIN(J405,L405))))^tun_CrowdingExp)</x:f>
        <x:v>0.39267660107392927</x:v>
      </x:c>
      <x:c r="Q405" s="9" t="n">
        <x:f>IF(D405=1,INDEX(tun_WinterMult,G405),1)</x:f>
        <x:v>1</x:v>
      </x:c>
      <x:c r="R405" s="9" t="n">
        <x:f>H405*Z404*tun_WomenShare*tun_BaseFertility*INDEX(tun_FertMult,G405)*Arch_Fertility*(1-P405)</x:f>
        <x:v>153.4430883343453</x:v>
      </x:c>
      <x:c r="S405" s="9" t="n">
        <x:f>H405*Y404*INDEX(tun_MortChild,G405)/4*Q405</x:f>
        <x:v>23.830397320905558</x:v>
      </x:c>
      <x:c r="T405" s="9" t="n">
        <x:f>H405*Z404*INDEX(tun_MortAdult,G405)*Arch_AdultMort/4*Q405</x:f>
        <x:v>7.5796398725462515</x:v>
      </x:c>
      <x:c r="U405" s="9" t="n">
        <x:f>H405*AA404*INDEX(tun_MortElder,G405)/4*Q405</x:f>
        <x:v>11.730980084981955</x:v>
      </x:c>
      <x:c r="V405" s="9" t="n">
        <x:f>H405*MAX(0,AB404-O405)*tun_OvercapLoss</x:f>
        <x:v>0</x:v>
      </x:c>
      <x:c r="W405" s="9" t="n">
        <x:f>H405*Y404/(tun_ChildYears*4)</x:f>
        <x:v>100.12771983573762</x:v>
      </x:c>
      <x:c r="X405" s="9" t="n">
        <x:f>H405*Z404/(tun_AdultYears*4)</x:f>
        <x:v>31.346732309951413</x:v>
      </x:c>
      <x:c r="Y405" s="32" t="n">
        <x:f>Y404+R405-S405-W405-Y404*V405/AB404</x:f>
        <x:v>5636.6372819790095</x:v>
      </x:c>
      <x:c r="Z405" s="32" t="n">
        <x:f>Z404+W405-X405-T405-Z404*V405/AB404</x:f>
        <x:v>3948.1961540872153</x:v>
      </x:c>
      <x:c r="AA405" s="32" t="n">
        <x:f>AA404+X405-U405-AA404*V405/AB404</x:f>
        <x:v>1110.86971361864</x:v>
      </x:c>
      <x:c r="AB405" s="10" t="n">
        <x:f>Y405+Z405+AA405</x:f>
        <x:v>10695.703149684865</x:v>
      </x:c>
      <x:c r="AC405" s="8" t="n">
        <x:f>IF(AND(tun_WinterTrigger=1,D405=1,AB404/AE404&gt;=K405),1,0)</x:f>
        <x:v>0</x:v>
      </x:c>
      <x:c r="AD405" s="8" t="n">
        <x:f>H405*IF(AND(OR(AB404/AE404&gt;=tun_FissionTrigger*N405,AC405=1),AB404/AE404*tun_DaughterShare&gt;=tun_MinDaughter),MAX(1,ROUND(AE404*tun_FissionRate,0)),0)</x:f>
        <x:v>4</x:v>
      </x:c>
      <x:c r="AE405" s="8" t="n">
        <x:f>IF(H405=1,MAX(1,MIN(INDEX(tun_Smax,G405),AE404+AD405)),AE404)</x:f>
        <x:v>15</x:v>
      </x:c>
      <x:c r="AF405" s="8" t="n">
        <x:f>MAX(0,AE405-AE404)</x:f>
        <x:v>3</x:v>
      </x:c>
      <x:c r="AG405" s="9" t="n">
        <x:f>IF(AF405&gt;0,B405,"")</x:f>
        <x:v>100.5</x:v>
      </x:c>
      <x:c r="AH405" s="9" t="n">
        <x:f>IF(F405&gt;=1,1,(1+tun_LowTiesShare*(AE405-1))/AE405)</x:f>
        <x:v>1</x:v>
      </x:c>
      <x:c r="AI405" s="32" t="n">
        <x:f>(Z405+tun_ElderCommons*INDEX(LM_Elder,G405)*AA405)*AH405</x:f>
        <x:v>8113.957580157115</x:v>
      </x:c>
      <x:c r="AJ405" s="32" t="n">
        <x:f>H405*tun_CommonsCoef*AI405^tun_CommonsExp*INDEX(LM_Commons,G405)</x:f>
        <x:v>19705.87667302189</x:v>
      </x:c>
      <x:c r="AK405" s="32" t="n">
        <x:f>H405*tun_RoleScale*Arch_Roles*(AE405*(INDEX(tun_ElderRolePerSett,G405)*tun_OutElder*INDEX(LM_Elder,G405)+INDEX(tun_ShamanPerSett,G405)*tun_OutShaman)+Z405*(INDEX(tun_PriestShare,G405)*tun_OutPriest+INDEX(tun_ScribeShare,G405)*tun_OutScribe*INDEX(LM_Scribe,G405)+INDEX(tun_ScholarShare,G405)*tun_OutScholar*INDEX(LM_Scholar,G405)+INDEX(tun_ResearcherShare,G405)*tun_OutResearcher*INDEX(LM_Researcher,G405)))</x:f>
        <x:v>6083.453636654396</x:v>
      </x:c>
      <x:c r="AL405" s="32" t="n">
        <x:f>H405*tun_RoleScale*Arch_Roles*AE405*INDEX(tun_MonasteryPerSett,G405)*tun_OutMonastery*INDEX(LM_Monastery,G405)</x:f>
        <x:v>79.2</x:v>
      </x:c>
      <x:c r="AM405" s="32" t="n">
        <x:f>(AJ405+AK405+AL405)/4*INDEX(LM_All,G405)*INDEX(tun_Boon,G405)*Arch_Insight</x:f>
        <x:v>15567.747401556342</x:v>
      </x:c>
      <x:c r="AN405" s="32" t="n">
        <x:f>H405*(tun_KHPerAdult*Z405+tun_KHOfCommons*AJ405/4*INDEX(LM_All,G405))*tun_KHUsable*Arch_KH</x:f>
        <x:v>2444.2679198431983</x:v>
      </x:c>
      <x:c r="AO405" s="32" t="n">
        <x:f>MIN(AP404+AN405,AM405*tun_KHMaxRatio)</x:f>
        <x:v>2444.2679198431983</x:v>
      </x:c>
      <x:c r="AP405" s="32" t="n">
        <x:f>AP404+AN405-AO405</x:f>
        <x:v>0</x:v>
      </x:c>
      <x:c r="AQ405" s="32" t="n">
        <x:f>AM405+AO405</x:f>
        <x:v>18012.01532139954</x:v>
      </x:c>
      <x:c r="AR405" s="10" t="n">
        <x:f>IF(H405=1,INDEX(tun_Req,G405),0)</x:f>
        <x:v>3142139.1800715</x:v>
      </x:c>
      <x:c r="AS405" s="32" t="n">
        <x:f>IF(H405=1,IF(E405=1,AS404-AR404,AS404)+AQ405,0)</x:f>
        <x:v>154176.6251643071</x:v>
      </x:c>
      <x:c r="AT405" s="11" t="n">
        <x:f>IF(AR405&gt;0,MIN(1,AS405/AR405),1)</x:f>
        <x:v>0.049067408007305004</x:v>
      </x:c>
      <x:c r="AU405" s="10" t="n">
        <x:f>AB405/INDEX(tun_RepScale,G405)</x:f>
        <x:v>106.95703149684864</x:v>
      </x:c>
      <x:c r="AV405" s="32" t="n">
        <x:f>AM405*60/tun_SeasonSeconds</x:f>
        <x:v>62270.98960622537</x:v>
      </x:c>
    </x:row>
    <x:row r="406">
      <x:c r="A406" s="8" t="n">
        <x:f>A405+1</x:f>
        <x:v>403</x:v>
      </x:c>
      <x:c r="B406" s="9" t="n">
        <x:f>A406*tun_SeasonSeconds/60</x:f>
        <x:v>100.75</x:v>
      </x:c>
      <x:c r="C406" s="9" t="n">
        <x:f>A406/4</x:f>
        <x:v>100.75</x:v>
      </x:c>
      <x:c r="D406" s="8" t="n">
        <x:f>IF(MOD(A406,4)=0,1,0)</x:f>
        <x:v>0</x:v>
      </x:c>
      <x:c r="E406" s="8" t="n">
        <x:f>IF(AND(F405&lt;=9,AS405&gt;=AR405),1,0)</x:f>
        <x:v>0</x:v>
      </x:c>
      <x:c r="F406" s="8" t="n">
        <x:f>MIN(10,F405+E406)</x:f>
        <x:v>7</x:v>
      </x:c>
      <x:c r="G406" s="8" t="n">
        <x:f>MIN(F406,9)+1</x:f>
        <x:v>8</x:v>
      </x:c>
      <x:c r="H406" s="8" t="n">
        <x:f>IF(F406&lt;=9,1,0)</x:f>
        <x:v>1</x:v>
      </x:c>
      <x:c r="I406" s="9" t="n">
        <x:f>MIN(10,F405+IF(AR405&gt;0,MIN(1,AS405/AR405),1))</x:f>
        <x:v>7.049067408007305</x:v>
      </x:c>
      <x:c r="J406" s="32" t="n">
        <x:f>INDEX(tun_FoodCap,G406)*Arch_FoodCap*EXP(tun_CapsByProject*SUMPRODUCT((Cap_Point&lt;=I406)*(Cap_Kind="Food")*Cap_Ln))</x:f>
        <x:v>1030.8296491509448</x:v>
      </x:c>
      <x:c r="K406" s="32" t="n">
        <x:f>J406*MIN(1,tun_LeanBase*EXP(tun_CapsByProject*SUMPRODUCT((Cap_Point&lt;=I406)*(Cap_Kind="Lean")*Cap_Ln)))</x:f>
        <x:v>1030.8296491509448</x:v>
      </x:c>
      <x:c r="L406" s="10" t="n">
        <x:f>INDEX(tun_HousingCap,G406)*EXP(tun_CapsByProject*SUMPRODUCT((Cap_Point&lt;=I406)*(Cap_Kind="Housing")*Cap_Ln))</x:f>
        <x:v>2423.1679699072442</x:v>
      </x:c>
      <x:c r="M406" s="10" t="n">
        <x:f>INDEX(tun_GroupCap,G406)*tun_CohesionFactor*EXP(tun_CapsByProject*SUMPRODUCT((Cap_Point&lt;=I406)*(Cap_Kind="Group")*Cap_Ln))</x:f>
        <x:v>1000000.000000001</x:v>
      </x:c>
      <x:c r="N406" s="32" t="n">
        <x:f>MIN(J406,L406,M406)</x:f>
        <x:v>1030.8296491509448</x:v>
      </x:c>
      <x:c r="O406" s="10" t="n">
        <x:f>AE405*N406</x:f>
        <x:v>15462.444737264172</x:v>
      </x:c>
      <x:c r="P406" s="9" t="n">
        <x:f>MIN(1,(AB405/(AE405*IF(tun_GroupInCrowding=1,N406,MIN(J406,L406))))^tun_CrowdingExp)</x:f>
        <x:v>0.10954361853580051</x:v>
      </x:c>
      <x:c r="Q406" s="9" t="n">
        <x:f>IF(D406=1,INDEX(tun_WinterMult,G406),1)</x:f>
        <x:v>1</x:v>
      </x:c>
      <x:c r="R406" s="9" t="n">
        <x:f>H406*Z405*tun_WomenShare*tun_BaseFertility*INDEX(tun_FertMult,G406)*Arch_Fertility*(1-P406)</x:f>
        <x:v>228.52026994415908</x:v>
      </x:c>
      <x:c r="S406" s="9" t="n">
        <x:f>H406*Y405*INDEX(tun_MortChild,G406)/4*Q406</x:f>
        <x:v>23.955708448410792</x:v>
      </x:c>
      <x:c r="T406" s="9" t="n">
        <x:f>H406*Z405*INDEX(tun_MortAdult,G406)*Arch_AdultMort/4*Q406</x:f>
        <x:v>7.69898250047007</x:v>
      </x:c>
      <x:c r="U406" s="9" t="n">
        <x:f>H406*AA405*INDEX(tun_MortElder,G406)/4*Q406</x:f>
        <x:v>11.941849421400379</x:v>
      </x:c>
      <x:c r="V406" s="9" t="n">
        <x:f>H406*MAX(0,AB405-O406)*tun_OvercapLoss</x:f>
        <x:v>0</x:v>
      </x:c>
      <x:c r="W406" s="9" t="n">
        <x:f>H406*Y405/(tun_ChildYears*4)</x:f>
        <x:v>100.6542371781966</x:v>
      </x:c>
      <x:c r="X406" s="9" t="n">
        <x:f>H406*Z405/(tun_AdultYears*4)</x:f>
        <x:v>31.840291565219477</x:v>
      </x:c>
      <x:c r="Y406" s="32" t="n">
        <x:f>Y405+R406-S406-W406-Y405*V406/AB405</x:f>
        <x:v>5740.547606296561</x:v>
      </x:c>
      <x:c r="Z406" s="32" t="n">
        <x:f>Z405+W406-X406-T406-Z405*V406/AB405</x:f>
        <x:v>4009.311117199722</x:v>
      </x:c>
      <x:c r="AA406" s="32" t="n">
        <x:f>AA405+X406-U406-AA405*V406/AB405</x:f>
        <x:v>1130.7681557624592</x:v>
      </x:c>
      <x:c r="AB406" s="10" t="n">
        <x:f>Y406+Z406+AA406</x:f>
        <x:v>10880.626879258743</x:v>
      </x:c>
      <x:c r="AC406" s="8" t="n">
        <x:f>IF(AND(tun_WinterTrigger=1,D406=1,AB405/AE405&gt;=K406),1,0)</x:f>
        <x:v>0</x:v>
      </x:c>
      <x:c r="AD406" s="8" t="n">
        <x:f>H406*IF(AND(OR(AB405/AE405&gt;=tun_FissionTrigger*N406,AC406=1),AB405/AE405*tun_DaughterShare&gt;=tun_MinDaughter),MAX(1,ROUND(AE405*tun_FissionRate,0)),0)</x:f>
        <x:v>0</x:v>
      </x:c>
      <x:c r="AE406" s="8" t="n">
        <x:f>IF(H406=1,MAX(1,MIN(INDEX(tun_Smax,G406),AE405+AD406)),AE405)</x:f>
        <x:v>15</x:v>
      </x:c>
      <x:c r="AF406" s="8" t="n">
        <x:f>MAX(0,AE406-AE405)</x:f>
        <x:v>0</x:v>
      </x:c>
      <x:c r="AG406" s="9" t="str">
        <x:f>IF(AF406&gt;0,B406,"")</x:f>
      </x:c>
      <x:c r="AH406" s="9" t="n">
        <x:f>IF(F406&gt;=1,1,(1+tun_LowTiesShare*(AE406-1))/AE406)</x:f>
        <x:v>1</x:v>
      </x:c>
      <x:c r="AI406" s="32" t="n">
        <x:f>(Z406+tun_ElderCommons*INDEX(LM_Elder,G406)*AA406)*AH406</x:f>
        <x:v>8249.691701308944</x:v>
      </x:c>
      <x:c r="AJ406" s="32" t="n">
        <x:f>H406*tun_CommonsCoef*AI406^tun_CommonsExp*INDEX(LM_Commons,G406)</x:f>
        <x:v>19985.72919987672</x:v>
      </x:c>
      <x:c r="AK406" s="32" t="n">
        <x:f>H406*tun_RoleScale*Arch_Roles*(AE406*(INDEX(tun_ElderRolePerSett,G406)*tun_OutElder*INDEX(LM_Elder,G406)+INDEX(tun_ShamanPerSett,G406)*tun_OutShaman)+Z406*(INDEX(tun_PriestShare,G406)*tun_OutPriest+INDEX(tun_ScribeShare,G406)*tun_OutScribe*INDEX(LM_Scribe,G406)+INDEX(tun_ScholarShare,G406)*tun_OutScholar*INDEX(LM_Scholar,G406)+INDEX(tun_ResearcherShare,G406)*tun_OutResearcher*INDEX(LM_Researcher,G406)))</x:f>
        <x:v>6171.351621201328</x:v>
      </x:c>
      <x:c r="AL406" s="32" t="n">
        <x:f>H406*tun_RoleScale*Arch_Roles*AE406*INDEX(tun_MonasteryPerSett,G406)*tun_OutMonastery*INDEX(LM_Monastery,G406)</x:f>
        <x:v>79.2</x:v>
      </x:c>
      <x:c r="AM406" s="32" t="n">
        <x:f>(AJ406+AK406+AL406)/4*INDEX(LM_All,G406)*INDEX(tun_Boon,G406)*Arch_Insight</x:f>
        <x:v>15789.060595609517</x:v>
      </x:c>
      <x:c r="AN406" s="32" t="n">
        <x:f>H406*(tun_KHPerAdult*Z406+tun_KHOfCommons*AJ406/4*INDEX(LM_All,G406))*tun_KHUsable*Arch_KH</x:f>
        <x:v>2478.9801310799</x:v>
      </x:c>
      <x:c r="AO406" s="32" t="n">
        <x:f>MIN(AP405+AN406,AM406*tun_KHMaxRatio)</x:f>
        <x:v>2478.9801310799</x:v>
      </x:c>
      <x:c r="AP406" s="32" t="n">
        <x:f>AP405+AN406-AO406</x:f>
        <x:v>0</x:v>
      </x:c>
      <x:c r="AQ406" s="32" t="n">
        <x:f>AM406+AO406</x:f>
        <x:v>18268.040726689418</x:v>
      </x:c>
      <x:c r="AR406" s="10" t="n">
        <x:f>IF(H406=1,INDEX(tun_Req,G406),0)</x:f>
        <x:v>3142139.1800715</x:v>
      </x:c>
      <x:c r="AS406" s="32" t="n">
        <x:f>IF(H406=1,IF(E406=1,AS405-AR405,AS405)+AQ406,0)</x:f>
        <x:v>172444.66589099652</x:v>
      </x:c>
      <x:c r="AT406" s="11" t="n">
        <x:f>IF(AR406&gt;0,MIN(1,AS406/AR406),1)</x:f>
        <x:v>0.0548812945603105</x:v>
      </x:c>
      <x:c r="AU406" s="10" t="n">
        <x:f>AB406/INDEX(tun_RepScale,G406)</x:f>
        <x:v>108.80626879258743</x:v>
      </x:c>
      <x:c r="AV406" s="32" t="n">
        <x:f>AM406*60/tun_SeasonSeconds</x:f>
        <x:v>63156.24238243807</x:v>
      </x:c>
    </x:row>
    <x:row r="407">
      <x:c r="A407" s="8" t="n">
        <x:f>A406+1</x:f>
        <x:v>404</x:v>
      </x:c>
      <x:c r="B407" s="9" t="n">
        <x:f>A407*tun_SeasonSeconds/60</x:f>
        <x:v>101</x:v>
      </x:c>
      <x:c r="C407" s="9" t="n">
        <x:f>A407/4</x:f>
        <x:v>101</x:v>
      </x:c>
      <x:c r="D407" s="8" t="n">
        <x:f>IF(MOD(A407,4)=0,1,0)</x:f>
        <x:v>1</x:v>
      </x:c>
      <x:c r="E407" s="8" t="n">
        <x:f>IF(AND(F406&lt;=9,AS406&gt;=AR406),1,0)</x:f>
        <x:v>0</x:v>
      </x:c>
      <x:c r="F407" s="8" t="n">
        <x:f>MIN(10,F406+E407)</x:f>
        <x:v>7</x:v>
      </x:c>
      <x:c r="G407" s="8" t="n">
        <x:f>MIN(F407,9)+1</x:f>
        <x:v>8</x:v>
      </x:c>
      <x:c r="H407" s="8" t="n">
        <x:f>IF(F407&lt;=9,1,0)</x:f>
        <x:v>1</x:v>
      </x:c>
      <x:c r="I407" s="9" t="n">
        <x:f>MIN(10,F406+IF(AR406&gt;0,MIN(1,AS406/AR406),1))</x:f>
        <x:v>7.05488129456031</x:v>
      </x:c>
      <x:c r="J407" s="32" t="n">
        <x:f>INDEX(tun_FoodCap,G407)*Arch_FoodCap*EXP(tun_CapsByProject*SUMPRODUCT((Cap_Point&lt;=I407)*(Cap_Kind="Food")*Cap_Ln))</x:f>
        <x:v>1030.8296491509448</x:v>
      </x:c>
      <x:c r="K407" s="32" t="n">
        <x:f>J407*MIN(1,tun_LeanBase*EXP(tun_CapsByProject*SUMPRODUCT((Cap_Point&lt;=I407)*(Cap_Kind="Lean")*Cap_Ln)))</x:f>
        <x:v>1030.8296491509448</x:v>
      </x:c>
      <x:c r="L407" s="10" t="n">
        <x:f>INDEX(tun_HousingCap,G407)*EXP(tun_CapsByProject*SUMPRODUCT((Cap_Point&lt;=I407)*(Cap_Kind="Housing")*Cap_Ln))</x:f>
        <x:v>2423.1679699072442</x:v>
      </x:c>
      <x:c r="M407" s="10" t="n">
        <x:f>INDEX(tun_GroupCap,G407)*tun_CohesionFactor*EXP(tun_CapsByProject*SUMPRODUCT((Cap_Point&lt;=I407)*(Cap_Kind="Group")*Cap_Ln))</x:f>
        <x:v>1000000.000000001</x:v>
      </x:c>
      <x:c r="N407" s="32" t="n">
        <x:f>MIN(J407,L407,M407)</x:f>
        <x:v>1030.8296491509448</x:v>
      </x:c>
      <x:c r="O407" s="10" t="n">
        <x:f>AE406*N407</x:f>
        <x:v>15462.444737264172</x:v>
      </x:c>
      <x:c r="P407" s="9" t="n">
        <x:f>MIN(1,(AB406/(AE406*IF(tun_GroupInCrowding=1,N407,MIN(J407,L407))))^tun_CrowdingExp)</x:f>
        <x:v>0.1214100234493125</x:v>
      </x:c>
      <x:c r="Q407" s="9" t="n">
        <x:f>IF(D407=1,INDEX(tun_WinterMult,G407),1)</x:f>
        <x:v>1.08</x:v>
      </x:c>
      <x:c r="R407" s="9" t="n">
        <x:f>H407*Z406*tun_WomenShare*tun_BaseFertility*INDEX(tun_FertMult,G407)*Arch_Fertility*(1-P407)</x:f>
        <x:v>228.96513642891946</x:v>
      </x:c>
      <x:c r="S407" s="9" t="n">
        <x:f>H407*Y406*INDEX(tun_MortChild,G407)/4*Q407</x:f>
        <x:v>26.34911351290122</x:v>
      </x:c>
      <x:c r="T407" s="9" t="n">
        <x:f>H407*Z406*INDEX(tun_MortAdult,G407)*Arch_AdultMort/4*Q407</x:f>
        <x:v>8.443609212822615</x:v>
      </x:c>
      <x:c r="U407" s="9" t="n">
        <x:f>H407*AA406*INDEX(tun_MortElder,G407)/4*Q407</x:f>
        <x:v>13.128218288402152</x:v>
      </x:c>
      <x:c r="V407" s="9" t="n">
        <x:f>H407*MAX(0,AB406-O407)*tun_OvercapLoss</x:f>
        <x:v>0</x:v>
      </x:c>
      <x:c r="W407" s="9" t="n">
        <x:f>H407*Y406/(tun_ChildYears*4)</x:f>
        <x:v>102.50977868386715</x:v>
      </x:c>
      <x:c r="X407" s="9" t="n">
        <x:f>H407*Z406/(tun_AdultYears*4)</x:f>
        <x:v>32.3331541709655</x:v>
      </x:c>
      <x:c r="Y407" s="32" t="n">
        <x:f>Y406+R407-S407-W407-Y406*V407/AB406</x:f>
        <x:v>5840.653850528712</x:v>
      </x:c>
      <x:c r="Z407" s="32" t="n">
        <x:f>Z406+W407-X407-T407-Z406*V407/AB406</x:f>
        <x:v>4071.0441324998014</x:v>
      </x:c>
      <x:c r="AA407" s="32" t="n">
        <x:f>AA406+X407-U407-AA406*V407/AB406</x:f>
        <x:v>1149.9730916450226</x:v>
      </x:c>
      <x:c r="AB407" s="10" t="n">
        <x:f>Y407+Z407+AA407</x:f>
        <x:v>11061.671074673535</x:v>
      </x:c>
      <x:c r="AC407" s="8" t="n">
        <x:f>IF(AND(tun_WinterTrigger=1,D407=1,AB406/AE406&gt;=K407),1,0)</x:f>
        <x:v>0</x:v>
      </x:c>
      <x:c r="AD407" s="8" t="n">
        <x:f>H407*IF(AND(OR(AB406/AE406&gt;=tun_FissionTrigger*N407,AC407=1),AB406/AE406*tun_DaughterShare&gt;=tun_MinDaughter),MAX(1,ROUND(AE406*tun_FissionRate,0)),0)</x:f>
        <x:v>0</x:v>
      </x:c>
      <x:c r="AE407" s="8" t="n">
        <x:f>IF(H407=1,MAX(1,MIN(INDEX(tun_Smax,G407),AE406+AD407)),AE406)</x:f>
        <x:v>15</x:v>
      </x:c>
      <x:c r="AF407" s="8" t="n">
        <x:f>MAX(0,AE407-AE406)</x:f>
        <x:v>0</x:v>
      </x:c>
      <x:c r="AG407" s="9" t="str">
        <x:f>IF(AF407&gt;0,B407,"")</x:f>
      </x:c>
      <x:c r="AH407" s="9" t="n">
        <x:f>IF(F407&gt;=1,1,(1+tun_LowTiesShare*(AE407-1))/AE407)</x:f>
        <x:v>1</x:v>
      </x:c>
      <x:c r="AI407" s="32" t="n">
        <x:f>(Z407+tun_ElderCommons*INDEX(LM_Elder,G407)*AA407)*AH407</x:f>
        <x:v>8383.443226168636</x:v>
      </x:c>
      <x:c r="AJ407" s="32" t="n">
        <x:f>H407*tun_CommonsCoef*AI407^tun_CommonsExp*INDEX(LM_Commons,G407)</x:f>
        <x:v>20260.81919485072</x:v>
      </x:c>
      <x:c r="AK407" s="32" t="n">
        <x:f>H407*tun_RoleScale*Arch_Roles*(AE407*(INDEX(tun_ElderRolePerSett,G407)*tun_OutElder*INDEX(LM_Elder,G407)+INDEX(tun_ShamanPerSett,G407)*tun_OutShaman)+Z407*(INDEX(tun_PriestShare,G407)*tun_OutPriest+INDEX(tun_ScribeShare,G407)*tun_OutScribe*INDEX(LM_Scribe,G407)+INDEX(tun_ScholarShare,G407)*tun_OutScholar*INDEX(LM_Scholar,G407)+INDEX(tun_ResearcherShare,G407)*tun_OutResearcher*INDEX(LM_Researcher,G407)))</x:f>
        <x:v>6260.138513126514</x:v>
      </x:c>
      <x:c r="AL407" s="32" t="n">
        <x:f>H407*tun_RoleScale*Arch_Roles*AE407*INDEX(tun_MonasteryPerSett,G407)*tun_OutMonastery*INDEX(LM_Monastery,G407)</x:f>
        <x:v>79.2</x:v>
      </x:c>
      <x:c r="AM407" s="32" t="n">
        <x:f>(AJ407+AK407+AL407)/4*INDEX(LM_All,G407)*INDEX(tun_Boon,G407)*Arch_Insight</x:f>
        <x:v>16008.042632574805</x:v>
      </x:c>
      <x:c r="AN407" s="32" t="n">
        <x:f>H407*(tun_KHPerAdult*Z407+tun_KHOfCommons*AJ407/4*INDEX(LM_All,G407))*tun_KHUsable*Arch_KH</x:f>
        <x:v>2513.1016097099423</x:v>
      </x:c>
      <x:c r="AO407" s="32" t="n">
        <x:f>MIN(AP406+AN407,AM407*tun_KHMaxRatio)</x:f>
        <x:v>2513.1016097099423</x:v>
      </x:c>
      <x:c r="AP407" s="32" t="n">
        <x:f>AP406+AN407-AO407</x:f>
        <x:v>0</x:v>
      </x:c>
      <x:c r="AQ407" s="32" t="n">
        <x:f>AM407+AO407</x:f>
        <x:v>18521.144242284747</x:v>
      </x:c>
      <x:c r="AR407" s="10" t="n">
        <x:f>IF(H407=1,INDEX(tun_Req,G407),0)</x:f>
        <x:v>3142139.1800715</x:v>
      </x:c>
      <x:c r="AS407" s="32" t="n">
        <x:f>IF(H407=1,IF(E407=1,AS406-AR406,AS406)+AQ407,0)</x:f>
        <x:v>190965.81013328128</x:v>
      </x:c>
      <x:c r="AT407" s="11" t="n">
        <x:f>IF(AR407&gt;0,MIN(1,AS407/AR407),1)</x:f>
        <x:v>0.060775732451461874</x:v>
      </x:c>
      <x:c r="AU407" s="10" t="n">
        <x:f>AB407/INDEX(tun_RepScale,G407)</x:f>
        <x:v>110.61671074673535</x:v>
      </x:c>
      <x:c r="AV407" s="32" t="n">
        <x:f>AM407*60/tun_SeasonSeconds</x:f>
        <x:v>64032.17053029922</x:v>
      </x:c>
    </x:row>
    <x:row r="408">
      <x:c r="A408" s="8" t="n">
        <x:f>A407+1</x:f>
        <x:v>405</x:v>
      </x:c>
      <x:c r="B408" s="9" t="n">
        <x:f>A408*tun_SeasonSeconds/60</x:f>
        <x:v>101.25</x:v>
      </x:c>
      <x:c r="C408" s="9" t="n">
        <x:f>A408/4</x:f>
        <x:v>101.25</x:v>
      </x:c>
      <x:c r="D408" s="8" t="n">
        <x:f>IF(MOD(A408,4)=0,1,0)</x:f>
        <x:v>0</x:v>
      </x:c>
      <x:c r="E408" s="8" t="n">
        <x:f>IF(AND(F407&lt;=9,AS407&gt;=AR407),1,0)</x:f>
        <x:v>0</x:v>
      </x:c>
      <x:c r="F408" s="8" t="n">
        <x:f>MIN(10,F407+E408)</x:f>
        <x:v>7</x:v>
      </x:c>
      <x:c r="G408" s="8" t="n">
        <x:f>MIN(F408,9)+1</x:f>
        <x:v>8</x:v>
      </x:c>
      <x:c r="H408" s="8" t="n">
        <x:f>IF(F408&lt;=9,1,0)</x:f>
        <x:v>1</x:v>
      </x:c>
      <x:c r="I408" s="9" t="n">
        <x:f>MIN(10,F407+IF(AR407&gt;0,MIN(1,AS407/AR407),1))</x:f>
        <x:v>7.060775732451462</x:v>
      </x:c>
      <x:c r="J408" s="32" t="n">
        <x:f>INDEX(tun_FoodCap,G408)*Arch_FoodCap*EXP(tun_CapsByProject*SUMPRODUCT((Cap_Point&lt;=I408)*(Cap_Kind="Food")*Cap_Ln))</x:f>
        <x:v>1030.8296491509448</x:v>
      </x:c>
      <x:c r="K408" s="32" t="n">
        <x:f>J408*MIN(1,tun_LeanBase*EXP(tun_CapsByProject*SUMPRODUCT((Cap_Point&lt;=I408)*(Cap_Kind="Lean")*Cap_Ln)))</x:f>
        <x:v>1030.8296491509448</x:v>
      </x:c>
      <x:c r="L408" s="10" t="n">
        <x:f>INDEX(tun_HousingCap,G408)*EXP(tun_CapsByProject*SUMPRODUCT((Cap_Point&lt;=I408)*(Cap_Kind="Housing")*Cap_Ln))</x:f>
        <x:v>2423.1679699072442</x:v>
      </x:c>
      <x:c r="M408" s="10" t="n">
        <x:f>INDEX(tun_GroupCap,G408)*tun_CohesionFactor*EXP(tun_CapsByProject*SUMPRODUCT((Cap_Point&lt;=I408)*(Cap_Kind="Group")*Cap_Ln))</x:f>
        <x:v>1000000.000000001</x:v>
      </x:c>
      <x:c r="N408" s="32" t="n">
        <x:f>MIN(J408,L408,M408)</x:f>
        <x:v>1030.8296491509448</x:v>
      </x:c>
      <x:c r="O408" s="10" t="n">
        <x:f>AE407*N408</x:f>
        <x:v>15462.444737264172</x:v>
      </x:c>
      <x:c r="P408" s="9" t="n">
        <x:f>MIN(1,(AB407/(AE407*IF(tun_GroupInCrowding=1,N408,MIN(J408,L408))))^tun_CrowdingExp)</x:f>
        <x:v>0.1340465000639634</x:v>
      </x:c>
      <x:c r="Q408" s="9" t="n">
        <x:f>IF(D408=1,INDEX(tun_WinterMult,G408),1)</x:f>
        <x:v>1</x:v>
      </x:c>
      <x:c r="R408" s="9" t="n">
        <x:f>H408*Z407*tun_WomenShare*tun_BaseFertility*INDEX(tun_FertMult,G408)*Arch_Fertility*(1-P408)</x:f>
        <x:v>229.14676947059746</x:v>
      </x:c>
      <x:c r="S408" s="9" t="n">
        <x:f>H408*Y407*INDEX(tun_MortChild,G408)/4*Q408</x:f>
        <x:v>24.822778864747026</x:v>
      </x:c>
      <x:c r="T408" s="9" t="n">
        <x:f>H408*Z407*INDEX(tun_MortAdult,G408)*Arch_AdultMort/4*Q408</x:f>
        <x:v>7.938536058374613</x:v>
      </x:c>
      <x:c r="U408" s="9" t="n">
        <x:f>H408*AA407*INDEX(tun_MortElder,G408)/4*Q408</x:f>
        <x:v>12.362210735183991</x:v>
      </x:c>
      <x:c r="V408" s="9" t="n">
        <x:f>H408*MAX(0,AB407-O408)*tun_OvercapLoss</x:f>
        <x:v>0</x:v>
      </x:c>
      <x:c r="W408" s="9" t="n">
        <x:f>H408*Y407/(tun_ChildYears*4)</x:f>
        <x:v>104.29739018801271</x:v>
      </x:c>
      <x:c r="X408" s="9" t="n">
        <x:f>H408*Z407/(tun_AdultYears*4)</x:f>
        <x:v>32.83100106854678</x:v>
      </x:c>
      <x:c r="Y408" s="32" t="n">
        <x:f>Y407+R408-S408-W408-Y407*V408/AB407</x:f>
        <x:v>5940.680450946549</x:v>
      </x:c>
      <x:c r="Z408" s="32" t="n">
        <x:f>Z407+W408-X408-T408-Z407*V408/AB407</x:f>
        <x:v>4134.571985560893</x:v>
      </x:c>
      <x:c r="AA408" s="32" t="n">
        <x:f>AA407+X408-U408-AA407*V408/AB407</x:f>
        <x:v>1170.4418819783855</x:v>
      </x:c>
      <x:c r="AB408" s="10" t="n">
        <x:f>Y408+Z408+AA408</x:f>
        <x:v>11245.694318485828</x:v>
      </x:c>
      <x:c r="AC408" s="8" t="n">
        <x:f>IF(AND(tun_WinterTrigger=1,D408=1,AB407/AE407&gt;=K408),1,0)</x:f>
        <x:v>0</x:v>
      </x:c>
      <x:c r="AD408" s="8" t="n">
        <x:f>H408*IF(AND(OR(AB407/AE407&gt;=tun_FissionTrigger*N408,AC408=1),AB407/AE407*tun_DaughterShare&gt;=tun_MinDaughter),MAX(1,ROUND(AE407*tun_FissionRate,0)),0)</x:f>
        <x:v>0</x:v>
      </x:c>
      <x:c r="AE408" s="8" t="n">
        <x:f>IF(H408=1,MAX(1,MIN(INDEX(tun_Smax,G408),AE407+AD408)),AE407)</x:f>
        <x:v>15</x:v>
      </x:c>
      <x:c r="AF408" s="8" t="n">
        <x:f>MAX(0,AE408-AE407)</x:f>
        <x:v>0</x:v>
      </x:c>
      <x:c r="AG408" s="9" t="str">
        <x:f>IF(AF408&gt;0,B408,"")</x:f>
      </x:c>
      <x:c r="AH408" s="9" t="n">
        <x:f>IF(F408&gt;=1,1,(1+tun_LowTiesShare*(AE408-1))/AE408)</x:f>
        <x:v>1</x:v>
      </x:c>
      <x:c r="AI408" s="32" t="n">
        <x:f>(Z408+tun_ElderCommons*INDEX(LM_Elder,G408)*AA408)*AH408</x:f>
        <x:v>8523.729042979838</x:v>
      </x:c>
      <x:c r="AJ408" s="32" t="n">
        <x:f>H408*tun_CommonsCoef*AI408^tun_CommonsExp*INDEX(LM_Commons,G408)</x:f>
        <x:v>20548.642092251222</x:v>
      </x:c>
      <x:c r="AK408" s="32" t="n">
        <x:f>H408*tun_RoleScale*Arch_Roles*(AE408*(INDEX(tun_ElderRolePerSett,G408)*tun_OutElder*INDEX(LM_Elder,G408)+INDEX(tun_ShamanPerSett,G408)*tun_OutShaman)+Z408*(INDEX(tun_PriestShare,G408)*tun_OutPriest+INDEX(tun_ScribeShare,G408)*tun_OutScribe*INDEX(LM_Scribe,G408)+INDEX(tun_ScholarShare,G408)*tun_OutScholar*INDEX(LM_Scholar,G408)+INDEX(tun_ResearcherShare,G408)*tun_OutResearcher*INDEX(LM_Researcher,G408)))</x:f>
        <x:v>6351.506812513099</x:v>
      </x:c>
      <x:c r="AL408" s="32" t="n">
        <x:f>H408*tun_RoleScale*Arch_Roles*AE408*INDEX(tun_MonasteryPerSett,G408)*tun_OutMonastery*INDEX(LM_Monastery,G408)</x:f>
        <x:v>79.2</x:v>
      </x:c>
      <x:c r="AM408" s="32" t="n">
        <x:f>(AJ408+AK408+AL408)/4*INDEX(LM_All,G408)*INDEX(tun_Boon,G408)*Arch_Insight</x:f>
        <x:v>16236.240860220818</x:v>
      </x:c>
      <x:c r="AN408" s="32" t="n">
        <x:f>H408*(tun_KHPerAdult*Z408+tun_KHOfCommons*AJ408/4*INDEX(LM_All,G408))*tun_KHUsable*Arch_KH</x:f>
        <x:v>2548.802445881089</x:v>
      </x:c>
      <x:c r="AO408" s="32" t="n">
        <x:f>MIN(AP407+AN408,AM408*tun_KHMaxRatio)</x:f>
        <x:v>2548.802445881089</x:v>
      </x:c>
      <x:c r="AP408" s="32" t="n">
        <x:f>AP407+AN408-AO408</x:f>
        <x:v>0</x:v>
      </x:c>
      <x:c r="AQ408" s="32" t="n">
        <x:f>AM408+AO408</x:f>
        <x:v>18785.043306101907</x:v>
      </x:c>
      <x:c r="AR408" s="10" t="n">
        <x:f>IF(H408=1,INDEX(tun_Req,G408),0)</x:f>
        <x:v>3142139.1800715</x:v>
      </x:c>
      <x:c r="AS408" s="32" t="n">
        <x:f>IF(H408=1,IF(E408=1,AS407-AR407,AS407)+AQ408,0)</x:f>
        <x:v>209750.85343938318</x:v>
      </x:c>
      <x:c r="AT408" s="11" t="n">
        <x:f>IF(AR408&gt;0,MIN(1,AS408/AR408),1)</x:f>
        <x:v>0.06675415741278852</x:v>
      </x:c>
      <x:c r="AU408" s="10" t="n">
        <x:f>AB408/INDEX(tun_RepScale,G408)</x:f>
        <x:v>112.45694318485829</x:v>
      </x:c>
      <x:c r="AV408" s="32" t="n">
        <x:f>AM408*60/tun_SeasonSeconds</x:f>
        <x:v>64944.96344088327</x:v>
      </x:c>
    </x:row>
    <x:row r="409">
      <x:c r="A409" s="8" t="n">
        <x:f>A408+1</x:f>
        <x:v>406</x:v>
      </x:c>
      <x:c r="B409" s="9" t="n">
        <x:f>A409*tun_SeasonSeconds/60</x:f>
        <x:v>101.5</x:v>
      </x:c>
      <x:c r="C409" s="9" t="n">
        <x:f>A409/4</x:f>
        <x:v>101.5</x:v>
      </x:c>
      <x:c r="D409" s="8" t="n">
        <x:f>IF(MOD(A409,4)=0,1,0)</x:f>
        <x:v>0</x:v>
      </x:c>
      <x:c r="E409" s="8" t="n">
        <x:f>IF(AND(F408&lt;=9,AS408&gt;=AR408),1,0)</x:f>
        <x:v>0</x:v>
      </x:c>
      <x:c r="F409" s="8" t="n">
        <x:f>MIN(10,F408+E409)</x:f>
        <x:v>7</x:v>
      </x:c>
      <x:c r="G409" s="8" t="n">
        <x:f>MIN(F409,9)+1</x:f>
        <x:v>8</x:v>
      </x:c>
      <x:c r="H409" s="8" t="n">
        <x:f>IF(F409&lt;=9,1,0)</x:f>
        <x:v>1</x:v>
      </x:c>
      <x:c r="I409" s="9" t="n">
        <x:f>MIN(10,F408+IF(AR408&gt;0,MIN(1,AS408/AR408),1))</x:f>
        <x:v>7.066754157412788</x:v>
      </x:c>
      <x:c r="J409" s="32" t="n">
        <x:f>INDEX(tun_FoodCap,G409)*Arch_FoodCap*EXP(tun_CapsByProject*SUMPRODUCT((Cap_Point&lt;=I409)*(Cap_Kind="Food")*Cap_Ln))</x:f>
        <x:v>1030.8296491509448</x:v>
      </x:c>
      <x:c r="K409" s="32" t="n">
        <x:f>J409*MIN(1,tun_LeanBase*EXP(tun_CapsByProject*SUMPRODUCT((Cap_Point&lt;=I409)*(Cap_Kind="Lean")*Cap_Ln)))</x:f>
        <x:v>1030.8296491509448</x:v>
      </x:c>
      <x:c r="L409" s="10" t="n">
        <x:f>INDEX(tun_HousingCap,G409)*EXP(tun_CapsByProject*SUMPRODUCT((Cap_Point&lt;=I409)*(Cap_Kind="Housing")*Cap_Ln))</x:f>
        <x:v>2423.1679699072442</x:v>
      </x:c>
      <x:c r="M409" s="10" t="n">
        <x:f>INDEX(tun_GroupCap,G409)*tun_CohesionFactor*EXP(tun_CapsByProject*SUMPRODUCT((Cap_Point&lt;=I409)*(Cap_Kind="Group")*Cap_Ln))</x:f>
        <x:v>1000000.000000001</x:v>
      </x:c>
      <x:c r="N409" s="32" t="n">
        <x:f>MIN(J409,L409,M409)</x:f>
        <x:v>1030.8296491509448</x:v>
      </x:c>
      <x:c r="O409" s="10" t="n">
        <x:f>AE408*N409</x:f>
        <x:v>15462.444737264172</x:v>
      </x:c>
      <x:c r="P409" s="9" t="n">
        <x:f>MIN(1,(AB408/(AE408*IF(tun_GroupInCrowding=1,N409,MIN(J409,L409))))^tun_CrowdingExp)</x:f>
        <x:v>0.1479955588423294</x:v>
      </x:c>
      <x:c r="Q409" s="9" t="n">
        <x:f>IF(D409=1,INDEX(tun_WinterMult,G409),1)</x:f>
        <x:v>1</x:v>
      </x:c>
      <x:c r="R409" s="9" t="n">
        <x:f>H409*Z408*tun_WomenShare*tun_BaseFertility*INDEX(tun_FertMult,G409)*Arch_Fertility*(1-P409)</x:f>
        <x:v>228.97379010895799</x:v>
      </x:c>
      <x:c r="S409" s="9" t="n">
        <x:f>H409*Y408*INDEX(tun_MortChild,G409)/4*Q409</x:f>
        <x:v>25.247891916522835</x:v>
      </x:c>
      <x:c r="T409" s="9" t="n">
        <x:f>H409*Z408*INDEX(tun_MortAdult,G409)*Arch_AdultMort/4*Q409</x:f>
        <x:v>8.062415371843741</x:v>
      </x:c>
      <x:c r="U409" s="9" t="n">
        <x:f>H409*AA408*INDEX(tun_MortElder,G409)/4*Q409</x:f>
        <x:v>12.582250231267643</x:v>
      </x:c>
      <x:c r="V409" s="9" t="n">
        <x:f>H409*MAX(0,AB408-O409)*tun_OvercapLoss</x:f>
        <x:v>0</x:v>
      </x:c>
      <x:c r="W409" s="9" t="n">
        <x:f>H409*Y408/(tun_ChildYears*4)</x:f>
        <x:v>106.08357948118838</x:v>
      </x:c>
      <x:c r="X409" s="9" t="n">
        <x:f>H409*Z408/(tun_AdultYears*4)</x:f>
        <x:v>33.34332246420075</x:v>
      </x:c>
      <x:c r="Y409" s="32" t="n">
        <x:f>Y408+R409-S409-W409-Y408*V409/AB408</x:f>
        <x:v>6038.322769657796</x:v>
      </x:c>
      <x:c r="Z409" s="32" t="n">
        <x:f>Z408+W409-X409-T409-Z408*V409/AB408</x:f>
        <x:v>4199.2498272060375</x:v>
      </x:c>
      <x:c r="AA409" s="32" t="n">
        <x:f>AA408+X409-U409-AA408*V409/AB408</x:f>
        <x:v>1191.2029542113187</x:v>
      </x:c>
      <x:c r="AB409" s="10" t="n">
        <x:f>Y409+Z409+AA409</x:f>
        <x:v>11428.775551075152</x:v>
      </x:c>
      <x:c r="AC409" s="8" t="n">
        <x:f>IF(AND(tun_WinterTrigger=1,D409=1,AB408/AE408&gt;=K409),1,0)</x:f>
        <x:v>0</x:v>
      </x:c>
      <x:c r="AD409" s="8" t="n">
        <x:f>H409*IF(AND(OR(AB408/AE408&gt;=tun_FissionTrigger*N409,AC409=1),AB408/AE408*tun_DaughterShare&gt;=tun_MinDaughter),MAX(1,ROUND(AE408*tun_FissionRate,0)),0)</x:f>
        <x:v>0</x:v>
      </x:c>
      <x:c r="AE409" s="8" t="n">
        <x:f>IF(H409=1,MAX(1,MIN(INDEX(tun_Smax,G409),AE408+AD409)),AE408)</x:f>
        <x:v>15</x:v>
      </x:c>
      <x:c r="AF409" s="8" t="n">
        <x:f>MAX(0,AE409-AE408)</x:f>
        <x:v>0</x:v>
      </x:c>
      <x:c r="AG409" s="9" t="str">
        <x:f>IF(AF409&gt;0,B409,"")</x:f>
      </x:c>
      <x:c r="AH409" s="9" t="n">
        <x:f>IF(F409&gt;=1,1,(1+tun_LowTiesShare*(AE409-1))/AE409)</x:f>
        <x:v>1</x:v>
      </x:c>
      <x:c r="AI409" s="32" t="n">
        <x:f>(Z409+tun_ElderCommons*INDEX(LM_Elder,G409)*AA409)*AH409</x:f>
        <x:v>8666.260905498482</x:v>
      </x:c>
      <x:c r="AJ409" s="32" t="n">
        <x:f>H409*tun_CommonsCoef*AI409^tun_CommonsExp*INDEX(LM_Commons,G409)</x:f>
        <x:v>20840.346396818106</x:v>
      </x:c>
      <x:c r="AK409" s="32" t="n">
        <x:f>H409*tun_RoleScale*Arch_Roles*(AE409*(INDEX(tun_ElderRolePerSett,G409)*tun_OutElder*INDEX(LM_Elder,G409)+INDEX(tun_ShamanPerSett,G409)*tun_OutShaman)+Z409*(INDEX(tun_PriestShare,G409)*tun_OutPriest+INDEX(tun_ScribeShare,G409)*tun_OutScribe*INDEX(LM_Scribe,G409)+INDEX(tun_ScholarShare,G409)*tun_OutScholar*INDEX(LM_Scholar,G409)+INDEX(tun_ResearcherShare,G409)*tun_OutResearcher*INDEX(LM_Researcher,G409)))</x:f>
        <x:v>6444.529071480812</x:v>
      </x:c>
      <x:c r="AL409" s="32" t="n">
        <x:f>H409*tun_RoleScale*Arch_Roles*AE409*INDEX(tun_MonasteryPerSett,G409)*tun_OutMonastery*INDEX(LM_Monastery,G409)</x:f>
        <x:v>79.2</x:v>
      </x:c>
      <x:c r="AM409" s="32" t="n">
        <x:f>(AJ409+AK409+AL409)/4*INDEX(LM_All,G409)*INDEX(tun_Boon,G409)*Arch_Insight</x:f>
        <x:v>16467.7702856685</x:v>
      </x:c>
      <x:c r="AN409" s="32" t="n">
        <x:f>H409*(tun_KHPerAdult*Z409+tun_KHOfCommons*AJ409/4*INDEX(LM_All,G409))*tun_KHUsable*Arch_KH</x:f>
        <x:v>2584.984722141304</x:v>
      </x:c>
      <x:c r="AO409" s="32" t="n">
        <x:f>MIN(AP408+AN409,AM409*tun_KHMaxRatio)</x:f>
        <x:v>2584.984722141304</x:v>
      </x:c>
      <x:c r="AP409" s="32" t="n">
        <x:f>AP408+AN409-AO409</x:f>
        <x:v>0</x:v>
      </x:c>
      <x:c r="AQ409" s="32" t="n">
        <x:f>AM409+AO409</x:f>
        <x:v>19052.755007809803</x:v>
      </x:c>
      <x:c r="AR409" s="10" t="n">
        <x:f>IF(H409=1,INDEX(tun_Req,G409),0)</x:f>
        <x:v>3142139.1800715</x:v>
      </x:c>
      <x:c r="AS409" s="32" t="n">
        <x:f>IF(H409=1,IF(E409=1,AS408-AR408,AS408)+AQ409,0)</x:f>
        <x:v>228803.608447193</x:v>
      </x:c>
      <x:c r="AT409" s="11" t="n">
        <x:f>IF(AR409&gt;0,MIN(1,AS409/AR409),1)</x:f>
        <x:v>0.07281778283353652</x:v>
      </x:c>
      <x:c r="AU409" s="10" t="n">
        <x:f>AB409/INDEX(tun_RepScale,G409)</x:f>
        <x:v>114.28775551075152</x:v>
      </x:c>
      <x:c r="AV409" s="32" t="n">
        <x:f>AM409*60/tun_SeasonSeconds</x:f>
        <x:v>65871.081142674</x:v>
      </x:c>
    </x:row>
    <x:row r="410">
      <x:c r="A410" s="8" t="n">
        <x:f>A409+1</x:f>
        <x:v>407</x:v>
      </x:c>
      <x:c r="B410" s="9" t="n">
        <x:f>A410*tun_SeasonSeconds/60</x:f>
        <x:v>101.75</x:v>
      </x:c>
      <x:c r="C410" s="9" t="n">
        <x:f>A410/4</x:f>
        <x:v>101.75</x:v>
      </x:c>
      <x:c r="D410" s="8" t="n">
        <x:f>IF(MOD(A410,4)=0,1,0)</x:f>
        <x:v>0</x:v>
      </x:c>
      <x:c r="E410" s="8" t="n">
        <x:f>IF(AND(F409&lt;=9,AS409&gt;=AR409),1,0)</x:f>
        <x:v>0</x:v>
      </x:c>
      <x:c r="F410" s="8" t="n">
        <x:f>MIN(10,F409+E410)</x:f>
        <x:v>7</x:v>
      </x:c>
      <x:c r="G410" s="8" t="n">
        <x:f>MIN(F410,9)+1</x:f>
        <x:v>8</x:v>
      </x:c>
      <x:c r="H410" s="8" t="n">
        <x:f>IF(F410&lt;=9,1,0)</x:f>
        <x:v>1</x:v>
      </x:c>
      <x:c r="I410" s="9" t="n">
        <x:f>MIN(10,F409+IF(AR409&gt;0,MIN(1,AS409/AR409),1))</x:f>
        <x:v>7.072817782833536</x:v>
      </x:c>
      <x:c r="J410" s="32" t="n">
        <x:f>INDEX(tun_FoodCap,G410)*Arch_FoodCap*EXP(tun_CapsByProject*SUMPRODUCT((Cap_Point&lt;=I410)*(Cap_Kind="Food")*Cap_Ln))</x:f>
        <x:v>1030.8296491509448</x:v>
      </x:c>
      <x:c r="K410" s="32" t="n">
        <x:f>J410*MIN(1,tun_LeanBase*EXP(tun_CapsByProject*SUMPRODUCT((Cap_Point&lt;=I410)*(Cap_Kind="Lean")*Cap_Ln)))</x:f>
        <x:v>1030.8296491509448</x:v>
      </x:c>
      <x:c r="L410" s="10" t="n">
        <x:f>INDEX(tun_HousingCap,G410)*EXP(tun_CapsByProject*SUMPRODUCT((Cap_Point&lt;=I410)*(Cap_Kind="Housing")*Cap_Ln))</x:f>
        <x:v>2423.1679699072442</x:v>
      </x:c>
      <x:c r="M410" s="10" t="n">
        <x:f>INDEX(tun_GroupCap,G410)*tun_CohesionFactor*EXP(tun_CapsByProject*SUMPRODUCT((Cap_Point&lt;=I410)*(Cap_Kind="Group")*Cap_Ln))</x:f>
        <x:v>1000000.000000001</x:v>
      </x:c>
      <x:c r="N410" s="32" t="n">
        <x:f>MIN(J410,L410,M410)</x:f>
        <x:v>1030.8296491509448</x:v>
      </x:c>
      <x:c r="O410" s="10" t="n">
        <x:f>AE409*N410</x:f>
        <x:v>15462.444737264172</x:v>
      </x:c>
      <x:c r="P410" s="9" t="n">
        <x:f>MIN(1,(AB409/(AE409*IF(tun_GroupInCrowding=1,N410,MIN(J410,L410))))^tun_CrowdingExp)</x:f>
        <x:v>0.16305317485075763</x:v>
      </x:c>
      <x:c r="Q410" s="9" t="n">
        <x:f>IF(D410=1,INDEX(tun_WinterMult,G410),1)</x:f>
        <x:v>1</x:v>
      </x:c>
      <x:c r="R410" s="9" t="n">
        <x:f>H410*Z409*tun_WomenShare*tun_BaseFertility*INDEX(tun_FertMult,G410)*Arch_Fertility*(1-P410)</x:f>
        <x:v>228.44567270775886</x:v>
      </x:c>
      <x:c r="S410" s="9" t="n">
        <x:f>H410*Y409*INDEX(tun_MortChild,G410)/4*Q410</x:f>
        <x:v>25.662871771045634</x:v>
      </x:c>
      <x:c r="T410" s="9" t="n">
        <x:f>H410*Z409*INDEX(tun_MortAdult,G410)*Arch_AdultMort/4*Q410</x:f>
        <x:v>8.188537163051773</x:v>
      </x:c>
      <x:c r="U410" s="9" t="n">
        <x:f>H410*AA409*INDEX(tun_MortElder,G410)/4*Q410</x:f>
        <x:v>12.805431757771675</x:v>
      </x:c>
      <x:c r="V410" s="9" t="n">
        <x:f>H410*MAX(0,AB409-O410)*tun_OvercapLoss</x:f>
        <x:v>0</x:v>
      </x:c>
      <x:c r="W410" s="9" t="n">
        <x:f>H410*Y409/(tun_ChildYears*4)</x:f>
        <x:v>107.82719231531779</x:v>
      </x:c>
      <x:c r="X410" s="9" t="n">
        <x:f>H410*Z409/(tun_AdultYears*4)</x:f>
        <x:v>33.86491796133901</x:v>
      </x:c>
      <x:c r="Y410" s="32" t="n">
        <x:f>Y409+R410-S410-W410-Y409*V410/AB409</x:f>
        <x:v>6133.278378279191</x:v>
      </x:c>
      <x:c r="Z410" s="32" t="n">
        <x:f>Z409+W410-X410-T410-Z409*V410/AB409</x:f>
        <x:v>4265.0235643969645</x:v>
      </x:c>
      <x:c r="AA410" s="32" t="n">
        <x:f>AA409+X410-U410-AA409*V410/AB409</x:f>
        <x:v>1212.262440414886</x:v>
      </x:c>
      <x:c r="AB410" s="10" t="n">
        <x:f>Y410+Z410+AA410</x:f>
        <x:v>11610.564383091043</x:v>
      </x:c>
      <x:c r="AC410" s="8" t="n">
        <x:f>IF(AND(tun_WinterTrigger=1,D410=1,AB409/AE409&gt;=K410),1,0)</x:f>
        <x:v>0</x:v>
      </x:c>
      <x:c r="AD410" s="8" t="n">
        <x:f>H410*IF(AND(OR(AB409/AE409&gt;=tun_FissionTrigger*N410,AC410=1),AB409/AE409*tun_DaughterShare&gt;=tun_MinDaughter),MAX(1,ROUND(AE409*tun_FissionRate,0)),0)</x:f>
        <x:v>0</x:v>
      </x:c>
      <x:c r="AE410" s="8" t="n">
        <x:f>IF(H410=1,MAX(1,MIN(INDEX(tun_Smax,G410),AE409+AD410)),AE409)</x:f>
        <x:v>15</x:v>
      </x:c>
      <x:c r="AF410" s="8" t="n">
        <x:f>MAX(0,AE410-AE409)</x:f>
        <x:v>0</x:v>
      </x:c>
      <x:c r="AG410" s="9" t="str">
        <x:f>IF(AF410&gt;0,B410,"")</x:f>
      </x:c>
      <x:c r="AH410" s="9" t="n">
        <x:f>IF(F410&gt;=1,1,(1+tun_LowTiesShare*(AE410-1))/AE410)</x:f>
        <x:v>1</x:v>
      </x:c>
      <x:c r="AI410" s="32" t="n">
        <x:f>(Z410+tun_ElderCommons*INDEX(LM_Elder,G410)*AA410)*AH410</x:f>
        <x:v>8811.007715952786</x:v>
      </x:c>
      <x:c r="AJ410" s="32" t="n">
        <x:f>H410*tun_CommonsCoef*AI410^tun_CommonsExp*INDEX(LM_Commons,G410)</x:f>
        <x:v>21135.84823551596</x:v>
      </x:c>
      <x:c r="AK410" s="32" t="n">
        <x:f>H410*tun_RoleScale*Arch_Roles*(AE410*(INDEX(tun_ElderRolePerSett,G410)*tun_OutElder*INDEX(LM_Elder,G410)+INDEX(tun_ShamanPerSett,G410)*tun_OutShaman)+Z410*(INDEX(tun_PriestShare,G410)*tun_OutPriest+INDEX(tun_ScribeShare,G410)*tun_OutScribe*INDEX(LM_Scribe,G410)+INDEX(tun_ScholarShare,G410)*tun_OutScholar*INDEX(LM_Scholar,G410)+INDEX(tun_ResearcherShare,G410)*tun_OutResearcher*INDEX(LM_Researcher,G410)))</x:f>
        <x:v>6539.12749125829</x:v>
      </x:c>
      <x:c r="AL410" s="32" t="n">
        <x:f>H410*tun_RoleScale*Arch_Roles*AE410*INDEX(tun_MonasteryPerSett,G410)*tun_OutMonastery*INDEX(LM_Monastery,G410)</x:f>
        <x:v>79.2</x:v>
      </x:c>
      <x:c r="AM410" s="32" t="n">
        <x:f>(AJ410+AK410+AL410)/4*INDEX(LM_All,G410)*INDEX(tun_Boon,G410)*Arch_Insight</x:f>
        <x:v>16702.533614412936</x:v>
      </x:c>
      <x:c r="AN410" s="32" t="n">
        <x:f>H410*(tun_KHPerAdult*Z410+tun_KHOfCommons*AJ410/4*INDEX(LM_All,G410))*tun_KHUsable*Arch_KH</x:f>
        <x:v>2621.6380350879276</x:v>
      </x:c>
      <x:c r="AO410" s="32" t="n">
        <x:f>MIN(AP409+AN410,AM410*tun_KHMaxRatio)</x:f>
        <x:v>2621.6380350879276</x:v>
      </x:c>
      <x:c r="AP410" s="32" t="n">
        <x:f>AP409+AN410-AO410</x:f>
        <x:v>0</x:v>
      </x:c>
      <x:c r="AQ410" s="32" t="n">
        <x:f>AM410+AO410</x:f>
        <x:v>19324.171649500862</x:v>
      </x:c>
      <x:c r="AR410" s="10" t="n">
        <x:f>IF(H410=1,INDEX(tun_Req,G410),0)</x:f>
        <x:v>3142139.1800715</x:v>
      </x:c>
      <x:c r="AS410" s="32" t="n">
        <x:f>IF(H410=1,IF(E410=1,AS409-AR409,AS409)+AQ410,0)</x:f>
        <x:v>248127.78009669387</x:v>
      </x:c>
      <x:c r="AT410" s="11" t="n">
        <x:f>IF(AR410&gt;0,MIN(1,AS410/AR410),1)</x:f>
        <x:v>0.07896778782760593</x:v>
      </x:c>
      <x:c r="AU410" s="10" t="n">
        <x:f>AB410/INDEX(tun_RepScale,G410)</x:f>
        <x:v>116.10564383091042</x:v>
      </x:c>
      <x:c r="AV410" s="32" t="n">
        <x:f>AM410*60/tun_SeasonSeconds</x:f>
        <x:v>66810.13445765174</x:v>
      </x:c>
    </x:row>
    <x:row r="411">
      <x:c r="A411" s="8" t="n">
        <x:f>A410+1</x:f>
        <x:v>408</x:v>
      </x:c>
      <x:c r="B411" s="9" t="n">
        <x:f>A411*tun_SeasonSeconds/60</x:f>
        <x:v>102</x:v>
      </x:c>
      <x:c r="C411" s="9" t="n">
        <x:f>A411/4</x:f>
        <x:v>102</x:v>
      </x:c>
      <x:c r="D411" s="8" t="n">
        <x:f>IF(MOD(A411,4)=0,1,0)</x:f>
        <x:v>1</x:v>
      </x:c>
      <x:c r="E411" s="8" t="n">
        <x:f>IF(AND(F410&lt;=9,AS410&gt;=AR410),1,0)</x:f>
        <x:v>0</x:v>
      </x:c>
      <x:c r="F411" s="8" t="n">
        <x:f>MIN(10,F410+E411)</x:f>
        <x:v>7</x:v>
      </x:c>
      <x:c r="G411" s="8" t="n">
        <x:f>MIN(F411,9)+1</x:f>
        <x:v>8</x:v>
      </x:c>
      <x:c r="H411" s="8" t="n">
        <x:f>IF(F411&lt;=9,1,0)</x:f>
        <x:v>1</x:v>
      </x:c>
      <x:c r="I411" s="9" t="n">
        <x:f>MIN(10,F410+IF(AR410&gt;0,MIN(1,AS410/AR410),1))</x:f>
        <x:v>7.078967787827606</x:v>
      </x:c>
      <x:c r="J411" s="32" t="n">
        <x:f>INDEX(tun_FoodCap,G411)*Arch_FoodCap*EXP(tun_CapsByProject*SUMPRODUCT((Cap_Point&lt;=I411)*(Cap_Kind="Food")*Cap_Ln))</x:f>
        <x:v>1030.8296491509448</x:v>
      </x:c>
      <x:c r="K411" s="32" t="n">
        <x:f>J411*MIN(1,tun_LeanBase*EXP(tun_CapsByProject*SUMPRODUCT((Cap_Point&lt;=I411)*(Cap_Kind="Lean")*Cap_Ln)))</x:f>
        <x:v>1030.8296491509448</x:v>
      </x:c>
      <x:c r="L411" s="10" t="n">
        <x:f>INDEX(tun_HousingCap,G411)*EXP(tun_CapsByProject*SUMPRODUCT((Cap_Point&lt;=I411)*(Cap_Kind="Housing")*Cap_Ln))</x:f>
        <x:v>2423.1679699072442</x:v>
      </x:c>
      <x:c r="M411" s="10" t="n">
        <x:f>INDEX(tun_GroupCap,G411)*tun_CohesionFactor*EXP(tun_CapsByProject*SUMPRODUCT((Cap_Point&lt;=I411)*(Cap_Kind="Group")*Cap_Ln))</x:f>
        <x:v>1000000.000000001</x:v>
      </x:c>
      <x:c r="N411" s="32" t="n">
        <x:f>MIN(J411,L411,M411)</x:f>
        <x:v>1030.8296491509448</x:v>
      </x:c>
      <x:c r="O411" s="10" t="n">
        <x:f>AE410*N411</x:f>
        <x:v>15462.444737264172</x:v>
      </x:c>
      <x:c r="P411" s="9" t="n">
        <x:f>MIN(1,(AB410/(AE410*IF(tun_GroupInCrowding=1,N411,MIN(J411,L411))))^tun_CrowdingExp)</x:f>
        <x:v>0.17924664001785892</x:v>
      </x:c>
      <x:c r="Q411" s="9" t="n">
        <x:f>IF(D411=1,INDEX(tun_WinterMult,G411),1)</x:f>
        <x:v>1.08</x:v>
      </x:c>
      <x:c r="R411" s="9" t="n">
        <x:f>H411*Z410*tun_WomenShare*tun_BaseFertility*INDEX(tun_FertMult,G411)*Arch_Fertility*(1-P411)</x:f>
        <x:v>227.53460735731804</x:v>
      </x:c>
      <x:c r="S411" s="9" t="n">
        <x:f>H411*Y410*INDEX(tun_MortChild,G411)/4*Q411</x:f>
        <x:v>28.15174775630149</x:v>
      </x:c>
      <x:c r="T411" s="9" t="n">
        <x:f>H411*Z410*INDEX(tun_MortAdult,G411)*Arch_AdultMort/4*Q411</x:f>
        <x:v>8.982139626620008</x:v>
      </x:c>
      <x:c r="U411" s="9" t="n">
        <x:f>H411*AA410*INDEX(tun_MortElder,G411)/4*Q411</x:f>
        <x:v>14.074366933216826</x:v>
      </x:c>
      <x:c r="V411" s="9" t="n">
        <x:f>H411*MAX(0,AB410-O411)*tun_OvercapLoss</x:f>
        <x:v>0</x:v>
      </x:c>
      <x:c r="W411" s="9" t="n">
        <x:f>H411*Y410/(tun_ChildYears*4)</x:f>
        <x:v>109.52282818355698</x:v>
      </x:c>
      <x:c r="X411" s="9" t="n">
        <x:f>H411*Z410/(tun_AdultYears*4)</x:f>
        <x:v>34.395351325781974</x:v>
      </x:c>
      <x:c r="Y411" s="32" t="n">
        <x:f>Y410+R411-S411-W411-Y410*V411/AB410</x:f>
        <x:v>6223.138409696651</x:v>
      </x:c>
      <x:c r="Z411" s="32" t="n">
        <x:f>Z410+W411-X411-T411-Z410*V411/AB410</x:f>
        <x:v>4331.16890162812</x:v>
      </x:c>
      <x:c r="AA411" s="32" t="n">
        <x:f>AA410+X411-U411-AA410*V411/AB410</x:f>
        <x:v>1232.5834248074511</x:v>
      </x:c>
      <x:c r="AB411" s="10" t="n">
        <x:f>Y411+Z411+AA411</x:f>
        <x:v>11786.890736132222</x:v>
      </x:c>
      <x:c r="AC411" s="8" t="n">
        <x:f>IF(AND(tun_WinterTrigger=1,D411=1,AB410/AE410&gt;=K411),1,0)</x:f>
        <x:v>0</x:v>
      </x:c>
      <x:c r="AD411" s="8" t="n">
        <x:f>H411*IF(AND(OR(AB410/AE410&gt;=tun_FissionTrigger*N411,AC411=1),AB410/AE410*tun_DaughterShare&gt;=tun_MinDaughter),MAX(1,ROUND(AE410*tun_FissionRate,0)),0)</x:f>
        <x:v>0</x:v>
      </x:c>
      <x:c r="AE411" s="8" t="n">
        <x:f>IF(H411=1,MAX(1,MIN(INDEX(tun_Smax,G411),AE410+AD411)),AE410)</x:f>
        <x:v>15</x:v>
      </x:c>
      <x:c r="AF411" s="8" t="n">
        <x:f>MAX(0,AE411-AE410)</x:f>
        <x:v>0</x:v>
      </x:c>
      <x:c r="AG411" s="9" t="str">
        <x:f>IF(AF411&gt;0,B411,"")</x:f>
      </x:c>
      <x:c r="AH411" s="9" t="n">
        <x:f>IF(F411&gt;=1,1,(1+tun_LowTiesShare*(AE411-1))/AE411)</x:f>
        <x:v>1</x:v>
      </x:c>
      <x:c r="AI411" s="32" t="n">
        <x:f>(Z411+tun_ElderCommons*INDEX(LM_Elder,G411)*AA411)*AH411</x:f>
        <x:v>8953.356744656063</x:v>
      </x:c>
      <x:c r="AJ411" s="32" t="n">
        <x:f>H411*tun_CommonsCoef*AI411^tun_CommonsExp*INDEX(LM_Commons,G411)</x:f>
        <x:v>21425.74556941196</x:v>
      </x:c>
      <x:c r="AK411" s="32" t="n">
        <x:f>H411*tun_RoleScale*Arch_Roles*(AE411*(INDEX(tun_ElderRolePerSett,G411)*tun_OutElder*INDEX(LM_Elder,G411)+INDEX(tun_ShamanPerSett,G411)*tun_OutShaman)+Z411*(INDEX(tun_PriestShare,G411)*tun_OutPriest+INDEX(tun_ScribeShare,G411)*tun_OutScribe*INDEX(LM_Scribe,G411)+INDEX(tun_ScholarShare,G411)*tun_OutScholar*INDEX(LM_Scholar,G411)+INDEX(tun_ResearcherShare,G411)*tun_OutResearcher*INDEX(LM_Researcher,G411)))</x:f>
        <x:v>6634.260361077627</x:v>
      </x:c>
      <x:c r="AL411" s="32" t="n">
        <x:f>H411*tun_RoleScale*Arch_Roles*AE411*INDEX(tun_MonasteryPerSett,G411)*tun_OutMonastery*INDEX(LM_Monastery,G411)</x:f>
        <x:v>79.2</x:v>
      </x:c>
      <x:c r="AM411" s="32" t="n">
        <x:f>(AJ411+AK411+AL411)/4*INDEX(LM_All,G411)*INDEX(tun_Boon,G411)*Arch_Insight</x:f>
        <x:v>16934.245771294456</x:v>
      </x:c>
      <x:c r="AN411" s="32" t="n">
        <x:f>H411*(tun_KHPerAdult*Z411+tun_KHOfCommons*AJ411/4*INDEX(LM_All,G411))*tun_KHUsable*Arch_KH</x:f>
        <x:v>2657.596179201361</x:v>
      </x:c>
      <x:c r="AO411" s="32" t="n">
        <x:f>MIN(AP410+AN411,AM411*tun_KHMaxRatio)</x:f>
        <x:v>2657.596179201361</x:v>
      </x:c>
      <x:c r="AP411" s="32" t="n">
        <x:f>AP410+AN411-AO411</x:f>
        <x:v>0</x:v>
      </x:c>
      <x:c r="AQ411" s="32" t="n">
        <x:f>AM411+AO411</x:f>
        <x:v>19591.84195049582</x:v>
      </x:c>
      <x:c r="AR411" s="10" t="n">
        <x:f>IF(H411=1,INDEX(tun_Req,G411),0)</x:f>
        <x:v>3142139.1800715</x:v>
      </x:c>
      <x:c r="AS411" s="32" t="n">
        <x:f>IF(H411=1,IF(E411=1,AS410-AR410,AS410)+AQ411,0)</x:f>
        <x:v>267719.6220471897</x:v>
      </x:c>
      <x:c r="AT411" s="11" t="n">
        <x:f>IF(AR411&gt;0,MIN(1,AS411/AR411),1)</x:f>
        <x:v>0.0852029801051326</x:v>
      </x:c>
      <x:c r="AU411" s="10" t="n">
        <x:f>AB411/INDEX(tun_RepScale,G411)</x:f>
        <x:v>117.86890736132221</x:v>
      </x:c>
      <x:c r="AV411" s="32" t="n">
        <x:f>AM411*60/tun_SeasonSeconds</x:f>
        <x:v>67736.98308517782</x:v>
      </x:c>
    </x:row>
    <x:row r="412">
      <x:c r="A412" s="8" t="n">
        <x:f>A411+1</x:f>
        <x:v>409</x:v>
      </x:c>
      <x:c r="B412" s="9" t="n">
        <x:f>A412*tun_SeasonSeconds/60</x:f>
        <x:v>102.25</x:v>
      </x:c>
      <x:c r="C412" s="9" t="n">
        <x:f>A412/4</x:f>
        <x:v>102.25</x:v>
      </x:c>
      <x:c r="D412" s="8" t="n">
        <x:f>IF(MOD(A412,4)=0,1,0)</x:f>
        <x:v>0</x:v>
      </x:c>
      <x:c r="E412" s="8" t="n">
        <x:f>IF(AND(F411&lt;=9,AS411&gt;=AR411),1,0)</x:f>
        <x:v>0</x:v>
      </x:c>
      <x:c r="F412" s="8" t="n">
        <x:f>MIN(10,F411+E412)</x:f>
        <x:v>7</x:v>
      </x:c>
      <x:c r="G412" s="8" t="n">
        <x:f>MIN(F412,9)+1</x:f>
        <x:v>8</x:v>
      </x:c>
      <x:c r="H412" s="8" t="n">
        <x:f>IF(F412&lt;=9,1,0)</x:f>
        <x:v>1</x:v>
      </x:c>
      <x:c r="I412" s="9" t="n">
        <x:f>MIN(10,F411+IF(AR411&gt;0,MIN(1,AS411/AR411),1))</x:f>
        <x:v>7.085202980105133</x:v>
      </x:c>
      <x:c r="J412" s="32" t="n">
        <x:f>INDEX(tun_FoodCap,G412)*Arch_FoodCap*EXP(tun_CapsByProject*SUMPRODUCT((Cap_Point&lt;=I412)*(Cap_Kind="Food")*Cap_Ln))</x:f>
        <x:v>1030.8296491509448</x:v>
      </x:c>
      <x:c r="K412" s="32" t="n">
        <x:f>J412*MIN(1,tun_LeanBase*EXP(tun_CapsByProject*SUMPRODUCT((Cap_Point&lt;=I412)*(Cap_Kind="Lean")*Cap_Ln)))</x:f>
        <x:v>1030.8296491509448</x:v>
      </x:c>
      <x:c r="L412" s="10" t="n">
        <x:f>INDEX(tun_HousingCap,G412)*EXP(tun_CapsByProject*SUMPRODUCT((Cap_Point&lt;=I412)*(Cap_Kind="Housing")*Cap_Ln))</x:f>
        <x:v>2423.1679699072442</x:v>
      </x:c>
      <x:c r="M412" s="10" t="n">
        <x:f>INDEX(tun_GroupCap,G412)*tun_CohesionFactor*EXP(tun_CapsByProject*SUMPRODUCT((Cap_Point&lt;=I412)*(Cap_Kind="Group")*Cap_Ln))</x:f>
        <x:v>1000000.000000001</x:v>
      </x:c>
      <x:c r="N412" s="32" t="n">
        <x:f>MIN(J412,L412,M412)</x:f>
        <x:v>1030.8296491509448</x:v>
      </x:c>
      <x:c r="O412" s="10" t="n">
        <x:f>AE411*N412</x:f>
        <x:v>15462.444737264172</x:v>
      </x:c>
      <x:c r="P412" s="9" t="n">
        <x:f>MIN(1,(AB411/(AE411*IF(tun_GroupInCrowding=1,N412,MIN(J412,L412))))^tun_CrowdingExp)</x:f>
        <x:v>0.19621246017853147</x:v>
      </x:c>
      <x:c r="Q412" s="9" t="n">
        <x:f>IF(D412=1,INDEX(tun_WinterMult,G412),1)</x:f>
        <x:v>1</x:v>
      </x:c>
      <x:c r="R412" s="9" t="n">
        <x:f>H412*Z411*tun_WomenShare*tun_BaseFertility*INDEX(tun_FertMult,G412)*Arch_Fertility*(1-P412)</x:f>
        <x:v>226.28707373940972</x:v>
      </x:c>
      <x:c r="S412" s="9" t="n">
        <x:f>H412*Y411*INDEX(tun_MortChild,G412)/4*Q412</x:f>
        <x:v>26.44833824121077</x:v>
      </x:c>
      <x:c r="T412" s="9" t="n">
        <x:f>H412*Z411*INDEX(tun_MortAdult,G412)*Arch_AdultMort/4*Q412</x:f>
        <x:v>8.445779358174834</x:v>
      </x:c>
      <x:c r="U412" s="9" t="n">
        <x:f>H412*AA411*INDEX(tun_MortElder,G412)/4*Q412</x:f>
        <x:v>13.2502718166801</x:v>
      </x:c>
      <x:c r="V412" s="9" t="n">
        <x:f>H412*MAX(0,AB411-O412)*tun_OvercapLoss</x:f>
        <x:v>0</x:v>
      </x:c>
      <x:c r="W412" s="9" t="n">
        <x:f>H412*Y411/(tun_ChildYears*4)</x:f>
        <x:v>111.12747160172592</x:v>
      </x:c>
      <x:c r="X412" s="9" t="n">
        <x:f>H412*Z411/(tun_AdultYears*4)</x:f>
        <x:v>34.928781464742904</x:v>
      </x:c>
      <x:c r="Y412" s="32" t="n">
        <x:f>Y411+R412-S412-W412-Y411*V412/AB411</x:f>
        <x:v>6311.849673593124</x:v>
      </x:c>
      <x:c r="Z412" s="32" t="n">
        <x:f>Z411+W412-X412-T412-Z411*V412/AB411</x:f>
        <x:v>4398.9218124069275</x:v>
      </x:c>
      <x:c r="AA412" s="32" t="n">
        <x:f>AA411+X412-U412-AA411*V412/AB411</x:f>
        <x:v>1254.261934455514</x:v>
      </x:c>
      <x:c r="AB412" s="10" t="n">
        <x:f>Y412+Z412+AA412</x:f>
        <x:v>11965.033420455566</x:v>
      </x:c>
      <x:c r="AC412" s="8" t="n">
        <x:f>IF(AND(tun_WinterTrigger=1,D412=1,AB411/AE411&gt;=K412),1,0)</x:f>
        <x:v>0</x:v>
      </x:c>
      <x:c r="AD412" s="8" t="n">
        <x:f>H412*IF(AND(OR(AB411/AE411&gt;=tun_FissionTrigger*N412,AC412=1),AB411/AE411*tun_DaughterShare&gt;=tun_MinDaughter),MAX(1,ROUND(AE411*tun_FissionRate,0)),0)</x:f>
        <x:v>0</x:v>
      </x:c>
      <x:c r="AE412" s="8" t="n">
        <x:f>IF(H412=1,MAX(1,MIN(INDEX(tun_Smax,G412),AE411+AD412)),AE411)</x:f>
        <x:v>15</x:v>
      </x:c>
      <x:c r="AF412" s="8" t="n">
        <x:f>MAX(0,AE412-AE411)</x:f>
        <x:v>0</x:v>
      </x:c>
      <x:c r="AG412" s="9" t="str">
        <x:f>IF(AF412&gt;0,B412,"")</x:f>
      </x:c>
      <x:c r="AH412" s="9" t="n">
        <x:f>IF(F412&gt;=1,1,(1+tun_LowTiesShare*(AE412-1))/AE412)</x:f>
        <x:v>1</x:v>
      </x:c>
      <x:c r="AI412" s="32" t="n">
        <x:f>(Z412+tun_ElderCommons*INDEX(LM_Elder,G412)*AA412)*AH412</x:f>
        <x:v>9102.404066615105</x:v>
      </x:c>
      <x:c r="AJ412" s="32" t="n">
        <x:f>H412*tun_CommonsCoef*AI412^tun_CommonsExp*INDEX(LM_Commons,G412)</x:f>
        <x:v>21728.5442801307</x:v>
      </x:c>
      <x:c r="AK412" s="32" t="n">
        <x:f>H412*tun_RoleScale*Arch_Roles*(AE412*(INDEX(tun_ElderRolePerSett,G412)*tun_OutElder*INDEX(LM_Elder,G412)+INDEX(tun_ShamanPerSett,G412)*tun_OutShaman)+Z412*(INDEX(tun_PriestShare,G412)*tun_OutPriest+INDEX(tun_ScribeShare,G412)*tun_OutScribe*INDEX(LM_Scribe,G412)+INDEX(tun_ScholarShare,G412)*tun_OutScholar*INDEX(LM_Scholar,G412)+INDEX(tun_ResearcherShare,G412)*tun_OutResearcher*INDEX(LM_Researcher,G412)))</x:f>
        <x:v>6731.705307476139</x:v>
      </x:c>
      <x:c r="AL412" s="32" t="n">
        <x:f>H412*tun_RoleScale*Arch_Roles*AE412*INDEX(tun_MonasteryPerSett,G412)*tun_OutMonastery*INDEX(LM_Monastery,G412)</x:f>
        <x:v>79.2</x:v>
      </x:c>
      <x:c r="AM412" s="32" t="n">
        <x:f>(AJ412+AK412+AL412)/4*INDEX(LM_All,G412)*INDEX(tun_Boon,G412)*Arch_Insight</x:f>
        <x:v>17175.113423166655</x:v>
      </x:c>
      <x:c r="AN412" s="32" t="n">
        <x:f>H412*(tun_KHPerAdult*Z412+tun_KHOfCommons*AJ412/4*INDEX(LM_All,G412))*tun_KHUsable*Arch_KH</x:f>
        <x:v>2695.1545780008896</x:v>
      </x:c>
      <x:c r="AO412" s="32" t="n">
        <x:f>MIN(AP411+AN412,AM412*tun_KHMaxRatio)</x:f>
        <x:v>2695.1545780008896</x:v>
      </x:c>
      <x:c r="AP412" s="32" t="n">
        <x:f>AP411+AN412-AO412</x:f>
        <x:v>0</x:v>
      </x:c>
      <x:c r="AQ412" s="32" t="n">
        <x:f>AM412+AO412</x:f>
        <x:v>19870.268001167544</x:v>
      </x:c>
      <x:c r="AR412" s="10" t="n">
        <x:f>IF(H412=1,INDEX(tun_Req,G412),0)</x:f>
        <x:v>3142139.1800715</x:v>
      </x:c>
      <x:c r="AS412" s="32" t="n">
        <x:f>IF(H412=1,IF(E412=1,AS411-AR411,AS411)+AQ412,0)</x:f>
        <x:v>287589.89004835725</x:v>
      </x:c>
      <x:c r="AT412" s="11" t="n">
        <x:f>IF(AR412&gt;0,MIN(1,AS412/AR412),1)</x:f>
        <x:v>0.09152678273207907</x:v>
      </x:c>
      <x:c r="AU412" s="10" t="n">
        <x:f>AB412/INDEX(tun_RepScale,G412)</x:f>
        <x:v>119.65033420455566</x:v>
      </x:c>
      <x:c r="AV412" s="32" t="n">
        <x:f>AM412*60/tun_SeasonSeconds</x:f>
        <x:v>68700.45369266662</x:v>
      </x:c>
    </x:row>
    <x:row r="413">
      <x:c r="A413" s="8" t="n">
        <x:f>A412+1</x:f>
        <x:v>410</x:v>
      </x:c>
      <x:c r="B413" s="9" t="n">
        <x:f>A413*tun_SeasonSeconds/60</x:f>
        <x:v>102.5</x:v>
      </x:c>
      <x:c r="C413" s="9" t="n">
        <x:f>A413/4</x:f>
        <x:v>102.5</x:v>
      </x:c>
      <x:c r="D413" s="8" t="n">
        <x:f>IF(MOD(A413,4)=0,1,0)</x:f>
        <x:v>0</x:v>
      </x:c>
      <x:c r="E413" s="8" t="n">
        <x:f>IF(AND(F412&lt;=9,AS412&gt;=AR412),1,0)</x:f>
        <x:v>0</x:v>
      </x:c>
      <x:c r="F413" s="8" t="n">
        <x:f>MIN(10,F412+E413)</x:f>
        <x:v>7</x:v>
      </x:c>
      <x:c r="G413" s="8" t="n">
        <x:f>MIN(F413,9)+1</x:f>
        <x:v>8</x:v>
      </x:c>
      <x:c r="H413" s="8" t="n">
        <x:f>IF(F413&lt;=9,1,0)</x:f>
        <x:v>1</x:v>
      </x:c>
      <x:c r="I413" s="9" t="n">
        <x:f>MIN(10,F412+IF(AR412&gt;0,MIN(1,AS412/AR412),1))</x:f>
        <x:v>7.091526782732079</x:v>
      </x:c>
      <x:c r="J413" s="32" t="n">
        <x:f>INDEX(tun_FoodCap,G413)*Arch_FoodCap*EXP(tun_CapsByProject*SUMPRODUCT((Cap_Point&lt;=I413)*(Cap_Kind="Food")*Cap_Ln))</x:f>
        <x:v>1030.8296491509448</x:v>
      </x:c>
      <x:c r="K413" s="32" t="n">
        <x:f>J413*MIN(1,tun_LeanBase*EXP(tun_CapsByProject*SUMPRODUCT((Cap_Point&lt;=I413)*(Cap_Kind="Lean")*Cap_Ln)))</x:f>
        <x:v>1030.8296491509448</x:v>
      </x:c>
      <x:c r="L413" s="10" t="n">
        <x:f>INDEX(tun_HousingCap,G413)*EXP(tun_CapsByProject*SUMPRODUCT((Cap_Point&lt;=I413)*(Cap_Kind="Housing")*Cap_Ln))</x:f>
        <x:v>2423.1679699072442</x:v>
      </x:c>
      <x:c r="M413" s="10" t="n">
        <x:f>INDEX(tun_GroupCap,G413)*tun_CohesionFactor*EXP(tun_CapsByProject*SUMPRODUCT((Cap_Point&lt;=I413)*(Cap_Kind="Group")*Cap_Ln))</x:f>
        <x:v>1000000.000000001</x:v>
      </x:c>
      <x:c r="N413" s="32" t="n">
        <x:f>MIN(J413,L413,M413)</x:f>
        <x:v>1030.8296491509448</x:v>
      </x:c>
      <x:c r="O413" s="10" t="n">
        <x:f>AE412*N413</x:f>
        <x:v>15462.444737264172</x:v>
      </x:c>
      <x:c r="P413" s="9" t="n">
        <x:f>MIN(1,(AB412/(AE412*IF(tun_GroupInCrowding=1,N413,MIN(J413,L413))))^tun_CrowdingExp)</x:f>
        <x:v>0.21469134325118977</x:v>
      </x:c>
      <x:c r="Q413" s="9" t="n">
        <x:f>IF(D413=1,INDEX(tun_WinterMult,G413),1)</x:f>
        <x:v>1</x:v>
      </x:c>
      <x:c r="R413" s="9" t="n">
        <x:f>H413*Z412*tun_WomenShare*tun_BaseFertility*INDEX(tun_FertMult,G413)*Arch_Fertility*(1-P413)</x:f>
        <x:v>224.5432396768812</x:v>
      </x:c>
      <x:c r="S413" s="9" t="n">
        <x:f>H413*Y412*INDEX(tun_MortChild,G413)/4*Q413</x:f>
        <x:v>26.82536111277078</x:v>
      </x:c>
      <x:c r="T413" s="9" t="n">
        <x:f>H413*Z412*INDEX(tun_MortAdult,G413)*Arch_AdultMort/4*Q413</x:f>
        <x:v>8.577897534193509</x:v>
      </x:c>
      <x:c r="U413" s="9" t="n">
        <x:f>H413*AA412*INDEX(tun_MortElder,G413)/4*Q413</x:f>
        <x:v>13.483315795396773</x:v>
      </x:c>
      <x:c r="V413" s="9" t="n">
        <x:f>H413*MAX(0,AB412-O413)*tun_OvercapLoss</x:f>
        <x:v>0</x:v>
      </x:c>
      <x:c r="W413" s="9" t="n">
        <x:f>H413*Y412/(tun_ChildYears*4)</x:f>
        <x:v>112.71160131416293</x:v>
      </x:c>
      <x:c r="X413" s="9" t="n">
        <x:f>H413*Z412/(tun_AdultYears*4)</x:f>
        <x:v>35.47517590650748</x:v>
      </x:c>
      <x:c r="Y413" s="32" t="n">
        <x:f>Y412+R413-S413-W413-Y412*V413/AB412</x:f>
        <x:v>6396.855950843071</x:v>
      </x:c>
      <x:c r="Z413" s="32" t="n">
        <x:f>Z412+W413-X413-T413-Z412*V413/AB412</x:f>
        <x:v>4467.5803402803895</x:v>
      </x:c>
      <x:c r="AA413" s="32" t="n">
        <x:f>AA412+X413-U413-AA412*V413/AB412</x:f>
        <x:v>1276.2537945666247</x:v>
      </x:c>
      <x:c r="AB413" s="10" t="n">
        <x:f>Y413+Z413+AA413</x:f>
        <x:v>12140.690085690085</x:v>
      </x:c>
      <x:c r="AC413" s="8" t="n">
        <x:f>IF(AND(tun_WinterTrigger=1,D413=1,AB412/AE412&gt;=K413),1,0)</x:f>
        <x:v>0</x:v>
      </x:c>
      <x:c r="AD413" s="8" t="n">
        <x:f>H413*IF(AND(OR(AB412/AE412&gt;=tun_FissionTrigger*N413,AC413=1),AB412/AE412*tun_DaughterShare&gt;=tun_MinDaughter),MAX(1,ROUND(AE412*tun_FissionRate,0)),0)</x:f>
        <x:v>0</x:v>
      </x:c>
      <x:c r="AE413" s="8" t="n">
        <x:f>IF(H413=1,MAX(1,MIN(INDEX(tun_Smax,G413),AE412+AD413)),AE412)</x:f>
        <x:v>15</x:v>
      </x:c>
      <x:c r="AF413" s="8" t="n">
        <x:f>MAX(0,AE413-AE412)</x:f>
        <x:v>0</x:v>
      </x:c>
      <x:c r="AG413" s="9" t="str">
        <x:f>IF(AF413&gt;0,B413,"")</x:f>
      </x:c>
      <x:c r="AH413" s="9" t="n">
        <x:f>IF(F413&gt;=1,1,(1+tun_LowTiesShare*(AE413-1))/AE413)</x:f>
        <x:v>1</x:v>
      </x:c>
      <x:c r="AI413" s="32" t="n">
        <x:f>(Z413+tun_ElderCommons*INDEX(LM_Elder,G413)*AA413)*AH413</x:f>
        <x:v>9253.532069905232</x:v>
      </x:c>
      <x:c r="AJ413" s="32" t="n">
        <x:f>H413*tun_CommonsCoef*AI413^tun_CommonsExp*INDEX(LM_Commons,G413)</x:f>
        <x:v>22034.811610355155</x:v>
      </x:c>
      <x:c r="AK413" s="32" t="n">
        <x:f>H413*tun_RoleScale*Arch_Roles*(AE413*(INDEX(tun_ElderRolePerSett,G413)*tun_OutElder*INDEX(LM_Elder,G413)+INDEX(tun_ShamanPerSett,G413)*tun_OutShaman)+Z413*(INDEX(tun_PriestShare,G413)*tun_OutPriest+INDEX(tun_ScribeShare,G413)*tun_OutScribe*INDEX(LM_Scribe,G413)+INDEX(tun_ScholarShare,G413)*tun_OutScholar*INDEX(LM_Scholar,G413)+INDEX(tun_ResearcherShare,G413)*tun_OutResearcher*INDEX(LM_Researcher,G413)))</x:f>
        <x:v>6830.452748604867</x:v>
      </x:c>
      <x:c r="AL413" s="32" t="n">
        <x:f>H413*tun_RoleScale*Arch_Roles*AE413*INDEX(tun_MonasteryPerSett,G413)*tun_OutMonastery*INDEX(LM_Monastery,G413)</x:f>
        <x:v>79.2</x:v>
      </x:c>
      <x:c r="AM413" s="32" t="n">
        <x:f>(AJ413+AK413+AL413)/4*INDEX(LM_All,G413)*INDEX(tun_Boon,G413)*Arch_Insight</x:f>
        <x:v>17418.852343733277</x:v>
      </x:c>
      <x:c r="AN413" s="32" t="n">
        <x:f>H413*(tun_KHPerAdult*Z413+tun_KHOfCommons*AJ413/4*INDEX(LM_All,G413))*tun_KHUsable*Arch_KH</x:f>
        <x:v>2733.143215734958</x:v>
      </x:c>
      <x:c r="AO413" s="32" t="n">
        <x:f>MIN(AP412+AN413,AM413*tun_KHMaxRatio)</x:f>
        <x:v>2733.143215734958</x:v>
      </x:c>
      <x:c r="AP413" s="32" t="n">
        <x:f>AP412+AN413-AO413</x:f>
        <x:v>0</x:v>
      </x:c>
      <x:c r="AQ413" s="32" t="n">
        <x:f>AM413+AO413</x:f>
        <x:v>20151.995559468236</x:v>
      </x:c>
      <x:c r="AR413" s="10" t="n">
        <x:f>IF(H413=1,INDEX(tun_Req,G413),0)</x:f>
        <x:v>3142139.1800715</x:v>
      </x:c>
      <x:c r="AS413" s="32" t="n">
        <x:f>IF(H413=1,IF(E413=1,AS412-AR412,AS412)+AQ413,0)</x:f>
        <x:v>307741.8856078255</x:v>
      </x:c>
      <x:c r="AT413" s="11" t="n">
        <x:f>IF(AR413&gt;0,MIN(1,AS413/AR413),1)</x:f>
        <x:v>0.09794024642817468</x:v>
      </x:c>
      <x:c r="AU413" s="10" t="n">
        <x:f>AB413/INDEX(tun_RepScale,G413)</x:f>
        <x:v>121.40690085690085</x:v>
      </x:c>
      <x:c r="AV413" s="32" t="n">
        <x:f>AM413*60/tun_SeasonSeconds</x:f>
        <x:v>69675.40937493311</x:v>
      </x:c>
    </x:row>
    <x:row r="414">
      <x:c r="A414" s="8" t="n">
        <x:f>A413+1</x:f>
        <x:v>411</x:v>
      </x:c>
      <x:c r="B414" s="9" t="n">
        <x:f>A414*tun_SeasonSeconds/60</x:f>
        <x:v>102.75</x:v>
      </x:c>
      <x:c r="C414" s="9" t="n">
        <x:f>A414/4</x:f>
        <x:v>102.75</x:v>
      </x:c>
      <x:c r="D414" s="8" t="n">
        <x:f>IF(MOD(A414,4)=0,1,0)</x:f>
        <x:v>0</x:v>
      </x:c>
      <x:c r="E414" s="8" t="n">
        <x:f>IF(AND(F413&lt;=9,AS413&gt;=AR413),1,0)</x:f>
        <x:v>0</x:v>
      </x:c>
      <x:c r="F414" s="8" t="n">
        <x:f>MIN(10,F413+E414)</x:f>
        <x:v>7</x:v>
      </x:c>
      <x:c r="G414" s="8" t="n">
        <x:f>MIN(F414,9)+1</x:f>
        <x:v>8</x:v>
      </x:c>
      <x:c r="H414" s="8" t="n">
        <x:f>IF(F414&lt;=9,1,0)</x:f>
        <x:v>1</x:v>
      </x:c>
      <x:c r="I414" s="9" t="n">
        <x:f>MIN(10,F413+IF(AR413&gt;0,MIN(1,AS413/AR413),1))</x:f>
        <x:v>7.097940246428175</x:v>
      </x:c>
      <x:c r="J414" s="32" t="n">
        <x:f>INDEX(tun_FoodCap,G414)*Arch_FoodCap*EXP(tun_CapsByProject*SUMPRODUCT((Cap_Point&lt;=I414)*(Cap_Kind="Food")*Cap_Ln))</x:f>
        <x:v>1030.8296491509448</x:v>
      </x:c>
      <x:c r="K414" s="32" t="n">
        <x:f>J414*MIN(1,tun_LeanBase*EXP(tun_CapsByProject*SUMPRODUCT((Cap_Point&lt;=I414)*(Cap_Kind="Lean")*Cap_Ln)))</x:f>
        <x:v>1030.8296491509448</x:v>
      </x:c>
      <x:c r="L414" s="10" t="n">
        <x:f>INDEX(tun_HousingCap,G414)*EXP(tun_CapsByProject*SUMPRODUCT((Cap_Point&lt;=I414)*(Cap_Kind="Housing")*Cap_Ln))</x:f>
        <x:v>2423.1679699072442</x:v>
      </x:c>
      <x:c r="M414" s="10" t="n">
        <x:f>INDEX(tun_GroupCap,G414)*tun_CohesionFactor*EXP(tun_CapsByProject*SUMPRODUCT((Cap_Point&lt;=I414)*(Cap_Kind="Group")*Cap_Ln))</x:f>
        <x:v>1000000.000000001</x:v>
      </x:c>
      <x:c r="N414" s="32" t="n">
        <x:f>MIN(J414,L414,M414)</x:f>
        <x:v>1030.8296491509448</x:v>
      </x:c>
      <x:c r="O414" s="10" t="n">
        <x:f>AE413*N414</x:f>
        <x:v>15462.444737264172</x:v>
      </x:c>
      <x:c r="P414" s="9" t="n">
        <x:f>MIN(1,(AB413/(AE413*IF(tun_GroupInCrowding=1,N414,MIN(J414,L414))))^tun_CrowdingExp)</x:f>
        <x:v>0.23431024357736735</x:v>
      </x:c>
      <x:c r="Q414" s="9" t="n">
        <x:f>IF(D414=1,INDEX(tun_WinterMult,G414),1)</x:f>
        <x:v>1</x:v>
      </x:c>
      <x:c r="R414" s="9" t="n">
        <x:f>H414*Z413*tun_WomenShare*tun_BaseFertility*INDEX(tun_FertMult,G414)*Arch_Fertility*(1-P414)</x:f>
        <x:v>222.35073266560917</x:v>
      </x:c>
      <x:c r="S414" s="9" t="n">
        <x:f>H414*Y413*INDEX(tun_MortChild,G414)/4*Q414</x:f>
        <x:v>27.186637791083054</x:v>
      </x:c>
      <x:c r="T414" s="9" t="n">
        <x:f>H414*Z413*INDEX(tun_MortAdult,G414)*Arch_AdultMort/4*Q414</x:f>
        <x:v>8.711781663546759</x:v>
      </x:c>
      <x:c r="U414" s="9" t="n">
        <x:f>H414*AA413*INDEX(tun_MortElder,G414)/4*Q414</x:f>
        <x:v>13.719728291591215</x:v>
      </x:c>
      <x:c r="V414" s="9" t="n">
        <x:f>H414*MAX(0,AB413-O414)*tun_OvercapLoss</x:f>
        <x:v>0</x:v>
      </x:c>
      <x:c r="W414" s="9" t="n">
        <x:f>H414*Y413/(tun_ChildYears*4)</x:f>
        <x:v>114.22957055076913</x:v>
      </x:c>
      <x:c r="X414" s="9" t="n">
        <x:f>H414*Z413/(tun_AdultYears*4)</x:f>
        <x:v>36.02887371193862</x:v>
      </x:c>
      <x:c r="Y414" s="32" t="n">
        <x:f>Y413+R414-S414-W414-Y413*V414/AB413</x:f>
        <x:v>6477.7904751668275</x:v>
      </x:c>
      <x:c r="Z414" s="32" t="n">
        <x:f>Z413+W414-X414-T414-Z413*V414/AB413</x:f>
        <x:v>4537.069255455674</x:v>
      </x:c>
      <x:c r="AA414" s="32" t="n">
        <x:f>AA413+X414-U414-AA413*V414/AB413</x:f>
        <x:v>1298.562939986972</x:v>
      </x:c>
      <x:c r="AB414" s="10" t="n">
        <x:f>Y414+Z414+AA414</x:f>
        <x:v>12313.422670609474</x:v>
      </x:c>
      <x:c r="AC414" s="8" t="n">
        <x:f>IF(AND(tun_WinterTrigger=1,D414=1,AB413/AE413&gt;=K414),1,0)</x:f>
        <x:v>0</x:v>
      </x:c>
      <x:c r="AD414" s="8" t="n">
        <x:f>H414*IF(AND(OR(AB413/AE413&gt;=tun_FissionTrigger*N414,AC414=1),AB413/AE413*tun_DaughterShare&gt;=tun_MinDaughter),MAX(1,ROUND(AE413*tun_FissionRate,0)),0)</x:f>
        <x:v>0</x:v>
      </x:c>
      <x:c r="AE414" s="8" t="n">
        <x:f>IF(H414=1,MAX(1,MIN(INDEX(tun_Smax,G414),AE413+AD414)),AE413)</x:f>
        <x:v>15</x:v>
      </x:c>
      <x:c r="AF414" s="8" t="n">
        <x:f>MAX(0,AE414-AE413)</x:f>
        <x:v>0</x:v>
      </x:c>
      <x:c r="AG414" s="9" t="str">
        <x:f>IF(AF414&gt;0,B414,"")</x:f>
      </x:c>
      <x:c r="AH414" s="9" t="n">
        <x:f>IF(F414&gt;=1,1,(1+tun_LowTiesShare*(AE414-1))/AE414)</x:f>
        <x:v>1</x:v>
      </x:c>
      <x:c r="AI414" s="32" t="n">
        <x:f>(Z414+tun_ElderCommons*INDEX(LM_Elder,G414)*AA414)*AH414</x:f>
        <x:v>9406.680280406817</x:v>
      </x:c>
      <x:c r="AJ414" s="32" t="n">
        <x:f>H414*tun_CommonsCoef*AI414^tun_CommonsExp*INDEX(LM_Commons,G414)</x:f>
        <x:v>22344.408538526728</x:v>
      </x:c>
      <x:c r="AK414" s="32" t="n">
        <x:f>H414*tun_RoleScale*Arch_Roles*(AE414*(INDEX(tun_ElderRolePerSett,G414)*tun_OutElder*INDEX(LM_Elder,G414)+INDEX(tun_ShamanPerSett,G414)*tun_OutShaman)+Z414*(INDEX(tun_PriestShare,G414)*tun_OutPriest+INDEX(tun_ScribeShare,G414)*tun_OutScribe*INDEX(LM_Scribe,G414)+INDEX(tun_ScholarShare,G414)*tun_OutScholar*INDEX(LM_Scholar,G414)+INDEX(tun_ResearcherShare,G414)*tun_OutResearcher*INDEX(LM_Researcher,G414)))</x:f>
        <x:v>6930.394485966568</x:v>
      </x:c>
      <x:c r="AL414" s="32" t="n">
        <x:f>H414*tun_RoleScale*Arch_Roles*AE414*INDEX(tun_MonasteryPerSett,G414)*tun_OutMonastery*INDEX(LM_Monastery,G414)</x:f>
        <x:v>79.2</x:v>
      </x:c>
      <x:c r="AM414" s="32" t="n">
        <x:f>(AJ414+AK414+AL414)/4*INDEX(LM_All,G414)*INDEX(tun_Boon,G414)*Arch_Insight</x:f>
        <x:v>17665.313755335297</x:v>
      </x:c>
      <x:c r="AN414" s="32" t="n">
        <x:f>H414*(tun_KHPerAdult*Z414+tun_KHOfCommons*AJ414/4*INDEX(LM_All,G414))*tun_KHUsable*Arch_KH</x:f>
        <x:v>2771.5448485152842</x:v>
      </x:c>
      <x:c r="AO414" s="32" t="n">
        <x:f>MIN(AP413+AN414,AM414*tun_KHMaxRatio)</x:f>
        <x:v>2771.5448485152842</x:v>
      </x:c>
      <x:c r="AP414" s="32" t="n">
        <x:f>AP413+AN414-AO414</x:f>
        <x:v>0</x:v>
      </x:c>
      <x:c r="AQ414" s="32" t="n">
        <x:f>AM414+AO414</x:f>
        <x:v>20436.858603850582</x:v>
      </x:c>
      <x:c r="AR414" s="10" t="n">
        <x:f>IF(H414=1,INDEX(tun_Req,G414),0)</x:f>
        <x:v>3142139.1800715</x:v>
      </x:c>
      <x:c r="AS414" s="32" t="n">
        <x:f>IF(H414=1,IF(E414=1,AS413-AR413,AS413)+AQ414,0)</x:f>
        <x:v>328178.74421167606</x:v>
      </x:c>
      <x:c r="AT414" s="11" t="n">
        <x:f>IF(AR414&gt;0,MIN(1,AS414/AR414),1)</x:f>
        <x:v>0.10444436907604082</x:v>
      </x:c>
      <x:c r="AU414" s="10" t="n">
        <x:f>AB414/INDEX(tun_RepScale,G414)</x:f>
        <x:v>123.13422670609474</x:v>
      </x:c>
      <x:c r="AV414" s="32" t="n">
        <x:f>AM414*60/tun_SeasonSeconds</x:f>
        <x:v>70661.25502134119</x:v>
      </x:c>
    </x:row>
    <x:row r="415">
      <x:c r="A415" s="8" t="n">
        <x:f>A414+1</x:f>
        <x:v>412</x:v>
      </x:c>
      <x:c r="B415" s="9" t="n">
        <x:f>A415*tun_SeasonSeconds/60</x:f>
        <x:v>103</x:v>
      </x:c>
      <x:c r="C415" s="9" t="n">
        <x:f>A415/4</x:f>
        <x:v>103</x:v>
      </x:c>
      <x:c r="D415" s="8" t="n">
        <x:f>IF(MOD(A415,4)=0,1,0)</x:f>
        <x:v>1</x:v>
      </x:c>
      <x:c r="E415" s="8" t="n">
        <x:f>IF(AND(F414&lt;=9,AS414&gt;=AR414),1,0)</x:f>
        <x:v>0</x:v>
      </x:c>
      <x:c r="F415" s="8" t="n">
        <x:f>MIN(10,F414+E415)</x:f>
        <x:v>7</x:v>
      </x:c>
      <x:c r="G415" s="8" t="n">
        <x:f>MIN(F415,9)+1</x:f>
        <x:v>8</x:v>
      </x:c>
      <x:c r="H415" s="8" t="n">
        <x:f>IF(F415&lt;=9,1,0)</x:f>
        <x:v>1</x:v>
      </x:c>
      <x:c r="I415" s="9" t="n">
        <x:f>MIN(10,F414+IF(AR414&gt;0,MIN(1,AS414/AR414),1))</x:f>
        <x:v>7.104444369076041</x:v>
      </x:c>
      <x:c r="J415" s="32" t="n">
        <x:f>INDEX(tun_FoodCap,G415)*Arch_FoodCap*EXP(tun_CapsByProject*SUMPRODUCT((Cap_Point&lt;=I415)*(Cap_Kind="Food")*Cap_Ln))</x:f>
        <x:v>1030.8296491509448</x:v>
      </x:c>
      <x:c r="K415" s="32" t="n">
        <x:f>J415*MIN(1,tun_LeanBase*EXP(tun_CapsByProject*SUMPRODUCT((Cap_Point&lt;=I415)*(Cap_Kind="Lean")*Cap_Ln)))</x:f>
        <x:v>1030.8296491509448</x:v>
      </x:c>
      <x:c r="L415" s="10" t="n">
        <x:f>INDEX(tun_HousingCap,G415)*EXP(tun_CapsByProject*SUMPRODUCT((Cap_Point&lt;=I415)*(Cap_Kind="Housing")*Cap_Ln))</x:f>
        <x:v>2423.1679699072442</x:v>
      </x:c>
      <x:c r="M415" s="10" t="n">
        <x:f>INDEX(tun_GroupCap,G415)*tun_CohesionFactor*EXP(tun_CapsByProject*SUMPRODUCT((Cap_Point&lt;=I415)*(Cap_Kind="Group")*Cap_Ln))</x:f>
        <x:v>1000000.000000001</x:v>
      </x:c>
      <x:c r="N415" s="32" t="n">
        <x:f>MIN(J415,L415,M415)</x:f>
        <x:v>1030.8296491509448</x:v>
      </x:c>
      <x:c r="O415" s="10" t="n">
        <x:f>AE414*N415</x:f>
        <x:v>15462.444737264172</x:v>
      </x:c>
      <x:c r="P415" s="9" t="n">
        <x:f>MIN(1,(AB414/(AE414*IF(tun_GroupInCrowding=1,N415,MIN(J415,L415))))^tun_CrowdingExp)</x:f>
        <x:v>0.25503733470415396</x:v>
      </x:c>
      <x:c r="Q415" s="9" t="n">
        <x:f>IF(D415=1,INDEX(tun_WinterMult,G415),1)</x:f>
        <x:v>1.08</x:v>
      </x:c>
      <x:c r="R415" s="9" t="n">
        <x:f>H415*Z414*tun_WomenShare*tun_BaseFertility*INDEX(tun_FertMult,G415)*Arch_Fertility*(1-P415)</x:f>
        <x:v>219.69656833644643</x:v>
      </x:c>
      <x:c r="S415" s="9" t="n">
        <x:f>H415*Y414*INDEX(tun_MortChild,G415)/4*Q415</x:f>
        <x:v>29.733058281015744</x:v>
      </x:c>
      <x:c r="T415" s="9" t="n">
        <x:f>H415*Z414*INDEX(tun_MortAdult,G415)*Arch_AdultMort/4*Q415</x:f>
        <x:v>9.555067851989648</x:v>
      </x:c>
      <x:c r="U415" s="9" t="n">
        <x:f>H415*AA414*INDEX(tun_MortElder,G415)/4*Q415</x:f>
        <x:v>15.076315733248745</x:v>
      </x:c>
      <x:c r="V415" s="9" t="n">
        <x:f>H415*MAX(0,AB414-O415)*tun_OvercapLoss</x:f>
        <x:v>0</x:v>
      </x:c>
      <x:c r="W415" s="9" t="n">
        <x:f>H415*Y414/(tun_ChildYears*4)</x:f>
        <x:v>115.67482991369334</x:v>
      </x:c>
      <x:c r="X415" s="9" t="n">
        <x:f>H415*Z414/(tun_AdultYears*4)</x:f>
        <x:v>36.58926818915866</x:v>
      </x:c>
      <x:c r="Y415" s="32" t="n">
        <x:f>Y414+R415-S415-W415-Y414*V415/AB414</x:f>
        <x:v>6552.079155308565</x:v>
      </x:c>
      <x:c r="Z415" s="32" t="n">
        <x:f>Z414+W415-X415-T415-Z414*V415/AB414</x:f>
        <x:v>4606.599749328219</x:v>
      </x:c>
      <x:c r="AA415" s="32" t="n">
        <x:f>AA414+X415-U415-AA414*V415/AB414</x:f>
        <x:v>1320.075892442882</x:v>
      </x:c>
      <x:c r="AB415" s="10" t="n">
        <x:f>Y415+Z415+AA415</x:f>
        <x:v>12478.754797079666</x:v>
      </x:c>
      <x:c r="AC415" s="8" t="n">
        <x:f>IF(AND(tun_WinterTrigger=1,D415=1,AB414/AE414&gt;=K415),1,0)</x:f>
        <x:v>0</x:v>
      </x:c>
      <x:c r="AD415" s="8" t="n">
        <x:f>H415*IF(AND(OR(AB414/AE414&gt;=tun_FissionTrigger*N415,AC415=1),AB414/AE414*tun_DaughterShare&gt;=tun_MinDaughter),MAX(1,ROUND(AE414*tun_FissionRate,0)),0)</x:f>
        <x:v>0</x:v>
      </x:c>
      <x:c r="AE415" s="8" t="n">
        <x:f>IF(H415=1,MAX(1,MIN(INDEX(tun_Smax,G415),AE414+AD415)),AE414)</x:f>
        <x:v>15</x:v>
      </x:c>
      <x:c r="AF415" s="8" t="n">
        <x:f>MAX(0,AE415-AE414)</x:f>
        <x:v>0</x:v>
      </x:c>
      <x:c r="AG415" s="9" t="str">
        <x:f>IF(AF415&gt;0,B415,"")</x:f>
      </x:c>
      <x:c r="AH415" s="9" t="n">
        <x:f>IF(F415&gt;=1,1,(1+tun_LowTiesShare*(AE415-1))/AE415)</x:f>
        <x:v>1</x:v>
      </x:c>
      <x:c r="AI415" s="32" t="n">
        <x:f>(Z415+tun_ElderCommons*INDEX(LM_Elder,G415)*AA415)*AH415</x:f>
        <x:v>9556.884345989027</x:v>
      </x:c>
      <x:c r="AJ415" s="32" t="n">
        <x:f>H415*tun_CommonsCoef*AI415^tun_CommonsExp*INDEX(LM_Commons,G415)</x:f>
        <x:v>22647.32009143294</x:v>
      </x:c>
      <x:c r="AK415" s="32" t="n">
        <x:f>H415*tun_RoleScale*Arch_Roles*(AE415*(INDEX(tun_ElderRolePerSett,G415)*tun_OutElder*INDEX(LM_Elder,G415)+INDEX(tun_ShamanPerSett,G415)*tun_OutShaman)+Z415*(INDEX(tun_PriestShare,G415)*tun_OutPriest+INDEX(tun_ScribeShare,G415)*tun_OutScribe*INDEX(LM_Scribe,G415)+INDEX(tun_ScholarShare,G415)*tun_OutScholar*INDEX(LM_Scholar,G415)+INDEX(tun_ResearcherShare,G415)*tun_OutResearcher*INDEX(LM_Researcher,G415)))</x:f>
        <x:v>7030.396023473818</x:v>
      </x:c>
      <x:c r="AL415" s="32" t="n">
        <x:f>H415*tun_RoleScale*Arch_Roles*AE415*INDEX(tun_MonasteryPerSett,G415)*tun_OutMonastery*INDEX(LM_Monastery,G415)</x:f>
        <x:v>79.2</x:v>
      </x:c>
      <x:c r="AM415" s="32" t="n">
        <x:f>(AJ415+AK415+AL415)/4*INDEX(LM_All,G415)*INDEX(tun_Boon,G415)*Arch_Insight</x:f>
        <x:v>17907.78787896152</x:v>
      </x:c>
      <x:c r="AN415" s="32" t="n">
        <x:f>H415*(tun_KHPerAdult*Z415+tun_KHOfCommons*AJ415/4*INDEX(LM_All,G415))*tun_KHUsable*Arch_KH</x:f>
        <x:v>2809.1172439790275</x:v>
      </x:c>
      <x:c r="AO415" s="32" t="n">
        <x:f>MIN(AP414+AN415,AM415*tun_KHMaxRatio)</x:f>
        <x:v>2809.1172439790275</x:v>
      </x:c>
      <x:c r="AP415" s="32" t="n">
        <x:f>AP414+AN415-AO415</x:f>
        <x:v>0</x:v>
      </x:c>
      <x:c r="AQ415" s="32" t="n">
        <x:f>AM415+AO415</x:f>
        <x:v>20716.90512294055</x:v>
      </x:c>
      <x:c r="AR415" s="10" t="n">
        <x:f>IF(H415=1,INDEX(tun_Req,G415),0)</x:f>
        <x:v>3142139.1800715</x:v>
      </x:c>
      <x:c r="AS415" s="32" t="n">
        <x:f>IF(H415=1,IF(E415=1,AS414-AR414,AS414)+AQ415,0)</x:f>
        <x:v>348895.6493346166</x:v>
      </x:c>
      <x:c r="AT415" s="11" t="n">
        <x:f>IF(AR415&gt;0,MIN(1,AS415/AR415),1)</x:f>
        <x:v>0.11103761779472716</x:v>
      </x:c>
      <x:c r="AU415" s="10" t="n">
        <x:f>AB415/INDEX(tun_RepScale,G415)</x:f>
        <x:v>124.78754797079665</x:v>
      </x:c>
      <x:c r="AV415" s="32" t="n">
        <x:f>AM415*60/tun_SeasonSeconds</x:f>
        <x:v>71631.15151584608</x:v>
      </x:c>
    </x:row>
    <x:row r="416">
      <x:c r="A416" s="8" t="n">
        <x:f>A415+1</x:f>
        <x:v>413</x:v>
      </x:c>
      <x:c r="B416" s="9" t="n">
        <x:f>A416*tun_SeasonSeconds/60</x:f>
        <x:v>103.25</x:v>
      </x:c>
      <x:c r="C416" s="9" t="n">
        <x:f>A416/4</x:f>
        <x:v>103.25</x:v>
      </x:c>
      <x:c r="D416" s="8" t="n">
        <x:f>IF(MOD(A416,4)=0,1,0)</x:f>
        <x:v>0</x:v>
      </x:c>
      <x:c r="E416" s="8" t="n">
        <x:f>IF(AND(F415&lt;=9,AS415&gt;=AR415),1,0)</x:f>
        <x:v>0</x:v>
      </x:c>
      <x:c r="F416" s="8" t="n">
        <x:f>MIN(10,F415+E416)</x:f>
        <x:v>7</x:v>
      </x:c>
      <x:c r="G416" s="8" t="n">
        <x:f>MIN(F416,9)+1</x:f>
        <x:v>8</x:v>
      </x:c>
      <x:c r="H416" s="8" t="n">
        <x:f>IF(F416&lt;=9,1,0)</x:f>
        <x:v>1</x:v>
      </x:c>
      <x:c r="I416" s="9" t="n">
        <x:f>MIN(10,F415+IF(AR415&gt;0,MIN(1,AS415/AR415),1))</x:f>
        <x:v>7.111037617794727</x:v>
      </x:c>
      <x:c r="J416" s="32" t="n">
        <x:f>INDEX(tun_FoodCap,G416)*Arch_FoodCap*EXP(tun_CapsByProject*SUMPRODUCT((Cap_Point&lt;=I416)*(Cap_Kind="Food")*Cap_Ln))</x:f>
        <x:v>1030.8296491509448</x:v>
      </x:c>
      <x:c r="K416" s="32" t="n">
        <x:f>J416*MIN(1,tun_LeanBase*EXP(tun_CapsByProject*SUMPRODUCT((Cap_Point&lt;=I416)*(Cap_Kind="Lean")*Cap_Ln)))</x:f>
        <x:v>1030.8296491509448</x:v>
      </x:c>
      <x:c r="L416" s="10" t="n">
        <x:f>INDEX(tun_HousingCap,G416)*EXP(tun_CapsByProject*SUMPRODUCT((Cap_Point&lt;=I416)*(Cap_Kind="Housing")*Cap_Ln))</x:f>
        <x:v>2423.1679699072442</x:v>
      </x:c>
      <x:c r="M416" s="10" t="n">
        <x:f>INDEX(tun_GroupCap,G416)*tun_CohesionFactor*EXP(tun_CapsByProject*SUMPRODUCT((Cap_Point&lt;=I416)*(Cap_Kind="Group")*Cap_Ln))</x:f>
        <x:v>1000000.000000001</x:v>
      </x:c>
      <x:c r="N416" s="32" t="n">
        <x:f>MIN(J416,L416,M416)</x:f>
        <x:v>1030.8296491509448</x:v>
      </x:c>
      <x:c r="O416" s="10" t="n">
        <x:f>AE415*N416</x:f>
        <x:v>15462.444737264172</x:v>
      </x:c>
      <x:c r="P416" s="9" t="n">
        <x:f>MIN(1,(AB415/(AE415*IF(tun_GroupInCrowding=1,N416,MIN(J416,L416))))^tun_CrowdingExp)</x:f>
        <x:v>0.2762857867245096</x:v>
      </x:c>
      <x:c r="Q416" s="9" t="n">
        <x:f>IF(D416=1,INDEX(tun_WinterMult,G416),1)</x:f>
        <x:v>1</x:v>
      </x:c>
      <x:c r="R416" s="9" t="n">
        <x:f>H416*Z415*tun_WomenShare*tun_BaseFertility*INDEX(tun_FertMult,G416)*Arch_Fertility*(1-P416)</x:f>
        <x:v>216.70101137490934</x:v>
      </x:c>
      <x:c r="S416" s="9" t="n">
        <x:f>H416*Y415*INDEX(tun_MortChild,G416)/4*Q416</x:f>
        <x:v>27.8463364100614</x:v>
      </x:c>
      <x:c r="T416" s="9" t="n">
        <x:f>H416*Z415*INDEX(tun_MortAdult,G416)*Arch_AdultMort/4*Q416</x:f>
        <x:v>8.982869511190028</x:v>
      </x:c>
      <x:c r="U416" s="9" t="n">
        <x:f>H416*AA415*INDEX(tun_MortElder,G416)/4*Q416</x:f>
        <x:v>14.19081584376098</x:v>
      </x:c>
      <x:c r="V416" s="9" t="n">
        <x:f>H416*MAX(0,AB415-O416)*tun_OvercapLoss</x:f>
        <x:v>0</x:v>
      </x:c>
      <x:c r="W416" s="9" t="n">
        <x:f>H416*Y415/(tun_ChildYears*4)</x:f>
        <x:v>117.00141348765294</x:v>
      </x:c>
      <x:c r="X416" s="9" t="n">
        <x:f>H416*Z415/(tun_AdultYears*4)</x:f>
        <x:v>37.149997978453385</x:v>
      </x:c>
      <x:c r="Y416" s="32" t="n">
        <x:f>Y415+R416-S416-W416-Y415*V416/AB415</x:f>
        <x:v>6623.932416785759</x:v>
      </x:c>
      <x:c r="Z416" s="32" t="n">
        <x:f>Z415+W416-X416-T416-Z415*V416/AB415</x:f>
        <x:v>4677.468295326229</x:v>
      </x:c>
      <x:c r="AA416" s="32" t="n">
        <x:f>AA415+X416-U416-AA415*V416/AB415</x:f>
        <x:v>1343.0350745775745</x:v>
      </x:c>
      <x:c r="AB416" s="10" t="n">
        <x:f>Y416+Z416+AA416</x:f>
        <x:v>12644.435786689563</x:v>
      </x:c>
      <x:c r="AC416" s="8" t="n">
        <x:f>IF(AND(tun_WinterTrigger=1,D416=1,AB415/AE415&gt;=K416),1,0)</x:f>
        <x:v>0</x:v>
      </x:c>
      <x:c r="AD416" s="8" t="n">
        <x:f>H416*IF(AND(OR(AB415/AE415&gt;=tun_FissionTrigger*N416,AC416=1),AB415/AE415*tun_DaughterShare&gt;=tun_MinDaughter),MAX(1,ROUND(AE415*tun_FissionRate,0)),0)</x:f>
        <x:v>0</x:v>
      </x:c>
      <x:c r="AE416" s="8" t="n">
        <x:f>IF(H416=1,MAX(1,MIN(INDEX(tun_Smax,G416),AE415+AD416)),AE415)</x:f>
        <x:v>15</x:v>
      </x:c>
      <x:c r="AF416" s="8" t="n">
        <x:f>MAX(0,AE416-AE415)</x:f>
        <x:v>0</x:v>
      </x:c>
      <x:c r="AG416" s="9" t="str">
        <x:f>IF(AF416&gt;0,B416,"")</x:f>
      </x:c>
      <x:c r="AH416" s="9" t="n">
        <x:f>IF(F416&gt;=1,1,(1+tun_LowTiesShare*(AE416-1))/AE416)</x:f>
        <x:v>1</x:v>
      </x:c>
      <x:c r="AI416" s="32" t="n">
        <x:f>(Z416+tun_ElderCommons*INDEX(LM_Elder,G416)*AA416)*AH416</x:f>
        <x:v>9713.849824992132</x:v>
      </x:c>
      <x:c r="AJ416" s="32" t="n">
        <x:f>H416*tun_CommonsCoef*AI416^tun_CommonsExp*INDEX(LM_Commons,G416)</x:f>
        <x:v>22963.10516757767</x:v>
      </x:c>
      <x:c r="AK416" s="32" t="n">
        <x:f>H416*tun_RoleScale*Arch_Roles*(AE416*(INDEX(tun_ElderRolePerSett,G416)*tun_OutElder*INDEX(LM_Elder,G416)+INDEX(tun_ShamanPerSett,G416)*tun_OutShaman)+Z416*(INDEX(tun_PriestShare,G416)*tun_OutPriest+INDEX(tun_ScribeShare,G416)*tun_OutScribe*INDEX(LM_Scribe,G416)+INDEX(tun_ScholarShare,G416)*tun_OutScholar*INDEX(LM_Scholar,G416)+INDEX(tun_ResearcherShare,G416)*tun_OutResearcher*INDEX(LM_Researcher,G416)))</x:f>
        <x:v>7132.322001069995</x:v>
      </x:c>
      <x:c r="AL416" s="32" t="n">
        <x:f>H416*tun_RoleScale*Arch_Roles*AE416*INDEX(tun_MonasteryPerSett,G416)*tun_OutMonastery*INDEX(LM_Monastery,G416)</x:f>
        <x:v>79.2</x:v>
      </x:c>
      <x:c r="AM416" s="32" t="n">
        <x:f>(AJ416+AK416+AL416)/4*INDEX(LM_All,G416)*INDEX(tun_Boon,G416)*Arch_Insight</x:f>
        <x:v>18159.167454593768</x:v>
      </x:c>
      <x:c r="AN416" s="32" t="n">
        <x:f>H416*(tun_KHPerAdult*Z416+tun_KHOfCommons*AJ416/4*INDEX(LM_All,G416))*tun_KHUsable*Arch_KH</x:f>
        <x:v>2848.2864392395722</x:v>
      </x:c>
      <x:c r="AO416" s="32" t="n">
        <x:f>MIN(AP415+AN416,AM416*tun_KHMaxRatio)</x:f>
        <x:v>2848.2864392395722</x:v>
      </x:c>
      <x:c r="AP416" s="32" t="n">
        <x:f>AP415+AN416-AO416</x:f>
        <x:v>0</x:v>
      </x:c>
      <x:c r="AQ416" s="32" t="n">
        <x:f>AM416+AO416</x:f>
        <x:v>21007.45389383334</x:v>
      </x:c>
      <x:c r="AR416" s="10" t="n">
        <x:f>IF(H416=1,INDEX(tun_Req,G416),0)</x:f>
        <x:v>3142139.1800715</x:v>
      </x:c>
      <x:c r="AS416" s="32" t="n">
        <x:f>IF(H416=1,IF(E416=1,AS415-AR415,AS415)+AQ416,0)</x:f>
        <x:v>369903.10322844994</x:v>
      </x:c>
      <x:c r="AT416" s="11" t="n">
        <x:f>IF(AR416&gt;0,MIN(1,AS416/AR416),1)</x:f>
        <x:v>0.11772333497335172</x:v>
      </x:c>
      <x:c r="AU416" s="10" t="n">
        <x:f>AB416/INDEX(tun_RepScale,G416)</x:f>
        <x:v>126.44435786689563</x:v>
      </x:c>
      <x:c r="AV416" s="32" t="n">
        <x:f>AM416*60/tun_SeasonSeconds</x:f>
        <x:v>72636.66981837507</x:v>
      </x:c>
    </x:row>
    <x:row r="417">
      <x:c r="A417" s="8" t="n">
        <x:f>A416+1</x:f>
        <x:v>414</x:v>
      </x:c>
      <x:c r="B417" s="9" t="n">
        <x:f>A417*tun_SeasonSeconds/60</x:f>
        <x:v>103.5</x:v>
      </x:c>
      <x:c r="C417" s="9" t="n">
        <x:f>A417/4</x:f>
        <x:v>103.5</x:v>
      </x:c>
      <x:c r="D417" s="8" t="n">
        <x:f>IF(MOD(A417,4)=0,1,0)</x:f>
        <x:v>0</x:v>
      </x:c>
      <x:c r="E417" s="8" t="n">
        <x:f>IF(AND(F416&lt;=9,AS416&gt;=AR416),1,0)</x:f>
        <x:v>0</x:v>
      </x:c>
      <x:c r="F417" s="8" t="n">
        <x:f>MIN(10,F416+E417)</x:f>
        <x:v>7</x:v>
      </x:c>
      <x:c r="G417" s="8" t="n">
        <x:f>MIN(F417,9)+1</x:f>
        <x:v>8</x:v>
      </x:c>
      <x:c r="H417" s="8" t="n">
        <x:f>IF(F417&lt;=9,1,0)</x:f>
        <x:v>1</x:v>
      </x:c>
      <x:c r="I417" s="9" t="n">
        <x:f>MIN(10,F416+IF(AR416&gt;0,MIN(1,AS416/AR416),1))</x:f>
        <x:v>7.117723334973352</x:v>
      </x:c>
      <x:c r="J417" s="32" t="n">
        <x:f>INDEX(tun_FoodCap,G417)*Arch_FoodCap*EXP(tun_CapsByProject*SUMPRODUCT((Cap_Point&lt;=I417)*(Cap_Kind="Food")*Cap_Ln))</x:f>
        <x:v>1030.8296491509448</x:v>
      </x:c>
      <x:c r="K417" s="32" t="n">
        <x:f>J417*MIN(1,tun_LeanBase*EXP(tun_CapsByProject*SUMPRODUCT((Cap_Point&lt;=I417)*(Cap_Kind="Lean")*Cap_Ln)))</x:f>
        <x:v>1030.8296491509448</x:v>
      </x:c>
      <x:c r="L417" s="10" t="n">
        <x:f>INDEX(tun_HousingCap,G417)*EXP(tun_CapsByProject*SUMPRODUCT((Cap_Point&lt;=I417)*(Cap_Kind="Housing")*Cap_Ln))</x:f>
        <x:v>2423.1679699072442</x:v>
      </x:c>
      <x:c r="M417" s="10" t="n">
        <x:f>INDEX(tun_GroupCap,G417)*tun_CohesionFactor*EXP(tun_CapsByProject*SUMPRODUCT((Cap_Point&lt;=I417)*(Cap_Kind="Group")*Cap_Ln))</x:f>
        <x:v>1000000.000000001</x:v>
      </x:c>
      <x:c r="N417" s="32" t="n">
        <x:f>MIN(J417,L417,M417)</x:f>
        <x:v>1030.8296491509448</x:v>
      </x:c>
      <x:c r="O417" s="10" t="n">
        <x:f>AE416*N417</x:f>
        <x:v>15462.444737264172</x:v>
      </x:c>
      <x:c r="P417" s="9" t="n">
        <x:f>MIN(1,(AB416/(AE416*IF(tun_GroupInCrowding=1,N417,MIN(J417,L417))))^tun_CrowdingExp)</x:f>
        <x:v>0.2990389565897116</x:v>
      </x:c>
      <x:c r="Q417" s="9" t="n">
        <x:f>IF(D417=1,INDEX(tun_WinterMult,G417),1)</x:f>
        <x:v>1</x:v>
      </x:c>
      <x:c r="R417" s="9" t="n">
        <x:f>H417*Z416*tun_WomenShare*tun_BaseFertility*INDEX(tun_FertMult,G417)*Arch_Fertility*(1-P417)</x:f>
        <x:v>213.11699869267707</x:v>
      </x:c>
      <x:c r="S417" s="9" t="n">
        <x:f>H417*Y416*INDEX(tun_MortChild,G417)/4*Q417</x:f>
        <x:v>28.15171277133948</x:v>
      </x:c>
      <x:c r="T417" s="9" t="n">
        <x:f>H417*Z416*INDEX(tun_MortAdult,G417)*Arch_AdultMort/4*Q417</x:f>
        <x:v>9.121063175886146</x:v>
      </x:c>
      <x:c r="U417" s="9" t="n">
        <x:f>H417*AA416*INDEX(tun_MortElder,G417)/4*Q417</x:f>
        <x:v>14.437627051708924</x:v>
      </x:c>
      <x:c r="V417" s="9" t="n">
        <x:f>H417*MAX(0,AB416-O417)*tun_OvercapLoss</x:f>
        <x:v>0</x:v>
      </x:c>
      <x:c r="W417" s="9" t="n">
        <x:f>H417*Y416/(tun_ChildYears*4)</x:f>
        <x:v>118.28450744260284</x:v>
      </x:c>
      <x:c r="X417" s="9" t="n">
        <x:f>H417*Z416/(tun_AdultYears*4)</x:f>
        <x:v>37.7215185106954</x:v>
      </x:c>
      <x:c r="Y417" s="32" t="n">
        <x:f>Y416+R417-S417-W417-Y416*V417/AB416</x:f>
        <x:v>6690.613195264494</x:v>
      </x:c>
      <x:c r="Z417" s="32" t="n">
        <x:f>Z416+W417-X417-T417-Z416*V417/AB416</x:f>
        <x:v>4748.910221082251</x:v>
      </x:c>
      <x:c r="AA417" s="32" t="n">
        <x:f>AA416+X417-U417-AA416*V417/AB416</x:f>
        <x:v>1366.318966036561</x:v>
      </x:c>
      <x:c r="AB417" s="10" t="n">
        <x:f>Y417+Z417+AA417</x:f>
        <x:v>12805.842382383305</x:v>
      </x:c>
      <x:c r="AC417" s="8" t="n">
        <x:f>IF(AND(tun_WinterTrigger=1,D417=1,AB416/AE416&gt;=K417),1,0)</x:f>
        <x:v>0</x:v>
      </x:c>
      <x:c r="AD417" s="8" t="n">
        <x:f>H417*IF(AND(OR(AB416/AE416&gt;=tun_FissionTrigger*N417,AC417=1),AB416/AE416*tun_DaughterShare&gt;=tun_MinDaughter),MAX(1,ROUND(AE416*tun_FissionRate,0)),0)</x:f>
        <x:v>0</x:v>
      </x:c>
      <x:c r="AE417" s="8" t="n">
        <x:f>IF(H417=1,MAX(1,MIN(INDEX(tun_Smax,G417),AE416+AD417)),AE416)</x:f>
        <x:v>15</x:v>
      </x:c>
      <x:c r="AF417" s="8" t="n">
        <x:f>MAX(0,AE417-AE416)</x:f>
        <x:v>0</x:v>
      </x:c>
      <x:c r="AG417" s="9" t="str">
        <x:f>IF(AF417&gt;0,B417,"")</x:f>
      </x:c>
      <x:c r="AH417" s="9" t="n">
        <x:f>IF(F417&gt;=1,1,(1+tun_LowTiesShare*(AE417-1))/AE417)</x:f>
        <x:v>1</x:v>
      </x:c>
      <x:c r="AI417" s="32" t="n">
        <x:f>(Z417+tun_ElderCommons*INDEX(LM_Elder,G417)*AA417)*AH417</x:f>
        <x:v>9872.606343719355</x:v>
      </x:c>
      <x:c r="AJ417" s="32" t="n">
        <x:f>H417*tun_CommonsCoef*AI417^tun_CommonsExp*INDEX(LM_Commons,G417)</x:f>
        <x:v>23281.715877391543</x:v>
      </x:c>
      <x:c r="AK417" s="32" t="n">
        <x:f>H417*tun_RoleScale*Arch_Roles*(AE417*(INDEX(tun_ElderRolePerSett,G417)*tun_OutElder*INDEX(LM_Elder,G417)+INDEX(tun_ShamanPerSett,G417)*tun_OutShaman)+Z417*(INDEX(tun_PriestShare,G417)*tun_OutPriest+INDEX(tun_ScribeShare,G417)*tun_OutScribe*INDEX(LM_Scribe,G417)+INDEX(tun_ScholarShare,G417)*tun_OutScholar*INDEX(LM_Scholar,G417)+INDEX(tun_ResearcherShare,G417)*tun_OutResearcher*INDEX(LM_Researcher,G417)))</x:f>
        <x:v>7235.072636369337</x:v>
      </x:c>
      <x:c r="AL417" s="32" t="n">
        <x:f>H417*tun_RoleScale*Arch_Roles*AE417*INDEX(tun_MonasteryPerSett,G417)*tun_OutMonastery*INDEX(LM_Monastery,G417)</x:f>
        <x:v>79.2</x:v>
      </x:c>
      <x:c r="AM417" s="32" t="n">
        <x:f>(AJ417+AK417+AL417)/4*INDEX(LM_All,G417)*INDEX(tun_Boon,G417)*Arch_Insight</x:f>
        <x:v>18412.743784867504</x:v>
      </x:c>
      <x:c r="AN417" s="32" t="n">
        <x:f>H417*(tun_KHPerAdult*Z417+tun_KHOfCommons*AJ417/4*INDEX(LM_All,G417))*tun_KHUsable*Arch_KH</x:f>
        <x:v>2887.8061190710555</x:v>
      </x:c>
      <x:c r="AO417" s="32" t="n">
        <x:f>MIN(AP416+AN417,AM417*tun_KHMaxRatio)</x:f>
        <x:v>2887.8061190710555</x:v>
      </x:c>
      <x:c r="AP417" s="32" t="n">
        <x:f>AP416+AN417-AO417</x:f>
        <x:v>0</x:v>
      </x:c>
      <x:c r="AQ417" s="32" t="n">
        <x:f>AM417+AO417</x:f>
        <x:v>21300.549903938558</x:v>
      </x:c>
      <x:c r="AR417" s="10" t="n">
        <x:f>IF(H417=1,INDEX(tun_Req,G417),0)</x:f>
        <x:v>3142139.1800715</x:v>
      </x:c>
      <x:c r="AS417" s="32" t="n">
        <x:f>IF(H417=1,IF(E417=1,AS416-AR416,AS416)+AQ417,0)</x:f>
        <x:v>391203.6531323885</x:v>
      </x:c>
      <x:c r="AT417" s="11" t="n">
        <x:f>IF(AR417&gt;0,MIN(1,AS417/AR417),1)</x:f>
        <x:v>0.12450233128231021</x:v>
      </x:c>
      <x:c r="AU417" s="10" t="n">
        <x:f>AB417/INDEX(tun_RepScale,G417)</x:f>
        <x:v>128.05842382383307</x:v>
      </x:c>
      <x:c r="AV417" s="32" t="n">
        <x:f>AM417*60/tun_SeasonSeconds</x:f>
        <x:v>73650.97513947001</x:v>
      </x:c>
    </x:row>
    <x:row r="418">
      <x:c r="A418" s="8" t="n">
        <x:f>A417+1</x:f>
        <x:v>415</x:v>
      </x:c>
      <x:c r="B418" s="9" t="n">
        <x:f>A418*tun_SeasonSeconds/60</x:f>
        <x:v>103.75</x:v>
      </x:c>
      <x:c r="C418" s="9" t="n">
        <x:f>A418/4</x:f>
        <x:v>103.75</x:v>
      </x:c>
      <x:c r="D418" s="8" t="n">
        <x:f>IF(MOD(A418,4)=0,1,0)</x:f>
        <x:v>0</x:v>
      </x:c>
      <x:c r="E418" s="8" t="n">
        <x:f>IF(AND(F417&lt;=9,AS417&gt;=AR417),1,0)</x:f>
        <x:v>0</x:v>
      </x:c>
      <x:c r="F418" s="8" t="n">
        <x:f>MIN(10,F417+E418)</x:f>
        <x:v>7</x:v>
      </x:c>
      <x:c r="G418" s="8" t="n">
        <x:f>MIN(F418,9)+1</x:f>
        <x:v>8</x:v>
      </x:c>
      <x:c r="H418" s="8" t="n">
        <x:f>IF(F418&lt;=9,1,0)</x:f>
        <x:v>1</x:v>
      </x:c>
      <x:c r="I418" s="9" t="n">
        <x:f>MIN(10,F417+IF(AR417&gt;0,MIN(1,AS417/AR417),1))</x:f>
        <x:v>7.124502331282311</x:v>
      </x:c>
      <x:c r="J418" s="32" t="n">
        <x:f>INDEX(tun_FoodCap,G418)*Arch_FoodCap*EXP(tun_CapsByProject*SUMPRODUCT((Cap_Point&lt;=I418)*(Cap_Kind="Food")*Cap_Ln))</x:f>
        <x:v>1030.8296491509448</x:v>
      </x:c>
      <x:c r="K418" s="32" t="n">
        <x:f>J418*MIN(1,tun_LeanBase*EXP(tun_CapsByProject*SUMPRODUCT((Cap_Point&lt;=I418)*(Cap_Kind="Lean")*Cap_Ln)))</x:f>
        <x:v>1030.8296491509448</x:v>
      </x:c>
      <x:c r="L418" s="10" t="n">
        <x:f>INDEX(tun_HousingCap,G418)*EXP(tun_CapsByProject*SUMPRODUCT((Cap_Point&lt;=I418)*(Cap_Kind="Housing")*Cap_Ln))</x:f>
        <x:v>2423.1679699072442</x:v>
      </x:c>
      <x:c r="M418" s="10" t="n">
        <x:f>INDEX(tun_GroupCap,G418)*tun_CohesionFactor*EXP(tun_CapsByProject*SUMPRODUCT((Cap_Point&lt;=I418)*(Cap_Kind="Group")*Cap_Ln))</x:f>
        <x:v>1000000.000000001</x:v>
      </x:c>
      <x:c r="N418" s="32" t="n">
        <x:f>MIN(J418,L418,M418)</x:f>
        <x:v>1030.8296491509448</x:v>
      </x:c>
      <x:c r="O418" s="10" t="n">
        <x:f>AE417*N418</x:f>
        <x:v>15462.444737264172</x:v>
      </x:c>
      <x:c r="P418" s="9" t="n">
        <x:f>MIN(1,(AB417/(AE417*IF(tun_GroupInCrowding=1,N418,MIN(J418,L418))))^tun_CrowdingExp)</x:f>
        <x:v>0.3226858709033804</x:v>
      </x:c>
      <x:c r="Q418" s="9" t="n">
        <x:f>IF(D418=1,INDEX(tun_WinterMult,G418),1)</x:f>
        <x:v>1</x:v>
      </x:c>
      <x:c r="R418" s="9" t="n">
        <x:f>H418*Z417*tun_WomenShare*tun_BaseFertility*INDEX(tun_FertMult,G418)*Arch_Fertility*(1-P418)</x:f>
        <x:v>209.0727593857734</x:v>
      </x:c>
      <x:c r="S418" s="9" t="n">
        <x:f>H418*Y417*INDEX(tun_MortChild,G418)/4*Q418</x:f>
        <x:v>28.4351060798741</x:v>
      </x:c>
      <x:c r="T418" s="9" t="n">
        <x:f>H418*Z417*INDEX(tun_MortAdult,G418)*Arch_AdultMort/4*Q418</x:f>
        <x:v>9.26037493111039</x:v>
      </x:c>
      <x:c r="U418" s="9" t="n">
        <x:f>H418*AA417*INDEX(tun_MortElder,G418)/4*Q418</x:f>
        <x:v>14.68792888489303</x:v>
      </x:c>
      <x:c r="V418" s="9" t="n">
        <x:f>H418*MAX(0,AB417-O418)*tun_OvercapLoss</x:f>
        <x:v>0</x:v>
      </x:c>
      <x:c r="W418" s="9" t="n">
        <x:f>H418*Y417/(tun_ChildYears*4)</x:f>
        <x:v>119.4752356297231</x:v>
      </x:c>
      <x:c r="X418" s="9" t="n">
        <x:f>H418*Z417/(tun_AdultYears*4)</x:f>
        <x:v>38.29766307324396</x:v>
      </x:c>
      <x:c r="Y418" s="32" t="n">
        <x:f>Y417+R418-S418-W418-Y417*V418/AB417</x:f>
        <x:v>6751.77561294067</x:v>
      </x:c>
      <x:c r="Z418" s="32" t="n">
        <x:f>Z417+W418-X418-T418-Z417*V418/AB417</x:f>
        <x:v>4820.82741870762</x:v>
      </x:c>
      <x:c r="AA418" s="32" t="n">
        <x:f>AA417+X418-U418-AA417*V418/AB417</x:f>
        <x:v>1389.928700224912</x:v>
      </x:c>
      <x:c r="AB418" s="10" t="n">
        <x:f>Y418+Z418+AA418</x:f>
        <x:v>12962.531731873201</x:v>
      </x:c>
      <x:c r="AC418" s="8" t="n">
        <x:f>IF(AND(tun_WinterTrigger=1,D418=1,AB417/AE417&gt;=K418),1,0)</x:f>
        <x:v>0</x:v>
      </x:c>
      <x:c r="AD418" s="8" t="n">
        <x:f>H418*IF(AND(OR(AB417/AE417&gt;=tun_FissionTrigger*N418,AC418=1),AB417/AE417*tun_DaughterShare&gt;=tun_MinDaughter),MAX(1,ROUND(AE417*tun_FissionRate,0)),0)</x:f>
        <x:v>0</x:v>
      </x:c>
      <x:c r="AE418" s="8" t="n">
        <x:f>IF(H418=1,MAX(1,MIN(INDEX(tun_Smax,G418),AE417+AD418)),AE417)</x:f>
        <x:v>15</x:v>
      </x:c>
      <x:c r="AF418" s="8" t="n">
        <x:f>MAX(0,AE418-AE417)</x:f>
        <x:v>0</x:v>
      </x:c>
      <x:c r="AG418" s="9" t="str">
        <x:f>IF(AF418&gt;0,B418,"")</x:f>
      </x:c>
      <x:c r="AH418" s="9" t="n">
        <x:f>IF(F418&gt;=1,1,(1+tun_LowTiesShare*(AE418-1))/AE418)</x:f>
        <x:v>1</x:v>
      </x:c>
      <x:c r="AI418" s="32" t="n">
        <x:f>(Z418+tun_ElderCommons*INDEX(LM_Elder,G418)*AA418)*AH418</x:f>
        <x:v>10033.06004455104</x:v>
      </x:c>
      <x:c r="AJ418" s="32" t="n">
        <x:f>H418*tun_CommonsCoef*AI418^tun_CommonsExp*INDEX(LM_Commons,G418)</x:f>
        <x:v>23602.952761078755</x:v>
      </x:c>
      <x:c r="AK418" s="32" t="n">
        <x:f>H418*tun_RoleScale*Arch_Roles*(AE418*(INDEX(tun_ElderRolePerSett,G418)*tun_OutElder*INDEX(LM_Elder,G418)+INDEX(tun_ShamanPerSett,G418)*tun_OutShaman)+Z418*(INDEX(tun_PriestShare,G418)*tun_OutPriest+INDEX(tun_ScribeShare,G418)*tun_OutScribe*INDEX(LM_Scribe,G418)+INDEX(tun_ScholarShare,G418)*tun_OutScholar*INDEX(LM_Scholar,G418)+INDEX(tun_ResearcherShare,G418)*tun_OutResearcher*INDEX(LM_Researcher,G418)))</x:f>
        <x:v>7338.506826682048</x:v>
      </x:c>
      <x:c r="AL418" s="32" t="n">
        <x:f>H418*tun_RoleScale*Arch_Roles*AE418*INDEX(tun_MonasteryPerSett,G418)*tun_OutMonastery*INDEX(LM_Monastery,G418)</x:f>
        <x:v>79.2</x:v>
      </x:c>
      <x:c r="AM418" s="32" t="n">
        <x:f>(AJ418+AK418+AL418)/4*INDEX(LM_All,G418)*INDEX(tun_Boon,G418)*Arch_Insight</x:f>
        <x:v>18668.31191841182</x:v>
      </x:c>
      <x:c r="AN418" s="32" t="n">
        <x:f>H418*(tun_KHPerAdult*Z418+tun_KHOfCommons*AJ418/4*INDEX(LM_All,G418))*tun_KHUsable*Arch_KH</x:f>
        <x:v>2927.6515429766064</x:v>
      </x:c>
      <x:c r="AO418" s="32" t="n">
        <x:f>MIN(AP417+AN418,AM418*tun_KHMaxRatio)</x:f>
        <x:v>2927.6515429766064</x:v>
      </x:c>
      <x:c r="AP418" s="32" t="n">
        <x:f>AP417+AN418-AO418</x:f>
        <x:v>0</x:v>
      </x:c>
      <x:c r="AQ418" s="32" t="n">
        <x:f>AM418+AO418</x:f>
        <x:v>21595.963461388426</x:v>
      </x:c>
      <x:c r="AR418" s="10" t="n">
        <x:f>IF(H418=1,INDEX(tun_Req,G418),0)</x:f>
        <x:v>3142139.1800715</x:v>
      </x:c>
      <x:c r="AS418" s="32" t="n">
        <x:f>IF(H418=1,IF(E418=1,AS417-AR417,AS417)+AQ418,0)</x:f>
        <x:v>412799.6165937769</x:v>
      </x:c>
      <x:c r="AT418" s="11" t="n">
        <x:f>IF(AR418&gt;0,MIN(1,AS418/AR418),1)</x:f>
        <x:v>0.13137534429152292</x:v>
      </x:c>
      <x:c r="AU418" s="10" t="n">
        <x:f>AB418/INDEX(tun_RepScale,G418)</x:f>
        <x:v>129.62531731873202</x:v>
      </x:c>
      <x:c r="AV418" s="32" t="n">
        <x:f>AM418*60/tun_SeasonSeconds</x:f>
        <x:v>74673.24767364727</x:v>
      </x:c>
    </x:row>
    <x:row r="419">
      <x:c r="A419" s="8" t="n">
        <x:f>A418+1</x:f>
        <x:v>416</x:v>
      </x:c>
      <x:c r="B419" s="9" t="n">
        <x:f>A419*tun_SeasonSeconds/60</x:f>
        <x:v>104</x:v>
      </x:c>
      <x:c r="C419" s="9" t="n">
        <x:f>A419/4</x:f>
        <x:v>104</x:v>
      </x:c>
      <x:c r="D419" s="8" t="n">
        <x:f>IF(MOD(A419,4)=0,1,0)</x:f>
        <x:v>1</x:v>
      </x:c>
      <x:c r="E419" s="8" t="n">
        <x:f>IF(AND(F418&lt;=9,AS418&gt;=AR418),1,0)</x:f>
        <x:v>0</x:v>
      </x:c>
      <x:c r="F419" s="8" t="n">
        <x:f>MIN(10,F418+E419)</x:f>
        <x:v>7</x:v>
      </x:c>
      <x:c r="G419" s="8" t="n">
        <x:f>MIN(F419,9)+1</x:f>
        <x:v>8</x:v>
      </x:c>
      <x:c r="H419" s="8" t="n">
        <x:f>IF(F419&lt;=9,1,0)</x:f>
        <x:v>1</x:v>
      </x:c>
      <x:c r="I419" s="9" t="n">
        <x:f>MIN(10,F418+IF(AR418&gt;0,MIN(1,AS418/AR418),1))</x:f>
        <x:v>7.131375344291523</x:v>
      </x:c>
      <x:c r="J419" s="32" t="n">
        <x:f>INDEX(tun_FoodCap,G419)*Arch_FoodCap*EXP(tun_CapsByProject*SUMPRODUCT((Cap_Point&lt;=I419)*(Cap_Kind="Food")*Cap_Ln))</x:f>
        <x:v>1030.8296491509448</x:v>
      </x:c>
      <x:c r="K419" s="32" t="n">
        <x:f>J419*MIN(1,tun_LeanBase*EXP(tun_CapsByProject*SUMPRODUCT((Cap_Point&lt;=I419)*(Cap_Kind="Lean")*Cap_Ln)))</x:f>
        <x:v>1030.8296491509448</x:v>
      </x:c>
      <x:c r="L419" s="10" t="n">
        <x:f>INDEX(tun_HousingCap,G419)*EXP(tun_CapsByProject*SUMPRODUCT((Cap_Point&lt;=I419)*(Cap_Kind="Housing")*Cap_Ln))</x:f>
        <x:v>2423.1679699072442</x:v>
      </x:c>
      <x:c r="M419" s="10" t="n">
        <x:f>INDEX(tun_GroupCap,G419)*tun_CohesionFactor*EXP(tun_CapsByProject*SUMPRODUCT((Cap_Point&lt;=I419)*(Cap_Kind="Group")*Cap_Ln))</x:f>
        <x:v>1000000.000000001</x:v>
      </x:c>
      <x:c r="N419" s="32" t="n">
        <x:f>MIN(J419,L419,M419)</x:f>
        <x:v>1030.8296491509448</x:v>
      </x:c>
      <x:c r="O419" s="10" t="n">
        <x:f>AE418*N419</x:f>
        <x:v>15462.444737264172</x:v>
      </x:c>
      <x:c r="P419" s="9" t="n">
        <x:f>MIN(1,(AB418/(AE418*IF(tun_GroupInCrowding=1,N419,MIN(J419,L419))))^tun_CrowdingExp)</x:f>
        <x:v>0.34711232327982305</x:v>
      </x:c>
      <x:c r="Q419" s="9" t="n">
        <x:f>IF(D419=1,INDEX(tun_WinterMult,G419),1)</x:f>
        <x:v>1.08</x:v>
      </x:c>
      <x:c r="R419" s="9" t="n">
        <x:f>H419*Z418*tun_WomenShare*tun_BaseFertility*INDEX(tun_FertMult,G419)*Arch_Fertility*(1-P419)</x:f>
        <x:v>204.58482286248153</x:v>
      </x:c>
      <x:c r="S419" s="9" t="n">
        <x:f>H419*Y418*INDEX(tun_MortChild,G419)/4*Q419</x:f>
        <x:v>30.99065006339768</x:v>
      </x:c>
      <x:c r="T419" s="9" t="n">
        <x:f>H419*Z418*INDEX(tun_MortAdult,G419)*Arch_AdultMort/4*Q419</x:f>
        <x:v>10.152662543798249</x:v>
      </x:c>
      <x:c r="U419" s="9" t="n">
        <x:f>H419*AA418*INDEX(tun_MortElder,G419)/4*Q419</x:f>
        <x:v>16.13707220961123</x:v>
      </x:c>
      <x:c r="V419" s="9" t="n">
        <x:f>H419*MAX(0,AB418-O419)*tun_OvercapLoss</x:f>
        <x:v>0</x:v>
      </x:c>
      <x:c r="W419" s="9" t="n">
        <x:f>H419*Y418/(tun_ChildYears*4)</x:f>
        <x:v>120.56742165965481</x:v>
      </x:c>
      <x:c r="X419" s="9" t="n">
        <x:f>H419*Z418/(tun_AdultYears*4)</x:f>
        <x:v>38.87764047344855</x:v>
      </x:c>
      <x:c r="Y419" s="32" t="n">
        <x:f>Y418+R419-S419-W419-Y418*V419/AB418</x:f>
        <x:v>6804.802364080099</x:v>
      </x:c>
      <x:c r="Z419" s="32" t="n">
        <x:f>Z418+W419-X419-T419-Z418*V419/AB418</x:f>
        <x:v>4892.364537350028</x:v>
      </x:c>
      <x:c r="AA419" s="32" t="n">
        <x:f>AA418+X419-U419-AA418*V419/AB418</x:f>
        <x:v>1412.6692684887494</x:v>
      </x:c>
      <x:c r="AB419" s="10" t="n">
        <x:f>Y419+Z419+AA419</x:f>
        <x:v>13109.836169918875</x:v>
      </x:c>
      <x:c r="AC419" s="8" t="n">
        <x:f>IF(AND(tun_WinterTrigger=1,D419=1,AB418/AE418&gt;=K419),1,0)</x:f>
        <x:v>0</x:v>
      </x:c>
      <x:c r="AD419" s="8" t="n">
        <x:f>H419*IF(AND(OR(AB418/AE418&gt;=tun_FissionTrigger*N419,AC419=1),AB418/AE418*tun_DaughterShare&gt;=tun_MinDaughter),MAX(1,ROUND(AE418*tun_FissionRate,0)),0)</x:f>
        <x:v>0</x:v>
      </x:c>
      <x:c r="AE419" s="8" t="n">
        <x:f>IF(H419=1,MAX(1,MIN(INDEX(tun_Smax,G419),AE418+AD419)),AE418)</x:f>
        <x:v>15</x:v>
      </x:c>
      <x:c r="AF419" s="8" t="n">
        <x:f>MAX(0,AE419-AE418)</x:f>
        <x:v>0</x:v>
      </x:c>
      <x:c r="AG419" s="9" t="str">
        <x:f>IF(AF419&gt;0,B419,"")</x:f>
      </x:c>
      <x:c r="AH419" s="9" t="n">
        <x:f>IF(F419&gt;=1,1,(1+tun_LowTiesShare*(AE419-1))/AE419)</x:f>
        <x:v>1</x:v>
      </x:c>
      <x:c r="AI419" s="32" t="n">
        <x:f>(Z419+tun_ElderCommons*INDEX(LM_Elder,G419)*AA419)*AH419</x:f>
        <x:v>10189.874294182839</x:v>
      </x:c>
      <x:c r="AJ419" s="32" t="n">
        <x:f>H419*tun_CommonsCoef*AI419^tun_CommonsExp*INDEX(LM_Commons,G419)</x:f>
        <x:v>23916.159438091727</x:v>
      </x:c>
      <x:c r="AK419" s="32" t="n">
        <x:f>H419*tun_RoleScale*Arch_Roles*(AE419*(INDEX(tun_ElderRolePerSett,G419)*tun_OutElder*INDEX(LM_Elder,G419)+INDEX(tun_ShamanPerSett,G419)*tun_OutShaman)+Z419*(INDEX(tun_PriestShare,G419)*tun_OutPriest+INDEX(tun_ScribeShare,G419)*tun_OutScribe*INDEX(LM_Scribe,G419)+INDEX(tun_ScholarShare,G419)*tun_OutScholar*INDEX(LM_Scholar,G419)+INDEX(tun_ResearcherShare,G419)*tun_OutResearcher*INDEX(LM_Researcher,G419)))</x:f>
        <x:v>7441.394372198303</x:v>
      </x:c>
      <x:c r="AL419" s="32" t="n">
        <x:f>H419*tun_RoleScale*Arch_Roles*AE419*INDEX(tun_MonasteryPerSett,G419)*tun_OutMonastery*INDEX(LM_Monastery,G419)</x:f>
        <x:v>79.2</x:v>
      </x:c>
      <x:c r="AM419" s="32" t="n">
        <x:f>(AJ419+AK419+AL419)/4*INDEX(LM_All,G419)*INDEX(tun_Boon,G419)*Arch_Insight</x:f>
        <x:v>18918.718480904427</x:v>
      </x:c>
      <x:c r="AN419" s="32" t="n">
        <x:f>H419*(tun_KHPerAdult*Z419+tun_KHOfCommons*AJ419/4*INDEX(LM_All,G419))*tun_KHUsable*Arch_KH</x:f>
        <x:v>2966.500920023179</x:v>
      </x:c>
      <x:c r="AO419" s="32" t="n">
        <x:f>MIN(AP418+AN419,AM419*tun_KHMaxRatio)</x:f>
        <x:v>2966.500920023179</x:v>
      </x:c>
      <x:c r="AP419" s="32" t="n">
        <x:f>AP418+AN419-AO419</x:f>
        <x:v>0</x:v>
      </x:c>
      <x:c r="AQ419" s="32" t="n">
        <x:f>AM419+AO419</x:f>
        <x:v>21885.219400927606</x:v>
      </x:c>
      <x:c r="AR419" s="10" t="n">
        <x:f>IF(H419=1,INDEX(tun_Req,G419),0)</x:f>
        <x:v>3142139.1800715</x:v>
      </x:c>
      <x:c r="AS419" s="32" t="n">
        <x:f>IF(H419=1,IF(E419=1,AS418-AR418,AS418)+AQ419,0)</x:f>
        <x:v>434684.8359947045</x:v>
      </x:c>
      <x:c r="AT419" s="11" t="n">
        <x:f>IF(AR419&gt;0,MIN(1,AS419/AR419),1)</x:f>
        <x:v>0.13834041431125058</x:v>
      </x:c>
      <x:c r="AU419" s="10" t="n">
        <x:f>AB419/INDEX(tun_RepScale,G419)</x:f>
        <x:v>131.09836169918876</x:v>
      </x:c>
      <x:c r="AV419" s="32" t="n">
        <x:f>AM419*60/tun_SeasonSeconds</x:f>
        <x:v>75674.8739236177</x:v>
      </x:c>
    </x:row>
    <x:row r="420">
      <x:c r="A420" s="8" t="n">
        <x:f>A419+1</x:f>
        <x:v>417</x:v>
      </x:c>
      <x:c r="B420" s="9" t="n">
        <x:f>A420*tun_SeasonSeconds/60</x:f>
        <x:v>104.25</x:v>
      </x:c>
      <x:c r="C420" s="9" t="n">
        <x:f>A420/4</x:f>
        <x:v>104.25</x:v>
      </x:c>
      <x:c r="D420" s="8" t="n">
        <x:f>IF(MOD(A420,4)=0,1,0)</x:f>
        <x:v>0</x:v>
      </x:c>
      <x:c r="E420" s="8" t="n">
        <x:f>IF(AND(F419&lt;=9,AS419&gt;=AR419),1,0)</x:f>
        <x:v>0</x:v>
      </x:c>
      <x:c r="F420" s="8" t="n">
        <x:f>MIN(10,F419+E420)</x:f>
        <x:v>7</x:v>
      </x:c>
      <x:c r="G420" s="8" t="n">
        <x:f>MIN(F420,9)+1</x:f>
        <x:v>8</x:v>
      </x:c>
      <x:c r="H420" s="8" t="n">
        <x:f>IF(F420&lt;=9,1,0)</x:f>
        <x:v>1</x:v>
      </x:c>
      <x:c r="I420" s="9" t="n">
        <x:f>MIN(10,F419+IF(AR419&gt;0,MIN(1,AS419/AR419),1))</x:f>
        <x:v>7.1383404143112505</x:v>
      </x:c>
      <x:c r="J420" s="32" t="n">
        <x:f>INDEX(tun_FoodCap,G420)*Arch_FoodCap*EXP(tun_CapsByProject*SUMPRODUCT((Cap_Point&lt;=I420)*(Cap_Kind="Food")*Cap_Ln))</x:f>
        <x:v>1030.8296491509448</x:v>
      </x:c>
      <x:c r="K420" s="32" t="n">
        <x:f>J420*MIN(1,tun_LeanBase*EXP(tun_CapsByProject*SUMPRODUCT((Cap_Point&lt;=I420)*(Cap_Kind="Lean")*Cap_Ln)))</x:f>
        <x:v>1030.8296491509448</x:v>
      </x:c>
      <x:c r="L420" s="10" t="n">
        <x:f>INDEX(tun_HousingCap,G420)*EXP(tun_CapsByProject*SUMPRODUCT((Cap_Point&lt;=I420)*(Cap_Kind="Housing")*Cap_Ln))</x:f>
        <x:v>2423.1679699072442</x:v>
      </x:c>
      <x:c r="M420" s="10" t="n">
        <x:f>INDEX(tun_GroupCap,G420)*tun_CohesionFactor*EXP(tun_CapsByProject*SUMPRODUCT((Cap_Point&lt;=I420)*(Cap_Kind="Group")*Cap_Ln))</x:f>
        <x:v>1000000.000000001</x:v>
      </x:c>
      <x:c r="N420" s="32" t="n">
        <x:f>MIN(J420,L420,M420)</x:f>
        <x:v>1030.8296491509448</x:v>
      </x:c>
      <x:c r="O420" s="10" t="n">
        <x:f>AE419*N420</x:f>
        <x:v>15462.444737264172</x:v>
      </x:c>
      <x:c r="P420" s="9" t="n">
        <x:f>MIN(1,(AB419/(AE419*IF(tun_GroupInCrowding=1,N420,MIN(J420,L420))))^tun_CrowdingExp)</x:f>
        <x:v>0.3714621977866664</x:v>
      </x:c>
      <x:c r="Q420" s="9" t="n">
        <x:f>IF(D420=1,INDEX(tun_WinterMult,G420),1)</x:f>
        <x:v>1</x:v>
      </x:c>
      <x:c r="R420" s="9" t="n">
        <x:f>H420*Z419*tun_WomenShare*tun_BaseFertility*INDEX(tun_FertMult,G420)*Arch_Fertility*(1-P420)</x:f>
        <x:v>199.87734350560854</x:v>
      </x:c>
      <x:c r="S420" s="9" t="n">
        <x:f>H420*Y419*INDEX(tun_MortChild,G420)/4*Q420</x:f>
        <x:v>28.920410047340425</x:v>
      </x:c>
      <x:c r="T420" s="9" t="n">
        <x:f>H420*Z419*INDEX(tun_MortAdult,G420)*Arch_AdultMort/4*Q420</x:f>
        <x:v>9.540110847832553</x:v>
      </x:c>
      <x:c r="U420" s="9" t="n">
        <x:f>H420*AA419*INDEX(tun_MortElder,G420)/4*Q420</x:f>
        <x:v>15.186194636254054</x:v>
      </x:c>
      <x:c r="V420" s="9" t="n">
        <x:f>H420*MAX(0,AB419-O420)*tun_OvercapLoss</x:f>
        <x:v>0</x:v>
      </x:c>
      <x:c r="W420" s="9" t="n">
        <x:f>H420*Y419/(tun_ChildYears*4)</x:f>
        <x:v>121.51432793000177</x:v>
      </x:c>
      <x:c r="X420" s="9" t="n">
        <x:f>H420*Z419/(tun_AdultYears*4)</x:f>
        <x:v>39.45455272056474</x:v>
      </x:c>
      <x:c r="Y420" s="32" t="n">
        <x:f>Y419+R420-S420-W420-Y419*V420/AB419</x:f>
        <x:v>6854.244969608365</x:v>
      </x:c>
      <x:c r="Z420" s="32" t="n">
        <x:f>Z419+W420-X420-T420-Z419*V420/AB419</x:f>
        <x:v>4964.884201711632</x:v>
      </x:c>
      <x:c r="AA420" s="32" t="n">
        <x:f>AA419+X420-U420-AA419*V420/AB419</x:f>
        <x:v>1436.9376265730602</x:v>
      </x:c>
      <x:c r="AB420" s="10" t="n">
        <x:f>Y420+Z420+AA420</x:f>
        <x:v>13256.066797893058</x:v>
      </x:c>
      <x:c r="AC420" s="8" t="n">
        <x:f>IF(AND(tun_WinterTrigger=1,D420=1,AB419/AE419&gt;=K420),1,0)</x:f>
        <x:v>0</x:v>
      </x:c>
      <x:c r="AD420" s="8" t="n">
        <x:f>H420*IF(AND(OR(AB419/AE419&gt;=tun_FissionTrigger*N420,AC420=1),AB419/AE419*tun_DaughterShare&gt;=tun_MinDaughter),MAX(1,ROUND(AE419*tun_FissionRate,0)),0)</x:f>
        <x:v>0</x:v>
      </x:c>
      <x:c r="AE420" s="8" t="n">
        <x:f>IF(H420=1,MAX(1,MIN(INDEX(tun_Smax,G420),AE419+AD420)),AE419)</x:f>
        <x:v>15</x:v>
      </x:c>
      <x:c r="AF420" s="8" t="n">
        <x:f>MAX(0,AE420-AE419)</x:f>
        <x:v>0</x:v>
      </x:c>
      <x:c r="AG420" s="9" t="str">
        <x:f>IF(AF420&gt;0,B420,"")</x:f>
      </x:c>
      <x:c r="AH420" s="9" t="n">
        <x:f>IF(F420&gt;=1,1,(1+tun_LowTiesShare*(AE420-1))/AE420)</x:f>
        <x:v>1</x:v>
      </x:c>
      <x:c r="AI420" s="32" t="n">
        <x:f>(Z420+tun_ElderCommons*INDEX(LM_Elder,G420)*AA420)*AH420</x:f>
        <x:v>10353.400301360609</x:v>
      </x:c>
      <x:c r="AJ420" s="32" t="n">
        <x:f>H420*tun_CommonsCoef*AI420^tun_CommonsExp*INDEX(LM_Commons,G420)</x:f>
        <x:v>24242.00254325073</x:v>
      </x:c>
      <x:c r="AK420" s="32" t="n">
        <x:f>H420*tun_RoleScale*Arch_Roles*(AE420*(INDEX(tun_ElderRolePerSett,G420)*tun_OutElder*INDEX(LM_Elder,G420)+INDEX(tun_ShamanPerSett,G420)*tun_OutShaman)+Z420*(INDEX(tun_PriestShare,G420)*tun_OutPriest+INDEX(tun_ScribeShare,G420)*tun_OutScribe*INDEX(LM_Scribe,G420)+INDEX(tun_ScholarShare,G420)*tun_OutScholar*INDEX(LM_Scholar,G420)+INDEX(tun_ResearcherShare,G420)*tun_OutResearcher*INDEX(LM_Researcher,G420)))</x:f>
        <x:v>7545.695054269738</x:v>
      </x:c>
      <x:c r="AL420" s="32" t="n">
        <x:f>H420*tun_RoleScale*Arch_Roles*AE420*INDEX(tun_MonasteryPerSett,G420)*tun_OutMonastery*INDEX(LM_Monastery,G420)</x:f>
        <x:v>79.2</x:v>
      </x:c>
      <x:c r="AM420" s="32" t="n">
        <x:f>(AJ420+AK420+AL420)/4*INDEX(LM_All,G420)*INDEX(tun_Boon,G420)*Arch_Insight</x:f>
        <x:v>19177.580107204372</x:v>
      </x:c>
      <x:c r="AN420" s="32" t="n">
        <x:f>H420*(tun_KHPerAdult*Z420+tun_KHOfCommons*AJ420/4*INDEX(LM_All,G420))*tun_KHUsable*Arch_KH</x:f>
        <x:v>3006.917688181107</x:v>
      </x:c>
      <x:c r="AO420" s="32" t="n">
        <x:f>MIN(AP419+AN420,AM420*tun_KHMaxRatio)</x:f>
        <x:v>3006.917688181107</x:v>
      </x:c>
      <x:c r="AP420" s="32" t="n">
        <x:f>AP419+AN420-AO420</x:f>
        <x:v>0</x:v>
      </x:c>
      <x:c r="AQ420" s="32" t="n">
        <x:f>AM420+AO420</x:f>
        <x:v>22184.49779538548</x:v>
      </x:c>
      <x:c r="AR420" s="10" t="n">
        <x:f>IF(H420=1,INDEX(tun_Req,G420),0)</x:f>
        <x:v>3142139.1800715</x:v>
      </x:c>
      <x:c r="AS420" s="32" t="n">
        <x:f>IF(H420=1,IF(E420=1,AS419-AR419,AS419)+AQ420,0)</x:f>
        <x:v>456869.33379009</x:v>
      </x:c>
      <x:c r="AT420" s="11" t="n">
        <x:f>IF(AR420&gt;0,MIN(1,AS420/AR420),1)</x:f>
        <x:v>0.1454007310330836</x:v>
      </x:c>
      <x:c r="AU420" s="10" t="n">
        <x:f>AB420/INDEX(tun_RepScale,G420)</x:f>
        <x:v>132.56066797893058</x:v>
      </x:c>
      <x:c r="AV420" s="32" t="n">
        <x:f>AM420*60/tun_SeasonSeconds</x:f>
        <x:v>76710.32042881749</x:v>
      </x:c>
    </x:row>
    <x:row r="421">
      <x:c r="A421" s="8" t="n">
        <x:f>A420+1</x:f>
        <x:v>418</x:v>
      </x:c>
      <x:c r="B421" s="9" t="n">
        <x:f>A421*tun_SeasonSeconds/60</x:f>
        <x:v>104.5</x:v>
      </x:c>
      <x:c r="C421" s="9" t="n">
        <x:f>A421/4</x:f>
        <x:v>104.5</x:v>
      </x:c>
      <x:c r="D421" s="8" t="n">
        <x:f>IF(MOD(A421,4)=0,1,0)</x:f>
        <x:v>0</x:v>
      </x:c>
      <x:c r="E421" s="8" t="n">
        <x:f>IF(AND(F420&lt;=9,AS420&gt;=AR420),1,0)</x:f>
        <x:v>0</x:v>
      </x:c>
      <x:c r="F421" s="8" t="n">
        <x:f>MIN(10,F420+E421)</x:f>
        <x:v>7</x:v>
      </x:c>
      <x:c r="G421" s="8" t="n">
        <x:f>MIN(F421,9)+1</x:f>
        <x:v>8</x:v>
      </x:c>
      <x:c r="H421" s="8" t="n">
        <x:f>IF(F421&lt;=9,1,0)</x:f>
        <x:v>1</x:v>
      </x:c>
      <x:c r="I421" s="9" t="n">
        <x:f>MIN(10,F420+IF(AR420&gt;0,MIN(1,AS420/AR420),1))</x:f>
        <x:v>7.145400731033083</x:v>
      </x:c>
      <x:c r="J421" s="32" t="n">
        <x:f>INDEX(tun_FoodCap,G421)*Arch_FoodCap*EXP(tun_CapsByProject*SUMPRODUCT((Cap_Point&lt;=I421)*(Cap_Kind="Food")*Cap_Ln))</x:f>
        <x:v>1030.8296491509448</x:v>
      </x:c>
      <x:c r="K421" s="32" t="n">
        <x:f>J421*MIN(1,tun_LeanBase*EXP(tun_CapsByProject*SUMPRODUCT((Cap_Point&lt;=I421)*(Cap_Kind="Lean")*Cap_Ln)))</x:f>
        <x:v>1030.8296491509448</x:v>
      </x:c>
      <x:c r="L421" s="10" t="n">
        <x:f>INDEX(tun_HousingCap,G421)*EXP(tun_CapsByProject*SUMPRODUCT((Cap_Point&lt;=I421)*(Cap_Kind="Housing")*Cap_Ln))</x:f>
        <x:v>2423.1679699072442</x:v>
      </x:c>
      <x:c r="M421" s="10" t="n">
        <x:f>INDEX(tun_GroupCap,G421)*tun_CohesionFactor*EXP(tun_CapsByProject*SUMPRODUCT((Cap_Point&lt;=I421)*(Cap_Kind="Group")*Cap_Ln))</x:f>
        <x:v>1000000.000000001</x:v>
      </x:c>
      <x:c r="N421" s="32" t="n">
        <x:f>MIN(J421,L421,M421)</x:f>
        <x:v>1030.8296491509448</x:v>
      </x:c>
      <x:c r="O421" s="10" t="n">
        <x:f>AE420*N421</x:f>
        <x:v>15462.444737264172</x:v>
      </x:c>
      <x:c r="P421" s="9" t="n">
        <x:f>MIN(1,(AB420/(AE420*IF(tun_GroupInCrowding=1,N421,MIN(J421,L421))))^tun_CrowdingExp)</x:f>
        <x:v>0.3970261754737208</x:v>
      </x:c>
      <x:c r="Q421" s="9" t="n">
        <x:f>IF(D421=1,INDEX(tun_WinterMult,G421),1)</x:f>
        <x:v>1</x:v>
      </x:c>
      <x:c r="R421" s="9" t="n">
        <x:f>H421*Z420*tun_WomenShare*tun_BaseFertility*INDEX(tun_FertMult,G421)*Arch_Fertility*(1-P421)</x:f>
        <x:v>194.59018900335076</x:v>
      </x:c>
      <x:c r="S421" s="9" t="n">
        <x:f>H421*Y420*INDEX(tun_MortChild,G421)/4*Q421</x:f>
        <x:v>29.130541120835552</x:v>
      </x:c>
      <x:c r="T421" s="9" t="n">
        <x:f>H421*Z420*INDEX(tun_MortAdult,G421)*Arch_AdultMort/4*Q421</x:f>
        <x:v>9.681524193337681</x:v>
      </x:c>
      <x:c r="U421" s="9" t="n">
        <x:f>H421*AA420*INDEX(tun_MortElder,G421)/4*Q421</x:f>
        <x:v>15.447079485660396</x:v>
      </x:c>
      <x:c r="V421" s="9" t="n">
        <x:f>H421*MAX(0,AB420-O421)*tun_OvercapLoss</x:f>
        <x:v>0</x:v>
      </x:c>
      <x:c r="W421" s="9" t="n">
        <x:f>H421*Y420/(tun_ChildYears*4)</x:f>
        <x:v>122.39723160014937</x:v>
      </x:c>
      <x:c r="X421" s="9" t="n">
        <x:f>H421*Z420/(tun_AdultYears*4)</x:f>
        <x:v>40.039388723480904</x:v>
      </x:c>
      <x:c r="Y421" s="32" t="n">
        <x:f>Y420+R421-S421-W421-Y420*V421/AB420</x:f>
        <x:v>6897.307385890731</x:v>
      </x:c>
      <x:c r="Z421" s="32" t="n">
        <x:f>Z420+W421-X421-T421-Z420*V421/AB420</x:f>
        <x:v>5037.560520394963</x:v>
      </x:c>
      <x:c r="AA421" s="32" t="n">
        <x:f>AA420+X421-U421-AA420*V421/AB420</x:f>
        <x:v>1461.5299358108807</x:v>
      </x:c>
      <x:c r="AB421" s="10" t="n">
        <x:f>Y421+Z421+AA421</x:f>
        <x:v>13396.397842096574</x:v>
      </x:c>
      <x:c r="AC421" s="8" t="n">
        <x:f>IF(AND(tun_WinterTrigger=1,D421=1,AB420/AE420&gt;=K421),1,0)</x:f>
        <x:v>0</x:v>
      </x:c>
      <x:c r="AD421" s="8" t="n">
        <x:f>H421*IF(AND(OR(AB420/AE420&gt;=tun_FissionTrigger*N421,AC421=1),AB420/AE420*tun_DaughterShare&gt;=tun_MinDaughter),MAX(1,ROUND(AE420*tun_FissionRate,0)),0)</x:f>
        <x:v>5</x:v>
      </x:c>
      <x:c r="AE421" s="8" t="n">
        <x:f>IF(H421=1,MAX(1,MIN(INDEX(tun_Smax,G421),AE420+AD421)),AE420)</x:f>
        <x:v>15</x:v>
      </x:c>
      <x:c r="AF421" s="8" t="n">
        <x:f>MAX(0,AE421-AE420)</x:f>
        <x:v>0</x:v>
      </x:c>
      <x:c r="AG421" s="9" t="str">
        <x:f>IF(AF421&gt;0,B421,"")</x:f>
      </x:c>
      <x:c r="AH421" s="9" t="n">
        <x:f>IF(F421&gt;=1,1,(1+tun_LowTiesShare*(AE421-1))/AE421)</x:f>
        <x:v>1</x:v>
      </x:c>
      <x:c r="AI421" s="32" t="n">
        <x:f>(Z421+tun_ElderCommons*INDEX(LM_Elder,G421)*AA421)*AH421</x:f>
        <x:v>10518.297779685765</x:v>
      </x:c>
      <x:c r="AJ421" s="32" t="n">
        <x:f>H421*tun_CommonsCoef*AI421^tun_CommonsExp*INDEX(LM_Commons,G421)</x:f>
        <x:v>24569.797666946415</x:v>
      </x:c>
      <x:c r="AK421" s="32" t="n">
        <x:f>H421*tun_RoleScale*Arch_Roles*(AE421*(INDEX(tun_ElderRolePerSett,G421)*tun_OutElder*INDEX(LM_Elder,G421)+INDEX(tun_ShamanPerSett,G421)*tun_OutShaman)+Z421*(INDEX(tun_PriestShare,G421)*tun_OutPriest+INDEX(tun_ScribeShare,G421)*tun_OutScribe*INDEX(LM_Scribe,G421)+INDEX(tun_ScholarShare,G421)*tun_OutScholar*INDEX(LM_Scholar,G421)+INDEX(tun_ResearcherShare,G421)*tun_OutResearcher*INDEX(LM_Researcher,G421)))</x:f>
        <x:v>7650.221042852851</x:v>
      </x:c>
      <x:c r="AL421" s="32" t="n">
        <x:f>H421*tun_RoleScale*Arch_Roles*AE421*INDEX(tun_MonasteryPerSett,G421)*tun_OutMonastery*INDEX(LM_Monastery,G421)</x:f>
        <x:v>79.2</x:v>
      </x:c>
      <x:c r="AM421" s="32" t="n">
        <x:f>(AJ421+AK421+AL421)/4*INDEX(LM_All,G421)*INDEX(tun_Boon,G421)*Arch_Insight</x:f>
        <x:v>19437.752053261887</x:v>
      </x:c>
      <x:c r="AN421" s="32" t="n">
        <x:f>H421*(tun_KHPerAdult*Z421+tun_KHOfCommons*AJ421/4*INDEX(LM_All,G421))*tun_KHUsable*Arch_KH</x:f>
        <x:v>3047.576579862252</x:v>
      </x:c>
      <x:c r="AO421" s="32" t="n">
        <x:f>MIN(AP420+AN421,AM421*tun_KHMaxRatio)</x:f>
        <x:v>3047.576579862252</x:v>
      </x:c>
      <x:c r="AP421" s="32" t="n">
        <x:f>AP420+AN421-AO421</x:f>
        <x:v>0</x:v>
      </x:c>
      <x:c r="AQ421" s="32" t="n">
        <x:f>AM421+AO421</x:f>
        <x:v>22485.32863312414</x:v>
      </x:c>
      <x:c r="AR421" s="10" t="n">
        <x:f>IF(H421=1,INDEX(tun_Req,G421),0)</x:f>
        <x:v>3142139.1800715</x:v>
      </x:c>
      <x:c r="AS421" s="32" t="n">
        <x:f>IF(H421=1,IF(E421=1,AS420-AR420,AS420)+AQ421,0)</x:f>
        <x:v>479354.6624232141</x:v>
      </x:c>
      <x:c r="AT421" s="11" t="n">
        <x:f>IF(AR421&gt;0,MIN(1,AS421/AR421),1)</x:f>
        <x:v>0.15255678852911483</x:v>
      </x:c>
      <x:c r="AU421" s="10" t="n">
        <x:f>AB421/INDEX(tun_RepScale,G421)</x:f>
        <x:v>133.96397842096573</x:v>
      </x:c>
      <x:c r="AV421" s="32" t="n">
        <x:f>AM421*60/tun_SeasonSeconds</x:f>
        <x:v>77751.00821304755</x:v>
      </x:c>
    </x:row>
    <x:row r="422">
      <x:c r="A422" s="8" t="n">
        <x:f>A421+1</x:f>
        <x:v>419</x:v>
      </x:c>
      <x:c r="B422" s="9" t="n">
        <x:f>A422*tun_SeasonSeconds/60</x:f>
        <x:v>104.75</x:v>
      </x:c>
      <x:c r="C422" s="9" t="n">
        <x:f>A422/4</x:f>
        <x:v>104.75</x:v>
      </x:c>
      <x:c r="D422" s="8" t="n">
        <x:f>IF(MOD(A422,4)=0,1,0)</x:f>
        <x:v>0</x:v>
      </x:c>
      <x:c r="E422" s="8" t="n">
        <x:f>IF(AND(F421&lt;=9,AS421&gt;=AR421),1,0)</x:f>
        <x:v>0</x:v>
      </x:c>
      <x:c r="F422" s="8" t="n">
        <x:f>MIN(10,F421+E422)</x:f>
        <x:v>7</x:v>
      </x:c>
      <x:c r="G422" s="8" t="n">
        <x:f>MIN(F422,9)+1</x:f>
        <x:v>8</x:v>
      </x:c>
      <x:c r="H422" s="8" t="n">
        <x:f>IF(F422&lt;=9,1,0)</x:f>
        <x:v>1</x:v>
      </x:c>
      <x:c r="I422" s="9" t="n">
        <x:f>MIN(10,F421+IF(AR421&gt;0,MIN(1,AS421/AR421),1))</x:f>
        <x:v>7.152556788529115</x:v>
      </x:c>
      <x:c r="J422" s="32" t="n">
        <x:f>INDEX(tun_FoodCap,G422)*Arch_FoodCap*EXP(tun_CapsByProject*SUMPRODUCT((Cap_Point&lt;=I422)*(Cap_Kind="Food")*Cap_Ln))</x:f>
        <x:v>1030.8296491509448</x:v>
      </x:c>
      <x:c r="K422" s="32" t="n">
        <x:f>J422*MIN(1,tun_LeanBase*EXP(tun_CapsByProject*SUMPRODUCT((Cap_Point&lt;=I422)*(Cap_Kind="Lean")*Cap_Ln)))</x:f>
        <x:v>1030.8296491509448</x:v>
      </x:c>
      <x:c r="L422" s="10" t="n">
        <x:f>INDEX(tun_HousingCap,G422)*EXP(tun_CapsByProject*SUMPRODUCT((Cap_Point&lt;=I422)*(Cap_Kind="Housing")*Cap_Ln))</x:f>
        <x:v>2423.1679699072442</x:v>
      </x:c>
      <x:c r="M422" s="10" t="n">
        <x:f>INDEX(tun_GroupCap,G422)*tun_CohesionFactor*EXP(tun_CapsByProject*SUMPRODUCT((Cap_Point&lt;=I422)*(Cap_Kind="Group")*Cap_Ln))</x:f>
        <x:v>1000000.000000001</x:v>
      </x:c>
      <x:c r="N422" s="32" t="n">
        <x:f>MIN(J422,L422,M422)</x:f>
        <x:v>1030.8296491509448</x:v>
      </x:c>
      <x:c r="O422" s="10" t="n">
        <x:f>AE421*N422</x:f>
        <x:v>15462.444737264172</x:v>
      </x:c>
      <x:c r="P422" s="9" t="n">
        <x:f>MIN(1,(AB421/(AE421*IF(tun_GroupInCrowding=1,N422,MIN(J422,L422))))^tun_CrowdingExp)</x:f>
        <x:v>0.42292100618756995</x:v>
      </x:c>
      <x:c r="Q422" s="9" t="n">
        <x:f>IF(D422=1,INDEX(tun_WinterMult,G422),1)</x:f>
        <x:v>1</x:v>
      </x:c>
      <x:c r="R422" s="9" t="n">
        <x:f>H422*Z421*tun_WomenShare*tun_BaseFertility*INDEX(tun_FertMult,G422)*Arch_Fertility*(1-P422)</x:f>
        <x:v>188.95957316461855</x:v>
      </x:c>
      <x:c r="S422" s="9" t="n">
        <x:f>H422*Y421*INDEX(tun_MortChild,G422)/4*Q422</x:f>
        <x:v>29.313556390035608</x:v>
      </x:c>
      <x:c r="T422" s="9" t="n">
        <x:f>H422*Z421*INDEX(tun_MortAdult,G422)*Arch_AdultMort/4*Q422</x:f>
        <x:v>9.823243014770176</x:v>
      </x:c>
      <x:c r="U422" s="9" t="n">
        <x:f>H422*AA421*INDEX(tun_MortElder,G422)/4*Q422</x:f>
        <x:v>15.711446809966967</x:v>
      </x:c>
      <x:c r="V422" s="9" t="n">
        <x:f>H422*MAX(0,AB421-O422)*tun_OvercapLoss</x:f>
        <x:v>0</x:v>
      </x:c>
      <x:c r="W422" s="9" t="n">
        <x:f>H422*Y421/(tun_ChildYears*4)</x:f>
        <x:v>123.16620331947733</x:v>
      </x:c>
      <x:c r="X422" s="9" t="n">
        <x:f>H422*Z421/(tun_AdultYears*4)</x:f>
        <x:v>40.62548806770131</x:v>
      </x:c>
      <x:c r="Y422" s="32" t="n">
        <x:f>Y421+R422-S422-W422-Y421*V422/AB421</x:f>
        <x:v>6933.787199345837</x:v>
      </x:c>
      <x:c r="Z422" s="32" t="n">
        <x:f>Z421+W422-X422-T422-Z421*V422/AB421</x:f>
        <x:v>5110.277992631968</x:v>
      </x:c>
      <x:c r="AA422" s="32" t="n">
        <x:f>AA421+X422-U422-AA421*V422/AB421</x:f>
        <x:v>1486.4439770686151</x:v>
      </x:c>
      <x:c r="AB422" s="10" t="n">
        <x:f>Y422+Z422+AA422</x:f>
        <x:v>13530.50916904642</x:v>
      </x:c>
      <x:c r="AC422" s="8" t="n">
        <x:f>IF(AND(tun_WinterTrigger=1,D422=1,AB421/AE421&gt;=K422),1,0)</x:f>
        <x:v>0</x:v>
      </x:c>
      <x:c r="AD422" s="8" t="n">
        <x:f>H422*IF(AND(OR(AB421/AE421&gt;=tun_FissionTrigger*N422,AC422=1),AB421/AE421*tun_DaughterShare&gt;=tun_MinDaughter),MAX(1,ROUND(AE421*tun_FissionRate,0)),0)</x:f>
        <x:v>5</x:v>
      </x:c>
      <x:c r="AE422" s="8" t="n">
        <x:f>IF(H422=1,MAX(1,MIN(INDEX(tun_Smax,G422),AE421+AD422)),AE421)</x:f>
        <x:v>15</x:v>
      </x:c>
      <x:c r="AF422" s="8" t="n">
        <x:f>MAX(0,AE422-AE421)</x:f>
        <x:v>0</x:v>
      </x:c>
      <x:c r="AG422" s="9" t="str">
        <x:f>IF(AF422&gt;0,B422,"")</x:f>
      </x:c>
      <x:c r="AH422" s="9" t="n">
        <x:f>IF(F422&gt;=1,1,(1+tun_LowTiesShare*(AE422-1))/AE422)</x:f>
        <x:v>1</x:v>
      </x:c>
      <x:c r="AI422" s="32" t="n">
        <x:f>(Z422+tun_ElderCommons*INDEX(LM_Elder,G422)*AA422)*AH422</x:f>
        <x:v>10684.442906639275</x:v>
      </x:c>
      <x:c r="AJ422" s="32" t="n">
        <x:f>H422*tun_CommonsCoef*AI422^tun_CommonsExp*INDEX(LM_Commons,G422)</x:f>
        <x:v>24899.294266461122</x:v>
      </x:c>
      <x:c r="AK422" s="32" t="n">
        <x:f>H422*tun_RoleScale*Arch_Roles*(AE422*(INDEX(tun_ElderRolePerSett,G422)*tun_OutElder*INDEX(LM_Elder,G422)+INDEX(tun_ShamanPerSett,G422)*tun_OutShaman)+Z422*(INDEX(tun_PriestShare,G422)*tun_OutPriest+INDEX(tun_ScribeShare,G422)*tun_OutScribe*INDEX(LM_Scribe,G422)+INDEX(tun_ScholarShare,G422)*tun_OutScholar*INDEX(LM_Scholar,G422)+INDEX(tun_ResearcherShare,G422)*tun_OutResearcher*INDEX(LM_Researcher,G422)))</x:f>
        <x:v>7754.806220123001</x:v>
      </x:c>
      <x:c r="AL422" s="32" t="n">
        <x:f>H422*tun_RoleScale*Arch_Roles*AE422*INDEX(tun_MonasteryPerSett,G422)*tun_OutMonastery*INDEX(LM_Monastery,G422)</x:f>
        <x:v>79.2</x:v>
      </x:c>
      <x:c r="AM422" s="32" t="n">
        <x:f>(AJ422+AK422+AL422)/4*INDEX(LM_All,G422)*INDEX(tun_Boon,G422)*Arch_Insight</x:f>
        <x:v>19698.98357170179</x:v>
      </x:c>
      <x:c r="AN422" s="32" t="n">
        <x:f>H422*(tun_KHPerAdult*Z422+tun_KHOfCommons*AJ422/4*INDEX(LM_All,G422))*tun_KHUsable*Arch_KH</x:f>
        <x:v>3088.4465183711955</x:v>
      </x:c>
      <x:c r="AO422" s="32" t="n">
        <x:f>MIN(AP421+AN422,AM422*tun_KHMaxRatio)</x:f>
        <x:v>3088.4465183711955</x:v>
      </x:c>
      <x:c r="AP422" s="32" t="n">
        <x:f>AP421+AN422-AO422</x:f>
        <x:v>0</x:v>
      </x:c>
      <x:c r="AQ422" s="32" t="n">
        <x:f>AM422+AO422</x:f>
        <x:v>22787.430090072983</x:v>
      </x:c>
      <x:c r="AR422" s="10" t="n">
        <x:f>IF(H422=1,INDEX(tun_Req,G422),0)</x:f>
        <x:v>3142139.1800715</x:v>
      </x:c>
      <x:c r="AS422" s="32" t="n">
        <x:f>IF(H422=1,IF(E422=1,AS421-AR421,AS421)+AQ422,0)</x:f>
        <x:v>502142.0925132871</x:v>
      </x:c>
      <x:c r="AT422" s="11" t="n">
        <x:f>IF(AR422&gt;0,MIN(1,AS422/AR422),1)</x:f>
        <x:v>0.15980899117965255</x:v>
      </x:c>
      <x:c r="AU422" s="10" t="n">
        <x:f>AB422/INDEX(tun_RepScale,G422)</x:f>
        <x:v>135.3050916904642</x:v>
      </x:c>
      <x:c r="AV422" s="32" t="n">
        <x:f>AM422*60/tun_SeasonSeconds</x:f>
        <x:v>78795.93428680715</x:v>
      </x:c>
    </x:row>
    <x:row r="423">
      <x:c r="A423" s="8" t="n">
        <x:f>A422+1</x:f>
        <x:v>420</x:v>
      </x:c>
      <x:c r="B423" s="9" t="n">
        <x:f>A423*tun_SeasonSeconds/60</x:f>
        <x:v>105</x:v>
      </x:c>
      <x:c r="C423" s="9" t="n">
        <x:f>A423/4</x:f>
        <x:v>105</x:v>
      </x:c>
      <x:c r="D423" s="8" t="n">
        <x:f>IF(MOD(A423,4)=0,1,0)</x:f>
        <x:v>1</x:v>
      </x:c>
      <x:c r="E423" s="8" t="n">
        <x:f>IF(AND(F422&lt;=9,AS422&gt;=AR422),1,0)</x:f>
        <x:v>0</x:v>
      </x:c>
      <x:c r="F423" s="8" t="n">
        <x:f>MIN(10,F422+E423)</x:f>
        <x:v>7</x:v>
      </x:c>
      <x:c r="G423" s="8" t="n">
        <x:f>MIN(F423,9)+1</x:f>
        <x:v>8</x:v>
      </x:c>
      <x:c r="H423" s="8" t="n">
        <x:f>IF(F423&lt;=9,1,0)</x:f>
        <x:v>1</x:v>
      </x:c>
      <x:c r="I423" s="9" t="n">
        <x:f>MIN(10,F422+IF(AR422&gt;0,MIN(1,AS422/AR422),1))</x:f>
        <x:v>7.159808991179653</x:v>
      </x:c>
      <x:c r="J423" s="32" t="n">
        <x:f>INDEX(tun_FoodCap,G423)*Arch_FoodCap*EXP(tun_CapsByProject*SUMPRODUCT((Cap_Point&lt;=I423)*(Cap_Kind="Food")*Cap_Ln))</x:f>
        <x:v>1030.8296491509448</x:v>
      </x:c>
      <x:c r="K423" s="32" t="n">
        <x:f>J423*MIN(1,tun_LeanBase*EXP(tun_CapsByProject*SUMPRODUCT((Cap_Point&lt;=I423)*(Cap_Kind="Lean")*Cap_Ln)))</x:f>
        <x:v>1030.8296491509448</x:v>
      </x:c>
      <x:c r="L423" s="10" t="n">
        <x:f>INDEX(tun_HousingCap,G423)*EXP(tun_CapsByProject*SUMPRODUCT((Cap_Point&lt;=I423)*(Cap_Kind="Housing")*Cap_Ln))</x:f>
        <x:v>2423.1679699072442</x:v>
      </x:c>
      <x:c r="M423" s="10" t="n">
        <x:f>INDEX(tun_GroupCap,G423)*tun_CohesionFactor*EXP(tun_CapsByProject*SUMPRODUCT((Cap_Point&lt;=I423)*(Cap_Kind="Group")*Cap_Ln))</x:f>
        <x:v>1000000.000000001</x:v>
      </x:c>
      <x:c r="N423" s="32" t="n">
        <x:f>MIN(J423,L423,M423)</x:f>
        <x:v>1030.8296491509448</x:v>
      </x:c>
      <x:c r="O423" s="10" t="n">
        <x:f>AE422*N423</x:f>
        <x:v>15462.444737264172</x:v>
      </x:c>
      <x:c r="P423" s="9" t="n">
        <x:f>MIN(1,(AB422/(AE422*IF(tun_GroupInCrowding=1,N423,MIN(J423,L423))))^tun_CrowdingExp)</x:f>
        <x:v>0.44896850523966353</x:v>
      </x:c>
      <x:c r="Q423" s="9" t="n">
        <x:f>IF(D423=1,INDEX(tun_WinterMult,G423),1)</x:f>
        <x:v>1.08</x:v>
      </x:c>
      <x:c r="R423" s="9" t="n">
        <x:f>H423*Z422*tun_WomenShare*tun_BaseFertility*INDEX(tun_FertMult,G423)*Arch_Fertility*(1-P423)</x:f>
        <x:v>183.03506785985496</x:v>
      </x:c>
      <x:c r="S423" s="9" t="n">
        <x:f>H423*Y422*INDEX(tun_MortChild,G423)/4*Q423</x:f>
        <x:v>31.826083244997392</x:v>
      </x:c>
      <x:c r="T423" s="9" t="n">
        <x:f>H423*Z422*INDEX(tun_MortAdult,G423)*Arch_AdultMort/4*Q423</x:f>
        <x:v>10.762245452482924</x:v>
      </x:c>
      <x:c r="U423" s="9" t="n">
        <x:f>H423*AA422*INDEX(tun_MortElder,G423)/4*Q423</x:f>
        <x:v>17.25761457376662</x:v>
      </x:c>
      <x:c r="V423" s="9" t="n">
        <x:f>H423*MAX(0,AB422-O423)*tun_OvercapLoss</x:f>
        <x:v>0</x:v>
      </x:c>
      <x:c r="W423" s="9" t="n">
        <x:f>H423*Y422/(tun_ChildYears*4)</x:f>
        <x:v>123.81762855974708</x:v>
      </x:c>
      <x:c r="X423" s="9" t="n">
        <x:f>H423*Z422/(tun_AdultYears*4)</x:f>
        <x:v>41.2119192954191</x:v>
      </x:c>
      <x:c r="Y423" s="32" t="n">
        <x:f>Y422+R423-S423-W423-Y422*V423/AB422</x:f>
        <x:v>6961.178555400947</x:v>
      </x:c>
      <x:c r="Z423" s="32" t="n">
        <x:f>Z422+W423-X423-T423-Z422*V423/AB422</x:f>
        <x:v>5182.121456443814</x:v>
      </x:c>
      <x:c r="AA423" s="32" t="n">
        <x:f>AA422+X423-U423-AA422*V423/AB422</x:f>
        <x:v>1510.3982817902677</x:v>
      </x:c>
      <x:c r="AB423" s="10" t="n">
        <x:f>Y423+Z423+AA423</x:f>
        <x:v>13653.698293635027</x:v>
      </x:c>
      <x:c r="AC423" s="8" t="n">
        <x:f>IF(AND(tun_WinterTrigger=1,D423=1,AB422/AE422&gt;=K423),1,0)</x:f>
        <x:v>0</x:v>
      </x:c>
      <x:c r="AD423" s="8" t="n">
        <x:f>H423*IF(AND(OR(AB422/AE422&gt;=tun_FissionTrigger*N423,AC423=1),AB422/AE422*tun_DaughterShare&gt;=tun_MinDaughter),MAX(1,ROUND(AE422*tun_FissionRate,0)),0)</x:f>
        <x:v>5</x:v>
      </x:c>
      <x:c r="AE423" s="8" t="n">
        <x:f>IF(H423=1,MAX(1,MIN(INDEX(tun_Smax,G423),AE422+AD423)),AE422)</x:f>
        <x:v>15</x:v>
      </x:c>
      <x:c r="AF423" s="8" t="n">
        <x:f>MAX(0,AE423-AE422)</x:f>
        <x:v>0</x:v>
      </x:c>
      <x:c r="AG423" s="9" t="str">
        <x:f>IF(AF423&gt;0,B423,"")</x:f>
      </x:c>
      <x:c r="AH423" s="9" t="n">
        <x:f>IF(F423&gt;=1,1,(1+tun_LowTiesShare*(AE423-1))/AE423)</x:f>
        <x:v>1</x:v>
      </x:c>
      <x:c r="AI423" s="32" t="n">
        <x:f>(Z423+tun_ElderCommons*INDEX(LM_Elder,G423)*AA423)*AH423</x:f>
        <x:v>10846.115013157318</x:v>
      </x:c>
      <x:c r="AJ423" s="32" t="n">
        <x:f>H423*tun_CommonsCoef*AI423^tun_CommonsExp*INDEX(LM_Commons,G423)</x:f>
        <x:v>25219.18294589638</x:v>
      </x:c>
      <x:c r="AK423" s="32" t="n">
        <x:f>H423*tun_RoleScale*Arch_Roles*(AE423*(INDEX(tun_ElderRolePerSett,G423)*tun_OutElder*INDEX(LM_Elder,G423)+INDEX(tun_ShamanPerSett,G423)*tun_OutShaman)+Z423*(INDEX(tun_PriestShare,G423)*tun_OutPriest+INDEX(tun_ScribeShare,G423)*tun_OutScribe*INDEX(LM_Scribe,G423)+INDEX(tun_ScholarShare,G423)*tun_OutScholar*INDEX(LM_Scholar,G423)+INDEX(tun_ResearcherShare,G423)*tun_OutResearcher*INDEX(LM_Researcher,G423)))</x:f>
        <x:v>7858.134363515751</x:v>
      </x:c>
      <x:c r="AL423" s="32" t="n">
        <x:f>H423*tun_RoleScale*Arch_Roles*AE423*INDEX(tun_MonasteryPerSett,G423)*tun_OutMonastery*INDEX(LM_Monastery,G423)</x:f>
        <x:v>79.2</x:v>
      </x:c>
      <x:c r="AM423" s="32" t="n">
        <x:f>(AJ423+AK423+AL423)/4*INDEX(LM_All,G423)*INDEX(tun_Boon,G423)*Arch_Insight</x:f>
        <x:v>19953.67653318832</x:v>
      </x:c>
      <x:c r="AN423" s="32" t="n">
        <x:f>H423*(tun_KHPerAdult*Z423+tun_KHOfCommons*AJ423/4*INDEX(LM_All,G423))*tun_KHUsable*Arch_KH</x:f>
        <x:v>3128.1247143752867</x:v>
      </x:c>
      <x:c r="AO423" s="32" t="n">
        <x:f>MIN(AP422+AN423,AM423*tun_KHMaxRatio)</x:f>
        <x:v>3128.1247143752867</x:v>
      </x:c>
      <x:c r="AP423" s="32" t="n">
        <x:f>AP422+AN423-AO423</x:f>
        <x:v>0</x:v>
      </x:c>
      <x:c r="AQ423" s="32" t="n">
        <x:f>AM423+AO423</x:f>
        <x:v>23081.80124756361</x:v>
      </x:c>
      <x:c r="AR423" s="10" t="n">
        <x:f>IF(H423=1,INDEX(tun_Req,G423),0)</x:f>
        <x:v>3142139.1800715</x:v>
      </x:c>
      <x:c r="AS423" s="32" t="n">
        <x:f>IF(H423=1,IF(E423=1,AS422-AR422,AS422)+AQ423,0)</x:f>
        <x:v>525223.8937608507</x:v>
      </x:c>
      <x:c r="AT423" s="11" t="n">
        <x:f>IF(AR423&gt;0,MIN(1,AS423/AR423),1)</x:f>
        <x:v>0.16715487878194468</x:v>
      </x:c>
      <x:c r="AU423" s="10" t="n">
        <x:f>AB423/INDEX(tun_RepScale,G423)</x:f>
        <x:v>136.53698293635026</x:v>
      </x:c>
      <x:c r="AV423" s="32" t="n">
        <x:f>AM423*60/tun_SeasonSeconds</x:f>
        <x:v>79814.70613275329</x:v>
      </x:c>
    </x:row>
    <x:row r="424">
      <x:c r="A424" s="8" t="n">
        <x:f>A423+1</x:f>
        <x:v>421</x:v>
      </x:c>
      <x:c r="B424" s="9" t="n">
        <x:f>A424*tun_SeasonSeconds/60</x:f>
        <x:v>105.25</x:v>
      </x:c>
      <x:c r="C424" s="9" t="n">
        <x:f>A424/4</x:f>
        <x:v>105.25</x:v>
      </x:c>
      <x:c r="D424" s="8" t="n">
        <x:f>IF(MOD(A424,4)=0,1,0)</x:f>
        <x:v>0</x:v>
      </x:c>
      <x:c r="E424" s="8" t="n">
        <x:f>IF(AND(F423&lt;=9,AS423&gt;=AR423),1,0)</x:f>
        <x:v>0</x:v>
      </x:c>
      <x:c r="F424" s="8" t="n">
        <x:f>MIN(10,F423+E424)</x:f>
        <x:v>7</x:v>
      </x:c>
      <x:c r="G424" s="8" t="n">
        <x:f>MIN(F424,9)+1</x:f>
        <x:v>8</x:v>
      </x:c>
      <x:c r="H424" s="8" t="n">
        <x:f>IF(F424&lt;=9,1,0)</x:f>
        <x:v>1</x:v>
      </x:c>
      <x:c r="I424" s="9" t="n">
        <x:f>MIN(10,F423+IF(AR423&gt;0,MIN(1,AS423/AR423),1))</x:f>
        <x:v>7.167154878781945</x:v>
      </x:c>
      <x:c r="J424" s="32" t="n">
        <x:f>INDEX(tun_FoodCap,G424)*Arch_FoodCap*EXP(tun_CapsByProject*SUMPRODUCT((Cap_Point&lt;=I424)*(Cap_Kind="Food")*Cap_Ln))</x:f>
        <x:v>1030.8296491509448</x:v>
      </x:c>
      <x:c r="K424" s="32" t="n">
        <x:f>J424*MIN(1,tun_LeanBase*EXP(tun_CapsByProject*SUMPRODUCT((Cap_Point&lt;=I424)*(Cap_Kind="Lean")*Cap_Ln)))</x:f>
        <x:v>1030.8296491509448</x:v>
      </x:c>
      <x:c r="L424" s="10" t="n">
        <x:f>INDEX(tun_HousingCap,G424)*EXP(tun_CapsByProject*SUMPRODUCT((Cap_Point&lt;=I424)*(Cap_Kind="Housing")*Cap_Ln))</x:f>
        <x:v>2423.1679699072442</x:v>
      </x:c>
      <x:c r="M424" s="10" t="n">
        <x:f>INDEX(tun_GroupCap,G424)*tun_CohesionFactor*EXP(tun_CapsByProject*SUMPRODUCT((Cap_Point&lt;=I424)*(Cap_Kind="Group")*Cap_Ln))</x:f>
        <x:v>1000000.000000001</x:v>
      </x:c>
      <x:c r="N424" s="32" t="n">
        <x:f>MIN(J424,L424,M424)</x:f>
        <x:v>1030.8296491509448</x:v>
      </x:c>
      <x:c r="O424" s="10" t="n">
        <x:f>AE423*N424</x:f>
        <x:v>15462.444737264172</x:v>
      </x:c>
      <x:c r="P424" s="9" t="n">
        <x:f>MIN(1,(AB423/(AE423*IF(tun_GroupInCrowding=1,N424,MIN(J424,L424))))^tun_CrowdingExp)</x:f>
        <x:v>0.4740594945734885</x:v>
      </x:c>
      <x:c r="Q424" s="9" t="n">
        <x:f>IF(D424=1,INDEX(tun_WinterMult,G424),1)</x:f>
        <x:v>1</x:v>
      </x:c>
      <x:c r="R424" s="9" t="n">
        <x:f>H424*Z423*tun_WomenShare*tun_BaseFertility*INDEX(tun_FertMult,G424)*Arch_Fertility*(1-P424)</x:f>
        <x:v>177.1566925689359</x:v>
      </x:c>
      <x:c r="S424" s="9" t="n">
        <x:f>H424*Y423*INDEX(tun_MortChild,G424)/4*Q424</x:f>
        <x:v>29.585008860454025</x:v>
      </x:c>
      <x:c r="T424" s="9" t="n">
        <x:f>H424*Z423*INDEX(tun_MortAdult,G424)*Arch_AdultMort/4*Q424</x:f>
        <x:v>10.105136840065438</x:v>
      </x:c>
      <x:c r="U424" s="9" t="n">
        <x:f>H424*AA423*INDEX(tun_MortElder,G424)/4*Q424</x:f>
        <x:v>16.236781529245377</x:v>
      </x:c>
      <x:c r="V424" s="9" t="n">
        <x:f>H424*MAX(0,AB423-O424)*tun_OvercapLoss</x:f>
        <x:v>0</x:v>
      </x:c>
      <x:c r="W424" s="9" t="n">
        <x:f>H424*Y423/(tun_ChildYears*4)</x:f>
        <x:v>124.30675991787405</x:v>
      </x:c>
      <x:c r="X424" s="9" t="n">
        <x:f>H424*Z423/(tun_AdultYears*4)</x:f>
        <x:v>41.79130206809528</x:v>
      </x:c>
      <x:c r="Y424" s="32" t="n">
        <x:f>Y423+R424-S424-W424-Y423*V424/AB423</x:f>
        <x:v>6984.443479191555</x:v>
      </x:c>
      <x:c r="Z424" s="32" t="n">
        <x:f>Z423+W424-X424-T424-Z423*V424/AB423</x:f>
        <x:v>5254.531777453527</x:v>
      </x:c>
      <x:c r="AA424" s="32" t="n">
        <x:f>AA423+X424-U424-AA423*V424/AB423</x:f>
        <x:v>1535.9528023291177</x:v>
      </x:c>
      <x:c r="AB424" s="10" t="n">
        <x:f>Y424+Z424+AA424</x:f>
        <x:v>13774.928058974197</x:v>
      </x:c>
      <x:c r="AC424" s="8" t="n">
        <x:f>IF(AND(tun_WinterTrigger=1,D424=1,AB423/AE423&gt;=K424),1,0)</x:f>
        <x:v>0</x:v>
      </x:c>
      <x:c r="AD424" s="8" t="n">
        <x:f>H424*IF(AND(OR(AB423/AE423&gt;=tun_FissionTrigger*N424,AC424=1),AB423/AE423*tun_DaughterShare&gt;=tun_MinDaughter),MAX(1,ROUND(AE423*tun_FissionRate,0)),0)</x:f>
        <x:v>5</x:v>
      </x:c>
      <x:c r="AE424" s="8" t="n">
        <x:f>IF(H424=1,MAX(1,MIN(INDEX(tun_Smax,G424),AE423+AD424)),AE423)</x:f>
        <x:v>15</x:v>
      </x:c>
      <x:c r="AF424" s="8" t="n">
        <x:f>MAX(0,AE424-AE423)</x:f>
        <x:v>0</x:v>
      </x:c>
      <x:c r="AG424" s="9" t="str">
        <x:f>IF(AF424&gt;0,B424,"")</x:f>
      </x:c>
      <x:c r="AH424" s="9" t="n">
        <x:f>IF(F424&gt;=1,1,(1+tun_LowTiesShare*(AE424-1))/AE424)</x:f>
        <x:v>1</x:v>
      </x:c>
      <x:c r="AI424" s="32" t="n">
        <x:f>(Z424+tun_ElderCommons*INDEX(LM_Elder,G424)*AA424)*AH424</x:f>
        <x:v>11014.35478618772</x:v>
      </x:c>
      <x:c r="AJ424" s="32" t="n">
        <x:f>H424*tun_CommonsCoef*AI424^tun_CommonsExp*INDEX(LM_Commons,G424)</x:f>
        <x:v>25551.30816373512</x:v>
      </x:c>
      <x:c r="AK424" s="32" t="n">
        <x:f>H424*tun_RoleScale*Arch_Roles*(AE424*(INDEX(tun_ElderRolePerSett,G424)*tun_OutElder*INDEX(LM_Elder,G424)+INDEX(tun_ShamanPerSett,G424)*tun_OutShaman)+Z424*(INDEX(tun_PriestShare,G424)*tun_OutPriest+INDEX(tun_ScribeShare,G424)*tun_OutScribe*INDEX(LM_Scribe,G424)+INDEX(tun_ScholarShare,G424)*tun_OutScholar*INDEX(LM_Scholar,G424)+INDEX(tun_ResearcherShare,G424)*tun_OutResearcher*INDEX(LM_Researcher,G424)))</x:f>
        <x:v>7962.277783604761</x:v>
      </x:c>
      <x:c r="AL424" s="32" t="n">
        <x:f>H424*tun_RoleScale*Arch_Roles*AE424*INDEX(tun_MonasteryPerSett,G424)*tun_OutMonastery*INDEX(LM_Monastery,G424)</x:f>
        <x:v>79.2</x:v>
      </x:c>
      <x:c r="AM424" s="32" t="n">
        <x:f>(AJ424+AK424+AL424)/4*INDEX(LM_All,G424)*INDEX(tun_Boon,G424)*Arch_Insight</x:f>
        <x:v>20216.22411023176</x:v>
      </x:c>
      <x:c r="AN424" s="32" t="n">
        <x:f>H424*(tun_KHPerAdult*Z424+tun_KHOfCommons*AJ424/4*INDEX(LM_All,G424))*tun_KHUsable*Arch_KH</x:f>
        <x:v>3169.32070016188</x:v>
      </x:c>
      <x:c r="AO424" s="32" t="n">
        <x:f>MIN(AP423+AN424,AM424*tun_KHMaxRatio)</x:f>
        <x:v>3169.32070016188</x:v>
      </x:c>
      <x:c r="AP424" s="32" t="n">
        <x:f>AP423+AN424-AO424</x:f>
        <x:v>0</x:v>
      </x:c>
      <x:c r="AQ424" s="32" t="n">
        <x:f>AM424+AO424</x:f>
        <x:v>23385.54481039364</x:v>
      </x:c>
      <x:c r="AR424" s="10" t="n">
        <x:f>IF(H424=1,INDEX(tun_Req,G424),0)</x:f>
        <x:v>3142139.1800715</x:v>
      </x:c>
      <x:c r="AS424" s="32" t="n">
        <x:f>IF(H424=1,IF(E424=1,AS423-AR423,AS423)+AQ424,0)</x:f>
        <x:v>548609.4385712442</x:v>
      </x:c>
      <x:c r="AT424" s="11" t="n">
        <x:f>IF(AR424&gt;0,MIN(1,AS424/AR424),1)</x:f>
        <x:v>0.1745974341463641</x:v>
      </x:c>
      <x:c r="AU424" s="10" t="n">
        <x:f>AB424/INDEX(tun_RepScale,G424)</x:f>
        <x:v>137.74928058974197</x:v>
      </x:c>
      <x:c r="AV424" s="32" t="n">
        <x:f>AM424*60/tun_SeasonSeconds</x:f>
        <x:v>80864.89644092704</x:v>
      </x:c>
    </x:row>
    <x:row r="425">
      <x:c r="A425" s="8" t="n">
        <x:f>A424+1</x:f>
        <x:v>422</x:v>
      </x:c>
      <x:c r="B425" s="9" t="n">
        <x:f>A425*tun_SeasonSeconds/60</x:f>
        <x:v>105.5</x:v>
      </x:c>
      <x:c r="C425" s="9" t="n">
        <x:f>A425/4</x:f>
        <x:v>105.5</x:v>
      </x:c>
      <x:c r="D425" s="8" t="n">
        <x:f>IF(MOD(A425,4)=0,1,0)</x:f>
        <x:v>0</x:v>
      </x:c>
      <x:c r="E425" s="8" t="n">
        <x:f>IF(AND(F424&lt;=9,AS424&gt;=AR424),1,0)</x:f>
        <x:v>0</x:v>
      </x:c>
      <x:c r="F425" s="8" t="n">
        <x:f>MIN(10,F424+E425)</x:f>
        <x:v>7</x:v>
      </x:c>
      <x:c r="G425" s="8" t="n">
        <x:f>MIN(F425,9)+1</x:f>
        <x:v>8</x:v>
      </x:c>
      <x:c r="H425" s="8" t="n">
        <x:f>IF(F425&lt;=9,1,0)</x:f>
        <x:v>1</x:v>
      </x:c>
      <x:c r="I425" s="9" t="n">
        <x:f>MIN(10,F424+IF(AR424&gt;0,MIN(1,AS424/AR424),1))</x:f>
        <x:v>7.1745974341463645</x:v>
      </x:c>
      <x:c r="J425" s="32" t="n">
        <x:f>INDEX(tun_FoodCap,G425)*Arch_FoodCap*EXP(tun_CapsByProject*SUMPRODUCT((Cap_Point&lt;=I425)*(Cap_Kind="Food")*Cap_Ln))</x:f>
        <x:v>1030.8296491509448</x:v>
      </x:c>
      <x:c r="K425" s="32" t="n">
        <x:f>J425*MIN(1,tun_LeanBase*EXP(tun_CapsByProject*SUMPRODUCT((Cap_Point&lt;=I425)*(Cap_Kind="Lean")*Cap_Ln)))</x:f>
        <x:v>1030.8296491509448</x:v>
      </x:c>
      <x:c r="L425" s="10" t="n">
        <x:f>INDEX(tun_HousingCap,G425)*EXP(tun_CapsByProject*SUMPRODUCT((Cap_Point&lt;=I425)*(Cap_Kind="Housing")*Cap_Ln))</x:f>
        <x:v>2423.1679699072442</x:v>
      </x:c>
      <x:c r="M425" s="10" t="n">
        <x:f>INDEX(tun_GroupCap,G425)*tun_CohesionFactor*EXP(tun_CapsByProject*SUMPRODUCT((Cap_Point&lt;=I425)*(Cap_Kind="Group")*Cap_Ln))</x:f>
        <x:v>1000000.000000001</x:v>
      </x:c>
      <x:c r="N425" s="32" t="n">
        <x:f>MIN(J425,L425,M425)</x:f>
        <x:v>1030.8296491509448</x:v>
      </x:c>
      <x:c r="O425" s="10" t="n">
        <x:f>AE424*N425</x:f>
        <x:v>15462.444737264172</x:v>
      </x:c>
      <x:c r="P425" s="9" t="n">
        <x:f>MIN(1,(AB424/(AE424*IF(tun_GroupInCrowding=1,N425,MIN(J425,L425))))^tun_CrowdingExp)</x:f>
        <x:v>0.49988151047790036</x:v>
      </x:c>
      <x:c r="Q425" s="9" t="n">
        <x:f>IF(D425=1,INDEX(tun_WinterMult,G425),1)</x:f>
        <x:v>1</x:v>
      </x:c>
      <x:c r="R425" s="9" t="n">
        <x:f>H425*Z424*tun_WomenShare*tun_BaseFertility*INDEX(tun_FertMult,G425)*Arch_Fertility*(1-P425)</x:f>
        <x:v>170.81275221958552</x:v>
      </x:c>
      <x:c r="S425" s="9" t="n">
        <x:f>H425*Y424*INDEX(tun_MortChild,G425)/4*Q425</x:f>
        <x:v>29.68388478656411</x:v>
      </x:c>
      <x:c r="T425" s="9" t="n">
        <x:f>H425*Z424*INDEX(tun_MortAdult,G425)*Arch_AdultMort/4*Q425</x:f>
        <x:v>10.246336966034377</x:v>
      </x:c>
      <x:c r="U425" s="9" t="n">
        <x:f>H425*AA424*INDEX(tun_MortElder,G425)/4*Q425</x:f>
        <x:v>16.511492625038013</x:v>
      </x:c>
      <x:c r="V425" s="9" t="n">
        <x:f>H425*MAX(0,AB424-O425)*tun_OvercapLoss</x:f>
        <x:v>0</x:v>
      </x:c>
      <x:c r="W425" s="9" t="n">
        <x:f>H425*Y424/(tun_ChildYears*4)</x:f>
        <x:v>124.72220498556348</x:v>
      </x:c>
      <x:c r="X425" s="9" t="n">
        <x:f>H425*Z424/(tun_AdultYears*4)</x:f>
        <x:v>42.375256269786505</x:v>
      </x:c>
      <x:c r="Y425" s="32" t="n">
        <x:f>Y424+R425-S425-W425-Y424*V425/AB424</x:f>
        <x:v>7000.850141639013</x:v>
      </x:c>
      <x:c r="Z425" s="32" t="n">
        <x:f>Z424+W425-X425-T425-Z424*V425/AB424</x:f>
        <x:v>5326.63238920327</x:v>
      </x:c>
      <x:c r="AA425" s="32" t="n">
        <x:f>AA424+X425-U425-AA424*V425/AB424</x:f>
        <x:v>1561.816565973866</x:v>
      </x:c>
      <x:c r="AB425" s="10" t="n">
        <x:f>Y425+Z425+AA425</x:f>
        <x:v>13889.299096816148</x:v>
      </x:c>
      <x:c r="AC425" s="8" t="n">
        <x:f>IF(AND(tun_WinterTrigger=1,D425=1,AB424/AE424&gt;=K425),1,0)</x:f>
        <x:v>0</x:v>
      </x:c>
      <x:c r="AD425" s="8" t="n">
        <x:f>H425*IF(AND(OR(AB424/AE424&gt;=tun_FissionTrigger*N425,AC425=1),AB424/AE424*tun_DaughterShare&gt;=tun_MinDaughter),MAX(1,ROUND(AE424*tun_FissionRate,0)),0)</x:f>
        <x:v>5</x:v>
      </x:c>
      <x:c r="AE425" s="8" t="n">
        <x:f>IF(H425=1,MAX(1,MIN(INDEX(tun_Smax,G425),AE424+AD425)),AE424)</x:f>
        <x:v>15</x:v>
      </x:c>
      <x:c r="AF425" s="8" t="n">
        <x:f>MAX(0,AE425-AE424)</x:f>
        <x:v>0</x:v>
      </x:c>
      <x:c r="AG425" s="9" t="str">
        <x:f>IF(AF425&gt;0,B425,"")</x:f>
      </x:c>
      <x:c r="AH425" s="9" t="n">
        <x:f>IF(F425&gt;=1,1,(1+tun_LowTiesShare*(AE425-1))/AE425)</x:f>
        <x:v>1</x:v>
      </x:c>
      <x:c r="AI425" s="32" t="n">
        <x:f>(Z425+tun_ElderCommons*INDEX(LM_Elder,G425)*AA425)*AH425</x:f>
        <x:v>11183.444511605267</x:v>
      </x:c>
      <x:c r="AJ425" s="32" t="n">
        <x:f>H425*tun_CommonsCoef*AI425^tun_CommonsExp*INDEX(LM_Commons,G425)</x:f>
        <x:v>25884.345418461548</x:v>
      </x:c>
      <x:c r="AK425" s="32" t="n">
        <x:f>H425*tun_RoleScale*Arch_Roles*(AE425*(INDEX(tun_ElderRolePerSett,G425)*tun_OutElder*INDEX(LM_Elder,G425)+INDEX(tun_ShamanPerSett,G425)*tun_OutShaman)+Z425*(INDEX(tun_PriestShare,G425)*tun_OutPriest+INDEX(tun_ScribeShare,G425)*tun_OutScribe*INDEX(LM_Scribe,G425)+INDEX(tun_ScholarShare,G425)*tun_OutScholar*INDEX(LM_Scholar,G425)+INDEX(tun_ResearcherShare,G425)*tun_OutResearcher*INDEX(LM_Researcher,G425)))</x:f>
        <x:v>8065.9757674477105</x:v>
      </x:c>
      <x:c r="AL425" s="32" t="n">
        <x:f>H425*tun_RoleScale*Arch_Roles*AE425*INDEX(tun_MonasteryPerSett,G425)*tun_OutMonastery*INDEX(LM_Monastery,G425)</x:f>
        <x:v>79.2</x:v>
      </x:c>
      <x:c r="AM425" s="32" t="n">
        <x:f>(AJ425+AK425+AL425)/4*INDEX(LM_All,G425)*INDEX(tun_Boon,G425)*Arch_Insight</x:f>
        <x:v>20479.052488729296</x:v>
      </x:c>
      <x:c r="AN425" s="32" t="n">
        <x:f>H425*(tun_KHPerAdult*Z425+tun_KHOfCommons*AJ425/4*INDEX(LM_All,G425))*tun_KHUsable*Arch_KH</x:f>
        <x:v>3210.62981273513</x:v>
      </x:c>
      <x:c r="AO425" s="32" t="n">
        <x:f>MIN(AP424+AN425,AM425*tun_KHMaxRatio)</x:f>
        <x:v>3210.62981273513</x:v>
      </x:c>
      <x:c r="AP425" s="32" t="n">
        <x:f>AP424+AN425-AO425</x:f>
        <x:v>0</x:v>
      </x:c>
      <x:c r="AQ425" s="32" t="n">
        <x:f>AM425+AO425</x:f>
        <x:v>23689.682301464425</x:v>
      </x:c>
      <x:c r="AR425" s="10" t="n">
        <x:f>IF(H425=1,INDEX(tun_Req,G425),0)</x:f>
        <x:v>3142139.1800715</x:v>
      </x:c>
      <x:c r="AS425" s="32" t="n">
        <x:f>IF(H425=1,IF(E425=1,AS424-AR424,AS424)+AQ425,0)</x:f>
        <x:v>572299.1208727086</x:v>
      </x:c>
      <x:c r="AT425" s="11" t="n">
        <x:f>IF(AR425&gt;0,MIN(1,AS425/AR425),1)</x:f>
        <x:v>0.18213678264235444</x:v>
      </x:c>
      <x:c r="AU425" s="10" t="n">
        <x:f>AB425/INDEX(tun_RepScale,G425)</x:f>
        <x:v>138.89299096816148</x:v>
      </x:c>
      <x:c r="AV425" s="32" t="n">
        <x:f>AM425*60/tun_SeasonSeconds</x:f>
        <x:v>81916.20995491718</x:v>
      </x:c>
    </x:row>
    <x:row r="426">
      <x:c r="A426" s="8" t="n">
        <x:f>A425+1</x:f>
        <x:v>423</x:v>
      </x:c>
      <x:c r="B426" s="9" t="n">
        <x:f>A426*tun_SeasonSeconds/60</x:f>
        <x:v>105.75</x:v>
      </x:c>
      <x:c r="C426" s="9" t="n">
        <x:f>A426/4</x:f>
        <x:v>105.75</x:v>
      </x:c>
      <x:c r="D426" s="8" t="n">
        <x:f>IF(MOD(A426,4)=0,1,0)</x:f>
        <x:v>0</x:v>
      </x:c>
      <x:c r="E426" s="8" t="n">
        <x:f>IF(AND(F425&lt;=9,AS425&gt;=AR425),1,0)</x:f>
        <x:v>0</x:v>
      </x:c>
      <x:c r="F426" s="8" t="n">
        <x:f>MIN(10,F425+E426)</x:f>
        <x:v>7</x:v>
      </x:c>
      <x:c r="G426" s="8" t="n">
        <x:f>MIN(F426,9)+1</x:f>
        <x:v>8</x:v>
      </x:c>
      <x:c r="H426" s="8" t="n">
        <x:f>IF(F426&lt;=9,1,0)</x:f>
        <x:v>1</x:v>
      </x:c>
      <x:c r="I426" s="9" t="n">
        <x:f>MIN(10,F425+IF(AR425&gt;0,MIN(1,AS425/AR425),1))</x:f>
        <x:v>7.182136782642354</x:v>
      </x:c>
      <x:c r="J426" s="32" t="n">
        <x:f>INDEX(tun_FoodCap,G426)*Arch_FoodCap*EXP(tun_CapsByProject*SUMPRODUCT((Cap_Point&lt;=I426)*(Cap_Kind="Food")*Cap_Ln))</x:f>
        <x:v>1030.8296491509448</x:v>
      </x:c>
      <x:c r="K426" s="32" t="n">
        <x:f>J426*MIN(1,tun_LeanBase*EXP(tun_CapsByProject*SUMPRODUCT((Cap_Point&lt;=I426)*(Cap_Kind="Lean")*Cap_Ln)))</x:f>
        <x:v>1030.8296491509448</x:v>
      </x:c>
      <x:c r="L426" s="10" t="n">
        <x:f>INDEX(tun_HousingCap,G426)*EXP(tun_CapsByProject*SUMPRODUCT((Cap_Point&lt;=I426)*(Cap_Kind="Housing")*Cap_Ln))</x:f>
        <x:v>2423.1679699072442</x:v>
      </x:c>
      <x:c r="M426" s="10" t="n">
        <x:f>INDEX(tun_GroupCap,G426)*tun_CohesionFactor*EXP(tun_CapsByProject*SUMPRODUCT((Cap_Point&lt;=I426)*(Cap_Kind="Group")*Cap_Ln))</x:f>
        <x:v>1000000.000000001</x:v>
      </x:c>
      <x:c r="N426" s="32" t="n">
        <x:f>MIN(J426,L426,M426)</x:f>
        <x:v>1030.8296491509448</x:v>
      </x:c>
      <x:c r="O426" s="10" t="n">
        <x:f>AE425*N426</x:f>
        <x:v>15462.444737264172</x:v>
      </x:c>
      <x:c r="P426" s="9" t="n">
        <x:f>MIN(1,(AB425/(AE425*IF(tun_GroupInCrowding=1,N426,MIN(J426,L426))))^tun_CrowdingExp)</x:f>
        <x:v>0.5253067951462903</x:v>
      </x:c>
      <x:c r="Q426" s="9" t="n">
        <x:f>IF(D426=1,INDEX(tun_WinterMult,G426),1)</x:f>
        <x:v>1</x:v>
      </x:c>
      <x:c r="R426" s="9" t="n">
        <x:f>H426*Z425*tun_WomenShare*tun_BaseFertility*INDEX(tun_FertMult,G426)*Arch_Fertility*(1-P426)</x:f>
        <x:v>164.35355299405074</x:v>
      </x:c>
      <x:c r="S426" s="9" t="n">
        <x:f>H426*Y425*INDEX(tun_MortChild,G426)/4*Q426</x:f>
        <x:v>29.753613101965804</x:v>
      </x:c>
      <x:c r="T426" s="9" t="n">
        <x:f>H426*Z425*INDEX(tun_MortAdult,G426)*Arch_AdultMort/4*Q426</x:f>
        <x:v>10.386933158946375</x:v>
      </x:c>
      <x:c r="U426" s="9" t="n">
        <x:f>H426*AA425*INDEX(tun_MortElder,G426)/4*Q426</x:f>
        <x:v>16.78952808421906</x:v>
      </x:c>
      <x:c r="V426" s="9" t="n">
        <x:f>H426*MAX(0,AB425-O426)*tun_OvercapLoss</x:f>
        <x:v>0</x:v>
      </x:c>
      <x:c r="W426" s="9" t="n">
        <x:f>H426*Y425/(tun_ChildYears*4)</x:f>
        <x:v>125.01518110069665</x:v>
      </x:c>
      <x:c r="X426" s="9" t="n">
        <x:f>H426*Z425/(tun_AdultYears*4)</x:f>
        <x:v>42.9567128161554</x:v>
      </x:c>
      <x:c r="Y426" s="32" t="n">
        <x:f>Y425+R426-S426-W426-Y425*V426/AB425</x:f>
        <x:v>7010.434900430401</x:v>
      </x:c>
      <x:c r="Z426" s="32" t="n">
        <x:f>Z425+W426-X426-T426-Z425*V426/AB425</x:f>
        <x:v>5398.303924328864</x:v>
      </x:c>
      <x:c r="AA426" s="32" t="n">
        <x:f>AA425+X426-U426-AA425*V426/AB425</x:f>
        <x:v>1587.9837507058025</x:v>
      </x:c>
      <x:c r="AB426" s="10" t="n">
        <x:f>Y426+Z426+AA426</x:f>
        <x:v>13996.722575465066</x:v>
      </x:c>
      <x:c r="AC426" s="8" t="n">
        <x:f>IF(AND(tun_WinterTrigger=1,D426=1,AB425/AE425&gt;=K426),1,0)</x:f>
        <x:v>0</x:v>
      </x:c>
      <x:c r="AD426" s="8" t="n">
        <x:f>H426*IF(AND(OR(AB425/AE425&gt;=tun_FissionTrigger*N426,AC426=1),AB425/AE425*tun_DaughterShare&gt;=tun_MinDaughter),MAX(1,ROUND(AE425*tun_FissionRate,0)),0)</x:f>
        <x:v>5</x:v>
      </x:c>
      <x:c r="AE426" s="8" t="n">
        <x:f>IF(H426=1,MAX(1,MIN(INDEX(tun_Smax,G426),AE425+AD426)),AE425)</x:f>
        <x:v>15</x:v>
      </x:c>
      <x:c r="AF426" s="8" t="n">
        <x:f>MAX(0,AE426-AE425)</x:f>
        <x:v>0</x:v>
      </x:c>
      <x:c r="AG426" s="9" t="str">
        <x:f>IF(AF426&gt;0,B426,"")</x:f>
      </x:c>
      <x:c r="AH426" s="9" t="n">
        <x:f>IF(F426&gt;=1,1,(1+tun_LowTiesShare*(AE426-1))/AE426)</x:f>
        <x:v>1</x:v>
      </x:c>
      <x:c r="AI426" s="32" t="n">
        <x:f>(Z426+tun_ElderCommons*INDEX(LM_Elder,G426)*AA426)*AH426</x:f>
        <x:v>11353.242989475624</x:v>
      </x:c>
      <x:c r="AJ426" s="32" t="n">
        <x:f>H426*tun_CommonsCoef*AI426^tun_CommonsExp*INDEX(LM_Commons,G426)</x:f>
        <x:v>26218.019406290212</x:v>
      </x:c>
      <x:c r="AK426" s="32" t="n">
        <x:f>H426*tun_RoleScale*Arch_Roles*(AE426*(INDEX(tun_ElderRolePerSett,G426)*tun_OutElder*INDEX(LM_Elder,G426)+INDEX(tun_ShamanPerSett,G426)*tun_OutShaman)+Z426*(INDEX(tun_PriestShare,G426)*tun_OutPriest+INDEX(tun_ScribeShare,G426)*tun_OutScribe*INDEX(LM_Scribe,G426)+INDEX(tun_ScholarShare,G426)*tun_OutScholar*INDEX(LM_Scholar,G426)+INDEX(tun_ResearcherShare,G426)*tun_OutResearcher*INDEX(LM_Researcher,G426)))</x:f>
        <x:v>8169.056636126746</x:v>
      </x:c>
      <x:c r="AL426" s="32" t="n">
        <x:f>H426*tun_RoleScale*Arch_Roles*AE426*INDEX(tun_MonasteryPerSett,G426)*tun_OutMonastery*INDEX(LM_Monastery,G426)</x:f>
        <x:v>79.2</x:v>
      </x:c>
      <x:c r="AM426" s="32" t="n">
        <x:f>(AJ426+AK426+AL426)/4*INDEX(LM_All,G426)*INDEX(tun_Boon,G426)*Arch_Insight</x:f>
        <x:v>20741.892673352057</x:v>
      </x:c>
      <x:c r="AN426" s="32" t="n">
        <x:f>H426*(tun_KHPerAdult*Z426+tun_KHOfCommons*AJ426/4*INDEX(LM_All,G426))*tun_KHUsable*Arch_KH</x:f>
        <x:v>3252.0179040983694</x:v>
      </x:c>
      <x:c r="AO426" s="32" t="n">
        <x:f>MIN(AP425+AN426,AM426*tun_KHMaxRatio)</x:f>
        <x:v>3252.0179040983694</x:v>
      </x:c>
      <x:c r="AP426" s="32" t="n">
        <x:f>AP425+AN426-AO426</x:f>
        <x:v>0</x:v>
      </x:c>
      <x:c r="AQ426" s="32" t="n">
        <x:f>AM426+AO426</x:f>
        <x:v>23993.910577450428</x:v>
      </x:c>
      <x:c r="AR426" s="10" t="n">
        <x:f>IF(H426=1,INDEX(tun_Req,G426),0)</x:f>
        <x:v>3142139.1800715</x:v>
      </x:c>
      <x:c r="AS426" s="32" t="n">
        <x:f>IF(H426=1,IF(E426=1,AS425-AR425,AS425)+AQ426,0)</x:f>
        <x:v>596293.031450159</x:v>
      </x:c>
      <x:c r="AT426" s="11" t="n">
        <x:f>IF(AR426&gt;0,MIN(1,AS426/AR426),1)</x:f>
        <x:v>0.1897729531626254</x:v>
      </x:c>
      <x:c r="AU426" s="10" t="n">
        <x:f>AB426/INDEX(tun_RepScale,G426)</x:f>
        <x:v>139.96722575465066</x:v>
      </x:c>
      <x:c r="AV426" s="32" t="n">
        <x:f>AM426*60/tun_SeasonSeconds</x:f>
        <x:v>82967.57069340823</x:v>
      </x:c>
    </x:row>
    <x:row r="427">
      <x:c r="A427" s="8" t="n">
        <x:f>A426+1</x:f>
        <x:v>424</x:v>
      </x:c>
      <x:c r="B427" s="9" t="n">
        <x:f>A427*tun_SeasonSeconds/60</x:f>
        <x:v>106</x:v>
      </x:c>
      <x:c r="C427" s="9" t="n">
        <x:f>A427/4</x:f>
        <x:v>106</x:v>
      </x:c>
      <x:c r="D427" s="8" t="n">
        <x:f>IF(MOD(A427,4)=0,1,0)</x:f>
        <x:v>1</x:v>
      </x:c>
      <x:c r="E427" s="8" t="n">
        <x:f>IF(AND(F426&lt;=9,AS426&gt;=AR426),1,0)</x:f>
        <x:v>0</x:v>
      </x:c>
      <x:c r="F427" s="8" t="n">
        <x:f>MIN(10,F426+E427)</x:f>
        <x:v>7</x:v>
      </x:c>
      <x:c r="G427" s="8" t="n">
        <x:f>MIN(F427,9)+1</x:f>
        <x:v>8</x:v>
      </x:c>
      <x:c r="H427" s="8" t="n">
        <x:f>IF(F427&lt;=9,1,0)</x:f>
        <x:v>1</x:v>
      </x:c>
      <x:c r="I427" s="9" t="n">
        <x:f>MIN(10,F426+IF(AR426&gt;0,MIN(1,AS426/AR426),1))</x:f>
        <x:v>7.189772953162626</x:v>
      </x:c>
      <x:c r="J427" s="32" t="n">
        <x:f>INDEX(tun_FoodCap,G427)*Arch_FoodCap*EXP(tun_CapsByProject*SUMPRODUCT((Cap_Point&lt;=I427)*(Cap_Kind="Food")*Cap_Ln))</x:f>
        <x:v>1030.8296491509448</x:v>
      </x:c>
      <x:c r="K427" s="32" t="n">
        <x:f>J427*MIN(1,tun_LeanBase*EXP(tun_CapsByProject*SUMPRODUCT((Cap_Point&lt;=I427)*(Cap_Kind="Lean")*Cap_Ln)))</x:f>
        <x:v>1030.8296491509448</x:v>
      </x:c>
      <x:c r="L427" s="10" t="n">
        <x:f>INDEX(tun_HousingCap,G427)*EXP(tun_CapsByProject*SUMPRODUCT((Cap_Point&lt;=I427)*(Cap_Kind="Housing")*Cap_Ln))</x:f>
        <x:v>2423.1679699072442</x:v>
      </x:c>
      <x:c r="M427" s="10" t="n">
        <x:f>INDEX(tun_GroupCap,G427)*tun_CohesionFactor*EXP(tun_CapsByProject*SUMPRODUCT((Cap_Point&lt;=I427)*(Cap_Kind="Group")*Cap_Ln))</x:f>
        <x:v>1000000.000000001</x:v>
      </x:c>
      <x:c r="N427" s="32" t="n">
        <x:f>MIN(J427,L427,M427)</x:f>
        <x:v>1030.8296491509448</x:v>
      </x:c>
      <x:c r="O427" s="10" t="n">
        <x:f>AE426*N427</x:f>
        <x:v>15462.444737264172</x:v>
      </x:c>
      <x:c r="P427" s="9" t="n">
        <x:f>MIN(1,(AB426/(AE426*IF(tun_GroupInCrowding=1,N427,MIN(J427,L427))))^tun_CrowdingExp)</x:f>
        <x:v>0.5501601949461808</x:v>
      </x:c>
      <x:c r="Q427" s="9" t="n">
        <x:f>IF(D427=1,INDEX(tun_WinterMult,G427),1)</x:f>
        <x:v>1.08</x:v>
      </x:c>
      <x:c r="R427" s="9" t="n">
        <x:f>H427*Z426*tun_WomenShare*tun_BaseFertility*INDEX(tun_FertMult,G427)*Arch_Fertility*(1-P427)</x:f>
        <x:v>157.8441790211886</x:v>
      </x:c>
      <x:c r="S427" s="9" t="n">
        <x:f>H427*Y426*INDEX(tun_MortChild,G427)/4*Q427</x:f>
        <x:v>32.177896192975545</x:v>
      </x:c>
      <x:c r="T427" s="9" t="n">
        <x:f>H427*Z426*INDEX(tun_MortAdult,G427)*Arch_AdultMort/4*Q427</x:f>
        <x:v>11.368828064636586</x:v>
      </x:c>
      <x:c r="U427" s="9" t="n">
        <x:f>H427*AA426*INDEX(tun_MortElder,G427)/4*Q427</x:f>
        <x:v>18.436491345694368</x:v>
      </x:c>
      <x:c r="V427" s="9" t="n">
        <x:f>H427*MAX(0,AB426-O427)*tun_OvercapLoss</x:f>
        <x:v>0</x:v>
      </x:c>
      <x:c r="W427" s="9" t="n">
        <x:f>H427*Y426/(tun_ChildYears*4)</x:f>
        <x:v>125.18633750768574</x:v>
      </x:c>
      <x:c r="X427" s="9" t="n">
        <x:f>H427*Z426/(tun_AdultYears*4)</x:f>
        <x:v>43.53470906716826</x:v>
      </x:c>
      <x:c r="Y427" s="32" t="n">
        <x:f>Y426+R427-S427-W427-Y426*V427/AB426</x:f>
        <x:v>7010.914845750928</x:v>
      </x:c>
      <x:c r="Z427" s="32" t="n">
        <x:f>Z426+W427-X427-T427-Z426*V427/AB426</x:f>
        <x:v>5468.5867247047445</x:v>
      </x:c>
      <x:c r="AA427" s="32" t="n">
        <x:f>AA426+X427-U427-AA426*V427/AB426</x:f>
        <x:v>1613.0819684272765</x:v>
      </x:c>
      <x:c r="AB427" s="10" t="n">
        <x:f>Y427+Z427+AA427</x:f>
        <x:v>14092.583538882947</x:v>
      </x:c>
      <x:c r="AC427" s="8" t="n">
        <x:f>IF(AND(tun_WinterTrigger=1,D427=1,AB426/AE426&gt;=K427),1,0)</x:f>
        <x:v>0</x:v>
      </x:c>
      <x:c r="AD427" s="8" t="n">
        <x:f>H427*IF(AND(OR(AB426/AE426&gt;=tun_FissionTrigger*N427,AC427=1),AB426/AE426*tun_DaughterShare&gt;=tun_MinDaughter),MAX(1,ROUND(AE426*tun_FissionRate,0)),0)</x:f>
        <x:v>5</x:v>
      </x:c>
      <x:c r="AE427" s="8" t="n">
        <x:f>IF(H427=1,MAX(1,MIN(INDEX(tun_Smax,G427),AE426+AD427)),AE426)</x:f>
        <x:v>15</x:v>
      </x:c>
      <x:c r="AF427" s="8" t="n">
        <x:f>MAX(0,AE427-AE426)</x:f>
        <x:v>0</x:v>
      </x:c>
      <x:c r="AG427" s="9" t="str">
        <x:f>IF(AF427&gt;0,B427,"")</x:f>
      </x:c>
      <x:c r="AH427" s="9" t="n">
        <x:f>IF(F427&gt;=1,1,(1+tun_LowTiesShare*(AE427-1))/AE427)</x:f>
        <x:v>1</x:v>
      </x:c>
      <x:c r="AI427" s="32" t="n">
        <x:f>(Z427+tun_ElderCommons*INDEX(LM_Elder,G427)*AA427)*AH427</x:f>
        <x:v>11517.64410630703</x:v>
      </x:c>
      <x:c r="AJ427" s="32" t="n">
        <x:f>H427*tun_CommonsCoef*AI427^tun_CommonsExp*INDEX(LM_Commons,G427)</x:f>
        <x:v>26540.37433868248</x:v>
      </x:c>
      <x:c r="AK427" s="32" t="n">
        <x:f>H427*tun_RoleScale*Arch_Roles*(AE427*(INDEX(tun_ElderRolePerSett,G427)*tun_OutElder*INDEX(LM_Elder,G427)+INDEX(tun_ShamanPerSett,G427)*tun_OutShaman)+Z427*(INDEX(tun_PriestShare,G427)*tun_OutPriest+INDEX(tun_ScribeShare,G427)*tun_OutScribe*INDEX(LM_Scribe,G427)+INDEX(tun_ScholarShare,G427)*tun_OutScholar*INDEX(LM_Scholar,G427)+INDEX(tun_ResearcherShare,G427)*tun_OutResearcher*INDEX(LM_Researcher,G427)))</x:f>
        <x:v>8270.14017093935</x:v>
      </x:c>
      <x:c r="AL427" s="32" t="n">
        <x:f>H427*tun_RoleScale*Arch_Roles*AE427*INDEX(tun_MonasteryPerSett,G427)*tun_OutMonastery*INDEX(LM_Monastery,G427)</x:f>
        <x:v>79.2</x:v>
      </x:c>
      <x:c r="AM427" s="32" t="n">
        <x:f>(AJ427+AK427+AL427)/4*INDEX(LM_All,G427)*INDEX(tun_Boon,G427)*Arch_Insight</x:f>
        <x:v>20996.719020988898</x:v>
      </x:c>
      <x:c r="AN427" s="32" t="n">
        <x:f>H427*(tun_KHPerAdult*Z427+tun_KHOfCommons*AJ427/4*INDEX(LM_All,G427))*tun_KHUsable*Arch_KH</x:f>
        <x:v>3292.0020079839032</x:v>
      </x:c>
      <x:c r="AO427" s="32" t="n">
        <x:f>MIN(AP426+AN427,AM427*tun_KHMaxRatio)</x:f>
        <x:v>3292.0020079839032</x:v>
      </x:c>
      <x:c r="AP427" s="32" t="n">
        <x:f>AP426+AN427-AO427</x:f>
        <x:v>0</x:v>
      </x:c>
      <x:c r="AQ427" s="32" t="n">
        <x:f>AM427+AO427</x:f>
        <x:v>24288.721028972803</x:v>
      </x:c>
      <x:c r="AR427" s="10" t="n">
        <x:f>IF(H427=1,INDEX(tun_Req,G427),0)</x:f>
        <x:v>3142139.1800715</x:v>
      </x:c>
      <x:c r="AS427" s="32" t="n">
        <x:f>IF(H427=1,IF(E427=1,AS426-AR426,AS426)+AQ427,0)</x:f>
        <x:v>620581.7524791318</x:v>
      </x:c>
      <x:c r="AT427" s="11" t="n">
        <x:f>IF(AR427&gt;0,MIN(1,AS427/AR427),1)</x:f>
        <x:v>0.1975029484419625</x:v>
      </x:c>
      <x:c r="AU427" s="10" t="n">
        <x:f>AB427/INDEX(tun_RepScale,G427)</x:f>
        <x:v>140.92583538882948</x:v>
      </x:c>
      <x:c r="AV427" s="32" t="n">
        <x:f>AM427*60/tun_SeasonSeconds</x:f>
        <x:v>83986.87608395559</x:v>
      </x:c>
    </x:row>
    <x:row r="428">
      <x:c r="A428" s="8" t="n">
        <x:f>A427+1</x:f>
        <x:v>425</x:v>
      </x:c>
      <x:c r="B428" s="9" t="n">
        <x:f>A428*tun_SeasonSeconds/60</x:f>
        <x:v>106.25</x:v>
      </x:c>
      <x:c r="C428" s="9" t="n">
        <x:f>A428/4</x:f>
        <x:v>106.25</x:v>
      </x:c>
      <x:c r="D428" s="8" t="n">
        <x:f>IF(MOD(A428,4)=0,1,0)</x:f>
        <x:v>0</x:v>
      </x:c>
      <x:c r="E428" s="8" t="n">
        <x:f>IF(AND(F427&lt;=9,AS427&gt;=AR427),1,0)</x:f>
        <x:v>0</x:v>
      </x:c>
      <x:c r="F428" s="8" t="n">
        <x:f>MIN(10,F427+E428)</x:f>
        <x:v>7</x:v>
      </x:c>
      <x:c r="G428" s="8" t="n">
        <x:f>MIN(F428,9)+1</x:f>
        <x:v>8</x:v>
      </x:c>
      <x:c r="H428" s="8" t="n">
        <x:f>IF(F428&lt;=9,1,0)</x:f>
        <x:v>1</x:v>
      </x:c>
      <x:c r="I428" s="9" t="n">
        <x:f>MIN(10,F427+IF(AR427&gt;0,MIN(1,AS427/AR427),1))</x:f>
        <x:v>7.197502948441962</x:v>
      </x:c>
      <x:c r="J428" s="32" t="n">
        <x:f>INDEX(tun_FoodCap,G428)*Arch_FoodCap*EXP(tun_CapsByProject*SUMPRODUCT((Cap_Point&lt;=I428)*(Cap_Kind="Food")*Cap_Ln))</x:f>
        <x:v>1030.8296491509448</x:v>
      </x:c>
      <x:c r="K428" s="32" t="n">
        <x:f>J428*MIN(1,tun_LeanBase*EXP(tun_CapsByProject*SUMPRODUCT((Cap_Point&lt;=I428)*(Cap_Kind="Lean")*Cap_Ln)))</x:f>
        <x:v>1030.8296491509448</x:v>
      </x:c>
      <x:c r="L428" s="10" t="n">
        <x:f>INDEX(tun_HousingCap,G428)*EXP(tun_CapsByProject*SUMPRODUCT((Cap_Point&lt;=I428)*(Cap_Kind="Housing")*Cap_Ln))</x:f>
        <x:v>2423.1679699072442</x:v>
      </x:c>
      <x:c r="M428" s="10" t="n">
        <x:f>INDEX(tun_GroupCap,G428)*tun_CohesionFactor*EXP(tun_CapsByProject*SUMPRODUCT((Cap_Point&lt;=I428)*(Cap_Kind="Group")*Cap_Ln))</x:f>
        <x:v>1000000.000000001</x:v>
      </x:c>
      <x:c r="N428" s="32" t="n">
        <x:f>MIN(J428,L428,M428)</x:f>
        <x:v>1030.8296491509448</x:v>
      </x:c>
      <x:c r="O428" s="10" t="n">
        <x:f>AE427*N428</x:f>
        <x:v>15462.444737264172</x:v>
      </x:c>
      <x:c r="P428" s="9" t="n">
        <x:f>MIN(1,(AB427/(AE427*IF(tun_GroupInCrowding=1,N428,MIN(J428,L428))))^tun_CrowdingExp)</x:f>
        <x:v>0.573158509719105</x:v>
      </x:c>
      <x:c r="Q428" s="9" t="n">
        <x:f>IF(D428=1,INDEX(tun_WinterMult,G428),1)</x:f>
        <x:v>1</x:v>
      </x:c>
      <x:c r="R428" s="9" t="n">
        <x:f>H428*Z427*tun_WomenShare*tun_BaseFertility*INDEX(tun_FertMult,G428)*Arch_Fertility*(1-P428)</x:f>
        <x:v>151.72428097471396</x:v>
      </x:c>
      <x:c r="S428" s="9" t="n">
        <x:f>H428*Y427*INDEX(tun_MortChild,G428)/4*Q428</x:f>
        <x:v>29.796388094441447</x:v>
      </x:c>
      <x:c r="T428" s="9" t="n">
        <x:f>H428*Z427*INDEX(tun_MortAdult,G428)*Arch_AdultMort/4*Q428</x:f>
        <x:v>10.663744113174252</x:v>
      </x:c>
      <x:c r="U428" s="9" t="n">
        <x:f>H428*AA427*INDEX(tun_MortElder,G428)/4*Q428</x:f>
        <x:v>17.340631160593222</x:v>
      </x:c>
      <x:c r="V428" s="9" t="n">
        <x:f>H428*MAX(0,AB427-O428)*tun_OvercapLoss</x:f>
        <x:v>0</x:v>
      </x:c>
      <x:c r="W428" s="9" t="n">
        <x:f>H428*Y427/(tun_ChildYears*4)</x:f>
        <x:v>125.194907959838</x:v>
      </x:c>
      <x:c r="X428" s="9" t="n">
        <x:f>H428*Z427/(tun_AdultYears*4)</x:f>
        <x:v>44.1015058443931</x:v>
      </x:c>
      <x:c r="Y428" s="32" t="n">
        <x:f>Y427+R428-S428-W428-Y427*V428/AB427</x:f>
        <x:v>7007.6478306713625</x:v>
      </x:c>
      <x:c r="Z428" s="32" t="n">
        <x:f>Z427+W428-X428-T428-Z427*V428/AB427</x:f>
        <x:v>5539.0163827070155</x:v>
      </x:c>
      <x:c r="AA428" s="32" t="n">
        <x:f>AA427+X428-U428-AA427*V428/AB427</x:f>
        <x:v>1639.8428431110765</x:v>
      </x:c>
      <x:c r="AB428" s="10" t="n">
        <x:f>Y428+Z428+AA428</x:f>
        <x:v>14186.507056489456</x:v>
      </x:c>
      <x:c r="AC428" s="8" t="n">
        <x:f>IF(AND(tun_WinterTrigger=1,D428=1,AB427/AE427&gt;=K428),1,0)</x:f>
        <x:v>0</x:v>
      </x:c>
      <x:c r="AD428" s="8" t="n">
        <x:f>H428*IF(AND(OR(AB427/AE427&gt;=tun_FissionTrigger*N428,AC428=1),AB427/AE427*tun_DaughterShare&gt;=tun_MinDaughter),MAX(1,ROUND(AE427*tun_FissionRate,0)),0)</x:f>
        <x:v>5</x:v>
      </x:c>
      <x:c r="AE428" s="8" t="n">
        <x:f>IF(H428=1,MAX(1,MIN(INDEX(tun_Smax,G428),AE427+AD428)),AE427)</x:f>
        <x:v>15</x:v>
      </x:c>
      <x:c r="AF428" s="8" t="n">
        <x:f>MAX(0,AE428-AE427)</x:f>
        <x:v>0</x:v>
      </x:c>
      <x:c r="AG428" s="9" t="str">
        <x:f>IF(AF428&gt;0,B428,"")</x:f>
      </x:c>
      <x:c r="AH428" s="9" t="n">
        <x:f>IF(F428&gt;=1,1,(1+tun_LowTiesShare*(AE428-1))/AE428)</x:f>
        <x:v>1</x:v>
      </x:c>
      <x:c r="AI428" s="32" t="n">
        <x:f>(Z428+tun_ElderCommons*INDEX(LM_Elder,G428)*AA428)*AH428</x:f>
        <x:v>11688.427044373551</x:v>
      </x:c>
      <x:c r="AJ428" s="32" t="n">
        <x:f>H428*tun_CommonsCoef*AI428^tun_CommonsExp*INDEX(LM_Commons,G428)</x:f>
        <x:v>26874.512652455323</x:v>
      </x:c>
      <x:c r="AK428" s="32" t="n">
        <x:f>H428*tun_RoleScale*Arch_Roles*(AE428*(INDEX(tun_ElderRolePerSett,G428)*tun_OutElder*INDEX(LM_Elder,G428)+INDEX(tun_ShamanPerSett,G428)*tun_OutShaman)+Z428*(INDEX(tun_PriestShare,G428)*tun_OutPriest+INDEX(tun_ScribeShare,G428)*tun_OutScribe*INDEX(LM_Scribe,G428)+INDEX(tun_ScholarShare,G428)*tun_OutScholar*INDEX(LM_Scholar,G428)+INDEX(tun_ResearcherShare,G428)*tun_OutResearcher*INDEX(LM_Researcher,G428)))</x:f>
        <x:v>8371.434922264538</x:v>
      </x:c>
      <x:c r="AL428" s="32" t="n">
        <x:f>H428*tun_RoleScale*Arch_Roles*AE428*INDEX(tun_MonasteryPerSett,G428)*tun_OutMonastery*INDEX(LM_Monastery,G428)</x:f>
        <x:v>79.2</x:v>
      </x:c>
      <x:c r="AM428" s="32" t="n">
        <x:f>(AJ428+AK428+AL428)/4*INDEX(LM_All,G428)*INDEX(tun_Boon,G428)*Arch_Insight</x:f>
        <x:v>21258.763748176043</x:v>
      </x:c>
      <x:c r="AN428" s="32" t="n">
        <x:f>H428*(tun_KHPerAdult*Z428+tun_KHOfCommons*AJ428/4*INDEX(LM_All,G428))*tun_KHUsable*Arch_KH</x:f>
        <x:v>3333.447693182147</x:v>
      </x:c>
      <x:c r="AO428" s="32" t="n">
        <x:f>MIN(AP427+AN428,AM428*tun_KHMaxRatio)</x:f>
        <x:v>3333.447693182147</x:v>
      </x:c>
      <x:c r="AP428" s="32" t="n">
        <x:f>AP427+AN428-AO428</x:f>
        <x:v>0</x:v>
      </x:c>
      <x:c r="AQ428" s="32" t="n">
        <x:f>AM428+AO428</x:f>
        <x:v>24592.21144135819</x:v>
      </x:c>
      <x:c r="AR428" s="10" t="n">
        <x:f>IF(H428=1,INDEX(tun_Req,G428),0)</x:f>
        <x:v>3142139.1800715</x:v>
      </x:c>
      <x:c r="AS428" s="32" t="n">
        <x:f>IF(H428=1,IF(E428=1,AS427-AR427,AS427)+AQ428,0)</x:f>
        <x:v>645173.96392049</x:v>
      </x:c>
      <x:c r="AT428" s="11" t="n">
        <x:f>IF(AR428&gt;0,MIN(1,AS428/AR428),1)</x:f>
        <x:v>0.20532953091715336</x:v>
      </x:c>
      <x:c r="AU428" s="10" t="n">
        <x:f>AB428/INDEX(tun_RepScale,G428)</x:f>
        <x:v>141.86507056489455</x:v>
      </x:c>
      <x:c r="AV428" s="32" t="n">
        <x:f>AM428*60/tun_SeasonSeconds</x:f>
        <x:v>85035.05499270417</x:v>
      </x:c>
    </x:row>
    <x:row r="429">
      <x:c r="A429" s="8" t="n">
        <x:f>A428+1</x:f>
        <x:v>426</x:v>
      </x:c>
      <x:c r="B429" s="9" t="n">
        <x:f>A429*tun_SeasonSeconds/60</x:f>
        <x:v>106.5</x:v>
      </x:c>
      <x:c r="C429" s="9" t="n">
        <x:f>A429/4</x:f>
        <x:v>106.5</x:v>
      </x:c>
      <x:c r="D429" s="8" t="n">
        <x:f>IF(MOD(A429,4)=0,1,0)</x:f>
        <x:v>0</x:v>
      </x:c>
      <x:c r="E429" s="8" t="n">
        <x:f>IF(AND(F428&lt;=9,AS428&gt;=AR428),1,0)</x:f>
        <x:v>0</x:v>
      </x:c>
      <x:c r="F429" s="8" t="n">
        <x:f>MIN(10,F428+E429)</x:f>
        <x:v>7</x:v>
      </x:c>
      <x:c r="G429" s="8" t="n">
        <x:f>MIN(F429,9)+1</x:f>
        <x:v>8</x:v>
      </x:c>
      <x:c r="H429" s="8" t="n">
        <x:f>IF(F429&lt;=9,1,0)</x:f>
        <x:v>1</x:v>
      </x:c>
      <x:c r="I429" s="9" t="n">
        <x:f>MIN(10,F428+IF(AR428&gt;0,MIN(1,AS428/AR428),1))</x:f>
        <x:v>7.205329530917154</x:v>
      </x:c>
      <x:c r="J429" s="32" t="n">
        <x:f>INDEX(tun_FoodCap,G429)*Arch_FoodCap*EXP(tun_CapsByProject*SUMPRODUCT((Cap_Point&lt;=I429)*(Cap_Kind="Food")*Cap_Ln))</x:f>
        <x:v>1030.8296491509448</x:v>
      </x:c>
      <x:c r="K429" s="32" t="n">
        <x:f>J429*MIN(1,tun_LeanBase*EXP(tun_CapsByProject*SUMPRODUCT((Cap_Point&lt;=I429)*(Cap_Kind="Lean")*Cap_Ln)))</x:f>
        <x:v>1030.8296491509448</x:v>
      </x:c>
      <x:c r="L429" s="10" t="n">
        <x:f>INDEX(tun_HousingCap,G429)*EXP(tun_CapsByProject*SUMPRODUCT((Cap_Point&lt;=I429)*(Cap_Kind="Housing")*Cap_Ln))</x:f>
        <x:v>2423.1679699072442</x:v>
      </x:c>
      <x:c r="M429" s="10" t="n">
        <x:f>INDEX(tun_GroupCap,G429)*tun_CohesionFactor*EXP(tun_CapsByProject*SUMPRODUCT((Cap_Point&lt;=I429)*(Cap_Kind="Group")*Cap_Ln))</x:f>
        <x:v>1000000.000000001</x:v>
      </x:c>
      <x:c r="N429" s="32" t="n">
        <x:f>MIN(J429,L429,M429)</x:f>
        <x:v>1030.8296491509448</x:v>
      </x:c>
      <x:c r="O429" s="10" t="n">
        <x:f>AE428*N429</x:f>
        <x:v>15462.444737264172</x:v>
      </x:c>
      <x:c r="P429" s="9" t="n">
        <x:f>MIN(1,(AB428/(AE428*IF(tun_GroupInCrowding=1,N429,MIN(J429,L429))))^tun_CrowdingExp)</x:f>
        <x:v>0.5964635481551975</x:v>
      </x:c>
      <x:c r="Q429" s="9" t="n">
        <x:f>IF(D429=1,INDEX(tun_WinterMult,G429),1)</x:f>
        <x:v>1</x:v>
      </x:c>
      <x:c r="R429" s="9" t="n">
        <x:f>H429*Z428*tun_WomenShare*tun_BaseFertility*INDEX(tun_FertMult,G429)*Arch_Fertility*(1-P429)</x:f>
        <x:v>145.2876761562084</x:v>
      </x:c>
      <x:c r="S429" s="9" t="n">
        <x:f>H429*Y428*INDEX(tun_MortChild,G429)/4*Q429</x:f>
        <x:v>29.782503280353293</x:v>
      </x:c>
      <x:c r="T429" s="9" t="n">
        <x:f>H429*Z428*INDEX(tun_MortAdult,G429)*Arch_AdultMort/4*Q429</x:f>
        <x:v>10.80108194627868</x:v>
      </x:c>
      <x:c r="U429" s="9" t="n">
        <x:f>H429*AA428*INDEX(tun_MortElder,G429)/4*Q429</x:f>
        <x:v>17.62831056344407</x:v>
      </x:c>
      <x:c r="V429" s="9" t="n">
        <x:f>H429*MAX(0,AB428-O429)*tun_OvercapLoss</x:f>
        <x:v>0</x:v>
      </x:c>
      <x:c r="W429" s="9" t="n">
        <x:f>H429*Y428/(tun_ChildYears*4)</x:f>
        <x:v>125.13656840484576</x:v>
      </x:c>
      <x:c r="X429" s="9" t="n">
        <x:f>H429*Z428/(tun_AdultYears*4)</x:f>
        <x:v>44.66948695731464</x:v>
      </x:c>
      <x:c r="Y429" s="32" t="n">
        <x:f>Y428+R429-S429-W429-Y428*V429/AB428</x:f>
        <x:v>6998.016435142372</x:v>
      </x:c>
      <x:c r="Z429" s="32" t="n">
        <x:f>Z428+W429-X429-T429-Z428*V429/AB428</x:f>
        <x:v>5608.682382208268</x:v>
      </x:c>
      <x:c r="AA429" s="32" t="n">
        <x:f>AA428+X429-U429-AA428*V429/AB428</x:f>
        <x:v>1666.884019504947</x:v>
      </x:c>
      <x:c r="AB429" s="10" t="n">
        <x:f>Y429+Z429+AA429</x:f>
        <x:v>14273.582836855587</x:v>
      </x:c>
      <x:c r="AC429" s="8" t="n">
        <x:f>IF(AND(tun_WinterTrigger=1,D429=1,AB428/AE428&gt;=K429),1,0)</x:f>
        <x:v>0</x:v>
      </x:c>
      <x:c r="AD429" s="8" t="n">
        <x:f>H429*IF(AND(OR(AB428/AE428&gt;=tun_FissionTrigger*N429,AC429=1),AB428/AE428*tun_DaughterShare&gt;=tun_MinDaughter),MAX(1,ROUND(AE428*tun_FissionRate,0)),0)</x:f>
        <x:v>5</x:v>
      </x:c>
      <x:c r="AE429" s="8" t="n">
        <x:f>IF(H429=1,MAX(1,MIN(INDEX(tun_Smax,G429),AE428+AD429)),AE428)</x:f>
        <x:v>15</x:v>
      </x:c>
      <x:c r="AF429" s="8" t="n">
        <x:f>MAX(0,AE429-AE428)</x:f>
        <x:v>0</x:v>
      </x:c>
      <x:c r="AG429" s="9" t="str">
        <x:f>IF(AF429&gt;0,B429,"")</x:f>
      </x:c>
      <x:c r="AH429" s="9" t="n">
        <x:f>IF(F429&gt;=1,1,(1+tun_LowTiesShare*(AE429-1))/AE429)</x:f>
        <x:v>1</x:v>
      </x:c>
      <x:c r="AI429" s="32" t="n">
        <x:f>(Z429+tun_ElderCommons*INDEX(LM_Elder,G429)*AA429)*AH429</x:f>
        <x:v>11859.497455351819</x:v>
      </x:c>
      <x:c r="AJ429" s="32" t="n">
        <x:f>H429*tun_CommonsCoef*AI429^tun_CommonsExp*INDEX(LM_Commons,G429)</x:f>
        <x:v>27208.480013685356</x:v>
      </x:c>
      <x:c r="AK429" s="32" t="n">
        <x:f>H429*tun_RoleScale*Arch_Roles*(AE429*(INDEX(tun_ElderRolePerSett,G429)*tun_OutElder*INDEX(LM_Elder,G429)+INDEX(tun_ShamanPerSett,G429)*tun_OutShaman)+Z429*(INDEX(tun_PriestShare,G429)*tun_OutPriest+INDEX(tun_ScribeShare,G429)*tun_OutScribe*INDEX(LM_Scribe,G429)+INDEX(tun_ScholarShare,G429)*tun_OutScholar*INDEX(LM_Scholar,G429)+INDEX(tun_ResearcherShare,G429)*tun_OutResearcher*INDEX(LM_Researcher,G429)))</x:f>
        <x:v>8471.631349387219</x:v>
      </x:c>
      <x:c r="AL429" s="32" t="n">
        <x:f>H429*tun_RoleScale*Arch_Roles*AE429*INDEX(tun_MonasteryPerSett,G429)*tun_OutMonastery*INDEX(LM_Monastery,G429)</x:f>
        <x:v>79.2</x:v>
      </x:c>
      <x:c r="AM429" s="32" t="n">
        <x:f>(AJ429+AK429+AL429)/4*INDEX(LM_All,G429)*INDEX(tun_Boon,G429)*Arch_Insight</x:f>
        <x:v>21520.044621386285</x:v>
      </x:c>
      <x:c r="AN429" s="32" t="n">
        <x:f>H429*(tun_KHPerAdult*Z429+tun_KHOfCommons*AJ429/4*INDEX(LM_All,G429))*tun_KHUsable*Arch_KH</x:f>
        <x:v>3374.8721738522613</x:v>
      </x:c>
      <x:c r="AO429" s="32" t="n">
        <x:f>MIN(AP428+AN429,AM429*tun_KHMaxRatio)</x:f>
        <x:v>3374.8721738522613</x:v>
      </x:c>
      <x:c r="AP429" s="32" t="n">
        <x:f>AP428+AN429-AO429</x:f>
        <x:v>0</x:v>
      </x:c>
      <x:c r="AQ429" s="32" t="n">
        <x:f>AM429+AO429</x:f>
        <x:v>24894.916795238547</x:v>
      </x:c>
      <x:c r="AR429" s="10" t="n">
        <x:f>IF(H429=1,INDEX(tun_Req,G429),0)</x:f>
        <x:v>3142139.1800715</x:v>
      </x:c>
      <x:c r="AS429" s="32" t="n">
        <x:f>IF(H429=1,IF(E429=1,AS428-AR428,AS428)+AQ429,0)</x:f>
        <x:v>670068.8807157285</x:v>
      </x:c>
      <x:c r="AT429" s="11" t="n">
        <x:f>IF(AR429&gt;0,MIN(1,AS429/AR429),1)</x:f>
        <x:v>0.21325245073977944</x:v>
      </x:c>
      <x:c r="AU429" s="10" t="n">
        <x:f>AB429/INDEX(tun_RepScale,G429)</x:f>
        <x:v>142.73582836855587</x:v>
      </x:c>
      <x:c r="AV429" s="32" t="n">
        <x:f>AM429*60/tun_SeasonSeconds</x:f>
        <x:v>86080.17848554514</x:v>
      </x:c>
    </x:row>
    <x:row r="430">
      <x:c r="A430" s="8" t="n">
        <x:f>A429+1</x:f>
        <x:v>427</x:v>
      </x:c>
      <x:c r="B430" s="9" t="n">
        <x:f>A430*tun_SeasonSeconds/60</x:f>
        <x:v>106.75</x:v>
      </x:c>
      <x:c r="C430" s="9" t="n">
        <x:f>A430/4</x:f>
        <x:v>106.75</x:v>
      </x:c>
      <x:c r="D430" s="8" t="n">
        <x:f>IF(MOD(A430,4)=0,1,0)</x:f>
        <x:v>0</x:v>
      </x:c>
      <x:c r="E430" s="8" t="n">
        <x:f>IF(AND(F429&lt;=9,AS429&gt;=AR429),1,0)</x:f>
        <x:v>0</x:v>
      </x:c>
      <x:c r="F430" s="8" t="n">
        <x:f>MIN(10,F429+E430)</x:f>
        <x:v>7</x:v>
      </x:c>
      <x:c r="G430" s="8" t="n">
        <x:f>MIN(F430,9)+1</x:f>
        <x:v>8</x:v>
      </x:c>
      <x:c r="H430" s="8" t="n">
        <x:f>IF(F430&lt;=9,1,0)</x:f>
        <x:v>1</x:v>
      </x:c>
      <x:c r="I430" s="9" t="n">
        <x:f>MIN(10,F429+IF(AR429&gt;0,MIN(1,AS429/AR429),1))</x:f>
        <x:v>7.2132524507397795</x:v>
      </x:c>
      <x:c r="J430" s="32" t="n">
        <x:f>INDEX(tun_FoodCap,G430)*Arch_FoodCap*EXP(tun_CapsByProject*SUMPRODUCT((Cap_Point&lt;=I430)*(Cap_Kind="Food")*Cap_Ln))</x:f>
        <x:v>1030.8296491509448</x:v>
      </x:c>
      <x:c r="K430" s="32" t="n">
        <x:f>J430*MIN(1,tun_LeanBase*EXP(tun_CapsByProject*SUMPRODUCT((Cap_Point&lt;=I430)*(Cap_Kind="Lean")*Cap_Ln)))</x:f>
        <x:v>1030.8296491509448</x:v>
      </x:c>
      <x:c r="L430" s="10" t="n">
        <x:f>INDEX(tun_HousingCap,G430)*EXP(tun_CapsByProject*SUMPRODUCT((Cap_Point&lt;=I430)*(Cap_Kind="Housing")*Cap_Ln))</x:f>
        <x:v>2423.1679699072442</x:v>
      </x:c>
      <x:c r="M430" s="10" t="n">
        <x:f>INDEX(tun_GroupCap,G430)*tun_CohesionFactor*EXP(tun_CapsByProject*SUMPRODUCT((Cap_Point&lt;=I430)*(Cap_Kind="Group")*Cap_Ln))</x:f>
        <x:v>1000000.000000001</x:v>
      </x:c>
      <x:c r="N430" s="32" t="n">
        <x:f>MIN(J430,L430,M430)</x:f>
        <x:v>1030.8296491509448</x:v>
      </x:c>
      <x:c r="O430" s="10" t="n">
        <x:f>AE429*N430</x:f>
        <x:v>15462.444737264172</x:v>
      </x:c>
      <x:c r="P430" s="9" t="n">
        <x:f>MIN(1,(AB429/(AE429*IF(tun_GroupInCrowding=1,N430,MIN(J430,L430))))^tun_CrowdingExp)</x:f>
        <x:v>0.6187696958402537</x:v>
      </x:c>
      <x:c r="Q430" s="9" t="n">
        <x:f>IF(D430=1,INDEX(tun_WinterMult,G430),1)</x:f>
        <x:v>1</x:v>
      </x:c>
      <x:c r="R430" s="9" t="n">
        <x:f>H430*Z429*tun_WomenShare*tun_BaseFertility*INDEX(tun_FertMult,G430)*Arch_Fertility*(1-P430)</x:f>
        <x:v>138.98297988280348</x:v>
      </x:c>
      <x:c r="S430" s="9" t="n">
        <x:f>H430*Y429*INDEX(tun_MortChild,G430)/4*Q430</x:f>
        <x:v>29.741569849355084</x:v>
      </x:c>
      <x:c r="T430" s="9" t="n">
        <x:f>H430*Z429*INDEX(tun_MortAdult,G430)*Arch_AdultMort/4*Q430</x:f>
        <x:v>10.936930645306122</x:v>
      </x:c>
      <x:c r="U430" s="9" t="n">
        <x:f>H430*AA429*INDEX(tun_MortElder,G430)/4*Q430</x:f>
        <x:v>17.919003209678177</x:v>
      </x:c>
      <x:c r="V430" s="9" t="n">
        <x:f>H430*MAX(0,AB429-O430)*tun_OvercapLoss</x:f>
        <x:v>0</x:v>
      </x:c>
      <x:c r="W430" s="9" t="n">
        <x:f>H430*Y429/(tun_ChildYears*4)</x:f>
        <x:v>124.96457919897092</x:v>
      </x:c>
      <x:c r="X430" s="9" t="n">
        <x:f>H430*Z429/(tun_AdultYears*4)</x:f>
        <x:v>45.23130953393765</x:v>
      </x:c>
      <x:c r="Y430" s="32" t="n">
        <x:f>Y429+R430-S430-W430-Y429*V430/AB429</x:f>
        <x:v>6982.293265976849</x:v>
      </x:c>
      <x:c r="Z430" s="32" t="n">
        <x:f>Z429+W430-X430-T430-Z429*V430/AB429</x:f>
        <x:v>5677.478721227994</x:v>
      </x:c>
      <x:c r="AA430" s="32" t="n">
        <x:f>AA429+X430-U430-AA429*V430/AB429</x:f>
        <x:v>1694.1963258292067</x:v>
      </x:c>
      <x:c r="AB430" s="10" t="n">
        <x:f>Y430+Z430+AA430</x:f>
        <x:v>14353.96831303405</x:v>
      </x:c>
      <x:c r="AC430" s="8" t="n">
        <x:f>IF(AND(tun_WinterTrigger=1,D430=1,AB429/AE429&gt;=K430),1,0)</x:f>
        <x:v>0</x:v>
      </x:c>
      <x:c r="AD430" s="8" t="n">
        <x:f>H430*IF(AND(OR(AB429/AE429&gt;=tun_FissionTrigger*N430,AC430=1),AB429/AE429*tun_DaughterShare&gt;=tun_MinDaughter),MAX(1,ROUND(AE429*tun_FissionRate,0)),0)</x:f>
        <x:v>5</x:v>
      </x:c>
      <x:c r="AE430" s="8" t="n">
        <x:f>IF(H430=1,MAX(1,MIN(INDEX(tun_Smax,G430),AE429+AD430)),AE429)</x:f>
        <x:v>15</x:v>
      </x:c>
      <x:c r="AF430" s="8" t="n">
        <x:f>MAX(0,AE430-AE429)</x:f>
        <x:v>0</x:v>
      </x:c>
      <x:c r="AG430" s="9" t="str">
        <x:f>IF(AF430&gt;0,B430,"")</x:f>
      </x:c>
      <x:c r="AH430" s="9" t="n">
        <x:f>IF(F430&gt;=1,1,(1+tun_LowTiesShare*(AE430-1))/AE430)</x:f>
        <x:v>1</x:v>
      </x:c>
      <x:c r="AI430" s="32" t="n">
        <x:f>(Z430+tun_ElderCommons*INDEX(LM_Elder,G430)*AA430)*AH430</x:f>
        <x:v>12030.71494308752</x:v>
      </x:c>
      <x:c r="AJ430" s="32" t="n">
        <x:f>H430*tun_CommonsCoef*AI430^tun_CommonsExp*INDEX(LM_Commons,G430)</x:f>
        <x:v>27542.0117180048</x:v>
      </x:c>
      <x:c r="AK430" s="32" t="n">
        <x:f>H430*tun_RoleScale*Arch_Roles*(AE430*(INDEX(tun_ElderRolePerSett,G430)*tun_OutElder*INDEX(LM_Elder,G430)+INDEX(tun_ShamanPerSett,G430)*tun_OutShaman)+Z430*(INDEX(tun_PriestShare,G430)*tun_OutPriest+INDEX(tun_ScribeShare,G430)*tun_OutScribe*INDEX(LM_Scribe,G430)+INDEX(tun_ScholarShare,G430)*tun_OutScholar*INDEX(LM_Scholar,G430)+INDEX(tun_ResearcherShare,G430)*tun_OutResearcher*INDEX(LM_Researcher,G430)))</x:f>
        <x:v>8570.57699601895</x:v>
      </x:c>
      <x:c r="AL430" s="32" t="n">
        <x:f>H430*tun_RoleScale*Arch_Roles*AE430*INDEX(tun_MonasteryPerSett,G430)*tun_OutMonastery*INDEX(LM_Monastery,G430)</x:f>
        <x:v>79.2</x:v>
      </x:c>
      <x:c r="AM430" s="32" t="n">
        <x:f>(AJ430+AK430+AL430)/4*INDEX(LM_All,G430)*INDEX(tun_Boon,G430)*Arch_Insight</x:f>
        <x:v>21780.310592274614</x:v>
      </x:c>
      <x:c r="AN430" s="32" t="n">
        <x:f>H430*(tun_KHPerAdult*Z430+tun_KHOfCommons*AJ430/4*INDEX(LM_All,G430))*tun_KHUsable*Arch_KH</x:f>
        <x:v>3416.2426167229773</x:v>
      </x:c>
      <x:c r="AO430" s="32" t="n">
        <x:f>MIN(AP429+AN430,AM430*tun_KHMaxRatio)</x:f>
        <x:v>3416.2426167229773</x:v>
      </x:c>
      <x:c r="AP430" s="32" t="n">
        <x:f>AP429+AN430-AO430</x:f>
        <x:v>0</x:v>
      </x:c>
      <x:c r="AQ430" s="32" t="n">
        <x:f>AM430+AO430</x:f>
        <x:v>25196.553208997593</x:v>
      </x:c>
      <x:c r="AR430" s="10" t="n">
        <x:f>IF(H430=1,INDEX(tun_Req,G430),0)</x:f>
        <x:v>3142139.1800715</x:v>
      </x:c>
      <x:c r="AS430" s="32" t="n">
        <x:f>IF(H430=1,IF(E430=1,AS429-AR429,AS429)+AQ430,0)</x:f>
        <x:v>695265.4339247261</x:v>
      </x:c>
      <x:c r="AT430" s="11" t="n">
        <x:f>IF(AR430&gt;0,MIN(1,AS430/AR430),1)</x:f>
        <x:v>0.22127136771481432</x:v>
      </x:c>
      <x:c r="AU430" s="10" t="n">
        <x:f>AB430/INDEX(tun_RepScale,G430)</x:f>
        <x:v>143.5396831303405</x:v>
      </x:c>
      <x:c r="AV430" s="32" t="n">
        <x:f>AM430*60/tun_SeasonSeconds</x:f>
        <x:v>87121.24236909846</x:v>
      </x:c>
    </x:row>
    <x:row r="431">
      <x:c r="A431" s="8" t="n">
        <x:f>A430+1</x:f>
        <x:v>428</x:v>
      </x:c>
      <x:c r="B431" s="9" t="n">
        <x:f>A431*tun_SeasonSeconds/60</x:f>
        <x:v>107</x:v>
      </x:c>
      <x:c r="C431" s="9" t="n">
        <x:f>A431/4</x:f>
        <x:v>107</x:v>
      </x:c>
      <x:c r="D431" s="8" t="n">
        <x:f>IF(MOD(A431,4)=0,1,0)</x:f>
        <x:v>1</x:v>
      </x:c>
      <x:c r="E431" s="8" t="n">
        <x:f>IF(AND(F430&lt;=9,AS430&gt;=AR430),1,0)</x:f>
        <x:v>0</x:v>
      </x:c>
      <x:c r="F431" s="8" t="n">
        <x:f>MIN(10,F430+E431)</x:f>
        <x:v>7</x:v>
      </x:c>
      <x:c r="G431" s="8" t="n">
        <x:f>MIN(F431,9)+1</x:f>
        <x:v>8</x:v>
      </x:c>
      <x:c r="H431" s="8" t="n">
        <x:f>IF(F431&lt;=9,1,0)</x:f>
        <x:v>1</x:v>
      </x:c>
      <x:c r="I431" s="9" t="n">
        <x:f>MIN(10,F430+IF(AR430&gt;0,MIN(1,AS430/AR430),1))</x:f>
        <x:v>7.221271367714814</x:v>
      </x:c>
      <x:c r="J431" s="32" t="n">
        <x:f>INDEX(tun_FoodCap,G431)*Arch_FoodCap*EXP(tun_CapsByProject*SUMPRODUCT((Cap_Point&lt;=I431)*(Cap_Kind="Food")*Cap_Ln))</x:f>
        <x:v>1030.8296491509448</x:v>
      </x:c>
      <x:c r="K431" s="32" t="n">
        <x:f>J431*MIN(1,tun_LeanBase*EXP(tun_CapsByProject*SUMPRODUCT((Cap_Point&lt;=I431)*(Cap_Kind="Lean")*Cap_Ln)))</x:f>
        <x:v>1030.8296491509448</x:v>
      </x:c>
      <x:c r="L431" s="10" t="n">
        <x:f>INDEX(tun_HousingCap,G431)*EXP(tun_CapsByProject*SUMPRODUCT((Cap_Point&lt;=I431)*(Cap_Kind="Housing")*Cap_Ln))</x:f>
        <x:v>2423.1679699072442</x:v>
      </x:c>
      <x:c r="M431" s="10" t="n">
        <x:f>INDEX(tun_GroupCap,G431)*tun_CohesionFactor*EXP(tun_CapsByProject*SUMPRODUCT((Cap_Point&lt;=I431)*(Cap_Kind="Group")*Cap_Ln))</x:f>
        <x:v>1000000.000000001</x:v>
      </x:c>
      <x:c r="N431" s="32" t="n">
        <x:f>MIN(J431,L431,M431)</x:f>
        <x:v>1030.8296491509448</x:v>
      </x:c>
      <x:c r="O431" s="10" t="n">
        <x:f>AE430*N431</x:f>
        <x:v>15462.444737264172</x:v>
      </x:c>
      <x:c r="P431" s="9" t="n">
        <x:f>MIN(1,(AB430/(AE430*IF(tun_GroupInCrowding=1,N431,MIN(J431,L431))))^tun_CrowdingExp)</x:f>
        <x:v>0.6399748927045766</x:v>
      </x:c>
      <x:c r="Q431" s="9" t="n">
        <x:f>IF(D431=1,INDEX(tun_WinterMult,G431),1)</x:f>
        <x:v>1.08</x:v>
      </x:c>
      <x:c r="R431" s="9" t="n">
        <x:f>H431*Z430*tun_WomenShare*tun_BaseFertility*INDEX(tun_FertMult,G431)*Arch_Fertility*(1-P431)</x:f>
        <x:v>132.86226757554346</x:v>
      </x:c>
      <x:c r="S431" s="9" t="n">
        <x:f>H431*Y430*INDEX(tun_MortChild,G431)/4*Q431</x:f>
        <x:v>32.04872609083374</x:v>
      </x:c>
      <x:c r="T431" s="9" t="n">
        <x:f>H431*Z430*INDEX(tun_MortAdult,G431)*Arch_AdultMort/4*Q431</x:f>
        <x:v>11.956770186906157</x:v>
      </x:c>
      <x:c r="U431" s="9" t="n">
        <x:f>H431*AA430*INDEX(tun_MortElder,G431)/4*Q431</x:f>
        <x:v>19.66961934287709</x:v>
      </x:c>
      <x:c r="V431" s="9" t="n">
        <x:f>H431*MAX(0,AB430-O431)*tun_OvercapLoss</x:f>
        <x:v>0</x:v>
      </x:c>
      <x:c r="W431" s="9" t="n">
        <x:f>H431*Y430/(tun_ChildYears*4)</x:f>
        <x:v>124.68380832101516</x:v>
      </x:c>
      <x:c r="X431" s="9" t="n">
        <x:f>H431*Z430/(tun_AdultYears*4)</x:f>
        <x:v>45.7861187195806</x:v>
      </x:c>
      <x:c r="Y431" s="32" t="n">
        <x:f>Y430+R431-S431-W431-Y430*V431/AB430</x:f>
        <x:v>6958.422999140544</x:v>
      </x:c>
      <x:c r="Z431" s="32" t="n">
        <x:f>Z430+W431-X431-T431-Z430*V431/AB430</x:f>
        <x:v>5744.419640642523</x:v>
      </x:c>
      <x:c r="AA431" s="32" t="n">
        <x:f>AA430+X431-U431-AA430*V431/AB430</x:f>
        <x:v>1720.3128252059103</x:v>
      </x:c>
      <x:c r="AB431" s="10" t="n">
        <x:f>Y431+Z431+AA431</x:f>
        <x:v>14423.155464988977</x:v>
      </x:c>
      <x:c r="AC431" s="8" t="n">
        <x:f>IF(AND(tun_WinterTrigger=1,D431=1,AB430/AE430&gt;=K431),1,0)</x:f>
        <x:v>0</x:v>
      </x:c>
      <x:c r="AD431" s="8" t="n">
        <x:f>H431*IF(AND(OR(AB430/AE430&gt;=tun_FissionTrigger*N431,AC431=1),AB430/AE430*tun_DaughterShare&gt;=tun_MinDaughter),MAX(1,ROUND(AE430*tun_FissionRate,0)),0)</x:f>
        <x:v>5</x:v>
      </x:c>
      <x:c r="AE431" s="8" t="n">
        <x:f>IF(H431=1,MAX(1,MIN(INDEX(tun_Smax,G431),AE430+AD431)),AE430)</x:f>
        <x:v>15</x:v>
      </x:c>
      <x:c r="AF431" s="8" t="n">
        <x:f>MAX(0,AE431-AE430)</x:f>
        <x:v>0</x:v>
      </x:c>
      <x:c r="AG431" s="9" t="str">
        <x:f>IF(AF431&gt;0,B431,"")</x:f>
      </x:c>
      <x:c r="AH431" s="9" t="n">
        <x:f>IF(F431&gt;=1,1,(1+tun_LowTiesShare*(AE431-1))/AE431)</x:f>
        <x:v>1</x:v>
      </x:c>
      <x:c r="AI431" s="32" t="n">
        <x:f>(Z431+tun_ElderCommons*INDEX(LM_Elder,G431)*AA431)*AH431</x:f>
        <x:v>12195.592735164686</x:v>
      </x:c>
      <x:c r="AJ431" s="32" t="n">
        <x:f>H431*tun_CommonsCoef*AI431^tun_CommonsExp*INDEX(LM_Commons,G431)</x:f>
        <x:v>27862.521301427485</x:v>
      </x:c>
      <x:c r="AK431" s="32" t="n">
        <x:f>H431*tun_RoleScale*Arch_Roles*(AE431*(INDEX(tun_ElderRolePerSett,G431)*tun_OutElder*INDEX(LM_Elder,G431)+INDEX(tun_ShamanPerSett,G431)*tun_OutShaman)+Z431*(INDEX(tun_PriestShare,G431)*tun_OutPriest+INDEX(tun_ScribeShare,G431)*tun_OutScribe*INDEX(LM_Scribe,G431)+INDEX(tun_ScholarShare,G431)*tun_OutScholar*INDEX(LM_Scholar,G431)+INDEX(tun_ResearcherShare,G431)*tun_OutResearcher*INDEX(LM_Researcher,G431)))</x:f>
        <x:v>8666.854103957701</x:v>
      </x:c>
      <x:c r="AL431" s="32" t="n">
        <x:f>H431*tun_RoleScale*Arch_Roles*AE431*INDEX(tun_MonasteryPerSett,G431)*tun_OutMonastery*INDEX(LM_Monastery,G431)</x:f>
        <x:v>79.2</x:v>
      </x:c>
      <x:c r="AM431" s="32" t="n">
        <x:f>(AJ431+AK431+AL431)/4*INDEX(LM_All,G431)*INDEX(tun_Boon,G431)*Arch_Insight</x:f>
        <x:v>22031.133884273477</x:v>
      </x:c>
      <x:c r="AN431" s="32" t="n">
        <x:f>H431*(tun_KHPerAdult*Z431+tun_KHOfCommons*AJ431/4*INDEX(LM_All,G431))*tun_KHUsable*Arch_KH</x:f>
        <x:v>3455.9978281130348</x:v>
      </x:c>
      <x:c r="AO431" s="32" t="n">
        <x:f>MIN(AP430+AN431,AM431*tun_KHMaxRatio)</x:f>
        <x:v>3455.9978281130348</x:v>
      </x:c>
      <x:c r="AP431" s="32" t="n">
        <x:f>AP430+AN431-AO431</x:f>
        <x:v>0</x:v>
      </x:c>
      <x:c r="AQ431" s="32" t="n">
        <x:f>AM431+AO431</x:f>
        <x:v>25487.131712386512</x:v>
      </x:c>
      <x:c r="AR431" s="10" t="n">
        <x:f>IF(H431=1,INDEX(tun_Req,G431),0)</x:f>
        <x:v>3142139.1800715</x:v>
      </x:c>
      <x:c r="AS431" s="32" t="n">
        <x:f>IF(H431=1,IF(E431=1,AS430-AR430,AS430)+AQ431,0)</x:f>
        <x:v>720752.5656371126</x:v>
      </x:c>
      <x:c r="AT431" s="11" t="n">
        <x:f>IF(AR431&gt;0,MIN(1,AS431/AR431),1)</x:f>
        <x:v>0.22938276261228877</x:v>
      </x:c>
      <x:c r="AU431" s="10" t="n">
        <x:f>AB431/INDEX(tun_RepScale,G431)</x:f>
        <x:v>144.23155464988977</x:v>
      </x:c>
      <x:c r="AV431" s="32" t="n">
        <x:f>AM431*60/tun_SeasonSeconds</x:f>
        <x:v>88124.5355370939</x:v>
      </x:c>
    </x:row>
    <x:row r="432">
      <x:c r="A432" s="8" t="n">
        <x:f>A431+1</x:f>
        <x:v>429</x:v>
      </x:c>
      <x:c r="B432" s="9" t="n">
        <x:f>A432*tun_SeasonSeconds/60</x:f>
        <x:v>107.25</x:v>
      </x:c>
      <x:c r="C432" s="9" t="n">
        <x:f>A432/4</x:f>
        <x:v>107.25</x:v>
      </x:c>
      <x:c r="D432" s="8" t="n">
        <x:f>IF(MOD(A432,4)=0,1,0)</x:f>
        <x:v>0</x:v>
      </x:c>
      <x:c r="E432" s="8" t="n">
        <x:f>IF(AND(F431&lt;=9,AS431&gt;=AR431),1,0)</x:f>
        <x:v>0</x:v>
      </x:c>
      <x:c r="F432" s="8" t="n">
        <x:f>MIN(10,F431+E432)</x:f>
        <x:v>7</x:v>
      </x:c>
      <x:c r="G432" s="8" t="n">
        <x:f>MIN(F432,9)+1</x:f>
        <x:v>8</x:v>
      </x:c>
      <x:c r="H432" s="8" t="n">
        <x:f>IF(F432&lt;=9,1,0)</x:f>
        <x:v>1</x:v>
      </x:c>
      <x:c r="I432" s="9" t="n">
        <x:f>MIN(10,F431+IF(AR431&gt;0,MIN(1,AS431/AR431),1))</x:f>
        <x:v>7.229382762612289</x:v>
      </x:c>
      <x:c r="J432" s="32" t="n">
        <x:f>INDEX(tun_FoodCap,G432)*Arch_FoodCap*EXP(tun_CapsByProject*SUMPRODUCT((Cap_Point&lt;=I432)*(Cap_Kind="Food")*Cap_Ln))</x:f>
        <x:v>1030.8296491509448</x:v>
      </x:c>
      <x:c r="K432" s="32" t="n">
        <x:f>J432*MIN(1,tun_LeanBase*EXP(tun_CapsByProject*SUMPRODUCT((Cap_Point&lt;=I432)*(Cap_Kind="Lean")*Cap_Ln)))</x:f>
        <x:v>1030.8296491509448</x:v>
      </x:c>
      <x:c r="L432" s="10" t="n">
        <x:f>INDEX(tun_HousingCap,G432)*EXP(tun_CapsByProject*SUMPRODUCT((Cap_Point&lt;=I432)*(Cap_Kind="Housing")*Cap_Ln))</x:f>
        <x:v>2423.1679699072442</x:v>
      </x:c>
      <x:c r="M432" s="10" t="n">
        <x:f>INDEX(tun_GroupCap,G432)*tun_CohesionFactor*EXP(tun_CapsByProject*SUMPRODUCT((Cap_Point&lt;=I432)*(Cap_Kind="Group")*Cap_Ln))</x:f>
        <x:v>1000000.000000001</x:v>
      </x:c>
      <x:c r="N432" s="32" t="n">
        <x:f>MIN(J432,L432,M432)</x:f>
        <x:v>1030.8296491509448</x:v>
      </x:c>
      <x:c r="O432" s="10" t="n">
        <x:f>AE431*N432</x:f>
        <x:v>15462.444737264172</x:v>
      </x:c>
      <x:c r="P432" s="9" t="n">
        <x:f>MIN(1,(AB431/(AE431*IF(tun_GroupInCrowding=1,N432,MIN(J432,L432))))^tun_CrowdingExp)</x:f>
        <x:v>0.6587077081586852</x:v>
      </x:c>
      <x:c r="Q432" s="9" t="n">
        <x:f>IF(D432=1,INDEX(tun_WinterMult,G432),1)</x:f>
        <x:v>1</x:v>
      </x:c>
      <x:c r="R432" s="9" t="n">
        <x:f>H432*Z431*tun_WomenShare*tun_BaseFertility*INDEX(tun_FertMult,G432)*Arch_Fertility*(1-P432)</x:f>
        <x:v>127.43419938945468</x:v>
      </x:c>
      <x:c r="S432" s="9" t="n">
        <x:f>H432*Y431*INDEX(tun_MortChild,G432)/4*Q432</x:f>
        <x:v>29.57329774634731</x:v>
      </x:c>
      <x:c r="T432" s="9" t="n">
        <x:f>H432*Z431*INDEX(tun_MortAdult,G432)*Arch_AdultMort/4*Q432</x:f>
        <x:v>11.20161829925292</x:v>
      </x:c>
      <x:c r="U432" s="9" t="n">
        <x:f>H432*AA431*INDEX(tun_MortElder,G432)/4*Q432</x:f>
        <x:v>18.493362870963534</x:v>
      </x:c>
      <x:c r="V432" s="9" t="n">
        <x:f>H432*MAX(0,AB431-O432)*tun_OvercapLoss</x:f>
        <x:v>0</x:v>
      </x:c>
      <x:c r="W432" s="9" t="n">
        <x:f>H432*Y431/(tun_ChildYears*4)</x:f>
        <x:v>124.25755355608113</x:v>
      </x:c>
      <x:c r="X432" s="9" t="n">
        <x:f>H432*Z431/(tun_AdultYears*4)</x:f>
        <x:v>46.32596484389131</x:v>
      </x:c>
      <x:c r="Y432" s="32" t="n">
        <x:f>Y431+R432-S432-W432-Y431*V432/AB431</x:f>
        <x:v>6932.02634722757</x:v>
      </x:c>
      <x:c r="Z432" s="32" t="n">
        <x:f>Z431+W432-X432-T432-Z431*V432/AB431</x:f>
        <x:v>5811.149611055459</x:v>
      </x:c>
      <x:c r="AA432" s="32" t="n">
        <x:f>AA431+X432-U432-AA431*V432/AB431</x:f>
        <x:v>1748.1454271788382</x:v>
      </x:c>
      <x:c r="AB432" s="10" t="n">
        <x:f>Y432+Z432+AA432</x:f>
        <x:v>14491.321385461868</x:v>
      </x:c>
      <x:c r="AC432" s="8" t="n">
        <x:f>IF(AND(tun_WinterTrigger=1,D432=1,AB431/AE431&gt;=K432),1,0)</x:f>
        <x:v>0</x:v>
      </x:c>
      <x:c r="AD432" s="8" t="n">
        <x:f>H432*IF(AND(OR(AB431/AE431&gt;=tun_FissionTrigger*N432,AC432=1),AB431/AE431*tun_DaughterShare&gt;=tun_MinDaughter),MAX(1,ROUND(AE431*tun_FissionRate,0)),0)</x:f>
        <x:v>5</x:v>
      </x:c>
      <x:c r="AE432" s="8" t="n">
        <x:f>IF(H432=1,MAX(1,MIN(INDEX(tun_Smax,G432),AE431+AD432)),AE431)</x:f>
        <x:v>15</x:v>
      </x:c>
      <x:c r="AF432" s="8" t="n">
        <x:f>MAX(0,AE432-AE431)</x:f>
        <x:v>0</x:v>
      </x:c>
      <x:c r="AG432" s="9" t="str">
        <x:f>IF(AF432&gt;0,B432,"")</x:f>
      </x:c>
      <x:c r="AH432" s="9" t="n">
        <x:f>IF(F432&gt;=1,1,(1+tun_LowTiesShare*(AE432-1))/AE432)</x:f>
        <x:v>1</x:v>
      </x:c>
      <x:c r="AI432" s="32" t="n">
        <x:f>(Z432+tun_ElderCommons*INDEX(LM_Elder,G432)*AA432)*AH432</x:f>
        <x:v>12366.694962976102</x:v>
      </x:c>
      <x:c r="AJ432" s="32" t="n">
        <x:f>H432*tun_CommonsCoef*AI432^tun_CommonsExp*INDEX(LM_Commons,G432)</x:f>
        <x:v>28194.444273573306</x:v>
      </x:c>
      <x:c r="AK432" s="32" t="n">
        <x:f>H432*tun_RoleScale*Arch_Roles*(AE432*(INDEX(tun_ElderRolePerSett,G432)*tun_OutElder*INDEX(LM_Elder,G432)+INDEX(tun_ShamanPerSett,G432)*tun_OutShaman)+Z432*(INDEX(tun_PriestShare,G432)*tun_OutPriest+INDEX(tun_ScribeShare,G432)*tun_OutScribe*INDEX(LM_Scribe,G432)+INDEX(tun_ScholarShare,G432)*tun_OutScholar*INDEX(LM_Scholar,G432)+INDEX(tun_ResearcherShare,G432)*tun_OutResearcher*INDEX(LM_Researcher,G432)))</x:f>
        <x:v>8762.827816604404</x:v>
      </x:c>
      <x:c r="AL432" s="32" t="n">
        <x:f>H432*tun_RoleScale*Arch_Roles*AE432*INDEX(tun_MonasteryPerSett,G432)*tun_OutMonastery*INDEX(LM_Monastery,G432)</x:f>
        <x:v>79.2</x:v>
      </x:c>
      <x:c r="AM432" s="32" t="n">
        <x:f>(AJ432+AK432+AL432)/4*INDEX(LM_All,G432)*INDEX(tun_Boon,G432)*Arch_Insight</x:f>
        <x:v>22288.64319860517</x:v>
      </x:c>
      <x:c r="AN432" s="32" t="n">
        <x:f>H432*(tun_KHPerAdult*Z432+tun_KHOfCommons*AJ432/4*INDEX(LM_All,G432))*tun_KHUsable*Arch_KH</x:f>
        <x:v>3497.168727847009</x:v>
      </x:c>
      <x:c r="AO432" s="32" t="n">
        <x:f>MIN(AP431+AN432,AM432*tun_KHMaxRatio)</x:f>
        <x:v>3497.168727847009</x:v>
      </x:c>
      <x:c r="AP432" s="32" t="n">
        <x:f>AP431+AN432-AO432</x:f>
        <x:v>0</x:v>
      </x:c>
      <x:c r="AQ432" s="32" t="n">
        <x:f>AM432+AO432</x:f>
        <x:v>25785.811926452177</x:v>
      </x:c>
      <x:c r="AR432" s="10" t="n">
        <x:f>IF(H432=1,INDEX(tun_Req,G432),0)</x:f>
        <x:v>3142139.1800715</x:v>
      </x:c>
      <x:c r="AS432" s="32" t="n">
        <x:f>IF(H432=1,IF(E432=1,AS431-AR431,AS431)+AQ432,0)</x:f>
        <x:v>746538.3775635648</x:v>
      </x:c>
      <x:c r="AT432" s="11" t="n">
        <x:f>IF(AR432&gt;0,MIN(1,AS432/AR432),1)</x:f>
        <x:v>0.23758921383825435</x:v>
      </x:c>
      <x:c r="AU432" s="10" t="n">
        <x:f>AB432/INDEX(tun_RepScale,G432)</x:f>
        <x:v>144.91321385461868</x:v>
      </x:c>
      <x:c r="AV432" s="32" t="n">
        <x:f>AM432*60/tun_SeasonSeconds</x:f>
        <x:v>89154.57279442067</x:v>
      </x:c>
    </x:row>
    <x:row r="433">
      <x:c r="A433" s="8" t="n">
        <x:f>A432+1</x:f>
        <x:v>430</x:v>
      </x:c>
      <x:c r="B433" s="9" t="n">
        <x:f>A433*tun_SeasonSeconds/60</x:f>
        <x:v>107.5</x:v>
      </x:c>
      <x:c r="C433" s="9" t="n">
        <x:f>A433/4</x:f>
        <x:v>107.5</x:v>
      </x:c>
      <x:c r="D433" s="8" t="n">
        <x:f>IF(MOD(A433,4)=0,1,0)</x:f>
        <x:v>0</x:v>
      </x:c>
      <x:c r="E433" s="8" t="n">
        <x:f>IF(AND(F432&lt;=9,AS432&gt;=AR432),1,0)</x:f>
        <x:v>0</x:v>
      </x:c>
      <x:c r="F433" s="8" t="n">
        <x:f>MIN(10,F432+E433)</x:f>
        <x:v>7</x:v>
      </x:c>
      <x:c r="G433" s="8" t="n">
        <x:f>MIN(F433,9)+1</x:f>
        <x:v>8</x:v>
      </x:c>
      <x:c r="H433" s="8" t="n">
        <x:f>IF(F433&lt;=9,1,0)</x:f>
        <x:v>1</x:v>
      </x:c>
      <x:c r="I433" s="9" t="n">
        <x:f>MIN(10,F432+IF(AR432&gt;0,MIN(1,AS432/AR432),1))</x:f>
        <x:v>7.2375892138382545</x:v>
      </x:c>
      <x:c r="J433" s="32" t="n">
        <x:f>INDEX(tun_FoodCap,G433)*Arch_FoodCap*EXP(tun_CapsByProject*SUMPRODUCT((Cap_Point&lt;=I433)*(Cap_Kind="Food")*Cap_Ln))</x:f>
        <x:v>1030.8296491509448</x:v>
      </x:c>
      <x:c r="K433" s="32" t="n">
        <x:f>J433*MIN(1,tun_LeanBase*EXP(tun_CapsByProject*SUMPRODUCT((Cap_Point&lt;=I433)*(Cap_Kind="Lean")*Cap_Ln)))</x:f>
        <x:v>1030.8296491509448</x:v>
      </x:c>
      <x:c r="L433" s="10" t="n">
        <x:f>INDEX(tun_HousingCap,G433)*EXP(tun_CapsByProject*SUMPRODUCT((Cap_Point&lt;=I433)*(Cap_Kind="Housing")*Cap_Ln))</x:f>
        <x:v>2423.1679699072442</x:v>
      </x:c>
      <x:c r="M433" s="10" t="n">
        <x:f>INDEX(tun_GroupCap,G433)*tun_CohesionFactor*EXP(tun_CapsByProject*SUMPRODUCT((Cap_Point&lt;=I433)*(Cap_Kind="Group")*Cap_Ln))</x:f>
        <x:v>1000000.000000001</x:v>
      </x:c>
      <x:c r="N433" s="32" t="n">
        <x:f>MIN(J433,L433,M433)</x:f>
        <x:v>1030.8296491509448</x:v>
      </x:c>
      <x:c r="O433" s="10" t="n">
        <x:f>AE432*N433</x:f>
        <x:v>15462.444737264172</x:v>
      </x:c>
      <x:c r="P433" s="9" t="n">
        <x:f>MIN(1,(AB432/(AE432*IF(tun_GroupInCrowding=1,N433,MIN(J433,L433))))^tun_CrowdingExp)</x:f>
        <x:v>0.6776086895086249</x:v>
      </x:c>
      <x:c r="Q433" s="9" t="n">
        <x:f>IF(D433=1,INDEX(tun_WinterMult,G433),1)</x:f>
        <x:v>1</x:v>
      </x:c>
      <x:c r="R433" s="9" t="n">
        <x:f>H433*Z432*tun_WomenShare*tun_BaseFertility*INDEX(tun_FertMult,G433)*Arch_Fertility*(1-P433)</x:f>
        <x:v>121.77516900702496</x:v>
      </x:c>
      <x:c r="S433" s="9" t="n">
        <x:f>H433*Y432*INDEX(tun_MortChild,G433)/4*Q433</x:f>
        <x:v>29.461111975717174</x:v>
      </x:c>
      <x:c r="T433" s="9" t="n">
        <x:f>H433*Z432*INDEX(tun_MortAdult,G433)*Arch_AdultMort/4*Q433</x:f>
        <x:v>11.331741741558144</x:v>
      </x:c>
      <x:c r="U433" s="9" t="n">
        <x:f>H433*AA432*INDEX(tun_MortElder,G433)/4*Q433</x:f>
        <x:v>18.79256334217251</x:v>
      </x:c>
      <x:c r="V433" s="9" t="n">
        <x:f>H433*MAX(0,AB432-O433)*tun_OvercapLoss</x:f>
        <x:v>0</x:v>
      </x:c>
      <x:c r="W433" s="9" t="n">
        <x:f>H433*Y432/(tun_ChildYears*4)</x:f>
        <x:v>123.7861847719209</x:v>
      </x:c>
      <x:c r="X433" s="9" t="n">
        <x:f>H433*Z432/(tun_AdultYears*4)</x:f>
        <x:v>46.864109766576284</x:v>
      </x:c>
      <x:c r="Y433" s="32" t="n">
        <x:f>Y432+R433-S433-W433-Y432*V433/AB432</x:f>
        <x:v>6900.554219486958</x:v>
      </x:c>
      <x:c r="Z433" s="32" t="n">
        <x:f>Z432+W433-X433-T433-Z432*V433/AB432</x:f>
        <x:v>5876.739944319245</x:v>
      </x:c>
      <x:c r="AA433" s="32" t="n">
        <x:f>AA432+X433-U433-AA432*V433/AB432</x:f>
        <x:v>1776.216973603242</x:v>
      </x:c>
      <x:c r="AB433" s="10" t="n">
        <x:f>Y433+Z433+AA433</x:f>
        <x:v>14553.511137409445</x:v>
      </x:c>
      <x:c r="AC433" s="8" t="n">
        <x:f>IF(AND(tun_WinterTrigger=1,D433=1,AB432/AE432&gt;=K433),1,0)</x:f>
        <x:v>0</x:v>
      </x:c>
      <x:c r="AD433" s="8" t="n">
        <x:f>H433*IF(AND(OR(AB432/AE432&gt;=tun_FissionTrigger*N433,AC433=1),AB432/AE432*tun_DaughterShare&gt;=tun_MinDaughter),MAX(1,ROUND(AE432*tun_FissionRate,0)),0)</x:f>
        <x:v>5</x:v>
      </x:c>
      <x:c r="AE433" s="8" t="n">
        <x:f>IF(H433=1,MAX(1,MIN(INDEX(tun_Smax,G433),AE432+AD433)),AE432)</x:f>
        <x:v>15</x:v>
      </x:c>
      <x:c r="AF433" s="8" t="n">
        <x:f>MAX(0,AE433-AE432)</x:f>
        <x:v>0</x:v>
      </x:c>
      <x:c r="AG433" s="9" t="str">
        <x:f>IF(AF433&gt;0,B433,"")</x:f>
      </x:c>
      <x:c r="AH433" s="9" t="n">
        <x:f>IF(F433&gt;=1,1,(1+tun_LowTiesShare*(AE433-1))/AE433)</x:f>
        <x:v>1</x:v>
      </x:c>
      <x:c r="AI433" s="32" t="n">
        <x:f>(Z433+tun_ElderCommons*INDEX(LM_Elder,G433)*AA433)*AH433</x:f>
        <x:v>12537.553595331403</x:v>
      </x:c>
      <x:c r="AJ433" s="32" t="n">
        <x:f>H433*tun_CommonsCoef*AI433^tun_CommonsExp*INDEX(LM_Commons,G433)</x:f>
        <x:v>28525.207987492766</x:v>
      </x:c>
      <x:c r="AK433" s="32" t="n">
        <x:f>H433*tun_RoleScale*Arch_Roles*(AE433*(INDEX(tun_ElderRolePerSett,G433)*tun_OutElder*INDEX(LM_Elder,G433)+INDEX(tun_ShamanPerSett,G433)*tun_OutShaman)+Z433*(INDEX(tun_PriestShare,G433)*tun_OutPriest+INDEX(tun_ScribeShare,G433)*tun_OutScribe*INDEX(LM_Scribe,G433)+INDEX(tun_ScholarShare,G433)*tun_OutScholar*INDEX(LM_Scholar,G433)+INDEX(tun_ResearcherShare,G433)*tun_OutResearcher*INDEX(LM_Researcher,G433)))</x:f>
        <x:v>8857.162457517712</x:v>
      </x:c>
      <x:c r="AL433" s="32" t="n">
        <x:f>H433*tun_RoleScale*Arch_Roles*AE433*INDEX(tun_MonasteryPerSett,G433)*tun_OutMonastery*INDEX(LM_Monastery,G433)</x:f>
        <x:v>79.2</x:v>
      </x:c>
      <x:c r="AM433" s="32" t="n">
        <x:f>(AJ433+AK433+AL433)/4*INDEX(LM_All,G433)*INDEX(tun_Boon,G433)*Arch_Insight</x:f>
        <x:v>22544.46847084254</x:v>
      </x:c>
      <x:c r="AN433" s="32" t="n">
        <x:f>H433*(tun_KHPerAdult*Z433+tun_KHOfCommons*AJ433/4*INDEX(LM_All,G433))*tun_KHUsable*Arch_KH</x:f>
        <x:v>3538.1958360744925</x:v>
      </x:c>
      <x:c r="AO433" s="32" t="n">
        <x:f>MIN(AP432+AN433,AM433*tun_KHMaxRatio)</x:f>
        <x:v>3538.1958360744925</x:v>
      </x:c>
      <x:c r="AP433" s="32" t="n">
        <x:f>AP432+AN433-AO433</x:f>
        <x:v>0</x:v>
      </x:c>
      <x:c r="AQ433" s="32" t="n">
        <x:f>AM433+AO433</x:f>
        <x:v>26082.664306917035</x:v>
      </x:c>
      <x:c r="AR433" s="10" t="n">
        <x:f>IF(H433=1,INDEX(tun_Req,G433),0)</x:f>
        <x:v>3142139.1800715</x:v>
      </x:c>
      <x:c r="AS433" s="32" t="n">
        <x:f>IF(H433=1,IF(E433=1,AS432-AR432,AS432)+AQ433,0)</x:f>
        <x:v>772621.0418704818</x:v>
      </x:c>
      <x:c r="AT433" s="11" t="n">
        <x:f>IF(AR433&gt;0,MIN(1,AS433/AR433),1)</x:f>
        <x:v>0.24589013967640372</x:v>
      </x:c>
      <x:c r="AU433" s="10" t="n">
        <x:f>AB433/INDEX(tun_RepScale,G433)</x:f>
        <x:v>145.53511137409444</x:v>
      </x:c>
      <x:c r="AV433" s="32" t="n">
        <x:f>AM433*60/tun_SeasonSeconds</x:f>
        <x:v>90177.87388337016</x:v>
      </x:c>
    </x:row>
    <x:row r="434">
      <x:c r="A434" s="8" t="n">
        <x:f>A433+1</x:f>
        <x:v>431</x:v>
      </x:c>
      <x:c r="B434" s="9" t="n">
        <x:f>A434*tun_SeasonSeconds/60</x:f>
        <x:v>107.75</x:v>
      </x:c>
      <x:c r="C434" s="9" t="n">
        <x:f>A434/4</x:f>
        <x:v>107.75</x:v>
      </x:c>
      <x:c r="D434" s="8" t="n">
        <x:f>IF(MOD(A434,4)=0,1,0)</x:f>
        <x:v>0</x:v>
      </x:c>
      <x:c r="E434" s="8" t="n">
        <x:f>IF(AND(F433&lt;=9,AS433&gt;=AR433),1,0)</x:f>
        <x:v>0</x:v>
      </x:c>
      <x:c r="F434" s="8" t="n">
        <x:f>MIN(10,F433+E434)</x:f>
        <x:v>7</x:v>
      </x:c>
      <x:c r="G434" s="8" t="n">
        <x:f>MIN(F434,9)+1</x:f>
        <x:v>8</x:v>
      </x:c>
      <x:c r="H434" s="8" t="n">
        <x:f>IF(F434&lt;=9,1,0)</x:f>
        <x:v>1</x:v>
      </x:c>
      <x:c r="I434" s="9" t="n">
        <x:f>MIN(10,F433+IF(AR433&gt;0,MIN(1,AS433/AR433),1))</x:f>
        <x:v>7.245890139676404</x:v>
      </x:c>
      <x:c r="J434" s="32" t="n">
        <x:f>INDEX(tun_FoodCap,G434)*Arch_FoodCap*EXP(tun_CapsByProject*SUMPRODUCT((Cap_Point&lt;=I434)*(Cap_Kind="Food")*Cap_Ln))</x:f>
        <x:v>1030.8296491509448</x:v>
      </x:c>
      <x:c r="K434" s="32" t="n">
        <x:f>J434*MIN(1,tun_LeanBase*EXP(tun_CapsByProject*SUMPRODUCT((Cap_Point&lt;=I434)*(Cap_Kind="Lean")*Cap_Ln)))</x:f>
        <x:v>1030.8296491509448</x:v>
      </x:c>
      <x:c r="L434" s="10" t="n">
        <x:f>INDEX(tun_HousingCap,G434)*EXP(tun_CapsByProject*SUMPRODUCT((Cap_Point&lt;=I434)*(Cap_Kind="Housing")*Cap_Ln))</x:f>
        <x:v>2423.1679699072442</x:v>
      </x:c>
      <x:c r="M434" s="10" t="n">
        <x:f>INDEX(tun_GroupCap,G434)*tun_CohesionFactor*EXP(tun_CapsByProject*SUMPRODUCT((Cap_Point&lt;=I434)*(Cap_Kind="Group")*Cap_Ln))</x:f>
        <x:v>1000000.000000001</x:v>
      </x:c>
      <x:c r="N434" s="32" t="n">
        <x:f>MIN(J434,L434,M434)</x:f>
        <x:v>1030.8296491509448</x:v>
      </x:c>
      <x:c r="O434" s="10" t="n">
        <x:f>AE433*N434</x:f>
        <x:v>15462.444737264172</x:v>
      </x:c>
      <x:c r="P434" s="9" t="n">
        <x:f>MIN(1,(AB433/(AE433*IF(tun_GroupInCrowding=1,N434,MIN(J434,L434))))^tun_CrowdingExp)</x:f>
        <x:v>0.6952447733047105</x:v>
      </x:c>
      <x:c r="Q434" s="9" t="n">
        <x:f>IF(D434=1,INDEX(tun_WinterMult,G434),1)</x:f>
        <x:v>1</x:v>
      </x:c>
      <x:c r="R434" s="9" t="n">
        <x:f>H434*Z433*tun_WomenShare*tun_BaseFertility*INDEX(tun_FertMult,G434)*Arch_Fertility*(1-P434)</x:f>
        <x:v>116.41286890741787</x:v>
      </x:c>
      <x:c r="S434" s="9" t="n">
        <x:f>H434*Y433*INDEX(tun_MortChild,G434)/4*Q434</x:f>
        <x:v>29.327355432819573</x:v>
      </x:c>
      <x:c r="T434" s="9" t="n">
        <x:f>H434*Z433*INDEX(tun_MortAdult,G434)*Arch_AdultMort/4*Q434</x:f>
        <x:v>11.459642891422527</x:v>
      </x:c>
      <x:c r="U434" s="9" t="n">
        <x:f>H434*AA433*INDEX(tun_MortElder,G434)/4*Q434</x:f>
        <x:v>19.09433246623485</x:v>
      </x:c>
      <x:c r="V434" s="9" t="n">
        <x:f>H434*MAX(0,AB433-O434)*tun_OvercapLoss</x:f>
        <x:v>0</x:v>
      </x:c>
      <x:c r="W434" s="9" t="n">
        <x:f>H434*Y433/(tun_ChildYears*4)</x:f>
        <x:v>123.22418249083853</x:v>
      </x:c>
      <x:c r="X434" s="9" t="n">
        <x:f>H434*Z433/(tun_AdultYears*4)</x:f>
        <x:v>47.39306406709069</x:v>
      </x:c>
      <x:c r="Y434" s="32" t="n">
        <x:f>Y433+R434-S434-W434-Y433*V434/AB433</x:f>
        <x:v>6864.415550470717</x:v>
      </x:c>
      <x:c r="Z434" s="32" t="n">
        <x:f>Z433+W434-X434-T434-Z433*V434/AB433</x:f>
        <x:v>5941.111419851571</x:v>
      </x:c>
      <x:c r="AA434" s="32" t="n">
        <x:f>AA433+X434-U434-AA433*V434/AB433</x:f>
        <x:v>1804.515705204098</x:v>
      </x:c>
      <x:c r="AB434" s="10" t="n">
        <x:f>Y434+Z434+AA434</x:f>
        <x:v>14610.042675526385</x:v>
      </x:c>
      <x:c r="AC434" s="8" t="n">
        <x:f>IF(AND(tun_WinterTrigger=1,D434=1,AB433/AE433&gt;=K434),1,0)</x:f>
        <x:v>0</x:v>
      </x:c>
      <x:c r="AD434" s="8" t="n">
        <x:f>H434*IF(AND(OR(AB433/AE433&gt;=tun_FissionTrigger*N434,AC434=1),AB433/AE433*tun_DaughterShare&gt;=tun_MinDaughter),MAX(1,ROUND(AE433*tun_FissionRate,0)),0)</x:f>
        <x:v>5</x:v>
      </x:c>
      <x:c r="AE434" s="8" t="n">
        <x:f>IF(H434=1,MAX(1,MIN(INDEX(tun_Smax,G434),AE433+AD434)),AE433)</x:f>
        <x:v>15</x:v>
      </x:c>
      <x:c r="AF434" s="8" t="n">
        <x:f>MAX(0,AE434-AE433)</x:f>
        <x:v>0</x:v>
      </x:c>
      <x:c r="AG434" s="9" t="str">
        <x:f>IF(AF434&gt;0,B434,"")</x:f>
      </x:c>
      <x:c r="AH434" s="9" t="n">
        <x:f>IF(F434&gt;=1,1,(1+tun_LowTiesShare*(AE434-1))/AE434)</x:f>
        <x:v>1</x:v>
      </x:c>
      <x:c r="AI434" s="32" t="n">
        <x:f>(Z434+tun_ElderCommons*INDEX(LM_Elder,G434)*AA434)*AH434</x:f>
        <x:v>12708.045314366937</x:v>
      </x:c>
      <x:c r="AJ434" s="32" t="n">
        <x:f>H434*tun_CommonsCoef*AI434^tun_CommonsExp*INDEX(LM_Commons,G434)</x:f>
        <x:v>28854.588097335916</x:v>
      </x:c>
      <x:c r="AK434" s="32" t="n">
        <x:f>H434*tun_RoleScale*Arch_Roles*(AE434*(INDEX(tun_ElderRolePerSett,G434)*tun_OutElder*INDEX(LM_Elder,G434)+INDEX(tun_ShamanPerSett,G434)*tun_OutShaman)+Z434*(INDEX(tun_PriestShare,G434)*tun_OutPriest+INDEX(tun_ScribeShare,G434)*tun_OutScribe*INDEX(LM_Scribe,G434)+INDEX(tun_ScholarShare,G434)*tun_OutScholar*INDEX(LM_Scholar,G434)+INDEX(tun_ResearcherShare,G434)*tun_OutResearcher*INDEX(LM_Researcher,G434)))</x:f>
        <x:v>8949.744088487323</x:v>
      </x:c>
      <x:c r="AL434" s="32" t="n">
        <x:f>H434*tun_RoleScale*Arch_Roles*AE434*INDEX(tun_MonasteryPerSett,G434)*tun_OutMonastery*INDEX(LM_Monastery,G434)</x:f>
        <x:v>79.2</x:v>
      </x:c>
      <x:c r="AM434" s="32" t="n">
        <x:f>(AJ434+AK434+AL434)/4*INDEX(LM_All,G434)*INDEX(tun_Boon,G434)*Arch_Insight</x:f>
        <x:v>22798.40612077687</x:v>
      </x:c>
      <x:c r="AN434" s="32" t="n">
        <x:f>H434*(tun_KHPerAdult*Z434+tun_KHOfCommons*AJ434/4*INDEX(LM_All,G434))*tun_KHUsable*Arch_KH</x:f>
        <x:v>3579.0513254943694</x:v>
      </x:c>
      <x:c r="AO434" s="32" t="n">
        <x:f>MIN(AP433+AN434,AM434*tun_KHMaxRatio)</x:f>
        <x:v>3579.0513254943694</x:v>
      </x:c>
      <x:c r="AP434" s="32" t="n">
        <x:f>AP433+AN434-AO434</x:f>
        <x:v>0</x:v>
      </x:c>
      <x:c r="AQ434" s="32" t="n">
        <x:f>AM434+AO434</x:f>
        <x:v>26377.457446271237</x:v>
      </x:c>
      <x:c r="AR434" s="10" t="n">
        <x:f>IF(H434=1,INDEX(tun_Req,G434),0)</x:f>
        <x:v>3142139.1800715</x:v>
      </x:c>
      <x:c r="AS434" s="32" t="n">
        <x:f>IF(H434=1,IF(E434=1,AS433-AR433,AS433)+AQ434,0)</x:f>
        <x:v>798998.499316753</x:v>
      </x:c>
      <x:c r="AT434" s="11" t="n">
        <x:f>IF(AR434&gt;0,MIN(1,AS434/AR434),1)</x:f>
        <x:v>0.2542848847639434</x:v>
      </x:c>
      <x:c r="AU434" s="10" t="n">
        <x:f>AB434/INDEX(tun_RepScale,G434)</x:f>
        <x:v>146.10042675526384</x:v>
      </x:c>
      <x:c r="AV434" s="32" t="n">
        <x:f>AM434*60/tun_SeasonSeconds</x:f>
        <x:v>91193.62448310746</x:v>
      </x:c>
    </x:row>
    <x:row r="435">
      <x:c r="A435" s="8" t="n">
        <x:f>A434+1</x:f>
        <x:v>432</x:v>
      </x:c>
      <x:c r="B435" s="9" t="n">
        <x:f>A435*tun_SeasonSeconds/60</x:f>
        <x:v>108</x:v>
      </x:c>
      <x:c r="C435" s="9" t="n">
        <x:f>A435/4</x:f>
        <x:v>108</x:v>
      </x:c>
      <x:c r="D435" s="8" t="n">
        <x:f>IF(MOD(A435,4)=0,1,0)</x:f>
        <x:v>1</x:v>
      </x:c>
      <x:c r="E435" s="8" t="n">
        <x:f>IF(AND(F434&lt;=9,AS434&gt;=AR434),1,0)</x:f>
        <x:v>0</x:v>
      </x:c>
      <x:c r="F435" s="8" t="n">
        <x:f>MIN(10,F434+E435)</x:f>
        <x:v>7</x:v>
      </x:c>
      <x:c r="G435" s="8" t="n">
        <x:f>MIN(F435,9)+1</x:f>
        <x:v>8</x:v>
      </x:c>
      <x:c r="H435" s="8" t="n">
        <x:f>IF(F435&lt;=9,1,0)</x:f>
        <x:v>1</x:v>
      </x:c>
      <x:c r="I435" s="9" t="n">
        <x:f>MIN(10,F434+IF(AR434&gt;0,MIN(1,AS434/AR434),1))</x:f>
        <x:v>7.254284884763943</x:v>
      </x:c>
      <x:c r="J435" s="32" t="n">
        <x:f>INDEX(tun_FoodCap,G435)*Arch_FoodCap*EXP(tun_CapsByProject*SUMPRODUCT((Cap_Point&lt;=I435)*(Cap_Kind="Food")*Cap_Ln))</x:f>
        <x:v>1303.9995061759453</x:v>
      </x:c>
      <x:c r="K435" s="32" t="n">
        <x:f>J435*MIN(1,tun_LeanBase*EXP(tun_CapsByProject*SUMPRODUCT((Cap_Point&lt;=I435)*(Cap_Kind="Lean")*Cap_Ln)))</x:f>
        <x:v>1303.9995061759453</x:v>
      </x:c>
      <x:c r="L435" s="10" t="n">
        <x:f>INDEX(tun_HousingCap,G435)*EXP(tun_CapsByProject*SUMPRODUCT((Cap_Point&lt;=I435)*(Cap_Kind="Housing")*Cap_Ln))</x:f>
        <x:v>3065.307481932663</x:v>
      </x:c>
      <x:c r="M435" s="10" t="n">
        <x:f>INDEX(tun_GroupCap,G435)*tun_CohesionFactor*EXP(tun_CapsByProject*SUMPRODUCT((Cap_Point&lt;=I435)*(Cap_Kind="Group")*Cap_Ln))</x:f>
        <x:v>1000000.000000001</x:v>
      </x:c>
      <x:c r="N435" s="32" t="n">
        <x:f>MIN(J435,L435,M435)</x:f>
        <x:v>1303.9995061759453</x:v>
      </x:c>
      <x:c r="O435" s="10" t="n">
        <x:f>AE434*N435</x:f>
        <x:v>19559.99259263918</x:v>
      </x:c>
      <x:c r="P435" s="9" t="n">
        <x:f>MIN(1,(AB434/(AE434*IF(tun_GroupInCrowding=1,N435,MIN(J435,L435))))^tun_CrowdingExp)</x:f>
        <x:v>0.17365879816237595</x:v>
      </x:c>
      <x:c r="Q435" s="9" t="n">
        <x:f>IF(D435=1,INDEX(tun_WinterMult,G435),1)</x:f>
        <x:v>1.08</x:v>
      </x:c>
      <x:c r="R435" s="9" t="n">
        <x:f>H435*Z434*tun_WomenShare*tun_BaseFertility*INDEX(tun_FertMult,G435)*Arch_Fertility*(1-P435)</x:f>
        <x:v>319.11003481053973</x:v>
      </x:c>
      <x:c r="S435" s="9" t="n">
        <x:f>H435*Y434*INDEX(tun_MortChild,G435)/4*Q435</x:f>
        <x:v>31.507667376660596</x:v>
      </x:c>
      <x:c r="T435" s="9" t="n">
        <x:f>H435*Z434*INDEX(tun_MortAdult,G435)*Arch_AdultMort/4*Q435</x:f>
        <x:v>12.511980650207407</x:v>
      </x:c>
      <x:c r="U435" s="9" t="n">
        <x:f>H435*AA434*INDEX(tun_MortElder,G435)/4*Q435</x:f>
        <x:v>20.950427337419576</x:v>
      </x:c>
      <x:c r="V435" s="9" t="n">
        <x:f>H435*MAX(0,AB434-O435)*tun_OvercapLoss</x:f>
        <x:v>0</x:v>
      </x:c>
      <x:c r="W435" s="9" t="n">
        <x:f>H435*Y434/(tun_ChildYears*4)</x:f>
        <x:v>122.57884911554852</x:v>
      </x:c>
      <x:c r="X435" s="9" t="n">
        <x:f>H435*Z434/(tun_AdultYears*4)</x:f>
        <x:v>47.91218886977073</x:v>
      </x:c>
      <x:c r="Y435" s="32" t="n">
        <x:f>Y434+R435-S435-W435-Y434*V435/AB434</x:f>
        <x:v>7029.439068789048</x:v>
      </x:c>
      <x:c r="Z435" s="32" t="n">
        <x:f>Z434+W435-X435-T435-Z434*V435/AB434</x:f>
        <x:v>6003.266099447141</x:v>
      </x:c>
      <x:c r="AA435" s="32" t="n">
        <x:f>AA434+X435-U435-AA434*V435/AB434</x:f>
        <x:v>1831.477466736449</x:v>
      </x:c>
      <x:c r="AB435" s="10" t="n">
        <x:f>Y435+Z435+AA435</x:f>
        <x:v>14864.182634972638</x:v>
      </x:c>
      <x:c r="AC435" s="8" t="n">
        <x:f>IF(AND(tun_WinterTrigger=1,D435=1,AB434/AE434&gt;=K435),1,0)</x:f>
        <x:v>0</x:v>
      </x:c>
      <x:c r="AD435" s="8" t="n">
        <x:f>H435*IF(AND(OR(AB434/AE434&gt;=tun_FissionTrigger*N435,AC435=1),AB434/AE434*tun_DaughterShare&gt;=tun_MinDaughter),MAX(1,ROUND(AE434*tun_FissionRate,0)),0)</x:f>
        <x:v>0</x:v>
      </x:c>
      <x:c r="AE435" s="8" t="n">
        <x:f>IF(H435=1,MAX(1,MIN(INDEX(tun_Smax,G435),AE434+AD435)),AE434)</x:f>
        <x:v>15</x:v>
      </x:c>
      <x:c r="AF435" s="8" t="n">
        <x:f>MAX(0,AE435-AE434)</x:f>
        <x:v>0</x:v>
      </x:c>
      <x:c r="AG435" s="9" t="str">
        <x:f>IF(AF435&gt;0,B435,"")</x:f>
      </x:c>
      <x:c r="AH435" s="9" t="n">
        <x:f>IF(F435&gt;=1,1,(1+tun_LowTiesShare*(AE435-1))/AE435)</x:f>
        <x:v>1</x:v>
      </x:c>
      <x:c r="AI435" s="32" t="n">
        <x:f>(Z435+tun_ElderCommons*INDEX(LM_Elder,G435)*AA435)*AH435</x:f>
        <x:v>12871.306599708825</x:v>
      </x:c>
      <x:c r="AJ435" s="32" t="n">
        <x:f>H435*tun_CommonsCoef*AI435^tun_CommonsExp*INDEX(LM_Commons,G435)</x:f>
        <x:v>29169.378622453794</x:v>
      </x:c>
      <x:c r="AK435" s="32" t="n">
        <x:f>H435*tun_RoleScale*Arch_Roles*(AE435*(INDEX(tun_ElderRolePerSett,G435)*tun_OutElder*INDEX(LM_Elder,G435)+INDEX(tun_ShamanPerSett,G435)*tun_OutShaman)+Z435*(INDEX(tun_PriestShare,G435)*tun_OutPriest+INDEX(tun_ScribeShare,G435)*tun_OutScribe*INDEX(LM_Scribe,G435)+INDEX(tun_ScholarShare,G435)*tun_OutScholar*INDEX(LM_Scholar,G435)+INDEX(tun_ResearcherShare,G435)*tun_OutResearcher*INDEX(LM_Researcher,G435)))</x:f>
        <x:v>9039.137434868855</x:v>
      </x:c>
      <x:c r="AL435" s="32" t="n">
        <x:f>H435*tun_RoleScale*Arch_Roles*AE435*INDEX(tun_MonasteryPerSett,G435)*tun_OutMonastery*INDEX(LM_Monastery,G435)</x:f>
        <x:v>79.2</x:v>
      </x:c>
      <x:c r="AM435" s="32" t="n">
        <x:f>(AJ435+AK435+AL435)/4*INDEX(LM_All,G435)*INDEX(tun_Boon,G435)*Arch_Insight</x:f>
        <x:v>23041.64500369602</x:v>
      </x:c>
      <x:c r="AN435" s="32" t="n">
        <x:f>H435*(tun_KHPerAdult*Z435+tun_KHOfCommons*AJ435/4*INDEX(LM_All,G435))*tun_KHUsable*Arch_KH</x:f>
        <x:v>3618.0971591197067</x:v>
      </x:c>
      <x:c r="AO435" s="32" t="n">
        <x:f>MIN(AP434+AN435,AM435*tun_KHMaxRatio)</x:f>
        <x:v>3618.0971591197067</x:v>
      </x:c>
      <x:c r="AP435" s="32" t="n">
        <x:f>AP434+AN435-AO435</x:f>
        <x:v>0</x:v>
      </x:c>
      <x:c r="AQ435" s="32" t="n">
        <x:f>AM435+AO435</x:f>
        <x:v>26659.742162815724</x:v>
      </x:c>
      <x:c r="AR435" s="10" t="n">
        <x:f>IF(H435=1,INDEX(tun_Req,G435),0)</x:f>
        <x:v>3142139.1800715</x:v>
      </x:c>
      <x:c r="AS435" s="32" t="n">
        <x:f>IF(H435=1,IF(E435=1,AS434-AR434,AS434)+AQ435,0)</x:f>
        <x:v>825658.2414795688</x:v>
      </x:c>
      <x:c r="AT435" s="11" t="n">
        <x:f>IF(AR435&gt;0,MIN(1,AS435/AR435),1)</x:f>
        <x:v>0.26276946823876235</x:v>
      </x:c>
      <x:c r="AU435" s="10" t="n">
        <x:f>AB435/INDEX(tun_RepScale,G435)</x:f>
        <x:v>148.6418263497264</x:v>
      </x:c>
      <x:c r="AV435" s="32" t="n">
        <x:f>AM435*60/tun_SeasonSeconds</x:f>
        <x:v>92166.58001478408</x:v>
      </x:c>
    </x:row>
    <x:row r="436">
      <x:c r="A436" s="8" t="n">
        <x:f>A435+1</x:f>
        <x:v>433</x:v>
      </x:c>
      <x:c r="B436" s="9" t="n">
        <x:f>A436*tun_SeasonSeconds/60</x:f>
        <x:v>108.25</x:v>
      </x:c>
      <x:c r="C436" s="9" t="n">
        <x:f>A436/4</x:f>
        <x:v>108.25</x:v>
      </x:c>
      <x:c r="D436" s="8" t="n">
        <x:f>IF(MOD(A436,4)=0,1,0)</x:f>
        <x:v>0</x:v>
      </x:c>
      <x:c r="E436" s="8" t="n">
        <x:f>IF(AND(F435&lt;=9,AS435&gt;=AR435),1,0)</x:f>
        <x:v>0</x:v>
      </x:c>
      <x:c r="F436" s="8" t="n">
        <x:f>MIN(10,F435+E436)</x:f>
        <x:v>7</x:v>
      </x:c>
      <x:c r="G436" s="8" t="n">
        <x:f>MIN(F436,9)+1</x:f>
        <x:v>8</x:v>
      </x:c>
      <x:c r="H436" s="8" t="n">
        <x:f>IF(F436&lt;=9,1,0)</x:f>
        <x:v>1</x:v>
      </x:c>
      <x:c r="I436" s="9" t="n">
        <x:f>MIN(10,F435+IF(AR435&gt;0,MIN(1,AS435/AR435),1))</x:f>
        <x:v>7.262769468238762</x:v>
      </x:c>
      <x:c r="J436" s="32" t="n">
        <x:f>INDEX(tun_FoodCap,G436)*Arch_FoodCap*EXP(tun_CapsByProject*SUMPRODUCT((Cap_Point&lt;=I436)*(Cap_Kind="Food")*Cap_Ln))</x:f>
        <x:v>1303.9995061759453</x:v>
      </x:c>
      <x:c r="K436" s="32" t="n">
        <x:f>J436*MIN(1,tun_LeanBase*EXP(tun_CapsByProject*SUMPRODUCT((Cap_Point&lt;=I436)*(Cap_Kind="Lean")*Cap_Ln)))</x:f>
        <x:v>1303.9995061759453</x:v>
      </x:c>
      <x:c r="L436" s="10" t="n">
        <x:f>INDEX(tun_HousingCap,G436)*EXP(tun_CapsByProject*SUMPRODUCT((Cap_Point&lt;=I436)*(Cap_Kind="Housing")*Cap_Ln))</x:f>
        <x:v>3065.307481932663</x:v>
      </x:c>
      <x:c r="M436" s="10" t="n">
        <x:f>INDEX(tun_GroupCap,G436)*tun_CohesionFactor*EXP(tun_CapsByProject*SUMPRODUCT((Cap_Point&lt;=I436)*(Cap_Kind="Group")*Cap_Ln))</x:f>
        <x:v>1000000.000000001</x:v>
      </x:c>
      <x:c r="N436" s="32" t="n">
        <x:f>MIN(J436,L436,M436)</x:f>
        <x:v>1303.9995061759453</x:v>
      </x:c>
      <x:c r="O436" s="10" t="n">
        <x:f>AE435*N436</x:f>
        <x:v>19559.99259263918</x:v>
      </x:c>
      <x:c r="P436" s="9" t="n">
        <x:f>MIN(1,(AB435/(AE435*IF(tun_GroupInCrowding=1,N436,MIN(J436,L436))))^tun_CrowdingExp)</x:f>
        <x:v>0.1925901542616676</x:v>
      </x:c>
      <x:c r="Q436" s="9" t="n">
        <x:f>IF(D436=1,INDEX(tun_WinterMult,G436),1)</x:f>
        <x:v>1</x:v>
      </x:c>
      <x:c r="R436" s="9" t="n">
        <x:f>H436*Z435*tun_WomenShare*tun_BaseFertility*INDEX(tun_FertMult,G436)*Arch_Fertility*(1-P436)</x:f>
        <x:v>315.06125009325046</x:v>
      </x:c>
      <x:c r="S436" s="9" t="n">
        <x:f>H436*Y435*INDEX(tun_MortChild,G436)/4*Q436</x:f>
        <x:v>29.875116042353458</x:v>
      </x:c>
      <x:c r="T436" s="9" t="n">
        <x:f>H436*Z435*INDEX(tun_MortAdult,G436)*Arch_AdultMort/4*Q436</x:f>
        <x:v>11.706368893921924</x:v>
      </x:c>
      <x:c r="U436" s="9" t="n">
        <x:f>H436*AA435*INDEX(tun_MortElder,G436)/4*Q436</x:f>
        <x:v>19.688382767416826</x:v>
      </x:c>
      <x:c r="V436" s="9" t="n">
        <x:f>H436*MAX(0,AB435-O436)*tun_OvercapLoss</x:f>
        <x:v>0</x:v>
      </x:c>
      <x:c r="W436" s="9" t="n">
        <x:f>H436*Y435/(tun_ChildYears*4)</x:f>
        <x:v>125.52569765694729</x:v>
      </x:c>
      <x:c r="X436" s="9" t="n">
        <x:f>H436*Z435/(tun_AdultYears*4)</x:f>
        <x:v>48.41343628586404</x:v>
      </x:c>
      <x:c r="Y436" s="32" t="n">
        <x:f>Y435+R436-S436-W436-Y435*V436/AB435</x:f>
        <x:v>7189.099505182998</x:v>
      </x:c>
      <x:c r="Z436" s="32" t="n">
        <x:f>Z435+W436-X436-T436-Z435*V436/AB435</x:f>
        <x:v>6068.671991924302</x:v>
      </x:c>
      <x:c r="AA436" s="32" t="n">
        <x:f>AA435+X436-U436-AA435*V436/AB435</x:f>
        <x:v>1860.2025202548962</x:v>
      </x:c>
      <x:c r="AB436" s="10" t="n">
        <x:f>Y436+Z436+AA436</x:f>
        <x:v>15117.974017362196</x:v>
      </x:c>
      <x:c r="AC436" s="8" t="n">
        <x:f>IF(AND(tun_WinterTrigger=1,D436=1,AB435/AE435&gt;=K436),1,0)</x:f>
        <x:v>0</x:v>
      </x:c>
      <x:c r="AD436" s="8" t="n">
        <x:f>H436*IF(AND(OR(AB435/AE435&gt;=tun_FissionTrigger*N436,AC436=1),AB435/AE435*tun_DaughterShare&gt;=tun_MinDaughter),MAX(1,ROUND(AE435*tun_FissionRate,0)),0)</x:f>
        <x:v>0</x:v>
      </x:c>
      <x:c r="AE436" s="8" t="n">
        <x:f>IF(H436=1,MAX(1,MIN(INDEX(tun_Smax,G436),AE435+AD436)),AE435)</x:f>
        <x:v>15</x:v>
      </x:c>
      <x:c r="AF436" s="8" t="n">
        <x:f>MAX(0,AE436-AE435)</x:f>
        <x:v>0</x:v>
      </x:c>
      <x:c r="AG436" s="9" t="str">
        <x:f>IF(AF436&gt;0,B436,"")</x:f>
      </x:c>
      <x:c r="AH436" s="9" t="n">
        <x:f>IF(F436&gt;=1,1,(1+tun_LowTiesShare*(AE436-1))/AE436)</x:f>
        <x:v>1</x:v>
      </x:c>
      <x:c r="AI436" s="32" t="n">
        <x:f>(Z436+tun_ElderCommons*INDEX(LM_Elder,G436)*AA436)*AH436</x:f>
        <x:v>13044.431442880163</x:v>
      </x:c>
      <x:c r="AJ436" s="32" t="n">
        <x:f>H436*tun_CommonsCoef*AI436^tun_CommonsExp*INDEX(LM_Commons,G436)</x:f>
        <x:v>29502.533960009445</x:v>
      </x:c>
      <x:c r="AK436" s="32" t="n">
        <x:f>H436*tun_RoleScale*Arch_Roles*(AE436*(INDEX(tun_ElderRolePerSett,G436)*tun_OutElder*INDEX(LM_Elder,G436)+INDEX(tun_ShamanPerSett,G436)*tun_OutShaman)+Z436*(INDEX(tun_PriestShare,G436)*tun_OutPriest+INDEX(tun_ScribeShare,G436)*tun_OutScribe*INDEX(LM_Scribe,G436)+INDEX(tun_ScholarShare,G436)*tun_OutScholar*INDEX(LM_Scholar,G436)+INDEX(tun_ResearcherShare,G436)*tun_OutResearcher*INDEX(LM_Researcher,G436)))</x:f>
        <x:v>9133.206805665208</x:v>
      </x:c>
      <x:c r="AL436" s="32" t="n">
        <x:f>H436*tun_RoleScale*Arch_Roles*AE436*INDEX(tun_MonasteryPerSett,G436)*tun_OutMonastery*INDEX(LM_Monastery,G436)</x:f>
        <x:v>79.2</x:v>
      </x:c>
      <x:c r="AM436" s="32" t="n">
        <x:f>(AJ436+AK436+AL436)/4*INDEX(LM_All,G436)*INDEX(tun_Boon,G436)*Arch_Insight</x:f>
        <x:v>23298.74992089496</x:v>
      </x:c>
      <x:c r="AN436" s="32" t="n">
        <x:f>H436*(tun_KHPerAdult*Z436+tun_KHOfCommons*AJ436/4*INDEX(LM_All,G436))*tun_KHUsable*Arch_KH</x:f>
        <x:v>3659.4209183933376</x:v>
      </x:c>
      <x:c r="AO436" s="32" t="n">
        <x:f>MIN(AP435+AN436,AM436*tun_KHMaxRatio)</x:f>
        <x:v>3659.4209183933376</x:v>
      </x:c>
      <x:c r="AP436" s="32" t="n">
        <x:f>AP435+AN436-AO436</x:f>
        <x:v>0</x:v>
      </x:c>
      <x:c r="AQ436" s="32" t="n">
        <x:f>AM436+AO436</x:f>
        <x:v>26958.170839288297</x:v>
      </x:c>
      <x:c r="AR436" s="10" t="n">
        <x:f>IF(H436=1,INDEX(tun_Req,G436),0)</x:f>
        <x:v>3142139.1800715</x:v>
      </x:c>
      <x:c r="AS436" s="32" t="n">
        <x:f>IF(H436=1,IF(E436=1,AS435-AR435,AS435)+AQ436,0)</x:f>
        <x:v>852616.412318857</x:v>
      </x:c>
      <x:c r="AT436" s="11" t="n">
        <x:f>IF(AR436&gt;0,MIN(1,AS436/AR436),1)</x:f>
        <x:v>0.2713490279890961</x:v>
      </x:c>
      <x:c r="AU436" s="10" t="n">
        <x:f>AB436/INDEX(tun_RepScale,G436)</x:f>
        <x:v>151.17974017362195</x:v>
      </x:c>
      <x:c r="AV436" s="32" t="n">
        <x:f>AM436*60/tun_SeasonSeconds</x:f>
        <x:v>93194.99968357984</x:v>
      </x:c>
    </x:row>
    <x:row r="437">
      <x:c r="A437" s="8" t="n">
        <x:f>A436+1</x:f>
        <x:v>434</x:v>
      </x:c>
      <x:c r="B437" s="9" t="n">
        <x:f>A437*tun_SeasonSeconds/60</x:f>
        <x:v>108.5</x:v>
      </x:c>
      <x:c r="C437" s="9" t="n">
        <x:f>A437/4</x:f>
        <x:v>108.5</x:v>
      </x:c>
      <x:c r="D437" s="8" t="n">
        <x:f>IF(MOD(A437,4)=0,1,0)</x:f>
        <x:v>0</x:v>
      </x:c>
      <x:c r="E437" s="8" t="n">
        <x:f>IF(AND(F436&lt;=9,AS436&gt;=AR436),1,0)</x:f>
        <x:v>0</x:v>
      </x:c>
      <x:c r="F437" s="8" t="n">
        <x:f>MIN(10,F436+E437)</x:f>
        <x:v>7</x:v>
      </x:c>
      <x:c r="G437" s="8" t="n">
        <x:f>MIN(F437,9)+1</x:f>
        <x:v>8</x:v>
      </x:c>
      <x:c r="H437" s="8" t="n">
        <x:f>IF(F437&lt;=9,1,0)</x:f>
        <x:v>1</x:v>
      </x:c>
      <x:c r="I437" s="9" t="n">
        <x:f>MIN(10,F436+IF(AR436&gt;0,MIN(1,AS436/AR436),1))</x:f>
        <x:v>7.271349027989096</x:v>
      </x:c>
      <x:c r="J437" s="32" t="n">
        <x:f>INDEX(tun_FoodCap,G437)*Arch_FoodCap*EXP(tun_CapsByProject*SUMPRODUCT((Cap_Point&lt;=I437)*(Cap_Kind="Food")*Cap_Ln))</x:f>
        <x:v>1303.9995061759453</x:v>
      </x:c>
      <x:c r="K437" s="32" t="n">
        <x:f>J437*MIN(1,tun_LeanBase*EXP(tun_CapsByProject*SUMPRODUCT((Cap_Point&lt;=I437)*(Cap_Kind="Lean")*Cap_Ln)))</x:f>
        <x:v>1303.9995061759453</x:v>
      </x:c>
      <x:c r="L437" s="10" t="n">
        <x:f>INDEX(tun_HousingCap,G437)*EXP(tun_CapsByProject*SUMPRODUCT((Cap_Point&lt;=I437)*(Cap_Kind="Housing")*Cap_Ln))</x:f>
        <x:v>3065.307481932663</x:v>
      </x:c>
      <x:c r="M437" s="10" t="n">
        <x:f>INDEX(tun_GroupCap,G437)*tun_CohesionFactor*EXP(tun_CapsByProject*SUMPRODUCT((Cap_Point&lt;=I437)*(Cap_Kind="Group")*Cap_Ln))</x:f>
        <x:v>1000000.000000001</x:v>
      </x:c>
      <x:c r="N437" s="32" t="n">
        <x:f>MIN(J437,L437,M437)</x:f>
        <x:v>1303.9995061759453</x:v>
      </x:c>
      <x:c r="O437" s="10" t="n">
        <x:f>AE436*N437</x:f>
        <x:v>19559.99259263918</x:v>
      </x:c>
      <x:c r="P437" s="9" t="n">
        <x:f>MIN(1,(AB436/(AE436*IF(tun_GroupInCrowding=1,N437,MIN(J437,L437))))^tun_CrowdingExp)</x:f>
        <x:v>0.21318146957303447</x:v>
      </x:c>
      <x:c r="Q437" s="9" t="n">
        <x:f>IF(D437=1,INDEX(tun_WinterMult,G437),1)</x:f>
        <x:v>1</x:v>
      </x:c>
      <x:c r="R437" s="9" t="n">
        <x:f>H437*Z436*tun_WomenShare*tun_BaseFertility*INDEX(tun_FertMult,G437)*Arch_Fertility*(1-P437)</x:f>
        <x:v>310.37133259139574</x:v>
      </x:c>
      <x:c r="S437" s="9" t="n">
        <x:f>H437*Y436*INDEX(tun_MortChild,G437)/4*Q437</x:f>
        <x:v>30.55367289702774</x:v>
      </x:c>
      <x:c r="T437" s="9" t="n">
        <x:f>H437*Z436*INDEX(tun_MortAdult,G437)*Arch_AdultMort/4*Q437</x:f>
        <x:v>11.83391038425239</x:v>
      </x:c>
      <x:c r="U437" s="9" t="n">
        <x:f>H437*AA436*INDEX(tun_MortElder,G437)/4*Q437</x:f>
        <x:v>19.99717709274013</x:v>
      </x:c>
      <x:c r="V437" s="9" t="n">
        <x:f>H437*MAX(0,AB436-O437)*tun_OvercapLoss</x:f>
        <x:v>0</x:v>
      </x:c>
      <x:c r="W437" s="9" t="n">
        <x:f>H437*Y436/(tun_ChildYears*4)</x:f>
        <x:v>128.3767768782678</x:v>
      </x:c>
      <x:c r="X437" s="9" t="n">
        <x:f>H437*Z436/(tun_AdultYears*4)</x:f>
        <x:v>48.94090316067986</x:v>
      </x:c>
      <x:c r="Y437" s="32" t="n">
        <x:f>Y436+R437-S437-W437-Y436*V437/AB436</x:f>
        <x:v>7340.540387999098</x:v>
      </x:c>
      <x:c r="Z437" s="32" t="n">
        <x:f>Z436+W437-X437-T437-Z436*V437/AB436</x:f>
        <x:v>6136.273955257638</x:v>
      </x:c>
      <x:c r="AA437" s="32" t="n">
        <x:f>AA436+X437-U437-AA436*V437/AB436</x:f>
        <x:v>1889.1462463228359</x:v>
      </x:c>
      <x:c r="AB437" s="10" t="n">
        <x:f>Y437+Z437+AA437</x:f>
        <x:v>15365.960589579572</x:v>
      </x:c>
      <x:c r="AC437" s="8" t="n">
        <x:f>IF(AND(tun_WinterTrigger=1,D437=1,AB436/AE436&gt;=K437),1,0)</x:f>
        <x:v>0</x:v>
      </x:c>
      <x:c r="AD437" s="8" t="n">
        <x:f>H437*IF(AND(OR(AB436/AE436&gt;=tun_FissionTrigger*N437,AC437=1),AB436/AE436*tun_DaughterShare&gt;=tun_MinDaughter),MAX(1,ROUND(AE436*tun_FissionRate,0)),0)</x:f>
        <x:v>0</x:v>
      </x:c>
      <x:c r="AE437" s="8" t="n">
        <x:f>IF(H437=1,MAX(1,MIN(INDEX(tun_Smax,G437),AE436+AD437)),AE436)</x:f>
        <x:v>15</x:v>
      </x:c>
      <x:c r="AF437" s="8" t="n">
        <x:f>MAX(0,AE437-AE436)</x:f>
        <x:v>0</x:v>
      </x:c>
      <x:c r="AG437" s="9" t="str">
        <x:f>IF(AF437&gt;0,B437,"")</x:f>
      </x:c>
      <x:c r="AH437" s="9" t="n">
        <x:f>IF(F437&gt;=1,1,(1+tun_LowTiesShare*(AE437-1))/AE437)</x:f>
        <x:v>1</x:v>
      </x:c>
      <x:c r="AI437" s="32" t="n">
        <x:f>(Z437+tun_ElderCommons*INDEX(LM_Elder,G437)*AA437)*AH437</x:f>
        <x:v>13220.572378968272</x:v>
      </x:c>
      <x:c r="AJ437" s="32" t="n">
        <x:f>H437*tun_CommonsCoef*AI437^tun_CommonsExp*INDEX(LM_Commons,G437)</x:f>
        <x:v>29840.81340076543</x:v>
      </x:c>
      <x:c r="AK437" s="32" t="n">
        <x:f>H437*tun_RoleScale*Arch_Roles*(AE437*(INDEX(tun_ElderRolePerSett,G437)*tun_OutElder*INDEX(LM_Elder,G437)+INDEX(tun_ShamanPerSett,G437)*tun_OutShaman)+Z437*(INDEX(tun_PriestShare,G437)*tun_OutPriest+INDEX(tun_ScribeShare,G437)*tun_OutScribe*INDEX(LM_Scribe,G437)+INDEX(tun_ScholarShare,G437)*tun_OutScholar*INDEX(LM_Scholar,G437)+INDEX(tun_ResearcherShare,G437)*tun_OutResearcher*INDEX(LM_Researcher,G437)))</x:f>
        <x:v>9230.434653409744</x:v>
      </x:c>
      <x:c r="AL437" s="32" t="n">
        <x:f>H437*tun_RoleScale*Arch_Roles*AE437*INDEX(tun_MonasteryPerSett,G437)*tun_OutMonastery*INDEX(LM_Monastery,G437)</x:f>
        <x:v>79.2</x:v>
      </x:c>
      <x:c r="AM437" s="32" t="n">
        <x:f>(AJ437+AK437+AL437)/4*INDEX(LM_All,G437)*INDEX(tun_Boon,G437)*Arch_Insight</x:f>
        <x:v>23560.839315914698</x:v>
      </x:c>
      <x:c r="AN437" s="32" t="n">
        <x:f>H437*(tun_KHPerAdult*Z437+tun_KHOfCommons*AJ437/4*INDEX(LM_All,G437))*tun_KHUsable*Arch_KH</x:f>
        <x:v>3701.3802586806096</x:v>
      </x:c>
      <x:c r="AO437" s="32" t="n">
        <x:f>MIN(AP436+AN437,AM437*tun_KHMaxRatio)</x:f>
        <x:v>3701.3802586806096</x:v>
      </x:c>
      <x:c r="AP437" s="32" t="n">
        <x:f>AP436+AN437-AO437</x:f>
        <x:v>0</x:v>
      </x:c>
      <x:c r="AQ437" s="32" t="n">
        <x:f>AM437+AO437</x:f>
        <x:v>27262.219574595307</x:v>
      </x:c>
      <x:c r="AR437" s="10" t="n">
        <x:f>IF(H437=1,INDEX(tun_Req,G437),0)</x:f>
        <x:v>3142139.1800715</x:v>
      </x:c>
      <x:c r="AS437" s="32" t="n">
        <x:f>IF(H437=1,IF(E437=1,AS436-AR436,AS436)+AQ437,0)</x:f>
        <x:v>879878.6318934524</x:v>
      </x:c>
      <x:c r="AT437" s="11" t="n">
        <x:f>IF(AR437&gt;0,MIN(1,AS437/AR437),1)</x:f>
        <x:v>0.28002535262407774</x:v>
      </x:c>
      <x:c r="AU437" s="10" t="n">
        <x:f>AB437/INDEX(tun_RepScale,G437)</x:f>
        <x:v>153.65960589579572</x:v>
      </x:c>
      <x:c r="AV437" s="32" t="n">
        <x:f>AM437*60/tun_SeasonSeconds</x:f>
        <x:v>94243.35726365879</x:v>
      </x:c>
    </x:row>
    <x:row r="438">
      <x:c r="A438" s="8" t="n">
        <x:f>A437+1</x:f>
        <x:v>435</x:v>
      </x:c>
      <x:c r="B438" s="9" t="n">
        <x:f>A438*tun_SeasonSeconds/60</x:f>
        <x:v>108.75</x:v>
      </x:c>
      <x:c r="C438" s="9" t="n">
        <x:f>A438/4</x:f>
        <x:v>108.75</x:v>
      </x:c>
      <x:c r="D438" s="8" t="n">
        <x:f>IF(MOD(A438,4)=0,1,0)</x:f>
        <x:v>0</x:v>
      </x:c>
      <x:c r="E438" s="8" t="n">
        <x:f>IF(AND(F437&lt;=9,AS437&gt;=AR437),1,0)</x:f>
        <x:v>0</x:v>
      </x:c>
      <x:c r="F438" s="8" t="n">
        <x:f>MIN(10,F437+E438)</x:f>
        <x:v>7</x:v>
      </x:c>
      <x:c r="G438" s="8" t="n">
        <x:f>MIN(F438,9)+1</x:f>
        <x:v>8</x:v>
      </x:c>
      <x:c r="H438" s="8" t="n">
        <x:f>IF(F438&lt;=9,1,0)</x:f>
        <x:v>1</x:v>
      </x:c>
      <x:c r="I438" s="9" t="n">
        <x:f>MIN(10,F437+IF(AR437&gt;0,MIN(1,AS437/AR437),1))</x:f>
        <x:v>7.280025352624078</x:v>
      </x:c>
      <x:c r="J438" s="32" t="n">
        <x:f>INDEX(tun_FoodCap,G438)*Arch_FoodCap*EXP(tun_CapsByProject*SUMPRODUCT((Cap_Point&lt;=I438)*(Cap_Kind="Food")*Cap_Ln))</x:f>
        <x:v>1303.9995061759453</x:v>
      </x:c>
      <x:c r="K438" s="32" t="n">
        <x:f>J438*MIN(1,tun_LeanBase*EXP(tun_CapsByProject*SUMPRODUCT((Cap_Point&lt;=I438)*(Cap_Kind="Lean")*Cap_Ln)))</x:f>
        <x:v>1303.9995061759453</x:v>
      </x:c>
      <x:c r="L438" s="10" t="n">
        <x:f>INDEX(tun_HousingCap,G438)*EXP(tun_CapsByProject*SUMPRODUCT((Cap_Point&lt;=I438)*(Cap_Kind="Housing")*Cap_Ln))</x:f>
        <x:v>3065.307481932663</x:v>
      </x:c>
      <x:c r="M438" s="10" t="n">
        <x:f>INDEX(tun_GroupCap,G438)*tun_CohesionFactor*EXP(tun_CapsByProject*SUMPRODUCT((Cap_Point&lt;=I438)*(Cap_Kind="Group")*Cap_Ln))</x:f>
        <x:v>1000000.000000001</x:v>
      </x:c>
      <x:c r="N438" s="32" t="n">
        <x:f>MIN(J438,L438,M438)</x:f>
        <x:v>1303.9995061759453</x:v>
      </x:c>
      <x:c r="O438" s="10" t="n">
        <x:f>AE437*N438</x:f>
        <x:v>19559.99259263918</x:v>
      </x:c>
      <x:c r="P438" s="9" t="n">
        <x:f>MIN(1,(AB437/(AE437*IF(tun_GroupInCrowding=1,N438,MIN(J438,L438))))^tun_CrowdingExp)</x:f>
        <x:v>0.235042378871197</x:v>
      </x:c>
      <x:c r="Q438" s="9" t="n">
        <x:f>IF(D438=1,INDEX(tun_WinterMult,G438),1)</x:f>
        <x:v>1</x:v>
      </x:c>
      <x:c r="R438" s="9" t="n">
        <x:f>H438*Z437*tun_WomenShare*tun_BaseFertility*INDEX(tun_FertMult,G438)*Arch_Fertility*(1-P438)</x:f>
        <x:v>305.1093192815534</x:v>
      </x:c>
      <x:c r="S438" s="9" t="n">
        <x:f>H438*Y437*INDEX(tun_MortChild,G438)/4*Q438</x:f>
        <x:v>31.19729664899617</x:v>
      </x:c>
      <x:c r="T438" s="9" t="n">
        <x:f>H438*Z437*INDEX(tun_MortAdult,G438)*Arch_AdultMort/4*Q438</x:f>
        <x:v>11.965734212752393</x:v>
      </x:c>
      <x:c r="U438" s="9" t="n">
        <x:f>H438*AA437*INDEX(tun_MortElder,G438)/4*Q438</x:f>
        <x:v>20.308322147970483</x:v>
      </x:c>
      <x:c r="V438" s="9" t="n">
        <x:f>H438*MAX(0,AB437-O438)*tun_OvercapLoss</x:f>
        <x:v>0</x:v>
      </x:c>
      <x:c r="W438" s="9" t="n">
        <x:f>H438*Y437/(tun_ChildYears*4)</x:f>
        <x:v>131.08107835712676</x:v>
      </x:c>
      <x:c r="X438" s="9" t="n">
        <x:f>H438*Z437/(tun_AdultYears*4)</x:f>
        <x:v>49.486080284335785</x:v>
      </x:c>
      <x:c r="Y438" s="32" t="n">
        <x:f>Y437+R438-S438-W438-Y437*V438/AB437</x:f>
        <x:v>7483.371332274528</x:v>
      </x:c>
      <x:c r="Z438" s="32" t="n">
        <x:f>Z437+W438-X438-T438-Z437*V438/AB437</x:f>
        <x:v>6205.903219117677</x:v>
      </x:c>
      <x:c r="AA438" s="32" t="n">
        <x:f>AA437+X438-U438-AA437*V438/AB437</x:f>
        <x:v>1918.324004459201</x:v>
      </x:c>
      <x:c r="AB438" s="10" t="n">
        <x:f>Y438+Z438+AA438</x:f>
        <x:v>15607.598555851406</x:v>
      </x:c>
      <x:c r="AC438" s="8" t="n">
        <x:f>IF(AND(tun_WinterTrigger=1,D438=1,AB437/AE437&gt;=K438),1,0)</x:f>
        <x:v>0</x:v>
      </x:c>
      <x:c r="AD438" s="8" t="n">
        <x:f>H438*IF(AND(OR(AB437/AE437&gt;=tun_FissionTrigger*N438,AC438=1),AB437/AE437*tun_DaughterShare&gt;=tun_MinDaughter),MAX(1,ROUND(AE437*tun_FissionRate,0)),0)</x:f>
        <x:v>0</x:v>
      </x:c>
      <x:c r="AE438" s="8" t="n">
        <x:f>IF(H438=1,MAX(1,MIN(INDEX(tun_Smax,G438),AE437+AD438)),AE437)</x:f>
        <x:v>15</x:v>
      </x:c>
      <x:c r="AF438" s="8" t="n">
        <x:f>MAX(0,AE438-AE437)</x:f>
        <x:v>0</x:v>
      </x:c>
      <x:c r="AG438" s="9" t="str">
        <x:f>IF(AF438&gt;0,B438,"")</x:f>
      </x:c>
      <x:c r="AH438" s="9" t="n">
        <x:f>IF(F438&gt;=1,1,(1+tun_LowTiesShare*(AE438-1))/AE438)</x:f>
        <x:v>1</x:v>
      </x:c>
      <x:c r="AI438" s="32" t="n">
        <x:f>(Z438+tun_ElderCommons*INDEX(LM_Elder,G438)*AA438)*AH438</x:f>
        <x:v>13399.61823583968</x:v>
      </x:c>
      <x:c r="AJ438" s="32" t="n">
        <x:f>H438*tun_CommonsCoef*AI438^tun_CommonsExp*INDEX(LM_Commons,G438)</x:f>
        <x:v>30183.97961936357</x:v>
      </x:c>
      <x:c r="AK438" s="32" t="n">
        <x:f>H438*tun_RoleScale*Arch_Roles*(AE438*(INDEX(tun_ElderRolePerSett,G438)*tun_OutElder*INDEX(LM_Elder,G438)+INDEX(tun_ShamanPerSett,G438)*tun_OutShaman)+Z438*(INDEX(tun_PriestShare,G438)*tun_OutPriest+INDEX(tun_ScribeShare,G438)*tun_OutScribe*INDEX(LM_Scribe,G438)+INDEX(tun_ScholarShare,G438)*tun_OutScholar*INDEX(LM_Scholar,G438)+INDEX(tun_ResearcherShare,G438)*tun_OutResearcher*INDEX(LM_Researcher,G438)))</x:f>
        <x:v>9330.578245863808</x:v>
      </x:c>
      <x:c r="AL438" s="32" t="n">
        <x:f>H438*tun_RoleScale*Arch_Roles*AE438*INDEX(tun_MonasteryPerSett,G438)*tun_OutMonastery*INDEX(LM_Monastery,G438)</x:f>
        <x:v>79.2</x:v>
      </x:c>
      <x:c r="AM438" s="32" t="n">
        <x:f>(AJ438+AK438+AL438)/4*INDEX(LM_All,G438)*INDEX(tun_Boon,G438)*Arch_Insight</x:f>
        <x:v>23827.624288871237</x:v>
      </x:c>
      <x:c r="AN438" s="32" t="n">
        <x:f>H438*(tun_KHPerAdult*Z438+tun_KHOfCommons*AJ438/4*INDEX(LM_All,G438))*tun_KHUsable*Arch_KH</x:f>
        <x:v>3743.9457427344946</x:v>
      </x:c>
      <x:c r="AO438" s="32" t="n">
        <x:f>MIN(AP437+AN438,AM438*tun_KHMaxRatio)</x:f>
        <x:v>3743.9457427344946</x:v>
      </x:c>
      <x:c r="AP438" s="32" t="n">
        <x:f>AP437+AN438-AO438</x:f>
        <x:v>0</x:v>
      </x:c>
      <x:c r="AQ438" s="32" t="n">
        <x:f>AM438+AO438</x:f>
        <x:v>27571.57003160573</x:v>
      </x:c>
      <x:c r="AR438" s="10" t="n">
        <x:f>IF(H438=1,INDEX(tun_Req,G438),0)</x:f>
        <x:v>3142139.1800715</x:v>
      </x:c>
      <x:c r="AS438" s="32" t="n">
        <x:f>IF(H438=1,IF(E438=1,AS437-AR437,AS437)+AQ438,0)</x:f>
        <x:v>907450.2019250582</x:v>
      </x:c>
      <x:c r="AT438" s="11" t="n">
        <x:f>IF(AR438&gt;0,MIN(1,AS438/AR438),1)</x:f>
        <x:v>0.28880012944060895</x:v>
      </x:c>
      <x:c r="AU438" s="10" t="n">
        <x:f>AB438/INDEX(tun_RepScale,G438)</x:f>
        <x:v>156.07598555851405</x:v>
      </x:c>
      <x:c r="AV438" s="32" t="n">
        <x:f>AM438*60/tun_SeasonSeconds</x:f>
        <x:v>95310.49715548495</x:v>
      </x:c>
    </x:row>
    <x:row r="439">
      <x:c r="A439" s="8" t="n">
        <x:f>A438+1</x:f>
        <x:v>436</x:v>
      </x:c>
      <x:c r="B439" s="9" t="n">
        <x:f>A439*tun_SeasonSeconds/60</x:f>
        <x:v>109</x:v>
      </x:c>
      <x:c r="C439" s="9" t="n">
        <x:f>A439/4</x:f>
        <x:v>109</x:v>
      </x:c>
      <x:c r="D439" s="8" t="n">
        <x:f>IF(MOD(A439,4)=0,1,0)</x:f>
        <x:v>1</x:v>
      </x:c>
      <x:c r="E439" s="8" t="n">
        <x:f>IF(AND(F438&lt;=9,AS438&gt;=AR438),1,0)</x:f>
        <x:v>0</x:v>
      </x:c>
      <x:c r="F439" s="8" t="n">
        <x:f>MIN(10,F438+E439)</x:f>
        <x:v>7</x:v>
      </x:c>
      <x:c r="G439" s="8" t="n">
        <x:f>MIN(F439,9)+1</x:f>
        <x:v>8</x:v>
      </x:c>
      <x:c r="H439" s="8" t="n">
        <x:f>IF(F439&lt;=9,1,0)</x:f>
        <x:v>1</x:v>
      </x:c>
      <x:c r="I439" s="9" t="n">
        <x:f>MIN(10,F438+IF(AR438&gt;0,MIN(1,AS438/AR438),1))</x:f>
        <x:v>7.288800129440609</x:v>
      </x:c>
      <x:c r="J439" s="32" t="n">
        <x:f>INDEX(tun_FoodCap,G439)*Arch_FoodCap*EXP(tun_CapsByProject*SUMPRODUCT((Cap_Point&lt;=I439)*(Cap_Kind="Food")*Cap_Ln))</x:f>
        <x:v>1303.9995061759453</x:v>
      </x:c>
      <x:c r="K439" s="32" t="n">
        <x:f>J439*MIN(1,tun_LeanBase*EXP(tun_CapsByProject*SUMPRODUCT((Cap_Point&lt;=I439)*(Cap_Kind="Lean")*Cap_Ln)))</x:f>
        <x:v>1303.9995061759453</x:v>
      </x:c>
      <x:c r="L439" s="10" t="n">
        <x:f>INDEX(tun_HousingCap,G439)*EXP(tun_CapsByProject*SUMPRODUCT((Cap_Point&lt;=I439)*(Cap_Kind="Housing")*Cap_Ln))</x:f>
        <x:v>3065.307481932663</x:v>
      </x:c>
      <x:c r="M439" s="10" t="n">
        <x:f>INDEX(tun_GroupCap,G439)*tun_CohesionFactor*EXP(tun_CapsByProject*SUMPRODUCT((Cap_Point&lt;=I439)*(Cap_Kind="Group")*Cap_Ln))</x:f>
        <x:v>1000000.000000001</x:v>
      </x:c>
      <x:c r="N439" s="32" t="n">
        <x:f>MIN(J439,L439,M439)</x:f>
        <x:v>1303.9995061759453</x:v>
      </x:c>
      <x:c r="O439" s="10" t="n">
        <x:f>AE438*N439</x:f>
        <x:v>19559.99259263918</x:v>
      </x:c>
      <x:c r="P439" s="9" t="n">
        <x:f>MIN(1,(AB438/(AE438*IF(tun_GroupInCrowding=1,N439,MIN(J439,L439))))^tun_CrowdingExp)</x:f>
        <x:v>0.2581097440522642</x:v>
      </x:c>
      <x:c r="Q439" s="9" t="n">
        <x:f>IF(D439=1,INDEX(tun_WinterMult,G439),1)</x:f>
        <x:v>1.08</x:v>
      </x:c>
      <x:c r="R439" s="9" t="n">
        <x:f>H439*Z438*tun_WomenShare*tun_BaseFertility*INDEX(tun_FertMult,G439)*Arch_Fertility*(1-P439)</x:f>
        <x:v>299.2664432951759</x:v>
      </x:c>
      <x:c r="S439" s="9" t="n">
        <x:f>H439*Y438*INDEX(tun_MortChild,G439)/4*Q439</x:f>
        <x:v>34.34867441514009</x:v>
      </x:c>
      <x:c r="T439" s="9" t="n">
        <x:f>H439*Z438*INDEX(tun_MortAdult,G439)*Arch_AdultMort/4*Q439</x:f>
        <x:v>13.069632179461827</x:v>
      </x:c>
      <x:c r="U439" s="9" t="n">
        <x:f>H439*AA438*INDEX(tun_MortElder,G439)/4*Q439</x:f>
        <x:v>22.271741691771325</x:v>
      </x:c>
      <x:c r="V439" s="9" t="n">
        <x:f>H439*MAX(0,AB438-O439)*tun_OvercapLoss</x:f>
        <x:v>0</x:v>
      </x:c>
      <x:c r="W439" s="9" t="n">
        <x:f>H439*Y438/(tun_ChildYears*4)</x:f>
        <x:v>133.6316309334737</x:v>
      </x:c>
      <x:c r="X439" s="9" t="n">
        <x:f>H439*Z438/(tun_AdultYears*4)</x:f>
        <x:v>50.04760660578771</x:v>
      </x:c>
      <x:c r="Y439" s="32" t="n">
        <x:f>Y438+R439-S439-W439-Y438*V439/AB438</x:f>
        <x:v>7614.65747022109</x:v>
      </x:c>
      <x:c r="Z439" s="32" t="n">
        <x:f>Z438+W439-X439-T439-Z438*V439/AB438</x:f>
        <x:v>6276.4176112659</x:v>
      </x:c>
      <x:c r="AA439" s="32" t="n">
        <x:f>AA438+X439-U439-AA438*V439/AB438</x:f>
        <x:v>1946.0998693732174</x:v>
      </x:c>
      <x:c r="AB439" s="10" t="n">
        <x:f>Y439+Z439+AA439</x:f>
        <x:v>15837.174950860208</x:v>
      </x:c>
      <x:c r="AC439" s="8" t="n">
        <x:f>IF(AND(tun_WinterTrigger=1,D439=1,AB438/AE438&gt;=K439),1,0)</x:f>
        <x:v>0</x:v>
      </x:c>
      <x:c r="AD439" s="8" t="n">
        <x:f>H439*IF(AND(OR(AB438/AE438&gt;=tun_FissionTrigger*N439,AC439=1),AB438/AE438*tun_DaughterShare&gt;=tun_MinDaughter),MAX(1,ROUND(AE438*tun_FissionRate,0)),0)</x:f>
        <x:v>0</x:v>
      </x:c>
      <x:c r="AE439" s="8" t="n">
        <x:f>IF(H439=1,MAX(1,MIN(INDEX(tun_Smax,G439),AE438+AD439)),AE438)</x:f>
        <x:v>15</x:v>
      </x:c>
      <x:c r="AF439" s="8" t="n">
        <x:f>MAX(0,AE439-AE438)</x:f>
        <x:v>0</x:v>
      </x:c>
      <x:c r="AG439" s="9" t="str">
        <x:f>IF(AF439&gt;0,B439,"")</x:f>
      </x:c>
      <x:c r="AH439" s="9" t="n">
        <x:f>IF(F439&gt;=1,1,(1+tun_LowTiesShare*(AE439-1))/AE439)</x:f>
        <x:v>1</x:v>
      </x:c>
      <x:c r="AI439" s="32" t="n">
        <x:f>(Z439+tun_ElderCommons*INDEX(LM_Elder,G439)*AA439)*AH439</x:f>
        <x:v>13574.292121415465</x:v>
      </x:c>
      <x:c r="AJ439" s="32" t="n">
        <x:f>H439*tun_CommonsCoef*AI439^tun_CommonsExp*INDEX(LM_Commons,G439)</x:f>
        <x:v>30518.10408779711</x:v>
      </x:c>
      <x:c r="AK439" s="32" t="n">
        <x:f>H439*tun_RoleScale*Arch_Roles*(AE439*(INDEX(tun_ElderRolePerSett,G439)*tun_OutElder*INDEX(LM_Elder,G439)+INDEX(tun_ShamanPerSett,G439)*tun_OutShaman)+Z439*(INDEX(tun_PriestShare,G439)*tun_OutPriest+INDEX(tun_ScribeShare,G439)*tun_OutScribe*INDEX(LM_Scribe,G439)+INDEX(tun_ScholarShare,G439)*tun_OutScholar*INDEX(LM_Scholar,G439)+INDEX(tun_ResearcherShare,G439)*tun_OutResearcher*INDEX(LM_Researcher,G439)))</x:f>
        <x:v>9431.994865227067</x:v>
      </x:c>
      <x:c r="AL439" s="32" t="n">
        <x:f>H439*tun_RoleScale*Arch_Roles*AE439*INDEX(tun_MonasteryPerSett,G439)*tun_OutMonastery*INDEX(LM_Monastery,G439)</x:f>
        <x:v>79.2</x:v>
      </x:c>
      <x:c r="AM439" s="32" t="n">
        <x:f>(AJ439+AK439+AL439)/4*INDEX(LM_All,G439)*INDEX(tun_Boon,G439)*Arch_Insight</x:f>
        <x:v>24089.73402439353</x:v>
      </x:c>
      <x:c r="AN439" s="32" t="n">
        <x:f>H439*(tun_KHPerAdult*Z439+tun_KHOfCommons*AJ439/4*INDEX(LM_All,G439))*tun_KHUsable*Arch_KH</x:f>
        <x:v>3785.389710591294</x:v>
      </x:c>
      <x:c r="AO439" s="32" t="n">
        <x:f>MIN(AP438+AN439,AM439*tun_KHMaxRatio)</x:f>
        <x:v>3785.389710591294</x:v>
      </x:c>
      <x:c r="AP439" s="32" t="n">
        <x:f>AP438+AN439-AO439</x:f>
        <x:v>0</x:v>
      </x:c>
      <x:c r="AQ439" s="32" t="n">
        <x:f>AM439+AO439</x:f>
        <x:v>27875.123734984823</x:v>
      </x:c>
      <x:c r="AR439" s="10" t="n">
        <x:f>IF(H439=1,INDEX(tun_Req,G439),0)</x:f>
        <x:v>3142139.1800715</x:v>
      </x:c>
      <x:c r="AS439" s="32" t="n">
        <x:f>IF(H439=1,IF(E439=1,AS438-AR438,AS438)+AQ439,0)</x:f>
        <x:v>935325.3256600429</x:v>
      </x:c>
      <x:c r="AT439" s="11" t="n">
        <x:f>IF(AR439&gt;0,MIN(1,AS439/AR439),1)</x:f>
        <x:v>0.2976715135956388</x:v>
      </x:c>
      <x:c r="AU439" s="10" t="n">
        <x:f>AB439/INDEX(tun_RepScale,G439)</x:f>
        <x:v>158.37174950860208</x:v>
      </x:c>
      <x:c r="AV439" s="32" t="n">
        <x:f>AM439*60/tun_SeasonSeconds</x:f>
        <x:v>96358.93609757411</x:v>
      </x:c>
    </x:row>
    <x:row r="440">
      <x:c r="A440" s="8" t="n">
        <x:f>A439+1</x:f>
        <x:v>437</x:v>
      </x:c>
      <x:c r="B440" s="9" t="n">
        <x:f>A440*tun_SeasonSeconds/60</x:f>
        <x:v>109.25</x:v>
      </x:c>
      <x:c r="C440" s="9" t="n">
        <x:f>A440/4</x:f>
        <x:v>109.25</x:v>
      </x:c>
      <x:c r="D440" s="8" t="n">
        <x:f>IF(MOD(A440,4)=0,1,0)</x:f>
        <x:v>0</x:v>
      </x:c>
      <x:c r="E440" s="8" t="n">
        <x:f>IF(AND(F439&lt;=9,AS439&gt;=AR439),1,0)</x:f>
        <x:v>0</x:v>
      </x:c>
      <x:c r="F440" s="8" t="n">
        <x:f>MIN(10,F439+E440)</x:f>
        <x:v>7</x:v>
      </x:c>
      <x:c r="G440" s="8" t="n">
        <x:f>MIN(F440,9)+1</x:f>
        <x:v>8</x:v>
      </x:c>
      <x:c r="H440" s="8" t="n">
        <x:f>IF(F440&lt;=9,1,0)</x:f>
        <x:v>1</x:v>
      </x:c>
      <x:c r="I440" s="9" t="n">
        <x:f>MIN(10,F439+IF(AR439&gt;0,MIN(1,AS439/AR439),1))</x:f>
        <x:v>7.297671513595639</x:v>
      </x:c>
      <x:c r="J440" s="32" t="n">
        <x:f>INDEX(tun_FoodCap,G440)*Arch_FoodCap*EXP(tun_CapsByProject*SUMPRODUCT((Cap_Point&lt;=I440)*(Cap_Kind="Food")*Cap_Ln))</x:f>
        <x:v>1303.9995061759453</x:v>
      </x:c>
      <x:c r="K440" s="32" t="n">
        <x:f>J440*MIN(1,tun_LeanBase*EXP(tun_CapsByProject*SUMPRODUCT((Cap_Point&lt;=I440)*(Cap_Kind="Lean")*Cap_Ln)))</x:f>
        <x:v>1303.9995061759453</x:v>
      </x:c>
      <x:c r="L440" s="10" t="n">
        <x:f>INDEX(tun_HousingCap,G440)*EXP(tun_CapsByProject*SUMPRODUCT((Cap_Point&lt;=I440)*(Cap_Kind="Housing")*Cap_Ln))</x:f>
        <x:v>3065.307481932663</x:v>
      </x:c>
      <x:c r="M440" s="10" t="n">
        <x:f>INDEX(tun_GroupCap,G440)*tun_CohesionFactor*EXP(tun_CapsByProject*SUMPRODUCT((Cap_Point&lt;=I440)*(Cap_Kind="Group")*Cap_Ln))</x:f>
        <x:v>1000000.000000001</x:v>
      </x:c>
      <x:c r="N440" s="32" t="n">
        <x:f>MIN(J440,L440,M440)</x:f>
        <x:v>1303.9995061759453</x:v>
      </x:c>
      <x:c r="O440" s="10" t="n">
        <x:f>AE439*N440</x:f>
        <x:v>19559.99259263918</x:v>
      </x:c>
      <x:c r="P440" s="9" t="n">
        <x:f>MIN(1,(AB439/(AE439*IF(tun_GroupInCrowding=1,N440,MIN(J440,L440))))^tun_CrowdingExp)</x:f>
        <x:v>0.2817436717207383</x:v>
      </x:c>
      <x:c r="Q440" s="9" t="n">
        <x:f>IF(D440=1,INDEX(tun_WinterMult,G440),1)</x:f>
        <x:v>1</x:v>
      </x:c>
      <x:c r="R440" s="9" t="n">
        <x:f>H440*Z439*tun_WomenShare*tun_BaseFertility*INDEX(tun_FertMult,G440)*Arch_Fertility*(1-P440)</x:f>
        <x:v>293.0249834339841</x:v>
      </x:c>
      <x:c r="S440" s="9" t="n">
        <x:f>H440*Y439*INDEX(tun_MortChild,G440)/4*Q440</x:f>
        <x:v>32.36229424843963</x:v>
      </x:c>
      <x:c r="T440" s="9" t="n">
        <x:f>H440*Z439*INDEX(tun_MortAdult,G440)*Arch_AdultMort/4*Q440</x:f>
        <x:v>12.239014341968504</x:v>
      </x:c>
      <x:c r="U440" s="9" t="n">
        <x:f>H440*AA439*INDEX(tun_MortElder,G440)/4*Q440</x:f>
        <x:v>20.920573595762086</x:v>
      </x:c>
      <x:c r="V440" s="9" t="n">
        <x:f>H440*MAX(0,AB439-O440)*tun_OvercapLoss</x:f>
        <x:v>0</x:v>
      </x:c>
      <x:c r="W440" s="9" t="n">
        <x:f>H440*Y439/(tun_ChildYears*4)</x:f>
        <x:v>135.97602625394805</x:v>
      </x:c>
      <x:c r="X440" s="9" t="n">
        <x:f>H440*Z439/(tun_AdultYears*4)</x:f>
        <x:v>50.61627105859596</x:v>
      </x:c>
      <x:c r="Y440" s="32" t="n">
        <x:f>Y439+R440-S440-W440-Y439*V440/AB439</x:f>
        <x:v>7739.344133152686</x:v>
      </x:c>
      <x:c r="Z440" s="32" t="n">
        <x:f>Z439+W440-X440-T440-Z439*V440/AB439</x:f>
        <x:v>6349.538352119283</x:v>
      </x:c>
      <x:c r="AA440" s="32" t="n">
        <x:f>AA439+X440-U440-AA439*V440/AB439</x:f>
        <x:v>1975.7955668360512</x:v>
      </x:c>
      <x:c r="AB440" s="10" t="n">
        <x:f>Y440+Z440+AA440</x:f>
        <x:v>16064.678052108022</x:v>
      </x:c>
      <x:c r="AC440" s="8" t="n">
        <x:f>IF(AND(tun_WinterTrigger=1,D440=1,AB439/AE439&gt;=K440),1,0)</x:f>
        <x:v>0</x:v>
      </x:c>
      <x:c r="AD440" s="8" t="n">
        <x:f>H440*IF(AND(OR(AB439/AE439&gt;=tun_FissionTrigger*N440,AC440=1),AB439/AE439*tun_DaughterShare&gt;=tun_MinDaughter),MAX(1,ROUND(AE439*tun_FissionRate,0)),0)</x:f>
        <x:v>0</x:v>
      </x:c>
      <x:c r="AE440" s="8" t="n">
        <x:f>IF(H440=1,MAX(1,MIN(INDEX(tun_Smax,G440),AE439+AD440)),AE439)</x:f>
        <x:v>15</x:v>
      </x:c>
      <x:c r="AF440" s="8" t="n">
        <x:f>MAX(0,AE440-AE439)</x:f>
        <x:v>0</x:v>
      </x:c>
      <x:c r="AG440" s="9" t="str">
        <x:f>IF(AF440&gt;0,B440,"")</x:f>
      </x:c>
      <x:c r="AH440" s="9" t="n">
        <x:f>IF(F440&gt;=1,1,(1+tun_LowTiesShare*(AE440-1))/AE440)</x:f>
        <x:v>1</x:v>
      </x:c>
      <x:c r="AI440" s="32" t="n">
        <x:f>(Z440+tun_ElderCommons*INDEX(LM_Elder,G440)*AA440)*AH440</x:f>
        <x:v>13758.771727754476</x:v>
      </x:c>
      <x:c r="AJ440" s="32" t="n">
        <x:f>H440*tun_CommonsCoef*AI440^tun_CommonsExp*INDEX(LM_Commons,G440)</x:f>
        <x:v>30870.286000038333</x:v>
      </x:c>
      <x:c r="AK440" s="32" t="n">
        <x:f>H440*tun_RoleScale*Arch_Roles*(AE440*(INDEX(tun_ElderRolePerSett,G440)*tun_OutElder*INDEX(LM_Elder,G440)+INDEX(tun_ShamanPerSett,G440)*tun_OutShaman)+Z440*(INDEX(tun_PriestShare,G440)*tun_OutPriest+INDEX(tun_ScribeShare,G440)*tun_OutScribe*INDEX(LM_Scribe,G440)+INDEX(tun_ScholarShare,G440)*tun_OutScholar*INDEX(LM_Scholar,G440)+INDEX(tun_ResearcherShare,G440)*tun_OutResearcher*INDEX(LM_Researcher,G440)))</x:f>
        <x:v>9537.160039552038</x:v>
      </x:c>
      <x:c r="AL440" s="32" t="n">
        <x:f>H440*tun_RoleScale*Arch_Roles*AE440*INDEX(tun_MonasteryPerSett,G440)*tun_OutMonastery*INDEX(LM_Monastery,G440)</x:f>
        <x:v>79.2</x:v>
      </x:c>
      <x:c r="AM440" s="32" t="n">
        <x:f>(AJ440+AK440+AL440)/4*INDEX(LM_All,G440)*INDEX(tun_Boon,G440)*Arch_Insight</x:f>
        <x:v>24364.966665493244</x:v>
      </x:c>
      <x:c r="AN440" s="32" t="n">
        <x:f>H440*(tun_KHPerAdult*Z440+tun_KHOfCommons*AJ440/4*INDEX(LM_All,G440))*tun_KHUsable*Arch_KH</x:f>
        <x:v>3829.0734788561567</x:v>
      </x:c>
      <x:c r="AO440" s="32" t="n">
        <x:f>MIN(AP439+AN440,AM440*tun_KHMaxRatio)</x:f>
        <x:v>3829.0734788561567</x:v>
      </x:c>
      <x:c r="AP440" s="32" t="n">
        <x:f>AP439+AN440-AO440</x:f>
        <x:v>0</x:v>
      </x:c>
      <x:c r="AQ440" s="32" t="n">
        <x:f>AM440+AO440</x:f>
        <x:v>28194.0401443494</x:v>
      </x:c>
      <x:c r="AR440" s="10" t="n">
        <x:f>IF(H440=1,INDEX(tun_Req,G440),0)</x:f>
        <x:v>3142139.1800715</x:v>
      </x:c>
      <x:c r="AS440" s="32" t="n">
        <x:f>IF(H440=1,IF(E440=1,AS439-AR439,AS439)+AQ440,0)</x:f>
        <x:v>963519.3658043924</x:v>
      </x:c>
      <x:c r="AT440" s="11" t="n">
        <x:f>IF(AR440&gt;0,MIN(1,AS440/AR440),1)</x:f>
        <x:v>0.30664439433980367</x:v>
      </x:c>
      <x:c r="AU440" s="10" t="n">
        <x:f>AB440/INDEX(tun_RepScale,G440)</x:f>
        <x:v>160.64678052108022</x:v>
      </x:c>
      <x:c r="AV440" s="32" t="n">
        <x:f>AM440*60/tun_SeasonSeconds</x:f>
        <x:v>97459.86666197298</x:v>
      </x:c>
    </x:row>
    <x:row r="441">
      <x:c r="A441" s="8" t="n">
        <x:f>A440+1</x:f>
        <x:v>438</x:v>
      </x:c>
      <x:c r="B441" s="9" t="n">
        <x:f>A441*tun_SeasonSeconds/60</x:f>
        <x:v>109.5</x:v>
      </x:c>
      <x:c r="C441" s="9" t="n">
        <x:f>A441/4</x:f>
        <x:v>109.5</x:v>
      </x:c>
      <x:c r="D441" s="8" t="n">
        <x:f>IF(MOD(A441,4)=0,1,0)</x:f>
        <x:v>0</x:v>
      </x:c>
      <x:c r="E441" s="8" t="n">
        <x:f>IF(AND(F440&lt;=9,AS440&gt;=AR440),1,0)</x:f>
        <x:v>0</x:v>
      </x:c>
      <x:c r="F441" s="8" t="n">
        <x:f>MIN(10,F440+E441)</x:f>
        <x:v>7</x:v>
      </x:c>
      <x:c r="G441" s="8" t="n">
        <x:f>MIN(F441,9)+1</x:f>
        <x:v>8</x:v>
      </x:c>
      <x:c r="H441" s="8" t="n">
        <x:f>IF(F441&lt;=9,1,0)</x:f>
        <x:v>1</x:v>
      </x:c>
      <x:c r="I441" s="9" t="n">
        <x:f>MIN(10,F440+IF(AR440&gt;0,MIN(1,AS440/AR440),1))</x:f>
        <x:v>7.306644394339804</x:v>
      </x:c>
      <x:c r="J441" s="32" t="n">
        <x:f>INDEX(tun_FoodCap,G441)*Arch_FoodCap*EXP(tun_CapsByProject*SUMPRODUCT((Cap_Point&lt;=I441)*(Cap_Kind="Food")*Cap_Ln))</x:f>
        <x:v>1303.9995061759453</x:v>
      </x:c>
      <x:c r="K441" s="32" t="n">
        <x:f>J441*MIN(1,tun_LeanBase*EXP(tun_CapsByProject*SUMPRODUCT((Cap_Point&lt;=I441)*(Cap_Kind="Lean")*Cap_Ln)))</x:f>
        <x:v>1303.9995061759453</x:v>
      </x:c>
      <x:c r="L441" s="10" t="n">
        <x:f>INDEX(tun_HousingCap,G441)*EXP(tun_CapsByProject*SUMPRODUCT((Cap_Point&lt;=I441)*(Cap_Kind="Housing")*Cap_Ln))</x:f>
        <x:v>3065.307481932663</x:v>
      </x:c>
      <x:c r="M441" s="10" t="n">
        <x:f>INDEX(tun_GroupCap,G441)*tun_CohesionFactor*EXP(tun_CapsByProject*SUMPRODUCT((Cap_Point&lt;=I441)*(Cap_Kind="Group")*Cap_Ln))</x:f>
        <x:v>1000000.000000001</x:v>
      </x:c>
      <x:c r="N441" s="32" t="n">
        <x:f>MIN(J441,L441,M441)</x:f>
        <x:v>1303.9995061759453</x:v>
      </x:c>
      <x:c r="O441" s="10" t="n">
        <x:f>AE440*N441</x:f>
        <x:v>19559.99259263918</x:v>
      </x:c>
      <x:c r="P441" s="9" t="n">
        <x:f>MIN(1,(AB440/(AE440*IF(tun_GroupInCrowding=1,N441,MIN(J441,L441))))^tun_CrowdingExp)</x:f>
        <x:v>0.3069163625454411</x:v>
      </x:c>
      <x:c r="Q441" s="9" t="n">
        <x:f>IF(D441=1,INDEX(tun_WinterMult,G441),1)</x:f>
        <x:v>1</x:v>
      </x:c>
      <x:c r="R441" s="9" t="n">
        <x:f>H441*Z440*tun_WomenShare*tun_BaseFertility*INDEX(tun_FertMult,G441)*Arch_Fertility*(1-P441)</x:f>
        <x:v>286.0494739208639</x:v>
      </x:c>
      <x:c r="S441" s="9" t="n">
        <x:f>H441*Y440*INDEX(tun_MortChild,G441)/4*Q441</x:f>
        <x:v>32.892212565898916</x:v>
      </x:c>
      <x:c r="T441" s="9" t="n">
        <x:f>H441*Z440*INDEX(tun_MortAdult,G441)*Arch_AdultMort/4*Q441</x:f>
        <x:v>12.381599786632602</x:v>
      </x:c>
      <x:c r="U441" s="9" t="n">
        <x:f>H441*AA440*INDEX(tun_MortElder,G441)/4*Q441</x:f>
        <x:v>21.239802343487547</x:v>
      </x:c>
      <x:c r="V441" s="9" t="n">
        <x:f>H441*MAX(0,AB440-O441)*tun_OvercapLoss</x:f>
        <x:v>0</x:v>
      </x:c>
      <x:c r="W441" s="9" t="n">
        <x:f>H441*Y440/(tun_ChildYears*4)</x:f>
        <x:v>138.20257380629795</x:v>
      </x:c>
      <x:c r="X441" s="9" t="n">
        <x:f>H441*Z440/(tun_AdultYears*4)</x:f>
        <x:v>51.205954452574865</x:v>
      </x:c>
      <x:c r="Y441" s="32" t="n">
        <x:f>Y440+R441-S441-W441-Y440*V441/AB440</x:f>
        <x:v>7854.298820701352</x:v>
      </x:c>
      <x:c r="Z441" s="32" t="n">
        <x:f>Z440+W441-X441-T441-Z440*V441/AB440</x:f>
        <x:v>6424.153371686374</x:v>
      </x:c>
      <x:c r="AA441" s="32" t="n">
        <x:f>AA440+X441-U441-AA440*V441/AB440</x:f>
        <x:v>2005.7617189451385</x:v>
      </x:c>
      <x:c r="AB441" s="10" t="n">
        <x:f>Y441+Z441+AA441</x:f>
        <x:v>16284.213911332863</x:v>
      </x:c>
      <x:c r="AC441" s="8" t="n">
        <x:f>IF(AND(tun_WinterTrigger=1,D441=1,AB440/AE440&gt;=K441),1,0)</x:f>
        <x:v>0</x:v>
      </x:c>
      <x:c r="AD441" s="8" t="n">
        <x:f>H441*IF(AND(OR(AB440/AE440&gt;=tun_FissionTrigger*N441,AC441=1),AB440/AE440*tun_DaughterShare&gt;=tun_MinDaughter),MAX(1,ROUND(AE440*tun_FissionRate,0)),0)</x:f>
        <x:v>0</x:v>
      </x:c>
      <x:c r="AE441" s="8" t="n">
        <x:f>IF(H441=1,MAX(1,MIN(INDEX(tun_Smax,G441),AE440+AD441)),AE440)</x:f>
        <x:v>15</x:v>
      </x:c>
      <x:c r="AF441" s="8" t="n">
        <x:f>MAX(0,AE441-AE440)</x:f>
        <x:v>0</x:v>
      </x:c>
      <x:c r="AG441" s="9" t="str">
        <x:f>IF(AF441&gt;0,B441,"")</x:f>
      </x:c>
      <x:c r="AH441" s="9" t="n">
        <x:f>IF(F441&gt;=1,1,(1+tun_LowTiesShare*(AE441-1))/AE441)</x:f>
        <x:v>1</x:v>
      </x:c>
      <x:c r="AI441" s="32" t="n">
        <x:f>(Z441+tun_ElderCommons*INDEX(LM_Elder,G441)*AA441)*AH441</x:f>
        <x:v>13945.759817730643</x:v>
      </x:c>
      <x:c r="AJ441" s="32" t="n">
        <x:f>H441*tun_CommonsCoef*AI441^tun_CommonsExp*INDEX(LM_Commons,G441)</x:f>
        <x:v>31226.534672936607</x:v>
      </x:c>
      <x:c r="AK441" s="32" t="n">
        <x:f>H441*tun_RoleScale*Arch_Roles*(AE441*(INDEX(tun_ElderRolePerSett,G441)*tun_OutElder*INDEX(LM_Elder,G441)+INDEX(tun_ShamanPerSett,G441)*tun_OutShaman)+Z441*(INDEX(tun_PriestShare,G441)*tun_OutPriest+INDEX(tun_ScribeShare,G441)*tun_OutScribe*INDEX(LM_Scribe,G441)+INDEX(tun_ScholarShare,G441)*tun_OutScholar*INDEX(LM_Scholar,G441)+INDEX(tun_ResearcherShare,G441)*tun_OutResearcher*INDEX(LM_Researcher,G441)))</x:f>
        <x:v>9644.474345294211</x:v>
      </x:c>
      <x:c r="AL441" s="32" t="n">
        <x:f>H441*tun_RoleScale*Arch_Roles*AE441*INDEX(tun_MonasteryPerSett,G441)*tun_OutMonastery*INDEX(LM_Monastery,G441)</x:f>
        <x:v>79.2</x:v>
      </x:c>
      <x:c r="AM441" s="32" t="n">
        <x:f>(AJ441+AK441+AL441)/4*INDEX(LM_All,G441)*INDEX(tun_Boon,G441)*Arch_Insight</x:f>
        <x:v>24643.940046268886</x:v>
      </x:c>
      <x:c r="AN441" s="32" t="n">
        <x:f>H441*(tun_KHPerAdult*Z441+tun_KHOfCommons*AJ441/4*INDEX(LM_All,G441))*tun_KHUsable*Arch_KH</x:f>
        <x:v>3873.261677995963</x:v>
      </x:c>
      <x:c r="AO441" s="32" t="n">
        <x:f>MIN(AP440+AN441,AM441*tun_KHMaxRatio)</x:f>
        <x:v>3873.261677995963</x:v>
      </x:c>
      <x:c r="AP441" s="32" t="n">
        <x:f>AP440+AN441-AO441</x:f>
        <x:v>0</x:v>
      </x:c>
      <x:c r="AQ441" s="32" t="n">
        <x:f>AM441+AO441</x:f>
        <x:v>28517.20172426485</x:v>
      </x:c>
      <x:c r="AR441" s="10" t="n">
        <x:f>IF(H441=1,INDEX(tun_Req,G441),0)</x:f>
        <x:v>3142139.1800715</x:v>
      </x:c>
      <x:c r="AS441" s="32" t="n">
        <x:f>IF(H441=1,IF(E441=1,AS440-AR440,AS440)+AQ441,0)</x:f>
        <x:v>992036.5675286573</x:v>
      </x:c>
      <x:c r="AT441" s="11" t="n">
        <x:f>IF(AR441&gt;0,MIN(1,AS441/AR441),1)</x:f>
        <x:v>0.3157201227178241</x:v>
      </x:c>
      <x:c r="AU441" s="10" t="n">
        <x:f>AB441/INDEX(tun_RepScale,G441)</x:f>
        <x:v>162.84213911332864</x:v>
      </x:c>
      <x:c r="AV441" s="32" t="n">
        <x:f>AM441*60/tun_SeasonSeconds</x:f>
        <x:v>98575.76018507555</x:v>
      </x:c>
    </x:row>
    <x:row r="442">
      <x:c r="A442" s="8" t="n">
        <x:f>A441+1</x:f>
        <x:v>439</x:v>
      </x:c>
      <x:c r="B442" s="9" t="n">
        <x:f>A442*tun_SeasonSeconds/60</x:f>
        <x:v>109.75</x:v>
      </x:c>
      <x:c r="C442" s="9" t="n">
        <x:f>A442/4</x:f>
        <x:v>109.75</x:v>
      </x:c>
      <x:c r="D442" s="8" t="n">
        <x:f>IF(MOD(A442,4)=0,1,0)</x:f>
        <x:v>0</x:v>
      </x:c>
      <x:c r="E442" s="8" t="n">
        <x:f>IF(AND(F441&lt;=9,AS441&gt;=AR441),1,0)</x:f>
        <x:v>0</x:v>
      </x:c>
      <x:c r="F442" s="8" t="n">
        <x:f>MIN(10,F441+E442)</x:f>
        <x:v>7</x:v>
      </x:c>
      <x:c r="G442" s="8" t="n">
        <x:f>MIN(F442,9)+1</x:f>
        <x:v>8</x:v>
      </x:c>
      <x:c r="H442" s="8" t="n">
        <x:f>IF(F442&lt;=9,1,0)</x:f>
        <x:v>1</x:v>
      </x:c>
      <x:c r="I442" s="9" t="n">
        <x:f>MIN(10,F441+IF(AR441&gt;0,MIN(1,AS441/AR441),1))</x:f>
        <x:v>7.315720122717824</x:v>
      </x:c>
      <x:c r="J442" s="32" t="n">
        <x:f>INDEX(tun_FoodCap,G442)*Arch_FoodCap*EXP(tun_CapsByProject*SUMPRODUCT((Cap_Point&lt;=I442)*(Cap_Kind="Food")*Cap_Ln))</x:f>
        <x:v>1303.9995061759453</x:v>
      </x:c>
      <x:c r="K442" s="32" t="n">
        <x:f>J442*MIN(1,tun_LeanBase*EXP(tun_CapsByProject*SUMPRODUCT((Cap_Point&lt;=I442)*(Cap_Kind="Lean")*Cap_Ln)))</x:f>
        <x:v>1303.9995061759453</x:v>
      </x:c>
      <x:c r="L442" s="10" t="n">
        <x:f>INDEX(tun_HousingCap,G442)*EXP(tun_CapsByProject*SUMPRODUCT((Cap_Point&lt;=I442)*(Cap_Kind="Housing")*Cap_Ln))</x:f>
        <x:v>3065.307481932663</x:v>
      </x:c>
      <x:c r="M442" s="10" t="n">
        <x:f>INDEX(tun_GroupCap,G442)*tun_CohesionFactor*EXP(tun_CapsByProject*SUMPRODUCT((Cap_Point&lt;=I442)*(Cap_Kind="Group")*Cap_Ln))</x:f>
        <x:v>1000000.000000001</x:v>
      </x:c>
      <x:c r="N442" s="32" t="n">
        <x:f>MIN(J442,L442,M442)</x:f>
        <x:v>1303.9995061759453</x:v>
      </x:c>
      <x:c r="O442" s="10" t="n">
        <x:f>AE441*N442</x:f>
        <x:v>19559.99259263918</x:v>
      </x:c>
      <x:c r="P442" s="9" t="n">
        <x:f>MIN(1,(AB441/(AE441*IF(tun_GroupInCrowding=1,N442,MIN(J442,L442))))^tun_CrowdingExp)</x:f>
        <x:v>0.3329574035732352</x:v>
      </x:c>
      <x:c r="Q442" s="9" t="n">
        <x:f>IF(D442=1,INDEX(tun_WinterMult,G442),1)</x:f>
        <x:v>1</x:v>
      </x:c>
      <x:c r="R442" s="9" t="n">
        <x:f>H442*Z441*tun_WomenShare*tun_BaseFertility*INDEX(tun_FertMult,G442)*Arch_Fertility*(1-P442)</x:f>
        <x:v>278.53695641807326</x:v>
      </x:c>
      <x:c r="S442" s="9" t="n">
        <x:f>H442*Y441*INDEX(tun_MortChild,G442)/4*Q442</x:f>
        <x:v>33.38076998798075</x:v>
      </x:c>
      <x:c r="T442" s="9" t="n">
        <x:f>H442*Z441*INDEX(tun_MortAdult,G442)*Arch_AdultMort/4*Q442</x:f>
        <x:v>12.52709907478843</x:v>
      </x:c>
      <x:c r="U442" s="9" t="n">
        <x:f>H442*AA441*INDEX(tun_MortElder,G442)/4*Q442</x:f>
        <x:v>21.561938478660238</x:v>
      </x:c>
      <x:c r="V442" s="9" t="n">
        <x:f>H442*MAX(0,AB441-O442)*tun_OvercapLoss</x:f>
        <x:v>0</x:v>
      </x:c>
      <x:c r="W442" s="9" t="n">
        <x:f>H442*Y441/(tun_ChildYears*4)</x:f>
        <x:v>140.25533608395273</x:v>
      </x:c>
      <x:c r="X442" s="9" t="n">
        <x:f>H442*Z441/(tun_AdultYears*4)</x:f>
        <x:v>51.80768848134173</x:v>
      </x:c>
      <x:c r="Y442" s="32" t="n">
        <x:f>Y441+R442-S442-W442-Y441*V442/AB441</x:f>
        <x:v>7959.199671047492</x:v>
      </x:c>
      <x:c r="Z442" s="32" t="n">
        <x:f>Z441+W442-X442-T442-Z441*V442/AB441</x:f>
        <x:v>6500.073920214197</x:v>
      </x:c>
      <x:c r="AA442" s="32" t="n">
        <x:f>AA441+X442-U442-AA441*V442/AB441</x:f>
        <x:v>2036.00746894782</x:v>
      </x:c>
      <x:c r="AB442" s="10" t="n">
        <x:f>Y442+Z442+AA442</x:f>
        <x:v>16495.28106020951</x:v>
      </x:c>
      <x:c r="AC442" s="8" t="n">
        <x:f>IF(AND(tun_WinterTrigger=1,D442=1,AB441/AE441&gt;=K442),1,0)</x:f>
        <x:v>0</x:v>
      </x:c>
      <x:c r="AD442" s="8" t="n">
        <x:f>H442*IF(AND(OR(AB441/AE441&gt;=tun_FissionTrigger*N442,AC442=1),AB441/AE441*tun_DaughterShare&gt;=tun_MinDaughter),MAX(1,ROUND(AE441*tun_FissionRate,0)),0)</x:f>
        <x:v>0</x:v>
      </x:c>
      <x:c r="AE442" s="8" t="n">
        <x:f>IF(H442=1,MAX(1,MIN(INDEX(tun_Smax,G442),AE441+AD442)),AE441)</x:f>
        <x:v>15</x:v>
      </x:c>
      <x:c r="AF442" s="8" t="n">
        <x:f>MAX(0,AE442-AE441)</x:f>
        <x:v>0</x:v>
      </x:c>
      <x:c r="AG442" s="9" t="str">
        <x:f>IF(AF442&gt;0,B442,"")</x:f>
      </x:c>
      <x:c r="AH442" s="9" t="n">
        <x:f>IF(F442&gt;=1,1,(1+tun_LowTiesShare*(AE442-1))/AE442)</x:f>
        <x:v>1</x:v>
      </x:c>
      <x:c r="AI442" s="32" t="n">
        <x:f>(Z442+tun_ElderCommons*INDEX(LM_Elder,G442)*AA442)*AH442</x:f>
        <x:v>14135.101928768521</x:v>
      </x:c>
      <x:c r="AJ442" s="32" t="n">
        <x:f>H442*tun_CommonsCoef*AI442^tun_CommonsExp*INDEX(LM_Commons,G442)</x:f>
        <x:v>31586.53888369076</x:v>
      </x:c>
      <x:c r="AK442" s="32" t="n">
        <x:f>H442*tun_RoleScale*Arch_Roles*(AE442*(INDEX(tun_ElderRolePerSett,G442)*tun_OutElder*INDEX(LM_Elder,G442)+INDEX(tun_ShamanPerSett,G442)*tun_OutShaman)+Z442*(INDEX(tun_PriestShare,G442)*tun_OutPriest+INDEX(tun_ScribeShare,G442)*tun_OutScribe*INDEX(LM_Scribe,G442)+INDEX(tun_ScholarShare,G442)*tun_OutScholar*INDEX(LM_Scholar,G442)+INDEX(tun_ResearcherShare,G442)*tun_OutResearcher*INDEX(LM_Researcher,G442)))</x:f>
        <x:v>9753.666315008866</x:v>
      </x:c>
      <x:c r="AL442" s="32" t="n">
        <x:f>H442*tun_RoleScale*Arch_Roles*AE442*INDEX(tun_MonasteryPerSett,G442)*tun_OutMonastery*INDEX(LM_Monastery,G442)</x:f>
        <x:v>79.2</x:v>
      </x:c>
      <x:c r="AM442" s="32" t="n">
        <x:f>(AJ442+AK442+AL442)/4*INDEX(LM_All,G442)*INDEX(tun_Boon,G442)*Arch_Insight</x:f>
        <x:v>24926.30350224695</x:v>
      </x:c>
      <x:c r="AN442" s="32" t="n">
        <x:f>H442*(tun_KHPerAdult*Z442+tun_KHOfCommons*AJ442/4*INDEX(LM_All,G442))*tun_KHUsable*Arch_KH</x:f>
        <x:v>3917.915704708691</x:v>
      </x:c>
      <x:c r="AO442" s="32" t="n">
        <x:f>MIN(AP441+AN442,AM442*tun_KHMaxRatio)</x:f>
        <x:v>3917.915704708691</x:v>
      </x:c>
      <x:c r="AP442" s="32" t="n">
        <x:f>AP441+AN442-AO442</x:f>
        <x:v>0</x:v>
      </x:c>
      <x:c r="AQ442" s="32" t="n">
        <x:f>AM442+AO442</x:f>
        <x:v>28844.21920695564</x:v>
      </x:c>
      <x:c r="AR442" s="10" t="n">
        <x:f>IF(H442=1,INDEX(tun_Req,G442),0)</x:f>
        <x:v>3142139.1800715</x:v>
      </x:c>
      <x:c r="AS442" s="32" t="n">
        <x:f>IF(H442=1,IF(E442=1,AS441-AR441,AS441)+AQ442,0)</x:f>
        <x:v>1020880.7867356129</x:v>
      </x:c>
      <x:c r="AT442" s="11" t="n">
        <x:f>IF(AR442&gt;0,MIN(1,AS442/AR442),1)</x:f>
        <x:v>0.3248999258881914</x:v>
      </x:c>
      <x:c r="AU442" s="10" t="n">
        <x:f>AB442/INDEX(tun_RepScale,G442)</x:f>
        <x:v>164.9528106020951</x:v>
      </x:c>
      <x:c r="AV442" s="32" t="n">
        <x:f>AM442*60/tun_SeasonSeconds</x:f>
        <x:v>99705.2140089878</x:v>
      </x:c>
    </x:row>
    <x:row r="443">
      <x:c r="A443" s="8" t="n">
        <x:f>A442+1</x:f>
        <x:v>440</x:v>
      </x:c>
      <x:c r="B443" s="9" t="n">
        <x:f>A443*tun_SeasonSeconds/60</x:f>
        <x:v>110</x:v>
      </x:c>
      <x:c r="C443" s="9" t="n">
        <x:f>A443/4</x:f>
        <x:v>110</x:v>
      </x:c>
      <x:c r="D443" s="8" t="n">
        <x:f>IF(MOD(A443,4)=0,1,0)</x:f>
        <x:v>1</x:v>
      </x:c>
      <x:c r="E443" s="8" t="n">
        <x:f>IF(AND(F442&lt;=9,AS442&gt;=AR442),1,0)</x:f>
        <x:v>0</x:v>
      </x:c>
      <x:c r="F443" s="8" t="n">
        <x:f>MIN(10,F442+E443)</x:f>
        <x:v>7</x:v>
      </x:c>
      <x:c r="G443" s="8" t="n">
        <x:f>MIN(F443,9)+1</x:f>
        <x:v>8</x:v>
      </x:c>
      <x:c r="H443" s="8" t="n">
        <x:f>IF(F443&lt;=9,1,0)</x:f>
        <x:v>1</x:v>
      </x:c>
      <x:c r="I443" s="9" t="n">
        <x:f>MIN(10,F442+IF(AR442&gt;0,MIN(1,AS442/AR442),1))</x:f>
        <x:v>7.324899925888191</x:v>
      </x:c>
      <x:c r="J443" s="32" t="n">
        <x:f>INDEX(tun_FoodCap,G443)*Arch_FoodCap*EXP(tun_CapsByProject*SUMPRODUCT((Cap_Point&lt;=I443)*(Cap_Kind="Food")*Cap_Ln))</x:f>
        <x:v>1303.9995061759453</x:v>
      </x:c>
      <x:c r="K443" s="32" t="n">
        <x:f>J443*MIN(1,tun_LeanBase*EXP(tun_CapsByProject*SUMPRODUCT((Cap_Point&lt;=I443)*(Cap_Kind="Lean")*Cap_Ln)))</x:f>
        <x:v>1303.9995061759453</x:v>
      </x:c>
      <x:c r="L443" s="10" t="n">
        <x:f>INDEX(tun_HousingCap,G443)*EXP(tun_CapsByProject*SUMPRODUCT((Cap_Point&lt;=I443)*(Cap_Kind="Housing")*Cap_Ln))</x:f>
        <x:v>3065.307481932663</x:v>
      </x:c>
      <x:c r="M443" s="10" t="n">
        <x:f>INDEX(tun_GroupCap,G443)*tun_CohesionFactor*EXP(tun_CapsByProject*SUMPRODUCT((Cap_Point&lt;=I443)*(Cap_Kind="Group")*Cap_Ln))</x:f>
        <x:v>1000000.000000001</x:v>
      </x:c>
      <x:c r="N443" s="32" t="n">
        <x:f>MIN(J443,L443,M443)</x:f>
        <x:v>1303.9995061759453</x:v>
      </x:c>
      <x:c r="O443" s="10" t="n">
        <x:f>AE442*N443</x:f>
        <x:v>19559.99259263918</x:v>
      </x:c>
      <x:c r="P443" s="9" t="n">
        <x:f>MIN(1,(AB442/(AE442*IF(tun_GroupInCrowding=1,N443,MIN(J443,L443))))^tun_CrowdingExp)</x:f>
        <x:v>0.35970477495659714</x:v>
      </x:c>
      <x:c r="Q443" s="9" t="n">
        <x:f>IF(D443=1,INDEX(tun_WinterMult,G443),1)</x:f>
        <x:v>1.08</x:v>
      </x:c>
      <x:c r="R443" s="9" t="n">
        <x:f>H443*Z442*tun_WomenShare*tun_BaseFertility*INDEX(tun_FertMult,G443)*Arch_Fertility*(1-P443)</x:f>
        <x:v>270.5278090802497</x:v>
      </x:c>
      <x:c r="S443" s="9" t="n">
        <x:f>H443*Y442*INDEX(tun_MortChild,G443)/4*Q443</x:f>
        <x:v>36.53272649010799</x:v>
      </x:c>
      <x:c r="T443" s="9" t="n">
        <x:f>H443*Z442*INDEX(tun_MortAdult,G443)*Arch_AdultMort/4*Q443</x:f>
        <x:v>13.689155675971099</x:v>
      </x:c>
      <x:c r="U443" s="9" t="n">
        <x:f>H443*AA442*INDEX(tun_MortElder,G443)/4*Q443</x:f>
        <x:v>23.638046714484187</x:v>
      </x:c>
      <x:c r="V443" s="9" t="n">
        <x:f>H443*MAX(0,AB442-O443)*tun_OvercapLoss</x:f>
        <x:v>0</x:v>
      </x:c>
      <x:c r="W443" s="9" t="n">
        <x:f>H443*Y442/(tun_ChildYears*4)</x:f>
        <x:v>142.1285655544195</x:v>
      </x:c>
      <x:c r="X443" s="9" t="n">
        <x:f>H443*Z442/(tun_AdultYears*4)</x:f>
        <x:v>52.419950969469326</x:v>
      </x:c>
      <x:c r="Y443" s="32" t="n">
        <x:f>Y442+R443-S443-W443-Y442*V443/AB442</x:f>
        <x:v>8051.066188083214</x:v>
      </x:c>
      <x:c r="Z443" s="32" t="n">
        <x:f>Z442+W443-X443-T443-Z442*V443/AB442</x:f>
        <x:v>6576.093379123176</x:v>
      </x:c>
      <x:c r="AA443" s="32" t="n">
        <x:f>AA442+X443-U443-AA442*V443/AB442</x:f>
        <x:v>2064.789373202805</x:v>
      </x:c>
      <x:c r="AB443" s="10" t="n">
        <x:f>Y443+Z443+AA443</x:f>
        <x:v>16691.948940409195</x:v>
      </x:c>
      <x:c r="AC443" s="8" t="n">
        <x:f>IF(AND(tun_WinterTrigger=1,D443=1,AB442/AE442&gt;=K443),1,0)</x:f>
        <x:v>0</x:v>
      </x:c>
      <x:c r="AD443" s="8" t="n">
        <x:f>H443*IF(AND(OR(AB442/AE442&gt;=tun_FissionTrigger*N443,AC443=1),AB442/AE442*tun_DaughterShare&gt;=tun_MinDaughter),MAX(1,ROUND(AE442*tun_FissionRate,0)),0)</x:f>
        <x:v>0</x:v>
      </x:c>
      <x:c r="AE443" s="8" t="n">
        <x:f>IF(H443=1,MAX(1,MIN(INDEX(tun_Smax,G443),AE442+AD443)),AE442)</x:f>
        <x:v>15</x:v>
      </x:c>
      <x:c r="AF443" s="8" t="n">
        <x:f>MAX(0,AE443-AE442)</x:f>
        <x:v>0</x:v>
      </x:c>
      <x:c r="AG443" s="9" t="str">
        <x:f>IF(AF443&gt;0,B443,"")</x:f>
      </x:c>
      <x:c r="AH443" s="9" t="n">
        <x:f>IF(F443&gt;=1,1,(1+tun_LowTiesShare*(AE443-1))/AE443)</x:f>
        <x:v>1</x:v>
      </x:c>
      <x:c r="AI443" s="32" t="n">
        <x:f>(Z443+tun_ElderCommons*INDEX(LM_Elder,G443)*AA443)*AH443</x:f>
        <x:v>14319.053528633696</x:v>
      </x:c>
      <x:c r="AJ443" s="32" t="n">
        <x:f>H443*tun_CommonsCoef*AI443^tun_CommonsExp*INDEX(LM_Commons,G443)</x:f>
        <x:v>31935.60170839898</x:v>
      </x:c>
      <x:c r="AK443" s="32" t="n">
        <x:f>H443*tun_RoleScale*Arch_Roles*(AE443*(INDEX(tun_ElderRolePerSett,G443)*tun_OutElder*INDEX(LM_Elder,G443)+INDEX(tun_ShamanPerSett,G443)*tun_OutShaman)+Z443*(INDEX(tun_PriestShare,G443)*tun_OutPriest+INDEX(tun_ScribeShare,G443)*tun_OutScribe*INDEX(LM_Scribe,G443)+INDEX(tun_ScholarShare,G443)*tun_OutScholar*INDEX(LM_Scholar,G443)+INDEX(tun_ResearcherShare,G443)*tun_OutResearcher*INDEX(LM_Researcher,G443)))</x:f>
        <x:v>9863.000541590118</x:v>
      </x:c>
      <x:c r="AL443" s="32" t="n">
        <x:f>H443*tun_RoleScale*Arch_Roles*AE443*INDEX(tun_MonasteryPerSett,G443)*tun_OutMonastery*INDEX(LM_Monastery,G443)</x:f>
        <x:v>79.2</x:v>
      </x:c>
      <x:c r="AM443" s="32" t="n">
        <x:f>(AJ443+AK443+AL443)/4*INDEX(LM_All,G443)*INDEX(tun_Boon,G443)*Arch_Insight</x:f>
        <x:v>25202.168014790335</x:v>
      </x:c>
      <x:c r="AN443" s="32" t="n">
        <x:f>H443*(tun_KHPerAdult*Z443+tun_KHOfCommons*AJ443/4*INDEX(LM_All,G443))*tun_KHUsable*Arch_KH</x:f>
        <x:v>3961.212589115373</x:v>
      </x:c>
      <x:c r="AO443" s="32" t="n">
        <x:f>MIN(AP442+AN443,AM443*tun_KHMaxRatio)</x:f>
        <x:v>3961.212589115373</x:v>
      </x:c>
      <x:c r="AP443" s="32" t="n">
        <x:f>AP442+AN443-AO443</x:f>
        <x:v>0</x:v>
      </x:c>
      <x:c r="AQ443" s="32" t="n">
        <x:f>AM443+AO443</x:f>
        <x:v>29163.38060390571</x:v>
      </x:c>
      <x:c r="AR443" s="10" t="n">
        <x:f>IF(H443=1,INDEX(tun_Req,G443),0)</x:f>
        <x:v>3142139.1800715</x:v>
      </x:c>
      <x:c r="AS443" s="32" t="n">
        <x:f>IF(H443=1,IF(E443=1,AS442-AR442,AS442)+AQ443,0)</x:f>
        <x:v>1050044.1673395187</x:v>
      </x:c>
      <x:c r="AT443" s="11" t="n">
        <x:f>IF(AR443&gt;0,MIN(1,AS443/AR443),1)</x:f>
        <x:v>0.3341813036161004</x:v>
      </x:c>
      <x:c r="AU443" s="10" t="n">
        <x:f>AB443/INDEX(tun_RepScale,G443)</x:f>
        <x:v>166.91948940409193</x:v>
      </x:c>
      <x:c r="AV443" s="32" t="n">
        <x:f>AM443*60/tun_SeasonSeconds</x:f>
        <x:v>100808.67205916134</x:v>
      </x:c>
    </x:row>
    <x:row r="444">
      <x:c r="A444" s="8" t="n">
        <x:f>A443+1</x:f>
        <x:v>441</x:v>
      </x:c>
      <x:c r="B444" s="9" t="n">
        <x:f>A444*tun_SeasonSeconds/60</x:f>
        <x:v>110.25</x:v>
      </x:c>
      <x:c r="C444" s="9" t="n">
        <x:f>A444/4</x:f>
        <x:v>110.25</x:v>
      </x:c>
      <x:c r="D444" s="8" t="n">
        <x:f>IF(MOD(A444,4)=0,1,0)</x:f>
        <x:v>0</x:v>
      </x:c>
      <x:c r="E444" s="8" t="n">
        <x:f>IF(AND(F443&lt;=9,AS443&gt;=AR443),1,0)</x:f>
        <x:v>0</x:v>
      </x:c>
      <x:c r="F444" s="8" t="n">
        <x:f>MIN(10,F443+E444)</x:f>
        <x:v>7</x:v>
      </x:c>
      <x:c r="G444" s="8" t="n">
        <x:f>MIN(F444,9)+1</x:f>
        <x:v>8</x:v>
      </x:c>
      <x:c r="H444" s="8" t="n">
        <x:f>IF(F444&lt;=9,1,0)</x:f>
        <x:v>1</x:v>
      </x:c>
      <x:c r="I444" s="9" t="n">
        <x:f>MIN(10,F443+IF(AR443&gt;0,MIN(1,AS443/AR443),1))</x:f>
        <x:v>7.3341813036161</x:v>
      </x:c>
      <x:c r="J444" s="32" t="n">
        <x:f>INDEX(tun_FoodCap,G444)*Arch_FoodCap*EXP(tun_CapsByProject*SUMPRODUCT((Cap_Point&lt;=I444)*(Cap_Kind="Food")*Cap_Ln))</x:f>
        <x:v>1303.9995061759453</x:v>
      </x:c>
      <x:c r="K444" s="32" t="n">
        <x:f>J444*MIN(1,tun_LeanBase*EXP(tun_CapsByProject*SUMPRODUCT((Cap_Point&lt;=I444)*(Cap_Kind="Lean")*Cap_Ln)))</x:f>
        <x:v>1303.9995061759453</x:v>
      </x:c>
      <x:c r="L444" s="10" t="n">
        <x:f>INDEX(tun_HousingCap,G444)*EXP(tun_CapsByProject*SUMPRODUCT((Cap_Point&lt;=I444)*(Cap_Kind="Housing")*Cap_Ln))</x:f>
        <x:v>3065.307481932663</x:v>
      </x:c>
      <x:c r="M444" s="10" t="n">
        <x:f>INDEX(tun_GroupCap,G444)*tun_CohesionFactor*EXP(tun_CapsByProject*SUMPRODUCT((Cap_Point&lt;=I444)*(Cap_Kind="Group")*Cap_Ln))</x:f>
        <x:v>1000000.000000001</x:v>
      </x:c>
      <x:c r="N444" s="32" t="n">
        <x:f>MIN(J444,L444,M444)</x:f>
        <x:v>1303.9995061759453</x:v>
      </x:c>
      <x:c r="O444" s="10" t="n">
        <x:f>AE443*N444</x:f>
        <x:v>19559.99259263918</x:v>
      </x:c>
      <x:c r="P444" s="9" t="n">
        <x:f>MIN(1,(AB443/(AE443*IF(tun_GroupInCrowding=1,N444,MIN(J444,L444))))^tun_CrowdingExp)</x:f>
        <x:v>0.3862159180774574</x:v>
      </x:c>
      <x:c r="Q444" s="9" t="n">
        <x:f>IF(D444=1,INDEX(tun_WinterMult,G444),1)</x:f>
        <x:v>1</x:v>
      </x:c>
      <x:c r="R444" s="9" t="n">
        <x:f>H444*Z443*tun_WomenShare*tun_BaseFertility*INDEX(tun_FertMult,G444)*Arch_Fertility*(1-P444)</x:f>
        <x:v>262.35959342723197</x:v>
      </x:c>
      <x:c r="S444" s="9" t="n">
        <x:f>H444*Y443*INDEX(tun_MortChild,G444)/4*Q444</x:f>
        <x:v>34.217031299353664</x:v>
      </x:c>
      <x:c r="T444" s="9" t="n">
        <x:f>H444*Z443*INDEX(tun_MortAdult,G444)*Arch_AdultMort/4*Q444</x:f>
        <x:v>12.823382089290194</x:v>
      </x:c>
      <x:c r="U444" s="9" t="n">
        <x:f>H444*AA443*INDEX(tun_MortElder,G444)/4*Q444</x:f>
        <x:v>22.196485761930152</x:v>
      </x:c>
      <x:c r="V444" s="9" t="n">
        <x:f>H444*MAX(0,AB443-O444)*tun_OvercapLoss</x:f>
        <x:v>0</x:v>
      </x:c>
      <x:c r="W444" s="9" t="n">
        <x:f>H444*Y443/(tun_ChildYears*4)</x:f>
        <x:v>143.76903907291452</x:v>
      </x:c>
      <x:c r="X444" s="9" t="n">
        <x:f>H444*Z443/(tun_AdultYears*4)</x:f>
        <x:v>53.0330111219611</x:v>
      </x:c>
      <x:c r="Y444" s="32" t="n">
        <x:f>Y443+R444-S444-W444-Y443*V444/AB443</x:f>
        <x:v>8135.439711138179</x:v>
      </x:c>
      <x:c r="Z444" s="32" t="n">
        <x:f>Z443+W444-X444-T444-Z443*V444/AB443</x:f>
        <x:v>6654.00602498484</x:v>
      </x:c>
      <x:c r="AA444" s="32" t="n">
        <x:f>AA443+X444-U444-AA443*V444/AB443</x:f>
        <x:v>2095.625898562836</x:v>
      </x:c>
      <x:c r="AB444" s="10" t="n">
        <x:f>Y444+Z444+AA444</x:f>
        <x:v>16885.071634685857</x:v>
      </x:c>
      <x:c r="AC444" s="8" t="n">
        <x:f>IF(AND(tun_WinterTrigger=1,D444=1,AB443/AE443&gt;=K444),1,0)</x:f>
        <x:v>0</x:v>
      </x:c>
      <x:c r="AD444" s="8" t="n">
        <x:f>H444*IF(AND(OR(AB443/AE443&gt;=tun_FissionTrigger*N444,AC444=1),AB443/AE443*tun_DaughterShare&gt;=tun_MinDaughter),MAX(1,ROUND(AE443*tun_FissionRate,0)),0)</x:f>
        <x:v>5</x:v>
      </x:c>
      <x:c r="AE444" s="8" t="n">
        <x:f>IF(H444=1,MAX(1,MIN(INDEX(tun_Smax,G444),AE443+AD444)),AE443)</x:f>
        <x:v>15</x:v>
      </x:c>
      <x:c r="AF444" s="8" t="n">
        <x:f>MAX(0,AE444-AE443)</x:f>
        <x:v>0</x:v>
      </x:c>
      <x:c r="AG444" s="9" t="str">
        <x:f>IF(AF444&gt;0,B444,"")</x:f>
      </x:c>
      <x:c r="AH444" s="9" t="n">
        <x:f>IF(F444&gt;=1,1,(1+tun_LowTiesShare*(AE444-1))/AE444)</x:f>
        <x:v>1</x:v>
      </x:c>
      <x:c r="AI444" s="32" t="n">
        <x:f>(Z444+tun_ElderCommons*INDEX(LM_Elder,G444)*AA444)*AH444</x:f>
        <x:v>14512.603144595476</x:v>
      </x:c>
      <x:c r="AJ444" s="32" t="n">
        <x:f>H444*tun_CommonsCoef*AI444^tun_CommonsExp*INDEX(LM_Commons,G444)</x:f>
        <x:v>32302.15219431593</x:v>
      </x:c>
      <x:c r="AK444" s="32" t="n">
        <x:f>H444*tun_RoleScale*Arch_Roles*(AE444*(INDEX(tun_ElderRolePerSett,G444)*tun_OutElder*INDEX(LM_Elder,G444)+INDEX(tun_ShamanPerSett,G444)*tun_OutShaman)+Z444*(INDEX(tun_PriestShare,G444)*tun_OutPriest+INDEX(tun_ScribeShare,G444)*tun_OutScribe*INDEX(LM_Scribe,G444)+INDEX(tun_ScholarShare,G444)*tun_OutScholar*INDEX(LM_Scholar,G444)+INDEX(tun_ResearcherShare,G444)*tun_OutResearcher*INDEX(LM_Researcher,G444)))</x:f>
        <x:v>9975.057625374197</x:v>
      </x:c>
      <x:c r="AL444" s="32" t="n">
        <x:f>H444*tun_RoleScale*Arch_Roles*AE444*INDEX(tun_MonasteryPerSett,G444)*tun_OutMonastery*INDEX(LM_Monastery,G444)</x:f>
        <x:v>79.2</x:v>
      </x:c>
      <x:c r="AM444" s="32" t="n">
        <x:f>(AJ444+AK444+AL444)/4*INDEX(LM_All,G444)*INDEX(tun_Boon,G444)*Arch_Insight</x:f>
        <x:v>25490.19526876972</x:v>
      </x:c>
      <x:c r="AN444" s="32" t="n">
        <x:f>H444*(tun_KHPerAdult*Z444+tun_KHOfCommons*AJ444/4*INDEX(LM_All,G444))*tun_KHUsable*Arch_KH</x:f>
        <x:v>4006.678599514003</x:v>
      </x:c>
      <x:c r="AO444" s="32" t="n">
        <x:f>MIN(AP443+AN444,AM444*tun_KHMaxRatio)</x:f>
        <x:v>4006.678599514003</x:v>
      </x:c>
      <x:c r="AP444" s="32" t="n">
        <x:f>AP443+AN444-AO444</x:f>
        <x:v>0</x:v>
      </x:c>
      <x:c r="AQ444" s="32" t="n">
        <x:f>AM444+AO444</x:f>
        <x:v>29496.87386828372</x:v>
      </x:c>
      <x:c r="AR444" s="10" t="n">
        <x:f>IF(H444=1,INDEX(tun_Req,G444),0)</x:f>
        <x:v>3142139.1800715</x:v>
      </x:c>
      <x:c r="AS444" s="32" t="n">
        <x:f>IF(H444=1,IF(E444=1,AS443-AR443,AS443)+AQ444,0)</x:f>
        <x:v>1079541.0412078025</x:v>
      </x:c>
      <x:c r="AT444" s="11" t="n">
        <x:f>IF(AR444&gt;0,MIN(1,AS444/AR444),1)</x:f>
        <x:v>0.34356881708315584</x:v>
      </x:c>
      <x:c r="AU444" s="10" t="n">
        <x:f>AB444/INDEX(tun_RepScale,G444)</x:f>
        <x:v>168.85071634685858</x:v>
      </x:c>
      <x:c r="AV444" s="32" t="n">
        <x:f>AM444*60/tun_SeasonSeconds</x:f>
        <x:v>101960.78107507886</x:v>
      </x:c>
    </x:row>
    <x:row r="445">
      <x:c r="A445" s="8" t="n">
        <x:f>A444+1</x:f>
        <x:v>442</x:v>
      </x:c>
      <x:c r="B445" s="9" t="n">
        <x:f>A445*tun_SeasonSeconds/60</x:f>
        <x:v>110.5</x:v>
      </x:c>
      <x:c r="C445" s="9" t="n">
        <x:f>A445/4</x:f>
        <x:v>110.5</x:v>
      </x:c>
      <x:c r="D445" s="8" t="n">
        <x:f>IF(MOD(A445,4)=0,1,0)</x:f>
        <x:v>0</x:v>
      </x:c>
      <x:c r="E445" s="8" t="n">
        <x:f>IF(AND(F444&lt;=9,AS444&gt;=AR444),1,0)</x:f>
        <x:v>0</x:v>
      </x:c>
      <x:c r="F445" s="8" t="n">
        <x:f>MIN(10,F444+E445)</x:f>
        <x:v>7</x:v>
      </x:c>
      <x:c r="G445" s="8" t="n">
        <x:f>MIN(F445,9)+1</x:f>
        <x:v>8</x:v>
      </x:c>
      <x:c r="H445" s="8" t="n">
        <x:f>IF(F445&lt;=9,1,0)</x:f>
        <x:v>1</x:v>
      </x:c>
      <x:c r="I445" s="9" t="n">
        <x:f>MIN(10,F444+IF(AR444&gt;0,MIN(1,AS444/AR444),1))</x:f>
        <x:v>7.343568817083156</x:v>
      </x:c>
      <x:c r="J445" s="32" t="n">
        <x:f>INDEX(tun_FoodCap,G445)*Arch_FoodCap*EXP(tun_CapsByProject*SUMPRODUCT((Cap_Point&lt;=I445)*(Cap_Kind="Food")*Cap_Ln))</x:f>
        <x:v>1303.9995061759453</x:v>
      </x:c>
      <x:c r="K445" s="32" t="n">
        <x:f>J445*MIN(1,tun_LeanBase*EXP(tun_CapsByProject*SUMPRODUCT((Cap_Point&lt;=I445)*(Cap_Kind="Lean")*Cap_Ln)))</x:f>
        <x:v>1303.9995061759453</x:v>
      </x:c>
      <x:c r="L445" s="10" t="n">
        <x:f>INDEX(tun_HousingCap,G445)*EXP(tun_CapsByProject*SUMPRODUCT((Cap_Point&lt;=I445)*(Cap_Kind="Housing")*Cap_Ln))</x:f>
        <x:v>3065.307481932663</x:v>
      </x:c>
      <x:c r="M445" s="10" t="n">
        <x:f>INDEX(tun_GroupCap,G445)*tun_CohesionFactor*EXP(tun_CapsByProject*SUMPRODUCT((Cap_Point&lt;=I445)*(Cap_Kind="Group")*Cap_Ln))</x:f>
        <x:v>1000000.000000001</x:v>
      </x:c>
      <x:c r="N445" s="32" t="n">
        <x:f>MIN(J445,L445,M445)</x:f>
        <x:v>1303.9995061759453</x:v>
      </x:c>
      <x:c r="O445" s="10" t="n">
        <x:f>AE444*N445</x:f>
        <x:v>19559.99259263918</x:v>
      </x:c>
      <x:c r="P445" s="9" t="n">
        <x:f>MIN(1,(AB444/(AE444*IF(tun_GroupInCrowding=1,N445,MIN(J445,L445))))^tun_CrowdingExp)</x:f>
        <x:v>0.4138141423635386</x:v>
      </x:c>
      <x:c r="Q445" s="9" t="n">
        <x:f>IF(D445=1,INDEX(tun_WinterMult,G445),1)</x:f>
        <x:v>1</x:v>
      </x:c>
      <x:c r="R445" s="9" t="n">
        <x:f>H445*Z444*tun_WomenShare*tun_BaseFertility*INDEX(tun_FertMult,G445)*Arch_Fertility*(1-P445)</x:f>
        <x:v>253.53147485080478</x:v>
      </x:c>
      <x:c r="S445" s="9" t="n">
        <x:f>H445*Y444*INDEX(tun_MortChild,G445)/4*Q445</x:f>
        <x:v>34.575618772337265</x:v>
      </x:c>
      <x:c r="T445" s="9" t="n">
        <x:f>H445*Z444*INDEX(tun_MortAdult,G445)*Arch_AdultMort/4*Q445</x:f>
        <x:v>12.975311748720438</x:v>
      </x:c>
      <x:c r="U445" s="9" t="n">
        <x:f>H445*AA444*INDEX(tun_MortElder,G445)/4*Q445</x:f>
        <x:v>22.527978409550485</x:v>
      </x:c>
      <x:c r="V445" s="9" t="n">
        <x:f>H445*MAX(0,AB444-O445)*tun_OvercapLoss</x:f>
        <x:v>0</x:v>
      </x:c>
      <x:c r="W445" s="9" t="n">
        <x:f>H445*Y444/(tun_ChildYears*4)</x:f>
        <x:v>145.27570912746748</x:v>
      </x:c>
      <x:c r="X445" s="9" t="n">
        <x:f>H445*Z444/(tun_AdultYears*4)</x:f>
        <x:v>53.661338911168066</x:v>
      </x:c>
      <x:c r="Y445" s="32" t="n">
        <x:f>Y444+R445-S445-W445-Y444*V445/AB444</x:f>
        <x:v>8209.11985808918</x:v>
      </x:c>
      <x:c r="Z445" s="32" t="n">
        <x:f>Z444+W445-X445-T445-Z444*V445/AB444</x:f>
        <x:v>6732.6450834524185</x:v>
      </x:c>
      <x:c r="AA445" s="32" t="n">
        <x:f>AA444+X445-U445-AA444*V445/AB444</x:f>
        <x:v>2126.7592590644535</x:v>
      </x:c>
      <x:c r="AB445" s="10" t="n">
        <x:f>Y445+Z445+AA445</x:f>
        <x:v>17068.52420060605</x:v>
      </x:c>
      <x:c r="AC445" s="8" t="n">
        <x:f>IF(AND(tun_WinterTrigger=1,D445=1,AB444/AE444&gt;=K445),1,0)</x:f>
        <x:v>0</x:v>
      </x:c>
      <x:c r="AD445" s="8" t="n">
        <x:f>H445*IF(AND(OR(AB444/AE444&gt;=tun_FissionTrigger*N445,AC445=1),AB444/AE444*tun_DaughterShare&gt;=tun_MinDaughter),MAX(1,ROUND(AE444*tun_FissionRate,0)),0)</x:f>
        <x:v>5</x:v>
      </x:c>
      <x:c r="AE445" s="8" t="n">
        <x:f>IF(H445=1,MAX(1,MIN(INDEX(tun_Smax,G445),AE444+AD445)),AE444)</x:f>
        <x:v>15</x:v>
      </x:c>
      <x:c r="AF445" s="8" t="n">
        <x:f>MAX(0,AE445-AE444)</x:f>
        <x:v>0</x:v>
      </x:c>
      <x:c r="AG445" s="9" t="str">
        <x:f>IF(AF445&gt;0,B445,"")</x:f>
      </x:c>
      <x:c r="AH445" s="9" t="n">
        <x:f>IF(F445&gt;=1,1,(1+tun_LowTiesShare*(AE445-1))/AE445)</x:f>
        <x:v>1</x:v>
      </x:c>
      <x:c r="AI445" s="32" t="n">
        <x:f>(Z445+tun_ElderCommons*INDEX(LM_Elder,G445)*AA445)*AH445</x:f>
        <x:v>14707.99230494412</x:v>
      </x:c>
      <x:c r="AJ445" s="32" t="n">
        <x:f>H445*tun_CommonsCoef*AI445^tun_CommonsExp*INDEX(LM_Commons,G445)</x:f>
        <x:v>32671.443453363026</x:v>
      </x:c>
      <x:c r="AK445" s="32" t="n">
        <x:f>H445*tun_RoleScale*Arch_Roles*(AE445*(INDEX(tun_ElderRolePerSett,G445)*tun_OutElder*INDEX(LM_Elder,G445)+INDEX(tun_ShamanPerSett,G445)*tun_OutShaman)+Z445*(INDEX(tun_PriestShare,G445)*tun_OutPriest+INDEX(tun_ScribeShare,G445)*tun_OutScribe*INDEX(LM_Scribe,G445)+INDEX(tun_ScholarShare,G445)*tun_OutScholar*INDEX(LM_Scholar,G445)+INDEX(tun_ResearcherShare,G445)*tun_OutResearcher*INDEX(LM_Researcher,G445)))</x:f>
        <x:v>10088.159464824606</x:v>
      </x:c>
      <x:c r="AL445" s="32" t="n">
        <x:f>H445*tun_RoleScale*Arch_Roles*AE445*INDEX(tun_MonasteryPerSett,G445)*tun_OutMonastery*INDEX(LM_Monastery,G445)</x:f>
        <x:v>79.2</x:v>
      </x:c>
      <x:c r="AM445" s="32" t="n">
        <x:f>(AJ445+AK445+AL445)/4*INDEX(LM_All,G445)*INDEX(tun_Boon,G445)*Arch_Insight</x:f>
        <x:v>25780.50066361676</x:v>
      </x:c>
      <x:c r="AN445" s="32" t="n">
        <x:f>H445*(tun_KHPerAdult*Z445+tun_KHOfCommons*AJ445/4*INDEX(LM_All,G445))*tun_KHUsable*Arch_KH</x:f>
        <x:v>4052.4845685934242</x:v>
      </x:c>
      <x:c r="AO445" s="32" t="n">
        <x:f>MIN(AP444+AN445,AM445*tun_KHMaxRatio)</x:f>
        <x:v>4052.4845685934242</x:v>
      </x:c>
      <x:c r="AP445" s="32" t="n">
        <x:f>AP444+AN445-AO445</x:f>
        <x:v>0</x:v>
      </x:c>
      <x:c r="AQ445" s="32" t="n">
        <x:f>AM445+AO445</x:f>
        <x:v>29832.985232210183</x:v>
      </x:c>
      <x:c r="AR445" s="10" t="n">
        <x:f>IF(H445=1,INDEX(tun_Req,G445),0)</x:f>
        <x:v>3142139.1800715</x:v>
      </x:c>
      <x:c r="AS445" s="32" t="n">
        <x:f>IF(H445=1,IF(E445=1,AS444-AR444,AS444)+AQ445,0)</x:f>
        <x:v>1109374.0264400127</x:v>
      </x:c>
      <x:c r="AT445" s="11" t="n">
        <x:f>IF(AR445&gt;0,MIN(1,AS445/AR445),1)</x:f>
        <x:v>0.35306329951137577</x:v>
      </x:c>
      <x:c r="AU445" s="10" t="n">
        <x:f>AB445/INDEX(tun_RepScale,G445)</x:f>
        <x:v>170.68524200606052</x:v>
      </x:c>
      <x:c r="AV445" s="32" t="n">
        <x:f>AM445*60/tun_SeasonSeconds</x:f>
        <x:v>103122.00265446704</x:v>
      </x:c>
    </x:row>
    <x:row r="446">
      <x:c r="A446" s="8" t="n">
        <x:f>A445+1</x:f>
        <x:v>443</x:v>
      </x:c>
      <x:c r="B446" s="9" t="n">
        <x:f>A446*tun_SeasonSeconds/60</x:f>
        <x:v>110.75</x:v>
      </x:c>
      <x:c r="C446" s="9" t="n">
        <x:f>A446/4</x:f>
        <x:v>110.75</x:v>
      </x:c>
      <x:c r="D446" s="8" t="n">
        <x:f>IF(MOD(A446,4)=0,1,0)</x:f>
        <x:v>0</x:v>
      </x:c>
      <x:c r="E446" s="8" t="n">
        <x:f>IF(AND(F445&lt;=9,AS445&gt;=AR445),1,0)</x:f>
        <x:v>0</x:v>
      </x:c>
      <x:c r="F446" s="8" t="n">
        <x:f>MIN(10,F445+E446)</x:f>
        <x:v>7</x:v>
      </x:c>
      <x:c r="G446" s="8" t="n">
        <x:f>MIN(F446,9)+1</x:f>
        <x:v>8</x:v>
      </x:c>
      <x:c r="H446" s="8" t="n">
        <x:f>IF(F446&lt;=9,1,0)</x:f>
        <x:v>1</x:v>
      </x:c>
      <x:c r="I446" s="9" t="n">
        <x:f>MIN(10,F445+IF(AR445&gt;0,MIN(1,AS445/AR445),1))</x:f>
        <x:v>7.353063299511375</x:v>
      </x:c>
      <x:c r="J446" s="32" t="n">
        <x:f>INDEX(tun_FoodCap,G446)*Arch_FoodCap*EXP(tun_CapsByProject*SUMPRODUCT((Cap_Point&lt;=I446)*(Cap_Kind="Food")*Cap_Ln))</x:f>
        <x:v>1303.9995061759453</x:v>
      </x:c>
      <x:c r="K446" s="32" t="n">
        <x:f>J446*MIN(1,tun_LeanBase*EXP(tun_CapsByProject*SUMPRODUCT((Cap_Point&lt;=I446)*(Cap_Kind="Lean")*Cap_Ln)))</x:f>
        <x:v>1303.9995061759453</x:v>
      </x:c>
      <x:c r="L446" s="10" t="n">
        <x:f>INDEX(tun_HousingCap,G446)*EXP(tun_CapsByProject*SUMPRODUCT((Cap_Point&lt;=I446)*(Cap_Kind="Housing")*Cap_Ln))</x:f>
        <x:v>3065.307481932663</x:v>
      </x:c>
      <x:c r="M446" s="10" t="n">
        <x:f>INDEX(tun_GroupCap,G446)*tun_CohesionFactor*EXP(tun_CapsByProject*SUMPRODUCT((Cap_Point&lt;=I446)*(Cap_Kind="Group")*Cap_Ln))</x:f>
        <x:v>1000000.000000001</x:v>
      </x:c>
      <x:c r="N446" s="32" t="n">
        <x:f>MIN(J446,L446,M446)</x:f>
        <x:v>1303.9995061759453</x:v>
      </x:c>
      <x:c r="O446" s="10" t="n">
        <x:f>AE445*N446</x:f>
        <x:v>19559.99259263918</x:v>
      </x:c>
      <x:c r="P446" s="9" t="n">
        <x:f>MIN(1,(AB445/(AE445*IF(tun_GroupInCrowding=1,N446,MIN(J446,L446))))^tun_CrowdingExp)</x:f>
        <x:v>0.4415335585861421</x:v>
      </x:c>
      <x:c r="Q446" s="9" t="n">
        <x:f>IF(D446=1,INDEX(tun_WinterMult,G446),1)</x:f>
        <x:v>1</x:v>
      </x:c>
      <x:c r="R446" s="9" t="n">
        <x:f>H446*Z445*tun_WomenShare*tun_BaseFertility*INDEX(tun_FertMult,G446)*Arch_Fertility*(1-P446)</x:f>
        <x:v>244.39716216878156</x:v>
      </x:c>
      <x:c r="S446" s="9" t="n">
        <x:f>H446*Y445*INDEX(tun_MortChild,G446)/4*Q446</x:f>
        <x:v>34.88875939687902</x:v>
      </x:c>
      <x:c r="T446" s="9" t="n">
        <x:f>H446*Z445*INDEX(tun_MortAdult,G446)*Arch_AdultMort/4*Q446</x:f>
        <x:v>13.128657912732216</x:v>
      </x:c>
      <x:c r="U446" s="9" t="n">
        <x:f>H446*AA445*INDEX(tun_MortElder,G446)/4*Q446</x:f>
        <x:v>22.862662034942876</x:v>
      </x:c>
      <x:c r="V446" s="9" t="n">
        <x:f>H446*MAX(0,AB445-O446)*tun_OvercapLoss</x:f>
        <x:v>0</x:v>
      </x:c>
      <x:c r="W446" s="9" t="n">
        <x:f>H446*Y445/(tun_ChildYears*4)</x:f>
        <x:v>146.59142603730677</x:v>
      </x:c>
      <x:c r="X446" s="9" t="n">
        <x:f>H446*Z445/(tun_AdultYears*4)</x:f>
        <x:v>54.29552486655176</x:v>
      </x:c>
      <x:c r="Y446" s="32" t="n">
        <x:f>Y445+R446-S446-W446-Y445*V446/AB445</x:f>
        <x:v>8272.036834823775</x:v>
      </x:c>
      <x:c r="Z446" s="32" t="n">
        <x:f>Z445+W446-X446-T446-Z445*V446/AB445</x:f>
        <x:v>6811.812326710441</x:v>
      </x:c>
      <x:c r="AA446" s="32" t="n">
        <x:f>AA445+X446-U446-AA445*V446/AB445</x:f>
        <x:v>2158.1921218960624</x:v>
      </x:c>
      <x:c r="AB446" s="10" t="n">
        <x:f>Y446+Z446+AA446</x:f>
        <x:v>17242.04128343028</x:v>
      </x:c>
      <x:c r="AC446" s="8" t="n">
        <x:f>IF(AND(tun_WinterTrigger=1,D446=1,AB445/AE445&gt;=K446),1,0)</x:f>
        <x:v>0</x:v>
      </x:c>
      <x:c r="AD446" s="8" t="n">
        <x:f>H446*IF(AND(OR(AB445/AE445&gt;=tun_FissionTrigger*N446,AC446=1),AB445/AE445*tun_DaughterShare&gt;=tun_MinDaughter),MAX(1,ROUND(AE445*tun_FissionRate,0)),0)</x:f>
        <x:v>5</x:v>
      </x:c>
      <x:c r="AE446" s="8" t="n">
        <x:f>IF(H446=1,MAX(1,MIN(INDEX(tun_Smax,G446),AE445+AD446)),AE445)</x:f>
        <x:v>15</x:v>
      </x:c>
      <x:c r="AF446" s="8" t="n">
        <x:f>MAX(0,AE446-AE445)</x:f>
        <x:v>0</x:v>
      </x:c>
      <x:c r="AG446" s="9" t="str">
        <x:f>IF(AF446&gt;0,B446,"")</x:f>
      </x:c>
      <x:c r="AH446" s="9" t="n">
        <x:f>IF(F446&gt;=1,1,(1+tun_LowTiesShare*(AE446-1))/AE446)</x:f>
        <x:v>1</x:v>
      </x:c>
      <x:c r="AI446" s="32" t="n">
        <x:f>(Z446+tun_ElderCommons*INDEX(LM_Elder,G446)*AA446)*AH446</x:f>
        <x:v>14905.032783820676</x:v>
      </x:c>
      <x:c r="AJ446" s="32" t="n">
        <x:f>H446*tun_CommonsCoef*AI446^tun_CommonsExp*INDEX(LM_Commons,G446)</x:f>
        <x:v>33043.111267541884</x:v>
      </x:c>
      <x:c r="AK446" s="32" t="n">
        <x:f>H446*tun_RoleScale*Arch_Roles*(AE446*(INDEX(tun_ElderRolePerSett,G446)*tun_OutElder*INDEX(LM_Elder,G446)+INDEX(tun_ShamanPerSett,G446)*tun_OutShaman)+Z446*(INDEX(tun_PriestShare,G446)*tun_OutPriest+INDEX(tun_ScribeShare,G446)*tun_OutScribe*INDEX(LM_Scribe,G446)+INDEX(tun_ScholarShare,G446)*tun_OutScholar*INDEX(LM_Scholar,G446)+INDEX(tun_ResearcherShare,G446)*tun_OutResearcher*INDEX(LM_Researcher,G446)))</x:f>
        <x:v>10202.020960768024</x:v>
      </x:c>
      <x:c r="AL446" s="32" t="n">
        <x:f>H446*tun_RoleScale*Arch_Roles*AE446*INDEX(tun_MonasteryPerSett,G446)*tun_OutMonastery*INDEX(LM_Monastery,G446)</x:f>
        <x:v>79.2</x:v>
      </x:c>
      <x:c r="AM446" s="32" t="n">
        <x:f>(AJ446+AK446+AL446)/4*INDEX(LM_All,G446)*INDEX(tun_Boon,G446)*Arch_Insight</x:f>
        <x:v>26072.693438604372</x:v>
      </x:c>
      <x:c r="AN446" s="32" t="n">
        <x:f>H446*(tun_KHPerAdult*Z446+tun_KHOfCommons*AJ446/4*INDEX(LM_All,G446))*tun_KHUsable*Arch_KH</x:f>
        <x:v>4098.585319659188</x:v>
      </x:c>
      <x:c r="AO446" s="32" t="n">
        <x:f>MIN(AP445+AN446,AM446*tun_KHMaxRatio)</x:f>
        <x:v>4098.585319659188</x:v>
      </x:c>
      <x:c r="AP446" s="32" t="n">
        <x:f>AP445+AN446-AO446</x:f>
        <x:v>0</x:v>
      </x:c>
      <x:c r="AQ446" s="32" t="n">
        <x:f>AM446+AO446</x:f>
        <x:v>30171.27875826356</x:v>
      </x:c>
      <x:c r="AR446" s="10" t="n">
        <x:f>IF(H446=1,INDEX(tun_Req,G446),0)</x:f>
        <x:v>3142139.1800715</x:v>
      </x:c>
      <x:c r="AS446" s="32" t="n">
        <x:f>IF(H446=1,IF(E446=1,AS445-AR445,AS445)+AQ446,0)</x:f>
        <x:v>1139545.3051982762</x:v>
      </x:c>
      <x:c r="AT446" s="11" t="n">
        <x:f>IF(AR446&gt;0,MIN(1,AS446/AR446),1)</x:f>
        <x:v>0.3626654453837228</x:v>
      </x:c>
      <x:c r="AU446" s="10" t="n">
        <x:f>AB446/INDEX(tun_RepScale,G446)</x:f>
        <x:v>172.4204128343028</x:v>
      </x:c>
      <x:c r="AV446" s="32" t="n">
        <x:f>AM446*60/tun_SeasonSeconds</x:f>
        <x:v>104290.77375441749</x:v>
      </x:c>
    </x:row>
    <x:row r="447">
      <x:c r="A447" s="8" t="n">
        <x:f>A446+1</x:f>
        <x:v>444</x:v>
      </x:c>
      <x:c r="B447" s="9" t="n">
        <x:f>A447*tun_SeasonSeconds/60</x:f>
        <x:v>111</x:v>
      </x:c>
      <x:c r="C447" s="9" t="n">
        <x:f>A447/4</x:f>
        <x:v>111</x:v>
      </x:c>
      <x:c r="D447" s="8" t="n">
        <x:f>IF(MOD(A447,4)=0,1,0)</x:f>
        <x:v>1</x:v>
      </x:c>
      <x:c r="E447" s="8" t="n">
        <x:f>IF(AND(F446&lt;=9,AS446&gt;=AR446),1,0)</x:f>
        <x:v>0</x:v>
      </x:c>
      <x:c r="F447" s="8" t="n">
        <x:f>MIN(10,F446+E447)</x:f>
        <x:v>7</x:v>
      </x:c>
      <x:c r="G447" s="8" t="n">
        <x:f>MIN(F447,9)+1</x:f>
        <x:v>8</x:v>
      </x:c>
      <x:c r="H447" s="8" t="n">
        <x:f>IF(F447&lt;=9,1,0)</x:f>
        <x:v>1</x:v>
      </x:c>
      <x:c r="I447" s="9" t="n">
        <x:f>MIN(10,F446+IF(AR446&gt;0,MIN(1,AS446/AR446),1))</x:f>
        <x:v>7.362665445383723</x:v>
      </x:c>
      <x:c r="J447" s="32" t="n">
        <x:f>INDEX(tun_FoodCap,G447)*Arch_FoodCap*EXP(tun_CapsByProject*SUMPRODUCT((Cap_Point&lt;=I447)*(Cap_Kind="Food")*Cap_Ln))</x:f>
        <x:v>1303.9995061759453</x:v>
      </x:c>
      <x:c r="K447" s="32" t="n">
        <x:f>J447*MIN(1,tun_LeanBase*EXP(tun_CapsByProject*SUMPRODUCT((Cap_Point&lt;=I447)*(Cap_Kind="Lean")*Cap_Ln)))</x:f>
        <x:v>1303.9995061759453</x:v>
      </x:c>
      <x:c r="L447" s="10" t="n">
        <x:f>INDEX(tun_HousingCap,G447)*EXP(tun_CapsByProject*SUMPRODUCT((Cap_Point&lt;=I447)*(Cap_Kind="Housing")*Cap_Ln))</x:f>
        <x:v>3065.307481932663</x:v>
      </x:c>
      <x:c r="M447" s="10" t="n">
        <x:f>INDEX(tun_GroupCap,G447)*tun_CohesionFactor*EXP(tun_CapsByProject*SUMPRODUCT((Cap_Point&lt;=I447)*(Cap_Kind="Group")*Cap_Ln))</x:f>
        <x:v>1000000.000000001</x:v>
      </x:c>
      <x:c r="N447" s="32" t="n">
        <x:f>MIN(J447,L447,M447)</x:f>
        <x:v>1303.9995061759453</x:v>
      </x:c>
      <x:c r="O447" s="10" t="n">
        <x:f>AE446*N447</x:f>
        <x:v>19559.99259263918</x:v>
      </x:c>
      <x:c r="P447" s="9" t="n">
        <x:f>MIN(1,(AB446/(AE446*IF(tun_GroupInCrowding=1,N447,MIN(J447,L447))))^tun_CrowdingExp)</x:f>
        <x:v>0.46915890906894564</x:v>
      </x:c>
      <x:c r="Q447" s="9" t="n">
        <x:f>IF(D447=1,INDEX(tun_WinterMult,G447),1)</x:f>
        <x:v>1.08</x:v>
      </x:c>
      <x:c r="R447" s="9" t="n">
        <x:f>H447*Z446*tun_WomenShare*tun_BaseFertility*INDEX(tun_FertMult,G447)*Arch_Fertility*(1-P447)</x:f>
        <x:v>235.03934263735732</x:v>
      </x:c>
      <x:c r="S447" s="9" t="n">
        <x:f>H447*Y446*INDEX(tun_MortChild,G447)/4*Q447</x:f>
        <x:v>37.968649071841135</x:v>
      </x:c>
      <x:c r="T447" s="9" t="n">
        <x:f>H447*Z446*INDEX(tun_MortAdult,G447)*Arch_AdultMort/4*Q447</x:f>
        <x:v>14.34567676005219</x:v>
      </x:c>
      <x:c r="U447" s="9" t="n">
        <x:f>H447*AA446*INDEX(tun_MortElder,G447)/4*Q447</x:f>
        <x:v>25.056610535213284</x:v>
      </x:c>
      <x:c r="V447" s="9" t="n">
        <x:f>H447*MAX(0,AB446-O447)*tun_OvercapLoss</x:f>
        <x:v>0</x:v>
      </x:c>
      <x:c r="W447" s="9" t="n">
        <x:f>H447*Y446/(tun_ChildYears*4)</x:f>
        <x:v>147.714943478996</x:v>
      </x:c>
      <x:c r="X447" s="9" t="n">
        <x:f>H447*Z446/(tun_AdultYears*4)</x:f>
        <x:v>54.933970376697104</x:v>
      </x:c>
      <x:c r="Y447" s="32" t="n">
        <x:f>Y446+R447-S447-W447-Y446*V447/AB446</x:f>
        <x:v>8321.392584910296</x:v>
      </x:c>
      <x:c r="Z447" s="32" t="n">
        <x:f>Z446+W447-X447-T447-Z446*V447/AB446</x:f>
        <x:v>6890.247623052688</x:v>
      </x:c>
      <x:c r="AA447" s="32" t="n">
        <x:f>AA446+X447-U447-AA446*V447/AB446</x:f>
        <x:v>2188.0694817375465</x:v>
      </x:c>
      <x:c r="AB447" s="10" t="n">
        <x:f>Y447+Z447+AA447</x:f>
        <x:v>17399.709689700532</x:v>
      </x:c>
      <x:c r="AC447" s="8" t="n">
        <x:f>IF(AND(tun_WinterTrigger=1,D447=1,AB446/AE446&gt;=K447),1,0)</x:f>
        <x:v>0</x:v>
      </x:c>
      <x:c r="AD447" s="8" t="n">
        <x:f>H447*IF(AND(OR(AB446/AE446&gt;=tun_FissionTrigger*N447,AC447=1),AB446/AE446*tun_DaughterShare&gt;=tun_MinDaughter),MAX(1,ROUND(AE446*tun_FissionRate,0)),0)</x:f>
        <x:v>5</x:v>
      </x:c>
      <x:c r="AE447" s="8" t="n">
        <x:f>IF(H447=1,MAX(1,MIN(INDEX(tun_Smax,G447),AE446+AD447)),AE446)</x:f>
        <x:v>15</x:v>
      </x:c>
      <x:c r="AF447" s="8" t="n">
        <x:f>MAX(0,AE447-AE446)</x:f>
        <x:v>0</x:v>
      </x:c>
      <x:c r="AG447" s="9" t="str">
        <x:f>IF(AF447&gt;0,B447,"")</x:f>
      </x:c>
      <x:c r="AH447" s="9" t="n">
        <x:f>IF(F447&gt;=1,1,(1+tun_LowTiesShare*(AE447-1))/AE447)</x:f>
        <x:v>1</x:v>
      </x:c>
      <x:c r="AI447" s="32" t="n">
        <x:f>(Z447+tun_ElderCommons*INDEX(LM_Elder,G447)*AA447)*AH447</x:f>
        <x:v>15095.508179568487</x:v>
      </x:c>
      <x:c r="AJ447" s="32" t="n">
        <x:f>H447*tun_CommonsCoef*AI447^tun_CommonsExp*INDEX(LM_Commons,G447)</x:f>
        <x:v>33401.69566398635</x:v>
      </x:c>
      <x:c r="AK447" s="32" t="n">
        <x:f>H447*tun_RoleScale*Arch_Roles*(AE447*(INDEX(tun_ElderRolePerSett,G447)*tun_OutElder*INDEX(LM_Elder,G447)+INDEX(tun_ShamanPerSett,G447)*tun_OutShaman)+Z447*(INDEX(tun_PriestShare,G447)*tun_OutPriest+INDEX(tun_ScribeShare,G447)*tun_OutScribe*INDEX(LM_Scribe,G447)+INDEX(tun_ScholarShare,G447)*tun_OutScholar*INDEX(LM_Scholar,G447)+INDEX(tun_ResearcherShare,G447)*tun_OutResearcher*INDEX(LM_Researcher,G447)))</x:f>
        <x:v>10314.829741379297</x:v>
      </x:c>
      <x:c r="AL447" s="32" t="n">
        <x:f>H447*tun_RoleScale*Arch_Roles*AE447*INDEX(tun_MonasteryPerSett,G447)*tun_OutMonastery*INDEX(LM_Monastery,G447)</x:f>
        <x:v>79.2</x:v>
      </x:c>
      <x:c r="AM447" s="32" t="n">
        <x:f>(AJ447+AK447+AL447)/4*INDEX(LM_All,G447)*INDEX(tun_Boon,G447)*Arch_Insight</x:f>
        <x:v>26356.379052721997</x:v>
      </x:c>
      <x:c r="AN447" s="32" t="n">
        <x:f>H447*(tun_KHPerAdult*Z447+tun_KHOfCommons*AJ447/4*INDEX(LM_All,G447))*tun_KHUsable*Arch_KH</x:f>
        <x:v>4143.063236137041</x:v>
      </x:c>
      <x:c r="AO447" s="32" t="n">
        <x:f>MIN(AP446+AN447,AM447*tun_KHMaxRatio)</x:f>
        <x:v>4143.063236137041</x:v>
      </x:c>
      <x:c r="AP447" s="32" t="n">
        <x:f>AP446+AN447-AO447</x:f>
        <x:v>0</x:v>
      </x:c>
      <x:c r="AQ447" s="32" t="n">
        <x:f>AM447+AO447</x:f>
        <x:v>30499.442288859038</x:v>
      </x:c>
      <x:c r="AR447" s="10" t="n">
        <x:f>IF(H447=1,INDEX(tun_Req,G447),0)</x:f>
        <x:v>3142139.1800715</x:v>
      </x:c>
      <x:c r="AS447" s="32" t="n">
        <x:f>IF(H447=1,IF(E447=1,AS446-AR446,AS446)+AQ447,0)</x:f>
        <x:v>1170044.7474871352</x:v>
      </x:c>
      <x:c r="AT447" s="11" t="n">
        <x:f>IF(AR447&gt;0,MIN(1,AS447/AR447),1)</x:f>
        <x:v>0.3723720307833438</x:v>
      </x:c>
      <x:c r="AU447" s="10" t="n">
        <x:f>AB447/INDEX(tun_RepScale,G447)</x:f>
        <x:v>173.99709689700532</x:v>
      </x:c>
      <x:c r="AV447" s="32" t="n">
        <x:f>AM447*60/tun_SeasonSeconds</x:f>
        <x:v>105425.51621088799</x:v>
      </x:c>
    </x:row>
    <x:row r="448">
      <x:c r="A448" s="8" t="n">
        <x:f>A447+1</x:f>
        <x:v>445</x:v>
      </x:c>
      <x:c r="B448" s="9" t="n">
        <x:f>A448*tun_SeasonSeconds/60</x:f>
        <x:v>111.25</x:v>
      </x:c>
      <x:c r="C448" s="9" t="n">
        <x:f>A448/4</x:f>
        <x:v>111.25</x:v>
      </x:c>
      <x:c r="D448" s="8" t="n">
        <x:f>IF(MOD(A448,4)=0,1,0)</x:f>
        <x:v>0</x:v>
      </x:c>
      <x:c r="E448" s="8" t="n">
        <x:f>IF(AND(F447&lt;=9,AS447&gt;=AR447),1,0)</x:f>
        <x:v>0</x:v>
      </x:c>
      <x:c r="F448" s="8" t="n">
        <x:f>MIN(10,F447+E448)</x:f>
        <x:v>7</x:v>
      </x:c>
      <x:c r="G448" s="8" t="n">
        <x:f>MIN(F448,9)+1</x:f>
        <x:v>8</x:v>
      </x:c>
      <x:c r="H448" s="8" t="n">
        <x:f>IF(F448&lt;=9,1,0)</x:f>
        <x:v>1</x:v>
      </x:c>
      <x:c r="I448" s="9" t="n">
        <x:f>MIN(10,F447+IF(AR447&gt;0,MIN(1,AS447/AR447),1))</x:f>
        <x:v>7.372372030783344</x:v>
      </x:c>
      <x:c r="J448" s="32" t="n">
        <x:f>INDEX(tun_FoodCap,G448)*Arch_FoodCap*EXP(tun_CapsByProject*SUMPRODUCT((Cap_Point&lt;=I448)*(Cap_Kind="Food")*Cap_Ln))</x:f>
        <x:v>1303.9995061759453</x:v>
      </x:c>
      <x:c r="K448" s="32" t="n">
        <x:f>J448*MIN(1,tun_LeanBase*EXP(tun_CapsByProject*SUMPRODUCT((Cap_Point&lt;=I448)*(Cap_Kind="Lean")*Cap_Ln)))</x:f>
        <x:v>1303.9995061759453</x:v>
      </x:c>
      <x:c r="L448" s="10" t="n">
        <x:f>INDEX(tun_HousingCap,G448)*EXP(tun_CapsByProject*SUMPRODUCT((Cap_Point&lt;=I448)*(Cap_Kind="Housing")*Cap_Ln))</x:f>
        <x:v>3065.307481932663</x:v>
      </x:c>
      <x:c r="M448" s="10" t="n">
        <x:f>INDEX(tun_GroupCap,G448)*tun_CohesionFactor*EXP(tun_CapsByProject*SUMPRODUCT((Cap_Point&lt;=I448)*(Cap_Kind="Group")*Cap_Ln))</x:f>
        <x:v>1000000.000000001</x:v>
      </x:c>
      <x:c r="N448" s="32" t="n">
        <x:f>MIN(J448,L448,M448)</x:f>
        <x:v>1303.9995061759453</x:v>
      </x:c>
      <x:c r="O448" s="10" t="n">
        <x:f>AE447*N448</x:f>
        <x:v>19559.99259263918</x:v>
      </x:c>
      <x:c r="P448" s="9" t="n">
        <x:f>MIN(1,(AB447/(AE447*IF(tun_GroupInCrowding=1,N448,MIN(J448,L448))))^tun_CrowdingExp)</x:f>
        <x:v>0.4954957086204388</x:v>
      </x:c>
      <x:c r="Q448" s="9" t="n">
        <x:f>IF(D448=1,INDEX(tun_WinterMult,G448),1)</x:f>
        <x:v>1</x:v>
      </x:c>
      <x:c r="R448" s="9" t="n">
        <x:f>H448*Z447*tun_WomenShare*tun_BaseFertility*INDEX(tun_FertMult,G448)*Arch_Fertility*(1-P448)</x:f>
        <x:v>225.95036714236366</x:v>
      </x:c>
      <x:c r="S448" s="9" t="n">
        <x:f>H448*Y447*INDEX(tun_MortChild,G448)/4*Q448</x:f>
        <x:v>35.36591848586876</x:v>
      </x:c>
      <x:c r="T448" s="9" t="n">
        <x:f>H448*Z447*INDEX(tun_MortAdult,G448)*Arch_AdultMort/4*Q448</x:f>
        <x:v>13.435982864952742</x:v>
      </x:c>
      <x:c r="U448" s="9" t="n">
        <x:f>H448*AA447*INDEX(tun_MortElder,G448)/4*Q448</x:f>
        <x:v>23.521746928678624</x:v>
      </x:c>
      <x:c r="V448" s="9" t="n">
        <x:f>H448*MAX(0,AB447-O448)*tun_OvercapLoss</x:f>
        <x:v>0</x:v>
      </x:c>
      <x:c r="W448" s="9" t="n">
        <x:f>H448*Y447/(tun_ChildYears*4)</x:f>
        <x:v>148.59629615911243</x:v>
      </x:c>
      <x:c r="X448" s="9" t="n">
        <x:f>H448*Z447/(tun_AdultYears*4)</x:f>
        <x:v>55.56651308913458</x:v>
      </x:c>
      <x:c r="Y448" s="32" t="n">
        <x:f>Y447+R448-S448-W448-Y447*V448/AB447</x:f>
        <x:v>8363.38073740768</x:v>
      </x:c>
      <x:c r="Z448" s="32" t="n">
        <x:f>Z447+W448-X448-T448-Z447*V448/AB447</x:f>
        <x:v>6969.841423257712</x:v>
      </x:c>
      <x:c r="AA448" s="32" t="n">
        <x:f>AA447+X448-U448-AA447*V448/AB447</x:f>
        <x:v>2220.1142478980028</x:v>
      </x:c>
      <x:c r="AB448" s="10" t="n">
        <x:f>Y448+Z448+AA448</x:f>
        <x:v>17553.336408563395</x:v>
      </x:c>
      <x:c r="AC448" s="8" t="n">
        <x:f>IF(AND(tun_WinterTrigger=1,D448=1,AB447/AE447&gt;=K448),1,0)</x:f>
        <x:v>0</x:v>
      </x:c>
      <x:c r="AD448" s="8" t="n">
        <x:f>H448*IF(AND(OR(AB447/AE447&gt;=tun_FissionTrigger*N448,AC448=1),AB447/AE447*tun_DaughterShare&gt;=tun_MinDaughter),MAX(1,ROUND(AE447*tun_FissionRate,0)),0)</x:f>
        <x:v>5</x:v>
      </x:c>
      <x:c r="AE448" s="8" t="n">
        <x:f>IF(H448=1,MAX(1,MIN(INDEX(tun_Smax,G448),AE447+AD448)),AE447)</x:f>
        <x:v>15</x:v>
      </x:c>
      <x:c r="AF448" s="8" t="n">
        <x:f>MAX(0,AE448-AE447)</x:f>
        <x:v>0</x:v>
      </x:c>
      <x:c r="AG448" s="9" t="str">
        <x:f>IF(AF448&gt;0,B448,"")</x:f>
      </x:c>
      <x:c r="AH448" s="9" t="n">
        <x:f>IF(F448&gt;=1,1,(1+tun_LowTiesShare*(AE448-1))/AE448)</x:f>
        <x:v>1</x:v>
      </x:c>
      <x:c r="AI448" s="32" t="n">
        <x:f>(Z448+tun_ElderCommons*INDEX(LM_Elder,G448)*AA448)*AH448</x:f>
        <x:v>15295.269852875223</x:v>
      </x:c>
      <x:c r="AJ448" s="32" t="n">
        <x:f>H448*tun_CommonsCoef*AI448^tun_CommonsExp*INDEX(LM_Commons,G448)</x:f>
        <x:v>33777.033889555525</x:v>
      </x:c>
      <x:c r="AK448" s="32" t="n">
        <x:f>H448*tun_RoleScale*Arch_Roles*(AE448*(INDEX(tun_ElderRolePerSett,G448)*tun_OutElder*INDEX(LM_Elder,G448)+INDEX(tun_ShamanPerSett,G448)*tun_OutShaman)+Z448*(INDEX(tun_PriestShare,G448)*tun_OutPriest+INDEX(tun_ScribeShare,G448)*tun_OutScribe*INDEX(LM_Scribe,G448)+INDEX(tun_ScholarShare,G448)*tun_OutScholar*INDEX(LM_Scholar,G448)+INDEX(tun_ResearcherShare,G448)*tun_OutResearcher*INDEX(LM_Researcher,G448)))</x:f>
        <x:v>10429.304728586172</x:v>
      </x:c>
      <x:c r="AL448" s="32" t="n">
        <x:f>H448*tun_RoleScale*Arch_Roles*AE448*INDEX(tun_MonasteryPerSett,G448)*tun_OutMonastery*INDEX(LM_Monastery,G448)</x:f>
        <x:v>79.2</x:v>
      </x:c>
      <x:c r="AM448" s="32" t="n">
        <x:f>(AJ448+AK448+AL448)/4*INDEX(LM_All,G448)*INDEX(tun_Boon,G448)*Arch_Insight</x:f>
        <x:v>26651.149891233457</x:v>
      </x:c>
      <x:c r="AN448" s="32" t="n">
        <x:f>H448*(tun_KHPerAdult*Z448+tun_KHOfCommons*AJ448/4*INDEX(LM_All,G448))*tun_KHUsable*Arch_KH</x:f>
        <x:v>4189.619255900709</x:v>
      </x:c>
      <x:c r="AO448" s="32" t="n">
        <x:f>MIN(AP447+AN448,AM448*tun_KHMaxRatio)</x:f>
        <x:v>4189.619255900709</x:v>
      </x:c>
      <x:c r="AP448" s="32" t="n">
        <x:f>AP447+AN448-AO448</x:f>
        <x:v>0</x:v>
      </x:c>
      <x:c r="AQ448" s="32" t="n">
        <x:f>AM448+AO448</x:f>
        <x:v>30840.769147134168</x:v>
      </x:c>
      <x:c r="AR448" s="10" t="n">
        <x:f>IF(H448=1,INDEX(tun_Req,G448),0)</x:f>
        <x:v>3142139.1800715</x:v>
      </x:c>
      <x:c r="AS448" s="32" t="n">
        <x:f>IF(H448=1,IF(E448=1,AS447-AR447,AS447)+AQ448,0)</x:f>
        <x:v>1200885.5166342694</x:v>
      </x:c>
      <x:c r="AT448" s="11" t="n">
        <x:f>IF(AR448&gt;0,MIN(1,AS448/AR448),1)</x:f>
        <x:v>0.3821872449987855</x:v>
      </x:c>
      <x:c r="AU448" s="10" t="n">
        <x:f>AB448/INDEX(tun_RepScale,G448)</x:f>
        <x:v>175.53336408563393</x:v>
      </x:c>
      <x:c r="AV448" s="32" t="n">
        <x:f>AM448*60/tun_SeasonSeconds</x:f>
        <x:v>106604.59956493383</x:v>
      </x:c>
    </x:row>
    <x:row r="449">
      <x:c r="A449" s="8" t="n">
        <x:f>A448+1</x:f>
        <x:v>446</x:v>
      </x:c>
      <x:c r="B449" s="9" t="n">
        <x:f>A449*tun_SeasonSeconds/60</x:f>
        <x:v>111.5</x:v>
      </x:c>
      <x:c r="C449" s="9" t="n">
        <x:f>A449/4</x:f>
        <x:v>111.5</x:v>
      </x:c>
      <x:c r="D449" s="8" t="n">
        <x:f>IF(MOD(A449,4)=0,1,0)</x:f>
        <x:v>0</x:v>
      </x:c>
      <x:c r="E449" s="8" t="n">
        <x:f>IF(AND(F448&lt;=9,AS448&gt;=AR448),1,0)</x:f>
        <x:v>0</x:v>
      </x:c>
      <x:c r="F449" s="8" t="n">
        <x:f>MIN(10,F448+E449)</x:f>
        <x:v>7</x:v>
      </x:c>
      <x:c r="G449" s="8" t="n">
        <x:f>MIN(F449,9)+1</x:f>
        <x:v>8</x:v>
      </x:c>
      <x:c r="H449" s="8" t="n">
        <x:f>IF(F449&lt;=9,1,0)</x:f>
        <x:v>1</x:v>
      </x:c>
      <x:c r="I449" s="9" t="n">
        <x:f>MIN(10,F448+IF(AR448&gt;0,MIN(1,AS448/AR448),1))</x:f>
        <x:v>7.382187244998786</x:v>
      </x:c>
      <x:c r="J449" s="32" t="n">
        <x:f>INDEX(tun_FoodCap,G449)*Arch_FoodCap*EXP(tun_CapsByProject*SUMPRODUCT((Cap_Point&lt;=I449)*(Cap_Kind="Food")*Cap_Ln))</x:f>
        <x:v>1303.9995061759453</x:v>
      </x:c>
      <x:c r="K449" s="32" t="n">
        <x:f>J449*MIN(1,tun_LeanBase*EXP(tun_CapsByProject*SUMPRODUCT((Cap_Point&lt;=I449)*(Cap_Kind="Lean")*Cap_Ln)))</x:f>
        <x:v>1303.9995061759453</x:v>
      </x:c>
      <x:c r="L449" s="10" t="n">
        <x:f>INDEX(tun_HousingCap,G449)*EXP(tun_CapsByProject*SUMPRODUCT((Cap_Point&lt;=I449)*(Cap_Kind="Housing")*Cap_Ln))</x:f>
        <x:v>3065.307481932663</x:v>
      </x:c>
      <x:c r="M449" s="10" t="n">
        <x:f>INDEX(tun_GroupCap,G449)*tun_CohesionFactor*EXP(tun_CapsByProject*SUMPRODUCT((Cap_Point&lt;=I449)*(Cap_Kind="Group")*Cap_Ln))</x:f>
        <x:v>1000000.000000001</x:v>
      </x:c>
      <x:c r="N449" s="32" t="n">
        <x:f>MIN(J449,L449,M449)</x:f>
        <x:v>1303.9995061759453</x:v>
      </x:c>
      <x:c r="O449" s="10" t="n">
        <x:f>AE448*N449</x:f>
        <x:v>19559.99259263918</x:v>
      </x:c>
      <x:c r="P449" s="9" t="n">
        <x:f>MIN(1,(AB448/(AE448*IF(tun_GroupInCrowding=1,N449,MIN(J449,L449))))^tun_CrowdingExp)</x:f>
        <x:v>0.5223311674369442</x:v>
      </x:c>
      <x:c r="Q449" s="9" t="n">
        <x:f>IF(D449=1,INDEX(tun_WinterMult,G449),1)</x:f>
        <x:v>1</x:v>
      </x:c>
      <x:c r="R449" s="9" t="n">
        <x:f>H449*Z448*tun_WomenShare*tun_BaseFertility*INDEX(tun_FertMult,G449)*Arch_Fertility*(1-P449)</x:f>
        <x:v>216.40294102681403</x:v>
      </x:c>
      <x:c r="S449" s="9" t="n">
        <x:f>H449*Y448*INDEX(tun_MortChild,G449)/4*Q449</x:f>
        <x:v>35.544368133982644</x:v>
      </x:c>
      <x:c r="T449" s="9" t="n">
        <x:f>H449*Z448*INDEX(tun_MortAdult,G449)*Arch_AdultMort/4*Q449</x:f>
        <x:v>13.591190775352539</x:v>
      </x:c>
      <x:c r="U449" s="9" t="n">
        <x:f>H449*AA448*INDEX(tun_MortElder,G449)/4*Q449</x:f>
        <x:v>23.86622816490353</x:v>
      </x:c>
      <x:c r="V449" s="9" t="n">
        <x:f>H449*MAX(0,AB448-O449)*tun_OvercapLoss</x:f>
        <x:v>0</x:v>
      </x:c>
      <x:c r="W449" s="9" t="n">
        <x:f>H449*Y448/(tun_ChildYears*4)</x:f>
        <x:v>149.34608459656573</x:v>
      </x:c>
      <x:c r="X449" s="9" t="n">
        <x:f>H449*Z448/(tun_AdultYears*4)</x:f>
        <x:v>56.20839857465897</x:v>
      </x:c>
      <x:c r="Y449" s="32" t="n">
        <x:f>Y448+R449-S449-W449-Y448*V449/AB448</x:f>
        <x:v>8394.893225703947</x:v>
      </x:c>
      <x:c r="Z449" s="32" t="n">
        <x:f>Z448+W449-X449-T449-Z448*V449/AB448</x:f>
        <x:v>7049.387918504267</x:v>
      </x:c>
      <x:c r="AA449" s="32" t="n">
        <x:f>AA448+X449-U449-AA448*V449/AB448</x:f>
        <x:v>2252.456418307758</x:v>
      </x:c>
      <x:c r="AB449" s="10" t="n">
        <x:f>Y449+Z449+AA449</x:f>
        <x:v>17696.73756251597</x:v>
      </x:c>
      <x:c r="AC449" s="8" t="n">
        <x:f>IF(AND(tun_WinterTrigger=1,D449=1,AB448/AE448&gt;=K449),1,0)</x:f>
        <x:v>0</x:v>
      </x:c>
      <x:c r="AD449" s="8" t="n">
        <x:f>H449*IF(AND(OR(AB448/AE448&gt;=tun_FissionTrigger*N449,AC449=1),AB448/AE448*tun_DaughterShare&gt;=tun_MinDaughter),MAX(1,ROUND(AE448*tun_FissionRate,0)),0)</x:f>
        <x:v>5</x:v>
      </x:c>
      <x:c r="AE449" s="8" t="n">
        <x:f>IF(H449=1,MAX(1,MIN(INDEX(tun_Smax,G449),AE448+AD449)),AE448)</x:f>
        <x:v>15</x:v>
      </x:c>
      <x:c r="AF449" s="8" t="n">
        <x:f>MAX(0,AE449-AE448)</x:f>
        <x:v>0</x:v>
      </x:c>
      <x:c r="AG449" s="9" t="str">
        <x:f>IF(AF449&gt;0,B449,"")</x:f>
      </x:c>
      <x:c r="AH449" s="9" t="n">
        <x:f>IF(F449&gt;=1,1,(1+tun_LowTiesShare*(AE449-1))/AE449)</x:f>
        <x:v>1</x:v>
      </x:c>
      <x:c r="AI449" s="32" t="n">
        <x:f>(Z449+tun_ElderCommons*INDEX(LM_Elder,G449)*AA449)*AH449</x:f>
        <x:v>15496.09948715836</x:v>
      </x:c>
      <x:c r="AJ449" s="32" t="n">
        <x:f>H449*tun_CommonsCoef*AI449^tun_CommonsExp*INDEX(LM_Commons,G449)</x:f>
        <x:v>34153.63824703737</x:v>
      </x:c>
      <x:c r="AK449" s="32" t="n">
        <x:f>H449*tun_RoleScale*Arch_Roles*(AE449*(INDEX(tun_ElderRolePerSett,G449)*tun_OutElder*INDEX(LM_Elder,G449)+INDEX(tun_ShamanPerSett,G449)*tun_OutShaman)+Z449*(INDEX(tun_PriestShare,G449)*tun_OutPriest+INDEX(tun_ScribeShare,G449)*tun_OutScribe*INDEX(LM_Scribe,G449)+INDEX(tun_ScholarShare,G449)*tun_OutScholar*INDEX(LM_Scholar,G449)+INDEX(tun_ResearcherShare,G449)*tun_OutResearcher*INDEX(LM_Researcher,G449)))</x:f>
        <x:v>10543.711679909577</x:v>
      </x:c>
      <x:c r="AL449" s="32" t="n">
        <x:f>H449*tun_RoleScale*Arch_Roles*AE449*INDEX(tun_MonasteryPerSett,G449)*tun_OutMonastery*INDEX(LM_Monastery,G449)</x:f>
        <x:v>79.2</x:v>
      </x:c>
      <x:c r="AM449" s="32" t="n">
        <x:f>(AJ449+AK449+AL449)/4*INDEX(LM_All,G449)*INDEX(tun_Boon,G449)*Arch_Insight</x:f>
        <x:v>26946.641746985628</x:v>
      </x:c>
      <x:c r="AN449" s="32" t="n">
        <x:f>H449*(tun_KHPerAdult*Z449+tun_KHOfCommons*AJ449/4*INDEX(LM_All,G449))*tun_KHUsable*Arch_KH</x:f>
        <x:v>4236.332323517044</x:v>
      </x:c>
      <x:c r="AO449" s="32" t="n">
        <x:f>MIN(AP448+AN449,AM449*tun_KHMaxRatio)</x:f>
        <x:v>4236.332323517044</x:v>
      </x:c>
      <x:c r="AP449" s="32" t="n">
        <x:f>AP448+AN449-AO449</x:f>
        <x:v>0</x:v>
      </x:c>
      <x:c r="AQ449" s="32" t="n">
        <x:f>AM449+AO449</x:f>
        <x:v>31182.97407050267</x:v>
      </x:c>
      <x:c r="AR449" s="10" t="n">
        <x:f>IF(H449=1,INDEX(tun_Req,G449),0)</x:f>
        <x:v>3142139.1800715</x:v>
      </x:c>
      <x:c r="AS449" s="32" t="n">
        <x:f>IF(H449=1,IF(E449=1,AS448-AR448,AS448)+AQ449,0)</x:f>
        <x:v>1232068.490704772</x:v>
      </x:c>
      <x:c r="AT449" s="11" t="n">
        <x:f>IF(AR449&gt;0,MIN(1,AS449/AR449),1)</x:f>
        <x:v>0.3921113674782337</x:v>
      </x:c>
      <x:c r="AU449" s="10" t="n">
        <x:f>AB449/INDEX(tun_RepScale,G449)</x:f>
        <x:v>176.9673756251597</x:v>
      </x:c>
      <x:c r="AV449" s="32" t="n">
        <x:f>AM449*60/tun_SeasonSeconds</x:f>
        <x:v>107786.56698794251</x:v>
      </x:c>
    </x:row>
    <x:row r="450">
      <x:c r="A450" s="8" t="n">
        <x:f>A449+1</x:f>
        <x:v>447</x:v>
      </x:c>
      <x:c r="B450" s="9" t="n">
        <x:f>A450*tun_SeasonSeconds/60</x:f>
        <x:v>111.75</x:v>
      </x:c>
      <x:c r="C450" s="9" t="n">
        <x:f>A450/4</x:f>
        <x:v>111.75</x:v>
      </x:c>
      <x:c r="D450" s="8" t="n">
        <x:f>IF(MOD(A450,4)=0,1,0)</x:f>
        <x:v>0</x:v>
      </x:c>
      <x:c r="E450" s="8" t="n">
        <x:f>IF(AND(F449&lt;=9,AS449&gt;=AR449),1,0)</x:f>
        <x:v>0</x:v>
      </x:c>
      <x:c r="F450" s="8" t="n">
        <x:f>MIN(10,F449+E450)</x:f>
        <x:v>7</x:v>
      </x:c>
      <x:c r="G450" s="8" t="n">
        <x:f>MIN(F450,9)+1</x:f>
        <x:v>8</x:v>
      </x:c>
      <x:c r="H450" s="8" t="n">
        <x:f>IF(F450&lt;=9,1,0)</x:f>
        <x:v>1</x:v>
      </x:c>
      <x:c r="I450" s="9" t="n">
        <x:f>MIN(10,F449+IF(AR449&gt;0,MIN(1,AS449/AR449),1))</x:f>
        <x:v>7.3921113674782335</x:v>
      </x:c>
      <x:c r="J450" s="32" t="n">
        <x:f>INDEX(tun_FoodCap,G450)*Arch_FoodCap*EXP(tun_CapsByProject*SUMPRODUCT((Cap_Point&lt;=I450)*(Cap_Kind="Food")*Cap_Ln))</x:f>
        <x:v>1303.9995061759453</x:v>
      </x:c>
      <x:c r="K450" s="32" t="n">
        <x:f>J450*MIN(1,tun_LeanBase*EXP(tun_CapsByProject*SUMPRODUCT((Cap_Point&lt;=I450)*(Cap_Kind="Lean")*Cap_Ln)))</x:f>
        <x:v>1303.9995061759453</x:v>
      </x:c>
      <x:c r="L450" s="10" t="n">
        <x:f>INDEX(tun_HousingCap,G450)*EXP(tun_CapsByProject*SUMPRODUCT((Cap_Point&lt;=I450)*(Cap_Kind="Housing")*Cap_Ln))</x:f>
        <x:v>3065.307481932663</x:v>
      </x:c>
      <x:c r="M450" s="10" t="n">
        <x:f>INDEX(tun_GroupCap,G450)*tun_CohesionFactor*EXP(tun_CapsByProject*SUMPRODUCT((Cap_Point&lt;=I450)*(Cap_Kind="Group")*Cap_Ln))</x:f>
        <x:v>1000000.000000001</x:v>
      </x:c>
      <x:c r="N450" s="32" t="n">
        <x:f>MIN(J450,L450,M450)</x:f>
        <x:v>1303.9995061759453</x:v>
      </x:c>
      <x:c r="O450" s="10" t="n">
        <x:f>AE449*N450</x:f>
        <x:v>19559.99259263918</x:v>
      </x:c>
      <x:c r="P450" s="9" t="n">
        <x:f>MIN(1,(AB449/(AE449*IF(tun_GroupInCrowding=1,N450,MIN(J450,L450))))^tun_CrowdingExp)</x:f>
        <x:v>0.5484627626987209</x:v>
      </x:c>
      <x:c r="Q450" s="9" t="n">
        <x:f>IF(D450=1,INDEX(tun_WinterMult,G450),1)</x:f>
        <x:v>1</x:v>
      </x:c>
      <x:c r="R450" s="9" t="n">
        <x:f>H450*Z449*tun_WomenShare*tun_BaseFertility*INDEX(tun_FertMult,G450)*Arch_Fertility*(1-P450)</x:f>
        <x:v>206.89897445011806</x:v>
      </x:c>
      <x:c r="S450" s="9" t="n">
        <x:f>H450*Y449*INDEX(tun_MortChild,G450)/4*Q450</x:f>
        <x:v>35.67829620924178</x:v>
      </x:c>
      <x:c r="T450" s="9" t="n">
        <x:f>H450*Z449*INDEX(tun_MortAdult,G450)*Arch_AdultMort/4*Q450</x:f>
        <x:v>13.74630644108332</x:v>
      </x:c>
      <x:c r="U450" s="9" t="n">
        <x:f>H450*AA449*INDEX(tun_MortElder,G450)/4*Q450</x:f>
        <x:v>24.2139064968084</x:v>
      </x:c>
      <x:c r="V450" s="9" t="n">
        <x:f>H450*MAX(0,AB449-O450)*tun_OvercapLoss</x:f>
        <x:v>0</x:v>
      </x:c>
      <x:c r="W450" s="9" t="n">
        <x:f>H450*Y449/(tun_ChildYears*4)</x:f>
        <x:v>149.90880760185618</x:v>
      </x:c>
      <x:c r="X450" s="9" t="n">
        <x:f>H450*Z449/(tun_AdultYears*4)</x:f>
        <x:v>56.8499025685828</x:v>
      </x:c>
      <x:c r="Y450" s="32" t="n">
        <x:f>Y449+R450-S450-W450-Y449*V450/AB449</x:f>
        <x:v>8416.205096342966</x:v>
      </x:c>
      <x:c r="Z450" s="32" t="n">
        <x:f>Z449+W450-X450-T450-Z449*V450/AB449</x:f>
        <x:v>7128.700517096458</x:v>
      </x:c>
      <x:c r="AA450" s="32" t="n">
        <x:f>AA449+X450-U450-AA449*V450/AB449</x:f>
        <x:v>2285.092414379533</x:v>
      </x:c>
      <x:c r="AB450" s="10" t="n">
        <x:f>Y450+Z450+AA450</x:f>
        <x:v>17829.998027818954</x:v>
      </x:c>
      <x:c r="AC450" s="8" t="n">
        <x:f>IF(AND(tun_WinterTrigger=1,D450=1,AB449/AE449&gt;=K450),1,0)</x:f>
        <x:v>0</x:v>
      </x:c>
      <x:c r="AD450" s="8" t="n">
        <x:f>H450*IF(AND(OR(AB449/AE449&gt;=tun_FissionTrigger*N450,AC450=1),AB449/AE449*tun_DaughterShare&gt;=tun_MinDaughter),MAX(1,ROUND(AE449*tun_FissionRate,0)),0)</x:f>
        <x:v>5</x:v>
      </x:c>
      <x:c r="AE450" s="8" t="n">
        <x:f>IF(H450=1,MAX(1,MIN(INDEX(tun_Smax,G450),AE449+AD450)),AE449)</x:f>
        <x:v>15</x:v>
      </x:c>
      <x:c r="AF450" s="8" t="n">
        <x:f>MAX(0,AE450-AE449)</x:f>
        <x:v>0</x:v>
      </x:c>
      <x:c r="AG450" s="9" t="str">
        <x:f>IF(AF450&gt;0,B450,"")</x:f>
      </x:c>
      <x:c r="AH450" s="9" t="n">
        <x:f>IF(F450&gt;=1,1,(1+tun_LowTiesShare*(AE450-1))/AE450)</x:f>
        <x:v>1</x:v>
      </x:c>
      <x:c r="AI450" s="32" t="n">
        <x:f>(Z450+tun_ElderCommons*INDEX(LM_Elder,G450)*AA450)*AH450</x:f>
        <x:v>15697.797071019704</x:v>
      </x:c>
      <x:c r="AJ450" s="32" t="n">
        <x:f>H450*tun_CommonsCoef*AI450^tun_CommonsExp*INDEX(LM_Commons,G450)</x:f>
        <x:v>34531.134057678326</x:v>
      </x:c>
      <x:c r="AK450" s="32" t="n">
        <x:f>H450*tun_RoleScale*Arch_Roles*(AE450*(INDEX(tun_ElderRolePerSett,G450)*tun_OutElder*INDEX(LM_Elder,G450)+INDEX(tun_ShamanPerSett,G450)*tun_OutShaman)+Z450*(INDEX(tun_PriestShare,G450)*tun_OutPriest+INDEX(tun_ScribeShare,G450)*tun_OutScribe*INDEX(LM_Scribe,G450)+INDEX(tun_ScholarShare,G450)*tun_OutScholar*INDEX(LM_Scholar,G450)+INDEX(tun_ResearcherShare,G450)*tun_OutResearcher*INDEX(LM_Researcher,G450)))</x:f>
        <x:v>10657.782231708808</x:v>
      </x:c>
      <x:c r="AL450" s="32" t="n">
        <x:f>H450*tun_RoleScale*Arch_Roles*AE450*INDEX(tun_MonasteryPerSett,G450)*tun_OutMonastery*INDEX(LM_Monastery,G450)</x:f>
        <x:v>79.2</x:v>
      </x:c>
      <x:c r="AM450" s="32" t="n">
        <x:f>(AJ450+AK450+AL450)/4*INDEX(LM_All,G450)*INDEX(tun_Boon,G450)*Arch_Insight</x:f>
        <x:v>27242.467635428475</x:v>
      </x:c>
      <x:c r="AN450" s="32" t="n">
        <x:f>H450*(tun_KHPerAdult*Z450+tun_KHOfCommons*AJ450/4*INDEX(LM_All,G450))*tun_KHUsable*Arch_KH</x:f>
        <x:v>4283.15596476555</x:v>
      </x:c>
      <x:c r="AO450" s="32" t="n">
        <x:f>MIN(AP449+AN450,AM450*tun_KHMaxRatio)</x:f>
        <x:v>4283.15596476555</x:v>
      </x:c>
      <x:c r="AP450" s="32" t="n">
        <x:f>AP449+AN450-AO450</x:f>
        <x:v>0</x:v>
      </x:c>
      <x:c r="AQ450" s="32" t="n">
        <x:f>AM450+AO450</x:f>
        <x:v>31525.623600194027</x:v>
      </x:c>
      <x:c r="AR450" s="10" t="n">
        <x:f>IF(H450=1,INDEX(tun_Req,G450),0)</x:f>
        <x:v>3142139.1800715</x:v>
      </x:c>
      <x:c r="AS450" s="32" t="n">
        <x:f>IF(H450=1,IF(E450=1,AS449-AR449,AS449)+AQ450,0)</x:f>
        <x:v>1263594.114304966</x:v>
      </x:c>
      <x:c r="AT450" s="11" t="n">
        <x:f>IF(AR450&gt;0,MIN(1,AS450/AR450),1)</x:f>
        <x:v>0.4021445397196609</x:v>
      </x:c>
      <x:c r="AU450" s="10" t="n">
        <x:f>AB450/INDEX(tun_RepScale,G450)</x:f>
        <x:v>178.29998027818954</x:v>
      </x:c>
      <x:c r="AV450" s="32" t="n">
        <x:f>AM450*60/tun_SeasonSeconds</x:f>
        <x:v>108969.8705417139</x:v>
      </x:c>
    </x:row>
    <x:row r="451">
      <x:c r="A451" s="8" t="n">
        <x:f>A450+1</x:f>
        <x:v>448</x:v>
      </x:c>
      <x:c r="B451" s="9" t="n">
        <x:f>A451*tun_SeasonSeconds/60</x:f>
        <x:v>112</x:v>
      </x:c>
      <x:c r="C451" s="9" t="n">
        <x:f>A451/4</x:f>
        <x:v>112</x:v>
      </x:c>
      <x:c r="D451" s="8" t="n">
        <x:f>IF(MOD(A451,4)=0,1,0)</x:f>
        <x:v>1</x:v>
      </x:c>
      <x:c r="E451" s="8" t="n">
        <x:f>IF(AND(F450&lt;=9,AS450&gt;=AR450),1,0)</x:f>
        <x:v>0</x:v>
      </x:c>
      <x:c r="F451" s="8" t="n">
        <x:f>MIN(10,F450+E451)</x:f>
        <x:v>7</x:v>
      </x:c>
      <x:c r="G451" s="8" t="n">
        <x:f>MIN(F451,9)+1</x:f>
        <x:v>8</x:v>
      </x:c>
      <x:c r="H451" s="8" t="n">
        <x:f>IF(F451&lt;=9,1,0)</x:f>
        <x:v>1</x:v>
      </x:c>
      <x:c r="I451" s="9" t="n">
        <x:f>MIN(10,F450+IF(AR450&gt;0,MIN(1,AS450/AR450),1))</x:f>
        <x:v>7.402144539719661</x:v>
      </x:c>
      <x:c r="J451" s="32" t="n">
        <x:f>INDEX(tun_FoodCap,G451)*Arch_FoodCap*EXP(tun_CapsByProject*SUMPRODUCT((Cap_Point&lt;=I451)*(Cap_Kind="Food")*Cap_Ln))</x:f>
        <x:v>2474.3390629688556</x:v>
      </x:c>
      <x:c r="K451" s="32" t="n">
        <x:f>J451*MIN(1,tun_LeanBase*EXP(tun_CapsByProject*SUMPRODUCT((Cap_Point&lt;=I451)*(Cap_Kind="Lean")*Cap_Ln)))</x:f>
        <x:v>2474.3390629688556</x:v>
      </x:c>
      <x:c r="L451" s="10" t="n">
        <x:f>INDEX(tun_HousingCap,G451)*EXP(tun_CapsByProject*SUMPRODUCT((Cap_Point&lt;=I451)*(Cap_Kind="Housing")*Cap_Ln))</x:f>
        <x:v>3877.6139646448164</x:v>
      </x:c>
      <x:c r="M451" s="10" t="n">
        <x:f>INDEX(tun_GroupCap,G451)*tun_CohesionFactor*EXP(tun_CapsByProject*SUMPRODUCT((Cap_Point&lt;=I451)*(Cap_Kind="Group")*Cap_Ln))</x:f>
        <x:v>1000000.000000001</x:v>
      </x:c>
      <x:c r="N451" s="32" t="n">
        <x:f>MIN(J451,L451,M451)</x:f>
        <x:v>2474.3390629688556</x:v>
      </x:c>
      <x:c r="O451" s="10" t="n">
        <x:f>AE450*N451</x:f>
        <x:v>37115.08594453283</x:v>
      </x:c>
      <x:c r="P451" s="9" t="n">
        <x:f>MIN(1,(AB450/(AE450*IF(tun_GroupInCrowding=1,N451,MIN(J451,L451))))^tun_CrowdingExp)</x:f>
        <x:v>0.012291501755520995</x:v>
      </x:c>
      <x:c r="Q451" s="9" t="n">
        <x:f>IF(D451=1,INDEX(tun_WinterMult,G451),1)</x:f>
        <x:v>1.08</x:v>
      </x:c>
      <x:c r="R451" s="9" t="n">
        <x:f>H451*Z450*tun_WomenShare*tun_BaseFertility*INDEX(tun_FertMult,G451)*Arch_Fertility*(1-P451)</x:f>
        <x:v>457.6700753414389</x:v>
      </x:c>
      <x:c r="S451" s="9" t="n">
        <x:f>H451*Y450*INDEX(tun_MortChild,G451)/4*Q451</x:f>
        <x:v>38.63038139221422</x:v>
      </x:c>
      <x:c r="T451" s="9" t="n">
        <x:f>H451*Z450*INDEX(tun_MortAdult,G451)*Arch_AdultMort/4*Q451</x:f>
        <x:v>15.01304328900514</x:v>
      </x:c>
      <x:c r="U451" s="9" t="n">
        <x:f>H451*AA450*INDEX(tun_MortElder,G451)/4*Q451</x:f>
        <x:v>26.529922930946377</x:v>
      </x:c>
      <x:c r="V451" s="9" t="n">
        <x:f>H451*MAX(0,AB450-O451)*tun_OvercapLoss</x:f>
        <x:v>0</x:v>
      </x:c>
      <x:c r="W451" s="9" t="n">
        <x:f>H451*Y450/(tun_ChildYears*4)</x:f>
        <x:v>150.2893767204101</x:v>
      </x:c>
      <x:c r="X451" s="9" t="n">
        <x:f>H451*Z450/(tun_AdultYears*4)</x:f>
        <x:v>57.48952029916498</x:v>
      </x:c>
      <x:c r="Y451" s="32" t="n">
        <x:f>Y450+R451-S451-W451-Y450*V451/AB450</x:f>
        <x:v>8684.95541357178</x:v>
      </x:c>
      <x:c r="Z451" s="32" t="n">
        <x:f>Z450+W451-X451-T451-Z450*V451/AB450</x:f>
        <x:v>7206.487330228698</x:v>
      </x:c>
      <x:c r="AA451" s="32" t="n">
        <x:f>AA450+X451-U451-AA450*V451/AB450</x:f>
        <x:v>2316.0520117477517</x:v>
      </x:c>
      <x:c r="AB451" s="10" t="n">
        <x:f>Y451+Z451+AA451</x:f>
        <x:v>18207.49475554823</x:v>
      </x:c>
      <x:c r="AC451" s="8" t="n">
        <x:f>IF(AND(tun_WinterTrigger=1,D451=1,AB450/AE450&gt;=K451),1,0)</x:f>
        <x:v>0</x:v>
      </x:c>
      <x:c r="AD451" s="8" t="n">
        <x:f>H451*IF(AND(OR(AB450/AE450&gt;=tun_FissionTrigger*N451,AC451=1),AB450/AE450*tun_DaughterShare&gt;=tun_MinDaughter),MAX(1,ROUND(AE450*tun_FissionRate,0)),0)</x:f>
        <x:v>0</x:v>
      </x:c>
      <x:c r="AE451" s="8" t="n">
        <x:f>IF(H451=1,MAX(1,MIN(INDEX(tun_Smax,G451),AE450+AD451)),AE450)</x:f>
        <x:v>15</x:v>
      </x:c>
      <x:c r="AF451" s="8" t="n">
        <x:f>MAX(0,AE451-AE450)</x:f>
        <x:v>0</x:v>
      </x:c>
      <x:c r="AG451" s="9" t="str">
        <x:f>IF(AF451&gt;0,B451,"")</x:f>
      </x:c>
      <x:c r="AH451" s="9" t="n">
        <x:f>IF(F451&gt;=1,1,(1+tun_LowTiesShare*(AE451-1))/AE451)</x:f>
        <x:v>1</x:v>
      </x:c>
      <x:c r="AI451" s="32" t="n">
        <x:f>(Z451+tun_ElderCommons*INDEX(LM_Elder,G451)*AA451)*AH451</x:f>
        <x:v>15891.682374282767</x:v>
      </x:c>
      <x:c r="AJ451" s="32" t="n">
        <x:f>H451*tun_CommonsCoef*AI451^tun_CommonsExp*INDEX(LM_Commons,G451)</x:f>
        <x:v>34893.32313821823</x:v>
      </x:c>
      <x:c r="AK451" s="32" t="n">
        <x:f>H451*tun_RoleScale*Arch_Roles*(AE451*(INDEX(tun_ElderRolePerSett,G451)*tun_OutElder*INDEX(LM_Elder,G451)+INDEX(tun_ShamanPerSett,G451)*tun_OutShaman)+Z451*(INDEX(tun_PriestShare,G451)*tun_OutPriest+INDEX(tun_ScribeShare,G451)*tun_OutScribe*INDEX(LM_Scribe,G451)+INDEX(tun_ScholarShare,G451)*tun_OutScholar*INDEX(LM_Scholar,G451)+INDEX(tun_ResearcherShare,G451)*tun_OutResearcher*INDEX(LM_Researcher,G451)))</x:f>
        <x:v>10769.658337828123</x:v>
      </x:c>
      <x:c r="AL451" s="32" t="n">
        <x:f>H451*tun_RoleScale*Arch_Roles*AE451*INDEX(tun_MonasteryPerSett,G451)*tun_OutMonastery*INDEX(LM_Monastery,G451)</x:f>
        <x:v>79.2</x:v>
      </x:c>
      <x:c r="AM451" s="32" t="n">
        <x:f>(AJ451+AK451+AL451)/4*INDEX(LM_All,G451)*INDEX(tun_Boon,G451)*Arch_Insight</x:f>
        <x:v>27527.7612717284</x:v>
      </x:c>
      <x:c r="AN451" s="32" t="n">
        <x:f>H451*(tun_KHPerAdult*Z451+tun_KHOfCommons*AJ451/4*INDEX(LM_All,G451))*tun_KHUsable*Arch_KH</x:f>
        <x:v>4328.080997291161</x:v>
      </x:c>
      <x:c r="AO451" s="32" t="n">
        <x:f>MIN(AP450+AN451,AM451*tun_KHMaxRatio)</x:f>
        <x:v>4328.080997291161</x:v>
      </x:c>
      <x:c r="AP451" s="32" t="n">
        <x:f>AP450+AN451-AO451</x:f>
        <x:v>0</x:v>
      </x:c>
      <x:c r="AQ451" s="32" t="n">
        <x:f>AM451+AO451</x:f>
        <x:v>31855.84226901956</x:v>
      </x:c>
      <x:c r="AR451" s="10" t="n">
        <x:f>IF(H451=1,INDEX(tun_Req,G451),0)</x:f>
        <x:v>3142139.1800715</x:v>
      </x:c>
      <x:c r="AS451" s="32" t="n">
        <x:f>IF(H451=1,IF(E451=1,AS450-AR450,AS450)+AQ451,0)</x:f>
        <x:v>1295449.9565739855</x:v>
      </x:c>
      <x:c r="AT451" s="11" t="n">
        <x:f>IF(AR451&gt;0,MIN(1,AS451/AR451),1)</x:f>
        <x:v>0.4122828055453951</x:v>
      </x:c>
      <x:c r="AU451" s="10" t="n">
        <x:f>AB451/INDEX(tun_RepScale,G451)</x:f>
        <x:v>182.07494755548228</x:v>
      </x:c>
      <x:c r="AV451" s="32" t="n">
        <x:f>AM451*60/tun_SeasonSeconds</x:f>
        <x:v>110111.0450869136</x:v>
      </x:c>
    </x:row>
    <x:row r="452">
      <x:c r="A452" s="8" t="n">
        <x:f>A451+1</x:f>
        <x:v>449</x:v>
      </x:c>
      <x:c r="B452" s="9" t="n">
        <x:f>A452*tun_SeasonSeconds/60</x:f>
        <x:v>112.25</x:v>
      </x:c>
      <x:c r="C452" s="9" t="n">
        <x:f>A452/4</x:f>
        <x:v>112.25</x:v>
      </x:c>
      <x:c r="D452" s="8" t="n">
        <x:f>IF(MOD(A452,4)=0,1,0)</x:f>
        <x:v>0</x:v>
      </x:c>
      <x:c r="E452" s="8" t="n">
        <x:f>IF(AND(F451&lt;=9,AS451&gt;=AR451),1,0)</x:f>
        <x:v>0</x:v>
      </x:c>
      <x:c r="F452" s="8" t="n">
        <x:f>MIN(10,F451+E452)</x:f>
        <x:v>7</x:v>
      </x:c>
      <x:c r="G452" s="8" t="n">
        <x:f>MIN(F452,9)+1</x:f>
        <x:v>8</x:v>
      </x:c>
      <x:c r="H452" s="8" t="n">
        <x:f>IF(F452&lt;=9,1,0)</x:f>
        <x:v>1</x:v>
      </x:c>
      <x:c r="I452" s="9" t="n">
        <x:f>MIN(10,F451+IF(AR451&gt;0,MIN(1,AS451/AR451),1))</x:f>
        <x:v>7.412282805545395</x:v>
      </x:c>
      <x:c r="J452" s="32" t="n">
        <x:f>INDEX(tun_FoodCap,G452)*Arch_FoodCap*EXP(tun_CapsByProject*SUMPRODUCT((Cap_Point&lt;=I452)*(Cap_Kind="Food")*Cap_Ln))</x:f>
        <x:v>2474.3390629688556</x:v>
      </x:c>
      <x:c r="K452" s="32" t="n">
        <x:f>J452*MIN(1,tun_LeanBase*EXP(tun_CapsByProject*SUMPRODUCT((Cap_Point&lt;=I452)*(Cap_Kind="Lean")*Cap_Ln)))</x:f>
        <x:v>2474.3390629688556</x:v>
      </x:c>
      <x:c r="L452" s="10" t="n">
        <x:f>INDEX(tun_HousingCap,G452)*EXP(tun_CapsByProject*SUMPRODUCT((Cap_Point&lt;=I452)*(Cap_Kind="Housing")*Cap_Ln))</x:f>
        <x:v>3877.6139646448164</x:v>
      </x:c>
      <x:c r="M452" s="10" t="n">
        <x:f>INDEX(tun_GroupCap,G452)*tun_CohesionFactor*EXP(tun_CapsByProject*SUMPRODUCT((Cap_Point&lt;=I452)*(Cap_Kind="Group")*Cap_Ln))</x:f>
        <x:v>1000000.000000001</x:v>
      </x:c>
      <x:c r="N452" s="32" t="n">
        <x:f>MIN(J452,L452,M452)</x:f>
        <x:v>2474.3390629688556</x:v>
      </x:c>
      <x:c r="O452" s="10" t="n">
        <x:f>AE451*N452</x:f>
        <x:v>37115.08594453283</x:v>
      </x:c>
      <x:c r="P452" s="9" t="n">
        <x:f>MIN(1,(AB451/(AE451*IF(tun_GroupInCrowding=1,N452,MIN(J452,L452))))^tun_CrowdingExp)</x:f>
        <x:v>0.013937931888342256</x:v>
      </x:c>
      <x:c r="Q452" s="9" t="n">
        <x:f>IF(D452=1,INDEX(tun_WinterMult,G452),1)</x:f>
        <x:v>1</x:v>
      </x:c>
      <x:c r="R452" s="9" t="n">
        <x:f>H452*Z451*tun_WomenShare*tun_BaseFertility*INDEX(tun_FertMult,G452)*Arch_Fertility*(1-P452)</x:f>
        <x:v>461.89284704327497</x:v>
      </x:c>
      <x:c r="S452" s="9" t="n">
        <x:f>H452*Y451*INDEX(tun_MortChild,G452)/4*Q452</x:f>
        <x:v>36.91106050768007</x:v>
      </x:c>
      <x:c r="T452" s="9" t="n">
        <x:f>H452*Z451*INDEX(tun_MortAdult,G452)*Arch_AdultMort/4*Q452</x:f>
        <x:v>14.05265029394596</x:v>
      </x:c>
      <x:c r="U452" s="9" t="n">
        <x:f>H452*AA451*INDEX(tun_MortElder,G452)/4*Q452</x:f>
        <x:v>24.89755912628833</x:v>
      </x:c>
      <x:c r="V452" s="9" t="n">
        <x:f>H452*MAX(0,AB451-O452)*tun_OvercapLoss</x:f>
        <x:v>0</x:v>
      </x:c>
      <x:c r="W452" s="9" t="n">
        <x:f>H452*Y451/(tun_ChildYears*4)</x:f>
        <x:v>155.08848952806753</x:v>
      </x:c>
      <x:c r="X452" s="9" t="n">
        <x:f>H452*Z451/(tun_AdultYears*4)</x:f>
        <x:v>58.11683330829595</x:v>
      </x:c>
      <x:c r="Y452" s="32" t="n">
        <x:f>Y451+R452-S452-W452-Y451*V452/AB451</x:f>
        <x:v>8954.848710579308</x:v>
      </x:c>
      <x:c r="Z452" s="32" t="n">
        <x:f>Z451+W452-X452-T452-Z451*V452/AB451</x:f>
        <x:v>7289.406336154524</x:v>
      </x:c>
      <x:c r="AA452" s="32" t="n">
        <x:f>AA451+X452-U452-AA451*V452/AB451</x:f>
        <x:v>2349.2712859297594</x:v>
      </x:c>
      <x:c r="AB452" s="10" t="n">
        <x:f>Y452+Z452+AA452</x:f>
        <x:v>18593.526332663594</x:v>
      </x:c>
      <x:c r="AC452" s="8" t="n">
        <x:f>IF(AND(tun_WinterTrigger=1,D452=1,AB451/AE451&gt;=K452),1,0)</x:f>
        <x:v>0</x:v>
      </x:c>
      <x:c r="AD452" s="8" t="n">
        <x:f>H452*IF(AND(OR(AB451/AE451&gt;=tun_FissionTrigger*N452,AC452=1),AB451/AE451*tun_DaughterShare&gt;=tun_MinDaughter),MAX(1,ROUND(AE451*tun_FissionRate,0)),0)</x:f>
        <x:v>0</x:v>
      </x:c>
      <x:c r="AE452" s="8" t="n">
        <x:f>IF(H452=1,MAX(1,MIN(INDEX(tun_Smax,G452),AE451+AD452)),AE451)</x:f>
        <x:v>15</x:v>
      </x:c>
      <x:c r="AF452" s="8" t="n">
        <x:f>MAX(0,AE452-AE451)</x:f>
        <x:v>0</x:v>
      </x:c>
      <x:c r="AG452" s="9" t="str">
        <x:f>IF(AF452&gt;0,B452,"")</x:f>
      </x:c>
      <x:c r="AH452" s="9" t="n">
        <x:f>IF(F452&gt;=1,1,(1+tun_LowTiesShare*(AE452-1))/AE452)</x:f>
        <x:v>1</x:v>
      </x:c>
      <x:c r="AI452" s="32" t="n">
        <x:f>(Z452+tun_ElderCommons*INDEX(LM_Elder,G452)*AA452)*AH452</x:f>
        <x:v>16099.173658391122</x:v>
      </x:c>
      <x:c r="AJ452" s="32" t="n">
        <x:f>H452*tun_CommonsCoef*AI452^tun_CommonsExp*INDEX(LM_Commons,G452)</x:f>
        <x:v>35280.19564459057</x:v>
      </x:c>
      <x:c r="AK452" s="32" t="n">
        <x:f>H452*tun_RoleScale*Arch_Roles*(AE452*(INDEX(tun_ElderRolePerSett,G452)*tun_OutElder*INDEX(LM_Elder,G452)+INDEX(tun_ShamanPerSett,G452)*tun_OutShaman)+Z452*(INDEX(tun_PriestShare,G452)*tun_OutPriest+INDEX(tun_ScribeShare,G452)*tun_OutScribe*INDEX(LM_Scribe,G452)+INDEX(tun_ScholarShare,G452)*tun_OutScholar*INDEX(LM_Scholar,G452)+INDEX(tun_ResearcherShare,G452)*tun_OutResearcher*INDEX(LM_Researcher,G452)))</x:f>
        <x:v>10888.915768910882</x:v>
      </x:c>
      <x:c r="AL452" s="32" t="n">
        <x:f>H452*tun_RoleScale*Arch_Roles*AE452*INDEX(tun_MonasteryPerSett,G452)*tun_OutMonastery*INDEX(LM_Monastery,G452)</x:f>
        <x:v>79.2</x:v>
      </x:c>
      <x:c r="AM452" s="32" t="n">
        <x:f>(AJ452+AK452+AL452)/4*INDEX(LM_All,G452)*INDEX(tun_Boon,G452)*Arch_Insight</x:f>
        <x:v>27832.351556694037</x:v>
      </x:c>
      <x:c r="AN452" s="32" t="n">
        <x:f>H452*(tun_KHPerAdult*Z452+tun_KHOfCommons*AJ452/4*INDEX(LM_All,G452))*tun_KHUsable*Arch_KH</x:f>
        <x:v>4376.067700551607</x:v>
      </x:c>
      <x:c r="AO452" s="32" t="n">
        <x:f>MIN(AP451+AN452,AM452*tun_KHMaxRatio)</x:f>
        <x:v>4376.067700551607</x:v>
      </x:c>
      <x:c r="AP452" s="32" t="n">
        <x:f>AP451+AN452-AO452</x:f>
        <x:v>0</x:v>
      </x:c>
      <x:c r="AQ452" s="32" t="n">
        <x:f>AM452+AO452</x:f>
        <x:v>32208.419257245645</x:v>
      </x:c>
      <x:c r="AR452" s="10" t="n">
        <x:f>IF(H452=1,INDEX(tun_Req,G452),0)</x:f>
        <x:v>3142139.1800715</x:v>
      </x:c>
      <x:c r="AS452" s="32" t="n">
        <x:f>IF(H452=1,IF(E452=1,AS451-AR451,AS451)+AQ452,0)</x:f>
        <x:v>1327658.3758312312</x:v>
      </x:c>
      <x:c r="AT452" s="11" t="n">
        <x:f>IF(AR452&gt;0,MIN(1,AS452/AR452),1)</x:f>
        <x:v>0.42253328059167006</x:v>
      </x:c>
      <x:c r="AU452" s="10" t="n">
        <x:f>AB452/INDEX(tun_RepScale,G452)</x:f>
        <x:v>185.93526332663595</x:v>
      </x:c>
      <x:c r="AV452" s="32" t="n">
        <x:f>AM452*60/tun_SeasonSeconds</x:f>
        <x:v>111329.40622677615</x:v>
      </x:c>
    </x:row>
    <x:row r="453">
      <x:c r="A453" s="8" t="n">
        <x:f>A452+1</x:f>
        <x:v>450</x:v>
      </x:c>
      <x:c r="B453" s="9" t="n">
        <x:f>A453*tun_SeasonSeconds/60</x:f>
        <x:v>112.5</x:v>
      </x:c>
      <x:c r="C453" s="9" t="n">
        <x:f>A453/4</x:f>
        <x:v>112.5</x:v>
      </x:c>
      <x:c r="D453" s="8" t="n">
        <x:f>IF(MOD(A453,4)=0,1,0)</x:f>
        <x:v>0</x:v>
      </x:c>
      <x:c r="E453" s="8" t="n">
        <x:f>IF(AND(F452&lt;=9,AS452&gt;=AR452),1,0)</x:f>
        <x:v>0</x:v>
      </x:c>
      <x:c r="F453" s="8" t="n">
        <x:f>MIN(10,F452+E453)</x:f>
        <x:v>7</x:v>
      </x:c>
      <x:c r="G453" s="8" t="n">
        <x:f>MIN(F453,9)+1</x:f>
        <x:v>8</x:v>
      </x:c>
      <x:c r="H453" s="8" t="n">
        <x:f>IF(F453&lt;=9,1,0)</x:f>
        <x:v>1</x:v>
      </x:c>
      <x:c r="I453" s="9" t="n">
        <x:f>MIN(10,F452+IF(AR452&gt;0,MIN(1,AS452/AR452),1))</x:f>
        <x:v>7.42253328059167</x:v>
      </x:c>
      <x:c r="J453" s="32" t="n">
        <x:f>INDEX(tun_FoodCap,G453)*Arch_FoodCap*EXP(tun_CapsByProject*SUMPRODUCT((Cap_Point&lt;=I453)*(Cap_Kind="Food")*Cap_Ln))</x:f>
        <x:v>2474.3390629688556</x:v>
      </x:c>
      <x:c r="K453" s="32" t="n">
        <x:f>J453*MIN(1,tun_LeanBase*EXP(tun_CapsByProject*SUMPRODUCT((Cap_Point&lt;=I453)*(Cap_Kind="Lean")*Cap_Ln)))</x:f>
        <x:v>2474.3390629688556</x:v>
      </x:c>
      <x:c r="L453" s="10" t="n">
        <x:f>INDEX(tun_HousingCap,G453)*EXP(tun_CapsByProject*SUMPRODUCT((Cap_Point&lt;=I453)*(Cap_Kind="Housing")*Cap_Ln))</x:f>
        <x:v>3877.6139646448164</x:v>
      </x:c>
      <x:c r="M453" s="10" t="n">
        <x:f>INDEX(tun_GroupCap,G453)*tun_CohesionFactor*EXP(tun_CapsByProject*SUMPRODUCT((Cap_Point&lt;=I453)*(Cap_Kind="Group")*Cap_Ln))</x:f>
        <x:v>1000000.000000001</x:v>
      </x:c>
      <x:c r="N453" s="32" t="n">
        <x:f>MIN(J453,L453,M453)</x:f>
        <x:v>2474.3390629688556</x:v>
      </x:c>
      <x:c r="O453" s="10" t="n">
        <x:f>AE452*N453</x:f>
        <x:v>37115.08594453283</x:v>
      </x:c>
      <x:c r="P453" s="9" t="n">
        <x:f>MIN(1,(AB452/(AE452*IF(tun_GroupInCrowding=1,N453,MIN(J453,L453))))^tun_CrowdingExp)</x:f>
        <x:v>0.015807666167698988</x:v>
      </x:c>
      <x:c r="Q453" s="9" t="n">
        <x:f>IF(D453=1,INDEX(tun_WinterMult,G453),1)</x:f>
        <x:v>1</x:v>
      </x:c>
      <x:c r="R453" s="9" t="n">
        <x:f>H453*Z452*tun_WomenShare*tun_BaseFertility*INDEX(tun_FertMult,G453)*Arch_Fertility*(1-P453)</x:f>
        <x:v>466.3215592250724</x:v>
      </x:c>
      <x:c r="S453" s="9" t="n">
        <x:f>H453*Y452*INDEX(tun_MortChild,G453)/4*Q453</x:f>
        <x:v>38.058107019962065</x:v>
      </x:c>
      <x:c r="T453" s="9" t="n">
        <x:f>H453*Z452*INDEX(tun_MortAdult,G453)*Arch_AdultMort/4*Q453</x:f>
        <x:v>14.214342355501321</x:v>
      </x:c>
      <x:c r="U453" s="9" t="n">
        <x:f>H453*AA452*INDEX(tun_MortElder,G453)/4*Q453</x:f>
        <x:v>25.25466632374491</x:v>
      </x:c>
      <x:c r="V453" s="9" t="n">
        <x:f>H453*MAX(0,AB452-O453)*tun_OvercapLoss</x:f>
        <x:v>0</x:v>
      </x:c>
      <x:c r="W453" s="9" t="n">
        <x:f>H453*Y452/(tun_ChildYears*4)</x:f>
        <x:v>159.90801268891622</x:v>
      </x:c>
      <x:c r="X453" s="9" t="n">
        <x:f>H453*Z452/(tun_AdultYears*4)</x:f>
        <x:v>58.785534968988095</x:v>
      </x:c>
      <x:c r="Y453" s="32" t="n">
        <x:f>Y452+R453-S453-W453-Y452*V453/AB452</x:f>
        <x:v>9223.204150095502</x:v>
      </x:c>
      <x:c r="Z453" s="32" t="n">
        <x:f>Z452+W453-X453-T453-Z452*V453/AB452</x:f>
        <x:v>7376.314471518951</x:v>
      </x:c>
      <x:c r="AA453" s="32" t="n">
        <x:f>AA452+X453-U453-AA452*V453/AB452</x:f>
        <x:v>2382.8021545750025</x:v>
      </x:c>
      <x:c r="AB453" s="10" t="n">
        <x:f>Y453+Z453+AA453</x:f>
        <x:v>18982.320776189456</x:v>
      </x:c>
      <x:c r="AC453" s="8" t="n">
        <x:f>IF(AND(tun_WinterTrigger=1,D453=1,AB452/AE452&gt;=K453),1,0)</x:f>
        <x:v>0</x:v>
      </x:c>
      <x:c r="AD453" s="8" t="n">
        <x:f>H453*IF(AND(OR(AB452/AE452&gt;=tun_FissionTrigger*N453,AC453=1),AB452/AE452*tun_DaughterShare&gt;=tun_MinDaughter),MAX(1,ROUND(AE452*tun_FissionRate,0)),0)</x:f>
        <x:v>0</x:v>
      </x:c>
      <x:c r="AE453" s="8" t="n">
        <x:f>IF(H453=1,MAX(1,MIN(INDEX(tun_Smax,G453),AE452+AD453)),AE452)</x:f>
        <x:v>15</x:v>
      </x:c>
      <x:c r="AF453" s="8" t="n">
        <x:f>MAX(0,AE453-AE452)</x:f>
        <x:v>0</x:v>
      </x:c>
      <x:c r="AG453" s="9" t="str">
        <x:f>IF(AF453&gt;0,B453,"")</x:f>
      </x:c>
      <x:c r="AH453" s="9" t="n">
        <x:f>IF(F453&gt;=1,1,(1+tun_LowTiesShare*(AE453-1))/AE453)</x:f>
        <x:v>1</x:v>
      </x:c>
      <x:c r="AI453" s="32" t="n">
        <x:f>(Z453+tun_ElderCommons*INDEX(LM_Elder,G453)*AA453)*AH453</x:f>
        <x:v>16311.82255117521</x:v>
      </x:c>
      <x:c r="AJ453" s="32" t="n">
        <x:f>H453*tun_CommonsCoef*AI453^tun_CommonsExp*INDEX(LM_Commons,G453)</x:f>
        <x:v>35675.90941987781</x:v>
      </x:c>
      <x:c r="AK453" s="32" t="n">
        <x:f>H453*tun_RoleScale*Arch_Roles*(AE453*(INDEX(tun_ElderRolePerSett,G453)*tun_OutElder*INDEX(LM_Elder,G453)+INDEX(tun_ShamanPerSett,G453)*tun_OutShaman)+Z453*(INDEX(tun_PriestShare,G453)*tun_OutPriest+INDEX(tun_ScribeShare,G453)*tun_OutScribe*INDEX(LM_Scribe,G453)+INDEX(tun_ScholarShare,G453)*tun_OutScholar*INDEX(LM_Scholar,G453)+INDEX(tun_ResearcherShare,G453)*tun_OutResearcher*INDEX(LM_Researcher,G453)))</x:f>
        <x:v>11013.910525517416</x:v>
      </x:c>
      <x:c r="AL453" s="32" t="n">
        <x:f>H453*tun_RoleScale*Arch_Roles*AE453*INDEX(tun_MonasteryPerSett,G453)*tun_OutMonastery*INDEX(LM_Monastery,G453)</x:f>
        <x:v>79.2</x:v>
      </x:c>
      <x:c r="AM453" s="32" t="n">
        <x:f>(AJ453+AK453+AL453)/4*INDEX(LM_All,G453)*INDEX(tun_Boon,G453)*Arch_Insight</x:f>
        <x:v>28145.715276909927</x:v>
      </x:c>
      <x:c r="AN453" s="32" t="n">
        <x:f>H453*(tun_KHPerAdult*Z453+tun_KHOfCommons*AJ453/4*INDEX(LM_All,G453))*tun_KHUsable*Arch_KH</x:f>
        <x:v>4425.151052813668</x:v>
      </x:c>
      <x:c r="AO453" s="32" t="n">
        <x:f>MIN(AP452+AN453,AM453*tun_KHMaxRatio)</x:f>
        <x:v>4425.151052813668</x:v>
      </x:c>
      <x:c r="AP453" s="32" t="n">
        <x:f>AP452+AN453-AO453</x:f>
        <x:v>0</x:v>
      </x:c>
      <x:c r="AQ453" s="32" t="n">
        <x:f>AM453+AO453</x:f>
        <x:v>32570.866329723594</x:v>
      </x:c>
      <x:c r="AR453" s="10" t="n">
        <x:f>IF(H453=1,INDEX(tun_Req,G453),0)</x:f>
        <x:v>3142139.1800715</x:v>
      </x:c>
      <x:c r="AS453" s="32" t="n">
        <x:f>IF(H453=1,IF(E453=1,AS452-AR452,AS452)+AQ453,0)</x:f>
        <x:v>1360229.2421609547</x:v>
      </x:c>
      <x:c r="AT453" s="11" t="n">
        <x:f>IF(AR453&gt;0,MIN(1,AS453/AR453),1)</x:f>
        <x:v>0.43289910605742243</x:v>
      </x:c>
      <x:c r="AU453" s="10" t="n">
        <x:f>AB453/INDEX(tun_RepScale,G453)</x:f>
        <x:v>189.82320776189457</x:v>
      </x:c>
      <x:c r="AV453" s="32" t="n">
        <x:f>AM453*60/tun_SeasonSeconds</x:f>
        <x:v>112582.8611076397</x:v>
      </x:c>
    </x:row>
    <x:row r="454">
      <x:c r="A454" s="8" t="n">
        <x:f>A453+1</x:f>
        <x:v>451</x:v>
      </x:c>
      <x:c r="B454" s="9" t="n">
        <x:f>A454*tun_SeasonSeconds/60</x:f>
        <x:v>112.75</x:v>
      </x:c>
      <x:c r="C454" s="9" t="n">
        <x:f>A454/4</x:f>
        <x:v>112.75</x:v>
      </x:c>
      <x:c r="D454" s="8" t="n">
        <x:f>IF(MOD(A454,4)=0,1,0)</x:f>
        <x:v>0</x:v>
      </x:c>
      <x:c r="E454" s="8" t="n">
        <x:f>IF(AND(F453&lt;=9,AS453&gt;=AR453),1,0)</x:f>
        <x:v>0</x:v>
      </x:c>
      <x:c r="F454" s="8" t="n">
        <x:f>MIN(10,F453+E454)</x:f>
        <x:v>7</x:v>
      </x:c>
      <x:c r="G454" s="8" t="n">
        <x:f>MIN(F454,9)+1</x:f>
        <x:v>8</x:v>
      </x:c>
      <x:c r="H454" s="8" t="n">
        <x:f>IF(F454&lt;=9,1,0)</x:f>
        <x:v>1</x:v>
      </x:c>
      <x:c r="I454" s="9" t="n">
        <x:f>MIN(10,F453+IF(AR453&gt;0,MIN(1,AS453/AR453),1))</x:f>
        <x:v>7.432899106057422</x:v>
      </x:c>
      <x:c r="J454" s="32" t="n">
        <x:f>INDEX(tun_FoodCap,G454)*Arch_FoodCap*EXP(tun_CapsByProject*SUMPRODUCT((Cap_Point&lt;=I454)*(Cap_Kind="Food")*Cap_Ln))</x:f>
        <x:v>2474.3390629688556</x:v>
      </x:c>
      <x:c r="K454" s="32" t="n">
        <x:f>J454*MIN(1,tun_LeanBase*EXP(tun_CapsByProject*SUMPRODUCT((Cap_Point&lt;=I454)*(Cap_Kind="Lean")*Cap_Ln)))</x:f>
        <x:v>2474.3390629688556</x:v>
      </x:c>
      <x:c r="L454" s="10" t="n">
        <x:f>INDEX(tun_HousingCap,G454)*EXP(tun_CapsByProject*SUMPRODUCT((Cap_Point&lt;=I454)*(Cap_Kind="Housing")*Cap_Ln))</x:f>
        <x:v>3877.6139646448164</x:v>
      </x:c>
      <x:c r="M454" s="10" t="n">
        <x:f>INDEX(tun_GroupCap,G454)*tun_CohesionFactor*EXP(tun_CapsByProject*SUMPRODUCT((Cap_Point&lt;=I454)*(Cap_Kind="Group")*Cap_Ln))</x:f>
        <x:v>1000000.000000001</x:v>
      </x:c>
      <x:c r="N454" s="32" t="n">
        <x:f>MIN(J454,L454,M454)</x:f>
        <x:v>2474.3390629688556</x:v>
      </x:c>
      <x:c r="O454" s="10" t="n">
        <x:f>AE453*N454</x:f>
        <x:v>37115.08594453283</x:v>
      </x:c>
      <x:c r="P454" s="9" t="n">
        <x:f>MIN(1,(AB453/(AE453*IF(tun_GroupInCrowding=1,N454,MIN(J454,L454))))^tun_CrowdingExp)</x:f>
        <x:v>0.017897526966531352</x:v>
      </x:c>
      <x:c r="Q454" s="9" t="n">
        <x:f>IF(D454=1,INDEX(tun_WinterMult,G454),1)</x:f>
        <x:v>1</x:v>
      </x:c>
      <x:c r="R454" s="9" t="n">
        <x:f>H454*Z453*tun_WomenShare*tun_BaseFertility*INDEX(tun_FertMult,G454)*Arch_Fertility*(1-P454)</x:f>
        <x:v>470.87928448283617</x:v>
      </x:c>
      <x:c r="S454" s="9" t="n">
        <x:f>H454*Y453*INDEX(tun_MortChild,G454)/4*Q454</x:f>
        <x:v>39.19861763790588</x:v>
      </x:c>
      <x:c r="T454" s="9" t="n">
        <x:f>H454*Z453*INDEX(tun_MortAdult,G454)*Arch_AdultMort/4*Q454</x:f>
        <x:v>14.383813219461954</x:v>
      </x:c>
      <x:c r="U454" s="9" t="n">
        <x:f>H454*AA453*INDEX(tun_MortElder,G454)/4*Q454</x:f>
        <x:v>25.615123161681275</x:v>
      </x:c>
      <x:c r="V454" s="9" t="n">
        <x:f>H454*MAX(0,AB453-O454)*tun_OvercapLoss</x:f>
        <x:v>0</x:v>
      </x:c>
      <x:c r="W454" s="9" t="n">
        <x:f>H454*Y453/(tun_ChildYears*4)</x:f>
        <x:v>164.70007410884824</x:v>
      </x:c>
      <x:c r="X454" s="9" t="n">
        <x:f>H454*Z453/(tun_AdultYears*4)</x:f>
        <x:v>59.486407028378636</x:v>
      </x:c>
      <x:c r="Y454" s="32" t="n">
        <x:f>Y453+R454-S454-W454-Y453*V454/AB453</x:f>
        <x:v>9490.184742831585</x:v>
      </x:c>
      <x:c r="Z454" s="32" t="n">
        <x:f>Z453+W454-X454-T454-Z453*V454/AB453</x:f>
        <x:v>7467.144325379959</x:v>
      </x:c>
      <x:c r="AA454" s="32" t="n">
        <x:f>AA453+X454-U454-AA453*V454/AB453</x:f>
        <x:v>2416.6734384417</x:v>
      </x:c>
      <x:c r="AB454" s="10" t="n">
        <x:f>Y454+Z454+AA454</x:f>
        <x:v>19374.002506653243</x:v>
      </x:c>
      <x:c r="AC454" s="8" t="n">
        <x:f>IF(AND(tun_WinterTrigger=1,D454=1,AB453/AE453&gt;=K454),1,0)</x:f>
        <x:v>0</x:v>
      </x:c>
      <x:c r="AD454" s="8" t="n">
        <x:f>H454*IF(AND(OR(AB453/AE453&gt;=tun_FissionTrigger*N454,AC454=1),AB453/AE453*tun_DaughterShare&gt;=tun_MinDaughter),MAX(1,ROUND(AE453*tun_FissionRate,0)),0)</x:f>
        <x:v>0</x:v>
      </x:c>
      <x:c r="AE454" s="8" t="n">
        <x:f>IF(H454=1,MAX(1,MIN(INDEX(tun_Smax,G454),AE453+AD454)),AE453)</x:f>
        <x:v>15</x:v>
      </x:c>
      <x:c r="AF454" s="8" t="n">
        <x:f>MAX(0,AE454-AE453)</x:f>
        <x:v>0</x:v>
      </x:c>
      <x:c r="AG454" s="9" t="str">
        <x:f>IF(AF454&gt;0,B454,"")</x:f>
      </x:c>
      <x:c r="AH454" s="9" t="n">
        <x:f>IF(F454&gt;=1,1,(1+tun_LowTiesShare*(AE454-1))/AE454)</x:f>
        <x:v>1</x:v>
      </x:c>
      <x:c r="AI454" s="32" t="n">
        <x:f>(Z454+tun_ElderCommons*INDEX(LM_Elder,G454)*AA454)*AH454</x:f>
        <x:v>16529.669719536334</x:v>
      </x:c>
      <x:c r="AJ454" s="32" t="n">
        <x:f>H454*tun_CommonsCoef*AI454^tun_CommonsExp*INDEX(LM_Commons,G454)</x:f>
        <x:v>36080.49499893121</x:v>
      </x:c>
      <x:c r="AK454" s="32" t="n">
        <x:f>H454*tun_RoleScale*Arch_Roles*(AE454*(INDEX(tun_ElderRolePerSett,G454)*tun_OutElder*INDEX(LM_Elder,G454)+INDEX(tun_ShamanPerSett,G454)*tun_OutShaman)+Z454*(INDEX(tun_PriestShare,G454)*tun_OutPriest+INDEX(tun_ScribeShare,G454)*tun_OutScribe*INDEX(LM_Scribe,G454)+INDEX(tun_ScholarShare,G454)*tun_OutScholar*INDEX(LM_Scholar,G454)+INDEX(tun_ResearcherShare,G454)*tun_OutResearcher*INDEX(LM_Researcher,G454)))</x:f>
        <x:v>11144.545654534471</x:v>
      </x:c>
      <x:c r="AL454" s="32" t="n">
        <x:f>H454*tun_RoleScale*Arch_Roles*AE454*INDEX(tun_MonasteryPerSett,G454)*tun_OutMonastery*INDEX(LM_Monastery,G454)</x:f>
        <x:v>79.2</x:v>
      </x:c>
      <x:c r="AM454" s="32" t="n">
        <x:f>(AJ454+AK454+AL454)/4*INDEX(LM_All,G454)*INDEX(tun_Boon,G454)*Arch_Insight</x:f>
        <x:v>28467.81246169689</x:v>
      </x:c>
      <x:c r="AN454" s="32" t="n">
        <x:f>H454*(tun_KHPerAdult*Z454+tun_KHOfCommons*AJ454/4*INDEX(LM_All,G454))*tun_KHUsable*Arch_KH</x:f>
        <x:v>4475.334841544329</x:v>
      </x:c>
      <x:c r="AO454" s="32" t="n">
        <x:f>MIN(AP453+AN454,AM454*tun_KHMaxRatio)</x:f>
        <x:v>4475.334841544329</x:v>
      </x:c>
      <x:c r="AP454" s="32" t="n">
        <x:f>AP453+AN454-AO454</x:f>
        <x:v>0</x:v>
      </x:c>
      <x:c r="AQ454" s="32" t="n">
        <x:f>AM454+AO454</x:f>
        <x:v>32943.14730324122</x:v>
      </x:c>
      <x:c r="AR454" s="10" t="n">
        <x:f>IF(H454=1,INDEX(tun_Req,G454),0)</x:f>
        <x:v>3142139.1800715</x:v>
      </x:c>
      <x:c r="AS454" s="32" t="n">
        <x:f>IF(H454=1,IF(E454=1,AS453-AR453,AS453)+AQ454,0)</x:f>
        <x:v>1393172.389464196</x:v>
      </x:c>
      <x:c r="AT454" s="11" t="n">
        <x:f>IF(AR454&gt;0,MIN(1,AS454/AR454),1)</x:f>
        <x:v>0.4433834116261184</x:v>
      </x:c>
      <x:c r="AU454" s="10" t="n">
        <x:f>AB454/INDEX(tun_RepScale,G454)</x:f>
        <x:v>193.74002506653244</x:v>
      </x:c>
      <x:c r="AV454" s="32" t="n">
        <x:f>AM454*60/tun_SeasonSeconds</x:f>
        <x:v>113871.24984678756</x:v>
      </x:c>
    </x:row>
    <x:row r="455">
      <x:c r="A455" s="8" t="n">
        <x:f>A454+1</x:f>
        <x:v>452</x:v>
      </x:c>
      <x:c r="B455" s="9" t="n">
        <x:f>A455*tun_SeasonSeconds/60</x:f>
        <x:v>113</x:v>
      </x:c>
      <x:c r="C455" s="9" t="n">
        <x:f>A455/4</x:f>
        <x:v>113</x:v>
      </x:c>
      <x:c r="D455" s="8" t="n">
        <x:f>IF(MOD(A455,4)=0,1,0)</x:f>
        <x:v>1</x:v>
      </x:c>
      <x:c r="E455" s="8" t="n">
        <x:f>IF(AND(F454&lt;=9,AS454&gt;=AR454),1,0)</x:f>
        <x:v>0</x:v>
      </x:c>
      <x:c r="F455" s="8" t="n">
        <x:f>MIN(10,F454+E455)</x:f>
        <x:v>7</x:v>
      </x:c>
      <x:c r="G455" s="8" t="n">
        <x:f>MIN(F455,9)+1</x:f>
        <x:v>8</x:v>
      </x:c>
      <x:c r="H455" s="8" t="n">
        <x:f>IF(F455&lt;=9,1,0)</x:f>
        <x:v>1</x:v>
      </x:c>
      <x:c r="I455" s="9" t="n">
        <x:f>MIN(10,F454+IF(AR454&gt;0,MIN(1,AS454/AR454),1))</x:f>
        <x:v>7.443383411626119</x:v>
      </x:c>
      <x:c r="J455" s="32" t="n">
        <x:f>INDEX(tun_FoodCap,G455)*Arch_FoodCap*EXP(tun_CapsByProject*SUMPRODUCT((Cap_Point&lt;=I455)*(Cap_Kind="Food")*Cap_Ln))</x:f>
        <x:v>2474.3390629688556</x:v>
      </x:c>
      <x:c r="K455" s="32" t="n">
        <x:f>J455*MIN(1,tun_LeanBase*EXP(tun_CapsByProject*SUMPRODUCT((Cap_Point&lt;=I455)*(Cap_Kind="Lean")*Cap_Ln)))</x:f>
        <x:v>2474.3390629688556</x:v>
      </x:c>
      <x:c r="L455" s="10" t="n">
        <x:f>INDEX(tun_HousingCap,G455)*EXP(tun_CapsByProject*SUMPRODUCT((Cap_Point&lt;=I455)*(Cap_Kind="Housing")*Cap_Ln))</x:f>
        <x:v>3877.6139646448164</x:v>
      </x:c>
      <x:c r="M455" s="10" t="n">
        <x:f>INDEX(tun_GroupCap,G455)*tun_CohesionFactor*EXP(tun_CapsByProject*SUMPRODUCT((Cap_Point&lt;=I455)*(Cap_Kind="Group")*Cap_Ln))</x:f>
        <x:v>1000000.000000001</x:v>
      </x:c>
      <x:c r="N455" s="32" t="n">
        <x:f>MIN(J455,L455,M455)</x:f>
        <x:v>2474.3390629688556</x:v>
      </x:c>
      <x:c r="O455" s="10" t="n">
        <x:f>AE454*N455</x:f>
        <x:v>37115.08594453283</x:v>
      </x:c>
      <x:c r="P455" s="9" t="n">
        <x:f>MIN(1,(AB454/(AE454*IF(tun_GroupInCrowding=1,N455,MIN(J455,L455))))^tun_CrowdingExp)</x:f>
        <x:v>0.020230810692075486</x:v>
      </x:c>
      <x:c r="Q455" s="9" t="n">
        <x:f>IF(D455=1,INDEX(tun_WinterMult,G455),1)</x:f>
        <x:v>1.08</x:v>
      </x:c>
      <x:c r="R455" s="9" t="n">
        <x:f>H455*Z454*tun_WomenShare*tun_BaseFertility*INDEX(tun_FertMult,G455)*Arch_Fertility*(1-P455)</x:f>
        <x:v>475.5450662379815</x:v>
      </x:c>
      <x:c r="S455" s="9" t="n">
        <x:f>H455*Y454*INDEX(tun_MortChild,G455)/4*Q455</x:f>
        <x:v>43.55994796959698</x:v>
      </x:c>
      <x:c r="T455" s="9" t="n">
        <x:f>H455*Z454*INDEX(tun_MortAdult,G455)*Arch_AdultMort/4*Q455</x:f>
        <x:v>15.725805949250194</x:v>
      </x:c>
      <x:c r="U455" s="9" t="n">
        <x:f>H455*AA454*INDEX(tun_MortElder,G455)/4*Q455</x:f>
        <x:v>28.05757862030814</x:v>
      </x:c>
      <x:c r="V455" s="9" t="n">
        <x:f>H455*MAX(0,AB454-O455)*tun_OvercapLoss</x:f>
        <x:v>0</x:v>
      </x:c>
      <x:c r="W455" s="9" t="n">
        <x:f>H455*Y454/(tun_ChildYears*4)</x:f>
        <x:v>169.46758469342117</x:v>
      </x:c>
      <x:c r="X455" s="9" t="n">
        <x:f>H455*Z454/(tun_AdultYears*4)</x:f>
        <x:v>60.21890584983838</x:v>
      </x:c>
      <x:c r="Y455" s="32" t="n">
        <x:f>Y454+R455-S455-W455-Y454*V455/AB454</x:f>
        <x:v>9752.702276406548</x:v>
      </x:c>
      <x:c r="Z455" s="32" t="n">
        <x:f>Z454+W455-X455-T455-Z454*V455/AB454</x:f>
        <x:v>7560.667198274292</x:v>
      </x:c>
      <x:c r="AA455" s="32" t="n">
        <x:f>AA454+X455-U455-AA454*V455/AB454</x:f>
        <x:v>2448.8347656712303</x:v>
      </x:c>
      <x:c r="AB455" s="10" t="n">
        <x:f>Y455+Z455+AA455</x:f>
        <x:v>19762.204240352068</x:v>
      </x:c>
      <x:c r="AC455" s="8" t="n">
        <x:f>IF(AND(tun_WinterTrigger=1,D455=1,AB454/AE454&gt;=K455),1,0)</x:f>
        <x:v>0</x:v>
      </x:c>
      <x:c r="AD455" s="8" t="n">
        <x:f>H455*IF(AND(OR(AB454/AE454&gt;=tun_FissionTrigger*N455,AC455=1),AB454/AE454*tun_DaughterShare&gt;=tun_MinDaughter),MAX(1,ROUND(AE454*tun_FissionRate,0)),0)</x:f>
        <x:v>0</x:v>
      </x:c>
      <x:c r="AE455" s="8" t="n">
        <x:f>IF(H455=1,MAX(1,MIN(INDEX(tun_Smax,G455),AE454+AD455)),AE454)</x:f>
        <x:v>15</x:v>
      </x:c>
      <x:c r="AF455" s="8" t="n">
        <x:f>MAX(0,AE455-AE454)</x:f>
        <x:v>0</x:v>
      </x:c>
      <x:c r="AG455" s="9" t="str">
        <x:f>IF(AF455&gt;0,B455,"")</x:f>
      </x:c>
      <x:c r="AH455" s="9" t="n">
        <x:f>IF(F455&gt;=1,1,(1+tun_LowTiesShare*(AE455-1))/AE455)</x:f>
        <x:v>1</x:v>
      </x:c>
      <x:c r="AI455" s="32" t="n">
        <x:f>(Z455+tun_ElderCommons*INDEX(LM_Elder,G455)*AA455)*AH455</x:f>
        <x:v>16743.797569541406</x:v>
      </x:c>
      <x:c r="AJ455" s="32" t="n">
        <x:f>H455*tun_CommonsCoef*AI455^tun_CommonsExp*INDEX(LM_Commons,G455)</x:f>
        <x:v>36477.39429368287</x:v>
      </x:c>
      <x:c r="AK455" s="32" t="n">
        <x:f>H455*tun_RoleScale*Arch_Roles*(AE455*(INDEX(tun_ElderRolePerSett,G455)*tun_OutElder*INDEX(LM_Elder,G455)+INDEX(tun_ShamanPerSett,G455)*tun_OutShaman)+Z455*(INDEX(tun_PriestShare,G455)*tun_OutPriest+INDEX(tun_ScribeShare,G455)*tun_OutScribe*INDEX(LM_Scribe,G455)+INDEX(tun_ScholarShare,G455)*tun_OutScholar*INDEX(LM_Scholar,G455)+INDEX(tun_ResearcherShare,G455)*tun_OutResearcher*INDEX(LM_Researcher,G455)))</x:f>
        <x:v>11279.053991246017</x:v>
      </x:c>
      <x:c r="AL455" s="32" t="n">
        <x:f>H455*tun_RoleScale*Arch_Roles*AE455*INDEX(tun_MonasteryPerSett,G455)*tun_OutMonastery*INDEX(LM_Monastery,G455)</x:f>
        <x:v>79.2</x:v>
      </x:c>
      <x:c r="AM455" s="32" t="n">
        <x:f>(AJ455+AK455+AL455)/4*INDEX(LM_All,G455)*INDEX(tun_Boon,G455)*Arch_Insight</x:f>
        <x:v>28787.614927273527</x:v>
      </x:c>
      <x:c r="AN455" s="32" t="n">
        <x:f>H455*(tun_KHPerAdult*Z455+tun_KHOfCommons*AJ455/4*INDEX(LM_All,G455))*tun_KHUsable*Arch_KH</x:f>
        <x:v>4524.565242691517</x:v>
      </x:c>
      <x:c r="AO455" s="32" t="n">
        <x:f>MIN(AP454+AN455,AM455*tun_KHMaxRatio)</x:f>
        <x:v>4524.565242691517</x:v>
      </x:c>
      <x:c r="AP455" s="32" t="n">
        <x:f>AP454+AN455-AO455</x:f>
        <x:v>0</x:v>
      </x:c>
      <x:c r="AQ455" s="32" t="n">
        <x:f>AM455+AO455</x:f>
        <x:v>33312.180169965046</x:v>
      </x:c>
      <x:c r="AR455" s="10" t="n">
        <x:f>IF(H455=1,INDEX(tun_Req,G455),0)</x:f>
        <x:v>3142139.1800715</x:v>
      </x:c>
      <x:c r="AS455" s="32" t="n">
        <x:f>IF(H455=1,IF(E455=1,AS454-AR454,AS454)+AQ455,0)</x:f>
        <x:v>1426484.5696341612</x:v>
      </x:c>
      <x:c r="AT455" s="11" t="n">
        <x:f>IF(AR455&gt;0,MIN(1,AS455/AR455),1)</x:f>
        <x:v>0.45398516357308566</x:v>
      </x:c>
      <x:c r="AU455" s="10" t="n">
        <x:f>AB455/INDEX(tun_RepScale,G455)</x:f>
        <x:v>197.62204240352068</x:v>
      </x:c>
      <x:c r="AV455" s="32" t="n">
        <x:f>AM455*60/tun_SeasonSeconds</x:f>
        <x:v>115150.45970909411</x:v>
      </x:c>
    </x:row>
    <x:row r="456">
      <x:c r="A456" s="8" t="n">
        <x:f>A455+1</x:f>
        <x:v>453</x:v>
      </x:c>
      <x:c r="B456" s="9" t="n">
        <x:f>A456*tun_SeasonSeconds/60</x:f>
        <x:v>113.25</x:v>
      </x:c>
      <x:c r="C456" s="9" t="n">
        <x:f>A456/4</x:f>
        <x:v>113.25</x:v>
      </x:c>
      <x:c r="D456" s="8" t="n">
        <x:f>IF(MOD(A456,4)=0,1,0)</x:f>
        <x:v>0</x:v>
      </x:c>
      <x:c r="E456" s="8" t="n">
        <x:f>IF(AND(F455&lt;=9,AS455&gt;=AR455),1,0)</x:f>
        <x:v>0</x:v>
      </x:c>
      <x:c r="F456" s="8" t="n">
        <x:f>MIN(10,F455+E456)</x:f>
        <x:v>7</x:v>
      </x:c>
      <x:c r="G456" s="8" t="n">
        <x:f>MIN(F456,9)+1</x:f>
        <x:v>8</x:v>
      </x:c>
      <x:c r="H456" s="8" t="n">
        <x:f>IF(F456&lt;=9,1,0)</x:f>
        <x:v>1</x:v>
      </x:c>
      <x:c r="I456" s="9" t="n">
        <x:f>MIN(10,F455+IF(AR455&gt;0,MIN(1,AS455/AR455),1))</x:f>
        <x:v>7.453985163573086</x:v>
      </x:c>
      <x:c r="J456" s="32" t="n">
        <x:f>INDEX(tun_FoodCap,G456)*Arch_FoodCap*EXP(tun_CapsByProject*SUMPRODUCT((Cap_Point&lt;=I456)*(Cap_Kind="Food")*Cap_Ln))</x:f>
        <x:v>2474.3390629688556</x:v>
      </x:c>
      <x:c r="K456" s="32" t="n">
        <x:f>J456*MIN(1,tun_LeanBase*EXP(tun_CapsByProject*SUMPRODUCT((Cap_Point&lt;=I456)*(Cap_Kind="Lean")*Cap_Ln)))</x:f>
        <x:v>2474.3390629688556</x:v>
      </x:c>
      <x:c r="L456" s="10" t="n">
        <x:f>INDEX(tun_HousingCap,G456)*EXP(tun_CapsByProject*SUMPRODUCT((Cap_Point&lt;=I456)*(Cap_Kind="Housing")*Cap_Ln))</x:f>
        <x:v>3877.6139646448164</x:v>
      </x:c>
      <x:c r="M456" s="10" t="n">
        <x:f>INDEX(tun_GroupCap,G456)*tun_CohesionFactor*EXP(tun_CapsByProject*SUMPRODUCT((Cap_Point&lt;=I456)*(Cap_Kind="Group")*Cap_Ln))</x:f>
        <x:v>1000000.000000001</x:v>
      </x:c>
      <x:c r="N456" s="32" t="n">
        <x:f>MIN(J456,L456,M456)</x:f>
        <x:v>2474.3390629688556</x:v>
      </x:c>
      <x:c r="O456" s="10" t="n">
        <x:f>AE455*N456</x:f>
        <x:v>37115.08594453283</x:v>
      </x:c>
      <x:c r="P456" s="9" t="n">
        <x:f>MIN(1,(AB455/(AE455*IF(tun_GroupInCrowding=1,N456,MIN(J456,L456))))^tun_CrowdingExp)</x:f>
        <x:v>0.022788171378622993</x:v>
      </x:c>
      <x:c r="Q456" s="9" t="n">
        <x:f>IF(D456=1,INDEX(tun_WinterMult,G456),1)</x:f>
        <x:v>1</x:v>
      </x:c>
      <x:c r="R456" s="9" t="n">
        <x:f>H456*Z455*tun_WomenShare*tun_BaseFertility*INDEX(tun_FertMult,G456)*Arch_Fertility*(1-P456)</x:f>
        <x:v>480.24427219751345</x:v>
      </x:c>
      <x:c r="S456" s="9" t="n">
        <x:f>H456*Y455*INDEX(tun_MortChild,G456)/4*Q456</x:f>
        <x:v>41.44898467472783</x:v>
      </x:c>
      <x:c r="T456" s="9" t="n">
        <x:f>H456*Z455*INDEX(tun_MortAdult,G456)*Arch_AdultMort/4*Q456</x:f>
        <x:v>14.743301036634868</x:v>
      </x:c>
      <x:c r="U456" s="9" t="n">
        <x:f>H456*AA455*INDEX(tun_MortElder,G456)/4*Q456</x:f>
        <x:v>26.324973730965723</x:v>
      </x:c>
      <x:c r="V456" s="9" t="n">
        <x:f>H456*MAX(0,AB455-O456)*tun_OvercapLoss</x:f>
        <x:v>0</x:v>
      </x:c>
      <x:c r="W456" s="9" t="n">
        <x:f>H456*Y455/(tun_ChildYears*4)</x:f>
        <x:v>174.15539779297407</x:v>
      </x:c>
      <x:c r="X456" s="9" t="n">
        <x:f>H456*Z455/(tun_AdultYears*4)</x:f>
        <x:v>60.97312256672816</x:v>
      </x:c>
      <x:c r="Y456" s="32" t="n">
        <x:f>Y455+R456-S456-W456-Y455*V456/AB455</x:f>
        <x:v>10017.342166136359</x:v>
      </x:c>
      <x:c r="Z456" s="32" t="n">
        <x:f>Z455+W456-X456-T456-Z455*V456/AB455</x:f>
        <x:v>7659.106172463903</x:v>
      </x:c>
      <x:c r="AA456" s="32" t="n">
        <x:f>AA455+X456-U456-AA455*V456/AB455</x:f>
        <x:v>2483.482914506993</x:v>
      </x:c>
      <x:c r="AB456" s="10" t="n">
        <x:f>Y456+Z456+AA456</x:f>
        <x:v>20159.931253107254</x:v>
      </x:c>
      <x:c r="AC456" s="8" t="n">
        <x:f>IF(AND(tun_WinterTrigger=1,D456=1,AB455/AE455&gt;=K456),1,0)</x:f>
        <x:v>0</x:v>
      </x:c>
      <x:c r="AD456" s="8" t="n">
        <x:f>H456*IF(AND(OR(AB455/AE455&gt;=tun_FissionTrigger*N456,AC456=1),AB455/AE455*tun_DaughterShare&gt;=tun_MinDaughter),MAX(1,ROUND(AE455*tun_FissionRate,0)),0)</x:f>
        <x:v>0</x:v>
      </x:c>
      <x:c r="AE456" s="8" t="n">
        <x:f>IF(H456=1,MAX(1,MIN(INDEX(tun_Smax,G456),AE455+AD456)),AE455)</x:f>
        <x:v>15</x:v>
      </x:c>
      <x:c r="AF456" s="8" t="n">
        <x:f>MAX(0,AE456-AE455)</x:f>
        <x:v>0</x:v>
      </x:c>
      <x:c r="AG456" s="9" t="str">
        <x:f>IF(AF456&gt;0,B456,"")</x:f>
      </x:c>
      <x:c r="AH456" s="9" t="n">
        <x:f>IF(F456&gt;=1,1,(1+tun_LowTiesShare*(AE456-1))/AE456)</x:f>
        <x:v>1</x:v>
      </x:c>
      <x:c r="AI456" s="32" t="n">
        <x:f>(Z456+tun_ElderCommons*INDEX(LM_Elder,G456)*AA456)*AH456</x:f>
        <x:v>16972.167101865125</x:v>
      </x:c>
      <x:c r="AJ456" s="32" t="n">
        <x:f>H456*tun_CommonsCoef*AI456^tun_CommonsExp*INDEX(LM_Commons,G456)</x:f>
        <x:v>36899.853481171325</x:v>
      </x:c>
      <x:c r="AK456" s="32" t="n">
        <x:f>H456*tun_RoleScale*Arch_Roles*(AE456*(INDEX(tun_ElderRolePerSett,G456)*tun_OutElder*INDEX(LM_Elder,G456)+INDEX(tun_ShamanPerSett,G456)*tun_OutShaman)+Z456*(INDEX(tun_PriestShare,G456)*tun_OutPriest+INDEX(tun_ScribeShare,G456)*tun_OutScribe*INDEX(LM_Scribe,G456)+INDEX(tun_ScholarShare,G456)*tun_OutScholar*INDEX(LM_Scholar,G456)+INDEX(tun_ResearcherShare,G456)*tun_OutResearcher*INDEX(LM_Researcher,G456)))</x:f>
        <x:v>11420.632861484484</x:v>
      </x:c>
      <x:c r="AL456" s="32" t="n">
        <x:f>H456*tun_RoleScale*Arch_Roles*AE456*INDEX(tun_MonasteryPerSett,G456)*tun_OutMonastery*INDEX(LM_Monastery,G456)</x:f>
        <x:v>79.2</x:v>
      </x:c>
      <x:c r="AM456" s="32" t="n">
        <x:f>(AJ456+AK456+AL456)/4*INDEX(LM_All,G456)*INDEX(tun_Boon,G456)*Arch_Insight</x:f>
        <x:v>29127.05446645263</x:v>
      </x:c>
      <x:c r="AN456" s="32" t="n">
        <x:f>H456*(tun_KHPerAdult*Z456+tun_KHOfCommons*AJ456/4*INDEX(LM_All,G456))*tun_KHUsable*Arch_KH</x:f>
        <x:v>4576.966029347953</x:v>
      </x:c>
      <x:c r="AO456" s="32" t="n">
        <x:f>MIN(AP455+AN456,AM456*tun_KHMaxRatio)</x:f>
        <x:v>4576.966029347953</x:v>
      </x:c>
      <x:c r="AP456" s="32" t="n">
        <x:f>AP455+AN456-AO456</x:f>
        <x:v>0</x:v>
      </x:c>
      <x:c r="AQ456" s="32" t="n">
        <x:f>AM456+AO456</x:f>
        <x:v>33704.020495800585</x:v>
      </x:c>
      <x:c r="AR456" s="10" t="n">
        <x:f>IF(H456=1,INDEX(tun_Req,G456),0)</x:f>
        <x:v>3142139.1800715</x:v>
      </x:c>
      <x:c r="AS456" s="32" t="n">
        <x:f>IF(H456=1,IF(E456=1,AS455-AR455,AS455)+AQ456,0)</x:f>
        <x:v>1460188.5901299617</x:v>
      </x:c>
      <x:c r="AT456" s="11" t="n">
        <x:f>IF(AR456&gt;0,MIN(1,AS456/AR456),1)</x:f>
        <x:v>0.4647116204753014</x:v>
      </x:c>
      <x:c r="AU456" s="10" t="n">
        <x:f>AB456/INDEX(tun_RepScale,G456)</x:f>
        <x:v>201.59931253107254</x:v>
      </x:c>
      <x:c r="AV456" s="32" t="n">
        <x:f>AM456*60/tun_SeasonSeconds</x:f>
        <x:v>116508.21786581053</x:v>
      </x:c>
    </x:row>
    <x:row r="457">
      <x:c r="A457" s="8" t="n">
        <x:f>A456+1</x:f>
        <x:v>454</x:v>
      </x:c>
      <x:c r="B457" s="9" t="n">
        <x:f>A457*tun_SeasonSeconds/60</x:f>
        <x:v>113.5</x:v>
      </x:c>
      <x:c r="C457" s="9" t="n">
        <x:f>A457/4</x:f>
        <x:v>113.5</x:v>
      </x:c>
      <x:c r="D457" s="8" t="n">
        <x:f>IF(MOD(A457,4)=0,1,0)</x:f>
        <x:v>0</x:v>
      </x:c>
      <x:c r="E457" s="8" t="n">
        <x:f>IF(AND(F456&lt;=9,AS456&gt;=AR456),1,0)</x:f>
        <x:v>0</x:v>
      </x:c>
      <x:c r="F457" s="8" t="n">
        <x:f>MIN(10,F456+E457)</x:f>
        <x:v>7</x:v>
      </x:c>
      <x:c r="G457" s="8" t="n">
        <x:f>MIN(F457,9)+1</x:f>
        <x:v>8</x:v>
      </x:c>
      <x:c r="H457" s="8" t="n">
        <x:f>IF(F457&lt;=9,1,0)</x:f>
        <x:v>1</x:v>
      </x:c>
      <x:c r="I457" s="9" t="n">
        <x:f>MIN(10,F456+IF(AR456&gt;0,MIN(1,AS456/AR456),1))</x:f>
        <x:v>7.464711620475302</x:v>
      </x:c>
      <x:c r="J457" s="32" t="n">
        <x:f>INDEX(tun_FoodCap,G457)*Arch_FoodCap*EXP(tun_CapsByProject*SUMPRODUCT((Cap_Point&lt;=I457)*(Cap_Kind="Food")*Cap_Ln))</x:f>
        <x:v>2474.3390629688556</x:v>
      </x:c>
      <x:c r="K457" s="32" t="n">
        <x:f>J457*MIN(1,tun_LeanBase*EXP(tun_CapsByProject*SUMPRODUCT((Cap_Point&lt;=I457)*(Cap_Kind="Lean")*Cap_Ln)))</x:f>
        <x:v>2474.3390629688556</x:v>
      </x:c>
      <x:c r="L457" s="10" t="n">
        <x:f>INDEX(tun_HousingCap,G457)*EXP(tun_CapsByProject*SUMPRODUCT((Cap_Point&lt;=I457)*(Cap_Kind="Housing")*Cap_Ln))</x:f>
        <x:v>3877.6139646448164</x:v>
      </x:c>
      <x:c r="M457" s="10" t="n">
        <x:f>INDEX(tun_GroupCap,G457)*tun_CohesionFactor*EXP(tun_CapsByProject*SUMPRODUCT((Cap_Point&lt;=I457)*(Cap_Kind="Group")*Cap_Ln))</x:f>
        <x:v>1000000.000000001</x:v>
      </x:c>
      <x:c r="N457" s="32" t="n">
        <x:f>MIN(J457,L457,M457)</x:f>
        <x:v>2474.3390629688556</x:v>
      </x:c>
      <x:c r="O457" s="10" t="n">
        <x:f>AE456*N457</x:f>
        <x:v>37115.08594453283</x:v>
      </x:c>
      <x:c r="P457" s="9" t="n">
        <x:f>MIN(1,(AB456/(AE456*IF(tun_GroupInCrowding=1,N457,MIN(J457,L457))))^tun_CrowdingExp)</x:f>
        <x:v>0.02568215468837861</x:v>
      </x:c>
      <x:c r="Q457" s="9" t="n">
        <x:f>IF(D457=1,INDEX(tun_WinterMult,G457),1)</x:f>
        <x:v>1</x:v>
      </x:c>
      <x:c r="R457" s="9" t="n">
        <x:f>H457*Z456*tun_WomenShare*tun_BaseFertility*INDEX(tun_FertMult,G457)*Arch_Fertility*(1-P457)</x:f>
        <x:v>485.05624849291803</x:v>
      </x:c>
      <x:c r="S457" s="9" t="n">
        <x:f>H457*Y456*INDEX(tun_MortChild,G457)/4*Q457</x:f>
        <x:v>42.573704206079526</x:v>
      </x:c>
      <x:c r="T457" s="9" t="n">
        <x:f>H457*Z456*INDEX(tun_MortAdult,G457)*Arch_AdultMort/4*Q457</x:f>
        <x:v>14.93525703630461</x:v>
      </x:c>
      <x:c r="U457" s="9" t="n">
        <x:f>H457*AA456*INDEX(tun_MortElder,G457)/4*Q457</x:f>
        <x:v>26.697441330950173</x:v>
      </x:c>
      <x:c r="V457" s="9" t="n">
        <x:f>H457*MAX(0,AB456-O457)*tun_OvercapLoss</x:f>
        <x:v>0</x:v>
      </x:c>
      <x:c r="W457" s="9" t="n">
        <x:f>H457*Y456/(tun_ChildYears*4)</x:f>
        <x:v>178.88111010957783</x:v>
      </x:c>
      <x:c r="X457" s="9" t="n">
        <x:f>H457*Z456/(tun_AdultYears*4)</x:f>
        <x:v>61.76698526180567</x:v>
      </x:c>
      <x:c r="Y457" s="32" t="n">
        <x:f>Y456+R457-S457-W457-Y456*V457/AB456</x:f>
        <x:v>10280.94360031362</x:v>
      </x:c>
      <x:c r="Z457" s="32" t="n">
        <x:f>Z456+W457-X457-T457-Z456*V457/AB456</x:f>
        <x:v>7761.285040275371</x:v>
      </x:c>
      <x:c r="AA457" s="32" t="n">
        <x:f>AA456+X457-U457-AA456*V457/AB456</x:f>
        <x:v>2518.552458437848</x:v>
      </x:c>
      <x:c r="AB457" s="10" t="n">
        <x:f>Y457+Z457+AA457</x:f>
        <x:v>20560.781099026837</x:v>
      </x:c>
      <x:c r="AC457" s="8" t="n">
        <x:f>IF(AND(tun_WinterTrigger=1,D457=1,AB456/AE456&gt;=K457),1,0)</x:f>
        <x:v>0</x:v>
      </x:c>
      <x:c r="AD457" s="8" t="n">
        <x:f>H457*IF(AND(OR(AB456/AE456&gt;=tun_FissionTrigger*N457,AC457=1),AB456/AE456*tun_DaughterShare&gt;=tun_MinDaughter),MAX(1,ROUND(AE456*tun_FissionRate,0)),0)</x:f>
        <x:v>0</x:v>
      </x:c>
      <x:c r="AE457" s="8" t="n">
        <x:f>IF(H457=1,MAX(1,MIN(INDEX(tun_Smax,G457),AE456+AD457)),AE456)</x:f>
        <x:v>15</x:v>
      </x:c>
      <x:c r="AF457" s="8" t="n">
        <x:f>MAX(0,AE457-AE456)</x:f>
        <x:v>0</x:v>
      </x:c>
      <x:c r="AG457" s="9" t="str">
        <x:f>IF(AF457&gt;0,B457,"")</x:f>
      </x:c>
      <x:c r="AH457" s="9" t="n">
        <x:f>IF(F457&gt;=1,1,(1+tun_LowTiesShare*(AE457-1))/AE457)</x:f>
        <x:v>1</x:v>
      </x:c>
      <x:c r="AI457" s="32" t="n">
        <x:f>(Z457+tun_ElderCommons*INDEX(LM_Elder,G457)*AA457)*AH457</x:f>
        <x:v>17205.8567594173</x:v>
      </x:c>
      <x:c r="AJ457" s="32" t="n">
        <x:f>H457*tun_CommonsCoef*AI457^tun_CommonsExp*INDEX(LM_Commons,G457)</x:f>
        <x:v>37331.27260869171</x:v>
      </x:c>
      <x:c r="AK457" s="32" t="n">
        <x:f>H457*tun_RoleScale*Arch_Roles*(AE457*(INDEX(tun_ElderRolePerSett,G457)*tun_OutElder*INDEX(LM_Elder,G457)+INDEX(tun_ShamanPerSett,G457)*tun_OutShaman)+Z457*(INDEX(tun_PriestShare,G457)*tun_OutPriest+INDEX(tun_ScribeShare,G457)*tun_OutScribe*INDEX(LM_Scribe,G457)+INDEX(tun_ScholarShare,G457)*tun_OutScholar*INDEX(LM_Scholar,G457)+INDEX(tun_ResearcherShare,G457)*tun_OutResearcher*INDEX(LM_Researcher,G457)))</x:f>
        <x:v>11567.59059632565</x:v>
      </x:c>
      <x:c r="AL457" s="32" t="n">
        <x:f>H457*tun_RoleScale*Arch_Roles*AE457*INDEX(tun_MonasteryPerSett,G457)*tun_OutMonastery*INDEX(LM_Monastery,G457)</x:f>
        <x:v>79.2</x:v>
      </x:c>
      <x:c r="AM457" s="32" t="n">
        <x:f>(AJ457+AK457+AL457)/4*INDEX(LM_All,G457)*INDEX(tun_Boon,G457)*Arch_Insight</x:f>
        <x:v>29475.123134767407</x:v>
      </x:c>
      <x:c r="AN457" s="32" t="n">
        <x:f>H457*(tun_KHPerAdult*Z457+tun_KHOfCommons*AJ457/4*INDEX(LM_All,G457))*tun_KHUsable*Arch_KH</x:f>
        <x:v>4630.478184676139</x:v>
      </x:c>
      <x:c r="AO457" s="32" t="n">
        <x:f>MIN(AP456+AN457,AM457*tun_KHMaxRatio)</x:f>
        <x:v>4630.478184676139</x:v>
      </x:c>
      <x:c r="AP457" s="32" t="n">
        <x:f>AP456+AN457-AO457</x:f>
        <x:v>0</x:v>
      </x:c>
      <x:c r="AQ457" s="32" t="n">
        <x:f>AM457+AO457</x:f>
        <x:v>34105.60131944354</x:v>
      </x:c>
      <x:c r="AR457" s="10" t="n">
        <x:f>IF(H457=1,INDEX(tun_Req,G457),0)</x:f>
        <x:v>3142139.1800715</x:v>
      </x:c>
      <x:c r="AS457" s="32" t="n">
        <x:f>IF(H457=1,IF(E457=1,AS456-AR456,AS456)+AQ457,0)</x:f>
        <x:v>1494294.1914494052</x:v>
      </x:c>
      <x:c r="AT457" s="11" t="n">
        <x:f>IF(AR457&gt;0,MIN(1,AS457/AR457),1)</x:f>
        <x:v>0.4755658822902307</x:v>
      </x:c>
      <x:c r="AU457" s="10" t="n">
        <x:f>AB457/INDEX(tun_RepScale,G457)</x:f>
        <x:v>205.60781099026838</x:v>
      </x:c>
      <x:c r="AV457" s="32" t="n">
        <x:f>AM457*60/tun_SeasonSeconds</x:f>
        <x:v>117900.49253906963</x:v>
      </x:c>
    </x:row>
    <x:row r="458">
      <x:c r="A458" s="8" t="n">
        <x:f>A457+1</x:f>
        <x:v>455</x:v>
      </x:c>
      <x:c r="B458" s="9" t="n">
        <x:f>A458*tun_SeasonSeconds/60</x:f>
        <x:v>113.75</x:v>
      </x:c>
      <x:c r="C458" s="9" t="n">
        <x:f>A458/4</x:f>
        <x:v>113.75</x:v>
      </x:c>
      <x:c r="D458" s="8" t="n">
        <x:f>IF(MOD(A458,4)=0,1,0)</x:f>
        <x:v>0</x:v>
      </x:c>
      <x:c r="E458" s="8" t="n">
        <x:f>IF(AND(F457&lt;=9,AS457&gt;=AR457),1,0)</x:f>
        <x:v>0</x:v>
      </x:c>
      <x:c r="F458" s="8" t="n">
        <x:f>MIN(10,F457+E458)</x:f>
        <x:v>7</x:v>
      </x:c>
      <x:c r="G458" s="8" t="n">
        <x:f>MIN(F458,9)+1</x:f>
        <x:v>8</x:v>
      </x:c>
      <x:c r="H458" s="8" t="n">
        <x:f>IF(F458&lt;=9,1,0)</x:f>
        <x:v>1</x:v>
      </x:c>
      <x:c r="I458" s="9" t="n">
        <x:f>MIN(10,F457+IF(AR457&gt;0,MIN(1,AS457/AR457),1))</x:f>
        <x:v>7.475565882290231</x:v>
      </x:c>
      <x:c r="J458" s="32" t="n">
        <x:f>INDEX(tun_FoodCap,G458)*Arch_FoodCap*EXP(tun_CapsByProject*SUMPRODUCT((Cap_Point&lt;=I458)*(Cap_Kind="Food")*Cap_Ln))</x:f>
        <x:v>2474.3390629688556</x:v>
      </x:c>
      <x:c r="K458" s="32" t="n">
        <x:f>J458*MIN(1,tun_LeanBase*EXP(tun_CapsByProject*SUMPRODUCT((Cap_Point&lt;=I458)*(Cap_Kind="Lean")*Cap_Ln)))</x:f>
        <x:v>2474.3390629688556</x:v>
      </x:c>
      <x:c r="L458" s="10" t="n">
        <x:f>INDEX(tun_HousingCap,G458)*EXP(tun_CapsByProject*SUMPRODUCT((Cap_Point&lt;=I458)*(Cap_Kind="Housing")*Cap_Ln))</x:f>
        <x:v>3877.6139646448164</x:v>
      </x:c>
      <x:c r="M458" s="10" t="n">
        <x:f>INDEX(tun_GroupCap,G458)*tun_CohesionFactor*EXP(tun_CapsByProject*SUMPRODUCT((Cap_Point&lt;=I458)*(Cap_Kind="Group")*Cap_Ln))</x:f>
        <x:v>1000000.000000001</x:v>
      </x:c>
      <x:c r="N458" s="32" t="n">
        <x:f>MIN(J458,L458,M458)</x:f>
        <x:v>2474.3390629688556</x:v>
      </x:c>
      <x:c r="O458" s="10" t="n">
        <x:f>AE457*N458</x:f>
        <x:v>37115.08594453283</x:v>
      </x:c>
      <x:c r="P458" s="9" t="n">
        <x:f>MIN(1,(AB457/(AE457*IF(tun_GroupInCrowding=1,N458,MIN(J458,L458))))^tun_CrowdingExp)</x:f>
        <x:v>0.028902461606655726</x:v>
      </x:c>
      <x:c r="Q458" s="9" t="n">
        <x:f>IF(D458=1,INDEX(tun_WinterMult,G458),1)</x:f>
        <x:v>1</x:v>
      </x:c>
      <x:c r="R458" s="9" t="n">
        <x:f>H458*Z457*tun_WomenShare*tun_BaseFertility*INDEX(tun_FertMult,G458)*Arch_Fertility*(1-P458)</x:f>
        <x:v>489.90271182973254</x:v>
      </x:c>
      <x:c r="S458" s="9" t="n">
        <x:f>H458*Y457*INDEX(tun_MortChild,G458)/4*Q458</x:f>
        <x:v>43.69401030133289</x:v>
      </x:c>
      <x:c r="T458" s="9" t="n">
        <x:f>H458*Z457*INDEX(tun_MortAdult,G458)*Arch_AdultMort/4*Q458</x:f>
        <x:v>15.134505828536973</x:v>
      </x:c>
      <x:c r="U458" s="9" t="n">
        <x:f>H458*AA457*INDEX(tun_MortElder,G458)/4*Q458</x:f>
        <x:v>27.074438928206867</x:v>
      </x:c>
      <x:c r="V458" s="9" t="n">
        <x:f>H458*MAX(0,AB457-O458)*tun_OvercapLoss</x:f>
        <x:v>0</x:v>
      </x:c>
      <x:c r="W458" s="9" t="n">
        <x:f>H458*Y457/(tun_ChildYears*4)</x:f>
        <x:v>183.58827857702892</x:v>
      </x:c>
      <x:c r="X458" s="9" t="n">
        <x:f>H458*Z457/(tun_AdultYears*4)</x:f>
        <x:v>62.59100838931751</x:v>
      </x:c>
      <x:c r="Y458" s="32" t="n">
        <x:f>Y457+R458-S458-W458-Y457*V458/AB457</x:f>
        <x:v>10543.564023264991</x:v>
      </x:c>
      <x:c r="Z458" s="32" t="n">
        <x:f>Z457+W458-X458-T458-Z457*V458/AB457</x:f>
        <x:v>7867.1478046345455</x:v>
      </x:c>
      <x:c r="AA458" s="32" t="n">
        <x:f>AA457+X458-U458-AA457*V458/AB457</x:f>
        <x:v>2554.069027898959</x:v>
      </x:c>
      <x:c r="AB458" s="10" t="n">
        <x:f>Y458+Z458+AA458</x:f>
        <x:v>20964.780855798497</x:v>
      </x:c>
      <x:c r="AC458" s="8" t="n">
        <x:f>IF(AND(tun_WinterTrigger=1,D458=1,AB457/AE457&gt;=K458),1,0)</x:f>
        <x:v>0</x:v>
      </x:c>
      <x:c r="AD458" s="8" t="n">
        <x:f>H458*IF(AND(OR(AB457/AE457&gt;=tun_FissionTrigger*N458,AC458=1),AB457/AE457*tun_DaughterShare&gt;=tun_MinDaughter),MAX(1,ROUND(AE457*tun_FissionRate,0)),0)</x:f>
        <x:v>0</x:v>
      </x:c>
      <x:c r="AE458" s="8" t="n">
        <x:f>IF(H458=1,MAX(1,MIN(INDEX(tun_Smax,G458),AE457+AD458)),AE457)</x:f>
        <x:v>15</x:v>
      </x:c>
      <x:c r="AF458" s="8" t="n">
        <x:f>MAX(0,AE458-AE457)</x:f>
        <x:v>0</x:v>
      </x:c>
      <x:c r="AG458" s="9" t="str">
        <x:f>IF(AF458&gt;0,B458,"")</x:f>
      </x:c>
      <x:c r="AH458" s="9" t="n">
        <x:f>IF(F458&gt;=1,1,(1+tun_LowTiesShare*(AE458-1))/AE458)</x:f>
        <x:v>1</x:v>
      </x:c>
      <x:c r="AI458" s="32" t="n">
        <x:f>(Z458+tun_ElderCommons*INDEX(LM_Elder,G458)*AA458)*AH458</x:f>
        <x:v>17444.90665925564</x:v>
      </x:c>
      <x:c r="AJ458" s="32" t="n">
        <x:f>H458*tun_CommonsCoef*AI458^tun_CommonsExp*INDEX(LM_Commons,G458)</x:f>
        <x:v>37771.67898871106</x:v>
      </x:c>
      <x:c r="AK458" s="32" t="n">
        <x:f>H458*tun_RoleScale*Arch_Roles*(AE458*(INDEX(tun_ElderRolePerSett,G458)*tun_OutElder*INDEX(LM_Elder,G458)+INDEX(tun_ShamanPerSett,G458)*tun_OutShaman)+Z458*(INDEX(tun_PriestShare,G458)*tun_OutPriest+INDEX(tun_ScribeShare,G458)*tun_OutScribe*INDEX(LM_Scribe,G458)+INDEX(tun_ScholarShare,G458)*tun_OutScholar*INDEX(LM_Scholar,G458)+INDEX(tun_ResearcherShare,G458)*tun_OutResearcher*INDEX(LM_Researcher,G458)))</x:f>
        <x:v>11719.846658537588</x:v>
      </x:c>
      <x:c r="AL458" s="32" t="n">
        <x:f>H458*tun_RoleScale*Arch_Roles*AE458*INDEX(tun_MonasteryPerSett,G458)*tun_OutMonastery*INDEX(LM_Monastery,G458)</x:f>
        <x:v>79.2</x:v>
      </x:c>
      <x:c r="AM458" s="32" t="n">
        <x:f>(AJ458+AK458+AL458)/4*INDEX(LM_All,G458)*INDEX(tun_Boon,G458)*Arch_Insight</x:f>
        <x:v>29831.788901418822</x:v>
      </x:c>
      <x:c r="AN458" s="32" t="n">
        <x:f>H458*(tun_KHPerAdult*Z458+tun_KHOfCommons*AJ458/4*INDEX(LM_All,G458))*tun_KHUsable*Arch_KH</x:f>
        <x:v>4685.1050964465385</x:v>
      </x:c>
      <x:c r="AO458" s="32" t="n">
        <x:f>MIN(AP457+AN458,AM458*tun_KHMaxRatio)</x:f>
        <x:v>4685.1050964465385</x:v>
      </x:c>
      <x:c r="AP458" s="32" t="n">
        <x:f>AP457+AN458-AO458</x:f>
        <x:v>0</x:v>
      </x:c>
      <x:c r="AQ458" s="32" t="n">
        <x:f>AM458+AO458</x:f>
        <x:v>34516.89399786536</x:v>
      </x:c>
      <x:c r="AR458" s="10" t="n">
        <x:f>IF(H458=1,INDEX(tun_Req,G458),0)</x:f>
        <x:v>3142139.1800715</x:v>
      </x:c>
      <x:c r="AS458" s="32" t="n">
        <x:f>IF(H458=1,IF(E458=1,AS457-AR457,AS457)+AQ458,0)</x:f>
        <x:v>1528811.0854472704</x:v>
      </x:c>
      <x:c r="AT458" s="11" t="n">
        <x:f>IF(AR458&gt;0,MIN(1,AS458/AR458),1)</x:f>
        <x:v>0.4865510398595653</x:v>
      </x:c>
      <x:c r="AU458" s="10" t="n">
        <x:f>AB458/INDEX(tun_RepScale,G458)</x:f>
        <x:v>209.64780855798497</x:v>
      </x:c>
      <x:c r="AV458" s="32" t="n">
        <x:f>AM458*60/tun_SeasonSeconds</x:f>
        <x:v>119327.15560567529</x:v>
      </x:c>
    </x:row>
    <x:row r="459">
      <x:c r="A459" s="8" t="n">
        <x:f>A458+1</x:f>
        <x:v>456</x:v>
      </x:c>
      <x:c r="B459" s="9" t="n">
        <x:f>A459*tun_SeasonSeconds/60</x:f>
        <x:v>114</x:v>
      </x:c>
      <x:c r="C459" s="9" t="n">
        <x:f>A459/4</x:f>
        <x:v>114</x:v>
      </x:c>
      <x:c r="D459" s="8" t="n">
        <x:f>IF(MOD(A459,4)=0,1,0)</x:f>
        <x:v>1</x:v>
      </x:c>
      <x:c r="E459" s="8" t="n">
        <x:f>IF(AND(F458&lt;=9,AS458&gt;=AR458),1,0)</x:f>
        <x:v>0</x:v>
      </x:c>
      <x:c r="F459" s="8" t="n">
        <x:f>MIN(10,F458+E459)</x:f>
        <x:v>7</x:v>
      </x:c>
      <x:c r="G459" s="8" t="n">
        <x:f>MIN(F459,9)+1</x:f>
        <x:v>8</x:v>
      </x:c>
      <x:c r="H459" s="8" t="n">
        <x:f>IF(F459&lt;=9,1,0)</x:f>
        <x:v>1</x:v>
      </x:c>
      <x:c r="I459" s="9" t="n">
        <x:f>MIN(10,F458+IF(AR458&gt;0,MIN(1,AS458/AR458),1))</x:f>
        <x:v>7.486551039859565</x:v>
      </x:c>
      <x:c r="J459" s="32" t="n">
        <x:f>INDEX(tun_FoodCap,G459)*Arch_FoodCap*EXP(tun_CapsByProject*SUMPRODUCT((Cap_Point&lt;=I459)*(Cap_Kind="Food")*Cap_Ln))</x:f>
        <x:v>2474.3390629688556</x:v>
      </x:c>
      <x:c r="K459" s="32" t="n">
        <x:f>J459*MIN(1,tun_LeanBase*EXP(tun_CapsByProject*SUMPRODUCT((Cap_Point&lt;=I459)*(Cap_Kind="Lean")*Cap_Ln)))</x:f>
        <x:v>2474.3390629688556</x:v>
      </x:c>
      <x:c r="L459" s="10" t="n">
        <x:f>INDEX(tun_HousingCap,G459)*EXP(tun_CapsByProject*SUMPRODUCT((Cap_Point&lt;=I459)*(Cap_Kind="Housing")*Cap_Ln))</x:f>
        <x:v>3877.6139646448164</x:v>
      </x:c>
      <x:c r="M459" s="10" t="n">
        <x:f>INDEX(tun_GroupCap,G459)*tun_CohesionFactor*EXP(tun_CapsByProject*SUMPRODUCT((Cap_Point&lt;=I459)*(Cap_Kind="Group")*Cap_Ln))</x:f>
        <x:v>1000000.000000001</x:v>
      </x:c>
      <x:c r="N459" s="32" t="n">
        <x:f>MIN(J459,L459,M459)</x:f>
        <x:v>2474.3390629688556</x:v>
      </x:c>
      <x:c r="O459" s="10" t="n">
        <x:f>AE458*N459</x:f>
        <x:v>37115.08594453283</x:v>
      </x:c>
      <x:c r="P459" s="9" t="n">
        <x:f>MIN(1,(AB458/(AE458*IF(tun_GroupInCrowding=1,N459,MIN(J459,L459))))^tun_CrowdingExp)</x:f>
        <x:v>0.03248172904641345</x:v>
      </x:c>
      <x:c r="Q459" s="9" t="n">
        <x:f>IF(D459=1,INDEX(tun_WinterMult,G459),1)</x:f>
        <x:v>1.08</x:v>
      </x:c>
      <x:c r="R459" s="9" t="n">
        <x:f>H459*Z458*tun_WomenShare*tun_BaseFertility*INDEX(tun_FertMult,G459)*Arch_Fertility*(1-P459)</x:f>
        <x:v>494.7546006829608</x:v>
      </x:c>
      <x:c r="S459" s="9" t="n">
        <x:f>H459*Y458*INDEX(tun_MortChild,G459)/4*Q459</x:f>
        <x:v>48.39495886678632</x:v>
      </x:c>
      <x:c r="T459" s="9" t="n">
        <x:f>H459*Z458*INDEX(tun_MortAdult,G459)*Arch_AdultMort/4*Q459</x:f>
        <x:v>16.568213276560353</x:v>
      </x:c>
      <x:c r="U459" s="9" t="n">
        <x:f>H459*AA458*INDEX(tun_MortElder,G459)/4*Q459</x:f>
        <x:v>29.652741413906913</x:v>
      </x:c>
      <x:c r="V459" s="9" t="n">
        <x:f>H459*MAX(0,AB458-O459)*tun_OvercapLoss</x:f>
        <x:v>0</x:v>
      </x:c>
      <x:c r="W459" s="9" t="n">
        <x:f>H459*Y458/(tun_ChildYears*4)</x:f>
        <x:v>188.27792898687485</x:v>
      </x:c>
      <x:c r="X459" s="9" t="n">
        <x:f>H459*Z458/(tun_AdultYears*4)</x:f>
        <x:v>63.444740359956015</x:v>
      </x:c>
      <x:c r="Y459" s="32" t="n">
        <x:f>Y458+R459-S459-W459-Y458*V459/AB458</x:f>
        <x:v>10801.645736094293</x:v>
      </x:c>
      <x:c r="Z459" s="32" t="n">
        <x:f>Z458+W459-X459-T459-Z458*V459/AB458</x:f>
        <x:v>7975.412779984904</x:v>
      </x:c>
      <x:c r="AA459" s="32" t="n">
        <x:f>AA458+X459-U459-AA458*V459/AB458</x:f>
        <x:v>2587.8610268450084</x:v>
      </x:c>
      <x:c r="AB459" s="10" t="n">
        <x:f>Y459+Z459+AA459</x:f>
        <x:v>21364.919542924203</x:v>
      </x:c>
      <x:c r="AC459" s="8" t="n">
        <x:f>IF(AND(tun_WinterTrigger=1,D459=1,AB458/AE458&gt;=K459),1,0)</x:f>
        <x:v>0</x:v>
      </x:c>
      <x:c r="AD459" s="8" t="n">
        <x:f>H459*IF(AND(OR(AB458/AE458&gt;=tun_FissionTrigger*N459,AC459=1),AB458/AE458*tun_DaughterShare&gt;=tun_MinDaughter),MAX(1,ROUND(AE458*tun_FissionRate,0)),0)</x:f>
        <x:v>0</x:v>
      </x:c>
      <x:c r="AE459" s="8" t="n">
        <x:f>IF(H459=1,MAX(1,MIN(INDEX(tun_Smax,G459),AE458+AD459)),AE458)</x:f>
        <x:v>15</x:v>
      </x:c>
      <x:c r="AF459" s="8" t="n">
        <x:f>MAX(0,AE459-AE458)</x:f>
        <x:v>0</x:v>
      </x:c>
      <x:c r="AG459" s="9" t="str">
        <x:f>IF(AF459&gt;0,B459,"")</x:f>
      </x:c>
      <x:c r="AH459" s="9" t="n">
        <x:f>IF(F459&gt;=1,1,(1+tun_LowTiesShare*(AE459-1))/AE459)</x:f>
        <x:v>1</x:v>
      </x:c>
      <x:c r="AI459" s="32" t="n">
        <x:f>(Z459+tun_ElderCommons*INDEX(LM_Elder,G459)*AA459)*AH459</x:f>
        <x:v>17679.891630653685</x:v>
      </x:c>
      <x:c r="AJ459" s="32" t="n">
        <x:f>H459*tun_CommonsCoef*AI459^tun_CommonsExp*INDEX(LM_Commons,G459)</x:f>
        <x:v>38203.71498540723</x:v>
      </x:c>
      <x:c r="AK459" s="32" t="n">
        <x:f>H459*tun_RoleScale*Arch_Roles*(AE459*(INDEX(tun_ElderRolePerSett,G459)*tun_OutElder*INDEX(LM_Elder,G459)+INDEX(tun_ShamanPerSett,G459)*tun_OutShaman)+Z459*(INDEX(tun_PriestShare,G459)*tun_OutPriest+INDEX(tun_ScribeShare,G459)*tun_OutScribe*INDEX(LM_Scribe,G459)+INDEX(tun_ScholarShare,G459)*tun_OutScholar*INDEX(LM_Scholar,G459)+INDEX(tun_ResearcherShare,G459)*tun_OutResearcher*INDEX(LM_Researcher,G459)))</x:f>
        <x:v>11875.557676685488</x:v>
      </x:c>
      <x:c r="AL459" s="32" t="n">
        <x:f>H459*tun_RoleScale*Arch_Roles*AE459*INDEX(tun_MonasteryPerSett,G459)*tun_OutMonastery*INDEX(LM_Monastery,G459)</x:f>
        <x:v>79.2</x:v>
      </x:c>
      <x:c r="AM459" s="32" t="n">
        <x:f>(AJ459+AK459+AL459)/4*INDEX(LM_All,G459)*INDEX(tun_Boon,G459)*Arch_Insight</x:f>
        <x:v>30185.49655135395</x:v>
      </x:c>
      <x:c r="AN459" s="32" t="n">
        <x:f>H459*(tun_KHPerAdult*Z459+tun_KHOfCommons*AJ459/4*INDEX(LM_All,G459))*tun_KHUsable*Arch_KH</x:f>
        <x:v>4738.693766692692</x:v>
      </x:c>
      <x:c r="AO459" s="32" t="n">
        <x:f>MIN(AP458+AN459,AM459*tun_KHMaxRatio)</x:f>
        <x:v>4738.693766692692</x:v>
      </x:c>
      <x:c r="AP459" s="32" t="n">
        <x:f>AP458+AN459-AO459</x:f>
        <x:v>0</x:v>
      </x:c>
      <x:c r="AQ459" s="32" t="n">
        <x:f>AM459+AO459</x:f>
        <x:v>34924.19031804664</x:v>
      </x:c>
      <x:c r="AR459" s="10" t="n">
        <x:f>IF(H459=1,INDEX(tun_Req,G459),0)</x:f>
        <x:v>3142139.1800715</x:v>
      </x:c>
      <x:c r="AS459" s="32" t="n">
        <x:f>IF(H459=1,IF(E459=1,AS458-AR458,AS458)+AQ459,0)</x:f>
        <x:v>1563735.275765317</x:v>
      </x:c>
      <x:c r="AT459" s="11" t="n">
        <x:f>IF(AR459&gt;0,MIN(1,AS459/AR459),1)</x:f>
        <x:v>0.4976658213242272</x:v>
      </x:c>
      <x:c r="AU459" s="10" t="n">
        <x:f>AB459/INDEX(tun_RepScale,G459)</x:f>
        <x:v>213.649195429242</x:v>
      </x:c>
      <x:c r="AV459" s="32" t="n">
        <x:f>AM459*60/tun_SeasonSeconds</x:f>
        <x:v>120741.9862054158</x:v>
      </x:c>
    </x:row>
    <x:row r="460">
      <x:c r="A460" s="8" t="n">
        <x:f>A459+1</x:f>
        <x:v>457</x:v>
      </x:c>
      <x:c r="B460" s="9" t="n">
        <x:f>A460*tun_SeasonSeconds/60</x:f>
        <x:v>114.25</x:v>
      </x:c>
      <x:c r="C460" s="9" t="n">
        <x:f>A460/4</x:f>
        <x:v>114.25</x:v>
      </x:c>
      <x:c r="D460" s="8" t="n">
        <x:f>IF(MOD(A460,4)=0,1,0)</x:f>
        <x:v>0</x:v>
      </x:c>
      <x:c r="E460" s="8" t="n">
        <x:f>IF(AND(F459&lt;=9,AS459&gt;=AR459),1,0)</x:f>
        <x:v>0</x:v>
      </x:c>
      <x:c r="F460" s="8" t="n">
        <x:f>MIN(10,F459+E460)</x:f>
        <x:v>7</x:v>
      </x:c>
      <x:c r="G460" s="8" t="n">
        <x:f>MIN(F460,9)+1</x:f>
        <x:v>8</x:v>
      </x:c>
      <x:c r="H460" s="8" t="n">
        <x:f>IF(F460&lt;=9,1,0)</x:f>
        <x:v>1</x:v>
      </x:c>
      <x:c r="I460" s="9" t="n">
        <x:f>MIN(10,F459+IF(AR459&gt;0,MIN(1,AS459/AR459),1))</x:f>
        <x:v>7.497665821324227</x:v>
      </x:c>
      <x:c r="J460" s="32" t="n">
        <x:f>INDEX(tun_FoodCap,G460)*Arch_FoodCap*EXP(tun_CapsByProject*SUMPRODUCT((Cap_Point&lt;=I460)*(Cap_Kind="Food")*Cap_Ln))</x:f>
        <x:v>2474.3390629688556</x:v>
      </x:c>
      <x:c r="K460" s="32" t="n">
        <x:f>J460*MIN(1,tun_LeanBase*EXP(tun_CapsByProject*SUMPRODUCT((Cap_Point&lt;=I460)*(Cap_Kind="Lean")*Cap_Ln)))</x:f>
        <x:v>2474.3390629688556</x:v>
      </x:c>
      <x:c r="L460" s="10" t="n">
        <x:f>INDEX(tun_HousingCap,G460)*EXP(tun_CapsByProject*SUMPRODUCT((Cap_Point&lt;=I460)*(Cap_Kind="Housing")*Cap_Ln))</x:f>
        <x:v>3877.6139646448164</x:v>
      </x:c>
      <x:c r="M460" s="10" t="n">
        <x:f>INDEX(tun_GroupCap,G460)*tun_CohesionFactor*EXP(tun_CapsByProject*SUMPRODUCT((Cap_Point&lt;=I460)*(Cap_Kind="Group")*Cap_Ln))</x:f>
        <x:v>1000000.000000001</x:v>
      </x:c>
      <x:c r="N460" s="32" t="n">
        <x:f>MIN(J460,L460,M460)</x:f>
        <x:v>2474.3390629688556</x:v>
      </x:c>
      <x:c r="O460" s="10" t="n">
        <x:f>AE459*N460</x:f>
        <x:v>37115.08594453283</x:v>
      </x:c>
      <x:c r="P460" s="9" t="n">
        <x:f>MIN(1,(AB459/(AE459*IF(tun_GroupInCrowding=1,N460,MIN(J460,L460))))^tun_CrowdingExp)</x:f>
        <x:v>0.03638352278204955</x:v>
      </x:c>
      <x:c r="Q460" s="9" t="n">
        <x:f>IF(D460=1,INDEX(tun_WinterMult,G460),1)</x:f>
        <x:v>1</x:v>
      </x:c>
      <x:c r="R460" s="9" t="n">
        <x:f>H460*Z459*tun_WomenShare*tun_BaseFertility*INDEX(tun_FertMult,G460)*Arch_Fertility*(1-P460)</x:f>
        <x:v>499.5405458815248</x:v>
      </x:c>
      <x:c r="S460" s="9" t="n">
        <x:f>H460*Y459*INDEX(tun_MortChild,G460)/4*Q460</x:f>
        <x:v>45.906994378400746</x:v>
      </x:c>
      <x:c r="T460" s="9" t="n">
        <x:f>H460*Z459*INDEX(tun_MortAdult,G460)*Arch_AdultMort/4*Q460</x:f>
        <x:v>15.552054920970562</x:v>
      </x:c>
      <x:c r="U460" s="9" t="n">
        <x:f>H460*AA459*INDEX(tun_MortElder,G460)/4*Q460</x:f>
        <x:v>27.81950603858384</x:v>
      </x:c>
      <x:c r="V460" s="9" t="n">
        <x:f>H460*MAX(0,AB459-O460)*tun_OvercapLoss</x:f>
        <x:v>0</x:v>
      </x:c>
      <x:c r="W460" s="9" t="n">
        <x:f>H460*Y459/(tun_ChildYears*4)</x:f>
        <x:v>192.8865310016838</x:v>
      </x:c>
      <x:c r="X460" s="9" t="n">
        <x:f>H460*Z459/(tun_AdultYears*4)</x:f>
        <x:v>64.31784499987826</x:v>
      </x:c>
      <x:c r="Y460" s="32" t="n">
        <x:f>Y459+R460-S460-W460-Y459*V460/AB459</x:f>
        <x:v>11062.392756595731</x:v>
      </x:c>
      <x:c r="Z460" s="32" t="n">
        <x:f>Z459+W460-X460-T460-Z459*V460/AB459</x:f>
        <x:v>8088.429411065738</x:v>
      </x:c>
      <x:c r="AA460" s="32" t="n">
        <x:f>AA459+X460-U460-AA459*V460/AB459</x:f>
        <x:v>2624.359365806303</x:v>
      </x:c>
      <x:c r="AB460" s="10" t="n">
        <x:f>Y460+Z460+AA460</x:f>
        <x:v>21775.181533467774</x:v>
      </x:c>
      <x:c r="AC460" s="8" t="n">
        <x:f>IF(AND(tun_WinterTrigger=1,D460=1,AB459/AE459&gt;=K460),1,0)</x:f>
        <x:v>0</x:v>
      </x:c>
      <x:c r="AD460" s="8" t="n">
        <x:f>H460*IF(AND(OR(AB459/AE459&gt;=tun_FissionTrigger*N460,AC460=1),AB459/AE459*tun_DaughterShare&gt;=tun_MinDaughter),MAX(1,ROUND(AE459*tun_FissionRate,0)),0)</x:f>
        <x:v>0</x:v>
      </x:c>
      <x:c r="AE460" s="8" t="n">
        <x:f>IF(H460=1,MAX(1,MIN(INDEX(tun_Smax,G460),AE459+AD460)),AE459)</x:f>
        <x:v>15</x:v>
      </x:c>
      <x:c r="AF460" s="8" t="n">
        <x:f>MAX(0,AE460-AE459)</x:f>
        <x:v>0</x:v>
      </x:c>
      <x:c r="AG460" s="9" t="str">
        <x:f>IF(AF460&gt;0,B460,"")</x:f>
      </x:c>
      <x:c r="AH460" s="9" t="n">
        <x:f>IF(F460&gt;=1,1,(1+tun_LowTiesShare*(AE460-1))/AE460)</x:f>
        <x:v>1</x:v>
      </x:c>
      <x:c r="AI460" s="32" t="n">
        <x:f>(Z460+tun_ElderCommons*INDEX(LM_Elder,G460)*AA460)*AH460</x:f>
        <x:v>17929.777032839374</x:v>
      </x:c>
      <x:c r="AJ460" s="32" t="n">
        <x:f>H460*tun_CommonsCoef*AI460^tun_CommonsExp*INDEX(LM_Commons,G460)</x:f>
        <x:v>38662.20266913016</x:v>
      </x:c>
      <x:c r="AK460" s="32" t="n">
        <x:f>H460*tun_RoleScale*Arch_Roles*(AE460*(INDEX(tun_ElderRolePerSett,G460)*tun_OutElder*INDEX(LM_Elder,G460)+INDEX(tun_ShamanPerSett,G460)*tun_OutShaman)+Z460*(INDEX(tun_PriestShare,G460)*tun_OutPriest+INDEX(tun_ScribeShare,G460)*tun_OutScribe*INDEX(LM_Scribe,G460)+INDEX(tun_ScholarShare,G460)*tun_OutScholar*INDEX(LM_Scholar,G460)+INDEX(tun_ResearcherShare,G460)*tun_OutResearcher*INDEX(LM_Researcher,G460)))</x:f>
        <x:v>12038.102716171186</x:v>
      </x:c>
      <x:c r="AL460" s="32" t="n">
        <x:f>H460*tun_RoleScale*Arch_Roles*AE460*INDEX(tun_MonasteryPerSett,G460)*tun_OutMonastery*INDEX(LM_Monastery,G460)</x:f>
        <x:v>79.2</x:v>
      </x:c>
      <x:c r="AM460" s="32" t="n">
        <x:f>(AJ460+AK460+AL460)/4*INDEX(LM_All,G460)*INDEX(tun_Boon,G460)*Arch_Insight</x:f>
        <x:v>30559.235625328172</x:v>
      </x:c>
      <x:c r="AN460" s="32" t="n">
        <x:f>H460*(tun_KHPerAdult*Z460+tun_KHOfCommons*AJ460/4*INDEX(LM_All,G460))*tun_KHUsable*Arch_KH</x:f>
        <x:v>4795.5634383932875</x:v>
      </x:c>
      <x:c r="AO460" s="32" t="n">
        <x:f>MIN(AP459+AN460,AM460*tun_KHMaxRatio)</x:f>
        <x:v>4795.5634383932875</x:v>
      </x:c>
      <x:c r="AP460" s="32" t="n">
        <x:f>AP459+AN460-AO460</x:f>
        <x:v>0</x:v>
      </x:c>
      <x:c r="AQ460" s="32" t="n">
        <x:f>AM460+AO460</x:f>
        <x:v>35354.79906372146</x:v>
      </x:c>
      <x:c r="AR460" s="10" t="n">
        <x:f>IF(H460=1,INDEX(tun_Req,G460),0)</x:f>
        <x:v>3142139.1800715</x:v>
      </x:c>
      <x:c r="AS460" s="32" t="n">
        <x:f>IF(H460=1,IF(E460=1,AS459-AR459,AS459)+AQ460,0)</x:f>
        <x:v>1599090.0748290385</x:v>
      </x:c>
      <x:c r="AT460" s="11" t="n">
        <x:f>IF(AR460&gt;0,MIN(1,AS460/AR460),1)</x:f>
        <x:v>0.5089176459690277</x:v>
      </x:c>
      <x:c r="AU460" s="10" t="n">
        <x:f>AB460/INDEX(tun_RepScale,G460)</x:f>
        <x:v>217.75181533467773</x:v>
      </x:c>
      <x:c r="AV460" s="32" t="n">
        <x:f>AM460*60/tun_SeasonSeconds</x:f>
        <x:v>122236.94250131269</x:v>
      </x:c>
    </x:row>
    <x:row r="461">
      <x:c r="A461" s="8" t="n">
        <x:f>A460+1</x:f>
        <x:v>458</x:v>
      </x:c>
      <x:c r="B461" s="9" t="n">
        <x:f>A461*tun_SeasonSeconds/60</x:f>
        <x:v>114.5</x:v>
      </x:c>
      <x:c r="C461" s="9" t="n">
        <x:f>A461/4</x:f>
        <x:v>114.5</x:v>
      </x:c>
      <x:c r="D461" s="8" t="n">
        <x:f>IF(MOD(A461,4)=0,1,0)</x:f>
        <x:v>0</x:v>
      </x:c>
      <x:c r="E461" s="8" t="n">
        <x:f>IF(AND(F460&lt;=9,AS460&gt;=AR460),1,0)</x:f>
        <x:v>0</x:v>
      </x:c>
      <x:c r="F461" s="8" t="n">
        <x:f>MIN(10,F460+E461)</x:f>
        <x:v>7</x:v>
      </x:c>
      <x:c r="G461" s="8" t="n">
        <x:f>MIN(F461,9)+1</x:f>
        <x:v>8</x:v>
      </x:c>
      <x:c r="H461" s="8" t="n">
        <x:f>IF(F461&lt;=9,1,0)</x:f>
        <x:v>1</x:v>
      </x:c>
      <x:c r="I461" s="9" t="n">
        <x:f>MIN(10,F460+IF(AR460&gt;0,MIN(1,AS460/AR460),1))</x:f>
        <x:v>7.508917645969028</x:v>
      </x:c>
      <x:c r="J461" s="32" t="n">
        <x:f>INDEX(tun_FoodCap,G461)*Arch_FoodCap*EXP(tun_CapsByProject*SUMPRODUCT((Cap_Point&lt;=I461)*(Cap_Kind="Food")*Cap_Ln))</x:f>
        <x:v>3349.4572843853084</x:v>
      </x:c>
      <x:c r="K461" s="32" t="n">
        <x:f>J461*MIN(1,tun_LeanBase*EXP(tun_CapsByProject*SUMPRODUCT((Cap_Point&lt;=I461)*(Cap_Kind="Lean")*Cap_Ln)))</x:f>
        <x:v>3349.4572843853084</x:v>
      </x:c>
      <x:c r="L461" s="10" t="n">
        <x:f>INDEX(tun_HousingCap,G461)*EXP(tun_CapsByProject*SUMPRODUCT((Cap_Point&lt;=I461)*(Cap_Kind="Housing")*Cap_Ln))</x:f>
        <x:v>5363.367771706518</x:v>
      </x:c>
      <x:c r="M461" s="10" t="n">
        <x:f>INDEX(tun_GroupCap,G461)*tun_CohesionFactor*EXP(tun_CapsByProject*SUMPRODUCT((Cap_Point&lt;=I461)*(Cap_Kind="Group")*Cap_Ln))</x:f>
        <x:v>1000000.000000001</x:v>
      </x:c>
      <x:c r="N461" s="32" t="n">
        <x:f>MIN(J461,L461,M461)</x:f>
        <x:v>3349.4572843853084</x:v>
      </x:c>
      <x:c r="O461" s="10" t="n">
        <x:f>AE460*N461</x:f>
        <x:v>50241.859265779625</x:v>
      </x:c>
      <x:c r="P461" s="9" t="n">
        <x:f>MIN(1,(AB460/(AE460*IF(tun_GroupInCrowding=1,N461,MIN(J461,L461))))^tun_CrowdingExp)</x:f>
        <x:v>0.006627908278527717</x:v>
      </x:c>
      <x:c r="Q461" s="9" t="n">
        <x:f>IF(D461=1,INDEX(tun_WinterMult,G461),1)</x:f>
        <x:v>1</x:v>
      </x:c>
      <x:c r="R461" s="9" t="n">
        <x:f>H461*Z460*tun_WomenShare*tun_BaseFertility*INDEX(tun_FertMult,G461)*Arch_Fertility*(1-P461)</x:f>
        <x:v>522.2633027827702</x:v>
      </x:c>
      <x:c r="S461" s="9" t="n">
        <x:f>H461*Y460*INDEX(tun_MortChild,G461)/4*Q461</x:f>
        <x:v>47.01516921553186</x:v>
      </x:c>
      <x:c r="T461" s="9" t="n">
        <x:f>H461*Z460*INDEX(tun_MortAdult,G461)*Arch_AdultMort/4*Q461</x:f>
        <x:v>15.772437351578189</x:v>
      </x:c>
      <x:c r="U461" s="9" t="n">
        <x:f>H461*AA460*INDEX(tun_MortElder,G461)/4*Q461</x:f>
        <x:v>28.21186318241775</x:v>
      </x:c>
      <x:c r="V461" s="9" t="n">
        <x:f>H461*MAX(0,AB460-O461)*tun_OvercapLoss</x:f>
        <x:v>0</x:v>
      </x:c>
      <x:c r="W461" s="9" t="n">
        <x:f>H461*Y460/(tun_ChildYears*4)</x:f>
        <x:v>197.54272779635235</x:v>
      </x:c>
      <x:c r="X461" s="9" t="n">
        <x:f>H461*Z460/(tun_AdultYears*4)</x:f>
        <x:v>65.22926944407854</x:v>
      </x:c>
      <x:c r="Y461" s="32" t="n">
        <x:f>Y460+R461-S461-W461-Y460*V461/AB460</x:f>
        <x:v>11340.098162366618</x:v>
      </x:c>
      <x:c r="Z461" s="32" t="n">
        <x:f>Z460+W461-X461-T461-Z460*V461/AB460</x:f>
        <x:v>8204.970432066435</x:v>
      </x:c>
      <x:c r="AA461" s="32" t="n">
        <x:f>AA460+X461-U461-AA460*V461/AB460</x:f>
        <x:v>2661.3767720679634</x:v>
      </x:c>
      <x:c r="AB461" s="10" t="n">
        <x:f>Y461+Z461+AA461</x:f>
        <x:v>22206.44536650102</x:v>
      </x:c>
      <x:c r="AC461" s="8" t="n">
        <x:f>IF(AND(tun_WinterTrigger=1,D461=1,AB460/AE460&gt;=K461),1,0)</x:f>
        <x:v>0</x:v>
      </x:c>
      <x:c r="AD461" s="8" t="n">
        <x:f>H461*IF(AND(OR(AB460/AE460&gt;=tun_FissionTrigger*N461,AC461=1),AB460/AE460*tun_DaughterShare&gt;=tun_MinDaughter),MAX(1,ROUND(AE460*tun_FissionRate,0)),0)</x:f>
        <x:v>0</x:v>
      </x:c>
      <x:c r="AE461" s="8" t="n">
        <x:f>IF(H461=1,MAX(1,MIN(INDEX(tun_Smax,G461),AE460+AD461)),AE460)</x:f>
        <x:v>15</x:v>
      </x:c>
      <x:c r="AF461" s="8" t="n">
        <x:f>MAX(0,AE461-AE460)</x:f>
        <x:v>0</x:v>
      </x:c>
      <x:c r="AG461" s="9" t="str">
        <x:f>IF(AF461&gt;0,B461,"")</x:f>
      </x:c>
      <x:c r="AH461" s="9" t="n">
        <x:f>IF(F461&gt;=1,1,(1+tun_LowTiesShare*(AE461-1))/AE461)</x:f>
        <x:v>1</x:v>
      </x:c>
      <x:c r="AI461" s="32" t="n">
        <x:f>(Z461+tun_ElderCommons*INDEX(LM_Elder,G461)*AA461)*AH461</x:f>
        <x:v>18185.1333273213</x:v>
      </x:c>
      <x:c r="AJ461" s="32" t="n">
        <x:f>H461*tun_CommonsCoef*AI461^tun_CommonsExp*INDEX(LM_Commons,G461)</x:f>
        <x:v>39129.739224974655</x:v>
      </x:c>
      <x:c r="AK461" s="32" t="n">
        <x:f>H461*tun_RoleScale*Arch_Roles*(AE461*(INDEX(tun_ElderRolePerSett,G461)*tun_OutElder*INDEX(LM_Elder,G461)+INDEX(tun_ShamanPerSett,G461)*tun_OutShaman)+Z461*(INDEX(tun_PriestShare,G461)*tun_OutPriest+INDEX(tun_ScribeShare,G461)*tun_OutScribe*INDEX(LM_Scribe,G461)+INDEX(tun_ScholarShare,G461)*tun_OutScholar*INDEX(LM_Scholar,G461)+INDEX(tun_ResearcherShare,G461)*tun_OutResearcher*INDEX(LM_Researcher,G461)))</x:f>
        <x:v>12205.71667421523</x:v>
      </x:c>
      <x:c r="AL461" s="32" t="n">
        <x:f>H461*tun_RoleScale*Arch_Roles*AE461*INDEX(tun_MonasteryPerSett,G461)*tun_OutMonastery*INDEX(LM_Monastery,G461)</x:f>
        <x:v>79.2</x:v>
      </x:c>
      <x:c r="AM461" s="32" t="n">
        <x:f>(AJ461+AK461+AL461)/4*INDEX(LM_All,G461)*INDEX(tun_Boon,G461)*Arch_Insight</x:f>
        <x:v>30941.470821677416</x:v>
      </x:c>
      <x:c r="AN461" s="32" t="n">
        <x:f>H461*(tun_KHPerAdult*Z461+tun_KHOfCommons*AJ461/4*INDEX(LM_All,G461))*tun_KHUsable*Arch_KH</x:f>
        <x:v>4853.555509680794</x:v>
      </x:c>
      <x:c r="AO461" s="32" t="n">
        <x:f>MIN(AP460+AN461,AM461*tun_KHMaxRatio)</x:f>
        <x:v>4853.555509680794</x:v>
      </x:c>
      <x:c r="AP461" s="32" t="n">
        <x:f>AP460+AN461-AO461</x:f>
        <x:v>0</x:v>
      </x:c>
      <x:c r="AQ461" s="32" t="n">
        <x:f>AM461+AO461</x:f>
        <x:v>35795.02633135821</x:v>
      </x:c>
      <x:c r="AR461" s="10" t="n">
        <x:f>IF(H461=1,INDEX(tun_Req,G461),0)</x:f>
        <x:v>3142139.1800715</x:v>
      </x:c>
      <x:c r="AS461" s="32" t="n">
        <x:f>IF(H461=1,IF(E461=1,AS460-AR460,AS460)+AQ461,0)</x:f>
        <x:v>1634885.1011603966</x:v>
      </x:c>
      <x:c r="AT461" s="11" t="n">
        <x:f>IF(AR461&gt;0,MIN(1,AS461/AR461),1)</x:f>
        <x:v>0.5203095749320673</x:v>
      </x:c>
      <x:c r="AU461" s="10" t="n">
        <x:f>AB461/INDEX(tun_RepScale,G461)</x:f>
        <x:v>222.06445366501018</x:v>
      </x:c>
      <x:c r="AV461" s="32" t="n">
        <x:f>AM461*60/tun_SeasonSeconds</x:f>
        <x:v>123765.88328670966</x:v>
      </x:c>
    </x:row>
    <x:row r="462">
      <x:c r="A462" s="8" t="n">
        <x:f>A461+1</x:f>
        <x:v>459</x:v>
      </x:c>
      <x:c r="B462" s="9" t="n">
        <x:f>A462*tun_SeasonSeconds/60</x:f>
        <x:v>114.75</x:v>
      </x:c>
      <x:c r="C462" s="9" t="n">
        <x:f>A462/4</x:f>
        <x:v>114.75</x:v>
      </x:c>
      <x:c r="D462" s="8" t="n">
        <x:f>IF(MOD(A462,4)=0,1,0)</x:f>
        <x:v>0</x:v>
      </x:c>
      <x:c r="E462" s="8" t="n">
        <x:f>IF(AND(F461&lt;=9,AS461&gt;=AR461),1,0)</x:f>
        <x:v>0</x:v>
      </x:c>
      <x:c r="F462" s="8" t="n">
        <x:f>MIN(10,F461+E462)</x:f>
        <x:v>7</x:v>
      </x:c>
      <x:c r="G462" s="8" t="n">
        <x:f>MIN(F462,9)+1</x:f>
        <x:v>8</x:v>
      </x:c>
      <x:c r="H462" s="8" t="n">
        <x:f>IF(F462&lt;=9,1,0)</x:f>
        <x:v>1</x:v>
      </x:c>
      <x:c r="I462" s="9" t="n">
        <x:f>MIN(10,F461+IF(AR461&gt;0,MIN(1,AS461/AR461),1))</x:f>
        <x:v>7.520309574932067</x:v>
      </x:c>
      <x:c r="J462" s="32" t="n">
        <x:f>INDEX(tun_FoodCap,G462)*Arch_FoodCap*EXP(tun_CapsByProject*SUMPRODUCT((Cap_Point&lt;=I462)*(Cap_Kind="Food")*Cap_Ln))</x:f>
        <x:v>3349.4572843853084</x:v>
      </x:c>
      <x:c r="K462" s="32" t="n">
        <x:f>J462*MIN(1,tun_LeanBase*EXP(tun_CapsByProject*SUMPRODUCT((Cap_Point&lt;=I462)*(Cap_Kind="Lean")*Cap_Ln)))</x:f>
        <x:v>3349.4572843853084</x:v>
      </x:c>
      <x:c r="L462" s="10" t="n">
        <x:f>INDEX(tun_HousingCap,G462)*EXP(tun_CapsByProject*SUMPRODUCT((Cap_Point&lt;=I462)*(Cap_Kind="Housing")*Cap_Ln))</x:f>
        <x:v>5363.367771706518</x:v>
      </x:c>
      <x:c r="M462" s="10" t="n">
        <x:f>INDEX(tun_GroupCap,G462)*tun_CohesionFactor*EXP(tun_CapsByProject*SUMPRODUCT((Cap_Point&lt;=I462)*(Cap_Kind="Group")*Cap_Ln))</x:f>
        <x:v>1000000.000000001</x:v>
      </x:c>
      <x:c r="N462" s="32" t="n">
        <x:f>MIN(J462,L462,M462)</x:f>
        <x:v>3349.4572843853084</x:v>
      </x:c>
      <x:c r="O462" s="10" t="n">
        <x:f>AE461*N462</x:f>
        <x:v>50241.859265779625</x:v>
      </x:c>
      <x:c r="P462" s="9" t="n">
        <x:f>MIN(1,(AB461/(AE461*IF(tun_GroupInCrowding=1,N462,MIN(J462,L462))))^tun_CrowdingExp)</x:f>
        <x:v>0.007455556366750692</x:v>
      </x:c>
      <x:c r="Q462" s="9" t="n">
        <x:f>IF(D462=1,INDEX(tun_WinterMult,G462),1)</x:f>
        <x:v>1</x:v>
      </x:c>
      <x:c r="R462" s="9" t="n">
        <x:f>H462*Z461*tun_WomenShare*tun_BaseFertility*INDEX(tun_FertMult,G462)*Arch_Fertility*(1-P462)</x:f>
        <x:v>529.3468578139716</x:v>
      </x:c>
      <x:c r="S462" s="9" t="n">
        <x:f>H462*Y461*INDEX(tun_MortChild,G462)/4*Q462</x:f>
        <x:v>48.19541719005813</x:v>
      </x:c>
      <x:c r="T462" s="9" t="n">
        <x:f>H462*Z461*INDEX(tun_MortAdult,G462)*Arch_AdultMort/4*Q462</x:f>
        <x:v>15.999692342529547</x:v>
      </x:c>
      <x:c r="U462" s="9" t="n">
        <x:f>H462*AA461*INDEX(tun_MortElder,G462)/4*Q462</x:f>
        <x:v>28.609800299730605</x:v>
      </x:c>
      <x:c r="V462" s="9" t="n">
        <x:f>H462*MAX(0,AB461-O462)*tun_OvercapLoss</x:f>
        <x:v>0</x:v>
      </x:c>
      <x:c r="W462" s="9" t="n">
        <x:f>H462*Y461/(tun_ChildYears*4)</x:f>
        <x:v>202.5017528994039</x:v>
      </x:c>
      <x:c r="X462" s="9" t="n">
        <x:f>H462*Z461/(tun_AdultYears*4)</x:f>
        <x:v>66.16911638763254</x:v>
      </x:c>
      <x:c r="Y462" s="32" t="n">
        <x:f>Y461+R462-S462-W462-Y461*V462/AB461</x:f>
        <x:v>11618.747850091127</x:v>
      </x:c>
      <x:c r="Z462" s="32" t="n">
        <x:f>Z461+W462-X462-T462-Z461*V462/AB461</x:f>
        <x:v>8325.303376235675</x:v>
      </x:c>
      <x:c r="AA462" s="32" t="n">
        <x:f>AA461+X462-U462-AA461*V462/AB461</x:f>
        <x:v>2698.9360881558655</x:v>
      </x:c>
      <x:c r="AB462" s="10" t="n">
        <x:f>Y462+Z462+AA462</x:f>
        <x:v>22642.987314482667</x:v>
      </x:c>
      <x:c r="AC462" s="8" t="n">
        <x:f>IF(AND(tun_WinterTrigger=1,D462=1,AB461/AE461&gt;=K462),1,0)</x:f>
        <x:v>0</x:v>
      </x:c>
      <x:c r="AD462" s="8" t="n">
        <x:f>H462*IF(AND(OR(AB461/AE461&gt;=tun_FissionTrigger*N462,AC462=1),AB461/AE461*tun_DaughterShare&gt;=tun_MinDaughter),MAX(1,ROUND(AE461*tun_FissionRate,0)),0)</x:f>
        <x:v>0</x:v>
      </x:c>
      <x:c r="AE462" s="8" t="n">
        <x:f>IF(H462=1,MAX(1,MIN(INDEX(tun_Smax,G462),AE461+AD462)),AE461)</x:f>
        <x:v>15</x:v>
      </x:c>
      <x:c r="AF462" s="8" t="n">
        <x:f>MAX(0,AE462-AE461)</x:f>
        <x:v>0</x:v>
      </x:c>
      <x:c r="AG462" s="9" t="str">
        <x:f>IF(AF462&gt;0,B462,"")</x:f>
      </x:c>
      <x:c r="AH462" s="9" t="n">
        <x:f>IF(F462&gt;=1,1,(1+tun_LowTiesShare*(AE462-1))/AE462)</x:f>
        <x:v>1</x:v>
      </x:c>
      <x:c r="AI462" s="32" t="n">
        <x:f>(Z462+tun_ElderCommons*INDEX(LM_Elder,G462)*AA462)*AH462</x:f>
        <x:v>18446.31370682017</x:v>
      </x:c>
      <x:c r="AJ462" s="32" t="n">
        <x:f>H462*tun_CommonsCoef*AI462^tun_CommonsExp*INDEX(LM_Commons,G462)</x:f>
        <x:v>39606.92164428934</x:v>
      </x:c>
      <x:c r="AK462" s="32" t="n">
        <x:f>H462*tun_RoleScale*Arch_Roles*(AE462*(INDEX(tun_ElderRolePerSett,G462)*tun_OutElder*INDEX(LM_Elder,G462)+INDEX(tun_ShamanPerSett,G462)*tun_OutShaman)+Z462*(INDEX(tun_PriestShare,G462)*tun_OutPriest+INDEX(tun_ScribeShare,G462)*tun_OutScribe*INDEX(LM_Scribe,G462)+INDEX(tun_ScholarShare,G462)*tun_OutScholar*INDEX(LM_Scholar,G462)+INDEX(tun_ResearcherShare,G462)*tun_OutResearcher*INDEX(LM_Researcher,G462)))</x:f>
        <x:v>12378.784327837198</x:v>
      </x:c>
      <x:c r="AL462" s="32" t="n">
        <x:f>H462*tun_RoleScale*Arch_Roles*AE462*INDEX(tun_MonasteryPerSett,G462)*tun_OutMonastery*INDEX(LM_Monastery,G462)</x:f>
        <x:v>79.2</x:v>
      </x:c>
      <x:c r="AM462" s="32" t="n">
        <x:f>(AJ462+AK462+AL462)/4*INDEX(LM_All,G462)*INDEX(tun_Boon,G462)*Arch_Insight</x:f>
        <x:v>31332.79297110525</x:v>
      </x:c>
      <x:c r="AN462" s="32" t="n">
        <x:f>H462*(tun_KHPerAdult*Z462+tun_KHOfCommons*AJ462/4*INDEX(LM_All,G462))*tun_KHUsable*Arch_KH</x:f>
        <x:v>4912.744029876945</x:v>
      </x:c>
      <x:c r="AO462" s="32" t="n">
        <x:f>MIN(AP461+AN462,AM462*tun_KHMaxRatio)</x:f>
        <x:v>4912.744029876945</x:v>
      </x:c>
      <x:c r="AP462" s="32" t="n">
        <x:f>AP461+AN462-AO462</x:f>
        <x:v>0</x:v>
      </x:c>
      <x:c r="AQ462" s="32" t="n">
        <x:f>AM462+AO462</x:f>
        <x:v>36245.53700098219</x:v>
      </x:c>
      <x:c r="AR462" s="10" t="n">
        <x:f>IF(H462=1,INDEX(tun_Req,G462),0)</x:f>
        <x:v>3142139.1800715</x:v>
      </x:c>
      <x:c r="AS462" s="32" t="n">
        <x:f>IF(H462=1,IF(E462=1,AS461-AR461,AS461)+AQ462,0)</x:f>
        <x:v>1671130.6381613787</x:v>
      </x:c>
      <x:c r="AT462" s="11" t="n">
        <x:f>IF(AR462&gt;0,MIN(1,AS462/AR462),1)</x:f>
        <x:v>0.5318448809525209</x:v>
      </x:c>
      <x:c r="AU462" s="10" t="n">
        <x:f>AB462/INDEX(tun_RepScale,G462)</x:f>
        <x:v>226.42987314482667</x:v>
      </x:c>
      <x:c r="AV462" s="32" t="n">
        <x:f>AM462*60/tun_SeasonSeconds</x:f>
        <x:v>125331.171884421</x:v>
      </x:c>
    </x:row>
    <x:row r="463">
      <x:c r="A463" s="8" t="n">
        <x:f>A462+1</x:f>
        <x:v>460</x:v>
      </x:c>
      <x:c r="B463" s="9" t="n">
        <x:f>A463*tun_SeasonSeconds/60</x:f>
        <x:v>115</x:v>
      </x:c>
      <x:c r="C463" s="9" t="n">
        <x:f>A463/4</x:f>
        <x:v>115</x:v>
      </x:c>
      <x:c r="D463" s="8" t="n">
        <x:f>IF(MOD(A463,4)=0,1,0)</x:f>
        <x:v>1</x:v>
      </x:c>
      <x:c r="E463" s="8" t="n">
        <x:f>IF(AND(F462&lt;=9,AS462&gt;=AR462),1,0)</x:f>
        <x:v>0</x:v>
      </x:c>
      <x:c r="F463" s="8" t="n">
        <x:f>MIN(10,F462+E463)</x:f>
        <x:v>7</x:v>
      </x:c>
      <x:c r="G463" s="8" t="n">
        <x:f>MIN(F463,9)+1</x:f>
        <x:v>8</x:v>
      </x:c>
      <x:c r="H463" s="8" t="n">
        <x:f>IF(F463&lt;=9,1,0)</x:f>
        <x:v>1</x:v>
      </x:c>
      <x:c r="I463" s="9" t="n">
        <x:f>MIN(10,F462+IF(AR462&gt;0,MIN(1,AS462/AR462),1))</x:f>
        <x:v>7.531844880952521</x:v>
      </x:c>
      <x:c r="J463" s="32" t="n">
        <x:f>INDEX(tun_FoodCap,G463)*Arch_FoodCap*EXP(tun_CapsByProject*SUMPRODUCT((Cap_Point&lt;=I463)*(Cap_Kind="Food")*Cap_Ln))</x:f>
        <x:v>3349.4572843853084</x:v>
      </x:c>
      <x:c r="K463" s="32" t="n">
        <x:f>J463*MIN(1,tun_LeanBase*EXP(tun_CapsByProject*SUMPRODUCT((Cap_Point&lt;=I463)*(Cap_Kind="Lean")*Cap_Ln)))</x:f>
        <x:v>3349.4572843853084</x:v>
      </x:c>
      <x:c r="L463" s="10" t="n">
        <x:f>INDEX(tun_HousingCap,G463)*EXP(tun_CapsByProject*SUMPRODUCT((Cap_Point&lt;=I463)*(Cap_Kind="Housing")*Cap_Ln))</x:f>
        <x:v>5363.367771706518</x:v>
      </x:c>
      <x:c r="M463" s="10" t="n">
        <x:f>INDEX(tun_GroupCap,G463)*tun_CohesionFactor*EXP(tun_CapsByProject*SUMPRODUCT((Cap_Point&lt;=I463)*(Cap_Kind="Group")*Cap_Ln))</x:f>
        <x:v>1000000.000000001</x:v>
      </x:c>
      <x:c r="N463" s="32" t="n">
        <x:f>MIN(J463,L463,M463)</x:f>
        <x:v>3349.4572843853084</x:v>
      </x:c>
      <x:c r="O463" s="10" t="n">
        <x:f>AE462*N463</x:f>
        <x:v>50241.859265779625</x:v>
      </x:c>
      <x:c r="P463" s="9" t="n">
        <x:f>MIN(1,(AB462/(AE462*IF(tun_GroupInCrowding=1,N463,MIN(J463,L463))))^tun_CrowdingExp)</x:f>
        <x:v>0.008379307408761038</x:v>
      </x:c>
      <x:c r="Q463" s="9" t="n">
        <x:f>IF(D463=1,INDEX(tun_WinterMult,G463),1)</x:f>
        <x:v>1.08</x:v>
      </x:c>
      <x:c r="R463" s="9" t="n">
        <x:f>H463*Z462*tun_WomenShare*tun_BaseFertility*INDEX(tun_FertMult,G463)*Arch_Fertility*(1-P463)</x:f>
        <x:v>536.610301498375</x:v>
      </x:c>
      <x:c r="S463" s="9" t="n">
        <x:f>H463*Y462*INDEX(tun_MortChild,G463)/4*Q463</x:f>
        <x:v>53.330052631918285</x:v>
      </x:c>
      <x:c r="T463" s="9" t="n">
        <x:f>H463*Z462*INDEX(tun_MortAdult,G463)*Arch_AdultMort/4*Q463</x:f>
        <x:v>17.533088910352333</x:v>
      </x:c>
      <x:c r="U463" s="9" t="n">
        <x:f>H463*AA462*INDEX(tun_MortElder,G463)/4*Q463</x:f>
        <x:v>31.3346479834896</x:v>
      </x:c>
      <x:c r="V463" s="9" t="n">
        <x:f>H463*MAX(0,AB462-O463)*tun_OvercapLoss</x:f>
        <x:v>0</x:v>
      </x:c>
      <x:c r="W463" s="9" t="n">
        <x:f>H463*Y462/(tun_ChildYears*4)</x:f>
        <x:v>207.4776401801987</x:v>
      </x:c>
      <x:c r="X463" s="9" t="n">
        <x:f>H463*Z462/(tun_AdultYears*4)</x:f>
        <x:v>67.13954335673932</x:v>
      </x:c>
      <x:c r="Y463" s="32" t="n">
        <x:f>Y462+R463-S463-W463-Y462*V463/AB462</x:f>
        <x:v>11894.550458777385</x:v>
      </x:c>
      <x:c r="Z463" s="32" t="n">
        <x:f>Z462+W463-X463-T463-Z462*V463/AB462</x:f>
        <x:v>8448.108384148783</x:v>
      </x:c>
      <x:c r="AA463" s="32" t="n">
        <x:f>AA462+X463-U463-AA462*V463/AB462</x:f>
        <x:v>2734.7409835291155</x:v>
      </x:c>
      <x:c r="AB463" s="10" t="n">
        <x:f>Y463+Z463+AA463</x:f>
        <x:v>23077.399826455283</x:v>
      </x:c>
      <x:c r="AC463" s="8" t="n">
        <x:f>IF(AND(tun_WinterTrigger=1,D463=1,AB462/AE462&gt;=K463),1,0)</x:f>
        <x:v>0</x:v>
      </x:c>
      <x:c r="AD463" s="8" t="n">
        <x:f>H463*IF(AND(OR(AB462/AE462&gt;=tun_FissionTrigger*N463,AC463=1),AB462/AE462*tun_DaughterShare&gt;=tun_MinDaughter),MAX(1,ROUND(AE462*tun_FissionRate,0)),0)</x:f>
        <x:v>0</x:v>
      </x:c>
      <x:c r="AE463" s="8" t="n">
        <x:f>IF(H463=1,MAX(1,MIN(INDEX(tun_Smax,G463),AE462+AD463)),AE462)</x:f>
        <x:v>15</x:v>
      </x:c>
      <x:c r="AF463" s="8" t="n">
        <x:f>MAX(0,AE463-AE462)</x:f>
        <x:v>0</x:v>
      </x:c>
      <x:c r="AG463" s="9" t="str">
        <x:f>IF(AF463&gt;0,B463,"")</x:f>
      </x:c>
      <x:c r="AH463" s="9" t="n">
        <x:f>IF(F463&gt;=1,1,(1+tun_LowTiesShare*(AE463-1))/AE463)</x:f>
        <x:v>1</x:v>
      </x:c>
      <x:c r="AI463" s="32" t="n">
        <x:f>(Z463+tun_ElderCommons*INDEX(LM_Elder,G463)*AA463)*AH463</x:f>
        <x:v>18703.387072382968</x:v>
      </x:c>
      <x:c r="AJ463" s="32" t="n">
        <x:f>H463*tun_CommonsCoef*AI463^tun_CommonsExp*INDEX(LM_Commons,G463)</x:f>
        <x:v>40075.61170721001</x:v>
      </x:c>
      <x:c r="AK463" s="32" t="n">
        <x:f>H463*tun_RoleScale*Arch_Roles*(AE463*(INDEX(tun_ElderRolePerSett,G463)*tun_OutElder*INDEX(LM_Elder,G463)+INDEX(tun_ShamanPerSett,G463)*tun_OutShaman)+Z463*(INDEX(tun_PriestShare,G463)*tun_OutPriest+INDEX(tun_ScribeShare,G463)*tun_OutScribe*INDEX(LM_Scribe,G463)+INDEX(tun_ScholarShare,G463)*tun_OutScholar*INDEX(LM_Scholar,G463)+INDEX(tun_ResearcherShare,G463)*tun_OutResearcher*INDEX(LM_Researcher,G463)))</x:f>
        <x:v>12555.407402418146</x:v>
      </x:c>
      <x:c r="AL463" s="32" t="n">
        <x:f>H463*tun_RoleScale*Arch_Roles*AE463*INDEX(tun_MonasteryPerSett,G463)*tun_OutMonastery*INDEX(LM_Monastery,G463)</x:f>
        <x:v>79.2</x:v>
      </x:c>
      <x:c r="AM463" s="32" t="n">
        <x:f>(AJ463+AK463+AL463)/4*INDEX(LM_All,G463)*INDEX(tun_Boon,G463)*Arch_Insight</x:f>
        <x:v>31721.14406021885</x:v>
      </x:c>
      <x:c r="AN463" s="32" t="n">
        <x:f>H463*(tun_KHPerAdult*Z463+tun_KHOfCommons*AJ463/4*INDEX(LM_All,G463))*tun_KHUsable*Arch_KH</x:f>
        <x:v>4970.879179312579</x:v>
      </x:c>
      <x:c r="AO463" s="32" t="n">
        <x:f>MIN(AP462+AN463,AM463*tun_KHMaxRatio)</x:f>
        <x:v>4970.879179312579</x:v>
      </x:c>
      <x:c r="AP463" s="32" t="n">
        <x:f>AP462+AN463-AO463</x:f>
        <x:v>0</x:v>
      </x:c>
      <x:c r="AQ463" s="32" t="n">
        <x:f>AM463+AO463</x:f>
        <x:v>36692.02323953143</x:v>
      </x:c>
      <x:c r="AR463" s="10" t="n">
        <x:f>IF(H463=1,INDEX(tun_Req,G463),0)</x:f>
        <x:v>3142139.1800715</x:v>
      </x:c>
      <x:c r="AS463" s="32" t="n">
        <x:f>IF(H463=1,IF(E463=1,AS462-AR462,AS462)+AQ463,0)</x:f>
        <x:v>1707822.66140091</x:v>
      </x:c>
      <x:c r="AT463" s="11" t="n">
        <x:f>IF(AR463&gt;0,MIN(1,AS463/AR463),1)</x:f>
        <x:v>0.5435222832370041</x:v>
      </x:c>
      <x:c r="AU463" s="10" t="n">
        <x:f>AB463/INDEX(tun_RepScale,G463)</x:f>
        <x:v>230.77399826455283</x:v>
      </x:c>
      <x:c r="AV463" s="32" t="n">
        <x:f>AM463*60/tun_SeasonSeconds</x:f>
        <x:v>126884.5762408754</x:v>
      </x:c>
    </x:row>
    <x:row r="464">
      <x:c r="A464" s="8" t="n">
        <x:f>A463+1</x:f>
        <x:v>461</x:v>
      </x:c>
      <x:c r="B464" s="9" t="n">
        <x:f>A464*tun_SeasonSeconds/60</x:f>
        <x:v>115.25</x:v>
      </x:c>
      <x:c r="C464" s="9" t="n">
        <x:f>A464/4</x:f>
        <x:v>115.25</x:v>
      </x:c>
      <x:c r="D464" s="8" t="n">
        <x:f>IF(MOD(A464,4)=0,1,0)</x:f>
        <x:v>0</x:v>
      </x:c>
      <x:c r="E464" s="8" t="n">
        <x:f>IF(AND(F463&lt;=9,AS463&gt;=AR463),1,0)</x:f>
        <x:v>0</x:v>
      </x:c>
      <x:c r="F464" s="8" t="n">
        <x:f>MIN(10,F463+E464)</x:f>
        <x:v>7</x:v>
      </x:c>
      <x:c r="G464" s="8" t="n">
        <x:f>MIN(F464,9)+1</x:f>
        <x:v>8</x:v>
      </x:c>
      <x:c r="H464" s="8" t="n">
        <x:f>IF(F464&lt;=9,1,0)</x:f>
        <x:v>1</x:v>
      </x:c>
      <x:c r="I464" s="9" t="n">
        <x:f>MIN(10,F463+IF(AR463&gt;0,MIN(1,AS463/AR463),1))</x:f>
        <x:v>7.543522283237004</x:v>
      </x:c>
      <x:c r="J464" s="32" t="n">
        <x:f>INDEX(tun_FoodCap,G464)*Arch_FoodCap*EXP(tun_CapsByProject*SUMPRODUCT((Cap_Point&lt;=I464)*(Cap_Kind="Food")*Cap_Ln))</x:f>
        <x:v>3349.4572843853084</x:v>
      </x:c>
      <x:c r="K464" s="32" t="n">
        <x:f>J464*MIN(1,tun_LeanBase*EXP(tun_CapsByProject*SUMPRODUCT((Cap_Point&lt;=I464)*(Cap_Kind="Lean")*Cap_Ln)))</x:f>
        <x:v>3349.4572843853084</x:v>
      </x:c>
      <x:c r="L464" s="10" t="n">
        <x:f>INDEX(tun_HousingCap,G464)*EXP(tun_CapsByProject*SUMPRODUCT((Cap_Point&lt;=I464)*(Cap_Kind="Housing")*Cap_Ln))</x:f>
        <x:v>5363.367771706518</x:v>
      </x:c>
      <x:c r="M464" s="10" t="n">
        <x:f>INDEX(tun_GroupCap,G464)*tun_CohesionFactor*EXP(tun_CapsByProject*SUMPRODUCT((Cap_Point&lt;=I464)*(Cap_Kind="Group")*Cap_Ln))</x:f>
        <x:v>1000000.000000001</x:v>
      </x:c>
      <x:c r="N464" s="32" t="n">
        <x:f>MIN(J464,L464,M464)</x:f>
        <x:v>3349.4572843853084</x:v>
      </x:c>
      <x:c r="O464" s="10" t="n">
        <x:f>AE463*N464</x:f>
        <x:v>50241.859265779625</x:v>
      </x:c>
      <x:c r="P464" s="9" t="n">
        <x:f>MIN(1,(AB463/(AE463*IF(tun_GroupInCrowding=1,N464,MIN(J464,L464))))^tun_CrowdingExp)</x:f>
        <x:v>0.009391328474771905</x:v>
      </x:c>
      <x:c r="Q464" s="9" t="n">
        <x:f>IF(D464=1,INDEX(tun_WinterMult,G464),1)</x:f>
        <x:v>1</x:v>
      </x:c>
      <x:c r="R464" s="9" t="n">
        <x:f>H464*Z463*tun_WomenShare*tun_BaseFertility*INDEX(tun_FertMult,G464)*Arch_Fertility*(1-P464)</x:f>
        <x:v>543.9700125159799</x:v>
      </x:c>
      <x:c r="S464" s="9" t="n">
        <x:f>H464*Y463*INDEX(tun_MortChild,G464)/4*Q464</x:f>
        <x:v>50.551839449803886</x:v>
      </x:c>
      <x:c r="T464" s="9" t="n">
        <x:f>H464*Z463*INDEX(tun_MortAdult,G464)*Arch_AdultMort/4*Q464</x:f>
        <x:v>16.473811349090127</x:v>
      </x:c>
      <x:c r="U464" s="9" t="n">
        <x:f>H464*AA463*INDEX(tun_MortElder,G464)/4*Q464</x:f>
        <x:v>29.39846557293799</x:v>
      </x:c>
      <x:c r="V464" s="9" t="n">
        <x:f>H464*MAX(0,AB463-O464)*tun_OvercapLoss</x:f>
        <x:v>0</x:v>
      </x:c>
      <x:c r="W464" s="9" t="n">
        <x:f>H464*Y463/(tun_ChildYears*4)</x:f>
        <x:v>212.40268676388186</x:v>
      </x:c>
      <x:c r="X464" s="9" t="n">
        <x:f>H464*Z463/(tun_AdultYears*4)</x:f>
        <x:v>68.12990632378052</x:v>
      </x:c>
      <x:c r="Y464" s="32" t="n">
        <x:f>Y463+R464-S464-W464-Y463*V464/AB463</x:f>
        <x:v>12175.56594507968</x:v>
      </x:c>
      <x:c r="Z464" s="32" t="n">
        <x:f>Z463+W464-X464-T464-Z463*V464/AB463</x:f>
        <x:v>8575.907353239796</x:v>
      </x:c>
      <x:c r="AA464" s="32" t="n">
        <x:f>AA463+X464-U464-AA463*V464/AB463</x:f>
        <x:v>2773.4724242799584</x:v>
      </x:c>
      <x:c r="AB464" s="10" t="n">
        <x:f>Y464+Z464+AA464</x:f>
        <x:v>23524.945722599434</x:v>
      </x:c>
      <x:c r="AC464" s="8" t="n">
        <x:f>IF(AND(tun_WinterTrigger=1,D464=1,AB463/AE463&gt;=K464),1,0)</x:f>
        <x:v>0</x:v>
      </x:c>
      <x:c r="AD464" s="8" t="n">
        <x:f>H464*IF(AND(OR(AB463/AE463&gt;=tun_FissionTrigger*N464,AC464=1),AB463/AE463*tun_DaughterShare&gt;=tun_MinDaughter),MAX(1,ROUND(AE463*tun_FissionRate,0)),0)</x:f>
        <x:v>0</x:v>
      </x:c>
      <x:c r="AE464" s="8" t="n">
        <x:f>IF(H464=1,MAX(1,MIN(INDEX(tun_Smax,G464),AE463+AD464)),AE463)</x:f>
        <x:v>15</x:v>
      </x:c>
      <x:c r="AF464" s="8" t="n">
        <x:f>MAX(0,AE464-AE463)</x:f>
        <x:v>0</x:v>
      </x:c>
      <x:c r="AG464" s="9" t="str">
        <x:f>IF(AF464&gt;0,B464,"")</x:f>
      </x:c>
      <x:c r="AH464" s="9" t="n">
        <x:f>IF(F464&gt;=1,1,(1+tun_LowTiesShare*(AE464-1))/AE464)</x:f>
        <x:v>1</x:v>
      </x:c>
      <x:c r="AI464" s="32" t="n">
        <x:f>(Z464+tun_ElderCommons*INDEX(LM_Elder,G464)*AA464)*AH464</x:f>
        <x:v>18976.42894428964</x:v>
      </x:c>
      <x:c r="AJ464" s="32" t="n">
        <x:f>H464*tun_CommonsCoef*AI464^tun_CommonsExp*INDEX(LM_Commons,G464)</x:f>
        <x:v>40572.35836629782</x:v>
      </x:c>
      <x:c r="AK464" s="32" t="n">
        <x:f>H464*tun_RoleScale*Arch_Roles*(AE464*(INDEX(tun_ElderRolePerSett,G464)*tun_OutElder*INDEX(LM_Elder,G464)+INDEX(tun_ShamanPerSett,G464)*tun_OutShaman)+Z464*(INDEX(tun_PriestShare,G464)*tun_OutPriest+INDEX(tun_ScribeShare,G464)*tun_OutScribe*INDEX(LM_Scribe,G464)+INDEX(tun_ScholarShare,G464)*tun_OutScholar*INDEX(LM_Scholar,G464)+INDEX(tun_ResearcherShare,G464)*tun_OutResearcher*INDEX(LM_Researcher,G464)))</x:f>
        <x:v>12739.212991723603</x:v>
      </x:c>
      <x:c r="AL464" s="32" t="n">
        <x:f>H464*tun_RoleScale*Arch_Roles*AE464*INDEX(tun_MonasteryPerSett,G464)*tun_OutMonastery*INDEX(LM_Monastery,G464)</x:f>
        <x:v>79.2</x:v>
      </x:c>
      <x:c r="AM464" s="32" t="n">
        <x:f>(AJ464+AK464+AL464)/4*INDEX(LM_All,G464)*INDEX(tun_Boon,G464)*Arch_Insight</x:f>
        <x:v>32130.702135985706</x:v>
      </x:c>
      <x:c r="AN464" s="32" t="n">
        <x:f>H464*(tun_KHPerAdult*Z464+tun_KHOfCommons*AJ464/4*INDEX(LM_All,G464))*tun_KHUsable*Arch_KH</x:f>
        <x:v>5032.494399139864</x:v>
      </x:c>
      <x:c r="AO464" s="32" t="n">
        <x:f>MIN(AP463+AN464,AM464*tun_KHMaxRatio)</x:f>
        <x:v>5032.494399139864</x:v>
      </x:c>
      <x:c r="AP464" s="32" t="n">
        <x:f>AP463+AN464-AO464</x:f>
        <x:v>0</x:v>
      </x:c>
      <x:c r="AQ464" s="32" t="n">
        <x:f>AM464+AO464</x:f>
        <x:v>37163.19653512557</x:v>
      </x:c>
      <x:c r="AR464" s="10" t="n">
        <x:f>IF(H464=1,INDEX(tun_Req,G464),0)</x:f>
        <x:v>3142139.1800715</x:v>
      </x:c>
      <x:c r="AS464" s="32" t="n">
        <x:f>IF(H464=1,IF(E464=1,AS463-AR463,AS463)+AQ464,0)</x:f>
        <x:v>1744985.8579360356</x:v>
      </x:c>
      <x:c r="AT464" s="11" t="n">
        <x:f>IF(AR464&gt;0,MIN(1,AS464/AR464),1)</x:f>
        <x:v>0.5553496385530344</x:v>
      </x:c>
      <x:c r="AU464" s="10" t="n">
        <x:f>AB464/INDEX(tun_RepScale,G464)</x:f>
        <x:v>235.24945722599435</x:v>
      </x:c>
      <x:c r="AV464" s="32" t="n">
        <x:f>AM464*60/tun_SeasonSeconds</x:f>
        <x:v>128522.80854394283</x:v>
      </x:c>
    </x:row>
    <x:row r="465">
      <x:c r="A465" s="8" t="n">
        <x:f>A464+1</x:f>
        <x:v>462</x:v>
      </x:c>
      <x:c r="B465" s="9" t="n">
        <x:f>A465*tun_SeasonSeconds/60</x:f>
        <x:v>115.5</x:v>
      </x:c>
      <x:c r="C465" s="9" t="n">
        <x:f>A465/4</x:f>
        <x:v>115.5</x:v>
      </x:c>
      <x:c r="D465" s="8" t="n">
        <x:f>IF(MOD(A465,4)=0,1,0)</x:f>
        <x:v>0</x:v>
      </x:c>
      <x:c r="E465" s="8" t="n">
        <x:f>IF(AND(F464&lt;=9,AS464&gt;=AR464),1,0)</x:f>
        <x:v>0</x:v>
      </x:c>
      <x:c r="F465" s="8" t="n">
        <x:f>MIN(10,F464+E465)</x:f>
        <x:v>7</x:v>
      </x:c>
      <x:c r="G465" s="8" t="n">
        <x:f>MIN(F465,9)+1</x:f>
        <x:v>8</x:v>
      </x:c>
      <x:c r="H465" s="8" t="n">
        <x:f>IF(F465&lt;=9,1,0)</x:f>
        <x:v>1</x:v>
      </x:c>
      <x:c r="I465" s="9" t="n">
        <x:f>MIN(10,F464+IF(AR464&gt;0,MIN(1,AS464/AR464),1))</x:f>
        <x:v>7.555349638553034</x:v>
      </x:c>
      <x:c r="J465" s="32" t="n">
        <x:f>INDEX(tun_FoodCap,G465)*Arch_FoodCap*EXP(tun_CapsByProject*SUMPRODUCT((Cap_Point&lt;=I465)*(Cap_Kind="Food")*Cap_Ln))</x:f>
        <x:v>3349.4572843853084</x:v>
      </x:c>
      <x:c r="K465" s="32" t="n">
        <x:f>J465*MIN(1,tun_LeanBase*EXP(tun_CapsByProject*SUMPRODUCT((Cap_Point&lt;=I465)*(Cap_Kind="Lean")*Cap_Ln)))</x:f>
        <x:v>3349.4572843853084</x:v>
      </x:c>
      <x:c r="L465" s="10" t="n">
        <x:f>INDEX(tun_HousingCap,G465)*EXP(tun_CapsByProject*SUMPRODUCT((Cap_Point&lt;=I465)*(Cap_Kind="Housing")*Cap_Ln))</x:f>
        <x:v>5363.367771706518</x:v>
      </x:c>
      <x:c r="M465" s="10" t="n">
        <x:f>INDEX(tun_GroupCap,G465)*tun_CohesionFactor*EXP(tun_CapsByProject*SUMPRODUCT((Cap_Point&lt;=I465)*(Cap_Kind="Group")*Cap_Ln))</x:f>
        <x:v>1000000.000000001</x:v>
      </x:c>
      <x:c r="N465" s="32" t="n">
        <x:f>MIN(J465,L465,M465)</x:f>
        <x:v>3349.4572843853084</x:v>
      </x:c>
      <x:c r="O465" s="10" t="n">
        <x:f>AE464*N465</x:f>
        <x:v>50241.859265779625</x:v>
      </x:c>
      <x:c r="P465" s="9" t="n">
        <x:f>MIN(1,(AB464/(AE464*IF(tun_GroupInCrowding=1,N465,MIN(J465,L465))))^tun_CrowdingExp)</x:f>
        <x:v>0.010538470023739177</x:v>
      </x:c>
      <x:c r="Q465" s="9" t="n">
        <x:f>IF(D465=1,INDEX(tun_WinterMult,G465),1)</x:f>
        <x:v>1</x:v>
      </x:c>
      <x:c r="R465" s="9" t="n">
        <x:f>H465*Z464*tun_WomenShare*tun_BaseFertility*INDEX(tun_FertMult,G465)*Arch_Fertility*(1-P465)</x:f>
        <x:v>551.5594766936354</x:v>
      </x:c>
      <x:c r="S465" s="9" t="n">
        <x:f>H465*Y464*INDEX(tun_MortChild,G465)/4*Q465</x:f>
        <x:v>51.74615526658864</x:v>
      </x:c>
      <x:c r="T465" s="9" t="n">
        <x:f>H465*Z464*INDEX(tun_MortAdult,G465)*Arch_AdultMort/4*Q465</x:f>
        <x:v>16.7230193388176</x:v>
      </x:c>
      <x:c r="U465" s="9" t="n">
        <x:f>H465*AA464*INDEX(tun_MortElder,G465)/4*Q465</x:f>
        <x:v>29.814828561009552</x:v>
      </x:c>
      <x:c r="V465" s="9" t="n">
        <x:f>H465*MAX(0,AB464-O465)*tun_OvercapLoss</x:f>
        <x:v>0</x:v>
      </x:c>
      <x:c r="W465" s="9" t="n">
        <x:f>H465*Y464/(tun_ChildYears*4)</x:f>
        <x:v>217.4208204478514</x:v>
      </x:c>
      <x:c r="X465" s="9" t="n">
        <x:f>H465*Z464/(tun_AdultYears*4)</x:f>
        <x:v>69.16054317128868</x:v>
      </x:c>
      <x:c r="Y465" s="32" t="n">
        <x:f>Y464+R465-S465-W465-Y464*V465/AB464</x:f>
        <x:v>12457.958446058876</x:v>
      </x:c>
      <x:c r="Z465" s="32" t="n">
        <x:f>Z464+W465-X465-T465-Z464*V465/AB464</x:f>
        <x:v>8707.444611177541</x:v>
      </x:c>
      <x:c r="AA465" s="32" t="n">
        <x:f>AA464+X465-U465-AA464*V465/AB464</x:f>
        <x:v>2812.8181388902376</x:v>
      </x:c>
      <x:c r="AB465" s="10" t="n">
        <x:f>Y465+Z465+AA465</x:f>
        <x:v>23978.221196126655</x:v>
      </x:c>
      <x:c r="AC465" s="8" t="n">
        <x:f>IF(AND(tun_WinterTrigger=1,D465=1,AB464/AE464&gt;=K465),1,0)</x:f>
        <x:v>0</x:v>
      </x:c>
      <x:c r="AD465" s="8" t="n">
        <x:f>H465*IF(AND(OR(AB464/AE464&gt;=tun_FissionTrigger*N465,AC465=1),AB464/AE464*tun_DaughterShare&gt;=tun_MinDaughter),MAX(1,ROUND(AE464*tun_FissionRate,0)),0)</x:f>
        <x:v>0</x:v>
      </x:c>
      <x:c r="AE465" s="8" t="n">
        <x:f>IF(H465=1,MAX(1,MIN(INDEX(tun_Smax,G465),AE464+AD465)),AE464)</x:f>
        <x:v>15</x:v>
      </x:c>
      <x:c r="AF465" s="8" t="n">
        <x:f>MAX(0,AE465-AE464)</x:f>
        <x:v>0</x:v>
      </x:c>
      <x:c r="AG465" s="9" t="str">
        <x:f>IF(AF465&gt;0,B465,"")</x:f>
      </x:c>
      <x:c r="AH465" s="9" t="n">
        <x:f>IF(F465&gt;=1,1,(1+tun_LowTiesShare*(AE465-1))/AE465)</x:f>
        <x:v>1</x:v>
      </x:c>
      <x:c r="AI465" s="32" t="n">
        <x:f>(Z465+tun_ElderCommons*INDEX(LM_Elder,G465)*AA465)*AH465</x:f>
        <x:v>19255.512632015932</x:v>
      </x:c>
      <x:c r="AJ465" s="32" t="n">
        <x:f>H465*tun_CommonsCoef*AI465^tun_CommonsExp*INDEX(LM_Commons,G465)</x:f>
        <x:v>41078.99026191225</x:v>
      </x:c>
      <x:c r="AK465" s="32" t="n">
        <x:f>H465*tun_RoleScale*Arch_Roles*(AE465*(INDEX(tun_ElderRolePerSett,G465)*tun_OutElder*INDEX(LM_Elder,G465)+INDEX(tun_ShamanPerSett,G465)*tun_OutShaman)+Z465*(INDEX(tun_PriestShare,G465)*tun_OutPriest+INDEX(tun_ScribeShare,G465)*tun_OutScribe*INDEX(LM_Scribe,G465)+INDEX(tun_ScholarShare,G465)*tun_OutScholar*INDEX(LM_Scholar,G465)+INDEX(tun_ResearcherShare,G465)*tun_OutResearcher*INDEX(LM_Researcher,G465)))</x:f>
        <x:v>12928.395137579986</x:v>
      </x:c>
      <x:c r="AL465" s="32" t="n">
        <x:f>H465*tun_RoleScale*Arch_Roles*AE465*INDEX(tun_MonasteryPerSett,G465)*tun_OutMonastery*INDEX(LM_Monastery,G465)</x:f>
        <x:v>79.2</x:v>
      </x:c>
      <x:c r="AM465" s="32" t="n">
        <x:f>(AJ465+AK465+AL465)/4*INDEX(LM_All,G465)*INDEX(tun_Boon,G465)*Arch_Insight</x:f>
        <x:v>32549.444797683103</x:v>
      </x:c>
      <x:c r="AN465" s="32" t="n">
        <x:f>H465*(tun_KHPerAdult*Z465+tun_KHOfCommons*AJ465/4*INDEX(LM_All,G465))*tun_KHUsable*Arch_KH</x:f>
        <x:v>5095.335759114224</x:v>
      </x:c>
      <x:c r="AO465" s="32" t="n">
        <x:f>MIN(AP464+AN465,AM465*tun_KHMaxRatio)</x:f>
        <x:v>5095.335759114224</x:v>
      </x:c>
      <x:c r="AP465" s="32" t="n">
        <x:f>AP464+AN465-AO465</x:f>
        <x:v>0</x:v>
      </x:c>
      <x:c r="AQ465" s="32" t="n">
        <x:f>AM465+AO465</x:f>
        <x:v>37644.78055679733</x:v>
      </x:c>
      <x:c r="AR465" s="10" t="n">
        <x:f>IF(H465=1,INDEX(tun_Req,G465),0)</x:f>
        <x:v>3142139.1800715</x:v>
      </x:c>
      <x:c r="AS465" s="32" t="n">
        <x:f>IF(H465=1,IF(E465=1,AS464-AR464,AS464)+AQ465,0)</x:f>
        <x:v>1782630.638492833</x:v>
      </x:c>
      <x:c r="AT465" s="11" t="n">
        <x:f>IF(AR465&gt;0,MIN(1,AS465/AR465),1)</x:f>
        <x:v>0.5673302601612538</x:v>
      </x:c>
      <x:c r="AU465" s="10" t="n">
        <x:f>AB465/INDEX(tun_RepScale,G465)</x:f>
        <x:v>239.78221196126654</x:v>
      </x:c>
      <x:c r="AV465" s="32" t="n">
        <x:f>AM465*60/tun_SeasonSeconds</x:f>
        <x:v>130197.77919073241</x:v>
      </x:c>
    </x:row>
    <x:row r="466">
      <x:c r="A466" s="8" t="n">
        <x:f>A465+1</x:f>
        <x:v>463</x:v>
      </x:c>
      <x:c r="B466" s="9" t="n">
        <x:f>A466*tun_SeasonSeconds/60</x:f>
        <x:v>115.75</x:v>
      </x:c>
      <x:c r="C466" s="9" t="n">
        <x:f>A466/4</x:f>
        <x:v>115.75</x:v>
      </x:c>
      <x:c r="D466" s="8" t="n">
        <x:f>IF(MOD(A466,4)=0,1,0)</x:f>
        <x:v>0</x:v>
      </x:c>
      <x:c r="E466" s="8" t="n">
        <x:f>IF(AND(F465&lt;=9,AS465&gt;=AR465),1,0)</x:f>
        <x:v>0</x:v>
      </x:c>
      <x:c r="F466" s="8" t="n">
        <x:f>MIN(10,F465+E466)</x:f>
        <x:v>7</x:v>
      </x:c>
      <x:c r="G466" s="8" t="n">
        <x:f>MIN(F466,9)+1</x:f>
        <x:v>8</x:v>
      </x:c>
      <x:c r="H466" s="8" t="n">
        <x:f>IF(F466&lt;=9,1,0)</x:f>
        <x:v>1</x:v>
      </x:c>
      <x:c r="I466" s="9" t="n">
        <x:f>MIN(10,F465+IF(AR465&gt;0,MIN(1,AS465/AR465),1))</x:f>
        <x:v>7.5673302601612535</x:v>
      </x:c>
      <x:c r="J466" s="32" t="n">
        <x:f>INDEX(tun_FoodCap,G466)*Arch_FoodCap*EXP(tun_CapsByProject*SUMPRODUCT((Cap_Point&lt;=I466)*(Cap_Kind="Food")*Cap_Ln))</x:f>
        <x:v>3349.4572843853084</x:v>
      </x:c>
      <x:c r="K466" s="32" t="n">
        <x:f>J466*MIN(1,tun_LeanBase*EXP(tun_CapsByProject*SUMPRODUCT((Cap_Point&lt;=I466)*(Cap_Kind="Lean")*Cap_Ln)))</x:f>
        <x:v>3349.4572843853084</x:v>
      </x:c>
      <x:c r="L466" s="10" t="n">
        <x:f>INDEX(tun_HousingCap,G466)*EXP(tun_CapsByProject*SUMPRODUCT((Cap_Point&lt;=I466)*(Cap_Kind="Housing")*Cap_Ln))</x:f>
        <x:v>5363.367771706518</x:v>
      </x:c>
      <x:c r="M466" s="10" t="n">
        <x:f>INDEX(tun_GroupCap,G466)*tun_CohesionFactor*EXP(tun_CapsByProject*SUMPRODUCT((Cap_Point&lt;=I466)*(Cap_Kind="Group")*Cap_Ln))</x:f>
        <x:v>1000000.000000001</x:v>
      </x:c>
      <x:c r="N466" s="32" t="n">
        <x:f>MIN(J466,L466,M466)</x:f>
        <x:v>3349.4572843853084</x:v>
      </x:c>
      <x:c r="O466" s="10" t="n">
        <x:f>AE465*N466</x:f>
        <x:v>50241.859265779625</x:v>
      </x:c>
      <x:c r="P466" s="9" t="n">
        <x:f>MIN(1,(AB465/(AE465*IF(tun_GroupInCrowding=1,N466,MIN(J466,L466))))^tun_CrowdingExp)</x:f>
        <x:v>0.011817008752006919</x:v>
      </x:c>
      <x:c r="Q466" s="9" t="n">
        <x:f>IF(D466=1,INDEX(tun_WinterMult,G466),1)</x:f>
        <x:v>1</x:v>
      </x:c>
      <x:c r="R466" s="9" t="n">
        <x:f>H466*Z465*tun_WomenShare*tun_BaseFertility*INDEX(tun_FertMult,G466)*Arch_Fertility*(1-P466)</x:f>
        <x:v>559.2956630299767</x:v>
      </x:c>
      <x:c r="S466" s="9" t="n">
        <x:f>H466*Y465*INDEX(tun_MortChild,G466)/4*Q466</x:f>
        <x:v>52.94632339575023</x:v>
      </x:c>
      <x:c r="T466" s="9" t="n">
        <x:f>H466*Z465*INDEX(tun_MortAdult,G466)*Arch_AdultMort/4*Q466</x:f>
        <x:v>16.979516991796206</x:v>
      </x:c>
      <x:c r="U466" s="9" t="n">
        <x:f>H466*AA465*INDEX(tun_MortElder,G466)/4*Q466</x:f>
        <x:v>30.23779499307005</x:v>
      </x:c>
      <x:c r="V466" s="9" t="n">
        <x:f>H466*MAX(0,AB465-O466)*tun_OvercapLoss</x:f>
        <x:v>0</x:v>
      </x:c>
      <x:c r="W466" s="9" t="n">
        <x:f>H466*Y465/(tun_ChildYears*4)</x:f>
        <x:v>222.46354367962277</x:v>
      </x:c>
      <x:c r="X466" s="9" t="n">
        <x:f>H466*Z465/(tun_AdultYears*4)</x:f>
        <x:v>70.2213275094963</x:v>
      </x:c>
      <x:c r="Y466" s="32" t="n">
        <x:f>Y465+R466-S466-W466-Y465*V466/AB465</x:f>
        <x:v>12741.844242013478</x:v>
      </x:c>
      <x:c r="Z466" s="32" t="n">
        <x:f>Z465+W466-X466-T466-Z465*V466/AB465</x:f>
        <x:v>8842.707310355872</x:v>
      </x:c>
      <x:c r="AA466" s="32" t="n">
        <x:f>AA465+X466-U466-AA465*V466/AB465</x:f>
        <x:v>2852.801671406664</x:v>
      </x:c>
      <x:c r="AB466" s="10" t="n">
        <x:f>Y466+Z466+AA466</x:f>
        <x:v>24437.353223776016</x:v>
      </x:c>
      <x:c r="AC466" s="8" t="n">
        <x:f>IF(AND(tun_WinterTrigger=1,D466=1,AB465/AE465&gt;=K466),1,0)</x:f>
        <x:v>0</x:v>
      </x:c>
      <x:c r="AD466" s="8" t="n">
        <x:f>H466*IF(AND(OR(AB465/AE465&gt;=tun_FissionTrigger*N466,AC466=1),AB465/AE465*tun_DaughterShare&gt;=tun_MinDaughter),MAX(1,ROUND(AE465*tun_FissionRate,0)),0)</x:f>
        <x:v>0</x:v>
      </x:c>
      <x:c r="AE466" s="8" t="n">
        <x:f>IF(H466=1,MAX(1,MIN(INDEX(tun_Smax,G466),AE465+AD466)),AE465)</x:f>
        <x:v>15</x:v>
      </x:c>
      <x:c r="AF466" s="8" t="n">
        <x:f>MAX(0,AE466-AE465)</x:f>
        <x:v>0</x:v>
      </x:c>
      <x:c r="AG466" s="9" t="str">
        <x:f>IF(AF466&gt;0,B466,"")</x:f>
      </x:c>
      <x:c r="AH466" s="9" t="n">
        <x:f>IF(F466&gt;=1,1,(1+tun_LowTiesShare*(AE466-1))/AE466)</x:f>
        <x:v>1</x:v>
      </x:c>
      <x:c r="AI466" s="32" t="n">
        <x:f>(Z466+tun_ElderCommons*INDEX(LM_Elder,G466)*AA466)*AH466</x:f>
        <x:v>19540.71357813086</x:v>
      </x:c>
      <x:c r="AJ466" s="32" t="n">
        <x:f>H466*tun_CommonsCoef*AI466^tun_CommonsExp*INDEX(LM_Commons,G466)</x:f>
        <x:v>41595.59047005535</x:v>
      </x:c>
      <x:c r="AK466" s="32" t="n">
        <x:f>H466*tun_RoleScale*Arch_Roles*(AE466*(INDEX(tun_ElderRolePerSett,G466)*tun_OutElder*INDEX(LM_Elder,G466)+INDEX(tun_ShamanPerSett,G466)*tun_OutShaman)+Z466*(INDEX(tun_PriestShare,G466)*tun_OutPriest+INDEX(tun_ScribeShare,G466)*tun_OutScribe*INDEX(LM_Scribe,G466)+INDEX(tun_ScholarShare,G466)*tun_OutScholar*INDEX(LM_Scholar,G466)+INDEX(tun_ResearcherShare,G466)*tun_OutResearcher*INDEX(LM_Researcher,G466)))</x:f>
        <x:v>13122.93536204623</x:v>
      </x:c>
      <x:c r="AL466" s="32" t="n">
        <x:f>H466*tun_RoleScale*Arch_Roles*AE466*INDEX(tun_MonasteryPerSett,G466)*tun_OutMonastery*INDEX(LM_Monastery,G466)</x:f>
        <x:v>79.2</x:v>
      </x:c>
      <x:c r="AM466" s="32" t="n">
        <x:f>(AJ466+AK466+AL466)/4*INDEX(LM_All,G466)*INDEX(tun_Boon,G466)*Arch_Insight</x:f>
        <x:v>32977.41092058861</x:v>
      </x:c>
      <x:c r="AN466" s="32" t="n">
        <x:f>H466*(tun_KHPerAdult*Z466+tun_KHOfCommons*AJ466/4*INDEX(LM_All,G466))*tun_KHUsable*Arch_KH</x:f>
        <x:v>5159.413563776282</x:v>
      </x:c>
      <x:c r="AO466" s="32" t="n">
        <x:f>MIN(AP465+AN466,AM466*tun_KHMaxRatio)</x:f>
        <x:v>5159.413563776282</x:v>
      </x:c>
      <x:c r="AP466" s="32" t="n">
        <x:f>AP465+AN466-AO466</x:f>
        <x:v>0</x:v>
      </x:c>
      <x:c r="AQ466" s="32" t="n">
        <x:f>AM466+AO466</x:f>
        <x:v>38136.82448436489</x:v>
      </x:c>
      <x:c r="AR466" s="10" t="n">
        <x:f>IF(H466=1,INDEX(tun_Req,G466),0)</x:f>
        <x:v>3142139.1800715</x:v>
      </x:c>
      <x:c r="AS466" s="32" t="n">
        <x:f>IF(H466=1,IF(E466=1,AS465-AR465,AS465)+AQ466,0)</x:f>
        <x:v>1820767.4629771977</x:v>
      </x:c>
      <x:c r="AT466" s="11" t="n">
        <x:f>IF(AR466&gt;0,MIN(1,AS466/AR466),1)</x:f>
        <x:v>0.579467476974004</x:v>
      </x:c>
      <x:c r="AU466" s="10" t="n">
        <x:f>AB466/INDEX(tun_RepScale,G466)</x:f>
        <x:v>244.37353223776014</x:v>
      </x:c>
      <x:c r="AV466" s="32" t="n">
        <x:f>AM466*60/tun_SeasonSeconds</x:f>
        <x:v>131909.64368235445</x:v>
      </x:c>
    </x:row>
    <x:row r="467">
      <x:c r="A467" s="8" t="n">
        <x:f>A466+1</x:f>
        <x:v>464</x:v>
      </x:c>
      <x:c r="B467" s="9" t="n">
        <x:f>A467*tun_SeasonSeconds/60</x:f>
        <x:v>116</x:v>
      </x:c>
      <x:c r="C467" s="9" t="n">
        <x:f>A467/4</x:f>
        <x:v>116</x:v>
      </x:c>
      <x:c r="D467" s="8" t="n">
        <x:f>IF(MOD(A467,4)=0,1,0)</x:f>
        <x:v>1</x:v>
      </x:c>
      <x:c r="E467" s="8" t="n">
        <x:f>IF(AND(F466&lt;=9,AS466&gt;=AR466),1,0)</x:f>
        <x:v>0</x:v>
      </x:c>
      <x:c r="F467" s="8" t="n">
        <x:f>MIN(10,F466+E467)</x:f>
        <x:v>7</x:v>
      </x:c>
      <x:c r="G467" s="8" t="n">
        <x:f>MIN(F467,9)+1</x:f>
        <x:v>8</x:v>
      </x:c>
      <x:c r="H467" s="8" t="n">
        <x:f>IF(F467&lt;=9,1,0)</x:f>
        <x:v>1</x:v>
      </x:c>
      <x:c r="I467" s="9" t="n">
        <x:f>MIN(10,F466+IF(AR466&gt;0,MIN(1,AS466/AR466),1))</x:f>
        <x:v>7.5794674769740045</x:v>
      </x:c>
      <x:c r="J467" s="32" t="n">
        <x:f>INDEX(tun_FoodCap,G467)*Arch_FoodCap*EXP(tun_CapsByProject*SUMPRODUCT((Cap_Point&lt;=I467)*(Cap_Kind="Food")*Cap_Ln))</x:f>
        <x:v>3349.4572843853084</x:v>
      </x:c>
      <x:c r="K467" s="32" t="n">
        <x:f>J467*MIN(1,tun_LeanBase*EXP(tun_CapsByProject*SUMPRODUCT((Cap_Point&lt;=I467)*(Cap_Kind="Lean")*Cap_Ln)))</x:f>
        <x:v>3349.4572843853084</x:v>
      </x:c>
      <x:c r="L467" s="10" t="n">
        <x:f>INDEX(tun_HousingCap,G467)*EXP(tun_CapsByProject*SUMPRODUCT((Cap_Point&lt;=I467)*(Cap_Kind="Housing")*Cap_Ln))</x:f>
        <x:v>5363.367771706518</x:v>
      </x:c>
      <x:c r="M467" s="10" t="n">
        <x:f>INDEX(tun_GroupCap,G467)*tun_CohesionFactor*EXP(tun_CapsByProject*SUMPRODUCT((Cap_Point&lt;=I467)*(Cap_Kind="Group")*Cap_Ln))</x:f>
        <x:v>1000000.000000001</x:v>
      </x:c>
      <x:c r="N467" s="32" t="n">
        <x:f>MIN(J467,L467,M467)</x:f>
        <x:v>3349.4572843853084</x:v>
      </x:c>
      <x:c r="O467" s="10" t="n">
        <x:f>AE466*N467</x:f>
        <x:v>50241.859265779625</x:v>
      </x:c>
      <x:c r="P467" s="9" t="n">
        <x:f>MIN(1,(AB466/(AE466*IF(tun_GroupInCrowding=1,N467,MIN(J467,L467))))^tun_CrowdingExp)</x:f>
        <x:v>0.01324130477077257</x:v>
      </x:c>
      <x:c r="Q467" s="9" t="n">
        <x:f>IF(D467=1,INDEX(tun_WinterMult,G467),1)</x:f>
        <x:v>1.08</x:v>
      </x:c>
      <x:c r="R467" s="9" t="n">
        <x:f>H467*Z466*tun_WomenShare*tun_BaseFertility*INDEX(tun_FertMult,G467)*Arch_Fertility*(1-P467)</x:f>
        <x:v>567.1651913109463</x:v>
      </x:c>
      <x:c r="S467" s="9" t="n">
        <x:f>H467*Y466*INDEX(tun_MortChild,G467)/4*Q467</x:f>
        <x:v>58.48506507084187</x:v>
      </x:c>
      <x:c r="T467" s="9" t="n">
        <x:f>H467*Z466*INDEX(tun_MortAdult,G467)*Arch_AdultMort/4*Q467</x:f>
        <x:v>18.62274159560947</x:v>
      </x:c>
      <x:c r="U467" s="9" t="n">
        <x:f>H467*AA466*INDEX(tun_MortElder,G467)/4*Q467</x:f>
        <x:v>33.12102740503137</x:v>
      </x:c>
      <x:c r="V467" s="9" t="n">
        <x:f>H467*MAX(0,AB466-O467)*tun_OvercapLoss</x:f>
        <x:v>0</x:v>
      </x:c>
      <x:c r="W467" s="9" t="n">
        <x:f>H467*Y466/(tun_ChildYears*4)</x:f>
        <x:v>227.5329328930978</x:v>
      </x:c>
      <x:c r="X467" s="9" t="n">
        <x:f>H467*Z466/(tun_AdultYears*4)</x:f>
        <x:v>71.31215572867639</x:v>
      </x:c>
      <x:c r="Y467" s="32" t="n">
        <x:f>Y466+R467-S467-W467-Y466*V467/AB466</x:f>
        <x:v>13022.991435360484</x:v>
      </x:c>
      <x:c r="Z467" s="32" t="n">
        <x:f>Z466+W467-X467-T467-Z466*V467/AB466</x:f>
        <x:v>8980.305345924686</x:v>
      </x:c>
      <x:c r="AA467" s="32" t="n">
        <x:f>AA466+X467-U467-AA466*V467/AB466</x:f>
        <x:v>2890.992799730309</x:v>
      </x:c>
      <x:c r="AB467" s="10" t="n">
        <x:f>Y467+Z467+AA467</x:f>
        <x:v>24894.28958101548</x:v>
      </x:c>
      <x:c r="AC467" s="8" t="n">
        <x:f>IF(AND(tun_WinterTrigger=1,D467=1,AB466/AE466&gt;=K467),1,0)</x:f>
        <x:v>0</x:v>
      </x:c>
      <x:c r="AD467" s="8" t="n">
        <x:f>H467*IF(AND(OR(AB466/AE466&gt;=tun_FissionTrigger*N467,AC467=1),AB466/AE466*tun_DaughterShare&gt;=tun_MinDaughter),MAX(1,ROUND(AE466*tun_FissionRate,0)),0)</x:f>
        <x:v>0</x:v>
      </x:c>
      <x:c r="AE467" s="8" t="n">
        <x:f>IF(H467=1,MAX(1,MIN(INDEX(tun_Smax,G467),AE466+AD467)),AE466)</x:f>
        <x:v>15</x:v>
      </x:c>
      <x:c r="AF467" s="8" t="n">
        <x:f>MAX(0,AE467-AE466)</x:f>
        <x:v>0</x:v>
      </x:c>
      <x:c r="AG467" s="9" t="str">
        <x:f>IF(AF467&gt;0,B467,"")</x:f>
      </x:c>
      <x:c r="AH467" s="9" t="n">
        <x:f>IF(F467&gt;=1,1,(1+tun_LowTiesShare*(AE467-1))/AE467)</x:f>
        <x:v>1</x:v>
      </x:c>
      <x:c r="AI467" s="32" t="n">
        <x:f>(Z467+tun_ElderCommons*INDEX(LM_Elder,G467)*AA467)*AH467</x:f>
        <x:v>19821.528344913342</x:v>
      </x:c>
      <x:c r="AJ467" s="32" t="n">
        <x:f>H467*tun_CommonsCoef*AI467^tun_CommonsExp*INDEX(LM_Commons,G467)</x:f>
        <x:v>42103.14179497533</x:v>
      </x:c>
      <x:c r="AK467" s="32" t="n">
        <x:f>H467*tun_RoleScale*Arch_Roles*(AE467*(INDEX(tun_ElderRolePerSett,G467)*tun_OutElder*INDEX(LM_Elder,G467)+INDEX(tun_ShamanPerSett,G467)*tun_OutShaman)+Z467*(INDEX(tun_PriestShare,G467)*tun_OutPriest+INDEX(tun_ScribeShare,G467)*tun_OutScribe*INDEX(LM_Scribe,G467)+INDEX(tun_ScholarShare,G467)*tun_OutScholar*INDEX(LM_Scholar,G467)+INDEX(tun_ResearcherShare,G467)*tun_OutResearcher*INDEX(LM_Researcher,G467)))</x:f>
        <x:v>13320.83436072272</x:v>
      </x:c>
      <x:c r="AL467" s="32" t="n">
        <x:f>H467*tun_RoleScale*Arch_Roles*AE467*INDEX(tun_MonasteryPerSett,G467)*tun_OutMonastery*INDEX(LM_Monastery,G467)</x:f>
        <x:v>79.2</x:v>
      </x:c>
      <x:c r="AM467" s="32" t="n">
        <x:f>(AJ467+AK467+AL467)/4*INDEX(LM_All,G467)*INDEX(tun_Boon,G467)*Arch_Insight</x:f>
        <x:v>33401.95272140317</x:v>
      </x:c>
      <x:c r="AN467" s="32" t="n">
        <x:f>H467*(tun_KHPerAdult*Z467+tun_KHOfCommons*AJ467/4*INDEX(LM_All,G467))*tun_KHUsable*Arch_KH</x:f>
        <x:v>5222.36896747442</x:v>
      </x:c>
      <x:c r="AO467" s="32" t="n">
        <x:f>MIN(AP466+AN467,AM467*tun_KHMaxRatio)</x:f>
        <x:v>5222.36896747442</x:v>
      </x:c>
      <x:c r="AP467" s="32" t="n">
        <x:f>AP466+AN467-AO467</x:f>
        <x:v>0</x:v>
      </x:c>
      <x:c r="AQ467" s="32" t="n">
        <x:f>AM467+AO467</x:f>
        <x:v>38624.32168887759</x:v>
      </x:c>
      <x:c r="AR467" s="10" t="n">
        <x:f>IF(H467=1,INDEX(tun_Req,G467),0)</x:f>
        <x:v>3142139.1800715</x:v>
      </x:c>
      <x:c r="AS467" s="32" t="n">
        <x:f>IF(H467=1,IF(E467=1,AS466-AR466,AS466)+AQ467,0)</x:f>
        <x:v>1859391.7846660754</x:v>
      </x:c>
      <x:c r="AT467" s="11" t="n">
        <x:f>IF(AR467&gt;0,MIN(1,AS467/AR467),1)</x:f>
        <x:v>0.5917598419761165</x:v>
      </x:c>
      <x:c r="AU467" s="10" t="n">
        <x:f>AB467/INDEX(tun_RepScale,G467)</x:f>
        <x:v>248.9428958101548</x:v>
      </x:c>
      <x:c r="AV467" s="32" t="n">
        <x:f>AM467*60/tun_SeasonSeconds</x:f>
        <x:v>133607.81088561268</x:v>
      </x:c>
    </x:row>
    <x:row r="468">
      <x:c r="A468" s="8" t="n">
        <x:f>A467+1</x:f>
        <x:v>465</x:v>
      </x:c>
      <x:c r="B468" s="9" t="n">
        <x:f>A468*tun_SeasonSeconds/60</x:f>
        <x:v>116.25</x:v>
      </x:c>
      <x:c r="C468" s="9" t="n">
        <x:f>A468/4</x:f>
        <x:v>116.25</x:v>
      </x:c>
      <x:c r="D468" s="8" t="n">
        <x:f>IF(MOD(A468,4)=0,1,0)</x:f>
        <x:v>0</x:v>
      </x:c>
      <x:c r="E468" s="8" t="n">
        <x:f>IF(AND(F467&lt;=9,AS467&gt;=AR467),1,0)</x:f>
        <x:v>0</x:v>
      </x:c>
      <x:c r="F468" s="8" t="n">
        <x:f>MIN(10,F467+E468)</x:f>
        <x:v>7</x:v>
      </x:c>
      <x:c r="G468" s="8" t="n">
        <x:f>MIN(F468,9)+1</x:f>
        <x:v>8</x:v>
      </x:c>
      <x:c r="H468" s="8" t="n">
        <x:f>IF(F468&lt;=9,1,0)</x:f>
        <x:v>1</x:v>
      </x:c>
      <x:c r="I468" s="9" t="n">
        <x:f>MIN(10,F467+IF(AR467&gt;0,MIN(1,AS467/AR467),1))</x:f>
        <x:v>7.591759841976117</x:v>
      </x:c>
      <x:c r="J468" s="32" t="n">
        <x:f>INDEX(tun_FoodCap,G468)*Arch_FoodCap*EXP(tun_CapsByProject*SUMPRODUCT((Cap_Point&lt;=I468)*(Cap_Kind="Food")*Cap_Ln))</x:f>
        <x:v>3349.4572843853084</x:v>
      </x:c>
      <x:c r="K468" s="32" t="n">
        <x:f>J468*MIN(1,tun_LeanBase*EXP(tun_CapsByProject*SUMPRODUCT((Cap_Point&lt;=I468)*(Cap_Kind="Lean")*Cap_Ln)))</x:f>
        <x:v>3349.4572843853084</x:v>
      </x:c>
      <x:c r="L468" s="10" t="n">
        <x:f>INDEX(tun_HousingCap,G468)*EXP(tun_CapsByProject*SUMPRODUCT((Cap_Point&lt;=I468)*(Cap_Kind="Housing")*Cap_Ln))</x:f>
        <x:v>5363.367771706518</x:v>
      </x:c>
      <x:c r="M468" s="10" t="n">
        <x:f>INDEX(tun_GroupCap,G468)*tun_CohesionFactor*EXP(tun_CapsByProject*SUMPRODUCT((Cap_Point&lt;=I468)*(Cap_Kind="Group")*Cap_Ln))</x:f>
        <x:v>1000000.000000001</x:v>
      </x:c>
      <x:c r="N468" s="32" t="n">
        <x:f>MIN(J468,L468,M468)</x:f>
        <x:v>3349.4572843853084</x:v>
      </x:c>
      <x:c r="O468" s="10" t="n">
        <x:f>AE467*N468</x:f>
        <x:v>50241.859265779625</x:v>
      </x:c>
      <x:c r="P468" s="9" t="n">
        <x:f>MIN(1,(AB467/(AE467*IF(tun_GroupInCrowding=1,N468,MIN(J468,L468))))^tun_CrowdingExp)</x:f>
        <x:v>0.01479804033937625</x:v>
      </x:c>
      <x:c r="Q468" s="9" t="n">
        <x:f>IF(D468=1,INDEX(tun_WinterMult,G468),1)</x:f>
        <x:v>1</x:v>
      </x:c>
      <x:c r="R468" s="9" t="n">
        <x:f>H468*Z467*tun_WomenShare*tun_BaseFertility*INDEX(tun_FertMult,G468)*Arch_Fertility*(1-P468)</x:f>
        <x:v>575.0819376351254</x:v>
      </x:c>
      <x:c r="S468" s="9" t="n">
        <x:f>H468*Y467*INDEX(tun_MortChild,G468)/4*Q468</x:f>
        <x:v>55.347713600282056</x:v>
      </x:c>
      <x:c r="T468" s="9" t="n">
        <x:f>H468*Z467*INDEX(tun_MortAdult,G468)*Arch_AdultMort/4*Q468</x:f>
        <x:v>17.511595424553136</x:v>
      </x:c>
      <x:c r="U468" s="9" t="n">
        <x:f>H468*AA467*INDEX(tun_MortElder,G468)/4*Q468</x:f>
        <x:v>31.078172597100817</x:v>
      </x:c>
      <x:c r="V468" s="9" t="n">
        <x:f>H468*MAX(0,AB467-O468)*tun_OvercapLoss</x:f>
        <x:v>0</x:v>
      </x:c>
      <x:c r="W468" s="9" t="n">
        <x:f>H468*Y467/(tun_ChildYears*4)</x:f>
        <x:v>232.55341848858006</x:v>
      </x:c>
      <x:c r="X468" s="9" t="n">
        <x:f>H468*Z467/(tun_AdultYears*4)</x:f>
        <x:v>72.42181730584424</x:v>
      </x:c>
      <x:c r="Y468" s="32" t="n">
        <x:f>Y467+R468-S468-W468-Y467*V468/AB467</x:f>
        <x:v>13310.172240906746</x:v>
      </x:c>
      <x:c r="Z468" s="32" t="n">
        <x:f>Z467+W468-X468-T468-Z467*V468/AB467</x:f>
        <x:v>9122.925351682868</x:v>
      </x:c>
      <x:c r="AA468" s="32" t="n">
        <x:f>AA467+X468-U468-AA467*V468/AB467</x:f>
        <x:v>2932.3364444390522</x:v>
      </x:c>
      <x:c r="AB468" s="10" t="n">
        <x:f>Y468+Z468+AA468</x:f>
        <x:v>25365.434037028666</x:v>
      </x:c>
      <x:c r="AC468" s="8" t="n">
        <x:f>IF(AND(tun_WinterTrigger=1,D468=1,AB467/AE467&gt;=K468),1,0)</x:f>
        <x:v>0</x:v>
      </x:c>
      <x:c r="AD468" s="8" t="n">
        <x:f>H468*IF(AND(OR(AB467/AE467&gt;=tun_FissionTrigger*N468,AC468=1),AB467/AE467*tun_DaughterShare&gt;=tun_MinDaughter),MAX(1,ROUND(AE467*tun_FissionRate,0)),0)</x:f>
        <x:v>0</x:v>
      </x:c>
      <x:c r="AE468" s="8" t="n">
        <x:f>IF(H468=1,MAX(1,MIN(INDEX(tun_Smax,G468),AE467+AD468)),AE467)</x:f>
        <x:v>15</x:v>
      </x:c>
      <x:c r="AF468" s="8" t="n">
        <x:f>MAX(0,AE468-AE467)</x:f>
        <x:v>0</x:v>
      </x:c>
      <x:c r="AG468" s="9" t="str">
        <x:f>IF(AF468&gt;0,B468,"")</x:f>
      </x:c>
      <x:c r="AH468" s="9" t="n">
        <x:f>IF(F468&gt;=1,1,(1+tun_LowTiesShare*(AE468-1))/AE468)</x:f>
        <x:v>1</x:v>
      </x:c>
      <x:c r="AI468" s="32" t="n">
        <x:f>(Z468+tun_ElderCommons*INDEX(LM_Elder,G468)*AA468)*AH468</x:f>
        <x:v>20119.187018329314</x:v>
      </x:c>
      <x:c r="AJ468" s="32" t="n">
        <x:f>H468*tun_CommonsCoef*AI468^tun_CommonsExp*INDEX(LM_Commons,G468)</x:f>
        <x:v>42639.96121943478</x:v>
      </x:c>
      <x:c r="AK468" s="32" t="n">
        <x:f>H468*tun_RoleScale*Arch_Roles*(AE468*(INDEX(tun_ElderRolePerSett,G468)*tun_OutElder*INDEX(LM_Elder,G468)+INDEX(tun_ShamanPerSett,G468)*tun_OutShaman)+Z468*(INDEX(tun_PriestShare,G468)*tun_OutPriest+INDEX(tun_ScribeShare,G468)*tun_OutScribe*INDEX(LM_Scribe,G468)+INDEX(tun_ScholarShare,G468)*tun_OutScholar*INDEX(LM_Scholar,G468)+INDEX(tun_ResearcherShare,G468)*tun_OutResearcher*INDEX(LM_Researcher,G468)))</x:f>
        <x:v>13525.956157804369</x:v>
      </x:c>
      <x:c r="AL468" s="32" t="n">
        <x:f>H468*tun_RoleScale*Arch_Roles*AE468*INDEX(tun_MonasteryPerSett,G468)*tun_OutMonastery*INDEX(LM_Monastery,G468)</x:f>
        <x:v>79.2</x:v>
      </x:c>
      <x:c r="AM468" s="32" t="n">
        <x:f>(AJ468+AK468+AL468)/4*INDEX(LM_All,G468)*INDEX(tun_Boon,G468)*Arch_Insight</x:f>
        <x:v>33848.45483750651</x:v>
      </x:c>
      <x:c r="AN468" s="32" t="n">
        <x:f>H468*(tun_KHPerAdult*Z468+tun_KHOfCommons*AJ468/4*INDEX(LM_All,G468))*tun_KHUsable*Arch_KH</x:f>
        <x:v>5288.954713428635</x:v>
      </x:c>
      <x:c r="AO468" s="32" t="n">
        <x:f>MIN(AP467+AN468,AM468*tun_KHMaxRatio)</x:f>
        <x:v>5288.954713428635</x:v>
      </x:c>
      <x:c r="AP468" s="32" t="n">
        <x:f>AP467+AN468-AO468</x:f>
        <x:v>0</x:v>
      </x:c>
      <x:c r="AQ468" s="32" t="n">
        <x:f>AM468+AO468</x:f>
        <x:v>39137.40955093515</x:v>
      </x:c>
      <x:c r="AR468" s="10" t="n">
        <x:f>IF(H468=1,INDEX(tun_Req,G468),0)</x:f>
        <x:v>3142139.1800715</x:v>
      </x:c>
      <x:c r="AS468" s="32" t="n">
        <x:f>IF(H468=1,IF(E468=1,AS467-AR467,AS467)+AQ468,0)</x:f>
        <x:v>1898529.1942170104</x:v>
      </x:c>
      <x:c r="AT468" s="11" t="n">
        <x:f>IF(AR468&gt;0,MIN(1,AS468/AR468),1)</x:f>
        <x:v>0.6042154995100532</x:v>
      </x:c>
      <x:c r="AU468" s="10" t="n">
        <x:f>AB468/INDEX(tun_RepScale,G468)</x:f>
        <x:v>253.65434037028666</x:v>
      </x:c>
      <x:c r="AV468" s="32" t="n">
        <x:f>AM468*60/tun_SeasonSeconds</x:f>
        <x:v>135393.81935002605</x:v>
      </x:c>
    </x:row>
    <x:row r="469">
      <x:c r="A469" s="8" t="n">
        <x:f>A468+1</x:f>
        <x:v>466</x:v>
      </x:c>
      <x:c r="B469" s="9" t="n">
        <x:f>A469*tun_SeasonSeconds/60</x:f>
        <x:v>116.5</x:v>
      </x:c>
      <x:c r="C469" s="9" t="n">
        <x:f>A469/4</x:f>
        <x:v>116.5</x:v>
      </x:c>
      <x:c r="D469" s="8" t="n">
        <x:f>IF(MOD(A469,4)=0,1,0)</x:f>
        <x:v>0</x:v>
      </x:c>
      <x:c r="E469" s="8" t="n">
        <x:f>IF(AND(F468&lt;=9,AS468&gt;=AR468),1,0)</x:f>
        <x:v>0</x:v>
      </x:c>
      <x:c r="F469" s="8" t="n">
        <x:f>MIN(10,F468+E469)</x:f>
        <x:v>7</x:v>
      </x:c>
      <x:c r="G469" s="8" t="n">
        <x:f>MIN(F469,9)+1</x:f>
        <x:v>8</x:v>
      </x:c>
      <x:c r="H469" s="8" t="n">
        <x:f>IF(F469&lt;=9,1,0)</x:f>
        <x:v>1</x:v>
      </x:c>
      <x:c r="I469" s="9" t="n">
        <x:f>MIN(10,F468+IF(AR468&gt;0,MIN(1,AS468/AR468),1))</x:f>
        <x:v>7.604215499510053</x:v>
      </x:c>
      <x:c r="J469" s="32" t="n">
        <x:f>INDEX(tun_FoodCap,G469)*Arch_FoodCap*EXP(tun_CapsByProject*SUMPRODUCT((Cap_Point&lt;=I469)*(Cap_Kind="Food")*Cap_Ln))</x:f>
        <x:v>4514.300360064293</x:v>
      </x:c>
      <x:c r="K469" s="32" t="n">
        <x:f>J469*MIN(1,tun_LeanBase*EXP(tun_CapsByProject*SUMPRODUCT((Cap_Point&lt;=I469)*(Cap_Kind="Lean")*Cap_Ln)))</x:f>
        <x:v>4514.300360064293</x:v>
      </x:c>
      <x:c r="L469" s="10" t="n">
        <x:f>INDEX(tun_HousingCap,G469)*EXP(tun_CapsByProject*SUMPRODUCT((Cap_Point&lt;=I469)*(Cap_Kind="Housing")*Cap_Ln))</x:f>
        <x:v>5983.37642068151</x:v>
      </x:c>
      <x:c r="M469" s="10" t="n">
        <x:f>INDEX(tun_GroupCap,G469)*tun_CohesionFactor*EXP(tun_CapsByProject*SUMPRODUCT((Cap_Point&lt;=I469)*(Cap_Kind="Group")*Cap_Ln))</x:f>
        <x:v>1000000.000000001</x:v>
      </x:c>
      <x:c r="N469" s="32" t="n">
        <x:f>MIN(J469,L469,M469)</x:f>
        <x:v>4514.300360064293</x:v>
      </x:c>
      <x:c r="O469" s="10" t="n">
        <x:f>AE468*N469</x:f>
        <x:v>67714.5054009644</x:v>
      </x:c>
      <x:c r="P469" s="9" t="n">
        <x:f>MIN(1,(AB468/(AE468*IF(tun_GroupInCrowding=1,N469,MIN(J469,L469))))^tun_CrowdingExp)</x:f>
        <x:v>0.0027628895553312646</x:v>
      </x:c>
      <x:c r="Q469" s="9" t="n">
        <x:f>IF(D469=1,INDEX(tun_WinterMult,G469),1)</x:f>
        <x:v>1</x:v>
      </x:c>
      <x:c r="R469" s="9" t="n">
        <x:f>H469*Z468*tun_WomenShare*tun_BaseFertility*INDEX(tun_FertMult,G469)*Arch_Fertility*(1-P469)</x:f>
        <x:v>591.3517815734515</x:v>
      </x:c>
      <x:c r="S469" s="9" t="n">
        <x:f>H469*Y468*INDEX(tun_MortChild,G469)/4*Q469</x:f>
        <x:v>56.568232023853675</x:v>
      </x:c>
      <x:c r="T469" s="9" t="n">
        <x:f>H469*Z468*INDEX(tun_MortAdult,G469)*Arch_AdultMort/4*Q469</x:f>
        <x:v>17.789704435781594</x:v>
      </x:c>
      <x:c r="U469" s="9" t="n">
        <x:f>H469*AA468*INDEX(tun_MortElder,G469)/4*Q469</x:f>
        <x:v>31.522616777719808</x:v>
      </x:c>
      <x:c r="V469" s="9" t="n">
        <x:f>H469*MAX(0,AB468-O469)*tun_OvercapLoss</x:f>
        <x:v>0</x:v>
      </x:c>
      <x:c r="W469" s="9" t="n">
        <x:f>H469*Y468/(tun_ChildYears*4)</x:f>
        <x:v>237.68164715904905</x:v>
      </x:c>
      <x:c r="X469" s="9" t="n">
        <x:f>H469*Z468/(tun_AdultYears*4)</x:f>
        <x:v>73.57197864260378</x:v>
      </x:c>
      <x:c r="Y469" s="32" t="n">
        <x:f>Y468+R469-S469-W469-Y468*V469/AB468</x:f>
        <x:v>13607.274143297296</x:v>
      </x:c>
      <x:c r="Z469" s="32" t="n">
        <x:f>Z468+W469-X469-T469-Z468*V469/AB468</x:f>
        <x:v>9269.245315763532</x:v>
      </x:c>
      <x:c r="AA469" s="32" t="n">
        <x:f>AA468+X469-U469-AA468*V469/AB468</x:f>
        <x:v>2974.385806303936</x:v>
      </x:c>
      <x:c r="AB469" s="10" t="n">
        <x:f>Y469+Z469+AA469</x:f>
        <x:v>25850.905265364767</x:v>
      </x:c>
      <x:c r="AC469" s="8" t="n">
        <x:f>IF(AND(tun_WinterTrigger=1,D469=1,AB468/AE468&gt;=K469),1,0)</x:f>
        <x:v>0</x:v>
      </x:c>
      <x:c r="AD469" s="8" t="n">
        <x:f>H469*IF(AND(OR(AB468/AE468&gt;=tun_FissionTrigger*N469,AC469=1),AB468/AE468*tun_DaughterShare&gt;=tun_MinDaughter),MAX(1,ROUND(AE468*tun_FissionRate,0)),0)</x:f>
        <x:v>0</x:v>
      </x:c>
      <x:c r="AE469" s="8" t="n">
        <x:f>IF(H469=1,MAX(1,MIN(INDEX(tun_Smax,G469),AE468+AD469)),AE468)</x:f>
        <x:v>15</x:v>
      </x:c>
      <x:c r="AF469" s="8" t="n">
        <x:f>MAX(0,AE469-AE468)</x:f>
        <x:v>0</x:v>
      </x:c>
      <x:c r="AG469" s="9" t="str">
        <x:f>IF(AF469&gt;0,B469,"")</x:f>
      </x:c>
      <x:c r="AH469" s="9" t="n">
        <x:f>IF(F469&gt;=1,1,(1+tun_LowTiesShare*(AE469-1))/AE469)</x:f>
        <x:v>1</x:v>
      </x:c>
      <x:c r="AI469" s="32" t="n">
        <x:f>(Z469+tun_ElderCommons*INDEX(LM_Elder,G469)*AA469)*AH469</x:f>
        <x:v>20423.192089403292</x:v>
      </x:c>
      <x:c r="AJ469" s="32" t="n">
        <x:f>H469*tun_CommonsCoef*AI469^tun_CommonsExp*INDEX(LM_Commons,G469)</x:f>
        <x:v>43186.997975622064</x:v>
      </x:c>
      <x:c r="AK469" s="32" t="n">
        <x:f>H469*tun_RoleScale*Arch_Roles*(AE469*(INDEX(tun_ElderRolePerSett,G469)*tun_OutElder*INDEX(LM_Elder,G469)+INDEX(tun_ShamanPerSett,G469)*tun_OutShaman)+Z469*(INDEX(tun_PriestShare,G469)*tun_OutPriest+INDEX(tun_ScribeShare,G469)*tun_OutScribe*INDEX(LM_Scribe,G469)+INDEX(tun_ScholarShare,G469)*tun_OutScholar*INDEX(LM_Scholar,G469)+INDEX(tun_ResearcherShare,G469)*tun_OutResearcher*INDEX(LM_Researcher,G469)))</x:f>
        <x:v>13736.399382943742</x:v>
      </x:c>
      <x:c r="AL469" s="32" t="n">
        <x:f>H469*tun_RoleScale*Arch_Roles*AE469*INDEX(tun_MonasteryPerSett,G469)*tun_OutMonastery*INDEX(LM_Monastery,G469)</x:f>
        <x:v>79.2</x:v>
      </x:c>
      <x:c r="AM469" s="32" t="n">
        <x:f>(AJ469+AK469+AL469)/4*INDEX(LM_All,G469)*INDEX(tun_Boon,G469)*Arch_Insight</x:f>
        <x:v>34304.30821881044</x:v>
      </x:c>
      <x:c r="AN469" s="32" t="n">
        <x:f>H469*(tun_KHPerAdult*Z469+tun_KHOfCommons*AJ469/4*INDEX(LM_All,G469))*tun_KHUsable*Arch_KH</x:f>
        <x:v>5356.807791792522</x:v>
      </x:c>
      <x:c r="AO469" s="32" t="n">
        <x:f>MIN(AP468+AN469,AM469*tun_KHMaxRatio)</x:f>
        <x:v>5356.807791792522</x:v>
      </x:c>
      <x:c r="AP469" s="32" t="n">
        <x:f>AP468+AN469-AO469</x:f>
        <x:v>0</x:v>
      </x:c>
      <x:c r="AQ469" s="32" t="n">
        <x:f>AM469+AO469</x:f>
        <x:v>39661.11601060296</x:v>
      </x:c>
      <x:c r="AR469" s="10" t="n">
        <x:f>IF(H469=1,INDEX(tun_Req,G469),0)</x:f>
        <x:v>3142139.1800715</x:v>
      </x:c>
      <x:c r="AS469" s="32" t="n">
        <x:f>IF(H469=1,IF(E469=1,AS468-AR468,AS468)+AQ469,0)</x:f>
        <x:v>1938190.3102276134</x:v>
      </x:c>
      <x:c r="AT469" s="11" t="n">
        <x:f>IF(AR469&gt;0,MIN(1,AS469/AR469),1)</x:f>
        <x:v>0.6168378289925113</x:v>
      </x:c>
      <x:c r="AU469" s="10" t="n">
        <x:f>AB469/INDEX(tun_RepScale,G469)</x:f>
        <x:v>258.50905265364764</x:v>
      </x:c>
      <x:c r="AV469" s="32" t="n">
        <x:f>AM469*60/tun_SeasonSeconds</x:f>
        <x:v>137217.23287524175</x:v>
      </x:c>
    </x:row>
    <x:row r="470">
      <x:c r="A470" s="8" t="n">
        <x:f>A469+1</x:f>
        <x:v>467</x:v>
      </x:c>
      <x:c r="B470" s="9" t="n">
        <x:f>A470*tun_SeasonSeconds/60</x:f>
        <x:v>116.75</x:v>
      </x:c>
      <x:c r="C470" s="9" t="n">
        <x:f>A470/4</x:f>
        <x:v>116.75</x:v>
      </x:c>
      <x:c r="D470" s="8" t="n">
        <x:f>IF(MOD(A470,4)=0,1,0)</x:f>
        <x:v>0</x:v>
      </x:c>
      <x:c r="E470" s="8" t="n">
        <x:f>IF(AND(F469&lt;=9,AS469&gt;=AR469),1,0)</x:f>
        <x:v>0</x:v>
      </x:c>
      <x:c r="F470" s="8" t="n">
        <x:f>MIN(10,F469+E470)</x:f>
        <x:v>7</x:v>
      </x:c>
      <x:c r="G470" s="8" t="n">
        <x:f>MIN(F470,9)+1</x:f>
        <x:v>8</x:v>
      </x:c>
      <x:c r="H470" s="8" t="n">
        <x:f>IF(F470&lt;=9,1,0)</x:f>
        <x:v>1</x:v>
      </x:c>
      <x:c r="I470" s="9" t="n">
        <x:f>MIN(10,F469+IF(AR469&gt;0,MIN(1,AS469/AR469),1))</x:f>
        <x:v>7.616837828992511</x:v>
      </x:c>
      <x:c r="J470" s="32" t="n">
        <x:f>INDEX(tun_FoodCap,G470)*Arch_FoodCap*EXP(tun_CapsByProject*SUMPRODUCT((Cap_Point&lt;=I470)*(Cap_Kind="Food")*Cap_Ln))</x:f>
        <x:v>4514.300360064293</x:v>
      </x:c>
      <x:c r="K470" s="32" t="n">
        <x:f>J470*MIN(1,tun_LeanBase*EXP(tun_CapsByProject*SUMPRODUCT((Cap_Point&lt;=I470)*(Cap_Kind="Lean")*Cap_Ln)))</x:f>
        <x:v>4514.300360064293</x:v>
      </x:c>
      <x:c r="L470" s="10" t="n">
        <x:f>INDEX(tun_HousingCap,G470)*EXP(tun_CapsByProject*SUMPRODUCT((Cap_Point&lt;=I470)*(Cap_Kind="Housing")*Cap_Ln))</x:f>
        <x:v>5983.37642068151</x:v>
      </x:c>
      <x:c r="M470" s="10" t="n">
        <x:f>INDEX(tun_GroupCap,G470)*tun_CohesionFactor*EXP(tun_CapsByProject*SUMPRODUCT((Cap_Point&lt;=I470)*(Cap_Kind="Group")*Cap_Ln))</x:f>
        <x:v>1000000.000000001</x:v>
      </x:c>
      <x:c r="N470" s="32" t="n">
        <x:f>MIN(J470,L470,M470)</x:f>
        <x:v>4514.300360064293</x:v>
      </x:c>
      <x:c r="O470" s="10" t="n">
        <x:f>AE469*N470</x:f>
        <x:v>67714.5054009644</x:v>
      </x:c>
      <x:c r="P470" s="9" t="n">
        <x:f>MIN(1,(AB469/(AE469*IF(tun_GroupInCrowding=1,N470,MIN(J470,L470))))^tun_CrowdingExp)</x:f>
        <x:v>0.003095738532811582</x:v>
      </x:c>
      <x:c r="Q470" s="9" t="n">
        <x:f>IF(D470=1,INDEX(tun_WinterMult,G470),1)</x:f>
        <x:v>1</x:v>
      </x:c>
      <x:c r="R470" s="9" t="n">
        <x:f>H470*Z469*tun_WomenShare*tun_BaseFertility*INDEX(tun_FertMult,G470)*Arch_Fertility*(1-P470)</x:f>
        <x:v>600.6357601315136</x:v>
      </x:c>
      <x:c r="S470" s="9" t="n">
        <x:f>H470*Y469*INDEX(tun_MortChild,G470)/4*Q470</x:f>
        <x:v>57.83091510901351</x:v>
      </x:c>
      <x:c r="T470" s="9" t="n">
        <x:f>H470*Z469*INDEX(tun_MortAdult,G470)*Arch_AdultMort/4*Q470</x:f>
        <x:v>18.075028365738888</x:v>
      </x:c>
      <x:c r="U470" s="9" t="n">
        <x:f>H470*AA469*INDEX(tun_MortElder,G470)/4*Q470</x:f>
        <x:v>31.97464741776731</x:v>
      </x:c>
      <x:c r="V470" s="9" t="n">
        <x:f>H470*MAX(0,AB469-O470)*tun_OvercapLoss</x:f>
        <x:v>0</x:v>
      </x:c>
      <x:c r="W470" s="9" t="n">
        <x:f>H470*Y469/(tun_ChildYears*4)</x:f>
        <x:v>242.987038273166</x:v>
      </x:c>
      <x:c r="X470" s="9" t="n">
        <x:f>H470*Z469/(tun_AdultYears*4)</x:f>
        <x:v>74.75197835293172</x:v>
      </x:c>
      <x:c r="Y470" s="32" t="n">
        <x:f>Y469+R470-S470-W470-Y469*V470/AB469</x:f>
        <x:v>13907.09195004663</x:v>
      </x:c>
      <x:c r="Z470" s="32" t="n">
        <x:f>Z469+W470-X470-T470-Z469*V470/AB469</x:f>
        <x:v>9419.405347318028</x:v>
      </x:c>
      <x:c r="AA470" s="32" t="n">
        <x:f>AA469+X470-U470-AA469*V470/AB469</x:f>
        <x:v>3017.1631372391007</x:v>
      </x:c>
      <x:c r="AB470" s="10" t="n">
        <x:f>Y470+Z470+AA470</x:f>
        <x:v>26343.66043460376</x:v>
      </x:c>
      <x:c r="AC470" s="8" t="n">
        <x:f>IF(AND(tun_WinterTrigger=1,D470=1,AB469/AE469&gt;=K470),1,0)</x:f>
        <x:v>0</x:v>
      </x:c>
      <x:c r="AD470" s="8" t="n">
        <x:f>H470*IF(AND(OR(AB469/AE469&gt;=tun_FissionTrigger*N470,AC470=1),AB469/AE469*tun_DaughterShare&gt;=tun_MinDaughter),MAX(1,ROUND(AE469*tun_FissionRate,0)),0)</x:f>
        <x:v>0</x:v>
      </x:c>
      <x:c r="AE470" s="8" t="n">
        <x:f>IF(H470=1,MAX(1,MIN(INDEX(tun_Smax,G470),AE469+AD470)),AE469)</x:f>
        <x:v>15</x:v>
      </x:c>
      <x:c r="AF470" s="8" t="n">
        <x:f>MAX(0,AE470-AE469)</x:f>
        <x:v>0</x:v>
      </x:c>
      <x:c r="AG470" s="9" t="str">
        <x:f>IF(AF470&gt;0,B470,"")</x:f>
      </x:c>
      <x:c r="AH470" s="9" t="n">
        <x:f>IF(F470&gt;=1,1,(1+tun_LowTiesShare*(AE470-1))/AE470)</x:f>
        <x:v>1</x:v>
      </x:c>
      <x:c r="AI470" s="32" t="n">
        <x:f>(Z470+tun_ElderCommons*INDEX(LM_Elder,G470)*AA470)*AH470</x:f>
        <x:v>20733.767111964655</x:v>
      </x:c>
      <x:c r="AJ470" s="32" t="n">
        <x:f>H470*tun_CommonsCoef*AI470^tun_CommonsExp*INDEX(LM_Commons,G470)</x:f>
        <x:v>43744.597130693524</x:v>
      </x:c>
      <x:c r="AK470" s="32" t="n">
        <x:f>H470*tun_RoleScale*Arch_Roles*(AE470*(INDEX(tun_ElderRolePerSett,G470)*tun_OutElder*INDEX(LM_Elder,G470)+INDEX(tun_ShamanPerSett,G470)*tun_OutShaman)+Z470*(INDEX(tun_PriestShare,G470)*tun_OutPriest+INDEX(tun_ScribeShare,G470)*tun_OutScribe*INDEX(LM_Scribe,G470)+INDEX(tun_ScholarShare,G470)*tun_OutScholar*INDEX(LM_Scholar,G470)+INDEX(tun_ResearcherShare,G470)*tun_OutResearcher*INDEX(LM_Researcher,G470)))</x:f>
        <x:v>13952.36554672668</x:v>
      </x:c>
      <x:c r="AL470" s="32" t="n">
        <x:f>H470*tun_RoleScale*Arch_Roles*AE470*INDEX(tun_MonasteryPerSett,G470)*tun_OutMonastery*INDEX(LM_Monastery,G470)</x:f>
        <x:v>79.2</x:v>
      </x:c>
      <x:c r="AM470" s="32" t="n">
        <x:f>(AJ470+AK470+AL470)/4*INDEX(LM_All,G470)*INDEX(tun_Boon,G470)*Arch_Insight</x:f>
        <x:v>34769.84179719178</x:v>
      </x:c>
      <x:c r="AN470" s="32" t="n">
        <x:f>H470*(tun_KHPerAdult*Z470+tun_KHOfCommons*AJ470/4*INDEX(LM_All,G470))*tun_KHUsable*Arch_KH</x:f>
        <x:v>5425.971003837726</x:v>
      </x:c>
      <x:c r="AO470" s="32" t="n">
        <x:f>MIN(AP469+AN470,AM470*tun_KHMaxRatio)</x:f>
        <x:v>5425.971003837726</x:v>
      </x:c>
      <x:c r="AP470" s="32" t="n">
        <x:f>AP469+AN470-AO470</x:f>
        <x:v>0</x:v>
      </x:c>
      <x:c r="AQ470" s="32" t="n">
        <x:f>AM470+AO470</x:f>
        <x:v>40195.812801029504</x:v>
      </x:c>
      <x:c r="AR470" s="10" t="n">
        <x:f>IF(H470=1,INDEX(tun_Req,G470),0)</x:f>
        <x:v>3142139.1800715</x:v>
      </x:c>
      <x:c r="AS470" s="32" t="n">
        <x:f>IF(H470=1,IF(E470=1,AS469-AR469,AS469)+AQ470,0)</x:f>
        <x:v>1978386.123028643</x:v>
      </x:c>
      <x:c r="AT470" s="11" t="n">
        <x:f>IF(AR470&gt;0,MIN(1,AS470/AR470),1)</x:f>
        <x:v>0.629630328145943</x:v>
      </x:c>
      <x:c r="AU470" s="10" t="n">
        <x:f>AB470/INDEX(tun_RepScale,G470)</x:f>
        <x:v>263.4366043460376</x:v>
      </x:c>
      <x:c r="AV470" s="32" t="n">
        <x:f>AM470*60/tun_SeasonSeconds</x:f>
        <x:v>139079.36718876712</x:v>
      </x:c>
    </x:row>
    <x:row r="471">
      <x:c r="A471" s="8" t="n">
        <x:f>A470+1</x:f>
        <x:v>468</x:v>
      </x:c>
      <x:c r="B471" s="9" t="n">
        <x:f>A471*tun_SeasonSeconds/60</x:f>
        <x:v>117</x:v>
      </x:c>
      <x:c r="C471" s="9" t="n">
        <x:f>A471/4</x:f>
        <x:v>117</x:v>
      </x:c>
      <x:c r="D471" s="8" t="n">
        <x:f>IF(MOD(A471,4)=0,1,0)</x:f>
        <x:v>1</x:v>
      </x:c>
      <x:c r="E471" s="8" t="n">
        <x:f>IF(AND(F470&lt;=9,AS470&gt;=AR470),1,0)</x:f>
        <x:v>0</x:v>
      </x:c>
      <x:c r="F471" s="8" t="n">
        <x:f>MIN(10,F470+E471)</x:f>
        <x:v>7</x:v>
      </x:c>
      <x:c r="G471" s="8" t="n">
        <x:f>MIN(F471,9)+1</x:f>
        <x:v>8</x:v>
      </x:c>
      <x:c r="H471" s="8" t="n">
        <x:f>IF(F471&lt;=9,1,0)</x:f>
        <x:v>1</x:v>
      </x:c>
      <x:c r="I471" s="9" t="n">
        <x:f>MIN(10,F470+IF(AR470&gt;0,MIN(1,AS470/AR470),1))</x:f>
        <x:v>7.629630328145943</x:v>
      </x:c>
      <x:c r="J471" s="32" t="n">
        <x:f>INDEX(tun_FoodCap,G471)*Arch_FoodCap*EXP(tun_CapsByProject*SUMPRODUCT((Cap_Point&lt;=I471)*(Cap_Kind="Food")*Cap_Ln))</x:f>
        <x:v>4514.300360064293</x:v>
      </x:c>
      <x:c r="K471" s="32" t="n">
        <x:f>J471*MIN(1,tun_LeanBase*EXP(tun_CapsByProject*SUMPRODUCT((Cap_Point&lt;=I471)*(Cap_Kind="Lean")*Cap_Ln)))</x:f>
        <x:v>4514.300360064293</x:v>
      </x:c>
      <x:c r="L471" s="10" t="n">
        <x:f>INDEX(tun_HousingCap,G471)*EXP(tun_CapsByProject*SUMPRODUCT((Cap_Point&lt;=I471)*(Cap_Kind="Housing")*Cap_Ln))</x:f>
        <x:v>5983.37642068151</x:v>
      </x:c>
      <x:c r="M471" s="10" t="n">
        <x:f>INDEX(tun_GroupCap,G471)*tun_CohesionFactor*EXP(tun_CapsByProject*SUMPRODUCT((Cap_Point&lt;=I471)*(Cap_Kind="Group")*Cap_Ln))</x:f>
        <x:v>1000000.000000001</x:v>
      </x:c>
      <x:c r="N471" s="32" t="n">
        <x:f>MIN(J471,L471,M471)</x:f>
        <x:v>4514.300360064293</x:v>
      </x:c>
      <x:c r="O471" s="10" t="n">
        <x:f>AE470*N471</x:f>
        <x:v>67714.5054009644</x:v>
      </x:c>
      <x:c r="P471" s="9" t="n">
        <x:f>MIN(1,(AB470/(AE470*IF(tun_GroupInCrowding=1,N471,MIN(J471,L471))))^tun_CrowdingExp)</x:f>
        <x:v>0.0034671006918303017</x:v>
      </x:c>
      <x:c r="Q471" s="9" t="n">
        <x:f>IF(D471=1,INDEX(tun_WinterMult,G471),1)</x:f>
        <x:v>1.08</x:v>
      </x:c>
      <x:c r="R471" s="9" t="n">
        <x:f>H471*Z470*tun_WomenShare*tun_BaseFertility*INDEX(tun_FertMult,G471)*Arch_Fertility*(1-P471)</x:f>
        <x:v>610.1385758339112</x:v>
      </x:c>
      <x:c r="S471" s="9" t="n">
        <x:f>H471*Y470*INDEX(tun_MortChild,G471)/4*Q471</x:f>
        <x:v>63.83355205071404</x:v>
      </x:c>
      <x:c r="T471" s="9" t="n">
        <x:f>H471*Z470*INDEX(tun_MortAdult,G471)*Arch_AdultMort/4*Q471</x:f>
        <x:v>19.837267661451765</x:v>
      </x:c>
      <x:c r="U471" s="9" t="n">
        <x:f>H471*AA470*INDEX(tun_MortElder,G471)/4*Q471</x:f>
        <x:v>35.02926402334596</x:v>
      </x:c>
      <x:c r="V471" s="9" t="n">
        <x:f>H471*MAX(0,AB470-O471)*tun_OvercapLoss</x:f>
        <x:v>0</x:v>
      </x:c>
      <x:c r="W471" s="9" t="n">
        <x:f>H471*Y470/(tun_ChildYears*4)</x:f>
        <x:v>248.3409276794041</x:v>
      </x:c>
      <x:c r="X471" s="9" t="n">
        <x:f>H471*Z470/(tun_AdultYears*4)</x:f>
        <x:v>75.96294634933894</x:v>
      </x:c>
      <x:c r="Y471" s="32" t="n">
        <x:f>Y470+R471-S471-W471-Y470*V471/AB470</x:f>
        <x:v>14205.056046150423</x:v>
      </x:c>
      <x:c r="Z471" s="32" t="n">
        <x:f>Z470+W471-X471-T471-Z470*V471/AB470</x:f>
        <x:v>9571.946060986642</x:v>
      </x:c>
      <x:c r="AA471" s="32" t="n">
        <x:f>AA470+X471-U471-AA470*V471/AB470</x:f>
        <x:v>3058.0968195650935</x:v>
      </x:c>
      <x:c r="AB471" s="10" t="n">
        <x:f>Y471+Z471+AA471</x:f>
        <x:v>26835.098926702158</x:v>
      </x:c>
      <x:c r="AC471" s="8" t="n">
        <x:f>IF(AND(tun_WinterTrigger=1,D471=1,AB470/AE470&gt;=K471),1,0)</x:f>
        <x:v>0</x:v>
      </x:c>
      <x:c r="AD471" s="8" t="n">
        <x:f>H471*IF(AND(OR(AB470/AE470&gt;=tun_FissionTrigger*N471,AC471=1),AB470/AE470*tun_DaughterShare&gt;=tun_MinDaughter),MAX(1,ROUND(AE470*tun_FissionRate,0)),0)</x:f>
        <x:v>0</x:v>
      </x:c>
      <x:c r="AE471" s="8" t="n">
        <x:f>IF(H471=1,MAX(1,MIN(INDEX(tun_Smax,G471),AE470+AD471)),AE470)</x:f>
        <x:v>15</x:v>
      </x:c>
      <x:c r="AF471" s="8" t="n">
        <x:f>MAX(0,AE471-AE470)</x:f>
        <x:v>0</x:v>
      </x:c>
      <x:c r="AG471" s="9" t="str">
        <x:f>IF(AF471&gt;0,B471,"")</x:f>
      </x:c>
      <x:c r="AH471" s="9" t="n">
        <x:f>IF(F471&gt;=1,1,(1+tun_LowTiesShare*(AE471-1))/AE471)</x:f>
        <x:v>1</x:v>
      </x:c>
      <x:c r="AI471" s="32" t="n">
        <x:f>(Z471+tun_ElderCommons*INDEX(LM_Elder,G471)*AA471)*AH471</x:f>
        <x:v>21039.809134355743</x:v>
      </x:c>
      <x:c r="AJ471" s="32" t="n">
        <x:f>H471*tun_CommonsCoef*AI471^tun_CommonsExp*INDEX(LM_Commons,G471)</x:f>
        <x:v>44292.83350598591</x:v>
      </x:c>
      <x:c r="AK471" s="32" t="n">
        <x:f>H471*tun_RoleScale*Arch_Roles*(AE471*(INDEX(tun_ElderRolePerSett,G471)*tun_OutElder*INDEX(LM_Elder,G471)+INDEX(tun_ShamanPerSett,G471)*tun_OutShaman)+Z471*(INDEX(tun_PriestShare,G471)*tun_OutPriest+INDEX(tun_ScribeShare,G471)*tun_OutScribe*INDEX(LM_Scribe,G471)+INDEX(tun_ScholarShare,G471)*tun_OutScholar*INDEX(LM_Scholar,G471)+INDEX(tun_ResearcherShare,G471)*tun_OutResearcher*INDEX(LM_Researcher,G471)))</x:f>
        <x:v>14171.755702753428</x:v>
      </x:c>
      <x:c r="AL471" s="32" t="n">
        <x:f>H471*tun_RoleScale*Arch_Roles*AE471*INDEX(tun_MonasteryPerSett,G471)*tun_OutMonastery*INDEX(LM_Monastery,G471)</x:f>
        <x:v>79.2</x:v>
      </x:c>
      <x:c r="AM471" s="32" t="n">
        <x:f>(AJ471+AK471+AL471)/4*INDEX(LM_All,G471)*INDEX(tun_Boon,G471)*Arch_Insight</x:f>
        <x:v>35231.80139811426</x:v>
      </x:c>
      <x:c r="AN471" s="32" t="n">
        <x:f>H471*(tun_KHPerAdult*Z471+tun_KHOfCommons*AJ471/4*INDEX(LM_All,G471))*tun_KHUsable*Arch_KH</x:f>
        <x:v>5493.972879971095</x:v>
      </x:c>
      <x:c r="AO471" s="32" t="n">
        <x:f>MIN(AP470+AN471,AM471*tun_KHMaxRatio)</x:f>
        <x:v>5493.972879971095</x:v>
      </x:c>
      <x:c r="AP471" s="32" t="n">
        <x:f>AP470+AN471-AO471</x:f>
        <x:v>0</x:v>
      </x:c>
      <x:c r="AQ471" s="32" t="n">
        <x:f>AM471+AO471</x:f>
        <x:v>40725.77427808535</x:v>
      </x:c>
      <x:c r="AR471" s="10" t="n">
        <x:f>IF(H471=1,INDEX(tun_Req,G471),0)</x:f>
        <x:v>3142139.1800715</x:v>
      </x:c>
      <x:c r="AS471" s="32" t="n">
        <x:f>IF(H471=1,IF(E471=1,AS470-AR470,AS470)+AQ471,0)</x:f>
        <x:v>2019111.8973067284</x:v>
      </x:c>
      <x:c r="AT471" s="11" t="n">
        <x:f>IF(AR471&gt;0,MIN(1,AS471/AR471),1)</x:f>
        <x:v>0.6425914899354596</x:v>
      </x:c>
      <x:c r="AU471" s="10" t="n">
        <x:f>AB471/INDEX(tun_RepScale,G471)</x:f>
        <x:v>268.3509892670216</x:v>
      </x:c>
      <x:c r="AV471" s="32" t="n">
        <x:f>AM471*60/tun_SeasonSeconds</x:f>
        <x:v>140927.20559245703</x:v>
      </x:c>
    </x:row>
    <x:row r="472">
      <x:c r="A472" s="8" t="n">
        <x:f>A471+1</x:f>
        <x:v>469</x:v>
      </x:c>
      <x:c r="B472" s="9" t="n">
        <x:f>A472*tun_SeasonSeconds/60</x:f>
        <x:v>117.25</x:v>
      </x:c>
      <x:c r="C472" s="9" t="n">
        <x:f>A472/4</x:f>
        <x:v>117.25</x:v>
      </x:c>
      <x:c r="D472" s="8" t="n">
        <x:f>IF(MOD(A472,4)=0,1,0)</x:f>
        <x:v>0</x:v>
      </x:c>
      <x:c r="E472" s="8" t="n">
        <x:f>IF(AND(F471&lt;=9,AS471&gt;=AR471),1,0)</x:f>
        <x:v>0</x:v>
      </x:c>
      <x:c r="F472" s="8" t="n">
        <x:f>MIN(10,F471+E472)</x:f>
        <x:v>7</x:v>
      </x:c>
      <x:c r="G472" s="8" t="n">
        <x:f>MIN(F472,9)+1</x:f>
        <x:v>8</x:v>
      </x:c>
      <x:c r="H472" s="8" t="n">
        <x:f>IF(F472&lt;=9,1,0)</x:f>
        <x:v>1</x:v>
      </x:c>
      <x:c r="I472" s="9" t="n">
        <x:f>MIN(10,F471+IF(AR471&gt;0,MIN(1,AS471/AR471),1))</x:f>
        <x:v>7.64259148993546</x:v>
      </x:c>
      <x:c r="J472" s="32" t="n">
        <x:f>INDEX(tun_FoodCap,G472)*Arch_FoodCap*EXP(tun_CapsByProject*SUMPRODUCT((Cap_Point&lt;=I472)*(Cap_Kind="Food")*Cap_Ln))</x:f>
        <x:v>4514.300360064293</x:v>
      </x:c>
      <x:c r="K472" s="32" t="n">
        <x:f>J472*MIN(1,tun_LeanBase*EXP(tun_CapsByProject*SUMPRODUCT((Cap_Point&lt;=I472)*(Cap_Kind="Lean")*Cap_Ln)))</x:f>
        <x:v>4514.300360064293</x:v>
      </x:c>
      <x:c r="L472" s="10" t="n">
        <x:f>INDEX(tun_HousingCap,G472)*EXP(tun_CapsByProject*SUMPRODUCT((Cap_Point&lt;=I472)*(Cap_Kind="Housing")*Cap_Ln))</x:f>
        <x:v>5983.37642068151</x:v>
      </x:c>
      <x:c r="M472" s="10" t="n">
        <x:f>INDEX(tun_GroupCap,G472)*tun_CohesionFactor*EXP(tun_CapsByProject*SUMPRODUCT((Cap_Point&lt;=I472)*(Cap_Kind="Group")*Cap_Ln))</x:f>
        <x:v>1000000.000000001</x:v>
      </x:c>
      <x:c r="N472" s="32" t="n">
        <x:f>MIN(J472,L472,M472)</x:f>
        <x:v>4514.300360064293</x:v>
      </x:c>
      <x:c r="O472" s="10" t="n">
        <x:f>AE471*N472</x:f>
        <x:v>67714.5054009644</x:v>
      </x:c>
      <x:c r="P472" s="9" t="n">
        <x:f>MIN(1,(AB471/(AE471*IF(tun_GroupInCrowding=1,N472,MIN(J472,L472))))^tun_CrowdingExp)</x:f>
        <x:v>0.003873726369273567</x:v>
      </x:c>
      <x:c r="Q472" s="9" t="n">
        <x:f>IF(D472=1,INDEX(tun_WinterMult,G472),1)</x:f>
        <x:v>1</x:v>
      </x:c>
      <x:c r="R472" s="9" t="n">
        <x:f>H472*Z471*tun_WomenShare*tun_BaseFertility*INDEX(tun_FertMult,G472)*Arch_Fertility*(1-P472)</x:f>
        <x:v>619.7663524731207</x:v>
      </x:c>
      <x:c r="S472" s="9" t="n">
        <x:f>H472*Y471*INDEX(tun_MortChild,G472)/4*Q472</x:f>
        <x:v>60.3714881961393</x:v>
      </x:c>
      <x:c r="T472" s="9" t="n">
        <x:f>H472*Z471*INDEX(tun_MortAdult,G472)*Arch_AdultMort/4*Q472</x:f>
        <x:v>18.66529481892395</x:v>
      </x:c>
      <x:c r="U472" s="9" t="n">
        <x:f>H472*AA471*INDEX(tun_MortElder,G472)/4*Q472</x:f>
        <x:v>32.87454081032475</x:v>
      </x:c>
      <x:c r="V472" s="9" t="n">
        <x:f>H472*MAX(0,AB471-O472)*tun_OvercapLoss</x:f>
        <x:v>0</x:v>
      </x:c>
      <x:c r="W472" s="9" t="n">
        <x:f>H472*Y471/(tun_ChildYears*4)</x:f>
        <x:v>253.66171510982898</x:v>
      </x:c>
      <x:c r="X472" s="9" t="n">
        <x:f>H472*Z471/(tun_AdultYears*4)</x:f>
        <x:v>77.19311339505356</x:v>
      </x:c>
      <x:c r="Y472" s="32" t="n">
        <x:f>Y471+R472-S472-W472-Y471*V472/AB471</x:f>
        <x:v>14510.789195317577</x:v>
      </x:c>
      <x:c r="Z472" s="32" t="n">
        <x:f>Z471+W472-X472-T472-Z471*V472/AB471</x:f>
        <x:v>9729.749367882494</x:v>
      </x:c>
      <x:c r="AA472" s="32" t="n">
        <x:f>AA471+X472-U472-AA471*V472/AB471</x:f>
        <x:v>3102.4153921498223</x:v>
      </x:c>
      <x:c r="AB472" s="10" t="n">
        <x:f>Y472+Z472+AA472</x:f>
        <x:v>27342.95395534989</x:v>
      </x:c>
      <x:c r="AC472" s="8" t="n">
        <x:f>IF(AND(tun_WinterTrigger=1,D472=1,AB471/AE471&gt;=K472),1,0)</x:f>
        <x:v>0</x:v>
      </x:c>
      <x:c r="AD472" s="8" t="n">
        <x:f>H472*IF(AND(OR(AB471/AE471&gt;=tun_FissionTrigger*N472,AC472=1),AB471/AE471*tun_DaughterShare&gt;=tun_MinDaughter),MAX(1,ROUND(AE471*tun_FissionRate,0)),0)</x:f>
        <x:v>0</x:v>
      </x:c>
      <x:c r="AE472" s="8" t="n">
        <x:f>IF(H472=1,MAX(1,MIN(INDEX(tun_Smax,G472),AE471+AD472)),AE471)</x:f>
        <x:v>15</x:v>
      </x:c>
      <x:c r="AF472" s="8" t="n">
        <x:f>MAX(0,AE472-AE471)</x:f>
        <x:v>0</x:v>
      </x:c>
      <x:c r="AG472" s="9" t="str">
        <x:f>IF(AF472&gt;0,B472,"")</x:f>
      </x:c>
      <x:c r="AH472" s="9" t="n">
        <x:f>IF(F472&gt;=1,1,(1+tun_LowTiesShare*(AE472-1))/AE472)</x:f>
        <x:v>1</x:v>
      </x:c>
      <x:c r="AI472" s="32" t="n">
        <x:f>(Z472+tun_ElderCommons*INDEX(LM_Elder,G472)*AA472)*AH472</x:f>
        <x:v>21363.80708844433</x:v>
      </x:c>
      <x:c r="AJ472" s="32" t="n">
        <x:f>H472*tun_CommonsCoef*AI472^tun_CommonsExp*INDEX(LM_Commons,G472)</x:f>
        <x:v>44871.93398625178</x:v>
      </x:c>
      <x:c r="AK472" s="32" t="n">
        <x:f>H472*tun_RoleScale*Arch_Roles*(AE472*(INDEX(tun_ElderRolePerSett,G472)*tun_OutElder*INDEX(LM_Elder,G472)+INDEX(tun_ShamanPerSett,G472)*tun_OutShaman)+Z472*(INDEX(tun_PriestShare,G472)*tun_OutPriest+INDEX(tun_ScribeShare,G472)*tun_OutScribe*INDEX(LM_Scribe,G472)+INDEX(tun_ScholarShare,G472)*tun_OutScholar*INDEX(LM_Scholar,G472)+INDEX(tun_ResearcherShare,G472)*tun_OutResearcher*INDEX(LM_Researcher,G472)))</x:f>
        <x:v>14398.714730863318</x:v>
      </x:c>
      <x:c r="AL472" s="32" t="n">
        <x:f>H472*tun_RoleScale*Arch_Roles*AE472*INDEX(tun_MonasteryPerSett,G472)*tun_OutMonastery*INDEX(LM_Monastery,G472)</x:f>
        <x:v>79.2</x:v>
      </x:c>
      <x:c r="AM472" s="32" t="n">
        <x:f>(AJ472+AK472+AL472)/4*INDEX(LM_All,G472)*INDEX(tun_Boon,G472)*Arch_Insight</x:f>
        <x:v>35716.89006247965</x:v>
      </x:c>
      <x:c r="AN472" s="32" t="n">
        <x:f>H472*(tun_KHPerAdult*Z472+tun_KHOfCommons*AJ472/4*INDEX(LM_All,G472))*tun_KHUsable*Arch_KH</x:f>
        <x:v>5565.803062904164</x:v>
      </x:c>
      <x:c r="AO472" s="32" t="n">
        <x:f>MIN(AP471+AN472,AM472*tun_KHMaxRatio)</x:f>
        <x:v>5565.803062904164</x:v>
      </x:c>
      <x:c r="AP472" s="32" t="n">
        <x:f>AP471+AN472-AO472</x:f>
        <x:v>0</x:v>
      </x:c>
      <x:c r="AQ472" s="32" t="n">
        <x:f>AM472+AO472</x:f>
        <x:v>41282.69312538381</x:v>
      </x:c>
      <x:c r="AR472" s="10" t="n">
        <x:f>IF(H472=1,INDEX(tun_Req,G472),0)</x:f>
        <x:v>3142139.1800715</x:v>
      </x:c>
      <x:c r="AS472" s="32" t="n">
        <x:f>IF(H472=1,IF(E472=1,AS471-AR471,AS471)+AQ472,0)</x:f>
        <x:v>2060394.590432112</x:v>
      </x:c>
      <x:c r="AT472" s="11" t="n">
        <x:f>IF(AR472&gt;0,MIN(1,AS472/AR472),1)</x:f>
        <x:v>0.6557298936660175</x:v>
      </x:c>
      <x:c r="AU472" s="10" t="n">
        <x:f>AB472/INDEX(tun_RepScale,G472)</x:f>
        <x:v>273.4295395534989</x:v>
      </x:c>
      <x:c r="AV472" s="32" t="n">
        <x:f>AM472*60/tun_SeasonSeconds</x:f>
        <x:v>142867.5602499186</x:v>
      </x:c>
    </x:row>
    <x:row r="473">
      <x:c r="A473" s="8" t="n">
        <x:f>A472+1</x:f>
        <x:v>470</x:v>
      </x:c>
      <x:c r="B473" s="9" t="n">
        <x:f>A473*tun_SeasonSeconds/60</x:f>
        <x:v>117.5</x:v>
      </x:c>
      <x:c r="C473" s="9" t="n">
        <x:f>A473/4</x:f>
        <x:v>117.5</x:v>
      </x:c>
      <x:c r="D473" s="8" t="n">
        <x:f>IF(MOD(A473,4)=0,1,0)</x:f>
        <x:v>0</x:v>
      </x:c>
      <x:c r="E473" s="8" t="n">
        <x:f>IF(AND(F472&lt;=9,AS472&gt;=AR472),1,0)</x:f>
        <x:v>0</x:v>
      </x:c>
      <x:c r="F473" s="8" t="n">
        <x:f>MIN(10,F472+E473)</x:f>
        <x:v>7</x:v>
      </x:c>
      <x:c r="G473" s="8" t="n">
        <x:f>MIN(F473,9)+1</x:f>
        <x:v>8</x:v>
      </x:c>
      <x:c r="H473" s="8" t="n">
        <x:f>IF(F473&lt;=9,1,0)</x:f>
        <x:v>1</x:v>
      </x:c>
      <x:c r="I473" s="9" t="n">
        <x:f>MIN(10,F472+IF(AR472&gt;0,MIN(1,AS472/AR472),1))</x:f>
        <x:v>7.655729893666018</x:v>
      </x:c>
      <x:c r="J473" s="32" t="n">
        <x:f>INDEX(tun_FoodCap,G473)*Arch_FoodCap*EXP(tun_CapsByProject*SUMPRODUCT((Cap_Point&lt;=I473)*(Cap_Kind="Food")*Cap_Ln))</x:f>
        <x:v>4514.300360064293</x:v>
      </x:c>
      <x:c r="K473" s="32" t="n">
        <x:f>J473*MIN(1,tun_LeanBase*EXP(tun_CapsByProject*SUMPRODUCT((Cap_Point&lt;=I473)*(Cap_Kind="Lean")*Cap_Ln)))</x:f>
        <x:v>4514.300360064293</x:v>
      </x:c>
      <x:c r="L473" s="10" t="n">
        <x:f>INDEX(tun_HousingCap,G473)*EXP(tun_CapsByProject*SUMPRODUCT((Cap_Point&lt;=I473)*(Cap_Kind="Housing")*Cap_Ln))</x:f>
        <x:v>5983.37642068151</x:v>
      </x:c>
      <x:c r="M473" s="10" t="n">
        <x:f>INDEX(tun_GroupCap,G473)*tun_CohesionFactor*EXP(tun_CapsByProject*SUMPRODUCT((Cap_Point&lt;=I473)*(Cap_Kind="Group")*Cap_Ln))</x:f>
        <x:v>1000000.000000001</x:v>
      </x:c>
      <x:c r="N473" s="32" t="n">
        <x:f>MIN(J473,L473,M473)</x:f>
        <x:v>4514.300360064293</x:v>
      </x:c>
      <x:c r="O473" s="10" t="n">
        <x:f>AE472*N473</x:f>
        <x:v>67714.5054009644</x:v>
      </x:c>
      <x:c r="P473" s="9" t="n">
        <x:f>MIN(1,(AB472/(AE472*IF(tun_GroupInCrowding=1,N473,MIN(J473,L473))))^tun_CrowdingExp)</x:f>
        <x:v>0.004334932335073924</x:v>
      </x:c>
      <x:c r="Q473" s="9" t="n">
        <x:f>IF(D473=1,INDEX(tun_WinterMult,G473),1)</x:f>
        <x:v>1</x:v>
      </x:c>
      <x:c r="R473" s="9" t="n">
        <x:f>H473*Z472*tun_WomenShare*tun_BaseFertility*INDEX(tun_FertMult,G473)*Arch_Fertility*(1-P473)</x:f>
        <x:v>629.6921515778073</x:v>
      </x:c>
      <x:c r="S473" s="9" t="n">
        <x:f>H473*Y472*INDEX(tun_MortChild,G473)/4*Q473</x:f>
        <x:v>61.67085408009971</x:v>
      </x:c>
      <x:c r="T473" s="9" t="n">
        <x:f>H473*Z472*INDEX(tun_MortAdult,G473)*Arch_AdultMort/4*Q473</x:f>
        <x:v>18.97301126737086</x:v>
      </x:c>
      <x:c r="U473" s="9" t="n">
        <x:f>H473*AA472*INDEX(tun_MortElder,G473)/4*Q473</x:f>
        <x:v>33.350965465610585</x:v>
      </x:c>
      <x:c r="V473" s="9" t="n">
        <x:f>H473*MAX(0,AB472-O473)*tun_OvercapLoss</x:f>
        <x:v>0</x:v>
      </x:c>
      <x:c r="W473" s="9" t="n">
        <x:f>H473*Y472/(tun_ChildYears*4)</x:f>
        <x:v>259.12123563067104</x:v>
      </x:c>
      <x:c r="X473" s="9" t="n">
        <x:f>H473*Z472/(tun_AdultYears*4)</x:f>
        <x:v>78.46572070872979</x:v>
      </x:c>
      <x:c r="Y473" s="32" t="n">
        <x:f>Y472+R473-S473-W473-Y472*V473/AB472</x:f>
        <x:v>14819.689257184613</x:v>
      </x:c>
      <x:c r="Z473" s="32" t="n">
        <x:f>Z472+W473-X473-T473-Z472*V473/AB472</x:f>
        <x:v>9891.431871537065</x:v>
      </x:c>
      <x:c r="AA473" s="32" t="n">
        <x:f>AA472+X473-U473-AA472*V473/AB472</x:f>
        <x:v>3147.5301473929417</x:v>
      </x:c>
      <x:c r="AB473" s="10" t="n">
        <x:f>Y473+Z473+AA473</x:f>
        <x:v>27858.651276114622</x:v>
      </x:c>
      <x:c r="AC473" s="8" t="n">
        <x:f>IF(AND(tun_WinterTrigger=1,D473=1,AB472/AE472&gt;=K473),1,0)</x:f>
        <x:v>0</x:v>
      </x:c>
      <x:c r="AD473" s="8" t="n">
        <x:f>H473*IF(AND(OR(AB472/AE472&gt;=tun_FissionTrigger*N473,AC473=1),AB472/AE472*tun_DaughterShare&gt;=tun_MinDaughter),MAX(1,ROUND(AE472*tun_FissionRate,0)),0)</x:f>
        <x:v>0</x:v>
      </x:c>
      <x:c r="AE473" s="8" t="n">
        <x:f>IF(H473=1,MAX(1,MIN(INDEX(tun_Smax,G473),AE472+AD473)),AE472)</x:f>
        <x:v>15</x:v>
      </x:c>
      <x:c r="AF473" s="8" t="n">
        <x:f>MAX(0,AE473-AE472)</x:f>
        <x:v>0</x:v>
      </x:c>
      <x:c r="AG473" s="9" t="str">
        <x:f>IF(AF473&gt;0,B473,"")</x:f>
      </x:c>
      <x:c r="AH473" s="9" t="n">
        <x:f>IF(F473&gt;=1,1,(1+tun_LowTiesShare*(AE473-1))/AE473)</x:f>
        <x:v>1</x:v>
      </x:c>
      <x:c r="AI473" s="32" t="n">
        <x:f>(Z473+tun_ElderCommons*INDEX(LM_Elder,G473)*AA473)*AH473</x:f>
        <x:v>21694.669924260597</x:v>
      </x:c>
      <x:c r="AJ473" s="32" t="n">
        <x:f>H473*tun_CommonsCoef*AI473^tun_CommonsExp*INDEX(LM_Commons,G473)</x:f>
        <x:v>45461.94658839917</x:v>
      </x:c>
      <x:c r="AK473" s="32" t="n">
        <x:f>H473*tun_RoleScale*Arch_Roles*(AE473*(INDEX(tun_ElderRolePerSett,G473)*tun_OutElder*INDEX(LM_Elder,G473)+INDEX(tun_ShamanPerSett,G473)*tun_OutShaman)+Z473*(INDEX(tun_PriestShare,G473)*tun_OutPriest+INDEX(tun_ScribeShare,G473)*tun_OutScribe*INDEX(LM_Scribe,G473)+INDEX(tun_ScholarShare,G473)*tun_OutScholar*INDEX(LM_Scholar,G473)+INDEX(tun_ResearcherShare,G473)*tun_OutResearcher*INDEX(LM_Researcher,G473)))</x:f>
        <x:v>14631.252974919467</x:v>
      </x:c>
      <x:c r="AL473" s="32" t="n">
        <x:f>H473*tun_RoleScale*Arch_Roles*AE473*INDEX(tun_MonasteryPerSett,G473)*tun_OutMonastery*INDEX(LM_Monastery,G473)</x:f>
        <x:v>79.2</x:v>
      </x:c>
      <x:c r="AM473" s="32" t="n">
        <x:f>(AJ473+AK473+AL473)/4*INDEX(LM_All,G473)*INDEX(tun_Boon,G473)*Arch_Insight</x:f>
        <x:v>36211.90325593669</x:v>
      </x:c>
      <x:c r="AN473" s="32" t="n">
        <x:f>H473*(tun_KHPerAdult*Z473+tun_KHOfCommons*AJ473/4*INDEX(LM_All,G473))*tun_KHUsable*Arch_KH</x:f>
        <x:v>5638.9867582891275</x:v>
      </x:c>
      <x:c r="AO473" s="32" t="n">
        <x:f>MIN(AP472+AN473,AM473*tun_KHMaxRatio)</x:f>
        <x:v>5638.9867582891275</x:v>
      </x:c>
      <x:c r="AP473" s="32" t="n">
        <x:f>AP472+AN473-AO473</x:f>
        <x:v>0</x:v>
      </x:c>
      <x:c r="AQ473" s="32" t="n">
        <x:f>AM473+AO473</x:f>
        <x:v>41850.89001422582</x:v>
      </x:c>
      <x:c r="AR473" s="10" t="n">
        <x:f>IF(H473=1,INDEX(tun_Req,G473),0)</x:f>
        <x:v>3142139.1800715</x:v>
      </x:c>
      <x:c r="AS473" s="32" t="n">
        <x:f>IF(H473=1,IF(E473=1,AS472-AR472,AS472)+AQ473,0)</x:f>
        <x:v>2102245.4804463377</x:v>
      </x:c>
      <x:c r="AT473" s="11" t="n">
        <x:f>IF(AR473&gt;0,MIN(1,AS473/AR473),1)</x:f>
        <x:v>0.6690491286253274</x:v>
      </x:c>
      <x:c r="AU473" s="10" t="n">
        <x:f>AB473/INDEX(tun_RepScale,G473)</x:f>
        <x:v>278.5865127611462</x:v>
      </x:c>
      <x:c r="AV473" s="32" t="n">
        <x:f>AM473*60/tun_SeasonSeconds</x:f>
        <x:v>144847.61302374676</x:v>
      </x:c>
    </x:row>
    <x:row r="474">
      <x:c r="A474" s="8" t="n">
        <x:f>A473+1</x:f>
        <x:v>471</x:v>
      </x:c>
      <x:c r="B474" s="9" t="n">
        <x:f>A474*tun_SeasonSeconds/60</x:f>
        <x:v>117.75</x:v>
      </x:c>
      <x:c r="C474" s="9" t="n">
        <x:f>A474/4</x:f>
        <x:v>117.75</x:v>
      </x:c>
      <x:c r="D474" s="8" t="n">
        <x:f>IF(MOD(A474,4)=0,1,0)</x:f>
        <x:v>0</x:v>
      </x:c>
      <x:c r="E474" s="8" t="n">
        <x:f>IF(AND(F473&lt;=9,AS473&gt;=AR473),1,0)</x:f>
        <x:v>0</x:v>
      </x:c>
      <x:c r="F474" s="8" t="n">
        <x:f>MIN(10,F473+E474)</x:f>
        <x:v>7</x:v>
      </x:c>
      <x:c r="G474" s="8" t="n">
        <x:f>MIN(F474,9)+1</x:f>
        <x:v>8</x:v>
      </x:c>
      <x:c r="H474" s="8" t="n">
        <x:f>IF(F474&lt;=9,1,0)</x:f>
        <x:v>1</x:v>
      </x:c>
      <x:c r="I474" s="9" t="n">
        <x:f>MIN(10,F473+IF(AR473&gt;0,MIN(1,AS473/AR473),1))</x:f>
        <x:v>7.6690491286253275</x:v>
      </x:c>
      <x:c r="J474" s="32" t="n">
        <x:f>INDEX(tun_FoodCap,G474)*Arch_FoodCap*EXP(tun_CapsByProject*SUMPRODUCT((Cap_Point&lt;=I474)*(Cap_Kind="Food")*Cap_Ln))</x:f>
        <x:v>4514.300360064293</x:v>
      </x:c>
      <x:c r="K474" s="32" t="n">
        <x:f>J474*MIN(1,tun_LeanBase*EXP(tun_CapsByProject*SUMPRODUCT((Cap_Point&lt;=I474)*(Cap_Kind="Lean")*Cap_Ln)))</x:f>
        <x:v>4514.300360064293</x:v>
      </x:c>
      <x:c r="L474" s="10" t="n">
        <x:f>INDEX(tun_HousingCap,G474)*EXP(tun_CapsByProject*SUMPRODUCT((Cap_Point&lt;=I474)*(Cap_Kind="Housing")*Cap_Ln))</x:f>
        <x:v>5983.37642068151</x:v>
      </x:c>
      <x:c r="M474" s="10" t="n">
        <x:f>INDEX(tun_GroupCap,G474)*tun_CohesionFactor*EXP(tun_CapsByProject*SUMPRODUCT((Cap_Point&lt;=I474)*(Cap_Kind="Group")*Cap_Ln))</x:f>
        <x:v>1000000.000000001</x:v>
      </x:c>
      <x:c r="N474" s="32" t="n">
        <x:f>MIN(J474,L474,M474)</x:f>
        <x:v>4514.300360064293</x:v>
      </x:c>
      <x:c r="O474" s="10" t="n">
        <x:f>AE473*N474</x:f>
        <x:v>67714.5054009644</x:v>
      </x:c>
      <x:c r="P474" s="9" t="n">
        <x:f>MIN(1,(AB473/(AE473*IF(tun_GroupInCrowding=1,N474,MIN(J474,L474))))^tun_CrowdingExp)</x:f>
        <x:v>0.004849201808128613</x:v>
      </x:c>
      <x:c r="Q474" s="9" t="n">
        <x:f>IF(D474=1,INDEX(tun_WinterMult,G474),1)</x:f>
        <x:v>1</x:v>
      </x:c>
      <x:c r="R474" s="9" t="n">
        <x:f>H474*Z473*tun_WomenShare*tun_BaseFertility*INDEX(tun_FertMult,G474)*Arch_Fertility*(1-P474)</x:f>
        <x:v>639.8253109443407</x:v>
      </x:c>
      <x:c r="S474" s="9" t="n">
        <x:f>H474*Y473*INDEX(tun_MortChild,G474)/4*Q474</x:f>
        <x:v>62.98367934303461</x:v>
      </x:c>
      <x:c r="T474" s="9" t="n">
        <x:f>H474*Z473*INDEX(tun_MortAdult,G474)*Arch_AdultMort/4*Q474</x:f>
        <x:v>19.288292149497273</x:v>
      </x:c>
      <x:c r="U474" s="9" t="n">
        <x:f>H474*AA473*INDEX(tun_MortElder,G474)/4*Q474</x:f>
        <x:v>33.83594908447412</x:v>
      </x:c>
      <x:c r="V474" s="9" t="n">
        <x:f>H474*MAX(0,AB473-O474)*tun_OvercapLoss</x:f>
        <x:v>0</x:v>
      </x:c>
      <x:c r="W474" s="9" t="n">
        <x:f>H474*Y473/(tun_ChildYears*4)</x:f>
        <x:v>264.63730816401096</x:v>
      </x:c>
      <x:c r="X474" s="9" t="n">
        <x:f>H474*Z473/(tun_AdultYears*4)</x:f>
        <x:v>79.76961186723439</x:v>
      </x:c>
      <x:c r="Y474" s="32" t="n">
        <x:f>Y473+R474-S474-W474-Y473*V474/AB473</x:f>
        <x:v>15131.893580621909</x:v>
      </x:c>
      <x:c r="Z474" s="32" t="n">
        <x:f>Z473+W474-X474-T474-Z473*V474/AB473</x:f>
        <x:v>10057.011275684345</x:v>
      </x:c>
      <x:c r="AA474" s="32" t="n">
        <x:f>AA473+X474-U474-AA473*V474/AB473</x:f>
        <x:v>3193.463810175702</x:v>
      </x:c>
      <x:c r="AB474" s="10" t="n">
        <x:f>Y474+Z474+AA474</x:f>
        <x:v>28382.368666481954</x:v>
      </x:c>
      <x:c r="AC474" s="8" t="n">
        <x:f>IF(AND(tun_WinterTrigger=1,D474=1,AB473/AE473&gt;=K474),1,0)</x:f>
        <x:v>0</x:v>
      </x:c>
      <x:c r="AD474" s="8" t="n">
        <x:f>H474*IF(AND(OR(AB473/AE473&gt;=tun_FissionTrigger*N474,AC474=1),AB473/AE473*tun_DaughterShare&gt;=tun_MinDaughter),MAX(1,ROUND(AE473*tun_FissionRate,0)),0)</x:f>
        <x:v>0</x:v>
      </x:c>
      <x:c r="AE474" s="8" t="n">
        <x:f>IF(H474=1,MAX(1,MIN(INDEX(tun_Smax,G474),AE473+AD474)),AE473)</x:f>
        <x:v>15</x:v>
      </x:c>
      <x:c r="AF474" s="8" t="n">
        <x:f>MAX(0,AE474-AE473)</x:f>
        <x:v>0</x:v>
      </x:c>
      <x:c r="AG474" s="9" t="str">
        <x:f>IF(AF474&gt;0,B474,"")</x:f>
      </x:c>
      <x:c r="AH474" s="9" t="n">
        <x:f>IF(F474&gt;=1,1,(1+tun_LowTiesShare*(AE474-1))/AE474)</x:f>
        <x:v>1</x:v>
      </x:c>
      <x:c r="AI474" s="32" t="n">
        <x:f>(Z474+tun_ElderCommons*INDEX(LM_Elder,G474)*AA474)*AH474</x:f>
        <x:v>22032.500563843227</x:v>
      </x:c>
      <x:c r="AJ474" s="32" t="n">
        <x:f>H474*tun_CommonsCoef*AI474^tun_CommonsExp*INDEX(LM_Commons,G474)</x:f>
        <x:v>46062.993592713305</x:v>
      </x:c>
      <x:c r="AK474" s="32" t="n">
        <x:f>H474*tun_RoleScale*Arch_Roles*(AE474*(INDEX(tun_ElderRolePerSett,G474)*tun_OutElder*INDEX(LM_Elder,G474)+INDEX(tun_ShamanPerSett,G474)*tun_OutShaman)+Z474*(INDEX(tun_PriestShare,G474)*tun_OutPriest+INDEX(tun_ScribeShare,G474)*tun_OutScribe*INDEX(LM_Scribe,G474)+INDEX(tun_ScholarShare,G474)*tun_OutScholar*INDEX(LM_Scholar,G474)+INDEX(tun_ResearcherShare,G474)*tun_OutResearcher*INDEX(LM_Researcher,G474)))</x:f>
        <x:v>14869.395897140252</x:v>
      </x:c>
      <x:c r="AL474" s="32" t="n">
        <x:f>H474*tun_RoleScale*Arch_Roles*AE474*INDEX(tun_MonasteryPerSett,G474)*tun_OutMonastery*INDEX(LM_Monastery,G474)</x:f>
        <x:v>79.2</x:v>
      </x:c>
      <x:c r="AM474" s="32" t="n">
        <x:f>(AJ474+AK474+AL474)/4*INDEX(LM_All,G474)*INDEX(tun_Boon,G474)*Arch_Insight</x:f>
        <x:v>36716.9298903002</x:v>
      </x:c>
      <x:c r="AN474" s="32" t="n">
        <x:f>H474*(tun_KHPerAdult*Z474+tun_KHOfCommons*AJ474/4*INDEX(LM_All,G474))*tun_KHUsable*Arch_KH</x:f>
        <x:v>5713.539133468364</x:v>
      </x:c>
      <x:c r="AO474" s="32" t="n">
        <x:f>MIN(AP473+AN474,AM474*tun_KHMaxRatio)</x:f>
        <x:v>5713.539133468364</x:v>
      </x:c>
      <x:c r="AP474" s="32" t="n">
        <x:f>AP473+AN474-AO474</x:f>
        <x:v>0</x:v>
      </x:c>
      <x:c r="AQ474" s="32" t="n">
        <x:f>AM474+AO474</x:f>
        <x:v>42430.469023768565</x:v>
      </x:c>
      <x:c r="AR474" s="10" t="n">
        <x:f>IF(H474=1,INDEX(tun_Req,G474),0)</x:f>
        <x:v>3142139.1800715</x:v>
      </x:c>
      <x:c r="AS474" s="32" t="n">
        <x:f>IF(H474=1,IF(E474=1,AS473-AR473,AS473)+AQ474,0)</x:f>
        <x:v>2144675.9494701065</x:v>
      </x:c>
      <x:c r="AT474" s="11" t="n">
        <x:f>IF(AR474&gt;0,MIN(1,AS474/AR474),1)</x:f>
        <x:v>0.6825528172247621</x:v>
      </x:c>
      <x:c r="AU474" s="10" t="n">
        <x:f>AB474/INDEX(tun_RepScale,G474)</x:f>
        <x:v>283.82368666481955</x:v>
      </x:c>
      <x:c r="AV474" s="32" t="n">
        <x:f>AM474*60/tun_SeasonSeconds</x:f>
        <x:v>146867.7195612008</x:v>
      </x:c>
    </x:row>
    <x:row r="475">
      <x:c r="A475" s="8" t="n">
        <x:f>A474+1</x:f>
        <x:v>472</x:v>
      </x:c>
      <x:c r="B475" s="9" t="n">
        <x:f>A475*tun_SeasonSeconds/60</x:f>
        <x:v>118</x:v>
      </x:c>
      <x:c r="C475" s="9" t="n">
        <x:f>A475/4</x:f>
        <x:v>118</x:v>
      </x:c>
      <x:c r="D475" s="8" t="n">
        <x:f>IF(MOD(A475,4)=0,1,0)</x:f>
        <x:v>1</x:v>
      </x:c>
      <x:c r="E475" s="8" t="n">
        <x:f>IF(AND(F474&lt;=9,AS474&gt;=AR474),1,0)</x:f>
        <x:v>0</x:v>
      </x:c>
      <x:c r="F475" s="8" t="n">
        <x:f>MIN(10,F474+E475)</x:f>
        <x:v>7</x:v>
      </x:c>
      <x:c r="G475" s="8" t="n">
        <x:f>MIN(F475,9)+1</x:f>
        <x:v>8</x:v>
      </x:c>
      <x:c r="H475" s="8" t="n">
        <x:f>IF(F475&lt;=9,1,0)</x:f>
        <x:v>1</x:v>
      </x:c>
      <x:c r="I475" s="9" t="n">
        <x:f>MIN(10,F474+IF(AR474&gt;0,MIN(1,AS474/AR474),1))</x:f>
        <x:v>7.682552817224762</x:v>
      </x:c>
      <x:c r="J475" s="32" t="n">
        <x:f>INDEX(tun_FoodCap,G475)*Arch_FoodCap*EXP(tun_CapsByProject*SUMPRODUCT((Cap_Point&lt;=I475)*(Cap_Kind="Food")*Cap_Ln))</x:f>
        <x:v>4514.300360064293</x:v>
      </x:c>
      <x:c r="K475" s="32" t="n">
        <x:f>J475*MIN(1,tun_LeanBase*EXP(tun_CapsByProject*SUMPRODUCT((Cap_Point&lt;=I475)*(Cap_Kind="Lean")*Cap_Ln)))</x:f>
        <x:v>4514.300360064293</x:v>
      </x:c>
      <x:c r="L475" s="10" t="n">
        <x:f>INDEX(tun_HousingCap,G475)*EXP(tun_CapsByProject*SUMPRODUCT((Cap_Point&lt;=I475)*(Cap_Kind="Housing")*Cap_Ln))</x:f>
        <x:v>5983.37642068151</x:v>
      </x:c>
      <x:c r="M475" s="10" t="n">
        <x:f>INDEX(tun_GroupCap,G475)*tun_CohesionFactor*EXP(tun_CapsByProject*SUMPRODUCT((Cap_Point&lt;=I475)*(Cap_Kind="Group")*Cap_Ln))</x:f>
        <x:v>1000000.000000001</x:v>
      </x:c>
      <x:c r="N475" s="32" t="n">
        <x:f>MIN(J475,L475,M475)</x:f>
        <x:v>4514.300360064293</x:v>
      </x:c>
      <x:c r="O475" s="10" t="n">
        <x:f>AE474*N475</x:f>
        <x:v>67714.5054009644</x:v>
      </x:c>
      <x:c r="P475" s="9" t="n">
        <x:f>MIN(1,(AB474/(AE474*IF(tun_GroupInCrowding=1,N475,MIN(J475,L475))))^tun_CrowdingExp)</x:f>
        <x:v>0.0054225249337822665</x:v>
      </x:c>
      <x:c r="Q475" s="9" t="n">
        <x:f>IF(D475=1,INDEX(tun_WinterMult,G475),1)</x:f>
        <x:v>1.08</x:v>
      </x:c>
      <x:c r="R475" s="9" t="n">
        <x:f>H475*Z474*tun_WomenShare*tun_BaseFertility*INDEX(tun_FertMult,G475)*Arch_Fertility*(1-P475)</x:f>
        <x:v>650.1609972833702</x:v>
      </x:c>
      <x:c r="S475" s="9" t="n">
        <x:f>H475*Y474*INDEX(tun_MortChild,G475)/4*Q475</x:f>
        <x:v>69.45539153505457</x:v>
      </x:c>
      <x:c r="T475" s="9" t="n">
        <x:f>H475*Z474*INDEX(tun_MortAdult,G475)*Arch_AdultMort/4*Q475</x:f>
        <x:v>21.18006574659123</x:v>
      </x:c>
      <x:c r="U475" s="9" t="n">
        <x:f>H475*AA474*INDEX(tun_MortElder,G475)/4*Q475</x:f>
        <x:v>37.0761148361399</x:v>
      </x:c>
      <x:c r="V475" s="9" t="n">
        <x:f>H475*MAX(0,AB474-O475)*tun_OvercapLoss</x:f>
        <x:v>0</x:v>
      </x:c>
      <x:c r="W475" s="9" t="n">
        <x:f>H475*Y474/(tun_ChildYears*4)</x:f>
        <x:v>270.21238536824836</x:v>
      </x:c>
      <x:c r="X475" s="9" t="n">
        <x:f>H475*Z474/(tun_AdultYears*4)</x:f>
        <x:v>81.10492964261569</x:v>
      </x:c>
      <x:c r="Y475" s="32" t="n">
        <x:f>Y474+R475-S475-W475-Y474*V475/AB474</x:f>
        <x:v>15442.386801001976</x:v>
      </x:c>
      <x:c r="Z475" s="32" t="n">
        <x:f>Z474+W475-X475-T475-Z474*V475/AB474</x:f>
        <x:v>10224.938665663385</x:v>
      </x:c>
      <x:c r="AA475" s="32" t="n">
        <x:f>AA474+X475-U475-AA474*V475/AB474</x:f>
        <x:v>3237.492624982178</x:v>
      </x:c>
      <x:c r="AB475" s="10" t="n">
        <x:f>Y475+Z475+AA475</x:f>
        <x:v>28904.818091647536</x:v>
      </x:c>
      <x:c r="AC475" s="8" t="n">
        <x:f>IF(AND(tun_WinterTrigger=1,D475=1,AB474/AE474&gt;=K475),1,0)</x:f>
        <x:v>0</x:v>
      </x:c>
      <x:c r="AD475" s="8" t="n">
        <x:f>H475*IF(AND(OR(AB474/AE474&gt;=tun_FissionTrigger*N475,AC475=1),AB474/AE474*tun_DaughterShare&gt;=tun_MinDaughter),MAX(1,ROUND(AE474*tun_FissionRate,0)),0)</x:f>
        <x:v>0</x:v>
      </x:c>
      <x:c r="AE475" s="8" t="n">
        <x:f>IF(H475=1,MAX(1,MIN(INDEX(tun_Smax,G475),AE474+AD475)),AE474)</x:f>
        <x:v>15</x:v>
      </x:c>
      <x:c r="AF475" s="8" t="n">
        <x:f>MAX(0,AE475-AE474)</x:f>
        <x:v>0</x:v>
      </x:c>
      <x:c r="AG475" s="9" t="str">
        <x:f>IF(AF475&gt;0,B475,"")</x:f>
      </x:c>
      <x:c r="AH475" s="9" t="n">
        <x:f>IF(F475&gt;=1,1,(1+tun_LowTiesShare*(AE475-1))/AE475)</x:f>
        <x:v>1</x:v>
      </x:c>
      <x:c r="AI475" s="32" t="n">
        <x:f>(Z475+tun_ElderCommons*INDEX(LM_Elder,G475)*AA475)*AH475</x:f>
        <x:v>22365.53600934655</x:v>
      </x:c>
      <x:c r="AJ475" s="32" t="n">
        <x:f>H475*tun_CommonsCoef*AI475^tun_CommonsExp*INDEX(LM_Commons,G475)</x:f>
        <x:v>46654.15756556188</x:v>
      </x:c>
      <x:c r="AK475" s="32" t="n">
        <x:f>H475*tun_RoleScale*Arch_Roles*(AE475*(INDEX(tun_ElderRolePerSett,G475)*tun_OutElder*INDEX(LM_Elder,G475)+INDEX(tun_ShamanPerSett,G475)*tun_OutShaman)+Z475*(INDEX(tun_PriestShare,G475)*tun_OutPriest+INDEX(tun_ScribeShare,G475)*tun_OutScribe*INDEX(LM_Scribe,G475)+INDEX(tun_ScholarShare,G475)*tun_OutScholar*INDEX(LM_Scholar,G475)+INDEX(tun_ResearcherShare,G475)*tun_OutResearcher*INDEX(LM_Researcher,G475)))</x:f>
        <x:v>15110.915786503707</x:v>
      </x:c>
      <x:c r="AL475" s="32" t="n">
        <x:f>H475*tun_RoleScale*Arch_Roles*AE475*INDEX(tun_MonasteryPerSett,G475)*tun_OutMonastery*INDEX(LM_Monastery,G475)</x:f>
        <x:v>79.2</x:v>
      </x:c>
      <x:c r="AM475" s="32" t="n">
        <x:f>(AJ475+AK475+AL475)/4*INDEX(LM_All,G475)*INDEX(tun_Boon,G475)*Arch_Insight</x:f>
        <x:v>37218.041158589775</x:v>
      </x:c>
      <x:c r="AN475" s="32" t="n">
        <x:f>H475*(tun_KHPerAdult*Z475+tun_KHOfCommons*AJ475/4*INDEX(LM_All,G475))*tun_KHUsable*Arch_KH</x:f>
        <x:v>5786.865642010815</x:v>
      </x:c>
      <x:c r="AO475" s="32" t="n">
        <x:f>MIN(AP474+AN475,AM475*tun_KHMaxRatio)</x:f>
        <x:v>5786.865642010815</x:v>
      </x:c>
      <x:c r="AP475" s="32" t="n">
        <x:f>AP474+AN475-AO475</x:f>
        <x:v>0</x:v>
      </x:c>
      <x:c r="AQ475" s="32" t="n">
        <x:f>AM475+AO475</x:f>
        <x:v>43004.90680060059</x:v>
      </x:c>
      <x:c r="AR475" s="10" t="n">
        <x:f>IF(H475=1,INDEX(tun_Req,G475),0)</x:f>
        <x:v>3142139.1800715</x:v>
      </x:c>
      <x:c r="AS475" s="32" t="n">
        <x:f>IF(H475=1,IF(E475=1,AS474-AR474,AS474)+AQ475,0)</x:f>
        <x:v>2187680.856270707</x:v>
      </x:c>
      <x:c r="AT475" s="11" t="n">
        <x:f>IF(AR475&gt;0,MIN(1,AS475/AR475),1)</x:f>
        <x:v>0.6962393232437674</x:v>
      </x:c>
      <x:c r="AU475" s="10" t="n">
        <x:f>AB475/INDEX(tun_RepScale,G475)</x:f>
        <x:v>289.04818091647536</x:v>
      </x:c>
      <x:c r="AV475" s="32" t="n">
        <x:f>AM475*60/tun_SeasonSeconds</x:f>
        <x:v>148872.1646343591</x:v>
      </x:c>
    </x:row>
    <x:row r="476">
      <x:c r="A476" s="8" t="n">
        <x:f>A475+1</x:f>
        <x:v>473</x:v>
      </x:c>
      <x:c r="B476" s="9" t="n">
        <x:f>A476*tun_SeasonSeconds/60</x:f>
        <x:v>118.25</x:v>
      </x:c>
      <x:c r="C476" s="9" t="n">
        <x:f>A476/4</x:f>
        <x:v>118.25</x:v>
      </x:c>
      <x:c r="D476" s="8" t="n">
        <x:f>IF(MOD(A476,4)=0,1,0)</x:f>
        <x:v>0</x:v>
      </x:c>
      <x:c r="E476" s="8" t="n">
        <x:f>IF(AND(F475&lt;=9,AS475&gt;=AR475),1,0)</x:f>
        <x:v>0</x:v>
      </x:c>
      <x:c r="F476" s="8" t="n">
        <x:f>MIN(10,F475+E476)</x:f>
        <x:v>7</x:v>
      </x:c>
      <x:c r="G476" s="8" t="n">
        <x:f>MIN(F476,9)+1</x:f>
        <x:v>8</x:v>
      </x:c>
      <x:c r="H476" s="8" t="n">
        <x:f>IF(F476&lt;=9,1,0)</x:f>
        <x:v>1</x:v>
      </x:c>
      <x:c r="I476" s="9" t="n">
        <x:f>MIN(10,F475+IF(AR475&gt;0,MIN(1,AS475/AR475),1))</x:f>
        <x:v>7.696239323243767</x:v>
      </x:c>
      <x:c r="J476" s="32" t="n">
        <x:f>INDEX(tun_FoodCap,G476)*Arch_FoodCap*EXP(tun_CapsByProject*SUMPRODUCT((Cap_Point&lt;=I476)*(Cap_Kind="Food")*Cap_Ln))</x:f>
        <x:v>4514.300360064293</x:v>
      </x:c>
      <x:c r="K476" s="32" t="n">
        <x:f>J476*MIN(1,tun_LeanBase*EXP(tun_CapsByProject*SUMPRODUCT((Cap_Point&lt;=I476)*(Cap_Kind="Lean")*Cap_Ln)))</x:f>
        <x:v>4514.300360064293</x:v>
      </x:c>
      <x:c r="L476" s="10" t="n">
        <x:f>INDEX(tun_HousingCap,G476)*EXP(tun_CapsByProject*SUMPRODUCT((Cap_Point&lt;=I476)*(Cap_Kind="Housing")*Cap_Ln))</x:f>
        <x:v>5983.37642068151</x:v>
      </x:c>
      <x:c r="M476" s="10" t="n">
        <x:f>INDEX(tun_GroupCap,G476)*tun_CohesionFactor*EXP(tun_CapsByProject*SUMPRODUCT((Cap_Point&lt;=I476)*(Cap_Kind="Group")*Cap_Ln))</x:f>
        <x:v>1000000.000000001</x:v>
      </x:c>
      <x:c r="N476" s="32" t="n">
        <x:f>MIN(J476,L476,M476)</x:f>
        <x:v>4514.300360064293</x:v>
      </x:c>
      <x:c r="O476" s="10" t="n">
        <x:f>AE475*N476</x:f>
        <x:v>67714.5054009644</x:v>
      </x:c>
      <x:c r="P476" s="9" t="n">
        <x:f>MIN(1,(AB475/(AE475*IF(tun_GroupInCrowding=1,N476,MIN(J476,L476))))^tun_CrowdingExp)</x:f>
        <x:v>0.006049662954238189</x:v>
      </x:c>
      <x:c r="Q476" s="9" t="n">
        <x:f>IF(D476=1,INDEX(tun_WinterMult,G476),1)</x:f>
        <x:v>1</x:v>
      </x:c>
      <x:c r="R476" s="9" t="n">
        <x:f>H476*Z475*tun_WomenShare*tun_BaseFertility*INDEX(tun_FertMult,G476)*Arch_Fertility*(1-P476)</x:f>
        <x:v>660.6002801455436</x:v>
      </x:c>
      <x:c r="S476" s="9" t="n">
        <x:f>H476*Y475*INDEX(tun_MortChild,G476)/4*Q476</x:f>
        <x:v>65.6301439042584</x:v>
      </x:c>
      <x:c r="T476" s="9" t="n">
        <x:f>H476*Z475*INDEX(tun_MortAdult,G476)*Arch_AdultMort/4*Q476</x:f>
        <x:v>19.9386303980436</x:v>
      </x:c>
      <x:c r="U476" s="9" t="n">
        <x:f>H476*AA475*INDEX(tun_MortElder,G476)/4*Q476</x:f>
        <x:v>34.80304571855841</x:v>
      </x:c>
      <x:c r="V476" s="9" t="n">
        <x:f>H476*MAX(0,AB475-O476)*tun_OvercapLoss</x:f>
        <x:v>0</x:v>
      </x:c>
      <x:c r="W476" s="9" t="n">
        <x:f>H476*Y475/(tun_ChildYears*4)</x:f>
        <x:v>275.75690716074956</x:v>
      </x:c>
      <x:c r="X476" s="9" t="n">
        <x:f>H476*Z475/(tun_AdultYears*4)</x:f>
        <x:v>82.45918278760794</x:v>
      </x:c>
      <x:c r="Y476" s="32" t="n">
        <x:f>Y475+R476-S476-W476-Y475*V476/AB475</x:f>
        <x:v>15761.60003008251</x:v>
      </x:c>
      <x:c r="Z476" s="32" t="n">
        <x:f>Z475+W476-X476-T476-Z475*V476/AB475</x:f>
        <x:v>10398.297759638484</x:v>
      </x:c>
      <x:c r="AA476" s="32" t="n">
        <x:f>AA475+X476-U476-AA475*V476/AB475</x:f>
        <x:v>3285.1487620512275</x:v>
      </x:c>
      <x:c r="AB476" s="10" t="n">
        <x:f>Y476+Z476+AA476</x:f>
        <x:v>29445.046551772222</x:v>
      </x:c>
      <x:c r="AC476" s="8" t="n">
        <x:f>IF(AND(tun_WinterTrigger=1,D476=1,AB475/AE475&gt;=K476),1,0)</x:f>
        <x:v>0</x:v>
      </x:c>
      <x:c r="AD476" s="8" t="n">
        <x:f>H476*IF(AND(OR(AB475/AE475&gt;=tun_FissionTrigger*N476,AC476=1),AB475/AE475*tun_DaughterShare&gt;=tun_MinDaughter),MAX(1,ROUND(AE475*tun_FissionRate,0)),0)</x:f>
        <x:v>0</x:v>
      </x:c>
      <x:c r="AE476" s="8" t="n">
        <x:f>IF(H476=1,MAX(1,MIN(INDEX(tun_Smax,G476),AE475+AD476)),AE475)</x:f>
        <x:v>15</x:v>
      </x:c>
      <x:c r="AF476" s="8" t="n">
        <x:f>MAX(0,AE476-AE475)</x:f>
        <x:v>0</x:v>
      </x:c>
      <x:c r="AG476" s="9" t="str">
        <x:f>IF(AF476&gt;0,B476,"")</x:f>
      </x:c>
      <x:c r="AH476" s="9" t="n">
        <x:f>IF(F476&gt;=1,1,(1+tun_LowTiesShare*(AE476-1))/AE476)</x:f>
        <x:v>1</x:v>
      </x:c>
      <x:c r="AI476" s="32" t="n">
        <x:f>(Z476+tun_ElderCommons*INDEX(LM_Elder,G476)*AA476)*AH476</x:f>
        <x:v>22717.605617330588</x:v>
      </x:c>
      <x:c r="AJ476" s="32" t="n">
        <x:f>H476*tun_CommonsCoef*AI476^tun_CommonsExp*INDEX(LM_Commons,G476)</x:f>
        <x:v>47277.67490446035</x:v>
      </x:c>
      <x:c r="AK476" s="32" t="n">
        <x:f>H476*tun_RoleScale*Arch_Roles*(AE476*(INDEX(tun_ElderRolePerSett,G476)*tun_OutElder*INDEX(LM_Elder,G476)+INDEX(tun_ShamanPerSett,G476)*tun_OutShaman)+Z476*(INDEX(tun_PriestShare,G476)*tun_OutPriest+INDEX(tun_ScribeShare,G476)*tun_OutScribe*INDEX(LM_Scribe,G476)+INDEX(tun_ScholarShare,G476)*tun_OutScholar*INDEX(LM_Scholar,G476)+INDEX(tun_ResearcherShare,G476)*tun_OutResearcher*INDEX(LM_Researcher,G476)))</x:f>
        <x:v>15360.247769822454</x:v>
      </x:c>
      <x:c r="AL476" s="32" t="n">
        <x:f>H476*tun_RoleScale*Arch_Roles*AE476*INDEX(tun_MonasteryPerSett,G476)*tun_OutMonastery*INDEX(LM_Monastery,G476)</x:f>
        <x:v>79.2</x:v>
      </x:c>
      <x:c r="AM476" s="32" t="n">
        <x:f>(AJ476+AK476+AL476)/4*INDEX(LM_All,G476)*INDEX(tun_Boon,G476)*Arch_Insight</x:f>
        <x:v>37743.32410297161</x:v>
      </x:c>
      <x:c r="AN476" s="32" t="n">
        <x:f>H476*(tun_KHPerAdult*Z476+tun_KHOfCommons*AJ476/4*INDEX(LM_All,G476))*tun_KHUsable*Arch_KH</x:f>
        <x:v>5864.20518159202</x:v>
      </x:c>
      <x:c r="AO476" s="32" t="n">
        <x:f>MIN(AP475+AN476,AM476*tun_KHMaxRatio)</x:f>
        <x:v>5864.20518159202</x:v>
      </x:c>
      <x:c r="AP476" s="32" t="n">
        <x:f>AP475+AN476-AO476</x:f>
        <x:v>0</x:v>
      </x:c>
      <x:c r="AQ476" s="32" t="n">
        <x:f>AM476+AO476</x:f>
        <x:v>43607.52928456363</x:v>
      </x:c>
      <x:c r="AR476" s="10" t="n">
        <x:f>IF(H476=1,INDEX(tun_Req,G476),0)</x:f>
        <x:v>3142139.1800715</x:v>
      </x:c>
      <x:c r="AS476" s="32" t="n">
        <x:f>IF(H476=1,IF(E476=1,AS475-AR475,AS475)+AQ476,0)</x:f>
        <x:v>2231288.385555271</x:v>
      </x:c>
      <x:c r="AT476" s="11" t="n">
        <x:f>IF(AR476&gt;0,MIN(1,AS476/AR476),1)</x:f>
        <x:v>0.7101176165928136</x:v>
      </x:c>
      <x:c r="AU476" s="10" t="n">
        <x:f>AB476/INDEX(tun_RepScale,G476)</x:f>
        <x:v>294.45046551772225</x:v>
      </x:c>
      <x:c r="AV476" s="32" t="n">
        <x:f>AM476*60/tun_SeasonSeconds</x:f>
        <x:v>150973.29641188643</x:v>
      </x:c>
    </x:row>
    <x:row r="477">
      <x:c r="A477" s="8" t="n">
        <x:f>A476+1</x:f>
        <x:v>474</x:v>
      </x:c>
      <x:c r="B477" s="9" t="n">
        <x:f>A477*tun_SeasonSeconds/60</x:f>
        <x:v>118.5</x:v>
      </x:c>
      <x:c r="C477" s="9" t="n">
        <x:f>A477/4</x:f>
        <x:v>118.5</x:v>
      </x:c>
      <x:c r="D477" s="8" t="n">
        <x:f>IF(MOD(A477,4)=0,1,0)</x:f>
        <x:v>0</x:v>
      </x:c>
      <x:c r="E477" s="8" t="n">
        <x:f>IF(AND(F476&lt;=9,AS476&gt;=AR476),1,0)</x:f>
        <x:v>0</x:v>
      </x:c>
      <x:c r="F477" s="8" t="n">
        <x:f>MIN(10,F476+E477)</x:f>
        <x:v>7</x:v>
      </x:c>
      <x:c r="G477" s="8" t="n">
        <x:f>MIN(F477,9)+1</x:f>
        <x:v>8</x:v>
      </x:c>
      <x:c r="H477" s="8" t="n">
        <x:f>IF(F477&lt;=9,1,0)</x:f>
        <x:v>1</x:v>
      </x:c>
      <x:c r="I477" s="9" t="n">
        <x:f>MIN(10,F476+IF(AR476&gt;0,MIN(1,AS476/AR476),1))</x:f>
        <x:v>7.710117616592814</x:v>
      </x:c>
      <x:c r="J477" s="32" t="n">
        <x:f>INDEX(tun_FoodCap,G477)*Arch_FoodCap*EXP(tun_CapsByProject*SUMPRODUCT((Cap_Point&lt;=I477)*(Cap_Kind="Food")*Cap_Ln))</x:f>
        <x:v>4514.300360064293</x:v>
      </x:c>
      <x:c r="K477" s="32" t="n">
        <x:f>J477*MIN(1,tun_LeanBase*EXP(tun_CapsByProject*SUMPRODUCT((Cap_Point&lt;=I477)*(Cap_Kind="Lean")*Cap_Ln)))</x:f>
        <x:v>4514.300360064293</x:v>
      </x:c>
      <x:c r="L477" s="10" t="n">
        <x:f>INDEX(tun_HousingCap,G477)*EXP(tun_CapsByProject*SUMPRODUCT((Cap_Point&lt;=I477)*(Cap_Kind="Housing")*Cap_Ln))</x:f>
        <x:v>5983.37642068151</x:v>
      </x:c>
      <x:c r="M477" s="10" t="n">
        <x:f>INDEX(tun_GroupCap,G477)*tun_CohesionFactor*EXP(tun_CapsByProject*SUMPRODUCT((Cap_Point&lt;=I477)*(Cap_Kind="Group")*Cap_Ln))</x:f>
        <x:v>1000000.000000001</x:v>
      </x:c>
      <x:c r="N477" s="32" t="n">
        <x:f>MIN(J477,L477,M477)</x:f>
        <x:v>4514.300360064293</x:v>
      </x:c>
      <x:c r="O477" s="10" t="n">
        <x:f>AE476*N477</x:f>
        <x:v>67714.5054009644</x:v>
      </x:c>
      <x:c r="P477" s="9" t="n">
        <x:f>MIN(1,(AB476/(AE476*IF(tun_GroupInCrowding=1,N477,MIN(J477,L477))))^tun_CrowdingExp)</x:f>
        <x:v>0.006760568346732055</x:v>
      </x:c>
      <x:c r="Q477" s="9" t="n">
        <x:f>IF(D477=1,INDEX(tun_WinterMult,G477),1)</x:f>
        <x:v>1</x:v>
      </x:c>
      <x:c r="R477" s="9" t="n">
        <x:f>H477*Z476*tun_WomenShare*tun_BaseFertility*INDEX(tun_FertMult,G477)*Arch_Fertility*(1-P477)</x:f>
        <x:v>671.3199582014105</x:v>
      </x:c>
      <x:c r="S477" s="9" t="n">
        <x:f>H477*Y476*INDEX(tun_MortChild,G477)/4*Q477</x:f>
        <x:v>66.98680012785067</x:v>
      </x:c>
      <x:c r="T477" s="9" t="n">
        <x:f>H477*Z476*INDEX(tun_MortAdult,G477)*Arch_AdultMort/4*Q477</x:f>
        <x:v>20.276680631295044</x:v>
      </x:c>
      <x:c r="U477" s="9" t="n">
        <x:f>H477*AA476*INDEX(tun_MortElder,G477)/4*Q477</x:f>
        <x:v>35.3153491920507</x:v>
      </x:c>
      <x:c r="V477" s="9" t="n">
        <x:f>H477*MAX(0,AB476-O477)*tun_OvercapLoss</x:f>
        <x:v>0</x:v>
      </x:c>
      <x:c r="W477" s="9" t="n">
        <x:f>H477*Y476/(tun_ChildYears*4)</x:f>
        <x:v>281.45714339433056</x:v>
      </x:c>
      <x:c r="X477" s="9" t="n">
        <x:f>H477*Z476/(tun_AdultYears*4)</x:f>
        <x:v>83.85723999708455</x:v>
      </x:c>
      <x:c r="Y477" s="32" t="n">
        <x:f>Y476+R477-S477-W477-Y476*V477/AB476</x:f>
        <x:v>16084.47604476174</x:v>
      </x:c>
      <x:c r="Z477" s="32" t="n">
        <x:f>Z476+W477-X477-T477-Z476*V477/AB476</x:f>
        <x:v>10575.620982404434</x:v>
      </x:c>
      <x:c r="AA477" s="32" t="n">
        <x:f>AA476+X477-U477-AA476*V477/AB476</x:f>
        <x:v>3333.6906528562613</x:v>
      </x:c>
      <x:c r="AB477" s="10" t="n">
        <x:f>Y477+Z477+AA477</x:f>
        <x:v>29993.787680022433</x:v>
      </x:c>
      <x:c r="AC477" s="8" t="n">
        <x:f>IF(AND(tun_WinterTrigger=1,D477=1,AB476/AE476&gt;=K477),1,0)</x:f>
        <x:v>0</x:v>
      </x:c>
      <x:c r="AD477" s="8" t="n">
        <x:f>H477*IF(AND(OR(AB476/AE476&gt;=tun_FissionTrigger*N477,AC477=1),AB476/AE476*tun_DaughterShare&gt;=tun_MinDaughter),MAX(1,ROUND(AE476*tun_FissionRate,0)),0)</x:f>
        <x:v>0</x:v>
      </x:c>
      <x:c r="AE477" s="8" t="n">
        <x:f>IF(H477=1,MAX(1,MIN(INDEX(tun_Smax,G477),AE476+AD477)),AE476)</x:f>
        <x:v>15</x:v>
      </x:c>
      <x:c r="AF477" s="8" t="n">
        <x:f>MAX(0,AE477-AE476)</x:f>
        <x:v>0</x:v>
      </x:c>
      <x:c r="AG477" s="9" t="str">
        <x:f>IF(AF477&gt;0,B477,"")</x:f>
      </x:c>
      <x:c r="AH477" s="9" t="n">
        <x:f>IF(F477&gt;=1,1,(1+tun_LowTiesShare*(AE477-1))/AE477)</x:f>
        <x:v>1</x:v>
      </x:c>
      <x:c r="AI477" s="32" t="n">
        <x:f>(Z477+tun_ElderCommons*INDEX(LM_Elder,G477)*AA477)*AH477</x:f>
        <x:v>23076.960930615416</x:v>
      </x:c>
      <x:c r="AJ477" s="32" t="n">
        <x:f>H477*tun_CommonsCoef*AI477^tun_CommonsExp*INDEX(LM_Commons,G477)</x:f>
        <x:v>47912.60236271211</x:v>
      </x:c>
      <x:c r="AK477" s="32" t="n">
        <x:f>H477*tun_RoleScale*Arch_Roles*(AE477*(INDEX(tun_ElderRolePerSett,G477)*tun_OutElder*INDEX(LM_Elder,G477)+INDEX(tun_ShamanPerSett,G477)*tun_OutShaman)+Z477*(INDEX(tun_PriestShare,G477)*tun_OutPriest+INDEX(tun_ScribeShare,G477)*tun_OutScribe*INDEX(LM_Scribe,G477)+INDEX(tun_ScholarShare,G477)*tun_OutScholar*INDEX(LM_Scholar,G477)+INDEX(tun_ResearcherShare,G477)*tun_OutResearcher*INDEX(LM_Researcher,G477)))</x:f>
        <x:v>15615.281121733353</x:v>
      </x:c>
      <x:c r="AL477" s="32" t="n">
        <x:f>H477*tun_RoleScale*Arch_Roles*AE477*INDEX(tun_MonasteryPerSett,G477)*tun_OutMonastery*INDEX(LM_Monastery,G477)</x:f>
        <x:v>79.2</x:v>
      </x:c>
      <x:c r="AM477" s="32" t="n">
        <x:f>(AJ477+AK477+AL477)/4*INDEX(LM_All,G477)*INDEX(tun_Boon,G477)*Arch_Insight</x:f>
        <x:v>38278.904784364786</x:v>
      </x:c>
      <x:c r="AN477" s="32" t="n">
        <x:f>H477*(tun_KHPerAdult*Z477+tun_KHOfCommons*AJ477/4*INDEX(LM_All,G477))*tun_KHUsable*Arch_KH</x:f>
        <x:v>5942.960003992641</x:v>
      </x:c>
      <x:c r="AO477" s="32" t="n">
        <x:f>MIN(AP476+AN477,AM477*tun_KHMaxRatio)</x:f>
        <x:v>5942.960003992641</x:v>
      </x:c>
      <x:c r="AP477" s="32" t="n">
        <x:f>AP476+AN477-AO477</x:f>
        <x:v>0</x:v>
      </x:c>
      <x:c r="AQ477" s="32" t="n">
        <x:f>AM477+AO477</x:f>
        <x:v>44221.86478835743</x:v>
      </x:c>
      <x:c r="AR477" s="10" t="n">
        <x:f>IF(H477=1,INDEX(tun_Req,G477),0)</x:f>
        <x:v>3142139.1800715</x:v>
      </x:c>
      <x:c r="AS477" s="32" t="n">
        <x:f>IF(H477=1,IF(E477=1,AS476-AR476,AS476)+AQ477,0)</x:f>
        <x:v>2275510.2503436287</x:v>
      </x:c>
      <x:c r="AT477" s="11" t="n">
        <x:f>IF(AR477&gt;0,MIN(1,AS477/AR477),1)</x:f>
        <x:v>0.7241914249934177</x:v>
      </x:c>
      <x:c r="AU477" s="10" t="n">
        <x:f>AB477/INDEX(tun_RepScale,G477)</x:f>
        <x:v>299.93787680022433</x:v>
      </x:c>
      <x:c r="AV477" s="32" t="n">
        <x:f>AM477*60/tun_SeasonSeconds</x:f>
        <x:v>153115.61913745914</x:v>
      </x:c>
    </x:row>
    <x:row r="478">
      <x:c r="A478" s="8" t="n">
        <x:f>A477+1</x:f>
        <x:v>475</x:v>
      </x:c>
      <x:c r="B478" s="9" t="n">
        <x:f>A478*tun_SeasonSeconds/60</x:f>
        <x:v>118.75</x:v>
      </x:c>
      <x:c r="C478" s="9" t="n">
        <x:f>A478/4</x:f>
        <x:v>118.75</x:v>
      </x:c>
      <x:c r="D478" s="8" t="n">
        <x:f>IF(MOD(A478,4)=0,1,0)</x:f>
        <x:v>0</x:v>
      </x:c>
      <x:c r="E478" s="8" t="n">
        <x:f>IF(AND(F477&lt;=9,AS477&gt;=AR477),1,0)</x:f>
        <x:v>0</x:v>
      </x:c>
      <x:c r="F478" s="8" t="n">
        <x:f>MIN(10,F477+E478)</x:f>
        <x:v>7</x:v>
      </x:c>
      <x:c r="G478" s="8" t="n">
        <x:f>MIN(F478,9)+1</x:f>
        <x:v>8</x:v>
      </x:c>
      <x:c r="H478" s="8" t="n">
        <x:f>IF(F478&lt;=9,1,0)</x:f>
        <x:v>1</x:v>
      </x:c>
      <x:c r="I478" s="9" t="n">
        <x:f>MIN(10,F477+IF(AR477&gt;0,MIN(1,AS477/AR477),1))</x:f>
        <x:v>7.724191424993418</x:v>
      </x:c>
      <x:c r="J478" s="32" t="n">
        <x:f>INDEX(tun_FoodCap,G478)*Arch_FoodCap*EXP(tun_CapsByProject*SUMPRODUCT((Cap_Point&lt;=I478)*(Cap_Kind="Food")*Cap_Ln))</x:f>
        <x:v>4514.300360064293</x:v>
      </x:c>
      <x:c r="K478" s="32" t="n">
        <x:f>J478*MIN(1,tun_LeanBase*EXP(tun_CapsByProject*SUMPRODUCT((Cap_Point&lt;=I478)*(Cap_Kind="Lean")*Cap_Ln)))</x:f>
        <x:v>4514.300360064293</x:v>
      </x:c>
      <x:c r="L478" s="10" t="n">
        <x:f>INDEX(tun_HousingCap,G478)*EXP(tun_CapsByProject*SUMPRODUCT((Cap_Point&lt;=I478)*(Cap_Kind="Housing")*Cap_Ln))</x:f>
        <x:v>5983.37642068151</x:v>
      </x:c>
      <x:c r="M478" s="10" t="n">
        <x:f>INDEX(tun_GroupCap,G478)*tun_CohesionFactor*EXP(tun_CapsByProject*SUMPRODUCT((Cap_Point&lt;=I478)*(Cap_Kind="Group")*Cap_Ln))</x:f>
        <x:v>1000000.000000001</x:v>
      </x:c>
      <x:c r="N478" s="32" t="n">
        <x:f>MIN(J478,L478,M478)</x:f>
        <x:v>4514.300360064293</x:v>
      </x:c>
      <x:c r="O478" s="10" t="n">
        <x:f>AE477*N478</x:f>
        <x:v>67714.5054009644</x:v>
      </x:c>
      <x:c r="P478" s="9" t="n">
        <x:f>MIN(1,(AB477/(AE477*IF(tun_GroupInCrowding=1,N478,MIN(J478,L478))))^tun_CrowdingExp)</x:f>
        <x:v>0.00755261963484952</x:v>
      </x:c>
      <x:c r="Q478" s="9" t="n">
        <x:f>IF(D478=1,INDEX(tun_WinterMult,G478),1)</x:f>
        <x:v>1</x:v>
      </x:c>
      <x:c r="R478" s="9" t="n">
        <x:f>H478*Z477*tun_WomenShare*tun_BaseFertility*INDEX(tun_FertMult,G478)*Arch_Fertility*(1-P478)</x:f>
        <x:v>682.2235770819301</x:v>
      </x:c>
      <x:c r="S478" s="9" t="n">
        <x:f>H478*Y477*INDEX(tun_MortChild,G478)/4*Q478</x:f>
        <x:v>68.3590231902374</x:v>
      </x:c>
      <x:c r="T478" s="9" t="n">
        <x:f>H478*Z477*INDEX(tun_MortAdult,G478)*Arch_AdultMort/4*Q478</x:f>
        <x:v>20.622460915688645</x:v>
      </x:c>
      <x:c r="U478" s="9" t="n">
        <x:f>H478*AA477*INDEX(tun_MortElder,G478)/4*Q478</x:f>
        <x:v>35.837174518204804</x:v>
      </x:c>
      <x:c r="V478" s="9" t="n">
        <x:f>H478*MAX(0,AB477-O478)*tun_OvercapLoss</x:f>
        <x:v>0</x:v>
      </x:c>
      <x:c r="W478" s="9" t="n">
        <x:f>H478*Y477/(tun_ChildYears*4)</x:f>
        <x:v>287.2227865136025</x:v>
      </x:c>
      <x:c r="X478" s="9" t="n">
        <x:f>H478*Z477/(tun_AdultYears*4)</x:f>
        <x:v>85.28726598713254</x:v>
      </x:c>
      <x:c r="Y478" s="32" t="n">
        <x:f>Y477+R478-S478-W478-Y477*V478/AB477</x:f>
        <x:v>16411.11781213983</x:v>
      </x:c>
      <x:c r="Z478" s="32" t="n">
        <x:f>Z477+W478-X478-T478-Z477*V478/AB477</x:f>
        <x:v>10756.934042015217</x:v>
      </x:c>
      <x:c r="AA478" s="32" t="n">
        <x:f>AA477+X478-U478-AA477*V478/AB477</x:f>
        <x:v>3383.140744325189</x:v>
      </x:c>
      <x:c r="AB478" s="10" t="n">
        <x:f>Y478+Z478+AA478</x:f>
        <x:v>30551.192598480236</x:v>
      </x:c>
      <x:c r="AC478" s="8" t="n">
        <x:f>IF(AND(tun_WinterTrigger=1,D478=1,AB477/AE477&gt;=K478),1,0)</x:f>
        <x:v>0</x:v>
      </x:c>
      <x:c r="AD478" s="8" t="n">
        <x:f>H478*IF(AND(OR(AB477/AE477&gt;=tun_FissionTrigger*N478,AC478=1),AB477/AE477*tun_DaughterShare&gt;=tun_MinDaughter),MAX(1,ROUND(AE477*tun_FissionRate,0)),0)</x:f>
        <x:v>0</x:v>
      </x:c>
      <x:c r="AE478" s="8" t="n">
        <x:f>IF(H478=1,MAX(1,MIN(INDEX(tun_Smax,G478),AE477+AD478)),AE477)</x:f>
        <x:v>15</x:v>
      </x:c>
      <x:c r="AF478" s="8" t="n">
        <x:f>MAX(0,AE478-AE477)</x:f>
        <x:v>0</x:v>
      </x:c>
      <x:c r="AG478" s="9" t="str">
        <x:f>IF(AF478&gt;0,B478,"")</x:f>
      </x:c>
      <x:c r="AH478" s="9" t="n">
        <x:f>IF(F478&gt;=1,1,(1+tun_LowTiesShare*(AE478-1))/AE478)</x:f>
        <x:v>1</x:v>
      </x:c>
      <x:c r="AI478" s="32" t="n">
        <x:f>(Z478+tun_ElderCommons*INDEX(LM_Elder,G478)*AA478)*AH478</x:f>
        <x:v>23443.711833234676</x:v>
      </x:c>
      <x:c r="AJ478" s="32" t="n">
        <x:f>H478*tun_CommonsCoef*AI478^tun_CommonsExp*INDEX(LM_Commons,G478)</x:f>
        <x:v>48559.0694691565</x:v>
      </x:c>
      <x:c r="AK478" s="32" t="n">
        <x:f>H478*tun_RoleScale*Arch_Roles*(AE478*(INDEX(tun_ElderRolePerSett,G478)*tun_OutElder*INDEX(LM_Elder,G478)+INDEX(tun_ShamanPerSett,G478)*tun_OutShaman)+Z478*(INDEX(tun_PriestShare,G478)*tun_OutPriest+INDEX(tun_ScribeShare,G478)*tun_OutScribe*INDEX(LM_Scribe,G478)+INDEX(tun_ScholarShare,G478)*tun_OutScholar*INDEX(LM_Scholar,G478)+INDEX(tun_ResearcherShare,G478)*tun_OutResearcher*INDEX(LM_Researcher,G478)))</x:f>
        <x:v>15876.052816587964</x:v>
      </x:c>
      <x:c r="AL478" s="32" t="n">
        <x:f>H478*tun_RoleScale*Arch_Roles*AE478*INDEX(tun_MonasteryPerSett,G478)*tun_OutMonastery*INDEX(LM_Monastery,G478)</x:f>
        <x:v>79.2</x:v>
      </x:c>
      <x:c r="AM478" s="32" t="n">
        <x:f>(AJ478+AK478+AL478)/4*INDEX(LM_All,G478)*INDEX(tun_Boon,G478)*Arch_Insight</x:f>
        <x:v>38824.88340481354</x:v>
      </x:c>
      <x:c r="AN478" s="32" t="n">
        <x:f>H478*(tun_KHPerAdult*Z478+tun_KHOfCommons*AJ478/4*INDEX(LM_All,G478))*tun_KHUsable*Arch_KH</x:f>
        <x:v>6023.146175647676</x:v>
      </x:c>
      <x:c r="AO478" s="32" t="n">
        <x:f>MIN(AP477+AN478,AM478*tun_KHMaxRatio)</x:f>
        <x:v>6023.146175647676</x:v>
      </x:c>
      <x:c r="AP478" s="32" t="n">
        <x:f>AP477+AN478-AO478</x:f>
        <x:v>0</x:v>
      </x:c>
      <x:c r="AQ478" s="32" t="n">
        <x:f>AM478+AO478</x:f>
        <x:v>44848.02958046122</x:v>
      </x:c>
      <x:c r="AR478" s="10" t="n">
        <x:f>IF(H478=1,INDEX(tun_Req,G478),0)</x:f>
        <x:v>3142139.1800715</x:v>
      </x:c>
      <x:c r="AS478" s="32" t="n">
        <x:f>IF(H478=1,IF(E478=1,AS477-AR477,AS477)+AQ478,0)</x:f>
        <x:v>2320358.27992409</x:v>
      </x:c>
      <x:c r="AT478" s="11" t="n">
        <x:f>IF(AR478&gt;0,MIN(1,AS478/AR478),1)</x:f>
        <x:v>0.7384645131700658</x:v>
      </x:c>
      <x:c r="AU478" s="10" t="n">
        <x:f>AB478/INDEX(tun_RepScale,G478)</x:f>
        <x:v>305.51192598480236</x:v>
      </x:c>
      <x:c r="AV478" s="32" t="n">
        <x:f>AM478*60/tun_SeasonSeconds</x:f>
        <x:v>155299.53361925416</x:v>
      </x:c>
    </x:row>
    <x:row r="479">
      <x:c r="A479" s="8" t="n">
        <x:f>A478+1</x:f>
        <x:v>476</x:v>
      </x:c>
      <x:c r="B479" s="9" t="n">
        <x:f>A479*tun_SeasonSeconds/60</x:f>
        <x:v>119</x:v>
      </x:c>
      <x:c r="C479" s="9" t="n">
        <x:f>A479/4</x:f>
        <x:v>119</x:v>
      </x:c>
      <x:c r="D479" s="8" t="n">
        <x:f>IF(MOD(A479,4)=0,1,0)</x:f>
        <x:v>1</x:v>
      </x:c>
      <x:c r="E479" s="8" t="n">
        <x:f>IF(AND(F478&lt;=9,AS478&gt;=AR478),1,0)</x:f>
        <x:v>0</x:v>
      </x:c>
      <x:c r="F479" s="8" t="n">
        <x:f>MIN(10,F478+E479)</x:f>
        <x:v>7</x:v>
      </x:c>
      <x:c r="G479" s="8" t="n">
        <x:f>MIN(F479,9)+1</x:f>
        <x:v>8</x:v>
      </x:c>
      <x:c r="H479" s="8" t="n">
        <x:f>IF(F479&lt;=9,1,0)</x:f>
        <x:v>1</x:v>
      </x:c>
      <x:c r="I479" s="9" t="n">
        <x:f>MIN(10,F478+IF(AR478&gt;0,MIN(1,AS478/AR478),1))</x:f>
        <x:v>7.738464513170066</x:v>
      </x:c>
      <x:c r="J479" s="32" t="n">
        <x:f>INDEX(tun_FoodCap,G479)*Arch_FoodCap*EXP(tun_CapsByProject*SUMPRODUCT((Cap_Point&lt;=I479)*(Cap_Kind="Food")*Cap_Ln))</x:f>
        <x:v>4514.300360064293</x:v>
      </x:c>
      <x:c r="K479" s="32" t="n">
        <x:f>J479*MIN(1,tun_LeanBase*EXP(tun_CapsByProject*SUMPRODUCT((Cap_Point&lt;=I479)*(Cap_Kind="Lean")*Cap_Ln)))</x:f>
        <x:v>4514.300360064293</x:v>
      </x:c>
      <x:c r="L479" s="10" t="n">
        <x:f>INDEX(tun_HousingCap,G479)*EXP(tun_CapsByProject*SUMPRODUCT((Cap_Point&lt;=I479)*(Cap_Kind="Housing")*Cap_Ln))</x:f>
        <x:v>5983.37642068151</x:v>
      </x:c>
      <x:c r="M479" s="10" t="n">
        <x:f>INDEX(tun_GroupCap,G479)*tun_CohesionFactor*EXP(tun_CapsByProject*SUMPRODUCT((Cap_Point&lt;=I479)*(Cap_Kind="Group")*Cap_Ln))</x:f>
        <x:v>1000000.000000001</x:v>
      </x:c>
      <x:c r="N479" s="32" t="n">
        <x:f>MIN(J479,L479,M479)</x:f>
        <x:v>4514.300360064293</x:v>
      </x:c>
      <x:c r="O479" s="10" t="n">
        <x:f>AE478*N479</x:f>
        <x:v>67714.5054009644</x:v>
      </x:c>
      <x:c r="P479" s="9" t="n">
        <x:f>MIN(1,(AB478/(AE478*IF(tun_GroupInCrowding=1,N479,MIN(J479,L479))))^tun_CrowdingExp)</x:f>
        <x:v>0.008434876815853101</x:v>
      </x:c>
      <x:c r="Q479" s="9" t="n">
        <x:f>IF(D479=1,INDEX(tun_WinterMult,G479),1)</x:f>
        <x:v>1.08</x:v>
      </x:c>
      <x:c r="R479" s="9" t="n">
        <x:f>H479*Z478*tun_WomenShare*tun_BaseFertility*INDEX(tun_FertMult,G479)*Arch_Fertility*(1-P479)</x:f>
        <x:v>693.3030408495466</x:v>
      </x:c>
      <x:c r="S479" s="9" t="n">
        <x:f>H479*Y478*INDEX(tun_MortChild,G479)/4*Q479</x:f>
        <x:v>75.32703075772183</x:v>
      </x:c>
      <x:c r="T479" s="9" t="n">
        <x:f>H479*Z478*INDEX(tun_MortAdult,G479)*Arch_AdultMort/4*Q479</x:f>
        <x:v>22.65410309248405</x:v>
      </x:c>
      <x:c r="U479" s="9" t="n">
        <x:f>H479*AA478*INDEX(tun_MortElder,G479)/4*Q479</x:f>
        <x:v>39.278264041615444</x:v>
      </x:c>
      <x:c r="V479" s="9" t="n">
        <x:f>H479*MAX(0,AB478-O479)*tun_OvercapLoss</x:f>
        <x:v>0</x:v>
      </x:c>
      <x:c r="W479" s="9" t="n">
        <x:f>H479*Y478/(tun_ChildYears*4)</x:f>
        <x:v>293.0556752167827</x:v>
      </x:c>
      <x:c r="X479" s="9" t="n">
        <x:f>H479*Z478/(tun_AdultYears*4)</x:f>
        <x:v>86.74946808076787</x:v>
      </x:c>
      <x:c r="Y479" s="32" t="n">
        <x:f>Y478+R479-S479-W479-Y478*V479/AB478</x:f>
        <x:v>16736.03814701487</x:v>
      </x:c>
      <x:c r="Z479" s="32" t="n">
        <x:f>Z478+W479-X479-T479-Z478*V479/AB478</x:f>
        <x:v>10940.586146058748</x:v>
      </x:c>
      <x:c r="AA479" s="32" t="n">
        <x:f>AA478+X479-U479-AA478*V479/AB478</x:f>
        <x:v>3430.6119483643415</x:v>
      </x:c>
      <x:c r="AB479" s="10" t="n">
        <x:f>Y479+Z479+AA479</x:f>
        <x:v>31107.23624143796</x:v>
      </x:c>
      <x:c r="AC479" s="8" t="n">
        <x:f>IF(AND(tun_WinterTrigger=1,D479=1,AB478/AE478&gt;=K479),1,0)</x:f>
        <x:v>0</x:v>
      </x:c>
      <x:c r="AD479" s="8" t="n">
        <x:f>H479*IF(AND(OR(AB478/AE478&gt;=tun_FissionTrigger*N479,AC479=1),AB478/AE478*tun_DaughterShare&gt;=tun_MinDaughter),MAX(1,ROUND(AE478*tun_FissionRate,0)),0)</x:f>
        <x:v>0</x:v>
      </x:c>
      <x:c r="AE479" s="8" t="n">
        <x:f>IF(H479=1,MAX(1,MIN(INDEX(tun_Smax,G479),AE478+AD479)),AE478)</x:f>
        <x:v>15</x:v>
      </x:c>
      <x:c r="AF479" s="8" t="n">
        <x:f>MAX(0,AE479-AE478)</x:f>
        <x:v>0</x:v>
      </x:c>
      <x:c r="AG479" s="9" t="str">
        <x:f>IF(AF479&gt;0,B479,"")</x:f>
      </x:c>
      <x:c r="AH479" s="9" t="n">
        <x:f>IF(F479&gt;=1,1,(1+tun_LowTiesShare*(AE479-1))/AE479)</x:f>
        <x:v>1</x:v>
      </x:c>
      <x:c r="AI479" s="32" t="n">
        <x:f>(Z479+tun_ElderCommons*INDEX(LM_Elder,G479)*AA479)*AH479</x:f>
        <x:v>23805.38095242503</x:v>
      </x:c>
      <x:c r="AJ479" s="32" t="n">
        <x:f>H479*tun_CommonsCoef*AI479^tun_CommonsExp*INDEX(LM_Commons,G479)</x:f>
        <x:v>49195.09493032937</x:v>
      </x:c>
      <x:c r="AK479" s="32" t="n">
        <x:f>H479*tun_RoleScale*Arch_Roles*(AE479*(INDEX(tun_ElderRolePerSett,G479)*tun_OutElder*INDEX(LM_Elder,G479)+INDEX(tun_ShamanPerSett,G479)*tun_OutShaman)+Z479*(INDEX(tun_PriestShare,G479)*tun_OutPriest+INDEX(tun_ScribeShare,G479)*tun_OutScribe*INDEX(LM_Scribe,G479)+INDEX(tun_ScholarShare,G479)*tun_OutScholar*INDEX(LM_Scholar,G479)+INDEX(tun_ResearcherShare,G479)*tun_OutResearcher*INDEX(LM_Researcher,G479)))</x:f>
        <x:v>16140.188618707532</x:v>
      </x:c>
      <x:c r="AL479" s="32" t="n">
        <x:f>H479*tun_RoleScale*Arch_Roles*AE479*INDEX(tun_MonasteryPerSett,G479)*tun_OutMonastery*INDEX(LM_Monastery,G479)</x:f>
        <x:v>79.2</x:v>
      </x:c>
      <x:c r="AM479" s="32" t="n">
        <x:f>(AJ479+AK479+AL479)/4*INDEX(LM_All,G479)*INDEX(tun_Boon,G479)*Arch_Insight</x:f>
        <x:v>39366.60274487055</x:v>
      </x:c>
      <x:c r="AN479" s="32" t="n">
        <x:f>H479*(tun_KHPerAdult*Z479+tun_KHOfCommons*AJ479/4*INDEX(LM_All,G479))*tun_KHUsable*Arch_KH</x:f>
        <x:v>6102.037191599106</x:v>
      </x:c>
      <x:c r="AO479" s="32" t="n">
        <x:f>MIN(AP478+AN479,AM479*tun_KHMaxRatio)</x:f>
        <x:v>6102.037191599106</x:v>
      </x:c>
      <x:c r="AP479" s="32" t="n">
        <x:f>AP478+AN479-AO479</x:f>
        <x:v>0</x:v>
      </x:c>
      <x:c r="AQ479" s="32" t="n">
        <x:f>AM479+AO479</x:f>
        <x:v>45468.639936469655</x:v>
      </x:c>
      <x:c r="AR479" s="10" t="n">
        <x:f>IF(H479=1,INDEX(tun_Req,G479),0)</x:f>
        <x:v>3142139.1800715</x:v>
      </x:c>
      <x:c r="AS479" s="32" t="n">
        <x:f>IF(H479=1,IF(E479=1,AS478-AR478,AS478)+AQ479,0)</x:f>
        <x:v>2365826.9198605595</x:v>
      </x:c>
      <x:c r="AT479" s="11" t="n">
        <x:f>IF(AR479&gt;0,MIN(1,AS479/AR479),1)</x:f>
        <x:v>0.7529351133983583</x:v>
      </x:c>
      <x:c r="AU479" s="10" t="n">
        <x:f>AB479/INDEX(tun_RepScale,G479)</x:f>
        <x:v>311.0723624143796</x:v>
      </x:c>
      <x:c r="AV479" s="32" t="n">
        <x:f>AM479*60/tun_SeasonSeconds</x:f>
        <x:v>157466.4109794822</x:v>
      </x:c>
    </x:row>
    <x:row r="480">
      <x:c r="A480" s="8" t="n">
        <x:f>A479+1</x:f>
        <x:v>477</x:v>
      </x:c>
      <x:c r="B480" s="9" t="n">
        <x:f>A480*tun_SeasonSeconds/60</x:f>
        <x:v>119.25</x:v>
      </x:c>
      <x:c r="C480" s="9" t="n">
        <x:f>A480/4</x:f>
        <x:v>119.25</x:v>
      </x:c>
      <x:c r="D480" s="8" t="n">
        <x:f>IF(MOD(A480,4)=0,1,0)</x:f>
        <x:v>0</x:v>
      </x:c>
      <x:c r="E480" s="8" t="n">
        <x:f>IF(AND(F479&lt;=9,AS479&gt;=AR479),1,0)</x:f>
        <x:v>0</x:v>
      </x:c>
      <x:c r="F480" s="8" t="n">
        <x:f>MIN(10,F479+E480)</x:f>
        <x:v>7</x:v>
      </x:c>
      <x:c r="G480" s="8" t="n">
        <x:f>MIN(F480,9)+1</x:f>
        <x:v>8</x:v>
      </x:c>
      <x:c r="H480" s="8" t="n">
        <x:f>IF(F480&lt;=9,1,0)</x:f>
        <x:v>1</x:v>
      </x:c>
      <x:c r="I480" s="9" t="n">
        <x:f>MIN(10,F479+IF(AR479&gt;0,MIN(1,AS479/AR479),1))</x:f>
        <x:v>7.752935113398358</x:v>
      </x:c>
      <x:c r="J480" s="32" t="n">
        <x:f>INDEX(tun_FoodCap,G480)*Arch_FoodCap*EXP(tun_CapsByProject*SUMPRODUCT((Cap_Point&lt;=I480)*(Cap_Kind="Food")*Cap_Ln))</x:f>
        <x:v>4514.300360064293</x:v>
      </x:c>
      <x:c r="K480" s="32" t="n">
        <x:f>J480*MIN(1,tun_LeanBase*EXP(tun_CapsByProject*SUMPRODUCT((Cap_Point&lt;=I480)*(Cap_Kind="Lean")*Cap_Ln)))</x:f>
        <x:v>4514.300360064293</x:v>
      </x:c>
      <x:c r="L480" s="10" t="n">
        <x:f>INDEX(tun_HousingCap,G480)*EXP(tun_CapsByProject*SUMPRODUCT((Cap_Point&lt;=I480)*(Cap_Kind="Housing")*Cap_Ln))</x:f>
        <x:v>5983.37642068151</x:v>
      </x:c>
      <x:c r="M480" s="10" t="n">
        <x:f>INDEX(tun_GroupCap,G480)*tun_CohesionFactor*EXP(tun_CapsByProject*SUMPRODUCT((Cap_Point&lt;=I480)*(Cap_Kind="Group")*Cap_Ln))</x:f>
        <x:v>1000000.000000001</x:v>
      </x:c>
      <x:c r="N480" s="32" t="n">
        <x:f>MIN(J480,L480,M480)</x:f>
        <x:v>4514.300360064293</x:v>
      </x:c>
      <x:c r="O480" s="10" t="n">
        <x:f>AE479*N480</x:f>
        <x:v>67714.5054009644</x:v>
      </x:c>
      <x:c r="P480" s="9" t="n">
        <x:f>MIN(1,(AB479/(AE479*IF(tun_GroupInCrowding=1,N480,MIN(J480,L480))))^tun_CrowdingExp)</x:f>
        <x:v>0.00939892752262884</x:v>
      </x:c>
      <x:c r="Q480" s="9" t="n">
        <x:f>IF(D480=1,INDEX(tun_WinterMult,G480),1)</x:f>
        <x:v>1</x:v>
      </x:c>
      <x:c r="R480" s="9" t="n">
        <x:f>H480*Z479*tun_WomenShare*tun_BaseFertility*INDEX(tun_FertMult,G480)*Arch_Fertility*(1-P480)</x:f>
        <x:v>704.4541640380961</x:v>
      </x:c>
      <x:c r="S480" s="9" t="n">
        <x:f>H480*Y479*INDEX(tun_MortChild,G480)/4*Q480</x:f>
        <x:v>71.12816212481322</x:v>
      </x:c>
      <x:c r="T480" s="9" t="n">
        <x:f>H480*Z479*INDEX(tun_MortAdult,G480)*Arch_AdultMort/4*Q480</x:f>
        <x:v>21.334142984814555</x:v>
      </x:c>
      <x:c r="U480" s="9" t="n">
        <x:f>H480*AA479*INDEX(tun_MortElder,G480)/4*Q480</x:f>
        <x:v>36.879078444916665</x:v>
      </x:c>
      <x:c r="V480" s="9" t="n">
        <x:f>H480*MAX(0,AB479-O480)*tun_OvercapLoss</x:f>
        <x:v>0</x:v>
      </x:c>
      <x:c r="W480" s="9" t="n">
        <x:f>H480*Y479/(tun_ChildYears*4)</x:f>
        <x:v>298.85782405383696</x:v>
      </x:c>
      <x:c r="X480" s="9" t="n">
        <x:f>H480*Z479/(tun_AdultYears*4)</x:f>
        <x:v>88.23053343595764</x:v>
      </x:c>
      <x:c r="Y480" s="32" t="n">
        <x:f>Y479+R480-S480-W480-Y479*V480/AB479</x:f>
        <x:v>17070.506324874317</x:v>
      </x:c>
      <x:c r="Z480" s="32" t="n">
        <x:f>Z479+W480-X480-T480-Z479*V480/AB479</x:f>
        <x:v>11129.879293691813</x:v>
      </x:c>
      <x:c r="AA480" s="32" t="n">
        <x:f>AA479+X480-U480-AA479*V480/AB479</x:f>
        <x:v>3481.9634033553825</x:v>
      </x:c>
      <x:c r="AB480" s="10" t="n">
        <x:f>Y480+Z480+AA480</x:f>
        <x:v>31682.34902192151</x:v>
      </x:c>
      <x:c r="AC480" s="8" t="n">
        <x:f>IF(AND(tun_WinterTrigger=1,D480=1,AB479/AE479&gt;=K480),1,0)</x:f>
        <x:v>0</x:v>
      </x:c>
      <x:c r="AD480" s="8" t="n">
        <x:f>H480*IF(AND(OR(AB479/AE479&gt;=tun_FissionTrigger*N480,AC480=1),AB479/AE479*tun_DaughterShare&gt;=tun_MinDaughter),MAX(1,ROUND(AE479*tun_FissionRate,0)),0)</x:f>
        <x:v>0</x:v>
      </x:c>
      <x:c r="AE480" s="8" t="n">
        <x:f>IF(H480=1,MAX(1,MIN(INDEX(tun_Smax,G480),AE479+AD480)),AE479)</x:f>
        <x:v>15</x:v>
      </x:c>
      <x:c r="AF480" s="8" t="n">
        <x:f>MAX(0,AE480-AE479)</x:f>
        <x:v>0</x:v>
      </x:c>
      <x:c r="AG480" s="9" t="str">
        <x:f>IF(AF480&gt;0,B480,"")</x:f>
      </x:c>
      <x:c r="AH480" s="9" t="n">
        <x:f>IF(F480&gt;=1,1,(1+tun_LowTiesShare*(AE480-1))/AE480)</x:f>
        <x:v>1</x:v>
      </x:c>
      <x:c r="AI480" s="32" t="n">
        <x:f>(Z480+tun_ElderCommons*INDEX(LM_Elder,G480)*AA480)*AH480</x:f>
        <x:v>24187.242056274496</x:v>
      </x:c>
      <x:c r="AJ480" s="32" t="n">
        <x:f>H480*tun_CommonsCoef*AI480^tun_CommonsExp*INDEX(LM_Commons,G480)</x:f>
        <x:v>49865.05883294328</x:v>
      </x:c>
      <x:c r="AK480" s="32" t="n">
        <x:f>H480*tun_RoleScale*Arch_Roles*(AE480*(INDEX(tun_ElderRolePerSett,G480)*tun_OutElder*INDEX(LM_Elder,G480)+INDEX(tun_ShamanPerSett,G480)*tun_OutShaman)+Z480*(INDEX(tun_PriestShare,G480)*tun_OutPriest+INDEX(tun_ScribeShare,G480)*tun_OutScribe*INDEX(LM_Scribe,G480)+INDEX(tun_ScholarShare,G480)*tun_OutScholar*INDEX(LM_Scholar,G480)+INDEX(tun_ResearcherShare,G480)*tun_OutResearcher*INDEX(LM_Researcher,G480)))</x:f>
        <x:v>16412.43759535931</x:v>
      </x:c>
      <x:c r="AL480" s="32" t="n">
        <x:f>H480*tun_RoleScale*Arch_Roles*AE480*INDEX(tun_MonasteryPerSett,G480)*tun_OutMonastery*INDEX(LM_Monastery,G480)</x:f>
        <x:v>79.2</x:v>
      </x:c>
      <x:c r="AM480" s="32" t="n">
        <x:f>(AJ480+AK480+AL480)/4*INDEX(LM_All,G480)*INDEX(tun_Boon,G480)*Arch_Insight</x:f>
        <x:v>39933.628854483526</x:v>
      </x:c>
      <x:c r="AN480" s="32" t="n">
        <x:f>H480*(tun_KHPerAdult*Z480+tun_KHOfCommons*AJ480/4*INDEX(LM_All,G480))*tun_KHUsable*Arch_KH</x:f>
        <x:v>6185.137847397589</x:v>
      </x:c>
      <x:c r="AO480" s="32" t="n">
        <x:f>MIN(AP479+AN480,AM480*tun_KHMaxRatio)</x:f>
        <x:v>6185.137847397589</x:v>
      </x:c>
      <x:c r="AP480" s="32" t="n">
        <x:f>AP479+AN480-AO480</x:f>
        <x:v>0</x:v>
      </x:c>
      <x:c r="AQ480" s="32" t="n">
        <x:f>AM480+AO480</x:f>
        <x:v>46118.76670188112</x:v>
      </x:c>
      <x:c r="AR480" s="10" t="n">
        <x:f>IF(H480=1,INDEX(tun_Req,G480),0)</x:f>
        <x:v>3142139.1800715</x:v>
      </x:c>
      <x:c r="AS480" s="32" t="n">
        <x:f>IF(H480=1,IF(E480=1,AS479-AR479,AS479)+AQ480,0)</x:f>
        <x:v>2411945.686562441</x:v>
      </x:c>
      <x:c r="AT480" s="11" t="n">
        <x:f>IF(AR480&gt;0,MIN(1,AS480/AR480),1)</x:f>
        <x:v>0.7676126194090347</x:v>
      </x:c>
      <x:c r="AU480" s="10" t="n">
        <x:f>AB480/INDEX(tun_RepScale,G480)</x:f>
        <x:v>316.8234902192151</x:v>
      </x:c>
      <x:c r="AV480" s="32" t="n">
        <x:f>AM480*60/tun_SeasonSeconds</x:f>
        <x:v>159734.5154179341</x:v>
      </x:c>
    </x:row>
    <x:row r="481">
      <x:c r="A481" s="8" t="n">
        <x:f>A480+1</x:f>
        <x:v>478</x:v>
      </x:c>
      <x:c r="B481" s="9" t="n">
        <x:f>A481*tun_SeasonSeconds/60</x:f>
        <x:v>119.5</x:v>
      </x:c>
      <x:c r="C481" s="9" t="n">
        <x:f>A481/4</x:f>
        <x:v>119.5</x:v>
      </x:c>
      <x:c r="D481" s="8" t="n">
        <x:f>IF(MOD(A481,4)=0,1,0)</x:f>
        <x:v>0</x:v>
      </x:c>
      <x:c r="E481" s="8" t="n">
        <x:f>IF(AND(F480&lt;=9,AS480&gt;=AR480),1,0)</x:f>
        <x:v>0</x:v>
      </x:c>
      <x:c r="F481" s="8" t="n">
        <x:f>MIN(10,F480+E481)</x:f>
        <x:v>7</x:v>
      </x:c>
      <x:c r="G481" s="8" t="n">
        <x:f>MIN(F481,9)+1</x:f>
        <x:v>8</x:v>
      </x:c>
      <x:c r="H481" s="8" t="n">
        <x:f>IF(F481&lt;=9,1,0)</x:f>
        <x:v>1</x:v>
      </x:c>
      <x:c r="I481" s="9" t="n">
        <x:f>MIN(10,F480+IF(AR480&gt;0,MIN(1,AS480/AR480),1))</x:f>
        <x:v>7.767612619409035</x:v>
      </x:c>
      <x:c r="J481" s="32" t="n">
        <x:f>INDEX(tun_FoodCap,G481)*Arch_FoodCap*EXP(tun_CapsByProject*SUMPRODUCT((Cap_Point&lt;=I481)*(Cap_Kind="Food")*Cap_Ln))</x:f>
        <x:v>4514.300360064293</x:v>
      </x:c>
      <x:c r="K481" s="32" t="n">
        <x:f>J481*MIN(1,tun_LeanBase*EXP(tun_CapsByProject*SUMPRODUCT((Cap_Point&lt;=I481)*(Cap_Kind="Lean")*Cap_Ln)))</x:f>
        <x:v>4514.300360064293</x:v>
      </x:c>
      <x:c r="L481" s="10" t="n">
        <x:f>INDEX(tun_HousingCap,G481)*EXP(tun_CapsByProject*SUMPRODUCT((Cap_Point&lt;=I481)*(Cap_Kind="Housing")*Cap_Ln))</x:f>
        <x:v>5983.37642068151</x:v>
      </x:c>
      <x:c r="M481" s="10" t="n">
        <x:f>INDEX(tun_GroupCap,G481)*tun_CohesionFactor*EXP(tun_CapsByProject*SUMPRODUCT((Cap_Point&lt;=I481)*(Cap_Kind="Group")*Cap_Ln))</x:f>
        <x:v>1000000.000000001</x:v>
      </x:c>
      <x:c r="N481" s="32" t="n">
        <x:f>MIN(J481,L481,M481)</x:f>
        <x:v>4514.300360064293</x:v>
      </x:c>
      <x:c r="O481" s="10" t="n">
        <x:f>AE480*N481</x:f>
        <x:v>67714.5054009644</x:v>
      </x:c>
      <x:c r="P481" s="9" t="n">
        <x:f>MIN(1,(AB480/(AE480*IF(tun_GroupInCrowding=1,N481,MIN(J481,L481))))^tun_CrowdingExp)</x:f>
        <x:v>0.010490929775759548</x:v>
      </x:c>
      <x:c r="Q481" s="9" t="n">
        <x:f>IF(D481=1,INDEX(tun_WinterMult,G481),1)</x:f>
        <x:v>1</x:v>
      </x:c>
      <x:c r="R481" s="9" t="n">
        <x:f>H481*Z480*tun_WomenShare*tun_BaseFertility*INDEX(tun_FertMult,G481)*Arch_Fertility*(1-P481)</x:f>
        <x:v>715.8525732545859</x:v>
      </x:c>
      <x:c r="S481" s="9" t="n">
        <x:f>H481*Y480*INDEX(tun_MortChild,G481)/4*Q481</x:f>
        <x:v>72.54965188071586</x:v>
      </x:c>
      <x:c r="T481" s="9" t="n">
        <x:f>H481*Z480*INDEX(tun_MortAdult,G481)*Arch_AdultMort/4*Q481</x:f>
        <x:v>21.703264622699034</x:v>
      </x:c>
      <x:c r="U481" s="9" t="n">
        <x:f>H481*AA480*INDEX(tun_MortElder,G481)/4*Q481</x:f>
        <x:v>37.43110658607036</x:v>
      </x:c>
      <x:c r="V481" s="9" t="n">
        <x:f>H481*MAX(0,AB480-O481)*tun_OvercapLoss</x:f>
        <x:v>0</x:v>
      </x:c>
      <x:c r="W481" s="9" t="n">
        <x:f>H481*Y480/(tun_ChildYears*4)</x:f>
        <x:v>304.83047008704136</x:v>
      </x:c>
      <x:c r="X481" s="9" t="n">
        <x:f>H481*Z480/(tun_AdultYears*4)</x:f>
        <x:v>89.75709107815977</x:v>
      </x:c>
      <x:c r="Y481" s="32" t="n">
        <x:f>Y480+R481-S481-W481-Y480*V481/AB480</x:f>
        <x:v>17408.978776161144</x:v>
      </x:c>
      <x:c r="Z481" s="32" t="n">
        <x:f>Z480+W481-X481-T481-Z480*V481/AB480</x:f>
        <x:v>11323.249408077994</x:v>
      </x:c>
      <x:c r="AA481" s="32" t="n">
        <x:f>AA480+X481-U481-AA480*V481/AB480</x:f>
        <x:v>3534.289387847472</x:v>
      </x:c>
      <x:c r="AB481" s="10" t="n">
        <x:f>Y481+Z481+AA481</x:f>
        <x:v>32266.51757208661</x:v>
      </x:c>
      <x:c r="AC481" s="8" t="n">
        <x:f>IF(AND(tun_WinterTrigger=1,D481=1,AB480/AE480&gt;=K481),1,0)</x:f>
        <x:v>0</x:v>
      </x:c>
      <x:c r="AD481" s="8" t="n">
        <x:f>H481*IF(AND(OR(AB480/AE480&gt;=tun_FissionTrigger*N481,AC481=1),AB480/AE480*tun_DaughterShare&gt;=tun_MinDaughter),MAX(1,ROUND(AE480*tun_FissionRate,0)),0)</x:f>
        <x:v>0</x:v>
      </x:c>
      <x:c r="AE481" s="8" t="n">
        <x:f>IF(H481=1,MAX(1,MIN(INDEX(tun_Smax,G481),AE480+AD481)),AE480)</x:f>
        <x:v>15</x:v>
      </x:c>
      <x:c r="AF481" s="8" t="n">
        <x:f>MAX(0,AE481-AE480)</x:f>
        <x:v>0</x:v>
      </x:c>
      <x:c r="AG481" s="9" t="str">
        <x:f>IF(AF481&gt;0,B481,"")</x:f>
      </x:c>
      <x:c r="AH481" s="9" t="n">
        <x:f>IF(F481&gt;=1,1,(1+tun_LowTiesShare*(AE481-1))/AE481)</x:f>
        <x:v>1</x:v>
      </x:c>
      <x:c r="AI481" s="32" t="n">
        <x:f>(Z481+tun_ElderCommons*INDEX(LM_Elder,G481)*AA481)*AH481</x:f>
        <x:v>24576.834612506012</x:v>
      </x:c>
      <x:c r="AJ481" s="32" t="n">
        <x:f>H481*tun_CommonsCoef*AI481^tun_CommonsExp*INDEX(LM_Commons,G481)</x:f>
        <x:v>50546.95430900934</x:v>
      </x:c>
      <x:c r="AK481" s="32" t="n">
        <x:f>H481*tun_RoleScale*Arch_Roles*(AE481*(INDEX(tun_ElderRolePerSett,G481)*tun_OutElder*INDEX(LM_Elder,G481)+INDEX(tun_ShamanPerSett,G481)*tun_OutShaman)+Z481*(INDEX(tun_PriestShare,G481)*tun_OutPriest+INDEX(tun_ScribeShare,G481)*tun_OutScribe*INDEX(LM_Scribe,G481)+INDEX(tun_ScholarShare,G481)*tun_OutScholar*INDEX(LM_Scholar,G481)+INDEX(tun_ResearcherShare,G481)*tun_OutResearcher*INDEX(LM_Researcher,G481)))</x:f>
        <x:v>16690.550228674096</x:v>
      </x:c>
      <x:c r="AL481" s="32" t="n">
        <x:f>H481*tun_RoleScale*Arch_Roles*AE481*INDEX(tun_MonasteryPerSett,G481)*tun_OutMonastery*INDEX(LM_Monastery,G481)</x:f>
        <x:v>79.2</x:v>
      </x:c>
      <x:c r="AM481" s="32" t="n">
        <x:f>(AJ481+AK481+AL481)/4*INDEX(LM_All,G481)*INDEX(tun_Boon,G481)*Arch_Insight</x:f>
        <x:v>40511.36417888642</x:v>
      </x:c>
      <x:c r="AN481" s="32" t="n">
        <x:f>H481*(tun_KHPerAdult*Z481+tun_KHOfCommons*AJ481/4*INDEX(LM_All,G481))*tun_KHUsable*Arch_KH</x:f>
        <x:v>6269.718465884677</x:v>
      </x:c>
      <x:c r="AO481" s="32" t="n">
        <x:f>MIN(AP480+AN481,AM481*tun_KHMaxRatio)</x:f>
        <x:v>6269.718465884677</x:v>
      </x:c>
      <x:c r="AP481" s="32" t="n">
        <x:f>AP480+AN481-AO481</x:f>
        <x:v>0</x:v>
      </x:c>
      <x:c r="AQ481" s="32" t="n">
        <x:f>AM481+AO481</x:f>
        <x:v>46781.08264477109</x:v>
      </x:c>
      <x:c r="AR481" s="10" t="n">
        <x:f>IF(H481=1,INDEX(tun_Req,G481),0)</x:f>
        <x:v>3142139.1800715</x:v>
      </x:c>
      <x:c r="AS481" s="32" t="n">
        <x:f>IF(H481=1,IF(E481=1,AS480-AR480,AS480)+AQ481,0)</x:f>
        <x:v>2458726.769207212</x:v>
      </x:c>
      <x:c r="AT481" s="11" t="n">
        <x:f>IF(AR481&gt;0,MIN(1,AS481/AR481),1)</x:f>
        <x:v>0.782500910462936</x:v>
      </x:c>
      <x:c r="AU481" s="10" t="n">
        <x:f>AB481/INDEX(tun_RepScale,G481)</x:f>
        <x:v>322.6651757208661</x:v>
      </x:c>
      <x:c r="AV481" s="32" t="n">
        <x:f>AM481*60/tun_SeasonSeconds</x:f>
        <x:v>162045.45671554568</x:v>
      </x:c>
    </x:row>
    <x:row r="482">
      <x:c r="A482" s="8" t="n">
        <x:f>A481+1</x:f>
        <x:v>479</x:v>
      </x:c>
      <x:c r="B482" s="9" t="n">
        <x:f>A482*tun_SeasonSeconds/60</x:f>
        <x:v>119.75</x:v>
      </x:c>
      <x:c r="C482" s="9" t="n">
        <x:f>A482/4</x:f>
        <x:v>119.75</x:v>
      </x:c>
      <x:c r="D482" s="8" t="n">
        <x:f>IF(MOD(A482,4)=0,1,0)</x:f>
        <x:v>0</x:v>
      </x:c>
      <x:c r="E482" s="8" t="n">
        <x:f>IF(AND(F481&lt;=9,AS481&gt;=AR481),1,0)</x:f>
        <x:v>0</x:v>
      </x:c>
      <x:c r="F482" s="8" t="n">
        <x:f>MIN(10,F481+E482)</x:f>
        <x:v>7</x:v>
      </x:c>
      <x:c r="G482" s="8" t="n">
        <x:f>MIN(F482,9)+1</x:f>
        <x:v>8</x:v>
      </x:c>
      <x:c r="H482" s="8" t="n">
        <x:f>IF(F482&lt;=9,1,0)</x:f>
        <x:v>1</x:v>
      </x:c>
      <x:c r="I482" s="9" t="n">
        <x:f>MIN(10,F481+IF(AR481&gt;0,MIN(1,AS481/AR481),1))</x:f>
        <x:v>7.782500910462936</x:v>
      </x:c>
      <x:c r="J482" s="32" t="n">
        <x:f>INDEX(tun_FoodCap,G482)*Arch_FoodCap*EXP(tun_CapsByProject*SUMPRODUCT((Cap_Point&lt;=I482)*(Cap_Kind="Food")*Cap_Ln))</x:f>
        <x:v>4514.300360064293</x:v>
      </x:c>
      <x:c r="K482" s="32" t="n">
        <x:f>J482*MIN(1,tun_LeanBase*EXP(tun_CapsByProject*SUMPRODUCT((Cap_Point&lt;=I482)*(Cap_Kind="Lean")*Cap_Ln)))</x:f>
        <x:v>4514.300360064293</x:v>
      </x:c>
      <x:c r="L482" s="10" t="n">
        <x:f>INDEX(tun_HousingCap,G482)*EXP(tun_CapsByProject*SUMPRODUCT((Cap_Point&lt;=I482)*(Cap_Kind="Housing")*Cap_Ln))</x:f>
        <x:v>5983.37642068151</x:v>
      </x:c>
      <x:c r="M482" s="10" t="n">
        <x:f>INDEX(tun_GroupCap,G482)*tun_CohesionFactor*EXP(tun_CapsByProject*SUMPRODUCT((Cap_Point&lt;=I482)*(Cap_Kind="Group")*Cap_Ln))</x:f>
        <x:v>1000000.000000001</x:v>
      </x:c>
      <x:c r="N482" s="32" t="n">
        <x:f>MIN(J482,L482,M482)</x:f>
        <x:v>4514.300360064293</x:v>
      </x:c>
      <x:c r="O482" s="10" t="n">
        <x:f>AE481*N482</x:f>
        <x:v>67714.5054009644</x:v>
      </x:c>
      <x:c r="P482" s="9" t="n">
        <x:f>MIN(1,(AB481/(AE481*IF(tun_GroupInCrowding=1,N482,MIN(J482,L482))))^tun_CrowdingExp)</x:f>
        <x:v>0.011706371739549765</x:v>
      </x:c>
      <x:c r="Q482" s="9" t="n">
        <x:f>IF(D482=1,INDEX(tun_WinterMult,G482),1)</x:f>
        <x:v>1</x:v>
      </x:c>
      <x:c r="R482" s="9" t="n">
        <x:f>H482*Z481*tun_WomenShare*tun_BaseFertility*INDEX(tun_FertMult,G482)*Arch_Fertility*(1-P482)</x:f>
        <x:v>727.3951906784808</x:v>
      </x:c>
      <x:c r="S482" s="9" t="n">
        <x:f>H482*Y481*INDEX(tun_MortChild,G482)/4*Q482</x:f>
        <x:v>73.98815979868486</x:v>
      </x:c>
      <x:c r="T482" s="9" t="n">
        <x:f>H482*Z481*INDEX(tun_MortAdult,G482)*Arch_AdultMort/4*Q482</x:f>
        <x:v>22.080336345752087</x:v>
      </x:c>
      <x:c r="U482" s="9" t="n">
        <x:f>H482*AA481*INDEX(tun_MortElder,G482)/4*Q482</x:f>
        <x:v>37.99361091936032</x:v>
      </x:c>
      <x:c r="V482" s="9" t="n">
        <x:f>H482*MAX(0,AB481-O482)*tun_OvercapLoss</x:f>
        <x:v>0</x:v>
      </x:c>
      <x:c r="W482" s="9" t="n">
        <x:f>H482*Y481/(tun_ChildYears*4)</x:f>
        <x:v>310.8746210028776</x:v>
      </x:c>
      <x:c r="X482" s="9" t="n">
        <x:f>H482*Z481/(tun_AdultYears*4)</x:f>
        <x:v>91.31652748449996</x:v>
      </x:c>
      <x:c r="Y482" s="32" t="n">
        <x:f>Y481+R482-S482-W482-Y481*V482/AB481</x:f>
        <x:v>17751.511186038064</x:v>
      </x:c>
      <x:c r="Z482" s="32" t="n">
        <x:f>Z481+W482-X482-T482-Z481*V482/AB481</x:f>
        <x:v>11520.727165250619</x:v>
      </x:c>
      <x:c r="AA482" s="32" t="n">
        <x:f>AA481+X482-U482-AA481*V482/AB481</x:f>
        <x:v>3587.6123044126116</x:v>
      </x:c>
      <x:c r="AB482" s="10" t="n">
        <x:f>Y482+Z482+AA482</x:f>
        <x:v>32859.850655701295</x:v>
      </x:c>
      <x:c r="AC482" s="8" t="n">
        <x:f>IF(AND(tun_WinterTrigger=1,D482=1,AB481/AE481&gt;=K482),1,0)</x:f>
        <x:v>0</x:v>
      </x:c>
      <x:c r="AD482" s="8" t="n">
        <x:f>H482*IF(AND(OR(AB481/AE481&gt;=tun_FissionTrigger*N482,AC482=1),AB481/AE481*tun_DaughterShare&gt;=tun_MinDaughter),MAX(1,ROUND(AE481*tun_FissionRate,0)),0)</x:f>
        <x:v>0</x:v>
      </x:c>
      <x:c r="AE482" s="8" t="n">
        <x:f>IF(H482=1,MAX(1,MIN(INDEX(tun_Smax,G482),AE481+AD482)),AE481)</x:f>
        <x:v>15</x:v>
      </x:c>
      <x:c r="AF482" s="8" t="n">
        <x:f>MAX(0,AE482-AE481)</x:f>
        <x:v>0</x:v>
      </x:c>
      <x:c r="AG482" s="9" t="str">
        <x:f>IF(AF482&gt;0,B482,"")</x:f>
      </x:c>
      <x:c r="AH482" s="9" t="n">
        <x:f>IF(F482&gt;=1,1,(1+tun_LowTiesShare*(AE482-1))/AE482)</x:f>
        <x:v>1</x:v>
      </x:c>
      <x:c r="AI482" s="32" t="n">
        <x:f>(Z482+tun_ElderCommons*INDEX(LM_Elder,G482)*AA482)*AH482</x:f>
        <x:v>24974.273306797913</x:v>
      </x:c>
      <x:c r="AJ482" s="32" t="n">
        <x:f>H482*tun_CommonsCoef*AI482^tun_CommonsExp*INDEX(LM_Commons,G482)</x:f>
        <x:v>51240.914100463335</x:v>
      </x:c>
      <x:c r="AK482" s="32" t="n">
        <x:f>H482*tun_RoleScale*Arch_Roles*(AE482*(INDEX(tun_ElderRolePerSett,G482)*tun_OutElder*INDEX(LM_Elder,G482)+INDEX(tun_ShamanPerSett,G482)*tun_OutShaman)+Z482*(INDEX(tun_PriestShare,G482)*tun_OutPriest+INDEX(tun_ScribeShare,G482)*tun_OutScribe*INDEX(LM_Scribe,G482)+INDEX(tun_ScholarShare,G482)*tun_OutScholar*INDEX(LM_Scholar,G482)+INDEX(tun_ResearcherShare,G482)*tun_OutResearcher*INDEX(LM_Researcher,G482)))</x:f>
        <x:v>16974.57063815005</x:v>
      </x:c>
      <x:c r="AL482" s="32" t="n">
        <x:f>H482*tun_RoleScale*Arch_Roles*AE482*INDEX(tun_MonasteryPerSett,G482)*tun_OutMonastery*INDEX(LM_Monastery,G482)</x:f>
        <x:v>79.2</x:v>
      </x:c>
      <x:c r="AM482" s="32" t="n">
        <x:f>(AJ482+AK482+AL482)/4*INDEX(LM_All,G482)*INDEX(tun_Boon,G482)*Arch_Insight</x:f>
        <x:v>41099.91515374044</x:v>
      </x:c>
      <x:c r="AN482" s="32" t="n">
        <x:f>H482*(tun_KHPerAdult*Z482+tun_KHOfCommons*AJ482/4*INDEX(LM_All,G482))*tun_KHUsable*Arch_KH</x:f>
        <x:v>6355.795512039862</x:v>
      </x:c>
      <x:c r="AO482" s="32" t="n">
        <x:f>MIN(AP481+AN482,AM482*tun_KHMaxRatio)</x:f>
        <x:v>6355.795512039862</x:v>
      </x:c>
      <x:c r="AP482" s="32" t="n">
        <x:f>AP481+AN482-AO482</x:f>
        <x:v>0</x:v>
      </x:c>
      <x:c r="AQ482" s="32" t="n">
        <x:f>AM482+AO482</x:f>
        <x:v>47455.7106657803</x:v>
      </x:c>
      <x:c r="AR482" s="10" t="n">
        <x:f>IF(H482=1,INDEX(tun_Req,G482),0)</x:f>
        <x:v>3142139.1800715</x:v>
      </x:c>
      <x:c r="AS482" s="32" t="n">
        <x:f>IF(H482=1,IF(E482=1,AS481-AR481,AS481)+AQ482,0)</x:f>
        <x:v>2506182.4798729923</x:v>
      </x:c>
      <x:c r="AT482" s="11" t="n">
        <x:f>IF(AR482&gt;0,MIN(1,AS482/AR482),1)</x:f>
        <x:v>0.7976039049345878</x:v>
      </x:c>
      <x:c r="AU482" s="10" t="n">
        <x:f>AB482/INDEX(tun_RepScale,G482)</x:f>
        <x:v>328.59850655701297</x:v>
      </x:c>
      <x:c r="AV482" s="32" t="n">
        <x:f>AM482*60/tun_SeasonSeconds</x:f>
        <x:v>164399.66061496176</x:v>
      </x:c>
    </x:row>
    <x:row r="483">
      <x:c r="A483" s="8" t="n">
        <x:f>A482+1</x:f>
        <x:v>480</x:v>
      </x:c>
      <x:c r="B483" s="9" t="n">
        <x:f>A483*tun_SeasonSeconds/60</x:f>
        <x:v>120</x:v>
      </x:c>
      <x:c r="C483" s="9" t="n">
        <x:f>A483/4</x:f>
        <x:v>120</x:v>
      </x:c>
      <x:c r="D483" s="8" t="n">
        <x:f>IF(MOD(A483,4)=0,1,0)</x:f>
        <x:v>1</x:v>
      </x:c>
      <x:c r="E483" s="8" t="n">
        <x:f>IF(AND(F482&lt;=9,AS482&gt;=AR482),1,0)</x:f>
        <x:v>0</x:v>
      </x:c>
      <x:c r="F483" s="8" t="n">
        <x:f>MIN(10,F482+E483)</x:f>
        <x:v>7</x:v>
      </x:c>
      <x:c r="G483" s="8" t="n">
        <x:f>MIN(F483,9)+1</x:f>
        <x:v>8</x:v>
      </x:c>
      <x:c r="H483" s="8" t="n">
        <x:f>IF(F483&lt;=9,1,0)</x:f>
        <x:v>1</x:v>
      </x:c>
      <x:c r="I483" s="9" t="n">
        <x:f>MIN(10,F482+IF(AR482&gt;0,MIN(1,AS482/AR482),1))</x:f>
        <x:v>7.797603904934588</x:v>
      </x:c>
      <x:c r="J483" s="32" t="n">
        <x:f>INDEX(tun_FoodCap,G483)*Arch_FoodCap*EXP(tun_CapsByProject*SUMPRODUCT((Cap_Point&lt;=I483)*(Cap_Kind="Food")*Cap_Ln))</x:f>
        <x:v>4514.300360064293</x:v>
      </x:c>
      <x:c r="K483" s="32" t="n">
        <x:f>J483*MIN(1,tun_LeanBase*EXP(tun_CapsByProject*SUMPRODUCT((Cap_Point&lt;=I483)*(Cap_Kind="Lean")*Cap_Ln)))</x:f>
        <x:v>4514.300360064293</x:v>
      </x:c>
      <x:c r="L483" s="10" t="n">
        <x:f>INDEX(tun_HousingCap,G483)*EXP(tun_CapsByProject*SUMPRODUCT((Cap_Point&lt;=I483)*(Cap_Kind="Housing")*Cap_Ln))</x:f>
        <x:v>5983.37642068151</x:v>
      </x:c>
      <x:c r="M483" s="10" t="n">
        <x:f>INDEX(tun_GroupCap,G483)*tun_CohesionFactor*EXP(tun_CapsByProject*SUMPRODUCT((Cap_Point&lt;=I483)*(Cap_Kind="Group")*Cap_Ln))</x:f>
        <x:v>1000000.000000001</x:v>
      </x:c>
      <x:c r="N483" s="32" t="n">
        <x:f>MIN(J483,L483,M483)</x:f>
        <x:v>4514.300360064293</x:v>
      </x:c>
      <x:c r="O483" s="10" t="n">
        <x:f>AE482*N483</x:f>
        <x:v>67714.5054009644</x:v>
      </x:c>
      <x:c r="P483" s="9" t="n">
        <x:f>MIN(1,(AB482/(AE482*IF(tun_GroupInCrowding=1,N483,MIN(J483,L483))))^tun_CrowdingExp)</x:f>
        <x:v>0.013058799316380565</x:v>
      </x:c>
      <x:c r="Q483" s="9" t="n">
        <x:f>IF(D483=1,INDEX(tun_WinterMult,G483),1)</x:f>
        <x:v>1.08</x:v>
      </x:c>
      <x:c r="R483" s="9" t="n">
        <x:f>H483*Z482*tun_WomenShare*tun_BaseFertility*INDEX(tun_FertMult,G483)*Arch_Fertility*(1-P483)</x:f>
        <x:v>739.0682195793545</x:v>
      </x:c>
      <x:c r="S483" s="9" t="n">
        <x:f>H483*Y482*INDEX(tun_MortChild,G483)/4*Q483</x:f>
        <x:v>81.47943634391473</x:v>
      </x:c>
      <x:c r="T483" s="9" t="n">
        <x:f>H483*Z482*INDEX(tun_MortAdult,G483)*Arch_AdultMort/4*Q483</x:f>
        <x:v>24.262651410017803</x:v>
      </x:c>
      <x:c r="U483" s="9" t="n">
        <x:f>H483*AA482*INDEX(tun_MortElder,G483)/4*Q483</x:f>
        <x:v>41.65217885423042</x:v>
      </x:c>
      <x:c r="V483" s="9" t="n">
        <x:f>H483*MAX(0,AB482-O483)*tun_OvercapLoss</x:f>
        <x:v>0</x:v>
      </x:c>
      <x:c r="W483" s="9" t="n">
        <x:f>H483*Y482/(tun_ChildYears*4)</x:f>
        <x:v>316.99127117925116</x:v>
      </x:c>
      <x:c r="X483" s="9" t="n">
        <x:f>H483*Z482/(tun_AdultYears*4)</x:f>
        <x:v>92.9090900423437</x:v>
      </x:c>
      <x:c r="Y483" s="32" t="n">
        <x:f>Y482+R483-S483-W483-Y482*V483/AB482</x:f>
        <x:v>18092.108698094256</x:v>
      </x:c>
      <x:c r="Z483" s="32" t="n">
        <x:f>Z482+W483-X483-T483-Z482*V483/AB482</x:f>
        <x:v>11720.54669497751</x:v>
      </x:c>
      <x:c r="AA483" s="32" t="n">
        <x:f>AA482+X483-U483-AA482*V483/AB482</x:f>
        <x:v>3638.869215600725</x:v>
      </x:c>
      <x:c r="AB483" s="10" t="n">
        <x:f>Y483+Z483+AA483</x:f>
        <x:v>33451.52460867249</x:v>
      </x:c>
      <x:c r="AC483" s="8" t="n">
        <x:f>IF(AND(tun_WinterTrigger=1,D483=1,AB482/AE482&gt;=K483),1,0)</x:f>
        <x:v>0</x:v>
      </x:c>
      <x:c r="AD483" s="8" t="n">
        <x:f>H483*IF(AND(OR(AB482/AE482&gt;=tun_FissionTrigger*N483,AC483=1),AB482/AE482*tun_DaughterShare&gt;=tun_MinDaughter),MAX(1,ROUND(AE482*tun_FissionRate,0)),0)</x:f>
        <x:v>0</x:v>
      </x:c>
      <x:c r="AE483" s="8" t="n">
        <x:f>IF(H483=1,MAX(1,MIN(INDEX(tun_Smax,G483),AE482+AD483)),AE482)</x:f>
        <x:v>15</x:v>
      </x:c>
      <x:c r="AF483" s="8" t="n">
        <x:f>MAX(0,AE483-AE482)</x:f>
        <x:v>0</x:v>
      </x:c>
      <x:c r="AG483" s="9" t="str">
        <x:f>IF(AF483&gt;0,B483,"")</x:f>
      </x:c>
      <x:c r="AH483" s="9" t="n">
        <x:f>IF(F483&gt;=1,1,(1+tun_LowTiesShare*(AE483-1))/AE483)</x:f>
        <x:v>1</x:v>
      </x:c>
      <x:c r="AI483" s="32" t="n">
        <x:f>(Z483+tun_ElderCommons*INDEX(LM_Elder,G483)*AA483)*AH483</x:f>
        <x:v>25366.30625348023</x:v>
      </x:c>
      <x:c r="AJ483" s="32" t="n">
        <x:f>H483*tun_CommonsCoef*AI483^tun_CommonsExp*INDEX(LM_Commons,G483)</x:f>
        <x:v>51923.81385260453</x:v>
      </x:c>
      <x:c r="AK483" s="32" t="n">
        <x:f>H483*tun_RoleScale*Arch_Roles*(AE483*(INDEX(tun_ElderRolePerSett,G483)*tun_OutElder*INDEX(LM_Elder,G483)+INDEX(tun_ShamanPerSett,G483)*tun_OutShaman)+Z483*(INDEX(tun_PriestShare,G483)*tun_OutPriest+INDEX(tun_ScribeShare,G483)*tun_OutScribe*INDEX(LM_Scribe,G483)+INDEX(tun_ScholarShare,G483)*tun_OutScholar*INDEX(LM_Scholar,G483)+INDEX(tun_ResearcherShare,G483)*tun_OutResearcher*INDEX(LM_Researcher,G483)))</x:f>
        <x:v>17261.959078584452</x:v>
      </x:c>
      <x:c r="AL483" s="32" t="n">
        <x:f>H483*tun_RoleScale*Arch_Roles*AE483*INDEX(tun_MonasteryPerSett,G483)*tun_OutMonastery*INDEX(LM_Monastery,G483)</x:f>
        <x:v>79.2</x:v>
      </x:c>
      <x:c r="AM483" s="32" t="n">
        <x:f>(AJ483+AK483+AL483)/4*INDEX(LM_All,G483)*INDEX(tun_Boon,G483)*Arch_Insight</x:f>
        <x:v>41683.83705838298</x:v>
      </x:c>
      <x:c r="AN483" s="32" t="n">
        <x:f>H483*(tun_KHPerAdult*Z483+tun_KHOfCommons*AJ483/4*INDEX(LM_All,G483))*tun_KHUsable*Arch_KH</x:f>
        <x:v>6440.500698432954</x:v>
      </x:c>
      <x:c r="AO483" s="32" t="n">
        <x:f>MIN(AP482+AN483,AM483*tun_KHMaxRatio)</x:f>
        <x:v>6440.500698432954</x:v>
      </x:c>
      <x:c r="AP483" s="32" t="n">
        <x:f>AP482+AN483-AO483</x:f>
        <x:v>0</x:v>
      </x:c>
      <x:c r="AQ483" s="32" t="n">
        <x:f>AM483+AO483</x:f>
        <x:v>48124.337756815934</x:v>
      </x:c>
      <x:c r="AR483" s="10" t="n">
        <x:f>IF(H483=1,INDEX(tun_Req,G483),0)</x:f>
        <x:v>3142139.1800715</x:v>
      </x:c>
      <x:c r="AS483" s="32" t="n">
        <x:f>IF(H483=1,IF(E483=1,AS482-AR482,AS482)+AQ483,0)</x:f>
        <x:v>2554306.817629808</x:v>
      </x:c>
      <x:c r="AT483" s="11" t="n">
        <x:f>IF(AR483&gt;0,MIN(1,AS483/AR483),1)</x:f>
        <x:v>0.8129196930008951</x:v>
      </x:c>
      <x:c r="AU483" s="10" t="n">
        <x:f>AB483/INDEX(tun_RepScale,G483)</x:f>
        <x:v>334.51524608672486</x:v>
      </x:c>
      <x:c r="AV483" s="32" t="n">
        <x:f>AM483*60/tun_SeasonSeconds</x:f>
        <x:v>166735.3482335319</x:v>
      </x:c>
    </x:row>
    <x:row r="484">
      <x:c r="A484" s="8" t="n">
        <x:f>A483+1</x:f>
        <x:v>481</x:v>
      </x:c>
      <x:c r="B484" s="9" t="n">
        <x:f>A484*tun_SeasonSeconds/60</x:f>
        <x:v>120.25</x:v>
      </x:c>
      <x:c r="C484" s="9" t="n">
        <x:f>A484/4</x:f>
        <x:v>120.25</x:v>
      </x:c>
      <x:c r="D484" s="8" t="n">
        <x:f>IF(MOD(A484,4)=0,1,0)</x:f>
        <x:v>0</x:v>
      </x:c>
      <x:c r="E484" s="8" t="n">
        <x:f>IF(AND(F483&lt;=9,AS483&gt;=AR483),1,0)</x:f>
        <x:v>0</x:v>
      </x:c>
      <x:c r="F484" s="8" t="n">
        <x:f>MIN(10,F483+E484)</x:f>
        <x:v>7</x:v>
      </x:c>
      <x:c r="G484" s="8" t="n">
        <x:f>MIN(F484,9)+1</x:f>
        <x:v>8</x:v>
      </x:c>
      <x:c r="H484" s="8" t="n">
        <x:f>IF(F484&lt;=9,1,0)</x:f>
        <x:v>1</x:v>
      </x:c>
      <x:c r="I484" s="9" t="n">
        <x:f>MIN(10,F483+IF(AR483&gt;0,MIN(1,AS483/AR483),1))</x:f>
        <x:v>7.812919693000895</x:v>
      </x:c>
      <x:c r="J484" s="32" t="n">
        <x:f>INDEX(tun_FoodCap,G484)*Arch_FoodCap*EXP(tun_CapsByProject*SUMPRODUCT((Cap_Point&lt;=I484)*(Cap_Kind="Food")*Cap_Ln))</x:f>
        <x:v>4514.300360064293</x:v>
      </x:c>
      <x:c r="K484" s="32" t="n">
        <x:f>J484*MIN(1,tun_LeanBase*EXP(tun_CapsByProject*SUMPRODUCT((Cap_Point&lt;=I484)*(Cap_Kind="Lean")*Cap_Ln)))</x:f>
        <x:v>4514.300360064293</x:v>
      </x:c>
      <x:c r="L484" s="10" t="n">
        <x:f>INDEX(tun_HousingCap,G484)*EXP(tun_CapsByProject*SUMPRODUCT((Cap_Point&lt;=I484)*(Cap_Kind="Housing")*Cap_Ln))</x:f>
        <x:v>5983.37642068151</x:v>
      </x:c>
      <x:c r="M484" s="10" t="n">
        <x:f>INDEX(tun_GroupCap,G484)*tun_CohesionFactor*EXP(tun_CapsByProject*SUMPRODUCT((Cap_Point&lt;=I484)*(Cap_Kind="Group")*Cap_Ln))</x:f>
        <x:v>1000000.000000001</x:v>
      </x:c>
      <x:c r="N484" s="32" t="n">
        <x:f>MIN(J484,L484,M484)</x:f>
        <x:v>4514.300360064293</x:v>
      </x:c>
      <x:c r="O484" s="10" t="n">
        <x:f>AE483*N484</x:f>
        <x:v>67714.5054009644</x:v>
      </x:c>
      <x:c r="P484" s="9" t="n">
        <x:f>MIN(1,(AB483/(AE483*IF(tun_GroupInCrowding=1,N484,MIN(J484,L484))))^tun_CrowdingExp)</x:f>
        <x:v>0.014534671932430071</x:v>
      </x:c>
      <x:c r="Q484" s="9" t="n">
        <x:f>IF(D484=1,INDEX(tun_WinterMult,G484),1)</x:f>
        <x:v>1</x:v>
      </x:c>
      <x:c r="R484" s="9" t="n">
        <x:f>H484*Z483*tun_WomenShare*tun_BaseFertility*INDEX(tun_FertMult,G484)*Arch_Fertility*(1-P484)</x:f>
        <x:v>750.7625056033235</x:v>
      </x:c>
      <x:c r="S484" s="9" t="n">
        <x:f>H484*Y483*INDEX(tun_MortChild,G484)/4*Q484</x:f>
        <x:v>76.8914619669006</x:v>
      </x:c>
      <x:c r="T484" s="9" t="n">
        <x:f>H484*Z483*INDEX(tun_MortAdult,G484)*Arch_AdultMort/4*Q484</x:f>
        <x:v>22.85506605520614</x:v>
      </x:c>
      <x:c r="U484" s="9" t="n">
        <x:f>H484*AA483*INDEX(tun_MortElder,G484)/4*Q484</x:f>
        <x:v>39.11784406770779</x:v>
      </x:c>
      <x:c r="V484" s="9" t="n">
        <x:f>H484*MAX(0,AB483-O484)*tun_OvercapLoss</x:f>
        <x:v>0</x:v>
      </x:c>
      <x:c r="W484" s="9" t="n">
        <x:f>H484*Y483/(tun_ChildYears*4)</x:f>
        <x:v>323.073369608826</x:v>
      </x:c>
      <x:c r="X484" s="9" t="n">
        <x:f>H484*Z483/(tun_AdultYears*4)</x:f>
        <x:v>94.52053786272185</x:v>
      </x:c>
      <x:c r="Y484" s="32" t="n">
        <x:f>Y483+R484-S484-W484-Y483*V484/AB483</x:f>
        <x:v>18442.906372121855</x:v>
      </x:c>
      <x:c r="Z484" s="32" t="n">
        <x:f>Z483+W484-X484-T484-Z483*V484/AB483</x:f>
        <x:v>11926.244460668408</x:v>
      </x:c>
      <x:c r="AA484" s="32" t="n">
        <x:f>AA483+X484-U484-AA483*V484/AB483</x:f>
        <x:v>3694.2719093957394</x:v>
      </x:c>
      <x:c r="AB484" s="10" t="n">
        <x:f>Y484+Z484+AA484</x:f>
        <x:v>34063.422742186005</x:v>
      </x:c>
      <x:c r="AC484" s="8" t="n">
        <x:f>IF(AND(tun_WinterTrigger=1,D484=1,AB483/AE483&gt;=K484),1,0)</x:f>
        <x:v>0</x:v>
      </x:c>
      <x:c r="AD484" s="8" t="n">
        <x:f>H484*IF(AND(OR(AB483/AE483&gt;=tun_FissionTrigger*N484,AC484=1),AB483/AE483*tun_DaughterShare&gt;=tun_MinDaughter),MAX(1,ROUND(AE483*tun_FissionRate,0)),0)</x:f>
        <x:v>0</x:v>
      </x:c>
      <x:c r="AE484" s="8" t="n">
        <x:f>IF(H484=1,MAX(1,MIN(INDEX(tun_Smax,G484),AE483+AD484)),AE483)</x:f>
        <x:v>15</x:v>
      </x:c>
      <x:c r="AF484" s="8" t="n">
        <x:f>MAX(0,AE484-AE483)</x:f>
        <x:v>0</x:v>
      </x:c>
      <x:c r="AG484" s="9" t="str">
        <x:f>IF(AF484&gt;0,B484,"")</x:f>
      </x:c>
      <x:c r="AH484" s="9" t="n">
        <x:f>IF(F484&gt;=1,1,(1+tun_LowTiesShare*(AE484-1))/AE484)</x:f>
        <x:v>1</x:v>
      </x:c>
      <x:c r="AI484" s="32" t="n">
        <x:f>(Z484+tun_ElderCommons*INDEX(LM_Elder,G484)*AA484)*AH484</x:f>
        <x:v>25779.76412090243</x:v>
      </x:c>
      <x:c r="AJ484" s="32" t="n">
        <x:f>H484*tun_CommonsCoef*AI484^tun_CommonsExp*INDEX(LM_Commons,G484)</x:f>
        <x:v>52642.32183609199</x:v>
      </x:c>
      <x:c r="AK484" s="32" t="n">
        <x:f>H484*tun_RoleScale*Arch_Roles*(AE484*(INDEX(tun_ElderRolePerSett,G484)*tun_OutElder*INDEX(LM_Elder,G484)+INDEX(tun_ShamanPerSett,G484)*tun_OutShaman)+Z484*(INDEX(tun_PriestShare,G484)*tun_OutPriest+INDEX(tun_ScribeShare,G484)*tun_OutScribe*INDEX(LM_Scribe,G484)+INDEX(tun_ScholarShare,G484)*tun_OutScholar*INDEX(LM_Scholar,G484)+INDEX(tun_ResearcherShare,G484)*tun_OutResearcher*INDEX(LM_Researcher,G484)))</x:f>
        <x:v>17557.80183311173</x:v>
      </x:c>
      <x:c r="AL484" s="32" t="n">
        <x:f>H484*tun_RoleScale*Arch_Roles*AE484*INDEX(tun_MonasteryPerSett,G484)*tun_OutMonastery*INDEX(LM_Monastery,G484)</x:f>
        <x:v>79.2</x:v>
      </x:c>
      <x:c r="AM484" s="32" t="n">
        <x:f>(AJ484+AK484+AL484)/4*INDEX(LM_All,G484)*INDEX(tun_Boon,G484)*Arch_Insight</x:f>
        <x:v>42294.27591505389</x:v>
      </x:c>
      <x:c r="AN484" s="32" t="n">
        <x:f>H484*(tun_KHPerAdult*Z484+tun_KHOfCommons*AJ484/4*INDEX(LM_All,G484))*tun_KHUsable*Arch_KH</x:f>
        <x:v>6529.622641258973</x:v>
      </x:c>
      <x:c r="AO484" s="32" t="n">
        <x:f>MIN(AP483+AN484,AM484*tun_KHMaxRatio)</x:f>
        <x:v>6529.622641258973</x:v>
      </x:c>
      <x:c r="AP484" s="32" t="n">
        <x:f>AP483+AN484-AO484</x:f>
        <x:v>0</x:v>
      </x:c>
      <x:c r="AQ484" s="32" t="n">
        <x:f>AM484+AO484</x:f>
        <x:v>48823.898556312866</x:v>
      </x:c>
      <x:c r="AR484" s="10" t="n">
        <x:f>IF(H484=1,INDEX(tun_Req,G484),0)</x:f>
        <x:v>3142139.1800715</x:v>
      </x:c>
      <x:c r="AS484" s="32" t="n">
        <x:f>IF(H484=1,IF(E484=1,AS483-AR483,AS483)+AQ484,0)</x:f>
        <x:v>2603130.716186121</x:v>
      </x:c>
      <x:c r="AT484" s="11" t="n">
        <x:f>IF(AR484&gt;0,MIN(1,AS484/AR484),1)</x:f>
        <x:v>0.8284581194544305</x:v>
      </x:c>
      <x:c r="AU484" s="10" t="n">
        <x:f>AB484/INDEX(tun_RepScale,G484)</x:f>
        <x:v>340.63422742186003</x:v>
      </x:c>
      <x:c r="AV484" s="32" t="n">
        <x:f>AM484*60/tun_SeasonSeconds</x:f>
        <x:v>169177.10366021557</x:v>
      </x:c>
    </x:row>
    <x:row r="485">
      <x:c r="A485" s="8" t="n">
        <x:f>A484+1</x:f>
        <x:v>482</x:v>
      </x:c>
      <x:c r="B485" s="9" t="n">
        <x:f>A485*tun_SeasonSeconds/60</x:f>
        <x:v>120.5</x:v>
      </x:c>
      <x:c r="C485" s="9" t="n">
        <x:f>A485/4</x:f>
        <x:v>120.5</x:v>
      </x:c>
      <x:c r="D485" s="8" t="n">
        <x:f>IF(MOD(A485,4)=0,1,0)</x:f>
        <x:v>0</x:v>
      </x:c>
      <x:c r="E485" s="8" t="n">
        <x:f>IF(AND(F484&lt;=9,AS484&gt;=AR484),1,0)</x:f>
        <x:v>0</x:v>
      </x:c>
      <x:c r="F485" s="8" t="n">
        <x:f>MIN(10,F484+E485)</x:f>
        <x:v>7</x:v>
      </x:c>
      <x:c r="G485" s="8" t="n">
        <x:f>MIN(F485,9)+1</x:f>
        <x:v>8</x:v>
      </x:c>
      <x:c r="H485" s="8" t="n">
        <x:f>IF(F485&lt;=9,1,0)</x:f>
        <x:v>1</x:v>
      </x:c>
      <x:c r="I485" s="9" t="n">
        <x:f>MIN(10,F484+IF(AR484&gt;0,MIN(1,AS484/AR484),1))</x:f>
        <x:v>7.828458119454431</x:v>
      </x:c>
      <x:c r="J485" s="32" t="n">
        <x:f>INDEX(tun_FoodCap,G485)*Arch_FoodCap*EXP(tun_CapsByProject*SUMPRODUCT((Cap_Point&lt;=I485)*(Cap_Kind="Food")*Cap_Ln))</x:f>
        <x:v>4514.300360064293</x:v>
      </x:c>
      <x:c r="K485" s="32" t="n">
        <x:f>J485*MIN(1,tun_LeanBase*EXP(tun_CapsByProject*SUMPRODUCT((Cap_Point&lt;=I485)*(Cap_Kind="Lean")*Cap_Ln)))</x:f>
        <x:v>4514.300360064293</x:v>
      </x:c>
      <x:c r="L485" s="10" t="n">
        <x:f>INDEX(tun_HousingCap,G485)*EXP(tun_CapsByProject*SUMPRODUCT((Cap_Point&lt;=I485)*(Cap_Kind="Housing")*Cap_Ln))</x:f>
        <x:v>5983.37642068151</x:v>
      </x:c>
      <x:c r="M485" s="10" t="n">
        <x:f>INDEX(tun_GroupCap,G485)*tun_CohesionFactor*EXP(tun_CapsByProject*SUMPRODUCT((Cap_Point&lt;=I485)*(Cap_Kind="Group")*Cap_Ln))</x:f>
        <x:v>1000000.000000001</x:v>
      </x:c>
      <x:c r="N485" s="32" t="n">
        <x:f>MIN(J485,L485,M485)</x:f>
        <x:v>4514.300360064293</x:v>
      </x:c>
      <x:c r="O485" s="10" t="n">
        <x:f>AE484*N485</x:f>
        <x:v>67714.5054009644</x:v>
      </x:c>
      <x:c r="P485" s="9" t="n">
        <x:f>MIN(1,(AB484/(AE484*IF(tun_GroupInCrowding=1,N485,MIN(J485,L485))))^tun_CrowdingExp)</x:f>
        <x:v>0.016204642053098448</x:v>
      </x:c>
      <x:c r="Q485" s="9" t="n">
        <x:f>IF(D485=1,INDEX(tun_WinterMult,G485),1)</x:f>
        <x:v>1</x:v>
      </x:c>
      <x:c r="R485" s="9" t="n">
        <x:f>H485*Z484*tun_WomenShare*tun_BaseFertility*INDEX(tun_FertMult,G485)*Arch_Fertility*(1-P485)</x:f>
        <x:v>762.6439559794594</x:v>
      </x:c>
      <x:c r="S485" s="9" t="n">
        <x:f>H485*Y484*INDEX(tun_MortChild,G485)/4*Q485</x:f>
        <x:v>78.3823520815179</x:v>
      </x:c>
      <x:c r="T485" s="9" t="n">
        <x:f>H485*Z484*INDEX(tun_MortAdult,G485)*Arch_AdultMort/4*Q485</x:f>
        <x:v>23.256176698303392</x:v>
      </x:c>
      <x:c r="U485" s="9" t="n">
        <x:f>H485*AA484*INDEX(tun_MortElder,G485)/4*Q485</x:f>
        <x:v>39.71342302600419</x:v>
      </x:c>
      <x:c r="V485" s="9" t="n">
        <x:f>H485*MAX(0,AB484-O485)*tun_OvercapLoss</x:f>
        <x:v>0</x:v>
      </x:c>
      <x:c r="W485" s="9" t="n">
        <x:f>H485*Y484/(tun_ChildYears*4)</x:f>
        <x:v>329.3376137878903</x:v>
      </x:c>
      <x:c r="X485" s="9" t="n">
        <x:f>H485*Z484/(tun_AdultYears*4)</x:f>
        <x:v>96.179390811842</x:v>
      </x:c>
      <x:c r="Y485" s="32" t="n">
        <x:f>Y484+R485-S485-W485-Y484*V485/AB484</x:f>
        <x:v>18797.830362231907</x:v>
      </x:c>
      <x:c r="Z485" s="32" t="n">
        <x:f>Z484+W485-X485-T485-Z484*V485/AB484</x:f>
        <x:v>12136.146506946152</x:v>
      </x:c>
      <x:c r="AA485" s="32" t="n">
        <x:f>AA484+X485-U485-AA484*V485/AB484</x:f>
        <x:v>3750.7378771815775</x:v>
      </x:c>
      <x:c r="AB485" s="10" t="n">
        <x:f>Y485+Z485+AA485</x:f>
        <x:v>34684.714746359634</x:v>
      </x:c>
      <x:c r="AC485" s="8" t="n">
        <x:f>IF(AND(tun_WinterTrigger=1,D485=1,AB484/AE484&gt;=K485),1,0)</x:f>
        <x:v>0</x:v>
      </x:c>
      <x:c r="AD485" s="8" t="n">
        <x:f>H485*IF(AND(OR(AB484/AE484&gt;=tun_FissionTrigger*N485,AC485=1),AB484/AE484*tun_DaughterShare&gt;=tun_MinDaughter),MAX(1,ROUND(AE484*tun_FissionRate,0)),0)</x:f>
        <x:v>0</x:v>
      </x:c>
      <x:c r="AE485" s="8" t="n">
        <x:f>IF(H485=1,MAX(1,MIN(INDEX(tun_Smax,G485),AE484+AD485)),AE484)</x:f>
        <x:v>15</x:v>
      </x:c>
      <x:c r="AF485" s="8" t="n">
        <x:f>MAX(0,AE485-AE484)</x:f>
        <x:v>0</x:v>
      </x:c>
      <x:c r="AG485" s="9" t="str">
        <x:f>IF(AF485&gt;0,B485,"")</x:f>
      </x:c>
      <x:c r="AH485" s="9" t="n">
        <x:f>IF(F485&gt;=1,1,(1+tun_LowTiesShare*(AE485-1))/AE485)</x:f>
        <x:v>1</x:v>
      </x:c>
      <x:c r="AI485" s="32" t="n">
        <x:f>(Z485+tun_ElderCommons*INDEX(LM_Elder,G485)*AA485)*AH485</x:f>
        <x:v>26201.413546377065</x:v>
      </x:c>
      <x:c r="AJ485" s="32" t="n">
        <x:f>H485*tun_CommonsCoef*AI485^tun_CommonsExp*INDEX(LM_Commons,G485)</x:f>
        <x:v>53373.287168151284</x:v>
      </x:c>
      <x:c r="AK485" s="32" t="n">
        <x:f>H485*tun_RoleScale*Arch_Roles*(AE485*(INDEX(tun_ElderRolePerSett,G485)*tun_OutElder*INDEX(LM_Elder,G485)+INDEX(tun_ShamanPerSett,G485)*tun_OutShaman)+Z485*(INDEX(tun_PriestShare,G485)*tun_OutPriest+INDEX(tun_ScribeShare,G485)*tun_OutScribe*INDEX(LM_Scribe,G485)+INDEX(tun_ScholarShare,G485)*tun_OutScholar*INDEX(LM_Scholar,G485)+INDEX(tun_ResearcherShare,G485)*tun_OutResearcher*INDEX(LM_Researcher,G485)))</x:f>
        <x:v>17859.691352150232</x:v>
      </x:c>
      <x:c r="AL485" s="32" t="n">
        <x:f>H485*tun_RoleScale*Arch_Roles*AE485*INDEX(tun_MonasteryPerSett,G485)*tun_OutMonastery*INDEX(LM_Monastery,G485)</x:f>
        <x:v>79.2</x:v>
      </x:c>
      <x:c r="AM485" s="32" t="n">
        <x:f>(AJ485+AK485+AL485)/4*INDEX(LM_All,G485)*INDEX(tun_Boon,G485)*Arch_Insight</x:f>
        <x:v>42915.85059408961</x:v>
      </x:c>
      <x:c r="AN485" s="32" t="n">
        <x:f>H485*(tun_KHPerAdult*Z485+tun_KHOfCommons*AJ485/4*INDEX(LM_All,G485))*tun_KHUsable*Arch_KH</x:f>
        <x:v>6620.289762611462</x:v>
      </x:c>
      <x:c r="AO485" s="32" t="n">
        <x:f>MIN(AP484+AN485,AM485*tun_KHMaxRatio)</x:f>
        <x:v>6620.289762611462</x:v>
      </x:c>
      <x:c r="AP485" s="32" t="n">
        <x:f>AP484+AN485-AO485</x:f>
        <x:v>0</x:v>
      </x:c>
      <x:c r="AQ485" s="32" t="n">
        <x:f>AM485+AO485</x:f>
        <x:v>49536.14035670107</x:v>
      </x:c>
      <x:c r="AR485" s="10" t="n">
        <x:f>IF(H485=1,INDEX(tun_Req,G485),0)</x:f>
        <x:v>3142139.1800715</x:v>
      </x:c>
      <x:c r="AS485" s="32" t="n">
        <x:f>IF(H485=1,IF(E485=1,AS484-AR484,AS484)+AQ485,0)</x:f>
        <x:v>2652666.856542822</x:v>
      </x:c>
      <x:c r="AT485" s="11" t="n">
        <x:f>IF(AR485&gt;0,MIN(1,AS485/AR485),1)</x:f>
        <x:v>0.8442232200810595</x:v>
      </x:c>
      <x:c r="AU485" s="10" t="n">
        <x:f>AB485/INDEX(tun_RepScale,G485)</x:f>
        <x:v>346.84714746359634</x:v>
      </x:c>
      <x:c r="AV485" s="32" t="n">
        <x:f>AM485*60/tun_SeasonSeconds</x:f>
        <x:v>171663.40237635843</x:v>
      </x:c>
    </x:row>
    <x:row r="486">
      <x:c r="A486" s="8" t="n">
        <x:f>A485+1</x:f>
        <x:v>483</x:v>
      </x:c>
      <x:c r="B486" s="9" t="n">
        <x:f>A486*tun_SeasonSeconds/60</x:f>
        <x:v>120.75</x:v>
      </x:c>
      <x:c r="C486" s="9" t="n">
        <x:f>A486/4</x:f>
        <x:v>120.75</x:v>
      </x:c>
      <x:c r="D486" s="8" t="n">
        <x:f>IF(MOD(A486,4)=0,1,0)</x:f>
        <x:v>0</x:v>
      </x:c>
      <x:c r="E486" s="8" t="n">
        <x:f>IF(AND(F485&lt;=9,AS485&gt;=AR485),1,0)</x:f>
        <x:v>0</x:v>
      </x:c>
      <x:c r="F486" s="8" t="n">
        <x:f>MIN(10,F485+E486)</x:f>
        <x:v>7</x:v>
      </x:c>
      <x:c r="G486" s="8" t="n">
        <x:f>MIN(F486,9)+1</x:f>
        <x:v>8</x:v>
      </x:c>
      <x:c r="H486" s="8" t="n">
        <x:f>IF(F486&lt;=9,1,0)</x:f>
        <x:v>1</x:v>
      </x:c>
      <x:c r="I486" s="9" t="n">
        <x:f>MIN(10,F485+IF(AR485&gt;0,MIN(1,AS485/AR485),1))</x:f>
        <x:v>7.8442232200810595</x:v>
      </x:c>
      <x:c r="J486" s="32" t="n">
        <x:f>INDEX(tun_FoodCap,G486)*Arch_FoodCap*EXP(tun_CapsByProject*SUMPRODUCT((Cap_Point&lt;=I486)*(Cap_Kind="Food")*Cap_Ln))</x:f>
        <x:v>4514.300360064293</x:v>
      </x:c>
      <x:c r="K486" s="32" t="n">
        <x:f>J486*MIN(1,tun_LeanBase*EXP(tun_CapsByProject*SUMPRODUCT((Cap_Point&lt;=I486)*(Cap_Kind="Lean")*Cap_Ln)))</x:f>
        <x:v>4514.300360064293</x:v>
      </x:c>
      <x:c r="L486" s="10" t="n">
        <x:f>INDEX(tun_HousingCap,G486)*EXP(tun_CapsByProject*SUMPRODUCT((Cap_Point&lt;=I486)*(Cap_Kind="Housing")*Cap_Ln))</x:f>
        <x:v>5983.37642068151</x:v>
      </x:c>
      <x:c r="M486" s="10" t="n">
        <x:f>INDEX(tun_GroupCap,G486)*tun_CohesionFactor*EXP(tun_CapsByProject*SUMPRODUCT((Cap_Point&lt;=I486)*(Cap_Kind="Group")*Cap_Ln))</x:f>
        <x:v>1000000.000000001</x:v>
      </x:c>
      <x:c r="N486" s="32" t="n">
        <x:f>MIN(J486,L486,M486)</x:f>
        <x:v>4514.300360064293</x:v>
      </x:c>
      <x:c r="O486" s="10" t="n">
        <x:f>AE485*N486</x:f>
        <x:v>67714.5054009644</x:v>
      </x:c>
      <x:c r="P486" s="9" t="n">
        <x:f>MIN(1,(AB485/(AE485*IF(tun_GroupInCrowding=1,N486,MIN(J486,L486))))^tun_CrowdingExp)</x:f>
        <x:v>0.018060863024440536</x:v>
      </x:c>
      <x:c r="Q486" s="9" t="n">
        <x:f>IF(D486=1,INDEX(tun_WinterMult,G486),1)</x:f>
        <x:v>1</x:v>
      </x:c>
      <x:c r="R486" s="9" t="n">
        <x:f>H486*Z485*tun_WomenShare*tun_BaseFertility*INDEX(tun_FertMult,G486)*Arch_Fertility*(1-P486)</x:f>
        <x:v>774.6022197705776</x:v>
      </x:c>
      <x:c r="S486" s="9" t="n">
        <x:f>H486*Y485*INDEX(tun_MortChild,G486)/4*Q486</x:f>
        <x:v>79.89077903948561</x:v>
      </x:c>
      <x:c r="T486" s="9" t="n">
        <x:f>H486*Z485*INDEX(tun_MortAdult,G486)*Arch_AdultMort/4*Q486</x:f>
        <x:v>23.665485688544994</x:v>
      </x:c>
      <x:c r="U486" s="9" t="n">
        <x:f>H486*AA485*INDEX(tun_MortElder,G486)/4*Q486</x:f>
        <x:v>40.32043217970195</x:v>
      </x:c>
      <x:c r="V486" s="9" t="n">
        <x:f>H486*MAX(0,AB485-O486)*tun_OvercapLoss</x:f>
        <x:v>0</x:v>
      </x:c>
      <x:c r="W486" s="9" t="n">
        <x:f>H486*Y485/(tun_ChildYears*4)</x:f>
        <x:v>335.6755421827126</x:v>
      </x:c>
      <x:c r="X486" s="9" t="n">
        <x:f>H486*Z485/(tun_AdultYears*4)</x:f>
        <x:v>97.87214924956574</x:v>
      </x:c>
      <x:c r="Y486" s="32" t="n">
        <x:f>Y485+R486-S486-W486-Y485*V486/AB485</x:f>
        <x:v>19156.86626078029</x:v>
      </x:c>
      <x:c r="Z486" s="32" t="n">
        <x:f>Z485+W486-X486-T486-Z485*V486/AB485</x:f>
        <x:v>12350.284414190754</x:v>
      </x:c>
      <x:c r="AA486" s="32" t="n">
        <x:f>AA485+X486-U486-AA485*V486/AB485</x:f>
        <x:v>3808.289594251441</x:v>
      </x:c>
      <x:c r="AB486" s="10" t="n">
        <x:f>Y486+Z486+AA486</x:f>
        <x:v>35315.44026922249</x:v>
      </x:c>
      <x:c r="AC486" s="8" t="n">
        <x:f>IF(AND(tun_WinterTrigger=1,D486=1,AB485/AE485&gt;=K486),1,0)</x:f>
        <x:v>0</x:v>
      </x:c>
      <x:c r="AD486" s="8" t="n">
        <x:f>H486*IF(AND(OR(AB485/AE485&gt;=tun_FissionTrigger*N486,AC486=1),AB485/AE485*tun_DaughterShare&gt;=tun_MinDaughter),MAX(1,ROUND(AE485*tun_FissionRate,0)),0)</x:f>
        <x:v>0</x:v>
      </x:c>
      <x:c r="AE486" s="8" t="n">
        <x:f>IF(H486=1,MAX(1,MIN(INDEX(tun_Smax,G486),AE485+AD486)),AE485)</x:f>
        <x:v>15</x:v>
      </x:c>
      <x:c r="AF486" s="8" t="n">
        <x:f>MAX(0,AE486-AE485)</x:f>
        <x:v>0</x:v>
      </x:c>
      <x:c r="AG486" s="9" t="str">
        <x:f>IF(AF486&gt;0,B486,"")</x:f>
      </x:c>
      <x:c r="AH486" s="9" t="n">
        <x:f>IF(F486&gt;=1,1,(1+tun_LowTiesShare*(AE486-1))/AE486)</x:f>
        <x:v>1</x:v>
      </x:c>
      <x:c r="AI486" s="32" t="n">
        <x:f>(Z486+tun_ElderCommons*INDEX(LM_Elder,G486)*AA486)*AH486</x:f>
        <x:v>26631.370392633657</x:v>
      </x:c>
      <x:c r="AJ486" s="32" t="n">
        <x:f>H486*tun_CommonsCoef*AI486^tun_CommonsExp*INDEX(LM_Commons,G486)</x:f>
        <x:v>54116.8394895401</x:v>
      </x:c>
      <x:c r="AK486" s="32" t="n">
        <x:f>H486*tun_RoleScale*Arch_Roles*(AE486*(INDEX(tun_ElderRolePerSett,G486)*tun_OutElder*INDEX(LM_Elder,G486)+INDEX(tun_ShamanPerSett,G486)*tun_OutShaman)+Z486*(INDEX(tun_PriestShare,G486)*tun_OutPriest+INDEX(tun_ScribeShare,G486)*tun_OutScribe*INDEX(LM_Scribe,G486)+INDEX(tun_ScholarShare,G486)*tun_OutScholar*INDEX(LM_Scholar,G486)+INDEX(tun_ResearcherShare,G486)*tun_OutResearcher*INDEX(LM_Researcher,G486)))</x:f>
        <x:v>18167.673055865707</x:v>
      </x:c>
      <x:c r="AL486" s="32" t="n">
        <x:f>H486*tun_RoleScale*Arch_Roles*AE486*INDEX(tun_MonasteryPerSett,G486)*tun_OutMonastery*INDEX(LM_Monastery,G486)</x:f>
        <x:v>79.2</x:v>
      </x:c>
      <x:c r="AM486" s="32" t="n">
        <x:f>(AJ486+AK486+AL486)/4*INDEX(LM_All,G486)*INDEX(tun_Boon,G486)*Arch_Insight</x:f>
        <x:v>43548.666447599535</x:v>
      </x:c>
      <x:c r="AN486" s="32" t="n">
        <x:f>H486*(tun_KHPerAdult*Z486+tun_KHOfCommons*AJ486/4*INDEX(LM_All,G486))*tun_KHUsable*Arch_KH</x:f>
        <x:v>6712.518142807495</x:v>
      </x:c>
      <x:c r="AO486" s="32" t="n">
        <x:f>MIN(AP485+AN486,AM486*tun_KHMaxRatio)</x:f>
        <x:v>6712.518142807495</x:v>
      </x:c>
      <x:c r="AP486" s="32" t="n">
        <x:f>AP485+AN486-AO486</x:f>
        <x:v>0</x:v>
      </x:c>
      <x:c r="AQ486" s="32" t="n">
        <x:f>AM486+AO486</x:f>
        <x:v>50261.18459040703</x:v>
      </x:c>
      <x:c r="AR486" s="10" t="n">
        <x:f>IF(H486=1,INDEX(tun_Req,G486),0)</x:f>
        <x:v>3142139.1800715</x:v>
      </x:c>
      <x:c r="AS486" s="32" t="n">
        <x:f>IF(H486=1,IF(E486=1,AS485-AR485,AS485)+AQ486,0)</x:f>
        <x:v>2702928.041133229</x:v>
      </x:c>
      <x:c r="AT486" s="11" t="n">
        <x:f>IF(AR486&gt;0,MIN(1,AS486/AR486),1)</x:f>
        <x:v>0.8602190693130669</x:v>
      </x:c>
      <x:c r="AU486" s="10" t="n">
        <x:f>AB486/INDEX(tun_RepScale,G486)</x:f>
        <x:v>353.1544026922249</x:v>
      </x:c>
      <x:c r="AV486" s="32" t="n">
        <x:f>AM486*60/tun_SeasonSeconds</x:f>
        <x:v>174194.66579039814</x:v>
      </x:c>
    </x:row>
    <x:row r="487">
      <x:c r="A487" s="8" t="n">
        <x:f>A486+1</x:f>
        <x:v>484</x:v>
      </x:c>
      <x:c r="B487" s="9" t="n">
        <x:f>A487*tun_SeasonSeconds/60</x:f>
        <x:v>121</x:v>
      </x:c>
      <x:c r="C487" s="9" t="n">
        <x:f>A487/4</x:f>
        <x:v>121</x:v>
      </x:c>
      <x:c r="D487" s="8" t="n">
        <x:f>IF(MOD(A487,4)=0,1,0)</x:f>
        <x:v>1</x:v>
      </x:c>
      <x:c r="E487" s="8" t="n">
        <x:f>IF(AND(F486&lt;=9,AS486&gt;=AR486),1,0)</x:f>
        <x:v>0</x:v>
      </x:c>
      <x:c r="F487" s="8" t="n">
        <x:f>MIN(10,F486+E487)</x:f>
        <x:v>7</x:v>
      </x:c>
      <x:c r="G487" s="8" t="n">
        <x:f>MIN(F487,9)+1</x:f>
        <x:v>8</x:v>
      </x:c>
      <x:c r="H487" s="8" t="n">
        <x:f>IF(F487&lt;=9,1,0)</x:f>
        <x:v>1</x:v>
      </x:c>
      <x:c r="I487" s="9" t="n">
        <x:f>MIN(10,F486+IF(AR486&gt;0,MIN(1,AS486/AR486),1))</x:f>
        <x:v>7.860219069313067</x:v>
      </x:c>
      <x:c r="J487" s="32" t="n">
        <x:f>INDEX(tun_FoodCap,G487)*Arch_FoodCap*EXP(tun_CapsByProject*SUMPRODUCT((Cap_Point&lt;=I487)*(Cap_Kind="Food")*Cap_Ln))</x:f>
        <x:v>4514.300360064293</x:v>
      </x:c>
      <x:c r="K487" s="32" t="n">
        <x:f>J487*MIN(1,tun_LeanBase*EXP(tun_CapsByProject*SUMPRODUCT((Cap_Point&lt;=I487)*(Cap_Kind="Lean")*Cap_Ln)))</x:f>
        <x:v>4514.300360064293</x:v>
      </x:c>
      <x:c r="L487" s="10" t="n">
        <x:f>INDEX(tun_HousingCap,G487)*EXP(tun_CapsByProject*SUMPRODUCT((Cap_Point&lt;=I487)*(Cap_Kind="Housing")*Cap_Ln))</x:f>
        <x:v>5983.37642068151</x:v>
      </x:c>
      <x:c r="M487" s="10" t="n">
        <x:f>INDEX(tun_GroupCap,G487)*tun_CohesionFactor*EXP(tun_CapsByProject*SUMPRODUCT((Cap_Point&lt;=I487)*(Cap_Kind="Group")*Cap_Ln))</x:f>
        <x:v>1000000.000000001</x:v>
      </x:c>
      <x:c r="N487" s="32" t="n">
        <x:f>MIN(J487,L487,M487)</x:f>
        <x:v>4514.300360064293</x:v>
      </x:c>
      <x:c r="O487" s="10" t="n">
        <x:f>AE486*N487</x:f>
        <x:v>67714.5054009644</x:v>
      </x:c>
      <x:c r="P487" s="9" t="n">
        <x:f>MIN(1,(AB486/(AE486*IF(tun_GroupInCrowding=1,N487,MIN(J487,L487))))^tun_CrowdingExp)</x:f>
        <x:v>0.020123220468634212</x:v>
      </x:c>
      <x:c r="Q487" s="9" t="n">
        <x:f>IF(D487=1,INDEX(tun_WinterMult,G487),1)</x:f>
        <x:v>1.08</x:v>
      </x:c>
      <x:c r="R487" s="9" t="n">
        <x:f>H487*Z486*tun_WomenShare*tun_BaseFertility*INDEX(tun_FertMult,G487)*Arch_Fertility*(1-P487)</x:f>
        <x:v>786.6141996747876</x:v>
      </x:c>
      <x:c r="S487" s="9" t="n">
        <x:f>H487*Y486*INDEX(tun_MortChild,G487)/4*Q487</x:f>
        <x:v>87.93001613698155</x:v>
      </x:c>
      <x:c r="T487" s="9" t="n">
        <x:f>H487*Z486*INDEX(tun_MortAdult,G487)*Arch_AdultMort/4*Q487</x:f>
        <x:v>26.009698976285726</x:v>
      </x:c>
      <x:c r="U487" s="9" t="n">
        <x:f>H487*AA486*INDEX(tun_MortElder,G487)/4*Q487</x:f>
        <x:v>44.21424218925923</x:v>
      </x:c>
      <x:c r="V487" s="9" t="n">
        <x:f>H487*MAX(0,AB486-O487)*tun_OvercapLoss</x:f>
        <x:v>0</x:v>
      </x:c>
      <x:c r="W487" s="9" t="n">
        <x:f>H487*Y486/(tun_ChildYears*4)</x:f>
        <x:v>342.08689751393376</x:v>
      </x:c>
      <x:c r="X487" s="9" t="n">
        <x:f>H487*Z486/(tun_AdultYears*4)</x:f>
        <x:v>99.59906785637705</x:v>
      </x:c>
      <x:c r="Y487" s="32" t="n">
        <x:f>Y486+R487-S487-W487-Y486*V487/AB486</x:f>
        <x:v>19513.46354680416</x:v>
      </x:c>
      <x:c r="Z487" s="32" t="n">
        <x:f>Z486+W487-X487-T487-Z486*V487/AB486</x:f>
        <x:v>12566.762544872023</x:v>
      </x:c>
      <x:c r="AA487" s="32" t="n">
        <x:f>AA486+X487-U487-AA486*V487/AB486</x:f>
        <x:v>3863.674419918559</x:v>
      </x:c>
      <x:c r="AB487" s="10" t="n">
        <x:f>Y487+Z487+AA487</x:f>
        <x:v>35943.90051159474</x:v>
      </x:c>
      <x:c r="AC487" s="8" t="n">
        <x:f>IF(AND(tun_WinterTrigger=1,D487=1,AB486/AE486&gt;=K487),1,0)</x:f>
        <x:v>0</x:v>
      </x:c>
      <x:c r="AD487" s="8" t="n">
        <x:f>H487*IF(AND(OR(AB486/AE486&gt;=tun_FissionTrigger*N487,AC487=1),AB486/AE486*tun_DaughterShare&gt;=tun_MinDaughter),MAX(1,ROUND(AE486*tun_FissionRate,0)),0)</x:f>
        <x:v>0</x:v>
      </x:c>
      <x:c r="AE487" s="8" t="n">
        <x:f>IF(H487=1,MAX(1,MIN(INDEX(tun_Smax,G487),AE486+AD487)),AE486)</x:f>
        <x:v>15</x:v>
      </x:c>
      <x:c r="AF487" s="8" t="n">
        <x:f>MAX(0,AE487-AE486)</x:f>
        <x:v>0</x:v>
      </x:c>
      <x:c r="AG487" s="9" t="str">
        <x:f>IF(AF487&gt;0,B487,"")</x:f>
      </x:c>
      <x:c r="AH487" s="9" t="n">
        <x:f>IF(F487&gt;=1,1,(1+tun_LowTiesShare*(AE487-1))/AE487)</x:f>
        <x:v>1</x:v>
      </x:c>
      <x:c r="AI487" s="32" t="n">
        <x:f>(Z487+tun_ElderCommons*INDEX(LM_Elder,G487)*AA487)*AH487</x:f>
        <x:v>27055.54161956662</x:v>
      </x:c>
      <x:c r="AJ487" s="32" t="n">
        <x:f>H487*tun_CommonsCoef*AI487^tun_CommonsExp*INDEX(LM_Commons,G487)</x:f>
        <x:v>54848.62378281997</x:v>
      </x:c>
      <x:c r="AK487" s="32" t="n">
        <x:f>H487*tun_RoleScale*Arch_Roles*(AE487*(INDEX(tun_ElderRolePerSett,G487)*tun_OutElder*INDEX(LM_Elder,G487)+INDEX(tun_ShamanPerSett,G487)*tun_OutShaman)+Z487*(INDEX(tun_PriestShare,G487)*tun_OutPriest+INDEX(tun_ScribeShare,G487)*tun_OutScribe*INDEX(LM_Scribe,G487)+INDEX(tun_ScholarShare,G487)*tun_OutScholar*INDEX(LM_Scholar,G487)+INDEX(tun_ResearcherShare,G487)*tun_OutResearcher*INDEX(LM_Researcher,G487)))</x:f>
        <x:v>18479.020562536738</x:v>
      </x:c>
      <x:c r="AL487" s="32" t="n">
        <x:f>H487*tun_RoleScale*Arch_Roles*AE487*INDEX(tun_MonasteryPerSett,G487)*tun_OutMonastery*INDEX(LM_Monastery,G487)</x:f>
        <x:v>79.2</x:v>
      </x:c>
      <x:c r="AM487" s="32" t="n">
        <x:f>(AJ487+AK487+AL487)/4*INDEX(LM_All,G487)*INDEX(tun_Boon,G487)*Arch_Insight</x:f>
        <x:v>44176.42582062012</x:v>
      </x:c>
      <x:c r="AN487" s="32" t="n">
        <x:f>H487*(tun_KHPerAdult*Z487+tun_KHOfCommons*AJ487/4*INDEX(LM_All,G487))*tun_KHUsable*Arch_KH</x:f>
        <x:v>6803.286846072439</x:v>
      </x:c>
      <x:c r="AO487" s="32" t="n">
        <x:f>MIN(AP486+AN487,AM487*tun_KHMaxRatio)</x:f>
        <x:v>6803.286846072439</x:v>
      </x:c>
      <x:c r="AP487" s="32" t="n">
        <x:f>AP486+AN487-AO487</x:f>
        <x:v>0</x:v>
      </x:c>
      <x:c r="AQ487" s="32" t="n">
        <x:f>AM487+AO487</x:f>
        <x:v>50979.71266669256</x:v>
      </x:c>
      <x:c r="AR487" s="10" t="n">
        <x:f>IF(H487=1,INDEX(tun_Req,G487),0)</x:f>
        <x:v>3142139.1800715</x:v>
      </x:c>
      <x:c r="AS487" s="32" t="n">
        <x:f>IF(H487=1,IF(E487=1,AS486-AR486,AS486)+AQ487,0)</x:f>
        <x:v>2753907.753799922</x:v>
      </x:c>
      <x:c r="AT487" s="11" t="n">
        <x:f>IF(AR487&gt;0,MIN(1,AS487/AR487),1)</x:f>
        <x:v>0.8764435933538934</x:v>
      </x:c>
      <x:c r="AU487" s="10" t="n">
        <x:f>AB487/INDEX(tun_RepScale,G487)</x:f>
        <x:v>359.43900511594734</x:v>
      </x:c>
      <x:c r="AV487" s="32" t="n">
        <x:f>AM487*60/tun_SeasonSeconds</x:f>
        <x:v>176705.70328248048</x:v>
      </x:c>
    </x:row>
    <x:row r="488">
      <x:c r="A488" s="8" t="n">
        <x:f>A487+1</x:f>
        <x:v>485</x:v>
      </x:c>
      <x:c r="B488" s="9" t="n">
        <x:f>A488*tun_SeasonSeconds/60</x:f>
        <x:v>121.25</x:v>
      </x:c>
      <x:c r="C488" s="9" t="n">
        <x:f>A488/4</x:f>
        <x:v>121.25</x:v>
      </x:c>
      <x:c r="D488" s="8" t="n">
        <x:f>IF(MOD(A488,4)=0,1,0)</x:f>
        <x:v>0</x:v>
      </x:c>
      <x:c r="E488" s="8" t="n">
        <x:f>IF(AND(F487&lt;=9,AS487&gt;=AR487),1,0)</x:f>
        <x:v>0</x:v>
      </x:c>
      <x:c r="F488" s="8" t="n">
        <x:f>MIN(10,F487+E488)</x:f>
        <x:v>7</x:v>
      </x:c>
      <x:c r="G488" s="8" t="n">
        <x:f>MIN(F488,9)+1</x:f>
        <x:v>8</x:v>
      </x:c>
      <x:c r="H488" s="8" t="n">
        <x:f>IF(F488&lt;=9,1,0)</x:f>
        <x:v>1</x:v>
      </x:c>
      <x:c r="I488" s="9" t="n">
        <x:f>MIN(10,F487+IF(AR487&gt;0,MIN(1,AS487/AR487),1))</x:f>
        <x:v>7.876443593353893</x:v>
      </x:c>
      <x:c r="J488" s="32" t="n">
        <x:f>INDEX(tun_FoodCap,G488)*Arch_FoodCap*EXP(tun_CapsByProject*SUMPRODUCT((Cap_Point&lt;=I488)*(Cap_Kind="Food")*Cap_Ln))</x:f>
        <x:v>4514.300360064293</x:v>
      </x:c>
      <x:c r="K488" s="32" t="n">
        <x:f>J488*MIN(1,tun_LeanBase*EXP(tun_CapsByProject*SUMPRODUCT((Cap_Point&lt;=I488)*(Cap_Kind="Lean")*Cap_Ln)))</x:f>
        <x:v>4514.300360064293</x:v>
      </x:c>
      <x:c r="L488" s="10" t="n">
        <x:f>INDEX(tun_HousingCap,G488)*EXP(tun_CapsByProject*SUMPRODUCT((Cap_Point&lt;=I488)*(Cap_Kind="Housing")*Cap_Ln))</x:f>
        <x:v>5983.37642068151</x:v>
      </x:c>
      <x:c r="M488" s="10" t="n">
        <x:f>INDEX(tun_GroupCap,G488)*tun_CohesionFactor*EXP(tun_CapsByProject*SUMPRODUCT((Cap_Point&lt;=I488)*(Cap_Kind="Group")*Cap_Ln))</x:f>
        <x:v>1000000.000000001</x:v>
      </x:c>
      <x:c r="N488" s="32" t="n">
        <x:f>MIN(J488,L488,M488)</x:f>
        <x:v>4514.300360064293</x:v>
      </x:c>
      <x:c r="O488" s="10" t="n">
        <x:f>AE487*N488</x:f>
        <x:v>67714.5054009644</x:v>
      </x:c>
      <x:c r="P488" s="9" t="n">
        <x:f>MIN(1,(AB487/(AE487*IF(tun_GroupInCrowding=1,N488,MIN(J488,L488))))^tun_CrowdingExp)</x:f>
        <x:v>0.02236974107131382</x:v>
      </x:c>
      <x:c r="Q488" s="9" t="n">
        <x:f>IF(D488=1,INDEX(tun_WinterMult,G488),1)</x:f>
        <x:v>1</x:v>
      </x:c>
      <x:c r="R488" s="9" t="n">
        <x:f>H488*Z487*tun_WomenShare*tun_BaseFertility*INDEX(tun_FertMult,G488)*Arch_Fertility*(1-P488)</x:f>
        <x:v>798.5670758415058</x:v>
      </x:c>
      <x:c r="S488" s="9" t="n">
        <x:f>H488*Y487*INDEX(tun_MortChild,G488)/4*Q488</x:f>
        <x:v>82.93222007391769</x:v>
      </x:c>
      <x:c r="T488" s="9" t="n">
        <x:f>H488*Z487*INDEX(tun_MortAdult,G488)*Arch_AdultMort/4*Q488</x:f>
        <x:v>24.505186962500442</x:v>
      </x:c>
      <x:c r="U488" s="9" t="n">
        <x:f>H488*AA487*INDEX(tun_MortElder,G488)/4*Q488</x:f>
        <x:v>41.534500014124504</x:v>
      </x:c>
      <x:c r="V488" s="9" t="n">
        <x:f>H488*MAX(0,AB487-O488)*tun_OvercapLoss</x:f>
        <x:v>0</x:v>
      </x:c>
      <x:c r="W488" s="9" t="n">
        <x:f>H488*Y487/(tun_ChildYears*4)</x:f>
        <x:v>348.45470619293144</x:v>
      </x:c>
      <x:c r="X488" s="9" t="n">
        <x:f>H488*Z487/(tun_AdultYears*4)</x:f>
        <x:v>101.3448592328389</x:v>
      </x:c>
      <x:c r="Y488" s="32" t="n">
        <x:f>Y487+R488-S488-W488-Y487*V488/AB487</x:f>
        <x:v>19880.64369637882</x:v>
      </x:c>
      <x:c r="Z488" s="32" t="n">
        <x:f>Z487+W488-X488-T488-Z487*V488/AB487</x:f>
        <x:v>12789.367204869615</x:v>
      </x:c>
      <x:c r="AA488" s="32" t="n">
        <x:f>AA487+X488-U488-AA487*V488/AB487</x:f>
        <x:v>3923.4847791372736</x:v>
      </x:c>
      <x:c r="AB488" s="10" t="n">
        <x:f>Y488+Z488+AA488</x:f>
        <x:v>36593.495680385706</x:v>
      </x:c>
      <x:c r="AC488" s="8" t="n">
        <x:f>IF(AND(tun_WinterTrigger=1,D488=1,AB487/AE487&gt;=K488),1,0)</x:f>
        <x:v>0</x:v>
      </x:c>
      <x:c r="AD488" s="8" t="n">
        <x:f>H488*IF(AND(OR(AB487/AE487&gt;=tun_FissionTrigger*N488,AC488=1),AB487/AE487*tun_DaughterShare&gt;=tun_MinDaughter),MAX(1,ROUND(AE487*tun_FissionRate,0)),0)</x:f>
        <x:v>0</x:v>
      </x:c>
      <x:c r="AE488" s="8" t="n">
        <x:f>IF(H488=1,MAX(1,MIN(INDEX(tun_Smax,G488),AE487+AD488)),AE487)</x:f>
        <x:v>15</x:v>
      </x:c>
      <x:c r="AF488" s="8" t="n">
        <x:f>MAX(0,AE488-AE487)</x:f>
        <x:v>0</x:v>
      </x:c>
      <x:c r="AG488" s="9" t="str">
        <x:f>IF(AF488&gt;0,B488,"")</x:f>
      </x:c>
      <x:c r="AH488" s="9" t="n">
        <x:f>IF(F488&gt;=1,1,(1+tun_LowTiesShare*(AE488-1))/AE488)</x:f>
        <x:v>1</x:v>
      </x:c>
      <x:c r="AI488" s="32" t="n">
        <x:f>(Z488+tun_ElderCommons*INDEX(LM_Elder,G488)*AA488)*AH488</x:f>
        <x:v>27502.43512663439</x:v>
      </x:c>
      <x:c r="AJ488" s="32" t="n">
        <x:f>H488*tun_CommonsCoef*AI488^tun_CommonsExp*INDEX(LM_Commons,G488)</x:f>
        <x:v>55617.74980757523</x:v>
      </x:c>
      <x:c r="AK488" s="32" t="n">
        <x:f>H488*tun_RoleScale*Arch_Roles*(AE488*(INDEX(tun_ElderRolePerSett,G488)*tun_OutElder*INDEX(LM_Elder,G488)+INDEX(tun_ShamanPerSett,G488)*tun_OutShaman)+Z488*(INDEX(tun_PriestShare,G488)*tun_OutPriest+INDEX(tun_ScribeShare,G488)*tun_OutScribe*INDEX(LM_Scribe,G488)+INDEX(tun_ScholarShare,G488)*tun_OutScholar*INDEX(LM_Scholar,G488)+INDEX(tun_ResearcherShare,G488)*tun_OutResearcher*INDEX(LM_Researcher,G488)))</x:f>
        <x:v>18799.179488731676</x:v>
      </x:c>
      <x:c r="AL488" s="32" t="n">
        <x:f>H488*tun_RoleScale*Arch_Roles*AE488*INDEX(tun_MonasteryPerSett,G488)*tun_OutMonastery*INDEX(LM_Monastery,G488)</x:f>
        <x:v>79.2</x:v>
      </x:c>
      <x:c r="AM488" s="32" t="n">
        <x:f>(AJ488+AK488+AL488)/4*INDEX(LM_All,G488)*INDEX(tun_Boon,G488)*Arch_Insight</x:f>
        <x:v>44831.96027741786</x:v>
      </x:c>
      <x:c r="AN488" s="32" t="n">
        <x:f>H488*(tun_KHPerAdult*Z488+tun_KHOfCommons*AJ488/4*INDEX(LM_All,G488))*tun_KHUsable*Arch_KH</x:f>
        <x:v>6898.687324813866</x:v>
      </x:c>
      <x:c r="AO488" s="32" t="n">
        <x:f>MIN(AP487+AN488,AM488*tun_KHMaxRatio)</x:f>
        <x:v>6898.687324813866</x:v>
      </x:c>
      <x:c r="AP488" s="32" t="n">
        <x:f>AP487+AN488-AO488</x:f>
        <x:v>0</x:v>
      </x:c>
      <x:c r="AQ488" s="32" t="n">
        <x:f>AM488+AO488</x:f>
        <x:v>51730.64760223172</x:v>
      </x:c>
      <x:c r="AR488" s="10" t="n">
        <x:f>IF(H488=1,INDEX(tun_Req,G488),0)</x:f>
        <x:v>3142139.1800715</x:v>
      </x:c>
      <x:c r="AS488" s="32" t="n">
        <x:f>IF(H488=1,IF(E488=1,AS487-AR487,AS487)+AQ488,0)</x:f>
        <x:v>2805638.4014021535</x:v>
      </x:c>
      <x:c r="AT488" s="11" t="n">
        <x:f>IF(AR488&gt;0,MIN(1,AS488/AR488),1)</x:f>
        <x:v>0.892907105833011</x:v>
      </x:c>
      <x:c r="AU488" s="10" t="n">
        <x:f>AB488/INDEX(tun_RepScale,G488)</x:f>
        <x:v>365.93495680385706</x:v>
      </x:c>
      <x:c r="AV488" s="32" t="n">
        <x:f>AM488*60/tun_SeasonSeconds</x:f>
        <x:v>179327.84110967143</x:v>
      </x:c>
    </x:row>
    <x:row r="489">
      <x:c r="A489" s="8" t="n">
        <x:f>A488+1</x:f>
        <x:v>486</x:v>
      </x:c>
      <x:c r="B489" s="9" t="n">
        <x:f>A489*tun_SeasonSeconds/60</x:f>
        <x:v>121.5</x:v>
      </x:c>
      <x:c r="C489" s="9" t="n">
        <x:f>A489/4</x:f>
        <x:v>121.5</x:v>
      </x:c>
      <x:c r="D489" s="8" t="n">
        <x:f>IF(MOD(A489,4)=0,1,0)</x:f>
        <x:v>0</x:v>
      </x:c>
      <x:c r="E489" s="8" t="n">
        <x:f>IF(AND(F488&lt;=9,AS488&gt;=AR488),1,0)</x:f>
        <x:v>0</x:v>
      </x:c>
      <x:c r="F489" s="8" t="n">
        <x:f>MIN(10,F488+E489)</x:f>
        <x:v>7</x:v>
      </x:c>
      <x:c r="G489" s="8" t="n">
        <x:f>MIN(F489,9)+1</x:f>
        <x:v>8</x:v>
      </x:c>
      <x:c r="H489" s="8" t="n">
        <x:f>IF(F489&lt;=9,1,0)</x:f>
        <x:v>1</x:v>
      </x:c>
      <x:c r="I489" s="9" t="n">
        <x:f>MIN(10,F488+IF(AR488&gt;0,MIN(1,AS488/AR488),1))</x:f>
        <x:v>7.892907105833011</x:v>
      </x:c>
      <x:c r="J489" s="32" t="n">
        <x:f>INDEX(tun_FoodCap,G489)*Arch_FoodCap*EXP(tun_CapsByProject*SUMPRODUCT((Cap_Point&lt;=I489)*(Cap_Kind="Food")*Cap_Ln))</x:f>
        <x:v>4514.300360064293</x:v>
      </x:c>
      <x:c r="K489" s="32" t="n">
        <x:f>J489*MIN(1,tun_LeanBase*EXP(tun_CapsByProject*SUMPRODUCT((Cap_Point&lt;=I489)*(Cap_Kind="Lean")*Cap_Ln)))</x:f>
        <x:v>4514.300360064293</x:v>
      </x:c>
      <x:c r="L489" s="10" t="n">
        <x:f>INDEX(tun_HousingCap,G489)*EXP(tun_CapsByProject*SUMPRODUCT((Cap_Point&lt;=I489)*(Cap_Kind="Housing")*Cap_Ln))</x:f>
        <x:v>5983.37642068151</x:v>
      </x:c>
      <x:c r="M489" s="10" t="n">
        <x:f>INDEX(tun_GroupCap,G489)*tun_CohesionFactor*EXP(tun_CapsByProject*SUMPRODUCT((Cap_Point&lt;=I489)*(Cap_Kind="Group")*Cap_Ln))</x:f>
        <x:v>1000000.000000001</x:v>
      </x:c>
      <x:c r="N489" s="32" t="n">
        <x:f>MIN(J489,L489,M489)</x:f>
        <x:v>4514.300360064293</x:v>
      </x:c>
      <x:c r="O489" s="10" t="n">
        <x:f>AE488*N489</x:f>
        <x:v>67714.5054009644</x:v>
      </x:c>
      <x:c r="P489" s="9" t="n">
        <x:f>MIN(1,(AB488/(AE488*IF(tun_GroupInCrowding=1,N489,MIN(J489,L489))))^tun_CrowdingExp)</x:f>
        <x:v>0.024907671366986937</x:v>
      </x:c>
      <x:c r="Q489" s="9" t="n">
        <x:f>IF(D489=1,INDEX(tun_WinterMult,G489),1)</x:f>
        <x:v>1</x:v>
      </x:c>
      <x:c r="R489" s="9" t="n">
        <x:f>H489*Z488*tun_WomenShare*tun_BaseFertility*INDEX(tun_FertMult,G489)*Arch_Fertility*(1-P489)</x:f>
        <x:v>810.6029002200353</x:v>
      </x:c>
      <x:c r="S489" s="9" t="n">
        <x:f>H489*Y488*INDEX(tun_MortChild,G489)/4*Q489</x:f>
        <x:v>84.49273570960999</x:v>
      </x:c>
      <x:c r="T489" s="9" t="n">
        <x:f>H489*Z488*INDEX(tun_MortAdult,G489)*Arch_AdultMort/4*Q489</x:f>
        <x:v>24.93926604949575</x:v>
      </x:c>
      <x:c r="U489" s="9" t="n">
        <x:f>H489*AA488*INDEX(tun_MortElder,G489)/4*Q489</x:f>
        <x:v>42.177461375725684</x:v>
      </x:c>
      <x:c r="V489" s="9" t="n">
        <x:f>H489*MAX(0,AB488-O489)*tun_OvercapLoss</x:f>
        <x:v>0</x:v>
      </x:c>
      <x:c r="W489" s="9" t="n">
        <x:f>H489*Y488/(tun_ChildYears*4)</x:f>
        <x:v>355.0114945781932</x:v>
      </x:c>
      <x:c r="X489" s="9" t="n">
        <x:f>H489*Z488/(tun_AdultYears*4)</x:f>
        <x:v>103.14005810378723</x:v>
      </x:c>
      <x:c r="Y489" s="32" t="n">
        <x:f>Y488+R489-S489-W489-Y488*V489/AB488</x:f>
        <x:v>20251.74236631105</x:v>
      </x:c>
      <x:c r="Z489" s="32" t="n">
        <x:f>Z488+W489-X489-T489-Z488*V489/AB488</x:f>
        <x:v>13016.299375294526</x:v>
      </x:c>
      <x:c r="AA489" s="32" t="n">
        <x:f>AA488+X489-U489-AA488*V489/AB488</x:f>
        <x:v>3984.4473758653353</x:v>
      </x:c>
      <x:c r="AB489" s="10" t="n">
        <x:f>Y489+Z489+AA489</x:f>
        <x:v>37252.489117470905</x:v>
      </x:c>
      <x:c r="AC489" s="8" t="n">
        <x:f>IF(AND(tun_WinterTrigger=1,D489=1,AB488/AE488&gt;=K489),1,0)</x:f>
        <x:v>0</x:v>
      </x:c>
      <x:c r="AD489" s="8" t="n">
        <x:f>H489*IF(AND(OR(AB488/AE488&gt;=tun_FissionTrigger*N489,AC489=1),AB488/AE488*tun_DaughterShare&gt;=tun_MinDaughter),MAX(1,ROUND(AE488*tun_FissionRate,0)),0)</x:f>
        <x:v>0</x:v>
      </x:c>
      <x:c r="AE489" s="8" t="n">
        <x:f>IF(H489=1,MAX(1,MIN(INDEX(tun_Smax,G489),AE488+AD489)),AE488)</x:f>
        <x:v>15</x:v>
      </x:c>
      <x:c r="AF489" s="8" t="n">
        <x:f>MAX(0,AE489-AE488)</x:f>
        <x:v>0</x:v>
      </x:c>
      <x:c r="AG489" s="9" t="str">
        <x:f>IF(AF489&gt;0,B489,"")</x:f>
      </x:c>
      <x:c r="AH489" s="9" t="n">
        <x:f>IF(F489&gt;=1,1,(1+tun_LowTiesShare*(AE489-1))/AE489)</x:f>
        <x:v>1</x:v>
      </x:c>
      <x:c r="AI489" s="32" t="n">
        <x:f>(Z489+tun_ElderCommons*INDEX(LM_Elder,G489)*AA489)*AH489</x:f>
        <x:v>27957.977034789532</x:v>
      </x:c>
      <x:c r="AJ489" s="32" t="n">
        <x:f>H489*tun_CommonsCoef*AI489^tun_CommonsExp*INDEX(LM_Commons,G489)</x:f>
        <x:v>56399.83322518093</x:v>
      </x:c>
      <x:c r="AK489" s="32" t="n">
        <x:f>H489*tun_RoleScale*Arch_Roles*(AE489*(INDEX(tun_ElderRolePerSett,G489)*tun_OutElder*INDEX(LM_Elder,G489)+INDEX(tun_ShamanPerSett,G489)*tun_OutShaman)+Z489*(INDEX(tun_PriestShare,G489)*tun_OutPriest+INDEX(tun_ScribeShare,G489)*tun_OutScribe*INDEX(LM_Scribe,G489)+INDEX(tun_ScholarShare,G489)*tun_OutScholar*INDEX(LM_Scholar,G489)+INDEX(tun_ResearcherShare,G489)*tun_OutResearcher*INDEX(LM_Researcher,G489)))</x:f>
        <x:v>19125.5624135236</x:v>
      </x:c>
      <x:c r="AL489" s="32" t="n">
        <x:f>H489*tun_RoleScale*Arch_Roles*AE489*INDEX(tun_MonasteryPerSett,G489)*tun_OutMonastery*INDEX(LM_Monastery,G489)</x:f>
        <x:v>79.2</x:v>
      </x:c>
      <x:c r="AM489" s="32" t="n">
        <x:f>(AJ489+AK489+AL489)/4*INDEX(LM_All,G489)*INDEX(tun_Boon,G489)*Arch_Insight</x:f>
        <x:v>45499.03814442442</x:v>
      </x:c>
      <x:c r="AN489" s="32" t="n">
        <x:f>H489*(tun_KHPerAdult*Z489+tun_KHOfCommons*AJ489/4*INDEX(LM_All,G489))*tun_KHUsable*Arch_KH</x:f>
        <x:v>6995.695006330114</x:v>
      </x:c>
      <x:c r="AO489" s="32" t="n">
        <x:f>MIN(AP488+AN489,AM489*tun_KHMaxRatio)</x:f>
        <x:v>6995.695006330114</x:v>
      </x:c>
      <x:c r="AP489" s="32" t="n">
        <x:f>AP488+AN489-AO489</x:f>
        <x:v>0</x:v>
      </x:c>
      <x:c r="AQ489" s="32" t="n">
        <x:f>AM489+AO489</x:f>
        <x:v>52494.73315075453</x:v>
      </x:c>
      <x:c r="AR489" s="10" t="n">
        <x:f>IF(H489=1,INDEX(tun_Req,G489),0)</x:f>
        <x:v>3142139.1800715</x:v>
      </x:c>
      <x:c r="AS489" s="32" t="n">
        <x:f>IF(H489=1,IF(E489=1,AS488-AR488,AS488)+AQ489,0)</x:f>
        <x:v>2858133.134552908</x:v>
      </x:c>
      <x:c r="AT489" s="11" t="n">
        <x:f>IF(AR489&gt;0,MIN(1,AS489/AR489),1)</x:f>
        <x:v>0.9096137919924574</x:v>
      </x:c>
      <x:c r="AU489" s="10" t="n">
        <x:f>AB489/INDEX(tun_RepScale,G489)</x:f>
        <x:v>372.52489117470907</x:v>
      </x:c>
      <x:c r="AV489" s="32" t="n">
        <x:f>AM489*60/tun_SeasonSeconds</x:f>
        <x:v>181996.15257769768</x:v>
      </x:c>
    </x:row>
    <x:row r="490">
      <x:c r="A490" s="8" t="n">
        <x:f>A489+1</x:f>
        <x:v>487</x:v>
      </x:c>
      <x:c r="B490" s="9" t="n">
        <x:f>A490*tun_SeasonSeconds/60</x:f>
        <x:v>121.75</x:v>
      </x:c>
      <x:c r="C490" s="9" t="n">
        <x:f>A490/4</x:f>
        <x:v>121.75</x:v>
      </x:c>
      <x:c r="D490" s="8" t="n">
        <x:f>IF(MOD(A490,4)=0,1,0)</x:f>
        <x:v>0</x:v>
      </x:c>
      <x:c r="E490" s="8" t="n">
        <x:f>IF(AND(F489&lt;=9,AS489&gt;=AR489),1,0)</x:f>
        <x:v>0</x:v>
      </x:c>
      <x:c r="F490" s="8" t="n">
        <x:f>MIN(10,F489+E490)</x:f>
        <x:v>7</x:v>
      </x:c>
      <x:c r="G490" s="8" t="n">
        <x:f>MIN(F490,9)+1</x:f>
        <x:v>8</x:v>
      </x:c>
      <x:c r="H490" s="8" t="n">
        <x:f>IF(F490&lt;=9,1,0)</x:f>
        <x:v>1</x:v>
      </x:c>
      <x:c r="I490" s="9" t="n">
        <x:f>MIN(10,F489+IF(AR489&gt;0,MIN(1,AS489/AR489),1))</x:f>
        <x:v>7.909613791992458</x:v>
      </x:c>
      <x:c r="J490" s="32" t="n">
        <x:f>INDEX(tun_FoodCap,G490)*Arch_FoodCap*EXP(tun_CapsByProject*SUMPRODUCT((Cap_Point&lt;=I490)*(Cap_Kind="Food")*Cap_Ln))</x:f>
        <x:v>4514.300360064293</x:v>
      </x:c>
      <x:c r="K490" s="32" t="n">
        <x:f>J490*MIN(1,tun_LeanBase*EXP(tun_CapsByProject*SUMPRODUCT((Cap_Point&lt;=I490)*(Cap_Kind="Lean")*Cap_Ln)))</x:f>
        <x:v>4514.300360064293</x:v>
      </x:c>
      <x:c r="L490" s="10" t="n">
        <x:f>INDEX(tun_HousingCap,G490)*EXP(tun_CapsByProject*SUMPRODUCT((Cap_Point&lt;=I490)*(Cap_Kind="Housing")*Cap_Ln))</x:f>
        <x:v>5983.37642068151</x:v>
      </x:c>
      <x:c r="M490" s="10" t="n">
        <x:f>INDEX(tun_GroupCap,G490)*tun_CohesionFactor*EXP(tun_CapsByProject*SUMPRODUCT((Cap_Point&lt;=I490)*(Cap_Kind="Group")*Cap_Ln))</x:f>
        <x:v>1000000.000000001</x:v>
      </x:c>
      <x:c r="N490" s="32" t="n">
        <x:f>MIN(J490,L490,M490)</x:f>
        <x:v>4514.300360064293</x:v>
      </x:c>
      <x:c r="O490" s="10" t="n">
        <x:f>AE489*N490</x:f>
        <x:v>67714.5054009644</x:v>
      </x:c>
      <x:c r="P490" s="9" t="n">
        <x:f>MIN(1,(AB489/(AE489*IF(tun_GroupInCrowding=1,N490,MIN(J490,L490))))^tun_CrowdingExp)</x:f>
        <x:v>0.0277230823630634</x:v>
      </x:c>
      <x:c r="Q490" s="9" t="n">
        <x:f>IF(D490=1,INDEX(tun_WinterMult,G490),1)</x:f>
        <x:v>1</x:v>
      </x:c>
      <x:c r="R490" s="9" t="n">
        <x:f>H490*Z489*tun_WomenShare*tun_BaseFertility*INDEX(tun_FertMult,G490)*Arch_Fertility*(1-P490)</x:f>
        <x:v>822.6040833173115</x:v>
      </x:c>
      <x:c r="S490" s="9" t="n">
        <x:f>H490*Y489*INDEX(tun_MortChild,G490)/4*Q490</x:f>
        <x:v>86.06990505682197</x:v>
      </x:c>
      <x:c r="T490" s="9" t="n">
        <x:f>H490*Z489*INDEX(tun_MortAdult,G490)*Arch_AdultMort/4*Q490</x:f>
        <x:v>25.381783781824325</x:v>
      </x:c>
      <x:c r="U490" s="9" t="n">
        <x:f>H490*AA489*INDEX(tun_MortElder,G490)/4*Q490</x:f>
        <x:v>42.83280929055235</x:v>
      </x:c>
      <x:c r="V490" s="9" t="n">
        <x:f>H490*MAX(0,AB489-O490)*tun_OvercapLoss</x:f>
        <x:v>0</x:v>
      </x:c>
      <x:c r="W490" s="9" t="n">
        <x:f>H490*Y489/(tun_ChildYears*4)</x:f>
        <x:v>361.63825654126873</x:v>
      </x:c>
      <x:c r="X490" s="9" t="n">
        <x:f>H490*Z489/(tun_AdultYears*4)</x:f>
        <x:v>104.9701562523752</x:v>
      </x:c>
      <x:c r="Y490" s="32" t="n">
        <x:f>Y489+R490-S490-W490-Y489*V490/AB489</x:f>
        <x:v>20626.63828803027</x:v>
      </x:c>
      <x:c r="Z490" s="32" t="n">
        <x:f>Z489+W490-X490-T490-Z489*V490/AB489</x:f>
        <x:v>13247.585691801596</x:v>
      </x:c>
      <x:c r="AA490" s="32" t="n">
        <x:f>AA489+X490-U490-AA489*V490/AB489</x:f>
        <x:v>4046.584722827158</x:v>
      </x:c>
      <x:c r="AB490" s="10" t="n">
        <x:f>Y490+Z490+AA490</x:f>
        <x:v>37920.80870265902</x:v>
      </x:c>
      <x:c r="AC490" s="8" t="n">
        <x:f>IF(AND(tun_WinterTrigger=1,D490=1,AB489/AE489&gt;=K490),1,0)</x:f>
        <x:v>0</x:v>
      </x:c>
      <x:c r="AD490" s="8" t="n">
        <x:f>H490*IF(AND(OR(AB489/AE489&gt;=tun_FissionTrigger*N490,AC490=1),AB489/AE489*tun_DaughterShare&gt;=tun_MinDaughter),MAX(1,ROUND(AE489*tun_FissionRate,0)),0)</x:f>
        <x:v>0</x:v>
      </x:c>
      <x:c r="AE490" s="8" t="n">
        <x:f>IF(H490=1,MAX(1,MIN(INDEX(tun_Smax,G490),AE489+AD490)),AE489)</x:f>
        <x:v>15</x:v>
      </x:c>
      <x:c r="AF490" s="8" t="n">
        <x:f>MAX(0,AE490-AE489)</x:f>
        <x:v>0</x:v>
      </x:c>
      <x:c r="AG490" s="9" t="str">
        <x:f>IF(AF490&gt;0,B490,"")</x:f>
      </x:c>
      <x:c r="AH490" s="9" t="n">
        <x:f>IF(F490&gt;=1,1,(1+tun_LowTiesShare*(AE490-1))/AE490)</x:f>
        <x:v>1</x:v>
      </x:c>
      <x:c r="AI490" s="32" t="n">
        <x:f>(Z490+tun_ElderCommons*INDEX(LM_Elder,G490)*AA490)*AH490</x:f>
        <x:v>28422.27840240344</x:v>
      </x:c>
      <x:c r="AJ490" s="32" t="n">
        <x:f>H490*tun_CommonsCoef*AI490^tun_CommonsExp*INDEX(LM_Commons,G490)</x:f>
        <x:v>57194.990646093145</x:v>
      </x:c>
      <x:c r="AK490" s="32" t="n">
        <x:f>H490*tun_RoleScale*Arch_Roles*(AE490*(INDEX(tun_ElderRolePerSett,G490)*tun_OutElder*INDEX(LM_Elder,G490)+INDEX(tun_ShamanPerSett,G490)*tun_OutShaman)+Z490*(INDEX(tun_PriestShare,G490)*tun_OutPriest+INDEX(tun_ScribeShare,G490)*tun_OutScribe*INDEX(LM_Scribe,G490)+INDEX(tun_ScholarShare,G490)*tun_OutScholar*INDEX(LM_Scholar,G490)+INDEX(tun_ResearcherShare,G490)*tun_OutResearcher*INDEX(LM_Researcher,G490)))</x:f>
        <x:v>19458.207645376726</x:v>
      </x:c>
      <x:c r="AL490" s="32" t="n">
        <x:f>H490*tun_RoleScale*Arch_Roles*AE490*INDEX(tun_MonasteryPerSett,G490)*tun_OutMonastery*INDEX(LM_Monastery,G490)</x:f>
        <x:v>79.2</x:v>
      </x:c>
      <x:c r="AM490" s="32" t="n">
        <x:f>(AJ490+AK490+AL490)/4*INDEX(LM_All,G490)*INDEX(tun_Boon,G490)*Arch_Insight</x:f>
        <x:v>46177.75265224045</x:v>
      </x:c>
      <x:c r="AN490" s="32" t="n">
        <x:f>H490*(tun_KHPerAdult*Z490+tun_KHOfCommons*AJ490/4*INDEX(LM_All,G490))*tun_KHUsable*Arch_KH</x:f>
        <x:v>7094.324354692057</x:v>
      </x:c>
      <x:c r="AO490" s="32" t="n">
        <x:f>MIN(AP489+AN490,AM490*tun_KHMaxRatio)</x:f>
        <x:v>7094.324354692057</x:v>
      </x:c>
      <x:c r="AP490" s="32" t="n">
        <x:f>AP489+AN490-AO490</x:f>
        <x:v>0</x:v>
      </x:c>
      <x:c r="AQ490" s="32" t="n">
        <x:f>AM490+AO490</x:f>
        <x:v>53272.07700693251</x:v>
      </x:c>
      <x:c r="AR490" s="10" t="n">
        <x:f>IF(H490=1,INDEX(tun_Req,G490),0)</x:f>
        <x:v>3142139.1800715</x:v>
      </x:c>
      <x:c r="AS490" s="32" t="n">
        <x:f>IF(H490=1,IF(E490=1,AS489-AR489,AS489)+AQ490,0)</x:f>
        <x:v>2911405.2115598405</x:v>
      </x:c>
      <x:c r="AT490" s="11" t="n">
        <x:f>IF(AR490&gt;0,MIN(1,AS490/AR490),1)</x:f>
        <x:v>0.9265678713485858</x:v>
      </x:c>
      <x:c r="AU490" s="10" t="n">
        <x:f>AB490/INDEX(tun_RepScale,G490)</x:f>
        <x:v>379.2080870265902</x:v>
      </x:c>
      <x:c r="AV490" s="32" t="n">
        <x:f>AM490*60/tun_SeasonSeconds</x:f>
        <x:v>184711.0106089618</x:v>
      </x:c>
    </x:row>
    <x:row r="491">
      <x:c r="A491" s="8" t="n">
        <x:f>A490+1</x:f>
        <x:v>488</x:v>
      </x:c>
      <x:c r="B491" s="9" t="n">
        <x:f>A491*tun_SeasonSeconds/60</x:f>
        <x:v>122</x:v>
      </x:c>
      <x:c r="C491" s="9" t="n">
        <x:f>A491/4</x:f>
        <x:v>122</x:v>
      </x:c>
      <x:c r="D491" s="8" t="n">
        <x:f>IF(MOD(A491,4)=0,1,0)</x:f>
        <x:v>1</x:v>
      </x:c>
      <x:c r="E491" s="8" t="n">
        <x:f>IF(AND(F490&lt;=9,AS490&gt;=AR490),1,0)</x:f>
        <x:v>0</x:v>
      </x:c>
      <x:c r="F491" s="8" t="n">
        <x:f>MIN(10,F490+E491)</x:f>
        <x:v>7</x:v>
      </x:c>
      <x:c r="G491" s="8" t="n">
        <x:f>MIN(F491,9)+1</x:f>
        <x:v>8</x:v>
      </x:c>
      <x:c r="H491" s="8" t="n">
        <x:f>IF(F491&lt;=9,1,0)</x:f>
        <x:v>1</x:v>
      </x:c>
      <x:c r="I491" s="9" t="n">
        <x:f>MIN(10,F490+IF(AR490&gt;0,MIN(1,AS490/AR490),1))</x:f>
        <x:v>7.926567871348586</x:v>
      </x:c>
      <x:c r="J491" s="32" t="n">
        <x:f>INDEX(tun_FoodCap,G491)*Arch_FoodCap*EXP(tun_CapsByProject*SUMPRODUCT((Cap_Point&lt;=I491)*(Cap_Kind="Food")*Cap_Ln))</x:f>
        <x:v>4514.300360064293</x:v>
      </x:c>
      <x:c r="K491" s="32" t="n">
        <x:f>J491*MIN(1,tun_LeanBase*EXP(tun_CapsByProject*SUMPRODUCT((Cap_Point&lt;=I491)*(Cap_Kind="Lean")*Cap_Ln)))</x:f>
        <x:v>4514.300360064293</x:v>
      </x:c>
      <x:c r="L491" s="10" t="n">
        <x:f>INDEX(tun_HousingCap,G491)*EXP(tun_CapsByProject*SUMPRODUCT((Cap_Point&lt;=I491)*(Cap_Kind="Housing")*Cap_Ln))</x:f>
        <x:v>5983.37642068151</x:v>
      </x:c>
      <x:c r="M491" s="10" t="n">
        <x:f>INDEX(tun_GroupCap,G491)*tun_CohesionFactor*EXP(tun_CapsByProject*SUMPRODUCT((Cap_Point&lt;=I491)*(Cap_Kind="Group")*Cap_Ln))</x:f>
        <x:v>1000000.000000001</x:v>
      </x:c>
      <x:c r="N491" s="32" t="n">
        <x:f>MIN(J491,L491,M491)</x:f>
        <x:v>4514.300360064293</x:v>
      </x:c>
      <x:c r="O491" s="10" t="n">
        <x:f>AE490*N491</x:f>
        <x:v>67714.5054009644</x:v>
      </x:c>
      <x:c r="P491" s="9" t="n">
        <x:f>MIN(1,(AB490/(AE490*IF(tun_GroupInCrowding=1,N491,MIN(J491,L491))))^tun_CrowdingExp)</x:f>
        <x:v>0.030844325638302434</x:v>
      </x:c>
      <x:c r="Q491" s="9" t="n">
        <x:f>IF(D491=1,INDEX(tun_WinterMult,G491),1)</x:f>
        <x:v>1.08</x:v>
      </x:c>
      <x:c r="R491" s="9" t="n">
        <x:f>H491*Z490*tun_WomenShare*tun_BaseFertility*INDEX(tun_FertMult,G491)*Arch_Fertility*(1-P491)</x:f>
        <x:v>834.5332349121529</x:v>
      </x:c>
      <x:c r="S491" s="9" t="n">
        <x:f>H491*Y490*INDEX(tun_MortChild,G491)/4*Q491</x:f>
        <x:v>94.67626974205895</x:v>
      </x:c>
      <x:c r="T491" s="9" t="n">
        <x:f>H491*Z490*INDEX(tun_MortAdult,G491)*Arch_AdultMort/4*Q491</x:f>
        <x:v>27.899415466934162</x:v>
      </x:c>
      <x:c r="U491" s="9" t="n">
        <x:f>H491*AA490*INDEX(tun_MortElder,G491)/4*Q491</x:f>
        <x:v>46.98084863202331</x:v>
      </x:c>
      <x:c r="V491" s="9" t="n">
        <x:f>H491*MAX(0,AB490-O491)*tun_OvercapLoss</x:f>
        <x:v>0</x:v>
      </x:c>
      <x:c r="W491" s="9" t="n">
        <x:f>H491*Y490/(tun_ChildYears*4)</x:f>
        <x:v>368.3328265719691</x:v>
      </x:c>
      <x:c r="X491" s="9" t="n">
        <x:f>H491*Z490/(tun_AdultYears*4)</x:f>
        <x:v>106.83536848227094</x:v>
      </x:c>
      <x:c r="Y491" s="32" t="n">
        <x:f>Y490+R491-S491-W491-Y490*V491/AB490</x:f>
        <x:v>20998.162426628394</x:v>
      </x:c>
      <x:c r="Z491" s="32" t="n">
        <x:f>Z490+W491-X491-T491-Z490*V491/AB490</x:f>
        <x:v>13481.18373442436</x:v>
      </x:c>
      <x:c r="AA491" s="32" t="n">
        <x:f>AA490+X491-U491-AA490*V491/AB490</x:f>
        <x:v>4106.439242677406</x:v>
      </x:c>
      <x:c r="AB491" s="10" t="n">
        <x:f>Y491+Z491+AA491</x:f>
        <x:v>38585.78540373016</x:v>
      </x:c>
      <x:c r="AC491" s="8" t="n">
        <x:f>IF(AND(tun_WinterTrigger=1,D491=1,AB490/AE490&gt;=K491),1,0)</x:f>
        <x:v>0</x:v>
      </x:c>
      <x:c r="AD491" s="8" t="n">
        <x:f>H491*IF(AND(OR(AB490/AE490&gt;=tun_FissionTrigger*N491,AC491=1),AB490/AE490*tun_DaughterShare&gt;=tun_MinDaughter),MAX(1,ROUND(AE490*tun_FissionRate,0)),0)</x:f>
        <x:v>0</x:v>
      </x:c>
      <x:c r="AE491" s="8" t="n">
        <x:f>IF(H491=1,MAX(1,MIN(INDEX(tun_Smax,G491),AE490+AD491)),AE490)</x:f>
        <x:v>15</x:v>
      </x:c>
      <x:c r="AF491" s="8" t="n">
        <x:f>MAX(0,AE491-AE490)</x:f>
        <x:v>0</x:v>
      </x:c>
      <x:c r="AG491" s="9" t="str">
        <x:f>IF(AF491&gt;0,B491,"")</x:f>
      </x:c>
      <x:c r="AH491" s="9" t="n">
        <x:f>IF(F491&gt;=1,1,(1+tun_LowTiesShare*(AE491-1))/AE491)</x:f>
        <x:v>1</x:v>
      </x:c>
      <x:c r="AI491" s="32" t="n">
        <x:f>(Z491+tun_ElderCommons*INDEX(LM_Elder,G491)*AA491)*AH491</x:f>
        <x:v>28880.33089446463</x:v>
      </x:c>
      <x:c r="AJ491" s="32" t="n">
        <x:f>H491*tun_CommonsCoef*AI491^tun_CommonsExp*INDEX(LM_Commons,G491)</x:f>
        <x:v>57977.53912388358</x:v>
      </x:c>
      <x:c r="AK491" s="32" t="n">
        <x:f>H491*tun_RoleScale*Arch_Roles*(AE491*(INDEX(tun_ElderRolePerSett,G491)*tun_OutElder*INDEX(LM_Elder,G491)+INDEX(tun_ShamanPerSett,G491)*tun_OutShaman)+Z491*(INDEX(tun_PriestShare,G491)*tun_OutPriest+INDEX(tun_ScribeShare,G491)*tun_OutScribe*INDEX(LM_Scribe,G491)+INDEX(tun_ScholarShare,G491)*tun_OutScholar*INDEX(LM_Scholar,G491)+INDEX(tun_ResearcherShare,G491)*tun_OutResearcher*INDEX(LM_Researcher,G491)))</x:f>
        <x:v>19794.17769419849</x:v>
      </x:c>
      <x:c r="AL491" s="32" t="n">
        <x:f>H491*tun_RoleScale*Arch_Roles*AE491*INDEX(tun_MonasteryPerSett,G491)*tun_OutMonastery*INDEX(LM_Monastery,G491)</x:f>
        <x:v>79.2</x:v>
      </x:c>
      <x:c r="AM491" s="32" t="n">
        <x:f>(AJ491+AK491+AL491)/4*INDEX(LM_All,G491)*INDEX(tun_Boon,G491)*Arch_Insight</x:f>
        <x:v>46850.87994930016</x:v>
      </x:c>
      <x:c r="AN491" s="32" t="n">
        <x:f>H491*(tun_KHPerAdult*Z491+tun_KHOfCommons*AJ491/4*INDEX(LM_All,G491))*tun_KHUsable*Arch_KH</x:f>
        <x:v>7191.3897211166795</x:v>
      </x:c>
      <x:c r="AO491" s="32" t="n">
        <x:f>MIN(AP490+AN491,AM491*tun_KHMaxRatio)</x:f>
        <x:v>7191.3897211166795</x:v>
      </x:c>
      <x:c r="AP491" s="32" t="n">
        <x:f>AP490+AN491-AO491</x:f>
        <x:v>0</x:v>
      </x:c>
      <x:c r="AQ491" s="32" t="n">
        <x:f>AM491+AO491</x:f>
        <x:v>54042.269670416834</x:v>
      </x:c>
      <x:c r="AR491" s="10" t="n">
        <x:f>IF(H491=1,INDEX(tun_Req,G491),0)</x:f>
        <x:v>3142139.1800715</x:v>
      </x:c>
      <x:c r="AS491" s="32" t="n">
        <x:f>IF(H491=1,IF(E491=1,AS490-AR490,AS490)+AQ491,0)</x:f>
        <x:v>2965447.481230257</x:v>
      </x:c>
      <x:c r="AT491" s="11" t="n">
        <x:f>IF(AR491&gt;0,MIN(1,AS491/AR491),1)</x:f>
        <x:v>0.9437670680019902</x:v>
      </x:c>
      <x:c r="AU491" s="10" t="n">
        <x:f>AB491/INDEX(tun_RepScale,G491)</x:f>
        <x:v>385.8578540373016</x:v>
      </x:c>
      <x:c r="AV491" s="32" t="n">
        <x:f>AM491*60/tun_SeasonSeconds</x:f>
        <x:v>187403.51979720063</x:v>
      </x:c>
    </x:row>
    <x:row r="492">
      <x:c r="A492" s="8" t="n">
        <x:f>A491+1</x:f>
        <x:v>489</x:v>
      </x:c>
      <x:c r="B492" s="9" t="n">
        <x:f>A492*tun_SeasonSeconds/60</x:f>
        <x:v>122.25</x:v>
      </x:c>
      <x:c r="C492" s="9" t="n">
        <x:f>A492/4</x:f>
        <x:v>122.25</x:v>
      </x:c>
      <x:c r="D492" s="8" t="n">
        <x:f>IF(MOD(A492,4)=0,1,0)</x:f>
        <x:v>0</x:v>
      </x:c>
      <x:c r="E492" s="8" t="n">
        <x:f>IF(AND(F491&lt;=9,AS491&gt;=AR491),1,0)</x:f>
        <x:v>0</x:v>
      </x:c>
      <x:c r="F492" s="8" t="n">
        <x:f>MIN(10,F491+E492)</x:f>
        <x:v>7</x:v>
      </x:c>
      <x:c r="G492" s="8" t="n">
        <x:f>MIN(F492,9)+1</x:f>
        <x:v>8</x:v>
      </x:c>
      <x:c r="H492" s="8" t="n">
        <x:f>IF(F492&lt;=9,1,0)</x:f>
        <x:v>1</x:v>
      </x:c>
      <x:c r="I492" s="9" t="n">
        <x:f>MIN(10,F491+IF(AR491&gt;0,MIN(1,AS491/AR491),1))</x:f>
        <x:v>7.94376706800199</x:v>
      </x:c>
      <x:c r="J492" s="32" t="n">
        <x:f>INDEX(tun_FoodCap,G492)*Arch_FoodCap*EXP(tun_CapsByProject*SUMPRODUCT((Cap_Point&lt;=I492)*(Cap_Kind="Food")*Cap_Ln))</x:f>
        <x:v>4514.300360064293</x:v>
      </x:c>
      <x:c r="K492" s="32" t="n">
        <x:f>J492*MIN(1,tun_LeanBase*EXP(tun_CapsByProject*SUMPRODUCT((Cap_Point&lt;=I492)*(Cap_Kind="Lean")*Cap_Ln)))</x:f>
        <x:v>4514.300360064293</x:v>
      </x:c>
      <x:c r="L492" s="10" t="n">
        <x:f>INDEX(tun_HousingCap,G492)*EXP(tun_CapsByProject*SUMPRODUCT((Cap_Point&lt;=I492)*(Cap_Kind="Housing")*Cap_Ln))</x:f>
        <x:v>5983.37642068151</x:v>
      </x:c>
      <x:c r="M492" s="10" t="n">
        <x:f>INDEX(tun_GroupCap,G492)*tun_CohesionFactor*EXP(tun_CapsByProject*SUMPRODUCT((Cap_Point&lt;=I492)*(Cap_Kind="Group")*Cap_Ln))</x:f>
        <x:v>1000000.000000001</x:v>
      </x:c>
      <x:c r="N492" s="32" t="n">
        <x:f>MIN(J492,L492,M492)</x:f>
        <x:v>4514.300360064293</x:v>
      </x:c>
      <x:c r="O492" s="10" t="n">
        <x:f>AE491*N492</x:f>
        <x:v>67714.5054009644</x:v>
      </x:c>
      <x:c r="P492" s="9" t="n">
        <x:f>MIN(1,(AB491/(AE491*IF(tun_GroupInCrowding=1,N492,MIN(J492,L492))))^tun_CrowdingExp)</x:f>
        <x:v>0.03423527367054418</x:v>
      </x:c>
      <x:c r="Q492" s="9" t="n">
        <x:f>IF(D492=1,INDEX(tun_WinterMult,G492),1)</x:f>
        <x:v>1</x:v>
      </x:c>
      <x:c r="R492" s="9" t="n">
        <x:f>H492*Z491*tun_WomenShare*tun_BaseFertility*INDEX(tun_FertMult,G492)*Arch_Fertility*(1-P492)</x:f>
        <x:v>846.2773617917745</x:v>
      </x:c>
      <x:c r="S492" s="9" t="n">
        <x:f>H492*Y491*INDEX(tun_MortChild,G492)/4*Q492</x:f>
        <x:v>89.24219031317068</x:v>
      </x:c>
      <x:c r="T492" s="9" t="n">
        <x:f>H492*Z491*INDEX(tun_MortAdult,G492)*Arch_AdultMort/4*Q492</x:f>
        <x:v>26.2883082821275</x:v>
      </x:c>
      <x:c r="U492" s="9" t="n">
        <x:f>H492*AA491*INDEX(tun_MortElder,G492)/4*Q492</x:f>
        <x:v>44.14422185878211</x:v>
      </x:c>
      <x:c r="V492" s="9" t="n">
        <x:f>H492*MAX(0,AB491-O492)*tun_OvercapLoss</x:f>
        <x:v>0</x:v>
      </x:c>
      <x:c r="W492" s="9" t="n">
        <x:f>H492*Y491/(tun_ChildYears*4)</x:f>
        <x:v>374.96718618979276</x:v>
      </x:c>
      <x:c r="X492" s="9" t="n">
        <x:f>H492*Z491/(tun_AdultYears*4)</x:f>
        <x:v>108.71922366471257</x:v>
      </x:c>
      <x:c r="Y492" s="32" t="n">
        <x:f>Y491+R492-S492-W492-Y491*V492/AB491</x:f>
        <x:v>21380.230411917208</x:v>
      </x:c>
      <x:c r="Z492" s="32" t="n">
        <x:f>Z491+W492-X492-T492-Z491*V492/AB491</x:f>
        <x:v>13721.143388667311</x:v>
      </x:c>
      <x:c r="AA492" s="32" t="n">
        <x:f>AA491+X492-U492-AA491*V492/AB491</x:f>
        <x:v>4171.014244483336</x:v>
      </x:c>
      <x:c r="AB492" s="10" t="n">
        <x:f>Y492+Z492+AA492</x:f>
        <x:v>39272.388045067855</x:v>
      </x:c>
      <x:c r="AC492" s="8" t="n">
        <x:f>IF(AND(tun_WinterTrigger=1,D492=1,AB491/AE491&gt;=K492),1,0)</x:f>
        <x:v>0</x:v>
      </x:c>
      <x:c r="AD492" s="8" t="n">
        <x:f>H492*IF(AND(OR(AB491/AE491&gt;=tun_FissionTrigger*N492,AC492=1),AB491/AE491*tun_DaughterShare&gt;=tun_MinDaughter),MAX(1,ROUND(AE491*tun_FissionRate,0)),0)</x:f>
        <x:v>0</x:v>
      </x:c>
      <x:c r="AE492" s="8" t="n">
        <x:f>IF(H492=1,MAX(1,MIN(INDEX(tun_Smax,G492),AE491+AD492)),AE491)</x:f>
        <x:v>15</x:v>
      </x:c>
      <x:c r="AF492" s="8" t="n">
        <x:f>MAX(0,AE492-AE491)</x:f>
        <x:v>0</x:v>
      </x:c>
      <x:c r="AG492" s="9" t="str">
        <x:f>IF(AF492&gt;0,B492,"")</x:f>
      </x:c>
      <x:c r="AH492" s="9" t="n">
        <x:f>IF(F492&gt;=1,1,(1+tun_LowTiesShare*(AE492-1))/AE492)</x:f>
        <x:v>1</x:v>
      </x:c>
      <x:c r="AI492" s="32" t="n">
        <x:f>(Z492+tun_ElderCommons*INDEX(LM_Elder,G492)*AA492)*AH492</x:f>
        <x:v>29362.446805479824</x:v>
      </x:c>
      <x:c r="AJ492" s="32" t="n">
        <x:f>H492*tun_CommonsCoef*AI492^tun_CommonsExp*INDEX(LM_Commons,G492)</x:f>
        <x:v>58799.190091073906</x:v>
      </x:c>
      <x:c r="AK492" s="32" t="n">
        <x:f>H492*tun_RoleScale*Arch_Roles*(AE492*(INDEX(tun_ElderRolePerSett,G492)*tun_OutElder*INDEX(LM_Elder,G492)+INDEX(tun_ShamanPerSett,G492)*tun_OutShaman)+Z492*(INDEX(tun_PriestShare,G492)*tun_OutPriest+INDEX(tun_ScribeShare,G492)*tun_OutScribe*INDEX(LM_Scribe,G492)+INDEX(tun_ScholarShare,G492)*tun_OutScholar*INDEX(LM_Scholar,G492)+INDEX(tun_ResearcherShare,G492)*tun_OutResearcher*INDEX(LM_Researcher,G492)))</x:f>
        <x:v>20139.297267316873</x:v>
      </x:c>
      <x:c r="AL492" s="32" t="n">
        <x:f>H492*tun_RoleScale*Arch_Roles*AE492*INDEX(tun_MonasteryPerSett,G492)*tun_OutMonastery*INDEX(LM_Monastery,G492)</x:f>
        <x:v>79.2</x:v>
      </x:c>
      <x:c r="AM492" s="32" t="n">
        <x:f>(AJ492+AK492+AL492)/4*INDEX(LM_All,G492)*INDEX(tun_Boon,G492)*Arch_Insight</x:f>
        <x:v>47553.04543105189</x:v>
      </x:c>
      <x:c r="AN492" s="32" t="n">
        <x:f>H492*(tun_KHPerAdult*Z492+tun_KHOfCommons*AJ492/4*INDEX(LM_All,G492))*tun_KHUsable*Arch_KH</x:f>
        <x:v>7293.30526305047</x:v>
      </x:c>
      <x:c r="AO492" s="32" t="n">
        <x:f>MIN(AP491+AN492,AM492*tun_KHMaxRatio)</x:f>
        <x:v>7293.30526305047</x:v>
      </x:c>
      <x:c r="AP492" s="32" t="n">
        <x:f>AP491+AN492-AO492</x:f>
        <x:v>0</x:v>
      </x:c>
      <x:c r="AQ492" s="32" t="n">
        <x:f>AM492+AO492</x:f>
        <x:v>54846.35069410236</x:v>
      </x:c>
      <x:c r="AR492" s="10" t="n">
        <x:f>IF(H492=1,INDEX(tun_Req,G492),0)</x:f>
        <x:v>3142139.1800715</x:v>
      </x:c>
      <x:c r="AS492" s="32" t="n">
        <x:f>IF(H492=1,IF(E492=1,AS491-AR491,AS491)+AQ492,0)</x:f>
        <x:v>3020293.8319243593</x:v>
      </x:c>
      <x:c r="AT492" s="11" t="n">
        <x:f>IF(AR492&gt;0,MIN(1,AS492/AR492),1)</x:f>
        <x:v>0.9612221670765175</x:v>
      </x:c>
      <x:c r="AU492" s="10" t="n">
        <x:f>AB492/INDEX(tun_RepScale,G492)</x:f>
        <x:v>392.72388045067856</x:v>
      </x:c>
      <x:c r="AV492" s="32" t="n">
        <x:f>AM492*60/tun_SeasonSeconds</x:f>
        <x:v>190212.18172420756</x:v>
      </x:c>
    </x:row>
    <x:row r="493">
      <x:c r="A493" s="8" t="n">
        <x:f>A492+1</x:f>
        <x:v>490</x:v>
      </x:c>
      <x:c r="B493" s="9" t="n">
        <x:f>A493*tun_SeasonSeconds/60</x:f>
        <x:v>122.5</x:v>
      </x:c>
      <x:c r="C493" s="9" t="n">
        <x:f>A493/4</x:f>
        <x:v>122.5</x:v>
      </x:c>
      <x:c r="D493" s="8" t="n">
        <x:f>IF(MOD(A493,4)=0,1,0)</x:f>
        <x:v>0</x:v>
      </x:c>
      <x:c r="E493" s="8" t="n">
        <x:f>IF(AND(F492&lt;=9,AS492&gt;=AR492),1,0)</x:f>
        <x:v>0</x:v>
      </x:c>
      <x:c r="F493" s="8" t="n">
        <x:f>MIN(10,F492+E493)</x:f>
        <x:v>7</x:v>
      </x:c>
      <x:c r="G493" s="8" t="n">
        <x:f>MIN(F493,9)+1</x:f>
        <x:v>8</x:v>
      </x:c>
      <x:c r="H493" s="8" t="n">
        <x:f>IF(F493&lt;=9,1,0)</x:f>
        <x:v>1</x:v>
      </x:c>
      <x:c r="I493" s="9" t="n">
        <x:f>MIN(10,F492+IF(AR492&gt;0,MIN(1,AS492/AR492),1))</x:f>
        <x:v>7.961222167076517</x:v>
      </x:c>
      <x:c r="J493" s="32" t="n">
        <x:f>INDEX(tun_FoodCap,G493)*Arch_FoodCap*EXP(tun_CapsByProject*SUMPRODUCT((Cap_Point&lt;=I493)*(Cap_Kind="Food")*Cap_Ln))</x:f>
        <x:v>4514.300360064293</x:v>
      </x:c>
      <x:c r="K493" s="32" t="n">
        <x:f>J493*MIN(1,tun_LeanBase*EXP(tun_CapsByProject*SUMPRODUCT((Cap_Point&lt;=I493)*(Cap_Kind="Lean")*Cap_Ln)))</x:f>
        <x:v>4514.300360064293</x:v>
      </x:c>
      <x:c r="L493" s="10" t="n">
        <x:f>INDEX(tun_HousingCap,G493)*EXP(tun_CapsByProject*SUMPRODUCT((Cap_Point&lt;=I493)*(Cap_Kind="Housing")*Cap_Ln))</x:f>
        <x:v>5983.37642068151</x:v>
      </x:c>
      <x:c r="M493" s="10" t="n">
        <x:f>INDEX(tun_GroupCap,G493)*tun_CohesionFactor*EXP(tun_CapsByProject*SUMPRODUCT((Cap_Point&lt;=I493)*(Cap_Kind="Group")*Cap_Ln))</x:f>
        <x:v>1000000.000000001</x:v>
      </x:c>
      <x:c r="N493" s="32" t="n">
        <x:f>MIN(J493,L493,M493)</x:f>
        <x:v>4514.300360064293</x:v>
      </x:c>
      <x:c r="O493" s="10" t="n">
        <x:f>AE492*N493</x:f>
        <x:v>67714.5054009644</x:v>
      </x:c>
      <x:c r="P493" s="9" t="n">
        <x:f>MIN(1,(AB492/(AE492*IF(tun_GroupInCrowding=1,N493,MIN(J493,L493))))^tun_CrowdingExp)</x:f>
        <x:v>0.03805691655705216</x:v>
      </x:c>
      <x:c r="Q493" s="9" t="n">
        <x:f>IF(D493=1,INDEX(tun_WinterMult,G493),1)</x:f>
        <x:v>1</x:v>
      </x:c>
      <x:c r="R493" s="9" t="n">
        <x:f>H493*Z492*tun_WomenShare*tun_BaseFertility*INDEX(tun_FertMult,G493)*Arch_Fertility*(1-P493)</x:f>
        <x:v>857.9323336777344</x:v>
      </x:c>
      <x:c r="S493" s="9" t="n">
        <x:f>H493*Y492*INDEX(tun_MortChild,G493)/4*Q493</x:f>
        <x:v>90.86597925064814</x:v>
      </x:c>
      <x:c r="T493" s="9" t="n">
        <x:f>H493*Z492*INDEX(tun_MortAdult,G493)*Arch_AdultMort/4*Q493</x:f>
        <x:v>26.756229607901254</x:v>
      </x:c>
      <x:c r="U493" s="9" t="n">
        <x:f>H493*AA492*INDEX(tun_MortElder,G493)/4*Q493</x:f>
        <x:v>44.838403128195864</x:v>
      </x:c>
      <x:c r="V493" s="9" t="n">
        <x:f>H493*MAX(0,AB492-O493)*tun_OvercapLoss</x:f>
        <x:v>0</x:v>
      </x:c>
      <x:c r="W493" s="9" t="n">
        <x:f>H493*Y492/(tun_ChildYears*4)</x:f>
        <x:v>381.78982878423585</x:v>
      </x:c>
      <x:c r="X493" s="9" t="n">
        <x:f>H493*Z492/(tun_AdultYears*4)</x:f>
        <x:v>110.65438216667187</x:v>
      </x:c>
      <x:c r="Y493" s="32" t="n">
        <x:f>Y492+R493-S493-W493-Y492*V493/AB492</x:f>
        <x:v>21765.506937560058</x:v>
      </x:c>
      <x:c r="Z493" s="32" t="n">
        <x:f>Z492+W493-X493-T493-Z492*V493/AB492</x:f>
        <x:v>13965.522605676975</x:v>
      </x:c>
      <x:c r="AA493" s="32" t="n">
        <x:f>AA492+X493-U493-AA492*V493/AB492</x:f>
        <x:v>4236.8302235218125</x:v>
      </x:c>
      <x:c r="AB493" s="10" t="n">
        <x:f>Y493+Z493+AA493</x:f>
        <x:v>39967.85976675885</x:v>
      </x:c>
      <x:c r="AC493" s="8" t="n">
        <x:f>IF(AND(tun_WinterTrigger=1,D493=1,AB492/AE492&gt;=K493),1,0)</x:f>
        <x:v>0</x:v>
      </x:c>
      <x:c r="AD493" s="8" t="n">
        <x:f>H493*IF(AND(OR(AB492/AE492&gt;=tun_FissionTrigger*N493,AC493=1),AB492/AE492*tun_DaughterShare&gt;=tun_MinDaughter),MAX(1,ROUND(AE492*tun_FissionRate,0)),0)</x:f>
        <x:v>0</x:v>
      </x:c>
      <x:c r="AE493" s="8" t="n">
        <x:f>IF(H493=1,MAX(1,MIN(INDEX(tun_Smax,G493),AE492+AD493)),AE492)</x:f>
        <x:v>15</x:v>
      </x:c>
      <x:c r="AF493" s="8" t="n">
        <x:f>MAX(0,AE493-AE492)</x:f>
        <x:v>0</x:v>
      </x:c>
      <x:c r="AG493" s="9" t="str">
        <x:f>IF(AF493&gt;0,B493,"")</x:f>
      </x:c>
      <x:c r="AH493" s="9" t="n">
        <x:f>IF(F493&gt;=1,1,(1+tun_LowTiesShare*(AE493-1))/AE493)</x:f>
        <x:v>1</x:v>
      </x:c>
      <x:c r="AI493" s="32" t="n">
        <x:f>(Z493+tun_ElderCommons*INDEX(LM_Elder,G493)*AA493)*AH493</x:f>
        <x:v>29853.63594388377</x:v>
      </x:c>
      <x:c r="AJ493" s="32" t="n">
        <x:f>H493*tun_CommonsCoef*AI493^tun_CommonsExp*INDEX(LM_Commons,G493)</x:f>
        <x:v>59634.22575672149</x:v>
      </x:c>
      <x:c r="AK493" s="32" t="n">
        <x:f>H493*tun_RoleScale*Arch_Roles*(AE493*(INDEX(tun_ElderRolePerSett,G493)*tun_OutElder*INDEX(LM_Elder,G493)+INDEX(tun_ShamanPerSett,G493)*tun_OutShaman)+Z493*(INDEX(tun_PriestShare,G493)*tun_OutPriest+INDEX(tun_ScribeShare,G493)*tun_OutScribe*INDEX(LM_Scribe,G493)+INDEX(tun_ScholarShare,G493)*tun_OutScholar*INDEX(LM_Scholar,G493)+INDEX(tun_ResearcherShare,G493)*tun_OutResearcher*INDEX(LM_Researcher,G493)))</x:f>
        <x:v>20490.773232388852</x:v>
      </x:c>
      <x:c r="AL493" s="32" t="n">
        <x:f>H493*tun_RoleScale*Arch_Roles*AE493*INDEX(tun_MonasteryPerSett,G493)*tun_OutMonastery*INDEX(LM_Monastery,G493)</x:f>
        <x:v>79.2</x:v>
      </x:c>
      <x:c r="AM493" s="32" t="n">
        <x:f>(AJ493+AK493+AL493)/4*INDEX(LM_All,G493)*INDEX(tun_Boon,G493)*Arch_Insight</x:f>
        <x:v>48267.09115127364</x:v>
      </x:c>
      <x:c r="AN493" s="32" t="n">
        <x:f>H493*(tun_KHPerAdult*Z493+tun_KHOfCommons*AJ493/4*INDEX(LM_All,G493))*tun_KHUsable*Arch_KH</x:f>
        <x:v>7396.881009683532</x:v>
      </x:c>
      <x:c r="AO493" s="32" t="n">
        <x:f>MIN(AP492+AN493,AM493*tun_KHMaxRatio)</x:f>
        <x:v>7396.881009683532</x:v>
      </x:c>
      <x:c r="AP493" s="32" t="n">
        <x:f>AP492+AN493-AO493</x:f>
        <x:v>0</x:v>
      </x:c>
      <x:c r="AQ493" s="32" t="n">
        <x:f>AM493+AO493</x:f>
        <x:v>55663.97216095717</x:v>
      </x:c>
      <x:c r="AR493" s="10" t="n">
        <x:f>IF(H493=1,INDEX(tun_Req,G493),0)</x:f>
        <x:v>3142139.1800715</x:v>
      </x:c>
      <x:c r="AS493" s="32" t="n">
        <x:f>IF(H493=1,IF(E493=1,AS492-AR492,AS492)+AQ493,0)</x:f>
        <x:v>3075957.8040853166</x:v>
      </x:c>
      <x:c r="AT493" s="11" t="n">
        <x:f>IF(AR493&gt;0,MIN(1,AS493/AR493),1)</x:f>
        <x:v>0.9789374778794243</x:v>
      </x:c>
      <x:c r="AU493" s="10" t="n">
        <x:f>AB493/INDEX(tun_RepScale,G493)</x:f>
        <x:v>399.67859766758846</x:v>
      </x:c>
      <x:c r="AV493" s="32" t="n">
        <x:f>AM493*60/tun_SeasonSeconds</x:f>
        <x:v>193068.36460509457</x:v>
      </x:c>
    </x:row>
    <x:row r="494">
      <x:c r="A494" s="8" t="n">
        <x:f>A493+1</x:f>
        <x:v>491</x:v>
      </x:c>
      <x:c r="B494" s="9" t="n">
        <x:f>A494*tun_SeasonSeconds/60</x:f>
        <x:v>122.75</x:v>
      </x:c>
      <x:c r="C494" s="9" t="n">
        <x:f>A494/4</x:f>
        <x:v>122.75</x:v>
      </x:c>
      <x:c r="D494" s="8" t="n">
        <x:f>IF(MOD(A494,4)=0,1,0)</x:f>
        <x:v>0</x:v>
      </x:c>
      <x:c r="E494" s="8" t="n">
        <x:f>IF(AND(F493&lt;=9,AS493&gt;=AR493),1,0)</x:f>
        <x:v>0</x:v>
      </x:c>
      <x:c r="F494" s="8" t="n">
        <x:f>MIN(10,F493+E494)</x:f>
        <x:v>7</x:v>
      </x:c>
      <x:c r="G494" s="8" t="n">
        <x:f>MIN(F494,9)+1</x:f>
        <x:v>8</x:v>
      </x:c>
      <x:c r="H494" s="8" t="n">
        <x:f>IF(F494&lt;=9,1,0)</x:f>
        <x:v>1</x:v>
      </x:c>
      <x:c r="I494" s="9" t="n">
        <x:f>MIN(10,F493+IF(AR493&gt;0,MIN(1,AS493/AR493),1))</x:f>
        <x:v>7.978937477879424</x:v>
      </x:c>
      <x:c r="J494" s="32" t="n">
        <x:f>INDEX(tun_FoodCap,G494)*Arch_FoodCap*EXP(tun_CapsByProject*SUMPRODUCT((Cap_Point&lt;=I494)*(Cap_Kind="Food")*Cap_Ln))</x:f>
        <x:v>4514.300360064293</x:v>
      </x:c>
      <x:c r="K494" s="32" t="n">
        <x:f>J494*MIN(1,tun_LeanBase*EXP(tun_CapsByProject*SUMPRODUCT((Cap_Point&lt;=I494)*(Cap_Kind="Lean")*Cap_Ln)))</x:f>
        <x:v>4514.300360064293</x:v>
      </x:c>
      <x:c r="L494" s="10" t="n">
        <x:f>INDEX(tun_HousingCap,G494)*EXP(tun_CapsByProject*SUMPRODUCT((Cap_Point&lt;=I494)*(Cap_Kind="Housing")*Cap_Ln))</x:f>
        <x:v>5983.37642068151</x:v>
      </x:c>
      <x:c r="M494" s="10" t="n">
        <x:f>INDEX(tun_GroupCap,G494)*tun_CohesionFactor*EXP(tun_CapsByProject*SUMPRODUCT((Cap_Point&lt;=I494)*(Cap_Kind="Group")*Cap_Ln))</x:f>
        <x:v>1000000.000000001</x:v>
      </x:c>
      <x:c r="N494" s="32" t="n">
        <x:f>MIN(J494,L494,M494)</x:f>
        <x:v>4514.300360064293</x:v>
      </x:c>
      <x:c r="O494" s="10" t="n">
        <x:f>AE493*N494</x:f>
        <x:v>67714.5054009644</x:v>
      </x:c>
      <x:c r="P494" s="9" t="n">
        <x:f>MIN(1,(AB493/(AE493*IF(tun_GroupInCrowding=1,N494,MIN(J494,L494))))^tun_CrowdingExp)</x:f>
        <x:v>0.0422839055019161</x:v>
      </x:c>
      <x:c r="Q494" s="9" t="n">
        <x:f>IF(D494=1,INDEX(tun_WinterMult,G494),1)</x:f>
        <x:v>1</x:v>
      </x:c>
      <x:c r="R494" s="9" t="n">
        <x:f>H494*Z493*tun_WomenShare*tun_BaseFertility*INDEX(tun_FertMult,G494)*Arch_Fertility*(1-P494)</x:f>
        <x:v>869.3753748896878</x:v>
      </x:c>
      <x:c r="S494" s="9" t="n">
        <x:f>H494*Y493*INDEX(tun_MortChild,G494)/4*Q494</x:f>
        <x:v>92.50340448463025</x:v>
      </x:c>
      <x:c r="T494" s="9" t="n">
        <x:f>H494*Z493*INDEX(tun_MortAdult,G494)*Arch_AdultMort/4*Q494</x:f>
        <x:v>27.2327690810701</x:v>
      </x:c>
      <x:c r="U494" s="9" t="n">
        <x:f>H494*AA493*INDEX(tun_MortElder,G494)/4*Q494</x:f>
        <x:v>45.54592490285948</x:v>
      </x:c>
      <x:c r="V494" s="9" t="n">
        <x:f>H494*MAX(0,AB493-O494)*tun_OvercapLoss</x:f>
        <x:v>0</x:v>
      </x:c>
      <x:c r="W494" s="9" t="n">
        <x:f>H494*Y493/(tun_ChildYears*4)</x:f>
        <x:v>388.6697667421439</x:v>
      </x:c>
      <x:c r="X494" s="9" t="n">
        <x:f>H494*Z493/(tun_AdultYears*4)</x:f>
        <x:v>112.62518230384657</x:v>
      </x:c>
      <x:c r="Y494" s="32" t="n">
        <x:f>Y493+R494-S494-W494-Y493*V494/AB493</x:f>
        <x:v>22153.709141222975</x:v>
      </x:c>
      <x:c r="Z494" s="32" t="n">
        <x:f>Z493+W494-X494-T494-Z493*V494/AB493</x:f>
        <x:v>14214.3344210342</x:v>
      </x:c>
      <x:c r="AA494" s="32" t="n">
        <x:f>AA493+X494-U494-AA493*V494/AB493</x:f>
        <x:v>4303.9094809228</x:v>
      </x:c>
      <x:c r="AB494" s="10" t="n">
        <x:f>Y494+Z494+AA494</x:f>
        <x:v>40671.95304317997</x:v>
      </x:c>
      <x:c r="AC494" s="8" t="n">
        <x:f>IF(AND(tun_WinterTrigger=1,D494=1,AB493/AE493&gt;=K494),1,0)</x:f>
        <x:v>0</x:v>
      </x:c>
      <x:c r="AD494" s="8" t="n">
        <x:f>H494*IF(AND(OR(AB493/AE493&gt;=tun_FissionTrigger*N494,AC494=1),AB493/AE493*tun_DaughterShare&gt;=tun_MinDaughter),MAX(1,ROUND(AE493*tun_FissionRate,0)),0)</x:f>
        <x:v>0</x:v>
      </x:c>
      <x:c r="AE494" s="8" t="n">
        <x:f>IF(H494=1,MAX(1,MIN(INDEX(tun_Smax,G494),AE493+AD494)),AE493)</x:f>
        <x:v>15</x:v>
      </x:c>
      <x:c r="AF494" s="8" t="n">
        <x:f>MAX(0,AE494-AE493)</x:f>
        <x:v>0</x:v>
      </x:c>
      <x:c r="AG494" s="9" t="str">
        <x:f>IF(AF494&gt;0,B494,"")</x:f>
      </x:c>
      <x:c r="AH494" s="9" t="n">
        <x:f>IF(F494&gt;=1,1,(1+tun_LowTiesShare*(AE494-1))/AE494)</x:f>
        <x:v>1</x:v>
      </x:c>
      <x:c r="AI494" s="32" t="n">
        <x:f>(Z494+tun_ElderCommons*INDEX(LM_Elder,G494)*AA494)*AH494</x:f>
        <x:v>30353.9949744947</x:v>
      </x:c>
      <x:c r="AJ494" s="32" t="n">
        <x:f>H494*tun_CommonsCoef*AI494^tun_CommonsExp*INDEX(LM_Commons,G494)</x:f>
        <x:v>60482.73433361714</x:v>
      </x:c>
      <x:c r="AK494" s="32" t="n">
        <x:f>H494*tun_RoleScale*Arch_Roles*(AE494*(INDEX(tun_ElderRolePerSett,G494)*tun_OutElder*INDEX(LM_Elder,G494)+INDEX(tun_ShamanPerSett,G494)*tun_OutShaman)+Z494*(INDEX(tun_PriestShare,G494)*tun_OutPriest+INDEX(tun_ScribeShare,G494)*tun_OutScribe*INDEX(LM_Scribe,G494)+INDEX(tun_ScholarShare,G494)*tun_OutScholar*INDEX(LM_Scholar,G494)+INDEX(tun_ResearcherShare,G494)*tun_OutResearcher*INDEX(LM_Researcher,G494)))</x:f>
        <x:v>20848.62433770823</x:v>
      </x:c>
      <x:c r="AL494" s="32" t="n">
        <x:f>H494*tun_RoleScale*Arch_Roles*AE494*INDEX(tun_MonasteryPerSett,G494)*tun_OutMonastery*INDEX(LM_Monastery,G494)</x:f>
        <x:v>79.2</x:v>
      </x:c>
      <x:c r="AM494" s="32" t="n">
        <x:f>(AJ494+AK494+AL494)/4*INDEX(LM_All,G494)*INDEX(tun_Boon,G494)*Arch_Insight</x:f>
        <x:v>48993.08147941844</x:v>
      </x:c>
      <x:c r="AN494" s="32" t="n">
        <x:f>H494*(tun_KHPerAdult*Z494+tun_KHOfCommons*AJ494/4*INDEX(LM_All,G494))*tun_KHUsable*Arch_KH</x:f>
        <x:v>7502.127902710992</x:v>
      </x:c>
      <x:c r="AO494" s="32" t="n">
        <x:f>MIN(AP493+AN494,AM494*tun_KHMaxRatio)</x:f>
        <x:v>7502.127902710992</x:v>
      </x:c>
      <x:c r="AP494" s="32" t="n">
        <x:f>AP493+AN494-AO494</x:f>
        <x:v>0</x:v>
      </x:c>
      <x:c r="AQ494" s="32" t="n">
        <x:f>AM494+AO494</x:f>
        <x:v>56495.20938212943</x:v>
      </x:c>
      <x:c r="AR494" s="10" t="n">
        <x:f>IF(H494=1,INDEX(tun_Req,G494),0)</x:f>
        <x:v>3142139.1800715</x:v>
      </x:c>
      <x:c r="AS494" s="32" t="n">
        <x:f>IF(H494=1,IF(E494=1,AS493-AR493,AS493)+AQ494,0)</x:f>
        <x:v>3132453.013467446</x:v>
      </x:c>
      <x:c r="AT494" s="11" t="n">
        <x:f>IF(AR494&gt;0,MIN(1,AS494/AR494),1)</x:f>
        <x:v>0.9969173336860802</x:v>
      </x:c>
      <x:c r="AU494" s="10" t="n">
        <x:f>AB494/INDEX(tun_RepScale,G494)</x:f>
        <x:v>406.71953043179974</x:v>
      </x:c>
      <x:c r="AV494" s="32" t="n">
        <x:f>AM494*60/tun_SeasonSeconds</x:f>
        <x:v>195972.32591767376</x:v>
      </x:c>
    </x:row>
    <x:row r="495">
      <x:c r="A495" s="8" t="n">
        <x:f>A494+1</x:f>
        <x:v>492</x:v>
      </x:c>
      <x:c r="B495" s="9" t="n">
        <x:f>A495*tun_SeasonSeconds/60</x:f>
        <x:v>123</x:v>
      </x:c>
      <x:c r="C495" s="9" t="n">
        <x:f>A495/4</x:f>
        <x:v>123</x:v>
      </x:c>
      <x:c r="D495" s="8" t="n">
        <x:f>IF(MOD(A495,4)=0,1,0)</x:f>
        <x:v>1</x:v>
      </x:c>
      <x:c r="E495" s="8" t="n">
        <x:f>IF(AND(F494&lt;=9,AS494&gt;=AR494),1,0)</x:f>
        <x:v>0</x:v>
      </x:c>
      <x:c r="F495" s="8" t="n">
        <x:f>MIN(10,F494+E495)</x:f>
        <x:v>7</x:v>
      </x:c>
      <x:c r="G495" s="8" t="n">
        <x:f>MIN(F495,9)+1</x:f>
        <x:v>8</x:v>
      </x:c>
      <x:c r="H495" s="8" t="n">
        <x:f>IF(F495&lt;=9,1,0)</x:f>
        <x:v>1</x:v>
      </x:c>
      <x:c r="I495" s="9" t="n">
        <x:f>MIN(10,F494+IF(AR494&gt;0,MIN(1,AS494/AR494),1))</x:f>
        <x:v>7.99691733368608</x:v>
      </x:c>
      <x:c r="J495" s="32" t="n">
        <x:f>INDEX(tun_FoodCap,G495)*Arch_FoodCap*EXP(tun_CapsByProject*SUMPRODUCT((Cap_Point&lt;=I495)*(Cap_Kind="Food")*Cap_Ln))</x:f>
        <x:v>4514.300360064293</x:v>
      </x:c>
      <x:c r="K495" s="32" t="n">
        <x:f>J495*MIN(1,tun_LeanBase*EXP(tun_CapsByProject*SUMPRODUCT((Cap_Point&lt;=I495)*(Cap_Kind="Lean")*Cap_Ln)))</x:f>
        <x:v>4514.300360064293</x:v>
      </x:c>
      <x:c r="L495" s="10" t="n">
        <x:f>INDEX(tun_HousingCap,G495)*EXP(tun_CapsByProject*SUMPRODUCT((Cap_Point&lt;=I495)*(Cap_Kind="Housing")*Cap_Ln))</x:f>
        <x:v>5983.37642068151</x:v>
      </x:c>
      <x:c r="M495" s="10" t="n">
        <x:f>INDEX(tun_GroupCap,G495)*tun_CohesionFactor*EXP(tun_CapsByProject*SUMPRODUCT((Cap_Point&lt;=I495)*(Cap_Kind="Group")*Cap_Ln))</x:f>
        <x:v>1000000.000000001</x:v>
      </x:c>
      <x:c r="N495" s="32" t="n">
        <x:f>MIN(J495,L495,M495)</x:f>
        <x:v>4514.300360064293</x:v>
      </x:c>
      <x:c r="O495" s="10" t="n">
        <x:f>AE494*N495</x:f>
        <x:v>67714.5054009644</x:v>
      </x:c>
      <x:c r="P495" s="9" t="n">
        <x:f>MIN(1,(AB494/(AE494*IF(tun_GroupInCrowding=1,N495,MIN(J495,L495))))^tun_CrowdingExp)</x:f>
        <x:v>0.04695478982527224</x:v>
      </x:c>
      <x:c r="Q495" s="9" t="n">
        <x:f>IF(D495=1,INDEX(tun_WinterMult,G495),1)</x:f>
        <x:v>1.08</x:v>
      </x:c>
      <x:c r="R495" s="9" t="n">
        <x:f>H495*Z494*tun_WomenShare*tun_BaseFertility*INDEX(tun_FertMult,G495)*Arch_Fertility*(1-P495)</x:f>
        <x:v>880.5487168262465</x:v>
      </x:c>
      <x:c r="S495" s="9" t="n">
        <x:f>H495*Y494*INDEX(tun_MortChild,G495)/4*Q495</x:f>
        <x:v>101.68552495821346</x:v>
      </x:c>
      <x:c r="T495" s="9" t="n">
        <x:f>H495*Z494*INDEX(tun_MortAdult,G495)*Arch_AdultMort/4*Q495</x:f>
        <x:v>29.93538829069803</x:v>
      </x:c>
      <x:c r="U495" s="9" t="n">
        <x:f>H495*AA494*INDEX(tun_MortElder,G495)/4*Q495</x:f>
        <x:v>49.96838907351371</x:v>
      </x:c>
      <x:c r="V495" s="9" t="n">
        <x:f>H495*MAX(0,AB494-O495)*tun_OvercapLoss</x:f>
        <x:v>0</x:v>
      </x:c>
      <x:c r="W495" s="9" t="n">
        <x:f>H495*Y494/(tun_ChildYears*4)</x:f>
        <x:v>395.60194895041025</x:v>
      </x:c>
      <x:c r="X495" s="9" t="n">
        <x:f>H495*Z494/(tun_AdultYears*4)</x:f>
        <x:v>114.63172920188872</x:v>
      </x:c>
      <x:c r="Y495" s="32" t="n">
        <x:f>Y494+R495-S495-W495-Y494*V495/AB494</x:f>
        <x:v>22536.970384140597</x:v>
      </x:c>
      <x:c r="Z495" s="32" t="n">
        <x:f>Z494+W495-X495-T495-Z494*V495/AB494</x:f>
        <x:v>14465.369252492024</x:v>
      </x:c>
      <x:c r="AA495" s="32" t="n">
        <x:f>AA494+X495-U495-AA494*V495/AB494</x:f>
        <x:v>4368.572821051174</x:v>
      </x:c>
      <x:c r="AB495" s="10" t="n">
        <x:f>Y495+Z495+AA495</x:f>
        <x:v>41370.91245768379</x:v>
      </x:c>
      <x:c r="AC495" s="8" t="n">
        <x:f>IF(AND(tun_WinterTrigger=1,D495=1,AB494/AE494&gt;=K495),1,0)</x:f>
        <x:v>0</x:v>
      </x:c>
      <x:c r="AD495" s="8" t="n">
        <x:f>H495*IF(AND(OR(AB494/AE494&gt;=tun_FissionTrigger*N495,AC495=1),AB494/AE494*tun_DaughterShare&gt;=tun_MinDaughter),MAX(1,ROUND(AE494*tun_FissionRate,0)),0)</x:f>
        <x:v>0</x:v>
      </x:c>
      <x:c r="AE495" s="8" t="n">
        <x:f>IF(H495=1,MAX(1,MIN(INDEX(tun_Smax,G495),AE494+AD495)),AE494)</x:f>
        <x:v>15</x:v>
      </x:c>
      <x:c r="AF495" s="8" t="n">
        <x:f>MAX(0,AE495-AE494)</x:f>
        <x:v>0</x:v>
      </x:c>
      <x:c r="AG495" s="9" t="str">
        <x:f>IF(AF495&gt;0,B495,"")</x:f>
      </x:c>
      <x:c r="AH495" s="9" t="n">
        <x:f>IF(F495&gt;=1,1,(1+tun_LowTiesShare*(AE495-1))/AE495)</x:f>
        <x:v>1</x:v>
      </x:c>
      <x:c r="AI495" s="32" t="n">
        <x:f>(Z495+tun_ElderCommons*INDEX(LM_Elder,G495)*AA495)*AH495</x:f>
        <x:v>30847.517331433926</x:v>
      </x:c>
      <x:c r="AJ495" s="32" t="n">
        <x:f>H495*tun_CommonsCoef*AI495^tun_CommonsExp*INDEX(LM_Commons,G495)</x:f>
        <x:v>61317.59631217256</x:v>
      </x:c>
      <x:c r="AK495" s="32" t="n">
        <x:f>H495*tun_RoleScale*Arch_Roles*(AE495*(INDEX(tun_ElderRolePerSett,G495)*tun_OutElder*INDEX(LM_Elder,G495)+INDEX(tun_ShamanPerSett,G495)*tun_OutShaman)+Z495*(INDEX(tun_PriestShare,G495)*tun_OutPriest+INDEX(tun_ScribeShare,G495)*tun_OutScribe*INDEX(LM_Scribe,G495)+INDEX(tun_ScholarShare,G495)*tun_OutScholar*INDEX(LM_Scholar,G495)+INDEX(tun_ResearcherShare,G495)*tun_OutResearcher*INDEX(LM_Researcher,G495)))</x:f>
        <x:v>21209.672673704128</x:v>
      </x:c>
      <x:c r="AL495" s="32" t="n">
        <x:f>H495*tun_RoleScale*Arch_Roles*AE495*INDEX(tun_MonasteryPerSett,G495)*tun_OutMonastery*INDEX(LM_Monastery,G495)</x:f>
        <x:v>79.2</x:v>
      </x:c>
      <x:c r="AM495" s="32" t="n">
        <x:f>(AJ495+AK495+AL495)/4*INDEX(LM_All,G495)*INDEX(tun_Boon,G495)*Arch_Insight</x:f>
        <x:v>49712.78335149915</x:v>
      </x:c>
      <x:c r="AN495" s="32" t="n">
        <x:f>H495*(tun_KHPerAdult*Z495+tun_KHOfCommons*AJ495/4*INDEX(LM_All,G495))*tun_KHUsable*Arch_KH</x:f>
        <x:v>7605.682105629227</x:v>
      </x:c>
      <x:c r="AO495" s="32" t="n">
        <x:f>MIN(AP494+AN495,AM495*tun_KHMaxRatio)</x:f>
        <x:v>7605.682105629227</x:v>
      </x:c>
      <x:c r="AP495" s="32" t="n">
        <x:f>AP494+AN495-AO495</x:f>
        <x:v>0</x:v>
      </x:c>
      <x:c r="AQ495" s="32" t="n">
        <x:f>AM495+AO495</x:f>
        <x:v>57318.465457128375</x:v>
      </x:c>
      <x:c r="AR495" s="10" t="n">
        <x:f>IF(H495=1,INDEX(tun_Req,G495),0)</x:f>
        <x:v>3142139.1800715</x:v>
      </x:c>
      <x:c r="AS495" s="32" t="n">
        <x:f>IF(H495=1,IF(E495=1,AS494-AR494,AS494)+AQ495,0)</x:f>
        <x:v>3189771.4789245743</x:v>
      </x:c>
      <x:c r="AT495" s="11" t="n">
        <x:f>IF(AR495&gt;0,MIN(1,AS495/AR495),1)</x:f>
        <x:v>1</x:v>
      </x:c>
      <x:c r="AU495" s="10" t="n">
        <x:f>AB495/INDEX(tun_RepScale,G495)</x:f>
        <x:v>413.70912457683795</x:v>
      </x:c>
      <x:c r="AV495" s="32" t="n">
        <x:f>AM495*60/tun_SeasonSeconds</x:f>
        <x:v>198851.1334059966</x:v>
      </x:c>
    </x:row>
    <x:row r="496">
      <x:c r="A496" s="8" t="n">
        <x:f>A495+1</x:f>
        <x:v>493</x:v>
      </x:c>
      <x:c r="B496" s="9" t="n">
        <x:f>A496*tun_SeasonSeconds/60</x:f>
        <x:v>123.25</x:v>
      </x:c>
      <x:c r="C496" s="9" t="n">
        <x:f>A496/4</x:f>
        <x:v>123.25</x:v>
      </x:c>
      <x:c r="D496" s="8" t="n">
        <x:f>IF(MOD(A496,4)=0,1,0)</x:f>
        <x:v>0</x:v>
      </x:c>
      <x:c r="E496" s="8" t="n">
        <x:f>IF(AND(F495&lt;=9,AS495&gt;=AR495),1,0)</x:f>
        <x:v>1</x:v>
      </x:c>
      <x:c r="F496" s="8" t="n">
        <x:f>MIN(10,F495+E496)</x:f>
        <x:v>8</x:v>
      </x:c>
      <x:c r="G496" s="8" t="n">
        <x:f>MIN(F496,9)+1</x:f>
        <x:v>9</x:v>
      </x:c>
      <x:c r="H496" s="8" t="n">
        <x:f>IF(F496&lt;=9,1,0)</x:f>
        <x:v>1</x:v>
      </x:c>
      <x:c r="I496" s="9" t="n">
        <x:f>MIN(10,F495+IF(AR495&gt;0,MIN(1,AS495/AR495),1))</x:f>
        <x:v>8</x:v>
      </x:c>
      <x:c r="J496" s="32" t="n">
        <x:f>INDEX(tun_FoodCap,G496)*Arch_FoodCap*EXP(tun_CapsByProject*SUMPRODUCT((Cap_Point&lt;=I496)*(Cap_Kind="Food")*Cap_Ln))</x:f>
        <x:v>4514.300360064293</x:v>
      </x:c>
      <x:c r="K496" s="32" t="n">
        <x:f>J496*MIN(1,tun_LeanBase*EXP(tun_CapsByProject*SUMPRODUCT((Cap_Point&lt;=I496)*(Cap_Kind="Lean")*Cap_Ln)))</x:f>
        <x:v>4514.300360064293</x:v>
      </x:c>
      <x:c r="L496" s="10" t="n">
        <x:f>INDEX(tun_HousingCap,G496)*EXP(tun_CapsByProject*SUMPRODUCT((Cap_Point&lt;=I496)*(Cap_Kind="Housing")*Cap_Ln))</x:f>
        <x:v>5983.37642068151</x:v>
      </x:c>
      <x:c r="M496" s="10" t="n">
        <x:f>INDEX(tun_GroupCap,G496)*tun_CohesionFactor*EXP(tun_CapsByProject*SUMPRODUCT((Cap_Point&lt;=I496)*(Cap_Kind="Group")*Cap_Ln))</x:f>
        <x:v>1000000.000000001</x:v>
      </x:c>
      <x:c r="N496" s="32" t="n">
        <x:f>MIN(J496,L496,M496)</x:f>
        <x:v>4514.300360064293</x:v>
      </x:c>
      <x:c r="O496" s="10" t="n">
        <x:f>AE495*N496</x:f>
        <x:v>67714.5054009644</x:v>
      </x:c>
      <x:c r="P496" s="9" t="n">
        <x:f>MIN(1,(AB495/(AE495*IF(tun_GroupInCrowding=1,N496,MIN(J496,L496))))^tun_CrowdingExp)</x:f>
        <x:v>0.052009219179847486</x:v>
      </x:c>
      <x:c r="Q496" s="9" t="n">
        <x:f>IF(D496=1,INDEX(tun_WinterMult,G496),1)</x:f>
        <x:v>1</x:v>
      </x:c>
      <x:c r="R496" s="9" t="n">
        <x:f>H496*Z495*tun_WomenShare*tun_BaseFertility*INDEX(tun_FertMult,G496)*Arch_Fertility*(1-P496)</x:f>
        <x:v>490.2410617576522</x:v>
      </x:c>
      <x:c r="S496" s="9" t="n">
        <x:f>H496*Y495*INDEX(tun_MortChild,G496)/4*Q496</x:f>
        <x:v>25.35409168215817</x:v>
      </x:c>
      <x:c r="T496" s="9" t="n">
        <x:f>H496*Z495*INDEX(tun_MortAdult,G496)*Arch_AdultMort/4*Q496</x:f>
        <x:v>10.849026939369018</x:v>
      </x:c>
      <x:c r="U496" s="9" t="n">
        <x:f>H496*AA495*INDEX(tun_MortElder,G496)/4*Q496</x:f>
        <x:v>36.04072577367219</x:v>
      </x:c>
      <x:c r="V496" s="9" t="n">
        <x:f>H496*MAX(0,AB495-O496)*tun_OvercapLoss</x:f>
        <x:v>0</x:v>
      </x:c>
      <x:c r="W496" s="9" t="n">
        <x:f>H496*Y495/(tun_ChildYears*4)</x:f>
        <x:v>402.44589971679636</x:v>
      </x:c>
      <x:c r="X496" s="9" t="n">
        <x:f>H496*Z495/(tun_AdultYears*4)</x:f>
        <x:v>116.65620364912922</x:v>
      </x:c>
      <x:c r="Y496" s="32" t="n">
        <x:f>Y495+R496-S496-W496-Y495*V496/AB495</x:f>
        <x:v>22599.411454499295</x:v>
      </x:c>
      <x:c r="Z496" s="32" t="n">
        <x:f>Z495+W496-X496-T496-Z495*V496/AB495</x:f>
        <x:v>14740.309921620323</x:v>
      </x:c>
      <x:c r="AA496" s="32" t="n">
        <x:f>AA495+X496-U496-AA495*V496/AB495</x:f>
        <x:v>4449.188298926631</x:v>
      </x:c>
      <x:c r="AB496" s="10" t="n">
        <x:f>Y496+Z496+AA496</x:f>
        <x:v>41788.90967504625</x:v>
      </x:c>
      <x:c r="AC496" s="8" t="n">
        <x:f>IF(AND(tun_WinterTrigger=1,D496=1,AB495/AE495&gt;=K496),1,0)</x:f>
        <x:v>0</x:v>
      </x:c>
      <x:c r="AD496" s="8" t="n">
        <x:f>H496*IF(AND(OR(AB495/AE495&gt;=tun_FissionTrigger*N496,AC496=1),AB495/AE495*tun_DaughterShare&gt;=tun_MinDaughter),MAX(1,ROUND(AE495*tun_FissionRate,0)),0)</x:f>
        <x:v>0</x:v>
      </x:c>
      <x:c r="AE496" s="8" t="n">
        <x:f>IF(H496=1,MAX(1,MIN(INDEX(tun_Smax,G496),AE495+AD496)),AE495)</x:f>
        <x:v>9</x:v>
      </x:c>
      <x:c r="AF496" s="8" t="n">
        <x:f>MAX(0,AE496-AE495)</x:f>
        <x:v>0</x:v>
      </x:c>
      <x:c r="AG496" s="9" t="str">
        <x:f>IF(AF496&gt;0,B496,"")</x:f>
      </x:c>
      <x:c r="AH496" s="9" t="n">
        <x:f>IF(F496&gt;=1,1,(1+tun_LowTiesShare*(AE496-1))/AE496)</x:f>
        <x:v>1</x:v>
      </x:c>
      <x:c r="AI496" s="32" t="n">
        <x:f>(Z496+tun_ElderCommons*INDEX(LM_Elder,G496)*AA496)*AH496</x:f>
        <x:v>31424.76604259519</x:v>
      </x:c>
      <x:c r="AJ496" s="32" t="n">
        <x:f>H496*tun_CommonsCoef*AI496^tun_CommonsExp*INDEX(LM_Commons,G496)</x:f>
        <x:v>96199.62393952426</x:v>
      </x:c>
      <x:c r="AK496" s="32" t="n">
        <x:f>H496*tun_RoleScale*Arch_Roles*(AE496*(INDEX(tun_ElderRolePerSett,G496)*tun_OutElder*INDEX(LM_Elder,G496)+INDEX(tun_ShamanPerSett,G496)*tun_OutShaman)+Z496*(INDEX(tun_PriestShare,G496)*tun_OutPriest+INDEX(tun_ScribeShare,G496)*tun_OutScribe*INDEX(LM_Scribe,G496)+INDEX(tun_ScholarShare,G496)*tun_OutScholar*INDEX(LM_Scholar,G496)+INDEX(tun_ResearcherShare,G496)*tun_OutResearcher*INDEX(LM_Researcher,G496)))</x:f>
        <x:v>30696.618629493514</x:v>
      </x:c>
      <x:c r="AL496" s="32" t="n">
        <x:f>H496*tun_RoleScale*Arch_Roles*AE496*INDEX(tun_MonasteryPerSett,G496)*tun_OutMonastery*INDEX(LM_Monastery,G496)</x:f>
        <x:v>31.680000000000003</x:v>
      </x:c>
      <x:c r="AM496" s="32" t="n">
        <x:f>(AJ496+AK496+AL496)/4*INDEX(LM_All,G496)*INDEX(tun_Boon,G496)*Arch_Insight</x:f>
        <x:v>91450.486160175</x:v>
      </x:c>
      <x:c r="AN496" s="32" t="n">
        <x:f>H496*(tun_KHPerAdult*Z496+tun_KHOfCommons*AJ496/4*INDEX(LM_All,G496))*tun_KHUsable*Arch_KH</x:f>
        <x:v>13937.259365057482</x:v>
      </x:c>
      <x:c r="AO496" s="32" t="n">
        <x:f>MIN(AP495+AN496,AM496*tun_KHMaxRatio)</x:f>
        <x:v>13937.259365057482</x:v>
      </x:c>
      <x:c r="AP496" s="32" t="n">
        <x:f>AP495+AN496-AO496</x:f>
        <x:v>0</x:v>
      </x:c>
      <x:c r="AQ496" s="32" t="n">
        <x:f>AM496+AO496</x:f>
        <x:v>105387.74552523249</x:v>
      </x:c>
      <x:c r="AR496" s="10" t="n">
        <x:f>IF(H496=1,INDEX(tun_Req,G496),0)</x:f>
        <x:v>24497531.045680594</x:v>
      </x:c>
      <x:c r="AS496" s="32" t="n">
        <x:f>IF(H496=1,IF(E496=1,AS495-AR495,AS495)+AQ496,0)</x:f>
        <x:v>153020.0443783067</x:v>
      </x:c>
      <x:c r="AT496" s="11" t="n">
        <x:f>IF(AR496&gt;0,MIN(1,AS496/AR496),1)</x:f>
        <x:v>0.006246345564088475</x:v>
      </x:c>
      <x:c r="AU496" s="10" t="n">
        <x:f>AB496/INDEX(tun_RepScale,G496)</x:f>
        <x:v>167.155638700185</x:v>
      </x:c>
      <x:c r="AV496" s="32" t="n">
        <x:f>AM496*60/tun_SeasonSeconds</x:f>
        <x:v>365801.9446407</x:v>
      </x:c>
    </x:row>
    <x:row r="497">
      <x:c r="A497" s="8" t="n">
        <x:f>A496+1</x:f>
        <x:v>494</x:v>
      </x:c>
      <x:c r="B497" s="9" t="n">
        <x:f>A497*tun_SeasonSeconds/60</x:f>
        <x:v>123.5</x:v>
      </x:c>
      <x:c r="C497" s="9" t="n">
        <x:f>A497/4</x:f>
        <x:v>123.5</x:v>
      </x:c>
      <x:c r="D497" s="8" t="n">
        <x:f>IF(MOD(A497,4)=0,1,0)</x:f>
        <x:v>0</x:v>
      </x:c>
      <x:c r="E497" s="8" t="n">
        <x:f>IF(AND(F496&lt;=9,AS496&gt;=AR496),1,0)</x:f>
        <x:v>0</x:v>
      </x:c>
      <x:c r="F497" s="8" t="n">
        <x:f>MIN(10,F496+E497)</x:f>
        <x:v>8</x:v>
      </x:c>
      <x:c r="G497" s="8" t="n">
        <x:f>MIN(F497,9)+1</x:f>
        <x:v>9</x:v>
      </x:c>
      <x:c r="H497" s="8" t="n">
        <x:f>IF(F497&lt;=9,1,0)</x:f>
        <x:v>1</x:v>
      </x:c>
      <x:c r="I497" s="9" t="n">
        <x:f>MIN(10,F496+IF(AR496&gt;0,MIN(1,AS496/AR496),1))</x:f>
        <x:v>8.006246345564088</x:v>
      </x:c>
      <x:c r="J497" s="32" t="n">
        <x:f>INDEX(tun_FoodCap,G497)*Arch_FoodCap*EXP(tun_CapsByProject*SUMPRODUCT((Cap_Point&lt;=I497)*(Cap_Kind="Food")*Cap_Ln))</x:f>
        <x:v>4514.300360064293</x:v>
      </x:c>
      <x:c r="K497" s="32" t="n">
        <x:f>J497*MIN(1,tun_LeanBase*EXP(tun_CapsByProject*SUMPRODUCT((Cap_Point&lt;=I497)*(Cap_Kind="Lean")*Cap_Ln)))</x:f>
        <x:v>4514.300360064293</x:v>
      </x:c>
      <x:c r="L497" s="10" t="n">
        <x:f>INDEX(tun_HousingCap,G497)*EXP(tun_CapsByProject*SUMPRODUCT((Cap_Point&lt;=I497)*(Cap_Kind="Housing")*Cap_Ln))</x:f>
        <x:v>5983.37642068151</x:v>
      </x:c>
      <x:c r="M497" s="10" t="n">
        <x:f>INDEX(tun_GroupCap,G497)*tun_CohesionFactor*EXP(tun_CapsByProject*SUMPRODUCT((Cap_Point&lt;=I497)*(Cap_Kind="Group")*Cap_Ln))</x:f>
        <x:v>1000000.000000001</x:v>
      </x:c>
      <x:c r="N497" s="32" t="n">
        <x:f>MIN(J497,L497,M497)</x:f>
        <x:v>4514.300360064293</x:v>
      </x:c>
      <x:c r="O497" s="10" t="n">
        <x:f>AE496*N497</x:f>
        <x:v>40628.70324057864</x:v>
      </x:c>
      <x:c r="P497" s="9" t="n">
        <x:f>MIN(1,(AB496/(AE496*IF(tun_GroupInCrowding=1,N497,MIN(J497,L497))))^tun_CrowdingExp)</x:f>
        <x:v>1</x:v>
      </x:c>
      <x:c r="Q497" s="9" t="n">
        <x:f>IF(D497=1,INDEX(tun_WinterMult,G497),1)</x:f>
        <x:v>1</x:v>
      </x:c>
      <x:c r="R497" s="9" t="n">
        <x:f>H497*Z496*tun_WomenShare*tun_BaseFertility*INDEX(tun_FertMult,G497)*Arch_Fertility*(1-P497)</x:f>
        <x:v>0</x:v>
      </x:c>
      <x:c r="S497" s="9" t="n">
        <x:f>H497*Y496*INDEX(tun_MortChild,G497)/4*Q497</x:f>
        <x:v>25.424337886311704</x:v>
      </x:c>
      <x:c r="T497" s="9" t="n">
        <x:f>H497*Z496*INDEX(tun_MortAdult,G497)*Arch_AdultMort/4*Q497</x:f>
        <x:v>11.055232441215242</x:v>
      </x:c>
      <x:c r="U497" s="9" t="n">
        <x:f>H497*AA496*INDEX(tun_MortElder,G497)/4*Q497</x:f>
        <x:v>36.70580346614471</x:v>
      </x:c>
      <x:c r="V497" s="9" t="n">
        <x:f>H497*MAX(0,AB496-O497)*tun_OvercapLoss</x:f>
        <x:v>116.0206434467611</x:v>
      </x:c>
      <x:c r="W497" s="9" t="n">
        <x:f>H497*Y496/(tun_ChildYears*4)</x:f>
        <x:v>403.5609188303446</x:v>
      </x:c>
      <x:c r="X497" s="9" t="n">
        <x:f>H497*Z496/(tun_AdultYears*4)</x:f>
        <x:v>118.87346710984131</x:v>
      </x:c>
      <x:c r="Y497" s="32" t="n">
        <x:f>Y496+R497-S497-W497-Y496*V497/AB496</x:f>
        <x:v>22107.682319589647</x:v>
      </x:c>
      <x:c r="Z497" s="32" t="n">
        <x:f>Z496+W497-X497-T497-Z496*V497/AB496</x:f>
        <x:v>14973.017880012942</x:v>
      </x:c>
      <x:c r="AA497" s="32" t="n">
        <x:f>AA496+X497-U497-AA496*V497/AB496</x:f>
        <x:v>4519.0034582032295</x:v>
      </x:c>
      <x:c r="AB497" s="10" t="n">
        <x:f>Y497+Z497+AA497</x:f>
        <x:v>41599.70365780582</x:v>
      </x:c>
      <x:c r="AC497" s="8" t="n">
        <x:f>IF(AND(tun_WinterTrigger=1,D497=1,AB496/AE496&gt;=K497),1,0)</x:f>
        <x:v>0</x:v>
      </x:c>
      <x:c r="AD497" s="8" t="n">
        <x:f>H497*IF(AND(OR(AB496/AE496&gt;=tun_FissionTrigger*N497,AC497=1),AB496/AE496*tun_DaughterShare&gt;=tun_MinDaughter),MAX(1,ROUND(AE496*tun_FissionRate,0)),0)</x:f>
        <x:v>3</x:v>
      </x:c>
      <x:c r="AE497" s="8" t="n">
        <x:f>IF(H497=1,MAX(1,MIN(INDEX(tun_Smax,G497),AE496+AD497)),AE496)</x:f>
        <x:v>9</x:v>
      </x:c>
      <x:c r="AF497" s="8" t="n">
        <x:f>MAX(0,AE497-AE496)</x:f>
        <x:v>0</x:v>
      </x:c>
      <x:c r="AG497" s="9" t="str">
        <x:f>IF(AF497&gt;0,B497,"")</x:f>
      </x:c>
      <x:c r="AH497" s="9" t="n">
        <x:f>IF(F497&gt;=1,1,(1+tun_LowTiesShare*(AE497-1))/AE497)</x:f>
        <x:v>1</x:v>
      </x:c>
      <x:c r="AI497" s="32" t="n">
        <x:f>(Z497+tun_ElderCommons*INDEX(LM_Elder,G497)*AA497)*AH497</x:f>
        <x:v>31919.280848275055</x:v>
      </x:c>
      <x:c r="AJ497" s="32" t="n">
        <x:f>H497*tun_CommonsCoef*AI497^tun_CommonsExp*INDEX(LM_Commons,G497)</x:f>
        <x:v>97484.88024504363</x:v>
      </x:c>
      <x:c r="AK497" s="32" t="n">
        <x:f>H497*tun_RoleScale*Arch_Roles*(AE497*(INDEX(tun_ElderRolePerSett,G497)*tun_OutElder*INDEX(LM_Elder,G497)+INDEX(tun_ShamanPerSett,G497)*tun_OutShaman)+Z497*(INDEX(tun_PriestShare,G497)*tun_OutPriest+INDEX(tun_ScribeShare,G497)*tun_OutScribe*INDEX(LM_Scribe,G497)+INDEX(tun_ScholarShare,G497)*tun_OutScholar*INDEX(LM_Scholar,G497)+INDEX(tun_ResearcherShare,G497)*tun_OutResearcher*INDEX(LM_Researcher,G497)))</x:f>
        <x:v>31177.395455396087</x:v>
      </x:c>
      <x:c r="AL497" s="32" t="n">
        <x:f>H497*tun_RoleScale*Arch_Roles*AE497*INDEX(tun_MonasteryPerSett,G497)*tun_OutMonastery*INDEX(LM_Monastery,G497)</x:f>
        <x:v>31.680000000000003</x:v>
      </x:c>
      <x:c r="AM497" s="32" t="n">
        <x:f>(AJ497+AK497+AL497)/4*INDEX(LM_All,G497)*INDEX(tun_Boon,G497)*Arch_Insight</x:f>
        <x:v>92722.89797606754</x:v>
      </x:c>
      <x:c r="AN497" s="32" t="n">
        <x:f>H497*(tun_KHPerAdult*Z497+tun_KHOfCommons*AJ497/4*INDEX(LM_All,G497))*tun_KHUsable*Arch_KH</x:f>
        <x:v>14123.465399416411</x:v>
      </x:c>
      <x:c r="AO497" s="32" t="n">
        <x:f>MIN(AP496+AN497,AM497*tun_KHMaxRatio)</x:f>
        <x:v>14123.465399416411</x:v>
      </x:c>
      <x:c r="AP497" s="32" t="n">
        <x:f>AP496+AN497-AO497</x:f>
        <x:v>0</x:v>
      </x:c>
      <x:c r="AQ497" s="32" t="n">
        <x:f>AM497+AO497</x:f>
        <x:v>106846.36337548395</x:v>
      </x:c>
      <x:c r="AR497" s="10" t="n">
        <x:f>IF(H497=1,INDEX(tun_Req,G497),0)</x:f>
        <x:v>24497531.045680594</x:v>
      </x:c>
      <x:c r="AS497" s="32" t="n">
        <x:f>IF(H497=1,IF(E497=1,AS496-AR496,AS496)+AQ497,0)</x:f>
        <x:v>259866.40775379064</x:v>
      </x:c>
      <x:c r="AT497" s="11" t="n">
        <x:f>IF(AR497&gt;0,MIN(1,AS497/AR497),1)</x:f>
        <x:v>0.010607861146056606</x:v>
      </x:c>
      <x:c r="AU497" s="10" t="n">
        <x:f>AB497/INDEX(tun_RepScale,G497)</x:f>
        <x:v>166.39881463122327</x:v>
      </x:c>
      <x:c r="AV497" s="32" t="n">
        <x:f>AM497*60/tun_SeasonSeconds</x:f>
        <x:v>370891.5919042702</x:v>
      </x:c>
    </x:row>
    <x:row r="498">
      <x:c r="A498" s="8" t="n">
        <x:f>A497+1</x:f>
        <x:v>495</x:v>
      </x:c>
      <x:c r="B498" s="9" t="n">
        <x:f>A498*tun_SeasonSeconds/60</x:f>
        <x:v>123.75</x:v>
      </x:c>
      <x:c r="C498" s="9" t="n">
        <x:f>A498/4</x:f>
        <x:v>123.75</x:v>
      </x:c>
      <x:c r="D498" s="8" t="n">
        <x:f>IF(MOD(A498,4)=0,1,0)</x:f>
        <x:v>0</x:v>
      </x:c>
      <x:c r="E498" s="8" t="n">
        <x:f>IF(AND(F497&lt;=9,AS497&gt;=AR497),1,0)</x:f>
        <x:v>0</x:v>
      </x:c>
      <x:c r="F498" s="8" t="n">
        <x:f>MIN(10,F497+E498)</x:f>
        <x:v>8</x:v>
      </x:c>
      <x:c r="G498" s="8" t="n">
        <x:f>MIN(F498,9)+1</x:f>
        <x:v>9</x:v>
      </x:c>
      <x:c r="H498" s="8" t="n">
        <x:f>IF(F498&lt;=9,1,0)</x:f>
        <x:v>1</x:v>
      </x:c>
      <x:c r="I498" s="9" t="n">
        <x:f>MIN(10,F497+IF(AR497&gt;0,MIN(1,AS497/AR497),1))</x:f>
        <x:v>8.010607861146056</x:v>
      </x:c>
      <x:c r="J498" s="32" t="n">
        <x:f>INDEX(tun_FoodCap,G498)*Arch_FoodCap*EXP(tun_CapsByProject*SUMPRODUCT((Cap_Point&lt;=I498)*(Cap_Kind="Food")*Cap_Ln))</x:f>
        <x:v>4514.300360064293</x:v>
      </x:c>
      <x:c r="K498" s="32" t="n">
        <x:f>J498*MIN(1,tun_LeanBase*EXP(tun_CapsByProject*SUMPRODUCT((Cap_Point&lt;=I498)*(Cap_Kind="Lean")*Cap_Ln)))</x:f>
        <x:v>4514.300360064293</x:v>
      </x:c>
      <x:c r="L498" s="10" t="n">
        <x:f>INDEX(tun_HousingCap,G498)*EXP(tun_CapsByProject*SUMPRODUCT((Cap_Point&lt;=I498)*(Cap_Kind="Housing")*Cap_Ln))</x:f>
        <x:v>5983.37642068151</x:v>
      </x:c>
      <x:c r="M498" s="10" t="n">
        <x:f>INDEX(tun_GroupCap,G498)*tun_CohesionFactor*EXP(tun_CapsByProject*SUMPRODUCT((Cap_Point&lt;=I498)*(Cap_Kind="Group")*Cap_Ln))</x:f>
        <x:v>1000000.000000001</x:v>
      </x:c>
      <x:c r="N498" s="32" t="n">
        <x:f>MIN(J498,L498,M498)</x:f>
        <x:v>4514.300360064293</x:v>
      </x:c>
      <x:c r="O498" s="10" t="n">
        <x:f>AE497*N498</x:f>
        <x:v>40628.70324057864</x:v>
      </x:c>
      <x:c r="P498" s="9" t="n">
        <x:f>MIN(1,(AB497/(AE497*IF(tun_GroupInCrowding=1,N498,MIN(J498,L498))))^tun_CrowdingExp)</x:f>
        <x:v>1</x:v>
      </x:c>
      <x:c r="Q498" s="9" t="n">
        <x:f>IF(D498=1,INDEX(tun_WinterMult,G498),1)</x:f>
        <x:v>1</x:v>
      </x:c>
      <x:c r="R498" s="9" t="n">
        <x:f>H498*Z497*tun_WomenShare*tun_BaseFertility*INDEX(tun_FertMult,G498)*Arch_Fertility*(1-P498)</x:f>
        <x:v>0</x:v>
      </x:c>
      <x:c r="S498" s="9" t="n">
        <x:f>H498*Y497*INDEX(tun_MortChild,G498)/4*Q498</x:f>
        <x:v>24.87114260953835</x:v>
      </x:c>
      <x:c r="T498" s="9" t="n">
        <x:f>H498*Z497*INDEX(tun_MortAdult,G498)*Arch_AdultMort/4*Q498</x:f>
        <x:v>11.229763410009706</x:v>
      </x:c>
      <x:c r="U498" s="9" t="n">
        <x:f>H498*AA497*INDEX(tun_MortElder,G498)/4*Q498</x:f>
        <x:v>37.281778530176645</x:v>
      </x:c>
      <x:c r="V498" s="9" t="n">
        <x:f>H498*MAX(0,AB497-O498)*tun_OvercapLoss</x:f>
        <x:v>97.10004172271802</x:v>
      </x:c>
      <x:c r="W498" s="9" t="n">
        <x:f>H498*Y497/(tun_ChildYears*4)</x:f>
        <x:v>394.7800414212437</x:v>
      </x:c>
      <x:c r="X498" s="9" t="n">
        <x:f>H498*Z497/(tun_AdultYears*4)</x:f>
        <x:v>120.75014419365276</x:v>
      </x:c>
      <x:c r="Y498" s="32" t="n">
        <x:f>Y497+R498-S498-W498-Y497*V498/AB497</x:f>
        <x:v>21636.428439220377</x:v>
      </x:c>
      <x:c r="Z498" s="32" t="n">
        <x:f>Z497+W498-X498-T498-Z497*V498/AB497</x:f>
        <x:v>15200.868710517601</x:v>
      </x:c>
      <x:c r="AA498" s="32" t="n">
        <x:f>AA497+X498-U498-AA497*V498/AB497</x:f>
        <x:v>4591.923781795394</x:v>
      </x:c>
      <x:c r="AB498" s="10" t="n">
        <x:f>Y498+Z498+AA498</x:f>
        <x:v>41429.22093153337</x:v>
      </x:c>
      <x:c r="AC498" s="8" t="n">
        <x:f>IF(AND(tun_WinterTrigger=1,D498=1,AB497/AE497&gt;=K498),1,0)</x:f>
        <x:v>0</x:v>
      </x:c>
      <x:c r="AD498" s="8" t="n">
        <x:f>H498*IF(AND(OR(AB497/AE497&gt;=tun_FissionTrigger*N498,AC498=1),AB497/AE497*tun_DaughterShare&gt;=tun_MinDaughter),MAX(1,ROUND(AE497*tun_FissionRate,0)),0)</x:f>
        <x:v>3</x:v>
      </x:c>
      <x:c r="AE498" s="8" t="n">
        <x:f>IF(H498=1,MAX(1,MIN(INDEX(tun_Smax,G498),AE497+AD498)),AE497)</x:f>
        <x:v>9</x:v>
      </x:c>
      <x:c r="AF498" s="8" t="n">
        <x:f>MAX(0,AE498-AE497)</x:f>
        <x:v>0</x:v>
      </x:c>
      <x:c r="AG498" s="9" t="str">
        <x:f>IF(AF498&gt;0,B498,"")</x:f>
      </x:c>
      <x:c r="AH498" s="9" t="n">
        <x:f>IF(F498&gt;=1,1,(1+tun_LowTiesShare*(AE498-1))/AE498)</x:f>
        <x:v>1</x:v>
      </x:c>
      <x:c r="AI498" s="32" t="n">
        <x:f>(Z498+tun_ElderCommons*INDEX(LM_Elder,G498)*AA498)*AH498</x:f>
        <x:v>32420.582892250328</x:v>
      </x:c>
      <x:c r="AJ498" s="32" t="n">
        <x:f>H498*tun_CommonsCoef*AI498^tun_CommonsExp*INDEX(LM_Commons,G498)</x:f>
        <x:v>98784.73182723885</x:v>
      </x:c>
      <x:c r="AK498" s="32" t="n">
        <x:f>H498*tun_RoleScale*Arch_Roles*(AE498*(INDEX(tun_ElderRolePerSett,G498)*tun_OutElder*INDEX(LM_Elder,G498)+INDEX(tun_ShamanPerSett,G498)*tun_OutShaman)+Z498*(INDEX(tun_PriestShare,G498)*tun_OutPriest+INDEX(tun_ScribeShare,G498)*tun_OutScribe*INDEX(LM_Scribe,G498)+INDEX(tun_ScholarShare,G498)*tun_OutScholar*INDEX(LM_Scholar,G498)+INDEX(tun_ResearcherShare,G498)*tun_OutResearcher*INDEX(LM_Researcher,G498)))</x:f>
        <x:v>31648.137409500097</x:v>
      </x:c>
      <x:c r="AL498" s="32" t="n">
        <x:f>H498*tun_RoleScale*Arch_Roles*AE498*INDEX(tun_MonasteryPerSett,G498)*tun_OutMonastery*INDEX(LM_Monastery,G498)</x:f>
        <x:v>31.680000000000003</x:v>
      </x:c>
      <x:c r="AM498" s="32" t="n">
        <x:f>(AJ498+AK498+AL498)/4*INDEX(LM_All,G498)*INDEX(tun_Boon,G498)*Arch_Insight</x:f>
        <x:v>93998.59552479707</x:v>
      </x:c>
      <x:c r="AN498" s="32" t="n">
        <x:f>H498*(tun_KHPerAdult*Z498+tun_KHOfCommons*AJ498/4*INDEX(LM_All,G498))*tun_KHUsable*Arch_KH</x:f>
        <x:v>14311.785975893134</x:v>
      </x:c>
      <x:c r="AO498" s="32" t="n">
        <x:f>MIN(AP497+AN498,AM498*tun_KHMaxRatio)</x:f>
        <x:v>14311.785975893134</x:v>
      </x:c>
      <x:c r="AP498" s="32" t="n">
        <x:f>AP497+AN498-AO498</x:f>
        <x:v>0</x:v>
      </x:c>
      <x:c r="AQ498" s="32" t="n">
        <x:f>AM498+AO498</x:f>
        <x:v>108310.3815006902</x:v>
      </x:c>
      <x:c r="AR498" s="10" t="n">
        <x:f>IF(H498=1,INDEX(tun_Req,G498),0)</x:f>
        <x:v>24497531.045680594</x:v>
      </x:c>
      <x:c r="AS498" s="32" t="n">
        <x:f>IF(H498=1,IF(E498=1,AS497-AR497,AS497)+AQ498,0)</x:f>
        <x:v>368176.78925448086</x:v>
      </x:c>
      <x:c r="AT498" s="11" t="n">
        <x:f>IF(AR498&gt;0,MIN(1,AS498/AR498),1)</x:f>
        <x:v>0.015029138592290827</x:v>
      </x:c>
      <x:c r="AU498" s="10" t="n">
        <x:f>AB498/INDEX(tun_RepScale,G498)</x:f>
        <x:v>165.71688372613346</x:v>
      </x:c>
      <x:c r="AV498" s="32" t="n">
        <x:f>AM498*60/tun_SeasonSeconds</x:f>
        <x:v>375994.3820991883</x:v>
      </x:c>
    </x:row>
    <x:row r="499">
      <x:c r="A499" s="8" t="n">
        <x:f>A498+1</x:f>
        <x:v>496</x:v>
      </x:c>
      <x:c r="B499" s="9" t="n">
        <x:f>A499*tun_SeasonSeconds/60</x:f>
        <x:v>124</x:v>
      </x:c>
      <x:c r="C499" s="9" t="n">
        <x:f>A499/4</x:f>
        <x:v>124</x:v>
      </x:c>
      <x:c r="D499" s="8" t="n">
        <x:f>IF(MOD(A499,4)=0,1,0)</x:f>
        <x:v>1</x:v>
      </x:c>
      <x:c r="E499" s="8" t="n">
        <x:f>IF(AND(F498&lt;=9,AS498&gt;=AR498),1,0)</x:f>
        <x:v>0</x:v>
      </x:c>
      <x:c r="F499" s="8" t="n">
        <x:f>MIN(10,F498+E499)</x:f>
        <x:v>8</x:v>
      </x:c>
      <x:c r="G499" s="8" t="n">
        <x:f>MIN(F499,9)+1</x:f>
        <x:v>9</x:v>
      </x:c>
      <x:c r="H499" s="8" t="n">
        <x:f>IF(F499&lt;=9,1,0)</x:f>
        <x:v>1</x:v>
      </x:c>
      <x:c r="I499" s="9" t="n">
        <x:f>MIN(10,F498+IF(AR498&gt;0,MIN(1,AS498/AR498),1))</x:f>
        <x:v>8.015029138592292</x:v>
      </x:c>
      <x:c r="J499" s="32" t="n">
        <x:f>INDEX(tun_FoodCap,G499)*Arch_FoodCap*EXP(tun_CapsByProject*SUMPRODUCT((Cap_Point&lt;=I499)*(Cap_Kind="Food")*Cap_Ln))</x:f>
        <x:v>4514.300360064293</x:v>
      </x:c>
      <x:c r="K499" s="32" t="n">
        <x:f>J499*MIN(1,tun_LeanBase*EXP(tun_CapsByProject*SUMPRODUCT((Cap_Point&lt;=I499)*(Cap_Kind="Lean")*Cap_Ln)))</x:f>
        <x:v>4514.300360064293</x:v>
      </x:c>
      <x:c r="L499" s="10" t="n">
        <x:f>INDEX(tun_HousingCap,G499)*EXP(tun_CapsByProject*SUMPRODUCT((Cap_Point&lt;=I499)*(Cap_Kind="Housing")*Cap_Ln))</x:f>
        <x:v>5983.37642068151</x:v>
      </x:c>
      <x:c r="M499" s="10" t="n">
        <x:f>INDEX(tun_GroupCap,G499)*tun_CohesionFactor*EXP(tun_CapsByProject*SUMPRODUCT((Cap_Point&lt;=I499)*(Cap_Kind="Group")*Cap_Ln))</x:f>
        <x:v>1000000.000000001</x:v>
      </x:c>
      <x:c r="N499" s="32" t="n">
        <x:f>MIN(J499,L499,M499)</x:f>
        <x:v>4514.300360064293</x:v>
      </x:c>
      <x:c r="O499" s="10" t="n">
        <x:f>AE498*N499</x:f>
        <x:v>40628.70324057864</x:v>
      </x:c>
      <x:c r="P499" s="9" t="n">
        <x:f>MIN(1,(AB498/(AE498*IF(tun_GroupInCrowding=1,N499,MIN(J499,L499))))^tun_CrowdingExp)</x:f>
        <x:v>1</x:v>
      </x:c>
      <x:c r="Q499" s="9" t="n">
        <x:f>IF(D499=1,INDEX(tun_WinterMult,G499),1)</x:f>
        <x:v>1.05</x:v>
      </x:c>
      <x:c r="R499" s="9" t="n">
        <x:f>H499*Z498*tun_WomenShare*tun_BaseFertility*INDEX(tun_FertMult,G499)*Arch_Fertility*(1-P499)</x:f>
        <x:v>0</x:v>
      </x:c>
      <x:c r="S499" s="9" t="n">
        <x:f>H499*Y498*INDEX(tun_MortChild,G499)/4*Q499</x:f>
        <x:v>25.558031093829072</x:v>
      </x:c>
      <x:c r="T499" s="9" t="n">
        <x:f>H499*Z498*INDEX(tun_MortAdult,G499)*Arch_AdultMort/4*Q499</x:f>
        <x:v>11.97068410953261</x:v>
      </x:c>
      <x:c r="U499" s="9" t="n">
        <x:f>H499*AA498*INDEX(tun_MortElder,G499)/4*Q499</x:f>
        <x:v>39.7775397598026</x:v>
      </x:c>
      <x:c r="V499" s="9" t="n">
        <x:f>H499*MAX(0,AB498-O499)*tun_OvercapLoss</x:f>
        <x:v>80.05176909547299</x:v>
      </x:c>
      <x:c r="W499" s="9" t="n">
        <x:f>H499*Y498/(tun_ChildYears*4)</x:f>
        <x:v>386.36479355750674</x:v>
      </x:c>
      <x:c r="X499" s="9" t="n">
        <x:f>H499*Z498/(tun_AdultYears*4)</x:f>
        <x:v>122.58765089127098</x:v>
      </x:c>
      <x:c r="Y499" s="32" t="n">
        <x:f>Y498+R499-S499-W499-Y498*V499/AB498</x:f>
        <x:v>21182.698543749884</x:v>
      </x:c>
      <x:c r="Z499" s="32" t="n">
        <x:f>Z498+W499-X499-T499-Z498*V499/AB498</x:f>
        <x:v>15423.303232921415</x:v>
      </x:c>
      <x:c r="AA499" s="32" t="n">
        <x:f>AA498+X499-U499-AA498*V499/AB498</x:f>
        <x:v>4665.861130803437</x:v>
      </x:c>
      <x:c r="AB499" s="10" t="n">
        <x:f>Y499+Z499+AA499</x:f>
        <x:v>41271.86290747474</x:v>
      </x:c>
      <x:c r="AC499" s="8" t="n">
        <x:f>IF(AND(tun_WinterTrigger=1,D499=1,AB498/AE498&gt;=K499),1,0)</x:f>
        <x:v>1</x:v>
      </x:c>
      <x:c r="AD499" s="8" t="n">
        <x:f>H499*IF(AND(OR(AB498/AE498&gt;=tun_FissionTrigger*N499,AC499=1),AB498/AE498*tun_DaughterShare&gt;=tun_MinDaughter),MAX(1,ROUND(AE498*tun_FissionRate,0)),0)</x:f>
        <x:v>3</x:v>
      </x:c>
      <x:c r="AE499" s="8" t="n">
        <x:f>IF(H499=1,MAX(1,MIN(INDEX(tun_Smax,G499),AE498+AD499)),AE498)</x:f>
        <x:v>9</x:v>
      </x:c>
      <x:c r="AF499" s="8" t="n">
        <x:f>MAX(0,AE499-AE498)</x:f>
        <x:v>0</x:v>
      </x:c>
      <x:c r="AG499" s="9" t="str">
        <x:f>IF(AF499&gt;0,B499,"")</x:f>
      </x:c>
      <x:c r="AH499" s="9" t="n">
        <x:f>IF(F499&gt;=1,1,(1+tun_LowTiesShare*(AE499-1))/AE499)</x:f>
        <x:v>1</x:v>
      </x:c>
      <x:c r="AI499" s="32" t="n">
        <x:f>(Z499+tun_ElderCommons*INDEX(LM_Elder,G499)*AA499)*AH499</x:f>
        <x:v>32920.2824734343</x:v>
      </x:c>
      <x:c r="AJ499" s="32" t="n">
        <x:f>H499*tun_CommonsCoef*AI499^tun_CommonsExp*INDEX(LM_Commons,G499)</x:f>
        <x:v>100077.43119887795</x:v>
      </x:c>
      <x:c r="AK499" s="32" t="n">
        <x:f>H499*tun_RoleScale*Arch_Roles*(AE499*(INDEX(tun_ElderRolePerSett,G499)*tun_OutElder*INDEX(LM_Elder,G499)+INDEX(tun_ShamanPerSett,G499)*tun_OutShaman)+Z499*(INDEX(tun_PriestShare,G499)*tun_OutPriest+INDEX(tun_ScribeShare,G499)*tun_OutScribe*INDEX(LM_Scribe,G499)+INDEX(tun_ScholarShare,G499)*tun_OutScholar*INDEX(LM_Scholar,G499)+INDEX(tun_ResearcherShare,G499)*tun_OutResearcher*INDEX(LM_Researcher,G499)))</x:f>
        <x:v>32107.689220238055</x:v>
      </x:c>
      <x:c r="AL499" s="32" t="n">
        <x:f>H499*tun_RoleScale*Arch_Roles*AE499*INDEX(tun_MonasteryPerSett,G499)*tun_OutMonastery*INDEX(LM_Monastery,G499)</x:f>
        <x:v>31.680000000000003</x:v>
      </x:c>
      <x:c r="AM499" s="32" t="n">
        <x:f>(AJ499+AK499+AL499)/4*INDEX(LM_All,G499)*INDEX(tun_Boon,G499)*Arch_Insight</x:f>
        <x:v>95261.07756389285</x:v>
      </x:c>
      <x:c r="AN499" s="32" t="n">
        <x:f>H499*(tun_KHPerAdult*Z499+tun_KHOfCommons*AJ499/4*INDEX(LM_All,G499))*tun_KHUsable*Arch_KH</x:f>
        <x:v>14499.070350673092</x:v>
      </x:c>
      <x:c r="AO499" s="32" t="n">
        <x:f>MIN(AP498+AN499,AM499*tun_KHMaxRatio)</x:f>
        <x:v>14499.070350673092</x:v>
      </x:c>
      <x:c r="AP499" s="32" t="n">
        <x:f>AP498+AN499-AO499</x:f>
        <x:v>0</x:v>
      </x:c>
      <x:c r="AQ499" s="32" t="n">
        <x:f>AM499+AO499</x:f>
        <x:v>109760.14791456594</x:v>
      </x:c>
      <x:c r="AR499" s="10" t="n">
        <x:f>IF(H499=1,INDEX(tun_Req,G499),0)</x:f>
        <x:v>24497531.045680594</x:v>
      </x:c>
      <x:c r="AS499" s="32" t="n">
        <x:f>IF(H499=1,IF(E499=1,AS498-AR498,AS498)+AQ499,0)</x:f>
        <x:v>477936.9371690468</x:v>
      </x:c>
      <x:c r="AT499" s="11" t="n">
        <x:f>IF(AR499&gt;0,MIN(1,AS499/AR499),1)</x:f>
        <x:v>0.01950959614166166</x:v>
      </x:c>
      <x:c r="AU499" s="10" t="n">
        <x:f>AB499/INDEX(tun_RepScale,G499)</x:f>
        <x:v>165.08745162989894</x:v>
      </x:c>
      <x:c r="AV499" s="32" t="n">
        <x:f>AM499*60/tun_SeasonSeconds</x:f>
        <x:v>381044.3102555714</x:v>
      </x:c>
    </x:row>
    <x:row r="500">
      <x:c r="A500" s="8" t="n">
        <x:f>A499+1</x:f>
        <x:v>497</x:v>
      </x:c>
      <x:c r="B500" s="9" t="n">
        <x:f>A500*tun_SeasonSeconds/60</x:f>
        <x:v>124.25</x:v>
      </x:c>
      <x:c r="C500" s="9" t="n">
        <x:f>A500/4</x:f>
        <x:v>124.25</x:v>
      </x:c>
      <x:c r="D500" s="8" t="n">
        <x:f>IF(MOD(A500,4)=0,1,0)</x:f>
        <x:v>0</x:v>
      </x:c>
      <x:c r="E500" s="8" t="n">
        <x:f>IF(AND(F499&lt;=9,AS499&gt;=AR499),1,0)</x:f>
        <x:v>0</x:v>
      </x:c>
      <x:c r="F500" s="8" t="n">
        <x:f>MIN(10,F499+E500)</x:f>
        <x:v>8</x:v>
      </x:c>
      <x:c r="G500" s="8" t="n">
        <x:f>MIN(F500,9)+1</x:f>
        <x:v>9</x:v>
      </x:c>
      <x:c r="H500" s="8" t="n">
        <x:f>IF(F500&lt;=9,1,0)</x:f>
        <x:v>1</x:v>
      </x:c>
      <x:c r="I500" s="9" t="n">
        <x:f>MIN(10,F499+IF(AR499&gt;0,MIN(1,AS499/AR499),1))</x:f>
        <x:v>8.019509596141662</x:v>
      </x:c>
      <x:c r="J500" s="32" t="n">
        <x:f>INDEX(tun_FoodCap,G500)*Arch_FoodCap*EXP(tun_CapsByProject*SUMPRODUCT((Cap_Point&lt;=I500)*(Cap_Kind="Food")*Cap_Ln))</x:f>
        <x:v>4514.300360064293</x:v>
      </x:c>
      <x:c r="K500" s="32" t="n">
        <x:f>J500*MIN(1,tun_LeanBase*EXP(tun_CapsByProject*SUMPRODUCT((Cap_Point&lt;=I500)*(Cap_Kind="Lean")*Cap_Ln)))</x:f>
        <x:v>4514.300360064293</x:v>
      </x:c>
      <x:c r="L500" s="10" t="n">
        <x:f>INDEX(tun_HousingCap,G500)*EXP(tun_CapsByProject*SUMPRODUCT((Cap_Point&lt;=I500)*(Cap_Kind="Housing")*Cap_Ln))</x:f>
        <x:v>5983.37642068151</x:v>
      </x:c>
      <x:c r="M500" s="10" t="n">
        <x:f>INDEX(tun_GroupCap,G500)*tun_CohesionFactor*EXP(tun_CapsByProject*SUMPRODUCT((Cap_Point&lt;=I500)*(Cap_Kind="Group")*Cap_Ln))</x:f>
        <x:v>1000000.000000001</x:v>
      </x:c>
      <x:c r="N500" s="32" t="n">
        <x:f>MIN(J500,L500,M500)</x:f>
        <x:v>4514.300360064293</x:v>
      </x:c>
      <x:c r="O500" s="10" t="n">
        <x:f>AE499*N500</x:f>
        <x:v>40628.70324057864</x:v>
      </x:c>
      <x:c r="P500" s="9" t="n">
        <x:f>MIN(1,(AB499/(AE499*IF(tun_GroupInCrowding=1,N500,MIN(J500,L500))))^tun_CrowdingExp)</x:f>
        <x:v>1</x:v>
      </x:c>
      <x:c r="Q500" s="9" t="n">
        <x:f>IF(D500=1,INDEX(tun_WinterMult,G500),1)</x:f>
        <x:v>1</x:v>
      </x:c>
      <x:c r="R500" s="9" t="n">
        <x:f>H500*Z499*tun_WomenShare*tun_BaseFertility*INDEX(tun_FertMult,G500)*Arch_Fertility*(1-P500)</x:f>
        <x:v>0</x:v>
      </x:c>
      <x:c r="S500" s="9" t="n">
        <x:f>H500*Y499*INDEX(tun_MortChild,G500)/4*Q500</x:f>
        <x:v>23.83053586171862</x:v>
      </x:c>
      <x:c r="T500" s="9" t="n">
        <x:f>H500*Z499*INDEX(tun_MortAdult,G500)*Arch_AdultMort/4*Q500</x:f>
        <x:v>11.567477424691061</x:v>
      </x:c>
      <x:c r="U500" s="9" t="n">
        <x:f>H500*AA499*INDEX(tun_MortElder,G500)/4*Q500</x:f>
        <x:v>38.49335432912836</x:v>
      </x:c>
      <x:c r="V500" s="9" t="n">
        <x:f>H500*MAX(0,AB499-O500)*tun_OvercapLoss</x:f>
        <x:v>64.31596668960992</x:v>
      </x:c>
      <x:c r="W500" s="9" t="n">
        <x:f>H500*Y499/(tun_ChildYears*4)</x:f>
        <x:v>378.26247399553364</x:v>
      </x:c>
      <x:c r="X500" s="9" t="n">
        <x:f>H500*Z499/(tun_AdultYears*4)</x:f>
        <x:v>124.38147768485013</x:v>
      </x:c>
      <x:c r="Y500" s="32" t="n">
        <x:f>Y499+R500-S500-W500-Y499*V500/AB499</x:f>
        <x:v>20747.59549659458</x:v>
      </x:c>
      <x:c r="Z500" s="32" t="n">
        <x:f>Z499+W500-X500-T500-Z499*V500/AB499</x:f>
        <x:v>15641.581862488352</x:v>
      </x:c>
      <x:c r="AA500" s="32" t="n">
        <x:f>AA499+X500-U500-AA499*V500/AB499</x:f>
        <x:v>4744.478214086656</x:v>
      </x:c>
      <x:c r="AB500" s="10" t="n">
        <x:f>Y500+Z500+AA500</x:f>
        <x:v>41133.65557316959</x:v>
      </x:c>
      <x:c r="AC500" s="8" t="n">
        <x:f>IF(AND(tun_WinterTrigger=1,D500=1,AB499/AE499&gt;=K500),1,0)</x:f>
        <x:v>0</x:v>
      </x:c>
      <x:c r="AD500" s="8" t="n">
        <x:f>H500*IF(AND(OR(AB499/AE499&gt;=tun_FissionTrigger*N500,AC500=1),AB499/AE499*tun_DaughterShare&gt;=tun_MinDaughter),MAX(1,ROUND(AE499*tun_FissionRate,0)),0)</x:f>
        <x:v>3</x:v>
      </x:c>
      <x:c r="AE500" s="8" t="n">
        <x:f>IF(H500=1,MAX(1,MIN(INDEX(tun_Smax,G500),AE499+AD500)),AE499)</x:f>
        <x:v>9</x:v>
      </x:c>
      <x:c r="AF500" s="8" t="n">
        <x:f>MAX(0,AE500-AE499)</x:f>
        <x:v>0</x:v>
      </x:c>
      <x:c r="AG500" s="9" t="str">
        <x:f>IF(AF500&gt;0,B500,"")</x:f>
      </x:c>
      <x:c r="AH500" s="9" t="n">
        <x:f>IF(F500&gt;=1,1,(1+tun_LowTiesShare*(AE500-1))/AE500)</x:f>
        <x:v>1</x:v>
      </x:c>
      <x:c r="AI500" s="32" t="n">
        <x:f>(Z500+tun_ElderCommons*INDEX(LM_Elder,G500)*AA500)*AH500</x:f>
        <x:v>33433.375165313315</x:v>
      </x:c>
      <x:c r="AJ500" s="32" t="n">
        <x:f>H500*tun_CommonsCoef*AI500^tun_CommonsExp*INDEX(LM_Commons,G500)</x:f>
        <x:v>101401.71906455049</x:v>
      </x:c>
      <x:c r="AK500" s="32" t="n">
        <x:f>H500*tun_RoleScale*Arch_Roles*(AE500*(INDEX(tun_ElderRolePerSett,G500)*tun_OutElder*INDEX(LM_Elder,G500)+INDEX(tun_ShamanPerSett,G500)*tun_OutShaman)+Z500*(INDEX(tun_PriestShare,G500)*tun_OutPriest+INDEX(tun_ScribeShare,G500)*tun_OutScribe*INDEX(LM_Scribe,G500)+INDEX(tun_ScholarShare,G500)*tun_OutScholar*INDEX(LM_Scholar,G500)+INDEX(tun_ResearcherShare,G500)*tun_OutResearcher*INDEX(LM_Researcher,G500)))</x:f>
        <x:v>32558.65491737377</x:v>
      </x:c>
      <x:c r="AL500" s="32" t="n">
        <x:f>H500*tun_RoleScale*Arch_Roles*AE500*INDEX(tun_MonasteryPerSett,G500)*tun_OutMonastery*INDEX(LM_Monastery,G500)</x:f>
        <x:v>31.680000000000003</x:v>
      </x:c>
      <x:c r="AM500" s="32" t="n">
        <x:f>(AJ500+AK500+AL500)/4*INDEX(LM_All,G500)*INDEX(tun_Boon,G500)*Arch_Insight</x:f>
        <x:v>96540.13262199577</x:v>
      </x:c>
      <x:c r="AN500" s="32" t="n">
        <x:f>H500*(tun_KHPerAdult*Z500+tun_KHOfCommons*AJ500/4*INDEX(LM_All,G500))*tun_KHUsable*Arch_KH</x:f>
        <x:v>14690.931219791244</x:v>
      </x:c>
      <x:c r="AO500" s="32" t="n">
        <x:f>MIN(AP499+AN500,AM500*tun_KHMaxRatio)</x:f>
        <x:v>14690.931219791244</x:v>
      </x:c>
      <x:c r="AP500" s="32" t="n">
        <x:f>AP499+AN500-AO500</x:f>
        <x:v>0</x:v>
      </x:c>
      <x:c r="AQ500" s="32" t="n">
        <x:f>AM500+AO500</x:f>
        <x:v>111231.06384178702</x:v>
      </x:c>
      <x:c r="AR500" s="10" t="n">
        <x:f>IF(H500=1,INDEX(tun_Req,G500),0)</x:f>
        <x:v>24497531.045680594</x:v>
      </x:c>
      <x:c r="AS500" s="32" t="n">
        <x:f>IF(H500=1,IF(E500=1,AS499-AR499,AS499)+AQ500,0)</x:f>
        <x:v>589168.0010108338</x:v>
      </x:c>
      <x:c r="AT500" s="11" t="n">
        <x:f>IF(AR500&gt;0,MIN(1,AS500/AR500),1)</x:f>
        <x:v>0.024050097126612924</x:v>
      </x:c>
      <x:c r="AU500" s="10" t="n">
        <x:f>AB500/INDEX(tun_RepScale,G500)</x:f>
        <x:v>164.53462229267836</x:v>
      </x:c>
      <x:c r="AV500" s="32" t="n">
        <x:f>AM500*60/tun_SeasonSeconds</x:f>
        <x:v>386160.5304879831</x:v>
      </x:c>
    </x:row>
    <x:row r="501">
      <x:c r="A501" s="8" t="n">
        <x:f>A500+1</x:f>
        <x:v>498</x:v>
      </x:c>
      <x:c r="B501" s="9" t="n">
        <x:f>A501*tun_SeasonSeconds/60</x:f>
        <x:v>124.5</x:v>
      </x:c>
      <x:c r="C501" s="9" t="n">
        <x:f>A501/4</x:f>
        <x:v>124.5</x:v>
      </x:c>
      <x:c r="D501" s="8" t="n">
        <x:f>IF(MOD(A501,4)=0,1,0)</x:f>
        <x:v>0</x:v>
      </x:c>
      <x:c r="E501" s="8" t="n">
        <x:f>IF(AND(F500&lt;=9,AS500&gt;=AR500),1,0)</x:f>
        <x:v>0</x:v>
      </x:c>
      <x:c r="F501" s="8" t="n">
        <x:f>MIN(10,F500+E501)</x:f>
        <x:v>8</x:v>
      </x:c>
      <x:c r="G501" s="8" t="n">
        <x:f>MIN(F501,9)+1</x:f>
        <x:v>9</x:v>
      </x:c>
      <x:c r="H501" s="8" t="n">
        <x:f>IF(F501&lt;=9,1,0)</x:f>
        <x:v>1</x:v>
      </x:c>
      <x:c r="I501" s="9" t="n">
        <x:f>MIN(10,F500+IF(AR500&gt;0,MIN(1,AS500/AR500),1))</x:f>
        <x:v>8.024050097126613</x:v>
      </x:c>
      <x:c r="J501" s="32" t="n">
        <x:f>INDEX(tun_FoodCap,G501)*Arch_FoodCap*EXP(tun_CapsByProject*SUMPRODUCT((Cap_Point&lt;=I501)*(Cap_Kind="Food")*Cap_Ln))</x:f>
        <x:v>4514.300360064293</x:v>
      </x:c>
      <x:c r="K501" s="32" t="n">
        <x:f>J501*MIN(1,tun_LeanBase*EXP(tun_CapsByProject*SUMPRODUCT((Cap_Point&lt;=I501)*(Cap_Kind="Lean")*Cap_Ln)))</x:f>
        <x:v>4514.300360064293</x:v>
      </x:c>
      <x:c r="L501" s="10" t="n">
        <x:f>INDEX(tun_HousingCap,G501)*EXP(tun_CapsByProject*SUMPRODUCT((Cap_Point&lt;=I501)*(Cap_Kind="Housing")*Cap_Ln))</x:f>
        <x:v>5983.37642068151</x:v>
      </x:c>
      <x:c r="M501" s="10" t="n">
        <x:f>INDEX(tun_GroupCap,G501)*tun_CohesionFactor*EXP(tun_CapsByProject*SUMPRODUCT((Cap_Point&lt;=I501)*(Cap_Kind="Group")*Cap_Ln))</x:f>
        <x:v>1000000.000000001</x:v>
      </x:c>
      <x:c r="N501" s="32" t="n">
        <x:f>MIN(J501,L501,M501)</x:f>
        <x:v>4514.300360064293</x:v>
      </x:c>
      <x:c r="O501" s="10" t="n">
        <x:f>AE500*N501</x:f>
        <x:v>40628.70324057864</x:v>
      </x:c>
      <x:c r="P501" s="9" t="n">
        <x:f>MIN(1,(AB500/(AE500*IF(tun_GroupInCrowding=1,N501,MIN(J501,L501))))^tun_CrowdingExp)</x:f>
        <x:v>1</x:v>
      </x:c>
      <x:c r="Q501" s="9" t="n">
        <x:f>IF(D501=1,INDEX(tun_WinterMult,G501),1)</x:f>
        <x:v>1</x:v>
      </x:c>
      <x:c r="R501" s="9" t="n">
        <x:f>H501*Z500*tun_WomenShare*tun_BaseFertility*INDEX(tun_FertMult,G501)*Arch_Fertility*(1-P501)</x:f>
        <x:v>0</x:v>
      </x:c>
      <x:c r="S501" s="9" t="n">
        <x:f>H501*Y500*INDEX(tun_MortChild,G501)/4*Q501</x:f>
        <x:v>23.3410449336689</x:v>
      </x:c>
      <x:c r="T501" s="9" t="n">
        <x:f>H501*Z500*INDEX(tun_MortAdult,G501)*Arch_AdultMort/4*Q501</x:f>
        <x:v>11.731186396866265</x:v>
      </x:c>
      <x:c r="U501" s="9" t="n">
        <x:f>H501*AA500*INDEX(tun_MortElder,G501)/4*Q501</x:f>
        <x:v>39.14194526621492</x:v>
      </x:c>
      <x:c r="V501" s="9" t="n">
        <x:f>H501*MAX(0,AB500-O501)*tun_OvercapLoss</x:f>
        <x:v>50.49523325909541</x:v>
      </x:c>
      <x:c r="W501" s="9" t="n">
        <x:f>H501*Y500/(tun_ChildYears*4)</x:f>
        <x:v>370.4927767249032</x:v>
      </x:c>
      <x:c r="X501" s="9" t="n">
        <x:f>H501*Z500/(tun_AdultYears*4)</x:f>
        <x:v>126.14178921361574</x:v>
      </x:c>
      <x:c r="Y501" s="32" t="n">
        <x:f>Y500+R501-S501-W501-Y500*V501/AB500</x:f>
        <x:v>20328.2921498095</x:v>
      </x:c>
      <x:c r="Z501" s="32" t="n">
        <x:f>Z500+W501-X501-T501-Z500*V501/AB500</x:f>
        <x:v>15855.000225907</x:v>
      </x:c>
      <x:c r="AA501" s="32" t="n">
        <x:f>AA500+X501-U501-AA500*V501/AB500</x:f>
        <x:v>4825.653787597241</x:v>
      </x:c>
      <x:c r="AB501" s="10" t="n">
        <x:f>Y501+Z501+AA501</x:f>
        <x:v>41008.94616331374</x:v>
      </x:c>
      <x:c r="AC501" s="8" t="n">
        <x:f>IF(AND(tun_WinterTrigger=1,D501=1,AB500/AE500&gt;=K501),1,0)</x:f>
        <x:v>0</x:v>
      </x:c>
      <x:c r="AD501" s="8" t="n">
        <x:f>H501*IF(AND(OR(AB500/AE500&gt;=tun_FissionTrigger*N501,AC501=1),AB500/AE500*tun_DaughterShare&gt;=tun_MinDaughter),MAX(1,ROUND(AE500*tun_FissionRate,0)),0)</x:f>
        <x:v>3</x:v>
      </x:c>
      <x:c r="AE501" s="8" t="n">
        <x:f>IF(H501=1,MAX(1,MIN(INDEX(tun_Smax,G501),AE500+AD501)),AE500)</x:f>
        <x:v>9</x:v>
      </x:c>
      <x:c r="AF501" s="8" t="n">
        <x:f>MAX(0,AE501-AE500)</x:f>
        <x:v>0</x:v>
      </x:c>
      <x:c r="AG501" s="9" t="str">
        <x:f>IF(AF501&gt;0,B501,"")</x:f>
      </x:c>
      <x:c r="AH501" s="9" t="n">
        <x:f>IF(F501&gt;=1,1,(1+tun_LowTiesShare*(AE501-1))/AE501)</x:f>
        <x:v>1</x:v>
      </x:c>
      <x:c r="AI501" s="32" t="n">
        <x:f>(Z501+tun_ElderCommons*INDEX(LM_Elder,G501)*AA501)*AH501</x:f>
        <x:v>33951.20192939665</x:v>
      </x:c>
      <x:c r="AJ501" s="32" t="n">
        <x:f>H501*tun_CommonsCoef*AI501^tun_CommonsExp*INDEX(LM_Commons,G501)</x:f>
        <x:v>102735.13827889197</x:v>
      </x:c>
      <x:c r="AK501" s="32" t="n">
        <x:f>H501*tun_RoleScale*Arch_Roles*(AE501*(INDEX(tun_ElderRolePerSett,G501)*tun_OutElder*INDEX(LM_Elder,G501)+INDEX(tun_ShamanPerSett,G501)*tun_OutShaman)+Z501*(INDEX(tun_PriestShare,G501)*tun_OutPriest+INDEX(tun_ScribeShare,G501)*tun_OutScribe*INDEX(LM_Scribe,G501)+INDEX(tun_ScholarShare,G501)*tun_OutScholar*INDEX(LM_Scholar,G501)+INDEX(tun_ResearcherShare,G501)*tun_OutResearcher*INDEX(LM_Researcher,G501)))</x:f>
        <x:v>32999.57925903563</x:v>
      </x:c>
      <x:c r="AL501" s="32" t="n">
        <x:f>H501*tun_RoleScale*Arch_Roles*AE501*INDEX(tun_MonasteryPerSett,G501)*tun_OutMonastery*INDEX(LM_Monastery,G501)</x:f>
        <x:v>31.680000000000003</x:v>
      </x:c>
      <x:c r="AM501" s="32" t="n">
        <x:f>(AJ501+AK501+AL501)/4*INDEX(LM_All,G501)*INDEX(tun_Boon,G501)*Arch_Insight</x:f>
        <x:v>97818.5320279535</x:v>
      </x:c>
      <x:c r="AN501" s="32" t="n">
        <x:f>H501*(tun_KHPerAdult*Z501+tun_KHOfCommons*AJ501/4*INDEX(LM_All,G501))*tun_KHUsable*Arch_KH</x:f>
        <x:v>14884.115025211433</x:v>
      </x:c>
      <x:c r="AO501" s="32" t="n">
        <x:f>MIN(AP500+AN501,AM501*tun_KHMaxRatio)</x:f>
        <x:v>14884.115025211433</x:v>
      </x:c>
      <x:c r="AP501" s="32" t="n">
        <x:f>AP500+AN501-AO501</x:f>
        <x:v>0</x:v>
      </x:c>
      <x:c r="AQ501" s="32" t="n">
        <x:f>AM501+AO501</x:f>
        <x:v>112702.64705316492</x:v>
      </x:c>
      <x:c r="AR501" s="10" t="n">
        <x:f>IF(H501=1,INDEX(tun_Req,G501),0)</x:f>
        <x:v>24497531.045680594</x:v>
      </x:c>
      <x:c r="AS501" s="32" t="n">
        <x:f>IF(H501=1,IF(E501=1,AS500-AR500,AS500)+AQ501,0)</x:f>
        <x:v>701870.6480639987</x:v>
      </x:c>
      <x:c r="AT501" s="11" t="n">
        <x:f>IF(AR501&gt;0,MIN(1,AS501/AR501),1)</x:f>
        <x:v>0.02865066878597762</x:v>
      </x:c>
      <x:c r="AU501" s="10" t="n">
        <x:f>AB501/INDEX(tun_RepScale,G501)</x:f>
        <x:v>164.03578465325495</x:v>
      </x:c>
      <x:c r="AV501" s="32" t="n">
        <x:f>AM501*60/tun_SeasonSeconds</x:f>
        <x:v>391274.128111814</x:v>
      </x:c>
    </x:row>
    <x:row r="502">
      <x:c r="A502" s="8" t="n">
        <x:f>A501+1</x:f>
        <x:v>499</x:v>
      </x:c>
      <x:c r="B502" s="9" t="n">
        <x:f>A502*tun_SeasonSeconds/60</x:f>
        <x:v>124.75</x:v>
      </x:c>
      <x:c r="C502" s="9" t="n">
        <x:f>A502/4</x:f>
        <x:v>124.75</x:v>
      </x:c>
      <x:c r="D502" s="8" t="n">
        <x:f>IF(MOD(A502,4)=0,1,0)</x:f>
        <x:v>0</x:v>
      </x:c>
      <x:c r="E502" s="8" t="n">
        <x:f>IF(AND(F501&lt;=9,AS501&gt;=AR501),1,0)</x:f>
        <x:v>0</x:v>
      </x:c>
      <x:c r="F502" s="8" t="n">
        <x:f>MIN(10,F501+E502)</x:f>
        <x:v>8</x:v>
      </x:c>
      <x:c r="G502" s="8" t="n">
        <x:f>MIN(F502,9)+1</x:f>
        <x:v>9</x:v>
      </x:c>
      <x:c r="H502" s="8" t="n">
        <x:f>IF(F502&lt;=9,1,0)</x:f>
        <x:v>1</x:v>
      </x:c>
      <x:c r="I502" s="9" t="n">
        <x:f>MIN(10,F501+IF(AR501&gt;0,MIN(1,AS501/AR501),1))</x:f>
        <x:v>8.028650668785978</x:v>
      </x:c>
      <x:c r="J502" s="32" t="n">
        <x:f>INDEX(tun_FoodCap,G502)*Arch_FoodCap*EXP(tun_CapsByProject*SUMPRODUCT((Cap_Point&lt;=I502)*(Cap_Kind="Food")*Cap_Ln))</x:f>
        <x:v>4514.300360064293</x:v>
      </x:c>
      <x:c r="K502" s="32" t="n">
        <x:f>J502*MIN(1,tun_LeanBase*EXP(tun_CapsByProject*SUMPRODUCT((Cap_Point&lt;=I502)*(Cap_Kind="Lean")*Cap_Ln)))</x:f>
        <x:v>4514.300360064293</x:v>
      </x:c>
      <x:c r="L502" s="10" t="n">
        <x:f>INDEX(tun_HousingCap,G502)*EXP(tun_CapsByProject*SUMPRODUCT((Cap_Point&lt;=I502)*(Cap_Kind="Housing")*Cap_Ln))</x:f>
        <x:v>5983.37642068151</x:v>
      </x:c>
      <x:c r="M502" s="10" t="n">
        <x:f>INDEX(tun_GroupCap,G502)*tun_CohesionFactor*EXP(tun_CapsByProject*SUMPRODUCT((Cap_Point&lt;=I502)*(Cap_Kind="Group")*Cap_Ln))</x:f>
        <x:v>1000000.000000001</x:v>
      </x:c>
      <x:c r="N502" s="32" t="n">
        <x:f>MIN(J502,L502,M502)</x:f>
        <x:v>4514.300360064293</x:v>
      </x:c>
      <x:c r="O502" s="10" t="n">
        <x:f>AE501*N502</x:f>
        <x:v>40628.70324057864</x:v>
      </x:c>
      <x:c r="P502" s="9" t="n">
        <x:f>MIN(1,(AB501/(AE501*IF(tun_GroupInCrowding=1,N502,MIN(J502,L502))))^tun_CrowdingExp)</x:f>
        <x:v>1</x:v>
      </x:c>
      <x:c r="Q502" s="9" t="n">
        <x:f>IF(D502=1,INDEX(tun_WinterMult,G502),1)</x:f>
        <x:v>1</x:v>
      </x:c>
      <x:c r="R502" s="9" t="n">
        <x:f>H502*Z501*tun_WomenShare*tun_BaseFertility*INDEX(tun_FertMult,G502)*Arch_Fertility*(1-P502)</x:f>
        <x:v>0</x:v>
      </x:c>
      <x:c r="S502" s="9" t="n">
        <x:f>H502*Y501*INDEX(tun_MortChild,G502)/4*Q502</x:f>
        <x:v>22.869328668535683</x:v>
      </x:c>
      <x:c r="T502" s="9" t="n">
        <x:f>H502*Z501*INDEX(tun_MortAdult,G502)*Arch_AdultMort/4*Q502</x:f>
        <x:v>11.89125016943025</x:v>
      </x:c>
      <x:c r="U502" s="9" t="n">
        <x:f>H502*AA501*INDEX(tun_MortElder,G502)/4*Q502</x:f>
        <x:v>39.81164374767724</x:v>
      </x:c>
      <x:c r="V502" s="9" t="n">
        <x:f>H502*MAX(0,AB501-O502)*tun_OvercapLoss</x:f>
        <x:v>38.02429227351022</x:v>
      </x:c>
      <x:c r="W502" s="9" t="n">
        <x:f>H502*Y501/(tun_ChildYears*4)</x:f>
        <x:v>363.0052169608839</x:v>
      </x:c>
      <x:c r="X502" s="9" t="n">
        <x:f>H502*Z501/(tun_AdultYears*4)</x:f>
        <x:v>127.8629050476371</x:v>
      </x:c>
      <x:c r="Y502" s="32" t="n">
        <x:f>Y501+R502-S502-W502-Y501*V502/AB501</x:f>
        <x:v>19923.56881642905</x:v>
      </x:c>
      <x:c r="Z502" s="32" t="n">
        <x:f>Z501+W502-X502-T502-Z501*V502/AB501</x:f>
        <x:v>16063.55022315173</x:v>
      </x:c>
      <x:c r="AA502" s="32" t="n">
        <x:f>AA501+X502-U502-AA501*V502/AB501</x:f>
        <x:v>4909.230608873806</x:v>
      </x:c>
      <x:c r="AB502" s="10" t="n">
        <x:f>Y502+Z502+AA502</x:f>
        <x:v>40896.34964845458</x:v>
      </x:c>
      <x:c r="AC502" s="8" t="n">
        <x:f>IF(AND(tun_WinterTrigger=1,D502=1,AB501/AE501&gt;=K502),1,0)</x:f>
        <x:v>0</x:v>
      </x:c>
      <x:c r="AD502" s="8" t="n">
        <x:f>H502*IF(AND(OR(AB501/AE501&gt;=tun_FissionTrigger*N502,AC502=1),AB501/AE501*tun_DaughterShare&gt;=tun_MinDaughter),MAX(1,ROUND(AE501*tun_FissionRate,0)),0)</x:f>
        <x:v>3</x:v>
      </x:c>
      <x:c r="AE502" s="8" t="n">
        <x:f>IF(H502=1,MAX(1,MIN(INDEX(tun_Smax,G502),AE501+AD502)),AE501)</x:f>
        <x:v>9</x:v>
      </x:c>
      <x:c r="AF502" s="8" t="n">
        <x:f>MAX(0,AE502-AE501)</x:f>
        <x:v>0</x:v>
      </x:c>
      <x:c r="AG502" s="9" t="str">
        <x:f>IF(AF502&gt;0,B502,"")</x:f>
      </x:c>
      <x:c r="AH502" s="9" t="n">
        <x:f>IF(F502&gt;=1,1,(1+tun_LowTiesShare*(AE502-1))/AE502)</x:f>
        <x:v>1</x:v>
      </x:c>
      <x:c r="AI502" s="32" t="n">
        <x:f>(Z502+tun_ElderCommons*INDEX(LM_Elder,G502)*AA502)*AH502</x:f>
        <x:v>34473.1650064285</x:v>
      </x:c>
      <x:c r="AJ502" s="32" t="n">
        <x:f>H502*tun_CommonsCoef*AI502^tun_CommonsExp*INDEX(LM_Commons,G502)</x:f>
        <x:v>104076.12490121456</x:v>
      </x:c>
      <x:c r="AK502" s="32" t="n">
        <x:f>H502*tun_RoleScale*Arch_Roles*(AE502*(INDEX(tun_ElderRolePerSett,G502)*tun_OutElder*INDEX(LM_Elder,G502)+INDEX(tun_ShamanPerSett,G502)*tun_OutShaman)+Z502*(INDEX(tun_PriestShare,G502)*tun_OutPriest+INDEX(tun_ScribeShare,G502)*tun_OutScribe*INDEX(LM_Scribe,G502)+INDEX(tun_ScholarShare,G502)*tun_OutScholar*INDEX(LM_Scholar,G502)+INDEX(tun_ResearcherShare,G502)*tun_OutResearcher*INDEX(LM_Researcher,G502)))</x:f>
        <x:v>33430.445510494654</x:v>
      </x:c>
      <x:c r="AL502" s="32" t="n">
        <x:f>H502*tun_RoleScale*Arch_Roles*AE502*INDEX(tun_MonasteryPerSett,G502)*tun_OutMonastery*INDEX(LM_Monastery,G502)</x:f>
        <x:v>31.680000000000003</x:v>
      </x:c>
      <x:c r="AM502" s="32" t="n">
        <x:f>(AJ502+AK502+AL502)/4*INDEX(LM_All,G502)*INDEX(tun_Boon,G502)*Arch_Insight</x:f>
        <x:v>99095.13691860331</x:v>
      </x:c>
      <x:c r="AN502" s="32" t="n">
        <x:f>H502*(tun_KHPerAdult*Z502+tun_KHOfCommons*AJ502/4*INDEX(LM_All,G502))*tun_KHUsable*Arch_KH</x:f>
        <x:v>15078.395185517791</x:v>
      </x:c>
      <x:c r="AO502" s="32" t="n">
        <x:f>MIN(AP501+AN502,AM502*tun_KHMaxRatio)</x:f>
        <x:v>15078.395185517791</x:v>
      </x:c>
      <x:c r="AP502" s="32" t="n">
        <x:f>AP501+AN502-AO502</x:f>
        <x:v>0</x:v>
      </x:c>
      <x:c r="AQ502" s="32" t="n">
        <x:f>AM502+AO502</x:f>
        <x:v>114173.5321041211</x:v>
      </x:c>
      <x:c r="AR502" s="10" t="n">
        <x:f>IF(H502=1,INDEX(tun_Req,G502),0)</x:f>
        <x:v>24497531.045680594</x:v>
      </x:c>
      <x:c r="AS502" s="32" t="n">
        <x:f>IF(H502=1,IF(E502=1,AS501-AR501,AS501)+AQ502,0)</x:f>
        <x:v>816044.1801681197</x:v>
      </x:c>
      <x:c r="AT502" s="11" t="n">
        <x:f>IF(AR502&gt;0,MIN(1,AS502/AR502),1)</x:f>
        <x:v>0.03331128262054003</x:v>
      </x:c>
      <x:c r="AU502" s="10" t="n">
        <x:f>AB502/INDEX(tun_RepScale,G502)</x:f>
        <x:v>163.58539859381833</x:v>
      </x:c>
      <x:c r="AV502" s="32" t="n">
        <x:f>AM502*60/tun_SeasonSeconds</x:f>
        <x:v>396380.54767441325</x:v>
      </x:c>
    </x:row>
    <x:row r="503">
      <x:c r="A503" s="8" t="n">
        <x:f>A502+1</x:f>
        <x:v>500</x:v>
      </x:c>
      <x:c r="B503" s="9" t="n">
        <x:f>A503*tun_SeasonSeconds/60</x:f>
        <x:v>125</x:v>
      </x:c>
      <x:c r="C503" s="9" t="n">
        <x:f>A503/4</x:f>
        <x:v>125</x:v>
      </x:c>
      <x:c r="D503" s="8" t="n">
        <x:f>IF(MOD(A503,4)=0,1,0)</x:f>
        <x:v>1</x:v>
      </x:c>
      <x:c r="E503" s="8" t="n">
        <x:f>IF(AND(F502&lt;=9,AS502&gt;=AR502),1,0)</x:f>
        <x:v>0</x:v>
      </x:c>
      <x:c r="F503" s="8" t="n">
        <x:f>MIN(10,F502+E503)</x:f>
        <x:v>8</x:v>
      </x:c>
      <x:c r="G503" s="8" t="n">
        <x:f>MIN(F503,9)+1</x:f>
        <x:v>9</x:v>
      </x:c>
      <x:c r="H503" s="8" t="n">
        <x:f>IF(F503&lt;=9,1,0)</x:f>
        <x:v>1</x:v>
      </x:c>
      <x:c r="I503" s="9" t="n">
        <x:f>MIN(10,F502+IF(AR502&gt;0,MIN(1,AS502/AR502),1))</x:f>
        <x:v>8.03331128262054</x:v>
      </x:c>
      <x:c r="J503" s="32" t="n">
        <x:f>INDEX(tun_FoodCap,G503)*Arch_FoodCap*EXP(tun_CapsByProject*SUMPRODUCT((Cap_Point&lt;=I503)*(Cap_Kind="Food")*Cap_Ln))</x:f>
        <x:v>4514.300360064293</x:v>
      </x:c>
      <x:c r="K503" s="32" t="n">
        <x:f>J503*MIN(1,tun_LeanBase*EXP(tun_CapsByProject*SUMPRODUCT((Cap_Point&lt;=I503)*(Cap_Kind="Lean")*Cap_Ln)))</x:f>
        <x:v>4514.300360064293</x:v>
      </x:c>
      <x:c r="L503" s="10" t="n">
        <x:f>INDEX(tun_HousingCap,G503)*EXP(tun_CapsByProject*SUMPRODUCT((Cap_Point&lt;=I503)*(Cap_Kind="Housing")*Cap_Ln))</x:f>
        <x:v>5983.37642068151</x:v>
      </x:c>
      <x:c r="M503" s="10" t="n">
        <x:f>INDEX(tun_GroupCap,G503)*tun_CohesionFactor*EXP(tun_CapsByProject*SUMPRODUCT((Cap_Point&lt;=I503)*(Cap_Kind="Group")*Cap_Ln))</x:f>
        <x:v>1000000.000000001</x:v>
      </x:c>
      <x:c r="N503" s="32" t="n">
        <x:f>MIN(J503,L503,M503)</x:f>
        <x:v>4514.300360064293</x:v>
      </x:c>
      <x:c r="O503" s="10" t="n">
        <x:f>AE502*N503</x:f>
        <x:v>40628.70324057864</x:v>
      </x:c>
      <x:c r="P503" s="9" t="n">
        <x:f>MIN(1,(AB502/(AE502*IF(tun_GroupInCrowding=1,N503,MIN(J503,L503))))^tun_CrowdingExp)</x:f>
        <x:v>1</x:v>
      </x:c>
      <x:c r="Q503" s="9" t="n">
        <x:f>IF(D503=1,INDEX(tun_WinterMult,G503),1)</x:f>
        <x:v>1.05</x:v>
      </x:c>
      <x:c r="R503" s="9" t="n">
        <x:f>H503*Z502*tun_WomenShare*tun_BaseFertility*INDEX(tun_FertMult,G503)*Arch_Fertility*(1-P503)</x:f>
        <x:v>0</x:v>
      </x:c>
      <x:c r="S503" s="9" t="n">
        <x:f>H503*Y502*INDEX(tun_MortChild,G503)/4*Q503</x:f>
        <x:v>23.534715664406818</x:v>
      </x:c>
      <x:c r="T503" s="9" t="n">
        <x:f>H503*Z502*INDEX(tun_MortAdult,G503)*Arch_AdultMort/4*Q503</x:f>
        <x:v>12.650045800731988</x:v>
      </x:c>
      <x:c r="U503" s="9" t="n">
        <x:f>H503*AA502*INDEX(tun_MortElder,G503)/4*Q503</x:f>
        <x:v>42.52621014936935</x:v>
      </x:c>
      <x:c r="V503" s="9" t="n">
        <x:f>H503*MAX(0,AB502-O503)*tun_OvercapLoss</x:f>
        <x:v>26.764640787594544</x:v>
      </x:c>
      <x:c r="W503" s="9" t="n">
        <x:f>H503*Y502/(tun_ChildYears*4)</x:f>
        <x:v>355.7780145790902</x:v>
      </x:c>
      <x:c r="X503" s="9" t="n">
        <x:f>H503*Z502/(tun_AdultYears*4)</x:f>
        <x:v>129.54475986412686</x:v>
      </x:c>
      <x:c r="Y503" s="32" t="n">
        <x:f>Y502+R503-S503-W503-Y502*V503/AB502</x:f>
        <x:v>19531.21709451118</x:v>
      </x:c>
      <x:c r="Z503" s="32" t="n">
        <x:f>Z502+W503-X503-T503-Z502*V503/AB502</x:f>
        <x:v>16266.62063189695</x:v>
      </x:c>
      <x:c r="AA503" s="32" t="n">
        <x:f>AA502+X503-U503-AA502*V503/AB502</x:f>
        <x:v>4993.036309644356</x:v>
      </x:c>
      <x:c r="AB503" s="10" t="n">
        <x:f>Y503+Z503+AA503</x:f>
        <x:v>40790.87403605248</x:v>
      </x:c>
      <x:c r="AC503" s="8" t="n">
        <x:f>IF(AND(tun_WinterTrigger=1,D503=1,AB502/AE502&gt;=K503),1,0)</x:f>
        <x:v>1</x:v>
      </x:c>
      <x:c r="AD503" s="8" t="n">
        <x:f>H503*IF(AND(OR(AB502/AE502&gt;=tun_FissionTrigger*N503,AC503=1),AB502/AE502*tun_DaughterShare&gt;=tun_MinDaughter),MAX(1,ROUND(AE502*tun_FissionRate,0)),0)</x:f>
        <x:v>3</x:v>
      </x:c>
      <x:c r="AE503" s="8" t="n">
        <x:f>IF(H503=1,MAX(1,MIN(INDEX(tun_Smax,G503),AE502+AD503)),AE502)</x:f>
        <x:v>9</x:v>
      </x:c>
      <x:c r="AF503" s="8" t="n">
        <x:f>MAX(0,AE503-AE502)</x:f>
        <x:v>0</x:v>
      </x:c>
      <x:c r="AG503" s="9" t="str">
        <x:f>IF(AF503&gt;0,B503,"")</x:f>
      </x:c>
      <x:c r="AH503" s="9" t="n">
        <x:f>IF(F503&gt;=1,1,(1+tun_LowTiesShare*(AE503-1))/AE503)</x:f>
        <x:v>1</x:v>
      </x:c>
      <x:c r="AI503" s="32" t="n">
        <x:f>(Z503+tun_ElderCommons*INDEX(LM_Elder,G503)*AA503)*AH503</x:f>
        <x:v>34990.50679306329</x:v>
      </x:c>
      <x:c r="AJ503" s="32" t="n">
        <x:f>H503*tun_CommonsCoef*AI503^tun_CommonsExp*INDEX(LM_Commons,G503)</x:f>
        <x:v>105402.23671807407</x:v>
      </x:c>
      <x:c r="AK503" s="32" t="n">
        <x:f>H503*tun_RoleScale*Arch_Roles*(AE503*(INDEX(tun_ElderRolePerSett,G503)*tun_OutElder*INDEX(LM_Elder,G503)+INDEX(tun_ShamanPerSett,G503)*tun_OutShaman)+Z503*(INDEX(tun_PriestShare,G503)*tun_OutPriest+INDEX(tun_ScribeShare,G503)*tun_OutScribe*INDEX(LM_Scribe,G503)+INDEX(tun_ScholarShare,G503)*tun_OutScholar*INDEX(LM_Scholar,G503)+INDEX(tun_ResearcherShare,G503)*tun_OutResearcher*INDEX(LM_Researcher,G503)))</x:f>
        <x:v>33849.99088069014</x:v>
      </x:c>
      <x:c r="AL503" s="32" t="n">
        <x:f>H503*tun_RoleScale*Arch_Roles*AE503*INDEX(tun_MonasteryPerSett,G503)*tun_OutMonastery*INDEX(LM_Monastery,G503)</x:f>
        <x:v>31.680000000000003</x:v>
      </x:c>
      <x:c r="AM503" s="32" t="n">
        <x:f>(AJ503+AK503+AL503)/4*INDEX(LM_All,G503)*INDEX(tun_Boon,G503)*Arch_Insight</x:f>
        <x:v>100352.86804028283</x:v>
      </x:c>
      <x:c r="AN503" s="32" t="n">
        <x:f>H503*(tun_KHPerAdult*Z503+tun_KHOfCommons*AJ503/4*INDEX(LM_All,G503))*tun_KHUsable*Arch_KH</x:f>
        <x:v>15270.520305988715</x:v>
      </x:c>
      <x:c r="AO503" s="32" t="n">
        <x:f>MIN(AP502+AN503,AM503*tun_KHMaxRatio)</x:f>
        <x:v>15270.520305988715</x:v>
      </x:c>
      <x:c r="AP503" s="32" t="n">
        <x:f>AP502+AN503-AO503</x:f>
        <x:v>0</x:v>
      </x:c>
      <x:c r="AQ503" s="32" t="n">
        <x:f>AM503+AO503</x:f>
        <x:v>115623.38834627155</x:v>
      </x:c>
      <x:c r="AR503" s="10" t="n">
        <x:f>IF(H503=1,INDEX(tun_Req,G503),0)</x:f>
        <x:v>24497531.045680594</x:v>
      </x:c>
      <x:c r="AS503" s="32" t="n">
        <x:f>IF(H503=1,IF(E503=1,AS502-AR502,AS502)+AQ503,0)</x:f>
        <x:v>931667.5685143913</x:v>
      </x:c>
      <x:c r="AT503" s="11" t="n">
        <x:f>IF(AR503&gt;0,MIN(1,AS503/AR503),1)</x:f>
        <x:v>0.038031080225068764</x:v>
      </x:c>
      <x:c r="AU503" s="10" t="n">
        <x:f>AB503/INDEX(tun_RepScale,G503)</x:f>
        <x:v>163.16349614420994</x:v>
      </x:c>
      <x:c r="AV503" s="32" t="n">
        <x:f>AM503*60/tun_SeasonSeconds</x:f>
        <x:v>401411.4721611313</x:v>
      </x:c>
    </x:row>
    <x:row r="504">
      <x:c r="A504" s="8" t="n">
        <x:f>A503+1</x:f>
        <x:v>501</x:v>
      </x:c>
      <x:c r="B504" s="9" t="n">
        <x:f>A504*tun_SeasonSeconds/60</x:f>
        <x:v>125.25</x:v>
      </x:c>
      <x:c r="C504" s="9" t="n">
        <x:f>A504/4</x:f>
        <x:v>125.25</x:v>
      </x:c>
      <x:c r="D504" s="8" t="n">
        <x:f>IF(MOD(A504,4)=0,1,0)</x:f>
        <x:v>0</x:v>
      </x:c>
      <x:c r="E504" s="8" t="n">
        <x:f>IF(AND(F503&lt;=9,AS503&gt;=AR503),1,0)</x:f>
        <x:v>0</x:v>
      </x:c>
      <x:c r="F504" s="8" t="n">
        <x:f>MIN(10,F503+E504)</x:f>
        <x:v>8</x:v>
      </x:c>
      <x:c r="G504" s="8" t="n">
        <x:f>MIN(F504,9)+1</x:f>
        <x:v>9</x:v>
      </x:c>
      <x:c r="H504" s="8" t="n">
        <x:f>IF(F504&lt;=9,1,0)</x:f>
        <x:v>1</x:v>
      </x:c>
      <x:c r="I504" s="9" t="n">
        <x:f>MIN(10,F503+IF(AR503&gt;0,MIN(1,AS503/AR503),1))</x:f>
        <x:v>8.03803108022507</x:v>
      </x:c>
      <x:c r="J504" s="32" t="n">
        <x:f>INDEX(tun_FoodCap,G504)*Arch_FoodCap*EXP(tun_CapsByProject*SUMPRODUCT((Cap_Point&lt;=I504)*(Cap_Kind="Food")*Cap_Ln))</x:f>
        <x:v>4514.300360064293</x:v>
      </x:c>
      <x:c r="K504" s="32" t="n">
        <x:f>J504*MIN(1,tun_LeanBase*EXP(tun_CapsByProject*SUMPRODUCT((Cap_Point&lt;=I504)*(Cap_Kind="Lean")*Cap_Ln)))</x:f>
        <x:v>4514.300360064293</x:v>
      </x:c>
      <x:c r="L504" s="10" t="n">
        <x:f>INDEX(tun_HousingCap,G504)*EXP(tun_CapsByProject*SUMPRODUCT((Cap_Point&lt;=I504)*(Cap_Kind="Housing")*Cap_Ln))</x:f>
        <x:v>5983.37642068151</x:v>
      </x:c>
      <x:c r="M504" s="10" t="n">
        <x:f>INDEX(tun_GroupCap,G504)*tun_CohesionFactor*EXP(tun_CapsByProject*SUMPRODUCT((Cap_Point&lt;=I504)*(Cap_Kind="Group")*Cap_Ln))</x:f>
        <x:v>1000000.000000001</x:v>
      </x:c>
      <x:c r="N504" s="32" t="n">
        <x:f>MIN(J504,L504,M504)</x:f>
        <x:v>4514.300360064293</x:v>
      </x:c>
      <x:c r="O504" s="10" t="n">
        <x:f>AE503*N504</x:f>
        <x:v>40628.70324057864</x:v>
      </x:c>
      <x:c r="P504" s="9" t="n">
        <x:f>MIN(1,(AB503/(AE503*IF(tun_GroupInCrowding=1,N504,MIN(J504,L504))))^tun_CrowdingExp)</x:f>
        <x:v>1</x:v>
      </x:c>
      <x:c r="Q504" s="9" t="n">
        <x:f>IF(D504=1,INDEX(tun_WinterMult,G504),1)</x:f>
        <x:v>1</x:v>
      </x:c>
      <x:c r="R504" s="9" t="n">
        <x:f>H504*Z503*tun_WomenShare*tun_BaseFertility*INDEX(tun_FertMult,G504)*Arch_Fertility*(1-P504)</x:f>
        <x:v>0</x:v>
      </x:c>
      <x:c r="S504" s="9" t="n">
        <x:f>H504*Y503*INDEX(tun_MortChild,G504)/4*Q504</x:f>
        <x:v>21.972619231325076</x:v>
      </x:c>
      <x:c r="T504" s="9" t="n">
        <x:f>H504*Z503*INDEX(tun_MortAdult,G504)*Arch_AdultMort/4*Q504</x:f>
        <x:v>12.199965473922713</x:v>
      </x:c>
      <x:c r="U504" s="9" t="n">
        <x:f>H504*AA503*INDEX(tun_MortElder,G504)/4*Q504</x:f>
        <x:v>41.19254955456594</x:v>
      </x:c>
      <x:c r="V504" s="9" t="n">
        <x:f>H504*MAX(0,AB503-O504)*tun_OvercapLoss</x:f>
        <x:v>16.217079547384493</x:v>
      </x:c>
      <x:c r="W504" s="9" t="n">
        <x:f>H504*Y503/(tun_ChildYears*4)</x:f>
        <x:v>348.7717338305568</x:v>
      </x:c>
      <x:c r="X504" s="9" t="n">
        <x:f>H504*Z503/(tun_AdultYears*4)</x:f>
        <x:v>131.18242445078187</x:v>
      </x:c>
      <x:c r="Y504" s="32" t="n">
        <x:f>Y503+R504-S504-W504-Y503*V504/AB503</x:f>
        <x:v>19152.70778644983</x:v>
      </x:c>
      <x:c r="Z504" s="32" t="n">
        <x:f>Z503+W504-X504-T504-Z503*V504/AB503</x:f>
        <x:v>16465.542914554706</x:v>
      </x:c>
      <x:c r="AA504" s="32" t="n">
        <x:f>AA503+X504-U504-AA503*V504/AB503</x:f>
        <x:v>5081.0411212407535</x:v>
      </x:c>
      <x:c r="AB504" s="10" t="n">
        <x:f>Y504+Z504+AA504</x:f>
        <x:v>40699.29182224529</x:v>
      </x:c>
      <x:c r="AC504" s="8" t="n">
        <x:f>IF(AND(tun_WinterTrigger=1,D504=1,AB503/AE503&gt;=K504),1,0)</x:f>
        <x:v>0</x:v>
      </x:c>
      <x:c r="AD504" s="8" t="n">
        <x:f>H504*IF(AND(OR(AB503/AE503&gt;=tun_FissionTrigger*N504,AC504=1),AB503/AE503*tun_DaughterShare&gt;=tun_MinDaughter),MAX(1,ROUND(AE503*tun_FissionRate,0)),0)</x:f>
        <x:v>3</x:v>
      </x:c>
      <x:c r="AE504" s="8" t="n">
        <x:f>IF(H504=1,MAX(1,MIN(INDEX(tun_Smax,G504),AE503+AD504)),AE503)</x:f>
        <x:v>9</x:v>
      </x:c>
      <x:c r="AF504" s="8" t="n">
        <x:f>MAX(0,AE504-AE503)</x:f>
        <x:v>0</x:v>
      </x:c>
      <x:c r="AG504" s="9" t="str">
        <x:f>IF(AF504&gt;0,B504,"")</x:f>
      </x:c>
      <x:c r="AH504" s="9" t="n">
        <x:f>IF(F504&gt;=1,1,(1+tun_LowTiesShare*(AE504-1))/AE504)</x:f>
        <x:v>1</x:v>
      </x:c>
      <x:c r="AI504" s="32" t="n">
        <x:f>(Z504+tun_ElderCommons*INDEX(LM_Elder,G504)*AA504)*AH504</x:f>
        <x:v>35519.44711920753</x:v>
      </x:c>
      <x:c r="AJ504" s="32" t="n">
        <x:f>H504*tun_CommonsCoef*AI504^tun_CommonsExp*INDEX(LM_Commons,G504)</x:f>
        <x:v>106755.04225147098</x:v>
      </x:c>
      <x:c r="AK504" s="32" t="n">
        <x:f>H504*tun_RoleScale*Arch_Roles*(AE504*(INDEX(tun_ElderRolePerSett,G504)*tun_OutElder*INDEX(LM_Elder,G504)+INDEX(tun_ShamanPerSett,G504)*tun_OutShaman)+Z504*(INDEX(tun_PriestShare,G504)*tun_OutPriest+INDEX(tun_ScribeShare,G504)*tun_OutScribe*INDEX(LM_Scribe,G504)+INDEX(tun_ScholarShare,G504)*tun_OutScholar*INDEX(LM_Scholar,G504)+INDEX(tun_ResearcherShare,G504)*tun_OutResearcher*INDEX(LM_Researcher,G504)))</x:f>
        <x:v>34260.96618346054</x:v>
      </x:c>
      <x:c r="AL504" s="32" t="n">
        <x:f>H504*tun_RoleScale*Arch_Roles*AE504*INDEX(tun_MonasteryPerSett,G504)*tun_OutMonastery*INDEX(LM_Monastery,G504)</x:f>
        <x:v>31.680000000000003</x:v>
      </x:c>
      <x:c r="AM504" s="32" t="n">
        <x:f>(AJ504+AK504+AL504)/4*INDEX(LM_All,G504)*INDEX(tun_Boon,G504)*Arch_Insight</x:f>
        <x:v>101623.65709664507</x:v>
      </x:c>
      <x:c r="AN504" s="32" t="n">
        <x:f>H504*(tun_KHPerAdult*Z504+tun_KHOfCommons*AJ504/4*INDEX(LM_All,G504))*tun_KHUsable*Arch_KH</x:f>
        <x:v>15466.512772667076</x:v>
      </x:c>
      <x:c r="AO504" s="32" t="n">
        <x:f>MIN(AP503+AN504,AM504*tun_KHMaxRatio)</x:f>
        <x:v>15466.512772667076</x:v>
      </x:c>
      <x:c r="AP504" s="32" t="n">
        <x:f>AP503+AN504-AO504</x:f>
        <x:v>0</x:v>
      </x:c>
      <x:c r="AQ504" s="32" t="n">
        <x:f>AM504+AO504</x:f>
        <x:v>117090.16986931214</x:v>
      </x:c>
      <x:c r="AR504" s="10" t="n">
        <x:f>IF(H504=1,INDEX(tun_Req,G504),0)</x:f>
        <x:v>24497531.045680594</x:v>
      </x:c>
      <x:c r="AS504" s="32" t="n">
        <x:f>IF(H504=1,IF(E504=1,AS503-AR503,AS503)+AQ504,0)</x:f>
        <x:v>1048757.7383837034</x:v>
      </x:c>
      <x:c r="AT504" s="11" t="n">
        <x:f>IF(AR504&gt;0,MIN(1,AS504/AR504),1)</x:f>
        <x:v>0.04281075249697951</x:v>
      </x:c>
      <x:c r="AU504" s="10" t="n">
        <x:f>AB504/INDEX(tun_RepScale,G504)</x:f>
        <x:v>162.79716728898117</x:v>
      </x:c>
      <x:c r="AV504" s="32" t="n">
        <x:f>AM504*60/tun_SeasonSeconds</x:f>
        <x:v>406494.62838658027</x:v>
      </x:c>
    </x:row>
    <x:row r="505">
      <x:c r="A505" s="8" t="n">
        <x:f>A504+1</x:f>
        <x:v>502</x:v>
      </x:c>
      <x:c r="B505" s="9" t="n">
        <x:f>A505*tun_SeasonSeconds/60</x:f>
        <x:v>125.5</x:v>
      </x:c>
      <x:c r="C505" s="9" t="n">
        <x:f>A505/4</x:f>
        <x:v>125.5</x:v>
      </x:c>
      <x:c r="D505" s="8" t="n">
        <x:f>IF(MOD(A505,4)=0,1,0)</x:f>
        <x:v>0</x:v>
      </x:c>
      <x:c r="E505" s="8" t="n">
        <x:f>IF(AND(F504&lt;=9,AS504&gt;=AR504),1,0)</x:f>
        <x:v>0</x:v>
      </x:c>
      <x:c r="F505" s="8" t="n">
        <x:f>MIN(10,F504+E505)</x:f>
        <x:v>8</x:v>
      </x:c>
      <x:c r="G505" s="8" t="n">
        <x:f>MIN(F505,9)+1</x:f>
        <x:v>9</x:v>
      </x:c>
      <x:c r="H505" s="8" t="n">
        <x:f>IF(F505&lt;=9,1,0)</x:f>
        <x:v>1</x:v>
      </x:c>
      <x:c r="I505" s="9" t="n">
        <x:f>MIN(10,F504+IF(AR504&gt;0,MIN(1,AS504/AR504),1))</x:f>
        <x:v>8.04281075249698</x:v>
      </x:c>
      <x:c r="J505" s="32" t="n">
        <x:f>INDEX(tun_FoodCap,G505)*Arch_FoodCap*EXP(tun_CapsByProject*SUMPRODUCT((Cap_Point&lt;=I505)*(Cap_Kind="Food")*Cap_Ln))</x:f>
        <x:v>4514.300360064293</x:v>
      </x:c>
      <x:c r="K505" s="32" t="n">
        <x:f>J505*MIN(1,tun_LeanBase*EXP(tun_CapsByProject*SUMPRODUCT((Cap_Point&lt;=I505)*(Cap_Kind="Lean")*Cap_Ln)))</x:f>
        <x:v>4514.300360064293</x:v>
      </x:c>
      <x:c r="L505" s="10" t="n">
        <x:f>INDEX(tun_HousingCap,G505)*EXP(tun_CapsByProject*SUMPRODUCT((Cap_Point&lt;=I505)*(Cap_Kind="Housing")*Cap_Ln))</x:f>
        <x:v>5983.37642068151</x:v>
      </x:c>
      <x:c r="M505" s="10" t="n">
        <x:f>INDEX(tun_GroupCap,G505)*tun_CohesionFactor*EXP(tun_CapsByProject*SUMPRODUCT((Cap_Point&lt;=I505)*(Cap_Kind="Group")*Cap_Ln))</x:f>
        <x:v>1000000.000000001</x:v>
      </x:c>
      <x:c r="N505" s="32" t="n">
        <x:f>MIN(J505,L505,M505)</x:f>
        <x:v>4514.300360064293</x:v>
      </x:c>
      <x:c r="O505" s="10" t="n">
        <x:f>AE504*N505</x:f>
        <x:v>40628.70324057864</x:v>
      </x:c>
      <x:c r="P505" s="9" t="n">
        <x:f>MIN(1,(AB504/(AE504*IF(tun_GroupInCrowding=1,N505,MIN(J505,L505))))^tun_CrowdingExp)</x:f>
        <x:v>1</x:v>
      </x:c>
      <x:c r="Q505" s="9" t="n">
        <x:f>IF(D505=1,INDEX(tun_WinterMult,G505),1)</x:f>
        <x:v>1</x:v>
      </x:c>
      <x:c r="R505" s="9" t="n">
        <x:f>H505*Z504*tun_WomenShare*tun_BaseFertility*INDEX(tun_FertMult,G505)*Arch_Fertility*(1-P505)</x:f>
        <x:v>0</x:v>
      </x:c>
      <x:c r="S505" s="9" t="n">
        <x:f>H505*Y504*INDEX(tun_MortChild,G505)/4*Q505</x:f>
        <x:v>21.546796259756057</x:v>
      </x:c>
      <x:c r="T505" s="9" t="n">
        <x:f>H505*Z504*INDEX(tun_MortAdult,G505)*Arch_AdultMort/4*Q505</x:f>
        <x:v>12.34915718591603</x:v>
      </x:c>
      <x:c r="U505" s="9" t="n">
        <x:f>H505*AA504*INDEX(tun_MortElder,G505)/4*Q505</x:f>
        <x:v>41.91858925023622</x:v>
      </x:c>
      <x:c r="V505" s="9" t="n">
        <x:f>H505*MAX(0,AB504-O505)*tun_OvercapLoss</x:f>
        <x:v>7.058858166665596</x:v>
      </x:c>
      <x:c r="W505" s="9" t="n">
        <x:f>H505*Y504/(tun_ChildYears*4)</x:f>
        <x:v>342.012639043747</x:v>
      </x:c>
      <x:c r="X505" s="9" t="n">
        <x:f>H505*Z504/(tun_AdultYears*4)</x:f>
        <x:v>132.78663640769923</x:v>
      </x:c>
      <x:c r="Y505" s="32" t="n">
        <x:f>Y504+R505-S505-W505-Y504*V505/AB504</x:f>
        <x:v>18785.82651821708</x:v>
      </x:c>
      <x:c r="Z505" s="32" t="n">
        <x:f>Z504+W505-X505-T505-Z504*V505/AB504</x:f>
        <x:v>16659.563987167843</x:v>
      </x:c>
      <x:c r="AA505" s="32" t="n">
        <x:f>AA504+X505-U505-AA504*V505/AB504</x:f>
        <x:v>5171.027915997794</x:v>
      </x:c>
      <x:c r="AB505" s="10" t="n">
        <x:f>Y505+Z505+AA505</x:f>
        <x:v>40616.41842138272</x:v>
      </x:c>
      <x:c r="AC505" s="8" t="n">
        <x:f>IF(AND(tun_WinterTrigger=1,D505=1,AB504/AE504&gt;=K505),1,0)</x:f>
        <x:v>0</x:v>
      </x:c>
      <x:c r="AD505" s="8" t="n">
        <x:f>H505*IF(AND(OR(AB504/AE504&gt;=tun_FissionTrigger*N505,AC505=1),AB504/AE504*tun_DaughterShare&gt;=tun_MinDaughter),MAX(1,ROUND(AE504*tun_FissionRate,0)),0)</x:f>
        <x:v>3</x:v>
      </x:c>
      <x:c r="AE505" s="8" t="n">
        <x:f>IF(H505=1,MAX(1,MIN(INDEX(tun_Smax,G505),AE504+AD505)),AE504)</x:f>
        <x:v>9</x:v>
      </x:c>
      <x:c r="AF505" s="8" t="n">
        <x:f>MAX(0,AE505-AE504)</x:f>
        <x:v>0</x:v>
      </x:c>
      <x:c r="AG505" s="9" t="str">
        <x:f>IF(AF505&gt;0,B505,"")</x:f>
      </x:c>
      <x:c r="AH505" s="9" t="n">
        <x:f>IF(F505&gt;=1,1,(1+tun_LowTiesShare*(AE505-1))/AE505)</x:f>
        <x:v>1</x:v>
      </x:c>
      <x:c r="AI505" s="32" t="n">
        <x:f>(Z505+tun_ElderCommons*INDEX(LM_Elder,G505)*AA505)*AH505</x:f>
        <x:v>36050.91867215957</x:v>
      </x:c>
      <x:c r="AJ505" s="32" t="n">
        <x:f>H505*tun_CommonsCoef*AI505^tun_CommonsExp*INDEX(LM_Commons,G505)</x:f>
        <x:v>108111.2814149139</x:v>
      </x:c>
      <x:c r="AK505" s="32" t="n">
        <x:f>H505*tun_RoleScale*Arch_Roles*(AE505*(INDEX(tun_ElderRolePerSett,G505)*tun_OutElder*INDEX(LM_Elder,G505)+INDEX(tun_ShamanPerSett,G505)*tun_OutShaman)+Z505*(INDEX(tun_PriestShare,G505)*tun_OutPriest+INDEX(tun_ScribeShare,G505)*tun_OutScribe*INDEX(LM_Scribe,G505)+INDEX(tun_ScholarShare,G505)*tun_OutScholar*INDEX(LM_Scholar,G505)+INDEX(tun_ResearcherShare,G505)*tun_OutResearcher*INDEX(LM_Researcher,G505)))</x:f>
        <x:v>34661.81554028304</x:v>
      </x:c>
      <x:c r="AL505" s="32" t="n">
        <x:f>H505*tun_RoleScale*Arch_Roles*AE505*INDEX(tun_MonasteryPerSett,G505)*tun_OutMonastery*INDEX(LM_Monastery,G505)</x:f>
        <x:v>31.680000000000003</x:v>
      </x:c>
      <x:c r="AM505" s="32" t="n">
        <x:f>(AJ505+AK505+AL505)/4*INDEX(LM_All,G505)*INDEX(tun_Boon,G505)*Arch_Insight</x:f>
        <x:v>102889.62439645147</x:v>
      </x:c>
      <x:c r="AN505" s="32" t="n">
        <x:f>H505*(tun_KHPerAdult*Z505+tun_KHOfCommons*AJ505/4*INDEX(LM_All,G505))*tun_KHUsable*Arch_KH</x:f>
        <x:v>15663.002698592722</x:v>
      </x:c>
      <x:c r="AO505" s="32" t="n">
        <x:f>MIN(AP504+AN505,AM505*tun_KHMaxRatio)</x:f>
        <x:v>15663.002698592722</x:v>
      </x:c>
      <x:c r="AP505" s="32" t="n">
        <x:f>AP504+AN505-AO505</x:f>
        <x:v>0</x:v>
      </x:c>
      <x:c r="AQ505" s="32" t="n">
        <x:f>AM505+AO505</x:f>
        <x:v>118552.6270950442</x:v>
      </x:c>
      <x:c r="AR505" s="10" t="n">
        <x:f>IF(H505=1,INDEX(tun_Req,G505),0)</x:f>
        <x:v>24497531.045680594</x:v>
      </x:c>
      <x:c r="AS505" s="32" t="n">
        <x:f>IF(H505=1,IF(E505=1,AS504-AR504,AS504)+AQ505,0)</x:f>
        <x:v>1167310.3654787475</x:v>
      </x:c>
      <x:c r="AT505" s="11" t="n">
        <x:f>IF(AR505&gt;0,MIN(1,AS505/AR505),1)</x:f>
        <x:v>0.04765012291655276</x:v>
      </x:c>
      <x:c r="AU505" s="10" t="n">
        <x:f>AB505/INDEX(tun_RepScale,G505)</x:f>
        <x:v>162.46567368553087</x:v>
      </x:c>
      <x:c r="AV505" s="32" t="n">
        <x:f>AM505*60/tun_SeasonSeconds</x:f>
        <x:v>411558.4975858059</x:v>
      </x:c>
    </x:row>
    <x:row r="506">
      <x:c r="A506" s="8" t="n">
        <x:f>A505+1</x:f>
        <x:v>503</x:v>
      </x:c>
      <x:c r="B506" s="9" t="n">
        <x:f>A506*tun_SeasonSeconds/60</x:f>
        <x:v>125.75</x:v>
      </x:c>
      <x:c r="C506" s="9" t="n">
        <x:f>A506/4</x:f>
        <x:v>125.75</x:v>
      </x:c>
      <x:c r="D506" s="8" t="n">
        <x:f>IF(MOD(A506,4)=0,1,0)</x:f>
        <x:v>0</x:v>
      </x:c>
      <x:c r="E506" s="8" t="n">
        <x:f>IF(AND(F505&lt;=9,AS505&gt;=AR505),1,0)</x:f>
        <x:v>0</x:v>
      </x:c>
      <x:c r="F506" s="8" t="n">
        <x:f>MIN(10,F505+E506)</x:f>
        <x:v>8</x:v>
      </x:c>
      <x:c r="G506" s="8" t="n">
        <x:f>MIN(F506,9)+1</x:f>
        <x:v>9</x:v>
      </x:c>
      <x:c r="H506" s="8" t="n">
        <x:f>IF(F506&lt;=9,1,0)</x:f>
        <x:v>1</x:v>
      </x:c>
      <x:c r="I506" s="9" t="n">
        <x:f>MIN(10,F505+IF(AR505&gt;0,MIN(1,AS505/AR505),1))</x:f>
        <x:v>8.047650122916552</x:v>
      </x:c>
      <x:c r="J506" s="32" t="n">
        <x:f>INDEX(tun_FoodCap,G506)*Arch_FoodCap*EXP(tun_CapsByProject*SUMPRODUCT((Cap_Point&lt;=I506)*(Cap_Kind="Food")*Cap_Ln))</x:f>
        <x:v>4514.300360064293</x:v>
      </x:c>
      <x:c r="K506" s="32" t="n">
        <x:f>J506*MIN(1,tun_LeanBase*EXP(tun_CapsByProject*SUMPRODUCT((Cap_Point&lt;=I506)*(Cap_Kind="Lean")*Cap_Ln)))</x:f>
        <x:v>4514.300360064293</x:v>
      </x:c>
      <x:c r="L506" s="10" t="n">
        <x:f>INDEX(tun_HousingCap,G506)*EXP(tun_CapsByProject*SUMPRODUCT((Cap_Point&lt;=I506)*(Cap_Kind="Housing")*Cap_Ln))</x:f>
        <x:v>5983.37642068151</x:v>
      </x:c>
      <x:c r="M506" s="10" t="n">
        <x:f>INDEX(tun_GroupCap,G506)*tun_CohesionFactor*EXP(tun_CapsByProject*SUMPRODUCT((Cap_Point&lt;=I506)*(Cap_Kind="Group")*Cap_Ln))</x:f>
        <x:v>1000000.000000001</x:v>
      </x:c>
      <x:c r="N506" s="32" t="n">
        <x:f>MIN(J506,L506,M506)</x:f>
        <x:v>4514.300360064293</x:v>
      </x:c>
      <x:c r="O506" s="10" t="n">
        <x:f>AE505*N506</x:f>
        <x:v>40628.70324057864</x:v>
      </x:c>
      <x:c r="P506" s="9" t="n">
        <x:f>MIN(1,(AB505/(AE505*IF(tun_GroupInCrowding=1,N506,MIN(J506,L506))))^tun_CrowdingExp)</x:f>
        <x:v>0.9981871629237892</x:v>
      </x:c>
      <x:c r="Q506" s="9" t="n">
        <x:f>IF(D506=1,INDEX(tun_WinterMult,G506),1)</x:f>
        <x:v>1</x:v>
      </x:c>
      <x:c r="R506" s="9" t="n">
        <x:f>H506*Z505*tun_WomenShare*tun_BaseFertility*INDEX(tun_FertMult,G506)*Arch_Fertility*(1-P506)</x:f>
        <x:v>1.0796884408826424</x:v>
      </x:c>
      <x:c r="S506" s="9" t="n">
        <x:f>H506*Y505*INDEX(tun_MortChild,G506)/4*Q506</x:f>
        <x:v>21.134054832994213</x:v>
      </x:c>
      <x:c r="T506" s="9" t="n">
        <x:f>H506*Z505*INDEX(tun_MortAdult,G506)*Arch_AdultMort/4*Q506</x:f>
        <x:v>12.494672990375882</x:v>
      </x:c>
      <x:c r="U506" s="9" t="n">
        <x:f>H506*AA505*INDEX(tun_MortElder,G506)/4*Q506</x:f>
        <x:v>42.6609803069818</x:v>
      </x:c>
      <x:c r="V506" s="9" t="n">
        <x:f>H506*MAX(0,AB505-O506)*tun_OvercapLoss</x:f>
        <x:v>0</x:v>
      </x:c>
      <x:c r="W506" s="9" t="n">
        <x:f>H506*Y505/(tun_ChildYears*4)</x:f>
        <x:v>335.461187825305</x:v>
      </x:c>
      <x:c r="X506" s="9" t="n">
        <x:f>H506*Z505/(tun_AdultYears*4)</x:f>
        <x:v>134.35132247716004</x:v>
      </x:c>
      <x:c r="Y506" s="32" t="n">
        <x:f>Y505+R506-S506-W506-Y505*V506/AB505</x:f>
        <x:v>18430.310963999662</x:v>
      </x:c>
      <x:c r="Z506" s="32" t="n">
        <x:f>Z505+W506-X506-T506-Z505*V506/AB505</x:f>
        <x:v>16848.179179525614</x:v>
      </x:c>
      <x:c r="AA506" s="32" t="n">
        <x:f>AA505+X506-U506-AA505*V506/AB505</x:f>
        <x:v>5262.718258167973</x:v>
      </x:c>
      <x:c r="AB506" s="10" t="n">
        <x:f>Y506+Z506+AA506</x:f>
        <x:v>40541.20840169325</x:v>
      </x:c>
      <x:c r="AC506" s="8" t="n">
        <x:f>IF(AND(tun_WinterTrigger=1,D506=1,AB505/AE505&gt;=K506),1,0)</x:f>
        <x:v>0</x:v>
      </x:c>
      <x:c r="AD506" s="8" t="n">
        <x:f>H506*IF(AND(OR(AB505/AE505&gt;=tun_FissionTrigger*N506,AC506=1),AB505/AE505*tun_DaughterShare&gt;=tun_MinDaughter),MAX(1,ROUND(AE505*tun_FissionRate,0)),0)</x:f>
        <x:v>3</x:v>
      </x:c>
      <x:c r="AE506" s="8" t="n">
        <x:f>IF(H506=1,MAX(1,MIN(INDEX(tun_Smax,G506),AE505+AD506)),AE505)</x:f>
        <x:v>9</x:v>
      </x:c>
      <x:c r="AF506" s="8" t="n">
        <x:f>MAX(0,AE506-AE505)</x:f>
        <x:v>0</x:v>
      </x:c>
      <x:c r="AG506" s="9" t="str">
        <x:f>IF(AF506&gt;0,B506,"")</x:f>
      </x:c>
      <x:c r="AH506" s="9" t="n">
        <x:f>IF(F506&gt;=1,1,(1+tun_LowTiesShare*(AE506-1))/AE506)</x:f>
        <x:v>1</x:v>
      </x:c>
      <x:c r="AI506" s="32" t="n">
        <x:f>(Z506+tun_ElderCommons*INDEX(LM_Elder,G506)*AA506)*AH506</x:f>
        <x:v>36583.37264765552</x:v>
      </x:c>
      <x:c r="AJ506" s="32" t="n">
        <x:f>H506*tun_CommonsCoef*AI506^tun_CommonsExp*INDEX(LM_Commons,G506)</x:f>
        <x:v>109467.0233939996</x:v>
      </x:c>
      <x:c r="AK506" s="32" t="n">
        <x:f>H506*tun_RoleScale*Arch_Roles*(AE506*(INDEX(tun_ElderRolePerSett,G506)*tun_OutElder*INDEX(LM_Elder,G506)+INDEX(tun_ShamanPerSett,G506)*tun_OutShaman)+Z506*(INDEX(tun_PriestShare,G506)*tun_OutPriest+INDEX(tun_ScribeShare,G506)*tun_OutScribe*INDEX(LM_Scribe,G506)+INDEX(tun_ScholarShare,G506)*tun_OutScholar*INDEX(LM_Scholar,G506)+INDEX(tun_ResearcherShare,G506)*tun_OutResearcher*INDEX(LM_Researcher,G506)))</x:f>
        <x:v>35051.496297766105</x:v>
      </x:c>
      <x:c r="AL506" s="32" t="n">
        <x:f>H506*tun_RoleScale*Arch_Roles*AE506*INDEX(tun_MonasteryPerSett,G506)*tun_OutMonastery*INDEX(LM_Monastery,G506)</x:f>
        <x:v>31.680000000000003</x:v>
      </x:c>
      <x:c r="AM506" s="32" t="n">
        <x:f>(AJ506+AK506+AL506)/4*INDEX(LM_All,G506)*INDEX(tun_Boon,G506)*Arch_Insight</x:f>
        <x:v>104147.18659855436</x:v>
      </x:c>
      <x:c r="AN506" s="32" t="n">
        <x:f>H506*(tun_KHPerAdult*Z506+tun_KHOfCommons*AJ506/4*INDEX(LM_All,G506))*tun_KHUsable*Arch_KH</x:f>
        <x:v>15859.420593183375</x:v>
      </x:c>
      <x:c r="AO506" s="32" t="n">
        <x:f>MIN(AP505+AN506,AM506*tun_KHMaxRatio)</x:f>
        <x:v>15859.420593183375</x:v>
      </x:c>
      <x:c r="AP506" s="32" t="n">
        <x:f>AP505+AN506-AO506</x:f>
        <x:v>0</x:v>
      </x:c>
      <x:c r="AQ506" s="32" t="n">
        <x:f>AM506+AO506</x:f>
        <x:v>120006.60719173773</x:v>
      </x:c>
      <x:c r="AR506" s="10" t="n">
        <x:f>IF(H506=1,INDEX(tun_Req,G506),0)</x:f>
        <x:v>24497531.045680594</x:v>
      </x:c>
      <x:c r="AS506" s="32" t="n">
        <x:f>IF(H506=1,IF(E506=1,AS505-AR505,AS505)+AQ506,0)</x:f>
        <x:v>1287316.9726704853</x:v>
      </x:c>
      <x:c r="AT506" s="11" t="n">
        <x:f>IF(AR506&gt;0,MIN(1,AS506/AR506),1)</x:f>
        <x:v>0.052548845443649926</x:v>
      </x:c>
      <x:c r="AU506" s="10" t="n">
        <x:f>AB506/INDEX(tun_RepScale,G506)</x:f>
        <x:v>162.164833606773</x:v>
      </x:c>
      <x:c r="AV506" s="32" t="n">
        <x:f>AM506*60/tun_SeasonSeconds</x:f>
        <x:v>416588.7463942174</x:v>
      </x:c>
    </x:row>
    <x:row r="507">
      <x:c r="A507" s="8" t="n">
        <x:f>A506+1</x:f>
        <x:v>504</x:v>
      </x:c>
      <x:c r="B507" s="9" t="n">
        <x:f>A507*tun_SeasonSeconds/60</x:f>
        <x:v>126</x:v>
      </x:c>
      <x:c r="C507" s="9" t="n">
        <x:f>A507/4</x:f>
        <x:v>126</x:v>
      </x:c>
      <x:c r="D507" s="8" t="n">
        <x:f>IF(MOD(A507,4)=0,1,0)</x:f>
        <x:v>1</x:v>
      </x:c>
      <x:c r="E507" s="8" t="n">
        <x:f>IF(AND(F506&lt;=9,AS506&gt;=AR506),1,0)</x:f>
        <x:v>0</x:v>
      </x:c>
      <x:c r="F507" s="8" t="n">
        <x:f>MIN(10,F506+E507)</x:f>
        <x:v>8</x:v>
      </x:c>
      <x:c r="G507" s="8" t="n">
        <x:f>MIN(F507,9)+1</x:f>
        <x:v>9</x:v>
      </x:c>
      <x:c r="H507" s="8" t="n">
        <x:f>IF(F507&lt;=9,1,0)</x:f>
        <x:v>1</x:v>
      </x:c>
      <x:c r="I507" s="9" t="n">
        <x:f>MIN(10,F506+IF(AR506&gt;0,MIN(1,AS506/AR506),1))</x:f>
        <x:v>8.05254884544365</x:v>
      </x:c>
      <x:c r="J507" s="32" t="n">
        <x:f>INDEX(tun_FoodCap,G507)*Arch_FoodCap*EXP(tun_CapsByProject*SUMPRODUCT((Cap_Point&lt;=I507)*(Cap_Kind="Food")*Cap_Ln))</x:f>
        <x:v>4514.300360064293</x:v>
      </x:c>
      <x:c r="K507" s="32" t="n">
        <x:f>J507*MIN(1,tun_LeanBase*EXP(tun_CapsByProject*SUMPRODUCT((Cap_Point&lt;=I507)*(Cap_Kind="Lean")*Cap_Ln)))</x:f>
        <x:v>4514.300360064293</x:v>
      </x:c>
      <x:c r="L507" s="10" t="n">
        <x:f>INDEX(tun_HousingCap,G507)*EXP(tun_CapsByProject*SUMPRODUCT((Cap_Point&lt;=I507)*(Cap_Kind="Housing")*Cap_Ln))</x:f>
        <x:v>5983.37642068151</x:v>
      </x:c>
      <x:c r="M507" s="10" t="n">
        <x:f>INDEX(tun_GroupCap,G507)*tun_CohesionFactor*EXP(tun_CapsByProject*SUMPRODUCT((Cap_Point&lt;=I507)*(Cap_Kind="Group")*Cap_Ln))</x:f>
        <x:v>1000000.000000001</x:v>
      </x:c>
      <x:c r="N507" s="32" t="n">
        <x:f>MIN(J507,L507,M507)</x:f>
        <x:v>4514.300360064293</x:v>
      </x:c>
      <x:c r="O507" s="10" t="n">
        <x:f>AE506*N507</x:f>
        <x:v>40628.70324057864</x:v>
      </x:c>
      <x:c r="P507" s="9" t="n">
        <x:f>MIN(1,(AB506/(AE506*IF(tun_GroupInCrowding=1,N507,MIN(J507,L507))))^tun_CrowdingExp)</x:f>
        <x:v>0.9871482286650647</x:v>
      </x:c>
      <x:c r="Q507" s="9" t="n">
        <x:f>IF(D507=1,INDEX(tun_WinterMult,G507),1)</x:f>
        <x:v>1.05</x:v>
      </x:c>
      <x:c r="R507" s="9" t="n">
        <x:f>H507*Z506*tun_WomenShare*tun_BaseFertility*INDEX(tun_FertMult,G507)*Arch_Fertility*(1-P507)</x:f>
        <x:v>7.740909827553804</x:v>
      </x:c>
      <x:c r="S507" s="9" t="n">
        <x:f>H507*Y506*INDEX(tun_MortChild,G507)/4*Q507</x:f>
        <x:v>21.770804826224598</x:v>
      </x:c>
      <x:c r="T507" s="9" t="n">
        <x:f>H507*Z506*INDEX(tun_MortAdult,G507)*Arch_AdultMort/4*Q507</x:f>
        <x:v>13.26794110387642</x:v>
      </x:c>
      <x:c r="U507" s="9" t="n">
        <x:f>H507*AA506*INDEX(tun_MortElder,G507)/4*Q507</x:f>
        <x:v>45.58829691138007</x:v>
      </x:c>
      <x:c r="V507" s="9" t="n">
        <x:f>H507*MAX(0,AB506-O507)*tun_OvercapLoss</x:f>
        <x:v>0</x:v>
      </x:c>
      <x:c r="W507" s="9" t="n">
        <x:f>H507*Y506/(tun_ChildYears*4)</x:f>
        <x:v>329.11269578570824</x:v>
      </x:c>
      <x:c r="X507" s="9" t="n">
        <x:f>H507*Z506/(tun_AdultYears*4)</x:f>
        <x:v>135.8724127381098</x:v>
      </x:c>
      <x:c r="Y507" s="32" t="n">
        <x:f>Y506+R507-S507-W507-Y506*V507/AB506</x:f>
        <x:v>18087.16837321528</x:v>
      </x:c>
      <x:c r="Z507" s="32" t="n">
        <x:f>Z506+W507-X507-T507-Z506*V507/AB506</x:f>
        <x:v>17028.151521469335</x:v>
      </x:c>
      <x:c r="AA507" s="32" t="n">
        <x:f>AA506+X507-U507-AA506*V507/AB506</x:f>
        <x:v>5353.002373994703</x:v>
      </x:c>
      <x:c r="AB507" s="10" t="n">
        <x:f>Y507+Z507+AA507</x:f>
        <x:v>40468.322268679316</x:v>
      </x:c>
      <x:c r="AC507" s="8" t="n">
        <x:f>IF(AND(tun_WinterTrigger=1,D507=1,AB506/AE506&gt;=K507),1,0)</x:f>
        <x:v>0</x:v>
      </x:c>
      <x:c r="AD507" s="8" t="n">
        <x:f>H507*IF(AND(OR(AB506/AE506&gt;=tun_FissionTrigger*N507,AC507=1),AB506/AE506*tun_DaughterShare&gt;=tun_MinDaughter),MAX(1,ROUND(AE506*tun_FissionRate,0)),0)</x:f>
        <x:v>3</x:v>
      </x:c>
      <x:c r="AE507" s="8" t="n">
        <x:f>IF(H507=1,MAX(1,MIN(INDEX(tun_Smax,G507),AE506+AD507)),AE506)</x:f>
        <x:v>9</x:v>
      </x:c>
      <x:c r="AF507" s="8" t="n">
        <x:f>MAX(0,AE507-AE506)</x:f>
        <x:v>0</x:v>
      </x:c>
      <x:c r="AG507" s="9" t="str">
        <x:f>IF(AF507&gt;0,B507,"")</x:f>
      </x:c>
      <x:c r="AH507" s="9" t="n">
        <x:f>IF(F507&gt;=1,1,(1+tun_LowTiesShare*(AE507-1))/AE507)</x:f>
        <x:v>1</x:v>
      </x:c>
      <x:c r="AI507" s="32" t="n">
        <x:f>(Z507+tun_ElderCommons*INDEX(LM_Elder,G507)*AA507)*AH507</x:f>
        <x:v>37101.91042394947</x:v>
      </x:c>
      <x:c r="AJ507" s="32" t="n">
        <x:f>H507*tun_CommonsCoef*AI507^tun_CommonsExp*INDEX(LM_Commons,G507)</x:f>
        <x:v>110784.48952736198</x:v>
      </x:c>
      <x:c r="AK507" s="32" t="n">
        <x:f>H507*tun_RoleScale*Arch_Roles*(AE507*(INDEX(tun_ElderRolePerSett,G507)*tun_OutElder*INDEX(LM_Elder,G507)+INDEX(tun_ShamanPerSett,G507)*tun_OutShaman)+Z507*(INDEX(tun_PriestShare,G507)*tun_OutPriest+INDEX(tun_ScribeShare,G507)*tun_OutScribe*INDEX(LM_Scribe,G507)+INDEX(tun_ScholarShare,G507)*tun_OutScholar*INDEX(LM_Scholar,G507)+INDEX(tun_ResearcherShare,G507)*tun_OutResearcher*INDEX(LM_Researcher,G507)))</x:f>
        <x:v>35423.32084518433</x:v>
      </x:c>
      <x:c r="AL507" s="32" t="n">
        <x:f>H507*tun_RoleScale*Arch_Roles*AE507*INDEX(tun_MonasteryPerSett,G507)*tun_OutMonastery*INDEX(LM_Monastery,G507)</x:f>
        <x:v>31.680000000000003</x:v>
      </x:c>
      <x:c r="AM507" s="32" t="n">
        <x:f>(AJ507+AK507+AL507)/4*INDEX(LM_All,G507)*INDEX(tun_Boon,G507)*Arch_Insight</x:f>
        <x:v>105364.30613298331</x:v>
      </x:c>
      <x:c r="AN507" s="32" t="n">
        <x:f>H507*(tun_KHPerAdult*Z507+tun_KHOfCommons*AJ507/4*INDEX(LM_All,G507))*tun_KHUsable*Arch_KH</x:f>
        <x:v>16050.293139804702</x:v>
      </x:c>
      <x:c r="AO507" s="32" t="n">
        <x:f>MIN(AP506+AN507,AM507*tun_KHMaxRatio)</x:f>
        <x:v>16050.293139804702</x:v>
      </x:c>
      <x:c r="AP507" s="32" t="n">
        <x:f>AP506+AN507-AO507</x:f>
        <x:v>0</x:v>
      </x:c>
      <x:c r="AQ507" s="32" t="n">
        <x:f>AM507+AO507</x:f>
        <x:v>121414.59927278802</x:v>
      </x:c>
      <x:c r="AR507" s="10" t="n">
        <x:f>IF(H507=1,INDEX(tun_Req,G507),0)</x:f>
        <x:v>24497531.045680594</x:v>
      </x:c>
      <x:c r="AS507" s="32" t="n">
        <x:f>IF(H507=1,IF(E507=1,AS506-AR506,AS506)+AQ507,0)</x:f>
        <x:v>1408731.5719432733</x:v>
      </x:c>
      <x:c r="AT507" s="11" t="n">
        <x:f>IF(AR507&gt;0,MIN(1,AS507/AR507),1)</x:f>
        <x:v>0.05750504282723058</x:v>
      </x:c>
      <x:c r="AU507" s="10" t="n">
        <x:f>AB507/INDEX(tun_RepScale,G507)</x:f>
        <x:v>161.87328907471726</x:v>
      </x:c>
      <x:c r="AV507" s="32" t="n">
        <x:f>AM507*60/tun_SeasonSeconds</x:f>
        <x:v>421457.22453193326</x:v>
      </x:c>
    </x:row>
    <x:row r="508">
      <x:c r="A508" s="8" t="n">
        <x:f>A507+1</x:f>
        <x:v>505</x:v>
      </x:c>
      <x:c r="B508" s="9" t="n">
        <x:f>A508*tun_SeasonSeconds/60</x:f>
        <x:v>126.25</x:v>
      </x:c>
      <x:c r="C508" s="9" t="n">
        <x:f>A508/4</x:f>
        <x:v>126.25</x:v>
      </x:c>
      <x:c r="D508" s="8" t="n">
        <x:f>IF(MOD(A508,4)=0,1,0)</x:f>
        <x:v>0</x:v>
      </x:c>
      <x:c r="E508" s="8" t="n">
        <x:f>IF(AND(F507&lt;=9,AS507&gt;=AR507),1,0)</x:f>
        <x:v>0</x:v>
      </x:c>
      <x:c r="F508" s="8" t="n">
        <x:f>MIN(10,F507+E508)</x:f>
        <x:v>8</x:v>
      </x:c>
      <x:c r="G508" s="8" t="n">
        <x:f>MIN(F508,9)+1</x:f>
        <x:v>9</x:v>
      </x:c>
      <x:c r="H508" s="8" t="n">
        <x:f>IF(F508&lt;=9,1,0)</x:f>
        <x:v>1</x:v>
      </x:c>
      <x:c r="I508" s="9" t="n">
        <x:f>MIN(10,F507+IF(AR507&gt;0,MIN(1,AS507/AR507),1))</x:f>
        <x:v>8.05750504282723</x:v>
      </x:c>
      <x:c r="J508" s="32" t="n">
        <x:f>INDEX(tun_FoodCap,G508)*Arch_FoodCap*EXP(tun_CapsByProject*SUMPRODUCT((Cap_Point&lt;=I508)*(Cap_Kind="Food")*Cap_Ln))</x:f>
        <x:v>4514.300360064293</x:v>
      </x:c>
      <x:c r="K508" s="32" t="n">
        <x:f>J508*MIN(1,tun_LeanBase*EXP(tun_CapsByProject*SUMPRODUCT((Cap_Point&lt;=I508)*(Cap_Kind="Lean")*Cap_Ln)))</x:f>
        <x:v>4514.300360064293</x:v>
      </x:c>
      <x:c r="L508" s="10" t="n">
        <x:f>INDEX(tun_HousingCap,G508)*EXP(tun_CapsByProject*SUMPRODUCT((Cap_Point&lt;=I508)*(Cap_Kind="Housing")*Cap_Ln))</x:f>
        <x:v>5983.37642068151</x:v>
      </x:c>
      <x:c r="M508" s="10" t="n">
        <x:f>INDEX(tun_GroupCap,G508)*tun_CohesionFactor*EXP(tun_CapsByProject*SUMPRODUCT((Cap_Point&lt;=I508)*(Cap_Kind="Group")*Cap_Ln))</x:f>
        <x:v>1000000.000000001</x:v>
      </x:c>
      <x:c r="N508" s="32" t="n">
        <x:f>MIN(J508,L508,M508)</x:f>
        <x:v>4514.300360064293</x:v>
      </x:c>
      <x:c r="O508" s="10" t="n">
        <x:f>AE507*N508</x:f>
        <x:v>40628.70324057864</x:v>
      </x:c>
      <x:c r="P508" s="9" t="n">
        <x:f>MIN(1,(AB507/(AE507*IF(tun_GroupInCrowding=1,N508,MIN(J508,L508))))^tun_CrowdingExp)</x:f>
        <x:v>0.9765476354947437</x:v>
      </x:c>
      <x:c r="Q508" s="9" t="n">
        <x:f>IF(D508=1,INDEX(tun_WinterMult,G508),1)</x:f>
        <x:v>1</x:v>
      </x:c>
      <x:c r="R508" s="9" t="n">
        <x:f>H508*Z507*tun_WomenShare*tun_BaseFertility*INDEX(tun_FertMult,G508)*Arch_Fertility*(1-P508)</x:f>
        <x:v>14.276777383877373</x:v>
      </x:c>
      <x:c r="S508" s="9" t="n">
        <x:f>H508*Y507*INDEX(tun_MortChild,G508)/4*Q508</x:f>
        <x:v>20.34806441986719</x:v>
      </x:c>
      <x:c r="T508" s="9" t="n">
        <x:f>H508*Z507*INDEX(tun_MortAdult,G508)*Arch_AdultMort/4*Q508</x:f>
        <x:v>12.771113641102001</x:v>
      </x:c>
      <x:c r="U508" s="9" t="n">
        <x:f>H508*AA507*INDEX(tun_MortElder,G508)/4*Q508</x:f>
        <x:v>44.1622695854563</x:v>
      </x:c>
      <x:c r="V508" s="9" t="n">
        <x:f>H508*MAX(0,AB507-O508)*tun_OvercapLoss</x:f>
        <x:v>0</x:v>
      </x:c>
      <x:c r="W508" s="9" t="n">
        <x:f>H508*Y507/(tun_ChildYears*4)</x:f>
        <x:v>322.98514952170143</x:v>
      </x:c>
      <x:c r="X508" s="9" t="n">
        <x:f>H508*Z507/(tun_AdultYears*4)</x:f>
        <x:v>137.32380259249464</x:v>
      </x:c>
      <x:c r="Y508" s="32" t="n">
        <x:f>Y507+R508-S508-W508-Y507*V508/AB507</x:f>
        <x:v>17758.11193665759</x:v>
      </x:c>
      <x:c r="Z508" s="32" t="n">
        <x:f>Z507+W508-X508-T508-Z507*V508/AB507</x:f>
        <x:v>17201.04175475744</x:v>
      </x:c>
      <x:c r="AA508" s="32" t="n">
        <x:f>AA507+X508-U508-AA507*V508/AB507</x:f>
        <x:v>5446.163907001741</x:v>
      </x:c>
      <x:c r="AB508" s="10" t="n">
        <x:f>Y508+Z508+AA508</x:f>
        <x:v>40405.317598416776</x:v>
      </x:c>
      <x:c r="AC508" s="8" t="n">
        <x:f>IF(AND(tun_WinterTrigger=1,D508=1,AB507/AE507&gt;=K508),1,0)</x:f>
        <x:v>0</x:v>
      </x:c>
      <x:c r="AD508" s="8" t="n">
        <x:f>H508*IF(AND(OR(AB507/AE507&gt;=tun_FissionTrigger*N508,AC508=1),AB507/AE507*tun_DaughterShare&gt;=tun_MinDaughter),MAX(1,ROUND(AE507*tun_FissionRate,0)),0)</x:f>
        <x:v>3</x:v>
      </x:c>
      <x:c r="AE508" s="8" t="n">
        <x:f>IF(H508=1,MAX(1,MIN(INDEX(tun_Smax,G508),AE507+AD508)),AE507)</x:f>
        <x:v>9</x:v>
      </x:c>
      <x:c r="AF508" s="8" t="n">
        <x:f>MAX(0,AE508-AE507)</x:f>
        <x:v>0</x:v>
      </x:c>
      <x:c r="AG508" s="9" t="str">
        <x:f>IF(AF508&gt;0,B508,"")</x:f>
      </x:c>
      <x:c r="AH508" s="9" t="n">
        <x:f>IF(F508&gt;=1,1,(1+tun_LowTiesShare*(AE508-1))/AE508)</x:f>
        <x:v>1</x:v>
      </x:c>
      <x:c r="AI508" s="32" t="n">
        <x:f>(Z508+tun_ElderCommons*INDEX(LM_Elder,G508)*AA508)*AH508</x:f>
        <x:v>37624.156406013964</x:v>
      </x:c>
      <x:c r="AJ508" s="32" t="n">
        <x:f>H508*tun_CommonsCoef*AI508^tun_CommonsExp*INDEX(LM_Commons,G508)</x:f>
        <x:v>112108.5885132597</x:v>
      </x:c>
      <x:c r="AK508" s="32" t="n">
        <x:f>H508*tun_RoleScale*Arch_Roles*(AE508*(INDEX(tun_ElderRolePerSett,G508)*tun_OutElder*INDEX(LM_Elder,G508)+INDEX(tun_ShamanPerSett,G508)*tun_OutShaman)+Z508*(INDEX(tun_PriestShare,G508)*tun_OutPriest+INDEX(tun_ScribeShare,G508)*tun_OutScribe*INDEX(LM_Scribe,G508)+INDEX(tun_ScholarShare,G508)*tun_OutScholar*INDEX(LM_Scholar,G508)+INDEX(tun_ResearcherShare,G508)*tun_OutResearcher*INDEX(LM_Researcher,G508)))</x:f>
        <x:v>35780.513689657535</x:v>
      </x:c>
      <x:c r="AL508" s="32" t="n">
        <x:f>H508*tun_RoleScale*Arch_Roles*AE508*INDEX(tun_MonasteryPerSett,G508)*tun_OutMonastery*INDEX(LM_Monastery,G508)</x:f>
        <x:v>31.680000000000003</x:v>
      </x:c>
      <x:c r="AM508" s="32" t="n">
        <x:f>(AJ508+AK508+AL508)/4*INDEX(LM_All,G508)*INDEX(tun_Boon,G508)*Arch_Insight</x:f>
        <x:v>106575.66256388169</x:v>
      </x:c>
      <x:c r="AN508" s="32" t="n">
        <x:f>H508*(tun_KHPerAdult*Z508+tun_KHOfCommons*AJ508/4*INDEX(LM_All,G508))*tun_KHUsable*Arch_KH</x:f>
        <x:v>16242.12664430018</x:v>
      </x:c>
      <x:c r="AO508" s="32" t="n">
        <x:f>MIN(AP507+AN508,AM508*tun_KHMaxRatio)</x:f>
        <x:v>16242.12664430018</x:v>
      </x:c>
      <x:c r="AP508" s="32" t="n">
        <x:f>AP507+AN508-AO508</x:f>
        <x:v>0</x:v>
      </x:c>
      <x:c r="AQ508" s="32" t="n">
        <x:f>AM508+AO508</x:f>
        <x:v>122817.78920818187</x:v>
      </x:c>
      <x:c r="AR508" s="10" t="n">
        <x:f>IF(H508=1,INDEX(tun_Req,G508),0)</x:f>
        <x:v>24497531.045680594</x:v>
      </x:c>
      <x:c r="AS508" s="32" t="n">
        <x:f>IF(H508=1,IF(E508=1,AS507-AR507,AS507)+AQ508,0)</x:f>
        <x:v>1531549.3611514552</x:v>
      </x:c>
      <x:c r="AT508" s="11" t="n">
        <x:f>IF(AR508&gt;0,MIN(1,AS508/AR508),1)</x:f>
        <x:v>0.06251851904159535</x:v>
      </x:c>
      <x:c r="AU508" s="10" t="n">
        <x:f>AB508/INDEX(tun_RepScale,G508)</x:f>
        <x:v>161.6212703936671</x:v>
      </x:c>
      <x:c r="AV508" s="32" t="n">
        <x:f>AM508*60/tun_SeasonSeconds</x:f>
        <x:v>426302.65025552677</x:v>
      </x:c>
    </x:row>
    <x:row r="509">
      <x:c r="A509" s="8" t="n">
        <x:f>A508+1</x:f>
        <x:v>506</x:v>
      </x:c>
      <x:c r="B509" s="9" t="n">
        <x:f>A509*tun_SeasonSeconds/60</x:f>
        <x:v>126.5</x:v>
      </x:c>
      <x:c r="C509" s="9" t="n">
        <x:f>A509/4</x:f>
        <x:v>126.5</x:v>
      </x:c>
      <x:c r="D509" s="8" t="n">
        <x:f>IF(MOD(A509,4)=0,1,0)</x:f>
        <x:v>0</x:v>
      </x:c>
      <x:c r="E509" s="8" t="n">
        <x:f>IF(AND(F508&lt;=9,AS508&gt;=AR508),1,0)</x:f>
        <x:v>0</x:v>
      </x:c>
      <x:c r="F509" s="8" t="n">
        <x:f>MIN(10,F508+E509)</x:f>
        <x:v>8</x:v>
      </x:c>
      <x:c r="G509" s="8" t="n">
        <x:f>MIN(F509,9)+1</x:f>
        <x:v>9</x:v>
      </x:c>
      <x:c r="H509" s="8" t="n">
        <x:f>IF(F509&lt;=9,1,0)</x:f>
        <x:v>1</x:v>
      </x:c>
      <x:c r="I509" s="9" t="n">
        <x:f>MIN(10,F508+IF(AR508&gt;0,MIN(1,AS508/AR508),1))</x:f>
        <x:v>8.062518519041596</x:v>
      </x:c>
      <x:c r="J509" s="32" t="n">
        <x:f>INDEX(tun_FoodCap,G509)*Arch_FoodCap*EXP(tun_CapsByProject*SUMPRODUCT((Cap_Point&lt;=I509)*(Cap_Kind="Food")*Cap_Ln))</x:f>
        <x:v>4514.300360064293</x:v>
      </x:c>
      <x:c r="K509" s="32" t="n">
        <x:f>J509*MIN(1,tun_LeanBase*EXP(tun_CapsByProject*SUMPRODUCT((Cap_Point&lt;=I509)*(Cap_Kind="Lean")*Cap_Ln)))</x:f>
        <x:v>4514.300360064293</x:v>
      </x:c>
      <x:c r="L509" s="10" t="n">
        <x:f>INDEX(tun_HousingCap,G509)*EXP(tun_CapsByProject*SUMPRODUCT((Cap_Point&lt;=I509)*(Cap_Kind="Housing")*Cap_Ln))</x:f>
        <x:v>5983.37642068151</x:v>
      </x:c>
      <x:c r="M509" s="10" t="n">
        <x:f>INDEX(tun_GroupCap,G509)*tun_CohesionFactor*EXP(tun_CapsByProject*SUMPRODUCT((Cap_Point&lt;=I509)*(Cap_Kind="Group")*Cap_Ln))</x:f>
        <x:v>1000000.000000001</x:v>
      </x:c>
      <x:c r="N509" s="32" t="n">
        <x:f>MIN(J509,L509,M509)</x:f>
        <x:v>4514.300360064293</x:v>
      </x:c>
      <x:c r="O509" s="10" t="n">
        <x:f>AE508*N509</x:f>
        <x:v>40628.70324057864</x:v>
      </x:c>
      <x:c r="P509" s="9" t="n">
        <x:f>MIN(1,(AB508/(AE508*IF(tun_GroupInCrowding=1,N509,MIN(J509,L509))))^tun_CrowdingExp)</x:f>
        <x:v>0.9674608123327021</x:v>
      </x:c>
      <x:c r="Q509" s="9" t="n">
        <x:f>IF(D509=1,INDEX(tun_WinterMult,G509),1)</x:f>
        <x:v>1</x:v>
      </x:c>
      <x:c r="R509" s="9" t="n">
        <x:f>H509*Z508*tun_WomenShare*tun_BaseFertility*INDEX(tun_FertMult,G509)*Arch_Fertility*(1-P509)</x:f>
        <x:v>20.0095583448861</x:v>
      </x:c>
      <x:c r="S509" s="9" t="n">
        <x:f>H509*Y508*INDEX(tun_MortChild,G509)/4*Q509</x:f>
        <x:v>19.97787592873979</x:v>
      </x:c>
      <x:c r="T509" s="9" t="n">
        <x:f>H509*Z508*INDEX(tun_MortAdult,G509)*Arch_AdultMort/4*Q509</x:f>
        <x:v>12.90078131606808</x:v>
      </x:c>
      <x:c r="U509" s="9" t="n">
        <x:f>H509*AA508*INDEX(tun_MortElder,G509)/4*Q509</x:f>
        <x:v>44.930852232764366</x:v>
      </x:c>
      <x:c r="V509" s="9" t="n">
        <x:f>H509*MAX(0,AB508-O509)*tun_OvercapLoss</x:f>
        <x:v>0</x:v>
      </x:c>
      <x:c r="W509" s="9" t="n">
        <x:f>H509*Y508/(tun_ChildYears*4)</x:f>
        <x:v>317.10914172602844</x:v>
      </x:c>
      <x:c r="X509" s="9" t="n">
        <x:f>H509*Z508/(tun_AdultYears*4)</x:f>
        <x:v>138.71807866739871</x:v>
      </x:c>
      <x:c r="Y509" s="32" t="n">
        <x:f>Y508+R509-S509-W509-Y508*V509/AB508</x:f>
        <x:v>17441.034477347708</x:v>
      </x:c>
      <x:c r="Z509" s="32" t="n">
        <x:f>Z508+W509-X509-T509-Z508*V509/AB508</x:f>
        <x:v>17366.5320365</x:v>
      </x:c>
      <x:c r="AA509" s="32" t="n">
        <x:f>AA508+X509-U509-AA508*V509/AB508</x:f>
        <x:v>5539.951133436375</x:v>
      </x:c>
      <x:c r="AB509" s="10" t="n">
        <x:f>Y509+Z509+AA509</x:f>
        <x:v>40347.51764728408</x:v>
      </x:c>
      <x:c r="AC509" s="8" t="n">
        <x:f>IF(AND(tun_WinterTrigger=1,D509=1,AB508/AE508&gt;=K509),1,0)</x:f>
        <x:v>0</x:v>
      </x:c>
      <x:c r="AD509" s="8" t="n">
        <x:f>H509*IF(AND(OR(AB508/AE508&gt;=tun_FissionTrigger*N509,AC509=1),AB508/AE508*tun_DaughterShare&gt;=tun_MinDaughter),MAX(1,ROUND(AE508*tun_FissionRate,0)),0)</x:f>
        <x:v>3</x:v>
      </x:c>
      <x:c r="AE509" s="8" t="n">
        <x:f>IF(H509=1,MAX(1,MIN(INDEX(tun_Smax,G509),AE508+AD509)),AE508)</x:f>
        <x:v>9</x:v>
      </x:c>
      <x:c r="AF509" s="8" t="n">
        <x:f>MAX(0,AE509-AE508)</x:f>
        <x:v>0</x:v>
      </x:c>
      <x:c r="AG509" s="9" t="str">
        <x:f>IF(AF509&gt;0,B509,"")</x:f>
      </x:c>
      <x:c r="AH509" s="9" t="n">
        <x:f>IF(F509&gt;=1,1,(1+tun_LowTiesShare*(AE509-1))/AE509)</x:f>
        <x:v>1</x:v>
      </x:c>
      <x:c r="AI509" s="32" t="n">
        <x:f>(Z509+tun_ElderCommons*INDEX(LM_Elder,G509)*AA509)*AH509</x:f>
        <x:v>38141.3487868864</x:v>
      </x:c>
      <x:c r="AJ509" s="32" t="n">
        <x:f>H509*tun_CommonsCoef*AI509^tun_CommonsExp*INDEX(LM_Commons,G509)</x:f>
        <x:v>113417.16021994122</x:v>
      </x:c>
      <x:c r="AK509" s="32" t="n">
        <x:f>H509*tun_RoleScale*Arch_Roles*(AE509*(INDEX(tun_ElderRolePerSett,G509)*tun_OutElder*INDEX(LM_Elder,G509)+INDEX(tun_ShamanPerSett,G509)*tun_OutShaman)+Z509*(INDEX(tun_PriestShare,G509)*tun_OutPriest+INDEX(tun_ScribeShare,G509)*tun_OutScribe*INDEX(LM_Scribe,G509)+INDEX(tun_ScholarShare,G509)*tun_OutScholar*INDEX(LM_Scholar,G509)+INDEX(tun_ResearcherShare,G509)*tun_OutResearcher*INDEX(LM_Researcher,G509)))</x:f>
        <x:v>36122.418164792296</x:v>
      </x:c>
      <x:c r="AL509" s="32" t="n">
        <x:f>H509*tun_RoleScale*Arch_Roles*AE509*INDEX(tun_MonasteryPerSett,G509)*tun_OutMonastery*INDEX(LM_Monastery,G509)</x:f>
        <x:v>31.680000000000003</x:v>
      </x:c>
      <x:c r="AM509" s="32" t="n">
        <x:f>(AJ509+AK509+AL509)/4*INDEX(LM_All,G509)*INDEX(tun_Boon,G509)*Arch_Insight</x:f>
        <x:v>107764.8165826975</x:v>
      </x:c>
      <x:c r="AN509" s="32" t="n">
        <x:f>H509*(tun_KHPerAdult*Z509+tun_KHOfCommons*AJ509/4*INDEX(LM_All,G509))*tun_KHUsable*Arch_KH</x:f>
        <x:v>16431.71057952701</x:v>
      </x:c>
      <x:c r="AO509" s="32" t="n">
        <x:f>MIN(AP508+AN509,AM509*tun_KHMaxRatio)</x:f>
        <x:v>16431.71057952701</x:v>
      </x:c>
      <x:c r="AP509" s="32" t="n">
        <x:f>AP508+AN509-AO509</x:f>
        <x:v>0</x:v>
      </x:c>
      <x:c r="AQ509" s="32" t="n">
        <x:f>AM509+AO509</x:f>
        <x:v>124196.52716222452</x:v>
      </x:c>
      <x:c r="AR509" s="10" t="n">
        <x:f>IF(H509=1,INDEX(tun_Req,G509),0)</x:f>
        <x:v>24497531.045680594</x:v>
      </x:c>
      <x:c r="AS509" s="32" t="n">
        <x:f>IF(H509=1,IF(E509=1,AS508-AR508,AS508)+AQ509,0)</x:f>
        <x:v>1655745.8883136797</x:v>
      </x:c>
      <x:c r="AT509" s="11" t="n">
        <x:f>IF(AR509&gt;0,MIN(1,AS509/AR509),1)</x:f>
        <x:v>0.06758827594610278</x:v>
      </x:c>
      <x:c r="AU509" s="10" t="n">
        <x:f>AB509/INDEX(tun_RepScale,G509)</x:f>
        <x:v>161.39007058913634</x:v>
      </x:c>
      <x:c r="AV509" s="32" t="n">
        <x:f>AM509*60/tun_SeasonSeconds</x:f>
        <x:v>431059.26633079</x:v>
      </x:c>
    </x:row>
    <x:row r="510">
      <x:c r="A510" s="8" t="n">
        <x:f>A509+1</x:f>
        <x:v>507</x:v>
      </x:c>
      <x:c r="B510" s="9" t="n">
        <x:f>A510*tun_SeasonSeconds/60</x:f>
        <x:v>126.75</x:v>
      </x:c>
      <x:c r="C510" s="9" t="n">
        <x:f>A510/4</x:f>
        <x:v>126.75</x:v>
      </x:c>
      <x:c r="D510" s="8" t="n">
        <x:f>IF(MOD(A510,4)=0,1,0)</x:f>
        <x:v>0</x:v>
      </x:c>
      <x:c r="E510" s="8" t="n">
        <x:f>IF(AND(F509&lt;=9,AS509&gt;=AR509),1,0)</x:f>
        <x:v>0</x:v>
      </x:c>
      <x:c r="F510" s="8" t="n">
        <x:f>MIN(10,F509+E510)</x:f>
        <x:v>8</x:v>
      </x:c>
      <x:c r="G510" s="8" t="n">
        <x:f>MIN(F510,9)+1</x:f>
        <x:v>9</x:v>
      </x:c>
      <x:c r="H510" s="8" t="n">
        <x:f>IF(F510&lt;=9,1,0)</x:f>
        <x:v>1</x:v>
      </x:c>
      <x:c r="I510" s="9" t="n">
        <x:f>MIN(10,F509+IF(AR509&gt;0,MIN(1,AS509/AR509),1))</x:f>
        <x:v>8.067588275946102</x:v>
      </x:c>
      <x:c r="J510" s="32" t="n">
        <x:f>INDEX(tun_FoodCap,G510)*Arch_FoodCap*EXP(tun_CapsByProject*SUMPRODUCT((Cap_Point&lt;=I510)*(Cap_Kind="Food")*Cap_Ln))</x:f>
        <x:v>4514.300360064293</x:v>
      </x:c>
      <x:c r="K510" s="32" t="n">
        <x:f>J510*MIN(1,tun_LeanBase*EXP(tun_CapsByProject*SUMPRODUCT((Cap_Point&lt;=I510)*(Cap_Kind="Lean")*Cap_Ln)))</x:f>
        <x:v>4514.300360064293</x:v>
      </x:c>
      <x:c r="L510" s="10" t="n">
        <x:f>INDEX(tun_HousingCap,G510)*EXP(tun_CapsByProject*SUMPRODUCT((Cap_Point&lt;=I510)*(Cap_Kind="Housing")*Cap_Ln))</x:f>
        <x:v>5983.37642068151</x:v>
      </x:c>
      <x:c r="M510" s="10" t="n">
        <x:f>INDEX(tun_GroupCap,G510)*tun_CohesionFactor*EXP(tun_CapsByProject*SUMPRODUCT((Cap_Point&lt;=I510)*(Cap_Kind="Group")*Cap_Ln))</x:f>
        <x:v>1000000.000000001</x:v>
      </x:c>
      <x:c r="N510" s="32" t="n">
        <x:f>MIN(J510,L510,M510)</x:f>
        <x:v>4514.300360064293</x:v>
      </x:c>
      <x:c r="O510" s="10" t="n">
        <x:f>AE509*N510</x:f>
        <x:v>40628.70324057864</x:v>
      </x:c>
      <x:c r="P510" s="9" t="n">
        <x:f>MIN(1,(AB509/(AE509*IF(tun_GroupInCrowding=1,N510,MIN(J510,L510))))^tun_CrowdingExp)</x:f>
        <x:v>0.9591867151816504</x:v>
      </x:c>
      <x:c r="Q510" s="9" t="n">
        <x:f>IF(D510=1,INDEX(tun_WinterMult,G510),1)</x:f>
        <x:v>1</x:v>
      </x:c>
      <x:c r="R510" s="9" t="n">
        <x:f>H510*Z509*tun_WomenShare*tun_BaseFertility*INDEX(tun_FertMult,G510)*Arch_Fertility*(1-P510)</x:f>
        <x:v>25.33907155467784</x:v>
      </x:c>
      <x:c r="S510" s="9" t="n">
        <x:f>H510*Y509*INDEX(tun_MortChild,G510)/4*Q510</x:f>
        <x:v>19.62116378701617</x:v>
      </x:c>
      <x:c r="T510" s="9" t="n">
        <x:f>H510*Z509*INDEX(tun_MortAdult,G510)*Arch_AdultMort/4*Q510</x:f>
        <x:v>13.024899027375001</x:v>
      </x:c>
      <x:c r="U510" s="9" t="n">
        <x:f>H510*AA509*INDEX(tun_MortElder,G510)/4*Q510</x:f>
        <x:v>45.704596850850095</x:v>
      </x:c>
      <x:c r="V510" s="9" t="n">
        <x:f>H510*MAX(0,AB509-O510)*tun_OvercapLoss</x:f>
        <x:v>0</x:v>
      </x:c>
      <x:c r="W510" s="9" t="n">
        <x:f>H510*Y509/(tun_ChildYears*4)</x:f>
        <x:v>311.4470442383519</x:v>
      </x:c>
      <x:c r="X510" s="9" t="n">
        <x:f>H510*Z509/(tun_AdultYears*4)</x:f>
        <x:v>140.05267771370967</x:v>
      </x:c>
      <x:c r="Y510" s="32" t="n">
        <x:f>Y509+R510-S510-W510-Y509*V510/AB509</x:f>
        <x:v>17135.305340877017</x:v>
      </x:c>
      <x:c r="Z510" s="32" t="n">
        <x:f>Z509+W510-X510-T510-Z509*V510/AB509</x:f>
        <x:v>17524.90150399727</x:v>
      </x:c>
      <x:c r="AA510" s="32" t="n">
        <x:f>AA509+X510-U510-AA509*V510/AB509</x:f>
        <x:v>5634.299214299234</x:v>
      </x:c>
      <x:c r="AB510" s="10" t="n">
        <x:f>Y510+Z510+AA510</x:f>
        <x:v>40294.506059173524</x:v>
      </x:c>
      <x:c r="AC510" s="8" t="n">
        <x:f>IF(AND(tun_WinterTrigger=1,D510=1,AB509/AE509&gt;=K510),1,0)</x:f>
        <x:v>0</x:v>
      </x:c>
      <x:c r="AD510" s="8" t="n">
        <x:f>H510*IF(AND(OR(AB509/AE509&gt;=tun_FissionTrigger*N510,AC510=1),AB509/AE509*tun_DaughterShare&gt;=tun_MinDaughter),MAX(1,ROUND(AE509*tun_FissionRate,0)),0)</x:f>
        <x:v>3</x:v>
      </x:c>
      <x:c r="AE510" s="8" t="n">
        <x:f>IF(H510=1,MAX(1,MIN(INDEX(tun_Smax,G510),AE509+AD510)),AE509)</x:f>
        <x:v>9</x:v>
      </x:c>
      <x:c r="AF510" s="8" t="n">
        <x:f>MAX(0,AE510-AE509)</x:f>
        <x:v>0</x:v>
      </x:c>
      <x:c r="AG510" s="9" t="str">
        <x:f>IF(AF510&gt;0,B510,"")</x:f>
      </x:c>
      <x:c r="AH510" s="9" t="n">
        <x:f>IF(F510&gt;=1,1,(1+tun_LowTiesShare*(AE510-1))/AE510)</x:f>
        <x:v>1</x:v>
      </x:c>
      <x:c r="AI510" s="32" t="n">
        <x:f>(Z510+tun_ElderCommons*INDEX(LM_Elder,G510)*AA510)*AH510</x:f>
        <x:v>38653.523557619395</x:v>
      </x:c>
      <x:c r="AJ510" s="32" t="n">
        <x:f>H510*tun_CommonsCoef*AI510^tun_CommonsExp*INDEX(LM_Commons,G510)</x:f>
        <x:v>114710.41608887844</x:v>
      </x:c>
      <x:c r="AK510" s="32" t="n">
        <x:f>H510*tun_RoleScale*Arch_Roles*(AE510*(INDEX(tun_ElderRolePerSett,G510)*tun_OutElder*INDEX(LM_Elder,G510)+INDEX(tun_ShamanPerSett,G510)*tun_OutShaman)+Z510*(INDEX(tun_PriestShare,G510)*tun_OutPriest+INDEX(tun_ScribeShare,G510)*tun_OutScribe*INDEX(LM_Scribe,G510)+INDEX(tun_ScholarShare,G510)*tun_OutScholar*INDEX(LM_Scholar,G510)+INDEX(tun_ResearcherShare,G510)*tun_OutResearcher*INDEX(LM_Researcher,G510)))</x:f>
        <x:v>36449.61097087053</x:v>
      </x:c>
      <x:c r="AL510" s="32" t="n">
        <x:f>H510*tun_RoleScale*Arch_Roles*AE510*INDEX(tun_MonasteryPerSett,G510)*tun_OutMonastery*INDEX(LM_Monastery,G510)</x:f>
        <x:v>31.680000000000003</x:v>
      </x:c>
      <x:c r="AM510" s="32" t="n">
        <x:f>(AJ510+AK510+AL510)/4*INDEX(LM_All,G510)*INDEX(tun_Boon,G510)*Arch_Insight</x:f>
        <x:v>108932.33603884549</x:v>
      </x:c>
      <x:c r="AN510" s="32" t="n">
        <x:f>H510*(tun_KHPerAdult*Z510+tun_KHOfCommons*AJ510/4*INDEX(LM_All,G510))*tun_KHUsable*Arch_KH</x:f>
        <x:v>16619.075578813205</x:v>
      </x:c>
      <x:c r="AO510" s="32" t="n">
        <x:f>MIN(AP509+AN510,AM510*tun_KHMaxRatio)</x:f>
        <x:v>16619.075578813205</x:v>
      </x:c>
      <x:c r="AP510" s="32" t="n">
        <x:f>AP509+AN510-AO510</x:f>
        <x:v>0</x:v>
      </x:c>
      <x:c r="AQ510" s="32" t="n">
        <x:f>AM510+AO510</x:f>
        <x:v>125551.4116176587</x:v>
      </x:c>
      <x:c r="AR510" s="10" t="n">
        <x:f>IF(H510=1,INDEX(tun_Req,G510),0)</x:f>
        <x:v>24497531.045680594</x:v>
      </x:c>
      <x:c r="AS510" s="32" t="n">
        <x:f>IF(H510=1,IF(E510=1,AS509-AR509,AS509)+AQ510,0)</x:f>
        <x:v>1781297.2999313385</x:v>
      </x:c>
      <x:c r="AT510" s="11" t="n">
        <x:f>IF(AR510&gt;0,MIN(1,AS510/AR510),1)</x:f>
        <x:v>0.07271333983044047</x:v>
      </x:c>
      <x:c r="AU510" s="10" t="n">
        <x:f>AB510/INDEX(tun_RepScale,G510)</x:f>
        <x:v>161.17802423669409</x:v>
      </x:c>
      <x:c r="AV510" s="32" t="n">
        <x:f>AM510*60/tun_SeasonSeconds</x:f>
        <x:v>435729.34415538196</x:v>
      </x:c>
    </x:row>
    <x:row r="511">
      <x:c r="A511" s="8" t="n">
        <x:f>A510+1</x:f>
        <x:v>508</x:v>
      </x:c>
      <x:c r="B511" s="9" t="n">
        <x:f>A511*tun_SeasonSeconds/60</x:f>
        <x:v>127</x:v>
      </x:c>
      <x:c r="C511" s="9" t="n">
        <x:f>A511/4</x:f>
        <x:v>127</x:v>
      </x:c>
      <x:c r="D511" s="8" t="n">
        <x:f>IF(MOD(A511,4)=0,1,0)</x:f>
        <x:v>1</x:v>
      </x:c>
      <x:c r="E511" s="8" t="n">
        <x:f>IF(AND(F510&lt;=9,AS510&gt;=AR510),1,0)</x:f>
        <x:v>0</x:v>
      </x:c>
      <x:c r="F511" s="8" t="n">
        <x:f>MIN(10,F510+E511)</x:f>
        <x:v>8</x:v>
      </x:c>
      <x:c r="G511" s="8" t="n">
        <x:f>MIN(F511,9)+1</x:f>
        <x:v>9</x:v>
      </x:c>
      <x:c r="H511" s="8" t="n">
        <x:f>IF(F511&lt;=9,1,0)</x:f>
        <x:v>1</x:v>
      </x:c>
      <x:c r="I511" s="9" t="n">
        <x:f>MIN(10,F510+IF(AR510&gt;0,MIN(1,AS510/AR510),1))</x:f>
        <x:v>8.07271333983044</x:v>
      </x:c>
      <x:c r="J511" s="32" t="n">
        <x:f>INDEX(tun_FoodCap,G511)*Arch_FoodCap*EXP(tun_CapsByProject*SUMPRODUCT((Cap_Point&lt;=I511)*(Cap_Kind="Food")*Cap_Ln))</x:f>
        <x:v>4514.300360064293</x:v>
      </x:c>
      <x:c r="K511" s="32" t="n">
        <x:f>J511*MIN(1,tun_LeanBase*EXP(tun_CapsByProject*SUMPRODUCT((Cap_Point&lt;=I511)*(Cap_Kind="Lean")*Cap_Ln)))</x:f>
        <x:v>4514.300360064293</x:v>
      </x:c>
      <x:c r="L511" s="10" t="n">
        <x:f>INDEX(tun_HousingCap,G511)*EXP(tun_CapsByProject*SUMPRODUCT((Cap_Point&lt;=I511)*(Cap_Kind="Housing")*Cap_Ln))</x:f>
        <x:v>5983.37642068151</x:v>
      </x:c>
      <x:c r="M511" s="10" t="n">
        <x:f>INDEX(tun_GroupCap,G511)*tun_CohesionFactor*EXP(tun_CapsByProject*SUMPRODUCT((Cap_Point&lt;=I511)*(Cap_Kind="Group")*Cap_Ln))</x:f>
        <x:v>1000000.000000001</x:v>
      </x:c>
      <x:c r="N511" s="32" t="n">
        <x:f>MIN(J511,L511,M511)</x:f>
        <x:v>4514.300360064293</x:v>
      </x:c>
      <x:c r="O511" s="10" t="n">
        <x:f>AE510*N511</x:f>
        <x:v>40628.70324057864</x:v>
      </x:c>
      <x:c r="P511" s="9" t="n">
        <x:f>MIN(1,(AB510/(AE510*IF(tun_GroupInCrowding=1,N511,MIN(J511,L511))))^tun_CrowdingExp)</x:f>
        <x:v>0.9516500011751128</x:v>
      </x:c>
      <x:c r="Q511" s="9" t="n">
        <x:f>IF(D511=1,INDEX(tun_WinterMult,G511),1)</x:f>
        <x:v>1.05</x:v>
      </x:c>
      <x:c r="R511" s="9" t="n">
        <x:f>H511*Z510*tun_WomenShare*tun_BaseFertility*INDEX(tun_FertMult,G511)*Arch_Fertility*(1-P511)</x:f>
        <x:v>30.29201057470203</x:v>
      </x:c>
      <x:c r="S511" s="9" t="n">
        <x:f>H511*Y510*INDEX(tun_MortChild,G511)/4*Q511</x:f>
        <x:v>20.241079433910976</x:v>
      </x:c>
      <x:c r="T511" s="9" t="n">
        <x:f>H511*Z510*INDEX(tun_MortAdult,G511)*Arch_AdultMort/4*Q511</x:f>
        <x:v>13.80085993439785</x:v>
      </x:c>
      <x:c r="U511" s="9" t="n">
        <x:f>H511*AA510*INDEX(tun_MortElder,G511)/4*Q511</x:f>
        <x:v>48.80711694386712</x:v>
      </x:c>
      <x:c r="V511" s="9" t="n">
        <x:f>H511*MAX(0,AB510-O511)*tun_OvercapLoss</x:f>
        <x:v>0</x:v>
      </x:c>
      <x:c r="W511" s="9" t="n">
        <x:f>H511*Y510/(tun_ChildYears*4)</x:f>
        <x:v>305.98759537280387</x:v>
      </x:c>
      <x:c r="X511" s="9" t="n">
        <x:f>H511*Z510/(tun_AdultYears*4)</x:f>
        <x:v>141.32985083868766</x:v>
      </x:c>
      <x:c r="Y511" s="32" t="n">
        <x:f>Y510+R511-S511-W511-Y510*V511/AB510</x:f>
        <x:v>16839.368676645005</x:v>
      </x:c>
      <x:c r="Z511" s="32" t="n">
        <x:f>Z510+W511-X511-T511-Z510*V511/AB510</x:f>
        <x:v>17675.758388596987</x:v>
      </x:c>
      <x:c r="AA511" s="32" t="n">
        <x:f>AA510+X511-U511-AA510*V511/AB510</x:f>
        <x:v>5726.821948194055</x:v>
      </x:c>
      <x:c r="AB511" s="10" t="n">
        <x:f>Y511+Z511+AA511</x:f>
        <x:v>40241.949013436046</x:v>
      </x:c>
      <x:c r="AC511" s="8" t="n">
        <x:f>IF(AND(tun_WinterTrigger=1,D511=1,AB510/AE510&gt;=K511),1,0)</x:f>
        <x:v>0</x:v>
      </x:c>
      <x:c r="AD511" s="8" t="n">
        <x:f>H511*IF(AND(OR(AB510/AE510&gt;=tun_FissionTrigger*N511,AC511=1),AB510/AE510*tun_DaughterShare&gt;=tun_MinDaughter),MAX(1,ROUND(AE510*tun_FissionRate,0)),0)</x:f>
        <x:v>3</x:v>
      </x:c>
      <x:c r="AE511" s="8" t="n">
        <x:f>IF(H511=1,MAX(1,MIN(INDEX(tun_Smax,G511),AE510+AD511)),AE510)</x:f>
        <x:v>9</x:v>
      </x:c>
      <x:c r="AF511" s="8" t="n">
        <x:f>MAX(0,AE511-AE510)</x:f>
        <x:v>0</x:v>
      </x:c>
      <x:c r="AG511" s="9" t="str">
        <x:f>IF(AF511&gt;0,B511,"")</x:f>
      </x:c>
      <x:c r="AH511" s="9" t="n">
        <x:f>IF(F511&gt;=1,1,(1+tun_LowTiesShare*(AE511-1))/AE511)</x:f>
        <x:v>1</x:v>
      </x:c>
      <x:c r="AI511" s="32" t="n">
        <x:f>(Z511+tun_ElderCommons*INDEX(LM_Elder,G511)*AA511)*AH511</x:f>
        <x:v>39151.340694324696</x:v>
      </x:c>
      <x:c r="AJ511" s="32" t="n">
        <x:f>H511*tun_CommonsCoef*AI511^tun_CommonsExp*INDEX(LM_Commons,G511)</x:f>
        <x:v>115964.95719406492</x:v>
      </x:c>
      <x:c r="AK511" s="32" t="n">
        <x:f>H511*tun_RoleScale*Arch_Roles*(AE511*(INDEX(tun_ElderRolePerSett,G511)*tun_OutElder*INDEX(LM_Elder,G511)+INDEX(tun_ShamanPerSett,G511)*tun_OutShaman)+Z511*(INDEX(tun_PriestShare,G511)*tun_OutPriest+INDEX(tun_ScribeShare,G511)*tun_OutScribe*INDEX(LM_Scribe,G511)+INDEX(tun_ScholarShare,G511)*tun_OutScholar*INDEX(LM_Scholar,G511)+INDEX(tun_ResearcherShare,G511)*tun_OutResearcher*INDEX(LM_Researcher,G511)))</x:f>
        <x:v>36761.28271018009</x:v>
      </x:c>
      <x:c r="AL511" s="32" t="n">
        <x:f>H511*tun_RoleScale*Arch_Roles*AE511*INDEX(tun_MonasteryPerSett,G511)*tun_OutMonastery*INDEX(LM_Monastery,G511)</x:f>
        <x:v>31.680000000000003</x:v>
      </x:c>
      <x:c r="AM511" s="32" t="n">
        <x:f>(AJ511+AK511+AL511)/4*INDEX(LM_All,G511)*INDEX(tun_Boon,G511)*Arch_Insight</x:f>
        <x:v>110060.77904146054</x:v>
      </x:c>
      <x:c r="AN511" s="32" t="n">
        <x:f>H511*(tun_KHPerAdult*Z511+tun_KHOfCommons*AJ511/4*INDEX(LM_All,G511))*tun_KHUsable*Arch_KH</x:f>
        <x:v>16800.831640334833</x:v>
      </x:c>
      <x:c r="AO511" s="32" t="n">
        <x:f>MIN(AP510+AN511,AM511*tun_KHMaxRatio)</x:f>
        <x:v>16800.831640334833</x:v>
      </x:c>
      <x:c r="AP511" s="32" t="n">
        <x:f>AP510+AN511-AO511</x:f>
        <x:v>0</x:v>
      </x:c>
      <x:c r="AQ511" s="32" t="n">
        <x:f>AM511+AO511</x:f>
        <x:v>126861.61068179537</x:v>
      </x:c>
      <x:c r="AR511" s="10" t="n">
        <x:f>IF(H511=1,INDEX(tun_Req,G511),0)</x:f>
        <x:v>24497531.045680594</x:v>
      </x:c>
      <x:c r="AS511" s="32" t="n">
        <x:f>IF(H511=1,IF(E511=1,AS510-AR510,AS510)+AQ511,0)</x:f>
        <x:v>1908158.9106131338</x:v>
      </x:c>
      <x:c r="AT511" s="11" t="n">
        <x:f>IF(AR511&gt;0,MIN(1,AS511/AR511),1)</x:f>
        <x:v>0.0778918866172671</x:v>
      </x:c>
      <x:c r="AU511" s="10" t="n">
        <x:f>AB511/INDEX(tun_RepScale,G511)</x:f>
        <x:v>160.9677960537442</x:v>
      </x:c>
      <x:c r="AV511" s="32" t="n">
        <x:f>AM511*60/tun_SeasonSeconds</x:f>
        <x:v>440243.11616584216</x:v>
      </x:c>
    </x:row>
    <x:row r="512">
      <x:c r="A512" s="8" t="n">
        <x:f>A511+1</x:f>
        <x:v>509</x:v>
      </x:c>
      <x:c r="B512" s="9" t="n">
        <x:f>A512*tun_SeasonSeconds/60</x:f>
        <x:v>127.25</x:v>
      </x:c>
      <x:c r="C512" s="9" t="n">
        <x:f>A512/4</x:f>
        <x:v>127.25</x:v>
      </x:c>
      <x:c r="D512" s="8" t="n">
        <x:f>IF(MOD(A512,4)=0,1,0)</x:f>
        <x:v>0</x:v>
      </x:c>
      <x:c r="E512" s="8" t="n">
        <x:f>IF(AND(F511&lt;=9,AS511&gt;=AR511),1,0)</x:f>
        <x:v>0</x:v>
      </x:c>
      <x:c r="F512" s="8" t="n">
        <x:f>MIN(10,F511+E512)</x:f>
        <x:v>8</x:v>
      </x:c>
      <x:c r="G512" s="8" t="n">
        <x:f>MIN(F512,9)+1</x:f>
        <x:v>9</x:v>
      </x:c>
      <x:c r="H512" s="8" t="n">
        <x:f>IF(F512&lt;=9,1,0)</x:f>
        <x:v>1</x:v>
      </x:c>
      <x:c r="I512" s="9" t="n">
        <x:f>MIN(10,F511+IF(AR511&gt;0,MIN(1,AS511/AR511),1))</x:f>
        <x:v>8.077891886617268</x:v>
      </x:c>
      <x:c r="J512" s="32" t="n">
        <x:f>INDEX(tun_FoodCap,G512)*Arch_FoodCap*EXP(tun_CapsByProject*SUMPRODUCT((Cap_Point&lt;=I512)*(Cap_Kind="Food")*Cap_Ln))</x:f>
        <x:v>4514.300360064293</x:v>
      </x:c>
      <x:c r="K512" s="32" t="n">
        <x:f>J512*MIN(1,tun_LeanBase*EXP(tun_CapsByProject*SUMPRODUCT((Cap_Point&lt;=I512)*(Cap_Kind="Lean")*Cap_Ln)))</x:f>
        <x:v>4514.300360064293</x:v>
      </x:c>
      <x:c r="L512" s="10" t="n">
        <x:f>INDEX(tun_HousingCap,G512)*EXP(tun_CapsByProject*SUMPRODUCT((Cap_Point&lt;=I512)*(Cap_Kind="Housing")*Cap_Ln))</x:f>
        <x:v>5983.37642068151</x:v>
      </x:c>
      <x:c r="M512" s="10" t="n">
        <x:f>INDEX(tun_GroupCap,G512)*tun_CohesionFactor*EXP(tun_CapsByProject*SUMPRODUCT((Cap_Point&lt;=I512)*(Cap_Kind="Group")*Cap_Ln))</x:f>
        <x:v>1000000.000000001</x:v>
      </x:c>
      <x:c r="N512" s="32" t="n">
        <x:f>MIN(J512,L512,M512)</x:f>
        <x:v>4514.300360064293</x:v>
      </x:c>
      <x:c r="O512" s="10" t="n">
        <x:f>AE511*N512</x:f>
        <x:v>40628.70324057864</x:v>
      </x:c>
      <x:c r="P512" s="9" t="n">
        <x:f>MIN(1,(AB511/(AE511*IF(tun_GroupInCrowding=1,N512,MIN(J512,L512))))^tun_CrowdingExp)</x:f>
        <x:v>0.9442266908597167</x:v>
      </x:c>
      <x:c r="Q512" s="9" t="n">
        <x:f>IF(D512=1,INDEX(tun_WinterMult,G512),1)</x:f>
        <x:v>1</x:v>
      </x:c>
      <x:c r="R512" s="9" t="n">
        <x:f>H512*Z511*tun_WomenShare*tun_BaseFertility*INDEX(tun_FertMult,G512)*Arch_Fertility*(1-P512)</x:f>
        <x:v>35.2436204440383</x:v>
      </x:c>
      <x:c r="S512" s="9" t="n">
        <x:f>H512*Y511*INDEX(tun_MortChild,G512)/4*Q512</x:f>
        <x:v>18.94428976122563</x:v>
      </x:c>
      <x:c r="T512" s="9" t="n">
        <x:f>H512*Z511*INDEX(tun_MortAdult,G512)*Arch_AdultMort/4*Q512</x:f>
        <x:v>13.25681879144774</x:v>
      </x:c>
      <x:c r="U512" s="9" t="n">
        <x:f>H512*AA511*INDEX(tun_MortElder,G512)/4*Q512</x:f>
        <x:v>47.24628107260096</x:v>
      </x:c>
      <x:c r="V512" s="9" t="n">
        <x:f>H512*MAX(0,AB511-O512)*tun_OvercapLoss</x:f>
        <x:v>0</x:v>
      </x:c>
      <x:c r="W512" s="9" t="n">
        <x:f>H512*Y511/(tun_ChildYears*4)</x:f>
        <x:v>300.7030120829465</x:v>
      </x:c>
      <x:c r="X512" s="9" t="n">
        <x:f>H512*Z511/(tun_AdultYears*4)</x:f>
        <x:v>142.54643861771763</x:v>
      </x:c>
      <x:c r="Y512" s="32" t="n">
        <x:f>Y511+R512-S512-W512-Y511*V512/AB511</x:f>
        <x:v>16554.96499524487</x:v>
      </x:c>
      <x:c r="Z512" s="32" t="n">
        <x:f>Z511+W512-X512-T512-Z511*V512/AB511</x:f>
        <x:v>17820.658143270768</x:v>
      </x:c>
      <x:c r="AA512" s="32" t="n">
        <x:f>AA511+X512-U512-AA511*V512/AB511</x:f>
        <x:v>5822.122105739171</x:v>
      </x:c>
      <x:c r="AB512" s="10" t="n">
        <x:f>Y512+Z512+AA512</x:f>
        <x:v>40197.74524425482</x:v>
      </x:c>
      <x:c r="AC512" s="8" t="n">
        <x:f>IF(AND(tun_WinterTrigger=1,D512=1,AB511/AE511&gt;=K512),1,0)</x:f>
        <x:v>0</x:v>
      </x:c>
      <x:c r="AD512" s="8" t="n">
        <x:f>H512*IF(AND(OR(AB511/AE511&gt;=tun_FissionTrigger*N512,AC512=1),AB511/AE511*tun_DaughterShare&gt;=tun_MinDaughter),MAX(1,ROUND(AE511*tun_FissionRate,0)),0)</x:f>
        <x:v>3</x:v>
      </x:c>
      <x:c r="AE512" s="8" t="n">
        <x:f>IF(H512=1,MAX(1,MIN(INDEX(tun_Smax,G512),AE511+AD512)),AE511)</x:f>
        <x:v>9</x:v>
      </x:c>
      <x:c r="AF512" s="8" t="n">
        <x:f>MAX(0,AE512-AE511)</x:f>
        <x:v>0</x:v>
      </x:c>
      <x:c r="AG512" s="9" t="str">
        <x:f>IF(AF512&gt;0,B512,"")</x:f>
      </x:c>
      <x:c r="AH512" s="9" t="n">
        <x:f>IF(F512&gt;=1,1,(1+tun_LowTiesShare*(AE512-1))/AE512)</x:f>
        <x:v>1</x:v>
      </x:c>
      <x:c r="AI512" s="32" t="n">
        <x:f>(Z512+tun_ElderCommons*INDEX(LM_Elder,G512)*AA512)*AH512</x:f>
        <x:v>39653.61603979266</x:v>
      </x:c>
      <x:c r="AJ512" s="32" t="n">
        <x:f>H512*tun_CommonsCoef*AI512^tun_CommonsExp*INDEX(LM_Commons,G512)</x:f>
        <x:v>117228.31070701093</x:v>
      </x:c>
      <x:c r="AK512" s="32" t="n">
        <x:f>H512*tun_RoleScale*Arch_Roles*(AE512*(INDEX(tun_ElderRolePerSett,G512)*tun_OutElder*INDEX(LM_Elder,G512)+INDEX(tun_ShamanPerSett,G512)*tun_OutShaman)+Z512*(INDEX(tun_PriestShare,G512)*tun_OutPriest+INDEX(tun_ScribeShare,G512)*tun_OutScribe*INDEX(LM_Scribe,G512)+INDEX(tun_ScholarShare,G512)*tun_OutScholar*INDEX(LM_Scholar,G512)+INDEX(tun_ResearcherShare,G512)*tun_OutResearcher*INDEX(LM_Researcher,G512)))</x:f>
        <x:v>37060.646963157575</x:v>
      </x:c>
      <x:c r="AL512" s="32" t="n">
        <x:f>H512*tun_RoleScale*Arch_Roles*AE512*INDEX(tun_MonasteryPerSett,G512)*tun_OutMonastery*INDEX(LM_Monastery,G512)</x:f>
        <x:v>31.680000000000003</x:v>
      </x:c>
      <x:c r="AM512" s="32" t="n">
        <x:f>(AJ512+AK512+AL512)/4*INDEX(LM_All,G512)*INDEX(tun_Boon,G512)*Arch_Insight</x:f>
        <x:v>111186.70386975935</x:v>
      </x:c>
      <x:c r="AN512" s="32" t="n">
        <x:f>H512*(tun_KHPerAdult*Z512+tun_KHOfCommons*AJ512/4*INDEX(LM_All,G512))*tun_KHUsable*Arch_KH</x:f>
        <x:v>16983.864430470832</x:v>
      </x:c>
      <x:c r="AO512" s="32" t="n">
        <x:f>MIN(AP511+AN512,AM512*tun_KHMaxRatio)</x:f>
        <x:v>16983.864430470832</x:v>
      </x:c>
      <x:c r="AP512" s="32" t="n">
        <x:f>AP511+AN512-AO512</x:f>
        <x:v>0</x:v>
      </x:c>
      <x:c r="AQ512" s="32" t="n">
        <x:f>AM512+AO512</x:f>
        <x:v>128170.56830023018</x:v>
      </x:c>
      <x:c r="AR512" s="10" t="n">
        <x:f>IF(H512=1,INDEX(tun_Req,G512),0)</x:f>
        <x:v>24497531.045680594</x:v>
      </x:c>
      <x:c r="AS512" s="32" t="n">
        <x:f>IF(H512=1,IF(E512=1,AS511-AR511,AS511)+AQ512,0)</x:f>
        <x:v>2036329.478913364</x:v>
      </x:c>
      <x:c r="AT512" s="11" t="n">
        <x:f>IF(AR512&gt;0,MIN(1,AS512/AR512),1)</x:f>
        <x:v>0.08312386563022275</x:v>
      </x:c>
      <x:c r="AU512" s="10" t="n">
        <x:f>AB512/INDEX(tun_RepScale,G512)</x:f>
        <x:v>160.79098097701927</x:v>
      </x:c>
      <x:c r="AV512" s="32" t="n">
        <x:f>AM512*60/tun_SeasonSeconds</x:f>
        <x:v>444746.8154790374</x:v>
      </x:c>
    </x:row>
    <x:row r="513">
      <x:c r="A513" s="8" t="n">
        <x:f>A512+1</x:f>
        <x:v>510</x:v>
      </x:c>
      <x:c r="B513" s="9" t="n">
        <x:f>A513*tun_SeasonSeconds/60</x:f>
        <x:v>127.5</x:v>
      </x:c>
      <x:c r="C513" s="9" t="n">
        <x:f>A513/4</x:f>
        <x:v>127.5</x:v>
      </x:c>
      <x:c r="D513" s="8" t="n">
        <x:f>IF(MOD(A513,4)=0,1,0)</x:f>
        <x:v>0</x:v>
      </x:c>
      <x:c r="E513" s="8" t="n">
        <x:f>IF(AND(F512&lt;=9,AS512&gt;=AR512),1,0)</x:f>
        <x:v>0</x:v>
      </x:c>
      <x:c r="F513" s="8" t="n">
        <x:f>MIN(10,F512+E513)</x:f>
        <x:v>8</x:v>
      </x:c>
      <x:c r="G513" s="8" t="n">
        <x:f>MIN(F513,9)+1</x:f>
        <x:v>9</x:v>
      </x:c>
      <x:c r="H513" s="8" t="n">
        <x:f>IF(F513&lt;=9,1,0)</x:f>
        <x:v>1</x:v>
      </x:c>
      <x:c r="I513" s="9" t="n">
        <x:f>MIN(10,F512+IF(AR512&gt;0,MIN(1,AS512/AR512),1))</x:f>
        <x:v>8.083123865630222</x:v>
      </x:c>
      <x:c r="J513" s="32" t="n">
        <x:f>INDEX(tun_FoodCap,G513)*Arch_FoodCap*EXP(tun_CapsByProject*SUMPRODUCT((Cap_Point&lt;=I513)*(Cap_Kind="Food")*Cap_Ln))</x:f>
        <x:v>4514.300360064293</x:v>
      </x:c>
      <x:c r="K513" s="32" t="n">
        <x:f>J513*MIN(1,tun_LeanBase*EXP(tun_CapsByProject*SUMPRODUCT((Cap_Point&lt;=I513)*(Cap_Kind="Lean")*Cap_Ln)))</x:f>
        <x:v>4514.300360064293</x:v>
      </x:c>
      <x:c r="L513" s="10" t="n">
        <x:f>INDEX(tun_HousingCap,G513)*EXP(tun_CapsByProject*SUMPRODUCT((Cap_Point&lt;=I513)*(Cap_Kind="Housing")*Cap_Ln))</x:f>
        <x:v>5983.37642068151</x:v>
      </x:c>
      <x:c r="M513" s="10" t="n">
        <x:f>INDEX(tun_GroupCap,G513)*tun_CohesionFactor*EXP(tun_CapsByProject*SUMPRODUCT((Cap_Point&lt;=I513)*(Cap_Kind="Group")*Cap_Ln))</x:f>
        <x:v>1000000.000000001</x:v>
      </x:c>
      <x:c r="N513" s="32" t="n">
        <x:f>MIN(J513,L513,M513)</x:f>
        <x:v>4514.300360064293</x:v>
      </x:c>
      <x:c r="O513" s="10" t="n">
        <x:f>AE512*N513</x:f>
        <x:v>40628.70324057864</x:v>
      </x:c>
      <x:c r="P513" s="9" t="n">
        <x:f>MIN(1,(AB512/(AE512*IF(tun_GroupInCrowding=1,N513,MIN(J513,L513))))^tun_CrowdingExp)</x:f>
        <x:v>0.9380206404106975</x:v>
      </x:c>
      <x:c r="Q513" s="9" t="n">
        <x:f>IF(D513=1,INDEX(tun_WinterMult,G513),1)</x:f>
        <x:v>1</x:v>
      </x:c>
      <x:c r="R513" s="9" t="n">
        <x:f>H513*Z512*tun_WomenShare*tun_BaseFertility*INDEX(tun_FertMult,G513)*Arch_Fertility*(1-P513)</x:f>
        <x:v>39.48633900567821</x:v>
      </x:c>
      <x:c r="S513" s="9" t="n">
        <x:f>H513*Y512*INDEX(tun_MortChild,G513)/4*Q513</x:f>
        <x:v>18.624335619650477</x:v>
      </x:c>
      <x:c r="T513" s="9" t="n">
        <x:f>H513*Z512*INDEX(tun_MortAdult,G513)*Arch_AdultMort/4*Q513</x:f>
        <x:v>13.365493607453077</x:v>
      </x:c>
      <x:c r="U513" s="9" t="n">
        <x:f>H513*AA512*INDEX(tun_MortElder,G513)/4*Q513</x:f>
        <x:v>48.032507372348164</x:v>
      </x:c>
      <x:c r="V513" s="9" t="n">
        <x:f>H513*MAX(0,AB512-O513)*tun_OvercapLoss</x:f>
        <x:v>0</x:v>
      </x:c>
      <x:c r="W513" s="9" t="n">
        <x:f>H513*Y512/(tun_ChildYears*4)</x:f>
        <x:v>295.624374915087</x:v>
      </x:c>
      <x:c r="X513" s="9" t="n">
        <x:f>H513*Z512/(tun_AdultYears*4)</x:f>
        <x:v>143.71498502637715</x:v>
      </x:c>
      <x:c r="Y513" s="32" t="n">
        <x:f>Y512+R513-S513-W513-Y512*V513/AB512</x:f>
        <x:v>16280.202623715812</x:v>
      </x:c>
      <x:c r="Z513" s="32" t="n">
        <x:f>Z512+W513-X513-T513-Z512*V513/AB512</x:f>
        <x:v>17959.202039552023</x:v>
      </x:c>
      <x:c r="AA513" s="32" t="n">
        <x:f>AA512+X513-U513-AA512*V513/AB512</x:f>
        <x:v>5917.8045833932</x:v>
      </x:c>
      <x:c r="AB513" s="10" t="n">
        <x:f>Y513+Z513+AA513</x:f>
        <x:v>40157.209246661034</x:v>
      </x:c>
      <x:c r="AC513" s="8" t="n">
        <x:f>IF(AND(tun_WinterTrigger=1,D513=1,AB512/AE512&gt;=K513),1,0)</x:f>
        <x:v>0</x:v>
      </x:c>
      <x:c r="AD513" s="8" t="n">
        <x:f>H513*IF(AND(OR(AB512/AE512&gt;=tun_FissionTrigger*N513,AC513=1),AB512/AE512*tun_DaughterShare&gt;=tun_MinDaughter),MAX(1,ROUND(AE512*tun_FissionRate,0)),0)</x:f>
        <x:v>3</x:v>
      </x:c>
      <x:c r="AE513" s="8" t="n">
        <x:f>IF(H513=1,MAX(1,MIN(INDEX(tun_Smax,G513),AE512+AD513)),AE512)</x:f>
        <x:v>9</x:v>
      </x:c>
      <x:c r="AF513" s="8" t="n">
        <x:f>MAX(0,AE513-AE512)</x:f>
        <x:v>0</x:v>
      </x:c>
      <x:c r="AG513" s="9" t="str">
        <x:f>IF(AF513&gt;0,B513,"")</x:f>
      </x:c>
      <x:c r="AH513" s="9" t="n">
        <x:f>IF(F513&gt;=1,1,(1+tun_LowTiesShare*(AE513-1))/AE513)</x:f>
        <x:v>1</x:v>
      </x:c>
      <x:c r="AI513" s="32" t="n">
        <x:f>(Z513+tun_ElderCommons*INDEX(LM_Elder,G513)*AA513)*AH513</x:f>
        <x:v>40150.969227276524</x:v>
      </x:c>
      <x:c r="AJ513" s="32" t="n">
        <x:f>H513*tun_CommonsCoef*AI513^tun_CommonsExp*INDEX(LM_Commons,G513)</x:f>
        <x:v>118476.92058998413</x:v>
      </x:c>
      <x:c r="AK513" s="32" t="n">
        <x:f>H513*tun_RoleScale*Arch_Roles*(AE513*(INDEX(tun_ElderRolePerSett,G513)*tun_OutElder*INDEX(LM_Elder,G513)+INDEX(tun_ShamanPerSett,G513)*tun_OutShaman)+Z513*(INDEX(tun_PriestShare,G513)*tun_OutPriest+INDEX(tun_ScribeShare,G513)*tun_OutScribe*INDEX(LM_Scribe,G513)+INDEX(tun_ScholarShare,G513)*tun_OutScholar*INDEX(LM_Scholar,G513)+INDEX(tun_ResearcherShare,G513)*tun_OutResearcher*INDEX(LM_Researcher,G513)))</x:f>
        <x:v>37346.87995304912</x:v>
      </x:c>
      <x:c r="AL513" s="32" t="n">
        <x:f>H513*tun_RoleScale*Arch_Roles*AE513*INDEX(tun_MonasteryPerSett,G513)*tun_OutMonastery*INDEX(LM_Monastery,G513)</x:f>
        <x:v>31.680000000000003</x:v>
      </x:c>
      <x:c r="AM513" s="32" t="n">
        <x:f>(AJ513+AK513+AL513)/4*INDEX(LM_All,G513)*INDEX(tun_Boon,G513)*Arch_Insight</x:f>
        <x:v>112292.54507524068</x:v>
      </x:c>
      <x:c r="AN513" s="32" t="n">
        <x:f>H513*(tun_KHPerAdult*Z513+tun_KHOfCommons*AJ513/4*INDEX(LM_All,G513))*tun_KHUsable*Arch_KH</x:f>
        <x:v>17164.76118528259</x:v>
      </x:c>
      <x:c r="AO513" s="32" t="n">
        <x:f>MIN(AP512+AN513,AM513*tun_KHMaxRatio)</x:f>
        <x:v>17164.76118528259</x:v>
      </x:c>
      <x:c r="AP513" s="32" t="n">
        <x:f>AP512+AN513-AO513</x:f>
        <x:v>0</x:v>
      </x:c>
      <x:c r="AQ513" s="32" t="n">
        <x:f>AM513+AO513</x:f>
        <x:v>129457.30626052327</x:v>
      </x:c>
      <x:c r="AR513" s="10" t="n">
        <x:f>IF(H513=1,INDEX(tun_Req,G513),0)</x:f>
        <x:v>24497531.045680594</x:v>
      </x:c>
      <x:c r="AS513" s="32" t="n">
        <x:f>IF(H513=1,IF(E513=1,AS512-AR512,AS512)+AQ513,0)</x:f>
        <x:v>2165786.7851738874</x:v>
      </x:c>
      <x:c r="AT513" s="11" t="n">
        <x:f>IF(AR513&gt;0,MIN(1,AS513/AR513),1)</x:f>
        <x:v>0.08840836985308195</x:v>
      </x:c>
      <x:c r="AU513" s="10" t="n">
        <x:f>AB513/INDEX(tun_RepScale,G513)</x:f>
        <x:v>160.62883698664413</x:v>
      </x:c>
      <x:c r="AV513" s="32" t="n">
        <x:f>AM513*60/tun_SeasonSeconds</x:f>
        <x:v>449170.1803009627</x:v>
      </x:c>
    </x:row>
    <x:row r="514">
      <x:c r="A514" s="8" t="n">
        <x:f>A513+1</x:f>
        <x:v>511</x:v>
      </x:c>
      <x:c r="B514" s="9" t="n">
        <x:f>A514*tun_SeasonSeconds/60</x:f>
        <x:v>127.75</x:v>
      </x:c>
      <x:c r="C514" s="9" t="n">
        <x:f>A514/4</x:f>
        <x:v>127.75</x:v>
      </x:c>
      <x:c r="D514" s="8" t="n">
        <x:f>IF(MOD(A514,4)=0,1,0)</x:f>
        <x:v>0</x:v>
      </x:c>
      <x:c r="E514" s="8" t="n">
        <x:f>IF(AND(F513&lt;=9,AS513&gt;=AR513),1,0)</x:f>
        <x:v>0</x:v>
      </x:c>
      <x:c r="F514" s="8" t="n">
        <x:f>MIN(10,F513+E514)</x:f>
        <x:v>8</x:v>
      </x:c>
      <x:c r="G514" s="8" t="n">
        <x:f>MIN(F514,9)+1</x:f>
        <x:v>9</x:v>
      </x:c>
      <x:c r="H514" s="8" t="n">
        <x:f>IF(F514&lt;=9,1,0)</x:f>
        <x:v>1</x:v>
      </x:c>
      <x:c r="I514" s="9" t="n">
        <x:f>MIN(10,F513+IF(AR513&gt;0,MIN(1,AS513/AR513),1))</x:f>
        <x:v>8.088408369853083</x:v>
      </x:c>
      <x:c r="J514" s="32" t="n">
        <x:f>INDEX(tun_FoodCap,G514)*Arch_FoodCap*EXP(tun_CapsByProject*SUMPRODUCT((Cap_Point&lt;=I514)*(Cap_Kind="Food")*Cap_Ln))</x:f>
        <x:v>4514.300360064293</x:v>
      </x:c>
      <x:c r="K514" s="32" t="n">
        <x:f>J514*MIN(1,tun_LeanBase*EXP(tun_CapsByProject*SUMPRODUCT((Cap_Point&lt;=I514)*(Cap_Kind="Lean")*Cap_Ln)))</x:f>
        <x:v>4514.300360064293</x:v>
      </x:c>
      <x:c r="L514" s="10" t="n">
        <x:f>INDEX(tun_HousingCap,G514)*EXP(tun_CapsByProject*SUMPRODUCT((Cap_Point&lt;=I514)*(Cap_Kind="Housing")*Cap_Ln))</x:f>
        <x:v>5983.37642068151</x:v>
      </x:c>
      <x:c r="M514" s="10" t="n">
        <x:f>INDEX(tun_GroupCap,G514)*tun_CohesionFactor*EXP(tun_CapsByProject*SUMPRODUCT((Cap_Point&lt;=I514)*(Cap_Kind="Group")*Cap_Ln))</x:f>
        <x:v>1000000.000000001</x:v>
      </x:c>
      <x:c r="N514" s="32" t="n">
        <x:f>MIN(J514,L514,M514)</x:f>
        <x:v>4514.300360064293</x:v>
      </x:c>
      <x:c r="O514" s="10" t="n">
        <x:f>AE513*N514</x:f>
        <x:v>40628.70324057864</x:v>
      </x:c>
      <x:c r="P514" s="9" t="n">
        <x:f>MIN(1,(AB513/(AE513*IF(tun_GroupInCrowding=1,N514,MIN(J514,L514))))^tun_CrowdingExp)</x:f>
        <x:v>0.9323594464185335</x:v>
      </x:c>
      <x:c r="Q514" s="9" t="n">
        <x:f>IF(D514=1,INDEX(tun_WinterMult,G514),1)</x:f>
        <x:v>1</x:v>
      </x:c>
      <x:c r="R514" s="9" t="n">
        <x:f>H514*Z513*tun_WomenShare*tun_BaseFertility*INDEX(tun_FertMult,G514)*Arch_Fertility*(1-P514)</x:f>
        <x:v>43.42804065016205</x:v>
      </x:c>
      <x:c r="S514" s="9" t="n">
        <x:f>H514*Y513*INDEX(tun_MortChild,G514)/4*Q514</x:f>
        <x:v>18.315227951680285</x:v>
      </x:c>
      <x:c r="T514" s="9" t="n">
        <x:f>H514*Z513*INDEX(tun_MortAdult,G514)*Arch_AdultMort/4*Q514</x:f>
        <x:v>13.469401529664017</x:v>
      </x:c>
      <x:c r="U514" s="9" t="n">
        <x:f>H514*AA513*INDEX(tun_MortElder,G514)/4*Q514</x:f>
        <x:v>48.8218878129939</x:v>
      </x:c>
      <x:c r="V514" s="9" t="n">
        <x:f>H514*MAX(0,AB513-O514)*tun_OvercapLoss</x:f>
        <x:v>0</x:v>
      </x:c>
      <x:c r="W514" s="9" t="n">
        <x:f>H514*Y513/(tun_ChildYears*4)</x:f>
        <x:v>290.7179039949252</x:v>
      </x:c>
      <x:c r="X514" s="9" t="n">
        <x:f>H514*Z513/(tun_AdultYears*4)</x:f>
        <x:v>144.8322745125163</x:v>
      </x:c>
      <x:c r="Y514" s="32" t="n">
        <x:f>Y513+R514-S514-W514-Y513*V514/AB513</x:f>
        <x:v>16014.597532419368</x:v>
      </x:c>
      <x:c r="Z514" s="32" t="n">
        <x:f>Z513+W514-X514-T514-Z513*V514/AB513</x:f>
        <x:v>18091.61826750477</x:v>
      </x:c>
      <x:c r="AA514" s="32" t="n">
        <x:f>AA513+X514-U514-AA513*V514/AB513</x:f>
        <x:v>6013.814970092722</x:v>
      </x:c>
      <x:c r="AB514" s="10" t="n">
        <x:f>Y514+Z514+AA514</x:f>
        <x:v>40120.03077001686</x:v>
      </x:c>
      <x:c r="AC514" s="8" t="n">
        <x:f>IF(AND(tun_WinterTrigger=1,D514=1,AB513/AE513&gt;=K514),1,0)</x:f>
        <x:v>0</x:v>
      </x:c>
      <x:c r="AD514" s="8" t="n">
        <x:f>H514*IF(AND(OR(AB513/AE513&gt;=tun_FissionTrigger*N514,AC514=1),AB513/AE513*tun_DaughterShare&gt;=tun_MinDaughter),MAX(1,ROUND(AE513*tun_FissionRate,0)),0)</x:f>
        <x:v>3</x:v>
      </x:c>
      <x:c r="AE514" s="8" t="n">
        <x:f>IF(H514=1,MAX(1,MIN(INDEX(tun_Smax,G514),AE513+AD514)),AE513)</x:f>
        <x:v>9</x:v>
      </x:c>
      <x:c r="AF514" s="8" t="n">
        <x:f>MAX(0,AE514-AE513)</x:f>
        <x:v>0</x:v>
      </x:c>
      <x:c r="AG514" s="9" t="str">
        <x:f>IF(AF514&gt;0,B514,"")</x:f>
      </x:c>
      <x:c r="AH514" s="9" t="n">
        <x:f>IF(F514&gt;=1,1,(1+tun_LowTiesShare*(AE514-1))/AE514)</x:f>
        <x:v>1</x:v>
      </x:c>
      <x:c r="AI514" s="32" t="n">
        <x:f>(Z514+tun_ElderCommons*INDEX(LM_Elder,G514)*AA514)*AH514</x:f>
        <x:v>40643.42440535248</x:v>
      </x:c>
      <x:c r="AJ514" s="32" t="n">
        <x:f>H514*tun_CommonsCoef*AI514^tun_CommonsExp*INDEX(LM_Commons,G514)</x:f>
        <x:v>119710.95009224086</x:v>
      </x:c>
      <x:c r="AK514" s="32" t="n">
        <x:f>H514*tun_RoleScale*Arch_Roles*(AE514*(INDEX(tun_ElderRolePerSett,G514)*tun_OutElder*INDEX(LM_Elder,G514)+INDEX(tun_ShamanPerSett,G514)*tun_OutShaman)+Z514*(INDEX(tun_PriestShare,G514)*tun_OutPriest+INDEX(tun_ScribeShare,G514)*tun_OutScribe*INDEX(LM_Scribe,G514)+INDEX(tun_ScholarShare,G514)*tun_OutScholar*INDEX(LM_Scholar,G514)+INDEX(tun_ResearcherShare,G514)*tun_OutResearcher*INDEX(LM_Researcher,G514)))</x:f>
        <x:v>37620.45312266846</x:v>
      </x:c>
      <x:c r="AL514" s="32" t="n">
        <x:f>H514*tun_RoleScale*Arch_Roles*AE514*INDEX(tun_MonasteryPerSett,G514)*tun_OutMonastery*INDEX(LM_Monastery,G514)</x:f>
        <x:v>31.680000000000003</x:v>
      </x:c>
      <x:c r="AM514" s="32" t="n">
        <x:f>(AJ514+AK514+AL514)/4*INDEX(LM_All,G514)*INDEX(tun_Boon,G514)*Arch_Insight</x:f>
        <x:v>113378.75994813025</x:v>
      </x:c>
      <x:c r="AN514" s="32" t="n">
        <x:f>H514*(tun_KHPerAdult*Z514+tun_KHOfCommons*AJ514/4*INDEX(LM_All,G514))*tun_KHUsable*Arch_KH</x:f>
        <x:v>17343.545556081142</x:v>
      </x:c>
      <x:c r="AO514" s="32" t="n">
        <x:f>MIN(AP513+AN514,AM514*tun_KHMaxRatio)</x:f>
        <x:v>17343.545556081142</x:v>
      </x:c>
      <x:c r="AP514" s="32" t="n">
        <x:f>AP513+AN514-AO514</x:f>
        <x:v>0</x:v>
      </x:c>
      <x:c r="AQ514" s="32" t="n">
        <x:f>AM514+AO514</x:f>
        <x:v>130722.30550421138</x:v>
      </x:c>
      <x:c r="AR514" s="10" t="n">
        <x:f>IF(H514=1,INDEX(tun_Req,G514),0)</x:f>
        <x:v>24497531.045680594</x:v>
      </x:c>
      <x:c r="AS514" s="32" t="n">
        <x:f>IF(H514=1,IF(E514=1,AS513-AR513,AS513)+AQ514,0)</x:f>
        <x:v>2296509.0906780986</x:v>
      </x:c>
      <x:c r="AT514" s="11" t="n">
        <x:f>IF(AR514&gt;0,MIN(1,AS514/AR514),1)</x:f>
        <x:v>0.09374451190186446</x:v>
      </x:c>
      <x:c r="AU514" s="10" t="n">
        <x:f>AB514/INDEX(tun_RepScale,G514)</x:f>
        <x:v>160.48012308006744</x:v>
      </x:c>
      <x:c r="AV514" s="32" t="n">
        <x:f>AM514*60/tun_SeasonSeconds</x:f>
        <x:v>453515.039792521</x:v>
      </x:c>
    </x:row>
    <x:row r="515">
      <x:c r="A515" s="8" t="n">
        <x:f>A514+1</x:f>
        <x:v>512</x:v>
      </x:c>
      <x:c r="B515" s="9" t="n">
        <x:f>A515*tun_SeasonSeconds/60</x:f>
        <x:v>128</x:v>
      </x:c>
      <x:c r="C515" s="9" t="n">
        <x:f>A515/4</x:f>
        <x:v>128</x:v>
      </x:c>
      <x:c r="D515" s="8" t="n">
        <x:f>IF(MOD(A515,4)=0,1,0)</x:f>
        <x:v>1</x:v>
      </x:c>
      <x:c r="E515" s="8" t="n">
        <x:f>IF(AND(F514&lt;=9,AS514&gt;=AR514),1,0)</x:f>
        <x:v>0</x:v>
      </x:c>
      <x:c r="F515" s="8" t="n">
        <x:f>MIN(10,F514+E515)</x:f>
        <x:v>8</x:v>
      </x:c>
      <x:c r="G515" s="8" t="n">
        <x:f>MIN(F515,9)+1</x:f>
        <x:v>9</x:v>
      </x:c>
      <x:c r="H515" s="8" t="n">
        <x:f>IF(F515&lt;=9,1,0)</x:f>
        <x:v>1</x:v>
      </x:c>
      <x:c r="I515" s="9" t="n">
        <x:f>MIN(10,F514+IF(AR514&gt;0,MIN(1,AS514/AR514),1))</x:f>
        <x:v>8.093744511901864</x:v>
      </x:c>
      <x:c r="J515" s="32" t="n">
        <x:f>INDEX(tun_FoodCap,G515)*Arch_FoodCap*EXP(tun_CapsByProject*SUMPRODUCT((Cap_Point&lt;=I515)*(Cap_Kind="Food")*Cap_Ln))</x:f>
        <x:v>4514.300360064293</x:v>
      </x:c>
      <x:c r="K515" s="32" t="n">
        <x:f>J515*MIN(1,tun_LeanBase*EXP(tun_CapsByProject*SUMPRODUCT((Cap_Point&lt;=I515)*(Cap_Kind="Lean")*Cap_Ln)))</x:f>
        <x:v>4514.300360064293</x:v>
      </x:c>
      <x:c r="L515" s="10" t="n">
        <x:f>INDEX(tun_HousingCap,G515)*EXP(tun_CapsByProject*SUMPRODUCT((Cap_Point&lt;=I515)*(Cap_Kind="Housing")*Cap_Ln))</x:f>
        <x:v>5983.37642068151</x:v>
      </x:c>
      <x:c r="M515" s="10" t="n">
        <x:f>INDEX(tun_GroupCap,G515)*tun_CohesionFactor*EXP(tun_CapsByProject*SUMPRODUCT((Cap_Point&lt;=I515)*(Cap_Kind="Group")*Cap_Ln))</x:f>
        <x:v>1000000.000000001</x:v>
      </x:c>
      <x:c r="N515" s="32" t="n">
        <x:f>MIN(J515,L515,M515)</x:f>
        <x:v>4514.300360064293</x:v>
      </x:c>
      <x:c r="O515" s="10" t="n">
        <x:f>AE514*N515</x:f>
        <x:v>40628.70324057864</x:v>
      </x:c>
      <x:c r="P515" s="9" t="n">
        <x:f>MIN(1,(AB514/(AE514*IF(tun_GroupInCrowding=1,N515,MIN(J515,L515))))^tun_CrowdingExp)</x:f>
        <x:v>0.927192219058685</x:v>
      </x:c>
      <x:c r="Q515" s="9" t="n">
        <x:f>IF(D515=1,INDEX(tun_WinterMult,G515),1)</x:f>
        <x:v>1.05</x:v>
      </x:c>
      <x:c r="R515" s="9" t="n">
        <x:f>H515*Z514*tun_WomenShare*tun_BaseFertility*INDEX(tun_FertMult,G515)*Arch_Fertility*(1-P515)</x:f>
        <x:v>47.090278224074105</x:v>
      </x:c>
      <x:c r="S515" s="9" t="n">
        <x:f>H515*Y514*INDEX(tun_MortChild,G515)/4*Q515</x:f>
        <x:v>18.917243335170376</x:v>
      </x:c>
      <x:c r="T515" s="9" t="n">
        <x:f>H515*Z514*INDEX(tun_MortAdult,G515)*Arch_AdultMort/4*Q515</x:f>
        <x:v>14.247149385660007</x:v>
      </x:c>
      <x:c r="U515" s="9" t="n">
        <x:f>H515*AA514*INDEX(tun_MortElder,G515)/4*Q515</x:f>
        <x:v>52.09467217842822</x:v>
      </x:c>
      <x:c r="V515" s="9" t="n">
        <x:f>H515*MAX(0,AB514-O515)*tun_OvercapLoss</x:f>
        <x:v>0</x:v>
      </x:c>
      <x:c r="W515" s="9" t="n">
        <x:f>H515*Y514/(tun_ChildYears*4)</x:f>
        <x:v>285.97495593606016</x:v>
      </x:c>
      <x:c r="X515" s="9" t="n">
        <x:f>H515*Z514/(tun_AdultYears*4)</x:f>
        <x:v>145.90014731858687</x:v>
      </x:c>
      <x:c r="Y515" s="32" t="n">
        <x:f>Y514+R515-S515-W515-Y514*V515/AB514</x:f>
        <x:v>15756.79561137221</x:v>
      </x:c>
      <x:c r="Z515" s="32" t="n">
        <x:f>Z514+W515-X515-T515-Z514*V515/AB514</x:f>
        <x:v>18217.445926736586</x:v>
      </x:c>
      <x:c r="AA515" s="32" t="n">
        <x:f>AA514+X515-U515-AA514*V515/AB514</x:f>
        <x:v>6107.620445232881</x:v>
      </x:c>
      <x:c r="AB515" s="10" t="n">
        <x:f>Y515+Z515+AA515</x:f>
        <x:v>40081.861983341674</x:v>
      </x:c>
      <x:c r="AC515" s="8" t="n">
        <x:f>IF(AND(tun_WinterTrigger=1,D515=1,AB514/AE514&gt;=K515),1,0)</x:f>
        <x:v>0</x:v>
      </x:c>
      <x:c r="AD515" s="8" t="n">
        <x:f>H515*IF(AND(OR(AB514/AE514&gt;=tun_FissionTrigger*N515,AC515=1),AB514/AE514*tun_DaughterShare&gt;=tun_MinDaughter),MAX(1,ROUND(AE514*tun_FissionRate,0)),0)</x:f>
        <x:v>3</x:v>
      </x:c>
      <x:c r="AE515" s="8" t="n">
        <x:f>IF(H515=1,MAX(1,MIN(INDEX(tun_Smax,G515),AE514+AD515)),AE514)</x:f>
        <x:v>9</x:v>
      </x:c>
      <x:c r="AF515" s="8" t="n">
        <x:f>MAX(0,AE515-AE514)</x:f>
        <x:v>0</x:v>
      </x:c>
      <x:c r="AG515" s="9" t="str">
        <x:f>IF(AF515&gt;0,B515,"")</x:f>
      </x:c>
      <x:c r="AH515" s="9" t="n">
        <x:f>IF(F515&gt;=1,1,(1+tun_LowTiesShare*(AE515-1))/AE515)</x:f>
        <x:v>1</x:v>
      </x:c>
      <x:c r="AI515" s="32" t="n">
        <x:f>(Z515+tun_ElderCommons*INDEX(LM_Elder,G515)*AA515)*AH515</x:f>
        <x:v>41121.02259635989</x:v>
      </x:c>
      <x:c r="AJ515" s="32" t="n">
        <x:f>H515*tun_CommonsCoef*AI515^tun_CommonsExp*INDEX(LM_Commons,G515)</x:f>
        <x:v>120905.60914357577</x:v>
      </x:c>
      <x:c r="AK515" s="32" t="n">
        <x:f>H515*tun_RoleScale*Arch_Roles*(AE515*(INDEX(tun_ElderRolePerSett,G515)*tun_OutElder*INDEX(LM_Elder,G515)+INDEX(tun_ShamanPerSett,G515)*tun_OutShaman)+Z515*(INDEX(tun_PriestShare,G515)*tun_OutPriest+INDEX(tun_ScribeShare,G515)*tun_OutScribe*INDEX(LM_Scribe,G515)+INDEX(tun_ScholarShare,G515)*tun_OutScholar*INDEX(LM_Scholar,G515)+INDEX(tun_ResearcherShare,G515)*tun_OutResearcher*INDEX(LM_Researcher,G515)))</x:f>
        <x:v>37880.414247479486</x:v>
      </x:c>
      <x:c r="AL515" s="32" t="n">
        <x:f>H515*tun_RoleScale*Arch_Roles*AE515*INDEX(tun_MonasteryPerSett,G515)*tun_OutMonastery*INDEX(LM_Monastery,G515)</x:f>
        <x:v>31.680000000000003</x:v>
      </x:c>
      <x:c r="AM515" s="32" t="n">
        <x:f>(AJ515+AK515+AL515)/4*INDEX(LM_All,G515)*INDEX(tun_Boon,G515)*Arch_Insight</x:f>
        <x:v>114426.80138451801</x:v>
      </x:c>
      <x:c r="AN515" s="32" t="n">
        <x:f>H515*(tun_KHPerAdult*Z515+tun_KHOfCommons*AJ515/4*INDEX(LM_All,G515))*tun_KHUsable*Arch_KH</x:f>
        <x:v>17516.62599412667</x:v>
      </x:c>
      <x:c r="AO515" s="32" t="n">
        <x:f>MIN(AP514+AN515,AM515*tun_KHMaxRatio)</x:f>
        <x:v>17516.62599412667</x:v>
      </x:c>
      <x:c r="AP515" s="32" t="n">
        <x:f>AP514+AN515-AO515</x:f>
        <x:v>0</x:v>
      </x:c>
      <x:c r="AQ515" s="32" t="n">
        <x:f>AM515+AO515</x:f>
        <x:v>131943.42737864467</x:v>
      </x:c>
      <x:c r="AR515" s="10" t="n">
        <x:f>IF(H515=1,INDEX(tun_Req,G515),0)</x:f>
        <x:v>24497531.045680594</x:v>
      </x:c>
      <x:c r="AS515" s="32" t="n">
        <x:f>IF(H515=1,IF(E515=1,AS514-AR514,AS514)+AQ515,0)</x:f>
        <x:v>2428452.5180567433</x:v>
      </x:c>
      <x:c r="AT515" s="11" t="n">
        <x:f>IF(AR515&gt;0,MIN(1,AS515/AR515),1)</x:f>
        <x:v>0.09913050068304448</x:v>
      </x:c>
      <x:c r="AU515" s="10" t="n">
        <x:f>AB515/INDEX(tun_RepScale,G515)</x:f>
        <x:v>160.3274479333667</x:v>
      </x:c>
      <x:c r="AV515" s="32" t="n">
        <x:f>AM515*60/tun_SeasonSeconds</x:f>
        <x:v>457707.20553807204</x:v>
      </x:c>
    </x:row>
    <x:row r="516">
      <x:c r="A516" s="8" t="n">
        <x:f>A515+1</x:f>
        <x:v>513</x:v>
      </x:c>
      <x:c r="B516" s="9" t="n">
        <x:f>A516*tun_SeasonSeconds/60</x:f>
        <x:v>128.25</x:v>
      </x:c>
      <x:c r="C516" s="9" t="n">
        <x:f>A516/4</x:f>
        <x:v>128.25</x:v>
      </x:c>
      <x:c r="D516" s="8" t="n">
        <x:f>IF(MOD(A516,4)=0,1,0)</x:f>
        <x:v>0</x:v>
      </x:c>
      <x:c r="E516" s="8" t="n">
        <x:f>IF(AND(F515&lt;=9,AS515&gt;=AR515),1,0)</x:f>
        <x:v>0</x:v>
      </x:c>
      <x:c r="F516" s="8" t="n">
        <x:f>MIN(10,F515+E516)</x:f>
        <x:v>8</x:v>
      </x:c>
      <x:c r="G516" s="8" t="n">
        <x:f>MIN(F516,9)+1</x:f>
        <x:v>9</x:v>
      </x:c>
      <x:c r="H516" s="8" t="n">
        <x:f>IF(F516&lt;=9,1,0)</x:f>
        <x:v>1</x:v>
      </x:c>
      <x:c r="I516" s="9" t="n">
        <x:f>MIN(10,F515+IF(AR515&gt;0,MIN(1,AS515/AR515),1))</x:f>
        <x:v>8.099130500683044</x:v>
      </x:c>
      <x:c r="J516" s="32" t="n">
        <x:f>INDEX(tun_FoodCap,G516)*Arch_FoodCap*EXP(tun_CapsByProject*SUMPRODUCT((Cap_Point&lt;=I516)*(Cap_Kind="Food")*Cap_Ln))</x:f>
        <x:v>4514.300360064293</x:v>
      </x:c>
      <x:c r="K516" s="32" t="n">
        <x:f>J516*MIN(1,tun_LeanBase*EXP(tun_CapsByProject*SUMPRODUCT((Cap_Point&lt;=I516)*(Cap_Kind="Lean")*Cap_Ln)))</x:f>
        <x:v>4514.300360064293</x:v>
      </x:c>
      <x:c r="L516" s="10" t="n">
        <x:f>INDEX(tun_HousingCap,G516)*EXP(tun_CapsByProject*SUMPRODUCT((Cap_Point&lt;=I516)*(Cap_Kind="Housing")*Cap_Ln))</x:f>
        <x:v>5983.37642068151</x:v>
      </x:c>
      <x:c r="M516" s="10" t="n">
        <x:f>INDEX(tun_GroupCap,G516)*tun_CohesionFactor*EXP(tun_CapsByProject*SUMPRODUCT((Cap_Point&lt;=I516)*(Cap_Kind="Group")*Cap_Ln))</x:f>
        <x:v>1000000.000000001</x:v>
      </x:c>
      <x:c r="N516" s="32" t="n">
        <x:f>MIN(J516,L516,M516)</x:f>
        <x:v>4514.300360064293</x:v>
      </x:c>
      <x:c r="O516" s="10" t="n">
        <x:f>AE515*N516</x:f>
        <x:v>40628.70324057864</x:v>
      </x:c>
      <x:c r="P516" s="9" t="n">
        <x:f>MIN(1,(AB515/(AE515*IF(tun_GroupInCrowding=1,N516,MIN(J516,L516))))^tun_CrowdingExp)</x:f>
        <x:v>0.9219122025931772</x:v>
      </x:c>
      <x:c r="Q516" s="9" t="n">
        <x:f>IF(D516=1,INDEX(tun_WinterMult,G516),1)</x:f>
        <x:v>1</x:v>
      </x:c>
      <x:c r="R516" s="9" t="n">
        <x:f>H516*Z515*tun_WomenShare*tun_BaseFertility*INDEX(tun_FertMult,G516)*Arch_Fertility*(1-P516)</x:f>
        <x:v>50.856528107984026</x:v>
      </x:c>
      <x:c r="S516" s="9" t="n">
        <x:f>H516*Y515*INDEX(tun_MortChild,G516)/4*Q516</x:f>
        <x:v>17.726395062793735</x:v>
      </x:c>
      <x:c r="T516" s="9" t="n">
        <x:f>H516*Z515*INDEX(tun_MortAdult,G516)*Arch_AdultMort/4*Q516</x:f>
        <x:v>13.663084445052439</x:v>
      </x:c>
      <x:c r="U516" s="9" t="n">
        <x:f>H516*AA515*INDEX(tun_MortElder,G516)/4*Q516</x:f>
        <x:v>50.38786867317127</x:v>
      </x:c>
      <x:c r="V516" s="9" t="n">
        <x:f>H516*MAX(0,AB515-O516)*tun_OvercapLoss</x:f>
        <x:v>0</x:v>
      </x:c>
      <x:c r="W516" s="9" t="n">
        <x:f>H516*Y515/(tun_ChildYears*4)</x:f>
        <x:v>281.37135020307517</x:v>
      </x:c>
      <x:c r="X516" s="9" t="n">
        <x:f>H516*Z515/(tun_AdultYears*4)</x:f>
        <x:v>146.91488650594022</x:v>
      </x:c>
      <x:c r="Y516" s="32" t="n">
        <x:f>Y515+R516-S516-W516-Y515*V516/AB515</x:f>
        <x:v>15508.554394214327</x:v>
      </x:c>
      <x:c r="Z516" s="32" t="n">
        <x:f>Z515+W516-X516-T516-Z515*V516/AB515</x:f>
        <x:v>18338.23930598867</x:v>
      </x:c>
      <x:c r="AA516" s="32" t="n">
        <x:f>AA515+X516-U516-AA515*V516/AB515</x:f>
        <x:v>6204.14746306565</x:v>
      </x:c>
      <x:c r="AB516" s="10" t="n">
        <x:f>Y516+Z516+AA516</x:f>
        <x:v>40050.941163268646</x:v>
      </x:c>
      <x:c r="AC516" s="8" t="n">
        <x:f>IF(AND(tun_WinterTrigger=1,D516=1,AB515/AE515&gt;=K516),1,0)</x:f>
        <x:v>0</x:v>
      </x:c>
      <x:c r="AD516" s="8" t="n">
        <x:f>H516*IF(AND(OR(AB515/AE515&gt;=tun_FissionTrigger*N516,AC516=1),AB515/AE515*tun_DaughterShare&gt;=tun_MinDaughter),MAX(1,ROUND(AE515*tun_FissionRate,0)),0)</x:f>
        <x:v>3</x:v>
      </x:c>
      <x:c r="AE516" s="8" t="n">
        <x:f>IF(H516=1,MAX(1,MIN(INDEX(tun_Smax,G516),AE515+AD516)),AE515)</x:f>
        <x:v>9</x:v>
      </x:c>
      <x:c r="AF516" s="8" t="n">
        <x:f>MAX(0,AE516-AE515)</x:f>
        <x:v>0</x:v>
      </x:c>
      <x:c r="AG516" s="9" t="str">
        <x:f>IF(AF516&gt;0,B516,"")</x:f>
      </x:c>
      <x:c r="AH516" s="9" t="n">
        <x:f>IF(F516&gt;=1,1,(1+tun_LowTiesShare*(AE516-1))/AE516)</x:f>
        <x:v>1</x:v>
      </x:c>
      <x:c r="AI516" s="32" t="n">
        <x:f>(Z516+tun_ElderCommons*INDEX(LM_Elder,G516)*AA516)*AH516</x:f>
        <x:v>41603.79229248486</x:v>
      </x:c>
      <x:c r="AJ516" s="32" t="n">
        <x:f>H516*tun_CommonsCoef*AI516^tun_CommonsExp*INDEX(LM_Commons,G516)</x:f>
        <x:v>122111.09081101744</x:v>
      </x:c>
      <x:c r="AK516" s="32" t="n">
        <x:f>H516*tun_RoleScale*Arch_Roles*(AE516*(INDEX(tun_ElderRolePerSett,G516)*tun_OutElder*INDEX(LM_Elder,G516)+INDEX(tun_ShamanPerSett,G516)*tun_OutShaman)+Z516*(INDEX(tun_PriestShare,G516)*tun_OutPriest+INDEX(tun_ScribeShare,G516)*tun_OutScribe*INDEX(LM_Scribe,G516)+INDEX(tun_ScholarShare,G516)*tun_OutScholar*INDEX(LM_Scholar,G516)+INDEX(tun_ResearcherShare,G516)*tun_OutResearcher*INDEX(LM_Researcher,G516)))</x:f>
        <x:v>38129.97450260785</x:v>
      </x:c>
      <x:c r="AL516" s="32" t="n">
        <x:f>H516*tun_RoleScale*Arch_Roles*AE516*INDEX(tun_MonasteryPerSett,G516)*tun_OutMonastery*INDEX(LM_Monastery,G516)</x:f>
        <x:v>31.680000000000003</x:v>
      </x:c>
      <x:c r="AM516" s="32" t="n">
        <x:f>(AJ516+AK516+AL516)/4*INDEX(LM_All,G516)*INDEX(tun_Boon,G516)*Arch_Insight</x:f>
        <x:v>115475.14668560895</x:v>
      </x:c>
      <x:c r="AN516" s="32" t="n">
        <x:f>H516*(tun_KHPerAdult*Z516+tun_KHOfCommons*AJ516/4*INDEX(LM_All,G516))*tun_KHUsable*Arch_KH</x:f>
        <x:v>17691.27439680149</x:v>
      </x:c>
      <x:c r="AO516" s="32" t="n">
        <x:f>MIN(AP515+AN516,AM516*tun_KHMaxRatio)</x:f>
        <x:v>17691.27439680149</x:v>
      </x:c>
      <x:c r="AP516" s="32" t="n">
        <x:f>AP515+AN516-AO516</x:f>
        <x:v>0</x:v>
      </x:c>
      <x:c r="AQ516" s="32" t="n">
        <x:f>AM516+AO516</x:f>
        <x:v>133166.42108241044</x:v>
      </x:c>
      <x:c r="AR516" s="10" t="n">
        <x:f>IF(H516=1,INDEX(tun_Req,G516),0)</x:f>
        <x:v>24497531.045680594</x:v>
      </x:c>
      <x:c r="AS516" s="32" t="n">
        <x:f>IF(H516=1,IF(E516=1,AS515-AR515,AS515)+AQ516,0)</x:f>
        <x:v>2561618.939139154</x:v>
      </x:c>
      <x:c r="AT516" s="11" t="n">
        <x:f>IF(AR516&gt;0,MIN(1,AS516/AR516),1)</x:f>
        <x:v>0.10456641260551923</x:v>
      </x:c>
      <x:c r="AU516" s="10" t="n">
        <x:f>AB516/INDEX(tun_RepScale,G516)</x:f>
        <x:v>160.2037646530746</x:v>
      </x:c>
      <x:c r="AV516" s="32" t="n">
        <x:f>AM516*60/tun_SeasonSeconds</x:f>
        <x:v>461900.5867424358</x:v>
      </x:c>
    </x:row>
    <x:row r="517">
      <x:c r="A517" s="8" t="n">
        <x:f>A516+1</x:f>
        <x:v>514</x:v>
      </x:c>
      <x:c r="B517" s="9" t="n">
        <x:f>A517*tun_SeasonSeconds/60</x:f>
        <x:v>128.5</x:v>
      </x:c>
      <x:c r="C517" s="9" t="n">
        <x:f>A517/4</x:f>
        <x:v>128.5</x:v>
      </x:c>
      <x:c r="D517" s="8" t="n">
        <x:f>IF(MOD(A517,4)=0,1,0)</x:f>
        <x:v>0</x:v>
      </x:c>
      <x:c r="E517" s="8" t="n">
        <x:f>IF(AND(F516&lt;=9,AS516&gt;=AR516),1,0)</x:f>
        <x:v>0</x:v>
      </x:c>
      <x:c r="F517" s="8" t="n">
        <x:f>MIN(10,F516+E517)</x:f>
        <x:v>8</x:v>
      </x:c>
      <x:c r="G517" s="8" t="n">
        <x:f>MIN(F517,9)+1</x:f>
        <x:v>9</x:v>
      </x:c>
      <x:c r="H517" s="8" t="n">
        <x:f>IF(F517&lt;=9,1,0)</x:f>
        <x:v>1</x:v>
      </x:c>
      <x:c r="I517" s="9" t="n">
        <x:f>MIN(10,F516+IF(AR516&gt;0,MIN(1,AS516/AR516),1))</x:f>
        <x:v>8.10456641260552</x:v>
      </x:c>
      <x:c r="J517" s="32" t="n">
        <x:f>INDEX(tun_FoodCap,G517)*Arch_FoodCap*EXP(tun_CapsByProject*SUMPRODUCT((Cap_Point&lt;=I517)*(Cap_Kind="Food")*Cap_Ln))</x:f>
        <x:v>4514.300360064293</x:v>
      </x:c>
      <x:c r="K517" s="32" t="n">
        <x:f>J517*MIN(1,tun_LeanBase*EXP(tun_CapsByProject*SUMPRODUCT((Cap_Point&lt;=I517)*(Cap_Kind="Lean")*Cap_Ln)))</x:f>
        <x:v>4514.300360064293</x:v>
      </x:c>
      <x:c r="L517" s="10" t="n">
        <x:f>INDEX(tun_HousingCap,G517)*EXP(tun_CapsByProject*SUMPRODUCT((Cap_Point&lt;=I517)*(Cap_Kind="Housing")*Cap_Ln))</x:f>
        <x:v>5983.37642068151</x:v>
      </x:c>
      <x:c r="M517" s="10" t="n">
        <x:f>INDEX(tun_GroupCap,G517)*tun_CohesionFactor*EXP(tun_CapsByProject*SUMPRODUCT((Cap_Point&lt;=I517)*(Cap_Kind="Group")*Cap_Ln))</x:f>
        <x:v>1000000.000000001</x:v>
      </x:c>
      <x:c r="N517" s="32" t="n">
        <x:f>MIN(J517,L517,M517)</x:f>
        <x:v>4514.300360064293</x:v>
      </x:c>
      <x:c r="O517" s="10" t="n">
        <x:f>AE516*N517</x:f>
        <x:v>40628.70324057864</x:v>
      </x:c>
      <x:c r="P517" s="9" t="n">
        <x:f>MIN(1,(AB516/(AE516*IF(tun_GroupInCrowding=1,N517,MIN(J517,L517))))^tun_CrowdingExp)</x:f>
        <x:v>0.9176532147449897</x:v>
      </x:c>
      <x:c r="Q517" s="9" t="n">
        <x:f>IF(D517=1,INDEX(tun_WinterMult,G517),1)</x:f>
        <x:v>1</x:v>
      </x:c>
      <x:c r="R517" s="9" t="n">
        <x:f>H517*Z516*tun_WomenShare*tun_BaseFertility*INDEX(tun_FertMult,G517)*Arch_Fertility*(1-P517)</x:f>
        <x:v>53.98589818354725</x:v>
      </x:c>
      <x:c r="S517" s="9" t="n">
        <x:f>H517*Y516*INDEX(tun_MortChild,G517)/4*Q517</x:f>
        <x:v>17.447123693491115</x:v>
      </x:c>
      <x:c r="T517" s="9" t="n">
        <x:f>H517*Z516*INDEX(tun_MortAdult,G517)*Arch_AdultMort/4*Q517</x:f>
        <x:v>13.753679479491504</x:v>
      </x:c>
      <x:c r="U517" s="9" t="n">
        <x:f>H517*AA516*INDEX(tun_MortElder,G517)/4*Q517</x:f>
        <x:v>51.18421657029162</x:v>
      </x:c>
      <x:c r="V517" s="9" t="n">
        <x:f>H517*MAX(0,AB516-O517)*tun_OvercapLoss</x:f>
        <x:v>0</x:v>
      </x:c>
      <x:c r="W517" s="9" t="n">
        <x:f>H517*Y516/(tun_ChildYears*4)</x:f>
        <x:v>276.9384713252558</x:v>
      </x:c>
      <x:c r="X517" s="9" t="n">
        <x:f>H517*Z516/(tun_AdultYears*4)</x:f>
        <x:v>147.88902666119895</x:v>
      </x:c>
      <x:c r="Y517" s="32" t="n">
        <x:f>Y516+R517-S517-W517-Y516*V517/AB516</x:f>
        <x:v>15268.154697379126</x:v>
      </x:c>
      <x:c r="Z517" s="32" t="n">
        <x:f>Z516+W517-X517-T517-Z516*V517/AB516</x:f>
        <x:v>18453.535071173235</x:v>
      </x:c>
      <x:c r="AA517" s="32" t="n">
        <x:f>AA516+X517-U517-AA516*V517/AB516</x:f>
        <x:v>6300.852273156557</x:v>
      </x:c>
      <x:c r="AB517" s="10" t="n">
        <x:f>Y517+Z517+AA517</x:f>
        <x:v>40022.54204170892</x:v>
      </x:c>
      <x:c r="AC517" s="8" t="n">
        <x:f>IF(AND(tun_WinterTrigger=1,D517=1,AB516/AE516&gt;=K517),1,0)</x:f>
        <x:v>0</x:v>
      </x:c>
      <x:c r="AD517" s="8" t="n">
        <x:f>H517*IF(AND(OR(AB516/AE516&gt;=tun_FissionTrigger*N517,AC517=1),AB516/AE516*tun_DaughterShare&gt;=tun_MinDaughter),MAX(1,ROUND(AE516*tun_FissionRate,0)),0)</x:f>
        <x:v>3</x:v>
      </x:c>
      <x:c r="AE517" s="8" t="n">
        <x:f>IF(H517=1,MAX(1,MIN(INDEX(tun_Smax,G517),AE516+AD517)),AE516)</x:f>
        <x:v>9</x:v>
      </x:c>
      <x:c r="AF517" s="8" t="n">
        <x:f>MAX(0,AE517-AE516)</x:f>
        <x:v>0</x:v>
      </x:c>
      <x:c r="AG517" s="9" t="str">
        <x:f>IF(AF517&gt;0,B517,"")</x:f>
      </x:c>
      <x:c r="AH517" s="9" t="n">
        <x:f>IF(F517&gt;=1,1,(1+tun_LowTiesShare*(AE517-1))/AE517)</x:f>
        <x:v>1</x:v>
      </x:c>
      <x:c r="AI517" s="32" t="n">
        <x:f>(Z517+tun_ElderCommons*INDEX(LM_Elder,G517)*AA517)*AH517</x:f>
        <x:v>42081.731095510324</x:v>
      </x:c>
      <x:c r="AJ517" s="32" t="n">
        <x:f>H517*tun_CommonsCoef*AI517^tun_CommonsExp*INDEX(LM_Commons,G517)</x:f>
        <x:v>123302.44446895384</x:v>
      </x:c>
      <x:c r="AK517" s="32" t="n">
        <x:f>H517*tun_RoleScale*Arch_Roles*(AE517*(INDEX(tun_ElderRolePerSett,G517)*tun_OutElder*INDEX(LM_Elder,G517)+INDEX(tun_ShamanPerSett,G517)*tun_OutShaman)+Z517*(INDEX(tun_PriestShare,G517)*tun_OutPriest+INDEX(tun_ScribeShare,G517)*tun_OutScribe*INDEX(LM_Scribe,G517)+INDEX(tun_ScholarShare,G517)*tun_OutScholar*INDEX(LM_Scholar,G517)+INDEX(tun_ResearcherShare,G517)*tun_OutResearcher*INDEX(LM_Researcher,G517)))</x:f>
        <x:v>38368.17663548</x:v>
      </x:c>
      <x:c r="AL517" s="32" t="n">
        <x:f>H517*tun_RoleScale*Arch_Roles*AE517*INDEX(tun_MonasteryPerSett,G517)*tun_OutMonastery*INDEX(LM_Monastery,G517)</x:f>
        <x:v>31.680000000000003</x:v>
      </x:c>
      <x:c r="AM517" s="32" t="n">
        <x:f>(AJ517+AK517+AL517)/4*INDEX(LM_All,G517)*INDEX(tun_Boon,G517)*Arch_Insight</x:f>
        <x:v>116505.12944603307</x:v>
      </x:c>
      <x:c r="AN517" s="32" t="n">
        <x:f>H517*(tun_KHPerAdult*Z517+tun_KHOfCommons*AJ517/4*INDEX(LM_All,G517))*tun_KHUsable*Arch_KH</x:f>
        <x:v>17863.875954335726</x:v>
      </x:c>
      <x:c r="AO517" s="32" t="n">
        <x:f>MIN(AP516+AN517,AM517*tun_KHMaxRatio)</x:f>
        <x:v>17863.875954335726</x:v>
      </x:c>
      <x:c r="AP517" s="32" t="n">
        <x:f>AP516+AN517-AO517</x:f>
        <x:v>0</x:v>
      </x:c>
      <x:c r="AQ517" s="32" t="n">
        <x:f>AM517+AO517</x:f>
        <x:v>134369.0054003688</x:v>
      </x:c>
      <x:c r="AR517" s="10" t="n">
        <x:f>IF(H517=1,INDEX(tun_Req,G517),0)</x:f>
        <x:v>24497531.045680594</x:v>
      </x:c>
      <x:c r="AS517" s="32" t="n">
        <x:f>IF(H517=1,IF(E517=1,AS516-AR516,AS516)+AQ517,0)</x:f>
        <x:v>2695987.9445395228</x:v>
      </x:c>
      <x:c r="AT517" s="11" t="n">
        <x:f>IF(AR517&gt;0,MIN(1,AS517/AR517),1)</x:f>
        <x:v>0.11005141454917676</x:v>
      </x:c>
      <x:c r="AU517" s="10" t="n">
        <x:f>AB517/INDEX(tun_RepScale,G517)</x:f>
        <x:v>160.09016816683567</x:v>
      </x:c>
      <x:c r="AV517" s="32" t="n">
        <x:f>AM517*60/tun_SeasonSeconds</x:f>
        <x:v>466020.5177841323</x:v>
      </x:c>
    </x:row>
    <x:row r="518">
      <x:c r="A518" s="8" t="n">
        <x:f>A517+1</x:f>
        <x:v>515</x:v>
      </x:c>
      <x:c r="B518" s="9" t="n">
        <x:f>A518*tun_SeasonSeconds/60</x:f>
        <x:v>128.75</x:v>
      </x:c>
      <x:c r="C518" s="9" t="n">
        <x:f>A518/4</x:f>
        <x:v>128.75</x:v>
      </x:c>
      <x:c r="D518" s="8" t="n">
        <x:f>IF(MOD(A518,4)=0,1,0)</x:f>
        <x:v>0</x:v>
      </x:c>
      <x:c r="E518" s="8" t="n">
        <x:f>IF(AND(F517&lt;=9,AS517&gt;=AR517),1,0)</x:f>
        <x:v>0</x:v>
      </x:c>
      <x:c r="F518" s="8" t="n">
        <x:f>MIN(10,F517+E518)</x:f>
        <x:v>8</x:v>
      </x:c>
      <x:c r="G518" s="8" t="n">
        <x:f>MIN(F518,9)+1</x:f>
        <x:v>9</x:v>
      </x:c>
      <x:c r="H518" s="8" t="n">
        <x:f>IF(F518&lt;=9,1,0)</x:f>
        <x:v>1</x:v>
      </x:c>
      <x:c r="I518" s="9" t="n">
        <x:f>MIN(10,F517+IF(AR517&gt;0,MIN(1,AS517/AR517),1))</x:f>
        <x:v>8.110051414549178</x:v>
      </x:c>
      <x:c r="J518" s="32" t="n">
        <x:f>INDEX(tun_FoodCap,G518)*Arch_FoodCap*EXP(tun_CapsByProject*SUMPRODUCT((Cap_Point&lt;=I518)*(Cap_Kind="Food")*Cap_Ln))</x:f>
        <x:v>4514.300360064293</x:v>
      </x:c>
      <x:c r="K518" s="32" t="n">
        <x:f>J518*MIN(1,tun_LeanBase*EXP(tun_CapsByProject*SUMPRODUCT((Cap_Point&lt;=I518)*(Cap_Kind="Lean")*Cap_Ln)))</x:f>
        <x:v>4514.300360064293</x:v>
      </x:c>
      <x:c r="L518" s="10" t="n">
        <x:f>INDEX(tun_HousingCap,G518)*EXP(tun_CapsByProject*SUMPRODUCT((Cap_Point&lt;=I518)*(Cap_Kind="Housing")*Cap_Ln))</x:f>
        <x:v>5983.37642068151</x:v>
      </x:c>
      <x:c r="M518" s="10" t="n">
        <x:f>INDEX(tun_GroupCap,G518)*tun_CohesionFactor*EXP(tun_CapsByProject*SUMPRODUCT((Cap_Point&lt;=I518)*(Cap_Kind="Group")*Cap_Ln))</x:f>
        <x:v>1000000.000000001</x:v>
      </x:c>
      <x:c r="N518" s="32" t="n">
        <x:f>MIN(J518,L518,M518)</x:f>
        <x:v>4514.300360064293</x:v>
      </x:c>
      <x:c r="O518" s="10" t="n">
        <x:f>AE517*N518</x:f>
        <x:v>40628.70324057864</x:v>
      </x:c>
      <x:c r="P518" s="9" t="n">
        <x:f>MIN(1,(AB517/(AE517*IF(tun_GroupInCrowding=1,N518,MIN(J518,L518))))^tun_CrowdingExp)</x:f>
        <x:v>0.9137560191901272</x:v>
      </x:c>
      <x:c r="Q518" s="9" t="n">
        <x:f>IF(D518=1,INDEX(tun_WinterMult,G518),1)</x:f>
        <x:v>1</x:v>
      </x:c>
      <x:c r="R518" s="9" t="n">
        <x:f>H518*Z517*tun_WomenShare*tun_BaseFertility*INDEX(tun_FertMult,G518)*Arch_Fertility*(1-P518)</x:f>
        <x:v>56.89635110275473</x:v>
      </x:c>
      <x:c r="S518" s="9" t="n">
        <x:f>H518*Y517*INDEX(tun_MortChild,G518)/4*Q518</x:f>
        <x:v>17.176674034551517</x:v>
      </x:c>
      <x:c r="T518" s="9" t="n">
        <x:f>H518*Z517*INDEX(tun_MortAdult,G518)*Arch_AdultMort/4*Q518</x:f>
        <x:v>13.840151303379926</x:v>
      </x:c>
      <x:c r="U518" s="9" t="n">
        <x:f>H518*AA517*INDEX(tun_MortElder,G518)/4*Q518</x:f>
        <x:v>51.9820312535416</x:v>
      </x:c>
      <x:c r="V518" s="9" t="n">
        <x:f>H518*MAX(0,AB517-O518)*tun_OvercapLoss</x:f>
        <x:v>0</x:v>
      </x:c>
      <x:c r="W518" s="9" t="n">
        <x:f>H518*Y517/(tun_ChildYears*4)</x:f>
        <x:v>272.64561959605584</x:v>
      </x:c>
      <x:c r="X518" s="9" t="n">
        <x:f>H518*Z517/(tun_AdultYears*4)</x:f>
        <x:v>148.81883121913899</x:v>
      </x:c>
      <x:c r="Y518" s="32" t="n">
        <x:f>Y517+R518-S518-W518-Y517*V518/AB517</x:f>
        <x:v>15035.228754851272</x:v>
      </x:c>
      <x:c r="Z518" s="32" t="n">
        <x:f>Z517+W518-X518-T518-Z517*V518/AB517</x:f>
        <x:v>18563.521708246775</x:v>
      </x:c>
      <x:c r="AA518" s="32" t="n">
        <x:f>AA517+X518-U518-AA517*V518/AB517</x:f>
        <x:v>6397.689073122155</x:v>
      </x:c>
      <x:c r="AB518" s="10" t="n">
        <x:f>Y518+Z518+AA518</x:f>
        <x:v>39996.439536220205</x:v>
      </x:c>
      <x:c r="AC518" s="8" t="n">
        <x:f>IF(AND(tun_WinterTrigger=1,D518=1,AB517/AE517&gt;=K518),1,0)</x:f>
        <x:v>0</x:v>
      </x:c>
      <x:c r="AD518" s="8" t="n">
        <x:f>H518*IF(AND(OR(AB517/AE517&gt;=tun_FissionTrigger*N518,AC518=1),AB517/AE517*tun_DaughterShare&gt;=tun_MinDaughter),MAX(1,ROUND(AE517*tun_FissionRate,0)),0)</x:f>
        <x:v>3</x:v>
      </x:c>
      <x:c r="AE518" s="8" t="n">
        <x:f>IF(H518=1,MAX(1,MIN(INDEX(tun_Smax,G518),AE517+AD518)),AE517)</x:f>
        <x:v>9</x:v>
      </x:c>
      <x:c r="AF518" s="8" t="n">
        <x:f>MAX(0,AE518-AE517)</x:f>
        <x:v>0</x:v>
      </x:c>
      <x:c r="AG518" s="9" t="str">
        <x:f>IF(AF518&gt;0,B518,"")</x:f>
      </x:c>
      <x:c r="AH518" s="9" t="n">
        <x:f>IF(F518&gt;=1,1,(1+tun_LowTiesShare*(AE518-1))/AE518)</x:f>
        <x:v>1</x:v>
      </x:c>
      <x:c r="AI518" s="32" t="n">
        <x:f>(Z518+tun_ElderCommons*INDEX(LM_Elder,G518)*AA518)*AH518</x:f>
        <x:v>42554.85573245486</x:v>
      </x:c>
      <x:c r="AJ518" s="32" t="n">
        <x:f>H518*tun_CommonsCoef*AI518^tun_CommonsExp*INDEX(LM_Commons,G518)</x:f>
        <x:v>124479.80042965432</x:v>
      </x:c>
      <x:c r="AK518" s="32" t="n">
        <x:f>H518*tun_RoleScale*Arch_Roles*(AE518*(INDEX(tun_ElderRolePerSett,G518)*tun_OutElder*INDEX(LM_Elder,G518)+INDEX(tun_ShamanPerSett,G518)*tun_OutShaman)+Z518*(INDEX(tun_PriestShare,G518)*tun_OutPriest+INDEX(tun_ScribeShare,G518)*tun_OutScribe*INDEX(LM_Scribe,G518)+INDEX(tun_ScholarShare,G518)*tun_OutScholar*INDEX(LM_Scholar,G518)+INDEX(tun_ResearcherShare,G518)*tun_OutResearcher*INDEX(LM_Researcher,G518)))</x:f>
        <x:v>38595.410059850896</x:v>
      </x:c>
      <x:c r="AL518" s="32" t="n">
        <x:f>H518*tun_RoleScale*Arch_Roles*AE518*INDEX(tun_MonasteryPerSett,G518)*tun_OutMonastery*INDEX(LM_Monastery,G518)</x:f>
        <x:v>31.680000000000003</x:v>
      </x:c>
      <x:c r="AM518" s="32" t="n">
        <x:f>(AJ518+AK518+AL518)/4*INDEX(LM_All,G518)*INDEX(tun_Boon,G518)*Arch_Insight</x:f>
        <x:v>117517.12412396022</x:v>
      </x:c>
      <x:c r="AN518" s="32" t="n">
        <x:f>H518*(tun_KHPerAdult*Z518+tun_KHOfCommons*AJ518/4*INDEX(LM_All,G518))*tun_KHUsable*Arch_KH</x:f>
        <x:v>18034.449546178403</x:v>
      </x:c>
      <x:c r="AO518" s="32" t="n">
        <x:f>MIN(AP517+AN518,AM518*tun_KHMaxRatio)</x:f>
        <x:v>18034.449546178403</x:v>
      </x:c>
      <x:c r="AP518" s="32" t="n">
        <x:f>AP517+AN518-AO518</x:f>
        <x:v>0</x:v>
      </x:c>
      <x:c r="AQ518" s="32" t="n">
        <x:f>AM518+AO518</x:f>
        <x:v>135551.57367013863</x:v>
      </x:c>
      <x:c r="AR518" s="10" t="n">
        <x:f>IF(H518=1,INDEX(tun_Req,G518),0)</x:f>
        <x:v>24497531.045680594</x:v>
      </x:c>
      <x:c r="AS518" s="32" t="n">
        <x:f>IF(H518=1,IF(E518=1,AS517-AR517,AS517)+AQ518,0)</x:f>
        <x:v>2831539.5182096614</x:v>
      </x:c>
      <x:c r="AT518" s="11" t="n">
        <x:f>IF(AR518&gt;0,MIN(1,AS518/AR518),1)</x:f>
        <x:v>0.11558468945011986</x:v>
      </x:c>
      <x:c r="AU518" s="10" t="n">
        <x:f>AB518/INDEX(tun_RepScale,G518)</x:f>
        <x:v>159.98575814488083</x:v>
      </x:c>
      <x:c r="AV518" s="32" t="n">
        <x:f>AM518*60/tun_SeasonSeconds</x:f>
        <x:v>470068.4964958409</x:v>
      </x:c>
    </x:row>
    <x:row r="519">
      <x:c r="A519" s="8" t="n">
        <x:f>A518+1</x:f>
        <x:v>516</x:v>
      </x:c>
      <x:c r="B519" s="9" t="n">
        <x:f>A519*tun_SeasonSeconds/60</x:f>
        <x:v>129</x:v>
      </x:c>
      <x:c r="C519" s="9" t="n">
        <x:f>A519/4</x:f>
        <x:v>129</x:v>
      </x:c>
      <x:c r="D519" s="8" t="n">
        <x:f>IF(MOD(A519,4)=0,1,0)</x:f>
        <x:v>1</x:v>
      </x:c>
      <x:c r="E519" s="8" t="n">
        <x:f>IF(AND(F518&lt;=9,AS518&gt;=AR518),1,0)</x:f>
        <x:v>0</x:v>
      </x:c>
      <x:c r="F519" s="8" t="n">
        <x:f>MIN(10,F518+E519)</x:f>
        <x:v>8</x:v>
      </x:c>
      <x:c r="G519" s="8" t="n">
        <x:f>MIN(F519,9)+1</x:f>
        <x:v>9</x:v>
      </x:c>
      <x:c r="H519" s="8" t="n">
        <x:f>IF(F519&lt;=9,1,0)</x:f>
        <x:v>1</x:v>
      </x:c>
      <x:c r="I519" s="9" t="n">
        <x:f>MIN(10,F518+IF(AR518&gt;0,MIN(1,AS518/AR518),1))</x:f>
        <x:v>8.11558468945012</x:v>
      </x:c>
      <x:c r="J519" s="32" t="n">
        <x:f>INDEX(tun_FoodCap,G519)*Arch_FoodCap*EXP(tun_CapsByProject*SUMPRODUCT((Cap_Point&lt;=I519)*(Cap_Kind="Food")*Cap_Ln))</x:f>
        <x:v>4514.300360064293</x:v>
      </x:c>
      <x:c r="K519" s="32" t="n">
        <x:f>J519*MIN(1,tun_LeanBase*EXP(tun_CapsByProject*SUMPRODUCT((Cap_Point&lt;=I519)*(Cap_Kind="Lean")*Cap_Ln)))</x:f>
        <x:v>4514.300360064293</x:v>
      </x:c>
      <x:c r="L519" s="10" t="n">
        <x:f>INDEX(tun_HousingCap,G519)*EXP(tun_CapsByProject*SUMPRODUCT((Cap_Point&lt;=I519)*(Cap_Kind="Housing")*Cap_Ln))</x:f>
        <x:v>5983.37642068151</x:v>
      </x:c>
      <x:c r="M519" s="10" t="n">
        <x:f>INDEX(tun_GroupCap,G519)*tun_CohesionFactor*EXP(tun_CapsByProject*SUMPRODUCT((Cap_Point&lt;=I519)*(Cap_Kind="Group")*Cap_Ln))</x:f>
        <x:v>1000000.000000001</x:v>
      </x:c>
      <x:c r="N519" s="32" t="n">
        <x:f>MIN(J519,L519,M519)</x:f>
        <x:v>4514.300360064293</x:v>
      </x:c>
      <x:c r="O519" s="10" t="n">
        <x:f>AE518*N519</x:f>
        <x:v>40628.70324057864</x:v>
      </x:c>
      <x:c r="P519" s="9" t="n">
        <x:f>MIN(1,(AB518/(AE518*IF(tun_GroupInCrowding=1,N519,MIN(J519,L519))))^tun_CrowdingExp)</x:f>
        <x:v>0.9101861610843062</x:v>
      </x:c>
      <x:c r="Q519" s="9" t="n">
        <x:f>IF(D519=1,INDEX(tun_WinterMult,G519),1)</x:f>
        <x:v>1.05</x:v>
      </x:c>
      <x:c r="R519" s="9" t="n">
        <x:f>H519*Z518*tun_WomenShare*tun_BaseFertility*INDEX(tun_FertMult,G519)*Arch_Fertility*(1-P519)</x:f>
        <x:v>59.6045860557455</x:v>
      </x:c>
      <x:c r="S519" s="9" t="n">
        <x:f>H519*Y518*INDEX(tun_MortChild,G519)/4*Q519</x:f>
        <x:v>17.760363966668063</x:v>
      </x:c>
      <x:c r="T519" s="9" t="n">
        <x:f>H519*Z518*INDEX(tun_MortAdult,G519)*Arch_AdultMort/4*Q519</x:f>
        <x:v>14.618773345244335</x:v>
      </x:c>
      <x:c r="U519" s="9" t="n">
        <x:f>H519*AA518*INDEX(tun_MortElder,G519)/4*Q519</x:f>
        <x:v>55.41998159592067</x:v>
      </x:c>
      <x:c r="V519" s="9" t="n">
        <x:f>H519*MAX(0,AB518-O519)*tun_OvercapLoss</x:f>
        <x:v>0</x:v>
      </x:c>
      <x:c r="W519" s="9" t="n">
        <x:f>H519*Y518/(tun_ChildYears*4)</x:f>
        <x:v>268.4862277652013</x:v>
      </x:c>
      <x:c r="X519" s="9" t="n">
        <x:f>H519*Z518/(tun_AdultYears*4)</x:f>
        <x:v>149.70582022779658</x:v>
      </x:c>
      <x:c r="Y519" s="32" t="n">
        <x:f>Y518+R519-S519-W519-Y518*V519/AB518</x:f>
        <x:v>14808.586749175149</x:v>
      </x:c>
      <x:c r="Z519" s="32" t="n">
        <x:f>Z518+W519-X519-T519-Z518*V519/AB518</x:f>
        <x:v>18667.68334243894</x:v>
      </x:c>
      <x:c r="AA519" s="32" t="n">
        <x:f>AA518+X519-U519-AA518*V519/AB518</x:f>
        <x:v>6491.9749117540305</x:v>
      </x:c>
      <x:c r="AB519" s="10" t="n">
        <x:f>Y519+Z519+AA519</x:f>
        <x:v>39968.24500336812</x:v>
      </x:c>
      <x:c r="AC519" s="8" t="n">
        <x:f>IF(AND(tun_WinterTrigger=1,D519=1,AB518/AE518&gt;=K519),1,0)</x:f>
        <x:v>0</x:v>
      </x:c>
      <x:c r="AD519" s="8" t="n">
        <x:f>H519*IF(AND(OR(AB518/AE518&gt;=tun_FissionTrigger*N519,AC519=1),AB518/AE518*tun_DaughterShare&gt;=tun_MinDaughter),MAX(1,ROUND(AE518*tun_FissionRate,0)),0)</x:f>
        <x:v>3</x:v>
      </x:c>
      <x:c r="AE519" s="8" t="n">
        <x:f>IF(H519=1,MAX(1,MIN(INDEX(tun_Smax,G519),AE518+AD519)),AE518)</x:f>
        <x:v>9</x:v>
      </x:c>
      <x:c r="AF519" s="8" t="n">
        <x:f>MAX(0,AE519-AE518)</x:f>
        <x:v>0</x:v>
      </x:c>
      <x:c r="AG519" s="9" t="str">
        <x:f>IF(AF519&gt;0,B519,"")</x:f>
      </x:c>
      <x:c r="AH519" s="9" t="n">
        <x:f>IF(F519&gt;=1,1,(1+tun_LowTiesShare*(AE519-1))/AE519)</x:f>
        <x:v>1</x:v>
      </x:c>
      <x:c r="AI519" s="32" t="n">
        <x:f>(Z519+tun_ElderCommons*INDEX(LM_Elder,G519)*AA519)*AH519</x:f>
        <x:v>43012.58926151655</x:v>
      </x:c>
      <x:c r="AJ519" s="32" t="n">
        <x:f>H519*tun_CommonsCoef*AI519^tun_CommonsExp*INDEX(LM_Commons,G519)</x:f>
        <x:v>125616.98865080303</x:v>
      </x:c>
      <x:c r="AK519" s="32" t="n">
        <x:f>H519*tun_RoleScale*Arch_Roles*(AE519*(INDEX(tun_ElderRolePerSett,G519)*tun_OutElder*INDEX(LM_Elder,G519)+INDEX(tun_ShamanPerSett,G519)*tun_OutShaman)+Z519*(INDEX(tun_PriestShare,G519)*tun_OutPriest+INDEX(tun_ScribeShare,G519)*tun_OutScribe*INDEX(LM_Scribe,G519)+INDEX(tun_ScholarShare,G519)*tun_OutScholar*INDEX(LM_Scholar,G519)+INDEX(tun_ResearcherShare,G519)*tun_OutResearcher*INDEX(LM_Researcher,G519)))</x:f>
        <x:v>38810.60897360375</x:v>
      </x:c>
      <x:c r="AL519" s="32" t="n">
        <x:f>H519*tun_RoleScale*Arch_Roles*AE519*INDEX(tun_MonasteryPerSett,G519)*tun_OutMonastery*INDEX(LM_Monastery,G519)</x:f>
        <x:v>31.680000000000003</x:v>
      </x:c>
      <x:c r="AM519" s="32" t="n">
        <x:f>(AJ519+AK519+AL519)/4*INDEX(LM_All,G519)*INDEX(tun_Boon,G519)*Arch_Insight</x:f>
        <x:v>118491.50752566023</x:v>
      </x:c>
      <x:c r="AN519" s="32" t="n">
        <x:f>H519*(tun_KHPerAdult*Z519+tun_KHOfCommons*AJ519/4*INDEX(LM_All,G519))*tun_KHUsable*Arch_KH</x:f>
        <x:v>18199.203695269476</x:v>
      </x:c>
      <x:c r="AO519" s="32" t="n">
        <x:f>MIN(AP518+AN519,AM519*tun_KHMaxRatio)</x:f>
        <x:v>18199.203695269476</x:v>
      </x:c>
      <x:c r="AP519" s="32" t="n">
        <x:f>AP518+AN519-AO519</x:f>
        <x:v>0</x:v>
      </x:c>
      <x:c r="AQ519" s="32" t="n">
        <x:f>AM519+AO519</x:f>
        <x:v>136690.7112209297</x:v>
      </x:c>
      <x:c r="AR519" s="10" t="n">
        <x:f>IF(H519=1,INDEX(tun_Req,G519),0)</x:f>
        <x:v>24497531.045680594</x:v>
      </x:c>
      <x:c r="AS519" s="32" t="n">
        <x:f>IF(H519=1,IF(E519=1,AS518-AR518,AS518)+AQ519,0)</x:f>
        <x:v>2968230.229430591</x:v>
      </x:c>
      <x:c r="AT519" s="11" t="n">
        <x:f>IF(AR519&gt;0,MIN(1,AS519/AR519),1)</x:f>
        <x:v>0.12116446444728354</x:v>
      </x:c>
      <x:c r="AU519" s="10" t="n">
        <x:f>AB519/INDEX(tun_RepScale,G519)</x:f>
        <x:v>159.8729800134725</x:v>
      </x:c>
      <x:c r="AV519" s="32" t="n">
        <x:f>AM519*60/tun_SeasonSeconds</x:f>
        <x:v>473966.0301026409</x:v>
      </x:c>
    </x:row>
    <x:row r="520">
      <x:c r="A520" s="8" t="n">
        <x:f>A519+1</x:f>
        <x:v>517</x:v>
      </x:c>
      <x:c r="B520" s="9" t="n">
        <x:f>A520*tun_SeasonSeconds/60</x:f>
        <x:v>129.25</x:v>
      </x:c>
      <x:c r="C520" s="9" t="n">
        <x:f>A520/4</x:f>
        <x:v>129.25</x:v>
      </x:c>
      <x:c r="D520" s="8" t="n">
        <x:f>IF(MOD(A520,4)=0,1,0)</x:f>
        <x:v>0</x:v>
      </x:c>
      <x:c r="E520" s="8" t="n">
        <x:f>IF(AND(F519&lt;=9,AS519&gt;=AR519),1,0)</x:f>
        <x:v>0</x:v>
      </x:c>
      <x:c r="F520" s="8" t="n">
        <x:f>MIN(10,F519+E520)</x:f>
        <x:v>8</x:v>
      </x:c>
      <x:c r="G520" s="8" t="n">
        <x:f>MIN(F520,9)+1</x:f>
        <x:v>9</x:v>
      </x:c>
      <x:c r="H520" s="8" t="n">
        <x:f>IF(F520&lt;=9,1,0)</x:f>
        <x:v>1</x:v>
      </x:c>
      <x:c r="I520" s="9" t="n">
        <x:f>MIN(10,F519+IF(AR519&gt;0,MIN(1,AS519/AR519),1))</x:f>
        <x:v>8.121164464447283</x:v>
      </x:c>
      <x:c r="J520" s="32" t="n">
        <x:f>INDEX(tun_FoodCap,G520)*Arch_FoodCap*EXP(tun_CapsByProject*SUMPRODUCT((Cap_Point&lt;=I520)*(Cap_Kind="Food")*Cap_Ln))</x:f>
        <x:v>4514.300360064293</x:v>
      </x:c>
      <x:c r="K520" s="32" t="n">
        <x:f>J520*MIN(1,tun_LeanBase*EXP(tun_CapsByProject*SUMPRODUCT((Cap_Point&lt;=I520)*(Cap_Kind="Lean")*Cap_Ln)))</x:f>
        <x:v>4514.300360064293</x:v>
      </x:c>
      <x:c r="L520" s="10" t="n">
        <x:f>INDEX(tun_HousingCap,G520)*EXP(tun_CapsByProject*SUMPRODUCT((Cap_Point&lt;=I520)*(Cap_Kind="Housing")*Cap_Ln))</x:f>
        <x:v>5983.37642068151</x:v>
      </x:c>
      <x:c r="M520" s="10" t="n">
        <x:f>INDEX(tun_GroupCap,G520)*tun_CohesionFactor*EXP(tun_CapsByProject*SUMPRODUCT((Cap_Point&lt;=I520)*(Cap_Kind="Group")*Cap_Ln))</x:f>
        <x:v>1000000.000000001</x:v>
      </x:c>
      <x:c r="N520" s="32" t="n">
        <x:f>MIN(J520,L520,M520)</x:f>
        <x:v>4514.300360064293</x:v>
      </x:c>
      <x:c r="O520" s="10" t="n">
        <x:f>AE519*N520</x:f>
        <x:v>40628.70324057864</x:v>
      </x:c>
      <x:c r="P520" s="9" t="n">
        <x:f>MIN(1,(AB519/(AE519*IF(tun_GroupInCrowding=1,N520,MIN(J520,L520))))^tun_CrowdingExp)</x:f>
        <x:v>0.9063432553575351</x:v>
      </x:c>
      <x:c r="Q520" s="9" t="n">
        <x:f>IF(D520=1,INDEX(tun_WinterMult,G520),1)</x:f>
        <x:v>1</x:v>
      </x:c>
      <x:c r="R520" s="9" t="n">
        <x:f>H520*Z519*tun_WomenShare*tun_BaseFertility*INDEX(tun_FertMult,G520)*Arch_Fertility*(1-P520)</x:f>
        <x:v>62.50367165432387</x:v>
      </x:c>
      <x:c r="S520" s="9" t="n">
        <x:f>H520*Y519*INDEX(tun_MortChild,G520)/4*Q520</x:f>
        <x:v>16.65966009282204</x:v>
      </x:c>
      <x:c r="T520" s="9" t="n">
        <x:f>H520*Z519*INDEX(tun_MortAdult,G520)*Arch_AdultMort/4*Q520</x:f>
        <x:v>14.000762506829206</x:v>
      </x:c>
      <x:c r="U520" s="9" t="n">
        <x:f>H520*AA519*INDEX(tun_MortElder,G520)/4*Q520</x:f>
        <x:v>53.55879302197076</x:v>
      </x:c>
      <x:c r="V520" s="9" t="n">
        <x:f>H520*MAX(0,AB519-O520)*tun_OvercapLoss</x:f>
        <x:v>0</x:v>
      </x:c>
      <x:c r="W520" s="9" t="n">
        <x:f>H520*Y519/(tun_ChildYears*4)</x:f>
        <x:v>264.43904909241337</x:v>
      </x:c>
      <x:c r="X520" s="9" t="n">
        <x:f>H520*Z519/(tun_AdultYears*4)</x:f>
        <x:v>150.54583340676564</x:v>
      </x:c>
      <x:c r="Y520" s="32" t="n">
        <x:f>Y519+R520-S520-W520-Y519*V520/AB519</x:f>
        <x:v>14589.991711644238</x:v>
      </x:c>
      <x:c r="Z520" s="32" t="n">
        <x:f>Z519+W520-X520-T520-Z519*V520/AB519</x:f>
        <x:v>18767.57579561776</x:v>
      </x:c>
      <x:c r="AA520" s="32" t="n">
        <x:f>AA519+X520-U520-AA519*V520/AB519</x:f>
        <x:v>6588.961952138825</x:v>
      </x:c>
      <x:c r="AB520" s="10" t="n">
        <x:f>Y520+Z520+AA520</x:f>
        <x:v>39946.529459400816</x:v>
      </x:c>
      <x:c r="AC520" s="8" t="n">
        <x:f>IF(AND(tun_WinterTrigger=1,D520=1,AB519/AE519&gt;=K520),1,0)</x:f>
        <x:v>0</x:v>
      </x:c>
      <x:c r="AD520" s="8" t="n">
        <x:f>H520*IF(AND(OR(AB519/AE519&gt;=tun_FissionTrigger*N520,AC520=1),AB519/AE519*tun_DaughterShare&gt;=tun_MinDaughter),MAX(1,ROUND(AE519*tun_FissionRate,0)),0)</x:f>
        <x:v>3</x:v>
      </x:c>
      <x:c r="AE520" s="8" t="n">
        <x:f>IF(H520=1,MAX(1,MIN(INDEX(tun_Smax,G520),AE519+AD520)),AE519)</x:f>
        <x:v>9</x:v>
      </x:c>
      <x:c r="AF520" s="8" t="n">
        <x:f>MAX(0,AE520-AE519)</x:f>
        <x:v>0</x:v>
      </x:c>
      <x:c r="AG520" s="9" t="str">
        <x:f>IF(AF520&gt;0,B520,"")</x:f>
      </x:c>
      <x:c r="AH520" s="9" t="n">
        <x:f>IF(F520&gt;=1,1,(1+tun_LowTiesShare*(AE520-1))/AE520)</x:f>
        <x:v>1</x:v>
      </x:c>
      <x:c r="AI520" s="32" t="n">
        <x:f>(Z520+tun_ElderCommons*INDEX(LM_Elder,G520)*AA520)*AH520</x:f>
        <x:v>43476.18311613835</x:v>
      </x:c>
      <x:c r="AJ520" s="32" t="n">
        <x:f>H520*tun_CommonsCoef*AI520^tun_CommonsExp*INDEX(LM_Commons,G520)</x:f>
        <x:v>126766.88745794116</x:v>
      </x:c>
      <x:c r="AK520" s="32" t="n">
        <x:f>H520*tun_RoleScale*Arch_Roles*(AE520*(INDEX(tun_ElderRolePerSett,G520)*tun_OutElder*INDEX(LM_Elder,G520)+INDEX(tun_ShamanPerSett,G520)*tun_OutShaman)+Z520*(INDEX(tun_PriestShare,G520)*tun_OutPriest+INDEX(tun_ScribeShare,G520)*tun_OutScribe*INDEX(LM_Scribe,G520)+INDEX(tun_ScholarShare,G520)*tun_OutScholar*INDEX(LM_Scholar,G520)+INDEX(tun_ResearcherShare,G520)*tun_OutResearcher*INDEX(LM_Researcher,G520)))</x:f>
        <x:v>39016.9877193186</x:v>
      </x:c>
      <x:c r="AL520" s="32" t="n">
        <x:f>H520*tun_RoleScale*Arch_Roles*AE520*INDEX(tun_MonasteryPerSett,G520)*tun_OutMonastery*INDEX(LM_Monastery,G520)</x:f>
        <x:v>31.680000000000003</x:v>
      </x:c>
      <x:c r="AM520" s="32" t="n">
        <x:f>(AJ520+AK520+AL520)/4*INDEX(LM_All,G520)*INDEX(tun_Boon,G520)*Arch_Insight</x:f>
        <x:v>119468.69394032873</x:v>
      </x:c>
      <x:c r="AN520" s="32" t="n">
        <x:f>H520*(tun_KHPerAdult*Z520+tun_KHOfCommons*AJ520/4*INDEX(LM_All,G520))*tun_KHUsable*Arch_KH</x:f>
        <x:v>18365.79933527665</x:v>
      </x:c>
      <x:c r="AO520" s="32" t="n">
        <x:f>MIN(AP519+AN520,AM520*tun_KHMaxRatio)</x:f>
        <x:v>18365.79933527665</x:v>
      </x:c>
      <x:c r="AP520" s="32" t="n">
        <x:f>AP519+AN520-AO520</x:f>
        <x:v>0</x:v>
      </x:c>
      <x:c r="AQ520" s="32" t="n">
        <x:f>AM520+AO520</x:f>
        <x:v>137834.49327560537</x:v>
      </x:c>
      <x:c r="AR520" s="10" t="n">
        <x:f>IF(H520=1,INDEX(tun_Req,G520),0)</x:f>
        <x:v>24497531.045680594</x:v>
      </x:c>
      <x:c r="AS520" s="32" t="n">
        <x:f>IF(H520=1,IF(E520=1,AS519-AR519,AS519)+AQ520,0)</x:f>
        <x:v>3106064.722706197</x:v>
      </x:c>
      <x:c r="AT520" s="11" t="n">
        <x:f>IF(AR520&gt;0,MIN(1,AS520/AR520),1)</x:f>
        <x:v>0.1267909291313607</x:v>
      </x:c>
      <x:c r="AU520" s="10" t="n">
        <x:f>AB520/INDEX(tun_RepScale,G520)</x:f>
        <x:v>159.78611783760326</x:v>
      </x:c>
      <x:c r="AV520" s="32" t="n">
        <x:f>AM520*60/tun_SeasonSeconds</x:f>
        <x:v>477874.7757613149</x:v>
      </x:c>
    </x:row>
    <x:row r="521">
      <x:c r="A521" s="8" t="n">
        <x:f>A520+1</x:f>
        <x:v>518</x:v>
      </x:c>
      <x:c r="B521" s="9" t="n">
        <x:f>A521*tun_SeasonSeconds/60</x:f>
        <x:v>129.5</x:v>
      </x:c>
      <x:c r="C521" s="9" t="n">
        <x:f>A521/4</x:f>
        <x:v>129.5</x:v>
      </x:c>
      <x:c r="D521" s="8" t="n">
        <x:f>IF(MOD(A521,4)=0,1,0)</x:f>
        <x:v>0</x:v>
      </x:c>
      <x:c r="E521" s="8" t="n">
        <x:f>IF(AND(F520&lt;=9,AS520&gt;=AR520),1,0)</x:f>
        <x:v>0</x:v>
      </x:c>
      <x:c r="F521" s="8" t="n">
        <x:f>MIN(10,F520+E521)</x:f>
        <x:v>8</x:v>
      </x:c>
      <x:c r="G521" s="8" t="n">
        <x:f>MIN(F521,9)+1</x:f>
        <x:v>9</x:v>
      </x:c>
      <x:c r="H521" s="8" t="n">
        <x:f>IF(F521&lt;=9,1,0)</x:f>
        <x:v>1</x:v>
      </x:c>
      <x:c r="I521" s="9" t="n">
        <x:f>MIN(10,F520+IF(AR520&gt;0,MIN(1,AS520/AR520),1))</x:f>
        <x:v>8.12679092913136</x:v>
      </x:c>
      <x:c r="J521" s="32" t="n">
        <x:f>INDEX(tun_FoodCap,G521)*Arch_FoodCap*EXP(tun_CapsByProject*SUMPRODUCT((Cap_Point&lt;=I521)*(Cap_Kind="Food")*Cap_Ln))</x:f>
        <x:v>4514.300360064293</x:v>
      </x:c>
      <x:c r="K521" s="32" t="n">
        <x:f>J521*MIN(1,tun_LeanBase*EXP(tun_CapsByProject*SUMPRODUCT((Cap_Point&lt;=I521)*(Cap_Kind="Lean")*Cap_Ln)))</x:f>
        <x:v>4514.300360064293</x:v>
      </x:c>
      <x:c r="L521" s="10" t="n">
        <x:f>INDEX(tun_HousingCap,G521)*EXP(tun_CapsByProject*SUMPRODUCT((Cap_Point&lt;=I521)*(Cap_Kind="Housing")*Cap_Ln))</x:f>
        <x:v>5983.37642068151</x:v>
      </x:c>
      <x:c r="M521" s="10" t="n">
        <x:f>INDEX(tun_GroupCap,G521)*tun_CohesionFactor*EXP(tun_CapsByProject*SUMPRODUCT((Cap_Point&lt;=I521)*(Cap_Kind="Group")*Cap_Ln))</x:f>
        <x:v>1000000.000000001</x:v>
      </x:c>
      <x:c r="N521" s="32" t="n">
        <x:f>MIN(J521,L521,M521)</x:f>
        <x:v>4514.300360064293</x:v>
      </x:c>
      <x:c r="O521" s="10" t="n">
        <x:f>AE520*N521</x:f>
        <x:v>40628.70324057864</x:v>
      </x:c>
      <x:c r="P521" s="9" t="n">
        <x:f>MIN(1,(AB520/(AE520*IF(tun_GroupInCrowding=1,N521,MIN(J521,L521))))^tun_CrowdingExp)</x:f>
        <x:v>0.9033926595830075</x:v>
      </x:c>
      <x:c r="Q521" s="9" t="n">
        <x:f>IF(D521=1,INDEX(tun_WinterMult,G521),1)</x:f>
        <x:v>1</x:v>
      </x:c>
      <x:c r="R521" s="9" t="n">
        <x:f>H521*Z520*tun_WomenShare*tun_BaseFertility*INDEX(tun_FertMult,G521)*Arch_Fertility*(1-P521)</x:f>
        <x:v>64.8178096168801</x:v>
      </x:c>
      <x:c r="S521" s="9" t="n">
        <x:f>H521*Y520*INDEX(tun_MortChild,G521)/4*Q521</x:f>
        <x:v>16.413740675599765</x:v>
      </x:c>
      <x:c r="T521" s="9" t="n">
        <x:f>H521*Z520*INDEX(tun_MortAdult,G521)*Arch_AdultMort/4*Q521</x:f>
        <x:v>14.07568184671332</x:v>
      </x:c>
      <x:c r="U521" s="9" t="n">
        <x:f>H521*AA520*INDEX(tun_MortElder,G521)/4*Q521</x:f>
        <x:v>54.35893610514531</x:v>
      </x:c>
      <x:c r="V521" s="9" t="n">
        <x:f>H521*MAX(0,AB520-O521)*tun_OvercapLoss</x:f>
        <x:v>0</x:v>
      </x:c>
      <x:c r="W521" s="9" t="n">
        <x:f>H521*Y520/(tun_ChildYears*4)</x:f>
        <x:v>260.5355662793614</x:v>
      </x:c>
      <x:c r="X521" s="9" t="n">
        <x:f>H521*Z520/(tun_AdultYears*4)</x:f>
        <x:v>151.35141770659482</x:v>
      </x:c>
      <x:c r="Y521" s="32" t="n">
        <x:f>Y520+R521-S521-W521-Y520*V521/AB520</x:f>
        <x:v>14377.860214306156</x:v>
      </x:c>
      <x:c r="Z521" s="32" t="n">
        <x:f>Z520+W521-X521-T521-Z520*V521/AB520</x:f>
        <x:v>18862.684262343813</x:v>
      </x:c>
      <x:c r="AA521" s="32" t="n">
        <x:f>AA520+X521-U521-AA520*V521/AB520</x:f>
        <x:v>6685.954433740274</x:v>
      </x:c>
      <x:c r="AB521" s="10" t="n">
        <x:f>Y521+Z521+AA521</x:f>
        <x:v>39926.49891039025</x:v>
      </x:c>
      <x:c r="AC521" s="8" t="n">
        <x:f>IF(AND(tun_WinterTrigger=1,D521=1,AB520/AE520&gt;=K521),1,0)</x:f>
        <x:v>0</x:v>
      </x:c>
      <x:c r="AD521" s="8" t="n">
        <x:f>H521*IF(AND(OR(AB520/AE520&gt;=tun_FissionTrigger*N521,AC521=1),AB520/AE520*tun_DaughterShare&gt;=tun_MinDaughter),MAX(1,ROUND(AE520*tun_FissionRate,0)),0)</x:f>
        <x:v>3</x:v>
      </x:c>
      <x:c r="AE521" s="8" t="n">
        <x:f>IF(H521=1,MAX(1,MIN(INDEX(tun_Smax,G521),AE520+AD521)),AE520)</x:f>
        <x:v>9</x:v>
      </x:c>
      <x:c r="AF521" s="8" t="n">
        <x:f>MAX(0,AE521-AE520)</x:f>
        <x:v>0</x:v>
      </x:c>
      <x:c r="AG521" s="9" t="str">
        <x:f>IF(AF521&gt;0,B521,"")</x:f>
      </x:c>
      <x:c r="AH521" s="9" t="n">
        <x:f>IF(F521&gt;=1,1,(1+tun_LowTiesShare*(AE521-1))/AE521)</x:f>
        <x:v>1</x:v>
      </x:c>
      <x:c r="AI521" s="32" t="n">
        <x:f>(Z521+tun_ElderCommons*INDEX(LM_Elder,G521)*AA521)*AH521</x:f>
        <x:v>43935.01338886984</x:v>
      </x:c>
      <x:c r="AJ521" s="32" t="n">
        <x:f>H521*tun_CommonsCoef*AI521^tun_CommonsExp*INDEX(LM_Commons,G521)</x:f>
        <x:v>127903.16102178364</x:v>
      </x:c>
      <x:c r="AK521" s="32" t="n">
        <x:f>H521*tun_RoleScale*Arch_Roles*(AE521*(INDEX(tun_ElderRolePerSett,G521)*tun_OutElder*INDEX(LM_Elder,G521)+INDEX(tun_ShamanPerSett,G521)*tun_OutShaman)+Z521*(INDEX(tun_PriestShare,G521)*tun_OutPriest+INDEX(tun_ScribeShare,G521)*tun_OutScribe*INDEX(LM_Scribe,G521)+INDEX(tun_ScholarShare,G521)*tun_OutScholar*INDEX(LM_Scholar,G521)+INDEX(tun_ResearcherShare,G521)*tun_OutResearcher*INDEX(LM_Researcher,G521)))</x:f>
        <x:v>39213.48270412641</x:v>
      </x:c>
      <x:c r="AL521" s="32" t="n">
        <x:f>H521*tun_RoleScale*Arch_Roles*AE521*INDEX(tun_MonasteryPerSett,G521)*tun_OutMonastery*INDEX(LM_Monastery,G521)</x:f>
        <x:v>31.680000000000003</x:v>
      </x:c>
      <x:c r="AM521" s="32" t="n">
        <x:f>(AJ521+AK521+AL521)/4*INDEX(LM_All,G521)*INDEX(tun_Boon,G521)*Arch_Insight</x:f>
        <x:v>120428.94231788164</x:v>
      </x:c>
      <x:c r="AN521" s="32" t="n">
        <x:f>H521*(tun_KHPerAdult*Z521+tun_KHOfCommons*AJ521/4*INDEX(LM_All,G521))*tun_KHUsable*Arch_KH</x:f>
        <x:v>18530.42097016876</x:v>
      </x:c>
      <x:c r="AO521" s="32" t="n">
        <x:f>MIN(AP520+AN521,AM521*tun_KHMaxRatio)</x:f>
        <x:v>18530.42097016876</x:v>
      </x:c>
      <x:c r="AP521" s="32" t="n">
        <x:f>AP520+AN521-AO521</x:f>
        <x:v>0</x:v>
      </x:c>
      <x:c r="AQ521" s="32" t="n">
        <x:f>AM521+AO521</x:f>
        <x:v>138959.3632880504</x:v>
      </x:c>
      <x:c r="AR521" s="10" t="n">
        <x:f>IF(H521=1,INDEX(tun_Req,G521),0)</x:f>
        <x:v>24497531.045680594</x:v>
      </x:c>
      <x:c r="AS521" s="32" t="n">
        <x:f>IF(H521=1,IF(E521=1,AS520-AR520,AS520)+AQ521,0)</x:f>
        <x:v>3245024.0859942473</x:v>
      </x:c>
      <x:c r="AT521" s="11" t="n">
        <x:f>IF(AR521&gt;0,MIN(1,AS521/AR521),1)</x:f>
        <x:v>0.13246331150446322</x:v>
      </x:c>
      <x:c r="AU521" s="10" t="n">
        <x:f>AB521/INDEX(tun_RepScale,G521)</x:f>
        <x:v>159.705995641561</x:v>
      </x:c>
      <x:c r="AV521" s="32" t="n">
        <x:f>AM521*60/tun_SeasonSeconds</x:f>
        <x:v>481715.76927152654</x:v>
      </x:c>
    </x:row>
    <x:row r="522">
      <x:c r="A522" s="8" t="n">
        <x:f>A521+1</x:f>
        <x:v>519</x:v>
      </x:c>
      <x:c r="B522" s="9" t="n">
        <x:f>A522*tun_SeasonSeconds/60</x:f>
        <x:v>129.75</x:v>
      </x:c>
      <x:c r="C522" s="9" t="n">
        <x:f>A522/4</x:f>
        <x:v>129.75</x:v>
      </x:c>
      <x:c r="D522" s="8" t="n">
        <x:f>IF(MOD(A522,4)=0,1,0)</x:f>
        <x:v>0</x:v>
      </x:c>
      <x:c r="E522" s="8" t="n">
        <x:f>IF(AND(F521&lt;=9,AS521&gt;=AR521),1,0)</x:f>
        <x:v>0</x:v>
      </x:c>
      <x:c r="F522" s="8" t="n">
        <x:f>MIN(10,F521+E522)</x:f>
        <x:v>8</x:v>
      </x:c>
      <x:c r="G522" s="8" t="n">
        <x:f>MIN(F522,9)+1</x:f>
        <x:v>9</x:v>
      </x:c>
      <x:c r="H522" s="8" t="n">
        <x:f>IF(F522&lt;=9,1,0)</x:f>
        <x:v>1</x:v>
      </x:c>
      <x:c r="I522" s="9" t="n">
        <x:f>MIN(10,F521+IF(AR521&gt;0,MIN(1,AS521/AR521),1))</x:f>
        <x:v>8.132463311504463</x:v>
      </x:c>
      <x:c r="J522" s="32" t="n">
        <x:f>INDEX(tun_FoodCap,G522)*Arch_FoodCap*EXP(tun_CapsByProject*SUMPRODUCT((Cap_Point&lt;=I522)*(Cap_Kind="Food")*Cap_Ln))</x:f>
        <x:v>4514.300360064293</x:v>
      </x:c>
      <x:c r="K522" s="32" t="n">
        <x:f>J522*MIN(1,tun_LeanBase*EXP(tun_CapsByProject*SUMPRODUCT((Cap_Point&lt;=I522)*(Cap_Kind="Lean")*Cap_Ln)))</x:f>
        <x:v>4514.300360064293</x:v>
      </x:c>
      <x:c r="L522" s="10" t="n">
        <x:f>INDEX(tun_HousingCap,G522)*EXP(tun_CapsByProject*SUMPRODUCT((Cap_Point&lt;=I522)*(Cap_Kind="Housing")*Cap_Ln))</x:f>
        <x:v>5983.37642068151</x:v>
      </x:c>
      <x:c r="M522" s="10" t="n">
        <x:f>INDEX(tun_GroupCap,G522)*tun_CohesionFactor*EXP(tun_CapsByProject*SUMPRODUCT((Cap_Point&lt;=I522)*(Cap_Kind="Group")*Cap_Ln))</x:f>
        <x:v>1000000.000000001</x:v>
      </x:c>
      <x:c r="N522" s="32" t="n">
        <x:f>MIN(J522,L522,M522)</x:f>
        <x:v>4514.300360064293</x:v>
      </x:c>
      <x:c r="O522" s="10" t="n">
        <x:f>AE521*N522</x:f>
        <x:v>40628.70324057864</x:v>
      </x:c>
      <x:c r="P522" s="9" t="n">
        <x:f>MIN(1,(AB521/(AE521*IF(tun_GroupInCrowding=1,N522,MIN(J522,L522))))^tun_CrowdingExp)</x:f>
        <x:v>0.9006781135894028</x:v>
      </x:c>
      <x:c r="Q522" s="9" t="n">
        <x:f>IF(D522=1,INDEX(tun_WinterMult,G522),1)</x:f>
        <x:v>1</x:v>
      </x:c>
      <x:c r="R522" s="9" t="n">
        <x:f>H522*Z521*tun_WomenShare*tun_BaseFertility*INDEX(tun_FertMult,G522)*Arch_Fertility*(1-P522)</x:f>
        <x:v>66.97681646739915</x:v>
      </x:c>
      <x:c r="S522" s="9" t="n">
        <x:f>H522*Y521*INDEX(tun_MortChild,G522)/4*Q522</x:f>
        <x:v>16.175092741094424</x:v>
      </x:c>
      <x:c r="T522" s="9" t="n">
        <x:f>H522*Z521*INDEX(tun_MortAdult,G522)*Arch_AdultMort/4*Q522</x:f>
        <x:v>14.147013196757861</x:v>
      </x:c>
      <x:c r="U522" s="9" t="n">
        <x:f>H522*AA521*INDEX(tun_MortElder,G522)/4*Q522</x:f>
        <x:v>55.159124078357266</x:v>
      </x:c>
      <x:c r="V522" s="9" t="n">
        <x:f>H522*MAX(0,AB521-O522)*tun_OvercapLoss</x:f>
        <x:v>0</x:v>
      </x:c>
      <x:c r="W522" s="9" t="n">
        <x:f>H522*Y521/(tun_ChildYears*4)</x:f>
        <x:v>256.74750382689564</x:v>
      </x:c>
      <x:c r="X522" s="9" t="n">
        <x:f>H522*Z521/(tun_AdultYears*4)</x:f>
        <x:v>152.11842147051462</x:v>
      </x:c>
      <x:c r="Y522" s="32" t="n">
        <x:f>Y521+R522-S522-W522-Y521*V522/AB521</x:f>
        <x:v>14171.914434205566</x:v>
      </x:c>
      <x:c r="Z522" s="32" t="n">
        <x:f>Z521+W522-X522-T522-Z521*V522/AB521</x:f>
        <x:v>18953.16633150344</x:v>
      </x:c>
      <x:c r="AA522" s="32" t="n">
        <x:f>AA521+X522-U522-AA521*V522/AB521</x:f>
        <x:v>6782.913731132431</x:v>
      </x:c>
      <x:c r="AB522" s="10" t="n">
        <x:f>Y522+Z522+AA522</x:f>
        <x:v>39907.994496841435</x:v>
      </x:c>
      <x:c r="AC522" s="8" t="n">
        <x:f>IF(AND(tun_WinterTrigger=1,D522=1,AB521/AE521&gt;=K522),1,0)</x:f>
        <x:v>0</x:v>
      </x:c>
      <x:c r="AD522" s="8" t="n">
        <x:f>H522*IF(AND(OR(AB521/AE521&gt;=tun_FissionTrigger*N522,AC522=1),AB521/AE521*tun_DaughterShare&gt;=tun_MinDaughter),MAX(1,ROUND(AE521*tun_FissionRate,0)),0)</x:f>
        <x:v>3</x:v>
      </x:c>
      <x:c r="AE522" s="8" t="n">
        <x:f>IF(H522=1,MAX(1,MIN(INDEX(tun_Smax,G522),AE521+AD522)),AE521)</x:f>
        <x:v>9</x:v>
      </x:c>
      <x:c r="AF522" s="8" t="n">
        <x:f>MAX(0,AE522-AE521)</x:f>
        <x:v>0</x:v>
      </x:c>
      <x:c r="AG522" s="9" t="str">
        <x:f>IF(AF522&gt;0,B522,"")</x:f>
      </x:c>
      <x:c r="AH522" s="9" t="n">
        <x:f>IF(F522&gt;=1,1,(1+tun_LowTiesShare*(AE522-1))/AE522)</x:f>
        <x:v>1</x:v>
      </x:c>
      <x:c r="AI522" s="32" t="n">
        <x:f>(Z522+tun_ElderCommons*INDEX(LM_Elder,G522)*AA522)*AH522</x:f>
        <x:v>44389.09282325006</x:v>
      </x:c>
      <x:c r="AJ522" s="32" t="n">
        <x:f>H522*tun_CommonsCoef*AI522^tun_CommonsExp*INDEX(LM_Commons,G522)</x:f>
        <x:v>129025.91817168497</x:v>
      </x:c>
      <x:c r="AK522" s="32" t="n">
        <x:f>H522*tun_RoleScale*Arch_Roles*(AE522*(INDEX(tun_ElderRolePerSett,G522)*tun_OutElder*INDEX(LM_Elder,G522)+INDEX(tun_ShamanPerSett,G522)*tun_OutShaman)+Z522*(INDEX(tun_PriestShare,G522)*tun_OutPriest+INDEX(tun_ScribeShare,G522)*tun_OutScribe*INDEX(LM_Scribe,G522)+INDEX(tun_ScholarShare,G522)*tun_OutScholar*INDEX(LM_Scholar,G522)+INDEX(tun_ResearcherShare,G522)*tun_OutResearcher*INDEX(LM_Researcher,G522)))</x:f>
        <x:v>39400.419508145234</x:v>
      </x:c>
      <x:c r="AL522" s="32" t="n">
        <x:f>H522*tun_RoleScale*Arch_Roles*AE522*INDEX(tun_MonasteryPerSett,G522)*tun_OutMonastery*INDEX(LM_Monastery,G522)</x:f>
        <x:v>31.680000000000003</x:v>
      </x:c>
      <x:c r="AM522" s="32" t="n">
        <x:f>(AJ522+AK522+AL522)/4*INDEX(LM_All,G522)*INDEX(tun_Boon,G522)*Arch_Insight</x:f>
        <x:v>121372.56564664062</x:v>
      </x:c>
      <x:c r="AN522" s="32" t="n">
        <x:f>H522*(tun_KHPerAdult*Z522+tun_KHOfCommons*AJ522/4*INDEX(LM_All,G522))*tun_KHUsable*Arch_KH</x:f>
        <x:v>18693.08436698188</x:v>
      </x:c>
      <x:c r="AO522" s="32" t="n">
        <x:f>MIN(AP521+AN522,AM522*tun_KHMaxRatio)</x:f>
        <x:v>18693.08436698188</x:v>
      </x:c>
      <x:c r="AP522" s="32" t="n">
        <x:f>AP521+AN522-AO522</x:f>
        <x:v>0</x:v>
      </x:c>
      <x:c r="AQ522" s="32" t="n">
        <x:f>AM522+AO522</x:f>
        <x:v>140065.6500136225</x:v>
      </x:c>
      <x:c r="AR522" s="10" t="n">
        <x:f>IF(H522=1,INDEX(tun_Req,G522),0)</x:f>
        <x:v>24497531.045680594</x:v>
      </x:c>
      <x:c r="AS522" s="32" t="n">
        <x:f>IF(H522=1,IF(E522=1,AS521-AR521,AS521)+AQ522,0)</x:f>
        <x:v>3385089.7360078697</x:v>
      </x:c>
      <x:c r="AT522" s="11" t="n">
        <x:f>IF(AR522&gt;0,MIN(1,AS522/AR522),1)</x:f>
        <x:v>0.13818085298864144</x:v>
      </x:c>
      <x:c r="AU522" s="10" t="n">
        <x:f>AB522/INDEX(tun_RepScale,G522)</x:f>
        <x:v>159.63197798736573</x:v>
      </x:c>
      <x:c r="AV522" s="32" t="n">
        <x:f>AM522*60/tun_SeasonSeconds</x:f>
        <x:v>485490.2625865625</x:v>
      </x:c>
    </x:row>
    <x:row r="523">
      <x:c r="A523" s="8" t="n">
        <x:f>A522+1</x:f>
        <x:v>520</x:v>
      </x:c>
      <x:c r="B523" s="9" t="n">
        <x:f>A523*tun_SeasonSeconds/60</x:f>
        <x:v>130</x:v>
      </x:c>
      <x:c r="C523" s="9" t="n">
        <x:f>A523/4</x:f>
        <x:v>130</x:v>
      </x:c>
      <x:c r="D523" s="8" t="n">
        <x:f>IF(MOD(A523,4)=0,1,0)</x:f>
        <x:v>1</x:v>
      </x:c>
      <x:c r="E523" s="8" t="n">
        <x:f>IF(AND(F522&lt;=9,AS522&gt;=AR522),1,0)</x:f>
        <x:v>0</x:v>
      </x:c>
      <x:c r="F523" s="8" t="n">
        <x:f>MIN(10,F522+E523)</x:f>
        <x:v>8</x:v>
      </x:c>
      <x:c r="G523" s="8" t="n">
        <x:f>MIN(F523,9)+1</x:f>
        <x:v>9</x:v>
      </x:c>
      <x:c r="H523" s="8" t="n">
        <x:f>IF(F523&lt;=9,1,0)</x:f>
        <x:v>1</x:v>
      </x:c>
      <x:c r="I523" s="9" t="n">
        <x:f>MIN(10,F522+IF(AR522&gt;0,MIN(1,AS522/AR522),1))</x:f>
        <x:v>8.138180852988642</x:v>
      </x:c>
      <x:c r="J523" s="32" t="n">
        <x:f>INDEX(tun_FoodCap,G523)*Arch_FoodCap*EXP(tun_CapsByProject*SUMPRODUCT((Cap_Point&lt;=I523)*(Cap_Kind="Food")*Cap_Ln))</x:f>
        <x:v>4514.300360064293</x:v>
      </x:c>
      <x:c r="K523" s="32" t="n">
        <x:f>J523*MIN(1,tun_LeanBase*EXP(tun_CapsByProject*SUMPRODUCT((Cap_Point&lt;=I523)*(Cap_Kind="Lean")*Cap_Ln)))</x:f>
        <x:v>4514.300360064293</x:v>
      </x:c>
      <x:c r="L523" s="10" t="n">
        <x:f>INDEX(tun_HousingCap,G523)*EXP(tun_CapsByProject*SUMPRODUCT((Cap_Point&lt;=I523)*(Cap_Kind="Housing")*Cap_Ln))</x:f>
        <x:v>5983.37642068151</x:v>
      </x:c>
      <x:c r="M523" s="10" t="n">
        <x:f>INDEX(tun_GroupCap,G523)*tun_CohesionFactor*EXP(tun_CapsByProject*SUMPRODUCT((Cap_Point&lt;=I523)*(Cap_Kind="Group")*Cap_Ln))</x:f>
        <x:v>1000000.000000001</x:v>
      </x:c>
      <x:c r="N523" s="32" t="n">
        <x:f>MIN(J523,L523,M523)</x:f>
        <x:v>4514.300360064293</x:v>
      </x:c>
      <x:c r="O523" s="10" t="n">
        <x:f>AE522*N523</x:f>
        <x:v>40628.70324057864</x:v>
      </x:c>
      <x:c r="P523" s="9" t="n">
        <x:f>MIN(1,(AB522/(AE522*IF(tun_GroupInCrowding=1,N523,MIN(J523,L523))))^tun_CrowdingExp)</x:f>
        <x:v>0.8981764334632805</x:v>
      </x:c>
      <x:c r="Q523" s="9" t="n">
        <x:f>IF(D523=1,INDEX(tun_WinterMult,G523),1)</x:f>
        <x:v>1.05</x:v>
      </x:c>
      <x:c r="R523" s="9" t="n">
        <x:f>H523*Z522*tun_WomenShare*tun_BaseFertility*INDEX(tun_FertMult,G523)*Arch_Fertility*(1-P523)</x:f>
        <x:v>68.99317400108536</x:v>
      </x:c>
      <x:c r="S523" s="9" t="n">
        <x:f>H523*Y522*INDEX(tun_MortChild,G523)/4*Q523</x:f>
        <x:v>16.740573925405325</x:v>
      </x:c>
      <x:c r="T523" s="9" t="n">
        <x:f>H523*Z522*INDEX(tun_MortAdult,G523)*Arch_AdultMort/4*Q523</x:f>
        <x:v>14.925618486058958</x:v>
      </x:c>
      <x:c r="U523" s="9" t="n">
        <x:f>H523*AA522*INDEX(tun_MortElder,G523)/4*Q523</x:f>
        <x:v>58.75699019593469</x:v>
      </x:c>
      <x:c r="V523" s="9" t="n">
        <x:f>H523*MAX(0,AB522-O523)*tun_OvercapLoss</x:f>
        <x:v>0</x:v>
      </x:c>
      <x:c r="W523" s="9" t="n">
        <x:f>H523*Y522/(tun_ChildYears*4)</x:f>
        <x:v>253.06990061081368</x:v>
      </x:c>
      <x:c r="X523" s="9" t="n">
        <x:f>H523*Z522/(tun_AdultYears*4)</x:f>
        <x:v>152.84811557664062</x:v>
      </x:c>
      <x:c r="Y523" s="32" t="n">
        <x:f>Y522+R523-S523-W523-Y522*V523/AB522</x:f>
        <x:v>13971.097133670433</x:v>
      </x:c>
      <x:c r="Z523" s="32" t="n">
        <x:f>Z522+W523-X523-T523-Z522*V523/AB522</x:f>
        <x:v>19038.46249805155</x:v>
      </x:c>
      <x:c r="AA523" s="32" t="n">
        <x:f>AA522+X523-U523-AA522*V523/AB522</x:f>
        <x:v>6877.0048565131365</x:v>
      </x:c>
      <x:c r="AB523" s="10" t="n">
        <x:f>Y523+Z523+AA523</x:f>
        <x:v>39886.56448823512</x:v>
      </x:c>
      <x:c r="AC523" s="8" t="n">
        <x:f>IF(AND(tun_WinterTrigger=1,D523=1,AB522/AE522&gt;=K523),1,0)</x:f>
        <x:v>0</x:v>
      </x:c>
      <x:c r="AD523" s="8" t="n">
        <x:f>H523*IF(AND(OR(AB522/AE522&gt;=tun_FissionTrigger*N523,AC523=1),AB522/AE522*tun_DaughterShare&gt;=tun_MinDaughter),MAX(1,ROUND(AE522*tun_FissionRate,0)),0)</x:f>
        <x:v>3</x:v>
      </x:c>
      <x:c r="AE523" s="8" t="n">
        <x:f>IF(H523=1,MAX(1,MIN(INDEX(tun_Smax,G523),AE522+AD523)),AE522)</x:f>
        <x:v>9</x:v>
      </x:c>
      <x:c r="AF523" s="8" t="n">
        <x:f>MAX(0,AE523-AE522)</x:f>
        <x:v>0</x:v>
      </x:c>
      <x:c r="AG523" s="9" t="str">
        <x:f>IF(AF523&gt;0,B523,"")</x:f>
      </x:c>
      <x:c r="AH523" s="9" t="n">
        <x:f>IF(F523&gt;=1,1,(1+tun_LowTiesShare*(AE523-1))/AE523)</x:f>
        <x:v>1</x:v>
      </x:c>
      <x:c r="AI523" s="32" t="n">
        <x:f>(Z523+tun_ElderCommons*INDEX(LM_Elder,G523)*AA523)*AH523</x:f>
        <x:v>44827.23070997581</x:v>
      </x:c>
      <x:c r="AJ523" s="32" t="n">
        <x:f>H523*tun_CommonsCoef*AI523^tun_CommonsExp*INDEX(LM_Commons,G523)</x:f>
        <x:v>130107.62610832474</x:v>
      </x:c>
      <x:c r="AK523" s="32" t="n">
        <x:f>H523*tun_RoleScale*Arch_Roles*(AE523*(INDEX(tun_ElderRolePerSett,G523)*tun_OutElder*INDEX(LM_Elder,G523)+INDEX(tun_ShamanPerSett,G523)*tun_OutShaman)+Z523*(INDEX(tun_PriestShare,G523)*tun_OutPriest+INDEX(tun_ScribeShare,G523)*tun_OutScribe*INDEX(LM_Scribe,G523)+INDEX(tun_ScholarShare,G523)*tun_OutScholar*INDEX(LM_Scholar,G523)+INDEX(tun_ResearcherShare,G523)*tun_OutResearcher*INDEX(LM_Researcher,G523)))</x:f>
        <x:v>39576.64218870122</x:v>
      </x:c>
      <x:c r="AL523" s="32" t="n">
        <x:f>H523*tun_RoleScale*Arch_Roles*AE523*INDEX(tun_MonasteryPerSett,G523)*tun_OutMonastery*INDEX(LM_Monastery,G523)</x:f>
        <x:v>31.680000000000003</x:v>
      </x:c>
      <x:c r="AM523" s="32" t="n">
        <x:f>(AJ523+AK523+AL523)/4*INDEX(LM_All,G523)*INDEX(tun_Boon,G523)*Arch_Insight</x:f>
        <x:v>122278.89393256816</x:v>
      </x:c>
      <x:c r="AN523" s="32" t="n">
        <x:f>H523*(tun_KHPerAdult*Z523+tun_KHOfCommons*AJ523/4*INDEX(LM_All,G523))*tun_KHUsable*Arch_KH</x:f>
        <x:v>18849.800614434855</x:v>
      </x:c>
      <x:c r="AO523" s="32" t="n">
        <x:f>MIN(AP522+AN523,AM523*tun_KHMaxRatio)</x:f>
        <x:v>18849.800614434855</x:v>
      </x:c>
      <x:c r="AP523" s="32" t="n">
        <x:f>AP522+AN523-AO523</x:f>
        <x:v>0</x:v>
      </x:c>
      <x:c r="AQ523" s="32" t="n">
        <x:f>AM523+AO523</x:f>
        <x:v>141128.69454700302</x:v>
      </x:c>
      <x:c r="AR523" s="10" t="n">
        <x:f>IF(H523=1,INDEX(tun_Req,G523),0)</x:f>
        <x:v>24497531.045680594</x:v>
      </x:c>
      <x:c r="AS523" s="32" t="n">
        <x:f>IF(H523=1,IF(E523=1,AS522-AR522,AS522)+AQ523,0)</x:f>
        <x:v>3526218.430554873</x:v>
      </x:c>
      <x:c r="AT523" s="11" t="n">
        <x:f>IF(AR523&gt;0,MIN(1,AS523/AR523),1)</x:f>
        <x:v>0.14394178841857683</x:v>
      </x:c>
      <x:c r="AU523" s="10" t="n">
        <x:f>AB523/INDEX(tun_RepScale,G523)</x:f>
        <x:v>159.54625795294046</x:v>
      </x:c>
      <x:c r="AV523" s="32" t="n">
        <x:f>AM523*60/tun_SeasonSeconds</x:f>
        <x:v>489115.5757302726</x:v>
      </x:c>
    </x:row>
    <x:row r="524">
      <x:c r="A524" s="8" t="n">
        <x:f>A523+1</x:f>
        <x:v>521</x:v>
      </x:c>
      <x:c r="B524" s="9" t="n">
        <x:f>A524*tun_SeasonSeconds/60</x:f>
        <x:v>130.25</x:v>
      </x:c>
      <x:c r="C524" s="9" t="n">
        <x:f>A524/4</x:f>
        <x:v>130.25</x:v>
      </x:c>
      <x:c r="D524" s="8" t="n">
        <x:f>IF(MOD(A524,4)=0,1,0)</x:f>
        <x:v>0</x:v>
      </x:c>
      <x:c r="E524" s="8" t="n">
        <x:f>IF(AND(F523&lt;=9,AS523&gt;=AR523),1,0)</x:f>
        <x:v>0</x:v>
      </x:c>
      <x:c r="F524" s="8" t="n">
        <x:f>MIN(10,F523+E524)</x:f>
        <x:v>8</x:v>
      </x:c>
      <x:c r="G524" s="8" t="n">
        <x:f>MIN(F524,9)+1</x:f>
        <x:v>9</x:v>
      </x:c>
      <x:c r="H524" s="8" t="n">
        <x:f>IF(F524&lt;=9,1,0)</x:f>
        <x:v>1</x:v>
      </x:c>
      <x:c r="I524" s="9" t="n">
        <x:f>MIN(10,F523+IF(AR523&gt;0,MIN(1,AS523/AR523),1))</x:f>
        <x:v>8.143941788418577</x:v>
      </x:c>
      <x:c r="J524" s="32" t="n">
        <x:f>INDEX(tun_FoodCap,G524)*Arch_FoodCap*EXP(tun_CapsByProject*SUMPRODUCT((Cap_Point&lt;=I524)*(Cap_Kind="Food")*Cap_Ln))</x:f>
        <x:v>4514.300360064293</x:v>
      </x:c>
      <x:c r="K524" s="32" t="n">
        <x:f>J524*MIN(1,tun_LeanBase*EXP(tun_CapsByProject*SUMPRODUCT((Cap_Point&lt;=I524)*(Cap_Kind="Lean")*Cap_Ln)))</x:f>
        <x:v>4514.300360064293</x:v>
      </x:c>
      <x:c r="L524" s="10" t="n">
        <x:f>INDEX(tun_HousingCap,G524)*EXP(tun_CapsByProject*SUMPRODUCT((Cap_Point&lt;=I524)*(Cap_Kind="Housing")*Cap_Ln))</x:f>
        <x:v>5983.37642068151</x:v>
      </x:c>
      <x:c r="M524" s="10" t="n">
        <x:f>INDEX(tun_GroupCap,G524)*tun_CohesionFactor*EXP(tun_CapsByProject*SUMPRODUCT((Cap_Point&lt;=I524)*(Cap_Kind="Group")*Cap_Ln))</x:f>
        <x:v>1000000.000000001</x:v>
      </x:c>
      <x:c r="N524" s="32" t="n">
        <x:f>MIN(J524,L524,M524)</x:f>
        <x:v>4514.300360064293</x:v>
      </x:c>
      <x:c r="O524" s="10" t="n">
        <x:f>AE523*N524</x:f>
        <x:v>40628.70324057864</x:v>
      </x:c>
      <x:c r="P524" s="9" t="n">
        <x:f>MIN(1,(AB523/(AE523*IF(tun_GroupInCrowding=1,N524,MIN(J524,L524))))^tun_CrowdingExp)</x:f>
        <x:v>0.895286470016842</x:v>
      </x:c>
      <x:c r="Q524" s="9" t="n">
        <x:f>IF(D524=1,INDEX(tun_WinterMult,G524),1)</x:f>
        <x:v>1</x:v>
      </x:c>
      <x:c r="R524" s="9" t="n">
        <x:f>H524*Z523*tun_WomenShare*tun_BaseFertility*INDEX(tun_FertMult,G524)*Arch_Fertility*(1-P524)</x:f>
        <x:v>71.27064993702045</x:v>
      </x:c>
      <x:c r="S524" s="9" t="n">
        <x:f>H524*Y523*INDEX(tun_MortChild,G524)/4*Q524</x:f>
        <x:v>15.717484275379237</x:v>
      </x:c>
      <x:c r="T524" s="9" t="n">
        <x:f>H524*Z523*INDEX(tun_MortAdult,G524)*Arch_AdultMort/4*Q524</x:f>
        <x:v>14.278846873538663</x:v>
      </x:c>
      <x:c r="U524" s="9" t="n">
        <x:f>H524*AA523*INDEX(tun_MortElder,G524)/4*Q524</x:f>
        <x:v>56.735290066233375</x:v>
      </x:c>
      <x:c r="V524" s="9" t="n">
        <x:f>H524*MAX(0,AB523-O524)*tun_OvercapLoss</x:f>
        <x:v>0</x:v>
      </x:c>
      <x:c r="W524" s="9" t="n">
        <x:f>H524*Y523/(tun_ChildYears*4)</x:f>
        <x:v>249.483877386972</x:v>
      </x:c>
      <x:c r="X524" s="9" t="n">
        <x:f>H524*Z523/(tun_AdultYears*4)</x:f>
        <x:v>153.5359878875125</x:v>
      </x:c>
      <x:c r="Y524" s="32" t="n">
        <x:f>Y523+R524-S524-W524-Y523*V524/AB523</x:f>
        <x:v>13777.166421945101</x:v>
      </x:c>
      <x:c r="Z524" s="32" t="n">
        <x:f>Z523+W524-X524-T524-Z523*V524/AB523</x:f>
        <x:v>19120.13154067747</x:v>
      </x:c>
      <x:c r="AA524" s="32" t="n">
        <x:f>AA523+X524-U524-AA523*V524/AB523</x:f>
        <x:v>6973.805554334415</x:v>
      </x:c>
      <x:c r="AB524" s="10" t="n">
        <x:f>Y524+Z524+AA524</x:f>
        <x:v>39871.10351695699</x:v>
      </x:c>
      <x:c r="AC524" s="8" t="n">
        <x:f>IF(AND(tun_WinterTrigger=1,D524=1,AB523/AE523&gt;=K524),1,0)</x:f>
        <x:v>0</x:v>
      </x:c>
      <x:c r="AD524" s="8" t="n">
        <x:f>H524*IF(AND(OR(AB523/AE523&gt;=tun_FissionTrigger*N524,AC524=1),AB523/AE523*tun_DaughterShare&gt;=tun_MinDaughter),MAX(1,ROUND(AE523*tun_FissionRate,0)),0)</x:f>
        <x:v>3</x:v>
      </x:c>
      <x:c r="AE524" s="8" t="n">
        <x:f>IF(H524=1,MAX(1,MIN(INDEX(tun_Smax,G524),AE523+AD524)),AE523)</x:f>
        <x:v>9</x:v>
      </x:c>
      <x:c r="AF524" s="8" t="n">
        <x:f>MAX(0,AE524-AE523)</x:f>
        <x:v>0</x:v>
      </x:c>
      <x:c r="AG524" s="9" t="str">
        <x:f>IF(AF524&gt;0,B524,"")</x:f>
      </x:c>
      <x:c r="AH524" s="9" t="n">
        <x:f>IF(F524&gt;=1,1,(1+tun_LowTiesShare*(AE524-1))/AE524)</x:f>
        <x:v>1</x:v>
      </x:c>
      <x:c r="AI524" s="32" t="n">
        <x:f>(Z524+tun_ElderCommons*INDEX(LM_Elder,G524)*AA524)*AH524</x:f>
        <x:v>45271.902369431526</x:v>
      </x:c>
      <x:c r="AJ524" s="32" t="n">
        <x:f>H524*tun_CommonsCoef*AI524^tun_CommonsExp*INDEX(LM_Commons,G524)</x:f>
        <x:v>131203.84483726346</x:v>
      </x:c>
      <x:c r="AK524" s="32" t="n">
        <x:f>H524*tun_RoleScale*Arch_Roles*(AE524*(INDEX(tun_ElderRolePerSett,G524)*tun_OutElder*INDEX(LM_Elder,G524)+INDEX(tun_ShamanPerSett,G524)*tun_OutShaman)+Z524*(INDEX(tun_PriestShare,G524)*tun_OutPriest+INDEX(tun_ScribeShare,G524)*tun_OutScribe*INDEX(LM_Scribe,G524)+INDEX(tun_ScholarShare,G524)*tun_OutScholar*INDEX(LM_Scholar,G524)+INDEX(tun_ResearcherShare,G524)*tun_OutResearcher*INDEX(LM_Researcher,G524)))</x:f>
        <x:v>39745.371197194974</x:v>
      </x:c>
      <x:c r="AL524" s="32" t="n">
        <x:f>H524*tun_RoleScale*Arch_Roles*AE524*INDEX(tun_MonasteryPerSett,G524)*tun_OutMonastery*INDEX(LM_Monastery,G524)</x:f>
        <x:v>31.680000000000003</x:v>
      </x:c>
      <x:c r="AM524" s="32" t="n">
        <x:f>(AJ524+AK524+AL524)/4*INDEX(LM_All,G524)*INDEX(tun_Boon,G524)*Arch_Insight</x:f>
        <x:v>123190.27799380582</x:v>
      </x:c>
      <x:c r="AN524" s="32" t="n">
        <x:f>H524*(tun_KHPerAdult*Z524+tun_KHOfCommons*AJ524/4*INDEX(LM_All,G524))*tun_KHUsable*Arch_KH</x:f>
        <x:v>19008.61916403394</x:v>
      </x:c>
      <x:c r="AO524" s="32" t="n">
        <x:f>MIN(AP523+AN524,AM524*tun_KHMaxRatio)</x:f>
        <x:v>19008.61916403394</x:v>
      </x:c>
      <x:c r="AP524" s="32" t="n">
        <x:f>AP523+AN524-AO524</x:f>
        <x:v>0</x:v>
      </x:c>
      <x:c r="AQ524" s="32" t="n">
        <x:f>AM524+AO524</x:f>
        <x:v>142198.89715783976</x:v>
      </x:c>
      <x:c r="AR524" s="10" t="n">
        <x:f>IF(H524=1,INDEX(tun_Req,G524),0)</x:f>
        <x:v>24497531.045680594</x:v>
      </x:c>
      <x:c r="AS524" s="32" t="n">
        <x:f>IF(H524=1,IF(E524=1,AS523-AR523,AS523)+AQ524,0)</x:f>
        <x:v>3668417.327712713</x:v>
      </x:c>
      <x:c r="AT524" s="11" t="n">
        <x:f>IF(AR524&gt;0,MIN(1,AS524/AR524),1)</x:f>
        <x:v>0.14974640999014177</x:v>
      </x:c>
      <x:c r="AU524" s="10" t="n">
        <x:f>AB524/INDEX(tun_RepScale,G524)</x:f>
        <x:v>159.48441406782794</x:v>
      </x:c>
      <x:c r="AV524" s="32" t="n">
        <x:f>AM524*60/tun_SeasonSeconds</x:f>
        <x:v>492761.11197522335</x:v>
      </x:c>
    </x:row>
    <x:row r="525">
      <x:c r="A525" s="8" t="n">
        <x:f>A524+1</x:f>
        <x:v>522</x:v>
      </x:c>
      <x:c r="B525" s="9" t="n">
        <x:f>A525*tun_SeasonSeconds/60</x:f>
        <x:v>130.5</x:v>
      </x:c>
      <x:c r="C525" s="9" t="n">
        <x:f>A525/4</x:f>
        <x:v>130.5</x:v>
      </x:c>
      <x:c r="D525" s="8" t="n">
        <x:f>IF(MOD(A525,4)=0,1,0)</x:f>
        <x:v>0</x:v>
      </x:c>
      <x:c r="E525" s="8" t="n">
        <x:f>IF(AND(F524&lt;=9,AS524&gt;=AR524),1,0)</x:f>
        <x:v>0</x:v>
      </x:c>
      <x:c r="F525" s="8" t="n">
        <x:f>MIN(10,F524+E525)</x:f>
        <x:v>8</x:v>
      </x:c>
      <x:c r="G525" s="8" t="n">
        <x:f>MIN(F525,9)+1</x:f>
        <x:v>9</x:v>
      </x:c>
      <x:c r="H525" s="8" t="n">
        <x:f>IF(F525&lt;=9,1,0)</x:f>
        <x:v>1</x:v>
      </x:c>
      <x:c r="I525" s="9" t="n">
        <x:f>MIN(10,F524+IF(AR524&gt;0,MIN(1,AS524/AR524),1))</x:f>
        <x:v>8.149746409990142</x:v>
      </x:c>
      <x:c r="J525" s="32" t="n">
        <x:f>INDEX(tun_FoodCap,G525)*Arch_FoodCap*EXP(tun_CapsByProject*SUMPRODUCT((Cap_Point&lt;=I525)*(Cap_Kind="Food")*Cap_Ln))</x:f>
        <x:v>4514.300360064293</x:v>
      </x:c>
      <x:c r="K525" s="32" t="n">
        <x:f>J525*MIN(1,tun_LeanBase*EXP(tun_CapsByProject*SUMPRODUCT((Cap_Point&lt;=I525)*(Cap_Kind="Lean")*Cap_Ln)))</x:f>
        <x:v>4514.300360064293</x:v>
      </x:c>
      <x:c r="L525" s="10" t="n">
        <x:f>INDEX(tun_HousingCap,G525)*EXP(tun_CapsByProject*SUMPRODUCT((Cap_Point&lt;=I525)*(Cap_Kind="Housing")*Cap_Ln))</x:f>
        <x:v>5983.37642068151</x:v>
      </x:c>
      <x:c r="M525" s="10" t="n">
        <x:f>INDEX(tun_GroupCap,G525)*tun_CohesionFactor*EXP(tun_CapsByProject*SUMPRODUCT((Cap_Point&lt;=I525)*(Cap_Kind="Group")*Cap_Ln))</x:f>
        <x:v>1000000.000000001</x:v>
      </x:c>
      <x:c r="N525" s="32" t="n">
        <x:f>MIN(J525,L525,M525)</x:f>
        <x:v>4514.300360064293</x:v>
      </x:c>
      <x:c r="O525" s="10" t="n">
        <x:f>AE524*N525</x:f>
        <x:v>40628.70324057864</x:v>
      </x:c>
      <x:c r="P525" s="9" t="n">
        <x:f>MIN(1,(AB524/(AE524*IF(tun_GroupInCrowding=1,N525,MIN(J525,L525))))^tun_CrowdingExp)</x:f>
        <x:v>0.8932062820945693</x:v>
      </x:c>
      <x:c r="Q525" s="9" t="n">
        <x:f>IF(D525=1,INDEX(tun_WinterMult,G525),1)</x:f>
        <x:v>1</x:v>
      </x:c>
      <x:c r="R525" s="9" t="n">
        <x:f>H525*Z524*tun_WomenShare*tun_BaseFertility*INDEX(tun_FertMult,G525)*Arch_Fertility*(1-P525)</x:f>
        <x:v>72.99828014299669</x:v>
      </x:c>
      <x:c r="S525" s="9" t="n">
        <x:f>H525*Y524*INDEX(tun_MortChild,G525)/4*Q525</x:f>
        <x:v>15.499312224688238</x:v>
      </x:c>
      <x:c r="T525" s="9" t="n">
        <x:f>H525*Z524*INDEX(tun_MortAdult,G525)*Arch_AdultMort/4*Q525</x:f>
        <x:v>14.340098655508102</x:v>
      </x:c>
      <x:c r="U525" s="9" t="n">
        <x:f>H525*AA524*INDEX(tun_MortElder,G525)/4*Q525</x:f>
        <x:v>57.53389582325893</x:v>
      </x:c>
      <x:c r="V525" s="9" t="n">
        <x:f>H525*MAX(0,AB524-O525)*tun_OvercapLoss</x:f>
        <x:v>0</x:v>
      </x:c>
      <x:c r="W525" s="9" t="n">
        <x:f>H525*Y524/(tun_ChildYears*4)</x:f>
        <x:v>246.02082896330538</x:v>
      </x:c>
      <x:c r="X525" s="9" t="n">
        <x:f>H525*Z524/(tun_AdultYears*4)</x:f>
        <x:v>154.19460919901186</x:v>
      </x:c>
      <x:c r="Y525" s="32" t="n">
        <x:f>Y524+R525-S525-W525-Y524*V525/AB524</x:f>
        <x:v>13588.644560900104</x:v>
      </x:c>
      <x:c r="Z525" s="32" t="n">
        <x:f>Z524+W525-X525-T525-Z524*V525/AB524</x:f>
        <x:v>19197.617661786255</x:v>
      </x:c>
      <x:c r="AA525" s="32" t="n">
        <x:f>AA524+X525-U525-AA524*V525/AB524</x:f>
        <x:v>7070.466267710169</x:v>
      </x:c>
      <x:c r="AB525" s="10" t="n">
        <x:f>Y525+Z525+AA525</x:f>
        <x:v>39856.72849039653</x:v>
      </x:c>
      <x:c r="AC525" s="8" t="n">
        <x:f>IF(AND(tun_WinterTrigger=1,D525=1,AB524/AE524&gt;=K525),1,0)</x:f>
        <x:v>0</x:v>
      </x:c>
      <x:c r="AD525" s="8" t="n">
        <x:f>H525*IF(AND(OR(AB524/AE524&gt;=tun_FissionTrigger*N525,AC525=1),AB524/AE524*tun_DaughterShare&gt;=tun_MinDaughter),MAX(1,ROUND(AE524*tun_FissionRate,0)),0)</x:f>
        <x:v>3</x:v>
      </x:c>
      <x:c r="AE525" s="8" t="n">
        <x:f>IF(H525=1,MAX(1,MIN(INDEX(tun_Smax,G525),AE524+AD525)),AE524)</x:f>
        <x:v>9</x:v>
      </x:c>
      <x:c r="AF525" s="8" t="n">
        <x:f>MAX(0,AE525-AE524)</x:f>
        <x:v>0</x:v>
      </x:c>
      <x:c r="AG525" s="9" t="str">
        <x:f>IF(AF525&gt;0,B525,"")</x:f>
      </x:c>
      <x:c r="AH525" s="9" t="n">
        <x:f>IF(F525&gt;=1,1,(1+tun_LowTiesShare*(AE525-1))/AE525)</x:f>
        <x:v>1</x:v>
      </x:c>
      <x:c r="AI525" s="32" t="n">
        <x:f>(Z525+tun_ElderCommons*INDEX(LM_Elder,G525)*AA525)*AH525</x:f>
        <x:v>45711.866165699386</x:v>
      </x:c>
      <x:c r="AJ525" s="32" t="n">
        <x:f>H525*tun_CommonsCoef*AI525^tun_CommonsExp*INDEX(LM_Commons,G525)</x:f>
        <x:v>132286.86913158966</x:v>
      </x:c>
      <x:c r="AK525" s="32" t="n">
        <x:f>H525*tun_RoleScale*Arch_Roles*(AE525*(INDEX(tun_ElderRolePerSett,G525)*tun_OutElder*INDEX(LM_Elder,G525)+INDEX(tun_ShamanPerSett,G525)*tun_OutShaman)+Z525*(INDEX(tun_PriestShare,G525)*tun_OutPriest+INDEX(tun_ScribeShare,G525)*tun_OutScribe*INDEX(LM_Scribe,G525)+INDEX(tun_ScholarShare,G525)*tun_OutScholar*INDEX(LM_Scholar,G525)+INDEX(tun_ResearcherShare,G525)*tun_OutResearcher*INDEX(LM_Researcher,G525)))</x:f>
        <x:v>39905.45825057942</x:v>
      </x:c>
      <x:c r="AL525" s="32" t="n">
        <x:f>H525*tun_RoleScale*Arch_Roles*AE525*INDEX(tun_MonasteryPerSett,G525)*tun_OutMonastery*INDEX(LM_Monastery,G525)</x:f>
        <x:v>31.680000000000003</x:v>
      </x:c>
      <x:c r="AM525" s="32" t="n">
        <x:f>(AJ525+AK525+AL525)/4*INDEX(LM_All,G525)*INDEX(tun_Boon,G525)*Arch_Insight</x:f>
        <x:v>124085.92912240248</x:v>
      </x:c>
      <x:c r="AN525" s="32" t="n">
        <x:f>H525*(tun_KHPerAdult*Z525+tun_KHOfCommons*AJ525/4*INDEX(LM_All,G525))*tun_KHUsable*Arch_KH</x:f>
        <x:v>19165.526123443382</x:v>
      </x:c>
      <x:c r="AO525" s="32" t="n">
        <x:f>MIN(AP524+AN525,AM525*tun_KHMaxRatio)</x:f>
        <x:v>19165.526123443382</x:v>
      </x:c>
      <x:c r="AP525" s="32" t="n">
        <x:f>AP524+AN525-AO525</x:f>
        <x:v>0</x:v>
      </x:c>
      <x:c r="AQ525" s="32" t="n">
        <x:f>AM525+AO525</x:f>
        <x:v>143251.45524584586</x:v>
      </x:c>
      <x:c r="AR525" s="10" t="n">
        <x:f>IF(H525=1,INDEX(tun_Req,G525),0)</x:f>
        <x:v>24497531.045680594</x:v>
      </x:c>
      <x:c r="AS525" s="32" t="n">
        <x:f>IF(H525=1,IF(E525=1,AS524-AR524,AS524)+AQ525,0)</x:f>
        <x:v>3811668.7829585588</x:v>
      </x:c>
      <x:c r="AT525" s="11" t="n">
        <x:f>IF(AR525&gt;0,MIN(1,AS525/AR525),1)</x:f>
        <x:v>0.15559399744614805</x:v>
      </x:c>
      <x:c r="AU525" s="10" t="n">
        <x:f>AB525/INDEX(tun_RepScale,G525)</x:f>
        <x:v>159.4269139615861</x:v>
      </x:c>
      <x:c r="AV525" s="32" t="n">
        <x:f>AM525*60/tun_SeasonSeconds</x:f>
        <x:v>496343.7164896099</x:v>
      </x:c>
    </x:row>
    <x:row r="526">
      <x:c r="A526" s="8" t="n">
        <x:f>A525+1</x:f>
        <x:v>523</x:v>
      </x:c>
      <x:c r="B526" s="9" t="n">
        <x:f>A526*tun_SeasonSeconds/60</x:f>
        <x:v>130.75</x:v>
      </x:c>
      <x:c r="C526" s="9" t="n">
        <x:f>A526/4</x:f>
        <x:v>130.75</x:v>
      </x:c>
      <x:c r="D526" s="8" t="n">
        <x:f>IF(MOD(A526,4)=0,1,0)</x:f>
        <x:v>0</x:v>
      </x:c>
      <x:c r="E526" s="8" t="n">
        <x:f>IF(AND(F525&lt;=9,AS525&gt;=AR525),1,0)</x:f>
        <x:v>0</x:v>
      </x:c>
      <x:c r="F526" s="8" t="n">
        <x:f>MIN(10,F525+E526)</x:f>
        <x:v>8</x:v>
      </x:c>
      <x:c r="G526" s="8" t="n">
        <x:f>MIN(F526,9)+1</x:f>
        <x:v>9</x:v>
      </x:c>
      <x:c r="H526" s="8" t="n">
        <x:f>IF(F526&lt;=9,1,0)</x:f>
        <x:v>1</x:v>
      </x:c>
      <x:c r="I526" s="9" t="n">
        <x:f>MIN(10,F525+IF(AR525&gt;0,MIN(1,AS525/AR525),1))</x:f>
        <x:v>8.155593997446148</x:v>
      </x:c>
      <x:c r="J526" s="32" t="n">
        <x:f>INDEX(tun_FoodCap,G526)*Arch_FoodCap*EXP(tun_CapsByProject*SUMPRODUCT((Cap_Point&lt;=I526)*(Cap_Kind="Food")*Cap_Ln))</x:f>
        <x:v>4514.300360064293</x:v>
      </x:c>
      <x:c r="K526" s="32" t="n">
        <x:f>J526*MIN(1,tun_LeanBase*EXP(tun_CapsByProject*SUMPRODUCT((Cap_Point&lt;=I526)*(Cap_Kind="Lean")*Cap_Ln)))</x:f>
        <x:v>4514.300360064293</x:v>
      </x:c>
      <x:c r="L526" s="10" t="n">
        <x:f>INDEX(tun_HousingCap,G526)*EXP(tun_CapsByProject*SUMPRODUCT((Cap_Point&lt;=I526)*(Cap_Kind="Housing")*Cap_Ln))</x:f>
        <x:v>6581.714062749661</x:v>
      </x:c>
      <x:c r="M526" s="10" t="n">
        <x:f>INDEX(tun_GroupCap,G526)*tun_CohesionFactor*EXP(tun_CapsByProject*SUMPRODUCT((Cap_Point&lt;=I526)*(Cap_Kind="Group")*Cap_Ln))</x:f>
        <x:v>1000000.000000001</x:v>
      </x:c>
      <x:c r="N526" s="32" t="n">
        <x:f>MIN(J526,L526,M526)</x:f>
        <x:v>4514.300360064293</x:v>
      </x:c>
      <x:c r="O526" s="10" t="n">
        <x:f>AE525*N526</x:f>
        <x:v>40628.70324057864</x:v>
      </x:c>
      <x:c r="P526" s="9" t="n">
        <x:f>MIN(1,(AB525/(AE525*IF(tun_GroupInCrowding=1,N526,MIN(J526,L526))))^tun_CrowdingExp)</x:f>
        <x:v>0.8912758168709817</x:v>
      </x:c>
      <x:c r="Q526" s="9" t="n">
        <x:f>IF(D526=1,INDEX(tun_WinterMult,G526),1)</x:f>
        <x:v>1</x:v>
      </x:c>
      <x:c r="R526" s="9" t="n">
        <x:f>H526*Z525*tun_WomenShare*tun_BaseFertility*INDEX(tun_FertMult,G526)*Arch_Fertility*(1-P526)</x:f>
        <x:v>74.61901941425809</x:v>
      </x:c>
      <x:c r="S526" s="9" t="n">
        <x:f>H526*Y525*INDEX(tun_MortChild,G526)/4*Q526</x:f>
        <x:v>15.287225131012615</x:v>
      </x:c>
      <x:c r="T526" s="9" t="n">
        <x:f>H526*Z525*INDEX(tun_MortAdult,G526)*Arch_AdultMort/4*Q526</x:f>
        <x:v>14.398213246339692</x:v>
      </x:c>
      <x:c r="U526" s="9" t="n">
        <x:f>H526*AA525*INDEX(tun_MortElder,G526)/4*Q526</x:f>
        <x:v>58.3313467086089</x:v>
      </x:c>
      <x:c r="V526" s="9" t="n">
        <x:f>H526*MAX(0,AB525-O526)*tun_OvercapLoss</x:f>
        <x:v>0</x:v>
      </x:c>
      <x:c r="W526" s="9" t="n">
        <x:f>H526*Y525/(tun_ChildYears*4)</x:f>
        <x:v>242.65436715893043</x:v>
      </x:c>
      <x:c r="X526" s="9" t="n">
        <x:f>H526*Z525/(tun_AdultYears*4)</x:f>
        <x:v>154.8194972724698</x:v>
      </x:c>
      <x:c r="Y526" s="32" t="n">
        <x:f>Y525+R526-S526-W526-Y525*V526/AB525</x:f>
        <x:v>13405.32198802442</x:v>
      </x:c>
      <x:c r="Z526" s="32" t="n">
        <x:f>Z525+W526-X526-T526-Z525*V526/AB525</x:f>
        <x:v>19271.054318426377</x:v>
      </x:c>
      <x:c r="AA526" s="32" t="n">
        <x:f>AA525+X526-U526-AA525*V526/AB525</x:f>
        <x:v>7166.954418274029</x:v>
      </x:c>
      <x:c r="AB526" s="10" t="n">
        <x:f>Y526+Z526+AA526</x:f>
        <x:v>39843.33072472482</x:v>
      </x:c>
      <x:c r="AC526" s="8" t="n">
        <x:f>IF(AND(tun_WinterTrigger=1,D526=1,AB525/AE525&gt;=K526),1,0)</x:f>
        <x:v>0</x:v>
      </x:c>
      <x:c r="AD526" s="8" t="n">
        <x:f>H526*IF(AND(OR(AB525/AE525&gt;=tun_FissionTrigger*N526,AC526=1),AB525/AE525*tun_DaughterShare&gt;=tun_MinDaughter),MAX(1,ROUND(AE525*tun_FissionRate,0)),0)</x:f>
        <x:v>3</x:v>
      </x:c>
      <x:c r="AE526" s="8" t="n">
        <x:f>IF(H526=1,MAX(1,MIN(INDEX(tun_Smax,G526),AE525+AD526)),AE525)</x:f>
        <x:v>9</x:v>
      </x:c>
      <x:c r="AF526" s="8" t="n">
        <x:f>MAX(0,AE526-AE525)</x:f>
        <x:v>0</x:v>
      </x:c>
      <x:c r="AG526" s="9" t="str">
        <x:f>IF(AF526&gt;0,B526,"")</x:f>
      </x:c>
      <x:c r="AH526" s="9" t="n">
        <x:f>IF(F526&gt;=1,1,(1+tun_LowTiesShare*(AE526-1))/AE526)</x:f>
        <x:v>1</x:v>
      </x:c>
      <x:c r="AI526" s="32" t="n">
        <x:f>(Z526+tun_ElderCommons*INDEX(LM_Elder,G526)*AA526)*AH526</x:f>
        <x:v>46147.13338695398</x:v>
      </x:c>
      <x:c r="AJ526" s="32" t="n">
        <x:f>H526*tun_CommonsCoef*AI526^tun_CommonsExp*INDEX(LM_Commons,G526)</x:f>
        <x:v>133356.79463770703</x:v>
      </x:c>
      <x:c r="AK526" s="32" t="n">
        <x:f>H526*tun_RoleScale*Arch_Roles*(AE526*(INDEX(tun_ElderRolePerSett,G526)*tun_OutElder*INDEX(LM_Elder,G526)+INDEX(tun_ShamanPerSett,G526)*tun_OutShaman)+Z526*(INDEX(tun_PriestShare,G526)*tun_OutPriest+INDEX(tun_ScribeShare,G526)*tun_OutScribe*INDEX(LM_Scribe,G526)+INDEX(tun_ScholarShare,G526)*tun_OutScholar*INDEX(LM_Scholar,G526)+INDEX(tun_ResearcherShare,G526)*tun_OutResearcher*INDEX(LM_Researcher,G526)))</x:f>
        <x:v>40057.17907236913</x:v>
      </x:c>
      <x:c r="AL526" s="32" t="n">
        <x:f>H526*tun_RoleScale*Arch_Roles*AE526*INDEX(tun_MonasteryPerSett,G526)*tun_OutMonastery*INDEX(LM_Monastery,G526)</x:f>
        <x:v>31.680000000000003</x:v>
      </x:c>
      <x:c r="AM526" s="32" t="n">
        <x:f>(AJ526+AK526+AL526)/4*INDEX(LM_All,G526)*INDEX(tun_Boon,G526)*Arch_Insight</x:f>
        <x:v>124966.11488721831</x:v>
      </x:c>
      <x:c r="AN526" s="32" t="n">
        <x:f>H526*(tun_KHPerAdult*Z526+tun_KHOfCommons*AJ526/4*INDEX(LM_All,G526))*tun_KHUsable*Arch_KH</x:f>
        <x:v>19320.535349772817</x:v>
      </x:c>
      <x:c r="AO526" s="32" t="n">
        <x:f>MIN(AP525+AN526,AM526*tun_KHMaxRatio)</x:f>
        <x:v>19320.535349772817</x:v>
      </x:c>
      <x:c r="AP526" s="32" t="n">
        <x:f>AP525+AN526-AO526</x:f>
        <x:v>0</x:v>
      </x:c>
      <x:c r="AQ526" s="32" t="n">
        <x:f>AM526+AO526</x:f>
        <x:v>144286.65023699112</x:v>
      </x:c>
      <x:c r="AR526" s="10" t="n">
        <x:f>IF(H526=1,INDEX(tun_Req,G526),0)</x:f>
        <x:v>24497531.045680594</x:v>
      </x:c>
      <x:c r="AS526" s="32" t="n">
        <x:f>IF(H526=1,IF(E526=1,AS525-AR525,AS525)+AQ526,0)</x:f>
        <x:v>3955955.43319555</x:v>
      </x:c>
      <x:c r="AT526" s="11" t="n">
        <x:f>IF(AR526&gt;0,MIN(1,AS526/AR526),1)</x:f>
        <x:v>0.1614838420173393</x:v>
      </x:c>
      <x:c r="AU526" s="10" t="n">
        <x:f>AB526/INDEX(tun_RepScale,G526)</x:f>
        <x:v>159.3733228988993</x:v>
      </x:c>
      <x:c r="AV526" s="32" t="n">
        <x:f>AM526*60/tun_SeasonSeconds</x:f>
        <x:v>499864.45954887324</x:v>
      </x:c>
    </x:row>
    <x:row r="527">
      <x:c r="A527" s="8" t="n">
        <x:f>A526+1</x:f>
        <x:v>524</x:v>
      </x:c>
      <x:c r="B527" s="9" t="n">
        <x:f>A527*tun_SeasonSeconds/60</x:f>
        <x:v>131</x:v>
      </x:c>
      <x:c r="C527" s="9" t="n">
        <x:f>A527/4</x:f>
        <x:v>131</x:v>
      </x:c>
      <x:c r="D527" s="8" t="n">
        <x:f>IF(MOD(A527,4)=0,1,0)</x:f>
        <x:v>1</x:v>
      </x:c>
      <x:c r="E527" s="8" t="n">
        <x:f>IF(AND(F526&lt;=9,AS526&gt;=AR526),1,0)</x:f>
        <x:v>0</x:v>
      </x:c>
      <x:c r="F527" s="8" t="n">
        <x:f>MIN(10,F526+E527)</x:f>
        <x:v>8</x:v>
      </x:c>
      <x:c r="G527" s="8" t="n">
        <x:f>MIN(F527,9)+1</x:f>
        <x:v>9</x:v>
      </x:c>
      <x:c r="H527" s="8" t="n">
        <x:f>IF(F527&lt;=9,1,0)</x:f>
        <x:v>1</x:v>
      </x:c>
      <x:c r="I527" s="9" t="n">
        <x:f>MIN(10,F526+IF(AR526&gt;0,MIN(1,AS526/AR526),1))</x:f>
        <x:v>8.16148384201734</x:v>
      </x:c>
      <x:c r="J527" s="32" t="n">
        <x:f>INDEX(tun_FoodCap,G527)*Arch_FoodCap*EXP(tun_CapsByProject*SUMPRODUCT((Cap_Point&lt;=I527)*(Cap_Kind="Food")*Cap_Ln))</x:f>
        <x:v>4514.300360064293</x:v>
      </x:c>
      <x:c r="K527" s="32" t="n">
        <x:f>J527*MIN(1,tun_LeanBase*EXP(tun_CapsByProject*SUMPRODUCT((Cap_Point&lt;=I527)*(Cap_Kind="Lean")*Cap_Ln)))</x:f>
        <x:v>4514.300360064293</x:v>
      </x:c>
      <x:c r="L527" s="10" t="n">
        <x:f>INDEX(tun_HousingCap,G527)*EXP(tun_CapsByProject*SUMPRODUCT((Cap_Point&lt;=I527)*(Cap_Kind="Housing")*Cap_Ln))</x:f>
        <x:v>6581.714062749661</x:v>
      </x:c>
      <x:c r="M527" s="10" t="n">
        <x:f>INDEX(tun_GroupCap,G527)*tun_CohesionFactor*EXP(tun_CapsByProject*SUMPRODUCT((Cap_Point&lt;=I527)*(Cap_Kind="Group")*Cap_Ln))</x:f>
        <x:v>1000000.000000001</x:v>
      </x:c>
      <x:c r="N527" s="32" t="n">
        <x:f>MIN(J527,L527,M527)</x:f>
        <x:v>4514.300360064293</x:v>
      </x:c>
      <x:c r="O527" s="10" t="n">
        <x:f>AE526*N527</x:f>
        <x:v>40628.70324057864</x:v>
      </x:c>
      <x:c r="P527" s="9" t="n">
        <x:f>MIN(1,(AB526/(AE526*IF(tun_GroupInCrowding=1,N527,MIN(J527,L527))))^tun_CrowdingExp)</x:f>
        <x:v>0.8894797225289063</x:v>
      </x:c>
      <x:c r="Q527" s="9" t="n">
        <x:f>IF(D527=1,INDEX(tun_WinterMult,G527),1)</x:f>
        <x:v>1.05</x:v>
      </x:c>
      <x:c r="R527" s="9" t="n">
        <x:f>H527*Z526*tun_WomenShare*tun_BaseFertility*INDEX(tun_FertMult,G527)*Arch_Fertility*(1-P527)</x:f>
        <x:v>76.14186116797984</x:v>
      </x:c>
      <x:c r="S527" s="9" t="n">
        <x:f>H527*Y526*INDEX(tun_MortChild,G527)/4*Q527</x:f>
        <x:v>15.835036598353845</x:v>
      </x:c>
      <x:c r="T527" s="9" t="n">
        <x:f>H527*Z526*INDEX(tun_MortAdult,G527)*Arch_AdultMort/4*Q527</x:f>
        <x:v>15.175955275760773</x:v>
      </x:c>
      <x:c r="U527" s="9" t="n">
        <x:f>H527*AA526*INDEX(tun_MortElder,G527)/4*Q527</x:f>
        <x:v>62.08374264829878</x:v>
      </x:c>
      <x:c r="V527" s="9" t="n">
        <x:f>H527*MAX(0,AB526-O527)*tun_OvercapLoss</x:f>
        <x:v>0</x:v>
      </x:c>
      <x:c r="W527" s="9" t="n">
        <x:f>H527*Y526/(tun_ChildYears*4)</x:f>
        <x:v>239.38074978615035</x:v>
      </x:c>
      <x:c r="X527" s="9" t="n">
        <x:f>H527*Z526/(tun_AdultYears*4)</x:f>
        <x:v>155.41172837440627</x:v>
      </x:c>
      <x:c r="Y527" s="32" t="n">
        <x:f>Y526+R527-S527-W527-Y526*V527/AB526</x:f>
        <x:v>13226.248062807896</x:v>
      </x:c>
      <x:c r="Z527" s="32" t="n">
        <x:f>Z526+W527-X527-T527-Z526*V527/AB526</x:f>
        <x:v>19339.84738456236</x:v>
      </x:c>
      <x:c r="AA527" s="32" t="n">
        <x:f>AA526+X527-U527-AA526*V527/AB526</x:f>
        <x:v>7260.282404000137</x:v>
      </x:c>
      <x:c r="AB527" s="10" t="n">
        <x:f>Y527+Z527+AA527</x:f>
        <x:v>39826.377851370395</x:v>
      </x:c>
      <x:c r="AC527" s="8" t="n">
        <x:f>IF(AND(tun_WinterTrigger=1,D527=1,AB526/AE526&gt;=K527),1,0)</x:f>
        <x:v>0</x:v>
      </x:c>
      <x:c r="AD527" s="8" t="n">
        <x:f>H527*IF(AND(OR(AB526/AE526&gt;=tun_FissionTrigger*N527,AC527=1),AB526/AE526*tun_DaughterShare&gt;=tun_MinDaughter),MAX(1,ROUND(AE526*tun_FissionRate,0)),0)</x:f>
        <x:v>3</x:v>
      </x:c>
      <x:c r="AE527" s="8" t="n">
        <x:f>IF(H527=1,MAX(1,MIN(INDEX(tun_Smax,G527),AE526+AD527)),AE526)</x:f>
        <x:v>9</x:v>
      </x:c>
      <x:c r="AF527" s="8" t="n">
        <x:f>MAX(0,AE527-AE526)</x:f>
        <x:v>0</x:v>
      </x:c>
      <x:c r="AG527" s="9" t="str">
        <x:f>IF(AF527&gt;0,B527,"")</x:f>
      </x:c>
      <x:c r="AH527" s="9" t="n">
        <x:f>IF(F527&gt;=1,1,(1+tun_LowTiesShare*(AE527-1))/AE527)</x:f>
        <x:v>1</x:v>
      </x:c>
      <x:c r="AI527" s="32" t="n">
        <x:f>(Z527+tun_ElderCommons*INDEX(LM_Elder,G527)*AA527)*AH527</x:f>
        <x:v>46565.90639956287</x:v>
      </x:c>
      <x:c r="AJ527" s="32" t="n">
        <x:f>H527*tun_CommonsCoef*AI527^tun_CommonsExp*INDEX(LM_Commons,G527)</x:f>
        <x:v>134384.74790722894</x:v>
      </x:c>
      <x:c r="AK527" s="32" t="n">
        <x:f>H527*tun_RoleScale*Arch_Roles*(AE527*(INDEX(tun_ElderRolePerSett,G527)*tun_OutElder*INDEX(LM_Elder,G527)+INDEX(tun_ShamanPerSett,G527)*tun_OutShaman)+Z527*(INDEX(tun_PriestShare,G527)*tun_OutPriest+INDEX(tun_ScribeShare,G527)*tun_OutScribe*INDEX(LM_Scribe,G527)+INDEX(tun_ScholarShare,G527)*tun_OutScholar*INDEX(LM_Scholar,G527)+INDEX(tun_ResearcherShare,G527)*tun_OutResearcher*INDEX(LM_Researcher,G527)))</x:f>
        <x:v>40199.30619259921</x:v>
      </x:c>
      <x:c r="AL527" s="32" t="n">
        <x:f>H527*tun_RoleScale*Arch_Roles*AE527*INDEX(tun_MonasteryPerSett,G527)*tun_OutMonastery*INDEX(LM_Monastery,G527)</x:f>
        <x:v>31.680000000000003</x:v>
      </x:c>
      <x:c r="AM527" s="32" t="n">
        <x:f>(AJ527+AK527+AL527)/4*INDEX(LM_All,G527)*INDEX(tun_Boon,G527)*Arch_Insight</x:f>
        <x:v>125809.14783318905</x:v>
      </x:c>
      <x:c r="AN527" s="32" t="n">
        <x:f>H527*(tun_KHPerAdult*Z527+tun_KHOfCommons*AJ527/4*INDEX(LM_All,G527))*tun_KHUsable*Arch_KH</x:f>
        <x:v>19469.463700485416</x:v>
      </x:c>
      <x:c r="AO527" s="32" t="n">
        <x:f>MIN(AP526+AN527,AM527*tun_KHMaxRatio)</x:f>
        <x:v>19469.463700485416</x:v>
      </x:c>
      <x:c r="AP527" s="32" t="n">
        <x:f>AP526+AN527-AO527</x:f>
        <x:v>0</x:v>
      </x:c>
      <x:c r="AQ527" s="32" t="n">
        <x:f>AM527+AO527</x:f>
        <x:v>145278.61153367447</x:v>
      </x:c>
      <x:c r="AR527" s="10" t="n">
        <x:f>IF(H527=1,INDEX(tun_Req,G527),0)</x:f>
        <x:v>24497531.045680594</x:v>
      </x:c>
      <x:c r="AS527" s="32" t="n">
        <x:f>IF(H527=1,IF(E527=1,AS526-AR526,AS526)+AQ527,0)</x:f>
        <x:v>4101234.0447292244</x:v>
      </x:c>
      <x:c r="AT527" s="11" t="n">
        <x:f>IF(AR527&gt;0,MIN(1,AS527/AR527),1)</x:f>
        <x:v>0.1674141788852781</x:v>
      </x:c>
      <x:c r="AU527" s="10" t="n">
        <x:f>AB527/INDEX(tun_RepScale,G527)</x:f>
        <x:v>159.30551140548158</x:v>
      </x:c>
      <x:c r="AV527" s="32" t="n">
        <x:f>AM527*60/tun_SeasonSeconds</x:f>
        <x:v>503236.5913327562</x:v>
      </x:c>
    </x:row>
    <x:row r="528">
      <x:c r="A528" s="8" t="n">
        <x:f>A527+1</x:f>
        <x:v>525</x:v>
      </x:c>
      <x:c r="B528" s="9" t="n">
        <x:f>A528*tun_SeasonSeconds/60</x:f>
        <x:v>131.25</x:v>
      </x:c>
      <x:c r="C528" s="9" t="n">
        <x:f>A528/4</x:f>
        <x:v>131.25</x:v>
      </x:c>
      <x:c r="D528" s="8" t="n">
        <x:f>IF(MOD(A528,4)=0,1,0)</x:f>
        <x:v>0</x:v>
      </x:c>
      <x:c r="E528" s="8" t="n">
        <x:f>IF(AND(F527&lt;=9,AS527&gt;=AR527),1,0)</x:f>
        <x:v>0</x:v>
      </x:c>
      <x:c r="F528" s="8" t="n">
        <x:f>MIN(10,F527+E528)</x:f>
        <x:v>8</x:v>
      </x:c>
      <x:c r="G528" s="8" t="n">
        <x:f>MIN(F528,9)+1</x:f>
        <x:v>9</x:v>
      </x:c>
      <x:c r="H528" s="8" t="n">
        <x:f>IF(F528&lt;=9,1,0)</x:f>
        <x:v>1</x:v>
      </x:c>
      <x:c r="I528" s="9" t="n">
        <x:f>MIN(10,F527+IF(AR527&gt;0,MIN(1,AS527/AR527),1))</x:f>
        <x:v>8.167414178885277</x:v>
      </x:c>
      <x:c r="J528" s="32" t="n">
        <x:f>INDEX(tun_FoodCap,G528)*Arch_FoodCap*EXP(tun_CapsByProject*SUMPRODUCT((Cap_Point&lt;=I528)*(Cap_Kind="Food")*Cap_Ln))</x:f>
        <x:v>4514.300360064293</x:v>
      </x:c>
      <x:c r="K528" s="32" t="n">
        <x:f>J528*MIN(1,tun_LeanBase*EXP(tun_CapsByProject*SUMPRODUCT((Cap_Point&lt;=I528)*(Cap_Kind="Lean")*Cap_Ln)))</x:f>
        <x:v>4514.300360064293</x:v>
      </x:c>
      <x:c r="L528" s="10" t="n">
        <x:f>INDEX(tun_HousingCap,G528)*EXP(tun_CapsByProject*SUMPRODUCT((Cap_Point&lt;=I528)*(Cap_Kind="Housing")*Cap_Ln))</x:f>
        <x:v>6581.714062749661</x:v>
      </x:c>
      <x:c r="M528" s="10" t="n">
        <x:f>INDEX(tun_GroupCap,G528)*tun_CohesionFactor*EXP(tun_CapsByProject*SUMPRODUCT((Cap_Point&lt;=I528)*(Cap_Kind="Group")*Cap_Ln))</x:f>
        <x:v>1000000.000000001</x:v>
      </x:c>
      <x:c r="N528" s="32" t="n">
        <x:f>MIN(J528,L528,M528)</x:f>
        <x:v>4514.300360064293</x:v>
      </x:c>
      <x:c r="O528" s="10" t="n">
        <x:f>AE527*N528</x:f>
        <x:v>40628.70324057864</x:v>
      </x:c>
      <x:c r="P528" s="9" t="n">
        <x:f>MIN(1,(AB527/(AE527*IF(tun_GroupInCrowding=1,N528,MIN(J528,L528))))^tun_CrowdingExp)</x:f>
        <x:v>0.8872113570367528</x:v>
      </x:c>
      <x:c r="Q528" s="9" t="n">
        <x:f>IF(D528=1,INDEX(tun_WinterMult,G528),1)</x:f>
        <x:v>1</x:v>
      </x:c>
      <x:c r="R528" s="9" t="n">
        <x:f>H528*Z527*tun_WomenShare*tun_BaseFertility*INDEX(tun_FertMult,G528)*Arch_Fertility*(1-P528)</x:f>
        <x:v>77.98201631295412</x:v>
      </x:c>
      <x:c r="S528" s="9" t="n">
        <x:f>H528*Y527*INDEX(tun_MortChild,G528)/4*Q528</x:f>
        <x:v>14.879529070658881</x:v>
      </x:c>
      <x:c r="T528" s="9" t="n">
        <x:f>H528*Z527*INDEX(tun_MortAdult,G528)*Arch_AdultMort/4*Q528</x:f>
        <x:v>14.50488553842177</x:v>
      </x:c>
      <x:c r="U528" s="9" t="n">
        <x:f>H528*AA527*INDEX(tun_MortElder,G528)/4*Q528</x:f>
        <x:v>59.89732983300113</x:v>
      </x:c>
      <x:c r="V528" s="9" t="n">
        <x:f>H528*MAX(0,AB527-O528)*tun_OvercapLoss</x:f>
        <x:v>0</x:v>
      </x:c>
      <x:c r="W528" s="9" t="n">
        <x:f>H528*Y527/(tun_ChildYears*4)</x:f>
        <x:v>236.18300112156956</x:v>
      </x:c>
      <x:c r="X528" s="9" t="n">
        <x:f>H528*Z527/(tun_AdultYears*4)</x:f>
        <x:v>155.96651116582547</x:v>
      </x:c>
      <x:c r="Y528" s="32" t="n">
        <x:f>Y527+R528-S528-W528-Y527*V528/AB527</x:f>
        <x:v>13053.16754892862</x:v>
      </x:c>
      <x:c r="Z528" s="32" t="n">
        <x:f>Z527+W528-X528-T528-Z527*V528/AB527</x:f>
        <x:v>19405.55898897968</x:v>
      </x:c>
      <x:c r="AA528" s="32" t="n">
        <x:f>AA527+X528-U528-AA527*V528/AB527</x:f>
        <x:v>7356.351585332961</x:v>
      </x:c>
      <x:c r="AB528" s="10" t="n">
        <x:f>Y528+Z528+AA528</x:f>
        <x:v>39815.07812324126</x:v>
      </x:c>
      <x:c r="AC528" s="8" t="n">
        <x:f>IF(AND(tun_WinterTrigger=1,D528=1,AB527/AE527&gt;=K528),1,0)</x:f>
        <x:v>0</x:v>
      </x:c>
      <x:c r="AD528" s="8" t="n">
        <x:f>H528*IF(AND(OR(AB527/AE527&gt;=tun_FissionTrigger*N528,AC528=1),AB527/AE527*tun_DaughterShare&gt;=tun_MinDaughter),MAX(1,ROUND(AE527*tun_FissionRate,0)),0)</x:f>
        <x:v>3</x:v>
      </x:c>
      <x:c r="AE528" s="8" t="n">
        <x:f>IF(H528=1,MAX(1,MIN(INDEX(tun_Smax,G528),AE527+AD528)),AE527)</x:f>
        <x:v>9</x:v>
      </x:c>
      <x:c r="AF528" s="8" t="n">
        <x:f>MAX(0,AE528-AE527)</x:f>
        <x:v>0</x:v>
      </x:c>
      <x:c r="AG528" s="9" t="str">
        <x:f>IF(AF528&gt;0,B528,"")</x:f>
      </x:c>
      <x:c r="AH528" s="9" t="n">
        <x:f>IF(F528&gt;=1,1,(1+tun_LowTiesShare*(AE528-1))/AE528)</x:f>
        <x:v>1</x:v>
      </x:c>
      <x:c r="AI528" s="32" t="n">
        <x:f>(Z528+tun_ElderCommons*INDEX(LM_Elder,G528)*AA528)*AH528</x:f>
        <x:v>46991.87743397828</x:v>
      </x:c>
      <x:c r="AJ528" s="32" t="n">
        <x:f>H528*tun_CommonsCoef*AI528^tun_CommonsExp*INDEX(LM_Commons,G528)</x:f>
        <x:v>135428.94839749747</x:v>
      </x:c>
      <x:c r="AK528" s="32" t="n">
        <x:f>H528*tun_RoleScale*Arch_Roles*(AE528*(INDEX(tun_ElderRolePerSett,G528)*tun_OutElder*INDEX(LM_Elder,G528)+INDEX(tun_ShamanPerSett,G528)*tun_OutShaman)+Z528*(INDEX(tun_PriestShare,G528)*tun_OutPriest+INDEX(tun_ScribeShare,G528)*tun_OutScribe*INDEX(LM_Scribe,G528)+INDEX(tun_ScholarShare,G528)*tun_OutScholar*INDEX(LM_Scholar,G528)+INDEX(tun_ResearcherShare,G528)*tun_OutResearcher*INDEX(LM_Researcher,G528)))</x:f>
        <x:v>40335.06698400035</x:v>
      </x:c>
      <x:c r="AL528" s="32" t="n">
        <x:f>H528*tun_RoleScale*Arch_Roles*AE528*INDEX(tun_MonasteryPerSett,G528)*tun_OutMonastery*INDEX(LM_Monastery,G528)</x:f>
        <x:v>31.680000000000003</x:v>
      </x:c>
      <x:c r="AM528" s="32" t="n">
        <x:f>(AJ528+AK528+AL528)/4*INDEX(LM_All,G528)*INDEX(tun_Boon,G528)*Arch_Insight</x:f>
        <x:v>126659.29987755265</x:v>
      </x:c>
      <x:c r="AN528" s="32" t="n">
        <x:f>H528*(tun_KHPerAdult*Z528+tun_KHOfCommons*AJ528/4*INDEX(LM_All,G528))*tun_KHUsable*Arch_KH</x:f>
        <x:v>19620.74592453176</x:v>
      </x:c>
      <x:c r="AO528" s="32" t="n">
        <x:f>MIN(AP527+AN528,AM528*tun_KHMaxRatio)</x:f>
        <x:v>19620.74592453176</x:v>
      </x:c>
      <x:c r="AP528" s="32" t="n">
        <x:f>AP527+AN528-AO528</x:f>
        <x:v>0</x:v>
      </x:c>
      <x:c r="AQ528" s="32" t="n">
        <x:f>AM528+AO528</x:f>
        <x:v>146280.0458020844</x:v>
      </x:c>
      <x:c r="AR528" s="10" t="n">
        <x:f>IF(H528=1,INDEX(tun_Req,G528),0)</x:f>
        <x:v>24497531.045680594</x:v>
      </x:c>
      <x:c r="AS528" s="32" t="n">
        <x:f>IF(H528=1,IF(E528=1,AS527-AR527,AS527)+AQ528,0)</x:f>
        <x:v>4247514.090531309</x:v>
      </x:c>
      <x:c r="AT528" s="11" t="n">
        <x:f>IF(AR528&gt;0,MIN(1,AS528/AR528),1)</x:f>
        <x:v>0.17338539474083986</x:v>
      </x:c>
      <x:c r="AU528" s="10" t="n">
        <x:f>AB528/INDEX(tun_RepScale,G528)</x:f>
        <x:v>159.26031249296506</x:v>
      </x:c>
      <x:c r="AV528" s="32" t="n">
        <x:f>AM528*60/tun_SeasonSeconds</x:f>
        <x:v>506637.1995102106</x:v>
      </x:c>
    </x:row>
    <x:row r="529">
      <x:c r="A529" s="8" t="n">
        <x:f>A528+1</x:f>
        <x:v>526</x:v>
      </x:c>
      <x:c r="B529" s="9" t="n">
        <x:f>A529*tun_SeasonSeconds/60</x:f>
        <x:v>131.5</x:v>
      </x:c>
      <x:c r="C529" s="9" t="n">
        <x:f>A529/4</x:f>
        <x:v>131.5</x:v>
      </x:c>
      <x:c r="D529" s="8" t="n">
        <x:f>IF(MOD(A529,4)=0,1,0)</x:f>
        <x:v>0</x:v>
      </x:c>
      <x:c r="E529" s="8" t="n">
        <x:f>IF(AND(F528&lt;=9,AS528&gt;=AR528),1,0)</x:f>
        <x:v>0</x:v>
      </x:c>
      <x:c r="F529" s="8" t="n">
        <x:f>MIN(10,F528+E529)</x:f>
        <x:v>8</x:v>
      </x:c>
      <x:c r="G529" s="8" t="n">
        <x:f>MIN(F529,9)+1</x:f>
        <x:v>9</x:v>
      </x:c>
      <x:c r="H529" s="8" t="n">
        <x:f>IF(F529&lt;=9,1,0)</x:f>
        <x:v>1</x:v>
      </x:c>
      <x:c r="I529" s="9" t="n">
        <x:f>MIN(10,F528+IF(AR528&gt;0,MIN(1,AS528/AR528),1))</x:f>
        <x:v>8.17338539474084</x:v>
      </x:c>
      <x:c r="J529" s="32" t="n">
        <x:f>INDEX(tun_FoodCap,G529)*Arch_FoodCap*EXP(tun_CapsByProject*SUMPRODUCT((Cap_Point&lt;=I529)*(Cap_Kind="Food")*Cap_Ln))</x:f>
        <x:v>4514.300360064293</x:v>
      </x:c>
      <x:c r="K529" s="32" t="n">
        <x:f>J529*MIN(1,tun_LeanBase*EXP(tun_CapsByProject*SUMPRODUCT((Cap_Point&lt;=I529)*(Cap_Kind="Lean")*Cap_Ln)))</x:f>
        <x:v>4514.300360064293</x:v>
      </x:c>
      <x:c r="L529" s="10" t="n">
        <x:f>INDEX(tun_HousingCap,G529)*EXP(tun_CapsByProject*SUMPRODUCT((Cap_Point&lt;=I529)*(Cap_Kind="Housing")*Cap_Ln))</x:f>
        <x:v>6581.714062749661</x:v>
      </x:c>
      <x:c r="M529" s="10" t="n">
        <x:f>INDEX(tun_GroupCap,G529)*tun_CohesionFactor*EXP(tun_CapsByProject*SUMPRODUCT((Cap_Point&lt;=I529)*(Cap_Kind="Group")*Cap_Ln))</x:f>
        <x:v>1000000.000000001</x:v>
      </x:c>
      <x:c r="N529" s="32" t="n">
        <x:f>MIN(J529,L529,M529)</x:f>
        <x:v>4514.300360064293</x:v>
      </x:c>
      <x:c r="O529" s="10" t="n">
        <x:f>AE528*N529</x:f>
        <x:v>40628.70324057864</x:v>
      </x:c>
      <x:c r="P529" s="9" t="n">
        <x:f>MIN(1,(AB528/(AE528*IF(tun_GroupInCrowding=1,N529,MIN(J529,L529))))^tun_CrowdingExp)</x:f>
        <x:v>0.8857020851423897</x:v>
      </x:c>
      <x:c r="Q529" s="9" t="n">
        <x:f>IF(D529=1,INDEX(tun_WinterMult,G529),1)</x:f>
        <x:v>1</x:v>
      </x:c>
      <x:c r="R529" s="9" t="n">
        <x:f>H529*Z528*tun_WomenShare*tun_BaseFertility*INDEX(tun_FertMult,G529)*Arch_Fertility*(1-P529)</x:f>
        <x:v>79.29403371485076</x:v>
      </x:c>
      <x:c r="S529" s="9" t="n">
        <x:f>H529*Y528*INDEX(tun_MortChild,G529)/4*Q529</x:f>
        <x:v>14.684813492544697</x:v>
      </x:c>
      <x:c r="T529" s="9" t="n">
        <x:f>H529*Z528*INDEX(tun_MortAdult,G529)*Arch_AdultMort/4*Q529</x:f>
        <x:v>14.55416924173476</x:v>
      </x:c>
      <x:c r="U529" s="9" t="n">
        <x:f>H529*AA528*INDEX(tun_MortElder,G529)/4*Q529</x:f>
        <x:v>60.689900578996934</x:v>
      </x:c>
      <x:c r="V529" s="9" t="n">
        <x:f>H529*MAX(0,AB528-O529)*tun_OvercapLoss</x:f>
        <x:v>0</x:v>
      </x:c>
      <x:c r="W529" s="9" t="n">
        <x:f>H529*Y528/(tun_ChildYears*4)</x:f>
        <x:v>233.09227765943965</x:v>
      </x:c>
      <x:c r="X529" s="9" t="n">
        <x:f>H529*Z528/(tun_AdultYears*4)</x:f>
        <x:v>156.49644345951353</x:v>
      </x:c>
      <x:c r="Y529" s="32" t="n">
        <x:f>Y528+R529-S529-W529-Y528*V529/AB528</x:f>
        <x:v>12884.684491491487</x:v>
      </x:c>
      <x:c r="Z529" s="32" t="n">
        <x:f>Z528+W529-X529-T529-Z528*V529/AB528</x:f>
        <x:v>19467.60065393787</x:v>
      </x:c>
      <x:c r="AA529" s="32" t="n">
        <x:f>AA528+X529-U529-AA528*V529/AB528</x:f>
        <x:v>7452.158128213477</x:v>
      </x:c>
      <x:c r="AB529" s="10" t="n">
        <x:f>Y529+Z529+AA529</x:f>
        <x:v>39804.443273642835</x:v>
      </x:c>
      <x:c r="AC529" s="8" t="n">
        <x:f>IF(AND(tun_WinterTrigger=1,D529=1,AB528/AE528&gt;=K529),1,0)</x:f>
        <x:v>0</x:v>
      </x:c>
      <x:c r="AD529" s="8" t="n">
        <x:f>H529*IF(AND(OR(AB528/AE528&gt;=tun_FissionTrigger*N529,AC529=1),AB528/AE528*tun_DaughterShare&gt;=tun_MinDaughter),MAX(1,ROUND(AE528*tun_FissionRate,0)),0)</x:f>
        <x:v>3</x:v>
      </x:c>
      <x:c r="AE529" s="8" t="n">
        <x:f>IF(H529=1,MAX(1,MIN(INDEX(tun_Smax,G529),AE528+AD529)),AE528)</x:f>
        <x:v>9</x:v>
      </x:c>
      <x:c r="AF529" s="8" t="n">
        <x:f>MAX(0,AE529-AE528)</x:f>
        <x:v>0</x:v>
      </x:c>
      <x:c r="AG529" s="9" t="str">
        <x:f>IF(AF529&gt;0,B529,"")</x:f>
      </x:c>
      <x:c r="AH529" s="9" t="n">
        <x:f>IF(F529&gt;=1,1,(1+tun_LowTiesShare*(AE529-1))/AE529)</x:f>
        <x:v>1</x:v>
      </x:c>
      <x:c r="AI529" s="32" t="n">
        <x:f>(Z529+tun_ElderCommons*INDEX(LM_Elder,G529)*AA529)*AH529</x:f>
        <x:v>47413.1936347384</x:v>
      </x:c>
      <x:c r="AJ529" s="32" t="n">
        <x:f>H529*tun_CommonsCoef*AI529^tun_CommonsExp*INDEX(LM_Commons,G529)</x:f>
        <x:v>136460.34254729285</x:v>
      </x:c>
      <x:c r="AK529" s="32" t="n">
        <x:f>H529*tun_RoleScale*Arch_Roles*(AE529*(INDEX(tun_ElderRolePerSett,G529)*tun_OutElder*INDEX(LM_Elder,G529)+INDEX(tun_ShamanPerSett,G529)*tun_OutShaman)+Z529*(INDEX(tun_PriestShare,G529)*tun_OutPriest+INDEX(tun_ScribeShare,G529)*tun_OutScribe*INDEX(LM_Scribe,G529)+INDEX(tun_ScholarShare,G529)*tun_OutScholar*INDEX(LM_Scholar,G529)+INDEX(tun_ResearcherShare,G529)*tun_OutResearcher*INDEX(LM_Researcher,G529)))</x:f>
        <x:v>40463.24564603813</x:v>
      </x:c>
      <x:c r="AL529" s="32" t="n">
        <x:f>H529*tun_RoleScale*Arch_Roles*AE529*INDEX(tun_MonasteryPerSett,G529)*tun_OutMonastery*INDEX(LM_Monastery,G529)</x:f>
        <x:v>31.680000000000003</x:v>
      </x:c>
      <x:c r="AM529" s="32" t="n">
        <x:f>(AJ529+AK529+AL529)/4*INDEX(LM_All,G529)*INDEX(tun_Boon,G529)*Arch_Insight</x:f>
        <x:v>127494.76220320917</x:v>
      </x:c>
      <x:c r="AN529" s="32" t="n">
        <x:f>H529*(tun_KHPerAdult*Z529+tun_KHOfCommons*AJ529/4*INDEX(LM_All,G529))*tun_KHUsable*Arch_KH</x:f>
        <x:v>19770.17278489389</x:v>
      </x:c>
      <x:c r="AO529" s="32" t="n">
        <x:f>MIN(AP528+AN529,AM529*tun_KHMaxRatio)</x:f>
        <x:v>19770.17278489389</x:v>
      </x:c>
      <x:c r="AP529" s="32" t="n">
        <x:f>AP528+AN529-AO529</x:f>
        <x:v>0</x:v>
      </x:c>
      <x:c r="AQ529" s="32" t="n">
        <x:f>AM529+AO529</x:f>
        <x:v>147264.93498810305</x:v>
      </x:c>
      <x:c r="AR529" s="10" t="n">
        <x:f>IF(H529=1,INDEX(tun_Req,G529),0)</x:f>
        <x:v>24497531.045680594</x:v>
      </x:c>
      <x:c r="AS529" s="32" t="n">
        <x:f>IF(H529=1,IF(E529=1,AS528-AR528,AS528)+AQ529,0)</x:f>
        <x:v>4394779.025519412</x:v>
      </x:c>
      <x:c r="AT529" s="11" t="n">
        <x:f>IF(AR529&gt;0,MIN(1,AS529/AR529),1)</x:f>
        <x:v>0.17939681420647896</x:v>
      </x:c>
      <x:c r="AU529" s="10" t="n">
        <x:f>AB529/INDEX(tun_RepScale,G529)</x:f>
        <x:v>159.21777309457133</x:v>
      </x:c>
      <x:c r="AV529" s="32" t="n">
        <x:f>AM529*60/tun_SeasonSeconds</x:f>
        <x:v>509979.0488128367</x:v>
      </x:c>
    </x:row>
    <x:row r="530">
      <x:c r="A530" s="8" t="n">
        <x:f>A529+1</x:f>
        <x:v>527</x:v>
      </x:c>
      <x:c r="B530" s="9" t="n">
        <x:f>A530*tun_SeasonSeconds/60</x:f>
        <x:v>131.75</x:v>
      </x:c>
      <x:c r="C530" s="9" t="n">
        <x:f>A530/4</x:f>
        <x:v>131.75</x:v>
      </x:c>
      <x:c r="D530" s="8" t="n">
        <x:f>IF(MOD(A530,4)=0,1,0)</x:f>
        <x:v>0</x:v>
      </x:c>
      <x:c r="E530" s="8" t="n">
        <x:f>IF(AND(F529&lt;=9,AS529&gt;=AR529),1,0)</x:f>
        <x:v>0</x:v>
      </x:c>
      <x:c r="F530" s="8" t="n">
        <x:f>MIN(10,F529+E530)</x:f>
        <x:v>8</x:v>
      </x:c>
      <x:c r="G530" s="8" t="n">
        <x:f>MIN(F530,9)+1</x:f>
        <x:v>9</x:v>
      </x:c>
      <x:c r="H530" s="8" t="n">
        <x:f>IF(F530&lt;=9,1,0)</x:f>
        <x:v>1</x:v>
      </x:c>
      <x:c r="I530" s="9" t="n">
        <x:f>MIN(10,F529+IF(AR529&gt;0,MIN(1,AS529/AR529),1))</x:f>
        <x:v>8.179396814206479</x:v>
      </x:c>
      <x:c r="J530" s="32" t="n">
        <x:f>INDEX(tun_FoodCap,G530)*Arch_FoodCap*EXP(tun_CapsByProject*SUMPRODUCT((Cap_Point&lt;=I530)*(Cap_Kind="Food")*Cap_Ln))</x:f>
        <x:v>4514.300360064293</x:v>
      </x:c>
      <x:c r="K530" s="32" t="n">
        <x:f>J530*MIN(1,tun_LeanBase*EXP(tun_CapsByProject*SUMPRODUCT((Cap_Point&lt;=I530)*(Cap_Kind="Lean")*Cap_Ln)))</x:f>
        <x:v>4514.300360064293</x:v>
      </x:c>
      <x:c r="L530" s="10" t="n">
        <x:f>INDEX(tun_HousingCap,G530)*EXP(tun_CapsByProject*SUMPRODUCT((Cap_Point&lt;=I530)*(Cap_Kind="Housing")*Cap_Ln))</x:f>
        <x:v>6581.714062749661</x:v>
      </x:c>
      <x:c r="M530" s="10" t="n">
        <x:f>INDEX(tun_GroupCap,G530)*tun_CohesionFactor*EXP(tun_CapsByProject*SUMPRODUCT((Cap_Point&lt;=I530)*(Cap_Kind="Group")*Cap_Ln))</x:f>
        <x:v>1000000.000000001</x:v>
      </x:c>
      <x:c r="N530" s="32" t="n">
        <x:f>MIN(J530,L530,M530)</x:f>
        <x:v>4514.300360064293</x:v>
      </x:c>
      <x:c r="O530" s="10" t="n">
        <x:f>AE529*N530</x:f>
        <x:v>40628.70324057864</x:v>
      </x:c>
      <x:c r="P530" s="9" t="n">
        <x:f>MIN(1,(AB529/(AE529*IF(tun_GroupInCrowding=1,N530,MIN(J530,L530))))^tun_CrowdingExp)</x:f>
        <x:v>0.8842835741769942</x:v>
      </x:c>
      <x:c r="Q530" s="9" t="n">
        <x:f>IF(D530=1,INDEX(tun_WinterMult,G530),1)</x:f>
        <x:v>1</x:v>
      </x:c>
      <x:c r="R530" s="9" t="n">
        <x:f>H530*Z529*tun_WomenShare*tun_BaseFertility*INDEX(tun_FertMult,G530)*Arch_Fertility*(1-P530)</x:f>
        <x:v>80.53478172108301</x:v>
      </x:c>
      <x:c r="S530" s="9" t="n">
        <x:f>H530*Y529*INDEX(tun_MortChild,G530)/4*Q530</x:f>
        <x:v>14.495270052927921</x:v>
      </x:c>
      <x:c r="T530" s="9" t="n">
        <x:f>H530*Z529*INDEX(tun_MortAdult,G530)*Arch_AdultMort/4*Q530</x:f>
        <x:v>14.600700490453402</x:v>
      </x:c>
      <x:c r="U530" s="9" t="n">
        <x:f>H530*AA529*INDEX(tun_MortElder,G530)/4*Q530</x:f>
        <x:v>61.48030455776119</x:v>
      </x:c>
      <x:c r="V530" s="9" t="n">
        <x:f>H530*MAX(0,AB529-O530)*tun_OvercapLoss</x:f>
        <x:v>0</x:v>
      </x:c>
      <x:c r="W530" s="9" t="n">
        <x:f>H530*Y529/(tun_ChildYears*4)</x:f>
        <x:v>230.08365163377655</x:v>
      </x:c>
      <x:c r="X530" s="9" t="n">
        <x:f>H530*Z529/(tun_AdultYears*4)</x:f>
        <x:v>156.99677946724088</x:v>
      </x:c>
      <x:c r="Y530" s="32" t="n">
        <x:f>Y529+R530-S530-W530-Y529*V530/AB529</x:f>
        <x:v>12720.640351525864</x:v>
      </x:c>
      <x:c r="Z530" s="32" t="n">
        <x:f>Z529+W530-X530-T530-Z529*V530/AB529</x:f>
        <x:v>19526.08682561395</x:v>
      </x:c>
      <x:c r="AA530" s="32" t="n">
        <x:f>AA529+X530-U530-AA529*V530/AB529</x:f>
        <x:v>7547.674603122957</x:v>
      </x:c>
      <x:c r="AB530" s="10" t="n">
        <x:f>Y530+Z530+AA530</x:f>
        <x:v>39794.40178026277</x:v>
      </x:c>
      <x:c r="AC530" s="8" t="n">
        <x:f>IF(AND(tun_WinterTrigger=1,D530=1,AB529/AE529&gt;=K530),1,0)</x:f>
        <x:v>0</x:v>
      </x:c>
      <x:c r="AD530" s="8" t="n">
        <x:f>H530*IF(AND(OR(AB529/AE529&gt;=tun_FissionTrigger*N530,AC530=1),AB529/AE529*tun_DaughterShare&gt;=tun_MinDaughter),MAX(1,ROUND(AE529*tun_FissionRate,0)),0)</x:f>
        <x:v>3</x:v>
      </x:c>
      <x:c r="AE530" s="8" t="n">
        <x:f>IF(H530=1,MAX(1,MIN(INDEX(tun_Smax,G530),AE529+AD530)),AE529)</x:f>
        <x:v>9</x:v>
      </x:c>
      <x:c r="AF530" s="8" t="n">
        <x:f>MAX(0,AE530-AE529)</x:f>
        <x:v>0</x:v>
      </x:c>
      <x:c r="AG530" s="9" t="str">
        <x:f>IF(AF530&gt;0,B530,"")</x:f>
      </x:c>
      <x:c r="AH530" s="9" t="n">
        <x:f>IF(F530&gt;=1,1,(1+tun_LowTiesShare*(AE530-1))/AE530)</x:f>
        <x:v>1</x:v>
      </x:c>
      <x:c r="AI530" s="32" t="n">
        <x:f>(Z530+tun_ElderCommons*INDEX(LM_Elder,G530)*AA530)*AH530</x:f>
        <x:v>47829.86658732504</x:v>
      </x:c>
      <x:c r="AJ530" s="32" t="n">
        <x:f>H530*tun_CommonsCoef*AI530^tun_CommonsExp*INDEX(LM_Commons,G530)</x:f>
        <x:v>137479.01861269094</x:v>
      </x:c>
      <x:c r="AK530" s="32" t="n">
        <x:f>H530*tun_RoleScale*Arch_Roles*(AE530*(INDEX(tun_ElderRolePerSett,G530)*tun_OutElder*INDEX(LM_Elder,G530)+INDEX(tun_ShamanPerSett,G530)*tun_OutShaman)+Z530*(INDEX(tun_PriestShare,G530)*tun_OutPriest+INDEX(tun_ScribeShare,G530)*tun_OutScribe*INDEX(LM_Scribe,G530)+INDEX(tun_ScholarShare,G530)*tun_OutScholar*INDEX(LM_Scholar,G530)+INDEX(tun_ResearcherShare,G530)*tun_OutResearcher*INDEX(LM_Researcher,G530)))</x:f>
        <x:v>40584.07862558831</x:v>
      </x:c>
      <x:c r="AL530" s="32" t="n">
        <x:f>H530*tun_RoleScale*Arch_Roles*AE530*INDEX(tun_MonasteryPerSett,G530)*tun_OutMonastery*INDEX(LM_Monastery,G530)</x:f>
        <x:v>31.680000000000003</x:v>
      </x:c>
      <x:c r="AM530" s="32" t="n">
        <x:f>(AJ530+AK530+AL530)/4*INDEX(LM_All,G530)*INDEX(tun_Boon,G530)*Arch_Insight</x:f>
        <x:v>128315.76875586722</x:v>
      </x:c>
      <x:c r="AN530" s="32" t="n">
        <x:f>H530*(tun_KHPerAdult*Z530+tun_KHOfCommons*AJ530/4*INDEX(LM_All,G530))*tun_KHUsable*Arch_KH</x:f>
        <x:v>19917.757067981678</x:v>
      </x:c>
      <x:c r="AO530" s="32" t="n">
        <x:f>MIN(AP529+AN530,AM530*tun_KHMaxRatio)</x:f>
        <x:v>19917.757067981678</x:v>
      </x:c>
      <x:c r="AP530" s="32" t="n">
        <x:f>AP529+AN530-AO530</x:f>
        <x:v>0</x:v>
      </x:c>
      <x:c r="AQ530" s="32" t="n">
        <x:f>AM530+AO530</x:f>
        <x:v>148233.5258238489</x:v>
      </x:c>
      <x:c r="AR530" s="10" t="n">
        <x:f>IF(H530=1,INDEX(tun_Req,G530),0)</x:f>
        <x:v>24497531.045680594</x:v>
      </x:c>
      <x:c r="AS530" s="32" t="n">
        <x:f>IF(H530=1,IF(E530=1,AS529-AR529,AS529)+AQ530,0)</x:f>
        <x:v>4543012.551343261</x:v>
      </x:c>
      <x:c r="AT530" s="11" t="n">
        <x:f>IF(AR530&gt;0,MIN(1,AS530/AR530),1)</x:f>
        <x:v>0.18544777197636353</x:v>
      </x:c>
      <x:c r="AU530" s="10" t="n">
        <x:f>AB530/INDEX(tun_RepScale,G530)</x:f>
        <x:v>159.1776071210511</x:v>
      </x:c>
      <x:c r="AV530" s="32" t="n">
        <x:f>AM530*60/tun_SeasonSeconds</x:f>
        <x:v>513263.0750234689</x:v>
      </x:c>
    </x:row>
    <x:row r="531">
      <x:c r="A531" s="8" t="n">
        <x:f>A530+1</x:f>
        <x:v>528</x:v>
      </x:c>
      <x:c r="B531" s="9" t="n">
        <x:f>A531*tun_SeasonSeconds/60</x:f>
        <x:v>132</x:v>
      </x:c>
      <x:c r="C531" s="9" t="n">
        <x:f>A531/4</x:f>
        <x:v>132</x:v>
      </x:c>
      <x:c r="D531" s="8" t="n">
        <x:f>IF(MOD(A531,4)=0,1,0)</x:f>
        <x:v>1</x:v>
      </x:c>
      <x:c r="E531" s="8" t="n">
        <x:f>IF(AND(F530&lt;=9,AS530&gt;=AR530),1,0)</x:f>
        <x:v>0</x:v>
      </x:c>
      <x:c r="F531" s="8" t="n">
        <x:f>MIN(10,F530+E531)</x:f>
        <x:v>8</x:v>
      </x:c>
      <x:c r="G531" s="8" t="n">
        <x:f>MIN(F531,9)+1</x:f>
        <x:v>9</x:v>
      </x:c>
      <x:c r="H531" s="8" t="n">
        <x:f>IF(F531&lt;=9,1,0)</x:f>
        <x:v>1</x:v>
      </x:c>
      <x:c r="I531" s="9" t="n">
        <x:f>MIN(10,F530+IF(AR530&gt;0,MIN(1,AS530/AR530),1))</x:f>
        <x:v>8.185447771976364</x:v>
      </x:c>
      <x:c r="J531" s="32" t="n">
        <x:f>INDEX(tun_FoodCap,G531)*Arch_FoodCap*EXP(tun_CapsByProject*SUMPRODUCT((Cap_Point&lt;=I531)*(Cap_Kind="Food")*Cap_Ln))</x:f>
        <x:v>4514.300360064293</x:v>
      </x:c>
      <x:c r="K531" s="32" t="n">
        <x:f>J531*MIN(1,tun_LeanBase*EXP(tun_CapsByProject*SUMPRODUCT((Cap_Point&lt;=I531)*(Cap_Kind="Lean")*Cap_Ln)))</x:f>
        <x:v>4514.300360064293</x:v>
      </x:c>
      <x:c r="L531" s="10" t="n">
        <x:f>INDEX(tun_HousingCap,G531)*EXP(tun_CapsByProject*SUMPRODUCT((Cap_Point&lt;=I531)*(Cap_Kind="Housing")*Cap_Ln))</x:f>
        <x:v>6581.714062749661</x:v>
      </x:c>
      <x:c r="M531" s="10" t="n">
        <x:f>INDEX(tun_GroupCap,G531)*tun_CohesionFactor*EXP(tun_CapsByProject*SUMPRODUCT((Cap_Point&lt;=I531)*(Cap_Kind="Group")*Cap_Ln))</x:f>
        <x:v>1000000.000000001</x:v>
      </x:c>
      <x:c r="N531" s="32" t="n">
        <x:f>MIN(J531,L531,M531)</x:f>
        <x:v>4514.300360064293</x:v>
      </x:c>
      <x:c r="O531" s="10" t="n">
        <x:f>AE530*N531</x:f>
        <x:v>40628.70324057864</x:v>
      </x:c>
      <x:c r="P531" s="9" t="n">
        <x:f>MIN(1,(AB530/(AE530*IF(tun_GroupInCrowding=1,N531,MIN(J531,L531))))^tun_CrowdingExp)</x:f>
        <x:v>0.8829459452041246</x:v>
      </x:c>
      <x:c r="Q531" s="9" t="n">
        <x:f>IF(D531=1,INDEX(tun_WinterMult,G531),1)</x:f>
        <x:v>1.05</x:v>
      </x:c>
      <x:c r="R531" s="9" t="n">
        <x:f>H531*Z530*tun_WomenShare*tun_BaseFertility*INDEX(tun_FertMult,G531)*Arch_Fertility*(1-P531)</x:f>
        <x:v>81.71047303113109</x:v>
      </x:c>
      <x:c r="S531" s="9" t="n">
        <x:f>H531*Y530*INDEX(tun_MortChild,G531)/4*Q531</x:f>
        <x:v>15.026256415239926</x:v>
      </x:c>
      <x:c r="T531" s="9" t="n">
        <x:f>H531*Z530*INDEX(tun_MortAdult,G531)*Arch_AdultMort/4*Q531</x:f>
        <x:v>15.376793375170987</x:v>
      </x:c>
      <x:c r="U531" s="9" t="n">
        <x:f>H531*AA530*INDEX(tun_MortElder,G531)/4*Q531</x:f>
        <x:v>65.38173124955262</x:v>
      </x:c>
      <x:c r="V531" s="9" t="n">
        <x:f>H531*MAX(0,AB530-O531)*tun_OvercapLoss</x:f>
        <x:v>0</x:v>
      </x:c>
      <x:c r="W531" s="9" t="n">
        <x:f>H531*Y530/(tun_ChildYears*4)</x:f>
        <x:v>227.15429199153328</x:v>
      </x:c>
      <x:c r="X531" s="9" t="n">
        <x:f>H531*Z530/(tun_AdultYears*4)</x:f>
        <x:v>157.468442142048</x:v>
      </x:c>
      <x:c r="Y531" s="32" t="n">
        <x:f>Y530+R531-S531-W531-Y530*V531/AB530</x:f>
        <x:v>12560.170276150222</x:v>
      </x:c>
      <x:c r="Z531" s="32" t="n">
        <x:f>Z530+W531-X531-T531-Z530*V531/AB530</x:f>
        <x:v>19580.395882088265</x:v>
      </x:c>
      <x:c r="AA531" s="32" t="n">
        <x:f>AA530+X531-U531-AA530*V531/AB530</x:f>
        <x:v>7639.761314015452</x:v>
      </x:c>
      <x:c r="AB531" s="10" t="n">
        <x:f>Y531+Z531+AA531</x:f>
        <x:v>39780.327472253935</x:v>
      </x:c>
      <x:c r="AC531" s="8" t="n">
        <x:f>IF(AND(tun_WinterTrigger=1,D531=1,AB530/AE530&gt;=K531),1,0)</x:f>
        <x:v>0</x:v>
      </x:c>
      <x:c r="AD531" s="8" t="n">
        <x:f>H531*IF(AND(OR(AB530/AE530&gt;=tun_FissionTrigger*N531,AC531=1),AB530/AE530*tun_DaughterShare&gt;=tun_MinDaughter),MAX(1,ROUND(AE530*tun_FissionRate,0)),0)</x:f>
        <x:v>3</x:v>
      </x:c>
      <x:c r="AE531" s="8" t="n">
        <x:f>IF(H531=1,MAX(1,MIN(INDEX(tun_Smax,G531),AE530+AD531)),AE530)</x:f>
        <x:v>9</x:v>
      </x:c>
      <x:c r="AF531" s="8" t="n">
        <x:f>MAX(0,AE531-AE530)</x:f>
        <x:v>0</x:v>
      </x:c>
      <x:c r="AG531" s="9" t="str">
        <x:f>IF(AF531&gt;0,B531,"")</x:f>
      </x:c>
      <x:c r="AH531" s="9" t="n">
        <x:f>IF(F531&gt;=1,1,(1+tun_LowTiesShare*(AE531-1))/AE531)</x:f>
        <x:v>1</x:v>
      </x:c>
      <x:c r="AI531" s="32" t="n">
        <x:f>(Z531+tun_ElderCommons*INDEX(LM_Elder,G531)*AA531)*AH531</x:f>
        <x:v>48229.50080964621</x:v>
      </x:c>
      <x:c r="AJ531" s="32" t="n">
        <x:f>H531*tun_CommonsCoef*AI531^tun_CommonsExp*INDEX(LM_Commons,G531)</x:f>
        <x:v>138454.78866212993</x:v>
      </x:c>
      <x:c r="AK531" s="32" t="n">
        <x:f>H531*tun_RoleScale*Arch_Roles*(AE531*(INDEX(tun_ElderRolePerSett,G531)*tun_OutElder*INDEX(LM_Elder,G531)+INDEX(tun_ShamanPerSett,G531)*tun_OutShaman)+Z531*(INDEX(tun_PriestShare,G531)*tun_OutPriest+INDEX(tun_ScribeShare,G531)*tun_OutScribe*INDEX(LM_Scribe,G531)+INDEX(tun_ScholarShare,G531)*tun_OutScholar*INDEX(LM_Scholar,G531)+INDEX(tun_ResearcherShare,G531)*tun_OutResearcher*INDEX(LM_Researcher,G531)))</x:f>
        <x:v>40696.28164593122</x:v>
      </x:c>
      <x:c r="AL531" s="32" t="n">
        <x:f>H531*tun_RoleScale*Arch_Roles*AE531*INDEX(tun_MonasteryPerSett,G531)*tun_OutMonastery*INDEX(LM_Monastery,G531)</x:f>
        <x:v>31.680000000000003</x:v>
      </x:c>
      <x:c r="AM531" s="32" t="n">
        <x:f>(AJ531+AK531+AL531)/4*INDEX(LM_All,G531)*INDEX(tun_Boon,G531)*Arch_Insight</x:f>
        <x:v>129099.64407775813</x:v>
      </x:c>
      <x:c r="AN531" s="32" t="n">
        <x:f>H531*(tun_KHPerAdult*Z531+tun_KHOfCommons*AJ531/4*INDEX(LM_All,G531))*tun_KHUsable*Arch_KH</x:f>
        <x:v>20059.125190878243</x:v>
      </x:c>
      <x:c r="AO531" s="32" t="n">
        <x:f>MIN(AP530+AN531,AM531*tun_KHMaxRatio)</x:f>
        <x:v>20059.125190878243</x:v>
      </x:c>
      <x:c r="AP531" s="32" t="n">
        <x:f>AP530+AN531-AO531</x:f>
        <x:v>0</x:v>
      </x:c>
      <x:c r="AQ531" s="32" t="n">
        <x:f>AM531+AO531</x:f>
        <x:v>149158.76926863636</x:v>
      </x:c>
      <x:c r="AR531" s="10" t="n">
        <x:f>IF(H531=1,INDEX(tun_Req,G531),0)</x:f>
        <x:v>24497531.045680594</x:v>
      </x:c>
      <x:c r="AS531" s="32" t="n">
        <x:f>IF(H531=1,IF(E531=1,AS530-AR530,AS530)+AQ531,0)</x:f>
        <x:v>4692171.320611898</x:v>
      </x:c>
      <x:c r="AT531" s="11" t="n">
        <x:f>IF(AR531&gt;0,MIN(1,AS531/AR531),1)</x:f>
        <x:v>0.191536498590915</x:v>
      </x:c>
      <x:c r="AU531" s="10" t="n">
        <x:f>AB531/INDEX(tun_RepScale,G531)</x:f>
        <x:v>159.12130988901575</x:v>
      </x:c>
      <x:c r="AV531" s="32" t="n">
        <x:f>AM531*60/tun_SeasonSeconds</x:f>
        <x:v>516398.5763110325</x:v>
      </x:c>
    </x:row>
    <x:row r="532">
      <x:c r="A532" s="8" t="n">
        <x:f>A531+1</x:f>
        <x:v>529</x:v>
      </x:c>
      <x:c r="B532" s="9" t="n">
        <x:f>A532*tun_SeasonSeconds/60</x:f>
        <x:v>132.25</x:v>
      </x:c>
      <x:c r="C532" s="9" t="n">
        <x:f>A532/4</x:f>
        <x:v>132.25</x:v>
      </x:c>
      <x:c r="D532" s="8" t="n">
        <x:f>IF(MOD(A532,4)=0,1,0)</x:f>
        <x:v>0</x:v>
      </x:c>
      <x:c r="E532" s="8" t="n">
        <x:f>IF(AND(F531&lt;=9,AS531&gt;=AR531),1,0)</x:f>
        <x:v>0</x:v>
      </x:c>
      <x:c r="F532" s="8" t="n">
        <x:f>MIN(10,F531+E532)</x:f>
        <x:v>8</x:v>
      </x:c>
      <x:c r="G532" s="8" t="n">
        <x:f>MIN(F532,9)+1</x:f>
        <x:v>9</x:v>
      </x:c>
      <x:c r="H532" s="8" t="n">
        <x:f>IF(F532&lt;=9,1,0)</x:f>
        <x:v>1</x:v>
      </x:c>
      <x:c r="I532" s="9" t="n">
        <x:f>MIN(10,F531+IF(AR531&gt;0,MIN(1,AS531/AR531),1))</x:f>
        <x:v>8.191536498590915</x:v>
      </x:c>
      <x:c r="J532" s="32" t="n">
        <x:f>INDEX(tun_FoodCap,G532)*Arch_FoodCap*EXP(tun_CapsByProject*SUMPRODUCT((Cap_Point&lt;=I532)*(Cap_Kind="Food")*Cap_Ln))</x:f>
        <x:v>4514.300360064293</x:v>
      </x:c>
      <x:c r="K532" s="32" t="n">
        <x:f>J532*MIN(1,tun_LeanBase*EXP(tun_CapsByProject*SUMPRODUCT((Cap_Point&lt;=I532)*(Cap_Kind="Lean")*Cap_Ln)))</x:f>
        <x:v>4514.300360064293</x:v>
      </x:c>
      <x:c r="L532" s="10" t="n">
        <x:f>INDEX(tun_HousingCap,G532)*EXP(tun_CapsByProject*SUMPRODUCT((Cap_Point&lt;=I532)*(Cap_Kind="Housing")*Cap_Ln))</x:f>
        <x:v>6581.714062749661</x:v>
      </x:c>
      <x:c r="M532" s="10" t="n">
        <x:f>INDEX(tun_GroupCap,G532)*tun_CohesionFactor*EXP(tun_CapsByProject*SUMPRODUCT((Cap_Point&lt;=I532)*(Cap_Kind="Group")*Cap_Ln))</x:f>
        <x:v>1000000.000000001</x:v>
      </x:c>
      <x:c r="N532" s="32" t="n">
        <x:f>MIN(J532,L532,M532)</x:f>
        <x:v>4514.300360064293</x:v>
      </x:c>
      <x:c r="O532" s="10" t="n">
        <x:f>AE531*N532</x:f>
        <x:v>40628.70324057864</x:v>
      </x:c>
      <x:c r="P532" s="9" t="n">
        <x:f>MIN(1,(AB531/(AE531*IF(tun_GroupInCrowding=1,N532,MIN(J532,L532))))^tun_CrowdingExp)</x:f>
        <x:v>0.8810739425917374</x:v>
      </x:c>
      <x:c r="Q532" s="9" t="n">
        <x:f>IF(D532=1,INDEX(tun_WinterMult,G532),1)</x:f>
        <x:v>1</x:v>
      </x:c>
      <x:c r="R532" s="9" t="n">
        <x:f>H532*Z531*tun_WomenShare*tun_BaseFertility*INDEX(tun_FertMult,G532)*Arch_Fertility*(1-P532)</x:f>
        <x:v>83.24813942980312</x:v>
      </x:c>
      <x:c r="S532" s="9" t="n">
        <x:f>H532*Y531*INDEX(tun_MortChild,G532)/4*Q532</x:f>
        <x:v>14.130191560669</x:v>
      </x:c>
      <x:c r="T532" s="9" t="n">
        <x:f>H532*Z531*INDEX(tun_MortAdult,G532)*Arch_AdultMort/4*Q532</x:f>
        <x:v>14.6852969115662</x:v>
      </x:c>
      <x:c r="U532" s="9" t="n">
        <x:f>H532*AA531*INDEX(tun_MortElder,G532)/4*Q532</x:f>
        <x:v>63.02803084062748</x:v>
      </x:c>
      <x:c r="V532" s="9" t="n">
        <x:f>H532*MAX(0,AB531-O532)*tun_OvercapLoss</x:f>
        <x:v>0</x:v>
      </x:c>
      <x:c r="W532" s="9" t="n">
        <x:f>H532*Y531/(tun_ChildYears*4)</x:f>
        <x:v>224.28875493125398</x:v>
      </x:c>
      <x:c r="X532" s="9" t="n">
        <x:f>H532*Z531/(tun_AdultYears*4)</x:f>
        <x:v>157.90641840393764</x:v>
      </x:c>
      <x:c r="Y532" s="32" t="n">
        <x:f>Y531+R532-S532-W532-Y531*V532/AB531</x:f>
        <x:v>12404.999469088101</x:v>
      </x:c>
      <x:c r="Z532" s="32" t="n">
        <x:f>Z531+W532-X532-T532-Z531*V532/AB531</x:f>
        <x:v>19632.092921704014</x:v>
      </x:c>
      <x:c r="AA532" s="32" t="n">
        <x:f>AA531+X532-U532-AA531*V532/AB531</x:f>
        <x:v>7734.6397015787625</x:v>
      </x:c>
      <x:c r="AB532" s="10" t="n">
        <x:f>Y532+Z532+AA532</x:f>
        <x:v>39771.732092370876</x:v>
      </x:c>
      <x:c r="AC532" s="8" t="n">
        <x:f>IF(AND(tun_WinterTrigger=1,D532=1,AB531/AE531&gt;=K532),1,0)</x:f>
        <x:v>0</x:v>
      </x:c>
      <x:c r="AD532" s="8" t="n">
        <x:f>H532*IF(AND(OR(AB531/AE531&gt;=tun_FissionTrigger*N532,AC532=1),AB531/AE531*tun_DaughterShare&gt;=tun_MinDaughter),MAX(1,ROUND(AE531*tun_FissionRate,0)),0)</x:f>
        <x:v>3</x:v>
      </x:c>
      <x:c r="AE532" s="8" t="n">
        <x:f>IF(H532=1,MAX(1,MIN(INDEX(tun_Smax,G532),AE531+AD532)),AE531)</x:f>
        <x:v>9</x:v>
      </x:c>
      <x:c r="AF532" s="8" t="n">
        <x:f>MAX(0,AE532-AE531)</x:f>
        <x:v>0</x:v>
      </x:c>
      <x:c r="AG532" s="9" t="str">
        <x:f>IF(AF532&gt;0,B532,"")</x:f>
      </x:c>
      <x:c r="AH532" s="9" t="n">
        <x:f>IF(F532&gt;=1,1,(1+tun_LowTiesShare*(AE532-1))/AE532)</x:f>
        <x:v>1</x:v>
      </x:c>
      <x:c r="AI532" s="32" t="n">
        <x:f>(Z532+tun_ElderCommons*INDEX(LM_Elder,G532)*AA532)*AH532</x:f>
        <x:v>48636.99180262437</x:v>
      </x:c>
      <x:c r="AJ532" s="32" t="n">
        <x:f>H532*tun_CommonsCoef*AI532^tun_CommonsExp*INDEX(LM_Commons,G532)</x:f>
        <x:v>139448.49429745233</x:v>
      </x:c>
      <x:c r="AK532" s="32" t="n">
        <x:f>H532*tun_RoleScale*Arch_Roles*(AE532*(INDEX(tun_ElderRolePerSett,G532)*tun_OutElder*INDEX(LM_Elder,G532)+INDEX(tun_ShamanPerSett,G532)*tun_OutShaman)+Z532*(INDEX(tun_PriestShare,G532)*tun_OutPriest+INDEX(tun_ScribeShare,G532)*tun_OutScribe*INDEX(LM_Scribe,G532)+INDEX(tun_ScholarShare,G532)*tun_OutScholar*INDEX(LM_Scholar,G532)+INDEX(tun_ResearcherShare,G532)*tun_OutResearcher*INDEX(LM_Researcher,G532)))</x:f>
        <x:v>40803.08821493169</x:v>
      </x:c>
      <x:c r="AL532" s="32" t="n">
        <x:f>H532*tun_RoleScale*Arch_Roles*AE532*INDEX(tun_MonasteryPerSett,G532)*tun_OutMonastery*INDEX(LM_Monastery,G532)</x:f>
        <x:v>31.680000000000003</x:v>
      </x:c>
      <x:c r="AM532" s="32" t="n">
        <x:f>(AJ532+AK532+AL532)/4*INDEX(LM_All,G532)*INDEX(tun_Boon,G532)*Arch_Insight</x:f>
        <x:v>129892.55373919064</x:v>
      </x:c>
      <x:c r="AN532" s="32" t="n">
        <x:f>H532*(tun_KHPerAdult*Z532+tun_KHOfCommons*AJ532/4*INDEX(LM_All,G532))*tun_KHUsable*Arch_KH</x:f>
        <x:v>20203.09179495472</x:v>
      </x:c>
      <x:c r="AO532" s="32" t="n">
        <x:f>MIN(AP531+AN532,AM532*tun_KHMaxRatio)</x:f>
        <x:v>20203.09179495472</x:v>
      </x:c>
      <x:c r="AP532" s="32" t="n">
        <x:f>AP531+AN532-AO532</x:f>
        <x:v>0</x:v>
      </x:c>
      <x:c r="AQ532" s="32" t="n">
        <x:f>AM532+AO532</x:f>
        <x:v>150095.64553414535</x:v>
      </x:c>
      <x:c r="AR532" s="10" t="n">
        <x:f>IF(H532=1,INDEX(tun_Req,G532),0)</x:f>
        <x:v>24497531.045680594</x:v>
      </x:c>
      <x:c r="AS532" s="32" t="n">
        <x:f>IF(H532=1,IF(E532=1,AS531-AR531,AS531)+AQ532,0)</x:f>
        <x:v>4842266.9661460435</x:v>
      </x:c>
      <x:c r="AT532" s="11" t="n">
        <x:f>IF(AR532&gt;0,MIN(1,AS532/AR532),1)</x:f>
        <x:v>0.19766346890699552</x:v>
      </x:c>
      <x:c r="AU532" s="10" t="n">
        <x:f>AB532/INDEX(tun_RepScale,G532)</x:f>
        <x:v>159.0869283694835</x:v>
      </x:c>
      <x:c r="AV532" s="32" t="n">
        <x:f>AM532*60/tun_SeasonSeconds</x:f>
        <x:v>519570.21495676256</x:v>
      </x:c>
    </x:row>
    <x:row r="533">
      <x:c r="A533" s="8" t="n">
        <x:f>A532+1</x:f>
        <x:v>530</x:v>
      </x:c>
      <x:c r="B533" s="9" t="n">
        <x:f>A533*tun_SeasonSeconds/60</x:f>
        <x:v>132.5</x:v>
      </x:c>
      <x:c r="C533" s="9" t="n">
        <x:f>A533/4</x:f>
        <x:v>132.5</x:v>
      </x:c>
      <x:c r="D533" s="8" t="n">
        <x:f>IF(MOD(A533,4)=0,1,0)</x:f>
        <x:v>0</x:v>
      </x:c>
      <x:c r="E533" s="8" t="n">
        <x:f>IF(AND(F532&lt;=9,AS532&gt;=AR532),1,0)</x:f>
        <x:v>0</x:v>
      </x:c>
      <x:c r="F533" s="8" t="n">
        <x:f>MIN(10,F532+E533)</x:f>
        <x:v>8</x:v>
      </x:c>
      <x:c r="G533" s="8" t="n">
        <x:f>MIN(F533,9)+1</x:f>
        <x:v>9</x:v>
      </x:c>
      <x:c r="H533" s="8" t="n">
        <x:f>IF(F533&lt;=9,1,0)</x:f>
        <x:v>1</x:v>
      </x:c>
      <x:c r="I533" s="9" t="n">
        <x:f>MIN(10,F532+IF(AR532&gt;0,MIN(1,AS532/AR532),1))</x:f>
        <x:v>8.197663468906995</x:v>
      </x:c>
      <x:c r="J533" s="32" t="n">
        <x:f>INDEX(tun_FoodCap,G533)*Arch_FoodCap*EXP(tun_CapsByProject*SUMPRODUCT((Cap_Point&lt;=I533)*(Cap_Kind="Food")*Cap_Ln))</x:f>
        <x:v>4514.300360064293</x:v>
      </x:c>
      <x:c r="K533" s="32" t="n">
        <x:f>J533*MIN(1,tun_LeanBase*EXP(tun_CapsByProject*SUMPRODUCT((Cap_Point&lt;=I533)*(Cap_Kind="Lean")*Cap_Ln)))</x:f>
        <x:v>4514.300360064293</x:v>
      </x:c>
      <x:c r="L533" s="10" t="n">
        <x:f>INDEX(tun_HousingCap,G533)*EXP(tun_CapsByProject*SUMPRODUCT((Cap_Point&lt;=I533)*(Cap_Kind="Housing")*Cap_Ln))</x:f>
        <x:v>6581.714062749661</x:v>
      </x:c>
      <x:c r="M533" s="10" t="n">
        <x:f>INDEX(tun_GroupCap,G533)*tun_CohesionFactor*EXP(tun_CapsByProject*SUMPRODUCT((Cap_Point&lt;=I533)*(Cap_Kind="Group")*Cap_Ln))</x:f>
        <x:v>1000000.000000001</x:v>
      </x:c>
      <x:c r="N533" s="32" t="n">
        <x:f>MIN(J533,L533,M533)</x:f>
        <x:v>4514.300360064293</x:v>
      </x:c>
      <x:c r="O533" s="10" t="n">
        <x:f>AE532*N533</x:f>
        <x:v>40628.70324057864</x:v>
      </x:c>
      <x:c r="P533" s="9" t="n">
        <x:f>MIN(1,(AB532/(AE532*IF(tun_GroupInCrowding=1,N533,MIN(J533,L533))))^tun_CrowdingExp)</x:f>
        <x:v>0.879932311633135</x:v>
      </x:c>
      <x:c r="Q533" s="9" t="n">
        <x:f>IF(D533=1,INDEX(tun_WinterMult,G533),1)</x:f>
        <x:v>1</x:v>
      </x:c>
      <x:c r="R533" s="9" t="n">
        <x:f>H533*Z532*tun_WomenShare*tun_BaseFertility*INDEX(tun_FertMult,G533)*Arch_Fertility*(1-P533)</x:f>
        <x:v>84.26918553312166</x:v>
      </x:c>
      <x:c r="S533" s="9" t="n">
        <x:f>H533*Y532*INDEX(tun_MortChild,G533)/4*Q533</x:f>
        <x:v>13.955624402724112</x:v>
      </x:c>
      <x:c r="T533" s="9" t="n">
        <x:f>H533*Z532*INDEX(tun_MortAdult,G533)*Arch_AdultMort/4*Q533</x:f>
        <x:v>14.724069691278011</x:v>
      </x:c>
      <x:c r="U533" s="9" t="n">
        <x:f>H533*AA532*INDEX(tun_MortElder,G533)/4*Q533</x:f>
        <x:v>63.810777538024794</x:v>
      </x:c>
      <x:c r="V533" s="9" t="n">
        <x:f>H533*MAX(0,AB532-O533)*tun_OvercapLoss</x:f>
        <x:v>0</x:v>
      </x:c>
      <x:c r="W533" s="9" t="n">
        <x:f>H533*Y532/(tun_ChildYears*4)</x:f>
        <x:v>221.51784766228752</x:v>
      </x:c>
      <x:c r="X533" s="9" t="n">
        <x:f>H533*Z532/(tun_AdultYears*4)</x:f>
        <x:v>158.32333001374204</x:v>
      </x:c>
      <x:c r="Y533" s="32" t="n">
        <x:f>Y532+R533-S533-W533-Y532*V533/AB532</x:f>
        <x:v>12253.79518255621</x:v>
      </x:c>
      <x:c r="Z533" s="32" t="n">
        <x:f>Z532+W533-X533-T533-Z532*V533/AB532</x:f>
        <x:v>19680.56336966128</x:v>
      </x:c>
      <x:c r="AA533" s="32" t="n">
        <x:f>AA532+X533-U533-AA532*V533/AB532</x:f>
        <x:v>7829.152254054479</x:v>
      </x:c>
      <x:c r="AB533" s="10" t="n">
        <x:f>Y533+Z533+AA533</x:f>
        <x:v>39763.51080627197</x:v>
      </x:c>
      <x:c r="AC533" s="8" t="n">
        <x:f>IF(AND(tun_WinterTrigger=1,D533=1,AB532/AE532&gt;=K533),1,0)</x:f>
        <x:v>0</x:v>
      </x:c>
      <x:c r="AD533" s="8" t="n">
        <x:f>H533*IF(AND(OR(AB532/AE532&gt;=tun_FissionTrigger*N533,AC533=1),AB532/AE532*tun_DaughterShare&gt;=tun_MinDaughter),MAX(1,ROUND(AE532*tun_FissionRate,0)),0)</x:f>
        <x:v>3</x:v>
      </x:c>
      <x:c r="AE533" s="8" t="n">
        <x:f>IF(H533=1,MAX(1,MIN(INDEX(tun_Smax,G533),AE532+AD533)),AE532)</x:f>
        <x:v>9</x:v>
      </x:c>
      <x:c r="AF533" s="8" t="n">
        <x:f>MAX(0,AE533-AE532)</x:f>
        <x:v>0</x:v>
      </x:c>
      <x:c r="AG533" s="9" t="str">
        <x:f>IF(AF533&gt;0,B533,"")</x:f>
      </x:c>
      <x:c r="AH533" s="9" t="n">
        <x:f>IF(F533&gt;=1,1,(1+tun_LowTiesShare*(AE533-1))/AE533)</x:f>
        <x:v>1</x:v>
      </x:c>
      <x:c r="AI533" s="32" t="n">
        <x:f>(Z533+tun_ElderCommons*INDEX(LM_Elder,G533)*AA533)*AH533</x:f>
        <x:v>49039.88432236557</x:v>
      </x:c>
      <x:c r="AJ533" s="32" t="n">
        <x:f>H533*tun_CommonsCoef*AI533^tun_CommonsExp*INDEX(LM_Commons,G533)</x:f>
        <x:v>140429.75906710193</x:v>
      </x:c>
      <x:c r="AK533" s="32" t="n">
        <x:f>H533*tun_RoleScale*Arch_Roles*(AE533*(INDEX(tun_ElderRolePerSett,G533)*tun_OutElder*INDEX(LM_Elder,G533)+INDEX(tun_ShamanPerSett,G533)*tun_OutShaman)+Z533*(INDEX(tun_PriestShare,G533)*tun_OutPriest+INDEX(tun_ScribeShare,G533)*tun_OutScribe*INDEX(LM_Scribe,G533)+INDEX(tun_ScholarShare,G533)*tun_OutScholar*INDEX(LM_Scholar,G533)+INDEX(tun_ResearcherShare,G533)*tun_OutResearcher*INDEX(LM_Researcher,G533)))</x:f>
        <x:v>40903.22861528556</x:v>
      </x:c>
      <x:c r="AL533" s="32" t="n">
        <x:f>H533*tun_RoleScale*Arch_Roles*AE533*INDEX(tun_MonasteryPerSett,G533)*tun_OutMonastery*INDEX(LM_Monastery,G533)</x:f>
        <x:v>31.680000000000003</x:v>
      </x:c>
      <x:c r="AM533" s="32" t="n">
        <x:f>(AJ533+AK533+AL533)/4*INDEX(LM_All,G533)*INDEX(tun_Boon,G533)*Arch_Insight</x:f>
        <x:v>130671.69694528205</x:v>
      </x:c>
      <x:c r="AN533" s="32" t="n">
        <x:f>H533*(tun_KHPerAdult*Z533+tun_KHOfCommons*AJ533/4*INDEX(LM_All,G533))*tun_KHUsable*Arch_KH</x:f>
        <x:v>20345.25598479602</x:v>
      </x:c>
      <x:c r="AO533" s="32" t="n">
        <x:f>MIN(AP532+AN533,AM533*tun_KHMaxRatio)</x:f>
        <x:v>20345.25598479602</x:v>
      </x:c>
      <x:c r="AP533" s="32" t="n">
        <x:f>AP532+AN533-AO533</x:f>
        <x:v>0</x:v>
      </x:c>
      <x:c r="AQ533" s="32" t="n">
        <x:f>AM533+AO533</x:f>
        <x:v>151016.95293007806</x:v>
      </x:c>
      <x:c r="AR533" s="10" t="n">
        <x:f>IF(H533=1,INDEX(tun_Req,G533),0)</x:f>
        <x:v>24497531.045680594</x:v>
      </x:c>
      <x:c r="AS533" s="32" t="n">
        <x:f>IF(H533=1,IF(E533=1,AS532-AR532,AS532)+AQ533,0)</x:f>
        <x:v>4993283.919076121</x:v>
      </x:c>
      <x:c r="AT533" s="11" t="n">
        <x:f>IF(AR533&gt;0,MIN(1,AS533/AR533),1)</x:f>
        <x:v>0.2038280473964962</x:v>
      </x:c>
      <x:c r="AU533" s="10" t="n">
        <x:f>AB533/INDEX(tun_RepScale,G533)</x:f>
        <x:v>159.05404322508787</x:v>
      </x:c>
      <x:c r="AV533" s="32" t="n">
        <x:f>AM533*60/tun_SeasonSeconds</x:f>
        <x:v>522686.78778112814</x:v>
      </x:c>
    </x:row>
    <x:row r="534">
      <x:c r="A534" s="8" t="n">
        <x:f>A533+1</x:f>
        <x:v>531</x:v>
      </x:c>
      <x:c r="B534" s="9" t="n">
        <x:f>A534*tun_SeasonSeconds/60</x:f>
        <x:v>132.75</x:v>
      </x:c>
      <x:c r="C534" s="9" t="n">
        <x:f>A534/4</x:f>
        <x:v>132.75</x:v>
      </x:c>
      <x:c r="D534" s="8" t="n">
        <x:f>IF(MOD(A534,4)=0,1,0)</x:f>
        <x:v>0</x:v>
      </x:c>
      <x:c r="E534" s="8" t="n">
        <x:f>IF(AND(F533&lt;=9,AS533&gt;=AR533),1,0)</x:f>
        <x:v>0</x:v>
      </x:c>
      <x:c r="F534" s="8" t="n">
        <x:f>MIN(10,F533+E534)</x:f>
        <x:v>8</x:v>
      </x:c>
      <x:c r="G534" s="8" t="n">
        <x:f>MIN(F534,9)+1</x:f>
        <x:v>9</x:v>
      </x:c>
      <x:c r="H534" s="8" t="n">
        <x:f>IF(F534&lt;=9,1,0)</x:f>
        <x:v>1</x:v>
      </x:c>
      <x:c r="I534" s="9" t="n">
        <x:f>MIN(10,F533+IF(AR533&gt;0,MIN(1,AS533/AR533),1))</x:f>
        <x:v>8.203828047396497</x:v>
      </x:c>
      <x:c r="J534" s="32" t="n">
        <x:f>INDEX(tun_FoodCap,G534)*Arch_FoodCap*EXP(tun_CapsByProject*SUMPRODUCT((Cap_Point&lt;=I534)*(Cap_Kind="Food")*Cap_Ln))</x:f>
        <x:v>6502.383572524903</x:v>
      </x:c>
      <x:c r="K534" s="32" t="n">
        <x:f>J534*MIN(1,tun_LeanBase*EXP(tun_CapsByProject*SUMPRODUCT((Cap_Point&lt;=I534)*(Cap_Kind="Lean")*Cap_Ln)))</x:f>
        <x:v>6502.383572524903</x:v>
      </x:c>
      <x:c r="L534" s="10" t="n">
        <x:f>INDEX(tun_HousingCap,G534)*EXP(tun_CapsByProject*SUMPRODUCT((Cap_Point&lt;=I534)*(Cap_Kind="Housing")*Cap_Ln))</x:f>
        <x:v>6581.714062749661</x:v>
      </x:c>
      <x:c r="M534" s="10" t="n">
        <x:f>INDEX(tun_GroupCap,G534)*tun_CohesionFactor*EXP(tun_CapsByProject*SUMPRODUCT((Cap_Point&lt;=I534)*(Cap_Kind="Group")*Cap_Ln))</x:f>
        <x:v>1000000.000000001</x:v>
      </x:c>
      <x:c r="N534" s="32" t="n">
        <x:f>MIN(J534,L534,M534)</x:f>
        <x:v>6502.383572524903</x:v>
      </x:c>
      <x:c r="O534" s="10" t="n">
        <x:f>AE533*N534</x:f>
        <x:v>58521.45215272412</x:v>
      </x:c>
      <x:c r="P534" s="9" t="n">
        <x:f>MIN(1,(AB533/(AE533*IF(tun_GroupInCrowding=1,N534,MIN(J534,L534))))^tun_CrowdingExp)</x:f>
        <x:v>0.09840513652557327</x:v>
      </x:c>
      <x:c r="Q534" s="9" t="n">
        <x:f>IF(D534=1,INDEX(tun_WinterMult,G534),1)</x:f>
        <x:v>1</x:v>
      </x:c>
      <x:c r="R534" s="9" t="n">
        <x:f>H534*Z533*tun_WomenShare*tun_BaseFertility*INDEX(tun_FertMult,G534)*Arch_Fertility*(1-P534)</x:f>
        <x:v>634.344240686212</x:v>
      </x:c>
      <x:c r="S534" s="9" t="n">
        <x:f>H534*Y533*INDEX(tun_MortChild,G534)/4*Q534</x:f>
        <x:v>13.785519580375736</x:v>
      </x:c>
      <x:c r="T534" s="9" t="n">
        <x:f>H534*Z533*INDEX(tun_MortAdult,G534)*Arch_AdultMort/4*Q534</x:f>
        <x:v>14.760422527245959</x:v>
      </x:c>
      <x:c r="U534" s="9" t="n">
        <x:f>H534*AA533*INDEX(tun_MortElder,G534)/4*Q534</x:f>
        <x:v>64.59050609594945</x:v>
      </x:c>
      <x:c r="V534" s="9" t="n">
        <x:f>H534*MAX(0,AB533-O534)*tun_OvercapLoss</x:f>
        <x:v>0</x:v>
      </x:c>
      <x:c r="W534" s="9" t="n">
        <x:f>H534*Y533/(tun_ChildYears*4)</x:f>
        <x:v>218.81777111707518</x:v>
      </x:c>
      <x:c r="X534" s="9" t="n">
        <x:f>H534*Z533/(tun_AdultYears*4)</x:f>
        <x:v>158.71422072307482</x:v>
      </x:c>
      <x:c r="Y534" s="32" t="n">
        <x:f>Y533+R534-S534-W534-Y533*V534/AB533</x:f>
        <x:v>12655.536132544972</x:v>
      </x:c>
      <x:c r="Z534" s="32" t="n">
        <x:f>Z533+W534-X534-T534-Z533*V534/AB533</x:f>
        <x:v>19725.906497528034</x:v>
      </x:c>
      <x:c r="AA534" s="32" t="n">
        <x:f>AA533+X534-U534-AA533*V534/AB533</x:f>
        <x:v>7923.275968681604</x:v>
      </x:c>
      <x:c r="AB534" s="10" t="n">
        <x:f>Y534+Z534+AA534</x:f>
        <x:v>40304.71859875461</x:v>
      </x:c>
      <x:c r="AC534" s="8" t="n">
        <x:f>IF(AND(tun_WinterTrigger=1,D534=1,AB533/AE533&gt;=K534),1,0)</x:f>
        <x:v>0</x:v>
      </x:c>
      <x:c r="AD534" s="8" t="n">
        <x:f>H534*IF(AND(OR(AB533/AE533&gt;=tun_FissionTrigger*N534,AC534=1),AB533/AE533*tun_DaughterShare&gt;=tun_MinDaughter),MAX(1,ROUND(AE533*tun_FissionRate,0)),0)</x:f>
        <x:v>0</x:v>
      </x:c>
      <x:c r="AE534" s="8" t="n">
        <x:f>IF(H534=1,MAX(1,MIN(INDEX(tun_Smax,G534),AE533+AD534)),AE533)</x:f>
        <x:v>9</x:v>
      </x:c>
      <x:c r="AF534" s="8" t="n">
        <x:f>MAX(0,AE534-AE533)</x:f>
        <x:v>0</x:v>
      </x:c>
      <x:c r="AG534" s="9" t="str">
        <x:f>IF(AF534&gt;0,B534,"")</x:f>
      </x:c>
      <x:c r="AH534" s="9" t="n">
        <x:f>IF(F534&gt;=1,1,(1+tun_LowTiesShare*(AE534-1))/AE534)</x:f>
        <x:v>1</x:v>
      </x:c>
      <x:c r="AI534" s="32" t="n">
        <x:f>(Z534+tun_ElderCommons*INDEX(LM_Elder,G534)*AA534)*AH534</x:f>
        <x:v>49438.191380084056</x:v>
      </x:c>
      <x:c r="AJ534" s="32" t="n">
        <x:f>H534*tun_CommonsCoef*AI534^tun_CommonsExp*INDEX(LM_Commons,G534)</x:f>
        <x:v>141398.66770423728</x:v>
      </x:c>
      <x:c r="AK534" s="32" t="n">
        <x:f>H534*tun_RoleScale*Arch_Roles*(AE534*(INDEX(tun_ElderRolePerSett,G534)*tun_OutElder*INDEX(LM_Elder,G534)+INDEX(tun_ShamanPerSett,G534)*tun_OutShaman)+Z534*(INDEX(tun_PriestShare,G534)*tun_OutPriest+INDEX(tun_ScribeShare,G534)*tun_OutScribe*INDEX(LM_Scribe,G534)+INDEX(tun_ScholarShare,G534)*tun_OutScholar*INDEX(LM_Scholar,G534)+INDEX(tun_ResearcherShare,G534)*tun_OutResearcher*INDEX(LM_Researcher,G534)))</x:f>
        <x:v>40996.907942983904</x:v>
      </x:c>
      <x:c r="AL534" s="32" t="n">
        <x:f>H534*tun_RoleScale*Arch_Roles*AE534*INDEX(tun_MonasteryPerSett,G534)*tun_OutMonastery*INDEX(LM_Monastery,G534)</x:f>
        <x:v>31.680000000000003</x:v>
      </x:c>
      <x:c r="AM534" s="32" t="n">
        <x:f>(AJ534+AK534+AL534)/4*INDEX(LM_All,G534)*INDEX(tun_Boon,G534)*Arch_Insight</x:f>
        <x:v>131437.28251546383</x:v>
      </x:c>
      <x:c r="AN534" s="32" t="n">
        <x:f>H534*(tun_KHPerAdult*Z534+tun_KHOfCommons*AJ534/4*INDEX(LM_All,G534))*tun_KHUsable*Arch_KH</x:f>
        <x:v>20485.630036416936</x:v>
      </x:c>
      <x:c r="AO534" s="32" t="n">
        <x:f>MIN(AP533+AN534,AM534*tun_KHMaxRatio)</x:f>
        <x:v>20485.630036416936</x:v>
      </x:c>
      <x:c r="AP534" s="32" t="n">
        <x:f>AP533+AN534-AO534</x:f>
        <x:v>0</x:v>
      </x:c>
      <x:c r="AQ534" s="32" t="n">
        <x:f>AM534+AO534</x:f>
        <x:v>151922.91255188076</x:v>
      </x:c>
      <x:c r="AR534" s="10" t="n">
        <x:f>IF(H534=1,INDEX(tun_Req,G534),0)</x:f>
        <x:v>24497531.045680594</x:v>
      </x:c>
      <x:c r="AS534" s="32" t="n">
        <x:f>IF(H534=1,IF(E534=1,AS533-AR533,AS533)+AQ534,0)</x:f>
        <x:v>5145206.831628002</x:v>
      </x:c>
      <x:c r="AT534" s="11" t="n">
        <x:f>IF(AR534&gt;0,MIN(1,AS534/AR534),1)</x:f>
        <x:v>0.21002960755652172</x:v>
      </x:c>
      <x:c r="AU534" s="10" t="n">
        <x:f>AB534/INDEX(tun_RepScale,G534)</x:f>
        <x:v>161.21887439501845</x:v>
      </x:c>
      <x:c r="AV534" s="32" t="n">
        <x:f>AM534*60/tun_SeasonSeconds</x:f>
        <x:v>525749.1300618553</x:v>
      </x:c>
    </x:row>
    <x:row r="535">
      <x:c r="A535" s="8" t="n">
        <x:f>A534+1</x:f>
        <x:v>532</x:v>
      </x:c>
      <x:c r="B535" s="9" t="n">
        <x:f>A535*tun_SeasonSeconds/60</x:f>
        <x:v>133</x:v>
      </x:c>
      <x:c r="C535" s="9" t="n">
        <x:f>A535/4</x:f>
        <x:v>133</x:v>
      </x:c>
      <x:c r="D535" s="8" t="n">
        <x:f>IF(MOD(A535,4)=0,1,0)</x:f>
        <x:v>1</x:v>
      </x:c>
      <x:c r="E535" s="8" t="n">
        <x:f>IF(AND(F534&lt;=9,AS534&gt;=AR534),1,0)</x:f>
        <x:v>0</x:v>
      </x:c>
      <x:c r="F535" s="8" t="n">
        <x:f>MIN(10,F534+E535)</x:f>
        <x:v>8</x:v>
      </x:c>
      <x:c r="G535" s="8" t="n">
        <x:f>MIN(F535,9)+1</x:f>
        <x:v>9</x:v>
      </x:c>
      <x:c r="H535" s="8" t="n">
        <x:f>IF(F535&lt;=9,1,0)</x:f>
        <x:v>1</x:v>
      </x:c>
      <x:c r="I535" s="9" t="n">
        <x:f>MIN(10,F534+IF(AR534&gt;0,MIN(1,AS534/AR534),1))</x:f>
        <x:v>8.210029607556521</x:v>
      </x:c>
      <x:c r="J535" s="32" t="n">
        <x:f>INDEX(tun_FoodCap,G535)*Arch_FoodCap*EXP(tun_CapsByProject*SUMPRODUCT((Cap_Point&lt;=I535)*(Cap_Kind="Food")*Cap_Ln))</x:f>
        <x:v>6502.383572524903</x:v>
      </x:c>
      <x:c r="K535" s="32" t="n">
        <x:f>J535*MIN(1,tun_LeanBase*EXP(tun_CapsByProject*SUMPRODUCT((Cap_Point&lt;=I535)*(Cap_Kind="Lean")*Cap_Ln)))</x:f>
        <x:v>6502.383572524903</x:v>
      </x:c>
      <x:c r="L535" s="10" t="n">
        <x:f>INDEX(tun_HousingCap,G535)*EXP(tun_CapsByProject*SUMPRODUCT((Cap_Point&lt;=I535)*(Cap_Kind="Housing")*Cap_Ln))</x:f>
        <x:v>6581.714062749661</x:v>
      </x:c>
      <x:c r="M535" s="10" t="n">
        <x:f>INDEX(tun_GroupCap,G535)*tun_CohesionFactor*EXP(tun_CapsByProject*SUMPRODUCT((Cap_Point&lt;=I535)*(Cap_Kind="Group")*Cap_Ln))</x:f>
        <x:v>1000000.000000001</x:v>
      </x:c>
      <x:c r="N535" s="32" t="n">
        <x:f>MIN(J535,L535,M535)</x:f>
        <x:v>6502.383572524903</x:v>
      </x:c>
      <x:c r="O535" s="10" t="n">
        <x:f>AE534*N535</x:f>
        <x:v>58521.45215272412</x:v>
      </x:c>
      <x:c r="P535" s="9" t="n">
        <x:f>MIN(1,(AB534/(AE534*IF(tun_GroupInCrowding=1,N535,MIN(J535,L535))))^tun_CrowdingExp)</x:f>
        <x:v>0.10671974893177309</x:v>
      </x:c>
      <x:c r="Q535" s="9" t="n">
        <x:f>IF(D535=1,INDEX(tun_WinterMult,G535),1)</x:f>
        <x:v>1.05</x:v>
      </x:c>
      <x:c r="R535" s="9" t="n">
        <x:f>H535*Z534*tun_WomenShare*tun_BaseFertility*INDEX(tun_FertMult,G535)*Arch_Fertility*(1-P535)</x:f>
        <x:v>629.9422668346026</x:v>
      </x:c>
      <x:c r="S535" s="9" t="n">
        <x:f>H535*Y534*INDEX(tun_MortChild,G535)/4*Q535</x:f>
        <x:v>14.949352056568749</x:v>
      </x:c>
      <x:c r="T535" s="9" t="n">
        <x:f>H535*Z534*INDEX(tun_MortAdult,G535)*Arch_AdultMort/4*Q535</x:f>
        <x:v>15.534151366803327</x:v>
      </x:c>
      <x:c r="U535" s="9" t="n">
        <x:f>H535*AA534*INDEX(tun_MortElder,G535)/4*Q535</x:f>
        <x:v>68.6353780787044</x:v>
      </x:c>
      <x:c r="V535" s="9" t="n">
        <x:f>H535*MAX(0,AB534-O535)*tun_OvercapLoss</x:f>
        <x:v>0</x:v>
      </x:c>
      <x:c r="W535" s="9" t="n">
        <x:f>H535*Y534/(tun_ChildYears*4)</x:f>
        <x:v>225.9917166525888</x:v>
      </x:c>
      <x:c r="X535" s="9" t="n">
        <x:f>H535*Z534/(tun_AdultYears*4)</x:f>
        <x:v>159.07989110909705</x:v>
      </x:c>
      <x:c r="Y535" s="32" t="n">
        <x:f>Y534+R535-S535-W535-Y534*V535/AB534</x:f>
        <x:v>13044.537330670419</x:v>
      </x:c>
      <x:c r="Z535" s="32" t="n">
        <x:f>Z534+W535-X535-T535-Z534*V535/AB534</x:f>
        <x:v>19777.284171704723</x:v>
      </x:c>
      <x:c r="AA535" s="32" t="n">
        <x:f>AA534+X535-U535-AA534*V535/AB534</x:f>
        <x:v>8013.720481711997</x:v>
      </x:c>
      <x:c r="AB535" s="10" t="n">
        <x:f>Y535+Z535+AA535</x:f>
        <x:v>40835.54198408714</x:v>
      </x:c>
      <x:c r="AC535" s="8" t="n">
        <x:f>IF(AND(tun_WinterTrigger=1,D535=1,AB534/AE534&gt;=K535),1,0)</x:f>
        <x:v>0</x:v>
      </x:c>
      <x:c r="AD535" s="8" t="n">
        <x:f>H535*IF(AND(OR(AB534/AE534&gt;=tun_FissionTrigger*N535,AC535=1),AB534/AE534*tun_DaughterShare&gt;=tun_MinDaughter),MAX(1,ROUND(AE534*tun_FissionRate,0)),0)</x:f>
        <x:v>0</x:v>
      </x:c>
      <x:c r="AE535" s="8" t="n">
        <x:f>IF(H535=1,MAX(1,MIN(INDEX(tun_Smax,G535),AE534+AD535)),AE534)</x:f>
        <x:v>9</x:v>
      </x:c>
      <x:c r="AF535" s="8" t="n">
        <x:f>MAX(0,AE535-AE534)</x:f>
        <x:v>0</x:v>
      </x:c>
      <x:c r="AG535" s="9" t="str">
        <x:f>IF(AF535&gt;0,B535,"")</x:f>
      </x:c>
      <x:c r="AH535" s="9" t="n">
        <x:f>IF(F535&gt;=1,1,(1+tun_LowTiesShare*(AE535-1))/AE535)</x:f>
        <x:v>1</x:v>
      </x:c>
      <x:c r="AI535" s="32" t="n">
        <x:f>(Z535+tun_ElderCommons*INDEX(LM_Elder,G535)*AA535)*AH535</x:f>
        <x:v>49828.735978124714</x:v>
      </x:c>
      <x:c r="AJ535" s="32" t="n">
        <x:f>H535*tun_CommonsCoef*AI535^tun_CommonsExp*INDEX(LM_Commons,G535)</x:f>
        <x:v>142347.5573239721</x:v>
      </x:c>
      <x:c r="AK535" s="32" t="n">
        <x:f>H535*tun_RoleScale*Arch_Roles*(AE535*(INDEX(tun_ElderRolePerSett,G535)*tun_OutElder*INDEX(LM_Elder,G535)+INDEX(tun_ShamanPerSett,G535)*tun_OutShaman)+Z535*(INDEX(tun_PriestShare,G535)*tun_OutPriest+INDEX(tun_ScribeShare,G535)*tun_OutScribe*INDEX(LM_Scribe,G535)+INDEX(tun_ScholarShare,G535)*tun_OutScholar*INDEX(LM_Scholar,G535)+INDEX(tun_ResearcherShare,G535)*tun_OutResearcher*INDEX(LM_Researcher,G535)))</x:f>
        <x:v>41103.05469999016</x:v>
      </x:c>
      <x:c r="AL535" s="32" t="n">
        <x:f>H535*tun_RoleScale*Arch_Roles*AE535*INDEX(tun_MonasteryPerSett,G535)*tun_OutMonastery*INDEX(LM_Monastery,G535)</x:f>
        <x:v>31.680000000000003</x:v>
      </x:c>
      <x:c r="AM535" s="32" t="n">
        <x:f>(AJ535+AK535+AL535)/4*INDEX(LM_All,G535)*INDEX(tun_Boon,G535)*Arch_Insight</x:f>
        <x:v>132197.4272308016</x:v>
      </x:c>
      <x:c r="AN535" s="32" t="n">
        <x:f>H535*(tun_KHPerAdult*Z535+tun_KHOfCommons*AJ535/4*INDEX(LM_All,G535))*tun_KHUsable*Arch_KH</x:f>
        <x:v>20623.10376237837</x:v>
      </x:c>
      <x:c r="AO535" s="32" t="n">
        <x:f>MIN(AP534+AN535,AM535*tun_KHMaxRatio)</x:f>
        <x:v>20623.10376237837</x:v>
      </x:c>
      <x:c r="AP535" s="32" t="n">
        <x:f>AP534+AN535-AO535</x:f>
        <x:v>0</x:v>
      </x:c>
      <x:c r="AQ535" s="32" t="n">
        <x:f>AM535+AO535</x:f>
        <x:v>152820.53099317997</x:v>
      </x:c>
      <x:c r="AR535" s="10" t="n">
        <x:f>IF(H535=1,INDEX(tun_Req,G535),0)</x:f>
        <x:v>24497531.045680594</x:v>
      </x:c>
      <x:c r="AS535" s="32" t="n">
        <x:f>IF(H535=1,IF(E535=1,AS534-AR534,AS534)+AQ535,0)</x:f>
        <x:v>5298027.362621183</x:v>
      </x:c>
      <x:c r="AT535" s="11" t="n">
        <x:f>IF(AR535&gt;0,MIN(1,AS535/AR535),1)</x:f>
        <x:v>0.21626780889641248</x:v>
      </x:c>
      <x:c r="AU535" s="10" t="n">
        <x:f>AB535/INDEX(tun_RepScale,G535)</x:f>
        <x:v>163.34216793634857</x:v>
      </x:c>
      <x:c r="AV535" s="32" t="n">
        <x:f>AM535*60/tun_SeasonSeconds</x:f>
        <x:v>528789.7089232064</x:v>
      </x:c>
    </x:row>
    <x:row r="536">
      <x:c r="A536" s="8" t="n">
        <x:f>A535+1</x:f>
        <x:v>533</x:v>
      </x:c>
      <x:c r="B536" s="9" t="n">
        <x:f>A536*tun_SeasonSeconds/60</x:f>
        <x:v>133.25</x:v>
      </x:c>
      <x:c r="C536" s="9" t="n">
        <x:f>A536/4</x:f>
        <x:v>133.25</x:v>
      </x:c>
      <x:c r="D536" s="8" t="n">
        <x:f>IF(MOD(A536,4)=0,1,0)</x:f>
        <x:v>0</x:v>
      </x:c>
      <x:c r="E536" s="8" t="n">
        <x:f>IF(AND(F535&lt;=9,AS535&gt;=AR535),1,0)</x:f>
        <x:v>0</x:v>
      </x:c>
      <x:c r="F536" s="8" t="n">
        <x:f>MIN(10,F535+E536)</x:f>
        <x:v>8</x:v>
      </x:c>
      <x:c r="G536" s="8" t="n">
        <x:f>MIN(F536,9)+1</x:f>
        <x:v>9</x:v>
      </x:c>
      <x:c r="H536" s="8" t="n">
        <x:f>IF(F536&lt;=9,1,0)</x:f>
        <x:v>1</x:v>
      </x:c>
      <x:c r="I536" s="9" t="n">
        <x:f>MIN(10,F535+IF(AR535&gt;0,MIN(1,AS535/AR535),1))</x:f>
        <x:v>8.216267808896413</x:v>
      </x:c>
      <x:c r="J536" s="32" t="n">
        <x:f>INDEX(tun_FoodCap,G536)*Arch_FoodCap*EXP(tun_CapsByProject*SUMPRODUCT((Cap_Point&lt;=I536)*(Cap_Kind="Food")*Cap_Ln))</x:f>
        <x:v>6502.383572524903</x:v>
      </x:c>
      <x:c r="K536" s="32" t="n">
        <x:f>J536*MIN(1,tun_LeanBase*EXP(tun_CapsByProject*SUMPRODUCT((Cap_Point&lt;=I536)*(Cap_Kind="Lean")*Cap_Ln)))</x:f>
        <x:v>6502.383572524903</x:v>
      </x:c>
      <x:c r="L536" s="10" t="n">
        <x:f>INDEX(tun_HousingCap,G536)*EXP(tun_CapsByProject*SUMPRODUCT((Cap_Point&lt;=I536)*(Cap_Kind="Housing")*Cap_Ln))</x:f>
        <x:v>6581.714062749661</x:v>
      </x:c>
      <x:c r="M536" s="10" t="n">
        <x:f>INDEX(tun_GroupCap,G536)*tun_CohesionFactor*EXP(tun_CapsByProject*SUMPRODUCT((Cap_Point&lt;=I536)*(Cap_Kind="Group")*Cap_Ln))</x:f>
        <x:v>1000000.000000001</x:v>
      </x:c>
      <x:c r="N536" s="32" t="n">
        <x:f>MIN(J536,L536,M536)</x:f>
        <x:v>6502.383572524903</x:v>
      </x:c>
      <x:c r="O536" s="10" t="n">
        <x:f>AE535*N536</x:f>
        <x:v>58521.45215272412</x:v>
      </x:c>
      <x:c r="P536" s="9" t="n">
        <x:f>MIN(1,(AB535/(AE535*IF(tun_GroupInCrowding=1,N536,MIN(J536,L536))))^tun_CrowdingExp)</x:f>
        <x:v>0.11543549760154598</x:v>
      </x:c>
      <x:c r="Q536" s="9" t="n">
        <x:f>IF(D536=1,INDEX(tun_WinterMult,G536),1)</x:f>
        <x:v>1</x:v>
      </x:c>
      <x:c r="R536" s="9" t="n">
        <x:f>H536*Z535*tun_WomenShare*tun_BaseFertility*INDEX(tun_FertMult,G536)*Arch_Fertility*(1-P536)</x:f>
        <x:v>625.4206362738911</x:v>
      </x:c>
      <x:c r="S536" s="9" t="n">
        <x:f>H536*Y535*INDEX(tun_MortChild,G536)/4*Q536</x:f>
        <x:v>14.67510449700422</x:v>
      </x:c>
      <x:c r="T536" s="9" t="n">
        <x:f>H536*Z535*INDEX(tun_MortAdult,G536)*Arch_AdultMort/4*Q536</x:f>
        <x:v>14.832963128778543</x:v>
      </x:c>
      <x:c r="U536" s="9" t="n">
        <x:f>H536*AA535*INDEX(tun_MortElder,G536)/4*Q536</x:f>
        <x:v>66.11319397412399</x:v>
      </x:c>
      <x:c r="V536" s="9" t="n">
        <x:f>H536*MAX(0,AB535-O536)*tun_OvercapLoss</x:f>
        <x:v>0</x:v>
      </x:c>
      <x:c r="W536" s="9" t="n">
        <x:f>H536*Y535/(tun_ChildYears*4)</x:f>
        <x:v>232.9381666191146</x:v>
      </x:c>
      <x:c r="X536" s="9" t="n">
        <x:f>H536*Z535/(tun_AdultYears*4)</x:f>
        <x:v>159.4942271911671</x:v>
      </x:c>
      <x:c r="Y536" s="32" t="n">
        <x:f>Y535+R536-S536-W536-Y535*V536/AB535</x:f>
        <x:v>13422.344695828191</x:v>
      </x:c>
      <x:c r="Z536" s="32" t="n">
        <x:f>Z535+W536-X536-T536-Z535*V536/AB535</x:f>
        <x:v>19835.895148003892</x:v>
      </x:c>
      <x:c r="AA536" s="32" t="n">
        <x:f>AA535+X536-U536-AA535*V536/AB535</x:f>
        <x:v>8107.10151492904</x:v>
      </x:c>
      <x:c r="AB536" s="10" t="n">
        <x:f>Y536+Z536+AA536</x:f>
        <x:v>41365.34135876112</x:v>
      </x:c>
      <x:c r="AC536" s="8" t="n">
        <x:f>IF(AND(tun_WinterTrigger=1,D536=1,AB535/AE535&gt;=K536),1,0)</x:f>
        <x:v>0</x:v>
      </x:c>
      <x:c r="AD536" s="8" t="n">
        <x:f>H536*IF(AND(OR(AB535/AE535&gt;=tun_FissionTrigger*N536,AC536=1),AB535/AE535*tun_DaughterShare&gt;=tun_MinDaughter),MAX(1,ROUND(AE535*tun_FissionRate,0)),0)</x:f>
        <x:v>0</x:v>
      </x:c>
      <x:c r="AE536" s="8" t="n">
        <x:f>IF(H536=1,MAX(1,MIN(INDEX(tun_Smax,G536),AE535+AD536)),AE535)</x:f>
        <x:v>9</x:v>
      </x:c>
      <x:c r="AF536" s="8" t="n">
        <x:f>MAX(0,AE536-AE535)</x:f>
        <x:v>0</x:v>
      </x:c>
      <x:c r="AG536" s="9" t="str">
        <x:f>IF(AF536&gt;0,B536,"")</x:f>
      </x:c>
      <x:c r="AH536" s="9" t="n">
        <x:f>IF(F536&gt;=1,1,(1+tun_LowTiesShare*(AE536-1))/AE536)</x:f>
        <x:v>1</x:v>
      </x:c>
      <x:c r="AI536" s="32" t="n">
        <x:f>(Z536+tun_ElderCommons*INDEX(LM_Elder,G536)*AA536)*AH536</x:f>
        <x:v>50237.5258289878</x:v>
      </x:c>
      <x:c r="AJ536" s="32" t="n">
        <x:f>H536*tun_CommonsCoef*AI536^tun_CommonsExp*INDEX(LM_Commons,G536)</x:f>
        <x:v>143339.5825506267</x:v>
      </x:c>
      <x:c r="AK536" s="32" t="n">
        <x:f>H536*tun_RoleScale*Arch_Roles*(AE536*(INDEX(tun_ElderRolePerSett,G536)*tun_OutElder*INDEX(LM_Elder,G536)+INDEX(tun_ShamanPerSett,G536)*tun_OutShaman)+Z536*(INDEX(tun_PriestShare,G536)*tun_OutPriest+INDEX(tun_ScribeShare,G536)*tun_OutScribe*INDEX(LM_Scribe,G536)+INDEX(tun_ScholarShare,G536)*tun_OutScholar*INDEX(LM_Scholar,G536)+INDEX(tun_ResearcherShare,G536)*tun_OutResearcher*INDEX(LM_Researcher,G536)))</x:f>
        <x:v>41224.14552706288</x:v>
      </x:c>
      <x:c r="AL536" s="32" t="n">
        <x:f>H536*tun_RoleScale*Arch_Roles*AE536*INDEX(tun_MonasteryPerSett,G536)*tun_OutMonastery*INDEX(LM_Monastery,G536)</x:f>
        <x:v>31.680000000000003</x:v>
      </x:c>
      <x:c r="AM536" s="32" t="n">
        <x:f>(AJ536+AK536+AL536)/4*INDEX(LM_All,G536)*INDEX(tun_Boon,G536)*Arch_Insight</x:f>
        <x:v>132999.41785828318</x:v>
      </x:c>
      <x:c r="AN536" s="32" t="n">
        <x:f>H536*(tun_KHPerAdult*Z536+tun_KHOfCommons*AJ536/4*INDEX(LM_All,G536))*tun_KHUsable*Arch_KH</x:f>
        <x:v>20766.826911330147</x:v>
      </x:c>
      <x:c r="AO536" s="32" t="n">
        <x:f>MIN(AP535+AN536,AM536*tun_KHMaxRatio)</x:f>
        <x:v>20766.826911330147</x:v>
      </x:c>
      <x:c r="AP536" s="32" t="n">
        <x:f>AP535+AN536-AO536</x:f>
        <x:v>0</x:v>
      </x:c>
      <x:c r="AQ536" s="32" t="n">
        <x:f>AM536+AO536</x:f>
        <x:v>153766.24476961332</x:v>
      </x:c>
      <x:c r="AR536" s="10" t="n">
        <x:f>IF(H536=1,INDEX(tun_Req,G536),0)</x:f>
        <x:v>24497531.045680594</x:v>
      </x:c>
      <x:c r="AS536" s="32" t="n">
        <x:f>IF(H536=1,IF(E536=1,AS535-AR535,AS535)+AQ536,0)</x:f>
        <x:v>5451793.607390796</x:v>
      </x:c>
      <x:c r="AT536" s="11" t="n">
        <x:f>IF(AR536&gt;0,MIN(1,AS536/AR536),1)</x:f>
        <x:v>0.22254461468891806</x:v>
      </x:c>
      <x:c r="AU536" s="10" t="n">
        <x:f>AB536/INDEX(tun_RepScale,G536)</x:f>
        <x:v>165.46136543504448</x:v>
      </x:c>
      <x:c r="AV536" s="32" t="n">
        <x:f>AM536*60/tun_SeasonSeconds</x:f>
        <x:v>531997.6714331327</x:v>
      </x:c>
    </x:row>
    <x:row r="537">
      <x:c r="A537" s="8" t="n">
        <x:f>A536+1</x:f>
        <x:v>534</x:v>
      </x:c>
      <x:c r="B537" s="9" t="n">
        <x:f>A537*tun_SeasonSeconds/60</x:f>
        <x:v>133.5</x:v>
      </x:c>
      <x:c r="C537" s="9" t="n">
        <x:f>A537/4</x:f>
        <x:v>133.5</x:v>
      </x:c>
      <x:c r="D537" s="8" t="n">
        <x:f>IF(MOD(A537,4)=0,1,0)</x:f>
        <x:v>0</x:v>
      </x:c>
      <x:c r="E537" s="8" t="n">
        <x:f>IF(AND(F536&lt;=9,AS536&gt;=AR536),1,0)</x:f>
        <x:v>0</x:v>
      </x:c>
      <x:c r="F537" s="8" t="n">
        <x:f>MIN(10,F536+E537)</x:f>
        <x:v>8</x:v>
      </x:c>
      <x:c r="G537" s="8" t="n">
        <x:f>MIN(F537,9)+1</x:f>
        <x:v>9</x:v>
      </x:c>
      <x:c r="H537" s="8" t="n">
        <x:f>IF(F537&lt;=9,1,0)</x:f>
        <x:v>1</x:v>
      </x:c>
      <x:c r="I537" s="9" t="n">
        <x:f>MIN(10,F536+IF(AR536&gt;0,MIN(1,AS536/AR536),1))</x:f>
        <x:v>8.222544614688918</x:v>
      </x:c>
      <x:c r="J537" s="32" t="n">
        <x:f>INDEX(tun_FoodCap,G537)*Arch_FoodCap*EXP(tun_CapsByProject*SUMPRODUCT((Cap_Point&lt;=I537)*(Cap_Kind="Food")*Cap_Ln))</x:f>
        <x:v>6502.383572524903</x:v>
      </x:c>
      <x:c r="K537" s="32" t="n">
        <x:f>J537*MIN(1,tun_LeanBase*EXP(tun_CapsByProject*SUMPRODUCT((Cap_Point&lt;=I537)*(Cap_Kind="Lean")*Cap_Ln)))</x:f>
        <x:v>6502.383572524903</x:v>
      </x:c>
      <x:c r="L537" s="10" t="n">
        <x:f>INDEX(tun_HousingCap,G537)*EXP(tun_CapsByProject*SUMPRODUCT((Cap_Point&lt;=I537)*(Cap_Kind="Housing")*Cap_Ln))</x:f>
        <x:v>6581.714062749661</x:v>
      </x:c>
      <x:c r="M537" s="10" t="n">
        <x:f>INDEX(tun_GroupCap,G537)*tun_CohesionFactor*EXP(tun_CapsByProject*SUMPRODUCT((Cap_Point&lt;=I537)*(Cap_Kind="Group")*Cap_Ln))</x:f>
        <x:v>1000000.000000001</x:v>
      </x:c>
      <x:c r="N537" s="32" t="n">
        <x:f>MIN(J537,L537,M537)</x:f>
        <x:v>6502.383572524903</x:v>
      </x:c>
      <x:c r="O537" s="10" t="n">
        <x:f>AE536*N537</x:f>
        <x:v>58521.45215272412</x:v>
      </x:c>
      <x:c r="P537" s="9" t="n">
        <x:f>MIN(1,(AB536/(AE536*IF(tun_GroupInCrowding=1,N537,MIN(J537,L537))))^tun_CrowdingExp)</x:f>
        <x:v>0.12471799216407431</x:v>
      </x:c>
      <x:c r="Q537" s="9" t="n">
        <x:f>IF(D537=1,INDEX(tun_WinterMult,G537),1)</x:f>
        <x:v>1</x:v>
      </x:c>
      <x:c r="R537" s="9" t="n">
        <x:f>H537*Z536*tun_WomenShare*tun_BaseFertility*INDEX(tun_FertMult,G537)*Arch_Fertility*(1-P537)</x:f>
        <x:v>620.6915762321469</x:v>
      </x:c>
      <x:c r="S537" s="9" t="n">
        <x:f>H537*Y536*INDEX(tun_MortChild,G537)/4*Q537</x:f>
        <x:v>15.100137782806714</x:v>
      </x:c>
      <x:c r="T537" s="9" t="n">
        <x:f>H537*Z536*INDEX(tun_MortAdult,G537)*Arch_AdultMort/4*Q537</x:f>
        <x:v>14.87692136100292</x:v>
      </x:c>
      <x:c r="U537" s="9" t="n">
        <x:f>H537*AA536*INDEX(tun_MortElder,G537)/4*Q537</x:f>
        <x:v>66.88358749816459</x:v>
      </x:c>
      <x:c r="V537" s="9" t="n">
        <x:f>H537*MAX(0,AB536-O537)*tun_OvercapLoss</x:f>
        <x:v>0</x:v>
      </x:c>
      <x:c r="W537" s="9" t="n">
        <x:f>H537*Y536/(tun_ChildYears*4)</x:f>
        <x:v>239.6847267112177</x:v>
      </x:c>
      <x:c r="X537" s="9" t="n">
        <x:f>H537*Z536/(tun_AdultYears*4)</x:f>
        <x:v>159.9668963548701</x:v>
      </x:c>
      <x:c r="Y537" s="32" t="n">
        <x:f>Y536+R537-S537-W537-Y536*V537/AB536</x:f>
        <x:v>13788.251407566313</x:v>
      </x:c>
      <x:c r="Z537" s="32" t="n">
        <x:f>Z536+W537-X537-T537-Z536*V537/AB536</x:f>
        <x:v>19900.736056999238</x:v>
      </x:c>
      <x:c r="AA537" s="32" t="n">
        <x:f>AA536+X537-U537-AA536*V537/AB536</x:f>
        <x:v>8200.184823785745</x:v>
      </x:c>
      <x:c r="AB537" s="10" t="n">
        <x:f>Y537+Z537+AA537</x:f>
        <x:v>41889.1722883513</x:v>
      </x:c>
      <x:c r="AC537" s="8" t="n">
        <x:f>IF(AND(tun_WinterTrigger=1,D537=1,AB536/AE536&gt;=K537),1,0)</x:f>
        <x:v>0</x:v>
      </x:c>
      <x:c r="AD537" s="8" t="n">
        <x:f>H537*IF(AND(OR(AB536/AE536&gt;=tun_FissionTrigger*N537,AC537=1),AB536/AE536*tun_DaughterShare&gt;=tun_MinDaughter),MAX(1,ROUND(AE536*tun_FissionRate,0)),0)</x:f>
        <x:v>0</x:v>
      </x:c>
      <x:c r="AE537" s="8" t="n">
        <x:f>IF(H537=1,MAX(1,MIN(INDEX(tun_Smax,G537),AE536+AD537)),AE536)</x:f>
        <x:v>9</x:v>
      </x:c>
      <x:c r="AF537" s="8" t="n">
        <x:f>MAX(0,AE537-AE536)</x:f>
        <x:v>0</x:v>
      </x:c>
      <x:c r="AG537" s="9" t="str">
        <x:f>IF(AF537&gt;0,B537,"")</x:f>
      </x:c>
      <x:c r="AH537" s="9" t="n">
        <x:f>IF(F537&gt;=1,1,(1+tun_LowTiesShare*(AE537-1))/AE537)</x:f>
        <x:v>1</x:v>
      </x:c>
      <x:c r="AI537" s="32" t="n">
        <x:f>(Z537+tun_ElderCommons*INDEX(LM_Elder,G537)*AA537)*AH537</x:f>
        <x:v>50651.42914619578</x:v>
      </x:c>
      <x:c r="AJ537" s="32" t="n">
        <x:f>H537*tun_CommonsCoef*AI537^tun_CommonsExp*INDEX(LM_Commons,G537)</x:f>
        <x:v>144342.78394690965</x:v>
      </x:c>
      <x:c r="AK537" s="32" t="n">
        <x:f>H537*tun_RoleScale*Arch_Roles*(AE537*(INDEX(tun_ElderRolePerSett,G537)*tun_OutElder*INDEX(LM_Elder,G537)+INDEX(tun_ShamanPerSett,G537)*tun_OutShaman)+Z537*(INDEX(tun_PriestShare,G537)*tun_OutPriest+INDEX(tun_ScribeShare,G537)*tun_OutScribe*INDEX(LM_Scribe,G537)+INDEX(tun_ScholarShare,G537)*tun_OutScholar*INDEX(LM_Scholar,G537)+INDEX(tun_ResearcherShare,G537)*tun_OutResearcher*INDEX(LM_Researcher,G537)))</x:f>
        <x:v>41358.10745355112</x:v>
      </x:c>
      <x:c r="AL537" s="32" t="n">
        <x:f>H537*tun_RoleScale*Arch_Roles*AE537*INDEX(tun_MonasteryPerSett,G537)*tun_OutMonastery*INDEX(LM_Monastery,G537)</x:f>
        <x:v>31.680000000000003</x:v>
      </x:c>
      <x:c r="AM537" s="32" t="n">
        <x:f>(AJ537+AK537+AL537)/4*INDEX(LM_All,G537)*INDEX(tun_Boon,G537)*Arch_Insight</x:f>
        <x:v>133818.73433810973</x:v>
      </x:c>
      <x:c r="AN537" s="32" t="n">
        <x:f>H537*(tun_KHPerAdult*Z537+tun_KHOfCommons*AJ537/4*INDEX(LM_All,G537))*tun_KHUsable*Arch_KH</x:f>
        <x:v>20912.169247222984</x:v>
      </x:c>
      <x:c r="AO537" s="32" t="n">
        <x:f>MIN(AP536+AN537,AM537*tun_KHMaxRatio)</x:f>
        <x:v>20912.169247222984</x:v>
      </x:c>
      <x:c r="AP537" s="32" t="n">
        <x:f>AP536+AN537-AO537</x:f>
        <x:v>0</x:v>
      </x:c>
      <x:c r="AQ537" s="32" t="n">
        <x:f>AM537+AO537</x:f>
        <x:v>154730.9035853327</x:v>
      </x:c>
      <x:c r="AR537" s="10" t="n">
        <x:f>IF(H537=1,INDEX(tun_Req,G537),0)</x:f>
        <x:v>24497531.045680594</x:v>
      </x:c>
      <x:c r="AS537" s="32" t="n">
        <x:f>IF(H537=1,IF(E537=1,AS536-AR536,AS536)+AQ537,0)</x:f>
        <x:v>5606524.510976128</x:v>
      </x:c>
      <x:c r="AT537" s="11" t="n">
        <x:f>IF(AR537&gt;0,MIN(1,AS537/AR537),1)</x:f>
        <x:v>0.2288607982788809</x:v>
      </x:c>
      <x:c r="AU537" s="10" t="n">
        <x:f>AB537/INDEX(tun_RepScale,G537)</x:f>
        <x:v>167.5566891534052</x:v>
      </x:c>
      <x:c r="AV537" s="32" t="n">
        <x:f>AM537*60/tun_SeasonSeconds</x:f>
        <x:v>535274.9373524389</x:v>
      </x:c>
    </x:row>
    <x:row r="538">
      <x:c r="A538" s="8" t="n">
        <x:f>A537+1</x:f>
        <x:v>535</x:v>
      </x:c>
      <x:c r="B538" s="9" t="n">
        <x:f>A538*tun_SeasonSeconds/60</x:f>
        <x:v>133.75</x:v>
      </x:c>
      <x:c r="C538" s="9" t="n">
        <x:f>A538/4</x:f>
        <x:v>133.75</x:v>
      </x:c>
      <x:c r="D538" s="8" t="n">
        <x:f>IF(MOD(A538,4)=0,1,0)</x:f>
        <x:v>0</x:v>
      </x:c>
      <x:c r="E538" s="8" t="n">
        <x:f>IF(AND(F537&lt;=9,AS537&gt;=AR537),1,0)</x:f>
        <x:v>0</x:v>
      </x:c>
      <x:c r="F538" s="8" t="n">
        <x:f>MIN(10,F537+E538)</x:f>
        <x:v>8</x:v>
      </x:c>
      <x:c r="G538" s="8" t="n">
        <x:f>MIN(F538,9)+1</x:f>
        <x:v>9</x:v>
      </x:c>
      <x:c r="H538" s="8" t="n">
        <x:f>IF(F538&lt;=9,1,0)</x:f>
        <x:v>1</x:v>
      </x:c>
      <x:c r="I538" s="9" t="n">
        <x:f>MIN(10,F537+IF(AR537&gt;0,MIN(1,AS537/AR537),1))</x:f>
        <x:v>8.22886079827888</x:v>
      </x:c>
      <x:c r="J538" s="32" t="n">
        <x:f>INDEX(tun_FoodCap,G538)*Arch_FoodCap*EXP(tun_CapsByProject*SUMPRODUCT((Cap_Point&lt;=I538)*(Cap_Kind="Food")*Cap_Ln))</x:f>
        <x:v>6502.383572524903</x:v>
      </x:c>
      <x:c r="K538" s="32" t="n">
        <x:f>J538*MIN(1,tun_LeanBase*EXP(tun_CapsByProject*SUMPRODUCT((Cap_Point&lt;=I538)*(Cap_Kind="Lean")*Cap_Ln)))</x:f>
        <x:v>6502.383572524903</x:v>
      </x:c>
      <x:c r="L538" s="10" t="n">
        <x:f>INDEX(tun_HousingCap,G538)*EXP(tun_CapsByProject*SUMPRODUCT((Cap_Point&lt;=I538)*(Cap_Kind="Housing")*Cap_Ln))</x:f>
        <x:v>6581.714062749661</x:v>
      </x:c>
      <x:c r="M538" s="10" t="n">
        <x:f>INDEX(tun_GroupCap,G538)*tun_CohesionFactor*EXP(tun_CapsByProject*SUMPRODUCT((Cap_Point&lt;=I538)*(Cap_Kind="Group")*Cap_Ln))</x:f>
        <x:v>1000000.000000001</x:v>
      </x:c>
      <x:c r="N538" s="32" t="n">
        <x:f>MIN(J538,L538,M538)</x:f>
        <x:v>6502.383572524903</x:v>
      </x:c>
      <x:c r="O538" s="10" t="n">
        <x:f>AE537*N538</x:f>
        <x:v>58521.45215272412</x:v>
      </x:c>
      <x:c r="P538" s="9" t="n">
        <x:f>MIN(1,(AB537/(AE537*IF(tun_GroupInCrowding=1,N538,MIN(J538,L538))))^tun_CrowdingExp)</x:f>
        <x:v>0.13449932623694894</x:v>
      </x:c>
      <x:c r="Q538" s="9" t="n">
        <x:f>IF(D538=1,INDEX(tun_WinterMult,G538),1)</x:f>
        <x:v>1</x:v>
      </x:c>
      <x:c r="R538" s="9" t="n">
        <x:f>H538*Z537*tun_WomenShare*tun_BaseFertility*INDEX(tun_FertMult,G538)*Arch_Fertility*(1-P538)</x:f>
        <x:v>615.7615916492572</x:v>
      </x:c>
      <x:c r="S538" s="9" t="n">
        <x:f>H538*Y537*INDEX(tun_MortChild,G538)/4*Q538</x:f>
        <x:v>15.5117828335121</x:v>
      </x:c>
      <x:c r="T538" s="9" t="n">
        <x:f>H538*Z537*INDEX(tun_MortAdult,G538)*Arch_AdultMort/4*Q538</x:f>
        <x:v>14.925552042749429</x:v>
      </x:c>
      <x:c r="U538" s="9" t="n">
        <x:f>H538*AA537*INDEX(tun_MortElder,G538)/4*Q538</x:f>
        <x:v>67.6515247962324</x:v>
      </x:c>
      <x:c r="V538" s="9" t="n">
        <x:f>H538*MAX(0,AB537-O538)*tun_OvercapLoss</x:f>
        <x:v>0</x:v>
      </x:c>
      <x:c r="W538" s="9" t="n">
        <x:f>H538*Y537/(tun_ChildYears*4)</x:f>
        <x:v>246.21877513511274</x:v>
      </x:c>
      <x:c r="X538" s="9" t="n">
        <x:f>H538*Z537/(tun_AdultYears*4)</x:f>
        <x:v>160.48980691128418</x:v>
      </x:c>
      <x:c r="Y538" s="32" t="n">
        <x:f>Y537+R538-S538-W538-Y537*V538/AB537</x:f>
        <x:v>14142.282441246947</x:v>
      </x:c>
      <x:c r="Z538" s="32" t="n">
        <x:f>Z537+W538-X538-T538-Z537*V538/AB537</x:f>
        <x:v>19971.539473180314</x:v>
      </x:c>
      <x:c r="AA538" s="32" t="n">
        <x:f>AA537+X538-U538-AA537*V538/AB537</x:f>
        <x:v>8293.023105900797</x:v>
      </x:c>
      <x:c r="AB538" s="10" t="n">
        <x:f>Y538+Z538+AA538</x:f>
        <x:v>42406.84502032805</x:v>
      </x:c>
      <x:c r="AC538" s="8" t="n">
        <x:f>IF(AND(tun_WinterTrigger=1,D538=1,AB537/AE537&gt;=K538),1,0)</x:f>
        <x:v>0</x:v>
      </x:c>
      <x:c r="AD538" s="8" t="n">
        <x:f>H538*IF(AND(OR(AB537/AE537&gt;=tun_FissionTrigger*N538,AC538=1),AB537/AE537*tun_DaughterShare&gt;=tun_MinDaughter),MAX(1,ROUND(AE537*tun_FissionRate,0)),0)</x:f>
        <x:v>0</x:v>
      </x:c>
      <x:c r="AE538" s="8" t="n">
        <x:f>IF(H538=1,MAX(1,MIN(INDEX(tun_Smax,G538),AE537+AD538)),AE537)</x:f>
        <x:v>9</x:v>
      </x:c>
      <x:c r="AF538" s="8" t="n">
        <x:f>MAX(0,AE538-AE537)</x:f>
        <x:v>0</x:v>
      </x:c>
      <x:c r="AG538" s="9" t="str">
        <x:f>IF(AF538&gt;0,B538,"")</x:f>
      </x:c>
      <x:c r="AH538" s="9" t="n">
        <x:f>IF(F538&gt;=1,1,(1+tun_LowTiesShare*(AE538-1))/AE538)</x:f>
        <x:v>1</x:v>
      </x:c>
      <x:c r="AI538" s="32" t="n">
        <x:f>(Z538+tun_ElderCommons*INDEX(LM_Elder,G538)*AA538)*AH538</x:f>
        <x:v>51070.3761203083</x:v>
      </x:c>
      <x:c r="AJ538" s="32" t="n">
        <x:f>H538*tun_CommonsCoef*AI538^tun_CommonsExp*INDEX(LM_Commons,G538)</x:f>
        <x:v>145356.95851377572</x:v>
      </x:c>
      <x:c r="AK538" s="32" t="n">
        <x:f>H538*tun_RoleScale*Arch_Roles*(AE538*(INDEX(tun_ElderRolePerSett,G538)*tun_OutElder*INDEX(LM_Elder,G538)+INDEX(tun_ShamanPerSett,G538)*tun_OutShaman)+Z538*(INDEX(tun_PriestShare,G538)*tun_OutPriest+INDEX(tun_ScribeShare,G538)*tun_OutScribe*INDEX(LM_Scribe,G538)+INDEX(tun_ScholarShare,G538)*tun_OutScholar*INDEX(LM_Scholar,G538)+INDEX(tun_ResearcherShare,G538)*tun_OutResearcher*INDEX(LM_Researcher,G538)))</x:f>
        <x:v>41504.387975840626</x:v>
      </x:c>
      <x:c r="AL538" s="32" t="n">
        <x:f>H538*tun_RoleScale*Arch_Roles*AE538*INDEX(tun_MonasteryPerSett,G538)*tun_OutMonastery*INDEX(LM_Monastery,G538)</x:f>
        <x:v>31.680000000000003</x:v>
      </x:c>
      <x:c r="AM538" s="32" t="n">
        <x:f>(AJ538+AK538+AL538)/4*INDEX(LM_All,G538)*INDEX(tun_Boon,G538)*Arch_Insight</x:f>
        <x:v>134654.8323370557</x:v>
      </x:c>
      <x:c r="AN538" s="32" t="n">
        <x:f>H538*(tun_KHPerAdult*Z538+tun_KHOfCommons*AJ538/4*INDEX(LM_All,G538))*tun_KHUsable*Arch_KH</x:f>
        <x:v>21059.101359855184</x:v>
      </x:c>
      <x:c r="AO538" s="32" t="n">
        <x:f>MIN(AP537+AN538,AM538*tun_KHMaxRatio)</x:f>
        <x:v>21059.101359855184</x:v>
      </x:c>
      <x:c r="AP538" s="32" t="n">
        <x:f>AP537+AN538-AO538</x:f>
        <x:v>0</x:v>
      </x:c>
      <x:c r="AQ538" s="32" t="n">
        <x:f>AM538+AO538</x:f>
        <x:v>155713.93369691088</x:v>
      </x:c>
      <x:c r="AR538" s="10" t="n">
        <x:f>IF(H538=1,INDEX(tun_Req,G538),0)</x:f>
        <x:v>24497531.045680594</x:v>
      </x:c>
      <x:c r="AS538" s="32" t="n">
        <x:f>IF(H538=1,IF(E538=1,AS537-AR537,AS537)+AQ538,0)</x:f>
        <x:v>5762238.444673039</x:v>
      </x:c>
      <x:c r="AT538" s="11" t="n">
        <x:f>IF(AR538&gt;0,MIN(1,AS538/AR538),1)</x:f>
        <x:v>0.23521710959068412</x:v>
      </x:c>
      <x:c r="AU538" s="10" t="n">
        <x:f>AB538/INDEX(tun_RepScale,G538)</x:f>
        <x:v>169.6273800813122</x:v>
      </x:c>
      <x:c r="AV538" s="32" t="n">
        <x:f>AM538*60/tun_SeasonSeconds</x:f>
        <x:v>538619.3293482228</x:v>
      </x:c>
    </x:row>
    <x:row r="539">
      <x:c r="A539" s="8" t="n">
        <x:f>A538+1</x:f>
        <x:v>536</x:v>
      </x:c>
      <x:c r="B539" s="9" t="n">
        <x:f>A539*tun_SeasonSeconds/60</x:f>
        <x:v>134</x:v>
      </x:c>
      <x:c r="C539" s="9" t="n">
        <x:f>A539/4</x:f>
        <x:v>134</x:v>
      </x:c>
      <x:c r="D539" s="8" t="n">
        <x:f>IF(MOD(A539,4)=0,1,0)</x:f>
        <x:v>1</x:v>
      </x:c>
      <x:c r="E539" s="8" t="n">
        <x:f>IF(AND(F538&lt;=9,AS538&gt;=AR538),1,0)</x:f>
        <x:v>0</x:v>
      </x:c>
      <x:c r="F539" s="8" t="n">
        <x:f>MIN(10,F538+E539)</x:f>
        <x:v>8</x:v>
      </x:c>
      <x:c r="G539" s="8" t="n">
        <x:f>MIN(F539,9)+1</x:f>
        <x:v>9</x:v>
      </x:c>
      <x:c r="H539" s="8" t="n">
        <x:f>IF(F539&lt;=9,1,0)</x:f>
        <x:v>1</x:v>
      </x:c>
      <x:c r="I539" s="9" t="n">
        <x:f>MIN(10,F538+IF(AR538&gt;0,MIN(1,AS538/AR538),1))</x:f>
        <x:v>8.235217109590684</x:v>
      </x:c>
      <x:c r="J539" s="32" t="n">
        <x:f>INDEX(tun_FoodCap,G539)*Arch_FoodCap*EXP(tun_CapsByProject*SUMPRODUCT((Cap_Point&lt;=I539)*(Cap_Kind="Food")*Cap_Ln))</x:f>
        <x:v>6502.383572524903</x:v>
      </x:c>
      <x:c r="K539" s="32" t="n">
        <x:f>J539*MIN(1,tun_LeanBase*EXP(tun_CapsByProject*SUMPRODUCT((Cap_Point&lt;=I539)*(Cap_Kind="Lean")*Cap_Ln)))</x:f>
        <x:v>6502.383572524903</x:v>
      </x:c>
      <x:c r="L539" s="10" t="n">
        <x:f>INDEX(tun_HousingCap,G539)*EXP(tun_CapsByProject*SUMPRODUCT((Cap_Point&lt;=I539)*(Cap_Kind="Housing")*Cap_Ln))</x:f>
        <x:v>6581.714062749661</x:v>
      </x:c>
      <x:c r="M539" s="10" t="n">
        <x:f>INDEX(tun_GroupCap,G539)*tun_CohesionFactor*EXP(tun_CapsByProject*SUMPRODUCT((Cap_Point&lt;=I539)*(Cap_Kind="Group")*Cap_Ln))</x:f>
        <x:v>1000000.000000001</x:v>
      </x:c>
      <x:c r="N539" s="32" t="n">
        <x:f>MIN(J539,L539,M539)</x:f>
        <x:v>6502.383572524903</x:v>
      </x:c>
      <x:c r="O539" s="10" t="n">
        <x:f>AE538*N539</x:f>
        <x:v>58521.45215272412</x:v>
      </x:c>
      <x:c r="P539" s="9" t="n">
        <x:f>MIN(1,(AB538/(AE538*IF(tun_GroupInCrowding=1,N539,MIN(J539,L539))))^tun_CrowdingExp)</x:f>
        <x:v>0.14478554770147373</x:v>
      </x:c>
      <x:c r="Q539" s="9" t="n">
        <x:f>IF(D539=1,INDEX(tun_WinterMult,G539),1)</x:f>
        <x:v>1.05</x:v>
      </x:c>
      <x:c r="R539" s="9" t="n">
        <x:f>H539*Z538*tun_WomenShare*tun_BaseFertility*INDEX(tun_FertMult,G539)*Arch_Fertility*(1-P539)</x:f>
        <x:v>610.6081836180863</x:v>
      </x:c>
      <x:c r="S539" s="9" t="n">
        <x:f>H539*Y538*INDEX(tun_MortChild,G539)/4*Q539</x:f>
        <x:v>16.705571133722955</x:v>
      </x:c>
      <x:c r="T539" s="9" t="n">
        <x:f>H539*Z538*INDEX(tun_MortAdult,G539)*Arch_AdultMort/4*Q539</x:f>
        <x:v>15.727587335129499</x:v>
      </x:c>
      <x:c r="U539" s="9" t="n">
        <x:f>H539*AA538*INDEX(tun_MortElder,G539)/4*Q539</x:f>
        <x:v>71.83831265486565</x:v>
      </x:c>
      <x:c r="V539" s="9" t="n">
        <x:f>H539*MAX(0,AB538-O539)*tun_OvercapLoss</x:f>
        <x:v>0</x:v>
      </x:c>
      <x:c r="W539" s="9" t="n">
        <x:f>H539*Y538/(tun_ChildYears*4)</x:f>
        <x:v>252.54075787940977</x:v>
      </x:c>
      <x:c r="X539" s="9" t="n">
        <x:f>H539*Z538/(tun_AdultYears*4)</x:f>
        <x:v>161.06080220306706</x:v>
      </x:c>
      <x:c r="Y539" s="32" t="n">
        <x:f>Y538+R539-S539-W539-Y538*V539/AB538</x:f>
        <x:v>14483.6442958519</x:v>
      </x:c>
      <x:c r="Z539" s="32" t="n">
        <x:f>Z538+W539-X539-T539-Z538*V539/AB538</x:f>
        <x:v>20047.291841521528</x:v>
      </x:c>
      <x:c r="AA539" s="32" t="n">
        <x:f>AA538+X539-U539-AA538*V539/AB538</x:f>
        <x:v>8382.245595448998</x:v>
      </x:c>
      <x:c r="AB539" s="10" t="n">
        <x:f>Y539+Z539+AA539</x:f>
        <x:v>42913.18173282243</x:v>
      </x:c>
      <x:c r="AC539" s="8" t="n">
        <x:f>IF(AND(tun_WinterTrigger=1,D539=1,AB538/AE538&gt;=K539),1,0)</x:f>
        <x:v>0</x:v>
      </x:c>
      <x:c r="AD539" s="8" t="n">
        <x:f>H539*IF(AND(OR(AB538/AE538&gt;=tun_FissionTrigger*N539,AC539=1),AB538/AE538*tun_DaughterShare&gt;=tun_MinDaughter),MAX(1,ROUND(AE538*tun_FissionRate,0)),0)</x:f>
        <x:v>0</x:v>
      </x:c>
      <x:c r="AE539" s="8" t="n">
        <x:f>IF(H539=1,MAX(1,MIN(INDEX(tun_Smax,G539),AE538+AD539)),AE538)</x:f>
        <x:v>9</x:v>
      </x:c>
      <x:c r="AF539" s="8" t="n">
        <x:f>MAX(0,AE539-AE538)</x:f>
        <x:v>0</x:v>
      </x:c>
      <x:c r="AG539" s="9" t="str">
        <x:f>IF(AF539&gt;0,B539,"")</x:f>
      </x:c>
      <x:c r="AH539" s="9" t="n">
        <x:f>IF(F539&gt;=1,1,(1+tun_LowTiesShare*(AE539-1))/AE539)</x:f>
        <x:v>1</x:v>
      </x:c>
      <x:c r="AI539" s="32" t="n">
        <x:f>(Z539+tun_ElderCommons*INDEX(LM_Elder,G539)*AA539)*AH539</x:f>
        <x:v>51480.71282445527</x:v>
      </x:c>
      <x:c r="AJ539" s="32" t="n">
        <x:f>H539*tun_CommonsCoef*AI539^tun_CommonsExp*INDEX(LM_Commons,G539)</x:f>
        <x:v>146349.08051035853</x:v>
      </x:c>
      <x:c r="AK539" s="32" t="n">
        <x:f>H539*tun_RoleScale*Arch_Roles*(AE539*(INDEX(tun_ElderRolePerSett,G539)*tun_OutElder*INDEX(LM_Elder,G539)+INDEX(tun_ShamanPerSett,G539)*tun_OutShaman)+Z539*(INDEX(tun_PriestShare,G539)*tun_OutPriest+INDEX(tun_ScribeShare,G539)*tun_OutScribe*INDEX(LM_Scribe,G539)+INDEX(tun_ScholarShare,G539)*tun_OutScholar*INDEX(LM_Scholar,G539)+INDEX(tun_ResearcherShare,G539)*tun_OutResearcher*INDEX(LM_Researcher,G539)))</x:f>
        <x:v>41660.89307973675</x:v>
      </x:c>
      <x:c r="AL539" s="32" t="n">
        <x:f>H539*tun_RoleScale*Arch_Roles*AE539*INDEX(tun_MonasteryPerSett,G539)*tun_OutMonastery*INDEX(LM_Monastery,G539)</x:f>
        <x:v>31.680000000000003</x:v>
      </x:c>
      <x:c r="AM539" s="32" t="n">
        <x:f>(AJ539+AK539+AL539)/4*INDEX(LM_All,G539)*INDEX(tun_Boon,G539)*Arch_Insight</x:f>
        <x:v>135482.4083709929</x:v>
      </x:c>
      <x:c r="AN539" s="32" t="n">
        <x:f>H539*(tun_KHPerAdult*Z539+tun_KHOfCommons*AJ539/4*INDEX(LM_All,G539))*tun_KHUsable*Arch_KH</x:f>
        <x:v>21202.838528691165</x:v>
      </x:c>
      <x:c r="AO539" s="32" t="n">
        <x:f>MIN(AP538+AN539,AM539*tun_KHMaxRatio)</x:f>
        <x:v>21202.838528691165</x:v>
      </x:c>
      <x:c r="AP539" s="32" t="n">
        <x:f>AP538+AN539-AO539</x:f>
        <x:v>0</x:v>
      </x:c>
      <x:c r="AQ539" s="32" t="n">
        <x:f>AM539+AO539</x:f>
        <x:v>156685.24689968408</x:v>
      </x:c>
      <x:c r="AR539" s="10" t="n">
        <x:f>IF(H539=1,INDEX(tun_Req,G539),0)</x:f>
        <x:v>24497531.045680594</x:v>
      </x:c>
      <x:c r="AS539" s="32" t="n">
        <x:f>IF(H539=1,IF(E539=1,AS538-AR538,AS538)+AQ539,0)</x:f>
        <x:v>5918923.691572723</x:v>
      </x:c>
      <x:c r="AT539" s="11" t="n">
        <x:f>IF(AR539&gt;0,MIN(1,AS539/AR539),1)</x:f>
        <x:v>0.24161307033495313</x:v>
      </x:c>
      <x:c r="AU539" s="10" t="n">
        <x:f>AB539/INDEX(tun_RepScale,G539)</x:f>
        <x:v>171.65272693128972</x:v>
      </x:c>
      <x:c r="AV539" s="32" t="n">
        <x:f>AM539*60/tun_SeasonSeconds</x:f>
        <x:v>541929.6334839716</x:v>
      </x:c>
    </x:row>
    <x:row r="540">
      <x:c r="A540" s="8" t="n">
        <x:f>A539+1</x:f>
        <x:v>537</x:v>
      </x:c>
      <x:c r="B540" s="9" t="n">
        <x:f>A540*tun_SeasonSeconds/60</x:f>
        <x:v>134.25</x:v>
      </x:c>
      <x:c r="C540" s="9" t="n">
        <x:f>A540/4</x:f>
        <x:v>134.25</x:v>
      </x:c>
      <x:c r="D540" s="8" t="n">
        <x:f>IF(MOD(A540,4)=0,1,0)</x:f>
        <x:v>0</x:v>
      </x:c>
      <x:c r="E540" s="8" t="n">
        <x:f>IF(AND(F539&lt;=9,AS539&gt;=AR539),1,0)</x:f>
        <x:v>0</x:v>
      </x:c>
      <x:c r="F540" s="8" t="n">
        <x:f>MIN(10,F539+E540)</x:f>
        <x:v>8</x:v>
      </x:c>
      <x:c r="G540" s="8" t="n">
        <x:f>MIN(F540,9)+1</x:f>
        <x:v>9</x:v>
      </x:c>
      <x:c r="H540" s="8" t="n">
        <x:f>IF(F540&lt;=9,1,0)</x:f>
        <x:v>1</x:v>
      </x:c>
      <x:c r="I540" s="9" t="n">
        <x:f>MIN(10,F539+IF(AR539&gt;0,MIN(1,AS539/AR539),1))</x:f>
        <x:v>8.241613070334953</x:v>
      </x:c>
      <x:c r="J540" s="32" t="n">
        <x:f>INDEX(tun_FoodCap,G540)*Arch_FoodCap*EXP(tun_CapsByProject*SUMPRODUCT((Cap_Point&lt;=I540)*(Cap_Kind="Food")*Cap_Ln))</x:f>
        <x:v>6502.383572524903</x:v>
      </x:c>
      <x:c r="K540" s="32" t="n">
        <x:f>J540*MIN(1,tun_LeanBase*EXP(tun_CapsByProject*SUMPRODUCT((Cap_Point&lt;=I540)*(Cap_Kind="Lean")*Cap_Ln)))</x:f>
        <x:v>6502.383572524903</x:v>
      </x:c>
      <x:c r="L540" s="10" t="n">
        <x:f>INDEX(tun_HousingCap,G540)*EXP(tun_CapsByProject*SUMPRODUCT((Cap_Point&lt;=I540)*(Cap_Kind="Housing")*Cap_Ln))</x:f>
        <x:v>6581.714062749661</x:v>
      </x:c>
      <x:c r="M540" s="10" t="n">
        <x:f>INDEX(tun_GroupCap,G540)*tun_CohesionFactor*EXP(tun_CapsByProject*SUMPRODUCT((Cap_Point&lt;=I540)*(Cap_Kind="Group")*Cap_Ln))</x:f>
        <x:v>1000000.000000001</x:v>
      </x:c>
      <x:c r="N540" s="32" t="n">
        <x:f>MIN(J540,L540,M540)</x:f>
        <x:v>6502.383572524903</x:v>
      </x:c>
      <x:c r="O540" s="10" t="n">
        <x:f>AE539*N540</x:f>
        <x:v>58521.45215272412</x:v>
      </x:c>
      <x:c r="P540" s="9" t="n">
        <x:f>MIN(1,(AB539/(AE539*IF(tun_GroupInCrowding=1,N540,MIN(J540,L540))))^tun_CrowdingExp)</x:f>
        <x:v>0.15547255292184395</x:v>
      </x:c>
      <x:c r="Q540" s="9" t="n">
        <x:f>IF(D540=1,INDEX(tun_WinterMult,G540),1)</x:f>
        <x:v>1</x:v>
      </x:c>
      <x:c r="R540" s="9" t="n">
        <x:f>H540*Z539*tun_WomenShare*tun_BaseFertility*INDEX(tun_FertMult,G540)*Arch_Fertility*(1-P540)</x:f>
        <x:v>605.2649531410956</x:v>
      </x:c>
      <x:c r="S540" s="9" t="n">
        <x:f>H540*Y539*INDEX(tun_MortChild,G540)/4*Q540</x:f>
        <x:v>16.294099832833385</x:v>
      </x:c>
      <x:c r="T540" s="9" t="n">
        <x:f>H540*Z539*INDEX(tun_MortAdult,G540)*Arch_AdultMort/4*Q540</x:f>
        <x:v>15.035468881141146</x:v>
      </x:c>
      <x:c r="U540" s="9" t="n">
        <x:f>H540*AA539*INDEX(tun_MortElder,G540)/4*Q540</x:f>
        <x:v>69.15352616245424</x:v>
      </x:c>
      <x:c r="V540" s="9" t="n">
        <x:f>H540*MAX(0,AB539-O540)*tun_OvercapLoss</x:f>
        <x:v>0</x:v>
      </x:c>
      <x:c r="W540" s="9" t="n">
        <x:f>H540*Y539/(tun_ChildYears*4)</x:f>
        <x:v>258.63650528306965</x:v>
      </x:c>
      <x:c r="X540" s="9" t="n">
        <x:f>H540*Z539/(tun_AdultYears*4)</x:f>
        <x:v>161.67170839936716</x:v>
      </x:c>
      <x:c r="Y540" s="32" t="n">
        <x:f>Y539+R540-S540-W540-Y539*V540/AB539</x:f>
        <x:v>14813.978643877092</x:v>
      </x:c>
      <x:c r="Z540" s="32" t="n">
        <x:f>Z539+W540-X540-T540-Z539*V540/AB539</x:f>
        <x:v>20129.221169524088</x:v>
      </x:c>
      <x:c r="AA540" s="32" t="n">
        <x:f>AA539+X540-U540-AA539*V540/AB539</x:f>
        <x:v>8474.76377768591</x:v>
      </x:c>
      <x:c r="AB540" s="10" t="n">
        <x:f>Y540+Z540+AA540</x:f>
        <x:v>43417.96359108709</x:v>
      </x:c>
      <x:c r="AC540" s="8" t="n">
        <x:f>IF(AND(tun_WinterTrigger=1,D540=1,AB539/AE539&gt;=K540),1,0)</x:f>
        <x:v>0</x:v>
      </x:c>
      <x:c r="AD540" s="8" t="n">
        <x:f>H540*IF(AND(OR(AB539/AE539&gt;=tun_FissionTrigger*N540,AC540=1),AB539/AE539*tun_DaughterShare&gt;=tun_MinDaughter),MAX(1,ROUND(AE539*tun_FissionRate,0)),0)</x:f>
        <x:v>0</x:v>
      </x:c>
      <x:c r="AE540" s="8" t="n">
        <x:f>IF(H540=1,MAX(1,MIN(INDEX(tun_Smax,G540),AE539+AD540)),AE539)</x:f>
        <x:v>9</x:v>
      </x:c>
      <x:c r="AF540" s="8" t="n">
        <x:f>MAX(0,AE540-AE539)</x:f>
        <x:v>0</x:v>
      </x:c>
      <x:c r="AG540" s="9" t="str">
        <x:f>IF(AF540&gt;0,B540,"")</x:f>
      </x:c>
      <x:c r="AH540" s="9" t="n">
        <x:f>IF(F540&gt;=1,1,(1+tun_LowTiesShare*(AE540-1))/AE540)</x:f>
        <x:v>1</x:v>
      </x:c>
      <x:c r="AI540" s="32" t="n">
        <x:f>(Z540+tun_ElderCommons*INDEX(LM_Elder,G540)*AA540)*AH540</x:f>
        <x:v>51909.58533584625</x:v>
      </x:c>
      <x:c r="AJ540" s="32" t="n">
        <x:f>H540*tun_CommonsCoef*AI540^tun_CommonsExp*INDEX(LM_Commons,G540)</x:f>
        <x:v>147384.75197848203</x:v>
      </x:c>
      <x:c r="AK540" s="32" t="n">
        <x:f>H540*tun_RoleScale*Arch_Roles*(AE540*(INDEX(tun_ElderRolePerSett,G540)*tun_OutElder*INDEX(LM_Elder,G540)+INDEX(tun_ShamanPerSett,G540)*tun_OutShaman)+Z540*(INDEX(tun_PriestShare,G540)*tun_OutPriest+INDEX(tun_ScribeShare,G540)*tun_OutScribe*INDEX(LM_Scribe,G540)+INDEX(tun_ScholarShare,G540)*tun_OutScholar*INDEX(LM_Scholar,G540)+INDEX(tun_ResearcherShare,G540)*tun_OutResearcher*INDEX(LM_Researcher,G540)))</x:f>
        <x:v>41830.1598402613</x:v>
      </x:c>
      <x:c r="AL540" s="32" t="n">
        <x:f>H540*tun_RoleScale*Arch_Roles*AE540*INDEX(tun_MonasteryPerSett,G540)*tun_OutMonastery*INDEX(LM_Monastery,G540)</x:f>
        <x:v>31.680000000000003</x:v>
      </x:c>
      <x:c r="AM540" s="32" t="n">
        <x:f>(AJ540+AK540+AL540)/4*INDEX(LM_All,G540)*INDEX(tun_Boon,G540)*Arch_Insight</x:f>
        <x:v>136350.55609272784</x:v>
      </x:c>
      <x:c r="AN540" s="32" t="n">
        <x:f>H540*(tun_KHPerAdult*Z540+tun_KHOfCommons*AJ540/4*INDEX(LM_All,G540))*tun_KHUsable*Arch_KH</x:f>
        <x:v>21352.885080612214</x:v>
      </x:c>
      <x:c r="AO540" s="32" t="n">
        <x:f>MIN(AP539+AN540,AM540*tun_KHMaxRatio)</x:f>
        <x:v>21352.885080612214</x:v>
      </x:c>
      <x:c r="AP540" s="32" t="n">
        <x:f>AP539+AN540-AO540</x:f>
        <x:v>0</x:v>
      </x:c>
      <x:c r="AQ540" s="32" t="n">
        <x:f>AM540+AO540</x:f>
        <x:v>157703.44117334005</x:v>
      </x:c>
      <x:c r="AR540" s="10" t="n">
        <x:f>IF(H540=1,INDEX(tun_Req,G540),0)</x:f>
        <x:v>24497531.045680594</x:v>
      </x:c>
      <x:c r="AS540" s="32" t="n">
        <x:f>IF(H540=1,IF(E540=1,AS539-AR539,AS539)+AQ540,0)</x:f>
        <x:v>6076627.132746063</x:v>
      </x:c>
      <x:c r="AT540" s="11" t="n">
        <x:f>IF(AR540&gt;0,MIN(1,AS540/AR540),1)</x:f>
        <x:v>0.24805059421763626</x:v>
      </x:c>
      <x:c r="AU540" s="10" t="n">
        <x:f>AB540/INDEX(tun_RepScale,G540)</x:f>
        <x:v>173.67185436434838</x:v>
      </x:c>
      <x:c r="AV540" s="32" t="n">
        <x:f>AM540*60/tun_SeasonSeconds</x:f>
        <x:v>545402.2243709114</x:v>
      </x:c>
    </x:row>
    <x:row r="541">
      <x:c r="A541" s="8" t="n">
        <x:f>A540+1</x:f>
        <x:v>538</x:v>
      </x:c>
      <x:c r="B541" s="9" t="n">
        <x:f>A541*tun_SeasonSeconds/60</x:f>
        <x:v>134.5</x:v>
      </x:c>
      <x:c r="C541" s="9" t="n">
        <x:f>A541/4</x:f>
        <x:v>134.5</x:v>
      </x:c>
      <x:c r="D541" s="8" t="n">
        <x:f>IF(MOD(A541,4)=0,1,0)</x:f>
        <x:v>0</x:v>
      </x:c>
      <x:c r="E541" s="8" t="n">
        <x:f>IF(AND(F540&lt;=9,AS540&gt;=AR540),1,0)</x:f>
        <x:v>0</x:v>
      </x:c>
      <x:c r="F541" s="8" t="n">
        <x:f>MIN(10,F540+E541)</x:f>
        <x:v>8</x:v>
      </x:c>
      <x:c r="G541" s="8" t="n">
        <x:f>MIN(F541,9)+1</x:f>
        <x:v>9</x:v>
      </x:c>
      <x:c r="H541" s="8" t="n">
        <x:f>IF(F541&lt;=9,1,0)</x:f>
        <x:v>1</x:v>
      </x:c>
      <x:c r="I541" s="9" t="n">
        <x:f>MIN(10,F540+IF(AR540&gt;0,MIN(1,AS540/AR540),1))</x:f>
        <x:v>8.248050594217636</x:v>
      </x:c>
      <x:c r="J541" s="32" t="n">
        <x:f>INDEX(tun_FoodCap,G541)*Arch_FoodCap*EXP(tun_CapsByProject*SUMPRODUCT((Cap_Point&lt;=I541)*(Cap_Kind="Food")*Cap_Ln))</x:f>
        <x:v>6502.383572524903</x:v>
      </x:c>
      <x:c r="K541" s="32" t="n">
        <x:f>J541*MIN(1,tun_LeanBase*EXP(tun_CapsByProject*SUMPRODUCT((Cap_Point&lt;=I541)*(Cap_Kind="Lean")*Cap_Ln)))</x:f>
        <x:v>6502.383572524903</x:v>
      </x:c>
      <x:c r="L541" s="10" t="n">
        <x:f>INDEX(tun_HousingCap,G541)*EXP(tun_CapsByProject*SUMPRODUCT((Cap_Point&lt;=I541)*(Cap_Kind="Housing")*Cap_Ln))</x:f>
        <x:v>6581.714062749661</x:v>
      </x:c>
      <x:c r="M541" s="10" t="n">
        <x:f>INDEX(tun_GroupCap,G541)*tun_CohesionFactor*EXP(tun_CapsByProject*SUMPRODUCT((Cap_Point&lt;=I541)*(Cap_Kind="Group")*Cap_Ln))</x:f>
        <x:v>1000000.000000001</x:v>
      </x:c>
      <x:c r="N541" s="32" t="n">
        <x:f>MIN(J541,L541,M541)</x:f>
        <x:v>6502.383572524903</x:v>
      </x:c>
      <x:c r="O541" s="10" t="n">
        <x:f>AE540*N541</x:f>
        <x:v>58521.45215272412</x:v>
      </x:c>
      <x:c r="P541" s="9" t="n">
        <x:f>MIN(1,(AB540/(AE540*IF(tun_GroupInCrowding=1,N541,MIN(J541,L541))))^tun_CrowdingExp)</x:f>
        <x:v>0.16677315148897615</x:v>
      </x:c>
      <x:c r="Q541" s="9" t="n">
        <x:f>IF(D541=1,INDEX(tun_WinterMult,G541),1)</x:f>
        <x:v>1</x:v>
      </x:c>
      <x:c r="R541" s="9" t="n">
        <x:f>H541*Z540*tun_WomenShare*tun_BaseFertility*INDEX(tun_FertMult,G541)*Arch_Fertility*(1-P541)</x:f>
        <x:v>599.606418770786</x:v>
      </x:c>
      <x:c r="S541" s="9" t="n">
        <x:f>H541*Y540*INDEX(tun_MortChild,G541)/4*Q541</x:f>
        <x:v>16.665725974361727</x:v>
      </x:c>
      <x:c r="T541" s="9" t="n">
        <x:f>H541*Z540*INDEX(tun_MortAdult,G541)*Arch_AdultMort/4*Q541</x:f>
        <x:v>15.096915877143067</x:v>
      </x:c>
      <x:c r="U541" s="9" t="n">
        <x:f>H541*AA540*INDEX(tun_MortElder,G541)/4*Q541</x:f>
        <x:v>69.91680116590877</x:v>
      </x:c>
      <x:c r="V541" s="9" t="n">
        <x:f>H541*MAX(0,AB540-O541)*tun_OvercapLoss</x:f>
        <x:v>0</x:v>
      </x:c>
      <x:c r="W541" s="9" t="n">
        <x:f>H541*Y540/(tun_ChildYears*4)</x:f>
        <x:v>264.5353329263766</x:v>
      </x:c>
      <x:c r="X541" s="9" t="n">
        <x:f>H541*Z540/(tun_AdultYears*4)</x:f>
        <x:v>162.33242878648457</x:v>
      </x:c>
      <x:c r="Y541" s="32" t="n">
        <x:f>Y540+R541-S541-W541-Y540*V541/AB540</x:f>
        <x:v>15132.384003747138</x:v>
      </x:c>
      <x:c r="Z541" s="32" t="n">
        <x:f>Z540+W541-X541-T541-Z540*V541/AB540</x:f>
        <x:v>20216.327157786836</x:v>
      </x:c>
      <x:c r="AA541" s="32" t="n">
        <x:f>AA540+X541-U541-AA540*V541/AB540</x:f>
        <x:v>8567.179405306486</x:v>
      </x:c>
      <x:c r="AB541" s="10" t="n">
        <x:f>Y541+Z541+AA541</x:f>
        <x:v>43915.89056684046</x:v>
      </x:c>
      <x:c r="AC541" s="8" t="n">
        <x:f>IF(AND(tun_WinterTrigger=1,D541=1,AB540/AE540&gt;=K541),1,0)</x:f>
        <x:v>0</x:v>
      </x:c>
      <x:c r="AD541" s="8" t="n">
        <x:f>H541*IF(AND(OR(AB540/AE540&gt;=tun_FissionTrigger*N541,AC541=1),AB540/AE540*tun_DaughterShare&gt;=tun_MinDaughter),MAX(1,ROUND(AE540*tun_FissionRate,0)),0)</x:f>
        <x:v>0</x:v>
      </x:c>
      <x:c r="AE541" s="8" t="n">
        <x:f>IF(H541=1,MAX(1,MIN(INDEX(tun_Smax,G541),AE540+AD541)),AE540)</x:f>
        <x:v>9</x:v>
      </x:c>
      <x:c r="AF541" s="8" t="n">
        <x:f>MAX(0,AE541-AE540)</x:f>
        <x:v>0</x:v>
      </x:c>
      <x:c r="AG541" s="9" t="str">
        <x:f>IF(AF541&gt;0,B541,"")</x:f>
      </x:c>
      <x:c r="AH541" s="9" t="n">
        <x:f>IF(F541&gt;=1,1,(1+tun_LowTiesShare*(AE541-1))/AE541)</x:f>
        <x:v>1</x:v>
      </x:c>
      <x:c r="AI541" s="32" t="n">
        <x:f>(Z541+tun_ElderCommons*INDEX(LM_Elder,G541)*AA541)*AH541</x:f>
        <x:v>52343.24992768616</x:v>
      </x:c>
      <x:c r="AJ541" s="32" t="n">
        <x:f>H541*tun_CommonsCoef*AI541^tun_CommonsExp*INDEX(LM_Commons,G541)</x:f>
        <x:v>148430.69145110095</x:v>
      </x:c>
      <x:c r="AK541" s="32" t="n">
        <x:f>H541*tun_RoleScale*Arch_Roles*(AE541*(INDEX(tun_ElderRolePerSett,G541)*tun_OutElder*INDEX(LM_Elder,G541)+INDEX(tun_ShamanPerSett,G541)*tun_OutShaman)+Z541*(INDEX(tun_PriestShare,G541)*tun_OutPriest+INDEX(tun_ScribeShare,G541)*tun_OutScribe*INDEX(LM_Scribe,G541)+INDEX(tun_ScholarShare,G541)*tun_OutScholar*INDEX(LM_Scholar,G541)+INDEX(tun_ResearcherShare,G541)*tun_OutResearcher*INDEX(LM_Researcher,G541)))</x:f>
        <x:v>42010.12162946413</x:v>
      </x:c>
      <x:c r="AL541" s="32" t="n">
        <x:f>H541*tun_RoleScale*Arch_Roles*AE541*INDEX(tun_MonasteryPerSett,G541)*tun_OutMonastery*INDEX(LM_Monastery,G541)</x:f>
        <x:v>31.680000000000003</x:v>
      </x:c>
      <x:c r="AM541" s="32" t="n">
        <x:f>(AJ541+AK541+AL541)/4*INDEX(LM_All,G541)*INDEX(tun_Boon,G541)*Arch_Insight</x:f>
        <x:v>137233.8075011562</x:v>
      </x:c>
      <x:c r="AN541" s="32" t="n">
        <x:f>H541*(tun_KHPerAdult*Z541+tun_KHOfCommons*AJ541/4*INDEX(LM_All,G541))*tun_KHUsable*Arch_KH</x:f>
        <x:v>21504.419245851834</x:v>
      </x:c>
      <x:c r="AO541" s="32" t="n">
        <x:f>MIN(AP540+AN541,AM541*tun_KHMaxRatio)</x:f>
        <x:v>21504.419245851834</x:v>
      </x:c>
      <x:c r="AP541" s="32" t="n">
        <x:f>AP540+AN541-AO541</x:f>
        <x:v>0</x:v>
      </x:c>
      <x:c r="AQ541" s="32" t="n">
        <x:f>AM541+AO541</x:f>
        <x:v>158738.22674700804</x:v>
      </x:c>
      <x:c r="AR541" s="10" t="n">
        <x:f>IF(H541=1,INDEX(tun_Req,G541),0)</x:f>
        <x:v>24497531.045680594</x:v>
      </x:c>
      <x:c r="AS541" s="32" t="n">
        <x:f>IF(H541=1,IF(E541=1,AS540-AR540,AS540)+AQ541,0)</x:f>
        <x:v>6235365.359493071</x:v>
      </x:c>
      <x:c r="AT541" s="11" t="n">
        <x:f>IF(AR541&gt;0,MIN(1,AS541/AR541),1)</x:f>
        <x:v>0.25453035850290273</x:v>
      </x:c>
      <x:c r="AU541" s="10" t="n">
        <x:f>AB541/INDEX(tun_RepScale,G541)</x:f>
        <x:v>175.66356226736184</x:v>
      </x:c>
      <x:c r="AV541" s="32" t="n">
        <x:f>AM541*60/tun_SeasonSeconds</x:f>
        <x:v>548935.2300046248</x:v>
      </x:c>
    </x:row>
    <x:row r="542">
      <x:c r="A542" s="8" t="n">
        <x:f>A541+1</x:f>
        <x:v>539</x:v>
      </x:c>
      <x:c r="B542" s="9" t="n">
        <x:f>A542*tun_SeasonSeconds/60</x:f>
        <x:v>134.75</x:v>
      </x:c>
      <x:c r="C542" s="9" t="n">
        <x:f>A542/4</x:f>
        <x:v>134.75</x:v>
      </x:c>
      <x:c r="D542" s="8" t="n">
        <x:f>IF(MOD(A542,4)=0,1,0)</x:f>
        <x:v>0</x:v>
      </x:c>
      <x:c r="E542" s="8" t="n">
        <x:f>IF(AND(F541&lt;=9,AS541&gt;=AR541),1,0)</x:f>
        <x:v>0</x:v>
      </x:c>
      <x:c r="F542" s="8" t="n">
        <x:f>MIN(10,F541+E542)</x:f>
        <x:v>8</x:v>
      </x:c>
      <x:c r="G542" s="8" t="n">
        <x:f>MIN(F542,9)+1</x:f>
        <x:v>9</x:v>
      </x:c>
      <x:c r="H542" s="8" t="n">
        <x:f>IF(F542&lt;=9,1,0)</x:f>
        <x:v>1</x:v>
      </x:c>
      <x:c r="I542" s="9" t="n">
        <x:f>MIN(10,F541+IF(AR541&gt;0,MIN(1,AS541/AR541),1))</x:f>
        <x:v>8.254530358502903</x:v>
      </x:c>
      <x:c r="J542" s="32" t="n">
        <x:f>INDEX(tun_FoodCap,G542)*Arch_FoodCap*EXP(tun_CapsByProject*SUMPRODUCT((Cap_Point&lt;=I542)*(Cap_Kind="Food")*Cap_Ln))</x:f>
        <x:v>6502.383572524903</x:v>
      </x:c>
      <x:c r="K542" s="32" t="n">
        <x:f>J542*MIN(1,tun_LeanBase*EXP(tun_CapsByProject*SUMPRODUCT((Cap_Point&lt;=I542)*(Cap_Kind="Lean")*Cap_Ln)))</x:f>
        <x:v>6502.383572524903</x:v>
      </x:c>
      <x:c r="L542" s="10" t="n">
        <x:f>INDEX(tun_HousingCap,G542)*EXP(tun_CapsByProject*SUMPRODUCT((Cap_Point&lt;=I542)*(Cap_Kind="Housing")*Cap_Ln))</x:f>
        <x:v>6581.714062749661</x:v>
      </x:c>
      <x:c r="M542" s="10" t="n">
        <x:f>INDEX(tun_GroupCap,G542)*tun_CohesionFactor*EXP(tun_CapsByProject*SUMPRODUCT((Cap_Point&lt;=I542)*(Cap_Kind="Group")*Cap_Ln))</x:f>
        <x:v>1000000.000000001</x:v>
      </x:c>
      <x:c r="N542" s="32" t="n">
        <x:f>MIN(J542,L542,M542)</x:f>
        <x:v>6502.383572524903</x:v>
      </x:c>
      <x:c r="O542" s="10" t="n">
        <x:f>AE541*N542</x:f>
        <x:v>58521.45215272412</x:v>
      </x:c>
      <x:c r="P542" s="9" t="n">
        <x:f>MIN(1,(AB541/(AE541*IF(tun_GroupInCrowding=1,N542,MIN(J542,L542))))^tun_CrowdingExp)</x:f>
        <x:v>0.17858278854116902</x:v>
      </x:c>
      <x:c r="Q542" s="9" t="n">
        <x:f>IF(D542=1,INDEX(tun_WinterMult,G542),1)</x:f>
        <x:v>1</x:v>
      </x:c>
      <x:c r="R542" s="9" t="n">
        <x:f>H542*Z541*tun_WomenShare*tun_BaseFertility*INDEX(tun_FertMult,G542)*Arch_Fertility*(1-P542)</x:f>
        <x:v>593.665897106021</x:v>
      </x:c>
      <x:c r="S542" s="9" t="n">
        <x:f>H542*Y541*INDEX(tun_MortChild,G542)/4*Q542</x:f>
        <x:v>17.023932004215528</x:v>
      </x:c>
      <x:c r="T542" s="9" t="n">
        <x:f>H542*Z541*INDEX(tun_MortAdult,G542)*Arch_AdultMort/4*Q542</x:f>
        <x:v>15.162245368340127</x:v>
      </x:c>
      <x:c r="U542" s="9" t="n">
        <x:f>H542*AA541*INDEX(tun_MortElder,G542)/4*Q542</x:f>
        <x:v>70.67923009377851</x:v>
      </x:c>
      <x:c r="V542" s="9" t="n">
        <x:f>H542*MAX(0,AB541-O542)*tun_OvercapLoss</x:f>
        <x:v>0</x:v>
      </x:c>
      <x:c r="W542" s="9" t="n">
        <x:f>H542*Y541/(tun_ChildYears*4)</x:f>
        <x:v>270.22114292405604</x:v>
      </x:c>
      <x:c r="X542" s="9" t="n">
        <x:f>H542*Z541/(tun_AdultYears*4)</x:f>
        <x:v>163.0348964337648</x:v>
      </x:c>
      <x:c r="Y542" s="32" t="n">
        <x:f>Y541+R542-S542-W542-Y541*V542/AB541</x:f>
        <x:v>15438.804825924888</x:v>
      </x:c>
      <x:c r="Z542" s="32" t="n">
        <x:f>Z541+W542-X542-T542-Z541*V542/AB541</x:f>
        <x:v>20308.351158908787</x:v>
      </x:c>
      <x:c r="AA542" s="32" t="n">
        <x:f>AA541+X542-U542-AA541*V542/AB541</x:f>
        <x:v>8659.535071646473</x:v>
      </x:c>
      <x:c r="AB542" s="10" t="n">
        <x:f>Y542+Z542+AA542</x:f>
        <x:v>44406.69105648015</x:v>
      </x:c>
      <x:c r="AC542" s="8" t="n">
        <x:f>IF(AND(tun_WinterTrigger=1,D542=1,AB541/AE541&gt;=K542),1,0)</x:f>
        <x:v>0</x:v>
      </x:c>
      <x:c r="AD542" s="8" t="n">
        <x:f>H542*IF(AND(OR(AB541/AE541&gt;=tun_FissionTrigger*N542,AC542=1),AB541/AE541*tun_DaughterShare&gt;=tun_MinDaughter),MAX(1,ROUND(AE541*tun_FissionRate,0)),0)</x:f>
        <x:v>0</x:v>
      </x:c>
      <x:c r="AE542" s="8" t="n">
        <x:f>IF(H542=1,MAX(1,MIN(INDEX(tun_Smax,G542),AE541+AD542)),AE541)</x:f>
        <x:v>9</x:v>
      </x:c>
      <x:c r="AF542" s="8" t="n">
        <x:f>MAX(0,AE542-AE541)</x:f>
        <x:v>0</x:v>
      </x:c>
      <x:c r="AG542" s="9" t="str">
        <x:f>IF(AF542&gt;0,B542,"")</x:f>
      </x:c>
      <x:c r="AH542" s="9" t="n">
        <x:f>IF(F542&gt;=1,1,(1+tun_LowTiesShare*(AE542-1))/AE542)</x:f>
        <x:v>1</x:v>
      </x:c>
      <x:c r="AI542" s="32" t="n">
        <x:f>(Z542+tun_ElderCommons*INDEX(LM_Elder,G542)*AA542)*AH542</x:f>
        <x:v>52781.60767758306</x:v>
      </x:c>
      <x:c r="AJ542" s="32" t="n">
        <x:f>H542*tun_CommonsCoef*AI542^tun_CommonsExp*INDEX(LM_Commons,G542)</x:f>
        <x:v>149486.6300060148</x:v>
      </x:c>
      <x:c r="AK542" s="32" t="n">
        <x:f>H542*tun_RoleScale*Arch_Roles*(AE542*(INDEX(tun_ElderRolePerSett,G542)*tun_OutElder*INDEX(LM_Elder,G542)+INDEX(tun_ShamanPerSett,G542)*tun_OutShaman)+Z542*(INDEX(tun_PriestShare,G542)*tun_OutPriest+INDEX(tun_ScribeShare,G542)*tun_OutScribe*INDEX(LM_Scribe,G542)+INDEX(tun_ScholarShare,G542)*tun_OutScholar*INDEX(LM_Scholar,G542)+INDEX(tun_ResearcherShare,G542)*tun_OutResearcher*INDEX(LM_Researcher,G542)))</x:f>
        <x:v>42200.24407938748</x:v>
      </x:c>
      <x:c r="AL542" s="32" t="n">
        <x:f>H542*tun_RoleScale*Arch_Roles*AE542*INDEX(tun_MonasteryPerSett,G542)*tun_OutMonastery*INDEX(LM_Monastery,G542)</x:f>
        <x:v>31.680000000000003</x:v>
      </x:c>
      <x:c r="AM542" s="32" t="n">
        <x:f>(AJ542+AK542+AL542)/4*INDEX(LM_All,G542)*INDEX(tun_Boon,G542)*Arch_Insight</x:f>
        <x:v>138131.58383256695</x:v>
      </x:c>
      <x:c r="AN542" s="32" t="n">
        <x:f>H542*(tun_KHPerAdult*Z542+tun_KHOfCommons*AJ542/4*INDEX(LM_All,G542))*tun_KHUsable*Arch_KH</x:f>
        <x:v>21657.402063359</x:v>
      </x:c>
      <x:c r="AO542" s="32" t="n">
        <x:f>MIN(AP541+AN542,AM542*tun_KHMaxRatio)</x:f>
        <x:v>21657.402063359</x:v>
      </x:c>
      <x:c r="AP542" s="32" t="n">
        <x:f>AP541+AN542-AO542</x:f>
        <x:v>0</x:v>
      </x:c>
      <x:c r="AQ542" s="32" t="n">
        <x:f>AM542+AO542</x:f>
        <x:v>159788.98589592596</x:v>
      </x:c>
      <x:c r="AR542" s="10" t="n">
        <x:f>IF(H542=1,INDEX(tun_Req,G542),0)</x:f>
        <x:v>24497531.045680594</x:v>
      </x:c>
      <x:c r="AS542" s="32" t="n">
        <x:f>IF(H542=1,IF(E542=1,AS541-AR541,AS541)+AQ542,0)</x:f>
        <x:v>6395154.345388997</x:v>
      </x:c>
      <x:c r="AT542" s="11" t="n">
        <x:f>IF(AR542&gt;0,MIN(1,AS542/AR542),1)</x:f>
        <x:v>0.26105301523912516</x:v>
      </x:c>
      <x:c r="AU542" s="10" t="n">
        <x:f>AB542/INDEX(tun_RepScale,G542)</x:f>
        <x:v>177.6267642259206</x:v>
      </x:c>
      <x:c r="AV542" s="32" t="n">
        <x:f>AM542*60/tun_SeasonSeconds</x:f>
        <x:v>552526.3353302678</x:v>
      </x:c>
    </x:row>
    <x:row r="543">
      <x:c r="A543" s="8" t="n">
        <x:f>A542+1</x:f>
        <x:v>540</x:v>
      </x:c>
      <x:c r="B543" s="9" t="n">
        <x:f>A543*tun_SeasonSeconds/60</x:f>
        <x:v>135</x:v>
      </x:c>
      <x:c r="C543" s="9" t="n">
        <x:f>A543/4</x:f>
        <x:v>135</x:v>
      </x:c>
      <x:c r="D543" s="8" t="n">
        <x:f>IF(MOD(A543,4)=0,1,0)</x:f>
        <x:v>1</x:v>
      </x:c>
      <x:c r="E543" s="8" t="n">
        <x:f>IF(AND(F542&lt;=9,AS542&gt;=AR542),1,0)</x:f>
        <x:v>0</x:v>
      </x:c>
      <x:c r="F543" s="8" t="n">
        <x:f>MIN(10,F542+E543)</x:f>
        <x:v>8</x:v>
      </x:c>
      <x:c r="G543" s="8" t="n">
        <x:f>MIN(F543,9)+1</x:f>
        <x:v>9</x:v>
      </x:c>
      <x:c r="H543" s="8" t="n">
        <x:f>IF(F543&lt;=9,1,0)</x:f>
        <x:v>1</x:v>
      </x:c>
      <x:c r="I543" s="9" t="n">
        <x:f>MIN(10,F542+IF(AR542&gt;0,MIN(1,AS542/AR542),1))</x:f>
        <x:v>8.261053015239126</x:v>
      </x:c>
      <x:c r="J543" s="32" t="n">
        <x:f>INDEX(tun_FoodCap,G543)*Arch_FoodCap*EXP(tun_CapsByProject*SUMPRODUCT((Cap_Point&lt;=I543)*(Cap_Kind="Food")*Cap_Ln))</x:f>
        <x:v>6502.383572524903</x:v>
      </x:c>
      <x:c r="K543" s="32" t="n">
        <x:f>J543*MIN(1,tun_LeanBase*EXP(tun_CapsByProject*SUMPRODUCT((Cap_Point&lt;=I543)*(Cap_Kind="Lean")*Cap_Ln)))</x:f>
        <x:v>6502.383572524903</x:v>
      </x:c>
      <x:c r="L543" s="10" t="n">
        <x:f>INDEX(tun_HousingCap,G543)*EXP(tun_CapsByProject*SUMPRODUCT((Cap_Point&lt;=I543)*(Cap_Kind="Housing")*Cap_Ln))</x:f>
        <x:v>6581.714062749661</x:v>
      </x:c>
      <x:c r="M543" s="10" t="n">
        <x:f>INDEX(tun_GroupCap,G543)*tun_CohesionFactor*EXP(tun_CapsByProject*SUMPRODUCT((Cap_Point&lt;=I543)*(Cap_Kind="Group")*Cap_Ln))</x:f>
        <x:v>1000000.000000001</x:v>
      </x:c>
      <x:c r="N543" s="32" t="n">
        <x:f>MIN(J543,L543,M543)</x:f>
        <x:v>6502.383572524903</x:v>
      </x:c>
      <x:c r="O543" s="10" t="n">
        <x:f>AE542*N543</x:f>
        <x:v>58521.45215272412</x:v>
      </x:c>
      <x:c r="P543" s="9" t="n">
        <x:f>MIN(1,(AB542/(AE542*IF(tun_GroupInCrowding=1,N543,MIN(J543,L543))))^tun_CrowdingExp)</x:f>
        <x:v>0.19089735618190196</x:v>
      </x:c>
      <x:c r="Q543" s="9" t="n">
        <x:f>IF(D543=1,INDEX(tun_WinterMult,G543),1)</x:f>
        <x:v>1.05</x:v>
      </x:c>
      <x:c r="R543" s="9" t="n">
        <x:f>H543*Z542*tun_WomenShare*tun_BaseFertility*INDEX(tun_FertMult,G543)*Arch_Fertility*(1-P543)</x:f>
        <x:v>587.4275769597748</x:v>
      </x:c>
      <x:c r="S543" s="9" t="n">
        <x:f>H543*Y542*INDEX(tun_MortChild,G543)/4*Q543</x:f>
        <x:v>18.237088200623774</x:v>
      </x:c>
      <x:c r="T543" s="9" t="n">
        <x:f>H543*Z542*INDEX(tun_MortAdult,G543)*Arch_AdultMort/4*Q543</x:f>
        <x:v>15.99282653764067</x:v>
      </x:c>
      <x:c r="U543" s="9" t="n">
        <x:f>H543*AA542*INDEX(tun_MortElder,G543)/4*Q543</x:f>
        <x:v>75.01322255813758</x:v>
      </x:c>
      <x:c r="V543" s="9" t="n">
        <x:f>H543*MAX(0,AB542-O543)*tun_OvercapLoss</x:f>
        <x:v>0</x:v>
      </x:c>
      <x:c r="W543" s="9" t="n">
        <x:f>H543*Y542/(tun_ChildYears*4)</x:f>
        <x:v>275.6929433200873</x:v>
      </x:c>
      <x:c r="X543" s="9" t="n">
        <x:f>H543*Z542/(tun_AdultYears*4)</x:f>
        <x:v>163.77702547507087</x:v>
      </x:c>
      <x:c r="Y543" s="32" t="n">
        <x:f>Y542+R543-S543-W543-Y542*V543/AB542</x:f>
        <x:v>15732.302371363952</x:v>
      </x:c>
      <x:c r="Z543" s="32" t="n">
        <x:f>Z542+W543-X543-T543-Z542*V543/AB542</x:f>
        <x:v>20404.27425021616</x:v>
      </x:c>
      <x:c r="AA543" s="32" t="n">
        <x:f>AA542+X543-U543-AA542*V543/AB542</x:f>
        <x:v>8748.298874563405</x:v>
      </x:c>
      <x:c r="AB543" s="10" t="n">
        <x:f>Y543+Z543+AA543</x:f>
        <x:v>44884.87549614352</x:v>
      </x:c>
      <x:c r="AC543" s="8" t="n">
        <x:f>IF(AND(tun_WinterTrigger=1,D543=1,AB542/AE542&gt;=K543),1,0)</x:f>
        <x:v>0</x:v>
      </x:c>
      <x:c r="AD543" s="8" t="n">
        <x:f>H543*IF(AND(OR(AB542/AE542&gt;=tun_FissionTrigger*N543,AC543=1),AB542/AE542*tun_DaughterShare&gt;=tun_MinDaughter),MAX(1,ROUND(AE542*tun_FissionRate,0)),0)</x:f>
        <x:v>0</x:v>
      </x:c>
      <x:c r="AE543" s="8" t="n">
        <x:f>IF(H543=1,MAX(1,MIN(INDEX(tun_Smax,G543),AE542+AD543)),AE542)</x:f>
        <x:v>9</x:v>
      </x:c>
      <x:c r="AF543" s="8" t="n">
        <x:f>MAX(0,AE543-AE542)</x:f>
        <x:v>0</x:v>
      </x:c>
      <x:c r="AG543" s="9" t="str">
        <x:f>IF(AF543&gt;0,B543,"")</x:f>
      </x:c>
      <x:c r="AH543" s="9" t="n">
        <x:f>IF(F543&gt;=1,1,(1+tun_LowTiesShare*(AE543-1))/AE543)</x:f>
        <x:v>1</x:v>
      </x:c>
      <x:c r="AI543" s="32" t="n">
        <x:f>(Z543+tun_ElderCommons*INDEX(LM_Elder,G543)*AA543)*AH543</x:f>
        <x:v>53210.39502982893</x:v>
      </x:c>
      <x:c r="AJ543" s="32" t="n">
        <x:f>H543*tun_CommonsCoef*AI543^tun_CommonsExp*INDEX(LM_Commons,G543)</x:f>
        <x:v>150518.24289737365</x:v>
      </x:c>
      <x:c r="AK543" s="32" t="n">
        <x:f>H543*tun_RoleScale*Arch_Roles*(AE543*(INDEX(tun_ElderRolePerSett,G543)*tun_OutElder*INDEX(LM_Elder,G543)+INDEX(tun_ShamanPerSett,G543)*tun_OutShaman)+Z543*(INDEX(tun_PriestShare,G543)*tun_OutPriest+INDEX(tun_ScribeShare,G543)*tun_OutScribe*INDEX(LM_Scribe,G543)+INDEX(tun_ScholarShare,G543)*tun_OutScholar*INDEX(LM_Scholar,G543)+INDEX(tun_ResearcherShare,G543)*tun_OutResearcher*INDEX(LM_Researcher,G543)))</x:f>
        <x:v>42398.42208622519</x:v>
      </x:c>
      <x:c r="AL543" s="32" t="n">
        <x:f>H543*tun_RoleScale*Arch_Roles*AE543*INDEX(tun_MonasteryPerSett,G543)*tun_OutMonastery*INDEX(LM_Monastery,G543)</x:f>
        <x:v>31.680000000000003</x:v>
      </x:c>
      <x:c r="AM543" s="32" t="n">
        <x:f>(AJ543+AK543+AL543)/4*INDEX(LM_All,G543)*INDEX(tun_Boon,G543)*Arch_Insight</x:f>
        <x:v>139017.63769084448</x:v>
      </x:c>
      <x:c r="AN543" s="32" t="n">
        <x:f>H543*(tun_KHPerAdult*Z543+tun_KHOfCommons*AJ543/4*INDEX(LM_All,G543))*tun_KHUsable*Arch_KH</x:f>
        <x:v>21806.860614675625</x:v>
      </x:c>
      <x:c r="AO543" s="32" t="n">
        <x:f>MIN(AP542+AN543,AM543*tun_KHMaxRatio)</x:f>
        <x:v>21806.860614675625</x:v>
      </x:c>
      <x:c r="AP543" s="32" t="n">
        <x:f>AP542+AN543-AO543</x:f>
        <x:v>0</x:v>
      </x:c>
      <x:c r="AQ543" s="32" t="n">
        <x:f>AM543+AO543</x:f>
        <x:v>160824.4983055201</x:v>
      </x:c>
      <x:c r="AR543" s="10" t="n">
        <x:f>IF(H543=1,INDEX(tun_Req,G543),0)</x:f>
        <x:v>24497531.045680594</x:v>
      </x:c>
      <x:c r="AS543" s="32" t="n">
        <x:f>IF(H543=1,IF(E543=1,AS542-AR542,AS542)+AQ543,0)</x:f>
        <x:v>6555978.843694517</x:v>
      </x:c>
      <x:c r="AT543" s="11" t="n">
        <x:f>IF(AR543&gt;0,MIN(1,AS543/AR543),1)</x:f>
        <x:v>0.26761794204769335</x:v>
      </x:c>
      <x:c r="AU543" s="10" t="n">
        <x:f>AB543/INDEX(tun_RepScale,G543)</x:f>
        <x:v>179.5395019845741</x:v>
      </x:c>
      <x:c r="AV543" s="32" t="n">
        <x:f>AM543*60/tun_SeasonSeconds</x:f>
        <x:v>556070.5507633779</x:v>
      </x:c>
    </x:row>
    <x:row r="544">
      <x:c r="A544" s="8" t="n">
        <x:f>A543+1</x:f>
        <x:v>541</x:v>
      </x:c>
      <x:c r="B544" s="9" t="n">
        <x:f>A544*tun_SeasonSeconds/60</x:f>
        <x:v>135.25</x:v>
      </x:c>
      <x:c r="C544" s="9" t="n">
        <x:f>A544/4</x:f>
        <x:v>135.25</x:v>
      </x:c>
      <x:c r="D544" s="8" t="n">
        <x:f>IF(MOD(A544,4)=0,1,0)</x:f>
        <x:v>0</x:v>
      </x:c>
      <x:c r="E544" s="8" t="n">
        <x:f>IF(AND(F543&lt;=9,AS543&gt;=AR543),1,0)</x:f>
        <x:v>0</x:v>
      </x:c>
      <x:c r="F544" s="8" t="n">
        <x:f>MIN(10,F543+E544)</x:f>
        <x:v>8</x:v>
      </x:c>
      <x:c r="G544" s="8" t="n">
        <x:f>MIN(F544,9)+1</x:f>
        <x:v>9</x:v>
      </x:c>
      <x:c r="H544" s="8" t="n">
        <x:f>IF(F544&lt;=9,1,0)</x:f>
        <x:v>1</x:v>
      </x:c>
      <x:c r="I544" s="9" t="n">
        <x:f>MIN(10,F543+IF(AR543&gt;0,MIN(1,AS543/AR543),1))</x:f>
        <x:v>8.267617942047693</x:v>
      </x:c>
      <x:c r="J544" s="32" t="n">
        <x:f>INDEX(tun_FoodCap,G544)*Arch_FoodCap*EXP(tun_CapsByProject*SUMPRODUCT((Cap_Point&lt;=I544)*(Cap_Kind="Food")*Cap_Ln))</x:f>
        <x:v>6502.383572524903</x:v>
      </x:c>
      <x:c r="K544" s="32" t="n">
        <x:f>J544*MIN(1,tun_LeanBase*EXP(tun_CapsByProject*SUMPRODUCT((Cap_Point&lt;=I544)*(Cap_Kind="Lean")*Cap_Ln)))</x:f>
        <x:v>6502.383572524903</x:v>
      </x:c>
      <x:c r="L544" s="10" t="n">
        <x:f>INDEX(tun_HousingCap,G544)*EXP(tun_CapsByProject*SUMPRODUCT((Cap_Point&lt;=I544)*(Cap_Kind="Housing")*Cap_Ln))</x:f>
        <x:v>6581.714062749661</x:v>
      </x:c>
      <x:c r="M544" s="10" t="n">
        <x:f>INDEX(tun_GroupCap,G544)*tun_CohesionFactor*EXP(tun_CapsByProject*SUMPRODUCT((Cap_Point&lt;=I544)*(Cap_Kind="Group")*Cap_Ln))</x:f>
        <x:v>1000000.000000001</x:v>
      </x:c>
      <x:c r="N544" s="32" t="n">
        <x:f>MIN(J544,L544,M544)</x:f>
        <x:v>6502.383572524903</x:v>
      </x:c>
      <x:c r="O544" s="10" t="n">
        <x:f>AE543*N544</x:f>
        <x:v>58521.45215272412</x:v>
      </x:c>
      <x:c r="P544" s="9" t="n">
        <x:f>MIN(1,(AB543/(AE543*IF(tun_GroupInCrowding=1,N544,MIN(J544,L544))))^tun_CrowdingExp)</x:f>
        <x:v>0.2035680347817963</x:v>
      </x:c>
      <x:c r="Q544" s="9" t="n">
        <x:f>IF(D544=1,INDEX(tun_WinterMult,G544),1)</x:f>
        <x:v>1</x:v>
      </x:c>
      <x:c r="R544" s="9" t="n">
        <x:f>H544*Z543*tun_WomenShare*tun_BaseFertility*INDEX(tun_FertMult,G544)*Arch_Fertility*(1-P544)</x:f>
        <x:v>580.9595305782428</x:v>
      </x:c>
      <x:c r="S544" s="9" t="n">
        <x:f>H544*Y543*INDEX(tun_MortChild,G544)/4*Q544</x:f>
        <x:v>17.698840167784446</x:v>
      </x:c>
      <x:c r="T544" s="9" t="n">
        <x:f>H544*Z543*INDEX(tun_MortAdult,G544)*Arch_AdultMort/4*Q544</x:f>
        <x:v>15.303205687662121</x:v>
      </x:c>
      <x:c r="U544" s="9" t="n">
        <x:f>H544*AA543*INDEX(tun_MortElder,G544)/4*Q544</x:f>
        <x:v>72.1734657151481</x:v>
      </x:c>
      <x:c r="V544" s="9" t="n">
        <x:f>H544*MAX(0,AB543-O544)*tun_OvercapLoss</x:f>
        <x:v>0</x:v>
      </x:c>
      <x:c r="W544" s="9" t="n">
        <x:f>H544*Y543/(tun_ChildYears*4)</x:f>
        <x:v>280.93397091721346</x:v>
      </x:c>
      <x:c r="X544" s="9" t="n">
        <x:f>H544*Z543/(tun_AdultYears*4)</x:f>
        <x:v>164.5505987920658</x:v>
      </x:c>
      <x:c r="Y544" s="32" t="n">
        <x:f>Y543+R544-S544-W544-Y543*V544/AB543</x:f>
        <x:v>16014.629090857197</x:v>
      </x:c>
      <x:c r="Z544" s="32" t="n">
        <x:f>Z543+W544-X544-T544-Z543*V544/AB543</x:f>
        <x:v>20505.354416653645</x:v>
      </x:c>
      <x:c r="AA544" s="32" t="n">
        <x:f>AA543+X544-U544-AA543*V544/AB543</x:f>
        <x:v>8840.676007640322</x:v>
      </x:c>
      <x:c r="AB544" s="10" t="n">
        <x:f>Y544+Z544+AA544</x:f>
        <x:v>45360.659515151165</x:v>
      </x:c>
      <x:c r="AC544" s="8" t="n">
        <x:f>IF(AND(tun_WinterTrigger=1,D544=1,AB543/AE543&gt;=K544),1,0)</x:f>
        <x:v>0</x:v>
      </x:c>
      <x:c r="AD544" s="8" t="n">
        <x:f>H544*IF(AND(OR(AB543/AE543&gt;=tun_FissionTrigger*N544,AC544=1),AB543/AE543*tun_DaughterShare&gt;=tun_MinDaughter),MAX(1,ROUND(AE543*tun_FissionRate,0)),0)</x:f>
        <x:v>0</x:v>
      </x:c>
      <x:c r="AE544" s="8" t="n">
        <x:f>IF(H544=1,MAX(1,MIN(INDEX(tun_Smax,G544),AE543+AD544)),AE543)</x:f>
        <x:v>9</x:v>
      </x:c>
      <x:c r="AF544" s="8" t="n">
        <x:f>MAX(0,AE544-AE543)</x:f>
        <x:v>0</x:v>
      </x:c>
      <x:c r="AG544" s="9" t="str">
        <x:f>IF(AF544&gt;0,B544,"")</x:f>
      </x:c>
      <x:c r="AH544" s="9" t="n">
        <x:f>IF(F544&gt;=1,1,(1+tun_LowTiesShare*(AE544-1))/AE544)</x:f>
        <x:v>1</x:v>
      </x:c>
      <x:c r="AI544" s="32" t="n">
        <x:f>(Z544+tun_ElderCommons*INDEX(LM_Elder,G544)*AA544)*AH544</x:f>
        <x:v>53657.889445304856</x:v>
      </x:c>
      <x:c r="AJ544" s="32" t="n">
        <x:f>H544*tun_CommonsCoef*AI544^tun_CommonsExp*INDEX(LM_Commons,G544)</x:f>
        <x:v>151593.53403745868</x:v>
      </x:c>
      <x:c r="AK544" s="32" t="n">
        <x:f>H544*tun_RoleScale*Arch_Roles*(AE544*(INDEX(tun_ElderRolePerSett,G544)*tun_OutElder*INDEX(LM_Elder,G544)+INDEX(tun_ShamanPerSett,G544)*tun_OutShaman)+Z544*(INDEX(tun_PriestShare,G544)*tun_OutPriest+INDEX(tun_ScribeShare,G544)*tun_OutScribe*INDEX(LM_Scribe,G544)+INDEX(tun_ScholarShare,G544)*tun_OutScholar*INDEX(LM_Scholar,G544)+INDEX(tun_ResearcherShare,G544)*tun_OutResearcher*INDEX(LM_Researcher,G544)))</x:f>
        <x:v>42607.25465867863</x:v>
      </x:c>
      <x:c r="AL544" s="32" t="n">
        <x:f>H544*tun_RoleScale*Arch_Roles*AE544*INDEX(tun_MonasteryPerSett,G544)*tun_OutMonastery*INDEX(LM_Monastery,G544)</x:f>
        <x:v>31.680000000000003</x:v>
      </x:c>
      <x:c r="AM544" s="32" t="n">
        <x:f>(AJ544+AK544+AL544)/4*INDEX(LM_All,G544)*INDEX(tun_Boon,G544)*Arch_Insight</x:f>
        <x:v>139942.83787867232</x:v>
      </x:c>
      <x:c r="AN544" s="32" t="n">
        <x:f>H544*(tun_KHPerAdult*Z544+tun_KHOfCommons*AJ544/4*INDEX(LM_All,G544))*tun_KHUsable*Arch_KH</x:f>
        <x:v>21962.647206125657</x:v>
      </x:c>
      <x:c r="AO544" s="32" t="n">
        <x:f>MIN(AP543+AN544,AM544*tun_KHMaxRatio)</x:f>
        <x:v>21962.647206125657</x:v>
      </x:c>
      <x:c r="AP544" s="32" t="n">
        <x:f>AP543+AN544-AO544</x:f>
        <x:v>0</x:v>
      </x:c>
      <x:c r="AQ544" s="32" t="n">
        <x:f>AM544+AO544</x:f>
        <x:v>161905.48508479798</x:v>
      </x:c>
      <x:c r="AR544" s="10" t="n">
        <x:f>IF(H544=1,INDEX(tun_Req,G544),0)</x:f>
        <x:v>24497531.045680594</x:v>
      </x:c>
      <x:c r="AS544" s="32" t="n">
        <x:f>IF(H544=1,IF(E544=1,AS543-AR543,AS543)+AQ544,0)</x:f>
        <x:v>6717884.328779316</x:v>
      </x:c>
      <x:c r="AT544" s="11" t="n">
        <x:f>IF(AR544&gt;0,MIN(1,AS544/AR544),1)</x:f>
        <x:v>0.2742269952123936</x:v>
      </x:c>
      <x:c r="AU544" s="10" t="n">
        <x:f>AB544/INDEX(tun_RepScale,G544)</x:f>
        <x:v>181.44263806060465</x:v>
      </x:c>
      <x:c r="AV544" s="32" t="n">
        <x:f>AM544*60/tun_SeasonSeconds</x:f>
        <x:v>559771.3515146893</x:v>
      </x:c>
    </x:row>
    <x:row r="545">
      <x:c r="A545" s="8" t="n">
        <x:f>A544+1</x:f>
        <x:v>542</x:v>
      </x:c>
      <x:c r="B545" s="9" t="n">
        <x:f>A545*tun_SeasonSeconds/60</x:f>
        <x:v>135.5</x:v>
      </x:c>
      <x:c r="C545" s="9" t="n">
        <x:f>A545/4</x:f>
        <x:v>135.5</x:v>
      </x:c>
      <x:c r="D545" s="8" t="n">
        <x:f>IF(MOD(A545,4)=0,1,0)</x:f>
        <x:v>0</x:v>
      </x:c>
      <x:c r="E545" s="8" t="n">
        <x:f>IF(AND(F544&lt;=9,AS544&gt;=AR544),1,0)</x:f>
        <x:v>0</x:v>
      </x:c>
      <x:c r="F545" s="8" t="n">
        <x:f>MIN(10,F544+E545)</x:f>
        <x:v>8</x:v>
      </x:c>
      <x:c r="G545" s="8" t="n">
        <x:f>MIN(F545,9)+1</x:f>
        <x:v>9</x:v>
      </x:c>
      <x:c r="H545" s="8" t="n">
        <x:f>IF(F545&lt;=9,1,0)</x:f>
        <x:v>1</x:v>
      </x:c>
      <x:c r="I545" s="9" t="n">
        <x:f>MIN(10,F544+IF(AR544&gt;0,MIN(1,AS544/AR544),1))</x:f>
        <x:v>8.274226995212393</x:v>
      </x:c>
      <x:c r="J545" s="32" t="n">
        <x:f>INDEX(tun_FoodCap,G545)*Arch_FoodCap*EXP(tun_CapsByProject*SUMPRODUCT((Cap_Point&lt;=I545)*(Cap_Kind="Food")*Cap_Ln))</x:f>
        <x:v>6502.383572524903</x:v>
      </x:c>
      <x:c r="K545" s="32" t="n">
        <x:f>J545*MIN(1,tun_LeanBase*EXP(tun_CapsByProject*SUMPRODUCT((Cap_Point&lt;=I545)*(Cap_Kind="Lean")*Cap_Ln)))</x:f>
        <x:v>6502.383572524903</x:v>
      </x:c>
      <x:c r="L545" s="10" t="n">
        <x:f>INDEX(tun_HousingCap,G545)*EXP(tun_CapsByProject*SUMPRODUCT((Cap_Point&lt;=I545)*(Cap_Kind="Housing")*Cap_Ln))</x:f>
        <x:v>6581.714062749661</x:v>
      </x:c>
      <x:c r="M545" s="10" t="n">
        <x:f>INDEX(tun_GroupCap,G545)*tun_CohesionFactor*EXP(tun_CapsByProject*SUMPRODUCT((Cap_Point&lt;=I545)*(Cap_Kind="Group")*Cap_Ln))</x:f>
        <x:v>1000000.000000001</x:v>
      </x:c>
      <x:c r="N545" s="32" t="n">
        <x:f>MIN(J545,L545,M545)</x:f>
        <x:v>6502.383572524903</x:v>
      </x:c>
      <x:c r="O545" s="10" t="n">
        <x:f>AE544*N545</x:f>
        <x:v>58521.45215272412</x:v>
      </x:c>
      <x:c r="P545" s="9" t="n">
        <x:f>MIN(1,(AB544/(AE544*IF(tun_GroupInCrowding=1,N545,MIN(J545,L545))))^tun_CrowdingExp)</x:f>
        <x:v>0.21686306758692994</x:v>
      </x:c>
      <x:c r="Q545" s="9" t="n">
        <x:f>IF(D545=1,INDEX(tun_WinterMult,G545),1)</x:f>
        <x:v>1</x:v>
      </x:c>
      <x:c r="R545" s="9" t="n">
        <x:f>H545*Z544*tun_WomenShare*tun_BaseFertility*INDEX(tun_FertMult,G545)*Arch_Fertility*(1-P545)</x:f>
        <x:v>574.0913877234584</x:v>
      </x:c>
      <x:c r="S545" s="9" t="n">
        <x:f>H545*Y544*INDEX(tun_MortChild,G545)/4*Q545</x:f>
        <x:v>18.016457727214345</x:v>
      </x:c>
      <x:c r="T545" s="9" t="n">
        <x:f>H545*Z544*INDEX(tun_MortAdult,G545)*Arch_AdultMort/4*Q545</x:f>
        <x:v>15.379015812490234</x:v>
      </x:c>
      <x:c r="U545" s="9" t="n">
        <x:f>H545*AA544*INDEX(tun_MortElder,G545)/4*Q545</x:f>
        <x:v>72.93557706303267</x:v>
      </x:c>
      <x:c r="V545" s="9" t="n">
        <x:f>H545*MAX(0,AB544-O545)*tun_OvercapLoss</x:f>
        <x:v>0</x:v>
      </x:c>
      <x:c r="W545" s="9" t="n">
        <x:f>H545*Y544/(tun_ChildYears*4)</x:f>
        <x:v>285.97551947959283</x:v>
      </x:c>
      <x:c r="X545" s="9" t="n">
        <x:f>H545*Z544/(tun_AdultYears*4)</x:f>
        <x:v>165.36576142462616</x:v>
      </x:c>
      <x:c r="Y545" s="32" t="n">
        <x:f>Y544+R545-S545-W545-Y544*V545/AB544</x:f>
        <x:v>16284.72850137385</x:v>
      </x:c>
      <x:c r="Z545" s="32" t="n">
        <x:f>Z544+W545-X545-T545-Z544*V545/AB544</x:f>
        <x:v>20610.585158896123</x:v>
      </x:c>
      <x:c r="AA545" s="32" t="n">
        <x:f>AA544+X545-U545-AA544*V545/AB544</x:f>
        <x:v>8933.106192001916</x:v>
      </x:c>
      <x:c r="AB545" s="10" t="n">
        <x:f>Y545+Z545+AA545</x:f>
        <x:v>45828.419852271894</x:v>
      </x:c>
      <x:c r="AC545" s="8" t="n">
        <x:f>IF(AND(tun_WinterTrigger=1,D545=1,AB544/AE544&gt;=K545),1,0)</x:f>
        <x:v>0</x:v>
      </x:c>
      <x:c r="AD545" s="8" t="n">
        <x:f>H545*IF(AND(OR(AB544/AE544&gt;=tun_FissionTrigger*N545,AC545=1),AB544/AE544*tun_DaughterShare&gt;=tun_MinDaughter),MAX(1,ROUND(AE544*tun_FissionRate,0)),0)</x:f>
        <x:v>0</x:v>
      </x:c>
      <x:c r="AE545" s="8" t="n">
        <x:f>IF(H545=1,MAX(1,MIN(INDEX(tun_Smax,G545),AE544+AD545)),AE544)</x:f>
        <x:v>9</x:v>
      </x:c>
      <x:c r="AF545" s="8" t="n">
        <x:f>MAX(0,AE545-AE544)</x:f>
        <x:v>0</x:v>
      </x:c>
      <x:c r="AG545" s="9" t="str">
        <x:f>IF(AF545&gt;0,B545,"")</x:f>
      </x:c>
      <x:c r="AH545" s="9" t="n">
        <x:f>IF(F545&gt;=1,1,(1+tun_LowTiesShare*(AE545-1))/AE545)</x:f>
        <x:v>1</x:v>
      </x:c>
      <x:c r="AI545" s="32" t="n">
        <x:f>(Z545+tun_ElderCommons*INDEX(LM_Elder,G545)*AA545)*AH545</x:f>
        <x:v>54109.73337890331</x:v>
      </x:c>
      <x:c r="AJ545" s="32" t="n">
        <x:f>H545*tun_CommonsCoef*AI545^tun_CommonsExp*INDEX(LM_Commons,G545)</x:f>
        <x:v>152677.9127520734</x:v>
      </x:c>
      <x:c r="AK545" s="32" t="n">
        <x:f>H545*tun_RoleScale*Arch_Roles*(AE545*(INDEX(tun_ElderRolePerSett,G545)*tun_OutElder*INDEX(LM_Elder,G545)+INDEX(tun_ShamanPerSett,G545)*tun_OutShaman)+Z545*(INDEX(tun_PriestShare,G545)*tun_OutPriest+INDEX(tun_ScribeShare,G545)*tun_OutScribe*INDEX(LM_Scribe,G545)+INDEX(tun_ScholarShare,G545)*tun_OutScholar*INDEX(LM_Scholar,G545)+INDEX(tun_ResearcherShare,G545)*tun_OutResearcher*INDEX(LM_Researcher,G545)))</x:f>
        <x:v>42824.66235969654</x:v>
      </x:c>
      <x:c r="AL545" s="32" t="n">
        <x:f>H545*tun_RoleScale*Arch_Roles*AE545*INDEX(tun_MonasteryPerSett,G545)*tun_OutMonastery*INDEX(LM_Monastery,G545)</x:f>
        <x:v>31.680000000000003</x:v>
      </x:c>
      <x:c r="AM545" s="32" t="n">
        <x:f>(AJ545+AK545+AL545)/4*INDEX(LM_All,G545)*INDEX(tun_Boon,G545)*Arch_Insight</x:f>
        <x:v>140880.76389350632</x:v>
      </x:c>
      <x:c r="AN545" s="32" t="n">
        <x:f>H545*(tun_KHPerAdult*Z545+tun_KHOfCommons*AJ545/4*INDEX(LM_All,G545))*tun_KHUsable*Arch_KH</x:f>
        <x:v>22119.750391945112</x:v>
      </x:c>
      <x:c r="AO545" s="32" t="n">
        <x:f>MIN(AP544+AN545,AM545*tun_KHMaxRatio)</x:f>
        <x:v>22119.750391945112</x:v>
      </x:c>
      <x:c r="AP545" s="32" t="n">
        <x:f>AP544+AN545-AO545</x:f>
        <x:v>0</x:v>
      </x:c>
      <x:c r="AQ545" s="32" t="n">
        <x:f>AM545+AO545</x:f>
        <x:v>163000.51428545144</x:v>
      </x:c>
      <x:c r="AR545" s="10" t="n">
        <x:f>IF(H545=1,INDEX(tun_Req,G545),0)</x:f>
        <x:v>24497531.045680594</x:v>
      </x:c>
      <x:c r="AS545" s="32" t="n">
        <x:f>IF(H545=1,IF(E545=1,AS544-AR544,AS544)+AQ545,0)</x:f>
        <x:v>6880884.843064767</x:v>
      </x:c>
      <x:c r="AT545" s="11" t="n">
        <x:f>IF(AR545&gt;0,MIN(1,AS545/AR545),1)</x:f>
        <x:v>0.28088074795104734</x:v>
      </x:c>
      <x:c r="AU545" s="10" t="n">
        <x:f>AB545/INDEX(tun_RepScale,G545)</x:f>
        <x:v>183.31367940908757</x:v>
      </x:c>
      <x:c r="AV545" s="32" t="n">
        <x:f>AM545*60/tun_SeasonSeconds</x:f>
        <x:v>563523.0555740253</x:v>
      </x:c>
    </x:row>
    <x:row r="546">
      <x:c r="A546" s="8" t="n">
        <x:f>A545+1</x:f>
        <x:v>543</x:v>
      </x:c>
      <x:c r="B546" s="9" t="n">
        <x:f>A546*tun_SeasonSeconds/60</x:f>
        <x:v>135.75</x:v>
      </x:c>
      <x:c r="C546" s="9" t="n">
        <x:f>A546/4</x:f>
        <x:v>135.75</x:v>
      </x:c>
      <x:c r="D546" s="8" t="n">
        <x:f>IF(MOD(A546,4)=0,1,0)</x:f>
        <x:v>0</x:v>
      </x:c>
      <x:c r="E546" s="8" t="n">
        <x:f>IF(AND(F545&lt;=9,AS545&gt;=AR545),1,0)</x:f>
        <x:v>0</x:v>
      </x:c>
      <x:c r="F546" s="8" t="n">
        <x:f>MIN(10,F545+E546)</x:f>
        <x:v>8</x:v>
      </x:c>
      <x:c r="G546" s="8" t="n">
        <x:f>MIN(F546,9)+1</x:f>
        <x:v>9</x:v>
      </x:c>
      <x:c r="H546" s="8" t="n">
        <x:f>IF(F546&lt;=9,1,0)</x:f>
        <x:v>1</x:v>
      </x:c>
      <x:c r="I546" s="9" t="n">
        <x:f>MIN(10,F545+IF(AR545&gt;0,MIN(1,AS545/AR545),1))</x:f>
        <x:v>8.280880747951047</x:v>
      </x:c>
      <x:c r="J546" s="32" t="n">
        <x:f>INDEX(tun_FoodCap,G546)*Arch_FoodCap*EXP(tun_CapsByProject*SUMPRODUCT((Cap_Point&lt;=I546)*(Cap_Kind="Food")*Cap_Ln))</x:f>
        <x:v>6502.383572524903</x:v>
      </x:c>
      <x:c r="K546" s="32" t="n">
        <x:f>J546*MIN(1,tun_LeanBase*EXP(tun_CapsByProject*SUMPRODUCT((Cap_Point&lt;=I546)*(Cap_Kind="Lean")*Cap_Ln)))</x:f>
        <x:v>6502.383572524903</x:v>
      </x:c>
      <x:c r="L546" s="10" t="n">
        <x:f>INDEX(tun_HousingCap,G546)*EXP(tun_CapsByProject*SUMPRODUCT((Cap_Point&lt;=I546)*(Cap_Kind="Housing")*Cap_Ln))</x:f>
        <x:v>6581.714062749661</x:v>
      </x:c>
      <x:c r="M546" s="10" t="n">
        <x:f>INDEX(tun_GroupCap,G546)*tun_CohesionFactor*EXP(tun_CapsByProject*SUMPRODUCT((Cap_Point&lt;=I546)*(Cap_Kind="Group")*Cap_Ln))</x:f>
        <x:v>1000000.000000001</x:v>
      </x:c>
      <x:c r="N546" s="32" t="n">
        <x:f>MIN(J546,L546,M546)</x:f>
        <x:v>6502.383572524903</x:v>
      </x:c>
      <x:c r="O546" s="10" t="n">
        <x:f>AE545*N546</x:f>
        <x:v>58521.45215272412</x:v>
      </x:c>
      <x:c r="P546" s="9" t="n">
        <x:f>MIN(1,(AB545/(AE545*IF(tun_GroupInCrowding=1,N546,MIN(J546,L546))))^tun_CrowdingExp)</x:f>
        <x:v>0.2306315586291587</x:v>
      </x:c>
      <x:c r="Q546" s="9" t="n">
        <x:f>IF(D546=1,INDEX(tun_WinterMult,G546),1)</x:f>
        <x:v>1</x:v>
      </x:c>
      <x:c r="R546" s="9" t="n">
        <x:f>H546*Z545*tun_WomenShare*tun_BaseFertility*INDEX(tun_FertMult,G546)*Arch_Fertility*(1-P546)</x:f>
        <x:v>566.8925326150124</x:v>
      </x:c>
      <x:c r="S546" s="9" t="n">
        <x:f>H546*Y545*INDEX(tun_MortChild,G546)/4*Q546</x:f>
        <x:v>18.32031956404558</x:v>
      </x:c>
      <x:c r="T546" s="9" t="n">
        <x:f>H546*Z545*INDEX(tun_MortAdult,G546)*Arch_AdultMort/4*Q546</x:f>
        <x:v>15.457938869172093</x:v>
      </x:c>
      <x:c r="U546" s="9" t="n">
        <x:f>H546*AA545*INDEX(tun_MortElder,G546)/4*Q546</x:f>
        <x:v>73.69812608401581</x:v>
      </x:c>
      <x:c r="V546" s="9" t="n">
        <x:f>H546*MAX(0,AB545-O546)*tun_OvercapLoss</x:f>
        <x:v>0</x:v>
      </x:c>
      <x:c r="W546" s="9" t="n">
        <x:f>H546*Y545/(tun_ChildYears*4)</x:f>
        <x:v>290.79872323881875</x:v>
      </x:c>
      <x:c r="X546" s="9" t="n">
        <x:f>H546*Z545/(tun_AdultYears*4)</x:f>
        <x:v>166.21439644271067</x:v>
      </x:c>
      <x:c r="Y546" s="32" t="n">
        <x:f>Y545+R546-S546-W546-Y545*V546/AB545</x:f>
        <x:v>16542.501991185996</x:v>
      </x:c>
      <x:c r="Z546" s="32" t="n">
        <x:f>Z545+W546-X546-T546-Z545*V546/AB545</x:f>
        <x:v>20719.71154682306</x:v>
      </x:c>
      <x:c r="AA546" s="32" t="n">
        <x:f>AA545+X546-U546-AA545*V546/AB545</x:f>
        <x:v>9025.62246236061</x:v>
      </x:c>
      <x:c r="AB546" s="10" t="n">
        <x:f>Y546+Z546+AA546</x:f>
        <x:v>46287.836000369665</x:v>
      </x:c>
      <x:c r="AC546" s="8" t="n">
        <x:f>IF(AND(tun_WinterTrigger=1,D546=1,AB545/AE545&gt;=K546),1,0)</x:f>
        <x:v>0</x:v>
      </x:c>
      <x:c r="AD546" s="8" t="n">
        <x:f>H546*IF(AND(OR(AB545/AE545&gt;=tun_FissionTrigger*N546,AC546=1),AB545/AE545*tun_DaughterShare&gt;=tun_MinDaughter),MAX(1,ROUND(AE545*tun_FissionRate,0)),0)</x:f>
        <x:v>0</x:v>
      </x:c>
      <x:c r="AE546" s="8" t="n">
        <x:f>IF(H546=1,MAX(1,MIN(INDEX(tun_Smax,G546),AE545+AD546)),AE545)</x:f>
        <x:v>9</x:v>
      </x:c>
      <x:c r="AF546" s="8" t="n">
        <x:f>MAX(0,AE546-AE545)</x:f>
        <x:v>0</x:v>
      </x:c>
      <x:c r="AG546" s="9" t="str">
        <x:f>IF(AF546&gt;0,B546,"")</x:f>
      </x:c>
      <x:c r="AH546" s="9" t="n">
        <x:f>IF(F546&gt;=1,1,(1+tun_LowTiesShare*(AE546-1))/AE546)</x:f>
        <x:v>1</x:v>
      </x:c>
      <x:c r="AI546" s="32" t="n">
        <x:f>(Z546+tun_ElderCommons*INDEX(LM_Elder,G546)*AA546)*AH546</x:f>
        <x:v>54565.795780675355</x:v>
      </x:c>
      <x:c r="AJ546" s="32" t="n">
        <x:f>H546*tun_CommonsCoef*AI546^tun_CommonsExp*INDEX(LM_Commons,G546)</x:f>
        <x:v>153771.03889198691</x:v>
      </x:c>
      <x:c r="AK546" s="32" t="n">
        <x:f>H546*tun_RoleScale*Arch_Roles*(AE546*(INDEX(tun_ElderRolePerSett,G546)*tun_OutElder*INDEX(LM_Elder,G546)+INDEX(tun_ShamanPerSett,G546)*tun_OutShaman)+Z546*(INDEX(tun_PriestShare,G546)*tun_OutPriest+INDEX(tun_ScribeShare,G546)*tun_OutScribe*INDEX(LM_Scribe,G546)+INDEX(tun_ScholarShare,G546)*tun_OutScholar*INDEX(LM_Scholar,G546)+INDEX(tun_ResearcherShare,G546)*tun_OutResearcher*INDEX(LM_Researcher,G546)))</x:f>
        <x:v>43050.11850125748</x:v>
      </x:c>
      <x:c r="AL546" s="32" t="n">
        <x:f>H546*tun_RoleScale*Arch_Roles*AE546*INDEX(tun_MonasteryPerSett,G546)*tun_OutMonastery*INDEX(LM_Monastery,G546)</x:f>
        <x:v>31.680000000000003</x:v>
      </x:c>
      <x:c r="AM546" s="32" t="n">
        <x:f>(AJ546+AK546+AL546)/4*INDEX(LM_All,G546)*INDEX(tun_Boon,G546)*Arch_Insight</x:f>
        <x:v>141830.79118649586</x:v>
      </x:c>
      <x:c r="AN546" s="32" t="n">
        <x:f>H546*(tun_KHPerAdult*Z546+tun_KHOfCommons*AJ546/4*INDEX(LM_All,G546))*tun_KHUsable*Arch_KH</x:f>
        <x:v>22278.120891816052</x:v>
      </x:c>
      <x:c r="AO546" s="32" t="n">
        <x:f>MIN(AP545+AN546,AM546*tun_KHMaxRatio)</x:f>
        <x:v>22278.120891816052</x:v>
      </x:c>
      <x:c r="AP546" s="32" t="n">
        <x:f>AP545+AN546-AO546</x:f>
        <x:v>0</x:v>
      </x:c>
      <x:c r="AQ546" s="32" t="n">
        <x:f>AM546+AO546</x:f>
        <x:v>164108.9120783119</x:v>
      </x:c>
      <x:c r="AR546" s="10" t="n">
        <x:f>IF(H546=1,INDEX(tun_Req,G546),0)</x:f>
        <x:v>24497531.045680594</x:v>
      </x:c>
      <x:c r="AS546" s="32" t="n">
        <x:f>IF(H546=1,IF(E546=1,AS545-AR545,AS545)+AQ546,0)</x:f>
        <x:v>7044993.755143079</x:v>
      </x:c>
      <x:c r="AT546" s="11" t="n">
        <x:f>IF(AR546&gt;0,MIN(1,AS546/AR546),1)</x:f>
        <x:v>0.2875797459754726</x:v>
      </x:c>
      <x:c r="AU546" s="10" t="n">
        <x:f>AB546/INDEX(tun_RepScale,G546)</x:f>
        <x:v>185.15134400147866</x:v>
      </x:c>
      <x:c r="AV546" s="32" t="n">
        <x:f>AM546*60/tun_SeasonSeconds</x:f>
        <x:v>567323.1647459834</x:v>
      </x:c>
    </x:row>
    <x:row r="547">
      <x:c r="A547" s="8" t="n">
        <x:f>A546+1</x:f>
        <x:v>544</x:v>
      </x:c>
      <x:c r="B547" s="9" t="n">
        <x:f>A547*tun_SeasonSeconds/60</x:f>
        <x:v>136</x:v>
      </x:c>
      <x:c r="C547" s="9" t="n">
        <x:f>A547/4</x:f>
        <x:v>136</x:v>
      </x:c>
      <x:c r="D547" s="8" t="n">
        <x:f>IF(MOD(A547,4)=0,1,0)</x:f>
        <x:v>1</x:v>
      </x:c>
      <x:c r="E547" s="8" t="n">
        <x:f>IF(AND(F546&lt;=9,AS546&gt;=AR546),1,0)</x:f>
        <x:v>0</x:v>
      </x:c>
      <x:c r="F547" s="8" t="n">
        <x:f>MIN(10,F546+E547)</x:f>
        <x:v>8</x:v>
      </x:c>
      <x:c r="G547" s="8" t="n">
        <x:f>MIN(F547,9)+1</x:f>
        <x:v>9</x:v>
      </x:c>
      <x:c r="H547" s="8" t="n">
        <x:f>IF(F547&lt;=9,1,0)</x:f>
        <x:v>1</x:v>
      </x:c>
      <x:c r="I547" s="9" t="n">
        <x:f>MIN(10,F546+IF(AR546&gt;0,MIN(1,AS546/AR546),1))</x:f>
        <x:v>8.287579745975473</x:v>
      </x:c>
      <x:c r="J547" s="32" t="n">
        <x:f>INDEX(tun_FoodCap,G547)*Arch_FoodCap*EXP(tun_CapsByProject*SUMPRODUCT((Cap_Point&lt;=I547)*(Cap_Kind="Food")*Cap_Ln))</x:f>
        <x:v>6502.383572524903</x:v>
      </x:c>
      <x:c r="K547" s="32" t="n">
        <x:f>J547*MIN(1,tun_LeanBase*EXP(tun_CapsByProject*SUMPRODUCT((Cap_Point&lt;=I547)*(Cap_Kind="Lean")*Cap_Ln)))</x:f>
        <x:v>6502.383572524903</x:v>
      </x:c>
      <x:c r="L547" s="10" t="n">
        <x:f>INDEX(tun_HousingCap,G547)*EXP(tun_CapsByProject*SUMPRODUCT((Cap_Point&lt;=I547)*(Cap_Kind="Housing")*Cap_Ln))</x:f>
        <x:v>6581.714062749661</x:v>
      </x:c>
      <x:c r="M547" s="10" t="n">
        <x:f>INDEX(tun_GroupCap,G547)*tun_CohesionFactor*EXP(tun_CapsByProject*SUMPRODUCT((Cap_Point&lt;=I547)*(Cap_Kind="Group")*Cap_Ln))</x:f>
        <x:v>1000000.000000001</x:v>
      </x:c>
      <x:c r="N547" s="32" t="n">
        <x:f>MIN(J547,L547,M547)</x:f>
        <x:v>6502.383572524903</x:v>
      </x:c>
      <x:c r="O547" s="10" t="n">
        <x:f>AE546*N547</x:f>
        <x:v>58521.45215272412</x:v>
      </x:c>
      <x:c r="P547" s="9" t="n">
        <x:f>MIN(1,(AB546/(AE546*IF(tun_GroupInCrowding=1,N547,MIN(J547,L547))))^tun_CrowdingExp)</x:f>
        <x:v>0.24485597175225565</x:v>
      </x:c>
      <x:c r="Q547" s="9" t="n">
        <x:f>IF(D547=1,INDEX(tun_WinterMult,G547),1)</x:f>
        <x:v>1.05</x:v>
      </x:c>
      <x:c r="R547" s="9" t="n">
        <x:f>H547*Z546*tun_WomenShare*tun_BaseFertility*INDEX(tun_FertMult,G547)*Arch_Fertility*(1-P547)</x:f>
        <x:v>559.3576002871738</x:v>
      </x:c>
      <x:c r="S547" s="9" t="n">
        <x:f>H547*Y546*INDEX(tun_MortChild,G547)/4*Q547</x:f>
        <x:v>19.54083047708846</x:v>
      </x:c>
      <x:c r="T547" s="9" t="n">
        <x:f>H547*Z546*INDEX(tun_MortAdult,G547)*Arch_AdultMort/4*Q547</x:f>
        <x:v>16.31677284312316</x:v>
      </x:c>
      <x:c r="U547" s="9" t="n">
        <x:f>H547*AA546*INDEX(tun_MortElder,G547)/4*Q547</x:f>
        <x:v>78.18445458019879</x:v>
      </x:c>
      <x:c r="V547" s="9" t="n">
        <x:f>H547*MAX(0,AB546-O547)*tun_OvercapLoss</x:f>
        <x:v>0</x:v>
      </x:c>
      <x:c r="W547" s="9" t="n">
        <x:f>H547*Y546/(tun_ChildYears*4)</x:f>
        <x:v>295.4018212711785</x:v>
      </x:c>
      <x:c r="X547" s="9" t="n">
        <x:f>H547*Z546/(tun_AdultYears*4)</x:f>
        <x:v>167.09444795825047</x:v>
      </x:c>
      <x:c r="Y547" s="32" t="n">
        <x:f>Y546+R547-S547-W547-Y546*V547/AB546</x:f>
        <x:v>16786.916939724902</x:v>
      </x:c>
      <x:c r="Z547" s="32" t="n">
        <x:f>Z546+W547-X547-T547-Z546*V547/AB546</x:f>
        <x:v>20831.702147292865</x:v>
      </x:c>
      <x:c r="AA547" s="32" t="n">
        <x:f>AA546+X547-U547-AA546*V547/AB546</x:f>
        <x:v>9114.532455738661</x:v>
      </x:c>
      <x:c r="AB547" s="10" t="n">
        <x:f>Y547+Z547+AA547</x:f>
        <x:v>46733.15154275643</x:v>
      </x:c>
      <x:c r="AC547" s="8" t="n">
        <x:f>IF(AND(tun_WinterTrigger=1,D547=1,AB546/AE546&gt;=K547),1,0)</x:f>
        <x:v>0</x:v>
      </x:c>
      <x:c r="AD547" s="8" t="n">
        <x:f>H547*IF(AND(OR(AB546/AE546&gt;=tun_FissionTrigger*N547,AC547=1),AB546/AE546*tun_DaughterShare&gt;=tun_MinDaughter),MAX(1,ROUND(AE546*tun_FissionRate,0)),0)</x:f>
        <x:v>0</x:v>
      </x:c>
      <x:c r="AE547" s="8" t="n">
        <x:f>IF(H547=1,MAX(1,MIN(INDEX(tun_Smax,G547),AE546+AD547)),AE546)</x:f>
        <x:v>9</x:v>
      </x:c>
      <x:c r="AF547" s="8" t="n">
        <x:f>MAX(0,AE547-AE546)</x:f>
        <x:v>0</x:v>
      </x:c>
      <x:c r="AG547" s="9" t="str">
        <x:f>IF(AF547&gt;0,B547,"")</x:f>
      </x:c>
      <x:c r="AH547" s="9" t="n">
        <x:f>IF(F547&gt;=1,1,(1+tun_LowTiesShare*(AE547-1))/AE547)</x:f>
        <x:v>1</x:v>
      </x:c>
      <x:c r="AI547" s="32" t="n">
        <x:f>(Z547+tun_ElderCommons*INDEX(LM_Elder,G547)*AA547)*AH547</x:f>
        <x:v>55011.19885631284</x:v>
      </x:c>
      <x:c r="AJ547" s="32" t="n">
        <x:f>H547*tun_CommonsCoef*AI547^tun_CommonsExp*INDEX(LM_Commons,G547)</x:f>
        <x:v>154837.29385212593</x:v>
      </x:c>
      <x:c r="AK547" s="32" t="n">
        <x:f>H547*tun_RoleScale*Arch_Roles*(AE547*(INDEX(tun_ElderRolePerSett,G547)*tun_OutElder*INDEX(LM_Elder,G547)+INDEX(tun_ShamanPerSett,G547)*tun_OutShaman)+Z547*(INDEX(tun_PriestShare,G547)*tun_OutPriest+INDEX(tun_ScribeShare,G547)*tun_OutScribe*INDEX(LM_Scribe,G547)+INDEX(tun_ScholarShare,G547)*tun_OutScholar*INDEX(LM_Scholar,G547)+INDEX(tun_ResearcherShare,G547)*tun_OutResearcher*INDEX(LM_Researcher,G547)))</x:f>
        <x:v>43281.49213281139</x:v>
      </x:c>
      <x:c r="AL547" s="32" t="n">
        <x:f>H547*tun_RoleScale*Arch_Roles*AE547*INDEX(tun_MonasteryPerSett,G547)*tun_OutMonastery*INDEX(LM_Monastery,G547)</x:f>
        <x:v>31.680000000000003</x:v>
      </x:c>
      <x:c r="AM547" s="32" t="n">
        <x:f>(AJ547+AK547+AL547)/4*INDEX(LM_All,G547)*INDEX(tun_Boon,G547)*Arch_Insight</x:f>
        <x:v>142765.72152462642</x:v>
      </x:c>
      <x:c r="AN547" s="32" t="n">
        <x:f>H547*(tun_KHPerAdult*Z547+tun_KHOfCommons*AJ547/4*INDEX(LM_All,G547))*tun_KHUsable*Arch_KH</x:f>
        <x:v>22432.598334868</x:v>
      </x:c>
      <x:c r="AO547" s="32" t="n">
        <x:f>MIN(AP546+AN547,AM547*tun_KHMaxRatio)</x:f>
        <x:v>22432.598334868</x:v>
      </x:c>
      <x:c r="AP547" s="32" t="n">
        <x:f>AP546+AN547-AO547</x:f>
        <x:v>0</x:v>
      </x:c>
      <x:c r="AQ547" s="32" t="n">
        <x:f>AM547+AO547</x:f>
        <x:v>165198.31985949443</x:v>
      </x:c>
      <x:c r="AR547" s="10" t="n">
        <x:f>IF(H547=1,INDEX(tun_Req,G547),0)</x:f>
        <x:v>24497531.045680594</x:v>
      </x:c>
      <x:c r="AS547" s="32" t="n">
        <x:f>IF(H547=1,IF(E547=1,AS546-AR546,AS546)+AQ547,0)</x:f>
        <x:v>7210192.075002573</x:v>
      </x:c>
      <x:c r="AT547" s="11" t="n">
        <x:f>IF(AR547&gt;0,MIN(1,AS547/AR547),1)</x:f>
        <x:v>0.29432321410503426</x:v>
      </x:c>
      <x:c r="AU547" s="10" t="n">
        <x:f>AB547/INDEX(tun_RepScale,G547)</x:f>
        <x:v>186.93260617102572</x:v>
      </x:c>
      <x:c r="AV547" s="32" t="n">
        <x:f>AM547*60/tun_SeasonSeconds</x:f>
        <x:v>571062.8860985057</x:v>
      </x:c>
    </x:row>
    <x:row r="548">
      <x:c r="A548" s="8" t="n">
        <x:f>A547+1</x:f>
        <x:v>545</x:v>
      </x:c>
      <x:c r="B548" s="9" t="n">
        <x:f>A548*tun_SeasonSeconds/60</x:f>
        <x:v>136.25</x:v>
      </x:c>
      <x:c r="C548" s="9" t="n">
        <x:f>A548/4</x:f>
        <x:v>136.25</x:v>
      </x:c>
      <x:c r="D548" s="8" t="n">
        <x:f>IF(MOD(A548,4)=0,1,0)</x:f>
        <x:v>0</x:v>
      </x:c>
      <x:c r="E548" s="8" t="n">
        <x:f>IF(AND(F547&lt;=9,AS547&gt;=AR547),1,0)</x:f>
        <x:v>0</x:v>
      </x:c>
      <x:c r="F548" s="8" t="n">
        <x:f>MIN(10,F547+E548)</x:f>
        <x:v>8</x:v>
      </x:c>
      <x:c r="G548" s="8" t="n">
        <x:f>MIN(F548,9)+1</x:f>
        <x:v>9</x:v>
      </x:c>
      <x:c r="H548" s="8" t="n">
        <x:f>IF(F548&lt;=9,1,0)</x:f>
        <x:v>1</x:v>
      </x:c>
      <x:c r="I548" s="9" t="n">
        <x:f>MIN(10,F547+IF(AR547&gt;0,MIN(1,AS547/AR547),1))</x:f>
        <x:v>8.294323214105034</x:v>
      </x:c>
      <x:c r="J548" s="32" t="n">
        <x:f>INDEX(tun_FoodCap,G548)*Arch_FoodCap*EXP(tun_CapsByProject*SUMPRODUCT((Cap_Point&lt;=I548)*(Cap_Kind="Food")*Cap_Ln))</x:f>
        <x:v>6502.383572524903</x:v>
      </x:c>
      <x:c r="K548" s="32" t="n">
        <x:f>J548*MIN(1,tun_LeanBase*EXP(tun_CapsByProject*SUMPRODUCT((Cap_Point&lt;=I548)*(Cap_Kind="Lean")*Cap_Ln)))</x:f>
        <x:v>6502.383572524903</x:v>
      </x:c>
      <x:c r="L548" s="10" t="n">
        <x:f>INDEX(tun_HousingCap,G548)*EXP(tun_CapsByProject*SUMPRODUCT((Cap_Point&lt;=I548)*(Cap_Kind="Housing")*Cap_Ln))</x:f>
        <x:v>6581.714062749661</x:v>
      </x:c>
      <x:c r="M548" s="10" t="n">
        <x:f>INDEX(tun_GroupCap,G548)*tun_CohesionFactor*EXP(tun_CapsByProject*SUMPRODUCT((Cap_Point&lt;=I548)*(Cap_Kind="Group")*Cap_Ln))</x:f>
        <x:v>1000000.000000001</x:v>
      </x:c>
      <x:c r="N548" s="32" t="n">
        <x:f>MIN(J548,L548,M548)</x:f>
        <x:v>6502.383572524903</x:v>
      </x:c>
      <x:c r="O548" s="10" t="n">
        <x:f>AE547*N548</x:f>
        <x:v>58521.45215272412</x:v>
      </x:c>
      <x:c r="P548" s="9" t="n">
        <x:f>MIN(1,(AB547/(AE547*IF(tun_GroupInCrowding=1,N548,MIN(J548,L548))))^tun_CrowdingExp)</x:f>
        <x:v>0.2593342348775809</x:v>
      </x:c>
      <x:c r="Q548" s="9" t="n">
        <x:f>IF(D548=1,INDEX(tun_WinterMult,G548),1)</x:f>
        <x:v>1</x:v>
      </x:c>
      <x:c r="R548" s="9" t="n">
        <x:f>H548*Z547*tun_WomenShare*tun_BaseFertility*INDEX(tun_FertMult,G548)*Arch_Fertility*(1-P548)</x:f>
        <x:v>551.5984977977407</x:v>
      </x:c>
      <x:c r="S548" s="9" t="n">
        <x:f>H548*Y547*INDEX(tun_MortChild,G548)/4*Q548</x:f>
        <x:v>18.885281557190513</x:v>
      </x:c>
      <x:c r="T548" s="9" t="n">
        <x:f>H548*Z547*INDEX(tun_MortAdult,G548)*Arch_AdultMort/4*Q548</x:f>
        <x:v>15.62377661046965</x:v>
      </x:c>
      <x:c r="U548" s="9" t="n">
        <x:f>H548*AA547*INDEX(tun_MortElder,G548)/4*Q548</x:f>
        <x:v>75.19489275984395</x:v>
      </x:c>
      <x:c r="V548" s="9" t="n">
        <x:f>H548*MAX(0,AB547-O548)*tun_OvercapLoss</x:f>
        <x:v>0</x:v>
      </x:c>
      <x:c r="W548" s="9" t="n">
        <x:f>H548*Y547/(tun_ChildYears*4)</x:f>
        <x:v>299.766373923659</x:v>
      </x:c>
      <x:c r="X548" s="9" t="n">
        <x:f>H548*Z547/(tun_AdultYears*4)</x:f>
        <x:v>167.99759796203924</x:v>
      </x:c>
      <x:c r="Y548" s="32" t="n">
        <x:f>Y547+R548-S548-W548-Y547*V548/AB547</x:f>
        <x:v>17019.863782041793</x:v>
      </x:c>
      <x:c r="Z548" s="32" t="n">
        <x:f>Z547+W548-X548-T548-Z547*V548/AB547</x:f>
        <x:v>20947.847146644013</x:v>
      </x:c>
      <x:c r="AA548" s="32" t="n">
        <x:f>AA547+X548-U548-AA547*V548/AB547</x:f>
        <x:v>9207.335160940856</x:v>
      </x:c>
      <x:c r="AB548" s="10" t="n">
        <x:f>Y548+Z548+AA548</x:f>
        <x:v>47175.04608962666</x:v>
      </x:c>
      <x:c r="AC548" s="8" t="n">
        <x:f>IF(AND(tun_WinterTrigger=1,D548=1,AB547/AE547&gt;=K548),1,0)</x:f>
        <x:v>0</x:v>
      </x:c>
      <x:c r="AD548" s="8" t="n">
        <x:f>H548*IF(AND(OR(AB547/AE547&gt;=tun_FissionTrigger*N548,AC548=1),AB547/AE547*tun_DaughterShare&gt;=tun_MinDaughter),MAX(1,ROUND(AE547*tun_FissionRate,0)),0)</x:f>
        <x:v>0</x:v>
      </x:c>
      <x:c r="AE548" s="8" t="n">
        <x:f>IF(H548=1,MAX(1,MIN(INDEX(tun_Smax,G548),AE547+AD548)),AE547)</x:f>
        <x:v>9</x:v>
      </x:c>
      <x:c r="AF548" s="8" t="n">
        <x:f>MAX(0,AE548-AE547)</x:f>
        <x:v>0</x:v>
      </x:c>
      <x:c r="AG548" s="9" t="str">
        <x:f>IF(AF548&gt;0,B548,"")</x:f>
      </x:c>
      <x:c r="AH548" s="9" t="n">
        <x:f>IF(F548&gt;=1,1,(1+tun_LowTiesShare*(AE548-1))/AE548)</x:f>
        <x:v>1</x:v>
      </x:c>
      <x:c r="AI548" s="32" t="n">
        <x:f>(Z548+tun_ElderCommons*INDEX(LM_Elder,G548)*AA548)*AH548</x:f>
        <x:v>55475.35400017223</x:v>
      </x:c>
      <x:c r="AJ548" s="32" t="n">
        <x:f>H548*tun_CommonsCoef*AI548^tun_CommonsExp*INDEX(LM_Commons,G548)</x:f>
        <x:v>155947.06269785677</x:v>
      </x:c>
      <x:c r="AK548" s="32" t="n">
        <x:f>H548*tun_RoleScale*Arch_Roles*(AE548*(INDEX(tun_ElderRolePerSett,G548)*tun_OutElder*INDEX(LM_Elder,G548)+INDEX(tun_ShamanPerSett,G548)*tun_OutShaman)+Z548*(INDEX(tun_PriestShare,G548)*tun_OutPriest+INDEX(tun_ScribeShare,G548)*tun_OutScribe*INDEX(LM_Scribe,G548)+INDEX(tun_ScholarShare,G548)*tun_OutScholar*INDEX(LM_Scholar,G548)+INDEX(tun_ResearcherShare,G548)*tun_OutResearcher*INDEX(LM_Researcher,G548)))</x:f>
        <x:v>43521.44879144139</x:v>
      </x:c>
      <x:c r="AL548" s="32" t="n">
        <x:f>H548*tun_RoleScale*Arch_Roles*AE548*INDEX(tun_MonasteryPerSett,G548)*tun_OutMonastery*INDEX(LM_Monastery,G548)</x:f>
        <x:v>31.680000000000003</x:v>
      </x:c>
      <x:c r="AM548" s="32" t="n">
        <x:f>(AJ548+AK548+AL548)/4*INDEX(LM_All,G548)*INDEX(tun_Boon,G548)*Arch_Insight</x:f>
        <x:v>143738.18724421205</x:v>
      </x:c>
      <x:c r="AN548" s="32" t="n">
        <x:f>H548*(tun_KHPerAdult*Z548+tun_KHOfCommons*AJ548/4*INDEX(LM_All,G548))*tun_KHUsable*Arch_KH</x:f>
        <x:v>22593.38000536532</x:v>
      </x:c>
      <x:c r="AO548" s="32" t="n">
        <x:f>MIN(AP547+AN548,AM548*tun_KHMaxRatio)</x:f>
        <x:v>22593.38000536532</x:v>
      </x:c>
      <x:c r="AP548" s="32" t="n">
        <x:f>AP547+AN548-AO548</x:f>
        <x:v>0</x:v>
      </x:c>
      <x:c r="AQ548" s="32" t="n">
        <x:f>AM548+AO548</x:f>
        <x:v>166331.56724957738</x:v>
      </x:c>
      <x:c r="AR548" s="10" t="n">
        <x:f>IF(H548=1,INDEX(tun_Req,G548),0)</x:f>
        <x:v>24497531.045680594</x:v>
      </x:c>
      <x:c r="AS548" s="32" t="n">
        <x:f>IF(H548=1,IF(E548=1,AS547-AR547,AS547)+AQ548,0)</x:f>
        <x:v>7376523.642252151</x:v>
      </x:c>
      <x:c r="AT548" s="11" t="n">
        <x:f>IF(AR548&gt;0,MIN(1,AS548/AR548),1)</x:f>
        <x:v>0.30111294189186383</x:v>
      </x:c>
      <x:c r="AU548" s="10" t="n">
        <x:f>AB548/INDEX(tun_RepScale,G548)</x:f>
        <x:v>188.70018435850665</x:v>
      </x:c>
      <x:c r="AV548" s="32" t="n">
        <x:f>AM548*60/tun_SeasonSeconds</x:f>
        <x:v>574952.7489768482</x:v>
      </x:c>
    </x:row>
    <x:row r="549">
      <x:c r="A549" s="8" t="n">
        <x:f>A548+1</x:f>
        <x:v>546</x:v>
      </x:c>
      <x:c r="B549" s="9" t="n">
        <x:f>A549*tun_SeasonSeconds/60</x:f>
        <x:v>136.5</x:v>
      </x:c>
      <x:c r="C549" s="9" t="n">
        <x:f>A549/4</x:f>
        <x:v>136.5</x:v>
      </x:c>
      <x:c r="D549" s="8" t="n">
        <x:f>IF(MOD(A549,4)=0,1,0)</x:f>
        <x:v>0</x:v>
      </x:c>
      <x:c r="E549" s="8" t="n">
        <x:f>IF(AND(F548&lt;=9,AS548&gt;=AR548),1,0)</x:f>
        <x:v>0</x:v>
      </x:c>
      <x:c r="F549" s="8" t="n">
        <x:f>MIN(10,F548+E549)</x:f>
        <x:v>8</x:v>
      </x:c>
      <x:c r="G549" s="8" t="n">
        <x:f>MIN(F549,9)+1</x:f>
        <x:v>9</x:v>
      </x:c>
      <x:c r="H549" s="8" t="n">
        <x:f>IF(F549&lt;=9,1,0)</x:f>
        <x:v>1</x:v>
      </x:c>
      <x:c r="I549" s="9" t="n">
        <x:f>MIN(10,F548+IF(AR548&gt;0,MIN(1,AS548/AR548),1))</x:f>
        <x:v>8.301112941891864</x:v>
      </x:c>
      <x:c r="J549" s="32" t="n">
        <x:f>INDEX(tun_FoodCap,G549)*Arch_FoodCap*EXP(tun_CapsByProject*SUMPRODUCT((Cap_Point&lt;=I549)*(Cap_Kind="Food")*Cap_Ln))</x:f>
        <x:v>6502.383572524903</x:v>
      </x:c>
      <x:c r="K549" s="32" t="n">
        <x:f>J549*MIN(1,tun_LeanBase*EXP(tun_CapsByProject*SUMPRODUCT((Cap_Point&lt;=I549)*(Cap_Kind="Lean")*Cap_Ln)))</x:f>
        <x:v>6502.383572524903</x:v>
      </x:c>
      <x:c r="L549" s="10" t="n">
        <x:f>INDEX(tun_HousingCap,G549)*EXP(tun_CapsByProject*SUMPRODUCT((Cap_Point&lt;=I549)*(Cap_Kind="Housing")*Cap_Ln))</x:f>
        <x:v>6581.714062749661</x:v>
      </x:c>
      <x:c r="M549" s="10" t="n">
        <x:f>INDEX(tun_GroupCap,G549)*tun_CohesionFactor*EXP(tun_CapsByProject*SUMPRODUCT((Cap_Point&lt;=I549)*(Cap_Kind="Group")*Cap_Ln))</x:f>
        <x:v>1000000.000000001</x:v>
      </x:c>
      <x:c r="N549" s="32" t="n">
        <x:f>MIN(J549,L549,M549)</x:f>
        <x:v>6502.383572524903</x:v>
      </x:c>
      <x:c r="O549" s="10" t="n">
        <x:f>AE548*N549</x:f>
        <x:v>58521.45215272412</x:v>
      </x:c>
      <x:c r="P549" s="9" t="n">
        <x:f>MIN(1,(AB548/(AE548*IF(tun_GroupInCrowding=1,N549,MIN(J549,L549))))^tun_CrowdingExp)</x:f>
        <x:v>0.2743995746000785</x:v>
      </x:c>
      <x:c r="Q549" s="9" t="n">
        <x:f>IF(D549=1,INDEX(tun_WinterMult,G549),1)</x:f>
        <x:v>1</x:v>
      </x:c>
      <x:c r="R549" s="9" t="n">
        <x:f>H549*Z548*tun_WomenShare*tun_BaseFertility*INDEX(tun_FertMult,G549)*Arch_Fertility*(1-P549)</x:f>
        <x:v>543.3916631292232</x:v>
      </x:c>
      <x:c r="S549" s="9" t="n">
        <x:f>H549*Y548*INDEX(tun_MortChild,G549)/4*Q549</x:f>
        <x:v>19.147346754797017</x:v>
      </x:c>
      <x:c r="T549" s="9" t="n">
        <x:f>H549*Z548*INDEX(tun_MortAdult,G549)*Arch_AdultMort/4*Q549</x:f>
        <x:v>15.71088535998301</x:v>
      </x:c>
      <x:c r="U549" s="9" t="n">
        <x:f>H549*AA548*INDEX(tun_MortElder,G549)/4*Q549</x:f>
        <x:v>75.96051507776207</x:v>
      </x:c>
      <x:c r="V549" s="9" t="n">
        <x:f>H549*MAX(0,AB548-O549)*tun_OvercapLoss</x:f>
        <x:v>0</x:v>
      </x:c>
      <x:c r="W549" s="9" t="n">
        <x:f>H549*Y548/(tun_ChildYears*4)</x:f>
        <x:v>303.926138965032</x:v>
      </x:c>
      <x:c r="X549" s="9" t="n">
        <x:f>H549*Z548/(tun_AdultYears*4)</x:f>
        <x:v>168.934251182613</x:v>
      </x:c>
      <x:c r="Y549" s="32" t="n">
        <x:f>Y548+R549-S549-W549-Y548*V549/AB548</x:f>
        <x:v>17240.181959451187</x:v>
      </x:c>
      <x:c r="Z549" s="32" t="n">
        <x:f>Z548+W549-X549-T549-Z548*V549/AB548</x:f>
        <x:v>21067.128149066448</x:v>
      </x:c>
      <x:c r="AA549" s="32" t="n">
        <x:f>AA548+X549-U549-AA548*V549/AB548</x:f>
        <x:v>9300.308897045707</x:v>
      </x:c>
      <x:c r="AB549" s="10" t="n">
        <x:f>Y549+Z549+AA549</x:f>
        <x:v>47607.619005563334</x:v>
      </x:c>
      <x:c r="AC549" s="8" t="n">
        <x:f>IF(AND(tun_WinterTrigger=1,D549=1,AB548/AE548&gt;=K549),1,0)</x:f>
        <x:v>0</x:v>
      </x:c>
      <x:c r="AD549" s="8" t="n">
        <x:f>H549*IF(AND(OR(AB548/AE548&gt;=tun_FissionTrigger*N549,AC549=1),AB548/AE548*tun_DaughterShare&gt;=tun_MinDaughter),MAX(1,ROUND(AE548*tun_FissionRate,0)),0)</x:f>
        <x:v>0</x:v>
      </x:c>
      <x:c r="AE549" s="8" t="n">
        <x:f>IF(H549=1,MAX(1,MIN(INDEX(tun_Smax,G549),AE548+AD549)),AE548)</x:f>
        <x:v>9</x:v>
      </x:c>
      <x:c r="AF549" s="8" t="n">
        <x:f>MAX(0,AE549-AE548)</x:f>
        <x:v>0</x:v>
      </x:c>
      <x:c r="AG549" s="9" t="str">
        <x:f>IF(AF549&gt;0,B549,"")</x:f>
      </x:c>
      <x:c r="AH549" s="9" t="n">
        <x:f>IF(F549&gt;=1,1,(1+tun_LowTiesShare*(AE549-1))/AE549)</x:f>
        <x:v>1</x:v>
      </x:c>
      <x:c r="AI549" s="32" t="n">
        <x:f>(Z549+tun_ElderCommons*INDEX(LM_Elder,G549)*AA549)*AH549</x:f>
        <x:v>55943.28651298785</x:v>
      </x:c>
      <x:c r="AJ549" s="32" t="n">
        <x:f>H549*tun_CommonsCoef*AI549^tun_CommonsExp*INDEX(LM_Commons,G549)</x:f>
        <x:v>157064.4540813585</x:v>
      </x:c>
      <x:c r="AK549" s="32" t="n">
        <x:f>H549*tun_RoleScale*Arch_Roles*(AE549*(INDEX(tun_ElderRolePerSett,G549)*tun_OutElder*INDEX(LM_Elder,G549)+INDEX(tun_ShamanPerSett,G549)*tun_OutShaman)+Z549*(INDEX(tun_PriestShare,G549)*tun_OutPriest+INDEX(tun_ScribeShare,G549)*tun_OutScribe*INDEX(LM_Scribe,G549)+INDEX(tun_ScholarShare,G549)*tun_OutScholar*INDEX(LM_Scholar,G549)+INDEX(tun_ResearcherShare,G549)*tun_OutResearcher*INDEX(LM_Researcher,G549)))</x:f>
        <x:v>43767.884461846705</x:v>
      </x:c>
      <x:c r="AL549" s="32" t="n">
        <x:f>H549*tun_RoleScale*Arch_Roles*AE549*INDEX(tun_MonasteryPerSett,G549)*tun_OutMonastery*INDEX(LM_Monastery,G549)</x:f>
        <x:v>31.680000000000003</x:v>
      </x:c>
      <x:c r="AM549" s="32" t="n">
        <x:f>(AJ549+AK549+AL549)/4*INDEX(LM_All,G549)*INDEX(tun_Boon,G549)*Arch_Insight</x:f>
        <x:v>144720.81301003104</x:v>
      </x:c>
      <x:c r="AN549" s="32" t="n">
        <x:f>H549*(tun_KHPerAdult*Z549+tun_KHOfCommons*AJ549/4*INDEX(LM_All,G549))*tun_KHUsable*Arch_KH</x:f>
        <x:v>22755.2660178713</x:v>
      </x:c>
      <x:c r="AO549" s="32" t="n">
        <x:f>MIN(AP548+AN549,AM549*tun_KHMaxRatio)</x:f>
        <x:v>22755.2660178713</x:v>
      </x:c>
      <x:c r="AP549" s="32" t="n">
        <x:f>AP548+AN549-AO549</x:f>
        <x:v>0</x:v>
      </x:c>
      <x:c r="AQ549" s="32" t="n">
        <x:f>AM549+AO549</x:f>
        <x:v>167476.07902790233</x:v>
      </x:c>
      <x:c r="AR549" s="10" t="n">
        <x:f>IF(H549=1,INDEX(tun_Req,G549),0)</x:f>
        <x:v>24497531.045680594</x:v>
      </x:c>
      <x:c r="AS549" s="32" t="n">
        <x:f>IF(H549=1,IF(E549=1,AS548-AR548,AS548)+AQ549,0)</x:f>
        <x:v>7543999.721280053</x:v>
      </x:c>
      <x:c r="AT549" s="11" t="n">
        <x:f>IF(AR549&gt;0,MIN(1,AS549/AR549),1)</x:f>
        <x:v>0.30794938915324743</x:v>
      </x:c>
      <x:c r="AU549" s="10" t="n">
        <x:f>AB549/INDEX(tun_RepScale,G549)</x:f>
        <x:v>190.43047602225334</x:v>
      </x:c>
      <x:c r="AV549" s="32" t="n">
        <x:f>AM549*60/tun_SeasonSeconds</x:f>
        <x:v>578883.2520401241</x:v>
      </x:c>
    </x:row>
    <x:row r="550">
      <x:c r="A550" s="8" t="n">
        <x:f>A549+1</x:f>
        <x:v>547</x:v>
      </x:c>
      <x:c r="B550" s="9" t="n">
        <x:f>A550*tun_SeasonSeconds/60</x:f>
        <x:v>136.75</x:v>
      </x:c>
      <x:c r="C550" s="9" t="n">
        <x:f>A550/4</x:f>
        <x:v>136.75</x:v>
      </x:c>
      <x:c r="D550" s="8" t="n">
        <x:f>IF(MOD(A550,4)=0,1,0)</x:f>
        <x:v>0</x:v>
      </x:c>
      <x:c r="E550" s="8" t="n">
        <x:f>IF(AND(F549&lt;=9,AS549&gt;=AR549),1,0)</x:f>
        <x:v>0</x:v>
      </x:c>
      <x:c r="F550" s="8" t="n">
        <x:f>MIN(10,F549+E550)</x:f>
        <x:v>8</x:v>
      </x:c>
      <x:c r="G550" s="8" t="n">
        <x:f>MIN(F550,9)+1</x:f>
        <x:v>9</x:v>
      </x:c>
      <x:c r="H550" s="8" t="n">
        <x:f>IF(F550&lt;=9,1,0)</x:f>
        <x:v>1</x:v>
      </x:c>
      <x:c r="I550" s="9" t="n">
        <x:f>MIN(10,F549+IF(AR549&gt;0,MIN(1,AS549/AR549),1))</x:f>
        <x:v>8.307949389153247</x:v>
      </x:c>
      <x:c r="J550" s="32" t="n">
        <x:f>INDEX(tun_FoodCap,G550)*Arch_FoodCap*EXP(tun_CapsByProject*SUMPRODUCT((Cap_Point&lt;=I550)*(Cap_Kind="Food")*Cap_Ln))</x:f>
        <x:v>6502.383572524903</x:v>
      </x:c>
      <x:c r="K550" s="32" t="n">
        <x:f>J550*MIN(1,tun_LeanBase*EXP(tun_CapsByProject*SUMPRODUCT((Cap_Point&lt;=I550)*(Cap_Kind="Lean")*Cap_Ln)))</x:f>
        <x:v>6502.383572524903</x:v>
      </x:c>
      <x:c r="L550" s="10" t="n">
        <x:f>INDEX(tun_HousingCap,G550)*EXP(tun_CapsByProject*SUMPRODUCT((Cap_Point&lt;=I550)*(Cap_Kind="Housing")*Cap_Ln))</x:f>
        <x:v>6581.714062749661</x:v>
      </x:c>
      <x:c r="M550" s="10" t="n">
        <x:f>INDEX(tun_GroupCap,G550)*tun_CohesionFactor*EXP(tun_CapsByProject*SUMPRODUCT((Cap_Point&lt;=I550)*(Cap_Kind="Group")*Cap_Ln))</x:f>
        <x:v>1000000.000000001</x:v>
      </x:c>
      <x:c r="N550" s="32" t="n">
        <x:f>MIN(J550,L550,M550)</x:f>
        <x:v>6502.383572524903</x:v>
      </x:c>
      <x:c r="O550" s="10" t="n">
        <x:f>AE549*N550</x:f>
        <x:v>58521.45215272412</x:v>
      </x:c>
      <x:c r="P550" s="9" t="n">
        <x:f>MIN(1,(AB549/(AE549*IF(tun_GroupInCrowding=1,N550,MIN(J550,L550))))^tun_CrowdingExp)</x:f>
        <x:v>0.2898465965193567</x:v>
      </x:c>
      <x:c r="Q550" s="9" t="n">
        <x:f>IF(D550=1,INDEX(tun_WinterMult,G550),1)</x:f>
        <x:v>1</x:v>
      </x:c>
      <x:c r="R550" s="9" t="n">
        <x:f>H550*Z549*tun_WomenShare*tun_BaseFertility*INDEX(tun_FertMult,G550)*Arch_Fertility*(1-P550)</x:f>
        <x:v>534.851916049251</x:v>
      </x:c>
      <x:c r="S550" s="9" t="n">
        <x:f>H550*Y549*INDEX(tun_MortChild,G550)/4*Q550</x:f>
        <x:v>19.395204704382586</x:v>
      </x:c>
      <x:c r="T550" s="9" t="n">
        <x:f>H550*Z549*INDEX(tun_MortAdult,G550)*Arch_AdultMort/4*Q550</x:f>
        <x:v>15.800346111799836</x:v>
      </x:c>
      <x:c r="U550" s="9" t="n">
        <x:f>H550*AA549*INDEX(tun_MortElder,G550)/4*Q550</x:f>
        <x:v>76.72754840062709</x:v>
      </x:c>
      <x:c r="V550" s="9" t="n">
        <x:f>H550*MAX(0,AB549-O550)*tun_OvercapLoss</x:f>
        <x:v>0</x:v>
      </x:c>
      <x:c r="W550" s="9" t="n">
        <x:f>H550*Y549/(tun_ChildYears*4)</x:f>
        <x:v>307.8603921330569</x:v>
      </x:c>
      <x:c r="X550" s="9" t="n">
        <x:f>H550*Z549/(tun_AdultYears*4)</x:f>
        <x:v>169.89619475053587</x:v>
      </x:c>
      <x:c r="Y550" s="32" t="n">
        <x:f>Y549+R550-S550-W550-Y549*V550/AB549</x:f>
        <x:v>17447.778278662998</x:v>
      </x:c>
      <x:c r="Z550" s="32" t="n">
        <x:f>Z549+W550-X550-T550-Z549*V550/AB549</x:f>
        <x:v>21189.29200033717</x:v>
      </x:c>
      <x:c r="AA550" s="32" t="n">
        <x:f>AA549+X550-U550-AA549*V550/AB549</x:f>
        <x:v>9393.477543395615</x:v>
      </x:c>
      <x:c r="AB550" s="10" t="n">
        <x:f>Y550+Z550+AA550</x:f>
        <x:v>48030.54782239578</x:v>
      </x:c>
      <x:c r="AC550" s="8" t="n">
        <x:f>IF(AND(tun_WinterTrigger=1,D550=1,AB549/AE549&gt;=K550),1,0)</x:f>
        <x:v>0</x:v>
      </x:c>
      <x:c r="AD550" s="8" t="n">
        <x:f>H550*IF(AND(OR(AB549/AE549&gt;=tun_FissionTrigger*N550,AC550=1),AB549/AE549*tun_DaughterShare&gt;=tun_MinDaughter),MAX(1,ROUND(AE549*tun_FissionRate,0)),0)</x:f>
        <x:v>0</x:v>
      </x:c>
      <x:c r="AE550" s="8" t="n">
        <x:f>IF(H550=1,MAX(1,MIN(INDEX(tun_Smax,G550),AE549+AD550)),AE549)</x:f>
        <x:v>9</x:v>
      </x:c>
      <x:c r="AF550" s="8" t="n">
        <x:f>MAX(0,AE550-AE549)</x:f>
        <x:v>0</x:v>
      </x:c>
      <x:c r="AG550" s="9" t="str">
        <x:f>IF(AF550&gt;0,B550,"")</x:f>
      </x:c>
      <x:c r="AH550" s="9" t="n">
        <x:f>IF(F550&gt;=1,1,(1+tun_LowTiesShare*(AE550-1))/AE550)</x:f>
        <x:v>1</x:v>
      </x:c>
      <x:c r="AI550" s="32" t="n">
        <x:f>(Z550+tun_ElderCommons*INDEX(LM_Elder,G550)*AA550)*AH550</x:f>
        <x:v>56414.83278807072</x:v>
      </x:c>
      <x:c r="AJ550" s="32" t="n">
        <x:f>H550*tun_CommonsCoef*AI550^tun_CommonsExp*INDEX(LM_Commons,G550)</x:f>
        <x:v>158189.05756268516</x:v>
      </x:c>
      <x:c r="AK550" s="32" t="n">
        <x:f>H550*tun_RoleScale*Arch_Roles*(AE550*(INDEX(tun_ElderRolePerSett,G550)*tun_OutElder*INDEX(LM_Elder,G550)+INDEX(tun_ShamanPerSett,G550)*tun_OutShaman)+Z550*(INDEX(tun_PriestShare,G550)*tun_OutPriest+INDEX(tun_ScribeShare,G550)*tun_OutScribe*INDEX(LM_Scribe,G550)+INDEX(tun_ScholarShare,G550)*tun_OutScholar*INDEX(LM_Scholar,G550)+INDEX(tun_ResearcherShare,G550)*tun_OutResearcher*INDEX(LM_Researcher,G550)))</x:f>
        <x:v>44020.27612502686</x:v>
      </x:c>
      <x:c r="AL550" s="32" t="n">
        <x:f>H550*tun_RoleScale*Arch_Roles*AE550*INDEX(tun_MonasteryPerSett,G550)*tun_OutMonastery*INDEX(LM_Monastery,G550)</x:f>
        <x:v>31.680000000000003</x:v>
      </x:c>
      <x:c r="AM550" s="32" t="n">
        <x:f>(AJ550+AK550+AL550)/4*INDEX(LM_All,G550)*INDEX(tun_Boon,G550)*Arch_Insight</x:f>
        <x:v>145712.92627287025</x:v>
      </x:c>
      <x:c r="AN550" s="32" t="n">
        <x:f>H550*(tun_KHPerAdult*Z550+tun_KHOfCommons*AJ550/4*INDEX(LM_All,G550))*tun_KHUsable*Arch_KH</x:f>
        <x:v>22918.19690845305</x:v>
      </x:c>
      <x:c r="AO550" s="32" t="n">
        <x:f>MIN(AP549+AN550,AM550*tun_KHMaxRatio)</x:f>
        <x:v>22918.19690845305</x:v>
      </x:c>
      <x:c r="AP550" s="32" t="n">
        <x:f>AP549+AN550-AO550</x:f>
        <x:v>0</x:v>
      </x:c>
      <x:c r="AQ550" s="32" t="n">
        <x:f>AM550+AO550</x:f>
        <x:v>168631.1231813233</x:v>
      </x:c>
      <x:c r="AR550" s="10" t="n">
        <x:f>IF(H550=1,INDEX(tun_Req,G550),0)</x:f>
        <x:v>24497531.045680594</x:v>
      </x:c>
      <x:c r="AS550" s="32" t="n">
        <x:f>IF(H550=1,IF(E550=1,AS549-AR549,AS549)+AQ550,0)</x:f>
        <x:v>7712630.844461377</x:v>
      </x:c>
      <x:c r="AT550" s="11" t="n">
        <x:f>IF(AR550&gt;0,MIN(1,AS550/AR550),1)</x:f>
        <x:v>0.31483298582537234</x:v>
      </x:c>
      <x:c r="AU550" s="10" t="n">
        <x:f>AB550/INDEX(tun_RepScale,G550)</x:f>
        <x:v>192.12219128958313</x:v>
      </x:c>
      <x:c r="AV550" s="32" t="n">
        <x:f>AM550*60/tun_SeasonSeconds</x:f>
        <x:v>582851.705091481</x:v>
      </x:c>
    </x:row>
    <x:row r="551">
      <x:c r="A551" s="8" t="n">
        <x:f>A550+1</x:f>
        <x:v>548</x:v>
      </x:c>
      <x:c r="B551" s="9" t="n">
        <x:f>A551*tun_SeasonSeconds/60</x:f>
        <x:v>137</x:v>
      </x:c>
      <x:c r="C551" s="9" t="n">
        <x:f>A551/4</x:f>
        <x:v>137</x:v>
      </x:c>
      <x:c r="D551" s="8" t="n">
        <x:f>IF(MOD(A551,4)=0,1,0)</x:f>
        <x:v>1</x:v>
      </x:c>
      <x:c r="E551" s="8" t="n">
        <x:f>IF(AND(F550&lt;=9,AS550&gt;=AR550),1,0)</x:f>
        <x:v>0</x:v>
      </x:c>
      <x:c r="F551" s="8" t="n">
        <x:f>MIN(10,F550+E551)</x:f>
        <x:v>8</x:v>
      </x:c>
      <x:c r="G551" s="8" t="n">
        <x:f>MIN(F551,9)+1</x:f>
        <x:v>9</x:v>
      </x:c>
      <x:c r="H551" s="8" t="n">
        <x:f>IF(F551&lt;=9,1,0)</x:f>
        <x:v>1</x:v>
      </x:c>
      <x:c r="I551" s="9" t="n">
        <x:f>MIN(10,F550+IF(AR550&gt;0,MIN(1,AS550/AR550),1))</x:f>
        <x:v>8.314832985825372</x:v>
      </x:c>
      <x:c r="J551" s="32" t="n">
        <x:f>INDEX(tun_FoodCap,G551)*Arch_FoodCap*EXP(tun_CapsByProject*SUMPRODUCT((Cap_Point&lt;=I551)*(Cap_Kind="Food")*Cap_Ln))</x:f>
        <x:v>6502.383572524903</x:v>
      </x:c>
      <x:c r="K551" s="32" t="n">
        <x:f>J551*MIN(1,tun_LeanBase*EXP(tun_CapsByProject*SUMPRODUCT((Cap_Point&lt;=I551)*(Cap_Kind="Lean")*Cap_Ln)))</x:f>
        <x:v>6502.383572524903</x:v>
      </x:c>
      <x:c r="L551" s="10" t="n">
        <x:f>INDEX(tun_HousingCap,G551)*EXP(tun_CapsByProject*SUMPRODUCT((Cap_Point&lt;=I551)*(Cap_Kind="Housing")*Cap_Ln))</x:f>
        <x:v>6581.714062749661</x:v>
      </x:c>
      <x:c r="M551" s="10" t="n">
        <x:f>INDEX(tun_GroupCap,G551)*tun_CohesionFactor*EXP(tun_CapsByProject*SUMPRODUCT((Cap_Point&lt;=I551)*(Cap_Kind="Group")*Cap_Ln))</x:f>
        <x:v>1000000.000000001</x:v>
      </x:c>
      <x:c r="N551" s="32" t="n">
        <x:f>MIN(J551,L551,M551)</x:f>
        <x:v>6502.383572524903</x:v>
      </x:c>
      <x:c r="O551" s="10" t="n">
        <x:f>AE550*N551</x:f>
        <x:v>58521.45215272412</x:v>
      </x:c>
      <x:c r="P551" s="9" t="n">
        <x:f>MIN(1,(AB550/(AE550*IF(tun_GroupInCrowding=1,N551,MIN(J551,L551))))^tun_CrowdingExp)</x:f>
        <x:v>0.3056431560540453</x:v>
      </x:c>
      <x:c r="Q551" s="9" t="n">
        <x:f>IF(D551=1,INDEX(tun_WinterMult,G551),1)</x:f>
        <x:v>1.05</x:v>
      </x:c>
      <x:c r="R551" s="9" t="n">
        <x:f>H551*Z550*tun_WomenShare*tun_BaseFertility*INDEX(tun_FertMult,G551)*Arch_Fertility*(1-P551)</x:f>
        <x:v>525.987244597221</x:v>
      </x:c>
      <x:c r="S551" s="9" t="n">
        <x:f>H551*Y550*INDEX(tun_MortChild,G551)/4*Q551</x:f>
        <x:v>20.610188091670665</x:v>
      </x:c>
      <x:c r="T551" s="9" t="n">
        <x:f>H551*Z550*INDEX(tun_MortAdult,G551)*Arch_AdultMort/4*Q551</x:f>
        <x:v>16.68656745026552</x:v>
      </x:c>
      <x:c r="U551" s="9" t="n">
        <x:f>H551*AA550*INDEX(tun_MortElder,G551)/4*Q551</x:f>
        <x:v>81.37099921966451</x:v>
      </x:c>
      <x:c r="V551" s="9" t="n">
        <x:f>H551*MAX(0,AB550-O551)*tun_OvercapLoss</x:f>
        <x:v>0</x:v>
      </x:c>
      <x:c r="W551" s="9" t="n">
        <x:f>H551*Y550/(tun_ChildYears*4)</x:f>
        <x:v>311.5674692618392</x:v>
      </x:c>
      <x:c r="X551" s="9" t="n">
        <x:f>H551*Z550/(tun_AdultYears*4)</x:f>
        <x:v>170.8813870994933</x:v>
      </x:c>
      <x:c r="Y551" s="32" t="n">
        <x:f>Y550+R551-S551-W551-Y550*V551/AB550</x:f>
        <x:v>17641.58786590671</x:v>
      </x:c>
      <x:c r="Z551" s="32" t="n">
        <x:f>Z550+W551-X551-T551-Z550*V551/AB550</x:f>
        <x:v>21313.291515049248</x:v>
      </x:c>
      <x:c r="AA551" s="32" t="n">
        <x:f>AA550+X551-U551-AA550*V551/AB550</x:f>
        <x:v>9482.987931275444</x:v>
      </x:c>
      <x:c r="AB551" s="10" t="n">
        <x:f>Y551+Z551+AA551</x:f>
        <x:v>48437.8673122314</x:v>
      </x:c>
      <x:c r="AC551" s="8" t="n">
        <x:f>IF(AND(tun_WinterTrigger=1,D551=1,AB550/AE550&gt;=K551),1,0)</x:f>
        <x:v>0</x:v>
      </x:c>
      <x:c r="AD551" s="8" t="n">
        <x:f>H551*IF(AND(OR(AB550/AE550&gt;=tun_FissionTrigger*N551,AC551=1),AB550/AE550*tun_DaughterShare&gt;=tun_MinDaughter),MAX(1,ROUND(AE550*tun_FissionRate,0)),0)</x:f>
        <x:v>0</x:v>
      </x:c>
      <x:c r="AE551" s="8" t="n">
        <x:f>IF(H551=1,MAX(1,MIN(INDEX(tun_Smax,G551),AE550+AD551)),AE550)</x:f>
        <x:v>9</x:v>
      </x:c>
      <x:c r="AF551" s="8" t="n">
        <x:f>MAX(0,AE551-AE550)</x:f>
        <x:v>0</x:v>
      </x:c>
      <x:c r="AG551" s="9" t="str">
        <x:f>IF(AF551&gt;0,B551,"")</x:f>
      </x:c>
      <x:c r="AH551" s="9" t="n">
        <x:f>IF(F551&gt;=1,1,(1+tun_LowTiesShare*(AE551-1))/AE551)</x:f>
        <x:v>1</x:v>
      </x:c>
      <x:c r="AI551" s="32" t="n">
        <x:f>(Z551+tun_ElderCommons*INDEX(LM_Elder,G551)*AA551)*AH551</x:f>
        <x:v>56874.49625733216</x:v>
      </x:c>
      <x:c r="AJ551" s="32" t="n">
        <x:f>H551*tun_CommonsCoef*AI551^tun_CommonsExp*INDEX(LM_Commons,G551)</x:f>
        <x:v>159283.96498455983</x:v>
      </x:c>
      <x:c r="AK551" s="32" t="n">
        <x:f>H551*tun_RoleScale*Arch_Roles*(AE551*(INDEX(tun_ElderRolePerSett,G551)*tun_OutElder*INDEX(LM_Elder,G551)+INDEX(tun_ShamanPerSett,G551)*tun_OutShaman)+Z551*(INDEX(tun_PriestShare,G551)*tun_OutPriest+INDEX(tun_ScribeShare,G551)*tun_OutScribe*INDEX(LM_Scribe,G551)+INDEX(tun_ScholarShare,G551)*tun_OutScholar*INDEX(LM_Scholar,G551)+INDEX(tun_ResearcherShare,G551)*tun_OutResearcher*INDEX(LM_Researcher,G551)))</x:f>
        <x:v>44276.460286103764</x:v>
      </x:c>
      <x:c r="AL551" s="32" t="n">
        <x:f>H551*tun_RoleScale*Arch_Roles*AE551*INDEX(tun_MonasteryPerSett,G551)*tun_OutMonastery*INDEX(LM_Monastery,G551)</x:f>
        <x:v>31.680000000000003</x:v>
      </x:c>
      <x:c r="AM551" s="32" t="n">
        <x:f>(AJ551+AK551+AL551)/4*INDEX(LM_All,G551)*INDEX(tun_Boon,G551)*Arch_Insight</x:f>
        <x:v>146686.37624043477</x:v>
      </x:c>
      <x:c r="AN551" s="32" t="n">
        <x:f>H551*(tun_KHPerAdult*Z551+tun_KHOfCommons*AJ551/4*INDEX(LM_All,G551))*tun_KHUsable*Arch_KH</x:f>
        <x:v>23076.82547782237</x:v>
      </x:c>
      <x:c r="AO551" s="32" t="n">
        <x:f>MIN(AP550+AN551,AM551*tun_KHMaxRatio)</x:f>
        <x:v>23076.82547782237</x:v>
      </x:c>
      <x:c r="AP551" s="32" t="n">
        <x:f>AP550+AN551-AO551</x:f>
        <x:v>0</x:v>
      </x:c>
      <x:c r="AQ551" s="32" t="n">
        <x:f>AM551+AO551</x:f>
        <x:v>169763.20171825713</x:v>
      </x:c>
      <x:c r="AR551" s="10" t="n">
        <x:f>IF(H551=1,INDEX(tun_Req,G551),0)</x:f>
        <x:v>24497531.045680594</x:v>
      </x:c>
      <x:c r="AS551" s="32" t="n">
        <x:f>IF(H551=1,IF(E551=1,AS550-AR550,AS550)+AQ551,0)</x:f>
        <x:v>7882394.046179634</x:v>
      </x:c>
      <x:c r="AT551" s="11" t="n">
        <x:f>IF(AR551&gt;0,MIN(1,AS551/AR551),1)</x:f>
        <x:v>0.3217627944416651</x:v>
      </x:c>
      <x:c r="AU551" s="10" t="n">
        <x:f>AB551/INDEX(tun_RepScale,G551)</x:f>
        <x:v>193.7514692489256</x:v>
      </x:c>
      <x:c r="AV551" s="32" t="n">
        <x:f>AM551*60/tun_SeasonSeconds</x:f>
        <x:v>586745.5049617391</x:v>
      </x:c>
    </x:row>
    <x:row r="552">
      <x:c r="A552" s="8" t="n">
        <x:f>A551+1</x:f>
        <x:v>549</x:v>
      </x:c>
      <x:c r="B552" s="9" t="n">
        <x:f>A552*tun_SeasonSeconds/60</x:f>
        <x:v>137.25</x:v>
      </x:c>
      <x:c r="C552" s="9" t="n">
        <x:f>A552/4</x:f>
        <x:v>137.25</x:v>
      </x:c>
      <x:c r="D552" s="8" t="n">
        <x:f>IF(MOD(A552,4)=0,1,0)</x:f>
        <x:v>0</x:v>
      </x:c>
      <x:c r="E552" s="8" t="n">
        <x:f>IF(AND(F551&lt;=9,AS551&gt;=AR551),1,0)</x:f>
        <x:v>0</x:v>
      </x:c>
      <x:c r="F552" s="8" t="n">
        <x:f>MIN(10,F551+E552)</x:f>
        <x:v>8</x:v>
      </x:c>
      <x:c r="G552" s="8" t="n">
        <x:f>MIN(F552,9)+1</x:f>
        <x:v>9</x:v>
      </x:c>
      <x:c r="H552" s="8" t="n">
        <x:f>IF(F552&lt;=9,1,0)</x:f>
        <x:v>1</x:v>
      </x:c>
      <x:c r="I552" s="9" t="n">
        <x:f>MIN(10,F551+IF(AR551&gt;0,MIN(1,AS551/AR551),1))</x:f>
        <x:v>8.321762794441666</x:v>
      </x:c>
      <x:c r="J552" s="32" t="n">
        <x:f>INDEX(tun_FoodCap,G552)*Arch_FoodCap*EXP(tun_CapsByProject*SUMPRODUCT((Cap_Point&lt;=I552)*(Cap_Kind="Food")*Cap_Ln))</x:f>
        <x:v>6502.383572524903</x:v>
      </x:c>
      <x:c r="K552" s="32" t="n">
        <x:f>J552*MIN(1,tun_LeanBase*EXP(tun_CapsByProject*SUMPRODUCT((Cap_Point&lt;=I552)*(Cap_Kind="Lean")*Cap_Ln)))</x:f>
        <x:v>6502.383572524903</x:v>
      </x:c>
      <x:c r="L552" s="10" t="n">
        <x:f>INDEX(tun_HousingCap,G552)*EXP(tun_CapsByProject*SUMPRODUCT((Cap_Point&lt;=I552)*(Cap_Kind="Housing")*Cap_Ln))</x:f>
        <x:v>6581.714062749661</x:v>
      </x:c>
      <x:c r="M552" s="10" t="n">
        <x:f>INDEX(tun_GroupCap,G552)*tun_CohesionFactor*EXP(tun_CapsByProject*SUMPRODUCT((Cap_Point&lt;=I552)*(Cap_Kind="Group")*Cap_Ln))</x:f>
        <x:v>1000000.000000001</x:v>
      </x:c>
      <x:c r="N552" s="32" t="n">
        <x:f>MIN(J552,L552,M552)</x:f>
        <x:v>6502.383572524903</x:v>
      </x:c>
      <x:c r="O552" s="10" t="n">
        <x:f>AE551*N552</x:f>
        <x:v>58521.45215272412</x:v>
      </x:c>
      <x:c r="P552" s="9" t="n">
        <x:f>MIN(1,(AB551/(AE551*IF(tun_GroupInCrowding=1,N552,MIN(J552,L552))))^tun_CrowdingExp)</x:f>
        <x:v>0.3215285293211806</x:v>
      </x:c>
      <x:c r="Q552" s="9" t="n">
        <x:f>IF(D552=1,INDEX(tun_WinterMult,G552),1)</x:f>
        <x:v>1</x:v>
      </x:c>
      <x:c r="R552" s="9" t="n">
        <x:f>H552*Z551*tun_WomenShare*tun_BaseFertility*INDEX(tun_FertMult,G552)*Arch_Fertility*(1-P552)</x:f>
        <x:v>516.9614535521818</x:v>
      </x:c>
      <x:c r="S552" s="9" t="n">
        <x:f>H552*Y551*INDEX(tun_MortChild,G552)/4*Q552</x:f>
        <x:v>19.846786349145045</x:v>
      </x:c>
      <x:c r="T552" s="9" t="n">
        <x:f>H552*Z551*INDEX(tun_MortAdult,G552)*Arch_AdultMort/4*Q552</x:f>
        <x:v>15.984968636286936</x:v>
      </x:c>
      <x:c r="U552" s="9" t="n">
        <x:f>H552*AA551*INDEX(tun_MortElder,G552)/4*Q552</x:f>
        <x:v>78.23465043302241</x:v>
      </x:c>
      <x:c r="V552" s="9" t="n">
        <x:f>H552*MAX(0,AB551-O552)*tun_OvercapLoss</x:f>
        <x:v>0</x:v>
      </x:c>
      <x:c r="W552" s="9" t="n">
        <x:f>H552*Y551/(tun_ChildYears*4)</x:f>
        <x:v>315.0283547483341</x:v>
      </x:c>
      <x:c r="X552" s="9" t="n">
        <x:f>H552*Z551/(tun_AdultYears*4)</x:f>
        <x:v>171.88138318588102</x:v>
      </x:c>
      <x:c r="Y552" s="32" t="n">
        <x:f>Y551+R552-S552-W552-Y551*V552/AB551</x:f>
        <x:v>17823.674178361412</x:v>
      </x:c>
      <x:c r="Z552" s="32" t="n">
        <x:f>Z551+W552-X552-T552-Z551*V552/AB551</x:f>
        <x:v>21440.453517975413</x:v>
      </x:c>
      <x:c r="AA552" s="32" t="n">
        <x:f>AA551+X552-U552-AA551*V552/AB551</x:f>
        <x:v>9576.634664028303</x:v>
      </x:c>
      <x:c r="AB552" s="10" t="n">
        <x:f>Y552+Z552+AA552</x:f>
        <x:v>48840.76236036513</x:v>
      </x:c>
      <x:c r="AC552" s="8" t="n">
        <x:f>IF(AND(tun_WinterTrigger=1,D552=1,AB551/AE551&gt;=K552),1,0)</x:f>
        <x:v>0</x:v>
      </x:c>
      <x:c r="AD552" s="8" t="n">
        <x:f>H552*IF(AND(OR(AB551/AE551&gt;=tun_FissionTrigger*N552,AC552=1),AB551/AE551*tun_DaughterShare&gt;=tun_MinDaughter),MAX(1,ROUND(AE551*tun_FissionRate,0)),0)</x:f>
        <x:v>0</x:v>
      </x:c>
      <x:c r="AE552" s="8" t="n">
        <x:f>IF(H552=1,MAX(1,MIN(INDEX(tun_Smax,G552),AE551+AD552)),AE551)</x:f>
        <x:v>9</x:v>
      </x:c>
      <x:c r="AF552" s="8" t="n">
        <x:f>MAX(0,AE552-AE551)</x:f>
        <x:v>0</x:v>
      </x:c>
      <x:c r="AG552" s="9" t="str">
        <x:f>IF(AF552&gt;0,B552,"")</x:f>
      </x:c>
      <x:c r="AH552" s="9" t="n">
        <x:f>IF(F552&gt;=1,1,(1+tun_LowTiesShare*(AE552-1))/AE552)</x:f>
        <x:v>1</x:v>
      </x:c>
      <x:c r="AI552" s="32" t="n">
        <x:f>(Z552+tun_ElderCommons*INDEX(LM_Elder,G552)*AA552)*AH552</x:f>
        <x:v>57352.833508081545</x:v>
      </x:c>
      <x:c r="AJ552" s="32" t="n">
        <x:f>H552*tun_CommonsCoef*AI552^tun_CommonsExp*INDEX(LM_Commons,G552)</x:f>
        <x:v>160421.94457377665</x:v>
      </x:c>
      <x:c r="AK552" s="32" t="n">
        <x:f>H552*tun_RoleScale*Arch_Roles*(AE552*(INDEX(tun_ElderRolePerSett,G552)*tun_OutElder*INDEX(LM_Elder,G552)+INDEX(tun_ShamanPerSett,G552)*tun_OutShaman)+Z552*(INDEX(tun_PriestShare,G552)*tun_OutPriest+INDEX(tun_ScribeShare,G552)*tun_OutScribe*INDEX(LM_Scribe,G552)+INDEX(tun_ScholarShare,G552)*tun_OutScholar*INDEX(LM_Scholar,G552)+INDEX(tun_ResearcherShare,G552)*tun_OutResearcher*INDEX(LM_Researcher,G552)))</x:f>
        <x:v>44539.17817750956</x:v>
      </x:c>
      <x:c r="AL552" s="32" t="n">
        <x:f>H552*tun_RoleScale*Arch_Roles*AE552*INDEX(tun_MonasteryPerSett,G552)*tun_OutMonastery*INDEX(LM_Monastery,G552)</x:f>
        <x:v>31.680000000000003</x:v>
      </x:c>
      <x:c r="AM552" s="32" t="n">
        <x:f>(AJ552+AK552+AL552)/4*INDEX(LM_All,G552)*INDEX(tun_Boon,G552)*Arch_Insight</x:f>
        <x:v>147695.56683438478</x:v>
      </x:c>
      <x:c r="AN552" s="32" t="n">
        <x:f>H552*(tun_KHPerAdult*Z552+tun_KHOfCommons*AJ552/4*INDEX(LM_All,G552))*tun_KHUsable*Arch_KH</x:f>
        <x:v>23241.69427914978</x:v>
      </x:c>
      <x:c r="AO552" s="32" t="n">
        <x:f>MIN(AP551+AN552,AM552*tun_KHMaxRatio)</x:f>
        <x:v>23241.69427914978</x:v>
      </x:c>
      <x:c r="AP552" s="32" t="n">
        <x:f>AP551+AN552-AO552</x:f>
        <x:v>0</x:v>
      </x:c>
      <x:c r="AQ552" s="32" t="n">
        <x:f>AM552+AO552</x:f>
        <x:v>170937.26111353457</x:v>
      </x:c>
      <x:c r="AR552" s="10" t="n">
        <x:f>IF(H552=1,INDEX(tun_Req,G552),0)</x:f>
        <x:v>24497531.045680594</x:v>
      </x:c>
      <x:c r="AS552" s="32" t="n">
        <x:f>IF(H552=1,IF(E552=1,AS551-AR551,AS551)+AQ552,0)</x:f>
        <x:v>8053331.307293168</x:v>
      </x:c>
      <x:c r="AT552" s="11" t="n">
        <x:f>IF(AR552&gt;0,MIN(1,AS552/AR552),1)</x:f>
        <x:v>0.3287405286792414</x:v>
      </x:c>
      <x:c r="AU552" s="10" t="n">
        <x:f>AB552/INDEX(tun_RepScale,G552)</x:f>
        <x:v>195.36304944146053</x:v>
      </x:c>
      <x:c r="AV552" s="32" t="n">
        <x:f>AM552*60/tun_SeasonSeconds</x:f>
        <x:v>590782.2673375391</x:v>
      </x:c>
    </x:row>
    <x:row r="553">
      <x:c r="A553" s="8" t="n">
        <x:f>A552+1</x:f>
        <x:v>550</x:v>
      </x:c>
      <x:c r="B553" s="9" t="n">
        <x:f>A553*tun_SeasonSeconds/60</x:f>
        <x:v>137.5</x:v>
      </x:c>
      <x:c r="C553" s="9" t="n">
        <x:f>A553/4</x:f>
        <x:v>137.5</x:v>
      </x:c>
      <x:c r="D553" s="8" t="n">
        <x:f>IF(MOD(A553,4)=0,1,0)</x:f>
        <x:v>0</x:v>
      </x:c>
      <x:c r="E553" s="8" t="n">
        <x:f>IF(AND(F552&lt;=9,AS552&gt;=AR552),1,0)</x:f>
        <x:v>0</x:v>
      </x:c>
      <x:c r="F553" s="8" t="n">
        <x:f>MIN(10,F552+E553)</x:f>
        <x:v>8</x:v>
      </x:c>
      <x:c r="G553" s="8" t="n">
        <x:f>MIN(F553,9)+1</x:f>
        <x:v>9</x:v>
      </x:c>
      <x:c r="H553" s="8" t="n">
        <x:f>IF(F553&lt;=9,1,0)</x:f>
        <x:v>1</x:v>
      </x:c>
      <x:c r="I553" s="9" t="n">
        <x:f>MIN(10,F552+IF(AR552&gt;0,MIN(1,AS552/AR552),1))</x:f>
        <x:v>8.32874052867924</x:v>
      </x:c>
      <x:c r="J553" s="32" t="n">
        <x:f>INDEX(tun_FoodCap,G553)*Arch_FoodCap*EXP(tun_CapsByProject*SUMPRODUCT((Cap_Point&lt;=I553)*(Cap_Kind="Food")*Cap_Ln))</x:f>
        <x:v>6502.383572524903</x:v>
      </x:c>
      <x:c r="K553" s="32" t="n">
        <x:f>J553*MIN(1,tun_LeanBase*EXP(tun_CapsByProject*SUMPRODUCT((Cap_Point&lt;=I553)*(Cap_Kind="Lean")*Cap_Ln)))</x:f>
        <x:v>6502.383572524903</x:v>
      </x:c>
      <x:c r="L553" s="10" t="n">
        <x:f>INDEX(tun_HousingCap,G553)*EXP(tun_CapsByProject*SUMPRODUCT((Cap_Point&lt;=I553)*(Cap_Kind="Housing")*Cap_Ln))</x:f>
        <x:v>6581.714062749661</x:v>
      </x:c>
      <x:c r="M553" s="10" t="n">
        <x:f>INDEX(tun_GroupCap,G553)*tun_CohesionFactor*EXP(tun_CapsByProject*SUMPRODUCT((Cap_Point&lt;=I553)*(Cap_Kind="Group")*Cap_Ln))</x:f>
        <x:v>1000000.000000001</x:v>
      </x:c>
      <x:c r="N553" s="32" t="n">
        <x:f>MIN(J553,L553,M553)</x:f>
        <x:v>6502.383572524903</x:v>
      </x:c>
      <x:c r="O553" s="10" t="n">
        <x:f>AE552*N553</x:f>
        <x:v>58521.45215272412</x:v>
      </x:c>
      <x:c r="P553" s="9" t="n">
        <x:f>MIN(1,(AB552/(AE552*IF(tun_GroupInCrowding=1,N553,MIN(J553,L553))))^tun_CrowdingExp)</x:f>
        <x:v>0.33791233125940645</x:v>
      </x:c>
      <x:c r="Q553" s="9" t="n">
        <x:f>IF(D553=1,INDEX(tun_WinterMult,G553),1)</x:f>
        <x:v>1</x:v>
      </x:c>
      <x:c r="R553" s="9" t="n">
        <x:f>H553*Z552*tun_WomenShare*tun_BaseFertility*INDEX(tun_FertMult,G553)*Arch_Fertility*(1-P553)</x:f>
        <x:v>507.4876909408521</x:v>
      </x:c>
      <x:c r="S553" s="9" t="n">
        <x:f>H553*Y552*INDEX(tun_MortChild,G553)/4*Q553</x:f>
        <x:v>20.05163345065659</x:v>
      </x:c>
      <x:c r="T553" s="9" t="n">
        <x:f>H553*Z552*INDEX(tun_MortAdult,G553)*Arch_AdultMort/4*Q553</x:f>
        <x:v>16.08034013848156</x:v>
      </x:c>
      <x:c r="U553" s="9" t="n">
        <x:f>H553*AA552*INDEX(tun_MortElder,G553)/4*Q553</x:f>
        <x:v>79.0072359782335</x:v>
      </x:c>
      <x:c r="V553" s="9" t="n">
        <x:f>H553*MAX(0,AB552-O553)*tun_OvercapLoss</x:f>
        <x:v>0</x:v>
      </x:c>
      <x:c r="W553" s="9" t="n">
        <x:f>H553*Y552/(tun_ChildYears*4)</x:f>
        <x:v>318.2798960421681</x:v>
      </x:c>
      <x:c r="X553" s="9" t="n">
        <x:f>H553*Z552/(tun_AdultYears*4)</x:f>
        <x:v>172.90688320947913</x:v>
      </x:c>
      <x:c r="Y553" s="32" t="n">
        <x:f>Y552+R553-S553-W553-Y552*V553/AB552</x:f>
        <x:v>17992.83033980944</x:v>
      </x:c>
      <x:c r="Z553" s="32" t="n">
        <x:f>Z552+W553-X553-T553-Z552*V553/AB552</x:f>
        <x:v>21569.746190669623</x:v>
      </x:c>
      <x:c r="AA553" s="32" t="n">
        <x:f>AA552+X553-U553-AA552*V553/AB552</x:f>
        <x:v>9670.53431125955</x:v>
      </x:c>
      <x:c r="AB553" s="10" t="n">
        <x:f>Y553+Z553+AA553</x:f>
        <x:v>49233.11084173861</x:v>
      </x:c>
      <x:c r="AC553" s="8" t="n">
        <x:f>IF(AND(tun_WinterTrigger=1,D553=1,AB552/AE552&gt;=K553),1,0)</x:f>
        <x:v>0</x:v>
      </x:c>
      <x:c r="AD553" s="8" t="n">
        <x:f>H553*IF(AND(OR(AB552/AE552&gt;=tun_FissionTrigger*N553,AC553=1),AB552/AE552*tun_DaughterShare&gt;=tun_MinDaughter),MAX(1,ROUND(AE552*tun_FissionRate,0)),0)</x:f>
        <x:v>0</x:v>
      </x:c>
      <x:c r="AE553" s="8" t="n">
        <x:f>IF(H553=1,MAX(1,MIN(INDEX(tun_Smax,G553),AE552+AD553)),AE552)</x:f>
        <x:v>9</x:v>
      </x:c>
      <x:c r="AF553" s="8" t="n">
        <x:f>MAX(0,AE553-AE552)</x:f>
        <x:v>0</x:v>
      </x:c>
      <x:c r="AG553" s="9" t="str">
        <x:f>IF(AF553&gt;0,B553,"")</x:f>
      </x:c>
      <x:c r="AH553" s="9" t="n">
        <x:f>IF(F553&gt;=1,1,(1+tun_LowTiesShare*(AE553-1))/AE553)</x:f>
        <x:v>1</x:v>
      </x:c>
      <x:c r="AI553" s="32" t="n">
        <x:f>(Z553+tun_ElderCommons*INDEX(LM_Elder,G553)*AA553)*AH553</x:f>
        <x:v>57834.24985789294</x:v>
      </x:c>
      <x:c r="AJ553" s="32" t="n">
        <x:f>H553*tun_CommonsCoef*AI553^tun_CommonsExp*INDEX(LM_Commons,G553)</x:f>
        <x:v>161565.81291648885</x:v>
      </x:c>
      <x:c r="AK553" s="32" t="n">
        <x:f>H553*tun_RoleScale*Arch_Roles*(AE553*(INDEX(tun_ElderRolePerSett,G553)*tun_OutElder*INDEX(LM_Elder,G553)+INDEX(tun_ShamanPerSett,G553)*tun_OutShaman)+Z553*(INDEX(tun_PriestShare,G553)*tun_OutPriest+INDEX(tun_ScribeShare,G553)*tun_OutScribe*INDEX(LM_Scribe,G553)+INDEX(tun_ScholarShare,G553)*tun_OutScholar*INDEX(LM_Scholar,G553)+INDEX(tun_ResearcherShare,G553)*tun_OutResearcher*INDEX(LM_Researcher,G553)))</x:f>
        <x:v>44806.298052651546</x:v>
      </x:c>
      <x:c r="AL553" s="32" t="n">
        <x:f>H553*tun_RoleScale*Arch_Roles*AE553*INDEX(tun_MonasteryPerSett,G553)*tun_OutMonastery*INDEX(LM_Monastery,G553)</x:f>
        <x:v>31.680000000000003</x:v>
      </x:c>
      <x:c r="AM553" s="32" t="n">
        <x:f>(AJ553+AK553+AL553)/4*INDEX(LM_All,G553)*INDEX(tun_Boon,G553)*Arch_Insight</x:f>
        <x:v>148712.17181678241</x:v>
      </x:c>
      <x:c r="AN553" s="32" t="n">
        <x:f>H553*(tun_KHPerAdult*Z553+tun_KHOfCommons*AJ553/4*INDEX(LM_All,G553))*tun_KHUsable*Arch_KH</x:f>
        <x:v>23407.41623438196</x:v>
      </x:c>
      <x:c r="AO553" s="32" t="n">
        <x:f>MIN(AP552+AN553,AM553*tun_KHMaxRatio)</x:f>
        <x:v>23407.41623438196</x:v>
      </x:c>
      <x:c r="AP553" s="32" t="n">
        <x:f>AP552+AN553-AO553</x:f>
        <x:v>0</x:v>
      </x:c>
      <x:c r="AQ553" s="32" t="n">
        <x:f>AM553+AO553</x:f>
        <x:v>172119.58805116438</x:v>
      </x:c>
      <x:c r="AR553" s="10" t="n">
        <x:f>IF(H553=1,INDEX(tun_Req,G553),0)</x:f>
        <x:v>24497531.045680594</x:v>
      </x:c>
      <x:c r="AS553" s="32" t="n">
        <x:f>IF(H553=1,IF(E553=1,AS552-AR552,AS552)+AQ553,0)</x:f>
        <x:v>8225450.895344333</x:v>
      </x:c>
      <x:c r="AT553" s="11" t="n">
        <x:f>IF(AR553&gt;0,MIN(1,AS553/AR553),1)</x:f>
        <x:v>0.33576652602281915</x:v>
      </x:c>
      <x:c r="AU553" s="10" t="n">
        <x:f>AB553/INDEX(tun_RepScale,G553)</x:f>
        <x:v>196.93244336695446</x:v>
      </x:c>
      <x:c r="AV553" s="32" t="n">
        <x:f>AM553*60/tun_SeasonSeconds</x:f>
        <x:v>594848.6872671297</x:v>
      </x:c>
    </x:row>
    <x:row r="554">
      <x:c r="A554" s="8" t="n">
        <x:f>A553+1</x:f>
        <x:v>551</x:v>
      </x:c>
      <x:c r="B554" s="9" t="n">
        <x:f>A554*tun_SeasonSeconds/60</x:f>
        <x:v>137.75</x:v>
      </x:c>
      <x:c r="C554" s="9" t="n">
        <x:f>A554/4</x:f>
        <x:v>137.75</x:v>
      </x:c>
      <x:c r="D554" s="8" t="n">
        <x:f>IF(MOD(A554,4)=0,1,0)</x:f>
        <x:v>0</x:v>
      </x:c>
      <x:c r="E554" s="8" t="n">
        <x:f>IF(AND(F553&lt;=9,AS553&gt;=AR553),1,0)</x:f>
        <x:v>0</x:v>
      </x:c>
      <x:c r="F554" s="8" t="n">
        <x:f>MIN(10,F553+E554)</x:f>
        <x:v>8</x:v>
      </x:c>
      <x:c r="G554" s="8" t="n">
        <x:f>MIN(F554,9)+1</x:f>
        <x:v>9</x:v>
      </x:c>
      <x:c r="H554" s="8" t="n">
        <x:f>IF(F554&lt;=9,1,0)</x:f>
        <x:v>1</x:v>
      </x:c>
      <x:c r="I554" s="9" t="n">
        <x:f>MIN(10,F553+IF(AR553&gt;0,MIN(1,AS553/AR553),1))</x:f>
        <x:v>8.33576652602282</x:v>
      </x:c>
      <x:c r="J554" s="32" t="n">
        <x:f>INDEX(tun_FoodCap,G554)*Arch_FoodCap*EXP(tun_CapsByProject*SUMPRODUCT((Cap_Point&lt;=I554)*(Cap_Kind="Food")*Cap_Ln))</x:f>
        <x:v>6502.383572524903</x:v>
      </x:c>
      <x:c r="K554" s="32" t="n">
        <x:f>J554*MIN(1,tun_LeanBase*EXP(tun_CapsByProject*SUMPRODUCT((Cap_Point&lt;=I554)*(Cap_Kind="Lean")*Cap_Ln)))</x:f>
        <x:v>6502.383572524903</x:v>
      </x:c>
      <x:c r="L554" s="10" t="n">
        <x:f>INDEX(tun_HousingCap,G554)*EXP(tun_CapsByProject*SUMPRODUCT((Cap_Point&lt;=I554)*(Cap_Kind="Housing")*Cap_Ln))</x:f>
        <x:v>6581.714062749661</x:v>
      </x:c>
      <x:c r="M554" s="10" t="n">
        <x:f>INDEX(tun_GroupCap,G554)*tun_CohesionFactor*EXP(tun_CapsByProject*SUMPRODUCT((Cap_Point&lt;=I554)*(Cap_Kind="Group")*Cap_Ln))</x:f>
        <x:v>1000000.000000001</x:v>
      </x:c>
      <x:c r="N554" s="32" t="n">
        <x:f>MIN(J554,L554,M554)</x:f>
        <x:v>6502.383572524903</x:v>
      </x:c>
      <x:c r="O554" s="10" t="n">
        <x:f>AE553*N554</x:f>
        <x:v>58521.45215272412</x:v>
      </x:c>
      <x:c r="P554" s="9" t="n">
        <x:f>MIN(1,(AB553/(AE553*IF(tun_GroupInCrowding=1,N554,MIN(J554,L554))))^tun_CrowdingExp)</x:f>
        <x:v>0.3545300914177831</x:v>
      </x:c>
      <x:c r="Q554" s="9" t="n">
        <x:f>IF(D554=1,INDEX(tun_WinterMult,G554),1)</x:f>
        <x:v>1</x:v>
      </x:c>
      <x:c r="R554" s="9" t="n">
        <x:f>H554*Z553*tun_WomenShare*tun_BaseFertility*INDEX(tun_FertMult,G554)*Arch_Fertility*(1-P554)</x:f>
        <x:v>497.7337401405349</x:v>
      </x:c>
      <x:c r="S554" s="9" t="n">
        <x:f>H554*Y553*INDEX(tun_MortChild,G554)/4*Q554</x:f>
        <x:v>20.241934132285618</x:v>
      </x:c>
      <x:c r="T554" s="9" t="n">
        <x:f>H554*Z553*INDEX(tun_MortAdult,G554)*Arch_AdultMort/4*Q554</x:f>
        <x:v>16.177309643002218</x:v>
      </x:c>
      <x:c r="U554" s="9" t="n">
        <x:f>H554*AA553*INDEX(tun_MortElder,G554)/4*Q554</x:f>
        <x:v>79.78190806789128</x:v>
      </x:c>
      <x:c r="V554" s="9" t="n">
        <x:f>H554*MAX(0,AB553-O554)*tun_OvercapLoss</x:f>
        <x:v>0</x:v>
      </x:c>
      <x:c r="W554" s="9" t="n">
        <x:f>H554*Y553/(tun_ChildYears*4)</x:f>
        <x:v>321.3005417823114</x:v>
      </x:c>
      <x:c r="X554" s="9" t="n">
        <x:f>H554*Z553/(tun_AdultYears*4)</x:f>
        <x:v>173.94956605378727</x:v>
      </x:c>
      <x:c r="Y554" s="32" t="n">
        <x:f>Y553+R554-S554-W554-Y553*V554/AB553</x:f>
        <x:v>18149.021604035377</x:v>
      </x:c>
      <x:c r="Z554" s="32" t="n">
        <x:f>Z553+W554-X554-T554-Z553*V554/AB553</x:f>
        <x:v>21700.919856755147</x:v>
      </x:c>
      <x:c r="AA554" s="32" t="n">
        <x:f>AA553+X554-U554-AA553*V554/AB553</x:f>
        <x:v>9764.701969245445</x:v>
      </x:c>
      <x:c r="AB554" s="10" t="n">
        <x:f>Y554+Z554+AA554</x:f>
        <x:v>49614.64343003597</x:v>
      </x:c>
      <x:c r="AC554" s="8" t="n">
        <x:f>IF(AND(tun_WinterTrigger=1,D554=1,AB553/AE553&gt;=K554),1,0)</x:f>
        <x:v>0</x:v>
      </x:c>
      <x:c r="AD554" s="8" t="n">
        <x:f>H554*IF(AND(OR(AB553/AE553&gt;=tun_FissionTrigger*N554,AC554=1),AB553/AE553*tun_DaughterShare&gt;=tun_MinDaughter),MAX(1,ROUND(AE553*tun_FissionRate,0)),0)</x:f>
        <x:v>0</x:v>
      </x:c>
      <x:c r="AE554" s="8" t="n">
        <x:f>IF(H554=1,MAX(1,MIN(INDEX(tun_Smax,G554),AE553+AD554)),AE553)</x:f>
        <x:v>9</x:v>
      </x:c>
      <x:c r="AF554" s="8" t="n">
        <x:f>MAX(0,AE554-AE553)</x:f>
        <x:v>0</x:v>
      </x:c>
      <x:c r="AG554" s="9" t="str">
        <x:f>IF(AF554&gt;0,B554,"")</x:f>
      </x:c>
      <x:c r="AH554" s="9" t="n">
        <x:f>IF(F554&gt;=1,1,(1+tun_LowTiesShare*(AE554-1))/AE554)</x:f>
        <x:v>1</x:v>
      </x:c>
      <x:c r="AI554" s="32" t="n">
        <x:f>(Z554+tun_ElderCommons*INDEX(LM_Elder,G554)*AA554)*AH554</x:f>
        <x:v>58318.55224142557</x:v>
      </x:c>
      <x:c r="AJ554" s="32" t="n">
        <x:f>H554*tun_CommonsCoef*AI554^tun_CommonsExp*INDEX(LM_Commons,G554)</x:f>
        <x:v>162715.0984077054</x:v>
      </x:c>
      <x:c r="AK554" s="32" t="n">
        <x:f>H554*tun_RoleScale*Arch_Roles*(AE554*(INDEX(tun_ElderRolePerSett,G554)*tun_OutElder*INDEX(LM_Elder,G554)+INDEX(tun_ShamanPerSett,G554)*tun_OutShaman)+Z554*(INDEX(tun_PriestShare,G554)*tun_OutPriest+INDEX(tun_ScribeShare,G554)*tun_OutScribe*INDEX(LM_Scribe,G554)+INDEX(tun_ScholarShare,G554)*tun_OutScholar*INDEX(LM_Scholar,G554)+INDEX(tun_ResearcherShare,G554)*tun_OutResearcher*INDEX(LM_Researcher,G554)))</x:f>
        <x:v>45077.304077792294</x:v>
      </x:c>
      <x:c r="AL554" s="32" t="n">
        <x:f>H554*tun_RoleScale*Arch_Roles*AE554*INDEX(tun_MonasteryPerSett,G554)*tun_OutMonastery*INDEX(LM_Monastery,G554)</x:f>
        <x:v>31.680000000000003</x:v>
      </x:c>
      <x:c r="AM554" s="32" t="n">
        <x:f>(AJ554+AK554+AL554)/4*INDEX(LM_All,G554)*INDEX(tun_Boon,G554)*Arch_Insight</x:f>
        <x:v>149735.47974644165</x:v>
      </x:c>
      <x:c r="AN554" s="32" t="n">
        <x:f>H554*(tun_KHPerAdult*Z554+tun_KHOfCommons*AJ554/4*INDEX(LM_All,G554))*tun_KHUsable*Arch_KH</x:f>
        <x:v>23573.92301808469</x:v>
      </x:c>
      <x:c r="AO554" s="32" t="n">
        <x:f>MIN(AP553+AN554,AM554*tun_KHMaxRatio)</x:f>
        <x:v>23573.92301808469</x:v>
      </x:c>
      <x:c r="AP554" s="32" t="n">
        <x:f>AP553+AN554-AO554</x:f>
        <x:v>0</x:v>
      </x:c>
      <x:c r="AQ554" s="32" t="n">
        <x:f>AM554+AO554</x:f>
        <x:v>173309.40276452634</x:v>
      </x:c>
      <x:c r="AR554" s="10" t="n">
        <x:f>IF(H554=1,INDEX(tun_Req,G554),0)</x:f>
        <x:v>24497531.045680594</x:v>
      </x:c>
      <x:c r="AS554" s="32" t="n">
        <x:f>IF(H554=1,IF(E554=1,AS553-AR553,AS553)+AQ554,0)</x:f>
        <x:v>8398760.298108859</x:v>
      </x:c>
      <x:c r="AT554" s="11" t="n">
        <x:f>IF(AR554&gt;0,MIN(1,AS554/AR554),1)</x:f>
        <x:v>0.3428410921266994</x:v>
      </x:c>
      <x:c r="AU554" s="10" t="n">
        <x:f>AB554/INDEX(tun_RepScale,G554)</x:f>
        <x:v>198.45857372014387</x:v>
      </x:c>
      <x:c r="AV554" s="32" t="n">
        <x:f>AM554*60/tun_SeasonSeconds</x:f>
        <x:v>598941.9189857666</x:v>
      </x:c>
    </x:row>
    <x:row r="555">
      <x:c r="A555" s="8" t="n">
        <x:f>A554+1</x:f>
        <x:v>552</x:v>
      </x:c>
      <x:c r="B555" s="9" t="n">
        <x:f>A555*tun_SeasonSeconds/60</x:f>
        <x:v>138</x:v>
      </x:c>
      <x:c r="C555" s="9" t="n">
        <x:f>A555/4</x:f>
        <x:v>138</x:v>
      </x:c>
      <x:c r="D555" s="8" t="n">
        <x:f>IF(MOD(A555,4)=0,1,0)</x:f>
        <x:v>1</x:v>
      </x:c>
      <x:c r="E555" s="8" t="n">
        <x:f>IF(AND(F554&lt;=9,AS554&gt;=AR554),1,0)</x:f>
        <x:v>0</x:v>
      </x:c>
      <x:c r="F555" s="8" t="n">
        <x:f>MIN(10,F554+E555)</x:f>
        <x:v>8</x:v>
      </x:c>
      <x:c r="G555" s="8" t="n">
        <x:f>MIN(F555,9)+1</x:f>
        <x:v>9</x:v>
      </x:c>
      <x:c r="H555" s="8" t="n">
        <x:f>IF(F555&lt;=9,1,0)</x:f>
        <x:v>1</x:v>
      </x:c>
      <x:c r="I555" s="9" t="n">
        <x:f>MIN(10,F554+IF(AR554&gt;0,MIN(1,AS554/AR554),1))</x:f>
        <x:v>8.342841092126699</x:v>
      </x:c>
      <x:c r="J555" s="32" t="n">
        <x:f>INDEX(tun_FoodCap,G555)*Arch_FoodCap*EXP(tun_CapsByProject*SUMPRODUCT((Cap_Point&lt;=I555)*(Cap_Kind="Food")*Cap_Ln))</x:f>
        <x:v>6502.383572524903</x:v>
      </x:c>
      <x:c r="K555" s="32" t="n">
        <x:f>J555*MIN(1,tun_LeanBase*EXP(tun_CapsByProject*SUMPRODUCT((Cap_Point&lt;=I555)*(Cap_Kind="Lean")*Cap_Ln)))</x:f>
        <x:v>6502.383572524903</x:v>
      </x:c>
      <x:c r="L555" s="10" t="n">
        <x:f>INDEX(tun_HousingCap,G555)*EXP(tun_CapsByProject*SUMPRODUCT((Cap_Point&lt;=I555)*(Cap_Kind="Housing")*Cap_Ln))</x:f>
        <x:v>6581.714062749661</x:v>
      </x:c>
      <x:c r="M555" s="10" t="n">
        <x:f>INDEX(tun_GroupCap,G555)*tun_CohesionFactor*EXP(tun_CapsByProject*SUMPRODUCT((Cap_Point&lt;=I555)*(Cap_Kind="Group")*Cap_Ln))</x:f>
        <x:v>1000000.000000001</x:v>
      </x:c>
      <x:c r="N555" s="32" t="n">
        <x:f>MIN(J555,L555,M555)</x:f>
        <x:v>6502.383572524903</x:v>
      </x:c>
      <x:c r="O555" s="10" t="n">
        <x:f>AE554*N555</x:f>
        <x:v>58521.45215272412</x:v>
      </x:c>
      <x:c r="P555" s="9" t="n">
        <x:f>MIN(1,(AB554/(AE554*IF(tun_GroupInCrowding=1,N555,MIN(J555,L555))))^tun_CrowdingExp)</x:f>
        <x:v>0.37133739124123133</x:v>
      </x:c>
      <x:c r="Q555" s="9" t="n">
        <x:f>IF(D555=1,INDEX(tun_WinterMult,G555),1)</x:f>
        <x:v>1.05</x:v>
      </x:c>
      <x:c r="R555" s="9" t="n">
        <x:f>H555*Z554*tun_WomenShare*tun_BaseFertility*INDEX(tun_FertMult,G555)*Arch_Fertility*(1-P555)</x:f>
        <x:v>487.7214088036525</x:v>
      </x:c>
      <x:c r="S555" s="9" t="n">
        <x:f>H555*Y554*INDEX(tun_MortChild,G555)/4*Q555</x:f>
        <x:v>21.438531769766787</x:v>
      </x:c>
      <x:c r="T555" s="9" t="n">
        <x:f>H555*Z554*INDEX(tun_MortAdult,G555)*Arch_AdultMort/4*Q555</x:f>
        <x:v>17.08947438719468</x:v>
      </x:c>
      <x:c r="U555" s="9" t="n">
        <x:f>H555*AA554*INDEX(tun_MortElder,G555)/4*Q555</x:f>
        <x:v>84.58673080858867</x:v>
      </x:c>
      <x:c r="V555" s="9" t="n">
        <x:f>H555*MAX(0,AB554-O555)*tun_OvercapLoss</x:f>
        <x:v>0</x:v>
      </x:c>
      <x:c r="W555" s="9" t="n">
        <x:f>H555*Y554/(tun_ChildYears*4)</x:f>
        <x:v>324.0896715006317</x:v>
      </x:c>
      <x:c r="X555" s="9" t="n">
        <x:f>H555*Z554/(tun_AdultYears*4)</x:f>
        <x:v>175.00741819963827</x:v>
      </x:c>
      <x:c r="Y555" s="32" t="n">
        <x:f>Y554+R555-S555-W555-Y554*V555/AB554</x:f>
        <x:v>18291.21480956863</x:v>
      </x:c>
      <x:c r="Z555" s="32" t="n">
        <x:f>Z554+W555-X555-T555-Z554*V555/AB554</x:f>
        <x:v>21832.912635668945</x:v>
      </x:c>
      <x:c r="AA555" s="32" t="n">
        <x:f>AA554+X555-U555-AA554*V555/AB554</x:f>
        <x:v>9855.122656636495</x:v>
      </x:c>
      <x:c r="AB555" s="10" t="n">
        <x:f>Y555+Z555+AA555</x:f>
        <x:v>49979.25010187407</x:v>
      </x:c>
      <x:c r="AC555" s="8" t="n">
        <x:f>IF(AND(tun_WinterTrigger=1,D555=1,AB554/AE554&gt;=K555),1,0)</x:f>
        <x:v>0</x:v>
      </x:c>
      <x:c r="AD555" s="8" t="n">
        <x:f>H555*IF(AND(OR(AB554/AE554&gt;=tun_FissionTrigger*N555,AC555=1),AB554/AE554*tun_DaughterShare&gt;=tun_MinDaughter),MAX(1,ROUND(AE554*tun_FissionRate,0)),0)</x:f>
        <x:v>0</x:v>
      </x:c>
      <x:c r="AE555" s="8" t="n">
        <x:f>IF(H555=1,MAX(1,MIN(INDEX(tun_Smax,G555),AE554+AD555)),AE554)</x:f>
        <x:v>9</x:v>
      </x:c>
      <x:c r="AF555" s="8" t="n">
        <x:f>MAX(0,AE555-AE554)</x:f>
        <x:v>0</x:v>
      </x:c>
      <x:c r="AG555" s="9" t="str">
        <x:f>IF(AF555&gt;0,B555,"")</x:f>
      </x:c>
      <x:c r="AH555" s="9" t="n">
        <x:f>IF(F555&gt;=1,1,(1+tun_LowTiesShare*(AE555-1))/AE555)</x:f>
        <x:v>1</x:v>
      </x:c>
      <x:c r="AI555" s="32" t="n">
        <x:f>(Z555+tun_ElderCommons*INDEX(LM_Elder,G555)*AA555)*AH555</x:f>
        <x:v>58789.6225980558</x:v>
      </x:c>
      <x:c r="AJ555" s="32" t="n">
        <x:f>H555*tun_CommonsCoef*AI555^tun_CommonsExp*INDEX(LM_Commons,G555)</x:f>
        <x:v>163831.61054981343</x:v>
      </x:c>
      <x:c r="AK555" s="32" t="n">
        <x:f>H555*tun_RoleScale*Arch_Roles*(AE555*(INDEX(tun_ElderRolePerSett,G555)*tun_OutElder*INDEX(LM_Elder,G555)+INDEX(tun_ShamanPerSett,G555)*tun_OutShaman)+Z555*(INDEX(tun_PriestShare,G555)*tun_OutPriest+INDEX(tun_ScribeShare,G555)*tun_OutScribe*INDEX(LM_Scribe,G555)+INDEX(tun_ScholarShare,G555)*tun_OutScholar*INDEX(LM_Scholar,G555)+INDEX(tun_ResearcherShare,G555)*tun_OutResearcher*INDEX(LM_Researcher,G555)))</x:f>
        <x:v>45350.00239772328</x:v>
      </x:c>
      <x:c r="AL555" s="32" t="n">
        <x:f>H555*tun_RoleScale*Arch_Roles*AE555*INDEX(tun_MonasteryPerSett,G555)*tun_OutMonastery*INDEX(LM_Monastery,G555)</x:f>
        <x:v>31.680000000000003</x:v>
      </x:c>
      <x:c r="AM555" s="32" t="n">
        <x:f>(AJ555+AK555+AL555)/4*INDEX(LM_All,G555)*INDEX(tun_Boon,G555)*Arch_Insight</x:f>
        <x:v>150736.39404142814</x:v>
      </x:c>
      <x:c r="AN555" s="32" t="n">
        <x:f>H555*(tun_KHPerAdult*Z555+tun_KHOfCommons*AJ555/4*INDEX(LM_All,G555))*tun_KHUsable*Arch_KH</x:f>
        <x:v>23735.681647396774</x:v>
      </x:c>
      <x:c r="AO555" s="32" t="n">
        <x:f>MIN(AP554+AN555,AM555*tun_KHMaxRatio)</x:f>
        <x:v>23735.681647396774</x:v>
      </x:c>
      <x:c r="AP555" s="32" t="n">
        <x:f>AP554+AN555-AO555</x:f>
        <x:v>0</x:v>
      </x:c>
      <x:c r="AQ555" s="32" t="n">
        <x:f>AM555+AO555</x:f>
        <x:v>174472.0756888249</x:v>
      </x:c>
      <x:c r="AR555" s="10" t="n">
        <x:f>IF(H555=1,INDEX(tun_Req,G555),0)</x:f>
        <x:v>24497531.045680594</x:v>
      </x:c>
      <x:c r="AS555" s="32" t="n">
        <x:f>IF(H555=1,IF(E555=1,AS554-AR554,AS554)+AQ555,0)</x:f>
        <x:v>8573232.373797683</x:v>
      </x:c>
      <x:c r="AT555" s="11" t="n">
        <x:f>IF(AR555&gt;0,MIN(1,AS555/AR555),1)</x:f>
        <x:v>0.349963119051106</x:v>
      </x:c>
      <x:c r="AU555" s="10" t="n">
        <x:f>AB555/INDEX(tun_RepScale,G555)</x:f>
        <x:v>199.9170004074963</x:v>
      </x:c>
      <x:c r="AV555" s="32" t="n">
        <x:f>AM555*60/tun_SeasonSeconds</x:f>
        <x:v>602945.5761657126</x:v>
      </x:c>
    </x:row>
    <x:row r="556">
      <x:c r="A556" s="8" t="n">
        <x:f>A555+1</x:f>
        <x:v>553</x:v>
      </x:c>
      <x:c r="B556" s="9" t="n">
        <x:f>A556*tun_SeasonSeconds/60</x:f>
        <x:v>138.25</x:v>
      </x:c>
      <x:c r="C556" s="9" t="n">
        <x:f>A556/4</x:f>
        <x:v>138.25</x:v>
      </x:c>
      <x:c r="D556" s="8" t="n">
        <x:f>IF(MOD(A556,4)=0,1,0)</x:f>
        <x:v>0</x:v>
      </x:c>
      <x:c r="E556" s="8" t="n">
        <x:f>IF(AND(F555&lt;=9,AS555&gt;=AR555),1,0)</x:f>
        <x:v>0</x:v>
      </x:c>
      <x:c r="F556" s="8" t="n">
        <x:f>MIN(10,F555+E556)</x:f>
        <x:v>8</x:v>
      </x:c>
      <x:c r="G556" s="8" t="n">
        <x:f>MIN(F556,9)+1</x:f>
        <x:v>9</x:v>
      </x:c>
      <x:c r="H556" s="8" t="n">
        <x:f>IF(F556&lt;=9,1,0)</x:f>
        <x:v>1</x:v>
      </x:c>
      <x:c r="I556" s="9" t="n">
        <x:f>MIN(10,F555+IF(AR555&gt;0,MIN(1,AS555/AR555),1))</x:f>
        <x:v>8.349963119051106</x:v>
      </x:c>
      <x:c r="J556" s="32" t="n">
        <x:f>INDEX(tun_FoodCap,G556)*Arch_FoodCap*EXP(tun_CapsByProject*SUMPRODUCT((Cap_Point&lt;=I556)*(Cap_Kind="Food")*Cap_Ln))</x:f>
        <x:v>6502.383572524903</x:v>
      </x:c>
      <x:c r="K556" s="32" t="n">
        <x:f>J556*MIN(1,tun_LeanBase*EXP(tun_CapsByProject*SUMPRODUCT((Cap_Point&lt;=I556)*(Cap_Kind="Lean")*Cap_Ln)))</x:f>
        <x:v>6502.383572524903</x:v>
      </x:c>
      <x:c r="L556" s="10" t="n">
        <x:f>INDEX(tun_HousingCap,G556)*EXP(tun_CapsByProject*SUMPRODUCT((Cap_Point&lt;=I556)*(Cap_Kind="Housing")*Cap_Ln))</x:f>
        <x:v>6581.714062749661</x:v>
      </x:c>
      <x:c r="M556" s="10" t="n">
        <x:f>INDEX(tun_GroupCap,G556)*tun_CohesionFactor*EXP(tun_CapsByProject*SUMPRODUCT((Cap_Point&lt;=I556)*(Cap_Kind="Group")*Cap_Ln))</x:f>
        <x:v>1000000.000000001</x:v>
      </x:c>
      <x:c r="N556" s="32" t="n">
        <x:f>MIN(J556,L556,M556)</x:f>
        <x:v>6502.383572524903</x:v>
      </x:c>
      <x:c r="O556" s="10" t="n">
        <x:f>AE555*N556</x:f>
        <x:v>58521.45215272412</x:v>
      </x:c>
      <x:c r="P556" s="9" t="n">
        <x:f>MIN(1,(AB555/(AE555*IF(tun_GroupInCrowding=1,N556,MIN(J556,L556))))^tun_CrowdingExp)</x:f>
        <x:v>0.3880144045486747</x:v>
      </x:c>
      <x:c r="Q556" s="9" t="n">
        <x:f>IF(D556=1,INDEX(tun_WinterMult,G556),1)</x:f>
        <x:v>1</x:v>
      </x:c>
      <x:c r="R556" s="9" t="n">
        <x:f>H556*Z555*tun_WomenShare*tun_BaseFertility*INDEX(tun_FertMult,G556)*Arch_Fertility*(1-P556)</x:f>
        <x:v>477.6710524220144</x:v>
      </x:c>
      <x:c r="S556" s="9" t="n">
        <x:f>H556*Y555*INDEX(tun_MortChild,G556)/4*Q556</x:f>
        <x:v>20.577616660764708</x:v>
      </x:c>
      <x:c r="T556" s="9" t="n">
        <x:f>H556*Z555*INDEX(tun_MortAdult,G556)*Arch_AdultMort/4*Q556</x:f>
        <x:v>16.37468447675171</x:v>
      </x:c>
      <x:c r="U556" s="9" t="n">
        <x:f>H556*AA555*INDEX(tun_MortElder,G556)/4*Q556</x:f>
        <x:v>81.30476191725108</x:v>
      </x:c>
      <x:c r="V556" s="9" t="n">
        <x:f>H556*MAX(0,AB555-O556)*tun_OvercapLoss</x:f>
        <x:v>0</x:v>
      </x:c>
      <x:c r="W556" s="9" t="n">
        <x:f>H556*Y555/(tun_ChildYears*4)</x:f>
        <x:v>326.62883588515416</x:v>
      </x:c>
      <x:c r="X556" s="9" t="n">
        <x:f>H556*Z555/(tun_AdultYears*4)</x:f>
        <x:v>176.0718760941044</x:v>
      </x:c>
      <x:c r="Y556" s="32" t="n">
        <x:f>Y555+R556-S556-W556-Y555*V556/AB555</x:f>
        <x:v>18421.67940944473</x:v>
      </x:c>
      <x:c r="Z556" s="32" t="n">
        <x:f>Z555+W556-X556-T556-Z555*V556/AB555</x:f>
        <x:v>21967.09491098324</x:v>
      </x:c>
      <x:c r="AA556" s="32" t="n">
        <x:f>AA555+X556-U556-AA555*V556/AB555</x:f>
        <x:v>9949.889770813348</x:v>
      </x:c>
      <x:c r="AB556" s="10" t="n">
        <x:f>Y556+Z556+AA556</x:f>
        <x:v>50338.66409124131</x:v>
      </x:c>
      <x:c r="AC556" s="8" t="n">
        <x:f>IF(AND(tun_WinterTrigger=1,D556=1,AB555/AE555&gt;=K556),1,0)</x:f>
        <x:v>0</x:v>
      </x:c>
      <x:c r="AD556" s="8" t="n">
        <x:f>H556*IF(AND(OR(AB555/AE555&gt;=tun_FissionTrigger*N556,AC556=1),AB555/AE555*tun_DaughterShare&gt;=tun_MinDaughter),MAX(1,ROUND(AE555*tun_FissionRate,0)),0)</x:f>
        <x:v>3</x:v>
      </x:c>
      <x:c r="AE556" s="8" t="n">
        <x:f>IF(H556=1,MAX(1,MIN(INDEX(tun_Smax,G556),AE555+AD556)),AE555)</x:f>
        <x:v>9</x:v>
      </x:c>
      <x:c r="AF556" s="8" t="n">
        <x:f>MAX(0,AE556-AE555)</x:f>
        <x:v>0</x:v>
      </x:c>
      <x:c r="AG556" s="9" t="str">
        <x:f>IF(AF556&gt;0,B556,"")</x:f>
      </x:c>
      <x:c r="AH556" s="9" t="n">
        <x:f>IF(F556&gt;=1,1,(1+tun_LowTiesShare*(AE556-1))/AE556)</x:f>
        <x:v>1</x:v>
      </x:c>
      <x:c r="AI556" s="32" t="n">
        <x:f>(Z556+tun_ElderCommons*INDEX(LM_Elder,G556)*AA556)*AH556</x:f>
        <x:v>59279.1815515333</x:v>
      </x:c>
      <x:c r="AJ556" s="32" t="n">
        <x:f>H556*tun_CommonsCoef*AI556^tun_CommonsExp*INDEX(LM_Commons,G556)</x:f>
        <x:v>164990.52263571645</x:v>
      </x:c>
      <x:c r="AK556" s="32" t="n">
        <x:f>H556*tun_RoleScale*Arch_Roles*(AE556*(INDEX(tun_ElderRolePerSett,G556)*tun_OutElder*INDEX(LM_Elder,G556)+INDEX(tun_ShamanPerSett,G556)*tun_OutShaman)+Z556*(INDEX(tun_PriestShare,G556)*tun_OutPriest+INDEX(tun_ScribeShare,G556)*tun_OutScribe*INDEX(LM_Scribe,G556)+INDEX(tun_ScholarShare,G556)*tun_OutScholar*INDEX(LM_Scholar,G556)+INDEX(tun_ResearcherShare,G556)*tun_OutResearcher*INDEX(LM_Researcher,G556)))</x:f>
        <x:v>45627.224237765164</x:v>
      </x:c>
      <x:c r="AL556" s="32" t="n">
        <x:f>H556*tun_RoleScale*Arch_Roles*AE556*INDEX(tun_MonasteryPerSett,G556)*tun_OutMonastery*INDEX(LM_Monastery,G556)</x:f>
        <x:v>31.680000000000003</x:v>
      </x:c>
      <x:c r="AM556" s="32" t="n">
        <x:f>(AJ556+AK556+AL556)/4*INDEX(LM_All,G556)*INDEX(tun_Boon,G556)*Arch_Insight</x:f>
        <x:v>151771.1162921399</x:v>
      </x:c>
      <x:c r="AN556" s="32" t="n">
        <x:f>H556*(tun_KHPerAdult*Z556+tun_KHOfCommons*AJ556/4*INDEX(LM_All,G556))*tun_KHUsable*Arch_KH</x:f>
        <x:v>23903.583117912753</x:v>
      </x:c>
      <x:c r="AO556" s="32" t="n">
        <x:f>MIN(AP555+AN556,AM556*tun_KHMaxRatio)</x:f>
        <x:v>23903.583117912753</x:v>
      </x:c>
      <x:c r="AP556" s="32" t="n">
        <x:f>AP555+AN556-AO556</x:f>
        <x:v>0</x:v>
      </x:c>
      <x:c r="AQ556" s="32" t="n">
        <x:f>AM556+AO556</x:f>
        <x:v>175674.69941005265</x:v>
      </x:c>
      <x:c r="AR556" s="10" t="n">
        <x:f>IF(H556=1,INDEX(tun_Req,G556),0)</x:f>
        <x:v>24497531.045680594</x:v>
      </x:c>
      <x:c r="AS556" s="32" t="n">
        <x:f>IF(H556=1,IF(E556=1,AS555-AR555,AS555)+AQ556,0)</x:f>
        <x:v>8748907.073207736</x:v>
      </x:c>
      <x:c r="AT556" s="11" t="n">
        <x:f>IF(AR556&gt;0,MIN(1,AS556/AR556),1)</x:f>
        <x:v>0.3571342376051542</x:v>
      </x:c>
      <x:c r="AU556" s="10" t="n">
        <x:f>AB556/INDEX(tun_RepScale,G556)</x:f>
        <x:v>201.35465636496525</x:v>
      </x:c>
      <x:c r="AV556" s="32" t="n">
        <x:f>AM556*60/tun_SeasonSeconds</x:f>
        <x:v>607084.4651685596</x:v>
      </x:c>
    </x:row>
    <x:row r="557">
      <x:c r="A557" s="8" t="n">
        <x:f>A556+1</x:f>
        <x:v>554</x:v>
      </x:c>
      <x:c r="B557" s="9" t="n">
        <x:f>A557*tun_SeasonSeconds/60</x:f>
        <x:v>138.5</x:v>
      </x:c>
      <x:c r="C557" s="9" t="n">
        <x:f>A557/4</x:f>
        <x:v>138.5</x:v>
      </x:c>
      <x:c r="D557" s="8" t="n">
        <x:f>IF(MOD(A557,4)=0,1,0)</x:f>
        <x:v>0</x:v>
      </x:c>
      <x:c r="E557" s="8" t="n">
        <x:f>IF(AND(F556&lt;=9,AS556&gt;=AR556),1,0)</x:f>
        <x:v>0</x:v>
      </x:c>
      <x:c r="F557" s="8" t="n">
        <x:f>MIN(10,F556+E557)</x:f>
        <x:v>8</x:v>
      </x:c>
      <x:c r="G557" s="8" t="n">
        <x:f>MIN(F557,9)+1</x:f>
        <x:v>9</x:v>
      </x:c>
      <x:c r="H557" s="8" t="n">
        <x:f>IF(F557&lt;=9,1,0)</x:f>
        <x:v>1</x:v>
      </x:c>
      <x:c r="I557" s="9" t="n">
        <x:f>MIN(10,F556+IF(AR556&gt;0,MIN(1,AS556/AR556),1))</x:f>
        <x:v>8.357134237605154</x:v>
      </x:c>
      <x:c r="J557" s="32" t="n">
        <x:f>INDEX(tun_FoodCap,G557)*Arch_FoodCap*EXP(tun_CapsByProject*SUMPRODUCT((Cap_Point&lt;=I557)*(Cap_Kind="Food")*Cap_Ln))</x:f>
        <x:v>6502.383572524903</x:v>
      </x:c>
      <x:c r="K557" s="32" t="n">
        <x:f>J557*MIN(1,tun_LeanBase*EXP(tun_CapsByProject*SUMPRODUCT((Cap_Point&lt;=I557)*(Cap_Kind="Lean")*Cap_Ln)))</x:f>
        <x:v>6502.383572524903</x:v>
      </x:c>
      <x:c r="L557" s="10" t="n">
        <x:f>INDEX(tun_HousingCap,G557)*EXP(tun_CapsByProject*SUMPRODUCT((Cap_Point&lt;=I557)*(Cap_Kind="Housing")*Cap_Ln))</x:f>
        <x:v>6581.714062749661</x:v>
      </x:c>
      <x:c r="M557" s="10" t="n">
        <x:f>INDEX(tun_GroupCap,G557)*tun_CohesionFactor*EXP(tun_CapsByProject*SUMPRODUCT((Cap_Point&lt;=I557)*(Cap_Kind="Group")*Cap_Ln))</x:f>
        <x:v>1000000.000000001</x:v>
      </x:c>
      <x:c r="N557" s="32" t="n">
        <x:f>MIN(J557,L557,M557)</x:f>
        <x:v>6502.383572524903</x:v>
      </x:c>
      <x:c r="O557" s="10" t="n">
        <x:f>AE556*N557</x:f>
        <x:v>58521.45215272412</x:v>
      </x:c>
      <x:c r="P557" s="9" t="n">
        <x:f>MIN(1,(AB556/(AE556*IF(tun_GroupInCrowding=1,N557,MIN(J557,L557))))^tun_CrowdingExp)</x:f>
        <x:v>0.40506017888062357</x:v>
      </x:c>
      <x:c r="Q557" s="9" t="n">
        <x:f>IF(D557=1,INDEX(tun_WinterMult,G557),1)</x:f>
        <x:v>1</x:v>
      </x:c>
      <x:c r="R557" s="9" t="n">
        <x:f>H557*Z556*tun_WomenShare*tun_BaseFertility*INDEX(tun_FertMult,G557)*Arch_Fertility*(1-P557)</x:f>
        <x:v>467.2203077274852</x:v>
      </x:c>
      <x:c r="S557" s="9" t="n">
        <x:f>H557*Y556*INDEX(tun_MortChild,G557)/4*Q557</x:f>
        <x:v>20.724389335625318</x:v>
      </x:c>
      <x:c r="T557" s="9" t="n">
        <x:f>H557*Z556*INDEX(tun_MortAdult,G557)*Arch_AdultMort/4*Q557</x:f>
        <x:v>16.47532118323743</x:v>
      </x:c>
      <x:c r="U557" s="9" t="n">
        <x:f>H557*AA556*INDEX(tun_MortElder,G557)/4*Q557</x:f>
        <x:v>82.08659060921012</x:v>
      </x:c>
      <x:c r="V557" s="9" t="n">
        <x:f>H557*MAX(0,AB556-O557)*tun_OvercapLoss</x:f>
        <x:v>0</x:v>
      </x:c>
      <x:c r="W557" s="9" t="n">
        <x:f>H557*Y556/(tun_ChildYears*4)</x:f>
        <x:v>328.9585608829416</x:v>
      </x:c>
      <x:c r="X557" s="9" t="n">
        <x:f>H557*Z556/(tun_AdultYears*4)</x:f>
        <x:v>177.15399121760677</x:v>
      </x:c>
      <x:c r="Y557" s="32" t="n">
        <x:f>Y556+R557-S557-W557-Y556*V557/AB556</x:f>
        <x:v>18539.21676695365</x:v>
      </x:c>
      <x:c r="Z557" s="32" t="n">
        <x:f>Z556+W557-X557-T557-Z556*V557/AB556</x:f>
        <x:v>22102.424159465336</x:v>
      </x:c>
      <x:c r="AA557" s="32" t="n">
        <x:f>AA556+X557-U557-AA556*V557/AB556</x:f>
        <x:v>10044.957171421745</x:v>
      </x:c>
      <x:c r="AB557" s="10" t="n">
        <x:f>Y557+Z557+AA557</x:f>
        <x:v>50686.59809784073</x:v>
      </x:c>
      <x:c r="AC557" s="8" t="n">
        <x:f>IF(AND(tun_WinterTrigger=1,D557=1,AB556/AE556&gt;=K557),1,0)</x:f>
        <x:v>0</x:v>
      </x:c>
      <x:c r="AD557" s="8" t="n">
        <x:f>H557*IF(AND(OR(AB556/AE556&gt;=tun_FissionTrigger*N557,AC557=1),AB556/AE556*tun_DaughterShare&gt;=tun_MinDaughter),MAX(1,ROUND(AE556*tun_FissionRate,0)),0)</x:f>
        <x:v>3</x:v>
      </x:c>
      <x:c r="AE557" s="8" t="n">
        <x:f>IF(H557=1,MAX(1,MIN(INDEX(tun_Smax,G557),AE556+AD557)),AE556)</x:f>
        <x:v>9</x:v>
      </x:c>
      <x:c r="AF557" s="8" t="n">
        <x:f>MAX(0,AE557-AE556)</x:f>
        <x:v>0</x:v>
      </x:c>
      <x:c r="AG557" s="9" t="str">
        <x:f>IF(AF557&gt;0,B557,"")</x:f>
      </x:c>
      <x:c r="AH557" s="9" t="n">
        <x:f>IF(F557&gt;=1,1,(1+tun_LowTiesShare*(AE557-1))/AE557)</x:f>
        <x:v>1</x:v>
      </x:c>
      <x:c r="AI557" s="32" t="n">
        <x:f>(Z557+tun_ElderCommons*INDEX(LM_Elder,G557)*AA557)*AH557</x:f>
        <x:v>59771.013552296885</x:v>
      </x:c>
      <x:c r="AJ557" s="32" t="n">
        <x:f>H557*tun_CommonsCoef*AI557^tun_CommonsExp*INDEX(LM_Commons,G557)</x:f>
        <x:v>166153.37085754977</x:v>
      </x:c>
      <x:c r="AK557" s="32" t="n">
        <x:f>H557*tun_RoleScale*Arch_Roles*(AE557*(INDEX(tun_ElderRolePerSett,G557)*tun_OutElder*INDEX(LM_Elder,G557)+INDEX(tun_ShamanPerSett,G557)*tun_OutShaman)+Z557*(INDEX(tun_PriestShare,G557)*tun_OutPriest+INDEX(tun_ScribeShare,G557)*tun_OutScribe*INDEX(LM_Scribe,G557)+INDEX(tun_ScholarShare,G557)*tun_OutScholar*INDEX(LM_Scholar,G557)+INDEX(tun_ResearcherShare,G557)*tun_OutResearcher*INDEX(LM_Researcher,G557)))</x:f>
        <x:v>45906.81573513557</x:v>
      </x:c>
      <x:c r="AL557" s="32" t="n">
        <x:f>H557*tun_RoleScale*Arch_Roles*AE557*INDEX(tun_MonasteryPerSett,G557)*tun_OutMonastery*INDEX(LM_Monastery,G557)</x:f>
        <x:v>31.680000000000003</x:v>
      </x:c>
      <x:c r="AM557" s="32" t="n">
        <x:f>(AJ557+AK557+AL557)/4*INDEX(LM_All,G557)*INDEX(tun_Boon,G557)*Arch_Insight</x:f>
        <x:v>152810.38181313826</x:v>
      </x:c>
      <x:c r="AN557" s="32" t="n">
        <x:f>H557*(tun_KHPerAdult*Z557+tun_KHOfCommons*AJ557/4*INDEX(LM_All,G557))*tun_KHUsable*Arch_KH</x:f>
        <x:v>24072.054849986005</x:v>
      </x:c>
      <x:c r="AO557" s="32" t="n">
        <x:f>MIN(AP556+AN557,AM557*tun_KHMaxRatio)</x:f>
        <x:v>24072.054849986005</x:v>
      </x:c>
      <x:c r="AP557" s="32" t="n">
        <x:f>AP556+AN557-AO557</x:f>
        <x:v>0</x:v>
      </x:c>
      <x:c r="AQ557" s="32" t="n">
        <x:f>AM557+AO557</x:f>
        <x:v>176882.43666312427</x:v>
      </x:c>
      <x:c r="AR557" s="10" t="n">
        <x:f>IF(H557=1,INDEX(tun_Req,G557),0)</x:f>
        <x:v>24497531.045680594</x:v>
      </x:c>
      <x:c r="AS557" s="32" t="n">
        <x:f>IF(H557=1,IF(E557=1,AS556-AR556,AS556)+AQ557,0)</x:f>
        <x:v>8925789.50987086</x:v>
      </x:c>
      <x:c r="AT557" s="11" t="n">
        <x:f>IF(AR557&gt;0,MIN(1,AS557/AR557),1)</x:f>
        <x:v>0.36435465652546467</x:v>
      </x:c>
      <x:c r="AU557" s="10" t="n">
        <x:f>AB557/INDEX(tun_RepScale,G557)</x:f>
        <x:v>202.74639239136292</x:v>
      </x:c>
      <x:c r="AV557" s="32" t="n">
        <x:f>AM557*60/tun_SeasonSeconds</x:f>
        <x:v>611241.527252553</x:v>
      </x:c>
    </x:row>
    <x:row r="558">
      <x:c r="A558" s="8" t="n">
        <x:f>A557+1</x:f>
        <x:v>555</x:v>
      </x:c>
      <x:c r="B558" s="9" t="n">
        <x:f>A558*tun_SeasonSeconds/60</x:f>
        <x:v>138.75</x:v>
      </x:c>
      <x:c r="C558" s="9" t="n">
        <x:f>A558/4</x:f>
        <x:v>138.75</x:v>
      </x:c>
      <x:c r="D558" s="8" t="n">
        <x:f>IF(MOD(A558,4)=0,1,0)</x:f>
        <x:v>0</x:v>
      </x:c>
      <x:c r="E558" s="8" t="n">
        <x:f>IF(AND(F557&lt;=9,AS557&gt;=AR557),1,0)</x:f>
        <x:v>0</x:v>
      </x:c>
      <x:c r="F558" s="8" t="n">
        <x:f>MIN(10,F557+E558)</x:f>
        <x:v>8</x:v>
      </x:c>
      <x:c r="G558" s="8" t="n">
        <x:f>MIN(F558,9)+1</x:f>
        <x:v>9</x:v>
      </x:c>
      <x:c r="H558" s="8" t="n">
        <x:f>IF(F558&lt;=9,1,0)</x:f>
        <x:v>1</x:v>
      </x:c>
      <x:c r="I558" s="9" t="n">
        <x:f>MIN(10,F557+IF(AR557&gt;0,MIN(1,AS557/AR557),1))</x:f>
        <x:v>8.364354656525464</x:v>
      </x:c>
      <x:c r="J558" s="32" t="n">
        <x:f>INDEX(tun_FoodCap,G558)*Arch_FoodCap*EXP(tun_CapsByProject*SUMPRODUCT((Cap_Point&lt;=I558)*(Cap_Kind="Food")*Cap_Ln))</x:f>
        <x:v>6502.383572524903</x:v>
      </x:c>
      <x:c r="K558" s="32" t="n">
        <x:f>J558*MIN(1,tun_LeanBase*EXP(tun_CapsByProject*SUMPRODUCT((Cap_Point&lt;=I558)*(Cap_Kind="Lean")*Cap_Ln)))</x:f>
        <x:v>6502.383572524903</x:v>
      </x:c>
      <x:c r="L558" s="10" t="n">
        <x:f>INDEX(tun_HousingCap,G558)*EXP(tun_CapsByProject*SUMPRODUCT((Cap_Point&lt;=I558)*(Cap_Kind="Housing")*Cap_Ln))</x:f>
        <x:v>6581.714062749661</x:v>
      </x:c>
      <x:c r="M558" s="10" t="n">
        <x:f>INDEX(tun_GroupCap,G558)*tun_CohesionFactor*EXP(tun_CapsByProject*SUMPRODUCT((Cap_Point&lt;=I558)*(Cap_Kind="Group")*Cap_Ln))</x:f>
        <x:v>1000000.000000001</x:v>
      </x:c>
      <x:c r="N558" s="32" t="n">
        <x:f>MIN(J558,L558,M558)</x:f>
        <x:v>6502.383572524903</x:v>
      </x:c>
      <x:c r="O558" s="10" t="n">
        <x:f>AE557*N558</x:f>
        <x:v>58521.45215272412</x:v>
      </x:c>
      <x:c r="P558" s="9" t="n">
        <x:f>MIN(1,(AB557/(AE557*IF(tun_GroupInCrowding=1,N558,MIN(J558,L558))))^tun_CrowdingExp)</x:f>
        <x:v>0.42215146273636517</x:v>
      </x:c>
      <x:c r="Q558" s="9" t="n">
        <x:f>IF(D558=1,INDEX(tun_WinterMult,G558),1)</x:f>
        <x:v>1</x:v>
      </x:c>
      <x:c r="R558" s="9" t="n">
        <x:f>H558*Z557*tun_WomenShare*tun_BaseFertility*INDEX(tun_FertMult,G558)*Arch_Fertility*(1-P558)</x:f>
        <x:v>456.593761571357</x:v>
      </x:c>
      <x:c r="S558" s="9" t="n">
        <x:f>H558*Y557*INDEX(tun_MortChild,G558)/4*Q558</x:f>
        <x:v>20.856618862822856</x:v>
      </x:c>
      <x:c r="T558" s="9" t="n">
        <x:f>H558*Z557*INDEX(tun_MortAdult,G558)*Arch_AdultMort/4*Q558</x:f>
        <x:v>16.576818119599004</x:v>
      </x:c>
      <x:c r="U558" s="9" t="n">
        <x:f>H558*AA557*INDEX(tun_MortElder,G558)/4*Q558</x:f>
        <x:v>82.8708966642294</x:v>
      </x:c>
      <x:c r="V558" s="9" t="n">
        <x:f>H558*MAX(0,AB557-O558)*tun_OvercapLoss</x:f>
        <x:v>0</x:v>
      </x:c>
      <x:c r="W558" s="9" t="n">
        <x:f>H558*Y557/(tun_ChildYears*4)</x:f>
        <x:v>331.05744226702944</x:v>
      </x:c>
      <x:c r="X558" s="9" t="n">
        <x:f>H558*Z557/(tun_AdultYears*4)</x:f>
        <x:v>178.24535612472044</x:v>
      </x:c>
      <x:c r="Y558" s="32" t="n">
        <x:f>Y557+R558-S558-W558-Y557*V558/AB557</x:f>
        <x:v>18643.896467395156</x:v>
      </x:c>
      <x:c r="Z558" s="32" t="n">
        <x:f>Z557+W558-X558-T558-Z557*V558/AB557</x:f>
        <x:v>22238.659427488044</x:v>
      </x:c>
      <x:c r="AA558" s="32" t="n">
        <x:f>AA557+X558-U558-AA557*V558/AB557</x:f>
        <x:v>10140.331630882236</x:v>
      </x:c>
      <x:c r="AB558" s="10" t="n">
        <x:f>Y558+Z558+AA558</x:f>
        <x:v>51022.88752576544</x:v>
      </x:c>
      <x:c r="AC558" s="8" t="n">
        <x:f>IF(AND(tun_WinterTrigger=1,D558=1,AB557/AE557&gt;=K558),1,0)</x:f>
        <x:v>0</x:v>
      </x:c>
      <x:c r="AD558" s="8" t="n">
        <x:f>H558*IF(AND(OR(AB557/AE557&gt;=tun_FissionTrigger*N558,AC558=1),AB557/AE557*tun_DaughterShare&gt;=tun_MinDaughter),MAX(1,ROUND(AE557*tun_FissionRate,0)),0)</x:f>
        <x:v>3</x:v>
      </x:c>
      <x:c r="AE558" s="8" t="n">
        <x:f>IF(H558=1,MAX(1,MIN(INDEX(tun_Smax,G558),AE557+AD558)),AE557)</x:f>
        <x:v>9</x:v>
      </x:c>
      <x:c r="AF558" s="8" t="n">
        <x:f>MAX(0,AE558-AE557)</x:f>
        <x:v>0</x:v>
      </x:c>
      <x:c r="AG558" s="9" t="str">
        <x:f>IF(AF558&gt;0,B558,"")</x:f>
      </x:c>
      <x:c r="AH558" s="9" t="n">
        <x:f>IF(F558&gt;=1,1,(1+tun_LowTiesShare*(AE558-1))/AE558)</x:f>
        <x:v>1</x:v>
      </x:c>
      <x:c r="AI558" s="32" t="n">
        <x:f>(Z558+tun_ElderCommons*INDEX(LM_Elder,G558)*AA558)*AH558</x:f>
        <x:v>60264.903043296435</x:v>
      </x:c>
      <x:c r="AJ558" s="32" t="n">
        <x:f>H558*tun_CommonsCoef*AI558^tun_CommonsExp*INDEX(LM_Commons,G558)</x:f>
        <x:v>167319.64022546643</x:v>
      </x:c>
      <x:c r="AK558" s="32" t="n">
        <x:f>H558*tun_RoleScale*Arch_Roles*(AE558*(INDEX(tun_ElderRolePerSett,G558)*tun_OutElder*INDEX(LM_Elder,G558)+INDEX(tun_ShamanPerSett,G558)*tun_OutShaman)+Z558*(INDEX(tun_PriestShare,G558)*tun_OutPriest+INDEX(tun_ScribeShare,G558)*tun_OutScribe*INDEX(LM_Scribe,G558)+INDEX(tun_ScholarShare,G558)*tun_OutScholar*INDEX(LM_Scholar,G558)+INDEX(tun_ResearcherShare,G558)*tun_OutResearcher*INDEX(LM_Researcher,G558)))</x:f>
        <x:v>46188.279077379484</x:v>
      </x:c>
      <x:c r="AL558" s="32" t="n">
        <x:f>H558*tun_RoleScale*Arch_Roles*AE558*INDEX(tun_MonasteryPerSett,G558)*tun_OutMonastery*INDEX(LM_Monastery,G558)</x:f>
        <x:v>31.680000000000003</x:v>
      </x:c>
      <x:c r="AM558" s="32" t="n">
        <x:f>(AJ558+AK558+AL558)/4*INDEX(LM_All,G558)*INDEX(tun_Boon,G558)*Arch_Insight</x:f>
        <x:v>153853.46088899864</x:v>
      </x:c>
      <x:c r="AN558" s="32" t="n">
        <x:f>H558*(tun_KHPerAdult*Z558+tun_KHOfCommons*AJ558/4*INDEX(LM_All,G558))*tun_KHUsable*Arch_KH</x:f>
        <x:v>24241.02223264848</x:v>
      </x:c>
      <x:c r="AO558" s="32" t="n">
        <x:f>MIN(AP557+AN558,AM558*tun_KHMaxRatio)</x:f>
        <x:v>24241.02223264848</x:v>
      </x:c>
      <x:c r="AP558" s="32" t="n">
        <x:f>AP557+AN558-AO558</x:f>
        <x:v>0</x:v>
      </x:c>
      <x:c r="AQ558" s="32" t="n">
        <x:f>AM558+AO558</x:f>
        <x:v>178094.48312164712</x:v>
      </x:c>
      <x:c r="AR558" s="10" t="n">
        <x:f>IF(H558=1,INDEX(tun_Req,G558),0)</x:f>
        <x:v>24497531.045680594</x:v>
      </x:c>
      <x:c r="AS558" s="32" t="n">
        <x:f>IF(H558=1,IF(E558=1,AS557-AR557,AS557)+AQ558,0)</x:f>
        <x:v>9103883.992992507</x:v>
      </x:c>
      <x:c r="AT558" s="11" t="n">
        <x:f>IF(AR558&gt;0,MIN(1,AS558/AR558),1)</x:f>
        <x:v>0.3716245517157005</x:v>
      </x:c>
      <x:c r="AU558" s="10" t="n">
        <x:f>AB558/INDEX(tun_RepScale,G558)</x:f>
        <x:v>204.09155010306176</x:v>
      </x:c>
      <x:c r="AV558" s="32" t="n">
        <x:f>AM558*60/tun_SeasonSeconds</x:f>
        <x:v>615413.8435559946</x:v>
      </x:c>
    </x:row>
    <x:row r="559">
      <x:c r="A559" s="8" t="n">
        <x:f>A558+1</x:f>
        <x:v>556</x:v>
      </x:c>
      <x:c r="B559" s="9" t="n">
        <x:f>A559*tun_SeasonSeconds/60</x:f>
        <x:v>139</x:v>
      </x:c>
      <x:c r="C559" s="9" t="n">
        <x:f>A559/4</x:f>
        <x:v>139</x:v>
      </x:c>
      <x:c r="D559" s="8" t="n">
        <x:f>IF(MOD(A559,4)=0,1,0)</x:f>
        <x:v>1</x:v>
      </x:c>
      <x:c r="E559" s="8" t="n">
        <x:f>IF(AND(F558&lt;=9,AS558&gt;=AR558),1,0)</x:f>
        <x:v>0</x:v>
      </x:c>
      <x:c r="F559" s="8" t="n">
        <x:f>MIN(10,F558+E559)</x:f>
        <x:v>8</x:v>
      </x:c>
      <x:c r="G559" s="8" t="n">
        <x:f>MIN(F559,9)+1</x:f>
        <x:v>9</x:v>
      </x:c>
      <x:c r="H559" s="8" t="n">
        <x:f>IF(F559&lt;=9,1,0)</x:f>
        <x:v>1</x:v>
      </x:c>
      <x:c r="I559" s="9" t="n">
        <x:f>MIN(10,F558+IF(AR558&gt;0,MIN(1,AS558/AR558),1))</x:f>
        <x:v>8.371624551715701</x:v>
      </x:c>
      <x:c r="J559" s="32" t="n">
        <x:f>INDEX(tun_FoodCap,G559)*Arch_FoodCap*EXP(tun_CapsByProject*SUMPRODUCT((Cap_Point&lt;=I559)*(Cap_Kind="Food")*Cap_Ln))</x:f>
        <x:v>6502.383572524903</x:v>
      </x:c>
      <x:c r="K559" s="32" t="n">
        <x:f>J559*MIN(1,tun_LeanBase*EXP(tun_CapsByProject*SUMPRODUCT((Cap_Point&lt;=I559)*(Cap_Kind="Lean")*Cap_Ln)))</x:f>
        <x:v>6502.383572524903</x:v>
      </x:c>
      <x:c r="L559" s="10" t="n">
        <x:f>INDEX(tun_HousingCap,G559)*EXP(tun_CapsByProject*SUMPRODUCT((Cap_Point&lt;=I559)*(Cap_Kind="Housing")*Cap_Ln))</x:f>
        <x:v>6581.714062749661</x:v>
      </x:c>
      <x:c r="M559" s="10" t="n">
        <x:f>INDEX(tun_GroupCap,G559)*tun_CohesionFactor*EXP(tun_CapsByProject*SUMPRODUCT((Cap_Point&lt;=I559)*(Cap_Kind="Group")*Cap_Ln))</x:f>
        <x:v>1000000.000000001</x:v>
      </x:c>
      <x:c r="N559" s="32" t="n">
        <x:f>MIN(J559,L559,M559)</x:f>
        <x:v>6502.383572524903</x:v>
      </x:c>
      <x:c r="O559" s="10" t="n">
        <x:f>AE558*N559</x:f>
        <x:v>58521.45215272412</x:v>
      </x:c>
      <x:c r="P559" s="9" t="n">
        <x:f>MIN(1,(AB558/(AE558*IF(tun_GroupInCrowding=1,N559,MIN(J559,L559))))^tun_CrowdingExp)</x:f>
        <x:v>0.4392377237627142</x:v>
      </x:c>
      <x:c r="Q559" s="9" t="n">
        <x:f>IF(D559=1,INDEX(tun_WinterMult,G559),1)</x:f>
        <x:v>1.05</x:v>
      </x:c>
      <x:c r="R559" s="9" t="n">
        <x:f>H559*Z558*tun_WomenShare*tun_BaseFertility*INDEX(tun_FertMult,G559)*Arch_Fertility*(1-P559)</x:f>
        <x:v>445.82399579660705</x:v>
      </x:c>
      <x:c r="S559" s="9" t="n">
        <x:f>H559*Y558*INDEX(tun_MortChild,G559)/4*Q559</x:f>
        <x:v>22.023102702110524</x:v>
      </x:c>
      <x:c r="T559" s="9" t="n">
        <x:f>H559*Z558*INDEX(tun_MortAdult,G559)*Arch_AdultMort/4*Q559</x:f>
        <x:v>17.512944299146838</x:v>
      </x:c>
      <x:c r="U559" s="9" t="n">
        <x:f>H559*AA558*INDEX(tun_MortElder,G559)/4*Q559</x:f>
        <x:v>87.84062275251738</x:v>
      </x:c>
      <x:c r="V559" s="9" t="n">
        <x:f>H559*MAX(0,AB558-O559)*tun_OvercapLoss</x:f>
        <x:v>0</x:v>
      </x:c>
      <x:c r="W559" s="9" t="n">
        <x:f>H559*Y558/(tun_ChildYears*4)</x:f>
        <x:v>332.92672263205634</x:v>
      </x:c>
      <x:c r="X559" s="9" t="n">
        <x:f>H559*Z558/(tun_AdultYears*4)</x:f>
        <x:v>179.34402764103262</x:v>
      </x:c>
      <x:c r="Y559" s="32" t="n">
        <x:f>Y558+R559-S559-W559-Y558*V559/AB558</x:f>
        <x:v>18734.770637857597</x:v>
      </x:c>
      <x:c r="Z559" s="32" t="n">
        <x:f>Z558+W559-X559-T559-Z558*V559/AB558</x:f>
        <x:v>22374.72917817992</x:v>
      </x:c>
      <x:c r="AA559" s="32" t="n">
        <x:f>AA558+X559-U559-AA558*V559/AB558</x:f>
        <x:v>10231.835035770751</x:v>
      </x:c>
      <x:c r="AB559" s="10" t="n">
        <x:f>Y559+Z559+AA559</x:f>
        <x:v>51341.33485180827</x:v>
      </x:c>
      <x:c r="AC559" s="8" t="n">
        <x:f>IF(AND(tun_WinterTrigger=1,D559=1,AB558/AE558&gt;=K559),1,0)</x:f>
        <x:v>0</x:v>
      </x:c>
      <x:c r="AD559" s="8" t="n">
        <x:f>H559*IF(AND(OR(AB558/AE558&gt;=tun_FissionTrigger*N559,AC559=1),AB558/AE558*tun_DaughterShare&gt;=tun_MinDaughter),MAX(1,ROUND(AE558*tun_FissionRate,0)),0)</x:f>
        <x:v>3</x:v>
      </x:c>
      <x:c r="AE559" s="8" t="n">
        <x:f>IF(H559=1,MAX(1,MIN(INDEX(tun_Smax,G559),AE558+AD559)),AE558)</x:f>
        <x:v>9</x:v>
      </x:c>
      <x:c r="AF559" s="8" t="n">
        <x:f>MAX(0,AE559-AE558)</x:f>
        <x:v>0</x:v>
      </x:c>
      <x:c r="AG559" s="9" t="str">
        <x:f>IF(AF559&gt;0,B559,"")</x:f>
      </x:c>
      <x:c r="AH559" s="9" t="n">
        <x:f>IF(F559&gt;=1,1,(1+tun_LowTiesShare*(AE559-1))/AE559)</x:f>
        <x:v>1</x:v>
      </x:c>
      <x:c r="AI559" s="32" t="n">
        <x:f>(Z559+tun_ElderCommons*INDEX(LM_Elder,G559)*AA559)*AH559</x:f>
        <x:v>60744.11056232024</x:v>
      </x:c>
      <x:c r="AJ559" s="32" t="n">
        <x:f>H559*tun_CommonsCoef*AI559^tun_CommonsExp*INDEX(LM_Commons,G559)</x:f>
        <x:v>168449.86992620435</x:v>
      </x:c>
      <x:c r="AK559" s="32" t="n">
        <x:f>H559*tun_RoleScale*Arch_Roles*(AE559*(INDEX(tun_ElderRolePerSett,G559)*tun_OutElder*INDEX(LM_Elder,G559)+INDEX(tun_ShamanPerSett,G559)*tun_OutShaman)+Z559*(INDEX(tun_PriestShare,G559)*tun_OutPriest+INDEX(tun_ScribeShare,G559)*tun_OutScribe*INDEX(LM_Scribe,G559)+INDEX(tun_ScholarShare,G559)*tun_OutScholar*INDEX(LM_Scholar,G559)+INDEX(tun_ResearcherShare,G559)*tun_OutResearcher*INDEX(LM_Researcher,G559)))</x:f>
        <x:v>46469.400459264594</x:v>
      </x:c>
      <x:c r="AL559" s="32" t="n">
        <x:f>H559*tun_RoleScale*Arch_Roles*AE559*INDEX(tun_MonasteryPerSett,G559)*tun_OutMonastery*INDEX(LM_Monastery,G559)</x:f>
        <x:v>31.680000000000003</x:v>
      </x:c>
      <x:c r="AM559" s="32" t="n">
        <x:f>(AJ559+AK559+AL559)/4*INDEX(LM_All,G559)*INDEX(tun_Boon,G559)*Arch_Insight</x:f>
        <x:v>154870.32731236884</x:v>
      </x:c>
      <x:c r="AN559" s="32" t="n">
        <x:f>H559*(tun_KHPerAdult*Z559+tun_KHOfCommons*AJ559/4*INDEX(LM_All,G559))*tun_KHUsable*Arch_KH</x:f>
        <x:v>24404.768241584843</x:v>
      </x:c>
      <x:c r="AO559" s="32" t="n">
        <x:f>MIN(AP558+AN559,AM559*tun_KHMaxRatio)</x:f>
        <x:v>24404.768241584843</x:v>
      </x:c>
      <x:c r="AP559" s="32" t="n">
        <x:f>AP558+AN559-AO559</x:f>
        <x:v>0</x:v>
      </x:c>
      <x:c r="AQ559" s="32" t="n">
        <x:f>AM559+AO559</x:f>
        <x:v>179275.0955539537</x:v>
      </x:c>
      <x:c r="AR559" s="10" t="n">
        <x:f>IF(H559=1,INDEX(tun_Req,G559),0)</x:f>
        <x:v>24497531.045680594</x:v>
      </x:c>
      <x:c r="AS559" s="32" t="n">
        <x:f>IF(H559=1,IF(E559=1,AS558-AR558,AS558)+AQ559,0)</x:f>
        <x:v>9283159.08854646</x:v>
      </x:c>
      <x:c r="AT559" s="11" t="n">
        <x:f>IF(AR559&gt;0,MIN(1,AS559/AR559),1)</x:f>
        <x:v>0.3789426400250758</x:v>
      </x:c>
      <x:c r="AU559" s="10" t="n">
        <x:f>AB559/INDEX(tun_RepScale,G559)</x:f>
        <x:v>205.36533940723308</x:v>
      </x:c>
      <x:c r="AV559" s="32" t="n">
        <x:f>AM559*60/tun_SeasonSeconds</x:f>
        <x:v>619481.3092494754</x:v>
      </x:c>
    </x:row>
    <x:row r="560">
      <x:c r="A560" s="8" t="n">
        <x:f>A559+1</x:f>
        <x:v>557</x:v>
      </x:c>
      <x:c r="B560" s="9" t="n">
        <x:f>A560*tun_SeasonSeconds/60</x:f>
        <x:v>139.25</x:v>
      </x:c>
      <x:c r="C560" s="9" t="n">
        <x:f>A560/4</x:f>
        <x:v>139.25</x:v>
      </x:c>
      <x:c r="D560" s="8" t="n">
        <x:f>IF(MOD(A560,4)=0,1,0)</x:f>
        <x:v>0</x:v>
      </x:c>
      <x:c r="E560" s="8" t="n">
        <x:f>IF(AND(F559&lt;=9,AS559&gt;=AR559),1,0)</x:f>
        <x:v>0</x:v>
      </x:c>
      <x:c r="F560" s="8" t="n">
        <x:f>MIN(10,F559+E560)</x:f>
        <x:v>8</x:v>
      </x:c>
      <x:c r="G560" s="8" t="n">
        <x:f>MIN(F560,9)+1</x:f>
        <x:v>9</x:v>
      </x:c>
      <x:c r="H560" s="8" t="n">
        <x:f>IF(F560&lt;=9,1,0)</x:f>
        <x:v>1</x:v>
      </x:c>
      <x:c r="I560" s="9" t="n">
        <x:f>MIN(10,F559+IF(AR559&gt;0,MIN(1,AS559/AR559),1))</x:f>
        <x:v>8.378942640025075</x:v>
      </x:c>
      <x:c r="J560" s="32" t="n">
        <x:f>INDEX(tun_FoodCap,G560)*Arch_FoodCap*EXP(tun_CapsByProject*SUMPRODUCT((Cap_Point&lt;=I560)*(Cap_Kind="Food")*Cap_Ln))</x:f>
        <x:v>6502.383572524903</x:v>
      </x:c>
      <x:c r="K560" s="32" t="n">
        <x:f>J560*MIN(1,tun_LeanBase*EXP(tun_CapsByProject*SUMPRODUCT((Cap_Point&lt;=I560)*(Cap_Kind="Lean")*Cap_Ln)))</x:f>
        <x:v>6502.383572524903</x:v>
      </x:c>
      <x:c r="L560" s="10" t="n">
        <x:f>INDEX(tun_HousingCap,G560)*EXP(tun_CapsByProject*SUMPRODUCT((Cap_Point&lt;=I560)*(Cap_Kind="Housing")*Cap_Ln))</x:f>
        <x:v>6581.714062749661</x:v>
      </x:c>
      <x:c r="M560" s="10" t="n">
        <x:f>INDEX(tun_GroupCap,G560)*tun_CohesionFactor*EXP(tun_CapsByProject*SUMPRODUCT((Cap_Point&lt;=I560)*(Cap_Kind="Group")*Cap_Ln))</x:f>
        <x:v>1000000.000000001</x:v>
      </x:c>
      <x:c r="N560" s="32" t="n">
        <x:f>MIN(J560,L560,M560)</x:f>
        <x:v>6502.383572524903</x:v>
      </x:c>
      <x:c r="O560" s="10" t="n">
        <x:f>AE559*N560</x:f>
        <x:v>58521.45215272412</x:v>
      </x:c>
      <x:c r="P560" s="9" t="n">
        <x:f>MIN(1,(AB559/(AE559*IF(tun_GroupInCrowding=1,N560,MIN(J560,L560))))^tun_CrowdingExp)</x:f>
        <x:v>0.455944908758068</x:v>
      </x:c>
      <x:c r="Q560" s="9" t="n">
        <x:f>IF(D560=1,INDEX(tun_WinterMult,G560),1)</x:f>
        <x:v>1</x:v>
      </x:c>
      <x:c r="R560" s="9" t="n">
        <x:f>H560*Z559*tun_WomenShare*tun_BaseFertility*INDEX(tun_FertMult,G560)*Arch_Fertility*(1-P560)</x:f>
        <x:v>435.18780035259806</x:v>
      </x:c>
      <x:c r="S560" s="9" t="n">
        <x:f>H560*Y559*INDEX(tun_MortChild,G560)/4*Q560</x:f>
        <x:v>21.076616967589796</x:v>
      </x:c>
      <x:c r="T560" s="9" t="n">
        <x:f>H560*Z559*INDEX(tun_MortAdult,G560)*Arch_AdultMort/4*Q560</x:f>
        <x:v>16.781046883634943</x:v>
      </x:c>
      <x:c r="U560" s="9" t="n">
        <x:f>H560*AA559*INDEX(tun_MortElder,G560)/4*Q560</x:f>
        <x:v>84.4126390451087</x:v>
      </x:c>
      <x:c r="V560" s="9" t="n">
        <x:f>H560*MAX(0,AB559-O560)*tun_OvercapLoss</x:f>
        <x:v>0</x:v>
      </x:c>
      <x:c r="W560" s="9" t="n">
        <x:f>H560*Y559/(tun_ChildYears*4)</x:f>
        <x:v>334.5494756760285</x:v>
      </x:c>
      <x:c r="X560" s="9" t="n">
        <x:f>H560*Z559/(tun_AdultYears*4)</x:f>
        <x:v>180.44136434016065</x:v>
      </x:c>
      <x:c r="Y560" s="32" t="n">
        <x:f>Y559+R560-S560-W560-Y559*V560/AB559</x:f>
        <x:v>18814.33234556658</x:v>
      </x:c>
      <x:c r="Z560" s="32" t="n">
        <x:f>Z559+W560-X560-T560-Z559*V560/AB559</x:f>
        <x:v>22512.056242632152</x:v>
      </x:c>
      <x:c r="AA560" s="32" t="n">
        <x:f>AA559+X560-U560-AA559*V560/AB559</x:f>
        <x:v>10327.863761065802</x:v>
      </x:c>
      <x:c r="AB560" s="10" t="n">
        <x:f>Y560+Z560+AA560</x:f>
        <x:v>51654.25234926454</x:v>
      </x:c>
      <x:c r="AC560" s="8" t="n">
        <x:f>IF(AND(tun_WinterTrigger=1,D560=1,AB559/AE559&gt;=K560),1,0)</x:f>
        <x:v>0</x:v>
      </x:c>
      <x:c r="AD560" s="8" t="n">
        <x:f>H560*IF(AND(OR(AB559/AE559&gt;=tun_FissionTrigger*N560,AC560=1),AB559/AE559*tun_DaughterShare&gt;=tun_MinDaughter),MAX(1,ROUND(AE559*tun_FissionRate,0)),0)</x:f>
        <x:v>3</x:v>
      </x:c>
      <x:c r="AE560" s="8" t="n">
        <x:f>IF(H560=1,MAX(1,MIN(INDEX(tun_Smax,G560),AE559+AD560)),AE559)</x:f>
        <x:v>9</x:v>
      </x:c>
      <x:c r="AF560" s="8" t="n">
        <x:f>MAX(0,AE560-AE559)</x:f>
        <x:v>0</x:v>
      </x:c>
      <x:c r="AG560" s="9" t="str">
        <x:f>IF(AF560&gt;0,B560,"")</x:f>
      </x:c>
      <x:c r="AH560" s="9" t="n">
        <x:f>IF(F560&gt;=1,1,(1+tun_LowTiesShare*(AE560-1))/AE560)</x:f>
        <x:v>1</x:v>
      </x:c>
      <x:c r="AI560" s="32" t="n">
        <x:f>(Z560+tun_ElderCommons*INDEX(LM_Elder,G560)*AA560)*AH560</x:f>
        <x:v>61241.54534662892</x:v>
      </x:c>
      <x:c r="AJ560" s="32" t="n">
        <x:f>H560*tun_CommonsCoef*AI560^tun_CommonsExp*INDEX(LM_Commons,G560)</x:f>
        <x:v>169621.67560438206</x:v>
      </x:c>
      <x:c r="AK560" s="32" t="n">
        <x:f>H560*tun_RoleScale*Arch_Roles*(AE560*(INDEX(tun_ElderRolePerSett,G560)*tun_OutElder*INDEX(LM_Elder,G560)+INDEX(tun_ShamanPerSett,G560)*tun_OutShaman)+Z560*(INDEX(tun_PriestShare,G560)*tun_OutPriest+INDEX(tun_ScribeShare,G560)*tun_OutScribe*INDEX(LM_Scribe,G560)+INDEX(tun_ScholarShare,G560)*tun_OutScholar*INDEX(LM_Scholar,G560)+INDEX(tun_ResearcherShare,G560)*tun_OutResearcher*INDEX(LM_Researcher,G560)))</x:f>
        <x:v>46753.119463177936</x:v>
      </x:c>
      <x:c r="AL560" s="32" t="n">
        <x:f>H560*tun_RoleScale*Arch_Roles*AE560*INDEX(tun_MonasteryPerSett,G560)*tun_OutMonastery*INDEX(LM_Monastery,G560)</x:f>
        <x:v>31.680000000000003</x:v>
      </x:c>
      <x:c r="AM560" s="32" t="n">
        <x:f>(AJ560+AK560+AL560)/4*INDEX(LM_All,G560)*INDEX(tun_Boon,G560)*Arch_Insight</x:f>
        <x:v>155919.0204375792</x:v>
      </x:c>
      <x:c r="AN560" s="32" t="n">
        <x:f>H560*(tun_KHPerAdult*Z560+tun_KHOfCommons*AJ560/4*INDEX(LM_All,G560))*tun_KHUsable*Arch_KH</x:f>
        <x:v>24574.5377166971</x:v>
      </x:c>
      <x:c r="AO560" s="32" t="n">
        <x:f>MIN(AP559+AN560,AM560*tun_KHMaxRatio)</x:f>
        <x:v>24574.5377166971</x:v>
      </x:c>
      <x:c r="AP560" s="32" t="n">
        <x:f>AP559+AN560-AO560</x:f>
        <x:v>0</x:v>
      </x:c>
      <x:c r="AQ560" s="32" t="n">
        <x:f>AM560+AO560</x:f>
        <x:v>180493.55815427628</x:v>
      </x:c>
      <x:c r="AR560" s="10" t="n">
        <x:f>IF(H560=1,INDEX(tun_Req,G560),0)</x:f>
        <x:v>24497531.045680594</x:v>
      </x:c>
      <x:c r="AS560" s="32" t="n">
        <x:f>IF(H560=1,IF(E560=1,AS559-AR559,AS559)+AQ560,0)</x:f>
        <x:v>9463652.646700736</x:v>
      </x:c>
      <x:c r="AT560" s="11" t="n">
        <x:f>IF(AR560&gt;0,MIN(1,AS560/AR560),1)</x:f>
        <x:v>0.3863104665141089</x:v>
      </x:c>
      <x:c r="AU560" s="10" t="n">
        <x:f>AB560/INDEX(tun_RepScale,G560)</x:f>
        <x:v>206.61700939705815</x:v>
      </x:c>
      <x:c r="AV560" s="32" t="n">
        <x:f>AM560*60/tun_SeasonSeconds</x:f>
        <x:v>623676.0817503168</x:v>
      </x:c>
    </x:row>
    <x:row r="561">
      <x:c r="A561" s="8" t="n">
        <x:f>A560+1</x:f>
        <x:v>558</x:v>
      </x:c>
      <x:c r="B561" s="9" t="n">
        <x:f>A561*tun_SeasonSeconds/60</x:f>
        <x:v>139.5</x:v>
      </x:c>
      <x:c r="C561" s="9" t="n">
        <x:f>A561/4</x:f>
        <x:v>139.5</x:v>
      </x:c>
      <x:c r="D561" s="8" t="n">
        <x:f>IF(MOD(A561,4)=0,1,0)</x:f>
        <x:v>0</x:v>
      </x:c>
      <x:c r="E561" s="8" t="n">
        <x:f>IF(AND(F560&lt;=9,AS560&gt;=AR560),1,0)</x:f>
        <x:v>0</x:v>
      </x:c>
      <x:c r="F561" s="8" t="n">
        <x:f>MIN(10,F560+E561)</x:f>
        <x:v>8</x:v>
      </x:c>
      <x:c r="G561" s="8" t="n">
        <x:f>MIN(F561,9)+1</x:f>
        <x:v>9</x:v>
      </x:c>
      <x:c r="H561" s="8" t="n">
        <x:f>IF(F561&lt;=9,1,0)</x:f>
        <x:v>1</x:v>
      </x:c>
      <x:c r="I561" s="9" t="n">
        <x:f>MIN(10,F560+IF(AR560&gt;0,MIN(1,AS560/AR560),1))</x:f>
        <x:v>8.386310466514109</x:v>
      </x:c>
      <x:c r="J561" s="32" t="n">
        <x:f>INDEX(tun_FoodCap,G561)*Arch_FoodCap*EXP(tun_CapsByProject*SUMPRODUCT((Cap_Point&lt;=I561)*(Cap_Kind="Food")*Cap_Ln))</x:f>
        <x:v>6502.383572524903</x:v>
      </x:c>
      <x:c r="K561" s="32" t="n">
        <x:f>J561*MIN(1,tun_LeanBase*EXP(tun_CapsByProject*SUMPRODUCT((Cap_Point&lt;=I561)*(Cap_Kind="Lean")*Cap_Ln)))</x:f>
        <x:v>6502.383572524903</x:v>
      </x:c>
      <x:c r="L561" s="10" t="n">
        <x:f>INDEX(tun_HousingCap,G561)*EXP(tun_CapsByProject*SUMPRODUCT((Cap_Point&lt;=I561)*(Cap_Kind="Housing")*Cap_Ln))</x:f>
        <x:v>6581.714062749661</x:v>
      </x:c>
      <x:c r="M561" s="10" t="n">
        <x:f>INDEX(tun_GroupCap,G561)*tun_CohesionFactor*EXP(tun_CapsByProject*SUMPRODUCT((Cap_Point&lt;=I561)*(Cap_Kind="Group")*Cap_Ln))</x:f>
        <x:v>1000000.000000001</x:v>
      </x:c>
      <x:c r="N561" s="32" t="n">
        <x:f>MIN(J561,L561,M561)</x:f>
        <x:v>6502.383572524903</x:v>
      </x:c>
      <x:c r="O561" s="10" t="n">
        <x:f>AE560*N561</x:f>
        <x:v>58521.45215272412</x:v>
      </x:c>
      <x:c r="P561" s="9" t="n">
        <x:f>MIN(1,(AB560/(AE560*IF(tun_GroupInCrowding=1,N561,MIN(J561,L561))))^tun_CrowdingExp)</x:f>
        <x:v>0.4728745208545937</x:v>
      </x:c>
      <x:c r="Q561" s="9" t="n">
        <x:f>IF(D561=1,INDEX(tun_WinterMult,G561),1)</x:f>
        <x:v>1</x:v>
      </x:c>
      <x:c r="R561" s="9" t="n">
        <x:f>H561*Z560*tun_WomenShare*tun_BaseFertility*INDEX(tun_FertMult,G561)*Arch_Fertility*(1-P561)</x:f>
        <x:v>424.2337539956877</x:v>
      </x:c>
      <x:c r="S561" s="9" t="n">
        <x:f>H561*Y560*INDEX(tun_MortChild,G561)/4*Q561</x:f>
        <x:v>21.166123888762403</x:v>
      </x:c>
      <x:c r="T561" s="9" t="n">
        <x:f>H561*Z560*INDEX(tun_MortAdult,G561)*Arch_AdultMort/4*Q561</x:f>
        <x:v>16.884042181974113</x:v>
      </x:c>
      <x:c r="U561" s="9" t="n">
        <x:f>H561*AA560*INDEX(tun_MortElder,G561)/4*Q561</x:f>
        <x:v>85.20487602879287</x:v>
      </x:c>
      <x:c r="V561" s="9" t="n">
        <x:f>H561*MAX(0,AB560-O561)*tun_OvercapLoss</x:f>
        <x:v>0</x:v>
      </x:c>
      <x:c r="W561" s="9" t="n">
        <x:f>H561*Y560/(tun_ChildYears*4)</x:f>
        <x:v>335.9702204565461</x:v>
      </x:c>
      <x:c r="X561" s="9" t="n">
        <x:f>H561*Z560/(tun_AdultYears*4)</x:f>
        <x:v>181.54884066638832</x:v>
      </x:c>
      <x:c r="Y561" s="32" t="n">
        <x:f>Y560+R561-S561-W561-Y560*V561/AB560</x:f>
        <x:v>18881.42975521696</x:v>
      </x:c>
      <x:c r="Z561" s="32" t="n">
        <x:f>Z560+W561-X561-T561-Z560*V561/AB560</x:f>
        <x:v>22649.593580240336</x:v>
      </x:c>
      <x:c r="AA561" s="32" t="n">
        <x:f>AA560+X561-U561-AA560*V561/AB560</x:f>
        <x:v>10424.207725703398</x:v>
      </x:c>
      <x:c r="AB561" s="10" t="n">
        <x:f>Y561+Z561+AA561</x:f>
        <x:v>51955.231061160695</x:v>
      </x:c>
      <x:c r="AC561" s="8" t="n">
        <x:f>IF(AND(tun_WinterTrigger=1,D561=1,AB560/AE560&gt;=K561),1,0)</x:f>
        <x:v>0</x:v>
      </x:c>
      <x:c r="AD561" s="8" t="n">
        <x:f>H561*IF(AND(OR(AB560/AE560&gt;=tun_FissionTrigger*N561,AC561=1),AB560/AE560*tun_DaughterShare&gt;=tun_MinDaughter),MAX(1,ROUND(AE560*tun_FissionRate,0)),0)</x:f>
        <x:v>3</x:v>
      </x:c>
      <x:c r="AE561" s="8" t="n">
        <x:f>IF(H561=1,MAX(1,MIN(INDEX(tun_Smax,G561),AE560+AD561)),AE560)</x:f>
        <x:v>9</x:v>
      </x:c>
      <x:c r="AF561" s="8" t="n">
        <x:f>MAX(0,AE561-AE560)</x:f>
        <x:v>0</x:v>
      </x:c>
      <x:c r="AG561" s="9" t="str">
        <x:f>IF(AF561&gt;0,B561,"")</x:f>
      </x:c>
      <x:c r="AH561" s="9" t="n">
        <x:f>IF(F561&gt;=1,1,(1+tun_LowTiesShare*(AE561-1))/AE561)</x:f>
        <x:v>1</x:v>
      </x:c>
      <x:c r="AI561" s="32" t="n">
        <x:f>(Z561+tun_ElderCommons*INDEX(LM_Elder,G561)*AA561)*AH561</x:f>
        <x:v>61740.37255162808</x:v>
      </x:c>
      <x:c r="AJ561" s="32" t="n">
        <x:f>H561*tun_CommonsCoef*AI561^tun_CommonsExp*INDEX(LM_Commons,G561)</x:f>
        <x:v>170795.32857256455</x:v>
      </x:c>
      <x:c r="AK561" s="32" t="n">
        <x:f>H561*tun_RoleScale*Arch_Roles*(AE561*(INDEX(tun_ElderRolePerSett,G561)*tun_OutElder*INDEX(LM_Elder,G561)+INDEX(tun_ShamanPerSett,G561)*tun_OutShaman)+Z561*(INDEX(tun_PriestShare,G561)*tun_OutPriest+INDEX(tun_ScribeShare,G561)*tun_OutScribe*INDEX(LM_Scribe,G561)+INDEX(tun_ScholarShare,G561)*tun_OutScholar*INDEX(LM_Scholar,G561)+INDEX(tun_ResearcherShare,G561)*tun_OutResearcher*INDEX(LM_Researcher,G561)))</x:f>
        <x:v>47037.27289340481</x:v>
      </x:c>
      <x:c r="AL561" s="32" t="n">
        <x:f>H561*tun_RoleScale*Arch_Roles*AE561*INDEX(tun_MonasteryPerSett,G561)*tun_OutMonastery*INDEX(LM_Monastery,G561)</x:f>
        <x:v>31.680000000000003</x:v>
      </x:c>
      <x:c r="AM561" s="32" t="n">
        <x:f>(AJ561+AK561+AL561)/4*INDEX(LM_All,G561)*INDEX(tun_Boon,G561)*Arch_Insight</x:f>
        <x:v>156969.35751994542</x:v>
      </x:c>
      <x:c r="AN561" s="32" t="n">
        <x:f>H561*(tun_KHPerAdult*Z561+tun_KHOfCommons*AJ561/4*INDEX(LM_All,G561))*tun_KHUsable*Arch_KH</x:f>
        <x:v>24744.57482445557</x:v>
      </x:c>
      <x:c r="AO561" s="32" t="n">
        <x:f>MIN(AP560+AN561,AM561*tun_KHMaxRatio)</x:f>
        <x:v>24744.57482445557</x:v>
      </x:c>
      <x:c r="AP561" s="32" t="n">
        <x:f>AP560+AN561-AO561</x:f>
        <x:v>0</x:v>
      </x:c>
      <x:c r="AQ561" s="32" t="n">
        <x:f>AM561+AO561</x:f>
        <x:v>181713.932344401</x:v>
      </x:c>
      <x:c r="AR561" s="10" t="n">
        <x:f>IF(H561=1,INDEX(tun_Req,G561),0)</x:f>
        <x:v>24497531.045680594</x:v>
      </x:c>
      <x:c r="AS561" s="32" t="n">
        <x:f>IF(H561=1,IF(E561=1,AS560-AR560,AS560)+AQ561,0)</x:f>
        <x:v>9645366.579045137</x:v>
      </x:c>
      <x:c r="AT561" s="11" t="n">
        <x:f>IF(AR561&gt;0,MIN(1,AS561/AR561),1)</x:f>
        <x:v>0.39372810921473694</x:v>
      </x:c>
      <x:c r="AU561" s="10" t="n">
        <x:f>AB561/INDEX(tun_RepScale,G561)</x:f>
        <x:v>207.82092424464278</x:v>
      </x:c>
      <x:c r="AV561" s="32" t="n">
        <x:f>AM561*60/tun_SeasonSeconds</x:f>
        <x:v>627877.4300797817</x:v>
      </x:c>
    </x:row>
    <x:row r="562">
      <x:c r="A562" s="8" t="n">
        <x:f>A561+1</x:f>
        <x:v>559</x:v>
      </x:c>
      <x:c r="B562" s="9" t="n">
        <x:f>A562*tun_SeasonSeconds/60</x:f>
        <x:v>139.75</x:v>
      </x:c>
      <x:c r="C562" s="9" t="n">
        <x:f>A562/4</x:f>
        <x:v>139.75</x:v>
      </x:c>
      <x:c r="D562" s="8" t="n">
        <x:f>IF(MOD(A562,4)=0,1,0)</x:f>
        <x:v>0</x:v>
      </x:c>
      <x:c r="E562" s="8" t="n">
        <x:f>IF(AND(F561&lt;=9,AS561&gt;=AR561),1,0)</x:f>
        <x:v>0</x:v>
      </x:c>
      <x:c r="F562" s="8" t="n">
        <x:f>MIN(10,F561+E562)</x:f>
        <x:v>8</x:v>
      </x:c>
      <x:c r="G562" s="8" t="n">
        <x:f>MIN(F562,9)+1</x:f>
        <x:v>9</x:v>
      </x:c>
      <x:c r="H562" s="8" t="n">
        <x:f>IF(F562&lt;=9,1,0)</x:f>
        <x:v>1</x:v>
      </x:c>
      <x:c r="I562" s="9" t="n">
        <x:f>MIN(10,F561+IF(AR561&gt;0,MIN(1,AS561/AR561),1))</x:f>
        <x:v>8.393728109214736</x:v>
      </x:c>
      <x:c r="J562" s="32" t="n">
        <x:f>INDEX(tun_FoodCap,G562)*Arch_FoodCap*EXP(tun_CapsByProject*SUMPRODUCT((Cap_Point&lt;=I562)*(Cap_Kind="Food")*Cap_Ln))</x:f>
        <x:v>6502.383572524903</x:v>
      </x:c>
      <x:c r="K562" s="32" t="n">
        <x:f>J562*MIN(1,tun_LeanBase*EXP(tun_CapsByProject*SUMPRODUCT((Cap_Point&lt;=I562)*(Cap_Kind="Lean")*Cap_Ln)))</x:f>
        <x:v>6502.383572524903</x:v>
      </x:c>
      <x:c r="L562" s="10" t="n">
        <x:f>INDEX(tun_HousingCap,G562)*EXP(tun_CapsByProject*SUMPRODUCT((Cap_Point&lt;=I562)*(Cap_Kind="Housing")*Cap_Ln))</x:f>
        <x:v>6581.714062749661</x:v>
      </x:c>
      <x:c r="M562" s="10" t="n">
        <x:f>INDEX(tun_GroupCap,G562)*tun_CohesionFactor*EXP(tun_CapsByProject*SUMPRODUCT((Cap_Point&lt;=I562)*(Cap_Kind="Group")*Cap_Ln))</x:f>
        <x:v>1000000.000000001</x:v>
      </x:c>
      <x:c r="N562" s="32" t="n">
        <x:f>MIN(J562,L562,M562)</x:f>
        <x:v>6502.383572524903</x:v>
      </x:c>
      <x:c r="O562" s="10" t="n">
        <x:f>AE561*N562</x:f>
        <x:v>58521.45215272412</x:v>
      </x:c>
      <x:c r="P562" s="9" t="n">
        <x:f>MIN(1,(AB561/(AE561*IF(tun_GroupInCrowding=1,N562,MIN(J562,L562))))^tun_CrowdingExp)</x:f>
        <x:v>0.4896492780974676</x:v>
      </x:c>
      <x:c r="Q562" s="9" t="n">
        <x:f>IF(D562=1,INDEX(tun_WinterMult,G562),1)</x:f>
        <x:v>1</x:v>
      </x:c>
      <x:c r="R562" s="9" t="n">
        <x:f>H562*Z561*tun_WomenShare*tun_BaseFertility*INDEX(tun_FertMult,G562)*Arch_Fertility*(1-P562)</x:f>
        <x:v>413.24270253246766</x:v>
      </x:c>
      <x:c r="S562" s="9" t="n">
        <x:f>H562*Y561*INDEX(tun_MortChild,G562)/4*Q562</x:f>
        <x:v>21.241608474619078</x:v>
      </x:c>
      <x:c r="T562" s="9" t="n">
        <x:f>H562*Z561*INDEX(tun_MortAdult,G562)*Arch_AdultMort/4*Q562</x:f>
        <x:v>16.98719518518025</x:v>
      </x:c>
      <x:c r="U562" s="9" t="n">
        <x:f>H562*AA561*INDEX(tun_MortElder,G562)/4*Q562</x:f>
        <x:v>85.99971373705304</x:v>
      </x:c>
      <x:c r="V562" s="9" t="n">
        <x:f>H562*MAX(0,AB561-O562)*tun_OvercapLoss</x:f>
        <x:v>0</x:v>
      </x:c>
      <x:c r="W562" s="9" t="n">
        <x:f>H562*Y561/(tun_ChildYears*4)</x:f>
        <x:v>337.16838848601714</x:v>
      </x:c>
      <x:c r="X562" s="9" t="n">
        <x:f>H562*Z561/(tun_AdultYears*4)</x:f>
        <x:v>182.65801274387368</x:v>
      </x:c>
      <x:c r="Y562" s="32" t="n">
        <x:f>Y561+R562-S562-W562-Y561*V562/AB561</x:f>
        <x:v>18936.262460788792</x:v>
      </x:c>
      <x:c r="Z562" s="32" t="n">
        <x:f>Z561+W562-X562-T562-Z561*V562/AB561</x:f>
        <x:v>22787.1167607973</x:v>
      </x:c>
      <x:c r="AA562" s="32" t="n">
        <x:f>AA561+X562-U562-AA561*V562/AB561</x:f>
        <x:v>10520.866024710218</x:v>
      </x:c>
      <x:c r="AB562" s="10" t="n">
        <x:f>Y562+Z562+AA562</x:f>
        <x:v>52244.245246296305</x:v>
      </x:c>
      <x:c r="AC562" s="8" t="n">
        <x:f>IF(AND(tun_WinterTrigger=1,D562=1,AB561/AE561&gt;=K562),1,0)</x:f>
        <x:v>0</x:v>
      </x:c>
      <x:c r="AD562" s="8" t="n">
        <x:f>H562*IF(AND(OR(AB561/AE561&gt;=tun_FissionTrigger*N562,AC562=1),AB561/AE561*tun_DaughterShare&gt;=tun_MinDaughter),MAX(1,ROUND(AE561*tun_FissionRate,0)),0)</x:f>
        <x:v>3</x:v>
      </x:c>
      <x:c r="AE562" s="8" t="n">
        <x:f>IF(H562=1,MAX(1,MIN(INDEX(tun_Smax,G562),AE561+AD562)),AE561)</x:f>
        <x:v>9</x:v>
      </x:c>
      <x:c r="AF562" s="8" t="n">
        <x:f>MAX(0,AE562-AE561)</x:f>
        <x:v>0</x:v>
      </x:c>
      <x:c r="AG562" s="9" t="str">
        <x:f>IF(AF562&gt;0,B562,"")</x:f>
      </x:c>
      <x:c r="AH562" s="9" t="n">
        <x:f>IF(F562&gt;=1,1,(1+tun_LowTiesShare*(AE562-1))/AE562)</x:f>
        <x:v>1</x:v>
      </x:c>
      <x:c r="AI562" s="32" t="n">
        <x:f>(Z562+tun_ElderCommons*INDEX(LM_Elder,G562)*AA562)*AH562</x:f>
        <x:v>62240.36435346062</x:v>
      </x:c>
      <x:c r="AJ562" s="32" t="n">
        <x:f>H562*tun_CommonsCoef*AI562^tun_CommonsExp*INDEX(LM_Commons,G562)</x:f>
        <x:v>171970.29513850508</x:v>
      </x:c>
      <x:c r="AK562" s="32" t="n">
        <x:f>H562*tun_RoleScale*Arch_Roles*(AE562*(INDEX(tun_ElderRolePerSett,G562)*tun_OutElder*INDEX(LM_Elder,G562)+INDEX(tun_ShamanPerSett,G562)*tun_OutShaman)+Z562*(INDEX(tun_PriestShare,G562)*tun_OutPriest+INDEX(tun_ScribeShare,G562)*tun_OutScribe*INDEX(LM_Scribe,G562)+INDEX(tun_ScholarShare,G562)*tun_OutScholar*INDEX(LM_Scholar,G562)+INDEX(tun_ResearcherShare,G562)*tun_OutResearcher*INDEX(LM_Researcher,G562)))</x:f>
        <x:v>47321.397075030996</x:v>
      </x:c>
      <x:c r="AL562" s="32" t="n">
        <x:f>H562*tun_RoleScale*Arch_Roles*AE562*INDEX(tun_MonasteryPerSett,G562)*tun_OutMonastery*INDEX(LM_Monastery,G562)</x:f>
        <x:v>31.680000000000003</x:v>
      </x:c>
      <x:c r="AM562" s="32" t="n">
        <x:f>(AJ562+AK562+AL562)/4*INDEX(LM_All,G562)*INDEX(tun_Boon,G562)*Arch_Insight</x:f>
        <x:v>158020.61996493055</x:v>
      </x:c>
      <x:c r="AN562" s="32" t="n">
        <x:f>H562*(tun_KHPerAdult*Z562+tun_KHOfCommons*AJ562/4*INDEX(LM_All,G562))*tun_KHUsable*Arch_KH</x:f>
        <x:v>24914.802244316154</x:v>
      </x:c>
      <x:c r="AO562" s="32" t="n">
        <x:f>MIN(AP561+AN562,AM562*tun_KHMaxRatio)</x:f>
        <x:v>24914.802244316154</x:v>
      </x:c>
      <x:c r="AP562" s="32" t="n">
        <x:f>AP561+AN562-AO562</x:f>
        <x:v>0</x:v>
      </x:c>
      <x:c r="AQ562" s="32" t="n">
        <x:f>AM562+AO562</x:f>
        <x:v>182935.4222092467</x:v>
      </x:c>
      <x:c r="AR562" s="10" t="n">
        <x:f>IF(H562=1,INDEX(tun_Req,G562),0)</x:f>
        <x:v>24497531.045680594</x:v>
      </x:c>
      <x:c r="AS562" s="32" t="n">
        <x:f>IF(H562=1,IF(E562=1,AS561-AR561,AS561)+AQ562,0)</x:f>
        <x:v>9828302.001254383</x:v>
      </x:c>
      <x:c r="AT562" s="11" t="n">
        <x:f>IF(AR562&gt;0,MIN(1,AS562/AR562),1)</x:f>
        <x:v>0.401195613669293</x:v>
      </x:c>
      <x:c r="AU562" s="10" t="n">
        <x:f>AB562/INDEX(tun_RepScale,G562)</x:f>
        <x:v>208.9769809851852</x:v>
      </x:c>
      <x:c r="AV562" s="32" t="n">
        <x:f>AM562*60/tun_SeasonSeconds</x:f>
        <x:v>632082.4798597222</x:v>
      </x:c>
    </x:row>
    <x:row r="563">
      <x:c r="A563" s="8" t="n">
        <x:f>A562+1</x:f>
        <x:v>560</x:v>
      </x:c>
      <x:c r="B563" s="9" t="n">
        <x:f>A563*tun_SeasonSeconds/60</x:f>
        <x:v>140</x:v>
      </x:c>
      <x:c r="C563" s="9" t="n">
        <x:f>A563/4</x:f>
        <x:v>140</x:v>
      </x:c>
      <x:c r="D563" s="8" t="n">
        <x:f>IF(MOD(A563,4)=0,1,0)</x:f>
        <x:v>1</x:v>
      </x:c>
      <x:c r="E563" s="8" t="n">
        <x:f>IF(AND(F562&lt;=9,AS562&gt;=AR562),1,0)</x:f>
        <x:v>0</x:v>
      </x:c>
      <x:c r="F563" s="8" t="n">
        <x:f>MIN(10,F562+E563)</x:f>
        <x:v>8</x:v>
      </x:c>
      <x:c r="G563" s="8" t="n">
        <x:f>MIN(F563,9)+1</x:f>
        <x:v>9</x:v>
      </x:c>
      <x:c r="H563" s="8" t="n">
        <x:f>IF(F563&lt;=9,1,0)</x:f>
        <x:v>1</x:v>
      </x:c>
      <x:c r="I563" s="9" t="n">
        <x:f>MIN(10,F562+IF(AR562&gt;0,MIN(1,AS562/AR562),1))</x:f>
        <x:v>8.401195613669293</x:v>
      </x:c>
      <x:c r="J563" s="32" t="n">
        <x:f>INDEX(tun_FoodCap,G563)*Arch_FoodCap*EXP(tun_CapsByProject*SUMPRODUCT((Cap_Point&lt;=I563)*(Cap_Kind="Food")*Cap_Ln))</x:f>
        <x:v>7017.569668241889</x:v>
      </x:c>
      <x:c r="K563" s="32" t="n">
        <x:f>J563*MIN(1,tun_LeanBase*EXP(tun_CapsByProject*SUMPRODUCT((Cap_Point&lt;=I563)*(Cap_Kind="Lean")*Cap_Ln)))</x:f>
        <x:v>7017.569668241889</x:v>
      </x:c>
      <x:c r="L563" s="10" t="n">
        <x:f>INDEX(tun_HousingCap,G563)*EXP(tun_CapsByProject*SUMPRODUCT((Cap_Point&lt;=I563)*(Cap_Kind="Housing")*Cap_Ln))</x:f>
        <x:v>6581.714062749661</x:v>
      </x:c>
      <x:c r="M563" s="10" t="n">
        <x:f>INDEX(tun_GroupCap,G563)*tun_CohesionFactor*EXP(tun_CapsByProject*SUMPRODUCT((Cap_Point&lt;=I563)*(Cap_Kind="Group")*Cap_Ln))</x:f>
        <x:v>1000000.000000001</x:v>
      </x:c>
      <x:c r="N563" s="32" t="n">
        <x:f>MIN(J563,L563,M563)</x:f>
        <x:v>6581.714062749661</x:v>
      </x:c>
      <x:c r="O563" s="10" t="n">
        <x:f>AE562*N563</x:f>
        <x:v>59235.42656474695</x:v>
      </x:c>
      <x:c r="P563" s="9" t="n">
        <x:f>MIN(1,(AB562/(AE562*IF(tun_GroupInCrowding=1,N563,MIN(J563,L563))))^tun_CrowdingExp)</x:f>
        <x:v>0.4706972222359778</x:v>
      </x:c>
      <x:c r="Q563" s="9" t="n">
        <x:f>IF(D563=1,INDEX(tun_WinterMult,G563),1)</x:f>
        <x:v>1.05</x:v>
      </x:c>
      <x:c r="R563" s="9" t="n">
        <x:f>H563*Z562*tun_WomenShare*tun_BaseFertility*INDEX(tun_FertMult,G563)*Arch_Fertility*(1-P563)</x:f>
        <x:v>431.1909101043516</x:v>
      </x:c>
      <x:c r="S563" s="9" t="n">
        <x:f>H563*Y562*INDEX(tun_MortChild,G563)/4*Q563</x:f>
        <x:v>22.368460031806762</x:v>
      </x:c>
      <x:c r="T563" s="9" t="n">
        <x:f>H563*Z562*INDEX(tun_MortAdult,G563)*Arch_AdultMort/4*Q563</x:f>
        <x:v>17.944854449127874</x:v>
      </x:c>
      <x:c r="U563" s="9" t="n">
        <x:f>H563*AA562*INDEX(tun_MortElder,G563)/4*Q563</x:f>
        <x:v>91.13700193905227</x:v>
      </x:c>
      <x:c r="V563" s="9" t="n">
        <x:f>H563*MAX(0,AB562-O563)*tun_OvercapLoss</x:f>
        <x:v>0</x:v>
      </x:c>
      <x:c r="W563" s="9" t="n">
        <x:f>H563*Y562/(tun_ChildYears*4)</x:f>
        <x:v>338.147543942657</x:v>
      </x:c>
      <x:c r="X563" s="9" t="n">
        <x:f>H563*Z562/(tun_AdultYears*4)</x:f>
        <x:v>183.76707065159113</x:v>
      </x:c>
      <x:c r="Y563" s="32" t="n">
        <x:f>Y562+R563-S563-W563-Y562*V563/AB562</x:f>
        <x:v>19006.93736691868</x:v>
      </x:c>
      <x:c r="Z563" s="32" t="n">
        <x:f>Z562+W563-X563-T563-Z562*V563/AB562</x:f>
        <x:v>22923.552379639237</x:v>
      </x:c>
      <x:c r="AA563" s="32" t="n">
        <x:f>AA562+X563-U563-AA562*V563/AB562</x:f>
        <x:v>10613.496093422757</x:v>
      </x:c>
      <x:c r="AB563" s="10" t="n">
        <x:f>Y563+Z563+AA563</x:f>
        <x:v>52543.98583998067</x:v>
      </x:c>
      <x:c r="AC563" s="8" t="n">
        <x:f>IF(AND(tun_WinterTrigger=1,D563=1,AB562/AE562&gt;=K563),1,0)</x:f>
        <x:v>0</x:v>
      </x:c>
      <x:c r="AD563" s="8" t="n">
        <x:f>H563*IF(AND(OR(AB562/AE562&gt;=tun_FissionTrigger*N563,AC563=1),AB562/AE562*tun_DaughterShare&gt;=tun_MinDaughter),MAX(1,ROUND(AE562*tun_FissionRate,0)),0)</x:f>
        <x:v>3</x:v>
      </x:c>
      <x:c r="AE563" s="8" t="n">
        <x:f>IF(H563=1,MAX(1,MIN(INDEX(tun_Smax,G563),AE562+AD563)),AE562)</x:f>
        <x:v>9</x:v>
      </x:c>
      <x:c r="AF563" s="8" t="n">
        <x:f>MAX(0,AE563-AE562)</x:f>
        <x:v>0</x:v>
      </x:c>
      <x:c r="AG563" s="9" t="str">
        <x:f>IF(AF563&gt;0,B563,"")</x:f>
      </x:c>
      <x:c r="AH563" s="9" t="n">
        <x:f>IF(F563&gt;=1,1,(1+tun_LowTiesShare*(AE563-1))/AE563)</x:f>
        <x:v>1</x:v>
      </x:c>
      <x:c r="AI563" s="32" t="n">
        <x:f>(Z563+tun_ElderCommons*INDEX(LM_Elder,G563)*AA563)*AH563</x:f>
        <x:v>62724.162729974574</x:v>
      </x:c>
      <x:c r="AJ563" s="32" t="n">
        <x:f>H563*tun_CommonsCoef*AI563^tun_CommonsExp*INDEX(LM_Commons,G563)</x:f>
        <x:v>173105.86049728168</x:v>
      </x:c>
      <x:c r="AK563" s="32" t="n">
        <x:f>H563*tun_RoleScale*Arch_Roles*(AE563*(INDEX(tun_ElderRolePerSett,G563)*tun_OutElder*INDEX(LM_Elder,G563)+INDEX(tun_ShamanPerSett,G563)*tun_OutShaman)+Z563*(INDEX(tun_PriestShare,G563)*tun_OutPriest+INDEX(tun_ScribeShare,G563)*tun_OutScribe*INDEX(LM_Scribe,G563)+INDEX(tun_ScholarShare,G563)*tun_OutScholar*INDEX(LM_Scholar,G563)+INDEX(tun_ResearcherShare,G563)*tun_OutResearcher*INDEX(LM_Researcher,G563)))</x:f>
        <x:v>47603.27434394764</x:v>
      </x:c>
      <x:c r="AL563" s="32" t="n">
        <x:f>H563*tun_RoleScale*Arch_Roles*AE563*INDEX(tun_MonasteryPerSett,G563)*tun_OutMonastery*INDEX(LM_Monastery,G563)</x:f>
        <x:v>31.680000000000003</x:v>
      </x:c>
      <x:c r="AM563" s="32" t="n">
        <x:f>(AJ563+AK563+AL563)/4*INDEX(LM_All,G563)*INDEX(tun_Boon,G563)*Arch_Insight</x:f>
        <x:v>159041.8752945939</x:v>
      </x:c>
      <x:c r="AN563" s="32" t="n">
        <x:f>H563*(tun_KHPerAdult*Z563+tun_KHOfCommons*AJ563/4*INDEX(LM_All,G563))*tun_KHUsable*Arch_KH</x:f>
        <x:v>25079.321275504815</x:v>
      </x:c>
      <x:c r="AO563" s="32" t="n">
        <x:f>MIN(AP562+AN563,AM563*tun_KHMaxRatio)</x:f>
        <x:v>25079.321275504815</x:v>
      </x:c>
      <x:c r="AP563" s="32" t="n">
        <x:f>AP562+AN563-AO563</x:f>
        <x:v>0</x:v>
      </x:c>
      <x:c r="AQ563" s="32" t="n">
        <x:f>AM563+AO563</x:f>
        <x:v>184121.1965700987</x:v>
      </x:c>
      <x:c r="AR563" s="10" t="n">
        <x:f>IF(H563=1,INDEX(tun_Req,G563),0)</x:f>
        <x:v>24497531.045680594</x:v>
      </x:c>
      <x:c r="AS563" s="32" t="n">
        <x:f>IF(H563=1,IF(E563=1,AS562-AR562,AS562)+AQ563,0)</x:f>
        <x:v>10012423.197824482</x:v>
      </x:c>
      <x:c r="AT563" s="11" t="n">
        <x:f>IF(AR563&gt;0,MIN(1,AS563/AR563),1)</x:f>
        <x:v>0.40871152195518384</x:v>
      </x:c>
      <x:c r="AU563" s="10" t="n">
        <x:f>AB563/INDEX(tun_RepScale,G563)</x:f>
        <x:v>210.17594335992268</x:v>
      </x:c>
      <x:c r="AV563" s="32" t="n">
        <x:f>AM563*60/tun_SeasonSeconds</x:f>
        <x:v>636167.5011783756</x:v>
      </x:c>
    </x:row>
    <x:row r="564">
      <x:c r="A564" s="8" t="n">
        <x:f>A563+1</x:f>
        <x:v>561</x:v>
      </x:c>
      <x:c r="B564" s="9" t="n">
        <x:f>A564*tun_SeasonSeconds/60</x:f>
        <x:v>140.25</x:v>
      </x:c>
      <x:c r="C564" s="9" t="n">
        <x:f>A564/4</x:f>
        <x:v>140.25</x:v>
      </x:c>
      <x:c r="D564" s="8" t="n">
        <x:f>IF(MOD(A564,4)=0,1,0)</x:f>
        <x:v>0</x:v>
      </x:c>
      <x:c r="E564" s="8" t="n">
        <x:f>IF(AND(F563&lt;=9,AS563&gt;=AR563),1,0)</x:f>
        <x:v>0</x:v>
      </x:c>
      <x:c r="F564" s="8" t="n">
        <x:f>MIN(10,F563+E564)</x:f>
        <x:v>8</x:v>
      </x:c>
      <x:c r="G564" s="8" t="n">
        <x:f>MIN(F564,9)+1</x:f>
        <x:v>9</x:v>
      </x:c>
      <x:c r="H564" s="8" t="n">
        <x:f>IF(F564&lt;=9,1,0)</x:f>
        <x:v>1</x:v>
      </x:c>
      <x:c r="I564" s="9" t="n">
        <x:f>MIN(10,F563+IF(AR563&gt;0,MIN(1,AS563/AR563),1))</x:f>
        <x:v>8.408711521955183</x:v>
      </x:c>
      <x:c r="J564" s="32" t="n">
        <x:f>INDEX(tun_FoodCap,G564)*Arch_FoodCap*EXP(tun_CapsByProject*SUMPRODUCT((Cap_Point&lt;=I564)*(Cap_Kind="Food")*Cap_Ln))</x:f>
        <x:v>7017.569668241889</x:v>
      </x:c>
      <x:c r="K564" s="32" t="n">
        <x:f>J564*MIN(1,tun_LeanBase*EXP(tun_CapsByProject*SUMPRODUCT((Cap_Point&lt;=I564)*(Cap_Kind="Lean")*Cap_Ln)))</x:f>
        <x:v>7017.569668241889</x:v>
      </x:c>
      <x:c r="L564" s="10" t="n">
        <x:f>INDEX(tun_HousingCap,G564)*EXP(tun_CapsByProject*SUMPRODUCT((Cap_Point&lt;=I564)*(Cap_Kind="Housing")*Cap_Ln))</x:f>
        <x:v>6581.714062749661</x:v>
      </x:c>
      <x:c r="M564" s="10" t="n">
        <x:f>INDEX(tun_GroupCap,G564)*tun_CohesionFactor*EXP(tun_CapsByProject*SUMPRODUCT((Cap_Point&lt;=I564)*(Cap_Kind="Group")*Cap_Ln))</x:f>
        <x:v>1000000.000000001</x:v>
      </x:c>
      <x:c r="N564" s="32" t="n">
        <x:f>MIN(J564,L564,M564)</x:f>
        <x:v>6581.714062749661</x:v>
      </x:c>
      <x:c r="O564" s="10" t="n">
        <x:f>AE563*N564</x:f>
        <x:v>59235.42656474695</x:v>
      </x:c>
      <x:c r="P564" s="9" t="n">
        <x:f>MIN(1,(AB563/(AE563*IF(tun_GroupInCrowding=1,N564,MIN(J564,L564))))^tun_CrowdingExp)</x:f>
        <x:v>0.48713458365348944</x:v>
      </x:c>
      <x:c r="Q564" s="9" t="n">
        <x:f>IF(D564=1,INDEX(tun_WinterMult,G564),1)</x:f>
        <x:v>1</x:v>
      </x:c>
      <x:c r="R564" s="9" t="n">
        <x:f>H564*Z563*tun_WomenShare*tun_BaseFertility*INDEX(tun_FertMult,G564)*Arch_Fertility*(1-P564)</x:f>
        <x:v>420.3019261628588</x:v>
      </x:c>
      <x:c r="S564" s="9" t="n">
        <x:f>H564*Y563*INDEX(tun_MortChild,G564)/4*Q564</x:f>
        <x:v>21.382804537783514</x:v>
      </x:c>
      <x:c r="T564" s="9" t="n">
        <x:f>H564*Z563*INDEX(tun_MortAdult,G564)*Arch_AdultMort/4*Q564</x:f>
        <x:v>17.192664284729428</x:v>
      </x:c>
      <x:c r="U564" s="9" t="n">
        <x:f>H564*AA563*INDEX(tun_MortElder,G564)/4*Q564</x:f>
        <x:v>87.56134277073775</x:v>
      </x:c>
      <x:c r="V564" s="9" t="n">
        <x:f>H564*MAX(0,AB563-O564)*tun_OvercapLoss</x:f>
        <x:v>0</x:v>
      </x:c>
      <x:c r="W564" s="9" t="n">
        <x:f>H564*Y563/(tun_ChildYears*4)</x:f>
        <x:v>339.40959583783354</x:v>
      </x:c>
      <x:c r="X564" s="9" t="n">
        <x:f>H564*Z563/(tun_AdultYears*4)</x:f>
        <x:v>184.86735790031642</x:v>
      </x:c>
      <x:c r="Y564" s="32" t="n">
        <x:f>Y563+R564-S564-W564-Y563*V564/AB563</x:f>
        <x:v>19066.446892705917</x:v>
      </x:c>
      <x:c r="Z564" s="32" t="n">
        <x:f>Z563+W564-X564-T564-Z563*V564/AB563</x:f>
        <x:v>23060.90195329203</x:v>
      </x:c>
      <x:c r="AA564" s="32" t="n">
        <x:f>AA563+X564-U564-AA563*V564/AB563</x:f>
        <x:v>10710.802108552336</x:v>
      </x:c>
      <x:c r="AB564" s="10" t="n">
        <x:f>Y564+Z564+AA564</x:f>
        <x:v>52838.15095455028</x:v>
      </x:c>
      <x:c r="AC564" s="8" t="n">
        <x:f>IF(AND(tun_WinterTrigger=1,D564=1,AB563/AE563&gt;=K564),1,0)</x:f>
        <x:v>0</x:v>
      </x:c>
      <x:c r="AD564" s="8" t="n">
        <x:f>H564*IF(AND(OR(AB563/AE563&gt;=tun_FissionTrigger*N564,AC564=1),AB563/AE563*tun_DaughterShare&gt;=tun_MinDaughter),MAX(1,ROUND(AE563*tun_FissionRate,0)),0)</x:f>
        <x:v>3</x:v>
      </x:c>
      <x:c r="AE564" s="8" t="n">
        <x:f>IF(H564=1,MAX(1,MIN(INDEX(tun_Smax,G564),AE563+AD564)),AE563)</x:f>
        <x:v>9</x:v>
      </x:c>
      <x:c r="AF564" s="8" t="n">
        <x:f>MAX(0,AE564-AE563)</x:f>
        <x:v>0</x:v>
      </x:c>
      <x:c r="AG564" s="9" t="str">
        <x:f>IF(AF564&gt;0,B564,"")</x:f>
      </x:c>
      <x:c r="AH564" s="9" t="n">
        <x:f>IF(F564&gt;=1,1,(1+tun_LowTiesShare*(AE564-1))/AE564)</x:f>
        <x:v>1</x:v>
      </x:c>
      <x:c r="AI564" s="32" t="n">
        <x:f>(Z564+tun_ElderCommons*INDEX(LM_Elder,G564)*AA564)*AH564</x:f>
        <x:v>63226.40986036329</x:v>
      </x:c>
      <x:c r="AJ564" s="32" t="n">
        <x:f>H564*tun_CommonsCoef*AI564^tun_CommonsExp*INDEX(LM_Commons,G564)</x:f>
        <x:v>174283.33956401295</x:v>
      </x:c>
      <x:c r="AK564" s="32" t="n">
        <x:f>H564*tun_RoleScale*Arch_Roles*(AE564*(INDEX(tun_ElderRolePerSett,G564)*tun_OutElder*INDEX(LM_Elder,G564)+INDEX(tun_ShamanPerSett,G564)*tun_OutShaman)+Z564*(INDEX(tun_PriestShare,G564)*tun_OutPriest+INDEX(tun_ScribeShare,G564)*tun_OutScribe*INDEX(LM_Scribe,G564)+INDEX(tun_ScholarShare,G564)*tun_OutScholar*INDEX(LM_Scholar,G564)+INDEX(tun_ResearcherShare,G564)*tun_OutResearcher*INDEX(LM_Researcher,G564)))</x:f>
        <x:v>47887.03985208058</x:v>
      </x:c>
      <x:c r="AL564" s="32" t="n">
        <x:f>H564*tun_RoleScale*Arch_Roles*AE564*INDEX(tun_MonasteryPerSett,G564)*tun_OutMonastery*INDEX(LM_Monastery,G564)</x:f>
        <x:v>31.680000000000003</x:v>
      </x:c>
      <x:c r="AM564" s="32" t="n">
        <x:f>(AJ564+AK564+AL564)/4*INDEX(LM_All,G564)*INDEX(tun_Boon,G564)*Arch_Insight</x:f>
        <x:v>160094.68955378566</x:v>
      </x:c>
      <x:c r="AN564" s="32" t="n">
        <x:f>H564*(tun_KHPerAdult*Z564+tun_KHOfCommons*AJ564/4*INDEX(LM_All,G564))*tun_KHUsable*Arch_KH</x:f>
        <x:v>25249.91270276732</x:v>
      </x:c>
      <x:c r="AO564" s="32" t="n">
        <x:f>MIN(AP563+AN564,AM564*tun_KHMaxRatio)</x:f>
        <x:v>25249.91270276732</x:v>
      </x:c>
      <x:c r="AP564" s="32" t="n">
        <x:f>AP563+AN564-AO564</x:f>
        <x:v>0</x:v>
      </x:c>
      <x:c r="AQ564" s="32" t="n">
        <x:f>AM564+AO564</x:f>
        <x:v>185344.602256553</x:v>
      </x:c>
      <x:c r="AR564" s="10" t="n">
        <x:f>IF(H564=1,INDEX(tun_Req,G564),0)</x:f>
        <x:v>24497531.045680594</x:v>
      </x:c>
      <x:c r="AS564" s="32" t="n">
        <x:f>IF(H564=1,IF(E564=1,AS563-AR563,AS563)+AQ564,0)</x:f>
        <x:v>10197767.800081035</x:v>
      </x:c>
      <x:c r="AT564" s="11" t="n">
        <x:f>IF(AR564&gt;0,MIN(1,AS564/AR564),1)</x:f>
        <x:v>0.41627737019968414</x:v>
      </x:c>
      <x:c r="AU564" s="10" t="n">
        <x:f>AB564/INDEX(tun_RepScale,G564)</x:f>
        <x:v>211.35260381820112</x:v>
      </x:c>
      <x:c r="AV564" s="32" t="n">
        <x:f>AM564*60/tun_SeasonSeconds</x:f>
        <x:v>640378.7582151426</x:v>
      </x:c>
    </x:row>
    <x:row r="565">
      <x:c r="A565" s="8" t="n">
        <x:f>A564+1</x:f>
        <x:v>562</x:v>
      </x:c>
      <x:c r="B565" s="9" t="n">
        <x:f>A565*tun_SeasonSeconds/60</x:f>
        <x:v>140.5</x:v>
      </x:c>
      <x:c r="C565" s="9" t="n">
        <x:f>A565/4</x:f>
        <x:v>140.5</x:v>
      </x:c>
      <x:c r="D565" s="8" t="n">
        <x:f>IF(MOD(A565,4)=0,1,0)</x:f>
        <x:v>0</x:v>
      </x:c>
      <x:c r="E565" s="8" t="n">
        <x:f>IF(AND(F564&lt;=9,AS564&gt;=AR564),1,0)</x:f>
        <x:v>0</x:v>
      </x:c>
      <x:c r="F565" s="8" t="n">
        <x:f>MIN(10,F564+E565)</x:f>
        <x:v>8</x:v>
      </x:c>
      <x:c r="G565" s="8" t="n">
        <x:f>MIN(F565,9)+1</x:f>
        <x:v>9</x:v>
      </x:c>
      <x:c r="H565" s="8" t="n">
        <x:f>IF(F565&lt;=9,1,0)</x:f>
        <x:v>1</x:v>
      </x:c>
      <x:c r="I565" s="9" t="n">
        <x:f>MIN(10,F564+IF(AR564&gt;0,MIN(1,AS564/AR564),1))</x:f>
        <x:v>8.416277370199683</x:v>
      </x:c>
      <x:c r="J565" s="32" t="n">
        <x:f>INDEX(tun_FoodCap,G565)*Arch_FoodCap*EXP(tun_CapsByProject*SUMPRODUCT((Cap_Point&lt;=I565)*(Cap_Kind="Food")*Cap_Ln))</x:f>
        <x:v>7017.569668241889</x:v>
      </x:c>
      <x:c r="K565" s="32" t="n">
        <x:f>J565*MIN(1,tun_LeanBase*EXP(tun_CapsByProject*SUMPRODUCT((Cap_Point&lt;=I565)*(Cap_Kind="Lean")*Cap_Ln)))</x:f>
        <x:v>7017.569668241889</x:v>
      </x:c>
      <x:c r="L565" s="10" t="n">
        <x:f>INDEX(tun_HousingCap,G565)*EXP(tun_CapsByProject*SUMPRODUCT((Cap_Point&lt;=I565)*(Cap_Kind="Housing")*Cap_Ln))</x:f>
        <x:v>6581.714062749661</x:v>
      </x:c>
      <x:c r="M565" s="10" t="n">
        <x:f>INDEX(tun_GroupCap,G565)*tun_CohesionFactor*EXP(tun_CapsByProject*SUMPRODUCT((Cap_Point&lt;=I565)*(Cap_Kind="Group")*Cap_Ln))</x:f>
        <x:v>1000000.000000001</x:v>
      </x:c>
      <x:c r="N565" s="32" t="n">
        <x:f>MIN(J565,L565,M565)</x:f>
        <x:v>6581.714062749661</x:v>
      </x:c>
      <x:c r="O565" s="10" t="n">
        <x:f>AE564*N565</x:f>
        <x:v>59235.42656474695</x:v>
      </x:c>
      <x:c r="P565" s="9" t="n">
        <x:f>MIN(1,(AB564/(AE564*IF(tun_GroupInCrowding=1,N565,MIN(J565,L565))))^tun_CrowdingExp)</x:f>
        <x:v>0.5037285268939491</x:v>
      </x:c>
      <x:c r="Q565" s="9" t="n">
        <x:f>IF(D565=1,INDEX(tun_WinterMult,G565),1)</x:f>
        <x:v>1</x:v>
      </x:c>
      <x:c r="R565" s="9" t="n">
        <x:f>H565*Z564*tun_WomenShare*tun_BaseFertility*INDEX(tun_FertMult,G565)*Arch_Fertility*(1-P565)</x:f>
        <x:v>409.13972326064135</x:v>
      </x:c>
      <x:c r="S565" s="9" t="n">
        <x:f>H565*Y564*INDEX(tun_MortChild,G565)/4*Q565</x:f>
        <x:v>21.449752754294156</x:v>
      </x:c>
      <x:c r="T565" s="9" t="n">
        <x:f>H565*Z564*INDEX(tun_MortAdult,G565)*Arch_AdultMort/4*Q565</x:f>
        <x:v>17.29567646496902</x:v>
      </x:c>
      <x:c r="U565" s="9" t="n">
        <x:f>H565*AA564*INDEX(tun_MortElder,G565)/4*Q565</x:f>
        <x:v>88.36411739555678</x:v>
      </x:c>
      <x:c r="V565" s="9" t="n">
        <x:f>H565*MAX(0,AB564-O565)*tun_OvercapLoss</x:f>
        <x:v>0</x:v>
      </x:c>
      <x:c r="W565" s="9" t="n">
        <x:f>H565*Y564/(tun_ChildYears*4)</x:f>
        <x:v>340.4722659411771</x:v>
      </x:c>
      <x:c r="X565" s="9" t="n">
        <x:f>H565*Z564/(tun_AdultYears*4)</x:f>
        <x:v>185.97501575235506</x:v>
      </x:c>
      <x:c r="Y565" s="32" t="n">
        <x:f>Y564+R565-S565-W565-Y564*V565/AB564</x:f>
        <x:v>19113.664597271083</x:v>
      </x:c>
      <x:c r="Z565" s="32" t="n">
        <x:f>Z564+W565-X565-T565-Z564*V565/AB564</x:f>
        <x:v>23198.103527015883</x:v>
      </x:c>
      <x:c r="AA565" s="32" t="n">
        <x:f>AA564+X565-U565-AA564*V565/AB564</x:f>
        <x:v>10808.413006909135</x:v>
      </x:c>
      <x:c r="AB565" s="10" t="n">
        <x:f>Y565+Z565+AA565</x:f>
        <x:v>53120.1811311961</x:v>
      </x:c>
      <x:c r="AC565" s="8" t="n">
        <x:f>IF(AND(tun_WinterTrigger=1,D565=1,AB564/AE564&gt;=K565),1,0)</x:f>
        <x:v>0</x:v>
      </x:c>
      <x:c r="AD565" s="8" t="n">
        <x:f>H565*IF(AND(OR(AB564/AE564&gt;=tun_FissionTrigger*N565,AC565=1),AB564/AE564*tun_DaughterShare&gt;=tun_MinDaughter),MAX(1,ROUND(AE564*tun_FissionRate,0)),0)</x:f>
        <x:v>3</x:v>
      </x:c>
      <x:c r="AE565" s="8" t="n">
        <x:f>IF(H565=1,MAX(1,MIN(INDEX(tun_Smax,G565),AE564+AD565)),AE564)</x:f>
        <x:v>9</x:v>
      </x:c>
      <x:c r="AF565" s="8" t="n">
        <x:f>MAX(0,AE565-AE564)</x:f>
        <x:v>0</x:v>
      </x:c>
      <x:c r="AG565" s="9" t="str">
        <x:f>IF(AF565&gt;0,B565,"")</x:f>
      </x:c>
      <x:c r="AH565" s="9" t="n">
        <x:f>IF(F565&gt;=1,1,(1+tun_LowTiesShare*(AE565-1))/AE565)</x:f>
        <x:v>1</x:v>
      </x:c>
      <x:c r="AI565" s="32" t="n">
        <x:f>(Z565+tun_ElderCommons*INDEX(LM_Elder,G565)*AA565)*AH565</x:f>
        <x:v>63729.65230292514</x:v>
      </x:c>
      <x:c r="AJ565" s="32" t="n">
        <x:f>H565*tun_CommonsCoef*AI565^tun_CommonsExp*INDEX(LM_Commons,G565)</x:f>
        <x:v>175461.74570095536</x:v>
      </x:c>
      <x:c r="AK565" s="32" t="n">
        <x:f>H565*tun_RoleScale*Arch_Roles*(AE565*(INDEX(tun_ElderRolePerSett,G565)*tun_OutElder*INDEX(LM_Elder,G565)+INDEX(tun_ShamanPerSett,G565)*tun_OutShaman)+Z565*(INDEX(tun_PriestShare,G565)*tun_OutPriest+INDEX(tun_ScribeShare,G565)*tun_OutScribe*INDEX(LM_Scribe,G565)+INDEX(tun_ScholarShare,G565)*tun_OutScholar*INDEX(LM_Scholar,G565)+INDEX(tun_ResearcherShare,G565)*tun_OutResearcher*INDEX(LM_Researcher,G565)))</x:f>
        <x:v>48170.49959097143</x:v>
      </x:c>
      <x:c r="AL565" s="32" t="n">
        <x:f>H565*tun_RoleScale*Arch_Roles*AE565*INDEX(tun_MonasteryPerSett,G565)*tun_OutMonastery*INDEX(LM_Monastery,G565)</x:f>
        <x:v>31.680000000000003</x:v>
      </x:c>
      <x:c r="AM565" s="32" t="n">
        <x:f>(AJ565+AK565+AL565)/4*INDEX(LM_All,G565)*INDEX(tun_Boon,G565)*Arch_Insight</x:f>
        <x:v>161147.95145502908</x:v>
      </x:c>
      <x:c r="AN565" s="32" t="n">
        <x:f>H565*(tun_KHPerAdult*Z565+tun_KHOfCommons*AJ565/4*INDEX(LM_All,G565))*tun_KHUsable*Arch_KH</x:f>
        <x:v>25420.63844259211</x:v>
      </x:c>
      <x:c r="AO565" s="32" t="n">
        <x:f>MIN(AP564+AN565,AM565*tun_KHMaxRatio)</x:f>
        <x:v>25420.63844259211</x:v>
      </x:c>
      <x:c r="AP565" s="32" t="n">
        <x:f>AP564+AN565-AO565</x:f>
        <x:v>0</x:v>
      </x:c>
      <x:c r="AQ565" s="32" t="n">
        <x:f>AM565+AO565</x:f>
        <x:v>186568.5898976212</x:v>
      </x:c>
      <x:c r="AR565" s="10" t="n">
        <x:f>IF(H565=1,INDEX(tun_Req,G565),0)</x:f>
        <x:v>24497531.045680594</x:v>
      </x:c>
      <x:c r="AS565" s="32" t="n">
        <x:f>IF(H565=1,IF(E565=1,AS564-AR564,AS564)+AQ565,0)</x:f>
        <x:v>10384336.389978657</x:v>
      </x:c>
      <x:c r="AT565" s="11" t="n">
        <x:f>IF(AR565&gt;0,MIN(1,AS565/AR565),1)</x:f>
        <x:v>0.4238931821584373</x:v>
      </x:c>
      <x:c r="AU565" s="10" t="n">
        <x:f>AB565/INDEX(tun_RepScale,G565)</x:f>
        <x:v>212.4807245247844</x:v>
      </x:c>
      <x:c r="AV565" s="32" t="n">
        <x:f>AM565*60/tun_SeasonSeconds</x:f>
        <x:v>644591.8058201163</x:v>
      </x:c>
    </x:row>
    <x:row r="566">
      <x:c r="A566" s="8" t="n">
        <x:f>A565+1</x:f>
        <x:v>563</x:v>
      </x:c>
      <x:c r="B566" s="9" t="n">
        <x:f>A566*tun_SeasonSeconds/60</x:f>
        <x:v>140.75</x:v>
      </x:c>
      <x:c r="C566" s="9" t="n">
        <x:f>A566/4</x:f>
        <x:v>140.75</x:v>
      </x:c>
      <x:c r="D566" s="8" t="n">
        <x:f>IF(MOD(A566,4)=0,1,0)</x:f>
        <x:v>0</x:v>
      </x:c>
      <x:c r="E566" s="8" t="n">
        <x:f>IF(AND(F565&lt;=9,AS565&gt;=AR565),1,0)</x:f>
        <x:v>0</x:v>
      </x:c>
      <x:c r="F566" s="8" t="n">
        <x:f>MIN(10,F565+E566)</x:f>
        <x:v>8</x:v>
      </x:c>
      <x:c r="G566" s="8" t="n">
        <x:f>MIN(F566,9)+1</x:f>
        <x:v>9</x:v>
      </x:c>
      <x:c r="H566" s="8" t="n">
        <x:f>IF(F566&lt;=9,1,0)</x:f>
        <x:v>1</x:v>
      </x:c>
      <x:c r="I566" s="9" t="n">
        <x:f>MIN(10,F565+IF(AR565&gt;0,MIN(1,AS565/AR565),1))</x:f>
        <x:v>8.423893182158437</x:v>
      </x:c>
      <x:c r="J566" s="32" t="n">
        <x:f>INDEX(tun_FoodCap,G566)*Arch_FoodCap*EXP(tun_CapsByProject*SUMPRODUCT((Cap_Point&lt;=I566)*(Cap_Kind="Food")*Cap_Ln))</x:f>
        <x:v>7017.569668241889</x:v>
      </x:c>
      <x:c r="K566" s="32" t="n">
        <x:f>J566*MIN(1,tun_LeanBase*EXP(tun_CapsByProject*SUMPRODUCT((Cap_Point&lt;=I566)*(Cap_Kind="Lean")*Cap_Ln)))</x:f>
        <x:v>7017.569668241889</x:v>
      </x:c>
      <x:c r="L566" s="10" t="n">
        <x:f>INDEX(tun_HousingCap,G566)*EXP(tun_CapsByProject*SUMPRODUCT((Cap_Point&lt;=I566)*(Cap_Kind="Housing")*Cap_Ln))</x:f>
        <x:v>6581.714062749661</x:v>
      </x:c>
      <x:c r="M566" s="10" t="n">
        <x:f>INDEX(tun_GroupCap,G566)*tun_CohesionFactor*EXP(tun_CapsByProject*SUMPRODUCT((Cap_Point&lt;=I566)*(Cap_Kind="Group")*Cap_Ln))</x:f>
        <x:v>1000000.000000001</x:v>
      </x:c>
      <x:c r="N566" s="32" t="n">
        <x:f>MIN(J566,L566,M566)</x:f>
        <x:v>6581.714062749661</x:v>
      </x:c>
      <x:c r="O566" s="10" t="n">
        <x:f>AE565*N566</x:f>
        <x:v>59235.42656474695</x:v>
      </x:c>
      <x:c r="P566" s="9" t="n">
        <x:f>MIN(1,(AB565/(AE565*IF(tun_GroupInCrowding=1,N566,MIN(J566,L566))))^tun_CrowdingExp)</x:f>
        <x:v>0.5200776157000837</x:v>
      </x:c>
      <x:c r="Q566" s="9" t="n">
        <x:f>IF(D566=1,INDEX(tun_WinterMult,G566),1)</x:f>
        <x:v>1</x:v>
      </x:c>
      <x:c r="R566" s="9" t="n">
        <x:f>H566*Z565*tun_WomenShare*tun_BaseFertility*INDEX(tun_FertMult,G566)*Arch_Fertility*(1-P566)</x:f>
        <x:v>398.01508732420297</x:v>
      </x:c>
      <x:c r="S566" s="9" t="n">
        <x:f>H566*Y565*INDEX(tun_MortChild,G566)/4*Q566</x:f>
        <x:v>21.502872671929968</x:v>
      </x:c>
      <x:c r="T566" s="9" t="n">
        <x:f>H566*Z565*INDEX(tun_MortAdult,G566)*Arch_AdultMort/4*Q566</x:f>
        <x:v>17.398577645261913</x:v>
      </x:c>
      <x:c r="U566" s="9" t="n">
        <x:f>H566*AA565*INDEX(tun_MortElder,G566)/4*Q566</x:f>
        <x:v>89.16940730700037</x:v>
      </x:c>
      <x:c r="V566" s="9" t="n">
        <x:f>H566*MAX(0,AB565-O566)*tun_OvercapLoss</x:f>
        <x:v>0</x:v>
      </x:c>
      <x:c r="W566" s="9" t="n">
        <x:f>H566*Y565/(tun_ChildYears*4)</x:f>
        <x:v>341.31543923698365</x:v>
      </x:c>
      <x:c r="X566" s="9" t="n">
        <x:f>H566*Z565/(tun_AdultYears*4)</x:f>
        <x:v>187.0814800565797</x:v>
      </x:c>
      <x:c r="Y566" s="32" t="n">
        <x:f>Y565+R566-S566-W566-Y565*V566/AB565</x:f>
        <x:v>19148.861372686373</x:v>
      </x:c>
      <x:c r="Z566" s="32" t="n">
        <x:f>Z565+W566-X566-T566-Z565*V566/AB565</x:f>
        <x:v>23334.938908551027</x:v>
      </x:c>
      <x:c r="AA566" s="32" t="n">
        <x:f>AA565+X566-U566-AA565*V566/AB565</x:f>
        <x:v>10906.325079658714</x:v>
      </x:c>
      <x:c r="AB566" s="10" t="n">
        <x:f>Y566+Z566+AA566</x:f>
        <x:v>53390.12536089612</x:v>
      </x:c>
      <x:c r="AC566" s="8" t="n">
        <x:f>IF(AND(tun_WinterTrigger=1,D566=1,AB565/AE565&gt;=K566),1,0)</x:f>
        <x:v>0</x:v>
      </x:c>
      <x:c r="AD566" s="8" t="n">
        <x:f>H566*IF(AND(OR(AB565/AE565&gt;=tun_FissionTrigger*N566,AC566=1),AB565/AE565*tun_DaughterShare&gt;=tun_MinDaughter),MAX(1,ROUND(AE565*tun_FissionRate,0)),0)</x:f>
        <x:v>3</x:v>
      </x:c>
      <x:c r="AE566" s="8" t="n">
        <x:f>IF(H566=1,MAX(1,MIN(INDEX(tun_Smax,G566),AE565+AD566)),AE565)</x:f>
        <x:v>9</x:v>
      </x:c>
      <x:c r="AF566" s="8" t="n">
        <x:f>MAX(0,AE566-AE565)</x:f>
        <x:v>0</x:v>
      </x:c>
      <x:c r="AG566" s="9" t="str">
        <x:f>IF(AF566&gt;0,B566,"")</x:f>
      </x:c>
      <x:c r="AH566" s="9" t="n">
        <x:f>IF(F566&gt;=1,1,(1+tun_LowTiesShare*(AE566-1))/AE566)</x:f>
        <x:v>1</x:v>
      </x:c>
      <x:c r="AI566" s="32" t="n">
        <x:f>(Z566+tun_ElderCommons*INDEX(LM_Elder,G566)*AA566)*AH566</x:f>
        <x:v>64233.65795727121</x:v>
      </x:c>
      <x:c r="AJ566" s="32" t="n">
        <x:f>H566*tun_CommonsCoef*AI566^tun_CommonsExp*INDEX(LM_Commons,G566)</x:f>
        <x:v>176640.54084133264</x:v>
      </x:c>
      <x:c r="AK566" s="32" t="n">
        <x:f>H566*tun_RoleScale*Arch_Roles*(AE566*(INDEX(tun_ElderRolePerSett,G566)*tun_OutElder*INDEX(LM_Elder,G566)+INDEX(tun_ShamanPerSett,G566)*tun_OutShaman)+Z566*(INDEX(tun_PriestShare,G566)*tun_OutPriest+INDEX(tun_ScribeShare,G566)*tun_OutScribe*INDEX(LM_Scribe,G566)+INDEX(tun_ScholarShare,G566)*tun_OutScholar*INDEX(LM_Scholar,G566)+INDEX(tun_ResearcherShare,G566)*tun_OutResearcher*INDEX(LM_Researcher,G566)))</x:f>
        <x:v>48453.20277336384</x:v>
      </x:c>
      <x:c r="AL566" s="32" t="n">
        <x:f>H566*tun_RoleScale*Arch_Roles*AE566*INDEX(tun_MonasteryPerSett,G566)*tun_OutMonastery*INDEX(LM_Monastery,G566)</x:f>
        <x:v>31.680000000000003</x:v>
      </x:c>
      <x:c r="AM566" s="32" t="n">
        <x:f>(AJ566+AK566+AL566)/4*INDEX(LM_All,G566)*INDEX(tun_Boon,G566)*Arch_Insight</x:f>
        <x:v>162200.94853742357</x:v>
      </x:c>
      <x:c r="AN566" s="32" t="n">
        <x:f>H566*(tun_KHPerAdult*Z566+tun_KHOfCommons*AJ566/4*INDEX(LM_All,G566))*tun_KHUsable*Arch_KH</x:f>
        <x:v>25591.42054065972</x:v>
      </x:c>
      <x:c r="AO566" s="32" t="n">
        <x:f>MIN(AP565+AN566,AM566*tun_KHMaxRatio)</x:f>
        <x:v>25591.42054065972</x:v>
      </x:c>
      <x:c r="AP566" s="32" t="n">
        <x:f>AP565+AN566-AO566</x:f>
        <x:v>0</x:v>
      </x:c>
      <x:c r="AQ566" s="32" t="n">
        <x:f>AM566+AO566</x:f>
        <x:v>187792.36907808328</x:v>
      </x:c>
      <x:c r="AR566" s="10" t="n">
        <x:f>IF(H566=1,INDEX(tun_Req,G566),0)</x:f>
        <x:v>24497531.045680594</x:v>
      </x:c>
      <x:c r="AS566" s="32" t="n">
        <x:f>IF(H566=1,IF(E566=1,AS565-AR565,AS565)+AQ566,0)</x:f>
        <x:v>10572128.75905674</x:v>
      </x:c>
      <x:c r="AT566" s="11" t="n">
        <x:f>IF(AR566&gt;0,MIN(1,AS566/AR566),1)</x:f>
        <x:v>0.4315589493219896</x:v>
      </x:c>
      <x:c r="AU566" s="10" t="n">
        <x:f>AB566/INDEX(tun_RepScale,G566)</x:f>
        <x:v>213.56050144358449</x:v>
      </x:c>
      <x:c r="AV566" s="32" t="n">
        <x:f>AM566*60/tun_SeasonSeconds</x:f>
        <x:v>648803.7941496943</x:v>
      </x:c>
    </x:row>
    <x:row r="567">
      <x:c r="A567" s="8" t="n">
        <x:f>A566+1</x:f>
        <x:v>564</x:v>
      </x:c>
      <x:c r="B567" s="9" t="n">
        <x:f>A567*tun_SeasonSeconds/60</x:f>
        <x:v>141</x:v>
      </x:c>
      <x:c r="C567" s="9" t="n">
        <x:f>A567/4</x:f>
        <x:v>141</x:v>
      </x:c>
      <x:c r="D567" s="8" t="n">
        <x:f>IF(MOD(A567,4)=0,1,0)</x:f>
        <x:v>1</x:v>
      </x:c>
      <x:c r="E567" s="8" t="n">
        <x:f>IF(AND(F566&lt;=9,AS566&gt;=AR566),1,0)</x:f>
        <x:v>0</x:v>
      </x:c>
      <x:c r="F567" s="8" t="n">
        <x:f>MIN(10,F566+E567)</x:f>
        <x:v>8</x:v>
      </x:c>
      <x:c r="G567" s="8" t="n">
        <x:f>MIN(F567,9)+1</x:f>
        <x:v>9</x:v>
      </x:c>
      <x:c r="H567" s="8" t="n">
        <x:f>IF(F567&lt;=9,1,0)</x:f>
        <x:v>1</x:v>
      </x:c>
      <x:c r="I567" s="9" t="n">
        <x:f>MIN(10,F566+IF(AR566&gt;0,MIN(1,AS566/AR566),1))</x:f>
        <x:v>8.431558949321989</x:v>
      </x:c>
      <x:c r="J567" s="32" t="n">
        <x:f>INDEX(tun_FoodCap,G567)*Arch_FoodCap*EXP(tun_CapsByProject*SUMPRODUCT((Cap_Point&lt;=I567)*(Cap_Kind="Food")*Cap_Ln))</x:f>
        <x:v>7017.569668241889</x:v>
      </x:c>
      <x:c r="K567" s="32" t="n">
        <x:f>J567*MIN(1,tun_LeanBase*EXP(tun_CapsByProject*SUMPRODUCT((Cap_Point&lt;=I567)*(Cap_Kind="Lean")*Cap_Ln)))</x:f>
        <x:v>7017.569668241889</x:v>
      </x:c>
      <x:c r="L567" s="10" t="n">
        <x:f>INDEX(tun_HousingCap,G567)*EXP(tun_CapsByProject*SUMPRODUCT((Cap_Point&lt;=I567)*(Cap_Kind="Housing")*Cap_Ln))</x:f>
        <x:v>6581.714062749661</x:v>
      </x:c>
      <x:c r="M567" s="10" t="n">
        <x:f>INDEX(tun_GroupCap,G567)*tun_CohesionFactor*EXP(tun_CapsByProject*SUMPRODUCT((Cap_Point&lt;=I567)*(Cap_Kind="Group")*Cap_Ln))</x:f>
        <x:v>1000000.000000001</x:v>
      </x:c>
      <x:c r="N567" s="32" t="n">
        <x:f>MIN(J567,L567,M567)</x:f>
        <x:v>6581.714062749661</x:v>
      </x:c>
      <x:c r="O567" s="10" t="n">
        <x:f>AE566*N567</x:f>
        <x:v>59235.42656474695</x:v>
      </x:c>
      <x:c r="P567" s="9" t="n">
        <x:f>MIN(1,(AB566/(AE566*IF(tun_GroupInCrowding=1,N567,MIN(J567,L567))))^tun_CrowdingExp)</x:f>
        <x:v>0.5361379163074669</x:v>
      </x:c>
      <x:c r="Q567" s="9" t="n">
        <x:f>IF(D567=1,INDEX(tun_WinterMult,G567),1)</x:f>
        <x:v>1.05</x:v>
      </x:c>
      <x:c r="R567" s="9" t="n">
        <x:f>H567*Z566*tun_WomenShare*tun_BaseFertility*INDEX(tun_FertMult,G567)*Arch_Fertility*(1-P567)</x:f>
        <x:v>386.9649135122644</x:v>
      </x:c>
      <x:c r="S567" s="9" t="n">
        <x:f>H567*Y566*INDEX(tun_MortChild,G567)/4*Q567</x:f>
        <x:v>22.619592496485776</x:v>
      </x:c>
      <x:c r="T567" s="9" t="n">
        <x:f>H567*Z566*INDEX(tun_MortAdult,G567)*Arch_AdultMort/4*Q567</x:f>
        <x:v>18.376264390483936</x:v>
      </x:c>
      <x:c r="U567" s="9" t="n">
        <x:f>H567*AA566*INDEX(tun_MortElder,G567)/4*Q567</x:f>
        <x:v>94.47604100254362</x:v>
      </x:c>
      <x:c r="V567" s="9" t="n">
        <x:f>H567*MAX(0,AB566-O567)*tun_OvercapLoss</x:f>
        <x:v>0</x:v>
      </x:c>
      <x:c r="W567" s="9" t="n">
        <x:f>H567*Y566/(tun_ChildYears*4)</x:f>
        <x:v>341.94395308368524</x:v>
      </x:c>
      <x:c r="X567" s="9" t="n">
        <x:f>H567*Z566/(tun_AdultYears*4)</x:f>
        <x:v>188.18499119799216</x:v>
      </x:c>
      <x:c r="Y567" s="32" t="n">
        <x:f>Y566+R567-S567-W567-Y566*V567/AB566</x:f>
        <x:v>19171.262740618466</x:v>
      </x:c>
      <x:c r="Z567" s="32" t="n">
        <x:f>Z566+W567-X567-T567-Z566*V567/AB566</x:f>
        <x:v>23470.321606046236</x:v>
      </x:c>
      <x:c r="AA567" s="32" t="n">
        <x:f>AA566+X567-U567-AA566*V567/AB566</x:f>
        <x:v>11000.034029854163</x:v>
      </x:c>
      <x:c r="AB567" s="10" t="n">
        <x:f>Y567+Z567+AA567</x:f>
        <x:v>53641.61837651887</x:v>
      </x:c>
      <x:c r="AC567" s="8" t="n">
        <x:f>IF(AND(tun_WinterTrigger=1,D567=1,AB566/AE566&gt;=K567),1,0)</x:f>
        <x:v>0</x:v>
      </x:c>
      <x:c r="AD567" s="8" t="n">
        <x:f>H567*IF(AND(OR(AB566/AE566&gt;=tun_FissionTrigger*N567,AC567=1),AB566/AE566*tun_DaughterShare&gt;=tun_MinDaughter),MAX(1,ROUND(AE566*tun_FissionRate,0)),0)</x:f>
        <x:v>3</x:v>
      </x:c>
      <x:c r="AE567" s="8" t="n">
        <x:f>IF(H567=1,MAX(1,MIN(INDEX(tun_Smax,G567),AE566+AD567)),AE566)</x:f>
        <x:v>9</x:v>
      </x:c>
      <x:c r="AF567" s="8" t="n">
        <x:f>MAX(0,AE567-AE566)</x:f>
        <x:v>0</x:v>
      </x:c>
      <x:c r="AG567" s="9" t="str">
        <x:f>IF(AF567&gt;0,B567,"")</x:f>
      </x:c>
      <x:c r="AH567" s="9" t="n">
        <x:f>IF(F567&gt;=1,1,(1+tun_LowTiesShare*(AE567-1))/AE567)</x:f>
        <x:v>1</x:v>
      </x:c>
      <x:c r="AI567" s="32" t="n">
        <x:f>(Z567+tun_ElderCommons*INDEX(LM_Elder,G567)*AA567)*AH567</x:f>
        <x:v>64720.44921799935</x:v>
      </x:c>
      <x:c r="AJ567" s="32" t="n">
        <x:f>H567*tun_CommonsCoef*AI567^tun_CommonsExp*INDEX(LM_Commons,G567)</x:f>
        <x:v>177777.7575400835</x:v>
      </x:c>
      <x:c r="AK567" s="32" t="n">
        <x:f>H567*tun_RoleScale*Arch_Roles*(AE567*(INDEX(tun_ElderRolePerSett,G567)*tun_OutElder*INDEX(LM_Elder,G567)+INDEX(tun_ShamanPerSett,G567)*tun_OutShaman)+Z567*(INDEX(tun_PriestShare,G567)*tun_OutPriest+INDEX(tun_ScribeShare,G567)*tun_OutScribe*INDEX(LM_Scribe,G567)+INDEX(tun_ScholarShare,G567)*tun_OutScholar*INDEX(LM_Scholar,G567)+INDEX(tun_ResearcherShare,G567)*tun_OutResearcher*INDEX(LM_Researcher,G567)))</x:f>
        <x:v>48732.904696896934</x:v>
      </x:c>
      <x:c r="AL567" s="32" t="n">
        <x:f>H567*tun_RoleScale*Arch_Roles*AE567*INDEX(tun_MonasteryPerSett,G567)*tun_OutMonastery*INDEX(LM_Monastery,G567)</x:f>
        <x:v>31.680000000000003</x:v>
      </x:c>
      <x:c r="AM567" s="32" t="n">
        <x:f>(AJ567+AK567+AL567)/4*INDEX(LM_All,G567)*INDEX(tun_Boon,G567)*Arch_Insight</x:f>
        <x:v>163221.82632565658</x:v>
      </x:c>
      <x:c r="AN567" s="32" t="n">
        <x:f>H567*(tun_KHPerAdult*Z567+tun_KHOfCommons*AJ567/4*INDEX(LM_All,G567))*tun_KHUsable*Arch_KH</x:f>
        <x:v>25756.17881554372</x:v>
      </x:c>
      <x:c r="AO567" s="32" t="n">
        <x:f>MIN(AP566+AN567,AM567*tun_KHMaxRatio)</x:f>
        <x:v>25756.17881554372</x:v>
      </x:c>
      <x:c r="AP567" s="32" t="n">
        <x:f>AP566+AN567-AO567</x:f>
        <x:v>0</x:v>
      </x:c>
      <x:c r="AQ567" s="32" t="n">
        <x:f>AM567+AO567</x:f>
        <x:v>188978.0051412003</x:v>
      </x:c>
      <x:c r="AR567" s="10" t="n">
        <x:f>IF(H567=1,INDEX(tun_Req,G567),0)</x:f>
        <x:v>24497531.045680594</x:v>
      </x:c>
      <x:c r="AS567" s="32" t="n">
        <x:f>IF(H567=1,IF(E567=1,AS566-AR566,AS566)+AQ567,0)</x:f>
        <x:v>10761106.76419794</x:v>
      </x:c>
      <x:c r="AT567" s="11" t="n">
        <x:f>IF(AR567&gt;0,MIN(1,AS567/AR567),1)</x:f>
        <x:v>0.4392731146715023</x:v>
      </x:c>
      <x:c r="AU567" s="10" t="n">
        <x:f>AB567/INDEX(tun_RepScale,G567)</x:f>
        <x:v>214.56647350607548</x:v>
      </x:c>
      <x:c r="AV567" s="32" t="n">
        <x:f>AM567*60/tun_SeasonSeconds</x:f>
        <x:v>652887.3053026263</x:v>
      </x:c>
    </x:row>
    <x:row r="568">
      <x:c r="A568" s="8" t="n">
        <x:f>A567+1</x:f>
        <x:v>565</x:v>
      </x:c>
      <x:c r="B568" s="9" t="n">
        <x:f>A568*tun_SeasonSeconds/60</x:f>
        <x:v>141.25</x:v>
      </x:c>
      <x:c r="C568" s="9" t="n">
        <x:f>A568/4</x:f>
        <x:v>141.25</x:v>
      </x:c>
      <x:c r="D568" s="8" t="n">
        <x:f>IF(MOD(A568,4)=0,1,0)</x:f>
        <x:v>0</x:v>
      </x:c>
      <x:c r="E568" s="8" t="n">
        <x:f>IF(AND(F567&lt;=9,AS567&gt;=AR567),1,0)</x:f>
        <x:v>0</x:v>
      </x:c>
      <x:c r="F568" s="8" t="n">
        <x:f>MIN(10,F567+E568)</x:f>
        <x:v>8</x:v>
      </x:c>
      <x:c r="G568" s="8" t="n">
        <x:f>MIN(F568,9)+1</x:f>
        <x:v>9</x:v>
      </x:c>
      <x:c r="H568" s="8" t="n">
        <x:f>IF(F568&lt;=9,1,0)</x:f>
        <x:v>1</x:v>
      </x:c>
      <x:c r="I568" s="9" t="n">
        <x:f>MIN(10,F567+IF(AR567&gt;0,MIN(1,AS567/AR567),1))</x:f>
        <x:v>8.439273114671503</x:v>
      </x:c>
      <x:c r="J568" s="32" t="n">
        <x:f>INDEX(tun_FoodCap,G568)*Arch_FoodCap*EXP(tun_CapsByProject*SUMPRODUCT((Cap_Point&lt;=I568)*(Cap_Kind="Food")*Cap_Ln))</x:f>
        <x:v>7017.569668241889</x:v>
      </x:c>
      <x:c r="K568" s="32" t="n">
        <x:f>J568*MIN(1,tun_LeanBase*EXP(tun_CapsByProject*SUMPRODUCT((Cap_Point&lt;=I568)*(Cap_Kind="Lean")*Cap_Ln)))</x:f>
        <x:v>7017.569668241889</x:v>
      </x:c>
      <x:c r="L568" s="10" t="n">
        <x:f>INDEX(tun_HousingCap,G568)*EXP(tun_CapsByProject*SUMPRODUCT((Cap_Point&lt;=I568)*(Cap_Kind="Housing")*Cap_Ln))</x:f>
        <x:v>6581.714062749661</x:v>
      </x:c>
      <x:c r="M568" s="10" t="n">
        <x:f>INDEX(tun_GroupCap,G568)*tun_CohesionFactor*EXP(tun_CapsByProject*SUMPRODUCT((Cap_Point&lt;=I568)*(Cap_Kind="Group")*Cap_Ln))</x:f>
        <x:v>1000000.000000001</x:v>
      </x:c>
      <x:c r="N568" s="32" t="n">
        <x:f>MIN(J568,L568,M568)</x:f>
        <x:v>6581.714062749661</x:v>
      </x:c>
      <x:c r="O568" s="10" t="n">
        <x:f>AE567*N568</x:f>
        <x:v>59235.42656474695</x:v>
      </x:c>
      <x:c r="P568" s="9" t="n">
        <x:f>MIN(1,(AB567/(AE567*IF(tun_GroupInCrowding=1,N568,MIN(J568,L568))))^tun_CrowdingExp)</x:f>
        <x:v>0.5514702787239603</x:v>
      </x:c>
      <x:c r="Q568" s="9" t="n">
        <x:f>IF(D568=1,INDEX(tun_WinterMult,G568),1)</x:f>
        <x:v>1</x:v>
      </x:c>
      <x:c r="R568" s="9" t="n">
        <x:f>H568*Z567*tun_WomenShare*tun_BaseFertility*INDEX(tun_FertMult,G568)*Arch_Fertility*(1-P568)</x:f>
        <x:v>376.34514089382685</x:v>
      </x:c>
      <x:c r="S568" s="9" t="n">
        <x:f>H568*Y567*INDEX(tun_MortChild,G568)/4*Q568</x:f>
        <x:v>21.56767058319577</x:v>
      </x:c>
      <x:c r="T568" s="9" t="n">
        <x:f>H568*Z567*INDEX(tun_MortAdult,G568)*Arch_AdultMort/4*Q568</x:f>
        <x:v>17.602741204534677</x:v>
      </x:c>
      <x:c r="U568" s="9" t="n">
        <x:f>H568*AA567*INDEX(tun_MortElder,G568)/4*Q568</x:f>
        <x:v>90.75028074629685</x:v>
      </x:c>
      <x:c r="V568" s="9" t="n">
        <x:f>H568*MAX(0,AB567-O568)*tun_OvercapLoss</x:f>
        <x:v>0</x:v>
      </x:c>
      <x:c r="W568" s="9" t="n">
        <x:f>H568*Y567/(tun_ChildYears*4)</x:f>
        <x:v>342.34397751104405</x:v>
      </x:c>
      <x:c r="X568" s="9" t="n">
        <x:f>H568*Z567/(tun_AdultYears*4)</x:f>
        <x:v>189.27678714553417</x:v>
      </x:c>
      <x:c r="Y568" s="32" t="n">
        <x:f>Y567+R568-S568-W568-Y567*V568/AB567</x:f>
        <x:v>19183.69623341805</x:v>
      </x:c>
      <x:c r="Z568" s="32" t="n">
        <x:f>Z567+W568-X568-T568-Z567*V568/AB567</x:f>
        <x:v>23605.786055207216</x:v>
      </x:c>
      <x:c r="AA568" s="32" t="n">
        <x:f>AA567+X568-U568-AA567*V568/AB567</x:f>
        <x:v>11098.5605362534</x:v>
      </x:c>
      <x:c r="AB568" s="10" t="n">
        <x:f>Y568+Z568+AA568</x:f>
        <x:v>53888.04282487866</x:v>
      </x:c>
      <x:c r="AC568" s="8" t="n">
        <x:f>IF(AND(tun_WinterTrigger=1,D568=1,AB567/AE567&gt;=K568),1,0)</x:f>
        <x:v>0</x:v>
      </x:c>
      <x:c r="AD568" s="8" t="n">
        <x:f>H568*IF(AND(OR(AB567/AE567&gt;=tun_FissionTrigger*N568,AC568=1),AB567/AE567*tun_DaughterShare&gt;=tun_MinDaughter),MAX(1,ROUND(AE567*tun_FissionRate,0)),0)</x:f>
        <x:v>3</x:v>
      </x:c>
      <x:c r="AE568" s="8" t="n">
        <x:f>IF(H568=1,MAX(1,MIN(INDEX(tun_Smax,G568),AE567+AD568)),AE567)</x:f>
        <x:v>9</x:v>
      </x:c>
      <x:c r="AF568" s="8" t="n">
        <x:f>MAX(0,AE568-AE567)</x:f>
        <x:v>0</x:v>
      </x:c>
      <x:c r="AG568" s="9" t="str">
        <x:f>IF(AF568&gt;0,B568,"")</x:f>
      </x:c>
      <x:c r="AH568" s="9" t="n">
        <x:f>IF(F568&gt;=1,1,(1+tun_LowTiesShare*(AE568-1))/AE568)</x:f>
        <x:v>1</x:v>
      </x:c>
      <x:c r="AI568" s="32" t="n">
        <x:f>(Z568+tun_ElderCommons*INDEX(LM_Elder,G568)*AA568)*AH568</x:f>
        <x:v>65225.388066157466</x:v>
      </x:c>
      <x:c r="AJ568" s="32" t="n">
        <x:f>H568*tun_CommonsCoef*AI568^tun_CommonsExp*INDEX(LM_Commons,G568)</x:f>
        <x:v>178956.0149293854</x:v>
      </x:c>
      <x:c r="AK568" s="32" t="n">
        <x:f>H568*tun_RoleScale*Arch_Roles*(AE568*(INDEX(tun_ElderRolePerSett,G568)*tun_OutElder*INDEX(LM_Elder,G568)+INDEX(tun_ShamanPerSett,G568)*tun_OutShaman)+Z568*(INDEX(tun_PriestShare,G568)*tun_OutPriest+INDEX(tun_ScribeShare,G568)*tun_OutScribe*INDEX(LM_Scribe,G568)+INDEX(tun_ScholarShare,G568)*tun_OutScholar*INDEX(LM_Scholar,G568)+INDEX(tun_ResearcherShare,G568)*tun_OutResearcher*INDEX(LM_Researcher,G568)))</x:f>
        <x:v>49012.77552013872</x:v>
      </x:c>
      <x:c r="AL568" s="32" t="n">
        <x:f>H568*tun_RoleScale*Arch_Roles*AE568*INDEX(tun_MonasteryPerSett,G568)*tun_OutMonastery*INDEX(LM_Monastery,G568)</x:f>
        <x:v>31.680000000000003</x:v>
      </x:c>
      <x:c r="AM568" s="32" t="n">
        <x:f>(AJ568+AK568+AL568)/4*INDEX(LM_All,G568)*INDEX(tun_Boon,G568)*Arch_Insight</x:f>
        <x:v>164272.39527236315</x:v>
      </x:c>
      <x:c r="AN568" s="32" t="n">
        <x:f>H568*(tun_KHPerAdult*Z568+tun_KHOfCommons*AJ568/4*INDEX(LM_All,G568))*tun_KHUsable*Arch_KH</x:f>
        <x:v>25926.88300503015</x:v>
      </x:c>
      <x:c r="AO568" s="32" t="n">
        <x:f>MIN(AP567+AN568,AM568*tun_KHMaxRatio)</x:f>
        <x:v>25926.88300503015</x:v>
      </x:c>
      <x:c r="AP568" s="32" t="n">
        <x:f>AP567+AN568-AO568</x:f>
        <x:v>0</x:v>
      </x:c>
      <x:c r="AQ568" s="32" t="n">
        <x:f>AM568+AO568</x:f>
        <x:v>190199.2782773933</x:v>
      </x:c>
      <x:c r="AR568" s="10" t="n">
        <x:f>IF(H568=1,INDEX(tun_Req,G568),0)</x:f>
        <x:v>24497531.045680594</x:v>
      </x:c>
      <x:c r="AS568" s="32" t="n">
        <x:f>IF(H568=1,IF(E568=1,AS567-AR567,AS567)+AQ568,0)</x:f>
        <x:v>10951306.042475333</x:v>
      </x:c>
      <x:c r="AT568" s="11" t="n">
        <x:f>IF(AR568&gt;0,MIN(1,AS568/AR568),1)</x:f>
        <x:v>0.44703713292798414</x:v>
      </x:c>
      <x:c r="AU568" s="10" t="n">
        <x:f>AB568/INDEX(tun_RepScale,G568)</x:f>
        <x:v>215.55217129951464</x:v>
      </x:c>
      <x:c r="AV568" s="32" t="n">
        <x:f>AM568*60/tun_SeasonSeconds</x:f>
        <x:v>657089.5810894526</x:v>
      </x:c>
    </x:row>
    <x:row r="569">
      <x:c r="A569" s="8" t="n">
        <x:f>A568+1</x:f>
        <x:v>566</x:v>
      </x:c>
      <x:c r="B569" s="9" t="n">
        <x:f>A569*tun_SeasonSeconds/60</x:f>
        <x:v>141.5</x:v>
      </x:c>
      <x:c r="C569" s="9" t="n">
        <x:f>A569/4</x:f>
        <x:v>141.5</x:v>
      </x:c>
      <x:c r="D569" s="8" t="n">
        <x:f>IF(MOD(A569,4)=0,1,0)</x:f>
        <x:v>0</x:v>
      </x:c>
      <x:c r="E569" s="8" t="n">
        <x:f>IF(AND(F568&lt;=9,AS568&gt;=AR568),1,0)</x:f>
        <x:v>0</x:v>
      </x:c>
      <x:c r="F569" s="8" t="n">
        <x:f>MIN(10,F568+E569)</x:f>
        <x:v>8</x:v>
      </x:c>
      <x:c r="G569" s="8" t="n">
        <x:f>MIN(F569,9)+1</x:f>
        <x:v>9</x:v>
      </x:c>
      <x:c r="H569" s="8" t="n">
        <x:f>IF(F569&lt;=9,1,0)</x:f>
        <x:v>1</x:v>
      </x:c>
      <x:c r="I569" s="9" t="n">
        <x:f>MIN(10,F568+IF(AR568&gt;0,MIN(1,AS568/AR568),1))</x:f>
        <x:v>8.447037132927985</x:v>
      </x:c>
      <x:c r="J569" s="32" t="n">
        <x:f>INDEX(tun_FoodCap,G569)*Arch_FoodCap*EXP(tun_CapsByProject*SUMPRODUCT((Cap_Point&lt;=I569)*(Cap_Kind="Food")*Cap_Ln))</x:f>
        <x:v>7017.569668241889</x:v>
      </x:c>
      <x:c r="K569" s="32" t="n">
        <x:f>J569*MIN(1,tun_LeanBase*EXP(tun_CapsByProject*SUMPRODUCT((Cap_Point&lt;=I569)*(Cap_Kind="Lean")*Cap_Ln)))</x:f>
        <x:v>7017.569668241889</x:v>
      </x:c>
      <x:c r="L569" s="10" t="n">
        <x:f>INDEX(tun_HousingCap,G569)*EXP(tun_CapsByProject*SUMPRODUCT((Cap_Point&lt;=I569)*(Cap_Kind="Housing")*Cap_Ln))</x:f>
        <x:v>6581.714062749661</x:v>
      </x:c>
      <x:c r="M569" s="10" t="n">
        <x:f>INDEX(tun_GroupCap,G569)*tun_CohesionFactor*EXP(tun_CapsByProject*SUMPRODUCT((Cap_Point&lt;=I569)*(Cap_Kind="Group")*Cap_Ln))</x:f>
        <x:v>1000000.000000001</x:v>
      </x:c>
      <x:c r="N569" s="32" t="n">
        <x:f>MIN(J569,L569,M569)</x:f>
        <x:v>6581.714062749661</x:v>
      </x:c>
      <x:c r="O569" s="10" t="n">
        <x:f>AE568*N569</x:f>
        <x:v>59235.42656474695</x:v>
      </x:c>
      <x:c r="P569" s="9" t="n">
        <x:f>MIN(1,(AB568/(AE568*IF(tun_GroupInCrowding=1,N569,MIN(J569,L569))))^tun_CrowdingExp)</x:f>
        <x:v>0.5668463340749241</x:v>
      </x:c>
      <x:c r="Q569" s="9" t="n">
        <x:f>IF(D569=1,INDEX(tun_WinterMult,G569),1)</x:f>
        <x:v>1</x:v>
      </x:c>
      <x:c r="R569" s="9" t="n">
        <x:f>H569*Z568*tun_WomenShare*tun_BaseFertility*INDEX(tun_FertMult,G569)*Arch_Fertility*(1-P569)</x:f>
        <x:v>365.54134641510353</x:v>
      </x:c>
      <x:c r="S569" s="9" t="n">
        <x:f>H569*Y568*INDEX(tun_MortChild,G569)/4*Q569</x:f>
        <x:v>21.581658262595305</x:v>
      </x:c>
      <x:c r="T569" s="9" t="n">
        <x:f>H569*Z568*INDEX(tun_MortAdult,G569)*Arch_AdultMort/4*Q569</x:f>
        <x:v>17.704339541405414</x:v>
      </x:c>
      <x:c r="U569" s="9" t="n">
        <x:f>H569*AA568*INDEX(tun_MortElder,G569)/4*Q569</x:f>
        <x:v>91.56312442409056</x:v>
      </x:c>
      <x:c r="V569" s="9" t="n">
        <x:f>H569*MAX(0,AB568-O569)*tun_OvercapLoss</x:f>
        <x:v>0</x:v>
      </x:c>
      <x:c r="W569" s="9" t="n">
        <x:f>H569*Y568/(tun_ChildYears*4)</x:f>
        <x:v>342.56600416817946</x:v>
      </x:c>
      <x:c r="X569" s="9" t="n">
        <x:f>H569*Z568/(tun_AdultYears*4)</x:f>
        <x:v>190.36924238070335</x:v>
      </x:c>
      <x:c r="Y569" s="32" t="n">
        <x:f>Y568+R569-S569-W569-Y568*V569/AB568</x:f>
        <x:v>19185.089917402376</x:v>
      </x:c>
      <x:c r="Z569" s="32" t="n">
        <x:f>Z568+W569-X569-T569-Z568*V569/AB568</x:f>
        <x:v>23740.27847745329</x:v>
      </x:c>
      <x:c r="AA569" s="32" t="n">
        <x:f>AA568+X569-U569-AA568*V569/AB568</x:f>
        <x:v>11197.366654210015</x:v>
      </x:c>
      <x:c r="AB569" s="10" t="n">
        <x:f>Y569+Z569+AA569</x:f>
        <x:v>54122.73504906568</x:v>
      </x:c>
      <x:c r="AC569" s="8" t="n">
        <x:f>IF(AND(tun_WinterTrigger=1,D569=1,AB568/AE568&gt;=K569),1,0)</x:f>
        <x:v>0</x:v>
      </x:c>
      <x:c r="AD569" s="8" t="n">
        <x:f>H569*IF(AND(OR(AB568/AE568&gt;=tun_FissionTrigger*N569,AC569=1),AB568/AE568*tun_DaughterShare&gt;=tun_MinDaughter),MAX(1,ROUND(AE568*tun_FissionRate,0)),0)</x:f>
        <x:v>3</x:v>
      </x:c>
      <x:c r="AE569" s="8" t="n">
        <x:f>IF(H569=1,MAX(1,MIN(INDEX(tun_Smax,G569),AE568+AD569)),AE568)</x:f>
        <x:v>9</x:v>
      </x:c>
      <x:c r="AF569" s="8" t="n">
        <x:f>MAX(0,AE569-AE568)</x:f>
        <x:v>0</x:v>
      </x:c>
      <x:c r="AG569" s="9" t="str">
        <x:f>IF(AF569&gt;0,B569,"")</x:f>
      </x:c>
      <x:c r="AH569" s="9" t="n">
        <x:f>IF(F569&gt;=1,1,(1+tun_LowTiesShare*(AE569-1))/AE569)</x:f>
        <x:v>1</x:v>
      </x:c>
      <x:c r="AI569" s="32" t="n">
        <x:f>(Z569+tun_ElderCommons*INDEX(LM_Elder,G569)*AA569)*AH569</x:f>
        <x:v>65730.40343074084</x:v>
      </x:c>
      <x:c r="AJ569" s="32" t="n">
        <x:f>H569*tun_CommonsCoef*AI569^tun_CommonsExp*INDEX(LM_Commons,G569)</x:f>
        <x:v>180133.08312384412</x:v>
      </x:c>
      <x:c r="AK569" s="32" t="n">
        <x:f>H569*tun_RoleScale*Arch_Roles*(AE569*(INDEX(tun_ElderRolePerSett,G569)*tun_OutElder*INDEX(LM_Elder,G569)+INDEX(tun_ShamanPerSett,G569)*tun_OutShaman)+Z569*(INDEX(tun_PriestShare,G569)*tun_OutPriest+INDEX(tun_ScribeShare,G569)*tun_OutScribe*INDEX(LM_Scribe,G569)+INDEX(tun_ScholarShare,G569)*tun_OutScholar*INDEX(LM_Scholar,G569)+INDEX(tun_ResearcherShare,G569)*tun_OutResearcher*INDEX(LM_Researcher,G569)))</x:f>
        <x:v>49290.63812665225</x:v>
      </x:c>
      <x:c r="AL569" s="32" t="n">
        <x:f>H569*tun_RoleScale*Arch_Roles*AE569*INDEX(tun_MonasteryPerSett,G569)*tun_OutMonastery*INDEX(LM_Monastery,G569)</x:f>
        <x:v>31.680000000000003</x:v>
      </x:c>
      <x:c r="AM569" s="32" t="n">
        <x:f>(AJ569+AK569+AL569)/4*INDEX(LM_All,G569)*INDEX(tun_Boon,G569)*Arch_Insight</x:f>
        <x:v>165320.66051129022</x:v>
      </x:c>
      <x:c r="AN569" s="32" t="n">
        <x:f>H569*(tun_KHPerAdult*Z569+tun_KHOfCommons*AJ569/4*INDEX(LM_All,G569))*tun_KHUsable*Arch_KH</x:f>
        <x:v>26097.414905724938</x:v>
      </x:c>
      <x:c r="AO569" s="32" t="n">
        <x:f>MIN(AP568+AN569,AM569*tun_KHMaxRatio)</x:f>
        <x:v>26097.414905724938</x:v>
      </x:c>
      <x:c r="AP569" s="32" t="n">
        <x:f>AP568+AN569-AO569</x:f>
        <x:v>0</x:v>
      </x:c>
      <x:c r="AQ569" s="32" t="n">
        <x:f>AM569+AO569</x:f>
        <x:v>191418.07541701515</x:v>
      </x:c>
      <x:c r="AR569" s="10" t="n">
        <x:f>IF(H569=1,INDEX(tun_Req,G569),0)</x:f>
        <x:v>24497531.045680594</x:v>
      </x:c>
      <x:c r="AS569" s="32" t="n">
        <x:f>IF(H569=1,IF(E569=1,AS568-AR568,AS568)+AQ569,0)</x:f>
        <x:v>11142724.11789235</x:v>
      </x:c>
      <x:c r="AT569" s="11" t="n">
        <x:f>IF(AR569&gt;0,MIN(1,AS569/AR569),1)</x:f>
        <x:v>0.4548509030201652</x:v>
      </x:c>
      <x:c r="AU569" s="10" t="n">
        <x:f>AB569/INDEX(tun_RepScale,G569)</x:f>
        <x:v>216.49094019626273</x:v>
      </x:c>
      <x:c r="AV569" s="32" t="n">
        <x:f>AM569*60/tun_SeasonSeconds</x:f>
        <x:v>661282.6420451609</x:v>
      </x:c>
    </x:row>
    <x:row r="570">
      <x:c r="A570" s="8" t="n">
        <x:f>A569+1</x:f>
        <x:v>567</x:v>
      </x:c>
      <x:c r="B570" s="9" t="n">
        <x:f>A570*tun_SeasonSeconds/60</x:f>
        <x:v>141.75</x:v>
      </x:c>
      <x:c r="C570" s="9" t="n">
        <x:f>A570/4</x:f>
        <x:v>141.75</x:v>
      </x:c>
      <x:c r="D570" s="8" t="n">
        <x:f>IF(MOD(A570,4)=0,1,0)</x:f>
        <x:v>0</x:v>
      </x:c>
      <x:c r="E570" s="8" t="n">
        <x:f>IF(AND(F569&lt;=9,AS569&gt;=AR569),1,0)</x:f>
        <x:v>0</x:v>
      </x:c>
      <x:c r="F570" s="8" t="n">
        <x:f>MIN(10,F569+E570)</x:f>
        <x:v>8</x:v>
      </x:c>
      <x:c r="G570" s="8" t="n">
        <x:f>MIN(F570,9)+1</x:f>
        <x:v>9</x:v>
      </x:c>
      <x:c r="H570" s="8" t="n">
        <x:f>IF(F570&lt;=9,1,0)</x:f>
        <x:v>1</x:v>
      </x:c>
      <x:c r="I570" s="9" t="n">
        <x:f>MIN(10,F569+IF(AR569&gt;0,MIN(1,AS569/AR569),1))</x:f>
        <x:v>8.454850903020166</x:v>
      </x:c>
      <x:c r="J570" s="32" t="n">
        <x:f>INDEX(tun_FoodCap,G570)*Arch_FoodCap*EXP(tun_CapsByProject*SUMPRODUCT((Cap_Point&lt;=I570)*(Cap_Kind="Food")*Cap_Ln))</x:f>
        <x:v>7017.569668241889</x:v>
      </x:c>
      <x:c r="K570" s="32" t="n">
        <x:f>J570*MIN(1,tun_LeanBase*EXP(tun_CapsByProject*SUMPRODUCT((Cap_Point&lt;=I570)*(Cap_Kind="Lean")*Cap_Ln)))</x:f>
        <x:v>7017.569668241889</x:v>
      </x:c>
      <x:c r="L570" s="10" t="n">
        <x:f>INDEX(tun_HousingCap,G570)*EXP(tun_CapsByProject*SUMPRODUCT((Cap_Point&lt;=I570)*(Cap_Kind="Housing")*Cap_Ln))</x:f>
        <x:v>6581.714062749661</x:v>
      </x:c>
      <x:c r="M570" s="10" t="n">
        <x:f>INDEX(tun_GroupCap,G570)*tun_CohesionFactor*EXP(tun_CapsByProject*SUMPRODUCT((Cap_Point&lt;=I570)*(Cap_Kind="Group")*Cap_Ln))</x:f>
        <x:v>1000000.000000001</x:v>
      </x:c>
      <x:c r="N570" s="32" t="n">
        <x:f>MIN(J570,L570,M570)</x:f>
        <x:v>6581.714062749661</x:v>
      </x:c>
      <x:c r="O570" s="10" t="n">
        <x:f>AE569*N570</x:f>
        <x:v>59235.42656474695</x:v>
      </x:c>
      <x:c r="P570" s="9" t="n">
        <x:f>MIN(1,(AB569/(AE569*IF(tun_GroupInCrowding=1,N570,MIN(J570,L570))))^tun_CrowdingExp)</x:f>
        <x:v>0.5818208625228234</x:v>
      </x:c>
      <x:c r="Q570" s="9" t="n">
        <x:f>IF(D570=1,INDEX(tun_WinterMult,G570),1)</x:f>
        <x:v>1</x:v>
      </x:c>
      <x:c r="R570" s="9" t="n">
        <x:f>H570*Z569*tun_WomenShare*tun_BaseFertility*INDEX(tun_FertMult,G570)*Arch_Fertility*(1-P570)</x:f>
        <x:v>354.9148880838059</x:v>
      </x:c>
      <x:c r="S570" s="9" t="n">
        <x:f>H570*Y569*INDEX(tun_MortChild,G570)/4*Q570</x:f>
        <x:v>21.58322615707767</x:v>
      </x:c>
      <x:c r="T570" s="9" t="n">
        <x:f>H570*Z569*INDEX(tun_MortAdult,G570)*Arch_AdultMort/4*Q570</x:f>
        <x:v>17.805208858089966</x:v>
      </x:c>
      <x:c r="U570" s="9" t="n">
        <x:f>H570*AA569*INDEX(tun_MortElder,G570)/4*Q570</x:f>
        <x:v>92.37827489723263</x:v>
      </x:c>
      <x:c r="V570" s="9" t="n">
        <x:f>H570*MAX(0,AB569-O570)*tun_OvercapLoss</x:f>
        <x:v>0</x:v>
      </x:c>
      <x:c r="W570" s="9" t="n">
        <x:f>H570*Y569/(tun_ChildYears*4)</x:f>
        <x:v>342.5908913821853</x:v>
      </x:c>
      <x:c r="X570" s="9" t="n">
        <x:f>H570*Z569/(tun_AdultYears*4)</x:f>
        <x:v>191.45385868913942</x:v>
      </x:c>
      <x:c r="Y570" s="32" t="n">
        <x:f>Y569+R570-S570-W570-Y569*V570/AB569</x:f>
        <x:v>19175.83068794692</x:v>
      </x:c>
      <x:c r="Z570" s="32" t="n">
        <x:f>Z569+W570-X570-T570-Z569*V570/AB569</x:f>
        <x:v>23873.61030128824</x:v>
      </x:c>
      <x:c r="AA570" s="32" t="n">
        <x:f>AA569+X570-U570-AA569*V570/AB569</x:f>
        <x:v>11296.44223800192</x:v>
      </x:c>
      <x:c r="AB570" s="10" t="n">
        <x:f>Y570+Z570+AA570</x:f>
        <x:v>54345.88322723708</x:v>
      </x:c>
      <x:c r="AC570" s="8" t="n">
        <x:f>IF(AND(tun_WinterTrigger=1,D570=1,AB569/AE569&gt;=K570),1,0)</x:f>
        <x:v>0</x:v>
      </x:c>
      <x:c r="AD570" s="8" t="n">
        <x:f>H570*IF(AND(OR(AB569/AE569&gt;=tun_FissionTrigger*N570,AC570=1),AB569/AE569*tun_DaughterShare&gt;=tun_MinDaughter),MAX(1,ROUND(AE569*tun_FissionRate,0)),0)</x:f>
        <x:v>3</x:v>
      </x:c>
      <x:c r="AE570" s="8" t="n">
        <x:f>IF(H570=1,MAX(1,MIN(INDEX(tun_Smax,G570),AE569+AD570)),AE569)</x:f>
        <x:v>9</x:v>
      </x:c>
      <x:c r="AF570" s="8" t="n">
        <x:f>MAX(0,AE570-AE569)</x:f>
        <x:v>0</x:v>
      </x:c>
      <x:c r="AG570" s="9" t="str">
        <x:f>IF(AF570&gt;0,B570,"")</x:f>
      </x:c>
      <x:c r="AH570" s="9" t="n">
        <x:f>IF(F570&gt;=1,1,(1+tun_LowTiesShare*(AE570-1))/AE570)</x:f>
        <x:v>1</x:v>
      </x:c>
      <x:c r="AI570" s="32" t="n">
        <x:f>(Z570+tun_ElderCommons*INDEX(LM_Elder,G570)*AA570)*AH570</x:f>
        <x:v>66235.26869379544</x:v>
      </x:c>
      <x:c r="AJ570" s="32" t="n">
        <x:f>H570*tun_CommonsCoef*AI570^tun_CommonsExp*INDEX(LM_Commons,G570)</x:f>
        <x:v>181308.44630279814</x:v>
      </x:c>
      <x:c r="AK570" s="32" t="n">
        <x:f>H570*tun_RoleScale*Arch_Roles*(AE570*(INDEX(tun_ElderRolePerSett,G570)*tun_OutElder*INDEX(LM_Elder,G570)+INDEX(tun_ShamanPerSett,G570)*tun_OutShaman)+Z570*(INDEX(tun_PriestShare,G570)*tun_OutPriest+INDEX(tun_ScribeShare,G570)*tun_OutScribe*INDEX(LM_Scribe,G570)+INDEX(tun_ScholarShare,G570)*tun_OutScholar*INDEX(LM_Scholar,G570)+INDEX(tun_ResearcherShare,G570)*tun_OutResearcher*INDEX(LM_Researcher,G570)))</x:f>
        <x:v>49566.10292595669</x:v>
      </x:c>
      <x:c r="AL570" s="32" t="n">
        <x:f>H570*tun_RoleScale*Arch_Roles*AE570*INDEX(tun_MonasteryPerSett,G570)*tun_OutMonastery*INDEX(LM_Monastery,G570)</x:f>
        <x:v>31.680000000000003</x:v>
      </x:c>
      <x:c r="AM570" s="32" t="n">
        <x:f>(AJ570+AK570+AL570)/4*INDEX(LM_All,G570)*INDEX(tun_Boon,G570)*Arch_Insight</x:f>
        <x:v>166365.96970142823</x:v>
      </x:c>
      <x:c r="AN570" s="32" t="n">
        <x:f>H570*(tun_KHPerAdult*Z570+tun_KHOfCommons*AJ570/4*INDEX(LM_All,G570))*tun_KHUsable*Arch_KH</x:f>
        <x:v>26267.699786292862</x:v>
      </x:c>
      <x:c r="AO570" s="32" t="n">
        <x:f>MIN(AP569+AN570,AM570*tun_KHMaxRatio)</x:f>
        <x:v>26267.699786292862</x:v>
      </x:c>
      <x:c r="AP570" s="32" t="n">
        <x:f>AP569+AN570-AO570</x:f>
        <x:v>0</x:v>
      </x:c>
      <x:c r="AQ570" s="32" t="n">
        <x:f>AM570+AO570</x:f>
        <x:v>192633.66948772108</x:v>
      </x:c>
      <x:c r="AR570" s="10" t="n">
        <x:f>IF(H570=1,INDEX(tun_Req,G570),0)</x:f>
        <x:v>24497531.045680594</x:v>
      </x:c>
      <x:c r="AS570" s="32" t="n">
        <x:f>IF(H570=1,IF(E570=1,AS569-AR569,AS569)+AQ570,0)</x:f>
        <x:v>11335357.78738007</x:v>
      </x:c>
      <x:c r="AT570" s="11" t="n">
        <x:f>IF(AR570&gt;0,MIN(1,AS570/AR570),1)</x:f>
        <x:v>0.46271429419736243</x:v>
      </x:c>
      <x:c r="AU570" s="10" t="n">
        <x:f>AB570/INDEX(tun_RepScale,G570)</x:f>
        <x:v>217.38353290894833</x:v>
      </x:c>
      <x:c r="AV570" s="32" t="n">
        <x:f>AM570*60/tun_SeasonSeconds</x:f>
        <x:v>665463.8788057129</x:v>
      </x:c>
    </x:row>
    <x:row r="571">
      <x:c r="A571" s="8" t="n">
        <x:f>A570+1</x:f>
        <x:v>568</x:v>
      </x:c>
      <x:c r="B571" s="9" t="n">
        <x:f>A571*tun_SeasonSeconds/60</x:f>
        <x:v>142</x:v>
      </x:c>
      <x:c r="C571" s="9" t="n">
        <x:f>A571/4</x:f>
        <x:v>142</x:v>
      </x:c>
      <x:c r="D571" s="8" t="n">
        <x:f>IF(MOD(A571,4)=0,1,0)</x:f>
        <x:v>1</x:v>
      </x:c>
      <x:c r="E571" s="8" t="n">
        <x:f>IF(AND(F570&lt;=9,AS570&gt;=AR570),1,0)</x:f>
        <x:v>0</x:v>
      </x:c>
      <x:c r="F571" s="8" t="n">
        <x:f>MIN(10,F570+E571)</x:f>
        <x:v>8</x:v>
      </x:c>
      <x:c r="G571" s="8" t="n">
        <x:f>MIN(F571,9)+1</x:f>
        <x:v>9</x:v>
      </x:c>
      <x:c r="H571" s="8" t="n">
        <x:f>IF(F571&lt;=9,1,0)</x:f>
        <x:v>1</x:v>
      </x:c>
      <x:c r="I571" s="9" t="n">
        <x:f>MIN(10,F570+IF(AR570&gt;0,MIN(1,AS570/AR570),1))</x:f>
        <x:v>8.462714294197362</x:v>
      </x:c>
      <x:c r="J571" s="32" t="n">
        <x:f>INDEX(tun_FoodCap,G571)*Arch_FoodCap*EXP(tun_CapsByProject*SUMPRODUCT((Cap_Point&lt;=I571)*(Cap_Kind="Food")*Cap_Ln))</x:f>
        <x:v>7017.569668241889</x:v>
      </x:c>
      <x:c r="K571" s="32" t="n">
        <x:f>J571*MIN(1,tun_LeanBase*EXP(tun_CapsByProject*SUMPRODUCT((Cap_Point&lt;=I571)*(Cap_Kind="Lean")*Cap_Ln)))</x:f>
        <x:v>7017.569668241889</x:v>
      </x:c>
      <x:c r="L571" s="10" t="n">
        <x:f>INDEX(tun_HousingCap,G571)*EXP(tun_CapsByProject*SUMPRODUCT((Cap_Point&lt;=I571)*(Cap_Kind="Housing")*Cap_Ln))</x:f>
        <x:v>6581.714062749661</x:v>
      </x:c>
      <x:c r="M571" s="10" t="n">
        <x:f>INDEX(tun_GroupCap,G571)*tun_CohesionFactor*EXP(tun_CapsByProject*SUMPRODUCT((Cap_Point&lt;=I571)*(Cap_Kind="Group")*Cap_Ln))</x:f>
        <x:v>1000000.000000001</x:v>
      </x:c>
      <x:c r="N571" s="32" t="n">
        <x:f>MIN(J571,L571,M571)</x:f>
        <x:v>6581.714062749661</x:v>
      </x:c>
      <x:c r="O571" s="10" t="n">
        <x:f>AE570*N571</x:f>
        <x:v>59235.42656474695</x:v>
      </x:c>
      <x:c r="P571" s="9" t="n">
        <x:f>MIN(1,(AB570/(AE570*IF(tun_GroupInCrowding=1,N571,MIN(J571,L571))))^tun_CrowdingExp)</x:f>
        <x:v>0.5963631311514965</x:v>
      </x:c>
      <x:c r="Q571" s="9" t="n">
        <x:f>IF(D571=1,INDEX(tun_WinterMult,G571),1)</x:f>
        <x:v>1.05</x:v>
      </x:c>
      <x:c r="R571" s="9" t="n">
        <x:f>H571*Z570*tun_WomenShare*tun_BaseFertility*INDEX(tun_FertMult,G571)*Arch_Fertility*(1-P571)</x:f>
        <x:v>344.49662783683874</x:v>
      </x:c>
      <x:c r="S571" s="9" t="n">
        <x:f>H571*Y570*INDEX(tun_MortChild,G571)/4*Q571</x:f>
        <x:v>22.6514500001373</x:v>
      </x:c>
      <x:c r="T571" s="9" t="n">
        <x:f>H571*Z570*INDEX(tun_MortAdult,G571)*Arch_AdultMort/4*Q571</x:f>
        <x:v>18.800468112264493</x:v>
      </x:c>
      <x:c r="U571" s="9" t="n">
        <x:f>H571*AA570*INDEX(tun_MortElder,G571)/4*Q571</x:f>
        <x:v>97.85543088669165</x:v>
      </x:c>
      <x:c r="V571" s="9" t="n">
        <x:f>H571*MAX(0,AB570-O571)*tun_OvercapLoss</x:f>
        <x:v>0</x:v>
      </x:c>
      <x:c r="W571" s="9" t="n">
        <x:f>H571*Y570/(tun_ChildYears*4)</x:f>
        <x:v>342.4255479990521</x:v>
      </x:c>
      <x:c r="X571" s="9" t="n">
        <x:f>H571*Z570/(tun_AdultYears*4)</x:f>
        <x:v>192.5291153329697</x:v>
      </x:c>
      <x:c r="Y571" s="32" t="n">
        <x:f>Y570+R571-S571-W571-Y570*V571/AB570</x:f>
        <x:v>19155.25031778457</x:v>
      </x:c>
      <x:c r="Z571" s="32" t="n">
        <x:f>Z570+W571-X571-T571-Z570*V571/AB570</x:f>
        <x:v>24004.70626584206</x:v>
      </x:c>
      <x:c r="AA571" s="32" t="n">
        <x:f>AA570+X571-U571-AA570*V571/AB570</x:f>
        <x:v>11391.115922448198</x:v>
      </x:c>
      <x:c r="AB571" s="10" t="n">
        <x:f>Y571+Z571+AA571</x:f>
        <x:v>54551.07250607482</x:v>
      </x:c>
      <x:c r="AC571" s="8" t="n">
        <x:f>IF(AND(tun_WinterTrigger=1,D571=1,AB570/AE570&gt;=K571),1,0)</x:f>
        <x:v>0</x:v>
      </x:c>
      <x:c r="AD571" s="8" t="n">
        <x:f>H571*IF(AND(OR(AB570/AE570&gt;=tun_FissionTrigger*N571,AC571=1),AB570/AE570*tun_DaughterShare&gt;=tun_MinDaughter),MAX(1,ROUND(AE570*tun_FissionRate,0)),0)</x:f>
        <x:v>3</x:v>
      </x:c>
      <x:c r="AE571" s="8" t="n">
        <x:f>IF(H571=1,MAX(1,MIN(INDEX(tun_Smax,G571),AE570+AD571)),AE570)</x:f>
        <x:v>9</x:v>
      </x:c>
      <x:c r="AF571" s="8" t="n">
        <x:f>MAX(0,AE571-AE570)</x:f>
        <x:v>0</x:v>
      </x:c>
      <x:c r="AG571" s="9" t="str">
        <x:f>IF(AF571&gt;0,B571,"")</x:f>
      </x:c>
      <x:c r="AH571" s="9" t="n">
        <x:f>IF(F571&gt;=1,1,(1+tun_LowTiesShare*(AE571-1))/AE571)</x:f>
        <x:v>1</x:v>
      </x:c>
      <x:c r="AI571" s="32" t="n">
        <x:f>(Z571+tun_ElderCommons*INDEX(LM_Elder,G571)*AA571)*AH571</x:f>
        <x:v>66721.3909750228</x:v>
      </x:c>
      <x:c r="AJ571" s="32" t="n">
        <x:f>H571*tun_CommonsCoef*AI571^tun_CommonsExp*INDEX(LM_Commons,G571)</x:f>
        <x:v>182438.90509022132</x:v>
      </x:c>
      <x:c r="AK571" s="32" t="n">
        <x:f>H571*tun_RoleScale*Arch_Roles*(AE571*(INDEX(tun_ElderRolePerSett,G571)*tun_OutElder*INDEX(LM_Elder,G571)+INDEX(tun_ShamanPerSett,G571)*tun_OutShaman)+Z571*(INDEX(tun_PriestShare,G571)*tun_OutPriest+INDEX(tun_ScribeShare,G571)*tun_OutScribe*INDEX(LM_Scribe,G571)+INDEX(tun_ScholarShare,G571)*tun_OutScholar*INDEX(LM_Scholar,G571)+INDEX(tun_ResearcherShare,G571)*tun_OutResearcher*INDEX(LM_Researcher,G571)))</x:f>
        <x:v>49836.94841900374</x:v>
      </x:c>
      <x:c r="AL571" s="32" t="n">
        <x:f>H571*tun_RoleScale*Arch_Roles*AE571*INDEX(tun_MonasteryPerSett,G571)*tun_OutMonastery*INDEX(LM_Monastery,G571)</x:f>
        <x:v>31.680000000000003</x:v>
      </x:c>
      <x:c r="AM571" s="32" t="n">
        <x:f>(AJ571+AK571+AL571)/4*INDEX(LM_All,G571)*INDEX(tun_Boon,G571)*Arch_Insight</x:f>
        <x:v>167375.59748949553</x:v>
      </x:c>
      <x:c r="AN571" s="32" t="n">
        <x:f>H571*(tun_KHPerAdult*Z571+tun_KHOfCommons*AJ571/4*INDEX(LM_All,G571))*tun_KHUsable*Arch_KH</x:f>
        <x:v>26431.478984969668</x:v>
      </x:c>
      <x:c r="AO571" s="32" t="n">
        <x:f>MIN(AP570+AN571,AM571*tun_KHMaxRatio)</x:f>
        <x:v>26431.478984969668</x:v>
      </x:c>
      <x:c r="AP571" s="32" t="n">
        <x:f>AP570+AN571-AO571</x:f>
        <x:v>0</x:v>
      </x:c>
      <x:c r="AQ571" s="32" t="n">
        <x:f>AM571+AO571</x:f>
        <x:v>193807.0764744652</x:v>
      </x:c>
      <x:c r="AR571" s="10" t="n">
        <x:f>IF(H571=1,INDEX(tun_Req,G571),0)</x:f>
        <x:v>24497531.045680594</x:v>
      </x:c>
      <x:c r="AS571" s="32" t="n">
        <x:f>IF(H571=1,IF(E571=1,AS570-AR570,AS570)+AQ571,0)</x:f>
        <x:v>11529164.863854535</x:v>
      </x:c>
      <x:c r="AT571" s="11" t="n">
        <x:f>IF(AR571&gt;0,MIN(1,AS571/AR571),1)</x:f>
        <x:v>0.47062558436423974</x:v>
      </x:c>
      <x:c r="AU571" s="10" t="n">
        <x:f>AB571/INDEX(tun_RepScale,G571)</x:f>
        <x:v>218.2042900242993</x:v>
      </x:c>
      <x:c r="AV571" s="32" t="n">
        <x:f>AM571*60/tun_SeasonSeconds</x:f>
        <x:v>669502.389957982</x:v>
      </x:c>
    </x:row>
    <x:row r="572">
      <x:c r="A572" s="8" t="n">
        <x:f>A571+1</x:f>
        <x:v>569</x:v>
      </x:c>
      <x:c r="B572" s="9" t="n">
        <x:f>A572*tun_SeasonSeconds/60</x:f>
        <x:v>142.25</x:v>
      </x:c>
      <x:c r="C572" s="9" t="n">
        <x:f>A572/4</x:f>
        <x:v>142.25</x:v>
      </x:c>
      <x:c r="D572" s="8" t="n">
        <x:f>IF(MOD(A572,4)=0,1,0)</x:f>
        <x:v>0</x:v>
      </x:c>
      <x:c r="E572" s="8" t="n">
        <x:f>IF(AND(F571&lt;=9,AS571&gt;=AR571),1,0)</x:f>
        <x:v>0</x:v>
      </x:c>
      <x:c r="F572" s="8" t="n">
        <x:f>MIN(10,F571+E572)</x:f>
        <x:v>8</x:v>
      </x:c>
      <x:c r="G572" s="8" t="n">
        <x:f>MIN(F572,9)+1</x:f>
        <x:v>9</x:v>
      </x:c>
      <x:c r="H572" s="8" t="n">
        <x:f>IF(F572&lt;=9,1,0)</x:f>
        <x:v>1</x:v>
      </x:c>
      <x:c r="I572" s="9" t="n">
        <x:f>MIN(10,F571+IF(AR571&gt;0,MIN(1,AS571/AR571),1))</x:f>
        <x:v>8.470625584364239</x:v>
      </x:c>
      <x:c r="J572" s="32" t="n">
        <x:f>INDEX(tun_FoodCap,G572)*Arch_FoodCap*EXP(tun_CapsByProject*SUMPRODUCT((Cap_Point&lt;=I572)*(Cap_Kind="Food")*Cap_Ln))</x:f>
        <x:v>7017.569668241889</x:v>
      </x:c>
      <x:c r="K572" s="32" t="n">
        <x:f>J572*MIN(1,tun_LeanBase*EXP(tun_CapsByProject*SUMPRODUCT((Cap_Point&lt;=I572)*(Cap_Kind="Lean")*Cap_Ln)))</x:f>
        <x:v>7017.569668241889</x:v>
      </x:c>
      <x:c r="L572" s="10" t="n">
        <x:f>INDEX(tun_HousingCap,G572)*EXP(tun_CapsByProject*SUMPRODUCT((Cap_Point&lt;=I572)*(Cap_Kind="Housing")*Cap_Ln))</x:f>
        <x:v>6581.714062749661</x:v>
      </x:c>
      <x:c r="M572" s="10" t="n">
        <x:f>INDEX(tun_GroupCap,G572)*tun_CohesionFactor*EXP(tun_CapsByProject*SUMPRODUCT((Cap_Point&lt;=I572)*(Cap_Kind="Group")*Cap_Ln))</x:f>
        <x:v>1000000.000000001</x:v>
      </x:c>
      <x:c r="N572" s="32" t="n">
        <x:f>MIN(J572,L572,M572)</x:f>
        <x:v>6581.714062749661</x:v>
      </x:c>
      <x:c r="O572" s="10" t="n">
        <x:f>AE571*N572</x:f>
        <x:v>59235.42656474695</x:v>
      </x:c>
      <x:c r="P572" s="9" t="n">
        <x:f>MIN(1,(AB571/(AE571*IF(tun_GroupInCrowding=1,N572,MIN(J572,L572))))^tun_CrowdingExp)</x:f>
        <x:v>0.6100011300345558</x:v>
      </x:c>
      <x:c r="Q572" s="9" t="n">
        <x:f>IF(D572=1,INDEX(tun_WinterMult,G572),1)</x:f>
        <x:v>1</x:v>
      </x:c>
      <x:c r="R572" s="9" t="n">
        <x:f>H572*Z571*tun_WomenShare*tun_BaseFertility*INDEX(tun_FertMult,G572)*Arch_Fertility*(1-P572)</x:f>
        <x:v>334.6846473517269</x:v>
      </x:c>
      <x:c r="S572" s="9" t="n">
        <x:f>H572*Y571*INDEX(tun_MortChild,G572)/4*Q572</x:f>
        <x:v>21.54965660750764</x:v>
      </x:c>
      <x:c r="T572" s="9" t="n">
        <x:f>H572*Z571*INDEX(tun_MortAdult,G572)*Arch_AdultMort/4*Q572</x:f>
        <x:v>18.003529699381545</x:v>
      </x:c>
      <x:c r="U572" s="9" t="n">
        <x:f>H572*AA571*INDEX(tun_MortElder,G572)/4*Q572</x:f>
        <x:v>93.97670636019764</x:v>
      </x:c>
      <x:c r="V572" s="9" t="n">
        <x:f>H572*MAX(0,AB571-O572)*tun_OvercapLoss</x:f>
        <x:v>0</x:v>
      </x:c>
      <x:c r="W572" s="9" t="n">
        <x:f>H572*Y571/(tun_ChildYears*4)</x:f>
        <x:v>342.05804138901016</x:v>
      </x:c>
      <x:c r="X572" s="9" t="n">
        <x:f>H572*Z571/(tun_AdultYears*4)</x:f>
        <x:v>193.586340853565</x:v>
      </x:c>
      <x:c r="Y572" s="32" t="n">
        <x:f>Y571+R572-S572-W572-Y571*V572/AB571</x:f>
        <x:v>19126.327267139775</x:v>
      </x:c>
      <x:c r="Z572" s="32" t="n">
        <x:f>Z571+W572-X572-T572-Z571*V572/AB571</x:f>
        <x:v>24135.17443667812</x:v>
      </x:c>
      <x:c r="AA572" s="32" t="n">
        <x:f>AA571+X572-U572-AA571*V572/AB571</x:f>
        <x:v>11490.725556941565</x:v>
      </x:c>
      <x:c r="AB572" s="10" t="n">
        <x:f>Y572+Z572+AA572</x:f>
        <x:v>54752.22726075946</x:v>
      </x:c>
      <x:c r="AC572" s="8" t="n">
        <x:f>IF(AND(tun_WinterTrigger=1,D572=1,AB571/AE571&gt;=K572),1,0)</x:f>
        <x:v>0</x:v>
      </x:c>
      <x:c r="AD572" s="8" t="n">
        <x:f>H572*IF(AND(OR(AB571/AE571&gt;=tun_FissionTrigger*N572,AC572=1),AB571/AE571*tun_DaughterShare&gt;=tun_MinDaughter),MAX(1,ROUND(AE571*tun_FissionRate,0)),0)</x:f>
        <x:v>3</x:v>
      </x:c>
      <x:c r="AE572" s="8" t="n">
        <x:f>IF(H572=1,MAX(1,MIN(INDEX(tun_Smax,G572),AE571+AD572)),AE571)</x:f>
        <x:v>9</x:v>
      </x:c>
      <x:c r="AF572" s="8" t="n">
        <x:f>MAX(0,AE572-AE571)</x:f>
        <x:v>0</x:v>
      </x:c>
      <x:c r="AG572" s="9" t="str">
        <x:f>IF(AF572&gt;0,B572,"")</x:f>
      </x:c>
      <x:c r="AH572" s="9" t="n">
        <x:f>IF(F572&gt;=1,1,(1+tun_LowTiesShare*(AE572-1))/AE572)</x:f>
        <x:v>1</x:v>
      </x:c>
      <x:c r="AI572" s="32" t="n">
        <x:f>(Z572+tun_ElderCommons*INDEX(LM_Elder,G572)*AA572)*AH572</x:f>
        <x:v>67225.39527520898</x:v>
      </x:c>
      <x:c r="AJ572" s="32" t="n">
        <x:f>H572*tun_CommonsCoef*AI572^tun_CommonsExp*INDEX(LM_Commons,G572)</x:f>
        <x:v>183609.64420419512</x:v>
      </x:c>
      <x:c r="AK572" s="32" t="n">
        <x:f>H572*tun_RoleScale*Arch_Roles*(AE572*(INDEX(tun_ElderRolePerSett,G572)*tun_OutElder*INDEX(LM_Elder,G572)+INDEX(tun_ShamanPerSett,G572)*tun_OutShaman)+Z572*(INDEX(tun_PriestShare,G572)*tun_OutPriest+INDEX(tun_ScribeShare,G572)*tun_OutScribe*INDEX(LM_Scribe,G572)+INDEX(tun_ScholarShare,G572)*tun_OutScholar*INDEX(LM_Scholar,G572)+INDEX(tun_ResearcherShare,G572)*tun_OutResearcher*INDEX(LM_Researcher,G572)))</x:f>
        <x:v>50106.49688433833</x:v>
      </x:c>
      <x:c r="AL572" s="32" t="n">
        <x:f>H572*tun_RoleScale*Arch_Roles*AE572*INDEX(tun_MonasteryPerSett,G572)*tun_OutMonastery*INDEX(LM_Monastery,G572)</x:f>
        <x:v>31.680000000000003</x:v>
      </x:c>
      <x:c r="AM572" s="32" t="n">
        <x:f>(AJ572+AK572+AL572)/4*INDEX(LM_All,G572)*INDEX(tun_Boon,G572)*Arch_Insight</x:f>
        <x:v>168413.3124120461</x:v>
      </x:c>
      <x:c r="AN572" s="32" t="n">
        <x:f>H572*(tun_KHPerAdult*Z572+tun_KHOfCommons*AJ572/4*INDEX(LM_All,G572))*tun_KHUsable*Arch_KH</x:f>
        <x:v>26601.093937836096</x:v>
      </x:c>
      <x:c r="AO572" s="32" t="n">
        <x:f>MIN(AP571+AN572,AM572*tun_KHMaxRatio)</x:f>
        <x:v>26601.093937836096</x:v>
      </x:c>
      <x:c r="AP572" s="32" t="n">
        <x:f>AP571+AN572-AO572</x:f>
        <x:v>0</x:v>
      </x:c>
      <x:c r="AQ572" s="32" t="n">
        <x:f>AM572+AO572</x:f>
        <x:v>195014.4063498822</x:v>
      </x:c>
      <x:c r="AR572" s="10" t="n">
        <x:f>IF(H572=1,INDEX(tun_Req,G572),0)</x:f>
        <x:v>24497531.045680594</x:v>
      </x:c>
      <x:c r="AS572" s="32" t="n">
        <x:f>IF(H572=1,IF(E572=1,AS571-AR571,AS571)+AQ572,0)</x:f>
        <x:v>11724179.270204417</x:v>
      </x:c>
      <x:c r="AT572" s="11" t="n">
        <x:f>IF(AR572&gt;0,MIN(1,AS572/AR572),1)</x:f>
        <x:v>0.4785861582680441</x:v>
      </x:c>
      <x:c r="AU572" s="10" t="n">
        <x:f>AB572/INDEX(tun_RepScale,G572)</x:f>
        <x:v>219.00890904303782</x:v>
      </x:c>
      <x:c r="AV572" s="32" t="n">
        <x:f>AM572*60/tun_SeasonSeconds</x:f>
        <x:v>673653.2496481844</x:v>
      </x:c>
    </x:row>
    <x:row r="573">
      <x:c r="A573" s="8" t="n">
        <x:f>A572+1</x:f>
        <x:v>570</x:v>
      </x:c>
      <x:c r="B573" s="9" t="n">
        <x:f>A573*tun_SeasonSeconds/60</x:f>
        <x:v>142.5</x:v>
      </x:c>
      <x:c r="C573" s="9" t="n">
        <x:f>A573/4</x:f>
        <x:v>142.5</x:v>
      </x:c>
      <x:c r="D573" s="8" t="n">
        <x:f>IF(MOD(A573,4)=0,1,0)</x:f>
        <x:v>0</x:v>
      </x:c>
      <x:c r="E573" s="8" t="n">
        <x:f>IF(AND(F572&lt;=9,AS572&gt;=AR572),1,0)</x:f>
        <x:v>0</x:v>
      </x:c>
      <x:c r="F573" s="8" t="n">
        <x:f>MIN(10,F572+E573)</x:f>
        <x:v>8</x:v>
      </x:c>
      <x:c r="G573" s="8" t="n">
        <x:f>MIN(F573,9)+1</x:f>
        <x:v>9</x:v>
      </x:c>
      <x:c r="H573" s="8" t="n">
        <x:f>IF(F573&lt;=9,1,0)</x:f>
        <x:v>1</x:v>
      </x:c>
      <x:c r="I573" s="9" t="n">
        <x:f>MIN(10,F572+IF(AR572&gt;0,MIN(1,AS572/AR572),1))</x:f>
        <x:v>8.478586158268044</x:v>
      </x:c>
      <x:c r="J573" s="32" t="n">
        <x:f>INDEX(tun_FoodCap,G573)*Arch_FoodCap*EXP(tun_CapsByProject*SUMPRODUCT((Cap_Point&lt;=I573)*(Cap_Kind="Food")*Cap_Ln))</x:f>
        <x:v>7017.569668241889</x:v>
      </x:c>
      <x:c r="K573" s="32" t="n">
        <x:f>J573*MIN(1,tun_LeanBase*EXP(tun_CapsByProject*SUMPRODUCT((Cap_Point&lt;=I573)*(Cap_Kind="Lean")*Cap_Ln)))</x:f>
        <x:v>7017.569668241889</x:v>
      </x:c>
      <x:c r="L573" s="10" t="n">
        <x:f>INDEX(tun_HousingCap,G573)*EXP(tun_CapsByProject*SUMPRODUCT((Cap_Point&lt;=I573)*(Cap_Kind="Housing")*Cap_Ln))</x:f>
        <x:v>6581.714062749661</x:v>
      </x:c>
      <x:c r="M573" s="10" t="n">
        <x:f>INDEX(tun_GroupCap,G573)*tun_CohesionFactor*EXP(tun_CapsByProject*SUMPRODUCT((Cap_Point&lt;=I573)*(Cap_Kind="Group")*Cap_Ln))</x:f>
        <x:v>1000000.000000001</x:v>
      </x:c>
      <x:c r="N573" s="32" t="n">
        <x:f>MIN(J573,L573,M573)</x:f>
        <x:v>6581.714062749661</x:v>
      </x:c>
      <x:c r="O573" s="10" t="n">
        <x:f>AE572*N573</x:f>
        <x:v>59235.42656474695</x:v>
      </x:c>
      <x:c r="P573" s="9" t="n">
        <x:f>MIN(1,(AB572/(AE572*IF(tun_GroupInCrowding=1,N573,MIN(J573,L573))))^tun_CrowdingExp)</x:f>
        <x:v>0.6236222783402422</x:v>
      </x:c>
      <x:c r="Q573" s="9" t="n">
        <x:f>IF(D573=1,INDEX(tun_WinterMult,G573),1)</x:f>
        <x:v>1</x:v>
      </x:c>
      <x:c r="R573" s="9" t="n">
        <x:f>H573*Z572*tun_WomenShare*tun_BaseFertility*INDEX(tun_FertMult,G573)*Arch_Fertility*(1-P573)</x:f>
        <x:v>324.7509252965742</x:v>
      </x:c>
      <x:c r="S573" s="9" t="n">
        <x:f>H573*Y572*INDEX(tun_MortChild,G573)/4*Q573</x:f>
        <x:v>21.517118175532246</x:v>
      </x:c>
      <x:c r="T573" s="9" t="n">
        <x:f>H573*Z572*INDEX(tun_MortAdult,G573)*Arch_AdultMort/4*Q573</x:f>
        <x:v>18.101380827508592</x:v>
      </x:c>
      <x:c r="U573" s="9" t="n">
        <x:f>H573*AA572*INDEX(tun_MortElder,G573)/4*Q573</x:f>
        <x:v>94.79848584476791</x:v>
      </x:c>
      <x:c r="V573" s="9" t="n">
        <x:f>H573*MAX(0,AB572-O573)*tun_OvercapLoss</x:f>
        <x:v>0</x:v>
      </x:c>
      <x:c r="W573" s="9" t="n">
        <x:f>H573*Y572/(tun_ChildYears*4)</x:f>
        <x:v>341.5415583417817</x:v>
      </x:c>
      <x:c r="X573" s="9" t="n">
        <x:f>H573*Z572/(tun_AdultYears*4)</x:f>
        <x:v>194.63850352159776</x:v>
      </x:c>
      <x:c r="Y573" s="32" t="n">
        <x:f>Y572+R573-S573-W573-Y572*V573/AB572</x:f>
        <x:v>19088.019515919037</x:v>
      </x:c>
      <x:c r="Z573" s="32" t="n">
        <x:f>Z572+W573-X573-T573-Z572*V573/AB572</x:f>
        <x:v>24263.976110670796</x:v>
      </x:c>
      <x:c r="AA573" s="32" t="n">
        <x:f>AA572+X573-U573-AA572*V573/AB572</x:f>
        <x:v>11590.565574618395</x:v>
      </x:c>
      <x:c r="AB573" s="10" t="n">
        <x:f>Y573+Z573+AA573</x:f>
        <x:v>54942.56120120823</x:v>
      </x:c>
      <x:c r="AC573" s="8" t="n">
        <x:f>IF(AND(tun_WinterTrigger=1,D573=1,AB572/AE572&gt;=K573),1,0)</x:f>
        <x:v>0</x:v>
      </x:c>
      <x:c r="AD573" s="8" t="n">
        <x:f>H573*IF(AND(OR(AB572/AE572&gt;=tun_FissionTrigger*N573,AC573=1),AB572/AE572*tun_DaughterShare&gt;=tun_MinDaughter),MAX(1,ROUND(AE572*tun_FissionRate,0)),0)</x:f>
        <x:v>3</x:v>
      </x:c>
      <x:c r="AE573" s="8" t="n">
        <x:f>IF(H573=1,MAX(1,MIN(INDEX(tun_Smax,G573),AE572+AD573)),AE572)</x:f>
        <x:v>9</x:v>
      </x:c>
      <x:c r="AF573" s="8" t="n">
        <x:f>MAX(0,AE573-AE572)</x:f>
        <x:v>0</x:v>
      </x:c>
      <x:c r="AG573" s="9" t="str">
        <x:f>IF(AF573&gt;0,B573,"")</x:f>
      </x:c>
      <x:c r="AH573" s="9" t="n">
        <x:f>IF(F573&gt;=1,1,(1+tun_LowTiesShare*(AE573-1))/AE573)</x:f>
        <x:v>1</x:v>
      </x:c>
      <x:c r="AI573" s="32" t="n">
        <x:f>(Z573+tun_ElderCommons*INDEX(LM_Elder,G573)*AA573)*AH573</x:f>
        <x:v>67728.59701548977</x:v>
      </x:c>
      <x:c r="AJ573" s="32" t="n">
        <x:f>H573*tun_CommonsCoef*AI573^tun_CommonsExp*INDEX(LM_Commons,G573)</x:f>
        <x:v>184777.20633859388</x:v>
      </x:c>
      <x:c r="AK573" s="32" t="n">
        <x:f>H573*tun_RoleScale*Arch_Roles*(AE573*(INDEX(tun_ElderRolePerSett,G573)*tun_OutElder*INDEX(LM_Elder,G573)+INDEX(tun_ShamanPerSett,G573)*tun_OutShaman)+Z573*(INDEX(tun_PriestShare,G573)*tun_OutPriest+INDEX(tun_ScribeShare,G573)*tun_OutScribe*INDEX(LM_Scribe,G573)+INDEX(tun_ScholarShare,G573)*tun_OutScholar*INDEX(LM_Scholar,G573)+INDEX(tun_ResearcherShare,G573)*tun_OutResearcher*INDEX(LM_Researcher,G573)))</x:f>
        <x:v>50372.60235155514</x:v>
      </x:c>
      <x:c r="AL573" s="32" t="n">
        <x:f>H573*tun_RoleScale*Arch_Roles*AE573*INDEX(tun_MonasteryPerSett,G573)*tun_OutMonastery*INDEX(LM_Monastery,G573)</x:f>
        <x:v>31.680000000000003</x:v>
      </x:c>
      <x:c r="AM573" s="32" t="n">
        <x:f>(AJ573+AK573+AL573)/4*INDEX(LM_All,G573)*INDEX(tun_Boon,G573)*Arch_Insight</x:f>
        <x:v>169446.2576971038</x:v>
      </x:c>
      <x:c r="AN573" s="32" t="n">
        <x:f>H573*(tun_KHPerAdult*Z573+tun_KHOfCommons*AJ573/4*INDEX(LM_All,G573))*tun_KHUsable*Arch_KH</x:f>
        <x:v>26770.248614596218</x:v>
      </x:c>
      <x:c r="AO573" s="32" t="n">
        <x:f>MIN(AP572+AN573,AM573*tun_KHMaxRatio)</x:f>
        <x:v>26770.248614596218</x:v>
      </x:c>
      <x:c r="AP573" s="32" t="n">
        <x:f>AP572+AN573-AO573</x:f>
        <x:v>0</x:v>
      </x:c>
      <x:c r="AQ573" s="32" t="n">
        <x:f>AM573+AO573</x:f>
        <x:v>196216.50631170004</x:v>
      </x:c>
      <x:c r="AR573" s="10" t="n">
        <x:f>IF(H573=1,INDEX(tun_Req,G573),0)</x:f>
        <x:v>24497531.045680594</x:v>
      </x:c>
      <x:c r="AS573" s="32" t="n">
        <x:f>IF(H573=1,IF(E573=1,AS572-AR572,AS572)+AQ573,0)</x:f>
        <x:v>11920395.776516117</x:v>
      </x:c>
      <x:c r="AT573" s="11" t="n">
        <x:f>IF(AR573&gt;0,MIN(1,AS573/AR573),1)</x:f>
        <x:v>0.48659580242140044</x:v>
      </x:c>
      <x:c r="AU573" s="10" t="n">
        <x:f>AB573/INDEX(tun_RepScale,G573)</x:f>
        <x:v>219.7702448048329</x:v>
      </x:c>
      <x:c r="AV573" s="32" t="n">
        <x:f>AM573*60/tun_SeasonSeconds</x:f>
        <x:v>677785.0307884152</x:v>
      </x:c>
    </x:row>
    <x:row r="574">
      <x:c r="A574" s="8" t="n">
        <x:f>A573+1</x:f>
        <x:v>571</x:v>
      </x:c>
      <x:c r="B574" s="9" t="n">
        <x:f>A574*tun_SeasonSeconds/60</x:f>
        <x:v>142.75</x:v>
      </x:c>
      <x:c r="C574" s="9" t="n">
        <x:f>A574/4</x:f>
        <x:v>142.75</x:v>
      </x:c>
      <x:c r="D574" s="8" t="n">
        <x:f>IF(MOD(A574,4)=0,1,0)</x:f>
        <x:v>0</x:v>
      </x:c>
      <x:c r="E574" s="8" t="n">
        <x:f>IF(AND(F573&lt;=9,AS573&gt;=AR573),1,0)</x:f>
        <x:v>0</x:v>
      </x:c>
      <x:c r="F574" s="8" t="n">
        <x:f>MIN(10,F573+E574)</x:f>
        <x:v>8</x:v>
      </x:c>
      <x:c r="G574" s="8" t="n">
        <x:f>MIN(F574,9)+1</x:f>
        <x:v>9</x:v>
      </x:c>
      <x:c r="H574" s="8" t="n">
        <x:f>IF(F574&lt;=9,1,0)</x:f>
        <x:v>1</x:v>
      </x:c>
      <x:c r="I574" s="9" t="n">
        <x:f>MIN(10,F573+IF(AR573&gt;0,MIN(1,AS573/AR573),1))</x:f>
        <x:v>8.4865958024214</x:v>
      </x:c>
      <x:c r="J574" s="32" t="n">
        <x:f>INDEX(tun_FoodCap,G574)*Arch_FoodCap*EXP(tun_CapsByProject*SUMPRODUCT((Cap_Point&lt;=I574)*(Cap_Kind="Food")*Cap_Ln))</x:f>
        <x:v>7017.569668241889</x:v>
      </x:c>
      <x:c r="K574" s="32" t="n">
        <x:f>J574*MIN(1,tun_LeanBase*EXP(tun_CapsByProject*SUMPRODUCT((Cap_Point&lt;=I574)*(Cap_Kind="Lean")*Cap_Ln)))</x:f>
        <x:v>7017.569668241889</x:v>
      </x:c>
      <x:c r="L574" s="10" t="n">
        <x:f>INDEX(tun_HousingCap,G574)*EXP(tun_CapsByProject*SUMPRODUCT((Cap_Point&lt;=I574)*(Cap_Kind="Housing")*Cap_Ln))</x:f>
        <x:v>6581.714062749661</x:v>
      </x:c>
      <x:c r="M574" s="10" t="n">
        <x:f>INDEX(tun_GroupCap,G574)*tun_CohesionFactor*EXP(tun_CapsByProject*SUMPRODUCT((Cap_Point&lt;=I574)*(Cap_Kind="Group")*Cap_Ln))</x:f>
        <x:v>1000000.000000001</x:v>
      </x:c>
      <x:c r="N574" s="32" t="n">
        <x:f>MIN(J574,L574,M574)</x:f>
        <x:v>6581.714062749661</x:v>
      </x:c>
      <x:c r="O574" s="10" t="n">
        <x:f>AE573*N574</x:f>
        <x:v>59235.42656474695</x:v>
      </x:c>
      <x:c r="P574" s="9" t="n">
        <x:f>MIN(1,(AB573/(AE573*IF(tun_GroupInCrowding=1,N574,MIN(J574,L574))))^tun_CrowdingExp)</x:f>
        <x:v>0.636743151063119</x:v>
      </x:c>
      <x:c r="Q574" s="9" t="n">
        <x:f>IF(D574=1,INDEX(tun_WinterMult,G574),1)</x:f>
        <x:v>1</x:v>
      </x:c>
      <x:c r="R574" s="9" t="n">
        <x:f>H574*Z573*tun_WomenShare*tun_BaseFertility*INDEX(tun_FertMult,G574)*Arch_Fertility*(1-P574)</x:f>
        <x:v>315.10248429095265</x:v>
      </x:c>
      <x:c r="S574" s="9" t="n">
        <x:f>H574*Y573*INDEX(tun_MortChild,G574)/4*Q574</x:f>
        <x:v>21.474021955408915</x:v>
      </x:c>
      <x:c r="T574" s="9" t="n">
        <x:f>H574*Z573*INDEX(tun_MortAdult,G574)*Arch_AdultMort/4*Q574</x:f>
        <x:v>18.197982083003097</x:v>
      </x:c>
      <x:c r="U574" s="9" t="n">
        <x:f>H574*AA573*INDEX(tun_MortElder,G574)/4*Q574</x:f>
        <x:v>95.62216599060176</x:v>
      </x:c>
      <x:c r="V574" s="9" t="n">
        <x:f>H574*MAX(0,AB573-O574)*tun_OvercapLoss</x:f>
        <x:v>0</x:v>
      </x:c>
      <x:c r="W574" s="9" t="n">
        <x:f>H574*Y573/(tun_ChildYears*4)</x:f>
        <x:v>340.8574913556971</x:v>
      </x:c>
      <x:c r="X574" s="9" t="n">
        <x:f>H574*Z573/(tun_AdultYears*4)</x:f>
        <x:v>195.67722669895804</x:v>
      </x:c>
      <x:c r="Y574" s="32" t="n">
        <x:f>Y573+R574-S574-W574-Y573*V574/AB573</x:f>
        <x:v>19040.790486898884</x:v>
      </x:c>
      <x:c r="Z574" s="32" t="n">
        <x:f>Z573+W574-X574-T574-Z573*V574/AB573</x:f>
        <x:v>24390.958393244535</x:v>
      </x:c>
      <x:c r="AA574" s="32" t="n">
        <x:f>AA573+X574-U574-AA573*V574/AB573</x:f>
        <x:v>11690.62063532675</x:v>
      </x:c>
      <x:c r="AB574" s="10" t="n">
        <x:f>Y574+Z574+AA574</x:f>
        <x:v>55122.36951547017</x:v>
      </x:c>
      <x:c r="AC574" s="8" t="n">
        <x:f>IF(AND(tun_WinterTrigger=1,D574=1,AB573/AE573&gt;=K574),1,0)</x:f>
        <x:v>0</x:v>
      </x:c>
      <x:c r="AD574" s="8" t="n">
        <x:f>H574*IF(AND(OR(AB573/AE573&gt;=tun_FissionTrigger*N574,AC574=1),AB573/AE573*tun_DaughterShare&gt;=tun_MinDaughter),MAX(1,ROUND(AE573*tun_FissionRate,0)),0)</x:f>
        <x:v>3</x:v>
      </x:c>
      <x:c r="AE574" s="8" t="n">
        <x:f>IF(H574=1,MAX(1,MIN(INDEX(tun_Smax,G574),AE573+AD574)),AE573)</x:f>
        <x:v>9</x:v>
      </x:c>
      <x:c r="AF574" s="8" t="n">
        <x:f>MAX(0,AE574-AE573)</x:f>
        <x:v>0</x:v>
      </x:c>
      <x:c r="AG574" s="9" t="str">
        <x:f>IF(AF574&gt;0,B574,"")</x:f>
      </x:c>
      <x:c r="AH574" s="9" t="n">
        <x:f>IF(F574&gt;=1,1,(1+tun_LowTiesShare*(AE574-1))/AE574)</x:f>
        <x:v>1</x:v>
      </x:c>
      <x:c r="AI574" s="32" t="n">
        <x:f>(Z574+tun_ElderCommons*INDEX(LM_Elder,G574)*AA574)*AH574</x:f>
        <x:v>68230.78577571985</x:v>
      </x:c>
      <x:c r="AJ574" s="32" t="n">
        <x:f>H574*tun_CommonsCoef*AI574^tun_CommonsExp*INDEX(LM_Commons,G574)</x:f>
        <x:v>185941.12152636304</x:v>
      </x:c>
      <x:c r="AK574" s="32" t="n">
        <x:f>H574*tun_RoleScale*Arch_Roles*(AE574*(INDEX(tun_ElderRolePerSett,G574)*tun_OutElder*INDEX(LM_Elder,G574)+INDEX(tun_ShamanPerSett,G574)*tun_OutShaman)+Z574*(INDEX(tun_PriestShare,G574)*tun_OutPriest+INDEX(tun_ScribeShare,G574)*tun_OutScribe*INDEX(LM_Scribe,G574)+INDEX(tun_ScholarShare,G574)*tun_OutScholar*INDEX(LM_Scholar,G574)+INDEX(tun_ResearcherShare,G574)*tun_OutResearcher*INDEX(LM_Researcher,G574)))</x:f>
        <x:v>50634.948939026224</x:v>
      </x:c>
      <x:c r="AL574" s="32" t="n">
        <x:f>H574*tun_RoleScale*Arch_Roles*AE574*INDEX(tun_MonasteryPerSett,G574)*tun_OutMonastery*INDEX(LM_Monastery,G574)</x:f>
        <x:v>31.680000000000003</x:v>
      </x:c>
      <x:c r="AM574" s="32" t="n">
        <x:f>(AJ574+AK574+AL574)/4*INDEX(LM_All,G574)*INDEX(tun_Boon,G574)*Arch_Insight</x:f>
        <x:v>170473.86714739221</x:v>
      </x:c>
      <x:c r="AN574" s="32" t="n">
        <x:f>H574*(tun_KHPerAdult*Z574+tun_KHOfCommons*AJ574/4*INDEX(LM_All,G574))*tun_KHUsable*Arch_KH</x:f>
        <x:v>26938.874927117628</x:v>
      </x:c>
      <x:c r="AO574" s="32" t="n">
        <x:f>MIN(AP573+AN574,AM574*tun_KHMaxRatio)</x:f>
        <x:v>26938.874927117628</x:v>
      </x:c>
      <x:c r="AP574" s="32" t="n">
        <x:f>AP573+AN574-AO574</x:f>
        <x:v>0</x:v>
      </x:c>
      <x:c r="AQ574" s="32" t="n">
        <x:f>AM574+AO574</x:f>
        <x:v>197412.74207450985</x:v>
      </x:c>
      <x:c r="AR574" s="10" t="n">
        <x:f>IF(H574=1,INDEX(tun_Req,G574),0)</x:f>
        <x:v>24497531.045680594</x:v>
      </x:c>
      <x:c r="AS574" s="32" t="n">
        <x:f>IF(H574=1,IF(E574=1,AS573-AR573,AS573)+AQ574,0)</x:f>
        <x:v>12117808.518590627</x:v>
      </x:c>
      <x:c r="AT574" s="11" t="n">
        <x:f>IF(AR574&gt;0,MIN(1,AS574/AR574),1)</x:f>
        <x:v>0.494654277445124</x:v>
      </x:c>
      <x:c r="AU574" s="10" t="n">
        <x:f>AB574/INDEX(tun_RepScale,G574)</x:f>
        <x:v>220.48947806188067</x:v>
      </x:c>
      <x:c r="AV574" s="32" t="n">
        <x:f>AM574*60/tun_SeasonSeconds</x:f>
        <x:v>681895.4685895689</x:v>
      </x:c>
    </x:row>
    <x:row r="575">
      <x:c r="A575" s="8" t="n">
        <x:f>A574+1</x:f>
        <x:v>572</x:v>
      </x:c>
      <x:c r="B575" s="9" t="n">
        <x:f>A575*tun_SeasonSeconds/60</x:f>
        <x:v>143</x:v>
      </x:c>
      <x:c r="C575" s="9" t="n">
        <x:f>A575/4</x:f>
        <x:v>143</x:v>
      </x:c>
      <x:c r="D575" s="8" t="n">
        <x:f>IF(MOD(A575,4)=0,1,0)</x:f>
        <x:v>1</x:v>
      </x:c>
      <x:c r="E575" s="8" t="n">
        <x:f>IF(AND(F574&lt;=9,AS574&gt;=AR574),1,0)</x:f>
        <x:v>0</x:v>
      </x:c>
      <x:c r="F575" s="8" t="n">
        <x:f>MIN(10,F574+E575)</x:f>
        <x:v>8</x:v>
      </x:c>
      <x:c r="G575" s="8" t="n">
        <x:f>MIN(F575,9)+1</x:f>
        <x:v>9</x:v>
      </x:c>
      <x:c r="H575" s="8" t="n">
        <x:f>IF(F575&lt;=9,1,0)</x:f>
        <x:v>1</x:v>
      </x:c>
      <x:c r="I575" s="9" t="n">
        <x:f>MIN(10,F574+IF(AR574&gt;0,MIN(1,AS574/AR574),1))</x:f>
        <x:v>8.494654277445123</x:v>
      </x:c>
      <x:c r="J575" s="32" t="n">
        <x:f>INDEX(tun_FoodCap,G575)*Arch_FoodCap*EXP(tun_CapsByProject*SUMPRODUCT((Cap_Point&lt;=I575)*(Cap_Kind="Food")*Cap_Ln))</x:f>
        <x:v>7017.569668241889</x:v>
      </x:c>
      <x:c r="K575" s="32" t="n">
        <x:f>J575*MIN(1,tun_LeanBase*EXP(tun_CapsByProject*SUMPRODUCT((Cap_Point&lt;=I575)*(Cap_Kind="Lean")*Cap_Ln)))</x:f>
        <x:v>7017.569668241889</x:v>
      </x:c>
      <x:c r="L575" s="10" t="n">
        <x:f>INDEX(tun_HousingCap,G575)*EXP(tun_CapsByProject*SUMPRODUCT((Cap_Point&lt;=I575)*(Cap_Kind="Housing")*Cap_Ln))</x:f>
        <x:v>6581.714062749661</x:v>
      </x:c>
      <x:c r="M575" s="10" t="n">
        <x:f>INDEX(tun_GroupCap,G575)*tun_CohesionFactor*EXP(tun_CapsByProject*SUMPRODUCT((Cap_Point&lt;=I575)*(Cap_Kind="Group")*Cap_Ln))</x:f>
        <x:v>1000000.000000001</x:v>
      </x:c>
      <x:c r="N575" s="32" t="n">
        <x:f>MIN(J575,L575,M575)</x:f>
        <x:v>6581.714062749661</x:v>
      </x:c>
      <x:c r="O575" s="10" t="n">
        <x:f>AE574*N575</x:f>
        <x:v>59235.42656474695</x:v>
      </x:c>
      <x:c r="P575" s="9" t="n">
        <x:f>MIN(1,(AB574/(AE574*IF(tun_GroupInCrowding=1,N575,MIN(J575,L575))))^tun_CrowdingExp)</x:f>
        <x:v>0.6493489566914621</x:v>
      </x:c>
      <x:c r="Q575" s="9" t="n">
        <x:f>IF(D575=1,INDEX(tun_WinterMult,G575),1)</x:f>
        <x:v>1.05</x:v>
      </x:c>
      <x:c r="R575" s="9" t="n">
        <x:f>H575*Z574*tun_WomenShare*tun_BaseFertility*INDEX(tun_FertMult,G575)*Arch_Fertility*(1-P575)</x:f>
        <x:v>305.7595615319365</x:v>
      </x:c>
      <x:c r="S575" s="9" t="n">
        <x:f>H575*Y574*INDEX(tun_MortChild,G575)/4*Q575</x:f>
        <x:v>22.491933762649307</x:v>
      </x:c>
      <x:c r="T575" s="9" t="n">
        <x:f>H575*Z574*INDEX(tun_MortAdult,G575)*Arch_AdultMort/4*Q575</x:f>
        <x:v>19.207879734680073</x:v>
      </x:c>
      <x:c r="U575" s="9" t="n">
        <x:f>H575*AA574*INDEX(tun_MortElder,G575)/4*Q575</x:f>
        <x:v>101.27000125351798</x:v>
      </x:c>
      <x:c r="V575" s="9" t="n">
        <x:f>H575*MAX(0,AB574-O575)*tun_OvercapLoss</x:f>
        <x:v>0</x:v>
      </x:c>
      <x:c r="W575" s="9" t="n">
        <x:f>H575*Y574/(tun_ChildYears*4)</x:f>
        <x:v>340.01411583748006</x:v>
      </x:c>
      <x:c r="X575" s="9" t="n">
        <x:f>H575*Z574/(tun_AdultYears*4)</x:f>
        <x:v>196.70127736487527</x:v>
      </x:c>
      <x:c r="Y575" s="32" t="n">
        <x:f>Y574+R575-S575-W575-Y574*V575/AB574</x:f>
        <x:v>18984.043998830693</x:v>
      </x:c>
      <x:c r="Z575" s="32" t="n">
        <x:f>Z574+W575-X575-T575-Z574*V575/AB574</x:f>
        <x:v>24515.06335198246</x:v>
      </x:c>
      <x:c r="AA575" s="32" t="n">
        <x:f>AA574+X575-U575-AA574*V575/AB574</x:f>
        <x:v>11786.051911438106</x:v>
      </x:c>
      <x:c r="AB575" s="10" t="n">
        <x:f>Y575+Z575+AA575</x:f>
        <x:v>55285.159262251254</x:v>
      </x:c>
      <x:c r="AC575" s="8" t="n">
        <x:f>IF(AND(tun_WinterTrigger=1,D575=1,AB574/AE574&gt;=K575),1,0)</x:f>
        <x:v>0</x:v>
      </x:c>
      <x:c r="AD575" s="8" t="n">
        <x:f>H575*IF(AND(OR(AB574/AE574&gt;=tun_FissionTrigger*N575,AC575=1),AB574/AE574*tun_DaughterShare&gt;=tun_MinDaughter),MAX(1,ROUND(AE574*tun_FissionRate,0)),0)</x:f>
        <x:v>3</x:v>
      </x:c>
      <x:c r="AE575" s="8" t="n">
        <x:f>IF(H575=1,MAX(1,MIN(INDEX(tun_Smax,G575),AE574+AD575)),AE574)</x:f>
        <x:v>9</x:v>
      </x:c>
      <x:c r="AF575" s="8" t="n">
        <x:f>MAX(0,AE575-AE574)</x:f>
        <x:v>0</x:v>
      </x:c>
      <x:c r="AG575" s="9" t="str">
        <x:f>IF(AF575&gt;0,B575,"")</x:f>
      </x:c>
      <x:c r="AH575" s="9" t="n">
        <x:f>IF(F575&gt;=1,1,(1+tun_LowTiesShare*(AE575-1))/AE575)</x:f>
        <x:v>1</x:v>
      </x:c>
      <x:c r="AI575" s="32" t="n">
        <x:f>(Z575+tun_ElderCommons*INDEX(LM_Elder,G575)*AA575)*AH575</x:f>
        <x:v>68712.75801987536</x:v>
      </x:c>
      <x:c r="AJ575" s="32" t="n">
        <x:f>H575*tun_CommonsCoef*AI575^tun_CommonsExp*INDEX(LM_Commons,G575)</x:f>
        <x:v>187056.9732879778</x:v>
      </x:c>
      <x:c r="AK575" s="32" t="n">
        <x:f>H575*tun_RoleScale*Arch_Roles*(AE575*(INDEX(tun_ElderRolePerSett,G575)*tun_OutElder*INDEX(LM_Elder,G575)+INDEX(tun_ShamanPerSett,G575)*tun_OutShaman)+Z575*(INDEX(tun_PriestShare,G575)*tun_OutPriest+INDEX(tun_ScribeShare,G575)*tun_OutScribe*INDEX(LM_Scribe,G575)+INDEX(tun_ScholarShare,G575)*tun_OutScholar*INDEX(LM_Scholar,G575)+INDEX(tun_ResearcherShare,G575)*tun_OutResearcher*INDEX(LM_Researcher,G575)))</x:f>
        <x:v>50891.350948450076</x:v>
      </x:c>
      <x:c r="AL575" s="32" t="n">
        <x:f>H575*tun_RoleScale*Arch_Roles*AE575*INDEX(tun_MonasteryPerSett,G575)*tun_OutMonastery*INDEX(LM_Monastery,G575)</x:f>
        <x:v>31.680000000000003</x:v>
      </x:c>
      <x:c r="AM575" s="32" t="n">
        <x:f>(AJ575+AK575+AL575)/4*INDEX(LM_All,G575)*INDEX(tun_Boon,G575)*Arch_Insight</x:f>
        <x:v>171462.5642910674</x:v>
      </x:c>
      <x:c r="AN575" s="32" t="n">
        <x:f>H575*(tun_KHPerAdult*Z575+tun_KHOfCommons*AJ575/4*INDEX(LM_All,G575))*tun_KHUsable*Arch_KH</x:f>
        <x:v>27100.537881479668</x:v>
      </x:c>
      <x:c r="AO575" s="32" t="n">
        <x:f>MIN(AP574+AN575,AM575*tun_KHMaxRatio)</x:f>
        <x:v>27100.537881479668</x:v>
      </x:c>
      <x:c r="AP575" s="32" t="n">
        <x:f>AP574+AN575-AO575</x:f>
        <x:v>0</x:v>
      </x:c>
      <x:c r="AQ575" s="32" t="n">
        <x:f>AM575+AO575</x:f>
        <x:v>198563.10217254705</x:v>
      </x:c>
      <x:c r="AR575" s="10" t="n">
        <x:f>IF(H575=1,INDEX(tun_Req,G575),0)</x:f>
        <x:v>24497531.045680594</x:v>
      </x:c>
      <x:c r="AS575" s="32" t="n">
        <x:f>IF(H575=1,IF(E575=1,AS574-AR574,AS574)+AQ575,0)</x:f>
        <x:v>12316371.620763175</x:v>
      </x:c>
      <x:c r="AT575" s="11" t="n">
        <x:f>IF(AR575&gt;0,MIN(1,AS575/AR575),1)</x:f>
        <x:v>0.5027597106743864</x:v>
      </x:c>
      <x:c r="AU575" s="10" t="n">
        <x:f>AB575/INDEX(tun_RepScale,G575)</x:f>
        <x:v>221.14063704900502</x:v>
      </x:c>
      <x:c r="AV575" s="32" t="n">
        <x:f>AM575*60/tun_SeasonSeconds</x:f>
        <x:v>685850.2571642696</x:v>
      </x:c>
    </x:row>
    <x:row r="576">
      <x:c r="A576" s="8" t="n">
        <x:f>A575+1</x:f>
        <x:v>573</x:v>
      </x:c>
      <x:c r="B576" s="9" t="n">
        <x:f>A576*tun_SeasonSeconds/60</x:f>
        <x:v>143.25</x:v>
      </x:c>
      <x:c r="C576" s="9" t="n">
        <x:f>A576/4</x:f>
        <x:v>143.25</x:v>
      </x:c>
      <x:c r="D576" s="8" t="n">
        <x:f>IF(MOD(A576,4)=0,1,0)</x:f>
        <x:v>0</x:v>
      </x:c>
      <x:c r="E576" s="8" t="n">
        <x:f>IF(AND(F575&lt;=9,AS575&gt;=AR575),1,0)</x:f>
        <x:v>0</x:v>
      </x:c>
      <x:c r="F576" s="8" t="n">
        <x:f>MIN(10,F575+E576)</x:f>
        <x:v>8</x:v>
      </x:c>
      <x:c r="G576" s="8" t="n">
        <x:f>MIN(F576,9)+1</x:f>
        <x:v>9</x:v>
      </x:c>
      <x:c r="H576" s="8" t="n">
        <x:f>IF(F576&lt;=9,1,0)</x:f>
        <x:v>1</x:v>
      </x:c>
      <x:c r="I576" s="9" t="n">
        <x:f>MIN(10,F575+IF(AR575&gt;0,MIN(1,AS575/AR575),1))</x:f>
        <x:v>8.502759710674386</x:v>
      </x:c>
      <x:c r="J576" s="32" t="n">
        <x:f>INDEX(tun_FoodCap,G576)*Arch_FoodCap*EXP(tun_CapsByProject*SUMPRODUCT((Cap_Point&lt;=I576)*(Cap_Kind="Food")*Cap_Ln))</x:f>
        <x:v>7847.747209225527</x:v>
      </x:c>
      <x:c r="K576" s="32" t="n">
        <x:f>J576*MIN(1,tun_LeanBase*EXP(tun_CapsByProject*SUMPRODUCT((Cap_Point&lt;=I576)*(Cap_Kind="Lean")*Cap_Ln)))</x:f>
        <x:v>7847.747209225527</x:v>
      </x:c>
      <x:c r="L576" s="10" t="n">
        <x:f>INDEX(tun_HousingCap,G576)*EXP(tun_CapsByProject*SUMPRODUCT((Cap_Point&lt;=I576)*(Cap_Kind="Housing")*Cap_Ln))</x:f>
        <x:v>10692.026039199893</x:v>
      </x:c>
      <x:c r="M576" s="10" t="n">
        <x:f>INDEX(tun_GroupCap,G576)*tun_CohesionFactor*EXP(tun_CapsByProject*SUMPRODUCT((Cap_Point&lt;=I576)*(Cap_Kind="Group")*Cap_Ln))</x:f>
        <x:v>1000000.000000001</x:v>
      </x:c>
      <x:c r="N576" s="32" t="n">
        <x:f>MIN(J576,L576,M576)</x:f>
        <x:v>7847.747209225527</x:v>
      </x:c>
      <x:c r="O576" s="10" t="n">
        <x:f>AE575*N576</x:f>
        <x:v>70629.72488302973</x:v>
      </x:c>
      <x:c r="P576" s="9" t="n">
        <x:f>MIN(1,(AB575/(AE575*IF(tun_GroupInCrowding=1,N576,MIN(J576,L576))))^tun_CrowdingExp)</x:f>
        <x:v>0.22999918790224808</x:v>
      </x:c>
      <x:c r="Q576" s="9" t="n">
        <x:f>IF(D576=1,INDEX(tun_WinterMult,G576),1)</x:f>
        <x:v>1</x:v>
      </x:c>
      <x:c r="R576" s="9" t="n">
        <x:f>H576*Z575*tun_WomenShare*tun_BaseFertility*INDEX(tun_FertMult,G576)*Arch_Fertility*(1-P576)</x:f>
        <x:v>674.8391181551424</x:v>
      </x:c>
      <x:c r="S576" s="9" t="n">
        <x:f>H576*Y575*INDEX(tun_MortChild,G576)/4*Q576</x:f>
        <x:v>21.35704949868453</x:v>
      </x:c>
      <x:c r="T576" s="9" t="n">
        <x:f>H576*Z575*INDEX(tun_MortAdult,G576)*Arch_AdultMort/4*Q576</x:f>
        <x:v>18.386297513986843</x:v>
      </x:c>
      <x:c r="U576" s="9" t="n">
        <x:f>H576*AA575*INDEX(tun_MortElder,G576)/4*Q576</x:f>
        <x:v>97.23492826936437</x:v>
      </x:c>
      <x:c r="V576" s="9" t="n">
        <x:f>H576*MAX(0,AB575-O576)*tun_OvercapLoss</x:f>
        <x:v>0</x:v>
      </x:c>
      <x:c r="W576" s="9" t="n">
        <x:f>H576*Y575/(tun_ChildYears*4)</x:f>
        <x:v>339.00078569340525</x:v>
      </x:c>
      <x:c r="X576" s="9" t="n">
        <x:f>H576*Z575/(tun_AdultYears*4)</x:f>
        <x:v>197.70212380631014</x:v>
      </x:c>
      <x:c r="Y576" s="32" t="n">
        <x:f>Y575+R576-S576-W576-Y575*V576/AB575</x:f>
        <x:v>19298.525281793743</x:v>
      </x:c>
      <x:c r="Z576" s="32" t="n">
        <x:f>Z575+W576-X576-T576-Z575*V576/AB575</x:f>
        <x:v>24637.97571635557</x:v>
      </x:c>
      <x:c r="AA576" s="32" t="n">
        <x:f>AA575+X576-U576-AA575*V576/AB575</x:f>
        <x:v>11886.51910697505</x:v>
      </x:c>
      <x:c r="AB576" s="10" t="n">
        <x:f>Y576+Z576+AA576</x:f>
        <x:v>55823.020105124364</x:v>
      </x:c>
      <x:c r="AC576" s="8" t="n">
        <x:f>IF(AND(tun_WinterTrigger=1,D576=1,AB575/AE575&gt;=K576),1,0)</x:f>
        <x:v>0</x:v>
      </x:c>
      <x:c r="AD576" s="8" t="n">
        <x:f>H576*IF(AND(OR(AB575/AE575&gt;=tun_FissionTrigger*N576,AC576=1),AB575/AE575*tun_DaughterShare&gt;=tun_MinDaughter),MAX(1,ROUND(AE575*tun_FissionRate,0)),0)</x:f>
        <x:v>0</x:v>
      </x:c>
      <x:c r="AE576" s="8" t="n">
        <x:f>IF(H576=1,MAX(1,MIN(INDEX(tun_Smax,G576),AE575+AD576)),AE575)</x:f>
        <x:v>9</x:v>
      </x:c>
      <x:c r="AF576" s="8" t="n">
        <x:f>MAX(0,AE576-AE575)</x:f>
        <x:v>0</x:v>
      </x:c>
      <x:c r="AG576" s="9" t="str">
        <x:f>IF(AF576&gt;0,B576,"")</x:f>
      </x:c>
      <x:c r="AH576" s="9" t="n">
        <x:f>IF(F576&gt;=1,1,(1+tun_LowTiesShare*(AE576-1))/AE576)</x:f>
        <x:v>1</x:v>
      </x:c>
      <x:c r="AI576" s="32" t="n">
        <x:f>(Z576+tun_ElderCommons*INDEX(LM_Elder,G576)*AA576)*AH576</x:f>
        <x:v>69212.42236751202</x:v>
      </x:c>
      <x:c r="AJ576" s="32" t="n">
        <x:f>H576*tun_CommonsCoef*AI576^tun_CommonsExp*INDEX(LM_Commons,G576)</x:f>
        <x:v>188212.546715219</x:v>
      </x:c>
      <x:c r="AK576" s="32" t="n">
        <x:f>H576*tun_RoleScale*Arch_Roles*(AE576*(INDEX(tun_ElderRolePerSett,G576)*tun_OutElder*INDEX(LM_Elder,G576)+INDEX(tun_ShamanPerSett,G576)*tun_OutShaman)+Z576*(INDEX(tun_PriestShare,G576)*tun_OutPriest+INDEX(tun_ScribeShare,G576)*tun_OutScribe*INDEX(LM_Scribe,G576)+INDEX(tun_ScholarShare,G576)*tun_OutScholar*INDEX(LM_Scholar,G576)+INDEX(tun_ResearcherShare,G576)*tun_OutResearcher*INDEX(LM_Researcher,G576)))</x:f>
        <x:v>51145.28904672424</x:v>
      </x:c>
      <x:c r="AL576" s="32" t="n">
        <x:f>H576*tun_RoleScale*Arch_Roles*AE576*INDEX(tun_MonasteryPerSett,G576)*tun_OutMonastery*INDEX(LM_Monastery,G576)</x:f>
        <x:v>31.680000000000003</x:v>
      </x:c>
      <x:c r="AM576" s="32" t="n">
        <x:f>(AJ576+AK576+AL576)/4*INDEX(LM_All,G576)*INDEX(tun_Boon,G576)*Arch_Insight</x:f>
        <x:v>172478.1053292236</x:v>
      </x:c>
      <x:c r="AN576" s="32" t="n">
        <x:f>H576*(tun_KHPerAdult*Z576+tun_KHOfCommons*AJ576/4*INDEX(LM_All,G576))*tun_KHUsable*Arch_KH</x:f>
        <x:v>27267.955652062166</x:v>
      </x:c>
      <x:c r="AO576" s="32" t="n">
        <x:f>MIN(AP575+AN576,AM576*tun_KHMaxRatio)</x:f>
        <x:v>27267.955652062166</x:v>
      </x:c>
      <x:c r="AP576" s="32" t="n">
        <x:f>AP575+AN576-AO576</x:f>
        <x:v>0</x:v>
      </x:c>
      <x:c r="AQ576" s="32" t="n">
        <x:f>AM576+AO576</x:f>
        <x:v>199746.06098128576</x:v>
      </x:c>
      <x:c r="AR576" s="10" t="n">
        <x:f>IF(H576=1,INDEX(tun_Req,G576),0)</x:f>
        <x:v>24497531.045680594</x:v>
      </x:c>
      <x:c r="AS576" s="32" t="n">
        <x:f>IF(H576=1,IF(E576=1,AS575-AR575,AS575)+AQ576,0)</x:f>
        <x:v>12516117.68174446</x:v>
      </x:c>
      <x:c r="AT576" s="11" t="n">
        <x:f>IF(AR576&gt;0,MIN(1,AS576/AR576),1)</x:f>
        <x:v>0.510913432802907</x:v>
      </x:c>
      <x:c r="AU576" s="10" t="n">
        <x:f>AB576/INDEX(tun_RepScale,G576)</x:f>
        <x:v>223.29208042049746</x:v>
      </x:c>
      <x:c r="AV576" s="32" t="n">
        <x:f>AM576*60/tun_SeasonSeconds</x:f>
        <x:v>689912.4213168944</x:v>
      </x:c>
    </x:row>
    <x:row r="577">
      <x:c r="A577" s="8" t="n">
        <x:f>A576+1</x:f>
        <x:v>574</x:v>
      </x:c>
      <x:c r="B577" s="9" t="n">
        <x:f>A577*tun_SeasonSeconds/60</x:f>
        <x:v>143.5</x:v>
      </x:c>
      <x:c r="C577" s="9" t="n">
        <x:f>A577/4</x:f>
        <x:v>143.5</x:v>
      </x:c>
      <x:c r="D577" s="8" t="n">
        <x:f>IF(MOD(A577,4)=0,1,0)</x:f>
        <x:v>0</x:v>
      </x:c>
      <x:c r="E577" s="8" t="n">
        <x:f>IF(AND(F576&lt;=9,AS576&gt;=AR576),1,0)</x:f>
        <x:v>0</x:v>
      </x:c>
      <x:c r="F577" s="8" t="n">
        <x:f>MIN(10,F576+E577)</x:f>
        <x:v>8</x:v>
      </x:c>
      <x:c r="G577" s="8" t="n">
        <x:f>MIN(F577,9)+1</x:f>
        <x:v>9</x:v>
      </x:c>
      <x:c r="H577" s="8" t="n">
        <x:f>IF(F577&lt;=9,1,0)</x:f>
        <x:v>1</x:v>
      </x:c>
      <x:c r="I577" s="9" t="n">
        <x:f>MIN(10,F576+IF(AR576&gt;0,MIN(1,AS576/AR576),1))</x:f>
        <x:v>8.510913432802907</x:v>
      </x:c>
      <x:c r="J577" s="32" t="n">
        <x:f>INDEX(tun_FoodCap,G577)*Arch_FoodCap*EXP(tun_CapsByProject*SUMPRODUCT((Cap_Point&lt;=I577)*(Cap_Kind="Food")*Cap_Ln))</x:f>
        <x:v>7847.747209225527</x:v>
      </x:c>
      <x:c r="K577" s="32" t="n">
        <x:f>J577*MIN(1,tun_LeanBase*EXP(tun_CapsByProject*SUMPRODUCT((Cap_Point&lt;=I577)*(Cap_Kind="Lean")*Cap_Ln)))</x:f>
        <x:v>7847.747209225527</x:v>
      </x:c>
      <x:c r="L577" s="10" t="n">
        <x:f>INDEX(tun_HousingCap,G577)*EXP(tun_CapsByProject*SUMPRODUCT((Cap_Point&lt;=I577)*(Cap_Kind="Housing")*Cap_Ln))</x:f>
        <x:v>10692.026039199893</x:v>
      </x:c>
      <x:c r="M577" s="10" t="n">
        <x:f>INDEX(tun_GroupCap,G577)*tun_CohesionFactor*EXP(tun_CapsByProject*SUMPRODUCT((Cap_Point&lt;=I577)*(Cap_Kind="Group")*Cap_Ln))</x:f>
        <x:v>1000000.000000001</x:v>
      </x:c>
      <x:c r="N577" s="32" t="n">
        <x:f>MIN(J577,L577,M577)</x:f>
        <x:v>7847.747209225527</x:v>
      </x:c>
      <x:c r="O577" s="10" t="n">
        <x:f>AE576*N577</x:f>
        <x:v>70629.72488302973</x:v>
      </x:c>
      <x:c r="P577" s="9" t="n">
        <x:f>MIN(1,(AB576/(AE576*IF(tun_GroupInCrowding=1,N577,MIN(J577,L577))))^tun_CrowdingExp)</x:f>
        <x:v>0.243755758842115</x:v>
      </x:c>
      <x:c r="Q577" s="9" t="n">
        <x:f>IF(D577=1,INDEX(tun_WinterMult,G577),1)</x:f>
        <x:v>1</x:v>
      </x:c>
      <x:c r="R577" s="9" t="n">
        <x:f>H577*Z576*tun_WomenShare*tun_BaseFertility*INDEX(tun_FertMult,G577)*Arch_Fertility*(1-P577)</x:f>
        <x:v>666.1056991618215</x:v>
      </x:c>
      <x:c r="S577" s="9" t="n">
        <x:f>H577*Y576*INDEX(tun_MortChild,G577)/4*Q577</x:f>
        <x:v>21.71084094201796</x:v>
      </x:c>
      <x:c r="T577" s="9" t="n">
        <x:f>H577*Z576*INDEX(tun_MortAdult,G577)*Arch_AdultMort/4*Q577</x:f>
        <x:v>18.478481787266677</x:v>
      </x:c>
      <x:c r="U577" s="9" t="n">
        <x:f>H577*AA576*INDEX(tun_MortElder,G577)/4*Q577</x:f>
        <x:v>98.06378263254418</x:v>
      </x:c>
      <x:c r="V577" s="9" t="n">
        <x:f>H577*MAX(0,AB576-O577)*tun_OvercapLoss</x:f>
        <x:v>0</x:v>
      </x:c>
      <x:c r="W577" s="9" t="n">
        <x:f>H577*Y576/(tun_ChildYears*4)</x:f>
        <x:v>344.616522889174</x:v>
      </x:c>
      <x:c r="X577" s="9" t="n">
        <x:f>H577*Z576/(tun_AdultYears*4)</x:f>
        <x:v>198.6933525512546</x:v>
      </x:c>
      <x:c r="Y577" s="32" t="n">
        <x:f>Y576+R577-S577-W577-Y576*V577/AB576</x:f>
        <x:v>19598.303617124373</x:v>
      </x:c>
      <x:c r="Z577" s="32" t="n">
        <x:f>Z576+W577-X577-T577-Z576*V577/AB576</x:f>
        <x:v>24765.42040490622</x:v>
      </x:c>
      <x:c r="AA577" s="32" t="n">
        <x:f>AA576+X577-U577-AA576*V577/AB576</x:f>
        <x:v>11987.148676893761</x:v>
      </x:c>
      <x:c r="AB577" s="10" t="n">
        <x:f>Y577+Z577+AA577</x:f>
        <x:v>56350.87269892436</x:v>
      </x:c>
      <x:c r="AC577" s="8" t="n">
        <x:f>IF(AND(tun_WinterTrigger=1,D577=1,AB576/AE576&gt;=K577),1,0)</x:f>
        <x:v>0</x:v>
      </x:c>
      <x:c r="AD577" s="8" t="n">
        <x:f>H577*IF(AND(OR(AB576/AE576&gt;=tun_FissionTrigger*N577,AC577=1),AB576/AE576*tun_DaughterShare&gt;=tun_MinDaughter),MAX(1,ROUND(AE576*tun_FissionRate,0)),0)</x:f>
        <x:v>0</x:v>
      </x:c>
      <x:c r="AE577" s="8" t="n">
        <x:f>IF(H577=1,MAX(1,MIN(INDEX(tun_Smax,G577),AE576+AD577)),AE576)</x:f>
        <x:v>9</x:v>
      </x:c>
      <x:c r="AF577" s="8" t="n">
        <x:f>MAX(0,AE577-AE576)</x:f>
        <x:v>0</x:v>
      </x:c>
      <x:c r="AG577" s="9" t="str">
        <x:f>IF(AF577&gt;0,B577,"")</x:f>
      </x:c>
      <x:c r="AH577" s="9" t="n">
        <x:f>IF(F577&gt;=1,1,(1+tun_LowTiesShare*(AE577-1))/AE577)</x:f>
        <x:v>1</x:v>
      </x:c>
      <x:c r="AI577" s="32" t="n">
        <x:f>(Z577+tun_ElderCommons*INDEX(LM_Elder,G577)*AA577)*AH577</x:f>
        <x:v>69717.22794325782</x:v>
      </x:c>
      <x:c r="AJ577" s="32" t="n">
        <x:f>H577*tun_CommonsCoef*AI577^tun_CommonsExp*INDEX(LM_Commons,G577)</x:f>
        <x:v>189378.7402272087</x:v>
      </x:c>
      <x:c r="AK577" s="32" t="n">
        <x:f>H577*tun_RoleScale*Arch_Roles*(AE577*(INDEX(tun_ElderRolePerSett,G577)*tun_OutElder*INDEX(LM_Elder,G577)+INDEX(tun_ShamanPerSett,G577)*tun_OutShaman)+Z577*(INDEX(tun_PriestShare,G577)*tun_OutPriest+INDEX(tun_ScribeShare,G577)*tun_OutScribe*INDEX(LM_Scribe,G577)+INDEX(tun_ScholarShare,G577)*tun_OutScholar*INDEX(LM_Scholar,G577)+INDEX(tun_ResearcherShare,G577)*tun_OutResearcher*INDEX(LM_Researcher,G577)))</x:f>
        <x:v>51408.5909692831</x:v>
      </x:c>
      <x:c r="AL577" s="32" t="n">
        <x:f>H577*tun_RoleScale*Arch_Roles*AE577*INDEX(tun_MonasteryPerSett,G577)*tun_OutMonastery*INDEX(LM_Monastery,G577)</x:f>
        <x:v>31.680000000000003</x:v>
      </x:c>
      <x:c r="AM577" s="32" t="n">
        <x:f>(AJ577+AK577+AL577)/4*INDEX(LM_All,G577)*INDEX(tun_Boon,G577)*Arch_Insight</x:f>
        <x:v>173508.0446034769</x:v>
      </x:c>
      <x:c r="AN577" s="32" t="n">
        <x:f>H577*(tun_KHPerAdult*Z577+tun_KHOfCommons*AJ577/4*INDEX(LM_All,G577))*tun_KHUsable*Arch_KH</x:f>
        <x:v>27436.91204483003</x:v>
      </x:c>
      <x:c r="AO577" s="32" t="n">
        <x:f>MIN(AP576+AN577,AM577*tun_KHMaxRatio)</x:f>
        <x:v>27436.91204483003</x:v>
      </x:c>
      <x:c r="AP577" s="32" t="n">
        <x:f>AP576+AN577-AO577</x:f>
        <x:v>0</x:v>
      </x:c>
      <x:c r="AQ577" s="32" t="n">
        <x:f>AM577+AO577</x:f>
        <x:v>200944.95664830695</x:v>
      </x:c>
      <x:c r="AR577" s="10" t="n">
        <x:f>IF(H577=1,INDEX(tun_Req,G577),0)</x:f>
        <x:v>24497531.045680594</x:v>
      </x:c>
      <x:c r="AS577" s="32" t="n">
        <x:f>IF(H577=1,IF(E577=1,AS576-AR576,AS576)+AQ577,0)</x:f>
        <x:v>12717062.638392767</x:v>
      </x:c>
      <x:c r="AT577" s="11" t="n">
        <x:f>IF(AR577&gt;0,MIN(1,AS577/AR577),1)</x:f>
        <x:v>0.5191160943802555</x:v>
      </x:c>
      <x:c r="AU577" s="10" t="n">
        <x:f>AB577/INDEX(tun_RepScale,G577)</x:f>
        <x:v>225.40349079569742</x:v>
      </x:c>
      <x:c r="AV577" s="32" t="n">
        <x:f>AM577*60/tun_SeasonSeconds</x:f>
        <x:v>694032.1784139076</x:v>
      </x:c>
    </x:row>
    <x:row r="578">
      <x:c r="A578" s="8" t="n">
        <x:f>A577+1</x:f>
        <x:v>575</x:v>
      </x:c>
      <x:c r="B578" s="9" t="n">
        <x:f>A578*tun_SeasonSeconds/60</x:f>
        <x:v>143.75</x:v>
      </x:c>
      <x:c r="C578" s="9" t="n">
        <x:f>A578/4</x:f>
        <x:v>143.75</x:v>
      </x:c>
      <x:c r="D578" s="8" t="n">
        <x:f>IF(MOD(A578,4)=0,1,0)</x:f>
        <x:v>0</x:v>
      </x:c>
      <x:c r="E578" s="8" t="n">
        <x:f>IF(AND(F577&lt;=9,AS577&gt;=AR577),1,0)</x:f>
        <x:v>0</x:v>
      </x:c>
      <x:c r="F578" s="8" t="n">
        <x:f>MIN(10,F577+E578)</x:f>
        <x:v>8</x:v>
      </x:c>
      <x:c r="G578" s="8" t="n">
        <x:f>MIN(F578,9)+1</x:f>
        <x:v>9</x:v>
      </x:c>
      <x:c r="H578" s="8" t="n">
        <x:f>IF(F578&lt;=9,1,0)</x:f>
        <x:v>1</x:v>
      </x:c>
      <x:c r="I578" s="9" t="n">
        <x:f>MIN(10,F577+IF(AR577&gt;0,MIN(1,AS577/AR577),1))</x:f>
        <x:v>8.519116094380255</x:v>
      </x:c>
      <x:c r="J578" s="32" t="n">
        <x:f>INDEX(tun_FoodCap,G578)*Arch_FoodCap*EXP(tun_CapsByProject*SUMPRODUCT((Cap_Point&lt;=I578)*(Cap_Kind="Food")*Cap_Ln))</x:f>
        <x:v>7847.747209225527</x:v>
      </x:c>
      <x:c r="K578" s="32" t="n">
        <x:f>J578*MIN(1,tun_LeanBase*EXP(tun_CapsByProject*SUMPRODUCT((Cap_Point&lt;=I578)*(Cap_Kind="Lean")*Cap_Ln)))</x:f>
        <x:v>7847.747209225527</x:v>
      </x:c>
      <x:c r="L578" s="10" t="n">
        <x:f>INDEX(tun_HousingCap,G578)*EXP(tun_CapsByProject*SUMPRODUCT((Cap_Point&lt;=I578)*(Cap_Kind="Housing")*Cap_Ln))</x:f>
        <x:v>10692.026039199893</x:v>
      </x:c>
      <x:c r="M578" s="10" t="n">
        <x:f>INDEX(tun_GroupCap,G578)*tun_CohesionFactor*EXP(tun_CapsByProject*SUMPRODUCT((Cap_Point&lt;=I578)*(Cap_Kind="Group")*Cap_Ln))</x:f>
        <x:v>1000000.000000001</x:v>
      </x:c>
      <x:c r="N578" s="32" t="n">
        <x:f>MIN(J578,L578,M578)</x:f>
        <x:v>7847.747209225527</x:v>
      </x:c>
      <x:c r="O578" s="10" t="n">
        <x:f>AE577*N578</x:f>
        <x:v>70629.72488302973</x:v>
      </x:c>
      <x:c r="P578" s="9" t="n">
        <x:f>MIN(1,(AB577/(AE577*IF(tun_GroupInCrowding=1,N578,MIN(J578,L578))))^tun_CrowdingExp)</x:f>
        <x:v>0.25791630021146705</x:v>
      </x:c>
      <x:c r="Q578" s="9" t="n">
        <x:f>IF(D578=1,INDEX(tun_WinterMult,G578),1)</x:f>
        <x:v>1</x:v>
      </x:c>
      <x:c r="R578" s="9" t="n">
        <x:f>H578*Z577*tun_WomenShare*tun_BaseFertility*INDEX(tun_FertMult,G578)*Arch_Fertility*(1-P578)</x:f>
        <x:v>657.0140291318618</x:v>
      </x:c>
      <x:c r="S578" s="9" t="n">
        <x:f>H578*Y577*INDEX(tun_MortChild,G578)/4*Q578</x:f>
        <x:v>22.04809156926492</x:v>
      </x:c>
      <x:c r="T578" s="9" t="n">
        <x:f>H578*Z577*INDEX(tun_MortAdult,G578)*Arch_AdultMort/4*Q578</x:f>
        <x:v>18.574065303679667</x:v>
      </x:c>
      <x:c r="U578" s="9" t="n">
        <x:f>H578*AA577*INDEX(tun_MortElder,G578)/4*Q578</x:f>
        <x:v>98.89397658437353</x:v>
      </x:c>
      <x:c r="V578" s="9" t="n">
        <x:f>H578*MAX(0,AB577-O578)*tun_OvercapLoss</x:f>
        <x:v>0</x:v>
      </x:c>
      <x:c r="W578" s="9" t="n">
        <x:f>H578*Y577/(tun_ChildYears*4)</x:f>
        <x:v>349.9697074486495</x:v>
      </x:c>
      <x:c r="X578" s="9" t="n">
        <x:f>H578*Z577/(tun_AdultYears*4)</x:f>
        <x:v>199.72113229763082</x:v>
      </x:c>
      <x:c r="Y578" s="32" t="n">
        <x:f>Y577+R578-S578-W578-Y577*V578/AB577</x:f>
        <x:v>19883.29984723832</x:v>
      </x:c>
      <x:c r="Z578" s="32" t="n">
        <x:f>Z577+W578-X578-T578-Z577*V578/AB577</x:f>
        <x:v>24897.09491475356</x:v>
      </x:c>
      <x:c r="AA578" s="32" t="n">
        <x:f>AA577+X578-U578-AA577*V578/AB577</x:f>
        <x:v>12087.975832607019</x:v>
      </x:c>
      <x:c r="AB578" s="10" t="n">
        <x:f>Y578+Z578+AA578</x:f>
        <x:v>56868.37059459889</x:v>
      </x:c>
      <x:c r="AC578" s="8" t="n">
        <x:f>IF(AND(tun_WinterTrigger=1,D578=1,AB577/AE577&gt;=K578),1,0)</x:f>
        <x:v>0</x:v>
      </x:c>
      <x:c r="AD578" s="8" t="n">
        <x:f>H578*IF(AND(OR(AB577/AE577&gt;=tun_FissionTrigger*N578,AC578=1),AB577/AE577*tun_DaughterShare&gt;=tun_MinDaughter),MAX(1,ROUND(AE577*tun_FissionRate,0)),0)</x:f>
        <x:v>0</x:v>
      </x:c>
      <x:c r="AE578" s="8" t="n">
        <x:f>IF(H578=1,MAX(1,MIN(INDEX(tun_Smax,G578),AE577+AD578)),AE577)</x:f>
        <x:v>9</x:v>
      </x:c>
      <x:c r="AF578" s="8" t="n">
        <x:f>MAX(0,AE578-AE577)</x:f>
        <x:v>0</x:v>
      </x:c>
      <x:c r="AG578" s="9" t="str">
        <x:f>IF(AF578&gt;0,B578,"")</x:f>
      </x:c>
      <x:c r="AH578" s="9" t="n">
        <x:f>IF(F578&gt;=1,1,(1+tun_LowTiesShare*(AE578-1))/AE578)</x:f>
        <x:v>1</x:v>
      </x:c>
      <x:c r="AI578" s="32" t="n">
        <x:f>(Z578+tun_ElderCommons*INDEX(LM_Elder,G578)*AA578)*AH578</x:f>
        <x:v>70227.00428702988</x:v>
      </x:c>
      <x:c r="AJ578" s="32" t="n">
        <x:f>H578*tun_CommonsCoef*AI578^tun_CommonsExp*INDEX(LM_Commons,G578)</x:f>
        <x:v>190555.13245762634</x:v>
      </x:c>
      <x:c r="AK578" s="32" t="n">
        <x:f>H578*tun_RoleScale*Arch_Roles*(AE578*(INDEX(tun_ElderRolePerSett,G578)*tun_OutElder*INDEX(LM_Elder,G578)+INDEX(tun_ShamanPerSett,G578)*tun_OutShaman)+Z578*(INDEX(tun_PriestShare,G578)*tun_OutPriest+INDEX(tun_ScribeShare,G578)*tun_OutScribe*INDEX(LM_Scribe,G578)+INDEX(tun_ScholarShare,G578)*tun_OutScholar*INDEX(LM_Scholar,G578)+INDEX(tun_ResearcherShare,G578)*tun_OutResearcher*INDEX(LM_Researcher,G578)))</x:f>
        <x:v>51680.631742335965</x:v>
      </x:c>
      <x:c r="AL578" s="32" t="n">
        <x:f>H578*tun_RoleScale*Arch_Roles*AE578*INDEX(tun_MonasteryPerSett,G578)*tun_OutMonastery*INDEX(LM_Monastery,G578)</x:f>
        <x:v>31.680000000000003</x:v>
      </x:c>
      <x:c r="AM578" s="32" t="n">
        <x:f>(AJ578+AK578+AL578)/4*INDEX(LM_All,G578)*INDEX(tun_Boon,G578)*Arch_Insight</x:f>
        <x:v>174551.62823469721</x:v>
      </x:c>
      <x:c r="AN578" s="32" t="n">
        <x:f>H578*(tun_KHPerAdult*Z578+tun_KHOfCommons*AJ578/4*INDEX(LM_All,G578))*tun_KHUsable*Arch_KH</x:f>
        <x:v>27607.346012853406</x:v>
      </x:c>
      <x:c r="AO578" s="32" t="n">
        <x:f>MIN(AP577+AN578,AM578*tun_KHMaxRatio)</x:f>
        <x:v>27607.346012853406</x:v>
      </x:c>
      <x:c r="AP578" s="32" t="n">
        <x:f>AP577+AN578-AO578</x:f>
        <x:v>0</x:v>
      </x:c>
      <x:c r="AQ578" s="32" t="n">
        <x:f>AM578+AO578</x:f>
        <x:v>202158.97424755062</x:v>
      </x:c>
      <x:c r="AR578" s="10" t="n">
        <x:f>IF(H578=1,INDEX(tun_Req,G578),0)</x:f>
        <x:v>24497531.045680594</x:v>
      </x:c>
      <x:c r="AS578" s="32" t="n">
        <x:f>IF(H578=1,IF(E578=1,AS577-AR577,AS577)+AQ578,0)</x:f>
        <x:v>12919221.612640318</x:v>
      </x:c>
      <x:c r="AT578" s="11" t="n">
        <x:f>IF(AR578&gt;0,MIN(1,AS578/AR578),1)</x:f>
        <x:v>0.5273683126903613</x:v>
      </x:c>
      <x:c r="AU578" s="10" t="n">
        <x:f>AB578/INDEX(tun_RepScale,G578)</x:f>
        <x:v>227.47348237839557</x:v>
      </x:c>
      <x:c r="AV578" s="32" t="n">
        <x:f>AM578*60/tun_SeasonSeconds</x:f>
        <x:v>698206.5129387889</x:v>
      </x:c>
    </x:row>
    <x:row r="579">
      <x:c r="A579" s="8" t="n">
        <x:f>A578+1</x:f>
        <x:v>576</x:v>
      </x:c>
      <x:c r="B579" s="9" t="n">
        <x:f>A579*tun_SeasonSeconds/60</x:f>
        <x:v>144</x:v>
      </x:c>
      <x:c r="C579" s="9" t="n">
        <x:f>A579/4</x:f>
        <x:v>144</x:v>
      </x:c>
      <x:c r="D579" s="8" t="n">
        <x:f>IF(MOD(A579,4)=0,1,0)</x:f>
        <x:v>1</x:v>
      </x:c>
      <x:c r="E579" s="8" t="n">
        <x:f>IF(AND(F578&lt;=9,AS578&gt;=AR578),1,0)</x:f>
        <x:v>0</x:v>
      </x:c>
      <x:c r="F579" s="8" t="n">
        <x:f>MIN(10,F578+E579)</x:f>
        <x:v>8</x:v>
      </x:c>
      <x:c r="G579" s="8" t="n">
        <x:f>MIN(F579,9)+1</x:f>
        <x:v>9</x:v>
      </x:c>
      <x:c r="H579" s="8" t="n">
        <x:f>IF(F579&lt;=9,1,0)</x:f>
        <x:v>1</x:v>
      </x:c>
      <x:c r="I579" s="9" t="n">
        <x:f>MIN(10,F578+IF(AR578&gt;0,MIN(1,AS578/AR578),1))</x:f>
        <x:v>8.527368312690362</x:v>
      </x:c>
      <x:c r="J579" s="32" t="n">
        <x:f>INDEX(tun_FoodCap,G579)*Arch_FoodCap*EXP(tun_CapsByProject*SUMPRODUCT((Cap_Point&lt;=I579)*(Cap_Kind="Food")*Cap_Ln))</x:f>
        <x:v>7847.747209225527</x:v>
      </x:c>
      <x:c r="K579" s="32" t="n">
        <x:f>J579*MIN(1,tun_LeanBase*EXP(tun_CapsByProject*SUMPRODUCT((Cap_Point&lt;=I579)*(Cap_Kind="Lean")*Cap_Ln)))</x:f>
        <x:v>7847.747209225527</x:v>
      </x:c>
      <x:c r="L579" s="10" t="n">
        <x:f>INDEX(tun_HousingCap,G579)*EXP(tun_CapsByProject*SUMPRODUCT((Cap_Point&lt;=I579)*(Cap_Kind="Housing")*Cap_Ln))</x:f>
        <x:v>10692.026039199893</x:v>
      </x:c>
      <x:c r="M579" s="10" t="n">
        <x:f>INDEX(tun_GroupCap,G579)*tun_CohesionFactor*EXP(tun_CapsByProject*SUMPRODUCT((Cap_Point&lt;=I579)*(Cap_Kind="Group")*Cap_Ln))</x:f>
        <x:v>1000000.000000001</x:v>
      </x:c>
      <x:c r="N579" s="32" t="n">
        <x:f>MIN(J579,L579,M579)</x:f>
        <x:v>7847.747209225527</x:v>
      </x:c>
      <x:c r="O579" s="10" t="n">
        <x:f>AE578*N579</x:f>
        <x:v>70629.72488302973</x:v>
      </x:c>
      <x:c r="P579" s="9" t="n">
        <x:f>MIN(1,(AB578/(AE578*IF(tun_GroupInCrowding=1,N579,MIN(J579,L579))))^tun_CrowdingExp)</x:f>
        <x:v>0.2724580361968472</x:v>
      </x:c>
      <x:c r="Q579" s="9" t="n">
        <x:f>IF(D579=1,INDEX(tun_WinterMult,G579),1)</x:f>
        <x:v>1.05</x:v>
      </x:c>
      <x:c r="R579" s="9" t="n">
        <x:f>H579*Z578*tun_WomenShare*tun_BaseFertility*INDEX(tun_FertMult,G579)*Arch_Fertility*(1-P579)</x:f>
        <x:v>647.5641074500204</x:v>
      </x:c>
      <x:c r="S579" s="9" t="n">
        <x:f>H579*Y578*INDEX(tun_MortChild,G579)/4*Q579</x:f>
        <x:v>23.487147944550266</x:v>
      </x:c>
      <x:c r="T579" s="9" t="n">
        <x:f>H579*Z578*INDEX(tun_MortAdult,G579)*Arch_AdultMort/4*Q579</x:f>
        <x:v>19.60646224536843</x:v>
      </x:c>
      <x:c r="U579" s="9" t="n">
        <x:f>H579*AA578*INDEX(tun_MortElder,G579)/4*Q579</x:f>
        <x:v>104.71209064995831</x:v>
      </x:c>
      <x:c r="V579" s="9" t="n">
        <x:f>H579*MAX(0,AB578-O579)*tun_OvercapLoss</x:f>
        <x:v>0</x:v>
      </x:c>
      <x:c r="W579" s="9" t="n">
        <x:f>H579*Y578/(tun_ChildYears*4)</x:f>
        <x:v>355.05892584354143</x:v>
      </x:c>
      <x:c r="X579" s="9" t="n">
        <x:f>H579*Z578/(tun_AdultYears*4)</x:f>
        <x:v>200.78302350607711</x:v>
      </x:c>
      <x:c r="Y579" s="32" t="n">
        <x:f>Y578+R579-S579-W579-Y578*V579/AB578</x:f>
        <x:v>20152.317880900246</x:v>
      </x:c>
      <x:c r="Z579" s="32" t="n">
        <x:f>Z578+W579-X579-T579-Z578*V579/AB578</x:f>
        <x:v>25031.76435484566</x:v>
      </x:c>
      <x:c r="AA579" s="32" t="n">
        <x:f>AA578+X579-U579-AA578*V579/AB578</x:f>
        <x:v>12184.046765463137</x:v>
      </x:c>
      <x:c r="AB579" s="10" t="n">
        <x:f>Y579+Z579+AA579</x:f>
        <x:v>57368.12900120905</x:v>
      </x:c>
      <x:c r="AC579" s="8" t="n">
        <x:f>IF(AND(tun_WinterTrigger=1,D579=1,AB578/AE578&gt;=K579),1,0)</x:f>
        <x:v>0</x:v>
      </x:c>
      <x:c r="AD579" s="8" t="n">
        <x:f>H579*IF(AND(OR(AB578/AE578&gt;=tun_FissionTrigger*N579,AC579=1),AB578/AE578*tun_DaughterShare&gt;=tun_MinDaughter),MAX(1,ROUND(AE578*tun_FissionRate,0)),0)</x:f>
        <x:v>0</x:v>
      </x:c>
      <x:c r="AE579" s="8" t="n">
        <x:f>IF(H579=1,MAX(1,MIN(INDEX(tun_Smax,G579),AE578+AD579)),AE578)</x:f>
        <x:v>9</x:v>
      </x:c>
      <x:c r="AF579" s="8" t="n">
        <x:f>MAX(0,AE579-AE578)</x:f>
        <x:v>0</x:v>
      </x:c>
      <x:c r="AG579" s="9" t="str">
        <x:f>IF(AF579&gt;0,B579,"")</x:f>
      </x:c>
      <x:c r="AH579" s="9" t="n">
        <x:f>IF(F579&gt;=1,1,(1+tun_LowTiesShare*(AE579-1))/AE579)</x:f>
        <x:v>1</x:v>
      </x:c>
      <x:c r="AI579" s="32" t="n">
        <x:f>(Z579+tun_ElderCommons*INDEX(LM_Elder,G579)*AA579)*AH579</x:f>
        <x:v>70721.93972533243</x:v>
      </x:c>
      <x:c r="AJ579" s="32" t="n">
        <x:f>H579*tun_CommonsCoef*AI579^tun_CommonsExp*INDEX(LM_Commons,G579)</x:f>
        <x:v>191696.05191180902</x:v>
      </x:c>
      <x:c r="AK579" s="32" t="n">
        <x:f>H579*tun_RoleScale*Arch_Roles*(AE579*(INDEX(tun_ElderRolePerSett,G579)*tun_OutElder*INDEX(LM_Elder,G579)+INDEX(tun_ShamanPerSett,G579)*tun_OutShaman)+Z579*(INDEX(tun_PriestShare,G579)*tun_OutPriest+INDEX(tun_ScribeShare,G579)*tun_OutScribe*INDEX(LM_Scribe,G579)+INDEX(tun_ScholarShare,G579)*tun_OutScholar*INDEX(LM_Scholar,G579)+INDEX(tun_ResearcherShare,G579)*tun_OutResearcher*INDEX(LM_Researcher,G579)))</x:f>
        <x:v>51958.86006938063</x:v>
      </x:c>
      <x:c r="AL579" s="32" t="n">
        <x:f>H579*tun_RoleScale*Arch_Roles*AE579*INDEX(tun_MonasteryPerSett,G579)*tun_OutMonastery*INDEX(LM_Monastery,G579)</x:f>
        <x:v>31.680000000000003</x:v>
      </x:c>
      <x:c r="AM579" s="32" t="n">
        <x:f>(AJ579+AK579+AL579)/4*INDEX(LM_All,G579)*INDEX(tun_Boon,G579)*Arch_Insight</x:f>
        <x:v>175574.11211294556</x:v>
      </x:c>
      <x:c r="AN579" s="32" t="n">
        <x:f>H579*(tun_KHPerAdult*Z579+tun_KHOfCommons*AJ579/4*INDEX(LM_All,G579))*tun_KHUsable*Arch_KH</x:f>
        <x:v>27772.640737472913</x:v>
      </x:c>
      <x:c r="AO579" s="32" t="n">
        <x:f>MIN(AP578+AN579,AM579*tun_KHMaxRatio)</x:f>
        <x:v>27772.640737472913</x:v>
      </x:c>
      <x:c r="AP579" s="32" t="n">
        <x:f>AP578+AN579-AO579</x:f>
        <x:v>0</x:v>
      </x:c>
      <x:c r="AQ579" s="32" t="n">
        <x:f>AM579+AO579</x:f>
        <x:v>203346.75285041847</x:v>
      </x:c>
      <x:c r="AR579" s="10" t="n">
        <x:f>IF(H579=1,INDEX(tun_Req,G579),0)</x:f>
        <x:v>24497531.045680594</x:v>
      </x:c>
      <x:c r="AS579" s="32" t="n">
        <x:f>IF(H579=1,IF(E579=1,AS578-AR578,AS578)+AQ579,0)</x:f>
        <x:v>13122568.365490736</x:v>
      </x:c>
      <x:c r="AT579" s="11" t="n">
        <x:f>IF(AR579&gt;0,MIN(1,AS579/AR579),1)</x:f>
        <x:v>0.5356690166458431</x:v>
      </x:c>
      <x:c r="AU579" s="10" t="n">
        <x:f>AB579/INDEX(tun_RepScale,G579)</x:f>
        <x:v>229.4725160048362</x:v>
      </x:c>
      <x:c r="AV579" s="32" t="n">
        <x:f>AM579*60/tun_SeasonSeconds</x:f>
        <x:v>702296.4484517822</x:v>
      </x:c>
    </x:row>
    <x:row r="580">
      <x:c r="A580" s="8" t="n">
        <x:f>A579+1</x:f>
        <x:v>577</x:v>
      </x:c>
      <x:c r="B580" s="9" t="n">
        <x:f>A580*tun_SeasonSeconds/60</x:f>
        <x:v>144.25</x:v>
      </x:c>
      <x:c r="C580" s="9" t="n">
        <x:f>A580/4</x:f>
        <x:v>144.25</x:v>
      </x:c>
      <x:c r="D580" s="8" t="n">
        <x:f>IF(MOD(A580,4)=0,1,0)</x:f>
        <x:v>0</x:v>
      </x:c>
      <x:c r="E580" s="8" t="n">
        <x:f>IF(AND(F579&lt;=9,AS579&gt;=AR579),1,0)</x:f>
        <x:v>0</x:v>
      </x:c>
      <x:c r="F580" s="8" t="n">
        <x:f>MIN(10,F579+E580)</x:f>
        <x:v>8</x:v>
      </x:c>
      <x:c r="G580" s="8" t="n">
        <x:f>MIN(F580,9)+1</x:f>
        <x:v>9</x:v>
      </x:c>
      <x:c r="H580" s="8" t="n">
        <x:f>IF(F580&lt;=9,1,0)</x:f>
        <x:v>1</x:v>
      </x:c>
      <x:c r="I580" s="9" t="n">
        <x:f>MIN(10,F579+IF(AR579&gt;0,MIN(1,AS579/AR579),1))</x:f>
        <x:v>8.535669016645842</x:v>
      </x:c>
      <x:c r="J580" s="32" t="n">
        <x:f>INDEX(tun_FoodCap,G580)*Arch_FoodCap*EXP(tun_CapsByProject*SUMPRODUCT((Cap_Point&lt;=I580)*(Cap_Kind="Food")*Cap_Ln))</x:f>
        <x:v>7847.747209225527</x:v>
      </x:c>
      <x:c r="K580" s="32" t="n">
        <x:f>J580*MIN(1,tun_LeanBase*EXP(tun_CapsByProject*SUMPRODUCT((Cap_Point&lt;=I580)*(Cap_Kind="Lean")*Cap_Ln)))</x:f>
        <x:v>7847.747209225527</x:v>
      </x:c>
      <x:c r="L580" s="10" t="n">
        <x:f>INDEX(tun_HousingCap,G580)*EXP(tun_CapsByProject*SUMPRODUCT((Cap_Point&lt;=I580)*(Cap_Kind="Housing")*Cap_Ln))</x:f>
        <x:v>10692.026039199893</x:v>
      </x:c>
      <x:c r="M580" s="10" t="n">
        <x:f>INDEX(tun_GroupCap,G580)*tun_CohesionFactor*EXP(tun_CapsByProject*SUMPRODUCT((Cap_Point&lt;=I580)*(Cap_Kind="Group")*Cap_Ln))</x:f>
        <x:v>1000000.000000001</x:v>
      </x:c>
      <x:c r="N580" s="32" t="n">
        <x:f>MIN(J580,L580,M580)</x:f>
        <x:v>7847.747209225527</x:v>
      </x:c>
      <x:c r="O580" s="10" t="n">
        <x:f>AE579*N580</x:f>
        <x:v>70629.72488302973</x:v>
      </x:c>
      <x:c r="P580" s="9" t="n">
        <x:f>MIN(1,(AB579/(AE579*IF(tun_GroupInCrowding=1,N580,MIN(J580,L580))))^tun_CrowdingExp)</x:f>
        <x:v>0.2871435259149969</x:v>
      </x:c>
      <x:c r="Q580" s="9" t="n">
        <x:f>IF(D580=1,INDEX(tun_WinterMult,G580),1)</x:f>
        <x:v>1</x:v>
      </x:c>
      <x:c r="R580" s="9" t="n">
        <x:f>H580*Z579*tun_WomenShare*tun_BaseFertility*INDEX(tun_FertMult,G580)*Arch_Fertility*(1-P580)</x:f>
        <x:v>637.9249761928594</x:v>
      </x:c>
      <x:c r="S580" s="9" t="n">
        <x:f>H580*Y579*INDEX(tun_MortChild,G580)/4*Q580</x:f>
        <x:v>22.671357616012774</x:v>
      </x:c>
      <x:c r="T580" s="9" t="n">
        <x:f>H580*Z579*INDEX(tun_MortAdult,G580)*Arch_AdultMort/4*Q580</x:f>
        <x:v>18.773823266134247</x:v>
      </x:c>
      <x:c r="U580" s="9" t="n">
        <x:f>H580*AA579*INDEX(tun_MortElder,G580)/4*Q580</x:f>
        <x:v>100.51838581507089</x:v>
      </x:c>
      <x:c r="V580" s="9" t="n">
        <x:f>H580*MAX(0,AB579-O580)*tun_OvercapLoss</x:f>
        <x:v>0</x:v>
      </x:c>
      <x:c r="W580" s="9" t="n">
        <x:f>H580*Y579/(tun_ChildYears*4)</x:f>
        <x:v>359.8628193017901</x:v>
      </x:c>
      <x:c r="X580" s="9" t="n">
        <x:f>H580*Z579/(tun_AdultYears*4)</x:f>
        <x:v>201.8690673777876</x:v>
      </x:c>
      <x:c r="Y580" s="32" t="n">
        <x:f>Y579+R580-S580-W580-Y579*V580/AB579</x:f>
        <x:v>20407.7086801753</x:v>
      </x:c>
      <x:c r="Z580" s="32" t="n">
        <x:f>Z579+W580-X580-T580-Z579*V580/AB579</x:f>
        <x:v>25170.984283503527</x:v>
      </x:c>
      <x:c r="AA580" s="32" t="n">
        <x:f>AA579+X580-U580-AA579*V580/AB579</x:f>
        <x:v>12285.397447025854</x:v>
      </x:c>
      <x:c r="AB580" s="10" t="n">
        <x:f>Y580+Z580+AA580</x:f>
        <x:v>57864.09041070468</x:v>
      </x:c>
      <x:c r="AC580" s="8" t="n">
        <x:f>IF(AND(tun_WinterTrigger=1,D580=1,AB579/AE579&gt;=K580),1,0)</x:f>
        <x:v>0</x:v>
      </x:c>
      <x:c r="AD580" s="8" t="n">
        <x:f>H580*IF(AND(OR(AB579/AE579&gt;=tun_FissionTrigger*N580,AC580=1),AB579/AE579*tun_DaughterShare&gt;=tun_MinDaughter),MAX(1,ROUND(AE579*tun_FissionRate,0)),0)</x:f>
        <x:v>0</x:v>
      </x:c>
      <x:c r="AE580" s="8" t="n">
        <x:f>IF(H580=1,MAX(1,MIN(INDEX(tun_Smax,G580),AE579+AD580)),AE579)</x:f>
        <x:v>9</x:v>
      </x:c>
      <x:c r="AF580" s="8" t="n">
        <x:f>MAX(0,AE580-AE579)</x:f>
        <x:v>0</x:v>
      </x:c>
      <x:c r="AG580" s="9" t="str">
        <x:f>IF(AF580&gt;0,B580,"")</x:f>
      </x:c>
      <x:c r="AH580" s="9" t="n">
        <x:f>IF(F580&gt;=1,1,(1+tun_LowTiesShare*(AE580-1))/AE580)</x:f>
        <x:v>1</x:v>
      </x:c>
      <x:c r="AI580" s="32" t="n">
        <x:f>(Z580+tun_ElderCommons*INDEX(LM_Elder,G580)*AA580)*AH580</x:f>
        <x:v>71241.22470985047</x:v>
      </x:c>
      <x:c r="AJ580" s="32" t="n">
        <x:f>H580*tun_CommonsCoef*AI580^tun_CommonsExp*INDEX(LM_Commons,G580)</x:f>
        <x:v>192891.81497896073</x:v>
      </x:c>
      <x:c r="AK580" s="32" t="n">
        <x:f>H580*tun_RoleScale*Arch_Roles*(AE580*(INDEX(tun_ElderRolePerSett,G580)*tun_OutElder*INDEX(LM_Elder,G580)+INDEX(tun_ShamanPerSett,G580)*tun_OutShaman)+Z580*(INDEX(tun_PriestShare,G580)*tun_OutPriest+INDEX(tun_ScribeShare,G580)*tun_OutScribe*INDEX(LM_Scribe,G580)+INDEX(tun_ScholarShare,G580)*tun_OutScholar*INDEX(LM_Scholar,G580)+INDEX(tun_ResearcherShare,G580)*tun_OutResearcher*INDEX(LM_Researcher,G580)))</x:f>
        <x:v>52246.48974850652</x:v>
      </x:c>
      <x:c r="AL580" s="32" t="n">
        <x:f>H580*tun_RoleScale*Arch_Roles*AE580*INDEX(tun_MonasteryPerSett,G580)*tun_OutMonastery*INDEX(LM_Monastery,G580)</x:f>
        <x:v>31.680000000000003</x:v>
      </x:c>
      <x:c r="AM580" s="32" t="n">
        <x:f>(AJ580+AK580+AL580)/4*INDEX(LM_All,G580)*INDEX(tun_Boon,G580)*Arch_Insight</x:f>
        <x:v>176642.88394082917</x:v>
      </x:c>
      <x:c r="AN580" s="32" t="n">
        <x:f>H580*(tun_KHPerAdult*Z580+tun_KHOfCommons*AJ580/4*INDEX(LM_All,G580))*tun_KHUsable*Arch_KH</x:f>
        <x:v>27945.881123698608</x:v>
      </x:c>
      <x:c r="AO580" s="32" t="n">
        <x:f>MIN(AP579+AN580,AM580*tun_KHMaxRatio)</x:f>
        <x:v>27945.881123698608</x:v>
      </x:c>
      <x:c r="AP580" s="32" t="n">
        <x:f>AP579+AN580-AO580</x:f>
        <x:v>0</x:v>
      </x:c>
      <x:c r="AQ580" s="32" t="n">
        <x:f>AM580+AO580</x:f>
        <x:v>204588.76506452778</x:v>
      </x:c>
      <x:c r="AR580" s="10" t="n">
        <x:f>IF(H580=1,INDEX(tun_Req,G580),0)</x:f>
        <x:v>24497531.045680594</x:v>
      </x:c>
      <x:c r="AS580" s="32" t="n">
        <x:f>IF(H580=1,IF(E580=1,AS579-AR579,AS579)+AQ580,0)</x:f>
        <x:v>13327157.130555265</x:v>
      </x:c>
      <x:c r="AT580" s="11" t="n">
        <x:f>IF(AR580&gt;0,MIN(1,AS580/AR580),1)</x:f>
        <x:v>0.5440204200865829</x:v>
      </x:c>
      <x:c r="AU580" s="10" t="n">
        <x:f>AB580/INDEX(tun_RepScale,G580)</x:f>
        <x:v>231.45636164281873</x:v>
      </x:c>
      <x:c r="AV580" s="32" t="n">
        <x:f>AM580*60/tun_SeasonSeconds</x:f>
        <x:v>706571.5357633167</x:v>
      </x:c>
    </x:row>
    <x:row r="581">
      <x:c r="A581" s="8" t="n">
        <x:f>A580+1</x:f>
        <x:v>578</x:v>
      </x:c>
      <x:c r="B581" s="9" t="n">
        <x:f>A581*tun_SeasonSeconds/60</x:f>
        <x:v>144.5</x:v>
      </x:c>
      <x:c r="C581" s="9" t="n">
        <x:f>A581/4</x:f>
        <x:v>144.5</x:v>
      </x:c>
      <x:c r="D581" s="8" t="n">
        <x:f>IF(MOD(A581,4)=0,1,0)</x:f>
        <x:v>0</x:v>
      </x:c>
      <x:c r="E581" s="8" t="n">
        <x:f>IF(AND(F580&lt;=9,AS580&gt;=AR580),1,0)</x:f>
        <x:v>0</x:v>
      </x:c>
      <x:c r="F581" s="8" t="n">
        <x:f>MIN(10,F580+E581)</x:f>
        <x:v>8</x:v>
      </x:c>
      <x:c r="G581" s="8" t="n">
        <x:f>MIN(F581,9)+1</x:f>
        <x:v>9</x:v>
      </x:c>
      <x:c r="H581" s="8" t="n">
        <x:f>IF(F581&lt;=9,1,0)</x:f>
        <x:v>1</x:v>
      </x:c>
      <x:c r="I581" s="9" t="n">
        <x:f>MIN(10,F580+IF(AR580&gt;0,MIN(1,AS580/AR580),1))</x:f>
        <x:v>8.544020420086582</x:v>
      </x:c>
      <x:c r="J581" s="32" t="n">
        <x:f>INDEX(tun_FoodCap,G581)*Arch_FoodCap*EXP(tun_CapsByProject*SUMPRODUCT((Cap_Point&lt;=I581)*(Cap_Kind="Food")*Cap_Ln))</x:f>
        <x:v>7847.747209225527</x:v>
      </x:c>
      <x:c r="K581" s="32" t="n">
        <x:f>J581*MIN(1,tun_LeanBase*EXP(tun_CapsByProject*SUMPRODUCT((Cap_Point&lt;=I581)*(Cap_Kind="Lean")*Cap_Ln)))</x:f>
        <x:v>7847.747209225527</x:v>
      </x:c>
      <x:c r="L581" s="10" t="n">
        <x:f>INDEX(tun_HousingCap,G581)*EXP(tun_CapsByProject*SUMPRODUCT((Cap_Point&lt;=I581)*(Cap_Kind="Housing")*Cap_Ln))</x:f>
        <x:v>10692.026039199893</x:v>
      </x:c>
      <x:c r="M581" s="10" t="n">
        <x:f>INDEX(tun_GroupCap,G581)*tun_CohesionFactor*EXP(tun_CapsByProject*SUMPRODUCT((Cap_Point&lt;=I581)*(Cap_Kind="Group")*Cap_Ln))</x:f>
        <x:v>1000000.000000001</x:v>
      </x:c>
      <x:c r="N581" s="32" t="n">
        <x:f>MIN(J581,L581,M581)</x:f>
        <x:v>7847.747209225527</x:v>
      </x:c>
      <x:c r="O581" s="10" t="n">
        <x:f>AE580*N581</x:f>
        <x:v>70629.72488302973</x:v>
      </x:c>
      <x:c r="P581" s="9" t="n">
        <x:f>MIN(1,(AB580/(AE580*IF(tun_GroupInCrowding=1,N581,MIN(J581,L581))))^tun_CrowdingExp)</x:f>
        <x:v>0.30236373153294605</x:v>
      </x:c>
      <x:c r="Q581" s="9" t="n">
        <x:f>IF(D581=1,INDEX(tun_WinterMult,G581),1)</x:f>
        <x:v>1</x:v>
      </x:c>
      <x:c r="R581" s="9" t="n">
        <x:f>H581*Z580*tun_WomenShare*tun_BaseFertility*INDEX(tun_FertMult,G581)*Arch_Fertility*(1-P581)</x:f>
        <x:v>627.776847883409</x:v>
      </x:c>
      <x:c r="S581" s="9" t="n">
        <x:f>H581*Y580*INDEX(tun_MortChild,G581)/4*Q581</x:f>
        <x:v>22.95867226519721</x:v>
      </x:c>
      <x:c r="T581" s="9" t="n">
        <x:f>H581*Z580*INDEX(tun_MortAdult,G581)*Arch_AdultMort/4*Q581</x:f>
        <x:v>18.878238212627647</x:v>
      </x:c>
      <x:c r="U581" s="9" t="n">
        <x:f>H581*AA580*INDEX(tun_MortElder,G581)/4*Q581</x:f>
        <x:v>101.35452893796331</x:v>
      </x:c>
      <x:c r="V581" s="9" t="n">
        <x:f>H581*MAX(0,AB580-O581)*tun_OvercapLoss</x:f>
        <x:v>0</x:v>
      </x:c>
      <x:c r="W581" s="9" t="n">
        <x:f>H581*Y580/(tun_ChildYears*4)</x:f>
        <x:v>364.42336928884464</x:v>
      </x:c>
      <x:c r="X581" s="9" t="n">
        <x:f>H581*Z580/(tun_AdultYears*4)</x:f>
        <x:v>202.99180873793168</x:v>
      </x:c>
      <x:c r="Y581" s="32" t="n">
        <x:f>Y580+R581-S581-W581-Y580*V581/AB580</x:f>
        <x:v>20648.103486504664</x:v>
      </x:c>
      <x:c r="Z581" s="32" t="n">
        <x:f>Z580+W581-X581-T581-Z580*V581/AB580</x:f>
        <x:v>25313.537605841815</x:v>
      </x:c>
      <x:c r="AA581" s="32" t="n">
        <x:f>AA580+X581-U581-AA580*V581/AB580</x:f>
        <x:v>12387.034726825823</x:v>
      </x:c>
      <x:c r="AB581" s="10" t="n">
        <x:f>Y581+Z581+AA581</x:f>
        <x:v>58348.675819172306</x:v>
      </x:c>
      <x:c r="AC581" s="8" t="n">
        <x:f>IF(AND(tun_WinterTrigger=1,D581=1,AB580/AE580&gt;=K581),1,0)</x:f>
        <x:v>0</x:v>
      </x:c>
      <x:c r="AD581" s="8" t="n">
        <x:f>H581*IF(AND(OR(AB580/AE580&gt;=tun_FissionTrigger*N581,AC581=1),AB580/AE580*tun_DaughterShare&gt;=tun_MinDaughter),MAX(1,ROUND(AE580*tun_FissionRate,0)),0)</x:f>
        <x:v>0</x:v>
      </x:c>
      <x:c r="AE581" s="8" t="n">
        <x:f>IF(H581=1,MAX(1,MIN(INDEX(tun_Smax,G581),AE580+AD581)),AE580)</x:f>
        <x:v>9</x:v>
      </x:c>
      <x:c r="AF581" s="8" t="n">
        <x:f>MAX(0,AE581-AE580)</x:f>
        <x:v>0</x:v>
      </x:c>
      <x:c r="AG581" s="9" t="str">
        <x:f>IF(AF581&gt;0,B581,"")</x:f>
      </x:c>
      <x:c r="AH581" s="9" t="n">
        <x:f>IF(F581&gt;=1,1,(1+tun_LowTiesShare*(AE581-1))/AE581)</x:f>
        <x:v>1</x:v>
      </x:c>
      <x:c r="AI581" s="32" t="n">
        <x:f>(Z581+tun_ElderCommons*INDEX(LM_Elder,G581)*AA581)*AH581</x:f>
        <x:v>71764.91783143865</x:v>
      </x:c>
      <x:c r="AJ581" s="32" t="n">
        <x:f>H581*tun_CommonsCoef*AI581^tun_CommonsExp*INDEX(LM_Commons,G581)</x:f>
        <x:v>194096.40535096504</x:v>
      </x:c>
      <x:c r="AK581" s="32" t="n">
        <x:f>H581*tun_RoleScale*Arch_Roles*(AE581*(INDEX(tun_ElderRolePerSett,G581)*tun_OutElder*INDEX(LM_Elder,G581)+INDEX(tun_ShamanPerSett,G581)*tun_OutShaman)+Z581*(INDEX(tun_PriestShare,G581)*tun_OutPriest+INDEX(tun_ScribeShare,G581)*tun_OutScribe*INDEX(LM_Scribe,G581)+INDEX(tun_ScholarShare,G581)*tun_OutScholar*INDEX(LM_Scholar,G581)+INDEX(tun_ResearcherShare,G581)*tun_OutResearcher*INDEX(LM_Researcher,G581)))</x:f>
        <x:v>52541.00625025863</x:v>
      </x:c>
      <x:c r="AL581" s="32" t="n">
        <x:f>H581*tun_RoleScale*Arch_Roles*AE581*INDEX(tun_MonasteryPerSett,G581)*tun_OutMonastery*INDEX(LM_Monastery,G581)</x:f>
        <x:v>31.680000000000003</x:v>
      </x:c>
      <x:c r="AM581" s="32" t="n">
        <x:f>(AJ581+AK581+AL581)/4*INDEX(LM_All,G581)*INDEX(tun_Boon,G581)*Arch_Insight</x:f>
        <x:v>177722.9776635996</x:v>
      </x:c>
      <x:c r="AN581" s="32" t="n">
        <x:f>H581*(tun_KHPerAdult*Z581+tun_KHOfCommons*AJ581/4*INDEX(LM_All,G581))*tun_KHUsable*Arch_KH</x:f>
        <x:v>28120.40039680751</x:v>
      </x:c>
      <x:c r="AO581" s="32" t="n">
        <x:f>MIN(AP580+AN581,AM581*tun_KHMaxRatio)</x:f>
        <x:v>28120.40039680751</x:v>
      </x:c>
      <x:c r="AP581" s="32" t="n">
        <x:f>AP580+AN581-AO581</x:f>
        <x:v>0</x:v>
      </x:c>
      <x:c r="AQ581" s="32" t="n">
        <x:f>AM581+AO581</x:f>
        <x:v>205843.3780604071</x:v>
      </x:c>
      <x:c r="AR581" s="10" t="n">
        <x:f>IF(H581=1,INDEX(tun_Req,G581),0)</x:f>
        <x:v>24497531.045680594</x:v>
      </x:c>
      <x:c r="AS581" s="32" t="n">
        <x:f>IF(H581=1,IF(E581=1,AS580-AR580,AS580)+AQ581,0)</x:f>
        <x:v>13533000.508615673</x:v>
      </x:c>
      <x:c r="AT581" s="11" t="n">
        <x:f>IF(AR581&gt;0,MIN(1,AS581/AR581),1)</x:f>
        <x:v>0.552423037382039</x:v>
      </x:c>
      <x:c r="AU581" s="10" t="n">
        <x:f>AB581/INDEX(tun_RepScale,G581)</x:f>
        <x:v>233.39470327668923</x:v>
      </x:c>
      <x:c r="AV581" s="32" t="n">
        <x:f>AM581*60/tun_SeasonSeconds</x:f>
        <x:v>710891.9106543984</x:v>
      </x:c>
    </x:row>
    <x:row r="582">
      <x:c r="A582" s="8" t="n">
        <x:f>A581+1</x:f>
        <x:v>579</x:v>
      </x:c>
      <x:c r="B582" s="9" t="n">
        <x:f>A582*tun_SeasonSeconds/60</x:f>
        <x:v>144.75</x:v>
      </x:c>
      <x:c r="C582" s="9" t="n">
        <x:f>A582/4</x:f>
        <x:v>144.75</x:v>
      </x:c>
      <x:c r="D582" s="8" t="n">
        <x:f>IF(MOD(A582,4)=0,1,0)</x:f>
        <x:v>0</x:v>
      </x:c>
      <x:c r="E582" s="8" t="n">
        <x:f>IF(AND(F581&lt;=9,AS581&gt;=AR581),1,0)</x:f>
        <x:v>0</x:v>
      </x:c>
      <x:c r="F582" s="8" t="n">
        <x:f>MIN(10,F581+E582)</x:f>
        <x:v>8</x:v>
      </x:c>
      <x:c r="G582" s="8" t="n">
        <x:f>MIN(F582,9)+1</x:f>
        <x:v>9</x:v>
      </x:c>
      <x:c r="H582" s="8" t="n">
        <x:f>IF(F582&lt;=9,1,0)</x:f>
        <x:v>1</x:v>
      </x:c>
      <x:c r="I582" s="9" t="n">
        <x:f>MIN(10,F581+IF(AR581&gt;0,MIN(1,AS581/AR581),1))</x:f>
        <x:v>8.55242303738204</x:v>
      </x:c>
      <x:c r="J582" s="32" t="n">
        <x:f>INDEX(tun_FoodCap,G582)*Arch_FoodCap*EXP(tun_CapsByProject*SUMPRODUCT((Cap_Point&lt;=I582)*(Cap_Kind="Food")*Cap_Ln))</x:f>
        <x:v>7847.747209225527</x:v>
      </x:c>
      <x:c r="K582" s="32" t="n">
        <x:f>J582*MIN(1,tun_LeanBase*EXP(tun_CapsByProject*SUMPRODUCT((Cap_Point&lt;=I582)*(Cap_Kind="Lean")*Cap_Ln)))</x:f>
        <x:v>7847.747209225527</x:v>
      </x:c>
      <x:c r="L582" s="10" t="n">
        <x:f>INDEX(tun_HousingCap,G582)*EXP(tun_CapsByProject*SUMPRODUCT((Cap_Point&lt;=I582)*(Cap_Kind="Housing")*Cap_Ln))</x:f>
        <x:v>10692.026039199893</x:v>
      </x:c>
      <x:c r="M582" s="10" t="n">
        <x:f>INDEX(tun_GroupCap,G582)*tun_CohesionFactor*EXP(tun_CapsByProject*SUMPRODUCT((Cap_Point&lt;=I582)*(Cap_Kind="Group")*Cap_Ln))</x:f>
        <x:v>1000000.000000001</x:v>
      </x:c>
      <x:c r="N582" s="32" t="n">
        <x:f>MIN(J582,L582,M582)</x:f>
        <x:v>7847.747209225527</x:v>
      </x:c>
      <x:c r="O582" s="10" t="n">
        <x:f>AE581*N582</x:f>
        <x:v>70629.72488302973</x:v>
      </x:c>
      <x:c r="P582" s="9" t="n">
        <x:f>MIN(1,(AB581/(AE581*IF(tun_GroupInCrowding=1,N582,MIN(J582,L582))))^tun_CrowdingExp)</x:f>
        <x:v>0.31787834221009614</x:v>
      </x:c>
      <x:c r="Q582" s="9" t="n">
        <x:f>IF(D582=1,INDEX(tun_WinterMult,G582),1)</x:f>
        <x:v>1</x:v>
      </x:c>
      <x:c r="R582" s="9" t="n">
        <x:f>H582*Z581*tun_WomenShare*tun_BaseFertility*INDEX(tun_FertMult,G582)*Arch_Fertility*(1-P582)</x:f>
        <x:v>617.2921124450042</x:v>
      </x:c>
      <x:c r="S582" s="9" t="n">
        <x:f>H582*Y581*INDEX(tun_MortChild,G582)/4*Q582</x:f>
        <x:v>23.229116422317745</x:v>
      </x:c>
      <x:c r="T582" s="9" t="n">
        <x:f>H582*Z581*INDEX(tun_MortAdult,G582)*Arch_AdultMort/4*Q582</x:f>
        <x:v>18.985153204381362</x:v>
      </x:c>
      <x:c r="U582" s="9" t="n">
        <x:f>H582*AA581*INDEX(tun_MortElder,G582)/4*Q582</x:f>
        <x:v>102.19303649631304</x:v>
      </x:c>
      <x:c r="V582" s="9" t="n">
        <x:f>H582*MAX(0,AB581-O582)*tun_OvercapLoss</x:f>
        <x:v>0</x:v>
      </x:c>
      <x:c r="W582" s="9" t="n">
        <x:f>H582*Y581/(tun_ChildYears*4)</x:f>
        <x:v>368.7161336875833</x:v>
      </x:c>
      <x:c r="X582" s="9" t="n">
        <x:f>H582*Z581/(tun_AdultYears*4)</x:f>
        <x:v>204.14143230517593</x:v>
      </x:c>
      <x:c r="Y582" s="32" t="n">
        <x:f>Y581+R582-S582-W582-Y581*V582/AB581</x:f>
        <x:v>20873.450348839768</x:v>
      </x:c>
      <x:c r="Z582" s="32" t="n">
        <x:f>Z581+W582-X582-T582-Z581*V582/AB581</x:f>
        <x:v>25459.12715401984</x:v>
      </x:c>
      <x:c r="AA582" s="32" t="n">
        <x:f>AA581+X582-U582-AA581*V582/AB581</x:f>
        <x:v>12488.983122634685</x:v>
      </x:c>
      <x:c r="AB582" s="10" t="n">
        <x:f>Y582+Z582+AA582</x:f>
        <x:v>58821.5606254943</x:v>
      </x:c>
      <x:c r="AC582" s="8" t="n">
        <x:f>IF(AND(tun_WinterTrigger=1,D582=1,AB581/AE581&gt;=K582),1,0)</x:f>
        <x:v>0</x:v>
      </x:c>
      <x:c r="AD582" s="8" t="n">
        <x:f>H582*IF(AND(OR(AB581/AE581&gt;=tun_FissionTrigger*N582,AC582=1),AB581/AE581*tun_DaughterShare&gt;=tun_MinDaughter),MAX(1,ROUND(AE581*tun_FissionRate,0)),0)</x:f>
        <x:v>0</x:v>
      </x:c>
      <x:c r="AE582" s="8" t="n">
        <x:f>IF(H582=1,MAX(1,MIN(INDEX(tun_Smax,G582),AE581+AD582)),AE581)</x:f>
        <x:v>9</x:v>
      </x:c>
      <x:c r="AF582" s="8" t="n">
        <x:f>MAX(0,AE582-AE581)</x:f>
        <x:v>0</x:v>
      </x:c>
      <x:c r="AG582" s="9" t="str">
        <x:f>IF(AF582&gt;0,B582,"")</x:f>
      </x:c>
      <x:c r="AH582" s="9" t="n">
        <x:f>IF(F582&gt;=1,1,(1+tun_LowTiesShare*(AE582-1))/AE582)</x:f>
        <x:v>1</x:v>
      </x:c>
      <x:c r="AI582" s="32" t="n">
        <x:f>(Z582+tun_ElderCommons*INDEX(LM_Elder,G582)*AA582)*AH582</x:f>
        <x:v>72292.81386389991</x:v>
      </x:c>
      <x:c r="AJ582" s="32" t="n">
        <x:f>H582*tun_CommonsCoef*AI582^tun_CommonsExp*INDEX(LM_Commons,G582)</x:f>
        <x:v>195309.32947554978</x:v>
      </x:c>
      <x:c r="AK582" s="32" t="n">
        <x:f>H582*tun_RoleScale*Arch_Roles*(AE582*(INDEX(tun_ElderRolePerSett,G582)*tun_OutElder*INDEX(LM_Elder,G582)+INDEX(tun_ShamanPerSett,G582)*tun_OutShaman)+Z582*(INDEX(tun_PriestShare,G582)*tun_OutPriest+INDEX(tun_ScribeShare,G582)*tun_OutScribe*INDEX(LM_Scribe,G582)+INDEX(tun_ScholarShare,G582)*tun_OutScholar*INDEX(LM_Scholar,G582)+INDEX(tun_ResearcherShare,G582)*tun_OutResearcher*INDEX(LM_Researcher,G582)))</x:f>
        <x:v>52841.795623089296</x:v>
      </x:c>
      <x:c r="AL582" s="32" t="n">
        <x:f>H582*tun_RoleScale*Arch_Roles*AE582*INDEX(tun_MonasteryPerSett,G582)*tun_OutMonastery*INDEX(LM_Monastery,G582)</x:f>
        <x:v>31.680000000000003</x:v>
      </x:c>
      <x:c r="AM582" s="32" t="n">
        <x:f>(AJ582+AK582+AL582)/4*INDEX(LM_All,G582)*INDEX(tun_Boon,G582)*Arch_Insight</x:f>
        <x:v>178813.59533419594</x:v>
      </x:c>
      <x:c r="AN582" s="32" t="n">
        <x:f>H582*(tun_KHPerAdult*Z582+tun_KHOfCommons*AJ582/4*INDEX(LM_All,G582))*tun_KHUsable*Arch_KH</x:f>
        <x:v>28296.127051675718</x:v>
      </x:c>
      <x:c r="AO582" s="32" t="n">
        <x:f>MIN(AP581+AN582,AM582*tun_KHMaxRatio)</x:f>
        <x:v>28296.127051675718</x:v>
      </x:c>
      <x:c r="AP582" s="32" t="n">
        <x:f>AP581+AN582-AO582</x:f>
        <x:v>0</x:v>
      </x:c>
      <x:c r="AQ582" s="32" t="n">
        <x:f>AM582+AO582</x:f>
        <x:v>207109.72238587166</x:v>
      </x:c>
      <x:c r="AR582" s="10" t="n">
        <x:f>IF(H582=1,INDEX(tun_Req,G582),0)</x:f>
        <x:v>24497531.045680594</x:v>
      </x:c>
      <x:c r="AS582" s="32" t="n">
        <x:f>IF(H582=1,IF(E582=1,AS581-AR581,AS581)+AQ582,0)</x:f>
        <x:v>13740110.231001545</x:v>
      </x:c>
      <x:c r="AT582" s="11" t="n">
        <x:f>IF(AR582&gt;0,MIN(1,AS582/AR582),1)</x:f>
        <x:v>0.5608773474102486</x:v>
      </x:c>
      <x:c r="AU582" s="10" t="n">
        <x:f>AB582/INDEX(tun_RepScale,G582)</x:f>
        <x:v>235.2862425019772</x:v>
      </x:c>
      <x:c r="AV582" s="32" t="n">
        <x:f>AM582*60/tun_SeasonSeconds</x:f>
        <x:v>715254.3813367838</x:v>
      </x:c>
    </x:row>
    <x:row r="583">
      <x:c r="A583" s="8" t="n">
        <x:f>A582+1</x:f>
        <x:v>580</x:v>
      </x:c>
      <x:c r="B583" s="9" t="n">
        <x:f>A583*tun_SeasonSeconds/60</x:f>
        <x:v>145</x:v>
      </x:c>
      <x:c r="C583" s="9" t="n">
        <x:f>A583/4</x:f>
        <x:v>145</x:v>
      </x:c>
      <x:c r="D583" s="8" t="n">
        <x:f>IF(MOD(A583,4)=0,1,0)</x:f>
        <x:v>1</x:v>
      </x:c>
      <x:c r="E583" s="8" t="n">
        <x:f>IF(AND(F582&lt;=9,AS582&gt;=AR582),1,0)</x:f>
        <x:v>0</x:v>
      </x:c>
      <x:c r="F583" s="8" t="n">
        <x:f>MIN(10,F582+E583)</x:f>
        <x:v>8</x:v>
      </x:c>
      <x:c r="G583" s="8" t="n">
        <x:f>MIN(F583,9)+1</x:f>
        <x:v>9</x:v>
      </x:c>
      <x:c r="H583" s="8" t="n">
        <x:f>IF(F583&lt;=9,1,0)</x:f>
        <x:v>1</x:v>
      </x:c>
      <x:c r="I583" s="9" t="n">
        <x:f>MIN(10,F582+IF(AR582&gt;0,MIN(1,AS582/AR582),1))</x:f>
        <x:v>8.560877347410248</x:v>
      </x:c>
      <x:c r="J583" s="32" t="n">
        <x:f>INDEX(tun_FoodCap,G583)*Arch_FoodCap*EXP(tun_CapsByProject*SUMPRODUCT((Cap_Point&lt;=I583)*(Cap_Kind="Food")*Cap_Ln))</x:f>
        <x:v>7847.747209225527</x:v>
      </x:c>
      <x:c r="K583" s="32" t="n">
        <x:f>J583*MIN(1,tun_LeanBase*EXP(tun_CapsByProject*SUMPRODUCT((Cap_Point&lt;=I583)*(Cap_Kind="Lean")*Cap_Ln)))</x:f>
        <x:v>7847.747209225527</x:v>
      </x:c>
      <x:c r="L583" s="10" t="n">
        <x:f>INDEX(tun_HousingCap,G583)*EXP(tun_CapsByProject*SUMPRODUCT((Cap_Point&lt;=I583)*(Cap_Kind="Housing")*Cap_Ln))</x:f>
        <x:v>10692.026039199893</x:v>
      </x:c>
      <x:c r="M583" s="10" t="n">
        <x:f>INDEX(tun_GroupCap,G583)*tun_CohesionFactor*EXP(tun_CapsByProject*SUMPRODUCT((Cap_Point&lt;=I583)*(Cap_Kind="Group")*Cap_Ln))</x:f>
        <x:v>1000000.000000001</x:v>
      </x:c>
      <x:c r="N583" s="32" t="n">
        <x:f>MIN(J583,L583,M583)</x:f>
        <x:v>7847.747209225527</x:v>
      </x:c>
      <x:c r="O583" s="10" t="n">
        <x:f>AE582*N583</x:f>
        <x:v>70629.72488302973</x:v>
      </x:c>
      <x:c r="P583" s="9" t="n">
        <x:f>MIN(1,(AB582/(AE582*IF(tun_GroupInCrowding=1,N583,MIN(J583,L583))))^tun_CrowdingExp)</x:f>
        <x:v>0.33365233564588853</x:v>
      </x:c>
      <x:c r="Q583" s="9" t="n">
        <x:f>IF(D583=1,INDEX(tun_WinterMult,G583),1)</x:f>
        <x:v>1.05</x:v>
      </x:c>
      <x:c r="R583" s="9" t="n">
        <x:f>H583*Z582*tun_WomenShare*tun_BaseFertility*INDEX(tun_FertMult,G583)*Arch_Fertility*(1-P583)</x:f>
        <x:v>606.4855194818226</x:v>
      </x:c>
      <x:c r="S583" s="9" t="n">
        <x:f>H583*Y582*INDEX(tun_MortChild,G583)/4*Q583</x:f>
        <x:v>24.656763224566976</x:v>
      </x:c>
      <x:c r="T583" s="9" t="n">
        <x:f>H583*Z582*INDEX(tun_MortAdult,G583)*Arch_AdultMort/4*Q583</x:f>
        <x:v>20.049062633790623</x:v>
      </x:c>
      <x:c r="U583" s="9" t="n">
        <x:f>H583*AA582*INDEX(tun_MortElder,G583)/4*Q583</x:f>
        <x:v>108.18581629982297</x:v>
      </x:c>
      <x:c r="V583" s="9" t="n">
        <x:f>H583*MAX(0,AB582-O583)*tun_OvercapLoss</x:f>
        <x:v>0</x:v>
      </x:c>
      <x:c r="W583" s="9" t="n">
        <x:f>H583*Y582/(tun_ChildYears*4)</x:f>
        <x:v>372.74018480071015</x:v>
      </x:c>
      <x:c r="X583" s="9" t="n">
        <x:f>H583*Z582/(tun_AdultYears*4)</x:f>
        <x:v>205.31554156467612</x:v>
      </x:c>
      <x:c r="Y583" s="32" t="n">
        <x:f>Y582+R583-S583-W583-Y582*V583/AB582</x:f>
        <x:v>21082.538920296312</x:v>
      </x:c>
      <x:c r="Z583" s="32" t="n">
        <x:f>Z582+W583-X583-T583-Z582*V583/AB582</x:f>
        <x:v>25606.50273462208</x:v>
      </x:c>
      <x:c r="AA583" s="32" t="n">
        <x:f>AA582+X583-U583-AA582*V583/AB582</x:f>
        <x:v>12586.112847899538</x:v>
      </x:c>
      <x:c r="AB583" s="10" t="n">
        <x:f>Y583+Z583+AA583</x:f>
        <x:v>59275.15450281793</x:v>
      </x:c>
      <x:c r="AC583" s="8" t="n">
        <x:f>IF(AND(tun_WinterTrigger=1,D583=1,AB582/AE582&gt;=K583),1,0)</x:f>
        <x:v>0</x:v>
      </x:c>
      <x:c r="AD583" s="8" t="n">
        <x:f>H583*IF(AND(OR(AB582/AE582&gt;=tun_FissionTrigger*N583,AC583=1),AB582/AE582*tun_DaughterShare&gt;=tun_MinDaughter),MAX(1,ROUND(AE582*tun_FissionRate,0)),0)</x:f>
        <x:v>0</x:v>
      </x:c>
      <x:c r="AE583" s="8" t="n">
        <x:f>IF(H583=1,MAX(1,MIN(INDEX(tun_Smax,G583),AE582+AD583)),AE582)</x:f>
        <x:v>9</x:v>
      </x:c>
      <x:c r="AF583" s="8" t="n">
        <x:f>MAX(0,AE583-AE582)</x:f>
        <x:v>0</x:v>
      </x:c>
      <x:c r="AG583" s="9" t="str">
        <x:f>IF(AF583&gt;0,B583,"")</x:f>
      </x:c>
      <x:c r="AH583" s="9" t="n">
        <x:f>IF(F583&gt;=1,1,(1+tun_LowTiesShare*(AE583-1))/AE583)</x:f>
        <x:v>1</x:v>
      </x:c>
      <x:c r="AI583" s="32" t="n">
        <x:f>(Z583+tun_ElderCommons*INDEX(LM_Elder,G583)*AA583)*AH583</x:f>
        <x:v>72804.42591424534</x:v>
      </x:c>
      <x:c r="AJ583" s="32" t="n">
        <x:f>H583*tun_CommonsCoef*AI583^tun_CommonsExp*INDEX(LM_Commons,G583)</x:f>
        <x:v>196483.57145391149</x:v>
      </x:c>
      <x:c r="AK583" s="32" t="n">
        <x:f>H583*tun_RoleScale*Arch_Roles*(AE583*(INDEX(tun_ElderRolePerSett,G583)*tun_OutElder*INDEX(LM_Elder,G583)+INDEX(tun_ShamanPerSett,G583)*tun_OutShaman)+Z583*(INDEX(tun_PriestShare,G583)*tun_OutPriest+INDEX(tun_ScribeShare,G583)*tun_OutScribe*INDEX(LM_Scribe,G583)+INDEX(tun_ScholarShare,G583)*tun_OutScholar*INDEX(LM_Scholar,G583)+INDEX(tun_ResearcherShare,G583)*tun_OutResearcher*INDEX(LM_Researcher,G583)))</x:f>
        <x:v>53146.274955669534</x:v>
      </x:c>
      <x:c r="AL583" s="32" t="n">
        <x:f>H583*tun_RoleScale*Arch_Roles*AE583*INDEX(tun_MonasteryPerSett,G583)*tun_OutMonastery*INDEX(LM_Monastery,G583)</x:f>
        <x:v>31.680000000000003</x:v>
      </x:c>
      <x:c r="AM583" s="32" t="n">
        <x:f>(AJ583+AK583+AL583)/4*INDEX(LM_All,G583)*INDEX(tun_Boon,G583)*Arch_Insight</x:f>
        <x:v>179879.0014327439</x:v>
      </x:c>
      <x:c r="AN583" s="32" t="n">
        <x:f>H583*(tun_KHPerAdult*Z583+tun_KHOfCommons*AJ583/4*INDEX(LM_All,G583))*tun_KHUsable*Arch_KH</x:f>
        <x:v>28466.249494358588</x:v>
      </x:c>
      <x:c r="AO583" s="32" t="n">
        <x:f>MIN(AP582+AN583,AM583*tun_KHMaxRatio)</x:f>
        <x:v>28466.249494358588</x:v>
      </x:c>
      <x:c r="AP583" s="32" t="n">
        <x:f>AP582+AN583-AO583</x:f>
        <x:v>0</x:v>
      </x:c>
      <x:c r="AQ583" s="32" t="n">
        <x:f>AM583+AO583</x:f>
        <x:v>208345.2509271025</x:v>
      </x:c>
      <x:c r="AR583" s="10" t="n">
        <x:f>IF(H583=1,INDEX(tun_Req,G583),0)</x:f>
        <x:v>24497531.045680594</x:v>
      </x:c>
      <x:c r="AS583" s="32" t="n">
        <x:f>IF(H583=1,IF(E583=1,AS582-AR582,AS582)+AQ583,0)</x:f>
        <x:v>13948455.481928647</x:v>
      </x:c>
      <x:c r="AT583" s="11" t="n">
        <x:f>IF(AR583&gt;0,MIN(1,AS583/AR583),1)</x:f>
        <x:v>0.5693820922573354</x:v>
      </x:c>
      <x:c r="AU583" s="10" t="n">
        <x:f>AB583/INDEX(tun_RepScale,G583)</x:f>
        <x:v>237.10061801127173</x:v>
      </x:c>
      <x:c r="AV583" s="32" t="n">
        <x:f>AM583*60/tun_SeasonSeconds</x:f>
        <x:v>719516.0057309757</x:v>
      </x:c>
    </x:row>
    <x:row r="584">
      <x:c r="A584" s="8" t="n">
        <x:f>A583+1</x:f>
        <x:v>581</x:v>
      </x:c>
      <x:c r="B584" s="9" t="n">
        <x:f>A584*tun_SeasonSeconds/60</x:f>
        <x:v>145.25</x:v>
      </x:c>
      <x:c r="C584" s="9" t="n">
        <x:f>A584/4</x:f>
        <x:v>145.25</x:v>
      </x:c>
      <x:c r="D584" s="8" t="n">
        <x:f>IF(MOD(A584,4)=0,1,0)</x:f>
        <x:v>0</x:v>
      </x:c>
      <x:c r="E584" s="8" t="n">
        <x:f>IF(AND(F583&lt;=9,AS583&gt;=AR583),1,0)</x:f>
        <x:v>0</x:v>
      </x:c>
      <x:c r="F584" s="8" t="n">
        <x:f>MIN(10,F583+E584)</x:f>
        <x:v>8</x:v>
      </x:c>
      <x:c r="G584" s="8" t="n">
        <x:f>MIN(F584,9)+1</x:f>
        <x:v>9</x:v>
      </x:c>
      <x:c r="H584" s="8" t="n">
        <x:f>IF(F584&lt;=9,1,0)</x:f>
        <x:v>1</x:v>
      </x:c>
      <x:c r="I584" s="9" t="n">
        <x:f>MIN(10,F583+IF(AR583&gt;0,MIN(1,AS583/AR583),1))</x:f>
        <x:v>8.569382092257335</x:v>
      </x:c>
      <x:c r="J584" s="32" t="n">
        <x:f>INDEX(tun_FoodCap,G584)*Arch_FoodCap*EXP(tun_CapsByProject*SUMPRODUCT((Cap_Point&lt;=I584)*(Cap_Kind="Food")*Cap_Ln))</x:f>
        <x:v>7847.747209225527</x:v>
      </x:c>
      <x:c r="K584" s="32" t="n">
        <x:f>J584*MIN(1,tun_LeanBase*EXP(tun_CapsByProject*SUMPRODUCT((Cap_Point&lt;=I584)*(Cap_Kind="Lean")*Cap_Ln)))</x:f>
        <x:v>7847.747209225527</x:v>
      </x:c>
      <x:c r="L584" s="10" t="n">
        <x:f>INDEX(tun_HousingCap,G584)*EXP(tun_CapsByProject*SUMPRODUCT((Cap_Point&lt;=I584)*(Cap_Kind="Housing")*Cap_Ln))</x:f>
        <x:v>10692.026039199893</x:v>
      </x:c>
      <x:c r="M584" s="10" t="n">
        <x:f>INDEX(tun_GroupCap,G584)*tun_CohesionFactor*EXP(tun_CapsByProject*SUMPRODUCT((Cap_Point&lt;=I584)*(Cap_Kind="Group")*Cap_Ln))</x:f>
        <x:v>1000000.000000001</x:v>
      </x:c>
      <x:c r="N584" s="32" t="n">
        <x:f>MIN(J584,L584,M584)</x:f>
        <x:v>7847.747209225527</x:v>
      </x:c>
      <x:c r="O584" s="10" t="n">
        <x:f>AE583*N584</x:f>
        <x:v>70629.72488302973</x:v>
      </x:c>
      <x:c r="P584" s="9" t="n">
        <x:f>MIN(1,(AB583/(AE583*IF(tun_GroupInCrowding=1,N584,MIN(J584,L584))))^tun_CrowdingExp)</x:f>
        <x:v>0.3493904904613413</x:v>
      </x:c>
      <x:c r="Q584" s="9" t="n">
        <x:f>IF(D584=1,INDEX(tun_WinterMult,G584),1)</x:f>
        <x:v>1</x:v>
      </x:c>
      <x:c r="R584" s="9" t="n">
        <x:f>H584*Z583*tun_WomenShare*tun_BaseFertility*INDEX(tun_FertMult,G584)*Arch_Fertility*(1-P584)</x:f>
        <x:v>595.5890721199276</x:v>
      </x:c>
      <x:c r="S584" s="9" t="n">
        <x:f>H584*Y583*INDEX(tun_MortChild,G584)/4*Q584</x:f>
        <x:v>23.71785628533335</x:v>
      </x:c>
      <x:c r="T584" s="9" t="n">
        <x:f>H584*Z583*INDEX(tun_MortAdult,G584)*Arch_AdultMort/4*Q584</x:f>
        <x:v>19.204877050966562</x:v>
      </x:c>
      <x:c r="U584" s="9" t="n">
        <x:f>H584*AA583*INDEX(tun_MortElder,G584)/4*Q584</x:f>
        <x:v>103.8354309951712</x:v>
      </x:c>
      <x:c r="V584" s="9" t="n">
        <x:f>H584*MAX(0,AB583-O584)*tun_OvercapLoss</x:f>
        <x:v>0</x:v>
      </x:c>
      <x:c r="W584" s="9" t="n">
        <x:f>H584*Y583/(tun_ChildYears*4)</x:f>
        <x:v>376.47390929100555</x:v>
      </x:c>
      <x:c r="X584" s="9" t="n">
        <x:f>H584*Z583/(tun_AdultYears*4)</x:f>
        <x:v>206.5040543114684</x:v>
      </x:c>
      <x:c r="Y584" s="32" t="n">
        <x:f>Y583+R584-S584-W584-Y583*V584/AB583</x:f>
        <x:v>21277.9362268399</x:v>
      </x:c>
      <x:c r="Z584" s="32" t="n">
        <x:f>Z583+W584-X584-T584-Z583*V584/AB583</x:f>
        <x:v>25757.26771255065</x:v>
      </x:c>
      <x:c r="AA584" s="32" t="n">
        <x:f>AA583+X584-U584-AA583*V584/AB583</x:f>
        <x:v>12688.781471215834</x:v>
      </x:c>
      <x:c r="AB584" s="10" t="n">
        <x:f>Y584+Z584+AA584</x:f>
        <x:v>59723.98541060639</x:v>
      </x:c>
      <x:c r="AC584" s="8" t="n">
        <x:f>IF(AND(tun_WinterTrigger=1,D584=1,AB583/AE583&gt;=K584),1,0)</x:f>
        <x:v>0</x:v>
      </x:c>
      <x:c r="AD584" s="8" t="n">
        <x:f>H584*IF(AND(OR(AB583/AE583&gt;=tun_FissionTrigger*N584,AC584=1),AB583/AE583*tun_DaughterShare&gt;=tun_MinDaughter),MAX(1,ROUND(AE583*tun_FissionRate,0)),0)</x:f>
        <x:v>0</x:v>
      </x:c>
      <x:c r="AE584" s="8" t="n">
        <x:f>IF(H584=1,MAX(1,MIN(INDEX(tun_Smax,G584),AE583+AD584)),AE583)</x:f>
        <x:v>9</x:v>
      </x:c>
      <x:c r="AF584" s="8" t="n">
        <x:f>MAX(0,AE584-AE583)</x:f>
        <x:v>0</x:v>
      </x:c>
      <x:c r="AG584" s="9" t="str">
        <x:f>IF(AF584&gt;0,B584,"")</x:f>
      </x:c>
      <x:c r="AH584" s="9" t="n">
        <x:f>IF(F584&gt;=1,1,(1+tun_LowTiesShare*(AE584-1))/AE584)</x:f>
        <x:v>1</x:v>
      </x:c>
      <x:c r="AI584" s="32" t="n">
        <x:f>(Z584+tun_ElderCommons*INDEX(LM_Elder,G584)*AA584)*AH584</x:f>
        <x:v>73340.19822961003</x:v>
      </x:c>
      <x:c r="AJ584" s="32" t="n">
        <x:f>H584*tun_CommonsCoef*AI584^tun_CommonsExp*INDEX(LM_Commons,G584)</x:f>
        <x:v>197711.93965196464</x:v>
      </x:c>
      <x:c r="AK584" s="32" t="n">
        <x:f>H584*tun_RoleScale*Arch_Roles*(AE584*(INDEX(tun_ElderRolePerSett,G584)*tun_OutElder*INDEX(LM_Elder,G584)+INDEX(tun_ShamanPerSett,G584)*tun_OutShaman)+Z584*(INDEX(tun_PriestShare,G584)*tun_OutPriest+INDEX(tun_ScribeShare,G584)*tun_OutScribe*INDEX(LM_Scribe,G584)+INDEX(tun_ScholarShare,G584)*tun_OutScholar*INDEX(LM_Scholar,G584)+INDEX(tun_ResearcherShare,G584)*tun_OutResearcher*INDEX(LM_Researcher,G584)))</x:f>
        <x:v>53457.75681493399</x:v>
      </x:c>
      <x:c r="AL584" s="32" t="n">
        <x:f>H584*tun_RoleScale*Arch_Roles*AE584*INDEX(tun_MonasteryPerSett,G584)*tun_OutMonastery*INDEX(LM_Monastery,G584)</x:f>
        <x:v>31.680000000000003</x:v>
      </x:c>
      <x:c r="AM584" s="32" t="n">
        <x:f>(AJ584+AK584+AL584)/4*INDEX(LM_All,G584)*INDEX(tun_Boon,G584)*Arch_Insight</x:f>
        <x:v>180988.45027193762</x:v>
      </x:c>
      <x:c r="AN584" s="32" t="n">
        <x:f>H584*(tun_KHPerAdult*Z584+tun_KHOfCommons*AJ584/4*INDEX(LM_All,G584))*tun_KHUsable*Arch_KH</x:f>
        <x:v>28644.213663769664</x:v>
      </x:c>
      <x:c r="AO584" s="32" t="n">
        <x:f>MIN(AP583+AN584,AM584*tun_KHMaxRatio)</x:f>
        <x:v>28644.213663769664</x:v>
      </x:c>
      <x:c r="AP584" s="32" t="n">
        <x:f>AP583+AN584-AO584</x:f>
        <x:v>0</x:v>
      </x:c>
      <x:c r="AQ584" s="32" t="n">
        <x:f>AM584+AO584</x:f>
        <x:v>209632.66393570727</x:v>
      </x:c>
      <x:c r="AR584" s="10" t="n">
        <x:f>IF(H584=1,INDEX(tun_Req,G584),0)</x:f>
        <x:v>24497531.045680594</x:v>
      </x:c>
      <x:c r="AS584" s="32" t="n">
        <x:f>IF(H584=1,IF(E584=1,AS583-AR583,AS583)+AQ584,0)</x:f>
        <x:v>14158088.145864354</x:v>
      </x:c>
      <x:c r="AT584" s="11" t="n">
        <x:f>IF(AR584&gt;0,MIN(1,AS584/AR584),1)</x:f>
        <x:v>0.5779393898700951</x:v>
      </x:c>
      <x:c r="AU584" s="10" t="n">
        <x:f>AB584/INDEX(tun_RepScale,G584)</x:f>
        <x:v>238.89594164242556</x:v>
      </x:c>
      <x:c r="AV584" s="32" t="n">
        <x:f>AM584*60/tun_SeasonSeconds</x:f>
        <x:v>723953.8010877505</x:v>
      </x:c>
    </x:row>
    <x:row r="585">
      <x:c r="A585" s="8" t="n">
        <x:f>A584+1</x:f>
        <x:v>582</x:v>
      </x:c>
      <x:c r="B585" s="9" t="n">
        <x:f>A585*tun_SeasonSeconds/60</x:f>
        <x:v>145.5</x:v>
      </x:c>
      <x:c r="C585" s="9" t="n">
        <x:f>A585/4</x:f>
        <x:v>145.5</x:v>
      </x:c>
      <x:c r="D585" s="8" t="n">
        <x:f>IF(MOD(A585,4)=0,1,0)</x:f>
        <x:v>0</x:v>
      </x:c>
      <x:c r="E585" s="8" t="n">
        <x:f>IF(AND(F584&lt;=9,AS584&gt;=AR584),1,0)</x:f>
        <x:v>0</x:v>
      </x:c>
      <x:c r="F585" s="8" t="n">
        <x:f>MIN(10,F584+E585)</x:f>
        <x:v>8</x:v>
      </x:c>
      <x:c r="G585" s="8" t="n">
        <x:f>MIN(F585,9)+1</x:f>
        <x:v>9</x:v>
      </x:c>
      <x:c r="H585" s="8" t="n">
        <x:f>IF(F585&lt;=9,1,0)</x:f>
        <x:v>1</x:v>
      </x:c>
      <x:c r="I585" s="9" t="n">
        <x:f>MIN(10,F584+IF(AR584&gt;0,MIN(1,AS584/AR584),1))</x:f>
        <x:v>8.577939389870096</x:v>
      </x:c>
      <x:c r="J585" s="32" t="n">
        <x:f>INDEX(tun_FoodCap,G585)*Arch_FoodCap*EXP(tun_CapsByProject*SUMPRODUCT((Cap_Point&lt;=I585)*(Cap_Kind="Food")*Cap_Ln))</x:f>
        <x:v>7847.747209225527</x:v>
      </x:c>
      <x:c r="K585" s="32" t="n">
        <x:f>J585*MIN(1,tun_LeanBase*EXP(tun_CapsByProject*SUMPRODUCT((Cap_Point&lt;=I585)*(Cap_Kind="Lean")*Cap_Ln)))</x:f>
        <x:v>7847.747209225527</x:v>
      </x:c>
      <x:c r="L585" s="10" t="n">
        <x:f>INDEX(tun_HousingCap,G585)*EXP(tun_CapsByProject*SUMPRODUCT((Cap_Point&lt;=I585)*(Cap_Kind="Housing")*Cap_Ln))</x:f>
        <x:v>10692.026039199893</x:v>
      </x:c>
      <x:c r="M585" s="10" t="n">
        <x:f>INDEX(tun_GroupCap,G585)*tun_CohesionFactor*EXP(tun_CapsByProject*SUMPRODUCT((Cap_Point&lt;=I585)*(Cap_Kind="Group")*Cap_Ln))</x:f>
        <x:v>1000000.000000001</x:v>
      </x:c>
      <x:c r="N585" s="32" t="n">
        <x:f>MIN(J585,L585,M585)</x:f>
        <x:v>7847.747209225527</x:v>
      </x:c>
      <x:c r="O585" s="10" t="n">
        <x:f>AE584*N585</x:f>
        <x:v>70629.72488302973</x:v>
      </x:c>
      <x:c r="P585" s="9" t="n">
        <x:f>MIN(1,(AB584/(AE584*IF(tun_GroupInCrowding=1,N585,MIN(J585,L585))))^tun_CrowdingExp)</x:f>
        <x:v>0.3655675150835479</x:v>
      </x:c>
      <x:c r="Q585" s="9" t="n">
        <x:f>IF(D585=1,INDEX(tun_WinterMult,G585),1)</x:f>
        <x:v>1</x:v>
      </x:c>
      <x:c r="R585" s="9" t="n">
        <x:f>H585*Z584*tun_WomenShare*tun_BaseFertility*INDEX(tun_FertMult,G585)*Arch_Fertility*(1-P585)</x:f>
        <x:v>584.1995931032623</x:v>
      </x:c>
      <x:c r="S585" s="9" t="n">
        <x:f>H585*Y584*INDEX(tun_MortChild,G585)/4*Q585</x:f>
        <x:v>23.93767825519489</x:v>
      </x:c>
      <x:c r="T585" s="9" t="n">
        <x:f>H585*Z584*INDEX(tun_MortAdult,G585)*Arch_AdultMort/4*Q585</x:f>
        <x:v>19.317950784412986</x:v>
      </x:c>
      <x:c r="U585" s="9" t="n">
        <x:f>H585*AA584*INDEX(tun_MortElder,G585)/4*Q585</x:f>
        <x:v>104.68244713753064</x:v>
      </x:c>
      <x:c r="V585" s="9" t="n">
        <x:f>H585*MAX(0,AB584-O585)*tun_OvercapLoss</x:f>
        <x:v>0</x:v>
      </x:c>
      <x:c r="W585" s="9" t="n">
        <x:f>H585*Y584/(tun_ChildYears*4)</x:f>
        <x:v>379.9631469078554</x:v>
      </x:c>
      <x:c r="X585" s="9" t="n">
        <x:f>H585*Z584/(tun_AdultYears*4)</x:f>
        <x:v>207.71990090766653</x:v>
      </x:c>
      <x:c r="Y585" s="32" t="n">
        <x:f>Y584+R585-S585-W585-Y584*V585/AB584</x:f>
        <x:v>21458.234994780112</x:v>
      </x:c>
      <x:c r="Z585" s="32" t="n">
        <x:f>Z584+W585-X585-T585-Z584*V585/AB584</x:f>
        <x:v>25910.193007766426</x:v>
      </x:c>
      <x:c r="AA585" s="32" t="n">
        <x:f>AA584+X585-U585-AA584*V585/AB584</x:f>
        <x:v>12791.81892498597</x:v>
      </x:c>
      <x:c r="AB585" s="10" t="n">
        <x:f>Y585+Z585+AA585</x:f>
        <x:v>60160.24692753251</x:v>
      </x:c>
      <x:c r="AC585" s="8" t="n">
        <x:f>IF(AND(tun_WinterTrigger=1,D585=1,AB584/AE584&gt;=K585),1,0)</x:f>
        <x:v>0</x:v>
      </x:c>
      <x:c r="AD585" s="8" t="n">
        <x:f>H585*IF(AND(OR(AB584/AE584&gt;=tun_FissionTrigger*N585,AC585=1),AB584/AE584*tun_DaughterShare&gt;=tun_MinDaughter),MAX(1,ROUND(AE584*tun_FissionRate,0)),0)</x:f>
        <x:v>0</x:v>
      </x:c>
      <x:c r="AE585" s="8" t="n">
        <x:f>IF(H585=1,MAX(1,MIN(INDEX(tun_Smax,G585),AE584+AD585)),AE584)</x:f>
        <x:v>9</x:v>
      </x:c>
      <x:c r="AF585" s="8" t="n">
        <x:f>MAX(0,AE585-AE584)</x:f>
        <x:v>0</x:v>
      </x:c>
      <x:c r="AG585" s="9" t="str">
        <x:f>IF(AF585&gt;0,B585,"")</x:f>
      </x:c>
      <x:c r="AH585" s="9" t="n">
        <x:f>IF(F585&gt;=1,1,(1+tun_LowTiesShare*(AE585-1))/AE585)</x:f>
        <x:v>1</x:v>
      </x:c>
      <x:c r="AI585" s="32" t="n">
        <x:f>(Z585+tun_ElderCommons*INDEX(LM_Elder,G585)*AA585)*AH585</x:f>
        <x:v>73879.51397646382</x:v>
      </x:c>
      <x:c r="AJ585" s="32" t="n">
        <x:f>H585*tun_CommonsCoef*AI585^tun_CommonsExp*INDEX(LM_Commons,G585)</x:f>
        <x:v>198947.07322891796</x:v>
      </x:c>
      <x:c r="AK585" s="32" t="n">
        <x:f>H585*tun_RoleScale*Arch_Roles*(AE585*(INDEX(tun_ElderRolePerSett,G585)*tun_OutElder*INDEX(LM_Elder,G585)+INDEX(tun_ShamanPerSett,G585)*tun_OutShaman)+Z585*(INDEX(tun_PriestShare,G585)*tun_OutPriest+INDEX(tun_ScribeShare,G585)*tun_OutScribe*INDEX(LM_Scribe,G585)+INDEX(tun_ScholarShare,G585)*tun_OutScholar*INDEX(LM_Scholar,G585)+INDEX(tun_ResearcherShare,G585)*tun_OutResearcher*INDEX(LM_Researcher,G585)))</x:f>
        <x:v>53773.70190998747</x:v>
      </x:c>
      <x:c r="AL585" s="32" t="n">
        <x:f>H585*tun_RoleScale*Arch_Roles*AE585*INDEX(tun_MonasteryPerSett,G585)*tun_OutMonastery*INDEX(LM_Monastery,G585)</x:f>
        <x:v>31.680000000000003</x:v>
      </x:c>
      <x:c r="AM585" s="32" t="n">
        <x:f>(AJ585+AK585+AL585)/4*INDEX(LM_All,G585)*INDEX(tun_Boon,G585)*Arch_Insight</x:f>
        <x:v>182105.98923229182</x:v>
      </x:c>
      <x:c r="AN585" s="32" t="n">
        <x:f>H585*(tun_KHPerAdult*Z585+tun_KHOfCommons*AJ585/4*INDEX(LM_All,G585))*tun_KHUsable*Arch_KH</x:f>
        <x:v>28823.15799127879</x:v>
      </x:c>
      <x:c r="AO585" s="32" t="n">
        <x:f>MIN(AP584+AN585,AM585*tun_KHMaxRatio)</x:f>
        <x:v>28823.15799127879</x:v>
      </x:c>
      <x:c r="AP585" s="32" t="n">
        <x:f>AP584+AN585-AO585</x:f>
        <x:v>0</x:v>
      </x:c>
      <x:c r="AQ585" s="32" t="n">
        <x:f>AM585+AO585</x:f>
        <x:v>210929.14722357062</x:v>
      </x:c>
      <x:c r="AR585" s="10" t="n">
        <x:f>IF(H585=1,INDEX(tun_Req,G585),0)</x:f>
        <x:v>24497531.045680594</x:v>
      </x:c>
      <x:c r="AS585" s="32" t="n">
        <x:f>IF(H585=1,IF(E585=1,AS584-AR584,AS584)+AQ585,0)</x:f>
        <x:v>14369017.293087926</x:v>
      </x:c>
      <x:c r="AT585" s="11" t="n">
        <x:f>IF(AR585&gt;0,MIN(1,AS585/AR585),1)</x:f>
        <x:v>0.5865496105013192</x:v>
      </x:c>
      <x:c r="AU585" s="10" t="n">
        <x:f>AB585/INDEX(tun_RepScale,G585)</x:f>
        <x:v>240.64098771013005</x:v>
      </x:c>
      <x:c r="AV585" s="32" t="n">
        <x:f>AM585*60/tun_SeasonSeconds</x:f>
        <x:v>728423.9569291673</x:v>
      </x:c>
    </x:row>
    <x:row r="586">
      <x:c r="A586" s="8" t="n">
        <x:f>A585+1</x:f>
        <x:v>583</x:v>
      </x:c>
      <x:c r="B586" s="9" t="n">
        <x:f>A586*tun_SeasonSeconds/60</x:f>
        <x:v>145.75</x:v>
      </x:c>
      <x:c r="C586" s="9" t="n">
        <x:f>A586/4</x:f>
        <x:v>145.75</x:v>
      </x:c>
      <x:c r="D586" s="8" t="n">
        <x:f>IF(MOD(A586,4)=0,1,0)</x:f>
        <x:v>0</x:v>
      </x:c>
      <x:c r="E586" s="8" t="n">
        <x:f>IF(AND(F585&lt;=9,AS585&gt;=AR585),1,0)</x:f>
        <x:v>0</x:v>
      </x:c>
      <x:c r="F586" s="8" t="n">
        <x:f>MIN(10,F585+E586)</x:f>
        <x:v>8</x:v>
      </x:c>
      <x:c r="G586" s="8" t="n">
        <x:f>MIN(F586,9)+1</x:f>
        <x:v>9</x:v>
      </x:c>
      <x:c r="H586" s="8" t="n">
        <x:f>IF(F586&lt;=9,1,0)</x:f>
        <x:v>1</x:v>
      </x:c>
      <x:c r="I586" s="9" t="n">
        <x:f>MIN(10,F585+IF(AR585&gt;0,MIN(1,AS585/AR585),1))</x:f>
        <x:v>8.586549610501319</x:v>
      </x:c>
      <x:c r="J586" s="32" t="n">
        <x:f>INDEX(tun_FoodCap,G586)*Arch_FoodCap*EXP(tun_CapsByProject*SUMPRODUCT((Cap_Point&lt;=I586)*(Cap_Kind="Food")*Cap_Ln))</x:f>
        <x:v>7847.747209225527</x:v>
      </x:c>
      <x:c r="K586" s="32" t="n">
        <x:f>J586*MIN(1,tun_LeanBase*EXP(tun_CapsByProject*SUMPRODUCT((Cap_Point&lt;=I586)*(Cap_Kind="Lean")*Cap_Ln)))</x:f>
        <x:v>7847.747209225527</x:v>
      </x:c>
      <x:c r="L586" s="10" t="n">
        <x:f>INDEX(tun_HousingCap,G586)*EXP(tun_CapsByProject*SUMPRODUCT((Cap_Point&lt;=I586)*(Cap_Kind="Housing")*Cap_Ln))</x:f>
        <x:v>10692.026039199893</x:v>
      </x:c>
      <x:c r="M586" s="10" t="n">
        <x:f>INDEX(tun_GroupCap,G586)*tun_CohesionFactor*EXP(tun_CapsByProject*SUMPRODUCT((Cap_Point&lt;=I586)*(Cap_Kind="Group")*Cap_Ln))</x:f>
        <x:v>1000000.000000001</x:v>
      </x:c>
      <x:c r="N586" s="32" t="n">
        <x:f>MIN(J586,L586,M586)</x:f>
        <x:v>7847.747209225527</x:v>
      </x:c>
      <x:c r="O586" s="10" t="n">
        <x:f>AE585*N586</x:f>
        <x:v>70629.72488302973</x:v>
      </x:c>
      <x:c r="P586" s="9" t="n">
        <x:f>MIN(1,(AB585/(AE585*IF(tun_GroupInCrowding=1,N586,MIN(J586,L586))))^tun_CrowdingExp)</x:f>
        <x:v>0.38188497645100794</x:v>
      </x:c>
      <x:c r="Q586" s="9" t="n">
        <x:f>IF(D586=1,INDEX(tun_WinterMult,G586),1)</x:f>
        <x:v>1</x:v>
      </x:c>
      <x:c r="R586" s="9" t="n">
        <x:f>H586*Z585*tun_WomenShare*tun_BaseFertility*INDEX(tun_FertMult,G586)*Arch_Fertility*(1-P586)</x:f>
        <x:v>572.5533943112724</x:v>
      </x:c>
      <x:c r="S586" s="9" t="n">
        <x:f>H586*Y585*INDEX(tun_MortChild,G586)/4*Q586</x:f>
        <x:v>24.140514369127626</x:v>
      </x:c>
      <x:c r="T586" s="9" t="n">
        <x:f>H586*Z585*INDEX(tun_MortAdult,G586)*Arch_AdultMort/4*Q586</x:f>
        <x:v>19.43264475582482</x:v>
      </x:c>
      <x:c r="U586" s="9" t="n">
        <x:f>H586*AA585*INDEX(tun_MortElder,G586)/4*Q586</x:f>
        <x:v>105.53250613113426</x:v>
      </x:c>
      <x:c r="V586" s="9" t="n">
        <x:f>H586*MAX(0,AB585-O586)*tun_OvercapLoss</x:f>
        <x:v>0</x:v>
      </x:c>
      <x:c r="W586" s="9" t="n">
        <x:f>H586*Y585/(tun_ChildYears*4)</x:f>
        <x:v>383.1827677639306</x:v>
      </x:c>
      <x:c r="X586" s="9" t="n">
        <x:f>H586*Z585/(tun_AdultYears*4)</x:f>
        <x:v>208.95316941747117</x:v>
      </x:c>
      <x:c r="Y586" s="32" t="n">
        <x:f>Y585+R586-S586-W586-Y585*V586/AB585</x:f>
        <x:v>21623.465106958327</x:v>
      </x:c>
      <x:c r="Z586" s="32" t="n">
        <x:f>Z585+W586-X586-T586-Z585*V586/AB585</x:f>
        <x:v>26064.98996135706</x:v>
      </x:c>
      <x:c r="AA586" s="32" t="n">
        <x:f>AA585+X586-U586-AA585*V586/AB585</x:f>
        <x:v>12895.239588272307</x:v>
      </x:c>
      <x:c r="AB586" s="10" t="n">
        <x:f>Y586+Z586+AA586</x:f>
        <x:v>60583.69465658769</x:v>
      </x:c>
      <x:c r="AC586" s="8" t="n">
        <x:f>IF(AND(tun_WinterTrigger=1,D586=1,AB585/AE585&gt;=K586),1,0)</x:f>
        <x:v>0</x:v>
      </x:c>
      <x:c r="AD586" s="8" t="n">
        <x:f>H586*IF(AND(OR(AB585/AE585&gt;=tun_FissionTrigger*N586,AC586=1),AB585/AE585*tun_DaughterShare&gt;=tun_MinDaughter),MAX(1,ROUND(AE585*tun_FissionRate,0)),0)</x:f>
        <x:v>3</x:v>
      </x:c>
      <x:c r="AE586" s="8" t="n">
        <x:f>IF(H586=1,MAX(1,MIN(INDEX(tun_Smax,G586),AE585+AD586)),AE585)</x:f>
        <x:v>9</x:v>
      </x:c>
      <x:c r="AF586" s="8" t="n">
        <x:f>MAX(0,AE586-AE585)</x:f>
        <x:v>0</x:v>
      </x:c>
      <x:c r="AG586" s="9" t="str">
        <x:f>IF(AF586&gt;0,B586,"")</x:f>
      </x:c>
      <x:c r="AH586" s="9" t="n">
        <x:f>IF(F586&gt;=1,1,(1+tun_LowTiesShare*(AE586-1))/AE586)</x:f>
        <x:v>1</x:v>
      </x:c>
      <x:c r="AI586" s="32" t="n">
        <x:f>(Z586+tun_ElderCommons*INDEX(LM_Elder,G586)*AA586)*AH586</x:f>
        <x:v>74422.13841737821</x:v>
      </x:c>
      <x:c r="AJ586" s="32" t="n">
        <x:f>H586*tun_CommonsCoef*AI586^tun_CommonsExp*INDEX(LM_Commons,G586)</x:f>
        <x:v>200188.42015837153</x:v>
      </x:c>
      <x:c r="AK586" s="32" t="n">
        <x:f>H586*tun_RoleScale*Arch_Roles*(AE586*(INDEX(tun_ElderRolePerSett,G586)*tun_OutElder*INDEX(LM_Elder,G586)+INDEX(tun_ShamanPerSett,G586)*tun_OutShaman)+Z586*(INDEX(tun_PriestShare,G586)*tun_OutPriest+INDEX(tun_ScribeShare,G586)*tun_OutScribe*INDEX(LM_Scribe,G586)+INDEX(tun_ScholarShare,G586)*tun_OutScholar*INDEX(LM_Scholar,G586)+INDEX(tun_ResearcherShare,G586)*tun_OutResearcher*INDEX(LM_Researcher,G586)))</x:f>
        <x:v>54093.51386880809</x:v>
      </x:c>
      <x:c r="AL586" s="32" t="n">
        <x:f>H586*tun_RoleScale*Arch_Roles*AE586*INDEX(tun_MonasteryPerSett,G586)*tun_OutMonastery*INDEX(LM_Monastery,G586)</x:f>
        <x:v>31.680000000000003</x:v>
      </x:c>
      <x:c r="AM586" s="32" t="n">
        <x:f>(AJ586+AK586+AL586)/4*INDEX(LM_All,G586)*INDEX(tun_Boon,G586)*Arch_Insight</x:f>
        <x:v>183230.79090253363</x:v>
      </x:c>
      <x:c r="AN586" s="32" t="n">
        <x:f>H586*(tun_KHPerAdult*Z586+tun_KHOfCommons*AJ586/4*INDEX(LM_All,G586))*tun_KHUsable*Arch_KH</x:f>
        <x:v>29003.00250011688</x:v>
      </x:c>
      <x:c r="AO586" s="32" t="n">
        <x:f>MIN(AP585+AN586,AM586*tun_KHMaxRatio)</x:f>
        <x:v>29003.00250011688</x:v>
      </x:c>
      <x:c r="AP586" s="32" t="n">
        <x:f>AP585+AN586-AO586</x:f>
        <x:v>0</x:v>
      </x:c>
      <x:c r="AQ586" s="32" t="n">
        <x:f>AM586+AO586</x:f>
        <x:v>212233.7934026505</x:v>
      </x:c>
      <x:c r="AR586" s="10" t="n">
        <x:f>IF(H586=1,INDEX(tun_Req,G586),0)</x:f>
        <x:v>24497531.045680594</x:v>
      </x:c>
      <x:c r="AS586" s="32" t="n">
        <x:f>IF(H586=1,IF(E586=1,AS585-AR585,AS585)+AQ586,0)</x:f>
        <x:v>14581251.086490577</x:v>
      </x:c>
      <x:c r="AT586" s="11" t="n">
        <x:f>IF(AR586&gt;0,MIN(1,AS586/AR586),1)</x:f>
        <x:v>0.5952130873638201</x:v>
      </x:c>
      <x:c r="AU586" s="10" t="n">
        <x:f>AB586/INDEX(tun_RepScale,G586)</x:f>
        <x:v>242.33477862635078</x:v>
      </x:c>
      <x:c r="AV586" s="32" t="n">
        <x:f>AM586*60/tun_SeasonSeconds</x:f>
        <x:v>732923.1636101345</x:v>
      </x:c>
    </x:row>
    <x:row r="587">
      <x:c r="A587" s="8" t="n">
        <x:f>A586+1</x:f>
        <x:v>584</x:v>
      </x:c>
      <x:c r="B587" s="9" t="n">
        <x:f>A587*tun_SeasonSeconds/60</x:f>
        <x:v>146</x:v>
      </x:c>
      <x:c r="C587" s="9" t="n">
        <x:f>A587/4</x:f>
        <x:v>146</x:v>
      </x:c>
      <x:c r="D587" s="8" t="n">
        <x:f>IF(MOD(A587,4)=0,1,0)</x:f>
        <x:v>1</x:v>
      </x:c>
      <x:c r="E587" s="8" t="n">
        <x:f>IF(AND(F586&lt;=9,AS586&gt;=AR586),1,0)</x:f>
        <x:v>0</x:v>
      </x:c>
      <x:c r="F587" s="8" t="n">
        <x:f>MIN(10,F586+E587)</x:f>
        <x:v>8</x:v>
      </x:c>
      <x:c r="G587" s="8" t="n">
        <x:f>MIN(F587,9)+1</x:f>
        <x:v>9</x:v>
      </x:c>
      <x:c r="H587" s="8" t="n">
        <x:f>IF(F587&lt;=9,1,0)</x:f>
        <x:v>1</x:v>
      </x:c>
      <x:c r="I587" s="9" t="n">
        <x:f>MIN(10,F586+IF(AR586&gt;0,MIN(1,AS586/AR586),1))</x:f>
        <x:v>8.59521308736382</x:v>
      </x:c>
      <x:c r="J587" s="32" t="n">
        <x:f>INDEX(tun_FoodCap,G587)*Arch_FoodCap*EXP(tun_CapsByProject*SUMPRODUCT((Cap_Point&lt;=I587)*(Cap_Kind="Food")*Cap_Ln))</x:f>
        <x:v>7847.747209225527</x:v>
      </x:c>
      <x:c r="K587" s="32" t="n">
        <x:f>J587*MIN(1,tun_LeanBase*EXP(tun_CapsByProject*SUMPRODUCT((Cap_Point&lt;=I587)*(Cap_Kind="Lean")*Cap_Ln)))</x:f>
        <x:v>7847.747209225527</x:v>
      </x:c>
      <x:c r="L587" s="10" t="n">
        <x:f>INDEX(tun_HousingCap,G587)*EXP(tun_CapsByProject*SUMPRODUCT((Cap_Point&lt;=I587)*(Cap_Kind="Housing")*Cap_Ln))</x:f>
        <x:v>10692.026039199893</x:v>
      </x:c>
      <x:c r="M587" s="10" t="n">
        <x:f>INDEX(tun_GroupCap,G587)*tun_CohesionFactor*EXP(tun_CapsByProject*SUMPRODUCT((Cap_Point&lt;=I587)*(Cap_Kind="Group")*Cap_Ln))</x:f>
        <x:v>1000000.000000001</x:v>
      </x:c>
      <x:c r="N587" s="32" t="n">
        <x:f>MIN(J587,L587,M587)</x:f>
        <x:v>7847.747209225527</x:v>
      </x:c>
      <x:c r="O587" s="10" t="n">
        <x:f>AE586*N587</x:f>
        <x:v>70629.72488302973</x:v>
      </x:c>
      <x:c r="P587" s="9" t="n">
        <x:f>MIN(1,(AB586/(AE586*IF(tun_GroupInCrowding=1,N587,MIN(J587,L587))))^tun_CrowdingExp)</x:f>
        <x:v>0.39829920747037006</x:v>
      </x:c>
      <x:c r="Q587" s="9" t="n">
        <x:f>IF(D587=1,INDEX(tun_WinterMult,G587),1)</x:f>
        <x:v>1.05</x:v>
      </x:c>
      <x:c r="R587" s="9" t="n">
        <x:f>H587*Z586*tun_WomenShare*tun_BaseFertility*INDEX(tun_FertMult,G587)*Arch_Fertility*(1-P587)</x:f>
        <x:v>560.6788729336578</x:v>
      </x:c>
      <x:c r="S587" s="9" t="n">
        <x:f>H587*Y586*INDEX(tun_MortChild,G587)/4*Q587</x:f>
        <x:v>25.54271815759452</x:v>
      </x:c>
      <x:c r="T587" s="9" t="n">
        <x:f>H587*Z586*INDEX(tun_MortAdult,G587)*Arch_AdultMort/4*Q587</x:f>
        <x:v>20.52617959456869</x:v>
      </x:c>
      <x:c r="U587" s="9" t="n">
        <x:f>H587*AA586*INDEX(tun_MortElder,G587)/4*Q587</x:f>
        <x:v>111.70501293340887</x:v>
      </x:c>
      <x:c r="V587" s="9" t="n">
        <x:f>H587*MAX(0,AB586-O587)*tun_OvercapLoss</x:f>
        <x:v>0</x:v>
      </x:c>
      <x:c r="W587" s="9" t="n">
        <x:f>H587*Y586/(tun_ChildYears*4)</x:f>
        <x:v>386.1333054813987</x:v>
      </x:c>
      <x:c r="X587" s="9" t="n">
        <x:f>H587*Z586/(tun_AdultYears*4)</x:f>
        <x:v>210.2015319464279</x:v>
      </x:c>
      <x:c r="Y587" s="32" t="n">
        <x:f>Y586+R587-S587-W587-Y586*V587/AB586</x:f>
        <x:v>21772.467956252993</x:v>
      </x:c>
      <x:c r="Z587" s="32" t="n">
        <x:f>Z586+W587-X587-T587-Z586*V587/AB586</x:f>
        <x:v>26220.395555297462</x:v>
      </x:c>
      <x:c r="AA587" s="32" t="n">
        <x:f>AA586+X587-U587-AA586*V587/AB586</x:f>
        <x:v>12993.736107285325</x:v>
      </x:c>
      <x:c r="AB587" s="10" t="n">
        <x:f>Y587+Z587+AA587</x:f>
        <x:v>60986.59961883578</x:v>
      </x:c>
      <x:c r="AC587" s="8" t="n">
        <x:f>IF(AND(tun_WinterTrigger=1,D587=1,AB586/AE586&gt;=K587),1,0)</x:f>
        <x:v>0</x:v>
      </x:c>
      <x:c r="AD587" s="8" t="n">
        <x:f>H587*IF(AND(OR(AB586/AE586&gt;=tun_FissionTrigger*N587,AC587=1),AB586/AE586*tun_DaughterShare&gt;=tun_MinDaughter),MAX(1,ROUND(AE586*tun_FissionRate,0)),0)</x:f>
        <x:v>3</x:v>
      </x:c>
      <x:c r="AE587" s="8" t="n">
        <x:f>IF(H587=1,MAX(1,MIN(INDEX(tun_Smax,G587),AE586+AD587)),AE586)</x:f>
        <x:v>9</x:v>
      </x:c>
      <x:c r="AF587" s="8" t="n">
        <x:f>MAX(0,AE587-AE586)</x:f>
        <x:v>0</x:v>
      </x:c>
      <x:c r="AG587" s="9" t="str">
        <x:f>IF(AF587&gt;0,B587,"")</x:f>
      </x:c>
      <x:c r="AH587" s="9" t="n">
        <x:f>IF(F587&gt;=1,1,(1+tun_LowTiesShare*(AE587-1))/AE587)</x:f>
        <x:v>1</x:v>
      </x:c>
      <x:c r="AI587" s="32" t="n">
        <x:f>(Z587+tun_ElderCommons*INDEX(LM_Elder,G587)*AA587)*AH587</x:f>
        <x:v>74946.90595761743</x:v>
      </x:c>
      <x:c r="AJ587" s="32" t="n">
        <x:f>H587*tun_CommonsCoef*AI587^tun_CommonsExp*INDEX(LM_Commons,G587)</x:f>
        <x:v>201387.62557563372</x:v>
      </x:c>
      <x:c r="AK587" s="32" t="n">
        <x:f>H587*tun_RoleScale*Arch_Roles*(AE587*(INDEX(tun_ElderRolePerSett,G587)*tun_OutElder*INDEX(LM_Elder,G587)+INDEX(tun_ShamanPerSett,G587)*tun_OutShaman)+Z587*(INDEX(tun_PriestShare,G587)*tun_OutPriest+INDEX(tun_ScribeShare,G587)*tun_OutScribe*INDEX(LM_Scribe,G587)+INDEX(tun_ScholarShare,G587)*tun_OutScholar*INDEX(LM_Scholar,G587)+INDEX(tun_ResearcherShare,G587)*tun_OutResearcher*INDEX(LM_Researcher,G587)))</x:f>
        <x:v>54414.583284303175</x:v>
      </x:c>
      <x:c r="AL587" s="32" t="n">
        <x:f>H587*tun_RoleScale*Arch_Roles*AE587*INDEX(tun_MonasteryPerSett,G587)*tun_OutMonastery*INDEX(LM_Monastery,G587)</x:f>
        <x:v>31.680000000000003</x:v>
      </x:c>
      <x:c r="AM587" s="32" t="n">
        <x:f>(AJ587+AK587+AL587)/4*INDEX(LM_All,G587)*INDEX(tun_Boon,G587)*Arch_Insight</x:f>
        <x:v>184326.13595930894</x:v>
      </x:c>
      <x:c r="AN587" s="32" t="n">
        <x:f>H587*(tun_KHPerAdult*Z587+tun_KHOfCommons*AJ587/4*INDEX(LM_All,G587))*tun_KHUsable*Arch_KH</x:f>
        <x:v>29176.741608939927</x:v>
      </x:c>
      <x:c r="AO587" s="32" t="n">
        <x:f>MIN(AP586+AN587,AM587*tun_KHMaxRatio)</x:f>
        <x:v>29176.741608939927</x:v>
      </x:c>
      <x:c r="AP587" s="32" t="n">
        <x:f>AP586+AN587-AO587</x:f>
        <x:v>0</x:v>
      </x:c>
      <x:c r="AQ587" s="32" t="n">
        <x:f>AM587+AO587</x:f>
        <x:v>213502.87756824886</x:v>
      </x:c>
      <x:c r="AR587" s="10" t="n">
        <x:f>IF(H587=1,INDEX(tun_Req,G587),0)</x:f>
        <x:v>24497531.045680594</x:v>
      </x:c>
      <x:c r="AS587" s="32" t="n">
        <x:f>IF(H587=1,IF(E587=1,AS586-AR586,AS586)+AQ587,0)</x:f>
        <x:v>14794753.964058826</x:v>
      </x:c>
      <x:c r="AT587" s="11" t="n">
        <x:f>IF(AR587&gt;0,MIN(1,AS587/AR587),1)</x:f>
        <x:v>0.6039283688005546</x:v>
      </x:c>
      <x:c r="AU587" s="10" t="n">
        <x:f>AB587/INDEX(tun_RepScale,G587)</x:f>
        <x:v>243.94639847534313</x:v>
      </x:c>
      <x:c r="AV587" s="32" t="n">
        <x:f>AM587*60/tun_SeasonSeconds</x:f>
        <x:v>737304.5438372358</x:v>
      </x:c>
    </x:row>
    <x:row r="588">
      <x:c r="A588" s="8" t="n">
        <x:f>A587+1</x:f>
        <x:v>585</x:v>
      </x:c>
      <x:c r="B588" s="9" t="n">
        <x:f>A588*tun_SeasonSeconds/60</x:f>
        <x:v>146.25</x:v>
      </x:c>
      <x:c r="C588" s="9" t="n">
        <x:f>A588/4</x:f>
        <x:v>146.25</x:v>
      </x:c>
      <x:c r="D588" s="8" t="n">
        <x:f>IF(MOD(A588,4)=0,1,0)</x:f>
        <x:v>0</x:v>
      </x:c>
      <x:c r="E588" s="8" t="n">
        <x:f>IF(AND(F587&lt;=9,AS587&gt;=AR587),1,0)</x:f>
        <x:v>0</x:v>
      </x:c>
      <x:c r="F588" s="8" t="n">
        <x:f>MIN(10,F587+E588)</x:f>
        <x:v>8</x:v>
      </x:c>
      <x:c r="G588" s="8" t="n">
        <x:f>MIN(F588,9)+1</x:f>
        <x:v>9</x:v>
      </x:c>
      <x:c r="H588" s="8" t="n">
        <x:f>IF(F588&lt;=9,1,0)</x:f>
        <x:v>1</x:v>
      </x:c>
      <x:c r="I588" s="9" t="n">
        <x:f>MIN(10,F587+IF(AR587&gt;0,MIN(1,AS587/AR587),1))</x:f>
        <x:v>8.603928368800554</x:v>
      </x:c>
      <x:c r="J588" s="32" t="n">
        <x:f>INDEX(tun_FoodCap,G588)*Arch_FoodCap*EXP(tun_CapsByProject*SUMPRODUCT((Cap_Point&lt;=I588)*(Cap_Kind="Food")*Cap_Ln))</x:f>
        <x:v>12748.70295338279</x:v>
      </x:c>
      <x:c r="K588" s="32" t="n">
        <x:f>J588*MIN(1,tun_LeanBase*EXP(tun_CapsByProject*SUMPRODUCT((Cap_Point&lt;=I588)*(Cap_Kind="Lean")*Cap_Ln)))</x:f>
        <x:v>12748.70295338279</x:v>
      </x:c>
      <x:c r="L588" s="10" t="n">
        <x:f>INDEX(tun_HousingCap,G588)*EXP(tun_CapsByProject*SUMPRODUCT((Cap_Point&lt;=I588)*(Cap_Kind="Housing")*Cap_Ln))</x:f>
        <x:v>12514.86067705494</x:v>
      </x:c>
      <x:c r="M588" s="10" t="n">
        <x:f>INDEX(tun_GroupCap,G588)*tun_CohesionFactor*EXP(tun_CapsByProject*SUMPRODUCT((Cap_Point&lt;=I588)*(Cap_Kind="Group")*Cap_Ln))</x:f>
        <x:v>1000000.000000001</x:v>
      </x:c>
      <x:c r="N588" s="32" t="n">
        <x:f>MIN(J588,L588,M588)</x:f>
        <x:v>12514.86067705494</x:v>
      </x:c>
      <x:c r="O588" s="10" t="n">
        <x:f>AE587*N588</x:f>
        <x:v>112633.74609349445</x:v>
      </x:c>
      <x:c r="P588" s="9" t="n">
        <x:f>MIN(1,(AB587/(AE587*IF(tun_GroupInCrowding=1,N588,MIN(J588,L588))))^tun_CrowdingExp)</x:f>
        <x:v>0.02519969851759804</x:v>
      </x:c>
      <x:c r="Q588" s="9" t="n">
        <x:f>IF(D588=1,INDEX(tun_WinterMult,G588),1)</x:f>
        <x:v>1</x:v>
      </x:c>
      <x:c r="R588" s="9" t="n">
        <x:f>H588*Z587*tun_WomenShare*tun_BaseFertility*INDEX(tun_FertMult,G588)*Arch_Fertility*(1-P588)</x:f>
        <x:v>913.7574693494319</x:v>
      </x:c>
      <x:c r="S588" s="9" t="n">
        <x:f>H588*Y587*INDEX(tun_MortChild,G588)/4*Q588</x:f>
        <x:v>24.494026450784617</x:v>
      </x:c>
      <x:c r="T588" s="9" t="n">
        <x:f>H588*Z587*INDEX(tun_MortAdult,G588)*Arch_AdultMort/4*Q588</x:f>
        <x:v>19.665296666473097</x:v>
      </x:c>
      <x:c r="U588" s="9" t="n">
        <x:f>H588*AA587*INDEX(tun_MortElder,G588)/4*Q588</x:f>
        <x:v>107.19832288510393</x:v>
      </x:c>
      <x:c r="V588" s="9" t="n">
        <x:f>H588*MAX(0,AB587-O588)*tun_OvercapLoss</x:f>
        <x:v>0</x:v>
      </x:c>
      <x:c r="W588" s="9" t="n">
        <x:f>H588*Y587/(tun_ChildYears*4)</x:f>
        <x:v>388.7940706473749</x:v>
      </x:c>
      <x:c r="X588" s="9" t="n">
        <x:f>H588*Z587/(tun_AdultYears*4)</x:f>
        <x:v>211.45480286530213</x:v>
      </x:c>
      <x:c r="Y588" s="32" t="n">
        <x:f>Y587+R588-S588-W588-Y587*V588/AB587</x:f>
        <x:v>22272.937328504264</x:v>
      </x:c>
      <x:c r="Z588" s="32" t="n">
        <x:f>Z587+W588-X588-T588-Z587*V588/AB587</x:f>
        <x:v>26378.069526413063</x:v>
      </x:c>
      <x:c r="AA588" s="32" t="n">
        <x:f>AA587+X588-U588-AA587*V588/AB587</x:f>
        <x:v>13097.992587265524</x:v>
      </x:c>
      <x:c r="AB588" s="10" t="n">
        <x:f>Y588+Z588+AA588</x:f>
        <x:v>61748.99944218285</x:v>
      </x:c>
      <x:c r="AC588" s="8" t="n">
        <x:f>IF(AND(tun_WinterTrigger=1,D588=1,AB587/AE587&gt;=K588),1,0)</x:f>
        <x:v>0</x:v>
      </x:c>
      <x:c r="AD588" s="8" t="n">
        <x:f>H588*IF(AND(OR(AB587/AE587&gt;=tun_FissionTrigger*N588,AC588=1),AB587/AE587*tun_DaughterShare&gt;=tun_MinDaughter),MAX(1,ROUND(AE587*tun_FissionRate,0)),0)</x:f>
        <x:v>0</x:v>
      </x:c>
      <x:c r="AE588" s="8" t="n">
        <x:f>IF(H588=1,MAX(1,MIN(INDEX(tun_Smax,G588),AE587+AD588)),AE587)</x:f>
        <x:v>9</x:v>
      </x:c>
      <x:c r="AF588" s="8" t="n">
        <x:f>MAX(0,AE588-AE587)</x:f>
        <x:v>0</x:v>
      </x:c>
      <x:c r="AG588" s="9" t="str">
        <x:f>IF(AF588&gt;0,B588,"")</x:f>
      </x:c>
      <x:c r="AH588" s="9" t="n">
        <x:f>IF(F588&gt;=1,1,(1+tun_LowTiesShare*(AE588-1))/AE588)</x:f>
        <x:v>1</x:v>
      </x:c>
      <x:c r="AI588" s="32" t="n">
        <x:f>(Z588+tun_ElderCommons*INDEX(LM_Elder,G588)*AA588)*AH588</x:f>
        <x:v>75495.54172865878</x:v>
      </x:c>
      <x:c r="AJ588" s="32" t="n">
        <x:f>H588*tun_CommonsCoef*AI588^tun_CommonsExp*INDEX(LM_Commons,G588)</x:f>
        <x:v>202640.02910237742</x:v>
      </x:c>
      <x:c r="AK588" s="32" t="n">
        <x:f>H588*tun_RoleScale*Arch_Roles*(AE588*(INDEX(tun_ElderRolePerSett,G588)*tun_OutElder*INDEX(LM_Elder,G588)+INDEX(tun_ShamanPerSett,G588)*tun_OutShaman)+Z588*(INDEX(tun_PriestShare,G588)*tun_OutPriest+INDEX(tun_ScribeShare,G588)*tun_OutScribe*INDEX(LM_Scribe,G588)+INDEX(tun_ScholarShare,G588)*tun_OutScholar*INDEX(LM_Scholar,G588)+INDEX(tun_ResearcherShare,G588)*tun_OutResearcher*INDEX(LM_Researcher,G588)))</x:f>
        <x:v>54740.33918832995</x:v>
      </x:c>
      <x:c r="AL588" s="32" t="n">
        <x:f>H588*tun_RoleScale*Arch_Roles*AE588*INDEX(tun_MonasteryPerSett,G588)*tun_OutMonastery*INDEX(LM_Monastery,G588)</x:f>
        <x:v>31.680000000000003</x:v>
      </x:c>
      <x:c r="AM588" s="32" t="n">
        <x:f>(AJ588+AK588+AL588)/4*INDEX(LM_All,G588)*INDEX(tun_Boon,G588)*Arch_Insight</x:f>
        <x:v>185463.18637549097</x:v>
      </x:c>
      <x:c r="AN588" s="32" t="n">
        <x:f>H588*(tun_KHPerAdult*Z588+tun_KHOfCommons*AJ588/4*INDEX(LM_All,G588))*tun_KHUsable*Arch_KH</x:f>
        <x:v>29358.187981255396</x:v>
      </x:c>
      <x:c r="AO588" s="32" t="n">
        <x:f>MIN(AP587+AN588,AM588*tun_KHMaxRatio)</x:f>
        <x:v>29358.187981255396</x:v>
      </x:c>
      <x:c r="AP588" s="32" t="n">
        <x:f>AP587+AN588-AO588</x:f>
        <x:v>0</x:v>
      </x:c>
      <x:c r="AQ588" s="32" t="n">
        <x:f>AM588+AO588</x:f>
        <x:v>214821.37435674638</x:v>
      </x:c>
      <x:c r="AR588" s="10" t="n">
        <x:f>IF(H588=1,INDEX(tun_Req,G588),0)</x:f>
        <x:v>24497531.045680594</x:v>
      </x:c>
      <x:c r="AS588" s="32" t="n">
        <x:f>IF(H588=1,IF(E588=1,AS587-AR587,AS587)+AQ588,0)</x:f>
        <x:v>15009575.338415572</x:v>
      </x:c>
      <x:c r="AT588" s="11" t="n">
        <x:f>IF(AR588&gt;0,MIN(1,AS588/AR588),1)</x:f>
        <x:v>0.6126974718565389</x:v>
      </x:c>
      <x:c r="AU588" s="10" t="n">
        <x:f>AB588/INDEX(tun_RepScale,G588)</x:f>
        <x:v>246.9959977687314</x:v>
      </x:c>
      <x:c r="AV588" s="32" t="n">
        <x:f>AM588*60/tun_SeasonSeconds</x:f>
        <x:v>741852.7455019639</x:v>
      </x:c>
    </x:row>
    <x:row r="589">
      <x:c r="A589" s="8" t="n">
        <x:f>A588+1</x:f>
        <x:v>586</x:v>
      </x:c>
      <x:c r="B589" s="9" t="n">
        <x:f>A589*tun_SeasonSeconds/60</x:f>
        <x:v>146.5</x:v>
      </x:c>
      <x:c r="C589" s="9" t="n">
        <x:f>A589/4</x:f>
        <x:v>146.5</x:v>
      </x:c>
      <x:c r="D589" s="8" t="n">
        <x:f>IF(MOD(A589,4)=0,1,0)</x:f>
        <x:v>0</x:v>
      </x:c>
      <x:c r="E589" s="8" t="n">
        <x:f>IF(AND(F588&lt;=9,AS588&gt;=AR588),1,0)</x:f>
        <x:v>0</x:v>
      </x:c>
      <x:c r="F589" s="8" t="n">
        <x:f>MIN(10,F588+E589)</x:f>
        <x:v>8</x:v>
      </x:c>
      <x:c r="G589" s="8" t="n">
        <x:f>MIN(F589,9)+1</x:f>
        <x:v>9</x:v>
      </x:c>
      <x:c r="H589" s="8" t="n">
        <x:f>IF(F589&lt;=9,1,0)</x:f>
        <x:v>1</x:v>
      </x:c>
      <x:c r="I589" s="9" t="n">
        <x:f>MIN(10,F588+IF(AR588&gt;0,MIN(1,AS588/AR588),1))</x:f>
        <x:v>8.612697471856539</x:v>
      </x:c>
      <x:c r="J589" s="32" t="n">
        <x:f>INDEX(tun_FoodCap,G589)*Arch_FoodCap*EXP(tun_CapsByProject*SUMPRODUCT((Cap_Point&lt;=I589)*(Cap_Kind="Food")*Cap_Ln))</x:f>
        <x:v>12748.70295338279</x:v>
      </x:c>
      <x:c r="K589" s="32" t="n">
        <x:f>J589*MIN(1,tun_LeanBase*EXP(tun_CapsByProject*SUMPRODUCT((Cap_Point&lt;=I589)*(Cap_Kind="Lean")*Cap_Ln)))</x:f>
        <x:v>12748.70295338279</x:v>
      </x:c>
      <x:c r="L589" s="10" t="n">
        <x:f>INDEX(tun_HousingCap,G589)*EXP(tun_CapsByProject*SUMPRODUCT((Cap_Point&lt;=I589)*(Cap_Kind="Housing")*Cap_Ln))</x:f>
        <x:v>12514.86067705494</x:v>
      </x:c>
      <x:c r="M589" s="10" t="n">
        <x:f>INDEX(tun_GroupCap,G589)*tun_CohesionFactor*EXP(tun_CapsByProject*SUMPRODUCT((Cap_Point&lt;=I589)*(Cap_Kind="Group")*Cap_Ln))</x:f>
        <x:v>1000000.000000001</x:v>
      </x:c>
      <x:c r="N589" s="32" t="n">
        <x:f>MIN(J589,L589,M589)</x:f>
        <x:v>12514.86067705494</x:v>
      </x:c>
      <x:c r="O589" s="10" t="n">
        <x:f>AE588*N589</x:f>
        <x:v>112633.74609349445</x:v>
      </x:c>
      <x:c r="P589" s="9" t="n">
        <x:f>MIN(1,(AB588/(AE588*IF(tun_GroupInCrowding=1,N589,MIN(J589,L589))))^tun_CrowdingExp)</x:f>
        <x:v>0.027149908954858068</x:v>
      </x:c>
      <x:c r="Q589" s="9" t="n">
        <x:f>IF(D589=1,INDEX(tun_WinterMult,G589),1)</x:f>
        <x:v>1</x:v>
      </x:c>
      <x:c r="R589" s="9" t="n">
        <x:f>H589*Z588*tun_WomenShare*tun_BaseFertility*INDEX(tun_FertMult,G589)*Arch_Fertility*(1-P589)</x:f>
        <x:v>917.4131874180858</x:v>
      </x:c>
      <x:c r="S589" s="9" t="n">
        <x:f>H589*Y588*INDEX(tun_MortChild,G589)/4*Q589</x:f>
        <x:v>25.057054494567296</x:v>
      </x:c>
      <x:c r="T589" s="9" t="n">
        <x:f>H589*Z588*INDEX(tun_MortAdult,G589)*Arch_AdultMort/4*Q589</x:f>
        <x:v>19.783552144809796</x:v>
      </x:c>
      <x:c r="U589" s="9" t="n">
        <x:f>H589*AA588*INDEX(tun_MortElder,G589)/4*Q589</x:f>
        <x:v>108.05843884494058</x:v>
      </x:c>
      <x:c r="V589" s="9" t="n">
        <x:f>H589*MAX(0,AB588-O589)*tun_OvercapLoss</x:f>
        <x:v>0</x:v>
      </x:c>
      <x:c r="W589" s="9" t="n">
        <x:f>H589*Y588/(tun_ChildYears*4)</x:f>
        <x:v>397.73102372329043</x:v>
      </x:c>
      <x:c r="X589" s="9" t="n">
        <x:f>H589*Z588/(tun_AdultYears*4)</x:f>
        <x:v>212.72636714849244</x:v>
      </x:c>
      <x:c r="Y589" s="32" t="n">
        <x:f>Y588+R589-S589-W589-Y588*V589/AB588</x:f>
        <x:v>22767.562437704495</x:v>
      </x:c>
      <x:c r="Z589" s="32" t="n">
        <x:f>Z588+W589-X589-T589-Z588*V589/AB588</x:f>
        <x:v>26543.29063084305</x:v>
      </x:c>
      <x:c r="AA589" s="32" t="n">
        <x:f>AA588+X589-U589-AA588*V589/AB588</x:f>
        <x:v>13202.660515569076</x:v>
      </x:c>
      <x:c r="AB589" s="10" t="n">
        <x:f>Y589+Z589+AA589</x:f>
        <x:v>62513.51358411662</x:v>
      </x:c>
      <x:c r="AC589" s="8" t="n">
        <x:f>IF(AND(tun_WinterTrigger=1,D589=1,AB588/AE588&gt;=K589),1,0)</x:f>
        <x:v>0</x:v>
      </x:c>
      <x:c r="AD589" s="8" t="n">
        <x:f>H589*IF(AND(OR(AB588/AE588&gt;=tun_FissionTrigger*N589,AC589=1),AB588/AE588*tun_DaughterShare&gt;=tun_MinDaughter),MAX(1,ROUND(AE588*tun_FissionRate,0)),0)</x:f>
        <x:v>0</x:v>
      </x:c>
      <x:c r="AE589" s="8" t="n">
        <x:f>IF(H589=1,MAX(1,MIN(INDEX(tun_Smax,G589),AE588+AD589)),AE588)</x:f>
        <x:v>9</x:v>
      </x:c>
      <x:c r="AF589" s="8" t="n">
        <x:f>MAX(0,AE589-AE588)</x:f>
        <x:v>0</x:v>
      </x:c>
      <x:c r="AG589" s="9" t="str">
        <x:f>IF(AF589&gt;0,B589,"")</x:f>
      </x:c>
      <x:c r="AH589" s="9" t="n">
        <x:f>IF(F589&gt;=1,1,(1+tun_LowTiesShare*(AE589-1))/AE589)</x:f>
        <x:v>1</x:v>
      </x:c>
      <x:c r="AI589" s="32" t="n">
        <x:f>(Z589+tun_ElderCommons*INDEX(LM_Elder,G589)*AA589)*AH589</x:f>
        <x:v>76053.26756422709</x:v>
      </x:c>
      <x:c r="AJ589" s="32" t="n">
        <x:f>H589*tun_CommonsCoef*AI589^tun_CommonsExp*INDEX(LM_Commons,G589)</x:f>
        <x:v>203911.78455086815</x:v>
      </x:c>
      <x:c r="AK589" s="32" t="n">
        <x:f>H589*tun_RoleScale*Arch_Roles*(AE589*(INDEX(tun_ElderRolePerSett,G589)*tun_OutElder*INDEX(LM_Elder,G589)+INDEX(tun_ShamanPerSett,G589)*tun_OutShaman)+Z589*(INDEX(tun_PriestShare,G589)*tun_OutPriest+INDEX(tun_ScribeShare,G589)*tun_OutScribe*INDEX(LM_Scribe,G589)+INDEX(tun_ScholarShare,G589)*tun_OutScholar*INDEX(LM_Scholar,G589)+INDEX(tun_ResearcherShare,G589)*tun_OutResearcher*INDEX(LM_Researcher,G589)))</x:f>
        <x:v>55081.68754061082</x:v>
      </x:c>
      <x:c r="AL589" s="32" t="n">
        <x:f>H589*tun_RoleScale*Arch_Roles*AE589*INDEX(tun_MonasteryPerSett,G589)*tun_OutMonastery*INDEX(LM_Monastery,G589)</x:f>
        <x:v>31.680000000000003</x:v>
      </x:c>
      <x:c r="AM589" s="32" t="n">
        <x:f>(AJ589+AK589+AL589)/4*INDEX(LM_All,G589)*INDEX(tun_Boon,G589)*Arch_Insight</x:f>
        <x:v>186625.4139123608</x:v>
      </x:c>
      <x:c r="AN589" s="32" t="n">
        <x:f>H589*(tun_KHPerAdult*Z589+tun_KHOfCommons*AJ589/4*INDEX(LM_All,G589))*tun_KHUsable*Arch_KH</x:f>
        <x:v>29542.438031397825</x:v>
      </x:c>
      <x:c r="AO589" s="32" t="n">
        <x:f>MIN(AP588+AN589,AM589*tun_KHMaxRatio)</x:f>
        <x:v>29542.438031397825</x:v>
      </x:c>
      <x:c r="AP589" s="32" t="n">
        <x:f>AP588+AN589-AO589</x:f>
        <x:v>0</x:v>
      </x:c>
      <x:c r="AQ589" s="32" t="n">
        <x:f>AM589+AO589</x:f>
        <x:v>216167.8519437586</x:v>
      </x:c>
      <x:c r="AR589" s="10" t="n">
        <x:f>IF(H589=1,INDEX(tun_Req,G589),0)</x:f>
        <x:v>24497531.045680594</x:v>
      </x:c>
      <x:c r="AS589" s="32" t="n">
        <x:f>IF(H589=1,IF(E589=1,AS588-AR588,AS588)+AQ589,0)</x:f>
        <x:v>15225743.190359332</x:v>
      </x:c>
      <x:c r="AT589" s="11" t="n">
        <x:f>IF(AR589&gt;0,MIN(1,AS589/AR589),1)</x:f>
        <x:v>0.621521538720284</x:v>
      </x:c>
      <x:c r="AU589" s="10" t="n">
        <x:f>AB589/INDEX(tun_RepScale,G589)</x:f>
        <x:v>250.05405433646646</x:v>
      </x:c>
      <x:c r="AV589" s="32" t="n">
        <x:f>AM589*60/tun_SeasonSeconds</x:f>
        <x:v>746501.6556494433</x:v>
      </x:c>
    </x:row>
    <x:row r="590">
      <x:c r="A590" s="8" t="n">
        <x:f>A589+1</x:f>
        <x:v>587</x:v>
      </x:c>
      <x:c r="B590" s="9" t="n">
        <x:f>A590*tun_SeasonSeconds/60</x:f>
        <x:v>146.75</x:v>
      </x:c>
      <x:c r="C590" s="9" t="n">
        <x:f>A590/4</x:f>
        <x:v>146.75</x:v>
      </x:c>
      <x:c r="D590" s="8" t="n">
        <x:f>IF(MOD(A590,4)=0,1,0)</x:f>
        <x:v>0</x:v>
      </x:c>
      <x:c r="E590" s="8" t="n">
        <x:f>IF(AND(F589&lt;=9,AS589&gt;=AR589),1,0)</x:f>
        <x:v>0</x:v>
      </x:c>
      <x:c r="F590" s="8" t="n">
        <x:f>MIN(10,F589+E590)</x:f>
        <x:v>8</x:v>
      </x:c>
      <x:c r="G590" s="8" t="n">
        <x:f>MIN(F590,9)+1</x:f>
        <x:v>9</x:v>
      </x:c>
      <x:c r="H590" s="8" t="n">
        <x:f>IF(F590&lt;=9,1,0)</x:f>
        <x:v>1</x:v>
      </x:c>
      <x:c r="I590" s="9" t="n">
        <x:f>MIN(10,F589+IF(AR589&gt;0,MIN(1,AS589/AR589),1))</x:f>
        <x:v>8.621521538720284</x:v>
      </x:c>
      <x:c r="J590" s="32" t="n">
        <x:f>INDEX(tun_FoodCap,G590)*Arch_FoodCap*EXP(tun_CapsByProject*SUMPRODUCT((Cap_Point&lt;=I590)*(Cap_Kind="Food")*Cap_Ln))</x:f>
        <x:v>12748.70295338279</x:v>
      </x:c>
      <x:c r="K590" s="32" t="n">
        <x:f>J590*MIN(1,tun_LeanBase*EXP(tun_CapsByProject*SUMPRODUCT((Cap_Point&lt;=I590)*(Cap_Kind="Lean")*Cap_Ln)))</x:f>
        <x:v>12748.70295338279</x:v>
      </x:c>
      <x:c r="L590" s="10" t="n">
        <x:f>INDEX(tun_HousingCap,G590)*EXP(tun_CapsByProject*SUMPRODUCT((Cap_Point&lt;=I590)*(Cap_Kind="Housing")*Cap_Ln))</x:f>
        <x:v>12514.86067705494</x:v>
      </x:c>
      <x:c r="M590" s="10" t="n">
        <x:f>INDEX(tun_GroupCap,G590)*tun_CohesionFactor*EXP(tun_CapsByProject*SUMPRODUCT((Cap_Point&lt;=I590)*(Cap_Kind="Group")*Cap_Ln))</x:f>
        <x:v>1000000.000000001</x:v>
      </x:c>
      <x:c r="N590" s="32" t="n">
        <x:f>MIN(J590,L590,M590)</x:f>
        <x:v>12514.86067705494</x:v>
      </x:c>
      <x:c r="O590" s="10" t="n">
        <x:f>AE589*N590</x:f>
        <x:v>112633.74609349445</x:v>
      </x:c>
      <x:c r="P590" s="9" t="n">
        <x:f>MIN(1,(AB589/(AE589*IF(tun_GroupInCrowding=1,N590,MIN(J590,L590))))^tun_CrowdingExp)</x:f>
        <x:v>0.029230233433774518</x:v>
      </x:c>
      <x:c r="Q590" s="9" t="n">
        <x:f>IF(D590=1,INDEX(tun_WinterMult,G590),1)</x:f>
        <x:v>1</x:v>
      </x:c>
      <x:c r="R590" s="9" t="n">
        <x:f>H590*Z589*tun_WomenShare*tun_BaseFertility*INDEX(tun_FertMult,G590)*Arch_Fertility*(1-P590)</x:f>
        <x:v>921.1854097733069</x:v>
      </x:c>
      <x:c r="S590" s="9" t="n">
        <x:f>H590*Y589*INDEX(tun_MortChild,G590)/4*Q590</x:f>
        <x:v>25.613507742417553</x:v>
      </x:c>
      <x:c r="T590" s="9" t="n">
        <x:f>H590*Z589*INDEX(tun_MortAdult,G590)*Arch_AdultMort/4*Q590</x:f>
        <x:v>19.907467973132288</x:v>
      </x:c>
      <x:c r="U590" s="9" t="n">
        <x:f>H590*AA589*INDEX(tun_MortElder,G590)/4*Q590</x:f>
        <x:v>108.92194925344488</x:v>
      </x:c>
      <x:c r="V590" s="9" t="n">
        <x:f>H590*MAX(0,AB589-O590)*tun_OvercapLoss</x:f>
        <x:v>0</x:v>
      </x:c>
      <x:c r="W590" s="9" t="n">
        <x:f>H590*Y589/(tun_ChildYears*4)</x:f>
        <x:v>406.5636149590088</x:v>
      </x:c>
      <x:c r="X590" s="9" t="n">
        <x:f>H590*Z589/(tun_AdultYears*4)</x:f>
        <x:v>214.0587954100246</x:v>
      </x:c>
      <x:c r="Y590" s="32" t="n">
        <x:f>Y589+R590-S590-W590-Y589*V590/AB589</x:f>
        <x:v>23256.570724776375</x:v>
      </x:c>
      <x:c r="Z590" s="32" t="n">
        <x:f>Z589+W590-X590-T590-Z589*V590/AB589</x:f>
        <x:v>26715.887982418906</x:v>
      </x:c>
      <x:c r="AA590" s="32" t="n">
        <x:f>AA589+X590-U590-AA589*V590/AB589</x:f>
        <x:v>13307.797361725656</x:v>
      </x:c>
      <x:c r="AB590" s="10" t="n">
        <x:f>Y590+Z590+AA590</x:f>
        <x:v>63280.25606892094</x:v>
      </x:c>
      <x:c r="AC590" s="8" t="n">
        <x:f>IF(AND(tun_WinterTrigger=1,D590=1,AB589/AE589&gt;=K590),1,0)</x:f>
        <x:v>0</x:v>
      </x:c>
      <x:c r="AD590" s="8" t="n">
        <x:f>H590*IF(AND(OR(AB589/AE589&gt;=tun_FissionTrigger*N590,AC590=1),AB589/AE589*tun_DaughterShare&gt;=tun_MinDaughter),MAX(1,ROUND(AE589*tun_FissionRate,0)),0)</x:f>
        <x:v>0</x:v>
      </x:c>
      <x:c r="AE590" s="8" t="n">
        <x:f>IF(H590=1,MAX(1,MIN(INDEX(tun_Smax,G590),AE589+AD590)),AE589)</x:f>
        <x:v>9</x:v>
      </x:c>
      <x:c r="AF590" s="8" t="n">
        <x:f>MAX(0,AE590-AE589)</x:f>
        <x:v>0</x:v>
      </x:c>
      <x:c r="AG590" s="9" t="str">
        <x:f>IF(AF590&gt;0,B590,"")</x:f>
      </x:c>
      <x:c r="AH590" s="9" t="n">
        <x:f>IF(F590&gt;=1,1,(1+tun_LowTiesShare*(AE590-1))/AE590)</x:f>
        <x:v>1</x:v>
      </x:c>
      <x:c r="AI590" s="32" t="n">
        <x:f>(Z590+tun_ElderCommons*INDEX(LM_Elder,G590)*AA590)*AH590</x:f>
        <x:v>76620.12808889011</x:v>
      </x:c>
      <x:c r="AJ590" s="32" t="n">
        <x:f>H590*tun_CommonsCoef*AI590^tun_CommonsExp*INDEX(LM_Commons,G590)</x:f>
        <x:v>205202.93674047693</x:v>
      </x:c>
      <x:c r="AK590" s="32" t="n">
        <x:f>H590*tun_RoleScale*Arch_Roles*(AE590*(INDEX(tun_ElderRolePerSett,G590)*tun_OutElder*INDEX(LM_Elder,G590)+INDEX(tun_ShamanPerSett,G590)*tun_OutShaman)+Z590*(INDEX(tun_PriestShare,G590)*tun_OutPriest+INDEX(tun_ScribeShare,G590)*tun_OutScribe*INDEX(LM_Scribe,G590)+INDEX(tun_ScholarShare,G590)*tun_OutScholar*INDEX(LM_Scholar,G590)+INDEX(tun_ResearcherShare,G590)*tun_OutResearcher*INDEX(LM_Researcher,G590)))</x:f>
        <x:v>55438.27528871795</x:v>
      </x:c>
      <x:c r="AL590" s="32" t="n">
        <x:f>H590*tun_RoleScale*Arch_Roles*AE590*INDEX(tun_MonasteryPerSett,G590)*tun_OutMonastery*INDEX(LM_Monastery,G590)</x:f>
        <x:v>31.680000000000003</x:v>
      </x:c>
      <x:c r="AM590" s="32" t="n">
        <x:f>(AJ590+AK590+AL590)/4*INDEX(LM_All,G590)*INDEX(tun_Boon,G590)*Arch_Insight</x:f>
        <x:v>187812.59649062852</x:v>
      </x:c>
      <x:c r="AN590" s="32" t="n">
        <x:f>H590*(tun_KHPerAdult*Z590+tun_KHOfCommons*AJ590/4*INDEX(LM_All,G590))*tun_KHUsable*Arch_KH</x:f>
        <x:v>29729.49825273146</x:v>
      </x:c>
      <x:c r="AO590" s="32" t="n">
        <x:f>MIN(AP589+AN590,AM590*tun_KHMaxRatio)</x:f>
        <x:v>29729.49825273146</x:v>
      </x:c>
      <x:c r="AP590" s="32" t="n">
        <x:f>AP589+AN590-AO590</x:f>
        <x:v>0</x:v>
      </x:c>
      <x:c r="AQ590" s="32" t="n">
        <x:f>AM590+AO590</x:f>
        <x:v>217542.09474335998</x:v>
      </x:c>
      <x:c r="AR590" s="10" t="n">
        <x:f>IF(H590=1,INDEX(tun_Req,G590),0)</x:f>
        <x:v>24497531.045680594</x:v>
      </x:c>
      <x:c r="AS590" s="32" t="n">
        <x:f>IF(H590=1,IF(E590=1,AS589-AR589,AS589)+AQ590,0)</x:f>
        <x:v>15443285.285102692</x:v>
      </x:c>
      <x:c r="AT590" s="11" t="n">
        <x:f>IF(AR590&gt;0,MIN(1,AS590/AR590),1)</x:f>
        <x:v>0.6304017027799891</x:v>
      </x:c>
      <x:c r="AU590" s="10" t="n">
        <x:f>AB590/INDEX(tun_RepScale,G590)</x:f>
        <x:v>253.12102427568377</x:v>
      </x:c>
      <x:c r="AV590" s="32" t="n">
        <x:f>AM590*60/tun_SeasonSeconds</x:f>
        <x:v>751250.3859625141</x:v>
      </x:c>
    </x:row>
    <x:row r="591">
      <x:c r="A591" s="8" t="n">
        <x:f>A590+1</x:f>
        <x:v>588</x:v>
      </x:c>
      <x:c r="B591" s="9" t="n">
        <x:f>A591*tun_SeasonSeconds/60</x:f>
        <x:v>147</x:v>
      </x:c>
      <x:c r="C591" s="9" t="n">
        <x:f>A591/4</x:f>
        <x:v>147</x:v>
      </x:c>
      <x:c r="D591" s="8" t="n">
        <x:f>IF(MOD(A591,4)=0,1,0)</x:f>
        <x:v>1</x:v>
      </x:c>
      <x:c r="E591" s="8" t="n">
        <x:f>IF(AND(F590&lt;=9,AS590&gt;=AR590),1,0)</x:f>
        <x:v>0</x:v>
      </x:c>
      <x:c r="F591" s="8" t="n">
        <x:f>MIN(10,F590+E591)</x:f>
        <x:v>8</x:v>
      </x:c>
      <x:c r="G591" s="8" t="n">
        <x:f>MIN(F591,9)+1</x:f>
        <x:v>9</x:v>
      </x:c>
      <x:c r="H591" s="8" t="n">
        <x:f>IF(F591&lt;=9,1,0)</x:f>
        <x:v>1</x:v>
      </x:c>
      <x:c r="I591" s="9" t="n">
        <x:f>MIN(10,F590+IF(AR590&gt;0,MIN(1,AS590/AR590),1))</x:f>
        <x:v>8.63040170277999</x:v>
      </x:c>
      <x:c r="J591" s="32" t="n">
        <x:f>INDEX(tun_FoodCap,G591)*Arch_FoodCap*EXP(tun_CapsByProject*SUMPRODUCT((Cap_Point&lt;=I591)*(Cap_Kind="Food")*Cap_Ln))</x:f>
        <x:v>12748.70295338279</x:v>
      </x:c>
      <x:c r="K591" s="32" t="n">
        <x:f>J591*MIN(1,tun_LeanBase*EXP(tun_CapsByProject*SUMPRODUCT((Cap_Point&lt;=I591)*(Cap_Kind="Lean")*Cap_Ln)))</x:f>
        <x:v>12748.70295338279</x:v>
      </x:c>
      <x:c r="L591" s="10" t="n">
        <x:f>INDEX(tun_HousingCap,G591)*EXP(tun_CapsByProject*SUMPRODUCT((Cap_Point&lt;=I591)*(Cap_Kind="Housing")*Cap_Ln))</x:f>
        <x:v>12514.86067705494</x:v>
      </x:c>
      <x:c r="M591" s="10" t="n">
        <x:f>INDEX(tun_GroupCap,G591)*tun_CohesionFactor*EXP(tun_CapsByProject*SUMPRODUCT((Cap_Point&lt;=I591)*(Cap_Kind="Group")*Cap_Ln))</x:f>
        <x:v>1000000.000000001</x:v>
      </x:c>
      <x:c r="N591" s="32" t="n">
        <x:f>MIN(J591,L591,M591)</x:f>
        <x:v>12514.86067705494</x:v>
      </x:c>
      <x:c r="O591" s="10" t="n">
        <x:f>AE590*N591</x:f>
        <x:v>112633.74609349445</x:v>
      </x:c>
      <x:c r="P591" s="9" t="n">
        <x:f>MIN(1,(AB590/(AE590*IF(tun_GroupInCrowding=1,N591,MIN(J591,L591))))^tun_CrowdingExp)</x:f>
        <x:v>0.031448374016074844</x:v>
      </x:c>
      <x:c r="Q591" s="9" t="n">
        <x:f>IF(D591=1,INDEX(tun_WinterMult,G591),1)</x:f>
        <x:v>1.05</x:v>
      </x:c>
      <x:c r="R591" s="9" t="n">
        <x:f>H591*Z590*tun_WomenShare*tun_BaseFertility*INDEX(tun_FertMult,G591)*Arch_Fertility*(1-P591)</x:f>
        <x:v>925.0568736329006</x:v>
      </x:c>
      <x:c r="S591" s="9" t="n">
        <x:f>H591*Y590*INDEX(tun_MortChild,G591)/4*Q591</x:f>
        <x:v>27.47182416864209</x:v>
      </x:c>
      <x:c r="T591" s="9" t="n">
        <x:f>H591*Z590*INDEX(tun_MortAdult,G591)*Arch_AdultMort/4*Q591</x:f>
        <x:v>21.03876178615489</x:v>
      </x:c>
      <x:c r="U591" s="9" t="n">
        <x:f>H591*AA590*INDEX(tun_MortElder,G591)/4*Q591</x:f>
        <x:v>115.2787946459485</x:v>
      </x:c>
      <x:c r="V591" s="9" t="n">
        <x:f>H591*MAX(0,AB590-O591)*tun_OvercapLoss</x:f>
        <x:v>0</x:v>
      </x:c>
      <x:c r="W591" s="9" t="n">
        <x:f>H591*Y590/(tun_ChildYears*4)</x:f>
        <x:v>415.2959057995781</x:v>
      </x:c>
      <x:c r="X591" s="9" t="n">
        <x:f>H591*Z590/(tun_AdultYears*4)</x:f>
        <x:v>215.45070953563635</x:v>
      </x:c>
      <x:c r="Y591" s="32" t="n">
        <x:f>Y590+R591-S591-W591-Y590*V591/AB590</x:f>
        <x:v>23738.859868441054</x:v>
      </x:c>
      <x:c r="Z591" s="32" t="n">
        <x:f>Z590+W591-X591-T591-Z590*V591/AB590</x:f>
        <x:v>26894.694416896695</x:v>
      </x:c>
      <x:c r="AA591" s="32" t="n">
        <x:f>AA590+X591-U591-AA590*V591/AB590</x:f>
        <x:v>13407.969276615344</x:v>
      </x:c>
      <x:c r="AB591" s="10" t="n">
        <x:f>Y591+Z591+AA591</x:f>
        <x:v>64041.523561953094</x:v>
      </x:c>
      <x:c r="AC591" s="8" t="n">
        <x:f>IF(AND(tun_WinterTrigger=1,D591=1,AB590/AE590&gt;=K591),1,0)</x:f>
        <x:v>0</x:v>
      </x:c>
      <x:c r="AD591" s="8" t="n">
        <x:f>H591*IF(AND(OR(AB590/AE590&gt;=tun_FissionTrigger*N591,AC591=1),AB590/AE590*tun_DaughterShare&gt;=tun_MinDaughter),MAX(1,ROUND(AE590*tun_FissionRate,0)),0)</x:f>
        <x:v>0</x:v>
      </x:c>
      <x:c r="AE591" s="8" t="n">
        <x:f>IF(H591=1,MAX(1,MIN(INDEX(tun_Smax,G591),AE590+AD591)),AE590)</x:f>
        <x:v>9</x:v>
      </x:c>
      <x:c r="AF591" s="8" t="n">
        <x:f>MAX(0,AE591-AE590)</x:f>
        <x:v>0</x:v>
      </x:c>
      <x:c r="AG591" s="9" t="str">
        <x:f>IF(AF591&gt;0,B591,"")</x:f>
      </x:c>
      <x:c r="AH591" s="9" t="n">
        <x:f>IF(F591&gt;=1,1,(1+tun_LowTiesShare*(AE591-1))/AE591)</x:f>
        <x:v>1</x:v>
      </x:c>
      <x:c r="AI591" s="32" t="n">
        <x:f>(Z591+tun_ElderCommons*INDEX(LM_Elder,G591)*AA591)*AH591</x:f>
        <x:v>77174.57920420423</x:v>
      </x:c>
      <x:c r="AJ591" s="32" t="n">
        <x:f>H591*tun_CommonsCoef*AI591^tun_CommonsExp*INDEX(LM_Commons,G591)</x:f>
        <x:v>206464.4382354009</x:v>
      </x:c>
      <x:c r="AK591" s="32" t="n">
        <x:f>H591*tun_RoleScale*Arch_Roles*(AE591*(INDEX(tun_ElderRolePerSett,G591)*tun_OutElder*INDEX(LM_Elder,G591)+INDEX(tun_ShamanPerSett,G591)*tun_OutShaman)+Z591*(INDEX(tun_PriestShare,G591)*tun_OutPriest+INDEX(tun_ScribeShare,G591)*tun_OutScribe*INDEX(LM_Scribe,G591)+INDEX(tun_ScholarShare,G591)*tun_OutScholar*INDEX(LM_Scholar,G591)+INDEX(tun_ResearcherShare,G591)*tun_OutResearcher*INDEX(LM_Researcher,G591)))</x:f>
        <x:v>55807.69106037002</x:v>
      </x:c>
      <x:c r="AL591" s="32" t="n">
        <x:f>H591*tun_RoleScale*Arch_Roles*AE591*INDEX(tun_MonasteryPerSett,G591)*tun_OutMonastery*INDEX(LM_Monastery,G591)</x:f>
        <x:v>31.680000000000003</x:v>
      </x:c>
      <x:c r="AM591" s="32" t="n">
        <x:f>(AJ591+AK591+AL591)/4*INDEX(LM_All,G591)*INDEX(tun_Boon,G591)*Arch_Insight</x:f>
        <x:v>188987.658477752</x:v>
      </x:c>
      <x:c r="AN591" s="32" t="n">
        <x:f>H591*(tun_KHPerAdult*Z591+tun_KHOfCommons*AJ591/4*INDEX(LM_All,G591))*tun_KHUsable*Arch_KH</x:f>
        <x:v>29912.2627252331</x:v>
      </x:c>
      <x:c r="AO591" s="32" t="n">
        <x:f>MIN(AP590+AN591,AM591*tun_KHMaxRatio)</x:f>
        <x:v>29912.2627252331</x:v>
      </x:c>
      <x:c r="AP591" s="32" t="n">
        <x:f>AP590+AN591-AO591</x:f>
        <x:v>0</x:v>
      </x:c>
      <x:c r="AQ591" s="32" t="n">
        <x:f>AM591+AO591</x:f>
        <x:v>218899.9212029851</x:v>
      </x:c>
      <x:c r="AR591" s="10" t="n">
        <x:f>IF(H591=1,INDEX(tun_Req,G591),0)</x:f>
        <x:v>24497531.045680594</x:v>
      </x:c>
      <x:c r="AS591" s="32" t="n">
        <x:f>IF(H591=1,IF(E591=1,AS590-AR590,AS590)+AQ591,0)</x:f>
        <x:v>15662185.206305677</x:v>
      </x:c>
      <x:c r="AT591" s="11" t="n">
        <x:f>IF(AR591&gt;0,MIN(1,AS591/AR591),1)</x:f>
        <x:v>0.6393372939134303</x:v>
      </x:c>
      <x:c r="AU591" s="10" t="n">
        <x:f>AB591/INDEX(tun_RepScale,G591)</x:f>
        <x:v>256.1660942478124</x:v>
      </x:c>
      <x:c r="AV591" s="32" t="n">
        <x:f>AM591*60/tun_SeasonSeconds</x:f>
        <x:v>755950.633911008</x:v>
      </x:c>
    </x:row>
    <x:row r="592">
      <x:c r="A592" s="8" t="n">
        <x:f>A591+1</x:f>
        <x:v>589</x:v>
      </x:c>
      <x:c r="B592" s="9" t="n">
        <x:f>A592*tun_SeasonSeconds/60</x:f>
        <x:v>147.25</x:v>
      </x:c>
      <x:c r="C592" s="9" t="n">
        <x:f>A592/4</x:f>
        <x:v>147.25</x:v>
      </x:c>
      <x:c r="D592" s="8" t="n">
        <x:f>IF(MOD(A592,4)=0,1,0)</x:f>
        <x:v>0</x:v>
      </x:c>
      <x:c r="E592" s="8" t="n">
        <x:f>IF(AND(F591&lt;=9,AS591&gt;=AR591),1,0)</x:f>
        <x:v>0</x:v>
      </x:c>
      <x:c r="F592" s="8" t="n">
        <x:f>MIN(10,F591+E592)</x:f>
        <x:v>8</x:v>
      </x:c>
      <x:c r="G592" s="8" t="n">
        <x:f>MIN(F592,9)+1</x:f>
        <x:v>9</x:v>
      </x:c>
      <x:c r="H592" s="8" t="n">
        <x:f>IF(F592&lt;=9,1,0)</x:f>
        <x:v>1</x:v>
      </x:c>
      <x:c r="I592" s="9" t="n">
        <x:f>MIN(10,F591+IF(AR591&gt;0,MIN(1,AS591/AR591),1))</x:f>
        <x:v>8.63933729391343</x:v>
      </x:c>
      <x:c r="J592" s="32" t="n">
        <x:f>INDEX(tun_FoodCap,G592)*Arch_FoodCap*EXP(tun_CapsByProject*SUMPRODUCT((Cap_Point&lt;=I592)*(Cap_Kind="Food")*Cap_Ln))</x:f>
        <x:v>12748.70295338279</x:v>
      </x:c>
      <x:c r="K592" s="32" t="n">
        <x:f>J592*MIN(1,tun_LeanBase*EXP(tun_CapsByProject*SUMPRODUCT((Cap_Point&lt;=I592)*(Cap_Kind="Lean")*Cap_Ln)))</x:f>
        <x:v>12748.70295338279</x:v>
      </x:c>
      <x:c r="L592" s="10" t="n">
        <x:f>INDEX(tun_HousingCap,G592)*EXP(tun_CapsByProject*SUMPRODUCT((Cap_Point&lt;=I592)*(Cap_Kind="Housing")*Cap_Ln))</x:f>
        <x:v>12514.86067705494</x:v>
      </x:c>
      <x:c r="M592" s="10" t="n">
        <x:f>INDEX(tun_GroupCap,G592)*tun_CohesionFactor*EXP(tun_CapsByProject*SUMPRODUCT((Cap_Point&lt;=I592)*(Cap_Kind="Group")*Cap_Ln))</x:f>
        <x:v>1000000.000000001</x:v>
      </x:c>
      <x:c r="N592" s="32" t="n">
        <x:f>MIN(J592,L592,M592)</x:f>
        <x:v>12514.86067705494</x:v>
      </x:c>
      <x:c r="O592" s="10" t="n">
        <x:f>AE591*N592</x:f>
        <x:v>112633.74609349445</x:v>
      </x:c>
      <x:c r="P592" s="9" t="n">
        <x:f>MIN(1,(AB591/(AE591*IF(tun_GroupInCrowding=1,N592,MIN(J592,L592))))^tun_CrowdingExp)</x:f>
        <x:v>0.033787710195468154</x:v>
      </x:c>
      <x:c r="Q592" s="9" t="n">
        <x:f>IF(D592=1,INDEX(tun_WinterMult,G592),1)</x:f>
        <x:v>1</x:v>
      </x:c>
      <x:c r="R592" s="9" t="n">
        <x:f>H592*Z591*tun_WomenShare*tun_BaseFertility*INDEX(tun_FertMult,G592)*Arch_Fertility*(1-P592)</x:f>
        <x:v>928.9989378721092</x:v>
      </x:c>
      <x:c r="S592" s="9" t="n">
        <x:f>H592*Y591*INDEX(tun_MortChild,G592)/4*Q592</x:f>
        <x:v>26.706217351996184</x:v>
      </x:c>
      <x:c r="T592" s="9" t="n">
        <x:f>H592*Z591*INDEX(tun_MortAdult,G592)*Arch_AdultMort/4*Q592</x:f>
        <x:v>20.17102081267252</x:v>
      </x:c>
      <x:c r="U592" s="9" t="n">
        <x:f>H592*AA591*INDEX(tun_MortElder,G592)/4*Q592</x:f>
        <x:v>110.6157465320766</x:v>
      </x:c>
      <x:c r="V592" s="9" t="n">
        <x:f>H592*MAX(0,AB591-O592)*tun_OvercapLoss</x:f>
        <x:v>0</x:v>
      </x:c>
      <x:c r="W592" s="9" t="n">
        <x:f>H592*Y591/(tun_ChildYears*4)</x:f>
        <x:v>423.9082119364474</x:v>
      </x:c>
      <x:c r="X592" s="9" t="n">
        <x:f>H592*Z591/(tun_AdultYears*4)</x:f>
        <x:v>216.8926969104572</x:v>
      </x:c>
      <x:c r="Y592" s="32" t="n">
        <x:f>Y591+R592-S592-W592-Y591*V592/AB591</x:f>
        <x:v>24217.24437702472</x:v>
      </x:c>
      <x:c r="Z592" s="32" t="n">
        <x:f>Z591+W592-X592-T592-Z591*V592/AB591</x:f>
        <x:v>27081.538911110012</x:v>
      </x:c>
      <x:c r="AA592" s="32" t="n">
        <x:f>AA591+X592-U592-AA591*V592/AB591</x:f>
        <x:v>13514.246226993726</x:v>
      </x:c>
      <x:c r="AB592" s="10" t="n">
        <x:f>Y592+Z592+AA592</x:f>
        <x:v>64813.02951512845</x:v>
      </x:c>
      <x:c r="AC592" s="8" t="n">
        <x:f>IF(AND(tun_WinterTrigger=1,D592=1,AB591/AE591&gt;=K592),1,0)</x:f>
        <x:v>0</x:v>
      </x:c>
      <x:c r="AD592" s="8" t="n">
        <x:f>H592*IF(AND(OR(AB591/AE591&gt;=tun_FissionTrigger*N592,AC592=1),AB591/AE591*tun_DaughterShare&gt;=tun_MinDaughter),MAX(1,ROUND(AE591*tun_FissionRate,0)),0)</x:f>
        <x:v>0</x:v>
      </x:c>
      <x:c r="AE592" s="8" t="n">
        <x:f>IF(H592=1,MAX(1,MIN(INDEX(tun_Smax,G592),AE591+AD592)),AE591)</x:f>
        <x:v>9</x:v>
      </x:c>
      <x:c r="AF592" s="8" t="n">
        <x:f>MAX(0,AE592-AE591)</x:f>
        <x:v>0</x:v>
      </x:c>
      <x:c r="AG592" s="9" t="str">
        <x:f>IF(AF592&gt;0,B592,"")</x:f>
      </x:c>
      <x:c r="AH592" s="9" t="n">
        <x:f>IF(F592&gt;=1,1,(1+tun_LowTiesShare*(AE592-1))/AE592)</x:f>
        <x:v>1</x:v>
      </x:c>
      <x:c r="AI592" s="32" t="n">
        <x:f>(Z592+tun_ElderCommons*INDEX(LM_Elder,G592)*AA592)*AH592</x:f>
        <x:v>77759.96226233648</x:v>
      </x:c>
      <x:c r="AJ592" s="32" t="n">
        <x:f>H592*tun_CommonsCoef*AI592^tun_CommonsExp*INDEX(LM_Commons,G592)</x:f>
        <x:v>207794.84254794766</x:v>
      </x:c>
      <x:c r="AK592" s="32" t="n">
        <x:f>H592*tun_RoleScale*Arch_Roles*(AE592*(INDEX(tun_ElderRolePerSett,G592)*tun_OutElder*INDEX(LM_Elder,G592)+INDEX(tun_ShamanPerSett,G592)*tun_OutShaman)+Z592*(INDEX(tun_PriestShare,G592)*tun_OutPriest+INDEX(tun_ScribeShare,G592)*tun_OutScribe*INDEX(LM_Scribe,G592)+INDEX(tun_ScholarShare,G592)*tun_OutScholar*INDEX(LM_Scholar,G592)+INDEX(tun_ResearcherShare,G592)*tun_OutResearcher*INDEX(LM_Researcher,G592)))</x:f>
        <x:v>56193.713538869415</x:v>
      </x:c>
      <x:c r="AL592" s="32" t="n">
        <x:f>H592*tun_RoleScale*Arch_Roles*AE592*INDEX(tun_MonasteryPerSett,G592)*tun_OutMonastery*INDEX(LM_Monastery,G592)</x:f>
        <x:v>31.680000000000003</x:v>
      </x:c>
      <x:c r="AM592" s="32" t="n">
        <x:f>(AJ592+AK592+AL592)/4*INDEX(LM_All,G592)*INDEX(tun_Boon,G592)*Arch_Insight</x:f>
        <x:v>190224.329348294</x:v>
      </x:c>
      <x:c r="AN592" s="32" t="n">
        <x:f>H592*(tun_KHPerAdult*Z592+tun_KHOfCommons*AJ592/4*INDEX(LM_All,G592))*tun_KHUsable*Arch_KH</x:f>
        <x:v>30105.009736136297</x:v>
      </x:c>
      <x:c r="AO592" s="32" t="n">
        <x:f>MIN(AP591+AN592,AM592*tun_KHMaxRatio)</x:f>
        <x:v>30105.009736136297</x:v>
      </x:c>
      <x:c r="AP592" s="32" t="n">
        <x:f>AP591+AN592-AO592</x:f>
        <x:v>0</x:v>
      </x:c>
      <x:c r="AQ592" s="32" t="n">
        <x:f>AM592+AO592</x:f>
        <x:v>220329.3390844303</x:v>
      </x:c>
      <x:c r="AR592" s="10" t="n">
        <x:f>IF(H592=1,INDEX(tun_Req,G592),0)</x:f>
        <x:v>24497531.045680594</x:v>
      </x:c>
      <x:c r="AS592" s="32" t="n">
        <x:f>IF(H592=1,IF(E592=1,AS591-AR591,AS591)+AQ592,0)</x:f>
        <x:v>15882514.545390107</x:v>
      </x:c>
      <x:c r="AT592" s="11" t="n">
        <x:f>IF(AR592&gt;0,MIN(1,AS592/AR592),1)</x:f>
        <x:v>0.6483312345139578</x:v>
      </x:c>
      <x:c r="AU592" s="10" t="n">
        <x:f>AB592/INDEX(tun_RepScale,G592)</x:f>
        <x:v>259.2521180605138</x:v>
      </x:c>
      <x:c r="AV592" s="32" t="n">
        <x:f>AM592*60/tun_SeasonSeconds</x:f>
        <x:v>760897.317393176</x:v>
      </x:c>
    </x:row>
    <x:row r="593">
      <x:c r="A593" s="8" t="n">
        <x:f>A592+1</x:f>
        <x:v>590</x:v>
      </x:c>
      <x:c r="B593" s="9" t="n">
        <x:f>A593*tun_SeasonSeconds/60</x:f>
        <x:v>147.5</x:v>
      </x:c>
      <x:c r="C593" s="9" t="n">
        <x:f>A593/4</x:f>
        <x:v>147.5</x:v>
      </x:c>
      <x:c r="D593" s="8" t="n">
        <x:f>IF(MOD(A593,4)=0,1,0)</x:f>
        <x:v>0</x:v>
      </x:c>
      <x:c r="E593" s="8" t="n">
        <x:f>IF(AND(F592&lt;=9,AS592&gt;=AR592),1,0)</x:f>
        <x:v>0</x:v>
      </x:c>
      <x:c r="F593" s="8" t="n">
        <x:f>MIN(10,F592+E593)</x:f>
        <x:v>8</x:v>
      </x:c>
      <x:c r="G593" s="8" t="n">
        <x:f>MIN(F593,9)+1</x:f>
        <x:v>9</x:v>
      </x:c>
      <x:c r="H593" s="8" t="n">
        <x:f>IF(F593&lt;=9,1,0)</x:f>
        <x:v>1</x:v>
      </x:c>
      <x:c r="I593" s="9" t="n">
        <x:f>MIN(10,F592+IF(AR592&gt;0,MIN(1,AS592/AR592),1))</x:f>
        <x:v>8.648331234513957</x:v>
      </x:c>
      <x:c r="J593" s="32" t="n">
        <x:f>INDEX(tun_FoodCap,G593)*Arch_FoodCap*EXP(tun_CapsByProject*SUMPRODUCT((Cap_Point&lt;=I593)*(Cap_Kind="Food")*Cap_Ln))</x:f>
        <x:v>12748.70295338279</x:v>
      </x:c>
      <x:c r="K593" s="32" t="n">
        <x:f>J593*MIN(1,tun_LeanBase*EXP(tun_CapsByProject*SUMPRODUCT((Cap_Point&lt;=I593)*(Cap_Kind="Lean")*Cap_Ln)))</x:f>
        <x:v>12748.70295338279</x:v>
      </x:c>
      <x:c r="L593" s="10" t="n">
        <x:f>INDEX(tun_HousingCap,G593)*EXP(tun_CapsByProject*SUMPRODUCT((Cap_Point&lt;=I593)*(Cap_Kind="Housing")*Cap_Ln))</x:f>
        <x:v>12514.86067705494</x:v>
      </x:c>
      <x:c r="M593" s="10" t="n">
        <x:f>INDEX(tun_GroupCap,G593)*tun_CohesionFactor*EXP(tun_CapsByProject*SUMPRODUCT((Cap_Point&lt;=I593)*(Cap_Kind="Group")*Cap_Ln))</x:f>
        <x:v>1000000.000000001</x:v>
      </x:c>
      <x:c r="N593" s="32" t="n">
        <x:f>MIN(J593,L593,M593)</x:f>
        <x:v>12514.86067705494</x:v>
      </x:c>
      <x:c r="O593" s="10" t="n">
        <x:f>AE592*N593</x:f>
        <x:v>112633.74609349445</x:v>
      </x:c>
      <x:c r="P593" s="9" t="n">
        <x:f>MIN(1,(AB592/(AE592*IF(tun_GroupInCrowding=1,N593,MIN(J593,L593))))^tun_CrowdingExp)</x:f>
        <x:v>0.03630469226279263</x:v>
      </x:c>
      <x:c r="Q593" s="9" t="n">
        <x:f>IF(D593=1,INDEX(tun_WinterMult,G593),1)</x:f>
        <x:v>1</x:v>
      </x:c>
      <x:c r="R593" s="9" t="n">
        <x:f>H593*Z592*tun_WomenShare*tun_BaseFertility*INDEX(tun_FertMult,G593)*Arch_Fertility*(1-P593)</x:f>
        <x:v>933.0160831040808</x:v>
      </x:c>
      <x:c r="S593" s="9" t="n">
        <x:f>H593*Y592*INDEX(tun_MortChild,G593)/4*Q593</x:f>
        <x:v>27.244399924152805</x:v>
      </x:c>
      <x:c r="T593" s="9" t="n">
        <x:f>H593*Z592*INDEX(tun_MortAdult,G593)*Arch_AdultMort/4*Q593</x:f>
        <x:v>20.31115418333251</x:v>
      </x:c>
      <x:c r="U593" s="9" t="n">
        <x:f>H593*AA592*INDEX(tun_MortElder,G593)/4*Q593</x:f>
        <x:v>111.49253137269824</x:v>
      </x:c>
      <x:c r="V593" s="9" t="n">
        <x:f>H593*MAX(0,AB592-O593)*tun_OvercapLoss</x:f>
        <x:v>0</x:v>
      </x:c>
      <x:c r="W593" s="9" t="n">
        <x:f>H593*Y592/(tun_ChildYears*4)</x:f>
        <x:v>432.45079244686997</x:v>
      </x:c>
      <x:c r="X593" s="9" t="n">
        <x:f>H593*Z592/(tun_AdultYears*4)</x:f>
        <x:v>218.3995073476614</x:v>
      </x:c>
      <x:c r="Y593" s="32" t="n">
        <x:f>Y592+R593-S593-W593-Y592*V593/AB592</x:f>
        <x:v>24690.56526775778</x:v>
      </x:c>
      <x:c r="Z593" s="32" t="n">
        <x:f>Z592+W593-X593-T593-Z592*V593/AB592</x:f>
        <x:v>27275.27904202589</x:v>
      </x:c>
      <x:c r="AA593" s="32" t="n">
        <x:f>AA592+X593-U593-AA592*V593/AB592</x:f>
        <x:v>13621.15320296869</x:v>
      </x:c>
      <x:c r="AB593" s="10" t="n">
        <x:f>Y593+Z593+AA593</x:f>
        <x:v>65586.99751275236</x:v>
      </x:c>
      <x:c r="AC593" s="8" t="n">
        <x:f>IF(AND(tun_WinterTrigger=1,D593=1,AB592/AE592&gt;=K593),1,0)</x:f>
        <x:v>0</x:v>
      </x:c>
      <x:c r="AD593" s="8" t="n">
        <x:f>H593*IF(AND(OR(AB592/AE592&gt;=tun_FissionTrigger*N593,AC593=1),AB592/AE592*tun_DaughterShare&gt;=tun_MinDaughter),MAX(1,ROUND(AE592*tun_FissionRate,0)),0)</x:f>
        <x:v>0</x:v>
      </x:c>
      <x:c r="AE593" s="8" t="n">
        <x:f>IF(H593=1,MAX(1,MIN(INDEX(tun_Smax,G593),AE592+AD593)),AE592)</x:f>
        <x:v>9</x:v>
      </x:c>
      <x:c r="AF593" s="8" t="n">
        <x:f>MAX(0,AE593-AE592)</x:f>
        <x:v>0</x:v>
      </x:c>
      <x:c r="AG593" s="9" t="str">
        <x:f>IF(AF593&gt;0,B593,"")</x:f>
      </x:c>
      <x:c r="AH593" s="9" t="n">
        <x:f>IF(F593&gt;=1,1,(1+tun_LowTiesShare*(AE593-1))/AE593)</x:f>
        <x:v>1</x:v>
      </x:c>
      <x:c r="AI593" s="32" t="n">
        <x:f>(Z593+tun_ElderCommons*INDEX(LM_Elder,G593)*AA593)*AH593</x:f>
        <x:v>78354.60355315848</x:v>
      </x:c>
      <x:c r="AJ593" s="32" t="n">
        <x:f>H593*tun_CommonsCoef*AI593^tun_CommonsExp*INDEX(LM_Commons,G593)</x:f>
        <x:v>209144.7508992771</x:v>
      </x:c>
      <x:c r="AK593" s="32" t="n">
        <x:f>H593*tun_RoleScale*Arch_Roles*(AE593*(INDEX(tun_ElderRolePerSett,G593)*tun_OutElder*INDEX(LM_Elder,G593)+INDEX(tun_ShamanPerSett,G593)*tun_OutShaman)+Z593*(INDEX(tun_PriestShare,G593)*tun_OutPriest+INDEX(tun_ScribeShare,G593)*tun_OutScribe*INDEX(LM_Scribe,G593)+INDEX(tun_ScholarShare,G593)*tun_OutScholar*INDEX(LM_Scholar,G593)+INDEX(tun_ResearcherShare,G593)*tun_OutResearcher*INDEX(LM_Researcher,G593)))</x:f>
        <x:v>56593.98246750885</x:v>
      </x:c>
      <x:c r="AL593" s="32" t="n">
        <x:f>H593*tun_RoleScale*Arch_Roles*AE593*INDEX(tun_MonasteryPerSett,G593)*tun_OutMonastery*INDEX(LM_Monastery,G593)</x:f>
        <x:v>31.680000000000003</x:v>
      </x:c>
      <x:c r="AM593" s="32" t="n">
        <x:f>(AJ593+AK593+AL593)/4*INDEX(LM_All,G593)*INDEX(tun_Boon,G593)*Arch_Insight</x:f>
        <x:v>191485.3171583846</x:v>
      </x:c>
      <x:c r="AN593" s="32" t="n">
        <x:f>H593*(tun_KHPerAdult*Z593+tun_KHOfCommons*AJ593/4*INDEX(LM_All,G593))*tun_KHUsable*Arch_KH</x:f>
        <x:v>30300.582463357798</x:v>
      </x:c>
      <x:c r="AO593" s="32" t="n">
        <x:f>MIN(AP592+AN593,AM593*tun_KHMaxRatio)</x:f>
        <x:v>30300.582463357798</x:v>
      </x:c>
      <x:c r="AP593" s="32" t="n">
        <x:f>AP592+AN593-AO593</x:f>
        <x:v>0</x:v>
      </x:c>
      <x:c r="AQ593" s="32" t="n">
        <x:f>AM593+AO593</x:f>
        <x:v>221785.8996217424</x:v>
      </x:c>
      <x:c r="AR593" s="10" t="n">
        <x:f>IF(H593=1,INDEX(tun_Req,G593),0)</x:f>
        <x:v>24497531.045680594</x:v>
      </x:c>
      <x:c r="AS593" s="32" t="n">
        <x:f>IF(H593=1,IF(E593=1,AS592-AR592,AS592)+AQ593,0)</x:f>
        <x:v>16104300.445011849</x:v>
      </x:c>
      <x:c r="AT593" s="11" t="n">
        <x:f>IF(AR593&gt;0,MIN(1,AS593/AR593),1)</x:f>
        <x:v>0.6573846325567311</x:v>
      </x:c>
      <x:c r="AU593" s="10" t="n">
        <x:f>AB593/INDEX(tun_RepScale,G593)</x:f>
        <x:v>262.34799005100945</x:v>
      </x:c>
      <x:c r="AV593" s="32" t="n">
        <x:f>AM593*60/tun_SeasonSeconds</x:f>
        <x:v>765941.2686335384</x:v>
      </x:c>
    </x:row>
    <x:row r="594">
      <x:c r="A594" s="8" t="n">
        <x:f>A593+1</x:f>
        <x:v>591</x:v>
      </x:c>
      <x:c r="B594" s="9" t="n">
        <x:f>A594*tun_SeasonSeconds/60</x:f>
        <x:v>147.75</x:v>
      </x:c>
      <x:c r="C594" s="9" t="n">
        <x:f>A594/4</x:f>
        <x:v>147.75</x:v>
      </x:c>
      <x:c r="D594" s="8" t="n">
        <x:f>IF(MOD(A594,4)=0,1,0)</x:f>
        <x:v>0</x:v>
      </x:c>
      <x:c r="E594" s="8" t="n">
        <x:f>IF(AND(F593&lt;=9,AS593&gt;=AR593),1,0)</x:f>
        <x:v>0</x:v>
      </x:c>
      <x:c r="F594" s="8" t="n">
        <x:f>MIN(10,F593+E594)</x:f>
        <x:v>8</x:v>
      </x:c>
      <x:c r="G594" s="8" t="n">
        <x:f>MIN(F594,9)+1</x:f>
        <x:v>9</x:v>
      </x:c>
      <x:c r="H594" s="8" t="n">
        <x:f>IF(F594&lt;=9,1,0)</x:f>
        <x:v>1</x:v>
      </x:c>
      <x:c r="I594" s="9" t="n">
        <x:f>MIN(10,F593+IF(AR593&gt;0,MIN(1,AS593/AR593),1))</x:f>
        <x:v>8.657384632556731</x:v>
      </x:c>
      <x:c r="J594" s="32" t="n">
        <x:f>INDEX(tun_FoodCap,G594)*Arch_FoodCap*EXP(tun_CapsByProject*SUMPRODUCT((Cap_Point&lt;=I594)*(Cap_Kind="Food")*Cap_Ln))</x:f>
        <x:v>12748.70295338279</x:v>
      </x:c>
      <x:c r="K594" s="32" t="n">
        <x:f>J594*MIN(1,tun_LeanBase*EXP(tun_CapsByProject*SUMPRODUCT((Cap_Point&lt;=I594)*(Cap_Kind="Lean")*Cap_Ln)))</x:f>
        <x:v>12748.70295338279</x:v>
      </x:c>
      <x:c r="L594" s="10" t="n">
        <x:f>INDEX(tun_HousingCap,G594)*EXP(tun_CapsByProject*SUMPRODUCT((Cap_Point&lt;=I594)*(Cap_Kind="Housing")*Cap_Ln))</x:f>
        <x:v>12514.86067705494</x:v>
      </x:c>
      <x:c r="M594" s="10" t="n">
        <x:f>INDEX(tun_GroupCap,G594)*tun_CohesionFactor*EXP(tun_CapsByProject*SUMPRODUCT((Cap_Point&lt;=I594)*(Cap_Kind="Group")*Cap_Ln))</x:f>
        <x:v>1000000.000000001</x:v>
      </x:c>
      <x:c r="N594" s="32" t="n">
        <x:f>MIN(J594,L594,M594)</x:f>
        <x:v>12514.86067705494</x:v>
      </x:c>
      <x:c r="O594" s="10" t="n">
        <x:f>AE593*N594</x:f>
        <x:v>112633.74609349445</x:v>
      </x:c>
      <x:c r="P594" s="9" t="n">
        <x:f>MIN(1,(AB593/(AE593*IF(tun_GroupInCrowding=1,N594,MIN(J594,L594))))^tun_CrowdingExp)</x:f>
        <x:v>0.038984801569767316</x:v>
      </x:c>
      <x:c r="Q594" s="9" t="n">
        <x:f>IF(D594=1,INDEX(tun_WinterMult,G594),1)</x:f>
        <x:v>1</x:v>
      </x:c>
      <x:c r="R594" s="9" t="n">
        <x:f>H594*Z593*tun_WomenShare*tun_BaseFertility*INDEX(tun_FertMult,G594)*Arch_Fertility*(1-P594)</x:f>
        <x:v>937.0774878040461</x:v>
      </x:c>
      <x:c r="S594" s="9" t="n">
        <x:f>H594*Y593*INDEX(tun_MortChild,G594)/4*Q594</x:f>
        <x:v>27.7768859262275</x:v>
      </x:c>
      <x:c r="T594" s="9" t="n">
        <x:f>H594*Z593*INDEX(tun_MortAdult,G594)*Arch_AdultMort/4*Q594</x:f>
        <x:v>20.456459281519418</x:v>
      </x:c>
      <x:c r="U594" s="9" t="n">
        <x:f>H594*AA593*INDEX(tun_MortElder,G594)/4*Q594</x:f>
        <x:v>112.3745139244917</x:v>
      </x:c>
      <x:c r="V594" s="9" t="n">
        <x:f>H594*MAX(0,AB593-O594)*tun_OvercapLoss</x:f>
        <x:v>0</x:v>
      </x:c>
      <x:c r="W594" s="9" t="n">
        <x:f>H594*Y593/(tun_ChildYears*4)</x:f>
        <x:v>440.90295120996035</x:v>
      </x:c>
      <x:c r="X594" s="9" t="n">
        <x:f>H594*Z593/(tun_AdultYears*4)</x:f>
        <x:v>219.9619277582733</x:v>
      </x:c>
      <x:c r="Y594" s="32" t="n">
        <x:f>Y593+R594-S594-W594-Y593*V594/AB593</x:f>
        <x:v>25158.962918425637</x:v>
      </x:c>
      <x:c r="Z594" s="32" t="n">
        <x:f>Z593+W594-X594-T594-Z593*V594/AB593</x:f>
        <x:v>27475.763606196055</x:v>
      </x:c>
      <x:c r="AA594" s="32" t="n">
        <x:f>AA593+X594-U594-AA593*V594/AB593</x:f>
        <x:v>13728.740616802472</x:v>
      </x:c>
      <x:c r="AB594" s="10" t="n">
        <x:f>Y594+Z594+AA594</x:f>
        <x:v>66363.46714142416</x:v>
      </x:c>
      <x:c r="AC594" s="8" t="n">
        <x:f>IF(AND(tun_WinterTrigger=1,D594=1,AB593/AE593&gt;=K594),1,0)</x:f>
        <x:v>0</x:v>
      </x:c>
      <x:c r="AD594" s="8" t="n">
        <x:f>H594*IF(AND(OR(AB593/AE593&gt;=tun_FissionTrigger*N594,AC594=1),AB593/AE593*tun_DaughterShare&gt;=tun_MinDaughter),MAX(1,ROUND(AE593*tun_FissionRate,0)),0)</x:f>
        <x:v>0</x:v>
      </x:c>
      <x:c r="AE594" s="8" t="n">
        <x:f>IF(H594=1,MAX(1,MIN(INDEX(tun_Smax,G594),AE593+AD594)),AE593)</x:f>
        <x:v>9</x:v>
      </x:c>
      <x:c r="AF594" s="8" t="n">
        <x:f>MAX(0,AE594-AE593)</x:f>
        <x:v>0</x:v>
      </x:c>
      <x:c r="AG594" s="9" t="str">
        <x:f>IF(AF594&gt;0,B594,"")</x:f>
      </x:c>
      <x:c r="AH594" s="9" t="n">
        <x:f>IF(F594&gt;=1,1,(1+tun_LowTiesShare*(AE594-1))/AE594)</x:f>
        <x:v>1</x:v>
      </x:c>
      <x:c r="AI594" s="32" t="n">
        <x:f>(Z594+tun_ElderCommons*INDEX(LM_Elder,G594)*AA594)*AH594</x:f>
        <x:v>78958.54091920532</x:v>
      </x:c>
      <x:c r="AJ594" s="32" t="n">
        <x:f>H594*tun_CommonsCoef*AI594^tun_CommonsExp*INDEX(LM_Commons,G594)</x:f>
        <x:v>210514.1905146465</x:v>
      </x:c>
      <x:c r="AK594" s="32" t="n">
        <x:f>H594*tun_RoleScale*Arch_Roles*(AE594*(INDEX(tun_ElderRolePerSett,G594)*tun_OutElder*INDEX(LM_Elder,G594)+INDEX(tun_ShamanPerSett,G594)*tun_OutShaman)+Z594*(INDEX(tun_PriestShare,G594)*tun_OutPriest+INDEX(tun_ScribeShare,G594)*tun_OutScribe*INDEX(LM_Scribe,G594)+INDEX(tun_ScholarShare,G594)*tun_OutScholar*INDEX(LM_Scholar,G594)+INDEX(tun_ResearcherShare,G594)*tun_OutResearcher*INDEX(LM_Researcher,G594)))</x:f>
        <x:v>57008.18545854524</x:v>
      </x:c>
      <x:c r="AL594" s="32" t="n">
        <x:f>H594*tun_RoleScale*Arch_Roles*AE594*INDEX(tun_MonasteryPerSett,G594)*tun_OutMonastery*INDEX(LM_Monastery,G594)</x:f>
        <x:v>31.680000000000003</x:v>
      </x:c>
      <x:c r="AM594" s="32" t="n">
        <x:f>(AJ594+AK594+AL594)/4*INDEX(LM_All,G594)*INDEX(tun_Boon,G594)*Arch_Insight</x:f>
        <x:v>192770.41645088358</x:v>
      </x:c>
      <x:c r="AN594" s="32" t="n">
        <x:f>H594*(tun_KHPerAdult*Z594+tun_KHOfCommons*AJ594/4*INDEX(LM_All,G594))*tun_KHUsable*Arch_KH</x:f>
        <x:v>30498.984851252648</x:v>
      </x:c>
      <x:c r="AO594" s="32" t="n">
        <x:f>MIN(AP593+AN594,AM594*tun_KHMaxRatio)</x:f>
        <x:v>30498.984851252648</x:v>
      </x:c>
      <x:c r="AP594" s="32" t="n">
        <x:f>AP593+AN594-AO594</x:f>
        <x:v>0</x:v>
      </x:c>
      <x:c r="AQ594" s="32" t="n">
        <x:f>AM594+AO594</x:f>
        <x:v>223269.40130213622</x:v>
      </x:c>
      <x:c r="AR594" s="10" t="n">
        <x:f>IF(H594=1,INDEX(tun_Req,G594),0)</x:f>
        <x:v>24497531.045680594</x:v>
      </x:c>
      <x:c r="AS594" s="32" t="n">
        <x:f>IF(H594=1,IF(E594=1,AS593-AR593,AS593)+AQ594,0)</x:f>
        <x:v>16327569.846313985</x:v>
      </x:c>
      <x:c r="AT594" s="11" t="n">
        <x:f>IF(AR594&gt;0,MIN(1,AS594/AR594),1)</x:f>
        <x:v>0.666498587791069</x:v>
      </x:c>
      <x:c r="AU594" s="10" t="n">
        <x:f>AB594/INDEX(tun_RepScale,G594)</x:f>
        <x:v>265.45386856569667</x:v>
      </x:c>
      <x:c r="AV594" s="32" t="n">
        <x:f>AM594*60/tun_SeasonSeconds</x:f>
        <x:v>771081.6658035343</x:v>
      </x:c>
    </x:row>
    <x:row r="595">
      <x:c r="A595" s="8" t="n">
        <x:f>A594+1</x:f>
        <x:v>592</x:v>
      </x:c>
      <x:c r="B595" s="9" t="n">
        <x:f>A595*tun_SeasonSeconds/60</x:f>
        <x:v>148</x:v>
      </x:c>
      <x:c r="C595" s="9" t="n">
        <x:f>A595/4</x:f>
        <x:v>148</x:v>
      </x:c>
      <x:c r="D595" s="8" t="n">
        <x:f>IF(MOD(A595,4)=0,1,0)</x:f>
        <x:v>1</x:v>
      </x:c>
      <x:c r="E595" s="8" t="n">
        <x:f>IF(AND(F594&lt;=9,AS594&gt;=AR594),1,0)</x:f>
        <x:v>0</x:v>
      </x:c>
      <x:c r="F595" s="8" t="n">
        <x:f>MIN(10,F594+E595)</x:f>
        <x:v>8</x:v>
      </x:c>
      <x:c r="G595" s="8" t="n">
        <x:f>MIN(F595,9)+1</x:f>
        <x:v>9</x:v>
      </x:c>
      <x:c r="H595" s="8" t="n">
        <x:f>IF(F595&lt;=9,1,0)</x:f>
        <x:v>1</x:v>
      </x:c>
      <x:c r="I595" s="9" t="n">
        <x:f>MIN(10,F594+IF(AR594&gt;0,MIN(1,AS594/AR594),1))</x:f>
        <x:v>8.666498587791068</x:v>
      </x:c>
      <x:c r="J595" s="32" t="n">
        <x:f>INDEX(tun_FoodCap,G595)*Arch_FoodCap*EXP(tun_CapsByProject*SUMPRODUCT((Cap_Point&lt;=I595)*(Cap_Kind="Food")*Cap_Ln))</x:f>
        <x:v>12748.70295338279</x:v>
      </x:c>
      <x:c r="K595" s="32" t="n">
        <x:f>J595*MIN(1,tun_LeanBase*EXP(tun_CapsByProject*SUMPRODUCT((Cap_Point&lt;=I595)*(Cap_Kind="Lean")*Cap_Ln)))</x:f>
        <x:v>12748.70295338279</x:v>
      </x:c>
      <x:c r="L595" s="10" t="n">
        <x:f>INDEX(tun_HousingCap,G595)*EXP(tun_CapsByProject*SUMPRODUCT((Cap_Point&lt;=I595)*(Cap_Kind="Housing")*Cap_Ln))</x:f>
        <x:v>12514.86067705494</x:v>
      </x:c>
      <x:c r="M595" s="10" t="n">
        <x:f>INDEX(tun_GroupCap,G595)*tun_CohesionFactor*EXP(tun_CapsByProject*SUMPRODUCT((Cap_Point&lt;=I595)*(Cap_Kind="Group")*Cap_Ln))</x:f>
        <x:v>1000000.000000001</x:v>
      </x:c>
      <x:c r="N595" s="32" t="n">
        <x:f>MIN(J595,L595,M595)</x:f>
        <x:v>12514.86067705494</x:v>
      </x:c>
      <x:c r="O595" s="10" t="n">
        <x:f>AE594*N595</x:f>
        <x:v>112633.74609349445</x:v>
      </x:c>
      <x:c r="P595" s="9" t="n">
        <x:f>MIN(1,(AB594/(AE594*IF(tun_GroupInCrowding=1,N595,MIN(J595,L595))))^tun_CrowdingExp)</x:f>
        <x:v>0.041837259973050454</x:v>
      </x:c>
      <x:c r="Q595" s="9" t="n">
        <x:f>IF(D595=1,INDEX(tun_WinterMult,G595),1)</x:f>
        <x:v>1.05</x:v>
      </x:c>
      <x:c r="R595" s="9" t="n">
        <x:f>H595*Z594*tun_WomenShare*tun_BaseFertility*INDEX(tun_FertMult,G595)*Arch_Fertility*(1-P595)</x:f>
        <x:v>941.1635426495286</x:v>
      </x:c>
      <x:c r="S595" s="9" t="n">
        <x:f>H595*Y594*INDEX(tun_MortChild,G595)/4*Q595</x:f>
        <x:v>29.719024947390285</x:v>
      </x:c>
      <x:c r="T595" s="9" t="n">
        <x:f>H595*Z594*INDEX(tun_MortAdult,G595)*Arch_AdultMort/4*Q595</x:f>
        <x:v>21.637163839879392</x:v>
      </x:c>
      <x:c r="U595" s="9" t="n">
        <x:f>H595*AA594*INDEX(tun_MortElder,G595)/4*Q595</x:f>
        <x:v>118.92521559305143</x:v>
      </x:c>
      <x:c r="V595" s="9" t="n">
        <x:f>H595*MAX(0,AB594-O595)*tun_OvercapLoss</x:f>
        <x:v>0</x:v>
      </x:c>
      <x:c r="W595" s="9" t="n">
        <x:f>H595*Y594/(tun_ChildYears*4)</x:f>
        <x:v>449.2671949718864</x:v>
      </x:c>
      <x:c r="X595" s="9" t="n">
        <x:f>H595*Z594/(tun_AdultYears*4)</x:f>
        <x:v>221.5787387596456</x:v>
      </x:c>
      <x:c r="Y595" s="32" t="n">
        <x:f>Y594+R595-S595-W595-Y594*V595/AB594</x:f>
        <x:v>25621.140241155892</x:v>
      </x:c>
      <x:c r="Z595" s="32" t="n">
        <x:f>Z594+W595-X595-T595-Z594*V595/AB594</x:f>
        <x:v>27681.814898568417</x:v>
      </x:c>
      <x:c r="AA595" s="32" t="n">
        <x:f>AA594+X595-U595-AA594*V595/AB594</x:f>
        <x:v>13831.394139969067</x:v>
      </x:c>
      <x:c r="AB595" s="10" t="n">
        <x:f>Y595+Z595+AA595</x:f>
        <x:v>67134.34927969337</x:v>
      </x:c>
      <x:c r="AC595" s="8" t="n">
        <x:f>IF(AND(tun_WinterTrigger=1,D595=1,AB594/AE594&gt;=K595),1,0)</x:f>
        <x:v>0</x:v>
      </x:c>
      <x:c r="AD595" s="8" t="n">
        <x:f>H595*IF(AND(OR(AB594/AE594&gt;=tun_FissionTrigger*N595,AC595=1),AB594/AE594*tun_DaughterShare&gt;=tun_MinDaughter),MAX(1,ROUND(AE594*tun_FissionRate,0)),0)</x:f>
        <x:v>0</x:v>
      </x:c>
      <x:c r="AE595" s="8" t="n">
        <x:f>IF(H595=1,MAX(1,MIN(INDEX(tun_Smax,G595),AE594+AD595)),AE594)</x:f>
        <x:v>9</x:v>
      </x:c>
      <x:c r="AF595" s="8" t="n">
        <x:f>MAX(0,AE595-AE594)</x:f>
        <x:v>0</x:v>
      </x:c>
      <x:c r="AG595" s="9" t="str">
        <x:f>IF(AF595&gt;0,B595,"")</x:f>
      </x:c>
      <x:c r="AH595" s="9" t="n">
        <x:f>IF(F595&gt;=1,1,(1+tun_LowTiesShare*(AE595-1))/AE595)</x:f>
        <x:v>1</x:v>
      </x:c>
      <x:c r="AI595" s="32" t="n">
        <x:f>(Z595+tun_ElderCommons*INDEX(LM_Elder,G595)*AA595)*AH595</x:f>
        <x:v>79549.54292345242</x:v>
      </x:c>
      <x:c r="AJ595" s="32" t="n">
        <x:f>H595*tun_CommonsCoef*AI595^tun_CommonsExp*INDEX(LM_Commons,G595)</x:f>
        <x:v>211852.77864344572</x:v>
      </x:c>
      <x:c r="AK595" s="32" t="n">
        <x:f>H595*tun_RoleScale*Arch_Roles*(AE595*(INDEX(tun_ElderRolePerSett,G595)*tun_OutElder*INDEX(LM_Elder,G595)+INDEX(tun_ShamanPerSett,G595)*tun_OutShaman)+Z595*(INDEX(tun_PriestShare,G595)*tun_OutPriest+INDEX(tun_ScribeShare,G595)*tun_OutScribe*INDEX(LM_Scribe,G595)+INDEX(tun_ScholarShare,G595)*tun_OutScholar*INDEX(LM_Scholar,G595)+INDEX(tun_ResearcherShare,G595)*tun_OutResearcher*INDEX(LM_Researcher,G595)))</x:f>
        <x:v>57433.8893622887</x:v>
      </x:c>
      <x:c r="AL595" s="32" t="n">
        <x:f>H595*tun_RoleScale*Arch_Roles*AE595*INDEX(tun_MonasteryPerSett,G595)*tun_OutMonastery*INDEX(LM_Monastery,G595)</x:f>
        <x:v>31.680000000000003</x:v>
      </x:c>
      <x:c r="AM595" s="32" t="n">
        <x:f>(AJ595+AK595+AL595)/4*INDEX(LM_All,G595)*INDEX(tun_Boon,G595)*Arch_Insight</x:f>
        <x:v>194041.57381987633</x:v>
      </x:c>
      <x:c r="AN595" s="32" t="n">
        <x:f>H595*(tun_KHPerAdult*Z595+tun_KHOfCommons*AJ595/4*INDEX(LM_All,G595))*tun_KHUsable*Arch_KH</x:f>
        <x:v>30692.917521361524</x:v>
      </x:c>
      <x:c r="AO595" s="32" t="n">
        <x:f>MIN(AP594+AN595,AM595*tun_KHMaxRatio)</x:f>
        <x:v>30692.917521361524</x:v>
      </x:c>
      <x:c r="AP595" s="32" t="n">
        <x:f>AP594+AN595-AO595</x:f>
        <x:v>0</x:v>
      </x:c>
      <x:c r="AQ595" s="32" t="n">
        <x:f>AM595+AO595</x:f>
        <x:v>224734.49134123785</x:v>
      </x:c>
      <x:c r="AR595" s="10" t="n">
        <x:f>IF(H595=1,INDEX(tun_Req,G595),0)</x:f>
        <x:v>24497531.045680594</x:v>
      </x:c>
      <x:c r="AS595" s="32" t="n">
        <x:f>IF(H595=1,IF(E595=1,AS594-AR594,AS594)+AQ595,0)</x:f>
        <x:v>16552304.337655222</x:v>
      </x:c>
      <x:c r="AT595" s="11" t="n">
        <x:f>IF(AR595&gt;0,MIN(1,AS595/AR595),1)</x:f>
        <x:v>0.6756723486456699</x:v>
      </x:c>
      <x:c r="AU595" s="10" t="n">
        <x:f>AB595/INDEX(tun_RepScale,G595)</x:f>
        <x:v>268.53739711877347</x:v>
      </x:c>
      <x:c r="AV595" s="32" t="n">
        <x:f>AM595*60/tun_SeasonSeconds</x:f>
        <x:v>776166.2952795053</x:v>
      </x:c>
    </x:row>
    <x:row r="596">
      <x:c r="A596" s="8" t="n">
        <x:f>A595+1</x:f>
        <x:v>593</x:v>
      </x:c>
      <x:c r="B596" s="9" t="n">
        <x:f>A596*tun_SeasonSeconds/60</x:f>
        <x:v>148.25</x:v>
      </x:c>
      <x:c r="C596" s="9" t="n">
        <x:f>A596/4</x:f>
        <x:v>148.25</x:v>
      </x:c>
      <x:c r="D596" s="8" t="n">
        <x:f>IF(MOD(A596,4)=0,1,0)</x:f>
        <x:v>0</x:v>
      </x:c>
      <x:c r="E596" s="8" t="n">
        <x:f>IF(AND(F595&lt;=9,AS595&gt;=AR595),1,0)</x:f>
        <x:v>0</x:v>
      </x:c>
      <x:c r="F596" s="8" t="n">
        <x:f>MIN(10,F595+E596)</x:f>
        <x:v>8</x:v>
      </x:c>
      <x:c r="G596" s="8" t="n">
        <x:f>MIN(F596,9)+1</x:f>
        <x:v>9</x:v>
      </x:c>
      <x:c r="H596" s="8" t="n">
        <x:f>IF(F596&lt;=9,1,0)</x:f>
        <x:v>1</x:v>
      </x:c>
      <x:c r="I596" s="9" t="n">
        <x:f>MIN(10,F595+IF(AR595&gt;0,MIN(1,AS595/AR595),1))</x:f>
        <x:v>8.67567234864567</x:v>
      </x:c>
      <x:c r="J596" s="32" t="n">
        <x:f>INDEX(tun_FoodCap,G596)*Arch_FoodCap*EXP(tun_CapsByProject*SUMPRODUCT((Cap_Point&lt;=I596)*(Cap_Kind="Food")*Cap_Ln))</x:f>
        <x:v>12748.70295338279</x:v>
      </x:c>
      <x:c r="K596" s="32" t="n">
        <x:f>J596*MIN(1,tun_LeanBase*EXP(tun_CapsByProject*SUMPRODUCT((Cap_Point&lt;=I596)*(Cap_Kind="Lean")*Cap_Ln)))</x:f>
        <x:v>12748.70295338279</x:v>
      </x:c>
      <x:c r="L596" s="10" t="n">
        <x:f>INDEX(tun_HousingCap,G596)*EXP(tun_CapsByProject*SUMPRODUCT((Cap_Point&lt;=I596)*(Cap_Kind="Housing")*Cap_Ln))</x:f>
        <x:v>12514.86067705494</x:v>
      </x:c>
      <x:c r="M596" s="10" t="n">
        <x:f>INDEX(tun_GroupCap,G596)*tun_CohesionFactor*EXP(tun_CapsByProject*SUMPRODUCT((Cap_Point&lt;=I596)*(Cap_Kind="Group")*Cap_Ln))</x:f>
        <x:v>1000000.000000001</x:v>
      </x:c>
      <x:c r="N596" s="32" t="n">
        <x:f>MIN(J596,L596,M596)</x:f>
        <x:v>12514.86067705494</x:v>
      </x:c>
      <x:c r="O596" s="10" t="n">
        <x:f>AE595*N596</x:f>
        <x:v>112633.74609349445</x:v>
      </x:c>
      <x:c r="P596" s="9" t="n">
        <x:f>MIN(1,(AB595/(AE595*IF(tun_GroupInCrowding=1,N596,MIN(J596,L596))))^tun_CrowdingExp)</x:f>
        <x:v>0.044839166489384394</x:v>
      </x:c>
      <x:c r="Q596" s="9" t="n">
        <x:f>IF(D596=1,INDEX(tun_WinterMult,G596),1)</x:f>
        <x:v>1</x:v>
      </x:c>
      <x:c r="R596" s="9" t="n">
        <x:f>H596*Z595*tun_WomenShare*tun_BaseFertility*INDEX(tun_FertMult,G596)*Arch_Fertility*(1-P596)</x:f>
        <x:v>945.2509277498141</x:v>
      </x:c>
      <x:c r="S596" s="9" t="n">
        <x:f>H596*Y595*INDEX(tun_MortChild,G596)/4*Q596</x:f>
        <x:v>28.823782771300376</x:v>
      </x:c>
      <x:c r="T596" s="9" t="n">
        <x:f>H596*Z595*INDEX(tun_MortAdult,G596)*Arch_AdultMort/4*Q596</x:f>
        <x:v>20.761361173926314</x:v>
      </x:c>
      <x:c r="U596" s="9" t="n">
        <x:f>H596*AA595*INDEX(tun_MortElder,G596)/4*Q596</x:f>
        <x:v>114.1090016547448</x:v>
      </x:c>
      <x:c r="V596" s="9" t="n">
        <x:f>H596*MAX(0,AB595-O596)*tun_OvercapLoss</x:f>
        <x:v>0</x:v>
      </x:c>
      <x:c r="W596" s="9" t="n">
        <x:f>H596*Y595/(tun_ChildYears*4)</x:f>
        <x:v>457.5203614492124</x:v>
      </x:c>
      <x:c r="X596" s="9" t="n">
        <x:f>H596*Z595/(tun_AdultYears*4)</x:f>
        <x:v>223.24044273039047</x:v>
      </x:c>
      <x:c r="Y596" s="32" t="n">
        <x:f>Y595+R596-S596-W596-Y595*V596/AB595</x:f>
        <x:v>26080.04702468519</x:v>
      </x:c>
      <x:c r="Z596" s="32" t="n">
        <x:f>Z595+W596-X596-T596-Z595*V596/AB595</x:f>
        <x:v>27895.333456113312</x:v>
      </x:c>
      <x:c r="AA596" s="32" t="n">
        <x:f>AA595+X596-U596-AA595*V596/AB595</x:f>
        <x:v>13940.525581044712</x:v>
      </x:c>
      <x:c r="AB596" s="10" t="n">
        <x:f>Y596+Z596+AA596</x:f>
        <x:v>67915.90606184321</x:v>
      </x:c>
      <x:c r="AC596" s="8" t="n">
        <x:f>IF(AND(tun_WinterTrigger=1,D596=1,AB595/AE595&gt;=K596),1,0)</x:f>
        <x:v>0</x:v>
      </x:c>
      <x:c r="AD596" s="8" t="n">
        <x:f>H596*IF(AND(OR(AB595/AE595&gt;=tun_FissionTrigger*N596,AC596=1),AB595/AE595*tun_DaughterShare&gt;=tun_MinDaughter),MAX(1,ROUND(AE595*tun_FissionRate,0)),0)</x:f>
        <x:v>0</x:v>
      </x:c>
      <x:c r="AE596" s="8" t="n">
        <x:f>IF(H596=1,MAX(1,MIN(INDEX(tun_Smax,G596),AE595+AD596)),AE595)</x:f>
        <x:v>9</x:v>
      </x:c>
      <x:c r="AF596" s="8" t="n">
        <x:f>MAX(0,AE596-AE595)</x:f>
        <x:v>0</x:v>
      </x:c>
      <x:c r="AG596" s="9" t="str">
        <x:f>IF(AF596&gt;0,B596,"")</x:f>
      </x:c>
      <x:c r="AH596" s="9" t="n">
        <x:f>IF(F596&gt;=1,1,(1+tun_LowTiesShare*(AE596-1))/AE596)</x:f>
        <x:v>1</x:v>
      </x:c>
      <x:c r="AI596" s="32" t="n">
        <x:f>(Z596+tun_ElderCommons*INDEX(LM_Elder,G596)*AA596)*AH596</x:f>
        <x:v>80172.30438503098</x:v>
      </x:c>
      <x:c r="AJ596" s="32" t="n">
        <x:f>H596*tun_CommonsCoef*AI596^tun_CommonsExp*INDEX(LM_Commons,G596)</x:f>
        <x:v>213261.68725830852</x:v>
      </x:c>
      <x:c r="AK596" s="32" t="n">
        <x:f>H596*tun_RoleScale*Arch_Roles*(AE596*(INDEX(tun_ElderRolePerSett,G596)*tun_OutElder*INDEX(LM_Elder,G596)+INDEX(tun_ShamanPerSett,G596)*tun_OutShaman)+Z596*(INDEX(tun_PriestShare,G596)*tun_OutPriest+INDEX(tun_ScribeShare,G596)*tun_OutScribe*INDEX(LM_Scribe,G596)+INDEX(tun_ScholarShare,G596)*tun_OutScholar*INDEX(LM_Scholar,G596)+INDEX(tun_ResearcherShare,G596)*tun_OutResearcher*INDEX(LM_Researcher,G596)))</x:f>
        <x:v>57875.020705955656</x:v>
      </x:c>
      <x:c r="AL596" s="32" t="n">
        <x:f>H596*tun_RoleScale*Arch_Roles*AE596*INDEX(tun_MonasteryPerSett,G596)*tun_OutMonastery*INDEX(LM_Monastery,G596)</x:f>
        <x:v>31.680000000000003</x:v>
      </x:c>
      <x:c r="AM596" s="32" t="n">
        <x:f>(AJ596+AK596+AL596)/4*INDEX(LM_All,G596)*INDEX(tun_Boon,G596)*Arch_Insight</x:f>
        <x:v>195374.51183854832</x:v>
      </x:c>
      <x:c r="AN596" s="32" t="n">
        <x:f>H596*(tun_KHPerAdult*Z596+tun_KHOfCommons*AJ596/4*INDEX(LM_All,G596))*tun_KHUsable*Arch_KH</x:f>
        <x:v>30897.03811958082</x:v>
      </x:c>
      <x:c r="AO596" s="32" t="n">
        <x:f>MIN(AP595+AN596,AM596*tun_KHMaxRatio)</x:f>
        <x:v>30897.03811958082</x:v>
      </x:c>
      <x:c r="AP596" s="32" t="n">
        <x:f>AP595+AN596-AO596</x:f>
        <x:v>0</x:v>
      </x:c>
      <x:c r="AQ596" s="32" t="n">
        <x:f>AM596+AO596</x:f>
        <x:v>226271.54995812915</x:v>
      </x:c>
      <x:c r="AR596" s="10" t="n">
        <x:f>IF(H596=1,INDEX(tun_Req,G596),0)</x:f>
        <x:v>24497531.045680594</x:v>
      </x:c>
      <x:c r="AS596" s="32" t="n">
        <x:f>IF(H596=1,IF(E596=1,AS595-AR595,AS595)+AQ596,0)</x:f>
        <x:v>16778575.887613352</x:v>
      </x:c>
      <x:c r="AT596" s="11" t="n">
        <x:f>IF(AR596&gt;0,MIN(1,AS596/AR596),1)</x:f>
        <x:v>0.6849088529095568</x:v>
      </x:c>
      <x:c r="AU596" s="10" t="n">
        <x:f>AB596/INDEX(tun_RepScale,G596)</x:f>
        <x:v>271.66362424737287</x:v>
      </x:c>
      <x:c r="AV596" s="32" t="n">
        <x:f>AM596*60/tun_SeasonSeconds</x:f>
        <x:v>781498.0473541933</x:v>
      </x:c>
    </x:row>
    <x:row r="597">
      <x:c r="A597" s="8" t="n">
        <x:f>A596+1</x:f>
        <x:v>594</x:v>
      </x:c>
      <x:c r="B597" s="9" t="n">
        <x:f>A597*tun_SeasonSeconds/60</x:f>
        <x:v>148.5</x:v>
      </x:c>
      <x:c r="C597" s="9" t="n">
        <x:f>A597/4</x:f>
        <x:v>148.5</x:v>
      </x:c>
      <x:c r="D597" s="8" t="n">
        <x:f>IF(MOD(A597,4)=0,1,0)</x:f>
        <x:v>0</x:v>
      </x:c>
      <x:c r="E597" s="8" t="n">
        <x:f>IF(AND(F596&lt;=9,AS596&gt;=AR596),1,0)</x:f>
        <x:v>0</x:v>
      </x:c>
      <x:c r="F597" s="8" t="n">
        <x:f>MIN(10,F596+E597)</x:f>
        <x:v>8</x:v>
      </x:c>
      <x:c r="G597" s="8" t="n">
        <x:f>MIN(F597,9)+1</x:f>
        <x:v>9</x:v>
      </x:c>
      <x:c r="H597" s="8" t="n">
        <x:f>IF(F597&lt;=9,1,0)</x:f>
        <x:v>1</x:v>
      </x:c>
      <x:c r="I597" s="9" t="n">
        <x:f>MIN(10,F596+IF(AR596&gt;0,MIN(1,AS596/AR596),1))</x:f>
        <x:v>8.684908852909556</x:v>
      </x:c>
      <x:c r="J597" s="32" t="n">
        <x:f>INDEX(tun_FoodCap,G597)*Arch_FoodCap*EXP(tun_CapsByProject*SUMPRODUCT((Cap_Point&lt;=I597)*(Cap_Kind="Food")*Cap_Ln))</x:f>
        <x:v>12748.70295338279</x:v>
      </x:c>
      <x:c r="K597" s="32" t="n">
        <x:f>J597*MIN(1,tun_LeanBase*EXP(tun_CapsByProject*SUMPRODUCT((Cap_Point&lt;=I597)*(Cap_Kind="Lean")*Cap_Ln)))</x:f>
        <x:v>12748.70295338279</x:v>
      </x:c>
      <x:c r="L597" s="10" t="n">
        <x:f>INDEX(tun_HousingCap,G597)*EXP(tun_CapsByProject*SUMPRODUCT((Cap_Point&lt;=I597)*(Cap_Kind="Housing")*Cap_Ln))</x:f>
        <x:v>12514.86067705494</x:v>
      </x:c>
      <x:c r="M597" s="10" t="n">
        <x:f>INDEX(tun_GroupCap,G597)*tun_CohesionFactor*EXP(tun_CapsByProject*SUMPRODUCT((Cap_Point&lt;=I597)*(Cap_Kind="Group")*Cap_Ln))</x:f>
        <x:v>1000000.000000001</x:v>
      </x:c>
      <x:c r="N597" s="32" t="n">
        <x:f>MIN(J597,L597,M597)</x:f>
        <x:v>12514.86067705494</x:v>
      </x:c>
      <x:c r="O597" s="10" t="n">
        <x:f>AE596*N597</x:f>
        <x:v>112633.74609349445</x:v>
      </x:c>
      <x:c r="P597" s="9" t="n">
        <x:f>MIN(1,(AB596/(AE596*IF(tun_GroupInCrowding=1,N597,MIN(J597,L597))))^tun_CrowdingExp)</x:f>
        <x:v>0.04806376883947237</x:v>
      </x:c>
      <x:c r="Q597" s="9" t="n">
        <x:f>IF(D597=1,INDEX(tun_WinterMult,G597),1)</x:f>
        <x:v>1</x:v>
      </x:c>
      <x:c r="R597" s="9" t="n">
        <x:f>H597*Z596*tun_WomenShare*tun_BaseFertility*INDEX(tun_FertMult,G597)*Arch_Fertility*(1-P597)</x:f>
        <x:v>949.326184849138</x:v>
      </x:c>
      <x:c r="S597" s="9" t="n">
        <x:f>H597*Y596*INDEX(tun_MortChild,G597)/4*Q597</x:f>
        <x:v>29.340052902770836</x:v>
      </x:c>
      <x:c r="T597" s="9" t="n">
        <x:f>H597*Z596*INDEX(tun_MortAdult,G597)*Arch_AdultMort/4*Q597</x:f>
        <x:v>20.921500092084983</x:v>
      </x:c>
      <x:c r="U597" s="9" t="n">
        <x:f>H597*AA596*INDEX(tun_MortElder,G597)/4*Q597</x:f>
        <x:v>115.00933604361889</x:v>
      </x:c>
      <x:c r="V597" s="9" t="n">
        <x:f>H597*MAX(0,AB596-O597)*tun_OvercapLoss</x:f>
        <x:v>0</x:v>
      </x:c>
      <x:c r="W597" s="9" t="n">
        <x:f>H597*Y596/(tun_ChildYears*4)</x:f>
        <x:v>465.71512544080696</x:v>
      </x:c>
      <x:c r="X597" s="9" t="n">
        <x:f>H597*Z596/(tun_AdultYears*4)</x:f>
        <x:v>224.96236658155897</x:v>
      </x:c>
      <x:c r="Y597" s="32" t="n">
        <x:f>Y596+R597-S597-W597-Y596*V597/AB596</x:f>
        <x:v>26534.318031190753</x:v>
      </x:c>
      <x:c r="Z597" s="32" t="n">
        <x:f>Z596+W597-X597-T597-Z596*V597/AB596</x:f>
        <x:v>28115.164714880473</x:v>
      </x:c>
      <x:c r="AA597" s="32" t="n">
        <x:f>AA596+X597-U597-AA596*V597/AB596</x:f>
        <x:v>14050.478611582654</x:v>
      </x:c>
      <x:c r="AB597" s="10" t="n">
        <x:f>Y597+Z597+AA597</x:f>
        <x:v>68699.96135765388</x:v>
      </x:c>
      <x:c r="AC597" s="8" t="n">
        <x:f>IF(AND(tun_WinterTrigger=1,D597=1,AB596/AE596&gt;=K597),1,0)</x:f>
        <x:v>0</x:v>
      </x:c>
      <x:c r="AD597" s="8" t="n">
        <x:f>H597*IF(AND(OR(AB596/AE596&gt;=tun_FissionTrigger*N597,AC597=1),AB596/AE596*tun_DaughterShare&gt;=tun_MinDaughter),MAX(1,ROUND(AE596*tun_FissionRate,0)),0)</x:f>
        <x:v>0</x:v>
      </x:c>
      <x:c r="AE597" s="8" t="n">
        <x:f>IF(H597=1,MAX(1,MIN(INDEX(tun_Smax,G597),AE596+AD597)),AE596)</x:f>
        <x:v>9</x:v>
      </x:c>
      <x:c r="AF597" s="8" t="n">
        <x:f>MAX(0,AE597-AE596)</x:f>
        <x:v>0</x:v>
      </x:c>
      <x:c r="AG597" s="9" t="str">
        <x:f>IF(AF597&gt;0,B597,"")</x:f>
      </x:c>
      <x:c r="AH597" s="9" t="n">
        <x:f>IF(F597&gt;=1,1,(1+tun_LowTiesShare*(AE597-1))/AE597)</x:f>
        <x:v>1</x:v>
      </x:c>
      <x:c r="AI597" s="32" t="n">
        <x:f>(Z597+tun_ElderCommons*INDEX(LM_Elder,G597)*AA597)*AH597</x:f>
        <x:v>80804.45950831543</x:v>
      </x:c>
      <x:c r="AJ597" s="32" t="n">
        <x:f>H597*tun_CommonsCoef*AI597^tun_CommonsExp*INDEX(LM_Commons,G597)</x:f>
        <x:v>214690.16977691682</x:v>
      </x:c>
      <x:c r="AK597" s="32" t="n">
        <x:f>H597*tun_RoleScale*Arch_Roles*(AE597*(INDEX(tun_ElderRolePerSett,G597)*tun_OutElder*INDEX(LM_Elder,G597)+INDEX(tun_ShamanPerSett,G597)*tun_OutShaman)+Z597*(INDEX(tun_PriestShare,G597)*tun_OutPriest+INDEX(tun_ScribeShare,G597)*tun_OutScribe*INDEX(LM_Scribe,G597)+INDEX(tun_ScholarShare,G597)*tun_OutScholar*INDEX(LM_Scholar,G597)+INDEX(tun_ResearcherShare,G597)*tun_OutResearcher*INDEX(LM_Researcher,G597)))</x:f>
        <x:v>58329.194149589785</x:v>
      </x:c>
      <x:c r="AL597" s="32" t="n">
        <x:f>H597*tun_RoleScale*Arch_Roles*AE597*INDEX(tun_MonasteryPerSett,G597)*tun_OutMonastery*INDEX(LM_Monastery,G597)</x:f>
        <x:v>31.680000000000003</x:v>
      </x:c>
      <x:c r="AM597" s="32" t="n">
        <x:f>(AJ597+AK597+AL597)/4*INDEX(LM_All,G597)*INDEX(tun_Boon,G597)*Arch_Insight</x:f>
        <x:v>196730.94940984633</x:v>
      </x:c>
      <x:c r="AN597" s="32" t="n">
        <x:f>H597*(tun_KHPerAdult*Z597+tun_KHOfCommons*AJ597/4*INDEX(LM_All,G597))*tun_KHUsable*Arch_KH</x:f>
        <x:v>31103.994556050988</x:v>
      </x:c>
      <x:c r="AO597" s="32" t="n">
        <x:f>MIN(AP596+AN597,AM597*tun_KHMaxRatio)</x:f>
        <x:v>31103.994556050988</x:v>
      </x:c>
      <x:c r="AP597" s="32" t="n">
        <x:f>AP596+AN597-AO597</x:f>
        <x:v>0</x:v>
      </x:c>
      <x:c r="AQ597" s="32" t="n">
        <x:f>AM597+AO597</x:f>
        <x:v>227834.9439658973</x:v>
      </x:c>
      <x:c r="AR597" s="10" t="n">
        <x:f>IF(H597=1,INDEX(tun_Req,G597),0)</x:f>
        <x:v>24497531.045680594</x:v>
      </x:c>
      <x:c r="AS597" s="32" t="n">
        <x:f>IF(H597=1,IF(E597=1,AS596-AR596,AS596)+AQ597,0)</x:f>
        <x:v>17006410.83157925</x:v>
      </x:c>
      <x:c r="AT597" s="11" t="n">
        <x:f>IF(AR597&gt;0,MIN(1,AS597/AR597),1)</x:f>
        <x:v>0.6942091756049767</x:v>
      </x:c>
      <x:c r="AU597" s="10" t="n">
        <x:f>AB597/INDEX(tun_RepScale,G597)</x:f>
        <x:v>274.7998454306155</x:v>
      </x:c>
      <x:c r="AV597" s="32" t="n">
        <x:f>AM597*60/tun_SeasonSeconds</x:f>
        <x:v>786923.7976393853</x:v>
      </x:c>
    </x:row>
    <x:row r="598">
      <x:c r="A598" s="8" t="n">
        <x:f>A597+1</x:f>
        <x:v>595</x:v>
      </x:c>
      <x:c r="B598" s="9" t="n">
        <x:f>A598*tun_SeasonSeconds/60</x:f>
        <x:v>148.75</x:v>
      </x:c>
      <x:c r="C598" s="9" t="n">
        <x:f>A598/4</x:f>
        <x:v>148.75</x:v>
      </x:c>
      <x:c r="D598" s="8" t="n">
        <x:f>IF(MOD(A598,4)=0,1,0)</x:f>
        <x:v>0</x:v>
      </x:c>
      <x:c r="E598" s="8" t="n">
        <x:f>IF(AND(F597&lt;=9,AS597&gt;=AR597),1,0)</x:f>
        <x:v>0</x:v>
      </x:c>
      <x:c r="F598" s="8" t="n">
        <x:f>MIN(10,F597+E598)</x:f>
        <x:v>8</x:v>
      </x:c>
      <x:c r="G598" s="8" t="n">
        <x:f>MIN(F598,9)+1</x:f>
        <x:v>9</x:v>
      </x:c>
      <x:c r="H598" s="8" t="n">
        <x:f>IF(F598&lt;=9,1,0)</x:f>
        <x:v>1</x:v>
      </x:c>
      <x:c r="I598" s="9" t="n">
        <x:f>MIN(10,F597+IF(AR597&gt;0,MIN(1,AS597/AR597),1))</x:f>
        <x:v>8.694209175604977</x:v>
      </x:c>
      <x:c r="J598" s="32" t="n">
        <x:f>INDEX(tun_FoodCap,G598)*Arch_FoodCap*EXP(tun_CapsByProject*SUMPRODUCT((Cap_Point&lt;=I598)*(Cap_Kind="Food")*Cap_Ln))</x:f>
        <x:v>12748.70295338279</x:v>
      </x:c>
      <x:c r="K598" s="32" t="n">
        <x:f>J598*MIN(1,tun_LeanBase*EXP(tun_CapsByProject*SUMPRODUCT((Cap_Point&lt;=I598)*(Cap_Kind="Lean")*Cap_Ln)))</x:f>
        <x:v>12748.70295338279</x:v>
      </x:c>
      <x:c r="L598" s="10" t="n">
        <x:f>INDEX(tun_HousingCap,G598)*EXP(tun_CapsByProject*SUMPRODUCT((Cap_Point&lt;=I598)*(Cap_Kind="Housing")*Cap_Ln))</x:f>
        <x:v>12514.86067705494</x:v>
      </x:c>
      <x:c r="M598" s="10" t="n">
        <x:f>INDEX(tun_GroupCap,G598)*tun_CohesionFactor*EXP(tun_CapsByProject*SUMPRODUCT((Cap_Point&lt;=I598)*(Cap_Kind="Group")*Cap_Ln))</x:f>
        <x:v>1000000.000000001</x:v>
      </x:c>
      <x:c r="N598" s="32" t="n">
        <x:f>MIN(J598,L598,M598)</x:f>
        <x:v>12514.86067705494</x:v>
      </x:c>
      <x:c r="O598" s="10" t="n">
        <x:f>AE597*N598</x:f>
        <x:v>112633.74609349445</x:v>
      </x:c>
      <x:c r="P598" s="9" t="n">
        <x:f>MIN(1,(AB597/(AE597*IF(tun_GroupInCrowding=1,N598,MIN(J598,L598))))^tun_CrowdingExp)</x:f>
        <x:v>0.051490580157957516</x:v>
      </x:c>
      <x:c r="Q598" s="9" t="n">
        <x:f>IF(D598=1,INDEX(tun_WinterMult,G598),1)</x:f>
        <x:v>1</x:v>
      </x:c>
      <x:c r="R598" s="9" t="n">
        <x:f>H598*Z597*tun_WomenShare*tun_BaseFertility*INDEX(tun_FertMult,G598)*Arch_Fertility*(1-P598)</x:f>
        <x:v>953.3630739659721</x:v>
      </x:c>
      <x:c r="S598" s="9" t="n">
        <x:f>H598*Y597*INDEX(tun_MortChild,G598)/4*Q598</x:f>
        <x:v>29.851107785089596</x:v>
      </x:c>
      <x:c r="T598" s="9" t="n">
        <x:f>H598*Z597*INDEX(tun_MortAdult,G598)*Arch_AdultMort/4*Q598</x:f>
        <x:v>21.086373536160355</x:v>
      </x:c>
      <x:c r="U598" s="9" t="n">
        <x:f>H598*AA597*INDEX(tun_MortElder,G598)/4*Q598</x:f>
        <x:v>115.9164485455569</x:v>
      </x:c>
      <x:c r="V598" s="9" t="n">
        <x:f>H598*MAX(0,AB597-O598)*tun_OvercapLoss</x:f>
        <x:v>0</x:v>
      </x:c>
      <x:c r="W598" s="9" t="n">
        <x:f>H598*Y597/(tun_ChildYears*4)</x:f>
        <x:v>473.82710769983487</x:v>
      </x:c>
      <x:c r="X598" s="9" t="n">
        <x:f>H598*Z597/(tun_AdultYears*4)</x:f>
        <x:v>226.73519931355222</x:v>
      </x:c>
      <x:c r="Y598" s="32" t="n">
        <x:f>Y597+R598-S598-W598-Y597*V598/AB597</x:f>
        <x:v>26984.0028896718</x:v>
      </x:c>
      <x:c r="Z598" s="32" t="n">
        <x:f>Z597+W598-X598-T598-Z597*V598/AB597</x:f>
        <x:v>28341.170249730596</x:v>
      </x:c>
      <x:c r="AA598" s="32" t="n">
        <x:f>AA597+X598-U598-AA597*V598/AB597</x:f>
        <x:v>14161.29736235065</x:v>
      </x:c>
      <x:c r="AB598" s="10" t="n">
        <x:f>Y598+Z598+AA598</x:f>
        <x:v>69486.47050175305</x:v>
      </x:c>
      <x:c r="AC598" s="8" t="n">
        <x:f>IF(AND(tun_WinterTrigger=1,D598=1,AB597/AE597&gt;=K598),1,0)</x:f>
        <x:v>0</x:v>
      </x:c>
      <x:c r="AD598" s="8" t="n">
        <x:f>H598*IF(AND(OR(AB597/AE597&gt;=tun_FissionTrigger*N598,AC598=1),AB597/AE597*tun_DaughterShare&gt;=tun_MinDaughter),MAX(1,ROUND(AE597*tun_FissionRate,0)),0)</x:f>
        <x:v>0</x:v>
      </x:c>
      <x:c r="AE598" s="8" t="n">
        <x:f>IF(H598=1,MAX(1,MIN(INDEX(tun_Smax,G598),AE597+AD598)),AE597)</x:f>
        <x:v>9</x:v>
      </x:c>
      <x:c r="AF598" s="8" t="n">
        <x:f>MAX(0,AE598-AE597)</x:f>
        <x:v>0</x:v>
      </x:c>
      <x:c r="AG598" s="9" t="str">
        <x:f>IF(AF598&gt;0,B598,"")</x:f>
      </x:c>
      <x:c r="AH598" s="9" t="n">
        <x:f>IF(F598&gt;=1,1,(1+tun_LowTiesShare*(AE598-1))/AE598)</x:f>
        <x:v>1</x:v>
      </x:c>
      <x:c r="AI598" s="32" t="n">
        <x:f>(Z598+tun_ElderCommons*INDEX(LM_Elder,G598)*AA598)*AH598</x:f>
        <x:v>81446.03535854553</x:v>
      </x:c>
      <x:c r="AJ598" s="32" t="n">
        <x:f>H598*tun_CommonsCoef*AI598^tun_CommonsExp*INDEX(LM_Commons,G598)</x:f>
        <x:v>216138.22742974572</x:v>
      </x:c>
      <x:c r="AK598" s="32" t="n">
        <x:f>H598*tun_RoleScale*Arch_Roles*(AE598*(INDEX(tun_ElderRolePerSett,G598)*tun_OutElder*INDEX(LM_Elder,G598)+INDEX(tun_ShamanPerSett,G598)*tun_OutShaman)+Z598*(INDEX(tun_PriestShare,G598)*tun_OutPriest+INDEX(tun_ScribeShare,G598)*tun_OutScribe*INDEX(LM_Scribe,G598)+INDEX(tun_ScholarShare,G598)*tun_OutScholar*INDEX(LM_Scholar,G598)+INDEX(tun_ResearcherShare,G598)*tun_OutResearcher*INDEX(LM_Researcher,G598)))</x:f>
        <x:v>58796.12370555422</x:v>
      </x:c>
      <x:c r="AL598" s="32" t="n">
        <x:f>H598*tun_RoleScale*Arch_Roles*AE598*INDEX(tun_MonasteryPerSett,G598)*tun_OutMonastery*INDEX(LM_Monastery,G598)</x:f>
        <x:v>31.680000000000003</x:v>
      </x:c>
      <x:c r="AM598" s="32" t="n">
        <x:f>(AJ598+AK598+AL598)/4*INDEX(LM_All,G598)*INDEX(tun_Boon,G598)*Arch_Insight</x:f>
        <x:v>198110.6813686629</x:v>
      </x:c>
      <x:c r="AN598" s="32" t="n">
        <x:f>H598*(tun_KHPerAdult*Z598+tun_KHOfCommons*AJ598/4*INDEX(LM_All,G598))*tun_KHUsable*Arch_KH</x:f>
        <x:v>31313.787009041447</x:v>
      </x:c>
      <x:c r="AO598" s="32" t="n">
        <x:f>MIN(AP597+AN598,AM598*tun_KHMaxRatio)</x:f>
        <x:v>31313.787009041447</x:v>
      </x:c>
      <x:c r="AP598" s="32" t="n">
        <x:f>AP597+AN598-AO598</x:f>
        <x:v>0</x:v>
      </x:c>
      <x:c r="AQ598" s="32" t="n">
        <x:f>AM598+AO598</x:f>
        <x:v>229424.46837770432</x:v>
      </x:c>
      <x:c r="AR598" s="10" t="n">
        <x:f>IF(H598=1,INDEX(tun_Req,G598),0)</x:f>
        <x:v>24497531.045680594</x:v>
      </x:c>
      <x:c r="AS598" s="32" t="n">
        <x:f>IF(H598=1,IF(E598=1,AS597-AR597,AS597)+AQ598,0)</x:f>
        <x:v>17235835.299956955</x:v>
      </x:c>
      <x:c r="AT598" s="11" t="n">
        <x:f>IF(AR598&gt;0,MIN(1,AS598/AR598),1)</x:f>
        <x:v>0.7035743833865241</x:v>
      </x:c>
      <x:c r="AU598" s="10" t="n">
        <x:f>AB598/INDEX(tun_RepScale,G598)</x:f>
        <x:v>277.9458820070122</x:v>
      </x:c>
      <x:c r="AV598" s="32" t="n">
        <x:f>AM598*60/tun_SeasonSeconds</x:f>
        <x:v>792442.7254746516</x:v>
      </x:c>
    </x:row>
    <x:row r="599">
      <x:c r="A599" s="8" t="n">
        <x:f>A598+1</x:f>
        <x:v>596</x:v>
      </x:c>
      <x:c r="B599" s="9" t="n">
        <x:f>A599*tun_SeasonSeconds/60</x:f>
        <x:v>149</x:v>
      </x:c>
      <x:c r="C599" s="9" t="n">
        <x:f>A599/4</x:f>
        <x:v>149</x:v>
      </x:c>
      <x:c r="D599" s="8" t="n">
        <x:f>IF(MOD(A599,4)=0,1,0)</x:f>
        <x:v>1</x:v>
      </x:c>
      <x:c r="E599" s="8" t="n">
        <x:f>IF(AND(F598&lt;=9,AS598&gt;=AR598),1,0)</x:f>
        <x:v>0</x:v>
      </x:c>
      <x:c r="F599" s="8" t="n">
        <x:f>MIN(10,F598+E599)</x:f>
        <x:v>8</x:v>
      </x:c>
      <x:c r="G599" s="8" t="n">
        <x:f>MIN(F599,9)+1</x:f>
        <x:v>9</x:v>
      </x:c>
      <x:c r="H599" s="8" t="n">
        <x:f>IF(F599&lt;=9,1,0)</x:f>
        <x:v>1</x:v>
      </x:c>
      <x:c r="I599" s="9" t="n">
        <x:f>MIN(10,F598+IF(AR598&gt;0,MIN(1,AS598/AR598),1))</x:f>
        <x:v>8.703574383386524</x:v>
      </x:c>
      <x:c r="J599" s="32" t="n">
        <x:f>INDEX(tun_FoodCap,G599)*Arch_FoodCap*EXP(tun_CapsByProject*SUMPRODUCT((Cap_Point&lt;=I599)*(Cap_Kind="Food")*Cap_Ln))</x:f>
        <x:v>13863.877308233004</x:v>
      </x:c>
      <x:c r="K599" s="32" t="n">
        <x:f>J599*MIN(1,tun_LeanBase*EXP(tun_CapsByProject*SUMPRODUCT((Cap_Point&lt;=I599)*(Cap_Kind="Lean")*Cap_Ln)))</x:f>
        <x:v>13863.877308233004</x:v>
      </x:c>
      <x:c r="L599" s="10" t="n">
        <x:f>INDEX(tun_HousingCap,G599)*EXP(tun_CapsByProject*SUMPRODUCT((Cap_Point&lt;=I599)*(Cap_Kind="Housing")*Cap_Ln))</x:f>
        <x:v>12514.86067705494</x:v>
      </x:c>
      <x:c r="M599" s="10" t="n">
        <x:f>INDEX(tun_GroupCap,G599)*tun_CohesionFactor*EXP(tun_CapsByProject*SUMPRODUCT((Cap_Point&lt;=I599)*(Cap_Kind="Group")*Cap_Ln))</x:f>
        <x:v>1000000.000000001</x:v>
      </x:c>
      <x:c r="N599" s="32" t="n">
        <x:f>MIN(J599,L599,M599)</x:f>
        <x:v>12514.86067705494</x:v>
      </x:c>
      <x:c r="O599" s="10" t="n">
        <x:f>AE598*N599</x:f>
        <x:v>112633.74609349445</x:v>
      </x:c>
      <x:c r="P599" s="9" t="n">
        <x:f>MIN(1,(AB598/(AE598*IF(tun_GroupInCrowding=1,N599,MIN(J599,L599))))^tun_CrowdingExp)</x:f>
        <x:v>0.05513029857258738</x:v>
      </x:c>
      <x:c r="Q599" s="9" t="n">
        <x:f>IF(D599=1,INDEX(tun_WinterMult,G599),1)</x:f>
        <x:v>1.05</x:v>
      </x:c>
      <x:c r="R599" s="9" t="n">
        <x:f>H599*Z598*tun_WomenShare*tun_BaseFertility*INDEX(tun_FertMult,G599)*Arch_Fertility*(1-P599)</x:f>
        <x:v>957.3389923227996</x:v>
      </x:c>
      <x:c r="S599" s="9" t="n">
        <x:f>H599*Y598*INDEX(tun_MortChild,G599)/4*Q599</x:f>
        <x:v>31.874853413424812</x:v>
      </x:c>
      <x:c r="T599" s="9" t="n">
        <x:f>H599*Z598*INDEX(tun_MortAdult,G599)*Arch_AdultMort/4*Q599</x:f>
        <x:v>22.318671571662843</x:v>
      </x:c>
      <x:c r="U599" s="9" t="n">
        <x:f>H599*AA598*INDEX(tun_MortElder,G599)/4*Q599</x:f>
        <x:v>122.6722384013625</x:v>
      </x:c>
      <x:c r="V599" s="9" t="n">
        <x:f>H599*MAX(0,AB598-O599)*tun_OvercapLoss</x:f>
        <x:v>0</x:v>
      </x:c>
      <x:c r="W599" s="9" t="n">
        <x:f>H599*Y598/(tun_ChildYears*4)</x:f>
        <x:v>481.857194458425</x:v>
      </x:c>
      <x:c r="X599" s="9" t="n">
        <x:f>H599*Z598/(tun_AdultYears*4)</x:f>
        <x:v>228.55782459460158</x:v>
      </x:c>
      <x:c r="Y599" s="32" t="n">
        <x:f>Y598+R599-S599-W599-Y598*V599/AB598</x:f>
        <x:v>27427.609834122748</x:v>
      </x:c>
      <x:c r="Z599" s="32" t="n">
        <x:f>Z598+W599-X599-T599-Z598*V599/AB598</x:f>
        <x:v>28572.150948022758</x:v>
      </x:c>
      <x:c r="AA599" s="32" t="n">
        <x:f>AA598+X599-U599-AA598*V599/AB598</x:f>
        <x:v>14267.182948543888</x:v>
      </x:c>
      <x:c r="AB599" s="10" t="n">
        <x:f>Y599+Z599+AA599</x:f>
        <x:v>70266.9437306894</x:v>
      </x:c>
      <x:c r="AC599" s="8" t="n">
        <x:f>IF(AND(tun_WinterTrigger=1,D599=1,AB598/AE598&gt;=K599),1,0)</x:f>
        <x:v>0</x:v>
      </x:c>
      <x:c r="AD599" s="8" t="n">
        <x:f>H599*IF(AND(OR(AB598/AE598&gt;=tun_FissionTrigger*N599,AC599=1),AB598/AE598*tun_DaughterShare&gt;=tun_MinDaughter),MAX(1,ROUND(AE598*tun_FissionRate,0)),0)</x:f>
        <x:v>0</x:v>
      </x:c>
      <x:c r="AE599" s="8" t="n">
        <x:f>IF(H599=1,MAX(1,MIN(INDEX(tun_Smax,G599),AE598+AD599)),AE598)</x:f>
        <x:v>9</x:v>
      </x:c>
      <x:c r="AF599" s="8" t="n">
        <x:f>MAX(0,AE599-AE598)</x:f>
        <x:v>0</x:v>
      </x:c>
      <x:c r="AG599" s="9" t="str">
        <x:f>IF(AF599&gt;0,B599,"")</x:f>
      </x:c>
      <x:c r="AH599" s="9" t="n">
        <x:f>IF(F599&gt;=1,1,(1+tun_LowTiesShare*(AE599-1))/AE599)</x:f>
        <x:v>1</x:v>
      </x:c>
      <x:c r="AI599" s="32" t="n">
        <x:f>(Z599+tun_ElderCommons*INDEX(LM_Elder,G599)*AA599)*AH599</x:f>
        <x:v>82074.08700506233</x:v>
      </x:c>
      <x:c r="AJ599" s="32" t="n">
        <x:f>H599*tun_CommonsCoef*AI599^tun_CommonsExp*INDEX(LM_Commons,G599)</x:f>
        <x:v>217554.1040694473</x:v>
      </x:c>
      <x:c r="AK599" s="32" t="n">
        <x:f>H599*tun_RoleScale*Arch_Roles*(AE599*(INDEX(tun_ElderRolePerSett,G599)*tun_OutElder*INDEX(LM_Elder,G599)+INDEX(tun_ShamanPerSett,G599)*tun_OutShaman)+Z599*(INDEX(tun_PriestShare,G599)*tun_OutPriest+INDEX(tun_ScribeShare,G599)*tun_OutScribe*INDEX(LM_Scribe,G599)+INDEX(tun_ScholarShare,G599)*tun_OutScholar*INDEX(LM_Scholar,G599)+INDEX(tun_ResearcherShare,G599)*tun_OutResearcher*INDEX(LM_Researcher,G599)))</x:f>
        <x:v>59273.331995879664</x:v>
      </x:c>
      <x:c r="AL599" s="32" t="n">
        <x:f>H599*tun_RoleScale*Arch_Roles*AE599*INDEX(tun_MonasteryPerSett,G599)*tun_OutMonastery*INDEX(LM_Monastery,G599)</x:f>
        <x:v>31.680000000000003</x:v>
      </x:c>
      <x:c r="AM599" s="32" t="n">
        <x:f>(AJ599+AK599+AL599)/4*INDEX(LM_All,G599)*INDEX(tun_Boon,G599)*Arch_Insight</x:f>
        <x:v>199474.63292234356</x:v>
      </x:c>
      <x:c r="AN599" s="32" t="n">
        <x:f>H599*(tun_KHPerAdult*Z599+tun_KHOfCommons*AJ599/4*INDEX(LM_All,G599))*tun_KHUsable*Arch_KH</x:f>
        <x:v>31518.917124402942</x:v>
      </x:c>
      <x:c r="AO599" s="32" t="n">
        <x:f>MIN(AP598+AN599,AM599*tun_KHMaxRatio)</x:f>
        <x:v>31518.917124402942</x:v>
      </x:c>
      <x:c r="AP599" s="32" t="n">
        <x:f>AP598+AN599-AO599</x:f>
        <x:v>0</x:v>
      </x:c>
      <x:c r="AQ599" s="32" t="n">
        <x:f>AM599+AO599</x:f>
        <x:v>230993.5500467465</x:v>
      </x:c>
      <x:c r="AR599" s="10" t="n">
        <x:f>IF(H599=1,INDEX(tun_Req,G599),0)</x:f>
        <x:v>24497531.045680594</x:v>
      </x:c>
      <x:c r="AS599" s="32" t="n">
        <x:f>IF(H599=1,IF(E599=1,AS598-AR598,AS598)+AQ599,0)</x:f>
        <x:v>17466828.8500037</x:v>
      </x:c>
      <x:c r="AT599" s="11" t="n">
        <x:f>IF(AR599&gt;0,MIN(1,AS599/AR599),1)</x:f>
        <x:v>0.7130036417724411</x:v>
      </x:c>
      <x:c r="AU599" s="10" t="n">
        <x:f>AB599/INDEX(tun_RepScale,G599)</x:f>
        <x:v>281.06777492275756</x:v>
      </x:c>
      <x:c r="AV599" s="32" t="n">
        <x:f>AM599*60/tun_SeasonSeconds</x:f>
        <x:v>797898.5316893742</x:v>
      </x:c>
    </x:row>
    <x:row r="600">
      <x:c r="A600" s="8" t="n">
        <x:f>A599+1</x:f>
        <x:v>597</x:v>
      </x:c>
      <x:c r="B600" s="9" t="n">
        <x:f>A600*tun_SeasonSeconds/60</x:f>
        <x:v>149.25</x:v>
      </x:c>
      <x:c r="C600" s="9" t="n">
        <x:f>A600/4</x:f>
        <x:v>149.25</x:v>
      </x:c>
      <x:c r="D600" s="8" t="n">
        <x:f>IF(MOD(A600,4)=0,1,0)</x:f>
        <x:v>0</x:v>
      </x:c>
      <x:c r="E600" s="8" t="n">
        <x:f>IF(AND(F599&lt;=9,AS599&gt;=AR599),1,0)</x:f>
        <x:v>0</x:v>
      </x:c>
      <x:c r="F600" s="8" t="n">
        <x:f>MIN(10,F599+E600)</x:f>
        <x:v>8</x:v>
      </x:c>
      <x:c r="G600" s="8" t="n">
        <x:f>MIN(F600,9)+1</x:f>
        <x:v>9</x:v>
      </x:c>
      <x:c r="H600" s="8" t="n">
        <x:f>IF(F600&lt;=9,1,0)</x:f>
        <x:v>1</x:v>
      </x:c>
      <x:c r="I600" s="9" t="n">
        <x:f>MIN(10,F599+IF(AR599&gt;0,MIN(1,AS599/AR599),1))</x:f>
        <x:v>8.713003641772442</x:v>
      </x:c>
      <x:c r="J600" s="32" t="n">
        <x:f>INDEX(tun_FoodCap,G600)*Arch_FoodCap*EXP(tun_CapsByProject*SUMPRODUCT((Cap_Point&lt;=I600)*(Cap_Kind="Food")*Cap_Ln))</x:f>
        <x:v>13863.877308233004</x:v>
      </x:c>
      <x:c r="K600" s="32" t="n">
        <x:f>J600*MIN(1,tun_LeanBase*EXP(tun_CapsByProject*SUMPRODUCT((Cap_Point&lt;=I600)*(Cap_Kind="Lean")*Cap_Ln)))</x:f>
        <x:v>13863.877308233004</x:v>
      </x:c>
      <x:c r="L600" s="10" t="n">
        <x:f>INDEX(tun_HousingCap,G600)*EXP(tun_CapsByProject*SUMPRODUCT((Cap_Point&lt;=I600)*(Cap_Kind="Housing")*Cap_Ln))</x:f>
        <x:v>12514.86067705494</x:v>
      </x:c>
      <x:c r="M600" s="10" t="n">
        <x:f>INDEX(tun_GroupCap,G600)*tun_CohesionFactor*EXP(tun_CapsByProject*SUMPRODUCT((Cap_Point&lt;=I600)*(Cap_Kind="Group")*Cap_Ln))</x:f>
        <x:v>1000000.000000001</x:v>
      </x:c>
      <x:c r="N600" s="32" t="n">
        <x:f>MIN(J600,L600,M600)</x:f>
        <x:v>12514.86067705494</x:v>
      </x:c>
      <x:c r="O600" s="10" t="n">
        <x:f>AE599*N600</x:f>
        <x:v>112633.74609349445</x:v>
      </x:c>
      <x:c r="P600" s="9" t="n">
        <x:f>MIN(1,(AB599/(AE599*IF(tun_GroupInCrowding=1,N600,MIN(J600,L600))))^tun_CrowdingExp)</x:f>
        <x:v>0.05895154805185408</x:v>
      </x:c>
      <x:c r="Q600" s="9" t="n">
        <x:f>IF(D600=1,INDEX(tun_WinterMult,G600),1)</x:f>
        <x:v>1</x:v>
      </x:c>
      <x:c r="R600" s="9" t="n">
        <x:f>H600*Z599*tun_WomenShare*tun_BaseFertility*INDEX(tun_FertMult,G600)*Arch_Fertility*(1-P600)</x:f>
        <x:v>961.238078460144</x:v>
      </x:c>
      <x:c r="S600" s="9" t="n">
        <x:f>H600*Y599*INDEX(tun_MortChild,G600)/4*Q600</x:f>
        <x:v>30.85606106338809</x:v>
      </x:c>
      <x:c r="T600" s="9" t="n">
        <x:f>H600*Z599*INDEX(tun_MortAdult,G600)*Arch_AdultMort/4*Q600</x:f>
        <x:v>21.429113211017068</x:v>
      </x:c>
      <x:c r="U600" s="9" t="n">
        <x:f>H600*AA599*INDEX(tun_MortElder,G600)/4*Q600</x:f>
        <x:v>117.70425932548709</x:v>
      </x:c>
      <x:c r="V600" s="9" t="n">
        <x:f>H600*MAX(0,AB599-O600)*tun_OvercapLoss</x:f>
        <x:v>0</x:v>
      </x:c>
      <x:c r="W600" s="9" t="n">
        <x:f>H600*Y599/(tun_ChildYears*4)</x:f>
        <x:v>489.7787470379062</x:v>
      </x:c>
      <x:c r="X600" s="9" t="n">
        <x:f>H600*Z599/(tun_AdultYears*4)</x:f>
        <x:v>230.42057216147384</x:v>
      </x:c>
      <x:c r="Y600" s="32" t="n">
        <x:f>Y599+R600-S600-W600-Y599*V600/AB599</x:f>
        <x:v>27868.213104481598</x:v>
      </x:c>
      <x:c r="Z600" s="32" t="n">
        <x:f>Z599+W600-X600-T600-Z599*V600/AB599</x:f>
        <x:v>28810.080009688176</x:v>
      </x:c>
      <x:c r="AA600" s="32" t="n">
        <x:f>AA599+X600-U600-AA599*V600/AB599</x:f>
        <x:v>14379.899261379876</x:v>
      </x:c>
      <x:c r="AB600" s="10" t="n">
        <x:f>Y600+Z600+AA600</x:f>
        <x:v>71058.19237554965</x:v>
      </x:c>
      <x:c r="AC600" s="8" t="n">
        <x:f>IF(AND(tun_WinterTrigger=1,D600=1,AB599/AE599&gt;=K600),1,0)</x:f>
        <x:v>0</x:v>
      </x:c>
      <x:c r="AD600" s="8" t="n">
        <x:f>H600*IF(AND(OR(AB599/AE599&gt;=tun_FissionTrigger*N600,AC600=1),AB599/AE599*tun_DaughterShare&gt;=tun_MinDaughter),MAX(1,ROUND(AE599*tun_FissionRate,0)),0)</x:f>
        <x:v>0</x:v>
      </x:c>
      <x:c r="AE600" s="8" t="n">
        <x:f>IF(H600=1,MAX(1,MIN(INDEX(tun_Smax,G600),AE599+AD600)),AE599)</x:f>
        <x:v>9</x:v>
      </x:c>
      <x:c r="AF600" s="8" t="n">
        <x:f>MAX(0,AE600-AE599)</x:f>
        <x:v>0</x:v>
      </x:c>
      <x:c r="AG600" s="9" t="str">
        <x:f>IF(AF600&gt;0,B600,"")</x:f>
      </x:c>
      <x:c r="AH600" s="9" t="n">
        <x:f>IF(F600&gt;=1,1,(1+tun_LowTiesShare*(AE600-1))/AE600)</x:f>
        <x:v>1</x:v>
      </x:c>
      <x:c r="AI600" s="32" t="n">
        <x:f>(Z600+tun_ElderCommons*INDEX(LM_Elder,G600)*AA600)*AH600</x:f>
        <x:v>82734.70223986272</x:v>
      </x:c>
      <x:c r="AJ600" s="32" t="n">
        <x:f>H600*tun_CommonsCoef*AI600^tun_CommonsExp*INDEX(LM_Commons,G600)</x:f>
        <x:v>219041.63938305556</x:v>
      </x:c>
      <x:c r="AK600" s="32" t="n">
        <x:f>H600*tun_RoleScale*Arch_Roles*(AE600*(INDEX(tun_ElderRolePerSett,G600)*tun_OutElder*INDEX(LM_Elder,G600)+INDEX(tun_ShamanPerSett,G600)*tun_OutShaman)+Z600*(INDEX(tun_PriestShare,G600)*tun_OutPriest+INDEX(tun_ScribeShare,G600)*tun_OutScribe*INDEX(LM_Scribe,G600)+INDEX(tun_ScholarShare,G600)*tun_OutScholar*INDEX(LM_Scholar,G600)+INDEX(tun_ResearcherShare,G600)*tun_OutResearcher*INDEX(LM_Researcher,G600)))</x:f>
        <x:v>59764.89567014163</x:v>
      </x:c>
      <x:c r="AL600" s="32" t="n">
        <x:f>H600*tun_RoleScale*Arch_Roles*AE600*INDEX(tun_MonasteryPerSett,G600)*tun_OutMonastery*INDEX(LM_Monastery,G600)</x:f>
        <x:v>31.680000000000003</x:v>
      </x:c>
      <x:c r="AM600" s="32" t="n">
        <x:f>(AJ600+AK600+AL600)/4*INDEX(LM_All,G600)*INDEX(tun_Boon,G600)*Arch_Insight</x:f>
        <x:v>200900.556871437</x:v>
      </x:c>
      <x:c r="AN600" s="32" t="n">
        <x:f>H600*(tun_KHPerAdult*Z600+tun_KHOfCommons*AJ600/4*INDEX(LM_All,G600))*tun_KHUsable*Arch_KH</x:f>
        <x:v>31734.429042552158</x:v>
      </x:c>
      <x:c r="AO600" s="32" t="n">
        <x:f>MIN(AP599+AN600,AM600*tun_KHMaxRatio)</x:f>
        <x:v>31734.429042552158</x:v>
      </x:c>
      <x:c r="AP600" s="32" t="n">
        <x:f>AP599+AN600-AO600</x:f>
        <x:v>0</x:v>
      </x:c>
      <x:c r="AQ600" s="32" t="n">
        <x:f>AM600+AO600</x:f>
        <x:v>232634.98591398916</x:v>
      </x:c>
      <x:c r="AR600" s="10" t="n">
        <x:f>IF(H600=1,INDEX(tun_Req,G600),0)</x:f>
        <x:v>24497531.045680594</x:v>
      </x:c>
      <x:c r="AS600" s="32" t="n">
        <x:f>IF(H600=1,IF(E600=1,AS599-AR599,AS599)+AQ600,0)</x:f>
        <x:v>17699463.83591769</x:v>
      </x:c>
      <x:c r="AT600" s="11" t="n">
        <x:f>IF(AR600&gt;0,MIN(1,AS600/AR600),1)</x:f>
        <x:v>0.7224999042929454</x:v>
      </x:c>
      <x:c r="AU600" s="10" t="n">
        <x:f>AB600/INDEX(tun_RepScale,G600)</x:f>
        <x:v>284.2327695021986</x:v>
      </x:c>
      <x:c r="AV600" s="32" t="n">
        <x:f>AM600*60/tun_SeasonSeconds</x:f>
        <x:v>803602.227485748</x:v>
      </x:c>
    </x:row>
    <x:row r="601">
      <x:c r="A601" s="8" t="n">
        <x:f>A600+1</x:f>
        <x:v>598</x:v>
      </x:c>
      <x:c r="B601" s="9" t="n">
        <x:f>A601*tun_SeasonSeconds/60</x:f>
        <x:v>149.5</x:v>
      </x:c>
      <x:c r="C601" s="9" t="n">
        <x:f>A601/4</x:f>
        <x:v>149.5</x:v>
      </x:c>
      <x:c r="D601" s="8" t="n">
        <x:f>IF(MOD(A601,4)=0,1,0)</x:f>
        <x:v>0</x:v>
      </x:c>
      <x:c r="E601" s="8" t="n">
        <x:f>IF(AND(F600&lt;=9,AS600&gt;=AR600),1,0)</x:f>
        <x:v>0</x:v>
      </x:c>
      <x:c r="F601" s="8" t="n">
        <x:f>MIN(10,F600+E601)</x:f>
        <x:v>8</x:v>
      </x:c>
      <x:c r="G601" s="8" t="n">
        <x:f>MIN(F601,9)+1</x:f>
        <x:v>9</x:v>
      </x:c>
      <x:c r="H601" s="8" t="n">
        <x:f>IF(F601&lt;=9,1,0)</x:f>
        <x:v>1</x:v>
      </x:c>
      <x:c r="I601" s="9" t="n">
        <x:f>MIN(10,F600+IF(AR600&gt;0,MIN(1,AS600/AR600),1))</x:f>
        <x:v>8.722499904292945</x:v>
      </x:c>
      <x:c r="J601" s="32" t="n">
        <x:f>INDEX(tun_FoodCap,G601)*Arch_FoodCap*EXP(tun_CapsByProject*SUMPRODUCT((Cap_Point&lt;=I601)*(Cap_Kind="Food")*Cap_Ln))</x:f>
        <x:v>13863.877308233004</x:v>
      </x:c>
      <x:c r="K601" s="32" t="n">
        <x:f>J601*MIN(1,tun_LeanBase*EXP(tun_CapsByProject*SUMPRODUCT((Cap_Point&lt;=I601)*(Cap_Kind="Lean")*Cap_Ln)))</x:f>
        <x:v>13863.877308233004</x:v>
      </x:c>
      <x:c r="L601" s="10" t="n">
        <x:f>INDEX(tun_HousingCap,G601)*EXP(tun_CapsByProject*SUMPRODUCT((Cap_Point&lt;=I601)*(Cap_Kind="Housing")*Cap_Ln))</x:f>
        <x:v>12514.86067705494</x:v>
      </x:c>
      <x:c r="M601" s="10" t="n">
        <x:f>INDEX(tun_GroupCap,G601)*tun_CohesionFactor*EXP(tun_CapsByProject*SUMPRODUCT((Cap_Point&lt;=I601)*(Cap_Kind="Group")*Cap_Ln))</x:f>
        <x:v>1000000.000000001</x:v>
      </x:c>
      <x:c r="N601" s="32" t="n">
        <x:f>MIN(J601,L601,M601)</x:f>
        <x:v>12514.86067705494</x:v>
      </x:c>
      <x:c r="O601" s="10" t="n">
        <x:f>AE600*N601</x:f>
        <x:v>112633.74609349445</x:v>
      </x:c>
      <x:c r="P601" s="9" t="n">
        <x:f>MIN(1,(AB600/(AE600*IF(tun_GroupInCrowding=1,N601,MIN(J601,L601))))^tun_CrowdingExp)</x:f>
        <x:v>0.0630483551783927</x:v>
      </x:c>
      <x:c r="Q601" s="9" t="n">
        <x:f>IF(D601=1,INDEX(tun_WinterMult,G601),1)</x:f>
        <x:v>1</x:v>
      </x:c>
      <x:c r="R601" s="9" t="n">
        <x:f>H601*Z600*tun_WomenShare*tun_BaseFertility*INDEX(tun_FertMult,G601)*Arch_Fertility*(1-P601)</x:f>
        <x:v>965.0230537275703</x:v>
      </x:c>
      <x:c r="S601" s="9" t="n">
        <x:f>H601*Y600*INDEX(tun_MortChild,G601)/4*Q601</x:f>
        <x:v>31.351739742541795</x:v>
      </x:c>
      <x:c r="T601" s="9" t="n">
        <x:f>H601*Z600*INDEX(tun_MortAdult,G601)*Arch_AdultMort/4*Q601</x:f>
        <x:v>21.607560007266134</x:v>
      </x:c>
      <x:c r="U601" s="9" t="n">
        <x:f>H601*AA600*INDEX(tun_MortElder,G601)/4*Q601</x:f>
        <x:v>118.63416890638399</x:v>
      </x:c>
      <x:c r="V601" s="9" t="n">
        <x:f>H601*MAX(0,AB600-O601)*tun_OvercapLoss</x:f>
        <x:v>0</x:v>
      </x:c>
      <x:c r="W601" s="9" t="n">
        <x:f>H601*Y600/(tun_ChildYears*4)</x:f>
        <x:v>497.64666258002853</x:v>
      </x:c>
      <x:c r="X601" s="9" t="n">
        <x:f>H601*Z600/(tun_AdultYears*4)</x:f>
        <x:v>232.33935491684014</x:v>
      </x:c>
      <x:c r="Y601" s="32" t="n">
        <x:f>Y600+R601-S601-W601-Y600*V601/AB600</x:f>
        <x:v>28304.2377558866</x:v>
      </x:c>
      <x:c r="Z601" s="32" t="n">
        <x:f>Z600+W601-X601-T601-Z600*V601/AB600</x:f>
        <x:v>29053.7797573441</x:v>
      </x:c>
      <x:c r="AA601" s="32" t="n">
        <x:f>AA600+X601-U601-AA600*V601/AB600</x:f>
        <x:v>14493.604447390331</x:v>
      </x:c>
      <x:c r="AB601" s="10" t="n">
        <x:f>Y601+Z601+AA601</x:f>
        <x:v>71851.62196062104</x:v>
      </x:c>
      <x:c r="AC601" s="8" t="n">
        <x:f>IF(AND(tun_WinterTrigger=1,D601=1,AB600/AE600&gt;=K601),1,0)</x:f>
        <x:v>0</x:v>
      </x:c>
      <x:c r="AD601" s="8" t="n">
        <x:f>H601*IF(AND(OR(AB600/AE600&gt;=tun_FissionTrigger*N601,AC601=1),AB600/AE600*tun_DaughterShare&gt;=tun_MinDaughter),MAX(1,ROUND(AE600*tun_FissionRate,0)),0)</x:f>
        <x:v>0</x:v>
      </x:c>
      <x:c r="AE601" s="8" t="n">
        <x:f>IF(H601=1,MAX(1,MIN(INDEX(tun_Smax,G601),AE600+AD601)),AE600)</x:f>
        <x:v>9</x:v>
      </x:c>
      <x:c r="AF601" s="8" t="n">
        <x:f>MAX(0,AE601-AE600)</x:f>
        <x:v>0</x:v>
      </x:c>
      <x:c r="AG601" s="9" t="str">
        <x:f>IF(AF601&gt;0,B601,"")</x:f>
      </x:c>
      <x:c r="AH601" s="9" t="n">
        <x:f>IF(F601&gt;=1,1,(1+tun_LowTiesShare*(AE601-1))/AE601)</x:f>
        <x:v>1</x:v>
      </x:c>
      <x:c r="AI601" s="32" t="n">
        <x:f>(Z601+tun_ElderCommons*INDEX(LM_Elder,G601)*AA601)*AH601</x:f>
        <x:v>83404.79643505784</x:v>
      </x:c>
      <x:c r="AJ601" s="32" t="n">
        <x:f>H601*tun_CommonsCoef*AI601^tun_CommonsExp*INDEX(LM_Commons,G601)</x:f>
        <x:v>220548.69985430225</x:v>
      </x:c>
      <x:c r="AK601" s="32" t="n">
        <x:f>H601*tun_RoleScale*Arch_Roles*(AE601*(INDEX(tun_ElderRolePerSett,G601)*tun_OutElder*INDEX(LM_Elder,G601)+INDEX(tun_ShamanPerSett,G601)*tun_OutShaman)+Z601*(INDEX(tun_PriestShare,G601)*tun_OutPriest+INDEX(tun_ScribeShare,G601)*tun_OutScribe*INDEX(LM_Scribe,G601)+INDEX(tun_ScholarShare,G601)*tun_OutScholar*INDEX(LM_Scholar,G601)+INDEX(tun_ResearcherShare,G601)*tun_OutResearcher*INDEX(LM_Researcher,G601)))</x:f>
        <x:v>60268.38163581538</x:v>
      </x:c>
      <x:c r="AL601" s="32" t="n">
        <x:f>H601*tun_RoleScale*Arch_Roles*AE601*INDEX(tun_MonasteryPerSett,G601)*tun_OutMonastery*INDEX(LM_Monastery,G601)</x:f>
        <x:v>31.680000000000003</x:v>
      </x:c>
      <x:c r="AM601" s="32" t="n">
        <x:f>(AJ601+AK601+AL601)/4*INDEX(LM_All,G601)*INDEX(tun_Boon,G601)*Arch_Insight</x:f>
        <x:v>202349.1384394841</x:v>
      </x:c>
      <x:c r="AN601" s="32" t="n">
        <x:f>H601*(tun_KHPerAdult*Z601+tun_KHOfCommons*AJ601/4*INDEX(LM_All,G601))*tun_KHUsable*Arch_KH</x:f>
        <x:v>31952.769736688293</x:v>
      </x:c>
      <x:c r="AO601" s="32" t="n">
        <x:f>MIN(AP600+AN601,AM601*tun_KHMaxRatio)</x:f>
        <x:v>31952.769736688293</x:v>
      </x:c>
      <x:c r="AP601" s="32" t="n">
        <x:f>AP600+AN601-AO601</x:f>
        <x:v>0</x:v>
      </x:c>
      <x:c r="AQ601" s="32" t="n">
        <x:f>AM601+AO601</x:f>
        <x:v>234301.90817617238</x:v>
      </x:c>
      <x:c r="AR601" s="10" t="n">
        <x:f>IF(H601=1,INDEX(tun_Req,G601),0)</x:f>
        <x:v>24497531.045680594</x:v>
      </x:c>
      <x:c r="AS601" s="32" t="n">
        <x:f>IF(H601=1,IF(E601=1,AS600-AR600,AS600)+AQ601,0)</x:f>
        <x:v>17933765.74409386</x:v>
      </x:c>
      <x:c r="AT601" s="11" t="n">
        <x:f>IF(AR601&gt;0,MIN(1,AS601/AR601),1)</x:f>
        <x:v>0.7320642113138967</x:v>
      </x:c>
      <x:c r="AU601" s="10" t="n">
        <x:f>AB601/INDEX(tun_RepScale,G601)</x:f>
        <x:v>287.4064878424841</x:v>
      </x:c>
      <x:c r="AV601" s="32" t="n">
        <x:f>AM601*60/tun_SeasonSeconds</x:f>
        <x:v>809396.5537579363</x:v>
      </x:c>
    </x:row>
    <x:row r="602">
      <x:c r="A602" s="8" t="n">
        <x:f>A601+1</x:f>
        <x:v>599</x:v>
      </x:c>
      <x:c r="B602" s="9" t="n">
        <x:f>A602*tun_SeasonSeconds/60</x:f>
        <x:v>149.75</x:v>
      </x:c>
      <x:c r="C602" s="9" t="n">
        <x:f>A602/4</x:f>
        <x:v>149.75</x:v>
      </x:c>
      <x:c r="D602" s="8" t="n">
        <x:f>IF(MOD(A602,4)=0,1,0)</x:f>
        <x:v>0</x:v>
      </x:c>
      <x:c r="E602" s="8" t="n">
        <x:f>IF(AND(F601&lt;=9,AS601&gt;=AR601),1,0)</x:f>
        <x:v>0</x:v>
      </x:c>
      <x:c r="F602" s="8" t="n">
        <x:f>MIN(10,F601+E602)</x:f>
        <x:v>8</x:v>
      </x:c>
      <x:c r="G602" s="8" t="n">
        <x:f>MIN(F602,9)+1</x:f>
        <x:v>9</x:v>
      </x:c>
      <x:c r="H602" s="8" t="n">
        <x:f>IF(F602&lt;=9,1,0)</x:f>
        <x:v>1</x:v>
      </x:c>
      <x:c r="I602" s="9" t="n">
        <x:f>MIN(10,F601+IF(AR601&gt;0,MIN(1,AS601/AR601),1))</x:f>
        <x:v>8.732064211313897</x:v>
      </x:c>
      <x:c r="J602" s="32" t="n">
        <x:f>INDEX(tun_FoodCap,G602)*Arch_FoodCap*EXP(tun_CapsByProject*SUMPRODUCT((Cap_Point&lt;=I602)*(Cap_Kind="Food")*Cap_Ln))</x:f>
        <x:v>13863.877308233004</x:v>
      </x:c>
      <x:c r="K602" s="32" t="n">
        <x:f>J602*MIN(1,tun_LeanBase*EXP(tun_CapsByProject*SUMPRODUCT((Cap_Point&lt;=I602)*(Cap_Kind="Lean")*Cap_Ln)))</x:f>
        <x:v>13863.877308233004</x:v>
      </x:c>
      <x:c r="L602" s="10" t="n">
        <x:f>INDEX(tun_HousingCap,G602)*EXP(tun_CapsByProject*SUMPRODUCT((Cap_Point&lt;=I602)*(Cap_Kind="Housing")*Cap_Ln))</x:f>
        <x:v>12514.86067705494</x:v>
      </x:c>
      <x:c r="M602" s="10" t="n">
        <x:f>INDEX(tun_GroupCap,G602)*tun_CohesionFactor*EXP(tun_CapsByProject*SUMPRODUCT((Cap_Point&lt;=I602)*(Cap_Kind="Group")*Cap_Ln))</x:f>
        <x:v>1000000.000000001</x:v>
      </x:c>
      <x:c r="N602" s="32" t="n">
        <x:f>MIN(J602,L602,M602)</x:f>
        <x:v>12514.86067705494</x:v>
      </x:c>
      <x:c r="O602" s="10" t="n">
        <x:f>AE601*N602</x:f>
        <x:v>112633.74609349445</x:v>
      </x:c>
      <x:c r="P602" s="9" t="n">
        <x:f>MIN(1,(AB601/(AE601*IF(tun_GroupInCrowding=1,N602,MIN(J602,L602))))^tun_CrowdingExp)</x:f>
        <x:v>0.06739199080552535</x:v>
      </x:c>
      <x:c r="Q602" s="9" t="n">
        <x:f>IF(D602=1,INDEX(tun_WinterMult,G602),1)</x:f>
        <x:v>1</x:v>
      </x:c>
      <x:c r="R602" s="9" t="n">
        <x:f>H602*Z601*tun_WomenShare*tun_BaseFertility*INDEX(tun_FertMult,G602)*Arch_Fertility*(1-P602)</x:f>
        <x:v>968.6744102418029</x:v>
      </x:c>
      <x:c r="S602" s="9" t="n">
        <x:f>H602*Y601*INDEX(tun_MortChild,G602)/4*Q602</x:f>
        <x:v>31.84226747537242</x:v>
      </x:c>
      <x:c r="T602" s="9" t="n">
        <x:f>H602*Z601*INDEX(tun_MortAdult,G602)*Arch_AdultMort/4*Q602</x:f>
        <x:v>21.790334818008073</x:v>
      </x:c>
      <x:c r="U602" s="9" t="n">
        <x:f>H602*AA601*INDEX(tun_MortElder,G602)/4*Q602</x:f>
        <x:v>119.57223669097024</x:v>
      </x:c>
      <x:c r="V602" s="9" t="n">
        <x:f>H602*MAX(0,AB601-O602)*tun_OvercapLoss</x:f>
        <x:v>0</x:v>
      </x:c>
      <x:c r="W602" s="9" t="n">
        <x:f>H602*Y601/(tun_ChildYears*4)</x:f>
        <x:v>505.43281706940354</x:v>
      </x:c>
      <x:c r="X602" s="9" t="n">
        <x:f>H602*Z601/(tun_AdultYears*4)</x:f>
        <x:v>234.3046754624524</x:v>
      </x:c>
      <x:c r="Y602" s="32" t="n">
        <x:f>Y601+R602-S602-W602-Y601*V602/AB601</x:f>
        <x:v>28735.637081583627</x:v>
      </x:c>
      <x:c r="Z602" s="32" t="n">
        <x:f>Z601+W602-X602-T602-Z601*V602/AB601</x:f>
        <x:v>29303.11756413304</x:v>
      </x:c>
      <x:c r="AA602" s="32" t="n">
        <x:f>AA601+X602-U602-AA601*V602/AB601</x:f>
        <x:v>14608.336886161813</x:v>
      </x:c>
      <x:c r="AB602" s="10" t="n">
        <x:f>Y602+Z602+AA602</x:f>
        <x:v>72647.09153187848</x:v>
      </x:c>
      <x:c r="AC602" s="8" t="n">
        <x:f>IF(AND(tun_WinterTrigger=1,D602=1,AB601/AE601&gt;=K602),1,0)</x:f>
        <x:v>0</x:v>
      </x:c>
      <x:c r="AD602" s="8" t="n">
        <x:f>H602*IF(AND(OR(AB601/AE601&gt;=tun_FissionTrigger*N602,AC602=1),AB601/AE601*tun_DaughterShare&gt;=tun_MinDaughter),MAX(1,ROUND(AE601*tun_FissionRate,0)),0)</x:f>
        <x:v>0</x:v>
      </x:c>
      <x:c r="AE602" s="8" t="n">
        <x:f>IF(H602=1,MAX(1,MIN(INDEX(tun_Smax,G602),AE601+AD602)),AE601)</x:f>
        <x:v>9</x:v>
      </x:c>
      <x:c r="AF602" s="8" t="n">
        <x:f>MAX(0,AE602-AE601)</x:f>
        <x:v>0</x:v>
      </x:c>
      <x:c r="AG602" s="9" t="str">
        <x:f>IF(AF602&gt;0,B602,"")</x:f>
      </x:c>
      <x:c r="AH602" s="9" t="n">
        <x:f>IF(F602&gt;=1,1,(1+tun_LowTiesShare*(AE602-1))/AE602)</x:f>
        <x:v>1</x:v>
      </x:c>
      <x:c r="AI602" s="32" t="n">
        <x:f>(Z602+tun_ElderCommons*INDEX(LM_Elder,G602)*AA602)*AH602</x:f>
        <x:v>84084.38088723984</x:v>
      </x:c>
      <x:c r="AJ602" s="32" t="n">
        <x:f>H602*tun_CommonsCoef*AI602^tun_CommonsExp*INDEX(LM_Commons,G602)</x:f>
        <x:v>222075.25037523167</x:v>
      </x:c>
      <x:c r="AK602" s="32" t="n">
        <x:f>H602*tun_RoleScale*Arch_Roles*(AE602*(INDEX(tun_ElderRolePerSett,G602)*tun_OutElder*INDEX(LM_Elder,G602)+INDEX(tun_ShamanPerSett,G602)*tun_OutShaman)+Z602*(INDEX(tun_PriestShare,G602)*tun_OutPriest+INDEX(tun_ScribeShare,G602)*tun_OutScribe*INDEX(LM_Scribe,G602)+INDEX(tun_ScholarShare,G602)*tun_OutScholar*INDEX(LM_Scholar,G602)+INDEX(tun_ResearcherShare,G602)*tun_OutResearcher*INDEX(LM_Researcher,G602)))</x:f>
        <x:v>60783.51588456869</x:v>
      </x:c>
      <x:c r="AL602" s="32" t="n">
        <x:f>H602*tun_RoleScale*Arch_Roles*AE602*INDEX(tun_MonasteryPerSett,G602)*tun_OutMonastery*INDEX(LM_Monastery,G602)</x:f>
        <x:v>31.680000000000003</x:v>
      </x:c>
      <x:c r="AM602" s="32" t="n">
        <x:f>(AJ602+AK602+AL602)/4*INDEX(LM_All,G602)*INDEX(tun_Boon,G602)*Arch_Insight</x:f>
        <x:v>203820.15491083442</x:v>
      </x:c>
      <x:c r="AN602" s="32" t="n">
        <x:f>H602*(tun_KHPerAdult*Z602+tun_KHOfCommons*AJ602/4*INDEX(LM_All,G602))*tun_KHUsable*Arch_KH</x:f>
        <x:v>32173.9341204226</x:v>
      </x:c>
      <x:c r="AO602" s="32" t="n">
        <x:f>MIN(AP601+AN602,AM602*tun_KHMaxRatio)</x:f>
        <x:v>32173.9341204226</x:v>
      </x:c>
      <x:c r="AP602" s="32" t="n">
        <x:f>AP601+AN602-AO602</x:f>
        <x:v>0</x:v>
      </x:c>
      <x:c r="AQ602" s="32" t="n">
        <x:f>AM602+AO602</x:f>
        <x:v>235994.08903125703</x:v>
      </x:c>
      <x:c r="AR602" s="10" t="n">
        <x:f>IF(H602=1,INDEX(tun_Req,G602),0)</x:f>
        <x:v>24497531.045680594</x:v>
      </x:c>
      <x:c r="AS602" s="32" t="n">
        <x:f>IF(H602=1,IF(E602=1,AS601-AR601,AS601)+AQ602,0)</x:f>
        <x:v>18169759.83312512</x:v>
      </x:c>
      <x:c r="AT602" s="11" t="n">
        <x:f>IF(AR602&gt;0,MIN(1,AS602/AR602),1)</x:f>
        <x:v>0.7416975939021745</x:v>
      </x:c>
      <x:c r="AU602" s="10" t="n">
        <x:f>AB602/INDEX(tun_RepScale,G602)</x:f>
        <x:v>290.58836612751395</x:v>
      </x:c>
      <x:c r="AV602" s="32" t="n">
        <x:f>AM602*60/tun_SeasonSeconds</x:f>
        <x:v>815280.6196433377</x:v>
      </x:c>
    </x:row>
    <x:row r="603">
      <x:c r="A603" s="8" t="n">
        <x:f>A602+1</x:f>
        <x:v>600</x:v>
      </x:c>
      <x:c r="B603" s="9" t="n">
        <x:f>A603*tun_SeasonSeconds/60</x:f>
        <x:v>150</x:v>
      </x:c>
      <x:c r="C603" s="9" t="n">
        <x:f>A603/4</x:f>
        <x:v>150</x:v>
      </x:c>
      <x:c r="D603" s="8" t="n">
        <x:f>IF(MOD(A603,4)=0,1,0)</x:f>
        <x:v>1</x:v>
      </x:c>
      <x:c r="E603" s="8" t="n">
        <x:f>IF(AND(F602&lt;=9,AS602&gt;=AR602),1,0)</x:f>
        <x:v>0</x:v>
      </x:c>
      <x:c r="F603" s="8" t="n">
        <x:f>MIN(10,F602+E603)</x:f>
        <x:v>8</x:v>
      </x:c>
      <x:c r="G603" s="8" t="n">
        <x:f>MIN(F603,9)+1</x:f>
        <x:v>9</x:v>
      </x:c>
      <x:c r="H603" s="8" t="n">
        <x:f>IF(F603&lt;=9,1,0)</x:f>
        <x:v>1</x:v>
      </x:c>
      <x:c r="I603" s="9" t="n">
        <x:f>MIN(10,F602+IF(AR602&gt;0,MIN(1,AS602/AR602),1))</x:f>
        <x:v>8.741697593902174</x:v>
      </x:c>
      <x:c r="J603" s="32" t="n">
        <x:f>INDEX(tun_FoodCap,G603)*Arch_FoodCap*EXP(tun_CapsByProject*SUMPRODUCT((Cap_Point&lt;=I603)*(Cap_Kind="Food")*Cap_Ln))</x:f>
        <x:v>13863.877308233004</x:v>
      </x:c>
      <x:c r="K603" s="32" t="n">
        <x:f>J603*MIN(1,tun_LeanBase*EXP(tun_CapsByProject*SUMPRODUCT((Cap_Point&lt;=I603)*(Cap_Kind="Lean")*Cap_Ln)))</x:f>
        <x:v>13863.877308233004</x:v>
      </x:c>
      <x:c r="L603" s="10" t="n">
        <x:f>INDEX(tun_HousingCap,G603)*EXP(tun_CapsByProject*SUMPRODUCT((Cap_Point&lt;=I603)*(Cap_Kind="Housing")*Cap_Ln))</x:f>
        <x:v>12514.86067705494</x:v>
      </x:c>
      <x:c r="M603" s="10" t="n">
        <x:f>INDEX(tun_GroupCap,G603)*tun_CohesionFactor*EXP(tun_CapsByProject*SUMPRODUCT((Cap_Point&lt;=I603)*(Cap_Kind="Group")*Cap_Ln))</x:f>
        <x:v>1000000.000000001</x:v>
      </x:c>
      <x:c r="N603" s="32" t="n">
        <x:f>MIN(J603,L603,M603)</x:f>
        <x:v>12514.86067705494</x:v>
      </x:c>
      <x:c r="O603" s="10" t="n">
        <x:f>AE602*N603</x:f>
        <x:v>112633.74609349445</x:v>
      </x:c>
      <x:c r="P603" s="9" t="n">
        <x:f>MIN(1,(AB602/(AE602*IF(tun_GroupInCrowding=1,N603,MIN(J603,L603))))^tun_CrowdingExp)</x:f>
        <x:v>0.07199431750407088</x:v>
      </x:c>
      <x:c r="Q603" s="9" t="n">
        <x:f>IF(D603=1,INDEX(tun_WinterMult,G603),1)</x:f>
        <x:v>1.05</x:v>
      </x:c>
      <x:c r="R603" s="9" t="n">
        <x:f>H603*Z602*tun_WomenShare*tun_BaseFertility*INDEX(tun_FertMult,G603)*Arch_Fertility*(1-P603)</x:f>
        <x:v>972.166181213432</x:v>
      </x:c>
      <x:c r="S603" s="9" t="n">
        <x:f>H603*Y602*INDEX(tun_MortChild,G603)/4*Q603</x:f>
        <x:v>33.94397130262065</x:v>
      </x:c>
      <x:c r="T603" s="9" t="n">
        <x:f>H603*Z602*INDEX(tun_MortAdult,G603)*Arch_AdultMort/4*Q603</x:f>
        <x:v>23.07620508175477</x:v>
      </x:c>
      <x:c r="U603" s="9" t="n">
        <x:f>H603*AA602*INDEX(tun_MortElder,G603)/4*Q603</x:f>
        <x:v>126.54471827637671</x:v>
      </x:c>
      <x:c r="V603" s="9" t="n">
        <x:f>H603*MAX(0,AB602-O603)*tun_OvercapLoss</x:f>
        <x:v>0</x:v>
      </x:c>
      <x:c r="W603" s="9" t="n">
        <x:f>H603*Y602/(tun_ChildYears*4)</x:f>
        <x:v>513.1363764568505</x:v>
      </x:c>
      <x:c r="X603" s="9" t="n">
        <x:f>H603*Z602/(tun_AdultYears*4)</x:f>
        <x:v>236.31546422687936</x:v>
      </x:c>
      <x:c r="Y603" s="32" t="n">
        <x:f>Y602+R603-S603-W603-Y602*V603/AB602</x:f>
        <x:v>29160.722915037586</x:v>
      </x:c>
      <x:c r="Z603" s="32" t="n">
        <x:f>Z602+W603-X603-T603-Z602*V603/AB602</x:f>
        <x:v>29556.86227128126</x:v>
      </x:c>
      <x:c r="AA603" s="32" t="n">
        <x:f>AA602+X603-U603-AA602*V603/AB602</x:f>
        <x:v>14718.107632112316</x:v>
      </x:c>
      <x:c r="AB603" s="10" t="n">
        <x:f>Y603+Z603+AA603</x:f>
        <x:v>73435.69281843115</x:v>
      </x:c>
      <x:c r="AC603" s="8" t="n">
        <x:f>IF(AND(tun_WinterTrigger=1,D603=1,AB602/AE602&gt;=K603),1,0)</x:f>
        <x:v>0</x:v>
      </x:c>
      <x:c r="AD603" s="8" t="n">
        <x:f>H603*IF(AND(OR(AB602/AE602&gt;=tun_FissionTrigger*N603,AC603=1),AB602/AE602*tun_DaughterShare&gt;=tun_MinDaughter),MAX(1,ROUND(AE602*tun_FissionRate,0)),0)</x:f>
        <x:v>0</x:v>
      </x:c>
      <x:c r="AE603" s="8" t="n">
        <x:f>IF(H603=1,MAX(1,MIN(INDEX(tun_Smax,G603),AE602+AD603)),AE602)</x:f>
        <x:v>9</x:v>
      </x:c>
      <x:c r="AF603" s="8" t="n">
        <x:f>MAX(0,AE603-AE602)</x:f>
        <x:v>0</x:v>
      </x:c>
      <x:c r="AG603" s="9" t="str">
        <x:f>IF(AF603&gt;0,B603,"")</x:f>
      </x:c>
      <x:c r="AH603" s="9" t="n">
        <x:f>IF(F603&gt;=1,1,(1+tun_LowTiesShare*(AE603-1))/AE603)</x:f>
        <x:v>1</x:v>
      </x:c>
      <x:c r="AI603" s="32" t="n">
        <x:f>(Z603+tun_ElderCommons*INDEX(LM_Elder,G603)*AA603)*AH603</x:f>
        <x:v>84749.76589170245</x:v>
      </x:c>
      <x:c r="AJ603" s="32" t="n">
        <x:f>H603*tun_CommonsCoef*AI603^tun_CommonsExp*INDEX(LM_Commons,G603)</x:f>
        <x:v>223568.11254973637</x:v>
      </x:c>
      <x:c r="AK603" s="32" t="n">
        <x:f>H603*tun_RoleScale*Arch_Roles*(AE603*(INDEX(tun_ElderRolePerSett,G603)*tun_OutElder*INDEX(LM_Elder,G603)+INDEX(tun_ShamanPerSett,G603)*tun_OutShaman)+Z603*(INDEX(tun_PriestShare,G603)*tun_OutPriest+INDEX(tun_ScribeShare,G603)*tun_OutScribe*INDEX(LM_Scribe,G603)+INDEX(tun_ScholarShare,G603)*tun_OutScholar*INDEX(LM_Scholar,G603)+INDEX(tun_ResearcherShare,G603)*tun_OutResearcher*INDEX(LM_Researcher,G603)))</x:f>
        <x:v>61307.75483082111</x:v>
      </x:c>
      <x:c r="AL603" s="32" t="n">
        <x:f>H603*tun_RoleScale*Arch_Roles*AE603*INDEX(tun_MonasteryPerSett,G603)*tun_OutMonastery*INDEX(LM_Monastery,G603)</x:f>
        <x:v>31.680000000000003</x:v>
      </x:c>
      <x:c r="AM603" s="32" t="n">
        <x:f>(AJ603+AK603+AL603)/4*INDEX(LM_All,G603)*INDEX(tun_Boon,G603)*Arch_Insight</x:f>
        <x:v>205273.45907270763</x:v>
      </x:c>
      <x:c r="AN603" s="32" t="n">
        <x:f>H603*(tun_KHPerAdult*Z603+tun_KHOfCommons*AJ603/4*INDEX(LM_All,G603))*tun_KHUsable*Arch_KH</x:f>
        <x:v>32390.21778630716</x:v>
      </x:c>
      <x:c r="AO603" s="32" t="n">
        <x:f>MIN(AP602+AN603,AM603*tun_KHMaxRatio)</x:f>
        <x:v>32390.21778630716</x:v>
      </x:c>
      <x:c r="AP603" s="32" t="n">
        <x:f>AP602+AN603-AO603</x:f>
        <x:v>0</x:v>
      </x:c>
      <x:c r="AQ603" s="32" t="n">
        <x:f>AM603+AO603</x:f>
        <x:v>237663.67685901478</x:v>
      </x:c>
      <x:c r="AR603" s="10" t="n">
        <x:f>IF(H603=1,INDEX(tun_Req,G603),0)</x:f>
        <x:v>24497531.045680594</x:v>
      </x:c>
      <x:c r="AS603" s="32" t="n">
        <x:f>IF(H603=1,IF(E603=1,AS602-AR602,AS602)+AQ603,0)</x:f>
        <x:v>18407423.509984132</x:v>
      </x:c>
      <x:c r="AT603" s="11" t="n">
        <x:f>IF(AR603&gt;0,MIN(1,AS603/AR603),1)</x:f>
        <x:v>0.7513991298004592</x:v>
      </x:c>
      <x:c r="AU603" s="10" t="n">
        <x:f>AB603/INDEX(tun_RepScale,G603)</x:f>
        <x:v>293.7427712737246</x:v>
      </x:c>
      <x:c r="AV603" s="32" t="n">
        <x:f>AM603*60/tun_SeasonSeconds</x:f>
        <x:v>821093.8362908305</x:v>
      </x:c>
    </x:row>
    <x:row r="604">
      <x:c r="A604" s="8" t="n">
        <x:f>A603+1</x:f>
        <x:v>601</x:v>
      </x:c>
      <x:c r="B604" s="9" t="n">
        <x:f>A604*tun_SeasonSeconds/60</x:f>
        <x:v>150.25</x:v>
      </x:c>
      <x:c r="C604" s="9" t="n">
        <x:f>A604/4</x:f>
        <x:v>150.25</x:v>
      </x:c>
      <x:c r="D604" s="8" t="n">
        <x:f>IF(MOD(A604,4)=0,1,0)</x:f>
        <x:v>0</x:v>
      </x:c>
      <x:c r="E604" s="8" t="n">
        <x:f>IF(AND(F603&lt;=9,AS603&gt;=AR603),1,0)</x:f>
        <x:v>0</x:v>
      </x:c>
      <x:c r="F604" s="8" t="n">
        <x:f>MIN(10,F603+E604)</x:f>
        <x:v>8</x:v>
      </x:c>
      <x:c r="G604" s="8" t="n">
        <x:f>MIN(F604,9)+1</x:f>
        <x:v>9</x:v>
      </x:c>
      <x:c r="H604" s="8" t="n">
        <x:f>IF(F604&lt;=9,1,0)</x:f>
        <x:v>1</x:v>
      </x:c>
      <x:c r="I604" s="9" t="n">
        <x:f>MIN(10,F603+IF(AR603&gt;0,MIN(1,AS603/AR603),1))</x:f>
        <x:v>8.75139912980046</x:v>
      </x:c>
      <x:c r="J604" s="32" t="n">
        <x:f>INDEX(tun_FoodCap,G604)*Arch_FoodCap*EXP(tun_CapsByProject*SUMPRODUCT((Cap_Point&lt;=I604)*(Cap_Kind="Food")*Cap_Ln))</x:f>
        <x:v>13863.877308233004</x:v>
      </x:c>
      <x:c r="K604" s="32" t="n">
        <x:f>J604*MIN(1,tun_LeanBase*EXP(tun_CapsByProject*SUMPRODUCT((Cap_Point&lt;=I604)*(Cap_Kind="Lean")*Cap_Ln)))</x:f>
        <x:v>13863.877308233004</x:v>
      </x:c>
      <x:c r="L604" s="10" t="n">
        <x:f>INDEX(tun_HousingCap,G604)*EXP(tun_CapsByProject*SUMPRODUCT((Cap_Point&lt;=I604)*(Cap_Kind="Housing")*Cap_Ln))</x:f>
        <x:v>12514.86067705494</x:v>
      </x:c>
      <x:c r="M604" s="10" t="n">
        <x:f>INDEX(tun_GroupCap,G604)*tun_CohesionFactor*EXP(tun_CapsByProject*SUMPRODUCT((Cap_Point&lt;=I604)*(Cap_Kind="Group")*Cap_Ln))</x:f>
        <x:v>1000000.000000001</x:v>
      </x:c>
      <x:c r="N604" s="32" t="n">
        <x:f>MIN(J604,L604,M604)</x:f>
        <x:v>12514.86067705494</x:v>
      </x:c>
      <x:c r="O604" s="10" t="n">
        <x:f>AE603*N604</x:f>
        <x:v>112633.74609349445</x:v>
      </x:c>
      <x:c r="P604" s="9" t="n">
        <x:f>MIN(1,(AB603/(AE603*IF(tun_GroupInCrowding=1,N604,MIN(J604,L604))))^tun_CrowdingExp)</x:f>
        <x:v>0.07681251898825288</x:v>
      </x:c>
      <x:c r="Q604" s="9" t="n">
        <x:f>IF(D604=1,INDEX(tun_WinterMult,G604),1)</x:f>
        <x:v>1</x:v>
      </x:c>
      <x:c r="R604" s="9" t="n">
        <x:f>H604*Z603*tun_WomenShare*tun_BaseFertility*INDEX(tun_FertMult,G604)*Arch_Fertility*(1-P604)</x:f>
        <x:v>975.4932768593618</x:v>
      </x:c>
      <x:c r="S604" s="9" t="n">
        <x:f>H604*Y603*INDEX(tun_MortChild,G604)/4*Q604</x:f>
        <x:v>32.80581327941728</x:v>
      </x:c>
      <x:c r="T604" s="9" t="n">
        <x:f>H604*Z603*INDEX(tun_MortAdult,G604)*Arch_AdultMort/4*Q604</x:f>
        <x:v>22.167646703460946</x:v>
      </x:c>
      <x:c r="U604" s="9" t="n">
        <x:f>H604*AA603*INDEX(tun_MortElder,G604)/4*Q604</x:f>
        <x:v>121.42438796492661</x:v>
      </x:c>
      <x:c r="V604" s="9" t="n">
        <x:f>H604*MAX(0,AB603-O604)*tun_OvercapLoss</x:f>
        <x:v>0</x:v>
      </x:c>
      <x:c r="W604" s="9" t="n">
        <x:f>H604*Y603/(tun_ChildYears*4)</x:f>
        <x:v>520.7271949113855</x:v>
      </x:c>
      <x:c r="X604" s="9" t="n">
        <x:f>H604*Z603/(tun_AdultYears*4)</x:f>
        <x:v>238.36179251033275</x:v>
      </x:c>
      <x:c r="Y604" s="32" t="n">
        <x:f>Y603+R604-S604-W604-Y603*V604/AB603</x:f>
        <x:v>29582.683183706144</x:v>
      </x:c>
      <x:c r="Z604" s="32" t="n">
        <x:f>Z603+W604-X604-T604-Z603*V604/AB603</x:f>
        <x:v>29817.060026978856</x:v>
      </x:c>
      <x:c r="AA604" s="32" t="n">
        <x:f>AA603+X604-U604-AA603*V604/AB603</x:f>
        <x:v>14835.045036657724</x:v>
      </x:c>
      <x:c r="AB604" s="10" t="n">
        <x:f>Y604+Z604+AA604</x:f>
        <x:v>74234.78824734273</x:v>
      </x:c>
      <x:c r="AC604" s="8" t="n">
        <x:f>IF(AND(tun_WinterTrigger=1,D604=1,AB603/AE603&gt;=K604),1,0)</x:f>
        <x:v>0</x:v>
      </x:c>
      <x:c r="AD604" s="8" t="n">
        <x:f>H604*IF(AND(OR(AB603/AE603&gt;=tun_FissionTrigger*N604,AC604=1),AB603/AE603*tun_DaughterShare&gt;=tun_MinDaughter),MAX(1,ROUND(AE603*tun_FissionRate,0)),0)</x:f>
        <x:v>0</x:v>
      </x:c>
      <x:c r="AE604" s="8" t="n">
        <x:f>IF(H604=1,MAX(1,MIN(INDEX(tun_Smax,G604),AE603+AD604)),AE603)</x:f>
        <x:v>9</x:v>
      </x:c>
      <x:c r="AF604" s="8" t="n">
        <x:f>MAX(0,AE604-AE603)</x:f>
        <x:v>0</x:v>
      </x:c>
      <x:c r="AG604" s="9" t="str">
        <x:f>IF(AF604&gt;0,B604,"")</x:f>
      </x:c>
      <x:c r="AH604" s="9" t="n">
        <x:f>IF(F604&gt;=1,1,(1+tun_LowTiesShare*(AE604-1))/AE604)</x:f>
        <x:v>1</x:v>
      </x:c>
      <x:c r="AI604" s="32" t="n">
        <x:f>(Z604+tun_ElderCommons*INDEX(LM_Elder,G604)*AA604)*AH604</x:f>
        <x:v>85448.47891444532</x:v>
      </x:c>
      <x:c r="AJ604" s="32" t="n">
        <x:f>H604*tun_CommonsCoef*AI604^tun_CommonsExp*INDEX(LM_Commons,G604)</x:f>
        <x:v>225133.85865812819</x:v>
      </x:c>
      <x:c r="AK604" s="32" t="n">
        <x:f>H604*tun_RoleScale*Arch_Roles*(AE604*(INDEX(tun_ElderRolePerSett,G604)*tun_OutElder*INDEX(LM_Elder,G604)+INDEX(tun_ShamanPerSett,G604)*tun_OutShaman)+Z604*(INDEX(tun_PriestShare,G604)*tun_OutPriest+INDEX(tun_ScribeShare,G604)*tun_OutScribe*INDEX(LM_Scribe,G604)+INDEX(tun_ScholarShare,G604)*tun_OutScholar*INDEX(LM_Scholar,G604)+INDEX(tun_ResearcherShare,G604)*tun_OutResearcher*INDEX(LM_Researcher,G604)))</x:f>
        <x:v>61845.32583593561</x:v>
      </x:c>
      <x:c r="AL604" s="32" t="n">
        <x:f>H604*tun_RoleScale*Arch_Roles*AE604*INDEX(tun_MonasteryPerSett,G604)*tun_OutMonastery*INDEX(LM_Monastery,G604)</x:f>
        <x:v>31.680000000000003</x:v>
      </x:c>
      <x:c r="AM604" s="32" t="n">
        <x:f>(AJ604+AK604+AL604)/4*INDEX(LM_All,G604)*INDEX(tun_Boon,G604)*Arch_Insight</x:f>
        <x:v>206788.88112237188</x:v>
      </x:c>
      <x:c r="AN604" s="32" t="n">
        <x:f>H604*(tun_KHPerAdult*Z604+tun_KHOfCommons*AJ604/4*INDEX(LM_All,G604))*tun_KHUsable*Arch_KH</x:f>
        <x:v>32617.060768834872</x:v>
      </x:c>
      <x:c r="AO604" s="32" t="n">
        <x:f>MIN(AP603+AN604,AM604*tun_KHMaxRatio)</x:f>
        <x:v>32617.060768834872</x:v>
      </x:c>
      <x:c r="AP604" s="32" t="n">
        <x:f>AP603+AN604-AO604</x:f>
        <x:v>0</x:v>
      </x:c>
      <x:c r="AQ604" s="32" t="n">
        <x:f>AM604+AO604</x:f>
        <x:v>239405.94189120675</x:v>
      </x:c>
      <x:c r="AR604" s="10" t="n">
        <x:f>IF(H604=1,INDEX(tun_Req,G604),0)</x:f>
        <x:v>24497531.045680594</x:v>
      </x:c>
      <x:c r="AS604" s="32" t="n">
        <x:f>IF(H604=1,IF(E604=1,AS603-AR603,AS603)+AQ604,0)</x:f>
        <x:v>18646829.45187534</x:v>
      </x:c>
      <x:c r="AT604" s="11" t="n">
        <x:f>IF(AR604&gt;0,MIN(1,AS604/AR604),1)</x:f>
        <x:v>0.7611717857242251</x:v>
      </x:c>
      <x:c r="AU604" s="10" t="n">
        <x:f>AB604/INDEX(tun_RepScale,G604)</x:f>
        <x:v>296.93915298937094</x:v>
      </x:c>
      <x:c r="AV604" s="32" t="n">
        <x:f>AM604*60/tun_SeasonSeconds</x:f>
        <x:v>827155.5244894874</x:v>
      </x:c>
    </x:row>
    <x:row r="605">
      <x:c r="A605" s="8" t="n">
        <x:f>A604+1</x:f>
        <x:v>602</x:v>
      </x:c>
      <x:c r="B605" s="9" t="n">
        <x:f>A605*tun_SeasonSeconds/60</x:f>
        <x:v>150.5</x:v>
      </x:c>
      <x:c r="C605" s="9" t="n">
        <x:f>A605/4</x:f>
        <x:v>150.5</x:v>
      </x:c>
      <x:c r="D605" s="8" t="n">
        <x:f>IF(MOD(A605,4)=0,1,0)</x:f>
        <x:v>0</x:v>
      </x:c>
      <x:c r="E605" s="8" t="n">
        <x:f>IF(AND(F604&lt;=9,AS604&gt;=AR604),1,0)</x:f>
        <x:v>0</x:v>
      </x:c>
      <x:c r="F605" s="8" t="n">
        <x:f>MIN(10,F604+E605)</x:f>
        <x:v>8</x:v>
      </x:c>
      <x:c r="G605" s="8" t="n">
        <x:f>MIN(F605,9)+1</x:f>
        <x:v>9</x:v>
      </x:c>
      <x:c r="H605" s="8" t="n">
        <x:f>IF(F605&lt;=9,1,0)</x:f>
        <x:v>1</x:v>
      </x:c>
      <x:c r="I605" s="9" t="n">
        <x:f>MIN(10,F604+IF(AR604&gt;0,MIN(1,AS604/AR604),1))</x:f>
        <x:v>8.761171785724224</x:v>
      </x:c>
      <x:c r="J605" s="32" t="n">
        <x:f>INDEX(tun_FoodCap,G605)*Arch_FoodCap*EXP(tun_CapsByProject*SUMPRODUCT((Cap_Point&lt;=I605)*(Cap_Kind="Food")*Cap_Ln))</x:f>
        <x:v>13863.877308233004</x:v>
      </x:c>
      <x:c r="K605" s="32" t="n">
        <x:f>J605*MIN(1,tun_LeanBase*EXP(tun_CapsByProject*SUMPRODUCT((Cap_Point&lt;=I605)*(Cap_Kind="Lean")*Cap_Ln)))</x:f>
        <x:v>13863.877308233004</x:v>
      </x:c>
      <x:c r="L605" s="10" t="n">
        <x:f>INDEX(tun_HousingCap,G605)*EXP(tun_CapsByProject*SUMPRODUCT((Cap_Point&lt;=I605)*(Cap_Kind="Housing")*Cap_Ln))</x:f>
        <x:v>12514.86067705494</x:v>
      </x:c>
      <x:c r="M605" s="10" t="n">
        <x:f>INDEX(tun_GroupCap,G605)*tun_CohesionFactor*EXP(tun_CapsByProject*SUMPRODUCT((Cap_Point&lt;=I605)*(Cap_Kind="Group")*Cap_Ln))</x:f>
        <x:v>1000000.000000001</x:v>
      </x:c>
      <x:c r="N605" s="32" t="n">
        <x:f>MIN(J605,L605,M605)</x:f>
        <x:v>12514.86067705494</x:v>
      </x:c>
      <x:c r="O605" s="10" t="n">
        <x:f>AE604*N605</x:f>
        <x:v>112633.74609349445</x:v>
      </x:c>
      <x:c r="P605" s="9" t="n">
        <x:f>MIN(1,(AB604/(AE604*IF(tun_GroupInCrowding=1,N605,MIN(J605,L605))))^tun_CrowdingExp)</x:f>
        <x:v>0.08196598699892786</x:v>
      </x:c>
      <x:c r="Q605" s="9" t="n">
        <x:f>IF(D605=1,INDEX(tun_WinterMult,G605),1)</x:f>
        <x:v>1</x:v>
      </x:c>
      <x:c r="R605" s="9" t="n">
        <x:f>H605*Z604*tun_WomenShare*tun_BaseFertility*INDEX(tun_FertMult,G605)*Arch_Fertility*(1-P605)</x:f>
        <x:v>978.5874409904901</x:v>
      </x:c>
      <x:c r="S605" s="9" t="n">
        <x:f>H605*Y604*INDEX(tun_MortChild,G605)/4*Q605</x:f>
        <x:v>33.28051858166941</x:v>
      </x:c>
      <x:c r="T605" s="9" t="n">
        <x:f>H605*Z604*INDEX(tun_MortAdult,G605)*Arch_AdultMort/4*Q605</x:f>
        <x:v>22.36279502023414</x:v>
      </x:c>
      <x:c r="U605" s="9" t="n">
        <x:f>H605*AA604*INDEX(tun_MortElder,G605)/4*Q605</x:f>
        <x:v>122.38912155242623</x:v>
      </x:c>
      <x:c r="V605" s="9" t="n">
        <x:f>H605*MAX(0,AB604-O605)*tun_OvercapLoss</x:f>
        <x:v>0</x:v>
      </x:c>
      <x:c r="W605" s="9" t="n">
        <x:f>H605*Y604/(tun_ChildYears*4)</x:f>
        <x:v>528.2621997090383</x:v>
      </x:c>
      <x:c r="X605" s="9" t="n">
        <x:f>H605*Z604/(tun_AdultYears*4)</x:f>
        <x:v>240.460161507894</x:v>
      </x:c>
      <x:c r="Y605" s="32" t="n">
        <x:f>Y604+R605-S605-W605-Y604*V605/AB604</x:f>
        <x:v>29999.727906405926</x:v>
      </x:c>
      <x:c r="Z605" s="32" t="n">
        <x:f>Z604+W605-X605-T605-Z604*V605/AB604</x:f>
        <x:v>30082.499270159766</x:v>
      </x:c>
      <x:c r="AA605" s="32" t="n">
        <x:f>AA604+X605-U605-AA604*V605/AB604</x:f>
        <x:v>14953.116076613192</x:v>
      </x:c>
      <x:c r="AB605" s="10" t="n">
        <x:f>Y605+Z605+AA605</x:f>
        <x:v>75035.34325317889</x:v>
      </x:c>
      <x:c r="AC605" s="8" t="n">
        <x:f>IF(AND(tun_WinterTrigger=1,D605=1,AB604/AE604&gt;=K605),1,0)</x:f>
        <x:v>0</x:v>
      </x:c>
      <x:c r="AD605" s="8" t="n">
        <x:f>H605*IF(AND(OR(AB604/AE604&gt;=tun_FissionTrigger*N605,AC605=1),AB604/AE604*tun_DaughterShare&gt;=tun_MinDaughter),MAX(1,ROUND(AE604*tun_FissionRate,0)),0)</x:f>
        <x:v>0</x:v>
      </x:c>
      <x:c r="AE605" s="8" t="n">
        <x:f>IF(H605=1,MAX(1,MIN(INDEX(tun_Smax,G605),AE604+AD605)),AE604)</x:f>
        <x:v>9</x:v>
      </x:c>
      <x:c r="AF605" s="8" t="n">
        <x:f>MAX(0,AE605-AE604)</x:f>
        <x:v>0</x:v>
      </x:c>
      <x:c r="AG605" s="9" t="str">
        <x:f>IF(AF605&gt;0,B605,"")</x:f>
      </x:c>
      <x:c r="AH605" s="9" t="n">
        <x:f>IF(F605&gt;=1,1,(1+tun_LowTiesShare*(AE605-1))/AE605)</x:f>
        <x:v>1</x:v>
      </x:c>
      <x:c r="AI605" s="32" t="n">
        <x:f>(Z605+tun_ElderCommons*INDEX(LM_Elder,G605)*AA605)*AH605</x:f>
        <x:v>86156.68455745923</x:v>
      </x:c>
      <x:c r="AJ605" s="32" t="n">
        <x:f>H605*tun_CommonsCoef*AI605^tun_CommonsExp*INDEX(LM_Commons,G605)</x:f>
        <x:v>226718.91825938853</x:v>
      </x:c>
      <x:c r="AK605" s="32" t="n">
        <x:f>H605*tun_RoleScale*Arch_Roles*(AE605*(INDEX(tun_ElderRolePerSett,G605)*tun_OutElder*INDEX(LM_Elder,G605)+INDEX(tun_ShamanPerSett,G605)*tun_OutShaman)+Z605*(INDEX(tun_PriestShare,G605)*tun_OutPriest+INDEX(tun_ScribeShare,G605)*tun_OutScribe*INDEX(LM_Scribe,G605)+INDEX(tun_ScholarShare,G605)*tun_OutScholar*INDEX(LM_Scholar,G605)+INDEX(tun_ResearcherShare,G605)*tun_OutResearcher*INDEX(LM_Researcher,G605)))</x:f>
        <x:v>62393.72580337973</x:v>
      </x:c>
      <x:c r="AL605" s="32" t="n">
        <x:f>H605*tun_RoleScale*Arch_Roles*AE605*INDEX(tun_MonasteryPerSett,G605)*tun_OutMonastery*INDEX(LM_Monastery,G605)</x:f>
        <x:v>31.680000000000003</x:v>
      </x:c>
      <x:c r="AM605" s="32" t="n">
        <x:f>(AJ605+AK605+AL605)/4*INDEX(LM_All,G605)*INDEX(tun_Boon,G605)*Arch_Insight</x:f>
        <x:v>208326.02055404434</x:v>
      </x:c>
      <x:c r="AN605" s="32" t="n">
        <x:f>H605*(tun_KHPerAdult*Z605+tun_KHOfCommons*AJ605/4*INDEX(LM_All,G605))*tun_KHUsable*Arch_KH</x:f>
        <x:v>32846.70186167041</x:v>
      </x:c>
      <x:c r="AO605" s="32" t="n">
        <x:f>MIN(AP604+AN605,AM605*tun_KHMaxRatio)</x:f>
        <x:v>32846.70186167041</x:v>
      </x:c>
      <x:c r="AP605" s="32" t="n">
        <x:f>AP604+AN605-AO605</x:f>
        <x:v>0</x:v>
      </x:c>
      <x:c r="AQ605" s="32" t="n">
        <x:f>AM605+AO605</x:f>
        <x:v>241172.72241571476</x:v>
      </x:c>
      <x:c r="AR605" s="10" t="n">
        <x:f>IF(H605=1,INDEX(tun_Req,G605),0)</x:f>
        <x:v>24497531.045680594</x:v>
      </x:c>
      <x:c r="AS605" s="32" t="n">
        <x:f>IF(H605=1,IF(E605=1,AS604-AR604,AS604)+AQ605,0)</x:f>
        <x:v>18888002.174291056</x:v>
      </x:c>
      <x:c r="AT605" s="11" t="n">
        <x:f>IF(AR605&gt;0,MIN(1,AS605/AR605),1)</x:f>
        <x:v>0.771016562406659</x:v>
      </x:c>
      <x:c r="AU605" s="10" t="n">
        <x:f>AB605/INDEX(tun_RepScale,G605)</x:f>
        <x:v>300.1413730127155</x:v>
      </x:c>
      <x:c r="AV605" s="32" t="n">
        <x:f>AM605*60/tun_SeasonSeconds</x:f>
        <x:v>833304.0822161774</x:v>
      </x:c>
    </x:row>
    <x:row r="606">
      <x:c r="A606" s="8" t="n">
        <x:f>A605+1</x:f>
        <x:v>603</x:v>
      </x:c>
      <x:c r="B606" s="9" t="n">
        <x:f>A606*tun_SeasonSeconds/60</x:f>
        <x:v>150.75</x:v>
      </x:c>
      <x:c r="C606" s="9" t="n">
        <x:f>A606/4</x:f>
        <x:v>150.75</x:v>
      </x:c>
      <x:c r="D606" s="8" t="n">
        <x:f>IF(MOD(A606,4)=0,1,0)</x:f>
        <x:v>0</x:v>
      </x:c>
      <x:c r="E606" s="8" t="n">
        <x:f>IF(AND(F605&lt;=9,AS605&gt;=AR605),1,0)</x:f>
        <x:v>0</x:v>
      </x:c>
      <x:c r="F606" s="8" t="n">
        <x:f>MIN(10,F605+E606)</x:f>
        <x:v>8</x:v>
      </x:c>
      <x:c r="G606" s="8" t="n">
        <x:f>MIN(F606,9)+1</x:f>
        <x:v>9</x:v>
      </x:c>
      <x:c r="H606" s="8" t="n">
        <x:f>IF(F606&lt;=9,1,0)</x:f>
        <x:v>1</x:v>
      </x:c>
      <x:c r="I606" s="9" t="n">
        <x:f>MIN(10,F605+IF(AR605&gt;0,MIN(1,AS605/AR605),1))</x:f>
        <x:v>8.77101656240666</x:v>
      </x:c>
      <x:c r="J606" s="32" t="n">
        <x:f>INDEX(tun_FoodCap,G606)*Arch_FoodCap*EXP(tun_CapsByProject*SUMPRODUCT((Cap_Point&lt;=I606)*(Cap_Kind="Food")*Cap_Ln))</x:f>
        <x:v>13863.877308233004</x:v>
      </x:c>
      <x:c r="K606" s="32" t="n">
        <x:f>J606*MIN(1,tun_LeanBase*EXP(tun_CapsByProject*SUMPRODUCT((Cap_Point&lt;=I606)*(Cap_Kind="Lean")*Cap_Ln)))</x:f>
        <x:v>13863.877308233004</x:v>
      </x:c>
      <x:c r="L606" s="10" t="n">
        <x:f>INDEX(tun_HousingCap,G606)*EXP(tun_CapsByProject*SUMPRODUCT((Cap_Point&lt;=I606)*(Cap_Kind="Housing")*Cap_Ln))</x:f>
        <x:v>12514.86067705494</x:v>
      </x:c>
      <x:c r="M606" s="10" t="n">
        <x:f>INDEX(tun_GroupCap,G606)*tun_CohesionFactor*EXP(tun_CapsByProject*SUMPRODUCT((Cap_Point&lt;=I606)*(Cap_Kind="Group")*Cap_Ln))</x:f>
        <x:v>1000000.000000001</x:v>
      </x:c>
      <x:c r="N606" s="32" t="n">
        <x:f>MIN(J606,L606,M606)</x:f>
        <x:v>12514.86067705494</x:v>
      </x:c>
      <x:c r="O606" s="10" t="n">
        <x:f>AE605*N606</x:f>
        <x:v>112633.74609349445</x:v>
      </x:c>
      <x:c r="P606" s="9" t="n">
        <x:f>MIN(1,(AB605/(AE605*IF(tun_GroupInCrowding=1,N606,MIN(J606,L606))))^tun_CrowdingExp)</x:f>
        <x:v>0.08741461919616046</x:v>
      </x:c>
      <x:c r="Q606" s="9" t="n">
        <x:f>IF(D606=1,INDEX(tun_WinterMult,G606),1)</x:f>
        <x:v>1</x:v>
      </x:c>
      <x:c r="R606" s="9" t="n">
        <x:f>H606*Z605*tun_WomenShare*tun_BaseFertility*INDEX(tun_FertMult,G606)*Arch_Fertility*(1-P606)</x:f>
        <x:v>981.4393536086417</x:v>
      </x:c>
      <x:c r="S606" s="9" t="n">
        <x:f>H606*Y605*INDEX(tun_MortChild,G606)/4*Q606</x:f>
        <x:v>33.74969389470667</x:v>
      </x:c>
      <x:c r="T606" s="9" t="n">
        <x:f>H606*Z605*INDEX(tun_MortAdult,G606)*Arch_AdultMort/4*Q606</x:f>
        <x:v>22.561874452619826</x:v>
      </x:c>
      <x:c r="U606" s="9" t="n">
        <x:f>H606*AA605*INDEX(tun_MortElder,G606)/4*Q606</x:f>
        <x:v>123.36320763205885</x:v>
      </x:c>
      <x:c r="V606" s="9" t="n">
        <x:f>H606*MAX(0,AB605-O606)*tun_OvercapLoss</x:f>
        <x:v>0</x:v>
      </x:c>
      <x:c r="W606" s="9" t="n">
        <x:f>H606*Y605/(tun_ChildYears*4)</x:f>
        <x:v>535.7094269001058</x:v>
      </x:c>
      <x:c r="X606" s="9" t="n">
        <x:f>H606*Z605/(tun_AdultYears*4)</x:f>
        <x:v>242.60080056580458</x:v>
      </x:c>
      <x:c r="Y606" s="32" t="n">
        <x:f>Y605+R606-S606-W606-Y605*V606/AB605</x:f>
        <x:v>30411.708139219754</x:v>
      </x:c>
      <x:c r="Z606" s="32" t="n">
        <x:f>Z605+W606-X606-T606-Z605*V606/AB605</x:f>
        <x:v>30353.04602204145</x:v>
      </x:c>
      <x:c r="AA606" s="32" t="n">
        <x:f>AA605+X606-U606-AA605*V606/AB605</x:f>
        <x:v>15072.353669546937</x:v>
      </x:c>
      <x:c r="AB606" s="10" t="n">
        <x:f>Y606+Z606+AA606</x:f>
        <x:v>75837.10783080815</x:v>
      </x:c>
      <x:c r="AC606" s="8" t="n">
        <x:f>IF(AND(tun_WinterTrigger=1,D606=1,AB605/AE605&gt;=K606),1,0)</x:f>
        <x:v>0</x:v>
      </x:c>
      <x:c r="AD606" s="8" t="n">
        <x:f>H606*IF(AND(OR(AB605/AE605&gt;=tun_FissionTrigger*N606,AC606=1),AB605/AE605*tun_DaughterShare&gt;=tun_MinDaughter),MAX(1,ROUND(AE605*tun_FissionRate,0)),0)</x:f>
        <x:v>0</x:v>
      </x:c>
      <x:c r="AE606" s="8" t="n">
        <x:f>IF(H606=1,MAX(1,MIN(INDEX(tun_Smax,G606),AE605+AD606)),AE605)</x:f>
        <x:v>9</x:v>
      </x:c>
      <x:c r="AF606" s="8" t="n">
        <x:f>MAX(0,AE606-AE605)</x:f>
        <x:v>0</x:v>
      </x:c>
      <x:c r="AG606" s="9" t="str">
        <x:f>IF(AF606&gt;0,B606,"")</x:f>
      </x:c>
      <x:c r="AH606" s="9" t="n">
        <x:f>IF(F606&gt;=1,1,(1+tun_LowTiesShare*(AE606-1))/AE606)</x:f>
        <x:v>1</x:v>
      </x:c>
      <x:c r="AI606" s="32" t="n">
        <x:f>(Z606+tun_ElderCommons*INDEX(LM_Elder,G606)*AA606)*AH606</x:f>
        <x:v>86874.37228284247</x:v>
      </x:c>
      <x:c r="AJ606" s="32" t="n">
        <x:f>H606*tun_CommonsCoef*AI606^tun_CommonsExp*INDEX(LM_Commons,G606)</x:f>
        <x:v>228323.20752857663</x:v>
      </x:c>
      <x:c r="AK606" s="32" t="n">
        <x:f>H606*tun_RoleScale*Arch_Roles*(AE606*(INDEX(tun_ElderRolePerSett,G606)*tun_OutElder*INDEX(LM_Elder,G606)+INDEX(tun_ShamanPerSett,G606)*tun_OutShaman)+Z606*(INDEX(tun_PriestShare,G606)*tun_OutPriest+INDEX(tun_ScribeShare,G606)*tun_OutScribe*INDEX(LM_Scribe,G606)+INDEX(tun_ScholarShare,G606)*tun_OutScholar*INDEX(LM_Scholar,G606)+INDEX(tun_ResearcherShare,G606)*tun_OutResearcher*INDEX(LM_Researcher,G606)))</x:f>
        <x:v>62952.67793173141</x:v>
      </x:c>
      <x:c r="AL606" s="32" t="n">
        <x:f>H606*tun_RoleScale*Arch_Roles*AE606*INDEX(tun_MonasteryPerSett,G606)*tun_OutMonastery*INDEX(LM_Monastery,G606)</x:f>
        <x:v>31.680000000000003</x:v>
      </x:c>
      <x:c r="AM606" s="32" t="n">
        <x:f>(AJ606+AK606+AL606)/4*INDEX(LM_All,G606)*INDEX(tun_Boon,G606)*Arch_Insight</x:f>
        <x:v>209884.6175395048</x:v>
      </x:c>
      <x:c r="AN606" s="32" t="n">
        <x:f>H606*(tun_KHPerAdult*Z606+tun_KHOfCommons*AJ606/4*INDEX(LM_All,G606))*tun_KHUsable*Arch_KH</x:f>
        <x:v>33079.12892038021</x:v>
      </x:c>
      <x:c r="AO606" s="32" t="n">
        <x:f>MIN(AP605+AN606,AM606*tun_KHMaxRatio)</x:f>
        <x:v>33079.12892038021</x:v>
      </x:c>
      <x:c r="AP606" s="32" t="n">
        <x:f>AP605+AN606-AO606</x:f>
        <x:v>0</x:v>
      </x:c>
      <x:c r="AQ606" s="32" t="n">
        <x:f>AM606+AO606</x:f>
        <x:v>242963.746459885</x:v>
      </x:c>
      <x:c r="AR606" s="10" t="n">
        <x:f>IF(H606=1,INDEX(tun_Req,G606),0)</x:f>
        <x:v>24497531.045680594</x:v>
      </x:c>
      <x:c r="AS606" s="32" t="n">
        <x:f>IF(H606=1,IF(E606=1,AS605-AR605,AS605)+AQ606,0)</x:f>
        <x:v>19130965.920750942</x:v>
      </x:c>
      <x:c r="AT606" s="11" t="n">
        <x:f>IF(AR606&gt;0,MIN(1,AS606/AR606),1)</x:f>
        <x:v>0.7809344494789043</x:v>
      </x:c>
      <x:c r="AU606" s="10" t="n">
        <x:f>AB606/INDEX(tun_RepScale,G606)</x:f>
        <x:v>303.3484313232326</x:v>
      </x:c>
      <x:c r="AV606" s="32" t="n">
        <x:f>AM606*60/tun_SeasonSeconds</x:f>
        <x:v>839538.4701580192</x:v>
      </x:c>
    </x:row>
    <x:row r="607">
      <x:c r="A607" s="8" t="n">
        <x:f>A606+1</x:f>
        <x:v>604</x:v>
      </x:c>
      <x:c r="B607" s="9" t="n">
        <x:f>A607*tun_SeasonSeconds/60</x:f>
        <x:v>151</x:v>
      </x:c>
      <x:c r="C607" s="9" t="n">
        <x:f>A607/4</x:f>
        <x:v>151</x:v>
      </x:c>
      <x:c r="D607" s="8" t="n">
        <x:f>IF(MOD(A607,4)=0,1,0)</x:f>
        <x:v>1</x:v>
      </x:c>
      <x:c r="E607" s="8" t="n">
        <x:f>IF(AND(F606&lt;=9,AS606&gt;=AR606),1,0)</x:f>
        <x:v>0</x:v>
      </x:c>
      <x:c r="F607" s="8" t="n">
        <x:f>MIN(10,F606+E607)</x:f>
        <x:v>8</x:v>
      </x:c>
      <x:c r="G607" s="8" t="n">
        <x:f>MIN(F607,9)+1</x:f>
        <x:v>9</x:v>
      </x:c>
      <x:c r="H607" s="8" t="n">
        <x:f>IF(F607&lt;=9,1,0)</x:f>
        <x:v>1</x:v>
      </x:c>
      <x:c r="I607" s="9" t="n">
        <x:f>MIN(10,F606+IF(AR606&gt;0,MIN(1,AS606/AR606),1))</x:f>
        <x:v>8.780934449478904</x:v>
      </x:c>
      <x:c r="J607" s="32" t="n">
        <x:f>INDEX(tun_FoodCap,G607)*Arch_FoodCap*EXP(tun_CapsByProject*SUMPRODUCT((Cap_Point&lt;=I607)*(Cap_Kind="Food")*Cap_Ln))</x:f>
        <x:v>13863.877308233004</x:v>
      </x:c>
      <x:c r="K607" s="32" t="n">
        <x:f>J607*MIN(1,tun_LeanBase*EXP(tun_CapsByProject*SUMPRODUCT((Cap_Point&lt;=I607)*(Cap_Kind="Lean")*Cap_Ln)))</x:f>
        <x:v>13863.877308233004</x:v>
      </x:c>
      <x:c r="L607" s="10" t="n">
        <x:f>INDEX(tun_HousingCap,G607)*EXP(tun_CapsByProject*SUMPRODUCT((Cap_Point&lt;=I607)*(Cap_Kind="Housing")*Cap_Ln))</x:f>
        <x:v>12514.86067705494</x:v>
      </x:c>
      <x:c r="M607" s="10" t="n">
        <x:f>INDEX(tun_GroupCap,G607)*tun_CohesionFactor*EXP(tun_CapsByProject*SUMPRODUCT((Cap_Point&lt;=I607)*(Cap_Kind="Group")*Cap_Ln))</x:f>
        <x:v>1000000.000000001</x:v>
      </x:c>
      <x:c r="N607" s="32" t="n">
        <x:f>MIN(J607,L607,M607)</x:f>
        <x:v>12514.86067705494</x:v>
      </x:c>
      <x:c r="O607" s="10" t="n">
        <x:f>AE606*N607</x:f>
        <x:v>112633.74609349445</x:v>
      </x:c>
      <x:c r="P607" s="9" t="n">
        <x:f>MIN(1,(AB606/(AE606*IF(tun_GroupInCrowding=1,N607,MIN(J607,L607))))^tun_CrowdingExp)</x:f>
        <x:v>0.09317070920300226</x:v>
      </x:c>
      <x:c r="Q607" s="9" t="n">
        <x:f>IF(D607=1,INDEX(tun_WinterMult,G607),1)</x:f>
        <x:v>1.05</x:v>
      </x:c>
      <x:c r="R607" s="9" t="n">
        <x:f>H607*Z606*tun_WomenShare*tun_BaseFertility*INDEX(tun_FertMult,G607)*Arch_Fertility*(1-P607)</x:f>
        <x:v>984.0198653176494</x:v>
      </x:c>
      <x:c r="S607" s="9" t="n">
        <x:f>H607*Y606*INDEX(tun_MortChild,G607)/4*Q607</x:f>
        <x:v>35.92383023945334</x:v>
      </x:c>
      <x:c r="T607" s="9" t="n">
        <x:f>H607*Z606*INDEX(tun_MortAdult,G607)*Arch_AdultMort/4*Q607</x:f>
        <x:v>23.903023742357643</x:v>
      </x:c>
      <x:c r="U607" s="9" t="n">
        <x:f>H607*AA606*INDEX(tun_MortElder,G607)/4*Q607</x:f>
        <x:v>130.56426366245037</x:v>
      </x:c>
      <x:c r="V607" s="9" t="n">
        <x:f>H607*MAX(0,AB606-O607)*tun_OvercapLoss</x:f>
        <x:v>0</x:v>
      </x:c>
      <x:c r="W607" s="9" t="n">
        <x:f>H607*Y606/(tun_ChildYears*4)</x:f>
        <x:v>543.0662167717813</x:v>
      </x:c>
      <x:c r="X607" s="9" t="n">
        <x:f>H607*Z606/(tun_AdultYears*4)</x:f>
        <x:v>244.7826292100117</x:v>
      </x:c>
      <x:c r="Y607" s="32" t="n">
        <x:f>Y606+R607-S607-W607-Y606*V607/AB606</x:f>
        <x:v>30816.737957526166</x:v>
      </x:c>
      <x:c r="Z607" s="32" t="n">
        <x:f>Z606+W607-X607-T607-Z606*V607/AB606</x:f>
        <x:v>30627.426585860863</x:v>
      </x:c>
      <x:c r="AA607" s="32" t="n">
        <x:f>AA606+X607-U607-AA606*V607/AB606</x:f>
        <x:v>15186.572035094498</x:v>
      </x:c>
      <x:c r="AB607" s="10" t="n">
        <x:f>Y607+Z607+AA607</x:f>
        <x:v>76630.73657848153</x:v>
      </x:c>
      <x:c r="AC607" s="8" t="n">
        <x:f>IF(AND(tun_WinterTrigger=1,D607=1,AB606/AE606&gt;=K607),1,0)</x:f>
        <x:v>0</x:v>
      </x:c>
      <x:c r="AD607" s="8" t="n">
        <x:f>H607*IF(AND(OR(AB606/AE606&gt;=tun_FissionTrigger*N607,AC607=1),AB606/AE606*tun_DaughterShare&gt;=tun_MinDaughter),MAX(1,ROUND(AE606*tun_FissionRate,0)),0)</x:f>
        <x:v>0</x:v>
      </x:c>
      <x:c r="AE607" s="8" t="n">
        <x:f>IF(H607=1,MAX(1,MIN(INDEX(tun_Smax,G607),AE606+AD607)),AE606)</x:f>
        <x:v>9</x:v>
      </x:c>
      <x:c r="AF607" s="8" t="n">
        <x:f>MAX(0,AE607-AE606)</x:f>
        <x:v>0</x:v>
      </x:c>
      <x:c r="AG607" s="9" t="str">
        <x:f>IF(AF607&gt;0,B607,"")</x:f>
      </x:c>
      <x:c r="AH607" s="9" t="n">
        <x:f>IF(F607&gt;=1,1,(1+tun_LowTiesShare*(AE607-1))/AE607)</x:f>
        <x:v>1</x:v>
      </x:c>
      <x:c r="AI607" s="32" t="n">
        <x:f>(Z607+tun_ElderCommons*INDEX(LM_Elder,G607)*AA607)*AH607</x:f>
        <x:v>87577.07171746524</x:v>
      </x:c>
      <x:c r="AJ607" s="32" t="n">
        <x:f>H607*tun_CommonsCoef*AI607^tun_CommonsExp*INDEX(LM_Commons,G607)</x:f>
        <x:v>229892.06747588795</x:v>
      </x:c>
      <x:c r="AK607" s="32" t="n">
        <x:f>H607*tun_RoleScale*Arch_Roles*(AE607*(INDEX(tun_ElderRolePerSett,G607)*tun_OutElder*INDEX(LM_Elder,G607)+INDEX(tun_ShamanPerSett,G607)*tun_OutShaman)+Z607*(INDEX(tun_PriestShare,G607)*tun_OutPriest+INDEX(tun_ScribeShare,G607)*tun_OutScribe*INDEX(LM_Scribe,G607)+INDEX(tun_ScholarShare,G607)*tun_OutScholar*INDEX(LM_Scholar,G607)+INDEX(tun_ResearcherShare,G607)*tun_OutResearcher*INDEX(LM_Researcher,G607)))</x:f>
        <x:v>63519.5507515251</x:v>
      </x:c>
      <x:c r="AL607" s="32" t="n">
        <x:f>H607*tun_RoleScale*Arch_Roles*AE607*INDEX(tun_MonasteryPerSett,G607)*tun_OutMonastery*INDEX(LM_Monastery,G607)</x:f>
        <x:v>31.680000000000003</x:v>
      </x:c>
      <x:c r="AM607" s="32" t="n">
        <x:f>(AJ607+AK607+AL607)/4*INDEX(LM_All,G607)*INDEX(tun_Boon,G607)*Arch_Insight</x:f>
        <x:v>211423.39479124593</x:v>
      </x:c>
      <x:c r="AN607" s="32" t="n">
        <x:f>H607*(tun_KHPerAdult*Z607+tun_KHOfCommons*AJ607/4*INDEX(LM_All,G607))*tun_KHUsable*Arch_KH</x:f>
        <x:v>33306.423031289356</x:v>
      </x:c>
      <x:c r="AO607" s="32" t="n">
        <x:f>MIN(AP606+AN607,AM607*tun_KHMaxRatio)</x:f>
        <x:v>33306.423031289356</x:v>
      </x:c>
      <x:c r="AP607" s="32" t="n">
        <x:f>AP606+AN607-AO607</x:f>
        <x:v>0</x:v>
      </x:c>
      <x:c r="AQ607" s="32" t="n">
        <x:f>AM607+AO607</x:f>
        <x:v>244729.8178225353</x:v>
      </x:c>
      <x:c r="AR607" s="10" t="n">
        <x:f>IF(H607=1,INDEX(tun_Req,G607),0)</x:f>
        <x:v>24497531.045680594</x:v>
      </x:c>
      <x:c r="AS607" s="32" t="n">
        <x:f>IF(H607=1,IF(E607=1,AS606-AR606,AS606)+AQ607,0)</x:f>
        <x:v>19375695.738573477</x:v>
      </x:c>
      <x:c r="AT607" s="11" t="n">
        <x:f>IF(AR607&gt;0,MIN(1,AS607/AR607),1)</x:f>
        <x:v>0.7909244283615186</x:v>
      </x:c>
      <x:c r="AU607" s="10" t="n">
        <x:f>AB607/INDEX(tun_RepScale,G607)</x:f>
        <x:v>306.5229463139261</x:v>
      </x:c>
      <x:c r="AV607" s="32" t="n">
        <x:f>AM607*60/tun_SeasonSeconds</x:f>
        <x:v>845693.5791649837</x:v>
      </x:c>
    </x:row>
    <x:row r="608">
      <x:c r="A608" s="8" t="n">
        <x:f>A607+1</x:f>
        <x:v>605</x:v>
      </x:c>
      <x:c r="B608" s="9" t="n">
        <x:f>A608*tun_SeasonSeconds/60</x:f>
        <x:v>151.25</x:v>
      </x:c>
      <x:c r="C608" s="9" t="n">
        <x:f>A608/4</x:f>
        <x:v>151.25</x:v>
      </x:c>
      <x:c r="D608" s="8" t="n">
        <x:f>IF(MOD(A608,4)=0,1,0)</x:f>
        <x:v>0</x:v>
      </x:c>
      <x:c r="E608" s="8" t="n">
        <x:f>IF(AND(F607&lt;=9,AS607&gt;=AR607),1,0)</x:f>
        <x:v>0</x:v>
      </x:c>
      <x:c r="F608" s="8" t="n">
        <x:f>MIN(10,F607+E608)</x:f>
        <x:v>8</x:v>
      </x:c>
      <x:c r="G608" s="8" t="n">
        <x:f>MIN(F608,9)+1</x:f>
        <x:v>9</x:v>
      </x:c>
      <x:c r="H608" s="8" t="n">
        <x:f>IF(F608&lt;=9,1,0)</x:f>
        <x:v>1</x:v>
      </x:c>
      <x:c r="I608" s="9" t="n">
        <x:f>MIN(10,F607+IF(AR607&gt;0,MIN(1,AS607/AR607),1))</x:f>
        <x:v>8.790924428361519</x:v>
      </x:c>
      <x:c r="J608" s="32" t="n">
        <x:f>INDEX(tun_FoodCap,G608)*Arch_FoodCap*EXP(tun_CapsByProject*SUMPRODUCT((Cap_Point&lt;=I608)*(Cap_Kind="Food")*Cap_Ln))</x:f>
        <x:v>13863.877308233004</x:v>
      </x:c>
      <x:c r="K608" s="32" t="n">
        <x:f>J608*MIN(1,tun_LeanBase*EXP(tun_CapsByProject*SUMPRODUCT((Cap_Point&lt;=I608)*(Cap_Kind="Lean")*Cap_Ln)))</x:f>
        <x:v>13863.877308233004</x:v>
      </x:c>
      <x:c r="L608" s="10" t="n">
        <x:f>INDEX(tun_HousingCap,G608)*EXP(tun_CapsByProject*SUMPRODUCT((Cap_Point&lt;=I608)*(Cap_Kind="Housing")*Cap_Ln))</x:f>
        <x:v>12514.86067705494</x:v>
      </x:c>
      <x:c r="M608" s="10" t="n">
        <x:f>INDEX(tun_GroupCap,G608)*tun_CohesionFactor*EXP(tun_CapsByProject*SUMPRODUCT((Cap_Point&lt;=I608)*(Cap_Kind="Group")*Cap_Ln))</x:f>
        <x:v>1000000.000000001</x:v>
      </x:c>
      <x:c r="N608" s="32" t="n">
        <x:f>MIN(J608,L608,M608)</x:f>
        <x:v>12514.86067705494</x:v>
      </x:c>
      <x:c r="O608" s="10" t="n">
        <x:f>AE607*N608</x:f>
        <x:v>112633.74609349445</x:v>
      </x:c>
      <x:c r="P608" s="9" t="n">
        <x:f>MIN(1,(AB607/(AE607*IF(tun_GroupInCrowding=1,N608,MIN(J608,L608))))^tun_CrowdingExp)</x:f>
        <x:v>0.09917605492665768</x:v>
      </x:c>
      <x:c r="Q608" s="9" t="n">
        <x:f>IF(D608=1,INDEX(tun_WinterMult,G608),1)</x:f>
        <x:v>1</x:v>
      </x:c>
      <x:c r="R608" s="9" t="n">
        <x:f>H608*Z607*tun_WomenShare*tun_BaseFertility*INDEX(tun_FertMult,G608)*Arch_Fertility*(1-P608)</x:f>
        <x:v>986.3396129915668</x:v>
      </x:c>
      <x:c r="S608" s="9" t="n">
        <x:f>H608*Y607*INDEX(tun_MortChild,G608)/4*Q608</x:f>
        <x:v>34.66883020221693</x:v>
      </x:c>
      <x:c r="T608" s="9" t="n">
        <x:f>H608*Z607*INDEX(tun_MortAdult,G608)*Arch_AdultMort/4*Q608</x:f>
        <x:v>22.97056993939565</x:v>
      </x:c>
      <x:c r="U608" s="9" t="n">
        <x:f>H608*AA607*INDEX(tun_MortElder,G608)/4*Q608</x:f>
        <x:v>125.28921928952961</x:v>
      </x:c>
      <x:c r="V608" s="9" t="n">
        <x:f>H608*MAX(0,AB607-O608)*tun_OvercapLoss</x:f>
        <x:v>0</x:v>
      </x:c>
      <x:c r="W608" s="9" t="n">
        <x:f>H608*Y607/(tun_ChildYears*4)</x:f>
        <x:v>550.2988920986816</x:v>
      </x:c>
      <x:c r="X608" s="9" t="n">
        <x:f>H608*Z607/(tun_AdultYears*4)</x:f>
        <x:v>246.9953756924263</x:v>
      </x:c>
      <x:c r="Y608" s="32" t="n">
        <x:f>Y607+R608-S608-W608-Y607*V608/AB607</x:f>
        <x:v>31218.109848216835</x:v>
      </x:c>
      <x:c r="Z608" s="32" t="n">
        <x:f>Z607+W608-X608-T608-Z607*V608/AB607</x:f>
        <x:v>30907.759532327724</x:v>
      </x:c>
      <x:c r="AA608" s="32" t="n">
        <x:f>AA607+X608-U608-AA607*V608/AB607</x:f>
        <x:v>15308.278191497395</x:v>
      </x:c>
      <x:c r="AB608" s="10" t="n">
        <x:f>Y608+Z608+AA608</x:f>
        <x:v>77434.14757204195</x:v>
      </x:c>
      <x:c r="AC608" s="8" t="n">
        <x:f>IF(AND(tun_WinterTrigger=1,D608=1,AB607/AE607&gt;=K608),1,0)</x:f>
        <x:v>0</x:v>
      </x:c>
      <x:c r="AD608" s="8" t="n">
        <x:f>H608*IF(AND(OR(AB607/AE607&gt;=tun_FissionTrigger*N608,AC608=1),AB607/AE607*tun_DaughterShare&gt;=tun_MinDaughter),MAX(1,ROUND(AE607*tun_FissionRate,0)),0)</x:f>
        <x:v>0</x:v>
      </x:c>
      <x:c r="AE608" s="8" t="n">
        <x:f>IF(H608=1,MAX(1,MIN(INDEX(tun_Smax,G608),AE607+AD608)),AE607)</x:f>
        <x:v>9</x:v>
      </x:c>
      <x:c r="AF608" s="8" t="n">
        <x:f>MAX(0,AE608-AE607)</x:f>
        <x:v>0</x:v>
      </x:c>
      <x:c r="AG608" s="9" t="str">
        <x:f>IF(AF608&gt;0,B608,"")</x:f>
      </x:c>
      <x:c r="AH608" s="9" t="n">
        <x:f>IF(F608&gt;=1,1,(1+tun_LowTiesShare*(AE608-1))/AE608)</x:f>
        <x:v>1</x:v>
      </x:c>
      <x:c r="AI608" s="32" t="n">
        <x:f>(Z608+tun_ElderCommons*INDEX(LM_Elder,G608)*AA608)*AH608</x:f>
        <x:v>88313.80275044295</x:v>
      </x:c>
      <x:c r="AJ608" s="32" t="n">
        <x:f>H608*tun_CommonsCoef*AI608^tun_CommonsExp*INDEX(LM_Commons,G608)</x:f>
        <x:v>231534.8808922747</x:v>
      </x:c>
      <x:c r="AK608" s="32" t="n">
        <x:f>H608*tun_RoleScale*Arch_Roles*(AE608*(INDEX(tun_ElderRolePerSett,G608)*tun_OutElder*INDEX(LM_Elder,G608)+INDEX(tun_ShamanPerSett,G608)*tun_OutShaman)+Z608*(INDEX(tun_PriestShare,G608)*tun_OutPriest+INDEX(tun_ScribeShare,G608)*tun_OutScribe*INDEX(LM_Scribe,G608)+INDEX(tun_ScholarShare,G608)*tun_OutScholar*INDEX(LM_Scholar,G608)+INDEX(tun_ResearcherShare,G608)*tun_OutResearcher*INDEX(LM_Researcher,G608)))</x:f>
        <x:v>64098.721249728944</x:v>
      </x:c>
      <x:c r="AL608" s="32" t="n">
        <x:f>H608*tun_RoleScale*Arch_Roles*AE608*INDEX(tun_MonasteryPerSett,G608)*tun_OutMonastery*INDEX(LM_Monastery,G608)</x:f>
        <x:v>31.680000000000003</x:v>
      </x:c>
      <x:c r="AM608" s="32" t="n">
        <x:f>(AJ608+AK608+AL608)/4*INDEX(LM_All,G608)*INDEX(tun_Boon,G608)*Arch_Insight</x:f>
        <x:v>213024.3152594661</x:v>
      </x:c>
      <x:c r="AN608" s="32" t="n">
        <x:f>H608*(tun_KHPerAdult*Z608+tun_KHOfCommons*AJ608/4*INDEX(LM_All,G608))*tun_KHUsable*Arch_KH</x:f>
        <x:v>33544.43141151933</x:v>
      </x:c>
      <x:c r="AO608" s="32" t="n">
        <x:f>MIN(AP607+AN608,AM608*tun_KHMaxRatio)</x:f>
        <x:v>33544.43141151933</x:v>
      </x:c>
      <x:c r="AP608" s="32" t="n">
        <x:f>AP607+AN608-AO608</x:f>
        <x:v>0</x:v>
      </x:c>
      <x:c r="AQ608" s="32" t="n">
        <x:f>AM608+AO608</x:f>
        <x:v>246568.74667098542</x:v>
      </x:c>
      <x:c r="AR608" s="10" t="n">
        <x:f>IF(H608=1,INDEX(tun_Req,G608),0)</x:f>
        <x:v>24497531.045680594</x:v>
      </x:c>
      <x:c r="AS608" s="32" t="n">
        <x:f>IF(H608=1,IF(E608=1,AS607-AR607,AS607)+AQ608,0)</x:f>
        <x:v>19622264.48524446</x:v>
      </x:c>
      <x:c r="AT608" s="11" t="n">
        <x:f>IF(AR608&gt;0,MIN(1,AS608/AR608),1)</x:f>
        <x:v>0.8009894731291405</x:v>
      </x:c>
      <x:c r="AU608" s="10" t="n">
        <x:f>AB608/INDEX(tun_RepScale,G608)</x:f>
        <x:v>309.7365902881678</x:v>
      </x:c>
      <x:c r="AV608" s="32" t="n">
        <x:f>AM608*60/tun_SeasonSeconds</x:f>
        <x:v>852097.2610378644</x:v>
      </x:c>
    </x:row>
    <x:row r="609">
      <x:c r="A609" s="8" t="n">
        <x:f>A608+1</x:f>
        <x:v>606</x:v>
      </x:c>
      <x:c r="B609" s="9" t="n">
        <x:f>A609*tun_SeasonSeconds/60</x:f>
        <x:v>151.5</x:v>
      </x:c>
      <x:c r="C609" s="9" t="n">
        <x:f>A609/4</x:f>
        <x:v>151.5</x:v>
      </x:c>
      <x:c r="D609" s="8" t="n">
        <x:f>IF(MOD(A609,4)=0,1,0)</x:f>
        <x:v>0</x:v>
      </x:c>
      <x:c r="E609" s="8" t="n">
        <x:f>IF(AND(F608&lt;=9,AS608&gt;=AR608),1,0)</x:f>
        <x:v>0</x:v>
      </x:c>
      <x:c r="F609" s="8" t="n">
        <x:f>MIN(10,F608+E609)</x:f>
        <x:v>8</x:v>
      </x:c>
      <x:c r="G609" s="8" t="n">
        <x:f>MIN(F609,9)+1</x:f>
        <x:v>9</x:v>
      </x:c>
      <x:c r="H609" s="8" t="n">
        <x:f>IF(F609&lt;=9,1,0)</x:f>
        <x:v>1</x:v>
      </x:c>
      <x:c r="I609" s="9" t="n">
        <x:f>MIN(10,F608+IF(AR608&gt;0,MIN(1,AS608/AR608),1))</x:f>
        <x:v>8.80098947312914</x:v>
      </x:c>
      <x:c r="J609" s="32" t="n">
        <x:f>INDEX(tun_FoodCap,G609)*Arch_FoodCap*EXP(tun_CapsByProject*SUMPRODUCT((Cap_Point&lt;=I609)*(Cap_Kind="Food")*Cap_Ln))</x:f>
        <x:v>13863.877308233004</x:v>
      </x:c>
      <x:c r="K609" s="32" t="n">
        <x:f>J609*MIN(1,tun_LeanBase*EXP(tun_CapsByProject*SUMPRODUCT((Cap_Point&lt;=I609)*(Cap_Kind="Lean")*Cap_Ln)))</x:f>
        <x:v>13863.877308233004</x:v>
      </x:c>
      <x:c r="L609" s="10" t="n">
        <x:f>INDEX(tun_HousingCap,G609)*EXP(tun_CapsByProject*SUMPRODUCT((Cap_Point&lt;=I609)*(Cap_Kind="Housing")*Cap_Ln))</x:f>
        <x:v>12514.86067705494</x:v>
      </x:c>
      <x:c r="M609" s="10" t="n">
        <x:f>INDEX(tun_GroupCap,G609)*tun_CohesionFactor*EXP(tun_CapsByProject*SUMPRODUCT((Cap_Point&lt;=I609)*(Cap_Kind="Group")*Cap_Ln))</x:f>
        <x:v>1000000.000000001</x:v>
      </x:c>
      <x:c r="N609" s="32" t="n">
        <x:f>MIN(J609,L609,M609)</x:f>
        <x:v>12514.86067705494</x:v>
      </x:c>
      <x:c r="O609" s="10" t="n">
        <x:f>AE608*N609</x:f>
        <x:v>112633.74609349445</x:v>
      </x:c>
      <x:c r="P609" s="9" t="n">
        <x:f>MIN(1,(AB608/(AE608*IF(tun_GroupInCrowding=1,N609,MIN(J609,L609))))^tun_CrowdingExp)</x:f>
        <x:v>0.10558055956752385</x:v>
      </x:c>
      <x:c r="Q609" s="9" t="n">
        <x:f>IF(D609=1,INDEX(tun_WinterMult,G609),1)</x:f>
        <x:v>1</x:v>
      </x:c>
      <x:c r="R609" s="9" t="n">
        <x:f>H609*Z608*tun_WomenShare*tun_BaseFertility*INDEX(tun_FertMult,G609)*Arch_Fertility*(1-P609)</x:f>
        <x:v>988.290910246858</x:v>
      </x:c>
      <x:c r="S609" s="9" t="n">
        <x:f>H609*Y608*INDEX(tun_MortChild,G609)/4*Q609</x:f>
        <x:v>35.12037357924394</x:v>
      </x:c>
      <x:c r="T609" s="9" t="n">
        <x:f>H609*Z608*INDEX(tun_MortAdult,G609)*Arch_AdultMort/4*Q609</x:f>
        <x:v>23.180819649245795</x:v>
      </x:c>
      <x:c r="U609" s="9" t="n">
        <x:f>H609*AA608*INDEX(tun_MortElder,G609)/4*Q609</x:f>
        <x:v>126.29329507985351</x:v>
      </x:c>
      <x:c r="V609" s="9" t="n">
        <x:f>H609*MAX(0,AB608-O609)*tun_OvercapLoss</x:f>
        <x:v>0</x:v>
      </x:c>
      <x:c r="W609" s="9" t="n">
        <x:f>H609*Y608/(tun_ChildYears*4)</x:f>
        <x:v>557.4662472895864</x:v>
      </x:c>
      <x:c r="X609" s="9" t="n">
        <x:f>H609*Z608/(tun_AdultYears*4)</x:f>
        <x:v>249.25612526070745</x:v>
      </x:c>
      <x:c r="Y609" s="32" t="n">
        <x:f>Y608+R609-S609-W609-Y608*V609/AB608</x:f>
        <x:v>31613.81413759486</x:v>
      </x:c>
      <x:c r="Z609" s="32" t="n">
        <x:f>Z608+W609-X609-T609-Z608*V609/AB608</x:f>
        <x:v>31192.788834707357</x:v>
      </x:c>
      <x:c r="AA609" s="32" t="n">
        <x:f>AA608+X609-U609-AA608*V609/AB608</x:f>
        <x:v>15431.241021678248</x:v>
      </x:c>
      <x:c r="AB609" s="10" t="n">
        <x:f>Y609+Z609+AA609</x:f>
        <x:v>78237.84399398047</x:v>
      </x:c>
      <x:c r="AC609" s="8" t="n">
        <x:f>IF(AND(tun_WinterTrigger=1,D609=1,AB608/AE608&gt;=K609),1,0)</x:f>
        <x:v>0</x:v>
      </x:c>
      <x:c r="AD609" s="8" t="n">
        <x:f>H609*IF(AND(OR(AB608/AE608&gt;=tun_FissionTrigger*N609,AC609=1),AB608/AE608*tun_DaughterShare&gt;=tun_MinDaughter),MAX(1,ROUND(AE608*tun_FissionRate,0)),0)</x:f>
        <x:v>0</x:v>
      </x:c>
      <x:c r="AE609" s="8" t="n">
        <x:f>IF(H609=1,MAX(1,MIN(INDEX(tun_Smax,G609),AE608+AD609)),AE608)</x:f>
        <x:v>9</x:v>
      </x:c>
      <x:c r="AF609" s="8" t="n">
        <x:f>MAX(0,AE609-AE608)</x:f>
        <x:v>0</x:v>
      </x:c>
      <x:c r="AG609" s="9" t="str">
        <x:f>IF(AF609&gt;0,B609,"")</x:f>
      </x:c>
      <x:c r="AH609" s="9" t="n">
        <x:f>IF(F609&gt;=1,1,(1+tun_LowTiesShare*(AE609-1))/AE609)</x:f>
        <x:v>1</x:v>
      </x:c>
      <x:c r="AI609" s="32" t="n">
        <x:f>(Z609+tun_ElderCommons*INDEX(LM_Elder,G609)*AA609)*AH609</x:f>
        <x:v>89059.94266600079</x:v>
      </x:c>
      <x:c r="AJ609" s="32" t="n">
        <x:f>H609*tun_CommonsCoef*AI609^tun_CommonsExp*INDEX(LM_Commons,G609)</x:f>
        <x:v>233196.5810014237</x:v>
      </x:c>
      <x:c r="AK609" s="32" t="n">
        <x:f>H609*tun_RoleScale*Arch_Roles*(AE609*(INDEX(tun_ElderRolePerSett,G609)*tun_OutElder*INDEX(LM_Elder,G609)+INDEX(tun_ShamanPerSett,G609)*tun_OutShaman)+Z609*(INDEX(tun_PriestShare,G609)*tun_OutPriest+INDEX(tun_ScribeShare,G609)*tun_OutScribe*INDEX(LM_Scribe,G609)+INDEX(tun_ScholarShare,G609)*tun_OutScholar*INDEX(LM_Scholar,G609)+INDEX(tun_ResearcherShare,G609)*tun_OutResearcher*INDEX(LM_Researcher,G609)))</x:f>
        <x:v>64687.59446332185</x:v>
      </x:c>
      <x:c r="AL609" s="32" t="n">
        <x:f>H609*tun_RoleScale*Arch_Roles*AE609*INDEX(tun_MonasteryPerSett,G609)*tun_OutMonastery*INDEX(LM_Monastery,G609)</x:f>
        <x:v>31.680000000000003</x:v>
      </x:c>
      <x:c r="AM609" s="32" t="n">
        <x:f>(AJ609+AK609+AL609)/4*INDEX(LM_All,G609)*INDEX(tun_Boon,G609)*Arch_Insight</x:f>
        <x:v>214645.8341525367</x:v>
      </x:c>
      <x:c r="AN609" s="32" t="n">
        <x:f>H609*(tun_KHPerAdult*Z609+tun_KHOfCommons*AJ609/4*INDEX(LM_All,G609))*tun_KHUsable*Arch_KH</x:f>
        <x:v>33785.17606788839</x:v>
      </x:c>
      <x:c r="AO609" s="32" t="n">
        <x:f>MIN(AP608+AN609,AM609*tun_KHMaxRatio)</x:f>
        <x:v>33785.17606788839</x:v>
      </x:c>
      <x:c r="AP609" s="32" t="n">
        <x:f>AP608+AN609-AO609</x:f>
        <x:v>0</x:v>
      </x:c>
      <x:c r="AQ609" s="32" t="n">
        <x:f>AM609+AO609</x:f>
        <x:v>248431.0102204251</x:v>
      </x:c>
      <x:c r="AR609" s="10" t="n">
        <x:f>IF(H609=1,INDEX(tun_Req,G609),0)</x:f>
        <x:v>24497531.045680594</x:v>
      </x:c>
      <x:c r="AS609" s="32" t="n">
        <x:f>IF(H609=1,IF(E609=1,AS608-AR608,AS608)+AQ609,0)</x:f>
        <x:v>19870695.495464884</x:v>
      </x:c>
      <x:c r="AT609" s="11" t="n">
        <x:f>IF(AR609&gt;0,MIN(1,AS609/AR609),1)</x:f>
        <x:v>0.8111305363145355</x:v>
      </x:c>
      <x:c r="AU609" s="10" t="n">
        <x:f>AB609/INDEX(tun_RepScale,G609)</x:f>
        <x:v>312.95137597592185</x:v>
      </x:c>
      <x:c r="AV609" s="32" t="n">
        <x:f>AM609*60/tun_SeasonSeconds</x:f>
        <x:v>858583.3366101469</x:v>
      </x:c>
    </x:row>
    <x:row r="610">
      <x:c r="A610" s="8" t="n">
        <x:f>A609+1</x:f>
        <x:v>607</x:v>
      </x:c>
      <x:c r="B610" s="9" t="n">
        <x:f>A610*tun_SeasonSeconds/60</x:f>
        <x:v>151.75</x:v>
      </x:c>
      <x:c r="C610" s="9" t="n">
        <x:f>A610/4</x:f>
        <x:v>151.75</x:v>
      </x:c>
      <x:c r="D610" s="8" t="n">
        <x:f>IF(MOD(A610,4)=0,1,0)</x:f>
        <x:v>0</x:v>
      </x:c>
      <x:c r="E610" s="8" t="n">
        <x:f>IF(AND(F609&lt;=9,AS609&gt;=AR609),1,0)</x:f>
        <x:v>0</x:v>
      </x:c>
      <x:c r="F610" s="8" t="n">
        <x:f>MIN(10,F609+E610)</x:f>
        <x:v>8</x:v>
      </x:c>
      <x:c r="G610" s="8" t="n">
        <x:f>MIN(F610,9)+1</x:f>
        <x:v>9</x:v>
      </x:c>
      <x:c r="H610" s="8" t="n">
        <x:f>IF(F610&lt;=9,1,0)</x:f>
        <x:v>1</x:v>
      </x:c>
      <x:c r="I610" s="9" t="n">
        <x:f>MIN(10,F609+IF(AR609&gt;0,MIN(1,AS609/AR609),1))</x:f>
        <x:v>8.811130536314536</x:v>
      </x:c>
      <x:c r="J610" s="32" t="n">
        <x:f>INDEX(tun_FoodCap,G610)*Arch_FoodCap*EXP(tun_CapsByProject*SUMPRODUCT((Cap_Point&lt;=I610)*(Cap_Kind="Food")*Cap_Ln))</x:f>
        <x:v>13863.877308233004</x:v>
      </x:c>
      <x:c r="K610" s="32" t="n">
        <x:f>J610*MIN(1,tun_LeanBase*EXP(tun_CapsByProject*SUMPRODUCT((Cap_Point&lt;=I610)*(Cap_Kind="Lean")*Cap_Ln)))</x:f>
        <x:v>13863.877308233004</x:v>
      </x:c>
      <x:c r="L610" s="10" t="n">
        <x:f>INDEX(tun_HousingCap,G610)*EXP(tun_CapsByProject*SUMPRODUCT((Cap_Point&lt;=I610)*(Cap_Kind="Housing")*Cap_Ln))</x:f>
        <x:v>12514.86067705494</x:v>
      </x:c>
      <x:c r="M610" s="10" t="n">
        <x:f>INDEX(tun_GroupCap,G610)*tun_CohesionFactor*EXP(tun_CapsByProject*SUMPRODUCT((Cap_Point&lt;=I610)*(Cap_Kind="Group")*Cap_Ln))</x:f>
        <x:v>1000000.000000001</x:v>
      </x:c>
      <x:c r="N610" s="32" t="n">
        <x:f>MIN(J610,L610,M610)</x:f>
        <x:v>12514.86067705494</x:v>
      </x:c>
      <x:c r="O610" s="10" t="n">
        <x:f>AE609*N610</x:f>
        <x:v>112633.74609349445</x:v>
      </x:c>
      <x:c r="P610" s="9" t="n">
        <x:f>MIN(1,(AB609/(AE609*IF(tun_GroupInCrowding=1,N610,MIN(J610,L610))))^tun_CrowdingExp)</x:f>
        <x:v>0.11232852932200985</x:v>
      </x:c>
      <x:c r="Q610" s="9" t="n">
        <x:f>IF(D610=1,INDEX(tun_WinterMult,G610),1)</x:f>
        <x:v>1</x:v>
      </x:c>
      <x:c r="R610" s="9" t="n">
        <x:f>H610*Z609*tun_WomenShare*tun_BaseFertility*INDEX(tun_FertMult,G610)*Arch_Fertility*(1-P610)</x:f>
        <x:v>989.8799174354332</x:v>
      </x:c>
      <x:c r="S610" s="9" t="n">
        <x:f>H610*Y609*INDEX(tun_MortChild,G610)/4*Q610</x:f>
        <x:v>35.56554090479422</x:v>
      </x:c>
      <x:c r="T610" s="9" t="n">
        <x:f>H610*Z609*INDEX(tun_MortAdult,G610)*Arch_AdultMort/4*Q610</x:f>
        <x:v>23.39459162603052</x:v>
      </x:c>
      <x:c r="U610" s="9" t="n">
        <x:f>H610*AA609*INDEX(tun_MortElder,G610)/4*Q610</x:f>
        <x:v>127.30773842884555</x:v>
      </x:c>
      <x:c r="V610" s="9" t="n">
        <x:f>H610*MAX(0,AB609-O610)*tun_OvercapLoss</x:f>
        <x:v>0</x:v>
      </x:c>
      <x:c r="W610" s="9" t="n">
        <x:f>H610*Y609/(tun_ChildYears*4)</x:f>
        <x:v>564.532395314194</x:v>
      </x:c>
      <x:c r="X610" s="9" t="n">
        <x:f>H610*Z609/(tun_AdultYears*4)</x:f>
        <x:v>251.5547486669948</x:v>
      </x:c>
      <x:c r="Y610" s="32" t="n">
        <x:f>Y609+R610-S610-W610-Y609*V610/AB609</x:f>
        <x:v>32003.596118811307</x:v>
      </x:c>
      <x:c r="Z610" s="32" t="n">
        <x:f>Z609+W610-X610-T610-Z609*V610/AB609</x:f>
        <x:v>31482.37188972852</x:v>
      </x:c>
      <x:c r="AA610" s="32" t="n">
        <x:f>AA609+X610-U610-AA609*V610/AB609</x:f>
        <x:v>15555.488031916397</x:v>
      </x:c>
      <x:c r="AB610" s="10" t="n">
        <x:f>Y610+Z610+AA610</x:f>
        <x:v>79041.45604045622</x:v>
      </x:c>
      <x:c r="AC610" s="8" t="n">
        <x:f>IF(AND(tun_WinterTrigger=1,D610=1,AB609/AE609&gt;=K610),1,0)</x:f>
        <x:v>0</x:v>
      </x:c>
      <x:c r="AD610" s="8" t="n">
        <x:f>H610*IF(AND(OR(AB609/AE609&gt;=tun_FissionTrigger*N610,AC610=1),AB609/AE609*tun_DaughterShare&gt;=tun_MinDaughter),MAX(1,ROUND(AE609*tun_FissionRate,0)),0)</x:f>
        <x:v>0</x:v>
      </x:c>
      <x:c r="AE610" s="8" t="n">
        <x:f>IF(H610=1,MAX(1,MIN(INDEX(tun_Smax,G610),AE609+AD610)),AE609)</x:f>
        <x:v>9</x:v>
      </x:c>
      <x:c r="AF610" s="8" t="n">
        <x:f>MAX(0,AE610-AE609)</x:f>
        <x:v>0</x:v>
      </x:c>
      <x:c r="AG610" s="9" t="str">
        <x:f>IF(AF610&gt;0,B610,"")</x:f>
      </x:c>
      <x:c r="AH610" s="9" t="n">
        <x:f>IF(F610&gt;=1,1,(1+tun_LowTiesShare*(AE610-1))/AE610)</x:f>
        <x:v>1</x:v>
      </x:c>
      <x:c r="AI610" s="32" t="n">
        <x:f>(Z610+tun_ElderCommons*INDEX(LM_Elder,G610)*AA610)*AH610</x:f>
        <x:v>89815.452009415</x:v>
      </x:c>
      <x:c r="AJ610" s="32" t="n">
        <x:f>H610*tun_CommonsCoef*AI610^tun_CommonsExp*INDEX(LM_Commons,G610)</x:f>
        <x:v>234877.02106060658</x:v>
      </x:c>
      <x:c r="AK610" s="32" t="n">
        <x:f>H610*tun_RoleScale*Arch_Roles*(AE610*(INDEX(tun_ElderRolePerSett,G610)*tun_OutElder*INDEX(LM_Elder,G610)+INDEX(tun_ShamanPerSett,G610)*tun_OutShaman)+Z610*(INDEX(tun_PriestShare,G610)*tun_OutPriest+INDEX(tun_ScribeShare,G610)*tun_OutScribe*INDEX(LM_Scribe,G610)+INDEX(tun_ScholarShare,G610)*tun_OutScholar*INDEX(LM_Scholar,G610)+INDEX(tun_ResearcherShare,G610)*tun_OutResearcher*INDEX(LM_Researcher,G610)))</x:f>
        <x:v>65285.875772607156</x:v>
      </x:c>
      <x:c r="AL610" s="32" t="n">
        <x:f>H610*tun_RoleScale*Arch_Roles*AE610*INDEX(tun_MonasteryPerSett,G610)*tun_OutMonastery*INDEX(LM_Monastery,G610)</x:f>
        <x:v>31.680000000000003</x:v>
      </x:c>
      <x:c r="AM610" s="32" t="n">
        <x:f>(AJ610+AK610+AL610)/4*INDEX(LM_All,G610)*INDEX(tun_Boon,G610)*Arch_Insight</x:f>
        <x:v>216287.63347259318</x:v>
      </x:c>
      <x:c r="AN610" s="32" t="n">
        <x:f>H610*(tun_KHPerAdult*Z610+tun_KHOfCommons*AJ610/4*INDEX(LM_All,G610))*tun_KHUsable*Arch_KH</x:f>
        <x:v>34028.6357405269</x:v>
      </x:c>
      <x:c r="AO610" s="32" t="n">
        <x:f>MIN(AP609+AN610,AM610*tun_KHMaxRatio)</x:f>
        <x:v>34028.6357405269</x:v>
      </x:c>
      <x:c r="AP610" s="32" t="n">
        <x:f>AP609+AN610-AO610</x:f>
        <x:v>0</x:v>
      </x:c>
      <x:c r="AQ610" s="32" t="n">
        <x:f>AM610+AO610</x:f>
        <x:v>250316.26921312007</x:v>
      </x:c>
      <x:c r="AR610" s="10" t="n">
        <x:f>IF(H610=1,INDEX(tun_Req,G610),0)</x:f>
        <x:v>24497531.045680594</x:v>
      </x:c>
      <x:c r="AS610" s="32" t="n">
        <x:f>IF(H610=1,IF(E610=1,AS609-AR609,AS609)+AQ610,0)</x:f>
        <x:v>20121011.764678005</x:v>
      </x:c>
      <x:c r="AT610" s="11" t="n">
        <x:f>IF(AR610&gt;0,MIN(1,AS610/AR610),1)</x:f>
        <x:v>0.821348556601819</x:v>
      </x:c>
      <x:c r="AU610" s="10" t="n">
        <x:f>AB610/INDEX(tun_RepScale,G610)</x:f>
        <x:v>316.1658241618249</x:v>
      </x:c>
      <x:c r="AV610" s="32" t="n">
        <x:f>AM610*60/tun_SeasonSeconds</x:f>
        <x:v>865150.5338903727</x:v>
      </x:c>
    </x:row>
    <x:row r="611">
      <x:c r="A611" s="8" t="n">
        <x:f>A610+1</x:f>
        <x:v>608</x:v>
      </x:c>
      <x:c r="B611" s="9" t="n">
        <x:f>A611*tun_SeasonSeconds/60</x:f>
        <x:v>152</x:v>
      </x:c>
      <x:c r="C611" s="9" t="n">
        <x:f>A611/4</x:f>
        <x:v>152</x:v>
      </x:c>
      <x:c r="D611" s="8" t="n">
        <x:f>IF(MOD(A611,4)=0,1,0)</x:f>
        <x:v>1</x:v>
      </x:c>
      <x:c r="E611" s="8" t="n">
        <x:f>IF(AND(F610&lt;=9,AS610&gt;=AR610),1,0)</x:f>
        <x:v>0</x:v>
      </x:c>
      <x:c r="F611" s="8" t="n">
        <x:f>MIN(10,F610+E611)</x:f>
        <x:v>8</x:v>
      </x:c>
      <x:c r="G611" s="8" t="n">
        <x:f>MIN(F611,9)+1</x:f>
        <x:v>9</x:v>
      </x:c>
      <x:c r="H611" s="8" t="n">
        <x:f>IF(F611&lt;=9,1,0)</x:f>
        <x:v>1</x:v>
      </x:c>
      <x:c r="I611" s="9" t="n">
        <x:f>MIN(10,F610+IF(AR610&gt;0,MIN(1,AS610/AR610),1))</x:f>
        <x:v>8.82134855660182</x:v>
      </x:c>
      <x:c r="J611" s="32" t="n">
        <x:f>INDEX(tun_FoodCap,G611)*Arch_FoodCap*EXP(tun_CapsByProject*SUMPRODUCT((Cap_Point&lt;=I611)*(Cap_Kind="Food")*Cap_Ln))</x:f>
        <x:v>13863.877308233004</x:v>
      </x:c>
      <x:c r="K611" s="32" t="n">
        <x:f>J611*MIN(1,tun_LeanBase*EXP(tun_CapsByProject*SUMPRODUCT((Cap_Point&lt;=I611)*(Cap_Kind="Lean")*Cap_Ln)))</x:f>
        <x:v>13863.877308233004</x:v>
      </x:c>
      <x:c r="L611" s="10" t="n">
        <x:f>INDEX(tun_HousingCap,G611)*EXP(tun_CapsByProject*SUMPRODUCT((Cap_Point&lt;=I611)*(Cap_Kind="Housing")*Cap_Ln))</x:f>
        <x:v>12514.86067705494</x:v>
      </x:c>
      <x:c r="M611" s="10" t="n">
        <x:f>INDEX(tun_GroupCap,G611)*tun_CohesionFactor*EXP(tun_CapsByProject*SUMPRODUCT((Cap_Point&lt;=I611)*(Cap_Kind="Group")*Cap_Ln))</x:f>
        <x:v>1000000.000000001</x:v>
      </x:c>
      <x:c r="N611" s="32" t="n">
        <x:f>MIN(J611,L611,M611)</x:f>
        <x:v>12514.86067705494</x:v>
      </x:c>
      <x:c r="O611" s="10" t="n">
        <x:f>AE610*N611</x:f>
        <x:v>112633.74609349445</x:v>
      </x:c>
      <x:c r="P611" s="9" t="n">
        <x:f>MIN(1,(AB610/(AE610*IF(tun_GroupInCrowding=1,N611,MIN(J611,L611))))^tun_CrowdingExp)</x:f>
        <x:v>0.119431371568287</x:v>
      </x:c>
      <x:c r="Q611" s="9" t="n">
        <x:f>IF(D611=1,INDEX(tun_WinterMult,G611),1)</x:f>
        <x:v>1.05</x:v>
      </x:c>
      <x:c r="R611" s="9" t="n">
        <x:f>H611*Z610*tun_WomenShare*tun_BaseFertility*INDEX(tun_FertMult,G611)*Arch_Fertility*(1-P611)</x:f>
        <x:v>991.0754079910744</x:v>
      </x:c>
      <x:c r="S611" s="9" t="n">
        <x:f>H611*Y610*INDEX(tun_MortChild,G611)/4*Q611</x:f>
        <x:v>37.804247915345854</x:v>
      </x:c>
      <x:c r="T611" s="9" t="n">
        <x:f>H611*Z610*INDEX(tun_MortAdult,G611)*Arch_AdultMort/4*Q611</x:f>
        <x:v>24.79236786316121</x:v>
      </x:c>
      <x:c r="U611" s="9" t="n">
        <x:f>H611*AA610*INDEX(tun_MortElder,G611)/4*Q611</x:f>
        <x:v>134.7494150764758</x:v>
      </x:c>
      <x:c r="V611" s="9" t="n">
        <x:f>H611*MAX(0,AB610-O611)*tun_OvercapLoss</x:f>
        <x:v>0</x:v>
      </x:c>
      <x:c r="W611" s="9" t="n">
        <x:f>H611*Y610/(tun_ChildYears*4)</x:f>
        <x:v>571.4927878359161</x:v>
      </x:c>
      <x:c r="X611" s="9" t="n">
        <x:f>H611*Z610/(tun_AdultYears*4)</x:f>
        <x:v>253.89009588490742</x:v>
      </x:c>
      <x:c r="Y611" s="32" t="n">
        <x:f>Y610+R611-S611-W611-Y610*V611/AB610</x:f>
        <x:v>32385.374491051123</x:v>
      </x:c>
      <x:c r="Z611" s="32" t="n">
        <x:f>Z610+W611-X611-T611-Z610*V611/AB610</x:f>
        <x:v>31775.18221381637</x:v>
      </x:c>
      <x:c r="AA611" s="32" t="n">
        <x:f>AA610+X611-U611-AA610*V611/AB610</x:f>
        <x:v>15674.628712724829</x:v>
      </x:c>
      <x:c r="AB611" s="10" t="n">
        <x:f>Y611+Z611+AA611</x:f>
        <x:v>79835.18541759232</x:v>
      </x:c>
      <x:c r="AC611" s="8" t="n">
        <x:f>IF(AND(tun_WinterTrigger=1,D611=1,AB610/AE610&gt;=K611),1,0)</x:f>
        <x:v>0</x:v>
      </x:c>
      <x:c r="AD611" s="8" t="n">
        <x:f>H611*IF(AND(OR(AB610/AE610&gt;=tun_FissionTrigger*N611,AC611=1),AB610/AE610*tun_DaughterShare&gt;=tun_MinDaughter),MAX(1,ROUND(AE610*tun_FissionRate,0)),0)</x:f>
        <x:v>0</x:v>
      </x:c>
      <x:c r="AE611" s="8" t="n">
        <x:f>IF(H611=1,MAX(1,MIN(INDEX(tun_Smax,G611),AE610+AD611)),AE610)</x:f>
        <x:v>9</x:v>
      </x:c>
      <x:c r="AF611" s="8" t="n">
        <x:f>MAX(0,AE611-AE610)</x:f>
        <x:v>0</x:v>
      </x:c>
      <x:c r="AG611" s="9" t="str">
        <x:f>IF(AF611&gt;0,B611,"")</x:f>
      </x:c>
      <x:c r="AH611" s="9" t="n">
        <x:f>IF(F611&gt;=1,1,(1+tun_LowTiesShare*(AE611-1))/AE611)</x:f>
        <x:v>1</x:v>
      </x:c>
      <x:c r="AI611" s="32" t="n">
        <x:f>(Z611+tun_ElderCommons*INDEX(LM_Elder,G611)*AA611)*AH611</x:f>
        <x:v>90555.03988653448</x:v>
      </x:c>
      <x:c r="AJ611" s="32" t="n">
        <x:f>H611*tun_CommonsCoef*AI611^tun_CommonsExp*INDEX(LM_Commons,G611)</x:f>
        <x:v>236519.99518854867</x:v>
      </x:c>
      <x:c r="AK611" s="32" t="n">
        <x:f>H611*tun_RoleScale*Arch_Roles*(AE611*(INDEX(tun_ElderRolePerSett,G611)*tun_OutElder*INDEX(LM_Elder,G611)+INDEX(tun_ShamanPerSett,G611)*tun_OutShaman)+Z611*(INDEX(tun_PriestShare,G611)*tun_OutPriest+INDEX(tun_ScribeShare,G611)*tun_OutScribe*INDEX(LM_Scribe,G611)+INDEX(tun_ScholarShare,G611)*tun_OutScholar*INDEX(LM_Scholar,G611)+INDEX(tun_ResearcherShare,G611)*tun_OutResearcher*INDEX(LM_Researcher,G611)))</x:f>
        <x:v>65890.82465007075</x:v>
      </x:c>
      <x:c r="AL611" s="32" t="n">
        <x:f>H611*tun_RoleScale*Arch_Roles*AE611*INDEX(tun_MonasteryPerSett,G611)*tun_OutMonastery*INDEX(LM_Monastery,G611)</x:f>
        <x:v>31.680000000000003</x:v>
      </x:c>
      <x:c r="AM611" s="32" t="n">
        <x:f>(AJ611+AK611+AL611)/4*INDEX(LM_All,G611)*INDEX(tun_Boon,G611)*Arch_Insight</x:f>
        <x:v>217907.2428346168</x:v>
      </x:c>
      <x:c r="AN611" s="32" t="n">
        <x:f>H611*(tun_KHPerAdult*Z611+tun_KHOfCommons*AJ611/4*INDEX(LM_All,G611))*tun_KHUsable*Arch_KH</x:f>
        <x:v>34266.66740440953</x:v>
      </x:c>
      <x:c r="AO611" s="32" t="n">
        <x:f>MIN(AP610+AN611,AM611*tun_KHMaxRatio)</x:f>
        <x:v>34266.66740440953</x:v>
      </x:c>
      <x:c r="AP611" s="32" t="n">
        <x:f>AP610+AN611-AO611</x:f>
        <x:v>0</x:v>
      </x:c>
      <x:c r="AQ611" s="32" t="n">
        <x:f>AM611+AO611</x:f>
        <x:v>252173.91023902633</x:v>
      </x:c>
      <x:c r="AR611" s="10" t="n">
        <x:f>IF(H611=1,INDEX(tun_Req,G611),0)</x:f>
        <x:v>24497531.045680594</x:v>
      </x:c>
      <x:c r="AS611" s="32" t="n">
        <x:f>IF(H611=1,IF(E611=1,AS610-AR610,AS610)+AQ611,0)</x:f>
        <x:v>20373185.67491703</x:v>
      </x:c>
      <x:c r="AT611" s="11" t="n">
        <x:f>IF(AR611&gt;0,MIN(1,AS611/AR611),1)</x:f>
        <x:v>0.8316424066134303</x:v>
      </x:c>
      <x:c r="AU611" s="10" t="n">
        <x:f>AB611/INDEX(tun_RepScale,G611)</x:f>
        <x:v>319.3407416703693</x:v>
      </x:c>
      <x:c r="AV611" s="32" t="n">
        <x:f>AM611*60/tun_SeasonSeconds</x:f>
        <x:v>871628.9713384672</x:v>
      </x:c>
    </x:row>
    <x:row r="612">
      <x:c r="A612" s="8" t="n">
        <x:f>A611+1</x:f>
        <x:v>609</x:v>
      </x:c>
      <x:c r="B612" s="9" t="n">
        <x:f>A612*tun_SeasonSeconds/60</x:f>
        <x:v>152.25</x:v>
      </x:c>
      <x:c r="C612" s="9" t="n">
        <x:f>A612/4</x:f>
        <x:v>152.25</x:v>
      </x:c>
      <x:c r="D612" s="8" t="n">
        <x:f>IF(MOD(A612,4)=0,1,0)</x:f>
        <x:v>0</x:v>
      </x:c>
      <x:c r="E612" s="8" t="n">
        <x:f>IF(AND(F611&lt;=9,AS611&gt;=AR611),1,0)</x:f>
        <x:v>0</x:v>
      </x:c>
      <x:c r="F612" s="8" t="n">
        <x:f>MIN(10,F611+E612)</x:f>
        <x:v>8</x:v>
      </x:c>
      <x:c r="G612" s="8" t="n">
        <x:f>MIN(F612,9)+1</x:f>
        <x:v>9</x:v>
      </x:c>
      <x:c r="H612" s="8" t="n">
        <x:f>IF(F612&lt;=9,1,0)</x:f>
        <x:v>1</x:v>
      </x:c>
      <x:c r="I612" s="9" t="n">
        <x:f>MIN(10,F611+IF(AR611&gt;0,MIN(1,AS611/AR611),1))</x:f>
        <x:v>8.83164240661343</x:v>
      </x:c>
      <x:c r="J612" s="32" t="n">
        <x:f>INDEX(tun_FoodCap,G612)*Arch_FoodCap*EXP(tun_CapsByProject*SUMPRODUCT((Cap_Point&lt;=I612)*(Cap_Kind="Food")*Cap_Ln))</x:f>
        <x:v>13863.877308233004</x:v>
      </x:c>
      <x:c r="K612" s="32" t="n">
        <x:f>J612*MIN(1,tun_LeanBase*EXP(tun_CapsByProject*SUMPRODUCT((Cap_Point&lt;=I612)*(Cap_Kind="Lean")*Cap_Ln)))</x:f>
        <x:v>13863.877308233004</x:v>
      </x:c>
      <x:c r="L612" s="10" t="n">
        <x:f>INDEX(tun_HousingCap,G612)*EXP(tun_CapsByProject*SUMPRODUCT((Cap_Point&lt;=I612)*(Cap_Kind="Housing")*Cap_Ln))</x:f>
        <x:v>12514.86067705494</x:v>
      </x:c>
      <x:c r="M612" s="10" t="n">
        <x:f>INDEX(tun_GroupCap,G612)*tun_CohesionFactor*EXP(tun_CapsByProject*SUMPRODUCT((Cap_Point&lt;=I612)*(Cap_Kind="Group")*Cap_Ln))</x:f>
        <x:v>1000000.000000001</x:v>
      </x:c>
      <x:c r="N612" s="32" t="n">
        <x:f>MIN(J612,L612,M612)</x:f>
        <x:v>12514.86067705494</x:v>
      </x:c>
      <x:c r="O612" s="10" t="n">
        <x:f>AE611*N612</x:f>
        <x:v>112633.74609349445</x:v>
      </x:c>
      <x:c r="P612" s="9" t="n">
        <x:f>MIN(1,(AB611/(AE611*IF(tun_GroupInCrowding=1,N612,MIN(J612,L612))))^tun_CrowdingExp)</x:f>
        <x:v>0.12681039583061138</x:v>
      </x:c>
      <x:c r="Q612" s="9" t="n">
        <x:f>IF(D612=1,INDEX(tun_WinterMult,G612),1)</x:f>
        <x:v>1</x:v>
      </x:c>
      <x:c r="R612" s="9" t="n">
        <x:f>H612*Z611*tun_WomenShare*tun_BaseFertility*INDEX(tun_FertMult,G612)*Arch_Fertility*(1-P612)</x:f>
        <x:v>991.9108763740074</x:v>
      </x:c>
      <x:c r="S612" s="9" t="n">
        <x:f>H612*Y611*INDEX(tun_MortChild,G612)/4*Q612</x:f>
        <x:v>36.43354630243251</x:v>
      </x:c>
      <x:c r="T612" s="9" t="n">
        <x:f>H612*Z611*INDEX(tun_MortAdult,G612)*Arch_AdultMort/4*Q612</x:f>
        <x:v>23.831386660362277</x:v>
      </x:c>
      <x:c r="U612" s="9" t="n">
        <x:f>H612*AA611*INDEX(tun_MortElder,G612)/4*Q612</x:f>
        <x:v>129.31568687997984</x:v>
      </x:c>
      <x:c r="V612" s="9" t="n">
        <x:f>H612*MAX(0,AB611-O612)*tun_OvercapLoss</x:f>
        <x:v>0</x:v>
      </x:c>
      <x:c r="W612" s="9" t="n">
        <x:f>H612*Y611/(tun_ChildYears*4)</x:f>
        <x:v>578.31025876877</x:v>
      </x:c>
      <x:c r="X612" s="9" t="n">
        <x:f>H612*Z611/(tun_AdultYears*4)</x:f>
        <x:v>256.251469466261</x:v>
      </x:c>
      <x:c r="Y612" s="32" t="n">
        <x:f>Y611+R612-S612-W612-Y611*V612/AB611</x:f>
        <x:v>32762.541562353927</x:v>
      </x:c>
      <x:c r="Z612" s="32" t="n">
        <x:f>Z611+W612-X612-T612-Z611*V612/AB611</x:f>
        <x:v>32073.409616458517</x:v>
      </x:c>
      <x:c r="AA612" s="32" t="n">
        <x:f>AA611+X612-U612-AA611*V612/AB611</x:f>
        <x:v>15801.56449531111</x:v>
      </x:c>
      <x:c r="AB612" s="10" t="n">
        <x:f>Y612+Z612+AA612</x:f>
        <x:v>80637.51567412356</x:v>
      </x:c>
      <x:c r="AC612" s="8" t="n">
        <x:f>IF(AND(tun_WinterTrigger=1,D612=1,AB611/AE611&gt;=K612),1,0)</x:f>
        <x:v>0</x:v>
      </x:c>
      <x:c r="AD612" s="8" t="n">
        <x:f>H612*IF(AND(OR(AB611/AE611&gt;=tun_FissionTrigger*N612,AC612=1),AB611/AE611*tun_DaughterShare&gt;=tun_MinDaughter),MAX(1,ROUND(AE611*tun_FissionRate,0)),0)</x:f>
        <x:v>0</x:v>
      </x:c>
      <x:c r="AE612" s="8" t="n">
        <x:f>IF(H612=1,MAX(1,MIN(INDEX(tun_Smax,G612),AE611+AD612)),AE611)</x:f>
        <x:v>9</x:v>
      </x:c>
      <x:c r="AF612" s="8" t="n">
        <x:f>MAX(0,AE612-AE611)</x:f>
        <x:v>0</x:v>
      </x:c>
      <x:c r="AG612" s="9" t="str">
        <x:f>IF(AF612&gt;0,B612,"")</x:f>
      </x:c>
      <x:c r="AH612" s="9" t="n">
        <x:f>IF(F612&gt;=1,1,(1+tun_LowTiesShare*(AE612-1))/AE612)</x:f>
        <x:v>1</x:v>
      </x:c>
      <x:c r="AI612" s="32" t="n">
        <x:f>(Z612+tun_ElderCommons*INDEX(LM_Elder,G612)*AA612)*AH612</x:f>
        <x:v>91329.27647387517</x:v>
      </x:c>
      <x:c r="AJ612" s="32" t="n">
        <x:f>H612*tun_CommonsCoef*AI612^tun_CommonsExp*INDEX(LM_Commons,G612)</x:f>
        <x:v>238237.78563560147</x:v>
      </x:c>
      <x:c r="AK612" s="32" t="n">
        <x:f>H612*tun_RoleScale*Arch_Roles*(AE612*(INDEX(tun_ElderRolePerSett,G612)*tun_OutElder*INDEX(LM_Elder,G612)+INDEX(tun_ShamanPerSett,G612)*tun_OutShaman)+Z612*(INDEX(tun_PriestShare,G612)*tun_OutPriest+INDEX(tun_ScribeShare,G612)*tun_OutScribe*INDEX(LM_Scribe,G612)+INDEX(tun_ScholarShare,G612)*tun_OutScholar*INDEX(LM_Scholar,G612)+INDEX(tun_ResearcherShare,G612)*tun_OutResearcher*INDEX(LM_Researcher,G612)))</x:f>
        <x:v>66506.96526266447</x:v>
      </x:c>
      <x:c r="AL612" s="32" t="n">
        <x:f>H612*tun_RoleScale*Arch_Roles*AE612*INDEX(tun_MonasteryPerSett,G612)*tun_OutMonastery*INDEX(LM_Monastery,G612)</x:f>
        <x:v>31.680000000000003</x:v>
      </x:c>
      <x:c r="AM612" s="32" t="n">
        <x:f>(AJ612+AK612+AL612)/4*INDEX(LM_All,G612)*INDEX(tun_Boon,G612)*Arch_Insight</x:f>
        <x:v>219588.82026650885</x:v>
      </x:c>
      <x:c r="AN612" s="32" t="n">
        <x:f>H612*(tun_KHPerAdult*Z612+tun_KHOfCommons*AJ612/4*INDEX(LM_All,G612))*tun_KHUsable*Arch_KH</x:f>
        <x:v>34515.538346051086</x:v>
      </x:c>
      <x:c r="AO612" s="32" t="n">
        <x:f>MIN(AP611+AN612,AM612*tun_KHMaxRatio)</x:f>
        <x:v>34515.538346051086</x:v>
      </x:c>
      <x:c r="AP612" s="32" t="n">
        <x:f>AP611+AN612-AO612</x:f>
        <x:v>0</x:v>
      </x:c>
      <x:c r="AQ612" s="32" t="n">
        <x:f>AM612+AO612</x:f>
        <x:v>254104.35861255994</x:v>
      </x:c>
      <x:c r="AR612" s="10" t="n">
        <x:f>IF(H612=1,INDEX(tun_Req,G612),0)</x:f>
        <x:v>24497531.045680594</x:v>
      </x:c>
      <x:c r="AS612" s="32" t="n">
        <x:f>IF(H612=1,IF(E612=1,AS611-AR611,AS611)+AQ612,0)</x:f>
        <x:v>20627290.03352959</x:v>
      </x:c>
      <x:c r="AT612" s="11" t="n">
        <x:f>IF(AR612&gt;0,MIN(1,AS612/AR612),1)</x:f>
        <x:v>0.842015058377346</x:v>
      </x:c>
      <x:c r="AU612" s="10" t="n">
        <x:f>AB612/INDEX(tun_RepScale,G612)</x:f>
        <x:v>322.5500626964942</x:v>
      </x:c>
      <x:c r="AV612" s="32" t="n">
        <x:f>AM612*60/tun_SeasonSeconds</x:f>
        <x:v>878355.2810660354</x:v>
      </x:c>
    </x:row>
    <x:row r="613">
      <x:c r="A613" s="8" t="n">
        <x:f>A612+1</x:f>
        <x:v>610</x:v>
      </x:c>
      <x:c r="B613" s="9" t="n">
        <x:f>A613*tun_SeasonSeconds/60</x:f>
        <x:v>152.5</x:v>
      </x:c>
      <x:c r="C613" s="9" t="n">
        <x:f>A613/4</x:f>
        <x:v>152.5</x:v>
      </x:c>
      <x:c r="D613" s="8" t="n">
        <x:f>IF(MOD(A613,4)=0,1,0)</x:f>
        <x:v>0</x:v>
      </x:c>
      <x:c r="E613" s="8" t="n">
        <x:f>IF(AND(F612&lt;=9,AS612&gt;=AR612),1,0)</x:f>
        <x:v>0</x:v>
      </x:c>
      <x:c r="F613" s="8" t="n">
        <x:f>MIN(10,F612+E613)</x:f>
        <x:v>8</x:v>
      </x:c>
      <x:c r="G613" s="8" t="n">
        <x:f>MIN(F613,9)+1</x:f>
        <x:v>9</x:v>
      </x:c>
      <x:c r="H613" s="8" t="n">
        <x:f>IF(F613&lt;=9,1,0)</x:f>
        <x:v>1</x:v>
      </x:c>
      <x:c r="I613" s="9" t="n">
        <x:f>MIN(10,F612+IF(AR612&gt;0,MIN(1,AS612/AR612),1))</x:f>
        <x:v>8.842015058377346</x:v>
      </x:c>
      <x:c r="J613" s="32" t="n">
        <x:f>INDEX(tun_FoodCap,G613)*Arch_FoodCap*EXP(tun_CapsByProject*SUMPRODUCT((Cap_Point&lt;=I613)*(Cap_Kind="Food")*Cap_Ln))</x:f>
        <x:v>13863.877308233004</x:v>
      </x:c>
      <x:c r="K613" s="32" t="n">
        <x:f>J613*MIN(1,tun_LeanBase*EXP(tun_CapsByProject*SUMPRODUCT((Cap_Point&lt;=I613)*(Cap_Kind="Lean")*Cap_Ln)))</x:f>
        <x:v>13863.877308233004</x:v>
      </x:c>
      <x:c r="L613" s="10" t="n">
        <x:f>INDEX(tun_HousingCap,G613)*EXP(tun_CapsByProject*SUMPRODUCT((Cap_Point&lt;=I613)*(Cap_Kind="Housing")*Cap_Ln))</x:f>
        <x:v>12514.86067705494</x:v>
      </x:c>
      <x:c r="M613" s="10" t="n">
        <x:f>INDEX(tun_GroupCap,G613)*tun_CohesionFactor*EXP(tun_CapsByProject*SUMPRODUCT((Cap_Point&lt;=I613)*(Cap_Kind="Group")*Cap_Ln))</x:f>
        <x:v>1000000.000000001</x:v>
      </x:c>
      <x:c r="N613" s="32" t="n">
        <x:f>MIN(J613,L613,M613)</x:f>
        <x:v>12514.86067705494</x:v>
      </x:c>
      <x:c r="O613" s="10" t="n">
        <x:f>AE612*N613</x:f>
        <x:v>112633.74609349445</x:v>
      </x:c>
      <x:c r="P613" s="9" t="n">
        <x:f>MIN(1,(AB612/(AE612*IF(tun_GroupInCrowding=1,N613,MIN(J613,L613))))^tun_CrowdingExp)</x:f>
        <x:v>0.1346516453054063</x:v>
      </x:c>
      <x:c r="Q613" s="9" t="n">
        <x:f>IF(D613=1,INDEX(tun_WinterMult,G613),1)</x:f>
        <x:v>1</x:v>
      </x:c>
      <x:c r="R613" s="9" t="n">
        <x:f>H613*Z612*tun_WomenShare*tun_BaseFertility*INDEX(tun_FertMult,G613)*Arch_Fertility*(1-P613)</x:f>
        <x:v>992.229532617471</x:v>
      </x:c>
      <x:c r="S613" s="9" t="n">
        <x:f>H613*Y612*INDEX(tun_MortChild,G613)/4*Q613</x:f>
        <x:v>36.857859257648165</x:v>
      </x:c>
      <x:c r="T613" s="9" t="n">
        <x:f>H613*Z612*INDEX(tun_MortAdult,G613)*Arch_AdultMort/4*Q613</x:f>
        <x:v>24.05505721234389</x:v>
      </x:c>
      <x:c r="U613" s="9" t="n">
        <x:f>H613*AA612*INDEX(tun_MortElder,G613)/4*Q613</x:f>
        <x:v>130.36290708631665</x:v>
      </x:c>
      <x:c r="V613" s="9" t="n">
        <x:f>H613*MAX(0,AB612-O613)*tun_OvercapLoss</x:f>
        <x:v>0</x:v>
      </x:c>
      <x:c r="W613" s="9" t="n">
        <x:f>H613*Y612/(tun_ChildYears*4)</x:f>
        <x:v>585.0453850420344</x:v>
      </x:c>
      <x:c r="X613" s="9" t="n">
        <x:f>H613*Z612/(tun_AdultYears*4)</x:f>
        <x:v>258.65652916498806</x:v>
      </x:c>
      <x:c r="Y613" s="32" t="n">
        <x:f>Y612+R613-S613-W613-Y612*V613/AB612</x:f>
        <x:v>33132.86785067172</x:v>
      </x:c>
      <x:c r="Z613" s="32" t="n">
        <x:f>Z612+W613-X613-T613-Z612*V613/AB612</x:f>
        <x:v>32375.74341512322</x:v>
      </x:c>
      <x:c r="AA613" s="32" t="n">
        <x:f>AA612+X613-U613-AA612*V613/AB612</x:f>
        <x:v>15929.85811738978</x:v>
      </x:c>
      <x:c r="AB613" s="10" t="n">
        <x:f>Y613+Z613+AA613</x:f>
        <x:v>81438.46938318473</x:v>
      </x:c>
      <x:c r="AC613" s="8" t="n">
        <x:f>IF(AND(tun_WinterTrigger=1,D613=1,AB612/AE612&gt;=K613),1,0)</x:f>
        <x:v>0</x:v>
      </x:c>
      <x:c r="AD613" s="8" t="n">
        <x:f>H613*IF(AND(OR(AB612/AE612&gt;=tun_FissionTrigger*N613,AC613=1),AB612/AE612*tun_DaughterShare&gt;=tun_MinDaughter),MAX(1,ROUND(AE612*tun_FissionRate,0)),0)</x:f>
        <x:v>0</x:v>
      </x:c>
      <x:c r="AE613" s="8" t="n">
        <x:f>IF(H613=1,MAX(1,MIN(INDEX(tun_Smax,G613),AE612+AD613)),AE612)</x:f>
        <x:v>9</x:v>
      </x:c>
      <x:c r="AF613" s="8" t="n">
        <x:f>MAX(0,AE613-AE612)</x:f>
        <x:v>0</x:v>
      </x:c>
      <x:c r="AG613" s="9" t="str">
        <x:f>IF(AF613&gt;0,B613,"")</x:f>
      </x:c>
      <x:c r="AH613" s="9" t="n">
        <x:f>IF(F613&gt;=1,1,(1+tun_LowTiesShare*(AE613-1))/AE613)</x:f>
        <x:v>1</x:v>
      </x:c>
      <x:c r="AI613" s="32" t="n">
        <x:f>(Z613+tun_ElderCommons*INDEX(LM_Elder,G613)*AA613)*AH613</x:f>
        <x:v>92112.71135533489</x:v>
      </x:c>
      <x:c r="AJ613" s="32" t="n">
        <x:f>H613*tun_CommonsCoef*AI613^tun_CommonsExp*INDEX(LM_Commons,G613)</x:f>
        <x:v>239973.76226385744</x:v>
      </x:c>
      <x:c r="AK613" s="32" t="n">
        <x:f>H613*tun_RoleScale*Arch_Roles*(AE613*(INDEX(tun_ElderRolePerSett,G613)*tun_OutElder*INDEX(LM_Elder,G613)+INDEX(tun_ShamanPerSett,G613)*tun_OutShaman)+Z613*(INDEX(tun_PriestShare,G613)*tun_OutPriest+INDEX(tun_ScribeShare,G613)*tun_OutScribe*INDEX(LM_Scribe,G613)+INDEX(tun_ScholarShare,G613)*tun_OutScholar*INDEX(LM_Scholar,G613)+INDEX(tun_ResearcherShare,G613)*tun_OutResearcher*INDEX(LM_Researcher,G613)))</x:f>
        <x:v>67131.58972797752</x:v>
      </x:c>
      <x:c r="AL613" s="32" t="n">
        <x:f>H613*tun_RoleScale*Arch_Roles*AE613*INDEX(tun_MonasteryPerSett,G613)*tun_OutMonastery*INDEX(LM_Monastery,G613)</x:f>
        <x:v>31.680000000000003</x:v>
      </x:c>
      <x:c r="AM613" s="32" t="n">
        <x:f>(AJ613+AK613+AL613)/4*INDEX(LM_All,G613)*INDEX(tun_Boon,G613)*Arch_Insight</x:f>
        <x:v>221289.61323048212</x:v>
      </x:c>
      <x:c r="AN613" s="32" t="n">
        <x:f>H613*(tun_KHPerAdult*Z613+tun_KHOfCommons*AJ613/4*INDEX(LM_All,G613))*tun_KHUsable*Arch_KH</x:f>
        <x:v>34767.044074752186</x:v>
      </x:c>
      <x:c r="AO613" s="32" t="n">
        <x:f>MIN(AP612+AN613,AM613*tun_KHMaxRatio)</x:f>
        <x:v>34767.044074752186</x:v>
      </x:c>
      <x:c r="AP613" s="32" t="n">
        <x:f>AP612+AN613-AO613</x:f>
        <x:v>0</x:v>
      </x:c>
      <x:c r="AQ613" s="32" t="n">
        <x:f>AM613+AO613</x:f>
        <x:v>256056.65730523432</x:v>
      </x:c>
      <x:c r="AR613" s="10" t="n">
        <x:f>IF(H613=1,INDEX(tun_Req,G613),0)</x:f>
        <x:v>24497531.045680594</x:v>
      </x:c>
      <x:c r="AS613" s="32" t="n">
        <x:f>IF(H613=1,IF(E613=1,AS612-AR612,AS612)+AQ613,0)</x:f>
        <x:v>20883346.690834824</x:v>
      </x:c>
      <x:c r="AT613" s="11" t="n">
        <x:f>IF(AR613&gt;0,MIN(1,AS613/AR613),1)</x:f>
        <x:v>0.8524674038332111</x:v>
      </x:c>
      <x:c r="AU613" s="10" t="n">
        <x:f>AB613/INDEX(tun_RepScale,G613)</x:f>
        <x:v>325.7538775327389</x:v>
      </x:c>
      <x:c r="AV613" s="32" t="n">
        <x:f>AM613*60/tun_SeasonSeconds</x:f>
        <x:v>885158.4529219285</x:v>
      </x:c>
    </x:row>
    <x:row r="614">
      <x:c r="A614" s="8" t="n">
        <x:f>A613+1</x:f>
        <x:v>611</x:v>
      </x:c>
      <x:c r="B614" s="9" t="n">
        <x:f>A614*tun_SeasonSeconds/60</x:f>
        <x:v>152.75</x:v>
      </x:c>
      <x:c r="C614" s="9" t="n">
        <x:f>A614/4</x:f>
        <x:v>152.75</x:v>
      </x:c>
      <x:c r="D614" s="8" t="n">
        <x:f>IF(MOD(A614,4)=0,1,0)</x:f>
        <x:v>0</x:v>
      </x:c>
      <x:c r="E614" s="8" t="n">
        <x:f>IF(AND(F613&lt;=9,AS613&gt;=AR613),1,0)</x:f>
        <x:v>0</x:v>
      </x:c>
      <x:c r="F614" s="8" t="n">
        <x:f>MIN(10,F613+E614)</x:f>
        <x:v>8</x:v>
      </x:c>
      <x:c r="G614" s="8" t="n">
        <x:f>MIN(F614,9)+1</x:f>
        <x:v>9</x:v>
      </x:c>
      <x:c r="H614" s="8" t="n">
        <x:f>IF(F614&lt;=9,1,0)</x:f>
        <x:v>1</x:v>
      </x:c>
      <x:c r="I614" s="9" t="n">
        <x:f>MIN(10,F613+IF(AR613&gt;0,MIN(1,AS613/AR613),1))</x:f>
        <x:v>8.852467403833211</x:v>
      </x:c>
      <x:c r="J614" s="32" t="n">
        <x:f>INDEX(tun_FoodCap,G614)*Arch_FoodCap*EXP(tun_CapsByProject*SUMPRODUCT((Cap_Point&lt;=I614)*(Cap_Kind="Food")*Cap_Ln))</x:f>
        <x:v>13863.877308233004</x:v>
      </x:c>
      <x:c r="K614" s="32" t="n">
        <x:f>J614*MIN(1,tun_LeanBase*EXP(tun_CapsByProject*SUMPRODUCT((Cap_Point&lt;=I614)*(Cap_Kind="Lean")*Cap_Ln)))</x:f>
        <x:v>13863.877308233004</x:v>
      </x:c>
      <x:c r="L614" s="10" t="n">
        <x:f>INDEX(tun_HousingCap,G614)*EXP(tun_CapsByProject*SUMPRODUCT((Cap_Point&lt;=I614)*(Cap_Kind="Housing")*Cap_Ln))</x:f>
        <x:v>12514.86067705494</x:v>
      </x:c>
      <x:c r="M614" s="10" t="n">
        <x:f>INDEX(tun_GroupCap,G614)*tun_CohesionFactor*EXP(tun_CapsByProject*SUMPRODUCT((Cap_Point&lt;=I614)*(Cap_Kind="Group")*Cap_Ln))</x:f>
        <x:v>1000000.000000001</x:v>
      </x:c>
      <x:c r="N614" s="32" t="n">
        <x:f>MIN(J614,L614,M614)</x:f>
        <x:v>12514.86067705494</x:v>
      </x:c>
      <x:c r="O614" s="10" t="n">
        <x:f>AE613*N614</x:f>
        <x:v>112633.74609349445</x:v>
      </x:c>
      <x:c r="P614" s="9" t="n">
        <x:f>MIN(1,(AB613/(AE613*IF(tun_GroupInCrowding=1,N614,MIN(J614,L614))))^tun_CrowdingExp)</x:f>
        <x:v>0.14287835589709993</x:v>
      </x:c>
      <x:c r="Q614" s="9" t="n">
        <x:f>IF(D614=1,INDEX(tun_WinterMult,G614),1)</x:f>
        <x:v>1</x:v>
      </x:c>
      <x:c r="R614" s="9" t="n">
        <x:f>H614*Z613*tun_WomenShare*tun_BaseFertility*INDEX(tun_FertMult,G614)*Arch_Fertility*(1-P614)</x:f>
        <x:v>992.0607276946101</x:v>
      </x:c>
      <x:c r="S614" s="9" t="n">
        <x:f>H614*Y613*INDEX(tun_MortChild,G614)/4*Q614</x:f>
        <x:v>37.27447633200568</x:v>
      </x:c>
      <x:c r="T614" s="9" t="n">
        <x:f>H614*Z613*INDEX(tun_MortAdult,G614)*Arch_AdultMort/4*Q614</x:f>
        <x:v>24.281807561342415</x:v>
      </x:c>
      <x:c r="U614" s="9" t="n">
        <x:f>H614*AA613*INDEX(tun_MortElder,G614)/4*Q614</x:f>
        <x:v>131.4213294684657</x:v>
      </x:c>
      <x:c r="V614" s="9" t="n">
        <x:f>H614*MAX(0,AB613-O614)*tun_OvercapLoss</x:f>
        <x:v>0</x:v>
      </x:c>
      <x:c r="W614" s="9" t="n">
        <x:f>H614*Y613/(tun_ChildYears*4)</x:f>
        <x:v>591.6583544762807</x:v>
      </x:c>
      <x:c r="X614" s="9" t="n">
        <x:f>H614*Z613/(tun_AdultYears*4)</x:f>
        <x:v>261.0947049606711</x:v>
      </x:c>
      <x:c r="Y614" s="32" t="n">
        <x:f>Y613+R614-S614-W614-Y613*V614/AB613</x:f>
        <x:v>33495.99574755804</x:v>
      </x:c>
      <x:c r="Z614" s="32" t="n">
        <x:f>Z613+W614-X614-T614-Z613*V614/AB613</x:f>
        <x:v>32682.025257077486</x:v>
      </x:c>
      <x:c r="AA614" s="32" t="n">
        <x:f>AA613+X614-U614-AA613*V614/AB613</x:f>
        <x:v>16059.531492881986</x:v>
      </x:c>
      <x:c r="AB614" s="10" t="n">
        <x:f>Y614+Z614+AA614</x:f>
        <x:v>82237.5524975175</x:v>
      </x:c>
      <x:c r="AC614" s="8" t="n">
        <x:f>IF(AND(tun_WinterTrigger=1,D614=1,AB613/AE613&gt;=K614),1,0)</x:f>
        <x:v>0</x:v>
      </x:c>
      <x:c r="AD614" s="8" t="n">
        <x:f>H614*IF(AND(OR(AB613/AE613&gt;=tun_FissionTrigger*N614,AC614=1),AB613/AE613*tun_DaughterShare&gt;=tun_MinDaughter),MAX(1,ROUND(AE613*tun_FissionRate,0)),0)</x:f>
        <x:v>0</x:v>
      </x:c>
      <x:c r="AE614" s="8" t="n">
        <x:f>IF(H614=1,MAX(1,MIN(INDEX(tun_Smax,G614),AE613+AD614)),AE613)</x:f>
        <x:v>9</x:v>
      </x:c>
      <x:c r="AF614" s="8" t="n">
        <x:f>MAX(0,AE614-AE613)</x:f>
        <x:v>0</x:v>
      </x:c>
      <x:c r="AG614" s="9" t="str">
        <x:f>IF(AF614&gt;0,B614,"")</x:f>
      </x:c>
      <x:c r="AH614" s="9" t="n">
        <x:f>IF(F614&gt;=1,1,(1+tun_LowTiesShare*(AE614-1))/AE614)</x:f>
        <x:v>1</x:v>
      </x:c>
      <x:c r="AI614" s="32" t="n">
        <x:f>(Z614+tun_ElderCommons*INDEX(LM_Elder,G614)*AA614)*AH614</x:f>
        <x:v>92905.26835538493</x:v>
      </x:c>
      <x:c r="AJ614" s="32" t="n">
        <x:f>H614*tun_CommonsCoef*AI614^tun_CommonsExp*INDEX(LM_Commons,G614)</x:f>
        <x:v>241727.70011016377</x:v>
      </x:c>
      <x:c r="AK614" s="32" t="n">
        <x:f>H614*tun_RoleScale*Arch_Roles*(AE614*(INDEX(tun_ElderRolePerSett,G614)*tun_OutElder*INDEX(LM_Elder,G614)+INDEX(tun_ShamanPerSett,G614)*tun_OutShaman)+Z614*(INDEX(tun_PriestShare,G614)*tun_OutPriest+INDEX(tun_ScribeShare,G614)*tun_OutScribe*INDEX(LM_Scribe,G614)+INDEX(tun_ScholarShare,G614)*tun_OutScholar*INDEX(LM_Scholar,G614)+INDEX(tun_ResearcherShare,G614)*tun_OutResearcher*INDEX(LM_Researcher,G614)))</x:f>
        <x:v>67764.3708877775</x:v>
      </x:c>
      <x:c r="AL614" s="32" t="n">
        <x:f>H614*tun_RoleScale*Arch_Roles*AE614*INDEX(tun_MonasteryPerSett,G614)*tun_OutMonastery*INDEX(LM_Monastery,G614)</x:f>
        <x:v>31.680000000000003</x:v>
      </x:c>
      <x:c r="AM614" s="32" t="n">
        <x:f>(AJ614+AK614+AL614)/4*INDEX(LM_All,G614)*INDEX(tun_Boon,G614)*Arch_Insight</x:f>
        <x:v>223009.22392778532</x:v>
      </x:c>
      <x:c r="AN614" s="32" t="n">
        <x:f>H614*(tun_KHPerAdult*Z614+tun_KHOfCommons*AJ614/4*INDEX(LM_All,G614))*tun_KHUsable*Arch_KH</x:f>
        <x:v>35021.15199818366</x:v>
      </x:c>
      <x:c r="AO614" s="32" t="n">
        <x:f>MIN(AP613+AN614,AM614*tun_KHMaxRatio)</x:f>
        <x:v>35021.15199818366</x:v>
      </x:c>
      <x:c r="AP614" s="32" t="n">
        <x:f>AP613+AN614-AO614</x:f>
        <x:v>0</x:v>
      </x:c>
      <x:c r="AQ614" s="32" t="n">
        <x:f>AM614+AO614</x:f>
        <x:v>258030.37592596898</x:v>
      </x:c>
      <x:c r="AR614" s="10" t="n">
        <x:f>IF(H614=1,INDEX(tun_Req,G614),0)</x:f>
        <x:v>24497531.045680594</x:v>
      </x:c>
      <x:c r="AS614" s="32" t="n">
        <x:f>IF(H614=1,IF(E614=1,AS613-AR613,AS613)+AQ614,0)</x:f>
        <x:v>21141377.066760793</x:v>
      </x:c>
      <x:c r="AT614" s="11" t="n">
        <x:f>IF(AR614&gt;0,MIN(1,AS614/AR614),1)</x:f>
        <x:v>0.8630003173519171</x:v>
      </x:c>
      <x:c r="AU614" s="10" t="n">
        <x:f>AB614/INDEX(tun_RepScale,G614)</x:f>
        <x:v>328.95020999007005</x:v>
      </x:c>
      <x:c r="AV614" s="32" t="n">
        <x:f>AM614*60/tun_SeasonSeconds</x:f>
        <x:v>892036.8957111413</x:v>
      </x:c>
    </x:row>
    <x:row r="615">
      <x:c r="A615" s="8" t="n">
        <x:f>A614+1</x:f>
        <x:v>612</x:v>
      </x:c>
      <x:c r="B615" s="9" t="n">
        <x:f>A615*tun_SeasonSeconds/60</x:f>
        <x:v>153</x:v>
      </x:c>
      <x:c r="C615" s="9" t="n">
        <x:f>A615/4</x:f>
        <x:v>153</x:v>
      </x:c>
      <x:c r="D615" s="8" t="n">
        <x:f>IF(MOD(A615,4)=0,1,0)</x:f>
        <x:v>1</x:v>
      </x:c>
      <x:c r="E615" s="8" t="n">
        <x:f>IF(AND(F614&lt;=9,AS614&gt;=AR614),1,0)</x:f>
        <x:v>0</x:v>
      </x:c>
      <x:c r="F615" s="8" t="n">
        <x:f>MIN(10,F614+E615)</x:f>
        <x:v>8</x:v>
      </x:c>
      <x:c r="G615" s="8" t="n">
        <x:f>MIN(F615,9)+1</x:f>
        <x:v>9</x:v>
      </x:c>
      <x:c r="H615" s="8" t="n">
        <x:f>IF(F615&lt;=9,1,0)</x:f>
        <x:v>1</x:v>
      </x:c>
      <x:c r="I615" s="9" t="n">
        <x:f>MIN(10,F614+IF(AR614&gt;0,MIN(1,AS614/AR614),1))</x:f>
        <x:v>8.863000317351917</x:v>
      </x:c>
      <x:c r="J615" s="32" t="n">
        <x:f>INDEX(tun_FoodCap,G615)*Arch_FoodCap*EXP(tun_CapsByProject*SUMPRODUCT((Cap_Point&lt;=I615)*(Cap_Kind="Food")*Cap_Ln))</x:f>
        <x:v>13863.877308233004</x:v>
      </x:c>
      <x:c r="K615" s="32" t="n">
        <x:f>J615*MIN(1,tun_LeanBase*EXP(tun_CapsByProject*SUMPRODUCT((Cap_Point&lt;=I615)*(Cap_Kind="Lean")*Cap_Ln)))</x:f>
        <x:v>13863.877308233004</x:v>
      </x:c>
      <x:c r="L615" s="10" t="n">
        <x:f>INDEX(tun_HousingCap,G615)*EXP(tun_CapsByProject*SUMPRODUCT((Cap_Point&lt;=I615)*(Cap_Kind="Housing")*Cap_Ln))</x:f>
        <x:v>12514.86067705494</x:v>
      </x:c>
      <x:c r="M615" s="10" t="n">
        <x:f>INDEX(tun_GroupCap,G615)*tun_CohesionFactor*EXP(tun_CapsByProject*SUMPRODUCT((Cap_Point&lt;=I615)*(Cap_Kind="Group")*Cap_Ln))</x:f>
        <x:v>1000000.000000001</x:v>
      </x:c>
      <x:c r="N615" s="32" t="n">
        <x:f>MIN(J615,L615,M615)</x:f>
        <x:v>12514.86067705494</x:v>
      </x:c>
      <x:c r="O615" s="10" t="n">
        <x:f>AE614*N615</x:f>
        <x:v>112633.74609349445</x:v>
      </x:c>
      <x:c r="P615" s="9" t="n">
        <x:f>MIN(1,(AB614/(AE614*IF(tun_GroupInCrowding=1,N615,MIN(J615,L615))))^tun_CrowdingExp)</x:f>
        <x:v>0.15149904261457328</x:v>
      </x:c>
      <x:c r="Q615" s="9" t="n">
        <x:f>IF(D615=1,INDEX(tun_WinterMult,G615),1)</x:f>
        <x:v>1.05</x:v>
      </x:c>
      <x:c r="R615" s="9" t="n">
        <x:f>H615*Z614*tun_WomenShare*tun_BaseFertility*INDEX(tun_FertMult,G615)*Arch_Fertility*(1-P615)</x:f>
        <x:v>991.3735874873169</x:v>
      </x:c>
      <x:c r="S615" s="9" t="n">
        <x:f>H615*Y614*INDEX(tun_MortChild,G615)/4*Q615</x:f>
        <x:v>39.56714497680293</x:v>
      </x:c>
      <x:c r="T615" s="9" t="n">
        <x:f>H615*Z614*INDEX(tun_MortAdult,G615)*Arch_AdultMort/4*Q615</x:f>
        <x:v>25.737094889948523</x:v>
      </x:c>
      <x:c r="U615" s="9" t="n">
        <x:f>H615*AA614*INDEX(tun_MortElder,G615)/4*Q615</x:f>
        <x:v>139.11569155709023</x:v>
      </x:c>
      <x:c r="V615" s="9" t="n">
        <x:f>H615*MAX(0,AB614-O615)*tun_OvercapLoss</x:f>
        <x:v>0</x:v>
      </x:c>
      <x:c r="W615" s="9" t="n">
        <x:f>H615*Y614/(tun_ChildYears*4)</x:f>
        <x:v>598.1427812063936</x:v>
      </x:c>
      <x:c r="X615" s="9" t="n">
        <x:f>H615*Z614/(tun_AdultYears*4)</x:f>
        <x:v>263.564719815141</x:v>
      </x:c>
      <x:c r="Y615" s="32" t="n">
        <x:f>Y614+R615-S615-W615-Y614*V615/AB614</x:f>
        <x:v>33849.65940886216</x:v>
      </x:c>
      <x:c r="Z615" s="32" t="n">
        <x:f>Z614+W615-X615-T615-Z614*V615/AB614</x:f>
        <x:v>32990.86622357879</x:v>
      </x:c>
      <x:c r="AA615" s="32" t="n">
        <x:f>AA614+X615-U615-AA614*V615/AB614</x:f>
        <x:v>16183.980521140038</x:v>
      </x:c>
      <x:c r="AB615" s="10" t="n">
        <x:f>Y615+Z615+AA615</x:f>
        <x:v>83024.506153581</x:v>
      </x:c>
      <x:c r="AC615" s="8" t="n">
        <x:f>IF(AND(tun_WinterTrigger=1,D615=1,AB614/AE614&gt;=K615),1,0)</x:f>
        <x:v>0</x:v>
      </x:c>
      <x:c r="AD615" s="8" t="n">
        <x:f>H615*IF(AND(OR(AB614/AE614&gt;=tun_FissionTrigger*N615,AC615=1),AB614/AE614*tun_DaughterShare&gt;=tun_MinDaughter),MAX(1,ROUND(AE614*tun_FissionRate,0)),0)</x:f>
        <x:v>0</x:v>
      </x:c>
      <x:c r="AE615" s="8" t="n">
        <x:f>IF(H615=1,MAX(1,MIN(INDEX(tun_Smax,G615),AE614+AD615)),AE614)</x:f>
        <x:v>9</x:v>
      </x:c>
      <x:c r="AF615" s="8" t="n">
        <x:f>MAX(0,AE615-AE614)</x:f>
        <x:v>0</x:v>
      </x:c>
      <x:c r="AG615" s="9" t="str">
        <x:f>IF(AF615&gt;0,B615,"")</x:f>
      </x:c>
      <x:c r="AH615" s="9" t="n">
        <x:f>IF(F615&gt;=1,1,(1+tun_LowTiesShare*(AE615-1))/AE615)</x:f>
        <x:v>1</x:v>
      </x:c>
      <x:c r="AI615" s="32" t="n">
        <x:f>(Z615+tun_ElderCommons*INDEX(LM_Elder,G615)*AA615)*AH615</x:f>
        <x:v>93680.79317785394</x:v>
      </x:c>
      <x:c r="AJ615" s="32" t="n">
        <x:f>H615*tun_CommonsCoef*AI615^tun_CommonsExp*INDEX(LM_Commons,G615)</x:f>
        <x:v>243441.77421260666</x:v>
      </x:c>
      <x:c r="AK615" s="32" t="n">
        <x:f>H615*tun_RoleScale*Arch_Roles*(AE615*(INDEX(tun_ElderRolePerSett,G615)*tun_OutElder*INDEX(LM_Elder,G615)+INDEX(tun_ShamanPerSett,G615)*tun_OutShaman)+Z615*(INDEX(tun_PriestShare,G615)*tun_OutPriest+INDEX(tun_ScribeShare,G615)*tun_OutScribe*INDEX(LM_Scribe,G615)+INDEX(tun_ScholarShare,G615)*tun_OutScholar*INDEX(LM_Scholar,G615)+INDEX(tun_ResearcherShare,G615)*tun_OutResearcher*INDEX(LM_Researcher,G615)))</x:f>
        <x:v>68402.43922290795</x:v>
      </x:c>
      <x:c r="AL615" s="32" t="n">
        <x:f>H615*tun_RoleScale*Arch_Roles*AE615*INDEX(tun_MonasteryPerSett,G615)*tun_OutMonastery*INDEX(LM_Monastery,G615)</x:f>
        <x:v>31.680000000000003</x:v>
      </x:c>
      <x:c r="AM615" s="32" t="n">
        <x:f>(AJ615+AK615+AL615)/4*INDEX(LM_All,G615)*INDEX(tun_Boon,G615)*Arch_Insight</x:f>
        <x:v>224703.92250222308</x:v>
      </x:c>
      <x:c r="AN615" s="32" t="n">
        <x:f>H615*(tun_KHPerAdult*Z615+tun_KHOfCommons*AJ615/4*INDEX(LM_All,G615))*tun_KHUsable*Arch_KH</x:f>
        <x:v>35269.484521309656</x:v>
      </x:c>
      <x:c r="AO615" s="32" t="n">
        <x:f>MIN(AP614+AN615,AM615*tun_KHMaxRatio)</x:f>
        <x:v>35269.484521309656</x:v>
      </x:c>
      <x:c r="AP615" s="32" t="n">
        <x:f>AP614+AN615-AO615</x:f>
        <x:v>0</x:v>
      </x:c>
      <x:c r="AQ615" s="32" t="n">
        <x:f>AM615+AO615</x:f>
        <x:v>259973.40702353272</x:v>
      </x:c>
      <x:c r="AR615" s="10" t="n">
        <x:f>IF(H615=1,INDEX(tun_Req,G615),0)</x:f>
        <x:v>24497531.045680594</x:v>
      </x:c>
      <x:c r="AS615" s="32" t="n">
        <x:f>IF(H615=1,IF(E615=1,AS614-AR614,AS614)+AQ615,0)</x:f>
        <x:v>21401350.473784328</x:v>
      </x:c>
      <x:c r="AT615" s="11" t="n">
        <x:f>IF(AR615&gt;0,MIN(1,AS615/AR615),1)</x:f>
        <x:v>0.8736125462552609</x:v>
      </x:c>
      <x:c r="AU615" s="10" t="n">
        <x:f>AB615/INDEX(tun_RepScale,G615)</x:f>
        <x:v>332.098024614324</x:v>
      </x:c>
      <x:c r="AV615" s="32" t="n">
        <x:f>AM615*60/tun_SeasonSeconds</x:f>
        <x:v>898815.6900088923</x:v>
      </x:c>
    </x:row>
    <x:row r="616">
      <x:c r="A616" s="8" t="n">
        <x:f>A615+1</x:f>
        <x:v>613</x:v>
      </x:c>
      <x:c r="B616" s="9" t="n">
        <x:f>A616*tun_SeasonSeconds/60</x:f>
        <x:v>153.25</x:v>
      </x:c>
      <x:c r="C616" s="9" t="n">
        <x:f>A616/4</x:f>
        <x:v>153.25</x:v>
      </x:c>
      <x:c r="D616" s="8" t="n">
        <x:f>IF(MOD(A616,4)=0,1,0)</x:f>
        <x:v>0</x:v>
      </x:c>
      <x:c r="E616" s="8" t="n">
        <x:f>IF(AND(F615&lt;=9,AS615&gt;=AR615),1,0)</x:f>
        <x:v>0</x:v>
      </x:c>
      <x:c r="F616" s="8" t="n">
        <x:f>MIN(10,F615+E616)</x:f>
        <x:v>8</x:v>
      </x:c>
      <x:c r="G616" s="8" t="n">
        <x:f>MIN(F616,9)+1</x:f>
        <x:v>9</x:v>
      </x:c>
      <x:c r="H616" s="8" t="n">
        <x:f>IF(F616&lt;=9,1,0)</x:f>
        <x:v>1</x:v>
      </x:c>
      <x:c r="I616" s="9" t="n">
        <x:f>MIN(10,F615+IF(AR615&gt;0,MIN(1,AS615/AR615),1))</x:f>
        <x:v>8.873612546255261</x:v>
      </x:c>
      <x:c r="J616" s="32" t="n">
        <x:f>INDEX(tun_FoodCap,G616)*Arch_FoodCap*EXP(tun_CapsByProject*SUMPRODUCT((Cap_Point&lt;=I616)*(Cap_Kind="Food")*Cap_Ln))</x:f>
        <x:v>13863.877308233004</x:v>
      </x:c>
      <x:c r="K616" s="32" t="n">
        <x:f>J616*MIN(1,tun_LeanBase*EXP(tun_CapsByProject*SUMPRODUCT((Cap_Point&lt;=I616)*(Cap_Kind="Lean")*Cap_Ln)))</x:f>
        <x:v>13863.877308233004</x:v>
      </x:c>
      <x:c r="L616" s="10" t="n">
        <x:f>INDEX(tun_HousingCap,G616)*EXP(tun_CapsByProject*SUMPRODUCT((Cap_Point&lt;=I616)*(Cap_Kind="Housing")*Cap_Ln))</x:f>
        <x:v>12514.86067705494</x:v>
      </x:c>
      <x:c r="M616" s="10" t="n">
        <x:f>INDEX(tun_GroupCap,G616)*tun_CohesionFactor*EXP(tun_CapsByProject*SUMPRODUCT((Cap_Point&lt;=I616)*(Cap_Kind="Group")*Cap_Ln))</x:f>
        <x:v>1000000.000000001</x:v>
      </x:c>
      <x:c r="N616" s="32" t="n">
        <x:f>MIN(J616,L616,M616)</x:f>
        <x:v>12514.86067705494</x:v>
      </x:c>
      <x:c r="O616" s="10" t="n">
        <x:f>AE615*N616</x:f>
        <x:v>112633.74609349445</x:v>
      </x:c>
      <x:c r="P616" s="9" t="n">
        <x:f>MIN(1,(AB615/(AE615*IF(tun_GroupInCrowding=1,N616,MIN(J616,L616))))^tun_CrowdingExp)</x:f>
        <x:v>0.16040822551341405</x:v>
      </x:c>
      <x:c r="Q616" s="9" t="n">
        <x:f>IF(D616=1,INDEX(tun_WinterMult,G616),1)</x:f>
        <x:v>1</x:v>
      </x:c>
      <x:c r="R616" s="9" t="n">
        <x:f>H616*Z615*tun_WomenShare*tun_BaseFertility*INDEX(tun_FertMult,G616)*Arch_Fertility*(1-P616)</x:f>
        <x:v>990.2342419435213</x:v>
      </x:c>
      <x:c r="S616" s="9" t="n">
        <x:f>H616*Y615*INDEX(tun_MortChild,G616)/4*Q616</x:f>
        <x:v>38.080866834969925</x:v>
      </x:c>
      <x:c r="T616" s="9" t="n">
        <x:f>H616*Z615*INDEX(tun_MortAdult,G616)*Arch_AdultMort/4*Q616</x:f>
        <x:v>24.743149667684094</x:v>
      </x:c>
      <x:c r="U616" s="9" t="n">
        <x:f>H616*AA615*INDEX(tun_MortElder,G616)/4*Q616</x:f>
        <x:v>133.51783929940532</x:v>
      </x:c>
      <x:c r="V616" s="9" t="n">
        <x:f>H616*MAX(0,AB615-O616)*tun_OvercapLoss</x:f>
        <x:v>0</x:v>
      </x:c>
      <x:c r="W616" s="9" t="n">
        <x:f>H616*Y615/(tun_ChildYears*4)</x:f>
        <x:v>604.4582037296814</x:v>
      </x:c>
      <x:c r="X616" s="9" t="n">
        <x:f>H616*Z615/(tun_AdultYears*4)</x:f>
        <x:v>266.05537277079674</x:v>
      </x:c>
      <x:c r="Y616" s="32" t="n">
        <x:f>Y615+R616-S616-W616-Y615*V616/AB615</x:f>
        <x:v>34197.35458024103</x:v>
      </x:c>
      <x:c r="Z616" s="32" t="n">
        <x:f>Z615+W616-X616-T616-Z615*V616/AB615</x:f>
        <x:v>33304.52590486999</x:v>
      </x:c>
      <x:c r="AA616" s="32" t="n">
        <x:f>AA615+X616-U616-AA615*V616/AB615</x:f>
        <x:v>16316.518054611428</x:v>
      </x:c>
      <x:c r="AB616" s="10" t="n">
        <x:f>Y616+Z616+AA616</x:f>
        <x:v>83818.39853972245</x:v>
      </x:c>
      <x:c r="AC616" s="8" t="n">
        <x:f>IF(AND(tun_WinterTrigger=1,D616=1,AB615/AE615&gt;=K616),1,0)</x:f>
        <x:v>0</x:v>
      </x:c>
      <x:c r="AD616" s="8" t="n">
        <x:f>H616*IF(AND(OR(AB615/AE615&gt;=tun_FissionTrigger*N616,AC616=1),AB615/AE615*tun_DaughterShare&gt;=tun_MinDaughter),MAX(1,ROUND(AE615*tun_FissionRate,0)),0)</x:f>
        <x:v>0</x:v>
      </x:c>
      <x:c r="AE616" s="8" t="n">
        <x:f>IF(H616=1,MAX(1,MIN(INDEX(tun_Smax,G616),AE615+AD616)),AE615)</x:f>
        <x:v>9</x:v>
      </x:c>
      <x:c r="AF616" s="8" t="n">
        <x:f>MAX(0,AE616-AE615)</x:f>
        <x:v>0</x:v>
      </x:c>
      <x:c r="AG616" s="9" t="str">
        <x:f>IF(AF616&gt;0,B616,"")</x:f>
      </x:c>
      <x:c r="AH616" s="9" t="n">
        <x:f>IF(F616&gt;=1,1,(1+tun_LowTiesShare*(AE616-1))/AE616)</x:f>
        <x:v>1</x:v>
      </x:c>
      <x:c r="AI616" s="32" t="n">
        <x:f>(Z616+tun_ElderCommons*INDEX(LM_Elder,G616)*AA616)*AH616</x:f>
        <x:v>94491.46860966284</x:v>
      </x:c>
      <x:c r="AJ616" s="32" t="n">
        <x:f>H616*tun_CommonsCoef*AI616^tun_CommonsExp*INDEX(LM_Commons,G616)</x:f>
        <x:v>245231.264958476</x:v>
      </x:c>
      <x:c r="AK616" s="32" t="n">
        <x:f>H616*tun_RoleScale*Arch_Roles*(AE616*(INDEX(tun_ElderRolePerSett,G616)*tun_OutElder*INDEX(LM_Elder,G616)+INDEX(tun_ShamanPerSett,G616)*tun_OutShaman)+Z616*(INDEX(tun_PriestShare,G616)*tun_OutPriest+INDEX(tun_ScribeShare,G616)*tun_OutScribe*INDEX(LM_Scribe,G616)+INDEX(tun_ScholarShare,G616)*tun_OutScholar*INDEX(LM_Scholar,G616)+INDEX(tun_ResearcherShare,G616)*tun_OutResearcher*INDEX(LM_Researcher,G616)))</x:f>
        <x:v>69050.46306801584</x:v>
      </x:c>
      <x:c r="AL616" s="32" t="n">
        <x:f>H616*tun_RoleScale*Arch_Roles*AE616*INDEX(tun_MonasteryPerSett,G616)*tun_OutMonastery*INDEX(LM_Monastery,G616)</x:f>
        <x:v>31.680000000000003</x:v>
      </x:c>
      <x:c r="AM616" s="32" t="n">
        <x:f>(AJ616+AK616+AL616)/4*INDEX(LM_All,G616)*INDEX(tun_Boon,G616)*Arch_Insight</x:f>
        <x:v>226460.13098539726</x:v>
      </x:c>
      <x:c r="AN616" s="32" t="n">
        <x:f>H616*(tun_KHPerAdult*Z616+tun_KHOfCommons*AJ616/4*INDEX(LM_All,G616))*tun_KHUsable*Arch_KH</x:f>
        <x:v>35528.74329629438</x:v>
      </x:c>
      <x:c r="AO616" s="32" t="n">
        <x:f>MIN(AP615+AN616,AM616*tun_KHMaxRatio)</x:f>
        <x:v>35528.74329629438</x:v>
      </x:c>
      <x:c r="AP616" s="32" t="n">
        <x:f>AP615+AN616-AO616</x:f>
        <x:v>0</x:v>
      </x:c>
      <x:c r="AQ616" s="32" t="n">
        <x:f>AM616+AO616</x:f>
        <x:v>261988.87428169165</x:v>
      </x:c>
      <x:c r="AR616" s="10" t="n">
        <x:f>IF(H616=1,INDEX(tun_Req,G616),0)</x:f>
        <x:v>24497531.045680594</x:v>
      </x:c>
      <x:c r="AS616" s="32" t="n">
        <x:f>IF(H616=1,IF(E616=1,AS615-AR615,AS615)+AQ616,0)</x:f>
        <x:v>21663339.34806602</x:v>
      </x:c>
      <x:c r="AT616" s="11" t="n">
        <x:f>IF(AR616&gt;0,MIN(1,AS616/AR616),1)</x:f>
        <x:v>0.8843070474192012</x:v>
      </x:c>
      <x:c r="AU616" s="10" t="n">
        <x:f>AB616/INDEX(tun_RepScale,G616)</x:f>
        <x:v>335.2735941588898</x:v>
      </x:c>
      <x:c r="AV616" s="32" t="n">
        <x:f>AM616*60/tun_SeasonSeconds</x:f>
        <x:v>905840.523941589</x:v>
      </x:c>
    </x:row>
    <x:row r="617">
      <x:c r="A617" s="8" t="n">
        <x:f>A616+1</x:f>
        <x:v>614</x:v>
      </x:c>
      <x:c r="B617" s="9" t="n">
        <x:f>A617*tun_SeasonSeconds/60</x:f>
        <x:v>153.5</x:v>
      </x:c>
      <x:c r="C617" s="9" t="n">
        <x:f>A617/4</x:f>
        <x:v>153.5</x:v>
      </x:c>
      <x:c r="D617" s="8" t="n">
        <x:f>IF(MOD(A617,4)=0,1,0)</x:f>
        <x:v>0</x:v>
      </x:c>
      <x:c r="E617" s="8" t="n">
        <x:f>IF(AND(F616&lt;=9,AS616&gt;=AR616),1,0)</x:f>
        <x:v>0</x:v>
      </x:c>
      <x:c r="F617" s="8" t="n">
        <x:f>MIN(10,F616+E617)</x:f>
        <x:v>8</x:v>
      </x:c>
      <x:c r="G617" s="8" t="n">
        <x:f>MIN(F617,9)+1</x:f>
        <x:v>9</x:v>
      </x:c>
      <x:c r="H617" s="8" t="n">
        <x:f>IF(F617&lt;=9,1,0)</x:f>
        <x:v>1</x:v>
      </x:c>
      <x:c r="I617" s="9" t="n">
        <x:f>MIN(10,F616+IF(AR616&gt;0,MIN(1,AS616/AR616),1))</x:f>
        <x:v>8.8843070474192</x:v>
      </x:c>
      <x:c r="J617" s="32" t="n">
        <x:f>INDEX(tun_FoodCap,G617)*Arch_FoodCap*EXP(tun_CapsByProject*SUMPRODUCT((Cap_Point&lt;=I617)*(Cap_Kind="Food")*Cap_Ln))</x:f>
        <x:v>13863.877308233004</x:v>
      </x:c>
      <x:c r="K617" s="32" t="n">
        <x:f>J617*MIN(1,tun_LeanBase*EXP(tun_CapsByProject*SUMPRODUCT((Cap_Point&lt;=I617)*(Cap_Kind="Lean")*Cap_Ln)))</x:f>
        <x:v>13863.877308233004</x:v>
      </x:c>
      <x:c r="L617" s="10" t="n">
        <x:f>INDEX(tun_HousingCap,G617)*EXP(tun_CapsByProject*SUMPRODUCT((Cap_Point&lt;=I617)*(Cap_Kind="Housing")*Cap_Ln))</x:f>
        <x:v>12514.86067705494</x:v>
      </x:c>
      <x:c r="M617" s="10" t="n">
        <x:f>INDEX(tun_GroupCap,G617)*tun_CohesionFactor*EXP(tun_CapsByProject*SUMPRODUCT((Cap_Point&lt;=I617)*(Cap_Kind="Group")*Cap_Ln))</x:f>
        <x:v>1000000.000000001</x:v>
      </x:c>
      <x:c r="N617" s="32" t="n">
        <x:f>MIN(J617,L617,M617)</x:f>
        <x:v>12514.86067705494</x:v>
      </x:c>
      <x:c r="O617" s="10" t="n">
        <x:f>AE616*N617</x:f>
        <x:v>112633.74609349445</x:v>
      </x:c>
      <x:c r="P617" s="9" t="n">
        <x:f>MIN(1,(AB616/(AE616*IF(tun_GroupInCrowding=1,N617,MIN(J617,L617))))^tun_CrowdingExp)</x:f>
        <x:v>0.1698341341194393</x:v>
      </x:c>
      <x:c r="Q617" s="9" t="n">
        <x:f>IF(D617=1,INDEX(tun_WinterMult,G617),1)</x:f>
        <x:v>1</x:v>
      </x:c>
      <x:c r="R617" s="9" t="n">
        <x:f>H617*Z616*tun_WomenShare*tun_BaseFertility*INDEX(tun_FertMult,G617)*Arch_Fertility*(1-P617)</x:f>
        <x:v>988.4260309336972</x:v>
      </x:c>
      <x:c r="S617" s="9" t="n">
        <x:f>H617*Y616*INDEX(tun_MortChild,G617)/4*Q617</x:f>
        <x:v>38.472023902771156</x:v>
      </x:c>
      <x:c r="T617" s="9" t="n">
        <x:f>H617*Z616*INDEX(tun_MortAdult,G617)*Arch_AdultMort/4*Q617</x:f>
        <x:v>24.978394428652493</x:v>
      </x:c>
      <x:c r="U617" s="9" t="n">
        <x:f>H617*AA616*INDEX(tun_MortElder,G617)/4*Q617</x:f>
        <x:v>134.61127395054427</x:v>
      </x:c>
      <x:c r="V617" s="9" t="n">
        <x:f>H617*MAX(0,AB616-O617)*tun_OvercapLoss</x:f>
        <x:v>0</x:v>
      </x:c>
      <x:c r="W617" s="9" t="n">
        <x:f>H617*Y616/(tun_ChildYears*4)</x:f>
        <x:v>610.6670460757326</x:v>
      </x:c>
      <x:c r="X617" s="9" t="n">
        <x:f>H617*Z616/(tun_AdultYears*4)</x:f>
        <x:v>268.58488632959666</x:v>
      </x:c>
      <x:c r="Y617" s="32" t="n">
        <x:f>Y616+R617-S617-W617-Y616*V617/AB616</x:f>
        <x:v>34536.64154119622</x:v>
      </x:c>
      <x:c r="Z617" s="32" t="n">
        <x:f>Z616+W617-X617-T617-Z616*V617/AB616</x:f>
        <x:v>33621.62967018747</x:v>
      </x:c>
      <x:c r="AA617" s="32" t="n">
        <x:f>AA616+X617-U617-AA616*V617/AB616</x:f>
        <x:v>16450.49166699048</x:v>
      </x:c>
      <x:c r="AB617" s="10" t="n">
        <x:f>Y617+Z617+AA617</x:f>
        <x:v>84608.76287837417</x:v>
      </x:c>
      <x:c r="AC617" s="8" t="n">
        <x:f>IF(AND(tun_WinterTrigger=1,D617=1,AB616/AE616&gt;=K617),1,0)</x:f>
        <x:v>0</x:v>
      </x:c>
      <x:c r="AD617" s="8" t="n">
        <x:f>H617*IF(AND(OR(AB616/AE616&gt;=tun_FissionTrigger*N617,AC617=1),AB616/AE616*tun_DaughterShare&gt;=tun_MinDaughter),MAX(1,ROUND(AE616*tun_FissionRate,0)),0)</x:f>
        <x:v>0</x:v>
      </x:c>
      <x:c r="AE617" s="8" t="n">
        <x:f>IF(H617=1,MAX(1,MIN(INDEX(tun_Smax,G617),AE616+AD617)),AE616)</x:f>
        <x:v>9</x:v>
      </x:c>
      <x:c r="AF617" s="8" t="n">
        <x:f>MAX(0,AE617-AE616)</x:f>
        <x:v>0</x:v>
      </x:c>
      <x:c r="AG617" s="9" t="str">
        <x:f>IF(AF617&gt;0,B617,"")</x:f>
      </x:c>
      <x:c r="AH617" s="9" t="n">
        <x:f>IF(F617&gt;=1,1,(1+tun_LowTiesShare*(AE617-1))/AE617)</x:f>
        <x:v>1</x:v>
      </x:c>
      <x:c r="AI617" s="32" t="n">
        <x:f>(Z617+tun_ElderCommons*INDEX(LM_Elder,G617)*AA617)*AH617</x:f>
        <x:v>95310.97342140178</x:v>
      </x:c>
      <x:c r="AJ617" s="32" t="n">
        <x:f>H617*tun_CommonsCoef*AI617^tun_CommonsExp*INDEX(LM_Commons,G617)</x:f>
        <x:v>247037.90663925995</x:v>
      </x:c>
      <x:c r="AK617" s="32" t="n">
        <x:f>H617*tun_RoleScale*Arch_Roles*(AE617*(INDEX(tun_ElderRolePerSett,G617)*tun_OutElder*INDEX(LM_Elder,G617)+INDEX(tun_ShamanPerSett,G617)*tun_OutShaman)+Z617*(INDEX(tun_PriestShare,G617)*tun_OutPriest+INDEX(tun_ScribeShare,G617)*tun_OutScribe*INDEX(LM_Scribe,G617)+INDEX(tun_ScholarShare,G617)*tun_OutScholar*INDEX(LM_Scholar,G617)+INDEX(tun_ResearcherShare,G617)*tun_OutResearcher*INDEX(LM_Researcher,G617)))</x:f>
        <x:v>69705.6024230433</x:v>
      </x:c>
      <x:c r="AL617" s="32" t="n">
        <x:f>H617*tun_RoleScale*Arch_Roles*AE617*INDEX(tun_MonasteryPerSett,G617)*tun_OutMonastery*INDEX(LM_Monastery,G617)</x:f>
        <x:v>31.680000000000003</x:v>
      </x:c>
      <x:c r="AM617" s="32" t="n">
        <x:f>(AJ617+AK617+AL617)/4*INDEX(LM_All,G617)*INDEX(tun_Boon,G617)*Arch_Insight</x:f>
        <x:v>228233.82323520494</x:v>
      </x:c>
      <x:c r="AN617" s="32" t="n">
        <x:f>H617*(tun_KHPerAdult*Z617+tun_KHOfCommons*AJ617/4*INDEX(LM_All,G617))*tun_KHUsable*Arch_KH</x:f>
        <x:v>35790.48687338609</x:v>
      </x:c>
      <x:c r="AO617" s="32" t="n">
        <x:f>MIN(AP616+AN617,AM617*tun_KHMaxRatio)</x:f>
        <x:v>35790.48687338609</x:v>
      </x:c>
      <x:c r="AP617" s="32" t="n">
        <x:f>AP616+AN617-AO617</x:f>
        <x:v>0</x:v>
      </x:c>
      <x:c r="AQ617" s="32" t="n">
        <x:f>AM617+AO617</x:f>
        <x:v>264024.31010859105</x:v>
      </x:c>
      <x:c r="AR617" s="10" t="n">
        <x:f>IF(H617=1,INDEX(tun_Req,G617),0)</x:f>
        <x:v>24497531.045680594</x:v>
      </x:c>
      <x:c r="AS617" s="32" t="n">
        <x:f>IF(H617=1,IF(E617=1,AS616-AR616,AS616)+AQ617,0)</x:f>
        <x:v>21927363.65817461</x:v>
      </x:c>
      <x:c r="AT617" s="11" t="n">
        <x:f>IF(AR617&gt;0,MIN(1,AS617/AR617),1)</x:f>
        <x:v>0.8950846359695029</x:v>
      </x:c>
      <x:c r="AU617" s="10" t="n">
        <x:f>AB617/INDEX(tun_RepScale,G617)</x:f>
        <x:v>338.43505151349666</x:v>
      </x:c>
      <x:c r="AV617" s="32" t="n">
        <x:f>AM617*60/tun_SeasonSeconds</x:f>
        <x:v>912935.2929408198</x:v>
      </x:c>
    </x:row>
    <x:row r="618">
      <x:c r="A618" s="8" t="n">
        <x:f>A617+1</x:f>
        <x:v>615</x:v>
      </x:c>
      <x:c r="B618" s="9" t="n">
        <x:f>A618*tun_SeasonSeconds/60</x:f>
        <x:v>153.75</x:v>
      </x:c>
      <x:c r="C618" s="9" t="n">
        <x:f>A618/4</x:f>
        <x:v>153.75</x:v>
      </x:c>
      <x:c r="D618" s="8" t="n">
        <x:f>IF(MOD(A618,4)=0,1,0)</x:f>
        <x:v>0</x:v>
      </x:c>
      <x:c r="E618" s="8" t="n">
        <x:f>IF(AND(F617&lt;=9,AS617&gt;=AR617),1,0)</x:f>
        <x:v>0</x:v>
      </x:c>
      <x:c r="F618" s="8" t="n">
        <x:f>MIN(10,F617+E618)</x:f>
        <x:v>8</x:v>
      </x:c>
      <x:c r="G618" s="8" t="n">
        <x:f>MIN(F618,9)+1</x:f>
        <x:v>9</x:v>
      </x:c>
      <x:c r="H618" s="8" t="n">
        <x:f>IF(F618&lt;=9,1,0)</x:f>
        <x:v>1</x:v>
      </x:c>
      <x:c r="I618" s="9" t="n">
        <x:f>MIN(10,F617+IF(AR617&gt;0,MIN(1,AS617/AR617),1))</x:f>
        <x:v>8.895084635969503</x:v>
      </x:c>
      <x:c r="J618" s="32" t="n">
        <x:f>INDEX(tun_FoodCap,G618)*Arch_FoodCap*EXP(tun_CapsByProject*SUMPRODUCT((Cap_Point&lt;=I618)*(Cap_Kind="Food")*Cap_Ln))</x:f>
        <x:v>13863.877308233004</x:v>
      </x:c>
      <x:c r="K618" s="32" t="n">
        <x:f>J618*MIN(1,tun_LeanBase*EXP(tun_CapsByProject*SUMPRODUCT((Cap_Point&lt;=I618)*(Cap_Kind="Lean")*Cap_Ln)))</x:f>
        <x:v>13863.877308233004</x:v>
      </x:c>
      <x:c r="L618" s="10" t="n">
        <x:f>INDEX(tun_HousingCap,G618)*EXP(tun_CapsByProject*SUMPRODUCT((Cap_Point&lt;=I618)*(Cap_Kind="Housing")*Cap_Ln))</x:f>
        <x:v>12514.86067705494</x:v>
      </x:c>
      <x:c r="M618" s="10" t="n">
        <x:f>INDEX(tun_GroupCap,G618)*tun_CohesionFactor*EXP(tun_CapsByProject*SUMPRODUCT((Cap_Point&lt;=I618)*(Cap_Kind="Group")*Cap_Ln))</x:f>
        <x:v>1000000.000000001</x:v>
      </x:c>
      <x:c r="N618" s="32" t="n">
        <x:f>MIN(J618,L618,M618)</x:f>
        <x:v>12514.86067705494</x:v>
      </x:c>
      <x:c r="O618" s="10" t="n">
        <x:f>AE617*N618</x:f>
        <x:v>112633.74609349445</x:v>
      </x:c>
      <x:c r="P618" s="9" t="n">
        <x:f>MIN(1,(AB617/(AE617*IF(tun_GroupInCrowding=1,N618,MIN(J618,L618))))^tun_CrowdingExp)</x:f>
        <x:v>0.17967220531438216</x:v>
      </x:c>
      <x:c r="Q618" s="9" t="n">
        <x:f>IF(D618=1,INDEX(tun_WinterMult,G618),1)</x:f>
        <x:v>1</x:v>
      </x:c>
      <x:c r="R618" s="9" t="n">
        <x:f>H618*Z617*tun_WomenShare*tun_BaseFertility*INDEX(tun_FertMult,G618)*Arch_Fertility*(1-P618)</x:f>
        <x:v>986.0120742286609</x:v>
      </x:c>
      <x:c r="S618" s="9" t="n">
        <x:f>H618*Y617*INDEX(tun_MortChild,G618)/4*Q618</x:f>
        <x:v>38.853721733845745</x:v>
      </x:c>
      <x:c r="T618" s="9" t="n">
        <x:f>H618*Z617*INDEX(tun_MortAdult,G618)*Arch_AdultMort/4*Q618</x:f>
        <x:v>25.216222252640602</x:v>
      </x:c>
      <x:c r="U618" s="9" t="n">
        <x:f>H618*AA617*INDEX(tun_MortElder,G618)/4*Q618</x:f>
        <x:v>135.71655625267147</x:v>
      </x:c>
      <x:c r="V618" s="9" t="n">
        <x:f>H618*MAX(0,AB617-O618)*tun_OvercapLoss</x:f>
        <x:v>0</x:v>
      </x:c>
      <x:c r="W618" s="9" t="n">
        <x:f>H618*Y617/(tun_ChildYears*4)</x:f>
        <x:v>616.7257418070755</x:v>
      </x:c>
      <x:c r="X618" s="9" t="n">
        <x:f>H618*Z617/(tun_AdultYears*4)</x:f>
        <x:v>271.14217475957633</x:v>
      </x:c>
      <x:c r="Y618" s="32" t="n">
        <x:f>Y617+R618-S618-W618-Y617*V618/AB617</x:f>
        <x:v>34867.074151883964</x:v>
      </x:c>
      <x:c r="Z618" s="32" t="n">
        <x:f>Z617+W618-X618-T618-Z617*V618/AB617</x:f>
        <x:v>33941.99701498233</x:v>
      </x:c>
      <x:c r="AA618" s="32" t="n">
        <x:f>AA617+X618-U618-AA617*V618/AB617</x:f>
        <x:v>16585.917285497388</x:v>
      </x:c>
      <x:c r="AB618" s="10" t="n">
        <x:f>Y618+Z618+AA618</x:f>
        <x:v>85394.98845236367</x:v>
      </x:c>
      <x:c r="AC618" s="8" t="n">
        <x:f>IF(AND(tun_WinterTrigger=1,D618=1,AB617/AE617&gt;=K618),1,0)</x:f>
        <x:v>0</x:v>
      </x:c>
      <x:c r="AD618" s="8" t="n">
        <x:f>H618*IF(AND(OR(AB617/AE617&gt;=tun_FissionTrigger*N618,AC618=1),AB617/AE617*tun_DaughterShare&gt;=tun_MinDaughter),MAX(1,ROUND(AE617*tun_FissionRate,0)),0)</x:f>
        <x:v>0</x:v>
      </x:c>
      <x:c r="AE618" s="8" t="n">
        <x:f>IF(H618=1,MAX(1,MIN(INDEX(tun_Smax,G618),AE617+AD618)),AE617)</x:f>
        <x:v>9</x:v>
      </x:c>
      <x:c r="AF618" s="8" t="n">
        <x:f>MAX(0,AE618-AE617)</x:f>
        <x:v>0</x:v>
      </x:c>
      <x:c r="AG618" s="9" t="str">
        <x:f>IF(AF618&gt;0,B618,"")</x:f>
      </x:c>
      <x:c r="AH618" s="9" t="n">
        <x:f>IF(F618&gt;=1,1,(1+tun_LowTiesShare*(AE618-1))/AE618)</x:f>
        <x:v>1</x:v>
      </x:c>
      <x:c r="AI618" s="32" t="n">
        <x:f>(Z618+tun_ElderCommons*INDEX(LM_Elder,G618)*AA618)*AH618</x:f>
        <x:v>96139.18683559753</x:v>
      </x:c>
      <x:c r="AJ618" s="32" t="n">
        <x:f>H618*tun_CommonsCoef*AI618^tun_CommonsExp*INDEX(LM_Commons,G618)</x:f>
        <x:v>248861.3811128975</x:v>
      </x:c>
      <x:c r="AK618" s="32" t="n">
        <x:f>H618*tun_RoleScale*Arch_Roles*(AE618*(INDEX(tun_ElderRolePerSett,G618)*tun_OutElder*INDEX(LM_Elder,G618)+INDEX(tun_ShamanPerSett,G618)*tun_OutShaman)+Z618*(INDEX(tun_PriestShare,G618)*tun_OutPriest+INDEX(tun_ScribeShare,G618)*tun_OutScribe*INDEX(LM_Scribe,G618)+INDEX(tun_ScholarShare,G618)*tun_OutScholar*INDEX(LM_Scholar,G618)+INDEX(tun_ResearcherShare,G618)*tun_OutResearcher*INDEX(LM_Researcher,G618)))</x:f>
        <x:v>70367.48436389829</x:v>
      </x:c>
      <x:c r="AL618" s="32" t="n">
        <x:f>H618*tun_RoleScale*Arch_Roles*AE618*INDEX(tun_MonasteryPerSett,G618)*tun_OutMonastery*INDEX(LM_Monastery,G618)</x:f>
        <x:v>31.680000000000003</x:v>
      </x:c>
      <x:c r="AM618" s="32" t="n">
        <x:f>(AJ618+AK618+AL618)/4*INDEX(LM_All,G618)*INDEX(tun_Boon,G618)*Arch_Insight</x:f>
        <x:v>230024.5013443741</x:v>
      </x:c>
      <x:c r="AN618" s="32" t="n">
        <x:f>H618*(tun_KHPerAdult*Z618+tun_KHOfCommons*AJ618/4*INDEX(LM_All,G618))*tun_KHUsable*Arch_KH</x:f>
        <x:v>36054.66916063313</x:v>
      </x:c>
      <x:c r="AO618" s="32" t="n">
        <x:f>MIN(AP617+AN618,AM618*tun_KHMaxRatio)</x:f>
        <x:v>36054.66916063313</x:v>
      </x:c>
      <x:c r="AP618" s="32" t="n">
        <x:f>AP617+AN618-AO618</x:f>
        <x:v>0</x:v>
      </x:c>
      <x:c r="AQ618" s="32" t="n">
        <x:f>AM618+AO618</x:f>
        <x:v>266079.1705050072</x:v>
      </x:c>
      <x:c r="AR618" s="10" t="n">
        <x:f>IF(H618=1,INDEX(tun_Req,G618),0)</x:f>
        <x:v>24497531.045680594</x:v>
      </x:c>
      <x:c r="AS618" s="32" t="n">
        <x:f>IF(H618=1,IF(E618=1,AS617-AR617,AS617)+AQ618,0)</x:f>
        <x:v>22193442.828679617</x:v>
      </x:c>
      <x:c r="AT618" s="11" t="n">
        <x:f>IF(AR618&gt;0,MIN(1,AS618/AR618),1)</x:f>
        <x:v>0.905946104825644</x:v>
      </x:c>
      <x:c r="AU618" s="10" t="n">
        <x:f>AB618/INDEX(tun_RepScale,G618)</x:f>
        <x:v>341.5799538094547</x:v>
      </x:c>
      <x:c r="AV618" s="32" t="n">
        <x:f>AM618*60/tun_SeasonSeconds</x:f>
        <x:v>920098.0053774964</x:v>
      </x:c>
    </x:row>
    <x:row r="619">
      <x:c r="A619" s="8" t="n">
        <x:f>A618+1</x:f>
        <x:v>616</x:v>
      </x:c>
      <x:c r="B619" s="9" t="n">
        <x:f>A619*tun_SeasonSeconds/60</x:f>
        <x:v>154</x:v>
      </x:c>
      <x:c r="C619" s="9" t="n">
        <x:f>A619/4</x:f>
        <x:v>154</x:v>
      </x:c>
      <x:c r="D619" s="8" t="n">
        <x:f>IF(MOD(A619,4)=0,1,0)</x:f>
        <x:v>1</x:v>
      </x:c>
      <x:c r="E619" s="8" t="n">
        <x:f>IF(AND(F618&lt;=9,AS618&gt;=AR618),1,0)</x:f>
        <x:v>0</x:v>
      </x:c>
      <x:c r="F619" s="8" t="n">
        <x:f>MIN(10,F618+E619)</x:f>
        <x:v>8</x:v>
      </x:c>
      <x:c r="G619" s="8" t="n">
        <x:f>MIN(F619,9)+1</x:f>
        <x:v>9</x:v>
      </x:c>
      <x:c r="H619" s="8" t="n">
        <x:f>IF(F619&lt;=9,1,0)</x:f>
        <x:v>1</x:v>
      </x:c>
      <x:c r="I619" s="9" t="n">
        <x:f>MIN(10,F618+IF(AR618&gt;0,MIN(1,AS618/AR618),1))</x:f>
        <x:v>8.905946104825643</x:v>
      </x:c>
      <x:c r="J619" s="32" t="n">
        <x:f>INDEX(tun_FoodCap,G619)*Arch_FoodCap*EXP(tun_CapsByProject*SUMPRODUCT((Cap_Point&lt;=I619)*(Cap_Kind="Food")*Cap_Ln))</x:f>
        <x:v>13863.877308233004</x:v>
      </x:c>
      <x:c r="K619" s="32" t="n">
        <x:f>J619*MIN(1,tun_LeanBase*EXP(tun_CapsByProject*SUMPRODUCT((Cap_Point&lt;=I619)*(Cap_Kind="Lean")*Cap_Ln)))</x:f>
        <x:v>13863.877308233004</x:v>
      </x:c>
      <x:c r="L619" s="10" t="n">
        <x:f>INDEX(tun_HousingCap,G619)*EXP(tun_CapsByProject*SUMPRODUCT((Cap_Point&lt;=I619)*(Cap_Kind="Housing")*Cap_Ln))</x:f>
        <x:v>12514.86067705494</x:v>
      </x:c>
      <x:c r="M619" s="10" t="n">
        <x:f>INDEX(tun_GroupCap,G619)*tun_CohesionFactor*EXP(tun_CapsByProject*SUMPRODUCT((Cap_Point&lt;=I619)*(Cap_Kind="Group")*Cap_Ln))</x:f>
        <x:v>1000000.000000001</x:v>
      </x:c>
      <x:c r="N619" s="32" t="n">
        <x:f>MIN(J619,L619,M619)</x:f>
        <x:v>12514.86067705494</x:v>
      </x:c>
      <x:c r="O619" s="10" t="n">
        <x:f>AE618*N619</x:f>
        <x:v>112633.74609349445</x:v>
      </x:c>
      <x:c r="P619" s="9" t="n">
        <x:f>MIN(1,(AB618/(AE618*IF(tun_GroupInCrowding=1,N619,MIN(J619,L619))))^tun_CrowdingExp)</x:f>
        <x:v>0.18992543655730806</x:v>
      </x:c>
      <x:c r="Q619" s="9" t="n">
        <x:f>IF(D619=1,INDEX(tun_WinterMult,G619),1)</x:f>
        <x:v>1.05</x:v>
      </x:c>
      <x:c r="R619" s="9" t="n">
        <x:f>H619*Z618*tun_WomenShare*tun_BaseFertility*INDEX(tun_FertMult,G619)*Arch_Fertility*(1-P619)</x:f>
        <x:v>982.9658558106875</x:v>
      </x:c>
      <x:c r="S619" s="9" t="n">
        <x:f>H619*Y618*INDEX(tun_MortChild,G619)/4*Q619</x:f>
        <x:v>41.18673134191293</x:v>
      </x:c>
      <x:c r="T619" s="9" t="n">
        <x:f>H619*Z618*INDEX(tun_MortAdult,G619)*Arch_AdultMort/4*Q619</x:f>
        <x:v>26.729322649298584</x:v>
      </x:c>
      <x:c r="U619" s="9" t="n">
        <x:f>H619*AA618*INDEX(tun_MortElder,G619)/4*Q619</x:f>
        <x:v>143.67550848562115</x:v>
      </x:c>
      <x:c r="V619" s="9" t="n">
        <x:f>H619*MAX(0,AB618-O619)*tun_OvercapLoss</x:f>
        <x:v>0</x:v>
      </x:c>
      <x:c r="W619" s="9" t="n">
        <x:f>H619*Y618/(tun_ChildYears*4)</x:f>
        <x:v>622.6263241407851</x:v>
      </x:c>
      <x:c r="X619" s="9" t="n">
        <x:f>H619*Z618/(tun_AdultYears*4)</x:f>
        <x:v>273.72578237888973</x:v>
      </x:c>
      <x:c r="Y619" s="32" t="n">
        <x:f>Y618+R619-S619-W619-Y618*V619/AB618</x:f>
        <x:v>35186.22695221195</x:v>
      </x:c>
      <x:c r="Z619" s="32" t="n">
        <x:f>Z618+W619-X619-T619-Z618*V619/AB618</x:f>
        <x:v>34264.16823409493</x:v>
      </x:c>
      <x:c r="AA619" s="32" t="n">
        <x:f>AA618+X619-U619-AA618*V619/AB618</x:f>
        <x:v>16715.967559390658</x:v>
      </x:c>
      <x:c r="AB619" s="10" t="n">
        <x:f>Y619+Z619+AA619</x:f>
        <x:v>86166.36274569754</x:v>
      </x:c>
      <x:c r="AC619" s="8" t="n">
        <x:f>IF(AND(tun_WinterTrigger=1,D619=1,AB618/AE618&gt;=K619),1,0)</x:f>
        <x:v>0</x:v>
      </x:c>
      <x:c r="AD619" s="8" t="n">
        <x:f>H619*IF(AND(OR(AB618/AE618&gt;=tun_FissionTrigger*N619,AC619=1),AB618/AE618*tun_DaughterShare&gt;=tun_MinDaughter),MAX(1,ROUND(AE618*tun_FissionRate,0)),0)</x:f>
        <x:v>0</x:v>
      </x:c>
      <x:c r="AE619" s="8" t="n">
        <x:f>IF(H619=1,MAX(1,MIN(INDEX(tun_Smax,G619),AE618+AD619)),AE618)</x:f>
        <x:v>9</x:v>
      </x:c>
      <x:c r="AF619" s="8" t="n">
        <x:f>MAX(0,AE619-AE618)</x:f>
        <x:v>0</x:v>
      </x:c>
      <x:c r="AG619" s="9" t="str">
        <x:f>IF(AF619&gt;0,B619,"")</x:f>
      </x:c>
      <x:c r="AH619" s="9" t="n">
        <x:f>IF(F619&gt;=1,1,(1+tun_LowTiesShare*(AE619-1))/AE619)</x:f>
        <x:v>1</x:v>
      </x:c>
      <x:c r="AI619" s="32" t="n">
        <x:f>(Z619+tun_ElderCommons*INDEX(LM_Elder,G619)*AA619)*AH619</x:f>
        <x:v>96949.0465818099</x:v>
      </x:c>
      <x:c r="AJ619" s="32" t="n">
        <x:f>H619*tun_CommonsCoef*AI619^tun_CommonsExp*INDEX(LM_Commons,G619)</x:f>
        <x:v>250642.16909298763</x:v>
      </x:c>
      <x:c r="AK619" s="32" t="n">
        <x:f>H619*tun_RoleScale*Arch_Roles*(AE619*(INDEX(tun_ElderRolePerSett,G619)*tun_OutElder*INDEX(LM_Elder,G619)+INDEX(tun_ShamanPerSett,G619)*tun_OutShaman)+Z619*(INDEX(tun_PriestShare,G619)*tun_OutPriest+INDEX(tun_ScribeShare,G619)*tun_OutScribe*INDEX(LM_Scribe,G619)+INDEX(tun_ScholarShare,G619)*tun_OutScholar*INDEX(LM_Scholar,G619)+INDEX(tun_ResearcherShare,G619)*tun_OutResearcher*INDEX(LM_Researcher,G619)))</x:f>
        <x:v>71033.0931260223</x:v>
      </x:c>
      <x:c r="AL619" s="32" t="n">
        <x:f>H619*tun_RoleScale*Arch_Roles*AE619*INDEX(tun_MonasteryPerSett,G619)*tun_OutMonastery*INDEX(LM_Monastery,G619)</x:f>
        <x:v>31.680000000000003</x:v>
      </x:c>
      <x:c r="AM619" s="32" t="n">
        <x:f>(AJ619+AK619+AL619)/4*INDEX(LM_All,G619)*INDEX(tun_Boon,G619)*Arch_Insight</x:f>
        <x:v>231787.10934179477</x:v>
      </x:c>
      <x:c r="AN619" s="32" t="n">
        <x:f>H619*(tun_KHPerAdult*Z619+tun_KHOfCommons*AJ619/4*INDEX(LM_All,G619))*tun_KHUsable*Arch_KH</x:f>
        <x:v>36312.66709177157</x:v>
      </x:c>
      <x:c r="AO619" s="32" t="n">
        <x:f>MIN(AP618+AN619,AM619*tun_KHMaxRatio)</x:f>
        <x:v>36312.66709177157</x:v>
      </x:c>
      <x:c r="AP619" s="32" t="n">
        <x:f>AP618+AN619-AO619</x:f>
        <x:v>0</x:v>
      </x:c>
      <x:c r="AQ619" s="32" t="n">
        <x:f>AM619+AO619</x:f>
        <x:v>268099.77643356635</x:v>
      </x:c>
      <x:c r="AR619" s="10" t="n">
        <x:f>IF(H619=1,INDEX(tun_Req,G619),0)</x:f>
        <x:v>24497531.045680594</x:v>
      </x:c>
      <x:c r="AS619" s="32" t="n">
        <x:f>IF(H619=1,IF(E619=1,AS618-AR618,AS618)+AQ619,0)</x:f>
        <x:v>22461542.605113182</x:v>
      </x:c>
      <x:c r="AT619" s="11" t="n">
        <x:f>IF(AR619&gt;0,MIN(1,AS619/AR619),1)</x:f>
        <x:v>0.9168900557051688</x:v>
      </x:c>
      <x:c r="AU619" s="10" t="n">
        <x:f>AB619/INDEX(tun_RepScale,G619)</x:f>
        <x:v>344.66545098279016</x:v>
      </x:c>
      <x:c r="AV619" s="32" t="n">
        <x:f>AM619*60/tun_SeasonSeconds</x:f>
        <x:v>927148.4373671791</x:v>
      </x:c>
    </x:row>
    <x:row r="620">
      <x:c r="A620" s="8" t="n">
        <x:f>A619+1</x:f>
        <x:v>617</x:v>
      </x:c>
      <x:c r="B620" s="9" t="n">
        <x:f>A620*tun_SeasonSeconds/60</x:f>
        <x:v>154.25</x:v>
      </x:c>
      <x:c r="C620" s="9" t="n">
        <x:f>A620/4</x:f>
        <x:v>154.25</x:v>
      </x:c>
      <x:c r="D620" s="8" t="n">
        <x:f>IF(MOD(A620,4)=0,1,0)</x:f>
        <x:v>0</x:v>
      </x:c>
      <x:c r="E620" s="8" t="n">
        <x:f>IF(AND(F619&lt;=9,AS619&gt;=AR619),1,0)</x:f>
        <x:v>0</x:v>
      </x:c>
      <x:c r="F620" s="8" t="n">
        <x:f>MIN(10,F619+E620)</x:f>
        <x:v>8</x:v>
      </x:c>
      <x:c r="G620" s="8" t="n">
        <x:f>MIN(F620,9)+1</x:f>
        <x:v>9</x:v>
      </x:c>
      <x:c r="H620" s="8" t="n">
        <x:f>IF(F620&lt;=9,1,0)</x:f>
        <x:v>1</x:v>
      </x:c>
      <x:c r="I620" s="9" t="n">
        <x:f>MIN(10,F619+IF(AR619&gt;0,MIN(1,AS619/AR619),1))</x:f>
        <x:v>8.916890055705169</x:v>
      </x:c>
      <x:c r="J620" s="32" t="n">
        <x:f>INDEX(tun_FoodCap,G620)*Arch_FoodCap*EXP(tun_CapsByProject*SUMPRODUCT((Cap_Point&lt;=I620)*(Cap_Kind="Food")*Cap_Ln))</x:f>
        <x:v>13863.877308233004</x:v>
      </x:c>
      <x:c r="K620" s="32" t="n">
        <x:f>J620*MIN(1,tun_LeanBase*EXP(tun_CapsByProject*SUMPRODUCT((Cap_Point&lt;=I620)*(Cap_Kind="Lean")*Cap_Ln)))</x:f>
        <x:v>13863.877308233004</x:v>
      </x:c>
      <x:c r="L620" s="10" t="n">
        <x:f>INDEX(tun_HousingCap,G620)*EXP(tun_CapsByProject*SUMPRODUCT((Cap_Point&lt;=I620)*(Cap_Kind="Housing")*Cap_Ln))</x:f>
        <x:v>12514.86067705494</x:v>
      </x:c>
      <x:c r="M620" s="10" t="n">
        <x:f>INDEX(tun_GroupCap,G620)*tun_CohesionFactor*EXP(tun_CapsByProject*SUMPRODUCT((Cap_Point&lt;=I620)*(Cap_Kind="Group")*Cap_Ln))</x:f>
        <x:v>1000000.000000001</x:v>
      </x:c>
      <x:c r="N620" s="32" t="n">
        <x:f>MIN(J620,L620,M620)</x:f>
        <x:v>12514.86067705494</x:v>
      </x:c>
      <x:c r="O620" s="10" t="n">
        <x:f>AE619*N620</x:f>
        <x:v>112633.74609349445</x:v>
      </x:c>
      <x:c r="P620" s="9" t="n">
        <x:f>MIN(1,(AB619/(AE619*IF(tun_GroupInCrowding=1,N620,MIN(J620,L620))))^tun_CrowdingExp)</x:f>
        <x:v>0.20045430785208998</x:v>
      </x:c>
      <x:c r="Q620" s="9" t="n">
        <x:f>IF(D620=1,INDEX(tun_WinterMult,G620),1)</x:f>
        <x:v>1</x:v>
      </x:c>
      <x:c r="R620" s="9" t="n">
        <x:f>H620*Z619*tun_WomenShare*tun_BaseFertility*INDEX(tun_FertMult,G620)*Arch_Fertility*(1-P620)</x:f>
        <x:v>979.3987098110166</x:v>
      </x:c>
      <x:c r="S620" s="9" t="n">
        <x:f>H620*Y619*INDEX(tun_MortChild,G620)/4*Q620</x:f>
        <x:v>39.584505321238446</x:v>
      </x:c>
      <x:c r="T620" s="9" t="n">
        <x:f>H620*Z619*INDEX(tun_MortAdult,G620)*Arch_AdultMort/4*Q620</x:f>
        <x:v>25.698126175571197</x:v>
      </x:c>
      <x:c r="U620" s="9" t="n">
        <x:f>H620*AA619*INDEX(tun_MortElder,G620)/4*Q620</x:f>
        <x:v>137.90673236497292</x:v>
      </x:c>
      <x:c r="V620" s="9" t="n">
        <x:f>H620*MAX(0,AB619-O620)*tun_OvercapLoss</x:f>
        <x:v>0</x:v>
      </x:c>
      <x:c r="W620" s="9" t="n">
        <x:f>H620*Y619/(tun_ChildYears*4)</x:f>
        <x:v>628.3254812894992</x:v>
      </x:c>
      <x:c r="X620" s="9" t="n">
        <x:f>H620*Z619/(tun_AdultYears*4)</x:f>
        <x:v>276.3239373717333</x:v>
      </x:c>
      <x:c r="Y620" s="32" t="n">
        <x:f>Y619+R620-S620-W620-Y619*V620/AB619</x:f>
        <x:v>35497.71567541223</x:v>
      </x:c>
      <x:c r="Z620" s="32" t="n">
        <x:f>Z619+W620-X620-T620-Z619*V620/AB619</x:f>
        <x:v>34590.47165183712</x:v>
      </x:c>
      <x:c r="AA620" s="32" t="n">
        <x:f>AA619+X620-U620-AA619*V620/AB619</x:f>
        <x:v>16854.38476439742</x:v>
      </x:c>
      <x:c r="AB620" s="10" t="n">
        <x:f>Y620+Z620+AA620</x:f>
        <x:v>86942.57209164677</x:v>
      </x:c>
      <x:c r="AC620" s="8" t="n">
        <x:f>IF(AND(tun_WinterTrigger=1,D620=1,AB619/AE619&gt;=K620),1,0)</x:f>
        <x:v>0</x:v>
      </x:c>
      <x:c r="AD620" s="8" t="n">
        <x:f>H620*IF(AND(OR(AB619/AE619&gt;=tun_FissionTrigger*N620,AC620=1),AB619/AE619*tun_DaughterShare&gt;=tun_MinDaughter),MAX(1,ROUND(AE619*tun_FissionRate,0)),0)</x:f>
        <x:v>0</x:v>
      </x:c>
      <x:c r="AE620" s="8" t="n">
        <x:f>IF(H620=1,MAX(1,MIN(INDEX(tun_Smax,G620),AE619+AD620)),AE619)</x:f>
        <x:v>9</x:v>
      </x:c>
      <x:c r="AF620" s="8" t="n">
        <x:f>MAX(0,AE620-AE619)</x:f>
        <x:v>0</x:v>
      </x:c>
      <x:c r="AG620" s="9" t="str">
        <x:f>IF(AF620&gt;0,B620,"")</x:f>
      </x:c>
      <x:c r="AH620" s="9" t="n">
        <x:f>IF(F620&gt;=1,1,(1+tun_LowTiesShare*(AE620-1))/AE620)</x:f>
        <x:v>1</x:v>
      </x:c>
      <x:c r="AI620" s="32" t="n">
        <x:f>(Z620+tun_ElderCommons*INDEX(LM_Elder,G620)*AA620)*AH620</x:f>
        <x:v>97794.41451832744</x:v>
      </x:c>
      <x:c r="AJ620" s="32" t="n">
        <x:f>H620*tun_CommonsCoef*AI620^tun_CommonsExp*INDEX(LM_Commons,G620)</x:f>
        <x:v>252498.65701710907</x:v>
      </x:c>
      <x:c r="AK620" s="32" t="n">
        <x:f>H620*tun_RoleScale*Arch_Roles*(AE620*(INDEX(tun_ElderRolePerSett,G620)*tun_OutElder*INDEX(LM_Elder,G620)+INDEX(tun_ShamanPerSett,G620)*tun_OutShaman)+Z620*(INDEX(tun_PriestShare,G620)*tun_OutPriest+INDEX(tun_ScribeShare,G620)*tun_OutScribe*INDEX(LM_Scribe,G620)+INDEX(tun_ScholarShare,G620)*tun_OutScholar*INDEX(LM_Scholar,G620)+INDEX(tun_ResearcherShare,G620)*tun_OutResearcher*INDEX(LM_Researcher,G620)))</x:f>
        <x:v>71707.23904929396</x:v>
      </x:c>
      <x:c r="AL620" s="32" t="n">
        <x:f>H620*tun_RoleScale*Arch_Roles*AE620*INDEX(tun_MonasteryPerSett,G620)*tun_OutMonastery*INDEX(LM_Monastery,G620)</x:f>
        <x:v>31.680000000000003</x:v>
      </x:c>
      <x:c r="AM620" s="32" t="n">
        <x:f>(AJ620+AK620+AL620)/4*INDEX(LM_All,G620)*INDEX(tun_Boon,G620)*Arch_Insight</x:f>
        <x:v>233610.4094553821</x:v>
      </x:c>
      <x:c r="AN620" s="32" t="n">
        <x:f>H620*(tun_KHPerAdult*Z620+tun_KHOfCommons*AJ620/4*INDEX(LM_All,G620))*tun_KHUsable*Arch_KH</x:f>
        <x:v>36581.63231894172</x:v>
      </x:c>
      <x:c r="AO620" s="32" t="n">
        <x:f>MIN(AP619+AN620,AM620*tun_KHMaxRatio)</x:f>
        <x:v>36581.63231894172</x:v>
      </x:c>
      <x:c r="AP620" s="32" t="n">
        <x:f>AP619+AN620-AO620</x:f>
        <x:v>0</x:v>
      </x:c>
      <x:c r="AQ620" s="32" t="n">
        <x:f>AM620+AO620</x:f>
        <x:v>270192.0417743238</x:v>
      </x:c>
      <x:c r="AR620" s="10" t="n">
        <x:f>IF(H620=1,INDEX(tun_Req,G620),0)</x:f>
        <x:v>24497531.045680594</x:v>
      </x:c>
      <x:c r="AS620" s="32" t="n">
        <x:f>IF(H620=1,IF(E620=1,AS619-AR619,AS619)+AQ620,0)</x:f>
        <x:v>22731734.646887507</x:v>
      </x:c>
      <x:c r="AT620" s="11" t="n">
        <x:f>IF(AR620&gt;0,MIN(1,AS620/AR620),1)</x:f>
        <x:v>0.927919413776825</x:v>
      </x:c>
      <x:c r="AU620" s="10" t="n">
        <x:f>AB620/INDEX(tun_RepScale,G620)</x:f>
        <x:v>347.77028836658707</x:v>
      </x:c>
      <x:c r="AV620" s="32" t="n">
        <x:f>AM620*60/tun_SeasonSeconds</x:f>
        <x:v>934441.6378215284</x:v>
      </x:c>
    </x:row>
    <x:row r="621">
      <x:c r="A621" s="8" t="n">
        <x:f>A620+1</x:f>
        <x:v>618</x:v>
      </x:c>
      <x:c r="B621" s="9" t="n">
        <x:f>A621*tun_SeasonSeconds/60</x:f>
        <x:v>154.5</x:v>
      </x:c>
      <x:c r="C621" s="9" t="n">
        <x:f>A621/4</x:f>
        <x:v>154.5</x:v>
      </x:c>
      <x:c r="D621" s="8" t="n">
        <x:f>IF(MOD(A621,4)=0,1,0)</x:f>
        <x:v>0</x:v>
      </x:c>
      <x:c r="E621" s="8" t="n">
        <x:f>IF(AND(F620&lt;=9,AS620&gt;=AR620),1,0)</x:f>
        <x:v>0</x:v>
      </x:c>
      <x:c r="F621" s="8" t="n">
        <x:f>MIN(10,F620+E621)</x:f>
        <x:v>8</x:v>
      </x:c>
      <x:c r="G621" s="8" t="n">
        <x:f>MIN(F621,9)+1</x:f>
        <x:v>9</x:v>
      </x:c>
      <x:c r="H621" s="8" t="n">
        <x:f>IF(F621&lt;=9,1,0)</x:f>
        <x:v>1</x:v>
      </x:c>
      <x:c r="I621" s="9" t="n">
        <x:f>MIN(10,F620+IF(AR620&gt;0,MIN(1,AS620/AR620),1))</x:f>
        <x:v>8.927919413776825</x:v>
      </x:c>
      <x:c r="J621" s="32" t="n">
        <x:f>INDEX(tun_FoodCap,G621)*Arch_FoodCap*EXP(tun_CapsByProject*SUMPRODUCT((Cap_Point&lt;=I621)*(Cap_Kind="Food")*Cap_Ln))</x:f>
        <x:v>13863.877308233004</x:v>
      </x:c>
      <x:c r="K621" s="32" t="n">
        <x:f>J621*MIN(1,tun_LeanBase*EXP(tun_CapsByProject*SUMPRODUCT((Cap_Point&lt;=I621)*(Cap_Kind="Lean")*Cap_Ln)))</x:f>
        <x:v>13863.877308233004</x:v>
      </x:c>
      <x:c r="L621" s="10" t="n">
        <x:f>INDEX(tun_HousingCap,G621)*EXP(tun_CapsByProject*SUMPRODUCT((Cap_Point&lt;=I621)*(Cap_Kind="Housing")*Cap_Ln))</x:f>
        <x:v>12514.86067705494</x:v>
      </x:c>
      <x:c r="M621" s="10" t="n">
        <x:f>INDEX(tun_GroupCap,G621)*tun_CohesionFactor*EXP(tun_CapsByProject*SUMPRODUCT((Cap_Point&lt;=I621)*(Cap_Kind="Group")*Cap_Ln))</x:f>
        <x:v>1000000.000000001</x:v>
      </x:c>
      <x:c r="N621" s="32" t="n">
        <x:f>MIN(J621,L621,M621)</x:f>
        <x:v>12514.86067705494</x:v>
      </x:c>
      <x:c r="O621" s="10" t="n">
        <x:f>AE620*N621</x:f>
        <x:v>112633.74609349445</x:v>
      </x:c>
      <x:c r="P621" s="9" t="n">
        <x:f>MIN(1,(AB620/(AE620*IF(tun_GroupInCrowding=1,N621,MIN(J621,L621))))^tun_CrowdingExp)</x:f>
        <x:v>0.2115357298506304</x:v>
      </x:c>
      <x:c r="Q621" s="9" t="n">
        <x:f>IF(D621=1,INDEX(tun_WinterMult,G621),1)</x:f>
        <x:v>1</x:v>
      </x:c>
      <x:c r="R621" s="9" t="n">
        <x:f>H621*Z620*tun_WomenShare*tun_BaseFertility*INDEX(tun_FertMult,G621)*Arch_Fertility*(1-P621)</x:f>
        <x:v>975.0222977169038</x:v>
      </x:c>
      <x:c r="S621" s="9" t="n">
        <x:f>H621*Y620*INDEX(tun_MortChild,G621)/4*Q621</x:f>
        <x:v>39.93493013483876</x:v>
      </x:c>
      <x:c r="T621" s="9" t="n">
        <x:f>H621*Z620*INDEX(tun_MortAdult,G621)*Arch_AdultMort/4*Q621</x:f>
        <x:v>25.94285373887784</x:v>
      </x:c>
      <x:c r="U621" s="9" t="n">
        <x:f>H621*AA620*INDEX(tun_MortElder,G621)/4*Q621</x:f>
        <x:v>139.0486743062787</x:v>
      </x:c>
      <x:c r="V621" s="9" t="n">
        <x:f>H621*MAX(0,AB620-O621)*tun_OvercapLoss</x:f>
        <x:v>0</x:v>
      </x:c>
      <x:c r="W621" s="9" t="n">
        <x:f>H621*Y620/(tun_ChildYears*4)</x:f>
        <x:v>633.8877799180756</x:v>
      </x:c>
      <x:c r="X621" s="9" t="n">
        <x:f>H621*Z620/(tun_AdultYears*4)</x:f>
        <x:v>278.9554165470735</x:v>
      </x:c>
      <x:c r="Y621" s="32" t="n">
        <x:f>Y620+R621-S621-W621-Y620*V621/AB620</x:f>
        <x:v>35798.91526307622</x:v>
      </x:c>
      <x:c r="Z621" s="32" t="n">
        <x:f>Z620+W621-X621-T621-Z620*V621/AB620</x:f>
        <x:v>34919.46116146924</x:v>
      </x:c>
      <x:c r="AA621" s="32" t="n">
        <x:f>AA620+X621-U621-AA620*V621/AB620</x:f>
        <x:v>16994.291506638212</x:v>
      </x:c>
      <x:c r="AB621" s="10" t="n">
        <x:f>Y621+Z621+AA621</x:f>
        <x:v>87712.66793118366</x:v>
      </x:c>
      <x:c r="AC621" s="8" t="n">
        <x:f>IF(AND(tun_WinterTrigger=1,D621=1,AB620/AE620&gt;=K621),1,0)</x:f>
        <x:v>0</x:v>
      </x:c>
      <x:c r="AD621" s="8" t="n">
        <x:f>H621*IF(AND(OR(AB620/AE620&gt;=tun_FissionTrigger*N621,AC621=1),AB620/AE620*tun_DaughterShare&gt;=tun_MinDaughter),MAX(1,ROUND(AE620*tun_FissionRate,0)),0)</x:f>
        <x:v>0</x:v>
      </x:c>
      <x:c r="AE621" s="8" t="n">
        <x:f>IF(H621=1,MAX(1,MIN(INDEX(tun_Smax,G621),AE620+AD621)),AE620)</x:f>
        <x:v>9</x:v>
      </x:c>
      <x:c r="AF621" s="8" t="n">
        <x:f>MAX(0,AE621-AE620)</x:f>
        <x:v>0</x:v>
      </x:c>
      <x:c r="AG621" s="9" t="str">
        <x:f>IF(AF621&gt;0,B621,"")</x:f>
      </x:c>
      <x:c r="AH621" s="9" t="n">
        <x:f>IF(F621&gt;=1,1,(1+tun_LowTiesShare*(AE621-1))/AE621)</x:f>
        <x:v>1</x:v>
      </x:c>
      <x:c r="AI621" s="32" t="n">
        <x:f>(Z621+tun_ElderCommons*INDEX(LM_Elder,G621)*AA621)*AH621</x:f>
        <x:v>98648.05431136253</x:v>
      </x:c>
      <x:c r="AJ621" s="32" t="n">
        <x:f>H621*tun_CommonsCoef*AI621^tun_CommonsExp*INDEX(LM_Commons,G621)</x:f>
        <x:v>254370.86949056108</x:v>
      </x:c>
      <x:c r="AK621" s="32" t="n">
        <x:f>H621*tun_RoleScale*Arch_Roles*(AE621*(INDEX(tun_ElderRolePerSett,G621)*tun_OutElder*INDEX(LM_Elder,G621)+INDEX(tun_ShamanPerSett,G621)*tun_OutShaman)+Z621*(INDEX(tun_PriestShare,G621)*tun_OutPriest+INDEX(tun_ScribeShare,G621)*tun_OutScribe*INDEX(LM_Scribe,G621)+INDEX(tun_ScholarShare,G621)*tun_OutScholar*INDEX(LM_Scholar,G621)+INDEX(tun_ResearcherShare,G621)*tun_OutResearcher*INDEX(LM_Researcher,G621)))</x:f>
        <x:v>72386.934463618</x:v>
      </x:c>
      <x:c r="AL621" s="32" t="n">
        <x:f>H621*tun_RoleScale*Arch_Roles*AE621*INDEX(tun_MonasteryPerSett,G621)*tun_OutMonastery*INDEX(LM_Monastery,G621)</x:f>
        <x:v>31.680000000000003</x:v>
      </x:c>
      <x:c r="AM621" s="32" t="n">
        <x:f>(AJ621+AK621+AL621)/4*INDEX(LM_All,G621)*INDEX(tun_Boon,G621)*Arch_Insight</x:f>
        <x:v>235449.03733370578</x:v>
      </x:c>
      <x:c r="AN621" s="32" t="n">
        <x:f>H621*(tun_KHPerAdult*Z621+tun_KHOfCommons*AJ621/4*INDEX(LM_All,G621))*tun_KHUsable*Arch_KH</x:f>
        <x:v>36852.87569558319</x:v>
      </x:c>
      <x:c r="AO621" s="32" t="n">
        <x:f>MIN(AP620+AN621,AM621*tun_KHMaxRatio)</x:f>
        <x:v>36852.87569558319</x:v>
      </x:c>
      <x:c r="AP621" s="32" t="n">
        <x:f>AP620+AN621-AO621</x:f>
        <x:v>0</x:v>
      </x:c>
      <x:c r="AQ621" s="32" t="n">
        <x:f>AM621+AO621</x:f>
        <x:v>272301.913029289</x:v>
      </x:c>
      <x:c r="AR621" s="10" t="n">
        <x:f>IF(H621=1,INDEX(tun_Req,G621),0)</x:f>
        <x:v>24497531.045680594</x:v>
      </x:c>
      <x:c r="AS621" s="32" t="n">
        <x:f>IF(H621=1,IF(E621=1,AS620-AR620,AS620)+AQ621,0)</x:f>
        <x:v>23004036.559916798</x:v>
      </x:c>
      <x:c r="AT621" s="11" t="n">
        <x:f>IF(AR621&gt;0,MIN(1,AS621/AR621),1)</x:f>
        <x:v>0.9390348977217796</x:v>
      </x:c>
      <x:c r="AU621" s="10" t="n">
        <x:f>AB621/INDEX(tun_RepScale,G621)</x:f>
        <x:v>350.85067172473464</x:v>
      </x:c>
      <x:c r="AV621" s="32" t="n">
        <x:f>AM621*60/tun_SeasonSeconds</x:f>
        <x:v>941796.1493348231</x:v>
      </x:c>
    </x:row>
    <x:row r="622">
      <x:c r="A622" s="8" t="n">
        <x:f>A621+1</x:f>
        <x:v>619</x:v>
      </x:c>
      <x:c r="B622" s="9" t="n">
        <x:f>A622*tun_SeasonSeconds/60</x:f>
        <x:v>154.75</x:v>
      </x:c>
      <x:c r="C622" s="9" t="n">
        <x:f>A622/4</x:f>
        <x:v>154.75</x:v>
      </x:c>
      <x:c r="D622" s="8" t="n">
        <x:f>IF(MOD(A622,4)=0,1,0)</x:f>
        <x:v>0</x:v>
      </x:c>
      <x:c r="E622" s="8" t="n">
        <x:f>IF(AND(F621&lt;=9,AS621&gt;=AR621),1,0)</x:f>
        <x:v>0</x:v>
      </x:c>
      <x:c r="F622" s="8" t="n">
        <x:f>MIN(10,F621+E622)</x:f>
        <x:v>8</x:v>
      </x:c>
      <x:c r="G622" s="8" t="n">
        <x:f>MIN(F622,9)+1</x:f>
        <x:v>9</x:v>
      </x:c>
      <x:c r="H622" s="8" t="n">
        <x:f>IF(F622&lt;=9,1,0)</x:f>
        <x:v>1</x:v>
      </x:c>
      <x:c r="I622" s="9" t="n">
        <x:f>MIN(10,F621+IF(AR621&gt;0,MIN(1,AS621/AR621),1))</x:f>
        <x:v>8.939034897721779</x:v>
      </x:c>
      <x:c r="J622" s="32" t="n">
        <x:f>INDEX(tun_FoodCap,G622)*Arch_FoodCap*EXP(tun_CapsByProject*SUMPRODUCT((Cap_Point&lt;=I622)*(Cap_Kind="Food")*Cap_Ln))</x:f>
        <x:v>13863.877308233004</x:v>
      </x:c>
      <x:c r="K622" s="32" t="n">
        <x:f>J622*MIN(1,tun_LeanBase*EXP(tun_CapsByProject*SUMPRODUCT((Cap_Point&lt;=I622)*(Cap_Kind="Lean")*Cap_Ln)))</x:f>
        <x:v>13863.877308233004</x:v>
      </x:c>
      <x:c r="L622" s="10" t="n">
        <x:f>INDEX(tun_HousingCap,G622)*EXP(tun_CapsByProject*SUMPRODUCT((Cap_Point&lt;=I622)*(Cap_Kind="Housing")*Cap_Ln))</x:f>
        <x:v>12514.86067705494</x:v>
      </x:c>
      <x:c r="M622" s="10" t="n">
        <x:f>INDEX(tun_GroupCap,G622)*tun_CohesionFactor*EXP(tun_CapsByProject*SUMPRODUCT((Cap_Point&lt;=I622)*(Cap_Kind="Group")*Cap_Ln))</x:f>
        <x:v>1000000.000000001</x:v>
      </x:c>
      <x:c r="N622" s="32" t="n">
        <x:f>MIN(J622,L622,M622)</x:f>
        <x:v>12514.86067705494</x:v>
      </x:c>
      <x:c r="O622" s="10" t="n">
        <x:f>AE621*N622</x:f>
        <x:v>112633.74609349445</x:v>
      </x:c>
      <x:c r="P622" s="9" t="n">
        <x:f>MIN(1,(AB621/(AE621*IF(tun_GroupInCrowding=1,N622,MIN(J622,L622))))^tun_CrowdingExp)</x:f>
        <x:v>0.22302972794299888</x:v>
      </x:c>
      <x:c r="Q622" s="9" t="n">
        <x:f>IF(D622=1,INDEX(tun_WinterMult,G622),1)</x:f>
        <x:v>1</x:v>
      </x:c>
      <x:c r="R622" s="9" t="n">
        <x:f>H622*Z621*tun_WomenShare*tun_BaseFertility*INDEX(tun_FertMult,G622)*Arch_Fertility*(1-P622)</x:f>
        <x:v>969.9469507839054</x:v>
      </x:c>
      <x:c r="S622" s="9" t="n">
        <x:f>H622*Y621*INDEX(tun_MortChild,G622)/4*Q622</x:f>
        <x:v>40.27377967096074</x:v>
      </x:c>
      <x:c r="T622" s="9" t="n">
        <x:f>H622*Z621*INDEX(tun_MortAdult,G622)*Arch_AdultMort/4*Q622</x:f>
        <x:v>26.189595871101933</x:v>
      </x:c>
      <x:c r="U622" s="9" t="n">
        <x:f>H622*AA621*INDEX(tun_MortElder,G622)/4*Q622</x:f>
        <x:v>140.20290492976525</x:v>
      </x:c>
      <x:c r="V622" s="9" t="n">
        <x:f>H622*MAX(0,AB621-O622)*tun_OvercapLoss</x:f>
        <x:v>0</x:v>
      </x:c>
      <x:c r="W622" s="9" t="n">
        <x:f>H622*Y621/(tun_ChildYears*4)</x:f>
        <x:v>639.2663439835039</x:v>
      </x:c>
      <x:c r="X622" s="9" t="n">
        <x:f>H622*Z621/(tun_AdultYears*4)</x:f>
        <x:v>281.60855775378417</x:v>
      </x:c>
      <x:c r="Y622" s="32" t="n">
        <x:f>Y621+R622-S622-W622-Y621*V622/AB621</x:f>
        <x:v>36089.32209020566</x:v>
      </x:c>
      <x:c r="Z622" s="32" t="n">
        <x:f>Z621+W622-X622-T622-Z621*V622/AB621</x:f>
        <x:v>35250.92935182786</x:v>
      </x:c>
      <x:c r="AA622" s="32" t="n">
        <x:f>AA621+X622-U622-AA621*V622/AB621</x:f>
        <x:v>17135.697159462234</x:v>
      </x:c>
      <x:c r="AB622" s="10" t="n">
        <x:f>Y622+Z622+AA622</x:f>
        <x:v>88475.94860149574</x:v>
      </x:c>
      <x:c r="AC622" s="8" t="n">
        <x:f>IF(AND(tun_WinterTrigger=1,D622=1,AB621/AE621&gt;=K622),1,0)</x:f>
        <x:v>0</x:v>
      </x:c>
      <x:c r="AD622" s="8" t="n">
        <x:f>H622*IF(AND(OR(AB621/AE621&gt;=tun_FissionTrigger*N622,AC622=1),AB621/AE621*tun_DaughterShare&gt;=tun_MinDaughter),MAX(1,ROUND(AE621*tun_FissionRate,0)),0)</x:f>
        <x:v>0</x:v>
      </x:c>
      <x:c r="AE622" s="8" t="n">
        <x:f>IF(H622=1,MAX(1,MIN(INDEX(tun_Smax,G622),AE621+AD622)),AE621)</x:f>
        <x:v>9</x:v>
      </x:c>
      <x:c r="AF622" s="8" t="n">
        <x:f>MAX(0,AE622-AE621)</x:f>
        <x:v>0</x:v>
      </x:c>
      <x:c r="AG622" s="9" t="str">
        <x:f>IF(AF622&gt;0,B622,"")</x:f>
      </x:c>
      <x:c r="AH622" s="9" t="n">
        <x:f>IF(F622&gt;=1,1,(1+tun_LowTiesShare*(AE622-1))/AE622)</x:f>
        <x:v>1</x:v>
      </x:c>
      <x:c r="AI622" s="32" t="n">
        <x:f>(Z622+tun_ElderCommons*INDEX(LM_Elder,G622)*AA622)*AH622</x:f>
        <x:v>99509.79369981124</x:v>
      </x:c>
      <x:c r="AJ622" s="32" t="n">
        <x:f>H622*tun_CommonsCoef*AI622^tun_CommonsExp*INDEX(LM_Commons,G622)</x:f>
        <x:v>256258.38288843326</x:v>
      </x:c>
      <x:c r="AK622" s="32" t="n">
        <x:f>H622*tun_RoleScale*Arch_Roles*(AE622*(INDEX(tun_ElderRolePerSett,G622)*tun_OutElder*INDEX(LM_Elder,G622)+INDEX(tun_ShamanPerSett,G622)*tun_OutShaman)+Z622*(INDEX(tun_PriestShare,G622)*tun_OutPriest+INDEX(tun_ScribeShare,G622)*tun_OutScribe*INDEX(LM_Scribe,G622)+INDEX(tun_ScholarShare,G622)*tun_OutScholar*INDEX(LM_Scholar,G622)+INDEX(tun_ResearcherShare,G622)*tun_OutResearcher*INDEX(LM_Researcher,G622)))</x:f>
        <x:v>73071.75085558435</x:v>
      </x:c>
      <x:c r="AL622" s="32" t="n">
        <x:f>H622*tun_RoleScale*Arch_Roles*AE622*INDEX(tun_MonasteryPerSett,G622)*tun_OutMonastery*INDEX(LM_Monastery,G622)</x:f>
        <x:v>31.680000000000003</x:v>
      </x:c>
      <x:c r="AM622" s="32" t="n">
        <x:f>(AJ622+AK622+AL622)/4*INDEX(LM_All,G622)*INDEX(tun_Boon,G622)*Arch_Insight</x:f>
        <x:v>237302.37901837035</x:v>
      </x:c>
      <x:c r="AN622" s="32" t="n">
        <x:f>H622*(tun_KHPerAdult*Z622+tun_KHOfCommons*AJ622/4*INDEX(LM_All,G622))*tun_KHUsable*Arch_KH</x:f>
        <x:v>37126.33584754494</x:v>
      </x:c>
      <x:c r="AO622" s="32" t="n">
        <x:f>MIN(AP621+AN622,AM622*tun_KHMaxRatio)</x:f>
        <x:v>37126.33584754494</x:v>
      </x:c>
      <x:c r="AP622" s="32" t="n">
        <x:f>AP621+AN622-AO622</x:f>
        <x:v>0</x:v>
      </x:c>
      <x:c r="AQ622" s="32" t="n">
        <x:f>AM622+AO622</x:f>
        <x:v>274428.7148659153</x:v>
      </x:c>
      <x:c r="AR622" s="10" t="n">
        <x:f>IF(H622=1,INDEX(tun_Req,G622),0)</x:f>
        <x:v>24497531.045680594</x:v>
      </x:c>
      <x:c r="AS622" s="32" t="n">
        <x:f>IF(H622=1,IF(E622=1,AS621-AR621,AS621)+AQ622,0)</x:f>
        <x:v>23278465.274782714</x:v>
      </x:c>
      <x:c r="AT622" s="11" t="n">
        <x:f>IF(AR622&gt;0,MIN(1,AS622/AR622),1)</x:f>
        <x:v>0.9502371986538282</x:v>
      </x:c>
      <x:c r="AU622" s="10" t="n">
        <x:f>AB622/INDEX(tun_RepScale,G622)</x:f>
        <x:v>353.9037944059829</x:v>
      </x:c>
      <x:c r="AV622" s="32" t="n">
        <x:f>AM622*60/tun_SeasonSeconds</x:f>
        <x:v>949209.5160734814</x:v>
      </x:c>
    </x:row>
    <x:row r="623">
      <x:c r="A623" s="8" t="n">
        <x:f>A622+1</x:f>
        <x:v>620</x:v>
      </x:c>
      <x:c r="B623" s="9" t="n">
        <x:f>A623*tun_SeasonSeconds/60</x:f>
        <x:v>155</x:v>
      </x:c>
      <x:c r="C623" s="9" t="n">
        <x:f>A623/4</x:f>
        <x:v>155</x:v>
      </x:c>
      <x:c r="D623" s="8" t="n">
        <x:f>IF(MOD(A623,4)=0,1,0)</x:f>
        <x:v>1</x:v>
      </x:c>
      <x:c r="E623" s="8" t="n">
        <x:f>IF(AND(F622&lt;=9,AS622&gt;=AR622),1,0)</x:f>
        <x:v>0</x:v>
      </x:c>
      <x:c r="F623" s="8" t="n">
        <x:f>MIN(10,F622+E623)</x:f>
        <x:v>8</x:v>
      </x:c>
      <x:c r="G623" s="8" t="n">
        <x:f>MIN(F623,9)+1</x:f>
        <x:v>9</x:v>
      </x:c>
      <x:c r="H623" s="8" t="n">
        <x:f>IF(F623&lt;=9,1,0)</x:f>
        <x:v>1</x:v>
      </x:c>
      <x:c r="I623" s="9" t="n">
        <x:f>MIN(10,F622+IF(AR622&gt;0,MIN(1,AS622/AR622),1))</x:f>
        <x:v>8.950237198653829</x:v>
      </x:c>
      <x:c r="J623" s="32" t="n">
        <x:f>INDEX(tun_FoodCap,G623)*Arch_FoodCap*EXP(tun_CapsByProject*SUMPRODUCT((Cap_Point&lt;=I623)*(Cap_Kind="Food")*Cap_Ln))</x:f>
        <x:v>13863.877308233004</x:v>
      </x:c>
      <x:c r="K623" s="32" t="n">
        <x:f>J623*MIN(1,tun_LeanBase*EXP(tun_CapsByProject*SUMPRODUCT((Cap_Point&lt;=I623)*(Cap_Kind="Lean")*Cap_Ln)))</x:f>
        <x:v>13863.877308233004</x:v>
      </x:c>
      <x:c r="L623" s="10" t="n">
        <x:f>INDEX(tun_HousingCap,G623)*EXP(tun_CapsByProject*SUMPRODUCT((Cap_Point&lt;=I623)*(Cap_Kind="Housing")*Cap_Ln))</x:f>
        <x:v>12514.86067705494</x:v>
      </x:c>
      <x:c r="M623" s="10" t="n">
        <x:f>INDEX(tun_GroupCap,G623)*tun_CohesionFactor*EXP(tun_CapsByProject*SUMPRODUCT((Cap_Point&lt;=I623)*(Cap_Kind="Group")*Cap_Ln))</x:f>
        <x:v>1000000.000000001</x:v>
      </x:c>
      <x:c r="N623" s="32" t="n">
        <x:f>MIN(J623,L623,M623)</x:f>
        <x:v>12514.86067705494</x:v>
      </x:c>
      <x:c r="O623" s="10" t="n">
        <x:f>AE622*N623</x:f>
        <x:v>112633.74609349445</x:v>
      </x:c>
      <x:c r="P623" s="9" t="n">
        <x:f>MIN(1,(AB622/(AE622*IF(tun_GroupInCrowding=1,N623,MIN(J623,L623))))^tun_CrowdingExp)</x:f>
        <x:v>0.2349309281269818</x:v>
      </x:c>
      <x:c r="Q623" s="9" t="n">
        <x:f>IF(D623=1,INDEX(tun_WinterMult,G623),1)</x:f>
        <x:v>1.05</x:v>
      </x:c>
      <x:c r="R623" s="9" t="n">
        <x:f>H623*Z622*tun_WomenShare*tun_BaseFertility*INDEX(tun_FertMult,G623)*Arch_Fertility*(1-P623)</x:f>
        <x:v>964.1558999166479</x:v>
      </x:c>
      <x:c r="S623" s="9" t="n">
        <x:f>H623*Y622*INDEX(tun_MortChild,G623)/4*Q623</x:f>
        <x:v>42.630511719055434</x:v>
      </x:c>
      <x:c r="T623" s="9" t="n">
        <x:f>H623*Z622*INDEX(tun_MortAdult,G623)*Arch_AdultMort/4*Q623</x:f>
        <x:v>27.76010686456444</x:v>
      </x:c>
      <x:c r="U623" s="9" t="n">
        <x:f>H623*AA622*INDEX(tun_MortElder,G623)/4*Q623</x:f>
        <x:v>148.4379766438416</x:v>
      </x:c>
      <x:c r="V623" s="9" t="n">
        <x:f>H623*MAX(0,AB622-O623)*tun_OvercapLoss</x:f>
        <x:v>0</x:v>
      </x:c>
      <x:c r="W623" s="9" t="n">
        <x:f>H623*Y622/(tun_ChildYears*4)</x:f>
        <x:v>644.4521801822439</x:v>
      </x:c>
      <x:c r="X623" s="9" t="n">
        <x:f>H623*Z622/(tun_AdultYears*4)</x:f>
        <x:v>284.2816883211924</x:v>
      </x:c>
      <x:c r="Y623" s="32" t="n">
        <x:f>Y622+R623-S623-W623-Y622*V623/AB622</x:f>
        <x:v>36366.395298221</x:v>
      </x:c>
      <x:c r="Z623" s="32" t="n">
        <x:f>Z622+W623-X623-T623-Z622*V623/AB622</x:f>
        <x:v>35583.33973682434</x:v>
      </x:c>
      <x:c r="AA623" s="32" t="n">
        <x:f>AA622+X623-U623-AA622*V623/AB622</x:f>
        <x:v>17271.540871139583</x:v>
      </x:c>
      <x:c r="AB623" s="10" t="n">
        <x:f>Y623+Z623+AA623</x:f>
        <x:v>89221.27590618492</x:v>
      </x:c>
      <x:c r="AC623" s="8" t="n">
        <x:f>IF(AND(tun_WinterTrigger=1,D623=1,AB622/AE622&gt;=K623),1,0)</x:f>
        <x:v>0</x:v>
      </x:c>
      <x:c r="AD623" s="8" t="n">
        <x:f>H623*IF(AND(OR(AB622/AE622&gt;=tun_FissionTrigger*N623,AC623=1),AB622/AE622*tun_DaughterShare&gt;=tun_MinDaughter),MAX(1,ROUND(AE622*tun_FissionRate,0)),0)</x:f>
        <x:v>0</x:v>
      </x:c>
      <x:c r="AE623" s="8" t="n">
        <x:f>IF(H623=1,MAX(1,MIN(INDEX(tun_Smax,G623),AE622+AD623)),AE622)</x:f>
        <x:v>9</x:v>
      </x:c>
      <x:c r="AF623" s="8" t="n">
        <x:f>MAX(0,AE623-AE622)</x:f>
        <x:v>0</x:v>
      </x:c>
      <x:c r="AG623" s="9" t="str">
        <x:f>IF(AF623&gt;0,B623,"")</x:f>
      </x:c>
      <x:c r="AH623" s="9" t="n">
        <x:f>IF(F623&gt;=1,1,(1+tun_LowTiesShare*(AE623-1))/AE623)</x:f>
        <x:v>1</x:v>
      </x:c>
      <x:c r="AI623" s="32" t="n">
        <x:f>(Z623+tun_ElderCommons*INDEX(LM_Elder,G623)*AA623)*AH623</x:f>
        <x:v>100351.61800359777</x:v>
      </x:c>
      <x:c r="AJ623" s="32" t="n">
        <x:f>H623*tun_CommonsCoef*AI623^tun_CommonsExp*INDEX(LM_Commons,G623)</x:f>
        <x:v>258099.90905007487</x:v>
      </x:c>
      <x:c r="AK623" s="32" t="n">
        <x:f>H623*tun_RoleScale*Arch_Roles*(AE623*(INDEX(tun_ElderRolePerSett,G623)*tun_OutElder*INDEX(LM_Elder,G623)+INDEX(tun_ShamanPerSett,G623)*tun_OutShaman)+Z623*(INDEX(tun_PriestShare,G623)*tun_OutPriest+INDEX(tun_ScribeShare,G623)*tun_OutScribe*INDEX(LM_Scribe,G623)+INDEX(tun_ScholarShare,G623)*tun_OutScholar*INDEX(LM_Scholar,G623)+INDEX(tun_ResearcherShare,G623)*tun_OutResearcher*INDEX(LM_Researcher,G623)))</x:f>
        <x:v>73758.51383051461</x:v>
      </x:c>
      <x:c r="AL623" s="32" t="n">
        <x:f>H623*tun_RoleScale*Arch_Roles*AE623*INDEX(tun_MonasteryPerSett,G623)*tun_OutMonastery*INDEX(LM_Monastery,G623)</x:f>
        <x:v>31.680000000000003</x:v>
      </x:c>
      <x:c r="AM623" s="32" t="n">
        <x:f>(AJ623+AK623+AL623)/4*INDEX(LM_All,G623)*INDEX(tun_Boon,G623)*Arch_Insight</x:f>
        <x:v>239123.98978779942</x:v>
      </x:c>
      <x:c r="AN623" s="32" t="n">
        <x:f>H623*(tun_KHPerAdult*Z623+tun_KHOfCommons*AJ623/4*INDEX(LM_All,G623))*tun_KHUsable*Arch_KH</x:f>
        <x:v>37393.13343667557</x:v>
      </x:c>
      <x:c r="AO623" s="32" t="n">
        <x:f>MIN(AP622+AN623,AM623*tun_KHMaxRatio)</x:f>
        <x:v>37393.13343667557</x:v>
      </x:c>
      <x:c r="AP623" s="32" t="n">
        <x:f>AP622+AN623-AO623</x:f>
        <x:v>0</x:v>
      </x:c>
      <x:c r="AQ623" s="32" t="n">
        <x:f>AM623+AO623</x:f>
        <x:v>276517.123224475</x:v>
      </x:c>
      <x:c r="AR623" s="10" t="n">
        <x:f>IF(H623=1,INDEX(tun_Req,G623),0)</x:f>
        <x:v>24497531.045680594</x:v>
      </x:c>
      <x:c r="AS623" s="32" t="n">
        <x:f>IF(H623=1,IF(E623=1,AS622-AR622,AS622)+AQ623,0)</x:f>
        <x:v>23554982.398007188</x:v>
      </x:c>
      <x:c r="AT623" s="11" t="n">
        <x:f>IF(AR623&gt;0,MIN(1,AS623/AR623),1)</x:f>
        <x:v>0.9615247493342969</x:v>
      </x:c>
      <x:c r="AU623" s="10" t="n">
        <x:f>AB623/INDEX(tun_RepScale,G623)</x:f>
        <x:v>356.88510362473966</x:v>
      </x:c>
      <x:c r="AV623" s="32" t="n">
        <x:f>AM623*60/tun_SeasonSeconds</x:f>
        <x:v>956495.9591511977</x:v>
      </x:c>
    </x:row>
    <x:row r="624">
      <x:c r="A624" s="8" t="n">
        <x:f>A623+1</x:f>
        <x:v>621</x:v>
      </x:c>
      <x:c r="B624" s="9" t="n">
        <x:f>A624*tun_SeasonSeconds/60</x:f>
        <x:v>155.25</x:v>
      </x:c>
      <x:c r="C624" s="9" t="n">
        <x:f>A624/4</x:f>
        <x:v>155.25</x:v>
      </x:c>
      <x:c r="D624" s="8" t="n">
        <x:f>IF(MOD(A624,4)=0,1,0)</x:f>
        <x:v>0</x:v>
      </x:c>
      <x:c r="E624" s="8" t="n">
        <x:f>IF(AND(F623&lt;=9,AS623&gt;=AR623),1,0)</x:f>
        <x:v>0</x:v>
      </x:c>
      <x:c r="F624" s="8" t="n">
        <x:f>MIN(10,F623+E624)</x:f>
        <x:v>8</x:v>
      </x:c>
      <x:c r="G624" s="8" t="n">
        <x:f>MIN(F624,9)+1</x:f>
        <x:v>9</x:v>
      </x:c>
      <x:c r="H624" s="8" t="n">
        <x:f>IF(F624&lt;=9,1,0)</x:f>
        <x:v>1</x:v>
      </x:c>
      <x:c r="I624" s="9" t="n">
        <x:f>MIN(10,F623+IF(AR623&gt;0,MIN(1,AS623/AR623),1))</x:f>
        <x:v>8.961524749334297</x:v>
      </x:c>
      <x:c r="J624" s="32" t="n">
        <x:f>INDEX(tun_FoodCap,G624)*Arch_FoodCap*EXP(tun_CapsByProject*SUMPRODUCT((Cap_Point&lt;=I624)*(Cap_Kind="Food")*Cap_Ln))</x:f>
        <x:v>13863.877308233004</x:v>
      </x:c>
      <x:c r="K624" s="32" t="n">
        <x:f>J624*MIN(1,tun_LeanBase*EXP(tun_CapsByProject*SUMPRODUCT((Cap_Point&lt;=I624)*(Cap_Kind="Lean")*Cap_Ln)))</x:f>
        <x:v>13863.877308233004</x:v>
      </x:c>
      <x:c r="L624" s="10" t="n">
        <x:f>INDEX(tun_HousingCap,G624)*EXP(tun_CapsByProject*SUMPRODUCT((Cap_Point&lt;=I624)*(Cap_Kind="Housing")*Cap_Ln))</x:f>
        <x:v>12514.86067705494</x:v>
      </x:c>
      <x:c r="M624" s="10" t="n">
        <x:f>INDEX(tun_GroupCap,G624)*tun_CohesionFactor*EXP(tun_CapsByProject*SUMPRODUCT((Cap_Point&lt;=I624)*(Cap_Kind="Group")*Cap_Ln))</x:f>
        <x:v>1000000.000000001</x:v>
      </x:c>
      <x:c r="N624" s="32" t="n">
        <x:f>MIN(J624,L624,M624)</x:f>
        <x:v>12514.86067705494</x:v>
      </x:c>
      <x:c r="O624" s="10" t="n">
        <x:f>AE623*N624</x:f>
        <x:v>112633.74609349445</x:v>
      </x:c>
      <x:c r="P624" s="9" t="n">
        <x:f>MIN(1,(AB623/(AE623*IF(tun_GroupInCrowding=1,N624,MIN(J624,L624))))^tun_CrowdingExp)</x:f>
        <x:v>0.2470582756309631</x:v>
      </x:c>
      <x:c r="Q624" s="9" t="n">
        <x:f>IF(D624=1,INDEX(tun_WinterMult,G624),1)</x:f>
        <x:v>1</x:v>
      </x:c>
      <x:c r="R624" s="9" t="n">
        <x:f>H624*Z623*tun_WomenShare*tun_BaseFertility*INDEX(tun_FertMult,G624)*Arch_Fertility*(1-P624)</x:f>
        <x:v>957.820477194073</x:v>
      </x:c>
      <x:c r="S624" s="9" t="n">
        <x:f>H624*Y623*INDEX(tun_MortChild,G624)/4*Q624</x:f>
        <x:v>40.912194710498625</x:v>
      </x:c>
      <x:c r="T624" s="9" t="n">
        <x:f>H624*Z623*INDEX(tun_MortAdult,G624)*Arch_AdultMort/4*Q624</x:f>
        <x:v>26.687504802618253</x:v>
      </x:c>
      <x:c r="U624" s="9" t="n">
        <x:f>H624*AA623*INDEX(tun_MortElder,G624)/4*Q624</x:f>
        <x:v>142.49021218690157</x:v>
      </x:c>
      <x:c r="V624" s="9" t="n">
        <x:f>H624*MAX(0,AB623-O624)*tun_OvercapLoss</x:f>
        <x:v>0</x:v>
      </x:c>
      <x:c r="W624" s="9" t="n">
        <x:f>H624*Y623/(tun_ChildYears*4)</x:f>
        <x:v>649.3999160396608</x:v>
      </x:c>
      <x:c r="X624" s="9" t="n">
        <x:f>H624*Z623/(tun_AdultYears*4)</x:f>
        <x:v>286.96241723245436</x:v>
      </x:c>
      <x:c r="Y624" s="32" t="n">
        <x:f>Y623+R624-S624-W624-Y623*V624/AB623</x:f>
        <x:v>36633.90366466491</x:v>
      </x:c>
      <x:c r="Z624" s="32" t="n">
        <x:f>Z623+W624-X624-T624-Z623*V624/AB623</x:f>
        <x:v>35919.08973082893</x:v>
      </x:c>
      <x:c r="AA624" s="32" t="n">
        <x:f>AA623+X624-U624-AA623*V624/AB623</x:f>
        <x:v>17416.013076185136</x:v>
      </x:c>
      <x:c r="AB624" s="10" t="n">
        <x:f>Y624+Z624+AA624</x:f>
        <x:v>89969.00647167896</x:v>
      </x:c>
      <x:c r="AC624" s="8" t="n">
        <x:f>IF(AND(tun_WinterTrigger=1,D624=1,AB623/AE623&gt;=K624),1,0)</x:f>
        <x:v>0</x:v>
      </x:c>
      <x:c r="AD624" s="8" t="n">
        <x:f>H624*IF(AND(OR(AB623/AE623&gt;=tun_FissionTrigger*N624,AC624=1),AB623/AE623*tun_DaughterShare&gt;=tun_MinDaughter),MAX(1,ROUND(AE623*tun_FissionRate,0)),0)</x:f>
        <x:v>0</x:v>
      </x:c>
      <x:c r="AE624" s="8" t="n">
        <x:f>IF(H624=1,MAX(1,MIN(INDEX(tun_Smax,G624),AE623+AD624)),AE623)</x:f>
        <x:v>9</x:v>
      </x:c>
      <x:c r="AF624" s="8" t="n">
        <x:f>MAX(0,AE624-AE623)</x:f>
        <x:v>0</x:v>
      </x:c>
      <x:c r="AG624" s="9" t="str">
        <x:f>IF(AF624&gt;0,B624,"")</x:f>
      </x:c>
      <x:c r="AH624" s="9" t="n">
        <x:f>IF(F624&gt;=1,1,(1+tun_LowTiesShare*(AE624-1))/AE624)</x:f>
        <x:v>1</x:v>
      </x:c>
      <x:c r="AI624" s="32" t="n">
        <x:f>(Z624+tun_ElderCommons*INDEX(LM_Elder,G624)*AA624)*AH624</x:f>
        <x:v>101229.13876652319</x:v>
      </x:c>
      <x:c r="AJ624" s="32" t="n">
        <x:f>H624*tun_CommonsCoef*AI624^tun_CommonsExp*INDEX(LM_Commons,G624)</x:f>
        <x:v>260017.05789067096</x:v>
      </x:c>
      <x:c r="AK624" s="32" t="n">
        <x:f>H624*tun_RoleScale*Arch_Roles*(AE624*(INDEX(tun_ElderRolePerSett,G624)*tun_OutElder*INDEX(LM_Elder,G624)+INDEX(tun_ShamanPerSett,G624)*tun_OutShaman)+Z624*(INDEX(tun_PriestShare,G624)*tun_OutPriest+INDEX(tun_ScribeShare,G624)*tun_OutScribe*INDEX(LM_Scribe,G624)+INDEX(tun_ScholarShare,G624)*tun_OutScholar*INDEX(LM_Scholar,G624)+INDEX(tun_ResearcherShare,G624)*tun_OutResearcher*INDEX(LM_Researcher,G624)))</x:f>
        <x:v>74452.17646899639</x:v>
      </x:c>
      <x:c r="AL624" s="32" t="n">
        <x:f>H624*tun_RoleScale*Arch_Roles*AE624*INDEX(tun_MonasteryPerSett,G624)*tun_OutMonastery*INDEX(LM_Monastery,G624)</x:f>
        <x:v>31.680000000000003</x:v>
      </x:c>
      <x:c r="AM624" s="32" t="n">
        <x:f>(AJ624+AK624+AL624)/4*INDEX(LM_All,G624)*INDEX(tun_Boon,G624)*Arch_Insight</x:f>
        <x:v>241005.05720150747</x:v>
      </x:c>
      <x:c r="AN624" s="32" t="n">
        <x:f>H624*(tun_KHPerAdult*Z624+tun_KHOfCommons*AJ624/4*INDEX(LM_All,G624))*tun_KHUsable*Arch_KH</x:f>
        <x:v>37670.887127787755</x:v>
      </x:c>
      <x:c r="AO624" s="32" t="n">
        <x:f>MIN(AP623+AN624,AM624*tun_KHMaxRatio)</x:f>
        <x:v>37670.887127787755</x:v>
      </x:c>
      <x:c r="AP624" s="32" t="n">
        <x:f>AP623+AN624-AO624</x:f>
        <x:v>0</x:v>
      </x:c>
      <x:c r="AQ624" s="32" t="n">
        <x:f>AM624+AO624</x:f>
        <x:v>278675.94432929525</x:v>
      </x:c>
      <x:c r="AR624" s="10" t="n">
        <x:f>IF(H624=1,INDEX(tun_Req,G624),0)</x:f>
        <x:v>24497531.045680594</x:v>
      </x:c>
      <x:c r="AS624" s="32" t="n">
        <x:f>IF(H624=1,IF(E624=1,AS623-AR623,AS623)+AQ624,0)</x:f>
        <x:v>23833658.342336483</x:v>
      </x:c>
      <x:c r="AT624" s="11" t="n">
        <x:f>IF(AR624&gt;0,MIN(1,AS624/AR624),1)</x:f>
        <x:v>0.9729004240424807</x:v>
      </x:c>
      <x:c r="AU624" s="10" t="n">
        <x:f>AB624/INDEX(tun_RepScale,G624)</x:f>
        <x:v>359.87602588671587</x:v>
      </x:c>
      <x:c r="AV624" s="32" t="n">
        <x:f>AM624*60/tun_SeasonSeconds</x:f>
        <x:v>964020.2288060299</x:v>
      </x:c>
    </x:row>
    <x:row r="625">
      <x:c r="A625" s="8" t="n">
        <x:f>A624+1</x:f>
        <x:v>622</x:v>
      </x:c>
      <x:c r="B625" s="9" t="n">
        <x:f>A625*tun_SeasonSeconds/60</x:f>
        <x:v>155.5</x:v>
      </x:c>
      <x:c r="C625" s="9" t="n">
        <x:f>A625/4</x:f>
        <x:v>155.5</x:v>
      </x:c>
      <x:c r="D625" s="8" t="n">
        <x:f>IF(MOD(A625,4)=0,1,0)</x:f>
        <x:v>0</x:v>
      </x:c>
      <x:c r="E625" s="8" t="n">
        <x:f>IF(AND(F624&lt;=9,AS624&gt;=AR624),1,0)</x:f>
        <x:v>0</x:v>
      </x:c>
      <x:c r="F625" s="8" t="n">
        <x:f>MIN(10,F624+E625)</x:f>
        <x:v>8</x:v>
      </x:c>
      <x:c r="G625" s="8" t="n">
        <x:f>MIN(F625,9)+1</x:f>
        <x:v>9</x:v>
      </x:c>
      <x:c r="H625" s="8" t="n">
        <x:f>IF(F625&lt;=9,1,0)</x:f>
        <x:v>1</x:v>
      </x:c>
      <x:c r="I625" s="9" t="n">
        <x:f>MIN(10,F624+IF(AR624&gt;0,MIN(1,AS624/AR624),1))</x:f>
        <x:v>8.97290042404248</x:v>
      </x:c>
      <x:c r="J625" s="32" t="n">
        <x:f>INDEX(tun_FoodCap,G625)*Arch_FoodCap*EXP(tun_CapsByProject*SUMPRODUCT((Cap_Point&lt;=I625)*(Cap_Kind="Food")*Cap_Ln))</x:f>
        <x:v>13863.877308233004</x:v>
      </x:c>
      <x:c r="K625" s="32" t="n">
        <x:f>J625*MIN(1,tun_LeanBase*EXP(tun_CapsByProject*SUMPRODUCT((Cap_Point&lt;=I625)*(Cap_Kind="Lean")*Cap_Ln)))</x:f>
        <x:v>13863.877308233004</x:v>
      </x:c>
      <x:c r="L625" s="10" t="n">
        <x:f>INDEX(tun_HousingCap,G625)*EXP(tun_CapsByProject*SUMPRODUCT((Cap_Point&lt;=I625)*(Cap_Kind="Housing")*Cap_Ln))</x:f>
        <x:v>12514.86067705494</x:v>
      </x:c>
      <x:c r="M625" s="10" t="n">
        <x:f>INDEX(tun_GroupCap,G625)*tun_CohesionFactor*EXP(tun_CapsByProject*SUMPRODUCT((Cap_Point&lt;=I625)*(Cap_Kind="Group")*Cap_Ln))</x:f>
        <x:v>1000000.000000001</x:v>
      </x:c>
      <x:c r="N625" s="32" t="n">
        <x:f>MIN(J625,L625,M625)</x:f>
        <x:v>12514.86067705494</x:v>
      </x:c>
      <x:c r="O625" s="10" t="n">
        <x:f>AE624*N625</x:f>
        <x:v>112633.74609349445</x:v>
      </x:c>
      <x:c r="P625" s="9" t="n">
        <x:f>MIN(1,(AB624/(AE624*IF(tun_GroupInCrowding=1,N625,MIN(J625,L625))))^tun_CrowdingExp)</x:f>
        <x:v>0.25974450941468713</x:v>
      </x:c>
      <x:c r="Q625" s="9" t="n">
        <x:f>IF(D625=1,INDEX(tun_WinterMult,G625),1)</x:f>
        <x:v>1</x:v>
      </x:c>
      <x:c r="R625" s="9" t="n">
        <x:f>H625*Z624*tun_WomenShare*tun_BaseFertility*INDEX(tun_FertMult,G625)*Arch_Fertility*(1-P625)</x:f>
        <x:v>950.567596195097</x:v>
      </x:c>
      <x:c r="S625" s="9" t="n">
        <x:f>H625*Y624*INDEX(tun_MortChild,G625)/4*Q625</x:f>
        <x:v>41.21314162274802</x:v>
      </x:c>
      <x:c r="T625" s="9" t="n">
        <x:f>H625*Z624*INDEX(tun_MortAdult,G625)*Arch_AdultMort/4*Q625</x:f>
        <x:v>26.939317298121697</x:v>
      </x:c>
      <x:c r="U625" s="9" t="n">
        <x:f>H625*AA624*INDEX(tun_MortElder,G625)/4*Q625</x:f>
        <x:v>143.68210787852738</x:v>
      </x:c>
      <x:c r="V625" s="9" t="n">
        <x:f>H625*MAX(0,AB624-O625)*tun_OvercapLoss</x:f>
        <x:v>0</x:v>
      </x:c>
      <x:c r="W625" s="9" t="n">
        <x:f>H625*Y624/(tun_ChildYears*4)</x:f>
        <x:v>654.1768511547306</x:v>
      </x:c>
      <x:c r="X625" s="9" t="n">
        <x:f>H625*Z624/(tun_AdultYears*4)</x:f>
        <x:v>289.6700784744268</x:v>
      </x:c>
      <x:c r="Y625" s="32" t="n">
        <x:f>Y624+R625-S625-W625-Y624*V625/AB624</x:f>
        <x:v>36889.08126808253</x:v>
      </x:c>
      <x:c r="Z625" s="32" t="n">
        <x:f>Z624+W625-X625-T625-Z624*V625/AB624</x:f>
        <x:v>36256.65718621111</x:v>
      </x:c>
      <x:c r="AA625" s="32" t="n">
        <x:f>AA624+X625-U625-AA624*V625/AB624</x:f>
        <x:v>17562.001046781035</x:v>
      </x:c>
      <x:c r="AB625" s="10" t="n">
        <x:f>Y625+Z625+AA625</x:f>
        <x:v>90707.73950107467</x:v>
      </x:c>
      <x:c r="AC625" s="8" t="n">
        <x:f>IF(AND(tun_WinterTrigger=1,D625=1,AB624/AE624&gt;=K625),1,0)</x:f>
        <x:v>0</x:v>
      </x:c>
      <x:c r="AD625" s="8" t="n">
        <x:f>H625*IF(AND(OR(AB624/AE624&gt;=tun_FissionTrigger*N625,AC625=1),AB624/AE624*tun_DaughterShare&gt;=tun_MinDaughter),MAX(1,ROUND(AE624*tun_FissionRate,0)),0)</x:f>
        <x:v>0</x:v>
      </x:c>
      <x:c r="AE625" s="8" t="n">
        <x:f>IF(H625=1,MAX(1,MIN(INDEX(tun_Smax,G625),AE624+AD625)),AE624)</x:f>
        <x:v>9</x:v>
      </x:c>
      <x:c r="AF625" s="8" t="n">
        <x:f>MAX(0,AE625-AE624)</x:f>
        <x:v>0</x:v>
      </x:c>
      <x:c r="AG625" s="9" t="str">
        <x:f>IF(AF625&gt;0,B625,"")</x:f>
      </x:c>
      <x:c r="AH625" s="9" t="n">
        <x:f>IF(F625&gt;=1,1,(1+tun_LowTiesShare*(AE625-1))/AE625)</x:f>
        <x:v>1</x:v>
      </x:c>
      <x:c r="AI625" s="32" t="n">
        <x:f>(Z625+tun_ElderCommons*INDEX(LM_Elder,G625)*AA625)*AH625</x:f>
        <x:v>102114.16111163999</x:v>
      </x:c>
      <x:c r="AJ625" s="32" t="n">
        <x:f>H625*tun_CommonsCoef*AI625^tun_CommonsExp*INDEX(LM_Commons,G625)</x:f>
        <x:v>261948.072443033</x:v>
      </x:c>
      <x:c r="AK625" s="32" t="n">
        <x:f>H625*tun_RoleScale*Arch_Roles*(AE625*(INDEX(tun_ElderRolePerSett,G625)*tun_OutElder*INDEX(LM_Elder,G625)+INDEX(tun_ShamanPerSett,G625)*tun_OutShaman)+Z625*(INDEX(tun_PriestShare,G625)*tun_OutPriest+INDEX(tun_ScribeShare,G625)*tun_OutScribe*INDEX(LM_Scribe,G625)+INDEX(tun_ScholarShare,G625)*tun_OutScholar*INDEX(LM_Scholar,G625)+INDEX(tun_ResearcherShare,G625)*tun_OutResearcher*INDEX(LM_Researcher,G625)))</x:f>
        <x:v>75149.59399974038</x:v>
      </x:c>
      <x:c r="AL625" s="32" t="n">
        <x:f>H625*tun_RoleScale*Arch_Roles*AE625*INDEX(tun_MonasteryPerSett,G625)*tun_OutMonastery*INDEX(LM_Monastery,G625)</x:f>
        <x:v>31.680000000000003</x:v>
      </x:c>
      <x:c r="AM625" s="32" t="n">
        <x:f>(AJ625+AK625+AL625)/4*INDEX(LM_All,G625)*INDEX(tun_Boon,G625)*Arch_Insight</x:f>
        <x:v>242898.8201102035</x:v>
      </x:c>
      <x:c r="AN625" s="32" t="n">
        <x:f>H625*(tun_KHPerAdult*Z625+tun_KHOfCommons*AJ625/4*INDEX(LM_All,G625))*tun_KHUsable*Arch_KH</x:f>
        <x:v>37950.649662731645</x:v>
      </x:c>
      <x:c r="AO625" s="32" t="n">
        <x:f>MIN(AP624+AN625,AM625*tun_KHMaxRatio)</x:f>
        <x:v>37950.649662731645</x:v>
      </x:c>
      <x:c r="AP625" s="32" t="n">
        <x:f>AP624+AN625-AO625</x:f>
        <x:v>0</x:v>
      </x:c>
      <x:c r="AQ625" s="32" t="n">
        <x:f>AM625+AO625</x:f>
        <x:v>280849.46977293515</x:v>
      </x:c>
      <x:c r="AR625" s="10" t="n">
        <x:f>IF(H625=1,INDEX(tun_Req,G625),0)</x:f>
        <x:v>24497531.045680594</x:v>
      </x:c>
      <x:c r="AS625" s="32" t="n">
        <x:f>IF(H625=1,IF(E625=1,AS624-AR624,AS624)+AQ625,0)</x:f>
        <x:v>24114507.81210942</x:v>
      </x:c>
      <x:c r="AT625" s="11" t="n">
        <x:f>IF(AR625&gt;0,MIN(1,AS625/AR625),1)</x:f>
        <x:v>0.9843648230159623</x:v>
      </x:c>
      <x:c r="AU625" s="10" t="n">
        <x:f>AB625/INDEX(tun_RepScale,G625)</x:f>
        <x:v>362.8309580042987</x:v>
      </x:c>
      <x:c r="AV625" s="32" t="n">
        <x:f>AM625*60/tun_SeasonSeconds</x:f>
        <x:v>971595.280440814</x:v>
      </x:c>
    </x:row>
    <x:row r="626">
      <x:c r="A626" s="8" t="n">
        <x:f>A625+1</x:f>
        <x:v>623</x:v>
      </x:c>
      <x:c r="B626" s="9" t="n">
        <x:f>A626*tun_SeasonSeconds/60</x:f>
        <x:v>155.75</x:v>
      </x:c>
      <x:c r="C626" s="9" t="n">
        <x:f>A626/4</x:f>
        <x:v>155.75</x:v>
      </x:c>
      <x:c r="D626" s="8" t="n">
        <x:f>IF(MOD(A626,4)=0,1,0)</x:f>
        <x:v>0</x:v>
      </x:c>
      <x:c r="E626" s="8" t="n">
        <x:f>IF(AND(F625&lt;=9,AS625&gt;=AR625),1,0)</x:f>
        <x:v>0</x:v>
      </x:c>
      <x:c r="F626" s="8" t="n">
        <x:f>MIN(10,F625+E626)</x:f>
        <x:v>8</x:v>
      </x:c>
      <x:c r="G626" s="8" t="n">
        <x:f>MIN(F626,9)+1</x:f>
        <x:v>9</x:v>
      </x:c>
      <x:c r="H626" s="8" t="n">
        <x:f>IF(F626&lt;=9,1,0)</x:f>
        <x:v>1</x:v>
      </x:c>
      <x:c r="I626" s="9" t="n">
        <x:f>MIN(10,F625+IF(AR625&gt;0,MIN(1,AS625/AR625),1))</x:f>
        <x:v>8.984364823015962</x:v>
      </x:c>
      <x:c r="J626" s="32" t="n">
        <x:f>INDEX(tun_FoodCap,G626)*Arch_FoodCap*EXP(tun_CapsByProject*SUMPRODUCT((Cap_Point&lt;=I626)*(Cap_Kind="Food")*Cap_Ln))</x:f>
        <x:v>13863.877308233004</x:v>
      </x:c>
      <x:c r="K626" s="32" t="n">
        <x:f>J626*MIN(1,tun_LeanBase*EXP(tun_CapsByProject*SUMPRODUCT((Cap_Point&lt;=I626)*(Cap_Kind="Lean")*Cap_Ln)))</x:f>
        <x:v>13863.877308233004</x:v>
      </x:c>
      <x:c r="L626" s="10" t="n">
        <x:f>INDEX(tun_HousingCap,G626)*EXP(tun_CapsByProject*SUMPRODUCT((Cap_Point&lt;=I626)*(Cap_Kind="Housing")*Cap_Ln))</x:f>
        <x:v>12514.86067705494</x:v>
      </x:c>
      <x:c r="M626" s="10" t="n">
        <x:f>INDEX(tun_GroupCap,G626)*tun_CohesionFactor*EXP(tun_CapsByProject*SUMPRODUCT((Cap_Point&lt;=I626)*(Cap_Kind="Group")*Cap_Ln))</x:f>
        <x:v>1000000.000000001</x:v>
      </x:c>
      <x:c r="N626" s="32" t="n">
        <x:f>MIN(J626,L626,M626)</x:f>
        <x:v>12514.86067705494</x:v>
      </x:c>
      <x:c r="O626" s="10" t="n">
        <x:f>AE625*N626</x:f>
        <x:v>112633.74609349445</x:v>
      </x:c>
      <x:c r="P626" s="9" t="n">
        <x:f>MIN(1,(AB625/(AE625*IF(tun_GroupInCrowding=1,N626,MIN(J626,L626))))^tun_CrowdingExp)</x:f>
        <x:v>0.27280661287328334</x:v>
      </x:c>
      <x:c r="Q626" s="9" t="n">
        <x:f>IF(D626=1,INDEX(tun_WinterMult,G626),1)</x:f>
        <x:v>1</x:v>
      </x:c>
      <x:c r="R626" s="9" t="n">
        <x:f>H626*Z625*tun_WomenShare*tun_BaseFertility*INDEX(tun_FertMult,G626)*Arch_Fertility*(1-P626)</x:f>
        <x:v>942.5702480885072</x:v>
      </x:c>
      <x:c r="S626" s="9" t="n">
        <x:f>H626*Y625*INDEX(tun_MortChild,G626)/4*Q626</x:f>
        <x:v>41.50021642659285</x:v>
      </x:c>
      <x:c r="T626" s="9" t="n">
        <x:f>H626*Z625*INDEX(tun_MortAdult,G626)*Arch_AdultMort/4*Q626</x:f>
        <x:v>27.192492889658332</x:v>
      </x:c>
      <x:c r="U626" s="9" t="n">
        <x:f>H626*AA625*INDEX(tun_MortElder,G626)/4*Q626</x:f>
        <x:v>144.88650863594356</x:v>
      </x:c>
      <x:c r="V626" s="9" t="n">
        <x:f>H626*MAX(0,AB625-O626)*tun_OvercapLoss</x:f>
        <x:v>0</x:v>
      </x:c>
      <x:c r="W626" s="9" t="n">
        <x:f>H626*Y625/(tun_ChildYears*4)</x:f>
        <x:v>658.7335940729024</x:v>
      </x:c>
      <x:c r="X626" s="9" t="n">
        <x:f>H626*Z625/(tun_AdultYears*4)</x:f>
        <x:v>292.39239666299284</x:v>
      </x:c>
      <x:c r="Y626" s="32" t="n">
        <x:f>Y625+R626-S626-W626-Y625*V626/AB625</x:f>
        <x:v>37131.41770567155</x:v>
      </x:c>
      <x:c r="Z626" s="32" t="n">
        <x:f>Z625+W626-X626-T626-Z625*V626/AB625</x:f>
        <x:v>36595.80589073136</x:v>
      </x:c>
      <x:c r="AA626" s="32" t="n">
        <x:f>AA625+X626-U626-AA625*V626/AB625</x:f>
        <x:v>17709.506934808083</x:v>
      </x:c>
      <x:c r="AB626" s="10" t="n">
        <x:f>Y626+Z626+AA626</x:f>
        <x:v>91436.730531211</x:v>
      </x:c>
      <x:c r="AC626" s="8" t="n">
        <x:f>IF(AND(tun_WinterTrigger=1,D626=1,AB625/AE625&gt;=K626),1,0)</x:f>
        <x:v>0</x:v>
      </x:c>
      <x:c r="AD626" s="8" t="n">
        <x:f>H626*IF(AND(OR(AB625/AE625&gt;=tun_FissionTrigger*N626,AC626=1),AB625/AE625*tun_DaughterShare&gt;=tun_MinDaughter),MAX(1,ROUND(AE625*tun_FissionRate,0)),0)</x:f>
        <x:v>0</x:v>
      </x:c>
      <x:c r="AE626" s="8" t="n">
        <x:f>IF(H626=1,MAX(1,MIN(INDEX(tun_Smax,G626),AE625+AD626)),AE625)</x:f>
        <x:v>9</x:v>
      </x:c>
      <x:c r="AF626" s="8" t="n">
        <x:f>MAX(0,AE626-AE625)</x:f>
        <x:v>0</x:v>
      </x:c>
      <x:c r="AG626" s="9" t="str">
        <x:f>IF(AF626&gt;0,B626,"")</x:f>
      </x:c>
      <x:c r="AH626" s="9" t="n">
        <x:f>IF(F626&gt;=1,1,(1+tun_LowTiesShare*(AE626-1))/AE626)</x:f>
        <x:v>1</x:v>
      </x:c>
      <x:c r="AI626" s="32" t="n">
        <x:f>(Z626+tun_ElderCommons*INDEX(LM_Elder,G626)*AA626)*AH626</x:f>
        <x:v>103006.45689626166</x:v>
      </x:c>
      <x:c r="AJ626" s="32" t="n">
        <x:f>H626*tun_CommonsCoef*AI626^tun_CommonsExp*INDEX(LM_Commons,G626)</x:f>
        <x:v>263892.4170257537</x:v>
      </x:c>
      <x:c r="AK626" s="32" t="n">
        <x:f>H626*tun_RoleScale*Arch_Roles*(AE626*(INDEX(tun_ElderRolePerSett,G626)*tun_OutElder*INDEX(LM_Elder,G626)+INDEX(tun_ShamanPerSett,G626)*tun_OutShaman)+Z626*(INDEX(tun_PriestShare,G626)*tun_OutPriest+INDEX(tun_ScribeShare,G626)*tun_OutScribe*INDEX(LM_Scribe,G626)+INDEX(tun_ScholarShare,G626)*tun_OutScholar*INDEX(LM_Scholar,G626)+INDEX(tun_ResearcherShare,G626)*tun_OutResearcher*INDEX(LM_Researcher,G626)))</x:f>
        <x:v>75850.27840604295</x:v>
      </x:c>
      <x:c r="AL626" s="32" t="n">
        <x:f>H626*tun_RoleScale*Arch_Roles*AE626*INDEX(tun_MonasteryPerSett,G626)*tun_OutMonastery*INDEX(LM_Monastery,G626)</x:f>
        <x:v>31.680000000000003</x:v>
      </x:c>
      <x:c r="AM626" s="32" t="n">
        <x:f>(AJ626+AK626+AL626)/4*INDEX(LM_All,G626)*INDEX(tun_Boon,G626)*Arch_Insight</x:f>
        <x:v>244804.54094812556</x:v>
      </x:c>
      <x:c r="AN626" s="32" t="n">
        <x:f>H626*(tun_KHPerAdult*Z626+tun_KHOfCommons*AJ626/4*INDEX(LM_All,G626))*tun_KHUsable*Arch_KH</x:f>
        <x:v>38232.34343277651</x:v>
      </x:c>
      <x:c r="AO626" s="32" t="n">
        <x:f>MIN(AP625+AN626,AM626*tun_KHMaxRatio)</x:f>
        <x:v>38232.34343277651</x:v>
      </x:c>
      <x:c r="AP626" s="32" t="n">
        <x:f>AP625+AN626-AO626</x:f>
        <x:v>0</x:v>
      </x:c>
      <x:c r="AQ626" s="32" t="n">
        <x:f>AM626+AO626</x:f>
        <x:v>283036.88438090205</x:v>
      </x:c>
      <x:c r="AR626" s="10" t="n">
        <x:f>IF(H626=1,INDEX(tun_Req,G626),0)</x:f>
        <x:v>24497531.045680594</x:v>
      </x:c>
      <x:c r="AS626" s="32" t="n">
        <x:f>IF(H626=1,IF(E626=1,AS625-AR625,AS625)+AQ626,0)</x:f>
        <x:v>24397544.69649032</x:v>
      </x:c>
      <x:c r="AT626" s="11" t="n">
        <x:f>IF(AR626&gt;0,MIN(1,AS626/AR626),1)</x:f>
        <x:v>0.995918513216543</x:v>
      </x:c>
      <x:c r="AU626" s="10" t="n">
        <x:f>AB626/INDEX(tun_RepScale,G626)</x:f>
        <x:v>365.746922124844</x:v>
      </x:c>
      <x:c r="AV626" s="32" t="n">
        <x:f>AM626*60/tun_SeasonSeconds</x:f>
        <x:v>979218.1637925023</x:v>
      </x:c>
    </x:row>
    <x:row r="627">
      <x:c r="A627" s="8" t="n">
        <x:f>A626+1</x:f>
        <x:v>624</x:v>
      </x:c>
      <x:c r="B627" s="9" t="n">
        <x:f>A627*tun_SeasonSeconds/60</x:f>
        <x:v>156</x:v>
      </x:c>
      <x:c r="C627" s="9" t="n">
        <x:f>A627/4</x:f>
        <x:v>156</x:v>
      </x:c>
      <x:c r="D627" s="8" t="n">
        <x:f>IF(MOD(A627,4)=0,1,0)</x:f>
        <x:v>1</x:v>
      </x:c>
      <x:c r="E627" s="8" t="n">
        <x:f>IF(AND(F626&lt;=9,AS626&gt;=AR626),1,0)</x:f>
        <x:v>0</x:v>
      </x:c>
      <x:c r="F627" s="8" t="n">
        <x:f>MIN(10,F626+E627)</x:f>
        <x:v>8</x:v>
      </x:c>
      <x:c r="G627" s="8" t="n">
        <x:f>MIN(F627,9)+1</x:f>
        <x:v>9</x:v>
      </x:c>
      <x:c r="H627" s="8" t="n">
        <x:f>IF(F627&lt;=9,1,0)</x:f>
        <x:v>1</x:v>
      </x:c>
      <x:c r="I627" s="9" t="n">
        <x:f>MIN(10,F626+IF(AR626&gt;0,MIN(1,AS626/AR626),1))</x:f>
        <x:v>8.995918513216543</x:v>
      </x:c>
      <x:c r="J627" s="32" t="n">
        <x:f>INDEX(tun_FoodCap,G627)*Arch_FoodCap*EXP(tun_CapsByProject*SUMPRODUCT((Cap_Point&lt;=I627)*(Cap_Kind="Food")*Cap_Ln))</x:f>
        <x:v>13863.877308233004</x:v>
      </x:c>
      <x:c r="K627" s="32" t="n">
        <x:f>J627*MIN(1,tun_LeanBase*EXP(tun_CapsByProject*SUMPRODUCT((Cap_Point&lt;=I627)*(Cap_Kind="Lean")*Cap_Ln)))</x:f>
        <x:v>13863.877308233004</x:v>
      </x:c>
      <x:c r="L627" s="10" t="n">
        <x:f>INDEX(tun_HousingCap,G627)*EXP(tun_CapsByProject*SUMPRODUCT((Cap_Point&lt;=I627)*(Cap_Kind="Housing")*Cap_Ln))</x:f>
        <x:v>12514.86067705494</x:v>
      </x:c>
      <x:c r="M627" s="10" t="n">
        <x:f>INDEX(tun_GroupCap,G627)*tun_CohesionFactor*EXP(tun_CapsByProject*SUMPRODUCT((Cap_Point&lt;=I627)*(Cap_Kind="Group")*Cap_Ln))</x:f>
        <x:v>1000000.000000001</x:v>
      </x:c>
      <x:c r="N627" s="32" t="n">
        <x:f>MIN(J627,L627,M627)</x:f>
        <x:v>12514.86067705494</x:v>
      </x:c>
      <x:c r="O627" s="10" t="n">
        <x:f>AE626*N627</x:f>
        <x:v>112633.74609349445</x:v>
      </x:c>
      <x:c r="P627" s="9" t="n">
        <x:f>MIN(1,(AB626/(AE626*IF(tun_GroupInCrowding=1,N627,MIN(J627,L627))))^tun_CrowdingExp)</x:f>
        <x:v>0.2862285569674398</x:v>
      </x:c>
      <x:c r="Q627" s="9" t="n">
        <x:f>IF(D627=1,INDEX(tun_WinterMult,G627),1)</x:f>
        <x:v>1.05</x:v>
      </x:c>
      <x:c r="R627" s="9" t="n">
        <x:f>H627*Z626*tun_WomenShare*tun_BaseFertility*INDEX(tun_FertMult,G627)*Arch_Fertility*(1-P627)</x:f>
        <x:v>933.8272221695128</x:v>
      </x:c>
      <x:c r="S627" s="9" t="n">
        <x:f>H627*Y626*INDEX(tun_MortChild,G627)/4*Q627</x:f>
        <x:v>43.86148716482452</x:v>
      </x:c>
      <x:c r="T627" s="9" t="n">
        <x:f>H627*Z626*INDEX(tun_MortAdult,G627)*Arch_AdultMort/4*Q627</x:f>
        <x:v>28.819197138950948</x:v>
      </x:c>
      <x:c r="U627" s="9" t="n">
        <x:f>H627*AA626*INDEX(tun_MortElder,G627)/4*Q627</x:f>
        <x:v>153.40860382277504</x:v>
      </x:c>
      <x:c r="V627" s="9" t="n">
        <x:f>H627*MAX(0,AB626-O627)*tun_OvercapLoss</x:f>
        <x:v>0</x:v>
      </x:c>
      <x:c r="W627" s="9" t="n">
        <x:f>H627*Y626/(tun_ChildYears*4)</x:f>
        <x:v>663.0610304584205</x:v>
      </x:c>
      <x:c r="X627" s="9" t="n">
        <x:f>H627*Z626/(tun_AdultYears*4)</x:f>
        <x:v>295.1274668607368</x:v>
      </x:c>
      <x:c r="Y627" s="32" t="n">
        <x:f>Y626+R627-S627-W627-Y626*V627/AB626</x:f>
        <x:v>37358.32241021782</x:v>
      </x:c>
      <x:c r="Z627" s="32" t="n">
        <x:f>Z626+W627-X627-T627-Z626*V627/AB626</x:f>
        <x:v>36934.92025719009</x:v>
      </x:c>
      <x:c r="AA627" s="32" t="n">
        <x:f>AA626+X627-U627-AA626*V627/AB626</x:f>
        <x:v>17851.225797846044</x:v>
      </x:c>
      <x:c r="AB627" s="10" t="n">
        <x:f>Y627+Z627+AA627</x:f>
        <x:v>92144.46846525394</x:v>
      </x:c>
      <x:c r="AC627" s="8" t="n">
        <x:f>IF(AND(tun_WinterTrigger=1,D627=1,AB626/AE626&gt;=K627),1,0)</x:f>
        <x:v>0</x:v>
      </x:c>
      <x:c r="AD627" s="8" t="n">
        <x:f>H627*IF(AND(OR(AB626/AE626&gt;=tun_FissionTrigger*N627,AC627=1),AB626/AE626*tun_DaughterShare&gt;=tun_MinDaughter),MAX(1,ROUND(AE626*tun_FissionRate,0)),0)</x:f>
        <x:v>0</x:v>
      </x:c>
      <x:c r="AE627" s="8" t="n">
        <x:f>IF(H627=1,MAX(1,MIN(INDEX(tun_Smax,G627),AE626+AD627)),AE626)</x:f>
        <x:v>9</x:v>
      </x:c>
      <x:c r="AF627" s="8" t="n">
        <x:f>MAX(0,AE627-AE626)</x:f>
        <x:v>0</x:v>
      </x:c>
      <x:c r="AG627" s="9" t="str">
        <x:f>IF(AF627&gt;0,B627,"")</x:f>
      </x:c>
      <x:c r="AH627" s="9" t="n">
        <x:f>IF(F627&gt;=1,1,(1+tun_LowTiesShare*(AE627-1))/AE627)</x:f>
        <x:v>1</x:v>
      </x:c>
      <x:c r="AI627" s="32" t="n">
        <x:f>(Z627+tun_ElderCommons*INDEX(LM_Elder,G627)*AA627)*AH627</x:f>
        <x:v>103877.01699911276</x:v>
      </x:c>
      <x:c r="AJ627" s="32" t="n">
        <x:f>H627*tun_CommonsCoef*AI627^tun_CommonsExp*INDEX(LM_Commons,G627)</x:f>
        <x:v>265786.9652537345</x:v>
      </x:c>
      <x:c r="AK627" s="32" t="n">
        <x:f>H627*tun_RoleScale*Arch_Roles*(AE627*(INDEX(tun_ElderRolePerSett,G627)*tun_OutElder*INDEX(LM_Elder,G627)+INDEX(tun_ShamanPerSett,G627)*tun_OutShaman)+Z627*(INDEX(tun_PriestShare,G627)*tun_OutPriest+INDEX(tun_ScribeShare,G627)*tun_OutScribe*INDEX(LM_Scribe,G627)+INDEX(tun_ScholarShare,G627)*tun_OutScholar*INDEX(LM_Scholar,G627)+INDEX(tun_ResearcherShare,G627)*tun_OutResearcher*INDEX(LM_Researcher,G627)))</x:f>
        <x:v>76550.89186958819</x:v>
      </x:c>
      <x:c r="AL627" s="32" t="n">
        <x:f>H627*tun_RoleScale*Arch_Roles*AE627*INDEX(tun_MonasteryPerSett,G627)*tun_OutMonastery*INDEX(LM_Monastery,G627)</x:f>
        <x:v>31.680000000000003</x:v>
      </x:c>
      <x:c r="AM627" s="32" t="n">
        <x:f>(AJ627+AK627+AL627)/4*INDEX(LM_All,G627)*INDEX(tun_Boon,G627)*Arch_Insight</x:f>
        <x:v>246674.33282331572</x:v>
      </x:c>
      <x:c r="AN627" s="32" t="n">
        <x:f>H627*(tun_KHPerAdult*Z627+tun_KHOfCommons*AJ627/4*INDEX(LM_All,G627))*tun_KHUsable*Arch_KH</x:f>
        <x:v>38506.82278052924</x:v>
      </x:c>
      <x:c r="AO627" s="32" t="n">
        <x:f>MIN(AP626+AN627,AM627*tun_KHMaxRatio)</x:f>
        <x:v>38506.82278052924</x:v>
      </x:c>
      <x:c r="AP627" s="32" t="n">
        <x:f>AP626+AN627-AO627</x:f>
        <x:v>0</x:v>
      </x:c>
      <x:c r="AQ627" s="32" t="n">
        <x:f>AM627+AO627</x:f>
        <x:v>285181.15560384496</x:v>
      </x:c>
      <x:c r="AR627" s="10" t="n">
        <x:f>IF(H627=1,INDEX(tun_Req,G627),0)</x:f>
        <x:v>24497531.045680594</x:v>
      </x:c>
      <x:c r="AS627" s="32" t="n">
        <x:f>IF(H627=1,IF(E627=1,AS626-AR626,AS626)+AQ627,0)</x:f>
        <x:v>24682725.852094166</x:v>
      </x:c>
      <x:c r="AT627" s="11" t="n">
        <x:f>IF(AR627&gt;0,MIN(1,AS627/AR627),1)</x:f>
        <x:v>1</x:v>
      </x:c>
      <x:c r="AU627" s="10" t="n">
        <x:f>AB627/INDEX(tun_RepScale,G627)</x:f>
        <x:v>368.57787386101575</x:v>
      </x:c>
      <x:c r="AV627" s="32" t="n">
        <x:f>AM627*60/tun_SeasonSeconds</x:f>
        <x:v>986697.3312932629</x:v>
      </x:c>
    </x:row>
    <x:row r="628">
      <x:c r="A628" s="8" t="n">
        <x:f>A627+1</x:f>
        <x:v>625</x:v>
      </x:c>
      <x:c r="B628" s="9" t="n">
        <x:f>A628*tun_SeasonSeconds/60</x:f>
        <x:v>156.25</x:v>
      </x:c>
      <x:c r="C628" s="9" t="n">
        <x:f>A628/4</x:f>
        <x:v>156.25</x:v>
      </x:c>
      <x:c r="D628" s="8" t="n">
        <x:f>IF(MOD(A628,4)=0,1,0)</x:f>
        <x:v>0</x:v>
      </x:c>
      <x:c r="E628" s="8" t="n">
        <x:f>IF(AND(F627&lt;=9,AS627&gt;=AR627),1,0)</x:f>
        <x:v>1</x:v>
      </x:c>
      <x:c r="F628" s="8" t="n">
        <x:f>MIN(10,F627+E628)</x:f>
        <x:v>9</x:v>
      </x:c>
      <x:c r="G628" s="8" t="n">
        <x:f>MIN(F628,9)+1</x:f>
        <x:v>10</x:v>
      </x:c>
      <x:c r="H628" s="8" t="n">
        <x:f>IF(F628&lt;=9,1,0)</x:f>
        <x:v>1</x:v>
      </x:c>
      <x:c r="I628" s="9" t="n">
        <x:f>MIN(10,F627+IF(AR627&gt;0,MIN(1,AS627/AR627),1))</x:f>
        <x:v>9</x:v>
      </x:c>
      <x:c r="J628" s="32" t="n">
        <x:f>INDEX(tun_FoodCap,G628)*Arch_FoodCap*EXP(tun_CapsByProject*SUMPRODUCT((Cap_Point&lt;=I628)*(Cap_Kind="Food")*Cap_Ln))</x:f>
        <x:v>13863.877308233004</x:v>
      </x:c>
      <x:c r="K628" s="32" t="n">
        <x:f>J628*MIN(1,tun_LeanBase*EXP(tun_CapsByProject*SUMPRODUCT((Cap_Point&lt;=I628)*(Cap_Kind="Lean")*Cap_Ln)))</x:f>
        <x:v>13863.877308233004</x:v>
      </x:c>
      <x:c r="L628" s="10" t="n">
        <x:f>INDEX(tun_HousingCap,G628)*EXP(tun_CapsByProject*SUMPRODUCT((Cap_Point&lt;=I628)*(Cap_Kind="Housing")*Cap_Ln))</x:f>
        <x:v>12514.86067705494</x:v>
      </x:c>
      <x:c r="M628" s="10" t="n">
        <x:f>INDEX(tun_GroupCap,G628)*tun_CohesionFactor*EXP(tun_CapsByProject*SUMPRODUCT((Cap_Point&lt;=I628)*(Cap_Kind="Group")*Cap_Ln))</x:f>
        <x:v>1000000.000000001</x:v>
      </x:c>
      <x:c r="N628" s="32" t="n">
        <x:f>MIN(J628,L628,M628)</x:f>
        <x:v>12514.86067705494</x:v>
      </x:c>
      <x:c r="O628" s="10" t="n">
        <x:f>AE627*N628</x:f>
        <x:v>112633.74609349445</x:v>
      </x:c>
      <x:c r="P628" s="9" t="n">
        <x:f>MIN(1,(AB627/(AE627*IF(tun_GroupInCrowding=1,N628,MIN(J628,L628))))^tun_CrowdingExp)</x:f>
        <x:v>0.2997812343274335</x:v>
      </x:c>
      <x:c r="Q628" s="9" t="n">
        <x:f>IF(D628=1,INDEX(tun_WinterMult,G628),1)</x:f>
        <x:v>1</x:v>
      </x:c>
      <x:c r="R628" s="9" t="n">
        <x:f>H628*Z627*tun_WomenShare*tun_BaseFertility*INDEX(tun_FertMult,G628)*Arch_Fertility*(1-P628)</x:f>
        <x:v>588.3724272040231</x:v>
      </x:c>
      <x:c r="S628" s="9" t="n">
        <x:f>H628*Y627*INDEX(tun_MortChild,G628)/4*Q628</x:f>
        <x:v>8.40562254229901</x:v>
      </x:c>
      <x:c r="T628" s="9" t="n">
        <x:f>H628*Z627*INDEX(tun_MortAdult,G628)*Arch_AdultMort/4*Q628</x:f>
        <x:v>13.850595096446284</x:v>
      </x:c>
      <x:c r="U628" s="9" t="n">
        <x:f>H628*AA627*INDEX(tun_MortElder,G628)/4*Q628</x:f>
        <x:v>120.49577413546079</x:v>
      </x:c>
      <x:c r="V628" s="9" t="n">
        <x:f>H628*MAX(0,AB627-O628)*tun_OvercapLoss</x:f>
        <x:v>0</x:v>
      </x:c>
      <x:c r="W628" s="9" t="n">
        <x:f>H628*Y627/(tun_ChildYears*4)</x:f>
        <x:v>667.1129001824611</x:v>
      </x:c>
      <x:c r="X628" s="9" t="n">
        <x:f>H628*Z627/(tun_AdultYears*4)</x:f>
        <x:v>297.8622601386298</x:v>
      </x:c>
      <x:c r="Y628" s="32" t="n">
        <x:f>Y627+R628-S628-W628-Y627*V628/AB627</x:f>
        <x:v>37271.176314697084</x:v>
      </x:c>
      <x:c r="Z628" s="32" t="n">
        <x:f>Z627+W628-X628-T628-Z627*V628/AB627</x:f>
        <x:v>37290.32030213747</x:v>
      </x:c>
      <x:c r="AA628" s="32" t="n">
        <x:f>AA627+X628-U628-AA627*V628/AB627</x:f>
        <x:v>18028.592283849215</x:v>
      </x:c>
      <x:c r="AB628" s="10" t="n">
        <x:f>Y628+Z628+AA628</x:f>
        <x:v>92590.08890068377</x:v>
      </x:c>
      <x:c r="AC628" s="8" t="n">
        <x:f>IF(AND(tun_WinterTrigger=1,D628=1,AB627/AE627&gt;=K628),1,0)</x:f>
        <x:v>0</x:v>
      </x:c>
      <x:c r="AD628" s="8" t="n">
        <x:f>H628*IF(AND(OR(AB627/AE627&gt;=tun_FissionTrigger*N628,AC628=1),AB627/AE627*tun_DaughterShare&gt;=tun_MinDaughter),MAX(1,ROUND(AE627*tun_FissionRate,0)),0)</x:f>
        <x:v>0</x:v>
      </x:c>
      <x:c r="AE628" s="8" t="n">
        <x:f>IF(H628=1,MAX(1,MIN(INDEX(tun_Smax,G628),AE627+AD628)),AE627)</x:f>
        <x:v>9</x:v>
      </x:c>
      <x:c r="AF628" s="8" t="n">
        <x:f>MAX(0,AE628-AE627)</x:f>
        <x:v>0</x:v>
      </x:c>
      <x:c r="AG628" s="9" t="str">
        <x:f>IF(AF628&gt;0,B628,"")</x:f>
      </x:c>
      <x:c r="AH628" s="9" t="n">
        <x:f>IF(F628&gt;=1,1,(1+tun_LowTiesShare*(AE628-1))/AE628)</x:f>
        <x:v>1</x:v>
      </x:c>
      <x:c r="AI628" s="32" t="n">
        <x:f>(Z628+tun_ElderCommons*INDEX(LM_Elder,G628)*AA628)*AH628</x:f>
        <x:v>108197.37195471188</x:v>
      </x:c>
      <x:c r="AJ628" s="32" t="n">
        <x:f>H628*tun_CommonsCoef*AI628^tun_CommonsExp*INDEX(LM_Commons,G628)</x:f>
        <x:v>408389.1953356408</x:v>
      </x:c>
      <x:c r="AK628" s="32" t="n">
        <x:f>H628*tun_RoleScale*Arch_Roles*(AE628*(INDEX(tun_ElderRolePerSett,G628)*tun_OutElder*INDEX(LM_Elder,G628)+INDEX(tun_ShamanPerSett,G628)*tun_OutShaman)+Z628*(INDEX(tun_PriestShare,G628)*tun_OutPriest+INDEX(tun_ScribeShare,G628)*tun_OutScribe*INDEX(LM_Scribe,G628)+INDEX(tun_ScholarShare,G628)*tun_OutScholar*INDEX(LM_Scholar,G628)+INDEX(tun_ResearcherShare,G628)*tun_OutResearcher*INDEX(LM_Researcher,G628)))</x:f>
        <x:v>134549.57338193821</x:v>
      </x:c>
      <x:c r="AL628" s="32" t="n">
        <x:f>H628*tun_RoleScale*Arch_Roles*AE628*INDEX(tun_MonasteryPerSett,G628)*tun_OutMonastery*INDEX(LM_Monastery,G628)</x:f>
        <x:v>15.840000000000002</x:v>
      </x:c>
      <x:c r="AM628" s="32" t="n">
        <x:f>(AJ628+AK628+AL628)/4*INDEX(LM_All,G628)*INDEX(tun_Boon,G628)*Arch_Insight</x:f>
        <x:v>470183.7169711795</x:v>
      </x:c>
      <x:c r="AN628" s="32" t="n">
        <x:f>H628*(tun_KHPerAdult*Z628+tun_KHOfCommons*AJ628/4*INDEX(LM_All,G628))*tun_KHUsable*Arch_KH</x:f>
        <x:v>69379.24994710955</x:v>
      </x:c>
      <x:c r="AO628" s="32" t="n">
        <x:f>MIN(AP627+AN628,AM628*tun_KHMaxRatio)</x:f>
        <x:v>69379.24994710955</x:v>
      </x:c>
      <x:c r="AP628" s="32" t="n">
        <x:f>AP627+AN628-AO628</x:f>
        <x:v>0</x:v>
      </x:c>
      <x:c r="AQ628" s="32" t="n">
        <x:f>AM628+AO628</x:f>
        <x:v>539562.9669182891</x:v>
      </x:c>
      <x:c r="AR628" s="10" t="n">
        <x:f>IF(H628=1,INDEX(tun_Req,G628),0)</x:f>
        <x:v>125406521.7009086</x:v>
      </x:c>
      <x:c r="AS628" s="32" t="n">
        <x:f>IF(H628=1,IF(E628=1,AS627-AR627,AS627)+AQ628,0)</x:f>
        <x:v>724757.7733318614</x:v>
      </x:c>
      <x:c r="AT628" s="11" t="n">
        <x:f>IF(AR628&gt;0,MIN(1,AS628/AR628),1)</x:f>
        <x:v>0.005779267007025284</x:v>
      </x:c>
      <x:c r="AU628" s="10" t="n">
        <x:f>AB628/INDEX(tun_RepScale,G628)</x:f>
        <x:v>185.18017780136753</x:v>
      </x:c>
      <x:c r="AV628" s="32" t="n">
        <x:f>AM628*60/tun_SeasonSeconds</x:f>
        <x:v>1880734.867884718</x:v>
      </x:c>
    </x:row>
    <x:row r="629">
      <x:c r="A629" s="8" t="n">
        <x:f>A628+1</x:f>
        <x:v>626</x:v>
      </x:c>
      <x:c r="B629" s="9" t="n">
        <x:f>A629*tun_SeasonSeconds/60</x:f>
        <x:v>156.5</x:v>
      </x:c>
      <x:c r="C629" s="9" t="n">
        <x:f>A629/4</x:f>
        <x:v>156.5</x:v>
      </x:c>
      <x:c r="D629" s="8" t="n">
        <x:f>IF(MOD(A629,4)=0,1,0)</x:f>
        <x:v>0</x:v>
      </x:c>
      <x:c r="E629" s="8" t="n">
        <x:f>IF(AND(F628&lt;=9,AS628&gt;=AR628),1,0)</x:f>
        <x:v>0</x:v>
      </x:c>
      <x:c r="F629" s="8" t="n">
        <x:f>MIN(10,F628+E629)</x:f>
        <x:v>9</x:v>
      </x:c>
      <x:c r="G629" s="8" t="n">
        <x:f>MIN(F629,9)+1</x:f>
        <x:v>10</x:v>
      </x:c>
      <x:c r="H629" s="8" t="n">
        <x:f>IF(F629&lt;=9,1,0)</x:f>
        <x:v>1</x:v>
      </x:c>
      <x:c r="I629" s="9" t="n">
        <x:f>MIN(10,F628+IF(AR628&gt;0,MIN(1,AS628/AR628),1))</x:f>
        <x:v>9.005779267007025</x:v>
      </x:c>
      <x:c r="J629" s="32" t="n">
        <x:f>INDEX(tun_FoodCap,G629)*Arch_FoodCap*EXP(tun_CapsByProject*SUMPRODUCT((Cap_Point&lt;=I629)*(Cap_Kind="Food")*Cap_Ln))</x:f>
        <x:v>13863.877308233004</x:v>
      </x:c>
      <x:c r="K629" s="32" t="n">
        <x:f>J629*MIN(1,tun_LeanBase*EXP(tun_CapsByProject*SUMPRODUCT((Cap_Point&lt;=I629)*(Cap_Kind="Lean")*Cap_Ln)))</x:f>
        <x:v>13863.877308233004</x:v>
      </x:c>
      <x:c r="L629" s="10" t="n">
        <x:f>INDEX(tun_HousingCap,G629)*EXP(tun_CapsByProject*SUMPRODUCT((Cap_Point&lt;=I629)*(Cap_Kind="Housing")*Cap_Ln))</x:f>
        <x:v>12514.86067705494</x:v>
      </x:c>
      <x:c r="M629" s="10" t="n">
        <x:f>INDEX(tun_GroupCap,G629)*tun_CohesionFactor*EXP(tun_CapsByProject*SUMPRODUCT((Cap_Point&lt;=I629)*(Cap_Kind="Group")*Cap_Ln))</x:f>
        <x:v>1000000.000000001</x:v>
      </x:c>
      <x:c r="N629" s="32" t="n">
        <x:f>MIN(J629,L629,M629)</x:f>
        <x:v>12514.86067705494</x:v>
      </x:c>
      <x:c r="O629" s="10" t="n">
        <x:f>AE628*N629</x:f>
        <x:v>112633.74609349445</x:v>
      </x:c>
      <x:c r="P629" s="9" t="n">
        <x:f>MIN(1,(AB628/(AE628*IF(tun_GroupInCrowding=1,N629,MIN(J629,L629))))^tun_CrowdingExp)</x:f>
        <x:v>0.30858572716269433</x:v>
      </x:c>
      <x:c r="Q629" s="9" t="n">
        <x:f>IF(D629=1,INDEX(tun_WinterMult,G629),1)</x:f>
        <x:v>1</x:v>
      </x:c>
      <x:c r="R629" s="9" t="n">
        <x:f>H629*Z628*tun_WomenShare*tun_BaseFertility*INDEX(tun_FertMult,G629)*Arch_Fertility*(1-P629)</x:f>
        <x:v>586.5646080742765</x:v>
      </x:c>
      <x:c r="S629" s="9" t="n">
        <x:f>H629*Y628*INDEX(tun_MortChild,G629)/4*Q629</x:f>
        <x:v>8.386014670806844</x:v>
      </x:c>
      <x:c r="T629" s="9" t="n">
        <x:f>H629*Z628*INDEX(tun_MortAdult,G629)*Arch_AdultMort/4*Q629</x:f>
        <x:v>13.983870113301553</x:v>
      </x:c>
      <x:c r="U629" s="9" t="n">
        <x:f>H629*AA628*INDEX(tun_MortElder,G629)/4*Q629</x:f>
        <x:v>121.6929979159822</x:v>
      </x:c>
      <x:c r="V629" s="9" t="n">
        <x:f>H629*MAX(0,AB628-O629)*tun_OvercapLoss</x:f>
        <x:v>0</x:v>
      </x:c>
      <x:c r="W629" s="9" t="n">
        <x:f>H629*Y628/(tun_ChildYears*4)</x:f>
        <x:v>665.556719905305</x:v>
      </x:c>
      <x:c r="X629" s="9" t="n">
        <x:f>H629*Z628/(tun_AdultYears*4)</x:f>
        <x:v>300.72838953336674</x:v>
      </x:c>
      <x:c r="Y629" s="32" t="n">
        <x:f>Y628+R629-S629-W629-Y628*V629/AB628</x:f>
        <x:v>37183.798188195244</x:v>
      </x:c>
      <x:c r="Z629" s="32" t="n">
        <x:f>Z628+W629-X629-T629-Z628*V629/AB628</x:f>
        <x:v>37641.1647623961</x:v>
      </x:c>
      <x:c r="AA629" s="32" t="n">
        <x:f>AA628+X629-U629-AA628*V629/AB628</x:f>
        <x:v>18207.6276754666</x:v>
      </x:c>
      <x:c r="AB629" s="10" t="n">
        <x:f>Y629+Z629+AA629</x:f>
        <x:v>93032.59062605795</x:v>
      </x:c>
      <x:c r="AC629" s="8" t="n">
        <x:f>IF(AND(tun_WinterTrigger=1,D629=1,AB628/AE628&gt;=K629),1,0)</x:f>
        <x:v>0</x:v>
      </x:c>
      <x:c r="AD629" s="8" t="n">
        <x:f>H629*IF(AND(OR(AB628/AE628&gt;=tun_FissionTrigger*N629,AC629=1),AB628/AE628*tun_DaughterShare&gt;=tun_MinDaughter),MAX(1,ROUND(AE628*tun_FissionRate,0)),0)</x:f>
        <x:v>0</x:v>
      </x:c>
      <x:c r="AE629" s="8" t="n">
        <x:f>IF(H629=1,MAX(1,MIN(INDEX(tun_Smax,G629),AE628+AD629)),AE628)</x:f>
        <x:v>9</x:v>
      </x:c>
      <x:c r="AF629" s="8" t="n">
        <x:f>MAX(0,AE629-AE628)</x:f>
        <x:v>0</x:v>
      </x:c>
      <x:c r="AG629" s="9" t="str">
        <x:f>IF(AF629&gt;0,B629,"")</x:f>
      </x:c>
      <x:c r="AH629" s="9" t="n">
        <x:f>IF(F629&gt;=1,1,(1+tun_LowTiesShare*(AE629-1))/AE629)</x:f>
        <x:v>1</x:v>
      </x:c>
      <x:c r="AI629" s="32" t="n">
        <x:f>(Z629+tun_ElderCommons*INDEX(LM_Elder,G629)*AA629)*AH629</x:f>
        <x:v>109252.36855071022</x:v>
      </x:c>
      <x:c r="AJ629" s="32" t="n">
        <x:f>H629*tun_CommonsCoef*AI629^tun_CommonsExp*INDEX(LM_Commons,G629)</x:f>
        <x:v>411771.48642506346</x:v>
      </x:c>
      <x:c r="AK629" s="32" t="n">
        <x:f>H629*tun_RoleScale*Arch_Roles*(AE629*(INDEX(tun_ElderRolePerSett,G629)*tun_OutElder*INDEX(LM_Elder,G629)+INDEX(tun_ShamanPerSett,G629)*tun_OutShaman)+Z629*(INDEX(tun_PriestShare,G629)*tun_OutPriest+INDEX(tun_ScribeShare,G629)*tun_OutScribe*INDEX(LM_Scribe,G629)+INDEX(tun_ScholarShare,G629)*tun_OutScholar*INDEX(LM_Scholar,G629)+INDEX(tun_ResearcherShare,G629)*tun_OutResearcher*INDEX(LM_Researcher,G629)))</x:f>
        <x:v>135813.1293150387</x:v>
      </x:c>
      <x:c r="AL629" s="32" t="n">
        <x:f>H629*tun_RoleScale*Arch_Roles*AE629*INDEX(tun_MonasteryPerSett,G629)*tun_OutMonastery*INDEX(LM_Monastery,G629)</x:f>
        <x:v>15.840000000000002</x:v>
      </x:c>
      <x:c r="AM629" s="32" t="n">
        <x:f>(AJ629+AK629+AL629)/4*INDEX(LM_All,G629)*INDEX(tun_Boon,G629)*Arch_Insight</x:f>
        <x:v>474206.89236458635</x:v>
      </x:c>
      <x:c r="AN629" s="32" t="n">
        <x:f>H629*(tun_KHPerAdult*Z629+tun_KHOfCommons*AJ629/4*INDEX(LM_All,G629))*tun_KHUsable*Arch_KH</x:f>
        <x:v>69953.85089534002</x:v>
      </x:c>
      <x:c r="AO629" s="32" t="n">
        <x:f>MIN(AP628+AN629,AM629*tun_KHMaxRatio)</x:f>
        <x:v>69953.85089534002</x:v>
      </x:c>
      <x:c r="AP629" s="32" t="n">
        <x:f>AP628+AN629-AO629</x:f>
        <x:v>0</x:v>
      </x:c>
      <x:c r="AQ629" s="32" t="n">
        <x:f>AM629+AO629</x:f>
        <x:v>544160.7432599263</x:v>
      </x:c>
      <x:c r="AR629" s="10" t="n">
        <x:f>IF(H629=1,INDEX(tun_Req,G629),0)</x:f>
        <x:v>125406521.7009086</x:v>
      </x:c>
      <x:c r="AS629" s="32" t="n">
        <x:f>IF(H629=1,IF(E629=1,AS628-AR628,AS628)+AQ629,0)</x:f>
        <x:v>1268918.5165917878</x:v>
      </x:c>
      <x:c r="AT629" s="11" t="n">
        <x:f>IF(AR629&gt;0,MIN(1,AS629/AR629),1)</x:f>
        <x:v>0.010118441205299726</x:v>
      </x:c>
      <x:c r="AU629" s="10" t="n">
        <x:f>AB629/INDEX(tun_RepScale,G629)</x:f>
        <x:v>186.0651812521159</x:v>
      </x:c>
      <x:c r="AV629" s="32" t="n">
        <x:f>AM629*60/tun_SeasonSeconds</x:f>
        <x:v>1896827.5694583454</x:v>
      </x:c>
    </x:row>
    <x:row r="630">
      <x:c r="A630" s="8" t="n">
        <x:f>A629+1</x:f>
        <x:v>627</x:v>
      </x:c>
      <x:c r="B630" s="9" t="n">
        <x:f>A630*tun_SeasonSeconds/60</x:f>
        <x:v>156.75</x:v>
      </x:c>
      <x:c r="C630" s="9" t="n">
        <x:f>A630/4</x:f>
        <x:v>156.75</x:v>
      </x:c>
      <x:c r="D630" s="8" t="n">
        <x:f>IF(MOD(A630,4)=0,1,0)</x:f>
        <x:v>0</x:v>
      </x:c>
      <x:c r="E630" s="8" t="n">
        <x:f>IF(AND(F629&lt;=9,AS629&gt;=AR629),1,0)</x:f>
        <x:v>0</x:v>
      </x:c>
      <x:c r="F630" s="8" t="n">
        <x:f>MIN(10,F629+E630)</x:f>
        <x:v>9</x:v>
      </x:c>
      <x:c r="G630" s="8" t="n">
        <x:f>MIN(F630,9)+1</x:f>
        <x:v>10</x:v>
      </x:c>
      <x:c r="H630" s="8" t="n">
        <x:f>IF(F630&lt;=9,1,0)</x:f>
        <x:v>1</x:v>
      </x:c>
      <x:c r="I630" s="9" t="n">
        <x:f>MIN(10,F629+IF(AR629&gt;0,MIN(1,AS629/AR629),1))</x:f>
        <x:v>9.0101184412053</x:v>
      </x:c>
      <x:c r="J630" s="32" t="n">
        <x:f>INDEX(tun_FoodCap,G630)*Arch_FoodCap*EXP(tun_CapsByProject*SUMPRODUCT((Cap_Point&lt;=I630)*(Cap_Kind="Food")*Cap_Ln))</x:f>
        <x:v>13863.877308233004</x:v>
      </x:c>
      <x:c r="K630" s="32" t="n">
        <x:f>J630*MIN(1,tun_LeanBase*EXP(tun_CapsByProject*SUMPRODUCT((Cap_Point&lt;=I630)*(Cap_Kind="Lean")*Cap_Ln)))</x:f>
        <x:v>13863.877308233004</x:v>
      </x:c>
      <x:c r="L630" s="10" t="n">
        <x:f>INDEX(tun_HousingCap,G630)*EXP(tun_CapsByProject*SUMPRODUCT((Cap_Point&lt;=I630)*(Cap_Kind="Housing")*Cap_Ln))</x:f>
        <x:v>12514.86067705494</x:v>
      </x:c>
      <x:c r="M630" s="10" t="n">
        <x:f>INDEX(tun_GroupCap,G630)*tun_CohesionFactor*EXP(tun_CapsByProject*SUMPRODUCT((Cap_Point&lt;=I630)*(Cap_Kind="Group")*Cap_Ln))</x:f>
        <x:v>1000000.000000001</x:v>
      </x:c>
      <x:c r="N630" s="32" t="n">
        <x:f>MIN(J630,L630,M630)</x:f>
        <x:v>12514.86067705494</x:v>
      </x:c>
      <x:c r="O630" s="10" t="n">
        <x:f>AE629*N630</x:f>
        <x:v>112633.74609349445</x:v>
      </x:c>
      <x:c r="P630" s="9" t="n">
        <x:f>MIN(1,(AB629/(AE629*IF(tun_GroupInCrowding=1,N630,MIN(J630,L630))))^tun_CrowdingExp)</x:f>
        <x:v>0.31754078682326614</x:v>
      </x:c>
      <x:c r="Q630" s="9" t="n">
        <x:f>IF(D630=1,INDEX(tun_WinterMult,G630),1)</x:f>
        <x:v>1</x:v>
      </x:c>
      <x:c r="R630" s="9" t="n">
        <x:f>H630*Z629*tun_WomenShare*tun_BaseFertility*INDEX(tun_FertMult,G630)*Arch_Fertility*(1-P630)</x:f>
        <x:v>584.4147328747147</x:v>
      </x:c>
      <x:c r="S630" s="9" t="n">
        <x:f>H630*Y629*INDEX(tun_MortChild,G630)/4*Q630</x:f>
        <x:v>8.36635459234393</x:v>
      </x:c>
      <x:c r="T630" s="9" t="n">
        <x:f>H630*Z629*INDEX(tun_MortAdult,G630)*Arch_AdultMort/4*Q630</x:f>
        <x:v>14.11543678589854</x:v>
      </x:c>
      <x:c r="U630" s="9" t="n">
        <x:f>H630*AA629*INDEX(tun_MortElder,G630)/4*Q630</x:f>
        <x:v>122.90148680939954</x:v>
      </x:c>
      <x:c r="V630" s="9" t="n">
        <x:f>H630*MAX(0,AB629-O630)*tun_OvercapLoss</x:f>
        <x:v>0</x:v>
      </x:c>
      <x:c r="W630" s="9" t="n">
        <x:f>H630*Y629/(tun_ChildYears*4)</x:f>
        <x:v>663.9963962177723</x:v>
      </x:c>
      <x:c r="X630" s="9" t="n">
        <x:f>H630*Z629/(tun_AdultYears*4)</x:f>
        <x:v>303.55778034190405</x:v>
      </x:c>
      <x:c r="Y630" s="32" t="n">
        <x:f>Y629+R630-S630-W630-Y629*V630/AB629</x:f>
        <x:v>37095.850170259844</x:v>
      </x:c>
      <x:c r="Z630" s="32" t="n">
        <x:f>Z629+W630-X630-T630-Z629*V630/AB629</x:f>
        <x:v>37987.48794148607</x:v>
      </x:c>
      <x:c r="AA630" s="32" t="n">
        <x:f>AA629+X630-U630-AA629*V630/AB629</x:f>
        <x:v>18388.283968999105</x:v>
      </x:c>
      <x:c r="AB630" s="10" t="n">
        <x:f>Y630+Z630+AA630</x:f>
        <x:v>93471.62208074503</x:v>
      </x:c>
      <x:c r="AC630" s="8" t="n">
        <x:f>IF(AND(tun_WinterTrigger=1,D630=1,AB629/AE629&gt;=K630),1,0)</x:f>
        <x:v>0</x:v>
      </x:c>
      <x:c r="AD630" s="8" t="n">
        <x:f>H630*IF(AND(OR(AB629/AE629&gt;=tun_FissionTrigger*N630,AC630=1),AB629/AE629*tun_DaughterShare&gt;=tun_MinDaughter),MAX(1,ROUND(AE629*tun_FissionRate,0)),0)</x:f>
        <x:v>0</x:v>
      </x:c>
      <x:c r="AE630" s="8" t="n">
        <x:f>IF(H630=1,MAX(1,MIN(INDEX(tun_Smax,G630),AE629+AD630)),AE629)</x:f>
        <x:v>9</x:v>
      </x:c>
      <x:c r="AF630" s="8" t="n">
        <x:f>MAX(0,AE630-AE629)</x:f>
        <x:v>0</x:v>
      </x:c>
      <x:c r="AG630" s="9" t="str">
        <x:f>IF(AF630&gt;0,B630,"")</x:f>
      </x:c>
      <x:c r="AH630" s="9" t="n">
        <x:f>IF(F630&gt;=1,1,(1+tun_LowTiesShare*(AE630-1))/AE630)</x:f>
        <x:v>1</x:v>
      </x:c>
      <x:c r="AI630" s="32" t="n">
        <x:f>(Z630+tun_ElderCommons*INDEX(LM_Elder,G630)*AA630)*AH630</x:f>
        <x:v>110309.21892655463</x:v>
      </x:c>
      <x:c r="AJ630" s="32" t="n">
        <x:f>H630*tun_CommonsCoef*AI630^tun_CommonsExp*INDEX(LM_Commons,G630)</x:f>
        <x:v>415154.8120995315</x:v>
      </x:c>
      <x:c r="AK630" s="32" t="n">
        <x:f>H630*tun_RoleScale*Arch_Roles*(AE630*(INDEX(tun_ElderRolePerSett,G630)*tun_OutElder*INDEX(LM_Elder,G630)+INDEX(tun_ShamanPerSett,G630)*tun_OutShaman)+Z630*(INDEX(tun_PriestShare,G630)*tun_OutPriest+INDEX(tun_ScribeShare,G630)*tun_OutScribe*INDEX(LM_Scribe,G630)+INDEX(tun_ScholarShare,G630)*tun_OutScholar*INDEX(LM_Scholar,G630)+INDEX(tun_ResearcherShare,G630)*tun_OutResearcher*INDEX(LM_Researcher,G630)))</x:f>
        <x:v>137060.40198791138</x:v>
      </x:c>
      <x:c r="AL630" s="32" t="n">
        <x:f>H630*tun_RoleScale*Arch_Roles*AE630*INDEX(tun_MonasteryPerSett,G630)*tun_OutMonastery*INDEX(LM_Monastery,G630)</x:f>
        <x:v>15.840000000000002</x:v>
      </x:c>
      <x:c r="AM630" s="32" t="n">
        <x:f>(AJ630+AK630+AL630)/4*INDEX(LM_All,G630)*INDEX(tun_Boon,G630)*Arch_Insight</x:f>
        <x:v>478216.8628258295</x:v>
      </x:c>
      <x:c r="AN630" s="32" t="n">
        <x:f>H630*(tun_KHPerAdult*Z630+tun_KHOfCommons*AJ630/4*INDEX(LM_All,G630))*tun_KHUsable*Arch_KH</x:f>
        <x:v>70528.62760418138</x:v>
      </x:c>
      <x:c r="AO630" s="32" t="n">
        <x:f>MIN(AP629+AN630,AM630*tun_KHMaxRatio)</x:f>
        <x:v>70528.62760418138</x:v>
      </x:c>
      <x:c r="AP630" s="32" t="n">
        <x:f>AP629+AN630-AO630</x:f>
        <x:v>0</x:v>
      </x:c>
      <x:c r="AQ630" s="32" t="n">
        <x:f>AM630+AO630</x:f>
        <x:v>548745.4904300108</x:v>
      </x:c>
      <x:c r="AR630" s="10" t="n">
        <x:f>IF(H630=1,INDEX(tun_Req,G630),0)</x:f>
        <x:v>125406521.7009086</x:v>
      </x:c>
      <x:c r="AS630" s="32" t="n">
        <x:f>IF(H630=1,IF(E630=1,AS629-AR629,AS629)+AQ630,0)</x:f>
        <x:v>1817664.0070217988</x:v>
      </x:c>
      <x:c r="AT630" s="11" t="n">
        <x:f>IF(AR630&gt;0,MIN(1,AS630/AR630),1)</x:f>
        <x:v>0.01449417448445689</x:v>
      </x:c>
      <x:c r="AU630" s="10" t="n">
        <x:f>AB630/INDEX(tun_RepScale,G630)</x:f>
        <x:v>186.94324416149007</x:v>
      </x:c>
      <x:c r="AV630" s="32" t="n">
        <x:f>AM630*60/tun_SeasonSeconds</x:f>
        <x:v>1912867.451303318</x:v>
      </x:c>
    </x:row>
    <x:row r="631">
      <x:c r="A631" s="8" t="n">
        <x:f>A630+1</x:f>
        <x:v>628</x:v>
      </x:c>
      <x:c r="B631" s="9" t="n">
        <x:f>A631*tun_SeasonSeconds/60</x:f>
        <x:v>157</x:v>
      </x:c>
      <x:c r="C631" s="9" t="n">
        <x:f>A631/4</x:f>
        <x:v>157</x:v>
      </x:c>
      <x:c r="D631" s="8" t="n">
        <x:f>IF(MOD(A631,4)=0,1,0)</x:f>
        <x:v>1</x:v>
      </x:c>
      <x:c r="E631" s="8" t="n">
        <x:f>IF(AND(F630&lt;=9,AS630&gt;=AR630),1,0)</x:f>
        <x:v>0</x:v>
      </x:c>
      <x:c r="F631" s="8" t="n">
        <x:f>MIN(10,F630+E631)</x:f>
        <x:v>9</x:v>
      </x:c>
      <x:c r="G631" s="8" t="n">
        <x:f>MIN(F631,9)+1</x:f>
        <x:v>10</x:v>
      </x:c>
      <x:c r="H631" s="8" t="n">
        <x:f>IF(F631&lt;=9,1,0)</x:f>
        <x:v>1</x:v>
      </x:c>
      <x:c r="I631" s="9" t="n">
        <x:f>MIN(10,F630+IF(AR630&gt;0,MIN(1,AS630/AR630),1))</x:f>
        <x:v>9.014494174484456</x:v>
      </x:c>
      <x:c r="J631" s="32" t="n">
        <x:f>INDEX(tun_FoodCap,G631)*Arch_FoodCap*EXP(tun_CapsByProject*SUMPRODUCT((Cap_Point&lt;=I631)*(Cap_Kind="Food")*Cap_Ln))</x:f>
        <x:v>13863.877308233004</x:v>
      </x:c>
      <x:c r="K631" s="32" t="n">
        <x:f>J631*MIN(1,tun_LeanBase*EXP(tun_CapsByProject*SUMPRODUCT((Cap_Point&lt;=I631)*(Cap_Kind="Lean")*Cap_Ln)))</x:f>
        <x:v>13863.877308233004</x:v>
      </x:c>
      <x:c r="L631" s="10" t="n">
        <x:f>INDEX(tun_HousingCap,G631)*EXP(tun_CapsByProject*SUMPRODUCT((Cap_Point&lt;=I631)*(Cap_Kind="Housing")*Cap_Ln))</x:f>
        <x:v>12514.86067705494</x:v>
      </x:c>
      <x:c r="M631" s="10" t="n">
        <x:f>INDEX(tun_GroupCap,G631)*tun_CohesionFactor*EXP(tun_CapsByProject*SUMPRODUCT((Cap_Point&lt;=I631)*(Cap_Kind="Group")*Cap_Ln))</x:f>
        <x:v>1000000.000000001</x:v>
      </x:c>
      <x:c r="N631" s="32" t="n">
        <x:f>MIN(J631,L631,M631)</x:f>
        <x:v>12514.86067705494</x:v>
      </x:c>
      <x:c r="O631" s="10" t="n">
        <x:f>AE630*N631</x:f>
        <x:v>112633.74609349445</x:v>
      </x:c>
      <x:c r="P631" s="9" t="n">
        <x:f>MIN(1,(AB630/(AE630*IF(tun_GroupInCrowding=1,N631,MIN(J631,L631))))^tun_CrowdingExp)</x:f>
        <x:v>0.3266385994680092</x:v>
      </x:c>
      <x:c r="Q631" s="9" t="n">
        <x:f>IF(D631=1,INDEX(tun_WinterMult,G631),1)</x:f>
        <x:v>1.05</x:v>
      </x:c>
      <x:c r="R631" s="9" t="n">
        <x:f>H631*Z630*tun_WomenShare*tun_BaseFertility*INDEX(tun_FertMult,G631)*Arch_Fertility*(1-P631)</x:f>
        <x:v>581.9292588875942</x:v>
      </x:c>
      <x:c r="S631" s="9" t="n">
        <x:f>H631*Y630*INDEX(tun_MortChild,G631)/4*Q631</x:f>
        <x:v>8.763894602723887</x:v>
      </x:c>
      <x:c r="T631" s="9" t="n">
        <x:f>H631*Z630*INDEX(tun_MortAdult,G631)*Arch_AdultMort/4*Q631</x:f>
        <x:v>14.957573376960141</x:v>
      </x:c>
      <x:c r="U631" s="9" t="n">
        <x:f>H631*AA630*INDEX(tun_MortElder,G631)/4*Q631</x:f>
        <x:v>130.32696263028117</x:v>
      </x:c>
      <x:c r="V631" s="9" t="n">
        <x:f>H631*MAX(0,AB630-O631)*tun_OvercapLoss</x:f>
        <x:v>0</x:v>
      </x:c>
      <x:c r="W631" s="9" t="n">
        <x:f>H631*Y630/(tun_ChildYears*4)</x:f>
        <x:v>662.4258958974972</x:v>
      </x:c>
      <x:c r="X631" s="9" t="n">
        <x:f>H631*Z630/(tun_AdultYears*4)</x:f>
        <x:v>306.35070920553284</x:v>
      </x:c>
      <x:c r="Y631" s="32" t="n">
        <x:f>Y630+R631-S631-W631-Y630*V631/AB630</x:f>
        <x:v>37006.58963864722</x:v>
      </x:c>
      <x:c r="Z631" s="32" t="n">
        <x:f>Z630+W631-X631-T631-Z630*V631/AB630</x:f>
        <x:v>38328.60555480108</x:v>
      </x:c>
      <x:c r="AA631" s="32" t="n">
        <x:f>AA630+X631-U631-AA630*V631/AB630</x:f>
        <x:v>18564.307715574356</x:v>
      </x:c>
      <x:c r="AB631" s="10" t="n">
        <x:f>Y631+Z631+AA631</x:f>
        <x:v>93899.50290902266</x:v>
      </x:c>
      <x:c r="AC631" s="8" t="n">
        <x:f>IF(AND(tun_WinterTrigger=1,D631=1,AB630/AE630&gt;=K631),1,0)</x:f>
        <x:v>0</x:v>
      </x:c>
      <x:c r="AD631" s="8" t="n">
        <x:f>H631*IF(AND(OR(AB630/AE630&gt;=tun_FissionTrigger*N631,AC631=1),AB630/AE630*tun_DaughterShare&gt;=tun_MinDaughter),MAX(1,ROUND(AE630*tun_FissionRate,0)),0)</x:f>
        <x:v>0</x:v>
      </x:c>
      <x:c r="AE631" s="8" t="n">
        <x:f>IF(H631=1,MAX(1,MIN(INDEX(tun_Smax,G631),AE630+AD631)),AE630)</x:f>
        <x:v>9</x:v>
      </x:c>
      <x:c r="AF631" s="8" t="n">
        <x:f>MAX(0,AE631-AE630)</x:f>
        <x:v>0</x:v>
      </x:c>
      <x:c r="AG631" s="9" t="str">
        <x:f>IF(AF631&gt;0,B631,"")</x:f>
      </x:c>
      <x:c r="AH631" s="9" t="n">
        <x:f>IF(F631&gt;=1,1,(1+tun_LowTiesShare*(AE631-1))/AE631)</x:f>
        <x:v>1</x:v>
      </x:c>
      <x:c r="AI631" s="32" t="n">
        <x:f>(Z631+tun_ElderCommons*INDEX(LM_Elder,G631)*AA631)*AH631</x:f>
        <x:v>111342.64377573032</x:v>
      </x:c>
      <x:c r="AJ631" s="32" t="n">
        <x:f>H631*tun_CommonsCoef*AI631^tun_CommonsExp*INDEX(LM_Commons,G631)</x:f>
        <x:v>418458.44609899883</x:v>
      </x:c>
      <x:c r="AK631" s="32" t="n">
        <x:f>H631*tun_RoleScale*Arch_Roles*(AE631*(INDEX(tun_ElderRolePerSett,G631)*tun_OutElder*INDEX(LM_Elder,G631)+INDEX(tun_ShamanPerSett,G631)*tun_OutShaman)+Z631*(INDEX(tun_PriestShare,G631)*tun_OutPriest+INDEX(tun_ScribeShare,G631)*tun_OutScribe*INDEX(LM_Scribe,G631)+INDEX(tun_ScholarShare,G631)*tun_OutScholar*INDEX(LM_Scholar,G631)+INDEX(tun_ResearcherShare,G631)*tun_OutResearcher*INDEX(LM_Researcher,G631)))</x:f>
        <x:v>138288.92696981225</x:v>
      </x:c>
      <x:c r="AL631" s="32" t="n">
        <x:f>H631*tun_RoleScale*Arch_Roles*AE631*INDEX(tun_MonasteryPerSett,G631)*tun_OutMonastery*INDEX(LM_Monastery,G631)</x:f>
        <x:v>15.840000000000002</x:v>
      </x:c>
      <x:c r="AM631" s="32" t="n">
        <x:f>(AJ631+AK631+AL631)/4*INDEX(LM_All,G631)*INDEX(tun_Boon,G631)*Arch_Insight</x:f>
        <x:v>482141.5875110056</x:v>
      </x:c>
      <x:c r="AN631" s="32" t="n">
        <x:f>H631*(tun_KHPerAdult*Z631+tun_KHOfCommons*AJ631/4*INDEX(LM_All,G631))*tun_KHUsable*Arch_KH</x:f>
        <x:v>71089.86588276619</x:v>
      </x:c>
      <x:c r="AO631" s="32" t="n">
        <x:f>MIN(AP630+AN631,AM631*tun_KHMaxRatio)</x:f>
        <x:v>71089.86588276619</x:v>
      </x:c>
      <x:c r="AP631" s="32" t="n">
        <x:f>AP630+AN631-AO631</x:f>
        <x:v>0</x:v>
      </x:c>
      <x:c r="AQ631" s="32" t="n">
        <x:f>AM631+AO631</x:f>
        <x:v>553231.4533937718</x:v>
      </x:c>
      <x:c r="AR631" s="10" t="n">
        <x:f>IF(H631=1,INDEX(tun_Req,G631),0)</x:f>
        <x:v>125406521.7009086</x:v>
      </x:c>
      <x:c r="AS631" s="32" t="n">
        <x:f>IF(H631=1,IF(E631=1,AS630-AR630,AS630)+AQ631,0)</x:f>
        <x:v>2370895.4604155705</x:v>
      </x:c>
      <x:c r="AT631" s="11" t="n">
        <x:f>IF(AR631&gt;0,MIN(1,AS631/AR631),1)</x:f>
        <x:v>0.018905679132621957</x:v>
      </x:c>
      <x:c r="AU631" s="10" t="n">
        <x:f>AB631/INDEX(tun_RepScale,G631)</x:f>
        <x:v>187.79900581804532</x:v>
      </x:c>
      <x:c r="AV631" s="32" t="n">
        <x:f>AM631*60/tun_SeasonSeconds</x:f>
        <x:v>1928566.3500440223</x:v>
      </x:c>
    </x:row>
    <x:row r="632">
      <x:c r="A632" s="8" t="n">
        <x:f>A631+1</x:f>
        <x:v>629</x:v>
      </x:c>
      <x:c r="B632" s="9" t="n">
        <x:f>A632*tun_SeasonSeconds/60</x:f>
        <x:v>157.25</x:v>
      </x:c>
      <x:c r="C632" s="9" t="n">
        <x:f>A632/4</x:f>
        <x:v>157.25</x:v>
      </x:c>
      <x:c r="D632" s="8" t="n">
        <x:f>IF(MOD(A632,4)=0,1,0)</x:f>
        <x:v>0</x:v>
      </x:c>
      <x:c r="E632" s="8" t="n">
        <x:f>IF(AND(F631&lt;=9,AS631&gt;=AR631),1,0)</x:f>
        <x:v>0</x:v>
      </x:c>
      <x:c r="F632" s="8" t="n">
        <x:f>MIN(10,F631+E632)</x:f>
        <x:v>9</x:v>
      </x:c>
      <x:c r="G632" s="8" t="n">
        <x:f>MIN(F632,9)+1</x:f>
        <x:v>10</x:v>
      </x:c>
      <x:c r="H632" s="8" t="n">
        <x:f>IF(F632&lt;=9,1,0)</x:f>
        <x:v>1</x:v>
      </x:c>
      <x:c r="I632" s="9" t="n">
        <x:f>MIN(10,F631+IF(AR631&gt;0,MIN(1,AS631/AR631),1))</x:f>
        <x:v>9.018905679132622</x:v>
      </x:c>
      <x:c r="J632" s="32" t="n">
        <x:f>INDEX(tun_FoodCap,G632)*Arch_FoodCap*EXP(tun_CapsByProject*SUMPRODUCT((Cap_Point&lt;=I632)*(Cap_Kind="Food")*Cap_Ln))</x:f>
        <x:v>13863.877308233004</x:v>
      </x:c>
      <x:c r="K632" s="32" t="n">
        <x:f>J632*MIN(1,tun_LeanBase*EXP(tun_CapsByProject*SUMPRODUCT((Cap_Point&lt;=I632)*(Cap_Kind="Lean")*Cap_Ln)))</x:f>
        <x:v>13863.877308233004</x:v>
      </x:c>
      <x:c r="L632" s="10" t="n">
        <x:f>INDEX(tun_HousingCap,G632)*EXP(tun_CapsByProject*SUMPRODUCT((Cap_Point&lt;=I632)*(Cap_Kind="Housing")*Cap_Ln))</x:f>
        <x:v>12514.86067705494</x:v>
      </x:c>
      <x:c r="M632" s="10" t="n">
        <x:f>INDEX(tun_GroupCap,G632)*tun_CohesionFactor*EXP(tun_CapsByProject*SUMPRODUCT((Cap_Point&lt;=I632)*(Cap_Kind="Group")*Cap_Ln))</x:f>
        <x:v>1000000.000000001</x:v>
      </x:c>
      <x:c r="N632" s="32" t="n">
        <x:f>MIN(J632,L632,M632)</x:f>
        <x:v>12514.86067705494</x:v>
      </x:c>
      <x:c r="O632" s="10" t="n">
        <x:f>AE631*N632</x:f>
        <x:v>112633.74609349445</x:v>
      </x:c>
      <x:c r="P632" s="9" t="n">
        <x:f>MIN(1,(AB631/(AE631*IF(tun_GroupInCrowding=1,N632,MIN(J632,L632))))^tun_CrowdingExp)</x:f>
        <x:v>0.33571333128348085</x:v>
      </x:c>
      <x:c r="Q632" s="9" t="n">
        <x:f>IF(D632=1,INDEX(tun_WinterMult,G632),1)</x:f>
        <x:v>1</x:v>
      </x:c>
      <x:c r="R632" s="9" t="n">
        <x:f>H632*Z631*tun_WomenShare*tun_BaseFertility*INDEX(tun_FertMult,G632)*Arch_Fertility*(1-P632)</x:f>
        <x:v>579.2418836874733</x:v>
      </x:c>
      <x:c r="S632" s="9" t="n">
        <x:f>H632*Y631*INDEX(tun_MortChild,G632)/4*Q632</x:f>
        <x:v>8.326482668695625</x:v>
      </x:c>
      <x:c r="T632" s="9" t="n">
        <x:f>H632*Z631*INDEX(tun_MortAdult,G632)*Arch_AdultMort/4*Q632</x:f>
        <x:v>14.373227083050404</x:v>
      </x:c>
      <x:c r="U632" s="9" t="n">
        <x:f>H632*AA631*INDEX(tun_MortElder,G632)/4*Q632</x:f>
        <x:v>125.3090770801269</x:v>
      </x:c>
      <x:c r="V632" s="9" t="n">
        <x:f>H632*MAX(0,AB631-O632)*tun_OvercapLoss</x:f>
        <x:v>0</x:v>
      </x:c>
      <x:c r="W632" s="9" t="n">
        <x:f>H632*Y631/(tun_ChildYears*4)</x:f>
        <x:v>660.8319578329862</x:v>
      </x:c>
      <x:c r="X632" s="9" t="n">
        <x:f>H632*Z631/(tun_AdultYears*4)</x:f>
        <x:v>309.1016577000087</x:v>
      </x:c>
      <x:c r="Y632" s="32" t="n">
        <x:f>Y631+R632-S632-W632-Y631*V632/AB631</x:f>
        <x:v>36916.67308183302</x:v>
      </x:c>
      <x:c r="Z632" s="32" t="n">
        <x:f>Z631+W632-X632-T632-Z631*V632/AB631</x:f>
        <x:v>38665.962627851</x:v>
      </x:c>
      <x:c r="AA632" s="32" t="n">
        <x:f>AA631+X632-U632-AA631*V632/AB631</x:f>
        <x:v>18748.100296194236</x:v>
      </x:c>
      <x:c r="AB632" s="10" t="n">
        <x:f>Y632+Z632+AA632</x:f>
        <x:v>94330.73600587825</x:v>
      </x:c>
      <x:c r="AC632" s="8" t="n">
        <x:f>IF(AND(tun_WinterTrigger=1,D632=1,AB631/AE631&gt;=K632),1,0)</x:f>
        <x:v>0</x:v>
      </x:c>
      <x:c r="AD632" s="8" t="n">
        <x:f>H632*IF(AND(OR(AB631/AE631&gt;=tun_FissionTrigger*N632,AC632=1),AB631/AE631*tun_DaughterShare&gt;=tun_MinDaughter),MAX(1,ROUND(AE631*tun_FissionRate,0)),0)</x:f>
        <x:v>0</x:v>
      </x:c>
      <x:c r="AE632" s="8" t="n">
        <x:f>IF(H632=1,MAX(1,MIN(INDEX(tun_Smax,G632),AE631+AD632)),AE631)</x:f>
        <x:v>9</x:v>
      </x:c>
      <x:c r="AF632" s="8" t="n">
        <x:f>MAX(0,AE632-AE631)</x:f>
        <x:v>0</x:v>
      </x:c>
      <x:c r="AG632" s="9" t="str">
        <x:f>IF(AF632&gt;0,B632,"")</x:f>
      </x:c>
      <x:c r="AH632" s="9" t="n">
        <x:f>IF(F632&gt;=1,1,(1+tun_LowTiesShare*(AE632-1))/AE632)</x:f>
        <x:v>1</x:v>
      </x:c>
      <x:c r="AI632" s="32" t="n">
        <x:f>(Z632+tun_ElderCommons*INDEX(LM_Elder,G632)*AA632)*AH632</x:f>
        <x:v>112402.86316671333</x:v>
      </x:c>
      <x:c r="AJ632" s="32" t="n">
        <x:f>H632*tun_CommonsCoef*AI632^tun_CommonsExp*INDEX(LM_Commons,G632)</x:f>
        <x:v>421842.96028066555</x:v>
      </x:c>
      <x:c r="AK632" s="32" t="n">
        <x:f>H632*tun_RoleScale*Arch_Roles*(AE632*(INDEX(tun_ElderRolePerSett,G632)*tun_OutElder*INDEX(LM_Elder,G632)+INDEX(tun_ShamanPerSett,G632)*tun_OutShaman)+Z632*(INDEX(tun_PriestShare,G632)*tun_OutPriest+INDEX(tun_ScribeShare,G632)*tun_OutScribe*INDEX(LM_Scribe,G632)+INDEX(tun_ScholarShare,G632)*tun_OutScholar*INDEX(LM_Scholar,G632)+INDEX(tun_ResearcherShare,G632)*tun_OutResearcher*INDEX(LM_Researcher,G632)))</x:f>
        <x:v>139503.9084773196</x:v>
      </x:c>
      <x:c r="AL632" s="32" t="n">
        <x:f>H632*tun_RoleScale*Arch_Roles*AE632*INDEX(tun_MonasteryPerSett,G632)*tun_OutMonastery*INDEX(LM_Monastery,G632)</x:f>
        <x:v>15.840000000000002</x:v>
      </x:c>
      <x:c r="AM632" s="32" t="n">
        <x:f>(AJ632+AK632+AL632)/4*INDEX(LM_All,G632)*INDEX(tun_Boon,G632)*Arch_Insight</x:f>
        <x:v>486124.62392805837</x:v>
      </x:c>
      <x:c r="AN632" s="32" t="n">
        <x:f>H632*(tun_KHPerAdult*Z632+tun_KHOfCommons*AJ632/4*INDEX(LM_All,G632))*tun_KHUsable*Arch_KH</x:f>
        <x:v>71664.84450130287</x:v>
      </x:c>
      <x:c r="AO632" s="32" t="n">
        <x:f>MIN(AP631+AN632,AM632*tun_KHMaxRatio)</x:f>
        <x:v>71664.84450130287</x:v>
      </x:c>
      <x:c r="AP632" s="32" t="n">
        <x:f>AP631+AN632-AO632</x:f>
        <x:v>0</x:v>
      </x:c>
      <x:c r="AQ632" s="32" t="n">
        <x:f>AM632+AO632</x:f>
        <x:v>557789.4684293612</x:v>
      </x:c>
      <x:c r="AR632" s="10" t="n">
        <x:f>IF(H632=1,INDEX(tun_Req,G632),0)</x:f>
        <x:v>125406521.7009086</x:v>
      </x:c>
      <x:c r="AS632" s="32" t="n">
        <x:f>IF(H632=1,IF(E632=1,AS631-AR631,AS631)+AQ632,0)</x:f>
        <x:v>2928684.9288449315</x:v>
      </x:c>
      <x:c r="AT632" s="11" t="n">
        <x:f>IF(AR632&gt;0,MIN(1,AS632/AR632),1)</x:f>
        <x:v>0.02335352969783957</x:v>
      </x:c>
      <x:c r="AU632" s="10" t="n">
        <x:f>AB632/INDEX(tun_RepScale,G632)</x:f>
        <x:v>188.6614720117565</x:v>
      </x:c>
      <x:c r="AV632" s="32" t="n">
        <x:f>AM632*60/tun_SeasonSeconds</x:f>
        <x:v>1944498.4957122335</x:v>
      </x:c>
    </x:row>
    <x:row r="633">
      <x:c r="A633" s="8" t="n">
        <x:f>A632+1</x:f>
        <x:v>630</x:v>
      </x:c>
      <x:c r="B633" s="9" t="n">
        <x:f>A633*tun_SeasonSeconds/60</x:f>
        <x:v>157.5</x:v>
      </x:c>
      <x:c r="C633" s="9" t="n">
        <x:f>A633/4</x:f>
        <x:v>157.5</x:v>
      </x:c>
      <x:c r="D633" s="8" t="n">
        <x:f>IF(MOD(A633,4)=0,1,0)</x:f>
        <x:v>0</x:v>
      </x:c>
      <x:c r="E633" s="8" t="n">
        <x:f>IF(AND(F632&lt;=9,AS632&gt;=AR632),1,0)</x:f>
        <x:v>0</x:v>
      </x:c>
      <x:c r="F633" s="8" t="n">
        <x:f>MIN(10,F632+E633)</x:f>
        <x:v>9</x:v>
      </x:c>
      <x:c r="G633" s="8" t="n">
        <x:f>MIN(F633,9)+1</x:f>
        <x:v>10</x:v>
      </x:c>
      <x:c r="H633" s="8" t="n">
        <x:f>IF(F633&lt;=9,1,0)</x:f>
        <x:v>1</x:v>
      </x:c>
      <x:c r="I633" s="9" t="n">
        <x:f>MIN(10,F632+IF(AR632&gt;0,MIN(1,AS632/AR632),1))</x:f>
        <x:v>9.02335352969784</x:v>
      </x:c>
      <x:c r="J633" s="32" t="n">
        <x:f>INDEX(tun_FoodCap,G633)*Arch_FoodCap*EXP(tun_CapsByProject*SUMPRODUCT((Cap_Point&lt;=I633)*(Cap_Kind="Food")*Cap_Ln))</x:f>
        <x:v>13863.877308233004</x:v>
      </x:c>
      <x:c r="K633" s="32" t="n">
        <x:f>J633*MIN(1,tun_LeanBase*EXP(tun_CapsByProject*SUMPRODUCT((Cap_Point&lt;=I633)*(Cap_Kind="Lean")*Cap_Ln)))</x:f>
        <x:v>13863.877308233004</x:v>
      </x:c>
      <x:c r="L633" s="10" t="n">
        <x:f>INDEX(tun_HousingCap,G633)*EXP(tun_CapsByProject*SUMPRODUCT((Cap_Point&lt;=I633)*(Cap_Kind="Housing")*Cap_Ln))</x:f>
        <x:v>12514.86067705494</x:v>
      </x:c>
      <x:c r="M633" s="10" t="n">
        <x:f>INDEX(tun_GroupCap,G633)*tun_CohesionFactor*EXP(tun_CapsByProject*SUMPRODUCT((Cap_Point&lt;=I633)*(Cap_Kind="Group")*Cap_Ln))</x:f>
        <x:v>1000000.000000001</x:v>
      </x:c>
      <x:c r="N633" s="32" t="n">
        <x:f>MIN(J633,L633,M633)</x:f>
        <x:v>12514.86067705494</x:v>
      </x:c>
      <x:c r="O633" s="10" t="n">
        <x:f>AE632*N633</x:f>
        <x:v>112633.74609349445</x:v>
      </x:c>
      <x:c r="P633" s="9" t="n">
        <x:f>MIN(1,(AB632/(AE632*IF(tun_GroupInCrowding=1,N633,MIN(J633,L633))))^tun_CrowdingExp)</x:f>
        <x:v>0.3450707648243244</x:v>
      </x:c>
      <x:c r="Q633" s="9" t="n">
        <x:f>IF(D633=1,INDEX(tun_WinterMult,G633),1)</x:f>
        <x:v>1</x:v>
      </x:c>
      <x:c r="R633" s="9" t="n">
        <x:f>H633*Z632*tun_WomenShare*tun_BaseFertility*INDEX(tun_FertMult,G633)*Arch_Fertility*(1-P633)</x:f>
        <x:v>576.1089272845659</x:v>
      </x:c>
      <x:c r="S633" s="9" t="n">
        <x:f>H633*Y632*INDEX(tun_MortChild,G633)/4*Q633</x:f>
        <x:v>8.306251443412428</x:v>
      </x:c>
      <x:c r="T633" s="9" t="n">
        <x:f>H633*Z632*INDEX(tun_MortAdult,G633)*Arch_AdultMort/4*Q633</x:f>
        <x:v>14.499735985444124</x:v>
      </x:c>
      <x:c r="U633" s="9" t="n">
        <x:f>H633*AA632*INDEX(tun_MortElder,G633)/4*Q633</x:f>
        <x:v>126.54967699931109</x:v>
      </x:c>
      <x:c r="V633" s="9" t="n">
        <x:f>H633*MAX(0,AB632-O633)*tun_OvercapLoss</x:f>
        <x:v>0</x:v>
      </x:c>
      <x:c r="W633" s="9" t="n">
        <x:f>H633*Y632/(tun_ChildYears*4)</x:f>
        <x:v>659.2263050327325</x:v>
      </x:c>
      <x:c r="X633" s="9" t="n">
        <x:f>H633*Z632/(tun_AdultYears*4)</x:f>
        <x:v>311.8222792568629</x:v>
      </x:c>
      <x:c r="Y633" s="32" t="n">
        <x:f>Y632+R633-S633-W633-Y632*V633/AB632</x:f>
        <x:v>36825.24945264144</x:v>
      </x:c>
      <x:c r="Z633" s="32" t="n">
        <x:f>Z632+W633-X633-T633-Z632*V633/AB632</x:f>
        <x:v>38998.86691764142</x:v>
      </x:c>
      <x:c r="AA633" s="32" t="n">
        <x:f>AA632+X633-U633-AA632*V633/AB632</x:f>
        <x:v>18933.372898451787</x:v>
      </x:c>
      <x:c r="AB633" s="10" t="n">
        <x:f>Y633+Z633+AA633</x:f>
        <x:v>94757.48926873464</x:v>
      </x:c>
      <x:c r="AC633" s="8" t="n">
        <x:f>IF(AND(tun_WinterTrigger=1,D633=1,AB632/AE632&gt;=K633),1,0)</x:f>
        <x:v>0</x:v>
      </x:c>
      <x:c r="AD633" s="8" t="n">
        <x:f>H633*IF(AND(OR(AB632/AE632&gt;=tun_FissionTrigger*N633,AC633=1),AB632/AE632*tun_DaughterShare&gt;=tun_MinDaughter),MAX(1,ROUND(AE632*tun_FissionRate,0)),0)</x:f>
        <x:v>0</x:v>
      </x:c>
      <x:c r="AE633" s="8" t="n">
        <x:f>IF(H633=1,MAX(1,MIN(INDEX(tun_Smax,G633),AE632+AD633)),AE632)</x:f>
        <x:v>9</x:v>
      </x:c>
      <x:c r="AF633" s="8" t="n">
        <x:f>MAX(0,AE633-AE632)</x:f>
        <x:v>0</x:v>
      </x:c>
      <x:c r="AG633" s="9" t="str">
        <x:f>IF(AF633&gt;0,B633,"")</x:f>
      </x:c>
      <x:c r="AH633" s="9" t="n">
        <x:f>IF(F633&gt;=1,1,(1+tun_LowTiesShare*(AE633-1))/AE633)</x:f>
        <x:v>1</x:v>
      </x:c>
      <x:c r="AI633" s="32" t="n">
        <x:f>(Z633+tun_ElderCommons*INDEX(LM_Elder,G633)*AA633)*AH633</x:f>
        <x:v>113464.45074864585</x:v>
      </x:c>
      <x:c r="AJ633" s="32" t="n">
        <x:f>H633*tun_CommonsCoef*AI633^tun_CommonsExp*INDEX(LM_Commons,G633)</x:f>
        <x:v>425227.0476007871</x:v>
      </x:c>
      <x:c r="AK633" s="32" t="n">
        <x:f>H633*tun_RoleScale*Arch_Roles*(AE633*(INDEX(tun_ElderRolePerSett,G633)*tun_OutElder*INDEX(LM_Elder,G633)+INDEX(tun_ShamanPerSett,G633)*tun_OutShaman)+Z633*(INDEX(tun_PriestShare,G633)*tun_OutPriest+INDEX(tun_ScribeShare,G633)*tun_OutScribe*INDEX(LM_Scribe,G633)+INDEX(tun_ScholarShare,G633)*tun_OutScholar*INDEX(LM_Scholar,G633)+INDEX(tun_ResearcherShare,G633)*tun_OutResearcher*INDEX(LM_Researcher,G633)))</x:f>
        <x:v>140702.8534177904</x:v>
      </x:c>
      <x:c r="AL633" s="32" t="n">
        <x:f>H633*tun_RoleScale*Arch_Roles*AE633*INDEX(tun_MonasteryPerSett,G633)*tun_OutMonastery*INDEX(LM_Monastery,G633)</x:f>
        <x:v>15.840000000000002</x:v>
      </x:c>
      <x:c r="AM633" s="32" t="n">
        <x:f>(AJ633+AK633+AL633)/4*INDEX(LM_All,G633)*INDEX(tun_Boon,G633)*Arch_Insight</x:f>
        <x:v>490093.40347000526</x:v>
      </x:c>
      <x:c r="AN633" s="32" t="n">
        <x:f>H633*(tun_KHPerAdult*Z633+tun_KHOfCommons*AJ633/4*INDEX(LM_All,G633))*tun_KHUsable*Arch_KH</x:f>
        <x:v>72239.75060241212</x:v>
      </x:c>
      <x:c r="AO633" s="32" t="n">
        <x:f>MIN(AP632+AN633,AM633*tun_KHMaxRatio)</x:f>
        <x:v>72239.75060241212</x:v>
      </x:c>
      <x:c r="AP633" s="32" t="n">
        <x:f>AP632+AN633-AO633</x:f>
        <x:v>0</x:v>
      </x:c>
      <x:c r="AQ633" s="32" t="n">
        <x:f>AM633+AO633</x:f>
        <x:v>562333.1540724174</x:v>
      </x:c>
      <x:c r="AR633" s="10" t="n">
        <x:f>IF(H633=1,INDEX(tun_Req,G633),0)</x:f>
        <x:v>125406521.7009086</x:v>
      </x:c>
      <x:c r="AS633" s="32" t="n">
        <x:f>IF(H633=1,IF(E633=1,AS632-AR632,AS632)+AQ633,0)</x:f>
        <x:v>3491018.082917349</x:v>
      </x:c>
      <x:c r="AT633" s="11" t="n">
        <x:f>IF(AR633&gt;0,MIN(1,AS633/AR633),1)</x:f>
        <x:v>0.027837611916574318</x:v>
      </x:c>
      <x:c r="AU633" s="10" t="n">
        <x:f>AB633/INDEX(tun_RepScale,G633)</x:f>
        <x:v>189.5149785374693</x:v>
      </x:c>
      <x:c r="AV633" s="32" t="n">
        <x:f>AM633*60/tun_SeasonSeconds</x:f>
        <x:v>1960373.613880021</x:v>
      </x:c>
    </x:row>
    <x:row r="634">
      <x:c r="A634" s="8" t="n">
        <x:f>A633+1</x:f>
        <x:v>631</x:v>
      </x:c>
      <x:c r="B634" s="9" t="n">
        <x:f>A634*tun_SeasonSeconds/60</x:f>
        <x:v>157.75</x:v>
      </x:c>
      <x:c r="C634" s="9" t="n">
        <x:f>A634/4</x:f>
        <x:v>157.75</x:v>
      </x:c>
      <x:c r="D634" s="8" t="n">
        <x:f>IF(MOD(A634,4)=0,1,0)</x:f>
        <x:v>0</x:v>
      </x:c>
      <x:c r="E634" s="8" t="n">
        <x:f>IF(AND(F633&lt;=9,AS633&gt;=AR633),1,0)</x:f>
        <x:v>0</x:v>
      </x:c>
      <x:c r="F634" s="8" t="n">
        <x:f>MIN(10,F633+E634)</x:f>
        <x:v>9</x:v>
      </x:c>
      <x:c r="G634" s="8" t="n">
        <x:f>MIN(F634,9)+1</x:f>
        <x:v>10</x:v>
      </x:c>
      <x:c r="H634" s="8" t="n">
        <x:f>IF(F634&lt;=9,1,0)</x:f>
        <x:v>1</x:v>
      </x:c>
      <x:c r="I634" s="9" t="n">
        <x:f>MIN(10,F633+IF(AR633&gt;0,MIN(1,AS633/AR633),1))</x:f>
        <x:v>9.027837611916574</x:v>
      </x:c>
      <x:c r="J634" s="32" t="n">
        <x:f>INDEX(tun_FoodCap,G634)*Arch_FoodCap*EXP(tun_CapsByProject*SUMPRODUCT((Cap_Point&lt;=I634)*(Cap_Kind="Food")*Cap_Ln))</x:f>
        <x:v>13863.877308233004</x:v>
      </x:c>
      <x:c r="K634" s="32" t="n">
        <x:f>J634*MIN(1,tun_LeanBase*EXP(tun_CapsByProject*SUMPRODUCT((Cap_Point&lt;=I634)*(Cap_Kind="Lean")*Cap_Ln)))</x:f>
        <x:v>13863.877308233004</x:v>
      </x:c>
      <x:c r="L634" s="10" t="n">
        <x:f>INDEX(tun_HousingCap,G634)*EXP(tun_CapsByProject*SUMPRODUCT((Cap_Point&lt;=I634)*(Cap_Kind="Housing")*Cap_Ln))</x:f>
        <x:v>12514.86067705494</x:v>
      </x:c>
      <x:c r="M634" s="10" t="n">
        <x:f>INDEX(tun_GroupCap,G634)*tun_CohesionFactor*EXP(tun_CapsByProject*SUMPRODUCT((Cap_Point&lt;=I634)*(Cap_Kind="Group")*Cap_Ln))</x:f>
        <x:v>1000000.000000001</x:v>
      </x:c>
      <x:c r="N634" s="32" t="n">
        <x:f>MIN(J634,L634,M634)</x:f>
        <x:v>12514.86067705494</x:v>
      </x:c>
      <x:c r="O634" s="10" t="n">
        <x:f>AE633*N634</x:f>
        <x:v>112633.74609349445</x:v>
      </x:c>
      <x:c r="P634" s="9" t="n">
        <x:f>MIN(1,(AB633/(AE633*IF(tun_GroupInCrowding=1,N634,MIN(J634,L634))))^tun_CrowdingExp)</x:f>
        <x:v>0.354543965844917</x:v>
      </x:c>
      <x:c r="Q634" s="9" t="n">
        <x:f>IF(D634=1,INDEX(tun_WinterMult,G634),1)</x:f>
        <x:v>1</x:v>
      </x:c>
      <x:c r="R634" s="9" t="n">
        <x:f>H634*Z633*tun_WomenShare*tun_BaseFertility*INDEX(tun_FertMult,G634)*Arch_Fertility*(1-P634)</x:f>
        <x:v>572.6642279813614</x:v>
      </x:c>
      <x:c r="S634" s="9" t="n">
        <x:f>H634*Y633*INDEX(tun_MortChild,G634)/4*Q634</x:f>
        <x:v>8.285681126844324</x:v>
      </x:c>
      <x:c r="T634" s="9" t="n">
        <x:f>H634*Z633*INDEX(tun_MortAdult,G634)*Arch_AdultMort/4*Q634</x:f>
        <x:v>14.624575094115531</x:v>
      </x:c>
      <x:c r="U634" s="9" t="n">
        <x:f>H634*AA633*INDEX(tun_MortElder,G634)/4*Q634</x:f>
        <x:v>127.80026706454956</x:v>
      </x:c>
      <x:c r="V634" s="9" t="n">
        <x:f>H634*MAX(0,AB633-O634)*tun_OvercapLoss</x:f>
        <x:v>0</x:v>
      </x:c>
      <x:c r="W634" s="9" t="n">
        <x:f>H634*Y633/(tun_ChildYears*4)</x:f>
        <x:v>657.5937402257399</x:v>
      </x:c>
      <x:c r="X634" s="9" t="n">
        <x:f>H634*Z633/(tun_AdultYears*4)</x:f>
        <x:v>314.5069912713018</x:v>
      </x:c>
      <x:c r="Y634" s="32" t="n">
        <x:f>Y633+R634-S634-W634-Y633*V634/AB633</x:f>
        <x:v>36732.034259270215</x:v>
      </x:c>
      <x:c r="Z634" s="32" t="n">
        <x:f>Z633+W634-X634-T634-Z633*V634/AB633</x:f>
        <x:v>39327.32909150174</x:v>
      </x:c>
      <x:c r="AA634" s="32" t="n">
        <x:f>AA633+X634-U634-AA633*V634/AB633</x:f>
        <x:v>19120.079622658537</x:v>
      </x:c>
      <x:c r="AB634" s="10" t="n">
        <x:f>Y634+Z634+AA634</x:f>
        <x:v>95179.44297343049</x:v>
      </x:c>
      <x:c r="AC634" s="8" t="n">
        <x:f>IF(AND(tun_WinterTrigger=1,D634=1,AB633/AE633&gt;=K634),1,0)</x:f>
        <x:v>0</x:v>
      </x:c>
      <x:c r="AD634" s="8" t="n">
        <x:f>H634*IF(AND(OR(AB633/AE633&gt;=tun_FissionTrigger*N634,AC634=1),AB633/AE633*tun_DaughterShare&gt;=tun_MinDaughter),MAX(1,ROUND(AE633*tun_FissionRate,0)),0)</x:f>
        <x:v>0</x:v>
      </x:c>
      <x:c r="AE634" s="8" t="n">
        <x:f>IF(H634=1,MAX(1,MIN(INDEX(tun_Smax,G634),AE633+AD634)),AE633)</x:f>
        <x:v>9</x:v>
      </x:c>
      <x:c r="AF634" s="8" t="n">
        <x:f>MAX(0,AE634-AE633)</x:f>
        <x:v>0</x:v>
      </x:c>
      <x:c r="AG634" s="9" t="str">
        <x:f>IF(AF634&gt;0,B634,"")</x:f>
      </x:c>
      <x:c r="AH634" s="9" t="n">
        <x:f>IF(F634&gt;=1,1,(1+tun_LowTiesShare*(AE634-1))/AE634)</x:f>
        <x:v>1</x:v>
      </x:c>
      <x:c r="AI634" s="32" t="n">
        <x:f>(Z634+tun_ElderCommons*INDEX(LM_Elder,G634)*AA634)*AH634</x:f>
        <x:v>114527.23666385957</x:v>
      </x:c>
      <x:c r="AJ634" s="32" t="n">
        <x:f>H634*tun_CommonsCoef*AI634^tun_CommonsExp*INDEX(LM_Commons,G634)</x:f>
        <x:v>428610.20086595847</x:v>
      </x:c>
      <x:c r="AK634" s="32" t="n">
        <x:f>H634*tun_RoleScale*Arch_Roles*(AE634*(INDEX(tun_ElderRolePerSett,G634)*tun_OutElder*INDEX(LM_Elder,G634)+INDEX(tun_ShamanPerSett,G634)*tun_OutShaman)+Z634*(INDEX(tun_PriestShare,G634)*tun_OutPriest+INDEX(tun_ScribeShare,G634)*tun_OutScribe*INDEX(LM_Scribe,G634)+INDEX(tun_ScholarShare,G634)*tun_OutScholar*INDEX(LM_Scholar,G634)+INDEX(tun_ResearcherShare,G634)*tun_OutResearcher*INDEX(LM_Researcher,G634)))</x:f>
        <x:v>141885.80020929553</x:v>
      </x:c>
      <x:c r="AL634" s="32" t="n">
        <x:f>H634*tun_RoleScale*Arch_Roles*AE634*INDEX(tun_MonasteryPerSett,G634)*tun_OutMonastery*INDEX(LM_Monastery,G634)</x:f>
        <x:v>15.840000000000002</x:v>
      </x:c>
      <x:c r="AM634" s="32" t="n">
        <x:f>(AJ634+AK634+AL634)/4*INDEX(LM_All,G634)*INDEX(tun_Boon,G634)*Arch_Insight</x:f>
        <x:v>494047.52019033546</x:v>
      </x:c>
      <x:c r="AN634" s="32" t="n">
        <x:f>H634*(tun_KHPerAdult*Z634+tun_KHOfCommons*AJ634/4*INDEX(LM_All,G634))*tun_KHUsable*Arch_KH</x:f>
        <x:v>72814.49802147839</x:v>
      </x:c>
      <x:c r="AO634" s="32" t="n">
        <x:f>MIN(AP633+AN634,AM634*tun_KHMaxRatio)</x:f>
        <x:v>72814.49802147839</x:v>
      </x:c>
      <x:c r="AP634" s="32" t="n">
        <x:f>AP633+AN634-AO634</x:f>
        <x:v>0</x:v>
      </x:c>
      <x:c r="AQ634" s="32" t="n">
        <x:f>AM634+AO634</x:f>
        <x:v>566862.0182118139</x:v>
      </x:c>
      <x:c r="AR634" s="10" t="n">
        <x:f>IF(H634=1,INDEX(tun_Req,G634),0)</x:f>
        <x:v>125406521.7009086</x:v>
      </x:c>
      <x:c r="AS634" s="32" t="n">
        <x:f>IF(H634=1,IF(E634=1,AS633-AR633,AS633)+AQ634,0)</x:f>
        <x:v>4057880.101129163</x:v>
      </x:c>
      <x:c r="AT634" s="11" t="n">
        <x:f>IF(AR634&gt;0,MIN(1,AS634/AR634),1)</x:f>
        <x:v>0.03235780760116372</x:v>
      </x:c>
      <x:c r="AU634" s="10" t="n">
        <x:f>AB634/INDEX(tun_RepScale,G634)</x:f>
        <x:v>190.35888594686097</x:v>
      </x:c>
      <x:c r="AV634" s="32" t="n">
        <x:f>AM634*60/tun_SeasonSeconds</x:f>
        <x:v>1976190.0807613418</x:v>
      </x:c>
    </x:row>
    <x:row r="635">
      <x:c r="A635" s="8" t="n">
        <x:f>A634+1</x:f>
        <x:v>632</x:v>
      </x:c>
      <x:c r="B635" s="9" t="n">
        <x:f>A635*tun_SeasonSeconds/60</x:f>
        <x:v>158</x:v>
      </x:c>
      <x:c r="C635" s="9" t="n">
        <x:f>A635/4</x:f>
        <x:v>158</x:v>
      </x:c>
      <x:c r="D635" s="8" t="n">
        <x:f>IF(MOD(A635,4)=0,1,0)</x:f>
        <x:v>1</x:v>
      </x:c>
      <x:c r="E635" s="8" t="n">
        <x:f>IF(AND(F634&lt;=9,AS634&gt;=AR634),1,0)</x:f>
        <x:v>0</x:v>
      </x:c>
      <x:c r="F635" s="8" t="n">
        <x:f>MIN(10,F634+E635)</x:f>
        <x:v>9</x:v>
      </x:c>
      <x:c r="G635" s="8" t="n">
        <x:f>MIN(F635,9)+1</x:f>
        <x:v>10</x:v>
      </x:c>
      <x:c r="H635" s="8" t="n">
        <x:f>IF(F635&lt;=9,1,0)</x:f>
        <x:v>1</x:v>
      </x:c>
      <x:c r="I635" s="9" t="n">
        <x:f>MIN(10,F634+IF(AR634&gt;0,MIN(1,AS634/AR634),1))</x:f>
        <x:v>9.032357807601164</x:v>
      </x:c>
      <x:c r="J635" s="32" t="n">
        <x:f>INDEX(tun_FoodCap,G635)*Arch_FoodCap*EXP(tun_CapsByProject*SUMPRODUCT((Cap_Point&lt;=I635)*(Cap_Kind="Food")*Cap_Ln))</x:f>
        <x:v>13863.877308233004</x:v>
      </x:c>
      <x:c r="K635" s="32" t="n">
        <x:f>J635*MIN(1,tun_LeanBase*EXP(tun_CapsByProject*SUMPRODUCT((Cap_Point&lt;=I635)*(Cap_Kind="Lean")*Cap_Ln)))</x:f>
        <x:v>13863.877308233004</x:v>
      </x:c>
      <x:c r="L635" s="10" t="n">
        <x:f>INDEX(tun_HousingCap,G635)*EXP(tun_CapsByProject*SUMPRODUCT((Cap_Point&lt;=I635)*(Cap_Kind="Housing")*Cap_Ln))</x:f>
        <x:v>12514.86067705494</x:v>
      </x:c>
      <x:c r="M635" s="10" t="n">
        <x:f>INDEX(tun_GroupCap,G635)*tun_CohesionFactor*EXP(tun_CapsByProject*SUMPRODUCT((Cap_Point&lt;=I635)*(Cap_Kind="Group")*Cap_Ln))</x:f>
        <x:v>1000000.000000001</x:v>
      </x:c>
      <x:c r="N635" s="32" t="n">
        <x:f>MIN(J635,L635,M635)</x:f>
        <x:v>12514.86067705494</x:v>
      </x:c>
      <x:c r="O635" s="10" t="n">
        <x:f>AE634*N635</x:f>
        <x:v>112633.74609349445</x:v>
      </x:c>
      <x:c r="P635" s="9" t="n">
        <x:f>MIN(1,(AB634/(AE634*IF(tun_GroupInCrowding=1,N635,MIN(J635,L635))))^tun_CrowdingExp)</x:f>
        <x:v>0.3641227226149657</x:v>
      </x:c>
      <x:c r="Q635" s="9" t="n">
        <x:f>IF(D635=1,INDEX(tun_WinterMult,G635),1)</x:f>
        <x:v>1.05</x:v>
      </x:c>
      <x:c r="R635" s="9" t="n">
        <x:f>H635*Z634*tun_WomenShare*tun_BaseFertility*INDEX(tun_FertMult,G635)*Arch_Fertility*(1-P635)</x:f>
        <x:v>568.9173251017935</x:v>
      </x:c>
      <x:c r="S635" s="9" t="n">
        <x:f>H635*Y634*INDEX(tun_MortChild,G635)/4*Q635</x:f>
        <x:v>8.677943093752589</x:v>
      </x:c>
      <x:c r="T635" s="9" t="n">
        <x:f>H635*Z634*INDEX(tun_MortAdult,G635)*Arch_AdultMort/4*Q635</x:f>
        <x:v>15.485135829778812</x:v>
      </x:c>
      <x:c r="U635" s="9" t="n">
        <x:f>H635*AA634*INDEX(tun_MortElder,G635)/4*Q635</x:f>
        <x:v>135.51356432559237</x:v>
      </x:c>
      <x:c r="V635" s="9" t="n">
        <x:f>H635*MAX(0,AB634-O635)*tun_OvercapLoss</x:f>
        <x:v>0</x:v>
      </x:c>
      <x:c r="W635" s="9" t="n">
        <x:f>H635*Y634/(tun_ChildYears*4)</x:f>
        <x:v>655.9291832012539</x:v>
      </x:c>
      <x:c r="X635" s="9" t="n">
        <x:f>H635*Z634/(tun_AdultYears*4)</x:f>
        <x:v>317.1558797701753</x:v>
      </x:c>
      <x:c r="Y635" s="32" t="n">
        <x:f>Y634+R635-S635-W635-Y634*V635/AB634</x:f>
        <x:v>36636.344458077</x:v>
      </x:c>
      <x:c r="Z635" s="32" t="n">
        <x:f>Z634+W635-X635-T635-Z634*V635/AB634</x:f>
        <x:v>39650.61725910304</x:v>
      </x:c>
      <x:c r="AA635" s="32" t="n">
        <x:f>AA634+X635-U635-AA634*V635/AB634</x:f>
        <x:v>19301.72193810312</x:v>
      </x:c>
      <x:c r="AB635" s="10" t="n">
        <x:f>Y635+Z635+AA635</x:f>
        <x:v>95588.68365528315</x:v>
      </x:c>
      <x:c r="AC635" s="8" t="n">
        <x:f>IF(AND(tun_WinterTrigger=1,D635=1,AB634/AE634&gt;=K635),1,0)</x:f>
        <x:v>0</x:v>
      </x:c>
      <x:c r="AD635" s="8" t="n">
        <x:f>H635*IF(AND(OR(AB634/AE634&gt;=tun_FissionTrigger*N635,AC635=1),AB634/AE634*tun_DaughterShare&gt;=tun_MinDaughter),MAX(1,ROUND(AE634*tun_FissionRate,0)),0)</x:f>
        <x:v>0</x:v>
      </x:c>
      <x:c r="AE635" s="8" t="n">
        <x:f>IF(H635=1,MAX(1,MIN(INDEX(tun_Smax,G635),AE634+AD635)),AE634)</x:f>
        <x:v>9</x:v>
      </x:c>
      <x:c r="AF635" s="8" t="n">
        <x:f>MAX(0,AE635-AE634)</x:f>
        <x:v>0</x:v>
      </x:c>
      <x:c r="AG635" s="9" t="str">
        <x:f>IF(AF635&gt;0,B635,"")</x:f>
      </x:c>
      <x:c r="AH635" s="9" t="n">
        <x:f>IF(F635&gt;=1,1,(1+tun_LowTiesShare*(AE635-1))/AE635)</x:f>
        <x:v>1</x:v>
      </x:c>
      <x:c r="AI635" s="32" t="n">
        <x:f>(Z635+tun_ElderCommons*INDEX(LM_Elder,G635)*AA635)*AH635</x:f>
        <x:v>115564.93008511234</x:v>
      </x:c>
      <x:c r="AJ635" s="32" t="n">
        <x:f>H635*tun_CommonsCoef*AI635^tun_CommonsExp*INDEX(LM_Commons,G635)</x:f>
        <x:v>431908.9364519203</x:v>
      </x:c>
      <x:c r="AK635" s="32" t="n">
        <x:f>H635*tun_RoleScale*Arch_Roles*(AE635*(INDEX(tun_ElderRolePerSett,G635)*tun_OutElder*INDEX(LM_Elder,G635)+INDEX(tun_ShamanPerSett,G635)*tun_OutShaman)+Z635*(INDEX(tun_PriestShare,G635)*tun_OutPriest+INDEX(tun_ScribeShare,G635)*tun_OutScribe*INDEX(LM_Scribe,G635)+INDEX(tun_ScholarShare,G635)*tun_OutScholar*INDEX(LM_Scholar,G635)+INDEX(tun_ResearcherShare,G635)*tun_OutResearcher*INDEX(LM_Researcher,G635)))</x:f>
        <x:v>143050.11297049085</x:v>
      </x:c>
      <x:c r="AL635" s="32" t="n">
        <x:f>H635*tun_RoleScale*Arch_Roles*AE635*INDEX(tun_MonasteryPerSett,G635)*tun_OutMonastery*INDEX(LM_Monastery,G635)</x:f>
        <x:v>15.840000000000002</x:v>
      </x:c>
      <x:c r="AM635" s="32" t="n">
        <x:f>(AJ635+AK635+AL635)/4*INDEX(LM_All,G635)*INDEX(tun_Boon,G635)*Arch_Insight</x:f>
        <x:v>497912.3969722911</x:v>
      </x:c>
      <x:c r="AN635" s="32" t="n">
        <x:f>H635*(tun_KHPerAdult*Z635+tun_KHOfCommons*AJ635/4*INDEX(LM_All,G635))*tun_KHUsable*Arch_KH</x:f>
        <x:v>73374.90413246714</x:v>
      </x:c>
      <x:c r="AO635" s="32" t="n">
        <x:f>MIN(AP634+AN635,AM635*tun_KHMaxRatio)</x:f>
        <x:v>73374.90413246714</x:v>
      </x:c>
      <x:c r="AP635" s="32" t="n">
        <x:f>AP634+AN635-AO635</x:f>
        <x:v>0</x:v>
      </x:c>
      <x:c r="AQ635" s="32" t="n">
        <x:f>AM635+AO635</x:f>
        <x:v>571287.3011047583</x:v>
      </x:c>
      <x:c r="AR635" s="10" t="n">
        <x:f>IF(H635=1,INDEX(tun_Req,G635),0)</x:f>
        <x:v>125406521.7009086</x:v>
      </x:c>
      <x:c r="AS635" s="32" t="n">
        <x:f>IF(H635=1,IF(E635=1,AS634-AR634,AS634)+AQ635,0)</x:f>
        <x:v>4629167.402233921</x:v>
      </x:c>
      <x:c r="AT635" s="11" t="n">
        <x:f>IF(AR635&gt;0,MIN(1,AS635/AR635),1)</x:f>
        <x:v>0.0369132907878138</x:v>
      </x:c>
      <x:c r="AU635" s="10" t="n">
        <x:f>AB635/INDEX(tun_RepScale,G635)</x:f>
        <x:v>191.1773673105663</x:v>
      </x:c>
      <x:c r="AV635" s="32" t="n">
        <x:f>AM635*60/tun_SeasonSeconds</x:f>
        <x:v>1991649.5878891645</x:v>
      </x:c>
    </x:row>
    <x:row r="636">
      <x:c r="A636" s="8" t="n">
        <x:f>A635+1</x:f>
        <x:v>633</x:v>
      </x:c>
      <x:c r="B636" s="9" t="n">
        <x:f>A636*tun_SeasonSeconds/60</x:f>
        <x:v>158.25</x:v>
      </x:c>
      <x:c r="C636" s="9" t="n">
        <x:f>A636/4</x:f>
        <x:v>158.25</x:v>
      </x:c>
      <x:c r="D636" s="8" t="n">
        <x:f>IF(MOD(A636,4)=0,1,0)</x:f>
        <x:v>0</x:v>
      </x:c>
      <x:c r="E636" s="8" t="n">
        <x:f>IF(AND(F635&lt;=9,AS635&gt;=AR635),1,0)</x:f>
        <x:v>0</x:v>
      </x:c>
      <x:c r="F636" s="8" t="n">
        <x:f>MIN(10,F635+E636)</x:f>
        <x:v>9</x:v>
      </x:c>
      <x:c r="G636" s="8" t="n">
        <x:f>MIN(F636,9)+1</x:f>
        <x:v>10</x:v>
      </x:c>
      <x:c r="H636" s="8" t="n">
        <x:f>IF(F636&lt;=9,1,0)</x:f>
        <x:v>1</x:v>
      </x:c>
      <x:c r="I636" s="9" t="n">
        <x:f>MIN(10,F635+IF(AR635&gt;0,MIN(1,AS635/AR635),1))</x:f>
        <x:v>9.036913290787814</x:v>
      </x:c>
      <x:c r="J636" s="32" t="n">
        <x:f>INDEX(tun_FoodCap,G636)*Arch_FoodCap*EXP(tun_CapsByProject*SUMPRODUCT((Cap_Point&lt;=I636)*(Cap_Kind="Food")*Cap_Ln))</x:f>
        <x:v>13863.877308233004</x:v>
      </x:c>
      <x:c r="K636" s="32" t="n">
        <x:f>J636*MIN(1,tun_LeanBase*EXP(tun_CapsByProject*SUMPRODUCT((Cap_Point&lt;=I636)*(Cap_Kind="Lean")*Cap_Ln)))</x:f>
        <x:v>13863.877308233004</x:v>
      </x:c>
      <x:c r="L636" s="10" t="n">
        <x:f>INDEX(tun_HousingCap,G636)*EXP(tun_CapsByProject*SUMPRODUCT((Cap_Point&lt;=I636)*(Cap_Kind="Housing")*Cap_Ln))</x:f>
        <x:v>12514.86067705494</x:v>
      </x:c>
      <x:c r="M636" s="10" t="n">
        <x:f>INDEX(tun_GroupCap,G636)*tun_CohesionFactor*EXP(tun_CapsByProject*SUMPRODUCT((Cap_Point&lt;=I636)*(Cap_Kind="Group")*Cap_Ln))</x:f>
        <x:v>1000000.000000001</x:v>
      </x:c>
      <x:c r="N636" s="32" t="n">
        <x:f>MIN(J636,L636,M636)</x:f>
        <x:v>12514.86067705494</x:v>
      </x:c>
      <x:c r="O636" s="10" t="n">
        <x:f>AE635*N636</x:f>
        <x:v>112633.74609349445</x:v>
      </x:c>
      <x:c r="P636" s="9" t="n">
        <x:f>MIN(1,(AB635/(AE635*IF(tun_GroupInCrowding=1,N636,MIN(J636,L636))))^tun_CrowdingExp)</x:f>
        <x:v>0.37361793397931</x:v>
      </x:c>
      <x:c r="Q636" s="9" t="n">
        <x:f>IF(D636=1,INDEX(tun_WinterMult,G636),1)</x:f>
        <x:v>1</x:v>
      </x:c>
      <x:c r="R636" s="9" t="n">
        <x:f>H636*Z635*tun_WomenShare*tun_BaseFertility*INDEX(tun_FertMult,G636)*Arch_Fertility*(1-P636)</x:f>
        <x:v>565.0289089388715</x:v>
      </x:c>
      <x:c r="S636" s="9" t="n">
        <x:f>H636*Y635*INDEX(tun_MortChild,G636)/4*Q636</x:f>
        <x:v>8.243177503067326</x:v>
      </x:c>
      <x:c r="T636" s="9" t="n">
        <x:f>H636*Z635*INDEX(tun_MortAdult,G636)*Arch_AdultMort/4*Q636</x:f>
        <x:v>14.868981472163641</x:v>
      </x:c>
      <x:c r="U636" s="9" t="n">
        <x:f>H636*AA635*INDEX(tun_MortElder,G636)/4*Q636</x:f>
        <x:v>130.28662308219606</x:v>
      </x:c>
      <x:c r="V636" s="9" t="n">
        <x:f>H636*MAX(0,AB635-O636)*tun_OvercapLoss</x:f>
        <x:v>0</x:v>
      </x:c>
      <x:c r="W636" s="9" t="n">
        <x:f>H636*Y635/(tun_ChildYears*4)</x:f>
        <x:v>654.220436751375</x:v>
      </x:c>
      <x:c r="X636" s="9" t="n">
        <x:f>H636*Z635/(tun_AdultYears*4)</x:f>
        <x:v>319.7630424121213</x:v>
      </x:c>
      <x:c r="Y636" s="32" t="n">
        <x:f>Y635+R636-S636-W636-Y635*V636/AB635</x:f>
        <x:v>36538.90975276142</x:v>
      </x:c>
      <x:c r="Z636" s="32" t="n">
        <x:f>Z635+W636-X636-T636-Z635*V636/AB635</x:f>
        <x:v>39970.20567197013</x:v>
      </x:c>
      <x:c r="AA636" s="32" t="n">
        <x:f>AA635+X636-U636-AA635*V636/AB635</x:f>
        <x:v>19491.198357433044</x:v>
      </x:c>
      <x:c r="AB636" s="10" t="n">
        <x:f>Y636+Z636+AA636</x:f>
        <x:v>96000.3137821646</x:v>
      </x:c>
      <x:c r="AC636" s="8" t="n">
        <x:f>IF(AND(tun_WinterTrigger=1,D636=1,AB635/AE635&gt;=K636),1,0)</x:f>
        <x:v>0</x:v>
      </x:c>
      <x:c r="AD636" s="8" t="n">
        <x:f>H636*IF(AND(OR(AB635/AE635&gt;=tun_FissionTrigger*N636,AC636=1),AB635/AE635*tun_DaughterShare&gt;=tun_MinDaughter),MAX(1,ROUND(AE635*tun_FissionRate,0)),0)</x:f>
        <x:v>0</x:v>
      </x:c>
      <x:c r="AE636" s="8" t="n">
        <x:f>IF(H636=1,MAX(1,MIN(INDEX(tun_Smax,G636),AE635+AD636)),AE635)</x:f>
        <x:v>9</x:v>
      </x:c>
      <x:c r="AF636" s="8" t="n">
        <x:f>MAX(0,AE636-AE635)</x:f>
        <x:v>0</x:v>
      </x:c>
      <x:c r="AG636" s="9" t="str">
        <x:f>IF(AF636&gt;0,B636,"")</x:f>
      </x:c>
      <x:c r="AH636" s="9" t="n">
        <x:f>IF(F636&gt;=1,1,(1+tun_LowTiesShare*(AE636-1))/AE636)</x:f>
        <x:v>1</x:v>
      </x:c>
      <x:c r="AI636" s="32" t="n">
        <x:f>(Z636+tun_ElderCommons*INDEX(LM_Elder,G636)*AA636)*AH636</x:f>
        <x:v>116629.73554215251</x:v>
      </x:c>
      <x:c r="AJ636" s="32" t="n">
        <x:f>H636*tun_CommonsCoef*AI636^tun_CommonsExp*INDEX(LM_Commons,G636)</x:f>
        <x:v>435289.24355737725</x:v>
      </x:c>
      <x:c r="AK636" s="32" t="n">
        <x:f>H636*tun_RoleScale*Arch_Roles*(AE636*(INDEX(tun_ElderRolePerSett,G636)*tun_OutElder*INDEX(LM_Elder,G636)+INDEX(tun_ShamanPerSett,G636)*tun_OutShaman)+Z636*(INDEX(tun_PriestShare,G636)*tun_OutPriest+INDEX(tun_ScribeShare,G636)*tun_OutScribe*INDEX(LM_Scribe,G636)+INDEX(tun_ScholarShare,G636)*tun_OutScholar*INDEX(LM_Scholar,G636)+INDEX(tun_ResearcherShare,G636)*tun_OutResearcher*INDEX(LM_Researcher,G636)))</x:f>
        <x:v>144201.1011745819</x:v>
      </x:c>
      <x:c r="AL636" s="32" t="n">
        <x:f>H636*tun_RoleScale*Arch_Roles*AE636*INDEX(tun_MonasteryPerSett,G636)*tun_OutMonastery*INDEX(LM_Monastery,G636)</x:f>
        <x:v>15.840000000000002</x:v>
      </x:c>
      <x:c r="AM636" s="32" t="n">
        <x:f>(AJ636+AK636+AL636)/4*INDEX(LM_All,G636)*INDEX(tun_Boon,G636)*Arch_Insight</x:f>
        <x:v>501836.37374149024</x:v>
      </x:c>
      <x:c r="AN636" s="32" t="n">
        <x:f>H636*(tun_KHPerAdult*Z636+tun_KHOfCommons*AJ636/4*INDEX(LM_All,G636))*tun_KHUsable*Arch_KH</x:f>
        <x:v>73949.1680313314</x:v>
      </x:c>
      <x:c r="AO636" s="32" t="n">
        <x:f>MIN(AP635+AN636,AM636*tun_KHMaxRatio)</x:f>
        <x:v>73949.1680313314</x:v>
      </x:c>
      <x:c r="AP636" s="32" t="n">
        <x:f>AP635+AN636-AO636</x:f>
        <x:v>0</x:v>
      </x:c>
      <x:c r="AQ636" s="32" t="n">
        <x:f>AM636+AO636</x:f>
        <x:v>575785.5417728217</x:v>
      </x:c>
      <x:c r="AR636" s="10" t="n">
        <x:f>IF(H636=1,INDEX(tun_Req,G636),0)</x:f>
        <x:v>125406521.7009086</x:v>
      </x:c>
      <x:c r="AS636" s="32" t="n">
        <x:f>IF(H636=1,IF(E636=1,AS635-AR635,AS635)+AQ636,0)</x:f>
        <x:v>5204952.944006743</x:v>
      </x:c>
      <x:c r="AT636" s="11" t="n">
        <x:f>IF(AR636&gt;0,MIN(1,AS636/AR636),1)</x:f>
        <x:v>0.04150464324670789</x:v>
      </x:c>
      <x:c r="AU636" s="10" t="n">
        <x:f>AB636/INDEX(tun_RepScale,G636)</x:f>
        <x:v>192.0006275643292</x:v>
      </x:c>
      <x:c r="AV636" s="32" t="n">
        <x:f>AM636*60/tun_SeasonSeconds</x:f>
        <x:v>2007345.494965961</x:v>
      </x:c>
    </x:row>
    <x:row r="637">
      <x:c r="A637" s="8" t="n">
        <x:f>A636+1</x:f>
        <x:v>634</x:v>
      </x:c>
      <x:c r="B637" s="9" t="n">
        <x:f>A637*tun_SeasonSeconds/60</x:f>
        <x:v>158.5</x:v>
      </x:c>
      <x:c r="C637" s="9" t="n">
        <x:f>A637/4</x:f>
        <x:v>158.5</x:v>
      </x:c>
      <x:c r="D637" s="8" t="n">
        <x:f>IF(MOD(A637,4)=0,1,0)</x:f>
        <x:v>0</x:v>
      </x:c>
      <x:c r="E637" s="8" t="n">
        <x:f>IF(AND(F636&lt;=9,AS636&gt;=AR636),1,0)</x:f>
        <x:v>0</x:v>
      </x:c>
      <x:c r="F637" s="8" t="n">
        <x:f>MIN(10,F636+E637)</x:f>
        <x:v>9</x:v>
      </x:c>
      <x:c r="G637" s="8" t="n">
        <x:f>MIN(F637,9)+1</x:f>
        <x:v>10</x:v>
      </x:c>
      <x:c r="H637" s="8" t="n">
        <x:f>IF(F637&lt;=9,1,0)</x:f>
        <x:v>1</x:v>
      </x:c>
      <x:c r="I637" s="9" t="n">
        <x:f>MIN(10,F636+IF(AR636&gt;0,MIN(1,AS636/AR636),1))</x:f>
        <x:v>9.041504643246707</x:v>
      </x:c>
      <x:c r="J637" s="32" t="n">
        <x:f>INDEX(tun_FoodCap,G637)*Arch_FoodCap*EXP(tun_CapsByProject*SUMPRODUCT((Cap_Point&lt;=I637)*(Cap_Kind="Food")*Cap_Ln))</x:f>
        <x:v>13863.877308233004</x:v>
      </x:c>
      <x:c r="K637" s="32" t="n">
        <x:f>J637*MIN(1,tun_LeanBase*EXP(tun_CapsByProject*SUMPRODUCT((Cap_Point&lt;=I637)*(Cap_Kind="Lean")*Cap_Ln)))</x:f>
        <x:v>13863.877308233004</x:v>
      </x:c>
      <x:c r="L637" s="10" t="n">
        <x:f>INDEX(tun_HousingCap,G637)*EXP(tun_CapsByProject*SUMPRODUCT((Cap_Point&lt;=I637)*(Cap_Kind="Housing")*Cap_Ln))</x:f>
        <x:v>12514.86067705494</x:v>
      </x:c>
      <x:c r="M637" s="10" t="n">
        <x:f>INDEX(tun_GroupCap,G637)*tun_CohesionFactor*EXP(tun_CapsByProject*SUMPRODUCT((Cap_Point&lt;=I637)*(Cap_Kind="Group")*Cap_Ln))</x:f>
        <x:v>1000000.000000001</x:v>
      </x:c>
      <x:c r="N637" s="32" t="n">
        <x:f>MIN(J637,L637,M637)</x:f>
        <x:v>12514.86067705494</x:v>
      </x:c>
      <x:c r="O637" s="10" t="n">
        <x:f>AE636*N637</x:f>
        <x:v>112633.74609349445</x:v>
      </x:c>
      <x:c r="P637" s="9" t="n">
        <x:f>MIN(1,(AB636/(AE636*IF(tun_GroupInCrowding=1,N637,MIN(J637,L637))))^tun_CrowdingExp)</x:f>
        <x:v>0.38337584289680393</x:v>
      </x:c>
      <x:c r="Q637" s="9" t="n">
        <x:f>IF(D637=1,INDEX(tun_WinterMult,G637),1)</x:f>
        <x:v>1</x:v>
      </x:c>
      <x:c r="R637" s="9" t="n">
        <x:f>H637*Z636*tun_WomenShare*tun_BaseFertility*INDEX(tun_FertMult,G637)*Arch_Fertility*(1-P637)</x:f>
        <x:v>560.7100221841292</x:v>
      </x:c>
      <x:c r="S637" s="9" t="n">
        <x:f>H637*Y636*INDEX(tun_MortChild,G637)/4*Q637</x:f>
        <x:v>8.22125469437132</x:v>
      </x:c>
      <x:c r="T637" s="9" t="n">
        <x:f>H637*Z636*INDEX(tun_MortAdult,G637)*Arch_AdultMort/4*Q637</x:f>
        <x:v>14.988827126988799</x:v>
      </x:c>
      <x:c r="U637" s="9" t="n">
        <x:f>H637*AA636*INDEX(tun_MortElder,G637)/4*Q637</x:f>
        <x:v>131.56558891267304</x:v>
      </x:c>
      <x:c r="V637" s="9" t="n">
        <x:f>H637*MAX(0,AB636-O637)*tun_OvercapLoss</x:f>
        <x:v>0</x:v>
      </x:c>
      <x:c r="W637" s="9" t="n">
        <x:f>H637*Y636/(tun_ChildYears*4)</x:f>
        <x:v>652.4805312993111</x:v>
      </x:c>
      <x:c r="X637" s="9" t="n">
        <x:f>H637*Z636/(tun_AdultYears*4)</x:f>
        <x:v>322.34036832233977</x:v>
      </x:c>
      <x:c r="Y637" s="32" t="n">
        <x:f>Y636+R637-S637-W637-Y636*V637/AB636</x:f>
        <x:v>36438.91798895187</x:v>
      </x:c>
      <x:c r="Z637" s="32" t="n">
        <x:f>Z636+W637-X637-T637-Z636*V637/AB636</x:f>
        <x:v>40285.357007820116</x:v>
      </x:c>
      <x:c r="AA637" s="32" t="n">
        <x:f>AA636+X637-U637-AA636*V637/AB636</x:f>
        <x:v>19681.973136842713</x:v>
      </x:c>
      <x:c r="AB637" s="10" t="n">
        <x:f>Y637+Z637+AA637</x:f>
        <x:v>96406.2481336147</x:v>
      </x:c>
      <x:c r="AC637" s="8" t="n">
        <x:f>IF(AND(tun_WinterTrigger=1,D637=1,AB636/AE636&gt;=K637),1,0)</x:f>
        <x:v>0</x:v>
      </x:c>
      <x:c r="AD637" s="8" t="n">
        <x:f>H637*IF(AND(OR(AB636/AE636&gt;=tun_FissionTrigger*N637,AC637=1),AB636/AE636*tun_DaughterShare&gt;=tun_MinDaughter),MAX(1,ROUND(AE636*tun_FissionRate,0)),0)</x:f>
        <x:v>3</x:v>
      </x:c>
      <x:c r="AE637" s="8" t="n">
        <x:f>IF(H637=1,MAX(1,MIN(INDEX(tun_Smax,G637),AE636+AD637)),AE636)</x:f>
        <x:v>9</x:v>
      </x:c>
      <x:c r="AF637" s="8" t="n">
        <x:f>MAX(0,AE637-AE636)</x:f>
        <x:v>0</x:v>
      </x:c>
      <x:c r="AG637" s="9" t="str">
        <x:f>IF(AF637&gt;0,B637,"")</x:f>
      </x:c>
      <x:c r="AH637" s="9" t="n">
        <x:f>IF(F637&gt;=1,1,(1+tun_LowTiesShare*(AE637-1))/AE637)</x:f>
        <x:v>1</x:v>
      </x:c>
      <x:c r="AI637" s="32" t="n">
        <x:f>(Z637+tun_ElderCommons*INDEX(LM_Elder,G637)*AA637)*AH637</x:f>
        <x:v>117695.21041544963</x:v>
      </x:c>
      <x:c r="AJ637" s="32" t="n">
        <x:f>H637*tun_CommonsCoef*AI637^tun_CommonsExp*INDEX(LM_Commons,G637)</x:f>
        <x:v>438667.04529632424</x:v>
      </x:c>
      <x:c r="AK637" s="32" t="n">
        <x:f>H637*tun_RoleScale*Arch_Roles*(AE637*(INDEX(tun_ElderRolePerSett,G637)*tun_OutElder*INDEX(LM_Elder,G637)+INDEX(tun_ShamanPerSett,G637)*tun_OutShaman)+Z637*(INDEX(tun_PriestShare,G637)*tun_OutPriest+INDEX(tun_ScribeShare,G637)*tun_OutScribe*INDEX(LM_Scribe,G637)+INDEX(tun_ScholarShare,G637)*tun_OutScholar*INDEX(LM_Scholar,G637)+INDEX(tun_ResearcherShare,G637)*tun_OutResearcher*INDEX(LM_Researcher,G637)))</x:f>
        <x:v>145336.10937720322</x:v>
      </x:c>
      <x:c r="AL637" s="32" t="n">
        <x:f>H637*tun_RoleScale*Arch_Roles*AE637*INDEX(tun_MonasteryPerSett,G637)*tun_OutMonastery*INDEX(LM_Monastery,G637)</x:f>
        <x:v>15.840000000000002</x:v>
      </x:c>
      <x:c r="AM637" s="32" t="n">
        <x:f>(AJ637+AK637+AL637)/4*INDEX(LM_All,G637)*INDEX(tun_Boon,G637)*Arch_Insight</x:f>
        <x:v>505744.342691828</x:v>
      </x:c>
      <x:c r="AN637" s="32" t="n">
        <x:f>H637*(tun_KHPerAdult*Z637+tun_KHOfCommons*AJ637/4*INDEX(LM_All,G637))*tun_KHUsable*Arch_KH</x:f>
        <x:v>74523.0063056902</x:v>
      </x:c>
      <x:c r="AO637" s="32" t="n">
        <x:f>MIN(AP636+AN637,AM637*tun_KHMaxRatio)</x:f>
        <x:v>74523.0063056902</x:v>
      </x:c>
      <x:c r="AP637" s="32" t="n">
        <x:f>AP636+AN637-AO637</x:f>
        <x:v>0</x:v>
      </x:c>
      <x:c r="AQ637" s="32" t="n">
        <x:f>AM637+AO637</x:f>
        <x:v>580267.3489975182</x:v>
      </x:c>
      <x:c r="AR637" s="10" t="n">
        <x:f>IF(H637=1,INDEX(tun_Req,G637),0)</x:f>
        <x:v>125406521.7009086</x:v>
      </x:c>
      <x:c r="AS637" s="32" t="n">
        <x:f>IF(H637=1,IF(E637=1,AS636-AR636,AS636)+AQ637,0)</x:f>
        <x:v>5785220.293004261</x:v>
      </x:c>
      <x:c r="AT637" s="11" t="n">
        <x:f>IF(AR637&gt;0,MIN(1,AS637/AR637),1)</x:f>
        <x:v>0.04613173393646836</x:v>
      </x:c>
      <x:c r="AU637" s="10" t="n">
        <x:f>AB637/INDEX(tun_RepScale,G637)</x:f>
        <x:v>192.8124962672294</x:v>
      </x:c>
      <x:c r="AV637" s="32" t="n">
        <x:f>AM637*60/tun_SeasonSeconds</x:f>
        <x:v>2022977.370767312</x:v>
      </x:c>
    </x:row>
    <x:row r="638">
      <x:c r="A638" s="8" t="n">
        <x:f>A637+1</x:f>
        <x:v>635</x:v>
      </x:c>
      <x:c r="B638" s="9" t="n">
        <x:f>A638*tun_SeasonSeconds/60</x:f>
        <x:v>158.75</x:v>
      </x:c>
      <x:c r="C638" s="9" t="n">
        <x:f>A638/4</x:f>
        <x:v>158.75</x:v>
      </x:c>
      <x:c r="D638" s="8" t="n">
        <x:f>IF(MOD(A638,4)=0,1,0)</x:f>
        <x:v>0</x:v>
      </x:c>
      <x:c r="E638" s="8" t="n">
        <x:f>IF(AND(F637&lt;=9,AS637&gt;=AR637),1,0)</x:f>
        <x:v>0</x:v>
      </x:c>
      <x:c r="F638" s="8" t="n">
        <x:f>MIN(10,F637+E638)</x:f>
        <x:v>9</x:v>
      </x:c>
      <x:c r="G638" s="8" t="n">
        <x:f>MIN(F638,9)+1</x:f>
        <x:v>10</x:v>
      </x:c>
      <x:c r="H638" s="8" t="n">
        <x:f>IF(F638&lt;=9,1,0)</x:f>
        <x:v>1</x:v>
      </x:c>
      <x:c r="I638" s="9" t="n">
        <x:f>MIN(10,F637+IF(AR637&gt;0,MIN(1,AS637/AR637),1))</x:f>
        <x:v>9.046131733936468</x:v>
      </x:c>
      <x:c r="J638" s="32" t="n">
        <x:f>INDEX(tun_FoodCap,G638)*Arch_FoodCap*EXP(tun_CapsByProject*SUMPRODUCT((Cap_Point&lt;=I638)*(Cap_Kind="Food")*Cap_Ln))</x:f>
        <x:v>13863.877308233004</x:v>
      </x:c>
      <x:c r="K638" s="32" t="n">
        <x:f>J638*MIN(1,tun_LeanBase*EXP(tun_CapsByProject*SUMPRODUCT((Cap_Point&lt;=I638)*(Cap_Kind="Lean")*Cap_Ln)))</x:f>
        <x:v>13863.877308233004</x:v>
      </x:c>
      <x:c r="L638" s="10" t="n">
        <x:f>INDEX(tun_HousingCap,G638)*EXP(tun_CapsByProject*SUMPRODUCT((Cap_Point&lt;=I638)*(Cap_Kind="Housing")*Cap_Ln))</x:f>
        <x:v>12514.86067705494</x:v>
      </x:c>
      <x:c r="M638" s="10" t="n">
        <x:f>INDEX(tun_GroupCap,G638)*tun_CohesionFactor*EXP(tun_CapsByProject*SUMPRODUCT((Cap_Point&lt;=I638)*(Cap_Kind="Group")*Cap_Ln))</x:f>
        <x:v>1000000.000000001</x:v>
      </x:c>
      <x:c r="N638" s="32" t="n">
        <x:f>MIN(J638,L638,M638)</x:f>
        <x:v>12514.86067705494</x:v>
      </x:c>
      <x:c r="O638" s="10" t="n">
        <x:f>AE637*N638</x:f>
        <x:v>112633.74609349445</x:v>
      </x:c>
      <x:c r="P638" s="9" t="n">
        <x:f>MIN(1,(AB637/(AE637*IF(tun_GroupInCrowding=1,N638,MIN(J638,L638))))^tun_CrowdingExp)</x:f>
        <x:v>0.39320580277125194</x:v>
      </x:c>
      <x:c r="Q638" s="9" t="n">
        <x:f>IF(D638=1,INDEX(tun_WinterMult,G638),1)</x:f>
        <x:v>1</x:v>
      </x:c>
      <x:c r="R638" s="9" t="n">
        <x:f>H638*Z637*tun_WomenShare*tun_BaseFertility*INDEX(tun_FertMult,G638)*Arch_Fertility*(1-P638)</x:f>
        <x:v>556.1219496931673</x:v>
      </x:c>
      <x:c r="S638" s="9" t="n">
        <x:f>H638*Y637*INDEX(tun_MortChild,G638)/4*Q638</x:f>
        <x:v>8.19875654751417</x:v>
      </x:c>
      <x:c r="T638" s="9" t="n">
        <x:f>H638*Z637*INDEX(tun_MortAdult,G638)*Arch_AdultMort/4*Q638</x:f>
        <x:v>15.107008877932543</x:v>
      </x:c>
      <x:c r="U638" s="9" t="n">
        <x:f>H638*AA637*INDEX(tun_MortElder,G638)/4*Q638</x:f>
        <x:v>132.8533186736883</x:v>
      </x:c>
      <x:c r="V638" s="9" t="n">
        <x:f>H638*MAX(0,AB637-O638)*tun_OvercapLoss</x:f>
        <x:v>0</x:v>
      </x:c>
      <x:c r="W638" s="9" t="n">
        <x:f>H638*Y637/(tun_ChildYears*4)</x:f>
        <x:v>650.6949640884262</x:v>
      </x:c>
      <x:c r="X638" s="9" t="n">
        <x:f>H638*Z637/(tun_AdultYears*4)</x:f>
        <x:v>324.88191135338803</x:v>
      </x:c>
      <x:c r="Y638" s="32" t="n">
        <x:f>Y637+R638-S638-W638-Y637*V638/AB637</x:f>
        <x:v>36336.1462180091</x:v>
      </x:c>
      <x:c r="Z638" s="32" t="n">
        <x:f>Z637+W638-X638-T638-Z637*V638/AB637</x:f>
        <x:v>40596.06305167722</x:v>
      </x:c>
      <x:c r="AA638" s="32" t="n">
        <x:f>AA637+X638-U638-AA637*V638/AB637</x:f>
        <x:v>19874.00172952241</x:v>
      </x:c>
      <x:c r="AB638" s="10" t="n">
        <x:f>Y638+Z638+AA638</x:f>
        <x:v>96806.21099920872</x:v>
      </x:c>
      <x:c r="AC638" s="8" t="n">
        <x:f>IF(AND(tun_WinterTrigger=1,D638=1,AB637/AE637&gt;=K638),1,0)</x:f>
        <x:v>0</x:v>
      </x:c>
      <x:c r="AD638" s="8" t="n">
        <x:f>H638*IF(AND(OR(AB637/AE637&gt;=tun_FissionTrigger*N638,AC638=1),AB637/AE637*tun_DaughterShare&gt;=tun_MinDaughter),MAX(1,ROUND(AE637*tun_FissionRate,0)),0)</x:f>
        <x:v>3</x:v>
      </x:c>
      <x:c r="AE638" s="8" t="n">
        <x:f>IF(H638=1,MAX(1,MIN(INDEX(tun_Smax,G638),AE637+AD638)),AE637)</x:f>
        <x:v>9</x:v>
      </x:c>
      <x:c r="AF638" s="8" t="n">
        <x:f>MAX(0,AE638-AE637)</x:f>
        <x:v>0</x:v>
      </x:c>
      <x:c r="AG638" s="9" t="str">
        <x:f>IF(AF638&gt;0,B638,"")</x:f>
      </x:c>
      <x:c r="AH638" s="9" t="n">
        <x:f>IF(F638&gt;=1,1,(1+tun_LowTiesShare*(AE638-1))/AE638)</x:f>
        <x:v>1</x:v>
      </x:c>
      <x:c r="AI638" s="32" t="n">
        <x:f>(Z638+tun_ElderCommons*INDEX(LM_Elder,G638)*AA638)*AH638</x:f>
        <x:v>118761.17128594722</x:v>
      </x:c>
      <x:c r="AJ638" s="32" t="n">
        <x:f>H638*tun_CommonsCoef*AI638^tun_CommonsExp*INDEX(LM_Commons,G638)</x:f>
        <x:v>442041.800874584</x:v>
      </x:c>
      <x:c r="AK638" s="32" t="n">
        <x:f>H638*tun_RoleScale*Arch_Roles*(AE638*(INDEX(tun_ElderRolePerSett,G638)*tun_OutElder*INDEX(LM_Elder,G638)+INDEX(tun_ShamanPerSett,G638)*tun_OutShaman)+Z638*(INDEX(tun_PriestShare,G638)*tun_OutPriest+INDEX(tun_ScribeShare,G638)*tun_OutScribe*INDEX(LM_Scribe,G638)+INDEX(tun_ScholarShare,G638)*tun_OutScholar*INDEX(LM_Scholar,G638)+INDEX(tun_ResearcherShare,G638)*tun_OutResearcher*INDEX(LM_Researcher,G638)))</x:f>
        <x:v>146455.1079923628</x:v>
      </x:c>
      <x:c r="AL638" s="32" t="n">
        <x:f>H638*tun_RoleScale*Arch_Roles*AE638*INDEX(tun_MonasteryPerSett,G638)*tun_OutMonastery*INDEX(LM_Monastery,G638)</x:f>
        <x:v>15.840000000000002</x:v>
      </x:c>
      <x:c r="AM638" s="32" t="n">
        <x:f>(AJ638+AK638+AL638)/4*INDEX(LM_All,G638)*INDEX(tun_Boon,G638)*Arch_Insight</x:f>
        <x:v>509635.8098898083</x:v>
      </x:c>
      <x:c r="AN638" s="32" t="n">
        <x:f>H638*(tun_KHPerAdult*Z638+tun_KHOfCommons*AJ638/4*INDEX(LM_All,G638))*tun_KHUsable*Arch_KH</x:f>
        <x:v>75096.32708265654</x:v>
      </x:c>
      <x:c r="AO638" s="32" t="n">
        <x:f>MIN(AP637+AN638,AM638*tun_KHMaxRatio)</x:f>
        <x:v>75096.32708265654</x:v>
      </x:c>
      <x:c r="AP638" s="32" t="n">
        <x:f>AP637+AN638-AO638</x:f>
        <x:v>0</x:v>
      </x:c>
      <x:c r="AQ638" s="32" t="n">
        <x:f>AM638+AO638</x:f>
        <x:v>584732.1369724649</x:v>
      </x:c>
      <x:c r="AR638" s="10" t="n">
        <x:f>IF(H638=1,INDEX(tun_Req,G638),0)</x:f>
        <x:v>125406521.7009086</x:v>
      </x:c>
      <x:c r="AS638" s="32" t="n">
        <x:f>IF(H638=1,IF(E638=1,AS637-AR637,AS637)+AQ638,0)</x:f>
        <x:v>6369952.429976726</x:v>
      </x:c>
      <x:c r="AT638" s="11" t="n">
        <x:f>IF(AR638&gt;0,MIN(1,AS638/AR638),1)</x:f>
        <x:v>0.05079442714445826</x:v>
      </x:c>
      <x:c r="AU638" s="10" t="n">
        <x:f>AB638/INDEX(tun_RepScale,G638)</x:f>
        <x:v>193.61242199841743</x:v>
      </x:c>
      <x:c r="AV638" s="32" t="n">
        <x:f>AM638*60/tun_SeasonSeconds</x:f>
        <x:v>2038543.2395592332</x:v>
      </x:c>
    </x:row>
    <x:row r="639">
      <x:c r="A639" s="8" t="n">
        <x:f>A638+1</x:f>
        <x:v>636</x:v>
      </x:c>
      <x:c r="B639" s="9" t="n">
        <x:f>A639*tun_SeasonSeconds/60</x:f>
        <x:v>159</x:v>
      </x:c>
      <x:c r="C639" s="9" t="n">
        <x:f>A639/4</x:f>
        <x:v>159</x:v>
      </x:c>
      <x:c r="D639" s="8" t="n">
        <x:f>IF(MOD(A639,4)=0,1,0)</x:f>
        <x:v>1</x:v>
      </x:c>
      <x:c r="E639" s="8" t="n">
        <x:f>IF(AND(F638&lt;=9,AS638&gt;=AR638),1,0)</x:f>
        <x:v>0</x:v>
      </x:c>
      <x:c r="F639" s="8" t="n">
        <x:f>MIN(10,F638+E639)</x:f>
        <x:v>9</x:v>
      </x:c>
      <x:c r="G639" s="8" t="n">
        <x:f>MIN(F639,9)+1</x:f>
        <x:v>10</x:v>
      </x:c>
      <x:c r="H639" s="8" t="n">
        <x:f>IF(F639&lt;=9,1,0)</x:f>
        <x:v>1</x:v>
      </x:c>
      <x:c r="I639" s="9" t="n">
        <x:f>MIN(10,F638+IF(AR638&gt;0,MIN(1,AS638/AR638),1))</x:f>
        <x:v>9.050794427144458</x:v>
      </x:c>
      <x:c r="J639" s="32" t="n">
        <x:f>INDEX(tun_FoodCap,G639)*Arch_FoodCap*EXP(tun_CapsByProject*SUMPRODUCT((Cap_Point&lt;=I639)*(Cap_Kind="Food")*Cap_Ln))</x:f>
        <x:v>13863.877308233004</x:v>
      </x:c>
      <x:c r="K639" s="32" t="n">
        <x:f>J639*MIN(1,tun_LeanBase*EXP(tun_CapsByProject*SUMPRODUCT((Cap_Point&lt;=I639)*(Cap_Kind="Lean")*Cap_Ln)))</x:f>
        <x:v>13863.877308233004</x:v>
      </x:c>
      <x:c r="L639" s="10" t="n">
        <x:f>INDEX(tun_HousingCap,G639)*EXP(tun_CapsByProject*SUMPRODUCT((Cap_Point&lt;=I639)*(Cap_Kind="Housing")*Cap_Ln))</x:f>
        <x:v>12514.86067705494</x:v>
      </x:c>
      <x:c r="M639" s="10" t="n">
        <x:f>INDEX(tun_GroupCap,G639)*tun_CohesionFactor*EXP(tun_CapsByProject*SUMPRODUCT((Cap_Point&lt;=I639)*(Cap_Kind="Group")*Cap_Ln))</x:f>
        <x:v>1000000.000000001</x:v>
      </x:c>
      <x:c r="N639" s="32" t="n">
        <x:f>MIN(J639,L639,M639)</x:f>
        <x:v>12514.86067705494</x:v>
      </x:c>
      <x:c r="O639" s="10" t="n">
        <x:f>AE638*N639</x:f>
        <x:v>112633.74609349445</x:v>
      </x:c>
      <x:c r="P639" s="9" t="n">
        <x:f>MIN(1,(AB638/(AE638*IF(tun_GroupInCrowding=1,N639,MIN(J639,L639))))^tun_CrowdingExp)</x:f>
        <x:v>0.403095696287784</x:v>
      </x:c>
      <x:c r="Q639" s="9" t="n">
        <x:f>IF(D639=1,INDEX(tun_WinterMult,G639),1)</x:f>
        <x:v>1.05</x:v>
      </x:c>
      <x:c r="R639" s="9" t="n">
        <x:f>H639*Z638*tun_WomenShare*tun_BaseFertility*INDEX(tun_FertMult,G639)*Arch_Fertility*(1-P639)</x:f>
        <x:v>551.2771980469984</x:v>
      </x:c>
      <x:c r="S639" s="9" t="n">
        <x:f>H639*Y638*INDEX(tun_MortChild,G639)/4*Q639</x:f>
        <x:v>8.58441454400465</x:v>
      </x:c>
      <x:c r="T639" s="9" t="n">
        <x:f>H639*Z638*INDEX(tun_MortAdult,G639)*Arch_AdultMort/4*Q639</x:f>
        <x:v>15.984699826597907</x:v>
      </x:c>
      <x:c r="U639" s="9" t="n">
        <x:f>H639*AA638*INDEX(tun_MortElder,G639)/4*Q639</x:f>
        <x:v>140.85698725799008</x:v>
      </x:c>
      <x:c r="V639" s="9" t="n">
        <x:f>H639*MAX(0,AB638-O639)*tun_OvercapLoss</x:f>
        <x:v>0</x:v>
      </x:c>
      <x:c r="W639" s="9" t="n">
        <x:f>H639*Y638/(tun_ChildYears*4)</x:f>
        <x:v>648.8597538930196</x:v>
      </x:c>
      <x:c r="X639" s="9" t="n">
        <x:f>H639*Z638/(tun_AdultYears*4)</x:f>
        <x:v>327.38760525546144</x:v>
      </x:c>
      <x:c r="Y639" s="32" t="n">
        <x:f>Y638+R639-S639-W639-Y638*V639/AB638</x:f>
        <x:v>36229.97924761907</x:v>
      </x:c>
      <x:c r="Z639" s="32" t="n">
        <x:f>Z638+W639-X639-T639-Z638*V639/AB638</x:f>
        <x:v>40901.55050048818</x:v>
      </x:c>
      <x:c r="AA639" s="32" t="n">
        <x:f>AA638+X639-U639-AA638*V639/AB638</x:f>
        <x:v>20060.532347519882</x:v>
      </x:c>
      <x:c r="AB639" s="10" t="n">
        <x:f>Y639+Z639+AA639</x:f>
        <x:v>97192.06209562713</x:v>
      </x:c>
      <x:c r="AC639" s="8" t="n">
        <x:f>IF(AND(tun_WinterTrigger=1,D639=1,AB638/AE638&gt;=K639),1,0)</x:f>
        <x:v>0</x:v>
      </x:c>
      <x:c r="AD639" s="8" t="n">
        <x:f>H639*IF(AND(OR(AB638/AE638&gt;=tun_FissionTrigger*N639,AC639=1),AB638/AE638*tun_DaughterShare&gt;=tun_MinDaughter),MAX(1,ROUND(AE638*tun_FissionRate,0)),0)</x:f>
        <x:v>3</x:v>
      </x:c>
      <x:c r="AE639" s="8" t="n">
        <x:f>IF(H639=1,MAX(1,MIN(INDEX(tun_Smax,G639),AE638+AD639)),AE638)</x:f>
        <x:v>9</x:v>
      </x:c>
      <x:c r="AF639" s="8" t="n">
        <x:f>MAX(0,AE639-AE638)</x:f>
        <x:v>0</x:v>
      </x:c>
      <x:c r="AG639" s="9" t="str">
        <x:f>IF(AF639&gt;0,B639,"")</x:f>
      </x:c>
      <x:c r="AH639" s="9" t="n">
        <x:f>IF(F639&gt;=1,1,(1+tun_LowTiesShare*(AE639-1))/AE639)</x:f>
        <x:v>1</x:v>
      </x:c>
      <x:c r="AI639" s="32" t="n">
        <x:f>(Z639+tun_ElderCommons*INDEX(LM_Elder,G639)*AA639)*AH639</x:f>
        <x:v>119800.28984454717</x:v>
      </x:c>
      <x:c r="AJ639" s="32" t="n">
        <x:f>H639*tun_CommonsCoef*AI639^tun_CommonsExp*INDEX(LM_Commons,G639)</x:f>
        <x:v>445327.204700952</x:v>
      </x:c>
      <x:c r="AK639" s="32" t="n">
        <x:f>H639*tun_RoleScale*Arch_Roles*(AE639*(INDEX(tun_ElderRolePerSett,G639)*tun_OutElder*INDEX(LM_Elder,G639)+INDEX(tun_ShamanPerSett,G639)*tun_OutShaman)+Z639*(INDEX(tun_PriestShare,G639)*tun_OutPriest+INDEX(tun_ScribeShare,G639)*tun_OutScribe*INDEX(LM_Scribe,G639)+INDEX(tun_ScholarShare,G639)*tun_OutScholar*INDEX(LM_Scholar,G639)+INDEX(tun_ResearcherShare,G639)*tun_OutResearcher*INDEX(LM_Researcher,G639)))</x:f>
        <x:v>147555.3119920163</x:v>
      </x:c>
      <x:c r="AL639" s="32" t="n">
        <x:f>H639*tun_RoleScale*Arch_Roles*AE639*INDEX(tun_MonasteryPerSett,G639)*tun_OutMonastery*INDEX(LM_Monastery,G639)</x:f>
        <x:v>15.840000000000002</x:v>
      </x:c>
      <x:c r="AM639" s="32" t="n">
        <x:f>(AJ639+AK639+AL639)/4*INDEX(LM_All,G639)*INDEX(tun_Boon,G639)*Arch_Insight</x:f>
        <x:v>513433.62531619746</x:v>
      </x:c>
      <x:c r="AN639" s="32" t="n">
        <x:f>H639*(tun_KHPerAdult*Z639+tun_KHOfCommons*AJ639/4*INDEX(LM_All,G639))*tun_KHUsable*Arch_KH</x:f>
        <x:v>75654.46832598555</x:v>
      </x:c>
      <x:c r="AO639" s="32" t="n">
        <x:f>MIN(AP638+AN639,AM639*tun_KHMaxRatio)</x:f>
        <x:v>75654.46832598555</x:v>
      </x:c>
      <x:c r="AP639" s="32" t="n">
        <x:f>AP638+AN639-AO639</x:f>
        <x:v>0</x:v>
      </x:c>
      <x:c r="AQ639" s="32" t="n">
        <x:f>AM639+AO639</x:f>
        <x:v>589088.093642183</x:v>
      </x:c>
      <x:c r="AR639" s="10" t="n">
        <x:f>IF(H639=1,INDEX(tun_Req,G639),0)</x:f>
        <x:v>125406521.7009086</x:v>
      </x:c>
      <x:c r="AS639" s="32" t="n">
        <x:f>IF(H639=1,IF(E639=1,AS638-AR638,AS638)+AQ639,0)</x:f>
        <x:v>6959040.523618909</x:v>
      </x:c>
      <x:c r="AT639" s="11" t="n">
        <x:f>IF(AR639&gt;0,MIN(1,AS639/AR639),1)</x:f>
        <x:v>0.05549185504256346</x:v>
      </x:c>
      <x:c r="AU639" s="10" t="n">
        <x:f>AB639/INDEX(tun_RepScale,G639)</x:f>
        <x:v>194.38412419125427</x:v>
      </x:c>
      <x:c r="AV639" s="32" t="n">
        <x:f>AM639*60/tun_SeasonSeconds</x:f>
        <x:v>2053734.5012647898</x:v>
      </x:c>
    </x:row>
    <x:row r="640">
      <x:c r="A640" s="8" t="n">
        <x:f>A639+1</x:f>
        <x:v>637</x:v>
      </x:c>
      <x:c r="B640" s="9" t="n">
        <x:f>A640*tun_SeasonSeconds/60</x:f>
        <x:v>159.25</x:v>
      </x:c>
      <x:c r="C640" s="9" t="n">
        <x:f>A640/4</x:f>
        <x:v>159.25</x:v>
      </x:c>
      <x:c r="D640" s="8" t="n">
        <x:f>IF(MOD(A640,4)=0,1,0)</x:f>
        <x:v>0</x:v>
      </x:c>
      <x:c r="E640" s="8" t="n">
        <x:f>IF(AND(F639&lt;=9,AS639&gt;=AR639),1,0)</x:f>
        <x:v>0</x:v>
      </x:c>
      <x:c r="F640" s="8" t="n">
        <x:f>MIN(10,F639+E640)</x:f>
        <x:v>9</x:v>
      </x:c>
      <x:c r="G640" s="8" t="n">
        <x:f>MIN(F640,9)+1</x:f>
        <x:v>10</x:v>
      </x:c>
      <x:c r="H640" s="8" t="n">
        <x:f>IF(F640&lt;=9,1,0)</x:f>
        <x:v>1</x:v>
      </x:c>
      <x:c r="I640" s="9" t="n">
        <x:f>MIN(10,F639+IF(AR639&gt;0,MIN(1,AS639/AR639),1))</x:f>
        <x:v>9.055491855042563</x:v>
      </x:c>
      <x:c r="J640" s="32" t="n">
        <x:f>INDEX(tun_FoodCap,G640)*Arch_FoodCap*EXP(tun_CapsByProject*SUMPRODUCT((Cap_Point&lt;=I640)*(Cap_Kind="Food")*Cap_Ln))</x:f>
        <x:v>13863.877308233004</x:v>
      </x:c>
      <x:c r="K640" s="32" t="n">
        <x:f>J640*MIN(1,tun_LeanBase*EXP(tun_CapsByProject*SUMPRODUCT((Cap_Point&lt;=I640)*(Cap_Kind="Lean")*Cap_Ln)))</x:f>
        <x:v>13863.877308233004</x:v>
      </x:c>
      <x:c r="L640" s="10" t="n">
        <x:f>INDEX(tun_HousingCap,G640)*EXP(tun_CapsByProject*SUMPRODUCT((Cap_Point&lt;=I640)*(Cap_Kind="Housing")*Cap_Ln))</x:f>
        <x:v>12514.86067705494</x:v>
      </x:c>
      <x:c r="M640" s="10" t="n">
        <x:f>INDEX(tun_GroupCap,G640)*tun_CohesionFactor*EXP(tun_CapsByProject*SUMPRODUCT((Cap_Point&lt;=I640)*(Cap_Kind="Group")*Cap_Ln))</x:f>
        <x:v>1000000.000000001</x:v>
      </x:c>
      <x:c r="N640" s="32" t="n">
        <x:f>MIN(J640,L640,M640)</x:f>
        <x:v>12514.86067705494</x:v>
      </x:c>
      <x:c r="O640" s="10" t="n">
        <x:f>AE639*N640</x:f>
        <x:v>112633.74609349445</x:v>
      </x:c>
      <x:c r="P640" s="9" t="n">
        <x:f>MIN(1,(AB639/(AE639*IF(tun_GroupInCrowding=1,N640,MIN(J640,L640))))^tun_CrowdingExp)</x:f>
        <x:v>0.412832241524788</x:v>
      </x:c>
      <x:c r="Q640" s="9" t="n">
        <x:f>IF(D640=1,INDEX(tun_WinterMult,G640),1)</x:f>
        <x:v>1</x:v>
      </x:c>
      <x:c r="R640" s="9" t="n">
        <x:f>H640*Z639*tun_WomenShare*tun_BaseFertility*INDEX(tun_FertMult,G640)*Arch_Fertility*(1-P640)</x:f>
        <x:v>546.3656317558605</x:v>
      </x:c>
      <x:c r="S640" s="9" t="n">
        <x:f>H640*Y639*INDEX(tun_MortChild,G640)/4*Q640</x:f>
        <x:v>8.151745330714292</x:v>
      </x:c>
      <x:c r="T640" s="9" t="n">
        <x:f>H640*Z639*INDEX(tun_MortAdult,G640)*Arch_AdultMort/4*Q640</x:f>
        <x:v>15.338081437683067</x:v>
      </x:c>
      <x:c r="U640" s="9" t="n">
        <x:f>H640*AA639*INDEX(tun_MortElder,G640)/4*Q640</x:f>
        <x:v>135.40859334575921</x:v>
      </x:c>
      <x:c r="V640" s="9" t="n">
        <x:f>H640*MAX(0,AB639-O640)*tun_OvercapLoss</x:f>
        <x:v>0</x:v>
      </x:c>
      <x:c r="W640" s="9" t="n">
        <x:f>H640*Y639/(tun_ChildYears*4)</x:f>
        <x:v>646.9639151360549</x:v>
      </x:c>
      <x:c r="X640" s="9" t="n">
        <x:f>H640*Z639/(tun_AdultYears*4)</x:f>
        <x:v>329.85121371361436</x:v>
      </x:c>
      <x:c r="Y640" s="32" t="n">
        <x:f>Y639+R640-S640-W640-Y639*V640/AB639</x:f>
        <x:v>36121.22921890816</x:v>
      </x:c>
      <x:c r="Z640" s="32" t="n">
        <x:f>Z639+W640-X640-T640-Z639*V640/AB639</x:f>
        <x:v>41203.32512047294</x:v>
      </x:c>
      <x:c r="AA640" s="32" t="n">
        <x:f>AA639+X640-U640-AA639*V640/AB639</x:f>
        <x:v>20254.974967887734</x:v>
      </x:c>
      <x:c r="AB640" s="10" t="n">
        <x:f>Y640+Z640+AA640</x:f>
        <x:v>97579.52930726885</x:v>
      </x:c>
      <x:c r="AC640" s="8" t="n">
        <x:f>IF(AND(tun_WinterTrigger=1,D640=1,AB639/AE639&gt;=K640),1,0)</x:f>
        <x:v>0</x:v>
      </x:c>
      <x:c r="AD640" s="8" t="n">
        <x:f>H640*IF(AND(OR(AB639/AE639&gt;=tun_FissionTrigger*N640,AC640=1),AB639/AE639*tun_DaughterShare&gt;=tun_MinDaughter),MAX(1,ROUND(AE639*tun_FissionRate,0)),0)</x:f>
        <x:v>3</x:v>
      </x:c>
      <x:c r="AE640" s="8" t="n">
        <x:f>IF(H640=1,MAX(1,MIN(INDEX(tun_Smax,G640),AE639+AD640)),AE639)</x:f>
        <x:v>9</x:v>
      </x:c>
      <x:c r="AF640" s="8" t="n">
        <x:f>MAX(0,AE640-AE639)</x:f>
        <x:v>0</x:v>
      </x:c>
      <x:c r="AG640" s="9" t="str">
        <x:f>IF(AF640&gt;0,B640,"")</x:f>
      </x:c>
      <x:c r="AH640" s="9" t="n">
        <x:f>IF(F640&gt;=1,1,(1+tun_LowTiesShare*(AE640-1))/AE640)</x:f>
        <x:v>1</x:v>
      </x:c>
      <x:c r="AI640" s="32" t="n">
        <x:f>(Z640+tun_ElderCommons*INDEX(LM_Elder,G640)*AA640)*AH640</x:f>
        <x:v>120866.81374216889</x:v>
      </x:c>
      <x:c r="AJ640" s="32" t="n">
        <x:f>H640*tun_CommonsCoef*AI640^tun_CommonsExp*INDEX(LM_Commons,G640)</x:f>
        <x:v>448694.81469660066</x:v>
      </x:c>
      <x:c r="AK640" s="32" t="n">
        <x:f>H640*tun_RoleScale*Arch_Roles*(AE640*(INDEX(tun_ElderRolePerSett,G640)*tun_OutElder*INDEX(LM_Elder,G640)+INDEX(tun_ShamanPerSett,G640)*tun_OutShaman)+Z640*(INDEX(tun_PriestShare,G640)*tun_OutPriest+INDEX(tun_ScribeShare,G640)*tun_OutScribe*INDEX(LM_Scribe,G640)+INDEX(tun_ScholarShare,G640)*tun_OutScholar*INDEX(LM_Scholar,G640)+INDEX(tun_ResearcherShare,G640)*tun_OutResearcher*INDEX(LM_Researcher,G640)))</x:f>
        <x:v>148642.14434861045</x:v>
      </x:c>
      <x:c r="AL640" s="32" t="n">
        <x:f>H640*tun_RoleScale*Arch_Roles*AE640*INDEX(tun_MonasteryPerSett,G640)*tun_OutMonastery*INDEX(LM_Monastery,G640)</x:f>
        <x:v>15.840000000000002</x:v>
      </x:c>
      <x:c r="AM640" s="32" t="n">
        <x:f>(AJ640+AK640+AL640)/4*INDEX(LM_All,G640)*INDEX(tun_Boon,G640)*Arch_Insight</x:f>
        <x:v>517291.04954390257</x:v>
      </x:c>
      <x:c r="AN640" s="32" t="n">
        <x:f>H640*(tun_KHPerAdult*Z640+tun_KHOfCommons*AJ640/4*INDEX(LM_All,G640))*tun_KHUsable*Arch_KH</x:f>
        <x:v>76226.57517474897</x:v>
      </x:c>
      <x:c r="AO640" s="32" t="n">
        <x:f>MIN(AP639+AN640,AM640*tun_KHMaxRatio)</x:f>
        <x:v>76226.57517474897</x:v>
      </x:c>
      <x:c r="AP640" s="32" t="n">
        <x:f>AP639+AN640-AO640</x:f>
        <x:v>0</x:v>
      </x:c>
      <x:c r="AQ640" s="32" t="n">
        <x:f>AM640+AO640</x:f>
        <x:v>593517.6247186515</x:v>
      </x:c>
      <x:c r="AR640" s="10" t="n">
        <x:f>IF(H640=1,INDEX(tun_Req,G640),0)</x:f>
        <x:v>125406521.7009086</x:v>
      </x:c>
      <x:c r="AS640" s="32" t="n">
        <x:f>IF(H640=1,IF(E640=1,AS639-AR639,AS639)+AQ640,0)</x:f>
        <x:v>7552558.14833756</x:v>
      </x:c>
      <x:c r="AT640" s="11" t="n">
        <x:f>IF(AR640&gt;0,MIN(1,AS640/AR640),1)</x:f>
        <x:v>0.06022460431802917</x:v>
      </x:c>
      <x:c r="AU640" s="10" t="n">
        <x:f>AB640/INDEX(tun_RepScale,G640)</x:f>
        <x:v>195.1590586145377</x:v>
      </x:c>
      <x:c r="AV640" s="32" t="n">
        <x:f>AM640*60/tun_SeasonSeconds</x:f>
        <x:v>2069164.1981756103</x:v>
      </x:c>
    </x:row>
    <x:row r="641">
      <x:c r="A641" s="8" t="n">
        <x:f>A640+1</x:f>
        <x:v>638</x:v>
      </x:c>
      <x:c r="B641" s="9" t="n">
        <x:f>A641*tun_SeasonSeconds/60</x:f>
        <x:v>159.5</x:v>
      </x:c>
      <x:c r="C641" s="9" t="n">
        <x:f>A641/4</x:f>
        <x:v>159.5</x:v>
      </x:c>
      <x:c r="D641" s="8" t="n">
        <x:f>IF(MOD(A641,4)=0,1,0)</x:f>
        <x:v>0</x:v>
      </x:c>
      <x:c r="E641" s="8" t="n">
        <x:f>IF(AND(F640&lt;=9,AS640&gt;=AR640),1,0)</x:f>
        <x:v>0</x:v>
      </x:c>
      <x:c r="F641" s="8" t="n">
        <x:f>MIN(10,F640+E641)</x:f>
        <x:v>9</x:v>
      </x:c>
      <x:c r="G641" s="8" t="n">
        <x:f>MIN(F641,9)+1</x:f>
        <x:v>10</x:v>
      </x:c>
      <x:c r="H641" s="8" t="n">
        <x:f>IF(F641&lt;=9,1,0)</x:f>
        <x:v>1</x:v>
      </x:c>
      <x:c r="I641" s="9" t="n">
        <x:f>MIN(10,F640+IF(AR640&gt;0,MIN(1,AS640/AR640),1))</x:f>
        <x:v>9.060224604318028</x:v>
      </x:c>
      <x:c r="J641" s="32" t="n">
        <x:f>INDEX(tun_FoodCap,G641)*Arch_FoodCap*EXP(tun_CapsByProject*SUMPRODUCT((Cap_Point&lt;=I641)*(Cap_Kind="Food")*Cap_Ln))</x:f>
        <x:v>13863.877308233004</x:v>
      </x:c>
      <x:c r="K641" s="32" t="n">
        <x:f>J641*MIN(1,tun_LeanBase*EXP(tun_CapsByProject*SUMPRODUCT((Cap_Point&lt;=I641)*(Cap_Kind="Lean")*Cap_Ln)))</x:f>
        <x:v>13863.877308233004</x:v>
      </x:c>
      <x:c r="L641" s="10" t="n">
        <x:f>INDEX(tun_HousingCap,G641)*EXP(tun_CapsByProject*SUMPRODUCT((Cap_Point&lt;=I641)*(Cap_Kind="Housing")*Cap_Ln))</x:f>
        <x:v>12514.86067705494</x:v>
      </x:c>
      <x:c r="M641" s="10" t="n">
        <x:f>INDEX(tun_GroupCap,G641)*tun_CohesionFactor*EXP(tun_CapsByProject*SUMPRODUCT((Cap_Point&lt;=I641)*(Cap_Kind="Group")*Cap_Ln))</x:f>
        <x:v>1000000.000000001</x:v>
      </x:c>
      <x:c r="N641" s="32" t="n">
        <x:f>MIN(J641,L641,M641)</x:f>
        <x:v>12514.86067705494</x:v>
      </x:c>
      <x:c r="O641" s="10" t="n">
        <x:f>AE640*N641</x:f>
        <x:v>112633.74609349445</x:v>
      </x:c>
      <x:c r="P641" s="9" t="n">
        <x:f>MIN(1,(AB640/(AE640*IF(tun_GroupInCrowding=1,N641,MIN(J641,L641))))^tun_CrowdingExp)</x:f>
        <x:v>0.4228060000798071</x:v>
      </x:c>
      <x:c r="Q641" s="9" t="n">
        <x:f>IF(D641=1,INDEX(tun_WinterMult,G641),1)</x:f>
        <x:v>1</x:v>
      </x:c>
      <x:c r="R641" s="9" t="n">
        <x:f>H641*Z640*tun_WomenShare*tun_BaseFertility*INDEX(tun_FertMult,G641)*Arch_Fertility*(1-P641)</x:f>
        <x:v>541.0475988257781</x:v>
      </x:c>
      <x:c r="S641" s="9" t="n">
        <x:f>H641*Y640*INDEX(tun_MortChild,G641)/4*Q641</x:f>
        <x:v>8.127276574254337</x:v>
      </x:c>
      <x:c r="T641" s="9" t="n">
        <x:f>H641*Z640*INDEX(tun_MortAdult,G641)*Arch_AdultMort/4*Q641</x:f>
        <x:v>15.451246920177352</x:v>
      </x:c>
      <x:c r="U641" s="9" t="n">
        <x:f>H641*AA640*INDEX(tun_MortElder,G641)/4*Q641</x:f>
        <x:v>136.7210810332422</x:v>
      </x:c>
      <x:c r="V641" s="9" t="n">
        <x:f>H641*MAX(0,AB640-O641)*tun_OvercapLoss</x:f>
        <x:v>0</x:v>
      </x:c>
      <x:c r="W641" s="9" t="n">
        <x:f>H641*Y640/(tun_ChildYears*4)</x:f>
        <x:v>645.0219503376458</x:v>
      </x:c>
      <x:c r="X641" s="9" t="n">
        <x:f>H641*Z640/(tun_AdultYears*4)</x:f>
        <x:v>332.284880003814</x:v>
      </x:c>
      <x:c r="Y641" s="32" t="n">
        <x:f>Y640+R641-S641-W641-Y640*V641/AB640</x:f>
        <x:v>36009.12759082204</x:v>
      </x:c>
      <x:c r="Z641" s="32" t="n">
        <x:f>Z640+W641-X641-T641-Z640*V641/AB640</x:f>
        <x:v>41500.61094388659</x:v>
      </x:c>
      <x:c r="AA641" s="32" t="n">
        <x:f>AA640+X641-U641-AA640*V641/AB640</x:f>
        <x:v>20450.538766858306</x:v>
      </x:c>
      <x:c r="AB641" s="10" t="n">
        <x:f>Y641+Z641+AA641</x:f>
        <x:v>97960.27730156694</x:v>
      </x:c>
      <x:c r="AC641" s="8" t="n">
        <x:f>IF(AND(tun_WinterTrigger=1,D641=1,AB640/AE640&gt;=K641),1,0)</x:f>
        <x:v>0</x:v>
      </x:c>
      <x:c r="AD641" s="8" t="n">
        <x:f>H641*IF(AND(OR(AB640/AE640&gt;=tun_FissionTrigger*N641,AC641=1),AB640/AE640*tun_DaughterShare&gt;=tun_MinDaughter),MAX(1,ROUND(AE640*tun_FissionRate,0)),0)</x:f>
        <x:v>3</x:v>
      </x:c>
      <x:c r="AE641" s="8" t="n">
        <x:f>IF(H641=1,MAX(1,MIN(INDEX(tun_Smax,G641),AE640+AD641)),AE640)</x:f>
        <x:v>9</x:v>
      </x:c>
      <x:c r="AF641" s="8" t="n">
        <x:f>MAX(0,AE641-AE640)</x:f>
        <x:v>0</x:v>
      </x:c>
      <x:c r="AG641" s="9" t="str">
        <x:f>IF(AF641&gt;0,B641,"")</x:f>
      </x:c>
      <x:c r="AH641" s="9" t="n">
        <x:f>IF(F641&gt;=1,1,(1+tun_LowTiesShare*(AE641-1))/AE641)</x:f>
        <x:v>1</x:v>
      </x:c>
      <x:c r="AI641" s="32" t="n">
        <x:f>(Z641+tun_ElderCommons*INDEX(LM_Elder,G641)*AA641)*AH641</x:f>
        <x:v>121933.25847586544</x:v>
      </x:c>
      <x:c r="AJ641" s="32" t="n">
        <x:f>H641*tun_CommonsCoef*AI641^tun_CommonsExp*INDEX(LM_Commons,G641)</x:f>
        <x:v>452057.7207606815</x:v>
      </x:c>
      <x:c r="AK641" s="32" t="n">
        <x:f>H641*tun_RoleScale*Arch_Roles*(AE641*(INDEX(tun_ElderRolePerSett,G641)*tun_OutElder*INDEX(LM_Elder,G641)+INDEX(tun_ShamanPerSett,G641)*tun_OutShaman)+Z641*(INDEX(tun_PriestShare,G641)*tun_OutPriest+INDEX(tun_ScribeShare,G641)*tun_OutScribe*INDEX(LM_Scribe,G641)+INDEX(tun_ScholarShare,G641)*tun_OutScholar*INDEX(LM_Scholar,G641)+INDEX(tun_ResearcherShare,G641)*tun_OutResearcher*INDEX(LM_Researcher,G641)))</x:f>
        <x:v>149712.81043729282</x:v>
      </x:c>
      <x:c r="AL641" s="32" t="n">
        <x:f>H641*tun_RoleScale*Arch_Roles*AE641*INDEX(tun_MonasteryPerSett,G641)*tun_OutMonastery*INDEX(LM_Monastery,G641)</x:f>
        <x:v>15.840000000000002</x:v>
      </x:c>
      <x:c r="AM641" s="32" t="n">
        <x:f>(AJ641+AK641+AL641)/4*INDEX(LM_All,G641)*INDEX(tun_Boon,G641)*Arch_Insight</x:f>
        <x:v>521130.40075443895</x:v>
      </x:c>
      <x:c r="AN641" s="32" t="n">
        <x:f>H641*(tun_KHPerAdult*Z641+tun_KHOfCommons*AJ641/4*INDEX(LM_All,G641))*tun_KHUsable*Arch_KH</x:f>
        <x:v>76797.8828955048</x:v>
      </x:c>
      <x:c r="AO641" s="32" t="n">
        <x:f>MIN(AP640+AN641,AM641*tun_KHMaxRatio)</x:f>
        <x:v>76797.8828955048</x:v>
      </x:c>
      <x:c r="AP641" s="32" t="n">
        <x:f>AP640+AN641-AO641</x:f>
        <x:v>0</x:v>
      </x:c>
      <x:c r="AQ641" s="32" t="n">
        <x:f>AM641+AO641</x:f>
        <x:v>597928.2836499438</x:v>
      </x:c>
      <x:c r="AR641" s="10" t="n">
        <x:f>IF(H641=1,INDEX(tun_Req,G641),0)</x:f>
        <x:v>125406521.7009086</x:v>
      </x:c>
      <x:c r="AS641" s="32" t="n">
        <x:f>IF(H641=1,IF(E641=1,AS640-AR640,AS640)+AQ641,0)</x:f>
        <x:v>8150486.431987504</x:v>
      </x:c>
      <x:c r="AT641" s="11" t="n">
        <x:f>IF(AR641&gt;0,MIN(1,AS641/AR641),1)</x:f>
        <x:v>0.0649925244831063</x:v>
      </x:c>
      <x:c r="AU641" s="10" t="n">
        <x:f>AB641/INDEX(tun_RepScale,G641)</x:f>
        <x:v>195.92055460313387</x:v>
      </x:c>
      <x:c r="AV641" s="32" t="n">
        <x:f>AM641*60/tun_SeasonSeconds</x:f>
        <x:v>2084521.6030177558</x:v>
      </x:c>
    </x:row>
    <x:row r="642">
      <x:c r="A642" s="8" t="n">
        <x:f>A641+1</x:f>
        <x:v>639</x:v>
      </x:c>
      <x:c r="B642" s="9" t="n">
        <x:f>A642*tun_SeasonSeconds/60</x:f>
        <x:v>159.75</x:v>
      </x:c>
      <x:c r="C642" s="9" t="n">
        <x:f>A642/4</x:f>
        <x:v>159.75</x:v>
      </x:c>
      <x:c r="D642" s="8" t="n">
        <x:f>IF(MOD(A642,4)=0,1,0)</x:f>
        <x:v>0</x:v>
      </x:c>
      <x:c r="E642" s="8" t="n">
        <x:f>IF(AND(F641&lt;=9,AS641&gt;=AR641),1,0)</x:f>
        <x:v>0</x:v>
      </x:c>
      <x:c r="F642" s="8" t="n">
        <x:f>MIN(10,F641+E642)</x:f>
        <x:v>9</x:v>
      </x:c>
      <x:c r="G642" s="8" t="n">
        <x:f>MIN(F642,9)+1</x:f>
        <x:v>10</x:v>
      </x:c>
      <x:c r="H642" s="8" t="n">
        <x:f>IF(F642&lt;=9,1,0)</x:f>
        <x:v>1</x:v>
      </x:c>
      <x:c r="I642" s="9" t="n">
        <x:f>MIN(10,F641+IF(AR641&gt;0,MIN(1,AS641/AR641),1))</x:f>
        <x:v>9.064992524483106</x:v>
      </x:c>
      <x:c r="J642" s="32" t="n">
        <x:f>INDEX(tun_FoodCap,G642)*Arch_FoodCap*EXP(tun_CapsByProject*SUMPRODUCT((Cap_Point&lt;=I642)*(Cap_Kind="Food")*Cap_Ln))</x:f>
        <x:v>13863.877308233004</x:v>
      </x:c>
      <x:c r="K642" s="32" t="n">
        <x:f>J642*MIN(1,tun_LeanBase*EXP(tun_CapsByProject*SUMPRODUCT((Cap_Point&lt;=I642)*(Cap_Kind="Lean")*Cap_Ln)))</x:f>
        <x:v>13863.877308233004</x:v>
      </x:c>
      <x:c r="L642" s="10" t="n">
        <x:f>INDEX(tun_HousingCap,G642)*EXP(tun_CapsByProject*SUMPRODUCT((Cap_Point&lt;=I642)*(Cap_Kind="Housing")*Cap_Ln))</x:f>
        <x:v>12514.86067705494</x:v>
      </x:c>
      <x:c r="M642" s="10" t="n">
        <x:f>INDEX(tun_GroupCap,G642)*tun_CohesionFactor*EXP(tun_CapsByProject*SUMPRODUCT((Cap_Point&lt;=I642)*(Cap_Kind="Group")*Cap_Ln))</x:f>
        <x:v>1000000.000000001</x:v>
      </x:c>
      <x:c r="N642" s="32" t="n">
        <x:f>MIN(J642,L642,M642)</x:f>
        <x:v>12514.86067705494</x:v>
      </x:c>
      <x:c r="O642" s="10" t="n">
        <x:f>AE641*N642</x:f>
        <x:v>112633.74609349445</x:v>
      </x:c>
      <x:c r="P642" s="9" t="n">
        <x:f>MIN(1,(AB641/(AE641*IF(tun_GroupInCrowding=1,N642,MIN(J642,L642))))^tun_CrowdingExp)</x:f>
        <x:v>0.4328016058731529</x:v>
      </x:c>
      <x:c r="Q642" s="9" t="n">
        <x:f>IF(D642=1,INDEX(tun_WinterMult,G642),1)</x:f>
        <x:v>1</x:v>
      </x:c>
      <x:c r="R642" s="9" t="n">
        <x:f>H642*Z641*tun_WomenShare*tun_BaseFertility*INDEX(tun_FertMult,G642)*Arch_Fertility*(1-P642)</x:f>
        <x:v>535.5140673304132</x:v>
      </x:c>
      <x:c r="S642" s="9" t="n">
        <x:f>H642*Y641*INDEX(tun_MortChild,G642)/4*Q642</x:f>
        <x:v>8.102053707934958</x:v>
      </x:c>
      <x:c r="T642" s="9" t="n">
        <x:f>H642*Z641*INDEX(tun_MortAdult,G642)*Arch_AdultMort/4*Q642</x:f>
        <x:v>15.562729103957471</x:v>
      </x:c>
      <x:c r="U642" s="9" t="n">
        <x:f>H642*AA641*INDEX(tun_MortElder,G642)/4*Q642</x:f>
        <x:v>138.04113667629358</x:v>
      </x:c>
      <x:c r="V642" s="9" t="n">
        <x:f>H642*MAX(0,AB641-O642)*tun_OvercapLoss</x:f>
        <x:v>0</x:v>
      </x:c>
      <x:c r="W642" s="9" t="n">
        <x:f>H642*Y641/(tun_ChildYears*4)</x:f>
        <x:v>643.0201355503935</x:v>
      </x:c>
      <x:c r="X642" s="9" t="n">
        <x:f>H642*Z641/(tun_AdultYears*4)</x:f>
        <x:v>334.68234632166605</x:v>
      </x:c>
      <x:c r="Y642" s="32" t="n">
        <x:f>Y641+R642-S642-W642-Y641*V642/AB641</x:f>
        <x:v>35893.51946889412</x:v>
      </x:c>
      <x:c r="Z642" s="32" t="n">
        <x:f>Z641+W642-X642-T642-Z641*V642/AB641</x:f>
        <x:v>41793.386004011365</x:v>
      </x:c>
      <x:c r="AA642" s="32" t="n">
        <x:f>AA641+X642-U642-AA641*V642/AB641</x:f>
        <x:v>20647.179976503678</x:v>
      </x:c>
      <x:c r="AB642" s="10" t="n">
        <x:f>Y642+Z642+AA642</x:f>
        <x:v>98334.08544940918</x:v>
      </x:c>
      <x:c r="AC642" s="8" t="n">
        <x:f>IF(AND(tun_WinterTrigger=1,D642=1,AB641/AE641&gt;=K642),1,0)</x:f>
        <x:v>0</x:v>
      </x:c>
      <x:c r="AD642" s="8" t="n">
        <x:f>H642*IF(AND(OR(AB641/AE641&gt;=tun_FissionTrigger*N642,AC642=1),AB641/AE641*tun_DaughterShare&gt;=tun_MinDaughter),MAX(1,ROUND(AE641*tun_FissionRate,0)),0)</x:f>
        <x:v>3</x:v>
      </x:c>
      <x:c r="AE642" s="8" t="n">
        <x:f>IF(H642=1,MAX(1,MIN(INDEX(tun_Smax,G642),AE641+AD642)),AE641)</x:f>
        <x:v>9</x:v>
      </x:c>
      <x:c r="AF642" s="8" t="n">
        <x:f>MAX(0,AE642-AE641)</x:f>
        <x:v>0</x:v>
      </x:c>
      <x:c r="AG642" s="9" t="str">
        <x:f>IF(AF642&gt;0,B642,"")</x:f>
      </x:c>
      <x:c r="AH642" s="9" t="n">
        <x:f>IF(F642&gt;=1,1,(1+tun_LowTiesShare*(AE642-1))/AE642)</x:f>
        <x:v>1</x:v>
      </x:c>
      <x:c r="AI642" s="32" t="n">
        <x:f>(Z642+tun_ElderCommons*INDEX(LM_Elder,G642)*AA642)*AH642</x:f>
        <x:v>122999.42993820626</x:v>
      </x:c>
      <x:c r="AJ642" s="32" t="n">
        <x:f>H642*tun_CommonsCoef*AI642^tun_CommonsExp*INDEX(LM_Commons,G642)</x:f>
        <x:v>455415.35775477864</x:v>
      </x:c>
      <x:c r="AK642" s="32" t="n">
        <x:f>H642*tun_RoleScale*Arch_Roles*(AE642*(INDEX(tun_ElderRolePerSett,G642)*tun_OutElder*INDEX(LM_Elder,G642)+INDEX(tun_ShamanPerSett,G642)*tun_OutShaman)+Z642*(INDEX(tun_PriestShare,G642)*tun_OutPriest+INDEX(tun_ScribeShare,G642)*tun_OutScribe*INDEX(LM_Scribe,G642)+INDEX(tun_ScholarShare,G642)*tun_OutScholar*INDEX(LM_Scholar,G642)+INDEX(tun_ResearcherShare,G642)*tun_OutResearcher*INDEX(LM_Researcher,G642)))</x:f>
        <x:v>150767.23114557992</x:v>
      </x:c>
      <x:c r="AL642" s="32" t="n">
        <x:f>H642*tun_RoleScale*Arch_Roles*AE642*INDEX(tun_MonasteryPerSett,G642)*tun_OutMonastery*INDEX(LM_Monastery,G642)</x:f>
        <x:v>15.840000000000002</x:v>
      </x:c>
      <x:c r="AM642" s="32" t="n">
        <x:f>(AJ642+AK642+AL642)/4*INDEX(LM_All,G642)*INDEX(tun_Boon,G642)*Arch_Insight</x:f>
        <x:v>524951.1210442954</x:v>
      </x:c>
      <x:c r="AN642" s="32" t="n">
        <x:f>H642*(tun_KHPerAdult*Z642+tun_KHOfCommons*AJ642/4*INDEX(LM_All,G642))*tun_KHUsable*Arch_KH</x:f>
        <x:v>77368.29547964204</x:v>
      </x:c>
      <x:c r="AO642" s="32" t="n">
        <x:f>MIN(AP641+AN642,AM642*tun_KHMaxRatio)</x:f>
        <x:v>77368.29547964204</x:v>
      </x:c>
      <x:c r="AP642" s="32" t="n">
        <x:f>AP641+AN642-AO642</x:f>
        <x:v>0</x:v>
      </x:c>
      <x:c r="AQ642" s="32" t="n">
        <x:f>AM642+AO642</x:f>
        <x:v>602319.4165239374</x:v>
      </x:c>
      <x:c r="AR642" s="10" t="n">
        <x:f>IF(H642=1,INDEX(tun_Req,G642),0)</x:f>
        <x:v>125406521.7009086</x:v>
      </x:c>
      <x:c r="AS642" s="32" t="n">
        <x:f>IF(H642=1,IF(E642=1,AS641-AR641,AS641)+AQ642,0)</x:f>
        <x:v>8752805.84851144</x:v>
      </x:c>
      <x:c r="AT642" s="11" t="n">
        <x:f>IF(AR642&gt;0,MIN(1,AS642/AR642),1)</x:f>
        <x:v>0.06979545983570665</x:v>
      </x:c>
      <x:c r="AU642" s="10" t="n">
        <x:f>AB642/INDEX(tun_RepScale,G642)</x:f>
        <x:v>196.66817089881835</x:v>
      </x:c>
      <x:c r="AV642" s="32" t="n">
        <x:f>AM642*60/tun_SeasonSeconds</x:f>
        <x:v>2099804.4841771815</x:v>
      </x:c>
    </x:row>
    <x:row r="643">
      <x:c r="A643" s="8" t="n">
        <x:f>A642+1</x:f>
        <x:v>640</x:v>
      </x:c>
      <x:c r="B643" s="9" t="n">
        <x:f>A643*tun_SeasonSeconds/60</x:f>
        <x:v>160</x:v>
      </x:c>
      <x:c r="C643" s="9" t="n">
        <x:f>A643/4</x:f>
        <x:v>160</x:v>
      </x:c>
      <x:c r="D643" s="8" t="n">
        <x:f>IF(MOD(A643,4)=0,1,0)</x:f>
        <x:v>1</x:v>
      </x:c>
      <x:c r="E643" s="8" t="n">
        <x:f>IF(AND(F642&lt;=9,AS642&gt;=AR642),1,0)</x:f>
        <x:v>0</x:v>
      </x:c>
      <x:c r="F643" s="8" t="n">
        <x:f>MIN(10,F642+E643)</x:f>
        <x:v>9</x:v>
      </x:c>
      <x:c r="G643" s="8" t="n">
        <x:f>MIN(F643,9)+1</x:f>
        <x:v>10</x:v>
      </x:c>
      <x:c r="H643" s="8" t="n">
        <x:f>IF(F643&lt;=9,1,0)</x:f>
        <x:v>1</x:v>
      </x:c>
      <x:c r="I643" s="9" t="n">
        <x:f>MIN(10,F642+IF(AR642&gt;0,MIN(1,AS642/AR642),1))</x:f>
        <x:v>9.069795459835706</x:v>
      </x:c>
      <x:c r="J643" s="32" t="n">
        <x:f>INDEX(tun_FoodCap,G643)*Arch_FoodCap*EXP(tun_CapsByProject*SUMPRODUCT((Cap_Point&lt;=I643)*(Cap_Kind="Food")*Cap_Ln))</x:f>
        <x:v>13863.877308233004</x:v>
      </x:c>
      <x:c r="K643" s="32" t="n">
        <x:f>J643*MIN(1,tun_LeanBase*EXP(tun_CapsByProject*SUMPRODUCT((Cap_Point&lt;=I643)*(Cap_Kind="Lean")*Cap_Ln)))</x:f>
        <x:v>13863.877308233004</x:v>
      </x:c>
      <x:c r="L643" s="10" t="n">
        <x:f>INDEX(tun_HousingCap,G643)*EXP(tun_CapsByProject*SUMPRODUCT((Cap_Point&lt;=I643)*(Cap_Kind="Housing")*Cap_Ln))</x:f>
        <x:v>12514.86067705494</x:v>
      </x:c>
      <x:c r="M643" s="10" t="n">
        <x:f>INDEX(tun_GroupCap,G643)*tun_CohesionFactor*EXP(tun_CapsByProject*SUMPRODUCT((Cap_Point&lt;=I643)*(Cap_Kind="Group")*Cap_Ln))</x:f>
        <x:v>1000000.000000001</x:v>
      </x:c>
      <x:c r="N643" s="32" t="n">
        <x:f>MIN(J643,L643,M643)</x:f>
        <x:v>12514.86067705494</x:v>
      </x:c>
      <x:c r="O643" s="10" t="n">
        <x:f>AE642*N643</x:f>
        <x:v>112633.74609349445</x:v>
      </x:c>
      <x:c r="P643" s="9" t="n">
        <x:f>MIN(1,(AB642/(AE642*IF(tun_GroupInCrowding=1,N643,MIN(J643,L643))))^tun_CrowdingExp)</x:f>
        <x:v>0.44280582628676385</x:v>
      </x:c>
      <x:c r="Q643" s="9" t="n">
        <x:f>IF(D643=1,INDEX(tun_WinterMult,G643),1)</x:f>
        <x:v>1.05</x:v>
      </x:c>
      <x:c r="R643" s="9" t="n">
        <x:f>H643*Z642*tun_WomenShare*tun_BaseFertility*INDEX(tun_FertMult,G643)*Arch_Fertility*(1-P643)</x:f>
        <x:v>529.7799593719233</x:v>
      </x:c>
      <x:c r="S643" s="9" t="n">
        <x:f>H643*Y642*INDEX(tun_MortChild,G643)/4*Q643</x:f>
        <x:v>8.479843974526235</x:v>
      </x:c>
      <x:c r="T643" s="9" t="n">
        <x:f>H643*Z642*INDEX(tun_MortAdult,G643)*Arch_AdultMort/4*Q643</x:f>
        <x:v>16.456145739079478</x:v>
      </x:c>
      <x:c r="U643" s="9" t="n">
        <x:f>H643*AA642*INDEX(tun_MortElder,G643)/4*Q643</x:f>
        <x:v>146.33688808346983</x:v>
      </x:c>
      <x:c r="V643" s="9" t="n">
        <x:f>H643*MAX(0,AB642-O643)*tun_OvercapLoss</x:f>
        <x:v>0</x:v>
      </x:c>
      <x:c r="W643" s="9" t="n">
        <x:f>H643*Y642/(tun_ChildYears*4)</x:f>
        <x:v>640.9557048016807</x:v>
      </x:c>
      <x:c r="X643" s="9" t="n">
        <x:f>H643*Z642/(tun_AdultYears*4)</x:f>
        <x:v>337.0434355162207</x:v>
      </x:c>
      <x:c r="Y643" s="32" t="n">
        <x:f>Y642+R643-S643-W643-Y642*V643/AB642</x:f>
        <x:v>35773.863879489836</x:v>
      </x:c>
      <x:c r="Z643" s="32" t="n">
        <x:f>Z642+W643-X643-T643-Z642*V643/AB642</x:f>
        <x:v>42080.84212755774</x:v>
      </x:c>
      <x:c r="AA643" s="32" t="n">
        <x:f>AA642+X643-U643-AA642*V643/AB642</x:f>
        <x:v>20837.886523936428</x:v>
      </x:c>
      <x:c r="AB643" s="10" t="n">
        <x:f>Y643+Z643+AA643</x:f>
        <x:v>98692.59253098401</x:v>
      </x:c>
      <x:c r="AC643" s="8" t="n">
        <x:f>IF(AND(tun_WinterTrigger=1,D643=1,AB642/AE642&gt;=K643),1,0)</x:f>
        <x:v>0</x:v>
      </x:c>
      <x:c r="AD643" s="8" t="n">
        <x:f>H643*IF(AND(OR(AB642/AE642&gt;=tun_FissionTrigger*N643,AC643=1),AB642/AE642*tun_DaughterShare&gt;=tun_MinDaughter),MAX(1,ROUND(AE642*tun_FissionRate,0)),0)</x:f>
        <x:v>3</x:v>
      </x:c>
      <x:c r="AE643" s="8" t="n">
        <x:f>IF(H643=1,MAX(1,MIN(INDEX(tun_Smax,G643),AE642+AD643)),AE642)</x:f>
        <x:v>9</x:v>
      </x:c>
      <x:c r="AF643" s="8" t="n">
        <x:f>MAX(0,AE643-AE642)</x:f>
        <x:v>0</x:v>
      </x:c>
      <x:c r="AG643" s="9" t="str">
        <x:f>IF(AF643&gt;0,B643,"")</x:f>
      </x:c>
      <x:c r="AH643" s="9" t="n">
        <x:f>IF(F643&gt;=1,1,(1+tun_LowTiesShare*(AE643-1))/AE643)</x:f>
        <x:v>1</x:v>
      </x:c>
      <x:c r="AI643" s="32" t="n">
        <x:f>(Z643+tun_ElderCommons*INDEX(LM_Elder,G643)*AA643)*AH643</x:f>
        <x:v>124036.94124057058</x:v>
      </x:c>
      <x:c r="AJ643" s="32" t="n">
        <x:f>H643*tun_CommonsCoef*AI643^tun_CommonsExp*INDEX(LM_Commons,G643)</x:f>
        <x:v>458678.5479327977</x:v>
      </x:c>
      <x:c r="AK643" s="32" t="n">
        <x:f>H643*tun_RoleScale*Arch_Roles*(AE643*(INDEX(tun_ElderRolePerSett,G643)*tun_OutElder*INDEX(LM_Elder,G643)+INDEX(tun_ShamanPerSett,G643)*tun_OutShaman)+Z643*(INDEX(tun_PriestShare,G643)*tun_OutPriest+INDEX(tun_ScribeShare,G643)*tun_OutScribe*INDEX(LM_Scribe,G643)+INDEX(tun_ScholarShare,G643)*tun_OutScholar*INDEX(LM_Scholar,G643)+INDEX(tun_ResearcherShare,G643)*tun_OutResearcher*INDEX(LM_Researcher,G643)))</x:f>
        <x:v>151802.4958613042</x:v>
      </x:c>
      <x:c r="AL643" s="32" t="n">
        <x:f>H643*tun_RoleScale*Arch_Roles*AE643*INDEX(tun_MonasteryPerSett,G643)*tun_OutMonastery*INDEX(LM_Monastery,G643)</x:f>
        <x:v>15.840000000000002</x:v>
      </x:c>
      <x:c r="AM643" s="32" t="n">
        <x:f>(AJ643+AK643+AL643)/4*INDEX(LM_All,G643)*INDEX(tun_Boon,G643)*Arch_Insight</x:f>
        <x:v>528673.4644349277</x:v>
      </x:c>
      <x:c r="AN643" s="32" t="n">
        <x:f>H643*(tun_KHPerAdult*Z643+tun_KHOfCommons*AJ643/4*INDEX(LM_All,G643))*tun_KHUsable*Arch_KH</x:f>
        <x:v>77922.66295452017</x:v>
      </x:c>
      <x:c r="AO643" s="32" t="n">
        <x:f>MIN(AP642+AN643,AM643*tun_KHMaxRatio)</x:f>
        <x:v>77922.66295452017</x:v>
      </x:c>
      <x:c r="AP643" s="32" t="n">
        <x:f>AP642+AN643-AO643</x:f>
        <x:v>0</x:v>
      </x:c>
      <x:c r="AQ643" s="32" t="n">
        <x:f>AM643+AO643</x:f>
        <x:v>606596.1273894479</x:v>
      </x:c>
      <x:c r="AR643" s="10" t="n">
        <x:f>IF(H643=1,INDEX(tun_Req,G643),0)</x:f>
        <x:v>125406521.7009086</x:v>
      </x:c>
      <x:c r="AS643" s="32" t="n">
        <x:f>IF(H643=1,IF(E643=1,AS642-AR642,AS642)+AQ643,0)</x:f>
        <x:v>9359401.975900888</x:v>
      </x:c>
      <x:c r="AT643" s="11" t="n">
        <x:f>IF(AR643&gt;0,MIN(1,AS643/AR643),1)</x:f>
        <x:v>0.07463249796707405</x:v>
      </x:c>
      <x:c r="AU643" s="10" t="n">
        <x:f>AB643/INDEX(tun_RepScale,G643)</x:f>
        <x:v>197.38518506196803</x:v>
      </x:c>
      <x:c r="AV643" s="32" t="n">
        <x:f>AM643*60/tun_SeasonSeconds</x:f>
        <x:v>2114693.8577397107</x:v>
      </x:c>
    </x:row>
    <x:row r="644">
      <x:c r="A644" s="8" t="n">
        <x:f>A643+1</x:f>
        <x:v>641</x:v>
      </x:c>
      <x:c r="B644" s="9" t="n">
        <x:f>A644*tun_SeasonSeconds/60</x:f>
        <x:v>160.25</x:v>
      </x:c>
      <x:c r="C644" s="9" t="n">
        <x:f>A644/4</x:f>
        <x:v>160.25</x:v>
      </x:c>
      <x:c r="D644" s="8" t="n">
        <x:f>IF(MOD(A644,4)=0,1,0)</x:f>
        <x:v>0</x:v>
      </x:c>
      <x:c r="E644" s="8" t="n">
        <x:f>IF(AND(F643&lt;=9,AS643&gt;=AR643),1,0)</x:f>
        <x:v>0</x:v>
      </x:c>
      <x:c r="F644" s="8" t="n">
        <x:f>MIN(10,F643+E644)</x:f>
        <x:v>9</x:v>
      </x:c>
      <x:c r="G644" s="8" t="n">
        <x:f>MIN(F644,9)+1</x:f>
        <x:v>10</x:v>
      </x:c>
      <x:c r="H644" s="8" t="n">
        <x:f>IF(F644&lt;=9,1,0)</x:f>
        <x:v>1</x:v>
      </x:c>
      <x:c r="I644" s="9" t="n">
        <x:f>MIN(10,F643+IF(AR643&gt;0,MIN(1,AS643/AR643),1))</x:f>
        <x:v>9.074632497967073</x:v>
      </x:c>
      <x:c r="J644" s="32" t="n">
        <x:f>INDEX(tun_FoodCap,G644)*Arch_FoodCap*EXP(tun_CapsByProject*SUMPRODUCT((Cap_Point&lt;=I644)*(Cap_Kind="Food")*Cap_Ln))</x:f>
        <x:v>13863.877308233004</x:v>
      </x:c>
      <x:c r="K644" s="32" t="n">
        <x:f>J644*MIN(1,tun_LeanBase*EXP(tun_CapsByProject*SUMPRODUCT((Cap_Point&lt;=I644)*(Cap_Kind="Lean")*Cap_Ln)))</x:f>
        <x:v>13863.877308233004</x:v>
      </x:c>
      <x:c r="L644" s="10" t="n">
        <x:f>INDEX(tun_HousingCap,G644)*EXP(tun_CapsByProject*SUMPRODUCT((Cap_Point&lt;=I644)*(Cap_Kind="Housing")*Cap_Ln))</x:f>
        <x:v>12514.86067705494</x:v>
      </x:c>
      <x:c r="M644" s="10" t="n">
        <x:f>INDEX(tun_GroupCap,G644)*tun_CohesionFactor*EXP(tun_CapsByProject*SUMPRODUCT((Cap_Point&lt;=I644)*(Cap_Kind="Group")*Cap_Ln))</x:f>
        <x:v>1000000.000000001</x:v>
      </x:c>
      <x:c r="N644" s="32" t="n">
        <x:f>MIN(J644,L644,M644)</x:f>
        <x:v>12514.86067705494</x:v>
      </x:c>
      <x:c r="O644" s="10" t="n">
        <x:f>AE643*N644</x:f>
        <x:v>112633.74609349445</x:v>
      </x:c>
      <x:c r="P644" s="9" t="n">
        <x:f>MIN(1,(AB643/(AE643*IF(tun_GroupInCrowding=1,N644,MIN(J644,L644))))^tun_CrowdingExp)</x:f>
        <x:v>0.4525808497064705</x:v>
      </x:c>
      <x:c r="Q644" s="9" t="n">
        <x:f>IF(D644=1,INDEX(tun_WinterMult,G644),1)</x:f>
        <x:v>1</x:v>
      </x:c>
      <x:c r="R644" s="9" t="n">
        <x:f>H644*Z643*tun_WomenShare*tun_BaseFertility*INDEX(tun_FertMult,G644)*Arch_Fertility*(1-P644)</x:f>
        <x:v>524.0657886351119</x:v>
      </x:c>
      <x:c r="S644" s="9" t="n">
        <x:f>H644*Y643*INDEX(tun_MortChild,G644)/4*Q644</x:f>
        <x:v>8.049119372885214</x:v>
      </x:c>
      <x:c r="T644" s="9" t="n">
        <x:f>H644*Z643*INDEX(tun_MortAdult,G644)*Arch_AdultMort/4*Q644</x:f>
        <x:v>15.780315797834154</x:v>
      </x:c>
      <x:c r="U644" s="9" t="n">
        <x:f>H644*AA643*INDEX(tun_MortElder,G644)/4*Q644</x:f>
        <x:v>140.6557340365709</x:v>
      </x:c>
      <x:c r="V644" s="9" t="n">
        <x:f>H644*MAX(0,AB643-O644)*tun_OvercapLoss</x:f>
        <x:v>0</x:v>
      </x:c>
      <x:c r="W644" s="9" t="n">
        <x:f>H644*Y643/(tun_ChildYears*4)</x:f>
        <x:v>638.8189978480328</x:v>
      </x:c>
      <x:c r="X644" s="9" t="n">
        <x:f>H644*Z643/(tun_AdultYears*4)</x:f>
        <x:v>339.36163006094955</x:v>
      </x:c>
      <x:c r="Y644" s="32" t="n">
        <x:f>Y643+R644-S644-W644-Y643*V644/AB643</x:f>
        <x:v>35651.06155090403</x:v>
      </x:c>
      <x:c r="Z644" s="32" t="n">
        <x:f>Z643+W644-X644-T644-Z643*V644/AB643</x:f>
        <x:v>42364.51917954699</x:v>
      </x:c>
      <x:c r="AA644" s="32" t="n">
        <x:f>AA643+X644-U644-AA643*V644/AB643</x:f>
        <x:v>21036.592419960805</x:v>
      </x:c>
      <x:c r="AB644" s="10" t="n">
        <x:f>Y644+Z644+AA644</x:f>
        <x:v>99052.1731504118</x:v>
      </x:c>
      <x:c r="AC644" s="8" t="n">
        <x:f>IF(AND(tun_WinterTrigger=1,D644=1,AB643/AE643&gt;=K644),1,0)</x:f>
        <x:v>0</x:v>
      </x:c>
      <x:c r="AD644" s="8" t="n">
        <x:f>H644*IF(AND(OR(AB643/AE643&gt;=tun_FissionTrigger*N644,AC644=1),AB643/AE643*tun_DaughterShare&gt;=tun_MinDaughter),MAX(1,ROUND(AE643*tun_FissionRate,0)),0)</x:f>
        <x:v>3</x:v>
      </x:c>
      <x:c r="AE644" s="8" t="n">
        <x:f>IF(H644=1,MAX(1,MIN(INDEX(tun_Smax,G644),AE643+AD644)),AE643)</x:f>
        <x:v>9</x:v>
      </x:c>
      <x:c r="AF644" s="8" t="n">
        <x:f>MAX(0,AE644-AE643)</x:f>
        <x:v>0</x:v>
      </x:c>
      <x:c r="AG644" s="9" t="str">
        <x:f>IF(AF644&gt;0,B644,"")</x:f>
      </x:c>
      <x:c r="AH644" s="9" t="n">
        <x:f>IF(F644&gt;=1,1,(1+tun_LowTiesShare*(AE644-1))/AE644)</x:f>
        <x:v>1</x:v>
      </x:c>
      <x:c r="AI644" s="32" t="n">
        <x:f>(Z644+tun_ElderCommons*INDEX(LM_Elder,G644)*AA644)*AH644</x:f>
        <x:v>125102.13517481211</x:v>
      </x:c>
      <x:c r="AJ644" s="32" t="n">
        <x:f>H644*tun_CommonsCoef*AI644^tun_CommonsExp*INDEX(LM_Commons,G644)</x:f>
        <x:v>462024.5491811758</x:v>
      </x:c>
      <x:c r="AK644" s="32" t="n">
        <x:f>H644*tun_RoleScale*Arch_Roles*(AE644*(INDEX(tun_ElderRolePerSett,G644)*tun_OutElder*INDEX(LM_Elder,G644)+INDEX(tun_ShamanPerSett,G644)*tun_OutShaman)+Z644*(INDEX(tun_PriestShare,G644)*tun_OutPriest+INDEX(tun_ScribeShare,G644)*tun_OutScribe*INDEX(LM_Scribe,G644)+INDEX(tun_ScholarShare,G644)*tun_OutScholar*INDEX(LM_Scholar,G644)+INDEX(tun_ResearcherShare,G644)*tun_OutResearcher*INDEX(LM_Researcher,G644)))</x:f>
        <x:v>152824.15036273553</x:v>
      </x:c>
      <x:c r="AL644" s="32" t="n">
        <x:f>H644*tun_RoleScale*Arch_Roles*AE644*INDEX(tun_MonasteryPerSett,G644)*tun_OutMonastery*INDEX(LM_Monastery,G644)</x:f>
        <x:v>15.840000000000002</x:v>
      </x:c>
      <x:c r="AM644" s="32" t="n">
        <x:f>(AJ644+AK644+AL644)/4*INDEX(LM_All,G644)*INDEX(tun_Boon,G644)*Arch_Insight</x:f>
        <x:v>532455.7338584185</x:v>
      </x:c>
      <x:c r="AN644" s="32" t="n">
        <x:f>H644*(tun_KHPerAdult*Z644+tun_KHOfCommons*AJ644/4*INDEX(LM_All,G644))*tun_KHUsable*Arch_KH</x:f>
        <x:v>78491.09879852868</x:v>
      </x:c>
      <x:c r="AO644" s="32" t="n">
        <x:f>MIN(AP643+AN644,AM644*tun_KHMaxRatio)</x:f>
        <x:v>78491.09879852868</x:v>
      </x:c>
      <x:c r="AP644" s="32" t="n">
        <x:f>AP643+AN644-AO644</x:f>
        <x:v>0</x:v>
      </x:c>
      <x:c r="AQ644" s="32" t="n">
        <x:f>AM644+AO644</x:f>
        <x:v>610946.8326569472</x:v>
      </x:c>
      <x:c r="AR644" s="10" t="n">
        <x:f>IF(H644=1,INDEX(tun_Req,G644),0)</x:f>
        <x:v>125406521.7009086</x:v>
      </x:c>
      <x:c r="AS644" s="32" t="n">
        <x:f>IF(H644=1,IF(E644=1,AS643-AR643,AS643)+AQ644,0)</x:f>
        <x:v>9970348.808557836</x:v>
      </x:c>
      <x:c r="AT644" s="11" t="n">
        <x:f>IF(AR644&gt;0,MIN(1,AS644/AR644),1)</x:f>
        <x:v>0.07950422891352386</x:v>
      </x:c>
      <x:c r="AU644" s="10" t="n">
        <x:f>AB644/INDEX(tun_RepScale,G644)</x:f>
        <x:v>198.1043463008236</x:v>
      </x:c>
      <x:c r="AV644" s="32" t="n">
        <x:f>AM644*60/tun_SeasonSeconds</x:f>
        <x:v>2129822.935433674</x:v>
      </x:c>
    </x:row>
    <x:row r="645">
      <x:c r="A645" s="8" t="n">
        <x:f>A644+1</x:f>
        <x:v>642</x:v>
      </x:c>
      <x:c r="B645" s="9" t="n">
        <x:f>A645*tun_SeasonSeconds/60</x:f>
        <x:v>160.5</x:v>
      </x:c>
      <x:c r="C645" s="9" t="n">
        <x:f>A645/4</x:f>
        <x:v>160.5</x:v>
      </x:c>
      <x:c r="D645" s="8" t="n">
        <x:f>IF(MOD(A645,4)=0,1,0)</x:f>
        <x:v>0</x:v>
      </x:c>
      <x:c r="E645" s="8" t="n">
        <x:f>IF(AND(F644&lt;=9,AS644&gt;=AR644),1,0)</x:f>
        <x:v>0</x:v>
      </x:c>
      <x:c r="F645" s="8" t="n">
        <x:f>MIN(10,F644+E645)</x:f>
        <x:v>9</x:v>
      </x:c>
      <x:c r="G645" s="8" t="n">
        <x:f>MIN(F645,9)+1</x:f>
        <x:v>10</x:v>
      </x:c>
      <x:c r="H645" s="8" t="n">
        <x:f>IF(F645&lt;=9,1,0)</x:f>
        <x:v>1</x:v>
      </x:c>
      <x:c r="I645" s="9" t="n">
        <x:f>MIN(10,F644+IF(AR644&gt;0,MIN(1,AS644/AR644),1))</x:f>
        <x:v>9.079504228913525</x:v>
      </x:c>
      <x:c r="J645" s="32" t="n">
        <x:f>INDEX(tun_FoodCap,G645)*Arch_FoodCap*EXP(tun_CapsByProject*SUMPRODUCT((Cap_Point&lt;=I645)*(Cap_Kind="Food")*Cap_Ln))</x:f>
        <x:v>13863.877308233004</x:v>
      </x:c>
      <x:c r="K645" s="32" t="n">
        <x:f>J645*MIN(1,tun_LeanBase*EXP(tun_CapsByProject*SUMPRODUCT((Cap_Point&lt;=I645)*(Cap_Kind="Lean")*Cap_Ln)))</x:f>
        <x:v>13863.877308233004</x:v>
      </x:c>
      <x:c r="L645" s="10" t="n">
        <x:f>INDEX(tun_HousingCap,G645)*EXP(tun_CapsByProject*SUMPRODUCT((Cap_Point&lt;=I645)*(Cap_Kind="Housing")*Cap_Ln))</x:f>
        <x:v>12514.86067705494</x:v>
      </x:c>
      <x:c r="M645" s="10" t="n">
        <x:f>INDEX(tun_GroupCap,G645)*tun_CohesionFactor*EXP(tun_CapsByProject*SUMPRODUCT((Cap_Point&lt;=I645)*(Cap_Kind="Group")*Cap_Ln))</x:f>
        <x:v>1000000.000000001</x:v>
      </x:c>
      <x:c r="N645" s="32" t="n">
        <x:f>MIN(J645,L645,M645)</x:f>
        <x:v>12514.86067705494</x:v>
      </x:c>
      <x:c r="O645" s="10" t="n">
        <x:f>AE644*N645</x:f>
        <x:v>112633.74609349445</x:v>
      </x:c>
      <x:c r="P645" s="9" t="n">
        <x:f>MIN(1,(AB644/(AE644*IF(tun_GroupInCrowding=1,N645,MIN(J645,L645))))^tun_CrowdingExp)</x:f>
        <x:v>0.46256511578007276</x:v>
      </x:c>
      <x:c r="Q645" s="9" t="n">
        <x:f>IF(D645=1,INDEX(tun_WinterMult,G645),1)</x:f>
        <x:v>1</x:v>
      </x:c>
      <x:c r="R645" s="9" t="n">
        <x:f>H645*Z644*tun_WomenShare*tun_BaseFertility*INDEX(tun_FertMult,G645)*Arch_Fertility*(1-P645)</x:f>
        <x:v>517.9758779716594</x:v>
      </x:c>
      <x:c r="S645" s="9" t="n">
        <x:f>H645*Y644*INDEX(tun_MortChild,G645)/4*Q645</x:f>
        <x:v>8.021488848953407</x:v>
      </x:c>
      <x:c r="T645" s="9" t="n">
        <x:f>H645*Z644*INDEX(tun_MortAdult,G645)*Arch_AdultMort/4*Q645</x:f>
        <x:v>15.88669469233012</x:v>
      </x:c>
      <x:c r="U645" s="9" t="n">
        <x:f>H645*AA644*INDEX(tun_MortElder,G645)/4*Q645</x:f>
        <x:v>141.99699883473542</x:v>
      </x:c>
      <x:c r="V645" s="9" t="n">
        <x:f>H645*MAX(0,AB644-O645)*tun_OvercapLoss</x:f>
        <x:v>0</x:v>
      </x:c>
      <x:c r="W645" s="9" t="n">
        <x:f>H645*Y644/(tun_ChildYears*4)</x:f>
        <x:v>636.6260991232863</x:v>
      </x:c>
      <x:c r="X645" s="9" t="n">
        <x:f>H645*Z644/(tun_AdultYears*4)</x:f>
        <x:v>341.64934822215315</x:v>
      </x:c>
      <x:c r="Y645" s="32" t="n">
        <x:f>Y644+R645-S645-W645-Y644*V645/AB644</x:f>
        <x:v>35524.38984090345</x:v>
      </x:c>
      <x:c r="Z645" s="32" t="n">
        <x:f>Z644+W645-X645-T645-Z644*V645/AB644</x:f>
        <x:v>42643.609235755786</x:v>
      </x:c>
      <x:c r="AA645" s="32" t="n">
        <x:f>AA644+X645-U645-AA644*V645/AB644</x:f>
        <x:v>21236.24476934822</x:v>
      </x:c>
      <x:c r="AB645" s="10" t="n">
        <x:f>Y645+Z645+AA645</x:f>
        <x:v>99404.24384600746</x:v>
      </x:c>
      <x:c r="AC645" s="8" t="n">
        <x:f>IF(AND(tun_WinterTrigger=1,D645=1,AB644/AE644&gt;=K645),1,0)</x:f>
        <x:v>0</x:v>
      </x:c>
      <x:c r="AD645" s="8" t="n">
        <x:f>H645*IF(AND(OR(AB644/AE644&gt;=tun_FissionTrigger*N645,AC645=1),AB644/AE644*tun_DaughterShare&gt;=tun_MinDaughter),MAX(1,ROUND(AE644*tun_FissionRate,0)),0)</x:f>
        <x:v>3</x:v>
      </x:c>
      <x:c r="AE645" s="8" t="n">
        <x:f>IF(H645=1,MAX(1,MIN(INDEX(tun_Smax,G645),AE644+AD645)),AE644)</x:f>
        <x:v>9</x:v>
      </x:c>
      <x:c r="AF645" s="8" t="n">
        <x:f>MAX(0,AE645-AE644)</x:f>
        <x:v>0</x:v>
      </x:c>
      <x:c r="AG645" s="9" t="str">
        <x:f>IF(AF645&gt;0,B645,"")</x:f>
      </x:c>
      <x:c r="AH645" s="9" t="n">
        <x:f>IF(F645&gt;=1,1,(1+tun_LowTiesShare*(AE645-1))/AE645)</x:f>
        <x:v>1</x:v>
      </x:c>
      <x:c r="AI645" s="32" t="n">
        <x:f>(Z645+tun_ElderCommons*INDEX(LM_Elder,G645)*AA645)*AH645</x:f>
        <x:v>126166.46454575396</x:v>
      </x:c>
      <x:c r="AJ645" s="32" t="n">
        <x:f>H645*tun_CommonsCoef*AI645^tun_CommonsExp*INDEX(LM_Commons,G645)</x:f>
        <x:v>465363.5690347517</x:v>
      </x:c>
      <x:c r="AK645" s="32" t="n">
        <x:f>H645*tun_RoleScale*Arch_Roles*(AE645*(INDEX(tun_ElderRolePerSett,G645)*tun_OutElder*INDEX(LM_Elder,G645)+INDEX(tun_ShamanPerSett,G645)*tun_OutShaman)+Z645*(INDEX(tun_PriestShare,G645)*tun_OutPriest+INDEX(tun_ScribeShare,G645)*tun_OutScribe*INDEX(LM_Scribe,G645)+INDEX(tun_ScholarShare,G645)*tun_OutScholar*INDEX(LM_Scholar,G645)+INDEX(tun_ResearcherShare,G645)*tun_OutResearcher*INDEX(LM_Researcher,G645)))</x:f>
        <x:v>153829.28493471086</x:v>
      </x:c>
      <x:c r="AL645" s="32" t="n">
        <x:f>H645*tun_RoleScale*Arch_Roles*AE645*INDEX(tun_MonasteryPerSett,G645)*tun_OutMonastery*INDEX(LM_Monastery,G645)</x:f>
        <x:v>15.840000000000002</x:v>
      </x:c>
      <x:c r="AM645" s="32" t="n">
        <x:f>(AJ645+AK645+AL645)/4*INDEX(LM_All,G645)*INDEX(tun_Boon,G645)*Arch_Insight</x:f>
        <x:v>536217.6517832463</x:v>
      </x:c>
      <x:c r="AN645" s="32" t="n">
        <x:f>H645*(tun_KHPerAdult*Z645+tun_KHOfCommons*AJ645/4*INDEX(LM_All,G645))*tun_KHUsable*Arch_KH</x:f>
        <x:v>79058.34860740084</x:v>
      </x:c>
      <x:c r="AO645" s="32" t="n">
        <x:f>MIN(AP644+AN645,AM645*tun_KHMaxRatio)</x:f>
        <x:v>79058.34860740084</x:v>
      </x:c>
      <x:c r="AP645" s="32" t="n">
        <x:f>AP644+AN645-AO645</x:f>
        <x:v>0</x:v>
      </x:c>
      <x:c r="AQ645" s="32" t="n">
        <x:f>AM645+AO645</x:f>
        <x:v>615276.0003906472</x:v>
      </x:c>
      <x:c r="AR645" s="10" t="n">
        <x:f>IF(H645=1,INDEX(tun_Req,G645),0)</x:f>
        <x:v>125406521.7009086</x:v>
      </x:c>
      <x:c r="AS645" s="32" t="n">
        <x:f>IF(H645=1,IF(E645=1,AS644-AR644,AS644)+AQ645,0)</x:f>
        <x:v>10585624.808948483</x:v>
      </x:c>
      <x:c r="AT645" s="11" t="n">
        <x:f>IF(AR645&gt;0,MIN(1,AS645/AR645),1)</x:f>
        <x:v>0.08441048093331965</x:v>
      </x:c>
      <x:c r="AU645" s="10" t="n">
        <x:f>AB645/INDEX(tun_RepScale,G645)</x:f>
        <x:v>198.80848769201492</x:v>
      </x:c>
      <x:c r="AV645" s="32" t="n">
        <x:f>AM645*60/tun_SeasonSeconds</x:f>
        <x:v>2144870.6071329853</x:v>
      </x:c>
    </x:row>
    <x:row r="646">
      <x:c r="A646" s="8" t="n">
        <x:f>A645+1</x:f>
        <x:v>643</x:v>
      </x:c>
      <x:c r="B646" s="9" t="n">
        <x:f>A646*tun_SeasonSeconds/60</x:f>
        <x:v>160.75</x:v>
      </x:c>
      <x:c r="C646" s="9" t="n">
        <x:f>A646/4</x:f>
        <x:v>160.75</x:v>
      </x:c>
      <x:c r="D646" s="8" t="n">
        <x:f>IF(MOD(A646,4)=0,1,0)</x:f>
        <x:v>0</x:v>
      </x:c>
      <x:c r="E646" s="8" t="n">
        <x:f>IF(AND(F645&lt;=9,AS645&gt;=AR645),1,0)</x:f>
        <x:v>0</x:v>
      </x:c>
      <x:c r="F646" s="8" t="n">
        <x:f>MIN(10,F645+E646)</x:f>
        <x:v>9</x:v>
      </x:c>
      <x:c r="G646" s="8" t="n">
        <x:f>MIN(F646,9)+1</x:f>
        <x:v>10</x:v>
      </x:c>
      <x:c r="H646" s="8" t="n">
        <x:f>IF(F646&lt;=9,1,0)</x:f>
        <x:v>1</x:v>
      </x:c>
      <x:c r="I646" s="9" t="n">
        <x:f>MIN(10,F645+IF(AR645&gt;0,MIN(1,AS645/AR645),1))</x:f>
        <x:v>9.08441048093332</x:v>
      </x:c>
      <x:c r="J646" s="32" t="n">
        <x:f>INDEX(tun_FoodCap,G646)*Arch_FoodCap*EXP(tun_CapsByProject*SUMPRODUCT((Cap_Point&lt;=I646)*(Cap_Kind="Food")*Cap_Ln))</x:f>
        <x:v>13863.877308233004</x:v>
      </x:c>
      <x:c r="K646" s="32" t="n">
        <x:f>J646*MIN(1,tun_LeanBase*EXP(tun_CapsByProject*SUMPRODUCT((Cap_Point&lt;=I646)*(Cap_Kind="Lean")*Cap_Ln)))</x:f>
        <x:v>13863.877308233004</x:v>
      </x:c>
      <x:c r="L646" s="10" t="n">
        <x:f>INDEX(tun_HousingCap,G646)*EXP(tun_CapsByProject*SUMPRODUCT((Cap_Point&lt;=I646)*(Cap_Kind="Housing")*Cap_Ln))</x:f>
        <x:v>12514.86067705494</x:v>
      </x:c>
      <x:c r="M646" s="10" t="n">
        <x:f>INDEX(tun_GroupCap,G646)*tun_CohesionFactor*EXP(tun_CapsByProject*SUMPRODUCT((Cap_Point&lt;=I646)*(Cap_Kind="Group")*Cap_Ln))</x:f>
        <x:v>1000000.000000001</x:v>
      </x:c>
      <x:c r="N646" s="32" t="n">
        <x:f>MIN(J646,L646,M646)</x:f>
        <x:v>12514.86067705494</x:v>
      </x:c>
      <x:c r="O646" s="10" t="n">
        <x:f>AE645*N646</x:f>
        <x:v>112633.74609349445</x:v>
      </x:c>
      <x:c r="P646" s="9" t="n">
        <x:f>MIN(1,(AB645/(AE645*IF(tun_GroupInCrowding=1,N646,MIN(J646,L646))))^tun_CrowdingExp)</x:f>
        <x:v>0.4725180301095975</x:v>
      </x:c>
      <x:c r="Q646" s="9" t="n">
        <x:f>IF(D646=1,INDEX(tun_WinterMult,G646),1)</x:f>
        <x:v>1</x:v>
      </x:c>
      <x:c r="R646" s="9" t="n">
        <x:f>H646*Z645*tun_WomenShare*tun_BaseFertility*INDEX(tun_FertMult,G646)*Arch_Fertility*(1-P646)</x:f>
        <x:v>511.7324713162713</x:v>
      </x:c>
      <x:c r="S646" s="9" t="n">
        <x:f>H646*Y645*INDEX(tun_MortChild,G646)/4*Q646</x:f>
        <x:v>7.992987714203276</x:v>
      </x:c>
      <x:c r="T646" s="9" t="n">
        <x:f>H646*Z645*INDEX(tun_MortAdult,G646)*Arch_AdultMort/4*Q646</x:f>
        <x:v>15.99135346340842</x:v>
      </x:c>
      <x:c r="U646" s="9" t="n">
        <x:f>H646*AA645*INDEX(tun_MortElder,G646)/4*Q646</x:f>
        <x:v>143.3446521931005</x:v>
      </x:c>
      <x:c r="V646" s="9" t="n">
        <x:f>H646*MAX(0,AB645-O646)*tun_OvercapLoss</x:f>
        <x:v>0</x:v>
      </x:c>
      <x:c r="W646" s="9" t="n">
        <x:f>H646*Y645/(tun_ChildYears*4)</x:f>
        <x:v>634.3641043018473</x:v>
      </x:c>
      <x:c r="X646" s="9" t="n">
        <x:f>H646*Z645/(tun_AdultYears*4)</x:f>
        <x:v>343.9000744819015</x:v>
      </x:c>
      <x:c r="Y646" s="32" t="n">
        <x:f>Y645+R646-S646-W646-Y645*V646/AB645</x:f>
        <x:v>35393.76522020367</x:v>
      </x:c>
      <x:c r="Z646" s="32" t="n">
        <x:f>Z645+W646-X646-T646-Z645*V646/AB645</x:f>
        <x:v>42918.08191211233</x:v>
      </x:c>
      <x:c r="AA646" s="32" t="n">
        <x:f>AA645+X646-U646-AA645*V646/AB645</x:f>
        <x:v>21436.800191637023</x:v>
      </x:c>
      <x:c r="AB646" s="10" t="n">
        <x:f>Y646+Z646+AA646</x:f>
        <x:v>99748.64732395303</x:v>
      </x:c>
      <x:c r="AC646" s="8" t="n">
        <x:f>IF(AND(tun_WinterTrigger=1,D646=1,AB645/AE645&gt;=K646),1,0)</x:f>
        <x:v>0</x:v>
      </x:c>
      <x:c r="AD646" s="8" t="n">
        <x:f>H646*IF(AND(OR(AB645/AE645&gt;=tun_FissionTrigger*N646,AC646=1),AB645/AE645*tun_DaughterShare&gt;=tun_MinDaughter),MAX(1,ROUND(AE645*tun_FissionRate,0)),0)</x:f>
        <x:v>3</x:v>
      </x:c>
      <x:c r="AE646" s="8" t="n">
        <x:f>IF(H646=1,MAX(1,MIN(INDEX(tun_Smax,G646),AE645+AD646)),AE645)</x:f>
        <x:v>9</x:v>
      </x:c>
      <x:c r="AF646" s="8" t="n">
        <x:f>MAX(0,AE646-AE645)</x:f>
        <x:v>0</x:v>
      </x:c>
      <x:c r="AG646" s="9" t="str">
        <x:f>IF(AF646&gt;0,B646,"")</x:f>
      </x:c>
      <x:c r="AH646" s="9" t="n">
        <x:f>IF(F646&gt;=1,1,(1+tun_LowTiesShare*(AE646-1))/AE646)</x:f>
        <x:v>1</x:v>
      </x:c>
      <x:c r="AI646" s="32" t="n">
        <x:f>(Z646+tun_ElderCommons*INDEX(LM_Elder,G646)*AA646)*AH646</x:f>
        <x:v>127229.72835252926</x:v>
      </x:c>
      <x:c r="AJ646" s="32" t="n">
        <x:f>H646*tun_CommonsCoef*AI646^tun_CommonsExp*INDEX(LM_Commons,G646)</x:f>
        <x:v>468695.02978604776</x:v>
      </x:c>
      <x:c r="AK646" s="32" t="n">
        <x:f>H646*tun_RoleScale*Arch_Roles*(AE646*(INDEX(tun_ElderRolePerSett,G646)*tun_OutElder*INDEX(LM_Elder,G646)+INDEX(tun_ShamanPerSett,G646)*tun_OutShaman)+Z646*(INDEX(tun_PriestShare,G646)*tun_OutPriest+INDEX(tun_ScribeShare,G646)*tun_OutScribe*INDEX(LM_Scribe,G646)+INDEX(tun_ScholarShare,G646)*tun_OutScholar*INDEX(LM_Scholar,G646)+INDEX(tun_ResearcherShare,G646)*tun_OutResearcher*INDEX(LM_Researcher,G646)))</x:f>
        <x:v>154817.79014989545</x:v>
      </x:c>
      <x:c r="AL646" s="32" t="n">
        <x:f>H646*tun_RoleScale*Arch_Roles*AE646*INDEX(tun_MonasteryPerSett,G646)*tun_OutMonastery*INDEX(LM_Monastery,G646)</x:f>
        <x:v>15.840000000000002</x:v>
      </x:c>
      <x:c r="AM646" s="32" t="n">
        <x:f>(AJ646+AK646+AL646)/4*INDEX(LM_All,G646)*INDEX(tun_Boon,G646)*Arch_Insight</x:f>
        <x:v>539958.6231696139</x:v>
      </x:c>
      <x:c r="AN646" s="32" t="n">
        <x:f>H646*(tun_KHPerAdult*Z646+tun_KHOfCommons*AJ646/4*INDEX(LM_All,G646))*tun_KHUsable*Arch_KH</x:f>
        <x:v>79624.314237229</x:v>
      </x:c>
      <x:c r="AO646" s="32" t="n">
        <x:f>MIN(AP645+AN646,AM646*tun_KHMaxRatio)</x:f>
        <x:v>79624.314237229</x:v>
      </x:c>
      <x:c r="AP646" s="32" t="n">
        <x:f>AP645+AN646-AO646</x:f>
        <x:v>0</x:v>
      </x:c>
      <x:c r="AQ646" s="32" t="n">
        <x:f>AM646+AO646</x:f>
        <x:v>619582.9374068428</x:v>
      </x:c>
      <x:c r="AR646" s="10" t="n">
        <x:f>IF(H646=1,INDEX(tun_Req,G646),0)</x:f>
        <x:v>125406521.7009086</x:v>
      </x:c>
      <x:c r="AS646" s="32" t="n">
        <x:f>IF(H646=1,IF(E646=1,AS645-AR645,AS645)+AQ646,0)</x:f>
        <x:v>11205207.746355327</x:v>
      </x:c>
      <x:c r="AT646" s="11" t="n">
        <x:f>IF(AR646&gt;0,MIN(1,AS646/AR646),1)</x:f>
        <x:v>0.0893510767572317</x:v>
      </x:c>
      <x:c r="AU646" s="10" t="n">
        <x:f>AB646/INDEX(tun_RepScale,G646)</x:f>
        <x:v>199.49729464790607</x:v>
      </x:c>
      <x:c r="AV646" s="32" t="n">
        <x:f>AM646*60/tun_SeasonSeconds</x:f>
        <x:v>2159834.4926784555</x:v>
      </x:c>
    </x:row>
    <x:row r="647">
      <x:c r="A647" s="8" t="n">
        <x:f>A646+1</x:f>
        <x:v>644</x:v>
      </x:c>
      <x:c r="B647" s="9" t="n">
        <x:f>A647*tun_SeasonSeconds/60</x:f>
        <x:v>161</x:v>
      </x:c>
      <x:c r="C647" s="9" t="n">
        <x:f>A647/4</x:f>
        <x:v>161</x:v>
      </x:c>
      <x:c r="D647" s="8" t="n">
        <x:f>IF(MOD(A647,4)=0,1,0)</x:f>
        <x:v>1</x:v>
      </x:c>
      <x:c r="E647" s="8" t="n">
        <x:f>IF(AND(F646&lt;=9,AS646&gt;=AR646),1,0)</x:f>
        <x:v>0</x:v>
      </x:c>
      <x:c r="F647" s="8" t="n">
        <x:f>MIN(10,F646+E647)</x:f>
        <x:v>9</x:v>
      </x:c>
      <x:c r="G647" s="8" t="n">
        <x:f>MIN(F647,9)+1</x:f>
        <x:v>10</x:v>
      </x:c>
      <x:c r="H647" s="8" t="n">
        <x:f>IF(F647&lt;=9,1,0)</x:f>
        <x:v>1</x:v>
      </x:c>
      <x:c r="I647" s="9" t="n">
        <x:f>MIN(10,F646+IF(AR646&gt;0,MIN(1,AS646/AR646),1))</x:f>
        <x:v>9.089351076757232</x:v>
      </x:c>
      <x:c r="J647" s="32" t="n">
        <x:f>INDEX(tun_FoodCap,G647)*Arch_FoodCap*EXP(tun_CapsByProject*SUMPRODUCT((Cap_Point&lt;=I647)*(Cap_Kind="Food")*Cap_Ln))</x:f>
        <x:v>13863.877308233004</x:v>
      </x:c>
      <x:c r="K647" s="32" t="n">
        <x:f>J647*MIN(1,tun_LeanBase*EXP(tun_CapsByProject*SUMPRODUCT((Cap_Point&lt;=I647)*(Cap_Kind="Lean")*Cap_Ln)))</x:f>
        <x:v>13863.877308233004</x:v>
      </x:c>
      <x:c r="L647" s="10" t="n">
        <x:f>INDEX(tun_HousingCap,G647)*EXP(tun_CapsByProject*SUMPRODUCT((Cap_Point&lt;=I647)*(Cap_Kind="Housing")*Cap_Ln))</x:f>
        <x:v>12514.86067705494</x:v>
      </x:c>
      <x:c r="M647" s="10" t="n">
        <x:f>INDEX(tun_GroupCap,G647)*tun_CohesionFactor*EXP(tun_CapsByProject*SUMPRODUCT((Cap_Point&lt;=I647)*(Cap_Kind="Group")*Cap_Ln))</x:f>
        <x:v>1000000.000000001</x:v>
      </x:c>
      <x:c r="N647" s="32" t="n">
        <x:f>MIN(J647,L647,M647)</x:f>
        <x:v>12514.86067705494</x:v>
      </x:c>
      <x:c r="O647" s="10" t="n">
        <x:f>AE646*N647</x:f>
        <x:v>112633.74609349445</x:v>
      </x:c>
      <x:c r="P647" s="9" t="n">
        <x:f>MIN(1,(AB646/(AE646*IF(tun_GroupInCrowding=1,N647,MIN(J647,L647))))^tun_CrowdingExp)</x:f>
        <x:v>0.48242623631549897</x:v>
      </x:c>
      <x:c r="Q647" s="9" t="n">
        <x:f>IF(D647=1,INDEX(tun_WinterMult,G647),1)</x:f>
        <x:v>1.05</x:v>
      </x:c>
      <x:c r="R647" s="9" t="n">
        <x:f>H647*Z646*tun_WomenShare*tun_BaseFertility*INDEX(tun_FertMult,G647)*Arch_Fertility*(1-P647)</x:f>
        <x:v>505.35196496720584</x:v>
      </x:c>
      <x:c r="S647" s="9" t="n">
        <x:f>H647*Y646*INDEX(tun_MortChild,G647)/4*Q647</x:f>
        <x:v>8.361777033273118</x:v>
      </x:c>
      <x:c r="T647" s="9" t="n">
        <x:f>H647*Z646*INDEX(tun_MortAdult,G647)*Arch_AdultMort/4*Q647</x:f>
        <x:v>16.898994752894232</x:v>
      </x:c>
      <x:c r="U647" s="9" t="n">
        <x:f>H647*AA646*INDEX(tun_MortElder,G647)/4*Q647</x:f>
        <x:v>151.9333213582274</x:v>
      </x:c>
      <x:c r="V647" s="9" t="n">
        <x:f>H647*MAX(0,AB646-O647)*tun_OvercapLoss</x:f>
        <x:v>0</x:v>
      </x:c>
      <x:c r="W647" s="9" t="n">
        <x:f>H647*Y646/(tun_ChildYears*4)</x:f>
        <x:v>632.0315217893512</x:v>
      </x:c>
      <x:c r="X647" s="9" t="n">
        <x:f>H647*Z646/(tun_AdultYears*4)</x:f>
        <x:v>346.1135638073575</x:v>
      </x:c>
      <x:c r="Y647" s="32" t="n">
        <x:f>Y646+R647-S647-W647-Y646*V647/AB646</x:f>
        <x:v>35258.723886348256</x:v>
      </x:c>
      <x:c r="Z647" s="32" t="n">
        <x:f>Z646+W647-X647-T647-Z646*V647/AB646</x:f>
        <x:v>43187.10087534142</x:v>
      </x:c>
      <x:c r="AA647" s="32" t="n">
        <x:f>AA646+X647-U647-AA646*V647/AB646</x:f>
        <x:v>21630.980434086152</x:v>
      </x:c>
      <x:c r="AB647" s="10" t="n">
        <x:f>Y647+Z647+AA647</x:f>
        <x:v>100076.80519577581</x:v>
      </x:c>
      <x:c r="AC647" s="8" t="n">
        <x:f>IF(AND(tun_WinterTrigger=1,D647=1,AB646/AE646&gt;=K647),1,0)</x:f>
        <x:v>0</x:v>
      </x:c>
      <x:c r="AD647" s="8" t="n">
        <x:f>H647*IF(AND(OR(AB646/AE646&gt;=tun_FissionTrigger*N647,AC647=1),AB646/AE646*tun_DaughterShare&gt;=tun_MinDaughter),MAX(1,ROUND(AE646*tun_FissionRate,0)),0)</x:f>
        <x:v>3</x:v>
      </x:c>
      <x:c r="AE647" s="8" t="n">
        <x:f>IF(H647=1,MAX(1,MIN(INDEX(tun_Smax,G647),AE646+AD647)),AE646)</x:f>
        <x:v>9</x:v>
      </x:c>
      <x:c r="AF647" s="8" t="n">
        <x:f>MAX(0,AE647-AE646)</x:f>
        <x:v>0</x:v>
      </x:c>
      <x:c r="AG647" s="9" t="str">
        <x:f>IF(AF647&gt;0,B647,"")</x:f>
      </x:c>
      <x:c r="AH647" s="9" t="n">
        <x:f>IF(F647&gt;=1,1,(1+tun_LowTiesShare*(AE647-1))/AE647)</x:f>
        <x:v>1</x:v>
      </x:c>
      <x:c r="AI647" s="32" t="n">
        <x:f>(Z647+tun_ElderCommons*INDEX(LM_Elder,G647)*AA647)*AH647</x:f>
        <x:v>128262.46465233511</x:v>
      </x:c>
      <x:c r="AJ647" s="32" t="n">
        <x:f>H647*tun_CommonsCoef*AI647^tun_CommonsExp*INDEX(LM_Commons,G647)</x:f>
        <x:v>471926.8445791424</x:v>
      </x:c>
      <x:c r="AK647" s="32" t="n">
        <x:f>H647*tun_RoleScale*Arch_Roles*(AE647*(INDEX(tun_ElderRolePerSett,G647)*tun_OutElder*INDEX(LM_Elder,G647)+INDEX(tun_ShamanPerSett,G647)*tun_OutShaman)+Z647*(INDEX(tun_PriestShare,G647)*tun_OutPriest+INDEX(tun_ScribeShare,G647)*tun_OutScribe*INDEX(LM_Scribe,G647)+INDEX(tun_ScholarShare,G647)*tun_OutScholar*INDEX(LM_Scholar,G647)+INDEX(tun_ResearcherShare,G647)*tun_OutResearcher*INDEX(LM_Researcher,G647)))</x:f>
        <x:v>155786.6539787673</x:v>
      </x:c>
      <x:c r="AL647" s="32" t="n">
        <x:f>H647*tun_RoleScale*Arch_Roles*AE647*INDEX(tun_MonasteryPerSett,G647)*tun_OutMonastery*INDEX(LM_Monastery,G647)</x:f>
        <x:v>15.840000000000002</x:v>
      </x:c>
      <x:c r="AM647" s="32" t="n">
        <x:f>(AJ647+AK647+AL647)/4*INDEX(LM_All,G647)*INDEX(tun_Boon,G647)*Arch_Insight</x:f>
        <x:v>543596.2950054652</x:v>
      </x:c>
      <x:c r="AN647" s="32" t="n">
        <x:f>H647*(tun_KHPerAdult*Z647+tun_KHOfCommons*AJ647/4*INDEX(LM_All,G647))*tun_KHUsable*Arch_KH</x:f>
        <x:v>80173.35150088287</x:v>
      </x:c>
      <x:c r="AO647" s="32" t="n">
        <x:f>MIN(AP646+AN647,AM647*tun_KHMaxRatio)</x:f>
        <x:v>80173.35150088287</x:v>
      </x:c>
      <x:c r="AP647" s="32" t="n">
        <x:f>AP646+AN647-AO647</x:f>
        <x:v>0</x:v>
      </x:c>
      <x:c r="AQ647" s="32" t="n">
        <x:f>AM647+AO647</x:f>
        <x:v>623769.646506348</x:v>
      </x:c>
      <x:c r="AR647" s="10" t="n">
        <x:f>IF(H647=1,INDEX(tun_Req,G647),0)</x:f>
        <x:v>125406521.7009086</x:v>
      </x:c>
      <x:c r="AS647" s="32" t="n">
        <x:f>IF(H647=1,IF(E647=1,AS646-AR646,AS646)+AQ647,0)</x:f>
        <x:v>11828977.392861675</x:v>
      </x:c>
      <x:c r="AT647" s="11" t="n">
        <x:f>IF(AR647&gt;0,MIN(1,AS647/AR647),1)</x:f>
        <x:v>0.09432505767980304</x:v>
      </x:c>
      <x:c r="AU647" s="10" t="n">
        <x:f>AB647/INDEX(tun_RepScale,G647)</x:f>
        <x:v>200.15361039155164</x:v>
      </x:c>
      <x:c r="AV647" s="32" t="n">
        <x:f>AM647*60/tun_SeasonSeconds</x:f>
        <x:v>2174385.1800218606</x:v>
      </x:c>
    </x:row>
    <x:row r="648">
      <x:c r="A648" s="8" t="n">
        <x:f>A647+1</x:f>
        <x:v>645</x:v>
      </x:c>
      <x:c r="B648" s="9" t="n">
        <x:f>A648*tun_SeasonSeconds/60</x:f>
        <x:v>161.25</x:v>
      </x:c>
      <x:c r="C648" s="9" t="n">
        <x:f>A648/4</x:f>
        <x:v>161.25</x:v>
      </x:c>
      <x:c r="D648" s="8" t="n">
        <x:f>IF(MOD(A648,4)=0,1,0)</x:f>
        <x:v>0</x:v>
      </x:c>
      <x:c r="E648" s="8" t="n">
        <x:f>IF(AND(F647&lt;=9,AS647&gt;=AR647),1,0)</x:f>
        <x:v>0</x:v>
      </x:c>
      <x:c r="F648" s="8" t="n">
        <x:f>MIN(10,F647+E648)</x:f>
        <x:v>9</x:v>
      </x:c>
      <x:c r="G648" s="8" t="n">
        <x:f>MIN(F648,9)+1</x:f>
        <x:v>10</x:v>
      </x:c>
      <x:c r="H648" s="8" t="n">
        <x:f>IF(F648&lt;=9,1,0)</x:f>
        <x:v>1</x:v>
      </x:c>
      <x:c r="I648" s="9" t="n">
        <x:f>MIN(10,F647+IF(AR647&gt;0,MIN(1,AS647/AR647),1))</x:f>
        <x:v>9.094325057679804</x:v>
      </x:c>
      <x:c r="J648" s="32" t="n">
        <x:f>INDEX(tun_FoodCap,G648)*Arch_FoodCap*EXP(tun_CapsByProject*SUMPRODUCT((Cap_Point&lt;=I648)*(Cap_Kind="Food")*Cap_Ln))</x:f>
        <x:v>13863.877308233004</x:v>
      </x:c>
      <x:c r="K648" s="32" t="n">
        <x:f>J648*MIN(1,tun_LeanBase*EXP(tun_CapsByProject*SUMPRODUCT((Cap_Point&lt;=I648)*(Cap_Kind="Lean")*Cap_Ln)))</x:f>
        <x:v>13863.877308233004</x:v>
      </x:c>
      <x:c r="L648" s="10" t="n">
        <x:f>INDEX(tun_HousingCap,G648)*EXP(tun_CapsByProject*SUMPRODUCT((Cap_Point&lt;=I648)*(Cap_Kind="Housing")*Cap_Ln))</x:f>
        <x:v>12514.86067705494</x:v>
      </x:c>
      <x:c r="M648" s="10" t="n">
        <x:f>INDEX(tun_GroupCap,G648)*tun_CohesionFactor*EXP(tun_CapsByProject*SUMPRODUCT((Cap_Point&lt;=I648)*(Cap_Kind="Group")*Cap_Ln))</x:f>
        <x:v>1000000.000000001</x:v>
      </x:c>
      <x:c r="N648" s="32" t="n">
        <x:f>MIN(J648,L648,M648)</x:f>
        <x:v>12514.86067705494</x:v>
      </x:c>
      <x:c r="O648" s="10" t="n">
        <x:f>AE647*N648</x:f>
        <x:v>112633.74609349445</x:v>
      </x:c>
      <x:c r="P648" s="9" t="n">
        <x:f>MIN(1,(AB647/(AE647*IF(tun_GroupInCrowding=1,N648,MIN(J648,L648))))^tun_CrowdingExp)</x:f>
        <x:v>0.4920275543808842</x:v>
      </x:c>
      <x:c r="Q648" s="9" t="n">
        <x:f>IF(D648=1,INDEX(tun_WinterMult,G648),1)</x:f>
        <x:v>1</x:v>
      </x:c>
      <x:c r="R648" s="9" t="n">
        <x:f>H648*Z647*tun_WomenShare*tun_BaseFertility*INDEX(tun_FertMult,G648)*Arch_Fertility*(1-P648)</x:f>
        <x:v>499.086252456761</x:v>
      </x:c>
      <x:c r="S648" s="9" t="n">
        <x:f>H648*Y647*INDEX(tun_MortChild,G648)/4*Q648</x:f>
        <x:v>7.933212874428357</x:v>
      </x:c>
      <x:c r="T648" s="9" t="n">
        <x:f>H648*Z647*INDEX(tun_MortAdult,G648)*Arch_AdultMort/4*Q648</x:f>
        <x:v>16.195162828253032</x:v>
      </x:c>
      <x:c r="U648" s="9" t="n">
        <x:f>H648*AA647*INDEX(tun_MortElder,G648)/4*Q648</x:f>
        <x:v>146.00911793008152</x:v>
      </x:c>
      <x:c r="V648" s="9" t="n">
        <x:f>H648*MAX(0,AB647-O648)*tun_OvercapLoss</x:f>
        <x:v>0</x:v>
      </x:c>
      <x:c r="W648" s="9" t="n">
        <x:f>H648*Y647/(tun_ChildYears*4)</x:f>
        <x:v>629.620069399076</x:v>
      </x:c>
      <x:c r="X648" s="9" t="n">
        <x:f>H648*Z647/(tun_AdultYears*4)</x:f>
        <x:v>348.283071575334</x:v>
      </x:c>
      <x:c r="Y648" s="32" t="n">
        <x:f>Y647+R648-S648-W648-Y647*V648/AB647</x:f>
        <x:v>35120.256856531516</x:v>
      </x:c>
      <x:c r="Z648" s="32" t="n">
        <x:f>Z647+W648-X648-T648-Z647*V648/AB647</x:f>
        <x:v>43452.242710336905</x:v>
      </x:c>
      <x:c r="AA648" s="32" t="n">
        <x:f>AA647+X648-U648-AA647*V648/AB647</x:f>
        <x:v>21833.254387731406</x:v>
      </x:c>
      <x:c r="AB648" s="10" t="n">
        <x:f>Y648+Z648+AA648</x:f>
        <x:v>100405.75395459982</x:v>
      </x:c>
      <x:c r="AC648" s="8" t="n">
        <x:f>IF(AND(tun_WinterTrigger=1,D648=1,AB647/AE647&gt;=K648),1,0)</x:f>
        <x:v>0</x:v>
      </x:c>
      <x:c r="AD648" s="8" t="n">
        <x:f>H648*IF(AND(OR(AB647/AE647&gt;=tun_FissionTrigger*N648,AC648=1),AB647/AE647*tun_DaughterShare&gt;=tun_MinDaughter),MAX(1,ROUND(AE647*tun_FissionRate,0)),0)</x:f>
        <x:v>3</x:v>
      </x:c>
      <x:c r="AE648" s="8" t="n">
        <x:f>IF(H648=1,MAX(1,MIN(INDEX(tun_Smax,G648),AE647+AD648)),AE647)</x:f>
        <x:v>9</x:v>
      </x:c>
      <x:c r="AF648" s="8" t="n">
        <x:f>MAX(0,AE648-AE647)</x:f>
        <x:v>0</x:v>
      </x:c>
      <x:c r="AG648" s="9" t="str">
        <x:f>IF(AF648&gt;0,B648,"")</x:f>
      </x:c>
      <x:c r="AH648" s="9" t="n">
        <x:f>IF(F648&gt;=1,1,(1+tun_LowTiesShare*(AE648-1))/AE648)</x:f>
        <x:v>1</x:v>
      </x:c>
      <x:c r="AI648" s="32" t="n">
        <x:f>(Z648+tun_ElderCommons*INDEX(LM_Elder,G648)*AA648)*AH648</x:f>
        <x:v>129323.15665859621</x:v>
      </x:c>
      <x:c r="AJ648" s="32" t="n">
        <x:f>H648*tun_CommonsCoef*AI648^tun_CommonsExp*INDEX(LM_Commons,G648)</x:f>
        <x:v>475242.08270600805</x:v>
      </x:c>
      <x:c r="AK648" s="32" t="n">
        <x:f>H648*tun_RoleScale*Arch_Roles*(AE648*(INDEX(tun_ElderRolePerSett,G648)*tun_OutElder*INDEX(LM_Elder,G648)+INDEX(tun_ShamanPerSett,G648)*tun_OutShaman)+Z648*(INDEX(tun_PriestShare,G648)*tun_OutPriest+INDEX(tun_ScribeShare,G648)*tun_OutScribe*INDEX(LM_Scribe,G648)+INDEX(tun_ScholarShare,G648)*tun_OutScholar*INDEX(LM_Scholar,G648)+INDEX(tun_ResearcherShare,G648)*tun_OutResearcher*INDEX(LM_Researcher,G648)))</x:f>
        <x:v>156741.55444512988</x:v>
      </x:c>
      <x:c r="AL648" s="32" t="n">
        <x:f>H648*tun_RoleScale*Arch_Roles*AE648*INDEX(tun_MonasteryPerSett,G648)*tun_OutMonastery*INDEX(LM_Monastery,G648)</x:f>
        <x:v>15.840000000000002</x:v>
      </x:c>
      <x:c r="AM648" s="32" t="n">
        <x:f>(AJ648+AK648+AL648)/4*INDEX(LM_All,G648)*INDEX(tun_Boon,G648)*Arch_Insight</x:f>
        <x:v>547294.1172607882</x:v>
      </x:c>
      <x:c r="AN648" s="32" t="n">
        <x:f>H648*(tun_KHPerAdult*Z648+tun_KHOfCommons*AJ648/4*INDEX(LM_All,G648))*tun_KHUsable*Arch_KH</x:f>
        <x:v>80736.56114811402</x:v>
      </x:c>
      <x:c r="AO648" s="32" t="n">
        <x:f>MIN(AP647+AN648,AM648*tun_KHMaxRatio)</x:f>
        <x:v>80736.56114811402</x:v>
      </x:c>
      <x:c r="AP648" s="32" t="n">
        <x:f>AP647+AN648-AO648</x:f>
        <x:v>0</x:v>
      </x:c>
      <x:c r="AQ648" s="32" t="n">
        <x:f>AM648+AO648</x:f>
        <x:v>628030.6784089023</x:v>
      </x:c>
      <x:c r="AR648" s="10" t="n">
        <x:f>IF(H648=1,INDEX(tun_Req,G648),0)</x:f>
        <x:v>125406521.7009086</x:v>
      </x:c>
      <x:c r="AS648" s="32" t="n">
        <x:f>IF(H648=1,IF(E648=1,AS647-AR647,AS647)+AQ648,0)</x:f>
        <x:v>12457008.071270578</x:v>
      </x:c>
      <x:c r="AT648" s="11" t="n">
        <x:f>IF(AR648&gt;0,MIN(1,AS648/AR648),1)</x:f>
        <x:v>0.09933301635604111</x:v>
      </x:c>
      <x:c r="AU648" s="10" t="n">
        <x:f>AB648/INDEX(tun_RepScale,G648)</x:f>
        <x:v>200.81150790919963</x:v>
      </x:c>
      <x:c r="AV648" s="32" t="n">
        <x:f>AM648*60/tun_SeasonSeconds</x:f>
        <x:v>2189176.469043153</x:v>
      </x:c>
    </x:row>
    <x:row r="649">
      <x:c r="A649" s="8" t="n">
        <x:f>A648+1</x:f>
        <x:v>646</x:v>
      </x:c>
      <x:c r="B649" s="9" t="n">
        <x:f>A649*tun_SeasonSeconds/60</x:f>
        <x:v>161.5</x:v>
      </x:c>
      <x:c r="C649" s="9" t="n">
        <x:f>A649/4</x:f>
        <x:v>161.5</x:v>
      </x:c>
      <x:c r="D649" s="8" t="n">
        <x:f>IF(MOD(A649,4)=0,1,0)</x:f>
        <x:v>0</x:v>
      </x:c>
      <x:c r="E649" s="8" t="n">
        <x:f>IF(AND(F648&lt;=9,AS648&gt;=AR648),1,0)</x:f>
        <x:v>0</x:v>
      </x:c>
      <x:c r="F649" s="8" t="n">
        <x:f>MIN(10,F648+E649)</x:f>
        <x:v>9</x:v>
      </x:c>
      <x:c r="G649" s="8" t="n">
        <x:f>MIN(F649,9)+1</x:f>
        <x:v>10</x:v>
      </x:c>
      <x:c r="H649" s="8" t="n">
        <x:f>IF(F649&lt;=9,1,0)</x:f>
        <x:v>1</x:v>
      </x:c>
      <x:c r="I649" s="9" t="n">
        <x:f>MIN(10,F648+IF(AR648&gt;0,MIN(1,AS648/AR648),1))</x:f>
        <x:v>9.099333016356042</x:v>
      </x:c>
      <x:c r="J649" s="32" t="n">
        <x:f>INDEX(tun_FoodCap,G649)*Arch_FoodCap*EXP(tun_CapsByProject*SUMPRODUCT((Cap_Point&lt;=I649)*(Cap_Kind="Food")*Cap_Ln))</x:f>
        <x:v>13863.877308233004</x:v>
      </x:c>
      <x:c r="K649" s="32" t="n">
        <x:f>J649*MIN(1,tun_LeanBase*EXP(tun_CapsByProject*SUMPRODUCT((Cap_Point&lt;=I649)*(Cap_Kind="Lean")*Cap_Ln)))</x:f>
        <x:v>13863.877308233004</x:v>
      </x:c>
      <x:c r="L649" s="10" t="n">
        <x:f>INDEX(tun_HousingCap,G649)*EXP(tun_CapsByProject*SUMPRODUCT((Cap_Point&lt;=I649)*(Cap_Kind="Housing")*Cap_Ln))</x:f>
        <x:v>12514.86067705494</x:v>
      </x:c>
      <x:c r="M649" s="10" t="n">
        <x:f>INDEX(tun_GroupCap,G649)*tun_CohesionFactor*EXP(tun_CapsByProject*SUMPRODUCT((Cap_Point&lt;=I649)*(Cap_Kind="Group")*Cap_Ln))</x:f>
        <x:v>1000000.000000001</x:v>
      </x:c>
      <x:c r="N649" s="32" t="n">
        <x:f>MIN(J649,L649,M649)</x:f>
        <x:v>12514.86067705494</x:v>
      </x:c>
      <x:c r="O649" s="10" t="n">
        <x:f>AE648*N649</x:f>
        <x:v>112633.74609349445</x:v>
      </x:c>
      <x:c r="P649" s="9" t="n">
        <x:f>MIN(1,(AB648/(AE648*IF(tun_GroupInCrowding=1,N649,MIN(J649,L649))))^tun_CrowdingExp)</x:f>
        <x:v>0.5018113019092829</x:v>
      </x:c>
      <x:c r="Q649" s="9" t="n">
        <x:f>IF(D649=1,INDEX(tun_WinterMult,G649),1)</x:f>
        <x:v>1</x:v>
      </x:c>
      <x:c r="R649" s="9" t="n">
        <x:f>H649*Z648*tun_WomenShare*tun_BaseFertility*INDEX(tun_FertMult,G649)*Arch_Fertility*(1-P649)</x:f>
        <x:v>492.4787191183995</x:v>
      </x:c>
      <x:c r="S649" s="9" t="n">
        <x:f>H649*Y648*INDEX(tun_MortChild,G649)/4*Q649</x:f>
        <x:v>7.9020577927195905</x:v>
      </x:c>
      <x:c r="T649" s="9" t="n">
        <x:f>H649*Z648*INDEX(tun_MortAdult,G649)*Arch_AdultMort/4*Q649</x:f>
        <x:v>16.29459101637634</x:v>
      </x:c>
      <x:c r="U649" s="9" t="n">
        <x:f>H649*AA648*INDEX(tun_MortElder,G649)/4*Q649</x:f>
        <x:v>147.37446711718698</x:v>
      </x:c>
      <x:c r="V649" s="9" t="n">
        <x:f>H649*MAX(0,AB648-O649)*tun_OvercapLoss</x:f>
        <x:v>0</x:v>
      </x:c>
      <x:c r="W649" s="9" t="n">
        <x:f>H649*Y648/(tun_ChildYears*4)</x:f>
        <x:v>627.1474438666343</x:v>
      </x:c>
      <x:c r="X649" s="9" t="n">
        <x:f>H649*Z648/(tun_AdultYears*4)</x:f>
        <x:v>350.42131218013634</x:v>
      </x:c>
      <x:c r="Y649" s="32" t="n">
        <x:f>Y648+R649-S649-W649-Y648*V649/AB648</x:f>
        <x:v>34977.68607399056</x:v>
      </x:c>
      <x:c r="Z649" s="32" t="n">
        <x:f>Z648+W649-X649-T649-Z648*V649/AB648</x:f>
        <x:v>43712.674251007025</x:v>
      </x:c>
      <x:c r="AA649" s="32" t="n">
        <x:f>AA648+X649-U649-AA648*V649/AB648</x:f>
        <x:v>22036.301232794354</x:v>
      </x:c>
      <x:c r="AB649" s="10" t="n">
        <x:f>Y649+Z649+AA649</x:f>
        <x:v>100726.66155779194</x:v>
      </x:c>
      <x:c r="AC649" s="8" t="n">
        <x:f>IF(AND(tun_WinterTrigger=1,D649=1,AB648/AE648&gt;=K649),1,0)</x:f>
        <x:v>0</x:v>
      </x:c>
      <x:c r="AD649" s="8" t="n">
        <x:f>H649*IF(AND(OR(AB648/AE648&gt;=tun_FissionTrigger*N649,AC649=1),AB648/AE648*tun_DaughterShare&gt;=tun_MinDaughter),MAX(1,ROUND(AE648*tun_FissionRate,0)),0)</x:f>
        <x:v>3</x:v>
      </x:c>
      <x:c r="AE649" s="8" t="n">
        <x:f>IF(H649=1,MAX(1,MIN(INDEX(tun_Smax,G649),AE648+AD649)),AE648)</x:f>
        <x:v>9</x:v>
      </x:c>
      <x:c r="AF649" s="8" t="n">
        <x:f>MAX(0,AE649-AE648)</x:f>
        <x:v>0</x:v>
      </x:c>
      <x:c r="AG649" s="9" t="str">
        <x:f>IF(AF649&gt;0,B649,"")</x:f>
      </x:c>
      <x:c r="AH649" s="9" t="n">
        <x:f>IF(F649&gt;=1,1,(1+tun_LowTiesShare*(AE649-1))/AE649)</x:f>
        <x:v>1</x:v>
      </x:c>
      <x:c r="AI649" s="32" t="n">
        <x:f>(Z649+tun_ElderCommons*INDEX(LM_Elder,G649)*AA649)*AH649</x:f>
        <x:v>130382.17817812279</x:v>
      </x:c>
      <x:c r="AJ649" s="32" t="n">
        <x:f>H649*tun_CommonsCoef*AI649^tun_CommonsExp*INDEX(LM_Commons,G649)</x:f>
        <x:v>478548.03304456646</x:v>
      </x:c>
      <x:c r="AK649" s="32" t="n">
        <x:f>H649*tun_RoleScale*Arch_Roles*(AE649*(INDEX(tun_ElderRolePerSett,G649)*tun_OutElder*INDEX(LM_Elder,G649)+INDEX(tun_ShamanPerSett,G649)*tun_OutShaman)+Z649*(INDEX(tun_PriestShare,G649)*tun_OutPriest+INDEX(tun_ScribeShare,G649)*tun_OutScribe*INDEX(LM_Scribe,G649)+INDEX(tun_ScholarShare,G649)*tun_OutScholar*INDEX(LM_Scholar,G649)+INDEX(tun_ResearcherShare,G649)*tun_OutResearcher*INDEX(LM_Researcher,G649)))</x:f>
        <x:v>157679.49092597855</x:v>
      </x:c>
      <x:c r="AL649" s="32" t="n">
        <x:f>H649*tun_RoleScale*Arch_Roles*AE649*INDEX(tun_MonasteryPerSett,G649)*tun_OutMonastery*INDEX(LM_Monastery,G649)</x:f>
        <x:v>15.840000000000002</x:v>
      </x:c>
      <x:c r="AM649" s="32" t="n">
        <x:f>(AJ649+AK649+AL649)/4*INDEX(LM_All,G649)*INDEX(tun_Boon,G649)*Arch_Insight</x:f>
        <x:v>550969.2062039815</x:v>
      </x:c>
      <x:c r="AN649" s="32" t="n">
        <x:f>H649*(tun_KHPerAdult*Z649+tun_KHOfCommons*AJ649/4*INDEX(LM_All,G649))*tun_KHUsable*Arch_KH</x:f>
        <x:v>81298.1929382574</x:v>
      </x:c>
      <x:c r="AO649" s="32" t="n">
        <x:f>MIN(AP648+AN649,AM649*tun_KHMaxRatio)</x:f>
        <x:v>81298.1929382574</x:v>
      </x:c>
      <x:c r="AP649" s="32" t="n">
        <x:f>AP648+AN649-AO649</x:f>
        <x:v>0</x:v>
      </x:c>
      <x:c r="AQ649" s="32" t="n">
        <x:f>AM649+AO649</x:f>
        <x:v>632267.3991422389</x:v>
      </x:c>
      <x:c r="AR649" s="10" t="n">
        <x:f>IF(H649=1,INDEX(tun_Req,G649),0)</x:f>
        <x:v>125406521.7009086</x:v>
      </x:c>
      <x:c r="AS649" s="32" t="n">
        <x:f>IF(H649=1,IF(E649=1,AS648-AR648,AS648)+AQ649,0)</x:f>
        <x:v>13089275.470412817</x:v>
      </x:c>
      <x:c r="AT649" s="11" t="n">
        <x:f>IF(AR649&gt;0,MIN(1,AS649/AR649),1)</x:f>
        <x:v>0.10437475892705492</x:v>
      </x:c>
      <x:c r="AU649" s="10" t="n">
        <x:f>AB649/INDEX(tun_RepScale,G649)</x:f>
        <x:v>201.45332311558388</x:v>
      </x:c>
      <x:c r="AV649" s="32" t="n">
        <x:f>AM649*60/tun_SeasonSeconds</x:f>
        <x:v>2203876.824815926</x:v>
      </x:c>
    </x:row>
    <x:row r="650">
      <x:c r="A650" s="8" t="n">
        <x:f>A649+1</x:f>
        <x:v>647</x:v>
      </x:c>
      <x:c r="B650" s="9" t="n">
        <x:f>A650*tun_SeasonSeconds/60</x:f>
        <x:v>161.75</x:v>
      </x:c>
      <x:c r="C650" s="9" t="n">
        <x:f>A650/4</x:f>
        <x:v>161.75</x:v>
      </x:c>
      <x:c r="D650" s="8" t="n">
        <x:f>IF(MOD(A650,4)=0,1,0)</x:f>
        <x:v>0</x:v>
      </x:c>
      <x:c r="E650" s="8" t="n">
        <x:f>IF(AND(F649&lt;=9,AS649&gt;=AR649),1,0)</x:f>
        <x:v>0</x:v>
      </x:c>
      <x:c r="F650" s="8" t="n">
        <x:f>MIN(10,F649+E650)</x:f>
        <x:v>9</x:v>
      </x:c>
      <x:c r="G650" s="8" t="n">
        <x:f>MIN(F650,9)+1</x:f>
        <x:v>10</x:v>
      </x:c>
      <x:c r="H650" s="8" t="n">
        <x:f>IF(F650&lt;=9,1,0)</x:f>
        <x:v>1</x:v>
      </x:c>
      <x:c r="I650" s="9" t="n">
        <x:f>MIN(10,F649+IF(AR649&gt;0,MIN(1,AS649/AR649),1))</x:f>
        <x:v>9.104374758927055</x:v>
      </x:c>
      <x:c r="J650" s="32" t="n">
        <x:f>INDEX(tun_FoodCap,G650)*Arch_FoodCap*EXP(tun_CapsByProject*SUMPRODUCT((Cap_Point&lt;=I650)*(Cap_Kind="Food")*Cap_Ln))</x:f>
        <x:v>13863.877308233004</x:v>
      </x:c>
      <x:c r="K650" s="32" t="n">
        <x:f>J650*MIN(1,tun_LeanBase*EXP(tun_CapsByProject*SUMPRODUCT((Cap_Point&lt;=I650)*(Cap_Kind="Lean")*Cap_Ln)))</x:f>
        <x:v>13863.877308233004</x:v>
      </x:c>
      <x:c r="L650" s="10" t="n">
        <x:f>INDEX(tun_HousingCap,G650)*EXP(tun_CapsByProject*SUMPRODUCT((Cap_Point&lt;=I650)*(Cap_Kind="Housing")*Cap_Ln))</x:f>
        <x:v>12514.86067705494</x:v>
      </x:c>
      <x:c r="M650" s="10" t="n">
        <x:f>INDEX(tun_GroupCap,G650)*tun_CohesionFactor*EXP(tun_CapsByProject*SUMPRODUCT((Cap_Point&lt;=I650)*(Cap_Kind="Group")*Cap_Ln))</x:f>
        <x:v>1000000.000000001</x:v>
      </x:c>
      <x:c r="N650" s="32" t="n">
        <x:f>MIN(J650,L650,M650)</x:f>
        <x:v>12514.86067705494</x:v>
      </x:c>
      <x:c r="O650" s="10" t="n">
        <x:f>AE649*N650</x:f>
        <x:v>112633.74609349445</x:v>
      </x:c>
      <x:c r="P650" s="9" t="n">
        <x:f>MIN(1,(AB649/(AE649*IF(tun_GroupInCrowding=1,N650,MIN(J650,L650))))^tun_CrowdingExp)</x:f>
        <x:v>0.511511578978413</x:v>
      </x:c>
      <x:c r="Q650" s="9" t="n">
        <x:f>IF(D650=1,INDEX(tun_WinterMult,G650),1)</x:f>
        <x:v>1</x:v>
      </x:c>
      <x:c r="R650" s="9" t="n">
        <x:f>H650*Z649*tun_WomenShare*tun_BaseFertility*INDEX(tun_FertMult,G650)*Arch_Fertility*(1-P650)</x:f>
        <x:v>485.7838263347479</x:v>
      </x:c>
      <x:c r="S650" s="9" t="n">
        <x:f>H650*Y649*INDEX(tun_MortChild,G650)/4*Q650</x:f>
        <x:v>7.869979366647876</x:v>
      </x:c>
      <x:c r="T650" s="9" t="n">
        <x:f>H650*Z649*INDEX(tun_MortAdult,G650)*Arch_AdultMort/4*Q650</x:f>
        <x:v>16.392252844127636</x:v>
      </x:c>
      <x:c r="U650" s="9" t="n">
        <x:f>H650*AA649*INDEX(tun_MortElder,G650)/4*Q650</x:f>
        <x:v>148.7450333213619</x:v>
      </x:c>
      <x:c r="V650" s="9" t="n">
        <x:f>H650*MAX(0,AB649-O650)*tun_OvercapLoss</x:f>
        <x:v>0</x:v>
      </x:c>
      <x:c r="W650" s="9" t="n">
        <x:f>H650*Y649/(tun_ChildYears*4)</x:f>
        <x:v>624.6015370355457</x:v>
      </x:c>
      <x:c r="X650" s="9" t="n">
        <x:f>H650*Z649/(tun_AdultYears*4)</x:f>
        <x:v>352.52156654037924</x:v>
      </x:c>
      <x:c r="Y650" s="32" t="n">
        <x:f>Y649+R650-S650-W650-Y649*V650/AB649</x:f>
        <x:v>34830.99838392312</x:v>
      </x:c>
      <x:c r="Z650" s="32" t="n">
        <x:f>Z649+W650-X650-T650-Z649*V650/AB649</x:f>
        <x:v>43968.361968658064</x:v>
      </x:c>
      <x:c r="AA650" s="32" t="n">
        <x:f>AA649+X650-U650-AA649*V650/AB649</x:f>
        <x:v>22240.07776601337</x:v>
      </x:c>
      <x:c r="AB650" s="10" t="n">
        <x:f>Y650+Z650+AA650</x:f>
        <x:v>101039.43811859457</x:v>
      </x:c>
      <x:c r="AC650" s="8" t="n">
        <x:f>IF(AND(tun_WinterTrigger=1,D650=1,AB649/AE649&gt;=K650),1,0)</x:f>
        <x:v>0</x:v>
      </x:c>
      <x:c r="AD650" s="8" t="n">
        <x:f>H650*IF(AND(OR(AB649/AE649&gt;=tun_FissionTrigger*N650,AC650=1),AB649/AE649*tun_DaughterShare&gt;=tun_MinDaughter),MAX(1,ROUND(AE649*tun_FissionRate,0)),0)</x:f>
        <x:v>3</x:v>
      </x:c>
      <x:c r="AE650" s="8" t="n">
        <x:f>IF(H650=1,MAX(1,MIN(INDEX(tun_Smax,G650),AE649+AD650)),AE649)</x:f>
        <x:v>9</x:v>
      </x:c>
      <x:c r="AF650" s="8" t="n">
        <x:f>MAX(0,AE650-AE649)</x:f>
        <x:v>0</x:v>
      </x:c>
      <x:c r="AG650" s="9" t="str">
        <x:f>IF(AF650&gt;0,B650,"")</x:f>
      </x:c>
      <x:c r="AH650" s="9" t="n">
        <x:f>IF(F650&gt;=1,1,(1+tun_LowTiesShare*(AE650-1))/AE650)</x:f>
        <x:v>1</x:v>
      </x:c>
      <x:c r="AI650" s="32" t="n">
        <x:f>(Z650+tun_ElderCommons*INDEX(LM_Elder,G650)*AA650)*AH650</x:f>
        <x:v>131439.32576235963</x:v>
      </x:c>
      <x:c r="AJ650" s="32" t="n">
        <x:f>H650*tun_CommonsCoef*AI650^tun_CommonsExp*INDEX(LM_Commons,G650)</x:f>
        <x:v>481844.11871776276</x:v>
      </x:c>
      <x:c r="AK650" s="32" t="n">
        <x:f>H650*tun_RoleScale*Arch_Roles*(AE650*(INDEX(tun_ElderRolePerSett,G650)*tun_OutElder*INDEX(LM_Elder,G650)+INDEX(tun_ShamanPerSett,G650)*tun_OutShaman)+Z650*(INDEX(tun_PriestShare,G650)*tun_OutPriest+INDEX(tun_ScribeShare,G650)*tun_OutScribe*INDEX(LM_Scribe,G650)+INDEX(tun_ScholarShare,G650)*tun_OutScholar*INDEX(LM_Scholar,G650)+INDEX(tun_ResearcherShare,G650)*tun_OutResearcher*INDEX(LM_Researcher,G650)))</x:f>
        <x:v>158600.34266871586</x:v>
      </x:c>
      <x:c r="AL650" s="32" t="n">
        <x:f>H650*tun_RoleScale*Arch_Roles*AE650*INDEX(tun_MonasteryPerSett,G650)*tun_OutMonastery*INDEX(LM_Monastery,G650)</x:f>
        <x:v>15.840000000000002</x:v>
      </x:c>
      <x:c r="AM650" s="32" t="n">
        <x:f>(AJ650+AK650+AL650)/4*INDEX(LM_All,G650)*INDEX(tun_Boon,G650)*Arch_Insight</x:f>
        <x:v>554620.957707006</x:v>
      </x:c>
      <x:c r="AN650" s="32" t="n">
        <x:f>H650*(tun_KHPerAdult*Z650+tun_KHOfCommons*AJ650/4*INDEX(LM_All,G650))*tun_KHUsable*Arch_KH</x:f>
        <x:v>81858.14886848185</x:v>
      </x:c>
      <x:c r="AO650" s="32" t="n">
        <x:f>MIN(AP649+AN650,AM650*tun_KHMaxRatio)</x:f>
        <x:v>81858.14886848185</x:v>
      </x:c>
      <x:c r="AP650" s="32" t="n">
        <x:f>AP649+AN650-AO650</x:f>
        <x:v>0</x:v>
      </x:c>
      <x:c r="AQ650" s="32" t="n">
        <x:f>AM650+AO650</x:f>
        <x:v>636479.1065754879</x:v>
      </x:c>
      <x:c r="AR650" s="10" t="n">
        <x:f>IF(H650=1,INDEX(tun_Req,G650),0)</x:f>
        <x:v>125406521.7009086</x:v>
      </x:c>
      <x:c r="AS650" s="32" t="n">
        <x:f>IF(H650=1,IF(E650=1,AS649-AR649,AS649)+AQ650,0)</x:f>
        <x:v>13725754.576988304</x:v>
      </x:c>
      <x:c r="AT650" s="11" t="n">
        <x:f>IF(AR650&gt;0,MIN(1,AS650/AR650),1)</x:f>
        <x:v>0.10945008593511495</x:v>
      </x:c>
      <x:c r="AU650" s="10" t="n">
        <x:f>AB650/INDEX(tun_RepScale,G650)</x:f>
        <x:v>202.07887623718915</x:v>
      </x:c>
      <x:c r="AV650" s="32" t="n">
        <x:f>AM650*60/tun_SeasonSeconds</x:f>
        <x:v>2218483.830828024</x:v>
      </x:c>
    </x:row>
    <x:row r="651">
      <x:c r="A651" s="8" t="n">
        <x:f>A650+1</x:f>
        <x:v>648</x:v>
      </x:c>
      <x:c r="B651" s="9" t="n">
        <x:f>A651*tun_SeasonSeconds/60</x:f>
        <x:v>162</x:v>
      </x:c>
      <x:c r="C651" s="9" t="n">
        <x:f>A651/4</x:f>
        <x:v>162</x:v>
      </x:c>
      <x:c r="D651" s="8" t="n">
        <x:f>IF(MOD(A651,4)=0,1,0)</x:f>
        <x:v>1</x:v>
      </x:c>
      <x:c r="E651" s="8" t="n">
        <x:f>IF(AND(F650&lt;=9,AS650&gt;=AR650),1,0)</x:f>
        <x:v>0</x:v>
      </x:c>
      <x:c r="F651" s="8" t="n">
        <x:f>MIN(10,F650+E651)</x:f>
        <x:v>9</x:v>
      </x:c>
      <x:c r="G651" s="8" t="n">
        <x:f>MIN(F651,9)+1</x:f>
        <x:v>10</x:v>
      </x:c>
      <x:c r="H651" s="8" t="n">
        <x:f>IF(F651&lt;=9,1,0)</x:f>
        <x:v>1</x:v>
      </x:c>
      <x:c r="I651" s="9" t="n">
        <x:f>MIN(10,F650+IF(AR650&gt;0,MIN(1,AS650/AR650),1))</x:f>
        <x:v>9.109450085935116</x:v>
      </x:c>
      <x:c r="J651" s="32" t="n">
        <x:f>INDEX(tun_FoodCap,G651)*Arch_FoodCap*EXP(tun_CapsByProject*SUMPRODUCT((Cap_Point&lt;=I651)*(Cap_Kind="Food")*Cap_Ln))</x:f>
        <x:v>13863.877308233004</x:v>
      </x:c>
      <x:c r="K651" s="32" t="n">
        <x:f>J651*MIN(1,tun_LeanBase*EXP(tun_CapsByProject*SUMPRODUCT((Cap_Point&lt;=I651)*(Cap_Kind="Lean")*Cap_Ln)))</x:f>
        <x:v>13863.877308233004</x:v>
      </x:c>
      <x:c r="L651" s="10" t="n">
        <x:f>INDEX(tun_HousingCap,G651)*EXP(tun_CapsByProject*SUMPRODUCT((Cap_Point&lt;=I651)*(Cap_Kind="Housing")*Cap_Ln))</x:f>
        <x:v>12514.86067705494</x:v>
      </x:c>
      <x:c r="M651" s="10" t="n">
        <x:f>INDEX(tun_GroupCap,G651)*tun_CohesionFactor*EXP(tun_CapsByProject*SUMPRODUCT((Cap_Point&lt;=I651)*(Cap_Kind="Group")*Cap_Ln))</x:f>
        <x:v>1000000.000000001</x:v>
      </x:c>
      <x:c r="N651" s="32" t="n">
        <x:f>MIN(J651,L651,M651)</x:f>
        <x:v>12514.86067705494</x:v>
      </x:c>
      <x:c r="O651" s="10" t="n">
        <x:f>AE650*N651</x:f>
        <x:v>112633.74609349445</x:v>
      </x:c>
      <x:c r="P651" s="9" t="n">
        <x:f>MIN(1,(AB650/(AE650*IF(tun_GroupInCrowding=1,N651,MIN(J651,L651))))^tun_CrowdingExp)</x:f>
        <x:v>0.5211159465607235</x:v>
      </x:c>
      <x:c r="Q651" s="9" t="n">
        <x:f>IF(D651=1,INDEX(tun_WinterMult,G651),1)</x:f>
        <x:v>1.05</x:v>
      </x:c>
      <x:c r="R651" s="9" t="n">
        <x:f>H651*Z650*tun_WomenShare*tun_BaseFertility*INDEX(tun_FertMult,G651)*Arch_Fertility*(1-P651)</x:f>
        <x:v>479.0182534099759</x:v>
      </x:c>
      <x:c r="S651" s="9" t="n">
        <x:f>H651*Y650*INDEX(tun_MortChild,G651)/4*Q651</x:f>
        <x:v>8.228823368201837</x:v>
      </x:c>
      <x:c r="T651" s="9" t="n">
        <x:f>H651*Z650*INDEX(tun_MortAdult,G651)*Arch_AdultMort/4*Q651</x:f>
        <x:v>17.312542525159117</x:v>
      </x:c>
      <x:c r="U651" s="9" t="n">
        <x:f>H651*AA650*INDEX(tun_MortElder,G651)/4*Q651</x:f>
        <x:v>157.62655116661978</x:v>
      </x:c>
      <x:c r="V651" s="9" t="n">
        <x:f>H651*MAX(0,AB650-O651)*tun_OvercapLoss</x:f>
        <x:v>0</x:v>
      </x:c>
      <x:c r="W651" s="9" t="n">
        <x:f>H651*Y650/(tun_ChildYears*4)</x:f>
        <x:v>621.9821139986271</x:v>
      </x:c>
      <x:c r="X651" s="9" t="n">
        <x:f>H651*Z650/(tun_AdultYears*4)</x:f>
        <x:v>354.5835642633715</x:v>
      </x:c>
      <x:c r="Y651" s="32" t="n">
        <x:f>Y650+R651-S651-W651-Y650*V651/AB650</x:f>
        <x:v>34679.80569996626</x:v>
      </x:c>
      <x:c r="Z651" s="32" t="n">
        <x:f>Z650+W651-X651-T651-Z650*V651/AB650</x:f>
        <x:v>44218.44797586817</x:v>
      </x:c>
      <x:c r="AA651" s="32" t="n">
        <x:f>AA650+X651-U651-AA650*V651/AB650</x:f>
        <x:v>22437.034779110123</x:v>
      </x:c>
      <x:c r="AB651" s="10" t="n">
        <x:f>Y651+Z651+AA651</x:f>
        <x:v>101335.28845494454</x:v>
      </x:c>
      <x:c r="AC651" s="8" t="n">
        <x:f>IF(AND(tun_WinterTrigger=1,D651=1,AB650/AE650&gt;=K651),1,0)</x:f>
        <x:v>0</x:v>
      </x:c>
      <x:c r="AD651" s="8" t="n">
        <x:f>H651*IF(AND(OR(AB650/AE650&gt;=tun_FissionTrigger*N651,AC651=1),AB650/AE650*tun_DaughterShare&gt;=tun_MinDaughter),MAX(1,ROUND(AE650*tun_FissionRate,0)),0)</x:f>
        <x:v>3</x:v>
      </x:c>
      <x:c r="AE651" s="8" t="n">
        <x:f>IF(H651=1,MAX(1,MIN(INDEX(tun_Smax,G651),AE650+AD651)),AE650)</x:f>
        <x:v>9</x:v>
      </x:c>
      <x:c r="AF651" s="8" t="n">
        <x:f>MAX(0,AE651-AE650)</x:f>
        <x:v>0</x:v>
      </x:c>
      <x:c r="AG651" s="9" t="str">
        <x:f>IF(AF651&gt;0,B651,"")</x:f>
      </x:c>
      <x:c r="AH651" s="9" t="n">
        <x:f>IF(F651&gt;=1,1,(1+tun_LowTiesShare*(AE651-1))/AE651)</x:f>
        <x:v>1</x:v>
      </x:c>
      <x:c r="AI651" s="32" t="n">
        <x:f>(Z651+tun_ElderCommons*INDEX(LM_Elder,G651)*AA651)*AH651</x:f>
        <x:v>132464.05023723864</x:v>
      </x:c>
      <x:c r="AJ651" s="32" t="n">
        <x:f>H651*tun_CommonsCoef*AI651^tun_CommonsExp*INDEX(LM_Commons,G651)</x:f>
        <x:v>485035.31868458894</x:v>
      </x:c>
      <x:c r="AK651" s="32" t="n">
        <x:f>H651*tun_RoleScale*Arch_Roles*(AE651*(INDEX(tun_ElderRolePerSett,G651)*tun_OutElder*INDEX(LM_Elder,G651)+INDEX(tun_ShamanPerSett,G651)*tun_OutShaman)+Z651*(INDEX(tun_PriestShare,G651)*tun_OutPriest+INDEX(tun_ScribeShare,G651)*tun_OutScribe*INDEX(LM_Scribe,G651)+INDEX(tun_ScholarShare,G651)*tun_OutScholar*INDEX(LM_Scholar,G651)+INDEX(tun_ResearcherShare,G651)*tun_OutResearcher*INDEX(LM_Researcher,G651)))</x:f>
        <x:v>159501.020017199</x:v>
      </x:c>
      <x:c r="AL651" s="32" t="n">
        <x:f>H651*tun_RoleScale*Arch_Roles*AE651*INDEX(tun_MonasteryPerSett,G651)*tun_OutMonastery*INDEX(LM_Monastery,G651)</x:f>
        <x:v>15.840000000000002</x:v>
      </x:c>
      <x:c r="AM651" s="32" t="n">
        <x:f>(AJ651+AK651+AL651)/4*INDEX(LM_All,G651)*INDEX(tun_Boon,G651)*Arch_Insight</x:f>
        <x:v>558164.4106119301</x:v>
      </x:c>
      <x:c r="AN651" s="32" t="n">
        <x:f>H651*(tun_KHPerAdult*Z651+tun_KHOfCommons*AJ651/4*INDEX(LM_All,G651))*tun_KHUsable*Arch_KH</x:f>
        <x:v>82400.28627725357</x:v>
      </x:c>
      <x:c r="AO651" s="32" t="n">
        <x:f>MIN(AP650+AN651,AM651*tun_KHMaxRatio)</x:f>
        <x:v>82400.28627725357</x:v>
      </x:c>
      <x:c r="AP651" s="32" t="n">
        <x:f>AP650+AN651-AO651</x:f>
        <x:v>0</x:v>
      </x:c>
      <x:c r="AQ651" s="32" t="n">
        <x:f>AM651+AO651</x:f>
        <x:v>640564.6968891836</x:v>
      </x:c>
      <x:c r="AR651" s="10" t="n">
        <x:f>IF(H651=1,INDEX(tun_Req,G651),0)</x:f>
        <x:v>125406521.7009086</x:v>
      </x:c>
      <x:c r="AS651" s="32" t="n">
        <x:f>IF(H651=1,IF(E651=1,AS650-AR650,AS650)+AQ651,0)</x:f>
        <x:v>14366319.273877488</x:v>
      </x:c>
      <x:c r="AT651" s="11" t="n">
        <x:f>IF(AR651&gt;0,MIN(1,AS651/AR651),1)</x:f>
        <x:v>0.11455799171386635</x:v>
      </x:c>
      <x:c r="AU651" s="10" t="n">
        <x:f>AB651/INDEX(tun_RepScale,G651)</x:f>
        <x:v>202.6705769098891</x:v>
      </x:c>
      <x:c r="AV651" s="32" t="n">
        <x:f>AM651*60/tun_SeasonSeconds</x:f>
        <x:v>2232657.6424477203</x:v>
      </x:c>
    </x:row>
    <x:row r="652">
      <x:c r="A652" s="8" t="n">
        <x:f>A651+1</x:f>
        <x:v>649</x:v>
      </x:c>
      <x:c r="B652" s="9" t="n">
        <x:f>A652*tun_SeasonSeconds/60</x:f>
        <x:v>162.25</x:v>
      </x:c>
      <x:c r="C652" s="9" t="n">
        <x:f>A652/4</x:f>
        <x:v>162.25</x:v>
      </x:c>
      <x:c r="D652" s="8" t="n">
        <x:f>IF(MOD(A652,4)=0,1,0)</x:f>
        <x:v>0</x:v>
      </x:c>
      <x:c r="E652" s="8" t="n">
        <x:f>IF(AND(F651&lt;=9,AS651&gt;=AR651),1,0)</x:f>
        <x:v>0</x:v>
      </x:c>
      <x:c r="F652" s="8" t="n">
        <x:f>MIN(10,F651+E652)</x:f>
        <x:v>9</x:v>
      </x:c>
      <x:c r="G652" s="8" t="n">
        <x:f>MIN(F652,9)+1</x:f>
        <x:v>10</x:v>
      </x:c>
      <x:c r="H652" s="8" t="n">
        <x:f>IF(F652&lt;=9,1,0)</x:f>
        <x:v>1</x:v>
      </x:c>
      <x:c r="I652" s="9" t="n">
        <x:f>MIN(10,F651+IF(AR651&gt;0,MIN(1,AS651/AR651),1))</x:f>
        <x:v>9.114557991713866</x:v>
      </x:c>
      <x:c r="J652" s="32" t="n">
        <x:f>INDEX(tun_FoodCap,G652)*Arch_FoodCap*EXP(tun_CapsByProject*SUMPRODUCT((Cap_Point&lt;=I652)*(Cap_Kind="Food")*Cap_Ln))</x:f>
        <x:v>13863.877308233004</x:v>
      </x:c>
      <x:c r="K652" s="32" t="n">
        <x:f>J652*MIN(1,tun_LeanBase*EXP(tun_CapsByProject*SUMPRODUCT((Cap_Point&lt;=I652)*(Cap_Kind="Lean")*Cap_Ln)))</x:f>
        <x:v>13863.877308233004</x:v>
      </x:c>
      <x:c r="L652" s="10" t="n">
        <x:f>INDEX(tun_HousingCap,G652)*EXP(tun_CapsByProject*SUMPRODUCT((Cap_Point&lt;=I652)*(Cap_Kind="Housing")*Cap_Ln))</x:f>
        <x:v>12514.86067705494</x:v>
      </x:c>
      <x:c r="M652" s="10" t="n">
        <x:f>INDEX(tun_GroupCap,G652)*tun_CohesionFactor*EXP(tun_CapsByProject*SUMPRODUCT((Cap_Point&lt;=I652)*(Cap_Kind="Group")*Cap_Ln))</x:f>
        <x:v>1000000.000000001</x:v>
      </x:c>
      <x:c r="N652" s="32" t="n">
        <x:f>MIN(J652,L652,M652)</x:f>
        <x:v>12514.86067705494</x:v>
      </x:c>
      <x:c r="O652" s="10" t="n">
        <x:f>AE651*N652</x:f>
        <x:v>112633.74609349445</x:v>
      </x:c>
      <x:c r="P652" s="9" t="n">
        <x:f>MIN(1,(AB651/(AE651*IF(tun_GroupInCrowding=1,N652,MIN(J652,L652))))^tun_CrowdingExp)</x:f>
        <x:v>0.5303384035117373</x:v>
      </x:c>
      <x:c r="Q652" s="9" t="n">
        <x:f>IF(D652=1,INDEX(tun_WinterMult,G652),1)</x:f>
        <x:v>1</x:v>
      </x:c>
      <x:c r="R652" s="9" t="n">
        <x:f>H652*Z651*tun_WomenShare*tun_BaseFertility*INDEX(tun_FertMult,G652)*Arch_Fertility*(1-P652)</x:f>
        <x:v>472.465331305682</x:v>
      </x:c>
      <x:c r="S652" s="9" t="n">
        <x:f>H652*Y651*INDEX(tun_MortChild,G652)/4*Q652</x:f>
        <x:v>7.802956282492408</x:v>
      </x:c>
      <x:c r="T652" s="9" t="n">
        <x:f>H652*Z651*INDEX(tun_MortAdult,G652)*Arch_AdultMort/4*Q652</x:f>
        <x:v>16.581917990950565</x:v>
      </x:c>
      <x:c r="U652" s="9" t="n">
        <x:f>H652*AA651*INDEX(tun_MortElder,G652)/4*Q652</x:f>
        <x:v>151.44998475899334</x:v>
      </x:c>
      <x:c r="V652" s="9" t="n">
        <x:f>H652*MAX(0,AB651-O652)*tun_OvercapLoss</x:f>
        <x:v>0</x:v>
      </x:c>
      <x:c r="W652" s="9" t="n">
        <x:f>H652*Y651/(tun_ChildYears*4)</x:f>
        <x:v>619.2822446422546</x:v>
      </x:c>
      <x:c r="X652" s="9" t="n">
        <x:f>H652*Z651/(tun_AdultYears*4)</x:f>
        <x:v>356.60038690216265</x:v>
      </x:c>
      <x:c r="Y652" s="32" t="n">
        <x:f>Y651+R652-S652-W652-Y651*V652/AB651</x:f>
        <x:v>34525.18583034719</x:v>
      </x:c>
      <x:c r="Z652" s="32" t="n">
        <x:f>Z651+W652-X652-T652-Z651*V652/AB651</x:f>
        <x:v>44464.54791561731</x:v>
      </x:c>
      <x:c r="AA652" s="32" t="n">
        <x:f>AA651+X652-U652-AA651*V652/AB651</x:f>
        <x:v>22642.18518125329</x:v>
      </x:c>
      <x:c r="AB652" s="10" t="n">
        <x:f>Y652+Z652+AA652</x:f>
        <x:v>101631.9189272178</x:v>
      </x:c>
      <x:c r="AC652" s="8" t="n">
        <x:f>IF(AND(tun_WinterTrigger=1,D652=1,AB651/AE651&gt;=K652),1,0)</x:f>
        <x:v>0</x:v>
      </x:c>
      <x:c r="AD652" s="8" t="n">
        <x:f>H652*IF(AND(OR(AB651/AE651&gt;=tun_FissionTrigger*N652,AC652=1),AB651/AE651*tun_DaughterShare&gt;=tun_MinDaughter),MAX(1,ROUND(AE651*tun_FissionRate,0)),0)</x:f>
        <x:v>3</x:v>
      </x:c>
      <x:c r="AE652" s="8" t="n">
        <x:f>IF(H652=1,MAX(1,MIN(INDEX(tun_Smax,G652),AE651+AD652)),AE651)</x:f>
        <x:v>9</x:v>
      </x:c>
      <x:c r="AF652" s="8" t="n">
        <x:f>MAX(0,AE652-AE651)</x:f>
        <x:v>0</x:v>
      </x:c>
      <x:c r="AG652" s="9" t="str">
        <x:f>IF(AF652&gt;0,B652,"")</x:f>
      </x:c>
      <x:c r="AH652" s="9" t="n">
        <x:f>IF(F652&gt;=1,1,(1+tun_LowTiesShare*(AE652-1))/AE652)</x:f>
        <x:v>1</x:v>
      </x:c>
      <x:c r="AI652" s="32" t="n">
        <x:f>(Z652+tun_ElderCommons*INDEX(LM_Elder,G652)*AA652)*AH652</x:f>
        <x:v>133517.01351563807</x:v>
      </x:c>
      <x:c r="AJ652" s="32" t="n">
        <x:f>H652*tun_CommonsCoef*AI652^tun_CommonsExp*INDEX(LM_Commons,G652)</x:f>
        <x:v>488310.605046122</x:v>
      </x:c>
      <x:c r="AK652" s="32" t="n">
        <x:f>H652*tun_RoleScale*Arch_Roles*(AE652*(INDEX(tun_ElderRolePerSett,G652)*tun_OutElder*INDEX(LM_Elder,G652)+INDEX(tun_ShamanPerSett,G652)*tun_OutShaman)+Z652*(INDEX(tun_PriestShare,G652)*tun_OutPriest+INDEX(tun_ScribeShare,G652)*tun_OutScribe*INDEX(LM_Scribe,G652)+INDEX(tun_ScholarShare,G652)*tun_OutScholar*INDEX(LM_Scholar,G652)+INDEX(tun_ResearcherShare,G652)*tun_OutResearcher*INDEX(LM_Researcher,G652)))</x:f>
        <x:v>160387.34166177185</x:v>
      </x:c>
      <x:c r="AL652" s="32" t="n">
        <x:f>H652*tun_RoleScale*Arch_Roles*AE652*INDEX(tun_MonasteryPerSett,G652)*tun_OutMonastery*INDEX(LM_Monastery,G652)</x:f>
        <x:v>15.840000000000002</x:v>
      </x:c>
      <x:c r="AM652" s="32" t="n">
        <x:f>(AJ652+AK652+AL652)/4*INDEX(LM_All,G652)*INDEX(tun_Boon,G652)*Arch_Insight</x:f>
        <x:v>561768.248371977</x:v>
      </x:c>
      <x:c r="AN652" s="32" t="n">
        <x:f>H652*(tun_KHPerAdult*Z652+tun_KHOfCommons*AJ652/4*INDEX(LM_All,G652))*tun_KHUsable*Arch_KH</x:f>
        <x:v>82956.70871379331</x:v>
      </x:c>
      <x:c r="AO652" s="32" t="n">
        <x:f>MIN(AP651+AN652,AM652*tun_KHMaxRatio)</x:f>
        <x:v>82956.70871379331</x:v>
      </x:c>
      <x:c r="AP652" s="32" t="n">
        <x:f>AP651+AN652-AO652</x:f>
        <x:v>0</x:v>
      </x:c>
      <x:c r="AQ652" s="32" t="n">
        <x:f>AM652+AO652</x:f>
        <x:v>644724.9570857703</x:v>
      </x:c>
      <x:c r="AR652" s="10" t="n">
        <x:f>IF(H652=1,INDEX(tun_Req,G652),0)</x:f>
        <x:v>125406521.7009086</x:v>
      </x:c>
      <x:c r="AS652" s="32" t="n">
        <x:f>IF(H652=1,IF(E652=1,AS651-AR651,AS651)+AQ652,0)</x:f>
        <x:v>15011044.230963258</x:v>
      </x:c>
      <x:c r="AT652" s="11" t="n">
        <x:f>IF(AR652&gt;0,MIN(1,AS652/AR652),1)</x:f>
        <x:v>0.11969907168595442</x:v>
      </x:c>
      <x:c r="AU652" s="10" t="n">
        <x:f>AB652/INDEX(tun_RepScale,G652)</x:f>
        <x:v>203.26383785443562</x:v>
      </x:c>
      <x:c r="AV652" s="32" t="n">
        <x:f>AM652*60/tun_SeasonSeconds</x:f>
        <x:v>2247072.993487908</x:v>
      </x:c>
    </x:row>
    <x:row r="653">
      <x:c r="A653" s="8" t="n">
        <x:f>A652+1</x:f>
        <x:v>650</x:v>
      </x:c>
      <x:c r="B653" s="9" t="n">
        <x:f>A653*tun_SeasonSeconds/60</x:f>
        <x:v>162.5</x:v>
      </x:c>
      <x:c r="C653" s="9" t="n">
        <x:f>A653/4</x:f>
        <x:v>162.5</x:v>
      </x:c>
      <x:c r="D653" s="8" t="n">
        <x:f>IF(MOD(A653,4)=0,1,0)</x:f>
        <x:v>0</x:v>
      </x:c>
      <x:c r="E653" s="8" t="n">
        <x:f>IF(AND(F652&lt;=9,AS652&gt;=AR652),1,0)</x:f>
        <x:v>0</x:v>
      </x:c>
      <x:c r="F653" s="8" t="n">
        <x:f>MIN(10,F652+E653)</x:f>
        <x:v>9</x:v>
      </x:c>
      <x:c r="G653" s="8" t="n">
        <x:f>MIN(F653,9)+1</x:f>
        <x:v>10</x:v>
      </x:c>
      <x:c r="H653" s="8" t="n">
        <x:f>IF(F653&lt;=9,1,0)</x:f>
        <x:v>1</x:v>
      </x:c>
      <x:c r="I653" s="9" t="n">
        <x:f>MIN(10,F652+IF(AR652&gt;0,MIN(1,AS652/AR652),1))</x:f>
        <x:v>9.119699071685954</x:v>
      </x:c>
      <x:c r="J653" s="32" t="n">
        <x:f>INDEX(tun_FoodCap,G653)*Arch_FoodCap*EXP(tun_CapsByProject*SUMPRODUCT((Cap_Point&lt;=I653)*(Cap_Kind="Food")*Cap_Ln))</x:f>
        <x:v>13863.877308233004</x:v>
      </x:c>
      <x:c r="K653" s="32" t="n">
        <x:f>J653*MIN(1,tun_LeanBase*EXP(tun_CapsByProject*SUMPRODUCT((Cap_Point&lt;=I653)*(Cap_Kind="Lean")*Cap_Ln)))</x:f>
        <x:v>13863.877308233004</x:v>
      </x:c>
      <x:c r="L653" s="10" t="n">
        <x:f>INDEX(tun_HousingCap,G653)*EXP(tun_CapsByProject*SUMPRODUCT((Cap_Point&lt;=I653)*(Cap_Kind="Housing")*Cap_Ln))</x:f>
        <x:v>12514.86067705494</x:v>
      </x:c>
      <x:c r="M653" s="10" t="n">
        <x:f>INDEX(tun_GroupCap,G653)*tun_CohesionFactor*EXP(tun_CapsByProject*SUMPRODUCT((Cap_Point&lt;=I653)*(Cap_Kind="Group")*Cap_Ln))</x:f>
        <x:v>1000000.000000001</x:v>
      </x:c>
      <x:c r="N653" s="32" t="n">
        <x:f>MIN(J653,L653,M653)</x:f>
        <x:v>12514.86067705494</x:v>
      </x:c>
      <x:c r="O653" s="10" t="n">
        <x:f>AE652*N653</x:f>
        <x:v>112633.74609349445</x:v>
      </x:c>
      <x:c r="P653" s="9" t="n">
        <x:f>MIN(1,(AB652/(AE652*IF(tun_GroupInCrowding=1,N653,MIN(J653,L653))))^tun_CrowdingExp)</x:f>
        <x:v>0.5397213305096392</x:v>
      </x:c>
      <x:c r="Q653" s="9" t="n">
        <x:f>IF(D653=1,INDEX(tun_WinterMult,G653),1)</x:f>
        <x:v>1</x:v>
      </x:c>
      <x:c r="R653" s="9" t="n">
        <x:f>H653*Z652*tun_WomenShare*tun_BaseFertility*INDEX(tun_FertMult,G653)*Arch_Fertility*(1-P653)</x:f>
        <x:v>465.6033872055641</x:v>
      </x:c>
      <x:c r="S653" s="9" t="n">
        <x:f>H653*Y652*INDEX(tun_MortChild,G653)/4*Q653</x:f>
        <x:v>7.7681668118281175</x:v>
      </x:c>
      <x:c r="T653" s="9" t="n">
        <x:f>H653*Z652*INDEX(tun_MortAdult,G653)*Arch_AdultMort/4*Q653</x:f>
        <x:v>16.67420546835649</x:v>
      </x:c>
      <x:c r="U653" s="9" t="n">
        <x:f>H653*AA652*INDEX(tun_MortElder,G653)/4*Q653</x:f>
        <x:v>152.8347499734597</x:v>
      </x:c>
      <x:c r="V653" s="9" t="n">
        <x:f>H653*MAX(0,AB652-O653)*tun_OvercapLoss</x:f>
        <x:v>0</x:v>
      </x:c>
      <x:c r="W653" s="9" t="n">
        <x:f>H653*Y652/(tun_ChildYears*4)</x:f>
        <x:v>616.5211755419141</x:v>
      </x:c>
      <x:c r="X653" s="9" t="n">
        <x:f>H653*Z652/(tun_AdultYears*4)</x:f>
        <x:v>358.5850638356235</x:v>
      </x:c>
      <x:c r="Y653" s="32" t="n">
        <x:f>Y652+R653-S653-W653-Y652*V653/AB652</x:f>
        <x:v>34366.499875199006</x:v>
      </x:c>
      <x:c r="Z653" s="32" t="n">
        <x:f>Z652+W653-X653-T653-Z652*V653/AB652</x:f>
        <x:v>44705.80982185525</x:v>
      </x:c>
      <x:c r="AA653" s="32" t="n">
        <x:f>AA652+X653-U653-AA652*V653/AB652</x:f>
        <x:v>22847.935495115456</x:v>
      </x:c>
      <x:c r="AB653" s="10" t="n">
        <x:f>Y653+Z653+AA653</x:f>
        <x:v>101920.2451921697</x:v>
      </x:c>
      <x:c r="AC653" s="8" t="n">
        <x:f>IF(AND(tun_WinterTrigger=1,D653=1,AB652/AE652&gt;=K653),1,0)</x:f>
        <x:v>0</x:v>
      </x:c>
      <x:c r="AD653" s="8" t="n">
        <x:f>H653*IF(AND(OR(AB652/AE652&gt;=tun_FissionTrigger*N653,AC653=1),AB652/AE652*tun_DaughterShare&gt;=tun_MinDaughter),MAX(1,ROUND(AE652*tun_FissionRate,0)),0)</x:f>
        <x:v>3</x:v>
      </x:c>
      <x:c r="AE653" s="8" t="n">
        <x:f>IF(H653=1,MAX(1,MIN(INDEX(tun_Smax,G653),AE652+AD653)),AE652)</x:f>
        <x:v>9</x:v>
      </x:c>
      <x:c r="AF653" s="8" t="n">
        <x:f>MAX(0,AE653-AE652)</x:f>
        <x:v>0</x:v>
      </x:c>
      <x:c r="AG653" s="9" t="str">
        <x:f>IF(AF653&gt;0,B653,"")</x:f>
      </x:c>
      <x:c r="AH653" s="9" t="n">
        <x:f>IF(F653&gt;=1,1,(1+tun_LowTiesShare*(AE653-1))/AE653)</x:f>
        <x:v>1</x:v>
      </x:c>
      <x:c r="AI653" s="32" t="n">
        <x:f>(Z653+tun_ElderCommons*INDEX(LM_Elder,G653)*AA653)*AH653</x:f>
        <x:v>134567.49823322264</x:v>
      </x:c>
      <x:c r="AJ653" s="32" t="n">
        <x:f>H653*tun_CommonsCoef*AI653^tun_CommonsExp*INDEX(LM_Commons,G653)</x:f>
        <x:v>491574.3231091321</x:v>
      </x:c>
      <x:c r="AK653" s="32" t="n">
        <x:f>H653*tun_RoleScale*Arch_Roles*(AE653*(INDEX(tun_ElderRolePerSett,G653)*tun_OutElder*INDEX(LM_Elder,G653)+INDEX(tun_ShamanPerSett,G653)*tun_OutShaman)+Z653*(INDEX(tun_PriestShare,G653)*tun_OutPriest+INDEX(tun_ScribeShare,G653)*tun_OutScribe*INDEX(LM_Scribe,G653)+INDEX(tun_ScholarShare,G653)*tun_OutScholar*INDEX(LM_Scholar,G653)+INDEX(tun_ResearcherShare,G653)*tun_OutResearcher*INDEX(LM_Researcher,G653)))</x:f>
        <x:v>161256.23927193607</x:v>
      </x:c>
      <x:c r="AL653" s="32" t="n">
        <x:f>H653*tun_RoleScale*Arch_Roles*AE653*INDEX(tun_MonasteryPerSett,G653)*tun_OutMonastery*INDEX(LM_Monastery,G653)</x:f>
        <x:v>15.840000000000002</x:v>
      </x:c>
      <x:c r="AM653" s="32" t="n">
        <x:f>(AJ653+AK653+AL653)/4*INDEX(LM_All,G653)*INDEX(tun_Boon,G653)*Arch_Insight</x:f>
        <x:v>565346.9795712865</x:v>
      </x:c>
      <x:c r="AN653" s="32" t="n">
        <x:f>H653*(tun_KHPerAdult*Z653+tun_KHOfCommons*AJ653/4*INDEX(LM_All,G653))*tun_KHUsable*Arch_KH</x:f>
        <x:v>83511.16586847973</x:v>
      </x:c>
      <x:c r="AO653" s="32" t="n">
        <x:f>MIN(AP652+AN653,AM653*tun_KHMaxRatio)</x:f>
        <x:v>83511.16586847973</x:v>
      </x:c>
      <x:c r="AP653" s="32" t="n">
        <x:f>AP652+AN653-AO653</x:f>
        <x:v>0</x:v>
      </x:c>
      <x:c r="AQ653" s="32" t="n">
        <x:f>AM653+AO653</x:f>
        <x:v>648858.1454397662</x:v>
      </x:c>
      <x:c r="AR653" s="10" t="n">
        <x:f>IF(H653=1,INDEX(tun_Req,G653),0)</x:f>
        <x:v>125406521.7009086</x:v>
      </x:c>
      <x:c r="AS653" s="32" t="n">
        <x:f>IF(H653=1,IF(E653=1,AS652-AR652,AS652)+AQ653,0)</x:f>
        <x:v>15659902.376403024</x:v>
      </x:c>
      <x:c r="AT653" s="11" t="n">
        <x:f>IF(AR653&gt;0,MIN(1,AS653/AR653),1)</x:f>
        <x:v>0.12487310997869391</x:v>
      </x:c>
      <x:c r="AU653" s="10" t="n">
        <x:f>AB653/INDEX(tun_RepScale,G653)</x:f>
        <x:v>203.8404903843394</x:v>
      </x:c>
      <x:c r="AV653" s="32" t="n">
        <x:f>AM653*60/tun_SeasonSeconds</x:f>
        <x:v>2261387.918285146</x:v>
      </x:c>
    </x:row>
    <x:row r="654">
      <x:c r="A654" s="8" t="n">
        <x:f>A653+1</x:f>
        <x:v>651</x:v>
      </x:c>
      <x:c r="B654" s="9" t="n">
        <x:f>A654*tun_SeasonSeconds/60</x:f>
        <x:v>162.75</x:v>
      </x:c>
      <x:c r="C654" s="9" t="n">
        <x:f>A654/4</x:f>
        <x:v>162.75</x:v>
      </x:c>
      <x:c r="D654" s="8" t="n">
        <x:f>IF(MOD(A654,4)=0,1,0)</x:f>
        <x:v>0</x:v>
      </x:c>
      <x:c r="E654" s="8" t="n">
        <x:f>IF(AND(F653&lt;=9,AS653&gt;=AR653),1,0)</x:f>
        <x:v>0</x:v>
      </x:c>
      <x:c r="F654" s="8" t="n">
        <x:f>MIN(10,F653+E654)</x:f>
        <x:v>9</x:v>
      </x:c>
      <x:c r="G654" s="8" t="n">
        <x:f>MIN(F654,9)+1</x:f>
        <x:v>10</x:v>
      </x:c>
      <x:c r="H654" s="8" t="n">
        <x:f>IF(F654&lt;=9,1,0)</x:f>
        <x:v>1</x:v>
      </x:c>
      <x:c r="I654" s="9" t="n">
        <x:f>MIN(10,F653+IF(AR653&gt;0,MIN(1,AS653/AR653),1))</x:f>
        <x:v>9.124873109978694</x:v>
      </x:c>
      <x:c r="J654" s="32" t="n">
        <x:f>INDEX(tun_FoodCap,G654)*Arch_FoodCap*EXP(tun_CapsByProject*SUMPRODUCT((Cap_Point&lt;=I654)*(Cap_Kind="Food")*Cap_Ln))</x:f>
        <x:v>13863.877308233004</x:v>
      </x:c>
      <x:c r="K654" s="32" t="n">
        <x:f>J654*MIN(1,tun_LeanBase*EXP(tun_CapsByProject*SUMPRODUCT((Cap_Point&lt;=I654)*(Cap_Kind="Lean")*Cap_Ln)))</x:f>
        <x:v>13863.877308233004</x:v>
      </x:c>
      <x:c r="L654" s="10" t="n">
        <x:f>INDEX(tun_HousingCap,G654)*EXP(tun_CapsByProject*SUMPRODUCT((Cap_Point&lt;=I654)*(Cap_Kind="Housing")*Cap_Ln))</x:f>
        <x:v>12514.86067705494</x:v>
      </x:c>
      <x:c r="M654" s="10" t="n">
        <x:f>INDEX(tun_GroupCap,G654)*tun_CohesionFactor*EXP(tun_CapsByProject*SUMPRODUCT((Cap_Point&lt;=I654)*(Cap_Kind="Group")*Cap_Ln))</x:f>
        <x:v>1000000.000000001</x:v>
      </x:c>
      <x:c r="N654" s="32" t="n">
        <x:f>MIN(J654,L654,M654)</x:f>
        <x:v>12514.86067705494</x:v>
      </x:c>
      <x:c r="O654" s="10" t="n">
        <x:f>AE653*N654</x:f>
        <x:v>112633.74609349445</x:v>
      </x:c>
      <x:c r="P654" s="9" t="n">
        <x:f>MIN(1,(AB653/(AE653*IF(tun_GroupInCrowding=1,N654,MIN(J654,L654))))^tun_CrowdingExp)</x:f>
        <x:v>0.5489737610074178</x:v>
      </x:c>
      <x:c r="Q654" s="9" t="n">
        <x:f>IF(D654=1,INDEX(tun_WinterMult,G654),1)</x:f>
        <x:v>1</x:v>
      </x:c>
      <x:c r="R654" s="9" t="n">
        <x:f>H654*Z653*tun_WomenShare*tun_BaseFertility*INDEX(tun_FertMult,G654)*Arch_Fertility*(1-P654)</x:f>
        <x:v>458.7194717803201</x:v>
      </x:c>
      <x:c r="S654" s="9" t="n">
        <x:f>H654*Y653*INDEX(tun_MortChild,G654)/4*Q654</x:f>
        <x:v>7.732462471919776</x:v>
      </x:c>
      <x:c r="T654" s="9" t="n">
        <x:f>H654*Z653*INDEX(tun_MortAdult,G654)*Arch_AdultMort/4*Q654</x:f>
        <x:v>16.76467868319572</x:v>
      </x:c>
      <x:c r="U654" s="9" t="n">
        <x:f>H654*AA653*INDEX(tun_MortElder,G654)/4*Q654</x:f>
        <x:v>154.22356459202933</x:v>
      </x:c>
      <x:c r="V654" s="9" t="n">
        <x:f>H654*MAX(0,AB653-O654)*tun_OvercapLoss</x:f>
        <x:v>0</x:v>
      </x:c>
      <x:c r="W654" s="9" t="n">
        <x:f>H654*Y653/(tun_ChildYears*4)</x:f>
        <x:v>613.6874977714108</x:v>
      </x:c>
      <x:c r="X654" s="9" t="n">
        <x:f>H654*Z653/(tun_AdultYears*4)</x:f>
        <x:v>360.5307243698004</x:v>
      </x:c>
      <x:c r="Y654" s="32" t="n">
        <x:f>Y653+R654-S654-W654-Y653*V654/AB653</x:f>
        <x:v>34203.799386736</x:v>
      </x:c>
      <x:c r="Z654" s="32" t="n">
        <x:f>Z653+W654-X654-T654-Z653*V654/AB653</x:f>
        <x:v>44942.201916573664</x:v>
      </x:c>
      <x:c r="AA654" s="32" t="n">
        <x:f>AA653+X654-U654-AA653*V654/AB653</x:f>
        <x:v>23054.242654893227</x:v>
      </x:c>
      <x:c r="AB654" s="10" t="n">
        <x:f>Y654+Z654+AA654</x:f>
        <x:v>102200.24395820289</x:v>
      </x:c>
      <x:c r="AC654" s="8" t="n">
        <x:f>IF(AND(tun_WinterTrigger=1,D654=1,AB653/AE653&gt;=K654),1,0)</x:f>
        <x:v>0</x:v>
      </x:c>
      <x:c r="AD654" s="8" t="n">
        <x:f>H654*IF(AND(OR(AB653/AE653&gt;=tun_FissionTrigger*N654,AC654=1),AB653/AE653*tun_DaughterShare&gt;=tun_MinDaughter),MAX(1,ROUND(AE653*tun_FissionRate,0)),0)</x:f>
        <x:v>3</x:v>
      </x:c>
      <x:c r="AE654" s="8" t="n">
        <x:f>IF(H654=1,MAX(1,MIN(INDEX(tun_Smax,G654),AE653+AD654)),AE653)</x:f>
        <x:v>9</x:v>
      </x:c>
      <x:c r="AF654" s="8" t="n">
        <x:f>MAX(0,AE654-AE653)</x:f>
        <x:v>0</x:v>
      </x:c>
      <x:c r="AG654" s="9" t="str">
        <x:f>IF(AF654&gt;0,B654,"")</x:f>
      </x:c>
      <x:c r="AH654" s="9" t="n">
        <x:f>IF(F654&gt;=1,1,(1+tun_LowTiesShare*(AE654-1))/AE654)</x:f>
        <x:v>1</x:v>
      </x:c>
      <x:c r="AI654" s="32" t="n">
        <x:f>(Z654+tun_ElderCommons*INDEX(LM_Elder,G654)*AA654)*AH654</x:f>
        <x:v>135615.30323275022</x:v>
      </x:c>
      <x:c r="AJ654" s="32" t="n">
        <x:f>H654*tun_CommonsCoef*AI654^tun_CommonsExp*INDEX(LM_Commons,G654)</x:f>
        <x:v>494825.91073612595</x:v>
      </x:c>
      <x:c r="AK654" s="32" t="n">
        <x:f>H654*tun_RoleScale*Arch_Roles*(AE654*(INDEX(tun_ElderRolePerSett,G654)*tun_OutElder*INDEX(LM_Elder,G654)+INDEX(tun_ShamanPerSett,G654)*tun_OutShaman)+Z654*(INDEX(tun_PriestShare,G654)*tun_OutPriest+INDEX(tun_ScribeShare,G654)*tun_OutScribe*INDEX(LM_Scribe,G654)+INDEX(tun_ScholarShare,G654)*tun_OutScholar*INDEX(LM_Scholar,G654)+INDEX(tun_ResearcherShare,G654)*tun_OutResearcher*INDEX(LM_Researcher,G654)))</x:f>
        <x:v>162107.59840013584</x:v>
      </x:c>
      <x:c r="AL654" s="32" t="n">
        <x:f>H654*tun_RoleScale*Arch_Roles*AE654*INDEX(tun_MonasteryPerSett,G654)*tun_OutMonastery*INDEX(LM_Monastery,G654)</x:f>
        <x:v>15.840000000000002</x:v>
      </x:c>
      <x:c r="AM654" s="32" t="n">
        <x:f>(AJ654+AK654+AL654)/4*INDEX(LM_All,G654)*INDEX(tun_Boon,G654)*Arch_Insight</x:f>
        <x:v>568900.0183058655</x:v>
      </x:c>
      <x:c r="AN654" s="32" t="n">
        <x:f>H654*(tun_KHPerAdult*Z654+tun_KHOfCommons*AJ654/4*INDEX(LM_All,G654))*tun_KHUsable*Arch_KH</x:f>
        <x:v>84063.56224251389</x:v>
      </x:c>
      <x:c r="AO654" s="32" t="n">
        <x:f>MIN(AP653+AN654,AM654*tun_KHMaxRatio)</x:f>
        <x:v>84063.56224251389</x:v>
      </x:c>
      <x:c r="AP654" s="32" t="n">
        <x:f>AP653+AN654-AO654</x:f>
        <x:v>0</x:v>
      </x:c>
      <x:c r="AQ654" s="32" t="n">
        <x:f>AM654+AO654</x:f>
        <x:v>652963.5805483793</x:v>
      </x:c>
      <x:c r="AR654" s="10" t="n">
        <x:f>IF(H654=1,INDEX(tun_Req,G654),0)</x:f>
        <x:v>125406521.7009086</x:v>
      </x:c>
      <x:c r="AS654" s="32" t="n">
        <x:f>IF(H654=1,IF(E654=1,AS653-AR653,AS653)+AQ654,0)</x:f>
        <x:v>16312865.956951404</x:v>
      </x:c>
      <x:c r="AT654" s="11" t="n">
        <x:f>IF(AR654&gt;0,MIN(1,AS654/AR654),1)</x:f>
        <x:v>0.13007988528584805</x:v>
      </x:c>
      <x:c r="AU654" s="10" t="n">
        <x:f>AB654/INDEX(tun_RepScale,G654)</x:f>
        <x:v>204.40048791640578</x:v>
      </x:c>
      <x:c r="AV654" s="32" t="n">
        <x:f>AM654*60/tun_SeasonSeconds</x:f>
        <x:v>2275600.073223462</x:v>
      </x:c>
    </x:row>
    <x:row r="655">
      <x:c r="A655" s="8" t="n">
        <x:f>A654+1</x:f>
        <x:v>652</x:v>
      </x:c>
      <x:c r="B655" s="9" t="n">
        <x:f>A655*tun_SeasonSeconds/60</x:f>
        <x:v>163</x:v>
      </x:c>
      <x:c r="C655" s="9" t="n">
        <x:f>A655/4</x:f>
        <x:v>163</x:v>
      </x:c>
      <x:c r="D655" s="8" t="n">
        <x:f>IF(MOD(A655,4)=0,1,0)</x:f>
        <x:v>1</x:v>
      </x:c>
      <x:c r="E655" s="8" t="n">
        <x:f>IF(AND(F654&lt;=9,AS654&gt;=AR654),1,0)</x:f>
        <x:v>0</x:v>
      </x:c>
      <x:c r="F655" s="8" t="n">
        <x:f>MIN(10,F654+E655)</x:f>
        <x:v>9</x:v>
      </x:c>
      <x:c r="G655" s="8" t="n">
        <x:f>MIN(F655,9)+1</x:f>
        <x:v>10</x:v>
      </x:c>
      <x:c r="H655" s="8" t="n">
        <x:f>IF(F655&lt;=9,1,0)</x:f>
        <x:v>1</x:v>
      </x:c>
      <x:c r="I655" s="9" t="n">
        <x:f>MIN(10,F654+IF(AR654&gt;0,MIN(1,AS654/AR654),1))</x:f>
        <x:v>9.130079885285848</x:v>
      </x:c>
      <x:c r="J655" s="32" t="n">
        <x:f>INDEX(tun_FoodCap,G655)*Arch_FoodCap*EXP(tun_CapsByProject*SUMPRODUCT((Cap_Point&lt;=I655)*(Cap_Kind="Food")*Cap_Ln))</x:f>
        <x:v>13863.877308233004</x:v>
      </x:c>
      <x:c r="K655" s="32" t="n">
        <x:f>J655*MIN(1,tun_LeanBase*EXP(tun_CapsByProject*SUMPRODUCT((Cap_Point&lt;=I655)*(Cap_Kind="Lean")*Cap_Ln)))</x:f>
        <x:v>13863.877308233004</x:v>
      </x:c>
      <x:c r="L655" s="10" t="n">
        <x:f>INDEX(tun_HousingCap,G655)*EXP(tun_CapsByProject*SUMPRODUCT((Cap_Point&lt;=I655)*(Cap_Kind="Housing")*Cap_Ln))</x:f>
        <x:v>12514.86067705494</x:v>
      </x:c>
      <x:c r="M655" s="10" t="n">
        <x:f>INDEX(tun_GroupCap,G655)*tun_CohesionFactor*EXP(tun_CapsByProject*SUMPRODUCT((Cap_Point&lt;=I655)*(Cap_Kind="Group")*Cap_Ln))</x:f>
        <x:v>1000000.000000001</x:v>
      </x:c>
      <x:c r="N655" s="32" t="n">
        <x:f>MIN(J655,L655,M655)</x:f>
        <x:v>12514.86067705494</x:v>
      </x:c>
      <x:c r="O655" s="10" t="n">
        <x:f>AE654*N655</x:f>
        <x:v>112633.74609349445</x:v>
      </x:c>
      <x:c r="P655" s="9" t="n">
        <x:f>MIN(1,(AB654/(AE654*IF(tun_GroupInCrowding=1,N655,MIN(J655,L655))))^tun_CrowdingExp)</x:f>
        <x:v>0.5580850945197905</x:v>
      </x:c>
      <x:c r="Q655" s="9" t="n">
        <x:f>IF(D655=1,INDEX(tun_WinterMult,G655),1)</x:f>
        <x:v>1.05</x:v>
      </x:c>
      <x:c r="R655" s="9" t="n">
        <x:f>H655*Z654*tun_WomenShare*tun_BaseFertility*INDEX(tun_FertMult,G655)*Arch_Fertility*(1-P655)</x:f>
        <x:v>451.8293077487994</x:v>
      </x:c>
      <x:c r="S655" s="9" t="n">
        <x:f>H655*Y654*INDEX(tun_MortChild,G655)/4*Q655</x:f>
        <x:v>8.08064760511638</x:v>
      </x:c>
      <x:c r="T655" s="9" t="n">
        <x:f>H655*Z654*INDEX(tun_MortAdult,G655)*Arch_AdultMort/4*Q655</x:f>
        <x:v>17.69599200465088</x:v>
      </x:c>
      <x:c r="U655" s="9" t="n">
        <x:f>H655*AA654*INDEX(tun_MortElder,G655)/4*Q655</x:f>
        <x:v>163.39694481655573</x:v>
      </x:c>
      <x:c r="V655" s="9" t="n">
        <x:f>H655*MAX(0,AB654-O655)*tun_OvercapLoss</x:f>
        <x:v>0</x:v>
      </x:c>
      <x:c r="W655" s="9" t="n">
        <x:f>H655*Y654/(tun_ChildYears*4)</x:f>
        <x:v>610.782131906</x:v>
      </x:c>
      <x:c r="X655" s="9" t="n">
        <x:f>H655*Z654/(tun_AdultYears*4)</x:f>
        <x:v>362.4371122304328</x:v>
      </x:c>
      <x:c r="Y655" s="32" t="n">
        <x:f>Y654+R655-S655-W655-Y654*V655/AB654</x:f>
        <x:v>34036.76591497368</x:v>
      </x:c>
      <x:c r="Z655" s="32" t="n">
        <x:f>Z654+W655-X655-T655-Z654*V655/AB654</x:f>
        <x:v>45172.85094424459</x:v>
      </x:c>
      <x:c r="AA655" s="32" t="n">
        <x:f>AA654+X655-U655-AA654*V655/AB654</x:f>
        <x:v>23253.282822307105</x:v>
      </x:c>
      <x:c r="AB655" s="10" t="n">
        <x:f>Y655+Z655+AA655</x:f>
        <x:v>102462.89968152536</x:v>
      </x:c>
      <x:c r="AC655" s="8" t="n">
        <x:f>IF(AND(tun_WinterTrigger=1,D655=1,AB654/AE654&gt;=K655),1,0)</x:f>
        <x:v>0</x:v>
      </x:c>
      <x:c r="AD655" s="8" t="n">
        <x:f>H655*IF(AND(OR(AB654/AE654&gt;=tun_FissionTrigger*N655,AC655=1),AB654/AE654*tun_DaughterShare&gt;=tun_MinDaughter),MAX(1,ROUND(AE654*tun_FissionRate,0)),0)</x:f>
        <x:v>3</x:v>
      </x:c>
      <x:c r="AE655" s="8" t="n">
        <x:f>IF(H655=1,MAX(1,MIN(INDEX(tun_Smax,G655),AE654+AD655)),AE654)</x:f>
        <x:v>9</x:v>
      </x:c>
      <x:c r="AF655" s="8" t="n">
        <x:f>MAX(0,AE655-AE654)</x:f>
        <x:v>0</x:v>
      </x:c>
      <x:c r="AG655" s="9" t="str">
        <x:f>IF(AF655&gt;0,B655,"")</x:f>
      </x:c>
      <x:c r="AH655" s="9" t="n">
        <x:f>IF(F655&gt;=1,1,(1+tun_LowTiesShare*(AE655-1))/AE655)</x:f>
        <x:v>1</x:v>
      </x:c>
      <x:c r="AI655" s="32" t="n">
        <x:f>(Z655+tun_ElderCommons*INDEX(LM_Elder,G655)*AA655)*AH655</x:f>
        <x:v>136628.78384313965</x:v>
      </x:c>
      <x:c r="AJ655" s="32" t="n">
        <x:f>H655*tun_CommonsCoef*AI655^tun_CommonsExp*INDEX(LM_Commons,G655)</x:f>
        <x:v>497967.3980640763</x:v>
      </x:c>
      <x:c r="AK655" s="32" t="n">
        <x:f>H655*tun_RoleScale*Arch_Roles*(AE655*(INDEX(tun_ElderRolePerSett,G655)*tun_OutElder*INDEX(LM_Elder,G655)+INDEX(tun_ShamanPerSett,G655)*tun_OutShaman)+Z655*(INDEX(tun_PriestShare,G655)*tun_OutPriest+INDEX(tun_ScribeShare,G655)*tun_OutScribe*INDEX(LM_Scribe,G655)+INDEX(tun_ScholarShare,G655)*tun_OutScholar*INDEX(LM_Scholar,G655)+INDEX(tun_ResearcherShare,G655)*tun_OutResearcher*INDEX(LM_Researcher,G655)))</x:f>
        <x:v>162938.27404244928</x:v>
      </x:c>
      <x:c r="AL655" s="32" t="n">
        <x:f>H655*tun_RoleScale*Arch_Roles*AE655*INDEX(tun_MonasteryPerSett,G655)*tun_OutMonastery*INDEX(LM_Monastery,G655)</x:f>
        <x:v>15.840000000000002</x:v>
      </x:c>
      <x:c r="AM655" s="32" t="n">
        <x:f>(AJ655+AK655+AL655)/4*INDEX(LM_All,G655)*INDEX(tun_Boon,G655)*Arch_Insight</x:f>
        <x:v>572339.8018895893</x:v>
      </x:c>
      <x:c r="AN655" s="32" t="n">
        <x:f>H655*(tun_KHPerAdult*Z655+tun_KHOfCommons*AJ655/4*INDEX(LM_All,G655))*tun_KHUsable*Arch_KH</x:f>
        <x:v>84597.25421336149</x:v>
      </x:c>
      <x:c r="AO655" s="32" t="n">
        <x:f>MIN(AP654+AN655,AM655*tun_KHMaxRatio)</x:f>
        <x:v>84597.25421336149</x:v>
      </x:c>
      <x:c r="AP655" s="32" t="n">
        <x:f>AP654+AN655-AO655</x:f>
        <x:v>0</x:v>
      </x:c>
      <x:c r="AQ655" s="32" t="n">
        <x:f>AM655+AO655</x:f>
        <x:v>656937.0561029508</x:v>
      </x:c>
      <x:c r="AR655" s="10" t="n">
        <x:f>IF(H655=1,INDEX(tun_Req,G655),0)</x:f>
        <x:v>125406521.7009086</x:v>
      </x:c>
      <x:c r="AS655" s="32" t="n">
        <x:f>IF(H655=1,IF(E655=1,AS654-AR654,AS654)+AQ655,0)</x:f>
        <x:v>16969803.013054356</x:v>
      </x:c>
      <x:c r="AT655" s="11" t="n">
        <x:f>IF(AR655&gt;0,MIN(1,AS655/AR655),1)</x:f>
        <x:v>0.13531834535309822</x:v>
      </x:c>
      <x:c r="AU655" s="10" t="n">
        <x:f>AB655/INDEX(tun_RepScale,G655)</x:f>
        <x:v>204.92579936305071</x:v>
      </x:c>
      <x:c r="AV655" s="32" t="n">
        <x:f>AM655*60/tun_SeasonSeconds</x:f>
        <x:v>2289359.207558357</x:v>
      </x:c>
    </x:row>
    <x:row r="656">
      <x:c r="A656" s="8" t="n">
        <x:f>A655+1</x:f>
        <x:v>653</x:v>
      </x:c>
      <x:c r="B656" s="9" t="n">
        <x:f>A656*tun_SeasonSeconds/60</x:f>
        <x:v>163.25</x:v>
      </x:c>
      <x:c r="C656" s="9" t="n">
        <x:f>A656/4</x:f>
        <x:v>163.25</x:v>
      </x:c>
      <x:c r="D656" s="8" t="n">
        <x:f>IF(MOD(A656,4)=0,1,0)</x:f>
        <x:v>0</x:v>
      </x:c>
      <x:c r="E656" s="8" t="n">
        <x:f>IF(AND(F655&lt;=9,AS655&gt;=AR655),1,0)</x:f>
        <x:v>0</x:v>
      </x:c>
      <x:c r="F656" s="8" t="n">
        <x:f>MIN(10,F655+E656)</x:f>
        <x:v>9</x:v>
      </x:c>
      <x:c r="G656" s="8" t="n">
        <x:f>MIN(F656,9)+1</x:f>
        <x:v>10</x:v>
      </x:c>
      <x:c r="H656" s="8" t="n">
        <x:f>IF(F656&lt;=9,1,0)</x:f>
        <x:v>1</x:v>
      </x:c>
      <x:c r="I656" s="9" t="n">
        <x:f>MIN(10,F655+IF(AR655&gt;0,MIN(1,AS655/AR655),1))</x:f>
        <x:v>9.135318345353099</x:v>
      </x:c>
      <x:c r="J656" s="32" t="n">
        <x:f>INDEX(tun_FoodCap,G656)*Arch_FoodCap*EXP(tun_CapsByProject*SUMPRODUCT((Cap_Point&lt;=I656)*(Cap_Kind="Food")*Cap_Ln))</x:f>
        <x:v>13863.877308233004</x:v>
      </x:c>
      <x:c r="K656" s="32" t="n">
        <x:f>J656*MIN(1,tun_LeanBase*EXP(tun_CapsByProject*SUMPRODUCT((Cap_Point&lt;=I656)*(Cap_Kind="Lean")*Cap_Ln)))</x:f>
        <x:v>13863.877308233004</x:v>
      </x:c>
      <x:c r="L656" s="10" t="n">
        <x:f>INDEX(tun_HousingCap,G656)*EXP(tun_CapsByProject*SUMPRODUCT((Cap_Point&lt;=I656)*(Cap_Kind="Housing")*Cap_Ln))</x:f>
        <x:v>12514.86067705494</x:v>
      </x:c>
      <x:c r="M656" s="10" t="n">
        <x:f>INDEX(tun_GroupCap,G656)*tun_CohesionFactor*EXP(tun_CapsByProject*SUMPRODUCT((Cap_Point&lt;=I656)*(Cap_Kind="Group")*Cap_Ln))</x:f>
        <x:v>1000000.000000001</x:v>
      </x:c>
      <x:c r="N656" s="32" t="n">
        <x:f>MIN(J656,L656,M656)</x:f>
        <x:v>12514.86067705494</x:v>
      </x:c>
      <x:c r="O656" s="10" t="n">
        <x:f>AE655*N656</x:f>
        <x:v>112633.74609349445</x:v>
      </x:c>
      <x:c r="P656" s="9" t="n">
        <x:f>MIN(1,(AB655/(AE655*IF(tun_GroupInCrowding=1,N656,MIN(J656,L656))))^tun_CrowdingExp)</x:f>
        <x:v>0.566746284336821</x:v>
      </x:c>
      <x:c r="Q656" s="9" t="n">
        <x:f>IF(D656=1,INDEX(tun_WinterMult,G656),1)</x:f>
        <x:v>1</x:v>
      </x:c>
      <x:c r="R656" s="9" t="n">
        <x:f>H656*Z655*tun_WomenShare*tun_BaseFertility*INDEX(tun_FertMult,G656)*Arch_Fertility*(1-P656)</x:f>
        <x:v>445.2472005502637</x:v>
      </x:c>
      <x:c r="S656" s="9" t="n">
        <x:f>H656*Y655*INDEX(tun_MortChild,G656)/4*Q656</x:f>
        <x:v>7.658272330869077</x:v>
      </x:c>
      <x:c r="T656" s="9" t="n">
        <x:f>H656*Z655*INDEX(tun_MortAdult,G656)*Arch_AdultMort/4*Q656</x:f>
        <x:v>16.939819104091722</x:v>
      </x:c>
      <x:c r="U656" s="9" t="n">
        <x:f>H656*AA655*INDEX(tun_MortElder,G656)/4*Q656</x:f>
        <x:v>156.95965905057295</x:v>
      </x:c>
      <x:c r="V656" s="9" t="n">
        <x:f>H656*MAX(0,AB655-O656)*tun_OvercapLoss</x:f>
        <x:v>0</x:v>
      </x:c>
      <x:c r="W656" s="9" t="n">
        <x:f>H656*Y655/(tun_ChildYears*4)</x:f>
        <x:v>607.7993913388157</x:v>
      </x:c>
      <x:c r="X656" s="9" t="n">
        <x:f>H656*Z655/(tun_AdultYears*4)</x:f>
        <x:v>364.29718503423055</x:v>
      </x:c>
      <x:c r="Y656" s="32" t="n">
        <x:f>Y655+R656-S656-W656-Y655*V656/AB655</x:f>
        <x:v>33866.55545185426</x:v>
      </x:c>
      <x:c r="Z656" s="32" t="n">
        <x:f>Z655+W656-X656-T656-Z655*V656/AB655</x:f>
        <x:v>45399.41333144508</x:v>
      </x:c>
      <x:c r="AA656" s="32" t="n">
        <x:f>AA655+X656-U656-AA655*V656/AB655</x:f>
        <x:v>23460.620348290762</x:v>
      </x:c>
      <x:c r="AB656" s="10" t="n">
        <x:f>Y656+Z656+AA656</x:f>
        <x:v>102726.58913159011</x:v>
      </x:c>
      <x:c r="AC656" s="8" t="n">
        <x:f>IF(AND(tun_WinterTrigger=1,D656=1,AB655/AE655&gt;=K656),1,0)</x:f>
        <x:v>0</x:v>
      </x:c>
      <x:c r="AD656" s="8" t="n">
        <x:f>H656*IF(AND(OR(AB655/AE655&gt;=tun_FissionTrigger*N656,AC656=1),AB655/AE655*tun_DaughterShare&gt;=tun_MinDaughter),MAX(1,ROUND(AE655*tun_FissionRate,0)),0)</x:f>
        <x:v>3</x:v>
      </x:c>
      <x:c r="AE656" s="8" t="n">
        <x:f>IF(H656=1,MAX(1,MIN(INDEX(tun_Smax,G656),AE655+AD656)),AE655)</x:f>
        <x:v>9</x:v>
      </x:c>
      <x:c r="AF656" s="8" t="n">
        <x:f>MAX(0,AE656-AE655)</x:f>
        <x:v>0</x:v>
      </x:c>
      <x:c r="AG656" s="9" t="str">
        <x:f>IF(AF656&gt;0,B656,"")</x:f>
      </x:c>
      <x:c r="AH656" s="9" t="n">
        <x:f>IF(F656&gt;=1,1,(1+tun_LowTiesShare*(AE656-1))/AE656)</x:f>
        <x:v>1</x:v>
      </x:c>
      <x:c r="AI656" s="32" t="n">
        <x:f>(Z656+tun_ElderCommons*INDEX(LM_Elder,G656)*AA656)*AH656</x:f>
        <x:v>137670.81159962527</x:v>
      </x:c>
      <x:c r="AJ656" s="32" t="n">
        <x:f>H656*tun_CommonsCoef*AI656^tun_CommonsExp*INDEX(LM_Commons,G656)</x:f>
        <x:v>501193.73080803856</x:v>
      </x:c>
      <x:c r="AK656" s="32" t="n">
        <x:f>H656*tun_RoleScale*Arch_Roles*(AE656*(INDEX(tun_ElderRolePerSett,G656)*tun_OutElder*INDEX(LM_Elder,G656)+INDEX(tun_ShamanPerSett,G656)*tun_OutShaman)+Z656*(INDEX(tun_PriestShare,G656)*tun_OutPriest+INDEX(tun_ScribeShare,G656)*tun_OutScribe*INDEX(LM_Scribe,G656)+INDEX(tun_ScholarShare,G656)*tun_OutScholar*INDEX(LM_Scholar,G656)+INDEX(tun_ResearcherShare,G656)*tun_OutResearcher*INDEX(LM_Researcher,G656)))</x:f>
        <x:v>163754.23177013738</x:v>
      </x:c>
      <x:c r="AL656" s="32" t="n">
        <x:f>H656*tun_RoleScale*Arch_Roles*AE656*INDEX(tun_MonasteryPerSett,G656)*tun_OutMonastery*INDEX(LM_Monastery,G656)</x:f>
        <x:v>15.840000000000002</x:v>
      </x:c>
      <x:c r="AM656" s="32" t="n">
        <x:f>(AJ656+AK656+AL656)/4*INDEX(LM_All,G656)*INDEX(tun_Boon,G656)*Arch_Insight</x:f>
        <x:v>575840.3139554632</x:v>
      </x:c>
      <x:c r="AN656" s="32" t="n">
        <x:f>H656*(tun_KHPerAdult*Z656+tun_KHOfCommons*AJ656/4*INDEX(LM_All,G656))*tun_KHUsable*Arch_KH</x:f>
        <x:v>85145.36015840722</x:v>
      </x:c>
      <x:c r="AO656" s="32" t="n">
        <x:f>MIN(AP655+AN656,AM656*tun_KHMaxRatio)</x:f>
        <x:v>85145.36015840722</x:v>
      </x:c>
      <x:c r="AP656" s="32" t="n">
        <x:f>AP655+AN656-AO656</x:f>
        <x:v>0</x:v>
      </x:c>
      <x:c r="AQ656" s="32" t="n">
        <x:f>AM656+AO656</x:f>
        <x:v>660985.6741138705</x:v>
      </x:c>
      <x:c r="AR656" s="10" t="n">
        <x:f>IF(H656=1,INDEX(tun_Req,G656),0)</x:f>
        <x:v>125406521.7009086</x:v>
      </x:c>
      <x:c r="AS656" s="32" t="n">
        <x:f>IF(H656=1,IF(E656=1,AS655-AR655,AS655)+AQ656,0)</x:f>
        <x:v>17630788.687168226</x:v>
      </x:c>
      <x:c r="AT656" s="11" t="n">
        <x:f>IF(AR656&gt;0,MIN(1,AS656/AR656),1)</x:f>
        <x:v>0.14058908937142212</x:v>
      </x:c>
      <x:c r="AU656" s="10" t="n">
        <x:f>AB656/INDEX(tun_RepScale,G656)</x:f>
        <x:v>205.4531782631802</x:v>
      </x:c>
      <x:c r="AV656" s="32" t="n">
        <x:f>AM656*60/tun_SeasonSeconds</x:f>
        <x:v>2303361.255821853</x:v>
      </x:c>
    </x:row>
    <x:row r="657">
      <x:c r="A657" s="8" t="n">
        <x:f>A656+1</x:f>
        <x:v>654</x:v>
      </x:c>
      <x:c r="B657" s="9" t="n">
        <x:f>A657*tun_SeasonSeconds/60</x:f>
        <x:v>163.5</x:v>
      </x:c>
      <x:c r="C657" s="9" t="n">
        <x:f>A657/4</x:f>
        <x:v>163.5</x:v>
      </x:c>
      <x:c r="D657" s="8" t="n">
        <x:f>IF(MOD(A657,4)=0,1,0)</x:f>
        <x:v>0</x:v>
      </x:c>
      <x:c r="E657" s="8" t="n">
        <x:f>IF(AND(F656&lt;=9,AS656&gt;=AR656),1,0)</x:f>
        <x:v>0</x:v>
      </x:c>
      <x:c r="F657" s="8" t="n">
        <x:f>MIN(10,F656+E657)</x:f>
        <x:v>9</x:v>
      </x:c>
      <x:c r="G657" s="8" t="n">
        <x:f>MIN(F657,9)+1</x:f>
        <x:v>10</x:v>
      </x:c>
      <x:c r="H657" s="8" t="n">
        <x:f>IF(F657&lt;=9,1,0)</x:f>
        <x:v>1</x:v>
      </x:c>
      <x:c r="I657" s="9" t="n">
        <x:f>MIN(10,F656+IF(AR656&gt;0,MIN(1,AS656/AR656),1))</x:f>
        <x:v>9.140589089371423</x:v>
      </x:c>
      <x:c r="J657" s="32" t="n">
        <x:f>INDEX(tun_FoodCap,G657)*Arch_FoodCap*EXP(tun_CapsByProject*SUMPRODUCT((Cap_Point&lt;=I657)*(Cap_Kind="Food")*Cap_Ln))</x:f>
        <x:v>13863.877308233004</x:v>
      </x:c>
      <x:c r="K657" s="32" t="n">
        <x:f>J657*MIN(1,tun_LeanBase*EXP(tun_CapsByProject*SUMPRODUCT((Cap_Point&lt;=I657)*(Cap_Kind="Lean")*Cap_Ln)))</x:f>
        <x:v>13863.877308233004</x:v>
      </x:c>
      <x:c r="L657" s="10" t="n">
        <x:f>INDEX(tun_HousingCap,G657)*EXP(tun_CapsByProject*SUMPRODUCT((Cap_Point&lt;=I657)*(Cap_Kind="Housing")*Cap_Ln))</x:f>
        <x:v>12514.86067705494</x:v>
      </x:c>
      <x:c r="M657" s="10" t="n">
        <x:f>INDEX(tun_GroupCap,G657)*tun_CohesionFactor*EXP(tun_CapsByProject*SUMPRODUCT((Cap_Point&lt;=I657)*(Cap_Kind="Group")*Cap_Ln))</x:f>
        <x:v>1000000.000000001</x:v>
      </x:c>
      <x:c r="N657" s="32" t="n">
        <x:f>MIN(J657,L657,M657)</x:f>
        <x:v>12514.86067705494</x:v>
      </x:c>
      <x:c r="O657" s="10" t="n">
        <x:f>AE656*N657</x:f>
        <x:v>112633.74609349445</x:v>
      </x:c>
      <x:c r="P657" s="9" t="n">
        <x:f>MIN(1,(AB656/(AE656*IF(tun_GroupInCrowding=1,N657,MIN(J657,L657))))^tun_CrowdingExp)</x:f>
        <x:v>0.5755539494495577</x:v>
      </x:c>
      <x:c r="Q657" s="9" t="n">
        <x:f>IF(D657=1,INDEX(tun_WinterMult,G657),1)</x:f>
        <x:v>1</x:v>
      </x:c>
      <x:c r="R657" s="9" t="n">
        <x:f>H657*Z656*tun_WomenShare*tun_BaseFertility*INDEX(tun_FertMult,G657)*Arch_Fertility*(1-P657)</x:f>
        <x:v>438.3834383528364</x:v>
      </x:c>
      <x:c r="S657" s="9" t="n">
        <x:f>H657*Y656*INDEX(tun_MortChild,G657)/4*Q657</x:f>
        <x:v>7.619974976667209</x:v>
      </x:c>
      <x:c r="T657" s="9" t="n">
        <x:f>H657*Z656*INDEX(tun_MortAdult,G657)*Arch_AdultMort/4*Q657</x:f>
        <x:v>17.024779999291905</x:v>
      </x:c>
      <x:c r="U657" s="9" t="n">
        <x:f>H657*AA656*INDEX(tun_MortElder,G657)/4*Q657</x:f>
        <x:v>158.35918735096266</x:v>
      </x:c>
      <x:c r="V657" s="9" t="n">
        <x:f>H657*MAX(0,AB656-O657)*tun_OvercapLoss</x:f>
        <x:v>0</x:v>
      </x:c>
      <x:c r="W657" s="9" t="n">
        <x:f>H657*Y656/(tun_ChildYears*4)</x:f>
        <x:v>604.7599187831119</x:v>
      </x:c>
      <x:c r="X657" s="9" t="n">
        <x:f>H657*Z656/(tun_AdultYears*4)</x:f>
        <x:v>366.124301060041</x:v>
      </x:c>
      <x:c r="Y657" s="32" t="n">
        <x:f>Y656+R657-S657-W657-Y656*V657/AB656</x:f>
        <x:v>33692.55899644732</x:v>
      </x:c>
      <x:c r="Z657" s="32" t="n">
        <x:f>Z656+W657-X657-T657-Z656*V657/AB656</x:f>
        <x:v>45621.024169168864</x:v>
      </x:c>
      <x:c r="AA657" s="32" t="n">
        <x:f>AA656+X657-U657-AA656*V657/AB656</x:f>
        <x:v>23668.385461999842</x:v>
      </x:c>
      <x:c r="AB657" s="10" t="n">
        <x:f>Y657+Z657+AA657</x:f>
        <x:v>102981.96862761602</x:v>
      </x:c>
      <x:c r="AC657" s="8" t="n">
        <x:f>IF(AND(tun_WinterTrigger=1,D657=1,AB656/AE656&gt;=K657),1,0)</x:f>
        <x:v>0</x:v>
      </x:c>
      <x:c r="AD657" s="8" t="n">
        <x:f>H657*IF(AND(OR(AB656/AE656&gt;=tun_FissionTrigger*N657,AC657=1),AB656/AE656*tun_DaughterShare&gt;=tun_MinDaughter),MAX(1,ROUND(AE656*tun_FissionRate,0)),0)</x:f>
        <x:v>3</x:v>
      </x:c>
      <x:c r="AE657" s="8" t="n">
        <x:f>IF(H657=1,MAX(1,MIN(INDEX(tun_Smax,G657),AE656+AD657)),AE656)</x:f>
        <x:v>9</x:v>
      </x:c>
      <x:c r="AF657" s="8" t="n">
        <x:f>MAX(0,AE657-AE656)</x:f>
        <x:v>0</x:v>
      </x:c>
      <x:c r="AG657" s="9" t="str">
        <x:f>IF(AF657&gt;0,B657,"")</x:f>
      </x:c>
      <x:c r="AH657" s="9" t="n">
        <x:f>IF(F657&gt;=1,1,(1+tun_LowTiesShare*(AE657-1))/AE657)</x:f>
        <x:v>1</x:v>
      </x:c>
      <x:c r="AI657" s="32" t="n">
        <x:f>(Z657+tun_ElderCommons*INDEX(LM_Elder,G657)*AA657)*AH657</x:f>
        <x:v>138709.5695233459</x:v>
      </x:c>
      <x:c r="AJ657" s="32" t="n">
        <x:f>H657*tun_CommonsCoef*AI657^tun_CommonsExp*INDEX(LM_Commons,G657)</x:f>
        <x:v>504406.2956899026</x:v>
      </x:c>
      <x:c r="AK657" s="32" t="n">
        <x:f>H657*tun_RoleScale*Arch_Roles*(AE657*(INDEX(tun_ElderRolePerSett,G657)*tun_OutElder*INDEX(LM_Elder,G657)+INDEX(tun_ShamanPerSett,G657)*tun_OutShaman)+Z657*(INDEX(tun_PriestShare,G657)*tun_OutPriest+INDEX(tun_ScribeShare,G657)*tun_OutScribe*INDEX(LM_Scribe,G657)+INDEX(tun_ScholarShare,G657)*tun_OutScholar*INDEX(LM_Scholar,G657)+INDEX(tun_ResearcherShare,G657)*tun_OutResearcher*INDEX(LM_Researcher,G657)))</x:f>
        <x:v>164552.35663902896</x:v>
      </x:c>
      <x:c r="AL657" s="32" t="n">
        <x:f>H657*tun_RoleScale*Arch_Roles*AE657*INDEX(tun_MonasteryPerSett,G657)*tun_OutMonastery*INDEX(LM_Monastery,G657)</x:f>
        <x:v>15.840000000000002</x:v>
      </x:c>
      <x:c r="AM657" s="32" t="n">
        <x:f>(AJ657+AK657+AL657)/4*INDEX(LM_All,G657)*INDEX(tun_Boon,G657)*Arch_Insight</x:f>
        <x:v>579313.4606685606</x:v>
      </x:c>
      <x:c r="AN657" s="32" t="n">
        <x:f>H657*(tun_KHPerAdult*Z657+tun_KHOfCommons*AJ657/4*INDEX(LM_All,G657))*tun_KHUsable*Arch_KH</x:f>
        <x:v>85691.12714846426</x:v>
      </x:c>
      <x:c r="AO657" s="32" t="n">
        <x:f>MIN(AP656+AN657,AM657*tun_KHMaxRatio)</x:f>
        <x:v>85691.12714846426</x:v>
      </x:c>
      <x:c r="AP657" s="32" t="n">
        <x:f>AP656+AN657-AO657</x:f>
        <x:v>0</x:v>
      </x:c>
      <x:c r="AQ657" s="32" t="n">
        <x:f>AM657+AO657</x:f>
        <x:v>665004.5878170249</x:v>
      </x:c>
      <x:c r="AR657" s="10" t="n">
        <x:f>IF(H657=1,INDEX(tun_Req,G657),0)</x:f>
        <x:v>125406521.7009086</x:v>
      </x:c>
      <x:c r="AS657" s="32" t="n">
        <x:f>IF(H657=1,IF(E657=1,AS656-AR656,AS656)+AQ657,0)</x:f>
        <x:v>18295793.27498525</x:v>
      </x:c>
      <x:c r="AT657" s="11" t="n">
        <x:f>IF(AR657&gt;0,MIN(1,AS657/AR657),1)</x:f>
        <x:v>0.14589188047668092</x:v>
      </x:c>
      <x:c r="AU657" s="10" t="n">
        <x:f>AB657/INDEX(tun_RepScale,G657)</x:f>
        <x:v>205.96393725523205</x:v>
      </x:c>
      <x:c r="AV657" s="32" t="n">
        <x:f>AM657*60/tun_SeasonSeconds</x:f>
        <x:v>2317253.8426742423</x:v>
      </x:c>
    </x:row>
    <x:row r="658">
      <x:c r="A658" s="8" t="n">
        <x:f>A657+1</x:f>
        <x:v>655</x:v>
      </x:c>
      <x:c r="B658" s="9" t="n">
        <x:f>A658*tun_SeasonSeconds/60</x:f>
        <x:v>163.75</x:v>
      </x:c>
      <x:c r="C658" s="9" t="n">
        <x:f>A658/4</x:f>
        <x:v>163.75</x:v>
      </x:c>
      <x:c r="D658" s="8" t="n">
        <x:f>IF(MOD(A658,4)=0,1,0)</x:f>
        <x:v>0</x:v>
      </x:c>
      <x:c r="E658" s="8" t="n">
        <x:f>IF(AND(F657&lt;=9,AS657&gt;=AR657),1,0)</x:f>
        <x:v>0</x:v>
      </x:c>
      <x:c r="F658" s="8" t="n">
        <x:f>MIN(10,F657+E658)</x:f>
        <x:v>9</x:v>
      </x:c>
      <x:c r="G658" s="8" t="n">
        <x:f>MIN(F658,9)+1</x:f>
        <x:v>10</x:v>
      </x:c>
      <x:c r="H658" s="8" t="n">
        <x:f>IF(F658&lt;=9,1,0)</x:f>
        <x:v>1</x:v>
      </x:c>
      <x:c r="I658" s="9" t="n">
        <x:f>MIN(10,F657+IF(AR657&gt;0,MIN(1,AS657/AR657),1))</x:f>
        <x:v>9.14589188047668</x:v>
      </x:c>
      <x:c r="J658" s="32" t="n">
        <x:f>INDEX(tun_FoodCap,G658)*Arch_FoodCap*EXP(tun_CapsByProject*SUMPRODUCT((Cap_Point&lt;=I658)*(Cap_Kind="Food")*Cap_Ln))</x:f>
        <x:v>13863.877308233004</x:v>
      </x:c>
      <x:c r="K658" s="32" t="n">
        <x:f>J658*MIN(1,tun_LeanBase*EXP(tun_CapsByProject*SUMPRODUCT((Cap_Point&lt;=I658)*(Cap_Kind="Lean")*Cap_Ln)))</x:f>
        <x:v>13863.877308233004</x:v>
      </x:c>
      <x:c r="L658" s="10" t="n">
        <x:f>INDEX(tun_HousingCap,G658)*EXP(tun_CapsByProject*SUMPRODUCT((Cap_Point&lt;=I658)*(Cap_Kind="Housing")*Cap_Ln))</x:f>
        <x:v>12514.86067705494</x:v>
      </x:c>
      <x:c r="M658" s="10" t="n">
        <x:f>INDEX(tun_GroupCap,G658)*tun_CohesionFactor*EXP(tun_CapsByProject*SUMPRODUCT((Cap_Point&lt;=I658)*(Cap_Kind="Group")*Cap_Ln))</x:f>
        <x:v>1000000.000000001</x:v>
      </x:c>
      <x:c r="N658" s="32" t="n">
        <x:f>MIN(J658,L658,M658)</x:f>
        <x:v>12514.86067705494</x:v>
      </x:c>
      <x:c r="O658" s="10" t="n">
        <x:f>AE657*N658</x:f>
        <x:v>112633.74609349445</x:v>
      </x:c>
      <x:c r="P658" s="9" t="n">
        <x:f>MIN(1,(AB657/(AE657*IF(tun_GroupInCrowding=1,N658,MIN(J658,L658))))^tun_CrowdingExp)</x:f>
        <x:v>0.5841924855775671</x:v>
      </x:c>
      <x:c r="Q658" s="9" t="n">
        <x:f>IF(D658=1,INDEX(tun_WinterMult,G658),1)</x:f>
        <x:v>1</x:v>
      </x:c>
      <x:c r="R658" s="9" t="n">
        <x:f>H658*Z657*tun_WomenShare*tun_BaseFertility*INDEX(tun_FertMult,G658)*Arch_Fertility*(1-P658)</x:f>
        <x:v>431.5575961330235</x:v>
      </x:c>
      <x:c r="S658" s="9" t="n">
        <x:f>H658*Y657*INDEX(tun_MortChild,G658)/4*Q658</x:f>
        <x:v>7.580825774200647</x:v>
      </x:c>
      <x:c r="T658" s="9" t="n">
        <x:f>H658*Z657*INDEX(tun_MortAdult,G658)*Arch_AdultMort/4*Q658</x:f>
        <x:v>17.107884063438323</x:v>
      </x:c>
      <x:c r="U658" s="9" t="n">
        <x:f>H658*AA657*INDEX(tun_MortElder,G658)/4*Q658</x:f>
        <x:v>159.76160186849893</x:v>
      </x:c>
      <x:c r="V658" s="9" t="n">
        <x:f>H658*MAX(0,AB657-O658)*tun_OvercapLoss</x:f>
        <x:v>0</x:v>
      </x:c>
      <x:c r="W658" s="9" t="n">
        <x:f>H658*Y657/(tun_ChildYears*4)</x:f>
        <x:v>601.6528392222735</x:v>
      </x:c>
      <x:c r="X658" s="9" t="n">
        <x:f>H658*Z657/(tun_AdultYears*4)</x:f>
        <x:v>367.91148523523276</x:v>
      </x:c>
      <x:c r="Y658" s="32" t="n">
        <x:f>Y657+R658-S658-W658-Y657*V658/AB657</x:f>
        <x:v>33514.882927583865</x:v>
      </x:c>
      <x:c r="Z658" s="32" t="n">
        <x:f>Z657+W658-X658-T658-Z657*V658/AB657</x:f>
        <x:v>45837.65763909247</x:v>
      </x:c>
      <x:c r="AA658" s="32" t="n">
        <x:f>AA657+X658-U658-AA657*V658/AB657</x:f>
        <x:v>23876.535345366574</x:v>
      </x:c>
      <x:c r="AB658" s="10" t="n">
        <x:f>Y658+Z658+AA658</x:f>
        <x:v>103229.0759120429</x:v>
      </x:c>
      <x:c r="AC658" s="8" t="n">
        <x:f>IF(AND(tun_WinterTrigger=1,D658=1,AB657/AE657&gt;=K658),1,0)</x:f>
        <x:v>0</x:v>
      </x:c>
      <x:c r="AD658" s="8" t="n">
        <x:f>H658*IF(AND(OR(AB657/AE657&gt;=tun_FissionTrigger*N658,AC658=1),AB657/AE657*tun_DaughterShare&gt;=tun_MinDaughter),MAX(1,ROUND(AE657*tun_FissionRate,0)),0)</x:f>
        <x:v>3</x:v>
      </x:c>
      <x:c r="AE658" s="8" t="n">
        <x:f>IF(H658=1,MAX(1,MIN(INDEX(tun_Smax,G658),AE657+AD658)),AE657)</x:f>
        <x:v>9</x:v>
      </x:c>
      <x:c r="AF658" s="8" t="n">
        <x:f>MAX(0,AE658-AE657)</x:f>
        <x:v>0</x:v>
      </x:c>
      <x:c r="AG658" s="9" t="str">
        <x:f>IF(AF658&gt;0,B658,"")</x:f>
      </x:c>
      <x:c r="AH658" s="9" t="n">
        <x:f>IF(F658&gt;=1,1,(1+tun_LowTiesShare*(AE658-1))/AE658)</x:f>
        <x:v>1</x:v>
      </x:c>
      <x:c r="AI658" s="32" t="n">
        <x:f>(Z658+tun_ElderCommons*INDEX(LM_Elder,G658)*AA658)*AH658</x:f>
        <x:v>139744.86339109682</x:v>
      </x:c>
      <x:c r="AJ658" s="32" t="n">
        <x:f>H658*tun_CommonsCoef*AI658^tun_CommonsExp*INDEX(LM_Commons,G658)</x:f>
        <x:v>507604.55856622464</x:v>
      </x:c>
      <x:c r="AK658" s="32" t="n">
        <x:f>H658*tun_RoleScale*Arch_Roles*(AE658*(INDEX(tun_ElderRolePerSett,G658)*tun_OutElder*INDEX(LM_Elder,G658)+INDEX(tun_ShamanPerSett,G658)*tun_OutShaman)+Z658*(INDEX(tun_PriestShare,G658)*tun_OutPriest+INDEX(tun_ScribeShare,G658)*tun_OutScribe*INDEX(LM_Scribe,G658)+INDEX(tun_ScholarShare,G658)*tun_OutScholar*INDEX(LM_Scholar,G658)+INDEX(tun_ResearcherShare,G658)*tun_OutResearcher*INDEX(LM_Researcher,G658)))</x:f>
        <x:v>165332.55566519668</x:v>
      </x:c>
      <x:c r="AL658" s="32" t="n">
        <x:f>H658*tun_RoleScale*Arch_Roles*AE658*INDEX(tun_MonasteryPerSett,G658)*tun_OutMonastery*INDEX(LM_Monastery,G658)</x:f>
        <x:v>15.840000000000002</x:v>
      </x:c>
      <x:c r="AM658" s="32" t="n">
        <x:f>(AJ658+AK658+AL658)/4*INDEX(LM_All,G658)*INDEX(tun_Boon,G658)*Arch_Insight</x:f>
        <x:v>582758.6989538734</x:v>
      </x:c>
      <x:c r="AN658" s="32" t="n">
        <x:f>H658*(tun_KHPerAdult*Z658+tun_KHOfCommons*AJ658/4*INDEX(LM_All,G658))*tun_KHUsable*Arch_KH</x:f>
        <x:v>86234.46444050633</x:v>
      </x:c>
      <x:c r="AO658" s="32" t="n">
        <x:f>MIN(AP657+AN658,AM658*tun_KHMaxRatio)</x:f>
        <x:v>86234.46444050633</x:v>
      </x:c>
      <x:c r="AP658" s="32" t="n">
        <x:f>AP657+AN658-AO658</x:f>
        <x:v>0</x:v>
      </x:c>
      <x:c r="AQ658" s="32" t="n">
        <x:f>AM658+AO658</x:f>
        <x:v>668993.1633943797</x:v>
      </x:c>
      <x:c r="AR658" s="10" t="n">
        <x:f>IF(H658=1,INDEX(tun_Req,G658),0)</x:f>
        <x:v>125406521.7009086</x:v>
      </x:c>
      <x:c r="AS658" s="32" t="n">
        <x:f>IF(H658=1,IF(E658=1,AS657-AR657,AS657)+AQ658,0)</x:f>
        <x:v>18964786.43837963</x:v>
      </x:c>
      <x:c r="AT658" s="11" t="n">
        <x:f>IF(AR658&gt;0,MIN(1,AS658/AR658),1)</x:f>
        <x:v>0.1512264767506284</x:v>
      </x:c>
      <x:c r="AU658" s="10" t="n">
        <x:f>AB658/INDEX(tun_RepScale,G658)</x:f>
        <x:v>206.4581518240858</x:v>
      </x:c>
      <x:c r="AV658" s="32" t="n">
        <x:f>AM658*60/tun_SeasonSeconds</x:f>
        <x:v>2331034.7958154934</x:v>
      </x:c>
    </x:row>
    <x:row r="659">
      <x:c r="A659" s="8" t="n">
        <x:f>A658+1</x:f>
        <x:v>656</x:v>
      </x:c>
      <x:c r="B659" s="9" t="n">
        <x:f>A659*tun_SeasonSeconds/60</x:f>
        <x:v>164</x:v>
      </x:c>
      <x:c r="C659" s="9" t="n">
        <x:f>A659/4</x:f>
        <x:v>164</x:v>
      </x:c>
      <x:c r="D659" s="8" t="n">
        <x:f>IF(MOD(A659,4)=0,1,0)</x:f>
        <x:v>1</x:v>
      </x:c>
      <x:c r="E659" s="8" t="n">
        <x:f>IF(AND(F658&lt;=9,AS658&gt;=AR658),1,0)</x:f>
        <x:v>0</x:v>
      </x:c>
      <x:c r="F659" s="8" t="n">
        <x:f>MIN(10,F658+E659)</x:f>
        <x:v>9</x:v>
      </x:c>
      <x:c r="G659" s="8" t="n">
        <x:f>MIN(F659,9)+1</x:f>
        <x:v>10</x:v>
      </x:c>
      <x:c r="H659" s="8" t="n">
        <x:f>IF(F659&lt;=9,1,0)</x:f>
        <x:v>1</x:v>
      </x:c>
      <x:c r="I659" s="9" t="n">
        <x:f>MIN(10,F658+IF(AR658&gt;0,MIN(1,AS658/AR658),1))</x:f>
        <x:v>9.151226476750628</x:v>
      </x:c>
      <x:c r="J659" s="32" t="n">
        <x:f>INDEX(tun_FoodCap,G659)*Arch_FoodCap*EXP(tun_CapsByProject*SUMPRODUCT((Cap_Point&lt;=I659)*(Cap_Kind="Food")*Cap_Ln))</x:f>
        <x:v>13863.877308233004</x:v>
      </x:c>
      <x:c r="K659" s="32" t="n">
        <x:f>J659*MIN(1,tun_LeanBase*EXP(tun_CapsByProject*SUMPRODUCT((Cap_Point&lt;=I659)*(Cap_Kind="Lean")*Cap_Ln)))</x:f>
        <x:v>13863.877308233004</x:v>
      </x:c>
      <x:c r="L659" s="10" t="n">
        <x:f>INDEX(tun_HousingCap,G659)*EXP(tun_CapsByProject*SUMPRODUCT((Cap_Point&lt;=I659)*(Cap_Kind="Housing")*Cap_Ln))</x:f>
        <x:v>12514.86067705494</x:v>
      </x:c>
      <x:c r="M659" s="10" t="n">
        <x:f>INDEX(tun_GroupCap,G659)*tun_CohesionFactor*EXP(tun_CapsByProject*SUMPRODUCT((Cap_Point&lt;=I659)*(Cap_Kind="Group")*Cap_Ln))</x:f>
        <x:v>1000000.000000001</x:v>
      </x:c>
      <x:c r="N659" s="32" t="n">
        <x:f>MIN(J659,L659,M659)</x:f>
        <x:v>12514.86067705494</x:v>
      </x:c>
      <x:c r="O659" s="10" t="n">
        <x:f>AE658*N659</x:f>
        <x:v>112633.74609349445</x:v>
      </x:c>
      <x:c r="P659" s="9" t="n">
        <x:f>MIN(1,(AB658/(AE658*IF(tun_GroupInCrowding=1,N659,MIN(J659,L659))))^tun_CrowdingExp)</x:f>
        <x:v>0.5926537903422672</x:v>
      </x:c>
      <x:c r="Q659" s="9" t="n">
        <x:f>IF(D659=1,INDEX(tun_WinterMult,G659),1)</x:f>
        <x:v>1.05</x:v>
      </x:c>
      <x:c r="R659" s="9" t="n">
        <x:f>H659*Z658*tun_WomenShare*tun_BaseFertility*INDEX(tun_FertMult,G659)*Arch_Fertility*(1-P659)</x:f>
        <x:v>424.7833612493639</x:v>
      </x:c>
      <x:c r="S659" s="9" t="n">
        <x:f>H659*Y658*INDEX(tun_MortChild,G659)/4*Q659</x:f>
        <x:v>7.917891091641689</x:v>
      </x:c>
      <x:c r="T659" s="9" t="n">
        <x:f>H659*Z658*INDEX(tun_MortAdult,G659)*Arch_AdultMort/4*Q659</x:f>
        <x:v>18.048577695392662</x:v>
      </x:c>
      <x:c r="U659" s="9" t="n">
        <x:f>H659*AA658*INDEX(tun_MortElder,G659)/4*Q659</x:f>
        <x:v>169.22494426028558</x:v>
      </x:c>
      <x:c r="V659" s="9" t="n">
        <x:f>H659*MAX(0,AB658-O659)*tun_OvercapLoss</x:f>
        <x:v>0</x:v>
      </x:c>
      <x:c r="W659" s="9" t="n">
        <x:f>H659*Y658/(tun_ChildYears*4)</x:f>
        <x:v>598.4800522782833</x:v>
      </x:c>
      <x:c r="X659" s="9" t="n">
        <x:f>H659*Z658/(tun_AdultYears*4)</x:f>
        <x:v>369.6585293475199</x:v>
      </x:c>
      <x:c r="Y659" s="32" t="n">
        <x:f>Y658+R659-S659-W659-Y658*V659/AB658</x:f>
        <x:v>33333.2683454633</x:v>
      </x:c>
      <x:c r="Z659" s="32" t="n">
        <x:f>Z658+W659-X659-T659-Z658*V659/AB658</x:f>
        <x:v>46048.430584327834</x:v>
      </x:c>
      <x:c r="AA659" s="32" t="n">
        <x:f>AA658+X659-U659-AA658*V659/AB658</x:f>
        <x:v>24076.968930453808</x:v>
      </x:c>
      <x:c r="AB659" s="10" t="n">
        <x:f>Y659+Z659+AA659</x:f>
        <x:v>103458.66786024494</x:v>
      </x:c>
      <x:c r="AC659" s="8" t="n">
        <x:f>IF(AND(tun_WinterTrigger=1,D659=1,AB658/AE658&gt;=K659),1,0)</x:f>
        <x:v>0</x:v>
      </x:c>
      <x:c r="AD659" s="8" t="n">
        <x:f>H659*IF(AND(OR(AB658/AE658&gt;=tun_FissionTrigger*N659,AC659=1),AB658/AE658*tun_DaughterShare&gt;=tun_MinDaughter),MAX(1,ROUND(AE658*tun_FissionRate,0)),0)</x:f>
        <x:v>3</x:v>
      </x:c>
      <x:c r="AE659" s="8" t="n">
        <x:f>IF(H659=1,MAX(1,MIN(INDEX(tun_Smax,G659),AE658+AD659)),AE658)</x:f>
        <x:v>9</x:v>
      </x:c>
      <x:c r="AF659" s="8" t="n">
        <x:f>MAX(0,AE659-AE658)</x:f>
        <x:v>0</x:v>
      </x:c>
      <x:c r="AG659" s="9" t="str">
        <x:f>IF(AF659&gt;0,B659,"")</x:f>
      </x:c>
      <x:c r="AH659" s="9" t="n">
        <x:f>IF(F659&gt;=1,1,(1+tun_LowTiesShare*(AE659-1))/AE659)</x:f>
        <x:v>1</x:v>
      </x:c>
      <x:c r="AI659" s="32" t="n">
        <x:f>(Z659+tun_ElderCommons*INDEX(LM_Elder,G659)*AA659)*AH659</x:f>
        <x:v>140743.94827699452</x:v>
      </x:c>
      <x:c r="AJ659" s="32" t="n">
        <x:f>H659*tun_CommonsCoef*AI659^tun_CommonsExp*INDEX(LM_Commons,G659)</x:f>
        <x:v>510687.59515834576</x:v>
      </x:c>
      <x:c r="AK659" s="32" t="n">
        <x:f>H659*tun_RoleScale*Arch_Roles*(AE659*(INDEX(tun_ElderRolePerSett,G659)*tun_OutElder*INDEX(LM_Elder,G659)+INDEX(tun_ShamanPerSett,G659)*tun_OutShaman)+Z659*(INDEX(tun_PriestShare,G659)*tun_OutPriest+INDEX(tun_ScribeShare,G659)*tun_OutScribe*INDEX(LM_Scribe,G659)+INDEX(tun_ScholarShare,G659)*tun_OutScholar*INDEX(LM_Scholar,G659)+INDEX(tun_ResearcherShare,G659)*tun_OutResearcher*INDEX(LM_Researcher,G659)))</x:f>
        <x:v>166091.6481852635</x:v>
      </x:c>
      <x:c r="AL659" s="32" t="n">
        <x:f>H659*tun_RoleScale*Arch_Roles*AE659*INDEX(tun_MonasteryPerSett,G659)*tun_OutMonastery*INDEX(LM_Monastery,G659)</x:f>
        <x:v>15.840000000000002</x:v>
      </x:c>
      <x:c r="AM659" s="32" t="n">
        <x:f>(AJ659+AK659+AL659)/4*INDEX(LM_All,G659)*INDEX(tun_Boon,G659)*Arch_Insight</x:f>
        <x:v>586085.8768027151</x:v>
      </x:c>
      <x:c r="AN659" s="32" t="n">
        <x:f>H659*(tun_KHPerAdult*Z659+tun_KHOfCommons*AJ659/4*INDEX(LM_All,G659))*tun_KHUsable*Arch_KH</x:f>
        <x:v>86758.22650072699</x:v>
      </x:c>
      <x:c r="AO659" s="32" t="n">
        <x:f>MIN(AP658+AN659,AM659*tun_KHMaxRatio)</x:f>
        <x:v>86758.22650072699</x:v>
      </x:c>
      <x:c r="AP659" s="32" t="n">
        <x:f>AP658+AN659-AO659</x:f>
        <x:v>0</x:v>
      </x:c>
      <x:c r="AQ659" s="32" t="n">
        <x:f>AM659+AO659</x:f>
        <x:v>672844.1033034421</x:v>
      </x:c>
      <x:c r="AR659" s="10" t="n">
        <x:f>IF(H659=1,INDEX(tun_Req,G659),0)</x:f>
        <x:v>125406521.7009086</x:v>
      </x:c>
      <x:c r="AS659" s="32" t="n">
        <x:f>IF(H659=1,IF(E659=1,AS658-AR658,AS658)+AQ659,0)</x:f>
        <x:v>19637630.541683074</x:v>
      </x:c>
      <x:c r="AT659" s="11" t="n">
        <x:f>IF(AR659&gt;0,MIN(1,AS659/AR659),1)</x:f>
        <x:v>0.15659178067723087</x:v>
      </x:c>
      <x:c r="AU659" s="10" t="n">
        <x:f>AB659/INDEX(tun_RepScale,G659)</x:f>
        <x:v>206.9173357204899</x:v>
      </x:c>
      <x:c r="AV659" s="32" t="n">
        <x:f>AM659*60/tun_SeasonSeconds</x:f>
        <x:v>2344343.5072108605</x:v>
      </x:c>
    </x:row>
    <x:row r="660">
      <x:c r="A660" s="8" t="n">
        <x:f>A659+1</x:f>
        <x:v>657</x:v>
      </x:c>
      <x:c r="B660" s="9" t="n">
        <x:f>A660*tun_SeasonSeconds/60</x:f>
        <x:v>164.25</x:v>
      </x:c>
      <x:c r="C660" s="9" t="n">
        <x:f>A660/4</x:f>
        <x:v>164.25</x:v>
      </x:c>
      <x:c r="D660" s="8" t="n">
        <x:f>IF(MOD(A660,4)=0,1,0)</x:f>
        <x:v>0</x:v>
      </x:c>
      <x:c r="E660" s="8" t="n">
        <x:f>IF(AND(F659&lt;=9,AS659&gt;=AR659),1,0)</x:f>
        <x:v>0</x:v>
      </x:c>
      <x:c r="F660" s="8" t="n">
        <x:f>MIN(10,F659+E660)</x:f>
        <x:v>9</x:v>
      </x:c>
      <x:c r="G660" s="8" t="n">
        <x:f>MIN(F660,9)+1</x:f>
        <x:v>10</x:v>
      </x:c>
      <x:c r="H660" s="8" t="n">
        <x:f>IF(F660&lt;=9,1,0)</x:f>
        <x:v>1</x:v>
      </x:c>
      <x:c r="I660" s="9" t="n">
        <x:f>MIN(10,F659+IF(AR659&gt;0,MIN(1,AS659/AR659),1))</x:f>
        <x:v>9.15659178067723</x:v>
      </x:c>
      <x:c r="J660" s="32" t="n">
        <x:f>INDEX(tun_FoodCap,G660)*Arch_FoodCap*EXP(tun_CapsByProject*SUMPRODUCT((Cap_Point&lt;=I660)*(Cap_Kind="Food")*Cap_Ln))</x:f>
        <x:v>13863.877308233004</x:v>
      </x:c>
      <x:c r="K660" s="32" t="n">
        <x:f>J660*MIN(1,tun_LeanBase*EXP(tun_CapsByProject*SUMPRODUCT((Cap_Point&lt;=I660)*(Cap_Kind="Lean")*Cap_Ln)))</x:f>
        <x:v>13863.877308233004</x:v>
      </x:c>
      <x:c r="L660" s="10" t="n">
        <x:f>INDEX(tun_HousingCap,G660)*EXP(tun_CapsByProject*SUMPRODUCT((Cap_Point&lt;=I660)*(Cap_Kind="Housing")*Cap_Ln))</x:f>
        <x:v>12514.86067705494</x:v>
      </x:c>
      <x:c r="M660" s="10" t="n">
        <x:f>INDEX(tun_GroupCap,G660)*tun_CohesionFactor*EXP(tun_CapsByProject*SUMPRODUCT((Cap_Point&lt;=I660)*(Cap_Kind="Group")*Cap_Ln))</x:f>
        <x:v>1000000.000000001</x:v>
      </x:c>
      <x:c r="N660" s="32" t="n">
        <x:f>MIN(J660,L660,M660)</x:f>
        <x:v>12514.86067705494</x:v>
      </x:c>
      <x:c r="O660" s="10" t="n">
        <x:f>AE659*N660</x:f>
        <x:v>112633.74609349445</x:v>
      </x:c>
      <x:c r="P660" s="9" t="n">
        <x:f>MIN(1,(AB659/(AE659*IF(tun_GroupInCrowding=1,N660,MIN(J660,L660))))^tun_CrowdingExp)</x:f>
        <x:v>0.600606628828402</x:v>
      </x:c>
      <x:c r="Q660" s="9" t="n">
        <x:f>IF(D660=1,INDEX(tun_WinterMult,G660),1)</x:f>
        <x:v>1</x:v>
      </x:c>
      <x:c r="R660" s="9" t="n">
        <x:f>H660*Z659*tun_WomenShare*tun_BaseFertility*INDEX(tun_FertMult,G660)*Arch_Fertility*(1-P660)</x:f>
        <x:v>418.4052128673693</x:v>
      </x:c>
      <x:c r="S660" s="9" t="n">
        <x:f>H660*Y659*INDEX(tun_MortChild,G660)/4*Q660</x:f>
        <x:v>7.499985377729242</x:v>
      </x:c>
      <x:c r="T660" s="9" t="n">
        <x:f>H660*Z659*INDEX(tun_MortAdult,G660)*Arch_AdultMort/4*Q660</x:f>
        <x:v>17.268161469122937</x:v>
      </x:c>
      <x:c r="U660" s="9" t="n">
        <x:f>H660*AA659*INDEX(tun_MortElder,G660)/4*Q660</x:f>
        <x:v>162.5195402805632</x:v>
      </x:c>
      <x:c r="V660" s="9" t="n">
        <x:f>H660*MAX(0,AB659-O660)*tun_OvercapLoss</x:f>
        <x:v>0</x:v>
      </x:c>
      <x:c r="W660" s="9" t="n">
        <x:f>H660*Y659/(tun_ChildYears*4)</x:f>
        <x:v>595.2369347404161</x:v>
      </x:c>
      <x:c r="X660" s="9" t="n">
        <x:f>H660*Z659/(tun_AdultYears*4)</x:f>
        <x:v>371.35831116393416</x:v>
      </x:c>
      <x:c r="Y660" s="32" t="n">
        <x:f>Y659+R660-S660-W660-Y659*V660/AB659</x:f>
        <x:v>33148.93663821253</x:v>
      </x:c>
      <x:c r="Z660" s="32" t="n">
        <x:f>Z659+W660-X660-T660-Z659*V660/AB659</x:f>
        <x:v>46255.041046435195</x:v>
      </x:c>
      <x:c r="AA660" s="32" t="n">
        <x:f>AA659+X660-U660-AA659*V660/AB659</x:f>
        <x:v>24285.80770133718</x:v>
      </x:c>
      <x:c r="AB660" s="10" t="n">
        <x:f>Y660+Z660+AA660</x:f>
        <x:v>103689.7853859849</x:v>
      </x:c>
      <x:c r="AC660" s="8" t="n">
        <x:f>IF(AND(tun_WinterTrigger=1,D660=1,AB659/AE659&gt;=K660),1,0)</x:f>
        <x:v>0</x:v>
      </x:c>
      <x:c r="AD660" s="8" t="n">
        <x:f>H660*IF(AND(OR(AB659/AE659&gt;=tun_FissionTrigger*N660,AC660=1),AB659/AE659*tun_DaughterShare&gt;=tun_MinDaughter),MAX(1,ROUND(AE659*tun_FissionRate,0)),0)</x:f>
        <x:v>3</x:v>
      </x:c>
      <x:c r="AE660" s="8" t="n">
        <x:f>IF(H660=1,MAX(1,MIN(INDEX(tun_Smax,G660),AE659+AD660)),AE659)</x:f>
        <x:v>9</x:v>
      </x:c>
      <x:c r="AF660" s="8" t="n">
        <x:f>MAX(0,AE660-AE659)</x:f>
        <x:v>0</x:v>
      </x:c>
      <x:c r="AG660" s="9" t="str">
        <x:f>IF(AF660&gt;0,B660,"")</x:f>
      </x:c>
      <x:c r="AH660" s="9" t="n">
        <x:f>IF(F660&gt;=1,1,(1+tun_LowTiesShare*(AE660-1))/AE660)</x:f>
        <x:v>1</x:v>
      </x:c>
      <x:c r="AI660" s="32" t="n">
        <x:f>(Z660+tun_ElderCommons*INDEX(LM_Elder,G660)*AA660)*AH660</x:f>
        <x:v>141771.92855438986</x:v>
      </x:c>
      <x:c r="AJ660" s="32" t="n">
        <x:f>H660*tun_CommonsCoef*AI660^tun_CommonsExp*INDEX(LM_Commons,G660)</x:f>
        <x:v>513856.37438354705</x:v>
      </x:c>
      <x:c r="AK660" s="32" t="n">
        <x:f>H660*tun_RoleScale*Arch_Roles*(AE660*(INDEX(tun_ElderRolePerSett,G660)*tun_OutElder*INDEX(LM_Elder,G660)+INDEX(tun_ShamanPerSett,G660)*tun_OutShaman)+Z660*(INDEX(tun_PriestShare,G660)*tun_OutPriest+INDEX(tun_ScribeShare,G660)*tun_OutScribe*INDEX(LM_Scribe,G660)+INDEX(tun_ScholarShare,G660)*tun_OutScholar*INDEX(LM_Scholar,G660)+INDEX(tun_ResearcherShare,G660)*tun_OutResearcher*INDEX(LM_Researcher,G660)))</x:f>
        <x:v>166835.74964561986</x:v>
      </x:c>
      <x:c r="AL660" s="32" t="n">
        <x:f>H660*tun_RoleScale*Arch_Roles*AE660*INDEX(tun_MonasteryPerSett,G660)*tun_OutMonastery*INDEX(LM_Monastery,G660)</x:f>
        <x:v>15.840000000000002</x:v>
      </x:c>
      <x:c r="AM660" s="32" t="n">
        <x:f>(AJ660+AK660+AL660)/4*INDEX(LM_All,G660)*INDEX(tun_Boon,G660)*Arch_Insight</x:f>
        <x:v>589474.3235628331</x:v>
      </x:c>
      <x:c r="AN660" s="32" t="n">
        <x:f>H660*(tun_KHPerAdult*Z660+tun_KHOfCommons*AJ660/4*INDEX(LM_All,G660))*tun_KHUsable*Arch_KH</x:f>
        <x:v>87296.55495898057</x:v>
      </x:c>
      <x:c r="AO660" s="32" t="n">
        <x:f>MIN(AP659+AN660,AM660*tun_KHMaxRatio)</x:f>
        <x:v>87296.55495898057</x:v>
      </x:c>
      <x:c r="AP660" s="32" t="n">
        <x:f>AP659+AN660-AO660</x:f>
        <x:v>0</x:v>
      </x:c>
      <x:c r="AQ660" s="32" t="n">
        <x:f>AM660+AO660</x:f>
        <x:v>676770.8785218137</x:v>
      </x:c>
      <x:c r="AR660" s="10" t="n">
        <x:f>IF(H660=1,INDEX(tun_Req,G660),0)</x:f>
        <x:v>125406521.7009086</x:v>
      </x:c>
      <x:c r="AS660" s="32" t="n">
        <x:f>IF(H660=1,IF(E660=1,AS659-AR659,AS659)+AQ660,0)</x:f>
        <x:v>20314401.42020489</x:v>
      </x:c>
      <x:c r="AT660" s="11" t="n">
        <x:f>IF(AR660&gt;0,MIN(1,AS660/AR660),1)</x:f>
        <x:v>0.16198839697232195</x:v>
      </x:c>
      <x:c r="AU660" s="10" t="n">
        <x:f>AB660/INDEX(tun_RepScale,G660)</x:f>
        <x:v>207.3795707719698</x:v>
      </x:c>
      <x:c r="AV660" s="32" t="n">
        <x:f>AM660*60/tun_SeasonSeconds</x:f>
        <x:v>2357897.2942513325</x:v>
      </x:c>
    </x:row>
    <x:row r="661">
      <x:c r="A661" s="8" t="n">
        <x:f>A660+1</x:f>
        <x:v>658</x:v>
      </x:c>
      <x:c r="B661" s="9" t="n">
        <x:f>A661*tun_SeasonSeconds/60</x:f>
        <x:v>164.5</x:v>
      </x:c>
      <x:c r="C661" s="9" t="n">
        <x:f>A661/4</x:f>
        <x:v>164.5</x:v>
      </x:c>
      <x:c r="D661" s="8" t="n">
        <x:f>IF(MOD(A661,4)=0,1,0)</x:f>
        <x:v>0</x:v>
      </x:c>
      <x:c r="E661" s="8" t="n">
        <x:f>IF(AND(F660&lt;=9,AS660&gt;=AR660),1,0)</x:f>
        <x:v>0</x:v>
      </x:c>
      <x:c r="F661" s="8" t="n">
        <x:f>MIN(10,F660+E661)</x:f>
        <x:v>9</x:v>
      </x:c>
      <x:c r="G661" s="8" t="n">
        <x:f>MIN(F661,9)+1</x:f>
        <x:v>10</x:v>
      </x:c>
      <x:c r="H661" s="8" t="n">
        <x:f>IF(F661&lt;=9,1,0)</x:f>
        <x:v>1</x:v>
      </x:c>
      <x:c r="I661" s="9" t="n">
        <x:f>MIN(10,F660+IF(AR660&gt;0,MIN(1,AS660/AR660),1))</x:f>
        <x:v>9.161988396972323</x:v>
      </x:c>
      <x:c r="J661" s="32" t="n">
        <x:f>INDEX(tun_FoodCap,G661)*Arch_FoodCap*EXP(tun_CapsByProject*SUMPRODUCT((Cap_Point&lt;=I661)*(Cap_Kind="Food")*Cap_Ln))</x:f>
        <x:v>13863.877308233004</x:v>
      </x:c>
      <x:c r="K661" s="32" t="n">
        <x:f>J661*MIN(1,tun_LeanBase*EXP(tun_CapsByProject*SUMPRODUCT((Cap_Point&lt;=I661)*(Cap_Kind="Lean")*Cap_Ln)))</x:f>
        <x:v>13863.877308233004</x:v>
      </x:c>
      <x:c r="L661" s="10" t="n">
        <x:f>INDEX(tun_HousingCap,G661)*EXP(tun_CapsByProject*SUMPRODUCT((Cap_Point&lt;=I661)*(Cap_Kind="Housing")*Cap_Ln))</x:f>
        <x:v>12514.86067705494</x:v>
      </x:c>
      <x:c r="M661" s="10" t="n">
        <x:f>INDEX(tun_GroupCap,G661)*tun_CohesionFactor*EXP(tun_CapsByProject*SUMPRODUCT((Cap_Point&lt;=I661)*(Cap_Kind="Group")*Cap_Ln))</x:f>
        <x:v>1000000.000000001</x:v>
      </x:c>
      <x:c r="N661" s="32" t="n">
        <x:f>MIN(J661,L661,M661)</x:f>
        <x:v>12514.86067705494</x:v>
      </x:c>
      <x:c r="O661" s="10" t="n">
        <x:f>AE660*N661</x:f>
        <x:v>112633.74609349445</x:v>
      </x:c>
      <x:c r="P661" s="9" t="n">
        <x:f>MIN(1,(AB660/(AE660*IF(tun_GroupInCrowding=1,N661,MIN(J661,L661))))^tun_CrowdingExp)</x:f>
        <x:v>0.6087019345780542</x:v>
      </x:c>
      <x:c r="Q661" s="9" t="n">
        <x:f>IF(D661=1,INDEX(tun_WinterMult,G661),1)</x:f>
        <x:v>1</x:v>
      </x:c>
      <x:c r="R661" s="9" t="n">
        <x:f>H661*Z660*tun_WomenShare*tun_BaseFertility*INDEX(tun_FertMult,G661)*Arch_Fertility*(1-P661)</x:f>
        <x:v>411.76380876273345</x:v>
      </x:c>
      <x:c r="S661" s="9" t="n">
        <x:f>H661*Y660*INDEX(tun_MortChild,G661)/4*Q661</x:f>
        <x:v>7.458510743597819</x:v>
      </x:c>
      <x:c r="T661" s="9" t="n">
        <x:f>H661*Z660*INDEX(tun_MortAdult,G661)*Arch_AdultMort/4*Q661</x:f>
        <x:v>17.3456403924132</x:v>
      </x:c>
      <x:c r="U661" s="9" t="n">
        <x:f>H661*AA660*INDEX(tun_MortElder,G661)/4*Q661</x:f>
        <x:v>163.92920198402595</x:v>
      </x:c>
      <x:c r="V661" s="9" t="n">
        <x:f>H661*MAX(0,AB660-O661)*tun_OvercapLoss</x:f>
        <x:v>0</x:v>
      </x:c>
      <x:c r="W661" s="9" t="n">
        <x:f>H661*Y660/(tun_ChildYears*4)</x:f>
        <x:v>591.945297110938</x:v>
      </x:c>
      <x:c r="X661" s="9" t="n">
        <x:f>H661*Z660/(tun_AdultYears*4)</x:f>
        <x:v>373.02452456802575</x:v>
      </x:c>
      <x:c r="Y661" s="32" t="n">
        <x:f>Y660+R661-S661-W661-Y660*V661/AB660</x:f>
        <x:v>32961.29663912073</x:v>
      </x:c>
      <x:c r="Z661" s="32" t="n">
        <x:f>Z660+W661-X661-T661-Z660*V661/AB660</x:f>
        <x:v>46456.61617858569</x:v>
      </x:c>
      <x:c r="AA661" s="32" t="n">
        <x:f>AA660+X661-U661-AA660*V661/AB660</x:f>
        <x:v>24494.903023921182</x:v>
      </x:c>
      <x:c r="AB661" s="10" t="n">
        <x:f>Y661+Z661+AA661</x:f>
        <x:v>103912.8158416276</x:v>
      </x:c>
      <x:c r="AC661" s="8" t="n">
        <x:f>IF(AND(tun_WinterTrigger=1,D661=1,AB660/AE660&gt;=K661),1,0)</x:f>
        <x:v>0</x:v>
      </x:c>
      <x:c r="AD661" s="8" t="n">
        <x:f>H661*IF(AND(OR(AB660/AE660&gt;=tun_FissionTrigger*N661,AC661=1),AB660/AE660*tun_DaughterShare&gt;=tun_MinDaughter),MAX(1,ROUND(AE660*tun_FissionRate,0)),0)</x:f>
        <x:v>3</x:v>
      </x:c>
      <x:c r="AE661" s="8" t="n">
        <x:f>IF(H661=1,MAX(1,MIN(INDEX(tun_Smax,G661),AE660+AD661)),AE660)</x:f>
        <x:v>9</x:v>
      </x:c>
      <x:c r="AF661" s="8" t="n">
        <x:f>MAX(0,AE661-AE660)</x:f>
        <x:v>0</x:v>
      </x:c>
      <x:c r="AG661" s="9" t="str">
        <x:f>IF(AF661&gt;0,B661,"")</x:f>
      </x:c>
      <x:c r="AH661" s="9" t="n">
        <x:f>IF(F661&gt;=1,1,(1+tun_LowTiesShare*(AE661-1))/AE661)</x:f>
        <x:v>1</x:v>
      </x:c>
      <x:c r="AI661" s="32" t="n">
        <x:f>(Z661+tun_ElderCommons*INDEX(LM_Elder,G661)*AA661)*AH661</x:f>
        <x:v>142795.88252817947</x:v>
      </x:c>
      <x:c r="AJ661" s="32" t="n">
        <x:f>H661*tun_CommonsCoef*AI661^tun_CommonsExp*INDEX(LM_Commons,G661)</x:f>
        <x:v>517009.3179295153</x:v>
      </x:c>
      <x:c r="AK661" s="32" t="n">
        <x:f>H661*tun_RoleScale*Arch_Roles*(AE661*(INDEX(tun_ElderRolePerSett,G661)*tun_OutElder*INDEX(LM_Elder,G661)+INDEX(tun_ShamanPerSett,G661)*tun_OutShaman)+Z661*(INDEX(tun_PriestShare,G661)*tun_OutPriest+INDEX(tun_ScribeShare,G661)*tun_OutScribe*INDEX(LM_Scribe,G661)+INDEX(tun_ScholarShare,G661)*tun_OutScholar*INDEX(LM_Scholar,G661)+INDEX(tun_ResearcherShare,G661)*tun_OutResearcher*INDEX(LM_Researcher,G661)))</x:f>
        <x:v>167561.71651426164</x:v>
      </x:c>
      <x:c r="AL661" s="32" t="n">
        <x:f>H661*tun_RoleScale*Arch_Roles*AE661*INDEX(tun_MonasteryPerSett,G661)*tun_OutMonastery*INDEX(LM_Monastery,G661)</x:f>
        <x:v>15.840000000000002</x:v>
      </x:c>
      <x:c r="AM661" s="32" t="n">
        <x:f>(AJ661+AK661+AL661)/4*INDEX(LM_All,G661)*INDEX(tun_Boon,G661)*Arch_Insight</x:f>
        <x:v>592833.3530051787</x:v>
      </x:c>
      <x:c r="AN661" s="32" t="n">
        <x:f>H661*(tun_KHPerAdult*Z661+tun_KHOfCommons*AJ661/4*INDEX(LM_All,G661))*tun_KHUsable*Arch_KH</x:f>
        <x:v>87832.19317087076</x:v>
      </x:c>
      <x:c r="AO661" s="32" t="n">
        <x:f>MIN(AP660+AN661,AM661*tun_KHMaxRatio)</x:f>
        <x:v>87832.19317087076</x:v>
      </x:c>
      <x:c r="AP661" s="32" t="n">
        <x:f>AP660+AN661-AO661</x:f>
        <x:v>0</x:v>
      </x:c>
      <x:c r="AQ661" s="32" t="n">
        <x:f>AM661+AO661</x:f>
        <x:v>680665.5461760495</x:v>
      </x:c>
      <x:c r="AR661" s="10" t="n">
        <x:f>IF(H661=1,INDEX(tun_Req,G661),0)</x:f>
        <x:v>125406521.7009086</x:v>
      </x:c>
      <x:c r="AS661" s="32" t="n">
        <x:f>IF(H661=1,IF(E661=1,AS660-AR660,AS660)+AQ661,0)</x:f>
        <x:v>20995066.96638094</x:v>
      </x:c>
      <x:c r="AT661" s="11" t="n">
        <x:f>IF(AR661&gt;0,MIN(1,AS661/AR661),1)</x:f>
        <x:v>0.16741606960803557</x:v>
      </x:c>
      <x:c r="AU661" s="10" t="n">
        <x:f>AB661/INDEX(tun_RepScale,G661)</x:f>
        <x:v>207.8256316832552</x:v>
      </x:c>
      <x:c r="AV661" s="32" t="n">
        <x:f>AM661*60/tun_SeasonSeconds</x:f>
        <x:v>2371333.412020715</x:v>
      </x:c>
    </x:row>
    <x:row r="662">
      <x:c r="A662" s="8" t="n">
        <x:f>A661+1</x:f>
        <x:v>659</x:v>
      </x:c>
      <x:c r="B662" s="9" t="n">
        <x:f>A662*tun_SeasonSeconds/60</x:f>
        <x:v>164.75</x:v>
      </x:c>
      <x:c r="C662" s="9" t="n">
        <x:f>A662/4</x:f>
        <x:v>164.75</x:v>
      </x:c>
      <x:c r="D662" s="8" t="n">
        <x:f>IF(MOD(A662,4)=0,1,0)</x:f>
        <x:v>0</x:v>
      </x:c>
      <x:c r="E662" s="8" t="n">
        <x:f>IF(AND(F661&lt;=9,AS661&gt;=AR661),1,0)</x:f>
        <x:v>0</x:v>
      </x:c>
      <x:c r="F662" s="8" t="n">
        <x:f>MIN(10,F661+E662)</x:f>
        <x:v>9</x:v>
      </x:c>
      <x:c r="G662" s="8" t="n">
        <x:f>MIN(F662,9)+1</x:f>
        <x:v>10</x:v>
      </x:c>
      <x:c r="H662" s="8" t="n">
        <x:f>IF(F662&lt;=9,1,0)</x:f>
        <x:v>1</x:v>
      </x:c>
      <x:c r="I662" s="9" t="n">
        <x:f>MIN(10,F661+IF(AR661&gt;0,MIN(1,AS661/AR661),1))</x:f>
        <x:v>9.167416069608036</x:v>
      </x:c>
      <x:c r="J662" s="32" t="n">
        <x:f>INDEX(tun_FoodCap,G662)*Arch_FoodCap*EXP(tun_CapsByProject*SUMPRODUCT((Cap_Point&lt;=I662)*(Cap_Kind="Food")*Cap_Ln))</x:f>
        <x:v>13863.877308233004</x:v>
      </x:c>
      <x:c r="K662" s="32" t="n">
        <x:f>J662*MIN(1,tun_LeanBase*EXP(tun_CapsByProject*SUMPRODUCT((Cap_Point&lt;=I662)*(Cap_Kind="Lean")*Cap_Ln)))</x:f>
        <x:v>13863.877308233004</x:v>
      </x:c>
      <x:c r="L662" s="10" t="n">
        <x:f>INDEX(tun_HousingCap,G662)*EXP(tun_CapsByProject*SUMPRODUCT((Cap_Point&lt;=I662)*(Cap_Kind="Housing")*Cap_Ln))</x:f>
        <x:v>12514.86067705494</x:v>
      </x:c>
      <x:c r="M662" s="10" t="n">
        <x:f>INDEX(tun_GroupCap,G662)*tun_CohesionFactor*EXP(tun_CapsByProject*SUMPRODUCT((Cap_Point&lt;=I662)*(Cap_Kind="Group")*Cap_Ln))</x:f>
        <x:v>1000000.000000001</x:v>
      </x:c>
      <x:c r="N662" s="32" t="n">
        <x:f>MIN(J662,L662,M662)</x:f>
        <x:v>12514.86067705494</x:v>
      </x:c>
      <x:c r="O662" s="10" t="n">
        <x:f>AE661*N662</x:f>
        <x:v>112633.74609349445</x:v>
      </x:c>
      <x:c r="P662" s="9" t="n">
        <x:f>MIN(1,(AB661/(AE661*IF(tun_GroupInCrowding=1,N662,MIN(J662,L662))))^tun_CrowdingExp)</x:f>
        <x:v>0.6165999849139168</x:v>
      </x:c>
      <x:c r="Q662" s="9" t="n">
        <x:f>IF(D662=1,INDEX(tun_WinterMult,G662),1)</x:f>
        <x:v>1</x:v>
      </x:c>
      <x:c r="R662" s="9" t="n">
        <x:f>H662*Z661*tun_WomenShare*tun_BaseFertility*INDEX(tun_FertMult,G662)*Arch_Fertility*(1-P662)</x:f>
        <x:v>405.21088206958746</x:v>
      </x:c>
      <x:c r="S662" s="9" t="n">
        <x:f>H662*Y661*INDEX(tun_MortChild,G662)/4*Q662</x:f>
        <x:v>7.416291743802164</x:v>
      </x:c>
      <x:c r="T662" s="9" t="n">
        <x:f>H662*Z661*INDEX(tun_MortAdult,G662)*Arch_AdultMort/4*Q662</x:f>
        <x:v>17.421231066969632</x:v>
      </x:c>
      <x:c r="U662" s="9" t="n">
        <x:f>H662*AA661*INDEX(tun_MortElder,G662)/4*Q662</x:f>
        <x:v>165.34059541146797</x:v>
      </x:c>
      <x:c r="V662" s="9" t="n">
        <x:f>H662*MAX(0,AB661-O662)*tun_OvercapLoss</x:f>
        <x:v>0</x:v>
      </x:c>
      <x:c r="W662" s="9" t="n">
        <x:f>H662*Y661/(tun_ChildYears*4)</x:f>
        <x:v>588.5945828414416</x:v>
      </x:c>
      <x:c r="X662" s="9" t="n">
        <x:f>H662*Z661/(tun_AdultYears*4)</x:f>
        <x:v>374.65013047246526</x:v>
      </x:c>
      <x:c r="Y662" s="32" t="n">
        <x:f>Y661+R662-S662-W662-Y661*V662/AB661</x:f>
        <x:v>32770.496646605076</x:v>
      </x:c>
      <x:c r="Z662" s="32" t="n">
        <x:f>Z661+W662-X662-T662-Z661*V662/AB661</x:f>
        <x:v>46653.139399887696</x:v>
      </x:c>
      <x:c r="AA662" s="32" t="n">
        <x:f>AA661+X662-U662-AA661*V662/AB661</x:f>
        <x:v>24704.21255898218</x:v>
      </x:c>
      <x:c r="AB662" s="10" t="n">
        <x:f>Y662+Z662+AA662</x:f>
        <x:v>104127.84860547495</x:v>
      </x:c>
      <x:c r="AC662" s="8" t="n">
        <x:f>IF(AND(tun_WinterTrigger=1,D662=1,AB661/AE661&gt;=K662),1,0)</x:f>
        <x:v>0</x:v>
      </x:c>
      <x:c r="AD662" s="8" t="n">
        <x:f>H662*IF(AND(OR(AB661/AE661&gt;=tun_FissionTrigger*N662,AC662=1),AB661/AE661*tun_DaughterShare&gt;=tun_MinDaughter),MAX(1,ROUND(AE661*tun_FissionRate,0)),0)</x:f>
        <x:v>3</x:v>
      </x:c>
      <x:c r="AE662" s="8" t="n">
        <x:f>IF(H662=1,MAX(1,MIN(INDEX(tun_Smax,G662),AE661+AD662)),AE661)</x:f>
        <x:v>9</x:v>
      </x:c>
      <x:c r="AF662" s="8" t="n">
        <x:f>MAX(0,AE662-AE661)</x:f>
        <x:v>0</x:v>
      </x:c>
      <x:c r="AG662" s="9" t="str">
        <x:f>IF(AF662&gt;0,B662,"")</x:f>
      </x:c>
      <x:c r="AH662" s="9" t="n">
        <x:f>IF(F662&gt;=1,1,(1+tun_LowTiesShare*(AE662-1))/AE662)</x:f>
        <x:v>1</x:v>
      </x:c>
      <x:c r="AI662" s="32" t="n">
        <x:f>(Z662+tun_ElderCommons*INDEX(LM_Elder,G662)*AA662)*AH662</x:f>
        <x:v>143815.6270959003</x:v>
      </x:c>
      <x:c r="AJ662" s="32" t="n">
        <x:f>H662*tun_CommonsCoef*AI662^tun_CommonsExp*INDEX(LM_Commons,G662)</x:f>
        <x:v>520145.931216158</x:v>
      </x:c>
      <x:c r="AK662" s="32" t="n">
        <x:f>H662*tun_RoleScale*Arch_Roles*(AE662*(INDEX(tun_ElderRolePerSett,G662)*tun_OutElder*INDEX(LM_Elder,G662)+INDEX(tun_ShamanPerSett,G662)*tun_OutShaman)+Z662*(INDEX(tun_PriestShare,G662)*tun_OutPriest+INDEX(tun_ScribeShare,G662)*tun_OutScribe*INDEX(LM_Scribe,G662)+INDEX(tun_ScholarShare,G662)*tun_OutScholar*INDEX(LM_Scholar,G662)+INDEX(tun_ResearcherShare,G662)*tun_OutResearcher*INDEX(LM_Researcher,G662)))</x:f>
        <x:v>168269.4890755987</x:v>
      </x:c>
      <x:c r="AL662" s="32" t="n">
        <x:f>H662*tun_RoleScale*Arch_Roles*AE662*INDEX(tun_MonasteryPerSett,G662)*tun_OutMonastery*INDEX(LM_Monastery,G662)</x:f>
        <x:v>15.840000000000002</x:v>
      </x:c>
      <x:c r="AM662" s="32" t="n">
        <x:f>(AJ662+AK662+AL662)/4*INDEX(LM_All,G662)*INDEX(tun_Boon,G662)*Arch_Insight</x:f>
        <x:v>596162.4851249777</x:v>
      </x:c>
      <x:c r="AN662" s="32" t="n">
        <x:f>H662*(tun_KHPerAdult*Z662+tun_KHOfCommons*AJ662/4*INDEX(LM_All,G662))*tun_KHUsable*Arch_KH</x:f>
        <x:v>88365.05711459619</x:v>
      </x:c>
      <x:c r="AO662" s="32" t="n">
        <x:f>MIN(AP661+AN662,AM662*tun_KHMaxRatio)</x:f>
        <x:v>88365.05711459619</x:v>
      </x:c>
      <x:c r="AP662" s="32" t="n">
        <x:f>AP661+AN662-AO662</x:f>
        <x:v>0</x:v>
      </x:c>
      <x:c r="AQ662" s="32" t="n">
        <x:f>AM662+AO662</x:f>
        <x:v>684527.5422395738</x:v>
      </x:c>
      <x:c r="AR662" s="10" t="n">
        <x:f>IF(H662=1,INDEX(tun_Req,G662),0)</x:f>
        <x:v>125406521.7009086</x:v>
      </x:c>
      <x:c r="AS662" s="32" t="n">
        <x:f>IF(H662=1,IF(E662=1,AS661-AR661,AS661)+AQ662,0)</x:f>
        <x:v>21679594.50862051</x:v>
      </x:c>
      <x:c r="AT662" s="11" t="n">
        <x:f>IF(AR662&gt;0,MIN(1,AS662/AR662),1)</x:f>
        <x:v>0.17287453805892009</x:v>
      </x:c>
      <x:c r="AU662" s="10" t="n">
        <x:f>AB662/INDEX(tun_RepScale,G662)</x:f>
        <x:v>208.2556972109499</x:v>
      </x:c>
      <x:c r="AV662" s="32" t="n">
        <x:f>AM662*60/tun_SeasonSeconds</x:f>
        <x:v>2384649.9404999106</x:v>
      </x:c>
    </x:row>
    <x:row r="663">
      <x:c r="A663" s="8" t="n">
        <x:f>A662+1</x:f>
        <x:v>660</x:v>
      </x:c>
      <x:c r="B663" s="9" t="n">
        <x:f>A663*tun_SeasonSeconds/60</x:f>
        <x:v>165</x:v>
      </x:c>
      <x:c r="C663" s="9" t="n">
        <x:f>A663/4</x:f>
        <x:v>165</x:v>
      </x:c>
      <x:c r="D663" s="8" t="n">
        <x:f>IF(MOD(A663,4)=0,1,0)</x:f>
        <x:v>1</x:v>
      </x:c>
      <x:c r="E663" s="8" t="n">
        <x:f>IF(AND(F662&lt;=9,AS662&gt;=AR662),1,0)</x:f>
        <x:v>0</x:v>
      </x:c>
      <x:c r="F663" s="8" t="n">
        <x:f>MIN(10,F662+E663)</x:f>
        <x:v>9</x:v>
      </x:c>
      <x:c r="G663" s="8" t="n">
        <x:f>MIN(F663,9)+1</x:f>
        <x:v>10</x:v>
      </x:c>
      <x:c r="H663" s="8" t="n">
        <x:f>IF(F663&lt;=9,1,0)</x:f>
        <x:v>1</x:v>
      </x:c>
      <x:c r="I663" s="9" t="n">
        <x:f>MIN(10,F662+IF(AR662&gt;0,MIN(1,AS662/AR662),1))</x:f>
        <x:v>9.17287453805892</x:v>
      </x:c>
      <x:c r="J663" s="32" t="n">
        <x:f>INDEX(tun_FoodCap,G663)*Arch_FoodCap*EXP(tun_CapsByProject*SUMPRODUCT((Cap_Point&lt;=I663)*(Cap_Kind="Food")*Cap_Ln))</x:f>
        <x:v>13863.877308233004</x:v>
      </x:c>
      <x:c r="K663" s="32" t="n">
        <x:f>J663*MIN(1,tun_LeanBase*EXP(tun_CapsByProject*SUMPRODUCT((Cap_Point&lt;=I663)*(Cap_Kind="Lean")*Cap_Ln)))</x:f>
        <x:v>13863.877308233004</x:v>
      </x:c>
      <x:c r="L663" s="10" t="n">
        <x:f>INDEX(tun_HousingCap,G663)*EXP(tun_CapsByProject*SUMPRODUCT((Cap_Point&lt;=I663)*(Cap_Kind="Housing")*Cap_Ln))</x:f>
        <x:v>12514.86067705494</x:v>
      </x:c>
      <x:c r="M663" s="10" t="n">
        <x:f>INDEX(tun_GroupCap,G663)*tun_CohesionFactor*EXP(tun_CapsByProject*SUMPRODUCT((Cap_Point&lt;=I663)*(Cap_Kind="Group")*Cap_Ln))</x:f>
        <x:v>1000000.000000001</x:v>
      </x:c>
      <x:c r="N663" s="32" t="n">
        <x:f>MIN(J663,L663,M663)</x:f>
        <x:v>12514.86067705494</x:v>
      </x:c>
      <x:c r="O663" s="10" t="n">
        <x:f>AE662*N663</x:f>
        <x:v>112633.74609349445</x:v>
      </x:c>
      <x:c r="P663" s="9" t="n">
        <x:f>MIN(1,(AB662/(AE662*IF(tun_GroupInCrowding=1,N663,MIN(J663,L663))))^tun_CrowdingExp)</x:f>
        <x:v>0.6242954955897132</x:v>
      </x:c>
      <x:c r="Q663" s="9" t="n">
        <x:f>IF(D663=1,INDEX(tun_WinterMult,G663),1)</x:f>
        <x:v>1.05</x:v>
      </x:c>
      <x:c r="R663" s="9" t="n">
        <x:f>H663*Z662*tun_WomenShare*tun_BaseFertility*INDEX(tun_FertMult,G663)*Arch_Fertility*(1-P663)</x:f>
        <x:v>398.75732754627836</x:v>
      </x:c>
      <x:c r="S663" s="9" t="n">
        <x:f>H663*Y662*INDEX(tun_MortChild,G663)/4*Q663</x:f>
        <x:v>7.7420298327604495</x:v>
      </x:c>
      <x:c r="T663" s="9" t="n">
        <x:f>H663*Z662*INDEX(tun_MortAdult,G663)*Arch_AdultMort/4*Q663</x:f>
        <x:v>18.36967363870578</x:v>
      </x:c>
      <x:c r="U663" s="9" t="n">
        <x:f>H663*AA662*INDEX(tun_MortElder,G663)/4*Q663</x:f>
        <x:v>175.09110651178622</x:v>
      </x:c>
      <x:c r="V663" s="9" t="n">
        <x:f>H663*MAX(0,AB662-O663)*tun_OvercapLoss</x:f>
        <x:v>0</x:v>
      </x:c>
      <x:c r="W663" s="9" t="n">
        <x:f>H663*Y662/(tun_ChildYears*4)</x:f>
        <x:v>585.1874401179477</x:v>
      </x:c>
      <x:c r="X663" s="9" t="n">
        <x:f>H663*Z662/(tun_AdultYears*4)</x:f>
        <x:v>376.23499516038464</x:v>
      </x:c>
      <x:c r="Y663" s="32" t="n">
        <x:f>Y662+R663-S663-W663-Y662*V663/AB662</x:f>
        <x:v>32576.324504200642</x:v>
      </x:c>
      <x:c r="Z663" s="32" t="n">
        <x:f>Z662+W663-X663-T663-Z662*V663/AB662</x:f>
        <x:v>46843.72217120655</x:v>
      </x:c>
      <x:c r="AA663" s="32" t="n">
        <x:f>AA662+X663-U663-AA662*V663/AB662</x:f>
        <x:v>24905.356447630777</x:v>
      </x:c>
      <x:c r="AB663" s="10" t="n">
        <x:f>Y663+Z663+AA663</x:f>
        <x:v>104325.40312303798</x:v>
      </x:c>
      <x:c r="AC663" s="8" t="n">
        <x:f>IF(AND(tun_WinterTrigger=1,D663=1,AB662/AE662&gt;=K663),1,0)</x:f>
        <x:v>0</x:v>
      </x:c>
      <x:c r="AD663" s="8" t="n">
        <x:f>H663*IF(AND(OR(AB662/AE662&gt;=tun_FissionTrigger*N663,AC663=1),AB662/AE662*tun_DaughterShare&gt;=tun_MinDaughter),MAX(1,ROUND(AE662*tun_FissionRate,0)),0)</x:f>
        <x:v>3</x:v>
      </x:c>
      <x:c r="AE663" s="8" t="n">
        <x:f>IF(H663=1,MAX(1,MIN(INDEX(tun_Smax,G663),AE662+AD663)),AE662)</x:f>
        <x:v>9</x:v>
      </x:c>
      <x:c r="AF663" s="8" t="n">
        <x:f>MAX(0,AE663-AE662)</x:f>
        <x:v>0</x:v>
      </x:c>
      <x:c r="AG663" s="9" t="str">
        <x:f>IF(AF663&gt;0,B663,"")</x:f>
      </x:c>
      <x:c r="AH663" s="9" t="n">
        <x:f>IF(F663&gt;=1,1,(1+tun_LowTiesShare*(AE663-1))/AE663)</x:f>
        <x:v>1</x:v>
      </x:c>
      <x:c r="AI663" s="32" t="n">
        <x:f>(Z663+tun_ElderCommons*INDEX(LM_Elder,G663)*AA663)*AH663</x:f>
        <x:v>144797.31545535667</x:v>
      </x:c>
      <x:c r="AJ663" s="32" t="n">
        <x:f>H663*tun_CommonsCoef*AI663^tun_CommonsExp*INDEX(LM_Commons,G663)</x:f>
        <x:v>523162.33779008227</x:v>
      </x:c>
      <x:c r="AK663" s="32" t="n">
        <x:f>H663*tun_RoleScale*Arch_Roles*(AE663*(INDEX(tun_ElderRolePerSett,G663)*tun_OutElder*INDEX(LM_Elder,G663)+INDEX(tun_ShamanPerSett,G663)*tun_OutShaman)+Z663*(INDEX(tun_PriestShare,G663)*tun_OutPriest+INDEX(tun_ScribeShare,G663)*tun_OutScribe*INDEX(LM_Scribe,G663)+INDEX(tun_ScholarShare,G663)*tun_OutScholar*INDEX(LM_Scholar,G663)+INDEX(tun_ResearcherShare,G663)*tun_OutResearcher*INDEX(LM_Researcher,G663)))</x:f>
        <x:v>168955.86728225232</x:v>
      </x:c>
      <x:c r="AL663" s="32" t="n">
        <x:f>H663*tun_RoleScale*Arch_Roles*AE663*INDEX(tun_MonasteryPerSett,G663)*tun_OutMonastery*INDEX(LM_Monastery,G663)</x:f>
        <x:v>15.840000000000002</x:v>
      </x:c>
      <x:c r="AM663" s="32" t="n">
        <x:f>(AJ663+AK663+AL663)/4*INDEX(LM_All,G663)*INDEX(tun_Boon,G663)*Arch_Insight</x:f>
        <x:v>599368.994625631</x:v>
      </x:c>
      <x:c r="AN663" s="32" t="n">
        <x:f>H663*(tun_KHPerAdult*Z663+tun_KHOfCommons*AJ663/4*INDEX(LM_All,G663))*tun_KHUsable*Arch_KH</x:f>
        <x:v>88877.4997257735</x:v>
      </x:c>
      <x:c r="AO663" s="32" t="n">
        <x:f>MIN(AP662+AN663,AM663*tun_KHMaxRatio)</x:f>
        <x:v>88877.4997257735</x:v>
      </x:c>
      <x:c r="AP663" s="32" t="n">
        <x:f>AP662+AN663-AO663</x:f>
        <x:v>0</x:v>
      </x:c>
      <x:c r="AQ663" s="32" t="n">
        <x:f>AM663+AO663</x:f>
        <x:v>688246.4943514045</x:v>
      </x:c>
      <x:c r="AR663" s="10" t="n">
        <x:f>IF(H663=1,INDEX(tun_Req,G663),0)</x:f>
        <x:v>125406521.7009086</x:v>
      </x:c>
      <x:c r="AS663" s="32" t="n">
        <x:f>IF(H663=1,IF(E663=1,AS662-AR662,AS662)+AQ663,0)</x:f>
        <x:v>22367841.002971917</x:v>
      </x:c>
      <x:c r="AT663" s="11" t="n">
        <x:f>IF(AR663&gt;0,MIN(1,AS663/AR663),1)</x:f>
        <x:v>0.17836266168292791</x:v>
      </x:c>
      <x:c r="AU663" s="10" t="n">
        <x:f>AB663/INDEX(tun_RepScale,G663)</x:f>
        <x:v>208.65080624607594</x:v>
      </x:c>
      <x:c r="AV663" s="32" t="n">
        <x:f>AM663*60/tun_SeasonSeconds</x:f>
        <x:v>2397475.978502524</x:v>
      </x:c>
    </x:row>
    <x:row r="664">
      <x:c r="A664" s="8" t="n">
        <x:f>A663+1</x:f>
        <x:v>661</x:v>
      </x:c>
      <x:c r="B664" s="9" t="n">
        <x:f>A664*tun_SeasonSeconds/60</x:f>
        <x:v>165.25</x:v>
      </x:c>
      <x:c r="C664" s="9" t="n">
        <x:f>A664/4</x:f>
        <x:v>165.25</x:v>
      </x:c>
      <x:c r="D664" s="8" t="n">
        <x:f>IF(MOD(A664,4)=0,1,0)</x:f>
        <x:v>0</x:v>
      </x:c>
      <x:c r="E664" s="8" t="n">
        <x:f>IF(AND(F663&lt;=9,AS663&gt;=AR663),1,0)</x:f>
        <x:v>0</x:v>
      </x:c>
      <x:c r="F664" s="8" t="n">
        <x:f>MIN(10,F663+E664)</x:f>
        <x:v>9</x:v>
      </x:c>
      <x:c r="G664" s="8" t="n">
        <x:f>MIN(F664,9)+1</x:f>
        <x:v>10</x:v>
      </x:c>
      <x:c r="H664" s="8" t="n">
        <x:f>IF(F664&lt;=9,1,0)</x:f>
        <x:v>1</x:v>
      </x:c>
      <x:c r="I664" s="9" t="n">
        <x:f>MIN(10,F663+IF(AR663&gt;0,MIN(1,AS663/AR663),1))</x:f>
        <x:v>9.178362661682929</x:v>
      </x:c>
      <x:c r="J664" s="32" t="n">
        <x:f>INDEX(tun_FoodCap,G664)*Arch_FoodCap*EXP(tun_CapsByProject*SUMPRODUCT((Cap_Point&lt;=I664)*(Cap_Kind="Food")*Cap_Ln))</x:f>
        <x:v>13863.877308233004</x:v>
      </x:c>
      <x:c r="K664" s="32" t="n">
        <x:f>J664*MIN(1,tun_LeanBase*EXP(tun_CapsByProject*SUMPRODUCT((Cap_Point&lt;=I664)*(Cap_Kind="Lean")*Cap_Ln)))</x:f>
        <x:v>13863.877308233004</x:v>
      </x:c>
      <x:c r="L664" s="10" t="n">
        <x:f>INDEX(tun_HousingCap,G664)*EXP(tun_CapsByProject*SUMPRODUCT((Cap_Point&lt;=I664)*(Cap_Kind="Housing")*Cap_Ln))</x:f>
        <x:v>12514.86067705494</x:v>
      </x:c>
      <x:c r="M664" s="10" t="n">
        <x:f>INDEX(tun_GroupCap,G664)*tun_CohesionFactor*EXP(tun_CapsByProject*SUMPRODUCT((Cap_Point&lt;=I664)*(Cap_Kind="Group")*Cap_Ln))</x:f>
        <x:v>1000000.000000001</x:v>
      </x:c>
      <x:c r="N664" s="32" t="n">
        <x:f>MIN(J664,L664,M664)</x:f>
        <x:v>12514.86067705494</x:v>
      </x:c>
      <x:c r="O664" s="10" t="n">
        <x:f>AE663*N664</x:f>
        <x:v>112633.74609349445</x:v>
      </x:c>
      <x:c r="P664" s="9" t="n">
        <x:f>MIN(1,(AB663/(AE663*IF(tun_GroupInCrowding=1,N664,MIN(J664,L664))))^tun_CrowdingExp)</x:f>
        <x:v>0.631435882368606</x:v>
      </x:c>
      <x:c r="Q664" s="9" t="n">
        <x:f>IF(D664=1,INDEX(tun_WinterMult,G664),1)</x:f>
        <x:v>1</x:v>
      </x:c>
      <x:c r="R664" s="9" t="n">
        <x:f>H664*Z663*tun_WomenShare*tun_BaseFertility*INDEX(tun_FertMult,G664)*Arch_Fertility*(1-P664)</x:f>
        <x:v>392.77681917567065</x:v>
      </x:c>
      <x:c r="S664" s="9" t="n">
        <x:f>H664*Y663*INDEX(tun_MortChild,G664)/4*Q664</x:f>
        <x:v>7.329673013445144</x:v>
      </x:c>
      <x:c r="T664" s="9" t="n">
        <x:f>H664*Z663*INDEX(tun_MortAdult,G664)*Arch_AdultMort/4*Q664</x:f>
        <x:v>17.56639581420246</x:v>
      </x:c>
      <x:c r="U664" s="9" t="n">
        <x:f>H664*AA663*INDEX(tun_MortElder,G664)/4*Q664</x:f>
        <x:v>168.11115602150775</x:v>
      </x:c>
      <x:c r="V664" s="9" t="n">
        <x:f>H664*MAX(0,AB663-O664)*tun_OvercapLoss</x:f>
        <x:v>0</x:v>
      </x:c>
      <x:c r="W664" s="9" t="n">
        <x:f>H664*Y663/(tun_ChildYears*4)</x:f>
        <x:v>581.7200804321543</x:v>
      </x:c>
      <x:c r="X664" s="9" t="n">
        <x:f>H664*Z663/(tun_AdultYears*4)</x:f>
        <x:v>377.77195299360125</x:v>
      </x:c>
      <x:c r="Y664" s="32" t="n">
        <x:f>Y663+R664-S664-W664-Y663*V664/AB663</x:f>
        <x:v>32380.051569930714</x:v>
      </x:c>
      <x:c r="Z664" s="32" t="n">
        <x:f>Z663+W664-X664-T664-Z663*V664/AB663</x:f>
        <x:v>47030.1039028309</x:v>
      </x:c>
      <x:c r="AA664" s="32" t="n">
        <x:f>AA663+X664-U664-AA663*V664/AB663</x:f>
        <x:v>25115.01724460287</x:v>
      </x:c>
      <x:c r="AB664" s="10" t="n">
        <x:f>Y664+Z664+AA664</x:f>
        <x:v>104525.17271736449</x:v>
      </x:c>
      <x:c r="AC664" s="8" t="n">
        <x:f>IF(AND(tun_WinterTrigger=1,D664=1,AB663/AE663&gt;=K664),1,0)</x:f>
        <x:v>0</x:v>
      </x:c>
      <x:c r="AD664" s="8" t="n">
        <x:f>H664*IF(AND(OR(AB663/AE663&gt;=tun_FissionTrigger*N664,AC664=1),AB663/AE663*tun_DaughterShare&gt;=tun_MinDaughter),MAX(1,ROUND(AE663*tun_FissionRate,0)),0)</x:f>
        <x:v>3</x:v>
      </x:c>
      <x:c r="AE664" s="8" t="n">
        <x:f>IF(H664=1,MAX(1,MIN(INDEX(tun_Smax,G664),AE663+AD664)),AE663)</x:f>
        <x:v>9</x:v>
      </x:c>
      <x:c r="AF664" s="8" t="n">
        <x:f>MAX(0,AE664-AE663)</x:f>
        <x:v>0</x:v>
      </x:c>
      <x:c r="AG664" s="9" t="str">
        <x:f>IF(AF664&gt;0,B664,"")</x:f>
      </x:c>
      <x:c r="AH664" s="9" t="n">
        <x:f>IF(F664&gt;=1,1,(1+tun_LowTiesShare*(AE664-1))/AE664)</x:f>
        <x:v>1</x:v>
      </x:c>
      <x:c r="AI664" s="32" t="n">
        <x:f>(Z664+tun_ElderCommons*INDEX(LM_Elder,G664)*AA664)*AH664</x:f>
        <x:v>145808.30005815125</x:v>
      </x:c>
      <x:c r="AJ664" s="32" t="n">
        <x:f>H664*tun_CommonsCoef*AI664^tun_CommonsExp*INDEX(LM_Commons,G664)</x:f>
        <x:v>526265.5577174467</x:v>
      </x:c>
      <x:c r="AK664" s="32" t="n">
        <x:f>H664*tun_RoleScale*Arch_Roles*(AE664*(INDEX(tun_ElderRolePerSett,G664)*tun_OutElder*INDEX(LM_Elder,G664)+INDEX(tun_ShamanPerSett,G664)*tun_OutShaman)+Z664*(INDEX(tun_PriestShare,G664)*tun_OutPriest+INDEX(tun_ScribeShare,G664)*tun_OutScribe*INDEX(LM_Scribe,G664)+INDEX(tun_ScholarShare,G664)*tun_OutScholar*INDEX(LM_Scholar,G664)+INDEX(tun_ResearcherShare,G664)*tun_OutResearcher*INDEX(LM_Researcher,G664)))</x:f>
        <x:v>169627.1155688631</x:v>
      </x:c>
      <x:c r="AL664" s="32" t="n">
        <x:f>H664*tun_RoleScale*Arch_Roles*AE664*INDEX(tun_MonasteryPerSett,G664)*tun_OutMonastery*INDEX(LM_Monastery,G664)</x:f>
        <x:v>15.840000000000002</x:v>
      </x:c>
      <x:c r="AM664" s="32" t="n">
        <x:f>(AJ664+AK664+AL664)/4*INDEX(LM_All,G664)*INDEX(tun_Boon,G664)*Arch_Insight</x:f>
        <x:v>602637.5800026446</x:v>
      </x:c>
      <x:c r="AN664" s="32" t="n">
        <x:f>H664*(tun_KHPerAdult*Z664+tun_KHOfCommons*AJ664/4*INDEX(LM_All,G664))*tun_KHUsable*Arch_KH</x:f>
        <x:v>89404.69063444708</x:v>
      </x:c>
      <x:c r="AO664" s="32" t="n">
        <x:f>MIN(AP663+AN664,AM664*tun_KHMaxRatio)</x:f>
        <x:v>89404.69063444708</x:v>
      </x:c>
      <x:c r="AP664" s="32" t="n">
        <x:f>AP663+AN664-AO664</x:f>
        <x:v>0</x:v>
      </x:c>
      <x:c r="AQ664" s="32" t="n">
        <x:f>AM664+AO664</x:f>
        <x:v>692042.2706370916</x:v>
      </x:c>
      <x:c r="AR664" s="10" t="n">
        <x:f>IF(H664=1,INDEX(tun_Req,G664),0)</x:f>
        <x:v>125406521.7009086</x:v>
      </x:c>
      <x:c r="AS664" s="32" t="n">
        <x:f>IF(H664=1,IF(E664=1,AS663-AR663,AS663)+AQ664,0)</x:f>
        <x:v>23059883.27360901</x:v>
      </x:c>
      <x:c r="AT664" s="11" t="n">
        <x:f>IF(AR664&gt;0,MIN(1,AS664/AR664),1)</x:f>
        <x:v>0.1838810530811647</x:v>
      </x:c>
      <x:c r="AU664" s="10" t="n">
        <x:f>AB664/INDEX(tun_RepScale,G664)</x:f>
        <x:v>209.05034543472897</x:v>
      </x:c>
      <x:c r="AV664" s="32" t="n">
        <x:f>AM664*60/tun_SeasonSeconds</x:f>
        <x:v>2410550.3200105783</x:v>
      </x:c>
    </x:row>
    <x:row r="665">
      <x:c r="A665" s="8" t="n">
        <x:f>A664+1</x:f>
        <x:v>662</x:v>
      </x:c>
      <x:c r="B665" s="9" t="n">
        <x:f>A665*tun_SeasonSeconds/60</x:f>
        <x:v>165.5</x:v>
      </x:c>
      <x:c r="C665" s="9" t="n">
        <x:f>A665/4</x:f>
        <x:v>165.5</x:v>
      </x:c>
      <x:c r="D665" s="8" t="n">
        <x:f>IF(MOD(A665,4)=0,1,0)</x:f>
        <x:v>0</x:v>
      </x:c>
      <x:c r="E665" s="8" t="n">
        <x:f>IF(AND(F664&lt;=9,AS664&gt;=AR664),1,0)</x:f>
        <x:v>0</x:v>
      </x:c>
      <x:c r="F665" s="8" t="n">
        <x:f>MIN(10,F664+E665)</x:f>
        <x:v>9</x:v>
      </x:c>
      <x:c r="G665" s="8" t="n">
        <x:f>MIN(F665,9)+1</x:f>
        <x:v>10</x:v>
      </x:c>
      <x:c r="H665" s="8" t="n">
        <x:f>IF(F665&lt;=9,1,0)</x:f>
        <x:v>1</x:v>
      </x:c>
      <x:c r="I665" s="9" t="n">
        <x:f>MIN(10,F664+IF(AR664&gt;0,MIN(1,AS664/AR664),1))</x:f>
        <x:v>9.183881053081164</x:v>
      </x:c>
      <x:c r="J665" s="32" t="n">
        <x:f>INDEX(tun_FoodCap,G665)*Arch_FoodCap*EXP(tun_CapsByProject*SUMPRODUCT((Cap_Point&lt;=I665)*(Cap_Kind="Food")*Cap_Ln))</x:f>
        <x:v>13863.877308233004</x:v>
      </x:c>
      <x:c r="K665" s="32" t="n">
        <x:f>J665*MIN(1,tun_LeanBase*EXP(tun_CapsByProject*SUMPRODUCT((Cap_Point&lt;=I665)*(Cap_Kind="Lean")*Cap_Ln)))</x:f>
        <x:v>13863.877308233004</x:v>
      </x:c>
      <x:c r="L665" s="10" t="n">
        <x:f>INDEX(tun_HousingCap,G665)*EXP(tun_CapsByProject*SUMPRODUCT((Cap_Point&lt;=I665)*(Cap_Kind="Housing")*Cap_Ln))</x:f>
        <x:v>12514.86067705494</x:v>
      </x:c>
      <x:c r="M665" s="10" t="n">
        <x:f>INDEX(tun_GroupCap,G665)*tun_CohesionFactor*EXP(tun_CapsByProject*SUMPRODUCT((Cap_Point&lt;=I665)*(Cap_Kind="Group")*Cap_Ln))</x:f>
        <x:v>1000000.000000001</x:v>
      </x:c>
      <x:c r="N665" s="32" t="n">
        <x:f>MIN(J665,L665,M665)</x:f>
        <x:v>12514.86067705494</x:v>
      </x:c>
      <x:c r="O665" s="10" t="n">
        <x:f>AE664*N665</x:f>
        <x:v>112633.74609349445</x:v>
      </x:c>
      <x:c r="P665" s="9" t="n">
        <x:f>MIN(1,(AB664/(AE664*IF(tun_GroupInCrowding=1,N665,MIN(J665,L665))))^tun_CrowdingExp)</x:f>
        <x:v>0.6387254068343984</x:v>
      </x:c>
      <x:c r="Q665" s="9" t="n">
        <x:f>IF(D665=1,INDEX(tun_WinterMult,G665),1)</x:f>
        <x:v>1</x:v>
      </x:c>
      <x:c r="R665" s="9" t="n">
        <x:f>H665*Z664*tun_WomenShare*tun_BaseFertility*INDEX(tun_FertMult,G665)*Arch_Fertility*(1-P665)</x:f>
        <x:v>386.5402826292099</x:v>
      </x:c>
      <x:c r="S665" s="9" t="n">
        <x:f>H665*Y664*INDEX(tun_MortChild,G665)/4*Q665</x:f>
        <x:v>7.2855116032344105</x:v>
      </x:c>
      <x:c r="T665" s="9" t="n">
        <x:f>H665*Z664*INDEX(tun_MortAdult,G665)*Arch_AdultMort/4*Q665</x:f>
        <x:v>17.63628896356159</x:v>
      </x:c>
      <x:c r="U665" s="9" t="n">
        <x:f>H665*AA664*INDEX(tun_MortElder,G665)/4*Q665</x:f>
        <x:v>169.52636640106937</x:v>
      </x:c>
      <x:c r="V665" s="9" t="n">
        <x:f>H665*MAX(0,AB664-O665)*tun_OvercapLoss</x:f>
        <x:v>0</x:v>
      </x:c>
      <x:c r="W665" s="9" t="n">
        <x:f>H665*Y664/(tun_ChildYears*4)</x:f>
        <x:v>578.2152066059056</x:v>
      </x:c>
      <x:c r="X665" s="9" t="n">
        <x:f>H665*Z664/(tun_AdultYears*4)</x:f>
        <x:v>379.27503147444276</x:v>
      </x:c>
      <x:c r="Y665" s="32" t="n">
        <x:f>Y664+R665-S665-W665-Y664*V665/AB664</x:f>
        <x:v>32181.091134350783</x:v>
      </x:c>
      <x:c r="Z665" s="32" t="n">
        <x:f>Z664+W665-X665-T665-Z664*V665/AB664</x:f>
        <x:v>47211.407788998804</x:v>
      </x:c>
      <x:c r="AA665" s="32" t="n">
        <x:f>AA664+X665-U665-AA664*V665/AB664</x:f>
        <x:v>25324.765909676244</x:v>
      </x:c>
      <x:c r="AB665" s="10" t="n">
        <x:f>Y665+Z665+AA665</x:f>
        <x:v>104717.26483302584</x:v>
      </x:c>
      <x:c r="AC665" s="8" t="n">
        <x:f>IF(AND(tun_WinterTrigger=1,D665=1,AB664/AE664&gt;=K665),1,0)</x:f>
        <x:v>0</x:v>
      </x:c>
      <x:c r="AD665" s="8" t="n">
        <x:f>H665*IF(AND(OR(AB664/AE664&gt;=tun_FissionTrigger*N665,AC665=1),AB664/AE664*tun_DaughterShare&gt;=tun_MinDaughter),MAX(1,ROUND(AE664*tun_FissionRate,0)),0)</x:f>
        <x:v>3</x:v>
      </x:c>
      <x:c r="AE665" s="8" t="n">
        <x:f>IF(H665=1,MAX(1,MIN(INDEX(tun_Smax,G665),AE664+AD665)),AE664)</x:f>
        <x:v>9</x:v>
      </x:c>
      <x:c r="AF665" s="8" t="n">
        <x:f>MAX(0,AE665-AE664)</x:f>
        <x:v>0</x:v>
      </x:c>
      <x:c r="AG665" s="9" t="str">
        <x:f>IF(AF665&gt;0,B665,"")</x:f>
      </x:c>
      <x:c r="AH665" s="9" t="n">
        <x:f>IF(F665&gt;=1,1,(1+tun_LowTiesShare*(AE665-1))/AE665)</x:f>
        <x:v>1</x:v>
      </x:c>
      <x:c r="AI665" s="32" t="n">
        <x:f>(Z665+tun_ElderCommons*INDEX(LM_Elder,G665)*AA665)*AH665</x:f>
        <x:v>146814.55240364728</x:v>
      </x:c>
      <x:c r="AJ665" s="32" t="n">
        <x:f>H665*tun_CommonsCoef*AI665^tun_CommonsExp*INDEX(LM_Commons,G665)</x:f>
        <x:v>529351.0486940033</x:v>
      </x:c>
      <x:c r="AK665" s="32" t="n">
        <x:f>H665*tun_RoleScale*Arch_Roles*(AE665*(INDEX(tun_ElderRolePerSett,G665)*tun_OutElder*INDEX(LM_Elder,G665)+INDEX(tun_ShamanPerSett,G665)*tun_OutShaman)+Z665*(INDEX(tun_PriestShare,G665)*tun_OutPriest+INDEX(tun_ScribeShare,G665)*tun_OutScribe*INDEX(LM_Scribe,G665)+INDEX(tun_ScholarShare,G665)*tun_OutScholar*INDEX(LM_Scholar,G665)+INDEX(tun_ResearcherShare,G665)*tun_OutResearcher*INDEX(LM_Researcher,G665)))</x:f>
        <x:v>170280.07614544668</x:v>
      </x:c>
      <x:c r="AL665" s="32" t="n">
        <x:f>H665*tun_RoleScale*Arch_Roles*AE665*INDEX(tun_MonasteryPerSett,G665)*tun_OutMonastery*INDEX(LM_Monastery,G665)</x:f>
        <x:v>15.840000000000002</x:v>
      </x:c>
      <x:c r="AM665" s="32" t="n">
        <x:f>(AJ665+AK665+AL665)/4*INDEX(LM_All,G665)*INDEX(tun_Boon,G665)*Arch_Insight</x:f>
        <x:v>605874.9759446807</x:v>
      </x:c>
      <x:c r="AN665" s="32" t="n">
        <x:f>H665*(tun_KHPerAdult*Z665+tun_KHOfCommons*AJ665/4*INDEX(LM_All,G665))*tun_KHUsable*Arch_KH</x:f>
        <x:v>89928.86965807706</x:v>
      </x:c>
      <x:c r="AO665" s="32" t="n">
        <x:f>MIN(AP664+AN665,AM665*tun_KHMaxRatio)</x:f>
        <x:v>89928.86965807706</x:v>
      </x:c>
      <x:c r="AP665" s="32" t="n">
        <x:f>AP664+AN665-AO665</x:f>
        <x:v>0</x:v>
      </x:c>
      <x:c r="AQ665" s="32" t="n">
        <x:f>AM665+AO665</x:f>
        <x:v>695803.8456027578</x:v>
      </x:c>
      <x:c r="AR665" s="10" t="n">
        <x:f>IF(H665=1,INDEX(tun_Req,G665),0)</x:f>
        <x:v>125406521.7009086</x:v>
      </x:c>
      <x:c r="AS665" s="32" t="n">
        <x:f>IF(H665=1,IF(E665=1,AS664-AR664,AS664)+AQ665,0)</x:f>
        <x:v>23755687.119211767</x:v>
      </x:c>
      <x:c r="AT665" s="11" t="n">
        <x:f>IF(AR665&gt;0,MIN(1,AS665/AR665),1)</x:f>
        <x:v>0.1894294395300149</x:v>
      </x:c>
      <x:c r="AU665" s="10" t="n">
        <x:f>AB665/INDEX(tun_RepScale,G665)</x:f>
        <x:v>209.43452966605167</x:v>
      </x:c>
      <x:c r="AV665" s="32" t="n">
        <x:f>AM665*60/tun_SeasonSeconds</x:f>
        <x:v>2423499.903778723</x:v>
      </x:c>
    </x:row>
    <x:row r="666">
      <x:c r="A666" s="8" t="n">
        <x:f>A665+1</x:f>
        <x:v>663</x:v>
      </x:c>
      <x:c r="B666" s="9" t="n">
        <x:f>A666*tun_SeasonSeconds/60</x:f>
        <x:v>165.75</x:v>
      </x:c>
      <x:c r="C666" s="9" t="n">
        <x:f>A666/4</x:f>
        <x:v>165.75</x:v>
      </x:c>
      <x:c r="D666" s="8" t="n">
        <x:f>IF(MOD(A666,4)=0,1,0)</x:f>
        <x:v>0</x:v>
      </x:c>
      <x:c r="E666" s="8" t="n">
        <x:f>IF(AND(F665&lt;=9,AS665&gt;=AR665),1,0)</x:f>
        <x:v>0</x:v>
      </x:c>
      <x:c r="F666" s="8" t="n">
        <x:f>MIN(10,F665+E666)</x:f>
        <x:v>9</x:v>
      </x:c>
      <x:c r="G666" s="8" t="n">
        <x:f>MIN(F666,9)+1</x:f>
        <x:v>10</x:v>
      </x:c>
      <x:c r="H666" s="8" t="n">
        <x:f>IF(F666&lt;=9,1,0)</x:f>
        <x:v>1</x:v>
      </x:c>
      <x:c r="I666" s="9" t="n">
        <x:f>MIN(10,F665+IF(AR665&gt;0,MIN(1,AS665/AR665),1))</x:f>
        <x:v>9.189429439530015</x:v>
      </x:c>
      <x:c r="J666" s="32" t="n">
        <x:f>INDEX(tun_FoodCap,G666)*Arch_FoodCap*EXP(tun_CapsByProject*SUMPRODUCT((Cap_Point&lt;=I666)*(Cap_Kind="Food")*Cap_Ln))</x:f>
        <x:v>13863.877308233004</x:v>
      </x:c>
      <x:c r="K666" s="32" t="n">
        <x:f>J666*MIN(1,tun_LeanBase*EXP(tun_CapsByProject*SUMPRODUCT((Cap_Point&lt;=I666)*(Cap_Kind="Lean")*Cap_Ln)))</x:f>
        <x:v>13863.877308233004</x:v>
      </x:c>
      <x:c r="L666" s="10" t="n">
        <x:f>INDEX(tun_HousingCap,G666)*EXP(tun_CapsByProject*SUMPRODUCT((Cap_Point&lt;=I666)*(Cap_Kind="Housing")*Cap_Ln))</x:f>
        <x:v>12514.86067705494</x:v>
      </x:c>
      <x:c r="M666" s="10" t="n">
        <x:f>INDEX(tun_GroupCap,G666)*tun_CohesionFactor*EXP(tun_CapsByProject*SUMPRODUCT((Cap_Point&lt;=I666)*(Cap_Kind="Group")*Cap_Ln))</x:f>
        <x:v>1000000.000000001</x:v>
      </x:c>
      <x:c r="N666" s="32" t="n">
        <x:f>MIN(J666,L666,M666)</x:f>
        <x:v>12514.86067705494</x:v>
      </x:c>
      <x:c r="O666" s="10" t="n">
        <x:f>AE665*N666</x:f>
        <x:v>112633.74609349445</x:v>
      </x:c>
      <x:c r="P666" s="9" t="n">
        <x:f>MIN(1,(AB665/(AE665*IF(tun_GroupInCrowding=1,N666,MIN(J666,L666))))^tun_CrowdingExp)</x:f>
        <x:v>0.6458007859233491</x:v>
      </x:c>
      <x:c r="Q666" s="9" t="n">
        <x:f>IF(D666=1,INDEX(tun_WinterMult,G666),1)</x:f>
        <x:v>1</x:v>
      </x:c>
      <x:c r="R666" s="9" t="n">
        <x:f>H666*Z665*tun_WomenShare*tun_BaseFertility*INDEX(tun_FertMult,G666)*Arch_Fertility*(1-P666)</x:f>
        <x:v>380.431040405681</x:v>
      </x:c>
      <x:c r="S666" s="9" t="n">
        <x:f>H666*Y665*INDEX(tun_MortChild,G666)/4*Q666</x:f>
        <x:v>7.240745505228926</x:v>
      </x:c>
      <x:c r="T666" s="9" t="n">
        <x:f>H666*Z665*INDEX(tun_MortAdult,G666)*Arch_AdultMort/4*Q666</x:f>
        <x:v>17.704277920874553</x:v>
      </x:c>
      <x:c r="U666" s="9" t="n">
        <x:f>H666*AA665*INDEX(tun_MortElder,G666)/4*Q666</x:f>
        <x:v>170.94216989031463</x:v>
      </x:c>
      <x:c r="V666" s="9" t="n">
        <x:f>H666*MAX(0,AB665-O666)*tun_OvercapLoss</x:f>
        <x:v>0</x:v>
      </x:c>
      <x:c r="W666" s="9" t="n">
        <x:f>H666*Y665/(tun_ChildYears*4)</x:f>
        <x:v>574.6623416848354</x:v>
      </x:c>
      <x:c r="X666" s="9" t="n">
        <x:f>H666*Z665/(tun_AdultYears*4)</x:f>
        <x:v>380.7371595887</x:v>
      </x:c>
      <x:c r="Y666" s="32" t="n">
        <x:f>Y665+R666-S666-W666-Y665*V666/AB665</x:f>
        <x:v>31979.6190875664</x:v>
      </x:c>
      <x:c r="Z666" s="32" t="n">
        <x:f>Z665+W666-X666-T666-Z665*V666/AB665</x:f>
        <x:v>47387.62869317407</x:v>
      </x:c>
      <x:c r="AA666" s="32" t="n">
        <x:f>AA665+X666-U666-AA665*V666/AB665</x:f>
        <x:v>25534.560899374632</x:v>
      </x:c>
      <x:c r="AB666" s="10" t="n">
        <x:f>Y666+Z666+AA666</x:f>
        <x:v>104901.8086801151</x:v>
      </x:c>
      <x:c r="AC666" s="8" t="n">
        <x:f>IF(AND(tun_WinterTrigger=1,D666=1,AB665/AE665&gt;=K666),1,0)</x:f>
        <x:v>0</x:v>
      </x:c>
      <x:c r="AD666" s="8" t="n">
        <x:f>H666*IF(AND(OR(AB665/AE665&gt;=tun_FissionTrigger*N666,AC666=1),AB665/AE665*tun_DaughterShare&gt;=tun_MinDaughter),MAX(1,ROUND(AE665*tun_FissionRate,0)),0)</x:f>
        <x:v>3</x:v>
      </x:c>
      <x:c r="AE666" s="8" t="n">
        <x:f>IF(H666=1,MAX(1,MIN(INDEX(tun_Smax,G666),AE665+AD666)),AE665)</x:f>
        <x:v>9</x:v>
      </x:c>
      <x:c r="AF666" s="8" t="n">
        <x:f>MAX(0,AE666-AE665)</x:f>
        <x:v>0</x:v>
      </x:c>
      <x:c r="AG666" s="9" t="str">
        <x:f>IF(AF666&gt;0,B666,"")</x:f>
      </x:c>
      <x:c r="AH666" s="9" t="n">
        <x:f>IF(F666&gt;=1,1,(1+tun_LowTiesShare*(AE666-1))/AE666)</x:f>
        <x:v>1</x:v>
      </x:c>
      <x:c r="AI666" s="32" t="n">
        <x:f>(Z666+tun_ElderCommons*INDEX(LM_Elder,G666)*AA666)*AH666</x:f>
        <x:v>147815.90396343794</x:v>
      </x:c>
      <x:c r="AJ666" s="32" t="n">
        <x:f>H666*tun_CommonsCoef*AI666^tun_CommonsExp*INDEX(LM_Commons,G666)</x:f>
        <x:v>532418.3648376352</x:v>
      </x:c>
      <x:c r="AK666" s="32" t="n">
        <x:f>H666*tun_RoleScale*Arch_Roles*(AE666*(INDEX(tun_ElderRolePerSett,G666)*tun_OutElder*INDEX(LM_Elder,G666)+INDEX(tun_ShamanPerSett,G666)*tun_OutShaman)+Z666*(INDEX(tun_PriestShare,G666)*tun_OutPriest+INDEX(tun_ScribeShare,G666)*tun_OutScribe*INDEX(LM_Scribe,G666)+INDEX(tun_ScholarShare,G666)*tun_OutScholar*INDEX(LM_Scholar,G666)+INDEX(tun_ResearcherShare,G666)*tun_OutResearcher*INDEX(LM_Researcher,G666)))</x:f>
        <x:v>170914.73051292007</x:v>
      </x:c>
      <x:c r="AL666" s="32" t="n">
        <x:f>H666*tun_RoleScale*Arch_Roles*AE666*INDEX(tun_MonasteryPerSett,G666)*tun_OutMonastery*INDEX(LM_Monastery,G666)</x:f>
        <x:v>15.840000000000002</x:v>
      </x:c>
      <x:c r="AM666" s="32" t="n">
        <x:f>(AJ666+AK666+AL666)/4*INDEX(LM_All,G666)*INDEX(tun_Boon,G666)*Arch_Insight</x:f>
        <x:v>609080.7803104277</x:v>
      </x:c>
      <x:c r="AN666" s="32" t="n">
        <x:f>H666*(tun_KHPerAdult*Z666+tun_KHOfCommons*AJ666/4*INDEX(LM_All,G666))*tun_KHUsable*Arch_KH</x:f>
        <x:v>90449.9610479238</x:v>
      </x:c>
      <x:c r="AO666" s="32" t="n">
        <x:f>MIN(AP665+AN666,AM666*tun_KHMaxRatio)</x:f>
        <x:v>90449.9610479238</x:v>
      </x:c>
      <x:c r="AP666" s="32" t="n">
        <x:f>AP665+AN666-AO666</x:f>
        <x:v>0</x:v>
      </x:c>
      <x:c r="AQ666" s="32" t="n">
        <x:f>AM666+AO666</x:f>
        <x:v>699530.7413583514</x:v>
      </x:c>
      <x:c r="AR666" s="10" t="n">
        <x:f>IF(H666=1,INDEX(tun_Req,G666),0)</x:f>
        <x:v>125406521.7009086</x:v>
      </x:c>
      <x:c r="AS666" s="32" t="n">
        <x:f>IF(H666=1,IF(E666=1,AS665-AR665,AS665)+AQ666,0)</x:f>
        <x:v>24455217.860570118</x:v>
      </x:c>
      <x:c r="AT666" s="11" t="n">
        <x:f>IF(AR666&gt;0,MIN(1,AS666/AR666),1)</x:f>
        <x:v>0.19500754449513558</x:v>
      </x:c>
      <x:c r="AU666" s="10" t="n">
        <x:f>AB666/INDEX(tun_RepScale,G666)</x:f>
        <x:v>209.8036173602302</x:v>
      </x:c>
      <x:c r="AV666" s="32" t="n">
        <x:f>AM666*60/tun_SeasonSeconds</x:f>
        <x:v>2436323.1212417106</x:v>
      </x:c>
    </x:row>
    <x:row r="667">
      <x:c r="A667" s="8" t="n">
        <x:f>A666+1</x:f>
        <x:v>664</x:v>
      </x:c>
      <x:c r="B667" s="9" t="n">
        <x:f>A667*tun_SeasonSeconds/60</x:f>
        <x:v>166</x:v>
      </x:c>
      <x:c r="C667" s="9" t="n">
        <x:f>A667/4</x:f>
        <x:v>166</x:v>
      </x:c>
      <x:c r="D667" s="8" t="n">
        <x:f>IF(MOD(A667,4)=0,1,0)</x:f>
        <x:v>1</x:v>
      </x:c>
      <x:c r="E667" s="8" t="n">
        <x:f>IF(AND(F666&lt;=9,AS666&gt;=AR666),1,0)</x:f>
        <x:v>0</x:v>
      </x:c>
      <x:c r="F667" s="8" t="n">
        <x:f>MIN(10,F666+E667)</x:f>
        <x:v>9</x:v>
      </x:c>
      <x:c r="G667" s="8" t="n">
        <x:f>MIN(F667,9)+1</x:f>
        <x:v>10</x:v>
      </x:c>
      <x:c r="H667" s="8" t="n">
        <x:f>IF(F667&lt;=9,1,0)</x:f>
        <x:v>1</x:v>
      </x:c>
      <x:c r="I667" s="9" t="n">
        <x:f>MIN(10,F666+IF(AR666&gt;0,MIN(1,AS666/AR666),1))</x:f>
        <x:v>9.195007544495136</x:v>
      </x:c>
      <x:c r="J667" s="32" t="n">
        <x:f>INDEX(tun_FoodCap,G667)*Arch_FoodCap*EXP(tun_CapsByProject*SUMPRODUCT((Cap_Point&lt;=I667)*(Cap_Kind="Food")*Cap_Ln))</x:f>
        <x:v>13863.877308233004</x:v>
      </x:c>
      <x:c r="K667" s="32" t="n">
        <x:f>J667*MIN(1,tun_LeanBase*EXP(tun_CapsByProject*SUMPRODUCT((Cap_Point&lt;=I667)*(Cap_Kind="Lean")*Cap_Ln)))</x:f>
        <x:v>13863.877308233004</x:v>
      </x:c>
      <x:c r="L667" s="10" t="n">
        <x:f>INDEX(tun_HousingCap,G667)*EXP(tun_CapsByProject*SUMPRODUCT((Cap_Point&lt;=I667)*(Cap_Kind="Housing")*Cap_Ln))</x:f>
        <x:v>12514.86067705494</x:v>
      </x:c>
      <x:c r="M667" s="10" t="n">
        <x:f>INDEX(tun_GroupCap,G667)*tun_CohesionFactor*EXP(tun_CapsByProject*SUMPRODUCT((Cap_Point&lt;=I667)*(Cap_Kind="Group")*Cap_Ln))</x:f>
        <x:v>1000000.000000001</x:v>
      </x:c>
      <x:c r="N667" s="32" t="n">
        <x:f>MIN(J667,L667,M667)</x:f>
        <x:v>12514.86067705494</x:v>
      </x:c>
      <x:c r="O667" s="10" t="n">
        <x:f>AE666*N667</x:f>
        <x:v>112633.74609349445</x:v>
      </x:c>
      <x:c r="P667" s="9" t="n">
        <x:f>MIN(1,(AB666/(AE666*IF(tun_GroupInCrowding=1,N667,MIN(J667,L667))))^tun_CrowdingExp)</x:f>
        <x:v>0.6526595328424</x:v>
      </x:c>
      <x:c r="Q667" s="9" t="n">
        <x:f>IF(D667=1,INDEX(tun_WinterMult,G667),1)</x:f>
        <x:v>1.05</x:v>
      </x:c>
      <x:c r="R667" s="9" t="n">
        <x:f>H667*Z666*tun_WomenShare*tun_BaseFertility*INDEX(tun_FertMult,G667)*Arch_Fertility*(1-P667)</x:f>
        <x:v>374.45683474694886</x:v>
      </x:c>
      <x:c r="S667" s="9" t="n">
        <x:f>H667*Y666*INDEX(tun_MortChild,G667)/4*Q667</x:f>
        <x:v>7.555185009437562</x:v>
      </x:c>
      <x:c r="T667" s="9" t="n">
        <x:f>H667*Z666*INDEX(tun_MortAdult,G667)*Arch_AdultMort/4*Q667</x:f>
        <x:v>18.658878797937287</x:v>
      </x:c>
      <x:c r="U667" s="9" t="n">
        <x:f>H667*AA666*INDEX(tun_MortElder,G667)/4*Q667</x:f>
        <x:v>180.97620037431773</x:v>
      </x:c>
      <x:c r="V667" s="9" t="n">
        <x:f>H667*MAX(0,AB666-O667)*tun_OvercapLoss</x:f>
        <x:v>0</x:v>
      </x:c>
      <x:c r="W667" s="9" t="n">
        <x:f>H667*Y666/(tun_ChildYears*4)</x:f>
        <x:v>571.0646265636857</x:v>
      </x:c>
      <x:c r="X667" s="9" t="n">
        <x:f>H667*Z666/(tun_AdultYears*4)</x:f>
        <x:v>382.1582959126941</x:v>
      </x:c>
      <x:c r="Y667" s="32" t="n">
        <x:f>Y666+R667-S667-W667-Y666*V667/AB666</x:f>
        <x:v>31775.456110740226</x:v>
      </x:c>
      <x:c r="Z667" s="32" t="n">
        <x:f>Z666+W667-X667-T667-Z666*V667/AB666</x:f>
        <x:v>47557.87614502712</x:v>
      </x:c>
      <x:c r="AA667" s="32" t="n">
        <x:f>AA666+X667-U667-AA666*V667/AB666</x:f>
        <x:v>25735.74299491301</x:v>
      </x:c>
      <x:c r="AB667" s="10" t="n">
        <x:f>Y667+Z667+AA667</x:f>
        <x:v>105069.07525068035</x:v>
      </x:c>
      <x:c r="AC667" s="8" t="n">
        <x:f>IF(AND(tun_WinterTrigger=1,D667=1,AB666/AE666&gt;=K667),1,0)</x:f>
        <x:v>0</x:v>
      </x:c>
      <x:c r="AD667" s="8" t="n">
        <x:f>H667*IF(AND(OR(AB666/AE666&gt;=tun_FissionTrigger*N667,AC667=1),AB666/AE666*tun_DaughterShare&gt;=tun_MinDaughter),MAX(1,ROUND(AE666*tun_FissionRate,0)),0)</x:f>
        <x:v>3</x:v>
      </x:c>
      <x:c r="AE667" s="8" t="n">
        <x:f>IF(H667=1,MAX(1,MIN(INDEX(tun_Smax,G667),AE666+AD667)),AE666)</x:f>
        <x:v>9</x:v>
      </x:c>
      <x:c r="AF667" s="8" t="n">
        <x:f>MAX(0,AE667-AE666)</x:f>
        <x:v>0</x:v>
      </x:c>
      <x:c r="AG667" s="9" t="str">
        <x:f>IF(AF667&gt;0,B667,"")</x:f>
      </x:c>
      <x:c r="AH667" s="9" t="n">
        <x:f>IF(F667&gt;=1,1,(1+tun_LowTiesShare*(AE667-1))/AE667)</x:f>
        <x:v>1</x:v>
      </x:c>
      <x:c r="AI667" s="32" t="n">
        <x:f>(Z667+tun_ElderCommons*INDEX(LM_Elder,G667)*AA667)*AH667</x:f>
        <x:v>148777.40727239373</x:v>
      </x:c>
      <x:c r="AJ667" s="32" t="n">
        <x:f>H667*tun_CommonsCoef*AI667^tun_CommonsExp*INDEX(LM_Commons,G667)</x:f>
        <x:v>535360.686673155</x:v>
      </x:c>
      <x:c r="AK667" s="32" t="n">
        <x:f>H667*tun_RoleScale*Arch_Roles*(AE667*(INDEX(tun_ElderRolePerSett,G667)*tun_OutElder*INDEX(LM_Elder,G667)+INDEX(tun_ShamanPerSett,G667)*tun_OutShaman)+Z667*(INDEX(tun_PriestShare,G667)*tun_OutPriest+INDEX(tun_ScribeShare,G667)*tun_OutScribe*INDEX(LM_Scribe,G667)+INDEX(tun_ScholarShare,G667)*tun_OutScholar*INDEX(LM_Scholar,G667)+INDEX(tun_ResearcherShare,G667)*tun_OutResearcher*INDEX(LM_Researcher,G667)))</x:f>
        <x:v>171527.87166876328</x:v>
      </x:c>
      <x:c r="AL667" s="32" t="n">
        <x:f>H667*tun_RoleScale*Arch_Roles*AE667*INDEX(tun_MonasteryPerSett,G667)*tun_OutMonastery*INDEX(LM_Monastery,G667)</x:f>
        <x:v>15.840000000000002</x:v>
      </x:c>
      <x:c r="AM667" s="32" t="n">
        <x:f>(AJ667+AK667+AL667)/4*INDEX(LM_All,G667)*INDEX(tun_Boon,G667)*Arch_Insight</x:f>
        <x:v>612159.7132046175</x:v>
      </x:c>
      <x:c r="AN667" s="32" t="n">
        <x:f>H667*(tun_KHPerAdult*Z667+tun_KHOfCommons*AJ667/4*INDEX(LM_All,G667))*tun_KHUsable*Arch_KH</x:f>
        <x:v>90949.81776397527</x:v>
      </x:c>
      <x:c r="AO667" s="32" t="n">
        <x:f>MIN(AP666+AN667,AM667*tun_KHMaxRatio)</x:f>
        <x:v>90949.81776397527</x:v>
      </x:c>
      <x:c r="AP667" s="32" t="n">
        <x:f>AP666+AN667-AO667</x:f>
        <x:v>0</x:v>
      </x:c>
      <x:c r="AQ667" s="32" t="n">
        <x:f>AM667+AO667</x:f>
        <x:v>703109.5309685927</x:v>
      </x:c>
      <x:c r="AR667" s="10" t="n">
        <x:f>IF(H667=1,INDEX(tun_Req,G667),0)</x:f>
        <x:v>125406521.7009086</x:v>
      </x:c>
      <x:c r="AS667" s="32" t="n">
        <x:f>IF(H667=1,IF(E667=1,AS666-AR666,AS666)+AQ667,0)</x:f>
        <x:v>25158327.39153871</x:v>
      </x:c>
      <x:c r="AT667" s="11" t="n">
        <x:f>IF(AR667&gt;0,MIN(1,AS667/AR667),1)</x:f>
        <x:v>0.20061418696820799</x:v>
      </x:c>
      <x:c r="AU667" s="10" t="n">
        <x:f>AB667/INDEX(tun_RepScale,G667)</x:f>
        <x:v>210.1381505013607</x:v>
      </x:c>
      <x:c r="AV667" s="32" t="n">
        <x:f>AM667*60/tun_SeasonSeconds</x:f>
        <x:v>2448638.85281847</x:v>
      </x:c>
    </x:row>
    <x:row r="668">
      <x:c r="A668" s="8" t="n">
        <x:f>A667+1</x:f>
        <x:v>665</x:v>
      </x:c>
      <x:c r="B668" s="9" t="n">
        <x:f>A668*tun_SeasonSeconds/60</x:f>
        <x:v>166.25</x:v>
      </x:c>
      <x:c r="C668" s="9" t="n">
        <x:f>A668/4</x:f>
        <x:v>166.25</x:v>
      </x:c>
      <x:c r="D668" s="8" t="n">
        <x:f>IF(MOD(A668,4)=0,1,0)</x:f>
        <x:v>0</x:v>
      </x:c>
      <x:c r="E668" s="8" t="n">
        <x:f>IF(AND(F667&lt;=9,AS667&gt;=AR667),1,0)</x:f>
        <x:v>0</x:v>
      </x:c>
      <x:c r="F668" s="8" t="n">
        <x:f>MIN(10,F667+E668)</x:f>
        <x:v>9</x:v>
      </x:c>
      <x:c r="G668" s="8" t="n">
        <x:f>MIN(F668,9)+1</x:f>
        <x:v>10</x:v>
      </x:c>
      <x:c r="H668" s="8" t="n">
        <x:f>IF(F668&lt;=9,1,0)</x:f>
        <x:v>1</x:v>
      </x:c>
      <x:c r="I668" s="9" t="n">
        <x:f>MIN(10,F667+IF(AR667&gt;0,MIN(1,AS667/AR667),1))</x:f>
        <x:v>9.200614186968208</x:v>
      </x:c>
      <x:c r="J668" s="32" t="n">
        <x:f>INDEX(tun_FoodCap,G668)*Arch_FoodCap*EXP(tun_CapsByProject*SUMPRODUCT((Cap_Point&lt;=I668)*(Cap_Kind="Food")*Cap_Ln))</x:f>
        <x:v>13863.877308233004</x:v>
      </x:c>
      <x:c r="K668" s="32" t="n">
        <x:f>J668*MIN(1,tun_LeanBase*EXP(tun_CapsByProject*SUMPRODUCT((Cap_Point&lt;=I668)*(Cap_Kind="Lean")*Cap_Ln)))</x:f>
        <x:v>13863.877308233004</x:v>
      </x:c>
      <x:c r="L668" s="10" t="n">
        <x:f>INDEX(tun_HousingCap,G668)*EXP(tun_CapsByProject*SUMPRODUCT((Cap_Point&lt;=I668)*(Cap_Kind="Housing")*Cap_Ln))</x:f>
        <x:v>12514.86067705494</x:v>
      </x:c>
      <x:c r="M668" s="10" t="n">
        <x:f>INDEX(tun_GroupCap,G668)*tun_CohesionFactor*EXP(tun_CapsByProject*SUMPRODUCT((Cap_Point&lt;=I668)*(Cap_Kind="Group")*Cap_Ln))</x:f>
        <x:v>1000000.000000001</x:v>
      </x:c>
      <x:c r="N668" s="32" t="n">
        <x:f>MIN(J668,L668,M668)</x:f>
        <x:v>12514.86067705494</x:v>
      </x:c>
      <x:c r="O668" s="10" t="n">
        <x:f>AE667*N668</x:f>
        <x:v>112633.74609349445</x:v>
      </x:c>
      <x:c r="P668" s="9" t="n">
        <x:f>MIN(1,(AB667/(AE667*IF(tun_GroupInCrowding=1,N668,MIN(J668,L668))))^tun_CrowdingExp)</x:f>
        <x:v>0.6589284936480199</x:v>
      </x:c>
      <x:c r="Q668" s="9" t="n">
        <x:f>IF(D668=1,INDEX(tun_WinterMult,G668),1)</x:f>
        <x:v>1</x:v>
      </x:c>
      <x:c r="R668" s="9" t="n">
        <x:f>H668*Z667*tun_WomenShare*tun_BaseFertility*INDEX(tun_FertMult,G668)*Arch_Fertility*(1-P668)</x:f>
        <x:v>369.0194793668406</x:v>
      </x:c>
      <x:c r="S668" s="9" t="n">
        <x:f>H668*Y667*INDEX(tun_MortChild,G668)/4*Q668</x:f>
        <x:v>7.149477624916551</x:v>
      </x:c>
      <x:c r="T668" s="9" t="n">
        <x:f>H668*Z667*INDEX(tun_MortAdult,G668)*Arch_AdultMort/4*Q668</x:f>
        <x:v>17.83420355438517</x:v>
      </x:c>
      <x:c r="U668" s="9" t="n">
        <x:f>H668*AA667*INDEX(tun_MortElder,G668)/4*Q668</x:f>
        <x:v>173.71626521566282</x:v>
      </x:c>
      <x:c r="V668" s="9" t="n">
        <x:f>H668*MAX(0,AB667-O668)*tun_OvercapLoss</x:f>
        <x:v>0</x:v>
      </x:c>
      <x:c r="W668" s="9" t="n">
        <x:f>H668*Y667/(tun_ChildYears*4)</x:f>
        <x:v>567.4188591203612</x:v>
      </x:c>
      <x:c r="X668" s="9" t="n">
        <x:f>H668*Z667/(tun_AdultYears*4)</x:f>
        <x:v>383.53125923408965</x:v>
      </x:c>
      <x:c r="Y668" s="32" t="n">
        <x:f>Y667+R668-S668-W668-Y667*V668/AB667</x:f>
        <x:v>31569.90725336179</x:v>
      </x:c>
      <x:c r="Z668" s="32" t="n">
        <x:f>Z667+W668-X668-T668-Z667*V668/AB667</x:f>
        <x:v>47723.92954135901</x:v>
      </x:c>
      <x:c r="AA668" s="32" t="n">
        <x:f>AA667+X668-U668-AA667*V668/AB667</x:f>
        <x:v>25945.557988931436</x:v>
      </x:c>
      <x:c r="AB668" s="10" t="n">
        <x:f>Y668+Z668+AA668</x:f>
        <x:v>105239.39478365224</x:v>
      </x:c>
      <x:c r="AC668" s="8" t="n">
        <x:f>IF(AND(tun_WinterTrigger=1,D668=1,AB667/AE667&gt;=K668),1,0)</x:f>
        <x:v>0</x:v>
      </x:c>
      <x:c r="AD668" s="8" t="n">
        <x:f>H668*IF(AND(OR(AB667/AE667&gt;=tun_FissionTrigger*N668,AC668=1),AB667/AE667*tun_DaughterShare&gt;=tun_MinDaughter),MAX(1,ROUND(AE667*tun_FissionRate,0)),0)</x:f>
        <x:v>3</x:v>
      </x:c>
      <x:c r="AE668" s="8" t="n">
        <x:f>IF(H668=1,MAX(1,MIN(INDEX(tun_Smax,G668),AE667+AD668)),AE667)</x:f>
        <x:v>9</x:v>
      </x:c>
      <x:c r="AF668" s="8" t="n">
        <x:f>MAX(0,AE668-AE667)</x:f>
        <x:v>0</x:v>
      </x:c>
      <x:c r="AG668" s="9" t="str">
        <x:f>IF(AF668&gt;0,B668,"")</x:f>
      </x:c>
      <x:c r="AH668" s="9" t="n">
        <x:f>IF(F668&gt;=1,1,(1+tun_LowTiesShare*(AE668-1))/AE668)</x:f>
        <x:v>1</x:v>
      </x:c>
      <x:c r="AI668" s="32" t="n">
        <x:f>(Z668+tun_ElderCommons*INDEX(LM_Elder,G668)*AA668)*AH668</x:f>
        <x:v>149768.67000199546</x:v>
      </x:c>
      <x:c r="AJ668" s="32" t="n">
        <x:f>H668*tun_CommonsCoef*AI668^tun_CommonsExp*INDEX(LM_Commons,G668)</x:f>
        <x:v>538391.0916671078</x:v>
      </x:c>
      <x:c r="AK668" s="32" t="n">
        <x:f>H668*tun_RoleScale*Arch_Roles*(AE668*(INDEX(tun_ElderRolePerSett,G668)*tun_OutElder*INDEX(LM_Elder,G668)+INDEX(tun_ShamanPerSett,G668)*tun_OutShaman)+Z668*(INDEX(tun_PriestShare,G668)*tun_OutPriest+INDEX(tun_ScribeShare,G668)*tun_OutScribe*INDEX(LM_Scribe,G668)+INDEX(tun_ScholarShare,G668)*tun_OutScholar*INDEX(LM_Scholar,G668)+INDEX(tun_ResearcherShare,G668)*tun_OutResearcher*INDEX(LM_Researcher,G668)))</x:f>
        <x:v>172125.9080578571</x:v>
      </x:c>
      <x:c r="AL668" s="32" t="n">
        <x:f>H668*tun_RoleScale*Arch_Roles*AE668*INDEX(tun_MonasteryPerSett,G668)*tun_OutMonastery*INDEX(LM_Monastery,G668)</x:f>
        <x:v>15.840000000000002</x:v>
      </x:c>
      <x:c r="AM668" s="32" t="n">
        <x:f>(AJ668+AK668+AL668)/4*INDEX(LM_All,G668)*INDEX(tun_Boon,G668)*Arch_Insight</x:f>
        <x:v>615301.8433733297</x:v>
      </x:c>
      <x:c r="AN668" s="32" t="n">
        <x:f>H668*(tun_KHPerAdult*Z668+tun_KHOfCommons*AJ668/4*INDEX(LM_All,G668))*tun_KHUsable*Arch_KH</x:f>
        <x:v>91464.6384985043</x:v>
      </x:c>
      <x:c r="AO668" s="32" t="n">
        <x:f>MIN(AP667+AN668,AM668*tun_KHMaxRatio)</x:f>
        <x:v>91464.6384985043</x:v>
      </x:c>
      <x:c r="AP668" s="32" t="n">
        <x:f>AP667+AN668-AO668</x:f>
        <x:v>0</x:v>
      </x:c>
      <x:c r="AQ668" s="32" t="n">
        <x:f>AM668+AO668</x:f>
        <x:v>706766.481871834</x:v>
      </x:c>
      <x:c r="AR668" s="10" t="n">
        <x:f>IF(H668=1,INDEX(tun_Req,G668),0)</x:f>
        <x:v>125406521.7009086</x:v>
      </x:c>
      <x:c r="AS668" s="32" t="n">
        <x:f>IF(H668=1,IF(E668=1,AS667-AR667,AS667)+AQ668,0)</x:f>
        <x:v>25865093.873410545</x:v>
      </x:c>
      <x:c r="AT668" s="11" t="n">
        <x:f>IF(AR668&gt;0,MIN(1,AS668/AR668),1)</x:f>
        <x:v>0.20624999021261545</x:v>
      </x:c>
      <x:c r="AU668" s="10" t="n">
        <x:f>AB668/INDEX(tun_RepScale,G668)</x:f>
        <x:v>210.4787895673045</x:v>
      </x:c>
      <x:c r="AV668" s="32" t="n">
        <x:f>AM668*60/tun_SeasonSeconds</x:f>
        <x:v>2461207.373493319</x:v>
      </x:c>
    </x:row>
    <x:row r="669">
      <x:c r="A669" s="8" t="n">
        <x:f>A668+1</x:f>
        <x:v>666</x:v>
      </x:c>
      <x:c r="B669" s="9" t="n">
        <x:f>A669*tun_SeasonSeconds/60</x:f>
        <x:v>166.5</x:v>
      </x:c>
      <x:c r="C669" s="9" t="n">
        <x:f>A669/4</x:f>
        <x:v>166.5</x:v>
      </x:c>
      <x:c r="D669" s="8" t="n">
        <x:f>IF(MOD(A669,4)=0,1,0)</x:f>
        <x:v>0</x:v>
      </x:c>
      <x:c r="E669" s="8" t="n">
        <x:f>IF(AND(F668&lt;=9,AS668&gt;=AR668),1,0)</x:f>
        <x:v>0</x:v>
      </x:c>
      <x:c r="F669" s="8" t="n">
        <x:f>MIN(10,F668+E669)</x:f>
        <x:v>9</x:v>
      </x:c>
      <x:c r="G669" s="8" t="n">
        <x:f>MIN(F669,9)+1</x:f>
        <x:v>10</x:v>
      </x:c>
      <x:c r="H669" s="8" t="n">
        <x:f>IF(F669&lt;=9,1,0)</x:f>
        <x:v>1</x:v>
      </x:c>
      <x:c r="I669" s="9" t="n">
        <x:f>MIN(10,F668+IF(AR668&gt;0,MIN(1,AS668/AR668),1))</x:f>
        <x:v>9.206249990212616</x:v>
      </x:c>
      <x:c r="J669" s="32" t="n">
        <x:f>INDEX(tun_FoodCap,G669)*Arch_FoodCap*EXP(tun_CapsByProject*SUMPRODUCT((Cap_Point&lt;=I669)*(Cap_Kind="Food")*Cap_Ln))</x:f>
        <x:v>13863.877308233004</x:v>
      </x:c>
      <x:c r="K669" s="32" t="n">
        <x:f>J669*MIN(1,tun_LeanBase*EXP(tun_CapsByProject*SUMPRODUCT((Cap_Point&lt;=I669)*(Cap_Kind="Lean")*Cap_Ln)))</x:f>
        <x:v>13863.877308233004</x:v>
      </x:c>
      <x:c r="L669" s="10" t="n">
        <x:f>INDEX(tun_HousingCap,G669)*EXP(tun_CapsByProject*SUMPRODUCT((Cap_Point&lt;=I669)*(Cap_Kind="Housing")*Cap_Ln))</x:f>
        <x:v>12514.86067705494</x:v>
      </x:c>
      <x:c r="M669" s="10" t="n">
        <x:f>INDEX(tun_GroupCap,G669)*tun_CohesionFactor*EXP(tun_CapsByProject*SUMPRODUCT((Cap_Point&lt;=I669)*(Cap_Kind="Group")*Cap_Ln))</x:f>
        <x:v>1000000.000000001</x:v>
      </x:c>
      <x:c r="N669" s="32" t="n">
        <x:f>MIN(J669,L669,M669)</x:f>
        <x:v>12514.86067705494</x:v>
      </x:c>
      <x:c r="O669" s="10" t="n">
        <x:f>AE668*N669</x:f>
        <x:v>112633.74609349445</x:v>
      </x:c>
      <x:c r="P669" s="9" t="n">
        <x:f>MIN(1,(AB668/(AE668*IF(tun_GroupInCrowding=1,N669,MIN(J669,L669))))^tun_CrowdingExp)</x:f>
        <x:v>0.665363356978546</x:v>
      </x:c>
      <x:c r="Q669" s="9" t="n">
        <x:f>IF(D669=1,INDEX(tun_WinterMult,G669),1)</x:f>
        <x:v>1</x:v>
      </x:c>
      <x:c r="R669" s="9" t="n">
        <x:f>H669*Z668*tun_WomenShare*tun_BaseFertility*INDEX(tun_FertMult,G669)*Arch_Fertility*(1-P669)</x:f>
        <x:v>363.32149429741565</x:v>
      </x:c>
      <x:c r="S669" s="9" t="n">
        <x:f>H669*Y668*INDEX(tun_MortChild,G669)/4*Q669</x:f>
        <x:v>7.103229132006403</x:v>
      </x:c>
      <x:c r="T669" s="9" t="n">
        <x:f>H669*Z668*INDEX(tun_MortAdult,G669)*Arch_AdultMort/4*Q669</x:f>
        <x:v>17.89647357800963</x:v>
      </x:c>
      <x:c r="U669" s="9" t="n">
        <x:f>H669*AA668*INDEX(tun_MortElder,G669)/4*Q669</x:f>
        <x:v>175.13251642528718</x:v>
      </x:c>
      <x:c r="V669" s="9" t="n">
        <x:f>H669*MAX(0,AB668-O669)*tun_OvercapLoss</x:f>
        <x:v>0</x:v>
      </x:c>
      <x:c r="W669" s="9" t="n">
        <x:f>H669*Y668/(tun_ChildYears*4)</x:f>
        <x:v>563.748343810032</x:v>
      </x:c>
      <x:c r="X669" s="9" t="n">
        <x:f>H669*Z668/(tun_AdultYears*4)</x:f>
        <x:v>384.87039952708875</x:v>
      </x:c>
      <x:c r="Y669" s="32" t="n">
        <x:f>Y668+R669-S669-W669-Y668*V669/AB668</x:f>
        <x:v>31362.377174717167</x:v>
      </x:c>
      <x:c r="Z669" s="32" t="n">
        <x:f>Z668+W669-X669-T669-Z668*V669/AB668</x:f>
        <x:v>47884.91101206394</x:v>
      </x:c>
      <x:c r="AA669" s="32" t="n">
        <x:f>AA668+X669-U669-AA668*V669/AB668</x:f>
        <x:v>26155.295872033235</x:v>
      </x:c>
      <x:c r="AB669" s="10" t="n">
        <x:f>Y669+Z669+AA669</x:f>
        <x:v>105402.58405881435</x:v>
      </x:c>
      <x:c r="AC669" s="8" t="n">
        <x:f>IF(AND(tun_WinterTrigger=1,D669=1,AB668/AE668&gt;=K669),1,0)</x:f>
        <x:v>0</x:v>
      </x:c>
      <x:c r="AD669" s="8" t="n">
        <x:f>H669*IF(AND(OR(AB668/AE668&gt;=tun_FissionTrigger*N669,AC669=1),AB668/AE668*tun_DaughterShare&gt;=tun_MinDaughter),MAX(1,ROUND(AE668*tun_FissionRate,0)),0)</x:f>
        <x:v>3</x:v>
      </x:c>
      <x:c r="AE669" s="8" t="n">
        <x:f>IF(H669=1,MAX(1,MIN(INDEX(tun_Smax,G669),AE668+AD669)),AE668)</x:f>
        <x:v>9</x:v>
      </x:c>
      <x:c r="AF669" s="8" t="n">
        <x:f>MAX(0,AE669-AE668)</x:f>
        <x:v>0</x:v>
      </x:c>
      <x:c r="AG669" s="9" t="str">
        <x:f>IF(AF669&gt;0,B669,"")</x:f>
      </x:c>
      <x:c r="AH669" s="9" t="n">
        <x:f>IF(F669&gt;=1,1,(1+tun_LowTiesShare*(AE669-1))/AE669)</x:f>
        <x:v>1</x:v>
      </x:c>
      <x:c r="AI669" s="32" t="n">
        <x:f>(Z669+tun_ElderCommons*INDEX(LM_Elder,G669)*AA669)*AH669</x:f>
        <x:v>150754.55752617656</x:v>
      </x:c>
      <x:c r="AJ669" s="32" t="n">
        <x:f>H669*tun_CommonsCoef*AI669^tun_CommonsExp*INDEX(LM_Commons,G669)</x:f>
        <x:v>541402.0813116977</x:v>
      </x:c>
      <x:c r="AK669" s="32" t="n">
        <x:f>H669*tun_RoleScale*Arch_Roles*(AE669*(INDEX(tun_ElderRolePerSett,G669)*tun_OutElder*INDEX(LM_Elder,G669)+INDEX(tun_ShamanPerSett,G669)*tun_OutShaman)+Z669*(INDEX(tun_PriestShare,G669)*tun_OutPriest+INDEX(tun_ScribeShare,G669)*tun_OutScribe*INDEX(LM_Scribe,G669)+INDEX(tun_ScholarShare,G669)*tun_OutScholar*INDEX(LM_Scholar,G669)+INDEX(tun_ResearcherShare,G669)*tun_OutResearcher*INDEX(LM_Researcher,G669)))</x:f>
        <x:v>172705.6780570143</x:v>
      </x:c>
      <x:c r="AL669" s="32" t="n">
        <x:f>H669*tun_RoleScale*Arch_Roles*AE669*INDEX(tun_MonasteryPerSett,G669)*tun_OutMonastery*INDEX(LM_Monastery,G669)</x:f>
        <x:v>15.840000000000002</x:v>
      </x:c>
      <x:c r="AM669" s="32" t="n">
        <x:f>(AJ669+AK669+AL669)/4*INDEX(LM_All,G669)*INDEX(tun_Boon,G669)*Arch_Insight</x:f>
        <x:v>618411.3421950358</x:v>
      </x:c>
      <x:c r="AN669" s="32" t="n">
        <x:f>H669*(tun_KHPerAdult*Z669+tun_KHOfCommons*AJ669/4*INDEX(LM_All,G669))*tun_KHUsable*Arch_KH</x:f>
        <x:v>91976.16085395857</x:v>
      </x:c>
      <x:c r="AO669" s="32" t="n">
        <x:f>MIN(AP668+AN669,AM669*tun_KHMaxRatio)</x:f>
        <x:v>91976.16085395857</x:v>
      </x:c>
      <x:c r="AP669" s="32" t="n">
        <x:f>AP668+AN669-AO669</x:f>
        <x:v>0</x:v>
      </x:c>
      <x:c r="AQ669" s="32" t="n">
        <x:f>AM669+AO669</x:f>
        <x:v>710387.5030489943</x:v>
      </x:c>
      <x:c r="AR669" s="10" t="n">
        <x:f>IF(H669=1,INDEX(tun_Req,G669),0)</x:f>
        <x:v>125406521.7009086</x:v>
      </x:c>
      <x:c r="AS669" s="32" t="n">
        <x:f>IF(H669=1,IF(E669=1,AS668-AR668,AS668)+AQ669,0)</x:f>
        <x:v>26575481.37645954</x:v>
      </x:c>
      <x:c r="AT669" s="11" t="n">
        <x:f>IF(AR669&gt;0,MIN(1,AS669/AR669),1)</x:f>
        <x:v>0.21191466772231665</x:v>
      </x:c>
      <x:c r="AU669" s="10" t="n">
        <x:f>AB669/INDEX(tun_RepScale,G669)</x:f>
        <x:v>210.80516811762868</x:v>
      </x:c>
      <x:c r="AV669" s="32" t="n">
        <x:f>AM669*60/tun_SeasonSeconds</x:f>
        <x:v>2473645.368780143</x:v>
      </x:c>
    </x:row>
    <x:row r="670">
      <x:c r="A670" s="8" t="n">
        <x:f>A669+1</x:f>
        <x:v>667</x:v>
      </x:c>
      <x:c r="B670" s="9" t="n">
        <x:f>A670*tun_SeasonSeconds/60</x:f>
        <x:v>166.75</x:v>
      </x:c>
      <x:c r="C670" s="9" t="n">
        <x:f>A670/4</x:f>
        <x:v>166.75</x:v>
      </x:c>
      <x:c r="D670" s="8" t="n">
        <x:f>IF(MOD(A670,4)=0,1,0)</x:f>
        <x:v>0</x:v>
      </x:c>
      <x:c r="E670" s="8" t="n">
        <x:f>IF(AND(F669&lt;=9,AS669&gt;=AR669),1,0)</x:f>
        <x:v>0</x:v>
      </x:c>
      <x:c r="F670" s="8" t="n">
        <x:f>MIN(10,F669+E670)</x:f>
        <x:v>9</x:v>
      </x:c>
      <x:c r="G670" s="8" t="n">
        <x:f>MIN(F670,9)+1</x:f>
        <x:v>10</x:v>
      </x:c>
      <x:c r="H670" s="8" t="n">
        <x:f>IF(F670&lt;=9,1,0)</x:f>
        <x:v>1</x:v>
      </x:c>
      <x:c r="I670" s="9" t="n">
        <x:f>MIN(10,F669+IF(AR669&gt;0,MIN(1,AS669/AR669),1))</x:f>
        <x:v>9.211914667722317</x:v>
      </x:c>
      <x:c r="J670" s="32" t="n">
        <x:f>INDEX(tun_FoodCap,G670)*Arch_FoodCap*EXP(tun_CapsByProject*SUMPRODUCT((Cap_Point&lt;=I670)*(Cap_Kind="Food")*Cap_Ln))</x:f>
        <x:v>13863.877308233004</x:v>
      </x:c>
      <x:c r="K670" s="32" t="n">
        <x:f>J670*MIN(1,tun_LeanBase*EXP(tun_CapsByProject*SUMPRODUCT((Cap_Point&lt;=I670)*(Cap_Kind="Lean")*Cap_Ln)))</x:f>
        <x:v>13863.877308233004</x:v>
      </x:c>
      <x:c r="L670" s="10" t="n">
        <x:f>INDEX(tun_HousingCap,G670)*EXP(tun_CapsByProject*SUMPRODUCT((Cap_Point&lt;=I670)*(Cap_Kind="Housing")*Cap_Ln))</x:f>
        <x:v>12514.86067705494</x:v>
      </x:c>
      <x:c r="M670" s="10" t="n">
        <x:f>INDEX(tun_GroupCap,G670)*tun_CohesionFactor*EXP(tun_CapsByProject*SUMPRODUCT((Cap_Point&lt;=I670)*(Cap_Kind="Group")*Cap_Ln))</x:f>
        <x:v>1000000.000000001</x:v>
      </x:c>
      <x:c r="N670" s="32" t="n">
        <x:f>MIN(J670,L670,M670)</x:f>
        <x:v>12514.86067705494</x:v>
      </x:c>
      <x:c r="O670" s="10" t="n">
        <x:f>AE669*N670</x:f>
        <x:v>112633.74609349445</x:v>
      </x:c>
      <x:c r="P670" s="9" t="n">
        <x:f>MIN(1,(AB669/(AE669*IF(tun_GroupInCrowding=1,N670,MIN(J670,L670))))^tun_CrowdingExp)</x:f>
        <x:v>0.6715778715832915</x:v>
      </x:c>
      <x:c r="Q670" s="9" t="n">
        <x:f>IF(D670=1,INDEX(tun_WinterMult,G670),1)</x:f>
        <x:v>1</x:v>
      </x:c>
      <x:c r="R670" s="9" t="n">
        <x:f>H670*Z669*tun_WomenShare*tun_BaseFertility*INDEX(tun_FertMult,G670)*Arch_Fertility*(1-P670)</x:f>
        <x:v>357.7770649550079</x:v>
      </x:c>
      <x:c r="S670" s="9" t="n">
        <x:f>H670*Y669*INDEX(tun_MortChild,G670)/4*Q670</x:f>
        <x:v>7.056534864311362</x:v>
      </x:c>
      <x:c r="T670" s="9" t="n">
        <x:f>H670*Z669*INDEX(tun_MortAdult,G670)*Arch_AdultMort/4*Q670</x:f>
        <x:v>17.95684162952398</x:v>
      </x:c>
      <x:c r="U670" s="9" t="n">
        <x:f>H670*AA669*INDEX(tun_MortElder,G670)/4*Q670</x:f>
        <x:v>176.54824713622435</x:v>
      </x:c>
      <x:c r="V670" s="9" t="n">
        <x:f>H670*MAX(0,AB669-O670)*tun_OvercapLoss</x:f>
        <x:v>0</x:v>
      </x:c>
      <x:c r="W670" s="9" t="n">
        <x:f>H670*Y669/(tun_ChildYears*4)</x:f>
        <x:v>560.0424495485208</x:v>
      </x:c>
      <x:c r="X670" s="9" t="n">
        <x:f>H670*Z669/(tun_AdultYears*4)</x:f>
        <x:v>386.168637194064</x:v>
      </x:c>
      <x:c r="Y670" s="32" t="n">
        <x:f>Y669+R670-S670-W670-Y669*V670/AB669</x:f>
        <x:v>31153.055255259344</x:v>
      </x:c>
      <x:c r="Z670" s="32" t="n">
        <x:f>Z669+W670-X670-T670-Z669*V670/AB669</x:f>
        <x:v>48040.82798278887</x:v>
      </x:c>
      <x:c r="AA670" s="32" t="n">
        <x:f>AA669+X670-U670-AA669*V670/AB669</x:f>
        <x:v>26364.916262091076</x:v>
      </x:c>
      <x:c r="AB670" s="10" t="n">
        <x:f>Y670+Z670+AA670</x:f>
        <x:v>105558.79950013928</x:v>
      </x:c>
      <x:c r="AC670" s="8" t="n">
        <x:f>IF(AND(tun_WinterTrigger=1,D670=1,AB669/AE669&gt;=K670),1,0)</x:f>
        <x:v>0</x:v>
      </x:c>
      <x:c r="AD670" s="8" t="n">
        <x:f>H670*IF(AND(OR(AB669/AE669&gt;=tun_FissionTrigger*N670,AC670=1),AB669/AE669*tun_DaughterShare&gt;=tun_MinDaughter),MAX(1,ROUND(AE669*tun_FissionRate,0)),0)</x:f>
        <x:v>3</x:v>
      </x:c>
      <x:c r="AE670" s="8" t="n">
        <x:f>IF(H670=1,MAX(1,MIN(INDEX(tun_Smax,G670),AE669+AD670)),AE669)</x:f>
        <x:v>9</x:v>
      </x:c>
      <x:c r="AF670" s="8" t="n">
        <x:f>MAX(0,AE670-AE669)</x:f>
        <x:v>0</x:v>
      </x:c>
      <x:c r="AG670" s="9" t="str">
        <x:f>IF(AF670&gt;0,B670,"")</x:f>
      </x:c>
      <x:c r="AH670" s="9" t="n">
        <x:f>IF(F670&gt;=1,1,(1+tun_LowTiesShare*(AE670-1))/AE670)</x:f>
        <x:v>1</x:v>
      </x:c>
      <x:c r="AI670" s="32" t="n">
        <x:f>(Z670+tun_ElderCommons*INDEX(LM_Elder,G670)*AA670)*AH670</x:f>
        <x:v>151734.91844633728</x:v>
      </x:c>
      <x:c r="AJ670" s="32" t="n">
        <x:f>H670*tun_CommonsCoef*AI670^tun_CommonsExp*INDEX(LM_Commons,G670)</x:f>
        <x:v>544393.2647308209</x:v>
      </x:c>
      <x:c r="AK670" s="32" t="n">
        <x:f>H670*tun_RoleScale*Arch_Roles*(AE670*(INDEX(tun_ElderRolePerSett,G670)*tun_OutElder*INDEX(LM_Elder,G670)+INDEX(tun_ShamanPerSett,G670)*tun_OutShaman)+Z670*(INDEX(tun_PriestShare,G670)*tun_OutPriest+INDEX(tun_ScribeShare,G670)*tun_OutScribe*INDEX(LM_Scribe,G670)+INDEX(tun_ScholarShare,G670)*tun_OutScholar*INDEX(LM_Scholar,G670)+INDEX(tun_ResearcherShare,G670)*tun_OutResearcher*INDEX(LM_Researcher,G670)))</x:f>
        <x:v>173267.2084094825</x:v>
      </x:c>
      <x:c r="AL670" s="32" t="n">
        <x:f>H670*tun_RoleScale*Arch_Roles*AE670*INDEX(tun_MonasteryPerSett,G670)*tun_OutMonastery*INDEX(LM_Monastery,G670)</x:f>
        <x:v>15.840000000000002</x:v>
      </x:c>
      <x:c r="AM670" s="32" t="n">
        <x:f>(AJ670+AK670+AL670)/4*INDEX(LM_All,G670)*INDEX(tun_Boon,G670)*Arch_Insight</x:f>
        <x:v>621487.8943407242</x:v>
      </x:c>
      <x:c r="AN670" s="32" t="n">
        <x:f>H670*(tun_KHPerAdult*Z670+tun_KHOfCommons*AJ670/4*INDEX(LM_All,G670))*tun_KHUsable*Arch_KH</x:f>
        <x:v>92484.31842630188</x:v>
      </x:c>
      <x:c r="AO670" s="32" t="n">
        <x:f>MIN(AP669+AN670,AM670*tun_KHMaxRatio)</x:f>
        <x:v>92484.31842630188</x:v>
      </x:c>
      <x:c r="AP670" s="32" t="n">
        <x:f>AP669+AN670-AO670</x:f>
        <x:v>0</x:v>
      </x:c>
      <x:c r="AQ670" s="32" t="n">
        <x:f>AM670+AO670</x:f>
        <x:v>713972.2127670262</x:v>
      </x:c>
      <x:c r="AR670" s="10" t="n">
        <x:f>IF(H670=1,INDEX(tun_Req,G670),0)</x:f>
        <x:v>125406521.7009086</x:v>
      </x:c>
      <x:c r="AS670" s="32" t="n">
        <x:f>IF(H670=1,IF(E670=1,AS669-AR669,AS669)+AQ670,0)</x:f>
        <x:v>27289453.589226566</x:v>
      </x:c>
      <x:c r="AT670" s="11" t="n">
        <x:f>IF(AR670&gt;0,MIN(1,AS670/AR670),1)</x:f>
        <x:v>0.2176079299473055</x:v>
      </x:c>
      <x:c r="AU670" s="10" t="n">
        <x:f>AB670/INDEX(tun_RepScale,G670)</x:f>
        <x:v>211.11759900027857</x:v>
      </x:c>
      <x:c r="AV670" s="32" t="n">
        <x:f>AM670*60/tun_SeasonSeconds</x:f>
        <x:v>2485951.577362897</x:v>
      </x:c>
    </x:row>
    <x:row r="671">
      <x:c r="A671" s="8" t="n">
        <x:f>A670+1</x:f>
        <x:v>668</x:v>
      </x:c>
      <x:c r="B671" s="9" t="n">
        <x:f>A671*tun_SeasonSeconds/60</x:f>
        <x:v>167</x:v>
      </x:c>
      <x:c r="C671" s="9" t="n">
        <x:f>A671/4</x:f>
        <x:v>167</x:v>
      </x:c>
      <x:c r="D671" s="8" t="n">
        <x:f>IF(MOD(A671,4)=0,1,0)</x:f>
        <x:v>1</x:v>
      </x:c>
      <x:c r="E671" s="8" t="n">
        <x:f>IF(AND(F670&lt;=9,AS670&gt;=AR670),1,0)</x:f>
        <x:v>0</x:v>
      </x:c>
      <x:c r="F671" s="8" t="n">
        <x:f>MIN(10,F670+E671)</x:f>
        <x:v>9</x:v>
      </x:c>
      <x:c r="G671" s="8" t="n">
        <x:f>MIN(F671,9)+1</x:f>
        <x:v>10</x:v>
      </x:c>
      <x:c r="H671" s="8" t="n">
        <x:f>IF(F671&lt;=9,1,0)</x:f>
        <x:v>1</x:v>
      </x:c>
      <x:c r="I671" s="9" t="n">
        <x:f>MIN(10,F670+IF(AR670&gt;0,MIN(1,AS670/AR670),1))</x:f>
        <x:v>9.217607929947306</x:v>
      </x:c>
      <x:c r="J671" s="32" t="n">
        <x:f>INDEX(tun_FoodCap,G671)*Arch_FoodCap*EXP(tun_CapsByProject*SUMPRODUCT((Cap_Point&lt;=I671)*(Cap_Kind="Food")*Cap_Ln))</x:f>
        <x:v>13863.877308233004</x:v>
      </x:c>
      <x:c r="K671" s="32" t="n">
        <x:f>J671*MIN(1,tun_LeanBase*EXP(tun_CapsByProject*SUMPRODUCT((Cap_Point&lt;=I671)*(Cap_Kind="Lean")*Cap_Ln)))</x:f>
        <x:v>13863.877308233004</x:v>
      </x:c>
      <x:c r="L671" s="10" t="n">
        <x:f>INDEX(tun_HousingCap,G671)*EXP(tun_CapsByProject*SUMPRODUCT((Cap_Point&lt;=I671)*(Cap_Kind="Housing")*Cap_Ln))</x:f>
        <x:v>12514.86067705494</x:v>
      </x:c>
      <x:c r="M671" s="10" t="n">
        <x:f>INDEX(tun_GroupCap,G671)*tun_CohesionFactor*EXP(tun_CapsByProject*SUMPRODUCT((Cap_Point&lt;=I671)*(Cap_Kind="Group")*Cap_Ln))</x:f>
        <x:v>1000000.000000001</x:v>
      </x:c>
      <x:c r="N671" s="32" t="n">
        <x:f>MIN(J671,L671,M671)</x:f>
        <x:v>12514.86067705494</x:v>
      </x:c>
      <x:c r="O671" s="10" t="n">
        <x:f>AE670*N671</x:f>
        <x:v>112633.74609349445</x:v>
      </x:c>
      <x:c r="P671" s="9" t="n">
        <x:f>MIN(1,(AB670/(AE670*IF(tun_GroupInCrowding=1,N671,MIN(J671,L671))))^tun_CrowdingExp)</x:f>
        <x:v>0.6775720501947775</x:v>
      </x:c>
      <x:c r="Q671" s="9" t="n">
        <x:f>IF(D671=1,INDEX(tun_WinterMult,G671),1)</x:f>
        <x:v>1.05</x:v>
      </x:c>
      <x:c r="R671" s="9" t="n">
        <x:f>H671*Z670*tun_WomenShare*tun_BaseFertility*INDEX(tun_FertMult,G671)*Arch_Fertility*(1-P671)</x:f>
        <x:v>352.3908040706685</x:v>
      </x:c>
      <x:c r="S671" s="9" t="n">
        <x:f>H671*Y670*INDEX(tun_MortChild,G671)/4*Q671</x:f>
        <x:v>7.35990930405502</x:v>
      </x:c>
      <x:c r="T671" s="9" t="n">
        <x:f>H671*Z670*INDEX(tun_MortAdult,G671)*Arch_AdultMort/4*Q671</x:f>
        <x:v>18.91607601822312</x:v>
      </x:c>
      <x:c r="U671" s="9" t="n">
        <x:f>H671*AA670*INDEX(tun_MortElder,G671)/4*Q671</x:f>
        <x:v>186.8613440075705</x:v>
      </x:c>
      <x:c r="V671" s="9" t="n">
        <x:f>H671*MAX(0,AB670-O671)*tun_OvercapLoss</x:f>
        <x:v>0</x:v>
      </x:c>
      <x:c r="W671" s="9" t="n">
        <x:f>H671*Y670/(tun_ChildYears*4)</x:f>
        <x:v>556.3045581296311</x:v>
      </x:c>
      <x:c r="X671" s="9" t="n">
        <x:f>H671*Z670/(tun_AdultYears*4)</x:f>
        <x:v>387.4260321192651</x:v>
      </x:c>
      <x:c r="Y671" s="32" t="n">
        <x:f>Y670+R671-S671-W671-Y670*V671/AB670</x:f>
        <x:v>30941.781591896328</x:v>
      </x:c>
      <x:c r="Z671" s="32" t="n">
        <x:f>Z670+W671-X671-T671-Z670*V671/AB670</x:f>
        <x:v>48190.79043278102</x:v>
      </x:c>
      <x:c r="AA671" s="32" t="n">
        <x:f>AA670+X671-U671-AA670*V671/AB670</x:f>
        <x:v>26565.48095020277</x:v>
      </x:c>
      <x:c r="AB671" s="10" t="n">
        <x:f>Y671+Z671+AA671</x:f>
        <x:v>105698.05297488012</x:v>
      </x:c>
      <x:c r="AC671" s="8" t="n">
        <x:f>IF(AND(tun_WinterTrigger=1,D671=1,AB670/AE670&gt;=K671),1,0)</x:f>
        <x:v>0</x:v>
      </x:c>
      <x:c r="AD671" s="8" t="n">
        <x:f>H671*IF(AND(OR(AB670/AE670&gt;=tun_FissionTrigger*N671,AC671=1),AB670/AE670*tun_DaughterShare&gt;=tun_MinDaughter),MAX(1,ROUND(AE670*tun_FissionRate,0)),0)</x:f>
        <x:v>3</x:v>
      </x:c>
      <x:c r="AE671" s="8" t="n">
        <x:f>IF(H671=1,MAX(1,MIN(INDEX(tun_Smax,G671),AE670+AD671)),AE670)</x:f>
        <x:v>9</x:v>
      </x:c>
      <x:c r="AF671" s="8" t="n">
        <x:f>MAX(0,AE671-AE670)</x:f>
        <x:v>0</x:v>
      </x:c>
      <x:c r="AG671" s="9" t="str">
        <x:f>IF(AF671&gt;0,B671,"")</x:f>
      </x:c>
      <x:c r="AH671" s="9" t="n">
        <x:f>IF(F671&gt;=1,1,(1+tun_LowTiesShare*(AE671-1))/AE671)</x:f>
        <x:v>1</x:v>
      </x:c>
      <x:c r="AI671" s="32" t="n">
        <x:f>(Z671+tun_ElderCommons*INDEX(LM_Elder,G671)*AA671)*AH671</x:f>
        <x:v>152673.70846953703</x:v>
      </x:c>
      <x:c r="AJ671" s="32" t="n">
        <x:f>H671*tun_CommonsCoef*AI671^tun_CommonsExp*INDEX(LM_Commons,G671)</x:f>
        <x:v>547254.8948893445</x:v>
      </x:c>
      <x:c r="AK671" s="32" t="n">
        <x:f>H671*tun_RoleScale*Arch_Roles*(AE671*(INDEX(tun_ElderRolePerSett,G671)*tun_OutElder*INDEX(LM_Elder,G671)+INDEX(tun_ShamanPerSett,G671)*tun_OutShaman)+Z671*(INDEX(tun_PriestShare,G671)*tun_OutPriest+INDEX(tun_ScribeShare,G671)*tun_OutScribe*INDEX(LM_Scribe,G671)+INDEX(tun_ScholarShare,G671)*tun_OutScholar*INDEX(LM_Scholar,G671)+INDEX(tun_ResearcherShare,G671)*tun_OutResearcher*INDEX(LM_Researcher,G671)))</x:f>
        <x:v>173807.29373187915</x:v>
      </x:c>
      <x:c r="AL671" s="32" t="n">
        <x:f>H671*tun_RoleScale*Arch_Roles*AE671*INDEX(tun_MonasteryPerSett,G671)*tun_OutMonastery*INDEX(LM_Monastery,G671)</x:f>
        <x:v>15.840000000000002</x:v>
      </x:c>
      <x:c r="AM671" s="32" t="n">
        <x:f>(AJ671+AK671+AL671)/4*INDEX(LM_All,G671)*INDEX(tun_Boon,G671)*Arch_Insight</x:f>
        <x:v>624433.6861310827</x:v>
      </x:c>
      <x:c r="AN671" s="32" t="n">
        <x:f>H671*(tun_KHPerAdult*Z671+tun_KHOfCommons*AJ671/4*INDEX(LM_All,G671))*tun_KHUsable*Arch_KH</x:f>
        <x:v>92970.46682663166</x:v>
      </x:c>
      <x:c r="AO671" s="32" t="n">
        <x:f>MIN(AP670+AN671,AM671*tun_KHMaxRatio)</x:f>
        <x:v>92970.46682663166</x:v>
      </x:c>
      <x:c r="AP671" s="32" t="n">
        <x:f>AP670+AN671-AO671</x:f>
        <x:v>0</x:v>
      </x:c>
      <x:c r="AQ671" s="32" t="n">
        <x:f>AM671+AO671</x:f>
        <x:v>717404.1529577144</x:v>
      </x:c>
      <x:c r="AR671" s="10" t="n">
        <x:f>IF(H671=1,INDEX(tun_Req,G671),0)</x:f>
        <x:v>125406521.7009086</x:v>
      </x:c>
      <x:c r="AS671" s="32" t="n">
        <x:f>IF(H671=1,IF(E671=1,AS670-AR670,AS670)+AQ671,0)</x:f>
        <x:v>28006857.74218428</x:v>
      </x:c>
      <x:c r="AT671" s="11" t="n">
        <x:f>IF(AR671&gt;0,MIN(1,AS671/AR671),1)</x:f>
        <x:v>0.22332855869314303</x:v>
      </x:c>
      <x:c r="AU671" s="10" t="n">
        <x:f>AB671/INDEX(tun_RepScale,G671)</x:f>
        <x:v>211.39610594976023</x:v>
      </x:c>
      <x:c r="AV671" s="32" t="n">
        <x:f>AM671*60/tun_SeasonSeconds</x:f>
        <x:v>2497734.744524331</x:v>
      </x:c>
    </x:row>
    <x:row r="672">
      <x:c r="A672" s="8" t="n">
        <x:f>A671+1</x:f>
        <x:v>669</x:v>
      </x:c>
      <x:c r="B672" s="9" t="n">
        <x:f>A672*tun_SeasonSeconds/60</x:f>
        <x:v>167.25</x:v>
      </x:c>
      <x:c r="C672" s="9" t="n">
        <x:f>A672/4</x:f>
        <x:v>167.25</x:v>
      </x:c>
      <x:c r="D672" s="8" t="n">
        <x:f>IF(MOD(A672,4)=0,1,0)</x:f>
        <x:v>0</x:v>
      </x:c>
      <x:c r="E672" s="8" t="n">
        <x:f>IF(AND(F671&lt;=9,AS671&gt;=AR671),1,0)</x:f>
        <x:v>0</x:v>
      </x:c>
      <x:c r="F672" s="8" t="n">
        <x:f>MIN(10,F671+E672)</x:f>
        <x:v>9</x:v>
      </x:c>
      <x:c r="G672" s="8" t="n">
        <x:f>MIN(F672,9)+1</x:f>
        <x:v>10</x:v>
      </x:c>
      <x:c r="H672" s="8" t="n">
        <x:f>IF(F672&lt;=9,1,0)</x:f>
        <x:v>1</x:v>
      </x:c>
      <x:c r="I672" s="9" t="n">
        <x:f>MIN(10,F671+IF(AR671&gt;0,MIN(1,AS671/AR671),1))</x:f>
        <x:v>9.223328558693144</x:v>
      </x:c>
      <x:c r="J672" s="32" t="n">
        <x:f>INDEX(tun_FoodCap,G672)*Arch_FoodCap*EXP(tun_CapsByProject*SUMPRODUCT((Cap_Point&lt;=I672)*(Cap_Kind="Food")*Cap_Ln))</x:f>
        <x:v>13863.877308233004</x:v>
      </x:c>
      <x:c r="K672" s="32" t="n">
        <x:f>J672*MIN(1,tun_LeanBase*EXP(tun_CapsByProject*SUMPRODUCT((Cap_Point&lt;=I672)*(Cap_Kind="Lean")*Cap_Ln)))</x:f>
        <x:v>13863.877308233004</x:v>
      </x:c>
      <x:c r="L672" s="10" t="n">
        <x:f>INDEX(tun_HousingCap,G672)*EXP(tun_CapsByProject*SUMPRODUCT((Cap_Point&lt;=I672)*(Cap_Kind="Housing")*Cap_Ln))</x:f>
        <x:v>12514.86067705494</x:v>
      </x:c>
      <x:c r="M672" s="10" t="n">
        <x:f>INDEX(tun_GroupCap,G672)*tun_CohesionFactor*EXP(tun_CapsByProject*SUMPRODUCT((Cap_Point&lt;=I672)*(Cap_Kind="Group")*Cap_Ln))</x:f>
        <x:v>1000000.000000001</x:v>
      </x:c>
      <x:c r="N672" s="32" t="n">
        <x:f>MIN(J672,L672,M672)</x:f>
        <x:v>12514.86067705494</x:v>
      </x:c>
      <x:c r="O672" s="10" t="n">
        <x:f>AE671*N672</x:f>
        <x:v>112633.74609349445</x:v>
      </x:c>
      <x:c r="P672" s="9" t="n">
        <x:f>MIN(1,(AB671/(AE671*IF(tun_GroupInCrowding=1,N672,MIN(J672,L672))))^tun_CrowdingExp)</x:f>
        <x:v>0.6829528990727689</x:v>
      </x:c>
      <x:c r="Q672" s="9" t="n">
        <x:f>IF(D672=1,INDEX(tun_WinterMult,G672),1)</x:f>
        <x:v>1</x:v>
      </x:c>
      <x:c r="R672" s="9" t="n">
        <x:f>H672*Z671*tun_WomenShare*tun_BaseFertility*INDEX(tun_FertMult,G672)*Arch_Fertility*(1-P672)</x:f>
        <x:v>347.59157155688797</x:v>
      </x:c>
      <x:c r="S672" s="9" t="n">
        <x:f>H672*Y671*INDEX(tun_MortChild,G672)/4*Q672</x:f>
        <x:v>6.961900858176674</x:v>
      </x:c>
      <x:c r="T672" s="9" t="n">
        <x:f>H672*Z671*INDEX(tun_MortAdult,G672)*Arch_AdultMort/4*Q672</x:f>
        <x:v>18.071546412292882</x:v>
      </x:c>
      <x:c r="U672" s="9" t="n">
        <x:f>H672*AA671*INDEX(tun_MortElder,G672)/4*Q672</x:f>
        <x:v>179.3169964138687</x:v>
      </x:c>
      <x:c r="V672" s="9" t="n">
        <x:f>H672*MAX(0,AB671-O672)*tun_OvercapLoss</x:f>
        <x:v>0</x:v>
      </x:c>
      <x:c r="W672" s="9" t="n">
        <x:f>H672*Y671/(tun_ChildYears*4)</x:f>
        <x:v>552.5318141410058</x:v>
      </x:c>
      <x:c r="X672" s="9" t="n">
        <x:f>H672*Z671/(tun_AdultYears*4)</x:f>
        <x:v>388.63540671597593</x:v>
      </x:c>
      <x:c r="Y672" s="32" t="n">
        <x:f>Y671+R672-S672-W672-Y671*V672/AB671</x:f>
        <x:v>30729.879448454034</x:v>
      </x:c>
      <x:c r="Z672" s="32" t="n">
        <x:f>Z671+W672-X672-T672-Z671*V672/AB671</x:f>
        <x:v>48336.61529379375</x:v>
      </x:c>
      <x:c r="AA672" s="32" t="n">
        <x:f>AA671+X672-U672-AA671*V672/AB671</x:f>
        <x:v>26774.79936050488</x:v>
      </x:c>
      <x:c r="AB672" s="10" t="n">
        <x:f>Y672+Z672+AA672</x:f>
        <x:v>105841.29410275267</x:v>
      </x:c>
      <x:c r="AC672" s="8" t="n">
        <x:f>IF(AND(tun_WinterTrigger=1,D672=1,AB671/AE671&gt;=K672),1,0)</x:f>
        <x:v>0</x:v>
      </x:c>
      <x:c r="AD672" s="8" t="n">
        <x:f>H672*IF(AND(OR(AB671/AE671&gt;=tun_FissionTrigger*N672,AC672=1),AB671/AE671*tun_DaughterShare&gt;=tun_MinDaughter),MAX(1,ROUND(AE671*tun_FissionRate,0)),0)</x:f>
        <x:v>3</x:v>
      </x:c>
      <x:c r="AE672" s="8" t="n">
        <x:f>IF(H672=1,MAX(1,MIN(INDEX(tun_Smax,G672),AE671+AD672)),AE671)</x:f>
        <x:v>9</x:v>
      </x:c>
      <x:c r="AF672" s="8" t="n">
        <x:f>MAX(0,AE672-AE671)</x:f>
        <x:v>0</x:v>
      </x:c>
      <x:c r="AG672" s="9" t="str">
        <x:f>IF(AF672&gt;0,B672,"")</x:f>
      </x:c>
      <x:c r="AH672" s="9" t="n">
        <x:f>IF(F672&gt;=1,1,(1+tun_LowTiesShare*(AE672-1))/AE672)</x:f>
        <x:v>1</x:v>
      </x:c>
      <x:c r="AI672" s="32" t="n">
        <x:f>(Z672+tun_ElderCommons*INDEX(LM_Elder,G672)*AA672)*AH672</x:f>
        <x:v>153642.7895835864</x:v>
      </x:c>
      <x:c r="AJ672" s="32" t="n">
        <x:f>H672*tun_CommonsCoef*AI672^tun_CommonsExp*INDEX(LM_Commons,G672)</x:f>
        <x:v>550206.0916116534</x:v>
      </x:c>
      <x:c r="AK672" s="32" t="n">
        <x:f>H672*tun_RoleScale*Arch_Roles*(AE672*(INDEX(tun_ElderRolePerSett,G672)*tun_OutElder*INDEX(LM_Elder,G672)+INDEX(tun_ShamanPerSett,G672)*tun_OutShaman)+Z672*(INDEX(tun_PriestShare,G672)*tun_OutPriest+INDEX(tun_ScribeShare,G672)*tun_OutScribe*INDEX(LM_Scribe,G672)+INDEX(tun_ScholarShare,G672)*tun_OutScholar*INDEX(LM_Scholar,G672)+INDEX(tun_ResearcherShare,G672)*tun_OutResearcher*INDEX(LM_Researcher,G672)))</x:f>
        <x:v>174332.47765010427</x:v>
      </x:c>
      <x:c r="AL672" s="32" t="n">
        <x:f>H672*tun_RoleScale*Arch_Roles*AE672*INDEX(tun_MonasteryPerSett,G672)*tun_OutMonastery*INDEX(LM_Monastery,G672)</x:f>
        <x:v>15.840000000000002</x:v>
      </x:c>
      <x:c r="AM672" s="32" t="n">
        <x:f>(AJ672+AK672+AL672)/4*INDEX(LM_All,G672)*INDEX(tun_Boon,G672)*Arch_Insight</x:f>
        <x:v>627444.1358904715</x:v>
      </x:c>
      <x:c r="AN672" s="32" t="n">
        <x:f>H672*(tun_KHPerAdult*Z672+tun_KHOfCommons*AJ672/4*INDEX(LM_All,G672))*tun_KHUsable*Arch_KH</x:f>
        <x:v>93471.83125394443</x:v>
      </x:c>
      <x:c r="AO672" s="32" t="n">
        <x:f>MIN(AP671+AN672,AM672*tun_KHMaxRatio)</x:f>
        <x:v>93471.83125394443</x:v>
      </x:c>
      <x:c r="AP672" s="32" t="n">
        <x:f>AP671+AN672-AO672</x:f>
        <x:v>0</x:v>
      </x:c>
      <x:c r="AQ672" s="32" t="n">
        <x:f>AM672+AO672</x:f>
        <x:v>720915.967144416</x:v>
      </x:c>
      <x:c r="AR672" s="10" t="n">
        <x:f>IF(H672=1,INDEX(tun_Req,G672),0)</x:f>
        <x:v>125406521.7009086</x:v>
      </x:c>
      <x:c r="AS672" s="32" t="n">
        <x:f>IF(H672=1,IF(E672=1,AS671-AR671,AS671)+AQ672,0)</x:f>
        <x:v>28727773.709328696</x:v>
      </x:c>
      <x:c r="AT672" s="11" t="n">
        <x:f>IF(AR672&gt;0,MIN(1,AS672/AR672),1)</x:f>
        <x:v>0.22907719088042097</x:v>
      </x:c>
      <x:c r="AU672" s="10" t="n">
        <x:f>AB672/INDEX(tun_RepScale,G672)</x:f>
        <x:v>211.68258820550534</x:v>
      </x:c>
      <x:c r="AV672" s="32" t="n">
        <x:f>AM672*60/tun_SeasonSeconds</x:f>
        <x:v>2509776.543561886</x:v>
      </x:c>
    </x:row>
    <x:row r="673">
      <x:c r="A673" s="8" t="n">
        <x:f>A672+1</x:f>
        <x:v>670</x:v>
      </x:c>
      <x:c r="B673" s="9" t="n">
        <x:f>A673*tun_SeasonSeconds/60</x:f>
        <x:v>167.5</x:v>
      </x:c>
      <x:c r="C673" s="9" t="n">
        <x:f>A673/4</x:f>
        <x:v>167.5</x:v>
      </x:c>
      <x:c r="D673" s="8" t="n">
        <x:f>IF(MOD(A673,4)=0,1,0)</x:f>
        <x:v>0</x:v>
      </x:c>
      <x:c r="E673" s="8" t="n">
        <x:f>IF(AND(F672&lt;=9,AS672&gt;=AR672),1,0)</x:f>
        <x:v>0</x:v>
      </x:c>
      <x:c r="F673" s="8" t="n">
        <x:f>MIN(10,F672+E673)</x:f>
        <x:v>9</x:v>
      </x:c>
      <x:c r="G673" s="8" t="n">
        <x:f>MIN(F673,9)+1</x:f>
        <x:v>10</x:v>
      </x:c>
      <x:c r="H673" s="8" t="n">
        <x:f>IF(F673&lt;=9,1,0)</x:f>
        <x:v>1</x:v>
      </x:c>
      <x:c r="I673" s="9" t="n">
        <x:f>MIN(10,F672+IF(AR672&gt;0,MIN(1,AS672/AR672),1))</x:f>
        <x:v>9.229077190880421</x:v>
      </x:c>
      <x:c r="J673" s="32" t="n">
        <x:f>INDEX(tun_FoodCap,G673)*Arch_FoodCap*EXP(tun_CapsByProject*SUMPRODUCT((Cap_Point&lt;=I673)*(Cap_Kind="Food")*Cap_Ln))</x:f>
        <x:v>13863.877308233004</x:v>
      </x:c>
      <x:c r="K673" s="32" t="n">
        <x:f>J673*MIN(1,tun_LeanBase*EXP(tun_CapsByProject*SUMPRODUCT((Cap_Point&lt;=I673)*(Cap_Kind="Lean")*Cap_Ln)))</x:f>
        <x:v>13863.877308233004</x:v>
      </x:c>
      <x:c r="L673" s="10" t="n">
        <x:f>INDEX(tun_HousingCap,G673)*EXP(tun_CapsByProject*SUMPRODUCT((Cap_Point&lt;=I673)*(Cap_Kind="Housing")*Cap_Ln))</x:f>
        <x:v>12514.86067705494</x:v>
      </x:c>
      <x:c r="M673" s="10" t="n">
        <x:f>INDEX(tun_GroupCap,G673)*tun_CohesionFactor*EXP(tun_CapsByProject*SUMPRODUCT((Cap_Point&lt;=I673)*(Cap_Kind="Group")*Cap_Ln))</x:f>
        <x:v>1000000.000000001</x:v>
      </x:c>
      <x:c r="N673" s="32" t="n">
        <x:f>MIN(J673,L673,M673)</x:f>
        <x:v>12514.86067705494</x:v>
      </x:c>
      <x:c r="O673" s="10" t="n">
        <x:f>AE672*N673</x:f>
        <x:v>112633.74609349445</x:v>
      </x:c>
      <x:c r="P673" s="9" t="n">
        <x:f>MIN(1,(AB672/(AE672*IF(tun_GroupInCrowding=1,N673,MIN(J673,L673))))^tun_CrowdingExp)</x:f>
        <x:v>0.6885249399534895</x:v>
      </x:c>
      <x:c r="Q673" s="9" t="n">
        <x:f>IF(D673=1,INDEX(tun_WinterMult,G673),1)</x:f>
        <x:v>1</x:v>
      </x:c>
      <x:c r="R673" s="9" t="n">
        <x:f>H673*Z672*tun_WomenShare*tun_BaseFertility*INDEX(tun_FertMult,G673)*Arch_Fertility*(1-P673)</x:f>
        <x:v>342.5160409370583</x:v>
      </x:c>
      <x:c r="S673" s="9" t="n">
        <x:f>H673*Y672*INDEX(tun_MortChild,G673)/4*Q673</x:f>
        <x:v>6.914222875902158</x:v>
      </x:c>
      <x:c r="T673" s="9" t="n">
        <x:f>H673*Z672*INDEX(tun_MortAdult,G673)*Arch_AdultMort/4*Q673</x:f>
        <x:v>18.12623073517266</x:v>
      </x:c>
      <x:c r="U673" s="9" t="n">
        <x:f>H673*AA672*INDEX(tun_MortElder,G673)/4*Q673</x:f>
        <x:v>180.72989568340793</x:v>
      </x:c>
      <x:c r="V673" s="9" t="n">
        <x:f>H673*MAX(0,AB672-O673)*tun_OvercapLoss</x:f>
        <x:v>0</x:v>
      </x:c>
      <x:c r="W673" s="9" t="n">
        <x:f>H673*Y672/(tun_ChildYears*4)</x:f>
        <x:v>548.747847293822</x:v>
      </x:c>
      <x:c r="X673" s="9" t="n">
        <x:f>H673*Z672/(tun_AdultYears*4)</x:f>
        <x:v>389.811413659627</x:v>
      </x:c>
      <x:c r="Y673" s="32" t="n">
        <x:f>Y672+R673-S673-W673-Y672*V673/AB672</x:f>
        <x:v>30516.733419221368</x:v>
      </x:c>
      <x:c r="Z673" s="32" t="n">
        <x:f>Z672+W673-X673-T673-Z672*V673/AB672</x:f>
        <x:v>48477.42549669278</x:v>
      </x:c>
      <x:c r="AA673" s="32" t="n">
        <x:f>AA672+X673-U673-AA672*V673/AB672</x:f>
        <x:v>26983.880878481097</x:v>
      </x:c>
      <x:c r="AB673" s="10" t="n">
        <x:f>Y673+Z673+AA673</x:f>
        <x:v>105978.03979439524</x:v>
      </x:c>
      <x:c r="AC673" s="8" t="n">
        <x:f>IF(AND(tun_WinterTrigger=1,D673=1,AB672/AE672&gt;=K673),1,0)</x:f>
        <x:v>0</x:v>
      </x:c>
      <x:c r="AD673" s="8" t="n">
        <x:f>H673*IF(AND(OR(AB672/AE672&gt;=tun_FissionTrigger*N673,AC673=1),AB672/AE672*tun_DaughterShare&gt;=tun_MinDaughter),MAX(1,ROUND(AE672*tun_FissionRate,0)),0)</x:f>
        <x:v>3</x:v>
      </x:c>
      <x:c r="AE673" s="8" t="n">
        <x:f>IF(H673=1,MAX(1,MIN(INDEX(tun_Smax,G673),AE672+AD673)),AE672)</x:f>
        <x:v>9</x:v>
      </x:c>
      <x:c r="AF673" s="8" t="n">
        <x:f>MAX(0,AE673-AE672)</x:f>
        <x:v>0</x:v>
      </x:c>
      <x:c r="AG673" s="9" t="str">
        <x:f>IF(AF673&gt;0,B673,"")</x:f>
      </x:c>
      <x:c r="AH673" s="9" t="n">
        <x:f>IF(F673&gt;=1,1,(1+tun_LowTiesShare*(AE673-1))/AE673)</x:f>
        <x:v>1</x:v>
      </x:c>
      <x:c r="AI673" s="32" t="n">
        <x:f>(Z673+tun_ElderCommons*INDEX(LM_Elder,G673)*AA673)*AH673</x:f>
        <x:v>154605.92433414405</x:v>
      </x:c>
      <x:c r="AJ673" s="32" t="n">
        <x:f>H673*tun_CommonsCoef*AI673^tun_CommonsExp*INDEX(LM_Commons,G673)</x:f>
        <x:v>553136.4142950666</x:v>
      </x:c>
      <x:c r="AK673" s="32" t="n">
        <x:f>H673*tun_RoleScale*Arch_Roles*(AE673*(INDEX(tun_ElderRolePerSett,G673)*tun_OutElder*INDEX(LM_Elder,G673)+INDEX(tun_ShamanPerSett,G673)*tun_OutShaman)+Z673*(INDEX(tun_PriestShare,G673)*tun_OutPriest+INDEX(tun_ScribeShare,G673)*tun_OutScribe*INDEX(LM_Scribe,G673)+INDEX(tun_ScholarShare,G673)*tun_OutScholar*INDEX(LM_Scholar,G673)+INDEX(tun_ResearcherShare,G673)*tun_OutResearcher*INDEX(LM_Researcher,G673)))</x:f>
        <x:v>174839.60142564567</x:v>
      </x:c>
      <x:c r="AL673" s="32" t="n">
        <x:f>H673*tun_RoleScale*Arch_Roles*AE673*INDEX(tun_MonasteryPerSett,G673)*tun_OutMonastery*INDEX(LM_Monastery,G673)</x:f>
        <x:v>15.840000000000002</x:v>
      </x:c>
      <x:c r="AM673" s="32" t="n">
        <x:f>(AJ673+AK673+AL673)/4*INDEX(LM_All,G673)*INDEX(tun_Boon,G673)*Arch_Insight</x:f>
        <x:v>630420.8697223808</x:v>
      </x:c>
      <x:c r="AN673" s="32" t="n">
        <x:f>H673*(tun_KHPerAdult*Z673+tun_KHOfCommons*AJ673/4*INDEX(LM_All,G673))*tun_KHUsable*Arch_KH</x:f>
        <x:v>93969.64949252715</x:v>
      </x:c>
      <x:c r="AO673" s="32" t="n">
        <x:f>MIN(AP672+AN673,AM673*tun_KHMaxRatio)</x:f>
        <x:v>93969.64949252715</x:v>
      </x:c>
      <x:c r="AP673" s="32" t="n">
        <x:f>AP672+AN673-AO673</x:f>
        <x:v>0</x:v>
      </x:c>
      <x:c r="AQ673" s="32" t="n">
        <x:f>AM673+AO673</x:f>
        <x:v>724390.5192149079</x:v>
      </x:c>
      <x:c r="AR673" s="10" t="n">
        <x:f>IF(H673=1,INDEX(tun_Req,G673),0)</x:f>
        <x:v>125406521.7009086</x:v>
      </x:c>
      <x:c r="AS673" s="32" t="n">
        <x:f>IF(H673=1,IF(E673=1,AS672-AR672,AS672)+AQ673,0)</x:f>
        <x:v>29452164.228543606</x:v>
      </x:c>
      <x:c r="AT673" s="11" t="n">
        <x:f>IF(AR673&gt;0,MIN(1,AS673/AR673),1)</x:f>
        <x:v>0.23485352937853005</x:v>
      </x:c>
      <x:c r="AU673" s="10" t="n">
        <x:f>AB673/INDEX(tun_RepScale,G673)</x:f>
        <x:v>211.9560795887905</x:v>
      </x:c>
      <x:c r="AV673" s="32" t="n">
        <x:f>AM673*60/tun_SeasonSeconds</x:f>
        <x:v>2521683.478889523</x:v>
      </x:c>
    </x:row>
    <x:row r="674">
      <x:c r="A674" s="8" t="n">
        <x:f>A673+1</x:f>
        <x:v>671</x:v>
      </x:c>
      <x:c r="B674" s="9" t="n">
        <x:f>A674*tun_SeasonSeconds/60</x:f>
        <x:v>167.75</x:v>
      </x:c>
      <x:c r="C674" s="9" t="n">
        <x:f>A674/4</x:f>
        <x:v>167.75</x:v>
      </x:c>
      <x:c r="D674" s="8" t="n">
        <x:f>IF(MOD(A674,4)=0,1,0)</x:f>
        <x:v>0</x:v>
      </x:c>
      <x:c r="E674" s="8" t="n">
        <x:f>IF(AND(F673&lt;=9,AS673&gt;=AR673),1,0)</x:f>
        <x:v>0</x:v>
      </x:c>
      <x:c r="F674" s="8" t="n">
        <x:f>MIN(10,F673+E674)</x:f>
        <x:v>9</x:v>
      </x:c>
      <x:c r="G674" s="8" t="n">
        <x:f>MIN(F674,9)+1</x:f>
        <x:v>10</x:v>
      </x:c>
      <x:c r="H674" s="8" t="n">
        <x:f>IF(F674&lt;=9,1,0)</x:f>
        <x:v>1</x:v>
      </x:c>
      <x:c r="I674" s="9" t="n">
        <x:f>MIN(10,F673+IF(AR673&gt;0,MIN(1,AS673/AR673),1))</x:f>
        <x:v>9.23485352937853</x:v>
      </x:c>
      <x:c r="J674" s="32" t="n">
        <x:f>INDEX(tun_FoodCap,G674)*Arch_FoodCap*EXP(tun_CapsByProject*SUMPRODUCT((Cap_Point&lt;=I674)*(Cap_Kind="Food")*Cap_Ln))</x:f>
        <x:v>13863.877308233004</x:v>
      </x:c>
      <x:c r="K674" s="32" t="n">
        <x:f>J674*MIN(1,tun_LeanBase*EXP(tun_CapsByProject*SUMPRODUCT((Cap_Point&lt;=I674)*(Cap_Kind="Lean")*Cap_Ln)))</x:f>
        <x:v>13863.877308233004</x:v>
      </x:c>
      <x:c r="L674" s="10" t="n">
        <x:f>INDEX(tun_HousingCap,G674)*EXP(tun_CapsByProject*SUMPRODUCT((Cap_Point&lt;=I674)*(Cap_Kind="Housing")*Cap_Ln))</x:f>
        <x:v>12514.86067705494</x:v>
      </x:c>
      <x:c r="M674" s="10" t="n">
        <x:f>INDEX(tun_GroupCap,G674)*tun_CohesionFactor*EXP(tun_CapsByProject*SUMPRODUCT((Cap_Point&lt;=I674)*(Cap_Kind="Group")*Cap_Ln))</x:f>
        <x:v>1000000.000000001</x:v>
      </x:c>
      <x:c r="N674" s="32" t="n">
        <x:f>MIN(J674,L674,M674)</x:f>
        <x:v>12514.86067705494</x:v>
      </x:c>
      <x:c r="O674" s="10" t="n">
        <x:f>AE673*N674</x:f>
        <x:v>112633.74609349445</x:v>
      </x:c>
      <x:c r="P674" s="9" t="n">
        <x:f>MIN(1,(AB673/(AE673*IF(tun_GroupInCrowding=1,N674,MIN(J674,L674))))^tun_CrowdingExp)</x:f>
        <x:v>0.693879605452358</x:v>
      </x:c>
      <x:c r="Q674" s="9" t="n">
        <x:f>IF(D674=1,INDEX(tun_WinterMult,G674),1)</x:f>
        <x:v>1</x:v>
      </x:c>
      <x:c r="R674" s="9" t="n">
        <x:f>H674*Z673*tun_WomenShare*tun_BaseFertility*INDEX(tun_FertMult,G674)*Arch_Fertility*(1-P674)</x:f>
        <x:v>337.60837609820936</x:v>
      </x:c>
      <x:c r="S674" s="9" t="n">
        <x:f>H674*Y673*INDEX(tun_MortChild,G674)/4*Q674</x:f>
        <x:v>6.866265019324808</x:v>
      </x:c>
      <x:c r="T674" s="9" t="n">
        <x:f>H674*Z673*INDEX(tun_MortAdult,G674)*Arch_AdultMort/4*Q674</x:f>
        <x:v>18.17903456125979</x:v>
      </x:c>
      <x:c r="U674" s="9" t="n">
        <x:f>H674*AA673*INDEX(tun_MortElder,G674)/4*Q674</x:f>
        <x:v>182.1411959297474</x:v>
      </x:c>
      <x:c r="V674" s="9" t="n">
        <x:f>H674*MAX(0,AB673-O674)*tun_OvercapLoss</x:f>
        <x:v>0</x:v>
      </x:c>
      <x:c r="W674" s="9" t="n">
        <x:f>H674*Y673/(tun_ChildYears*4)</x:f>
        <x:v>544.9416682003815</x:v>
      </x:c>
      <x:c r="X674" s="9" t="n">
        <x:f>H674*Z673/(tun_AdultYears*4)</x:f>
        <x:v>390.94697981203853</x:v>
      </x:c>
      <x:c r="Y674" s="32" t="n">
        <x:f>Y673+R674-S674-W674-Y673*V674/AB673</x:f>
        <x:v>30302.53386209987</x:v>
      </x:c>
      <x:c r="Z674" s="32" t="n">
        <x:f>Z673+W674-X674-T674-Z673*V674/AB673</x:f>
        <x:v>48613.241150519854</x:v>
      </x:c>
      <x:c r="AA674" s="32" t="n">
        <x:f>AA673+X674-U674-AA673*V674/AB673</x:f>
        <x:v>27192.686662363387</x:v>
      </x:c>
      <x:c r="AB674" s="10" t="n">
        <x:f>Y674+Z674+AA674</x:f>
        <x:v>106108.4616749831</x:v>
      </x:c>
      <x:c r="AC674" s="8" t="n">
        <x:f>IF(AND(tun_WinterTrigger=1,D674=1,AB673/AE673&gt;=K674),1,0)</x:f>
        <x:v>0</x:v>
      </x:c>
      <x:c r="AD674" s="8" t="n">
        <x:f>H674*IF(AND(OR(AB673/AE673&gt;=tun_FissionTrigger*N674,AC674=1),AB673/AE673*tun_DaughterShare&gt;=tun_MinDaughter),MAX(1,ROUND(AE673*tun_FissionRate,0)),0)</x:f>
        <x:v>3</x:v>
      </x:c>
      <x:c r="AE674" s="8" t="n">
        <x:f>IF(H674=1,MAX(1,MIN(INDEX(tun_Smax,G674),AE673+AD674)),AE673)</x:f>
        <x:v>9</x:v>
      </x:c>
      <x:c r="AF674" s="8" t="n">
        <x:f>MAX(0,AE674-AE673)</x:f>
        <x:v>0</x:v>
      </x:c>
      <x:c r="AG674" s="9" t="str">
        <x:f>IF(AF674&gt;0,B674,"")</x:f>
      </x:c>
      <x:c r="AH674" s="9" t="n">
        <x:f>IF(F674&gt;=1,1,(1+tun_LowTiesShare*(AE674-1))/AE674)</x:f>
        <x:v>1</x:v>
      </x:c>
      <x:c r="AI674" s="32" t="n">
        <x:f>(Z674+tun_ElderCommons*INDEX(LM_Elder,G674)*AA674)*AH674</x:f>
        <x:v>155562.9800642893</x:v>
      </x:c>
      <x:c r="AJ674" s="32" t="n">
        <x:f>H674*tun_CommonsCoef*AI674^tun_CommonsExp*INDEX(LM_Commons,G674)</x:f>
        <x:v>556045.5305137035</x:v>
      </x:c>
      <x:c r="AK674" s="32" t="n">
        <x:f>H674*tun_RoleScale*Arch_Roles*(AE674*(INDEX(tun_ElderRolePerSett,G674)*tun_OutElder*INDEX(LM_Elder,G674)+INDEX(tun_ShamanPerSett,G674)*tun_OutShaman)+Z674*(INDEX(tun_PriestShare,G674)*tun_OutPriest+INDEX(tun_ScribeShare,G674)*tun_OutScribe*INDEX(LM_Scribe,G674)+INDEX(tun_ScholarShare,G674)*tun_OutScholar*INDEX(LM_Scholar,G674)+INDEX(tun_ResearcherShare,G674)*tun_OutResearcher*INDEX(LM_Researcher,G674)))</x:f>
        <x:v>175328.73748062176</x:v>
      </x:c>
      <x:c r="AL674" s="32" t="n">
        <x:f>H674*tun_RoleScale*Arch_Roles*AE674*INDEX(tun_MonasteryPerSett,G674)*tun_OutMonastery*INDEX(LM_Monastery,G674)</x:f>
        <x:v>15.840000000000002</x:v>
      </x:c>
      <x:c r="AM674" s="32" t="n">
        <x:f>(AJ674+AK674+AL674)/4*INDEX(LM_All,G674)*INDEX(tun_Boon,G674)*Arch_Insight</x:f>
        <x:v>633363.6624707232</x:v>
      </x:c>
      <x:c r="AN674" s="32" t="n">
        <x:f>H674*(tun_KHPerAdult*Z674+tun_KHOfCommons*AJ674/4*INDEX(LM_All,G674))*tun_KHUsable*Arch_KH</x:f>
        <x:v>94463.86506816724</x:v>
      </x:c>
      <x:c r="AO674" s="32" t="n">
        <x:f>MIN(AP673+AN674,AM674*tun_KHMaxRatio)</x:f>
        <x:v>94463.86506816724</x:v>
      </x:c>
      <x:c r="AP674" s="32" t="n">
        <x:f>AP673+AN674-AO674</x:f>
        <x:v>0</x:v>
      </x:c>
      <x:c r="AQ674" s="32" t="n">
        <x:f>AM674+AO674</x:f>
        <x:v>727827.5275388904</x:v>
      </x:c>
      <x:c r="AR674" s="10" t="n">
        <x:f>IF(H674=1,INDEX(tun_Req,G674),0)</x:f>
        <x:v>125406521.7009086</x:v>
      </x:c>
      <x:c r="AS674" s="32" t="n">
        <x:f>IF(H674=1,IF(E674=1,AS673-AR673,AS673)+AQ674,0)</x:f>
        <x:v>30179991.756082498</x:v>
      </x:c>
      <x:c r="AT674" s="11" t="n">
        <x:f>IF(AR674&gt;0,MIN(1,AS674/AR674),1)</x:f>
        <x:v>0.240657274811122</x:v>
      </x:c>
      <x:c r="AU674" s="10" t="n">
        <x:f>AB674/INDEX(tun_RepScale,G674)</x:f>
        <x:v>212.2169233499662</x:v>
      </x:c>
      <x:c r="AV674" s="32" t="n">
        <x:f>AM674*60/tun_SeasonSeconds</x:f>
        <x:v>2533454.6498828926</x:v>
      </x:c>
    </x:row>
    <x:row r="675">
      <x:c r="A675" s="8" t="n">
        <x:f>A674+1</x:f>
        <x:v>672</x:v>
      </x:c>
      <x:c r="B675" s="9" t="n">
        <x:f>A675*tun_SeasonSeconds/60</x:f>
        <x:v>168</x:v>
      </x:c>
      <x:c r="C675" s="9" t="n">
        <x:f>A675/4</x:f>
        <x:v>168</x:v>
      </x:c>
      <x:c r="D675" s="8" t="n">
        <x:f>IF(MOD(A675,4)=0,1,0)</x:f>
        <x:v>1</x:v>
      </x:c>
      <x:c r="E675" s="8" t="n">
        <x:f>IF(AND(F674&lt;=9,AS674&gt;=AR674),1,0)</x:f>
        <x:v>0</x:v>
      </x:c>
      <x:c r="F675" s="8" t="n">
        <x:f>MIN(10,F674+E675)</x:f>
        <x:v>9</x:v>
      </x:c>
      <x:c r="G675" s="8" t="n">
        <x:f>MIN(F675,9)+1</x:f>
        <x:v>10</x:v>
      </x:c>
      <x:c r="H675" s="8" t="n">
        <x:f>IF(F675&lt;=9,1,0)</x:f>
        <x:v>1</x:v>
      </x:c>
      <x:c r="I675" s="9" t="n">
        <x:f>MIN(10,F674+IF(AR674&gt;0,MIN(1,AS674/AR674),1))</x:f>
        <x:v>9.240657274811122</x:v>
      </x:c>
      <x:c r="J675" s="32" t="n">
        <x:f>INDEX(tun_FoodCap,G675)*Arch_FoodCap*EXP(tun_CapsByProject*SUMPRODUCT((Cap_Point&lt;=I675)*(Cap_Kind="Food")*Cap_Ln))</x:f>
        <x:v>13863.877308233004</x:v>
      </x:c>
      <x:c r="K675" s="32" t="n">
        <x:f>J675*MIN(1,tun_LeanBase*EXP(tun_CapsByProject*SUMPRODUCT((Cap_Point&lt;=I675)*(Cap_Kind="Lean")*Cap_Ln)))</x:f>
        <x:v>13863.877308233004</x:v>
      </x:c>
      <x:c r="L675" s="10" t="n">
        <x:f>INDEX(tun_HousingCap,G675)*EXP(tun_CapsByProject*SUMPRODUCT((Cap_Point&lt;=I675)*(Cap_Kind="Housing")*Cap_Ln))</x:f>
        <x:v>12514.86067705494</x:v>
      </x:c>
      <x:c r="M675" s="10" t="n">
        <x:f>INDEX(tun_GroupCap,G675)*tun_CohesionFactor*EXP(tun_CapsByProject*SUMPRODUCT((Cap_Point&lt;=I675)*(Cap_Kind="Group")*Cap_Ln))</x:f>
        <x:v>1000000.000000001</x:v>
      </x:c>
      <x:c r="N675" s="32" t="n">
        <x:f>MIN(J675,L675,M675)</x:f>
        <x:v>12514.86067705494</x:v>
      </x:c>
      <x:c r="O675" s="10" t="n">
        <x:f>AE674*N675</x:f>
        <x:v>112633.74609349445</x:v>
      </x:c>
      <x:c r="P675" s="9" t="n">
        <x:f>MIN(1,(AB674/(AE674*IF(tun_GroupInCrowding=1,N675,MIN(J675,L675))))^tun_CrowdingExp)</x:f>
        <x:v>0.6990189323979809</x:v>
      </x:c>
      <x:c r="Q675" s="9" t="n">
        <x:f>IF(D675=1,INDEX(tun_WinterMult,G675),1)</x:f>
        <x:v>1.05</x:v>
      </x:c>
      <x:c r="R675" s="9" t="n">
        <x:f>H675*Z674*tun_WomenShare*tun_BaseFertility*INDEX(tun_FertMult,G675)*Arch_Fertility*(1-P675)</x:f>
        <x:v>332.87038377952166</x:v>
      </x:c>
      <x:c r="S675" s="9" t="n">
        <x:f>H675*Y674*INDEX(tun_MortChild,G675)/4*Q675</x:f>
        <x:v>7.158973624921094</x:v>
      </x:c>
      <x:c r="T675" s="9" t="n">
        <x:f>H675*Z674*INDEX(tun_MortAdult,G675)*Arch_AdultMort/4*Q675</x:f>
        <x:v>19.141463703017195</x:v>
      </x:c>
      <x:c r="U675" s="9" t="n">
        <x:f>H675*AA674*INDEX(tun_MortElder,G675)/4*Q675</x:f>
        <x:v>192.72816671950054</x:v>
      </x:c>
      <x:c r="V675" s="9" t="n">
        <x:f>H675*MAX(0,AB674-O675)*tun_OvercapLoss</x:f>
        <x:v>0</x:v>
      </x:c>
      <x:c r="W675" s="9" t="n">
        <x:f>H675*Y674/(tun_ChildYears*4)</x:f>
        <x:v>541.1166761089263</x:v>
      </x:c>
      <x:c r="X675" s="9" t="n">
        <x:f>H675*Z674/(tun_AdultYears*4)</x:f>
        <x:v>392.04226734290205</x:v>
      </x:c>
      <x:c r="Y675" s="32" t="n">
        <x:f>Y674+R675-S675-W675-Y674*V675/AB674</x:f>
        <x:v>30087.128596145543</x:v>
      </x:c>
      <x:c r="Z675" s="32" t="n">
        <x:f>Z674+W675-X675-T675-Z674*V675/AB674</x:f>
        <x:v>48743.174095582865</x:v>
      </x:c>
      <x:c r="AA675" s="32" t="n">
        <x:f>AA674+X675-U675-AA674*V675/AB674</x:f>
        <x:v>27392.000762986787</x:v>
      </x:c>
      <x:c r="AB675" s="10" t="n">
        <x:f>Y675+Z675+AA675</x:f>
        <x:v>106222.30345471519</x:v>
      </x:c>
      <x:c r="AC675" s="8" t="n">
        <x:f>IF(AND(tun_WinterTrigger=1,D675=1,AB674/AE674&gt;=K675),1,0)</x:f>
        <x:v>0</x:v>
      </x:c>
      <x:c r="AD675" s="8" t="n">
        <x:f>H675*IF(AND(OR(AB674/AE674&gt;=tun_FissionTrigger*N675,AC675=1),AB674/AE674*tun_DaughterShare&gt;=tun_MinDaughter),MAX(1,ROUND(AE674*tun_FissionRate,0)),0)</x:f>
        <x:v>3</x:v>
      </x:c>
      <x:c r="AE675" s="8" t="n">
        <x:f>IF(H675=1,MAX(1,MIN(INDEX(tun_Smax,G675),AE674+AD675)),AE674)</x:f>
        <x:v>9</x:v>
      </x:c>
      <x:c r="AF675" s="8" t="n">
        <x:f>MAX(0,AE675-AE674)</x:f>
        <x:v>0</x:v>
      </x:c>
      <x:c r="AG675" s="9" t="str">
        <x:f>IF(AF675&gt;0,B675,"")</x:f>
      </x:c>
      <x:c r="AH675" s="9" t="n">
        <x:f>IF(F675&gt;=1,1,(1+tun_LowTiesShare*(AE675-1))/AE675)</x:f>
        <x:v>1</x:v>
      </x:c>
      <x:c r="AI675" s="32" t="n">
        <x:f>(Z675+tun_ElderCommons*INDEX(LM_Elder,G675)*AA675)*AH675</x:f>
        <x:v>156476.82198047318</x:v>
      </x:c>
      <x:c r="AJ675" s="32" t="n">
        <x:f>H675*tun_CommonsCoef*AI675^tun_CommonsExp*INDEX(LM_Commons,G675)</x:f>
        <x:v>558820.7871237821</x:v>
      </x:c>
      <x:c r="AK675" s="32" t="n">
        <x:f>H675*tun_RoleScale*Arch_Roles*(AE675*(INDEX(tun_ElderRolePerSett,G675)*tun_OutElder*INDEX(LM_Elder,G675)+INDEX(tun_ShamanPerSett,G675)*tun_OutShaman)+Z675*(INDEX(tun_PriestShare,G675)*tun_OutPriest+INDEX(tun_ScribeShare,G675)*tun_OutScribe*INDEX(LM_Scribe,G675)+INDEX(tun_ScholarShare,G675)*tun_OutScholar*INDEX(LM_Scholar,G675)+INDEX(tun_ResearcherShare,G675)*tun_OutResearcher*INDEX(LM_Researcher,G675)))</x:f>
        <x:v>175796.6871342049</x:v>
      </x:c>
      <x:c r="AL675" s="32" t="n">
        <x:f>H675*tun_RoleScale*Arch_Roles*AE675*INDEX(tun_MonasteryPerSett,G675)*tun_OutMonastery*INDEX(LM_Monastery,G675)</x:f>
        <x:v>15.840000000000002</x:v>
      </x:c>
      <x:c r="AM675" s="32" t="n">
        <x:f>(AJ675+AK675+AL675)/4*INDEX(LM_All,G675)*INDEX(tun_Boon,G675)*Arch_Insight</x:f>
        <x:v>636172.189650471</x:v>
      </x:c>
      <x:c r="AN675" s="32" t="n">
        <x:f>H675*(tun_KHPerAdult*Z675+tun_KHOfCommons*AJ675/4*INDEX(LM_All,G675))*tun_KHUsable*Arch_KH</x:f>
        <x:v>94935.33988732783</x:v>
      </x:c>
      <x:c r="AO675" s="32" t="n">
        <x:f>MIN(AP674+AN675,AM675*tun_KHMaxRatio)</x:f>
        <x:v>94935.33988732783</x:v>
      </x:c>
      <x:c r="AP675" s="32" t="n">
        <x:f>AP674+AN675-AO675</x:f>
        <x:v>0</x:v>
      </x:c>
      <x:c r="AQ675" s="32" t="n">
        <x:f>AM675+AO675</x:f>
        <x:v>731107.5295377988</x:v>
      </x:c>
      <x:c r="AR675" s="10" t="n">
        <x:f>IF(H675=1,INDEX(tun_Req,G675),0)</x:f>
        <x:v>125406521.7009086</x:v>
      </x:c>
      <x:c r="AS675" s="32" t="n">
        <x:f>IF(H675=1,IF(E675=1,AS674-AR674,AS674)+AQ675,0)</x:f>
        <x:v>30911099.285620295</x:v>
      </x:c>
      <x:c r="AT675" s="11" t="n">
        <x:f>IF(AR675&gt;0,MIN(1,AS675/AR675),1)</x:f>
        <x:v>0.24648717519924912</x:v>
      </x:c>
      <x:c r="AU675" s="10" t="n">
        <x:f>AB675/INDEX(tun_RepScale,G675)</x:f>
        <x:v>212.44460690943038</x:v>
      </x:c>
      <x:c r="AV675" s="32" t="n">
        <x:f>AM675*60/tun_SeasonSeconds</x:f>
        <x:v>2544688.758601884</x:v>
      </x:c>
    </x:row>
    <x:row r="676">
      <x:c r="A676" s="8" t="n">
        <x:f>A675+1</x:f>
        <x:v>673</x:v>
      </x:c>
      <x:c r="B676" s="9" t="n">
        <x:f>A676*tun_SeasonSeconds/60</x:f>
        <x:v>168.25</x:v>
      </x:c>
      <x:c r="C676" s="9" t="n">
        <x:f>A676/4</x:f>
        <x:v>168.25</x:v>
      </x:c>
      <x:c r="D676" s="8" t="n">
        <x:f>IF(MOD(A676,4)=0,1,0)</x:f>
        <x:v>0</x:v>
      </x:c>
      <x:c r="E676" s="8" t="n">
        <x:f>IF(AND(F675&lt;=9,AS675&gt;=AR675),1,0)</x:f>
        <x:v>0</x:v>
      </x:c>
      <x:c r="F676" s="8" t="n">
        <x:f>MIN(10,F675+E676)</x:f>
        <x:v>9</x:v>
      </x:c>
      <x:c r="G676" s="8" t="n">
        <x:f>MIN(F676,9)+1</x:f>
        <x:v>10</x:v>
      </x:c>
      <x:c r="H676" s="8" t="n">
        <x:f>IF(F676&lt;=9,1,0)</x:f>
        <x:v>1</x:v>
      </x:c>
      <x:c r="I676" s="9" t="n">
        <x:f>MIN(10,F675+IF(AR675&gt;0,MIN(1,AS675/AR675),1))</x:f>
        <x:v>9.246487175199249</x:v>
      </x:c>
      <x:c r="J676" s="32" t="n">
        <x:f>INDEX(tun_FoodCap,G676)*Arch_FoodCap*EXP(tun_CapsByProject*SUMPRODUCT((Cap_Point&lt;=I676)*(Cap_Kind="Food")*Cap_Ln))</x:f>
        <x:v>13863.877308233004</x:v>
      </x:c>
      <x:c r="K676" s="32" t="n">
        <x:f>J676*MIN(1,tun_LeanBase*EXP(tun_CapsByProject*SUMPRODUCT((Cap_Point&lt;=I676)*(Cap_Kind="Lean")*Cap_Ln)))</x:f>
        <x:v>13863.877308233004</x:v>
      </x:c>
      <x:c r="L676" s="10" t="n">
        <x:f>INDEX(tun_HousingCap,G676)*EXP(tun_CapsByProject*SUMPRODUCT((Cap_Point&lt;=I676)*(Cap_Kind="Housing")*Cap_Ln))</x:f>
        <x:v>12514.86067705494</x:v>
      </x:c>
      <x:c r="M676" s="10" t="n">
        <x:f>INDEX(tun_GroupCap,G676)*tun_CohesionFactor*EXP(tun_CapsByProject*SUMPRODUCT((Cap_Point&lt;=I676)*(Cap_Kind="Group")*Cap_Ln))</x:f>
        <x:v>1000000.000000001</x:v>
      </x:c>
      <x:c r="N676" s="32" t="n">
        <x:f>MIN(J676,L676,M676)</x:f>
        <x:v>12514.86067705494</x:v>
      </x:c>
      <x:c r="O676" s="10" t="n">
        <x:f>AE675*N676</x:f>
        <x:v>112633.74609349445</x:v>
      </x:c>
      <x:c r="P676" s="9" t="n">
        <x:f>MIN(1,(AB675/(AE675*IF(tun_GroupInCrowding=1,N676,MIN(J676,L676))))^tun_CrowdingExp)</x:f>
        <x:v>0.7035308048817842</x:v>
      </x:c>
      <x:c r="Q676" s="9" t="n">
        <x:f>IF(D676=1,INDEX(tun_WinterMult,G676),1)</x:f>
        <x:v>1</x:v>
      </x:c>
      <x:c r="R676" s="9" t="n">
        <x:f>H676*Z675*tun_WomenShare*tun_BaseFertility*INDEX(tun_FertMult,G676)*Arch_Fertility*(1-P676)</x:f>
        <x:v>328.7568282094578</x:v>
      </x:c>
      <x:c r="S676" s="9" t="n">
        <x:f>H676*Y675*INDEX(tun_MortChild,G676)/4*Q676</x:f>
        <x:v>6.769603934132747</x:v>
      </x:c>
      <x:c r="T676" s="9" t="n">
        <x:f>H676*Z675*INDEX(tun_MortAdult,G676)*Arch_AdultMort/4*Q676</x:f>
        <x:v>18.278690285843574</x:v>
      </x:c>
      <x:c r="U676" s="9" t="n">
        <x:f>H676*AA675*INDEX(tun_MortElder,G676)/4*Q676</x:f>
        <x:v>184.89600515016082</x:v>
      </x:c>
      <x:c r="V676" s="9" t="n">
        <x:f>H676*MAX(0,AB675-O676)*tun_OvercapLoss</x:f>
        <x:v>0</x:v>
      </x:c>
      <x:c r="W676" s="9" t="n">
        <x:f>H676*Y675/(tun_ChildYears*4)</x:f>
        <x:v>537.270153502599</x:v>
      </x:c>
      <x:c r="X676" s="9" t="n">
        <x:f>H676*Z675/(tun_AdultYears*4)</x:f>
        <x:v>393.0901136740554</x:v>
      </x:c>
      <x:c r="Y676" s="32" t="n">
        <x:f>Y675+R676-S676-W676-Y675*V676/AB675</x:f>
        <x:v>29871.84566691827</x:v>
      </x:c>
      <x:c r="Z676" s="32" t="n">
        <x:f>Z675+W676-X676-T676-Z675*V676/AB675</x:f>
        <x:v>48869.07544512556</x:v>
      </x:c>
      <x:c r="AA676" s="32" t="n">
        <x:f>AA675+X676-U676-AA675*V676/AB675</x:f>
        <x:v>27600.19487151068</x:v>
      </x:c>
      <x:c r="AB676" s="10" t="n">
        <x:f>Y676+Z676+AA676</x:f>
        <x:v>106341.11598355453</x:v>
      </x:c>
      <x:c r="AC676" s="8" t="n">
        <x:f>IF(AND(tun_WinterTrigger=1,D676=1,AB675/AE675&gt;=K676),1,0)</x:f>
        <x:v>0</x:v>
      </x:c>
      <x:c r="AD676" s="8" t="n">
        <x:f>H676*IF(AND(OR(AB675/AE675&gt;=tun_FissionTrigger*N676,AC676=1),AB675/AE675*tun_DaughterShare&gt;=tun_MinDaughter),MAX(1,ROUND(AE675*tun_FissionRate,0)),0)</x:f>
        <x:v>3</x:v>
      </x:c>
      <x:c r="AE676" s="8" t="n">
        <x:f>IF(H676=1,MAX(1,MIN(INDEX(tun_Smax,G676),AE675+AD676)),AE675)</x:f>
        <x:v>9</x:v>
      </x:c>
      <x:c r="AF676" s="8" t="n">
        <x:f>MAX(0,AE676-AE675)</x:f>
        <x:v>0</x:v>
      </x:c>
      <x:c r="AG676" s="9" t="str">
        <x:f>IF(AF676&gt;0,B676,"")</x:f>
      </x:c>
      <x:c r="AH676" s="9" t="n">
        <x:f>IF(F676&gt;=1,1,(1+tun_LowTiesShare*(AE676-1))/AE676)</x:f>
        <x:v>1</x:v>
      </x:c>
      <x:c r="AI676" s="32" t="n">
        <x:f>(Z676+tun_ElderCommons*INDEX(LM_Elder,G676)*AA676)*AH676</x:f>
        <x:v>157421.5576668537</x:v>
      </x:c>
      <x:c r="AJ676" s="32" t="n">
        <x:f>H676*tun_CommonsCoef*AI676^tun_CommonsExp*INDEX(LM_Commons,G676)</x:f>
        <x:v>561687.3108181448</x:v>
      </x:c>
      <x:c r="AK676" s="32" t="n">
        <x:f>H676*tun_RoleScale*Arch_Roles*(AE676*(INDEX(tun_ElderRolePerSett,G676)*tun_OutElder*INDEX(LM_Elder,G676)+INDEX(tun_ShamanPerSett,G676)*tun_OutShaman)+Z676*(INDEX(tun_PriestShare,G676)*tun_OutPriest+INDEX(tun_ScribeShare,G676)*tun_OutScribe*INDEX(LM_Scribe,G676)+INDEX(tun_ScholarShare,G676)*tun_OutScholar*INDEX(LM_Scholar,G676)+INDEX(tun_ResearcherShare,G676)*tun_OutResearcher*INDEX(LM_Researcher,G676)))</x:f>
        <x:v>176250.11711592035</x:v>
      </x:c>
      <x:c r="AL676" s="32" t="n">
        <x:f>H676*tun_RoleScale*Arch_Roles*AE676*INDEX(tun_MonasteryPerSett,G676)*tun_OutMonastery*INDEX(LM_Monastery,G676)</x:f>
        <x:v>15.840000000000002</x:v>
      </x:c>
      <x:c r="AM676" s="32" t="n">
        <x:f>(AJ676+AK676+AL676)/4*INDEX(LM_All,G676)*INDEX(tun_Boon,G676)*Arch_Insight</x:f>
        <x:v>639047.1779727499</x:v>
      </x:c>
      <x:c r="AN676" s="32" t="n">
        <x:f>H676*(tun_KHPerAdult*Z676+tun_KHOfCommons*AJ676/4*INDEX(LM_All,G676))*tun_KHUsable*Arch_KH</x:f>
        <x:v>95422.31962661074</x:v>
      </x:c>
      <x:c r="AO676" s="32" t="n">
        <x:f>MIN(AP675+AN676,AM676*tun_KHMaxRatio)</x:f>
        <x:v>95422.31962661074</x:v>
      </x:c>
      <x:c r="AP676" s="32" t="n">
        <x:f>AP675+AN676-AO676</x:f>
        <x:v>0</x:v>
      </x:c>
      <x:c r="AQ676" s="32" t="n">
        <x:f>AM676+AO676</x:f>
        <x:v>734469.4975993606</x:v>
      </x:c>
      <x:c r="AR676" s="10" t="n">
        <x:f>IF(H676=1,INDEX(tun_Req,G676),0)</x:f>
        <x:v>125406521.7009086</x:v>
      </x:c>
      <x:c r="AS676" s="32" t="n">
        <x:f>IF(H676=1,IF(E676=1,AS675-AR675,AS675)+AQ676,0)</x:f>
        <x:v>31645568.783219654</x:v>
      </x:c>
      <x:c r="AT676" s="11" t="n">
        <x:f>IF(AR676&gt;0,MIN(1,AS676/AR676),1)</x:f>
        <x:v>0.2523438841457826</x:v>
      </x:c>
      <x:c r="AU676" s="10" t="n">
        <x:f>AB676/INDEX(tun_RepScale,G676)</x:f>
        <x:v>212.68223196710906</x:v>
      </x:c>
      <x:c r="AV676" s="32" t="n">
        <x:f>AM676*60/tun_SeasonSeconds</x:f>
        <x:v>2556188.7118909997</x:v>
      </x:c>
    </x:row>
    <x:row r="677">
      <x:c r="A677" s="8" t="n">
        <x:f>A676+1</x:f>
        <x:v>674</x:v>
      </x:c>
      <x:c r="B677" s="9" t="n">
        <x:f>A677*tun_SeasonSeconds/60</x:f>
        <x:v>168.5</x:v>
      </x:c>
      <x:c r="C677" s="9" t="n">
        <x:f>A677/4</x:f>
        <x:v>168.5</x:v>
      </x:c>
      <x:c r="D677" s="8" t="n">
        <x:f>IF(MOD(A677,4)=0,1,0)</x:f>
        <x:v>0</x:v>
      </x:c>
      <x:c r="E677" s="8" t="n">
        <x:f>IF(AND(F676&lt;=9,AS676&gt;=AR676),1,0)</x:f>
        <x:v>0</x:v>
      </x:c>
      <x:c r="F677" s="8" t="n">
        <x:f>MIN(10,F676+E677)</x:f>
        <x:v>9</x:v>
      </x:c>
      <x:c r="G677" s="8" t="n">
        <x:f>MIN(F677,9)+1</x:f>
        <x:v>10</x:v>
      </x:c>
      <x:c r="H677" s="8" t="n">
        <x:f>IF(F677&lt;=9,1,0)</x:f>
        <x:v>1</x:v>
      </x:c>
      <x:c r="I677" s="9" t="n">
        <x:f>MIN(10,F676+IF(AR676&gt;0,MIN(1,AS676/AR676),1))</x:f>
        <x:v>9.252343884145782</x:v>
      </x:c>
      <x:c r="J677" s="32" t="n">
        <x:f>INDEX(tun_FoodCap,G677)*Arch_FoodCap*EXP(tun_CapsByProject*SUMPRODUCT((Cap_Point&lt;=I677)*(Cap_Kind="Food")*Cap_Ln))</x:f>
        <x:v>13863.877308233004</x:v>
      </x:c>
      <x:c r="K677" s="32" t="n">
        <x:f>J677*MIN(1,tun_LeanBase*EXP(tun_CapsByProject*SUMPRODUCT((Cap_Point&lt;=I677)*(Cap_Kind="Lean")*Cap_Ln)))</x:f>
        <x:v>13863.877308233004</x:v>
      </x:c>
      <x:c r="L677" s="10" t="n">
        <x:f>INDEX(tun_HousingCap,G677)*EXP(tun_CapsByProject*SUMPRODUCT((Cap_Point&lt;=I677)*(Cap_Kind="Housing")*Cap_Ln))</x:f>
        <x:v>12514.86067705494</x:v>
      </x:c>
      <x:c r="M677" s="10" t="n">
        <x:f>INDEX(tun_GroupCap,G677)*tun_CohesionFactor*EXP(tun_CapsByProject*SUMPRODUCT((Cap_Point&lt;=I677)*(Cap_Kind="Group")*Cap_Ln))</x:f>
        <x:v>1000000.000000001</x:v>
      </x:c>
      <x:c r="N677" s="32" t="n">
        <x:f>MIN(J677,L677,M677)</x:f>
        <x:v>12514.86067705494</x:v>
      </x:c>
      <x:c r="O677" s="10" t="n">
        <x:f>AE676*N677</x:f>
        <x:v>112633.74609349445</x:v>
      </x:c>
      <x:c r="P677" s="9" t="n">
        <x:f>MIN(1,(AB676/(AE676*IF(tun_GroupInCrowding=1,N677,MIN(J677,L677))))^tun_CrowdingExp)</x:f>
        <x:v>0.708265537207355</x:v>
      </x:c>
      <x:c r="Q677" s="9" t="n">
        <x:f>IF(D677=1,INDEX(tun_WinterMult,G677),1)</x:f>
        <x:v>1</x:v>
      </x:c>
      <x:c r="R677" s="9" t="n">
        <x:f>H677*Z676*tun_WomenShare*tun_BaseFertility*INDEX(tun_FertMult,G677)*Arch_Fertility*(1-P677)</x:f>
        <x:v>324.3420514915705</x:v>
      </x:c>
      <x:c r="S677" s="9" t="n">
        <x:f>H677*Y676*INDEX(tun_MortChild,G677)/4*Q677</x:f>
        <x:v>6.72116527505661</x:v>
      </x:c>
      <x:c r="T677" s="9" t="n">
        <x:f>H677*Z676*INDEX(tun_MortAdult,G677)*Arch_AdultMort/4*Q677</x:f>
        <x:v>18.325903291922085</x:v>
      </x:c>
      <x:c r="U677" s="9" t="n">
        <x:f>H677*AA676*INDEX(tun_MortElder,G677)/4*Q677</x:f>
        <x:v>186.30131538269708</x:v>
      </x:c>
      <x:c r="V677" s="9" t="n">
        <x:f>H677*MAX(0,AB676-O677)*tun_OvercapLoss</x:f>
        <x:v>0</x:v>
      </x:c>
      <x:c r="W677" s="9" t="n">
        <x:f>H677*Y676/(tun_ChildYears*4)</x:f>
        <x:v>533.4258154806834</x:v>
      </x:c>
      <x:c r="X677" s="9" t="n">
        <x:f>H677*Z676/(tun_AdultYears*4)</x:f>
        <x:v>394.10544713810935</x:v>
      </x:c>
      <x:c r="Y677" s="32" t="n">
        <x:f>Y676+R677-S677-W677-Y676*V677/AB676</x:f>
        <x:v>29656.0407376541</x:v>
      </x:c>
      <x:c r="Z677" s="32" t="n">
        <x:f>Z676+W677-X677-T677-Z676*V677/AB676</x:f>
        <x:v>48990.069910176215</x:v>
      </x:c>
      <x:c r="AA677" s="32" t="n">
        <x:f>AA676+X677-U677-AA676*V677/AB676</x:f>
        <x:v>27807.999003266093</x:v>
      </x:c>
      <x:c r="AB677" s="10" t="n">
        <x:f>Y677+Z677+AA677</x:f>
        <x:v>106454.1096510964</x:v>
      </x:c>
      <x:c r="AC677" s="8" t="n">
        <x:f>IF(AND(tun_WinterTrigger=1,D677=1,AB676/AE676&gt;=K677),1,0)</x:f>
        <x:v>0</x:v>
      </x:c>
      <x:c r="AD677" s="8" t="n">
        <x:f>H677*IF(AND(OR(AB676/AE676&gt;=tun_FissionTrigger*N677,AC677=1),AB676/AE676*tun_DaughterShare&gt;=tun_MinDaughter),MAX(1,ROUND(AE676*tun_FissionRate,0)),0)</x:f>
        <x:v>3</x:v>
      </x:c>
      <x:c r="AE677" s="8" t="n">
        <x:f>IF(H677=1,MAX(1,MIN(INDEX(tun_Smax,G677),AE676+AD677)),AE676)</x:f>
        <x:v>9</x:v>
      </x:c>
      <x:c r="AF677" s="8" t="n">
        <x:f>MAX(0,AE677-AE676)</x:f>
        <x:v>0</x:v>
      </x:c>
      <x:c r="AG677" s="9" t="str">
        <x:f>IF(AF677&gt;0,B677,"")</x:f>
      </x:c>
      <x:c r="AH677" s="9" t="n">
        <x:f>IF(F677&gt;=1,1,(1+tun_LowTiesShare*(AE677-1))/AE677)</x:f>
        <x:v>1</x:v>
      </x:c>
      <x:c r="AI677" s="32" t="n">
        <x:f>(Z677+tun_ElderCommons*INDEX(LM_Elder,G677)*AA677)*AH677</x:f>
        <x:v>158359.8526771721</x:v>
      </x:c>
      <x:c r="AJ677" s="32" t="n">
        <x:f>H677*tun_CommonsCoef*AI677^tun_CommonsExp*INDEX(LM_Commons,G677)</x:f>
        <x:v>564531.7391536145</x:v>
      </x:c>
      <x:c r="AK677" s="32" t="n">
        <x:f>H677*tun_RoleScale*Arch_Roles*(AE677*(INDEX(tun_ElderRolePerSett,G677)*tun_OutElder*INDEX(LM_Elder,G677)+INDEX(tun_ShamanPerSett,G677)*tun_OutShaman)+Z677*(INDEX(tun_PriestShare,G677)*tun_OutPriest+INDEX(tun_ScribeShare,G677)*tun_OutScribe*INDEX(LM_Scribe,G677)+INDEX(tun_ScholarShare,G677)*tun_OutScholar*INDEX(LM_Scholar,G677)+INDEX(tun_ResearcherShare,G677)*tun_OutResearcher*INDEX(LM_Researcher,G677)))</x:f>
        <x:v>176685.87509845872</x:v>
      </x:c>
      <x:c r="AL677" s="32" t="n">
        <x:f>H677*tun_RoleScale*Arch_Roles*AE677*INDEX(tun_MonasteryPerSett,G677)*tun_OutMonastery*INDEX(LM_Monastery,G677)</x:f>
        <x:v>15.840000000000002</x:v>
      </x:c>
      <x:c r="AM677" s="32" t="n">
        <x:f>(AJ677+AK677+AL677)/4*INDEX(LM_All,G677)*INDEX(tun_Boon,G677)*Arch_Insight</x:f>
        <x:v>641887.7288596865</x:v>
      </x:c>
      <x:c r="AN677" s="32" t="n">
        <x:f>H677*(tun_KHPerAdult*Z677+tun_KHOfCommons*AJ677/4*INDEX(LM_All,G677))*tun_KHUsable*Arch_KH</x:f>
        <x:v>95905.54569306188</x:v>
      </x:c>
      <x:c r="AO677" s="32" t="n">
        <x:f>MIN(AP676+AN677,AM677*tun_KHMaxRatio)</x:f>
        <x:v>95905.54569306188</x:v>
      </x:c>
      <x:c r="AP677" s="32" t="n">
        <x:f>AP676+AN677-AO677</x:f>
        <x:v>0</x:v>
      </x:c>
      <x:c r="AQ677" s="32" t="n">
        <x:f>AM677+AO677</x:f>
        <x:v>737793.2745527484</x:v>
      </x:c>
      <x:c r="AR677" s="10" t="n">
        <x:f>IF(H677=1,INDEX(tun_Req,G677),0)</x:f>
        <x:v>125406521.7009086</x:v>
      </x:c>
      <x:c r="AS677" s="32" t="n">
        <x:f>IF(H677=1,IF(E677=1,AS676-AR676,AS676)+AQ677,0)</x:f>
        <x:v>32383362.0577724</x:v>
      </x:c>
      <x:c r="AT677" s="11" t="n">
        <x:f>IF(AR677&gt;0,MIN(1,AS677/AR677),1)</x:f>
        <x:v>0.25822709711226904</x:v>
      </x:c>
      <x:c r="AU677" s="10" t="n">
        <x:f>AB677/INDEX(tun_RepScale,G677)</x:f>
        <x:v>212.9082193021928</x:v>
      </x:c>
      <x:c r="AV677" s="32" t="n">
        <x:f>AM677*60/tun_SeasonSeconds</x:f>
        <x:v>2567550.915438746</x:v>
      </x:c>
    </x:row>
    <x:row r="678">
      <x:c r="A678" s="8" t="n">
        <x:f>A677+1</x:f>
        <x:v>675</x:v>
      </x:c>
      <x:c r="B678" s="9" t="n">
        <x:f>A678*tun_SeasonSeconds/60</x:f>
        <x:v>168.75</x:v>
      </x:c>
      <x:c r="C678" s="9" t="n">
        <x:f>A678/4</x:f>
        <x:v>168.75</x:v>
      </x:c>
      <x:c r="D678" s="8" t="n">
        <x:f>IF(MOD(A678,4)=0,1,0)</x:f>
        <x:v>0</x:v>
      </x:c>
      <x:c r="E678" s="8" t="n">
        <x:f>IF(AND(F677&lt;=9,AS677&gt;=AR677),1,0)</x:f>
        <x:v>0</x:v>
      </x:c>
      <x:c r="F678" s="8" t="n">
        <x:f>MIN(10,F677+E678)</x:f>
        <x:v>9</x:v>
      </x:c>
      <x:c r="G678" s="8" t="n">
        <x:f>MIN(F678,9)+1</x:f>
        <x:v>10</x:v>
      </x:c>
      <x:c r="H678" s="8" t="n">
        <x:f>IF(F678&lt;=9,1,0)</x:f>
        <x:v>1</x:v>
      </x:c>
      <x:c r="I678" s="9" t="n">
        <x:f>MIN(10,F677+IF(AR677&gt;0,MIN(1,AS677/AR677),1))</x:f>
        <x:v>9.258227097112268</x:v>
      </x:c>
      <x:c r="J678" s="32" t="n">
        <x:f>INDEX(tun_FoodCap,G678)*Arch_FoodCap*EXP(tun_CapsByProject*SUMPRODUCT((Cap_Point&lt;=I678)*(Cap_Kind="Food")*Cap_Ln))</x:f>
        <x:v>13863.877308233004</x:v>
      </x:c>
      <x:c r="K678" s="32" t="n">
        <x:f>J678*MIN(1,tun_LeanBase*EXP(tun_CapsByProject*SUMPRODUCT((Cap_Point&lt;=I678)*(Cap_Kind="Lean")*Cap_Ln)))</x:f>
        <x:v>13863.877308233004</x:v>
      </x:c>
      <x:c r="L678" s="10" t="n">
        <x:f>INDEX(tun_HousingCap,G678)*EXP(tun_CapsByProject*SUMPRODUCT((Cap_Point&lt;=I678)*(Cap_Kind="Housing")*Cap_Ln))</x:f>
        <x:v>12514.86067705494</x:v>
      </x:c>
      <x:c r="M678" s="10" t="n">
        <x:f>INDEX(tun_GroupCap,G678)*tun_CohesionFactor*EXP(tun_CapsByProject*SUMPRODUCT((Cap_Point&lt;=I678)*(Cap_Kind="Group")*Cap_Ln))</x:f>
        <x:v>1000000.000000001</x:v>
      </x:c>
      <x:c r="N678" s="32" t="n">
        <x:f>MIN(J678,L678,M678)</x:f>
        <x:v>12514.86067705494</x:v>
      </x:c>
      <x:c r="O678" s="10" t="n">
        <x:f>AE677*N678</x:f>
        <x:v>112633.74609349445</x:v>
      </x:c>
      <x:c r="P678" s="9" t="n">
        <x:f>MIN(1,(AB677/(AE677*IF(tun_GroupInCrowding=1,N678,MIN(J678,L678))))^tun_CrowdingExp)</x:f>
        <x:v>0.7127929908530377</x:v>
      </x:c>
      <x:c r="Q678" s="9" t="n">
        <x:f>IF(D678=1,INDEX(tun_WinterMult,G678),1)</x:f>
        <x:v>1</x:v>
      </x:c>
      <x:c r="R678" s="9" t="n">
        <x:f>H678*Z677*tun_WomenShare*tun_BaseFertility*INDEX(tun_FertMult,G678)*Arch_Fertility*(1-P678)</x:f>
        <x:v>320.09913064225236</x:v>
      </x:c>
      <x:c r="S678" s="9" t="n">
        <x:f>H678*Y677*INDEX(tun_MortChild,G678)/4*Q678</x:f>
        <x:v>6.6726091659721725</x:v>
      </x:c>
      <x:c r="T678" s="9" t="n">
        <x:f>H678*Z677*INDEX(tun_MortAdult,G678)*Arch_AdultMort/4*Q678</x:f>
        <x:v>18.37127621631608</x:v>
      </x:c>
      <x:c r="U678" s="9" t="n">
        <x:f>H678*AA677*INDEX(tun_MortElder,G678)/4*Q678</x:f>
        <x:v>187.70399327204612</x:v>
      </x:c>
      <x:c r="V678" s="9" t="n">
        <x:f>H678*MAX(0,AB677-O678)*tun_OvercapLoss</x:f>
        <x:v>0</x:v>
      </x:c>
      <x:c r="W678" s="9" t="n">
        <x:f>H678*Y677/(tun_ChildYears*4)</x:f>
        <x:v>529.5721560295375</x:v>
      </x:c>
      <x:c r="X678" s="9" t="n">
        <x:f>H678*Z677/(tun_AdultYears*4)</x:f>
        <x:v>395.081208953034</x:v>
      </x:c>
      <x:c r="Y678" s="32" t="n">
        <x:f>Y677+R678-S678-W678-Y677*V678/AB677</x:f>
        <x:v>29439.89510310084</x:v>
      </x:c>
      <x:c r="Z678" s="32" t="n">
        <x:f>Z677+W678-X678-T678-Z677*V678/AB677</x:f>
        <x:v>49106.18958103639</x:v>
      </x:c>
      <x:c r="AA678" s="32" t="n">
        <x:f>AA677+X678-U678-AA677*V678/AB677</x:f>
        <x:v>28015.37621894708</x:v>
      </x:c>
      <x:c r="AB678" s="10" t="n">
        <x:f>Y678+Z678+AA678</x:f>
        <x:v>106561.46090308431</x:v>
      </x:c>
      <x:c r="AC678" s="8" t="n">
        <x:f>IF(AND(tun_WinterTrigger=1,D678=1,AB677/AE677&gt;=K678),1,0)</x:f>
        <x:v>0</x:v>
      </x:c>
      <x:c r="AD678" s="8" t="n">
        <x:f>H678*IF(AND(OR(AB677/AE677&gt;=tun_FissionTrigger*N678,AC678=1),AB677/AE677*tun_DaughterShare&gt;=tun_MinDaughter),MAX(1,ROUND(AE677*tun_FissionRate,0)),0)</x:f>
        <x:v>3</x:v>
      </x:c>
      <x:c r="AE678" s="8" t="n">
        <x:f>IF(H678=1,MAX(1,MIN(INDEX(tun_Smax,G678),AE677+AD678)),AE677)</x:f>
        <x:v>9</x:v>
      </x:c>
      <x:c r="AF678" s="8" t="n">
        <x:f>MAX(0,AE678-AE677)</x:f>
        <x:v>0</x:v>
      </x:c>
      <x:c r="AG678" s="9" t="str">
        <x:f>IF(AF678&gt;0,B678,"")</x:f>
      </x:c>
      <x:c r="AH678" s="9" t="n">
        <x:f>IF(F678&gt;=1,1,(1+tun_LowTiesShare*(AE678-1))/AE678)</x:f>
        <x:v>1</x:v>
      </x:c>
      <x:c r="AI678" s="32" t="n">
        <x:f>(Z678+tun_ElderCommons*INDEX(LM_Elder,G678)*AA678)*AH678</x:f>
        <x:v>159291.59381821394</x:v>
      </x:c>
      <x:c r="AJ678" s="32" t="n">
        <x:f>H678*tun_CommonsCoef*AI678^tun_CommonsExp*INDEX(LM_Commons,G678)</x:f>
        <x:v>567353.7989859405</x:v>
      </x:c>
      <x:c r="AK678" s="32" t="n">
        <x:f>H678*tun_RoleScale*Arch_Roles*(AE678*(INDEX(tun_ElderRolePerSett,G678)*tun_OutElder*INDEX(LM_Elder,G678)+INDEX(tun_ShamanPerSett,G678)*tun_OutShaman)+Z678*(INDEX(tun_PriestShare,G678)*tun_OutPriest+INDEX(tun_ScribeShare,G678)*tun_OutScribe*INDEX(LM_Scribe,G678)+INDEX(tun_ScholarShare,G678)*tun_OutScholar*INDEX(LM_Scholar,G678)+INDEX(tun_ResearcherShare,G678)*tun_OutResearcher*INDEX(LM_Researcher,G678)))</x:f>
        <x:v>177104.0766540908</x:v>
      </x:c>
      <x:c r="AL678" s="32" t="n">
        <x:f>H678*tun_RoleScale*Arch_Roles*AE678*INDEX(tun_MonasteryPerSett,G678)*tun_OutMonastery*INDEX(LM_Monastery,G678)</x:f>
        <x:v>15.840000000000002</x:v>
      </x:c>
      <x:c r="AM678" s="32" t="n">
        <x:f>(AJ678+AK678+AL678)/4*INDEX(LM_All,G678)*INDEX(tun_Boon,G678)*Arch_Insight</x:f>
        <x:v>644693.7058582919</x:v>
      </x:c>
      <x:c r="AN678" s="32" t="n">
        <x:f>H678*(tun_KHPerAdult*Z678+tun_KHOfCommons*AJ678/4*INDEX(LM_All,G678))*tun_KHUsable*Arch_KH</x:f>
        <x:v>96384.97168353583</x:v>
      </x:c>
      <x:c r="AO678" s="32" t="n">
        <x:f>MIN(AP677+AN678,AM678*tun_KHMaxRatio)</x:f>
        <x:v>96384.97168353583</x:v>
      </x:c>
      <x:c r="AP678" s="32" t="n">
        <x:f>AP677+AN678-AO678</x:f>
        <x:v>0</x:v>
      </x:c>
      <x:c r="AQ678" s="32" t="n">
        <x:f>AM678+AO678</x:f>
        <x:v>741078.6775418278</x:v>
      </x:c>
      <x:c r="AR678" s="10" t="n">
        <x:f>IF(H678=1,INDEX(tun_Req,G678),0)</x:f>
        <x:v>125406521.7009086</x:v>
      </x:c>
      <x:c r="AS678" s="32" t="n">
        <x:f>IF(H678=1,IF(E678=1,AS677-AR677,AS677)+AQ678,0)</x:f>
        <x:v>33124440.735314228</x:v>
      </x:c>
      <x:c r="AT678" s="11" t="n">
        <x:f>IF(AR678&gt;0,MIN(1,AS678/AR678),1)</x:f>
        <x:v>0.2641365081021479</x:v>
      </x:c>
      <x:c r="AU678" s="10" t="n">
        <x:f>AB678/INDEX(tun_RepScale,G678)</x:f>
        <x:v>213.12292180616862</x:v>
      </x:c>
      <x:c r="AV678" s="32" t="n">
        <x:f>AM678*60/tun_SeasonSeconds</x:f>
        <x:v>2578774.8234331678</x:v>
      </x:c>
    </x:row>
    <x:row r="679">
      <x:c r="A679" s="8" t="n">
        <x:f>A678+1</x:f>
        <x:v>676</x:v>
      </x:c>
      <x:c r="B679" s="9" t="n">
        <x:f>A679*tun_SeasonSeconds/60</x:f>
        <x:v>169</x:v>
      </x:c>
      <x:c r="C679" s="9" t="n">
        <x:f>A679/4</x:f>
        <x:v>169</x:v>
      </x:c>
      <x:c r="D679" s="8" t="n">
        <x:f>IF(MOD(A679,4)=0,1,0)</x:f>
        <x:v>1</x:v>
      </x:c>
      <x:c r="E679" s="8" t="n">
        <x:f>IF(AND(F678&lt;=9,AS678&gt;=AR678),1,0)</x:f>
        <x:v>0</x:v>
      </x:c>
      <x:c r="F679" s="8" t="n">
        <x:f>MIN(10,F678+E679)</x:f>
        <x:v>9</x:v>
      </x:c>
      <x:c r="G679" s="8" t="n">
        <x:f>MIN(F679,9)+1</x:f>
        <x:v>10</x:v>
      </x:c>
      <x:c r="H679" s="8" t="n">
        <x:f>IF(F679&lt;=9,1,0)</x:f>
        <x:v>1</x:v>
      </x:c>
      <x:c r="I679" s="9" t="n">
        <x:f>MIN(10,F678+IF(AR678&gt;0,MIN(1,AS678/AR678),1))</x:f>
        <x:v>9.264136508102148</x:v>
      </x:c>
      <x:c r="J679" s="32" t="n">
        <x:f>INDEX(tun_FoodCap,G679)*Arch_FoodCap*EXP(tun_CapsByProject*SUMPRODUCT((Cap_Point&lt;=I679)*(Cap_Kind="Food")*Cap_Ln))</x:f>
        <x:v>13863.877308233004</x:v>
      </x:c>
      <x:c r="K679" s="32" t="n">
        <x:f>J679*MIN(1,tun_LeanBase*EXP(tun_CapsByProject*SUMPRODUCT((Cap_Point&lt;=I679)*(Cap_Kind="Lean")*Cap_Ln)))</x:f>
        <x:v>13863.877308233004</x:v>
      </x:c>
      <x:c r="L679" s="10" t="n">
        <x:f>INDEX(tun_HousingCap,G679)*EXP(tun_CapsByProject*SUMPRODUCT((Cap_Point&lt;=I679)*(Cap_Kind="Housing")*Cap_Ln))</x:f>
        <x:v>12514.86067705494</x:v>
      </x:c>
      <x:c r="M679" s="10" t="n">
        <x:f>INDEX(tun_GroupCap,G679)*tun_CohesionFactor*EXP(tun_CapsByProject*SUMPRODUCT((Cap_Point&lt;=I679)*(Cap_Kind="Group")*Cap_Ln))</x:f>
        <x:v>1000000.000000001</x:v>
      </x:c>
      <x:c r="N679" s="32" t="n">
        <x:f>MIN(J679,L679,M679)</x:f>
        <x:v>12514.86067705494</x:v>
      </x:c>
      <x:c r="O679" s="10" t="n">
        <x:f>AE678*N679</x:f>
        <x:v>112633.74609349445</x:v>
      </x:c>
      <x:c r="P679" s="9" t="n">
        <x:f>MIN(1,(AB678/(AE678*IF(tun_GroupInCrowding=1,N679,MIN(J679,L679))))^tun_CrowdingExp)</x:f>
        <x:v>0.7171166786854812</x:v>
      </x:c>
      <x:c r="Q679" s="9" t="n">
        <x:f>IF(D679=1,INDEX(tun_WinterMult,G679),1)</x:f>
        <x:v>1.05</x:v>
      </x:c>
      <x:c r="R679" s="9" t="n">
        <x:f>H679*Z678*tun_WomenShare*tun_BaseFertility*INDEX(tun_FertMult,G679)*Arch_Fertility*(1-P679)</x:f>
        <x:v>316.0275756315858</x:v>
      </x:c>
      <x:c r="S679" s="9" t="n">
        <x:f>H679*Y678*INDEX(tun_MortChild,G679)/4*Q679</x:f>
        <x:v>6.955175218107573</x:v>
      </x:c>
      <x:c r="T679" s="9" t="n">
        <x:f>H679*Z678*INDEX(tun_MortAdult,G679)*Arch_AdultMort/4*Q679</x:f>
        <x:v>19.335562147533082</x:v>
      </x:c>
      <x:c r="U679" s="9" t="n">
        <x:f>H679*AA678*INDEX(tun_MortElder,G679)/4*Q679</x:f>
        <x:v>198.55897895178742</x:v>
      </x:c>
      <x:c r="V679" s="9" t="n">
        <x:f>H679*MAX(0,AB678-O679)*tun_OvercapLoss</x:f>
        <x:v>0</x:v>
      </x:c>
      <x:c r="W679" s="9" t="n">
        <x:f>H679*Y678/(tun_ChildYears*4)</x:f>
        <x:v>525.7124125553721</x:v>
      </x:c>
      <x:c r="X679" s="9" t="n">
        <x:f>H679*Z678/(tun_AdultYears*4)</x:f>
        <x:v>396.0176579115838</x:v>
      </x:c>
      <x:c r="Y679" s="32" t="n">
        <x:f>Y678+R679-S679-W679-Y678*V679/AB678</x:f>
        <x:v>29223.255090958948</x:v>
      </x:c>
      <x:c r="Z679" s="32" t="n">
        <x:f>Z678+W679-X679-T679-Z678*V679/AB678</x:f>
        <x:v>49216.548773532646</x:v>
      </x:c>
      <x:c r="AA679" s="32" t="n">
        <x:f>AA678+X679-U679-AA678*V679/AB678</x:f>
        <x:v>28212.834897906876</x:v>
      </x:c>
      <x:c r="AB679" s="10" t="n">
        <x:f>Y679+Z679+AA679</x:f>
        <x:v>106652.63876239848</x:v>
      </x:c>
      <x:c r="AC679" s="8" t="n">
        <x:f>IF(AND(tun_WinterTrigger=1,D679=1,AB678/AE678&gt;=K679),1,0)</x:f>
        <x:v>0</x:v>
      </x:c>
      <x:c r="AD679" s="8" t="n">
        <x:f>H679*IF(AND(OR(AB678/AE678&gt;=tun_FissionTrigger*N679,AC679=1),AB678/AE678*tun_DaughterShare&gt;=tun_MinDaughter),MAX(1,ROUND(AE678*tun_FissionRate,0)),0)</x:f>
        <x:v>3</x:v>
      </x:c>
      <x:c r="AE679" s="8" t="n">
        <x:f>IF(H679=1,MAX(1,MIN(INDEX(tun_Smax,G679),AE678+AD679)),AE678)</x:f>
        <x:v>9</x:v>
      </x:c>
      <x:c r="AF679" s="8" t="n">
        <x:f>MAX(0,AE679-AE678)</x:f>
        <x:v>0</x:v>
      </x:c>
      <x:c r="AG679" s="9" t="str">
        <x:f>IF(AF679&gt;0,B679,"")</x:f>
      </x:c>
      <x:c r="AH679" s="9" t="n">
        <x:f>IF(F679&gt;=1,1,(1+tun_LowTiesShare*(AE679-1))/AE679)</x:f>
        <x:v>1</x:v>
      </x:c>
      <x:c r="AI679" s="32" t="n">
        <x:f>(Z679+tun_ElderCommons*INDEX(LM_Elder,G679)*AA679)*AH679</x:f>
        <x:v>160178.564546864</x:v>
      </x:c>
      <x:c r="AJ679" s="32" t="n">
        <x:f>H679*tun_CommonsCoef*AI679^tun_CommonsExp*INDEX(LM_Commons,G679)</x:f>
        <x:v>570037.9583835914</x:v>
      </x:c>
      <x:c r="AK679" s="32" t="n">
        <x:f>H679*tun_RoleScale*Arch_Roles*(AE679*(INDEX(tun_ElderRolePerSett,G679)*tun_OutElder*INDEX(LM_Elder,G679)+INDEX(tun_ShamanPerSett,G679)*tun_OutShaman)+Z679*(INDEX(tun_PriestShare,G679)*tun_OutPriest+INDEX(tun_ScribeShare,G679)*tun_OutScribe*INDEX(LM_Scribe,G679)+INDEX(tun_ScholarShare,G679)*tun_OutScholar*INDEX(LM_Scholar,G679)+INDEX(tun_ResearcherShare,G679)*tun_OutResearcher*INDEX(LM_Researcher,G679)))</x:f>
        <x:v>177501.53201749607</x:v>
      </x:c>
      <x:c r="AL679" s="32" t="n">
        <x:f>H679*tun_RoleScale*Arch_Roles*AE679*INDEX(tun_MonasteryPerSett,G679)*tun_OutMonastery*INDEX(LM_Monastery,G679)</x:f>
        <x:v>15.840000000000002</x:v>
      </x:c>
      <x:c r="AM679" s="32" t="n">
        <x:f>(AJ679+AK679+AL679)/4*INDEX(LM_All,G679)*INDEX(tun_Boon,G679)*Arch_Insight</x:f>
        <x:v>647362.2992533252</x:v>
      </x:c>
      <x:c r="AN679" s="32" t="n">
        <x:f>H679*(tun_KHPerAdult*Z679+tun_KHOfCommons*AJ679/4*INDEX(LM_All,G679))*tun_KHUsable*Arch_KH</x:f>
        <x:v>96840.97044127584</x:v>
      </x:c>
      <x:c r="AO679" s="32" t="n">
        <x:f>MIN(AP678+AN679,AM679*tun_KHMaxRatio)</x:f>
        <x:v>96840.97044127584</x:v>
      </x:c>
      <x:c r="AP679" s="32" t="n">
        <x:f>AP678+AN679-AO679</x:f>
        <x:v>0</x:v>
      </x:c>
      <x:c r="AQ679" s="32" t="n">
        <x:f>AM679+AO679</x:f>
        <x:v>744203.2696946011</x:v>
      </x:c>
      <x:c r="AR679" s="10" t="n">
        <x:f>IF(H679=1,INDEX(tun_Req,G679),0)</x:f>
        <x:v>125406521.7009086</x:v>
      </x:c>
      <x:c r="AS679" s="32" t="n">
        <x:f>IF(H679=1,IF(E679=1,AS678-AR678,AS678)+AQ679,0)</x:f>
        <x:v>33868644.00500883</x:v>
      </x:c>
      <x:c r="AT679" s="11" t="n">
        <x:f>IF(AR679&gt;0,MIN(1,AS679/AR679),1)</x:f>
        <x:v>0.27007083479904415</x:v>
      </x:c>
      <x:c r="AU679" s="10" t="n">
        <x:f>AB679/INDEX(tun_RepScale,G679)</x:f>
        <x:v>213.30527752479696</x:v>
      </x:c>
      <x:c r="AV679" s="32" t="n">
        <x:f>AM679*60/tun_SeasonSeconds</x:f>
        <x:v>2589449.197013301</x:v>
      </x:c>
    </x:row>
    <x:row r="680">
      <x:c r="A680" s="8" t="n">
        <x:f>A679+1</x:f>
        <x:v>677</x:v>
      </x:c>
      <x:c r="B680" s="9" t="n">
        <x:f>A680*tun_SeasonSeconds/60</x:f>
        <x:v>169.25</x:v>
      </x:c>
      <x:c r="C680" s="9" t="n">
        <x:f>A680/4</x:f>
        <x:v>169.25</x:v>
      </x:c>
      <x:c r="D680" s="8" t="n">
        <x:f>IF(MOD(A680,4)=0,1,0)</x:f>
        <x:v>0</x:v>
      </x:c>
      <x:c r="E680" s="8" t="n">
        <x:f>IF(AND(F679&lt;=9,AS679&gt;=AR679),1,0)</x:f>
        <x:v>0</x:v>
      </x:c>
      <x:c r="F680" s="8" t="n">
        <x:f>MIN(10,F679+E680)</x:f>
        <x:v>9</x:v>
      </x:c>
      <x:c r="G680" s="8" t="n">
        <x:f>MIN(F680,9)+1</x:f>
        <x:v>10</x:v>
      </x:c>
      <x:c r="H680" s="8" t="n">
        <x:f>IF(F680&lt;=9,1,0)</x:f>
        <x:v>1</x:v>
      </x:c>
      <x:c r="I680" s="9" t="n">
        <x:f>MIN(10,F679+IF(AR679&gt;0,MIN(1,AS679/AR679),1))</x:f>
        <x:v>9.270070834799045</x:v>
      </x:c>
      <x:c r="J680" s="32" t="n">
        <x:f>INDEX(tun_FoodCap,G680)*Arch_FoodCap*EXP(tun_CapsByProject*SUMPRODUCT((Cap_Point&lt;=I680)*(Cap_Kind="Food")*Cap_Ln))</x:f>
        <x:v>13863.877308233004</x:v>
      </x:c>
      <x:c r="K680" s="32" t="n">
        <x:f>J680*MIN(1,tun_LeanBase*EXP(tun_CapsByProject*SUMPRODUCT((Cap_Point&lt;=I680)*(Cap_Kind="Lean")*Cap_Ln)))</x:f>
        <x:v>13863.877308233004</x:v>
      </x:c>
      <x:c r="L680" s="10" t="n">
        <x:f>INDEX(tun_HousingCap,G680)*EXP(tun_CapsByProject*SUMPRODUCT((Cap_Point&lt;=I680)*(Cap_Kind="Housing")*Cap_Ln))</x:f>
        <x:v>12514.86067705494</x:v>
      </x:c>
      <x:c r="M680" s="10" t="n">
        <x:f>INDEX(tun_GroupCap,G680)*tun_CohesionFactor*EXP(tun_CapsByProject*SUMPRODUCT((Cap_Point&lt;=I680)*(Cap_Kind="Group")*Cap_Ln))</x:f>
        <x:v>1000000.000000001</x:v>
      </x:c>
      <x:c r="N680" s="32" t="n">
        <x:f>MIN(J680,L680,M680)</x:f>
        <x:v>12514.86067705494</x:v>
      </x:c>
      <x:c r="O680" s="10" t="n">
        <x:f>AE679*N680</x:f>
        <x:v>112633.74609349445</x:v>
      </x:c>
      <x:c r="P680" s="9" t="n">
        <x:f>MIN(1,(AB679/(AE679*IF(tun_GroupInCrowding=1,N680,MIN(J680,L680))))^tun_CrowdingExp)</x:f>
        <x:v>0.720806109417345</x:v>
      </x:c>
      <x:c r="Q680" s="9" t="n">
        <x:f>IF(D680=1,INDEX(tun_WinterMult,G680),1)</x:f>
        <x:v>1</x:v>
      </x:c>
      <x:c r="R680" s="9" t="n">
        <x:f>H680*Z679*tun_WomenShare*tun_BaseFertility*INDEX(tun_FertMult,G680)*Arch_Fertility*(1-P680)</x:f>
        <x:v>312.60683392878883</x:v>
      </x:c>
      <x:c r="S680" s="9" t="n">
        <x:f>H680*Y679*INDEX(tun_MortChild,G680)/4*Q680</x:f>
        <x:v>6.575232395465763</x:v>
      </x:c>
      <x:c r="T680" s="9" t="n">
        <x:f>H680*Z679*INDEX(tun_MortAdult,G680)*Arch_AdultMort/4*Q680</x:f>
        <x:v>18.456205790074744</x:v>
      </x:c>
      <x:c r="U680" s="9" t="n">
        <x:f>H680*AA679*INDEX(tun_MortElder,G680)/4*Q680</x:f>
        <x:v>190.43663556087142</x:v>
      </x:c>
      <x:c r="V680" s="9" t="n">
        <x:f>H680*MAX(0,AB679-O680)*tun_OvercapLoss</x:f>
        <x:v>0</x:v>
      </x:c>
      <x:c r="W680" s="9" t="n">
        <x:f>H680*Y679/(tun_ChildYears*4)</x:f>
        <x:v>521.8438409099812</x:v>
      </x:c>
      <x:c r="X680" s="9" t="n">
        <x:f>H680*Z679/(tun_AdultYears*4)</x:f>
        <x:v>396.9076513994568</x:v>
      </x:c>
      <x:c r="Y680" s="32" t="n">
        <x:f>Y679+R680-S680-W680-Y679*V680/AB679</x:f>
        <x:v>29007.44285158229</x:v>
      </x:c>
      <x:c r="Z680" s="32" t="n">
        <x:f>Z679+W680-X680-T680-Z679*V680/AB679</x:f>
        <x:v>49323.028757253094</x:v>
      </x:c>
      <x:c r="AA680" s="32" t="n">
        <x:f>AA679+X680-U680-AA679*V680/AB679</x:f>
        <x:v>28419.30591374546</x:v>
      </x:c>
      <x:c r="AB680" s="10" t="n">
        <x:f>Y680+Z680+AA680</x:f>
        <x:v>106749.77752258084</x:v>
      </x:c>
      <x:c r="AC680" s="8" t="n">
        <x:f>IF(AND(tun_WinterTrigger=1,D680=1,AB679/AE679&gt;=K680),1,0)</x:f>
        <x:v>0</x:v>
      </x:c>
      <x:c r="AD680" s="8" t="n">
        <x:f>H680*IF(AND(OR(AB679/AE679&gt;=tun_FissionTrigger*N680,AC680=1),AB679/AE679*tun_DaughterShare&gt;=tun_MinDaughter),MAX(1,ROUND(AE679*tun_FissionRate,0)),0)</x:f>
        <x:v>3</x:v>
      </x:c>
      <x:c r="AE680" s="8" t="n">
        <x:f>IF(H680=1,MAX(1,MIN(INDEX(tun_Smax,G680),AE679+AD680)),AE679)</x:f>
        <x:v>9</x:v>
      </x:c>
      <x:c r="AF680" s="8" t="n">
        <x:f>MAX(0,AE680-AE679)</x:f>
        <x:v>0</x:v>
      </x:c>
      <x:c r="AG680" s="9" t="str">
        <x:f>IF(AF680&gt;0,B680,"")</x:f>
      </x:c>
      <x:c r="AH680" s="9" t="n">
        <x:f>IF(F680&gt;=1,1,(1+tun_LowTiesShare*(AE680-1))/AE680)</x:f>
        <x:v>1</x:v>
      </x:c>
      <x:c r="AI680" s="32" t="n">
        <x:f>(Z680+tun_ElderCommons*INDEX(LM_Elder,G680)*AA680)*AH680</x:f>
        <x:v>161097.10188671766</x:v>
      </x:c>
      <x:c r="AJ680" s="32" t="n">
        <x:f>H680*tun_CommonsCoef*AI680^tun_CommonsExp*INDEX(LM_Commons,G680)</x:f>
        <x:v>572815.2961901632</x:v>
      </x:c>
      <x:c r="AK680" s="32" t="n">
        <x:f>H680*tun_RoleScale*Arch_Roles*(AE680*(INDEX(tun_ElderRolePerSett,G680)*tun_OutElder*INDEX(LM_Elder,G680)+INDEX(tun_ShamanPerSett,G680)*tun_OutShaman)+Z680*(INDEX(tun_PriestShare,G680)*tun_OutPriest+INDEX(tun_ScribeShare,G680)*tun_OutScribe*INDEX(LM_Scribe,G680)+INDEX(tun_ScholarShare,G680)*tun_OutScholar*INDEX(LM_Scholar,G680)+INDEX(tun_ResearcherShare,G680)*tun_OutResearcher*INDEX(LM_Researcher,G680)))</x:f>
        <x:v>177885.01652538095</x:v>
      </x:c>
      <x:c r="AL680" s="32" t="n">
        <x:f>H680*tun_RoleScale*Arch_Roles*AE680*INDEX(tun_MonasteryPerSett,G680)*tun_OutMonastery*INDEX(LM_Monastery,G680)</x:f>
        <x:v>15.840000000000002</x:v>
      </x:c>
      <x:c r="AM680" s="32" t="n">
        <x:f>(AJ680+AK680+AL680)/4*INDEX(LM_All,G680)*INDEX(tun_Boon,G680)*Arch_Insight</x:f>
        <x:v>650099.4842051334</x:v>
      </x:c>
      <x:c r="AN680" s="32" t="n">
        <x:f>H680*(tun_KHPerAdult*Z680+tun_KHOfCommons*AJ680/4*INDEX(LM_All,G680))*tun_KHUsable*Arch_KH</x:f>
        <x:v>97312.79882476514</x:v>
      </x:c>
      <x:c r="AO680" s="32" t="n">
        <x:f>MIN(AP679+AN680,AM680*tun_KHMaxRatio)</x:f>
        <x:v>97312.79882476514</x:v>
      </x:c>
      <x:c r="AP680" s="32" t="n">
        <x:f>AP679+AN680-AO680</x:f>
        <x:v>0</x:v>
      </x:c>
      <x:c r="AQ680" s="32" t="n">
        <x:f>AM680+AO680</x:f>
        <x:v>747412.2830298985</x:v>
      </x:c>
      <x:c r="AR680" s="10" t="n">
        <x:f>IF(H680=1,INDEX(tun_Req,G680),0)</x:f>
        <x:v>125406521.7009086</x:v>
      </x:c>
      <x:c r="AS680" s="32" t="n">
        <x:f>IF(H680=1,IF(E680=1,AS679-AR679,AS679)+AQ680,0)</x:f>
        <x:v>34616056.28803873</x:v>
      </x:c>
      <x:c r="AT680" s="11" t="n">
        <x:f>IF(AR680&gt;0,MIN(1,AS680/AR680),1)</x:f>
        <x:v>0.27603075038311925</x:v>
      </x:c>
      <x:c r="AU680" s="10" t="n">
        <x:f>AB680/INDEX(tun_RepScale,G680)</x:f>
        <x:v>213.49955504516169</x:v>
      </x:c>
      <x:c r="AV680" s="32" t="n">
        <x:f>AM680*60/tun_SeasonSeconds</x:f>
        <x:v>2600397.9368205336</x:v>
      </x:c>
    </x:row>
    <x:row r="681">
      <x:c r="A681" s="8" t="n">
        <x:f>A680+1</x:f>
        <x:v>678</x:v>
      </x:c>
      <x:c r="B681" s="9" t="n">
        <x:f>A681*tun_SeasonSeconds/60</x:f>
        <x:v>169.5</x:v>
      </x:c>
      <x:c r="C681" s="9" t="n">
        <x:f>A681/4</x:f>
        <x:v>169.5</x:v>
      </x:c>
      <x:c r="D681" s="8" t="n">
        <x:f>IF(MOD(A681,4)=0,1,0)</x:f>
        <x:v>0</x:v>
      </x:c>
      <x:c r="E681" s="8" t="n">
        <x:f>IF(AND(F680&lt;=9,AS680&gt;=AR680),1,0)</x:f>
        <x:v>0</x:v>
      </x:c>
      <x:c r="F681" s="8" t="n">
        <x:f>MIN(10,F680+E681)</x:f>
        <x:v>9</x:v>
      </x:c>
      <x:c r="G681" s="8" t="n">
        <x:f>MIN(F681,9)+1</x:f>
        <x:v>10</x:v>
      </x:c>
      <x:c r="H681" s="8" t="n">
        <x:f>IF(F681&lt;=9,1,0)</x:f>
        <x:v>1</x:v>
      </x:c>
      <x:c r="I681" s="9" t="n">
        <x:f>MIN(10,F680+IF(AR680&gt;0,MIN(1,AS680/AR680),1))</x:f>
        <x:v>9.27603075038312</x:v>
      </x:c>
      <x:c r="J681" s="32" t="n">
        <x:f>INDEX(tun_FoodCap,G681)*Arch_FoodCap*EXP(tun_CapsByProject*SUMPRODUCT((Cap_Point&lt;=I681)*(Cap_Kind="Food")*Cap_Ln))</x:f>
        <x:v>13863.877308233004</x:v>
      </x:c>
      <x:c r="K681" s="32" t="n">
        <x:f>J681*MIN(1,tun_LeanBase*EXP(tun_CapsByProject*SUMPRODUCT((Cap_Point&lt;=I681)*(Cap_Kind="Lean")*Cap_Ln)))</x:f>
        <x:v>13863.877308233004</x:v>
      </x:c>
      <x:c r="L681" s="10" t="n">
        <x:f>INDEX(tun_HousingCap,G681)*EXP(tun_CapsByProject*SUMPRODUCT((Cap_Point&lt;=I681)*(Cap_Kind="Housing")*Cap_Ln))</x:f>
        <x:v>12514.86067705494</x:v>
      </x:c>
      <x:c r="M681" s="10" t="n">
        <x:f>INDEX(tun_GroupCap,G681)*tun_CohesionFactor*EXP(tun_CapsByProject*SUMPRODUCT((Cap_Point&lt;=I681)*(Cap_Kind="Group")*Cap_Ln))</x:f>
        <x:v>1000000.000000001</x:v>
      </x:c>
      <x:c r="N681" s="32" t="n">
        <x:f>MIN(J681,L681,M681)</x:f>
        <x:v>12514.86067705494</x:v>
      </x:c>
      <x:c r="O681" s="10" t="n">
        <x:f>AE680*N681</x:f>
        <x:v>112633.74609349445</x:v>
      </x:c>
      <x:c r="P681" s="9" t="n">
        <x:f>MIN(1,(AB680/(AE680*IF(tun_GroupInCrowding=1,N681,MIN(J681,L681))))^tun_CrowdingExp)</x:f>
        <x:v>0.7247541319173274</x:v>
      </x:c>
      <x:c r="Q681" s="9" t="n">
        <x:f>IF(D681=1,INDEX(tun_WinterMult,G681),1)</x:f>
        <x:v>1</x:v>
      </x:c>
      <x:c r="R681" s="9" t="n">
        <x:f>H681*Z680*tun_WomenShare*tun_BaseFertility*INDEX(tun_FertMult,G681)*Arch_Fertility*(1-P681)</x:f>
        <x:v>308.85308696871607</x:v>
      </x:c>
      <x:c r="S681" s="9" t="n">
        <x:f>H681*Y680*INDEX(tun_MortChild,G681)/4*Q681</x:f>
        <x:v>6.526674641606015</x:v>
      </x:c>
      <x:c r="T681" s="9" t="n">
        <x:f>H681*Z680*INDEX(tun_MortAdult,G681)*Arch_AdultMort/4*Q681</x:f>
        <x:v>18.496135783969912</x:v>
      </x:c>
      <x:c r="U681" s="9" t="n">
        <x:f>H681*AA680*INDEX(tun_MortElder,G681)/4*Q681</x:f>
        <x:v>191.83031491778183</x:v>
      </x:c>
      <x:c r="V681" s="9" t="n">
        <x:f>H681*MAX(0,AB680-O681)*tun_OvercapLoss</x:f>
        <x:v>0</x:v>
      </x:c>
      <x:c r="W681" s="9" t="n">
        <x:f>H681*Y680/(tun_ChildYears*4)</x:f>
        <x:v>517.9900509211124</x:v>
      </x:c>
      <x:c r="X681" s="9" t="n">
        <x:f>H681*Z680/(tun_AdultYears*4)</x:f>
        <x:v>397.7663609455895</x:v>
      </x:c>
      <x:c r="Y681" s="32" t="n">
        <x:f>Y680+R681-S681-W681-Y680*V681/AB680</x:f>
        <x:v>28791.77921298829</x:v>
      </x:c>
      <x:c r="Z681" s="32" t="n">
        <x:f>Z680+W681-X681-T681-Z680*V681/AB680</x:f>
        <x:v>49424.756311444646</x:v>
      </x:c>
      <x:c r="AA681" s="32" t="n">
        <x:f>AA680+X681-U681-AA680*V681/AB680</x:f>
        <x:v>28625.241959773266</x:v>
      </x:c>
      <x:c r="AB681" s="10" t="n">
        <x:f>Y681+Z681+AA681</x:f>
        <x:v>106841.7774842062</x:v>
      </x:c>
      <x:c r="AC681" s="8" t="n">
        <x:f>IF(AND(tun_WinterTrigger=1,D681=1,AB680/AE680&gt;=K681),1,0)</x:f>
        <x:v>0</x:v>
      </x:c>
      <x:c r="AD681" s="8" t="n">
        <x:f>H681*IF(AND(OR(AB680/AE680&gt;=tun_FissionTrigger*N681,AC681=1),AB680/AE680*tun_DaughterShare&gt;=tun_MinDaughter),MAX(1,ROUND(AE680*tun_FissionRate,0)),0)</x:f>
        <x:v>3</x:v>
      </x:c>
      <x:c r="AE681" s="8" t="n">
        <x:f>IF(H681=1,MAX(1,MIN(INDEX(tun_Smax,G681),AE680+AD681)),AE680)</x:f>
        <x:v>9</x:v>
      </x:c>
      <x:c r="AF681" s="8" t="n">
        <x:f>MAX(0,AE681-AE680)</x:f>
        <x:v>0</x:v>
      </x:c>
      <x:c r="AG681" s="9" t="str">
        <x:f>IF(AF681&gt;0,B681,"")</x:f>
      </x:c>
      <x:c r="AH681" s="9" t="n">
        <x:f>IF(F681&gt;=1,1,(1+tun_LowTiesShare*(AE681-1))/AE681)</x:f>
        <x:v>1</x:v>
      </x:c>
      <x:c r="AI681" s="32" t="n">
        <x:f>(Z681+tun_ElderCommons*INDEX(LM_Elder,G681)*AA681)*AH681</x:f>
        <x:v>162008.78274302598</x:v>
      </x:c>
      <x:c r="AJ681" s="32" t="n">
        <x:f>H681*tun_CommonsCoef*AI681^tun_CommonsExp*INDEX(LM_Commons,G681)</x:f>
        <x:v>575569.554497254</x:v>
      </x:c>
      <x:c r="AK681" s="32" t="n">
        <x:f>H681*tun_RoleScale*Arch_Roles*(AE681*(INDEX(tun_ElderRolePerSett,G681)*tun_OutElder*INDEX(LM_Elder,G681)+INDEX(tun_ShamanPerSett,G681)*tun_OutShaman)+Z681*(INDEX(tun_PriestShare,G681)*tun_OutPriest+INDEX(tun_ScribeShare,G681)*tun_OutScribe*INDEX(LM_Scribe,G681)+INDEX(tun_ScholarShare,G681)*tun_OutScholar*INDEX(LM_Scholar,G681)+INDEX(tun_ResearcherShare,G681)*tun_OutResearcher*INDEX(LM_Researcher,G681)))</x:f>
        <x:v>178251.38529906425</x:v>
      </x:c>
      <x:c r="AL681" s="32" t="n">
        <x:f>H681*tun_RoleScale*Arch_Roles*AE681*INDEX(tun_MonasteryPerSett,G681)*tun_OutMonastery*INDEX(LM_Monastery,G681)</x:f>
        <x:v>15.840000000000002</x:v>
      </x:c>
      <x:c r="AM681" s="32" t="n">
        <x:f>(AJ681+AK681+AL681)/4*INDEX(LM_All,G681)*INDEX(tun_Boon,G681)*Arch_Insight</x:f>
        <x:v>652801.8611931194</x:v>
      </x:c>
      <x:c r="AN681" s="32" t="n">
        <x:f>H681*(tun_KHPerAdult*Z681+tun_KHOfCommons*AJ681/4*INDEX(LM_All,G681))*tun_KHUsable*Arch_KH</x:f>
        <x:v>97780.70634457476</x:v>
      </x:c>
      <x:c r="AO681" s="32" t="n">
        <x:f>MIN(AP680+AN681,AM681*tun_KHMaxRatio)</x:f>
        <x:v>97780.70634457476</x:v>
      </x:c>
      <x:c r="AP681" s="32" t="n">
        <x:f>AP680+AN681-AO681</x:f>
        <x:v>0</x:v>
      </x:c>
      <x:c r="AQ681" s="32" t="n">
        <x:f>AM681+AO681</x:f>
        <x:v>750582.5675376942</x:v>
      </x:c>
      <x:c r="AR681" s="10" t="n">
        <x:f>IF(H681=1,INDEX(tun_Req,G681),0)</x:f>
        <x:v>125406521.7009086</x:v>
      </x:c>
      <x:c r="AS681" s="32" t="n">
        <x:f>IF(H681=1,IF(E681=1,AS680-AR680,AS680)+AQ681,0)</x:f>
        <x:v>35366638.855576426</x:v>
      </x:c>
      <x:c r="AT681" s="11" t="n">
        <x:f>IF(AR681&gt;0,MIN(1,AS681/AR681),1)</x:f>
        <x:v>0.28201594602810987</x:v>
      </x:c>
      <x:c r="AU681" s="10" t="n">
        <x:f>AB681/INDEX(tun_RepScale,G681)</x:f>
        <x:v>213.6835549684124</x:v>
      </x:c>
      <x:c r="AV681" s="32" t="n">
        <x:f>AM681*60/tun_SeasonSeconds</x:f>
        <x:v>2611207.4447724777</x:v>
      </x:c>
    </x:row>
    <x:row r="682">
      <x:c r="A682" s="8" t="n">
        <x:f>A681+1</x:f>
        <x:v>679</x:v>
      </x:c>
      <x:c r="B682" s="9" t="n">
        <x:f>A682*tun_SeasonSeconds/60</x:f>
        <x:v>169.75</x:v>
      </x:c>
      <x:c r="C682" s="9" t="n">
        <x:f>A682/4</x:f>
        <x:v>169.75</x:v>
      </x:c>
      <x:c r="D682" s="8" t="n">
        <x:f>IF(MOD(A682,4)=0,1,0)</x:f>
        <x:v>0</x:v>
      </x:c>
      <x:c r="E682" s="8" t="n">
        <x:f>IF(AND(F681&lt;=9,AS681&gt;=AR681),1,0)</x:f>
        <x:v>0</x:v>
      </x:c>
      <x:c r="F682" s="8" t="n">
        <x:f>MIN(10,F681+E682)</x:f>
        <x:v>9</x:v>
      </x:c>
      <x:c r="G682" s="8" t="n">
        <x:f>MIN(F682,9)+1</x:f>
        <x:v>10</x:v>
      </x:c>
      <x:c r="H682" s="8" t="n">
        <x:f>IF(F682&lt;=9,1,0)</x:f>
        <x:v>1</x:v>
      </x:c>
      <x:c r="I682" s="9" t="n">
        <x:f>MIN(10,F681+IF(AR681&gt;0,MIN(1,AS681/AR681),1))</x:f>
        <x:v>9.28201594602811</x:v>
      </x:c>
      <x:c r="J682" s="32" t="n">
        <x:f>INDEX(tun_FoodCap,G682)*Arch_FoodCap*EXP(tun_CapsByProject*SUMPRODUCT((Cap_Point&lt;=I682)*(Cap_Kind="Food")*Cap_Ln))</x:f>
        <x:v>13863.877308233004</x:v>
      </x:c>
      <x:c r="K682" s="32" t="n">
        <x:f>J682*MIN(1,tun_LeanBase*EXP(tun_CapsByProject*SUMPRODUCT((Cap_Point&lt;=I682)*(Cap_Kind="Lean")*Cap_Ln)))</x:f>
        <x:v>13863.877308233004</x:v>
      </x:c>
      <x:c r="L682" s="10" t="n">
        <x:f>INDEX(tun_HousingCap,G682)*EXP(tun_CapsByProject*SUMPRODUCT((Cap_Point&lt;=I682)*(Cap_Kind="Housing")*Cap_Ln))</x:f>
        <x:v>12514.86067705494</x:v>
      </x:c>
      <x:c r="M682" s="10" t="n">
        <x:f>INDEX(tun_GroupCap,G682)*tun_CohesionFactor*EXP(tun_CapsByProject*SUMPRODUCT((Cap_Point&lt;=I682)*(Cap_Kind="Group")*Cap_Ln))</x:f>
        <x:v>1000000.000000001</x:v>
      </x:c>
      <x:c r="N682" s="32" t="n">
        <x:f>MIN(J682,L682,M682)</x:f>
        <x:v>12514.86067705494</x:v>
      </x:c>
      <x:c r="O682" s="10" t="n">
        <x:f>AE681*N682</x:f>
        <x:v>112633.74609349445</x:v>
      </x:c>
      <x:c r="P682" s="9" t="n">
        <x:f>MIN(1,(AB681/(AE681*IF(tun_GroupInCrowding=1,N682,MIN(J682,L682))))^tun_CrowdingExp)</x:f>
        <x:v>0.7285098968533484</x:v>
      </x:c>
      <x:c r="Q682" s="9" t="n">
        <x:f>IF(D682=1,INDEX(tun_WinterMult,G682),1)</x:f>
        <x:v>1</x:v>
      </x:c>
      <x:c r="R682" s="9" t="n">
        <x:f>H682*Z681*tun_WomenShare*tun_BaseFertility*INDEX(tun_FertMult,G682)*Arch_Fertility*(1-P682)</x:f>
        <x:v>305.2670572995731</x:v>
      </x:c>
      <x:c r="S682" s="9" t="n">
        <x:f>H682*Y681*INDEX(tun_MortChild,G682)/4*Q682</x:f>
        <x:v>6.478150322922366</x:v>
      </x:c>
      <x:c r="T682" s="9" t="n">
        <x:f>H682*Z681*INDEX(tun_MortAdult,G682)*Arch_AdultMort/4*Q682</x:f>
        <x:v>18.534283616791743</x:v>
      </x:c>
      <x:c r="U682" s="9" t="n">
        <x:f>H682*AA681*INDEX(tun_MortElder,G682)/4*Q682</x:f>
        <x:v>193.22038322846953</x:v>
      </x:c>
      <x:c r="V682" s="9" t="n">
        <x:f>H682*MAX(0,AB681-O682)*tun_OvercapLoss</x:f>
        <x:v>0</x:v>
      </x:c>
      <x:c r="W682" s="9" t="n">
        <x:f>H682*Y681/(tun_ChildYears*4)</x:f>
        <x:v>514.138914517648</x:v>
      </x:c>
      <x:c r="X682" s="9" t="n">
        <x:f>H682*Z681/(tun_AdultYears*4)</x:f>
        <x:v>398.58674444713427</x:v>
      </x:c>
      <x:c r="Y682" s="32" t="n">
        <x:f>Y681+R682-S682-W682-Y681*V682/AB681</x:f>
        <x:v>28576.429205447297</x:v>
      </x:c>
      <x:c r="Z682" s="32" t="n">
        <x:f>Z681+W682-X682-T682-Z681*V682/AB681</x:f>
        <x:v>49521.77419789837</x:v>
      </x:c>
      <x:c r="AA682" s="32" t="n">
        <x:f>AA681+X682-U682-AA681*V682/AB681</x:f>
        <x:v>28830.60832099193</x:v>
      </x:c>
      <x:c r="AB682" s="10" t="n">
        <x:f>Y682+Z682+AA682</x:f>
        <x:v>106928.81172433759</x:v>
      </x:c>
      <x:c r="AC682" s="8" t="n">
        <x:f>IF(AND(tun_WinterTrigger=1,D682=1,AB681/AE681&gt;=K682),1,0)</x:f>
        <x:v>0</x:v>
      </x:c>
      <x:c r="AD682" s="8" t="n">
        <x:f>H682*IF(AND(OR(AB681/AE681&gt;=tun_FissionTrigger*N682,AC682=1),AB681/AE681*tun_DaughterShare&gt;=tun_MinDaughter),MAX(1,ROUND(AE681*tun_FissionRate,0)),0)</x:f>
        <x:v>3</x:v>
      </x:c>
      <x:c r="AE682" s="8" t="n">
        <x:f>IF(H682=1,MAX(1,MIN(INDEX(tun_Smax,G682),AE681+AD682)),AE681)</x:f>
        <x:v>9</x:v>
      </x:c>
      <x:c r="AF682" s="8" t="n">
        <x:f>MAX(0,AE682-AE681)</x:f>
        <x:v>0</x:v>
      </x:c>
      <x:c r="AG682" s="9" t="str">
        <x:f>IF(AF682&gt;0,B682,"")</x:f>
      </x:c>
      <x:c r="AH682" s="9" t="n">
        <x:f>IF(F682&gt;=1,1,(1+tun_LowTiesShare*(AE682-1))/AE682)</x:f>
        <x:v>1</x:v>
      </x:c>
      <x:c r="AI682" s="32" t="n">
        <x:f>(Z682+tun_ElderCommons*INDEX(LM_Elder,G682)*AA682)*AH682</x:f>
        <x:v>162913.51334233963</x:v>
      </x:c>
      <x:c r="AJ682" s="32" t="n">
        <x:f>H682*tun_CommonsCoef*AI682^tun_CommonsExp*INDEX(LM_Commons,G682)</x:f>
        <x:v>578300.518100049</x:v>
      </x:c>
      <x:c r="AK682" s="32" t="n">
        <x:f>H682*tun_RoleScale*Arch_Roles*(AE682*(INDEX(tun_ElderRolePerSett,G682)*tun_OutElder*INDEX(LM_Elder,G682)+INDEX(tun_ShamanPerSett,G682)*tun_OutShaman)+Z682*(INDEX(tun_PriestShare,G682)*tun_OutPriest+INDEX(tun_ScribeShare,G682)*tun_OutScribe*INDEX(LM_Scribe,G682)+INDEX(tun_ScholarShare,G682)*tun_OutScholar*INDEX(LM_Scholar,G682)+INDEX(tun_ResearcherShare,G682)*tun_OutResearcher*INDEX(LM_Researcher,G682)))</x:f>
        <x:v>178600.7923438701</x:v>
      </x:c>
      <x:c r="AL682" s="32" t="n">
        <x:f>H682*tun_RoleScale*Arch_Roles*AE682*INDEX(tun_MonasteryPerSett,G682)*tun_OutMonastery*INDEX(LM_Monastery,G682)</x:f>
        <x:v>15.840000000000002</x:v>
      </x:c>
      <x:c r="AM682" s="32" t="n">
        <x:f>(AJ682+AK682+AL682)/4*INDEX(LM_All,G682)*INDEX(tun_Boon,G682)*Arch_Insight</x:f>
        <x:v>655469.377220212</x:v>
      </x:c>
      <x:c r="AN682" s="32" t="n">
        <x:f>H682*(tun_KHPerAdult*Z682+tun_KHOfCommons*AJ682/4*INDEX(LM_All,G682))*tun_KHUsable*Arch_KH</x:f>
        <x:v>98244.6564406077</x:v>
      </x:c>
      <x:c r="AO682" s="32" t="n">
        <x:f>MIN(AP681+AN682,AM682*tun_KHMaxRatio)</x:f>
        <x:v>98244.6564406077</x:v>
      </x:c>
      <x:c r="AP682" s="32" t="n">
        <x:f>AP681+AN682-AO682</x:f>
        <x:v>0</x:v>
      </x:c>
      <x:c r="AQ682" s="32" t="n">
        <x:f>AM682+AO682</x:f>
        <x:v>753714.0336608198</x:v>
      </x:c>
      <x:c r="AR682" s="10" t="n">
        <x:f>IF(H682=1,INDEX(tun_Req,G682),0)</x:f>
        <x:v>125406521.7009086</x:v>
      </x:c>
      <x:c r="AS682" s="32" t="n">
        <x:f>IF(H682=1,IF(E682=1,AS681-AR681,AS681)+AQ682,0)</x:f>
        <x:v>36120352.88923725</x:v>
      </x:c>
      <x:c r="AT682" s="11" t="n">
        <x:f>IF(AR682&gt;0,MIN(1,AS682/AR682),1)</x:f>
        <x:v>0.2880261121936177</x:v>
      </x:c>
      <x:c r="AU682" s="10" t="n">
        <x:f>AB682/INDEX(tun_RepScale,G682)</x:f>
        <x:v>213.85762344867518</x:v>
      </x:c>
      <x:c r="AV682" s="32" t="n">
        <x:f>AM682*60/tun_SeasonSeconds</x:f>
        <x:v>2621877.508880848</x:v>
      </x:c>
    </x:row>
    <x:row r="683">
      <x:c r="A683" s="8" t="n">
        <x:f>A682+1</x:f>
        <x:v>680</x:v>
      </x:c>
      <x:c r="B683" s="9" t="n">
        <x:f>A683*tun_SeasonSeconds/60</x:f>
        <x:v>170</x:v>
      </x:c>
      <x:c r="C683" s="9" t="n">
        <x:f>A683/4</x:f>
        <x:v>170</x:v>
      </x:c>
      <x:c r="D683" s="8" t="n">
        <x:f>IF(MOD(A683,4)=0,1,0)</x:f>
        <x:v>1</x:v>
      </x:c>
      <x:c r="E683" s="8" t="n">
        <x:f>IF(AND(F682&lt;=9,AS682&gt;=AR682),1,0)</x:f>
        <x:v>0</x:v>
      </x:c>
      <x:c r="F683" s="8" t="n">
        <x:f>MIN(10,F682+E683)</x:f>
        <x:v>9</x:v>
      </x:c>
      <x:c r="G683" s="8" t="n">
        <x:f>MIN(F683,9)+1</x:f>
        <x:v>10</x:v>
      </x:c>
      <x:c r="H683" s="8" t="n">
        <x:f>IF(F683&lt;=9,1,0)</x:f>
        <x:v>1</x:v>
      </x:c>
      <x:c r="I683" s="9" t="n">
        <x:f>MIN(10,F682+IF(AR682&gt;0,MIN(1,AS682/AR682),1))</x:f>
        <x:v>9.288026112193618</x:v>
      </x:c>
      <x:c r="J683" s="32" t="n">
        <x:f>INDEX(tun_FoodCap,G683)*Arch_FoodCap*EXP(tun_CapsByProject*SUMPRODUCT((Cap_Point&lt;=I683)*(Cap_Kind="Food")*Cap_Ln))</x:f>
        <x:v>13863.877308233004</x:v>
      </x:c>
      <x:c r="K683" s="32" t="n">
        <x:f>J683*MIN(1,tun_LeanBase*EXP(tun_CapsByProject*SUMPRODUCT((Cap_Point&lt;=I683)*(Cap_Kind="Lean")*Cap_Ln)))</x:f>
        <x:v>13863.877308233004</x:v>
      </x:c>
      <x:c r="L683" s="10" t="n">
        <x:f>INDEX(tun_HousingCap,G683)*EXP(tun_CapsByProject*SUMPRODUCT((Cap_Point&lt;=I683)*(Cap_Kind="Housing")*Cap_Ln))</x:f>
        <x:v>12514.86067705494</x:v>
      </x:c>
      <x:c r="M683" s="10" t="n">
        <x:f>INDEX(tun_GroupCap,G683)*tun_CohesionFactor*EXP(tun_CapsByProject*SUMPRODUCT((Cap_Point&lt;=I683)*(Cap_Kind="Group")*Cap_Ln))</x:f>
        <x:v>1000000.000000001</x:v>
      </x:c>
      <x:c r="N683" s="32" t="n">
        <x:f>MIN(J683,L683,M683)</x:f>
        <x:v>12514.86067705494</x:v>
      </x:c>
      <x:c r="O683" s="10" t="n">
        <x:f>AE682*N683</x:f>
        <x:v>112633.74609349445</x:v>
      </x:c>
      <x:c r="P683" s="9" t="n">
        <x:f>MIN(1,(AB682/(AE682*IF(tun_GroupInCrowding=1,N683,MIN(J683,L683))))^tun_CrowdingExp)</x:f>
        <x:v>0.732077859128805</x:v>
      </x:c>
      <x:c r="Q683" s="9" t="n">
        <x:f>IF(D683=1,INDEX(tun_WinterMult,G683),1)</x:f>
        <x:v>1.05</x:v>
      </x:c>
      <x:c r="R683" s="9" t="n">
        <x:f>H683*Z682*tun_WomenShare*tun_BaseFertility*INDEX(tun_FertMult,G683)*Arch_Fertility*(1-P683)</x:f>
        <x:v>301.8465396046291</x:v>
      </x:c>
      <x:c r="S683" s="9" t="n">
        <x:f>H683*Y682*INDEX(tun_MortChild,G683)/4*Q683</x:f>
        <x:v>6.751181399786924</x:v>
      </x:c>
      <x:c r="T683" s="9" t="n">
        <x:f>H683*Z682*INDEX(tun_MortAdult,G683)*Arch_AdultMort/4*Q683</x:f>
        <x:v>19.499198590422484</x:v>
      </x:c>
      <x:c r="U683" s="9" t="n">
        <x:f>H683*AA682*INDEX(tun_MortElder,G683)/4*Q683</x:f>
        <x:v>204.33693647503034</x:v>
      </x:c>
      <x:c r="V683" s="9" t="n">
        <x:f>H683*MAX(0,AB682-O683)*tun_OvercapLoss</x:f>
        <x:v>0</x:v>
      </x:c>
      <x:c r="W683" s="9" t="n">
        <x:f>H683*Y682/(tun_ChildYears*4)</x:f>
        <x:v>510.29337866870173</x:v>
      </x:c>
      <x:c r="X683" s="9" t="n">
        <x:f>H683*Z682/(tun_AdultYears*4)</x:f>
        <x:v>399.3691467572449</x:v>
      </x:c>
      <x:c r="Y683" s="32" t="n">
        <x:f>Y682+R683-S683-W683-Y682*V683/AB682</x:f>
        <x:v>28361.231184983437</x:v>
      </x:c>
      <x:c r="Z683" s="32" t="n">
        <x:f>Z682+W683-X683-T683-Z682*V683/AB682</x:f>
        <x:v>49613.199231219405</x:v>
      </x:c>
      <x:c r="AA683" s="32" t="n">
        <x:f>AA682+X683-U683-AA682*V683/AB682</x:f>
        <x:v>29025.640531274148</x:v>
      </x:c>
      <x:c r="AB683" s="10" t="n">
        <x:f>Y683+Z683+AA683</x:f>
        <x:v>107000.07094747698</x:v>
      </x:c>
      <x:c r="AC683" s="8" t="n">
        <x:f>IF(AND(tun_WinterTrigger=1,D683=1,AB682/AE682&gt;=K683),1,0)</x:f>
        <x:v>0</x:v>
      </x:c>
      <x:c r="AD683" s="8" t="n">
        <x:f>H683*IF(AND(OR(AB682/AE682&gt;=tun_FissionTrigger*N683,AC683=1),AB682/AE682*tun_DaughterShare&gt;=tun_MinDaughter),MAX(1,ROUND(AE682*tun_FissionRate,0)),0)</x:f>
        <x:v>3</x:v>
      </x:c>
      <x:c r="AE683" s="8" t="n">
        <x:f>IF(H683=1,MAX(1,MIN(INDEX(tun_Smax,G683),AE682+AD683)),AE682)</x:f>
        <x:v>9</x:v>
      </x:c>
      <x:c r="AF683" s="8" t="n">
        <x:f>MAX(0,AE683-AE682)</x:f>
        <x:v>0</x:v>
      </x:c>
      <x:c r="AG683" s="9" t="str">
        <x:f>IF(AF683&gt;0,B683,"")</x:f>
      </x:c>
      <x:c r="AH683" s="9" t="n">
        <x:f>IF(F683&gt;=1,1,(1+tun_LowTiesShare*(AE683-1))/AE683)</x:f>
        <x:v>1</x:v>
      </x:c>
      <x:c r="AI683" s="32" t="n">
        <x:f>(Z683+tun_ElderCommons*INDEX(LM_Elder,G683)*AA683)*AH683</x:f>
        <x:v>163772.00652999379</x:v>
      </x:c>
      <x:c r="AJ683" s="32" t="n">
        <x:f>H683*tun_CommonsCoef*AI683^tun_CommonsExp*INDEX(LM_Commons,G683)</x:f>
        <x:v>580889.8094471382</x:v>
      </x:c>
      <x:c r="AK683" s="32" t="n">
        <x:f>H683*tun_RoleScale*Arch_Roles*(AE683*(INDEX(tun_ElderRolePerSett,G683)*tun_OutElder*INDEX(LM_Elder,G683)+INDEX(tun_ShamanPerSett,G683)*tun_OutShaman)+Z683*(INDEX(tun_PriestShare,G683)*tun_OutPriest+INDEX(tun_ScribeShare,G683)*tun_OutScribe*INDEX(LM_Scribe,G683)+INDEX(tun_ScholarShare,G683)*tun_OutScholar*INDEX(LM_Scholar,G683)+INDEX(tun_ResearcherShare,G683)*tun_OutResearcher*INDEX(LM_Researcher,G683)))</x:f>
        <x:v>178930.0568937551</x:v>
      </x:c>
      <x:c r="AL683" s="32" t="n">
        <x:f>H683*tun_RoleScale*Arch_Roles*AE683*INDEX(tun_MonasteryPerSett,G683)*tun_OutMonastery*INDEX(LM_Monastery,G683)</x:f>
        <x:v>15.840000000000002</x:v>
      </x:c>
      <x:c r="AM683" s="32" t="n">
        <x:f>(AJ683+AK683+AL683)/4*INDEX(LM_All,G683)*INDEX(tun_Boon,G683)*Arch_Insight</x:f>
        <x:v>657996.7661359607</x:v>
      </x:c>
      <x:c r="AN683" s="32" t="n">
        <x:f>H683*(tun_KHPerAdult*Z683+tun_KHOfCommons*AJ683/4*INDEX(LM_All,G683))*tun_KHUsable*Arch_KH</x:f>
        <x:v>98684.53852761527</x:v>
      </x:c>
      <x:c r="AO683" s="32" t="n">
        <x:f>MIN(AP682+AN683,AM683*tun_KHMaxRatio)</x:f>
        <x:v>98684.53852761527</x:v>
      </x:c>
      <x:c r="AP683" s="32" t="n">
        <x:f>AP682+AN683-AO683</x:f>
        <x:v>0</x:v>
      </x:c>
      <x:c r="AQ683" s="32" t="n">
        <x:f>AM683+AO683</x:f>
        <x:v>756681.304663576</x:v>
      </x:c>
      <x:c r="AR683" s="10" t="n">
        <x:f>IF(H683=1,INDEX(tun_Req,G683),0)</x:f>
        <x:v>125406521.7009086</x:v>
      </x:c>
      <x:c r="AS683" s="32" t="n">
        <x:f>IF(H683=1,IF(E683=1,AS682-AR682,AS682)+AQ683,0)</x:f>
        <x:v>36877034.19390082</x:v>
      </x:c>
      <x:c r="AT683" s="11" t="n">
        <x:f>IF(AR683&gt;0,MIN(1,AS683/AR683),1)</x:f>
        <x:v>0.29405993957675997</x:v>
      </x:c>
      <x:c r="AU683" s="10" t="n">
        <x:f>AB683/INDEX(tun_RepScale,G683)</x:f>
        <x:v>214.00014189495397</x:v>
      </x:c>
      <x:c r="AV683" s="32" t="n">
        <x:f>AM683*60/tun_SeasonSeconds</x:f>
        <x:v>2631987.064543843</x:v>
      </x:c>
    </x:row>
    <x:row r="684">
      <x:c r="A684" s="8" t="n">
        <x:f>A683+1</x:f>
        <x:v>681</x:v>
      </x:c>
      <x:c r="B684" s="9" t="n">
        <x:f>A684*tun_SeasonSeconds/60</x:f>
        <x:v>170.25</x:v>
      </x:c>
      <x:c r="C684" s="9" t="n">
        <x:f>A684/4</x:f>
        <x:v>170.25</x:v>
      </x:c>
      <x:c r="D684" s="8" t="n">
        <x:f>IF(MOD(A684,4)=0,1,0)</x:f>
        <x:v>0</x:v>
      </x:c>
      <x:c r="E684" s="8" t="n">
        <x:f>IF(AND(F683&lt;=9,AS683&gt;=AR683),1,0)</x:f>
        <x:v>0</x:v>
      </x:c>
      <x:c r="F684" s="8" t="n">
        <x:f>MIN(10,F683+E684)</x:f>
        <x:v>9</x:v>
      </x:c>
      <x:c r="G684" s="8" t="n">
        <x:f>MIN(F684,9)+1</x:f>
        <x:v>10</x:v>
      </x:c>
      <x:c r="H684" s="8" t="n">
        <x:f>IF(F684&lt;=9,1,0)</x:f>
        <x:v>1</x:v>
      </x:c>
      <x:c r="I684" s="9" t="n">
        <x:f>MIN(10,F683+IF(AR683&gt;0,MIN(1,AS683/AR683),1))</x:f>
        <x:v>9.29405993957676</x:v>
      </x:c>
      <x:c r="J684" s="32" t="n">
        <x:f>INDEX(tun_FoodCap,G684)*Arch_FoodCap*EXP(tun_CapsByProject*SUMPRODUCT((Cap_Point&lt;=I684)*(Cap_Kind="Food")*Cap_Ln))</x:f>
        <x:v>13863.877308233004</x:v>
      </x:c>
      <x:c r="K684" s="32" t="n">
        <x:f>J684*MIN(1,tun_LeanBase*EXP(tun_CapsByProject*SUMPRODUCT((Cap_Point&lt;=I684)*(Cap_Kind="Lean")*Cap_Ln)))</x:f>
        <x:v>13863.877308233004</x:v>
      </x:c>
      <x:c r="L684" s="10" t="n">
        <x:f>INDEX(tun_HousingCap,G684)*EXP(tun_CapsByProject*SUMPRODUCT((Cap_Point&lt;=I684)*(Cap_Kind="Housing")*Cap_Ln))</x:f>
        <x:v>12514.86067705494</x:v>
      </x:c>
      <x:c r="M684" s="10" t="n">
        <x:f>INDEX(tun_GroupCap,G684)*tun_CohesionFactor*EXP(tun_CapsByProject*SUMPRODUCT((Cap_Point&lt;=I684)*(Cap_Kind="Group")*Cap_Ln))</x:f>
        <x:v>1000000.000000001</x:v>
      </x:c>
      <x:c r="N684" s="32" t="n">
        <x:f>MIN(J684,L684,M684)</x:f>
        <x:v>12514.86067705494</x:v>
      </x:c>
      <x:c r="O684" s="10" t="n">
        <x:f>AE683*N684</x:f>
        <x:v>112633.74609349445</x:v>
      </x:c>
      <x:c r="P684" s="9" t="n">
        <x:f>MIN(1,(AB683/(AE683*IF(tun_GroupInCrowding=1,N684,MIN(J684,L684))))^tun_CrowdingExp)</x:f>
        <x:v>0.7350099569760771</x:v>
      </x:c>
      <x:c r="Q684" s="9" t="n">
        <x:f>IF(D684=1,INDEX(tun_WinterMult,G684),1)</x:f>
        <x:v>1</x:v>
      </x:c>
      <x:c r="R684" s="9" t="n">
        <x:f>H684*Z683*tun_WomenShare*tun_BaseFertility*INDEX(tun_FertMult,G684)*Arch_Fertility*(1-P684)</x:f>
        <x:v>299.0943364235028</x:v>
      </x:c>
      <x:c r="S684" s="9" t="n">
        <x:f>H684*Y683*INDEX(tun_MortChild,G684)/4*Q684</x:f>
        <x:v>6.381277016621273</x:v>
      </x:c>
      <x:c r="T684" s="9" t="n">
        <x:f>H684*Z683*INDEX(tun_MortAdult,G684)*Arch_AdultMort/4*Q684</x:f>
        <x:v>18.604949711707278</x:v>
      </x:c>
      <x:c r="U684" s="9" t="n">
        <x:f>H684*AA683*INDEX(tun_MortElder,G684)/4*Q684</x:f>
        <x:v>195.9230735861005</x:v>
      </x:c>
      <x:c r="V684" s="9" t="n">
        <x:f>H684*MAX(0,AB683-O684)*tun_OvercapLoss</x:f>
        <x:v>0</x:v>
      </x:c>
      <x:c r="W684" s="9" t="n">
        <x:f>H684*Y683/(tun_ChildYears*4)</x:f>
        <x:v>506.4505568747042</x:v>
      </x:c>
      <x:c r="X684" s="9" t="n">
        <x:f>H684*Z683/(tun_AdultYears*4)</x:f>
        <x:v>400.1064454130597</x:v>
      </x:c>
      <x:c r="Y684" s="32" t="n">
        <x:f>Y683+R684-S684-W684-Y683*V684/AB683</x:f>
        <x:v>28147.493687515613</x:v>
      </x:c>
      <x:c r="Z684" s="32" t="n">
        <x:f>Z683+W684-X684-T684-Z683*V684/AB683</x:f>
        <x:v>49700.93839296934</x:v>
      </x:c>
      <x:c r="AA684" s="32" t="n">
        <x:f>AA683+X684-U684-AA683*V684/AB683</x:f>
        <x:v>29229.823903101107</x:v>
      </x:c>
      <x:c r="AB684" s="10" t="n">
        <x:f>Y684+Z684+AA684</x:f>
        <x:v>107078.25598358606</x:v>
      </x:c>
      <x:c r="AC684" s="8" t="n">
        <x:f>IF(AND(tun_WinterTrigger=1,D684=1,AB683/AE683&gt;=K684),1,0)</x:f>
        <x:v>0</x:v>
      </x:c>
      <x:c r="AD684" s="8" t="n">
        <x:f>H684*IF(AND(OR(AB683/AE683&gt;=tun_FissionTrigger*N684,AC684=1),AB683/AE683*tun_DaughterShare&gt;=tun_MinDaughter),MAX(1,ROUND(AE683*tun_FissionRate,0)),0)</x:f>
        <x:v>3</x:v>
      </x:c>
      <x:c r="AE684" s="8" t="n">
        <x:f>IF(H684=1,MAX(1,MIN(INDEX(tun_Smax,G684),AE683+AD684)),AE683)</x:f>
        <x:v>9</x:v>
      </x:c>
      <x:c r="AF684" s="8" t="n">
        <x:f>MAX(0,AE684-AE683)</x:f>
        <x:v>0</x:v>
      </x:c>
      <x:c r="AG684" s="9" t="str">
        <x:f>IF(AF684&gt;0,B684,"")</x:f>
      </x:c>
      <x:c r="AH684" s="9" t="n">
        <x:f>IF(F684&gt;=1,1,(1+tun_LowTiesShare*(AE684-1))/AE684)</x:f>
        <x:v>1</x:v>
      </x:c>
      <x:c r="AI684" s="32" t="n">
        <x:f>(Z684+tun_ElderCommons*INDEX(LM_Elder,G684)*AA684)*AH684</x:f>
        <x:v>164662.80566807374</x:v>
      </x:c>
      <x:c r="AJ684" s="32" t="n">
        <x:f>H684*tun_CommonsCoef*AI684^tun_CommonsExp*INDEX(LM_Commons,G684)</x:f>
        <x:v>583574.3870692928</x:v>
      </x:c>
      <x:c r="AK684" s="32" t="n">
        <x:f>H684*tun_RoleScale*Arch_Roles*(AE684*(INDEX(tun_ElderRolePerSett,G684)*tun_OutElder*INDEX(LM_Elder,G684)+INDEX(tun_ShamanPerSett,G684)*tun_OutShaman)+Z684*(INDEX(tun_PriestShare,G684)*tun_OutPriest+INDEX(tun_ScribeShare,G684)*tun_OutScribe*INDEX(LM_Scribe,G684)+INDEX(tun_ScholarShare,G684)*tun_OutScholar*INDEX(LM_Scholar,G684)+INDEX(tun_ResearcherShare,G684)*tun_OutResearcher*INDEX(LM_Researcher,G684)))</x:f>
        <x:v>179246.04688633664</x:v>
      </x:c>
      <x:c r="AL684" s="32" t="n">
        <x:f>H684*tun_RoleScale*Arch_Roles*AE684*INDEX(tun_MonasteryPerSett,G684)*tun_OutMonastery*INDEX(LM_Monastery,G684)</x:f>
        <x:v>15.840000000000002</x:v>
      </x:c>
      <x:c r="AM684" s="32" t="n">
        <x:f>(AJ684+AK684+AL684)/4*INDEX(LM_All,G684)*INDEX(tun_Boon,G684)*Arch_Insight</x:f>
        <x:v>660595.174937485</x:v>
      </x:c>
      <x:c r="AN684" s="32" t="n">
        <x:f>H684*(tun_KHPerAdult*Z684+tun_KHOfCommons*AJ684/4*INDEX(LM_All,G684))*tun_KHUsable*Arch_KH</x:f>
        <x:v>99140.60833547785</x:v>
      </x:c>
      <x:c r="AO684" s="32" t="n">
        <x:f>MIN(AP683+AN684,AM684*tun_KHMaxRatio)</x:f>
        <x:v>99140.60833547785</x:v>
      </x:c>
      <x:c r="AP684" s="32" t="n">
        <x:f>AP683+AN684-AO684</x:f>
        <x:v>0</x:v>
      </x:c>
      <x:c r="AQ684" s="32" t="n">
        <x:f>AM684+AO684</x:f>
        <x:v>759735.7832729629</x:v>
      </x:c>
      <x:c r="AR684" s="10" t="n">
        <x:f>IF(H684=1,INDEX(tun_Req,G684),0)</x:f>
        <x:v>125406521.7009086</x:v>
      </x:c>
      <x:c r="AS684" s="32" t="n">
        <x:f>IF(H684=1,IF(E684=1,AS683-AR683,AS683)+AQ684,0)</x:f>
        <x:v>37636769.97717378</x:v>
      </x:c>
      <x:c r="AT684" s="11" t="n">
        <x:f>IF(AR684&gt;0,MIN(1,AS684/AR684),1)</x:f>
        <x:v>0.30011812357683065</x:v>
      </x:c>
      <x:c r="AU684" s="10" t="n">
        <x:f>AB684/INDEX(tun_RepScale,G684)</x:f>
        <x:v>214.15651196717212</x:v>
      </x:c>
      <x:c r="AV684" s="32" t="n">
        <x:f>AM684*60/tun_SeasonSeconds</x:f>
        <x:v>2642380.69974994</x:v>
      </x:c>
    </x:row>
    <x:row r="685">
      <x:c r="A685" s="8" t="n">
        <x:f>A684+1</x:f>
        <x:v>682</x:v>
      </x:c>
      <x:c r="B685" s="9" t="n">
        <x:f>A685*tun_SeasonSeconds/60</x:f>
        <x:v>170.5</x:v>
      </x:c>
      <x:c r="C685" s="9" t="n">
        <x:f>A685/4</x:f>
        <x:v>170.5</x:v>
      </x:c>
      <x:c r="D685" s="8" t="n">
        <x:f>IF(MOD(A685,4)=0,1,0)</x:f>
        <x:v>0</x:v>
      </x:c>
      <x:c r="E685" s="8" t="n">
        <x:f>IF(AND(F684&lt;=9,AS684&gt;=AR684),1,0)</x:f>
        <x:v>0</x:v>
      </x:c>
      <x:c r="F685" s="8" t="n">
        <x:f>MIN(10,F684+E685)</x:f>
        <x:v>9</x:v>
      </x:c>
      <x:c r="G685" s="8" t="n">
        <x:f>MIN(F685,9)+1</x:f>
        <x:v>10</x:v>
      </x:c>
      <x:c r="H685" s="8" t="n">
        <x:f>IF(F685&lt;=9,1,0)</x:f>
        <x:v>1</x:v>
      </x:c>
      <x:c r="I685" s="9" t="n">
        <x:f>MIN(10,F684+IF(AR684&gt;0,MIN(1,AS684/AR684),1))</x:f>
        <x:v>9.30011812357683</x:v>
      </x:c>
      <x:c r="J685" s="32" t="n">
        <x:f>INDEX(tun_FoodCap,G685)*Arch_FoodCap*EXP(tun_CapsByProject*SUMPRODUCT((Cap_Point&lt;=I685)*(Cap_Kind="Food")*Cap_Ln))</x:f>
        <x:v>13863.877308233004</x:v>
      </x:c>
      <x:c r="K685" s="32" t="n">
        <x:f>J685*MIN(1,tun_LeanBase*EXP(tun_CapsByProject*SUMPRODUCT((Cap_Point&lt;=I685)*(Cap_Kind="Lean")*Cap_Ln)))</x:f>
        <x:v>13863.877308233004</x:v>
      </x:c>
      <x:c r="L685" s="10" t="n">
        <x:f>INDEX(tun_HousingCap,G685)*EXP(tun_CapsByProject*SUMPRODUCT((Cap_Point&lt;=I685)*(Cap_Kind="Housing")*Cap_Ln))</x:f>
        <x:v>12514.86067705494</x:v>
      </x:c>
      <x:c r="M685" s="10" t="n">
        <x:f>INDEX(tun_GroupCap,G685)*tun_CohesionFactor*EXP(tun_CapsByProject*SUMPRODUCT((Cap_Point&lt;=I685)*(Cap_Kind="Group")*Cap_Ln))</x:f>
        <x:v>1000000.000000001</x:v>
      </x:c>
      <x:c r="N685" s="32" t="n">
        <x:f>MIN(J685,L685,M685)</x:f>
        <x:v>12514.86067705494</x:v>
      </x:c>
      <x:c r="O685" s="10" t="n">
        <x:f>AE684*N685</x:f>
        <x:v>112633.74609349445</x:v>
      </x:c>
      <x:c r="P685" s="9" t="n">
        <x:f>MIN(1,(AB684/(AE684*IF(tun_GroupInCrowding=1,N685,MIN(J685,L685))))^tun_CrowdingExp)</x:f>
        <x:v>0.7382382834287292</x:v>
      </x:c>
      <x:c r="Q685" s="9" t="n">
        <x:f>IF(D685=1,INDEX(tun_WinterMult,G685),1)</x:f>
        <x:v>1</x:v>
      </x:c>
      <x:c r="R685" s="9" t="n">
        <x:f>H685*Z684*tun_WomenShare*tun_BaseFertility*INDEX(tun_FertMult,G685)*Arch_Fertility*(1-P685)</x:f>
        <x:v>295.9730170885358</x:v>
      </x:c>
      <x:c r="S685" s="9" t="n">
        <x:f>H685*Y684*INDEX(tun_MortChild,G685)/4*Q685</x:f>
        <x:v>6.333186079691012</x:v>
      </x:c>
      <x:c r="T685" s="9" t="n">
        <x:f>H685*Z684*INDEX(tun_MortAdult,G685)*Arch_AdultMort/4*Q685</x:f>
        <x:v>18.637851897363504</x:v>
      </x:c>
      <x:c r="U685" s="9" t="n">
        <x:f>H685*AA684*INDEX(tun_MortElder,G685)/4*Q685</x:f>
        <x:v>197.30131134593248</x:v>
      </x:c>
      <x:c r="V685" s="9" t="n">
        <x:f>H685*MAX(0,AB684-O685)*tun_OvercapLoss</x:f>
        <x:v>0</x:v>
      </x:c>
      <x:c r="W685" s="9" t="n">
        <x:f>H685*Y684/(tun_ChildYears*4)</x:f>
        <x:v>502.6338158484931</x:v>
      </x:c>
      <x:c r="X685" s="9" t="n">
        <x:f>H685*Z684/(tun_AdultYears*4)</x:f>
        <x:v>400.81401929813984</x:v>
      </x:c>
      <x:c r="Y685" s="32" t="n">
        <x:f>Y684+R685-S685-W685-Y684*V685/AB684</x:f>
        <x:v>27934.499702675963</x:v>
      </x:c>
      <x:c r="Z685" s="32" t="n">
        <x:f>Z684+W685-X685-T685-Z684*V685/AB684</x:f>
        <x:v>49784.120337622335</x:v>
      </x:c>
      <x:c r="AA685" s="32" t="n">
        <x:f>AA684+X685-U685-AA684*V685/AB684</x:f>
        <x:v>29433.336611053317</x:v>
      </x:c>
      <x:c r="AB685" s="10" t="n">
        <x:f>Y685+Z685+AA685</x:f>
        <x:v>107151.95665135162</x:v>
      </x:c>
      <x:c r="AC685" s="8" t="n">
        <x:f>IF(AND(tun_WinterTrigger=1,D685=1,AB684/AE684&gt;=K685),1,0)</x:f>
        <x:v>0</x:v>
      </x:c>
      <x:c r="AD685" s="8" t="n">
        <x:f>H685*IF(AND(OR(AB684/AE684&gt;=tun_FissionTrigger*N685,AC685=1),AB684/AE684*tun_DaughterShare&gt;=tun_MinDaughter),MAX(1,ROUND(AE684*tun_FissionRate,0)),0)</x:f>
        <x:v>3</x:v>
      </x:c>
      <x:c r="AE685" s="8" t="n">
        <x:f>IF(H685=1,MAX(1,MIN(INDEX(tun_Smax,G685),AE684+AD685)),AE684)</x:f>
        <x:v>9</x:v>
      </x:c>
      <x:c r="AF685" s="8" t="n">
        <x:f>MAX(0,AE685-AE684)</x:f>
        <x:v>0</x:v>
      </x:c>
      <x:c r="AG685" s="9" t="str">
        <x:f>IF(AF685&gt;0,B685,"")</x:f>
      </x:c>
      <x:c r="AH685" s="9" t="n">
        <x:f>IF(F685&gt;=1,1,(1+tun_LowTiesShare*(AE685-1))/AE685)</x:f>
        <x:v>1</x:v>
      </x:c>
      <x:c r="AI685" s="32" t="n">
        <x:f>(Z685+tun_ElderCommons*INDEX(LM_Elder,G685)*AA685)*AH685</x:f>
        <x:v>165546.40984578428</x:v>
      </x:c>
      <x:c r="AJ685" s="32" t="n">
        <x:f>H685*tun_CommonsCoef*AI685^tun_CommonsExp*INDEX(LM_Commons,G685)</x:f>
        <x:v>586235.1301094075</x:v>
      </x:c>
      <x:c r="AK685" s="32" t="n">
        <x:f>H685*tun_RoleScale*Arch_Roles*(AE685*(INDEX(tun_ElderRolePerSett,G685)*tun_OutElder*INDEX(LM_Elder,G685)+INDEX(tun_ShamanPerSett,G685)*tun_OutShaman)+Z685*(INDEX(tun_PriestShare,G685)*tun_OutPriest+INDEX(tun_ScribeShare,G685)*tun_OutScribe*INDEX(LM_Scribe,G685)+INDEX(tun_ScholarShare,G685)*tun_OutScholar*INDEX(LM_Scholar,G685)+INDEX(tun_ResearcherShare,G685)*tun_OutResearcher*INDEX(LM_Researcher,G685)))</x:f>
        <x:v>179545.6241965089</x:v>
      </x:c>
      <x:c r="AL685" s="32" t="n">
        <x:f>H685*tun_RoleScale*Arch_Roles*AE685*INDEX(tun_MonasteryPerSett,G685)*tun_OutMonastery*INDEX(LM_Monastery,G685)</x:f>
        <x:v>15.840000000000002</x:v>
      </x:c>
      <x:c r="AM685" s="32" t="n">
        <x:f>(AJ685+AK685+AL685)/4*INDEX(LM_All,G685)*INDEX(tun_Boon,G685)*Arch_Insight</x:f>
        <x:v>663158.7307179781</x:v>
      </x:c>
      <x:c r="AN685" s="32" t="n">
        <x:f>H685*(tun_KHPerAdult*Z685+tun_KHOfCommons*AJ685/4*INDEX(LM_All,G685))*tun_KHUsable*Arch_KH</x:f>
        <x:v>99592.62900236507</x:v>
      </x:c>
      <x:c r="AO685" s="32" t="n">
        <x:f>MIN(AP684+AN685,AM685*tun_KHMaxRatio)</x:f>
        <x:v>99592.62900236507</x:v>
      </x:c>
      <x:c r="AP685" s="32" t="n">
        <x:f>AP684+AN685-AO685</x:f>
        <x:v>0</x:v>
      </x:c>
      <x:c r="AQ685" s="32" t="n">
        <x:f>AM685+AO685</x:f>
        <x:v>762751.3597203431</x:v>
      </x:c>
      <x:c r="AR685" s="10" t="n">
        <x:f>IF(H685=1,INDEX(tun_Req,G685),0)</x:f>
        <x:v>125406521.7009086</x:v>
      </x:c>
      <x:c r="AS685" s="32" t="n">
        <x:f>IF(H685=1,IF(E685=1,AS684-AR684,AS684)+AQ685,0)</x:f>
        <x:v>38399521.336894125</x:v>
      </x:c>
      <x:c r="AT685" s="11" t="n">
        <x:f>IF(AR685&gt;0,MIN(1,AS685/AR685),1)</x:f>
        <x:v>0.30620035398538537</x:v>
      </x:c>
      <x:c r="AU685" s="10" t="n">
        <x:f>AB685/INDEX(tun_RepScale,G685)</x:f>
        <x:v>214.30391330270325</x:v>
      </x:c>
      <x:c r="AV685" s="32" t="n">
        <x:f>AM685*60/tun_SeasonSeconds</x:f>
        <x:v>2652634.9228719124</x:v>
      </x:c>
    </x:row>
    <x:row r="686">
      <x:c r="A686" s="8" t="n">
        <x:f>A685+1</x:f>
        <x:v>683</x:v>
      </x:c>
      <x:c r="B686" s="9" t="n">
        <x:f>A686*tun_SeasonSeconds/60</x:f>
        <x:v>170.75</x:v>
      </x:c>
      <x:c r="C686" s="9" t="n">
        <x:f>A686/4</x:f>
        <x:v>170.75</x:v>
      </x:c>
      <x:c r="D686" s="8" t="n">
        <x:f>IF(MOD(A686,4)=0,1,0)</x:f>
        <x:v>0</x:v>
      </x:c>
      <x:c r="E686" s="8" t="n">
        <x:f>IF(AND(F685&lt;=9,AS685&gt;=AR685),1,0)</x:f>
        <x:v>0</x:v>
      </x:c>
      <x:c r="F686" s="8" t="n">
        <x:f>MIN(10,F685+E686)</x:f>
        <x:v>9</x:v>
      </x:c>
      <x:c r="G686" s="8" t="n">
        <x:f>MIN(F686,9)+1</x:f>
        <x:v>10</x:v>
      </x:c>
      <x:c r="H686" s="8" t="n">
        <x:f>IF(F686&lt;=9,1,0)</x:f>
        <x:v>1</x:v>
      </x:c>
      <x:c r="I686" s="9" t="n">
        <x:f>MIN(10,F685+IF(AR685&gt;0,MIN(1,AS685/AR685),1))</x:f>
        <x:v>9.306200353985385</x:v>
      </x:c>
      <x:c r="J686" s="32" t="n">
        <x:f>INDEX(tun_FoodCap,G686)*Arch_FoodCap*EXP(tun_CapsByProject*SUMPRODUCT((Cap_Point&lt;=I686)*(Cap_Kind="Food")*Cap_Ln))</x:f>
        <x:v>13863.877308233004</x:v>
      </x:c>
      <x:c r="K686" s="32" t="n">
        <x:f>J686*MIN(1,tun_LeanBase*EXP(tun_CapsByProject*SUMPRODUCT((Cap_Point&lt;=I686)*(Cap_Kind="Lean")*Cap_Ln)))</x:f>
        <x:v>13863.877308233004</x:v>
      </x:c>
      <x:c r="L686" s="10" t="n">
        <x:f>INDEX(tun_HousingCap,G686)*EXP(tun_CapsByProject*SUMPRODUCT((Cap_Point&lt;=I686)*(Cap_Kind="Housing")*Cap_Ln))</x:f>
        <x:v>12514.86067705494</x:v>
      </x:c>
      <x:c r="M686" s="10" t="n">
        <x:f>INDEX(tun_GroupCap,G686)*tun_CohesionFactor*EXP(tun_CapsByProject*SUMPRODUCT((Cap_Point&lt;=I686)*(Cap_Kind="Group")*Cap_Ln))</x:f>
        <x:v>1000000.000000001</x:v>
      </x:c>
      <x:c r="N686" s="32" t="n">
        <x:f>MIN(J686,L686,M686)</x:f>
        <x:v>12514.86067705494</x:v>
      </x:c>
      <x:c r="O686" s="10" t="n">
        <x:f>AE685*N686</x:f>
        <x:v>112633.74609349445</x:v>
      </x:c>
      <x:c r="P686" s="9" t="n">
        <x:f>MIN(1,(AB685/(AE685*IF(tun_GroupInCrowding=1,N686,MIN(J686,L686))))^tun_CrowdingExp)</x:f>
        <x:v>0.7412922571024965</x:v>
      </x:c>
      <x:c r="Q686" s="9" t="n">
        <x:f>IF(D686=1,INDEX(tun_WinterMult,G686),1)</x:f>
        <x:v>1</x:v>
      </x:c>
      <x:c r="R686" s="9" t="n">
        <x:f>H686*Z685*tun_WomenShare*tun_BaseFertility*INDEX(tun_FertMult,G686)*Arch_Fertility*(1-P686)</x:f>
        <x:v>293.00947595656044</x:v>
      </x:c>
      <x:c r="S686" s="9" t="n">
        <x:f>H686*Y685*INDEX(tun_MortChild,G686)/4*Q686</x:f>
        <x:v>6.285262433102091</x:v>
      </x:c>
      <x:c r="T686" s="9" t="n">
        <x:f>H686*Z685*INDEX(tun_MortAdult,G686)*Arch_AdultMort/4*Q686</x:f>
        <x:v>18.669045126608378</x:v>
      </x:c>
      <x:c r="U686" s="9" t="n">
        <x:f>H686*AA685*INDEX(tun_MortElder,G686)/4*Q686</x:f>
        <x:v>198.67502212460988</x:v>
      </x:c>
      <x:c r="V686" s="9" t="n">
        <x:f>H686*MAX(0,AB685-O686)*tun_OvercapLoss</x:f>
        <x:v>0</x:v>
      </x:c>
      <x:c r="W686" s="9" t="n">
        <x:f>H686*Y685/(tun_ChildYears*4)</x:f>
        <x:v>498.8303518334993</x:v>
      </x:c>
      <x:c r="X686" s="9" t="n">
        <x:f>H686*Z685/(tun_AdultYears*4)</x:f>
        <x:v>401.4848414324382</x:v>
      </x:c>
      <x:c r="Y686" s="32" t="n">
        <x:f>Y685+R686-S686-W686-Y685*V686/AB685</x:f>
        <x:v>27722.393564365924</x:v>
      </x:c>
      <x:c r="Z686" s="32" t="n">
        <x:f>Z685+W686-X686-T686-Z685*V686/AB685</x:f>
        <x:v>49862.79680289679</x:v>
      </x:c>
      <x:c r="AA686" s="32" t="n">
        <x:f>AA685+X686-U686-AA685*V686/AB685</x:f>
        <x:v>29636.146430361143</x:v>
      </x:c>
      <x:c r="AB686" s="10" t="n">
        <x:f>Y686+Z686+AA686</x:f>
        <x:v>107221.33679762385</x:v>
      </x:c>
      <x:c r="AC686" s="8" t="n">
        <x:f>IF(AND(tun_WinterTrigger=1,D686=1,AB685/AE685&gt;=K686),1,0)</x:f>
        <x:v>0</x:v>
      </x:c>
      <x:c r="AD686" s="8" t="n">
        <x:f>H686*IF(AND(OR(AB685/AE685&gt;=tun_FissionTrigger*N686,AC686=1),AB685/AE685*tun_DaughterShare&gt;=tun_MinDaughter),MAX(1,ROUND(AE685*tun_FissionRate,0)),0)</x:f>
        <x:v>3</x:v>
      </x:c>
      <x:c r="AE686" s="8" t="n">
        <x:f>IF(H686=1,MAX(1,MIN(INDEX(tun_Smax,G686),AE685+AD686)),AE685)</x:f>
        <x:v>9</x:v>
      </x:c>
      <x:c r="AF686" s="8" t="n">
        <x:f>MAX(0,AE686-AE685)</x:f>
        <x:v>0</x:v>
      </x:c>
      <x:c r="AG686" s="9" t="str">
        <x:f>IF(AF686&gt;0,B686,"")</x:f>
      </x:c>
      <x:c r="AH686" s="9" t="n">
        <x:f>IF(F686&gt;=1,1,(1+tun_LowTiesShare*(AE686-1))/AE686)</x:f>
        <x:v>1</x:v>
      </x:c>
      <x:c r="AI686" s="32" t="n">
        <x:f>(Z686+tun_ElderCommons*INDEX(LM_Elder,G686)*AA686)*AH686</x:f>
        <x:v>166422.7440597556</x:v>
      </x:c>
      <x:c r="AJ686" s="32" t="n">
        <x:f>H686*tun_CommonsCoef*AI686^tun_CommonsExp*INDEX(LM_Commons,G686)</x:f>
        <x:v>588871.8783102571</x:v>
      </x:c>
      <x:c r="AK686" s="32" t="n">
        <x:f>H686*tun_RoleScale*Arch_Roles*(AE686*(INDEX(tun_ElderRolePerSett,G686)*tun_OutElder*INDEX(LM_Elder,G686)+INDEX(tun_ShamanPerSett,G686)*tun_OutShaman)+Z686*(INDEX(tun_PriestShare,G686)*tun_OutPriest+INDEX(tun_ScribeShare,G686)*tun_OutScribe*INDEX(LM_Scribe,G686)+INDEX(tun_ScholarShare,G686)*tun_OutScholar*INDEX(LM_Scholar,G686)+INDEX(tun_ResearcherShare,G686)*tun_OutResearcher*INDEX(LM_Researcher,G686)))</x:f>
        <x:v>179828.9751561325</x:v>
      </x:c>
      <x:c r="AL686" s="32" t="n">
        <x:f>H686*tun_RoleScale*Arch_Roles*AE686*INDEX(tun_MonasteryPerSett,G686)*tun_OutMonastery*INDEX(LM_Monastery,G686)</x:f>
        <x:v>15.840000000000002</x:v>
      </x:c>
      <x:c r="AM686" s="32" t="n">
        <x:f>(AJ686+AK686+AL686)/4*INDEX(LM_All,G686)*INDEX(tun_Boon,G686)*Arch_Insight</x:f>
        <x:v>665687.4560573552</x:v>
      </x:c>
      <x:c r="AN686" s="32" t="n">
        <x:f>H686*(tun_KHPerAdult*Z686+tun_KHOfCommons*AJ686/4*INDEX(LM_All,G686))*tun_KHUsable*Arch_KH</x:f>
        <x:v>100040.573302958</x:v>
      </x:c>
      <x:c r="AO686" s="32" t="n">
        <x:f>MIN(AP685+AN686,AM686*tun_KHMaxRatio)</x:f>
        <x:v>100040.573302958</x:v>
      </x:c>
      <x:c r="AP686" s="32" t="n">
        <x:f>AP685+AN686-AO686</x:f>
        <x:v>0</x:v>
      </x:c>
      <x:c r="AQ686" s="32" t="n">
        <x:f>AM686+AO686</x:f>
        <x:v>765728.0293603132</x:v>
      </x:c>
      <x:c r="AR686" s="10" t="n">
        <x:f>IF(H686=1,INDEX(tun_Req,G686),0)</x:f>
        <x:v>125406521.7009086</x:v>
      </x:c>
      <x:c r="AS686" s="32" t="n">
        <x:f>IF(H686=1,IF(E686=1,AS685-AR685,AS685)+AQ686,0)</x:f>
        <x:v>39165249.36625444</x:v>
      </x:c>
      <x:c r="AT686" s="11" t="n">
        <x:f>IF(AR686&gt;0,MIN(1,AS686/AR686),1)</x:f>
        <x:v>0.312306320556937</x:v>
      </x:c>
      <x:c r="AU686" s="10" t="n">
        <x:f>AB686/INDEX(tun_RepScale,G686)</x:f>
        <x:v>214.4426735952477</x:v>
      </x:c>
      <x:c r="AV686" s="32" t="n">
        <x:f>AM686*60/tun_SeasonSeconds</x:f>
        <x:v>2662749.8242294206</x:v>
      </x:c>
    </x:row>
    <x:row r="687">
      <x:c r="A687" s="8" t="n">
        <x:f>A686+1</x:f>
        <x:v>684</x:v>
      </x:c>
      <x:c r="B687" s="9" t="n">
        <x:f>A687*tun_SeasonSeconds/60</x:f>
        <x:v>171</x:v>
      </x:c>
      <x:c r="C687" s="9" t="n">
        <x:f>A687/4</x:f>
        <x:v>171</x:v>
      </x:c>
      <x:c r="D687" s="8" t="n">
        <x:f>IF(MOD(A687,4)=0,1,0)</x:f>
        <x:v>1</x:v>
      </x:c>
      <x:c r="E687" s="8" t="n">
        <x:f>IF(AND(F686&lt;=9,AS686&gt;=AR686),1,0)</x:f>
        <x:v>0</x:v>
      </x:c>
      <x:c r="F687" s="8" t="n">
        <x:f>MIN(10,F686+E687)</x:f>
        <x:v>9</x:v>
      </x:c>
      <x:c r="G687" s="8" t="n">
        <x:f>MIN(F687,9)+1</x:f>
        <x:v>10</x:v>
      </x:c>
      <x:c r="H687" s="8" t="n">
        <x:f>IF(F687&lt;=9,1,0)</x:f>
        <x:v>1</x:v>
      </x:c>
      <x:c r="I687" s="9" t="n">
        <x:f>MIN(10,F686+IF(AR686&gt;0,MIN(1,AS686/AR686),1))</x:f>
        <x:v>9.312306320556937</x:v>
      </x:c>
      <x:c r="J687" s="32" t="n">
        <x:f>INDEX(tun_FoodCap,G687)*Arch_FoodCap*EXP(tun_CapsByProject*SUMPRODUCT((Cap_Point&lt;=I687)*(Cap_Kind="Food")*Cap_Ln))</x:f>
        <x:v>13863.877308233004</x:v>
      </x:c>
      <x:c r="K687" s="32" t="n">
        <x:f>J687*MIN(1,tun_LeanBase*EXP(tun_CapsByProject*SUMPRODUCT((Cap_Point&lt;=I687)*(Cap_Kind="Lean")*Cap_Ln)))</x:f>
        <x:v>13863.877308233004</x:v>
      </x:c>
      <x:c r="L687" s="10" t="n">
        <x:f>INDEX(tun_HousingCap,G687)*EXP(tun_CapsByProject*SUMPRODUCT((Cap_Point&lt;=I687)*(Cap_Kind="Housing")*Cap_Ln))</x:f>
        <x:v>12514.86067705494</x:v>
      </x:c>
      <x:c r="M687" s="10" t="n">
        <x:f>INDEX(tun_GroupCap,G687)*tun_CohesionFactor*EXP(tun_CapsByProject*SUMPRODUCT((Cap_Point&lt;=I687)*(Cap_Kind="Group")*Cap_Ln))</x:f>
        <x:v>1000000.000000001</x:v>
      </x:c>
      <x:c r="N687" s="32" t="n">
        <x:f>MIN(J687,L687,M687)</x:f>
        <x:v>12514.86067705494</x:v>
      </x:c>
      <x:c r="O687" s="10" t="n">
        <x:f>AE686*N687</x:f>
        <x:v>112633.74609349445</x:v>
      </x:c>
      <x:c r="P687" s="9" t="n">
        <x:f>MIN(1,(AB686/(AE686*IF(tun_GroupInCrowding=1,N687,MIN(J687,L687))))^tun_CrowdingExp)</x:f>
        <x:v>0.7441768123674242</x:v>
      </x:c>
      <x:c r="Q687" s="9" t="n">
        <x:f>IF(D687=1,INDEX(tun_WinterMult,G687),1)</x:f>
        <x:v>1.05</x:v>
      </x:c>
      <x:c r="R687" s="9" t="n">
        <x:f>H687*Z686*tun_WomenShare*tun_BaseFertility*INDEX(tun_FertMult,G687)*Arch_Fertility*(1-P687)</x:f>
        <x:v>290.20035640942865</x:v>
      </x:c>
      <x:c r="S687" s="9" t="n">
        <x:f>H687*Y686*INDEX(tun_MortChild,G687)/4*Q687</x:f>
        <x:v>6.54941547958145</x:v>
      </x:c>
      <x:c r="T687" s="9" t="n">
        <x:f>H687*Z686*INDEX(tun_MortAdult,G687)*Arch_AdultMort/4*Q687</x:f>
        <x:v>19.633476241140613</x:v>
      </x:c>
      <x:c r="U687" s="9" t="n">
        <x:f>H687*AA686*INDEX(tun_MortElder,G687)/4*Q687</x:f>
        <x:v>210.0461878251846</x:v>
      </x:c>
      <x:c r="V687" s="9" t="n">
        <x:f>H687*MAX(0,AB686-O687)*tun_OvercapLoss</x:f>
        <x:v>0</x:v>
      </x:c>
      <x:c r="W687" s="9" t="n">
        <x:f>H687*Y686/(tun_ChildYears*4)</x:f>
        <x:v>495.04274222082006</x:v>
      </x:c>
      <x:c r="X687" s="9" t="n">
        <x:f>H687*Z686/(tun_AdultYears*4)</x:f>
        <x:v>402.11932905561923</x:v>
      </x:c>
      <x:c r="Y687" s="32" t="n">
        <x:f>Y686+R687-S687-W687-Y686*V687/AB686</x:f>
        <x:v>27511.001763074953</x:v>
      </x:c>
      <x:c r="Z687" s="32" t="n">
        <x:f>Z686+W687-X687-T687-Z686*V687/AB686</x:f>
        <x:v>49936.08673982085</x:v>
      </x:c>
      <x:c r="AA687" s="32" t="n">
        <x:f>AA686+X687-U687-AA686*V687/AB686</x:f>
        <x:v>29828.219571591577</x:v>
      </x:c>
      <x:c r="AB687" s="10" t="n">
        <x:f>Y687+Z687+AA687</x:f>
        <x:v>107275.30807448737</x:v>
      </x:c>
      <x:c r="AC687" s="8" t="n">
        <x:f>IF(AND(tun_WinterTrigger=1,D687=1,AB686/AE686&gt;=K687),1,0)</x:f>
        <x:v>0</x:v>
      </x:c>
      <x:c r="AD687" s="8" t="n">
        <x:f>H687*IF(AND(OR(AB686/AE686&gt;=tun_FissionTrigger*N687,AC687=1),AB686/AE686*tun_DaughterShare&gt;=tun_MinDaughter),MAX(1,ROUND(AE686*tun_FissionRate,0)),0)</x:f>
        <x:v>3</x:v>
      </x:c>
      <x:c r="AE687" s="8" t="n">
        <x:f>IF(H687=1,MAX(1,MIN(INDEX(tun_Smax,G687),AE686+AD687)),AE686)</x:f>
        <x:v>9</x:v>
      </x:c>
      <x:c r="AF687" s="8" t="n">
        <x:f>MAX(0,AE687-AE686)</x:f>
        <x:v>0</x:v>
      </x:c>
      <x:c r="AG687" s="9" t="str">
        <x:f>IF(AF687&gt;0,B687,"")</x:f>
      </x:c>
      <x:c r="AH687" s="9" t="n">
        <x:f>IF(F687&gt;=1,1,(1+tun_LowTiesShare*(AE687-1))/AE687)</x:f>
        <x:v>1</x:v>
      </x:c>
      <x:c r="AI687" s="32" t="n">
        <x:f>(Z687+tun_ElderCommons*INDEX(LM_Elder,G687)*AA687)*AH687</x:f>
        <x:v>167251.46403424838</x:v>
      </x:c>
      <x:c r="AJ687" s="32" t="n">
        <x:f>H687*tun_CommonsCoef*AI687^tun_CommonsExp*INDEX(LM_Commons,G687)</x:f>
        <x:v>591363.4474963874</x:v>
      </x:c>
      <x:c r="AK687" s="32" t="n">
        <x:f>H687*tun_RoleScale*Arch_Roles*(AE687*(INDEX(tun_ElderRolePerSett,G687)*tun_OutElder*INDEX(LM_Elder,G687)+INDEX(tun_ShamanPerSett,G687)*tun_OutShaman)+Z687*(INDEX(tun_PriestShare,G687)*tun_OutPriest+INDEX(tun_ScribeShare,G687)*tun_OutScribe*INDEX(LM_Scribe,G687)+INDEX(tun_ScholarShare,G687)*tun_OutScholar*INDEX(LM_Scholar,G687)+INDEX(tun_ResearcherShare,G687)*tun_OutResearcher*INDEX(LM_Researcher,G687)))</x:f>
        <x:v>180092.92669342825</x:v>
      </x:c>
      <x:c r="AL687" s="32" t="n">
        <x:f>H687*tun_RoleScale*Arch_Roles*AE687*INDEX(tun_MonasteryPerSett,G687)*tun_OutMonastery*INDEX(LM_Monastery,G687)</x:f>
        <x:v>15.840000000000002</x:v>
      </x:c>
      <x:c r="AM687" s="32" t="n">
        <x:f>(AJ687+AK687+AL687)/4*INDEX(LM_All,G687)*INDEX(tun_Boon,G687)*Arch_Insight</x:f>
        <x:v>668073.6610091684</x:v>
      </x:c>
      <x:c r="AN687" s="32" t="n">
        <x:f>H687*(tun_KHPerAdult*Z687+tun_KHOfCommons*AJ687/4*INDEX(LM_All,G687))*tun_KHUsable*Arch_KH</x:f>
        <x:v>100463.8538483284</x:v>
      </x:c>
      <x:c r="AO687" s="32" t="n">
        <x:f>MIN(AP686+AN687,AM687*tun_KHMaxRatio)</x:f>
        <x:v>100463.8538483284</x:v>
      </x:c>
      <x:c r="AP687" s="32" t="n">
        <x:f>AP686+AN687-AO687</x:f>
        <x:v>0</x:v>
      </x:c>
      <x:c r="AQ687" s="32" t="n">
        <x:f>AM687+AO687</x:f>
        <x:v>768537.5148574968</x:v>
      </x:c>
      <x:c r="AR687" s="10" t="n">
        <x:f>IF(H687=1,INDEX(tun_Req,G687),0)</x:f>
        <x:v>125406521.7009086</x:v>
      </x:c>
      <x:c r="AS687" s="32" t="n">
        <x:f>IF(H687=1,IF(E687=1,AS686-AR686,AS686)+AQ687,0)</x:f>
        <x:v>39933786.881111935</x:v>
      </x:c>
      <x:c r="AT687" s="11" t="n">
        <x:f>IF(AR687&gt;0,MIN(1,AS687/AR687),1)</x:f>
        <x:v>0.318434690153938</x:v>
      </x:c>
      <x:c r="AU687" s="10" t="n">
        <x:f>AB687/INDEX(tun_RepScale,G687)</x:f>
        <x:v>214.55061614897474</x:v>
      </x:c>
      <x:c r="AV687" s="32" t="n">
        <x:f>AM687*60/tun_SeasonSeconds</x:f>
        <x:v>2672294.6440366735</x:v>
      </x:c>
    </x:row>
    <x:row r="688">
      <x:c r="A688" s="8" t="n">
        <x:f>A687+1</x:f>
        <x:v>685</x:v>
      </x:c>
      <x:c r="B688" s="9" t="n">
        <x:f>A688*tun_SeasonSeconds/60</x:f>
        <x:v>171.25</x:v>
      </x:c>
      <x:c r="C688" s="9" t="n">
        <x:f>A688/4</x:f>
        <x:v>171.25</x:v>
      </x:c>
      <x:c r="D688" s="8" t="n">
        <x:f>IF(MOD(A688,4)=0,1,0)</x:f>
        <x:v>0</x:v>
      </x:c>
      <x:c r="E688" s="8" t="n">
        <x:f>IF(AND(F687&lt;=9,AS687&gt;=AR687),1,0)</x:f>
        <x:v>0</x:v>
      </x:c>
      <x:c r="F688" s="8" t="n">
        <x:f>MIN(10,F687+E688)</x:f>
        <x:v>9</x:v>
      </x:c>
      <x:c r="G688" s="8" t="n">
        <x:f>MIN(F688,9)+1</x:f>
        <x:v>10</x:v>
      </x:c>
      <x:c r="H688" s="8" t="n">
        <x:f>IF(F688&lt;=9,1,0)</x:f>
        <x:v>1</x:v>
      </x:c>
      <x:c r="I688" s="9" t="n">
        <x:f>MIN(10,F687+IF(AR687&gt;0,MIN(1,AS687/AR687),1))</x:f>
        <x:v>9.318434690153937</x:v>
      </x:c>
      <x:c r="J688" s="32" t="n">
        <x:f>INDEX(tun_FoodCap,G688)*Arch_FoodCap*EXP(tun_CapsByProject*SUMPRODUCT((Cap_Point&lt;=I688)*(Cap_Kind="Food")*Cap_Ln))</x:f>
        <x:v>13863.877308233004</x:v>
      </x:c>
      <x:c r="K688" s="32" t="n">
        <x:f>J688*MIN(1,tun_LeanBase*EXP(tun_CapsByProject*SUMPRODUCT((Cap_Point&lt;=I688)*(Cap_Kind="Lean")*Cap_Ln)))</x:f>
        <x:v>13863.877308233004</x:v>
      </x:c>
      <x:c r="L688" s="10" t="n">
        <x:f>INDEX(tun_HousingCap,G688)*EXP(tun_CapsByProject*SUMPRODUCT((Cap_Point&lt;=I688)*(Cap_Kind="Housing")*Cap_Ln))</x:f>
        <x:v>12514.86067705494</x:v>
      </x:c>
      <x:c r="M688" s="10" t="n">
        <x:f>INDEX(tun_GroupCap,G688)*tun_CohesionFactor*EXP(tun_CapsByProject*SUMPRODUCT((Cap_Point&lt;=I688)*(Cap_Kind="Group")*Cap_Ln))</x:f>
        <x:v>1000000.000000001</x:v>
      </x:c>
      <x:c r="N688" s="32" t="n">
        <x:f>MIN(J688,L688,M688)</x:f>
        <x:v>12514.86067705494</x:v>
      </x:c>
      <x:c r="O688" s="10" t="n">
        <x:f>AE687*N688</x:f>
        <x:v>112633.74609349445</x:v>
      </x:c>
      <x:c r="P688" s="9" t="n">
        <x:f>MIN(1,(AB687/(AE687*IF(tun_GroupInCrowding=1,N688,MIN(J688,L688))))^tun_CrowdingExp)</x:f>
        <x:v>0.7464271899972551</x:v>
      </x:c>
      <x:c r="Q688" s="9" t="n">
        <x:f>IF(D688=1,INDEX(tun_WinterMult,G688),1)</x:f>
        <x:v>1</x:v>
      </x:c>
      <x:c r="R688" s="9" t="n">
        <x:f>H688*Z687*tun_WomenShare*tun_BaseFertility*INDEX(tun_FertMult,G688)*Arch_Fertility*(1-P688)</x:f>
        <x:v>288.07036974982583</x:v>
      </x:c>
      <x:c r="S688" s="9" t="n">
        <x:f>H688*Y687*INDEX(tun_MortChild,G688)/4*Q688</x:f>
        <x:v>6.189975396691865</x:v>
      </x:c>
      <x:c r="T688" s="9" t="n">
        <x:f>H688*Z687*INDEX(tun_MortAdult,G688)*Arch_AdultMort/4*Q688</x:f>
        <x:v>18.72603252743282</x:v>
      </x:c>
      <x:c r="U688" s="9" t="n">
        <x:f>H688*AA687*INDEX(tun_MortElder,G688)/4*Q688</x:f>
        <x:v>201.34048210824315</x:v>
      </x:c>
      <x:c r="V688" s="9" t="n">
        <x:f>H688*MAX(0,AB687-O688)*tun_OvercapLoss</x:f>
        <x:v>0</x:v>
      </x:c>
      <x:c r="W688" s="9" t="n">
        <x:f>H688*Y687/(tun_ChildYears*4)</x:f>
        <x:v>491.26788862633845</x:v>
      </x:c>
      <x:c r="X688" s="9" t="n">
        <x:f>H688*Z687/(tun_AdultYears*4)</x:f>
        <x:v>402.7103769340391</x:v>
      </x:c>
      <x:c r="Y688" s="32" t="n">
        <x:f>Y687+R688-S688-W688-Y687*V688/AB687</x:f>
        <x:v>27301.614268801746</x:v>
      </x:c>
      <x:c r="Z688" s="32" t="n">
        <x:f>Z687+W688-X688-T688-Z687*V688/AB687</x:f>
        <x:v>50005.91821898572</x:v>
      </x:c>
      <x:c r="AA688" s="32" t="n">
        <x:f>AA687+X688-U688-AA687*V688/AB687</x:f>
        <x:v>30029.589466417372</x:v>
      </x:c>
      <x:c r="AB688" s="10" t="n">
        <x:f>Y688+Z688+AA688</x:f>
        <x:v>107337.12195420483</x:v>
      </x:c>
      <x:c r="AC688" s="8" t="n">
        <x:f>IF(AND(tun_WinterTrigger=1,D688=1,AB687/AE687&gt;=K688),1,0)</x:f>
        <x:v>0</x:v>
      </x:c>
      <x:c r="AD688" s="8" t="n">
        <x:f>H688*IF(AND(OR(AB687/AE687&gt;=tun_FissionTrigger*N688,AC688=1),AB687/AE687*tun_DaughterShare&gt;=tun_MinDaughter),MAX(1,ROUND(AE687*tun_FissionRate,0)),0)</x:f>
        <x:v>3</x:v>
      </x:c>
      <x:c r="AE688" s="8" t="n">
        <x:f>IF(H688=1,MAX(1,MIN(INDEX(tun_Smax,G688),AE687+AD688)),AE687)</x:f>
        <x:v>9</x:v>
      </x:c>
      <x:c r="AF688" s="8" t="n">
        <x:f>MAX(0,AE688-AE687)</x:f>
        <x:v>0</x:v>
      </x:c>
      <x:c r="AG688" s="9" t="str">
        <x:f>IF(AF688&gt;0,B688,"")</x:f>
      </x:c>
      <x:c r="AH688" s="9" t="n">
        <x:f>IF(F688&gt;=1,1,(1+tun_LowTiesShare*(AE688-1))/AE688)</x:f>
        <x:v>1</x:v>
      </x:c>
      <x:c r="AI688" s="32" t="n">
        <x:f>(Z688+tun_ElderCommons*INDEX(LM_Elder,G688)*AA688)*AH688</x:f>
        <x:v>168113.28999134467</x:v>
      </x:c>
      <x:c r="AJ688" s="32" t="n">
        <x:f>H688*tun_CommonsCoef*AI688^tun_CommonsExp*INDEX(LM_Commons,G688)</x:f>
        <x:v>593952.5873127624</x:v>
      </x:c>
      <x:c r="AK688" s="32" t="n">
        <x:f>H688*tun_RoleScale*Arch_Roles*(AE688*(INDEX(tun_ElderRolePerSett,G688)*tun_OutElder*INDEX(LM_Elder,G688)+INDEX(tun_ShamanPerSett,G688)*tun_OutShaman)+Z688*(INDEX(tun_PriestShare,G688)*tun_OutPriest+INDEX(tun_ScribeShare,G688)*tun_OutScribe*INDEX(LM_Scribe,G688)+INDEX(tun_ScholarShare,G688)*tun_OutScholar*INDEX(LM_Scholar,G688)+INDEX(tun_ResearcherShare,G688)*tun_OutResearcher*INDEX(LM_Researcher,G688)))</x:f>
        <x:v>180344.42269752905</x:v>
      </x:c>
      <x:c r="AL688" s="32" t="n">
        <x:f>H688*tun_RoleScale*Arch_Roles*AE688*INDEX(tun_MonasteryPerSett,G688)*tun_OutMonastery*INDEX(LM_Monastery,G688)</x:f>
        <x:v>15.840000000000002</x:v>
      </x:c>
      <x:c r="AM688" s="32" t="n">
        <x:f>(AJ688+AK688+AL688)/4*INDEX(LM_All,G688)*INDEX(tun_Boon,G688)*Arch_Insight</x:f>
        <x:v>670533.5732876319</x:v>
      </x:c>
      <x:c r="AN688" s="32" t="n">
        <x:f>H688*(tun_KHPerAdult*Z688+tun_KHOfCommons*AJ688/4*INDEX(LM_All,G688))*tun_KHUsable*Arch_KH</x:f>
        <x:v>100903.71019252151</x:v>
      </x:c>
      <x:c r="AO688" s="32" t="n">
        <x:f>MIN(AP687+AN688,AM688*tun_KHMaxRatio)</x:f>
        <x:v>100903.71019252151</x:v>
      </x:c>
      <x:c r="AP688" s="32" t="n">
        <x:f>AP687+AN688-AO688</x:f>
        <x:v>0</x:v>
      </x:c>
      <x:c r="AQ688" s="32" t="n">
        <x:f>AM688+AO688</x:f>
        <x:v>771437.2834801534</x:v>
      </x:c>
      <x:c r="AR688" s="10" t="n">
        <x:f>IF(H688=1,INDEX(tun_Req,G688),0)</x:f>
        <x:v>125406521.7009086</x:v>
      </x:c>
      <x:c r="AS688" s="32" t="n">
        <x:f>IF(H688=1,IF(E688=1,AS687-AR687,AS687)+AQ688,0)</x:f>
        <x:v>40705224.16459209</x:v>
      </x:c>
      <x:c r="AT688" s="11" t="n">
        <x:f>IF(AR688&gt;0,MIN(1,AS688/AR688),1)</x:f>
        <x:v>0.3245861827000754</x:v>
      </x:c>
      <x:c r="AU688" s="10" t="n">
        <x:f>AB688/INDEX(tun_RepScale,G688)</x:f>
        <x:v>214.67424390840966</x:v>
      </x:c>
      <x:c r="AV688" s="32" t="n">
        <x:f>AM688*60/tun_SeasonSeconds</x:f>
        <x:v>2682134.2931505274</x:v>
      </x:c>
    </x:row>
    <x:row r="689">
      <x:c r="A689" s="8" t="n">
        <x:f>A688+1</x:f>
        <x:v>686</x:v>
      </x:c>
      <x:c r="B689" s="9" t="n">
        <x:f>A689*tun_SeasonSeconds/60</x:f>
        <x:v>171.5</x:v>
      </x:c>
      <x:c r="C689" s="9" t="n">
        <x:f>A689/4</x:f>
        <x:v>171.5</x:v>
      </x:c>
      <x:c r="D689" s="8" t="n">
        <x:f>IF(MOD(A689,4)=0,1,0)</x:f>
        <x:v>0</x:v>
      </x:c>
      <x:c r="E689" s="8" t="n">
        <x:f>IF(AND(F688&lt;=9,AS688&gt;=AR688),1,0)</x:f>
        <x:v>0</x:v>
      </x:c>
      <x:c r="F689" s="8" t="n">
        <x:f>MIN(10,F688+E689)</x:f>
        <x:v>9</x:v>
      </x:c>
      <x:c r="G689" s="8" t="n">
        <x:f>MIN(F689,9)+1</x:f>
        <x:v>10</x:v>
      </x:c>
      <x:c r="H689" s="8" t="n">
        <x:f>IF(F689&lt;=9,1,0)</x:f>
        <x:v>1</x:v>
      </x:c>
      <x:c r="I689" s="9" t="n">
        <x:f>MIN(10,F688+IF(AR688&gt;0,MIN(1,AS688/AR688),1))</x:f>
        <x:v>9.324586182700076</x:v>
      </x:c>
      <x:c r="J689" s="32" t="n">
        <x:f>INDEX(tun_FoodCap,G689)*Arch_FoodCap*EXP(tun_CapsByProject*SUMPRODUCT((Cap_Point&lt;=I689)*(Cap_Kind="Food")*Cap_Ln))</x:f>
        <x:v>13863.877308233004</x:v>
      </x:c>
      <x:c r="K689" s="32" t="n">
        <x:f>J689*MIN(1,tun_LeanBase*EXP(tun_CapsByProject*SUMPRODUCT((Cap_Point&lt;=I689)*(Cap_Kind="Lean")*Cap_Ln)))</x:f>
        <x:v>13863.877308233004</x:v>
      </x:c>
      <x:c r="L689" s="10" t="n">
        <x:f>INDEX(tun_HousingCap,G689)*EXP(tun_CapsByProject*SUMPRODUCT((Cap_Point&lt;=I689)*(Cap_Kind="Housing")*Cap_Ln))</x:f>
        <x:v>12514.86067705494</x:v>
      </x:c>
      <x:c r="M689" s="10" t="n">
        <x:f>INDEX(tun_GroupCap,G689)*tun_CohesionFactor*EXP(tun_CapsByProject*SUMPRODUCT((Cap_Point&lt;=I689)*(Cap_Kind="Group")*Cap_Ln))</x:f>
        <x:v>1000000.000000001</x:v>
      </x:c>
      <x:c r="N689" s="32" t="n">
        <x:f>MIN(J689,L689,M689)</x:f>
        <x:v>12514.86067705494</x:v>
      </x:c>
      <x:c r="O689" s="10" t="n">
        <x:f>AE688*N689</x:f>
        <x:v>112633.74609349445</x:v>
      </x:c>
      <x:c r="P689" s="9" t="n">
        <x:f>MIN(1,(AB688/(AE688*IF(tun_GroupInCrowding=1,N689,MIN(J689,L689))))^tun_CrowdingExp)</x:f>
        <x:v>0.7490115355552468</x:v>
      </x:c>
      <x:c r="Q689" s="9" t="n">
        <x:f>IF(D689=1,INDEX(tun_WinterMult,G689),1)</x:f>
        <x:v>1</x:v>
      </x:c>
      <x:c r="R689" s="9" t="n">
        <x:f>H689*Z688*tun_WomenShare*tun_BaseFertility*INDEX(tun_FertMult,G689)*Arch_Fertility*(1-P689)</x:f>
        <x:v>285.53317126272873</x:v>
      </x:c>
      <x:c r="S689" s="9" t="n">
        <x:f>H689*Y688*INDEX(tun_MortChild,G689)/4*Q689</x:f>
        <x:v>6.142863210480392</x:v>
      </x:c>
      <x:c r="T689" s="9" t="n">
        <x:f>H689*Z688*INDEX(tun_MortAdult,G689)*Arch_AdultMort/4*Q689</x:f>
        <x:v>18.752219332119644</x:v>
      </x:c>
      <x:c r="U689" s="9" t="n">
        <x:f>H689*AA688*INDEX(tun_MortElder,G689)/4*Q689</x:f>
        <x:v>202.69972889831726</x:v>
      </x:c>
      <x:c r="V689" s="9" t="n">
        <x:f>H689*MAX(0,AB688-O689)*tun_OvercapLoss</x:f>
        <x:v>0</x:v>
      </x:c>
      <x:c r="W689" s="9" t="n">
        <x:f>H689*Y688/(tun_ChildYears*4)</x:f>
        <x:v>487.5288262286026</x:v>
      </x:c>
      <x:c r="X689" s="9" t="n">
        <x:f>H689*Z688/(tun_AdultYears*4)</x:f>
        <x:v>403.27353402407834</x:v>
      </x:c>
      <x:c r="Y689" s="32" t="n">
        <x:f>Y688+R689-S689-W689-Y688*V689/AB688</x:f>
        <x:v>27093.475750625395</x:v>
      </x:c>
      <x:c r="Z689" s="32" t="n">
        <x:f>Z688+W689-X689-T689-Z688*V689/AB688</x:f>
        <x:v>50071.421291858125</x:v>
      </x:c>
      <x:c r="AA689" s="32" t="n">
        <x:f>AA688+X689-U689-AA688*V689/AB688</x:f>
        <x:v>30230.163271543133</x:v>
      </x:c>
      <x:c r="AB689" s="10" t="n">
        <x:f>Y689+Z689+AA689</x:f>
        <x:v>107395.06031402666</x:v>
      </x:c>
      <x:c r="AC689" s="8" t="n">
        <x:f>IF(AND(tun_WinterTrigger=1,D689=1,AB688/AE688&gt;=K689),1,0)</x:f>
        <x:v>0</x:v>
      </x:c>
      <x:c r="AD689" s="8" t="n">
        <x:f>H689*IF(AND(OR(AB688/AE688&gt;=tun_FissionTrigger*N689,AC689=1),AB688/AE688*tun_DaughterShare&gt;=tun_MinDaughter),MAX(1,ROUND(AE688*tun_FissionRate,0)),0)</x:f>
        <x:v>3</x:v>
      </x:c>
      <x:c r="AE689" s="8" t="n">
        <x:f>IF(H689=1,MAX(1,MIN(INDEX(tun_Smax,G689),AE688+AD689)),AE688)</x:f>
        <x:v>9</x:v>
      </x:c>
      <x:c r="AF689" s="8" t="n">
        <x:f>MAX(0,AE689-AE688)</x:f>
        <x:v>0</x:v>
      </x:c>
      <x:c r="AG689" s="9" t="str">
        <x:f>IF(AF689&gt;0,B689,"")</x:f>
      </x:c>
      <x:c r="AH689" s="9" t="n">
        <x:f>IF(F689&gt;=1,1,(1+tun_LowTiesShare*(AE689-1))/AE689)</x:f>
        <x:v>1</x:v>
      </x:c>
      <x:c r="AI689" s="32" t="n">
        <x:f>(Z689+tun_ElderCommons*INDEX(LM_Elder,G689)*AA689)*AH689</x:f>
        <x:v>168967.65649494354</x:v>
      </x:c>
      <x:c r="AJ689" s="32" t="n">
        <x:f>H689*tun_CommonsCoef*AI689^tun_CommonsExp*INDEX(LM_Commons,G689)</x:f>
        <x:v>596517.3525921991</x:v>
      </x:c>
      <x:c r="AK689" s="32" t="n">
        <x:f>H689*tun_RoleScale*Arch_Roles*(AE689*(INDEX(tun_ElderRolePerSett,G689)*tun_OutElder*INDEX(LM_Elder,G689)+INDEX(tun_ShamanPerSett,G689)*tun_OutShaman)+Z689*(INDEX(tun_PriestShare,G689)*tun_OutPriest+INDEX(tun_ScribeShare,G689)*tun_OutScribe*INDEX(LM_Scribe,G689)+INDEX(tun_ScholarShare,G689)*tun_OutScholar*INDEX(LM_Scholar,G689)+INDEX(tun_ResearcherShare,G689)*tun_OutResearcher*INDEX(LM_Researcher,G689)))</x:f>
        <x:v>180580.33007455658</x:v>
      </x:c>
      <x:c r="AL689" s="32" t="n">
        <x:f>H689*tun_RoleScale*Arch_Roles*AE689*INDEX(tun_MonasteryPerSett,G689)*tun_OutMonastery*INDEX(LM_Monastery,G689)</x:f>
        <x:v>15.840000000000002</x:v>
      </x:c>
      <x:c r="AM689" s="32" t="n">
        <x:f>(AJ689+AK689+AL689)/4*INDEX(LM_All,G689)*INDEX(tun_Boon,G689)*Arch_Insight</x:f>
        <x:v>672958.8785682081</x:v>
      </x:c>
      <x:c r="AN689" s="32" t="n">
        <x:f>H689*(tun_KHPerAdult*Z689+tun_KHOfCommons*AJ689/4*INDEX(LM_All,G689))*tun_KHUsable*Arch_KH</x:f>
        <x:v>101339.42566543323</x:v>
      </x:c>
      <x:c r="AO689" s="32" t="n">
        <x:f>MIN(AP688+AN689,AM689*tun_KHMaxRatio)</x:f>
        <x:v>101339.42566543323</x:v>
      </x:c>
      <x:c r="AP689" s="32" t="n">
        <x:f>AP688+AN689-AO689</x:f>
        <x:v>0</x:v>
      </x:c>
      <x:c r="AQ689" s="32" t="n">
        <x:f>AM689+AO689</x:f>
        <x:v>774298.3042336414</x:v>
      </x:c>
      <x:c r="AR689" s="10" t="n">
        <x:f>IF(H689=1,INDEX(tun_Req,G689),0)</x:f>
        <x:v>125406521.7009086</x:v>
      </x:c>
      <x:c r="AS689" s="32" t="n">
        <x:f>IF(H689=1,IF(E689=1,AS688-AR688,AS688)+AQ689,0)</x:f>
        <x:v>41479522.46882573</x:v>
      </x:c>
      <x:c r="AT689" s="11" t="n">
        <x:f>IF(AR689&gt;0,MIN(1,AS689/AR689),1)</x:f>
        <x:v>0.33076048921724616</x:v>
      </x:c>
      <x:c r="AU689" s="10" t="n">
        <x:f>AB689/INDEX(tun_RepScale,G689)</x:f>
        <x:v>214.79012062805333</x:v>
      </x:c>
      <x:c r="AV689" s="32" t="n">
        <x:f>AM689*60/tun_SeasonSeconds</x:f>
        <x:v>2691835.5142728323</x:v>
      </x:c>
    </x:row>
    <x:row r="690">
      <x:c r="A690" s="8" t="n">
        <x:f>A689+1</x:f>
        <x:v>687</x:v>
      </x:c>
      <x:c r="B690" s="9" t="n">
        <x:f>A690*tun_SeasonSeconds/60</x:f>
        <x:v>171.75</x:v>
      </x:c>
      <x:c r="C690" s="9" t="n">
        <x:f>A690/4</x:f>
        <x:v>171.75</x:v>
      </x:c>
      <x:c r="D690" s="8" t="n">
        <x:f>IF(MOD(A690,4)=0,1,0)</x:f>
        <x:v>0</x:v>
      </x:c>
      <x:c r="E690" s="8" t="n">
        <x:f>IF(AND(F689&lt;=9,AS689&gt;=AR689),1,0)</x:f>
        <x:v>0</x:v>
      </x:c>
      <x:c r="F690" s="8" t="n">
        <x:f>MIN(10,F689+E690)</x:f>
        <x:v>9</x:v>
      </x:c>
      <x:c r="G690" s="8" t="n">
        <x:f>MIN(F690,9)+1</x:f>
        <x:v>10</x:v>
      </x:c>
      <x:c r="H690" s="8" t="n">
        <x:f>IF(F690&lt;=9,1,0)</x:f>
        <x:v>1</x:v>
      </x:c>
      <x:c r="I690" s="9" t="n">
        <x:f>MIN(10,F689+IF(AR689&gt;0,MIN(1,AS689/AR689),1))</x:f>
        <x:v>9.330760489217246</x:v>
      </x:c>
      <x:c r="J690" s="32" t="n">
        <x:f>INDEX(tun_FoodCap,G690)*Arch_FoodCap*EXP(tun_CapsByProject*SUMPRODUCT((Cap_Point&lt;=I690)*(Cap_Kind="Food")*Cap_Ln))</x:f>
        <x:v>13863.877308233004</x:v>
      </x:c>
      <x:c r="K690" s="32" t="n">
        <x:f>J690*MIN(1,tun_LeanBase*EXP(tun_CapsByProject*SUMPRODUCT((Cap_Point&lt;=I690)*(Cap_Kind="Lean")*Cap_Ln)))</x:f>
        <x:v>13863.877308233004</x:v>
      </x:c>
      <x:c r="L690" s="10" t="n">
        <x:f>INDEX(tun_HousingCap,G690)*EXP(tun_CapsByProject*SUMPRODUCT((Cap_Point&lt;=I690)*(Cap_Kind="Housing")*Cap_Ln))</x:f>
        <x:v>12514.86067705494</x:v>
      </x:c>
      <x:c r="M690" s="10" t="n">
        <x:f>INDEX(tun_GroupCap,G690)*tun_CohesionFactor*EXP(tun_CapsByProject*SUMPRODUCT((Cap_Point&lt;=I690)*(Cap_Kind="Group")*Cap_Ln))</x:f>
        <x:v>1000000.000000001</x:v>
      </x:c>
      <x:c r="N690" s="32" t="n">
        <x:f>MIN(J690,L690,M690)</x:f>
        <x:v>12514.86067705494</x:v>
      </x:c>
      <x:c r="O690" s="10" t="n">
        <x:f>AE689*N690</x:f>
        <x:v>112633.74609349445</x:v>
      </x:c>
      <x:c r="P690" s="9" t="n">
        <x:f>MIN(1,(AB689/(AE689*IF(tun_GroupInCrowding=1,N690,MIN(J690,L690))))^tun_CrowdingExp)</x:f>
        <x:v>0.7514406170825676</x:v>
      </x:c>
      <x:c r="Q690" s="9" t="n">
        <x:f>IF(D690=1,INDEX(tun_WinterMult,G690),1)</x:f>
        <x:v>1</x:v>
      </x:c>
      <x:c r="R690" s="9" t="n">
        <x:f>H690*Z689*tun_WomenShare*tun_BaseFertility*INDEX(tun_FertMult,G690)*Arch_Fertility*(1-P690)</x:f>
        <x:v>283.14016590184417</x:v>
      </x:c>
      <x:c r="S690" s="9" t="n">
        <x:f>H690*Y689*INDEX(tun_MortChild,G690)/4*Q690</x:f>
        <x:v>6.096032043890713</x:v>
      </x:c>
      <x:c r="T690" s="9" t="n">
        <x:f>H690*Z689*INDEX(tun_MortAdult,G690)*Arch_AdultMort/4*Q690</x:f>
        <x:v>18.776782984446797</x:v>
      </x:c>
      <x:c r="U690" s="9" t="n">
        <x:f>H690*AA689*INDEX(tun_MortElder,G690)/4*Q690</x:f>
        <x:v>204.05360208291614</x:v>
      </x:c>
      <x:c r="V690" s="9" t="n">
        <x:f>H690*MAX(0,AB689-O690)*tun_OvercapLoss</x:f>
        <x:v>0</x:v>
      </x:c>
      <x:c r="W690" s="9" t="n">
        <x:f>H690*Y689/(tun_ChildYears*4)</x:f>
        <x:v>483.8120669754535</x:v>
      </x:c>
      <x:c r="X690" s="9" t="n">
        <x:f>H690*Z689/(tun_AdultYears*4)</x:f>
        <x:v>403.80178461175905</x:v>
      </x:c>
      <x:c r="Y690" s="32" t="n">
        <x:f>Y689+R690-S690-W690-Y689*V690/AB689</x:f>
        <x:v>26886.707817507897</x:v>
      </x:c>
      <x:c r="Z690" s="32" t="n">
        <x:f>Z689+W690-X690-T690-Z689*V690/AB689</x:f>
        <x:v>50132.65479123737</x:v>
      </x:c>
      <x:c r="AA690" s="32" t="n">
        <x:f>AA689+X690-U690-AA689*V690/AB689</x:f>
        <x:v>30429.911454071975</x:v>
      </x:c>
      <x:c r="AB690" s="10" t="n">
        <x:f>Y690+Z690+AA690</x:f>
        <x:v>107449.27406281725</x:v>
      </x:c>
      <x:c r="AC690" s="8" t="n">
        <x:f>IF(AND(tun_WinterTrigger=1,D690=1,AB689/AE689&gt;=K690),1,0)</x:f>
        <x:v>0</x:v>
      </x:c>
      <x:c r="AD690" s="8" t="n">
        <x:f>H690*IF(AND(OR(AB689/AE689&gt;=tun_FissionTrigger*N690,AC690=1),AB689/AE689*tun_DaughterShare&gt;=tun_MinDaughter),MAX(1,ROUND(AE689*tun_FissionRate,0)),0)</x:f>
        <x:v>3</x:v>
      </x:c>
      <x:c r="AE690" s="8" t="n">
        <x:f>IF(H690=1,MAX(1,MIN(INDEX(tun_Smax,G690),AE689+AD690)),AE689)</x:f>
        <x:v>9</x:v>
      </x:c>
      <x:c r="AF690" s="8" t="n">
        <x:f>MAX(0,AE690-AE689)</x:f>
        <x:v>0</x:v>
      </x:c>
      <x:c r="AG690" s="9" t="str">
        <x:f>IF(AF690&gt;0,B690,"")</x:f>
      </x:c>
      <x:c r="AH690" s="9" t="n">
        <x:f>IF(F690&gt;=1,1,(1+tun_LowTiesShare*(AE690-1))/AE690)</x:f>
        <x:v>1</x:v>
      </x:c>
      <x:c r="AI690" s="32" t="n">
        <x:f>(Z690+tun_ElderCommons*INDEX(LM_Elder,G690)*AA690)*AH690</x:f>
        <x:v>169814.50622398086</x:v>
      </x:c>
      <x:c r="AJ690" s="32" t="n">
        <x:f>H690*tun_CommonsCoef*AI690^tun_CommonsExp*INDEX(LM_Commons,G690)</x:f>
        <x:v>599057.6339070766</x:v>
      </x:c>
      <x:c r="AK690" s="32" t="n">
        <x:f>H690*tun_RoleScale*Arch_Roles*(AE690*(INDEX(tun_ElderRolePerSett,G690)*tun_OutElder*INDEX(LM_Elder,G690)+INDEX(tun_ShamanPerSett,G690)*tun_OutShaman)+Z690*(INDEX(tun_PriestShare,G690)*tun_OutPriest+INDEX(tun_ScribeShare,G690)*tun_OutScribe*INDEX(LM_Scribe,G690)+INDEX(tun_ScholarShare,G690)*tun_OutScholar*INDEX(LM_Scholar,G690)+INDEX(tun_ResearcherShare,G690)*tun_OutResearcher*INDEX(LM_Researcher,G690)))</x:f>
        <x:v>180800.86070909508</x:v>
      </x:c>
      <x:c r="AL690" s="32" t="n">
        <x:f>H690*tun_RoleScale*Arch_Roles*AE690*INDEX(tun_MonasteryPerSett,G690)*tun_OutMonastery*INDEX(LM_Monastery,G690)</x:f>
        <x:v>15.840000000000002</x:v>
      </x:c>
      <x:c r="AM690" s="32" t="n">
        <x:f>(AJ690+AK690+AL690)/4*INDEX(LM_All,G690)*INDEX(tun_Boon,G690)*Arch_Insight</x:f>
        <x:v>675349.6655758012</x:v>
      </x:c>
      <x:c r="AN690" s="32" t="n">
        <x:f>H690*(tun_KHPerAdult*Z690+tun_KHOfCommons*AJ690/4*INDEX(LM_All,G690))*tun_KHUsable*Arch_KH</x:f>
        <x:v>101770.98167693839</x:v>
      </x:c>
      <x:c r="AO690" s="32" t="n">
        <x:f>MIN(AP689+AN690,AM690*tun_KHMaxRatio)</x:f>
        <x:v>101770.98167693839</x:v>
      </x:c>
      <x:c r="AP690" s="32" t="n">
        <x:f>AP689+AN690-AO690</x:f>
        <x:v>0</x:v>
      </x:c>
      <x:c r="AQ690" s="32" t="n">
        <x:f>AM690+AO690</x:f>
        <x:v>777120.6472527395</x:v>
      </x:c>
      <x:c r="AR690" s="10" t="n">
        <x:f>IF(H690=1,INDEX(tun_Req,G690),0)</x:f>
        <x:v>125406521.7009086</x:v>
      </x:c>
      <x:c r="AS690" s="32" t="n">
        <x:f>IF(H690=1,IF(E690=1,AS689-AR689,AS689)+AQ690,0)</x:f>
        <x:v>42256643.116078466</x:v>
      </x:c>
      <x:c r="AT690" s="11" t="n">
        <x:f>IF(AR690&gt;0,MIN(1,AS690/AR690),1)</x:f>
        <x:v>0.3369573012866069</x:v>
      </x:c>
      <x:c r="AU690" s="10" t="n">
        <x:f>AB690/INDEX(tun_RepScale,G690)</x:f>
        <x:v>214.8985481256345</x:v>
      </x:c>
      <x:c r="AV690" s="32" t="n">
        <x:f>AM690*60/tun_SeasonSeconds</x:f>
        <x:v>2701398.6623032046</x:v>
      </x:c>
    </x:row>
    <x:row r="691">
      <x:c r="A691" s="8" t="n">
        <x:f>A690+1</x:f>
        <x:v>688</x:v>
      </x:c>
      <x:c r="B691" s="9" t="n">
        <x:f>A691*tun_SeasonSeconds/60</x:f>
        <x:v>172</x:v>
      </x:c>
      <x:c r="C691" s="9" t="n">
        <x:f>A691/4</x:f>
        <x:v>172</x:v>
      </x:c>
      <x:c r="D691" s="8" t="n">
        <x:f>IF(MOD(A691,4)=0,1,0)</x:f>
        <x:v>1</x:v>
      </x:c>
      <x:c r="E691" s="8" t="n">
        <x:f>IF(AND(F690&lt;=9,AS690&gt;=AR690),1,0)</x:f>
        <x:v>0</x:v>
      </x:c>
      <x:c r="F691" s="8" t="n">
        <x:f>MIN(10,F690+E691)</x:f>
        <x:v>9</x:v>
      </x:c>
      <x:c r="G691" s="8" t="n">
        <x:f>MIN(F691,9)+1</x:f>
        <x:v>10</x:v>
      </x:c>
      <x:c r="H691" s="8" t="n">
        <x:f>IF(F691&lt;=9,1,0)</x:f>
        <x:v>1</x:v>
      </x:c>
      <x:c r="I691" s="9" t="n">
        <x:f>MIN(10,F690+IF(AR690&gt;0,MIN(1,AS690/AR690),1))</x:f>
        <x:v>9.336957301286606</x:v>
      </x:c>
      <x:c r="J691" s="32" t="n">
        <x:f>INDEX(tun_FoodCap,G691)*Arch_FoodCap*EXP(tun_CapsByProject*SUMPRODUCT((Cap_Point&lt;=I691)*(Cap_Kind="Food")*Cap_Ln))</x:f>
        <x:v>13863.877308233004</x:v>
      </x:c>
      <x:c r="K691" s="32" t="n">
        <x:f>J691*MIN(1,tun_LeanBase*EXP(tun_CapsByProject*SUMPRODUCT((Cap_Point&lt;=I691)*(Cap_Kind="Lean")*Cap_Ln)))</x:f>
        <x:v>13863.877308233004</x:v>
      </x:c>
      <x:c r="L691" s="10" t="n">
        <x:f>INDEX(tun_HousingCap,G691)*EXP(tun_CapsByProject*SUMPRODUCT((Cap_Point&lt;=I691)*(Cap_Kind="Housing")*Cap_Ln))</x:f>
        <x:v>12514.86067705494</x:v>
      </x:c>
      <x:c r="M691" s="10" t="n">
        <x:f>INDEX(tun_GroupCap,G691)*tun_CohesionFactor*EXP(tun_CapsByProject*SUMPRODUCT((Cap_Point&lt;=I691)*(Cap_Kind="Group")*Cap_Ln))</x:f>
        <x:v>1000000.000000001</x:v>
      </x:c>
      <x:c r="N691" s="32" t="n">
        <x:f>MIN(J691,L691,M691)</x:f>
        <x:v>12514.86067705494</x:v>
      </x:c>
      <x:c r="O691" s="10" t="n">
        <x:f>AE690*N691</x:f>
        <x:v>112633.74609349445</x:v>
      </x:c>
      <x:c r="P691" s="9" t="n">
        <x:f>MIN(1,(AB690/(AE690*IF(tun_GroupInCrowding=1,N691,MIN(J691,L691))))^tun_CrowdingExp)</x:f>
        <x:v>0.7537194850252438</x:v>
      </x:c>
      <x:c r="Q691" s="9" t="n">
        <x:f>IF(D691=1,INDEX(tun_WinterMult,G691),1)</x:f>
        <x:v>1.05</x:v>
      </x:c>
      <x:c r="R691" s="9" t="n">
        <x:f>H691*Z690*tun_WomenShare*tun_BaseFertility*INDEX(tun_FertMult,G691)*Arch_Fertility*(1-P691)</x:f>
        <x:v>280.8873348881059</x:v>
      </x:c>
      <x:c r="S691" s="9" t="n">
        <x:f>H691*Y690*INDEX(tun_MortChild,G691)/4*Q691</x:f>
        <x:v>6.35198472188624</x:v>
      </x:c>
      <x:c r="T691" s="9" t="n">
        <x:f>H691*Z690*INDEX(tun_MortAdult,G691)*Arch_AdultMort/4*Q691</x:f>
        <x:v>19.739732824049717</x:v>
      </x:c>
      <x:c r="U691" s="9" t="n">
        <x:f>H691*AA690*INDEX(tun_MortElder,G691)/4*Q691</x:f>
        <x:v>215.67199743073513</x:v>
      </x:c>
      <x:c r="V691" s="9" t="n">
        <x:f>H691*MAX(0,AB690-O691)*tun_OvercapLoss</x:f>
        <x:v>0</x:v>
      </x:c>
      <x:c r="W691" s="9" t="n">
        <x:f>H691*Y690/(tun_ChildYears*4)</x:f>
        <x:v>480.1197824554982</x:v>
      </x:c>
      <x:c r="X691" s="9" t="n">
        <x:f>H691*Z690/(tun_AdultYears*4)</x:f>
        <x:v>404.2956031551401</x:v>
      </x:c>
      <x:c r="Y691" s="32" t="n">
        <x:f>Y690+R691-S691-W691-Y690*V691/AB690</x:f>
        <x:v>26681.12338521862</x:v>
      </x:c>
      <x:c r="Z691" s="32" t="n">
        <x:f>Z690+W691-X691-T691-Z690*V691/AB690</x:f>
        <x:v>50188.739237713686</x:v>
      </x:c>
      <x:c r="AA691" s="32" t="n">
        <x:f>AA690+X691-U691-AA690*V691/AB690</x:f>
        <x:v>30618.53505979638</x:v>
      </x:c>
      <x:c r="AB691" s="10" t="n">
        <x:f>Y691+Z691+AA691</x:f>
        <x:v>107488.39768272868</x:v>
      </x:c>
      <x:c r="AC691" s="8" t="n">
        <x:f>IF(AND(tun_WinterTrigger=1,D691=1,AB690/AE690&gt;=K691),1,0)</x:f>
        <x:v>0</x:v>
      </x:c>
      <x:c r="AD691" s="8" t="n">
        <x:f>H691*IF(AND(OR(AB690/AE690&gt;=tun_FissionTrigger*N691,AC691=1),AB690/AE690*tun_DaughterShare&gt;=tun_MinDaughter),MAX(1,ROUND(AE690*tun_FissionRate,0)),0)</x:f>
        <x:v>3</x:v>
      </x:c>
      <x:c r="AE691" s="8" t="n">
        <x:f>IF(H691=1,MAX(1,MIN(INDEX(tun_Smax,G691),AE690+AD691)),AE690)</x:f>
        <x:v>9</x:v>
      </x:c>
      <x:c r="AF691" s="8" t="n">
        <x:f>MAX(0,AE691-AE690)</x:f>
        <x:v>0</x:v>
      </x:c>
      <x:c r="AG691" s="9" t="str">
        <x:f>IF(AF691&gt;0,B691,"")</x:f>
      </x:c>
      <x:c r="AH691" s="9" t="n">
        <x:f>IF(F691&gt;=1,1,(1+tun_LowTiesShare*(AE691-1))/AE691)</x:f>
        <x:v>1</x:v>
      </x:c>
      <x:c r="AI691" s="32" t="n">
        <x:f>(Z691+tun_ElderCommons*INDEX(LM_Elder,G691)*AA691)*AH691</x:f>
        <x:v>170612.45357042286</x:v>
      </x:c>
      <x:c r="AJ691" s="32" t="n">
        <x:f>H691*tun_CommonsCoef*AI691^tun_CommonsExp*INDEX(LM_Commons,G691)</x:f>
        <x:v>601449.485198365</x:v>
      </x:c>
      <x:c r="AK691" s="32" t="n">
        <x:f>H691*tun_RoleScale*Arch_Roles*(AE691*(INDEX(tun_ElderRolePerSett,G691)*tun_OutElder*INDEX(LM_Elder,G691)+INDEX(tun_ShamanPerSett,G691)*tun_OutShaman)+Z691*(INDEX(tun_PriestShare,G691)*tun_OutPriest+INDEX(tun_ScribeShare,G691)*tun_OutScribe*INDEX(LM_Scribe,G691)+INDEX(tun_ScholarShare,G691)*tun_OutScholar*INDEX(LM_Scholar,G691)+INDEX(tun_ResearcherShare,G691)*tun_OutResearcher*INDEX(LM_Researcher,G691)))</x:f>
        <x:v>181002.8471820967</x:v>
      </x:c>
      <x:c r="AL691" s="32" t="n">
        <x:f>H691*tun_RoleScale*Arch_Roles*AE691*INDEX(tun_MonasteryPerSett,G691)*tun_OutMonastery*INDEX(LM_Monastery,G691)</x:f>
        <x:v>15.840000000000002</x:v>
      </x:c>
      <x:c r="AM691" s="32" t="n">
        <x:f>(AJ691+AK691+AL691)/4*INDEX(LM_All,G691)*INDEX(tun_Boon,G691)*Arch_Insight</x:f>
        <x:v>677595.8575440665</x:v>
      </x:c>
      <x:c r="AN691" s="32" t="n">
        <x:f>H691*(tun_KHPerAdult*Z691+tun_KHOfCommons*AJ691/4*INDEX(LM_All,G691))*tun_KHUsable*Arch_KH</x:f>
        <x:v>102177.32163516924</x:v>
      </x:c>
      <x:c r="AO691" s="32" t="n">
        <x:f>MIN(AP690+AN691,AM691*tun_KHMaxRatio)</x:f>
        <x:v>102177.32163516924</x:v>
      </x:c>
      <x:c r="AP691" s="32" t="n">
        <x:f>AP690+AN691-AO691</x:f>
        <x:v>0</x:v>
      </x:c>
      <x:c r="AQ691" s="32" t="n">
        <x:f>AM691+AO691</x:f>
        <x:v>779773.1791792357</x:v>
      </x:c>
      <x:c r="AR691" s="10" t="n">
        <x:f>IF(H691=1,INDEX(tun_Req,G691),0)</x:f>
        <x:v>125406521.7009086</x:v>
      </x:c>
      <x:c r="AS691" s="32" t="n">
        <x:f>IF(H691=1,IF(E691=1,AS690-AR690,AS690)+AQ691,0)</x:f>
        <x:v>43036416.2952577</x:v>
      </x:c>
      <x:c r="AT691" s="11" t="n">
        <x:f>IF(AR691&gt;0,MIN(1,AS691/AR691),1)</x:f>
        <x:v>0.3431752648231363</x:v>
      </x:c>
      <x:c r="AU691" s="10" t="n">
        <x:f>AB691/INDEX(tun_RepScale,G691)</x:f>
        <x:v>214.97679536545738</x:v>
      </x:c>
      <x:c r="AV691" s="32" t="n">
        <x:f>AM691*60/tun_SeasonSeconds</x:f>
        <x:v>2710383.430176266</x:v>
      </x:c>
    </x:row>
    <x:row r="692">
      <x:c r="A692" s="8" t="n">
        <x:f>A691+1</x:f>
        <x:v>689</x:v>
      </x:c>
      <x:c r="B692" s="9" t="n">
        <x:f>A692*tun_SeasonSeconds/60</x:f>
        <x:v>172.25</x:v>
      </x:c>
      <x:c r="C692" s="9" t="n">
        <x:f>A692/4</x:f>
        <x:v>172.25</x:v>
      </x:c>
      <x:c r="D692" s="8" t="n">
        <x:f>IF(MOD(A692,4)=0,1,0)</x:f>
        <x:v>0</x:v>
      </x:c>
      <x:c r="E692" s="8" t="n">
        <x:f>IF(AND(F691&lt;=9,AS691&gt;=AR691),1,0)</x:f>
        <x:v>0</x:v>
      </x:c>
      <x:c r="F692" s="8" t="n">
        <x:f>MIN(10,F691+E692)</x:f>
        <x:v>9</x:v>
      </x:c>
      <x:c r="G692" s="8" t="n">
        <x:f>MIN(F692,9)+1</x:f>
        <x:v>10</x:v>
      </x:c>
      <x:c r="H692" s="8" t="n">
        <x:f>IF(F692&lt;=9,1,0)</x:f>
        <x:v>1</x:v>
      </x:c>
      <x:c r="I692" s="9" t="n">
        <x:f>MIN(10,F691+IF(AR691&gt;0,MIN(1,AS691/AR691),1))</x:f>
        <x:v>9.343175264823136</x:v>
      </x:c>
      <x:c r="J692" s="32" t="n">
        <x:f>INDEX(tun_FoodCap,G692)*Arch_FoodCap*EXP(tun_CapsByProject*SUMPRODUCT((Cap_Point&lt;=I692)*(Cap_Kind="Food")*Cap_Ln))</x:f>
        <x:v>13863.877308233004</x:v>
      </x:c>
      <x:c r="K692" s="32" t="n">
        <x:f>J692*MIN(1,tun_LeanBase*EXP(tun_CapsByProject*SUMPRODUCT((Cap_Point&lt;=I692)*(Cap_Kind="Lean")*Cap_Ln)))</x:f>
        <x:v>13863.877308233004</x:v>
      </x:c>
      <x:c r="L692" s="10" t="n">
        <x:f>INDEX(tun_HousingCap,G692)*EXP(tun_CapsByProject*SUMPRODUCT((Cap_Point&lt;=I692)*(Cap_Kind="Housing")*Cap_Ln))</x:f>
        <x:v>12514.86067705494</x:v>
      </x:c>
      <x:c r="M692" s="10" t="n">
        <x:f>INDEX(tun_GroupCap,G692)*tun_CohesionFactor*EXP(tun_CapsByProject*SUMPRODUCT((Cap_Point&lt;=I692)*(Cap_Kind="Group")*Cap_Ln))</x:f>
        <x:v>1000000.000000001</x:v>
      </x:c>
      <x:c r="N692" s="32" t="n">
        <x:f>MIN(J692,L692,M692)</x:f>
        <x:v>12514.86067705494</x:v>
      </x:c>
      <x:c r="O692" s="10" t="n">
        <x:f>AE691*N692</x:f>
        <x:v>112633.74609349445</x:v>
      </x:c>
      <x:c r="P692" s="9" t="n">
        <x:f>MIN(1,(AB691/(AE691*IF(tun_GroupInCrowding=1,N692,MIN(J692,L692))))^tun_CrowdingExp)</x:f>
        <x:v>0.7553676166033684</x:v>
      </x:c>
      <x:c r="Q692" s="9" t="n">
        <x:f>IF(D692=1,INDEX(tun_WinterMult,G692),1)</x:f>
        <x:v>1</x:v>
      </x:c>
      <x:c r="R692" s="9" t="n">
        <x:f>H692*Z691*tun_WomenShare*tun_BaseFertility*INDEX(tun_FertMult,G692)*Arch_Fertility*(1-P692)</x:f>
        <x:v>279.31974296121217</x:v>
      </x:c>
      <x:c r="S692" s="9" t="n">
        <x:f>H692*Y691*INDEX(tun_MortChild,G692)/4*Q692</x:f>
        <x:v>6.003252761674189</x:v>
      </x:c>
      <x:c r="T692" s="9" t="n">
        <x:f>H692*Z691*INDEX(tun_MortAdult,G692)*Arch_AdultMort/4*Q692</x:f>
        <x:v>18.820777214142634</x:v>
      </x:c>
      <x:c r="U692" s="9" t="n">
        <x:f>H692*AA691*INDEX(tun_MortElder,G692)/4*Q692</x:f>
        <x:v>206.67511165362558</x:v>
      </x:c>
      <x:c r="V692" s="9" t="n">
        <x:f>H692*MAX(0,AB691-O692)*tun_OvercapLoss</x:f>
        <x:v>0</x:v>
      </x:c>
      <x:c r="W692" s="9" t="n">
        <x:f>H692*Y691/(tun_ChildYears*4)</x:f>
        <x:v>476.44863187890394</x:v>
      </x:c>
      <x:c r="X692" s="9" t="n">
        <x:f>H692*Z691/(tun_AdultYears*4)</x:f>
        <x:v>404.74789707833617</x:v>
      </x:c>
      <x:c r="Y692" s="32" t="n">
        <x:f>Y691+R692-S692-W692-Y691*V692/AB691</x:f>
        <x:v>26477.991243539254</x:v>
      </x:c>
      <x:c r="Z692" s="32" t="n">
        <x:f>Z691+W692-X692-T692-Z691*V692/AB691</x:f>
        <x:v>50241.61919530012</x:v>
      </x:c>
      <x:c r="AA692" s="32" t="n">
        <x:f>AA691+X692-U692-AA691*V692/AB691</x:f>
        <x:v>30816.607845221093</x:v>
      </x:c>
      <x:c r="AB692" s="10" t="n">
        <x:f>Y692+Z692+AA692</x:f>
        <x:v>107536.21828406047</x:v>
      </x:c>
      <x:c r="AC692" s="8" t="n">
        <x:f>IF(AND(tun_WinterTrigger=1,D692=1,AB691/AE691&gt;=K692),1,0)</x:f>
        <x:v>0</x:v>
      </x:c>
      <x:c r="AD692" s="8" t="n">
        <x:f>H692*IF(AND(OR(AB691/AE691&gt;=tun_FissionTrigger*N692,AC692=1),AB691/AE691*tun_DaughterShare&gt;=tun_MinDaughter),MAX(1,ROUND(AE691*tun_FissionRate,0)),0)</x:f>
        <x:v>3</x:v>
      </x:c>
      <x:c r="AE692" s="8" t="n">
        <x:f>IF(H692=1,MAX(1,MIN(INDEX(tun_Smax,G692),AE691+AD692)),AE691)</x:f>
        <x:v>9</x:v>
      </x:c>
      <x:c r="AF692" s="8" t="n">
        <x:f>MAX(0,AE692-AE691)</x:f>
        <x:v>0</x:v>
      </x:c>
      <x:c r="AG692" s="9" t="str">
        <x:f>IF(AF692&gt;0,B692,"")</x:f>
      </x:c>
      <x:c r="AH692" s="9" t="n">
        <x:f>IF(F692&gt;=1,1,(1+tun_LowTiesShare*(AE692-1))/AE692)</x:f>
        <x:v>1</x:v>
      </x:c>
      <x:c r="AI692" s="32" t="n">
        <x:f>(Z692+tun_ElderCommons*INDEX(LM_Elder,G692)*AA692)*AH692</x:f>
        <x:v>171444.3603652661</x:v>
      </x:c>
      <x:c r="AJ692" s="32" t="n">
        <x:f>H692*tun_CommonsCoef*AI692^tun_CommonsExp*INDEX(LM_Commons,G692)</x:f>
        <x:v>603941.3442400893</x:v>
      </x:c>
      <x:c r="AK692" s="32" t="n">
        <x:f>H692*tun_RoleScale*Arch_Roles*(AE692*(INDEX(tun_ElderRolePerSett,G692)*tun_OutElder*INDEX(LM_Elder,G692)+INDEX(tun_ShamanPerSett,G692)*tun_OutShaman)+Z692*(INDEX(tun_PriestShare,G692)*tun_OutPriest+INDEX(tun_ScribeShare,G692)*tun_OutScribe*INDEX(LM_Scribe,G692)+INDEX(tun_ScholarShare,G692)*tun_OutScholar*INDEX(LM_Scholar,G692)+INDEX(tun_ResearcherShare,G692)*tun_OutResearcher*INDEX(LM_Researcher,G692)))</x:f>
        <x:v>181193.29278326477</x:v>
      </x:c>
      <x:c r="AL692" s="32" t="n">
        <x:f>H692*tun_RoleScale*Arch_Roles*AE692*INDEX(tun_MonasteryPerSett,G692)*tun_OutMonastery*INDEX(LM_Monastery,G692)</x:f>
        <x:v>15.840000000000002</x:v>
      </x:c>
      <x:c r="AM692" s="32" t="n">
        <x:f>(AJ692+AK692+AL692)/4*INDEX(LM_All,G692)*INDEX(tun_Boon,G692)*Arch_Insight</x:f>
        <x:v>679918.6593893683</x:v>
      </x:c>
      <x:c r="AN692" s="32" t="n">
        <x:f>H692*(tun_KHPerAdult*Z692+tun_KHOfCommons*AJ692/4*INDEX(LM_All,G692))*tun_KHUsable*Arch_KH</x:f>
        <x:v>102600.65142269379</x:v>
      </x:c>
      <x:c r="AO692" s="32" t="n">
        <x:f>MIN(AP691+AN692,AM692*tun_KHMaxRatio)</x:f>
        <x:v>102600.65142269379</x:v>
      </x:c>
      <x:c r="AP692" s="32" t="n">
        <x:f>AP691+AN692-AO692</x:f>
        <x:v>0</x:v>
      </x:c>
      <x:c r="AQ692" s="32" t="n">
        <x:f>AM692+AO692</x:f>
        <x:v>782519.310812062</x:v>
      </x:c>
      <x:c r="AR692" s="10" t="n">
        <x:f>IF(H692=1,INDEX(tun_Req,G692),0)</x:f>
        <x:v>125406521.7009086</x:v>
      </x:c>
      <x:c r="AS692" s="32" t="n">
        <x:f>IF(H692=1,IF(E692=1,AS691-AR691,AS691)+AQ692,0)</x:f>
        <x:v>43818935.606069766</x:v>
      </x:c>
      <x:c r="AT692" s="11" t="n">
        <x:f>IF(AR692&gt;0,MIN(1,AS692/AR692),1)</x:f>
        <x:v>0.34941512619715925</x:v>
      </x:c>
      <x:c r="AU692" s="10" t="n">
        <x:f>AB692/INDEX(tun_RepScale,G692)</x:f>
        <x:v>215.07243656812093</x:v>
      </x:c>
      <x:c r="AV692" s="32" t="n">
        <x:f>AM692*60/tun_SeasonSeconds</x:f>
        <x:v>2719674.6375574726</x:v>
      </x:c>
    </x:row>
    <x:row r="693">
      <x:c r="A693" s="8" t="n">
        <x:f>A692+1</x:f>
        <x:v>690</x:v>
      </x:c>
      <x:c r="B693" s="9" t="n">
        <x:f>A693*tun_SeasonSeconds/60</x:f>
        <x:v>172.5</x:v>
      </x:c>
      <x:c r="C693" s="9" t="n">
        <x:f>A693/4</x:f>
        <x:v>172.5</x:v>
      </x:c>
      <x:c r="D693" s="8" t="n">
        <x:f>IF(MOD(A693,4)=0,1,0)</x:f>
        <x:v>0</x:v>
      </x:c>
      <x:c r="E693" s="8" t="n">
        <x:f>IF(AND(F692&lt;=9,AS692&gt;=AR692),1,0)</x:f>
        <x:v>0</x:v>
      </x:c>
      <x:c r="F693" s="8" t="n">
        <x:f>MIN(10,F692+E693)</x:f>
        <x:v>9</x:v>
      </x:c>
      <x:c r="G693" s="8" t="n">
        <x:f>MIN(F693,9)+1</x:f>
        <x:v>10</x:v>
      </x:c>
      <x:c r="H693" s="8" t="n">
        <x:f>IF(F693&lt;=9,1,0)</x:f>
        <x:v>1</x:v>
      </x:c>
      <x:c r="I693" s="9" t="n">
        <x:f>MIN(10,F692+IF(AR692&gt;0,MIN(1,AS692/AR692),1))</x:f>
        <x:v>9.34941512619716</x:v>
      </x:c>
      <x:c r="J693" s="32" t="n">
        <x:f>INDEX(tun_FoodCap,G693)*Arch_FoodCap*EXP(tun_CapsByProject*SUMPRODUCT((Cap_Point&lt;=I693)*(Cap_Kind="Food")*Cap_Ln))</x:f>
        <x:v>13863.877308233004</x:v>
      </x:c>
      <x:c r="K693" s="32" t="n">
        <x:f>J693*MIN(1,tun_LeanBase*EXP(tun_CapsByProject*SUMPRODUCT((Cap_Point&lt;=I693)*(Cap_Kind="Lean")*Cap_Ln)))</x:f>
        <x:v>13863.877308233004</x:v>
      </x:c>
      <x:c r="L693" s="10" t="n">
        <x:f>INDEX(tun_HousingCap,G693)*EXP(tun_CapsByProject*SUMPRODUCT((Cap_Point&lt;=I693)*(Cap_Kind="Housing")*Cap_Ln))</x:f>
        <x:v>12514.86067705494</x:v>
      </x:c>
      <x:c r="M693" s="10" t="n">
        <x:f>INDEX(tun_GroupCap,G693)*tun_CohesionFactor*EXP(tun_CapsByProject*SUMPRODUCT((Cap_Point&lt;=I693)*(Cap_Kind="Group")*Cap_Ln))</x:f>
        <x:v>1000000.000000001</x:v>
      </x:c>
      <x:c r="N693" s="32" t="n">
        <x:f>MIN(J693,L693,M693)</x:f>
        <x:v>12514.86067705494</x:v>
      </x:c>
      <x:c r="O693" s="10" t="n">
        <x:f>AE692*N693</x:f>
        <x:v>112633.74609349445</x:v>
      </x:c>
      <x:c r="P693" s="9" t="n">
        <x:f>MIN(1,(AB692/(AE692*IF(tun_GroupInCrowding=1,N693,MIN(J693,L693))))^tun_CrowdingExp)</x:f>
        <x:v>0.7573861972661812</x:v>
      </x:c>
      <x:c r="Q693" s="9" t="n">
        <x:f>IF(D693=1,INDEX(tun_WinterMult,G693),1)</x:f>
        <x:v>1</x:v>
      </x:c>
      <x:c r="R693" s="9" t="n">
        <x:f>H693*Z692*tun_WomenShare*tun_BaseFertility*INDEX(tun_FertMult,G693)*Arch_Fertility*(1-P693)</x:f>
        <x:v>277.3068090628333</x:v>
      </x:c>
      <x:c r="S693" s="9" t="n">
        <x:f>H693*Y692*INDEX(tun_MortChild,G693)/4*Q693</x:f>
        <x:v>5.957548029796332</x:v>
      </x:c>
      <x:c r="T693" s="9" t="n">
        <x:f>H693*Z692*INDEX(tun_MortAdult,G693)*Arch_AdultMort/4*Q693</x:f>
        <x:v>18.840607198237546</x:v>
      </x:c>
      <x:c r="U693" s="9" t="n">
        <x:f>H693*AA692*INDEX(tun_MortElder,G693)/4*Q693</x:f>
        <x:v>208.01210295524237</x:v>
      </x:c>
      <x:c r="V693" s="9" t="n">
        <x:f>H693*MAX(0,AB692-O693)*tun_OvercapLoss</x:f>
        <x:v>0</x:v>
      </x:c>
      <x:c r="W693" s="9" t="n">
        <x:f>H693*Y692/(tun_ChildYears*4)</x:f>
        <x:v>472.8212722060581</x:v>
      </x:c>
      <x:c r="X693" s="9" t="n">
        <x:f>H693*Z692/(tun_AdultYears*4)</x:f>
        <x:v>405.1743483491945</x:v>
      </x:c>
      <x:c r="Y693" s="32" t="n">
        <x:f>Y692+R693-S693-W693-Y692*V693/AB692</x:f>
        <x:v>26276.51923236623</x:v>
      </x:c>
      <x:c r="Z693" s="32" t="n">
        <x:f>Z692+W693-X693-T693-Z692*V693/AB692</x:f>
        <x:v>50290.42551195874</x:v>
      </x:c>
      <x:c r="AA693" s="32" t="n">
        <x:f>AA692+X693-U693-AA692*V693/AB692</x:f>
        <x:v>31013.770090615046</x:v>
      </x:c>
      <x:c r="AB693" s="10" t="n">
        <x:f>Y693+Z693+AA693</x:f>
        <x:v>107580.71483494001</x:v>
      </x:c>
      <x:c r="AC693" s="8" t="n">
        <x:f>IF(AND(tun_WinterTrigger=1,D693=1,AB692/AE692&gt;=K693),1,0)</x:f>
        <x:v>0</x:v>
      </x:c>
      <x:c r="AD693" s="8" t="n">
        <x:f>H693*IF(AND(OR(AB692/AE692&gt;=tun_FissionTrigger*N693,AC693=1),AB692/AE692*tun_DaughterShare&gt;=tun_MinDaughter),MAX(1,ROUND(AE692*tun_FissionRate,0)),0)</x:f>
        <x:v>3</x:v>
      </x:c>
      <x:c r="AE693" s="8" t="n">
        <x:f>IF(H693=1,MAX(1,MIN(INDEX(tun_Smax,G693),AE692+AD693)),AE692)</x:f>
        <x:v>9</x:v>
      </x:c>
      <x:c r="AF693" s="8" t="n">
        <x:f>MAX(0,AE693-AE692)</x:f>
        <x:v>0</x:v>
      </x:c>
      <x:c r="AG693" s="9" t="str">
        <x:f>IF(AF693&gt;0,B693,"")</x:f>
      </x:c>
      <x:c r="AH693" s="9" t="n">
        <x:f>IF(F693&gt;=1,1,(1+tun_LowTiesShare*(AE693-1))/AE693)</x:f>
        <x:v>1</x:v>
      </x:c>
      <x:c r="AI693" s="32" t="n">
        <x:f>(Z693+tun_ElderCommons*INDEX(LM_Elder,G693)*AA693)*AH693</x:f>
        <x:v>172268.61233502824</x:v>
      </x:c>
      <x:c r="AJ693" s="32" t="n">
        <x:f>H693*tun_CommonsCoef*AI693^tun_CommonsExp*INDEX(LM_Commons,G693)</x:f>
        <x:v>606408.4862030259</x:v>
      </x:c>
      <x:c r="AK693" s="32" t="n">
        <x:f>H693*tun_RoleScale*Arch_Roles*(AE693*(INDEX(tun_ElderRolePerSett,G693)*tun_OutElder*INDEX(LM_Elder,G693)+INDEX(tun_ShamanPerSett,G693)*tun_OutShaman)+Z693*(INDEX(tun_PriestShare,G693)*tun_OutPriest+INDEX(tun_ScribeShare,G693)*tun_OutScribe*INDEX(LM_Scribe,G693)+INDEX(tun_ScholarShare,G693)*tun_OutScholar*INDEX(LM_Scholar,G693)+INDEX(tun_ResearcherShare,G693)*tun_OutResearcher*INDEX(LM_Researcher,G693)))</x:f>
        <x:v>181369.06728727525</x:v>
      </x:c>
      <x:c r="AL693" s="32" t="n">
        <x:f>H693*tun_RoleScale*Arch_Roles*AE693*INDEX(tun_MonasteryPerSett,G693)*tun_OutMonastery*INDEX(LM_Monastery,G693)</x:f>
        <x:v>15.840000000000002</x:v>
      </x:c>
      <x:c r="AM693" s="32" t="n">
        <x:f>(AJ693+AK693+AL693)/4*INDEX(LM_All,G693)*INDEX(tun_Boon,G693)*Arch_Insight</x:f>
        <x:v>682207.3521605901</x:v>
      </x:c>
      <x:c r="AN693" s="32" t="n">
        <x:f>H693*(tun_KHPerAdult*Z693+tun_KHOfCommons*AJ693/4*INDEX(LM_All,G693))*tun_KHUsable*Arch_KH</x:f>
        <x:v>103019.78214617168</x:v>
      </x:c>
      <x:c r="AO693" s="32" t="n">
        <x:f>MIN(AP692+AN693,AM693*tun_KHMaxRatio)</x:f>
        <x:v>103019.78214617168</x:v>
      </x:c>
      <x:c r="AP693" s="32" t="n">
        <x:f>AP692+AN693-AO693</x:f>
        <x:v>0</x:v>
      </x:c>
      <x:c r="AQ693" s="32" t="n">
        <x:f>AM693+AO693</x:f>
        <x:v>785227.1343067618</x:v>
      </x:c>
      <x:c r="AR693" s="10" t="n">
        <x:f>IF(H693=1,INDEX(tun_Req,G693),0)</x:f>
        <x:v>125406521.7009086</x:v>
      </x:c>
      <x:c r="AS693" s="32" t="n">
        <x:f>IF(H693=1,IF(E693=1,AS692-AR692,AS692)+AQ693,0)</x:f>
        <x:v>44604162.740376525</x:v>
      </x:c>
      <x:c r="AT693" s="11" t="n">
        <x:f>IF(AR693&gt;0,MIN(1,AS693/AR693),1)</x:f>
        <x:v>0.3556765799370174</x:v>
      </x:c>
      <x:c r="AU693" s="10" t="n">
        <x:f>AB693/INDEX(tun_RepScale,G693)</x:f>
        <x:v>215.16142966988002</x:v>
      </x:c>
      <x:c r="AV693" s="32" t="n">
        <x:f>AM693*60/tun_SeasonSeconds</x:f>
        <x:v>2728829.4086423605</x:v>
      </x:c>
    </x:row>
    <x:row r="694">
      <x:c r="A694" s="8" t="n">
        <x:f>A693+1</x:f>
        <x:v>691</x:v>
      </x:c>
      <x:c r="B694" s="9" t="n">
        <x:f>A694*tun_SeasonSeconds/60</x:f>
        <x:v>172.75</x:v>
      </x:c>
      <x:c r="C694" s="9" t="n">
        <x:f>A694/4</x:f>
        <x:v>172.75</x:v>
      </x:c>
      <x:c r="D694" s="8" t="n">
        <x:f>IF(MOD(A694,4)=0,1,0)</x:f>
        <x:v>0</x:v>
      </x:c>
      <x:c r="E694" s="8" t="n">
        <x:f>IF(AND(F693&lt;=9,AS693&gt;=AR693),1,0)</x:f>
        <x:v>0</x:v>
      </x:c>
      <x:c r="F694" s="8" t="n">
        <x:f>MIN(10,F693+E694)</x:f>
        <x:v>9</x:v>
      </x:c>
      <x:c r="G694" s="8" t="n">
        <x:f>MIN(F694,9)+1</x:f>
        <x:v>10</x:v>
      </x:c>
      <x:c r="H694" s="8" t="n">
        <x:f>IF(F694&lt;=9,1,0)</x:f>
        <x:v>1</x:v>
      </x:c>
      <x:c r="I694" s="9" t="n">
        <x:f>MIN(10,F693+IF(AR693&gt;0,MIN(1,AS693/AR693),1))</x:f>
        <x:v>9.355676579937018</x:v>
      </x:c>
      <x:c r="J694" s="32" t="n">
        <x:f>INDEX(tun_FoodCap,G694)*Arch_FoodCap*EXP(tun_CapsByProject*SUMPRODUCT((Cap_Point&lt;=I694)*(Cap_Kind="Food")*Cap_Ln))</x:f>
        <x:v>13863.877308233004</x:v>
      </x:c>
      <x:c r="K694" s="32" t="n">
        <x:f>J694*MIN(1,tun_LeanBase*EXP(tun_CapsByProject*SUMPRODUCT((Cap_Point&lt;=I694)*(Cap_Kind="Lean")*Cap_Ln)))</x:f>
        <x:v>13863.877308233004</x:v>
      </x:c>
      <x:c r="L694" s="10" t="n">
        <x:f>INDEX(tun_HousingCap,G694)*EXP(tun_CapsByProject*SUMPRODUCT((Cap_Point&lt;=I694)*(Cap_Kind="Housing")*Cap_Ln))</x:f>
        <x:v>12514.86067705494</x:v>
      </x:c>
      <x:c r="M694" s="10" t="n">
        <x:f>INDEX(tun_GroupCap,G694)*tun_CohesionFactor*EXP(tun_CapsByProject*SUMPRODUCT((Cap_Point&lt;=I694)*(Cap_Kind="Group")*Cap_Ln))</x:f>
        <x:v>1000000.000000001</x:v>
      </x:c>
      <x:c r="N694" s="32" t="n">
        <x:f>MIN(J694,L694,M694)</x:f>
        <x:v>12514.86067705494</x:v>
      </x:c>
      <x:c r="O694" s="10" t="n">
        <x:f>AE693*N694</x:f>
        <x:v>112633.74609349445</x:v>
      </x:c>
      <x:c r="P694" s="9" t="n">
        <x:f>MIN(1,(AB693/(AE693*IF(tun_GroupInCrowding=1,N694,MIN(J694,L694))))^tun_CrowdingExp)</x:f>
        <x:v>0.7592685001116994</x:v>
      </x:c>
      <x:c r="Q694" s="9" t="n">
        <x:f>IF(D694=1,INDEX(tun_WinterMult,G694),1)</x:f>
        <x:v>1</x:v>
      </x:c>
      <x:c r="R694" s="9" t="n">
        <x:f>H694*Z693*tun_WomenShare*tun_BaseFertility*INDEX(tun_FertMult,G694)*Arch_Fertility*(1-P694)</x:f>
        <x:v>275.422637569959</x:v>
      </x:c>
      <x:c r="S694" s="9" t="n">
        <x:f>H694*Y693*INDEX(tun_MortChild,G694)/4*Q694</x:f>
        <x:v>5.912216827282402</x:v>
      </x:c>
      <x:c r="T694" s="9" t="n">
        <x:f>H694*Z693*INDEX(tun_MortAdult,G694)*Arch_AdultMort/4*Q694</x:f>
        <x:v>18.85890956698453</x:v>
      </x:c>
      <x:c r="U694" s="9" t="n">
        <x:f>H694*AA693*INDEX(tun_MortElder,G694)/4*Q694</x:f>
        <x:v>209.34294811165157</x:v>
      </x:c>
      <x:c r="V694" s="9" t="n">
        <x:f>H694*MAX(0,AB693-O694)*tun_OvercapLoss</x:f>
        <x:v>0</x:v>
      </x:c>
      <x:c r="W694" s="9" t="n">
        <x:f>H694*Y693/(tun_ChildYears*4)</x:f>
        <x:v>469.22355772082557</x:v>
      </x:c>
      <x:c r="X694" s="9" t="n">
        <x:f>H694*Z693/(tun_AdultYears*4)</x:f>
        <x:v>405.56794767708664</x:v>
      </x:c>
      <x:c r="Y694" s="32" t="n">
        <x:f>Y693+R694-S694-W694-Y693*V694/AB693</x:f>
        <x:v>26076.80609538808</x:v>
      </x:c>
      <x:c r="Z694" s="32" t="n">
        <x:f>Z693+W694-X694-T694-Z693*V694/AB693</x:f>
        <x:v>50335.222212435496</x:v>
      </x:c>
      <x:c r="AA694" s="32" t="n">
        <x:f>AA693+X694-U694-AA693*V694/AB693</x:f>
        <x:v>31209.99509018048</x:v>
      </x:c>
      <x:c r="AB694" s="10" t="n">
        <x:f>Y694+Z694+AA694</x:f>
        <x:v>107622.02339800406</x:v>
      </x:c>
      <x:c r="AC694" s="8" t="n">
        <x:f>IF(AND(tun_WinterTrigger=1,D694=1,AB693/AE693&gt;=K694),1,0)</x:f>
        <x:v>0</x:v>
      </x:c>
      <x:c r="AD694" s="8" t="n">
        <x:f>H694*IF(AND(OR(AB693/AE693&gt;=tun_FissionTrigger*N694,AC694=1),AB693/AE693*tun_DaughterShare&gt;=tun_MinDaughter),MAX(1,ROUND(AE693*tun_FissionRate,0)),0)</x:f>
        <x:v>3</x:v>
      </x:c>
      <x:c r="AE694" s="8" t="n">
        <x:f>IF(H694=1,MAX(1,MIN(INDEX(tun_Smax,G694),AE693+AD694)),AE693)</x:f>
        <x:v>9</x:v>
      </x:c>
      <x:c r="AF694" s="8" t="n">
        <x:f>MAX(0,AE694-AE693)</x:f>
        <x:v>0</x:v>
      </x:c>
      <x:c r="AG694" s="9" t="str">
        <x:f>IF(AF694&gt;0,B694,"")</x:f>
      </x:c>
      <x:c r="AH694" s="9" t="n">
        <x:f>IF(F694&gt;=1,1,(1+tun_LowTiesShare*(AE694-1))/AE694)</x:f>
        <x:v>1</x:v>
      </x:c>
      <x:c r="AI694" s="32" t="n">
        <x:f>(Z694+tun_ElderCommons*INDEX(LM_Elder,G694)*AA694)*AH694</x:f>
        <x:v>173085.16846966653</x:v>
      </x:c>
      <x:c r="AJ694" s="32" t="n">
        <x:f>H694*tun_CommonsCoef*AI694^tun_CommonsExp*INDEX(LM_Commons,G694)</x:f>
        <x:v>608850.8477108403</x:v>
      </x:c>
      <x:c r="AK694" s="32" t="n">
        <x:f>H694*tun_RoleScale*Arch_Roles*(AE694*(INDEX(tun_ElderRolePerSett,G694)*tun_OutElder*INDEX(LM_Elder,G694)+INDEX(tun_ShamanPerSett,G694)*tun_OutShaman)+Z694*(INDEX(tun_PriestShare,G694)*tun_OutPriest+INDEX(tun_ScribeShare,G694)*tun_OutScribe*INDEX(LM_Scribe,G694)+INDEX(tun_ScholarShare,G694)*tun_OutScholar*INDEX(LM_Scholar,G694)+INDEX(tun_ResearcherShare,G694)*tun_OutResearcher*INDEX(LM_Researcher,G694)))</x:f>
        <x:v>181530.4012773545</x:v>
      </x:c>
      <x:c r="AL694" s="32" t="n">
        <x:f>H694*tun_RoleScale*Arch_Roles*AE694*INDEX(tun_MonasteryPerSett,G694)*tun_OutMonastery*INDEX(LM_Monastery,G694)</x:f>
        <x:v>15.840000000000002</x:v>
      </x:c>
      <x:c r="AM694" s="32" t="n">
        <x:f>(AJ694+AK694+AL694)/4*INDEX(LM_All,G694)*INDEX(tun_Boon,G694)*Arch_Insight</x:f>
        <x:v>684462.0806542892</x:v>
      </x:c>
      <x:c r="AN694" s="32" t="n">
        <x:f>H694*(tun_KHPerAdult*Z694+tun_KHOfCommons*AJ694/4*INDEX(LM_All,G694))*tun_KHUsable*Arch_KH</x:f>
        <x:v>103434.70303890636</x:v>
      </x:c>
      <x:c r="AO694" s="32" t="n">
        <x:f>MIN(AP693+AN694,AM694*tun_KHMaxRatio)</x:f>
        <x:v>103434.70303890636</x:v>
      </x:c>
      <x:c r="AP694" s="32" t="n">
        <x:f>AP693+AN694-AO694</x:f>
        <x:v>0</x:v>
      </x:c>
      <x:c r="AQ694" s="32" t="n">
        <x:f>AM694+AO694</x:f>
        <x:v>787896.7836931956</x:v>
      </x:c>
      <x:c r="AR694" s="10" t="n">
        <x:f>IF(H694=1,INDEX(tun_Req,G694),0)</x:f>
        <x:v>125406521.7009086</x:v>
      </x:c>
      <x:c r="AS694" s="32" t="n">
        <x:f>IF(H694=1,IF(E694=1,AS693-AR693,AS693)+AQ694,0)</x:f>
        <x:v>45392059.52406972</x:v>
      </x:c>
      <x:c r="AT694" s="11" t="n">
        <x:f>IF(AR694&gt;0,MIN(1,AS694/AR694),1)</x:f>
        <x:v>0.3619593216398158</x:v>
      </x:c>
      <x:c r="AU694" s="10" t="n">
        <x:f>AB694/INDEX(tun_RepScale,G694)</x:f>
        <x:v>215.24404679600812</x:v>
      </x:c>
      <x:c r="AV694" s="32" t="n">
        <x:f>AM694*60/tun_SeasonSeconds</x:f>
        <x:v>2737848.322617157</x:v>
      </x:c>
    </x:row>
    <x:row r="695">
      <x:c r="A695" s="8" t="n">
        <x:f>A694+1</x:f>
        <x:v>692</x:v>
      </x:c>
      <x:c r="B695" s="9" t="n">
        <x:f>A695*tun_SeasonSeconds/60</x:f>
        <x:v>173</x:v>
      </x:c>
      <x:c r="C695" s="9" t="n">
        <x:f>A695/4</x:f>
        <x:v>173</x:v>
      </x:c>
      <x:c r="D695" s="8" t="n">
        <x:f>IF(MOD(A695,4)=0,1,0)</x:f>
        <x:v>1</x:v>
      </x:c>
      <x:c r="E695" s="8" t="n">
        <x:f>IF(AND(F694&lt;=9,AS694&gt;=AR694),1,0)</x:f>
        <x:v>0</x:v>
      </x:c>
      <x:c r="F695" s="8" t="n">
        <x:f>MIN(10,F694+E695)</x:f>
        <x:v>9</x:v>
      </x:c>
      <x:c r="G695" s="8" t="n">
        <x:f>MIN(F695,9)+1</x:f>
        <x:v>10</x:v>
      </x:c>
      <x:c r="H695" s="8" t="n">
        <x:f>IF(F695&lt;=9,1,0)</x:f>
        <x:v>1</x:v>
      </x:c>
      <x:c r="I695" s="9" t="n">
        <x:f>MIN(10,F694+IF(AR694&gt;0,MIN(1,AS694/AR694),1))</x:f>
        <x:v>9.361959321639816</x:v>
      </x:c>
      <x:c r="J695" s="32" t="n">
        <x:f>INDEX(tun_FoodCap,G695)*Arch_FoodCap*EXP(tun_CapsByProject*SUMPRODUCT((Cap_Point&lt;=I695)*(Cap_Kind="Food")*Cap_Ln))</x:f>
        <x:v>13863.877308233004</x:v>
      </x:c>
      <x:c r="K695" s="32" t="n">
        <x:f>J695*MIN(1,tun_LeanBase*EXP(tun_CapsByProject*SUMPRODUCT((Cap_Point&lt;=I695)*(Cap_Kind="Lean")*Cap_Ln)))</x:f>
        <x:v>13863.877308233004</x:v>
      </x:c>
      <x:c r="L695" s="10" t="n">
        <x:f>INDEX(tun_HousingCap,G695)*EXP(tun_CapsByProject*SUMPRODUCT((Cap_Point&lt;=I695)*(Cap_Kind="Housing")*Cap_Ln))</x:f>
        <x:v>12514.86067705494</x:v>
      </x:c>
      <x:c r="M695" s="10" t="n">
        <x:f>INDEX(tun_GroupCap,G695)*tun_CohesionFactor*EXP(tun_CapsByProject*SUMPRODUCT((Cap_Point&lt;=I695)*(Cap_Kind="Group")*Cap_Ln))</x:f>
        <x:v>1000000.000000001</x:v>
      </x:c>
      <x:c r="N695" s="32" t="n">
        <x:f>MIN(J695,L695,M695)</x:f>
        <x:v>12514.86067705494</x:v>
      </x:c>
      <x:c r="O695" s="10" t="n">
        <x:f>AE694*N695</x:f>
        <x:v>112633.74609349445</x:v>
      </x:c>
      <x:c r="P695" s="9" t="n">
        <x:f>MIN(1,(AB694/(AE694*IF(tun_GroupInCrowding=1,N695,MIN(J695,L695))))^tun_CrowdingExp)</x:f>
        <x:v>0.7610194318172556</x:v>
      </x:c>
      <x:c r="Q695" s="9" t="n">
        <x:f>IF(D695=1,INDEX(tun_WinterMult,G695),1)</x:f>
        <x:v>1.05</x:v>
      </x:c>
      <x:c r="R695" s="9" t="n">
        <x:f>H695*Z694*tun_WomenShare*tun_BaseFertility*INDEX(tun_FertMult,G695)*Arch_Fertility*(1-P695)</x:f>
        <x:v>273.662935089465</x:v>
      </x:c>
      <x:c r="S695" s="9" t="n">
        <x:f>H695*Y694*INDEX(tun_MortChild,G695)/4*Q695</x:f>
        <x:v>6.1606454400354345</x:v>
      </x:c>
      <x:c r="T695" s="9" t="n">
        <x:f>H695*Z694*INDEX(tun_MortAdult,G695)*Arch_AdultMort/4*Q695</x:f>
        <x:v>19.819493746146478</x:v>
      </x:c>
      <x:c r="U695" s="9" t="n">
        <x:f>H695*AA694*INDEX(tun_MortElder,G695)/4*Q695</x:f>
        <x:v>221.20084020165416</x:v>
      </x:c>
      <x:c r="V695" s="9" t="n">
        <x:f>H695*MAX(0,AB694-O695)*tun_OvercapLoss</x:f>
        <x:v>0</x:v>
      </x:c>
      <x:c r="W695" s="9" t="n">
        <x:f>H695*Y694/(tun_ChildYears*4)</x:f>
        <x:v>465.6572517033586</x:v>
      </x:c>
      <x:c r="X695" s="9" t="n">
        <x:f>H695*Z694/(tun_AdultYears*4)</x:f>
        <x:v>405.9292113906088</x:v>
      </x:c>
      <x:c r="Y695" s="32" t="n">
        <x:f>Y694+R695-S695-W695-Y694*V695/AB694</x:f>
        <x:v>25878.65113333415</x:v>
      </x:c>
      <x:c r="Z695" s="32" t="n">
        <x:f>Z694+W695-X695-T695-Z694*V695/AB694</x:f>
        <x:v>50375.130759002095</x:v>
      </x:c>
      <x:c r="AA695" s="32" t="n">
        <x:f>AA694+X695-U695-AA694*V695/AB694</x:f>
        <x:v>31394.723461369435</x:v>
      </x:c>
      <x:c r="AB695" s="10" t="n">
        <x:f>Y695+Z695+AA695</x:f>
        <x:v>107648.50535370568</x:v>
      </x:c>
      <x:c r="AC695" s="8" t="n">
        <x:f>IF(AND(tun_WinterTrigger=1,D695=1,AB694/AE694&gt;=K695),1,0)</x:f>
        <x:v>0</x:v>
      </x:c>
      <x:c r="AD695" s="8" t="n">
        <x:f>H695*IF(AND(OR(AB694/AE694&gt;=tun_FissionTrigger*N695,AC695=1),AB694/AE694*tun_DaughterShare&gt;=tun_MinDaughter),MAX(1,ROUND(AE694*tun_FissionRate,0)),0)</x:f>
        <x:v>3</x:v>
      </x:c>
      <x:c r="AE695" s="8" t="n">
        <x:f>IF(H695=1,MAX(1,MIN(INDEX(tun_Smax,G695),AE694+AD695)),AE694)</x:f>
        <x:v>9</x:v>
      </x:c>
      <x:c r="AF695" s="8" t="n">
        <x:f>MAX(0,AE695-AE694)</x:f>
        <x:v>0</x:v>
      </x:c>
      <x:c r="AG695" s="9" t="str">
        <x:f>IF(AF695&gt;0,B695,"")</x:f>
      </x:c>
      <x:c r="AH695" s="9" t="n">
        <x:f>IF(F695&gt;=1,1,(1+tun_LowTiesShare*(AE695-1))/AE695)</x:f>
        <x:v>1</x:v>
      </x:c>
      <x:c r="AI695" s="32" t="n">
        <x:f>(Z695+tun_ElderCommons*INDEX(LM_Elder,G695)*AA695)*AH695</x:f>
        <x:v>173851.6198295245</x:v>
      </x:c>
      <x:c r="AJ695" s="32" t="n">
        <x:f>H695*tun_CommonsCoef*AI695^tun_CommonsExp*INDEX(LM_Commons,G695)</x:f>
        <x:v>611141.7711213406</x:v>
      </x:c>
      <x:c r="AK695" s="32" t="n">
        <x:f>H695*tun_RoleScale*Arch_Roles*(AE695*(INDEX(tun_ElderRolePerSett,G695)*tun_OutElder*INDEX(LM_Elder,G695)+INDEX(tun_ShamanPerSett,G695)*tun_OutShaman)+Z695*(INDEX(tun_PriestShare,G695)*tun_OutPriest+INDEX(tun_ScribeShare,G695)*tun_OutScribe*INDEX(LM_Scribe,G695)+INDEX(tun_ScholarShare,G695)*tun_OutScholar*INDEX(LM_Scholar,G695)+INDEX(tun_ResearcherShare,G695)*tun_OutResearcher*INDEX(LM_Researcher,G695)))</x:f>
        <x:v>181674.13072589267</x:v>
      </x:c>
      <x:c r="AL695" s="32" t="n">
        <x:f>H695*tun_RoleScale*Arch_Roles*AE695*INDEX(tun_MonasteryPerSett,G695)*tun_OutMonastery*INDEX(LM_Monastery,G695)</x:f>
        <x:v>15.840000000000002</x:v>
      </x:c>
      <x:c r="AM695" s="32" t="n">
        <x:f>(AJ695+AK695+AL695)/4*INDEX(LM_All,G695)*INDEX(tun_Boon,G695)*Arch_Insight</x:f>
        <x:v>686570.422884777</x:v>
      </x:c>
      <x:c r="AN695" s="32" t="n">
        <x:f>H695*(tun_KHPerAdult*Z695+tun_KHOfCommons*AJ695/4*INDEX(LM_All,G695))*tun_KHUsable*Arch_KH</x:f>
        <x:v>103823.8968513826</x:v>
      </x:c>
      <x:c r="AO695" s="32" t="n">
        <x:f>MIN(AP694+AN695,AM695*tun_KHMaxRatio)</x:f>
        <x:v>103823.8968513826</x:v>
      </x:c>
      <x:c r="AP695" s="32" t="n">
        <x:f>AP694+AN695-AO695</x:f>
        <x:v>0</x:v>
      </x:c>
      <x:c r="AQ695" s="32" t="n">
        <x:f>AM695+AO695</x:f>
        <x:v>790394.3197361595</x:v>
      </x:c>
      <x:c r="AR695" s="10" t="n">
        <x:f>IF(H695=1,INDEX(tun_Req,G695),0)</x:f>
        <x:v>125406521.7009086</x:v>
      </x:c>
      <x:c r="AS695" s="32" t="n">
        <x:f>IF(H695=1,IF(E695=1,AS694-AR694,AS694)+AQ695,0)</x:f>
        <x:v>46182453.84380588</x:v>
      </x:c>
      <x:c r="AT695" s="11" t="n">
        <x:f>IF(AR695&gt;0,MIN(1,AS695/AR695),1)</x:f>
        <x:v>0.3682619788622307</x:v>
      </x:c>
      <x:c r="AU695" s="10" t="n">
        <x:f>AB695/INDEX(tun_RepScale,G695)</x:f>
        <x:v>215.29701070741137</x:v>
      </x:c>
      <x:c r="AV695" s="32" t="n">
        <x:f>AM695*60/tun_SeasonSeconds</x:f>
        <x:v>2746281.691539108</x:v>
      </x:c>
    </x:row>
    <x:row r="696">
      <x:c r="A696" s="8" t="n">
        <x:f>A695+1</x:f>
        <x:v>693</x:v>
      </x:c>
      <x:c r="B696" s="9" t="n">
        <x:f>A696*tun_SeasonSeconds/60</x:f>
        <x:v>173.25</x:v>
      </x:c>
      <x:c r="C696" s="9" t="n">
        <x:f>A696/4</x:f>
        <x:v>173.25</x:v>
      </x:c>
      <x:c r="D696" s="8" t="n">
        <x:f>IF(MOD(A696,4)=0,1,0)</x:f>
        <x:v>0</x:v>
      </x:c>
      <x:c r="E696" s="8" t="n">
        <x:f>IF(AND(F695&lt;=9,AS695&gt;=AR695),1,0)</x:f>
        <x:v>0</x:v>
      </x:c>
      <x:c r="F696" s="8" t="n">
        <x:f>MIN(10,F695+E696)</x:f>
        <x:v>9</x:v>
      </x:c>
      <x:c r="G696" s="8" t="n">
        <x:f>MIN(F696,9)+1</x:f>
        <x:v>10</x:v>
      </x:c>
      <x:c r="H696" s="8" t="n">
        <x:f>IF(F696&lt;=9,1,0)</x:f>
        <x:v>1</x:v>
      </x:c>
      <x:c r="I696" s="9" t="n">
        <x:f>MIN(10,F695+IF(AR695&gt;0,MIN(1,AS695/AR695),1))</x:f>
        <x:v>9.36826197886223</x:v>
      </x:c>
      <x:c r="J696" s="32" t="n">
        <x:f>INDEX(tun_FoodCap,G696)*Arch_FoodCap*EXP(tun_CapsByProject*SUMPRODUCT((Cap_Point&lt;=I696)*(Cap_Kind="Food")*Cap_Ln))</x:f>
        <x:v>13863.877308233004</x:v>
      </x:c>
      <x:c r="K696" s="32" t="n">
        <x:f>J696*MIN(1,tun_LeanBase*EXP(tun_CapsByProject*SUMPRODUCT((Cap_Point&lt;=I696)*(Cap_Kind="Lean")*Cap_Ln)))</x:f>
        <x:v>13863.877308233004</x:v>
      </x:c>
      <x:c r="L696" s="10" t="n">
        <x:f>INDEX(tun_HousingCap,G696)*EXP(tun_CapsByProject*SUMPRODUCT((Cap_Point&lt;=I696)*(Cap_Kind="Housing")*Cap_Ln))</x:f>
        <x:v>12514.86067705494</x:v>
      </x:c>
      <x:c r="M696" s="10" t="n">
        <x:f>INDEX(tun_GroupCap,G696)*tun_CohesionFactor*EXP(tun_CapsByProject*SUMPRODUCT((Cap_Point&lt;=I696)*(Cap_Kind="Group")*Cap_Ln))</x:f>
        <x:v>1000000.000000001</x:v>
      </x:c>
      <x:c r="N696" s="32" t="n">
        <x:f>MIN(J696,L696,M696)</x:f>
        <x:v>12514.86067705494</x:v>
      </x:c>
      <x:c r="O696" s="10" t="n">
        <x:f>AE695*N696</x:f>
        <x:v>112633.74609349445</x:v>
      </x:c>
      <x:c r="P696" s="9" t="n">
        <x:f>MIN(1,(AB695/(AE695*IF(tun_GroupInCrowding=1,N696,MIN(J696,L696))))^tun_CrowdingExp)</x:f>
        <x:v>0.7621436822539184</x:v>
      </x:c>
      <x:c r="Q696" s="9" t="n">
        <x:f>IF(D696=1,INDEX(tun_WinterMult,G696),1)</x:f>
        <x:v>1</x:v>
      </x:c>
      <x:c r="R696" s="9" t="n">
        <x:f>H696*Z695*tun_WomenShare*tun_BaseFertility*INDEX(tun_FertMult,G696)*Arch_Fertility*(1-P696)</x:f>
        <x:v>272.59148071413466</x:v>
      </x:c>
      <x:c r="S696" s="9" t="n">
        <x:f>H696*Y695*INDEX(tun_MortChild,G696)/4*Q696</x:f>
        <x:v>5.8226965050001835</x:v>
      </x:c>
      <x:c r="T696" s="9" t="n">
        <x:f>H696*Z695*INDEX(tun_MortAdult,G696)*Arch_AdultMort/4*Q696</x:f>
        <x:v>18.890674034625786</x:v>
      </x:c>
      <x:c r="U696" s="9" t="n">
        <x:f>H696*AA695*INDEX(tun_MortElder,G696)/4*Q696</x:f>
        <x:v>211.9143833642437</x:v>
      </x:c>
      <x:c r="V696" s="9" t="n">
        <x:f>H696*MAX(0,AB695-O696)*tun_OvercapLoss</x:f>
        <x:v>0</x:v>
      </x:c>
      <x:c r="W696" s="9" t="n">
        <x:f>H696*Y695/(tun_ChildYears*4)</x:f>
        <x:v>462.11877023810985</x:v>
      </x:c>
      <x:c r="X696" s="9" t="n">
        <x:f>H696*Z695/(tun_AdultYears*4)</x:f>
        <x:v>406.25105450808144</x:v>
      </x:c>
      <x:c r="Y696" s="32" t="n">
        <x:f>Y695+R696-S696-W696-Y695*V696/AB695</x:f>
        <x:v>25683.301147305174</x:v>
      </x:c>
      <x:c r="Z696" s="32" t="n">
        <x:f>Z695+W696-X696-T696-Z695*V696/AB695</x:f>
        <x:v>50412.10780069749</x:v>
      </x:c>
      <x:c r="AA696" s="32" t="n">
        <x:f>AA695+X696-U696-AA695*V696/AB695</x:f>
        <x:v>31589.06013251327</x:v>
      </x:c>
      <x:c r="AB696" s="10" t="n">
        <x:f>Y696+Z696+AA696</x:f>
        <x:v>107684.46908051595</x:v>
      </x:c>
      <x:c r="AC696" s="8" t="n">
        <x:f>IF(AND(tun_WinterTrigger=1,D696=1,AB695/AE695&gt;=K696),1,0)</x:f>
        <x:v>0</x:v>
      </x:c>
      <x:c r="AD696" s="8" t="n">
        <x:f>H696*IF(AND(OR(AB695/AE695&gt;=tun_FissionTrigger*N696,AC696=1),AB695/AE695*tun_DaughterShare&gt;=tun_MinDaughter),MAX(1,ROUND(AE695*tun_FissionRate,0)),0)</x:f>
        <x:v>3</x:v>
      </x:c>
      <x:c r="AE696" s="8" t="n">
        <x:f>IF(H696=1,MAX(1,MIN(INDEX(tun_Smax,G696),AE695+AD696)),AE695)</x:f>
        <x:v>9</x:v>
      </x:c>
      <x:c r="AF696" s="8" t="n">
        <x:f>MAX(0,AE696-AE695)</x:f>
        <x:v>0</x:v>
      </x:c>
      <x:c r="AG696" s="9" t="str">
        <x:f>IF(AF696&gt;0,B696,"")</x:f>
      </x:c>
      <x:c r="AH696" s="9" t="n">
        <x:f>IF(F696&gt;=1,1,(1+tun_LowTiesShare*(AE696-1))/AE696)</x:f>
        <x:v>1</x:v>
      </x:c>
      <x:c r="AI696" s="32" t="n">
        <x:f>(Z696+tun_ElderCommons*INDEX(LM_Elder,G696)*AA696)*AH696</x:f>
        <x:v>174652.92944704337</x:v>
      </x:c>
      <x:c r="AJ696" s="32" t="n">
        <x:f>H696*tun_CommonsCoef*AI696^tun_CommonsExp*INDEX(LM_Commons,G696)</x:f>
        <x:v>613535.2666296283</x:v>
      </x:c>
      <x:c r="AK696" s="32" t="n">
        <x:f>H696*tun_RoleScale*Arch_Roles*(AE696*(INDEX(tun_ElderRolePerSett,G696)*tun_OutElder*INDEX(LM_Elder,G696)+INDEX(tun_ShamanPerSett,G696)*tun_OutShaman)+Z696*(INDEX(tun_PriestShare,G696)*tun_OutPriest+INDEX(tun_ScribeShare,G696)*tun_OutScribe*INDEX(LM_Scribe,G696)+INDEX(tun_ScholarShare,G696)*tun_OutScholar*INDEX(LM_Scholar,G696)+INDEX(tun_ResearcherShare,G696)*tun_OutResearcher*INDEX(LM_Researcher,G696)))</x:f>
        <x:v>181807.3024464559</x:v>
      </x:c>
      <x:c r="AL696" s="32" t="n">
        <x:f>H696*tun_RoleScale*Arch_Roles*AE696*INDEX(tun_MonasteryPerSett,G696)*tun_OutMonastery*INDEX(LM_Monastery,G696)</x:f>
        <x:v>15.840000000000002</x:v>
      </x:c>
      <x:c r="AM696" s="32" t="n">
        <x:f>(AJ696+AK696+AL696)/4*INDEX(LM_All,G696)*INDEX(tun_Boon,G696)*Arch_Insight</x:f>
        <x:v>688758.4470218522</x:v>
      </x:c>
      <x:c r="AN696" s="32" t="n">
        <x:f>H696*(tun_KHPerAdult*Z696+tun_KHOfCommons*AJ696/4*INDEX(LM_All,G696))*tun_KHUsable*Arch_KH</x:f>
        <x:v>104230.5161376257</x:v>
      </x:c>
      <x:c r="AO696" s="32" t="n">
        <x:f>MIN(AP695+AN696,AM696*tun_KHMaxRatio)</x:f>
        <x:v>104230.5161376257</x:v>
      </x:c>
      <x:c r="AP696" s="32" t="n">
        <x:f>AP695+AN696-AO696</x:f>
        <x:v>0</x:v>
      </x:c>
      <x:c r="AQ696" s="32" t="n">
        <x:f>AM696+AO696</x:f>
        <x:v>792988.9631594779</x:v>
      </x:c>
      <x:c r="AR696" s="10" t="n">
        <x:f>IF(H696=1,INDEX(tun_Req,G696),0)</x:f>
        <x:v>125406521.7009086</x:v>
      </x:c>
      <x:c r="AS696" s="32" t="n">
        <x:f>IF(H696=1,IF(E696=1,AS695-AR695,AS695)+AQ696,0)</x:f>
        <x:v>46975442.80696536</x:v>
      </x:c>
      <x:c r="AT696" s="11" t="n">
        <x:f>IF(AR696&gt;0,MIN(1,AS696/AR696),1)</x:f>
        <x:v>0.3745853259450143</x:v>
      </x:c>
      <x:c r="AU696" s="10" t="n">
        <x:f>AB696/INDEX(tun_RepScale,G696)</x:f>
        <x:v>215.3689381610319</x:v>
      </x:c>
      <x:c r="AV696" s="32" t="n">
        <x:f>AM696*60/tun_SeasonSeconds</x:f>
        <x:v>2755033.7880874085</x:v>
      </x:c>
    </x:row>
    <x:row r="697">
      <x:c r="A697" s="8" t="n">
        <x:f>A696+1</x:f>
        <x:v>694</x:v>
      </x:c>
      <x:c r="B697" s="9" t="n">
        <x:f>A697*tun_SeasonSeconds/60</x:f>
        <x:v>173.5</x:v>
      </x:c>
      <x:c r="C697" s="9" t="n">
        <x:f>A697/4</x:f>
        <x:v>173.5</x:v>
      </x:c>
      <x:c r="D697" s="8" t="n">
        <x:f>IF(MOD(A697,4)=0,1,0)</x:f>
        <x:v>0</x:v>
      </x:c>
      <x:c r="E697" s="8" t="n">
        <x:f>IF(AND(F696&lt;=9,AS696&gt;=AR696),1,0)</x:f>
        <x:v>0</x:v>
      </x:c>
      <x:c r="F697" s="8" t="n">
        <x:f>MIN(10,F696+E697)</x:f>
        <x:v>9</x:v>
      </x:c>
      <x:c r="G697" s="8" t="n">
        <x:f>MIN(F697,9)+1</x:f>
        <x:v>10</x:v>
      </x:c>
      <x:c r="H697" s="8" t="n">
        <x:f>IF(F697&lt;=9,1,0)</x:f>
        <x:v>1</x:v>
      </x:c>
      <x:c r="I697" s="9" t="n">
        <x:f>MIN(10,F696+IF(AR696&gt;0,MIN(1,AS696/AR696),1))</x:f>
        <x:v>9.374585325945015</x:v>
      </x:c>
      <x:c r="J697" s="32" t="n">
        <x:f>INDEX(tun_FoodCap,G697)*Arch_FoodCap*EXP(tun_CapsByProject*SUMPRODUCT((Cap_Point&lt;=I697)*(Cap_Kind="Food")*Cap_Ln))</x:f>
        <x:v>13863.877308233004</x:v>
      </x:c>
      <x:c r="K697" s="32" t="n">
        <x:f>J697*MIN(1,tun_LeanBase*EXP(tun_CapsByProject*SUMPRODUCT((Cap_Point&lt;=I697)*(Cap_Kind="Lean")*Cap_Ln)))</x:f>
        <x:v>13863.877308233004</x:v>
      </x:c>
      <x:c r="L697" s="10" t="n">
        <x:f>INDEX(tun_HousingCap,G697)*EXP(tun_CapsByProject*SUMPRODUCT((Cap_Point&lt;=I697)*(Cap_Kind="Housing")*Cap_Ln))</x:f>
        <x:v>12514.86067705494</x:v>
      </x:c>
      <x:c r="M697" s="10" t="n">
        <x:f>INDEX(tun_GroupCap,G697)*tun_CohesionFactor*EXP(tun_CapsByProject*SUMPRODUCT((Cap_Point&lt;=I697)*(Cap_Kind="Group")*Cap_Ln))</x:f>
        <x:v>1000000.000000001</x:v>
      </x:c>
      <x:c r="N697" s="32" t="n">
        <x:f>MIN(J697,L697,M697)</x:f>
        <x:v>12514.86067705494</x:v>
      </x:c>
      <x:c r="O697" s="10" t="n">
        <x:f>AE696*N697</x:f>
        <x:v>112633.74609349445</x:v>
      </x:c>
      <x:c r="P697" s="9" t="n">
        <x:f>MIN(1,(AB696/(AE696*IF(tun_GroupInCrowding=1,N697,MIN(J697,L697))))^tun_CrowdingExp)</x:f>
        <x:v>0.7636726824041602</x:v>
      </x:c>
      <x:c r="Q697" s="9" t="n">
        <x:f>IF(D697=1,INDEX(tun_WinterMult,G697),1)</x:f>
        <x:v>1</x:v>
      </x:c>
      <x:c r="R697" s="9" t="n">
        <x:f>H697*Z696*tun_WomenShare*tun_BaseFertility*INDEX(tun_FertMult,G697)*Arch_Fertility*(1-P697)</x:f>
        <x:v>271.03799929777364</x:v>
      </x:c>
      <x:c r="S697" s="9" t="n">
        <x:f>H697*Y696*INDEX(tun_MortChild,G697)/4*Q697</x:f>
        <x:v>5.778742758143664</x:v>
      </x:c>
      <x:c r="T697" s="9" t="n">
        <x:f>H697*Z696*INDEX(tun_MortAdult,G697)*Arch_AdultMort/4*Q697</x:f>
        <x:v>18.904540425261562</x:v>
      </x:c>
      <x:c r="U697" s="9" t="n">
        <x:f>H697*AA696*INDEX(tun_MortElder,G697)/4*Q697</x:f>
        <x:v>213.22615589446457</x:v>
      </x:c>
      <x:c r="V697" s="9" t="n">
        <x:f>H697*MAX(0,AB696-O697)*tun_OvercapLoss</x:f>
        <x:v>0</x:v>
      </x:c>
      <x:c r="W697" s="9" t="n">
        <x:f>H697*Y696/(tun_ChildYears*4)</x:f>
        <x:v>458.6303776304495</x:v>
      </x:c>
      <x:c r="X697" s="9" t="n">
        <x:f>H697*Z696/(tun_AdultYears*4)</x:f>
        <x:v>406.54925645723785</x:v>
      </x:c>
      <x:c r="Y697" s="32" t="n">
        <x:f>Y696+R697-S697-W697-Y696*V697/AB696</x:f>
        <x:v>25489.930026214355</x:v>
      </x:c>
      <x:c r="Z697" s="32" t="n">
        <x:f>Z696+W697-X697-T697-Z696*V697/AB696</x:f>
        <x:v>50445.28438144544</x:v>
      </x:c>
      <x:c r="AA697" s="32" t="n">
        <x:f>AA696+X697-U697-AA696*V697/AB696</x:f>
        <x:v>31782.383233076045</x:v>
      </x:c>
      <x:c r="AB697" s="10" t="n">
        <x:f>Y697+Z697+AA697</x:f>
        <x:v>107717.59764073584</x:v>
      </x:c>
      <x:c r="AC697" s="8" t="n">
        <x:f>IF(AND(tun_WinterTrigger=1,D697=1,AB696/AE696&gt;=K697),1,0)</x:f>
        <x:v>0</x:v>
      </x:c>
      <x:c r="AD697" s="8" t="n">
        <x:f>H697*IF(AND(OR(AB696/AE696&gt;=tun_FissionTrigger*N697,AC697=1),AB696/AE696*tun_DaughterShare&gt;=tun_MinDaughter),MAX(1,ROUND(AE696*tun_FissionRate,0)),0)</x:f>
        <x:v>3</x:v>
      </x:c>
      <x:c r="AE697" s="8" t="n">
        <x:f>IF(H697=1,MAX(1,MIN(INDEX(tun_Smax,G697),AE696+AD697)),AE696)</x:f>
        <x:v>9</x:v>
      </x:c>
      <x:c r="AF697" s="8" t="n">
        <x:f>MAX(0,AE697-AE696)</x:f>
        <x:v>0</x:v>
      </x:c>
      <x:c r="AG697" s="9" t="str">
        <x:f>IF(AF697&gt;0,B697,"")</x:f>
      </x:c>
      <x:c r="AH697" s="9" t="n">
        <x:f>IF(F697&gt;=1,1,(1+tun_LowTiesShare*(AE697-1))/AE697)</x:f>
        <x:v>1</x:v>
      </x:c>
      <x:c r="AI697" s="32" t="n">
        <x:f>(Z697+tun_ElderCommons*INDEX(LM_Elder,G697)*AA697)*AH697</x:f>
        <x:v>175446.45219688854</x:v>
      </x:c>
      <x:c r="AJ697" s="32" t="n">
        <x:f>H697*tun_CommonsCoef*AI697^tun_CommonsExp*INDEX(LM_Commons,G697)</x:f>
        <x:v>615903.880172516</x:v>
      </x:c>
      <x:c r="AK697" s="32" t="n">
        <x:f>H697*tun_RoleScale*Arch_Roles*(AE697*(INDEX(tun_ElderRolePerSett,G697)*tun_OutElder*INDEX(LM_Elder,G697)+INDEX(tun_ShamanPerSett,G697)*tun_OutShaman)+Z697*(INDEX(tun_PriestShare,G697)*tun_OutPriest+INDEX(tun_ScribeShare,G697)*tun_OutScribe*INDEX(LM_Scribe,G697)+INDEX(tun_ScholarShare,G697)*tun_OutScholar*INDEX(LM_Scholar,G697)+INDEX(tun_ResearcherShare,G697)*tun_OutResearcher*INDEX(LM_Researcher,G697)))</x:f>
        <x:v>181926.7869194704</x:v>
      </x:c>
      <x:c r="AL697" s="32" t="n">
        <x:f>H697*tun_RoleScale*Arch_Roles*AE697*INDEX(tun_MonasteryPerSett,G697)*tun_OutMonastery*INDEX(LM_Monastery,G697)</x:f>
        <x:v>15.840000000000002</x:v>
      </x:c>
      <x:c r="AM697" s="32" t="n">
        <x:f>(AJ697+AK697+AL697)/4*INDEX(LM_All,G697)*INDEX(tun_Boon,G697)*Arch_Insight</x:f>
        <x:v>690913.0712842168</x:v>
      </x:c>
      <x:c r="AN697" s="32" t="n">
        <x:f>H697*(tun_KHPerAdult*Z697+tun_KHOfCommons*AJ697/4*INDEX(LM_All,G697))*tun_KHUsable*Arch_KH</x:f>
        <x:v>104632.90834803926</x:v>
      </x:c>
      <x:c r="AO697" s="32" t="n">
        <x:f>MIN(AP696+AN697,AM697*tun_KHMaxRatio)</x:f>
        <x:v>104632.90834803926</x:v>
      </x:c>
      <x:c r="AP697" s="32" t="n">
        <x:f>AP696+AN697-AO697</x:f>
        <x:v>0</x:v>
      </x:c>
      <x:c r="AQ697" s="32" t="n">
        <x:f>AM697+AO697</x:f>
        <x:v>795545.9796322561</x:v>
      </x:c>
      <x:c r="AR697" s="10" t="n">
        <x:f>IF(H697=1,INDEX(tun_Req,G697),0)</x:f>
        <x:v>125406521.7009086</x:v>
      </x:c>
      <x:c r="AS697" s="32" t="n">
        <x:f>IF(H697=1,IF(E697=1,AS696-AR696,AS696)+AQ697,0)</x:f>
        <x:v>47770988.78659762</x:v>
      </x:c>
      <x:c r="AT697" s="11" t="n">
        <x:f>IF(AR697&gt;0,MIN(1,AS697/AR697),1)</x:f>
        <x:v>0.38092906284834394</x:v>
      </x:c>
      <x:c r="AU697" s="10" t="n">
        <x:f>AB697/INDEX(tun_RepScale,G697)</x:f>
        <x:v>215.4351952814717</x:v>
      </x:c>
      <x:c r="AV697" s="32" t="n">
        <x:f>AM697*60/tun_SeasonSeconds</x:f>
        <x:v>2763652.285136868</x:v>
      </x:c>
    </x:row>
    <x:row r="698">
      <x:c r="A698" s="8" t="n">
        <x:f>A697+1</x:f>
        <x:v>695</x:v>
      </x:c>
      <x:c r="B698" s="9" t="n">
        <x:f>A698*tun_SeasonSeconds/60</x:f>
        <x:v>173.75</x:v>
      </x:c>
      <x:c r="C698" s="9" t="n">
        <x:f>A698/4</x:f>
        <x:v>173.75</x:v>
      </x:c>
      <x:c r="D698" s="8" t="n">
        <x:f>IF(MOD(A698,4)=0,1,0)</x:f>
        <x:v>0</x:v>
      </x:c>
      <x:c r="E698" s="8" t="n">
        <x:f>IF(AND(F697&lt;=9,AS697&gt;=AR697),1,0)</x:f>
        <x:v>0</x:v>
      </x:c>
      <x:c r="F698" s="8" t="n">
        <x:f>MIN(10,F697+E698)</x:f>
        <x:v>9</x:v>
      </x:c>
      <x:c r="G698" s="8" t="n">
        <x:f>MIN(F698,9)+1</x:f>
        <x:v>10</x:v>
      </x:c>
      <x:c r="H698" s="8" t="n">
        <x:f>IF(F698&lt;=9,1,0)</x:f>
        <x:v>1</x:v>
      </x:c>
      <x:c r="I698" s="9" t="n">
        <x:f>MIN(10,F697+IF(AR697&gt;0,MIN(1,AS697/AR697),1))</x:f>
        <x:v>9.380929062848343</x:v>
      </x:c>
      <x:c r="J698" s="32" t="n">
        <x:f>INDEX(tun_FoodCap,G698)*Arch_FoodCap*EXP(tun_CapsByProject*SUMPRODUCT((Cap_Point&lt;=I698)*(Cap_Kind="Food")*Cap_Ln))</x:f>
        <x:v>13863.877308233004</x:v>
      </x:c>
      <x:c r="K698" s="32" t="n">
        <x:f>J698*MIN(1,tun_LeanBase*EXP(tun_CapsByProject*SUMPRODUCT((Cap_Point&lt;=I698)*(Cap_Kind="Lean")*Cap_Ln)))</x:f>
        <x:v>13863.877308233004</x:v>
      </x:c>
      <x:c r="L698" s="10" t="n">
        <x:f>INDEX(tun_HousingCap,G698)*EXP(tun_CapsByProject*SUMPRODUCT((Cap_Point&lt;=I698)*(Cap_Kind="Housing")*Cap_Ln))</x:f>
        <x:v>12514.86067705494</x:v>
      </x:c>
      <x:c r="M698" s="10" t="n">
        <x:f>INDEX(tun_GroupCap,G698)*tun_CohesionFactor*EXP(tun_CapsByProject*SUMPRODUCT((Cap_Point&lt;=I698)*(Cap_Kind="Group")*Cap_Ln))</x:f>
        <x:v>1000000.000000001</x:v>
      </x:c>
      <x:c r="N698" s="32" t="n">
        <x:f>MIN(J698,L698,M698)</x:f>
        <x:v>12514.86067705494</x:v>
      </x:c>
      <x:c r="O698" s="10" t="n">
        <x:f>AE697*N698</x:f>
        <x:v>112633.74609349445</x:v>
      </x:c>
      <x:c r="P698" s="9" t="n">
        <x:f>MIN(1,(AB697/(AE697*IF(tun_GroupInCrowding=1,N698,MIN(J698,L698))))^tun_CrowdingExp)</x:f>
        <x:v>0.7650834063106041</x:v>
      </x:c>
      <x:c r="Q698" s="9" t="n">
        <x:f>IF(D698=1,INDEX(tun_WinterMult,G698),1)</x:f>
        <x:v>1</x:v>
      </x:c>
      <x:c r="R698" s="9" t="n">
        <x:f>H698*Z697*tun_WomenShare*tun_BaseFertility*INDEX(tun_FertMult,G698)*Arch_Fertility*(1-P698)</x:f>
        <x:v>269.59738202174157</x:v>
      </x:c>
      <x:c r="S698" s="9" t="n">
        <x:f>H698*Y697*INDEX(tun_MortChild,G698)/4*Q698</x:f>
        <x:v>5.73523425589823</x:v>
      </x:c>
      <x:c r="T698" s="9" t="n">
        <x:f>H698*Z697*INDEX(tun_MortAdult,G698)*Arch_AdultMort/4*Q698</x:f>
        <x:v>18.91698164304204</x:v>
      </x:c>
      <x:c r="U698" s="9" t="n">
        <x:f>H698*AA697*INDEX(tun_MortElder,G698)/4*Q698</x:f>
        <x:v>214.5310868232633</x:v>
      </x:c>
      <x:c r="V698" s="9" t="n">
        <x:f>H698*MAX(0,AB697-O698)*tun_OvercapLoss</x:f>
        <x:v>0</x:v>
      </x:c>
      <x:c r="W698" s="9" t="n">
        <x:f>H698*Y697/(tun_ChildYears*4)</x:f>
        <x:v>455.17732189668493</x:v>
      </x:c>
      <x:c r="X698" s="9" t="n">
        <x:f>H698*Z697/(tun_AdultYears*4)</x:f>
        <x:v>406.8168095277858</x:v>
      </x:c>
      <x:c r="Y698" s="32" t="n">
        <x:f>Y697+R698-S698-W698-Y697*V698/AB697</x:f>
        <x:v>25298.614852083512</x:v>
      </x:c>
      <x:c r="Z698" s="32" t="n">
        <x:f>Z697+W698-X698-T698-Z697*V698/AB697</x:f>
        <x:v>50474.72791217129</x:v>
      </x:c>
      <x:c r="AA698" s="32" t="n">
        <x:f>AA697+X698-U698-AA697*V698/AB697</x:f>
        <x:v>31974.66895578057</x:v>
      </x:c>
      <x:c r="AB698" s="10" t="n">
        <x:f>Y698+Z698+AA698</x:f>
        <x:v>107748.01172003537</x:v>
      </x:c>
      <x:c r="AC698" s="8" t="n">
        <x:f>IF(AND(tun_WinterTrigger=1,D698=1,AB697/AE697&gt;=K698),1,0)</x:f>
        <x:v>0</x:v>
      </x:c>
      <x:c r="AD698" s="8" t="n">
        <x:f>H698*IF(AND(OR(AB697/AE697&gt;=tun_FissionTrigger*N698,AC698=1),AB697/AE697*tun_DaughterShare&gt;=tun_MinDaughter),MAX(1,ROUND(AE697*tun_FissionRate,0)),0)</x:f>
        <x:v>3</x:v>
      </x:c>
      <x:c r="AE698" s="8" t="n">
        <x:f>IF(H698=1,MAX(1,MIN(INDEX(tun_Smax,G698),AE697+AD698)),AE697)</x:f>
        <x:v>9</x:v>
      </x:c>
      <x:c r="AF698" s="8" t="n">
        <x:f>MAX(0,AE698-AE697)</x:f>
        <x:v>0</x:v>
      </x:c>
      <x:c r="AG698" s="9" t="str">
        <x:f>IF(AF698&gt;0,B698,"")</x:f>
      </x:c>
      <x:c r="AH698" s="9" t="n">
        <x:f>IF(F698&gt;=1,1,(1+tun_LowTiesShare*(AE698-1))/AE698)</x:f>
        <x:v>1</x:v>
      </x:c>
      <x:c r="AI698" s="32" t="n">
        <x:f>(Z698+tun_ElderCommons*INDEX(LM_Elder,G698)*AA698)*AH698</x:f>
        <x:v>176232.16185517426</x:v>
      </x:c>
      <x:c r="AJ698" s="32" t="n">
        <x:f>H698*tun_CommonsCoef*AI698^tun_CommonsExp*INDEX(LM_Commons,G698)</x:f>
        <x:v>618247.5893649991</x:v>
      </x:c>
      <x:c r="AK698" s="32" t="n">
        <x:f>H698*tun_RoleScale*Arch_Roles*(AE698*(INDEX(tun_ElderRolePerSett,G698)*tun_OutElder*INDEX(LM_Elder,G698)+INDEX(tun_ShamanPerSett,G698)*tun_OutShaman)+Z698*(INDEX(tun_PriestShare,G698)*tun_OutPriest+INDEX(tun_ScribeShare,G698)*tun_OutScribe*INDEX(LM_Scribe,G698)+INDEX(tun_ScholarShare,G698)*tun_OutScholar*INDEX(LM_Scholar,G698)+INDEX(tun_ResearcherShare,G698)*tun_OutResearcher*INDEX(LM_Researcher,G698)))</x:f>
        <x:v>182032.8269233874</x:v>
      </x:c>
      <x:c r="AL698" s="32" t="n">
        <x:f>H698*tun_RoleScale*Arch_Roles*AE698*INDEX(tun_MonasteryPerSett,G698)*tun_OutMonastery*INDEX(LM_Monastery,G698)</x:f>
        <x:v>15.840000000000002</x:v>
      </x:c>
      <x:c r="AM698" s="32" t="n">
        <x:f>(AJ698+AK698+AL698)/4*INDEX(LM_All,G698)*INDEX(tun_Boon,G698)*Arch_Insight</x:f>
        <x:v>693034.4865265168</x:v>
      </x:c>
      <x:c r="AN698" s="32" t="n">
        <x:f>H698*(tun_KHPerAdult*Z698+tun_KHOfCommons*AJ698/4*INDEX(LM_All,G698))*tun_KHUsable*Arch_KH</x:f>
        <x:v>105031.06967974387</x:v>
      </x:c>
      <x:c r="AO698" s="32" t="n">
        <x:f>MIN(AP697+AN698,AM698*tun_KHMaxRatio)</x:f>
        <x:v>105031.06967974387</x:v>
      </x:c>
      <x:c r="AP698" s="32" t="n">
        <x:f>AP697+AN698-AO698</x:f>
        <x:v>0</x:v>
      </x:c>
      <x:c r="AQ698" s="32" t="n">
        <x:f>AM698+AO698</x:f>
        <x:v>798065.5562062607</x:v>
      </x:c>
      <x:c r="AR698" s="10" t="n">
        <x:f>IF(H698=1,INDEX(tun_Req,G698),0)</x:f>
        <x:v>125406521.7009086</x:v>
      </x:c>
      <x:c r="AS698" s="32" t="n">
        <x:f>IF(H698=1,IF(E698=1,AS697-AR697,AS697)+AQ698,0)</x:f>
        <x:v>48569054.34280388</x:v>
      </x:c>
      <x:c r="AT698" s="11" t="n">
        <x:f>IF(AR698&gt;0,MIN(1,AS698/AR698),1)</x:f>
        <x:v>0.3872928910239601</x:v>
      </x:c>
      <x:c r="AU698" s="10" t="n">
        <x:f>AB698/INDEX(tun_RepScale,G698)</x:f>
        <x:v>215.49602344007073</x:v>
      </x:c>
      <x:c r="AV698" s="32" t="n">
        <x:f>AM698*60/tun_SeasonSeconds</x:f>
        <x:v>2772137.9461060674</x:v>
      </x:c>
    </x:row>
    <x:row r="699">
      <x:c r="A699" s="8" t="n">
        <x:f>A698+1</x:f>
        <x:v>696</x:v>
      </x:c>
      <x:c r="B699" s="9" t="n">
        <x:f>A699*tun_SeasonSeconds/60</x:f>
        <x:v>174</x:v>
      </x:c>
      <x:c r="C699" s="9" t="n">
        <x:f>A699/4</x:f>
        <x:v>174</x:v>
      </x:c>
      <x:c r="D699" s="8" t="n">
        <x:f>IF(MOD(A699,4)=0,1,0)</x:f>
        <x:v>1</x:v>
      </x:c>
      <x:c r="E699" s="8" t="n">
        <x:f>IF(AND(F698&lt;=9,AS698&gt;=AR698),1,0)</x:f>
        <x:v>0</x:v>
      </x:c>
      <x:c r="F699" s="8" t="n">
        <x:f>MIN(10,F698+E699)</x:f>
        <x:v>9</x:v>
      </x:c>
      <x:c r="G699" s="8" t="n">
        <x:f>MIN(F699,9)+1</x:f>
        <x:v>10</x:v>
      </x:c>
      <x:c r="H699" s="8" t="n">
        <x:f>IF(F699&lt;=9,1,0)</x:f>
        <x:v>1</x:v>
      </x:c>
      <x:c r="I699" s="9" t="n">
        <x:f>MIN(10,F698+IF(AR698&gt;0,MIN(1,AS698/AR698),1))</x:f>
        <x:v>9.38729289102396</x:v>
      </x:c>
      <x:c r="J699" s="32" t="n">
        <x:f>INDEX(tun_FoodCap,G699)*Arch_FoodCap*EXP(tun_CapsByProject*SUMPRODUCT((Cap_Point&lt;=I699)*(Cap_Kind="Food")*Cap_Ln))</x:f>
        <x:v>13863.877308233004</x:v>
      </x:c>
      <x:c r="K699" s="32" t="n">
        <x:f>J699*MIN(1,tun_LeanBase*EXP(tun_CapsByProject*SUMPRODUCT((Cap_Point&lt;=I699)*(Cap_Kind="Lean")*Cap_Ln)))</x:f>
        <x:v>13863.877308233004</x:v>
      </x:c>
      <x:c r="L699" s="10" t="n">
        <x:f>INDEX(tun_HousingCap,G699)*EXP(tun_CapsByProject*SUMPRODUCT((Cap_Point&lt;=I699)*(Cap_Kind="Housing")*Cap_Ln))</x:f>
        <x:v>12514.86067705494</x:v>
      </x:c>
      <x:c r="M699" s="10" t="n">
        <x:f>INDEX(tun_GroupCap,G699)*tun_CohesionFactor*EXP(tun_CapsByProject*SUMPRODUCT((Cap_Point&lt;=I699)*(Cap_Kind="Group")*Cap_Ln))</x:f>
        <x:v>1000000.000000001</x:v>
      </x:c>
      <x:c r="N699" s="32" t="n">
        <x:f>MIN(J699,L699,M699)</x:f>
        <x:v>12514.86067705494</x:v>
      </x:c>
      <x:c r="O699" s="10" t="n">
        <x:f>AE698*N699</x:f>
        <x:v>112633.74609349445</x:v>
      </x:c>
      <x:c r="P699" s="9" t="n">
        <x:f>MIN(1,(AB698/(AE698*IF(tun_GroupInCrowding=1,N699,MIN(J699,L699))))^tun_CrowdingExp)</x:f>
        <x:v>0.7663804500239403</x:v>
      </x:c>
      <x:c r="Q699" s="9" t="n">
        <x:f>IF(D699=1,INDEX(tun_WinterMult,G699),1)</x:f>
        <x:v>1.05</x:v>
      </x:c>
      <x:c r="R699" s="9" t="n">
        <x:f>H699*Z698*tun_WomenShare*tun_BaseFertility*INDEX(tun_FertMult,G699)*Arch_Fertility*(1-P699)</x:f>
        <x:v>268.2653432551255</x:v>
      </x:c>
      <x:c r="S699" s="9" t="n">
        <x:f>H699*Y698*INDEX(tun_MortChild,G699)/4*Q699</x:f>
        <x:v>5.97679775880473</x:v>
      </x:c>
      <x:c r="T699" s="9" t="n">
        <x:f>H699*Z698*INDEX(tun_MortAdult,G699)*Arch_AdultMort/4*Q699</x:f>
        <x:v>19.874424115417447</x:v>
      </x:c>
      <x:c r="U699" s="9" t="n">
        <x:f>H699*AA698*INDEX(tun_MortElder,G699)/4*Q699</x:f>
        <x:v>226.6204662240948</x:v>
      </x:c>
      <x:c r="V699" s="9" t="n">
        <x:f>H699*MAX(0,AB698-O699)*tun_OvercapLoss</x:f>
        <x:v>0</x:v>
      </x:c>
      <x:c r="W699" s="9" t="n">
        <x:f>H699*Y698/(tun_ChildYears*4)</x:f>
        <x:v>451.7609795014913</x:v>
      </x:c>
      <x:c r="X699" s="9" t="n">
        <x:f>H699*Z698/(tun_AdultYears*4)</x:f>
        <x:v>407.0542573562201</x:v>
      </x:c>
      <x:c r="Y699" s="32" t="n">
        <x:f>Y698+R699-S699-W699-Y698*V699/AB698</x:f>
        <x:v>25109.142418078343</x:v>
      </x:c>
      <x:c r="Z699" s="32" t="n">
        <x:f>Z698+W699-X699-T699-Z698*V699/AB698</x:f>
        <x:v>50499.56021020115</x:v>
      </x:c>
      <x:c r="AA699" s="32" t="n">
        <x:f>AA698+X699-U699-AA698*V699/AB698</x:f>
        <x:v>32155.102746912693</x:v>
      </x:c>
      <x:c r="AB699" s="10" t="n">
        <x:f>Y699+Z699+AA699</x:f>
        <x:v>107763.80537519217</x:v>
      </x:c>
      <x:c r="AC699" s="8" t="n">
        <x:f>IF(AND(tun_WinterTrigger=1,D699=1,AB698/AE698&gt;=K699),1,0)</x:f>
        <x:v>0</x:v>
      </x:c>
      <x:c r="AD699" s="8" t="n">
        <x:f>H699*IF(AND(OR(AB698/AE698&gt;=tun_FissionTrigger*N699,AC699=1),AB698/AE698*tun_DaughterShare&gt;=tun_MinDaughter),MAX(1,ROUND(AE698*tun_FissionRate,0)),0)</x:f>
        <x:v>3</x:v>
      </x:c>
      <x:c r="AE699" s="8" t="n">
        <x:f>IF(H699=1,MAX(1,MIN(INDEX(tun_Smax,G699),AE698+AD699)),AE698)</x:f>
        <x:v>9</x:v>
      </x:c>
      <x:c r="AF699" s="8" t="n">
        <x:f>MAX(0,AE699-AE698)</x:f>
        <x:v>0</x:v>
      </x:c>
      <x:c r="AG699" s="9" t="str">
        <x:f>IF(AF699&gt;0,B699,"")</x:f>
      </x:c>
      <x:c r="AH699" s="9" t="n">
        <x:f>IF(F699&gt;=1,1,(1+tun_LowTiesShare*(AE699-1))/AE699)</x:f>
        <x:v>1</x:v>
      </x:c>
      <x:c r="AI699" s="32" t="n">
        <x:f>(Z699+tun_ElderCommons*INDEX(LM_Elder,G699)*AA699)*AH699</x:f>
        <x:v>176966.64624063508</x:v>
      </x:c>
      <x:c r="AJ699" s="32" t="n">
        <x:f>H699*tun_CommonsCoef*AI699^tun_CommonsExp*INDEX(LM_Commons,G699)</x:f>
        <x:v>620437.0805464146</x:v>
      </x:c>
      <x:c r="AK699" s="32" t="n">
        <x:f>H699*tun_RoleScale*Arch_Roles*(AE699*(INDEX(tun_ElderRolePerSett,G699)*tun_OutElder*INDEX(LM_Elder,G699)+INDEX(tun_ShamanPerSett,G699)*tun_OutShaman)+Z699*(INDEX(tun_PriestShare,G699)*tun_OutPriest+INDEX(tun_ScribeShare,G699)*tun_OutScribe*INDEX(LM_Scribe,G699)+INDEX(tun_ScholarShare,G699)*tun_OutScholar*INDEX(LM_Scholar,G699)+INDEX(tun_ResearcherShare,G699)*tun_OutResearcher*INDEX(LM_Researcher,G699)))</x:f>
        <x:v>182122.25970931485</x:v>
      </x:c>
      <x:c r="AL699" s="32" t="n">
        <x:f>H699*tun_RoleScale*Arch_Roles*AE699*INDEX(tun_MonasteryPerSett,G699)*tun_OutMonastery*INDEX(LM_Monastery,G699)</x:f>
        <x:v>15.840000000000002</x:v>
      </x:c>
      <x:c r="AM699" s="32" t="n">
        <x:f>(AJ699+AK699+AL699)/4*INDEX(LM_All,G699)*INDEX(tun_Boon,G699)*Arch_Insight</x:f>
        <x:v>695007.9718316529</x:v>
      </x:c>
      <x:c r="AN699" s="32" t="n">
        <x:f>H699*(tun_KHPerAdult*Z699+tun_KHOfCommons*AJ699/4*INDEX(LM_All,G699))*tun_KHUsable*Arch_KH</x:f>
        <x:v>105403.03166519155</x:v>
      </x:c>
      <x:c r="AO699" s="32" t="n">
        <x:f>MIN(AP698+AN699,AM699*tun_KHMaxRatio)</x:f>
        <x:v>105403.03166519155</x:v>
      </x:c>
      <x:c r="AP699" s="32" t="n">
        <x:f>AP698+AN699-AO699</x:f>
        <x:v>0</x:v>
      </x:c>
      <x:c r="AQ699" s="32" t="n">
        <x:f>AM699+AO699</x:f>
        <x:v>800411.0034968444</x:v>
      </x:c>
      <x:c r="AR699" s="10" t="n">
        <x:f>IF(H699=1,INDEX(tun_Req,G699),0)</x:f>
        <x:v>125406521.7009086</x:v>
      </x:c>
      <x:c r="AS699" s="32" t="n">
        <x:f>IF(H699=1,IF(E699=1,AS698-AR698,AS698)+AQ699,0)</x:f>
        <x:v>49369465.34630073</x:v>
      </x:c>
      <x:c r="AT699" s="11" t="n">
        <x:f>IF(AR699&gt;0,MIN(1,AS699/AR699),1)</x:f>
        <x:v>0.3936754219532989</x:v>
      </x:c>
      <x:c r="AU699" s="10" t="n">
        <x:f>AB699/INDEX(tun_RepScale,G699)</x:f>
        <x:v>215.52761075038433</x:v>
      </x:c>
      <x:c r="AV699" s="32" t="n">
        <x:f>AM699*60/tun_SeasonSeconds</x:f>
        <x:v>2780031.8873266117</x:v>
      </x:c>
    </x:row>
    <x:row r="700">
      <x:c r="A700" s="8" t="n">
        <x:f>A699+1</x:f>
        <x:v>697</x:v>
      </x:c>
      <x:c r="B700" s="9" t="n">
        <x:f>A700*tun_SeasonSeconds/60</x:f>
        <x:v>174.25</x:v>
      </x:c>
      <x:c r="C700" s="9" t="n">
        <x:f>A700/4</x:f>
        <x:v>174.25</x:v>
      </x:c>
      <x:c r="D700" s="8" t="n">
        <x:f>IF(MOD(A700,4)=0,1,0)</x:f>
        <x:v>0</x:v>
      </x:c>
      <x:c r="E700" s="8" t="n">
        <x:f>IF(AND(F699&lt;=9,AS699&gt;=AR699),1,0)</x:f>
        <x:v>0</x:v>
      </x:c>
      <x:c r="F700" s="8" t="n">
        <x:f>MIN(10,F699+E700)</x:f>
        <x:v>9</x:v>
      </x:c>
      <x:c r="G700" s="8" t="n">
        <x:f>MIN(F700,9)+1</x:f>
        <x:v>10</x:v>
      </x:c>
      <x:c r="H700" s="8" t="n">
        <x:f>IF(F700&lt;=9,1,0)</x:f>
        <x:v>1</x:v>
      </x:c>
      <x:c r="I700" s="9" t="n">
        <x:f>MIN(10,F699+IF(AR699&gt;0,MIN(1,AS699/AR699),1))</x:f>
        <x:v>9.393675421953299</x:v>
      </x:c>
      <x:c r="J700" s="32" t="n">
        <x:f>INDEX(tun_FoodCap,G700)*Arch_FoodCap*EXP(tun_CapsByProject*SUMPRODUCT((Cap_Point&lt;=I700)*(Cap_Kind="Food")*Cap_Ln))</x:f>
        <x:v>13863.877308233004</x:v>
      </x:c>
      <x:c r="K700" s="32" t="n">
        <x:f>J700*MIN(1,tun_LeanBase*EXP(tun_CapsByProject*SUMPRODUCT((Cap_Point&lt;=I700)*(Cap_Kind="Lean")*Cap_Ln)))</x:f>
        <x:v>13863.877308233004</x:v>
      </x:c>
      <x:c r="L700" s="10" t="n">
        <x:f>INDEX(tun_HousingCap,G700)*EXP(tun_CapsByProject*SUMPRODUCT((Cap_Point&lt;=I700)*(Cap_Kind="Housing")*Cap_Ln))</x:f>
        <x:v>12514.86067705494</x:v>
      </x:c>
      <x:c r="M700" s="10" t="n">
        <x:f>INDEX(tun_GroupCap,G700)*tun_CohesionFactor*EXP(tun_CapsByProject*SUMPRODUCT((Cap_Point&lt;=I700)*(Cap_Kind="Group")*Cap_Ln))</x:f>
        <x:v>1000000.000000001</x:v>
      </x:c>
      <x:c r="N700" s="32" t="n">
        <x:f>MIN(J700,L700,M700)</x:f>
        <x:v>12514.86067705494</x:v>
      </x:c>
      <x:c r="O700" s="10" t="n">
        <x:f>AE699*N700</x:f>
        <x:v>112633.74609349445</x:v>
      </x:c>
      <x:c r="P700" s="9" t="n">
        <x:f>MIN(1,(AB699/(AE699*IF(tun_GroupInCrowding=1,N700,MIN(J700,L700))))^tun_CrowdingExp)</x:f>
        <x:v>0.7670547112765768</x:v>
      </x:c>
      <x:c r="Q700" s="9" t="n">
        <x:f>IF(D700=1,INDEX(tun_WinterMult,G700),1)</x:f>
        <x:v>1</x:v>
      </x:c>
      <x:c r="R700" s="9" t="n">
        <x:f>H700*Z699*tun_WomenShare*tun_BaseFertility*INDEX(tun_FertMult,G700)*Arch_Fertility*(1-P700)</x:f>
        <x:v>267.62268791374487</x:v>
      </x:c>
      <x:c r="S700" s="9" t="n">
        <x:f>H700*Y699*INDEX(tun_MortChild,G700)/4*Q700</x:f>
        <x:v>5.6495570440676275</x:v>
      </x:c>
      <x:c r="T700" s="9" t="n">
        <x:f>H700*Z699*INDEX(tun_MortAdult,G700)*Arch_AdultMort/4*Q700</x:f>
        <x:v>18.93733507882543</x:v>
      </x:c>
      <x:c r="U700" s="9" t="n">
        <x:f>H700*AA699*INDEX(tun_MortElder,G700)/4*Q700</x:f>
        <x:v>217.04694354166068</x:v>
      </x:c>
      <x:c r="V700" s="9" t="n">
        <x:f>H700*MAX(0,AB699-O700)*tun_OvercapLoss</x:f>
        <x:v>0</x:v>
      </x:c>
      <x:c r="W700" s="9" t="n">
        <x:f>H700*Y699/(tun_ChildYears*4)</x:f>
        <x:v>448.3775431799704</x:v>
      </x:c>
      <x:c r="X700" s="9" t="n">
        <x:f>H700*Z699/(tun_AdultYears*4)</x:f>
        <x:v>407.2545178242028</x:v>
      </x:c>
      <x:c r="Y700" s="32" t="n">
        <x:f>Y699+R700-S700-W700-Y699*V700/AB699</x:f>
        <x:v>24922.738005768053</x:v>
      </x:c>
      <x:c r="Z700" s="32" t="n">
        <x:f>Z699+W700-X700-T700-Z699*V700/AB699</x:f>
        <x:v>50521.7459004781</x:v>
      </x:c>
      <x:c r="AA700" s="32" t="n">
        <x:f>AA699+X700-U700-AA699*V700/AB699</x:f>
        <x:v>32345.310321195237</x:v>
      </x:c>
      <x:c r="AB700" s="10" t="n">
        <x:f>Y700+Z700+AA700</x:f>
        <x:v>107789.7942274414</x:v>
      </x:c>
      <x:c r="AC700" s="8" t="n">
        <x:f>IF(AND(tun_WinterTrigger=1,D700=1,AB699/AE699&gt;=K700),1,0)</x:f>
        <x:v>0</x:v>
      </x:c>
      <x:c r="AD700" s="8" t="n">
        <x:f>H700*IF(AND(OR(AB699/AE699&gt;=tun_FissionTrigger*N700,AC700=1),AB699/AE699*tun_DaughterShare&gt;=tun_MinDaughter),MAX(1,ROUND(AE699*tun_FissionRate,0)),0)</x:f>
        <x:v>3</x:v>
      </x:c>
      <x:c r="AE700" s="8" t="n">
        <x:f>IF(H700=1,MAX(1,MIN(INDEX(tun_Smax,G700),AE699+AD700)),AE699)</x:f>
        <x:v>9</x:v>
      </x:c>
      <x:c r="AF700" s="8" t="n">
        <x:f>MAX(0,AE700-AE699)</x:f>
        <x:v>0</x:v>
      </x:c>
      <x:c r="AG700" s="9" t="str">
        <x:f>IF(AF700&gt;0,B700,"")</x:f>
      </x:c>
      <x:c r="AH700" s="9" t="n">
        <x:f>IF(F700&gt;=1,1,(1+tun_LowTiesShare*(AE700-1))/AE700)</x:f>
        <x:v>1</x:v>
      </x:c>
      <x:c r="AI700" s="32" t="n">
        <x:f>(Z700+tun_ElderCommons*INDEX(LM_Elder,G700)*AA700)*AH700</x:f>
        <x:v>177736.92463177396</x:v>
      </x:c>
      <x:c r="AJ700" s="32" t="n">
        <x:f>H700*tun_CommonsCoef*AI700^tun_CommonsExp*INDEX(LM_Commons,G700)</x:f>
        <x:v>622731.8095386907</x:v>
      </x:c>
      <x:c r="AK700" s="32" t="n">
        <x:f>H700*tun_RoleScale*Arch_Roles*(AE700*(INDEX(tun_ElderRolePerSett,G700)*tun_OutElder*INDEX(LM_Elder,G700)+INDEX(tun_ShamanPerSett,G700)*tun_OutShaman)+Z700*(INDEX(tun_PriestShare,G700)*tun_OutPriest+INDEX(tun_ScribeShare,G700)*tun_OutScribe*INDEX(LM_Scribe,G700)+INDEX(tun_ScholarShare,G700)*tun_OutScholar*INDEX(LM_Scholar,G700)+INDEX(tun_ResearcherShare,G700)*tun_OutResearcher*INDEX(LM_Researcher,G700)))</x:f>
        <x:v>182202.16081580147</x:v>
      </x:c>
      <x:c r="AL700" s="32" t="n">
        <x:f>H700*tun_RoleScale*Arch_Roles*AE700*INDEX(tun_MonasteryPerSett,G700)*tun_OutMonastery*INDEX(LM_Monastery,G700)</x:f>
        <x:v>15.840000000000002</x:v>
      </x:c>
      <x:c r="AM700" s="32" t="n">
        <x:f>(AJ700+AK700+AL700)/4*INDEX(LM_All,G700)*INDEX(tun_Boon,G700)*Arch_Insight</x:f>
        <x:v>697064.3360071132</x:v>
      </x:c>
      <x:c r="AN700" s="32" t="n">
        <x:f>H700*(tun_KHPerAdult*Z700+tun_KHOfCommons*AJ700/4*INDEX(LM_All,G700))*tun_KHUsable*Arch_KH</x:f>
        <x:v>105792.87198940766</x:v>
      </x:c>
      <x:c r="AO700" s="32" t="n">
        <x:f>MIN(AP699+AN700,AM700*tun_KHMaxRatio)</x:f>
        <x:v>105792.87198940766</x:v>
      </x:c>
      <x:c r="AP700" s="32" t="n">
        <x:f>AP699+AN700-AO700</x:f>
        <x:v>0</x:v>
      </x:c>
      <x:c r="AQ700" s="32" t="n">
        <x:f>AM700+AO700</x:f>
        <x:v>802857.2079965209</x:v>
      </x:c>
      <x:c r="AR700" s="10" t="n">
        <x:f>IF(H700=1,INDEX(tun_Req,G700),0)</x:f>
        <x:v>125406521.7009086</x:v>
      </x:c>
      <x:c r="AS700" s="32" t="n">
        <x:f>IF(H700=1,IF(E700=1,AS699-AR699,AS699)+AQ700,0)</x:f>
        <x:v>50172322.554297246</x:v>
      </x:c>
      <x:c r="AT700" s="11" t="n">
        <x:f>IF(AR700&gt;0,MIN(1,AS700/AR700),1)</x:f>
        <x:v>0.40007745908109127</x:v>
      </x:c>
      <x:c r="AU700" s="10" t="n">
        <x:f>AB700/INDEX(tun_RepScale,G700)</x:f>
        <x:v>215.57958845488278</x:v>
      </x:c>
      <x:c r="AV700" s="32" t="n">
        <x:f>AM700*60/tun_SeasonSeconds</x:f>
        <x:v>2788257.344028453</x:v>
      </x:c>
    </x:row>
    <x:row r="701">
      <x:c r="A701" s="8" t="n">
        <x:f>A700+1</x:f>
        <x:v>698</x:v>
      </x:c>
      <x:c r="B701" s="9" t="n">
        <x:f>A701*tun_SeasonSeconds/60</x:f>
        <x:v>174.5</x:v>
      </x:c>
      <x:c r="C701" s="9" t="n">
        <x:f>A701/4</x:f>
        <x:v>174.5</x:v>
      </x:c>
      <x:c r="D701" s="8" t="n">
        <x:f>IF(MOD(A701,4)=0,1,0)</x:f>
        <x:v>0</x:v>
      </x:c>
      <x:c r="E701" s="8" t="n">
        <x:f>IF(AND(F700&lt;=9,AS700&gt;=AR700),1,0)</x:f>
        <x:v>0</x:v>
      </x:c>
      <x:c r="F701" s="8" t="n">
        <x:f>MIN(10,F700+E701)</x:f>
        <x:v>9</x:v>
      </x:c>
      <x:c r="G701" s="8" t="n">
        <x:f>MIN(F701,9)+1</x:f>
        <x:v>10</x:v>
      </x:c>
      <x:c r="H701" s="8" t="n">
        <x:f>IF(F701&lt;=9,1,0)</x:f>
        <x:v>1</x:v>
      </x:c>
      <x:c r="I701" s="9" t="n">
        <x:f>MIN(10,F700+IF(AR700&gt;0,MIN(1,AS700/AR700),1))</x:f>
        <x:v>9.400077459081091</x:v>
      </x:c>
      <x:c r="J701" s="32" t="n">
        <x:f>INDEX(tun_FoodCap,G701)*Arch_FoodCap*EXP(tun_CapsByProject*SUMPRODUCT((Cap_Point&lt;=I701)*(Cap_Kind="Food")*Cap_Ln))</x:f>
        <x:v>13863.877308233004</x:v>
      </x:c>
      <x:c r="K701" s="32" t="n">
        <x:f>J701*MIN(1,tun_LeanBase*EXP(tun_CapsByProject*SUMPRODUCT((Cap_Point&lt;=I701)*(Cap_Kind="Lean")*Cap_Ln)))</x:f>
        <x:v>13863.877308233004</x:v>
      </x:c>
      <x:c r="L701" s="10" t="n">
        <x:f>INDEX(tun_HousingCap,G701)*EXP(tun_CapsByProject*SUMPRODUCT((Cap_Point&lt;=I701)*(Cap_Kind="Housing")*Cap_Ln))</x:f>
        <x:v>12514.86067705494</x:v>
      </x:c>
      <x:c r="M701" s="10" t="n">
        <x:f>INDEX(tun_GroupCap,G701)*tun_CohesionFactor*EXP(tun_CapsByProject*SUMPRODUCT((Cap_Point&lt;=I701)*(Cap_Kind="Group")*Cap_Ln))</x:f>
        <x:v>1000000.000000001</x:v>
      </x:c>
      <x:c r="N701" s="32" t="n">
        <x:f>MIN(J701,L701,M701)</x:f>
        <x:v>12514.86067705494</x:v>
      </x:c>
      <x:c r="O701" s="10" t="n">
        <x:f>AE700*N701</x:f>
        <x:v>112633.74609349445</x:v>
      </x:c>
      <x:c r="P701" s="9" t="n">
        <x:f>MIN(1,(AB700/(AE700*IF(tun_GroupInCrowding=1,N701,MIN(J701,L701))))^tun_CrowdingExp)</x:f>
        <x:v>0.7681653009222355</x:v>
      </x:c>
      <x:c r="Q701" s="9" t="n">
        <x:f>IF(D701=1,INDEX(tun_WinterMult,G701),1)</x:f>
        <x:v>1</x:v>
      </x:c>
      <x:c r="R701" s="9" t="n">
        <x:f>H701*Z700*tun_WomenShare*tun_BaseFertility*INDEX(tun_FertMult,G701)*Arch_Fertility*(1-P701)</x:f>
        <x:v>266.4637829881442</x:v>
      </x:c>
      <x:c r="S701" s="9" t="n">
        <x:f>H701*Y700*INDEX(tun_MortChild,G701)/4*Q701</x:f>
        <x:v>5.6076160512978115</x:v>
      </x:c>
      <x:c r="T701" s="9" t="n">
        <x:f>H701*Z700*INDEX(tun_MortAdult,G701)*Arch_AdultMort/4*Q701</x:f>
        <x:v>18.945654712679286</x:v>
      </x:c>
      <x:c r="U701" s="9" t="n">
        <x:f>H701*AA700*INDEX(tun_MortElder,G701)/4*Q701</x:f>
        <x:v>218.33084466806784</x:v>
      </x:c>
      <x:c r="V701" s="9" t="n">
        <x:f>H701*MAX(0,AB700-O701)*tun_OvercapLoss</x:f>
        <x:v>0</x:v>
      </x:c>
      <x:c r="W701" s="9" t="n">
        <x:f>H701*Y700/(tun_ChildYears*4)</x:f>
        <x:v>445.0488929601438</x:v>
      </x:c>
      <x:c r="X701" s="9" t="n">
        <x:f>H701*Z700/(tun_AdultYears*4)</x:f>
        <x:v>407.433434681275</x:v>
      </x:c>
      <x:c r="Y701" s="32" t="n">
        <x:f>Y700+R701-S701-W701-Y700*V701/AB700</x:f>
        <x:v>24738.545279744754</x:v>
      </x:c>
      <x:c r="Z701" s="32" t="n">
        <x:f>Z700+W701-X701-T701-Z700*V701/AB700</x:f>
        <x:v>50540.41570404428</x:v>
      </x:c>
      <x:c r="AA701" s="32" t="n">
        <x:f>AA700+X701-U701-AA700*V701/AB700</x:f>
        <x:v>32534.412911208445</x:v>
      </x:c>
      <x:c r="AB701" s="10" t="n">
        <x:f>Y701+Z701+AA701</x:f>
        <x:v>107813.37389499748</x:v>
      </x:c>
      <x:c r="AC701" s="8" t="n">
        <x:f>IF(AND(tun_WinterTrigger=1,D701=1,AB700/AE700&gt;=K701),1,0)</x:f>
        <x:v>0</x:v>
      </x:c>
      <x:c r="AD701" s="8" t="n">
        <x:f>H701*IF(AND(OR(AB700/AE700&gt;=tun_FissionTrigger*N701,AC701=1),AB700/AE700*tun_DaughterShare&gt;=tun_MinDaughter),MAX(1,ROUND(AE700*tun_FissionRate,0)),0)</x:f>
        <x:v>3</x:v>
      </x:c>
      <x:c r="AE701" s="8" t="n">
        <x:f>IF(H701=1,MAX(1,MIN(INDEX(tun_Smax,G701),AE700+AD701)),AE700)</x:f>
        <x:v>9</x:v>
      </x:c>
      <x:c r="AF701" s="8" t="n">
        <x:f>MAX(0,AE701-AE700)</x:f>
        <x:v>0</x:v>
      </x:c>
      <x:c r="AG701" s="9" t="str">
        <x:f>IF(AF701&gt;0,B701,"")</x:f>
      </x:c>
      <x:c r="AH701" s="9" t="n">
        <x:f>IF(F701&gt;=1,1,(1+tun_LowTiesShare*(AE701-1))/AE701)</x:f>
        <x:v>1</x:v>
      </x:c>
      <x:c r="AI701" s="32" t="n">
        <x:f>(Z701+tun_ElderCommons*INDEX(LM_Elder,G701)*AA701)*AH701</x:f>
        <x:v>178499.3411964067</x:v>
      </x:c>
      <x:c r="AJ701" s="32" t="n">
        <x:f>H701*tun_CommonsCoef*AI701^tun_CommonsExp*INDEX(LM_Commons,G701)</x:f>
        <x:v>625001.6489081855</x:v>
      </x:c>
      <x:c r="AK701" s="32" t="n">
        <x:f>H701*tun_RoleScale*Arch_Roles*(AE701*(INDEX(tun_ElderRolePerSett,G701)*tun_OutElder*INDEX(LM_Elder,G701)+INDEX(tun_ShamanPerSett,G701)*tun_OutShaman)+Z701*(INDEX(tun_PriestShare,G701)*tun_OutPriest+INDEX(tun_ScribeShare,G701)*tun_OutScribe*INDEX(LM_Scribe,G701)+INDEX(tun_ScholarShare,G701)*tun_OutScholar*INDEX(LM_Scholar,G701)+INDEX(tun_ResearcherShare,G701)*tun_OutResearcher*INDEX(LM_Researcher,G701)))</x:f>
        <x:v>182269.39956042488</x:v>
      </x:c>
      <x:c r="AL701" s="32" t="n">
        <x:f>H701*tun_RoleScale*Arch_Roles*AE701*INDEX(tun_MonasteryPerSett,G701)*tun_OutMonastery*INDEX(LM_Monastery,G701)</x:f>
        <x:v>15.840000000000002</x:v>
      </x:c>
      <x:c r="AM701" s="32" t="n">
        <x:f>(AJ701+AK701+AL701)/4*INDEX(LM_All,G701)*INDEX(tun_Boon,G701)*Arch_Insight</x:f>
        <x:v>699088.1811995198</x:v>
      </x:c>
      <x:c r="AN701" s="32" t="n">
        <x:f>H701*(tun_KHPerAdult*Z701+tun_KHOfCommons*AJ701/4*INDEX(LM_All,G701))*tun_KHUsable*Arch_KH</x:f>
        <x:v>106178.483936919</x:v>
      </x:c>
      <x:c r="AO701" s="32" t="n">
        <x:f>MIN(AP700+AN701,AM701*tun_KHMaxRatio)</x:f>
        <x:v>106178.483936919</x:v>
      </x:c>
      <x:c r="AP701" s="32" t="n">
        <x:f>AP700+AN701-AO701</x:f>
        <x:v>0</x:v>
      </x:c>
      <x:c r="AQ701" s="32" t="n">
        <x:f>AM701+AO701</x:f>
        <x:v>805266.6651364388</x:v>
      </x:c>
      <x:c r="AR701" s="10" t="n">
        <x:f>IF(H701=1,INDEX(tun_Req,G701),0)</x:f>
        <x:v>125406521.7009086</x:v>
      </x:c>
      <x:c r="AS701" s="32" t="n">
        <x:f>IF(H701=1,IF(E701=1,AS700-AR700,AS700)+AQ701,0)</x:f>
        <x:v>50977589.21943369</x:v>
      </x:c>
      <x:c r="AT701" s="11" t="n">
        <x:f>IF(AR701&gt;0,MIN(1,AS701/AR701),1)</x:f>
        <x:v>0.4064987093814304</x:v>
      </x:c>
      <x:c r="AU701" s="10" t="n">
        <x:f>AB701/INDEX(tun_RepScale,G701)</x:f>
        <x:v>215.62674778999497</x:v>
      </x:c>
      <x:c r="AV701" s="32" t="n">
        <x:f>AM701*60/tun_SeasonSeconds</x:f>
        <x:v>2796352.724798079</x:v>
      </x:c>
    </x:row>
    <x:row r="702">
      <x:c r="A702" s="8" t="n">
        <x:f>A701+1</x:f>
        <x:v>699</x:v>
      </x:c>
      <x:c r="B702" s="9" t="n">
        <x:f>A702*tun_SeasonSeconds/60</x:f>
        <x:v>174.75</x:v>
      </x:c>
      <x:c r="C702" s="9" t="n">
        <x:f>A702/4</x:f>
        <x:v>174.75</x:v>
      </x:c>
      <x:c r="D702" s="8" t="n">
        <x:f>IF(MOD(A702,4)=0,1,0)</x:f>
        <x:v>0</x:v>
      </x:c>
      <x:c r="E702" s="8" t="n">
        <x:f>IF(AND(F701&lt;=9,AS701&gt;=AR701),1,0)</x:f>
        <x:v>0</x:v>
      </x:c>
      <x:c r="F702" s="8" t="n">
        <x:f>MIN(10,F701+E702)</x:f>
        <x:v>9</x:v>
      </x:c>
      <x:c r="G702" s="8" t="n">
        <x:f>MIN(F702,9)+1</x:f>
        <x:v>10</x:v>
      </x:c>
      <x:c r="H702" s="8" t="n">
        <x:f>IF(F702&lt;=9,1,0)</x:f>
        <x:v>1</x:v>
      </x:c>
      <x:c r="I702" s="9" t="n">
        <x:f>MIN(10,F701+IF(AR701&gt;0,MIN(1,AS701/AR701),1))</x:f>
        <x:v>9.406498709381431</x:v>
      </x:c>
      <x:c r="J702" s="32" t="n">
        <x:f>INDEX(tun_FoodCap,G702)*Arch_FoodCap*EXP(tun_CapsByProject*SUMPRODUCT((Cap_Point&lt;=I702)*(Cap_Kind="Food")*Cap_Ln))</x:f>
        <x:v>13863.877308233004</x:v>
      </x:c>
      <x:c r="K702" s="32" t="n">
        <x:f>J702*MIN(1,tun_LeanBase*EXP(tun_CapsByProject*SUMPRODUCT((Cap_Point&lt;=I702)*(Cap_Kind="Lean")*Cap_Ln)))</x:f>
        <x:v>13863.877308233004</x:v>
      </x:c>
      <x:c r="L702" s="10" t="n">
        <x:f>INDEX(tun_HousingCap,G702)*EXP(tun_CapsByProject*SUMPRODUCT((Cap_Point&lt;=I702)*(Cap_Kind="Housing")*Cap_Ln))</x:f>
        <x:v>12514.86067705494</x:v>
      </x:c>
      <x:c r="M702" s="10" t="n">
        <x:f>INDEX(tun_GroupCap,G702)*tun_CohesionFactor*EXP(tun_CapsByProject*SUMPRODUCT((Cap_Point&lt;=I702)*(Cap_Kind="Group")*Cap_Ln))</x:f>
        <x:v>1000000.000000001</x:v>
      </x:c>
      <x:c r="N702" s="32" t="n">
        <x:f>MIN(J702,L702,M702)</x:f>
        <x:v>12514.86067705494</x:v>
      </x:c>
      <x:c r="O702" s="10" t="n">
        <x:f>AE701*N702</x:f>
        <x:v>112633.74609349445</x:v>
      </x:c>
      <x:c r="P702" s="9" t="n">
        <x:f>MIN(1,(AB701/(AE701*IF(tun_GroupInCrowding=1,N702,MIN(J702,L702))))^tun_CrowdingExp)</x:f>
        <x:v>0.7691740972359441</x:v>
      </x:c>
      <x:c r="Q702" s="9" t="n">
        <x:f>IF(D702=1,INDEX(tun_WinterMult,G702),1)</x:f>
        <x:v>1</x:v>
      </x:c>
      <x:c r="R702" s="9" t="n">
        <x:f>H702*Z701*tun_WomenShare*tun_BaseFertility*INDEX(tun_FertMult,G702)*Arch_Fertility*(1-P702)</x:f>
        <x:v>265.4023435917647</x:v>
      </x:c>
      <x:c r="S702" s="9" t="n">
        <x:f>H702*Y701*INDEX(tun_MortChild,G702)/4*Q702</x:f>
        <x:v>5.5661726879425695</x:v>
      </x:c>
      <x:c r="T702" s="9" t="n">
        <x:f>H702*Z701*INDEX(tun_MortAdult,G702)*Arch_AdultMort/4*Q702</x:f>
        <x:v>18.952655889016604</x:v>
      </x:c>
      <x:c r="U702" s="9" t="n">
        <x:f>H702*AA701*INDEX(tun_MortElder,G702)/4*Q702</x:f>
        <x:v>219.607287150657</x:v>
      </x:c>
      <x:c r="V702" s="9" t="n">
        <x:f>H702*MAX(0,AB701-O702)*tun_OvercapLoss</x:f>
        <x:v>0</x:v>
      </x:c>
      <x:c r="W702" s="9" t="n">
        <x:f>H702*Y701/(tun_ChildYears*4)</x:f>
        <x:v>441.75973713829916</x:v>
      </x:c>
      <x:c r="X702" s="9" t="n">
        <x:f>H702*Z701/(tun_AdultYears*4)</x:f>
        <x:v>407.58399761326035</x:v>
      </x:c>
      <x:c r="Y702" s="32" t="n">
        <x:f>Y701+R702-S702-W702-Y701*V702/AB701</x:f>
        <x:v>24556.621713510278</x:v>
      </x:c>
      <x:c r="Z702" s="32" t="n">
        <x:f>Z701+W702-X702-T702-Z701*V702/AB701</x:f>
        <x:v>50555.638787680306</x:v>
      </x:c>
      <x:c r="AA702" s="32" t="n">
        <x:f>AA701+X702-U702-AA701*V702/AB701</x:f>
        <x:v>32722.389621671045</x:v>
      </x:c>
      <x:c r="AB702" s="10" t="n">
        <x:f>Y702+Z702+AA702</x:f>
        <x:v>107834.65012286163</x:v>
      </x:c>
      <x:c r="AC702" s="8" t="n">
        <x:f>IF(AND(tun_WinterTrigger=1,D702=1,AB701/AE701&gt;=K702),1,0)</x:f>
        <x:v>0</x:v>
      </x:c>
      <x:c r="AD702" s="8" t="n">
        <x:f>H702*IF(AND(OR(AB701/AE701&gt;=tun_FissionTrigger*N702,AC702=1),AB701/AE701*tun_DaughterShare&gt;=tun_MinDaughter),MAX(1,ROUND(AE701*tun_FissionRate,0)),0)</x:f>
        <x:v>3</x:v>
      </x:c>
      <x:c r="AE702" s="8" t="n">
        <x:f>IF(H702=1,MAX(1,MIN(INDEX(tun_Smax,G702),AE701+AD702)),AE701)</x:f>
        <x:v>9</x:v>
      </x:c>
      <x:c r="AF702" s="8" t="n">
        <x:f>MAX(0,AE702-AE701)</x:f>
        <x:v>0</x:v>
      </x:c>
      <x:c r="AG702" s="9" t="str">
        <x:f>IF(AF702&gt;0,B702,"")</x:f>
      </x:c>
      <x:c r="AH702" s="9" t="n">
        <x:f>IF(F702&gt;=1,1,(1+tun_LowTiesShare*(AE702-1))/AE702)</x:f>
        <x:v>1</x:v>
      </x:c>
      <x:c r="AI702" s="32" t="n">
        <x:f>(Z702+tun_ElderCommons*INDEX(LM_Elder,G702)*AA702)*AH702</x:f>
        <x:v>179253.8829194793</x:v>
      </x:c>
      <x:c r="AJ702" s="32" t="n">
        <x:f>H702*tun_CommonsCoef*AI702^tun_CommonsExp*INDEX(LM_Commons,G702)</x:f>
        <x:v>627246.6122037995</x:v>
      </x:c>
      <x:c r="AK702" s="32" t="n">
        <x:f>H702*tun_RoleScale*Arch_Roles*(AE702*(INDEX(tun_ElderRolePerSett,G702)*tun_OutElder*INDEX(LM_Elder,G702)+INDEX(tun_ShamanPerSett,G702)*tun_OutShaman)+Z702*(INDEX(tun_PriestShare,G702)*tun_OutPriest+INDEX(tun_ScribeShare,G702)*tun_OutScribe*INDEX(LM_Scribe,G702)+INDEX(tun_ScholarShare,G702)*tun_OutScholar*INDEX(LM_Scholar,G702)+INDEX(tun_ResearcherShare,G702)*tun_OutResearcher*INDEX(LM_Researcher,G702)))</x:f>
        <x:v>182324.22504529703</x:v>
      </x:c>
      <x:c r="AL702" s="32" t="n">
        <x:f>H702*tun_RoleScale*Arch_Roles*AE702*INDEX(tun_MonasteryPerSett,G702)*tun_OutMonastery*INDEX(LM_Monastery,G702)</x:f>
        <x:v>15.840000000000002</x:v>
      </x:c>
      <x:c r="AM702" s="32" t="n">
        <x:f>(AJ702+AK702+AL702)/4*INDEX(LM_All,G702)*INDEX(tun_Boon,G702)*Arch_Insight</x:f>
        <x:v>701079.7348574059</x:v>
      </x:c>
      <x:c r="AN702" s="32" t="n">
        <x:f>H702*(tun_KHPerAdult*Z702+tun_KHOfCommons*AJ702/4*INDEX(LM_All,G702))*tun_KHUsable*Arch_KH</x:f>
        <x:v>106559.86980948226</x:v>
      </x:c>
      <x:c r="AO702" s="32" t="n">
        <x:f>MIN(AP701+AN702,AM702*tun_KHMaxRatio)</x:f>
        <x:v>106559.86980948226</x:v>
      </x:c>
      <x:c r="AP702" s="32" t="n">
        <x:f>AP701+AN702-AO702</x:f>
        <x:v>0</x:v>
      </x:c>
      <x:c r="AQ702" s="32" t="n">
        <x:f>AM702+AO702</x:f>
        <x:v>807639.6046668881</x:v>
      </x:c>
      <x:c r="AR702" s="10" t="n">
        <x:f>IF(H702=1,INDEX(tun_Req,G702),0)</x:f>
        <x:v>125406521.7009086</x:v>
      </x:c>
      <x:c r="AS702" s="32" t="n">
        <x:f>IF(H702=1,IF(E702=1,AS701-AR701,AS701)+AQ702,0)</x:f>
        <x:v>51785228.82410058</x:v>
      </x:c>
      <x:c r="AT702" s="11" t="n">
        <x:f>IF(AR702&gt;0,MIN(1,AS702/AR702),1)</x:f>
        <x:v>0.4129388816604534</x:v>
      </x:c>
      <x:c r="AU702" s="10" t="n">
        <x:f>AB702/INDEX(tun_RepScale,G702)</x:f>
        <x:v>215.66930024572326</x:v>
      </x:c>
      <x:c r="AV702" s="32" t="n">
        <x:f>AM702*60/tun_SeasonSeconds</x:f>
        <x:v>2804318.9394296235</x:v>
      </x:c>
    </x:row>
    <x:row r="703">
      <x:c r="A703" s="8" t="n">
        <x:f>A702+1</x:f>
        <x:v>700</x:v>
      </x:c>
      <x:c r="B703" s="9" t="n">
        <x:f>A703*tun_SeasonSeconds/60</x:f>
        <x:v>175</x:v>
      </x:c>
      <x:c r="C703" s="9" t="n">
        <x:f>A703/4</x:f>
        <x:v>175</x:v>
      </x:c>
      <x:c r="D703" s="8" t="n">
        <x:f>IF(MOD(A703,4)=0,1,0)</x:f>
        <x:v>1</x:v>
      </x:c>
      <x:c r="E703" s="8" t="n">
        <x:f>IF(AND(F702&lt;=9,AS702&gt;=AR702),1,0)</x:f>
        <x:v>0</x:v>
      </x:c>
      <x:c r="F703" s="8" t="n">
        <x:f>MIN(10,F702+E703)</x:f>
        <x:v>9</x:v>
      </x:c>
      <x:c r="G703" s="8" t="n">
        <x:f>MIN(F703,9)+1</x:f>
        <x:v>10</x:v>
      </x:c>
      <x:c r="H703" s="8" t="n">
        <x:f>IF(F703&lt;=9,1,0)</x:f>
        <x:v>1</x:v>
      </x:c>
      <x:c r="I703" s="9" t="n">
        <x:f>MIN(10,F702+IF(AR702&gt;0,MIN(1,AS702/AR702),1))</x:f>
        <x:v>9.412938881660454</x:v>
      </x:c>
      <x:c r="J703" s="32" t="n">
        <x:f>INDEX(tun_FoodCap,G703)*Arch_FoodCap*EXP(tun_CapsByProject*SUMPRODUCT((Cap_Point&lt;=I703)*(Cap_Kind="Food")*Cap_Ln))</x:f>
        <x:v>13863.877308233004</x:v>
      </x:c>
      <x:c r="K703" s="32" t="n">
        <x:f>J703*MIN(1,tun_LeanBase*EXP(tun_CapsByProject*SUMPRODUCT((Cap_Point&lt;=I703)*(Cap_Kind="Lean")*Cap_Ln)))</x:f>
        <x:v>13863.877308233004</x:v>
      </x:c>
      <x:c r="L703" s="10" t="n">
        <x:f>INDEX(tun_HousingCap,G703)*EXP(tun_CapsByProject*SUMPRODUCT((Cap_Point&lt;=I703)*(Cap_Kind="Housing")*Cap_Ln))</x:f>
        <x:v>12514.86067705494</x:v>
      </x:c>
      <x:c r="M703" s="10" t="n">
        <x:f>INDEX(tun_GroupCap,G703)*tun_CohesionFactor*EXP(tun_CapsByProject*SUMPRODUCT((Cap_Point&lt;=I703)*(Cap_Kind="Group")*Cap_Ln))</x:f>
        <x:v>1000000.000000001</x:v>
      </x:c>
      <x:c r="N703" s="32" t="n">
        <x:f>MIN(J703,L703,M703)</x:f>
        <x:v>12514.86067705494</x:v>
      </x:c>
      <x:c r="O703" s="10" t="n">
        <x:f>AE702*N703</x:f>
        <x:v>112633.74609349445</x:v>
      </x:c>
      <x:c r="P703" s="9" t="n">
        <x:f>MIN(1,(AB702/(AE702*IF(tun_GroupInCrowding=1,N703,MIN(J703,L703))))^tun_CrowdingExp)</x:f>
        <x:v>0.7700852939875854</x:v>
      </x:c>
      <x:c r="Q703" s="9" t="n">
        <x:f>IF(D703=1,INDEX(tun_WinterMult,G703),1)</x:f>
        <x:v>1.05</x:v>
      </x:c>
      <x:c r="R703" s="9" t="n">
        <x:f>H703*Z702*tun_WomenShare*tun_BaseFertility*INDEX(tun_FertMult,G703)*Arch_Fertility*(1-P703)</x:f>
        <x:v>264.43427986292005</x:v>
      </x:c>
      <x:c r="S703" s="9" t="n">
        <x:f>H703*Y702*INDEX(tun_MortChild,G703)/4*Q703</x:f>
        <x:v>5.801501879816803</x:v>
      </x:c>
      <x:c r="T703" s="9" t="n">
        <x:f>H703*Z702*INDEX(tun_MortAdult,G703)*Arch_AdultMort/4*Q703</x:f>
        <x:v>19.90628277264912</x:v>
      </x:c>
      <x:c r="U703" s="9" t="n">
        <x:f>H703*AA702*INDEX(tun_MortElder,G703)/4*Q703</x:f>
        <x:v>231.91993644359354</x:v>
      </x:c>
      <x:c r="V703" s="9" t="n">
        <x:f>H703*MAX(0,AB702-O703)*tun_OvercapLoss</x:f>
        <x:v>0</x:v>
      </x:c>
      <x:c r="W703" s="9" t="n">
        <x:f>H703*Y702/(tun_ChildYears*4)</x:f>
        <x:v>438.51110202696924</x:v>
      </x:c>
      <x:c r="X703" s="9" t="n">
        <x:f>H703*Z702/(tun_AdultYears*4)</x:f>
        <x:v>407.70676441677665</x:v>
      </x:c>
      <x:c r="Y703" s="32" t="n">
        <x:f>Y702+R703-S703-W703-Y702*V703/AB702</x:f>
        <x:v>24376.74338946641</x:v>
      </x:c>
      <x:c r="Z703" s="32" t="n">
        <x:f>Z702+W703-X703-T703-Z702*V703/AB702</x:f>
        <x:v>50566.536842517846</x:v>
      </x:c>
      <x:c r="AA703" s="32" t="n">
        <x:f>AA702+X703-U703-AA702*V703/AB702</x:f>
        <x:v>32898.176449644234</x:v>
      </x:c>
      <x:c r="AB703" s="10" t="n">
        <x:f>Y703+Z703+AA703</x:f>
        <x:v>107841.4566816285</x:v>
      </x:c>
      <x:c r="AC703" s="8" t="n">
        <x:f>IF(AND(tun_WinterTrigger=1,D703=1,AB702/AE702&gt;=K703),1,0)</x:f>
        <x:v>0</x:v>
      </x:c>
      <x:c r="AD703" s="8" t="n">
        <x:f>H703*IF(AND(OR(AB702/AE702&gt;=tun_FissionTrigger*N703,AC703=1),AB702/AE702*tun_DaughterShare&gt;=tun_MinDaughter),MAX(1,ROUND(AE702*tun_FissionRate,0)),0)</x:f>
        <x:v>3</x:v>
      </x:c>
      <x:c r="AE703" s="8" t="n">
        <x:f>IF(H703=1,MAX(1,MIN(INDEX(tun_Smax,G703),AE702+AD703)),AE702)</x:f>
        <x:v>9</x:v>
      </x:c>
      <x:c r="AF703" s="8" t="n">
        <x:f>MAX(0,AE703-AE702)</x:f>
        <x:v>0</x:v>
      </x:c>
      <x:c r="AG703" s="9" t="str">
        <x:f>IF(AF703&gt;0,B703,"")</x:f>
      </x:c>
      <x:c r="AH703" s="9" t="n">
        <x:f>IF(F703&gt;=1,1,(1+tun_LowTiesShare*(AE703-1))/AE703)</x:f>
        <x:v>1</x:v>
      </x:c>
      <x:c r="AI703" s="32" t="n">
        <x:f>(Z703+tun_ElderCommons*INDEX(LM_Elder,G703)*AA703)*AH703</x:f>
        <x:v>179956.1564014545</x:v>
      </x:c>
      <x:c r="AJ703" s="32" t="n">
        <x:f>H703*tun_CommonsCoef*AI703^tun_CommonsExp*INDEX(LM_Commons,G703)</x:f>
        <x:v>629334.7901788059</x:v>
      </x:c>
      <x:c r="AK703" s="32" t="n">
        <x:f>H703*tun_RoleScale*Arch_Roles*(AE703*(INDEX(tun_ElderRolePerSett,G703)*tun_OutElder*INDEX(LM_Elder,G703)+INDEX(tun_ShamanPerSett,G703)*tun_OutShaman)+Z703*(INDEX(tun_PriestShare,G703)*tun_OutPriest+INDEX(tun_ScribeShare,G703)*tun_OutScribe*INDEX(LM_Scribe,G703)+INDEX(tun_ScholarShare,G703)*tun_OutScholar*INDEX(LM_Scholar,G703)+INDEX(tun_ResearcherShare,G703)*tun_OutResearcher*INDEX(LM_Researcher,G703)))</x:f>
        <x:v>182363.4740670404</x:v>
      </x:c>
      <x:c r="AL703" s="32" t="n">
        <x:f>H703*tun_RoleScale*Arch_Roles*AE703*INDEX(tun_MonasteryPerSett,G703)*tun_OutMonastery*INDEX(LM_Monastery,G703)</x:f>
        <x:v>15.840000000000002</x:v>
      </x:c>
      <x:c r="AM703" s="32" t="n">
        <x:f>(AJ703+AK703+AL703)/4*INDEX(LM_All,G703)*INDEX(tun_Boon,G703)*Arch_Insight</x:f>
        <x:v>702922.0279641524</x:v>
      </x:c>
      <x:c r="AN703" s="32" t="n">
        <x:f>H703*(tun_KHPerAdult*Z703+tun_KHOfCommons*AJ703/4*INDEX(LM_All,G703))*tun_KHUsable*Arch_KH</x:f>
        <x:v>106914.6201880836</x:v>
      </x:c>
      <x:c r="AO703" s="32" t="n">
        <x:f>MIN(AP702+AN703,AM703*tun_KHMaxRatio)</x:f>
        <x:v>106914.6201880836</x:v>
      </x:c>
      <x:c r="AP703" s="32" t="n">
        <x:f>AP702+AN703-AO703</x:f>
        <x:v>0</x:v>
      </x:c>
      <x:c r="AQ703" s="32" t="n">
        <x:f>AM703+AO703</x:f>
        <x:v>809836.648152236</x:v>
      </x:c>
      <x:c r="AR703" s="10" t="n">
        <x:f>IF(H703=1,INDEX(tun_Req,G703),0)</x:f>
        <x:v>125406521.7009086</x:v>
      </x:c>
      <x:c r="AS703" s="32" t="n">
        <x:f>IF(H703=1,IF(E703=1,AS702-AR702,AS702)+AQ703,0)</x:f>
        <x:v>52595065.472252816</x:v>
      </x:c>
      <x:c r="AT703" s="11" t="n">
        <x:f>IF(AR703&gt;0,MIN(1,AS703/AR703),1)</x:f>
        <x:v>0.41939657331132046</x:v>
      </x:c>
      <x:c r="AU703" s="10" t="n">
        <x:f>AB703/INDEX(tun_RepScale,G703)</x:f>
        <x:v>215.682913363257</x:v>
      </x:c>
      <x:c r="AV703" s="32" t="n">
        <x:f>AM703*60/tun_SeasonSeconds</x:f>
        <x:v>2811688.1118566096</x:v>
      </x:c>
    </x:row>
    <x:row r="704">
      <x:c r="A704" s="8" t="n">
        <x:f>A703+1</x:f>
        <x:v>701</x:v>
      </x:c>
      <x:c r="B704" s="9" t="n">
        <x:f>A704*tun_SeasonSeconds/60</x:f>
        <x:v>175.25</x:v>
      </x:c>
      <x:c r="C704" s="9" t="n">
        <x:f>A704/4</x:f>
        <x:v>175.25</x:v>
      </x:c>
      <x:c r="D704" s="8" t="n">
        <x:f>IF(MOD(A704,4)=0,1,0)</x:f>
        <x:v>0</x:v>
      </x:c>
      <x:c r="E704" s="8" t="n">
        <x:f>IF(AND(F703&lt;=9,AS703&gt;=AR703),1,0)</x:f>
        <x:v>0</x:v>
      </x:c>
      <x:c r="F704" s="8" t="n">
        <x:f>MIN(10,F703+E704)</x:f>
        <x:v>9</x:v>
      </x:c>
      <x:c r="G704" s="8" t="n">
        <x:f>MIN(F704,9)+1</x:f>
        <x:v>10</x:v>
      </x:c>
      <x:c r="H704" s="8" t="n">
        <x:f>IF(F704&lt;=9,1,0)</x:f>
        <x:v>1</x:v>
      </x:c>
      <x:c r="I704" s="9" t="n">
        <x:f>MIN(10,F703+IF(AR703&gt;0,MIN(1,AS703/AR703),1))</x:f>
        <x:v>9.419396573311321</x:v>
      </x:c>
      <x:c r="J704" s="32" t="n">
        <x:f>INDEX(tun_FoodCap,G704)*Arch_FoodCap*EXP(tun_CapsByProject*SUMPRODUCT((Cap_Point&lt;=I704)*(Cap_Kind="Food")*Cap_Ln))</x:f>
        <x:v>13863.877308233004</x:v>
      </x:c>
      <x:c r="K704" s="32" t="n">
        <x:f>J704*MIN(1,tun_LeanBase*EXP(tun_CapsByProject*SUMPRODUCT((Cap_Point&lt;=I704)*(Cap_Kind="Lean")*Cap_Ln)))</x:f>
        <x:v>13863.877308233004</x:v>
      </x:c>
      <x:c r="L704" s="10" t="n">
        <x:f>INDEX(tun_HousingCap,G704)*EXP(tun_CapsByProject*SUMPRODUCT((Cap_Point&lt;=I704)*(Cap_Kind="Housing")*Cap_Ln))</x:f>
        <x:v>12514.86067705494</x:v>
      </x:c>
      <x:c r="M704" s="10" t="n">
        <x:f>INDEX(tun_GroupCap,G704)*tun_CohesionFactor*EXP(tun_CapsByProject*SUMPRODUCT((Cap_Point&lt;=I704)*(Cap_Kind="Group")*Cap_Ln))</x:f>
        <x:v>1000000.000000001</x:v>
      </x:c>
      <x:c r="N704" s="32" t="n">
        <x:f>MIN(J704,L704,M704)</x:f>
        <x:v>12514.86067705494</x:v>
      </x:c>
      <x:c r="O704" s="10" t="n">
        <x:f>AE703*N704</x:f>
        <x:v>112633.74609349445</x:v>
      </x:c>
      <x:c r="P704" s="9" t="n">
        <x:f>MIN(1,(AB703/(AE703*IF(tun_GroupInCrowding=1,N704,MIN(J704,L704))))^tun_CrowdingExp)</x:f>
        <x:v>0.7703769882439127</x:v>
      </x:c>
      <x:c r="Q704" s="9" t="n">
        <x:f>IF(D704=1,INDEX(tun_WinterMult,G704),1)</x:f>
        <x:v>1</x:v>
      </x:c>
      <x:c r="R704" s="9" t="n">
        <x:f>H704*Z703*tun_WomenShare*tun_BaseFertility*INDEX(tun_FertMult,G704)*Arch_Fertility*(1-P704)</x:f>
        <x:v>264.15572100768077</x:v>
      </x:c>
      <x:c r="S704" s="9" t="n">
        <x:f>H704*Y703*INDEX(tun_MortChild,G704)/4*Q704</x:f>
        <x:v>5.484767262629942</x:v>
      </x:c>
      <x:c r="T704" s="9" t="n">
        <x:f>H704*Z703*INDEX(tun_MortAdult,G704)*Arch_AdultMort/4*Q704</x:f>
        <x:v>18.962451315944193</x:v>
      </x:c>
      <x:c r="U704" s="9" t="n">
        <x:f>H704*AA703*INDEX(tun_MortElder,G704)/4*Q704</x:f>
        <x:v>222.06269103509857</x:v>
      </x:c>
      <x:c r="V704" s="9" t="n">
        <x:f>H704*MAX(0,AB703-O704)*tun_OvercapLoss</x:f>
        <x:v>0</x:v>
      </x:c>
      <x:c r="W704" s="9" t="n">
        <x:f>H704*Y703/(tun_ChildYears*4)</x:f>
        <x:v>435.2989890976145</x:v>
      </x:c>
      <x:c r="X704" s="9" t="n">
        <x:f>H704*Z703/(tun_AdultYears*4)</x:f>
        <x:v>407.7946519557891</x:v>
      </x:c>
      <x:c r="Y704" s="32" t="n">
        <x:f>Y703+R704-S704-W704-Y703*V704/AB703</x:f>
        <x:v>24200.11535411385</x:v>
      </x:c>
      <x:c r="Z704" s="32" t="n">
        <x:f>Z703+W704-X704-T704-Z703*V704/AB703</x:f>
        <x:v>50575.07872834373</x:v>
      </x:c>
      <x:c r="AA704" s="32" t="n">
        <x:f>AA703+X704-U704-AA703*V704/AB703</x:f>
        <x:v>33083.90841056492</x:v>
      </x:c>
      <x:c r="AB704" s="10" t="n">
        <x:f>Y704+Z704+AA704</x:f>
        <x:v>107859.1024930225</x:v>
      </x:c>
      <x:c r="AC704" s="8" t="n">
        <x:f>IF(AND(tun_WinterTrigger=1,D704=1,AB703/AE703&gt;=K704),1,0)</x:f>
        <x:v>0</x:v>
      </x:c>
      <x:c r="AD704" s="8" t="n">
        <x:f>H704*IF(AND(OR(AB703/AE703&gt;=tun_FissionTrigger*N704,AC704=1),AB703/AE703*tun_DaughterShare&gt;=tun_MinDaughter),MAX(1,ROUND(AE703*tun_FissionRate,0)),0)</x:f>
        <x:v>3</x:v>
      </x:c>
      <x:c r="AE704" s="8" t="n">
        <x:f>IF(H704=1,MAX(1,MIN(INDEX(tun_Smax,G704),AE703+AD704)),AE703)</x:f>
        <x:v>9</x:v>
      </x:c>
      <x:c r="AF704" s="8" t="n">
        <x:f>MAX(0,AE704-AE703)</x:f>
        <x:v>0</x:v>
      </x:c>
      <x:c r="AG704" s="9" t="str">
        <x:f>IF(AF704&gt;0,B704,"")</x:f>
      </x:c>
      <x:c r="AH704" s="9" t="n">
        <x:f>IF(F704&gt;=1,1,(1+tun_LowTiesShare*(AE704-1))/AE704)</x:f>
        <x:v>1</x:v>
      </x:c>
      <x:c r="AI704" s="32" t="n">
        <x:f>(Z704+tun_ElderCommons*INDEX(LM_Elder,G704)*AA704)*AH704</x:f>
        <x:v>180695.18825228643</x:v>
      </x:c>
      <x:c r="AJ704" s="32" t="n">
        <x:f>H704*tun_CommonsCoef*AI704^tun_CommonsExp*INDEX(LM_Commons,G704)</x:f>
        <x:v>631530.947959647</x:v>
      </x:c>
      <x:c r="AK704" s="32" t="n">
        <x:f>H704*tun_RoleScale*Arch_Roles*(AE704*(INDEX(tun_ElderRolePerSett,G704)*tun_OutElder*INDEX(LM_Elder,G704)+INDEX(tun_ShamanPerSett,G704)*tun_OutShaman)+Z704*(INDEX(tun_PriestShare,G704)*tun_OutPriest+INDEX(tun_ScribeShare,G704)*tun_OutScribe*INDEX(LM_Scribe,G704)+INDEX(tun_ScholarShare,G704)*tun_OutScholar*INDEX(LM_Scholar,G704)+INDEX(tun_ResearcherShare,G704)*tun_OutResearcher*INDEX(LM_Researcher,G704)))</x:f>
        <x:v>182394.23741586797</x:v>
      </x:c>
      <x:c r="AL704" s="32" t="n">
        <x:f>H704*tun_RoleScale*Arch_Roles*AE704*INDEX(tun_MonasteryPerSett,G704)*tun_OutMonastery*INDEX(LM_Monastery,G704)</x:f>
        <x:v>15.840000000000002</x:v>
      </x:c>
      <x:c r="AM704" s="32" t="n">
        <x:f>(AJ704+AK704+AL704)/4*INDEX(LM_All,G704)*INDEX(tun_Boon,G704)*Arch_Insight</x:f>
        <x:v>704850.4802460519</x:v>
      </x:c>
      <x:c r="AN704" s="32" t="n">
        <x:f>H704*(tun_KHPerAdult*Z704+tun_KHOfCommons*AJ704/4*INDEX(LM_All,G704))*tun_KHUsable*Arch_KH</x:f>
        <x:v>107287.71472961534</x:v>
      </x:c>
      <x:c r="AO704" s="32" t="n">
        <x:f>MIN(AP703+AN704,AM704*tun_KHMaxRatio)</x:f>
        <x:v>107287.71472961534</x:v>
      </x:c>
      <x:c r="AP704" s="32" t="n">
        <x:f>AP703+AN704-AO704</x:f>
        <x:v>0</x:v>
      </x:c>
      <x:c r="AQ704" s="32" t="n">
        <x:f>AM704+AO704</x:f>
        <x:v>812138.1949756673</x:v>
      </x:c>
      <x:c r="AR704" s="10" t="n">
        <x:f>IF(H704=1,INDEX(tun_Req,G704),0)</x:f>
        <x:v>125406521.7009086</x:v>
      </x:c>
      <x:c r="AS704" s="32" t="n">
        <x:f>IF(H704=1,IF(E704=1,AS703-AR703,AS703)+AQ704,0)</x:f>
        <x:v>53407203.66722848</x:v>
      </x:c>
      <x:c r="AT704" s="11" t="n">
        <x:f>IF(AR704&gt;0,MIN(1,AS704/AR704),1)</x:f>
        <x:v>0.42587261765064593</x:v>
      </x:c>
      <x:c r="AU704" s="10" t="n">
        <x:f>AB704/INDEX(tun_RepScale,G704)</x:f>
        <x:v>215.71820498604498</x:v>
      </x:c>
      <x:c r="AV704" s="32" t="n">
        <x:f>AM704*60/tun_SeasonSeconds</x:f>
        <x:v>2819401.9209842077</x:v>
      </x:c>
    </x:row>
    <x:row r="705">
      <x:c r="A705" s="8" t="n">
        <x:f>A704+1</x:f>
        <x:v>702</x:v>
      </x:c>
      <x:c r="B705" s="9" t="n">
        <x:f>A705*tun_SeasonSeconds/60</x:f>
        <x:v>175.5</x:v>
      </x:c>
      <x:c r="C705" s="9" t="n">
        <x:f>A705/4</x:f>
        <x:v>175.5</x:v>
      </x:c>
      <x:c r="D705" s="8" t="n">
        <x:f>IF(MOD(A705,4)=0,1,0)</x:f>
        <x:v>0</x:v>
      </x:c>
      <x:c r="E705" s="8" t="n">
        <x:f>IF(AND(F704&lt;=9,AS704&gt;=AR704),1,0)</x:f>
        <x:v>0</x:v>
      </x:c>
      <x:c r="F705" s="8" t="n">
        <x:f>MIN(10,F704+E705)</x:f>
        <x:v>9</x:v>
      </x:c>
      <x:c r="G705" s="8" t="n">
        <x:f>MIN(F705,9)+1</x:f>
        <x:v>10</x:v>
      </x:c>
      <x:c r="H705" s="8" t="n">
        <x:f>IF(F705&lt;=9,1,0)</x:f>
        <x:v>1</x:v>
      </x:c>
      <x:c r="I705" s="9" t="n">
        <x:f>MIN(10,F704+IF(AR704&gt;0,MIN(1,AS704/AR704),1))</x:f>
        <x:v>9.425872617650645</x:v>
      </x:c>
      <x:c r="J705" s="32" t="n">
        <x:f>INDEX(tun_FoodCap,G705)*Arch_FoodCap*EXP(tun_CapsByProject*SUMPRODUCT((Cap_Point&lt;=I705)*(Cap_Kind="Food")*Cap_Ln))</x:f>
        <x:v>13863.877308233004</x:v>
      </x:c>
      <x:c r="K705" s="32" t="n">
        <x:f>J705*MIN(1,tun_LeanBase*EXP(tun_CapsByProject*SUMPRODUCT((Cap_Point&lt;=I705)*(Cap_Kind="Lean")*Cap_Ln)))</x:f>
        <x:v>13863.877308233004</x:v>
      </x:c>
      <x:c r="L705" s="10" t="n">
        <x:f>INDEX(tun_HousingCap,G705)*EXP(tun_CapsByProject*SUMPRODUCT((Cap_Point&lt;=I705)*(Cap_Kind="Housing")*Cap_Ln))</x:f>
        <x:v>12514.86067705494</x:v>
      </x:c>
      <x:c r="M705" s="10" t="n">
        <x:f>INDEX(tun_GroupCap,G705)*tun_CohesionFactor*EXP(tun_CapsByProject*SUMPRODUCT((Cap_Point&lt;=I705)*(Cap_Kind="Group")*Cap_Ln))</x:f>
        <x:v>1000000.000000001</x:v>
      </x:c>
      <x:c r="N705" s="32" t="n">
        <x:f>MIN(J705,L705,M705)</x:f>
        <x:v>12514.86067705494</x:v>
      </x:c>
      <x:c r="O705" s="10" t="n">
        <x:f>AE704*N705</x:f>
        <x:v>112633.74609349445</x:v>
      </x:c>
      <x:c r="P705" s="9" t="n">
        <x:f>MIN(1,(AB704/(AE704*IF(tun_GroupInCrowding=1,N705,MIN(J705,L705))))^tun_CrowdingExp)</x:f>
        <x:v>0.7711336261555755</x:v>
      </x:c>
      <x:c r="Q705" s="9" t="n">
        <x:f>IF(D705=1,INDEX(tun_WinterMult,G705),1)</x:f>
        <x:v>1</x:v>
      </x:c>
      <x:c r="R705" s="9" t="n">
        <x:f>H705*Z704*tun_WomenShare*tun_BaseFertility*INDEX(tun_FertMult,G705)*Arch_Fertility*(1-P705)</x:f>
        <x:v>263.3297684165402</x:v>
      </x:c>
      <x:c r="S705" s="9" t="n">
        <x:f>H705*Y704*INDEX(tun_MortChild,G705)/4*Q705</x:f>
        <x:v>5.445025954675616</x:v>
      </x:c>
      <x:c r="T705" s="9" t="n">
        <x:f>H705*Z704*INDEX(tun_MortAdult,G705)*Arch_AdultMort/4*Q705</x:f>
        <x:v>18.9656545231289</x:v>
      </x:c>
      <x:c r="U705" s="9" t="n">
        <x:f>H705*AA704*INDEX(tun_MortElder,G705)/4*Q705</x:f>
        <x:v>223.31638177131322</x:v>
      </x:c>
      <x:c r="V705" s="9" t="n">
        <x:f>H705*MAX(0,AB704-O705)*tun_OvercapLoss</x:f>
        <x:v>0</x:v>
      </x:c>
      <x:c r="W705" s="9" t="n">
        <x:f>H705*Y704/(tun_ChildYears*4)</x:f>
        <x:v>432.1449170377473</x:v>
      </x:c>
      <x:c r="X705" s="9" t="n">
        <x:f>H705*Z704/(tun_AdultYears*4)</x:f>
        <x:v>407.86353813180426</x:v>
      </x:c>
      <x:c r="Y705" s="32" t="n">
        <x:f>Y704+R705-S705-W705-Y704*V705/AB704</x:f>
        <x:v>24025.855179537968</x:v>
      </x:c>
      <x:c r="Z705" s="32" t="n">
        <x:f>Z704+W705-X705-T705-Z704*V705/AB704</x:f>
        <x:v>50580.39445272655</x:v>
      </x:c>
      <x:c r="AA705" s="32" t="n">
        <x:f>AA704+X705-U705-AA704*V705/AB704</x:f>
        <x:v>33268.45556692541</x:v>
      </x:c>
      <x:c r="AB705" s="10" t="n">
        <x:f>Y705+Z705+AA705</x:f>
        <x:v>107874.70519918992</x:v>
      </x:c>
      <x:c r="AC705" s="8" t="n">
        <x:f>IF(AND(tun_WinterTrigger=1,D705=1,AB704/AE704&gt;=K705),1,0)</x:f>
        <x:v>0</x:v>
      </x:c>
      <x:c r="AD705" s="8" t="n">
        <x:f>H705*IF(AND(OR(AB704/AE704&gt;=tun_FissionTrigger*N705,AC705=1),AB704/AE704*tun_DaughterShare&gt;=tun_MinDaughter),MAX(1,ROUND(AE704*tun_FissionRate,0)),0)</x:f>
        <x:v>3</x:v>
      </x:c>
      <x:c r="AE705" s="8" t="n">
        <x:f>IF(H705=1,MAX(1,MIN(INDEX(tun_Smax,G705),AE704+AD705)),AE704)</x:f>
        <x:v>9</x:v>
      </x:c>
      <x:c r="AF705" s="8" t="n">
        <x:f>MAX(0,AE705-AE704)</x:f>
        <x:v>0</x:v>
      </x:c>
      <x:c r="AG705" s="9" t="str">
        <x:f>IF(AF705&gt;0,B705,"")</x:f>
      </x:c>
      <x:c r="AH705" s="9" t="n">
        <x:f>IF(F705&gt;=1,1,(1+tun_LowTiesShare*(AE705-1))/AE705)</x:f>
        <x:v>1</x:v>
      </x:c>
      <x:c r="AI705" s="32" t="n">
        <x:f>(Z705+tun_ElderCommons*INDEX(LM_Elder,G705)*AA705)*AH705</x:f>
        <x:v>181426.33406602746</x:v>
      </x:c>
      <x:c r="AJ705" s="32" t="n">
        <x:f>H705*tun_CommonsCoef*AI705^tun_CommonsExp*INDEX(LM_Commons,G705)</x:f>
        <x:v>633702.3455986647</x:v>
      </x:c>
      <x:c r="AK705" s="32" t="n">
        <x:f>H705*tun_RoleScale*Arch_Roles*(AE705*(INDEX(tun_ElderRolePerSett,G705)*tun_OutElder*INDEX(LM_Elder,G705)+INDEX(tun_ShamanPerSett,G705)*tun_OutShaman)+Z705*(INDEX(tun_PriestShare,G705)*tun_OutPriest+INDEX(tun_ScribeShare,G705)*tun_OutScribe*INDEX(LM_Scribe,G705)+INDEX(tun_ScholarShare,G705)*tun_OutScholar*INDEX(LM_Scholar,G705)+INDEX(tun_ResearcherShare,G705)*tun_OutResearcher*INDEX(LM_Researcher,G705)))</x:f>
        <x:v>182413.38183980354</x:v>
      </x:c>
      <x:c r="AL705" s="32" t="n">
        <x:f>H705*tun_RoleScale*Arch_Roles*AE705*INDEX(tun_MonasteryPerSett,G705)*tun_OutMonastery*INDEX(LM_Monastery,G705)</x:f>
        <x:v>15.840000000000002</x:v>
      </x:c>
      <x:c r="AM705" s="32" t="n">
        <x:f>(AJ705+AK705+AL705)/4*INDEX(LM_All,G705)*INDEX(tun_Boon,G705)*Arch_Insight</x:f>
        <x:v>706747.4292594764</x:v>
      </x:c>
      <x:c r="AN705" s="32" t="n">
        <x:f>H705*(tun_KHPerAdult*Z705+tun_KHOfCommons*AJ705/4*INDEX(LM_All,G705))*tun_KHUsable*Arch_KH</x:f>
        <x:v>107656.60289133117</x:v>
      </x:c>
      <x:c r="AO705" s="32" t="n">
        <x:f>MIN(AP704+AN705,AM705*tun_KHMaxRatio)</x:f>
        <x:v>107656.60289133117</x:v>
      </x:c>
      <x:c r="AP705" s="32" t="n">
        <x:f>AP704+AN705-AO705</x:f>
        <x:v>0</x:v>
      </x:c>
      <x:c r="AQ705" s="32" t="n">
        <x:f>AM705+AO705</x:f>
        <x:v>814404.0321508076</x:v>
      </x:c>
      <x:c r="AR705" s="10" t="n">
        <x:f>IF(H705=1,INDEX(tun_Req,G705),0)</x:f>
        <x:v>125406521.7009086</x:v>
      </x:c>
      <x:c r="AS705" s="32" t="n">
        <x:f>IF(H705=1,IF(E705=1,AS704-AR704,AS704)+AQ705,0)</x:f>
        <x:v>54221607.69937929</x:v>
      </x:c>
      <x:c r="AT705" s="11" t="n">
        <x:f>IF(AR705&gt;0,MIN(1,AS705/AR705),1)</x:f>
        <x:v>0.43236672992730363</x:v>
      </x:c>
      <x:c r="AU705" s="10" t="n">
        <x:f>AB705/INDEX(tun_RepScale,G705)</x:f>
        <x:v>215.74941039837984</x:v>
      </x:c>
      <x:c r="AV705" s="32" t="n">
        <x:f>AM705*60/tun_SeasonSeconds</x:f>
        <x:v>2826989.7170379055</x:v>
      </x:c>
    </x:row>
    <x:row r="706">
      <x:c r="A706" s="8" t="n">
        <x:f>A705+1</x:f>
        <x:v>703</x:v>
      </x:c>
      <x:c r="B706" s="9" t="n">
        <x:f>A706*tun_SeasonSeconds/60</x:f>
        <x:v>175.75</x:v>
      </x:c>
      <x:c r="C706" s="9" t="n">
        <x:f>A706/4</x:f>
        <x:v>175.75</x:v>
      </x:c>
      <x:c r="D706" s="8" t="n">
        <x:f>IF(MOD(A706,4)=0,1,0)</x:f>
        <x:v>0</x:v>
      </x:c>
      <x:c r="E706" s="8" t="n">
        <x:f>IF(AND(F705&lt;=9,AS705&gt;=AR705),1,0)</x:f>
        <x:v>0</x:v>
      </x:c>
      <x:c r="F706" s="8" t="n">
        <x:f>MIN(10,F705+E706)</x:f>
        <x:v>9</x:v>
      </x:c>
      <x:c r="G706" s="8" t="n">
        <x:f>MIN(F706,9)+1</x:f>
        <x:v>10</x:v>
      </x:c>
      <x:c r="H706" s="8" t="n">
        <x:f>IF(F706&lt;=9,1,0)</x:f>
        <x:v>1</x:v>
      </x:c>
      <x:c r="I706" s="9" t="n">
        <x:f>MIN(10,F705+IF(AR705&gt;0,MIN(1,AS705/AR705),1))</x:f>
        <x:v>9.432366729927304</x:v>
      </x:c>
      <x:c r="J706" s="32" t="n">
        <x:f>INDEX(tun_FoodCap,G706)*Arch_FoodCap*EXP(tun_CapsByProject*SUMPRODUCT((Cap_Point&lt;=I706)*(Cap_Kind="Food")*Cap_Ln))</x:f>
        <x:v>13863.877308233004</x:v>
      </x:c>
      <x:c r="K706" s="32" t="n">
        <x:f>J706*MIN(1,tun_LeanBase*EXP(tun_CapsByProject*SUMPRODUCT((Cap_Point&lt;=I706)*(Cap_Kind="Lean")*Cap_Ln)))</x:f>
        <x:v>13863.877308233004</x:v>
      </x:c>
      <x:c r="L706" s="10" t="n">
        <x:f>INDEX(tun_HousingCap,G706)*EXP(tun_CapsByProject*SUMPRODUCT((Cap_Point&lt;=I706)*(Cap_Kind="Housing")*Cap_Ln))</x:f>
        <x:v>12514.86067705494</x:v>
      </x:c>
      <x:c r="M706" s="10" t="n">
        <x:f>INDEX(tun_GroupCap,G706)*tun_CohesionFactor*EXP(tun_CapsByProject*SUMPRODUCT((Cap_Point&lt;=I706)*(Cap_Kind="Group")*Cap_Ln))</x:f>
        <x:v>1000000.000000001</x:v>
      </x:c>
      <x:c r="N706" s="32" t="n">
        <x:f>MIN(J706,L706,M706)</x:f>
        <x:v>12514.86067705494</x:v>
      </x:c>
      <x:c r="O706" s="10" t="n">
        <x:f>AE705*N706</x:f>
        <x:v>112633.74609349445</x:v>
      </x:c>
      <x:c r="P706" s="9" t="n">
        <x:f>MIN(1,(AB705/(AE705*IF(tun_GroupInCrowding=1,N706,MIN(J706,L706))))^tun_CrowdingExp)</x:f>
        <x:v>0.7718031731765995</x:v>
      </x:c>
      <x:c r="Q706" s="9" t="n">
        <x:f>IF(D706=1,INDEX(tun_WinterMult,G706),1)</x:f>
        <x:v>1</x:v>
      </x:c>
      <x:c r="R706" s="9" t="n">
        <x:f>H706*Z705*tun_WomenShare*tun_BaseFertility*INDEX(tun_FertMult,G706)*Arch_Fertility*(1-P706)</x:f>
        <x:v>262.58699543412985</x:v>
      </x:c>
      <x:c r="S706" s="9" t="n">
        <x:f>H706*Y705*INDEX(tun_MortChild,G706)/4*Q706</x:f>
        <x:v>5.405817415396043</x:v>
      </x:c>
      <x:c r="T706" s="9" t="n">
        <x:f>H706*Z705*INDEX(tun_MortAdult,G706)*Arch_AdultMort/4*Q706</x:f>
        <x:v>18.967647919772457</x:v>
      </x:c>
      <x:c r="U706" s="9" t="n">
        <x:f>H706*AA705*INDEX(tun_MortElder,G706)/4*Q706</x:f>
        <x:v>224.56207507674654</x:v>
      </x:c>
      <x:c r="V706" s="9" t="n">
        <x:f>H706*MAX(0,AB705-O706)*tun_OvercapLoss</x:f>
        <x:v>0</x:v>
      </x:c>
      <x:c r="W706" s="9" t="n">
        <x:f>H706*Y705/(tun_ChildYears*4)</x:f>
        <x:v>429.03312820603514</x:v>
      </x:c>
      <x:c r="X706" s="9" t="n">
        <x:f>H706*Z705/(tun_AdultYears*4)</x:f>
        <x:v>407.906406876827</x:v>
      </x:c>
      <x:c r="Y706" s="32" t="n">
        <x:f>Y705+R706-S706-W706-Y705*V706/AB705</x:f>
        <x:v>23854.003229350667</x:v>
      </x:c>
      <x:c r="Z706" s="32" t="n">
        <x:f>Z705+W706-X706-T706-Z705*V706/AB705</x:f>
        <x:v>50582.553526135984</x:v>
      </x:c>
      <x:c r="AA706" s="32" t="n">
        <x:f>AA705+X706-U706-AA705*V706/AB705</x:f>
        <x:v>33451.79989872549</x:v>
      </x:c>
      <x:c r="AB706" s="10" t="n">
        <x:f>Y706+Z706+AA706</x:f>
        <x:v>107888.35665421214</x:v>
      </x:c>
      <x:c r="AC706" s="8" t="n">
        <x:f>IF(AND(tun_WinterTrigger=1,D706=1,AB705/AE705&gt;=K706),1,0)</x:f>
        <x:v>0</x:v>
      </x:c>
      <x:c r="AD706" s="8" t="n">
        <x:f>H706*IF(AND(OR(AB705/AE705&gt;=tun_FissionTrigger*N706,AC706=1),AB705/AE705*tun_DaughterShare&gt;=tun_MinDaughter),MAX(1,ROUND(AE705*tun_FissionRate,0)),0)</x:f>
        <x:v>3</x:v>
      </x:c>
      <x:c r="AE706" s="8" t="n">
        <x:f>IF(H706=1,MAX(1,MIN(INDEX(tun_Smax,G706),AE705+AD706)),AE705)</x:f>
        <x:v>9</x:v>
      </x:c>
      <x:c r="AF706" s="8" t="n">
        <x:f>MAX(0,AE706-AE705)</x:f>
        <x:v>0</x:v>
      </x:c>
      <x:c r="AG706" s="9" t="str">
        <x:f>IF(AF706&gt;0,B706,"")</x:f>
      </x:c>
      <x:c r="AH706" s="9" t="n">
        <x:f>IF(F706&gt;=1,1,(1+tun_LowTiesShare*(AE706-1))/AE706)</x:f>
        <x:v>1</x:v>
      </x:c>
      <x:c r="AI706" s="32" t="n">
        <x:f>(Z706+tun_ElderCommons*INDEX(LM_Elder,G706)*AA706)*AH706</x:f>
        <x:v>182149.59247988852</x:v>
      </x:c>
      <x:c r="AJ706" s="32" t="n">
        <x:f>H706*tun_CommonsCoef*AI706^tun_CommonsExp*INDEX(LM_Commons,G706)</x:f>
        <x:v>635849.0277203436</x:v>
      </x:c>
      <x:c r="AK706" s="32" t="n">
        <x:f>H706*tun_RoleScale*Arch_Roles*(AE706*(INDEX(tun_ElderRolePerSett,G706)*tun_OutElder*INDEX(LM_Elder,G706)+INDEX(tun_ShamanPerSett,G706)*tun_OutShaman)+Z706*(INDEX(tun_PriestShare,G706)*tun_OutPriest+INDEX(tun_ScribeShare,G706)*tun_OutScribe*INDEX(LM_Scribe,G706)+INDEX(tun_ScholarShare,G706)*tun_OutScholar*INDEX(LM_Scholar,G706)+INDEX(tun_ResearcherShare,G706)*tun_OutResearcher*INDEX(LM_Researcher,G706)))</x:f>
        <x:v>182421.15767874505</x:v>
      </x:c>
      <x:c r="AL706" s="32" t="n">
        <x:f>H706*tun_RoleScale*Arch_Roles*AE706*INDEX(tun_MonasteryPerSett,G706)*tun_OutMonastery*INDEX(LM_Monastery,G706)</x:f>
        <x:v>15.840000000000002</x:v>
      </x:c>
      <x:c r="AM706" s="32" t="n">
        <x:f>(AJ706+AK706+AL706)/4*INDEX(LM_All,G706)*INDEX(tun_Boon,G706)*Arch_Insight</x:f>
        <x:v>708613.1304354463</x:v>
      </x:c>
      <x:c r="AN706" s="32" t="n">
        <x:f>H706*(tun_KHPerAdult*Z706+tun_KHOfCommons*AJ706/4*INDEX(LM_All,G706))*tun_KHUsable*Arch_KH</x:f>
        <x:v>108021.29225426729</x:v>
      </x:c>
      <x:c r="AO706" s="32" t="n">
        <x:f>MIN(AP705+AN706,AM706*tun_KHMaxRatio)</x:f>
        <x:v>108021.29225426729</x:v>
      </x:c>
      <x:c r="AP706" s="32" t="n">
        <x:f>AP705+AN706-AO706</x:f>
        <x:v>0</x:v>
      </x:c>
      <x:c r="AQ706" s="32" t="n">
        <x:f>AM706+AO706</x:f>
        <x:v>816634.4226897135</x:v>
      </x:c>
      <x:c r="AR706" s="10" t="n">
        <x:f>IF(H706=1,INDEX(tun_Req,G706),0)</x:f>
        <x:v>125406521.7009086</x:v>
      </x:c>
      <x:c r="AS706" s="32" t="n">
        <x:f>IF(H706=1,IF(E706=1,AS705-AR705,AS705)+AQ706,0)</x:f>
        <x:v>55038242.122069</x:v>
      </x:c>
      <x:c r="AT706" s="11" t="n">
        <x:f>IF(AR706&gt;0,MIN(1,AS706/AR706),1)</x:f>
        <x:v>0.438878627487443</x:v>
      </x:c>
      <x:c r="AU706" s="10" t="n">
        <x:f>AB706/INDEX(tun_RepScale,G706)</x:f>
        <x:v>215.7767133084243</x:v>
      </x:c>
      <x:c r="AV706" s="32" t="n">
        <x:f>AM706*60/tun_SeasonSeconds</x:f>
        <x:v>2834452.521741785</x:v>
      </x:c>
    </x:row>
    <x:row r="707">
      <x:c r="A707" s="8" t="n">
        <x:f>A706+1</x:f>
        <x:v>704</x:v>
      </x:c>
      <x:c r="B707" s="9" t="n">
        <x:f>A707*tun_SeasonSeconds/60</x:f>
        <x:v>176</x:v>
      </x:c>
      <x:c r="C707" s="9" t="n">
        <x:f>A707/4</x:f>
        <x:v>176</x:v>
      </x:c>
      <x:c r="D707" s="8" t="n">
        <x:f>IF(MOD(A707,4)=0,1,0)</x:f>
        <x:v>1</x:v>
      </x:c>
      <x:c r="E707" s="8" t="n">
        <x:f>IF(AND(F706&lt;=9,AS706&gt;=AR706),1,0)</x:f>
        <x:v>0</x:v>
      </x:c>
      <x:c r="F707" s="8" t="n">
        <x:f>MIN(10,F706+E707)</x:f>
        <x:v>9</x:v>
      </x:c>
      <x:c r="G707" s="8" t="n">
        <x:f>MIN(F707,9)+1</x:f>
        <x:v>10</x:v>
      </x:c>
      <x:c r="H707" s="8" t="n">
        <x:f>IF(F707&lt;=9,1,0)</x:f>
        <x:v>1</x:v>
      </x:c>
      <x:c r="I707" s="9" t="n">
        <x:f>MIN(10,F706+IF(AR706&gt;0,MIN(1,AS706/AR706),1))</x:f>
        <x:v>9.438878627487442</x:v>
      </x:c>
      <x:c r="J707" s="32" t="n">
        <x:f>INDEX(tun_FoodCap,G707)*Arch_FoodCap*EXP(tun_CapsByProject*SUMPRODUCT((Cap_Point&lt;=I707)*(Cap_Kind="Food")*Cap_Ln))</x:f>
        <x:v>13863.877308233004</x:v>
      </x:c>
      <x:c r="K707" s="32" t="n">
        <x:f>J707*MIN(1,tun_LeanBase*EXP(tun_CapsByProject*SUMPRODUCT((Cap_Point&lt;=I707)*(Cap_Kind="Lean")*Cap_Ln)))</x:f>
        <x:v>13863.877308233004</x:v>
      </x:c>
      <x:c r="L707" s="10" t="n">
        <x:f>INDEX(tun_HousingCap,G707)*EXP(tun_CapsByProject*SUMPRODUCT((Cap_Point&lt;=I707)*(Cap_Kind="Housing")*Cap_Ln))</x:f>
        <x:v>12514.86067705494</x:v>
      </x:c>
      <x:c r="M707" s="10" t="n">
        <x:f>INDEX(tun_GroupCap,G707)*tun_CohesionFactor*EXP(tun_CapsByProject*SUMPRODUCT((Cap_Point&lt;=I707)*(Cap_Kind="Group")*Cap_Ln))</x:f>
        <x:v>1000000.000000001</x:v>
      </x:c>
      <x:c r="N707" s="32" t="n">
        <x:f>MIN(J707,L707,M707)</x:f>
        <x:v>12514.86067705494</x:v>
      </x:c>
      <x:c r="O707" s="10" t="n">
        <x:f>AE706*N707</x:f>
        <x:v>112633.74609349445</x:v>
      </x:c>
      <x:c r="P707" s="9" t="n">
        <x:f>MIN(1,(AB706/(AE706*IF(tun_GroupInCrowding=1,N707,MIN(J707,L707))))^tun_CrowdingExp)</x:f>
        <x:v>0.7723893849429846</x:v>
      </x:c>
      <x:c r="Q707" s="9" t="n">
        <x:f>IF(D707=1,INDEX(tun_WinterMult,G707),1)</x:f>
        <x:v>1.05</x:v>
      </x:c>
      <x:c r="R707" s="9" t="n">
        <x:f>H707*Z706*tun_WomenShare*tun_BaseFertility*INDEX(tun_FertMult,G707)*Arch_Fertility*(1-P707)</x:f>
        <x:v>261.92361921266934</x:v>
      </x:c>
      <x:c r="S707" s="9" t="n">
        <x:f>H707*Y706*INDEX(tun_MortChild,G707)/4*Q707</x:f>
        <x:v>5.635508262934096</x:v>
      </x:c>
      <x:c r="T707" s="9" t="n">
        <x:f>H707*Z706*INDEX(tun_MortAdult,G707)*Arch_AdultMort/4*Q707</x:f>
        <x:v>19.916880450916047</x:v>
      </x:c>
      <x:c r="U707" s="9" t="n">
        <x:f>H707*AA706*INDEX(tun_MortElder,G707)/4*Q707</x:f>
        <x:v>237.0896317822169</x:v>
      </x:c>
      <x:c r="V707" s="9" t="n">
        <x:f>H707*MAX(0,AB706-O707)*tun_OvercapLoss</x:f>
        <x:v>0</x:v>
      </x:c>
      <x:c r="W707" s="9" t="n">
        <x:f>H707*Y706/(tun_ChildYears*4)</x:f>
        <x:v>425.9643433812619</x:v>
      </x:c>
      <x:c r="X707" s="9" t="n">
        <x:f>H707*Z706/(tun_AdultYears*4)</x:f>
        <x:v>407.9238187591612</x:v>
      </x:c>
      <x:c r="Y707" s="32" t="n">
        <x:f>Y706+R707-S707-W707-Y706*V707/AB706</x:f>
        <x:v>23684.32699691914</x:v>
      </x:c>
      <x:c r="Z707" s="32" t="n">
        <x:f>Z706+W707-X707-T707-Z706*V707/AB706</x:f>
        <x:v>50580.677170307164</x:v>
      </x:c>
      <x:c r="AA707" s="32" t="n">
        <x:f>AA706+X707-U707-AA706*V707/AB706</x:f>
        <x:v>33622.63408570243</x:v>
      </x:c>
      <x:c r="AB707" s="10" t="n">
        <x:f>Y707+Z707+AA707</x:f>
        <x:v>107887.63825292874</x:v>
      </x:c>
      <x:c r="AC707" s="8" t="n">
        <x:f>IF(AND(tun_WinterTrigger=1,D707=1,AB706/AE706&gt;=K707),1,0)</x:f>
        <x:v>0</x:v>
      </x:c>
      <x:c r="AD707" s="8" t="n">
        <x:f>H707*IF(AND(OR(AB706/AE706&gt;=tun_FissionTrigger*N707,AC707=1),AB706/AE706*tun_DaughterShare&gt;=tun_MinDaughter),MAX(1,ROUND(AE706*tun_FissionRate,0)),0)</x:f>
        <x:v>3</x:v>
      </x:c>
      <x:c r="AE707" s="8" t="n">
        <x:f>IF(H707=1,MAX(1,MIN(INDEX(tun_Smax,G707),AE706+AD707)),AE706)</x:f>
        <x:v>9</x:v>
      </x:c>
      <x:c r="AF707" s="8" t="n">
        <x:f>MAX(0,AE707-AE706)</x:f>
        <x:v>0</x:v>
      </x:c>
      <x:c r="AG707" s="9" t="str">
        <x:f>IF(AF707&gt;0,B707,"")</x:f>
      </x:c>
      <x:c r="AH707" s="9" t="n">
        <x:f>IF(F707&gt;=1,1,(1+tun_LowTiesShare*(AE707-1))/AE707)</x:f>
        <x:v>1</x:v>
      </x:c>
      <x:c r="AI707" s="32" t="n">
        <x:f>(Z707+tun_ElderCommons*INDEX(LM_Elder,G707)*AA707)*AH707</x:f>
        <x:v>182819.61264982735</x:v>
      </x:c>
      <x:c r="AJ707" s="32" t="n">
        <x:f>H707*tun_CommonsCoef*AI707^tun_CommonsExp*INDEX(LM_Commons,G707)</x:f>
        <x:v>637836.5543158724</x:v>
      </x:c>
      <x:c r="AK707" s="32" t="n">
        <x:f>H707*tun_RoleScale*Arch_Roles*(AE707*(INDEX(tun_ElderRolePerSett,G707)*tun_OutElder*INDEX(LM_Elder,G707)+INDEX(tun_ShamanPerSett,G707)*tun_OutShaman)+Z707*(INDEX(tun_PriestShare,G707)*tun_OutPriest+INDEX(tun_ScribeShare,G707)*tun_OutScribe*INDEX(LM_Scribe,G707)+INDEX(tun_ScholarShare,G707)*tun_OutScholar*INDEX(LM_Scholar,G707)+INDEX(tun_ResearcherShare,G707)*tun_OutResearcher*INDEX(LM_Researcher,G707)))</x:f>
        <x:v>182414.40003879723</x:v>
      </x:c>
      <x:c r="AL707" s="32" t="n">
        <x:f>H707*tun_RoleScale*Arch_Roles*AE707*INDEX(tun_MonasteryPerSett,G707)*tun_OutMonastery*INDEX(LM_Monastery,G707)</x:f>
        <x:v>15.840000000000002</x:v>
      </x:c>
      <x:c r="AM707" s="32" t="n">
        <x:f>(AJ707+AK707+AL707)/4*INDEX(LM_All,G707)*INDEX(tun_Boon,G707)*Arch_Insight</x:f>
        <x:v>710328.4217232317</x:v>
      </x:c>
      <x:c r="AN707" s="32" t="n">
        <x:f>H707*(tun_KHPerAdult*Z707+tun_KHOfCommons*AJ707/4*INDEX(LM_All,G707))*tun_KHUsable*Arch_KH</x:f>
        <x:v>108358.94346057404</x:v>
      </x:c>
      <x:c r="AO707" s="32" t="n">
        <x:f>MIN(AP706+AN707,AM707*tun_KHMaxRatio)</x:f>
        <x:v>108358.94346057404</x:v>
      </x:c>
      <x:c r="AP707" s="32" t="n">
        <x:f>AP706+AN707-AO707</x:f>
        <x:v>0</x:v>
      </x:c>
      <x:c r="AQ707" s="32" t="n">
        <x:f>AM707+AO707</x:f>
        <x:v>818687.3651838057</x:v>
      </x:c>
      <x:c r="AR707" s="10" t="n">
        <x:f>IF(H707=1,INDEX(tun_Req,G707),0)</x:f>
        <x:v>125406521.7009086</x:v>
      </x:c>
      <x:c r="AS707" s="32" t="n">
        <x:f>IF(H707=1,IF(E707=1,AS706-AR706,AS706)+AQ707,0)</x:f>
        <x:v>55856929.48725281</x:v>
      </x:c>
      <x:c r="AT707" s="11" t="n">
        <x:f>IF(AR707&gt;0,MIN(1,AS707/AR707),1)</x:f>
        <x:v>0.4454068953484746</x:v>
      </x:c>
      <x:c r="AU707" s="10" t="n">
        <x:f>AB707/INDEX(tun_RepScale,G707)</x:f>
        <x:v>215.77527650585748</x:v>
      </x:c>
      <x:c r="AV707" s="32" t="n">
        <x:f>AM707*60/tun_SeasonSeconds</x:f>
        <x:v>2841313.6868929267</x:v>
      </x:c>
    </x:row>
    <x:row r="708">
      <x:c r="A708" s="8" t="n">
        <x:f>A707+1</x:f>
        <x:v>705</x:v>
      </x:c>
      <x:c r="B708" s="9" t="n">
        <x:f>A708*tun_SeasonSeconds/60</x:f>
        <x:v>176.25</x:v>
      </x:c>
      <x:c r="C708" s="9" t="n">
        <x:f>A708/4</x:f>
        <x:v>176.25</x:v>
      </x:c>
      <x:c r="D708" s="8" t="n">
        <x:f>IF(MOD(A708,4)=0,1,0)</x:f>
        <x:v>0</x:v>
      </x:c>
      <x:c r="E708" s="8" t="n">
        <x:f>IF(AND(F707&lt;=9,AS707&gt;=AR707),1,0)</x:f>
        <x:v>0</x:v>
      </x:c>
      <x:c r="F708" s="8" t="n">
        <x:f>MIN(10,F707+E708)</x:f>
        <x:v>9</x:v>
      </x:c>
      <x:c r="G708" s="8" t="n">
        <x:f>MIN(F708,9)+1</x:f>
        <x:v>10</x:v>
      </x:c>
      <x:c r="H708" s="8" t="n">
        <x:f>IF(F708&lt;=9,1,0)</x:f>
        <x:v>1</x:v>
      </x:c>
      <x:c r="I708" s="9" t="n">
        <x:f>MIN(10,F707+IF(AR707&gt;0,MIN(1,AS707/AR707),1))</x:f>
        <x:v>9.445406895348475</x:v>
      </x:c>
      <x:c r="J708" s="32" t="n">
        <x:f>INDEX(tun_FoodCap,G708)*Arch_FoodCap*EXP(tun_CapsByProject*SUMPRODUCT((Cap_Point&lt;=I708)*(Cap_Kind="Food")*Cap_Ln))</x:f>
        <x:v>13863.877308233004</x:v>
      </x:c>
      <x:c r="K708" s="32" t="n">
        <x:f>J708*MIN(1,tun_LeanBase*EXP(tun_CapsByProject*SUMPRODUCT((Cap_Point&lt;=I708)*(Cap_Kind="Lean")*Cap_Ln)))</x:f>
        <x:v>13863.877308233004</x:v>
      </x:c>
      <x:c r="L708" s="10" t="n">
        <x:f>INDEX(tun_HousingCap,G708)*EXP(tun_CapsByProject*SUMPRODUCT((Cap_Point&lt;=I708)*(Cap_Kind="Housing")*Cap_Ln))</x:f>
        <x:v>12514.86067705494</x:v>
      </x:c>
      <x:c r="M708" s="10" t="n">
        <x:f>INDEX(tun_GroupCap,G708)*tun_CohesionFactor*EXP(tun_CapsByProject*SUMPRODUCT((Cap_Point&lt;=I708)*(Cap_Kind="Group")*Cap_Ln))</x:f>
        <x:v>1000000.000000001</x:v>
      </x:c>
      <x:c r="N708" s="32" t="n">
        <x:f>MIN(J708,L708,M708)</x:f>
        <x:v>12514.86067705494</x:v>
      </x:c>
      <x:c r="O708" s="10" t="n">
        <x:f>AE707*N708</x:f>
        <x:v>112633.74609349445</x:v>
      </x:c>
      <x:c r="P708" s="9" t="n">
        <x:f>MIN(1,(AB707/(AE707*IF(tun_GroupInCrowding=1,N708,MIN(J708,L708))))^tun_CrowdingExp)</x:f>
        <x:v>0.7723585265831606</x:v>
      </x:c>
      <x:c r="Q708" s="9" t="n">
        <x:f>IF(D708=1,INDEX(tun_WinterMult,G708),1)</x:f>
        <x:v>1</x:v>
      </x:c>
      <x:c r="R708" s="9" t="n">
        <x:f>H708*Z707*tun_WomenShare*tun_BaseFertility*INDEX(tun_FertMult,G708)*Arch_Fertility*(1-P708)</x:f>
        <x:v>261.9494122124473</x:v>
      </x:c>
      <x:c r="S708" s="9" t="n">
        <x:f>H708*Y707*INDEX(tun_MortChild,G708)/4*Q708</x:f>
        <x:v>5.328973574306806</x:v>
      </x:c>
      <x:c r="T708" s="9" t="n">
        <x:f>H708*Z707*INDEX(tun_MortAdult,G708)*Arch_AdultMort/4*Q708</x:f>
        <x:v>18.967753938865187</x:v>
      </x:c>
      <x:c r="U708" s="9" t="n">
        <x:f>H708*AA707*INDEX(tun_MortElder,G708)/4*Q708</x:f>
        <x:v>226.95278007849143</x:v>
      </x:c>
      <x:c r="V708" s="9" t="n">
        <x:f>H708*MAX(0,AB707-O708)*tun_OvercapLoss</x:f>
        <x:v>0</x:v>
      </x:c>
      <x:c r="W708" s="9" t="n">
        <x:f>H708*Y707/(tun_ChildYears*4)</x:f>
        <x:v>422.9344106592703</x:v>
      </x:c>
      <x:c r="X708" s="9" t="n">
        <x:f>H708*Z707/(tun_AdultYears*4)</x:f>
        <x:v>407.90868685731584</x:v>
      </x:c>
      <x:c r="Y708" s="32" t="n">
        <x:f>Y707+R708-S708-W708-Y707*V708/AB707</x:f>
        <x:v>23518.013024898013</x:v>
      </x:c>
      <x:c r="Z708" s="32" t="n">
        <x:f>Z707+W708-X708-T708-Z707*V708/AB707</x:f>
        <x:v>50576.735140170254</x:v>
      </x:c>
      <x:c r="AA708" s="32" t="n">
        <x:f>AA707+X708-U708-AA707*V708/AB707</x:f>
        <x:v>33803.589992481255</x:v>
      </x:c>
      <x:c r="AB708" s="10" t="n">
        <x:f>Y708+Z708+AA708</x:f>
        <x:v>107898.33815754953</x:v>
      </x:c>
      <x:c r="AC708" s="8" t="n">
        <x:f>IF(AND(tun_WinterTrigger=1,D708=1,AB707/AE707&gt;=K708),1,0)</x:f>
        <x:v>0</x:v>
      </x:c>
      <x:c r="AD708" s="8" t="n">
        <x:f>H708*IF(AND(OR(AB707/AE707&gt;=tun_FissionTrigger*N708,AC708=1),AB707/AE707*tun_DaughterShare&gt;=tun_MinDaughter),MAX(1,ROUND(AE707*tun_FissionRate,0)),0)</x:f>
        <x:v>3</x:v>
      </x:c>
      <x:c r="AE708" s="8" t="n">
        <x:f>IF(H708=1,MAX(1,MIN(INDEX(tun_Smax,G708),AE707+AD708)),AE707)</x:f>
        <x:v>9</x:v>
      </x:c>
      <x:c r="AF708" s="8" t="n">
        <x:f>MAX(0,AE708-AE707)</x:f>
        <x:v>0</x:v>
      </x:c>
      <x:c r="AG708" s="9" t="str">
        <x:f>IF(AF708&gt;0,B708,"")</x:f>
      </x:c>
      <x:c r="AH708" s="9" t="n">
        <x:f>IF(F708&gt;=1,1,(1+tun_LowTiesShare*(AE708-1))/AE708)</x:f>
        <x:v>1</x:v>
      </x:c>
      <x:c r="AI708" s="32" t="n">
        <x:f>(Z708+tun_ElderCommons*INDEX(LM_Elder,G708)*AA708)*AH708</x:f>
        <x:v>183527.376205284</x:v>
      </x:c>
      <x:c r="AJ708" s="32" t="n">
        <x:f>H708*tun_CommonsCoef*AI708^tun_CommonsExp*INDEX(LM_Commons,G708)</x:f>
        <x:v>639934.8554331247</x:v>
      </x:c>
      <x:c r="AK708" s="32" t="n">
        <x:f>H708*tun_RoleScale*Arch_Roles*(AE708*(INDEX(tun_ElderRolePerSett,G708)*tun_OutElder*INDEX(LM_Elder,G708)+INDEX(tun_ShamanPerSett,G708)*tun_OutShaman)+Z708*(INDEX(tun_PriestShare,G708)*tun_OutPriest+INDEX(tun_ScribeShare,G708)*tun_OutScribe*INDEX(LM_Scribe,G708)+INDEX(tun_ScholarShare,G708)*tun_OutScholar*INDEX(LM_Scholar,G708)+INDEX(tun_ResearcherShare,G708)*tun_OutResearcher*INDEX(LM_Researcher,G708)))</x:f>
        <x:v>182400.20293400533</x:v>
      </x:c>
      <x:c r="AL708" s="32" t="n">
        <x:f>H708*tun_RoleScale*Arch_Roles*AE708*INDEX(tun_MonasteryPerSett,G708)*tun_OutMonastery*INDEX(LM_Monastery,G708)</x:f>
        <x:v>15.840000000000002</x:v>
      </x:c>
      <x:c r="AM708" s="32" t="n">
        <x:f>(AJ708+AK708+AL708)/4*INDEX(LM_All,G708)*INDEX(tun_Boon,G708)*Arch_Insight</x:f>
        <x:v>712133.1983203908</x:v>
      </x:c>
      <x:c r="AN708" s="32" t="n">
        <x:f>H708*(tun_KHPerAdult*Z708+tun_KHOfCommons*AJ708/4*INDEX(LM_All,G708))*tun_KHUsable*Arch_KH</x:f>
        <x:v>108715.41361047234</x:v>
      </x:c>
      <x:c r="AO708" s="32" t="n">
        <x:f>MIN(AP707+AN708,AM708*tun_KHMaxRatio)</x:f>
        <x:v>108715.41361047234</x:v>
      </x:c>
      <x:c r="AP708" s="32" t="n">
        <x:f>AP707+AN708-AO708</x:f>
        <x:v>0</x:v>
      </x:c>
      <x:c r="AQ708" s="32" t="n">
        <x:f>AM708+AO708</x:f>
        <x:v>820848.6119308631</x:v>
      </x:c>
      <x:c r="AR708" s="10" t="n">
        <x:f>IF(H708=1,INDEX(tun_Req,G708),0)</x:f>
        <x:v>125406521.7009086</x:v>
      </x:c>
      <x:c r="AS708" s="32" t="n">
        <x:f>IF(H708=1,IF(E708=1,AS707-AR707,AS707)+AQ708,0)</x:f>
        <x:v>56677778.09918367</x:v>
      </x:c>
      <x:c r="AT708" s="11" t="n">
        <x:f>IF(AR708&gt;0,MIN(1,AS708/AR708),1)</x:f>
        <x:v>0.4519523971357626</x:v>
      </x:c>
      <x:c r="AU708" s="10" t="n">
        <x:f>AB708/INDEX(tun_RepScale,G708)</x:f>
        <x:v>215.79667631509906</x:v>
      </x:c>
      <x:c r="AV708" s="32" t="n">
        <x:f>AM708*60/tun_SeasonSeconds</x:f>
        <x:v>2848532.793281563</x:v>
      </x:c>
    </x:row>
    <x:row r="709">
      <x:c r="A709" s="8" t="n">
        <x:f>A708+1</x:f>
        <x:v>706</x:v>
      </x:c>
      <x:c r="B709" s="9" t="n">
        <x:f>A709*tun_SeasonSeconds/60</x:f>
        <x:v>176.5</x:v>
      </x:c>
      <x:c r="C709" s="9" t="n">
        <x:f>A709/4</x:f>
        <x:v>176.5</x:v>
      </x:c>
      <x:c r="D709" s="8" t="n">
        <x:f>IF(MOD(A709,4)=0,1,0)</x:f>
        <x:v>0</x:v>
      </x:c>
      <x:c r="E709" s="8" t="n">
        <x:f>IF(AND(F708&lt;=9,AS708&gt;=AR708),1,0)</x:f>
        <x:v>0</x:v>
      </x:c>
      <x:c r="F709" s="8" t="n">
        <x:f>MIN(10,F708+E709)</x:f>
        <x:v>9</x:v>
      </x:c>
      <x:c r="G709" s="8" t="n">
        <x:f>MIN(F709,9)+1</x:f>
        <x:v>10</x:v>
      </x:c>
      <x:c r="H709" s="8" t="n">
        <x:f>IF(F709&lt;=9,1,0)</x:f>
        <x:v>1</x:v>
      </x:c>
      <x:c r="I709" s="9" t="n">
        <x:f>MIN(10,F708+IF(AR708&gt;0,MIN(1,AS708/AR708),1))</x:f>
        <x:v>9.451952397135763</x:v>
      </x:c>
      <x:c r="J709" s="32" t="n">
        <x:f>INDEX(tun_FoodCap,G709)*Arch_FoodCap*EXP(tun_CapsByProject*SUMPRODUCT((Cap_Point&lt;=I709)*(Cap_Kind="Food")*Cap_Ln))</x:f>
        <x:v>13863.877308233004</x:v>
      </x:c>
      <x:c r="K709" s="32" t="n">
        <x:f>J709*MIN(1,tun_LeanBase*EXP(tun_CapsByProject*SUMPRODUCT((Cap_Point&lt;=I709)*(Cap_Kind="Lean")*Cap_Ln)))</x:f>
        <x:v>13863.877308233004</x:v>
      </x:c>
      <x:c r="L709" s="10" t="n">
        <x:f>INDEX(tun_HousingCap,G709)*EXP(tun_CapsByProject*SUMPRODUCT((Cap_Point&lt;=I709)*(Cap_Kind="Housing")*Cap_Ln))</x:f>
        <x:v>12514.86067705494</x:v>
      </x:c>
      <x:c r="M709" s="10" t="n">
        <x:f>INDEX(tun_GroupCap,G709)*tun_CohesionFactor*EXP(tun_CapsByProject*SUMPRODUCT((Cap_Point&lt;=I709)*(Cap_Kind="Group")*Cap_Ln))</x:f>
        <x:v>1000000.000000001</x:v>
      </x:c>
      <x:c r="N709" s="32" t="n">
        <x:f>MIN(J709,L709,M709)</x:f>
        <x:v>12514.86067705494</x:v>
      </x:c>
      <x:c r="O709" s="10" t="n">
        <x:f>AE708*N709</x:f>
        <x:v>112633.74609349445</x:v>
      </x:c>
      <x:c r="P709" s="9" t="n">
        <x:f>MIN(1,(AB708/(AE708*IF(tun_GroupInCrowding=1,N709,MIN(J709,L709))))^tun_CrowdingExp)</x:f>
        <x:v>0.7728182388539914</x:v>
      </x:c>
      <x:c r="Q709" s="9" t="n">
        <x:f>IF(D709=1,INDEX(tun_WinterMult,G709),1)</x:f>
        <x:v>1</x:v>
      </x:c>
      <x:c r="R709" s="9" t="n">
        <x:f>H709*Z708*tun_WomenShare*tun_BaseFertility*INDEX(tun_FertMult,G709)*Arch_Fertility*(1-P709)</x:f>
        <x:v>261.4000425891195</x:v>
      </x:c>
      <x:c r="S709" s="9" t="n">
        <x:f>H709*Y708*INDEX(tun_MortChild,G709)/4*Q709</x:f>
        <x:v>5.291552930602053</x:v>
      </x:c>
      <x:c r="T709" s="9" t="n">
        <x:f>H709*Z708*INDEX(tun_MortAdult,G709)*Arch_AdultMort/4*Q709</x:f>
        <x:v>18.966275677563846</x:v>
      </x:c>
      <x:c r="U709" s="9" t="n">
        <x:f>H709*AA708*INDEX(tun_MortElder,G709)/4*Q709</x:f>
        <x:v>228.17423244924848</x:v>
      </x:c>
      <x:c r="V709" s="9" t="n">
        <x:f>H709*MAX(0,AB708-O709)*tun_OvercapLoss</x:f>
        <x:v>0</x:v>
      </x:c>
      <x:c r="W709" s="9" t="n">
        <x:f>H709*Y708/(tun_ChildYears*4)</x:f>
        <x:v>419.9645183017502</x:v>
      </x:c>
      <x:c r="X709" s="9" t="n">
        <x:f>H709*Z708/(tun_AdultYears*4)</x:f>
        <x:v>407.8768962916956</x:v>
      </x:c>
      <x:c r="Y709" s="32" t="n">
        <x:f>Y708+R709-S709-W709-Y708*V709/AB708</x:f>
        <x:v>23354.156996254784</x:v>
      </x:c>
      <x:c r="Z709" s="32" t="n">
        <x:f>Z708+W709-X709-T709-Z708*V709/AB708</x:f>
        <x:v>50569.856486502744</x:v>
      </x:c>
      <x:c r="AA709" s="32" t="n">
        <x:f>AA708+X709-U709-AA708*V709/AB708</x:f>
        <x:v>33983.2926563237</x:v>
      </x:c>
      <x:c r="AB709" s="10" t="n">
        <x:f>Y709+Z709+AA709</x:f>
        <x:v>107907.30613908122</x:v>
      </x:c>
      <x:c r="AC709" s="8" t="n">
        <x:f>IF(AND(tun_WinterTrigger=1,D709=1,AB708/AE708&gt;=K709),1,0)</x:f>
        <x:v>0</x:v>
      </x:c>
      <x:c r="AD709" s="8" t="n">
        <x:f>H709*IF(AND(OR(AB708/AE708&gt;=tun_FissionTrigger*N709,AC709=1),AB708/AE708*tun_DaughterShare&gt;=tun_MinDaughter),MAX(1,ROUND(AE708*tun_FissionRate,0)),0)</x:f>
        <x:v>3</x:v>
      </x:c>
      <x:c r="AE709" s="8" t="n">
        <x:f>IF(H709=1,MAX(1,MIN(INDEX(tun_Smax,G709),AE708+AD709)),AE708)</x:f>
        <x:v>9</x:v>
      </x:c>
      <x:c r="AF709" s="8" t="n">
        <x:f>MAX(0,AE709-AE708)</x:f>
        <x:v>0</x:v>
      </x:c>
      <x:c r="AG709" s="9" t="str">
        <x:f>IF(AF709&gt;0,B709,"")</x:f>
      </x:c>
      <x:c r="AH709" s="9" t="n">
        <x:f>IF(F709&gt;=1,1,(1+tun_LowTiesShare*(AE709-1))/AE709)</x:f>
        <x:v>1</x:v>
      </x:c>
      <x:c r="AI709" s="32" t="n">
        <x:f>(Z709+tun_ElderCommons*INDEX(LM_Elder,G709)*AA709)*AH709</x:f>
        <x:v>184227.27409115786</x:v>
      </x:c>
      <x:c r="AJ709" s="32" t="n">
        <x:f>H709*tun_CommonsCoef*AI709^tun_CommonsExp*INDEX(LM_Commons,G709)</x:f>
        <x:v>642008.643944491</x:v>
      </x:c>
      <x:c r="AK709" s="32" t="n">
        <x:f>H709*tun_RoleScale*Arch_Roles*(AE709*(INDEX(tun_ElderRolePerSett,G709)*tun_OutElder*INDEX(LM_Elder,G709)+INDEX(tun_ShamanPerSett,G709)*tun_OutShaman)+Z709*(INDEX(tun_PriestShare,G709)*tun_OutPriest+INDEX(tun_ScribeShare,G709)*tun_OutScribe*INDEX(LM_Scribe,G709)+INDEX(tun_ScholarShare,G709)*tun_OutScholar*INDEX(LM_Scholar,G709)+INDEX(tun_ResearcherShare,G709)*tun_OutResearcher*INDEX(LM_Researcher,G709)))</x:f>
        <x:v>182375.42966653826</x:v>
      </x:c>
      <x:c r="AL709" s="32" t="n">
        <x:f>H709*tun_RoleScale*Arch_Roles*AE709*INDEX(tun_MonasteryPerSett,G709)*tun_OutMonastery*INDEX(LM_Monastery,G709)</x:f>
        <x:v>15.840000000000002</x:v>
      </x:c>
      <x:c r="AM709" s="32" t="n">
        <x:f>(AJ709+AK709+AL709)/4*INDEX(LM_All,G709)*INDEX(tun_Boon,G709)*Arch_Insight</x:f>
        <x:v>713907.5890116913</x:v>
      </x:c>
      <x:c r="AN709" s="32" t="n">
        <x:f>H709*(tun_KHPerAdult*Z709+tun_KHOfCommons*AJ709/4*INDEX(LM_All,G709))*tun_KHUsable*Arch_KH</x:f>
        <x:v>109067.71943322873</x:v>
      </x:c>
      <x:c r="AO709" s="32" t="n">
        <x:f>MIN(AP708+AN709,AM709*tun_KHMaxRatio)</x:f>
        <x:v>109067.71943322873</x:v>
      </x:c>
      <x:c r="AP709" s="32" t="n">
        <x:f>AP708+AN709-AO709</x:f>
        <x:v>0</x:v>
      </x:c>
      <x:c r="AQ709" s="32" t="n">
        <x:f>AM709+AO709</x:f>
        <x:v>822975.30844492</x:v>
      </x:c>
      <x:c r="AR709" s="10" t="n">
        <x:f>IF(H709=1,INDEX(tun_Req,G709),0)</x:f>
        <x:v>125406521.7009086</x:v>
      </x:c>
      <x:c r="AS709" s="32" t="n">
        <x:f>IF(H709=1,IF(E709=1,AS708-AR708,AS708)+AQ709,0)</x:f>
        <x:v>57500753.40762859</x:v>
      </x:c>
      <x:c r="AT709" s="11" t="n">
        <x:f>IF(AR709&gt;0,MIN(1,AS709/AR709),1)</x:f>
        <x:v>0.4585148573434358</x:v>
      </x:c>
      <x:c r="AU709" s="10" t="n">
        <x:f>AB709/INDEX(tun_RepScale,G709)</x:f>
        <x:v>215.81461227816246</x:v>
      </x:c>
      <x:c r="AV709" s="32" t="n">
        <x:f>AM709*60/tun_SeasonSeconds</x:f>
        <x:v>2855630.356046765</x:v>
      </x:c>
    </x:row>
    <x:row r="710">
      <x:c r="A710" s="8" t="n">
        <x:f>A709+1</x:f>
        <x:v>707</x:v>
      </x:c>
      <x:c r="B710" s="9" t="n">
        <x:f>A710*tun_SeasonSeconds/60</x:f>
        <x:v>176.75</x:v>
      </x:c>
      <x:c r="C710" s="9" t="n">
        <x:f>A710/4</x:f>
        <x:v>176.75</x:v>
      </x:c>
      <x:c r="D710" s="8" t="n">
        <x:f>IF(MOD(A710,4)=0,1,0)</x:f>
        <x:v>0</x:v>
      </x:c>
      <x:c r="E710" s="8" t="n">
        <x:f>IF(AND(F709&lt;=9,AS709&gt;=AR709),1,0)</x:f>
        <x:v>0</x:v>
      </x:c>
      <x:c r="F710" s="8" t="n">
        <x:f>MIN(10,F709+E710)</x:f>
        <x:v>9</x:v>
      </x:c>
      <x:c r="G710" s="8" t="n">
        <x:f>MIN(F710,9)+1</x:f>
        <x:v>10</x:v>
      </x:c>
      <x:c r="H710" s="8" t="n">
        <x:f>IF(F710&lt;=9,1,0)</x:f>
        <x:v>1</x:v>
      </x:c>
      <x:c r="I710" s="9" t="n">
        <x:f>MIN(10,F709+IF(AR709&gt;0,MIN(1,AS709/AR709),1))</x:f>
        <x:v>9.458514857343436</x:v>
      </x:c>
      <x:c r="J710" s="32" t="n">
        <x:f>INDEX(tun_FoodCap,G710)*Arch_FoodCap*EXP(tun_CapsByProject*SUMPRODUCT((Cap_Point&lt;=I710)*(Cap_Kind="Food")*Cap_Ln))</x:f>
        <x:v>13863.877308233004</x:v>
      </x:c>
      <x:c r="K710" s="32" t="n">
        <x:f>J710*MIN(1,tun_LeanBase*EXP(tun_CapsByProject*SUMPRODUCT((Cap_Point&lt;=I710)*(Cap_Kind="Lean")*Cap_Ln)))</x:f>
        <x:v>13863.877308233004</x:v>
      </x:c>
      <x:c r="L710" s="10" t="n">
        <x:f>INDEX(tun_HousingCap,G710)*EXP(tun_CapsByProject*SUMPRODUCT((Cap_Point&lt;=I710)*(Cap_Kind="Housing")*Cap_Ln))</x:f>
        <x:v>12514.86067705494</x:v>
      </x:c>
      <x:c r="M710" s="10" t="n">
        <x:f>INDEX(tun_GroupCap,G710)*tun_CohesionFactor*EXP(tun_CapsByProject*SUMPRODUCT((Cap_Point&lt;=I710)*(Cap_Kind="Group")*Cap_Ln))</x:f>
        <x:v>1000000.000000001</x:v>
      </x:c>
      <x:c r="N710" s="32" t="n">
        <x:f>MIN(J710,L710,M710)</x:f>
        <x:v>12514.86067705494</x:v>
      </x:c>
      <x:c r="O710" s="10" t="n">
        <x:f>AE709*N710</x:f>
        <x:v>112633.74609349445</x:v>
      </x:c>
      <x:c r="P710" s="9" t="n">
        <x:f>MIN(1,(AB709/(AE709*IF(tun_GroupInCrowding=1,N710,MIN(J710,L710))))^tun_CrowdingExp)</x:f>
        <x:v>0.7732037161506378</x:v>
      </x:c>
      <x:c r="Q710" s="9" t="n">
        <x:f>IF(D710=1,INDEX(tun_WinterMult,G710),1)</x:f>
        <x:v>1</x:v>
      </x:c>
      <x:c r="R710" s="9" t="n">
        <x:f>H710*Z709*tun_WomenShare*tun_BaseFertility*INDEX(tun_FertMult,G710)*Arch_Fertility*(1-P710)</x:f>
        <x:v>260.9210132150073</x:v>
      </x:c>
      <x:c r="S710" s="9" t="n">
        <x:f>H710*Y709*INDEX(tun_MortChild,G710)/4*Q710</x:f>
        <x:v>5.254685324157326</x:v>
      </x:c>
      <x:c r="T710" s="9" t="n">
        <x:f>H710*Z709*INDEX(tun_MortAdult,G710)*Arch_AdultMort/4*Q710</x:f>
        <x:v>18.96369618243853</x:v>
      </x:c>
      <x:c r="U710" s="9" t="n">
        <x:f>H710*AA709*INDEX(tun_MortElder,G710)/4*Q710</x:f>
        <x:v>229.38722543018497</x:v>
      </x:c>
      <x:c r="V710" s="9" t="n">
        <x:f>H710*MAX(0,AB709-O710)*tun_OvercapLoss</x:f>
        <x:v>0</x:v>
      </x:c>
      <x:c r="W710" s="9" t="n">
        <x:f>H710*Y709/(tun_ChildYears*4)</x:f>
        <x:v>417.038517790264</x:v>
      </x:c>
      <x:c r="X710" s="9" t="n">
        <x:f>H710*Z709/(tun_AdultYears*4)</x:f>
        <x:v>407.82142327824795</x:v>
      </x:c>
      <x:c r="Y710" s="32" t="n">
        <x:f>Y709+R710-S710-W710-Y709*V710/AB709</x:f>
        <x:v>23192.78480635537</x:v>
      </x:c>
      <x:c r="Z710" s="32" t="n">
        <x:f>Z709+W710-X710-T710-Z709*V710/AB709</x:f>
        <x:v>50560.10988483232</x:v>
      </x:c>
      <x:c r="AA710" s="32" t="n">
        <x:f>AA709+X710-U710-AA709*V710/AB709</x:f>
        <x:v>34161.726854171764</x:v>
      </x:c>
      <x:c r="AB710" s="10" t="n">
        <x:f>Y710+Z710+AA710</x:f>
        <x:v>107914.62154535945</x:v>
      </x:c>
      <x:c r="AC710" s="8" t="n">
        <x:f>IF(AND(tun_WinterTrigger=1,D710=1,AB709/AE709&gt;=K710),1,0)</x:f>
        <x:v>0</x:v>
      </x:c>
      <x:c r="AD710" s="8" t="n">
        <x:f>H710*IF(AND(OR(AB709/AE709&gt;=tun_FissionTrigger*N710,AC710=1),AB709/AE709*tun_DaughterShare&gt;=tun_MinDaughter),MAX(1,ROUND(AE709*tun_FissionRate,0)),0)</x:f>
        <x:v>3</x:v>
      </x:c>
      <x:c r="AE710" s="8" t="n">
        <x:f>IF(H710=1,MAX(1,MIN(INDEX(tun_Smax,G710),AE709+AD710)),AE709)</x:f>
        <x:v>9</x:v>
      </x:c>
      <x:c r="AF710" s="8" t="n">
        <x:f>MAX(0,AE710-AE709)</x:f>
        <x:v>0</x:v>
      </x:c>
      <x:c r="AG710" s="9" t="str">
        <x:f>IF(AF710&gt;0,B710,"")</x:f>
      </x:c>
      <x:c r="AH710" s="9" t="n">
        <x:f>IF(F710&gt;=1,1,(1+tun_LowTiesShare*(AE710-1))/AE710)</x:f>
        <x:v>1</x:v>
      </x:c>
      <x:c r="AI710" s="32" t="n">
        <x:f>(Z710+tun_ElderCommons*INDEX(LM_Elder,G710)*AA710)*AH710</x:f>
        <x:v>184919.3151101844</x:v>
      </x:c>
      <x:c r="AJ710" s="32" t="n">
        <x:f>H710*tun_CommonsCoef*AI710^tun_CommonsExp*INDEX(LM_Commons,G710)</x:f>
        <x:v>644057.991014111</x:v>
      </x:c>
      <x:c r="AK710" s="32" t="n">
        <x:f>H710*tun_RoleScale*Arch_Roles*(AE710*(INDEX(tun_ElderRolePerSett,G710)*tun_OutElder*INDEX(LM_Elder,G710)+INDEX(tun_ShamanPerSett,G710)*tun_OutShaman)+Z710*(INDEX(tun_PriestShare,G710)*tun_OutPriest+INDEX(tun_ScribeShare,G710)*tun_OutScribe*INDEX(LM_Scribe,G710)+INDEX(tun_ScholarShare,G710)*tun_OutScholar*INDEX(LM_Scholar,G710)+INDEX(tun_ResearcherShare,G710)*tun_OutResearcher*INDEX(LM_Researcher,G710)))</x:f>
        <x:v>182340.32756927513</x:v>
      </x:c>
      <x:c r="AL710" s="32" t="n">
        <x:f>H710*tun_RoleScale*Arch_Roles*AE710*INDEX(tun_MonasteryPerSett,G710)*tun_OutMonastery*INDEX(LM_Monastery,G710)</x:f>
        <x:v>15.840000000000002</x:v>
      </x:c>
      <x:c r="AM710" s="32" t="n">
        <x:f>(AJ710+AK710+AL710)/4*INDEX(LM_All,G710)*INDEX(tun_Boon,G710)*Arch_Insight</x:f>
        <x:v>715651.8696067674</x:v>
      </x:c>
      <x:c r="AN710" s="32" t="n">
        <x:f>H710*(tun_KHPerAdult*Z710+tun_KHOfCommons*AJ710/4*INDEX(LM_All,G710))*tun_KHUsable*Arch_KH</x:f>
        <x:v>109415.87301857192</x:v>
      </x:c>
      <x:c r="AO710" s="32" t="n">
        <x:f>MIN(AP709+AN710,AM710*tun_KHMaxRatio)</x:f>
        <x:v>109415.87301857192</x:v>
      </x:c>
      <x:c r="AP710" s="32" t="n">
        <x:f>AP709+AN710-AO710</x:f>
        <x:v>0</x:v>
      </x:c>
      <x:c r="AQ710" s="32" t="n">
        <x:f>AM710+AO710</x:f>
        <x:v>825067.7426253393</x:v>
      </x:c>
      <x:c r="AR710" s="10" t="n">
        <x:f>IF(H710=1,INDEX(tun_Req,G710),0)</x:f>
        <x:v>125406521.7009086</x:v>
      </x:c>
      <x:c r="AS710" s="32" t="n">
        <x:f>IF(H710=1,IF(E710=1,AS709-AR709,AS709)+AQ710,0)</x:f>
        <x:v>58325821.15025393</x:v>
      </x:c>
      <x:c r="AT710" s="11" t="n">
        <x:f>IF(AR710&gt;0,MIN(1,AS710/AR710),1)</x:f>
        <x:v>0.46509400276135193</x:v>
      </x:c>
      <x:c r="AU710" s="10" t="n">
        <x:f>AB710/INDEX(tun_RepScale,G710)</x:f>
        <x:v>215.8292430907189</x:v>
      </x:c>
      <x:c r="AV710" s="32" t="n">
        <x:f>AM710*60/tun_SeasonSeconds</x:f>
        <x:v>2862607.4784270697</x:v>
      </x:c>
    </x:row>
    <x:row r="711">
      <x:c r="A711" s="8" t="n">
        <x:f>A710+1</x:f>
        <x:v>708</x:v>
      </x:c>
      <x:c r="B711" s="9" t="n">
        <x:f>A711*tun_SeasonSeconds/60</x:f>
        <x:v>177</x:v>
      </x:c>
      <x:c r="C711" s="9" t="n">
        <x:f>A711/4</x:f>
        <x:v>177</x:v>
      </x:c>
      <x:c r="D711" s="8" t="n">
        <x:f>IF(MOD(A711,4)=0,1,0)</x:f>
        <x:v>1</x:v>
      </x:c>
      <x:c r="E711" s="8" t="n">
        <x:f>IF(AND(F710&lt;=9,AS710&gt;=AR710),1,0)</x:f>
        <x:v>0</x:v>
      </x:c>
      <x:c r="F711" s="8" t="n">
        <x:f>MIN(10,F710+E711)</x:f>
        <x:v>9</x:v>
      </x:c>
      <x:c r="G711" s="8" t="n">
        <x:f>MIN(F711,9)+1</x:f>
        <x:v>10</x:v>
      </x:c>
      <x:c r="H711" s="8" t="n">
        <x:f>IF(F711&lt;=9,1,0)</x:f>
        <x:v>1</x:v>
      </x:c>
      <x:c r="I711" s="9" t="n">
        <x:f>MIN(10,F710+IF(AR710&gt;0,MIN(1,AS710/AR710),1))</x:f>
        <x:v>9.465094002761353</x:v>
      </x:c>
      <x:c r="J711" s="32" t="n">
        <x:f>INDEX(tun_FoodCap,G711)*Arch_FoodCap*EXP(tun_CapsByProject*SUMPRODUCT((Cap_Point&lt;=I711)*(Cap_Kind="Food")*Cap_Ln))</x:f>
        <x:v>13863.877308233004</x:v>
      </x:c>
      <x:c r="K711" s="32" t="n">
        <x:f>J711*MIN(1,tun_LeanBase*EXP(tun_CapsByProject*SUMPRODUCT((Cap_Point&lt;=I711)*(Cap_Kind="Lean")*Cap_Ln)))</x:f>
        <x:v>13863.877308233004</x:v>
      </x:c>
      <x:c r="L711" s="10" t="n">
        <x:f>INDEX(tun_HousingCap,G711)*EXP(tun_CapsByProject*SUMPRODUCT((Cap_Point&lt;=I711)*(Cap_Kind="Housing")*Cap_Ln))</x:f>
        <x:v>12514.86067705494</x:v>
      </x:c>
      <x:c r="M711" s="10" t="n">
        <x:f>INDEX(tun_GroupCap,G711)*tun_CohesionFactor*EXP(tun_CapsByProject*SUMPRODUCT((Cap_Point&lt;=I711)*(Cap_Kind="Group")*Cap_Ln))</x:f>
        <x:v>1000000.000000001</x:v>
      </x:c>
      <x:c r="N711" s="32" t="n">
        <x:f>MIN(J711,L711,M711)</x:f>
        <x:v>12514.86067705494</x:v>
      </x:c>
      <x:c r="O711" s="10" t="n">
        <x:f>AE710*N711</x:f>
        <x:v>112633.74609349445</x:v>
      </x:c>
      <x:c r="P711" s="9" t="n">
        <x:f>MIN(1,(AB710/(AE710*IF(tun_GroupInCrowding=1,N711,MIN(J711,L711))))^tun_CrowdingExp)</x:f>
        <x:v>0.7735182782461081</x:v>
      </x:c>
      <x:c r="Q711" s="9" t="n">
        <x:f>IF(D711=1,INDEX(tun_WinterMult,G711),1)</x:f>
        <x:v>1.05</x:v>
      </x:c>
      <x:c r="R711" s="9" t="n">
        <x:f>H711*Z710*tun_WomenShare*tun_BaseFertility*INDEX(tun_FertMult,G711)*Arch_Fertility*(1-P711)</x:f>
        <x:v>260.5089018073085</x:v>
      </x:c>
      <x:c r="S711" s="9" t="n">
        <x:f>H711*Y710*INDEX(tun_MortChild,G711)/4*Q711</x:f>
        <x:v>5.4792954105014555</x:v>
      </x:c>
      <x:c r="T711" s="9" t="n">
        <x:f>H711*Z710*INDEX(tun_MortAdult,G711)*Arch_AdultMort/4*Q711</x:f>
        <x:v>19.908043267152728</x:v>
      </x:c>
      <x:c r="U711" s="9" t="n">
        <x:f>H711*AA710*INDEX(tun_MortElder,G711)/4*Q711</x:f>
        <x:v>242.12123907894238</x:v>
      </x:c>
      <x:c r="V711" s="9" t="n">
        <x:f>H711*MAX(0,AB710-O711)*tun_OvercapLoss</x:f>
        <x:v>0</x:v>
      </x:c>
      <x:c r="W711" s="9" t="n">
        <x:f>H711*Y710/(tun_ChildYears*4)</x:f>
        <x:v>414.1568715420602</x:v>
      </x:c>
      <x:c r="X711" s="9" t="n">
        <x:f>H711*Z710/(tun_AdultYears*4)</x:f>
        <x:v>407.74282165187356</x:v>
      </x:c>
      <x:c r="Y711" s="32" t="n">
        <x:f>Y710+R711-S711-W711-Y710*V711/AB710</x:f>
        <x:v>23033.657541210112</x:v>
      </x:c>
      <x:c r="Z711" s="32" t="n">
        <x:f>Z710+W711-X711-T711-Z710*V711/AB710</x:f>
        <x:v>50546.61589145535</x:v>
      </x:c>
      <x:c r="AA711" s="32" t="n">
        <x:f>AA710+X711-U711-AA710*V711/AB710</x:f>
        <x:v>34327.348436744694</x:v>
      </x:c>
      <x:c r="AB711" s="10" t="n">
        <x:f>Y711+Z711+AA711</x:f>
        <x:v>107907.62186941016</x:v>
      </x:c>
      <x:c r="AC711" s="8" t="n">
        <x:f>IF(AND(tun_WinterTrigger=1,D711=1,AB710/AE710&gt;=K711),1,0)</x:f>
        <x:v>0</x:v>
      </x:c>
      <x:c r="AD711" s="8" t="n">
        <x:f>H711*IF(AND(OR(AB710/AE710&gt;=tun_FissionTrigger*N711,AC711=1),AB710/AE710*tun_DaughterShare&gt;=tun_MinDaughter),MAX(1,ROUND(AE710*tun_FissionRate,0)),0)</x:f>
        <x:v>3</x:v>
      </x:c>
      <x:c r="AE711" s="8" t="n">
        <x:f>IF(H711=1,MAX(1,MIN(INDEX(tun_Smax,G711),AE710+AD711)),AE710)</x:f>
        <x:v>9</x:v>
      </x:c>
      <x:c r="AF711" s="8" t="n">
        <x:f>MAX(0,AE711-AE710)</x:f>
        <x:v>0</x:v>
      </x:c>
      <x:c r="AG711" s="9" t="str">
        <x:f>IF(AF711&gt;0,B711,"")</x:f>
      </x:c>
      <x:c r="AH711" s="9" t="n">
        <x:f>IF(F711&gt;=1,1,(1+tun_LowTiesShare*(AE711-1))/AE711)</x:f>
        <x:v>1</x:v>
      </x:c>
      <x:c r="AI711" s="32" t="n">
        <x:f>(Z711+tun_ElderCommons*INDEX(LM_Elder,G711)*AA711)*AH711</x:f>
        <x:v>185557.21629649657</x:v>
      </x:c>
      <x:c r="AJ711" s="32" t="n">
        <x:f>H711*tun_CommonsCoef*AI711^tun_CommonsExp*INDEX(LM_Commons,G711)</x:f>
        <x:v>645945.9945564524</x:v>
      </x:c>
      <x:c r="AK711" s="32" t="n">
        <x:f>H711*tun_RoleScale*Arch_Roles*(AE711*(INDEX(tun_ElderRolePerSett,G711)*tun_OutElder*INDEX(LM_Elder,G711)+INDEX(tun_ShamanPerSett,G711)*tun_OutShaman)+Z711*(INDEX(tun_PriestShare,G711)*tun_OutPriest+INDEX(tun_ScribeShare,G711)*tun_OutScribe*INDEX(LM_Scribe,G711)+INDEX(tun_ScholarShare,G711)*tun_OutScholar*INDEX(LM_Scholar,G711)+INDEX(tun_ResearcherShare,G711)*tun_OutResearcher*INDEX(LM_Researcher,G711)))</x:f>
        <x:v>182291.72935176268</x:v>
      </x:c>
      <x:c r="AL711" s="32" t="n">
        <x:f>H711*tun_RoleScale*Arch_Roles*AE711*INDEX(tun_MonasteryPerSett,G711)*tun_OutMonastery*INDEX(LM_Monastery,G711)</x:f>
        <x:v>15.840000000000002</x:v>
      </x:c>
      <x:c r="AM711" s="32" t="n">
        <x:f>(AJ711+AK711+AL711)/4*INDEX(LM_All,G711)*INDEX(tun_Boon,G711)*Arch_Insight</x:f>
        <x:v>717244.7438889977</x:v>
      </x:c>
      <x:c r="AN711" s="32" t="n">
        <x:f>H711*(tun_KHPerAdult*Z711+tun_KHOfCommons*AJ711/4*INDEX(LM_All,G711))*tun_KHUsable*Arch_KH</x:f>
        <x:v>109736.61673843817</x:v>
      </x:c>
      <x:c r="AO711" s="32" t="n">
        <x:f>MIN(AP710+AN711,AM711*tun_KHMaxRatio)</x:f>
        <x:v>109736.61673843817</x:v>
      </x:c>
      <x:c r="AP711" s="32" t="n">
        <x:f>AP710+AN711-AO711</x:f>
        <x:v>0</x:v>
      </x:c>
      <x:c r="AQ711" s="32" t="n">
        <x:f>AM711+AO711</x:f>
        <x:v>826981.3606274358</x:v>
      </x:c>
      <x:c r="AR711" s="10" t="n">
        <x:f>IF(H711=1,INDEX(tun_Req,G711),0)</x:f>
        <x:v>125406521.7009086</x:v>
      </x:c>
      <x:c r="AS711" s="32" t="n">
        <x:f>IF(H711=1,IF(E711=1,AS710-AR710,AS710)+AQ711,0)</x:f>
        <x:v>59152802.510881364</x:v>
      </x:c>
      <x:c r="AT711" s="11" t="n">
        <x:f>IF(AR711&gt;0,MIN(1,AS711/AR711),1)</x:f>
        <x:v>0.47168840749733343</x:v>
      </x:c>
      <x:c r="AU711" s="10" t="n">
        <x:f>AB711/INDEX(tun_RepScale,G711)</x:f>
        <x:v>215.8152437388203</x:v>
      </x:c>
      <x:c r="AV711" s="32" t="n">
        <x:f>AM711*60/tun_SeasonSeconds</x:f>
        <x:v>2868978.975555991</x:v>
      </x:c>
    </x:row>
    <x:row r="712">
      <x:c r="A712" s="8" t="n">
        <x:f>A711+1</x:f>
        <x:v>709</x:v>
      </x:c>
      <x:c r="B712" s="9" t="n">
        <x:f>A712*tun_SeasonSeconds/60</x:f>
        <x:v>177.25</x:v>
      </x:c>
      <x:c r="C712" s="9" t="n">
        <x:f>A712/4</x:f>
        <x:v>177.25</x:v>
      </x:c>
      <x:c r="D712" s="8" t="n">
        <x:f>IF(MOD(A712,4)=0,1,0)</x:f>
        <x:v>0</x:v>
      </x:c>
      <x:c r="E712" s="8" t="n">
        <x:f>IF(AND(F711&lt;=9,AS711&gt;=AR711),1,0)</x:f>
        <x:v>0</x:v>
      </x:c>
      <x:c r="F712" s="8" t="n">
        <x:f>MIN(10,F711+E712)</x:f>
        <x:v>9</x:v>
      </x:c>
      <x:c r="G712" s="8" t="n">
        <x:f>MIN(F712,9)+1</x:f>
        <x:v>10</x:v>
      </x:c>
      <x:c r="H712" s="8" t="n">
        <x:f>IF(F712&lt;=9,1,0)</x:f>
        <x:v>1</x:v>
      </x:c>
      <x:c r="I712" s="9" t="n">
        <x:f>MIN(10,F711+IF(AR711&gt;0,MIN(1,AS711/AR711),1))</x:f>
        <x:v>9.471688407497334</x:v>
      </x:c>
      <x:c r="J712" s="32" t="n">
        <x:f>INDEX(tun_FoodCap,G712)*Arch_FoodCap*EXP(tun_CapsByProject*SUMPRODUCT((Cap_Point&lt;=I712)*(Cap_Kind="Food")*Cap_Ln))</x:f>
        <x:v>13863.877308233004</x:v>
      </x:c>
      <x:c r="K712" s="32" t="n">
        <x:f>J712*MIN(1,tun_LeanBase*EXP(tun_CapsByProject*SUMPRODUCT((Cap_Point&lt;=I712)*(Cap_Kind="Lean")*Cap_Ln)))</x:f>
        <x:v>13863.877308233004</x:v>
      </x:c>
      <x:c r="L712" s="10" t="n">
        <x:f>INDEX(tun_HousingCap,G712)*EXP(tun_CapsByProject*SUMPRODUCT((Cap_Point&lt;=I712)*(Cap_Kind="Housing")*Cap_Ln))</x:f>
        <x:v>12514.86067705494</x:v>
      </x:c>
      <x:c r="M712" s="10" t="n">
        <x:f>INDEX(tun_GroupCap,G712)*tun_CohesionFactor*EXP(tun_CapsByProject*SUMPRODUCT((Cap_Point&lt;=I712)*(Cap_Kind="Group")*Cap_Ln))</x:f>
        <x:v>1000000.000000001</x:v>
      </x:c>
      <x:c r="N712" s="32" t="n">
        <x:f>MIN(J712,L712,M712)</x:f>
        <x:v>12514.86067705494</x:v>
      </x:c>
      <x:c r="O712" s="10" t="n">
        <x:f>AE711*N712</x:f>
        <x:v>112633.74609349445</x:v>
      </x:c>
      <x:c r="P712" s="9" t="n">
        <x:f>MIN(1,(AB711/(AE711*IF(tun_GroupInCrowding=1,N712,MIN(J712,L712))))^tun_CrowdingExp)</x:f>
        <x:v>0.7732172903371188</x:v>
      </x:c>
      <x:c r="Q712" s="9" t="n">
        <x:f>IF(D712=1,INDEX(tun_WinterMult,G712),1)</x:f>
        <x:v>1</x:v>
      </x:c>
      <x:c r="R712" s="9" t="n">
        <x:f>H712*Z711*tun_WomenShare*tun_BaseFertility*INDEX(tun_FertMult,G712)*Arch_Fertility*(1-P712)</x:f>
        <x:v>260.7854912424829</x:v>
      </x:c>
      <x:c r="S712" s="9" t="n">
        <x:f>H712*Y711*INDEX(tun_MortChild,G712)/4*Q712</x:f>
        <x:v>5.182572946772275</x:v>
      </x:c>
      <x:c r="T712" s="9" t="n">
        <x:f>H712*Z711*INDEX(tun_MortAdult,G712)*Arch_AdultMort/4*Q712</x:f>
        <x:v>18.954980959295757</x:v>
      </x:c>
      <x:c r="U712" s="9" t="n">
        <x:f>H712*AA711*INDEX(tun_MortElder,G712)/4*Q712</x:f>
        <x:v>231.7096019480267</x:v>
      </x:c>
      <x:c r="V712" s="9" t="n">
        <x:f>H712*MAX(0,AB711-O712)*tun_OvercapLoss</x:f>
        <x:v>0</x:v>
      </x:c>
      <x:c r="W712" s="9" t="n">
        <x:f>H712*Y711/(tun_ChildYears*4)</x:f>
        <x:v>411.31531323589485</x:v>
      </x:c>
      <x:c r="X712" s="9" t="n">
        <x:f>H712*Z711/(tun_AdultYears*4)</x:f>
        <x:v>407.63399912463996</x:v>
      </x:c>
      <x:c r="Y712" s="32" t="n">
        <x:f>Y711+R712-S712-W712-Y711*V712/AB711</x:f>
        <x:v>22877.94514626993</x:v>
      </x:c>
      <x:c r="Z712" s="32" t="n">
        <x:f>Z711+W712-X712-T712-Z711*V712/AB711</x:f>
        <x:v>50531.34222460731</x:v>
      </x:c>
      <x:c r="AA712" s="32" t="n">
        <x:f>AA711+X712-U712-AA711*V712/AB711</x:f>
        <x:v>34503.27283392131</x:v>
      </x:c>
      <x:c r="AB712" s="10" t="n">
        <x:f>Y712+Z712+AA712</x:f>
        <x:v>107912.56020479856</x:v>
      </x:c>
      <x:c r="AC712" s="8" t="n">
        <x:f>IF(AND(tun_WinterTrigger=1,D712=1,AB711/AE711&gt;=K712),1,0)</x:f>
        <x:v>0</x:v>
      </x:c>
      <x:c r="AD712" s="8" t="n">
        <x:f>H712*IF(AND(OR(AB711/AE711&gt;=tun_FissionTrigger*N712,AC712=1),AB711/AE711*tun_DaughterShare&gt;=tun_MinDaughter),MAX(1,ROUND(AE711*tun_FissionRate,0)),0)</x:f>
        <x:v>3</x:v>
      </x:c>
      <x:c r="AE712" s="8" t="n">
        <x:f>IF(H712=1,MAX(1,MIN(INDEX(tun_Smax,G712),AE711+AD712)),AE711)</x:f>
        <x:v>9</x:v>
      </x:c>
      <x:c r="AF712" s="8" t="n">
        <x:f>MAX(0,AE712-AE711)</x:f>
        <x:v>0</x:v>
      </x:c>
      <x:c r="AG712" s="9" t="str">
        <x:f>IF(AF712&gt;0,B712,"")</x:f>
      </x:c>
      <x:c r="AH712" s="9" t="n">
        <x:f>IF(F712&gt;=1,1,(1+tun_LowTiesShare*(AE712-1))/AE712)</x:f>
        <x:v>1</x:v>
      </x:c>
      <x:c r="AI712" s="32" t="n">
        <x:f>(Z712+tun_ElderCommons*INDEX(LM_Elder,G712)*AA712)*AH712</x:f>
        <x:v>186233.8591210279</x:v>
      </x:c>
      <x:c r="AJ712" s="32" t="n">
        <x:f>H712*tun_CommonsCoef*AI712^tun_CommonsExp*INDEX(LM_Commons,G712)</x:f>
        <x:v>647947.5984687585</x:v>
      </x:c>
      <x:c r="AK712" s="32" t="n">
        <x:f>H712*tun_RoleScale*Arch_Roles*(AE712*(INDEX(tun_ElderRolePerSett,G712)*tun_OutElder*INDEX(LM_Elder,G712)+INDEX(tun_ShamanPerSett,G712)*tun_OutShaman)+Z712*(INDEX(tun_PriestShare,G712)*tun_OutPriest+INDEX(tun_ScribeShare,G712)*tun_OutScribe*INDEX(LM_Scribe,G712)+INDEX(tun_ScholarShare,G712)*tun_OutScholar*INDEX(LM_Scholar,G712)+INDEX(tun_ResearcherShare,G712)*tun_OutResearcher*INDEX(LM_Researcher,G712)))</x:f>
        <x:v>182236.72169295052</x:v>
      </x:c>
      <x:c r="AL712" s="32" t="n">
        <x:f>H712*tun_RoleScale*Arch_Roles*AE712*INDEX(tun_MonasteryPerSett,G712)*tun_OutMonastery*INDEX(LM_Monastery,G712)</x:f>
        <x:v>15.840000000000002</x:v>
      </x:c>
      <x:c r="AM712" s="32" t="n">
        <x:f>(AJ712+AK712+AL712)/4*INDEX(LM_All,G712)*INDEX(tun_Boon,G712)*Arch_Insight</x:f>
        <x:v>718930.4425592268</x:v>
      </x:c>
      <x:c r="AN712" s="32" t="n">
        <x:f>H712*(tun_KHPerAdult*Z712+tun_KHOfCommons*AJ712/4*INDEX(LM_All,G712))*tun_KHUsable*Arch_KH</x:f>
        <x:v>110076.65947148077</x:v>
      </x:c>
      <x:c r="AO712" s="32" t="n">
        <x:f>MIN(AP711+AN712,AM712*tun_KHMaxRatio)</x:f>
        <x:v>110076.65947148077</x:v>
      </x:c>
      <x:c r="AP712" s="32" t="n">
        <x:f>AP711+AN712-AO712</x:f>
        <x:v>0</x:v>
      </x:c>
      <x:c r="AQ712" s="32" t="n">
        <x:f>AM712+AO712</x:f>
        <x:v>829007.1020307075</x:v>
      </x:c>
      <x:c r="AR712" s="10" t="n">
        <x:f>IF(H712=1,INDEX(tun_Req,G712),0)</x:f>
        <x:v>125406521.7009086</x:v>
      </x:c>
      <x:c r="AS712" s="32" t="n">
        <x:f>IF(H712=1,IF(E712=1,AS711-AR711,AS711)+AQ712,0)</x:f>
        <x:v>59981809.612912074</x:v>
      </x:c>
      <x:c r="AT712" s="11" t="n">
        <x:f>IF(AR712&gt;0,MIN(1,AS712/AR712),1)</x:f>
        <x:v>0.47829896563088786</x:v>
      </x:c>
      <x:c r="AU712" s="10" t="n">
        <x:f>AB712/INDEX(tun_RepScale,G712)</x:f>
        <x:v>215.8251204095971</x:v>
      </x:c>
      <x:c r="AV712" s="32" t="n">
        <x:f>AM712*60/tun_SeasonSeconds</x:f>
        <x:v>2875721.770236907</x:v>
      </x:c>
    </x:row>
    <x:row r="713">
      <x:c r="A713" s="8" t="n">
        <x:f>A712+1</x:f>
        <x:v>710</x:v>
      </x:c>
      <x:c r="B713" s="9" t="n">
        <x:f>A713*tun_SeasonSeconds/60</x:f>
        <x:v>177.5</x:v>
      </x:c>
      <x:c r="C713" s="9" t="n">
        <x:f>A713/4</x:f>
        <x:v>177.5</x:v>
      </x:c>
      <x:c r="D713" s="8" t="n">
        <x:f>IF(MOD(A713,4)=0,1,0)</x:f>
        <x:v>0</x:v>
      </x:c>
      <x:c r="E713" s="8" t="n">
        <x:f>IF(AND(F712&lt;=9,AS712&gt;=AR712),1,0)</x:f>
        <x:v>0</x:v>
      </x:c>
      <x:c r="F713" s="8" t="n">
        <x:f>MIN(10,F712+E713)</x:f>
        <x:v>9</x:v>
      </x:c>
      <x:c r="G713" s="8" t="n">
        <x:f>MIN(F713,9)+1</x:f>
        <x:v>10</x:v>
      </x:c>
      <x:c r="H713" s="8" t="n">
        <x:f>IF(F713&lt;=9,1,0)</x:f>
        <x:v>1</x:v>
      </x:c>
      <x:c r="I713" s="9" t="n">
        <x:f>MIN(10,F712+IF(AR712&gt;0,MIN(1,AS712/AR712),1))</x:f>
        <x:v>9.478298965630888</x:v>
      </x:c>
      <x:c r="J713" s="32" t="n">
        <x:f>INDEX(tun_FoodCap,G713)*Arch_FoodCap*EXP(tun_CapsByProject*SUMPRODUCT((Cap_Point&lt;=I713)*(Cap_Kind="Food")*Cap_Ln))</x:f>
        <x:v>13863.877308233004</x:v>
      </x:c>
      <x:c r="K713" s="32" t="n">
        <x:f>J713*MIN(1,tun_LeanBase*EXP(tun_CapsByProject*SUMPRODUCT((Cap_Point&lt;=I713)*(Cap_Kind="Lean")*Cap_Ln)))</x:f>
        <x:v>13863.877308233004</x:v>
      </x:c>
      <x:c r="L713" s="10" t="n">
        <x:f>INDEX(tun_HousingCap,G713)*EXP(tun_CapsByProject*SUMPRODUCT((Cap_Point&lt;=I713)*(Cap_Kind="Housing")*Cap_Ln))</x:f>
        <x:v>12514.86067705494</x:v>
      </x:c>
      <x:c r="M713" s="10" t="n">
        <x:f>INDEX(tun_GroupCap,G713)*tun_CohesionFactor*EXP(tun_CapsByProject*SUMPRODUCT((Cap_Point&lt;=I713)*(Cap_Kind="Group")*Cap_Ln))</x:f>
        <x:v>1000000.000000001</x:v>
      </x:c>
      <x:c r="N713" s="32" t="n">
        <x:f>MIN(J713,L713,M713)</x:f>
        <x:v>12514.86067705494</x:v>
      </x:c>
      <x:c r="O713" s="10" t="n">
        <x:f>AE712*N713</x:f>
        <x:v>112633.74609349445</x:v>
      </x:c>
      <x:c r="P713" s="9" t="n">
        <x:f>MIN(1,(AB712/(AE712*IF(tun_GroupInCrowding=1,N713,MIN(J713,L713))))^tun_CrowdingExp)</x:f>
        <x:v>0.7734296299181426</x:v>
      </x:c>
      <x:c r="Q713" s="9" t="n">
        <x:f>IF(D713=1,INDEX(tun_WinterMult,G713),1)</x:f>
        <x:v>1</x:v>
      </x:c>
      <x:c r="R713" s="9" t="n">
        <x:f>H713*Z712*tun_WomenShare*tun_BaseFertility*INDEX(tun_FertMult,G713)*Arch_Fertility*(1-P713)</x:f>
        <x:v>260.46258666979156</x:v>
      </x:c>
      <x:c r="S713" s="9" t="n">
        <x:f>H713*Y712*INDEX(tun_MortChild,G713)/4*Q713</x:f>
        <x:v>5.147537657910734</x:v>
      </x:c>
      <x:c r="T713" s="9" t="n">
        <x:f>H713*Z712*INDEX(tun_MortAdult,G713)*Arch_AdultMort/4*Q713</x:f>
        <x:v>18.94925333422774</x:v>
      </x:c>
      <x:c r="U713" s="9" t="n">
        <x:f>H713*AA712*INDEX(tun_MortElder,G713)/4*Q713</x:f>
        <x:v>232.89709162896887</x:v>
      </x:c>
      <x:c r="V713" s="9" t="n">
        <x:f>H713*MAX(0,AB712-O713)*tun_OvercapLoss</x:f>
        <x:v>0</x:v>
      </x:c>
      <x:c r="W713" s="9" t="n">
        <x:f>H713*Y712/(tun_ChildYears*4)</x:f>
        <x:v>408.53473475482014</x:v>
      </x:c>
      <x:c r="X713" s="9" t="n">
        <x:f>H713*Z712/(tun_AdultYears*4)</x:f>
        <x:v>407.51082439199445</x:v>
      </x:c>
      <x:c r="Y713" s="32" t="n">
        <x:f>Y712+R713-S713-W713-Y712*V713/AB712</x:f>
        <x:v>22724.725460526988</x:v>
      </x:c>
      <x:c r="Z713" s="32" t="n">
        <x:f>Z712+W713-X713-T713-Z712*V713/AB712</x:f>
        <x:v>50513.41688163591</x:v>
      </x:c>
      <x:c r="AA713" s="32" t="n">
        <x:f>AA712+X713-U713-AA712*V713/AB712</x:f>
        <x:v>34677.88656668434</x:v>
      </x:c>
      <x:c r="AB713" s="10" t="n">
        <x:f>Y713+Z713+AA713</x:f>
        <x:v>107916.02890884725</x:v>
      </x:c>
      <x:c r="AC713" s="8" t="n">
        <x:f>IF(AND(tun_WinterTrigger=1,D713=1,AB712/AE712&gt;=K713),1,0)</x:f>
        <x:v>0</x:v>
      </x:c>
      <x:c r="AD713" s="8" t="n">
        <x:f>H713*IF(AND(OR(AB712/AE712&gt;=tun_FissionTrigger*N713,AC713=1),AB712/AE712*tun_DaughterShare&gt;=tun_MinDaughter),MAX(1,ROUND(AE712*tun_FissionRate,0)),0)</x:f>
        <x:v>3</x:v>
      </x:c>
      <x:c r="AE713" s="8" t="n">
        <x:f>IF(H713=1,MAX(1,MIN(INDEX(tun_Smax,G713),AE712+AD713)),AE712)</x:f>
        <x:v>9</x:v>
      </x:c>
      <x:c r="AF713" s="8" t="n">
        <x:f>MAX(0,AE713-AE712)</x:f>
        <x:v>0</x:v>
      </x:c>
      <x:c r="AG713" s="9" t="str">
        <x:f>IF(AF713&gt;0,B713,"")</x:f>
      </x:c>
      <x:c r="AH713" s="9" t="n">
        <x:f>IF(F713&gt;=1,1,(1+tun_LowTiesShare*(AE713-1))/AE713)</x:f>
        <x:v>1</x:v>
      </x:c>
      <x:c r="AI713" s="32" t="n">
        <x:f>(Z713+tun_ElderCommons*INDEX(LM_Elder,G713)*AA713)*AH713</x:f>
        <x:v>186902.69538280857</x:v>
      </x:c>
      <x:c r="AJ713" s="32" t="n">
        <x:f>H713*tun_CommonsCoef*AI713^tun_CommonsExp*INDEX(LM_Commons,G713)</x:f>
        <x:v>649925.037693851</x:v>
      </x:c>
      <x:c r="AK713" s="32" t="n">
        <x:f>H713*tun_RoleScale*Arch_Roles*(AE713*(INDEX(tun_ElderRolePerSett,G713)*tun_OutElder*INDEX(LM_Elder,G713)+INDEX(tun_ShamanPerSett,G713)*tun_OutShaman)+Z713*(INDEX(tun_PriestShare,G713)*tun_OutPriest+INDEX(tun_ScribeShare,G713)*tun_OutScribe*INDEX(LM_Scribe,G713)+INDEX(tun_ScholarShare,G713)*tun_OutScholar*INDEX(LM_Scholar,G713)+INDEX(tun_ResearcherShare,G713)*tun_OutResearcher*INDEX(LM_Researcher,G713)))</x:f>
        <x:v>182172.16410111144</x:v>
      </x:c>
      <x:c r="AL713" s="32" t="n">
        <x:f>H713*tun_RoleScale*Arch_Roles*AE713*INDEX(tun_MonasteryPerSett,G713)*tun_OutMonastery*INDEX(LM_Monastery,G713)</x:f>
        <x:v>15.840000000000002</x:v>
      </x:c>
      <x:c r="AM713" s="32" t="n">
        <x:f>(AJ713+AK713+AL713)/4*INDEX(LM_All,G713)*INDEX(tun_Boon,G713)*Arch_Insight</x:f>
        <x:v>720586.9452981452</x:v>
      </x:c>
      <x:c r="AN713" s="32" t="n">
        <x:f>H713*(tun_KHPerAdult*Z713+tun_KHOfCommons*AJ713/4*INDEX(LM_All,G713))*tun_KHUsable*Arch_KH</x:f>
        <x:v>110412.59698358896</x:v>
      </x:c>
      <x:c r="AO713" s="32" t="n">
        <x:f>MIN(AP712+AN713,AM713*tun_KHMaxRatio)</x:f>
        <x:v>110412.59698358896</x:v>
      </x:c>
      <x:c r="AP713" s="32" t="n">
        <x:f>AP712+AN713-AO713</x:f>
        <x:v>0</x:v>
      </x:c>
      <x:c r="AQ713" s="32" t="n">
        <x:f>AM713+AO713</x:f>
        <x:v>830999.5422817342</x:v>
      </x:c>
      <x:c r="AR713" s="10" t="n">
        <x:f>IF(H713=1,INDEX(tun_Req,G713),0)</x:f>
        <x:v>125406521.7009086</x:v>
      </x:c>
      <x:c r="AS713" s="32" t="n">
        <x:f>IF(H713=1,IF(E713=1,AS712-AR712,AS712)+AQ713,0)</x:f>
        <x:v>60812809.155193806</x:v>
      </x:c>
      <x:c r="AT713" s="11" t="n">
        <x:f>IF(AR713&gt;0,MIN(1,AS713/AR713),1)</x:f>
        <x:v>0.48492541161639763</x:v>
      </x:c>
      <x:c r="AU713" s="10" t="n">
        <x:f>AB713/INDEX(tun_RepScale,G713)</x:f>
        <x:v>215.8320578176945</x:v>
      </x:c>
      <x:c r="AV713" s="32" t="n">
        <x:f>AM713*60/tun_SeasonSeconds</x:f>
        <x:v>2882347.7811925807</x:v>
      </x:c>
    </x:row>
    <x:row r="714">
      <x:c r="A714" s="8" t="n">
        <x:f>A713+1</x:f>
        <x:v>711</x:v>
      </x:c>
      <x:c r="B714" s="9" t="n">
        <x:f>A714*tun_SeasonSeconds/60</x:f>
        <x:v>177.75</x:v>
      </x:c>
      <x:c r="C714" s="9" t="n">
        <x:f>A714/4</x:f>
        <x:v>177.75</x:v>
      </x:c>
      <x:c r="D714" s="8" t="n">
        <x:f>IF(MOD(A714,4)=0,1,0)</x:f>
        <x:v>0</x:v>
      </x:c>
      <x:c r="E714" s="8" t="n">
        <x:f>IF(AND(F713&lt;=9,AS713&gt;=AR713),1,0)</x:f>
        <x:v>0</x:v>
      </x:c>
      <x:c r="F714" s="8" t="n">
        <x:f>MIN(10,F713+E714)</x:f>
        <x:v>9</x:v>
      </x:c>
      <x:c r="G714" s="8" t="n">
        <x:f>MIN(F714,9)+1</x:f>
        <x:v>10</x:v>
      </x:c>
      <x:c r="H714" s="8" t="n">
        <x:f>IF(F714&lt;=9,1,0)</x:f>
        <x:v>1</x:v>
      </x:c>
      <x:c r="I714" s="9" t="n">
        <x:f>MIN(10,F713+IF(AR713&gt;0,MIN(1,AS713/AR713),1))</x:f>
        <x:v>9.484925411616398</x:v>
      </x:c>
      <x:c r="J714" s="32" t="n">
        <x:f>INDEX(tun_FoodCap,G714)*Arch_FoodCap*EXP(tun_CapsByProject*SUMPRODUCT((Cap_Point&lt;=I714)*(Cap_Kind="Food")*Cap_Ln))</x:f>
        <x:v>13863.877308233004</x:v>
      </x:c>
      <x:c r="K714" s="32" t="n">
        <x:f>J714*MIN(1,tun_LeanBase*EXP(tun_CapsByProject*SUMPRODUCT((Cap_Point&lt;=I714)*(Cap_Kind="Lean")*Cap_Ln)))</x:f>
        <x:v>13863.877308233004</x:v>
      </x:c>
      <x:c r="L714" s="10" t="n">
        <x:f>INDEX(tun_HousingCap,G714)*EXP(tun_CapsByProject*SUMPRODUCT((Cap_Point&lt;=I714)*(Cap_Kind="Housing")*Cap_Ln))</x:f>
        <x:v>12514.86067705494</x:v>
      </x:c>
      <x:c r="M714" s="10" t="n">
        <x:f>INDEX(tun_GroupCap,G714)*tun_CohesionFactor*EXP(tun_CapsByProject*SUMPRODUCT((Cap_Point&lt;=I714)*(Cap_Kind="Group")*Cap_Ln))</x:f>
        <x:v>1000000.000000001</x:v>
      </x:c>
      <x:c r="N714" s="32" t="n">
        <x:f>MIN(J714,L714,M714)</x:f>
        <x:v>12514.86067705494</x:v>
      </x:c>
      <x:c r="O714" s="10" t="n">
        <x:f>AE713*N714</x:f>
        <x:v>112633.74609349445</x:v>
      </x:c>
      <x:c r="P714" s="9" t="n">
        <x:f>MIN(1,(AB713/(AE713*IF(tun_GroupInCrowding=1,N714,MIN(J714,L714))))^tun_CrowdingExp)</x:f>
        <x:v>0.7735788070341438</x:v>
      </x:c>
      <x:c r="Q714" s="9" t="n">
        <x:f>IF(D714=1,INDEX(tun_WinterMult,G714),1)</x:f>
        <x:v>1</x:v>
      </x:c>
      <x:c r="R714" s="9" t="n">
        <x:f>H714*Z713*tun_WomenShare*tun_BaseFertility*INDEX(tun_FertMult,G714)*Arch_Fertility*(1-P714)</x:f>
        <x:v>260.19875952801686</x:v>
      </x:c>
      <x:c r="S714" s="9" t="n">
        <x:f>H714*Y713*INDEX(tun_MortChild,G714)/4*Q714</x:f>
        <x:v>5.113063228618572</x:v>
      </x:c>
      <x:c r="T714" s="9" t="n">
        <x:f>H714*Z713*INDEX(tun_MortAdult,G714)*Arch_AdultMort/4*Q714</x:f>
        <x:v>18.942531330613466</x:v>
      </x:c>
      <x:c r="U714" s="9" t="n">
        <x:f>H714*AA713*INDEX(tun_MortElder,G714)/4*Q714</x:f>
        <x:v>234.0757343251193</x:v>
      </x:c>
      <x:c r="V714" s="9" t="n">
        <x:f>H714*MAX(0,AB713-O714)*tun_OvercapLoss</x:f>
        <x:v>0</x:v>
      </x:c>
      <x:c r="W714" s="9" t="n">
        <x:f>H714*Y713/(tun_ChildYears*4)</x:f>
        <x:v>405.7986689379819</x:v>
      </x:c>
      <x:c r="X714" s="9" t="n">
        <x:f>H714*Z713/(tun_AdultYears*4)</x:f>
        <x:v>407.36626517448315</x:v>
      </x:c>
      <x:c r="Y714" s="32" t="n">
        <x:f>Y713+R714-S714-W714-Y713*V714/AB713</x:f>
        <x:v>22574.0124878884</x:v>
      </x:c>
      <x:c r="Z714" s="32" t="n">
        <x:f>Z713+W714-X714-T714-Z713*V714/AB713</x:f>
        <x:v>50492.9067540688</x:v>
      </x:c>
      <x:c r="AA714" s="32" t="n">
        <x:f>AA713+X714-U714-AA713*V714/AB713</x:f>
        <x:v>34851.177097533706</x:v>
      </x:c>
      <x:c r="AB714" s="10" t="n">
        <x:f>Y714+Z714+AA714</x:f>
        <x:v>107918.0963394909</x:v>
      </x:c>
      <x:c r="AC714" s="8" t="n">
        <x:f>IF(AND(tun_WinterTrigger=1,D714=1,AB713/AE713&gt;=K714),1,0)</x:f>
        <x:v>0</x:v>
      </x:c>
      <x:c r="AD714" s="8" t="n">
        <x:f>H714*IF(AND(OR(AB713/AE713&gt;=tun_FissionTrigger*N714,AC714=1),AB713/AE713*tun_DaughterShare&gt;=tun_MinDaughter),MAX(1,ROUND(AE713*tun_FissionRate,0)),0)</x:f>
        <x:v>3</x:v>
      </x:c>
      <x:c r="AE714" s="8" t="n">
        <x:f>IF(H714=1,MAX(1,MIN(INDEX(tun_Smax,G714),AE713+AD714)),AE713)</x:f>
        <x:v>9</x:v>
      </x:c>
      <x:c r="AF714" s="8" t="n">
        <x:f>MAX(0,AE714-AE713)</x:f>
        <x:v>0</x:v>
      </x:c>
      <x:c r="AG714" s="9" t="str">
        <x:f>IF(AF714&gt;0,B714,"")</x:f>
      </x:c>
      <x:c r="AH714" s="9" t="n">
        <x:f>IF(F714&gt;=1,1,(1+tun_LowTiesShare*(AE714-1))/AE714)</x:f>
        <x:v>1</x:v>
      </x:c>
      <x:c r="AI714" s="32" t="n">
        <x:f>(Z714+tun_ElderCommons*INDEX(LM_Elder,G714)*AA714)*AH714</x:f>
        <x:v>187563.7426629624</x:v>
      </x:c>
      <x:c r="AJ714" s="32" t="n">
        <x:f>H714*tun_CommonsCoef*AI714^tun_CommonsExp*INDEX(LM_Commons,G714)</x:f>
        <x:v>651878.4057885653</x:v>
      </x:c>
      <x:c r="AK714" s="32" t="n">
        <x:f>H714*tun_RoleScale*Arch_Roles*(AE714*(INDEX(tun_ElderRolePerSett,G714)*tun_OutElder*INDEX(LM_Elder,G714)+INDEX(tun_ShamanPerSett,G714)*tun_OutShaman)+Z714*(INDEX(tun_PriestShare,G714)*tun_OutPriest+INDEX(tun_ScribeShare,G714)*tun_OutScribe*INDEX(LM_Scribe,G714)+INDEX(tun_ScholarShare,G714)*tun_OutScholar*INDEX(LM_Scholar,G714)+INDEX(tun_ResearcherShare,G714)*tun_OutResearcher*INDEX(LM_Researcher,G714)))</x:f>
        <x:v>182098.29748410126</x:v>
      </x:c>
      <x:c r="AL714" s="32" t="n">
        <x:f>H714*tun_RoleScale*Arch_Roles*AE714*INDEX(tun_MonasteryPerSett,G714)*tun_OutMonastery*INDEX(LM_Monastery,G714)</x:f>
        <x:v>15.840000000000002</x:v>
      </x:c>
      <x:c r="AM714" s="32" t="n">
        <x:f>(AJ714+AK714+AL714)/4*INDEX(LM_All,G714)*INDEX(tun_Boon,G714)*Arch_Insight</x:f>
        <x:v>722214.541742951</x:v>
      </x:c>
      <x:c r="AN714" s="32" t="n">
        <x:f>H714*(tun_KHPerAdult*Z714+tun_KHOfCommons*AJ714/4*INDEX(LM_All,G714))*tun_KHUsable*Arch_KH</x:f>
        <x:v>110744.44516867747</x:v>
      </x:c>
      <x:c r="AO714" s="32" t="n">
        <x:f>MIN(AP713+AN714,AM714*tun_KHMaxRatio)</x:f>
        <x:v>110744.44516867747</x:v>
      </x:c>
      <x:c r="AP714" s="32" t="n">
        <x:f>AP713+AN714-AO714</x:f>
        <x:v>0</x:v>
      </x:c>
      <x:c r="AQ714" s="32" t="n">
        <x:f>AM714+AO714</x:f>
        <x:v>832958.9869116285</x:v>
      </x:c>
      <x:c r="AR714" s="10" t="n">
        <x:f>IF(H714=1,INDEX(tun_Req,G714),0)</x:f>
        <x:v>125406521.7009086</x:v>
      </x:c>
      <x:c r="AS714" s="32" t="n">
        <x:f>IF(H714=1,IF(E714=1,AS713-AR713,AS713)+AQ714,0)</x:f>
        <x:v>61645768.14210544</x:v>
      </x:c>
      <x:c r="AT714" s="11" t="n">
        <x:f>IF(AR714&gt;0,MIN(1,AS714/AR714),1)</x:f>
        <x:v>0.4915674823445709</x:v>
      </x:c>
      <x:c r="AU714" s="10" t="n">
        <x:f>AB714/INDEX(tun_RepScale,G714)</x:f>
        <x:v>215.8361926789818</x:v>
      </x:c>
      <x:c r="AV714" s="32" t="n">
        <x:f>AM714*60/tun_SeasonSeconds</x:f>
        <x:v>2888858.166971804</x:v>
      </x:c>
    </x:row>
    <x:row r="715">
      <x:c r="A715" s="8" t="n">
        <x:f>A714+1</x:f>
        <x:v>712</x:v>
      </x:c>
      <x:c r="B715" s="9" t="n">
        <x:f>A715*tun_SeasonSeconds/60</x:f>
        <x:v>178</x:v>
      </x:c>
      <x:c r="C715" s="9" t="n">
        <x:f>A715/4</x:f>
        <x:v>178</x:v>
      </x:c>
      <x:c r="D715" s="8" t="n">
        <x:f>IF(MOD(A715,4)=0,1,0)</x:f>
        <x:v>1</x:v>
      </x:c>
      <x:c r="E715" s="8" t="n">
        <x:f>IF(AND(F714&lt;=9,AS714&gt;=AR714),1,0)</x:f>
        <x:v>0</x:v>
      </x:c>
      <x:c r="F715" s="8" t="n">
        <x:f>MIN(10,F714+E715)</x:f>
        <x:v>9</x:v>
      </x:c>
      <x:c r="G715" s="8" t="n">
        <x:f>MIN(F715,9)+1</x:f>
        <x:v>10</x:v>
      </x:c>
      <x:c r="H715" s="8" t="n">
        <x:f>IF(F715&lt;=9,1,0)</x:f>
        <x:v>1</x:v>
      </x:c>
      <x:c r="I715" s="9" t="n">
        <x:f>MIN(10,F714+IF(AR714&gt;0,MIN(1,AS714/AR714),1))</x:f>
        <x:v>9.491567482344571</x:v>
      </x:c>
      <x:c r="J715" s="32" t="n">
        <x:f>INDEX(tun_FoodCap,G715)*Arch_FoodCap*EXP(tun_CapsByProject*SUMPRODUCT((Cap_Point&lt;=I715)*(Cap_Kind="Food")*Cap_Ln))</x:f>
        <x:v>13863.877308233004</x:v>
      </x:c>
      <x:c r="K715" s="32" t="n">
        <x:f>J715*MIN(1,tun_LeanBase*EXP(tun_CapsByProject*SUMPRODUCT((Cap_Point&lt;=I715)*(Cap_Kind="Lean")*Cap_Ln)))</x:f>
        <x:v>13863.877308233004</x:v>
      </x:c>
      <x:c r="L715" s="10" t="n">
        <x:f>INDEX(tun_HousingCap,G715)*EXP(tun_CapsByProject*SUMPRODUCT((Cap_Point&lt;=I715)*(Cap_Kind="Housing")*Cap_Ln))</x:f>
        <x:v>12514.86067705494</x:v>
      </x:c>
      <x:c r="M715" s="10" t="n">
        <x:f>INDEX(tun_GroupCap,G715)*tun_CohesionFactor*EXP(tun_CapsByProject*SUMPRODUCT((Cap_Point&lt;=I715)*(Cap_Kind="Group")*Cap_Ln))</x:f>
        <x:v>1000000.000000001</x:v>
      </x:c>
      <x:c r="N715" s="32" t="n">
        <x:f>MIN(J715,L715,M715)</x:f>
        <x:v>12514.86067705494</x:v>
      </x:c>
      <x:c r="O715" s="10" t="n">
        <x:f>AE714*N715</x:f>
        <x:v>112633.74609349445</x:v>
      </x:c>
      <x:c r="P715" s="9" t="n">
        <x:f>MIN(1,(AB714/(AE714*IF(tun_GroupInCrowding=1,N715,MIN(J715,L715))))^tun_CrowdingExp)</x:f>
        <x:v>0.7736677315700603</x:v>
      </x:c>
      <x:c r="Q715" s="9" t="n">
        <x:f>IF(D715=1,INDEX(tun_WinterMult,G715),1)</x:f>
        <x:v>1.05</x:v>
      </x:c>
      <x:c r="R715" s="9" t="n">
        <x:f>H715*Z714*tun_WomenShare*tun_BaseFertility*INDEX(tun_FertMult,G715)*Arch_Fertility*(1-P715)</x:f>
        <x:v>259.99096134988827</x:v>
      </x:c>
      <x:c r="S715" s="9" t="n">
        <x:f>H715*Y714*INDEX(tun_MortChild,G715)/4*Q715</x:f>
        <x:v>5.333110450263635</x:v>
      </x:c>
      <x:c r="T715" s="9" t="n">
        <x:f>H715*Z714*INDEX(tun_MortAdult,G715)*Arch_AdultMort/4*Q715</x:f>
        <x:v>19.88158203441459</x:v>
      </x:c>
      <x:c r="U715" s="9" t="n">
        <x:f>H715*AA714*INDEX(tun_MortElder,G715)/4*Q715</x:f>
        <x:v>247.00771767877015</x:v>
      </x:c>
      <x:c r="V715" s="9" t="n">
        <x:f>H715*MAX(0,AB714-O715)*tun_OvercapLoss</x:f>
        <x:v>0</x:v>
      </x:c>
      <x:c r="W715" s="9" t="n">
        <x:f>H715*Y714/(tun_ChildYears*4)</x:f>
        <x:v>403.10736585515</x:v>
      </x:c>
      <x:c r="X715" s="9" t="n">
        <x:f>H715*Z714/(tun_AdultYears*4)</x:f>
        <x:v>407.20086091990964</x:v>
      </x:c>
      <x:c r="Y715" s="32" t="n">
        <x:f>Y714+R715-S715-W715-Y714*V715/AB714</x:f>
        <x:v>22425.562972932876</x:v>
      </x:c>
      <x:c r="Z715" s="32" t="n">
        <x:f>Z714+W715-X715-T715-Z714*V715/AB714</x:f>
        <x:v>50468.931676969616</x:v>
      </x:c>
      <x:c r="AA715" s="32" t="n">
        <x:f>AA714+X715-U715-AA714*V715/AB714</x:f>
        <x:v>35011.37024077485</x:v>
      </x:c>
      <x:c r="AB715" s="10" t="n">
        <x:f>Y715+Z715+AA715</x:f>
        <x:v>107905.86489067735</x:v>
      </x:c>
      <x:c r="AC715" s="8" t="n">
        <x:f>IF(AND(tun_WinterTrigger=1,D715=1,AB714/AE714&gt;=K715),1,0)</x:f>
        <x:v>0</x:v>
      </x:c>
      <x:c r="AD715" s="8" t="n">
        <x:f>H715*IF(AND(OR(AB714/AE714&gt;=tun_FissionTrigger*N715,AC715=1),AB714/AE714*tun_DaughterShare&gt;=tun_MinDaughter),MAX(1,ROUND(AE714*tun_FissionRate,0)),0)</x:f>
        <x:v>3</x:v>
      </x:c>
      <x:c r="AE715" s="8" t="n">
        <x:f>IF(H715=1,MAX(1,MIN(INDEX(tun_Smax,G715),AE714+AD715)),AE714)</x:f>
        <x:v>9</x:v>
      </x:c>
      <x:c r="AF715" s="8" t="n">
        <x:f>MAX(0,AE715-AE714)</x:f>
        <x:v>0</x:v>
      </x:c>
      <x:c r="AG715" s="9" t="str">
        <x:f>IF(AF715&gt;0,B715,"")</x:f>
      </x:c>
      <x:c r="AH715" s="9" t="n">
        <x:f>IF(F715&gt;=1,1,(1+tun_LowTiesShare*(AE715-1))/AE715)</x:f>
        <x:v>1</x:v>
      </x:c>
      <x:c r="AI715" s="32" t="n">
        <x:f>(Z715+tun_ElderCommons*INDEX(LM_Elder,G715)*AA715)*AH715</x:f>
        <x:v>188169.81253354135</x:v>
      </x:c>
      <x:c r="AJ715" s="32" t="n">
        <x:f>H715*tun_CommonsCoef*AI715^tun_CommonsExp*INDEX(LM_Commons,G715)</x:f>
        <x:v>653668.4105781083</x:v>
      </x:c>
      <x:c r="AK715" s="32" t="n">
        <x:f>H715*tun_RoleScale*Arch_Roles*(AE715*(INDEX(tun_ElderRolePerSett,G715)*tun_OutElder*INDEX(LM_Elder,G715)+INDEX(tun_ShamanPerSett,G715)*tun_OutShaman)+Z715*(INDEX(tun_PriestShare,G715)*tun_OutPriest+INDEX(tun_ScribeShare,G715)*tun_OutScribe*INDEX(LM_Scribe,G715)+INDEX(tun_ScholarShare,G715)*tun_OutScholar*INDEX(LM_Scholar,G715)+INDEX(tun_ResearcherShare,G715)*tun_OutResearcher*INDEX(LM_Researcher,G715)))</x:f>
        <x:v>182011.95195396838</x:v>
      </x:c>
      <x:c r="AL715" s="32" t="n">
        <x:f>H715*tun_RoleScale*Arch_Roles*AE715*INDEX(tun_MonasteryPerSett,G715)*tun_OutMonastery*INDEX(LM_Monastery,G715)</x:f>
        <x:v>15.840000000000002</x:v>
      </x:c>
      <x:c r="AM715" s="32" t="n">
        <x:f>(AJ715+AK715+AL715)/4*INDEX(LM_All,G715)*INDEX(tun_Boon,G715)*Arch_Insight</x:f>
        <x:v>723689.8636762777</x:v>
      </x:c>
      <x:c r="AN715" s="32" t="n">
        <x:f>H715*(tun_KHPerAdult*Z715+tun_KHOfCommons*AJ715/4*INDEX(LM_All,G715))*tun_KHUsable*Arch_KH</x:f>
        <x:v>111048.54035806698</x:v>
      </x:c>
      <x:c r="AO715" s="32" t="n">
        <x:f>MIN(AP714+AN715,AM715*tun_KHMaxRatio)</x:f>
        <x:v>111048.54035806698</x:v>
      </x:c>
      <x:c r="AP715" s="32" t="n">
        <x:f>AP714+AN715-AO715</x:f>
        <x:v>0</x:v>
      </x:c>
      <x:c r="AQ715" s="32" t="n">
        <x:f>AM715+AO715</x:f>
        <x:v>834738.4040343447</x:v>
      </x:c>
      <x:c r="AR715" s="10" t="n">
        <x:f>IF(H715=1,INDEX(tun_Req,G715),0)</x:f>
        <x:v>125406521.7009086</x:v>
      </x:c>
      <x:c r="AS715" s="32" t="n">
        <x:f>IF(H715=1,IF(E715=1,AS714-AR714,AS714)+AQ715,0)</x:f>
        <x:v>62480506.546139784</x:v>
      </x:c>
      <x:c r="AT715" s="11" t="n">
        <x:f>IF(AR715&gt;0,MIN(1,AS715/AR715),1)</x:f>
        <x:v>0.49822374226401256</x:v>
      </x:c>
      <x:c r="AU715" s="10" t="n">
        <x:f>AB715/INDEX(tun_RepScale,G715)</x:f>
        <x:v>215.8117297813547</x:v>
      </x:c>
      <x:c r="AV715" s="32" t="n">
        <x:f>AM715*60/tun_SeasonSeconds</x:f>
        <x:v>2894759.4547051108</x:v>
      </x:c>
    </x:row>
    <x:row r="716">
      <x:c r="A716" s="8" t="n">
        <x:f>A715+1</x:f>
        <x:v>713</x:v>
      </x:c>
      <x:c r="B716" s="9" t="n">
        <x:f>A716*tun_SeasonSeconds/60</x:f>
        <x:v>178.25</x:v>
      </x:c>
      <x:c r="C716" s="9" t="n">
        <x:f>A716/4</x:f>
        <x:v>178.25</x:v>
      </x:c>
      <x:c r="D716" s="8" t="n">
        <x:f>IF(MOD(A716,4)=0,1,0)</x:f>
        <x:v>0</x:v>
      </x:c>
      <x:c r="E716" s="8" t="n">
        <x:f>IF(AND(F715&lt;=9,AS715&gt;=AR715),1,0)</x:f>
        <x:v>0</x:v>
      </x:c>
      <x:c r="F716" s="8" t="n">
        <x:f>MIN(10,F715+E716)</x:f>
        <x:v>9</x:v>
      </x:c>
      <x:c r="G716" s="8" t="n">
        <x:f>MIN(F716,9)+1</x:f>
        <x:v>10</x:v>
      </x:c>
      <x:c r="H716" s="8" t="n">
        <x:f>IF(F716&lt;=9,1,0)</x:f>
        <x:v>1</x:v>
      </x:c>
      <x:c r="I716" s="9" t="n">
        <x:f>MIN(10,F715+IF(AR715&gt;0,MIN(1,AS715/AR715),1))</x:f>
        <x:v>9.498223742264013</x:v>
      </x:c>
      <x:c r="J716" s="32" t="n">
        <x:f>INDEX(tun_FoodCap,G716)*Arch_FoodCap*EXP(tun_CapsByProject*SUMPRODUCT((Cap_Point&lt;=I716)*(Cap_Kind="Food")*Cap_Ln))</x:f>
        <x:v>13863.877308233004</x:v>
      </x:c>
      <x:c r="K716" s="32" t="n">
        <x:f>J716*MIN(1,tun_LeanBase*EXP(tun_CapsByProject*SUMPRODUCT((Cap_Point&lt;=I716)*(Cap_Kind="Lean")*Cap_Ln)))</x:f>
        <x:v>13863.877308233004</x:v>
      </x:c>
      <x:c r="L716" s="10" t="n">
        <x:f>INDEX(tun_HousingCap,G716)*EXP(tun_CapsByProject*SUMPRODUCT((Cap_Point&lt;=I716)*(Cap_Kind="Housing")*Cap_Ln))</x:f>
        <x:v>12514.86067705494</x:v>
      </x:c>
      <x:c r="M716" s="10" t="n">
        <x:f>INDEX(tun_GroupCap,G716)*tun_CohesionFactor*EXP(tun_CapsByProject*SUMPRODUCT((Cap_Point&lt;=I716)*(Cap_Kind="Group")*Cap_Ln))</x:f>
        <x:v>1000000.000000001</x:v>
      </x:c>
      <x:c r="N716" s="32" t="n">
        <x:f>MIN(J716,L716,M716)</x:f>
        <x:v>12514.86067705494</x:v>
      </x:c>
      <x:c r="O716" s="10" t="n">
        <x:f>AE715*N716</x:f>
        <x:v>112633.74609349445</x:v>
      </x:c>
      <x:c r="P716" s="9" t="n">
        <x:f>MIN(1,(AB715/(AE715*IF(tun_GroupInCrowding=1,N716,MIN(J716,L716))))^tun_CrowdingExp)</x:f>
        <x:v>0.7731417551146962</x:v>
      </x:c>
      <x:c r="Q716" s="9" t="n">
        <x:f>IF(D716=1,INDEX(tun_WinterMult,G716),1)</x:f>
        <x:v>1</x:v>
      </x:c>
      <x:c r="R716" s="9" t="n">
        <x:f>H716*Z715*tun_WomenShare*tun_BaseFertility*INDEX(tun_FertMult,G716)*Arch_Fertility*(1-P716)</x:f>
        <x:v>260.4714216985253</x:v>
      </x:c>
      <x:c r="S716" s="9" t="n">
        <x:f>H716*Y715*INDEX(tun_MortChild,G716)/4*Q716</x:f>
        <x:v>5.0457516689098965</x:v>
      </x:c>
      <x:c r="T716" s="9" t="n">
        <x:f>H716*Z715*INDEX(tun_MortAdult,G716)*Arch_AdultMort/4*Q716</x:f>
        <x:v>18.925849378863607</x:v>
      </x:c>
      <x:c r="U716" s="9" t="n">
        <x:f>H716*AA715*INDEX(tun_MortElder,G716)/4*Q716</x:f>
        <x:v>236.32674912523024</x:v>
      </x:c>
      <x:c r="V716" s="9" t="n">
        <x:f>H716*MAX(0,AB715-O716)*tun_OvercapLoss</x:f>
        <x:v>0</x:v>
      </x:c>
      <x:c r="W716" s="9" t="n">
        <x:f>H716*Y715/(tun_ChildYears*4)</x:f>
        <x:v>400.45648165951565</x:v>
      </x:c>
      <x:c r="X716" s="9" t="n">
        <x:f>H716*Z715/(tun_AdultYears*4)</x:f>
        <x:v>407.0075135239485</x:v>
      </x:c>
      <x:c r="Y716" s="32" t="n">
        <x:f>Y715+R716-S716-W716-Y715*V716/AB715</x:f>
        <x:v>22280.532161302977</x:v>
      </x:c>
      <x:c r="Z716" s="32" t="n">
        <x:f>Z715+W716-X716-T716-Z715*V716/AB715</x:f>
        <x:v>50443.45479572632</x:v>
      </x:c>
      <x:c r="AA716" s="32" t="n">
        <x:f>AA715+X716-U716-AA715*V716/AB715</x:f>
        <x:v>35182.05100517356</x:v>
      </x:c>
      <x:c r="AB716" s="10" t="n">
        <x:f>Y716+Z716+AA716</x:f>
        <x:v>107906.03796220286</x:v>
      </x:c>
      <x:c r="AC716" s="8" t="n">
        <x:f>IF(AND(tun_WinterTrigger=1,D716=1,AB715/AE715&gt;=K716),1,0)</x:f>
        <x:v>0</x:v>
      </x:c>
      <x:c r="AD716" s="8" t="n">
        <x:f>H716*IF(AND(OR(AB715/AE715&gt;=tun_FissionTrigger*N716,AC716=1),AB715/AE715*tun_DaughterShare&gt;=tun_MinDaughter),MAX(1,ROUND(AE715*tun_FissionRate,0)),0)</x:f>
        <x:v>3</x:v>
      </x:c>
      <x:c r="AE716" s="8" t="n">
        <x:f>IF(H716=1,MAX(1,MIN(INDEX(tun_Smax,G716),AE715+AD716)),AE715)</x:f>
        <x:v>9</x:v>
      </x:c>
      <x:c r="AF716" s="8" t="n">
        <x:f>MAX(0,AE716-AE715)</x:f>
        <x:v>0</x:v>
      </x:c>
      <x:c r="AG716" s="9" t="str">
        <x:f>IF(AF716&gt;0,B716,"")</x:f>
      </x:c>
      <x:c r="AH716" s="9" t="n">
        <x:f>IF(F716&gt;=1,1,(1+tun_LowTiesShare*(AE716-1))/AE716)</x:f>
        <x:v>1</x:v>
      </x:c>
      <x:c r="AI716" s="32" t="n">
        <x:f>(Z716+tun_ElderCommons*INDEX(LM_Elder,G716)*AA716)*AH716</x:f>
        <x:v>188815.62876197483</x:v>
      </x:c>
      <x:c r="AJ716" s="32" t="n">
        <x:f>H716*tun_CommonsCoef*AI716^tun_CommonsExp*INDEX(LM_Commons,G716)</x:f>
        <x:v>655574.8533240322</x:v>
      </x:c>
      <x:c r="AK716" s="32" t="n">
        <x:f>H716*tun_RoleScale*Arch_Roles*(AE716*(INDEX(tun_ElderRolePerSett,G716)*tun_OutElder*INDEX(LM_Elder,G716)+INDEX(tun_ShamanPerSett,G716)*tun_OutShaman)+Z716*(INDEX(tun_PriestShare,G716)*tun_OutPriest+INDEX(tun_ScribeShare,G716)*tun_OutScribe*INDEX(LM_Scribe,G716)+INDEX(tun_ScholarShare,G716)*tun_OutScholar*INDEX(LM_Scholar,G716)+INDEX(tun_ResearcherShare,G716)*tun_OutResearcher*INDEX(LM_Researcher,G716)))</x:f>
        <x:v>181920.19772068755</x:v>
      </x:c>
      <x:c r="AL716" s="32" t="n">
        <x:f>H716*tun_RoleScale*Arch_Roles*AE716*INDEX(tun_MonasteryPerSett,G716)*tun_OutMonastery*INDEX(LM_Monastery,G716)</x:f>
        <x:v>15.840000000000002</x:v>
      </x:c>
      <x:c r="AM716" s="32" t="n">
        <x:f>(AJ716+AK716+AL716)/4*INDEX(LM_All,G716)*INDEX(tun_Boon,G716)*Arch_Insight</x:f>
        <x:v>725261.3338808215</x:v>
      </x:c>
      <x:c r="AN716" s="32" t="n">
        <x:f>H716*(tun_KHPerAdult*Z716+tun_KHOfCommons*AJ716/4*INDEX(LM_All,G716))*tun_KHUsable*Arch_KH</x:f>
        <x:v>111372.41662435899</x:v>
      </x:c>
      <x:c r="AO716" s="32" t="n">
        <x:f>MIN(AP715+AN716,AM716*tun_KHMaxRatio)</x:f>
        <x:v>111372.41662435899</x:v>
      </x:c>
      <x:c r="AP716" s="32" t="n">
        <x:f>AP715+AN716-AO716</x:f>
        <x:v>0</x:v>
      </x:c>
      <x:c r="AQ716" s="32" t="n">
        <x:f>AM716+AO716</x:f>
        <x:v>836633.7505051804</x:v>
      </x:c>
      <x:c r="AR716" s="10" t="n">
        <x:f>IF(H716=1,INDEX(tun_Req,G716),0)</x:f>
        <x:v>125406521.7009086</x:v>
      </x:c>
      <x:c r="AS716" s="32" t="n">
        <x:f>IF(H716=1,IF(E716=1,AS715-AR715,AS715)+AQ716,0)</x:f>
        <x:v>63317140.29664496</x:v>
      </x:c>
      <x:c r="AT716" s="11" t="n">
        <x:f>IF(AR716&gt;0,MIN(1,AS716/AR716),1)</x:f>
        <x:v>0.5048951158031059</x:v>
      </x:c>
      <x:c r="AU716" s="10" t="n">
        <x:f>AB716/INDEX(tun_RepScale,G716)</x:f>
        <x:v>215.81207592440572</x:v>
      </x:c>
      <x:c r="AV716" s="32" t="n">
        <x:f>AM716*60/tun_SeasonSeconds</x:f>
        <x:v>2901045.335523286</x:v>
      </x:c>
    </x:row>
    <x:row r="717">
      <x:c r="A717" s="8" t="n">
        <x:f>A716+1</x:f>
        <x:v>714</x:v>
      </x:c>
      <x:c r="B717" s="9" t="n">
        <x:f>A717*tun_SeasonSeconds/60</x:f>
        <x:v>178.5</x:v>
      </x:c>
      <x:c r="C717" s="9" t="n">
        <x:f>A717/4</x:f>
        <x:v>178.5</x:v>
      </x:c>
      <x:c r="D717" s="8" t="n">
        <x:f>IF(MOD(A717,4)=0,1,0)</x:f>
        <x:v>0</x:v>
      </x:c>
      <x:c r="E717" s="8" t="n">
        <x:f>IF(AND(F716&lt;=9,AS716&gt;=AR716),1,0)</x:f>
        <x:v>0</x:v>
      </x:c>
      <x:c r="F717" s="8" t="n">
        <x:f>MIN(10,F716+E717)</x:f>
        <x:v>9</x:v>
      </x:c>
      <x:c r="G717" s="8" t="n">
        <x:f>MIN(F717,9)+1</x:f>
        <x:v>10</x:v>
      </x:c>
      <x:c r="H717" s="8" t="n">
        <x:f>IF(F717&lt;=9,1,0)</x:f>
        <x:v>1</x:v>
      </x:c>
      <x:c r="I717" s="9" t="n">
        <x:f>MIN(10,F716+IF(AR716&gt;0,MIN(1,AS716/AR716),1))</x:f>
        <x:v>9.504895115803105</x:v>
      </x:c>
      <x:c r="J717" s="32" t="n">
        <x:f>INDEX(tun_FoodCap,G717)*Arch_FoodCap*EXP(tun_CapsByProject*SUMPRODUCT((Cap_Point&lt;=I717)*(Cap_Kind="Food")*Cap_Ln))</x:f>
        <x:v>17128.931901626256</x:v>
      </x:c>
      <x:c r="K717" s="32" t="n">
        <x:f>J717*MIN(1,tun_LeanBase*EXP(tun_CapsByProject*SUMPRODUCT((Cap_Point&lt;=I717)*(Cap_Kind="Lean")*Cap_Ln)))</x:f>
        <x:v>17128.931901626256</x:v>
      </x:c>
      <x:c r="L717" s="10" t="n">
        <x:f>INDEX(tun_HousingCap,G717)*EXP(tun_CapsByProject*SUMPRODUCT((Cap_Point&lt;=I717)*(Cap_Kind="Housing")*Cap_Ln))</x:f>
        <x:v>13709.342993714734</x:v>
      </x:c>
      <x:c r="M717" s="10" t="n">
        <x:f>INDEX(tun_GroupCap,G717)*tun_CohesionFactor*EXP(tun_CapsByProject*SUMPRODUCT((Cap_Point&lt;=I717)*(Cap_Kind="Group")*Cap_Ln))</x:f>
        <x:v>1000000.000000001</x:v>
      </x:c>
      <x:c r="N717" s="32" t="n">
        <x:f>MIN(J717,L717,M717)</x:f>
        <x:v>13709.342993714734</x:v>
      </x:c>
      <x:c r="O717" s="10" t="n">
        <x:f>AE716*N717</x:f>
        <x:v>123384.0869434326</x:v>
      </x:c>
      <x:c r="P717" s="9" t="n">
        <x:f>MIN(1,(AB716/(AE716*IF(tun_GroupInCrowding=1,N717,MIN(J717,L717))))^tun_CrowdingExp)</x:f>
        <x:v>0.44742430292428326</x:v>
      </x:c>
      <x:c r="Q717" s="9" t="n">
        <x:f>IF(D717=1,INDEX(tun_WinterMult,G717),1)</x:f>
        <x:v>1</x:v>
      </x:c>
      <x:c r="R717" s="9" t="n">
        <x:f>H717*Z716*tun_WomenShare*tun_BaseFertility*INDEX(tun_FertMult,G717)*Arch_Fertility*(1-P717)</x:f>
        <x:v>634.1295687239212</x:v>
      </x:c>
      <x:c r="S717" s="9" t="n">
        <x:f>H717*Y716*INDEX(tun_MortChild,G717)/4*Q717</x:f>
        <x:v>5.01311973629317</x:v>
      </x:c>
      <x:c r="T717" s="9" t="n">
        <x:f>H717*Z716*INDEX(tun_MortAdult,G717)*Arch_AdultMort/4*Q717</x:f>
        <x:v>18.916295548397372</x:v>
      </x:c>
      <x:c r="U717" s="9" t="n">
        <x:f>H717*AA716*INDEX(tun_MortElder,G717)/4*Q717</x:f>
        <x:v>237.47884428492154</x:v>
      </x:c>
      <x:c r="V717" s="9" t="n">
        <x:f>H717*MAX(0,AB716-O717)*tun_OvercapLoss</x:f>
        <x:v>0</x:v>
      </x:c>
      <x:c r="W717" s="9" t="n">
        <x:f>H717*Y716/(tun_ChildYears*4)</x:f>
        <x:v>397.86664573755314</x:v>
      </x:c>
      <x:c r="X717" s="9" t="n">
        <x:f>H717*Z716/(tun_AdultYears*4)</x:f>
        <x:v>406.8020548042445</x:v>
      </x:c>
      <x:c r="Y717" s="32" t="n">
        <x:f>Y716+R717-S717-W717-Y716*V717/AB716</x:f>
        <x:v>22511.78196455305</x:v>
      </x:c>
      <x:c r="Z717" s="32" t="n">
        <x:f>Z716+W717-X717-T717-Z716*V717/AB716</x:f>
        <x:v>50415.603091111225</x:v>
      </x:c>
      <x:c r="AA717" s="32" t="n">
        <x:f>AA716+X717-U717-AA716*V717/AB716</x:f>
        <x:v>35351.374215692886</x:v>
      </x:c>
      <x:c r="AB717" s="10" t="n">
        <x:f>Y717+Z717+AA717</x:f>
        <x:v>108278.75927135715</x:v>
      </x:c>
      <x:c r="AC717" s="8" t="n">
        <x:f>IF(AND(tun_WinterTrigger=1,D717=1,AB716/AE716&gt;=K717),1,0)</x:f>
        <x:v>0</x:v>
      </x:c>
      <x:c r="AD717" s="8" t="n">
        <x:f>H717*IF(AND(OR(AB716/AE716&gt;=tun_FissionTrigger*N717,AC717=1),AB716/AE716*tun_DaughterShare&gt;=tun_MinDaughter),MAX(1,ROUND(AE716*tun_FissionRate,0)),0)</x:f>
        <x:v>3</x:v>
      </x:c>
      <x:c r="AE717" s="8" t="n">
        <x:f>IF(H717=1,MAX(1,MIN(INDEX(tun_Smax,G717),AE716+AD717)),AE716)</x:f>
        <x:v>9</x:v>
      </x:c>
      <x:c r="AF717" s="8" t="n">
        <x:f>MAX(0,AE717-AE716)</x:f>
        <x:v>0</x:v>
      </x:c>
      <x:c r="AG717" s="9" t="str">
        <x:f>IF(AF717&gt;0,B717,"")</x:f>
      </x:c>
      <x:c r="AH717" s="9" t="n">
        <x:f>IF(F717&gt;=1,1,(1+tun_LowTiesShare*(AE717-1))/AE717)</x:f>
        <x:v>1</x:v>
      </x:c>
      <x:c r="AI717" s="32" t="n">
        <x:f>(Z717+tun_ElderCommons*INDEX(LM_Elder,G717)*AA717)*AH717</x:f>
        <x:v>189453.73086258443</x:v>
      </x:c>
      <x:c r="AJ717" s="32" t="n">
        <x:f>H717*tun_CommonsCoef*AI717^tun_CommonsExp*INDEX(LM_Commons,G717)</x:f>
        <x:v>657457.5636235779</x:v>
      </x:c>
      <x:c r="AK717" s="32" t="n">
        <x:f>H717*tun_RoleScale*Arch_Roles*(AE717*(INDEX(tun_ElderRolePerSett,G717)*tun_OutElder*INDEX(LM_Elder,G717)+INDEX(tun_ShamanPerSett,G717)*tun_OutShaman)+Z717*(INDEX(tun_PriestShare,G717)*tun_OutPriest+INDEX(tun_ScribeShare,G717)*tun_OutScribe*INDEX(LM_Scribe,G717)+INDEX(tun_ScholarShare,G717)*tun_OutScholar*INDEX(LM_Scholar,G717)+INDEX(tun_ResearcherShare,G717)*tun_OutResearcher*INDEX(LM_Researcher,G717)))</x:f>
        <x:v>181819.89063136533</x:v>
      </x:c>
      <x:c r="AL717" s="32" t="n">
        <x:f>H717*tun_RoleScale*Arch_Roles*AE717*INDEX(tun_MonasteryPerSett,G717)*tun_OutMonastery*INDEX(LM_Monastery,G717)</x:f>
        <x:v>15.840000000000002</x:v>
      </x:c>
      <x:c r="AM717" s="32" t="n">
        <x:f>(AJ717+AK717+AL717)/4*INDEX(LM_All,G717)*INDEX(tun_Boon,G717)*Arch_Insight</x:f>
        <x:v>726804.8459038684</x:v>
      </x:c>
      <x:c r="AN717" s="32" t="n">
        <x:f>H717*(tun_KHPerAdult*Z717+tun_KHOfCommons*AJ717/4*INDEX(LM_All,G717))*tun_KHUsable*Arch_KH</x:f>
        <x:v>111692.26110100542</x:v>
      </x:c>
      <x:c r="AO717" s="32" t="n">
        <x:f>MIN(AP716+AN717,AM717*tun_KHMaxRatio)</x:f>
        <x:v>111692.26110100542</x:v>
      </x:c>
      <x:c r="AP717" s="32" t="n">
        <x:f>AP716+AN717-AO717</x:f>
        <x:v>0</x:v>
      </x:c>
      <x:c r="AQ717" s="32" t="n">
        <x:f>AM717+AO717</x:f>
        <x:v>838497.1070048739</x:v>
      </x:c>
      <x:c r="AR717" s="10" t="n">
        <x:f>IF(H717=1,INDEX(tun_Req,G717),0)</x:f>
        <x:v>125406521.7009086</x:v>
      </x:c>
      <x:c r="AS717" s="32" t="n">
        <x:f>IF(H717=1,IF(E717=1,AS716-AR716,AS716)+AQ717,0)</x:f>
        <x:v>64155637.40364984</x:v>
      </x:c>
      <x:c r="AT717" s="11" t="n">
        <x:f>IF(AR717&gt;0,MIN(1,AS717/AR717),1)</x:f>
        <x:v>0.5115813478716794</x:v>
      </x:c>
      <x:c r="AU717" s="10" t="n">
        <x:f>AB717/INDEX(tun_RepScale,G717)</x:f>
        <x:v>216.5575185427143</x:v>
      </x:c>
      <x:c r="AV717" s="32" t="n">
        <x:f>AM717*60/tun_SeasonSeconds</x:f>
        <x:v>2907219.3836154738</x:v>
      </x:c>
    </x:row>
    <x:row r="718">
      <x:c r="A718" s="8" t="n">
        <x:f>A717+1</x:f>
        <x:v>715</x:v>
      </x:c>
      <x:c r="B718" s="9" t="n">
        <x:f>A718*tun_SeasonSeconds/60</x:f>
        <x:v>178.75</x:v>
      </x:c>
      <x:c r="C718" s="9" t="n">
        <x:f>A718/4</x:f>
        <x:v>178.75</x:v>
      </x:c>
      <x:c r="D718" s="8" t="n">
        <x:f>IF(MOD(A718,4)=0,1,0)</x:f>
        <x:v>0</x:v>
      </x:c>
      <x:c r="E718" s="8" t="n">
        <x:f>IF(AND(F717&lt;=9,AS717&gt;=AR717),1,0)</x:f>
        <x:v>0</x:v>
      </x:c>
      <x:c r="F718" s="8" t="n">
        <x:f>MIN(10,F717+E718)</x:f>
        <x:v>9</x:v>
      </x:c>
      <x:c r="G718" s="8" t="n">
        <x:f>MIN(F718,9)+1</x:f>
        <x:v>10</x:v>
      </x:c>
      <x:c r="H718" s="8" t="n">
        <x:f>IF(F718&lt;=9,1,0)</x:f>
        <x:v>1</x:v>
      </x:c>
      <x:c r="I718" s="9" t="n">
        <x:f>MIN(10,F717+IF(AR717&gt;0,MIN(1,AS717/AR717),1))</x:f>
        <x:v>9.51158134787168</x:v>
      </x:c>
      <x:c r="J718" s="32" t="n">
        <x:f>INDEX(tun_FoodCap,G718)*Arch_FoodCap*EXP(tun_CapsByProject*SUMPRODUCT((Cap_Point&lt;=I718)*(Cap_Kind="Food")*Cap_Ln))</x:f>
        <x:v>17128.931901626256</x:v>
      </x:c>
      <x:c r="K718" s="32" t="n">
        <x:f>J718*MIN(1,tun_LeanBase*EXP(tun_CapsByProject*SUMPRODUCT((Cap_Point&lt;=I718)*(Cap_Kind="Lean")*Cap_Ln)))</x:f>
        <x:v>17128.931901626256</x:v>
      </x:c>
      <x:c r="L718" s="10" t="n">
        <x:f>INDEX(tun_HousingCap,G718)*EXP(tun_CapsByProject*SUMPRODUCT((Cap_Point&lt;=I718)*(Cap_Kind="Housing")*Cap_Ln))</x:f>
        <x:v>13709.342993714734</x:v>
      </x:c>
      <x:c r="M718" s="10" t="n">
        <x:f>INDEX(tun_GroupCap,G718)*tun_CohesionFactor*EXP(tun_CapsByProject*SUMPRODUCT((Cap_Point&lt;=I718)*(Cap_Kind="Group")*Cap_Ln))</x:f>
        <x:v>1000000.000000001</x:v>
      </x:c>
      <x:c r="N718" s="32" t="n">
        <x:f>MIN(J718,L718,M718)</x:f>
        <x:v>13709.342993714734</x:v>
      </x:c>
      <x:c r="O718" s="10" t="n">
        <x:f>AE717*N718</x:f>
        <x:v>123384.0869434326</x:v>
      </x:c>
      <x:c r="P718" s="9" t="n">
        <x:f>MIN(1,(AB717/(AE717*IF(tun_GroupInCrowding=1,N718,MIN(J718,L718))))^tun_CrowdingExp)</x:f>
        <x:v>0.4567775118910671</x:v>
      </x:c>
      <x:c r="Q718" s="9" t="n">
        <x:f>IF(D718=1,INDEX(tun_WinterMult,G718),1)</x:f>
        <x:v>1</x:v>
      </x:c>
      <x:c r="R718" s="9" t="n">
        <x:f>H718*Z717*tun_WomenShare*tun_BaseFertility*INDEX(tun_FertMult,G718)*Arch_Fertility*(1-P718)</x:f>
        <x:v>623.0517327276481</x:v>
      </x:c>
      <x:c r="S718" s="9" t="n">
        <x:f>H718*Y717*INDEX(tun_MortChild,G718)/4*Q718</x:f>
        <x:v>5.065150942024436</x:v>
      </x:c>
      <x:c r="T718" s="9" t="n">
        <x:f>H718*Z717*INDEX(tun_MortAdult,G718)*Arch_AdultMort/4*Q718</x:f>
        <x:v>18.90585115916671</x:v>
      </x:c>
      <x:c r="U718" s="9" t="n">
        <x:f>H718*AA717*INDEX(tun_MortElder,G718)/4*Q718</x:f>
        <x:v>238.62177595592698</x:v>
      </x:c>
      <x:c r="V718" s="9" t="n">
        <x:f>H718*MAX(0,AB717-O718)*tun_OvercapLoss</x:f>
        <x:v>0</x:v>
      </x:c>
      <x:c r="W718" s="9" t="n">
        <x:f>H718*Y717/(tun_ChildYears*4)</x:f>
        <x:v>401.9961065098759</x:v>
      </x:c>
      <x:c r="X718" s="9" t="n">
        <x:f>H718*Z717/(tun_AdultYears*4)</x:f>
        <x:v>406.57744428315505</x:v>
      </x:c>
      <x:c r="Y718" s="32" t="n">
        <x:f>Y717+R718-S718-W718-Y717*V718/AB717</x:f>
        <x:v>22727.772439828797</x:v>
      </x:c>
      <x:c r="Z718" s="32" t="n">
        <x:f>Z717+W718-X718-T718-Z717*V718/AB717</x:f>
        <x:v>50392.11590217878</x:v>
      </x:c>
      <x:c r="AA718" s="32" t="n">
        <x:f>AA717+X718-U718-AA717*V718/AB717</x:f>
        <x:v>35519.32988402011</x:v>
      </x:c>
      <x:c r="AB718" s="10" t="n">
        <x:f>Y718+Z718+AA718</x:f>
        <x:v>108639.2182260277</x:v>
      </x:c>
      <x:c r="AC718" s="8" t="n">
        <x:f>IF(AND(tun_WinterTrigger=1,D718=1,AB717/AE717&gt;=K718),1,0)</x:f>
        <x:v>0</x:v>
      </x:c>
      <x:c r="AD718" s="8" t="n">
        <x:f>H718*IF(AND(OR(AB717/AE717&gt;=tun_FissionTrigger*N718,AC718=1),AB717/AE717*tun_DaughterShare&gt;=tun_MinDaughter),MAX(1,ROUND(AE717*tun_FissionRate,0)),0)</x:f>
        <x:v>3</x:v>
      </x:c>
      <x:c r="AE718" s="8" t="n">
        <x:f>IF(H718=1,MAX(1,MIN(INDEX(tun_Smax,G718),AE717+AD718)),AE717)</x:f>
        <x:v>9</x:v>
      </x:c>
      <x:c r="AF718" s="8" t="n">
        <x:f>MAX(0,AE718-AE717)</x:f>
        <x:v>0</x:v>
      </x:c>
      <x:c r="AG718" s="9" t="str">
        <x:f>IF(AF718&gt;0,B718,"")</x:f>
      </x:c>
      <x:c r="AH718" s="9" t="n">
        <x:f>IF(F718&gt;=1,1,(1+tun_LowTiesShare*(AE718-1))/AE718)</x:f>
        <x:v>1</x:v>
      </x:c>
      <x:c r="AI718" s="32" t="n">
        <x:f>(Z718+tun_ElderCommons*INDEX(LM_Elder,G718)*AA718)*AH718</x:f>
        <x:v>190090.8188900592</x:v>
      </x:c>
      <x:c r="AJ718" s="32" t="n">
        <x:f>H718*tun_CommonsCoef*AI718^tun_CommonsExp*INDEX(LM_Commons,G718)</x:f>
        <x:v>659336.3332402203</x:v>
      </x:c>
      <x:c r="AK718" s="32" t="n">
        <x:f>H718*tun_RoleScale*Arch_Roles*(AE718*(INDEX(tun_ElderRolePerSett,G718)*tun_OutElder*INDEX(LM_Elder,G718)+INDEX(tun_ShamanPerSett,G718)*tun_OutShaman)+Z718*(INDEX(tun_PriestShare,G718)*tun_OutPriest+INDEX(tun_ScribeShare,G718)*tun_OutScribe*INDEX(LM_Scribe,G718)+INDEX(tun_ScholarShare,G718)*tun_OutScholar*INDEX(LM_Scholar,G718)+INDEX(tun_ResearcherShare,G718)*tun_OutResearcher*INDEX(LM_Researcher,G718)))</x:f>
        <x:v>181735.30221601579</x:v>
      </x:c>
      <x:c r="AL718" s="32" t="n">
        <x:f>H718*tun_RoleScale*Arch_Roles*AE718*INDEX(tun_MonasteryPerSett,G718)*tun_OutMonastery*INDEX(LM_Monastery,G718)</x:f>
        <x:v>15.840000000000002</x:v>
      </x:c>
      <x:c r="AM718" s="32" t="n">
        <x:f>(AJ718+AK718+AL718)/4*INDEX(LM_All,G718)*INDEX(tun_Boon,G718)*Arch_Insight</x:f>
        <x:v>728358.5573423551</x:v>
      </x:c>
      <x:c r="AN718" s="32" t="n">
        <x:f>H718*(tun_KHPerAdult*Z718+tun_KHOfCommons*AJ718/4*INDEX(LM_All,G718))*tun_KHUsable*Arch_KH</x:f>
        <x:v>112011.43611423988</x:v>
      </x:c>
      <x:c r="AO718" s="32" t="n">
        <x:f>MIN(AP717+AN718,AM718*tun_KHMaxRatio)</x:f>
        <x:v>112011.43611423988</x:v>
      </x:c>
      <x:c r="AP718" s="32" t="n">
        <x:f>AP717+AN718-AO718</x:f>
        <x:v>0</x:v>
      </x:c>
      <x:c r="AQ718" s="32" t="n">
        <x:f>AM718+AO718</x:f>
        <x:v>840369.993456595</x:v>
      </x:c>
      <x:c r="AR718" s="10" t="n">
        <x:f>IF(H718=1,INDEX(tun_Req,G718),0)</x:f>
        <x:v>125406521.7009086</x:v>
      </x:c>
      <x:c r="AS718" s="32" t="n">
        <x:f>IF(H718=1,IF(E718=1,AS717-AR717,AS717)+AQ718,0)</x:f>
        <x:v>64996007.39710643</x:v>
      </x:c>
      <x:c r="AT718" s="11" t="n">
        <x:f>IF(AR718&gt;0,MIN(1,AS718/AR718),1)</x:f>
        <x:v>0.5182825144622085</x:v>
      </x:c>
      <x:c r="AU718" s="10" t="n">
        <x:f>AB718/INDEX(tun_RepScale,G718)</x:f>
        <x:v>217.27843645205542</x:v>
      </x:c>
      <x:c r="AV718" s="32" t="n">
        <x:f>AM718*60/tun_SeasonSeconds</x:f>
        <x:v>2913434.229369421</x:v>
      </x:c>
    </x:row>
    <x:row r="719">
      <x:c r="A719" s="8" t="n">
        <x:f>A718+1</x:f>
        <x:v>716</x:v>
      </x:c>
      <x:c r="B719" s="9" t="n">
        <x:f>A719*tun_SeasonSeconds/60</x:f>
        <x:v>179</x:v>
      </x:c>
      <x:c r="C719" s="9" t="n">
        <x:f>A719/4</x:f>
        <x:v>179</x:v>
      </x:c>
      <x:c r="D719" s="8" t="n">
        <x:f>IF(MOD(A719,4)=0,1,0)</x:f>
        <x:v>1</x:v>
      </x:c>
      <x:c r="E719" s="8" t="n">
        <x:f>IF(AND(F718&lt;=9,AS718&gt;=AR718),1,0)</x:f>
        <x:v>0</x:v>
      </x:c>
      <x:c r="F719" s="8" t="n">
        <x:f>MIN(10,F718+E719)</x:f>
        <x:v>9</x:v>
      </x:c>
      <x:c r="G719" s="8" t="n">
        <x:f>MIN(F719,9)+1</x:f>
        <x:v>10</x:v>
      </x:c>
      <x:c r="H719" s="8" t="n">
        <x:f>IF(F719&lt;=9,1,0)</x:f>
        <x:v>1</x:v>
      </x:c>
      <x:c r="I719" s="9" t="n">
        <x:f>MIN(10,F718+IF(AR718&gt;0,MIN(1,AS718/AR718),1))</x:f>
        <x:v>9.518282514462209</x:v>
      </x:c>
      <x:c r="J719" s="32" t="n">
        <x:f>INDEX(tun_FoodCap,G719)*Arch_FoodCap*EXP(tun_CapsByProject*SUMPRODUCT((Cap_Point&lt;=I719)*(Cap_Kind="Food")*Cap_Ln))</x:f>
        <x:v>17128.931901626256</x:v>
      </x:c>
      <x:c r="K719" s="32" t="n">
        <x:f>J719*MIN(1,tun_LeanBase*EXP(tun_CapsByProject*SUMPRODUCT((Cap_Point&lt;=I719)*(Cap_Kind="Lean")*Cap_Ln)))</x:f>
        <x:v>17128.931901626256</x:v>
      </x:c>
      <x:c r="L719" s="10" t="n">
        <x:f>INDEX(tun_HousingCap,G719)*EXP(tun_CapsByProject*SUMPRODUCT((Cap_Point&lt;=I719)*(Cap_Kind="Housing")*Cap_Ln))</x:f>
        <x:v>13709.342993714734</x:v>
      </x:c>
      <x:c r="M719" s="10" t="n">
        <x:f>INDEX(tun_GroupCap,G719)*tun_CohesionFactor*EXP(tun_CapsByProject*SUMPRODUCT((Cap_Point&lt;=I719)*(Cap_Kind="Group")*Cap_Ln))</x:f>
        <x:v>1000000.000000001</x:v>
      </x:c>
      <x:c r="N719" s="32" t="n">
        <x:f>MIN(J719,L719,M719)</x:f>
        <x:v>13709.342993714734</x:v>
      </x:c>
      <x:c r="O719" s="10" t="n">
        <x:f>AE718*N719</x:f>
        <x:v>123384.0869434326</x:v>
      </x:c>
      <x:c r="P719" s="9" t="n">
        <x:f>MIN(1,(AB718/(AE718*IF(tun_GroupInCrowding=1,N719,MIN(J719,L719))))^tun_CrowdingExp)</x:f>
        <x:v>0.4659774289344891</x:v>
      </x:c>
      <x:c r="Q719" s="9" t="n">
        <x:f>IF(D719=1,INDEX(tun_WinterMult,G719),1)</x:f>
        <x:v>1.05</x:v>
      </x:c>
      <x:c r="R719" s="9" t="n">
        <x:f>H719*Z718*tun_WomenShare*tun_BaseFertility*INDEX(tun_FertMult,G719)*Arch_Fertility*(1-P719)</x:f>
        <x:v>612.2144959729145</x:v>
      </x:c>
      <x:c r="S719" s="9" t="n">
        <x:f>H719*Y718*INDEX(tun_MortChild,G719)/4*Q719</x:f>
        <x:v>5.369436238909554</x:v>
      </x:c>
      <x:c r="T719" s="9" t="n">
        <x:f>H719*Z718*INDEX(tun_MortAdult,G719)*Arch_AdultMort/4*Q719</x:f>
        <x:v>19.841895636482896</x:v>
      </x:c>
      <x:c r="U719" s="9" t="n">
        <x:f>H719*AA718*INDEX(tun_MortElder,G719)/4*Q719</x:f>
        <x:v>251.74325055299252</x:v>
      </x:c>
      <x:c r="V719" s="9" t="n">
        <x:f>H719*MAX(0,AB718-O719)*tun_OvercapLoss</x:f>
        <x:v>0</x:v>
      </x:c>
      <x:c r="W719" s="9" t="n">
        <x:f>H719*Y718/(tun_ChildYears*4)</x:f>
        <x:v>405.8530792826571</x:v>
      </x:c>
      <x:c r="X719" s="9" t="n">
        <x:f>H719*Z718/(tun_AdultYears*4)</x:f>
        <x:v>406.3880314691837</x:v>
      </x:c>
      <x:c r="Y719" s="32" t="n">
        <x:f>Y718+R719-S719-W719-Y718*V719/AB718</x:f>
        <x:v>22928.764420280146</x:v>
      </x:c>
      <x:c r="Z719" s="32" t="n">
        <x:f>Z718+W719-X719-T719-Z718*V719/AB718</x:f>
        <x:v>50371.73905435577</x:v>
      </x:c>
      <x:c r="AA719" s="32" t="n">
        <x:f>AA718+X719-U719-AA718*V719/AB718</x:f>
        <x:v>35673.9746649363</x:v>
      </x:c>
      <x:c r="AB719" s="10" t="n">
        <x:f>Y719+Z719+AA719</x:f>
        <x:v>108974.47813957222</x:v>
      </x:c>
      <x:c r="AC719" s="8" t="n">
        <x:f>IF(AND(tun_WinterTrigger=1,D719=1,AB718/AE718&gt;=K719),1,0)</x:f>
        <x:v>0</x:v>
      </x:c>
      <x:c r="AD719" s="8" t="n">
        <x:f>H719*IF(AND(OR(AB718/AE718&gt;=tun_FissionTrigger*N719,AC719=1),AB718/AE718*tun_DaughterShare&gt;=tun_MinDaughter),MAX(1,ROUND(AE718*tun_FissionRate,0)),0)</x:f>
        <x:v>3</x:v>
      </x:c>
      <x:c r="AE719" s="8" t="n">
        <x:f>IF(H719=1,MAX(1,MIN(INDEX(tun_Smax,G719),AE718+AD719)),AE718)</x:f>
        <x:v>9</x:v>
      </x:c>
      <x:c r="AF719" s="8" t="n">
        <x:f>MAX(0,AE719-AE718)</x:f>
        <x:v>0</x:v>
      </x:c>
      <x:c r="AG719" s="9" t="str">
        <x:f>IF(AF719&gt;0,B719,"")</x:f>
      </x:c>
      <x:c r="AH719" s="9" t="n">
        <x:f>IF(F719&gt;=1,1,(1+tun_LowTiesShare*(AE719-1))/AE719)</x:f>
        <x:v>1</x:v>
      </x:c>
      <x:c r="AI719" s="32" t="n">
        <x:f>(Z719+tun_ElderCommons*INDEX(LM_Elder,G719)*AA719)*AH719</x:f>
        <x:v>190678.66509679207</x:v>
      </x:c>
      <x:c r="AJ719" s="32" t="n">
        <x:f>H719*tun_CommonsCoef*AI719^tun_CommonsExp*INDEX(LM_Commons,G719)</x:f>
        <x:v>661069.0512634314</x:v>
      </x:c>
      <x:c r="AK719" s="32" t="n">
        <x:f>H719*tun_RoleScale*Arch_Roles*(AE719*(INDEX(tun_ElderRolePerSett,G719)*tun_OutElder*INDEX(LM_Elder,G719)+INDEX(tun_ShamanPerSett,G719)*tun_OutShaman)+Z719*(INDEX(tun_PriestShare,G719)*tun_OutPriest+INDEX(tun_ScribeShare,G719)*tun_OutScribe*INDEX(LM_Scribe,G719)+INDEX(tun_ScholarShare,G719)*tun_OutScholar*INDEX(LM_Scholar,G719)+INDEX(tun_ResearcherShare,G719)*tun_OutResearcher*INDEX(LM_Researcher,G719)))</x:f>
        <x:v>181661.9156020568</x:v>
      </x:c>
      <x:c r="AL719" s="32" t="n">
        <x:f>H719*tun_RoleScale*Arch_Roles*AE719*INDEX(tun_MonasteryPerSett,G719)*tun_OutMonastery*INDEX(LM_Monastery,G719)</x:f>
        <x:v>15.840000000000002</x:v>
      </x:c>
      <x:c r="AM719" s="32" t="n">
        <x:f>(AJ719+AK719+AL719)/4*INDEX(LM_All,G719)*INDEX(tun_Boon,G719)*Arch_Insight</x:f>
        <x:v>729795.4925799655</x:v>
      </x:c>
      <x:c r="AN719" s="32" t="n">
        <x:f>H719*(tun_KHPerAdult*Z719+tun_KHOfCommons*AJ719/4*INDEX(LM_All,G719))*tun_KHUsable*Arch_KH</x:f>
        <x:v>112305.7991341073</x:v>
      </x:c>
      <x:c r="AO719" s="32" t="n">
        <x:f>MIN(AP718+AN719,AM719*tun_KHMaxRatio)</x:f>
        <x:v>112305.7991341073</x:v>
      </x:c>
      <x:c r="AP719" s="32" t="n">
        <x:f>AP718+AN719-AO719</x:f>
        <x:v>0</x:v>
      </x:c>
      <x:c r="AQ719" s="32" t="n">
        <x:f>AM719+AO719</x:f>
        <x:v>842101.2917140728</x:v>
      </x:c>
      <x:c r="AR719" s="10" t="n">
        <x:f>IF(H719=1,INDEX(tun_Req,G719),0)</x:f>
        <x:v>125406521.7009086</x:v>
      </x:c>
      <x:c r="AS719" s="32" t="n">
        <x:f>IF(H719=1,IF(E719=1,AS718-AR718,AS718)+AQ719,0)</x:f>
        <x:v>65838108.6888205</x:v>
      </x:c>
      <x:c r="AT719" s="11" t="n">
        <x:f>IF(AR719&gt;0,MIN(1,AS719/AR719),1)</x:f>
        <x:v>0.5249974865409531</x:v>
      </x:c>
      <x:c r="AU719" s="10" t="n">
        <x:f>AB719/INDEX(tun_RepScale,G719)</x:f>
        <x:v>217.94895627914445</x:v>
      </x:c>
      <x:c r="AV719" s="32" t="n">
        <x:f>AM719*60/tun_SeasonSeconds</x:f>
        <x:v>2919181.970319862</x:v>
      </x:c>
    </x:row>
    <x:row r="720">
      <x:c r="A720" s="8" t="n">
        <x:f>A719+1</x:f>
        <x:v>717</x:v>
      </x:c>
      <x:c r="B720" s="9" t="n">
        <x:f>A720*tun_SeasonSeconds/60</x:f>
        <x:v>179.25</x:v>
      </x:c>
      <x:c r="C720" s="9" t="n">
        <x:f>A720/4</x:f>
        <x:v>179.25</x:v>
      </x:c>
      <x:c r="D720" s="8" t="n">
        <x:f>IF(MOD(A720,4)=0,1,0)</x:f>
        <x:v>0</x:v>
      </x:c>
      <x:c r="E720" s="8" t="n">
        <x:f>IF(AND(F719&lt;=9,AS719&gt;=AR719),1,0)</x:f>
        <x:v>0</x:v>
      </x:c>
      <x:c r="F720" s="8" t="n">
        <x:f>MIN(10,F719+E720)</x:f>
        <x:v>9</x:v>
      </x:c>
      <x:c r="G720" s="8" t="n">
        <x:f>MIN(F720,9)+1</x:f>
        <x:v>10</x:v>
      </x:c>
      <x:c r="H720" s="8" t="n">
        <x:f>IF(F720&lt;=9,1,0)</x:f>
        <x:v>1</x:v>
      </x:c>
      <x:c r="I720" s="9" t="n">
        <x:f>MIN(10,F719+IF(AR719&gt;0,MIN(1,AS719/AR719),1))</x:f>
        <x:v>9.524997486540952</x:v>
      </x:c>
      <x:c r="J720" s="32" t="n">
        <x:f>INDEX(tun_FoodCap,G720)*Arch_FoodCap*EXP(tun_CapsByProject*SUMPRODUCT((Cap_Point&lt;=I720)*(Cap_Kind="Food")*Cap_Ln))</x:f>
        <x:v>17128.931901626256</x:v>
      </x:c>
      <x:c r="K720" s="32" t="n">
        <x:f>J720*MIN(1,tun_LeanBase*EXP(tun_CapsByProject*SUMPRODUCT((Cap_Point&lt;=I720)*(Cap_Kind="Lean")*Cap_Ln)))</x:f>
        <x:v>17128.931901626256</x:v>
      </x:c>
      <x:c r="L720" s="10" t="n">
        <x:f>INDEX(tun_HousingCap,G720)*EXP(tun_CapsByProject*SUMPRODUCT((Cap_Point&lt;=I720)*(Cap_Kind="Housing")*Cap_Ln))</x:f>
        <x:v>13709.342993714734</x:v>
      </x:c>
      <x:c r="M720" s="10" t="n">
        <x:f>INDEX(tun_GroupCap,G720)*tun_CohesionFactor*EXP(tun_CapsByProject*SUMPRODUCT((Cap_Point&lt;=I720)*(Cap_Kind="Group")*Cap_Ln))</x:f>
        <x:v>1000000.000000001</x:v>
      </x:c>
      <x:c r="N720" s="32" t="n">
        <x:f>MIN(J720,L720,M720)</x:f>
        <x:v>13709.342993714734</x:v>
      </x:c>
      <x:c r="O720" s="10" t="n">
        <x:f>AE719*N720</x:f>
        <x:v>123384.0869434326</x:v>
      </x:c>
      <x:c r="P720" s="9" t="n">
        <x:f>MIN(1,(AB719/(AE719*IF(tun_GroupInCrowding=1,N720,MIN(J720,L720))))^tun_CrowdingExp)</x:f>
        <x:v>0.4746722881934608</x:v>
      </x:c>
      <x:c r="Q720" s="9" t="n">
        <x:f>IF(D720=1,INDEX(tun_WinterMult,G720),1)</x:f>
        <x:v>1</x:v>
      </x:c>
      <x:c r="R720" s="9" t="n">
        <x:f>H720*Z719*tun_WomenShare*tun_BaseFertility*INDEX(tun_FertMult,G720)*Arch_Fertility*(1-P720)</x:f>
        <x:v>602.0030019899531</x:v>
      </x:c>
      <x:c r="S720" s="9" t="n">
        <x:f>H720*Y719*INDEX(tun_MortChild,G720)/4*Q720</x:f>
        <x:v>5.158971994563033</x:v>
      </x:c>
      <x:c r="T720" s="9" t="n">
        <x:f>H720*Z719*INDEX(tun_MortAdult,G720)*Arch_AdultMort/4*Q720</x:f>
        <x:v>18.889402145383414</x:v>
      </x:c>
      <x:c r="U720" s="9" t="n">
        <x:f>H720*AA719*INDEX(tun_MortElder,G720)/4*Q720</x:f>
        <x:v>240.79932898832</x:v>
      </x:c>
      <x:c r="V720" s="9" t="n">
        <x:f>H720*MAX(0,AB719-O720)*tun_OvercapLoss</x:f>
        <x:v>0</x:v>
      </x:c>
      <x:c r="W720" s="9" t="n">
        <x:f>H720*Y719/(tun_ChildYears*4)</x:f>
        <x:v>409.44222179071687</x:v>
      </x:c>
      <x:c r="X720" s="9" t="n">
        <x:f>H720*Z719/(tun_AdultYears*4)</x:f>
        <x:v>406.2237020512562</x:v>
      </x:c>
      <x:c r="Y720" s="32" t="n">
        <x:f>Y719+R720-S720-W720-Y719*V720/AB719</x:f>
        <x:v>23116.16622848482</x:v>
      </x:c>
      <x:c r="Z720" s="32" t="n">
        <x:f>Z719+W720-X720-T720-Z719*V720/AB719</x:f>
        <x:v>50356.06817194985</x:v>
      </x:c>
      <x:c r="AA720" s="32" t="n">
        <x:f>AA719+X720-U720-AA719*V720/AB719</x:f>
        <x:v>35839.39903799923</x:v>
      </x:c>
      <x:c r="AB720" s="10" t="n">
        <x:f>Y720+Z720+AA720</x:f>
        <x:v>109311.63343843391</x:v>
      </x:c>
      <x:c r="AC720" s="8" t="n">
        <x:f>IF(AND(tun_WinterTrigger=1,D720=1,AB719/AE719&gt;=K720),1,0)</x:f>
        <x:v>0</x:v>
      </x:c>
      <x:c r="AD720" s="8" t="n">
        <x:f>H720*IF(AND(OR(AB719/AE719&gt;=tun_FissionTrigger*N720,AC720=1),AB719/AE719*tun_DaughterShare&gt;=tun_MinDaughter),MAX(1,ROUND(AE719*tun_FissionRate,0)),0)</x:f>
        <x:v>3</x:v>
      </x:c>
      <x:c r="AE720" s="8" t="n">
        <x:f>IF(H720=1,MAX(1,MIN(INDEX(tun_Smax,G720),AE719+AD720)),AE719)</x:f>
        <x:v>9</x:v>
      </x:c>
      <x:c r="AF720" s="8" t="n">
        <x:f>MAX(0,AE720-AE719)</x:f>
        <x:v>0</x:v>
      </x:c>
      <x:c r="AG720" s="9" t="str">
        <x:f>IF(AF720&gt;0,B720,"")</x:f>
      </x:c>
      <x:c r="AH720" s="9" t="n">
        <x:f>IF(F720&gt;=1,1,(1+tun_LowTiesShare*(AE720-1))/AE720)</x:f>
        <x:v>1</x:v>
      </x:c>
      <x:c r="AI720" s="32" t="n">
        <x:f>(Z720+tun_ElderCommons*INDEX(LM_Elder,G720)*AA720)*AH720</x:f>
        <x:v>191313.6137625289</x:v>
      </x:c>
      <x:c r="AJ720" s="32" t="n">
        <x:f>H720*tun_CommonsCoef*AI720^tun_CommonsExp*INDEX(LM_Commons,G720)</x:f>
        <x:v>662939.7072363647</x:v>
      </x:c>
      <x:c r="AK720" s="32" t="n">
        <x:f>H720*tun_RoleScale*Arch_Roles*(AE720*(INDEX(tun_ElderRolePerSett,G720)*tun_OutElder*INDEX(LM_Elder,G720)+INDEX(tun_ShamanPerSett,G720)*tun_OutShaman)+Z720*(INDEX(tun_PriestShare,G720)*tun_OutPriest+INDEX(tun_ScribeShare,G720)*tun_OutScribe*INDEX(LM_Scribe,G720)+INDEX(tun_ScholarShare,G720)*tun_OutScholar*INDEX(LM_Scholar,G720)+INDEX(tun_ResearcherShare,G720)*tun_OutResearcher*INDEX(LM_Researcher,G720)))</x:f>
        <x:v>181605.4773831768</x:v>
      </x:c>
      <x:c r="AL720" s="32" t="n">
        <x:f>H720*tun_RoleScale*Arch_Roles*AE720*INDEX(tun_MonasteryPerSett,G720)*tun_OutMonastery*INDEX(LM_Monastery,G720)</x:f>
        <x:v>15.840000000000002</x:v>
      </x:c>
      <x:c r="AM720" s="32" t="n">
        <x:f>(AJ720+AK720+AL720)/4*INDEX(LM_All,G720)*INDEX(tun_Boon,G720)*Arch_Insight</x:f>
        <x:v>731366.5551205536</x:v>
      </x:c>
      <x:c r="AN720" s="32" t="n">
        <x:f>H720*(tun_KHPerAdult*Z720+tun_KHOfCommons*AJ720/4*INDEX(LM_All,G720))*tun_KHUsable*Arch_KH</x:f>
        <x:v>112623.59575995711</x:v>
      </x:c>
      <x:c r="AO720" s="32" t="n">
        <x:f>MIN(AP719+AN720,AM720*tun_KHMaxRatio)</x:f>
        <x:v>112623.59575995711</x:v>
      </x:c>
      <x:c r="AP720" s="32" t="n">
        <x:f>AP719+AN720-AO720</x:f>
        <x:v>0</x:v>
      </x:c>
      <x:c r="AQ720" s="32" t="n">
        <x:f>AM720+AO720</x:f>
        <x:v>843990.1508805107</x:v>
      </x:c>
      <x:c r="AR720" s="10" t="n">
        <x:f>IF(H720=1,INDEX(tun_Req,G720),0)</x:f>
        <x:v>125406521.7009086</x:v>
      </x:c>
      <x:c r="AS720" s="32" t="n">
        <x:f>IF(H720=1,IF(E720=1,AS719-AR719,AS719)+AQ720,0)</x:f>
        <x:v>66682098.83970101</x:v>
      </x:c>
      <x:c r="AT720" s="11" t="n">
        <x:f>IF(AR720&gt;0,MIN(1,AS720/AR720),1)</x:f>
        <x:v>0.5317275205091497</x:v>
      </x:c>
      <x:c r="AU720" s="10" t="n">
        <x:f>AB720/INDEX(tun_RepScale,G720)</x:f>
        <x:v>218.62326687686783</x:v>
      </x:c>
      <x:c r="AV720" s="32" t="n">
        <x:f>AM720*60/tun_SeasonSeconds</x:f>
        <x:v>2925466.2204822144</x:v>
      </x:c>
    </x:row>
    <x:row r="721">
      <x:c r="A721" s="8" t="n">
        <x:f>A720+1</x:f>
        <x:v>718</x:v>
      </x:c>
      <x:c r="B721" s="9" t="n">
        <x:f>A721*tun_SeasonSeconds/60</x:f>
        <x:v>179.5</x:v>
      </x:c>
      <x:c r="C721" s="9" t="n">
        <x:f>A721/4</x:f>
        <x:v>179.5</x:v>
      </x:c>
      <x:c r="D721" s="8" t="n">
        <x:f>IF(MOD(A721,4)=0,1,0)</x:f>
        <x:v>0</x:v>
      </x:c>
      <x:c r="E721" s="8" t="n">
        <x:f>IF(AND(F720&lt;=9,AS720&gt;=AR720),1,0)</x:f>
        <x:v>0</x:v>
      </x:c>
      <x:c r="F721" s="8" t="n">
        <x:f>MIN(10,F720+E721)</x:f>
        <x:v>9</x:v>
      </x:c>
      <x:c r="G721" s="8" t="n">
        <x:f>MIN(F721,9)+1</x:f>
        <x:v>10</x:v>
      </x:c>
      <x:c r="H721" s="8" t="n">
        <x:f>IF(F721&lt;=9,1,0)</x:f>
        <x:v>1</x:v>
      </x:c>
      <x:c r="I721" s="9" t="n">
        <x:f>MIN(10,F720+IF(AR720&gt;0,MIN(1,AS720/AR720),1))</x:f>
        <x:v>9.53172752050915</x:v>
      </x:c>
      <x:c r="J721" s="32" t="n">
        <x:f>INDEX(tun_FoodCap,G721)*Arch_FoodCap*EXP(tun_CapsByProject*SUMPRODUCT((Cap_Point&lt;=I721)*(Cap_Kind="Food")*Cap_Ln))</x:f>
        <x:v>17128.931901626256</x:v>
      </x:c>
      <x:c r="K721" s="32" t="n">
        <x:f>J721*MIN(1,tun_LeanBase*EXP(tun_CapsByProject*SUMPRODUCT((Cap_Point&lt;=I721)*(Cap_Kind="Lean")*Cap_Ln)))</x:f>
        <x:v>17128.931901626256</x:v>
      </x:c>
      <x:c r="L721" s="10" t="n">
        <x:f>INDEX(tun_HousingCap,G721)*EXP(tun_CapsByProject*SUMPRODUCT((Cap_Point&lt;=I721)*(Cap_Kind="Housing")*Cap_Ln))</x:f>
        <x:v>13709.342993714734</x:v>
      </x:c>
      <x:c r="M721" s="10" t="n">
        <x:f>INDEX(tun_GroupCap,G721)*tun_CohesionFactor*EXP(tun_CapsByProject*SUMPRODUCT((Cap_Point&lt;=I721)*(Cap_Kind="Group")*Cap_Ln))</x:f>
        <x:v>1000000.000000001</x:v>
      </x:c>
      <x:c r="N721" s="32" t="n">
        <x:f>MIN(J721,L721,M721)</x:f>
        <x:v>13709.342993714734</x:v>
      </x:c>
      <x:c r="O721" s="10" t="n">
        <x:f>AE720*N721</x:f>
        <x:v>123384.0869434326</x:v>
      </x:c>
      <x:c r="P721" s="9" t="n">
        <x:f>MIN(1,(AB720/(AE720*IF(tun_GroupInCrowding=1,N721,MIN(J721,L721))))^tun_CrowdingExp)</x:f>
        <x:v>0.48355223427808136</x:v>
      </x:c>
      <x:c r="Q721" s="9" t="n">
        <x:f>IF(D721=1,INDEX(tun_WinterMult,G721),1)</x:f>
        <x:v>1</x:v>
      </x:c>
      <x:c r="R721" s="9" t="n">
        <x:f>H721*Z720*tun_WomenShare*tun_BaseFertility*INDEX(tun_FertMult,G721)*Arch_Fertility*(1-P721)</x:f>
        <x:v>591.6428449282287</x:v>
      </x:c>
      <x:c r="S721" s="9" t="n">
        <x:f>H721*Y720*INDEX(tun_MortChild,G721)/4*Q721</x:f>
        <x:v>5.201137401409085</x:v>
      </x:c>
      <x:c r="T721" s="9" t="n">
        <x:f>H721*Z720*INDEX(tun_MortAdult,G721)*Arch_AdultMort/4*Q721</x:f>
        <x:v>18.883525564481197</x:v>
      </x:c>
      <x:c r="U721" s="9" t="n">
        <x:f>H721*AA720*INDEX(tun_MortElder,G721)/4*Q721</x:f>
        <x:v>241.9159435064948</x:v>
      </x:c>
      <x:c r="V721" s="9" t="n">
        <x:f>H721*MAX(0,AB720-O721)*tun_OvercapLoss</x:f>
        <x:v>0</x:v>
      </x:c>
      <x:c r="W721" s="9" t="n">
        <x:f>H721*Y720/(tun_ChildYears*4)</x:f>
        <x:v>412.78868265151465</x:v>
      </x:c>
      <x:c r="X721" s="9" t="n">
        <x:f>H721*Z720/(tun_AdultYears*4)</x:f>
        <x:v>406.0973239673375</x:v>
      </x:c>
      <x:c r="Y721" s="32" t="n">
        <x:f>Y720+R721-S721-W721-Y720*V721/AB720</x:f>
        <x:v>23289.81925336013</x:v>
      </x:c>
      <x:c r="Z721" s="32" t="n">
        <x:f>Z720+W721-X721-T721-Z720*V721/AB720</x:f>
        <x:v>50343.87600506955</x:v>
      </x:c>
      <x:c r="AA721" s="32" t="n">
        <x:f>AA720+X721-U721-AA720*V721/AB720</x:f>
        <x:v>36003.58041846008</x:v>
      </x:c>
      <x:c r="AB721" s="10" t="n">
        <x:f>Y721+Z721+AA721</x:f>
        <x:v>109637.27567688975</x:v>
      </x:c>
      <x:c r="AC721" s="8" t="n">
        <x:f>IF(AND(tun_WinterTrigger=1,D721=1,AB720/AE720&gt;=K721),1,0)</x:f>
        <x:v>0</x:v>
      </x:c>
      <x:c r="AD721" s="8" t="n">
        <x:f>H721*IF(AND(OR(AB720/AE720&gt;=tun_FissionTrigger*N721,AC721=1),AB720/AE720*tun_DaughterShare&gt;=tun_MinDaughter),MAX(1,ROUND(AE720*tun_FissionRate,0)),0)</x:f>
        <x:v>3</x:v>
      </x:c>
      <x:c r="AE721" s="8" t="n">
        <x:f>IF(H721=1,MAX(1,MIN(INDEX(tun_Smax,G721),AE720+AD721)),AE720)</x:f>
        <x:v>9</x:v>
      </x:c>
      <x:c r="AF721" s="8" t="n">
        <x:f>MAX(0,AE721-AE720)</x:f>
        <x:v>0</x:v>
      </x:c>
      <x:c r="AG721" s="9" t="str">
        <x:f>IF(AF721&gt;0,B721,"")</x:f>
      </x:c>
      <x:c r="AH721" s="9" t="n">
        <x:f>IF(F721&gt;=1,1,(1+tun_LowTiesShare*(AE721-1))/AE721)</x:f>
        <x:v>1</x:v>
      </x:c>
      <x:c r="AI721" s="32" t="n">
        <x:f>(Z721+tun_ElderCommons*INDEX(LM_Elder,G721)*AA721)*AH721</x:f>
        <x:v>191947.1524126441</x:v>
      </x:c>
      <x:c r="AJ721" s="32" t="n">
        <x:f>H721*tun_CommonsCoef*AI721^tun_CommonsExp*INDEX(LM_Commons,G721)</x:f>
        <x:v>664805.2811388101</x:v>
      </x:c>
      <x:c r="AK721" s="32" t="n">
        <x:f>H721*tun_RoleScale*Arch_Roles*(AE721*(INDEX(tun_ElderRolePerSett,G721)*tun_OutElder*INDEX(LM_Elder,G721)+INDEX(tun_ShamanPerSett,G721)*tun_OutShaman)+Z721*(INDEX(tun_PriestShare,G721)*tun_OutPriest+INDEX(tun_ScribeShare,G721)*tun_OutScribe*INDEX(LM_Scribe,G721)+INDEX(tun_ScholarShare,G721)*tun_OutScholar*INDEX(LM_Scholar,G721)+INDEX(tun_ResearcherShare,G721)*tun_OutResearcher*INDEX(LM_Researcher,G721)))</x:f>
        <x:v>181561.5676552375</x:v>
      </x:c>
      <x:c r="AL721" s="32" t="n">
        <x:f>H721*tun_RoleScale*Arch_Roles*AE721*INDEX(tun_MonasteryPerSett,G721)*tun_OutMonastery*INDEX(LM_Monastery,G721)</x:f>
        <x:v>15.840000000000002</x:v>
      </x:c>
      <x:c r="AM721" s="32" t="n">
        <x:f>(AJ721+AK721+AL721)/4*INDEX(LM_All,G721)*INDEX(tun_Boon,G721)*Arch_Insight</x:f>
        <x:v>732944.0660558885</x:v>
      </x:c>
      <x:c r="AN721" s="32" t="n">
        <x:f>H721*(tun_KHPerAdult*Z721+tun_KHOfCommons*AJ721/4*INDEX(LM_All,G721))*tun_KHUsable*Arch_KH</x:f>
        <x:v>112940.52901762127</x:v>
      </x:c>
      <x:c r="AO721" s="32" t="n">
        <x:f>MIN(AP720+AN721,AM721*tun_KHMaxRatio)</x:f>
        <x:v>112940.52901762127</x:v>
      </x:c>
      <x:c r="AP721" s="32" t="n">
        <x:f>AP720+AN721-AO721</x:f>
        <x:v>0</x:v>
      </x:c>
      <x:c r="AQ721" s="32" t="n">
        <x:f>AM721+AO721</x:f>
        <x:v>845884.5950735098</x:v>
      </x:c>
      <x:c r="AR721" s="10" t="n">
        <x:f>IF(H721=1,INDEX(tun_Req,G721),0)</x:f>
        <x:v>125406521.7009086</x:v>
      </x:c>
      <x:c r="AS721" s="32" t="n">
        <x:f>IF(H721=1,IF(E721=1,AS720-AR720,AS720)+AQ721,0)</x:f>
        <x:v>67527983.43477452</x:v>
      </x:c>
      <x:c r="AT721" s="11" t="n">
        <x:f>IF(AR721&gt;0,MIN(1,AS721/AR721),1)</x:f>
        <x:v>0.5384726609021743</x:v>
      </x:c>
      <x:c r="AU721" s="10" t="n">
        <x:f>AB721/INDEX(tun_RepScale,G721)</x:f>
        <x:v>219.27455135377951</x:v>
      </x:c>
      <x:c r="AV721" s="32" t="n">
        <x:f>AM721*60/tun_SeasonSeconds</x:f>
        <x:v>2931776.264223554</x:v>
      </x:c>
    </x:row>
    <x:row r="722">
      <x:c r="A722" s="8" t="n">
        <x:f>A721+1</x:f>
        <x:v>719</x:v>
      </x:c>
      <x:c r="B722" s="9" t="n">
        <x:f>A722*tun_SeasonSeconds/60</x:f>
        <x:v>179.75</x:v>
      </x:c>
      <x:c r="C722" s="9" t="n">
        <x:f>A722/4</x:f>
        <x:v>179.75</x:v>
      </x:c>
      <x:c r="D722" s="8" t="n">
        <x:f>IF(MOD(A722,4)=0,1,0)</x:f>
        <x:v>0</x:v>
      </x:c>
      <x:c r="E722" s="8" t="n">
        <x:f>IF(AND(F721&lt;=9,AS721&gt;=AR721),1,0)</x:f>
        <x:v>0</x:v>
      </x:c>
      <x:c r="F722" s="8" t="n">
        <x:f>MIN(10,F721+E722)</x:f>
        <x:v>9</x:v>
      </x:c>
      <x:c r="G722" s="8" t="n">
        <x:f>MIN(F722,9)+1</x:f>
        <x:v>10</x:v>
      </x:c>
      <x:c r="H722" s="8" t="n">
        <x:f>IF(F722&lt;=9,1,0)</x:f>
        <x:v>1</x:v>
      </x:c>
      <x:c r="I722" s="9" t="n">
        <x:f>MIN(10,F721+IF(AR721&gt;0,MIN(1,AS721/AR721),1))</x:f>
        <x:v>9.538472660902174</x:v>
      </x:c>
      <x:c r="J722" s="32" t="n">
        <x:f>INDEX(tun_FoodCap,G722)*Arch_FoodCap*EXP(tun_CapsByProject*SUMPRODUCT((Cap_Point&lt;=I722)*(Cap_Kind="Food")*Cap_Ln))</x:f>
        <x:v>17128.931901626256</x:v>
      </x:c>
      <x:c r="K722" s="32" t="n">
        <x:f>J722*MIN(1,tun_LeanBase*EXP(tun_CapsByProject*SUMPRODUCT((Cap_Point&lt;=I722)*(Cap_Kind="Lean")*Cap_Ln)))</x:f>
        <x:v>17128.931901626256</x:v>
      </x:c>
      <x:c r="L722" s="10" t="n">
        <x:f>INDEX(tun_HousingCap,G722)*EXP(tun_CapsByProject*SUMPRODUCT((Cap_Point&lt;=I722)*(Cap_Kind="Housing")*Cap_Ln))</x:f>
        <x:v>13709.342993714734</x:v>
      </x:c>
      <x:c r="M722" s="10" t="n">
        <x:f>INDEX(tun_GroupCap,G722)*tun_CohesionFactor*EXP(tun_CapsByProject*SUMPRODUCT((Cap_Point&lt;=I722)*(Cap_Kind="Group")*Cap_Ln))</x:f>
        <x:v>1000000.000000001</x:v>
      </x:c>
      <x:c r="N722" s="32" t="n">
        <x:f>MIN(J722,L722,M722)</x:f>
        <x:v>13709.342993714734</x:v>
      </x:c>
      <x:c r="O722" s="10" t="n">
        <x:f>AE721*N722</x:f>
        <x:v>123384.0869434326</x:v>
      </x:c>
      <x:c r="P722" s="9" t="n">
        <x:f>MIN(1,(AB721/(AE721*IF(tun_GroupInCrowding=1,N722,MIN(J722,L722))))^tun_CrowdingExp)</x:f>
        <x:v>0.4922599496463095</x:v>
      </x:c>
      <x:c r="Q722" s="9" t="n">
        <x:f>IF(D722=1,INDEX(tun_WinterMult,G722),1)</x:f>
        <x:v>1</x:v>
      </x:c>
      <x:c r="R722" s="9" t="n">
        <x:f>H722*Z721*tun_WomenShare*tun_BaseFertility*INDEX(tun_FertMult,G722)*Arch_Fertility*(1-P722)</x:f>
        <x:v>581.5264486352677</x:v>
      </x:c>
      <x:c r="S722" s="9" t="n">
        <x:f>H722*Y721*INDEX(tun_MortChild,G722)/4*Q722</x:f>
        <x:v>5.240209332006029</x:v>
      </x:c>
      <x:c r="T722" s="9" t="n">
        <x:f>H722*Z721*INDEX(tun_MortAdult,G722)*Arch_AdultMort/4*Q722</x:f>
        <x:v>18.87895350190108</x:v>
      </x:c>
      <x:c r="U722" s="9" t="n">
        <x:f>H722*AA721*INDEX(tun_MortElder,G722)/4*Q722</x:f>
        <x:v>243.0241678246055</x:v>
      </x:c>
      <x:c r="V722" s="9" t="n">
        <x:f>H722*MAX(0,AB721-O722)*tun_OvercapLoss</x:f>
        <x:v>0</x:v>
      </x:c>
      <x:c r="W722" s="9" t="n">
        <x:f>H722*Y721/(tun_ChildYears*4)</x:f>
        <x:v>415.889629524288</x:v>
      </x:c>
      <x:c r="X722" s="9" t="n">
        <x:f>H722*Z721/(tun_AdultYears*4)</x:f>
        <x:v>405.99900004088346</x:v>
      </x:c>
      <x:c r="Y722" s="32" t="n">
        <x:f>Y721+R722-S722-W722-Y721*V722/AB721</x:f>
        <x:v>23450.215863139103</x:v>
      </x:c>
      <x:c r="Z722" s="32" t="n">
        <x:f>Z721+W722-X722-T722-Z721*V722/AB721</x:f>
        <x:v>50334.88768105105</x:v>
      </x:c>
      <x:c r="AA722" s="32" t="n">
        <x:f>AA721+X722-U722-AA721*V722/AB721</x:f>
        <x:v>36166.55525067636</x:v>
      </x:c>
      <x:c r="AB722" s="10" t="n">
        <x:f>Y722+Z722+AA722</x:f>
        <x:v>109951.65879486651</x:v>
      </x:c>
      <x:c r="AC722" s="8" t="n">
        <x:f>IF(AND(tun_WinterTrigger=1,D722=1,AB721/AE721&gt;=K722),1,0)</x:f>
        <x:v>0</x:v>
      </x:c>
      <x:c r="AD722" s="8" t="n">
        <x:f>H722*IF(AND(OR(AB721/AE721&gt;=tun_FissionTrigger*N722,AC722=1),AB721/AE721*tun_DaughterShare&gt;=tun_MinDaughter),MAX(1,ROUND(AE721*tun_FissionRate,0)),0)</x:f>
        <x:v>3</x:v>
      </x:c>
      <x:c r="AE722" s="8" t="n">
        <x:f>IF(H722=1,MAX(1,MIN(INDEX(tun_Smax,G722),AE721+AD722)),AE721)</x:f>
        <x:v>9</x:v>
      </x:c>
      <x:c r="AF722" s="8" t="n">
        <x:f>MAX(0,AE722-AE721)</x:f>
        <x:v>0</x:v>
      </x:c>
      <x:c r="AG722" s="9" t="str">
        <x:f>IF(AF722&gt;0,B722,"")</x:f>
      </x:c>
      <x:c r="AH722" s="9" t="n">
        <x:f>IF(F722&gt;=1,1,(1+tun_LowTiesShare*(AE722-1))/AE722)</x:f>
        <x:v>1</x:v>
      </x:c>
      <x:c r="AI722" s="32" t="n">
        <x:f>(Z722+tun_ElderCommons*INDEX(LM_Elder,G722)*AA722)*AH722</x:f>
        <x:v>192579.14951134112</x:v>
      </x:c>
      <x:c r="AJ722" s="32" t="n">
        <x:f>H722*tun_CommonsCoef*AI722^tun_CommonsExp*INDEX(LM_Commons,G722)</x:f>
        <x:v>666665.3956203202</x:v>
      </x:c>
      <x:c r="AK722" s="32" t="n">
        <x:f>H722*tun_RoleScale*Arch_Roles*(AE722*(INDEX(tun_ElderRolePerSett,G722)*tun_OutElder*INDEX(LM_Elder,G722)+INDEX(tun_ShamanPerSett,G722)*tun_OutShaman)+Z722*(INDEX(tun_PriestShare,G722)*tun_OutPriest+INDEX(tun_ScribeShare,G722)*tun_OutScribe*INDEX(LM_Scribe,G722)+INDEX(tun_ScholarShare,G722)*tun_OutScholar*INDEX(LM_Scholar,G722)+INDEX(tun_ResearcherShare,G722)*tun_OutResearcher*INDEX(LM_Researcher,G722)))</x:f>
        <x:v>181529.1964724808</x:v>
      </x:c>
      <x:c r="AL722" s="32" t="n">
        <x:f>H722*tun_RoleScale*Arch_Roles*AE722*INDEX(tun_MonasteryPerSett,G722)*tun_OutMonastery*INDEX(LM_Monastery,G722)</x:f>
        <x:v>15.840000000000002</x:v>
      </x:c>
      <x:c r="AM722" s="32" t="n">
        <x:f>(AJ722+AK722+AL722)/4*INDEX(LM_All,G722)*INDEX(tun_Boon,G722)*Arch_Insight</x:f>
        <x:v>734526.8413451653</x:v>
      </x:c>
      <x:c r="AN722" s="32" t="n">
        <x:f>H722*(tun_KHPerAdult*Z722+tun_KHOfCommons*AJ722/4*INDEX(LM_All,G722))*tun_KHUsable*Arch_KH</x:f>
        <x:v>113256.5348008714</x:v>
      </x:c>
      <x:c r="AO722" s="32" t="n">
        <x:f>MIN(AP721+AN722,AM722*tun_KHMaxRatio)</x:f>
        <x:v>113256.5348008714</x:v>
      </x:c>
      <x:c r="AP722" s="32" t="n">
        <x:f>AP721+AN722-AO722</x:f>
        <x:v>0</x:v>
      </x:c>
      <x:c r="AQ722" s="32" t="n">
        <x:f>AM722+AO722</x:f>
        <x:v>847783.3761460367</x:v>
      </x:c>
      <x:c r="AR722" s="10" t="n">
        <x:f>IF(H722=1,INDEX(tun_Req,G722),0)</x:f>
        <x:v>125406521.7009086</x:v>
      </x:c>
      <x:c r="AS722" s="32" t="n">
        <x:f>IF(H722=1,IF(E722=1,AS721-AR721,AS721)+AQ722,0)</x:f>
        <x:v>68375766.81092055</x:v>
      </x:c>
      <x:c r="AT722" s="11" t="n">
        <x:f>IF(AR722&gt;0,MIN(1,AS722/AR722),1)</x:f>
        <x:v>0.5452329423025944</x:v>
      </x:c>
      <x:c r="AU722" s="10" t="n">
        <x:f>AB722/INDEX(tun_RepScale,G722)</x:f>
        <x:v>219.90331758973304</x:v>
      </x:c>
      <x:c r="AV722" s="32" t="n">
        <x:f>AM722*60/tun_SeasonSeconds</x:f>
        <x:v>2938107.365380661</x:v>
      </x:c>
    </x:row>
    <x:row r="723">
      <x:c r="A723" s="8" t="n">
        <x:f>A722+1</x:f>
        <x:v>720</x:v>
      </x:c>
      <x:c r="B723" s="9" t="n">
        <x:f>A723*tun_SeasonSeconds/60</x:f>
        <x:v>180</x:v>
      </x:c>
      <x:c r="C723" s="9" t="n">
        <x:f>A723/4</x:f>
        <x:v>180</x:v>
      </x:c>
      <x:c r="D723" s="8" t="n">
        <x:f>IF(MOD(A723,4)=0,1,0)</x:f>
        <x:v>1</x:v>
      </x:c>
      <x:c r="E723" s="8" t="n">
        <x:f>IF(AND(F722&lt;=9,AS722&gt;=AR722),1,0)</x:f>
        <x:v>0</x:v>
      </x:c>
      <x:c r="F723" s="8" t="n">
        <x:f>MIN(10,F722+E723)</x:f>
        <x:v>9</x:v>
      </x:c>
      <x:c r="G723" s="8" t="n">
        <x:f>MIN(F723,9)+1</x:f>
        <x:v>10</x:v>
      </x:c>
      <x:c r="H723" s="8" t="n">
        <x:f>IF(F723&lt;=9,1,0)</x:f>
        <x:v>1</x:v>
      </x:c>
      <x:c r="I723" s="9" t="n">
        <x:f>MIN(10,F722+IF(AR722&gt;0,MIN(1,AS722/AR722),1))</x:f>
        <x:v>9.545232942302594</x:v>
      </x:c>
      <x:c r="J723" s="32" t="n">
        <x:f>INDEX(tun_FoodCap,G723)*Arch_FoodCap*EXP(tun_CapsByProject*SUMPRODUCT((Cap_Point&lt;=I723)*(Cap_Kind="Food")*Cap_Ln))</x:f>
        <x:v>17128.931901626256</x:v>
      </x:c>
      <x:c r="K723" s="32" t="n">
        <x:f>J723*MIN(1,tun_LeanBase*EXP(tun_CapsByProject*SUMPRODUCT((Cap_Point&lt;=I723)*(Cap_Kind="Lean")*Cap_Ln)))</x:f>
        <x:v>17128.931901626256</x:v>
      </x:c>
      <x:c r="L723" s="10" t="n">
        <x:f>INDEX(tun_HousingCap,G723)*EXP(tun_CapsByProject*SUMPRODUCT((Cap_Point&lt;=I723)*(Cap_Kind="Housing")*Cap_Ln))</x:f>
        <x:v>13709.342993714734</x:v>
      </x:c>
      <x:c r="M723" s="10" t="n">
        <x:f>INDEX(tun_GroupCap,G723)*tun_CohesionFactor*EXP(tun_CapsByProject*SUMPRODUCT((Cap_Point&lt;=I723)*(Cap_Kind="Group")*Cap_Ln))</x:f>
        <x:v>1000000.000000001</x:v>
      </x:c>
      <x:c r="N723" s="32" t="n">
        <x:f>MIN(J723,L723,M723)</x:f>
        <x:v>13709.342993714734</x:v>
      </x:c>
      <x:c r="O723" s="10" t="n">
        <x:f>AE722*N723</x:f>
        <x:v>123384.0869434326</x:v>
      </x:c>
      <x:c r="P723" s="9" t="n">
        <x:f>MIN(1,(AB722/(AE722*IF(tun_GroupInCrowding=1,N723,MIN(J723,L723))))^tun_CrowdingExp)</x:f>
        <x:v>0.5007901808675291</x:v>
      </x:c>
      <x:c r="Q723" s="9" t="n">
        <x:f>IF(D723=1,INDEX(tun_WinterMult,G723),1)</x:f>
        <x:v>1.05</x:v>
      </x:c>
      <x:c r="R723" s="9" t="n">
        <x:f>H723*Z722*tun_WomenShare*tun_BaseFertility*INDEX(tun_FertMult,G723)*Arch_Fertility*(1-P723)</x:f>
        <x:v>571.6544964883191</x:v>
      </x:c>
      <x:c r="S723" s="9" t="n">
        <x:f>H723*Y722*INDEX(tun_MortChild,G723)/4*Q723</x:f>
        <x:v>5.540113497666613</x:v>
      </x:c>
      <x:c r="T723" s="9" t="n">
        <x:f>H723*Z722*INDEX(tun_MortAdult,G723)*Arch_AdultMort/4*Q723</x:f>
        <x:v>19.819362024413852</x:v>
      </x:c>
      <x:c r="U723" s="9" t="n">
        <x:f>H723*AA722*INDEX(tun_MortElder,G723)/4*Q723</x:f>
        <x:v>256.3304603391687</x:v>
      </x:c>
      <x:c r="V723" s="9" t="n">
        <x:f>H723*MAX(0,AB722-O723)*tun_OvercapLoss</x:f>
        <x:v>0</x:v>
      </x:c>
      <x:c r="W723" s="9" t="n">
        <x:f>H723*Y722/(tun_ChildYears*4)</x:f>
        <x:v>418.75385469891256</x:v>
      </x:c>
      <x:c r="X723" s="9" t="n">
        <x:f>H723*Z722/(tun_AdultYears*4)</x:f>
        <x:v>405.9265135568633</x:v>
      </x:c>
      <x:c r="Y723" s="32" t="n">
        <x:f>Y722+R723-S723-W723-Y722*V723/AB722</x:f>
        <x:v>23597.57639143084</x:v>
      </x:c>
      <x:c r="Z723" s="32" t="n">
        <x:f>Z722+W723-X723-T723-Z722*V723/AB722</x:f>
        <x:v>50327.89566016868</x:v>
      </x:c>
      <x:c r="AA723" s="32" t="n">
        <x:f>AA722+X723-U723-AA722*V723/AB722</x:f>
        <x:v>36316.15130389406</x:v>
      </x:c>
      <x:c r="AB723" s="10" t="n">
        <x:f>Y723+Z723+AA723</x:f>
        <x:v>110241.62335549359</x:v>
      </x:c>
      <x:c r="AC723" s="8" t="n">
        <x:f>IF(AND(tun_WinterTrigger=1,D723=1,AB722/AE722&gt;=K723),1,0)</x:f>
        <x:v>0</x:v>
      </x:c>
      <x:c r="AD723" s="8" t="n">
        <x:f>H723*IF(AND(OR(AB722/AE722&gt;=tun_FissionTrigger*N723,AC723=1),AB722/AE722*tun_DaughterShare&gt;=tun_MinDaughter),MAX(1,ROUND(AE722*tun_FissionRate,0)),0)</x:f>
        <x:v>3</x:v>
      </x:c>
      <x:c r="AE723" s="8" t="n">
        <x:f>IF(H723=1,MAX(1,MIN(INDEX(tun_Smax,G723),AE722+AD723)),AE722)</x:f>
        <x:v>9</x:v>
      </x:c>
      <x:c r="AF723" s="8" t="n">
        <x:f>MAX(0,AE723-AE722)</x:f>
        <x:v>0</x:v>
      </x:c>
      <x:c r="AG723" s="9" t="str">
        <x:f>IF(AF723&gt;0,B723,"")</x:f>
      </x:c>
      <x:c r="AH723" s="9" t="n">
        <x:f>IF(F723&gt;=1,1,(1+tun_LowTiesShare*(AE723-1))/AE723)</x:f>
        <x:v>1</x:v>
      </x:c>
      <x:c r="AI723" s="32" t="n">
        <x:f>(Z723+tun_ElderCommons*INDEX(LM_Elder,G723)*AA723)*AH723</x:f>
        <x:v>193160.5237314565</x:v>
      </x:c>
      <x:c r="AJ723" s="32" t="n">
        <x:f>H723*tun_CommonsCoef*AI723^tun_CommonsExp*INDEX(LM_Commons,G723)</x:f>
        <x:v>668375.7067242297</x:v>
      </x:c>
      <x:c r="AK723" s="32" t="n">
        <x:f>H723*tun_RoleScale*Arch_Roles*(AE723*(INDEX(tun_ElderRolePerSett,G723)*tun_OutElder*INDEX(LM_Elder,G723)+INDEX(tun_ShamanPerSett,G723)*tun_OutShaman)+Z723*(INDEX(tun_PriestShare,G723)*tun_OutPriest+INDEX(tun_ScribeShare,G723)*tun_OutScribe*INDEX(LM_Scribe,G723)+INDEX(tun_ScholarShare,G723)*tun_OutScholar*INDEX(LM_Scholar,G723)+INDEX(tun_ResearcherShare,G723)*tun_OutResearcher*INDEX(LM_Researcher,G723)))</x:f>
        <x:v>181504.01491634687</x:v>
      </x:c>
      <x:c r="AL723" s="32" t="n">
        <x:f>H723*tun_RoleScale*Arch_Roles*AE723*INDEX(tun_MonasteryPerSett,G723)*tun_OutMonastery*INDEX(LM_Monastery,G723)</x:f>
        <x:v>15.840000000000002</x:v>
      </x:c>
      <x:c r="AM723" s="32" t="n">
        <x:f>(AJ723+AK723+AL723)/4*INDEX(LM_All,G723)*INDEX(tun_Boon,G723)*Arch_Insight</x:f>
        <x:v>735986.1170592485</x:v>
      </x:c>
      <x:c r="AN723" s="32" t="n">
        <x:f>H723*(tun_KHPerAdult*Z723+tun_KHOfCommons*AJ723/4*INDEX(LM_All,G723))*tun_KHUsable*Arch_KH</x:f>
        <x:v>113547.09121842778</x:v>
      </x:c>
      <x:c r="AO723" s="32" t="n">
        <x:f>MIN(AP722+AN723,AM723*tun_KHMaxRatio)</x:f>
        <x:v>113547.09121842778</x:v>
      </x:c>
      <x:c r="AP723" s="32" t="n">
        <x:f>AP722+AN723-AO723</x:f>
        <x:v>0</x:v>
      </x:c>
      <x:c r="AQ723" s="32" t="n">
        <x:f>AM723+AO723</x:f>
        <x:v>849533.2082776763</x:v>
      </x:c>
      <x:c r="AR723" s="10" t="n">
        <x:f>IF(H723=1,INDEX(tun_Req,G723),0)</x:f>
        <x:v>125406521.7009086</x:v>
      </x:c>
      <x:c r="AS723" s="32" t="n">
        <x:f>IF(H723=1,IF(E723=1,AS722-AR722,AS722)+AQ723,0)</x:f>
        <x:v>69225300.01919822</x:v>
      </x:c>
      <x:c r="AT723" s="11" t="n">
        <x:f>IF(AR723&gt;0,MIN(1,AS723/AR723),1)</x:f>
        <x:v>0.5520071769815833</x:v>
      </x:c>
      <x:c r="AU723" s="10" t="n">
        <x:f>AB723/INDEX(tun_RepScale,G723)</x:f>
        <x:v>220.48324671098717</x:v>
      </x:c>
      <x:c r="AV723" s="32" t="n">
        <x:f>AM723*60/tun_SeasonSeconds</x:f>
        <x:v>2943944.4682369935</x:v>
      </x:c>
    </x:row>
    <x:row r="724">
      <x:c r="A724" s="8" t="n">
        <x:f>A723+1</x:f>
        <x:v>721</x:v>
      </x:c>
      <x:c r="B724" s="9" t="n">
        <x:f>A724*tun_SeasonSeconds/60</x:f>
        <x:v>180.25</x:v>
      </x:c>
      <x:c r="C724" s="9" t="n">
        <x:f>A724/4</x:f>
        <x:v>180.25</x:v>
      </x:c>
      <x:c r="D724" s="8" t="n">
        <x:f>IF(MOD(A724,4)=0,1,0)</x:f>
        <x:v>0</x:v>
      </x:c>
      <x:c r="E724" s="8" t="n">
        <x:f>IF(AND(F723&lt;=9,AS723&gt;=AR723),1,0)</x:f>
        <x:v>0</x:v>
      </x:c>
      <x:c r="F724" s="8" t="n">
        <x:f>MIN(10,F723+E724)</x:f>
        <x:v>9</x:v>
      </x:c>
      <x:c r="G724" s="8" t="n">
        <x:f>MIN(F724,9)+1</x:f>
        <x:v>10</x:v>
      </x:c>
      <x:c r="H724" s="8" t="n">
        <x:f>IF(F724&lt;=9,1,0)</x:f>
        <x:v>1</x:v>
      </x:c>
      <x:c r="I724" s="9" t="n">
        <x:f>MIN(10,F723+IF(AR723&gt;0,MIN(1,AS723/AR723),1))</x:f>
        <x:v>9.552007176981583</x:v>
      </x:c>
      <x:c r="J724" s="32" t="n">
        <x:f>INDEX(tun_FoodCap,G724)*Arch_FoodCap*EXP(tun_CapsByProject*SUMPRODUCT((Cap_Point&lt;=I724)*(Cap_Kind="Food")*Cap_Ln))</x:f>
        <x:v>17128.931901626256</x:v>
      </x:c>
      <x:c r="K724" s="32" t="n">
        <x:f>J724*MIN(1,tun_LeanBase*EXP(tun_CapsByProject*SUMPRODUCT((Cap_Point&lt;=I724)*(Cap_Kind="Lean")*Cap_Ln)))</x:f>
        <x:v>17128.931901626256</x:v>
      </x:c>
      <x:c r="L724" s="10" t="n">
        <x:f>INDEX(tun_HousingCap,G724)*EXP(tun_CapsByProject*SUMPRODUCT((Cap_Point&lt;=I724)*(Cap_Kind="Housing")*Cap_Ln))</x:f>
        <x:v>13709.342993714734</x:v>
      </x:c>
      <x:c r="M724" s="10" t="n">
        <x:f>INDEX(tun_GroupCap,G724)*tun_CohesionFactor*EXP(tun_CapsByProject*SUMPRODUCT((Cap_Point&lt;=I724)*(Cap_Kind="Group")*Cap_Ln))</x:f>
        <x:v>1000000.000000001</x:v>
      </x:c>
      <x:c r="N724" s="32" t="n">
        <x:f>MIN(J724,L724,M724)</x:f>
        <x:v>13709.342993714734</x:v>
      </x:c>
      <x:c r="O724" s="10" t="n">
        <x:f>AE723*N724</x:f>
        <x:v>123384.0869434326</x:v>
      </x:c>
      <x:c r="P724" s="9" t="n">
        <x:f>MIN(1,(AB723/(AE723*IF(tun_GroupInCrowding=1,N724,MIN(J724,L724))))^tun_CrowdingExp)</x:f>
        <x:v>0.5087667130111829</x:v>
      </x:c>
      <x:c r="Q724" s="9" t="n">
        <x:f>IF(D724=1,INDEX(tun_WinterMult,G724),1)</x:f>
        <x:v>1</x:v>
      </x:c>
      <x:c r="R724" s="9" t="n">
        <x:f>H724*Z723*tun_WomenShare*tun_BaseFertility*INDEX(tun_FertMult,G724)*Arch_Fertility*(1-P724)</x:f>
        <x:v>562.4422806815286</x:v>
      </x:c>
      <x:c r="S724" s="9" t="n">
        <x:f>H724*Y723*INDEX(tun_MortChild,G724)/4*Q724</x:f>
        <x:v>5.309454688071939</x:v>
      </x:c>
      <x:c r="T724" s="9" t="n">
        <x:f>H724*Z723*INDEX(tun_MortAdult,G724)*Arch_AdultMort/4*Q724</x:f>
        <x:v>18.872960872563254</x:v>
      </x:c>
      <x:c r="U724" s="9" t="n">
        <x:f>H724*AA723*INDEX(tun_MortElder,G724)/4*Q724</x:f>
        <x:v>245.13402130128492</x:v>
      </x:c>
      <x:c r="V724" s="9" t="n">
        <x:f>H724*MAX(0,AB723-O724)*tun_OvercapLoss</x:f>
        <x:v>0</x:v>
      </x:c>
      <x:c r="W724" s="9" t="n">
        <x:f>H724*Y723/(tun_ChildYears*4)</x:f>
        <x:v>421.38529270412215</x:v>
      </x:c>
      <x:c r="X724" s="9" t="n">
        <x:f>H724*Z723/(tun_AdultYears*4)</x:f>
        <x:v>405.8701262916829</x:v>
      </x:c>
      <x:c r="Y724" s="32" t="n">
        <x:f>Y723+R724-S724-W724-Y723*V724/AB723</x:f>
        <x:v>23733.323924720175</x:v>
      </x:c>
      <x:c r="Z724" s="32" t="n">
        <x:f>Z723+W724-X724-T724-Z723*V724/AB723</x:f>
        <x:v>50324.53786570856</x:v>
      </x:c>
      <x:c r="AA724" s="32" t="n">
        <x:f>AA723+X724-U724-AA723*V724/AB723</x:f>
        <x:v>36476.88740888445</x:v>
      </x:c>
      <x:c r="AB724" s="10" t="n">
        <x:f>Y724+Z724+AA724</x:f>
        <x:v>110534.7491993132</x:v>
      </x:c>
      <x:c r="AC724" s="8" t="n">
        <x:f>IF(AND(tun_WinterTrigger=1,D724=1,AB723/AE723&gt;=K724),1,0)</x:f>
        <x:v>0</x:v>
      </x:c>
      <x:c r="AD724" s="8" t="n">
        <x:f>H724*IF(AND(OR(AB723/AE723&gt;=tun_FissionTrigger*N724,AC724=1),AB723/AE723*tun_DaughterShare&gt;=tun_MinDaughter),MAX(1,ROUND(AE723*tun_FissionRate,0)),0)</x:f>
        <x:v>3</x:v>
      </x:c>
      <x:c r="AE724" s="8" t="n">
        <x:f>IF(H724=1,MAX(1,MIN(INDEX(tun_Smax,G724),AE723+AD724)),AE723)</x:f>
        <x:v>9</x:v>
      </x:c>
      <x:c r="AF724" s="8" t="n">
        <x:f>MAX(0,AE724-AE723)</x:f>
        <x:v>0</x:v>
      </x:c>
      <x:c r="AG724" s="9" t="str">
        <x:f>IF(AF724&gt;0,B724,"")</x:f>
      </x:c>
      <x:c r="AH724" s="9" t="n">
        <x:f>IF(F724&gt;=1,1,(1+tun_LowTiesShare*(AE724-1))/AE724)</x:f>
        <x:v>1</x:v>
      </x:c>
      <x:c r="AI724" s="32" t="n">
        <x:f>(Z724+tun_ElderCommons*INDEX(LM_Elder,G724)*AA724)*AH724</x:f>
        <x:v>193789.34637125008</x:v>
      </x:c>
      <x:c r="AJ724" s="32" t="n">
        <x:f>H724*tun_CommonsCoef*AI724^tun_CommonsExp*INDEX(LM_Commons,G724)</x:f>
        <x:v>670224.7346054438</x:v>
      </x:c>
      <x:c r="AK724" s="32" t="n">
        <x:f>H724*tun_RoleScale*Arch_Roles*(AE724*(INDEX(tun_ElderRolePerSett,G724)*tun_OutElder*INDEX(LM_Elder,G724)+INDEX(tun_ShamanPerSett,G724)*tun_OutShaman)+Z724*(INDEX(tun_PriestShare,G724)*tun_OutPriest+INDEX(tun_ScribeShare,G724)*tun_OutScribe*INDEX(LM_Scribe,G724)+INDEX(tun_ScholarShare,G724)*tun_OutScholar*INDEX(LM_Scholar,G724)+INDEX(tun_ResearcherShare,G724)*tun_OutResearcher*INDEX(LM_Researcher,G724)))</x:f>
        <x:v>181491.92191904236</x:v>
      </x:c>
      <x:c r="AL724" s="32" t="n">
        <x:f>H724*tun_RoleScale*Arch_Roles*AE724*INDEX(tun_MonasteryPerSett,G724)*tun_OutMonastery*INDEX(LM_Monastery,G724)</x:f>
        <x:v>15.840000000000002</x:v>
      </x:c>
      <x:c r="AM724" s="32" t="n">
        <x:f>(AJ724+AK724+AL724)/4*INDEX(LM_All,G724)*INDEX(tun_Boon,G724)*Arch_Insight</x:f>
        <x:v>737576.852007775</x:v>
      </x:c>
      <x:c r="AN724" s="32" t="n">
        <x:f>H724*(tun_KHPerAdult*Z724+tun_KHOfCommons*AJ724/4*INDEX(LM_All,G724))*tun_KHUsable*Arch_KH</x:f>
        <x:v>113861.21355318859</x:v>
      </x:c>
      <x:c r="AO724" s="32" t="n">
        <x:f>MIN(AP723+AN724,AM724*tun_KHMaxRatio)</x:f>
        <x:v>113861.21355318859</x:v>
      </x:c>
      <x:c r="AP724" s="32" t="n">
        <x:f>AP723+AN724-AO724</x:f>
        <x:v>0</x:v>
      </x:c>
      <x:c r="AQ724" s="32" t="n">
        <x:f>AM724+AO724</x:f>
        <x:v>851438.0655609636</x:v>
      </x:c>
      <x:c r="AR724" s="10" t="n">
        <x:f>IF(H724=1,INDEX(tun_Req,G724),0)</x:f>
        <x:v>125406521.7009086</x:v>
      </x:c>
      <x:c r="AS724" s="32" t="n">
        <x:f>IF(H724=1,IF(E724=1,AS723-AR723,AS723)+AQ724,0)</x:f>
        <x:v>70076738.08475919</x:v>
      </x:c>
      <x:c r="AT724" s="11" t="n">
        <x:f>IF(AR724&gt;0,MIN(1,AS724/AR724),1)</x:f>
        <x:v>0.5587966011200793</x:v>
      </x:c>
      <x:c r="AU724" s="10" t="n">
        <x:f>AB724/INDEX(tun_RepScale,G724)</x:f>
        <x:v>221.0694983986264</x:v>
      </x:c>
      <x:c r="AV724" s="32" t="n">
        <x:f>AM724*60/tun_SeasonSeconds</x:f>
        <x:v>2950307.4080311</x:v>
      </x:c>
    </x:row>
    <x:row r="725">
      <x:c r="A725" s="8" t="n">
        <x:f>A724+1</x:f>
        <x:v>722</x:v>
      </x:c>
      <x:c r="B725" s="9" t="n">
        <x:f>A725*tun_SeasonSeconds/60</x:f>
        <x:v>180.5</x:v>
      </x:c>
      <x:c r="C725" s="9" t="n">
        <x:f>A725/4</x:f>
        <x:v>180.5</x:v>
      </x:c>
      <x:c r="D725" s="8" t="n">
        <x:f>IF(MOD(A725,4)=0,1,0)</x:f>
        <x:v>0</x:v>
      </x:c>
      <x:c r="E725" s="8" t="n">
        <x:f>IF(AND(F724&lt;=9,AS724&gt;=AR724),1,0)</x:f>
        <x:v>0</x:v>
      </x:c>
      <x:c r="F725" s="8" t="n">
        <x:f>MIN(10,F724+E725)</x:f>
        <x:v>9</x:v>
      </x:c>
      <x:c r="G725" s="8" t="n">
        <x:f>MIN(F725,9)+1</x:f>
        <x:v>10</x:v>
      </x:c>
      <x:c r="H725" s="8" t="n">
        <x:f>IF(F725&lt;=9,1,0)</x:f>
        <x:v>1</x:v>
      </x:c>
      <x:c r="I725" s="9" t="n">
        <x:f>MIN(10,F724+IF(AR724&gt;0,MIN(1,AS724/AR724),1))</x:f>
        <x:v>9.55879660112008</x:v>
      </x:c>
      <x:c r="J725" s="32" t="n">
        <x:f>INDEX(tun_FoodCap,G725)*Arch_FoodCap*EXP(tun_CapsByProject*SUMPRODUCT((Cap_Point&lt;=I725)*(Cap_Kind="Food")*Cap_Ln))</x:f>
        <x:v>17128.931901626256</x:v>
      </x:c>
      <x:c r="K725" s="32" t="n">
        <x:f>J725*MIN(1,tun_LeanBase*EXP(tun_CapsByProject*SUMPRODUCT((Cap_Point&lt;=I725)*(Cap_Kind="Lean")*Cap_Ln)))</x:f>
        <x:v>17128.931901626256</x:v>
      </x:c>
      <x:c r="L725" s="10" t="n">
        <x:f>INDEX(tun_HousingCap,G725)*EXP(tun_CapsByProject*SUMPRODUCT((Cap_Point&lt;=I725)*(Cap_Kind="Housing")*Cap_Ln))</x:f>
        <x:v>13709.342993714734</x:v>
      </x:c>
      <x:c r="M725" s="10" t="n">
        <x:f>INDEX(tun_GroupCap,G725)*tun_CohesionFactor*EXP(tun_CapsByProject*SUMPRODUCT((Cap_Point&lt;=I725)*(Cap_Kind="Group")*Cap_Ln))</x:f>
        <x:v>1000000.000000001</x:v>
      </x:c>
      <x:c r="N725" s="32" t="n">
        <x:f>MIN(J725,L725,M725)</x:f>
        <x:v>13709.342993714734</x:v>
      </x:c>
      <x:c r="O725" s="10" t="n">
        <x:f>AE724*N725</x:f>
        <x:v>123384.0869434326</x:v>
      </x:c>
      <x:c r="P725" s="9" t="n">
        <x:f>MIN(1,(AB724/(AE724*IF(tun_GroupInCrowding=1,N725,MIN(J725,L725))))^tun_CrowdingExp)</x:f>
        <x:v>0.5169375395675467</x:v>
      </x:c>
      <x:c r="Q725" s="9" t="n">
        <x:f>IF(D725=1,INDEX(tun_WinterMult,G725),1)</x:f>
        <x:v>1</x:v>
      </x:c>
      <x:c r="R725" s="9" t="n">
        <x:f>H725*Z724*tun_WomenShare*tun_BaseFertility*INDEX(tun_FertMult,G725)*Arch_Fertility*(1-P725)</x:f>
        <x:v>553.0501131049289</x:v>
      </x:c>
      <x:c r="S725" s="9" t="n">
        <x:f>H725*Y724*INDEX(tun_MortChild,G725)/4*Q725</x:f>
        <x:v>5.339997883062039</x:v>
      </x:c>
      <x:c r="T725" s="9" t="n">
        <x:f>H725*Z724*INDEX(tun_MortAdult,G725)*Arch_AdultMort/4*Q725</x:f>
        <x:v>18.87170169964071</x:v>
      </x:c>
      <x:c r="U725" s="9" t="n">
        <x:f>H725*AA724*INDEX(tun_MortElder,G725)/4*Q725</x:f>
        <x:v>246.21899000997004</x:v>
      </x:c>
      <x:c r="V725" s="9" t="n">
        <x:f>H725*MAX(0,AB724-O725)*tun_OvercapLoss</x:f>
        <x:v>0</x:v>
      </x:c>
      <x:c r="W725" s="9" t="n">
        <x:f>H725*Y724/(tun_ChildYears*4)</x:f>
        <x:v>423.80935579857453</x:v>
      </x:c>
      <x:c r="X725" s="9" t="n">
        <x:f>H725*Z724/(tun_AdultYears*4)</x:f>
        <x:v>405.8430473041013</x:v>
      </x:c>
      <x:c r="Y725" s="32" t="n">
        <x:f>Y724+R725-S725-W725-Y724*V725/AB724</x:f>
        <x:v>23857.224684143468</x:v>
      </x:c>
      <x:c r="Z725" s="32" t="n">
        <x:f>Z724+W725-X725-T725-Z724*V725/AB724</x:f>
        <x:v>50323.6324725034</x:v>
      </x:c>
      <x:c r="AA725" s="32" t="n">
        <x:f>AA724+X725-U725-AA724*V725/AB724</x:f>
        <x:v>36636.511466178585</x:v>
      </x:c>
      <x:c r="AB725" s="10" t="n">
        <x:f>Y725+Z725+AA725</x:f>
        <x:v>110817.36862282545</x:v>
      </x:c>
      <x:c r="AC725" s="8" t="n">
        <x:f>IF(AND(tun_WinterTrigger=1,D725=1,AB724/AE724&gt;=K725),1,0)</x:f>
        <x:v>0</x:v>
      </x:c>
      <x:c r="AD725" s="8" t="n">
        <x:f>H725*IF(AND(OR(AB724/AE724&gt;=tun_FissionTrigger*N725,AC725=1),AB724/AE724*tun_DaughterShare&gt;=tun_MinDaughter),MAX(1,ROUND(AE724*tun_FissionRate,0)),0)</x:f>
        <x:v>3</x:v>
      </x:c>
      <x:c r="AE725" s="8" t="n">
        <x:f>IF(H725=1,MAX(1,MIN(INDEX(tun_Smax,G725),AE724+AD725)),AE724)</x:f>
        <x:v>9</x:v>
      </x:c>
      <x:c r="AF725" s="8" t="n">
        <x:f>MAX(0,AE725-AE724)</x:f>
        <x:v>0</x:v>
      </x:c>
      <x:c r="AG725" s="9" t="str">
        <x:f>IF(AF725&gt;0,B725,"")</x:f>
      </x:c>
      <x:c r="AH725" s="9" t="n">
        <x:f>IF(F725&gt;=1,1,(1+tun_LowTiesShare*(AE725-1))/AE725)</x:f>
        <x:v>1</x:v>
      </x:c>
      <x:c r="AI725" s="32" t="n">
        <x:f>(Z725+tun_ElderCommons*INDEX(LM_Elder,G725)*AA725)*AH725</x:f>
        <x:v>194416.24769181083</x:v>
      </x:c>
      <x:c r="AJ725" s="32" t="n">
        <x:f>H725*tun_CommonsCoef*AI725^tun_CommonsExp*INDEX(LM_Commons,G725)</x:f>
        <x:v>672067.2172772727</x:v>
      </x:c>
      <x:c r="AK725" s="32" t="n">
        <x:f>H725*tun_RoleScale*Arch_Roles*(AE725*(INDEX(tun_ElderRolePerSett,G725)*tun_OutElder*INDEX(LM_Elder,G725)+INDEX(tun_ShamanPerSett,G725)*tun_OutShaman)+Z725*(INDEX(tun_PriestShare,G725)*tun_OutPriest+INDEX(tun_ScribeShare,G725)*tun_OutScribe*INDEX(LM_Scribe,G725)+INDEX(tun_ScholarShare,G725)*tun_OutScholar*INDEX(LM_Scholar,G725)+INDEX(tun_ResearcherShare,G725)*tun_OutResearcher*INDEX(LM_Researcher,G725)))</x:f>
        <x:v>181488.66117222788</x:v>
      </x:c>
      <x:c r="AL725" s="32" t="n">
        <x:f>H725*tun_RoleScale*Arch_Roles*AE725*INDEX(tun_MonasteryPerSett,G725)*tun_OutMonastery*INDEX(LM_Monastery,G725)</x:f>
        <x:v>15.840000000000002</x:v>
      </x:c>
      <x:c r="AM725" s="32" t="n">
        <x:f>(AJ725+AK725+AL725)/4*INDEX(LM_All,G725)*INDEX(tun_Boon,G725)*Arch_Insight</x:f>
        <x:v>739169.5674708239</x:v>
      </x:c>
      <x:c r="AN725" s="32" t="n">
        <x:f>H725*(tun_KHPerAdult*Z725+tun_KHOfCommons*AJ725/4*INDEX(LM_All,G725))*tun_KHUsable*Arch_KH</x:f>
        <x:v>114174.22395422768</x:v>
      </x:c>
      <x:c r="AO725" s="32" t="n">
        <x:f>MIN(AP724+AN725,AM725*tun_KHMaxRatio)</x:f>
        <x:v>114174.22395422768</x:v>
      </x:c>
      <x:c r="AP725" s="32" t="n">
        <x:f>AP724+AN725-AO725</x:f>
        <x:v>0</x:v>
      </x:c>
      <x:c r="AQ725" s="32" t="n">
        <x:f>AM725+AO725</x:f>
        <x:v>853343.7914250515</x:v>
      </x:c>
      <x:c r="AR725" s="10" t="n">
        <x:f>IF(H725=1,INDEX(tun_Req,G725),0)</x:f>
        <x:v>125406521.7009086</x:v>
      </x:c>
      <x:c r="AS725" s="32" t="n">
        <x:f>IF(H725=1,IF(E725=1,AS724-AR724,AS724)+AQ725,0)</x:f>
        <x:v>70930081.87618424</x:v>
      </x:c>
      <x:c r="AT725" s="11" t="n">
        <x:f>IF(AR725&gt;0,MIN(1,AS725/AR725),1)</x:f>
        <x:v>0.5656012216442037</x:v>
      </x:c>
      <x:c r="AU725" s="10" t="n">
        <x:f>AB725/INDEX(tun_RepScale,G725)</x:f>
        <x:v>221.6347372456509</x:v>
      </x:c>
      <x:c r="AV725" s="32" t="n">
        <x:f>AM725*60/tun_SeasonSeconds</x:f>
        <x:v>2956678.2698832955</x:v>
      </x:c>
    </x:row>
    <x:row r="726">
      <x:c r="A726" s="8" t="n">
        <x:f>A725+1</x:f>
        <x:v>723</x:v>
      </x:c>
      <x:c r="B726" s="9" t="n">
        <x:f>A726*tun_SeasonSeconds/60</x:f>
        <x:v>180.75</x:v>
      </x:c>
      <x:c r="C726" s="9" t="n">
        <x:f>A726/4</x:f>
        <x:v>180.75</x:v>
      </x:c>
      <x:c r="D726" s="8" t="n">
        <x:f>IF(MOD(A726,4)=0,1,0)</x:f>
        <x:v>0</x:v>
      </x:c>
      <x:c r="E726" s="8" t="n">
        <x:f>IF(AND(F725&lt;=9,AS725&gt;=AR725),1,0)</x:f>
        <x:v>0</x:v>
      </x:c>
      <x:c r="F726" s="8" t="n">
        <x:f>MIN(10,F725+E726)</x:f>
        <x:v>9</x:v>
      </x:c>
      <x:c r="G726" s="8" t="n">
        <x:f>MIN(F726,9)+1</x:f>
        <x:v>10</x:v>
      </x:c>
      <x:c r="H726" s="8" t="n">
        <x:f>IF(F726&lt;=9,1,0)</x:f>
        <x:v>1</x:v>
      </x:c>
      <x:c r="I726" s="9" t="n">
        <x:f>MIN(10,F725+IF(AR725&gt;0,MIN(1,AS725/AR725),1))</x:f>
        <x:v>9.565601221644204</x:v>
      </x:c>
      <x:c r="J726" s="32" t="n">
        <x:f>INDEX(tun_FoodCap,G726)*Arch_FoodCap*EXP(tun_CapsByProject*SUMPRODUCT((Cap_Point&lt;=I726)*(Cap_Kind="Food")*Cap_Ln))</x:f>
        <x:v>17128.931901626256</x:v>
      </x:c>
      <x:c r="K726" s="32" t="n">
        <x:f>J726*MIN(1,tun_LeanBase*EXP(tun_CapsByProject*SUMPRODUCT((Cap_Point&lt;=I726)*(Cap_Kind="Lean")*Cap_Ln)))</x:f>
        <x:v>17128.931901626256</x:v>
      </x:c>
      <x:c r="L726" s="10" t="n">
        <x:f>INDEX(tun_HousingCap,G726)*EXP(tun_CapsByProject*SUMPRODUCT((Cap_Point&lt;=I726)*(Cap_Kind="Housing")*Cap_Ln))</x:f>
        <x:v>13709.342993714734</x:v>
      </x:c>
      <x:c r="M726" s="10" t="n">
        <x:f>INDEX(tun_GroupCap,G726)*tun_CohesionFactor*EXP(tun_CapsByProject*SUMPRODUCT((Cap_Point&lt;=I726)*(Cap_Kind="Group")*Cap_Ln))</x:f>
        <x:v>1000000.000000001</x:v>
      </x:c>
      <x:c r="N726" s="32" t="n">
        <x:f>MIN(J726,L726,M726)</x:f>
        <x:v>13709.342993714734</x:v>
      </x:c>
      <x:c r="O726" s="10" t="n">
        <x:f>AE725*N726</x:f>
        <x:v>123384.0869434326</x:v>
      </x:c>
      <x:c r="P726" s="9" t="n">
        <x:f>MIN(1,(AB725/(AE725*IF(tun_GroupInCrowding=1,N726,MIN(J726,L726))))^tun_CrowdingExp)</x:f>
        <x:v>0.5249187568834053</x:v>
      </x:c>
      <x:c r="Q726" s="9" t="n">
        <x:f>IF(D726=1,INDEX(tun_WinterMult,G726),1)</x:f>
        <x:v>1</x:v>
      </x:c>
      <x:c r="R726" s="9" t="n">
        <x:f>H726*Z725*tun_WomenShare*tun_BaseFertility*INDEX(tun_FertMult,G726)*Arch_Fertility*(1-P726)</x:f>
        <x:v>543.9027656148347</x:v>
      </x:c>
      <x:c r="S726" s="9" t="n">
        <x:f>H726*Y725*INDEX(tun_MortChild,G726)/4*Q726</x:f>
        <x:v>5.36787555393228</x:v>
      </x:c>
      <x:c r="T726" s="9" t="n">
        <x:f>H726*Z725*INDEX(tun_MortAdult,G726)*Arch_AdultMort/4*Q726</x:f>
        <x:v>18.871362177188775</x:v>
      </x:c>
      <x:c r="U726" s="9" t="n">
        <x:f>H726*AA725*INDEX(tun_MortElder,G726)/4*Q726</x:f>
        <x:v>247.29645239670543</x:v>
      </x:c>
      <x:c r="V726" s="9" t="n">
        <x:f>H726*MAX(0,AB725-O726)*tun_OvercapLoss</x:f>
        <x:v>0</x:v>
      </x:c>
      <x:c r="W726" s="9" t="n">
        <x:f>H726*Y725/(tun_ChildYears*4)</x:f>
        <x:v>426.0218693597048</x:v>
      </x:c>
      <x:c r="X726" s="9" t="n">
        <x:f>H726*Z725/(tun_AdultYears*4)</x:f>
        <x:v>405.83574574599515</x:v>
      </x:c>
      <x:c r="Y726" s="32" t="n">
        <x:f>Y725+R726-S726-W726-Y725*V726/AB725</x:f>
        <x:v>23969.737704844665</x:v>
      </x:c>
      <x:c r="Z726" s="32" t="n">
        <x:f>Z725+W726-X726-T726-Z725*V726/AB725</x:f>
        <x:v>50324.94723393992</x:v>
      </x:c>
      <x:c r="AA726" s="32" t="n">
        <x:f>AA725+X726-U726-AA725*V726/AB725</x:f>
        <x:v>36795.050759527876</x:v>
      </x:c>
      <x:c r="AB726" s="10" t="n">
        <x:f>Y726+Z726+AA726</x:f>
        <x:v>111089.73569831246</x:v>
      </x:c>
      <x:c r="AC726" s="8" t="n">
        <x:f>IF(AND(tun_WinterTrigger=1,D726=1,AB725/AE725&gt;=K726),1,0)</x:f>
        <x:v>0</x:v>
      </x:c>
      <x:c r="AD726" s="8" t="n">
        <x:f>H726*IF(AND(OR(AB725/AE725&gt;=tun_FissionTrigger*N726,AC726=1),AB725/AE725*tun_DaughterShare&gt;=tun_MinDaughter),MAX(1,ROUND(AE725*tun_FissionRate,0)),0)</x:f>
        <x:v>3</x:v>
      </x:c>
      <x:c r="AE726" s="8" t="n">
        <x:f>IF(H726=1,MAX(1,MIN(INDEX(tun_Smax,G726),AE725+AD726)),AE725)</x:f>
        <x:v>9</x:v>
      </x:c>
      <x:c r="AF726" s="8" t="n">
        <x:f>MAX(0,AE726-AE725)</x:f>
        <x:v>0</x:v>
      </x:c>
      <x:c r="AG726" s="9" t="str">
        <x:f>IF(AF726&gt;0,B726,"")</x:f>
      </x:c>
      <x:c r="AH726" s="9" t="n">
        <x:f>IF(F726&gt;=1,1,(1+tun_LowTiesShare*(AE726-1))/AE726)</x:f>
        <x:v>1</x:v>
      </x:c>
      <x:c r="AI726" s="32" t="n">
        <x:f>(Z726+tun_ElderCommons*INDEX(LM_Elder,G726)*AA726)*AH726</x:f>
        <x:v>195041.10275442502</x:v>
      </x:c>
      <x:c r="AJ726" s="32" t="n">
        <x:f>H726*tun_CommonsCoef*AI726^tun_CommonsExp*INDEX(LM_Commons,G726)</x:f>
        <x:v>673902.7993289536</x:v>
      </x:c>
      <x:c r="AK726" s="32" t="n">
        <x:f>H726*tun_RoleScale*Arch_Roles*(AE726*(INDEX(tun_ElderRolePerSett,G726)*tun_OutElder*INDEX(LM_Elder,G726)+INDEX(tun_ShamanPerSett,G726)*tun_OutShaman)+Z726*(INDEX(tun_PriestShare,G726)*tun_OutPriest+INDEX(tun_ScribeShare,G726)*tun_OutScribe*INDEX(LM_Scribe,G726)+INDEX(tun_ScholarShare,G726)*tun_OutScholar*INDEX(LM_Scholar,G726)+INDEX(tun_ResearcherShare,G726)*tun_OutResearcher*INDEX(LM_Researcher,G726)))</x:f>
        <x:v>181493.39624660386</x:v>
      </x:c>
      <x:c r="AL726" s="32" t="n">
        <x:f>H726*tun_RoleScale*Arch_Roles*AE726*INDEX(tun_MonasteryPerSett,G726)*tun_OutMonastery*INDEX(LM_Monastery,G726)</x:f>
        <x:v>15.840000000000002</x:v>
      </x:c>
      <x:c r="AM726" s="32" t="n">
        <x:f>(AJ726+AK726+AL726)/4*INDEX(LM_All,G726)*INDEX(tun_Boon,G726)*Arch_Insight</x:f>
        <x:v>740763.2313477709</x:v>
      </x:c>
      <x:c r="AN726" s="32" t="n">
        <x:f>H726*(tun_KHPerAdult*Z726+tun_KHOfCommons*AJ726/4*INDEX(LM_All,G726))*tun_KHUsable*Arch_KH</x:f>
        <x:v>114486.06204254275</x:v>
      </x:c>
      <x:c r="AO726" s="32" t="n">
        <x:f>MIN(AP725+AN726,AM726*tun_KHMaxRatio)</x:f>
        <x:v>114486.06204254275</x:v>
      </x:c>
      <x:c r="AP726" s="32" t="n">
        <x:f>AP725+AN726-AO726</x:f>
        <x:v>0</x:v>
      </x:c>
      <x:c r="AQ726" s="32" t="n">
        <x:f>AM726+AO726</x:f>
        <x:v>855249.2933903136</x:v>
      </x:c>
      <x:c r="AR726" s="10" t="n">
        <x:f>IF(H726=1,INDEX(tun_Req,G726),0)</x:f>
        <x:v>125406521.7009086</x:v>
      </x:c>
      <x:c r="AS726" s="32" t="n">
        <x:f>IF(H726=1,IF(E726=1,AS725-AR725,AS725)+AQ726,0)</x:f>
        <x:v>71785331.16957456</x:v>
      </x:c>
      <x:c r="AT726" s="11" t="n">
        <x:f>IF(AR726&gt;0,MIN(1,AS726/AR726),1)</x:f>
        <x:v>0.5724210367685723</x:v>
      </x:c>
      <x:c r="AU726" s="10" t="n">
        <x:f>AB726/INDEX(tun_RepScale,G726)</x:f>
        <x:v>222.17947139662493</x:v>
      </x:c>
      <x:c r="AV726" s="32" t="n">
        <x:f>AM726*60/tun_SeasonSeconds</x:f>
        <x:v>2963052.9253910836</x:v>
      </x:c>
    </x:row>
    <x:row r="727">
      <x:c r="A727" s="8" t="n">
        <x:f>A726+1</x:f>
        <x:v>724</x:v>
      </x:c>
      <x:c r="B727" s="9" t="n">
        <x:f>A727*tun_SeasonSeconds/60</x:f>
        <x:v>181</x:v>
      </x:c>
      <x:c r="C727" s="9" t="n">
        <x:f>A727/4</x:f>
        <x:v>181</x:v>
      </x:c>
      <x:c r="D727" s="8" t="n">
        <x:f>IF(MOD(A727,4)=0,1,0)</x:f>
        <x:v>1</x:v>
      </x:c>
      <x:c r="E727" s="8" t="n">
        <x:f>IF(AND(F726&lt;=9,AS726&gt;=AR726),1,0)</x:f>
        <x:v>0</x:v>
      </x:c>
      <x:c r="F727" s="8" t="n">
        <x:f>MIN(10,F726+E727)</x:f>
        <x:v>9</x:v>
      </x:c>
      <x:c r="G727" s="8" t="n">
        <x:f>MIN(F727,9)+1</x:f>
        <x:v>10</x:v>
      </x:c>
      <x:c r="H727" s="8" t="n">
        <x:f>IF(F727&lt;=9,1,0)</x:f>
        <x:v>1</x:v>
      </x:c>
      <x:c r="I727" s="9" t="n">
        <x:f>MIN(10,F726+IF(AR726&gt;0,MIN(1,AS726/AR726),1))</x:f>
        <x:v>9.572421036768572</x:v>
      </x:c>
      <x:c r="J727" s="32" t="n">
        <x:f>INDEX(tun_FoodCap,G727)*Arch_FoodCap*EXP(tun_CapsByProject*SUMPRODUCT((Cap_Point&lt;=I727)*(Cap_Kind="Food")*Cap_Ln))</x:f>
        <x:v>17128.931901626256</x:v>
      </x:c>
      <x:c r="K727" s="32" t="n">
        <x:f>J727*MIN(1,tun_LeanBase*EXP(tun_CapsByProject*SUMPRODUCT((Cap_Point&lt;=I727)*(Cap_Kind="Lean")*Cap_Ln)))</x:f>
        <x:v>17128.931901626256</x:v>
      </x:c>
      <x:c r="L727" s="10" t="n">
        <x:f>INDEX(tun_HousingCap,G727)*EXP(tun_CapsByProject*SUMPRODUCT((Cap_Point&lt;=I727)*(Cap_Kind="Housing")*Cap_Ln))</x:f>
        <x:v>13709.342993714734</x:v>
      </x:c>
      <x:c r="M727" s="10" t="n">
        <x:f>INDEX(tun_GroupCap,G727)*tun_CohesionFactor*EXP(tun_CapsByProject*SUMPRODUCT((Cap_Point&lt;=I727)*(Cap_Kind="Group")*Cap_Ln))</x:f>
        <x:v>1000000.000000001</x:v>
      </x:c>
      <x:c r="N727" s="32" t="n">
        <x:f>MIN(J727,L727,M727)</x:f>
        <x:v>13709.342993714734</x:v>
      </x:c>
      <x:c r="O727" s="10" t="n">
        <x:f>AE726*N727</x:f>
        <x:v>123384.0869434326</x:v>
      </x:c>
      <x:c r="P727" s="9" t="n">
        <x:f>MIN(1,(AB726/(AE726*IF(tun_GroupInCrowding=1,N727,MIN(J727,L727))))^tun_CrowdingExp)</x:f>
        <x:v>0.532707352978418</x:v>
      </x:c>
      <x:c r="Q727" s="9" t="n">
        <x:f>IF(D727=1,INDEX(tun_WinterMult,G727),1)</x:f>
        <x:v>1.05</x:v>
      </x:c>
      <x:c r="R727" s="9" t="n">
        <x:f>H727*Z726*tun_WomenShare*tun_BaseFertility*INDEX(tun_FertMult,G727)*Arch_Fertility*(1-P727)</x:f>
        <x:v>534.9998700448499</x:v>
      </x:c>
      <x:c r="S727" s="9" t="n">
        <x:f>H727*Y726*INDEX(tun_MortChild,G727)/4*Q727</x:f>
        <x:v>5.662850532769552</x:v>
      </x:c>
      <x:c r="T727" s="9" t="n">
        <x:f>H727*Z726*INDEX(tun_MortAdult,G727)*Arch_AdultMort/4*Q727</x:f>
        <x:v>19.815447973363845</x:v>
      </x:c>
      <x:c r="U727" s="9" t="n">
        <x:f>H727*AA726*INDEX(tun_MortElder,G727)/4*Q727</x:f>
        <x:v>260.78492225815387</x:v>
      </x:c>
      <x:c r="V727" s="9" t="n">
        <x:f>H727*MAX(0,AB726-O727)*tun_OvercapLoss</x:f>
        <x:v>0</x:v>
      </x:c>
      <x:c r="W727" s="9" t="n">
        <x:f>H727*Y726/(tun_ChildYears*4)</x:f>
        <x:v>428.03103044365474</x:v>
      </x:c>
      <x:c r="X727" s="9" t="n">
        <x:f>H727*Z726/(tun_AdultYears*4)</x:f>
        <x:v>405.8463486608058</x:v>
      </x:c>
      <x:c r="Y727" s="32" t="n">
        <x:f>Y726+R727-S727-W727-Y726*V727/AB726</x:f>
        <x:v>24071.043693913092</x:v>
      </x:c>
      <x:c r="Z727" s="32" t="n">
        <x:f>Z726+W727-X727-T727-Z726*V727/AB726</x:f>
        <x:v>50327.316467749406</x:v>
      </x:c>
      <x:c r="AA727" s="32" t="n">
        <x:f>AA726+X727-U727-AA726*V727/AB726</x:f>
        <x:v>36940.11218593053</x:v>
      </x:c>
      <x:c r="AB727" s="10" t="n">
        <x:f>Y727+Z727+AA727</x:f>
        <x:v>111338.47234759302</x:v>
      </x:c>
      <x:c r="AC727" s="8" t="n">
        <x:f>IF(AND(tun_WinterTrigger=1,D727=1,AB726/AE726&gt;=K727),1,0)</x:f>
        <x:v>0</x:v>
      </x:c>
      <x:c r="AD727" s="8" t="n">
        <x:f>H727*IF(AND(OR(AB726/AE726&gt;=tun_FissionTrigger*N727,AC727=1),AB726/AE726*tun_DaughterShare&gt;=tun_MinDaughter),MAX(1,ROUND(AE726*tun_FissionRate,0)),0)</x:f>
        <x:v>3</x:v>
      </x:c>
      <x:c r="AE727" s="8" t="n">
        <x:f>IF(H727=1,MAX(1,MIN(INDEX(tun_Smax,G727),AE726+AD727)),AE726)</x:f>
        <x:v>9</x:v>
      </x:c>
      <x:c r="AF727" s="8" t="n">
        <x:f>MAX(0,AE727-AE726)</x:f>
        <x:v>0</x:v>
      </x:c>
      <x:c r="AG727" s="9" t="str">
        <x:f>IF(AF727&gt;0,B727,"")</x:f>
      </x:c>
      <x:c r="AH727" s="9" t="n">
        <x:f>IF(F727&gt;=1,1,(1+tun_LowTiesShare*(AE727-1))/AE727)</x:f>
        <x:v>1</x:v>
      </x:c>
      <x:c r="AI727" s="32" t="n">
        <x:f>(Z727+tun_ElderCommons*INDEX(LM_Elder,G727)*AA727)*AH727</x:f>
        <x:v>195614.00339150685</x:v>
      </x:c>
      <x:c r="AJ727" s="32" t="n">
        <x:f>H727*tun_CommonsCoef*AI727^tun_CommonsExp*INDEX(LM_Commons,G727)</x:f>
        <x:v>675584.9843810915</x:v>
      </x:c>
      <x:c r="AK727" s="32" t="n">
        <x:f>H727*tun_RoleScale*Arch_Roles*(AE727*(INDEX(tun_ElderRolePerSett,G727)*tun_OutElder*INDEX(LM_Elder,G727)+INDEX(tun_ShamanPerSett,G727)*tun_OutShaman)+Z727*(INDEX(tun_PriestShare,G727)*tun_OutPriest+INDEX(tun_ScribeShare,G727)*tun_OutScribe*INDEX(LM_Scribe,G727)+INDEX(tun_ScholarShare,G727)*tun_OutScholar*INDEX(LM_Scholar,G727)+INDEX(tun_ResearcherShare,G727)*tun_OutResearcher*INDEX(LM_Researcher,G727)))</x:f>
        <x:v>181501.9289720021</x:v>
      </x:c>
      <x:c r="AL727" s="32" t="n">
        <x:f>H727*tun_RoleScale*Arch_Roles*AE727*INDEX(tun_MonasteryPerSett,G727)*tun_OutMonastery*INDEX(LM_Monastery,G727)</x:f>
        <x:v>15.840000000000002</x:v>
      </x:c>
      <x:c r="AM727" s="32" t="n">
        <x:f>(AJ727+AK727+AL727)/4*INDEX(LM_All,G727)*INDEX(tun_Boon,G727)*Arch_Insight</x:f>
        <x:v>742227.3463147088</x:v>
      </x:c>
      <x:c r="AN727" s="32" t="n">
        <x:f>H727*(tun_KHPerAdult*Z727+tun_KHOfCommons*AJ727/4*INDEX(LM_All,G727))*tun_KHUsable*Arch_KH</x:f>
        <x:v>114771.84026224725</x:v>
      </x:c>
      <x:c r="AO727" s="32" t="n">
        <x:f>MIN(AP726+AN727,AM727*tun_KHMaxRatio)</x:f>
        <x:v>114771.84026224725</x:v>
      </x:c>
      <x:c r="AP727" s="32" t="n">
        <x:f>AP726+AN727-AO727</x:f>
        <x:v>0</x:v>
      </x:c>
      <x:c r="AQ727" s="32" t="n">
        <x:f>AM727+AO727</x:f>
        <x:v>856999.1865769561</x:v>
      </x:c>
      <x:c r="AR727" s="10" t="n">
        <x:f>IF(H727=1,INDEX(tun_Req,G727),0)</x:f>
        <x:v>125406521.7009086</x:v>
      </x:c>
      <x:c r="AS727" s="32" t="n">
        <x:f>IF(H727=1,IF(E727=1,AS726-AR726,AS726)+AQ727,0)</x:f>
        <x:v>72642330.35615152</x:v>
      </x:c>
      <x:c r="AT727" s="11" t="n">
        <x:f>IF(AR727&gt;0,MIN(1,AS727/AR727),1)</x:f>
        <x:v>0.5792548056583664</x:v>
      </x:c>
      <x:c r="AU727" s="10" t="n">
        <x:f>AB727/INDEX(tun_RepScale,G727)</x:f>
        <x:v>222.67694469518605</x:v>
      </x:c>
      <x:c r="AV727" s="32" t="n">
        <x:f>AM727*60/tun_SeasonSeconds</x:f>
        <x:v>2968909.3852588353</x:v>
      </x:c>
    </x:row>
    <x:row r="728">
      <x:c r="A728" s="8" t="n">
        <x:f>A727+1</x:f>
        <x:v>725</x:v>
      </x:c>
      <x:c r="B728" s="9" t="n">
        <x:f>A728*tun_SeasonSeconds/60</x:f>
        <x:v>181.25</x:v>
      </x:c>
      <x:c r="C728" s="9" t="n">
        <x:f>A728/4</x:f>
        <x:v>181.25</x:v>
      </x:c>
      <x:c r="D728" s="8" t="n">
        <x:f>IF(MOD(A728,4)=0,1,0)</x:f>
        <x:v>0</x:v>
      </x:c>
      <x:c r="E728" s="8" t="n">
        <x:f>IF(AND(F727&lt;=9,AS727&gt;=AR727),1,0)</x:f>
        <x:v>0</x:v>
      </x:c>
      <x:c r="F728" s="8" t="n">
        <x:f>MIN(10,F727+E728)</x:f>
        <x:v>9</x:v>
      </x:c>
      <x:c r="G728" s="8" t="n">
        <x:f>MIN(F728,9)+1</x:f>
        <x:v>10</x:v>
      </x:c>
      <x:c r="H728" s="8" t="n">
        <x:f>IF(F728&lt;=9,1,0)</x:f>
        <x:v>1</x:v>
      </x:c>
      <x:c r="I728" s="9" t="n">
        <x:f>MIN(10,F727+IF(AR727&gt;0,MIN(1,AS727/AR727),1))</x:f>
        <x:v>9.579254805658366</x:v>
      </x:c>
      <x:c r="J728" s="32" t="n">
        <x:f>INDEX(tun_FoodCap,G728)*Arch_FoodCap*EXP(tun_CapsByProject*SUMPRODUCT((Cap_Point&lt;=I728)*(Cap_Kind="Food")*Cap_Ln))</x:f>
        <x:v>17128.931901626256</x:v>
      </x:c>
      <x:c r="K728" s="32" t="n">
        <x:f>J728*MIN(1,tun_LeanBase*EXP(tun_CapsByProject*SUMPRODUCT((Cap_Point&lt;=I728)*(Cap_Kind="Lean")*Cap_Ln)))</x:f>
        <x:v>17128.931901626256</x:v>
      </x:c>
      <x:c r="L728" s="10" t="n">
        <x:f>INDEX(tun_HousingCap,G728)*EXP(tun_CapsByProject*SUMPRODUCT((Cap_Point&lt;=I728)*(Cap_Kind="Housing")*Cap_Ln))</x:f>
        <x:v>13709.342993714734</x:v>
      </x:c>
      <x:c r="M728" s="10" t="n">
        <x:f>INDEX(tun_GroupCap,G728)*tun_CohesionFactor*EXP(tun_CapsByProject*SUMPRODUCT((Cap_Point&lt;=I728)*(Cap_Kind="Group")*Cap_Ln))</x:f>
        <x:v>1000000.000000001</x:v>
      </x:c>
      <x:c r="N728" s="32" t="n">
        <x:f>MIN(J728,L728,M728)</x:f>
        <x:v>13709.342993714734</x:v>
      </x:c>
      <x:c r="O728" s="10" t="n">
        <x:f>AE727*N728</x:f>
        <x:v>123384.0869434326</x:v>
      </x:c>
      <x:c r="P728" s="9" t="n">
        <x:f>MIN(1,(AB727/(AE727*IF(tun_GroupInCrowding=1,N728,MIN(J728,L728))))^tun_CrowdingExp)</x:f>
        <x:v>0.539904117083624</x:v>
      </x:c>
      <x:c r="Q728" s="9" t="n">
        <x:f>IF(D728=1,INDEX(tun_WinterMult,G728),1)</x:f>
        <x:v>1</x:v>
      </x:c>
      <x:c r="R728" s="9" t="n">
        <x:f>H728*Z727*tun_WomenShare*tun_BaseFertility*INDEX(tun_FertMult,G728)*Arch_Fertility*(1-P728)</x:f>
        <x:v>526.7851476396835</x:v>
      </x:c>
      <x:c r="S728" s="9" t="n">
        <x:f>H728*Y727*INDEX(tun_MortChild,G728)/4*Q728</x:f>
        <x:v>5.415984831130445</x:v>
      </x:c>
      <x:c r="T728" s="9" t="n">
        <x:f>H728*Z727*INDEX(tun_MortAdult,G728)*Arch_AdultMort/4*Q728</x:f>
        <x:v>18.872743675406028</x:v>
      </x:c>
      <x:c r="U728" s="9" t="n">
        <x:f>H728*AA727*INDEX(tun_MortElder,G728)/4*Q728</x:f>
        <x:v>249.34575725503106</x:v>
      </x:c>
      <x:c r="V728" s="9" t="n">
        <x:f>H728*MAX(0,AB727-O728)*tun_OvercapLoss</x:f>
        <x:v>0</x:v>
      </x:c>
      <x:c r="W728" s="9" t="n">
        <x:f>H728*Y727/(tun_ChildYears*4)</x:f>
        <x:v>429.8400659627338</x:v>
      </x:c>
      <x:c r="X728" s="9" t="n">
        <x:f>H728*Z727/(tun_AdultYears*4)</x:f>
        <x:v>405.86545538507585</x:v>
      </x:c>
      <x:c r="Y728" s="32" t="n">
        <x:f>Y727+R728-S728-W728-Y727*V728/AB727</x:f>
        <x:v>24162.57279075891</x:v>
      </x:c>
      <x:c r="Z728" s="32" t="n">
        <x:f>Z727+W728-X728-T728-Z727*V728/AB727</x:f>
        <x:v>50332.41833465166</x:v>
      </x:c>
      <x:c r="AA728" s="32" t="n">
        <x:f>AA727+X728-U728-AA727*V728/AB727</x:f>
        <x:v>37096.631884060575</x:v>
      </x:c>
      <x:c r="AB728" s="10" t="n">
        <x:f>Y728+Z728+AA728</x:f>
        <x:v>111591.62300947114</x:v>
      </x:c>
      <x:c r="AC728" s="8" t="n">
        <x:f>IF(AND(tun_WinterTrigger=1,D728=1,AB727/AE727&gt;=K728),1,0)</x:f>
        <x:v>0</x:v>
      </x:c>
      <x:c r="AD728" s="8" t="n">
        <x:f>H728*IF(AND(OR(AB727/AE727&gt;=tun_FissionTrigger*N728,AC728=1),AB727/AE727*tun_DaughterShare&gt;=tun_MinDaughter),MAX(1,ROUND(AE727*tun_FissionRate,0)),0)</x:f>
        <x:v>3</x:v>
      </x:c>
      <x:c r="AE728" s="8" t="n">
        <x:f>IF(H728=1,MAX(1,MIN(INDEX(tun_Smax,G728),AE727+AD728)),AE727)</x:f>
        <x:v>9</x:v>
      </x:c>
      <x:c r="AF728" s="8" t="n">
        <x:f>MAX(0,AE728-AE727)</x:f>
        <x:v>0</x:v>
      </x:c>
      <x:c r="AG728" s="9" t="str">
        <x:f>IF(AF728&gt;0,B728,"")</x:f>
      </x:c>
      <x:c r="AH728" s="9" t="n">
        <x:f>IF(F728&gt;=1,1,(1+tun_LowTiesShare*(AE728-1))/AE728)</x:f>
        <x:v>1</x:v>
      </x:c>
      <x:c r="AI728" s="32" t="n">
        <x:f>(Z728+tun_ElderCommons*INDEX(LM_Elder,G728)*AA728)*AH728</x:f>
        <x:v>196234.702424578</x:v>
      </x:c>
      <x:c r="AJ728" s="32" t="n">
        <x:f>H728*tun_CommonsCoef*AI728^tun_CommonsExp*INDEX(LM_Commons,G728)</x:f>
        <x:v>677406.6841402736</x:v>
      </x:c>
      <x:c r="AK728" s="32" t="n">
        <x:f>H728*tun_RoleScale*Arch_Roles*(AE728*(INDEX(tun_ElderRolePerSett,G728)*tun_OutElder*INDEX(LM_Elder,G728)+INDEX(tun_ShamanPerSett,G728)*tun_OutShaman)+Z728*(INDEX(tun_PriestShare,G728)*tun_OutPriest+INDEX(tun_ScribeShare,G728)*tun_OutScribe*INDEX(LM_Scribe,G728)+INDEX(tun_ScholarShare,G728)*tun_OutScholar*INDEX(LM_Scholar,G728)+INDEX(tun_ResearcherShare,G728)*tun_OutResearcher*INDEX(LM_Researcher,G728)))</x:f>
        <x:v>181520.30319455496</x:v>
      </x:c>
      <x:c r="AL728" s="32" t="n">
        <x:f>H728*tun_RoleScale*Arch_Roles*AE728*INDEX(tun_MonasteryPerSett,G728)*tun_OutMonastery*INDEX(LM_Monastery,G728)</x:f>
        <x:v>15.840000000000002</x:v>
      </x:c>
      <x:c r="AM728" s="32" t="n">
        <x:f>(AJ728+AK728+AL728)/4*INDEX(LM_All,G728)*INDEX(tun_Boon,G728)*Arch_Insight</x:f>
        <x:v>743820.7996353786</x:v>
      </x:c>
      <x:c r="AN728" s="32" t="n">
        <x:f>H728*(tun_KHPerAdult*Z728+tun_KHOfCommons*AJ728/4*INDEX(LM_All,G728))*tun_KHUsable*Arch_KH</x:f>
        <x:v>115081.31995555061</x:v>
      </x:c>
      <x:c r="AO728" s="32" t="n">
        <x:f>MIN(AP727+AN728,AM728*tun_KHMaxRatio)</x:f>
        <x:v>115081.31995555061</x:v>
      </x:c>
      <x:c r="AP728" s="32" t="n">
        <x:f>AP727+AN728-AO728</x:f>
        <x:v>0</x:v>
      </x:c>
      <x:c r="AQ728" s="32" t="n">
        <x:f>AM728+AO728</x:f>
        <x:v>858902.1195909292</x:v>
      </x:c>
      <x:c r="AR728" s="10" t="n">
        <x:f>IF(H728=1,INDEX(tun_Req,G728),0)</x:f>
        <x:v>125406521.7009086</x:v>
      </x:c>
      <x:c r="AS728" s="32" t="n">
        <x:f>IF(H728=1,IF(E728=1,AS727-AR727,AS727)+AQ728,0)</x:f>
        <x:v>73501232.47574244</x:v>
      </x:c>
      <x:c r="AT728" s="11" t="n">
        <x:f>IF(AR728&gt;0,MIN(1,AS728/AR728),1)</x:f>
        <x:v>0.5861037486634151</x:v>
      </x:c>
      <x:c r="AU728" s="10" t="n">
        <x:f>AB728/INDEX(tun_RepScale,G728)</x:f>
        <x:v>223.18324601894227</x:v>
      </x:c>
      <x:c r="AV728" s="32" t="n">
        <x:f>AM728*60/tun_SeasonSeconds</x:f>
        <x:v>2975283.1985415146</x:v>
      </x:c>
    </x:row>
    <x:row r="729">
      <x:c r="A729" s="8" t="n">
        <x:f>A728+1</x:f>
        <x:v>726</x:v>
      </x:c>
      <x:c r="B729" s="9" t="n">
        <x:f>A729*tun_SeasonSeconds/60</x:f>
        <x:v>181.5</x:v>
      </x:c>
      <x:c r="C729" s="9" t="n">
        <x:f>A729/4</x:f>
        <x:v>181.5</x:v>
      </x:c>
      <x:c r="D729" s="8" t="n">
        <x:f>IF(MOD(A729,4)=0,1,0)</x:f>
        <x:v>0</x:v>
      </x:c>
      <x:c r="E729" s="8" t="n">
        <x:f>IF(AND(F728&lt;=9,AS728&gt;=AR728),1,0)</x:f>
        <x:v>0</x:v>
      </x:c>
      <x:c r="F729" s="8" t="n">
        <x:f>MIN(10,F728+E729)</x:f>
        <x:v>9</x:v>
      </x:c>
      <x:c r="G729" s="8" t="n">
        <x:f>MIN(F729,9)+1</x:f>
        <x:v>10</x:v>
      </x:c>
      <x:c r="H729" s="8" t="n">
        <x:f>IF(F729&lt;=9,1,0)</x:f>
        <x:v>1</x:v>
      </x:c>
      <x:c r="I729" s="9" t="n">
        <x:f>MIN(10,F728+IF(AR728&gt;0,MIN(1,AS728/AR728),1))</x:f>
        <x:v>9.586103748663415</x:v>
      </x:c>
      <x:c r="J729" s="32" t="n">
        <x:f>INDEX(tun_FoodCap,G729)*Arch_FoodCap*EXP(tun_CapsByProject*SUMPRODUCT((Cap_Point&lt;=I729)*(Cap_Kind="Food")*Cap_Ln))</x:f>
        <x:v>17128.931901626256</x:v>
      </x:c>
      <x:c r="K729" s="32" t="n">
        <x:f>J729*MIN(1,tun_LeanBase*EXP(tun_CapsByProject*SUMPRODUCT((Cap_Point&lt;=I729)*(Cap_Kind="Lean")*Cap_Ln)))</x:f>
        <x:v>17128.931901626256</x:v>
      </x:c>
      <x:c r="L729" s="10" t="n">
        <x:f>INDEX(tun_HousingCap,G729)*EXP(tun_CapsByProject*SUMPRODUCT((Cap_Point&lt;=I729)*(Cap_Kind="Housing")*Cap_Ln))</x:f>
        <x:v>13709.342993714734</x:v>
      </x:c>
      <x:c r="M729" s="10" t="n">
        <x:f>INDEX(tun_GroupCap,G729)*tun_CohesionFactor*EXP(tun_CapsByProject*SUMPRODUCT((Cap_Point&lt;=I729)*(Cap_Kind="Group")*Cap_Ln))</x:f>
        <x:v>1000000.000000001</x:v>
      </x:c>
      <x:c r="N729" s="32" t="n">
        <x:f>MIN(J729,L729,M729)</x:f>
        <x:v>13709.342993714734</x:v>
      </x:c>
      <x:c r="O729" s="10" t="n">
        <x:f>AE728*N729</x:f>
        <x:v>123384.0869434326</x:v>
      </x:c>
      <x:c r="P729" s="9" t="n">
        <x:f>MIN(1,(AB728/(AE728*IF(tun_GroupInCrowding=1,N729,MIN(J729,L729))))^tun_CrowdingExp)</x:f>
        <x:v>0.5473116025034777</x:v>
      </x:c>
      <x:c r="Q729" s="9" t="n">
        <x:f>IF(D729=1,INDEX(tun_WinterMult,G729),1)</x:f>
        <x:v>1</x:v>
      </x:c>
      <x:c r="R729" s="9" t="n">
        <x:f>H729*Z728*tun_WomenShare*tun_BaseFertility*INDEX(tun_FertMult,G729)*Arch_Fertility*(1-P729)</x:f>
        <x:v>518.3565159053653</x:v>
      </x:c>
      <x:c r="S729" s="9" t="n">
        <x:f>H729*Y728*INDEX(tun_MortChild,G729)/4*Q729</x:f>
        <x:v>5.436578877920755</x:v>
      </x:c>
      <x:c r="T729" s="9" t="n">
        <x:f>H729*Z728*INDEX(tun_MortAdult,G729)*Arch_AdultMort/4*Q729</x:f>
        <x:v>18.874656875494374</x:v>
      </x:c>
      <x:c r="U729" s="9" t="n">
        <x:f>H729*AA728*INDEX(tun_MortElder,G729)/4*Q729</x:f>
        <x:v>250.40226521740888</x:v>
      </x:c>
      <x:c r="V729" s="9" t="n">
        <x:f>H729*MAX(0,AB728-O729)*tun_OvercapLoss</x:f>
        <x:v>0</x:v>
      </x:c>
      <x:c r="W729" s="9" t="n">
        <x:f>H729*Y728/(tun_ChildYears*4)</x:f>
        <x:v>431.47451412069483</x:v>
      </x:c>
      <x:c r="X729" s="9" t="n">
        <x:f>H729*Z728/(tun_AdultYears*4)</x:f>
        <x:v>405.90659947299724</x:v>
      </x:c>
      <x:c r="Y729" s="32" t="n">
        <x:f>Y728+R729-S729-W729-Y728*V729/AB728</x:f>
        <x:v>24244.01821366566</x:v>
      </x:c>
      <x:c r="Z729" s="32" t="n">
        <x:f>Z728+W729-X729-T729-Z728*V729/AB728</x:f>
        <x:v>50339.11159242386</x:v>
      </x:c>
      <x:c r="AA729" s="32" t="n">
        <x:f>AA728+X729-U729-AA728*V729/AB728</x:f>
        <x:v>37252.13621831616</x:v>
      </x:c>
      <x:c r="AB729" s="10" t="n">
        <x:f>Y729+Z729+AA729</x:f>
        <x:v>111835.26602440569</x:v>
      </x:c>
      <x:c r="AC729" s="8" t="n">
        <x:f>IF(AND(tun_WinterTrigger=1,D729=1,AB728/AE728&gt;=K729),1,0)</x:f>
        <x:v>0</x:v>
      </x:c>
      <x:c r="AD729" s="8" t="n">
        <x:f>H729*IF(AND(OR(AB728/AE728&gt;=tun_FissionTrigger*N729,AC729=1),AB728/AE728*tun_DaughterShare&gt;=tun_MinDaughter),MAX(1,ROUND(AE728*tun_FissionRate,0)),0)</x:f>
        <x:v>3</x:v>
      </x:c>
      <x:c r="AE729" s="8" t="n">
        <x:f>IF(H729=1,MAX(1,MIN(INDEX(tun_Smax,G729),AE728+AD729)),AE728)</x:f>
        <x:v>9</x:v>
      </x:c>
      <x:c r="AF729" s="8" t="n">
        <x:f>MAX(0,AE729-AE728)</x:f>
        <x:v>0</x:v>
      </x:c>
      <x:c r="AG729" s="9" t="str">
        <x:f>IF(AF729&gt;0,B729,"")</x:f>
      </x:c>
      <x:c r="AH729" s="9" t="n">
        <x:f>IF(F729&gt;=1,1,(1+tun_LowTiesShare*(AE729-1))/AE729)</x:f>
        <x:v>1</x:v>
      </x:c>
      <x:c r="AI729" s="32" t="n">
        <x:f>(Z729+tun_ElderCommons*INDEX(LM_Elder,G729)*AA729)*AH729</x:f>
        <x:v>196852.99938871048</x:v>
      </x:c>
      <x:c r="AJ729" s="32" t="n">
        <x:f>H729*tun_CommonsCoef*AI729^tun_CommonsExp*INDEX(LM_Commons,G729)</x:f>
        <x:v>679220.4749195299</x:v>
      </x:c>
      <x:c r="AK729" s="32" t="n">
        <x:f>H729*tun_RoleScale*Arch_Roles*(AE729*(INDEX(tun_ElderRolePerSett,G729)*tun_OutElder*INDEX(LM_Elder,G729)+INDEX(tun_ShamanPerSett,G729)*tun_OutShaman)+Z729*(INDEX(tun_PriestShare,G729)*tun_OutPriest+INDEX(tun_ScribeShare,G729)*tun_OutScribe*INDEX(LM_Scribe,G729)+INDEX(tun_ScholarShare,G729)*tun_OutScholar*INDEX(LM_Scholar,G729)+INDEX(tun_ResearcherShare,G729)*tun_OutResearcher*INDEX(LM_Researcher,G729)))</x:f>
        <x:v>181544.40876419572</x:v>
      </x:c>
      <x:c r="AL729" s="32" t="n">
        <x:f>H729*tun_RoleScale*Arch_Roles*AE729*INDEX(tun_MonasteryPerSett,G729)*tun_OutMonastery*INDEX(LM_Monastery,G729)</x:f>
        <x:v>15.840000000000002</x:v>
      </x:c>
      <x:c r="AM729" s="32" t="n">
        <x:f>(AJ729+AK729+AL729)/4*INDEX(LM_All,G729)*INDEX(tun_Boon,G729)*Arch_Insight</x:f>
        <x:v>745412.3671860681</x:v>
      </x:c>
      <x:c r="AN729" s="32" t="n">
        <x:f>H729*(tun_KHPerAdult*Z729+tun_KHOfCommons*AJ729/4*INDEX(LM_All,G729))*tun_KHUsable*Arch_KH</x:f>
        <x:v>115389.45603080197</x:v>
      </x:c>
      <x:c r="AO729" s="32" t="n">
        <x:f>MIN(AP728+AN729,AM729*tun_KHMaxRatio)</x:f>
        <x:v>115389.45603080197</x:v>
      </x:c>
      <x:c r="AP729" s="32" t="n">
        <x:f>AP728+AN729-AO729</x:f>
        <x:v>0</x:v>
      </x:c>
      <x:c r="AQ729" s="32" t="n">
        <x:f>AM729+AO729</x:f>
        <x:v>860801.8232168701</x:v>
      </x:c>
      <x:c r="AR729" s="10" t="n">
        <x:f>IF(H729=1,INDEX(tun_Req,G729),0)</x:f>
        <x:v>125406521.7009086</x:v>
      </x:c>
      <x:c r="AS729" s="32" t="n">
        <x:f>IF(H729=1,IF(E729=1,AS728-AR728,AS728)+AQ729,0)</x:f>
        <x:v>74362034.29895931</x:v>
      </x:c>
      <x:c r="AT729" s="11" t="n">
        <x:f>IF(AR729&gt;0,MIN(1,AS729/AR729),1)</x:f>
        <x:v>0.592967840032362</x:v>
      </x:c>
      <x:c r="AU729" s="10" t="n">
        <x:f>AB729/INDEX(tun_RepScale,G729)</x:f>
        <x:v>223.67053204881137</x:v>
      </x:c>
      <x:c r="AV729" s="32" t="n">
        <x:f>AM729*60/tun_SeasonSeconds</x:f>
        <x:v>2981649.4687442724</x:v>
      </x:c>
    </x:row>
    <x:row r="730">
      <x:c r="A730" s="8" t="n">
        <x:f>A729+1</x:f>
        <x:v>727</x:v>
      </x:c>
      <x:c r="B730" s="9" t="n">
        <x:f>A730*tun_SeasonSeconds/60</x:f>
        <x:v>181.75</x:v>
      </x:c>
      <x:c r="C730" s="9" t="n">
        <x:f>A730/4</x:f>
        <x:v>181.75</x:v>
      </x:c>
      <x:c r="D730" s="8" t="n">
        <x:f>IF(MOD(A730,4)=0,1,0)</x:f>
        <x:v>0</x:v>
      </x:c>
      <x:c r="E730" s="8" t="n">
        <x:f>IF(AND(F729&lt;=9,AS729&gt;=AR729),1,0)</x:f>
        <x:v>0</x:v>
      </x:c>
      <x:c r="F730" s="8" t="n">
        <x:f>MIN(10,F729+E730)</x:f>
        <x:v>9</x:v>
      </x:c>
      <x:c r="G730" s="8" t="n">
        <x:f>MIN(F730,9)+1</x:f>
        <x:v>10</x:v>
      </x:c>
      <x:c r="H730" s="8" t="n">
        <x:f>IF(F730&lt;=9,1,0)</x:f>
        <x:v>1</x:v>
      </x:c>
      <x:c r="I730" s="9" t="n">
        <x:f>MIN(10,F729+IF(AR729&gt;0,MIN(1,AS729/AR729),1))</x:f>
        <x:v>9.592967840032362</x:v>
      </x:c>
      <x:c r="J730" s="32" t="n">
        <x:f>INDEX(tun_FoodCap,G730)*Arch_FoodCap*EXP(tun_CapsByProject*SUMPRODUCT((Cap_Point&lt;=I730)*(Cap_Kind="Food")*Cap_Ln))</x:f>
        <x:v>17128.931901626256</x:v>
      </x:c>
      <x:c r="K730" s="32" t="n">
        <x:f>J730*MIN(1,tun_LeanBase*EXP(tun_CapsByProject*SUMPRODUCT((Cap_Point&lt;=I730)*(Cap_Kind="Lean")*Cap_Ln)))</x:f>
        <x:v>17128.931901626256</x:v>
      </x:c>
      <x:c r="L730" s="10" t="n">
        <x:f>INDEX(tun_HousingCap,G730)*EXP(tun_CapsByProject*SUMPRODUCT((Cap_Point&lt;=I730)*(Cap_Kind="Housing")*Cap_Ln))</x:f>
        <x:v>13709.342993714734</x:v>
      </x:c>
      <x:c r="M730" s="10" t="n">
        <x:f>INDEX(tun_GroupCap,G730)*tun_CohesionFactor*EXP(tun_CapsByProject*SUMPRODUCT((Cap_Point&lt;=I730)*(Cap_Kind="Group")*Cap_Ln))</x:f>
        <x:v>1000000.000000001</x:v>
      </x:c>
      <x:c r="N730" s="32" t="n">
        <x:f>MIN(J730,L730,M730)</x:f>
        <x:v>13709.342993714734</x:v>
      </x:c>
      <x:c r="O730" s="10" t="n">
        <x:f>AE729*N730</x:f>
        <x:v>123384.0869434326</x:v>
      </x:c>
      <x:c r="P730" s="9" t="n">
        <x:f>MIN(1,(AB729/(AE729*IF(tun_GroupInCrowding=1,N730,MIN(J730,L730))))^tun_CrowdingExp)</x:f>
        <x:v>0.5545206724845737</x:v>
      </x:c>
      <x:c r="Q730" s="9" t="n">
        <x:f>IF(D730=1,INDEX(tun_WinterMult,G730),1)</x:f>
        <x:v>1</x:v>
      </x:c>
      <x:c r="R730" s="9" t="n">
        <x:f>H730*Z729*tun_WomenShare*tun_BaseFertility*INDEX(tun_FertMult,G730)*Arch_Fertility*(1-P730)</x:f>
        <x:v>510.1695139431113</x:v>
      </x:c>
      <x:c r="S730" s="9" t="n">
        <x:f>H730*Y729*INDEX(tun_MortChild,G730)/4*Q730</x:f>
        <x:v>5.454904098074773</x:v>
      </x:c>
      <x:c r="T730" s="9" t="n">
        <x:f>H730*Z729*INDEX(tun_MortAdult,G730)*Arch_AdultMort/4*Q730</x:f>
        <x:v>18.87716684715895</x:v>
      </x:c>
      <x:c r="U730" s="9" t="n">
        <x:f>H730*AA729*INDEX(tun_MortElder,G730)/4*Q730</x:f>
        <x:v>251.4519194736341</x:v>
      </x:c>
      <x:c r="V730" s="9" t="n">
        <x:f>H730*MAX(0,AB729-O730)*tun_OvercapLoss</x:f>
        <x:v>0</x:v>
      </x:c>
      <x:c r="W730" s="9" t="n">
        <x:f>H730*Y729/(tun_ChildYears*4)</x:f>
        <x:v>432.92889667260107</x:v>
      </x:c>
      <x:c r="X730" s="9" t="n">
        <x:f>H730*Z729/(tun_AdultYears*4)</x:f>
        <x:v>405.96057735825696</x:v>
      </x:c>
      <x:c r="Y730" s="32" t="n">
        <x:f>Y729+R730-S730-W730-Y729*V730/AB729</x:f>
        <x:v>24315.803926838093</x:v>
      </x:c>
      <x:c r="Z730" s="32" t="n">
        <x:f>Z729+W730-X730-T730-Z729*V730/AB729</x:f>
        <x:v>50347.202744891045</x:v>
      </x:c>
      <x:c r="AA730" s="32" t="n">
        <x:f>AA729+X730-U730-AA729*V730/AB729</x:f>
        <x:v>37406.644876200786</x:v>
      </x:c>
      <x:c r="AB730" s="10" t="n">
        <x:f>Y730+Z730+AA730</x:f>
        <x:v>112069.65154792991</x:v>
      </x:c>
      <x:c r="AC730" s="8" t="n">
        <x:f>IF(AND(tun_WinterTrigger=1,D730=1,AB729/AE729&gt;=K730),1,0)</x:f>
        <x:v>0</x:v>
      </x:c>
      <x:c r="AD730" s="8" t="n">
        <x:f>H730*IF(AND(OR(AB729/AE729&gt;=tun_FissionTrigger*N730,AC730=1),AB729/AE729*tun_DaughterShare&gt;=tun_MinDaughter),MAX(1,ROUND(AE729*tun_FissionRate,0)),0)</x:f>
        <x:v>3</x:v>
      </x:c>
      <x:c r="AE730" s="8" t="n">
        <x:f>IF(H730=1,MAX(1,MIN(INDEX(tun_Smax,G730),AE729+AD730)),AE729)</x:f>
        <x:v>9</x:v>
      </x:c>
      <x:c r="AF730" s="8" t="n">
        <x:f>MAX(0,AE730-AE729)</x:f>
        <x:v>0</x:v>
      </x:c>
      <x:c r="AG730" s="9" t="str">
        <x:f>IF(AF730&gt;0,B730,"")</x:f>
      </x:c>
      <x:c r="AH730" s="9" t="n">
        <x:f>IF(F730&gt;=1,1,(1+tun_LowTiesShare*(AE730-1))/AE730)</x:f>
        <x:v>1</x:v>
      </x:c>
      <x:c r="AI730" s="32" t="n">
        <x:f>(Z730+tun_ElderCommons*INDEX(LM_Elder,G730)*AA730)*AH730</x:f>
        <x:v>197468.77821933373</x:v>
      </x:c>
      <x:c r="AJ730" s="32" t="n">
        <x:f>H730*tun_CommonsCoef*AI730^tun_CommonsExp*INDEX(LM_Commons,G730)</x:f>
        <x:v>681026.0295518946</x:v>
      </x:c>
      <x:c r="AK730" s="32" t="n">
        <x:f>H730*tun_RoleScale*Arch_Roles*(AE730*(INDEX(tun_ElderRolePerSett,G730)*tun_OutElder*INDEX(LM_Elder,G730)+INDEX(tun_ShamanPerSett,G730)*tun_OutShaman)+Z730*(INDEX(tun_PriestShare,G730)*tun_OutPriest+INDEX(tun_ScribeShare,G730)*tun_OutScribe*INDEX(LM_Scribe,G730)+INDEX(tun_ScholarShare,G730)*tun_OutScholar*INDEX(LM_Scholar,G730)+INDEX(tun_ResearcherShare,G730)*tun_OutResearcher*INDEX(LM_Researcher,G730)))</x:f>
        <x:v>181573.54881018074</x:v>
      </x:c>
      <x:c r="AL730" s="32" t="n">
        <x:f>H730*tun_RoleScale*Arch_Roles*AE730*INDEX(tun_MonasteryPerSett,G730)*tun_OutMonastery*INDEX(LM_Monastery,G730)</x:f>
        <x:v>15.840000000000002</x:v>
      </x:c>
      <x:c r="AM730" s="32" t="n">
        <x:f>(AJ730+AK730+AL730)/4*INDEX(LM_All,G730)*INDEX(tun_Boon,G730)*Arch_Insight</x:f>
        <x:v>747001.1621783626</x:v>
      </x:c>
      <x:c r="AN730" s="32" t="n">
        <x:f>H730*(tun_KHPerAdult*Z730+tun_KHOfCommons*AJ730/4*INDEX(LM_All,G730))*tun_KHUsable*Arch_KH</x:f>
        <x:v>115696.19290720008</x:v>
      </x:c>
      <x:c r="AO730" s="32" t="n">
        <x:f>MIN(AP729+AN730,AM730*tun_KHMaxRatio)</x:f>
        <x:v>115696.19290720008</x:v>
      </x:c>
      <x:c r="AP730" s="32" t="n">
        <x:f>AP729+AN730-AO730</x:f>
        <x:v>0</x:v>
      </x:c>
      <x:c r="AQ730" s="32" t="n">
        <x:f>AM730+AO730</x:f>
        <x:v>862697.3550855627</x:v>
      </x:c>
      <x:c r="AR730" s="10" t="n">
        <x:f>IF(H730=1,INDEX(tun_Req,G730),0)</x:f>
        <x:v>125406521.7009086</x:v>
      </x:c>
      <x:c r="AS730" s="32" t="n">
        <x:f>IF(H730=1,IF(E730=1,AS729-AR729,AS729)+AQ730,0)</x:f>
        <x:v>75224731.65404488</x:v>
      </x:c>
      <x:c r="AT730" s="11" t="n">
        <x:f>IF(AR730&gt;0,MIN(1,AS730/AR730),1)</x:f>
        <x:v>0.5998470464993357</x:v>
      </x:c>
      <x:c r="AU730" s="10" t="n">
        <x:f>AB730/INDEX(tun_RepScale,G730)</x:f>
        <x:v>224.13930309585982</x:v>
      </x:c>
      <x:c r="AV730" s="32" t="n">
        <x:f>AM730*60/tun_SeasonSeconds</x:f>
        <x:v>2988004.6487134504</x:v>
      </x:c>
    </x:row>
    <x:row r="731">
      <x:c r="A731" s="8" t="n">
        <x:f>A730+1</x:f>
        <x:v>728</x:v>
      </x:c>
      <x:c r="B731" s="9" t="n">
        <x:f>A731*tun_SeasonSeconds/60</x:f>
        <x:v>182</x:v>
      </x:c>
      <x:c r="C731" s="9" t="n">
        <x:f>A731/4</x:f>
        <x:v>182</x:v>
      </x:c>
      <x:c r="D731" s="8" t="n">
        <x:f>IF(MOD(A731,4)=0,1,0)</x:f>
        <x:v>1</x:v>
      </x:c>
      <x:c r="E731" s="8" t="n">
        <x:f>IF(AND(F730&lt;=9,AS730&gt;=AR730),1,0)</x:f>
        <x:v>0</x:v>
      </x:c>
      <x:c r="F731" s="8" t="n">
        <x:f>MIN(10,F730+E731)</x:f>
        <x:v>9</x:v>
      </x:c>
      <x:c r="G731" s="8" t="n">
        <x:f>MIN(F731,9)+1</x:f>
        <x:v>10</x:v>
      </x:c>
      <x:c r="H731" s="8" t="n">
        <x:f>IF(F731&lt;=9,1,0)</x:f>
        <x:v>1</x:v>
      </x:c>
      <x:c r="I731" s="9" t="n">
        <x:f>MIN(10,F730+IF(AR730&gt;0,MIN(1,AS730/AR730),1))</x:f>
        <x:v>9.599847046499336</x:v>
      </x:c>
      <x:c r="J731" s="32" t="n">
        <x:f>INDEX(tun_FoodCap,G731)*Arch_FoodCap*EXP(tun_CapsByProject*SUMPRODUCT((Cap_Point&lt;=I731)*(Cap_Kind="Food")*Cap_Ln))</x:f>
        <x:v>17128.931901626256</x:v>
      </x:c>
      <x:c r="K731" s="32" t="n">
        <x:f>J731*MIN(1,tun_LeanBase*EXP(tun_CapsByProject*SUMPRODUCT((Cap_Point&lt;=I731)*(Cap_Kind="Lean")*Cap_Ln)))</x:f>
        <x:v>17128.931901626256</x:v>
      </x:c>
      <x:c r="L731" s="10" t="n">
        <x:f>INDEX(tun_HousingCap,G731)*EXP(tun_CapsByProject*SUMPRODUCT((Cap_Point&lt;=I731)*(Cap_Kind="Housing")*Cap_Ln))</x:f>
        <x:v>13709.342993714734</x:v>
      </x:c>
      <x:c r="M731" s="10" t="n">
        <x:f>INDEX(tun_GroupCap,G731)*tun_CohesionFactor*EXP(tun_CapsByProject*SUMPRODUCT((Cap_Point&lt;=I731)*(Cap_Kind="Group")*Cap_Ln))</x:f>
        <x:v>1000000.000000001</x:v>
      </x:c>
      <x:c r="N731" s="32" t="n">
        <x:f>MIN(J731,L731,M731)</x:f>
        <x:v>13709.342993714734</x:v>
      </x:c>
      <x:c r="O731" s="10" t="n">
        <x:f>AE730*N731</x:f>
        <x:v>123384.0869434326</x:v>
      </x:c>
      <x:c r="P731" s="9" t="n">
        <x:f>MIN(1,(AB730/(AE730*IF(tun_GroupInCrowding=1,N731,MIN(J731,L731))))^tun_CrowdingExp)</x:f>
        <x:v>0.5615303315178258</x:v>
      </x:c>
      <x:c r="Q731" s="9" t="n">
        <x:f>IF(D731=1,INDEX(tun_WinterMult,G731),1)</x:f>
        <x:v>1.05</x:v>
      </x:c>
      <x:c r="R731" s="9" t="n">
        <x:f>H731*Z730*tun_WomenShare*tun_BaseFertility*INDEX(tun_FertMult,G731)*Arch_Fertility*(1-P731)</x:f>
        <x:v>502.2226594966759</x:v>
      </x:c>
      <x:c r="S731" s="9" t="n">
        <x:f>H731*Y730*INDEX(tun_MortChild,G731)/4*Q731</x:f>
        <x:v>5.7446086777155</x:v>
      </x:c>
      <x:c r="T731" s="9" t="n">
        <x:f>H731*Z730*INDEX(tun_MortAdult,G731)*Arch_AdultMort/4*Q731</x:f>
        <x:v>19.82421108080085</x:v>
      </x:c>
      <x:c r="U731" s="9" t="n">
        <x:f>H731*AA730*INDEX(tun_MortElder,G731)/4*Q731</x:f>
        <x:v>265.1195955600731</x:v>
      </x:c>
      <x:c r="V731" s="9" t="n">
        <x:f>H731*MAX(0,AB730-O731)*tun_OvercapLoss</x:f>
        <x:v>0</x:v>
      </x:c>
      <x:c r="W731" s="9" t="n">
        <x:f>H731*Y730/(tun_ChildYears*4)</x:f>
        <x:v>434.2107844078231</x:v>
      </x:c>
      <x:c r="X731" s="9" t="n">
        <x:f>H731*Z730/(tun_AdultYears*4)</x:f>
        <x:v>406.02582858783103</x:v>
      </x:c>
      <x:c r="Y731" s="32" t="n">
        <x:f>Y730+R731-S731-W731-Y730*V731/AB730</x:f>
        <x:v>24378.071193249227</x:v>
      </x:c>
      <x:c r="Z731" s="32" t="n">
        <x:f>Z730+W731-X731-T731-Z730*V731/AB730</x:f>
        <x:v>50355.563489630236</x:v>
      </x:c>
      <x:c r="AA731" s="32" t="n">
        <x:f>AA730+X731-U731-AA730*V731/AB730</x:f>
        <x:v>37547.551109228545</x:v>
      </x:c>
      <x:c r="AB731" s="10" t="n">
        <x:f>Y731+Z731+AA731</x:f>
        <x:v>112281.18579210801</x:v>
      </x:c>
      <x:c r="AC731" s="8" t="n">
        <x:f>IF(AND(tun_WinterTrigger=1,D731=1,AB730/AE730&gt;=K731),1,0)</x:f>
        <x:v>0</x:v>
      </x:c>
      <x:c r="AD731" s="8" t="n">
        <x:f>H731*IF(AND(OR(AB730/AE730&gt;=tun_FissionTrigger*N731,AC731=1),AB730/AE730*tun_DaughterShare&gt;=tun_MinDaughter),MAX(1,ROUND(AE730*tun_FissionRate,0)),0)</x:f>
        <x:v>3</x:v>
      </x:c>
      <x:c r="AE731" s="8" t="n">
        <x:f>IF(H731=1,MAX(1,MIN(INDEX(tun_Smax,G731),AE730+AD731)),AE730)</x:f>
        <x:v>9</x:v>
      </x:c>
      <x:c r="AF731" s="8" t="n">
        <x:f>MAX(0,AE731-AE730)</x:f>
        <x:v>0</x:v>
      </x:c>
      <x:c r="AG731" s="9" t="str">
        <x:f>IF(AF731&gt;0,B731,"")</x:f>
      </x:c>
      <x:c r="AH731" s="9" t="n">
        <x:f>IF(F731&gt;=1,1,(1+tun_LowTiesShare*(AE731-1))/AE731)</x:f>
        <x:v>1</x:v>
      </x:c>
      <x:c r="AI731" s="32" t="n">
        <x:f>(Z731+tun_ElderCommons*INDEX(LM_Elder,G731)*AA731)*AH731</x:f>
        <x:v>198031.3278539298</x:v>
      </x:c>
      <x:c r="AJ731" s="32" t="n">
        <x:f>H731*tun_CommonsCoef*AI731^tun_CommonsExp*INDEX(LM_Commons,G731)</x:f>
        <x:v>682674.7701985489</x:v>
      </x:c>
      <x:c r="AK731" s="32" t="n">
        <x:f>H731*tun_RoleScale*Arch_Roles*(AE731*(INDEX(tun_ElderRolePerSett,G731)*tun_OutElder*INDEX(LM_Elder,G731)+INDEX(tun_ShamanPerSett,G731)*tun_OutShaman)+Z731*(INDEX(tun_PriestShare,G731)*tun_OutPriest+INDEX(tun_ScribeShare,G731)*tun_OutScribe*INDEX(LM_Scribe,G731)+INDEX(tun_ScholarShare,G731)*tun_OutScholar*INDEX(LM_Scholar,G731)+INDEX(tun_ResearcherShare,G731)*tun_OutResearcher*INDEX(LM_Researcher,G731)))</x:f>
        <x:v>181603.65978474924</x:v>
      </x:c>
      <x:c r="AL731" s="32" t="n">
        <x:f>H731*tun_RoleScale*Arch_Roles*AE731*INDEX(tun_MonasteryPerSett,G731)*tun_OutMonastery*INDEX(LM_Monastery,G731)</x:f>
        <x:v>15.840000000000002</x:v>
      </x:c>
      <x:c r="AM731" s="32" t="n">
        <x:f>(AJ731+AK731+AL731)/4*INDEX(LM_All,G731)*INDEX(tun_Boon,G731)*Arch_Insight</x:f>
        <x:v>748455.0013811905</x:v>
      </x:c>
      <x:c r="AN731" s="32" t="n">
        <x:f>H731*(tun_KHPerAdult*Z731+tun_KHOfCommons*AJ731/4*INDEX(LM_All,G731))*tun_KHUsable*Arch_KH</x:f>
        <x:v>115976.28941986169</x:v>
      </x:c>
      <x:c r="AO731" s="32" t="n">
        <x:f>MIN(AP730+AN731,AM731*tun_KHMaxRatio)</x:f>
        <x:v>115976.28941986169</x:v>
      </x:c>
      <x:c r="AP731" s="32" t="n">
        <x:f>AP730+AN731-AO731</x:f>
        <x:v>0</x:v>
      </x:c>
      <x:c r="AQ731" s="32" t="n">
        <x:f>AM731+AO731</x:f>
        <x:v>864431.2908010522</x:v>
      </x:c>
      <x:c r="AR731" s="10" t="n">
        <x:f>IF(H731=1,INDEX(tun_Req,G731),0)</x:f>
        <x:v>125406521.7009086</x:v>
      </x:c>
      <x:c r="AS731" s="32" t="n">
        <x:f>IF(H731=1,IF(E731=1,AS730-AR730,AS730)+AQ731,0)</x:f>
        <x:v>76089162.94484593</x:v>
      </x:c>
      <x:c r="AT731" s="11" t="n">
        <x:f>IF(AR731&gt;0,MIN(1,AS731/AR731),1)</x:f>
        <x:v>0.6067400794857916</x:v>
      </x:c>
      <x:c r="AU731" s="10" t="n">
        <x:f>AB731/INDEX(tun_RepScale,G731)</x:f>
        <x:v>224.562371584216</x:v>
      </x:c>
      <x:c r="AV731" s="32" t="n">
        <x:f>AM731*60/tun_SeasonSeconds</x:f>
        <x:v>2993820.005524762</x:v>
      </x:c>
    </x:row>
    <x:row r="732">
      <x:c r="A732" s="8" t="n">
        <x:f>A731+1</x:f>
        <x:v>729</x:v>
      </x:c>
      <x:c r="B732" s="9" t="n">
        <x:f>A732*tun_SeasonSeconds/60</x:f>
        <x:v>182.25</x:v>
      </x:c>
      <x:c r="C732" s="9" t="n">
        <x:f>A732/4</x:f>
        <x:v>182.25</x:v>
      </x:c>
      <x:c r="D732" s="8" t="n">
        <x:f>IF(MOD(A732,4)=0,1,0)</x:f>
        <x:v>0</x:v>
      </x:c>
      <x:c r="E732" s="8" t="n">
        <x:f>IF(AND(F731&lt;=9,AS731&gt;=AR731),1,0)</x:f>
        <x:v>0</x:v>
      </x:c>
      <x:c r="F732" s="8" t="n">
        <x:f>MIN(10,F731+E732)</x:f>
        <x:v>9</x:v>
      </x:c>
      <x:c r="G732" s="8" t="n">
        <x:f>MIN(F732,9)+1</x:f>
        <x:v>10</x:v>
      </x:c>
      <x:c r="H732" s="8" t="n">
        <x:f>IF(F732&lt;=9,1,0)</x:f>
        <x:v>1</x:v>
      </x:c>
      <x:c r="I732" s="9" t="n">
        <x:f>MIN(10,F731+IF(AR731&gt;0,MIN(1,AS731/AR731),1))</x:f>
        <x:v>9.606740079485792</x:v>
      </x:c>
      <x:c r="J732" s="32" t="n">
        <x:f>INDEX(tun_FoodCap,G732)*Arch_FoodCap*EXP(tun_CapsByProject*SUMPRODUCT((Cap_Point&lt;=I732)*(Cap_Kind="Food")*Cap_Ln))</x:f>
        <x:v>18627.260449441455</x:v>
      </x:c>
      <x:c r="K732" s="32" t="n">
        <x:f>J732*MIN(1,tun_LeanBase*EXP(tun_CapsByProject*SUMPRODUCT((Cap_Point&lt;=I732)*(Cap_Kind="Lean")*Cap_Ln)))</x:f>
        <x:v>18627.260449441455</x:v>
      </x:c>
      <x:c r="L732" s="10" t="n">
        <x:f>INDEX(tun_HousingCap,G732)*EXP(tun_CapsByProject*SUMPRODUCT((Cap_Point&lt;=I732)*(Cap_Kind="Housing")*Cap_Ln))</x:f>
        <x:v>20528.974303173167</x:v>
      </x:c>
      <x:c r="M732" s="10" t="n">
        <x:f>INDEX(tun_GroupCap,G732)*tun_CohesionFactor*EXP(tun_CapsByProject*SUMPRODUCT((Cap_Point&lt;=I732)*(Cap_Kind="Group")*Cap_Ln))</x:f>
        <x:v>1000000.000000001</x:v>
      </x:c>
      <x:c r="N732" s="32" t="n">
        <x:f>MIN(J732,L732,M732)</x:f>
        <x:v>18627.260449441455</x:v>
      </x:c>
      <x:c r="O732" s="10" t="n">
        <x:f>AE731*N732</x:f>
        <x:v>167645.34404497308</x:v>
      </x:c>
      <x:c r="P732" s="9" t="n">
        <x:f>MIN(1,(AB731/(AE731*IF(tun_GroupInCrowding=1,N732,MIN(J732,L732))))^tun_CrowdingExp)</x:f>
        <x:v>0.09025950857802235</x:v>
      </x:c>
      <x:c r="Q732" s="9" t="n">
        <x:f>IF(D732=1,INDEX(tun_WinterMult,G732),1)</x:f>
        <x:v>1</x:v>
      </x:c>
      <x:c r="R732" s="9" t="n">
        <x:f>H732*Z731*tun_WomenShare*tun_BaseFertility*INDEX(tun_FertMult,G732)*Arch_Fertility*(1-P732)</x:f>
        <x:v>1042.1887629536748</x:v>
      </x:c>
      <x:c r="S732" s="9" t="n">
        <x:f>H732*Y731*INDEX(tun_MortChild,G732)/4*Q732</x:f>
        <x:v>5.485066018481076</x:v>
      </x:c>
      <x:c r="T732" s="9" t="n">
        <x:f>H732*Z731*INDEX(tun_MortAdult,G732)*Arch_AdultMort/4*Q732</x:f>
        <x:v>18.883336308611337</x:v>
      </x:c>
      <x:c r="U732" s="9" t="n">
        <x:f>H732*AA731*INDEX(tun_MortElder,G732)/4*Q732</x:f>
        <x:v>253.44596998729267</x:v>
      </x:c>
      <x:c r="V732" s="9" t="n">
        <x:f>H732*MAX(0,AB731-O732)*tun_OvercapLoss</x:f>
        <x:v>0</x:v>
      </x:c>
      <x:c r="W732" s="9" t="n">
        <x:f>H732*Y731/(tun_ChildYears*4)</x:f>
        <x:v>435.32269987945045</x:v>
      </x:c>
      <x:c r="X732" s="9" t="n">
        <x:f>H732*Z731/(tun_AdultYears*4)</x:f>
        <x:v>406.09325394863095</x:v>
      </x:c>
      <x:c r="Y732" s="32" t="n">
        <x:f>Y731+R732-S732-W732-Y731*V732/AB731</x:f>
        <x:v>24979.45219030497</x:v>
      </x:c>
      <x:c r="Z732" s="32" t="n">
        <x:f>Z731+W732-X732-T732-Z731*V732/AB731</x:f>
        <x:v>50365.909599252445</x:v>
      </x:c>
      <x:c r="AA732" s="32" t="n">
        <x:f>AA731+X732-U732-AA731*V732/AB731</x:f>
        <x:v>37700.19839318989</x:v>
      </x:c>
      <x:c r="AB732" s="10" t="n">
        <x:f>Y732+Z732+AA732</x:f>
        <x:v>113045.5601827473</x:v>
      </x:c>
      <x:c r="AC732" s="8" t="n">
        <x:f>IF(AND(tun_WinterTrigger=1,D732=1,AB731/AE731&gt;=K732),1,0)</x:f>
        <x:v>0</x:v>
      </x:c>
      <x:c r="AD732" s="8" t="n">
        <x:f>H732*IF(AND(OR(AB731/AE731&gt;=tun_FissionTrigger*N732,AC732=1),AB731/AE731*tun_DaughterShare&gt;=tun_MinDaughter),MAX(1,ROUND(AE731*tun_FissionRate,0)),0)</x:f>
        <x:v>0</x:v>
      </x:c>
      <x:c r="AE732" s="8" t="n">
        <x:f>IF(H732=1,MAX(1,MIN(INDEX(tun_Smax,G732),AE731+AD732)),AE731)</x:f>
        <x:v>9</x:v>
      </x:c>
      <x:c r="AF732" s="8" t="n">
        <x:f>MAX(0,AE732-AE731)</x:f>
        <x:v>0</x:v>
      </x:c>
      <x:c r="AG732" s="9" t="str">
        <x:f>IF(AF732&gt;0,B732,"")</x:f>
      </x:c>
      <x:c r="AH732" s="9" t="n">
        <x:f>IF(F732&gt;=1,1,(1+tun_LowTiesShare*(AE732-1))/AE732)</x:f>
        <x:v>1</x:v>
      </x:c>
      <x:c r="AI732" s="32" t="n">
        <x:f>(Z732+tun_ElderCommons*INDEX(LM_Elder,G732)*AA732)*AH732</x:f>
        <x:v>198642.04079630628</x:v>
      </x:c>
      <x:c r="AJ732" s="32" t="n">
        <x:f>H732*tun_CommonsCoef*AI732^tun_CommonsExp*INDEX(LM_Commons,G732)</x:f>
        <x:v>684463.8745004277</x:v>
      </x:c>
      <x:c r="AK732" s="32" t="n">
        <x:f>H732*tun_RoleScale*Arch_Roles*(AE732*(INDEX(tun_ElderRolePerSett,G732)*tun_OutElder*INDEX(LM_Elder,G732)+INDEX(tun_ShamanPerSett,G732)*tun_OutShaman)+Z732*(INDEX(tun_PriestShare,G732)*tun_OutPriest+INDEX(tun_ScribeShare,G732)*tun_OutScribe*INDEX(LM_Scribe,G732)+INDEX(tun_ScholarShare,G732)*tun_OutScholar*INDEX(LM_Scholar,G732)+INDEX(tun_ResearcherShare,G732)*tun_OutResearcher*INDEX(LM_Researcher,G732)))</x:f>
        <x:v>181640.92099214584</x:v>
      </x:c>
      <x:c r="AL732" s="32" t="n">
        <x:f>H732*tun_RoleScale*Arch_Roles*AE732*INDEX(tun_MonasteryPerSett,G732)*tun_OutMonastery*INDEX(LM_Monastery,G732)</x:f>
        <x:v>15.840000000000002</x:v>
      </x:c>
      <x:c r="AM732" s="32" t="n">
        <x:f>(AJ732+AK732+AL732)/4*INDEX(LM_All,G732)*INDEX(tun_Boon,G732)*Arch_Insight</x:f>
        <x:v>750036.5835427772</x:v>
      </x:c>
      <x:c r="AN732" s="32" t="n">
        <x:f>H732*(tun_KHPerAdult*Z732+tun_KHOfCommons*AJ732/4*INDEX(LM_All,G732))*tun_KHUsable*Arch_KH</x:f>
        <x:v>116280.23162979083</x:v>
      </x:c>
      <x:c r="AO732" s="32" t="n">
        <x:f>MIN(AP731+AN732,AM732*tun_KHMaxRatio)</x:f>
        <x:v>116280.23162979083</x:v>
      </x:c>
      <x:c r="AP732" s="32" t="n">
        <x:f>AP731+AN732-AO732</x:f>
        <x:v>0</x:v>
      </x:c>
      <x:c r="AQ732" s="32" t="n">
        <x:f>AM732+AO732</x:f>
        <x:v>866316.8151725681</x:v>
      </x:c>
      <x:c r="AR732" s="10" t="n">
        <x:f>IF(H732=1,INDEX(tun_Req,G732),0)</x:f>
        <x:v>125406521.7009086</x:v>
      </x:c>
      <x:c r="AS732" s="32" t="n">
        <x:f>IF(H732=1,IF(E732=1,AS731-AR731,AS731)+AQ732,0)</x:f>
        <x:v>76955479.7600185</x:v>
      </x:c>
      <x:c r="AT732" s="11" t="n">
        <x:f>IF(AR732&gt;0,MIN(1,AS732/AR732),1)</x:f>
        <x:v>0.6136481477698216</x:v>
      </x:c>
      <x:c r="AU732" s="10" t="n">
        <x:f>AB732/INDEX(tun_RepScale,G732)</x:f>
        <x:v>226.0911203654946</x:v>
      </x:c>
      <x:c r="AV732" s="32" t="n">
        <x:f>AM732*60/tun_SeasonSeconds</x:f>
        <x:v>3000146.334171109</x:v>
      </x:c>
    </x:row>
    <x:row r="733">
      <x:c r="A733" s="8" t="n">
        <x:f>A732+1</x:f>
        <x:v>730</x:v>
      </x:c>
      <x:c r="B733" s="9" t="n">
        <x:f>A733*tun_SeasonSeconds/60</x:f>
        <x:v>182.5</x:v>
      </x:c>
      <x:c r="C733" s="9" t="n">
        <x:f>A733/4</x:f>
        <x:v>182.5</x:v>
      </x:c>
      <x:c r="D733" s="8" t="n">
        <x:f>IF(MOD(A733,4)=0,1,0)</x:f>
        <x:v>0</x:v>
      </x:c>
      <x:c r="E733" s="8" t="n">
        <x:f>IF(AND(F732&lt;=9,AS732&gt;=AR732),1,0)</x:f>
        <x:v>0</x:v>
      </x:c>
      <x:c r="F733" s="8" t="n">
        <x:f>MIN(10,F732+E733)</x:f>
        <x:v>9</x:v>
      </x:c>
      <x:c r="G733" s="8" t="n">
        <x:f>MIN(F733,9)+1</x:f>
        <x:v>10</x:v>
      </x:c>
      <x:c r="H733" s="8" t="n">
        <x:f>IF(F733&lt;=9,1,0)</x:f>
        <x:v>1</x:v>
      </x:c>
      <x:c r="I733" s="9" t="n">
        <x:f>MIN(10,F732+IF(AR732&gt;0,MIN(1,AS732/AR732),1))</x:f>
        <x:v>9.61364814776982</x:v>
      </x:c>
      <x:c r="J733" s="32" t="n">
        <x:f>INDEX(tun_FoodCap,G733)*Arch_FoodCap*EXP(tun_CapsByProject*SUMPRODUCT((Cap_Point&lt;=I733)*(Cap_Kind="Food")*Cap_Ln))</x:f>
        <x:v>18627.260449441455</x:v>
      </x:c>
      <x:c r="K733" s="32" t="n">
        <x:f>J733*MIN(1,tun_LeanBase*EXP(tun_CapsByProject*SUMPRODUCT((Cap_Point&lt;=I733)*(Cap_Kind="Lean")*Cap_Ln)))</x:f>
        <x:v>18627.260449441455</x:v>
      </x:c>
      <x:c r="L733" s="10" t="n">
        <x:f>INDEX(tun_HousingCap,G733)*EXP(tun_CapsByProject*SUMPRODUCT((Cap_Point&lt;=I733)*(Cap_Kind="Housing")*Cap_Ln))</x:f>
        <x:v>20528.974303173167</x:v>
      </x:c>
      <x:c r="M733" s="10" t="n">
        <x:f>INDEX(tun_GroupCap,G733)*tun_CohesionFactor*EXP(tun_CapsByProject*SUMPRODUCT((Cap_Point&lt;=I733)*(Cap_Kind="Group")*Cap_Ln))</x:f>
        <x:v>1000000.000000001</x:v>
      </x:c>
      <x:c r="N733" s="32" t="n">
        <x:f>MIN(J733,L733,M733)</x:f>
        <x:v>18627.260449441455</x:v>
      </x:c>
      <x:c r="O733" s="10" t="n">
        <x:f>AE732*N733</x:f>
        <x:v>167645.34404497308</x:v>
      </x:c>
      <x:c r="P733" s="9" t="n">
        <x:f>MIN(1,(AB732/(AE732*IF(tun_GroupInCrowding=1,N733,MIN(J733,L733))))^tun_CrowdingExp)</x:f>
        <x:v>0.09400957366195371</x:v>
      </x:c>
      <x:c r="Q733" s="9" t="n">
        <x:f>IF(D733=1,INDEX(tun_WinterMult,G733),1)</x:f>
        <x:v>1</x:v>
      </x:c>
      <x:c r="R733" s="9" t="n">
        <x:f>H733*Z732*tun_WomenShare*tun_BaseFertility*INDEX(tun_FertMult,G733)*Arch_Fertility*(1-P733)</x:f>
        <x:v>1038.1059759691125</x:v>
      </x:c>
      <x:c r="S733" s="9" t="n">
        <x:f>H733*Y732*INDEX(tun_MortChild,G733)/4*Q733</x:f>
        <x:v>5.620376742818618</x:v>
      </x:c>
      <x:c r="T733" s="9" t="n">
        <x:f>H733*Z732*INDEX(tun_MortAdult,G733)*Arch_AdultMort/4*Q733</x:f>
        <x:v>18.887216099719666</x:v>
      </x:c>
      <x:c r="U733" s="9" t="n">
        <x:f>H733*AA732*INDEX(tun_MortElder,G733)/4*Q733</x:f>
        <x:v>254.47633915403173</x:v>
      </x:c>
      <x:c r="V733" s="9" t="n">
        <x:f>H733*MAX(0,AB732-O733)*tun_OvercapLoss</x:f>
        <x:v>0</x:v>
      </x:c>
      <x:c r="W733" s="9" t="n">
        <x:f>H733*Y732/(tun_ChildYears*4)</x:f>
        <x:v>446.0616462554459</x:v>
      </x:c>
      <x:c r="X733" s="9" t="n">
        <x:f>H733*Z732/(tun_AdultYears*4)</x:f>
        <x:v>406.17669031655197</x:v>
      </x:c>
      <x:c r="Y733" s="32" t="n">
        <x:f>Y732+R733-S733-W733-Y732*V733/AB732</x:f>
        <x:v>25565.87614327582</x:v>
      </x:c>
      <x:c r="Z733" s="32" t="n">
        <x:f>Z732+W733-X733-T733-Z732*V733/AB732</x:f>
        <x:v>50386.90733909162</x:v>
      </x:c>
      <x:c r="AA733" s="32" t="n">
        <x:f>AA732+X733-U733-AA732*V733/AB732</x:f>
        <x:v>37851.89874435241</x:v>
      </x:c>
      <x:c r="AB733" s="10" t="n">
        <x:f>Y733+Z733+AA733</x:f>
        <x:v>113804.68222671984</x:v>
      </x:c>
      <x:c r="AC733" s="8" t="n">
        <x:f>IF(AND(tun_WinterTrigger=1,D733=1,AB732/AE732&gt;=K733),1,0)</x:f>
        <x:v>0</x:v>
      </x:c>
      <x:c r="AD733" s="8" t="n">
        <x:f>H733*IF(AND(OR(AB732/AE732&gt;=tun_FissionTrigger*N733,AC733=1),AB732/AE732*tun_DaughterShare&gt;=tun_MinDaughter),MAX(1,ROUND(AE732*tun_FissionRate,0)),0)</x:f>
        <x:v>0</x:v>
      </x:c>
      <x:c r="AE733" s="8" t="n">
        <x:f>IF(H733=1,MAX(1,MIN(INDEX(tun_Smax,G733),AE732+AD733)),AE732)</x:f>
        <x:v>9</x:v>
      </x:c>
      <x:c r="AF733" s="8" t="n">
        <x:f>MAX(0,AE733-AE732)</x:f>
        <x:v>0</x:v>
      </x:c>
      <x:c r="AG733" s="9" t="str">
        <x:f>IF(AF733&gt;0,B733,"")</x:f>
      </x:c>
      <x:c r="AH733" s="9" t="n">
        <x:f>IF(F733&gt;=1,1,(1+tun_LowTiesShare*(AE733-1))/AE733)</x:f>
        <x:v>1</x:v>
      </x:c>
      <x:c r="AI733" s="32" t="n">
        <x:f>(Z733+tun_ElderCommons*INDEX(LM_Elder,G733)*AA733)*AH733</x:f>
        <x:v>199259.6810507821</x:v>
      </x:c>
      <x:c r="AJ733" s="32" t="n">
        <x:f>H733*tun_CommonsCoef*AI733^tun_CommonsExp*INDEX(LM_Commons,G733)</x:f>
        <x:v>686272.4336363296</x:v>
      </x:c>
      <x:c r="AK733" s="32" t="n">
        <x:f>H733*tun_RoleScale*Arch_Roles*(AE733*(INDEX(tun_ElderRolePerSett,G733)*tun_OutElder*INDEX(LM_Elder,G733)+INDEX(tun_ShamanPerSett,G733)*tun_OutShaman)+Z733*(INDEX(tun_PriestShare,G733)*tun_OutPriest+INDEX(tun_ScribeShare,G733)*tun_OutScribe*INDEX(LM_Scribe,G733)+INDEX(tun_ScholarShare,G733)*tun_OutScholar*INDEX(LM_Scholar,G733)+INDEX(tun_ResearcherShare,G733)*tun_OutResearcher*INDEX(LM_Researcher,G733)))</x:f>
        <x:v>181716.54373031284</x:v>
      </x:c>
      <x:c r="AL733" s="32" t="n">
        <x:f>H733*tun_RoleScale*Arch_Roles*AE733*INDEX(tun_MonasteryPerSett,G733)*tun_OutMonastery*INDEX(LM_Monastery,G733)</x:f>
        <x:v>15.840000000000002</x:v>
      </x:c>
      <x:c r="AM733" s="32" t="n">
        <x:f>(AJ733+AK733+AL733)/4*INDEX(LM_All,G733)*INDEX(tun_Boon,G733)*Arch_Insight</x:f>
        <x:v>751668.2330817541</x:v>
      </x:c>
      <x:c r="AN733" s="32" t="n">
        <x:f>H733*(tun_KHPerAdult*Z733+tun_KHOfCommons*AJ733/4*INDEX(LM_All,G733))*tun_KHUsable*Arch_KH</x:f>
        <x:v>116587.47892665121</x:v>
      </x:c>
      <x:c r="AO733" s="32" t="n">
        <x:f>MIN(AP732+AN733,AM733*tun_KHMaxRatio)</x:f>
        <x:v>116587.47892665121</x:v>
      </x:c>
      <x:c r="AP733" s="32" t="n">
        <x:f>AP732+AN733-AO733</x:f>
        <x:v>0</x:v>
      </x:c>
      <x:c r="AQ733" s="32" t="n">
        <x:f>AM733+AO733</x:f>
        <x:v>868255.7120084052</x:v>
      </x:c>
      <x:c r="AR733" s="10" t="n">
        <x:f>IF(H733=1,INDEX(tun_Req,G733),0)</x:f>
        <x:v>125406521.7009086</x:v>
      </x:c>
      <x:c r="AS733" s="32" t="n">
        <x:f>IF(H733=1,IF(E733=1,AS732-AR732,AS732)+AQ733,0)</x:f>
        <x:v>77823735.4720269</x:v>
      </x:c>
      <x:c r="AT733" s="11" t="n">
        <x:f>IF(AR733&gt;0,MIN(1,AS733/AR733),1)</x:f>
        <x:v>0.6205716769470295</x:v>
      </x:c>
      <x:c r="AU733" s="10" t="n">
        <x:f>AB733/INDEX(tun_RepScale,G733)</x:f>
        <x:v>227.6093644534397</x:v>
      </x:c>
      <x:c r="AV733" s="32" t="n">
        <x:f>AM733*60/tun_SeasonSeconds</x:f>
        <x:v>3006672.9323270163</x:v>
      </x:c>
    </x:row>
    <x:row r="734">
      <x:c r="A734" s="8" t="n">
        <x:f>A733+1</x:f>
        <x:v>731</x:v>
      </x:c>
      <x:c r="B734" s="9" t="n">
        <x:f>A734*tun_SeasonSeconds/60</x:f>
        <x:v>182.75</x:v>
      </x:c>
      <x:c r="C734" s="9" t="n">
        <x:f>A734/4</x:f>
        <x:v>182.75</x:v>
      </x:c>
      <x:c r="D734" s="8" t="n">
        <x:f>IF(MOD(A734,4)=0,1,0)</x:f>
        <x:v>0</x:v>
      </x:c>
      <x:c r="E734" s="8" t="n">
        <x:f>IF(AND(F733&lt;=9,AS733&gt;=AR733),1,0)</x:f>
        <x:v>0</x:v>
      </x:c>
      <x:c r="F734" s="8" t="n">
        <x:f>MIN(10,F733+E734)</x:f>
        <x:v>9</x:v>
      </x:c>
      <x:c r="G734" s="8" t="n">
        <x:f>MIN(F734,9)+1</x:f>
        <x:v>10</x:v>
      </x:c>
      <x:c r="H734" s="8" t="n">
        <x:f>IF(F734&lt;=9,1,0)</x:f>
        <x:v>1</x:v>
      </x:c>
      <x:c r="I734" s="9" t="n">
        <x:f>MIN(10,F733+IF(AR733&gt;0,MIN(1,AS733/AR733),1))</x:f>
        <x:v>9.62057167694703</x:v>
      </x:c>
      <x:c r="J734" s="32" t="n">
        <x:f>INDEX(tun_FoodCap,G734)*Arch_FoodCap*EXP(tun_CapsByProject*SUMPRODUCT((Cap_Point&lt;=I734)*(Cap_Kind="Food")*Cap_Ln))</x:f>
        <x:v>18627.260449441455</x:v>
      </x:c>
      <x:c r="K734" s="32" t="n">
        <x:f>J734*MIN(1,tun_LeanBase*EXP(tun_CapsByProject*SUMPRODUCT((Cap_Point&lt;=I734)*(Cap_Kind="Lean")*Cap_Ln)))</x:f>
        <x:v>18627.260449441455</x:v>
      </x:c>
      <x:c r="L734" s="10" t="n">
        <x:f>INDEX(tun_HousingCap,G734)*EXP(tun_CapsByProject*SUMPRODUCT((Cap_Point&lt;=I734)*(Cap_Kind="Housing")*Cap_Ln))</x:f>
        <x:v>20528.974303173167</x:v>
      </x:c>
      <x:c r="M734" s="10" t="n">
        <x:f>INDEX(tun_GroupCap,G734)*tun_CohesionFactor*EXP(tun_CapsByProject*SUMPRODUCT((Cap_Point&lt;=I734)*(Cap_Kind="Group")*Cap_Ln))</x:f>
        <x:v>1000000.000000001</x:v>
      </x:c>
      <x:c r="N734" s="32" t="n">
        <x:f>MIN(J734,L734,M734)</x:f>
        <x:v>18627.260449441455</x:v>
      </x:c>
      <x:c r="O734" s="10" t="n">
        <x:f>AE733*N734</x:f>
        <x:v>167645.34404497308</x:v>
      </x:c>
      <x:c r="P734" s="9" t="n">
        <x:f>MIN(1,(AB733/(AE733*IF(tun_GroupInCrowding=1,N734,MIN(J734,L734))))^tun_CrowdingExp)</x:f>
        <x:v>0.09786148556294562</x:v>
      </x:c>
      <x:c r="Q734" s="9" t="n">
        <x:f>IF(D734=1,INDEX(tun_WinterMult,G734),1)</x:f>
        <x:v>1</x:v>
      </x:c>
      <x:c r="R734" s="9" t="n">
        <x:f>H734*Z733*tun_WomenShare*tun_BaseFertility*INDEX(tun_FertMult,G734)*Arch_Fertility*(1-P734)</x:f>
        <x:v>1034.123311447718</x:v>
      </x:c>
      <x:c r="S734" s="9" t="n">
        <x:f>H734*Y733*INDEX(tun_MortChild,G734)/4*Q734</x:f>
        <x:v>5.752322132237059</x:v>
      </x:c>
      <x:c r="T734" s="9" t="n">
        <x:f>H734*Z733*INDEX(tun_MortAdult,G734)*Arch_AdultMort/4*Q734</x:f>
        <x:v>18.895090252159356</x:v>
      </x:c>
      <x:c r="U734" s="9" t="n">
        <x:f>H734*AA733*INDEX(tun_MortElder,G734)/4*Q734</x:f>
        <x:v>255.50031652437875</x:v>
      </x:c>
      <x:c r="V734" s="9" t="n">
        <x:f>H734*MAX(0,AB733-O734)*tun_OvercapLoss</x:f>
        <x:v>0</x:v>
      </x:c>
      <x:c r="W734" s="9" t="n">
        <x:f>H734*Y733/(tun_ChildYears*4)</x:f>
        <x:v>456.53350255849676</x:v>
      </x:c>
      <x:c r="X734" s="9" t="n">
        <x:f>H734*Z733/(tun_AdultYears*4)</x:f>
        <x:v>406.3460269281582</x:v>
      </x:c>
      <x:c r="Y734" s="32" t="n">
        <x:f>Y733+R734-S734-W734-Y733*V734/AB733</x:f>
        <x:v>26137.713630032802</x:v>
      </x:c>
      <x:c r="Z734" s="32" t="n">
        <x:f>Z733+W734-X734-T734-Z733*V734/AB733</x:f>
        <x:v>50418.19972446979</x:v>
      </x:c>
      <x:c r="AA734" s="32" t="n">
        <x:f>AA733+X734-U734-AA733*V734/AB733</x:f>
        <x:v>38002.74445475619</x:v>
      </x:c>
      <x:c r="AB734" s="10" t="n">
        <x:f>Y734+Z734+AA734</x:f>
        <x:v>114558.65780925879</x:v>
      </x:c>
      <x:c r="AC734" s="8" t="n">
        <x:f>IF(AND(tun_WinterTrigger=1,D734=1,AB733/AE733&gt;=K734),1,0)</x:f>
        <x:v>0</x:v>
      </x:c>
      <x:c r="AD734" s="8" t="n">
        <x:f>H734*IF(AND(OR(AB733/AE733&gt;=tun_FissionTrigger*N734,AC734=1),AB733/AE733*tun_DaughterShare&gt;=tun_MinDaughter),MAX(1,ROUND(AE733*tun_FissionRate,0)),0)</x:f>
        <x:v>0</x:v>
      </x:c>
      <x:c r="AE734" s="8" t="n">
        <x:f>IF(H734=1,MAX(1,MIN(INDEX(tun_Smax,G734),AE733+AD734)),AE733)</x:f>
        <x:v>9</x:v>
      </x:c>
      <x:c r="AF734" s="8" t="n">
        <x:f>MAX(0,AE734-AE733)</x:f>
        <x:v>0</x:v>
      </x:c>
      <x:c r="AG734" s="9" t="str">
        <x:f>IF(AF734&gt;0,B734,"")</x:f>
      </x:c>
      <x:c r="AH734" s="9" t="n">
        <x:f>IF(F734&gt;=1,1,(1+tun_LowTiesShare*(AE734-1))/AE734)</x:f>
        <x:v>1</x:v>
      </x:c>
      <x:c r="AI734" s="32" t="n">
        <x:f>(Z734+tun_ElderCommons*INDEX(LM_Elder,G734)*AA734)*AH734</x:f>
        <x:v>199884.25462033527</x:v>
      </x:c>
      <x:c r="AJ734" s="32" t="n">
        <x:f>H734*tun_CommonsCoef*AI734^tun_CommonsExp*INDEX(LM_Commons,G734)</x:f>
        <x:v>688100.4398411372</x:v>
      </x:c>
      <x:c r="AK734" s="32" t="n">
        <x:f>H734*tun_RoleScale*Arch_Roles*(AE734*(INDEX(tun_ElderRolePerSett,G734)*tun_OutElder*INDEX(LM_Elder,G734)+INDEX(tun_ShamanPerSett,G734)*tun_OutShaman)+Z734*(INDEX(tun_PriestShare,G734)*tun_OutPriest+INDEX(tun_ScribeShare,G734)*tun_OutScribe*INDEX(LM_Scribe,G734)+INDEX(tun_ScholarShare,G734)*tun_OutScholar*INDEX(LM_Scholar,G734)+INDEX(tun_ResearcherShare,G734)*tun_OutResearcher*INDEX(LM_Researcher,G734)))</x:f>
        <x:v>181829.24232950498</x:v>
      </x:c>
      <x:c r="AL734" s="32" t="n">
        <x:f>H734*tun_RoleScale*Arch_Roles*AE734*INDEX(tun_MonasteryPerSett,G734)*tun_OutMonastery*INDEX(LM_Monastery,G734)</x:f>
        <x:v>15.840000000000002</x:v>
      </x:c>
      <x:c r="AM734" s="32" t="n">
        <x:f>(AJ734+AK734+AL734)/4*INDEX(LM_All,G734)*INDEX(tun_Boon,G734)*Arch_Insight</x:f>
        <x:v>753348.8299192018</x:v>
      </x:c>
      <x:c r="AN734" s="32" t="n">
        <x:f>H734*(tun_KHPerAdult*Z734+tun_KHOfCommons*AJ734/4*INDEX(LM_All,G734))*tun_KHUsable*Arch_KH</x:f>
        <x:v>116898.02999126489</x:v>
      </x:c>
      <x:c r="AO734" s="32" t="n">
        <x:f>MIN(AP733+AN734,AM734*tun_KHMaxRatio)</x:f>
        <x:v>116898.02999126489</x:v>
      </x:c>
      <x:c r="AP734" s="32" t="n">
        <x:f>AP733+AN734-AO734</x:f>
        <x:v>0</x:v>
      </x:c>
      <x:c r="AQ734" s="32" t="n">
        <x:f>AM734+AO734</x:f>
        <x:v>870246.8599104667</x:v>
      </x:c>
      <x:c r="AR734" s="10" t="n">
        <x:f>IF(H734=1,INDEX(tun_Req,G734),0)</x:f>
        <x:v>125406521.7009086</x:v>
      </x:c>
      <x:c r="AS734" s="32" t="n">
        <x:f>IF(H734=1,IF(E734=1,AS733-AR733,AS733)+AQ734,0)</x:f>
        <x:v>78693982.33193737</x:v>
      </x:c>
      <x:c r="AT734" s="11" t="n">
        <x:f>IF(AR734&gt;0,MIN(1,AS734/AR734),1)</x:f>
        <x:v>0.6275110836709158</x:v>
      </x:c>
      <x:c r="AU734" s="10" t="n">
        <x:f>AB734/INDEX(tun_RepScale,G734)</x:f>
        <x:v>229.11731561851758</x:v>
      </x:c>
      <x:c r="AV734" s="32" t="n">
        <x:f>AM734*60/tun_SeasonSeconds</x:f>
        <x:v>3013395.319676807</x:v>
      </x:c>
    </x:row>
    <x:row r="735">
      <x:c r="A735" s="8" t="n">
        <x:f>A734+1</x:f>
        <x:v>732</x:v>
      </x:c>
      <x:c r="B735" s="9" t="n">
        <x:f>A735*tun_SeasonSeconds/60</x:f>
        <x:v>183</x:v>
      </x:c>
      <x:c r="C735" s="9" t="n">
        <x:f>A735/4</x:f>
        <x:v>183</x:v>
      </x:c>
      <x:c r="D735" s="8" t="n">
        <x:f>IF(MOD(A735,4)=0,1,0)</x:f>
        <x:v>1</x:v>
      </x:c>
      <x:c r="E735" s="8" t="n">
        <x:f>IF(AND(F734&lt;=9,AS734&gt;=AR734),1,0)</x:f>
        <x:v>0</x:v>
      </x:c>
      <x:c r="F735" s="8" t="n">
        <x:f>MIN(10,F734+E735)</x:f>
        <x:v>9</x:v>
      </x:c>
      <x:c r="G735" s="8" t="n">
        <x:f>MIN(F735,9)+1</x:f>
        <x:v>10</x:v>
      </x:c>
      <x:c r="H735" s="8" t="n">
        <x:f>IF(F735&lt;=9,1,0)</x:f>
        <x:v>1</x:v>
      </x:c>
      <x:c r="I735" s="9" t="n">
        <x:f>MIN(10,F734+IF(AR734&gt;0,MIN(1,AS734/AR734),1))</x:f>
        <x:v>9.627511083670916</x:v>
      </x:c>
      <x:c r="J735" s="32" t="n">
        <x:f>INDEX(tun_FoodCap,G735)*Arch_FoodCap*EXP(tun_CapsByProject*SUMPRODUCT((Cap_Point&lt;=I735)*(Cap_Kind="Food")*Cap_Ln))</x:f>
        <x:v>18627.260449441455</x:v>
      </x:c>
      <x:c r="K735" s="32" t="n">
        <x:f>J735*MIN(1,tun_LeanBase*EXP(tun_CapsByProject*SUMPRODUCT((Cap_Point&lt;=I735)*(Cap_Kind="Lean")*Cap_Ln)))</x:f>
        <x:v>18627.260449441455</x:v>
      </x:c>
      <x:c r="L735" s="10" t="n">
        <x:f>INDEX(tun_HousingCap,G735)*EXP(tun_CapsByProject*SUMPRODUCT((Cap_Point&lt;=I735)*(Cap_Kind="Housing")*Cap_Ln))</x:f>
        <x:v>20528.974303173167</x:v>
      </x:c>
      <x:c r="M735" s="10" t="n">
        <x:f>INDEX(tun_GroupCap,G735)*tun_CohesionFactor*EXP(tun_CapsByProject*SUMPRODUCT((Cap_Point&lt;=I735)*(Cap_Kind="Group")*Cap_Ln))</x:f>
        <x:v>1000000.000000001</x:v>
      </x:c>
      <x:c r="N735" s="32" t="n">
        <x:f>MIN(J735,L735,M735)</x:f>
        <x:v>18627.260449441455</x:v>
      </x:c>
      <x:c r="O735" s="10" t="n">
        <x:f>AE734*N735</x:f>
        <x:v>167645.34404497308</x:v>
      </x:c>
      <x:c r="P735" s="9" t="n">
        <x:f>MIN(1,(AB734/(AE734*IF(tun_GroupInCrowding=1,N735,MIN(J735,L735))))^tun_CrowdingExp)</x:f>
        <x:v>0.10181658391122347</x:v>
      </x:c>
      <x:c r="Q735" s="9" t="n">
        <x:f>IF(D735=1,INDEX(tun_WinterMult,G735),1)</x:f>
        <x:v>1.05</x:v>
      </x:c>
      <x:c r="R735" s="9" t="n">
        <x:f>H735*Z734*tun_WomenShare*tun_BaseFertility*INDEX(tun_FertMult,G735)*Arch_Fertility*(1-P735)</x:f>
        <x:v>1030.2289921007286</x:v>
      </x:c>
      <x:c r="S735" s="9" t="n">
        <x:f>H735*Y734*INDEX(tun_MortChild,G735)/4*Q735</x:f>
        <x:v>6.17503484509525</x:v>
      </x:c>
      <x:c r="T735" s="9" t="n">
        <x:f>H735*Z734*INDEX(tun_MortAdult,G735)*Arch_AdultMort/4*Q735</x:f>
        <x:v>19.852166141509983</x:v>
      </x:c>
      <x:c r="U735" s="9" t="n">
        <x:f>H735*AA734*INDEX(tun_MortElder,G735)/4*Q735</x:f>
        <x:v>269.3444513230845</x:v>
      </x:c>
      <x:c r="V735" s="9" t="n">
        <x:f>H735*MAX(0,AB734-O735)*tun_OvercapLoss</x:f>
        <x:v>0</x:v>
      </x:c>
      <x:c r="W735" s="9" t="n">
        <x:f>H735*Y734/(tun_ChildYears*4)</x:f>
        <x:v>466.74488625058575</x:v>
      </x:c>
      <x:c r="X735" s="9" t="n">
        <x:f>H735*Z734/(tun_AdultYears*4)</x:f>
        <x:v>406.5983848747564</x:v>
      </x:c>
      <x:c r="Y735" s="32" t="n">
        <x:f>Y734+R735-S735-W735-Y734*V735/AB734</x:f>
        <x:v>26695.02270103785</x:v>
      </x:c>
      <x:c r="Z735" s="32" t="n">
        <x:f>Z734+W735-X735-T735-Z734*V735/AB734</x:f>
        <x:v>50458.49405970411</x:v>
      </x:c>
      <x:c r="AA735" s="32" t="n">
        <x:f>AA734+X735-U735-AA734*V735/AB734</x:f>
        <x:v>38139.99838830786</x:v>
      </x:c>
      <x:c r="AB735" s="10" t="n">
        <x:f>Y735+Z735+AA735</x:f>
        <x:v>115293.51514904984</x:v>
      </x:c>
      <x:c r="AC735" s="8" t="n">
        <x:f>IF(AND(tun_WinterTrigger=1,D735=1,AB734/AE734&gt;=K735),1,0)</x:f>
        <x:v>0</x:v>
      </x:c>
      <x:c r="AD735" s="8" t="n">
        <x:f>H735*IF(AND(OR(AB734/AE734&gt;=tun_FissionTrigger*N735,AC735=1),AB734/AE734*tun_DaughterShare&gt;=tun_MinDaughter),MAX(1,ROUND(AE734*tun_FissionRate,0)),0)</x:f>
        <x:v>0</x:v>
      </x:c>
      <x:c r="AE735" s="8" t="n">
        <x:f>IF(H735=1,MAX(1,MIN(INDEX(tun_Smax,G735),AE734+AD735)),AE734)</x:f>
        <x:v>9</x:v>
      </x:c>
      <x:c r="AF735" s="8" t="n">
        <x:f>MAX(0,AE735-AE734)</x:f>
        <x:v>0</x:v>
      </x:c>
      <x:c r="AG735" s="9" t="str">
        <x:f>IF(AF735&gt;0,B735,"")</x:f>
      </x:c>
      <x:c r="AH735" s="9" t="n">
        <x:f>IF(F735&gt;=1,1,(1+tun_LowTiesShare*(AE735-1))/AE735)</x:f>
        <x:v>1</x:v>
      </x:c>
      <x:c r="AI735" s="32" t="n">
        <x:f>(Z735+tun_ElderCommons*INDEX(LM_Elder,G735)*AA735)*AH735</x:f>
        <x:v>200464.37323040137</x:v>
      </x:c>
      <x:c r="AJ735" s="32" t="n">
        <x:f>H735*tun_CommonsCoef*AI735^tun_CommonsExp*INDEX(LM_Commons,G735)</x:f>
        <x:v>689797.5675944253</x:v>
      </x:c>
      <x:c r="AK735" s="32" t="n">
        <x:f>H735*tun_RoleScale*Arch_Roles*(AE735*(INDEX(tun_ElderRolePerSett,G735)*tun_OutElder*INDEX(LM_Elder,G735)+INDEX(tun_ShamanPerSett,G735)*tun_OutShaman)+Z735*(INDEX(tun_PriestShare,G735)*tun_OutPriest+INDEX(tun_ScribeShare,G735)*tun_OutScribe*INDEX(LM_Scribe,G735)+INDEX(tun_ScholarShare,G735)*tun_OutScholar*INDEX(LM_Scholar,G735)+INDEX(tun_ResearcherShare,G735)*tun_OutResearcher*INDEX(LM_Researcher,G735)))</x:f>
        <x:v>181974.36118450452</x:v>
      </x:c>
      <x:c r="AL735" s="32" t="n">
        <x:f>H735*tun_RoleScale*Arch_Roles*AE735*INDEX(tun_MonasteryPerSett,G735)*tun_OutMonastery*INDEX(LM_Monastery,G735)</x:f>
        <x:v>15.840000000000002</x:v>
      </x:c>
      <x:c r="AM735" s="32" t="n">
        <x:f>(AJ735+AK735+AL735)/4*INDEX(LM_All,G735)*INDEX(tun_Boon,G735)*Arch_Insight</x:f>
        <x:v>754944.1646745475</x:v>
      </x:c>
      <x:c r="AN735" s="32" t="n">
        <x:f>H735*(tun_KHPerAdult*Z735+tun_KHOfCommons*AJ735/4*INDEX(LM_All,G735))*tun_KHUsable*Arch_KH</x:f>
        <x:v>117186.34675363854</x:v>
      </x:c>
      <x:c r="AO735" s="32" t="n">
        <x:f>MIN(AP734+AN735,AM735*tun_KHMaxRatio)</x:f>
        <x:v>117186.34675363854</x:v>
      </x:c>
      <x:c r="AP735" s="32" t="n">
        <x:f>AP734+AN735-AO735</x:f>
        <x:v>0</x:v>
      </x:c>
      <x:c r="AQ735" s="32" t="n">
        <x:f>AM735+AO735</x:f>
        <x:v>872130.5114281861</x:v>
      </x:c>
      <x:c r="AR735" s="10" t="n">
        <x:f>IF(H735=1,INDEX(tun_Req,G735),0)</x:f>
        <x:v>125406521.7009086</x:v>
      </x:c>
      <x:c r="AS735" s="32" t="n">
        <x:f>IF(H735=1,IF(E735=1,AS734-AR734,AS734)+AQ735,0)</x:f>
        <x:v>79566112.84336556</x:v>
      </x:c>
      <x:c r="AT735" s="11" t="n">
        <x:f>IF(AR735&gt;0,MIN(1,AS735/AR735),1)</x:f>
        <x:v>0.6344655107581146</x:v>
      </x:c>
      <x:c r="AU735" s="10" t="n">
        <x:f>AB735/INDEX(tun_RepScale,G735)</x:f>
        <x:v>230.58703029809968</x:v>
      </x:c>
      <x:c r="AV735" s="32" t="n">
        <x:f>AM735*60/tun_SeasonSeconds</x:f>
        <x:v>3019776.6586981905</x:v>
      </x:c>
    </x:row>
    <x:row r="736">
      <x:c r="A736" s="8" t="n">
        <x:f>A735+1</x:f>
        <x:v>733</x:v>
      </x:c>
      <x:c r="B736" s="9" t="n">
        <x:f>A736*tun_SeasonSeconds/60</x:f>
        <x:v>183.25</x:v>
      </x:c>
      <x:c r="C736" s="9" t="n">
        <x:f>A736/4</x:f>
        <x:v>183.25</x:v>
      </x:c>
      <x:c r="D736" s="8" t="n">
        <x:f>IF(MOD(A736,4)=0,1,0)</x:f>
        <x:v>0</x:v>
      </x:c>
      <x:c r="E736" s="8" t="n">
        <x:f>IF(AND(F735&lt;=9,AS735&gt;=AR735),1,0)</x:f>
        <x:v>0</x:v>
      </x:c>
      <x:c r="F736" s="8" t="n">
        <x:f>MIN(10,F735+E736)</x:f>
        <x:v>9</x:v>
      </x:c>
      <x:c r="G736" s="8" t="n">
        <x:f>MIN(F736,9)+1</x:f>
        <x:v>10</x:v>
      </x:c>
      <x:c r="H736" s="8" t="n">
        <x:f>IF(F736&lt;=9,1,0)</x:f>
        <x:v>1</x:v>
      </x:c>
      <x:c r="I736" s="9" t="n">
        <x:f>MIN(10,F735+IF(AR735&gt;0,MIN(1,AS735/AR735),1))</x:f>
        <x:v>9.634465510758115</x:v>
      </x:c>
      <x:c r="J736" s="32" t="n">
        <x:f>INDEX(tun_FoodCap,G736)*Arch_FoodCap*EXP(tun_CapsByProject*SUMPRODUCT((Cap_Point&lt;=I736)*(Cap_Kind="Food")*Cap_Ln))</x:f>
        <x:v>18627.260449441455</x:v>
      </x:c>
      <x:c r="K736" s="32" t="n">
        <x:f>J736*MIN(1,tun_LeanBase*EXP(tun_CapsByProject*SUMPRODUCT((Cap_Point&lt;=I736)*(Cap_Kind="Lean")*Cap_Ln)))</x:f>
        <x:v>18627.260449441455</x:v>
      </x:c>
      <x:c r="L736" s="10" t="n">
        <x:f>INDEX(tun_HousingCap,G736)*EXP(tun_CapsByProject*SUMPRODUCT((Cap_Point&lt;=I736)*(Cap_Kind="Housing")*Cap_Ln))</x:f>
        <x:v>20528.974303173167</x:v>
      </x:c>
      <x:c r="M736" s="10" t="n">
        <x:f>INDEX(tun_GroupCap,G736)*tun_CohesionFactor*EXP(tun_CapsByProject*SUMPRODUCT((Cap_Point&lt;=I736)*(Cap_Kind="Group")*Cap_Ln))</x:f>
        <x:v>1000000.000000001</x:v>
      </x:c>
      <x:c r="N736" s="32" t="n">
        <x:f>MIN(J736,L736,M736)</x:f>
        <x:v>18627.260449441455</x:v>
      </x:c>
      <x:c r="O736" s="10" t="n">
        <x:f>AE735*N736</x:f>
        <x:v>167645.34404497308</x:v>
      </x:c>
      <x:c r="P736" s="9" t="n">
        <x:f>MIN(1,(AB735/(AE735*IF(tun_GroupInCrowding=1,N736,MIN(J736,L736))))^tun_CrowdingExp)</x:f>
        <x:v>0.10579869338810609</x:v>
      </x:c>
      <x:c r="Q736" s="9" t="n">
        <x:f>IF(D736=1,INDEX(tun_WinterMult,G736),1)</x:f>
        <x:v>1</x:v>
      </x:c>
      <x:c r="R736" s="9" t="n">
        <x:f>H736*Z735*tun_WomenShare*tun_BaseFertility*INDEX(tun_FertMult,G736)*Arch_Fertility*(1-P736)</x:f>
        <x:v>1026.481167481222</x:v>
      </x:c>
      <x:c r="S736" s="9" t="n">
        <x:f>H736*Y735*INDEX(tun_MortChild,G736)/4*Q736</x:f>
        <x:v>6.006380107733516</x:v>
      </x:c>
      <x:c r="T736" s="9" t="n">
        <x:f>H736*Z735*INDEX(tun_MortAdult,G736)*Arch_AdultMort/4*Q736</x:f>
        <x:v>18.921935272389042</x:v>
      </x:c>
      <x:c r="U736" s="9" t="n">
        <x:f>H736*AA735*INDEX(tun_MortElder,G736)/4*Q736</x:f>
        <x:v>257.44498912107804</x:v>
      </x:c>
      <x:c r="V736" s="9" t="n">
        <x:f>H736*MAX(0,AB735-O736)*tun_OvercapLoss</x:f>
        <x:v>0</x:v>
      </x:c>
      <x:c r="W736" s="9" t="n">
        <x:f>H736*Y735/(tun_ChildYears*4)</x:f>
        <x:v>476.6968339471045</x:v>
      </x:c>
      <x:c r="X736" s="9" t="n">
        <x:f>H736*Z735/(tun_AdultYears*4)</x:f>
        <x:v>406.9233391911622</x:v>
      </x:c>
      <x:c r="Y736" s="32" t="n">
        <x:f>Y735+R736-S736-W736-Y735*V736/AB735</x:f>
        <x:v>27238.800654464234</x:v>
      </x:c>
      <x:c r="Z736" s="32" t="n">
        <x:f>Z735+W736-X736-T736-Z735*V736/AB735</x:f>
        <x:v>50509.34561918767</x:v>
      </x:c>
      <x:c r="AA736" s="32" t="n">
        <x:f>AA735+X736-U736-AA735*V736/AB735</x:f>
        <x:v>38289.47673837795</x:v>
      </x:c>
      <x:c r="AB736" s="10" t="n">
        <x:f>Y736+Z736+AA736</x:f>
        <x:v>116037.62301202986</x:v>
      </x:c>
      <x:c r="AC736" s="8" t="n">
        <x:f>IF(AND(tun_WinterTrigger=1,D736=1,AB735/AE735&gt;=K736),1,0)</x:f>
        <x:v>0</x:v>
      </x:c>
      <x:c r="AD736" s="8" t="n">
        <x:f>H736*IF(AND(OR(AB735/AE735&gt;=tun_FissionTrigger*N736,AC736=1),AB735/AE735*tun_DaughterShare&gt;=tun_MinDaughter),MAX(1,ROUND(AE735*tun_FissionRate,0)),0)</x:f>
        <x:v>0</x:v>
      </x:c>
      <x:c r="AE736" s="8" t="n">
        <x:f>IF(H736=1,MAX(1,MIN(INDEX(tun_Smax,G736),AE735+AD736)),AE735)</x:f>
        <x:v>9</x:v>
      </x:c>
      <x:c r="AF736" s="8" t="n">
        <x:f>MAX(0,AE736-AE735)</x:f>
        <x:v>0</x:v>
      </x:c>
      <x:c r="AG736" s="9" t="str">
        <x:f>IF(AF736&gt;0,B736,"")</x:f>
      </x:c>
      <x:c r="AH736" s="9" t="n">
        <x:f>IF(F736&gt;=1,1,(1+tun_LowTiesShare*(AE736-1))/AE736)</x:f>
        <x:v>1</x:v>
      </x:c>
      <x:c r="AI736" s="32" t="n">
        <x:f>(Z736+tun_ElderCommons*INDEX(LM_Elder,G736)*AA736)*AH736</x:f>
        <x:v>201103.12810049762</x:v>
      </x:c>
      <x:c r="AJ736" s="32" t="n">
        <x:f>H736*tun_CommonsCoef*AI736^tun_CommonsExp*INDEX(LM_Commons,G736)</x:f>
        <x:v>691665.3829241872</x:v>
      </x:c>
      <x:c r="AK736" s="32" t="n">
        <x:f>H736*tun_RoleScale*Arch_Roles*(AE736*(INDEX(tun_ElderRolePerSett,G736)*tun_OutElder*INDEX(LM_Elder,G736)+INDEX(tun_ShamanPerSett,G736)*tun_OutShaman)+Z736*(INDEX(tun_PriestShare,G736)*tun_OutPriest+INDEX(tun_ScribeShare,G736)*tun_OutScribe*INDEX(LM_Scribe,G736)+INDEX(tun_ScholarShare,G736)*tun_OutScholar*INDEX(LM_Scholar,G736)+INDEX(tun_ResearcherShare,G736)*tun_OutResearcher*INDEX(LM_Researcher,G736)))</x:f>
        <x:v>182157.50156997758</x:v>
      </x:c>
      <x:c r="AL736" s="32" t="n">
        <x:f>H736*tun_RoleScale*Arch_Roles*AE736*INDEX(tun_MonasteryPerSett,G736)*tun_OutMonastery*INDEX(LM_Monastery,G736)</x:f>
        <x:v>15.840000000000002</x:v>
      </x:c>
      <x:c r="AM736" s="32" t="n">
        <x:f>(AJ736+AK736+AL736)/4*INDEX(LM_All,G736)*INDEX(tun_Boon,G736)*Arch_Insight</x:f>
        <x:v>756720.2357605083</x:v>
      </x:c>
      <x:c r="AN736" s="32" t="n">
        <x:f>H736*(tun_KHPerAdult*Z736+tun_KHOfCommons*AJ736/4*INDEX(LM_All,G736))*tun_KHUsable*Arch_KH</x:f>
        <x:v>117503.660796465</x:v>
      </x:c>
      <x:c r="AO736" s="32" t="n">
        <x:f>MIN(AP735+AN736,AM736*tun_KHMaxRatio)</x:f>
        <x:v>117503.660796465</x:v>
      </x:c>
      <x:c r="AP736" s="32" t="n">
        <x:f>AP735+AN736-AO736</x:f>
        <x:v>0</x:v>
      </x:c>
      <x:c r="AQ736" s="32" t="n">
        <x:f>AM736+AO736</x:f>
        <x:v>874223.8965569733</x:v>
      </x:c>
      <x:c r="AR736" s="10" t="n">
        <x:f>IF(H736=1,INDEX(tun_Req,G736),0)</x:f>
        <x:v>125406521.7009086</x:v>
      </x:c>
      <x:c r="AS736" s="32" t="n">
        <x:f>IF(H736=1,IF(E736=1,AS735-AR735,AS735)+AQ736,0)</x:f>
        <x:v>80440336.73992254</x:v>
      </x:c>
      <x:c r="AT736" s="11" t="n">
        <x:f>IF(AR736&gt;0,MIN(1,AS736/AR736),1)</x:f>
        <x:v>0.6414366306384824</x:v>
      </x:c>
      <x:c r="AU736" s="10" t="n">
        <x:f>AB736/INDEX(tun_RepScale,G736)</x:f>
        <x:v>232.0752460240597</x:v>
      </x:c>
      <x:c r="AV736" s="32" t="n">
        <x:f>AM736*60/tun_SeasonSeconds</x:f>
        <x:v>3026880.9430420334</x:v>
      </x:c>
    </x:row>
    <x:row r="737">
      <x:c r="A737" s="8" t="n">
        <x:f>A736+1</x:f>
        <x:v>734</x:v>
      </x:c>
      <x:c r="B737" s="9" t="n">
        <x:f>A737*tun_SeasonSeconds/60</x:f>
        <x:v>183.5</x:v>
      </x:c>
      <x:c r="C737" s="9" t="n">
        <x:f>A737/4</x:f>
        <x:v>183.5</x:v>
      </x:c>
      <x:c r="D737" s="8" t="n">
        <x:f>IF(MOD(A737,4)=0,1,0)</x:f>
        <x:v>0</x:v>
      </x:c>
      <x:c r="E737" s="8" t="n">
        <x:f>IF(AND(F736&lt;=9,AS736&gt;=AR736),1,0)</x:f>
        <x:v>0</x:v>
      </x:c>
      <x:c r="F737" s="8" t="n">
        <x:f>MIN(10,F736+E737)</x:f>
        <x:v>9</x:v>
      </x:c>
      <x:c r="G737" s="8" t="n">
        <x:f>MIN(F737,9)+1</x:f>
        <x:v>10</x:v>
      </x:c>
      <x:c r="H737" s="8" t="n">
        <x:f>IF(F737&lt;=9,1,0)</x:f>
        <x:v>1</x:v>
      </x:c>
      <x:c r="I737" s="9" t="n">
        <x:f>MIN(10,F736+IF(AR736&gt;0,MIN(1,AS736/AR736),1))</x:f>
        <x:v>9.641436630638482</x:v>
      </x:c>
      <x:c r="J737" s="32" t="n">
        <x:f>INDEX(tun_FoodCap,G737)*Arch_FoodCap*EXP(tun_CapsByProject*SUMPRODUCT((Cap_Point&lt;=I737)*(Cap_Kind="Food")*Cap_Ln))</x:f>
        <x:v>18627.260449441455</x:v>
      </x:c>
      <x:c r="K737" s="32" t="n">
        <x:f>J737*MIN(1,tun_LeanBase*EXP(tun_CapsByProject*SUMPRODUCT((Cap_Point&lt;=I737)*(Cap_Kind="Lean")*Cap_Ln)))</x:f>
        <x:v>18627.260449441455</x:v>
      </x:c>
      <x:c r="L737" s="10" t="n">
        <x:f>INDEX(tun_HousingCap,G737)*EXP(tun_CapsByProject*SUMPRODUCT((Cap_Point&lt;=I737)*(Cap_Kind="Housing")*Cap_Ln))</x:f>
        <x:v>20528.974303173167</x:v>
      </x:c>
      <x:c r="M737" s="10" t="n">
        <x:f>INDEX(tun_GroupCap,G737)*tun_CohesionFactor*EXP(tun_CapsByProject*SUMPRODUCT((Cap_Point&lt;=I737)*(Cap_Kind="Group")*Cap_Ln))</x:f>
        <x:v>1000000.000000001</x:v>
      </x:c>
      <x:c r="N737" s="32" t="n">
        <x:f>MIN(J737,L737,M737)</x:f>
        <x:v>18627.260449441455</x:v>
      </x:c>
      <x:c r="O737" s="10" t="n">
        <x:f>AE736*N737</x:f>
        <x:v>167645.34404497308</x:v>
      </x:c>
      <x:c r="P737" s="9" t="n">
        <x:f>MIN(1,(AB736/(AE736*IF(tun_GroupInCrowding=1,N737,MIN(J737,L737))))^tun_CrowdingExp)</x:f>
        <x:v>0.10996233785912041</x:v>
      </x:c>
      <x:c r="Q737" s="9" t="n">
        <x:f>IF(D737=1,INDEX(tun_WinterMult,G737),1)</x:f>
        <x:v>1</x:v>
      </x:c>
      <x:c r="R737" s="9" t="n">
        <x:f>H737*Z736*tun_WomenShare*tun_BaseFertility*INDEX(tun_FertMult,G737)*Arch_Fertility*(1-P737)</x:f>
        <x:v>1022.73125252406</x:v>
      </x:c>
      <x:c r="S737" s="9" t="n">
        <x:f>H737*Y736*INDEX(tun_MortChild,G737)/4*Q737</x:f>
        <x:v>6.128730147254452</x:v>
      </x:c>
      <x:c r="T737" s="9" t="n">
        <x:f>H737*Z736*INDEX(tun_MortAdult,G737)*Arch_AdultMort/4*Q737</x:f>
        <x:v>18.941004607195374</x:v>
      </x:c>
      <x:c r="U737" s="9" t="n">
        <x:f>H737*AA736*INDEX(tun_MortElder,G737)/4*Q737</x:f>
        <x:v>258.45396798405113</x:v>
      </x:c>
      <x:c r="V737" s="9" t="n">
        <x:f>H737*MAX(0,AB736-O737)*tun_OvercapLoss</x:f>
        <x:v>0</x:v>
      </x:c>
      <x:c r="W737" s="9" t="n">
        <x:f>H737*Y736/(tun_ChildYears*4)</x:f>
        <x:v>486.4071545440042</x:v>
      </x:c>
      <x:c r="X737" s="9" t="n">
        <x:f>H737*Z736/(tun_AdultYears*4)</x:f>
        <x:v>407.3334324128038</x:v>
      </x:c>
      <x:c r="Y737" s="32" t="n">
        <x:f>Y736+R737-S737-W737-Y736*V737/AB736</x:f>
        <x:v>27768.996022297033</x:v>
      </x:c>
      <x:c r="Z737" s="32" t="n">
        <x:f>Z736+W737-X737-T737-Z736*V737/AB736</x:f>
        <x:v>50569.478336711676</x:v>
      </x:c>
      <x:c r="AA737" s="32" t="n">
        <x:f>AA736+X737-U737-AA736*V737/AB736</x:f>
        <x:v>38438.356202806695</x:v>
      </x:c>
      <x:c r="AB737" s="10" t="n">
        <x:f>Y737+Z737+AA737</x:f>
        <x:v>116776.83056181541</x:v>
      </x:c>
      <x:c r="AC737" s="8" t="n">
        <x:f>IF(AND(tun_WinterTrigger=1,D737=1,AB736/AE736&gt;=K737),1,0)</x:f>
        <x:v>0</x:v>
      </x:c>
      <x:c r="AD737" s="8" t="n">
        <x:f>H737*IF(AND(OR(AB736/AE736&gt;=tun_FissionTrigger*N737,AC737=1),AB736/AE736*tun_DaughterShare&gt;=tun_MinDaughter),MAX(1,ROUND(AE736*tun_FissionRate,0)),0)</x:f>
        <x:v>0</x:v>
      </x:c>
      <x:c r="AE737" s="8" t="n">
        <x:f>IF(H737=1,MAX(1,MIN(INDEX(tun_Smax,G737),AE736+AD737)),AE736)</x:f>
        <x:v>9</x:v>
      </x:c>
      <x:c r="AF737" s="8" t="n">
        <x:f>MAX(0,AE737-AE736)</x:f>
        <x:v>0</x:v>
      </x:c>
      <x:c r="AG737" s="9" t="str">
        <x:f>IF(AF737&gt;0,B737,"")</x:f>
      </x:c>
      <x:c r="AH737" s="9" t="n">
        <x:f>IF(F737&gt;=1,1,(1+tun_LowTiesShare*(AE737-1))/AE737)</x:f>
        <x:v>1</x:v>
      </x:c>
      <x:c r="AI737" s="32" t="n">
        <x:f>(Z737+tun_ElderCommons*INDEX(LM_Elder,G737)*AA737)*AH737</x:f>
        <x:v>201748.80869153552</x:v>
      </x:c>
      <x:c r="AJ737" s="32" t="n">
        <x:f>H737*tun_CommonsCoef*AI737^tun_CommonsExp*INDEX(LM_Commons,G737)</x:f>
        <x:v>693552.5459053507</x:v>
      </x:c>
      <x:c r="AK737" s="32" t="n">
        <x:f>H737*tun_RoleScale*Arch_Roles*(AE737*(INDEX(tun_ElderRolePerSett,G737)*tun_OutElder*INDEX(LM_Elder,G737)+INDEX(tun_ShamanPerSett,G737)*tun_OutShaman)+Z737*(INDEX(tun_PriestShare,G737)*tun_OutPriest+INDEX(tun_ScribeShare,G737)*tun_OutScribe*INDEX(LM_Scribe,G737)+INDEX(tun_ScholarShare,G737)*tun_OutScholar*INDEX(LM_Scholar,G737)+INDEX(tun_ResearcherShare,G737)*tun_OutResearcher*INDEX(LM_Researcher,G737)))</x:f>
        <x:v>182374.06777126493</x:v>
      </x:c>
      <x:c r="AL737" s="32" t="n">
        <x:f>H737*tun_RoleScale*Arch_Roles*AE737*INDEX(tun_MonasteryPerSett,G737)*tun_OutMonastery*INDEX(LM_Monastery,G737)</x:f>
        <x:v>15.840000000000002</x:v>
      </x:c>
      <x:c r="AM737" s="32" t="n">
        <x:f>(AJ737+AK737+AL737)/4*INDEX(LM_All,G737)*INDEX(tun_Boon,G737)*Arch_Insight</x:f>
        <x:v>758542.0072136354</x:v>
      </x:c>
      <x:c r="AN737" s="32" t="n">
        <x:f>H737*(tun_KHPerAdult*Z737+tun_KHOfCommons*AJ737/4*INDEX(LM_All,G737))*tun_KHUsable*Arch_KH</x:f>
        <x:v>117824.26171748954</x:v>
      </x:c>
      <x:c r="AO737" s="32" t="n">
        <x:f>MIN(AP736+AN737,AM737*tun_KHMaxRatio)</x:f>
        <x:v>117824.26171748954</x:v>
      </x:c>
      <x:c r="AP737" s="32" t="n">
        <x:f>AP736+AN737-AO737</x:f>
        <x:v>0</x:v>
      </x:c>
      <x:c r="AQ737" s="32" t="n">
        <x:f>AM737+AO737</x:f>
        <x:v>876366.2689311249</x:v>
      </x:c>
      <x:c r="AR737" s="10" t="n">
        <x:f>IF(H737=1,INDEX(tun_Req,G737),0)</x:f>
        <x:v>125406521.7009086</x:v>
      </x:c>
      <x:c r="AS737" s="32" t="n">
        <x:f>IF(H737=1,IF(E737=1,AS736-AR736,AS736)+AQ737,0)</x:f>
        <x:v>81316703.00885366</x:v>
      </x:c>
      <x:c r="AT737" s="11" t="n">
        <x:f>IF(AR737&gt;0,MIN(1,AS737/AR737),1)</x:f>
        <x:v>0.6484248339395933</x:v>
      </x:c>
      <x:c r="AU737" s="10" t="n">
        <x:f>AB737/INDEX(tun_RepScale,G737)</x:f>
        <x:v>233.55366112363083</x:v>
      </x:c>
      <x:c r="AV737" s="32" t="n">
        <x:f>AM737*60/tun_SeasonSeconds</x:f>
        <x:v>3034168.0288545415</x:v>
      </x:c>
    </x:row>
    <x:row r="738">
      <x:c r="A738" s="8" t="n">
        <x:f>A737+1</x:f>
        <x:v>735</x:v>
      </x:c>
      <x:c r="B738" s="9" t="n">
        <x:f>A738*tun_SeasonSeconds/60</x:f>
        <x:v>183.75</x:v>
      </x:c>
      <x:c r="C738" s="9" t="n">
        <x:f>A738/4</x:f>
        <x:v>183.75</x:v>
      </x:c>
      <x:c r="D738" s="8" t="n">
        <x:f>IF(MOD(A738,4)=0,1,0)</x:f>
        <x:v>0</x:v>
      </x:c>
      <x:c r="E738" s="8" t="n">
        <x:f>IF(AND(F737&lt;=9,AS737&gt;=AR737),1,0)</x:f>
        <x:v>0</x:v>
      </x:c>
      <x:c r="F738" s="8" t="n">
        <x:f>MIN(10,F737+E738)</x:f>
        <x:v>9</x:v>
      </x:c>
      <x:c r="G738" s="8" t="n">
        <x:f>MIN(F738,9)+1</x:f>
        <x:v>10</x:v>
      </x:c>
      <x:c r="H738" s="8" t="n">
        <x:f>IF(F738&lt;=9,1,0)</x:f>
        <x:v>1</x:v>
      </x:c>
      <x:c r="I738" s="9" t="n">
        <x:f>MIN(10,F737+IF(AR737&gt;0,MIN(1,AS737/AR737),1))</x:f>
        <x:v>9.648424833939593</x:v>
      </x:c>
      <x:c r="J738" s="32" t="n">
        <x:f>INDEX(tun_FoodCap,G738)*Arch_FoodCap*EXP(tun_CapsByProject*SUMPRODUCT((Cap_Point&lt;=I738)*(Cap_Kind="Food")*Cap_Ln))</x:f>
        <x:v>18627.260449441455</x:v>
      </x:c>
      <x:c r="K738" s="32" t="n">
        <x:f>J738*MIN(1,tun_LeanBase*EXP(tun_CapsByProject*SUMPRODUCT((Cap_Point&lt;=I738)*(Cap_Kind="Lean")*Cap_Ln)))</x:f>
        <x:v>18627.260449441455</x:v>
      </x:c>
      <x:c r="L738" s="10" t="n">
        <x:f>INDEX(tun_HousingCap,G738)*EXP(tun_CapsByProject*SUMPRODUCT((Cap_Point&lt;=I738)*(Cap_Kind="Housing")*Cap_Ln))</x:f>
        <x:v>20528.974303173167</x:v>
      </x:c>
      <x:c r="M738" s="10" t="n">
        <x:f>INDEX(tun_GroupCap,G738)*tun_CohesionFactor*EXP(tun_CapsByProject*SUMPRODUCT((Cap_Point&lt;=I738)*(Cap_Kind="Group")*Cap_Ln))</x:f>
        <x:v>1000000.000000001</x:v>
      </x:c>
      <x:c r="N738" s="32" t="n">
        <x:f>MIN(J738,L738,M738)</x:f>
        <x:v>18627.260449441455</x:v>
      </x:c>
      <x:c r="O738" s="10" t="n">
        <x:f>AE737*N738</x:f>
        <x:v>167645.34404497308</x:v>
      </x:c>
      <x:c r="P738" s="9" t="n">
        <x:f>MIN(1,(AB737/(AE737*IF(tun_GroupInCrowding=1,N738,MIN(J738,L738))))^tun_CrowdingExp)</x:f>
        <x:v>0.11423287963370754</x:v>
      </x:c>
      <x:c r="Q738" s="9" t="n">
        <x:f>IF(D738=1,INDEX(tun_WinterMult,G738),1)</x:f>
        <x:v>1</x:v>
      </x:c>
      <x:c r="R738" s="9" t="n">
        <x:f>H738*Z737*tun_WomenShare*tun_BaseFertility*INDEX(tun_FertMult,G738)*Arch_Fertility*(1-P738)</x:f>
        <x:v>1019.0357724077146</x:v>
      </x:c>
      <x:c r="S738" s="9" t="n">
        <x:f>H738*Y737*INDEX(tun_MortChild,G738)/4*Q738</x:f>
        <x:v>6.248024105016833</x:v>
      </x:c>
      <x:c r="T738" s="9" t="n">
        <x:f>H738*Z737*INDEX(tun_MortAdult,G738)*Arch_AdultMort/4*Q738</x:f>
        <x:v>18.963554376266877</x:v>
      </x:c>
      <x:c r="U738" s="9" t="n">
        <x:f>H738*AA737*INDEX(tun_MortElder,G738)/4*Q738</x:f>
        <x:v>259.4589043689452</x:v>
      </x:c>
      <x:c r="V738" s="9" t="n">
        <x:f>H738*MAX(0,AB737-O738)*tun_OvercapLoss</x:f>
        <x:v>0</x:v>
      </x:c>
      <x:c r="W738" s="9" t="n">
        <x:f>H738*Y737/(tun_ChildYears*4)</x:f>
        <x:v>495.87492896958986</x:v>
      </x:c>
      <x:c r="X738" s="9" t="n">
        <x:f>H738*Z737/(tun_AdultYears*4)</x:f>
        <x:v>407.81837368315865</x:v>
      </x:c>
      <x:c r="Y738" s="32" t="n">
        <x:f>Y737+R738-S738-W738-Y737*V738/AB737</x:f>
        <x:v>28285.90884163014</x:v>
      </x:c>
      <x:c r="Z738" s="32" t="n">
        <x:f>Z737+W738-X738-T738-Z737*V738/AB737</x:f>
        <x:v>50638.57133762185</x:v>
      </x:c>
      <x:c r="AA738" s="32" t="n">
        <x:f>AA737+X738-U738-AA737*V738/AB737</x:f>
        <x:v>38586.7156721209</x:v>
      </x:c>
      <x:c r="AB738" s="10" t="n">
        <x:f>Y738+Z738+AA738</x:f>
        <x:v>117511.19585137289</x:v>
      </x:c>
      <x:c r="AC738" s="8" t="n">
        <x:f>IF(AND(tun_WinterTrigger=1,D738=1,AB737/AE737&gt;=K738),1,0)</x:f>
        <x:v>0</x:v>
      </x:c>
      <x:c r="AD738" s="8" t="n">
        <x:f>H738*IF(AND(OR(AB737/AE737&gt;=tun_FissionTrigger*N738,AC738=1),AB737/AE737*tun_DaughterShare&gt;=tun_MinDaughter),MAX(1,ROUND(AE737*tun_FissionRate,0)),0)</x:f>
        <x:v>0</x:v>
      </x:c>
      <x:c r="AE738" s="8" t="n">
        <x:f>IF(H738=1,MAX(1,MIN(INDEX(tun_Smax,G738),AE737+AD738)),AE737)</x:f>
        <x:v>9</x:v>
      </x:c>
      <x:c r="AF738" s="8" t="n">
        <x:f>MAX(0,AE738-AE737)</x:f>
        <x:v>0</x:v>
      </x:c>
      <x:c r="AG738" s="9" t="str">
        <x:f>IF(AF738&gt;0,B738,"")</x:f>
      </x:c>
      <x:c r="AH738" s="9" t="n">
        <x:f>IF(F738&gt;=1,1,(1+tun_LowTiesShare*(AE738-1))/AE738)</x:f>
        <x:v>1</x:v>
      </x:c>
      <x:c r="AI738" s="32" t="n">
        <x:f>(Z738+tun_ElderCommons*INDEX(LM_Elder,G738)*AA738)*AH738</x:f>
        <x:v>202401.40440792032</x:v>
      </x:c>
      <x:c r="AJ738" s="32" t="n">
        <x:f>H738*tun_CommonsCoef*AI738^tun_CommonsExp*INDEX(LM_Commons,G738)</x:f>
        <x:v>695458.999738226</x:v>
      </x:c>
      <x:c r="AK738" s="32" t="n">
        <x:f>H738*tun_RoleScale*Arch_Roles*(AE738*(INDEX(tun_ElderRolePerSett,G738)*tun_OutElder*INDEX(LM_Elder,G738)+INDEX(tun_ShamanPerSett,G738)*tun_OutShaman)+Z738*(INDEX(tun_PriestShare,G738)*tun_OutPriest+INDEX(tun_ScribeShare,G738)*tun_OutScribe*INDEX(LM_Scribe,G738)+INDEX(tun_ScholarShare,G738)*tun_OutScholar*INDEX(LM_Scholar,G738)+INDEX(tun_ResearcherShare,G738)*tun_OutResearcher*INDEX(LM_Researcher,G738)))</x:f>
        <x:v>182622.90416780204</x:v>
      </x:c>
      <x:c r="AL738" s="32" t="n">
        <x:f>H738*tun_RoleScale*Arch_Roles*AE738*INDEX(tun_MonasteryPerSett,G738)*tun_OutMonastery*INDEX(LM_Monastery,G738)</x:f>
        <x:v>15.840000000000002</x:v>
      </x:c>
      <x:c r="AM738" s="32" t="n">
        <x:f>(AJ738+AK738+AL738)/4*INDEX(LM_All,G738)*INDEX(tun_Boon,G738)*Arch_Insight</x:f>
        <x:v>760408.4291114258</x:v>
      </x:c>
      <x:c r="AN738" s="32" t="n">
        <x:f>H738*(tun_KHPerAdult*Z738+tun_KHOfCommons*AJ738/4*INDEX(LM_All,G738))*tun_KHUsable*Arch_KH</x:f>
        <x:v>118148.13986728968</x:v>
      </x:c>
      <x:c r="AO738" s="32" t="n">
        <x:f>MIN(AP737+AN738,AM738*tun_KHMaxRatio)</x:f>
        <x:v>118148.13986728968</x:v>
      </x:c>
      <x:c r="AP738" s="32" t="n">
        <x:f>AP737+AN738-AO738</x:f>
        <x:v>0</x:v>
      </x:c>
      <x:c r="AQ738" s="32" t="n">
        <x:f>AM738+AO738</x:f>
        <x:v>878556.5689787155</x:v>
      </x:c>
      <x:c r="AR738" s="10" t="n">
        <x:f>IF(H738=1,INDEX(tun_Req,G738),0)</x:f>
        <x:v>125406521.7009086</x:v>
      </x:c>
      <x:c r="AS738" s="32" t="n">
        <x:f>IF(H738=1,IF(E738=1,AS737-AR737,AS737)+AQ738,0)</x:f>
        <x:v>82195259.57783237</x:v>
      </x:c>
      <x:c r="AT738" s="11" t="n">
        <x:f>IF(AR738&gt;0,MIN(1,AS738/AR738),1)</x:f>
        <x:v>0.655430502839924</x:v>
      </x:c>
      <x:c r="AU738" s="10" t="n">
        <x:f>AB738/INDEX(tun_RepScale,G738)</x:f>
        <x:v>235.02239170274578</x:v>
      </x:c>
      <x:c r="AV738" s="32" t="n">
        <x:f>AM738*60/tun_SeasonSeconds</x:f>
        <x:v>3041633.7164457035</x:v>
      </x:c>
    </x:row>
    <x:row r="739">
      <x:c r="A739" s="8" t="n">
        <x:f>A738+1</x:f>
        <x:v>736</x:v>
      </x:c>
      <x:c r="B739" s="9" t="n">
        <x:f>A739*tun_SeasonSeconds/60</x:f>
        <x:v>184</x:v>
      </x:c>
      <x:c r="C739" s="9" t="n">
        <x:f>A739/4</x:f>
        <x:v>184</x:v>
      </x:c>
      <x:c r="D739" s="8" t="n">
        <x:f>IF(MOD(A739,4)=0,1,0)</x:f>
        <x:v>1</x:v>
      </x:c>
      <x:c r="E739" s="8" t="n">
        <x:f>IF(AND(F738&lt;=9,AS738&gt;=AR738),1,0)</x:f>
        <x:v>0</x:v>
      </x:c>
      <x:c r="F739" s="8" t="n">
        <x:f>MIN(10,F738+E739)</x:f>
        <x:v>9</x:v>
      </x:c>
      <x:c r="G739" s="8" t="n">
        <x:f>MIN(F739,9)+1</x:f>
        <x:v>10</x:v>
      </x:c>
      <x:c r="H739" s="8" t="n">
        <x:f>IF(F739&lt;=9,1,0)</x:f>
        <x:v>1</x:v>
      </x:c>
      <x:c r="I739" s="9" t="n">
        <x:f>MIN(10,F738+IF(AR738&gt;0,MIN(1,AS738/AR738),1))</x:f>
        <x:v>9.655430502839923</x:v>
      </x:c>
      <x:c r="J739" s="32" t="n">
        <x:f>INDEX(tun_FoodCap,G739)*Arch_FoodCap*EXP(tun_CapsByProject*SUMPRODUCT((Cap_Point&lt;=I739)*(Cap_Kind="Food")*Cap_Ln))</x:f>
        <x:v>18627.260449441455</x:v>
      </x:c>
      <x:c r="K739" s="32" t="n">
        <x:f>J739*MIN(1,tun_LeanBase*EXP(tun_CapsByProject*SUMPRODUCT((Cap_Point&lt;=I739)*(Cap_Kind="Lean")*Cap_Ln)))</x:f>
        <x:v>18627.260449441455</x:v>
      </x:c>
      <x:c r="L739" s="10" t="n">
        <x:f>INDEX(tun_HousingCap,G739)*EXP(tun_CapsByProject*SUMPRODUCT((Cap_Point&lt;=I739)*(Cap_Kind="Housing")*Cap_Ln))</x:f>
        <x:v>20528.974303173167</x:v>
      </x:c>
      <x:c r="M739" s="10" t="n">
        <x:f>INDEX(tun_GroupCap,G739)*tun_CohesionFactor*EXP(tun_CapsByProject*SUMPRODUCT((Cap_Point&lt;=I739)*(Cap_Kind="Group")*Cap_Ln))</x:f>
        <x:v>1000000.000000001</x:v>
      </x:c>
      <x:c r="N739" s="32" t="n">
        <x:f>MIN(J739,L739,M739)</x:f>
        <x:v>18627.260449441455</x:v>
      </x:c>
      <x:c r="O739" s="10" t="n">
        <x:f>AE738*N739</x:f>
        <x:v>167645.34404497308</x:v>
      </x:c>
      <x:c r="P739" s="9" t="n">
        <x:f>MIN(1,(AB738/(AE738*IF(tun_GroupInCrowding=1,N739,MIN(J739,L739))))^tun_CrowdingExp)</x:f>
        <x:v>0.11861141767750828</x:v>
      </x:c>
      <x:c r="Q739" s="9" t="n">
        <x:f>IF(D739=1,INDEX(tun_WinterMult,G739),1)</x:f>
        <x:v>1.05</x:v>
      </x:c>
      <x:c r="R739" s="9" t="n">
        <x:f>H739*Z738*tun_WomenShare*tun_BaseFertility*INDEX(tun_FertMult,G739)*Arch_Fertility*(1-P739)</x:f>
        <x:v>1015.3838831978405</x:v>
      </x:c>
      <x:c r="S739" s="9" t="n">
        <x:f>H739*Y738*INDEX(tun_MortChild,G739)/4*Q739</x:f>
        <x:v>6.6825459638351195</x:v>
      </x:c>
      <x:c r="T739" s="9" t="n">
        <x:f>H739*Z738*INDEX(tun_MortAdult,G739)*Arch_AdultMort/4*Q739</x:f>
        <x:v>19.938937464188605</x:v>
      </x:c>
      <x:c r="U739" s="9" t="n">
        <x:f>H739*AA738*INDEX(tun_MortElder,G739)/4*Q739</x:f>
        <x:v>273.4833473261569</x:v>
      </x:c>
      <x:c r="V739" s="9" t="n">
        <x:f>H739*MAX(0,AB738-O739)*tun_OvercapLoss</x:f>
        <x:v>0</x:v>
      </x:c>
      <x:c r="W739" s="9" t="n">
        <x:f>H739*Y738/(tun_ChildYears*4)</x:f>
        <x:v>505.1055150291096</x:v>
      </x:c>
      <x:c r="X739" s="9" t="n">
        <x:f>H739*Z738/(tun_AdultYears*4)</x:f>
        <x:v>408.375575303402</x:v>
      </x:c>
      <x:c r="Y739" s="32" t="n">
        <x:f>Y738+R739-S739-W739-Y738*V739/AB738</x:f>
        <x:v>28789.504663835032</x:v>
      </x:c>
      <x:c r="Z739" s="32" t="n">
        <x:f>Z738+W739-X739-T739-Z738*V739/AB738</x:f>
        <x:v>50715.36233988336</x:v>
      </x:c>
      <x:c r="AA739" s="32" t="n">
        <x:f>AA738+X739-U739-AA738*V739/AB738</x:f>
        <x:v>38721.607900098155</x:v>
      </x:c>
      <x:c r="AB739" s="10" t="n">
        <x:f>Y739+Z739+AA739</x:f>
        <x:v>118226.47490381655</x:v>
      </x:c>
      <x:c r="AC739" s="8" t="n">
        <x:f>IF(AND(tun_WinterTrigger=1,D739=1,AB738/AE738&gt;=K739),1,0)</x:f>
        <x:v>0</x:v>
      </x:c>
      <x:c r="AD739" s="8" t="n">
        <x:f>H739*IF(AND(OR(AB738/AE738&gt;=tun_FissionTrigger*N739,AC739=1),AB738/AE738*tun_DaughterShare&gt;=tun_MinDaughter),MAX(1,ROUND(AE738*tun_FissionRate,0)),0)</x:f>
        <x:v>0</x:v>
      </x:c>
      <x:c r="AE739" s="8" t="n">
        <x:f>IF(H739=1,MAX(1,MIN(INDEX(tun_Smax,G739),AE738+AD739)),AE738)</x:f>
        <x:v>9</x:v>
      </x:c>
      <x:c r="AF739" s="8" t="n">
        <x:f>MAX(0,AE739-AE738)</x:f>
        <x:v>0</x:v>
      </x:c>
      <x:c r="AG739" s="9" t="str">
        <x:f>IF(AF739&gt;0,B739,"")</x:f>
      </x:c>
      <x:c r="AH739" s="9" t="n">
        <x:f>IF(F739&gt;=1,1,(1+tun_LowTiesShare*(AE739-1))/AE739)</x:f>
        <x:v>1</x:v>
      </x:c>
      <x:c r="AI739" s="32" t="n">
        <x:f>(Z739+tun_ElderCommons*INDEX(LM_Elder,G739)*AA739)*AH739</x:f>
        <x:v>203008.73101862654</x:v>
      </x:c>
      <x:c r="AJ739" s="32" t="n">
        <x:f>H739*tun_CommonsCoef*AI739^tun_CommonsExp*INDEX(LM_Commons,G739)</x:f>
        <x:v>697232.3789435702</x:v>
      </x:c>
      <x:c r="AK739" s="32" t="n">
        <x:f>H739*tun_RoleScale*Arch_Roles*(AE739*(INDEX(tun_ElderRolePerSett,G739)*tun_OutElder*INDEX(LM_Elder,G739)+INDEX(tun_ShamanPerSett,G739)*tun_OutShaman)+Z739*(INDEX(tun_PriestShare,G739)*tun_OutPriest+INDEX(tun_ScribeShare,G739)*tun_OutScribe*INDEX(LM_Scribe,G739)+INDEX(tun_ScholarShare,G739)*tun_OutScholar*INDEX(LM_Scholar,G739)+INDEX(tun_ResearcherShare,G739)*tun_OutResearcher*INDEX(LM_Researcher,G739)))</x:f>
        <x:v>182899.46468822393</x:v>
      </x:c>
      <x:c r="AL739" s="32" t="n">
        <x:f>H739*tun_RoleScale*Arch_Roles*AE739*INDEX(tun_MonasteryPerSett,G739)*tun_OutMonastery*INDEX(LM_Monastery,G739)</x:f>
        <x:v>15.840000000000002</x:v>
      </x:c>
      <x:c r="AM739" s="32" t="n">
        <x:f>(AJ739+AK739+AL739)/4*INDEX(LM_All,G739)*INDEX(tun_Boon,G739)*Arch_Insight</x:f>
        <x:v>762183.6203785267</x:v>
      </x:c>
      <x:c r="AN739" s="32" t="n">
        <x:f>H739*(tun_KHPerAdult*Z739+tun_KHOfCommons*AJ739/4*INDEX(LM_All,G739))*tun_KHUsable*Arch_KH</x:f>
        <x:v>118449.41061721114</x:v>
      </x:c>
      <x:c r="AO739" s="32" t="n">
        <x:f>MIN(AP738+AN739,AM739*tun_KHMaxRatio)</x:f>
        <x:v>118449.41061721114</x:v>
      </x:c>
      <x:c r="AP739" s="32" t="n">
        <x:f>AP738+AN739-AO739</x:f>
        <x:v>0</x:v>
      </x:c>
      <x:c r="AQ739" s="32" t="n">
        <x:f>AM739+AO739</x:f>
        <x:v>880633.0309957379</x:v>
      </x:c>
      <x:c r="AR739" s="10" t="n">
        <x:f>IF(H739=1,INDEX(tun_Req,G739),0)</x:f>
        <x:v>125406521.7009086</x:v>
      </x:c>
      <x:c r="AS739" s="32" t="n">
        <x:f>IF(H739=1,IF(E739=1,AS738-AR738,AS738)+AQ739,0)</x:f>
        <x:v>83075892.60882811</x:v>
      </x:c>
      <x:c r="AT739" s="11" t="n">
        <x:f>IF(AR739&gt;0,MIN(1,AS739/AR739),1)</x:f>
        <x:v>0.6624527295873975</x:v>
      </x:c>
      <x:c r="AU739" s="10" t="n">
        <x:f>AB739/INDEX(tun_RepScale,G739)</x:f>
        <x:v>236.4529498076331</x:v>
      </x:c>
      <x:c r="AV739" s="32" t="n">
        <x:f>AM739*60/tun_SeasonSeconds</x:f>
        <x:v>3048734.481514107</x:v>
      </x:c>
    </x:row>
    <x:row r="740">
      <x:c r="A740" s="8" t="n">
        <x:f>A739+1</x:f>
        <x:v>737</x:v>
      </x:c>
      <x:c r="B740" s="9" t="n">
        <x:f>A740*tun_SeasonSeconds/60</x:f>
        <x:v>184.25</x:v>
      </x:c>
      <x:c r="C740" s="9" t="n">
        <x:f>A740/4</x:f>
        <x:v>184.25</x:v>
      </x:c>
      <x:c r="D740" s="8" t="n">
        <x:f>IF(MOD(A740,4)=0,1,0)</x:f>
        <x:v>0</x:v>
      </x:c>
      <x:c r="E740" s="8" t="n">
        <x:f>IF(AND(F739&lt;=9,AS739&gt;=AR739),1,0)</x:f>
        <x:v>0</x:v>
      </x:c>
      <x:c r="F740" s="8" t="n">
        <x:f>MIN(10,F739+E740)</x:f>
        <x:v>9</x:v>
      </x:c>
      <x:c r="G740" s="8" t="n">
        <x:f>MIN(F740,9)+1</x:f>
        <x:v>10</x:v>
      </x:c>
      <x:c r="H740" s="8" t="n">
        <x:f>IF(F740&lt;=9,1,0)</x:f>
        <x:v>1</x:v>
      </x:c>
      <x:c r="I740" s="9" t="n">
        <x:f>MIN(10,F739+IF(AR739&gt;0,MIN(1,AS739/AR739),1))</x:f>
        <x:v>9.662452729587397</x:v>
      </x:c>
      <x:c r="J740" s="32" t="n">
        <x:f>INDEX(tun_FoodCap,G740)*Arch_FoodCap*EXP(tun_CapsByProject*SUMPRODUCT((Cap_Point&lt;=I740)*(Cap_Kind="Food")*Cap_Ln))</x:f>
        <x:v>18627.260449441455</x:v>
      </x:c>
      <x:c r="K740" s="32" t="n">
        <x:f>J740*MIN(1,tun_LeanBase*EXP(tun_CapsByProject*SUMPRODUCT((Cap_Point&lt;=I740)*(Cap_Kind="Lean")*Cap_Ln)))</x:f>
        <x:v>18627.260449441455</x:v>
      </x:c>
      <x:c r="L740" s="10" t="n">
        <x:f>INDEX(tun_HousingCap,G740)*EXP(tun_CapsByProject*SUMPRODUCT((Cap_Point&lt;=I740)*(Cap_Kind="Housing")*Cap_Ln))</x:f>
        <x:v>20528.974303173167</x:v>
      </x:c>
      <x:c r="M740" s="10" t="n">
        <x:f>INDEX(tun_GroupCap,G740)*tun_CohesionFactor*EXP(tun_CapsByProject*SUMPRODUCT((Cap_Point&lt;=I740)*(Cap_Kind="Group")*Cap_Ln))</x:f>
        <x:v>1000000.000000001</x:v>
      </x:c>
      <x:c r="N740" s="32" t="n">
        <x:f>MIN(J740,L740,M740)</x:f>
        <x:v>18627.260449441455</x:v>
      </x:c>
      <x:c r="O740" s="10" t="n">
        <x:f>AE739*N740</x:f>
        <x:v>167645.34404497308</x:v>
      </x:c>
      <x:c r="P740" s="9" t="n">
        <x:f>MIN(1,(AB739/(AE739*IF(tun_GroupInCrowding=1,N740,MIN(J740,L740))))^tun_CrowdingExp)</x:f>
        <x:v>0.1230097300294494</x:v>
      </x:c>
      <x:c r="Q740" s="9" t="n">
        <x:f>IF(D740=1,INDEX(tun_WinterMult,G740),1)</x:f>
        <x:v>1</x:v>
      </x:c>
      <x:c r="R740" s="9" t="n">
        <x:f>H740*Z739*tun_WomenShare*tun_BaseFertility*INDEX(tun_FertMult,G740)*Arch_Fertility*(1-P740)</x:f>
        <x:v>1011.8490043049705</x:v>
      </x:c>
      <x:c r="S740" s="9" t="n">
        <x:f>H740*Y739*INDEX(tun_MortChild,G740)/4*Q740</x:f>
        <x:v>6.477638549362882</x:v>
      </x:c>
      <x:c r="T740" s="9" t="n">
        <x:f>H740*Z739*INDEX(tun_MortAdult,G740)*Arch_AdultMort/4*Q740</x:f>
        <x:v>19.01826087745626</x:v>
      </x:c>
      <x:c r="U740" s="9" t="n">
        <x:f>H740*AA739*INDEX(tun_MortElder,G740)/4*Q740</x:f>
        <x:v>261.37085332566255</x:v>
      </x:c>
      <x:c r="V740" s="9" t="n">
        <x:f>H740*MAX(0,AB739-O740)*tun_OvercapLoss</x:f>
        <x:v>0</x:v>
      </x:c>
      <x:c r="W740" s="9" t="n">
        <x:f>H740*Y739/(tun_ChildYears*4)</x:f>
        <x:v>514.0982975684827</x:v>
      </x:c>
      <x:c r="X740" s="9" t="n">
        <x:f>H740*Z739/(tun_AdultYears*4)</x:f>
        <x:v>408.9948575797045</x:v>
      </x:c>
      <x:c r="Y740" s="32" t="n">
        <x:f>Y739+R740-S740-W740-Y739*V740/AB739</x:f>
        <x:v>29280.777732022158</x:v>
      </x:c>
      <x:c r="Z740" s="32" t="n">
        <x:f>Z739+W740-X740-T740-Z739*V740/AB739</x:f>
        <x:v>50801.44751899468</x:v>
      </x:c>
      <x:c r="AA740" s="32" t="n">
        <x:f>AA739+X740-U740-AA739*V740/AB739</x:f>
        <x:v>38869.23190435219</x:v>
      </x:c>
      <x:c r="AB740" s="10" t="n">
        <x:f>Y740+Z740+AA740</x:f>
        <x:v>118951.45715536905</x:v>
      </x:c>
      <x:c r="AC740" s="8" t="n">
        <x:f>IF(AND(tun_WinterTrigger=1,D740=1,AB739/AE739&gt;=K740),1,0)</x:f>
        <x:v>0</x:v>
      </x:c>
      <x:c r="AD740" s="8" t="n">
        <x:f>H740*IF(AND(OR(AB739/AE739&gt;=tun_FissionTrigger*N740,AC740=1),AB739/AE739*tun_DaughterShare&gt;=tun_MinDaughter),MAX(1,ROUND(AE739*tun_FissionRate,0)),0)</x:f>
        <x:v>0</x:v>
      </x:c>
      <x:c r="AE740" s="8" t="n">
        <x:f>IF(H740=1,MAX(1,MIN(INDEX(tun_Smax,G740),AE739+AD740)),AE739)</x:f>
        <x:v>9</x:v>
      </x:c>
      <x:c r="AF740" s="8" t="n">
        <x:f>MAX(0,AE740-AE739)</x:f>
        <x:v>0</x:v>
      </x:c>
      <x:c r="AG740" s="9" t="str">
        <x:f>IF(AF740&gt;0,B740,"")</x:f>
      </x:c>
      <x:c r="AH740" s="9" t="n">
        <x:f>IF(F740&gt;=1,1,(1+tun_LowTiesShare*(AE740-1))/AE740)</x:f>
        <x:v>1</x:v>
      </x:c>
      <x:c r="AI740" s="32" t="n">
        <x:f>(Z740+tun_ElderCommons*INDEX(LM_Elder,G740)*AA740)*AH740</x:f>
        <x:v>203675.42630472768</x:v>
      </x:c>
      <x:c r="AJ740" s="32" t="n">
        <x:f>H740*tun_CommonsCoef*AI740^tun_CommonsExp*INDEX(LM_Commons,G740)</x:f>
        <x:v>699178.1972863952</x:v>
      </x:c>
      <x:c r="AK740" s="32" t="n">
        <x:f>H740*tun_RoleScale*Arch_Roles*(AE740*(INDEX(tun_ElderRolePerSett,G740)*tun_OutElder*INDEX(LM_Elder,G740)+INDEX(tun_ShamanPerSett,G740)*tun_OutShaman)+Z740*(INDEX(tun_PriestShare,G740)*tun_OutPriest+INDEX(tun_ScribeShare,G740)*tun_OutScribe*INDEX(LM_Scribe,G740)+INDEX(tun_ScholarShare,G740)*tun_OutScholar*INDEX(LM_Scholar,G740)+INDEX(tun_ResearcherShare,G740)*tun_OutResearcher*INDEX(LM_Researcher,G740)))</x:f>
        <x:v>183209.49791131643</x:v>
      </x:c>
      <x:c r="AL740" s="32" t="n">
        <x:f>H740*tun_RoleScale*Arch_Roles*AE740*INDEX(tun_MonasteryPerSett,G740)*tun_OutMonastery*INDEX(LM_Monastery,G740)</x:f>
        <x:v>15.840000000000002</x:v>
      </x:c>
      <x:c r="AM740" s="32" t="n">
        <x:f>(AJ740+AK740+AL740)/4*INDEX(LM_All,G740)*INDEX(tun_Boon,G740)*Arch_Insight</x:f>
        <x:v>764137.1256203435</x:v>
      </x:c>
      <x:c r="AN740" s="32" t="n">
        <x:f>H740*(tun_KHPerAdult*Z740+tun_KHOfCommons*AJ740/4*INDEX(LM_All,G740))*tun_KHUsable*Arch_KH</x:f>
        <x:v>118779.97621174791</x:v>
      </x:c>
      <x:c r="AO740" s="32" t="n">
        <x:f>MIN(AP739+AN740,AM740*tun_KHMaxRatio)</x:f>
        <x:v>118779.97621174791</x:v>
      </x:c>
      <x:c r="AP740" s="32" t="n">
        <x:f>AP739+AN740-AO740</x:f>
        <x:v>0</x:v>
      </x:c>
      <x:c r="AQ740" s="32" t="n">
        <x:f>AM740+AO740</x:f>
        <x:v>882917.1018320913</x:v>
      </x:c>
      <x:c r="AR740" s="10" t="n">
        <x:f>IF(H740=1,INDEX(tun_Req,G740),0)</x:f>
        <x:v>125406521.7009086</x:v>
      </x:c>
      <x:c r="AS740" s="32" t="n">
        <x:f>IF(H740=1,IF(E740=1,AS739-AR739,AS739)+AQ740,0)</x:f>
        <x:v>83958809.7106602</x:v>
      </x:c>
      <x:c r="AT740" s="11" t="n">
        <x:f>IF(AR740&gt;0,MIN(1,AS740/AR740),1)</x:f>
        <x:v>0.6694931696686386</x:v>
      </x:c>
      <x:c r="AU740" s="10" t="n">
        <x:f>AB740/INDEX(tun_RepScale,G740)</x:f>
        <x:v>237.90291431073808</x:v>
      </x:c>
      <x:c r="AV740" s="32" t="n">
        <x:f>AM740*60/tun_SeasonSeconds</x:f>
        <x:v>3056548.502481374</x:v>
      </x:c>
    </x:row>
    <x:row r="741">
      <x:c r="A741" s="8" t="n">
        <x:f>A740+1</x:f>
        <x:v>738</x:v>
      </x:c>
      <x:c r="B741" s="9" t="n">
        <x:f>A741*tun_SeasonSeconds/60</x:f>
        <x:v>184.5</x:v>
      </x:c>
      <x:c r="C741" s="9" t="n">
        <x:f>A741/4</x:f>
        <x:v>184.5</x:v>
      </x:c>
      <x:c r="D741" s="8" t="n">
        <x:f>IF(MOD(A741,4)=0,1,0)</x:f>
        <x:v>0</x:v>
      </x:c>
      <x:c r="E741" s="8" t="n">
        <x:f>IF(AND(F740&lt;=9,AS740&gt;=AR740),1,0)</x:f>
        <x:v>0</x:v>
      </x:c>
      <x:c r="F741" s="8" t="n">
        <x:f>MIN(10,F740+E741)</x:f>
        <x:v>9</x:v>
      </x:c>
      <x:c r="G741" s="8" t="n">
        <x:f>MIN(F741,9)+1</x:f>
        <x:v>10</x:v>
      </x:c>
      <x:c r="H741" s="8" t="n">
        <x:f>IF(F741&lt;=9,1,0)</x:f>
        <x:v>1</x:v>
      </x:c>
      <x:c r="I741" s="9" t="n">
        <x:f>MIN(10,F740+IF(AR740&gt;0,MIN(1,AS740/AR740),1))</x:f>
        <x:v>9.66949316966864</x:v>
      </x:c>
      <x:c r="J741" s="32" t="n">
        <x:f>INDEX(tun_FoodCap,G741)*Arch_FoodCap*EXP(tun_CapsByProject*SUMPRODUCT((Cap_Point&lt;=I741)*(Cap_Kind="Food")*Cap_Ln))</x:f>
        <x:v>18627.260449441455</x:v>
      </x:c>
      <x:c r="K741" s="32" t="n">
        <x:f>J741*MIN(1,tun_LeanBase*EXP(tun_CapsByProject*SUMPRODUCT((Cap_Point&lt;=I741)*(Cap_Kind="Lean")*Cap_Ln)))</x:f>
        <x:v>18627.260449441455</x:v>
      </x:c>
      <x:c r="L741" s="10" t="n">
        <x:f>INDEX(tun_HousingCap,G741)*EXP(tun_CapsByProject*SUMPRODUCT((Cap_Point&lt;=I741)*(Cap_Kind="Housing")*Cap_Ln))</x:f>
        <x:v>20528.974303173167</x:v>
      </x:c>
      <x:c r="M741" s="10" t="n">
        <x:f>INDEX(tun_GroupCap,G741)*tun_CohesionFactor*EXP(tun_CapsByProject*SUMPRODUCT((Cap_Point&lt;=I741)*(Cap_Kind="Group")*Cap_Ln))</x:f>
        <x:v>1000000.000000001</x:v>
      </x:c>
      <x:c r="N741" s="32" t="n">
        <x:f>MIN(J741,L741,M741)</x:f>
        <x:v>18627.260449441455</x:v>
      </x:c>
      <x:c r="O741" s="10" t="n">
        <x:f>AE740*N741</x:f>
        <x:v>167645.34404497308</x:v>
      </x:c>
      <x:c r="P741" s="9" t="n">
        <x:f>MIN(1,(AB740/(AE740*IF(tun_GroupInCrowding=1,N741,MIN(J741,L741))))^tun_CrowdingExp)</x:f>
        <x:v>0.1276055666858921</x:v>
      </x:c>
      <x:c r="Q741" s="9" t="n">
        <x:f>IF(D741=1,INDEX(tun_WinterMult,G741),1)</x:f>
        <x:v>1</x:v>
      </x:c>
      <x:c r="R741" s="9" t="n">
        <x:f>H741*Z740*tun_WomenShare*tun_BaseFertility*INDEX(tun_FertMult,G741)*Arch_Fertility*(1-P741)</x:f>
        <x:v>1008.254975452037</x:v>
      </x:c>
      <x:c r="S741" s="9" t="n">
        <x:f>H741*Y740*INDEX(tun_MortChild,G741)/4*Q741</x:f>
        <x:v>6.588174989704985</x:v>
      </x:c>
      <x:c r="T741" s="9" t="n">
        <x:f>H741*Z740*INDEX(tun_MortAdult,G741)*Arch_AdultMort/4*Q741</x:f>
        <x:v>19.050542819623008</x:v>
      </x:c>
      <x:c r="U741" s="9" t="n">
        <x:f>H741*AA740*INDEX(tun_MortElder,G741)/4*Q741</x:f>
        <x:v>262.3673153543773</x:v>
      </x:c>
      <x:c r="V741" s="9" t="n">
        <x:f>H741*MAX(0,AB740-O741)*tun_OvercapLoss</x:f>
        <x:v>0</x:v>
      </x:c>
      <x:c r="W741" s="9" t="n">
        <x:f>H741*Y740/(tun_ChildYears*4)</x:f>
        <x:v>522.8710309289671</x:v>
      </x:c>
      <x:c r="X741" s="9" t="n">
        <x:f>H741*Z740/(tun_AdultYears*4)</x:f>
        <x:v>409.6890928951184</x:v>
      </x:c>
      <x:c r="Y741" s="32" t="n">
        <x:f>Y740+R741-S741-W741-Y740*V741/AB740</x:f>
        <x:v>29759.573501555522</x:v>
      </x:c>
      <x:c r="Z741" s="32" t="n">
        <x:f>Z740+W741-X741-T741-Z740*V741/AB740</x:f>
        <x:v>50895.578914208905</x:v>
      </x:c>
      <x:c r="AA741" s="32" t="n">
        <x:f>AA740+X741-U741-AA740*V741/AB740</x:f>
        <x:v>39016.55368189293</x:v>
      </x:c>
      <x:c r="AB741" s="10" t="n">
        <x:f>Y741+Z741+AA741</x:f>
        <x:v>119671.70609765736</x:v>
      </x:c>
      <x:c r="AC741" s="8" t="n">
        <x:f>IF(AND(tun_WinterTrigger=1,D741=1,AB740/AE740&gt;=K741),1,0)</x:f>
        <x:v>0</x:v>
      </x:c>
      <x:c r="AD741" s="8" t="n">
        <x:f>H741*IF(AND(OR(AB740/AE740&gt;=tun_FissionTrigger*N741,AC741=1),AB740/AE740*tun_DaughterShare&gt;=tun_MinDaughter),MAX(1,ROUND(AE740*tun_FissionRate,0)),0)</x:f>
        <x:v>0</x:v>
      </x:c>
      <x:c r="AE741" s="8" t="n">
        <x:f>IF(H741=1,MAX(1,MIN(INDEX(tun_Smax,G741),AE740+AD741)),AE740)</x:f>
        <x:v>9</x:v>
      </x:c>
      <x:c r="AF741" s="8" t="n">
        <x:f>MAX(0,AE741-AE740)</x:f>
        <x:v>0</x:v>
      </x:c>
      <x:c r="AG741" s="9" t="str">
        <x:f>IF(AF741&gt;0,B741,"")</x:f>
      </x:c>
      <x:c r="AH741" s="9" t="n">
        <x:f>IF(F741&gt;=1,1,(1+tun_LowTiesShare*(AE741-1))/AE741)</x:f>
        <x:v>1</x:v>
      </x:c>
      <x:c r="AI741" s="32" t="n">
        <x:f>(Z741+tun_ElderCommons*INDEX(LM_Elder,G741)*AA741)*AH741</x:f>
        <x:v>204348.97913924023</x:v>
      </x:c>
      <x:c r="AJ741" s="32" t="n">
        <x:f>H741*tun_CommonsCoef*AI741^tun_CommonsExp*INDEX(LM_Commons,G741)</x:f>
        <x:v>701143.0601493393</x:v>
      </x:c>
      <x:c r="AK741" s="32" t="n">
        <x:f>H741*tun_RoleScale*Arch_Roles*(AE741*(INDEX(tun_ElderRolePerSett,G741)*tun_OutElder*INDEX(LM_Elder,G741)+INDEX(tun_ShamanPerSett,G741)*tun_OutShaman)+Z741*(INDEX(tun_PriestShare,G741)*tun_OutPriest+INDEX(tun_ScribeShare,G741)*tun_OutScribe*INDEX(LM_Scribe,G741)+INDEX(tun_ScholarShare,G741)*tun_OutScholar*INDEX(LM_Scholar,G741)+INDEX(tun_ResearcherShare,G741)*tun_OutResearcher*INDEX(LM_Researcher,G741)))</x:f>
        <x:v>183548.5093434088</x:v>
      </x:c>
      <x:c r="AL741" s="32" t="n">
        <x:f>H741*tun_RoleScale*Arch_Roles*AE741*INDEX(tun_MonasteryPerSett,G741)*tun_OutMonastery*INDEX(LM_Monastery,G741)</x:f>
        <x:v>15.840000000000002</x:v>
      </x:c>
      <x:c r="AM741" s="32" t="n">
        <x:f>(AJ741+AK741+AL741)/4*INDEX(LM_All,G741)*INDEX(tun_Boon,G741)*Arch_Insight</x:f>
        <x:v>766132.2172211553</x:v>
      </x:c>
      <x:c r="AN741" s="32" t="n">
        <x:f>H741*(tun_KHPerAdult*Z741+tun_KHOfCommons*AJ741/4*INDEX(LM_All,G741))*tun_KHUsable*Arch_KH</x:f>
        <x:v>119113.77718698663</x:v>
      </x:c>
      <x:c r="AO741" s="32" t="n">
        <x:f>MIN(AP740+AN741,AM741*tun_KHMaxRatio)</x:f>
        <x:v>119113.77718698663</x:v>
      </x:c>
      <x:c r="AP741" s="32" t="n">
        <x:f>AP740+AN741-AO741</x:f>
        <x:v>0</x:v>
      </x:c>
      <x:c r="AQ741" s="32" t="n">
        <x:f>AM741+AO741</x:f>
        <x:v>885245.9944081419</x:v>
      </x:c>
      <x:c r="AR741" s="10" t="n">
        <x:f>IF(H741=1,INDEX(tun_Req,G741),0)</x:f>
        <x:v>125406521.7009086</x:v>
      </x:c>
      <x:c r="AS741" s="32" t="n">
        <x:f>IF(H741=1,IF(E741=1,AS740-AR740,AS740)+AQ741,0)</x:f>
        <x:v>84844055.70506835</x:v>
      </x:c>
      <x:c r="AT741" s="11" t="n">
        <x:f>IF(AR741&gt;0,MIN(1,AS741/AR741),1)</x:f>
        <x:v>0.6765521804952002</x:v>
      </x:c>
      <x:c r="AU741" s="10" t="n">
        <x:f>AB741/INDEX(tun_RepScale,G741)</x:f>
        <x:v>239.3434121953147</x:v>
      </x:c>
      <x:c r="AV741" s="32" t="n">
        <x:f>AM741*60/tun_SeasonSeconds</x:f>
        <x:v>3064528.868884621</x:v>
      </x:c>
    </x:row>
    <x:row r="742">
      <x:c r="A742" s="8" t="n">
        <x:f>A741+1</x:f>
        <x:v>739</x:v>
      </x:c>
      <x:c r="B742" s="9" t="n">
        <x:f>A742*tun_SeasonSeconds/60</x:f>
        <x:v>184.75</x:v>
      </x:c>
      <x:c r="C742" s="9" t="n">
        <x:f>A742/4</x:f>
        <x:v>184.75</x:v>
      </x:c>
      <x:c r="D742" s="8" t="n">
        <x:f>IF(MOD(A742,4)=0,1,0)</x:f>
        <x:v>0</x:v>
      </x:c>
      <x:c r="E742" s="8" t="n">
        <x:f>IF(AND(F741&lt;=9,AS741&gt;=AR741),1,0)</x:f>
        <x:v>0</x:v>
      </x:c>
      <x:c r="F742" s="8" t="n">
        <x:f>MIN(10,F741+E742)</x:f>
        <x:v>9</x:v>
      </x:c>
      <x:c r="G742" s="8" t="n">
        <x:f>MIN(F742,9)+1</x:f>
        <x:v>10</x:v>
      </x:c>
      <x:c r="H742" s="8" t="n">
        <x:f>IF(F742&lt;=9,1,0)</x:f>
        <x:v>1</x:v>
      </x:c>
      <x:c r="I742" s="9" t="n">
        <x:f>MIN(10,F741+IF(AR741&gt;0,MIN(1,AS741/AR741),1))</x:f>
        <x:v>9.6765521804952</x:v>
      </x:c>
      <x:c r="J742" s="32" t="n">
        <x:f>INDEX(tun_FoodCap,G742)*Arch_FoodCap*EXP(tun_CapsByProject*SUMPRODUCT((Cap_Point&lt;=I742)*(Cap_Kind="Food")*Cap_Ln))</x:f>
        <x:v>18627.260449441455</x:v>
      </x:c>
      <x:c r="K742" s="32" t="n">
        <x:f>J742*MIN(1,tun_LeanBase*EXP(tun_CapsByProject*SUMPRODUCT((Cap_Point&lt;=I742)*(Cap_Kind="Lean")*Cap_Ln)))</x:f>
        <x:v>18627.260449441455</x:v>
      </x:c>
      <x:c r="L742" s="10" t="n">
        <x:f>INDEX(tun_HousingCap,G742)*EXP(tun_CapsByProject*SUMPRODUCT((Cap_Point&lt;=I742)*(Cap_Kind="Housing")*Cap_Ln))</x:f>
        <x:v>20528.974303173167</x:v>
      </x:c>
      <x:c r="M742" s="10" t="n">
        <x:f>INDEX(tun_GroupCap,G742)*tun_CohesionFactor*EXP(tun_CapsByProject*SUMPRODUCT((Cap_Point&lt;=I742)*(Cap_Kind="Group")*Cap_Ln))</x:f>
        <x:v>1000000.000000001</x:v>
      </x:c>
      <x:c r="N742" s="32" t="n">
        <x:f>MIN(J742,L742,M742)</x:f>
        <x:v>18627.260449441455</x:v>
      </x:c>
      <x:c r="O742" s="10" t="n">
        <x:f>AE741*N742</x:f>
        <x:v>167645.34404497308</x:v>
      </x:c>
      <x:c r="P742" s="9" t="n">
        <x:f>MIN(1,(AB741/(AE741*IF(tun_GroupInCrowding=1,N742,MIN(J742,L742))))^tun_CrowdingExp)</x:f>
        <x:v>0.1323122080137649</x:v>
      </x:c>
      <x:c r="Q742" s="9" t="n">
        <x:f>IF(D742=1,INDEX(tun_WinterMult,G742),1)</x:f>
        <x:v>1</x:v>
      </x:c>
      <x:c r="R742" s="9" t="n">
        <x:f>H742*Z741*tun_WomenShare*tun_BaseFertility*INDEX(tun_FertMult,G742)*Arch_Fertility*(1-P742)</x:f>
        <x:v>1004.6734991459327</x:v>
      </x:c>
      <x:c r="S742" s="9" t="n">
        <x:f>H742*Y741*INDEX(tun_MortChild,G742)/4*Q742</x:f>
        <x:v>6.695904037849992</x:v>
      </x:c>
      <x:c r="T742" s="9" t="n">
        <x:f>H742*Z741*INDEX(tun_MortAdult,G742)*Arch_AdultMort/4*Q742</x:f>
        <x:v>19.08584209282834</x:v>
      </x:c>
      <x:c r="U742" s="9" t="n">
        <x:f>H742*AA741*INDEX(tun_MortElder,G742)/4*Q742</x:f>
        <x:v>263.3617373527773</x:v>
      </x:c>
      <x:c r="V742" s="9" t="n">
        <x:f>H742*MAX(0,AB741-O742)*tun_OvercapLoss</x:f>
        <x:v>0</x:v>
      </x:c>
      <x:c r="W742" s="9" t="n">
        <x:f>H742*Y741/(tun_ChildYears*4)</x:f>
        <x:v>531.42095538492</x:v>
      </x:c>
      <x:c r="X742" s="9" t="n">
        <x:f>H742*Z741/(tun_AdultYears*4)</x:f>
        <x:v>410.44821705007183</x:v>
      </x:c>
      <x:c r="Y742" s="32" t="n">
        <x:f>Y741+R742-S742-W742-Y741*V742/AB741</x:f>
        <x:v>30226.130141278685</x:v>
      </x:c>
      <x:c r="Z742" s="32" t="n">
        <x:f>Z741+W742-X742-T742-Z741*V742/AB741</x:f>
        <x:v>50997.46581045093</x:v>
      </x:c>
      <x:c r="AA742" s="32" t="n">
        <x:f>AA741+X742-U742-AA741*V742/AB741</x:f>
        <x:v>39163.64016159023</x:v>
      </x:c>
      <x:c r="AB742" s="10" t="n">
        <x:f>Y742+Z742+AA742</x:f>
        <x:v>120387.23611331984</x:v>
      </x:c>
      <x:c r="AC742" s="8" t="n">
        <x:f>IF(AND(tun_WinterTrigger=1,D742=1,AB741/AE741&gt;=K742),1,0)</x:f>
        <x:v>0</x:v>
      </x:c>
      <x:c r="AD742" s="8" t="n">
        <x:f>H742*IF(AND(OR(AB741/AE741&gt;=tun_FissionTrigger*N742,AC742=1),AB741/AE741*tun_DaughterShare&gt;=tun_MinDaughter),MAX(1,ROUND(AE741*tun_FissionRate,0)),0)</x:f>
        <x:v>0</x:v>
      </x:c>
      <x:c r="AE742" s="8" t="n">
        <x:f>IF(H742=1,MAX(1,MIN(INDEX(tun_Smax,G742),AE741+AD742)),AE741)</x:f>
        <x:v>9</x:v>
      </x:c>
      <x:c r="AF742" s="8" t="n">
        <x:f>MAX(0,AE742-AE741)</x:f>
        <x:v>0</x:v>
      </x:c>
      <x:c r="AG742" s="9" t="str">
        <x:f>IF(AF742&gt;0,B742,"")</x:f>
      </x:c>
      <x:c r="AH742" s="9" t="n">
        <x:f>IF(F742&gt;=1,1,(1+tun_LowTiesShare*(AE742-1))/AE742)</x:f>
        <x:v>1</x:v>
      </x:c>
      <x:c r="AI742" s="32" t="n">
        <x:f>(Z742+tun_ElderCommons*INDEX(LM_Elder,G742)*AA742)*AH742</x:f>
        <x:v>205029.36204055496</x:v>
      </x:c>
      <x:c r="AJ742" s="32" t="n">
        <x:f>H742*tun_CommonsCoef*AI742^tun_CommonsExp*INDEX(LM_Commons,G742)</x:f>
        <x:v>703126.8613980697</x:v>
      </x:c>
      <x:c r="AK742" s="32" t="n">
        <x:f>H742*tun_RoleScale*Arch_Roles*(AE742*(INDEX(tun_ElderRolePerSett,G742)*tun_OutElder*INDEX(LM_Elder,G742)+INDEX(tun_ShamanPerSett,G742)*tun_OutShaman)+Z742*(INDEX(tun_PriestShare,G742)*tun_OutPriest+INDEX(tun_ScribeShare,G742)*tun_OutScribe*INDEX(LM_Scribe,G742)+INDEX(tun_ScholarShare,G742)*tun_OutScholar*INDEX(LM_Scholar,G742)+INDEX(tun_ResearcherShare,G742)*tun_OutResearcher*INDEX(LM_Researcher,G742)))</x:f>
        <x:v>183915.45198276785</x:v>
      </x:c>
      <x:c r="AL742" s="32" t="n">
        <x:f>H742*tun_RoleScale*Arch_Roles*AE742*INDEX(tun_MonasteryPerSett,G742)*tun_OutMonastery*INDEX(LM_Monastery,G742)</x:f>
        <x:v>15.840000000000002</x:v>
      </x:c>
      <x:c r="AM742" s="32" t="n">
        <x:f>(AJ742+AK742+AL742)/4*INDEX(LM_All,G742)*INDEX(tun_Boon,G742)*Arch_Insight</x:f>
        <x:v>768167.8965969319</x:v>
      </x:c>
      <x:c r="AN742" s="32" t="n">
        <x:f>H742*(tun_KHPerAdult*Z742+tun_KHOfCommons*AJ742/4*INDEX(LM_All,G742))*tun_KHUsable*Arch_KH</x:f>
        <x:v>119450.79551228277</x:v>
      </x:c>
      <x:c r="AO742" s="32" t="n">
        <x:f>MIN(AP741+AN742,AM742*tun_KHMaxRatio)</x:f>
        <x:v>119450.79551228277</x:v>
      </x:c>
      <x:c r="AP742" s="32" t="n">
        <x:f>AP741+AN742-AO742</x:f>
        <x:v>0</x:v>
      </x:c>
      <x:c r="AQ742" s="32" t="n">
        <x:f>AM742+AO742</x:f>
        <x:v>887618.6921092146</x:v>
      </x:c>
      <x:c r="AR742" s="10" t="n">
        <x:f>IF(H742=1,INDEX(tun_Req,G742),0)</x:f>
        <x:v>125406521.7009086</x:v>
      </x:c>
      <x:c r="AS742" s="32" t="n">
        <x:f>IF(H742=1,IF(E742=1,AS741-AR741,AS741)+AQ742,0)</x:f>
        <x:v>85731674.39717756</x:v>
      </x:c>
      <x:c r="AT742" s="11" t="n">
        <x:f>IF(AR742&gt;0,MIN(1,AS742/AR742),1)</x:f>
        <x:v>0.683630111372082</x:v>
      </x:c>
      <x:c r="AU742" s="10" t="n">
        <x:f>AB742/INDEX(tun_RepScale,G742)</x:f>
        <x:v>240.7744722266397</x:v>
      </x:c>
      <x:c r="AV742" s="32" t="n">
        <x:f>AM742*60/tun_SeasonSeconds</x:f>
        <x:v>3072671.586387728</x:v>
      </x:c>
    </x:row>
    <x:row r="743">
      <x:c r="A743" s="8" t="n">
        <x:f>A742+1</x:f>
        <x:v>740</x:v>
      </x:c>
      <x:c r="B743" s="9" t="n">
        <x:f>A743*tun_SeasonSeconds/60</x:f>
        <x:v>185</x:v>
      </x:c>
      <x:c r="C743" s="9" t="n">
        <x:f>A743/4</x:f>
        <x:v>185</x:v>
      </x:c>
      <x:c r="D743" s="8" t="n">
        <x:f>IF(MOD(A743,4)=0,1,0)</x:f>
        <x:v>1</x:v>
      </x:c>
      <x:c r="E743" s="8" t="n">
        <x:f>IF(AND(F742&lt;=9,AS742&gt;=AR742),1,0)</x:f>
        <x:v>0</x:v>
      </x:c>
      <x:c r="F743" s="8" t="n">
        <x:f>MIN(10,F742+E743)</x:f>
        <x:v>9</x:v>
      </x:c>
      <x:c r="G743" s="8" t="n">
        <x:f>MIN(F743,9)+1</x:f>
        <x:v>10</x:v>
      </x:c>
      <x:c r="H743" s="8" t="n">
        <x:f>IF(F743&lt;=9,1,0)</x:f>
        <x:v>1</x:v>
      </x:c>
      <x:c r="I743" s="9" t="n">
        <x:f>MIN(10,F742+IF(AR742&gt;0,MIN(1,AS742/AR742),1))</x:f>
        <x:v>9.683630111372082</x:v>
      </x:c>
      <x:c r="J743" s="32" t="n">
        <x:f>INDEX(tun_FoodCap,G743)*Arch_FoodCap*EXP(tun_CapsByProject*SUMPRODUCT((Cap_Point&lt;=I743)*(Cap_Kind="Food")*Cap_Ln))</x:f>
        <x:v>18627.260449441455</x:v>
      </x:c>
      <x:c r="K743" s="32" t="n">
        <x:f>J743*MIN(1,tun_LeanBase*EXP(tun_CapsByProject*SUMPRODUCT((Cap_Point&lt;=I743)*(Cap_Kind="Lean")*Cap_Ln)))</x:f>
        <x:v>18627.260449441455</x:v>
      </x:c>
      <x:c r="L743" s="10" t="n">
        <x:f>INDEX(tun_HousingCap,G743)*EXP(tun_CapsByProject*SUMPRODUCT((Cap_Point&lt;=I743)*(Cap_Kind="Housing")*Cap_Ln))</x:f>
        <x:v>20528.974303173167</x:v>
      </x:c>
      <x:c r="M743" s="10" t="n">
        <x:f>INDEX(tun_GroupCap,G743)*tun_CohesionFactor*EXP(tun_CapsByProject*SUMPRODUCT((Cap_Point&lt;=I743)*(Cap_Kind="Group")*Cap_Ln))</x:f>
        <x:v>1000000.000000001</x:v>
      </x:c>
      <x:c r="N743" s="32" t="n">
        <x:f>MIN(J743,L743,M743)</x:f>
        <x:v>18627.260449441455</x:v>
      </x:c>
      <x:c r="O743" s="10" t="n">
        <x:f>AE742*N743</x:f>
        <x:v>167645.34404497308</x:v>
      </x:c>
      <x:c r="P743" s="9" t="n">
        <x:f>MIN(1,(AB742/(AE742*IF(tun_GroupInCrowding=1,N743,MIN(J743,L743))))^tun_CrowdingExp)</x:f>
        <x:v>0.13713038170331446</x:v>
      </x:c>
      <x:c r="Q743" s="9" t="n">
        <x:f>IF(D743=1,INDEX(tun_WinterMult,G743),1)</x:f>
        <x:v>1.05</x:v>
      </x:c>
      <x:c r="R743" s="9" t="n">
        <x:f>H743*Z742*tun_WomenShare*tun_BaseFertility*INDEX(tun_FertMult,G743)*Arch_Fertility*(1-P743)</x:f>
        <x:v>1001.0947277686369</x:v>
      </x:c>
      <x:c r="S743" s="9" t="n">
        <x:f>H743*Y742*INDEX(tun_MortChild,G743)/4*Q743</x:f>
        <x:v>7.14092324587709</x:v>
      </x:c>
      <x:c r="T743" s="9" t="n">
        <x:f>H743*Z742*INDEX(tun_MortAdult,G743)*Arch_AdultMort/4*Q743</x:f>
        <x:v>20.080252162865055</x:v>
      </x:c>
      <x:c r="U743" s="9" t="n">
        <x:f>H743*AA742*INDEX(tun_MortElder,G743)/4*Q743</x:f>
        <x:v>277.5722996452708</x:v>
      </x:c>
      <x:c r="V743" s="9" t="n">
        <x:f>H743*MAX(0,AB742-O743)*tun_OvercapLoss</x:f>
        <x:v>0</x:v>
      </x:c>
      <x:c r="W743" s="9" t="n">
        <x:f>H743*Y742/(tun_ChildYears*4)</x:f>
        <x:v>539.7523239514051</x:v>
      </x:c>
      <x:c r="X743" s="9" t="n">
        <x:f>H743*Z742/(tun_AdultYears*4)</x:f>
        <x:v>411.26988556815263</x:v>
      </x:c>
      <x:c r="Y743" s="32" t="n">
        <x:f>Y742+R743-S743-W743-Y742*V743/AB742</x:f>
        <x:v>30680.33162185004</x:v>
      </x:c>
      <x:c r="Z743" s="32" t="n">
        <x:f>Z742+W743-X743-T743-Z742*V743/AB742</x:f>
        <x:v>51105.86799667132</x:v>
      </x:c>
      <x:c r="AA743" s="32" t="n">
        <x:f>AA742+X743-U743-AA742*V743/AB742</x:f>
        <x:v>39297.33774751311</x:v>
      </x:c>
      <x:c r="AB743" s="10" t="n">
        <x:f>Y743+Z743+AA743</x:f>
        <x:v>121083.53736603446</x:v>
      </x:c>
      <x:c r="AC743" s="8" t="n">
        <x:f>IF(AND(tun_WinterTrigger=1,D743=1,AB742/AE742&gt;=K743),1,0)</x:f>
        <x:v>0</x:v>
      </x:c>
      <x:c r="AD743" s="8" t="n">
        <x:f>H743*IF(AND(OR(AB742/AE742&gt;=tun_FissionTrigger*N743,AC743=1),AB742/AE742*tun_DaughterShare&gt;=tun_MinDaughter),MAX(1,ROUND(AE742*tun_FissionRate,0)),0)</x:f>
        <x:v>0</x:v>
      </x:c>
      <x:c r="AE743" s="8" t="n">
        <x:f>IF(H743=1,MAX(1,MIN(INDEX(tun_Smax,G743),AE742+AD743)),AE742)</x:f>
        <x:v>9</x:v>
      </x:c>
      <x:c r="AF743" s="8" t="n">
        <x:f>MAX(0,AE743-AE742)</x:f>
        <x:v>0</x:v>
      </x:c>
      <x:c r="AG743" s="9" t="str">
        <x:f>IF(AF743&gt;0,B743,"")</x:f>
      </x:c>
      <x:c r="AH743" s="9" t="n">
        <x:f>IF(F743&gt;=1,1,(1+tun_LowTiesShare*(AE743-1))/AE743)</x:f>
        <x:v>1</x:v>
      </x:c>
      <x:c r="AI743" s="32" t="n">
        <x:f>(Z743+tun_ElderCommons*INDEX(LM_Elder,G743)*AA743)*AH743</x:f>
        <x:v>205663.60126838126</x:v>
      </x:c>
      <x:c r="AJ743" s="32" t="n">
        <x:f>H743*tun_CommonsCoef*AI743^tun_CommonsExp*INDEX(LM_Commons,G743)</x:f>
        <x:v>704975.2317913424</x:v>
      </x:c>
      <x:c r="AK743" s="32" t="n">
        <x:f>H743*tun_RoleScale*Arch_Roles*(AE743*(INDEX(tun_ElderRolePerSett,G743)*tun_OutElder*INDEX(LM_Elder,G743)+INDEX(tun_ShamanPerSett,G743)*tun_OutShaman)+Z743*(INDEX(tun_PriestShare,G743)*tun_OutPriest+INDEX(tun_ScribeShare,G743)*tun_OutScribe*INDEX(LM_Scribe,G743)+INDEX(tun_ScholarShare,G743)*tun_OutScholar*INDEX(LM_Scholar,G743)+INDEX(tun_ResearcherShare,G743)*tun_OutResearcher*INDEX(LM_Researcher,G743)))</x:f>
        <x:v>184305.8592460288</x:v>
      </x:c>
      <x:c r="AL743" s="32" t="n">
        <x:f>H743*tun_RoleScale*Arch_Roles*AE743*INDEX(tun_MonasteryPerSett,G743)*tun_OutMonastery*INDEX(LM_Monastery,G743)</x:f>
        <x:v>15.840000000000002</x:v>
      </x:c>
      <x:c r="AM743" s="32" t="n">
        <x:f>(AJ743+AK743+AL743)/4*INDEX(LM_All,G743)*INDEX(tun_Boon,G743)*Arch_Insight</x:f>
        <x:v>770106.6163041047</x:v>
      </x:c>
      <x:c r="AN743" s="32" t="n">
        <x:f>H743*(tun_KHPerAdult*Z743+tun_KHOfCommons*AJ743/4*INDEX(LM_All,G743))*tun_KHUsable*Arch_KH</x:f>
        <x:v>119764.80614962176</x:v>
      </x:c>
      <x:c r="AO743" s="32" t="n">
        <x:f>MIN(AP742+AN743,AM743*tun_KHMaxRatio)</x:f>
        <x:v>119764.80614962176</x:v>
      </x:c>
      <x:c r="AP743" s="32" t="n">
        <x:f>AP742+AN743-AO743</x:f>
        <x:v>0</x:v>
      </x:c>
      <x:c r="AQ743" s="32" t="n">
        <x:f>AM743+AO743</x:f>
        <x:v>889871.4224537264</x:v>
      </x:c>
      <x:c r="AR743" s="10" t="n">
        <x:f>IF(H743=1,INDEX(tun_Req,G743),0)</x:f>
        <x:v>125406521.7009086</x:v>
      </x:c>
      <x:c r="AS743" s="32" t="n">
        <x:f>IF(H743=1,IF(E743=1,AS742-AR742,AS742)+AQ743,0)</x:f>
        <x:v>86621545.8196313</x:v>
      </x:c>
      <x:c r="AT743" s="11" t="n">
        <x:f>IF(AR743&gt;0,MIN(1,AS743/AR743),1)</x:f>
        <x:v>0.6907260056715511</x:v>
      </x:c>
      <x:c r="AU743" s="10" t="n">
        <x:f>AB743/INDEX(tun_RepScale,G743)</x:f>
        <x:v>242.16707473206893</x:v>
      </x:c>
      <x:c r="AV743" s="32" t="n">
        <x:f>AM743*60/tun_SeasonSeconds</x:f>
        <x:v>3080426.4652164187</x:v>
      </x:c>
    </x:row>
    <x:row r="744">
      <x:c r="A744" s="8" t="n">
        <x:f>A743+1</x:f>
        <x:v>741</x:v>
      </x:c>
      <x:c r="B744" s="9" t="n">
        <x:f>A744*tun_SeasonSeconds/60</x:f>
        <x:v>185.25</x:v>
      </x:c>
      <x:c r="C744" s="9" t="n">
        <x:f>A744/4</x:f>
        <x:v>185.25</x:v>
      </x:c>
      <x:c r="D744" s="8" t="n">
        <x:f>IF(MOD(A744,4)=0,1,0)</x:f>
        <x:v>0</x:v>
      </x:c>
      <x:c r="E744" s="8" t="n">
        <x:f>IF(AND(F743&lt;=9,AS743&gt;=AR743),1,0)</x:f>
        <x:v>0</x:v>
      </x:c>
      <x:c r="F744" s="8" t="n">
        <x:f>MIN(10,F743+E744)</x:f>
        <x:v>9</x:v>
      </x:c>
      <x:c r="G744" s="8" t="n">
        <x:f>MIN(F744,9)+1</x:f>
        <x:v>10</x:v>
      </x:c>
      <x:c r="H744" s="8" t="n">
        <x:f>IF(F744&lt;=9,1,0)</x:f>
        <x:v>1</x:v>
      </x:c>
      <x:c r="I744" s="9" t="n">
        <x:f>MIN(10,F743+IF(AR743&gt;0,MIN(1,AS743/AR743),1))</x:f>
        <x:v>9.690726005671552</x:v>
      </x:c>
      <x:c r="J744" s="32" t="n">
        <x:f>INDEX(tun_FoodCap,G744)*Arch_FoodCap*EXP(tun_CapsByProject*SUMPRODUCT((Cap_Point&lt;=I744)*(Cap_Kind="Food")*Cap_Ln))</x:f>
        <x:v>18627.260449441455</x:v>
      </x:c>
      <x:c r="K744" s="32" t="n">
        <x:f>J744*MIN(1,tun_LeanBase*EXP(tun_CapsByProject*SUMPRODUCT((Cap_Point&lt;=I744)*(Cap_Kind="Lean")*Cap_Ln)))</x:f>
        <x:v>18627.260449441455</x:v>
      </x:c>
      <x:c r="L744" s="10" t="n">
        <x:f>INDEX(tun_HousingCap,G744)*EXP(tun_CapsByProject*SUMPRODUCT((Cap_Point&lt;=I744)*(Cap_Kind="Housing")*Cap_Ln))</x:f>
        <x:v>20528.974303173167</x:v>
      </x:c>
      <x:c r="M744" s="10" t="n">
        <x:f>INDEX(tun_GroupCap,G744)*tun_CohesionFactor*EXP(tun_CapsByProject*SUMPRODUCT((Cap_Point&lt;=I744)*(Cap_Kind="Group")*Cap_Ln))</x:f>
        <x:v>1000000.000000001</x:v>
      </x:c>
      <x:c r="N744" s="32" t="n">
        <x:f>MIN(J744,L744,M744)</x:f>
        <x:v>18627.260449441455</x:v>
      </x:c>
      <x:c r="O744" s="10" t="n">
        <x:f>AE743*N744</x:f>
        <x:v>167645.34404497308</x:v>
      </x:c>
      <x:c r="P744" s="9" t="n">
        <x:f>MIN(1,(AB743/(AE743*IF(tun_GroupInCrowding=1,N744,MIN(J744,L744))))^tun_CrowdingExp)</x:f>
        <x:v>0.1419585719388412</x:v>
      </x:c>
      <x:c r="Q744" s="9" t="n">
        <x:f>IF(D744=1,INDEX(tun_WinterMult,G744),1)</x:f>
        <x:v>1</x:v>
      </x:c>
      <x:c r="R744" s="9" t="n">
        <x:f>H744*Z743*tun_WomenShare*tun_BaseFertility*INDEX(tun_FertMult,G744)*Arch_Fertility*(1-P744)</x:f>
        <x:v>997.6091570483431</x:v>
      </x:c>
      <x:c r="S744" s="9" t="n">
        <x:f>H744*Y743*INDEX(tun_MortChild,G744)/4*Q744</x:f>
        <x:v>6.9030746149162585</x:v>
      </x:c>
      <x:c r="T744" s="9" t="n">
        <x:f>H744*Z743*INDEX(tun_MortAdult,G744)*Arch_AdultMort/4*Q744</x:f>
        <x:v>19.164700498751746</x:v>
      </x:c>
      <x:c r="U744" s="9" t="n">
        <x:f>H744*AA743*INDEX(tun_MortElder,G744)/4*Q744</x:f>
        <x:v>265.2570297957135</x:v>
      </x:c>
      <x:c r="V744" s="9" t="n">
        <x:f>H744*MAX(0,AB743-O744)*tun_OvercapLoss</x:f>
        <x:v>0</x:v>
      </x:c>
      <x:c r="W744" s="9" t="n">
        <x:f>H744*Y743/(tun_ChildYears*4)</x:f>
        <x:v>547.8630646758936</x:v>
      </x:c>
      <x:c r="X744" s="9" t="n">
        <x:f>H744*Z743/(tun_AdultYears*4)</x:f>
        <x:v>412.14409674734935</x:v>
      </x:c>
      <x:c r="Y744" s="32" t="n">
        <x:f>Y743+R744-S744-W744-Y743*V744/AB743</x:f>
        <x:v>31123.174639607576</x:v>
      </x:c>
      <x:c r="Z744" s="32" t="n">
        <x:f>Z743+W744-X744-T744-Z743*V744/AB743</x:f>
        <x:v>51222.42226410111</x:v>
      </x:c>
      <x:c r="AA744" s="32" t="n">
        <x:f>AA743+X744-U744-AA743*V744/AB743</x:f>
        <x:v>39444.224814464746</x:v>
      </x:c>
      <x:c r="AB744" s="10" t="n">
        <x:f>Y744+Z744+AA744</x:f>
        <x:v>121789.82171817342</x:v>
      </x:c>
      <x:c r="AC744" s="8" t="n">
        <x:f>IF(AND(tun_WinterTrigger=1,D744=1,AB743/AE743&gt;=K744),1,0)</x:f>
        <x:v>0</x:v>
      </x:c>
      <x:c r="AD744" s="8" t="n">
        <x:f>H744*IF(AND(OR(AB743/AE743&gt;=tun_FissionTrigger*N744,AC744=1),AB743/AE743*tun_DaughterShare&gt;=tun_MinDaughter),MAX(1,ROUND(AE743*tun_FissionRate,0)),0)</x:f>
        <x:v>0</x:v>
      </x:c>
      <x:c r="AE744" s="8" t="n">
        <x:f>IF(H744=1,MAX(1,MIN(INDEX(tun_Smax,G744),AE743+AD744)),AE743)</x:f>
        <x:v>9</x:v>
      </x:c>
      <x:c r="AF744" s="8" t="n">
        <x:f>MAX(0,AE744-AE743)</x:f>
        <x:v>0</x:v>
      </x:c>
      <x:c r="AG744" s="9" t="str">
        <x:f>IF(AF744&gt;0,B744,"")</x:f>
      </x:c>
      <x:c r="AH744" s="9" t="n">
        <x:f>IF(F744&gt;=1,1,(1+tun_LowTiesShare*(AE744-1))/AE744)</x:f>
        <x:v>1</x:v>
      </x:c>
      <x:c r="AI744" s="32" t="n">
        <x:f>(Z744+tun_ElderCommons*INDEX(LM_Elder,G744)*AA744)*AH744</x:f>
        <x:v>206357.8672439384</x:v>
      </x:c>
      <x:c r="AJ744" s="32" t="n">
        <x:f>H744*tun_CommonsCoef*AI744^tun_CommonsExp*INDEX(LM_Commons,G744)</x:f>
        <x:v>706997.5589016016</x:v>
      </x:c>
      <x:c r="AK744" s="32" t="n">
        <x:f>H744*tun_RoleScale*Arch_Roles*(AE744*(INDEX(tun_ElderRolePerSett,G744)*tun_OutElder*INDEX(LM_Elder,G744)+INDEX(tun_ShamanPerSett,G744)*tun_OutShaman)+Z744*(INDEX(tun_PriestShare,G744)*tun_OutPriest+INDEX(tun_ScribeShare,G744)*tun_OutScribe*INDEX(LM_Scribe,G744)+INDEX(tun_ScholarShare,G744)*tun_OutScholar*INDEX(LM_Scholar,G744)+INDEX(tun_ResearcherShare,G744)*tun_OutResearcher*INDEX(LM_Researcher,G744)))</x:f>
        <x:v>184725.62598833544</x:v>
      </x:c>
      <x:c r="AL744" s="32" t="n">
        <x:f>H744*tun_RoleScale*Arch_Roles*AE744*INDEX(tun_MonasteryPerSett,G744)*tun_OutMonastery*INDEX(LM_Monastery,G744)</x:f>
        <x:v>15.840000000000002</x:v>
      </x:c>
      <x:c r="AM744" s="32" t="n">
        <x:f>(AJ744+AK744+AL744)/4*INDEX(LM_All,G744)*INDEX(tun_Boon,G744)*Arch_Insight</x:f>
        <x:v>772221.4022297715</x:v>
      </x:c>
      <x:c r="AN744" s="32" t="n">
        <x:f>H744*(tun_KHPerAdult*Z744+tun_KHOfCommons*AJ744/4*INDEX(LM_All,G744))*tun_KHUsable*Arch_KH</x:f>
        <x:v>120108.36944576178</x:v>
      </x:c>
      <x:c r="AO744" s="32" t="n">
        <x:f>MIN(AP743+AN744,AM744*tun_KHMaxRatio)</x:f>
        <x:v>120108.36944576178</x:v>
      </x:c>
      <x:c r="AP744" s="32" t="n">
        <x:f>AP743+AN744-AO744</x:f>
        <x:v>0</x:v>
      </x:c>
      <x:c r="AQ744" s="32" t="n">
        <x:f>AM744+AO744</x:f>
        <x:v>892329.7716755333</x:v>
      </x:c>
      <x:c r="AR744" s="10" t="n">
        <x:f>IF(H744=1,INDEX(tun_Req,G744),0)</x:f>
        <x:v>125406521.7009086</x:v>
      </x:c>
      <x:c r="AS744" s="32" t="n">
        <x:f>IF(H744=1,IF(E744=1,AS743-AR743,AS743)+AQ744,0)</x:f>
        <x:v>87513875.59130682</x:v>
      </x:c>
      <x:c r="AT744" s="11" t="n">
        <x:f>IF(AR744&gt;0,MIN(1,AS744/AR744),1)</x:f>
        <x:v>0.6978415030123012</x:v>
      </x:c>
      <x:c r="AU744" s="10" t="n">
        <x:f>AB744/INDEX(tun_RepScale,G744)</x:f>
        <x:v>243.57964343634686</x:v>
      </x:c>
      <x:c r="AV744" s="32" t="n">
        <x:f>AM744*60/tun_SeasonSeconds</x:f>
        <x:v>3088885.608919086</x:v>
      </x:c>
    </x:row>
    <x:row r="745">
      <x:c r="A745" s="8" t="n">
        <x:f>A744+1</x:f>
        <x:v>742</x:v>
      </x:c>
      <x:c r="B745" s="9" t="n">
        <x:f>A745*tun_SeasonSeconds/60</x:f>
        <x:v>185.5</x:v>
      </x:c>
      <x:c r="C745" s="9" t="n">
        <x:f>A745/4</x:f>
        <x:v>185.5</x:v>
      </x:c>
      <x:c r="D745" s="8" t="n">
        <x:f>IF(MOD(A745,4)=0,1,0)</x:f>
        <x:v>0</x:v>
      </x:c>
      <x:c r="E745" s="8" t="n">
        <x:f>IF(AND(F744&lt;=9,AS744&gt;=AR744),1,0)</x:f>
        <x:v>0</x:v>
      </x:c>
      <x:c r="F745" s="8" t="n">
        <x:f>MIN(10,F744+E745)</x:f>
        <x:v>9</x:v>
      </x:c>
      <x:c r="G745" s="8" t="n">
        <x:f>MIN(F745,9)+1</x:f>
        <x:v>10</x:v>
      </x:c>
      <x:c r="H745" s="8" t="n">
        <x:f>IF(F745&lt;=9,1,0)</x:f>
        <x:v>1</x:v>
      </x:c>
      <x:c r="I745" s="9" t="n">
        <x:f>MIN(10,F744+IF(AR744&gt;0,MIN(1,AS744/AR744),1))</x:f>
        <x:v>9.6978415030123</x:v>
      </x:c>
      <x:c r="J745" s="32" t="n">
        <x:f>INDEX(tun_FoodCap,G745)*Arch_FoodCap*EXP(tun_CapsByProject*SUMPRODUCT((Cap_Point&lt;=I745)*(Cap_Kind="Food")*Cap_Ln))</x:f>
        <x:v>18627.260449441455</x:v>
      </x:c>
      <x:c r="K745" s="32" t="n">
        <x:f>J745*MIN(1,tun_LeanBase*EXP(tun_CapsByProject*SUMPRODUCT((Cap_Point&lt;=I745)*(Cap_Kind="Lean")*Cap_Ln)))</x:f>
        <x:v>18627.260449441455</x:v>
      </x:c>
      <x:c r="L745" s="10" t="n">
        <x:f>INDEX(tun_HousingCap,G745)*EXP(tun_CapsByProject*SUMPRODUCT((Cap_Point&lt;=I745)*(Cap_Kind="Housing")*Cap_Ln))</x:f>
        <x:v>20528.974303173167</x:v>
      </x:c>
      <x:c r="M745" s="10" t="n">
        <x:f>INDEX(tun_GroupCap,G745)*tun_CohesionFactor*EXP(tun_CapsByProject*SUMPRODUCT((Cap_Point&lt;=I745)*(Cap_Kind="Group")*Cap_Ln))</x:f>
        <x:v>1000000.000000001</x:v>
      </x:c>
      <x:c r="N745" s="32" t="n">
        <x:f>MIN(J745,L745,M745)</x:f>
        <x:v>18627.260449441455</x:v>
      </x:c>
      <x:c r="O745" s="10" t="n">
        <x:f>AE744*N745</x:f>
        <x:v>167645.34404497308</x:v>
      </x:c>
      <x:c r="P745" s="9" t="n">
        <x:f>MIN(1,(AB744/(AE744*IF(tun_GroupInCrowding=1,N745,MIN(J745,L745))))^tun_CrowdingExp)</x:f>
        <x:v>0.1469998832542627</x:v>
      </x:c>
      <x:c r="Q745" s="9" t="n">
        <x:f>IF(D745=1,INDEX(tun_WinterMult,G745),1)</x:f>
        <x:v>1</x:v>
      </x:c>
      <x:c r="R745" s="9" t="n">
        <x:f>H745*Z744*tun_WomenShare*tun_BaseFertility*INDEX(tun_FertMult,G745)*Arch_Fertility*(1-P745)</x:f>
        <x:v>994.0096568965675</x:v>
      </x:c>
      <x:c r="S745" s="9" t="n">
        <x:f>H745*Y744*INDEX(tun_MortChild,G745)/4*Q745</x:f>
        <x:v>7.002714293911704</x:v>
      </x:c>
      <x:c r="T745" s="9" t="n">
        <x:f>H745*Z744*INDEX(tun_MortAdult,G745)*Arch_AdultMort/4*Q745</x:f>
        <x:v>19.208408349037917</x:v>
      </x:c>
      <x:c r="U745" s="9" t="n">
        <x:f>H745*AA744*INDEX(tun_MortElder,G745)/4*Q745</x:f>
        <x:v>266.248517497637</x:v>
      </x:c>
      <x:c r="V745" s="9" t="n">
        <x:f>H745*MAX(0,AB744-O745)*tun_OvercapLoss</x:f>
        <x:v>0</x:v>
      </x:c>
      <x:c r="W745" s="9" t="n">
        <x:f>H745*Y744/(tun_ChildYears*4)</x:f>
        <x:v>555.7709757072781</x:v>
      </x:c>
      <x:c r="X745" s="9" t="n">
        <x:f>H745*Z744/(tun_AdultYears*4)</x:f>
        <x:v>413.0840505169444</x:v>
      </x:c>
      <x:c r="Y745" s="32" t="n">
        <x:f>Y744+R745-S745-W745-Y744*V745/AB744</x:f>
        <x:v>31554.410606502955</x:v>
      </x:c>
      <x:c r="Z745" s="32" t="n">
        <x:f>Z744+W745-X745-T745-Z744*V745/AB744</x:f>
        <x:v>51345.9007809424</x:v>
      </x:c>
      <x:c r="AA745" s="32" t="n">
        <x:f>AA744+X745-U745-AA744*V745/AB744</x:f>
        <x:v>39591.06034748405</x:v>
      </x:c>
      <x:c r="AB745" s="10" t="n">
        <x:f>Y745+Z745+AA745</x:f>
        <x:v>122491.37173492942</x:v>
      </x:c>
      <x:c r="AC745" s="8" t="n">
        <x:f>IF(AND(tun_WinterTrigger=1,D745=1,AB744/AE744&gt;=K745),1,0)</x:f>
        <x:v>0</x:v>
      </x:c>
      <x:c r="AD745" s="8" t="n">
        <x:f>H745*IF(AND(OR(AB744/AE744&gt;=tun_FissionTrigger*N745,AC745=1),AB744/AE744*tun_DaughterShare&gt;=tun_MinDaughter),MAX(1,ROUND(AE744*tun_FissionRate,0)),0)</x:f>
        <x:v>0</x:v>
      </x:c>
      <x:c r="AE745" s="8" t="n">
        <x:f>IF(H745=1,MAX(1,MIN(INDEX(tun_Smax,G745),AE744+AD745)),AE744)</x:f>
        <x:v>9</x:v>
      </x:c>
      <x:c r="AF745" s="8" t="n">
        <x:f>MAX(0,AE745-AE744)</x:f>
        <x:v>0</x:v>
      </x:c>
      <x:c r="AG745" s="9" t="str">
        <x:f>IF(AF745&gt;0,B745,"")</x:f>
      </x:c>
      <x:c r="AH745" s="9" t="n">
        <x:f>IF(F745&gt;=1,1,(1+tun_LowTiesShare*(AE745-1))/AE745)</x:f>
        <x:v>1</x:v>
      </x:c>
      <x:c r="AI745" s="32" t="n">
        <x:f>(Z745+tun_ElderCommons*INDEX(LM_Elder,G745)*AA745)*AH745</x:f>
        <x:v>207058.85478424132</x:v>
      </x:c>
      <x:c r="AJ745" s="32" t="n">
        <x:f>H745*tun_CommonsCoef*AI745^tun_CommonsExp*INDEX(LM_Commons,G745)</x:f>
        <x:v>709038.4300773111</x:v>
      </x:c>
      <x:c r="AK745" s="32" t="n">
        <x:f>H745*tun_RoleScale*Arch_Roles*(AE745*(INDEX(tun_ElderRolePerSett,G745)*tun_OutElder*INDEX(LM_Elder,G745)+INDEX(tun_ShamanPerSett,G745)*tun_OutShaman)+Z745*(INDEX(tun_PriestShare,G745)*tun_OutPriest+INDEX(tun_ScribeShare,G745)*tun_OutScribe*INDEX(LM_Scribe,G745)+INDEX(tun_ScholarShare,G745)*tun_OutScholar*INDEX(LM_Scholar,G745)+INDEX(tun_ResearcherShare,G745)*tun_OutResearcher*INDEX(LM_Researcher,G745)))</x:f>
        <x:v>185170.33020983075</x:v>
      </x:c>
      <x:c r="AL745" s="32" t="n">
        <x:f>H745*tun_RoleScale*Arch_Roles*AE745*INDEX(tun_MonasteryPerSett,G745)*tun_OutMonastery*INDEX(LM_Monastery,G745)</x:f>
        <x:v>15.840000000000002</x:v>
      </x:c>
      <x:c r="AM745" s="32" t="n">
        <x:f>(AJ745+AK745+AL745)/4*INDEX(LM_All,G745)*INDEX(tun_Boon,G745)*Arch_Insight</x:f>
        <x:v>774373.8419739155</x:v>
      </x:c>
      <x:c r="AN745" s="32" t="n">
        <x:f>H745*(tun_KHPerAdult*Z745+tun_KHOfCommons*AJ745/4*INDEX(LM_All,G745))*tun_KHUsable*Arch_KH</x:f>
        <x:v>120455.08310279925</x:v>
      </x:c>
      <x:c r="AO745" s="32" t="n">
        <x:f>MIN(AP744+AN745,AM745*tun_KHMaxRatio)</x:f>
        <x:v>120455.08310279925</x:v>
      </x:c>
      <x:c r="AP745" s="32" t="n">
        <x:f>AP744+AN745-AO745</x:f>
        <x:v>0</x:v>
      </x:c>
      <x:c r="AQ745" s="32" t="n">
        <x:f>AM745+AO745</x:f>
        <x:v>894828.9250767147</x:v>
      </x:c>
      <x:c r="AR745" s="10" t="n">
        <x:f>IF(H745=1,INDEX(tun_Req,G745),0)</x:f>
        <x:v>125406521.7009086</x:v>
      </x:c>
      <x:c r="AS745" s="32" t="n">
        <x:f>IF(H745=1,IF(E745=1,AS744-AR744,AS744)+AQ745,0)</x:f>
        <x:v>88408704.51638353</x:v>
      </x:c>
      <x:c r="AT745" s="11" t="n">
        <x:f>IF(AR745&gt;0,MIN(1,AS745/AR745),1)</x:f>
        <x:v>0.7049769287695904</x:v>
      </x:c>
      <x:c r="AU745" s="10" t="n">
        <x:f>AB745/INDEX(tun_RepScale,G745)</x:f>
        <x:v>244.98274346985883</x:v>
      </x:c>
      <x:c r="AV745" s="32" t="n">
        <x:f>AM745*60/tun_SeasonSeconds</x:f>
        <x:v>3097495.367895662</x:v>
      </x:c>
    </x:row>
    <x:row r="746">
      <x:c r="A746" s="8" t="n">
        <x:f>A745+1</x:f>
        <x:v>743</x:v>
      </x:c>
      <x:c r="B746" s="9" t="n">
        <x:f>A746*tun_SeasonSeconds/60</x:f>
        <x:v>185.75</x:v>
      </x:c>
      <x:c r="C746" s="9" t="n">
        <x:f>A746/4</x:f>
        <x:v>185.75</x:v>
      </x:c>
      <x:c r="D746" s="8" t="n">
        <x:f>IF(MOD(A746,4)=0,1,0)</x:f>
        <x:v>0</x:v>
      </x:c>
      <x:c r="E746" s="8" t="n">
        <x:f>IF(AND(F745&lt;=9,AS745&gt;=AR745),1,0)</x:f>
        <x:v>0</x:v>
      </x:c>
      <x:c r="F746" s="8" t="n">
        <x:f>MIN(10,F745+E746)</x:f>
        <x:v>9</x:v>
      </x:c>
      <x:c r="G746" s="8" t="n">
        <x:f>MIN(F746,9)+1</x:f>
        <x:v>10</x:v>
      </x:c>
      <x:c r="H746" s="8" t="n">
        <x:f>IF(F746&lt;=9,1,0)</x:f>
        <x:v>1</x:v>
      </x:c>
      <x:c r="I746" s="9" t="n">
        <x:f>MIN(10,F745+IF(AR745&gt;0,MIN(1,AS745/AR745),1))</x:f>
        <x:v>9.70497692876959</x:v>
      </x:c>
      <x:c r="J746" s="32" t="n">
        <x:f>INDEX(tun_FoodCap,G746)*Arch_FoodCap*EXP(tun_CapsByProject*SUMPRODUCT((Cap_Point&lt;=I746)*(Cap_Kind="Food")*Cap_Ln))</x:f>
        <x:v>18627.260449441455</x:v>
      </x:c>
      <x:c r="K746" s="32" t="n">
        <x:f>J746*MIN(1,tun_LeanBase*EXP(tun_CapsByProject*SUMPRODUCT((Cap_Point&lt;=I746)*(Cap_Kind="Lean")*Cap_Ln)))</x:f>
        <x:v>18627.260449441455</x:v>
      </x:c>
      <x:c r="L746" s="10" t="n">
        <x:f>INDEX(tun_HousingCap,G746)*EXP(tun_CapsByProject*SUMPRODUCT((Cap_Point&lt;=I746)*(Cap_Kind="Housing")*Cap_Ln))</x:f>
        <x:v>20528.974303173167</x:v>
      </x:c>
      <x:c r="M746" s="10" t="n">
        <x:f>INDEX(tun_GroupCap,G746)*tun_CohesionFactor*EXP(tun_CapsByProject*SUMPRODUCT((Cap_Point&lt;=I746)*(Cap_Kind="Group")*Cap_Ln))</x:f>
        <x:v>1000000.000000001</x:v>
      </x:c>
      <x:c r="N746" s="32" t="n">
        <x:f>MIN(J746,L746,M746)</x:f>
        <x:v>18627.260449441455</x:v>
      </x:c>
      <x:c r="O746" s="10" t="n">
        <x:f>AE745*N746</x:f>
        <x:v>167645.34404497308</x:v>
      </x:c>
      <x:c r="P746" s="9" t="n">
        <x:f>MIN(1,(AB745/(AE745*IF(tun_GroupInCrowding=1,N746,MIN(J746,L746))))^tun_CrowdingExp)</x:f>
        <x:v>0.15215422296048342</x:v>
      </x:c>
      <x:c r="Q746" s="9" t="n">
        <x:f>IF(D746=1,INDEX(tun_WinterMult,G746),1)</x:f>
        <x:v>1</x:v>
      </x:c>
      <x:c r="R746" s="9" t="n">
        <x:f>H746*Z745*tun_WomenShare*tun_BaseFertility*INDEX(tun_FertMult,G746)*Arch_Fertility*(1-P746)</x:f>
        <x:v>990.3849670581237</x:v>
      </x:c>
      <x:c r="S746" s="9" t="n">
        <x:f>H746*Y745*INDEX(tun_MortChild,G746)/4*Q746</x:f>
        <x:v>7.099742386463165</x:v>
      </x:c>
      <x:c r="T746" s="9" t="n">
        <x:f>H746*Z745*INDEX(tun_MortAdult,G746)*Arch_AdultMort/4*Q746</x:f>
        <x:v>19.2547127928534</x:v>
      </x:c>
      <x:c r="U746" s="9" t="n">
        <x:f>H746*AA745*INDEX(tun_MortElder,G746)/4*Q746</x:f>
        <x:v>267.23965734551734</x:v>
      </x:c>
      <x:c r="V746" s="9" t="n">
        <x:f>H746*MAX(0,AB745-O746)*tun_OvercapLoss</x:f>
        <x:v>0</x:v>
      </x:c>
      <x:c r="W746" s="9" t="n">
        <x:f>H746*Y745/(tun_ChildYears*4)</x:f>
        <x:v>563.471617973267</x:v>
      </x:c>
      <x:c r="X746" s="9" t="n">
        <x:f>H746*Z745/(tun_AdultYears*4)</x:f>
        <x:v>414.0798450076</x:v>
      </x:c>
      <x:c r="Y746" s="32" t="n">
        <x:f>Y745+R746-S746-W746-Y745*V746/AB745</x:f>
        <x:v>31974.224213201345</x:v>
      </x:c>
      <x:c r="Z746" s="32" t="n">
        <x:f>Z745+W746-X746-T746-Z745*V746/AB745</x:f>
        <x:v>51476.037841115205</x:v>
      </x:c>
      <x:c r="AA746" s="32" t="n">
        <x:f>AA745+X746-U746-AA745*V746/AB745</x:f>
        <x:v>39737.90053514614</x:v>
      </x:c>
      <x:c r="AB746" s="10" t="n">
        <x:f>Y746+Z746+AA746</x:f>
        <x:v>123188.16258946269</x:v>
      </x:c>
      <x:c r="AC746" s="8" t="n">
        <x:f>IF(AND(tun_WinterTrigger=1,D746=1,AB745/AE745&gt;=K746),1,0)</x:f>
        <x:v>0</x:v>
      </x:c>
      <x:c r="AD746" s="8" t="n">
        <x:f>H746*IF(AND(OR(AB745/AE745&gt;=tun_FissionTrigger*N746,AC746=1),AB745/AE745*tun_DaughterShare&gt;=tun_MinDaughter),MAX(1,ROUND(AE745*tun_FissionRate,0)),0)</x:f>
        <x:v>0</x:v>
      </x:c>
      <x:c r="AE746" s="8" t="n">
        <x:f>IF(H746=1,MAX(1,MIN(INDEX(tun_Smax,G746),AE745+AD746)),AE745)</x:f>
        <x:v>9</x:v>
      </x:c>
      <x:c r="AF746" s="8" t="n">
        <x:f>MAX(0,AE746-AE745)</x:f>
        <x:v>0</x:v>
      </x:c>
      <x:c r="AG746" s="9" t="str">
        <x:f>IF(AF746&gt;0,B746,"")</x:f>
      </x:c>
      <x:c r="AH746" s="9" t="n">
        <x:f>IF(F746&gt;=1,1,(1+tun_LowTiesShare*(AE746-1))/AE746)</x:f>
        <x:v>1</x:v>
      </x:c>
      <x:c r="AI746" s="32" t="n">
        <x:f>(Z746+tun_ElderCommons*INDEX(LM_Elder,G746)*AA746)*AH746</x:f>
        <x:v>207766.5191747402</x:v>
      </x:c>
      <x:c r="AJ746" s="32" t="n">
        <x:f>H746*tun_CommonsCoef*AI746^tun_CommonsExp*INDEX(LM_Commons,G746)</x:f>
        <x:v>711097.6894206287</x:v>
      </x:c>
      <x:c r="AK746" s="32" t="n">
        <x:f>H746*tun_RoleScale*Arch_Roles*(AE746*(INDEX(tun_ElderRolePerSett,G746)*tun_OutElder*INDEX(LM_Elder,G746)+INDEX(tun_ShamanPerSett,G746)*tun_OutShaman)+Z746*(INDEX(tun_PriestShare,G746)*tun_OutPriest+INDEX(tun_ScribeShare,G746)*tun_OutScribe*INDEX(LM_Scribe,G746)+INDEX(tun_ScholarShare,G746)*tun_OutScholar*INDEX(LM_Scholar,G746)+INDEX(tun_ResearcherShare,G746)*tun_OutResearcher*INDEX(LM_Researcher,G746)))</x:f>
        <x:v>185639.01497793678</x:v>
      </x:c>
      <x:c r="AL746" s="32" t="n">
        <x:f>H746*tun_RoleScale*Arch_Roles*AE746*INDEX(tun_MonasteryPerSett,G746)*tun_OutMonastery*INDEX(LM_Monastery,G746)</x:f>
        <x:v>15.840000000000002</x:v>
      </x:c>
      <x:c r="AM746" s="32" t="n">
        <x:f>(AJ746+AK746+AL746)/4*INDEX(LM_All,G746)*INDEX(tun_Boon,G746)*Arch_Insight</x:f>
        <x:v>776562.9718560836</x:v>
      </x:c>
      <x:c r="AN746" s="32" t="n">
        <x:f>H746*(tun_KHPerAdult*Z746+tun_KHOfCommons*AJ746/4*INDEX(LM_All,G746))*tun_KHUsable*Arch_KH</x:f>
        <x:v>120804.92063600953</x:v>
      </x:c>
      <x:c r="AO746" s="32" t="n">
        <x:f>MIN(AP745+AN746,AM746*tun_KHMaxRatio)</x:f>
        <x:v>120804.92063600953</x:v>
      </x:c>
      <x:c r="AP746" s="32" t="n">
        <x:f>AP745+AN746-AO746</x:f>
        <x:v>0</x:v>
      </x:c>
      <x:c r="AQ746" s="32" t="n">
        <x:f>AM746+AO746</x:f>
        <x:v>897367.8924920931</x:v>
      </x:c>
      <x:c r="AR746" s="10" t="n">
        <x:f>IF(H746=1,INDEX(tun_Req,G746),0)</x:f>
        <x:v>125406521.7009086</x:v>
      </x:c>
      <x:c r="AS746" s="32" t="n">
        <x:f>IF(H746=1,IF(E746=1,AS745-AR745,AS745)+AQ746,0)</x:f>
        <x:v>89306072.40887561</x:v>
      </x:c>
      <x:c r="AT746" s="11" t="n">
        <x:f>IF(AR746&gt;0,MIN(1,AS746/AR746),1)</x:f>
        <x:v>0.7121326004230334</x:v>
      </x:c>
      <x:c r="AU746" s="10" t="n">
        <x:f>AB746/INDEX(tun_RepScale,G746)</x:f>
        <x:v>246.37632517892538</x:v>
      </x:c>
      <x:c r="AV746" s="32" t="n">
        <x:f>AM746*60/tun_SeasonSeconds</x:f>
        <x:v>3106251.8874243344</x:v>
      </x:c>
    </x:row>
    <x:row r="747">
      <x:c r="A747" s="8" t="n">
        <x:f>A746+1</x:f>
        <x:v>744</x:v>
      </x:c>
      <x:c r="B747" s="9" t="n">
        <x:f>A747*tun_SeasonSeconds/60</x:f>
        <x:v>186</x:v>
      </x:c>
      <x:c r="C747" s="9" t="n">
        <x:f>A747/4</x:f>
        <x:v>186</x:v>
      </x:c>
      <x:c r="D747" s="8" t="n">
        <x:f>IF(MOD(A747,4)=0,1,0)</x:f>
        <x:v>1</x:v>
      </x:c>
      <x:c r="E747" s="8" t="n">
        <x:f>IF(AND(F746&lt;=9,AS746&gt;=AR746),1,0)</x:f>
        <x:v>0</x:v>
      </x:c>
      <x:c r="F747" s="8" t="n">
        <x:f>MIN(10,F746+E747)</x:f>
        <x:v>9</x:v>
      </x:c>
      <x:c r="G747" s="8" t="n">
        <x:f>MIN(F747,9)+1</x:f>
        <x:v>10</x:v>
      </x:c>
      <x:c r="H747" s="8" t="n">
        <x:f>IF(F747&lt;=9,1,0)</x:f>
        <x:v>1</x:v>
      </x:c>
      <x:c r="I747" s="9" t="n">
        <x:f>MIN(10,F746+IF(AR746&gt;0,MIN(1,AS746/AR746),1))</x:f>
        <x:v>9.712132600423033</x:v>
      </x:c>
      <x:c r="J747" s="32" t="n">
        <x:f>INDEX(tun_FoodCap,G747)*Arch_FoodCap*EXP(tun_CapsByProject*SUMPRODUCT((Cap_Point&lt;=I747)*(Cap_Kind="Food")*Cap_Ln))</x:f>
        <x:v>18627.260449441455</x:v>
      </x:c>
      <x:c r="K747" s="32" t="n">
        <x:f>J747*MIN(1,tun_LeanBase*EXP(tun_CapsByProject*SUMPRODUCT((Cap_Point&lt;=I747)*(Cap_Kind="Lean")*Cap_Ln)))</x:f>
        <x:v>18627.260449441455</x:v>
      </x:c>
      <x:c r="L747" s="10" t="n">
        <x:f>INDEX(tun_HousingCap,G747)*EXP(tun_CapsByProject*SUMPRODUCT((Cap_Point&lt;=I747)*(Cap_Kind="Housing")*Cap_Ln))</x:f>
        <x:v>20528.974303173167</x:v>
      </x:c>
      <x:c r="M747" s="10" t="n">
        <x:f>INDEX(tun_GroupCap,G747)*tun_CohesionFactor*EXP(tun_CapsByProject*SUMPRODUCT((Cap_Point&lt;=I747)*(Cap_Kind="Group")*Cap_Ln))</x:f>
        <x:v>1000000.000000001</x:v>
      </x:c>
      <x:c r="N747" s="32" t="n">
        <x:f>MIN(J747,L747,M747)</x:f>
        <x:v>18627.260449441455</x:v>
      </x:c>
      <x:c r="O747" s="10" t="n">
        <x:f>AE746*N747</x:f>
        <x:v>167645.34404497308</x:v>
      </x:c>
      <x:c r="P747" s="9" t="n">
        <x:f>MIN(1,(AB746/(AE746*IF(tun_GroupInCrowding=1,N747,MIN(J747,L747))))^tun_CrowdingExp)</x:f>
        <x:v>0.15742180467281408</x:v>
      </x:c>
      <x:c r="Q747" s="9" t="n">
        <x:f>IF(D747=1,INDEX(tun_WinterMult,G747),1)</x:f>
        <x:v>1.05</x:v>
      </x:c>
      <x:c r="R747" s="9" t="n">
        <x:f>H747*Z746*tun_WomenShare*tun_BaseFertility*INDEX(tun_FertMult,G747)*Arch_Fertility*(1-P747)</x:f>
        <x:v>986.7263557688077</x:v>
      </x:c>
      <x:c r="S747" s="9" t="n">
        <x:f>H747*Y746*INDEX(tun_MortChild,G747)/4*Q747</x:f>
        <x:v>7.553910470368818</x:v>
      </x:c>
      <x:c r="T747" s="9" t="n">
        <x:f>H747*Z746*INDEX(tun_MortAdult,G747)*Arch_AdultMort/4*Q747</x:f>
        <x:v>20.268689899939112</x:v>
      </x:c>
      <x:c r="U747" s="9" t="n">
        <x:f>H747*AA746*INDEX(tun_MortElder,G747)/4*Q747</x:f>
        <x:v>281.6423700428483</x:v>
      </x:c>
      <x:c r="V747" s="9" t="n">
        <x:f>H747*MAX(0,AB746-O747)*tun_OvercapLoss</x:f>
        <x:v>0</x:v>
      </x:c>
      <x:c r="W747" s="9" t="n">
        <x:f>H747*Y746/(tun_ChildYears*4)</x:f>
        <x:v>570.9682895214526</x:v>
      </x:c>
      <x:c r="X747" s="9" t="n">
        <x:f>H747*Z746/(tun_AdultYears*4)</x:f>
        <x:v>415.12933742834844</x:v>
      </x:c>
      <x:c r="Y747" s="32" t="n">
        <x:f>Y746+R747-S747-W747-Y746*V747/AB746</x:f>
        <x:v>32382.42836897833</x:v>
      </x:c>
      <x:c r="Z747" s="32" t="n">
        <x:f>Z746+W747-X747-T747-Z746*V747/AB746</x:f>
        <x:v>51611.60810330837</x:v>
      </x:c>
      <x:c r="AA747" s="32" t="n">
        <x:f>AA746+X747-U747-AA746*V747/AB746</x:f>
        <x:v>39871.38750253164</x:v>
      </x:c>
      <x:c r="AB747" s="10" t="n">
        <x:f>Y747+Z747+AA747</x:f>
        <x:v>123865.42397481833</x:v>
      </x:c>
      <x:c r="AC747" s="8" t="n">
        <x:f>IF(AND(tun_WinterTrigger=1,D747=1,AB746/AE746&gt;=K747),1,0)</x:f>
        <x:v>0</x:v>
      </x:c>
      <x:c r="AD747" s="8" t="n">
        <x:f>H747*IF(AND(OR(AB746/AE746&gt;=tun_FissionTrigger*N747,AC747=1),AB746/AE746*tun_DaughterShare&gt;=tun_MinDaughter),MAX(1,ROUND(AE746*tun_FissionRate,0)),0)</x:f>
        <x:v>0</x:v>
      </x:c>
      <x:c r="AE747" s="8" t="n">
        <x:f>IF(H747=1,MAX(1,MIN(INDEX(tun_Smax,G747),AE746+AD747)),AE746)</x:f>
        <x:v>9</x:v>
      </x:c>
      <x:c r="AF747" s="8" t="n">
        <x:f>MAX(0,AE747-AE746)</x:f>
        <x:v>0</x:v>
      </x:c>
      <x:c r="AG747" s="9" t="str">
        <x:f>IF(AF747&gt;0,B747,"")</x:f>
      </x:c>
      <x:c r="AH747" s="9" t="n">
        <x:f>IF(F747&gt;=1,1,(1+tun_LowTiesShare*(AE747-1))/AE747)</x:f>
        <x:v>1</x:v>
      </x:c>
      <x:c r="AI747" s="32" t="n">
        <x:f>(Z747+tun_ElderCommons*INDEX(LM_Elder,G747)*AA747)*AH747</x:f>
        <x:v>208427.0981088433</x:v>
      </x:c>
      <x:c r="AJ747" s="32" t="n">
        <x:f>H747*tun_CommonsCoef*AI747^tun_CommonsExp*INDEX(LM_Commons,G747)</x:f>
        <x:v>713018.9837558389</x:v>
      </x:c>
      <x:c r="AK747" s="32" t="n">
        <x:f>H747*tun_RoleScale*Arch_Roles*(AE747*(INDEX(tun_ElderRolePerSett,G747)*tun_OutElder*INDEX(LM_Elder,G747)+INDEX(tun_ShamanPerSett,G747)*tun_OutShaman)+Z747*(INDEX(tun_PriestShare,G747)*tun_OutPriest+INDEX(tun_ScribeShare,G747)*tun_OutScribe*INDEX(LM_Scribe,G747)+INDEX(tun_ScholarShare,G747)*tun_OutScholar*INDEX(LM_Scholar,G747)+INDEX(tun_ResearcherShare,G747)*tun_OutResearcher*INDEX(LM_Researcher,G747)))</x:f>
        <x:v>186127.2672622108</x:v>
      </x:c>
      <x:c r="AL747" s="32" t="n">
        <x:f>H747*tun_RoleScale*Arch_Roles*AE747*INDEX(tun_MonasteryPerSett,G747)*tun_OutMonastery*INDEX(LM_Monastery,G747)</x:f>
        <x:v>15.840000000000002</x:v>
      </x:c>
      <x:c r="AM747" s="32" t="n">
        <x:f>(AJ747+AK747+AL747)/4*INDEX(LM_All,G747)*INDEX(tun_Boon,G747)*Arch_Insight</x:f>
        <x:v>778649.572775524</x:v>
      </x:c>
      <x:c r="AN747" s="32" t="n">
        <x:f>H747*(tun_KHPerAdult*Z747+tun_KHOfCommons*AJ747/4*INDEX(LM_All,G747))*tun_KHUsable*Arch_KH</x:f>
        <x:v>121131.31996642023</x:v>
      </x:c>
      <x:c r="AO747" s="32" t="n">
        <x:f>MIN(AP746+AN747,AM747*tun_KHMaxRatio)</x:f>
        <x:v>121131.31996642023</x:v>
      </x:c>
      <x:c r="AP747" s="32" t="n">
        <x:f>AP746+AN747-AO747</x:f>
        <x:v>0</x:v>
      </x:c>
      <x:c r="AQ747" s="32" t="n">
        <x:f>AM747+AO747</x:f>
        <x:v>899780.8927419442</x:v>
      </x:c>
      <x:c r="AR747" s="10" t="n">
        <x:f>IF(H747=1,INDEX(tun_Req,G747),0)</x:f>
        <x:v>125406521.7009086</x:v>
      </x:c>
      <x:c r="AS747" s="32" t="n">
        <x:f>IF(H747=1,IF(E747=1,AS746-AR746,AS746)+AQ747,0)</x:f>
        <x:v>90205853.30161756</x:v>
      </x:c>
      <x:c r="AT747" s="11" t="n">
        <x:f>IF(AR747&gt;0,MIN(1,AS747/AR747),1)</x:f>
        <x:v>0.719307513502019</x:v>
      </x:c>
      <x:c r="AU747" s="10" t="n">
        <x:f>AB747/INDEX(tun_RepScale,G747)</x:f>
        <x:v>247.73084794963665</x:v>
      </x:c>
      <x:c r="AV747" s="32" t="n">
        <x:f>AM747*60/tun_SeasonSeconds</x:f>
        <x:v>3114598.291102096</x:v>
      </x:c>
    </x:row>
    <x:row r="748">
      <x:c r="A748" s="8" t="n">
        <x:f>A747+1</x:f>
        <x:v>745</x:v>
      </x:c>
      <x:c r="B748" s="9" t="n">
        <x:f>A748*tun_SeasonSeconds/60</x:f>
        <x:v>186.25</x:v>
      </x:c>
      <x:c r="C748" s="9" t="n">
        <x:f>A748/4</x:f>
        <x:v>186.25</x:v>
      </x:c>
      <x:c r="D748" s="8" t="n">
        <x:f>IF(MOD(A748,4)=0,1,0)</x:f>
        <x:v>0</x:v>
      </x:c>
      <x:c r="E748" s="8" t="n">
        <x:f>IF(AND(F747&lt;=9,AS747&gt;=AR747),1,0)</x:f>
        <x:v>0</x:v>
      </x:c>
      <x:c r="F748" s="8" t="n">
        <x:f>MIN(10,F747+E748)</x:f>
        <x:v>9</x:v>
      </x:c>
      <x:c r="G748" s="8" t="n">
        <x:f>MIN(F748,9)+1</x:f>
        <x:v>10</x:v>
      </x:c>
      <x:c r="H748" s="8" t="n">
        <x:f>IF(F748&lt;=9,1,0)</x:f>
        <x:v>1</x:v>
      </x:c>
      <x:c r="I748" s="9" t="n">
        <x:f>MIN(10,F747+IF(AR747&gt;0,MIN(1,AS747/AR747),1))</x:f>
        <x:v>9.719307513502018</x:v>
      </x:c>
      <x:c r="J748" s="32" t="n">
        <x:f>INDEX(tun_FoodCap,G748)*Arch_FoodCap*EXP(tun_CapsByProject*SUMPRODUCT((Cap_Point&lt;=I748)*(Cap_Kind="Food")*Cap_Ln))</x:f>
        <x:v>18627.260449441455</x:v>
      </x:c>
      <x:c r="K748" s="32" t="n">
        <x:f>J748*MIN(1,tun_LeanBase*EXP(tun_CapsByProject*SUMPRODUCT((Cap_Point&lt;=I748)*(Cap_Kind="Lean")*Cap_Ln)))</x:f>
        <x:v>18627.260449441455</x:v>
      </x:c>
      <x:c r="L748" s="10" t="n">
        <x:f>INDEX(tun_HousingCap,G748)*EXP(tun_CapsByProject*SUMPRODUCT((Cap_Point&lt;=I748)*(Cap_Kind="Housing")*Cap_Ln))</x:f>
        <x:v>20528.974303173167</x:v>
      </x:c>
      <x:c r="M748" s="10" t="n">
        <x:f>INDEX(tun_GroupCap,G748)*tun_CohesionFactor*EXP(tun_CapsByProject*SUMPRODUCT((Cap_Point&lt;=I748)*(Cap_Kind="Group")*Cap_Ln))</x:f>
        <x:v>1000000.000000001</x:v>
      </x:c>
      <x:c r="N748" s="32" t="n">
        <x:f>MIN(J748,L748,M748)</x:f>
        <x:v>18627.260449441455</x:v>
      </x:c>
      <x:c r="O748" s="10" t="n">
        <x:f>AE747*N748</x:f>
        <x:v>167645.34404497308</x:v>
      </x:c>
      <x:c r="P748" s="9" t="n">
        <x:f>MIN(1,(AB747/(AE747*IF(tun_GroupInCrowding=1,N748,MIN(J748,L748))))^tun_CrowdingExp)</x:f>
        <x:v>0.1626865249639158</x:v>
      </x:c>
      <x:c r="Q748" s="9" t="n">
        <x:f>IF(D748=1,INDEX(tun_WinterMult,G748),1)</x:f>
        <x:v>1</x:v>
      </x:c>
      <x:c r="R748" s="9" t="n">
        <x:f>H748*Z747*tun_WomenShare*tun_BaseFertility*INDEX(tun_FertMult,G748)*Arch_Fertility*(1-P748)</x:f>
        <x:v>983.1434097298826</x:v>
      </x:c>
      <x:c r="S748" s="9" t="n">
        <x:f>H748*Y747*INDEX(tun_MortChild,G748)/4*Q748</x:f>
        <x:v>7.286046383020124</x:v>
      </x:c>
      <x:c r="T748" s="9" t="n">
        <x:f>H748*Z747*INDEX(tun_MortAdult,G748)*Arch_AdultMort/4*Q748</x:f>
        <x:v>19.354353038740637</x:v>
      </x:c>
      <x:c r="U748" s="9" t="n">
        <x:f>H748*AA747*INDEX(tun_MortElder,G748)/4*Q748</x:f>
        <x:v>269.13186564208854</x:v>
      </x:c>
      <x:c r="V748" s="9" t="n">
        <x:f>H748*MAX(0,AB747-O748)*tun_OvercapLoss</x:f>
        <x:v>0</x:v>
      </x:c>
      <x:c r="W748" s="9" t="n">
        <x:f>H748*Y747/(tun_ChildYears*4)</x:f>
        <x:v>578.2576494460416</x:v>
      </x:c>
      <x:c r="X748" s="9" t="n">
        <x:f>H748*Z747/(tun_AdultYears*4)</x:f>
        <x:v>416.22264599442235</x:v>
      </x:c>
      <x:c r="Y748" s="32" t="n">
        <x:f>Y747+R748-S748-W748-Y747*V748/AB747</x:f>
        <x:v>32780.028082879144</x:v>
      </x:c>
      <x:c r="Z748" s="32" t="n">
        <x:f>Z747+W748-X748-T748-Z747*V748/AB747</x:f>
        <x:v>51754.28875372125</x:v>
      </x:c>
      <x:c r="AA748" s="32" t="n">
        <x:f>AA747+X748-U748-AA747*V748/AB747</x:f>
        <x:v>40018.47828288397</x:v>
      </x:c>
      <x:c r="AB748" s="10" t="n">
        <x:f>Y748+Z748+AA748</x:f>
        <x:v>124552.79511948436</x:v>
      </x:c>
      <x:c r="AC748" s="8" t="n">
        <x:f>IF(AND(tun_WinterTrigger=1,D748=1,AB747/AE747&gt;=K748),1,0)</x:f>
        <x:v>0</x:v>
      </x:c>
      <x:c r="AD748" s="8" t="n">
        <x:f>H748*IF(AND(OR(AB747/AE747&gt;=tun_FissionTrigger*N748,AC748=1),AB747/AE747*tun_DaughterShare&gt;=tun_MinDaughter),MAX(1,ROUND(AE747*tun_FissionRate,0)),0)</x:f>
        <x:v>0</x:v>
      </x:c>
      <x:c r="AE748" s="8" t="n">
        <x:f>IF(H748=1,MAX(1,MIN(INDEX(tun_Smax,G748),AE747+AD748)),AE747)</x:f>
        <x:v>9</x:v>
      </x:c>
      <x:c r="AF748" s="8" t="n">
        <x:f>MAX(0,AE748-AE747)</x:f>
        <x:v>0</x:v>
      </x:c>
      <x:c r="AG748" s="9" t="str">
        <x:f>IF(AF748&gt;0,B748,"")</x:f>
      </x:c>
      <x:c r="AH748" s="9" t="n">
        <x:f>IF(F748&gt;=1,1,(1+tun_LowTiesShare*(AE748-1))/AE748)</x:f>
        <x:v>1</x:v>
      </x:c>
      <x:c r="AI748" s="32" t="n">
        <x:f>(Z748+tun_ElderCommons*INDEX(LM_Elder,G748)*AA748)*AH748</x:f>
        <x:v>209148.29167894786</x:v>
      </x:c>
      <x:c r="AJ748" s="32" t="n">
        <x:f>H748*tun_CommonsCoef*AI748^tun_CommonsExp*INDEX(LM_Commons,G748)</x:f>
        <x:v>715115.5332154499</x:v>
      </x:c>
      <x:c r="AK748" s="32" t="n">
        <x:f>H748*tun_RoleScale*Arch_Roles*(AE748*(INDEX(tun_ElderRolePerSett,G748)*tun_OutElder*INDEX(LM_Elder,G748)+INDEX(tun_ShamanPerSett,G748)*tun_OutShaman)+Z748*(INDEX(tun_PriestShare,G748)*tun_OutPriest+INDEX(tun_ScribeShare,G748)*tun_OutScribe*INDEX(LM_Scribe,G748)+INDEX(tun_ScholarShare,G748)*tun_OutScholar*INDEX(LM_Scholar,G748)+INDEX(tun_ResearcherShare,G748)*tun_OutResearcher*INDEX(LM_Researcher,G748)))</x:f>
        <x:v>186641.1273990787</x:v>
      </x:c>
      <x:c r="AL748" s="32" t="n">
        <x:f>H748*tun_RoleScale*Arch_Roles*AE748*INDEX(tun_MonasteryPerSett,G748)*tun_OutMonastery*INDEX(LM_Monastery,G748)</x:f>
        <x:v>15.840000000000002</x:v>
      </x:c>
      <x:c r="AM748" s="32" t="n">
        <x:f>(AJ748+AK748+AL748)/4*INDEX(LM_All,G748)*INDEX(tun_Boon,G748)*Arch_Insight</x:f>
        <x:v>780910.1154934292</x:v>
      </x:c>
      <x:c r="AN748" s="32" t="n">
        <x:f>H748*(tun_KHPerAdult*Z748+tun_KHOfCommons*AJ748/4*INDEX(LM_All,G748))*tun_KHUsable*Arch_KH</x:f>
        <x:v>121487.49253573925</x:v>
      </x:c>
      <x:c r="AO748" s="32" t="n">
        <x:f>MIN(AP747+AN748,AM748*tun_KHMaxRatio)</x:f>
        <x:v>121487.49253573925</x:v>
      </x:c>
      <x:c r="AP748" s="32" t="n">
        <x:f>AP747+AN748-AO748</x:f>
        <x:v>0</x:v>
      </x:c>
      <x:c r="AQ748" s="32" t="n">
        <x:f>AM748+AO748</x:f>
        <x:v>902397.6080291684</x:v>
      </x:c>
      <x:c r="AR748" s="10" t="n">
        <x:f>IF(H748=1,INDEX(tun_Req,G748),0)</x:f>
        <x:v>125406521.7009086</x:v>
      </x:c>
      <x:c r="AS748" s="32" t="n">
        <x:f>IF(H748=1,IF(E748=1,AS747-AR747,AS747)+AQ748,0)</x:f>
        <x:v>91108250.90964673</x:v>
      </x:c>
      <x:c r="AT748" s="11" t="n">
        <x:f>IF(AR748&gt;0,MIN(1,AS748/AR748),1)</x:f>
        <x:v>0.726503292443894</x:v>
      </x:c>
      <x:c r="AU748" s="10" t="n">
        <x:f>AB748/INDEX(tun_RepScale,G748)</x:f>
        <x:v>249.10559023896872</x:v>
      </x:c>
      <x:c r="AV748" s="32" t="n">
        <x:f>AM748*60/tun_SeasonSeconds</x:f>
        <x:v>3123640.461973717</x:v>
      </x:c>
    </x:row>
    <x:row r="749">
      <x:c r="A749" s="8" t="n">
        <x:f>A748+1</x:f>
        <x:v>746</x:v>
      </x:c>
      <x:c r="B749" s="9" t="n">
        <x:f>A749*tun_SeasonSeconds/60</x:f>
        <x:v>186.5</x:v>
      </x:c>
      <x:c r="C749" s="9" t="n">
        <x:f>A749/4</x:f>
        <x:v>186.5</x:v>
      </x:c>
      <x:c r="D749" s="8" t="n">
        <x:f>IF(MOD(A749,4)=0,1,0)</x:f>
        <x:v>0</x:v>
      </x:c>
      <x:c r="E749" s="8" t="n">
        <x:f>IF(AND(F748&lt;=9,AS748&gt;=AR748),1,0)</x:f>
        <x:v>0</x:v>
      </x:c>
      <x:c r="F749" s="8" t="n">
        <x:f>MIN(10,F748+E749)</x:f>
        <x:v>9</x:v>
      </x:c>
      <x:c r="G749" s="8" t="n">
        <x:f>MIN(F749,9)+1</x:f>
        <x:v>10</x:v>
      </x:c>
      <x:c r="H749" s="8" t="n">
        <x:f>IF(F749&lt;=9,1,0)</x:f>
        <x:v>1</x:v>
      </x:c>
      <x:c r="I749" s="9" t="n">
        <x:f>MIN(10,F748+IF(AR748&gt;0,MIN(1,AS748/AR748),1))</x:f>
        <x:v>9.726503292443894</x:v>
      </x:c>
      <x:c r="J749" s="32" t="n">
        <x:f>INDEX(tun_FoodCap,G749)*Arch_FoodCap*EXP(tun_CapsByProject*SUMPRODUCT((Cap_Point&lt;=I749)*(Cap_Kind="Food")*Cap_Ln))</x:f>
        <x:v>18627.260449441455</x:v>
      </x:c>
      <x:c r="K749" s="32" t="n">
        <x:f>J749*MIN(1,tun_LeanBase*EXP(tun_CapsByProject*SUMPRODUCT((Cap_Point&lt;=I749)*(Cap_Kind="Lean")*Cap_Ln)))</x:f>
        <x:v>18627.260449441455</x:v>
      </x:c>
      <x:c r="L749" s="10" t="n">
        <x:f>INDEX(tun_HousingCap,G749)*EXP(tun_CapsByProject*SUMPRODUCT((Cap_Point&lt;=I749)*(Cap_Kind="Housing")*Cap_Ln))</x:f>
        <x:v>20528.974303173167</x:v>
      </x:c>
      <x:c r="M749" s="10" t="n">
        <x:f>INDEX(tun_GroupCap,G749)*tun_CohesionFactor*EXP(tun_CapsByProject*SUMPRODUCT((Cap_Point&lt;=I749)*(Cap_Kind="Group")*Cap_Ln))</x:f>
        <x:v>1000000.000000001</x:v>
      </x:c>
      <x:c r="N749" s="32" t="n">
        <x:f>MIN(J749,L749,M749)</x:f>
        <x:v>18627.260449441455</x:v>
      </x:c>
      <x:c r="O749" s="10" t="n">
        <x:f>AE748*N749</x:f>
        <x:v>167645.34404497308</x:v>
      </x:c>
      <x:c r="P749" s="9" t="n">
        <x:f>MIN(1,(AB748/(AE748*IF(tun_GroupInCrowding=1,N749,MIN(J749,L749))))^tun_CrowdingExp)</x:f>
        <x:v>0.16817904808533007</x:v>
      </x:c>
      <x:c r="Q749" s="9" t="n">
        <x:f>IF(D749=1,INDEX(tun_WinterMult,G749),1)</x:f>
        <x:v>1</x:v>
      </x:c>
      <x:c r="R749" s="9" t="n">
        <x:f>H749*Z748*tun_WomenShare*tun_BaseFertility*INDEX(tun_FertMult,G749)*Arch_Fertility*(1-P749)</x:f>
        <x:v>979.3943645119066</x:v>
      </x:c>
      <x:c r="S749" s="9" t="n">
        <x:f>H749*Y748*INDEX(tun_MortChild,G749)/4*Q749</x:f>
        <x:v>7.375506318647807</x:v>
      </x:c>
      <x:c r="T749" s="9" t="n">
        <x:f>H749*Z748*INDEX(tun_MortAdult,G749)*Arch_AdultMort/4*Q749</x:f>
        <x:v>19.40785828264547</x:v>
      </x:c>
      <x:c r="U749" s="9" t="n">
        <x:f>H749*AA748*INDEX(tun_MortElder,G749)/4*Q749</x:f>
        <x:v>270.1247284094668</x:v>
      </x:c>
      <x:c r="V749" s="9" t="n">
        <x:f>H749*MAX(0,AB748-O749)*tun_OvercapLoss</x:f>
        <x:v>0</x:v>
      </x:c>
      <x:c r="W749" s="9" t="n">
        <x:f>H749*Y748/(tun_ChildYears*4)</x:f>
        <x:v>585.3576443371276</x:v>
      </x:c>
      <x:c r="X749" s="9" t="n">
        <x:f>H749*Z748/(tun_AdultYears*4)</x:f>
        <x:v>417.37329640097784</x:v>
      </x:c>
      <x:c r="Y749" s="32" t="n">
        <x:f>Y748+R749-S749-W749-Y748*V749/AB748</x:f>
        <x:v>33166.689296735276</x:v>
      </x:c>
      <x:c r="Z749" s="32" t="n">
        <x:f>Z748+W749-X749-T749-Z748*V749/AB748</x:f>
        <x:v>51902.865243374756</x:v>
      </x:c>
      <x:c r="AA749" s="32" t="n">
        <x:f>AA748+X749-U749-AA748*V749/AB748</x:f>
        <x:v>40165.72685087548</x:v>
      </x:c>
      <x:c r="AB749" s="10" t="n">
        <x:f>Y749+Z749+AA749</x:f>
        <x:v>125235.2813909855</x:v>
      </x:c>
      <x:c r="AC749" s="8" t="n">
        <x:f>IF(AND(tun_WinterTrigger=1,D749=1,AB748/AE748&gt;=K749),1,0)</x:f>
        <x:v>0</x:v>
      </x:c>
      <x:c r="AD749" s="8" t="n">
        <x:f>H749*IF(AND(OR(AB748/AE748&gt;=tun_FissionTrigger*N749,AC749=1),AB748/AE748*tun_DaughterShare&gt;=tun_MinDaughter),MAX(1,ROUND(AE748*tun_FissionRate,0)),0)</x:f>
        <x:v>0</x:v>
      </x:c>
      <x:c r="AE749" s="8" t="n">
        <x:f>IF(H749=1,MAX(1,MIN(INDEX(tun_Smax,G749),AE748+AD749)),AE748)</x:f>
        <x:v>9</x:v>
      </x:c>
      <x:c r="AF749" s="8" t="n">
        <x:f>MAX(0,AE749-AE748)</x:f>
        <x:v>0</x:v>
      </x:c>
      <x:c r="AG749" s="9" t="str">
        <x:f>IF(AF749&gt;0,B749,"")</x:f>
      </x:c>
      <x:c r="AH749" s="9" t="n">
        <x:f>IF(F749&gt;=1,1,(1+tun_LowTiesShare*(AE749-1))/AE749)</x:f>
        <x:v>1</x:v>
      </x:c>
      <x:c r="AI749" s="32" t="n">
        <x:f>(Z749+tun_ElderCommons*INDEX(LM_Elder,G749)*AA749)*AH749</x:f>
        <x:v>209876.0016723134</x:v>
      </x:c>
      <x:c r="AJ749" s="32" t="n">
        <x:f>H749*tun_CommonsCoef*AI749^tun_CommonsExp*INDEX(LM_Commons,G749)</x:f>
        <x:v>717229.927418938</x:v>
      </x:c>
      <x:c r="AK749" s="32" t="n">
        <x:f>H749*tun_RoleScale*Arch_Roles*(AE749*(INDEX(tun_ElderRolePerSett,G749)*tun_OutElder*INDEX(LM_Elder,G749)+INDEX(tun_ShamanPerSett,G749)*tun_OutShaman)+Z749*(INDEX(tun_PriestShare,G749)*tun_OutPriest+INDEX(tun_ScribeShare,G749)*tun_OutScribe*INDEX(LM_Scribe,G749)+INDEX(tun_ScholarShare,G749)*tun_OutScholar*INDEX(LM_Scholar,G749)+INDEX(tun_ResearcherShare,G749)*tun_OutResearcher*INDEX(LM_Researcher,G749)))</x:f>
        <x:v>187176.22122636196</x:v>
      </x:c>
      <x:c r="AL749" s="32" t="n">
        <x:f>H749*tun_RoleScale*Arch_Roles*AE749*INDEX(tun_MonasteryPerSett,G749)*tun_OutMonastery*INDEX(LM_Monastery,G749)</x:f>
        <x:v>15.840000000000002</x:v>
      </x:c>
      <x:c r="AM749" s="32" t="n">
        <x:f>(AJ749+AK749+AL749)/4*INDEX(LM_All,G749)*INDEX(tun_Boon,G749)*Arch_Insight</x:f>
        <x:v>783204.4990576854</x:v>
      </x:c>
      <x:c r="AN749" s="32" t="n">
        <x:f>H749*(tun_KHPerAdult*Z749+tun_KHOfCommons*AJ749/4*INDEX(LM_All,G749))*tun_KHUsable*Arch_KH</x:f>
        <x:v>121846.69666162206</x:v>
      </x:c>
      <x:c r="AO749" s="32" t="n">
        <x:f>MIN(AP748+AN749,AM749*tun_KHMaxRatio)</x:f>
        <x:v>121846.69666162206</x:v>
      </x:c>
      <x:c r="AP749" s="32" t="n">
        <x:f>AP748+AN749-AO749</x:f>
        <x:v>0</x:v>
      </x:c>
      <x:c r="AQ749" s="32" t="n">
        <x:f>AM749+AO749</x:f>
        <x:v>905051.1957193074</x:v>
      </x:c>
      <x:c r="AR749" s="10" t="n">
        <x:f>IF(H749=1,INDEX(tun_Req,G749),0)</x:f>
        <x:v>125406521.7009086</x:v>
      </x:c>
      <x:c r="AS749" s="32" t="n">
        <x:f>IF(H749=1,IF(E749=1,AS748-AR748,AS748)+AQ749,0)</x:f>
        <x:v>92013302.10536604</x:v>
      </x:c>
      <x:c r="AT749" s="11" t="n">
        <x:f>IF(AR749&gt;0,MIN(1,AS749/AR749),1)</x:f>
        <x:v>0.7337202312716674</x:v>
      </x:c>
      <x:c r="AU749" s="10" t="n">
        <x:f>AB749/INDEX(tun_RepScale,G749)</x:f>
        <x:v>250.470562781971</x:v>
      </x:c>
      <x:c r="AV749" s="32" t="n">
        <x:f>AM749*60/tun_SeasonSeconds</x:f>
        <x:v>3132817.9962307415</x:v>
      </x:c>
    </x:row>
    <x:row r="750">
      <x:c r="A750" s="8" t="n">
        <x:f>A749+1</x:f>
        <x:v>747</x:v>
      </x:c>
      <x:c r="B750" s="9" t="n">
        <x:f>A750*tun_SeasonSeconds/60</x:f>
        <x:v>186.75</x:v>
      </x:c>
      <x:c r="C750" s="9" t="n">
        <x:f>A750/4</x:f>
        <x:v>186.75</x:v>
      </x:c>
      <x:c r="D750" s="8" t="n">
        <x:f>IF(MOD(A750,4)=0,1,0)</x:f>
        <x:v>0</x:v>
      </x:c>
      <x:c r="E750" s="8" t="n">
        <x:f>IF(AND(F749&lt;=9,AS749&gt;=AR749),1,0)</x:f>
        <x:v>0</x:v>
      </x:c>
      <x:c r="F750" s="8" t="n">
        <x:f>MIN(10,F749+E750)</x:f>
        <x:v>9</x:v>
      </x:c>
      <x:c r="G750" s="8" t="n">
        <x:f>MIN(F750,9)+1</x:f>
        <x:v>10</x:v>
      </x:c>
      <x:c r="H750" s="8" t="n">
        <x:f>IF(F750&lt;=9,1,0)</x:f>
        <x:v>1</x:v>
      </x:c>
      <x:c r="I750" s="9" t="n">
        <x:f>MIN(10,F749+IF(AR749&gt;0,MIN(1,AS749/AR749),1))</x:f>
        <x:v>9.733720231271667</x:v>
      </x:c>
      <x:c r="J750" s="32" t="n">
        <x:f>INDEX(tun_FoodCap,G750)*Arch_FoodCap*EXP(tun_CapsByProject*SUMPRODUCT((Cap_Point&lt;=I750)*(Cap_Kind="Food")*Cap_Ln))</x:f>
        <x:v>18627.260449441455</x:v>
      </x:c>
      <x:c r="K750" s="32" t="n">
        <x:f>J750*MIN(1,tun_LeanBase*EXP(tun_CapsByProject*SUMPRODUCT((Cap_Point&lt;=I750)*(Cap_Kind="Lean")*Cap_Ln)))</x:f>
        <x:v>18627.260449441455</x:v>
      </x:c>
      <x:c r="L750" s="10" t="n">
        <x:f>INDEX(tun_HousingCap,G750)*EXP(tun_CapsByProject*SUMPRODUCT((Cap_Point&lt;=I750)*(Cap_Kind="Housing")*Cap_Ln))</x:f>
        <x:v>20528.974303173167</x:v>
      </x:c>
      <x:c r="M750" s="10" t="n">
        <x:f>INDEX(tun_GroupCap,G750)*tun_CohesionFactor*EXP(tun_CapsByProject*SUMPRODUCT((Cap_Point&lt;=I750)*(Cap_Kind="Group")*Cap_Ln))</x:f>
        <x:v>1000000.000000001</x:v>
      </x:c>
      <x:c r="N750" s="32" t="n">
        <x:f>MIN(J750,L750,M750)</x:f>
        <x:v>18627.260449441455</x:v>
      </x:c>
      <x:c r="O750" s="10" t="n">
        <x:f>AE749*N750</x:f>
        <x:v>167645.34404497308</x:v>
      </x:c>
      <x:c r="P750" s="9" t="n">
        <x:f>MIN(1,(AB749/(AE749*IF(tun_GroupInCrowding=1,N750,MIN(J750,L750))))^tun_CrowdingExp)</x:f>
        <x:v>0.1737845633419145</x:v>
      </x:c>
      <x:c r="Q750" s="9" t="n">
        <x:f>IF(D750=1,INDEX(tun_WinterMult,G750),1)</x:f>
        <x:v>1</x:v>
      </x:c>
      <x:c r="R750" s="9" t="n">
        <x:f>H750*Z749*tun_WomenShare*tun_BaseFertility*INDEX(tun_FertMult,G750)*Arch_Fertility*(1-P750)</x:f>
        <x:v>975.5870777120796</x:v>
      </x:c>
      <x:c r="S750" s="9" t="n">
        <x:f>H750*Y749*INDEX(tun_MortChild,G750)/4*Q750</x:f>
        <x:v>7.462505091765437</x:v>
      </x:c>
      <x:c r="T750" s="9" t="n">
        <x:f>H750*Z749*INDEX(tun_MortAdult,G750)*Arch_AdultMort/4*Q750</x:f>
        <x:v>19.463574466265534</x:v>
      </x:c>
      <x:c r="U750" s="9" t="n">
        <x:f>H750*AA749*INDEX(tun_MortElder,G750)/4*Q750</x:f>
        <x:v>271.1186562434095</x:v>
      </x:c>
      <x:c r="V750" s="9" t="n">
        <x:f>H750*MAX(0,AB749-O750)*tun_OvercapLoss</x:f>
        <x:v>0</x:v>
      </x:c>
      <x:c r="W750" s="9" t="n">
        <x:f>H750*Y749/(tun_ChildYears*4)</x:f>
        <x:v>592.2623088702728</x:v>
      </x:c>
      <x:c r="X750" s="9" t="n">
        <x:f>H750*Z749/(tun_AdultYears*4)</x:f>
        <x:v>418.5714938981835</x:v>
      </x:c>
      <x:c r="Y750" s="32" t="n">
        <x:f>Y749+R750-S750-W750-Y749*V750/AB749</x:f>
        <x:v>33542.55156048531</x:v>
      </x:c>
      <x:c r="Z750" s="32" t="n">
        <x:f>Z749+W750-X750-T750-Z749*V750/AB749</x:f>
        <x:v>52057.09248388058</x:v>
      </x:c>
      <x:c r="AA750" s="32" t="n">
        <x:f>AA749+X750-U750-AA749*V750/AB749</x:f>
        <x:v>40313.179688530254</x:v>
      </x:c>
      <x:c r="AB750" s="10" t="n">
        <x:f>Y750+Z750+AA750</x:f>
        <x:v>125912.82373289615</x:v>
      </x:c>
      <x:c r="AC750" s="8" t="n">
        <x:f>IF(AND(tun_WinterTrigger=1,D750=1,AB749/AE749&gt;=K750),1,0)</x:f>
        <x:v>0</x:v>
      </x:c>
      <x:c r="AD750" s="8" t="n">
        <x:f>H750*IF(AND(OR(AB749/AE749&gt;=tun_FissionTrigger*N750,AC750=1),AB749/AE749*tun_DaughterShare&gt;=tun_MinDaughter),MAX(1,ROUND(AE749*tun_FissionRate,0)),0)</x:f>
        <x:v>0</x:v>
      </x:c>
      <x:c r="AE750" s="8" t="n">
        <x:f>IF(H750=1,MAX(1,MIN(INDEX(tun_Smax,G750),AE749+AD750)),AE749)</x:f>
        <x:v>9</x:v>
      </x:c>
      <x:c r="AF750" s="8" t="n">
        <x:f>MAX(0,AE750-AE749)</x:f>
        <x:v>0</x:v>
      </x:c>
      <x:c r="AG750" s="9" t="str">
        <x:f>IF(AF750&gt;0,B750,"")</x:f>
      </x:c>
      <x:c r="AH750" s="9" t="n">
        <x:f>IF(F750&gt;=1,1,(1+tun_LowTiesShare*(AE750-1))/AE750)</x:f>
        <x:v>1</x:v>
      </x:c>
      <x:c r="AI750" s="32" t="n">
        <x:f>(Z750+tun_ElderCommons*INDEX(LM_Elder,G750)*AA750)*AH750</x:f>
        <x:v>210610.1658158947</x:v>
      </x:c>
      <x:c r="AJ750" s="32" t="n">
        <x:f>H750*tun_CommonsCoef*AI750^tun_CommonsExp*INDEX(LM_Commons,G750)</x:f>
        <x:v>719361.9603777974</x:v>
      </x:c>
      <x:c r="AK750" s="32" t="n">
        <x:f>H750*tun_RoleScale*Arch_Roles*(AE750*(INDEX(tun_ElderRolePerSett,G750)*tun_OutElder*INDEX(LM_Elder,G750)+INDEX(tun_ShamanPerSett,G750)*tun_OutShaman)+Z750*(INDEX(tun_PriestShare,G750)*tun_OutPriest+INDEX(tun_ScribeShare,G750)*tun_OutScribe*INDEX(LM_Scribe,G750)+INDEX(tun_ScholarShare,G750)*tun_OutScholar*INDEX(LM_Scholar,G750)+INDEX(tun_ResearcherShare,G750)*tun_OutResearcher*INDEX(LM_Researcher,G750)))</x:f>
        <x:v>187731.66606548868</x:v>
      </x:c>
      <x:c r="AL750" s="32" t="n">
        <x:f>H750*tun_RoleScale*Arch_Roles*AE750*INDEX(tun_MonasteryPerSett,G750)*tun_OutMonastery*INDEX(LM_Monastery,G750)</x:f>
        <x:v>15.840000000000002</x:v>
      </x:c>
      <x:c r="AM750" s="32" t="n">
        <x:f>(AJ750+AK750+AL750)/4*INDEX(LM_All,G750)*INDEX(tun_Boon,G750)*Arch_Insight</x:f>
        <x:v>785531.7807126273</x:v>
      </x:c>
      <x:c r="AN750" s="32" t="n">
        <x:f>H750*(tun_KHPerAdult*Z750+tun_KHOfCommons*AJ750/4*INDEX(LM_All,G750))*tun_KHUsable*Arch_KH</x:f>
        <x:v>122208.89734968533</x:v>
      </x:c>
      <x:c r="AO750" s="32" t="n">
        <x:f>MIN(AP749+AN750,AM750*tun_KHMaxRatio)</x:f>
        <x:v>122208.89734968533</x:v>
      </x:c>
      <x:c r="AP750" s="32" t="n">
        <x:f>AP749+AN750-AO750</x:f>
        <x:v>0</x:v>
      </x:c>
      <x:c r="AQ750" s="32" t="n">
        <x:f>AM750+AO750</x:f>
        <x:v>907740.6780623127</x:v>
      </x:c>
      <x:c r="AR750" s="10" t="n">
        <x:f>IF(H750=1,INDEX(tun_Req,G750),0)</x:f>
        <x:v>125406521.7009086</x:v>
      </x:c>
      <x:c r="AS750" s="32" t="n">
        <x:f>IF(H750=1,IF(E750=1,AS749-AR749,AS749)+AQ750,0)</x:f>
        <x:v>92921042.78342836</x:v>
      </x:c>
      <x:c r="AT750" s="11" t="n">
        <x:f>IF(AR750&gt;0,MIN(1,AS750/AR750),1)</x:f>
        <x:v>0.7409586162117047</x:v>
      </x:c>
      <x:c r="AU750" s="10" t="n">
        <x:f>AB750/INDEX(tun_RepScale,G750)</x:f>
        <x:v>251.82564746579231</x:v>
      </x:c>
      <x:c r="AV750" s="32" t="n">
        <x:f>AM750*60/tun_SeasonSeconds</x:f>
        <x:v>3142127.1228505094</x:v>
      </x:c>
    </x:row>
    <x:row r="751">
      <x:c r="A751" s="8" t="n">
        <x:f>A750+1</x:f>
        <x:v>748</x:v>
      </x:c>
      <x:c r="B751" s="9" t="n">
        <x:f>A751*tun_SeasonSeconds/60</x:f>
        <x:v>187</x:v>
      </x:c>
      <x:c r="C751" s="9" t="n">
        <x:f>A751/4</x:f>
        <x:v>187</x:v>
      </x:c>
      <x:c r="D751" s="8" t="n">
        <x:f>IF(MOD(A751,4)=0,1,0)</x:f>
        <x:v>1</x:v>
      </x:c>
      <x:c r="E751" s="8" t="n">
        <x:f>IF(AND(F750&lt;=9,AS750&gt;=AR750),1,0)</x:f>
        <x:v>0</x:v>
      </x:c>
      <x:c r="F751" s="8" t="n">
        <x:f>MIN(10,F750+E751)</x:f>
        <x:v>9</x:v>
      </x:c>
      <x:c r="G751" s="8" t="n">
        <x:f>MIN(F751,9)+1</x:f>
        <x:v>10</x:v>
      </x:c>
      <x:c r="H751" s="8" t="n">
        <x:f>IF(F751&lt;=9,1,0)</x:f>
        <x:v>1</x:v>
      </x:c>
      <x:c r="I751" s="9" t="n">
        <x:f>MIN(10,F750+IF(AR750&gt;0,MIN(1,AS750/AR750),1))</x:f>
        <x:v>9.740958616211705</x:v>
      </x:c>
      <x:c r="J751" s="32" t="n">
        <x:f>INDEX(tun_FoodCap,G751)*Arch_FoodCap*EXP(tun_CapsByProject*SUMPRODUCT((Cap_Point&lt;=I751)*(Cap_Kind="Food")*Cap_Ln))</x:f>
        <x:v>18627.260449441455</x:v>
      </x:c>
      <x:c r="K751" s="32" t="n">
        <x:f>J751*MIN(1,tun_LeanBase*EXP(tun_CapsByProject*SUMPRODUCT((Cap_Point&lt;=I751)*(Cap_Kind="Lean")*Cap_Ln)))</x:f>
        <x:v>18627.260449441455</x:v>
      </x:c>
      <x:c r="L751" s="10" t="n">
        <x:f>INDEX(tun_HousingCap,G751)*EXP(tun_CapsByProject*SUMPRODUCT((Cap_Point&lt;=I751)*(Cap_Kind="Housing")*Cap_Ln))</x:f>
        <x:v>20528.974303173167</x:v>
      </x:c>
      <x:c r="M751" s="10" t="n">
        <x:f>INDEX(tun_GroupCap,G751)*tun_CohesionFactor*EXP(tun_CapsByProject*SUMPRODUCT((Cap_Point&lt;=I751)*(Cap_Kind="Group")*Cap_Ln))</x:f>
        <x:v>1000000.000000001</x:v>
      </x:c>
      <x:c r="N751" s="32" t="n">
        <x:f>MIN(J751,L751,M751)</x:f>
        <x:v>18627.260449441455</x:v>
      </x:c>
      <x:c r="O751" s="10" t="n">
        <x:f>AE750*N751</x:f>
        <x:v>167645.34404497308</x:v>
      </x:c>
      <x:c r="P751" s="9" t="n">
        <x:f>MIN(1,(AB750/(AE750*IF(tun_GroupInCrowding=1,N751,MIN(J751,L751))))^tun_CrowdingExp)</x:f>
        <x:v>0.17950262454412813</x:v>
      </x:c>
      <x:c r="Q751" s="9" t="n">
        <x:f>IF(D751=1,INDEX(tun_WinterMult,G751),1)</x:f>
        <x:v>1.05</x:v>
      </x:c>
      <x:c r="R751" s="9" t="n">
        <x:f>H751*Z750*tun_WomenShare*tun_BaseFertility*INDEX(tun_FertMult,G751)*Arch_Fertility*(1-P751)</x:f>
        <x:v>971.7141014691931</x:v>
      </x:c>
      <x:c r="S751" s="9" t="n">
        <x:f>H751*Y750*INDEX(tun_MortChild,G751)/4*Q751</x:f>
        <x:v>7.924427806164656</x:v>
      </x:c>
      <x:c r="T751" s="9" t="n">
        <x:f>H751*Z750*INDEX(tun_MortAdult,G751)*Arch_AdultMort/4*Q751</x:f>
        <x:v>20.49748016552798</x:v>
      </x:c>
      <x:c r="U751" s="9" t="n">
        <x:f>H751*AA750*INDEX(tun_MortElder,G751)/4*Q751</x:f>
        <x:v>285.7196610424582</x:v>
      </x:c>
      <x:c r="V751" s="9" t="n">
        <x:f>H751*MAX(0,AB750-O751)*tun_OvercapLoss</x:f>
        <x:v>0</x:v>
      </x:c>
      <x:c r="W751" s="9" t="n">
        <x:f>H751*Y750/(tun_ChildYears*4)</x:f>
        <x:v>598.9741350086663</x:v>
      </x:c>
      <x:c r="X751" s="9" t="n">
        <x:f>H751*Z750/(tun_AdultYears*4)</x:f>
        <x:v>419.81526196677885</x:v>
      </x:c>
      <x:c r="Y751" s="32" t="n">
        <x:f>Y750+R751-S751-W751-Y750*V751/AB750</x:f>
        <x:v>33907.36709913967</x:v>
      </x:c>
      <x:c r="Z751" s="32" t="n">
        <x:f>Z750+W751-X751-T751-Z750*V751/AB750</x:f>
        <x:v>52215.75387675694</x:v>
      </x:c>
      <x:c r="AA751" s="32" t="n">
        <x:f>AA750+X751-U751-AA750*V751/AB750</x:f>
        <x:v>40447.27528945458</x:v>
      </x:c>
      <x:c r="AB751" s="10" t="n">
        <x:f>Y751+Z751+AA751</x:f>
        <x:v>126570.39626535118</x:v>
      </x:c>
      <x:c r="AC751" s="8" t="n">
        <x:f>IF(AND(tun_WinterTrigger=1,D751=1,AB750/AE750&gt;=K751),1,0)</x:f>
        <x:v>0</x:v>
      </x:c>
      <x:c r="AD751" s="8" t="n">
        <x:f>H751*IF(AND(OR(AB750/AE750&gt;=tun_FissionTrigger*N751,AC751=1),AB750/AE750*tun_DaughterShare&gt;=tun_MinDaughter),MAX(1,ROUND(AE750*tun_FissionRate,0)),0)</x:f>
        <x:v>0</x:v>
      </x:c>
      <x:c r="AE751" s="8" t="n">
        <x:f>IF(H751=1,MAX(1,MIN(INDEX(tun_Smax,G751),AE750+AD751)),AE750)</x:f>
        <x:v>9</x:v>
      </x:c>
      <x:c r="AF751" s="8" t="n">
        <x:f>MAX(0,AE751-AE750)</x:f>
        <x:v>0</x:v>
      </x:c>
      <x:c r="AG751" s="9" t="str">
        <x:f>IF(AF751&gt;0,B751,"")</x:f>
      </x:c>
      <x:c r="AH751" s="9" t="n">
        <x:f>IF(F751&gt;=1,1,(1+tun_LowTiesShare*(AE751-1))/AE751)</x:f>
        <x:v>1</x:v>
      </x:c>
      <x:c r="AI751" s="32" t="n">
        <x:f>(Z751+tun_ElderCommons*INDEX(LM_Elder,G751)*AA751)*AH751</x:f>
        <x:v>211296.22965658404</x:v>
      </x:c>
      <x:c r="AJ751" s="32" t="n">
        <x:f>H751*tun_CommonsCoef*AI751^tun_CommonsExp*INDEX(LM_Commons,G751)</x:f>
        <x:v>721353.3012614376</x:v>
      </x:c>
      <x:c r="AK751" s="32" t="n">
        <x:f>H751*tun_RoleScale*Arch_Roles*(AE751*(INDEX(tun_ElderRolePerSett,G751)*tun_OutElder*INDEX(LM_Elder,G751)+INDEX(tun_ShamanPerSett,G751)*tun_OutShaman)+Z751*(INDEX(tun_PriestShare,G751)*tun_OutPriest+INDEX(tun_ScribeShare,G751)*tun_OutScribe*INDEX(LM_Scribe,G751)+INDEX(tun_ScholarShare,G751)*tun_OutScholar*INDEX(LM_Scholar,G751)+INDEX(tun_ResearcherShare,G751)*tun_OutResearcher*INDEX(LM_Researcher,G751)))</x:f>
        <x:v>188303.08037305714</x:v>
      </x:c>
      <x:c r="AL751" s="32" t="n">
        <x:f>H751*tun_RoleScale*Arch_Roles*AE751*INDEX(tun_MonasteryPerSett,G751)*tun_OutMonastery*INDEX(LM_Monastery,G751)</x:f>
        <x:v>15.840000000000002</x:v>
      </x:c>
      <x:c r="AM751" s="32" t="n">
        <x:f>(AJ751+AK751+AL751)/4*INDEX(LM_All,G751)*INDEX(tun_Boon,G751)*Arch_Insight</x:f>
        <x:v>787751.0560298326</x:v>
      </x:c>
      <x:c r="AN751" s="32" t="n">
        <x:f>H751*(tun_KHPerAdult*Z751+tun_KHOfCommons*AJ751/4*INDEX(LM_All,G751))*tun_KHUsable*Arch_KH</x:f>
        <x:v>122547.19654680887</x:v>
      </x:c>
      <x:c r="AO751" s="32" t="n">
        <x:f>MIN(AP750+AN751,AM751*tun_KHMaxRatio)</x:f>
        <x:v>122547.19654680887</x:v>
      </x:c>
      <x:c r="AP751" s="32" t="n">
        <x:f>AP750+AN751-AO751</x:f>
        <x:v>0</x:v>
      </x:c>
      <x:c r="AQ751" s="32" t="n">
        <x:f>AM751+AO751</x:f>
        <x:v>910298.2525766415</x:v>
      </x:c>
      <x:c r="AR751" s="10" t="n">
        <x:f>IF(H751=1,INDEX(tun_Req,G751),0)</x:f>
        <x:v>125406521.7009086</x:v>
      </x:c>
      <x:c r="AS751" s="32" t="n">
        <x:f>IF(H751=1,IF(E751=1,AS750-AR750,AS750)+AQ751,0)</x:f>
        <x:v>93831341.03600499</x:v>
      </x:c>
      <x:c r="AT751" s="11" t="n">
        <x:f>IF(AR751&gt;0,MIN(1,AS751/AR751),1)</x:f>
        <x:v>0.7482173954221486</x:v>
      </x:c>
      <x:c r="AU751" s="10" t="n">
        <x:f>AB751/INDEX(tun_RepScale,G751)</x:f>
        <x:v>253.14079253070236</x:v>
      </x:c>
      <x:c r="AV751" s="32" t="n">
        <x:f>AM751*60/tun_SeasonSeconds</x:f>
        <x:v>3151004.2241193303</x:v>
      </x:c>
    </x:row>
    <x:row r="752">
      <x:c r="A752" s="8" t="n">
        <x:f>A751+1</x:f>
        <x:v>749</x:v>
      </x:c>
      <x:c r="B752" s="9" t="n">
        <x:f>A752*tun_SeasonSeconds/60</x:f>
        <x:v>187.25</x:v>
      </x:c>
      <x:c r="C752" s="9" t="n">
        <x:f>A752/4</x:f>
        <x:v>187.25</x:v>
      </x:c>
      <x:c r="D752" s="8" t="n">
        <x:f>IF(MOD(A752,4)=0,1,0)</x:f>
        <x:v>0</x:v>
      </x:c>
      <x:c r="E752" s="8" t="n">
        <x:f>IF(AND(F751&lt;=9,AS751&gt;=AR751),1,0)</x:f>
        <x:v>0</x:v>
      </x:c>
      <x:c r="F752" s="8" t="n">
        <x:f>MIN(10,F751+E752)</x:f>
        <x:v>9</x:v>
      </x:c>
      <x:c r="G752" s="8" t="n">
        <x:f>MIN(F752,9)+1</x:f>
        <x:v>10</x:v>
      </x:c>
      <x:c r="H752" s="8" t="n">
        <x:f>IF(F752&lt;=9,1,0)</x:f>
        <x:v>1</x:v>
      </x:c>
      <x:c r="I752" s="9" t="n">
        <x:f>MIN(10,F751+IF(AR751&gt;0,MIN(1,AS751/AR751),1))</x:f>
        <x:v>9.748217395422149</x:v>
      </x:c>
      <x:c r="J752" s="32" t="n">
        <x:f>INDEX(tun_FoodCap,G752)*Arch_FoodCap*EXP(tun_CapsByProject*SUMPRODUCT((Cap_Point&lt;=I752)*(Cap_Kind="Food")*Cap_Ln))</x:f>
        <x:v>18627.260449441455</x:v>
      </x:c>
      <x:c r="K752" s="32" t="n">
        <x:f>J752*MIN(1,tun_LeanBase*EXP(tun_CapsByProject*SUMPRODUCT((Cap_Point&lt;=I752)*(Cap_Kind="Lean")*Cap_Ln)))</x:f>
        <x:v>18627.260449441455</x:v>
      </x:c>
      <x:c r="L752" s="10" t="n">
        <x:f>INDEX(tun_HousingCap,G752)*EXP(tun_CapsByProject*SUMPRODUCT((Cap_Point&lt;=I752)*(Cap_Kind="Housing")*Cap_Ln))</x:f>
        <x:v>20528.974303173167</x:v>
      </x:c>
      <x:c r="M752" s="10" t="n">
        <x:f>INDEX(tun_GroupCap,G752)*tun_CohesionFactor*EXP(tun_CapsByProject*SUMPRODUCT((Cap_Point&lt;=I752)*(Cap_Kind="Group")*Cap_Ln))</x:f>
        <x:v>1000000.000000001</x:v>
      </x:c>
      <x:c r="N752" s="32" t="n">
        <x:f>MIN(J752,L752,M752)</x:f>
        <x:v>18627.260449441455</x:v>
      </x:c>
      <x:c r="O752" s="10" t="n">
        <x:f>AE751*N752</x:f>
        <x:v>167645.34404497308</x:v>
      </x:c>
      <x:c r="P752" s="9" t="n">
        <x:f>MIN(1,(AB751/(AE751*IF(tun_GroupInCrowding=1,N752,MIN(J752,L752))))^tun_CrowdingExp)</x:f>
        <x:v>0.18520122722511922</x:v>
      </x:c>
      <x:c r="Q752" s="9" t="n">
        <x:f>IF(D752=1,INDEX(tun_WinterMult,G752),1)</x:f>
        <x:v>1</x:v>
      </x:c>
      <x:c r="R752" s="9" t="n">
        <x:f>H752*Z751*tun_WomenShare*tun_BaseFertility*INDEX(tun_FertMult,G752)*Arch_Fertility*(1-P752)</x:f>
        <x:v>967.9063070562516</x:v>
      </x:c>
      <x:c r="S752" s="9" t="n">
        <x:f>H752*Y751*INDEX(tun_MortChild,G752)/4*Q752</x:f>
        <x:v>7.629157597306426</x:v>
      </x:c>
      <x:c r="T752" s="9" t="n">
        <x:f>H752*Z751*INDEX(tun_MortAdult,G752)*Arch_AdultMort/4*Q752</x:f>
        <x:v>19.580907703783854</x:v>
      </x:c>
      <x:c r="U752" s="9" t="n">
        <x:f>H752*AA751*INDEX(tun_MortElder,G752)/4*Q752</x:f>
        <x:v>273.0191082038184</x:v>
      </x:c>
      <x:c r="V752" s="9" t="n">
        <x:f>H752*MAX(0,AB751-O752)*tun_OvercapLoss</x:f>
        <x:v>0</x:v>
      </x:c>
      <x:c r="W752" s="9" t="n">
        <x:f>H752*Y751/(tun_ChildYears*4)</x:f>
        <x:v>605.4886981989227</x:v>
      </x:c>
      <x:c r="X752" s="9" t="n">
        <x:f>H752*Z751/(tun_AdultYears*4)</x:f>
        <x:v>421.094789328685</x:v>
      </x:c>
      <x:c r="Y752" s="32" t="n">
        <x:f>Y751+R752-S752-W752-Y751*V752/AB751</x:f>
        <x:v>34262.15555039969</x:v>
      </x:c>
      <x:c r="Z752" s="32" t="n">
        <x:f>Z751+W752-X752-T752-Z751*V752/AB751</x:f>
        <x:v>52380.5668779234</x:v>
      </x:c>
      <x:c r="AA752" s="32" t="n">
        <x:f>AA751+X752-U752-AA751*V752/AB751</x:f>
        <x:v>40595.35097057944</x:v>
      </x:c>
      <x:c r="AB752" s="10" t="n">
        <x:f>Y752+Z752+AA752</x:f>
        <x:v>127238.07339890253</x:v>
      </x:c>
      <x:c r="AC752" s="8" t="n">
        <x:f>IF(AND(tun_WinterTrigger=1,D752=1,AB751/AE751&gt;=K752),1,0)</x:f>
        <x:v>0</x:v>
      </x:c>
      <x:c r="AD752" s="8" t="n">
        <x:f>H752*IF(AND(OR(AB751/AE751&gt;=tun_FissionTrigger*N752,AC752=1),AB751/AE751*tun_DaughterShare&gt;=tun_MinDaughter),MAX(1,ROUND(AE751*tun_FissionRate,0)),0)</x:f>
        <x:v>0</x:v>
      </x:c>
      <x:c r="AE752" s="8" t="n">
        <x:f>IF(H752=1,MAX(1,MIN(INDEX(tun_Smax,G752),AE751+AD752)),AE751)</x:f>
        <x:v>9</x:v>
      </x:c>
      <x:c r="AF752" s="8" t="n">
        <x:f>MAX(0,AE752-AE751)</x:f>
        <x:v>0</x:v>
      </x:c>
      <x:c r="AG752" s="9" t="str">
        <x:f>IF(AF752&gt;0,B752,"")</x:f>
      </x:c>
      <x:c r="AH752" s="9" t="n">
        <x:f>IF(F752&gt;=1,1,(1+tun_LowTiesShare*(AE752-1))/AE752)</x:f>
        <x:v>1</x:v>
      </x:c>
      <x:c r="AI752" s="32" t="n">
        <x:f>(Z752+tun_ElderCommons*INDEX(LM_Elder,G752)*AA752)*AH752</x:f>
        <x:v>212043.42922486016</x:v>
      </x:c>
      <x:c r="AJ752" s="32" t="n">
        <x:f>H752*tun_CommonsCoef*AI752^tun_CommonsExp*INDEX(LM_Commons,G752)</x:f>
        <x:v>723520.9892499266</x:v>
      </x:c>
      <x:c r="AK752" s="32" t="n">
        <x:f>H752*tun_RoleScale*Arch_Roles*(AE752*(INDEX(tun_ElderRolePerSett,G752)*tun_OutElder*INDEX(LM_Elder,G752)+INDEX(tun_ShamanPerSett,G752)*tun_OutShaman)+Z752*(INDEX(tun_PriestShare,G752)*tun_OutPriest+INDEX(tun_ScribeShare,G752)*tun_OutScribe*INDEX(LM_Scribe,G752)+INDEX(tun_ScholarShare,G752)*tun_OutScholar*INDEX(LM_Scholar,G752)+INDEX(tun_ResearcherShare,G752)*tun_OutResearcher*INDEX(LM_Researcher,G752)))</x:f>
        <x:v>188896.64951569788</x:v>
      </x:c>
      <x:c r="AL752" s="32" t="n">
        <x:f>H752*tun_RoleScale*Arch_Roles*AE752*INDEX(tun_MonasteryPerSett,G752)*tun_OutMonastery*INDEX(LM_Monastery,G752)</x:f>
        <x:v>15.840000000000002</x:v>
      </x:c>
      <x:c r="AM752" s="32" t="n">
        <x:f>(AJ752+AK752+AL752)/4*INDEX(LM_All,G752)*INDEX(tun_Boon,G752)*Arch_Insight</x:f>
        <x:v>790142.2285525121</x:v>
      </x:c>
      <x:c r="AN752" s="32" t="n">
        <x:f>H752*(tun_KHPerAdult*Z752+tun_KHOfCommons*AJ752/4*INDEX(LM_All,G752))*tun_KHUsable*Arch_KH</x:f>
        <x:v>122915.45449407685</x:v>
      </x:c>
      <x:c r="AO752" s="32" t="n">
        <x:f>MIN(AP751+AN752,AM752*tun_KHMaxRatio)</x:f>
        <x:v>122915.45449407685</x:v>
      </x:c>
      <x:c r="AP752" s="32" t="n">
        <x:f>AP751+AN752-AO752</x:f>
        <x:v>0</x:v>
      </x:c>
      <x:c r="AQ752" s="32" t="n">
        <x:f>AM752+AO752</x:f>
        <x:v>913057.683046589</x:v>
      </x:c>
      <x:c r="AR752" s="10" t="n">
        <x:f>IF(H752=1,INDEX(tun_Req,G752),0)</x:f>
        <x:v>125406521.7009086</x:v>
      </x:c>
      <x:c r="AS752" s="32" t="n">
        <x:f>IF(H752=1,IF(E752=1,AS751-AR751,AS751)+AQ752,0)</x:f>
        <x:v>94744398.71905158</x:v>
      </x:c>
      <x:c r="AT752" s="11" t="n">
        <x:f>IF(AR752&gt;0,MIN(1,AS752/AR752),1)</x:f>
        <x:v>0.7554981785159036</x:v>
      </x:c>
      <x:c r="AU752" s="10" t="n">
        <x:f>AB752/INDEX(tun_RepScale,G752)</x:f>
        <x:v>254.47614679780506</x:v>
      </x:c>
      <x:c r="AV752" s="32" t="n">
        <x:f>AM752*60/tun_SeasonSeconds</x:f>
        <x:v>3160568.9142100485</x:v>
      </x:c>
    </x:row>
    <x:row r="753">
      <x:c r="A753" s="8" t="n">
        <x:f>A752+1</x:f>
        <x:v>750</x:v>
      </x:c>
      <x:c r="B753" s="9" t="n">
        <x:f>A753*tun_SeasonSeconds/60</x:f>
        <x:v>187.5</x:v>
      </x:c>
      <x:c r="C753" s="9" t="n">
        <x:f>A753/4</x:f>
        <x:v>187.5</x:v>
      </x:c>
      <x:c r="D753" s="8" t="n">
        <x:f>IF(MOD(A753,4)=0,1,0)</x:f>
        <x:v>0</x:v>
      </x:c>
      <x:c r="E753" s="8" t="n">
        <x:f>IF(AND(F752&lt;=9,AS752&gt;=AR752),1,0)</x:f>
        <x:v>0</x:v>
      </x:c>
      <x:c r="F753" s="8" t="n">
        <x:f>MIN(10,F752+E753)</x:f>
        <x:v>9</x:v>
      </x:c>
      <x:c r="G753" s="8" t="n">
        <x:f>MIN(F753,9)+1</x:f>
        <x:v>10</x:v>
      </x:c>
      <x:c r="H753" s="8" t="n">
        <x:f>IF(F753&lt;=9,1,0)</x:f>
        <x:v>1</x:v>
      </x:c>
      <x:c r="I753" s="9" t="n">
        <x:f>MIN(10,F752+IF(AR752&gt;0,MIN(1,AS752/AR752),1))</x:f>
        <x:v>9.755498178515904</x:v>
      </x:c>
      <x:c r="J753" s="32" t="n">
        <x:f>INDEX(tun_FoodCap,G753)*Arch_FoodCap*EXP(tun_CapsByProject*SUMPRODUCT((Cap_Point&lt;=I753)*(Cap_Kind="Food")*Cap_Ln))</x:f>
        <x:v>18627.260449441455</x:v>
      </x:c>
      <x:c r="K753" s="32" t="n">
        <x:f>J753*MIN(1,tun_LeanBase*EXP(tun_CapsByProject*SUMPRODUCT((Cap_Point&lt;=I753)*(Cap_Kind="Lean")*Cap_Ln)))</x:f>
        <x:v>18627.260449441455</x:v>
      </x:c>
      <x:c r="L753" s="10" t="n">
        <x:f>INDEX(tun_HousingCap,G753)*EXP(tun_CapsByProject*SUMPRODUCT((Cap_Point&lt;=I753)*(Cap_Kind="Housing")*Cap_Ln))</x:f>
        <x:v>20528.974303173167</x:v>
      </x:c>
      <x:c r="M753" s="10" t="n">
        <x:f>INDEX(tun_GroupCap,G753)*tun_CohesionFactor*EXP(tun_CapsByProject*SUMPRODUCT((Cap_Point&lt;=I753)*(Cap_Kind="Group")*Cap_Ln))</x:f>
        <x:v>1000000.000000001</x:v>
      </x:c>
      <x:c r="N753" s="32" t="n">
        <x:f>MIN(J753,L753,M753)</x:f>
        <x:v>18627.260449441455</x:v>
      </x:c>
      <x:c r="O753" s="10" t="n">
        <x:f>AE752*N753</x:f>
        <x:v>167645.34404497308</x:v>
      </x:c>
      <x:c r="P753" s="9" t="n">
        <x:f>MIN(1,(AB752/(AE752*IF(tun_GroupInCrowding=1,N753,MIN(J753,L753))))^tun_CrowdingExp)</x:f>
        <x:v>0.19114085688206822</x:v>
      </x:c>
      <x:c r="Q753" s="9" t="n">
        <x:f>IF(D753=1,INDEX(tun_WinterMult,G753),1)</x:f>
        <x:v>1</x:v>
      </x:c>
      <x:c r="R753" s="9" t="n">
        <x:f>H753*Z752*tun_WomenShare*tun_BaseFertility*INDEX(tun_FertMult,G753)*Arch_Fertility*(1-P753)</x:f>
        <x:v>963.8833850306713</x:v>
      </x:c>
      <x:c r="S753" s="9" t="n">
        <x:f>H753*Y752*INDEX(tun_MortChild,G753)/4*Q753</x:f>
        <x:v>7.708984998839931</x:v>
      </x:c>
      <x:c r="T753" s="9" t="n">
        <x:f>H753*Z752*INDEX(tun_MortAdult,G753)*Arch_AdultMort/4*Q753</x:f>
        <x:v>19.642712579221275</x:v>
      </x:c>
      <x:c r="U753" s="9" t="n">
        <x:f>H753*AA752*INDEX(tun_MortElder,G753)/4*Q753</x:f>
        <x:v>274.01861905141124</x:v>
      </x:c>
      <x:c r="V753" s="9" t="n">
        <x:f>H753*MAX(0,AB752-O753)*tun_OvercapLoss</x:f>
        <x:v>0</x:v>
      </x:c>
      <x:c r="W753" s="9" t="n">
        <x:f>H753*Y752/(tun_ChildYears*4)</x:f>
        <x:v>611.8242062571373</x:v>
      </x:c>
      <x:c r="X753" s="9" t="n">
        <x:f>H753*Z752/(tun_AdultYears*4)</x:f>
        <x:v>422.4239264348661</x:v>
      </x:c>
      <x:c r="Y753" s="32" t="n">
        <x:f>Y752+R753-S753-W753-Y752*V753/AB752</x:f>
        <x:v>34606.505744174385</x:v>
      </x:c>
      <x:c r="Z753" s="32" t="n">
        <x:f>Z752+W753-X753-T753-Z752*V753/AB752</x:f>
        <x:v>52550.32444516645</x:v>
      </x:c>
      <x:c r="AA753" s="32" t="n">
        <x:f>AA752+X753-U753-AA752*V753/AB752</x:f>
        <x:v>40743.75627796289</x:v>
      </x:c>
      <x:c r="AB753" s="10" t="n">
        <x:f>Y753+Z753+AA753</x:f>
        <x:v>127900.58646730373</x:v>
      </x:c>
      <x:c r="AC753" s="8" t="n">
        <x:f>IF(AND(tun_WinterTrigger=1,D753=1,AB752/AE752&gt;=K753),1,0)</x:f>
        <x:v>0</x:v>
      </x:c>
      <x:c r="AD753" s="8" t="n">
        <x:f>H753*IF(AND(OR(AB752/AE752&gt;=tun_FissionTrigger*N753,AC753=1),AB752/AE752*tun_DaughterShare&gt;=tun_MinDaughter),MAX(1,ROUND(AE752*tun_FissionRate,0)),0)</x:f>
        <x:v>0</x:v>
      </x:c>
      <x:c r="AE753" s="8" t="n">
        <x:f>IF(H753=1,MAX(1,MIN(INDEX(tun_Smax,G753),AE752+AD753)),AE752)</x:f>
        <x:v>9</x:v>
      </x:c>
      <x:c r="AF753" s="8" t="n">
        <x:f>MAX(0,AE753-AE752)</x:f>
        <x:v>0</x:v>
      </x:c>
      <x:c r="AG753" s="9" t="str">
        <x:f>IF(AF753&gt;0,B753,"")</x:f>
      </x:c>
      <x:c r="AH753" s="9" t="n">
        <x:f>IF(F753&gt;=1,1,(1+tun_LowTiesShare*(AE753-1))/AE753)</x:f>
        <x:v>1</x:v>
      </x:c>
      <x:c r="AI753" s="32" t="n">
        <x:f>(Z753+tun_ElderCommons*INDEX(LM_Elder,G753)*AA753)*AH753</x:f>
        <x:v>212796.86979022512</x:v>
      </x:c>
      <x:c r="AJ753" s="32" t="n">
        <x:f>H753*tun_CommonsCoef*AI753^tun_CommonsExp*INDEX(LM_Commons,G753)</x:f>
        <x:v>725705.6230348013</x:v>
      </x:c>
      <x:c r="AK753" s="32" t="n">
        <x:f>H753*tun_RoleScale*Arch_Roles*(AE753*(INDEX(tun_ElderRolePerSett,G753)*tun_OutElder*INDEX(LM_Elder,G753)+INDEX(tun_ShamanPerSett,G753)*tun_OutShaman)+Z753*(INDEX(tun_PriestShare,G753)*tun_OutPriest+INDEX(tun_ScribeShare,G753)*tun_OutScribe*INDEX(LM_Scribe,G753)+INDEX(tun_ScholarShare,G753)*tun_OutScholar*INDEX(LM_Scholar,G753)+INDEX(tun_ResearcherShare,G753)*tun_OutResearcher*INDEX(LM_Researcher,G753)))</x:f>
        <x:v>189508.02636662647</x:v>
      </x:c>
      <x:c r="AL753" s="32" t="n">
        <x:f>H753*tun_RoleScale*Arch_Roles*AE753*INDEX(tun_MonasteryPerSett,G753)*tun_OutMonastery*INDEX(LM_Monastery,G753)</x:f>
        <x:v>15.840000000000002</x:v>
      </x:c>
      <x:c r="AM753" s="32" t="n">
        <x:f>(AJ753+AK753+AL753)/4*INDEX(LM_All,G753)*INDEX(tun_Boon,G753)*Arch_Insight</x:f>
        <x:v>792563.4966517702</x:v>
      </x:c>
      <x:c r="AN753" s="32" t="n">
        <x:f>H753*(tun_KHPerAdult*Z753+tun_KHOfCommons*AJ753/4*INDEX(LM_All,G753))*tun_KHUsable*Arch_KH</x:f>
        <x:v>123286.59128010068</x:v>
      </x:c>
      <x:c r="AO753" s="32" t="n">
        <x:f>MIN(AP752+AN753,AM753*tun_KHMaxRatio)</x:f>
        <x:v>123286.59128010068</x:v>
      </x:c>
      <x:c r="AP753" s="32" t="n">
        <x:f>AP752+AN753-AO753</x:f>
        <x:v>0</x:v>
      </x:c>
      <x:c r="AQ753" s="32" t="n">
        <x:f>AM753+AO753</x:f>
        <x:v>915850.0879318708</x:v>
      </x:c>
      <x:c r="AR753" s="10" t="n">
        <x:f>IF(H753=1,INDEX(tun_Req,G753),0)</x:f>
        <x:v>125406521.7009086</x:v>
      </x:c>
      <x:c r="AS753" s="32" t="n">
        <x:f>IF(H753=1,IF(E753=1,AS752-AR752,AS752)+AQ753,0)</x:f>
        <x:v>95660248.80698346</x:v>
      </x:c>
      <x:c r="AT753" s="11" t="n">
        <x:f>IF(AR753&gt;0,MIN(1,AS753/AR753),1)</x:f>
        <x:v>0.7628012284331651</x:v>
      </x:c>
      <x:c r="AU753" s="10" t="n">
        <x:f>AB753/INDEX(tun_RepScale,G753)</x:f>
        <x:v>255.80117293460745</x:v>
      </x:c>
      <x:c r="AV753" s="32" t="n">
        <x:f>AM753*60/tun_SeasonSeconds</x:f>
        <x:v>3170253.986607081</x:v>
      </x:c>
    </x:row>
    <x:row r="754">
      <x:c r="A754" s="8" t="n">
        <x:f>A753+1</x:f>
        <x:v>751</x:v>
      </x:c>
      <x:c r="B754" s="9" t="n">
        <x:f>A754*tun_SeasonSeconds/60</x:f>
        <x:v>187.75</x:v>
      </x:c>
      <x:c r="C754" s="9" t="n">
        <x:f>A754/4</x:f>
        <x:v>187.75</x:v>
      </x:c>
      <x:c r="D754" s="8" t="n">
        <x:f>IF(MOD(A754,4)=0,1,0)</x:f>
        <x:v>0</x:v>
      </x:c>
      <x:c r="E754" s="8" t="n">
        <x:f>IF(AND(F753&lt;=9,AS753&gt;=AR753),1,0)</x:f>
        <x:v>0</x:v>
      </x:c>
      <x:c r="F754" s="8" t="n">
        <x:f>MIN(10,F753+E754)</x:f>
        <x:v>9</x:v>
      </x:c>
      <x:c r="G754" s="8" t="n">
        <x:f>MIN(F754,9)+1</x:f>
        <x:v>10</x:v>
      </x:c>
      <x:c r="H754" s="8" t="n">
        <x:f>IF(F754&lt;=9,1,0)</x:f>
        <x:v>1</x:v>
      </x:c>
      <x:c r="I754" s="9" t="n">
        <x:f>MIN(10,F753+IF(AR753&gt;0,MIN(1,AS753/AR753),1))</x:f>
        <x:v>9.762801228433165</x:v>
      </x:c>
      <x:c r="J754" s="32" t="n">
        <x:f>INDEX(tun_FoodCap,G754)*Arch_FoodCap*EXP(tun_CapsByProject*SUMPRODUCT((Cap_Point&lt;=I754)*(Cap_Kind="Food")*Cap_Ln))</x:f>
        <x:v>18627.260449441455</x:v>
      </x:c>
      <x:c r="K754" s="32" t="n">
        <x:f>J754*MIN(1,tun_LeanBase*EXP(tun_CapsByProject*SUMPRODUCT((Cap_Point&lt;=I754)*(Cap_Kind="Lean")*Cap_Ln)))</x:f>
        <x:v>18627.260449441455</x:v>
      </x:c>
      <x:c r="L754" s="10" t="n">
        <x:f>INDEX(tun_HousingCap,G754)*EXP(tun_CapsByProject*SUMPRODUCT((Cap_Point&lt;=I754)*(Cap_Kind="Housing")*Cap_Ln))</x:f>
        <x:v>20528.974303173167</x:v>
      </x:c>
      <x:c r="M754" s="10" t="n">
        <x:f>INDEX(tun_GroupCap,G754)*tun_CohesionFactor*EXP(tun_CapsByProject*SUMPRODUCT((Cap_Point&lt;=I754)*(Cap_Kind="Group")*Cap_Ln))</x:f>
        <x:v>1000000.000000001</x:v>
      </x:c>
      <x:c r="N754" s="32" t="n">
        <x:f>MIN(J754,L754,M754)</x:f>
        <x:v>18627.260449441455</x:v>
      </x:c>
      <x:c r="O754" s="10" t="n">
        <x:f>AE753*N754</x:f>
        <x:v>167645.34404497308</x:v>
      </x:c>
      <x:c r="P754" s="9" t="n">
        <x:f>MIN(1,(AB753/(AE753*IF(tun_GroupInCrowding=1,N754,MIN(J754,L754))))^tun_CrowdingExp)</x:f>
        <x:v>0.19719061281422717</x:v>
      </x:c>
      <x:c r="Q754" s="9" t="n">
        <x:f>IF(D754=1,INDEX(tun_WinterMult,G754),1)</x:f>
        <x:v>1</x:v>
      </x:c>
      <x:c r="R754" s="9" t="n">
        <x:f>H754*Z753*tun_WomenShare*tun_BaseFertility*INDEX(tun_FertMult,G754)*Arch_Fertility*(1-P754)</x:f>
        <x:v>959.7745831364059</x:v>
      </x:c>
      <x:c r="S754" s="9" t="n">
        <x:f>H754*Y753*INDEX(tun_MortChild,G754)/4*Q754</x:f>
        <x:v>7.786463792439236</x:v>
      </x:c>
      <x:c r="T754" s="9" t="n">
        <x:f>H754*Z753*INDEX(tun_MortAdult,G754)*Arch_AdultMort/4*Q754</x:f>
        <x:v>19.706371666937418</x:v>
      </x:c>
      <x:c r="U754" s="9" t="n">
        <x:f>H754*AA753*INDEX(tun_MortElder,G754)/4*Q754</x:f>
        <x:v>275.02035487624954</x:v>
      </x:c>
      <x:c r="V754" s="9" t="n">
        <x:f>H754*MAX(0,AB753-O754)*tun_OvercapLoss</x:f>
        <x:v>0</x:v>
      </x:c>
      <x:c r="W754" s="9" t="n">
        <x:f>H754*Y753/(tun_ChildYears*4)</x:f>
        <x:v>617.9733168602569</x:v>
      </x:c>
      <x:c r="X754" s="9" t="n">
        <x:f>H754*Z753/(tun_AdultYears*4)</x:f>
        <x:v>423.792939073923</x:v>
      </x:c>
      <x:c r="Y754" s="32" t="n">
        <x:f>Y753+R754-S754-W754-Y753*V754/AB753</x:f>
        <x:v>34940.5205466581</x:v>
      </x:c>
      <x:c r="Z754" s="32" t="n">
        <x:f>Z753+W754-X754-T754-Z753*V754/AB753</x:f>
        <x:v>52724.798451285846</x:v>
      </x:c>
      <x:c r="AA754" s="32" t="n">
        <x:f>AA753+X754-U754-AA753*V754/AB753</x:f>
        <x:v>40892.528862160565</x:v>
      </x:c>
      <x:c r="AB754" s="10" t="n">
        <x:f>Y754+Z754+AA754</x:f>
        <x:v>128557.84786010452</x:v>
      </x:c>
      <x:c r="AC754" s="8" t="n">
        <x:f>IF(AND(tun_WinterTrigger=1,D754=1,AB753/AE753&gt;=K754),1,0)</x:f>
        <x:v>0</x:v>
      </x:c>
      <x:c r="AD754" s="8" t="n">
        <x:f>H754*IF(AND(OR(AB753/AE753&gt;=tun_FissionTrigger*N754,AC754=1),AB753/AE753*tun_DaughterShare&gt;=tun_MinDaughter),MAX(1,ROUND(AE753*tun_FissionRate,0)),0)</x:f>
        <x:v>0</x:v>
      </x:c>
      <x:c r="AE754" s="8" t="n">
        <x:f>IF(H754=1,MAX(1,MIN(INDEX(tun_Smax,G754),AE753+AD754)),AE753)</x:f>
        <x:v>9</x:v>
      </x:c>
      <x:c r="AF754" s="8" t="n">
        <x:f>MAX(0,AE754-AE753)</x:f>
        <x:v>0</x:v>
      </x:c>
      <x:c r="AG754" s="9" t="str">
        <x:f>IF(AF754&gt;0,B754,"")</x:f>
      </x:c>
      <x:c r="AH754" s="9" t="n">
        <x:f>IF(F754&gt;=1,1,(1+tun_LowTiesShare*(AE754-1))/AE754)</x:f>
        <x:v>1</x:v>
      </x:c>
      <x:c r="AI754" s="32" t="n">
        <x:f>(Z754+tun_ElderCommons*INDEX(LM_Elder,G754)*AA754)*AH754</x:f>
        <x:v>213556.4713063632</x:v>
      </x:c>
      <x:c r="AJ754" s="32" t="n">
        <x:f>H754*tun_CommonsCoef*AI754^tun_CommonsExp*INDEX(LM_Commons,G754)</x:f>
        <x:v>727906.9465617496</x:v>
      </x:c>
      <x:c r="AK754" s="32" t="n">
        <x:f>H754*tun_RoleScale*Arch_Roles*(AE754*(INDEX(tun_ElderRolePerSett,G754)*tun_OutElder*INDEX(LM_Elder,G754)+INDEX(tun_ShamanPerSett,G754)*tun_OutShaman)+Z754*(INDEX(tun_PriestShare,G754)*tun_OutPriest+INDEX(tun_ScribeShare,G754)*tun_OutScribe*INDEX(LM_Scribe,G754)+INDEX(tun_ScholarShare,G754)*tun_OutScholar*INDEX(LM_Scholar,G754)+INDEX(tun_ResearcherShare,G754)*tun_OutResearcher*INDEX(LM_Researcher,G754)))</x:f>
        <x:v>190136.38933248734</x:v>
      </x:c>
      <x:c r="AL754" s="32" t="n">
        <x:f>H754*tun_RoleScale*Arch_Roles*AE754*INDEX(tun_MonasteryPerSett,G754)*tun_OutMonastery*INDEX(LM_Monastery,G754)</x:f>
        <x:v>15.840000000000002</x:v>
      </x:c>
      <x:c r="AM754" s="32" t="n">
        <x:f>(AJ754+AK754+AL754)/4*INDEX(LM_All,G754)*INDEX(tun_Boon,G754)*Arch_Insight</x:f>
        <x:v>795013.9271144466</x:v>
      </x:c>
      <x:c r="AN754" s="32" t="n">
        <x:f>H754*(tun_KHPerAdult*Z754+tun_KHOfCommons*AJ754/4*INDEX(LM_All,G754))*tun_KHUsable*Arch_KH</x:f>
        <x:v>123660.56340506123</x:v>
      </x:c>
      <x:c r="AO754" s="32" t="n">
        <x:f>MIN(AP753+AN754,AM754*tun_KHMaxRatio)</x:f>
        <x:v>123660.56340506123</x:v>
      </x:c>
      <x:c r="AP754" s="32" t="n">
        <x:f>AP753+AN754-AO754</x:f>
        <x:v>0</x:v>
      </x:c>
      <x:c r="AQ754" s="32" t="n">
        <x:f>AM754+AO754</x:f>
        <x:v>918674.4905195079</x:v>
      </x:c>
      <x:c r="AR754" s="10" t="n">
        <x:f>IF(H754=1,INDEX(tun_Req,G754),0)</x:f>
        <x:v>125406521.7009086</x:v>
      </x:c>
      <x:c r="AS754" s="32" t="n">
        <x:f>IF(H754=1,IF(E754=1,AS753-AR753,AS753)+AQ754,0)</x:f>
        <x:v>96578923.29750296</x:v>
      </x:c>
      <x:c r="AT754" s="11" t="n">
        <x:f>IF(AR754&gt;0,MIN(1,AS754/AR754),1)</x:f>
        <x:v>0.7701268003257539</x:v>
      </x:c>
      <x:c r="AU754" s="10" t="n">
        <x:f>AB754/INDEX(tun_RepScale,G754)</x:f>
        <x:v>257.11569572020903</x:v>
      </x:c>
      <x:c r="AV754" s="32" t="n">
        <x:f>AM754*60/tun_SeasonSeconds</x:f>
        <x:v>3180055.708457787</x:v>
      </x:c>
    </x:row>
    <x:row r="755">
      <x:c r="A755" s="8" t="n">
        <x:f>A754+1</x:f>
        <x:v>752</x:v>
      </x:c>
      <x:c r="B755" s="9" t="n">
        <x:f>A755*tun_SeasonSeconds/60</x:f>
        <x:v>188</x:v>
      </x:c>
      <x:c r="C755" s="9" t="n">
        <x:f>A755/4</x:f>
        <x:v>188</x:v>
      </x:c>
      <x:c r="D755" s="8" t="n">
        <x:f>IF(MOD(A755,4)=0,1,0)</x:f>
        <x:v>1</x:v>
      </x:c>
      <x:c r="E755" s="8" t="n">
        <x:f>IF(AND(F754&lt;=9,AS754&gt;=AR754),1,0)</x:f>
        <x:v>0</x:v>
      </x:c>
      <x:c r="F755" s="8" t="n">
        <x:f>MIN(10,F754+E755)</x:f>
        <x:v>9</x:v>
      </x:c>
      <x:c r="G755" s="8" t="n">
        <x:f>MIN(F755,9)+1</x:f>
        <x:v>10</x:v>
      </x:c>
      <x:c r="H755" s="8" t="n">
        <x:f>IF(F755&lt;=9,1,0)</x:f>
        <x:v>1</x:v>
      </x:c>
      <x:c r="I755" s="9" t="n">
        <x:f>MIN(10,F754+IF(AR754&gt;0,MIN(1,AS754/AR754),1))</x:f>
        <x:v>9.770126800325754</x:v>
      </x:c>
      <x:c r="J755" s="32" t="n">
        <x:f>INDEX(tun_FoodCap,G755)*Arch_FoodCap*EXP(tun_CapsByProject*SUMPRODUCT((Cap_Point&lt;=I755)*(Cap_Kind="Food")*Cap_Ln))</x:f>
        <x:v>18627.260449441455</x:v>
      </x:c>
      <x:c r="K755" s="32" t="n">
        <x:f>J755*MIN(1,tun_LeanBase*EXP(tun_CapsByProject*SUMPRODUCT((Cap_Point&lt;=I755)*(Cap_Kind="Lean")*Cap_Ln)))</x:f>
        <x:v>18627.260449441455</x:v>
      </x:c>
      <x:c r="L755" s="10" t="n">
        <x:f>INDEX(tun_HousingCap,G755)*EXP(tun_CapsByProject*SUMPRODUCT((Cap_Point&lt;=I755)*(Cap_Kind="Housing")*Cap_Ln))</x:f>
        <x:v>20528.974303173167</x:v>
      </x:c>
      <x:c r="M755" s="10" t="n">
        <x:f>INDEX(tun_GroupCap,G755)*tun_CohesionFactor*EXP(tun_CapsByProject*SUMPRODUCT((Cap_Point&lt;=I755)*(Cap_Kind="Group")*Cap_Ln))</x:f>
        <x:v>1000000.000000001</x:v>
      </x:c>
      <x:c r="N755" s="32" t="n">
        <x:f>MIN(J755,L755,M755)</x:f>
        <x:v>18627.260449441455</x:v>
      </x:c>
      <x:c r="O755" s="10" t="n">
        <x:f>AE754*N755</x:f>
        <x:v>167645.34404497308</x:v>
      </x:c>
      <x:c r="P755" s="9" t="n">
        <x:f>MIN(1,(AB754/(AE754*IF(tun_GroupInCrowding=1,N755,MIN(J755,L755))))^tun_CrowdingExp)</x:f>
        <x:v>0.20334925336878332</x:v>
      </x:c>
      <x:c r="Q755" s="9" t="n">
        <x:f>IF(D755=1,INDEX(tun_WinterMult,G755),1)</x:f>
        <x:v>1.05</x:v>
      </x:c>
      <x:c r="R755" s="9" t="n">
        <x:f>H755*Z754*tun_WomenShare*tun_BaseFertility*INDEX(tun_FertMult,G755)*Arch_Fertility*(1-P755)</x:f>
        <x:v>955.5739386874883</x:v>
      </x:c>
      <x:c r="S755" s="9" t="n">
        <x:f>H755*Y754*INDEX(tun_MortChild,G755)/4*Q755</x:f>
        <x:v>8.254697979147977</x:v>
      </x:c>
      <x:c r="T755" s="9" t="n">
        <x:f>H755*Z754*INDEX(tun_MortAdult,G755)*Arch_AdultMort/4*Q755</x:f>
        <x:v>20.7603893901938</x:v>
      </x:c>
      <x:c r="U755" s="9" t="n">
        <x:f>H755*AA754*INDEX(tun_MortElder,G755)/4*Q755</x:f>
        <x:v>289.825798310563</x:v>
      </x:c>
      <x:c r="V755" s="9" t="n">
        <x:f>H755*MAX(0,AB754-O755)*tun_OvercapLoss</x:f>
        <x:v>0</x:v>
      </x:c>
      <x:c r="W755" s="9" t="n">
        <x:f>H755*Y754/(tun_ChildYears*4)</x:f>
        <x:v>623.937866904609</x:v>
      </x:c>
      <x:c r="X755" s="9" t="n">
        <x:f>H755*Z754/(tun_AdultYears*4)</x:f>
        <x:v>425.19998751036974</x:v>
      </x:c>
      <x:c r="Y755" s="32" t="n">
        <x:f>Y754+R755-S755-W755-Y754*V755/AB754</x:f>
        <x:v>35263.90192046183</x:v>
      </x:c>
      <x:c r="Z755" s="32" t="n">
        <x:f>Z754+W755-X755-T755-Z754*V755/AB754</x:f>
        <x:v>52902.77594128989</x:v>
      </x:c>
      <x:c r="AA755" s="32" t="n">
        <x:f>AA754+X755-U755-AA754*V755/AB754</x:f>
        <x:v>41027.90305136037</x:v>
      </x:c>
      <x:c r="AB755" s="10" t="n">
        <x:f>Y755+Z755+AA755</x:f>
        <x:v>129194.58091311209</x:v>
      </x:c>
      <x:c r="AC755" s="8" t="n">
        <x:f>IF(AND(tun_WinterTrigger=1,D755=1,AB754/AE754&gt;=K755),1,0)</x:f>
        <x:v>0</x:v>
      </x:c>
      <x:c r="AD755" s="8" t="n">
        <x:f>H755*IF(AND(OR(AB754/AE754&gt;=tun_FissionTrigger*N755,AC755=1),AB754/AE754*tun_DaughterShare&gt;=tun_MinDaughter),MAX(1,ROUND(AE754*tun_FissionRate,0)),0)</x:f>
        <x:v>0</x:v>
      </x:c>
      <x:c r="AE755" s="8" t="n">
        <x:f>IF(H755=1,MAX(1,MIN(INDEX(tun_Smax,G755),AE754+AD755)),AE754)</x:f>
        <x:v>9</x:v>
      </x:c>
      <x:c r="AF755" s="8" t="n">
        <x:f>MAX(0,AE755-AE754)</x:f>
        <x:v>0</x:v>
      </x:c>
      <x:c r="AG755" s="9" t="str">
        <x:f>IF(AF755&gt;0,B755,"")</x:f>
      </x:c>
      <x:c r="AH755" s="9" t="n">
        <x:f>IF(F755&gt;=1,1,(1+tun_LowTiesShare*(AE755-1))/AE755)</x:f>
        <x:v>1</x:v>
      </x:c>
      <x:c r="AI755" s="32" t="n">
        <x:f>(Z755+tun_ElderCommons*INDEX(LM_Elder,G755)*AA755)*AH755</x:f>
        <x:v>214266.87997429207</x:v>
      </x:c>
      <x:c r="AJ755" s="32" t="n">
        <x:f>H755*tun_CommonsCoef*AI755^tun_CommonsExp*INDEX(LM_Commons,G755)</x:f>
        <x:v>729964.646652126</x:v>
      </x:c>
      <x:c r="AK755" s="32" t="n">
        <x:f>H755*tun_RoleScale*Arch_Roles*(AE755*(INDEX(tun_ElderRolePerSett,G755)*tun_OutElder*INDEX(LM_Elder,G755)+INDEX(tun_ShamanPerSett,G755)*tun_OutShaman)+Z755*(INDEX(tun_PriestShare,G755)*tun_OutPriest+INDEX(tun_ScribeShare,G755)*tun_OutScribe*INDEX(LM_Scribe,G755)+INDEX(tun_ScholarShare,G755)*tun_OutScholar*INDEX(LM_Scholar,G755)+INDEX(tun_ResearcherShare,G755)*tun_OutResearcher*INDEX(LM_Researcher,G755)))</x:f>
        <x:v>190777.3699918005</x:v>
      </x:c>
      <x:c r="AL755" s="32" t="n">
        <x:f>H755*tun_RoleScale*Arch_Roles*AE755*INDEX(tun_MonasteryPerSett,G755)*tun_OutMonastery*INDEX(LM_Monastery,G755)</x:f>
        <x:v>15.840000000000002</x:v>
      </x:c>
      <x:c r="AM755" s="32" t="n">
        <x:f>(AJ755+AK755+AL755)/4*INDEX(LM_All,G755)*INDEX(tun_Boon,G755)*Arch_Insight</x:f>
        <x:v>797350.9102165969</x:v>
      </x:c>
      <x:c r="AN755" s="32" t="n">
        <x:f>H755*(tun_KHPerAdult*Z755+tun_KHOfCommons*AJ755/4*INDEX(LM_All,G755))*tun_KHUsable*Arch_KH</x:f>
        <x:v>124010.13604438897</x:v>
      </x:c>
      <x:c r="AO755" s="32" t="n">
        <x:f>MIN(AP754+AN755,AM755*tun_KHMaxRatio)</x:f>
        <x:v>124010.13604438897</x:v>
      </x:c>
      <x:c r="AP755" s="32" t="n">
        <x:f>AP754+AN755-AO755</x:f>
        <x:v>0</x:v>
      </x:c>
      <x:c r="AQ755" s="32" t="n">
        <x:f>AM755+AO755</x:f>
        <x:v>921361.0462609859</x:v>
      </x:c>
      <x:c r="AR755" s="10" t="n">
        <x:f>IF(H755=1,INDEX(tun_Req,G755),0)</x:f>
        <x:v>125406521.7009086</x:v>
      </x:c>
      <x:c r="AS755" s="32" t="n">
        <x:f>IF(H755=1,IF(E755=1,AS754-AR754,AS754)+AQ755,0)</x:f>
        <x:v>97500284.34376395</x:v>
      </x:c>
      <x:c r="AT755" s="11" t="n">
        <x:f>IF(AR755&gt;0,MIN(1,AS755/AR755),1)</x:f>
        <x:v>0.77747379499369</x:v>
      </x:c>
      <x:c r="AU755" s="10" t="n">
        <x:f>AB755/INDEX(tun_RepScale,G755)</x:f>
        <x:v>258.3891618262242</x:v>
      </x:c>
      <x:c r="AV755" s="32" t="n">
        <x:f>AM755*60/tun_SeasonSeconds</x:f>
        <x:v>3189403.640866388</x:v>
      </x:c>
    </x:row>
    <x:row r="756">
      <x:c r="A756" s="8" t="n">
        <x:f>A755+1</x:f>
        <x:v>753</x:v>
      </x:c>
      <x:c r="B756" s="9" t="n">
        <x:f>A756*tun_SeasonSeconds/60</x:f>
        <x:v>188.25</x:v>
      </x:c>
      <x:c r="C756" s="9" t="n">
        <x:f>A756/4</x:f>
        <x:v>188.25</x:v>
      </x:c>
      <x:c r="D756" s="8" t="n">
        <x:f>IF(MOD(A756,4)=0,1,0)</x:f>
        <x:v>0</x:v>
      </x:c>
      <x:c r="E756" s="8" t="n">
        <x:f>IF(AND(F755&lt;=9,AS755&gt;=AR755),1,0)</x:f>
        <x:v>0</x:v>
      </x:c>
      <x:c r="F756" s="8" t="n">
        <x:f>MIN(10,F755+E756)</x:f>
        <x:v>9</x:v>
      </x:c>
      <x:c r="G756" s="8" t="n">
        <x:f>MIN(F756,9)+1</x:f>
        <x:v>10</x:v>
      </x:c>
      <x:c r="H756" s="8" t="n">
        <x:f>IF(F756&lt;=9,1,0)</x:f>
        <x:v>1</x:v>
      </x:c>
      <x:c r="I756" s="9" t="n">
        <x:f>MIN(10,F755+IF(AR755&gt;0,MIN(1,AS755/AR755),1))</x:f>
        <x:v>9.77747379499369</x:v>
      </x:c>
      <x:c r="J756" s="32" t="n">
        <x:f>INDEX(tun_FoodCap,G756)*Arch_FoodCap*EXP(tun_CapsByProject*SUMPRODUCT((Cap_Point&lt;=I756)*(Cap_Kind="Food")*Cap_Ln))</x:f>
        <x:v>18627.260449441455</x:v>
      </x:c>
      <x:c r="K756" s="32" t="n">
        <x:f>J756*MIN(1,tun_LeanBase*EXP(tun_CapsByProject*SUMPRODUCT((Cap_Point&lt;=I756)*(Cap_Kind="Lean")*Cap_Ln)))</x:f>
        <x:v>18627.260449441455</x:v>
      </x:c>
      <x:c r="L756" s="10" t="n">
        <x:f>INDEX(tun_HousingCap,G756)*EXP(tun_CapsByProject*SUMPRODUCT((Cap_Point&lt;=I756)*(Cap_Kind="Housing")*Cap_Ln))</x:f>
        <x:v>20528.974303173167</x:v>
      </x:c>
      <x:c r="M756" s="10" t="n">
        <x:f>INDEX(tun_GroupCap,G756)*tun_CohesionFactor*EXP(tun_CapsByProject*SUMPRODUCT((Cap_Point&lt;=I756)*(Cap_Kind="Group")*Cap_Ln))</x:f>
        <x:v>1000000.000000001</x:v>
      </x:c>
      <x:c r="N756" s="32" t="n">
        <x:f>MIN(J756,L756,M756)</x:f>
        <x:v>18627.260449441455</x:v>
      </x:c>
      <x:c r="O756" s="10" t="n">
        <x:f>AE755*N756</x:f>
        <x:v>167645.34404497308</x:v>
      </x:c>
      <x:c r="P756" s="9" t="n">
        <x:f>MIN(1,(AB755/(AE755*IF(tun_GroupInCrowding=1,N756,MIN(J756,L756))))^tun_CrowdingExp)</x:f>
        <x:v>0.2094675757114737</x:v>
      </x:c>
      <x:c r="Q756" s="9" t="n">
        <x:f>IF(D756=1,INDEX(tun_WinterMult,G756),1)</x:f>
        <x:v>1</x:v>
      </x:c>
      <x:c r="R756" s="9" t="n">
        <x:f>H756*Z755*tun_WomenShare*tun_BaseFertility*INDEX(tun_FertMult,G756)*Arch_Fertility*(1-P756)</x:f>
        <x:v>951.4359335494792</x:v>
      </x:c>
      <x:c r="S756" s="9" t="n">
        <x:f>H756*Y755*INDEX(tun_MortChild,G756)/4*Q756</x:f>
        <x:v>7.934377932103912</x:v>
      </x:c>
      <x:c r="T756" s="9" t="n">
        <x:f>H756*Z755*INDEX(tun_MortAdult,G756)*Arch_AdultMort/4*Q756</x:f>
        <x:v>19.83854097798371</x:v>
      </x:c>
      <x:c r="U756" s="9" t="n">
        <x:f>H756*AA755*INDEX(tun_MortElder,G756)/4*Q756</x:f>
        <x:v>276.9383455966825</x:v>
      </x:c>
      <x:c r="V756" s="9" t="n">
        <x:f>H756*MAX(0,AB755-O756)*tun_OvercapLoss</x:f>
        <x:v>0</x:v>
      </x:c>
      <x:c r="W756" s="9" t="n">
        <x:f>H756*Y755/(tun_ChildYears*4)</x:f>
        <x:v>629.7125342939613</x:v>
      </x:c>
      <x:c r="X756" s="9" t="n">
        <x:f>H756*Z755/(tun_AdultYears*4)</x:f>
        <x:v>426.635289849112</x:v>
      </x:c>
      <x:c r="Y756" s="32" t="n">
        <x:f>Y755+R756-S756-W756-Y755*V756/AB755</x:f>
        <x:v>35577.690941785244</x:v>
      </x:c>
      <x:c r="Z756" s="32" t="n">
        <x:f>Z755+W756-X756-T756-Z755*V756/AB755</x:f>
        <x:v>53086.01464475676</x:v>
      </x:c>
      <x:c r="AA756" s="32" t="n">
        <x:f>AA755+X756-U756-AA755*V756/AB755</x:f>
        <x:v>41177.5999956128</x:v>
      </x:c>
      <x:c r="AB756" s="10" t="n">
        <x:f>Y756+Z756+AA756</x:f>
        <x:v>129841.3055821548</x:v>
      </x:c>
      <x:c r="AC756" s="8" t="n">
        <x:f>IF(AND(tun_WinterTrigger=1,D756=1,AB755/AE755&gt;=K756),1,0)</x:f>
        <x:v>0</x:v>
      </x:c>
      <x:c r="AD756" s="8" t="n">
        <x:f>H756*IF(AND(OR(AB755/AE755&gt;=tun_FissionTrigger*N756,AC756=1),AB755/AE755*tun_DaughterShare&gt;=tun_MinDaughter),MAX(1,ROUND(AE755*tun_FissionRate,0)),0)</x:f>
        <x:v>0</x:v>
      </x:c>
      <x:c r="AE756" s="8" t="n">
        <x:f>IF(H756=1,MAX(1,MIN(INDEX(tun_Smax,G756),AE755+AD756)),AE755)</x:f>
        <x:v>9</x:v>
      </x:c>
      <x:c r="AF756" s="8" t="n">
        <x:f>MAX(0,AE756-AE755)</x:f>
        <x:v>0</x:v>
      </x:c>
      <x:c r="AG756" s="9" t="str">
        <x:f>IF(AF756&gt;0,B756,"")</x:f>
      </x:c>
      <x:c r="AH756" s="9" t="n">
        <x:f>IF(F756&gt;=1,1,(1+tun_LowTiesShare*(AE756-1))/AE756)</x:f>
        <x:v>1</x:v>
      </x:c>
      <x:c r="AI756" s="32" t="n">
        <x:f>(Z756+tun_ElderCommons*INDEX(LM_Elder,G756)*AA756)*AH756</x:f>
        <x:v>215038.88172654388</x:v>
      </x:c>
      <x:c r="AJ756" s="32" t="n">
        <x:f>H756*tun_CommonsCoef*AI756^tun_CommonsExp*INDEX(LM_Commons,G756)</x:f>
        <x:v>732199.5913543458</x:v>
      </x:c>
      <x:c r="AK756" s="32" t="n">
        <x:f>H756*tun_RoleScale*Arch_Roles*(AE756*(INDEX(tun_ElderRolePerSett,G756)*tun_OutElder*INDEX(LM_Elder,G756)+INDEX(tun_ShamanPerSett,G756)*tun_OutShaman)+Z756*(INDEX(tun_PriestShare,G756)*tun_OutPriest+INDEX(tun_ScribeShare,G756)*tun_OutScribe*INDEX(LM_Scribe,G756)+INDEX(tun_ScholarShare,G756)*tun_OutScholar*INDEX(LM_Scholar,G756)+INDEX(tun_ResearcherShare,G756)*tun_OutResearcher*INDEX(LM_Researcher,G756)))</x:f>
        <x:v>191437.29875558525</x:v>
      </x:c>
      <x:c r="AL756" s="32" t="n">
        <x:f>H756*tun_RoleScale*Arch_Roles*AE756*INDEX(tun_MonasteryPerSett,G756)*tun_OutMonastery*INDEX(LM_Monastery,G756)</x:f>
        <x:v>15.840000000000002</x:v>
      </x:c>
      <x:c r="AM756" s="32" t="n">
        <x:f>(AJ756+AK756+AL756)/4*INDEX(LM_All,G756)*INDEX(tun_Boon,G756)*Arch_Insight</x:f>
        <x:v>799857.790800265</x:v>
      </x:c>
      <x:c r="AN756" s="32" t="n">
        <x:f>H756*(tun_KHPerAdult*Z756+tun_KHOfCommons*AJ756/4*INDEX(LM_All,G756))*tun_KHUsable*Arch_KH</x:f>
        <x:v>124389.8199069501</x:v>
      </x:c>
      <x:c r="AO756" s="32" t="n">
        <x:f>MIN(AP755+AN756,AM756*tun_KHMaxRatio)</x:f>
        <x:v>124389.8199069501</x:v>
      </x:c>
      <x:c r="AP756" s="32" t="n">
        <x:f>AP755+AN756-AO756</x:f>
        <x:v>0</x:v>
      </x:c>
      <x:c r="AQ756" s="32" t="n">
        <x:f>AM756+AO756</x:f>
        <x:v>924247.6107072151</x:v>
      </x:c>
      <x:c r="AR756" s="10" t="n">
        <x:f>IF(H756=1,INDEX(tun_Req,G756),0)</x:f>
        <x:v>125406521.7009086</x:v>
      </x:c>
      <x:c r="AS756" s="32" t="n">
        <x:f>IF(H756=1,IF(E756=1,AS755-AR755,AS755)+AQ756,0)</x:f>
        <x:v>98424531.95447116</x:v>
      </x:c>
      <x:c r="AT756" s="11" t="n">
        <x:f>IF(AR756&gt;0,MIN(1,AS756/AR756),1)</x:f>
        <x:v>0.7848438073197755</x:v>
      </x:c>
      <x:c r="AU756" s="10" t="n">
        <x:f>AB756/INDEX(tun_RepScale,G756)</x:f>
        <x:v>259.6826111643096</x:v>
      </x:c>
      <x:c r="AV756" s="32" t="n">
        <x:f>AM756*60/tun_SeasonSeconds</x:f>
        <x:v>3199431.1632010597</x:v>
      </x:c>
    </x:row>
    <x:row r="757">
      <x:c r="A757" s="8" t="n">
        <x:f>A756+1</x:f>
        <x:v>754</x:v>
      </x:c>
      <x:c r="B757" s="9" t="n">
        <x:f>A757*tun_SeasonSeconds/60</x:f>
        <x:v>188.5</x:v>
      </x:c>
      <x:c r="C757" s="9" t="n">
        <x:f>A757/4</x:f>
        <x:v>188.5</x:v>
      </x:c>
      <x:c r="D757" s="8" t="n">
        <x:f>IF(MOD(A757,4)=0,1,0)</x:f>
        <x:v>0</x:v>
      </x:c>
      <x:c r="E757" s="8" t="n">
        <x:f>IF(AND(F756&lt;=9,AS756&gt;=AR756),1,0)</x:f>
        <x:v>0</x:v>
      </x:c>
      <x:c r="F757" s="8" t="n">
        <x:f>MIN(10,F756+E757)</x:f>
        <x:v>9</x:v>
      </x:c>
      <x:c r="G757" s="8" t="n">
        <x:f>MIN(F757,9)+1</x:f>
        <x:v>10</x:v>
      </x:c>
      <x:c r="H757" s="8" t="n">
        <x:f>IF(F757&lt;=9,1,0)</x:f>
        <x:v>1</x:v>
      </x:c>
      <x:c r="I757" s="9" t="n">
        <x:f>MIN(10,F756+IF(AR756&gt;0,MIN(1,AS756/AR756),1))</x:f>
        <x:v>9.784843807319776</x:v>
      </x:c>
      <x:c r="J757" s="32" t="n">
        <x:f>INDEX(tun_FoodCap,G757)*Arch_FoodCap*EXP(tun_CapsByProject*SUMPRODUCT((Cap_Point&lt;=I757)*(Cap_Kind="Food")*Cap_Ln))</x:f>
        <x:v>18627.260449441455</x:v>
      </x:c>
      <x:c r="K757" s="32" t="n">
        <x:f>J757*MIN(1,tun_LeanBase*EXP(tun_CapsByProject*SUMPRODUCT((Cap_Point&lt;=I757)*(Cap_Kind="Lean")*Cap_Ln)))</x:f>
        <x:v>18627.260449441455</x:v>
      </x:c>
      <x:c r="L757" s="10" t="n">
        <x:f>INDEX(tun_HousingCap,G757)*EXP(tun_CapsByProject*SUMPRODUCT((Cap_Point&lt;=I757)*(Cap_Kind="Housing")*Cap_Ln))</x:f>
        <x:v>20528.974303173167</x:v>
      </x:c>
      <x:c r="M757" s="10" t="n">
        <x:f>INDEX(tun_GroupCap,G757)*tun_CohesionFactor*EXP(tun_CapsByProject*SUMPRODUCT((Cap_Point&lt;=I757)*(Cap_Kind="Group")*Cap_Ln))</x:f>
        <x:v>1000000.000000001</x:v>
      </x:c>
      <x:c r="N757" s="32" t="n">
        <x:f>MIN(J757,L757,M757)</x:f>
        <x:v>18627.260449441455</x:v>
      </x:c>
      <x:c r="O757" s="10" t="n">
        <x:f>AE756*N757</x:f>
        <x:v>167645.34404497308</x:v>
      </x:c>
      <x:c r="P757" s="9" t="n">
        <x:f>MIN(1,(AB756/(AE756*IF(tun_GroupInCrowding=1,N757,MIN(J757,L757))))^tun_CrowdingExp)</x:f>
        <x:v>0.215838176903686</x:v>
      </x:c>
      <x:c r="Q757" s="9" t="n">
        <x:f>IF(D757=1,INDEX(tun_WinterMult,G757),1)</x:f>
        <x:v>1</x:v>
      </x:c>
      <x:c r="R757" s="9" t="n">
        <x:f>H757*Z756*tun_WomenShare*tun_BaseFertility*INDEX(tun_FertMult,G757)*Arch_Fertility*(1-P757)</x:f>
        <x:v>947.0375920630644</x:v>
      </x:c>
      <x:c r="S757" s="9" t="n">
        <x:f>H757*Y756*INDEX(tun_MortChild,G757)/4*Q757</x:f>
        <x:v>8.00498046190168</x:v>
      </x:c>
      <x:c r="T757" s="9" t="n">
        <x:f>H757*Z756*INDEX(tun_MortAdult,G757)*Arch_AdultMort/4*Q757</x:f>
        <x:v>19.907255491783786</x:v>
      </x:c>
      <x:c r="U757" s="9" t="n">
        <x:f>H757*AA756*INDEX(tun_MortElder,G757)/4*Q757</x:f>
        <x:v>277.9487999703864</x:v>
      </x:c>
      <x:c r="V757" s="9" t="n">
        <x:f>H757*MAX(0,AB756-O757)*tun_OvercapLoss</x:f>
        <x:v>0</x:v>
      </x:c>
      <x:c r="W757" s="9" t="n">
        <x:f>H757*Y756/(tun_ChildYears*4)</x:f>
        <x:v>635.3159096747365</x:v>
      </x:c>
      <x:c r="X757" s="9" t="n">
        <x:f>H757*Z756/(tun_AdultYears*4)</x:f>
        <x:v>428.11302132868354</x:v>
      </x:c>
      <x:c r="Y757" s="32" t="n">
        <x:f>Y756+R757-S757-W757-Y756*V757/AB756</x:f>
        <x:v>35881.40764371167</x:v>
      </x:c>
      <x:c r="Z757" s="32" t="n">
        <x:f>Z756+W757-X757-T757-Z756*V757/AB756</x:f>
        <x:v>53273.31027761103</x:v>
      </x:c>
      <x:c r="AA757" s="32" t="n">
        <x:f>AA756+X757-U757-AA756*V757/AB756</x:f>
        <x:v>41327.764216971096</x:v>
      </x:c>
      <x:c r="AB757" s="10" t="n">
        <x:f>Y757+Z757+AA757</x:f>
        <x:v>130482.4821382938</x:v>
      </x:c>
      <x:c r="AC757" s="8" t="n">
        <x:f>IF(AND(tun_WinterTrigger=1,D757=1,AB756/AE756&gt;=K757),1,0)</x:f>
        <x:v>0</x:v>
      </x:c>
      <x:c r="AD757" s="8" t="n">
        <x:f>H757*IF(AND(OR(AB756/AE756&gt;=tun_FissionTrigger*N757,AC757=1),AB756/AE756*tun_DaughterShare&gt;=tun_MinDaughter),MAX(1,ROUND(AE756*tun_FissionRate,0)),0)</x:f>
        <x:v>0</x:v>
      </x:c>
      <x:c r="AE757" s="8" t="n">
        <x:f>IF(H757=1,MAX(1,MIN(INDEX(tun_Smax,G757),AE756+AD757)),AE756)</x:f>
        <x:v>9</x:v>
      </x:c>
      <x:c r="AF757" s="8" t="n">
        <x:f>MAX(0,AE757-AE756)</x:f>
        <x:v>0</x:v>
      </x:c>
      <x:c r="AG757" s="9" t="str">
        <x:f>IF(AF757&gt;0,B757,"")</x:f>
      </x:c>
      <x:c r="AH757" s="9" t="n">
        <x:f>IF(F757&gt;=1,1,(1+tun_LowTiesShare*(AE757-1))/AE757)</x:f>
        <x:v>1</x:v>
      </x:c>
      <x:c r="AI757" s="32" t="n">
        <x:f>(Z757+tun_ElderCommons*INDEX(LM_Elder,G757)*AA757)*AH757</x:f>
        <x:v>215816.778224545</x:v>
      </x:c>
      <x:c r="AJ757" s="32" t="n">
        <x:f>H757*tun_CommonsCoef*AI757^tun_CommonsExp*INDEX(LM_Commons,G757)</x:f>
        <x:v>734450.3843238768</x:v>
      </x:c>
      <x:c r="AK757" s="32" t="n">
        <x:f>H757*tun_RoleScale*Arch_Roles*(AE757*(INDEX(tun_ElderRolePerSett,G757)*tun_OutElder*INDEX(LM_Elder,G757)+INDEX(tun_ShamanPerSett,G757)*tun_OutShaman)+Z757*(INDEX(tun_PriestShare,G757)*tun_OutPriest+INDEX(tun_ScribeShare,G757)*tun_OutScribe*INDEX(LM_Scribe,G757)+INDEX(tun_ScholarShare,G757)*tun_OutScholar*INDEX(LM_Scholar,G757)+INDEX(tun_ResearcherShare,G757)*tun_OutResearcher*INDEX(LM_Researcher,G757)))</x:f>
        <x:v>192111.83843040973</x:v>
      </x:c>
      <x:c r="AL757" s="32" t="n">
        <x:f>H757*tun_RoleScale*Arch_Roles*AE757*INDEX(tun_MonasteryPerSett,G757)*tun_OutMonastery*INDEX(LM_Monastery,G757)</x:f>
        <x:v>15.840000000000002</x:v>
      </x:c>
      <x:c r="AM757" s="32" t="n">
        <x:f>(AJ757+AK757+AL757)/4*INDEX(LM_All,G757)*INDEX(tun_Boon,G757)*Arch_Insight</x:f>
        <x:v>802391.0481923496</x:v>
      </x:c>
      <x:c r="AN757" s="32" t="n">
        <x:f>H757*(tun_KHPerAdult*Z757+tun_KHOfCommons*AJ757/4*INDEX(LM_All,G757))*tun_KHUsable*Arch_KH</x:f>
        <x:v>124772.19615440187</x:v>
      </x:c>
      <x:c r="AO757" s="32" t="n">
        <x:f>MIN(AP756+AN757,AM757*tun_KHMaxRatio)</x:f>
        <x:v>124772.19615440187</x:v>
      </x:c>
      <x:c r="AP757" s="32" t="n">
        <x:f>AP756+AN757-AO757</x:f>
        <x:v>0</x:v>
      </x:c>
      <x:c r="AQ757" s="32" t="n">
        <x:f>AM757+AO757</x:f>
        <x:v>927163.2443467515</x:v>
      </x:c>
      <x:c r="AR757" s="10" t="n">
        <x:f>IF(H757=1,INDEX(tun_Req,G757),0)</x:f>
        <x:v>125406521.7009086</x:v>
      </x:c>
      <x:c r="AS757" s="32" t="n">
        <x:f>IF(H757=1,IF(E757=1,AS756-AR756,AS756)+AQ757,0)</x:f>
        <x:v>99351695.19881791</x:v>
      </x:c>
      <x:c r="AT757" s="11" t="n">
        <x:f>IF(AR757&gt;0,MIN(1,AS757/AR757),1)</x:f>
        <x:v>0.7922370691037042</x:v>
      </x:c>
      <x:c r="AU757" s="10" t="n">
        <x:f>AB757/INDEX(tun_RepScale,G757)</x:f>
        <x:v>260.9649642765876</x:v>
      </x:c>
      <x:c r="AV757" s="32" t="n">
        <x:f>AM757*60/tun_SeasonSeconds</x:f>
        <x:v>3209564.1927693984</x:v>
      </x:c>
    </x:row>
    <x:row r="758">
      <x:c r="A758" s="8" t="n">
        <x:f>A757+1</x:f>
        <x:v>755</x:v>
      </x:c>
      <x:c r="B758" s="9" t="n">
        <x:f>A758*tun_SeasonSeconds/60</x:f>
        <x:v>188.75</x:v>
      </x:c>
      <x:c r="C758" s="9" t="n">
        <x:f>A758/4</x:f>
        <x:v>188.75</x:v>
      </x:c>
      <x:c r="D758" s="8" t="n">
        <x:f>IF(MOD(A758,4)=0,1,0)</x:f>
        <x:v>0</x:v>
      </x:c>
      <x:c r="E758" s="8" t="n">
        <x:f>IF(AND(F757&lt;=9,AS757&gt;=AR757),1,0)</x:f>
        <x:v>0</x:v>
      </x:c>
      <x:c r="F758" s="8" t="n">
        <x:f>MIN(10,F757+E758)</x:f>
        <x:v>9</x:v>
      </x:c>
      <x:c r="G758" s="8" t="n">
        <x:f>MIN(F758,9)+1</x:f>
        <x:v>10</x:v>
      </x:c>
      <x:c r="H758" s="8" t="n">
        <x:f>IF(F758&lt;=9,1,0)</x:f>
        <x:v>1</x:v>
      </x:c>
      <x:c r="I758" s="9" t="n">
        <x:f>MIN(10,F757+IF(AR757&gt;0,MIN(1,AS757/AR757),1))</x:f>
        <x:v>9.792237069103704</x:v>
      </x:c>
      <x:c r="J758" s="32" t="n">
        <x:f>INDEX(tun_FoodCap,G758)*Arch_FoodCap*EXP(tun_CapsByProject*SUMPRODUCT((Cap_Point&lt;=I758)*(Cap_Kind="Food")*Cap_Ln))</x:f>
        <x:v>18627.260449441455</x:v>
      </x:c>
      <x:c r="K758" s="32" t="n">
        <x:f>J758*MIN(1,tun_LeanBase*EXP(tun_CapsByProject*SUMPRODUCT((Cap_Point&lt;=I758)*(Cap_Kind="Lean")*Cap_Ln)))</x:f>
        <x:v>18627.260449441455</x:v>
      </x:c>
      <x:c r="L758" s="10" t="n">
        <x:f>INDEX(tun_HousingCap,G758)*EXP(tun_CapsByProject*SUMPRODUCT((Cap_Point&lt;=I758)*(Cap_Kind="Housing")*Cap_Ln))</x:f>
        <x:v>20528.974303173167</x:v>
      </x:c>
      <x:c r="M758" s="10" t="n">
        <x:f>INDEX(tun_GroupCap,G758)*tun_CohesionFactor*EXP(tun_CapsByProject*SUMPRODUCT((Cap_Point&lt;=I758)*(Cap_Kind="Group")*Cap_Ln))</x:f>
        <x:v>1000000.000000001</x:v>
      </x:c>
      <x:c r="N758" s="32" t="n">
        <x:f>MIN(J758,L758,M758)</x:f>
        <x:v>18627.260449441455</x:v>
      </x:c>
      <x:c r="O758" s="10" t="n">
        <x:f>AE757*N758</x:f>
        <x:v>167645.34404497308</x:v>
      </x:c>
      <x:c r="P758" s="9" t="n">
        <x:f>MIN(1,(AB757/(AE757*IF(tun_GroupInCrowding=1,N758,MIN(J758,L758))))^tun_CrowdingExp)</x:f>
        <x:v>0.22231270296135489</x:v>
      </x:c>
      <x:c r="Q758" s="9" t="n">
        <x:f>IF(D758=1,INDEX(tun_WinterMult,G758),1)</x:f>
        <x:v>1</x:v>
      </x:c>
      <x:c r="R758" s="9" t="n">
        <x:f>H758*Z757*tun_WomenShare*tun_BaseFertility*INDEX(tun_FertMult,G758)*Arch_Fertility*(1-P758)</x:f>
        <x:v>942.531969335693</x:v>
      </x:c>
      <x:c r="S758" s="9" t="n">
        <x:f>H758*Y757*INDEX(tun_MortChild,G758)/4*Q758</x:f>
        <x:v>8.073316719835125</x:v>
      </x:c>
      <x:c r="T758" s="9" t="n">
        <x:f>H758*Z757*INDEX(tun_MortAdult,G758)*Arch_AdultMort/4*Q758</x:f>
        <x:v>19.97749135410414</x:v>
      </x:c>
      <x:c r="U758" s="9" t="n">
        <x:f>H758*AA757*INDEX(tun_MortElder,G758)/4*Q758</x:f>
        <x:v>278.96240846455487</x:v>
      </x:c>
      <x:c r="V758" s="9" t="n">
        <x:f>H758*MAX(0,AB757-O758)*tun_OvercapLoss</x:f>
        <x:v>0</x:v>
      </x:c>
      <x:c r="W758" s="9" t="n">
        <x:f>H758*Y757/(tun_ChildYears*4)</x:f>
        <x:v>640.7394222091369</x:v>
      </x:c>
      <x:c r="X758" s="9" t="n">
        <x:f>H758*Z757/(tun_AdultYears*4)</x:f>
        <x:v>429.6234699807341</x:v>
      </x:c>
      <x:c r="Y758" s="32" t="n">
        <x:f>Y757+R758-S758-W758-Y757*V758/AB757</x:f>
        <x:v>36175.12687411839</x:v>
      </x:c>
      <x:c r="Z758" s="32" t="n">
        <x:f>Z757+W758-X758-T758-Z757*V758/AB757</x:f>
        <x:v>53464.448738485335</x:v>
      </x:c>
      <x:c r="AA758" s="32" t="n">
        <x:f>AA757+X758-U758-AA757*V758/AB757</x:f>
        <x:v>41478.42527848727</x:v>
      </x:c>
      <x:c r="AB758" s="10" t="n">
        <x:f>Y758+Z758+AA758</x:f>
        <x:v>131118.00089109098</x:v>
      </x:c>
      <x:c r="AC758" s="8" t="n">
        <x:f>IF(AND(tun_WinterTrigger=1,D758=1,AB757/AE757&gt;=K758),1,0)</x:f>
        <x:v>0</x:v>
      </x:c>
      <x:c r="AD758" s="8" t="n">
        <x:f>H758*IF(AND(OR(AB757/AE757&gt;=tun_FissionTrigger*N758,AC758=1),AB757/AE757*tun_DaughterShare&gt;=tun_MinDaughter),MAX(1,ROUND(AE757*tun_FissionRate,0)),0)</x:f>
        <x:v>0</x:v>
      </x:c>
      <x:c r="AE758" s="8" t="n">
        <x:f>IF(H758=1,MAX(1,MIN(INDEX(tun_Smax,G758),AE757+AD758)),AE757)</x:f>
        <x:v>9</x:v>
      </x:c>
      <x:c r="AF758" s="8" t="n">
        <x:f>MAX(0,AE758-AE757)</x:f>
        <x:v>0</x:v>
      </x:c>
      <x:c r="AG758" s="9" t="str">
        <x:f>IF(AF758&gt;0,B758,"")</x:f>
      </x:c>
      <x:c r="AH758" s="9" t="n">
        <x:f>IF(F758&gt;=1,1,(1+tun_LowTiesShare*(AE758-1))/AE758)</x:f>
        <x:v>1</x:v>
      </x:c>
      <x:c r="AI758" s="32" t="n">
        <x:f>(Z758+tun_ElderCommons*INDEX(LM_Elder,G758)*AA758)*AH758</x:f>
        <x:v>216600.4716393926</x:v>
      </x:c>
      <x:c r="AJ758" s="32" t="n">
        <x:f>H758*tun_CommonsCoef*AI758^tun_CommonsExp*INDEX(LM_Commons,G758)</x:f>
        <x:v>736716.7200774618</x:v>
      </x:c>
      <x:c r="AK758" s="32" t="n">
        <x:f>H758*tun_RoleScale*Arch_Roles*(AE758*(INDEX(tun_ElderRolePerSett,G758)*tun_OutElder*INDEX(LM_Elder,G758)+INDEX(tun_ShamanPerSett,G758)*tun_OutShaman)+Z758*(INDEX(tun_PriestShare,G758)*tun_OutPriest+INDEX(tun_ScribeShare,G758)*tun_OutScribe*INDEX(LM_Scribe,G758)+INDEX(tun_ScholarShare,G758)*tun_OutScholar*INDEX(LM_Scholar,G758)+INDEX(tun_ResearcherShare,G758)*tun_OutResearcher*INDEX(LM_Researcher,G758)))</x:f>
        <x:v>192800.2179365401</x:v>
      </x:c>
      <x:c r="AL758" s="32" t="n">
        <x:f>H758*tun_RoleScale*Arch_Roles*AE758*INDEX(tun_MonasteryPerSett,G758)*tun_OutMonastery*INDEX(LM_Monastery,G758)</x:f>
        <x:v>15.840000000000002</x:v>
      </x:c>
      <x:c r="AM758" s="32" t="n">
        <x:f>(AJ758+AK758+AL758)/4*INDEX(LM_All,G758)*INDEX(tun_Boon,G758)*Arch_Insight</x:f>
        <x:v>804949.750118991</x:v>
      </x:c>
      <x:c r="AN758" s="32" t="n">
        <x:f>H758*(tun_KHPerAdult*Z758+tun_KHOfCommons*AJ758/4*INDEX(LM_All,G758))*tun_KHUsable*Arch_KH</x:f>
        <x:v>125157.21288968257</x:v>
      </x:c>
      <x:c r="AO758" s="32" t="n">
        <x:f>MIN(AP757+AN758,AM758*tun_KHMaxRatio)</x:f>
        <x:v>125157.21288968257</x:v>
      </x:c>
      <x:c r="AP758" s="32" t="n">
        <x:f>AP757+AN758-AO758</x:f>
        <x:v>0</x:v>
      </x:c>
      <x:c r="AQ758" s="32" t="n">
        <x:f>AM758+AO758</x:f>
        <x:v>930106.9630086736</x:v>
      </x:c>
      <x:c r="AR758" s="10" t="n">
        <x:f>IF(H758=1,INDEX(tun_Req,G758),0)</x:f>
        <x:v>125406521.7009086</x:v>
      </x:c>
      <x:c r="AS758" s="32" t="n">
        <x:f>IF(H758=1,IF(E758=1,AS757-AR757,AS757)+AQ758,0)</x:f>
        <x:v>100281802.16182658</x:v>
      </x:c>
      <x:c r="AT758" s="11" t="n">
        <x:f>IF(AR758&gt;0,MIN(1,AS758/AR758),1)</x:f>
        <x:v>0.7996538042973248</x:v>
      </x:c>
      <x:c r="AU758" s="10" t="n">
        <x:f>AB758/INDEX(tun_RepScale,G758)</x:f>
        <x:v>262.236001782182</x:v>
      </x:c>
      <x:c r="AV758" s="32" t="n">
        <x:f>AM758*60/tun_SeasonSeconds</x:f>
        <x:v>3219799.000475964</x:v>
      </x:c>
    </x:row>
    <x:row r="759">
      <x:c r="A759" s="8" t="n">
        <x:f>A758+1</x:f>
        <x:v>756</x:v>
      </x:c>
      <x:c r="B759" s="9" t="n">
        <x:f>A759*tun_SeasonSeconds/60</x:f>
        <x:v>189</x:v>
      </x:c>
      <x:c r="C759" s="9" t="n">
        <x:f>A759/4</x:f>
        <x:v>189</x:v>
      </x:c>
      <x:c r="D759" s="8" t="n">
        <x:f>IF(MOD(A759,4)=0,1,0)</x:f>
        <x:v>1</x:v>
      </x:c>
      <x:c r="E759" s="8" t="n">
        <x:f>IF(AND(F758&lt;=9,AS758&gt;=AR758),1,0)</x:f>
        <x:v>0</x:v>
      </x:c>
      <x:c r="F759" s="8" t="n">
        <x:f>MIN(10,F758+E759)</x:f>
        <x:v>9</x:v>
      </x:c>
      <x:c r="G759" s="8" t="n">
        <x:f>MIN(F759,9)+1</x:f>
        <x:v>10</x:v>
      </x:c>
      <x:c r="H759" s="8" t="n">
        <x:f>IF(F759&lt;=9,1,0)</x:f>
        <x:v>1</x:v>
      </x:c>
      <x:c r="I759" s="9" t="n">
        <x:f>MIN(10,F758+IF(AR758&gt;0,MIN(1,AS758/AR758),1))</x:f>
        <x:v>9.799653804297325</x:v>
      </x:c>
      <x:c r="J759" s="32" t="n">
        <x:f>INDEX(tun_FoodCap,G759)*Arch_FoodCap*EXP(tun_CapsByProject*SUMPRODUCT((Cap_Point&lt;=I759)*(Cap_Kind="Food")*Cap_Ln))</x:f>
        <x:v>18627.260449441455</x:v>
      </x:c>
      <x:c r="K759" s="32" t="n">
        <x:f>J759*MIN(1,tun_LeanBase*EXP(tun_CapsByProject*SUMPRODUCT((Cap_Point&lt;=I759)*(Cap_Kind="Lean")*Cap_Ln)))</x:f>
        <x:v>18627.260449441455</x:v>
      </x:c>
      <x:c r="L759" s="10" t="n">
        <x:f>INDEX(tun_HousingCap,G759)*EXP(tun_CapsByProject*SUMPRODUCT((Cap_Point&lt;=I759)*(Cap_Kind="Housing")*Cap_Ln))</x:f>
        <x:v>20528.974303173167</x:v>
      </x:c>
      <x:c r="M759" s="10" t="n">
        <x:f>INDEX(tun_GroupCap,G759)*tun_CohesionFactor*EXP(tun_CapsByProject*SUMPRODUCT((Cap_Point&lt;=I759)*(Cap_Kind="Group")*Cap_Ln))</x:f>
        <x:v>1000000.000000001</x:v>
      </x:c>
      <x:c r="N759" s="32" t="n">
        <x:f>MIN(J759,L759,M759)</x:f>
        <x:v>18627.260449441455</x:v>
      </x:c>
      <x:c r="O759" s="10" t="n">
        <x:f>AE758*N759</x:f>
        <x:v>167645.34404497308</x:v>
      </x:c>
      <x:c r="P759" s="9" t="n">
        <x:f>MIN(1,(AB758/(AE758*IF(tun_GroupInCrowding=1,N759,MIN(J759,L759))))^tun_CrowdingExp)</x:f>
        <x:v>0.22888900747734073</x:v>
      </x:c>
      <x:c r="Q759" s="9" t="n">
        <x:f>IF(D759=1,INDEX(tun_WinterMult,G759),1)</x:f>
        <x:v>1.05</x:v>
      </x:c>
      <x:c r="R759" s="9" t="n">
        <x:f>H759*Z758*tun_WomenShare*tun_BaseFertility*INDEX(tun_FertMult,G759)*Arch_Fertility*(1-P759)</x:f>
        <x:v>937.9147989895835</x:v>
      </x:c>
      <x:c r="S759" s="9" t="n">
        <x:f>H759*Y758*INDEX(tun_MortChild,G759)/4*Q759</x:f>
        <x:v>8.54637372401047</x:v>
      </x:c>
      <x:c r="T759" s="9" t="n">
        <x:f>H759*Z758*INDEX(tun_MortAdult,G759)*Arch_AdultMort/4*Q759</x:f>
        <x:v>21.0516266907786</x:v>
      </x:c>
      <x:c r="U759" s="9" t="n">
        <x:f>H759*AA758*INDEX(tun_MortElder,G759)/4*Q759</x:f>
        <x:v>293.9783391612786</x:v>
      </x:c>
      <x:c r="V759" s="9" t="n">
        <x:f>H759*MAX(0,AB758-O759)*tun_OvercapLoss</x:f>
        <x:v>0</x:v>
      </x:c>
      <x:c r="W759" s="9" t="n">
        <x:f>H759*Y758/(tun_ChildYears*4)</x:f>
        <x:v>645.9844084663998</x:v>
      </x:c>
      <x:c r="X759" s="9" t="n">
        <x:f>H759*Z758/(tun_AdultYears*4)</x:f>
        <x:v>431.16490918133337</x:v>
      </x:c>
      <x:c r="Y759" s="32" t="n">
        <x:f>Y758+R759-S759-W759-Y758*V759/AB758</x:f>
        <x:v>36458.51089091756</x:v>
      </x:c>
      <x:c r="Z759" s="32" t="n">
        <x:f>Z758+W759-X759-T759-Z758*V759/AB758</x:f>
        <x:v>53658.216611079624</x:v>
      </x:c>
      <x:c r="AA759" s="32" t="n">
        <x:f>AA758+X759-U759-AA758*V759/AB758</x:f>
        <x:v>41615.611848507324</x:v>
      </x:c>
      <x:c r="AB759" s="10" t="n">
        <x:f>Y759+Z759+AA759</x:f>
        <x:v>131732.3393505045</x:v>
      </x:c>
      <x:c r="AC759" s="8" t="n">
        <x:f>IF(AND(tun_WinterTrigger=1,D759=1,AB758/AE758&gt;=K759),1,0)</x:f>
        <x:v>0</x:v>
      </x:c>
      <x:c r="AD759" s="8" t="n">
        <x:f>H759*IF(AND(OR(AB758/AE758&gt;=tun_FissionTrigger*N759,AC759=1),AB758/AE758*tun_DaughterShare&gt;=tun_MinDaughter),MAX(1,ROUND(AE758*tun_FissionRate,0)),0)</x:f>
        <x:v>0</x:v>
      </x:c>
      <x:c r="AE759" s="8" t="n">
        <x:f>IF(H759=1,MAX(1,MIN(INDEX(tun_Smax,G759),AE758+AD759)),AE758)</x:f>
        <x:v>9</x:v>
      </x:c>
      <x:c r="AF759" s="8" t="n">
        <x:f>MAX(0,AE759-AE758)</x:f>
        <x:v>0</x:v>
      </x:c>
      <x:c r="AG759" s="9" t="str">
        <x:f>IF(AF759&gt;0,B759,"")</x:f>
      </x:c>
      <x:c r="AH759" s="9" t="n">
        <x:f>IF(F759&gt;=1,1,(1+tun_LowTiesShare*(AE759-1))/AE759)</x:f>
        <x:v>1</x:v>
      </x:c>
      <x:c r="AI759" s="32" t="n">
        <x:f>(Z759+tun_ElderCommons*INDEX(LM_Elder,G759)*AA759)*AH759</x:f>
        <x:v>217333.79884381365</x:v>
      </x:c>
      <x:c r="AJ759" s="32" t="n">
        <x:f>H759*tun_CommonsCoef*AI759^tun_CommonsExp*INDEX(LM_Commons,G759)</x:f>
        <x:v>738836.2897788584</x:v>
      </x:c>
      <x:c r="AK759" s="32" t="n">
        <x:f>H759*tun_RoleScale*Arch_Roles*(AE759*(INDEX(tun_ElderRolePerSett,G759)*tun_OutElder*INDEX(LM_Elder,G759)+INDEX(tun_ShamanPerSett,G759)*tun_OutShaman)+Z759*(INDEX(tun_PriestShare,G759)*tun_OutPriest+INDEX(tun_ScribeShare,G759)*tun_OutScribe*INDEX(LM_Scribe,G759)+INDEX(tun_ScholarShare,G759)*tun_OutScholar*INDEX(LM_Scholar,G759)+INDEX(tun_ResearcherShare,G759)*tun_OutResearcher*INDEX(LM_Researcher,G759)))</x:f>
        <x:v>193498.06719110804</x:v>
      </x:c>
      <x:c r="AL759" s="32" t="n">
        <x:f>H759*tun_RoleScale*Arch_Roles*AE759*INDEX(tun_MonasteryPerSett,G759)*tun_OutMonastery*INDEX(LM_Monastery,G759)</x:f>
        <x:v>15.840000000000002</x:v>
      </x:c>
      <x:c r="AM759" s="32" t="n">
        <x:f>(AJ759+AK759+AL759)/4*INDEX(LM_All,G759)*INDEX(tun_Boon,G759)*Arch_Insight</x:f>
        <x:v>807389.5572330871</x:v>
      </x:c>
      <x:c r="AN759" s="32" t="n">
        <x:f>H759*(tun_KHPerAdult*Z759+tun_KHOfCommons*AJ759/4*INDEX(LM_All,G759))*tun_KHUsable*Arch_KH</x:f>
        <x:v>125517.29625568021</x:v>
      </x:c>
      <x:c r="AO759" s="32" t="n">
        <x:f>MIN(AP758+AN759,AM759*tun_KHMaxRatio)</x:f>
        <x:v>125517.29625568021</x:v>
      </x:c>
      <x:c r="AP759" s="32" t="n">
        <x:f>AP758+AN759-AO759</x:f>
        <x:v>0</x:v>
      </x:c>
      <x:c r="AQ759" s="32" t="n">
        <x:f>AM759+AO759</x:f>
        <x:v>932906.8534887673</x:v>
      </x:c>
      <x:c r="AR759" s="10" t="n">
        <x:f>IF(H759=1,INDEX(tun_Req,G759),0)</x:f>
        <x:v>125406521.7009086</x:v>
      </x:c>
      <x:c r="AS759" s="32" t="n">
        <x:f>IF(H759=1,IF(E759=1,AS758-AR758,AS758)+AQ759,0)</x:f>
        <x:v>101214709.01531535</x:v>
      </x:c>
      <x:c r="AT759" s="11" t="n">
        <x:f>IF(AR759&gt;0,MIN(1,AS759/AR759),1)</x:f>
        <x:v>0.8070928660050861</x:v>
      </x:c>
      <x:c r="AU759" s="10" t="n">
        <x:f>AB759/INDEX(tun_RepScale,G759)</x:f>
        <x:v>263.464678701009</x:v>
      </x:c>
      <x:c r="AV759" s="32" t="n">
        <x:f>AM759*60/tun_SeasonSeconds</x:f>
        <x:v>3229558.2289323485</x:v>
      </x:c>
    </x:row>
    <x:row r="760">
      <x:c r="A760" s="8" t="n">
        <x:f>A759+1</x:f>
        <x:v>757</x:v>
      </x:c>
      <x:c r="B760" s="9" t="n">
        <x:f>A760*tun_SeasonSeconds/60</x:f>
        <x:v>189.25</x:v>
      </x:c>
      <x:c r="C760" s="9" t="n">
        <x:f>A760/4</x:f>
        <x:v>189.25</x:v>
      </x:c>
      <x:c r="D760" s="8" t="n">
        <x:f>IF(MOD(A760,4)=0,1,0)</x:f>
        <x:v>0</x:v>
      </x:c>
      <x:c r="E760" s="8" t="n">
        <x:f>IF(AND(F759&lt;=9,AS759&gt;=AR759),1,0)</x:f>
        <x:v>0</x:v>
      </x:c>
      <x:c r="F760" s="8" t="n">
        <x:f>MIN(10,F759+E760)</x:f>
        <x:v>9</x:v>
      </x:c>
      <x:c r="G760" s="8" t="n">
        <x:f>MIN(F760,9)+1</x:f>
        <x:v>10</x:v>
      </x:c>
      <x:c r="H760" s="8" t="n">
        <x:f>IF(F760&lt;=9,1,0)</x:f>
        <x:v>1</x:v>
      </x:c>
      <x:c r="I760" s="9" t="n">
        <x:f>MIN(10,F759+IF(AR759&gt;0,MIN(1,AS759/AR759),1))</x:f>
        <x:v>9.807092866005085</x:v>
      </x:c>
      <x:c r="J760" s="32" t="n">
        <x:f>INDEX(tun_FoodCap,G760)*Arch_FoodCap*EXP(tun_CapsByProject*SUMPRODUCT((Cap_Point&lt;=I760)*(Cap_Kind="Food")*Cap_Ln))</x:f>
        <x:v>18627.260449441455</x:v>
      </x:c>
      <x:c r="K760" s="32" t="n">
        <x:f>J760*MIN(1,tun_LeanBase*EXP(tun_CapsByProject*SUMPRODUCT((Cap_Point&lt;=I760)*(Cap_Kind="Lean")*Cap_Ln)))</x:f>
        <x:v>18627.260449441455</x:v>
      </x:c>
      <x:c r="L760" s="10" t="n">
        <x:f>INDEX(tun_HousingCap,G760)*EXP(tun_CapsByProject*SUMPRODUCT((Cap_Point&lt;=I760)*(Cap_Kind="Housing")*Cap_Ln))</x:f>
        <x:v>20528.974303173167</x:v>
      </x:c>
      <x:c r="M760" s="10" t="n">
        <x:f>INDEX(tun_GroupCap,G760)*tun_CohesionFactor*EXP(tun_CapsByProject*SUMPRODUCT((Cap_Point&lt;=I760)*(Cap_Kind="Group")*Cap_Ln))</x:f>
        <x:v>1000000.000000001</x:v>
      </x:c>
      <x:c r="N760" s="32" t="n">
        <x:f>MIN(J760,L760,M760)</x:f>
        <x:v>18627.260449441455</x:v>
      </x:c>
      <x:c r="O760" s="10" t="n">
        <x:f>AE759*N760</x:f>
        <x:v>167645.34404497308</x:v>
      </x:c>
      <x:c r="P760" s="9" t="n">
        <x:f>MIN(1,(AB759/(AE759*IF(tun_GroupInCrowding=1,N760,MIN(J760,L760))))^tun_CrowdingExp)</x:f>
        <x:v>0.23539945171131782</x:v>
      </x:c>
      <x:c r="Q760" s="9" t="n">
        <x:f>IF(D760=1,INDEX(tun_WinterMult,G760),1)</x:f>
        <x:v>1</x:v>
      </x:c>
      <x:c r="R760" s="9" t="n">
        <x:f>H760*Z759*tun_WomenShare*tun_BaseFertility*INDEX(tun_FertMult,G760)*Arch_Fertility*(1-P760)</x:f>
        <x:v>933.3665668833041</x:v>
      </x:c>
      <x:c r="S760" s="9" t="n">
        <x:f>H760*Y759*INDEX(tun_MortChild,G760)/4*Q760</x:f>
        <x:v>8.20316495045645</x:v>
      </x:c>
      <x:c r="T760" s="9" t="n">
        <x:f>H760*Z759*INDEX(tun_MortAdult,G760)*Arch_AdultMort/4*Q760</x:f>
        <x:v>20.12183122915486</x:v>
      </x:c>
      <x:c r="U760" s="9" t="n">
        <x:f>H760*AA759*INDEX(tun_MortElder,G760)/4*Q760</x:f>
        <x:v>280.90537997742445</x:v>
      </x:c>
      <x:c r="V760" s="9" t="n">
        <x:f>H760*MAX(0,AB759-O760)*tun_OvercapLoss</x:f>
        <x:v>0</x:v>
      </x:c>
      <x:c r="W760" s="9" t="n">
        <x:f>H760*Y759/(tun_ChildYears*4)</x:f>
        <x:v>651.0448373378136</x:v>
      </x:c>
      <x:c r="X760" s="9" t="n">
        <x:f>H760*Z759/(tun_AdultYears*4)</x:f>
        <x:v>432.7275533151583</x:v>
      </x:c>
      <x:c r="Y760" s="32" t="n">
        <x:f>Y759+R760-S760-W760-Y759*V760/AB759</x:f>
        <x:v>36732.62945551259</x:v>
      </x:c>
      <x:c r="Z760" s="32" t="n">
        <x:f>Z759+W760-X760-T760-Z759*V760/AB759</x:f>
        <x:v>53856.41206387313</x:v>
      </x:c>
      <x:c r="AA760" s="32" t="n">
        <x:f>AA759+X760-U760-AA759*V760/AB759</x:f>
        <x:v>41767.43402184505</x:v>
      </x:c>
      <x:c r="AB760" s="10" t="n">
        <x:f>Y760+Z760+AA760</x:f>
        <x:v>132356.4755412308</x:v>
      </x:c>
      <x:c r="AC760" s="8" t="n">
        <x:f>IF(AND(tun_WinterTrigger=1,D760=1,AB759/AE759&gt;=K760),1,0)</x:f>
        <x:v>0</x:v>
      </x:c>
      <x:c r="AD760" s="8" t="n">
        <x:f>H760*IF(AND(OR(AB759/AE759&gt;=tun_FissionTrigger*N760,AC760=1),AB759/AE759*tun_DaughterShare&gt;=tun_MinDaughter),MAX(1,ROUND(AE759*tun_FissionRate,0)),0)</x:f>
        <x:v>0</x:v>
      </x:c>
      <x:c r="AE760" s="8" t="n">
        <x:f>IF(H760=1,MAX(1,MIN(INDEX(tun_Smax,G760),AE759+AD760)),AE759)</x:f>
        <x:v>9</x:v>
      </x:c>
      <x:c r="AF760" s="8" t="n">
        <x:f>MAX(0,AE760-AE759)</x:f>
        <x:v>0</x:v>
      </x:c>
      <x:c r="AG760" s="9" t="str">
        <x:f>IF(AF760&gt;0,B760,"")</x:f>
      </x:c>
      <x:c r="AH760" s="9" t="n">
        <x:f>IF(F760&gt;=1,1,(1+tun_LowTiesShare*(AE760-1))/AE760)</x:f>
        <x:v>1</x:v>
      </x:c>
      <x:c r="AI760" s="32" t="n">
        <x:f>(Z760+tun_ElderCommons*INDEX(LM_Elder,G760)*AA760)*AH760</x:f>
        <x:v>218129.11594190105</x:v>
      </x:c>
      <x:c r="AJ760" s="32" t="n">
        <x:f>H760*tun_CommonsCoef*AI760^tun_CommonsExp*INDEX(LM_Commons,G760)</x:f>
        <x:v>741133.8195510701</x:v>
      </x:c>
      <x:c r="AK760" s="32" t="n">
        <x:f>H760*tun_RoleScale*Arch_Roles*(AE760*(INDEX(tun_ElderRolePerSett,G760)*tun_OutElder*INDEX(LM_Elder,G760)+INDEX(tun_ShamanPerSett,G760)*tun_OutShaman)+Z760*(INDEX(tun_PriestShare,G760)*tun_OutPriest+INDEX(tun_ScribeShare,G760)*tun_OutScribe*INDEX(LM_Scribe,G760)+INDEX(tun_ScholarShare,G760)*tun_OutScholar*INDEX(LM_Scholar,G760)+INDEX(tun_ResearcherShare,G760)*tun_OutResearcher*INDEX(LM_Researcher,G760)))</x:f>
        <x:v>194211.86224463736</x:v>
      </x:c>
      <x:c r="AL760" s="32" t="n">
        <x:f>H760*tun_RoleScale*Arch_Roles*AE760*INDEX(tun_MonasteryPerSett,G760)*tun_OutMonastery*INDEX(LM_Monastery,G760)</x:f>
        <x:v>15.840000000000002</x:v>
      </x:c>
      <x:c r="AM760" s="32" t="n">
        <x:f>(AJ760+AK760+AL760)/4*INDEX(LM_All,G760)*INDEX(tun_Boon,G760)*Arch_Insight</x:f>
        <x:v>809997.2814826679</x:v>
      </x:c>
      <x:c r="AN760" s="32" t="n">
        <x:f>H760*(tun_KHPerAdult*Z760+tun_KHOfCommons*AJ760/4*INDEX(LM_All,G760))*tun_KHUsable*Arch_KH</x:f>
        <x:v>125907.61239074885</x:v>
      </x:c>
      <x:c r="AO760" s="32" t="n">
        <x:f>MIN(AP759+AN760,AM760*tun_KHMaxRatio)</x:f>
        <x:v>125907.61239074885</x:v>
      </x:c>
      <x:c r="AP760" s="32" t="n">
        <x:f>AP759+AN760-AO760</x:f>
        <x:v>0</x:v>
      </x:c>
      <x:c r="AQ760" s="32" t="n">
        <x:f>AM760+AO760</x:f>
        <x:v>935904.8938734167</x:v>
      </x:c>
      <x:c r="AR760" s="10" t="n">
        <x:f>IF(H760=1,INDEX(tun_Req,G760),0)</x:f>
        <x:v>125406521.7009086</x:v>
      </x:c>
      <x:c r="AS760" s="32" t="n">
        <x:f>IF(H760=1,IF(E760=1,AS759-AR759,AS759)+AQ760,0)</x:f>
        <x:v>102150613.90918878</x:v>
      </x:c>
      <x:c r="AT760" s="11" t="n">
        <x:f>IF(AR760&gt;0,MIN(1,AS760/AR760),1)</x:f>
        <x:v>0.8145558342875933</x:v>
      </x:c>
      <x:c r="AU760" s="10" t="n">
        <x:f>AB760/INDEX(tun_RepScale,G760)</x:f>
        <x:v>264.7129510824616</x:v>
      </x:c>
      <x:c r="AV760" s="32" t="n">
        <x:f>AM760*60/tun_SeasonSeconds</x:f>
        <x:v>3239989.1259306716</x:v>
      </x:c>
    </x:row>
    <x:row r="761">
      <x:c r="A761" s="8" t="n">
        <x:f>A760+1</x:f>
        <x:v>758</x:v>
      </x:c>
      <x:c r="B761" s="9" t="n">
        <x:f>A761*tun_SeasonSeconds/60</x:f>
        <x:v>189.5</x:v>
      </x:c>
      <x:c r="C761" s="9" t="n">
        <x:f>A761/4</x:f>
        <x:v>189.5</x:v>
      </x:c>
      <x:c r="D761" s="8" t="n">
        <x:f>IF(MOD(A761,4)=0,1,0)</x:f>
        <x:v>0</x:v>
      </x:c>
      <x:c r="E761" s="8" t="n">
        <x:f>IF(AND(F760&lt;=9,AS760&gt;=AR760),1,0)</x:f>
        <x:v>0</x:v>
      </x:c>
      <x:c r="F761" s="8" t="n">
        <x:f>MIN(10,F760+E761)</x:f>
        <x:v>9</x:v>
      </x:c>
      <x:c r="G761" s="8" t="n">
        <x:f>MIN(F761,9)+1</x:f>
        <x:v>10</x:v>
      </x:c>
      <x:c r="H761" s="8" t="n">
        <x:f>IF(F761&lt;=9,1,0)</x:f>
        <x:v>1</x:v>
      </x:c>
      <x:c r="I761" s="9" t="n">
        <x:f>MIN(10,F760+IF(AR760&gt;0,MIN(1,AS760/AR760),1))</x:f>
        <x:v>9.814555834287594</x:v>
      </x:c>
      <x:c r="J761" s="32" t="n">
        <x:f>INDEX(tun_FoodCap,G761)*Arch_FoodCap*EXP(tun_CapsByProject*SUMPRODUCT((Cap_Point&lt;=I761)*(Cap_Kind="Food")*Cap_Ln))</x:f>
        <x:v>18627.260449441455</x:v>
      </x:c>
      <x:c r="K761" s="32" t="n">
        <x:f>J761*MIN(1,tun_LeanBase*EXP(tun_CapsByProject*SUMPRODUCT((Cap_Point&lt;=I761)*(Cap_Kind="Lean")*Cap_Ln)))</x:f>
        <x:v>18627.260449441455</x:v>
      </x:c>
      <x:c r="L761" s="10" t="n">
        <x:f>INDEX(tun_HousingCap,G761)*EXP(tun_CapsByProject*SUMPRODUCT((Cap_Point&lt;=I761)*(Cap_Kind="Housing")*Cap_Ln))</x:f>
        <x:v>20528.974303173167</x:v>
      </x:c>
      <x:c r="M761" s="10" t="n">
        <x:f>INDEX(tun_GroupCap,G761)*tun_CohesionFactor*EXP(tun_CapsByProject*SUMPRODUCT((Cap_Point&lt;=I761)*(Cap_Kind="Group")*Cap_Ln))</x:f>
        <x:v>1000000.000000001</x:v>
      </x:c>
      <x:c r="N761" s="32" t="n">
        <x:f>MIN(J761,L761,M761)</x:f>
        <x:v>18627.260449441455</x:v>
      </x:c>
      <x:c r="O761" s="10" t="n">
        <x:f>AE760*N761</x:f>
        <x:v>167645.34404497308</x:v>
      </x:c>
      <x:c r="P761" s="9" t="n">
        <x:f>MIN(1,(AB760/(AE760*IF(tun_GroupInCrowding=1,N761,MIN(J761,L761))))^tun_CrowdingExp)</x:f>
        <x:v>0.24217102812444072</x:v>
      </x:c>
      <x:c r="Q761" s="9" t="n">
        <x:f>IF(D761=1,INDEX(tun_WinterMult,G761),1)</x:f>
        <x:v>1</x:v>
      </x:c>
      <x:c r="R761" s="9" t="n">
        <x:f>H761*Z760*tun_WomenShare*tun_BaseFertility*INDEX(tun_FertMult,G761)*Arch_Fertility*(1-P761)</x:f>
        <x:v>928.5173484694254</x:v>
      </x:c>
      <x:c r="S761" s="9" t="n">
        <x:f>H761*Y760*INDEX(tun_MortChild,G761)/4*Q761</x:f>
        <x:v>8.264841627490334</x:v>
      </x:c>
      <x:c r="T761" s="9" t="n">
        <x:f>H761*Z760*INDEX(tun_MortAdult,G761)*Arch_AdultMort/4*Q761</x:f>
        <x:v>20.196154523952426</x:v>
      </x:c>
      <x:c r="U761" s="9" t="n">
        <x:f>H761*AA760*INDEX(tun_MortElder,G761)/4*Q761</x:f>
        <x:v>281.9301796474541</x:v>
      </x:c>
      <x:c r="V761" s="9" t="n">
        <x:f>H761*MAX(0,AB760-O761)*tun_OvercapLoss</x:f>
        <x:v>0</x:v>
      </x:c>
      <x:c r="W761" s="9" t="n">
        <x:f>H761*Y760/(tun_ChildYears*4)</x:f>
        <x:v>655.939811705582</x:v>
      </x:c>
      <x:c r="X761" s="9" t="n">
        <x:f>H761*Z760/(tun_AdultYears*4)</x:f>
        <x:v>434.32590374091234</x:v>
      </x:c>
      <x:c r="Y761" s="32" t="n">
        <x:f>Y760+R761-S761-W761-Y760*V761/AB760</x:f>
        <x:v>36996.942150648945</x:v>
      </x:c>
      <x:c r="Z761" s="32" t="n">
        <x:f>Z760+W761-X761-T761-Z760*V761/AB760</x:f>
        <x:v>54057.82981731385</x:v>
      </x:c>
      <x:c r="AA761" s="32" t="n">
        <x:f>AA760+X761-U761-AA760*V761/AB760</x:f>
        <x:v>41919.829745938514</x:v>
      </x:c>
      <x:c r="AB761" s="10" t="n">
        <x:f>Y761+Z761+AA761</x:f>
        <x:v>132974.6017139013</x:v>
      </x:c>
      <x:c r="AC761" s="8" t="n">
        <x:f>IF(AND(tun_WinterTrigger=1,D761=1,AB760/AE760&gt;=K761),1,0)</x:f>
        <x:v>0</x:v>
      </x:c>
      <x:c r="AD761" s="8" t="n">
        <x:f>H761*IF(AND(OR(AB760/AE760&gt;=tun_FissionTrigger*N761,AC761=1),AB760/AE760*tun_DaughterShare&gt;=tun_MinDaughter),MAX(1,ROUND(AE760*tun_FissionRate,0)),0)</x:f>
        <x:v>0</x:v>
      </x:c>
      <x:c r="AE761" s="8" t="n">
        <x:f>IF(H761=1,MAX(1,MIN(INDEX(tun_Smax,G761),AE760+AD761)),AE760)</x:f>
        <x:v>9</x:v>
      </x:c>
      <x:c r="AF761" s="8" t="n">
        <x:f>MAX(0,AE761-AE760)</x:f>
        <x:v>0</x:v>
      </x:c>
      <x:c r="AG761" s="9" t="str">
        <x:f>IF(AF761&gt;0,B761,"")</x:f>
      </x:c>
      <x:c r="AH761" s="9" t="n">
        <x:f>IF(F761&gt;=1,1,(1+tun_LowTiesShare*(AE761-1))/AE761)</x:f>
        <x:v>1</x:v>
      </x:c>
      <x:c r="AI761" s="32" t="n">
        <x:f>(Z761+tun_ElderCommons*INDEX(LM_Elder,G761)*AA761)*AH761</x:f>
        <x:v>218929.9111347887</x:v>
      </x:c>
      <x:c r="AJ761" s="32" t="n">
        <x:f>H761*tun_CommonsCoef*AI761^tun_CommonsExp*INDEX(LM_Commons,G761)</x:f>
        <x:v>743445.9053616511</x:v>
      </x:c>
      <x:c r="AK761" s="32" t="n">
        <x:f>H761*tun_RoleScale*Arch_Roles*(AE761*(INDEX(tun_ElderRolePerSett,G761)*tun_OutElder*INDEX(LM_Elder,G761)+INDEX(tun_ShamanPerSett,G761)*tun_OutShaman)+Z761*(INDEX(tun_PriestShare,G761)*tun_OutPriest+INDEX(tun_ScribeShare,G761)*tun_OutScribe*INDEX(LM_Scribe,G761)+INDEX(tun_ScholarShare,G761)*tun_OutScholar*INDEX(LM_Scholar,G761)+INDEX(tun_ResearcherShare,G761)*tun_OutResearcher*INDEX(LM_Researcher,G761)))</x:f>
        <x:v>194937.26231851676</x:v>
      </x:c>
      <x:c r="AL761" s="32" t="n">
        <x:f>H761*tun_RoleScale*Arch_Roles*AE761*INDEX(tun_MonasteryPerSett,G761)*tun_OutMonastery*INDEX(LM_Monastery,G761)</x:f>
        <x:v>15.840000000000002</x:v>
      </x:c>
      <x:c r="AM761" s="32" t="n">
        <x:f>(AJ761+AK761+AL761)/4*INDEX(LM_All,G761)*INDEX(tun_Boon,G761)*Arch_Insight</x:f>
        <x:v>812627.6604876023</x:v>
      </x:c>
      <x:c r="AN761" s="32" t="n">
        <x:f>H761*(tun_KHPerAdult*Z761+tun_KHOfCommons*AJ761/4*INDEX(LM_All,G761))*tun_KHUsable*Arch_KH</x:f>
        <x:v>126300.40138023136</x:v>
      </x:c>
      <x:c r="AO761" s="32" t="n">
        <x:f>MIN(AP760+AN761,AM761*tun_KHMaxRatio)</x:f>
        <x:v>126300.40138023136</x:v>
      </x:c>
      <x:c r="AP761" s="32" t="n">
        <x:f>AP760+AN761-AO761</x:f>
        <x:v>0</x:v>
      </x:c>
      <x:c r="AQ761" s="32" t="n">
        <x:f>AM761+AO761</x:f>
        <x:v>938928.0618678337</x:v>
      </x:c>
      <x:c r="AR761" s="10" t="n">
        <x:f>IF(H761=1,INDEX(tun_Req,G761),0)</x:f>
        <x:v>125406521.7009086</x:v>
      </x:c>
      <x:c r="AS761" s="32" t="n">
        <x:f>IF(H761=1,IF(E761=1,AS760-AR760,AS760)+AQ761,0)</x:f>
        <x:v>103089541.97105661</x:v>
      </x:c>
      <x:c r="AT761" s="11" t="n">
        <x:f>IF(AR761&gt;0,MIN(1,AS761/AR761),1)</x:f>
        <x:v>0.8220429095140886</x:v>
      </x:c>
      <x:c r="AU761" s="10" t="n">
        <x:f>AB761/INDEX(tun_RepScale,G761)</x:f>
        <x:v>265.9492034278026</x:v>
      </x:c>
      <x:c r="AV761" s="32" t="n">
        <x:f>AM761*60/tun_SeasonSeconds</x:f>
        <x:v>3250510.6419504094</x:v>
      </x:c>
    </x:row>
    <x:row r="762">
      <x:c r="A762" s="8" t="n">
        <x:f>A761+1</x:f>
        <x:v>759</x:v>
      </x:c>
      <x:c r="B762" s="9" t="n">
        <x:f>A762*tun_SeasonSeconds/60</x:f>
        <x:v>189.75</x:v>
      </x:c>
      <x:c r="C762" s="9" t="n">
        <x:f>A762/4</x:f>
        <x:v>189.75</x:v>
      </x:c>
      <x:c r="D762" s="8" t="n">
        <x:f>IF(MOD(A762,4)=0,1,0)</x:f>
        <x:v>0</x:v>
      </x:c>
      <x:c r="E762" s="8" t="n">
        <x:f>IF(AND(F761&lt;=9,AS761&gt;=AR761),1,0)</x:f>
        <x:v>0</x:v>
      </x:c>
      <x:c r="F762" s="8" t="n">
        <x:f>MIN(10,F761+E762)</x:f>
        <x:v>9</x:v>
      </x:c>
      <x:c r="G762" s="8" t="n">
        <x:f>MIN(F762,9)+1</x:f>
        <x:v>10</x:v>
      </x:c>
      <x:c r="H762" s="8" t="n">
        <x:f>IF(F762&lt;=9,1,0)</x:f>
        <x:v>1</x:v>
      </x:c>
      <x:c r="I762" s="9" t="n">
        <x:f>MIN(10,F761+IF(AR761&gt;0,MIN(1,AS761/AR761),1))</x:f>
        <x:v>9.822042909514089</x:v>
      </x:c>
      <x:c r="J762" s="32" t="n">
        <x:f>INDEX(tun_FoodCap,G762)*Arch_FoodCap*EXP(tun_CapsByProject*SUMPRODUCT((Cap_Point&lt;=I762)*(Cap_Kind="Food")*Cap_Ln))</x:f>
        <x:v>18627.260449441455</x:v>
      </x:c>
      <x:c r="K762" s="32" t="n">
        <x:f>J762*MIN(1,tun_LeanBase*EXP(tun_CapsByProject*SUMPRODUCT((Cap_Point&lt;=I762)*(Cap_Kind="Lean")*Cap_Ln)))</x:f>
        <x:v>18627.260449441455</x:v>
      </x:c>
      <x:c r="L762" s="10" t="n">
        <x:f>INDEX(tun_HousingCap,G762)*EXP(tun_CapsByProject*SUMPRODUCT((Cap_Point&lt;=I762)*(Cap_Kind="Housing")*Cap_Ln))</x:f>
        <x:v>20528.974303173167</x:v>
      </x:c>
      <x:c r="M762" s="10" t="n">
        <x:f>INDEX(tun_GroupCap,G762)*tun_CohesionFactor*EXP(tun_CapsByProject*SUMPRODUCT((Cap_Point&lt;=I762)*(Cap_Kind="Group")*Cap_Ln))</x:f>
        <x:v>1000000.000000001</x:v>
      </x:c>
      <x:c r="N762" s="32" t="n">
        <x:f>MIN(J762,L762,M762)</x:f>
        <x:v>18627.260449441455</x:v>
      </x:c>
      <x:c r="O762" s="10" t="n">
        <x:f>AE761*N762</x:f>
        <x:v>167645.34404497308</x:v>
      </x:c>
      <x:c r="P762" s="9" t="n">
        <x:f>MIN(1,(AB761/(AE761*IF(tun_GroupInCrowding=1,N762,MIN(J762,L762))))^tun_CrowdingExp)</x:f>
        <x:v>0.2490366184376009</x:v>
      </x:c>
      <x:c r="Q762" s="9" t="n">
        <x:f>IF(D762=1,INDEX(tun_WinterMult,G762),1)</x:f>
        <x:v>1</x:v>
      </x:c>
      <x:c r="R762" s="9" t="n">
        <x:f>H762*Z761*tun_WomenShare*tun_BaseFertility*INDEX(tun_FertMult,G762)*Arch_Fertility*(1-P762)</x:f>
        <x:v>923.5465029594142</x:v>
      </x:c>
      <x:c r="S762" s="9" t="n">
        <x:f>H762*Y761*INDEX(tun_MortChild,G762)/4*Q762</x:f>
        <x:v>8.324311983896012</x:v>
      </x:c>
      <x:c r="T762" s="9" t="n">
        <x:f>H762*Z761*INDEX(tun_MortAdult,G762)*Arch_AdultMort/4*Q762</x:f>
        <x:v>20.271686181492694</x:v>
      </x:c>
      <x:c r="U762" s="9" t="n">
        <x:f>H762*AA761*INDEX(tun_MortElder,G762)/4*Q762</x:f>
        <x:v>282.95885078508496</x:v>
      </x:c>
      <x:c r="V762" s="9" t="n">
        <x:f>H762*MAX(0,AB761-O762)*tun_OvercapLoss</x:f>
        <x:v>0</x:v>
      </x:c>
      <x:c r="W762" s="9" t="n">
        <x:f>H762*Y761/(tun_ChildYears*4)</x:f>
        <x:v>660.6596812615883</x:v>
      </x:c>
      <x:c r="X762" s="9" t="n">
        <x:f>H762*Z761/(tun_AdultYears*4)</x:f>
        <x:v>435.95024046220846</x:v>
      </x:c>
      <x:c r="Y762" s="32" t="n">
        <x:f>Y761+R762-S762-W762-Y761*V762/AB761</x:f>
        <x:v>37251.50466036287</x:v>
      </x:c>
      <x:c r="Z762" s="32" t="n">
        <x:f>Z761+W762-X762-T762-Z761*V762/AB761</x:f>
        <x:v>54262.267571931734</x:v>
      </x:c>
      <x:c r="AA762" s="32" t="n">
        <x:f>AA761+X762-U762-AA761*V762/AB761</x:f>
        <x:v>42072.82113561564</x:v>
      </x:c>
      <x:c r="AB762" s="10" t="n">
        <x:f>Y762+Z762+AA762</x:f>
        <x:v>133586.59336791025</x:v>
      </x:c>
      <x:c r="AC762" s="8" t="n">
        <x:f>IF(AND(tun_WinterTrigger=1,D762=1,AB761/AE761&gt;=K762),1,0)</x:f>
        <x:v>0</x:v>
      </x:c>
      <x:c r="AD762" s="8" t="n">
        <x:f>H762*IF(AND(OR(AB761/AE761&gt;=tun_FissionTrigger*N762,AC762=1),AB761/AE761*tun_DaughterShare&gt;=tun_MinDaughter),MAX(1,ROUND(AE761*tun_FissionRate,0)),0)</x:f>
        <x:v>0</x:v>
      </x:c>
      <x:c r="AE762" s="8" t="n">
        <x:f>IF(H762=1,MAX(1,MIN(INDEX(tun_Smax,G762),AE761+AD762)),AE761)</x:f>
        <x:v>9</x:v>
      </x:c>
      <x:c r="AF762" s="8" t="n">
        <x:f>MAX(0,AE762-AE761)</x:f>
        <x:v>0</x:v>
      </x:c>
      <x:c r="AG762" s="9" t="str">
        <x:f>IF(AF762&gt;0,B762,"")</x:f>
      </x:c>
      <x:c r="AH762" s="9" t="n">
        <x:f>IF(F762&gt;=1,1,(1+tun_LowTiesShare*(AE762-1))/AE762)</x:f>
        <x:v>1</x:v>
      </x:c>
      <x:c r="AI762" s="32" t="n">
        <x:f>(Z762+tun_ElderCommons*INDEX(LM_Elder,G762)*AA762)*AH762</x:f>
        <x:v>219736.06910135868</x:v>
      </x:c>
      <x:c r="AJ762" s="32" t="n">
        <x:f>H762*tun_CommonsCoef*AI762^tun_CommonsExp*INDEX(LM_Commons,G762)</x:f>
        <x:v>745772.1938001928</x:v>
      </x:c>
      <x:c r="AK762" s="32" t="n">
        <x:f>H762*tun_RoleScale*Arch_Roles*(AE762*(INDEX(tun_ElderRolePerSett,G762)*tun_OutElder*INDEX(LM_Elder,G762)+INDEX(tun_ShamanPerSett,G762)*tun_OutShaman)+Z762*(INDEX(tun_PriestShare,G762)*tun_OutPriest+INDEX(tun_ScribeShare,G762)*tun_OutScribe*INDEX(LM_Scribe,G762)+INDEX(tun_ScholarShare,G762)*tun_OutScholar*INDEX(LM_Scholar,G762)+INDEX(tun_ResearcherShare,G762)*tun_OutResearcher*INDEX(LM_Researcher,G762)))</x:f>
        <x:v>195673.53883719613</x:v>
      </x:c>
      <x:c r="AL762" s="32" t="n">
        <x:f>H762*tun_RoleScale*Arch_Roles*AE762*INDEX(tun_MonasteryPerSett,G762)*tun_OutMonastery*INDEX(LM_Monastery,G762)</x:f>
        <x:v>15.840000000000002</x:v>
      </x:c>
      <x:c r="AM762" s="32" t="n">
        <x:f>(AJ762+AK762+AL762)/4*INDEX(LM_All,G762)*INDEX(tun_Boon,G762)*Arch_Insight</x:f>
        <x:v>815279.7572778901</x:v>
      </x:c>
      <x:c r="AN762" s="32" t="n">
        <x:f>H762*(tun_KHPerAdult*Z762+tun_KHOfCommons*AJ762/4*INDEX(LM_All,G762))*tun_KHUsable*Arch_KH</x:f>
        <x:v>126695.60318495594</x:v>
      </x:c>
      <x:c r="AO762" s="32" t="n">
        <x:f>MIN(AP761+AN762,AM762*tun_KHMaxRatio)</x:f>
        <x:v>126695.60318495594</x:v>
      </x:c>
      <x:c r="AP762" s="32" t="n">
        <x:f>AP761+AN762-AO762</x:f>
        <x:v>0</x:v>
      </x:c>
      <x:c r="AQ762" s="32" t="n">
        <x:f>AM762+AO762</x:f>
        <x:v>941975.360462846</x:v>
      </x:c>
      <x:c r="AR762" s="10" t="n">
        <x:f>IF(H762=1,INDEX(tun_Req,G762),0)</x:f>
        <x:v>125406521.7009086</x:v>
      </x:c>
      <x:c r="AS762" s="32" t="n">
        <x:f>IF(H762=1,IF(E762=1,AS761-AR761,AS761)+AQ762,0)</x:f>
        <x:v>104031517.33151945</x:v>
      </x:c>
      <x:c r="AT762" s="11" t="n">
        <x:f>IF(AR762&gt;0,MIN(1,AS762/AR762),1)</x:f>
        <x:v>0.8295542841035971</x:v>
      </x:c>
      <x:c r="AU762" s="10" t="n">
        <x:f>AB762/INDEX(tun_RepScale,G762)</x:f>
        <x:v>267.1731867358205</x:v>
      </x:c>
      <x:c r="AV762" s="32" t="n">
        <x:f>AM762*60/tun_SeasonSeconds</x:f>
        <x:v>3261119.02911156</x:v>
      </x:c>
    </x:row>
    <x:row r="763">
      <x:c r="A763" s="8" t="n">
        <x:f>A762+1</x:f>
        <x:v>760</x:v>
      </x:c>
      <x:c r="B763" s="9" t="n">
        <x:f>A763*tun_SeasonSeconds/60</x:f>
        <x:v>190</x:v>
      </x:c>
      <x:c r="C763" s="9" t="n">
        <x:f>A763/4</x:f>
        <x:v>190</x:v>
      </x:c>
      <x:c r="D763" s="8" t="n">
        <x:f>IF(MOD(A763,4)=0,1,0)</x:f>
        <x:v>1</x:v>
      </x:c>
      <x:c r="E763" s="8" t="n">
        <x:f>IF(AND(F762&lt;=9,AS762&gt;=AR762),1,0)</x:f>
        <x:v>0</x:v>
      </x:c>
      <x:c r="F763" s="8" t="n">
        <x:f>MIN(10,F762+E763)</x:f>
        <x:v>9</x:v>
      </x:c>
      <x:c r="G763" s="8" t="n">
        <x:f>MIN(F763,9)+1</x:f>
        <x:v>10</x:v>
      </x:c>
      <x:c r="H763" s="8" t="n">
        <x:f>IF(F763&lt;=9,1,0)</x:f>
        <x:v>1</x:v>
      </x:c>
      <x:c r="I763" s="9" t="n">
        <x:f>MIN(10,F762+IF(AR762&gt;0,MIN(1,AS762/AR762),1))</x:f>
        <x:v>9.829554284103597</x:v>
      </x:c>
      <x:c r="J763" s="32" t="n">
        <x:f>INDEX(tun_FoodCap,G763)*Arch_FoodCap*EXP(tun_CapsByProject*SUMPRODUCT((Cap_Point&lt;=I763)*(Cap_Kind="Food")*Cap_Ln))</x:f>
        <x:v>18627.260449441455</x:v>
      </x:c>
      <x:c r="K763" s="32" t="n">
        <x:f>J763*MIN(1,tun_LeanBase*EXP(tun_CapsByProject*SUMPRODUCT((Cap_Point&lt;=I763)*(Cap_Kind="Lean")*Cap_Ln)))</x:f>
        <x:v>18627.260449441455</x:v>
      </x:c>
      <x:c r="L763" s="10" t="n">
        <x:f>INDEX(tun_HousingCap,G763)*EXP(tun_CapsByProject*SUMPRODUCT((Cap_Point&lt;=I763)*(Cap_Kind="Housing")*Cap_Ln))</x:f>
        <x:v>20528.974303173167</x:v>
      </x:c>
      <x:c r="M763" s="10" t="n">
        <x:f>INDEX(tun_GroupCap,G763)*tun_CohesionFactor*EXP(tun_CapsByProject*SUMPRODUCT((Cap_Point&lt;=I763)*(Cap_Kind="Group")*Cap_Ln))</x:f>
        <x:v>1000000.000000001</x:v>
      </x:c>
      <x:c r="N763" s="32" t="n">
        <x:f>MIN(J763,L763,M763)</x:f>
        <x:v>18627.260449441455</x:v>
      </x:c>
      <x:c r="O763" s="10" t="n">
        <x:f>AE762*N763</x:f>
        <x:v>167645.34404497308</x:v>
      </x:c>
      <x:c r="P763" s="9" t="n">
        <x:f>MIN(1,(AB762/(AE762*IF(tun_GroupInCrowding=1,N763,MIN(J763,L763))))^tun_CrowdingExp)</x:f>
        <x:v>0.25599310671617176</x:v>
      </x:c>
      <x:c r="Q763" s="9" t="n">
        <x:f>IF(D763=1,INDEX(tun_WinterMult,G763),1)</x:f>
        <x:v>1.05</x:v>
      </x:c>
      <x:c r="R763" s="9" t="n">
        <x:f>H763*Z762*tun_WomenShare*tun_BaseFertility*INDEX(tun_FertMult,G763)*Arch_Fertility*(1-P763)</x:f>
        <x:v>918.4516504510789</x:v>
      </x:c>
      <x:c r="S763" s="9" t="n">
        <x:f>H763*Y762*INDEX(tun_MortChild,G763)/4*Q763</x:f>
        <x:v>8.800667976010729</x:v>
      </x:c>
      <x:c r="T763" s="9" t="n">
        <x:f>H763*Z762*INDEX(tun_MortAdult,G763)*Arch_AdultMort/4*Q763</x:f>
        <x:v>21.365767856448123</x:v>
      </x:c>
      <x:c r="U763" s="9" t="n">
        <x:f>H763*AA762*INDEX(tun_MortElder,G763)/4*Q763</x:f>
        <x:v>298.19111979867586</x:v>
      </x:c>
      <x:c r="V763" s="9" t="n">
        <x:f>H763*MAX(0,AB762-O763)*tun_OvercapLoss</x:f>
        <x:v>0</x:v>
      </x:c>
      <x:c r="W763" s="9" t="n">
        <x:f>H763*Y762/(tun_ChildYears*4)</x:f>
        <x:v>665.2054403636228</x:v>
      </x:c>
      <x:c r="X763" s="9" t="n">
        <x:f>H763*Z762/(tun_AdultYears*4)</x:f>
        <x:v>437.59893203170753</x:v>
      </x:c>
      <x:c r="Y763" s="32" t="n">
        <x:f>Y762+R763-S763-W763-Y762*V763/AB762</x:f>
        <x:v>37495.95020247432</x:v>
      </x:c>
      <x:c r="Z763" s="32" t="n">
        <x:f>Z762+W763-X763-T763-Z762*V763/AB762</x:f>
        <x:v>54468.5083124072</x:v>
      </x:c>
      <x:c r="AA763" s="32" t="n">
        <x:f>AA762+X763-U763-AA762*V763/AB762</x:f>
        <x:v>42212.22894784867</x:v>
      </x:c>
      <x:c r="AB763" s="10" t="n">
        <x:f>Y763+Z763+AA763</x:f>
        <x:v>134176.6874627302</x:v>
      </x:c>
      <x:c r="AC763" s="8" t="n">
        <x:f>IF(AND(tun_WinterTrigger=1,D763=1,AB762/AE762&gt;=K763),1,0)</x:f>
        <x:v>0</x:v>
      </x:c>
      <x:c r="AD763" s="8" t="n">
        <x:f>H763*IF(AND(OR(AB762/AE762&gt;=tun_FissionTrigger*N763,AC763=1),AB762/AE762*tun_DaughterShare&gt;=tun_MinDaughter),MAX(1,ROUND(AE762*tun_FissionRate,0)),0)</x:f>
        <x:v>0</x:v>
      </x:c>
      <x:c r="AE763" s="8" t="n">
        <x:f>IF(H763=1,MAX(1,MIN(INDEX(tun_Smax,G763),AE762+AD763)),AE762)</x:f>
        <x:v>9</x:v>
      </x:c>
      <x:c r="AF763" s="8" t="n">
        <x:f>MAX(0,AE763-AE762)</x:f>
        <x:v>0</x:v>
      </x:c>
      <x:c r="AG763" s="9" t="str">
        <x:f>IF(AF763&gt;0,B763,"")</x:f>
      </x:c>
      <x:c r="AH763" s="9" t="n">
        <x:f>IF(F763&gt;=1,1,(1+tun_LowTiesShare*(AE763-1))/AE763)</x:f>
        <x:v>1</x:v>
      </x:c>
      <x:c r="AI763" s="32" t="n">
        <x:f>(Z763+tun_ElderCommons*INDEX(LM_Elder,G763)*AA763)*AH763</x:f>
        <x:v>220490.6053929868</x:v>
      </x:c>
      <x:c r="AJ763" s="32" t="n">
        <x:f>H763*tun_CommonsCoef*AI763^tun_CommonsExp*INDEX(LM_Commons,G763)</x:f>
        <x:v>747948.3605990245</x:v>
      </x:c>
      <x:c r="AK763" s="32" t="n">
        <x:f>H763*tun_RoleScale*Arch_Roles*(AE763*(INDEX(tun_ElderRolePerSett,G763)*tun_OutElder*INDEX(LM_Elder,G763)+INDEX(tun_ShamanPerSett,G763)*tun_OutShaman)+Z763*(INDEX(tun_PriestShare,G763)*tun_OutPriest+INDEX(tun_ScribeShare,G763)*tun_OutScribe*INDEX(LM_Scribe,G763)+INDEX(tun_ScholarShare,G763)*tun_OutScholar*INDEX(LM_Scholar,G763)+INDEX(tun_ResearcherShare,G763)*tun_OutResearcher*INDEX(LM_Researcher,G763)))</x:f>
        <x:v>196416.3087560448</x:v>
      </x:c>
      <x:c r="AL763" s="32" t="n">
        <x:f>H763*tun_RoleScale*Arch_Roles*AE763*INDEX(tun_MonasteryPerSett,G763)*tun_OutMonastery*INDEX(LM_Monastery,G763)</x:f>
        <x:v>15.840000000000002</x:v>
      </x:c>
      <x:c r="AM763" s="32" t="n">
        <x:f>(AJ763+AK763+AL763)/4*INDEX(LM_All,G763)*INDEX(tun_Boon,G763)*Arch_Insight</x:f>
        <x:v>817807.4759738677</x:v>
      </x:c>
      <x:c r="AN763" s="32" t="n">
        <x:f>H763*(tun_KHPerAdult*Z763+tun_KHOfCommons*AJ763/4*INDEX(LM_All,G763))*tun_KHUsable*Arch_KH</x:f>
        <x:v>127065.30155598813</x:v>
      </x:c>
      <x:c r="AO763" s="32" t="n">
        <x:f>MIN(AP762+AN763,AM763*tun_KHMaxRatio)</x:f>
        <x:v>127065.30155598813</x:v>
      </x:c>
      <x:c r="AP763" s="32" t="n">
        <x:f>AP762+AN763-AO763</x:f>
        <x:v>0</x:v>
      </x:c>
      <x:c r="AQ763" s="32" t="n">
        <x:f>AM763+AO763</x:f>
        <x:v>944872.7775298558</x:v>
      </x:c>
      <x:c r="AR763" s="10" t="n">
        <x:f>IF(H763=1,INDEX(tun_Req,G763),0)</x:f>
        <x:v>125406521.7009086</x:v>
      </x:c>
      <x:c r="AS763" s="32" t="n">
        <x:f>IF(H763=1,IF(E763=1,AS762-AR762,AS762)+AQ763,0)</x:f>
        <x:v>104976390.1090493</x:v>
      </x:c>
      <x:c r="AT763" s="11" t="n">
        <x:f>IF(AR763&gt;0,MIN(1,AS763/AR763),1)</x:f>
        <x:v>0.8370887628907797</x:v>
      </x:c>
      <x:c r="AU763" s="10" t="n">
        <x:f>AB763/INDEX(tun_RepScale,G763)</x:f>
        <x:v>268.3533749254604</x:v>
      </x:c>
      <x:c r="AV763" s="32" t="n">
        <x:f>AM763*60/tun_SeasonSeconds</x:f>
        <x:v>3271229.903895471</x:v>
      </x:c>
    </x:row>
    <x:row r="764">
      <x:c r="A764" s="8" t="n">
        <x:f>A763+1</x:f>
        <x:v>761</x:v>
      </x:c>
      <x:c r="B764" s="9" t="n">
        <x:f>A764*tun_SeasonSeconds/60</x:f>
        <x:v>190.25</x:v>
      </x:c>
      <x:c r="C764" s="9" t="n">
        <x:f>A764/4</x:f>
        <x:v>190.25</x:v>
      </x:c>
      <x:c r="D764" s="8" t="n">
        <x:f>IF(MOD(A764,4)=0,1,0)</x:f>
        <x:v>0</x:v>
      </x:c>
      <x:c r="E764" s="8" t="n">
        <x:f>IF(AND(F763&lt;=9,AS763&gt;=AR763),1,0)</x:f>
        <x:v>0</x:v>
      </x:c>
      <x:c r="F764" s="8" t="n">
        <x:f>MIN(10,F763+E764)</x:f>
        <x:v>9</x:v>
      </x:c>
      <x:c r="G764" s="8" t="n">
        <x:f>MIN(F764,9)+1</x:f>
        <x:v>10</x:v>
      </x:c>
      <x:c r="H764" s="8" t="n">
        <x:f>IF(F764&lt;=9,1,0)</x:f>
        <x:v>1</x:v>
      </x:c>
      <x:c r="I764" s="9" t="n">
        <x:f>MIN(10,F763+IF(AR763&gt;0,MIN(1,AS763/AR763),1))</x:f>
        <x:v>9.83708876289078</x:v>
      </x:c>
      <x:c r="J764" s="32" t="n">
        <x:f>INDEX(tun_FoodCap,G764)*Arch_FoodCap*EXP(tun_CapsByProject*SUMPRODUCT((Cap_Point&lt;=I764)*(Cap_Kind="Food")*Cap_Ln))</x:f>
        <x:v>18627.260449441455</x:v>
      </x:c>
      <x:c r="K764" s="32" t="n">
        <x:f>J764*MIN(1,tun_LeanBase*EXP(tun_CapsByProject*SUMPRODUCT((Cap_Point&lt;=I764)*(Cap_Kind="Lean")*Cap_Ln)))</x:f>
        <x:v>18627.260449441455</x:v>
      </x:c>
      <x:c r="L764" s="10" t="n">
        <x:f>INDEX(tun_HousingCap,G764)*EXP(tun_CapsByProject*SUMPRODUCT((Cap_Point&lt;=I764)*(Cap_Kind="Housing")*Cap_Ln))</x:f>
        <x:v>20528.974303173167</x:v>
      </x:c>
      <x:c r="M764" s="10" t="n">
        <x:f>INDEX(tun_GroupCap,G764)*tun_CohesionFactor*EXP(tun_CapsByProject*SUMPRODUCT((Cap_Point&lt;=I764)*(Cap_Kind="Group")*Cap_Ln))</x:f>
        <x:v>1000000.000000001</x:v>
      </x:c>
      <x:c r="N764" s="32" t="n">
        <x:f>MIN(J764,L764,M764)</x:f>
        <x:v>18627.260449441455</x:v>
      </x:c>
      <x:c r="O764" s="10" t="n">
        <x:f>AE763*N764</x:f>
        <x:v>167645.34404497308</x:v>
      </x:c>
      <x:c r="P764" s="9" t="n">
        <x:f>MIN(1,(AB763/(AE763*IF(tun_GroupInCrowding=1,N764,MIN(J764,L764))))^tun_CrowdingExp)</x:f>
        <x:v>0.26285328964127114</x:v>
      </x:c>
      <x:c r="Q764" s="9" t="n">
        <x:f>IF(D764=1,INDEX(tun_WinterMult,G764),1)</x:f>
        <x:v>1</x:v>
      </x:c>
      <x:c r="R764" s="9" t="n">
        <x:f>H764*Z763*tun_WomenShare*tun_BaseFertility*INDEX(tun_FertMult,G764)*Arch_Fertility*(1-P764)</x:f>
        <x:v>913.4416591445154</x:v>
      </x:c>
      <x:c r="S764" s="9" t="n">
        <x:f>H764*Y763*INDEX(tun_MortChild,G764)/4*Q764</x:f>
        <x:v>8.436588795556721</x:v>
      </x:c>
      <x:c r="T764" s="9" t="n">
        <x:f>H764*Z763*INDEX(tun_MortAdult,G764)*Arch_AdultMort/4*Q764</x:f>
        <x:v>20.4256906171527</x:v>
      </x:c>
      <x:c r="U764" s="9" t="n">
        <x:f>H764*AA763*INDEX(tun_MortElder,G764)/4*Q764</x:f>
        <x:v>284.9325453979785</x:v>
      </x:c>
      <x:c r="V764" s="9" t="n">
        <x:f>H764*MAX(0,AB763-O764)*tun_OvercapLoss</x:f>
        <x:v>0</x:v>
      </x:c>
      <x:c r="W764" s="9" t="n">
        <x:f>H764*Y763/(tun_ChildYears*4)</x:f>
        <x:v>669.5705393298986</x:v>
      </x:c>
      <x:c r="X764" s="9" t="n">
        <x:f>H764*Z763/(tun_AdultYears*4)</x:f>
        <x:v>439.26216380973545</x:v>
      </x:c>
      <x:c r="Y764" s="32" t="n">
        <x:f>Y763+R764-S764-W764-Y763*V764/AB763</x:f>
        <x:v>37731.38473349338</x:v>
      </x:c>
      <x:c r="Z764" s="32" t="n">
        <x:f>Z763+W764-X764-T764-Z763*V764/AB763</x:f>
        <x:v>54678.39099731021</x:v>
      </x:c>
      <x:c r="AA764" s="32" t="n">
        <x:f>AA763+X764-U764-AA763*V764/AB763</x:f>
        <x:v>42366.55856626043</x:v>
      </x:c>
      <x:c r="AB764" s="10" t="n">
        <x:f>Y764+Z764+AA764</x:f>
        <x:v>134776.33429706402</x:v>
      </x:c>
      <x:c r="AC764" s="8" t="n">
        <x:f>IF(AND(tun_WinterTrigger=1,D764=1,AB763/AE763&gt;=K764),1,0)</x:f>
        <x:v>0</x:v>
      </x:c>
      <x:c r="AD764" s="8" t="n">
        <x:f>H764*IF(AND(OR(AB763/AE763&gt;=tun_FissionTrigger*N764,AC764=1),AB763/AE763*tun_DaughterShare&gt;=tun_MinDaughter),MAX(1,ROUND(AE763*tun_FissionRate,0)),0)</x:f>
        <x:v>0</x:v>
      </x:c>
      <x:c r="AE764" s="8" t="n">
        <x:f>IF(H764=1,MAX(1,MIN(INDEX(tun_Smax,G764),AE763+AD764)),AE763)</x:f>
        <x:v>9</x:v>
      </x:c>
      <x:c r="AF764" s="8" t="n">
        <x:f>MAX(0,AE764-AE763)</x:f>
        <x:v>0</x:v>
      </x:c>
      <x:c r="AG764" s="9" t="str">
        <x:f>IF(AF764&gt;0,B764,"")</x:f>
      </x:c>
      <x:c r="AH764" s="9" t="n">
        <x:f>IF(F764&gt;=1,1,(1+tun_LowTiesShare*(AE764-1))/AE764)</x:f>
        <x:v>1</x:v>
      </x:c>
      <x:c r="AI764" s="32" t="n">
        <x:f>(Z764+tun_ElderCommons*INDEX(LM_Elder,G764)*AA764)*AH764</x:f>
        <x:v>221307.47158785845</x:v>
      </x:c>
      <x:c r="AJ764" s="32" t="n">
        <x:f>H764*tun_CommonsCoef*AI764^tun_CommonsExp*INDEX(LM_Commons,G764)</x:f>
        <x:v>750303.034967605</x:v>
      </x:c>
      <x:c r="AK764" s="32" t="n">
        <x:f>H764*tun_RoleScale*Arch_Roles*(AE764*(INDEX(tun_ElderRolePerSett,G764)*tun_OutElder*INDEX(LM_Elder,G764)+INDEX(tun_ShamanPerSett,G764)*tun_OutShaman)+Z764*(INDEX(tun_PriestShare,G764)*tun_OutPriest+INDEX(tun_ScribeShare,G764)*tun_OutScribe*INDEX(LM_Scribe,G764)+INDEX(tun_ScholarShare,G764)*tun_OutScholar*INDEX(LM_Scholar,G764)+INDEX(tun_ResearcherShare,G764)*tun_OutResearcher*INDEX(LM_Researcher,G764)))</x:f>
        <x:v>197172.1950298904</x:v>
      </x:c>
      <x:c r="AL764" s="32" t="n">
        <x:f>H764*tun_RoleScale*Arch_Roles*AE764*INDEX(tun_MonasteryPerSett,G764)*tun_OutMonastery*INDEX(LM_Monastery,G764)</x:f>
        <x:v>15.840000000000002</x:v>
      </x:c>
      <x:c r="AM764" s="32" t="n">
        <x:f>(AJ764+AK764+AL764)/4*INDEX(LM_All,G764)*INDEX(tun_Boon,G764)*Arch_Insight</x:f>
        <x:v>820501.1357038673</x:v>
      </x:c>
      <x:c r="AN764" s="32" t="n">
        <x:f>H764*(tun_KHPerAdult*Z764+tun_KHOfCommons*AJ764/4*INDEX(LM_All,G764))*tun_KHUsable*Arch_KH</x:f>
        <x:v>127465.3257080168</x:v>
      </x:c>
      <x:c r="AO764" s="32" t="n">
        <x:f>MIN(AP763+AN764,AM764*tun_KHMaxRatio)</x:f>
        <x:v>127465.3257080168</x:v>
      </x:c>
      <x:c r="AP764" s="32" t="n">
        <x:f>AP763+AN764-AO764</x:f>
        <x:v>0</x:v>
      </x:c>
      <x:c r="AQ764" s="32" t="n">
        <x:f>AM764+AO764</x:f>
        <x:v>947966.461411884</x:v>
      </x:c>
      <x:c r="AR764" s="10" t="n">
        <x:f>IF(H764=1,INDEX(tun_Req,G764),0)</x:f>
        <x:v>125406521.7009086</x:v>
      </x:c>
      <x:c r="AS764" s="32" t="n">
        <x:f>IF(H764=1,IF(E764=1,AS763-AR763,AS763)+AQ764,0)</x:f>
        <x:v>105924356.57046118</x:v>
      </x:c>
      <x:c r="AT764" s="11" t="n">
        <x:f>IF(AR764&gt;0,MIN(1,AS764/AR764),1)</x:f>
        <x:v>0.8446479109203595</x:v>
      </x:c>
      <x:c r="AU764" s="10" t="n">
        <x:f>AB764/INDEX(tun_RepScale,G764)</x:f>
        <x:v>269.552668594128</x:v>
      </x:c>
      <x:c r="AV764" s="32" t="n">
        <x:f>AM764*60/tun_SeasonSeconds</x:f>
        <x:v>3282004.542815469</x:v>
      </x:c>
    </x:row>
    <x:row r="765">
      <x:c r="A765" s="8" t="n">
        <x:f>A764+1</x:f>
        <x:v>762</x:v>
      </x:c>
      <x:c r="B765" s="9" t="n">
        <x:f>A765*tun_SeasonSeconds/60</x:f>
        <x:v>190.5</x:v>
      </x:c>
      <x:c r="C765" s="9" t="n">
        <x:f>A765/4</x:f>
        <x:v>190.5</x:v>
      </x:c>
      <x:c r="D765" s="8" t="n">
        <x:f>IF(MOD(A765,4)=0,1,0)</x:f>
        <x:v>0</x:v>
      </x:c>
      <x:c r="E765" s="8" t="n">
        <x:f>IF(AND(F764&lt;=9,AS764&gt;=AR764),1,0)</x:f>
        <x:v>0</x:v>
      </x:c>
      <x:c r="F765" s="8" t="n">
        <x:f>MIN(10,F764+E765)</x:f>
        <x:v>9</x:v>
      </x:c>
      <x:c r="G765" s="8" t="n">
        <x:f>MIN(F765,9)+1</x:f>
        <x:v>10</x:v>
      </x:c>
      <x:c r="H765" s="8" t="n">
        <x:f>IF(F765&lt;=9,1,0)</x:f>
        <x:v>1</x:v>
      </x:c>
      <x:c r="I765" s="9" t="n">
        <x:f>MIN(10,F764+IF(AR764&gt;0,MIN(1,AS764/AR764),1))</x:f>
        <x:v>9.84464791092036</x:v>
      </x:c>
      <x:c r="J765" s="32" t="n">
        <x:f>INDEX(tun_FoodCap,G765)*Arch_FoodCap*EXP(tun_CapsByProject*SUMPRODUCT((Cap_Point&lt;=I765)*(Cap_Kind="Food")*Cap_Ln))</x:f>
        <x:v>18627.260449441455</x:v>
      </x:c>
      <x:c r="K765" s="32" t="n">
        <x:f>J765*MIN(1,tun_LeanBase*EXP(tun_CapsByProject*SUMPRODUCT((Cap_Point&lt;=I765)*(Cap_Kind="Lean")*Cap_Ln)))</x:f>
        <x:v>18627.260449441455</x:v>
      </x:c>
      <x:c r="L765" s="10" t="n">
        <x:f>INDEX(tun_HousingCap,G765)*EXP(tun_CapsByProject*SUMPRODUCT((Cap_Point&lt;=I765)*(Cap_Kind="Housing")*Cap_Ln))</x:f>
        <x:v>20528.974303173167</x:v>
      </x:c>
      <x:c r="M765" s="10" t="n">
        <x:f>INDEX(tun_GroupCap,G765)*tun_CohesionFactor*EXP(tun_CapsByProject*SUMPRODUCT((Cap_Point&lt;=I765)*(Cap_Kind="Group")*Cap_Ln))</x:f>
        <x:v>1000000.000000001</x:v>
      </x:c>
      <x:c r="N765" s="32" t="n">
        <x:f>MIN(J765,L765,M765)</x:f>
        <x:v>18627.260449441455</x:v>
      </x:c>
      <x:c r="O765" s="10" t="n">
        <x:f>AE764*N765</x:f>
        <x:v>167645.34404497308</x:v>
      </x:c>
      <x:c r="P765" s="9" t="n">
        <x:f>MIN(1,(AB764/(AE764*IF(tun_GroupInCrowding=1,N765,MIN(J765,L765))))^tun_CrowdingExp)</x:f>
        <x:v>0.2699807888082984</x:v>
      </x:c>
      <x:c r="Q765" s="9" t="n">
        <x:f>IF(D765=1,INDEX(tun_WinterMult,G765),1)</x:f>
        <x:v>1</x:v>
      </x:c>
      <x:c r="R765" s="9" t="n">
        <x:f>H765*Z764*tun_WomenShare*tun_BaseFertility*INDEX(tun_FertMult,G765)*Arch_Fertility*(1-P765)</x:f>
        <x:v>908.0952759307484</x:v>
      </x:c>
      <x:c r="S765" s="9" t="n">
        <x:f>H765*Y764*INDEX(tun_MortChild,G765)/4*Q765</x:f>
        <x:v>8.489561565036011</x:v>
      </x:c>
      <x:c r="T765" s="9" t="n">
        <x:f>H765*Z764*INDEX(tun_MortAdult,G765)*Arch_AdultMort/4*Q765</x:f>
        <x:v>20.50439662399133</x:v>
      </x:c>
      <x:c r="U765" s="9" t="n">
        <x:f>H765*AA764*INDEX(tun_MortElder,G765)/4*Q765</x:f>
        <x:v>285.9742703222579</x:v>
      </x:c>
      <x:c r="V765" s="9" t="n">
        <x:f>H765*MAX(0,AB764-O765)*tun_OvercapLoss</x:f>
        <x:v>0</x:v>
      </x:c>
      <x:c r="W765" s="9" t="n">
        <x:f>H765*Y764/(tun_ChildYears*4)</x:f>
        <x:v>673.7747273838104</x:v>
      </x:c>
      <x:c r="X765" s="9" t="n">
        <x:f>H765*Z764/(tun_AdultYears*4)</x:f>
        <x:v>440.95476610734045</x:v>
      </x:c>
      <x:c r="Y765" s="32" t="n">
        <x:f>Y764+R765-S765-W765-Y764*V765/AB764</x:f>
        <x:v>37957.21572047528</x:v>
      </x:c>
      <x:c r="Z765" s="32" t="n">
        <x:f>Z764+W765-X765-T765-Z764*V765/AB764</x:f>
        <x:v>54890.706561962696</x:v>
      </x:c>
      <x:c r="AA765" s="32" t="n">
        <x:f>AA764+X765-U765-AA764*V765/AB764</x:f>
        <x:v>42521.53906204551</x:v>
      </x:c>
      <x:c r="AB765" s="10" t="n">
        <x:f>Y765+Z765+AA765</x:f>
        <x:v>135369.46134448348</x:v>
      </x:c>
      <x:c r="AC765" s="8" t="n">
        <x:f>IF(AND(tun_WinterTrigger=1,D765=1,AB764/AE764&gt;=K765),1,0)</x:f>
        <x:v>0</x:v>
      </x:c>
      <x:c r="AD765" s="8" t="n">
        <x:f>H765*IF(AND(OR(AB764/AE764&gt;=tun_FissionTrigger*N765,AC765=1),AB764/AE764*tun_DaughterShare&gt;=tun_MinDaughter),MAX(1,ROUND(AE764*tun_FissionRate,0)),0)</x:f>
        <x:v>0</x:v>
      </x:c>
      <x:c r="AE765" s="8" t="n">
        <x:f>IF(H765=1,MAX(1,MIN(INDEX(tun_Smax,G765),AE764+AD765)),AE764)</x:f>
        <x:v>9</x:v>
      </x:c>
      <x:c r="AF765" s="8" t="n">
        <x:f>MAX(0,AE765-AE764)</x:f>
        <x:v>0</x:v>
      </x:c>
      <x:c r="AG765" s="9" t="str">
        <x:f>IF(AF765&gt;0,B765,"")</x:f>
      </x:c>
      <x:c r="AH765" s="9" t="n">
        <x:f>IF(F765&gt;=1,1,(1+tun_LowTiesShare*(AE765-1))/AE765)</x:f>
        <x:v>1</x:v>
      </x:c>
      <x:c r="AI765" s="32" t="n">
        <x:f>(Z765+tun_ElderCommons*INDEX(LM_Elder,G765)*AA765)*AH765</x:f>
        <x:v>222129.3305847854</x:v>
      </x:c>
      <x:c r="AJ765" s="32" t="n">
        <x:f>H765*tun_CommonsCoef*AI765^tun_CommonsExp*INDEX(LM_Commons,G765)</x:f>
        <x:v>752670.7861374107</x:v>
      </x:c>
      <x:c r="AK765" s="32" t="n">
        <x:f>H765*tun_RoleScale*Arch_Roles*(AE765*(INDEX(tun_ElderRolePerSett,G765)*tun_OutElder*INDEX(LM_Elder,G765)+INDEX(tun_ShamanPerSett,G765)*tun_OutShaman)+Z765*(INDEX(tun_PriestShare,G765)*tun_OutPriest+INDEX(tun_ScribeShare,G765)*tun_OutScribe*INDEX(LM_Scribe,G765)+INDEX(tun_ScholarShare,G765)*tun_OutScholar*INDEX(LM_Scholar,G765)+INDEX(tun_ResearcherShare,G765)*tun_OutResearcher*INDEX(LM_Researcher,G765)))</x:f>
        <x:v>197936.84324810214</x:v>
      </x:c>
      <x:c r="AL765" s="32" t="n">
        <x:f>H765*tun_RoleScale*Arch_Roles*AE765*INDEX(tun_MonasteryPerSett,G765)*tun_OutMonastery*INDEX(LM_Monastery,G765)</x:f>
        <x:v>15.840000000000002</x:v>
      </x:c>
      <x:c r="AM765" s="32" t="n">
        <x:f>(AJ765+AK765+AL765)/4*INDEX(LM_All,G765)*INDEX(tun_Boon,G765)*Arch_Insight</x:f>
        <x:v>823213.7071852566</x:v>
      </x:c>
      <x:c r="AN765" s="32" t="n">
        <x:f>H765*(tun_KHPerAdult*Z765+tun_KHOfCommons*AJ765/4*INDEX(LM_All,G765))*tun_KHUsable*Arch_KH</x:f>
        <x:v>127867.57141407052</x:v>
      </x:c>
      <x:c r="AO765" s="32" t="n">
        <x:f>MIN(AP764+AN765,AM765*tun_KHMaxRatio)</x:f>
        <x:v>127867.57141407052</x:v>
      </x:c>
      <x:c r="AP765" s="32" t="n">
        <x:f>AP764+AN765-AO765</x:f>
        <x:v>0</x:v>
      </x:c>
      <x:c r="AQ765" s="32" t="n">
        <x:f>AM765+AO765</x:f>
        <x:v>951081.2785993272</x:v>
      </x:c>
      <x:c r="AR765" s="10" t="n">
        <x:f>IF(H765=1,INDEX(tun_Req,G765),0)</x:f>
        <x:v>125406521.7009086</x:v>
      </x:c>
      <x:c r="AS765" s="32" t="n">
        <x:f>IF(H765=1,IF(E765=1,AS764-AR764,AS764)+AQ765,0)</x:f>
        <x:v>106875437.8490605</x:v>
      </x:c>
      <x:c r="AT765" s="11" t="n">
        <x:f>IF(AR765&gt;0,MIN(1,AS765/AR765),1)</x:f>
        <x:v>0.8522318967107287</x:v>
      </x:c>
      <x:c r="AU765" s="10" t="n">
        <x:f>AB765/INDEX(tun_RepScale,G765)</x:f>
        <x:v>270.73892268896697</x:v>
      </x:c>
      <x:c r="AV765" s="32" t="n">
        <x:f>AM765*60/tun_SeasonSeconds</x:f>
        <x:v>3292854.8287410266</x:v>
      </x:c>
    </x:row>
    <x:row r="766">
      <x:c r="A766" s="8" t="n">
        <x:f>A765+1</x:f>
        <x:v>763</x:v>
      </x:c>
      <x:c r="B766" s="9" t="n">
        <x:f>A766*tun_SeasonSeconds/60</x:f>
        <x:v>190.75</x:v>
      </x:c>
      <x:c r="C766" s="9" t="n">
        <x:f>A766/4</x:f>
        <x:v>190.75</x:v>
      </x:c>
      <x:c r="D766" s="8" t="n">
        <x:f>IF(MOD(A766,4)=0,1,0)</x:f>
        <x:v>0</x:v>
      </x:c>
      <x:c r="E766" s="8" t="n">
        <x:f>IF(AND(F765&lt;=9,AS765&gt;=AR765),1,0)</x:f>
        <x:v>0</x:v>
      </x:c>
      <x:c r="F766" s="8" t="n">
        <x:f>MIN(10,F765+E766)</x:f>
        <x:v>9</x:v>
      </x:c>
      <x:c r="G766" s="8" t="n">
        <x:f>MIN(F766,9)+1</x:f>
        <x:v>10</x:v>
      </x:c>
      <x:c r="H766" s="8" t="n">
        <x:f>IF(F766&lt;=9,1,0)</x:f>
        <x:v>1</x:v>
      </x:c>
      <x:c r="I766" s="9" t="n">
        <x:f>MIN(10,F765+IF(AR765&gt;0,MIN(1,AS765/AR765),1))</x:f>
        <x:v>9.852231896710729</x:v>
      </x:c>
      <x:c r="J766" s="32" t="n">
        <x:f>INDEX(tun_FoodCap,G766)*Arch_FoodCap*EXP(tun_CapsByProject*SUMPRODUCT((Cap_Point&lt;=I766)*(Cap_Kind="Food")*Cap_Ln))</x:f>
        <x:v>18627.260449441455</x:v>
      </x:c>
      <x:c r="K766" s="32" t="n">
        <x:f>J766*MIN(1,tun_LeanBase*EXP(tun_CapsByProject*SUMPRODUCT((Cap_Point&lt;=I766)*(Cap_Kind="Lean")*Cap_Ln)))</x:f>
        <x:v>18627.260449441455</x:v>
      </x:c>
      <x:c r="L766" s="10" t="n">
        <x:f>INDEX(tun_HousingCap,G766)*EXP(tun_CapsByProject*SUMPRODUCT((Cap_Point&lt;=I766)*(Cap_Kind="Housing")*Cap_Ln))</x:f>
        <x:v>20528.974303173167</x:v>
      </x:c>
      <x:c r="M766" s="10" t="n">
        <x:f>INDEX(tun_GroupCap,G766)*tun_CohesionFactor*EXP(tun_CapsByProject*SUMPRODUCT((Cap_Point&lt;=I766)*(Cap_Kind="Group")*Cap_Ln))</x:f>
        <x:v>1000000.000000001</x:v>
      </x:c>
      <x:c r="N766" s="32" t="n">
        <x:f>MIN(J766,L766,M766)</x:f>
        <x:v>18627.260449441455</x:v>
      </x:c>
      <x:c r="O766" s="10" t="n">
        <x:f>AE765*N766</x:f>
        <x:v>167645.34404497308</x:v>
      </x:c>
      <x:c r="P766" s="9" t="n">
        <x:f>MIN(1,(AB765/(AE765*IF(tun_GroupInCrowding=1,N766,MIN(J766,L766))))^tun_CrowdingExp)</x:f>
        <x:v>0.27718851143225604</x:v>
      </x:c>
      <x:c r="Q766" s="9" t="n">
        <x:f>IF(D766=1,INDEX(tun_WinterMult,G766),1)</x:f>
        <x:v>1</x:v>
      </x:c>
      <x:c r="R766" s="9" t="n">
        <x:f>H766*Z765*tun_WomenShare*tun_BaseFertility*INDEX(tun_FertMult,G766)*Arch_Fertility*(1-P766)</x:f>
        <x:v>902.6206579978652</x:v>
      </x:c>
      <x:c r="S766" s="9" t="n">
        <x:f>H766*Y765*INDEX(tun_MortChild,G766)/4*Q766</x:f>
        <x:v>8.540373537106937</x:v>
      </x:c>
      <x:c r="T766" s="9" t="n">
        <x:f>H766*Z765*INDEX(tun_MortAdult,G766)*Arch_AdultMort/4*Q766</x:f>
        <x:v>20.58401496073601</x:v>
      </x:c>
      <x:c r="U766" s="9" t="n">
        <x:f>H766*AA765*INDEX(tun_MortElder,G766)/4*Q766</x:f>
        <x:v>287.0203886688072</x:v>
      </x:c>
      <x:c r="V766" s="9" t="n">
        <x:f>H766*MAX(0,AB765-O766)*tun_OvercapLoss</x:f>
        <x:v>0</x:v>
      </x:c>
      <x:c r="W766" s="9" t="n">
        <x:f>H766*Y765/(tun_ChildYears*4)</x:f>
        <x:v>677.8074235799157</x:v>
      </x:c>
      <x:c r="X766" s="9" t="n">
        <x:f>H766*Z765/(tun_AdultYears*4)</x:f>
        <x:v>442.66698840292497</x:v>
      </x:c>
      <x:c r="Y766" s="32" t="n">
        <x:f>Y765+R766-S766-W766-Y765*V766/AB765</x:f>
        <x:v>38173.48858135613</x:v>
      </x:c>
      <x:c r="Z766" s="32" t="n">
        <x:f>Z765+W766-X766-T766-Z765*V766/AB765</x:f>
        <x:v>55105.262982178945</x:v>
      </x:c>
      <x:c r="AA766" s="32" t="n">
        <x:f>AA765+X766-U766-AA765*V766/AB765</x:f>
        <x:v>42677.18566177962</x:v>
      </x:c>
      <x:c r="AB766" s="10" t="n">
        <x:f>Y766+Z766+AA766</x:f>
        <x:v>135955.9372253147</x:v>
      </x:c>
      <x:c r="AC766" s="8" t="n">
        <x:f>IF(AND(tun_WinterTrigger=1,D766=1,AB765/AE765&gt;=K766),1,0)</x:f>
        <x:v>0</x:v>
      </x:c>
      <x:c r="AD766" s="8" t="n">
        <x:f>H766*IF(AND(OR(AB765/AE765&gt;=tun_FissionTrigger*N766,AC766=1),AB765/AE765*tun_DaughterShare&gt;=tun_MinDaughter),MAX(1,ROUND(AE765*tun_FissionRate,0)),0)</x:f>
        <x:v>0</x:v>
      </x:c>
      <x:c r="AE766" s="8" t="n">
        <x:f>IF(H766=1,MAX(1,MIN(INDEX(tun_Smax,G766),AE765+AD766)),AE765)</x:f>
        <x:v>9</x:v>
      </x:c>
      <x:c r="AF766" s="8" t="n">
        <x:f>MAX(0,AE766-AE765)</x:f>
        <x:v>0</x:v>
      </x:c>
      <x:c r="AG766" s="9" t="str">
        <x:f>IF(AF766&gt;0,B766,"")</x:f>
      </x:c>
      <x:c r="AH766" s="9" t="n">
        <x:f>IF(F766&gt;=1,1,(1+tun_LowTiesShare*(AE766-1))/AE766)</x:f>
        <x:v>1</x:v>
      </x:c>
      <x:c r="AI766" s="32" t="n">
        <x:f>(Z766+tun_ElderCommons*INDEX(LM_Elder,G766)*AA766)*AH766</x:f>
        <x:v>222956.05024620943</x:v>
      </x:c>
      <x:c r="AJ766" s="32" t="n">
        <x:f>H766*tun_CommonsCoef*AI766^tun_CommonsExp*INDEX(LM_Commons,G766)</x:f>
        <x:v>755051.215360567</x:v>
      </x:c>
      <x:c r="AK766" s="32" t="n">
        <x:f>H766*tun_RoleScale*Arch_Roles*(AE766*(INDEX(tun_ElderRolePerSett,G766)*tun_OutElder*INDEX(LM_Elder,G766)+INDEX(tun_ShamanPerSett,G766)*tun_OutShaman)+Z766*(INDEX(tun_PriestShare,G766)*tun_OutPriest+INDEX(tun_ScribeShare,G766)*tun_OutScribe*INDEX(LM_Scribe,G766)+INDEX(tun_ScholarShare,G766)*tun_OutScholar*INDEX(LM_Scholar,G766)+INDEX(tun_ResearcherShare,G766)*tun_OutResearcher*INDEX(LM_Researcher,G766)))</x:f>
        <x:v>198709.5618412622</x:v>
      </x:c>
      <x:c r="AL766" s="32" t="n">
        <x:f>H766*tun_RoleScale*Arch_Roles*AE766*INDEX(tun_MonasteryPerSett,G766)*tun_OutMonastery*INDEX(LM_Monastery,G766)</x:f>
        <x:v>15.840000000000002</x:v>
      </x:c>
      <x:c r="AM766" s="32" t="n">
        <x:f>(AJ766+AK766+AL766)/4*INDEX(LM_All,G766)*INDEX(tun_Boon,G766)*Arch_Insight</x:f>
        <x:v>825944.2462333309</x:v>
      </x:c>
      <x:c r="AN766" s="32" t="n">
        <x:f>H766*(tun_KHPerAdult*Z766+tun_KHOfCommons*AJ766/4*INDEX(LM_All,G766))*tun_KHUsable*Arch_KH</x:f>
        <x:v>128271.97093281646</x:v>
      </x:c>
      <x:c r="AO766" s="32" t="n">
        <x:f>MIN(AP765+AN766,AM766*tun_KHMaxRatio)</x:f>
        <x:v>128271.97093281646</x:v>
      </x:c>
      <x:c r="AP766" s="32" t="n">
        <x:f>AP765+AN766-AO766</x:f>
        <x:v>0</x:v>
      </x:c>
      <x:c r="AQ766" s="32" t="n">
        <x:f>AM766+AO766</x:f>
        <x:v>954216.2171661474</x:v>
      </x:c>
      <x:c r="AR766" s="10" t="n">
        <x:f>IF(H766=1,INDEX(tun_Req,G766),0)</x:f>
        <x:v>125406521.7009086</x:v>
      </x:c>
      <x:c r="AS766" s="32" t="n">
        <x:f>IF(H766=1,IF(E766=1,AS765-AR765,AS765)+AQ766,0)</x:f>
        <x:v>107829654.06622665</x:v>
      </x:c>
      <x:c r="AT766" s="11" t="n">
        <x:f>IF(AR766&gt;0,MIN(1,AS766/AR766),1)</x:f>
        <x:v>0.8598408807111138</x:v>
      </x:c>
      <x:c r="AU766" s="10" t="n">
        <x:f>AB766/INDEX(tun_RepScale,G766)</x:f>
        <x:v>271.9118744506294</x:v>
      </x:c>
      <x:c r="AV766" s="32" t="n">
        <x:f>AM766*60/tun_SeasonSeconds</x:f>
        <x:v>3303776.9849333237</x:v>
      </x:c>
    </x:row>
    <x:row r="767">
      <x:c r="A767" s="8" t="n">
        <x:f>A766+1</x:f>
        <x:v>764</x:v>
      </x:c>
      <x:c r="B767" s="9" t="n">
        <x:f>A767*tun_SeasonSeconds/60</x:f>
        <x:v>191</x:v>
      </x:c>
      <x:c r="C767" s="9" t="n">
        <x:f>A767/4</x:f>
        <x:v>191</x:v>
      </x:c>
      <x:c r="D767" s="8" t="n">
        <x:f>IF(MOD(A767,4)=0,1,0)</x:f>
        <x:v>1</x:v>
      </x:c>
      <x:c r="E767" s="8" t="n">
        <x:f>IF(AND(F766&lt;=9,AS766&gt;=AR766),1,0)</x:f>
        <x:v>0</x:v>
      </x:c>
      <x:c r="F767" s="8" t="n">
        <x:f>MIN(10,F766+E767)</x:f>
        <x:v>9</x:v>
      </x:c>
      <x:c r="G767" s="8" t="n">
        <x:f>MIN(F767,9)+1</x:f>
        <x:v>10</x:v>
      </x:c>
      <x:c r="H767" s="8" t="n">
        <x:f>IF(F767&lt;=9,1,0)</x:f>
        <x:v>1</x:v>
      </x:c>
      <x:c r="I767" s="9" t="n">
        <x:f>MIN(10,F766+IF(AR766&gt;0,MIN(1,AS766/AR766),1))</x:f>
        <x:v>9.859840880711113</x:v>
      </x:c>
      <x:c r="J767" s="32" t="n">
        <x:f>INDEX(tun_FoodCap,G767)*Arch_FoodCap*EXP(tun_CapsByProject*SUMPRODUCT((Cap_Point&lt;=I767)*(Cap_Kind="Food")*Cap_Ln))</x:f>
        <x:v>18627.260449441455</x:v>
      </x:c>
      <x:c r="K767" s="32" t="n">
        <x:f>J767*MIN(1,tun_LeanBase*EXP(tun_CapsByProject*SUMPRODUCT((Cap_Point&lt;=I767)*(Cap_Kind="Lean")*Cap_Ln)))</x:f>
        <x:v>18627.260449441455</x:v>
      </x:c>
      <x:c r="L767" s="10" t="n">
        <x:f>INDEX(tun_HousingCap,G767)*EXP(tun_CapsByProject*SUMPRODUCT((Cap_Point&lt;=I767)*(Cap_Kind="Housing")*Cap_Ln))</x:f>
        <x:v>20528.974303173167</x:v>
      </x:c>
      <x:c r="M767" s="10" t="n">
        <x:f>INDEX(tun_GroupCap,G767)*tun_CohesionFactor*EXP(tun_CapsByProject*SUMPRODUCT((Cap_Point&lt;=I767)*(Cap_Kind="Group")*Cap_Ln))</x:f>
        <x:v>1000000.000000001</x:v>
      </x:c>
      <x:c r="N767" s="32" t="n">
        <x:f>MIN(J767,L767,M767)</x:f>
        <x:v>18627.260449441455</x:v>
      </x:c>
      <x:c r="O767" s="10" t="n">
        <x:f>AE766*N767</x:f>
        <x:v>167645.34404497308</x:v>
      </x:c>
      <x:c r="P767" s="9" t="n">
        <x:f>MIN(1,(AB766/(AE766*IF(tun_GroupInCrowding=1,N767,MIN(J767,L767))))^tun_CrowdingExp)</x:f>
        <x:v>0.2844723692817705</x:v>
      </x:c>
      <x:c r="Q767" s="9" t="n">
        <x:f>IF(D767=1,INDEX(tun_WinterMult,G767),1)</x:f>
        <x:v>1.05</x:v>
      </x:c>
      <x:c r="R767" s="9" t="n">
        <x:f>H767*Z766*tun_WomenShare*tun_BaseFertility*INDEX(tun_FertMult,G767)*Arch_Fertility*(1-P767)</x:f>
        <x:v>897.0174454546636</x:v>
      </x:c>
      <x:c r="S767" s="9" t="n">
        <x:f>H767*Y766*INDEX(tun_MortChild,G767)/4*Q767</x:f>
        <x:v>9.018486677345386</x:v>
      </x:c>
      <x:c r="T767" s="9" t="n">
        <x:f>H767*Z766*INDEX(tun_MortAdult,G767)*Arch_AdultMort/4*Q767</x:f>
        <x:v>21.69769729923296</x:v>
      </x:c>
      <x:c r="U767" s="9" t="n">
        <x:f>H767*AA766*INDEX(tun_MortElder,G767)/4*Q767</x:f>
        <x:v>302.47455337786306</x:v>
      </x:c>
      <x:c r="V767" s="9" t="n">
        <x:f>H767*MAX(0,AB766-O767)*tun_OvercapLoss</x:f>
        <x:v>0</x:v>
      </x:c>
      <x:c r="W767" s="9" t="n">
        <x:f>H767*Y766/(tun_ChildYears*4)</x:f>
        <x:v>681.669438952788</x:v>
      </x:c>
      <x:c r="X767" s="9" t="n">
        <x:f>H767*Z766/(tun_AdultYears*4)</x:f>
        <x:v>444.39728211434635</x:v>
      </x:c>
      <x:c r="Y767" s="32" t="n">
        <x:f>Y766+R767-S767-W767-Y766*V767/AB766</x:f>
        <x:v>38379.81810118065</x:v>
      </x:c>
      <x:c r="Z767" s="32" t="n">
        <x:f>Z766+W767-X767-T767-Z766*V767/AB766</x:f>
        <x:v>55320.837441718155</x:v>
      </x:c>
      <x:c r="AA767" s="32" t="n">
        <x:f>AA766+X767-U767-AA766*V767/AB766</x:f>
        <x:v>42819.10839051611</x:v>
      </x:c>
      <x:c r="AB767" s="10" t="n">
        <x:f>Y767+Z767+AA767</x:f>
        <x:v>136519.7639334149</x:v>
      </x:c>
      <x:c r="AC767" s="8" t="n">
        <x:f>IF(AND(tun_WinterTrigger=1,D767=1,AB766/AE766&gt;=K767),1,0)</x:f>
        <x:v>0</x:v>
      </x:c>
      <x:c r="AD767" s="8" t="n">
        <x:f>H767*IF(AND(OR(AB766/AE766&gt;=tun_FissionTrigger*N767,AC767=1),AB766/AE766*tun_DaughterShare&gt;=tun_MinDaughter),MAX(1,ROUND(AE766*tun_FissionRate,0)),0)</x:f>
        <x:v>0</x:v>
      </x:c>
      <x:c r="AE767" s="8" t="n">
        <x:f>IF(H767=1,MAX(1,MIN(INDEX(tun_Smax,G767),AE766+AD767)),AE766)</x:f>
        <x:v>9</x:v>
      </x:c>
      <x:c r="AF767" s="8" t="n">
        <x:f>MAX(0,AE767-AE766)</x:f>
        <x:v>0</x:v>
      </x:c>
      <x:c r="AG767" s="9" t="str">
        <x:f>IF(AF767&gt;0,B767,"")</x:f>
      </x:c>
      <x:c r="AH767" s="9" t="n">
        <x:f>IF(F767&gt;=1,1,(1+tun_LowTiesShare*(AE767-1))/AE767)</x:f>
        <x:v>1</x:v>
      </x:c>
      <x:c r="AI767" s="32" t="n">
        <x:f>(Z767+tun_ElderCommons*INDEX(LM_Elder,G767)*AA767)*AH767</x:f>
        <x:v>223729.8115069559</x:v>
      </x:c>
      <x:c r="AJ767" s="32" t="n">
        <x:f>H767*tun_CommonsCoef*AI767^tun_CommonsExp*INDEX(LM_Commons,G767)</x:f>
        <x:v>757277.9586500531</x:v>
      </x:c>
      <x:c r="AK767" s="32" t="n">
        <x:f>H767*tun_RoleScale*Arch_Roles*(AE767*(INDEX(tun_ElderRolePerSett,G767)*tun_OutElder*INDEX(LM_Elder,G767)+INDEX(tun_ShamanPerSett,G767)*tun_OutShaman)+Z767*(INDEX(tun_PriestShare,G767)*tun_OutPriest+INDEX(tun_ScribeShare,G767)*tun_OutScribe*INDEX(LM_Scribe,G767)+INDEX(tun_ScholarShare,G767)*tun_OutScholar*INDEX(LM_Scholar,G767)+INDEX(tun_ResearcherShare,G767)*tun_OutResearcher*INDEX(LM_Researcher,G767)))</x:f>
        <x:v>199485.9468728939</x:v>
      </x:c>
      <x:c r="AL767" s="32" t="n">
        <x:f>H767*tun_RoleScale*Arch_Roles*AE767*INDEX(tun_MonasteryPerSett,G767)*tun_OutMonastery*INDEX(LM_Monastery,G767)</x:f>
        <x:v>15.840000000000002</x:v>
      </x:c>
      <x:c r="AM767" s="32" t="n">
        <x:f>(AJ767+AK767+AL767)/4*INDEX(LM_All,G767)*INDEX(tun_Boon,G767)*Arch_Insight</x:f>
        <x:v>828544.8725359599</x:v>
      </x:c>
      <x:c r="AN767" s="32" t="n">
        <x:f>H767*(tun_KHPerAdult*Z767+tun_KHOfCommons*AJ767/4*INDEX(LM_All,G767))*tun_KHUsable*Arch_KH</x:f>
        <x:v>128650.26149734117</x:v>
      </x:c>
      <x:c r="AO767" s="32" t="n">
        <x:f>MIN(AP766+AN767,AM767*tun_KHMaxRatio)</x:f>
        <x:v>128650.26149734117</x:v>
      </x:c>
      <x:c r="AP767" s="32" t="n">
        <x:f>AP766+AN767-AO767</x:f>
        <x:v>0</x:v>
      </x:c>
      <x:c r="AQ767" s="32" t="n">
        <x:f>AM767+AO767</x:f>
        <x:v>957195.1340333011</x:v>
      </x:c>
      <x:c r="AR767" s="10" t="n">
        <x:f>IF(H767=1,INDEX(tun_Req,G767),0)</x:f>
        <x:v>125406521.7009086</x:v>
      </x:c>
      <x:c r="AS767" s="32" t="n">
        <x:f>IF(H767=1,IF(E767=1,AS766-AR766,AS766)+AQ767,0)</x:f>
        <x:v>108786849.20025995</x:v>
      </x:c>
      <x:c r="AT767" s="11" t="n">
        <x:f>IF(AR767&gt;0,MIN(1,AS767/AR767),1)</x:f>
        <x:v>0.8674736187940357</x:v>
      </x:c>
      <x:c r="AU767" s="10" t="n">
        <x:f>AB767/INDEX(tun_RepScale,G767)</x:f>
        <x:v>273.0395278668298</x:v>
      </x:c>
      <x:c r="AV767" s="32" t="n">
        <x:f>AM767*60/tun_SeasonSeconds</x:f>
        <x:v>3314179.4901438397</x:v>
      </x:c>
    </x:row>
    <x:row r="768">
      <x:c r="A768" s="8" t="n">
        <x:f>A767+1</x:f>
        <x:v>765</x:v>
      </x:c>
      <x:c r="B768" s="9" t="n">
        <x:f>A768*tun_SeasonSeconds/60</x:f>
        <x:v>191.25</x:v>
      </x:c>
      <x:c r="C768" s="9" t="n">
        <x:f>A768/4</x:f>
        <x:v>191.25</x:v>
      </x:c>
      <x:c r="D768" s="8" t="n">
        <x:f>IF(MOD(A768,4)=0,1,0)</x:f>
        <x:v>0</x:v>
      </x:c>
      <x:c r="E768" s="8" t="n">
        <x:f>IF(AND(F767&lt;=9,AS767&gt;=AR767),1,0)</x:f>
        <x:v>0</x:v>
      </x:c>
      <x:c r="F768" s="8" t="n">
        <x:f>MIN(10,F767+E768)</x:f>
        <x:v>9</x:v>
      </x:c>
      <x:c r="G768" s="8" t="n">
        <x:f>MIN(F768,9)+1</x:f>
        <x:v>10</x:v>
      </x:c>
      <x:c r="H768" s="8" t="n">
        <x:f>IF(F768&lt;=9,1,0)</x:f>
        <x:v>1</x:v>
      </x:c>
      <x:c r="I768" s="9" t="n">
        <x:f>MIN(10,F767+IF(AR767&gt;0,MIN(1,AS767/AR767),1))</x:f>
        <x:v>9.867473618794035</x:v>
      </x:c>
      <x:c r="J768" s="32" t="n">
        <x:f>INDEX(tun_FoodCap,G768)*Arch_FoodCap*EXP(tun_CapsByProject*SUMPRODUCT((Cap_Point&lt;=I768)*(Cap_Kind="Food")*Cap_Ln))</x:f>
        <x:v>18627.260449441455</x:v>
      </x:c>
      <x:c r="K768" s="32" t="n">
        <x:f>J768*MIN(1,tun_LeanBase*EXP(tun_CapsByProject*SUMPRODUCT((Cap_Point&lt;=I768)*(Cap_Kind="Lean")*Cap_Ln)))</x:f>
        <x:v>18627.260449441455</x:v>
      </x:c>
      <x:c r="L768" s="10" t="n">
        <x:f>INDEX(tun_HousingCap,G768)*EXP(tun_CapsByProject*SUMPRODUCT((Cap_Point&lt;=I768)*(Cap_Kind="Housing")*Cap_Ln))</x:f>
        <x:v>20528.974303173167</x:v>
      </x:c>
      <x:c r="M768" s="10" t="n">
        <x:f>INDEX(tun_GroupCap,G768)*tun_CohesionFactor*EXP(tun_CapsByProject*SUMPRODUCT((Cap_Point&lt;=I768)*(Cap_Kind="Group")*Cap_Ln))</x:f>
        <x:v>1000000.000000001</x:v>
      </x:c>
      <x:c r="N768" s="32" t="n">
        <x:f>MIN(J768,L768,M768)</x:f>
        <x:v>18627.260449441455</x:v>
      </x:c>
      <x:c r="O768" s="10" t="n">
        <x:f>AE767*N768</x:f>
        <x:v>167645.34404497308</x:v>
      </x:c>
      <x:c r="P768" s="9" t="n">
        <x:f>MIN(1,(AB767/(AE767*IF(tun_GroupInCrowding=1,N768,MIN(J768,L768))))^tun_CrowdingExp)</x:f>
        <x:v>0.29162462494907865</x:v>
      </x:c>
      <x:c r="Q768" s="9" t="n">
        <x:f>IF(D768=1,INDEX(tun_WinterMult,G768),1)</x:f>
        <x:v>1</x:v>
      </x:c>
      <x:c r="R768" s="9" t="n">
        <x:f>H768*Z767*tun_WomenShare*tun_BaseFertility*INDEX(tun_FertMult,G768)*Arch_Fertility*(1-P768)</x:f>
        <x:v>891.5251565881604</x:v>
      </x:c>
      <x:c r="S768" s="9" t="n">
        <x:f>H768*Y767*INDEX(tun_MortChild,G768)/4*Q768</x:f>
        <x:v>8.635459072765647</x:v>
      </x:c>
      <x:c r="T768" s="9" t="n">
        <x:f>H768*Z767*INDEX(tun_MortAdult,G768)*Arch_AdultMort/4*Q768</x:f>
        <x:v>20.74531404064431</x:v>
      </x:c>
      <x:c r="U768" s="9" t="n">
        <x:f>H768*AA767*INDEX(tun_MortElder,G768)/4*Q768</x:f>
        <x:v>289.0289816359837</x:v>
      </x:c>
      <x:c r="V768" s="9" t="n">
        <x:f>H768*MAX(0,AB767-O768)*tun_OvercapLoss</x:f>
        <x:v>0</x:v>
      </x:c>
      <x:c r="W768" s="9" t="n">
        <x:f>H768*Y767/(tun_ChildYears*4)</x:f>
        <x:v>685.3538946639402</x:v>
      </x:c>
      <x:c r="X768" s="9" t="n">
        <x:f>H768*Z767/(tun_AdultYears*4)</x:f>
        <x:v>446.1357858203077</x:v>
      </x:c>
      <x:c r="Y768" s="32" t="n">
        <x:f>Y767+R768-S768-W768-Y767*V768/AB767</x:f>
        <x:v>38577.35390403211</x:v>
      </x:c>
      <x:c r="Z768" s="32" t="n">
        <x:f>Z767+W768-X768-T768-Z767*V768/AB767</x:f>
        <x:v>55539.310236521145</x:v>
      </x:c>
      <x:c r="AA768" s="32" t="n">
        <x:f>AA767+X768-U768-AA767*V768/AB767</x:f>
        <x:v>42976.215194700424</x:v>
      </x:c>
      <x:c r="AB768" s="10" t="n">
        <x:f>Y768+Z768+AA768</x:f>
        <x:v>137092.87933525367</x:v>
      </x:c>
      <x:c r="AC768" s="8" t="n">
        <x:f>IF(AND(tun_WinterTrigger=1,D768=1,AB767/AE767&gt;=K768),1,0)</x:f>
        <x:v>0</x:v>
      </x:c>
      <x:c r="AD768" s="8" t="n">
        <x:f>H768*IF(AND(OR(AB767/AE767&gt;=tun_FissionTrigger*N768,AC768=1),AB767/AE767*tun_DaughterShare&gt;=tun_MinDaughter),MAX(1,ROUND(AE767*tun_FissionRate,0)),0)</x:f>
        <x:v>0</x:v>
      </x:c>
      <x:c r="AE768" s="8" t="n">
        <x:f>IF(H768=1,MAX(1,MIN(INDEX(tun_Smax,G768),AE767+AD768)),AE767)</x:f>
        <x:v>9</x:v>
      </x:c>
      <x:c r="AF768" s="8" t="n">
        <x:f>MAX(0,AE768-AE767)</x:f>
        <x:v>0</x:v>
      </x:c>
      <x:c r="AG768" s="9" t="str">
        <x:f>IF(AF768&gt;0,B768,"")</x:f>
      </x:c>
      <x:c r="AH768" s="9" t="n">
        <x:f>IF(F768&gt;=1,1,(1+tun_LowTiesShare*(AE768-1))/AE768)</x:f>
        <x:v>1</x:v>
      </x:c>
      <x:c r="AI768" s="32" t="n">
        <x:f>(Z768+tun_ElderCommons*INDEX(LM_Elder,G768)*AA768)*AH768</x:f>
        <x:v>224566.19057551984</x:v>
      </x:c>
      <x:c r="AJ768" s="32" t="n">
        <x:f>H768*tun_CommonsCoef*AI768^tun_CommonsExp*INDEX(LM_Commons,G768)</x:f>
        <x:v>759683.6058285086</x:v>
      </x:c>
      <x:c r="AK768" s="32" t="n">
        <x:f>H768*tun_RoleScale*Arch_Roles*(AE768*(INDEX(tun_ElderRolePerSett,G768)*tun_OutElder*INDEX(LM_Elder,G768)+INDEX(tun_ShamanPerSett,G768)*tun_OutShaman)+Z768*(INDEX(tun_PriestShare,G768)*tun_OutPriest+INDEX(tun_ScribeShare,G768)*tun_OutScribe*INDEX(LM_Scribe,G768)+INDEX(tun_ScholarShare,G768)*tun_OutScholar*INDEX(LM_Scholar,G768)+INDEX(tun_ResearcherShare,G768)*tun_OutResearcher*INDEX(LM_Researcher,G768)))</x:f>
        <x:v>200272.7701731417</x:v>
      </x:c>
      <x:c r="AL768" s="32" t="n">
        <x:f>H768*tun_RoleScale*Arch_Roles*AE768*INDEX(tun_MonasteryPerSett,G768)*tun_OutMonastery*INDEX(LM_Monastery,G768)</x:f>
        <x:v>15.840000000000002</x:v>
      </x:c>
      <x:c r="AM768" s="32" t="n">
        <x:f>(AJ768+AK768+AL768)/4*INDEX(LM_All,G768)*INDEX(tun_Boon,G768)*Arch_Insight</x:f>
        <x:v>831309.4639251791</x:v>
      </x:c>
      <x:c r="AN768" s="32" t="n">
        <x:f>H768*(tun_KHPerAdult*Z768+tun_KHOfCommons*AJ768/4*INDEX(LM_All,G768))*tun_KHUsable*Arch_KH</x:f>
        <x:v>129058.94517160303</x:v>
      </x:c>
      <x:c r="AO768" s="32" t="n">
        <x:f>MIN(AP767+AN768,AM768*tun_KHMaxRatio)</x:f>
        <x:v>129058.94517160303</x:v>
      </x:c>
      <x:c r="AP768" s="32" t="n">
        <x:f>AP767+AN768-AO768</x:f>
        <x:v>0</x:v>
      </x:c>
      <x:c r="AQ768" s="32" t="n">
        <x:f>AM768+AO768</x:f>
        <x:v>960368.4090967821</x:v>
      </x:c>
      <x:c r="AR768" s="10" t="n">
        <x:f>IF(H768=1,INDEX(tun_Req,G768),0)</x:f>
        <x:v>125406521.7009086</x:v>
      </x:c>
      <x:c r="AS768" s="32" t="n">
        <x:f>IF(H768=1,IF(E768=1,AS767-AR767,AS767)+AQ768,0)</x:f>
        <x:v>109747217.60935673</x:v>
      </x:c>
      <x:c r="AT768" s="11" t="n">
        <x:f>IF(AR768&gt;0,MIN(1,AS768/AR768),1)</x:f>
        <x:v>0.8751316607847643</x:v>
      </x:c>
      <x:c r="AU768" s="10" t="n">
        <x:f>AB768/INDEX(tun_RepScale,G768)</x:f>
        <x:v>274.18575867050737</x:v>
      </x:c>
      <x:c r="AV768" s="32" t="n">
        <x:f>AM768*60/tun_SeasonSeconds</x:f>
        <x:v>3325237.8557007164</x:v>
      </x:c>
    </x:row>
    <x:row r="769">
      <x:c r="A769" s="8" t="n">
        <x:f>A768+1</x:f>
        <x:v>766</x:v>
      </x:c>
      <x:c r="B769" s="9" t="n">
        <x:f>A769*tun_SeasonSeconds/60</x:f>
        <x:v>191.5</x:v>
      </x:c>
      <x:c r="C769" s="9" t="n">
        <x:f>A769/4</x:f>
        <x:v>191.5</x:v>
      </x:c>
      <x:c r="D769" s="8" t="n">
        <x:f>IF(MOD(A769,4)=0,1,0)</x:f>
        <x:v>0</x:v>
      </x:c>
      <x:c r="E769" s="8" t="n">
        <x:f>IF(AND(F768&lt;=9,AS768&gt;=AR768),1,0)</x:f>
        <x:v>0</x:v>
      </x:c>
      <x:c r="F769" s="8" t="n">
        <x:f>MIN(10,F768+E769)</x:f>
        <x:v>9</x:v>
      </x:c>
      <x:c r="G769" s="8" t="n">
        <x:f>MIN(F769,9)+1</x:f>
        <x:v>10</x:v>
      </x:c>
      <x:c r="H769" s="8" t="n">
        <x:f>IF(F769&lt;=9,1,0)</x:f>
        <x:v>1</x:v>
      </x:c>
      <x:c r="I769" s="9" t="n">
        <x:f>MIN(10,F768+IF(AR768&gt;0,MIN(1,AS768/AR768),1))</x:f>
        <x:v>9.875131660784763</x:v>
      </x:c>
      <x:c r="J769" s="32" t="n">
        <x:f>INDEX(tun_FoodCap,G769)*Arch_FoodCap*EXP(tun_CapsByProject*SUMPRODUCT((Cap_Point&lt;=I769)*(Cap_Kind="Food")*Cap_Ln))</x:f>
        <x:v>18627.260449441455</x:v>
      </x:c>
      <x:c r="K769" s="32" t="n">
        <x:f>J769*MIN(1,tun_LeanBase*EXP(tun_CapsByProject*SUMPRODUCT((Cap_Point&lt;=I769)*(Cap_Kind="Lean")*Cap_Ln)))</x:f>
        <x:v>18627.260449441455</x:v>
      </x:c>
      <x:c r="L769" s="10" t="n">
        <x:f>INDEX(tun_HousingCap,G769)*EXP(tun_CapsByProject*SUMPRODUCT((Cap_Point&lt;=I769)*(Cap_Kind="Housing")*Cap_Ln))</x:f>
        <x:v>20528.974303173167</x:v>
      </x:c>
      <x:c r="M769" s="10" t="n">
        <x:f>INDEX(tun_GroupCap,G769)*tun_CohesionFactor*EXP(tun_CapsByProject*SUMPRODUCT((Cap_Point&lt;=I769)*(Cap_Kind="Group")*Cap_Ln))</x:f>
        <x:v>1000000.000000001</x:v>
      </x:c>
      <x:c r="N769" s="32" t="n">
        <x:f>MIN(J769,L769,M769)</x:f>
        <x:v>18627.260449441455</x:v>
      </x:c>
      <x:c r="O769" s="10" t="n">
        <x:f>AE768*N769</x:f>
        <x:v>167645.34404497308</x:v>
      </x:c>
      <x:c r="P769" s="9" t="n">
        <x:f>MIN(1,(AB768/(AE768*IF(tun_GroupInCrowding=1,N769,MIN(J769,L769))))^tun_CrowdingExp)</x:f>
        <x:v>0.2990476603733538</x:v>
      </x:c>
      <x:c r="Q769" s="9" t="n">
        <x:f>IF(D769=1,INDEX(tun_WinterMult,G769),1)</x:f>
        <x:v>1</x:v>
      </x:c>
      <x:c r="R769" s="9" t="n">
        <x:f>H769*Z768*tun_WomenShare*tun_BaseFertility*INDEX(tun_FertMult,G769)*Arch_Fertility*(1-P769)</x:f>
        <x:v>885.6668150225266</x:v>
      </x:c>
      <x:c r="S769" s="9" t="n">
        <x:f>H769*Y768*INDEX(tun_MortChild,G769)/4*Q769</x:f>
        <x:v>8.679904628407225</x:v>
      </x:c>
      <x:c r="T769" s="9" t="n">
        <x:f>H769*Z768*INDEX(tun_MortAdult,G769)*Arch_AdultMort/4*Q769</x:f>
        <x:v>20.82724133869543</x:v>
      </x:c>
      <x:c r="U769" s="9" t="n">
        <x:f>H769*AA768*INDEX(tun_MortElder,G769)/4*Q769</x:f>
        <x:v>290.0894525642279</x:v>
      </x:c>
      <x:c r="V769" s="9" t="n">
        <x:f>H769*MAX(0,AB768-O769)*tun_OvercapLoss</x:f>
        <x:v>0</x:v>
      </x:c>
      <x:c r="W769" s="9" t="n">
        <x:f>H769*Y768/(tun_ChildYears*4)</x:f>
        <x:v>688.8813197148592</x:v>
      </x:c>
      <x:c r="X769" s="9" t="n">
        <x:f>H769*Z768/(tun_AdultYears*4)</x:f>
        <x:v>447.89766319775117</x:v>
      </x:c>
      <x:c r="Y769" s="32" t="n">
        <x:f>Y768+R769-S769-W769-Y768*V769/AB768</x:f>
        <x:v>38765.45949471137</x:v>
      </x:c>
      <x:c r="Z769" s="32" t="n">
        <x:f>Z768+W769-X769-T769-Z768*V769/AB768</x:f>
        <x:v>55759.46665169956</x:v>
      </x:c>
      <x:c r="AA769" s="32" t="n">
        <x:f>AA768+X769-U769-AA768*V769/AB768</x:f>
        <x:v>43134.023405333945</x:v>
      </x:c>
      <x:c r="AB769" s="10" t="n">
        <x:f>Y769+Z769+AA769</x:f>
        <x:v>137658.94955174488</x:v>
      </x:c>
      <x:c r="AC769" s="8" t="n">
        <x:f>IF(AND(tun_WinterTrigger=1,D769=1,AB768/AE768&gt;=K769),1,0)</x:f>
        <x:v>0</x:v>
      </x:c>
      <x:c r="AD769" s="8" t="n">
        <x:f>H769*IF(AND(OR(AB768/AE768&gt;=tun_FissionTrigger*N769,AC769=1),AB768/AE768*tun_DaughterShare&gt;=tun_MinDaughter),MAX(1,ROUND(AE768*tun_FissionRate,0)),0)</x:f>
        <x:v>0</x:v>
      </x:c>
      <x:c r="AE769" s="8" t="n">
        <x:f>IF(H769=1,MAX(1,MIN(INDEX(tun_Smax,G769),AE768+AD769)),AE768)</x:f>
        <x:v>9</x:v>
      </x:c>
      <x:c r="AF769" s="8" t="n">
        <x:f>MAX(0,AE769-AE768)</x:f>
        <x:v>0</x:v>
      </x:c>
      <x:c r="AG769" s="9" t="str">
        <x:f>IF(AF769&gt;0,B769,"")</x:f>
      </x:c>
      <x:c r="AH769" s="9" t="n">
        <x:f>IF(F769&gt;=1,1,(1+tun_LowTiesShare*(AE769-1))/AE769)</x:f>
        <x:v>1</x:v>
      </x:c>
      <x:c r="AI769" s="32" t="n">
        <x:f>(Z769+tun_ElderCommons*INDEX(LM_Elder,G769)*AA769)*AH769</x:f>
        <x:v>225407.01191929702</x:v>
      </x:c>
      <x:c r="AJ769" s="32" t="n">
        <x:f>H769*tun_CommonsCoef*AI769^tun_CommonsExp*INDEX(LM_Commons,G769)</x:f>
        <x:v>762100.6758767443</x:v>
      </x:c>
      <x:c r="AK769" s="32" t="n">
        <x:f>H769*tun_RoleScale*Arch_Roles*(AE769*(INDEX(tun_ElderRolePerSett,G769)*tun_OutElder*INDEX(LM_Elder,G769)+INDEX(tun_ShamanPerSett,G769)*tun_OutShaman)+Z769*(INDEX(tun_PriestShare,G769)*tun_OutPriest+INDEX(tun_ScribeShare,G769)*tun_OutScribe*INDEX(LM_Scribe,G769)+INDEX(tun_ScholarShare,G769)*tun_OutScholar*INDEX(LM_Scholar,G769)+INDEX(tun_ResearcherShare,G769)*tun_OutResearcher*INDEX(LM_Researcher,G769)))</x:f>
        <x:v>201065.65698230994</x:v>
      </x:c>
      <x:c r="AL769" s="32" t="n">
        <x:f>H769*tun_RoleScale*Arch_Roles*AE769*INDEX(tun_MonasteryPerSett,G769)*tun_OutMonastery*INDEX(LM_Monastery,G769)</x:f>
        <x:v>15.840000000000002</x:v>
      </x:c>
      <x:c r="AM769" s="32" t="n">
        <x:f>(AJ769+AK769+AL769)/4*INDEX(LM_All,G769)*INDEX(tun_Boon,G769)*Arch_Insight</x:f>
        <x:v>834089.1980360951</x:v>
      </x:c>
      <x:c r="AN769" s="32" t="n">
        <x:f>H769*(tun_KHPerAdult*Z769+tun_KHOfCommons*AJ769/4*INDEX(LM_All,G769))*tun_KHUsable*Arch_KH</x:f>
        <x:v>129469.56942153795</x:v>
      </x:c>
      <x:c r="AO769" s="32" t="n">
        <x:f>MIN(AP768+AN769,AM769*tun_KHMaxRatio)</x:f>
        <x:v>129469.56942153795</x:v>
      </x:c>
      <x:c r="AP769" s="32" t="n">
        <x:f>AP768+AN769-AO769</x:f>
        <x:v>0</x:v>
      </x:c>
      <x:c r="AQ769" s="32" t="n">
        <x:f>AM769+AO769</x:f>
        <x:v>963558.767457633</x:v>
      </x:c>
      <x:c r="AR769" s="10" t="n">
        <x:f>IF(H769=1,INDEX(tun_Req,G769),0)</x:f>
        <x:v>125406521.7009086</x:v>
      </x:c>
      <x:c r="AS769" s="32" t="n">
        <x:f>IF(H769=1,IF(E769=1,AS768-AR768,AS768)+AQ769,0)</x:f>
        <x:v>110710776.37681437</x:v>
      </x:c>
      <x:c r="AT769" s="11" t="n">
        <x:f>IF(AR769&gt;0,MIN(1,AS769/AR769),1)</x:f>
        <x:v>0.8828151429066566</x:v>
      </x:c>
      <x:c r="AU769" s="10" t="n">
        <x:f>AB769/INDEX(tun_RepScale,G769)</x:f>
        <x:v>275.31789910348976</x:v>
      </x:c>
      <x:c r="AV769" s="32" t="n">
        <x:f>AM769*60/tun_SeasonSeconds</x:f>
        <x:v>3336356.7921443805</x:v>
      </x:c>
    </x:row>
    <x:row r="770">
      <x:c r="A770" s="8" t="n">
        <x:f>A769+1</x:f>
        <x:v>767</x:v>
      </x:c>
      <x:c r="B770" s="9" t="n">
        <x:f>A770*tun_SeasonSeconds/60</x:f>
        <x:v>191.75</x:v>
      </x:c>
      <x:c r="C770" s="9" t="n">
        <x:f>A770/4</x:f>
        <x:v>191.75</x:v>
      </x:c>
      <x:c r="D770" s="8" t="n">
        <x:f>IF(MOD(A770,4)=0,1,0)</x:f>
        <x:v>0</x:v>
      </x:c>
      <x:c r="E770" s="8" t="n">
        <x:f>IF(AND(F769&lt;=9,AS769&gt;=AR769),1,0)</x:f>
        <x:v>0</x:v>
      </x:c>
      <x:c r="F770" s="8" t="n">
        <x:f>MIN(10,F769+E770)</x:f>
        <x:v>9</x:v>
      </x:c>
      <x:c r="G770" s="8" t="n">
        <x:f>MIN(F770,9)+1</x:f>
        <x:v>10</x:v>
      </x:c>
      <x:c r="H770" s="8" t="n">
        <x:f>IF(F770&lt;=9,1,0)</x:f>
        <x:v>1</x:v>
      </x:c>
      <x:c r="I770" s="9" t="n">
        <x:f>MIN(10,F769+IF(AR769&gt;0,MIN(1,AS769/AR769),1))</x:f>
        <x:v>9.882815142906656</x:v>
      </x:c>
      <x:c r="J770" s="32" t="n">
        <x:f>INDEX(tun_FoodCap,G770)*Arch_FoodCap*EXP(tun_CapsByProject*SUMPRODUCT((Cap_Point&lt;=I770)*(Cap_Kind="Food")*Cap_Ln))</x:f>
        <x:v>18627.260449441455</x:v>
      </x:c>
      <x:c r="K770" s="32" t="n">
        <x:f>J770*MIN(1,tun_LeanBase*EXP(tun_CapsByProject*SUMPRODUCT((Cap_Point&lt;=I770)*(Cap_Kind="Lean")*Cap_Ln)))</x:f>
        <x:v>18627.260449441455</x:v>
      </x:c>
      <x:c r="L770" s="10" t="n">
        <x:f>INDEX(tun_HousingCap,G770)*EXP(tun_CapsByProject*SUMPRODUCT((Cap_Point&lt;=I770)*(Cap_Kind="Housing")*Cap_Ln))</x:f>
        <x:v>20528.974303173167</x:v>
      </x:c>
      <x:c r="M770" s="10" t="n">
        <x:f>INDEX(tun_GroupCap,G770)*tun_CohesionFactor*EXP(tun_CapsByProject*SUMPRODUCT((Cap_Point&lt;=I770)*(Cap_Kind="Group")*Cap_Ln))</x:f>
        <x:v>1000000.000000001</x:v>
      </x:c>
      <x:c r="N770" s="32" t="n">
        <x:f>MIN(J770,L770,M770)</x:f>
        <x:v>18627.260449441455</x:v>
      </x:c>
      <x:c r="O770" s="10" t="n">
        <x:f>AE769*N770</x:f>
        <x:v>167645.34404497308</x:v>
      </x:c>
      <x:c r="P770" s="9" t="n">
        <x:f>MIN(1,(AB769/(AE769*IF(tun_GroupInCrowding=1,N770,MIN(J770,L770))))^tun_CrowdingExp)</x:f>
        <x:v>0.30653334805897287</x:v>
      </x:c>
      <x:c r="Q770" s="9" t="n">
        <x:f>IF(D770=1,INDEX(tun_WinterMult,G770),1)</x:f>
        <x:v>1</x:v>
      </x:c>
      <x:c r="R770" s="9" t="n">
        <x:f>H770*Z769*tun_WomenShare*tun_BaseFertility*INDEX(tun_FertMult,G770)*Arch_Fertility*(1-P770)</x:f>
        <x:v>879.6817723551003</x:v>
      </x:c>
      <x:c r="S770" s="9" t="n">
        <x:f>H770*Y769*INDEX(tun_MortChild,G770)/4*Q770</x:f>
        <x:v>8.722228386310059</x:v>
      </x:c>
      <x:c r="T770" s="9" t="n">
        <x:f>H770*Z769*INDEX(tun_MortAdult,G770)*Arch_AdultMort/4*Q770</x:f>
        <x:v>20.909799994387335</x:v>
      </x:c>
      <x:c r="U770" s="9" t="n">
        <x:f>H770*AA769*INDEX(tun_MortElder,G770)/4*Q770</x:f>
        <x:v>291.1546579860041</x:v>
      </x:c>
      <x:c r="V770" s="9" t="n">
        <x:f>H770*MAX(0,AB769-O770)*tun_OvercapLoss</x:f>
        <x:v>0</x:v>
      </x:c>
      <x:c r="W770" s="9" t="n">
        <x:f>H770*Y769/(tun_ChildYears*4)</x:f>
        <x:v>692.240348119846</x:v>
      </x:c>
      <x:c r="X770" s="9" t="n">
        <x:f>H770*Z769/(tun_AdultYears*4)</x:f>
        <x:v>449.6731181588674</x:v>
      </x:c>
      <x:c r="Y770" s="32" t="n">
        <x:f>Y769+R770-S770-W770-Y769*V770/AB769</x:f>
        <x:v>38944.178690560315</x:v>
      </x:c>
      <x:c r="Z770" s="32" t="n">
        <x:f>Z769+W770-X770-T770-Z769*V770/AB769</x:f>
        <x:v>55981.12408166615</x:v>
      </x:c>
      <x:c r="AA770" s="32" t="n">
        <x:f>AA769+X770-U770-AA769*V770/AB769</x:f>
        <x:v>43292.54186550681</x:v>
      </x:c>
      <x:c r="AB770" s="10" t="n">
        <x:f>Y770+Z770+AA770</x:f>
        <x:v>138217.84463773327</x:v>
      </x:c>
      <x:c r="AC770" s="8" t="n">
        <x:f>IF(AND(tun_WinterTrigger=1,D770=1,AB769/AE769&gt;=K770),1,0)</x:f>
        <x:v>0</x:v>
      </x:c>
      <x:c r="AD770" s="8" t="n">
        <x:f>H770*IF(AND(OR(AB769/AE769&gt;=tun_FissionTrigger*N770,AC770=1),AB769/AE769*tun_DaughterShare&gt;=tun_MinDaughter),MAX(1,ROUND(AE769*tun_FissionRate,0)),0)</x:f>
        <x:v>0</x:v>
      </x:c>
      <x:c r="AE770" s="8" t="n">
        <x:f>IF(H770=1,MAX(1,MIN(INDEX(tun_Smax,G770),AE769+AD770)),AE769)</x:f>
        <x:v>9</x:v>
      </x:c>
      <x:c r="AF770" s="8" t="n">
        <x:f>MAX(0,AE770-AE769)</x:f>
        <x:v>0</x:v>
      </x:c>
      <x:c r="AG770" s="9" t="str">
        <x:f>IF(AF770&gt;0,B770,"")</x:f>
      </x:c>
      <x:c r="AH770" s="9" t="n">
        <x:f>IF(F770&gt;=1,1,(1+tun_LowTiesShare*(AE770-1))/AE770)</x:f>
        <x:v>1</x:v>
      </x:c>
      <x:c r="AI770" s="32" t="n">
        <x:f>(Z770+tun_ElderCommons*INDEX(LM_Elder,G770)*AA770)*AH770</x:f>
        <x:v>226252.12771286714</x:v>
      </x:c>
      <x:c r="AJ770" s="32" t="n">
        <x:f>H770*tun_CommonsCoef*AI770^tun_CommonsExp*INDEX(LM_Commons,G770)</x:f>
        <x:v>764528.7285528654</x:v>
      </x:c>
      <x:c r="AK770" s="32" t="n">
        <x:f>H770*tun_RoleScale*Arch_Roles*(AE770*(INDEX(tun_ElderRolePerSett,G770)*tun_OutElder*INDEX(LM_Elder,G770)+INDEX(tun_ShamanPerSett,G770)*tun_OutShaman)+Z770*(INDEX(tun_PriestShare,G770)*tun_OutPriest+INDEX(tun_ScribeShare,G770)*tun_OutScribe*INDEX(LM_Scribe,G770)+INDEX(tun_ScholarShare,G770)*tun_OutScholar*INDEX(LM_Scholar,G770)+INDEX(tun_ResearcherShare,G770)*tun_OutResearcher*INDEX(LM_Researcher,G770)))</x:f>
        <x:v>201863.94965178415</x:v>
      </x:c>
      <x:c r="AL770" s="32" t="n">
        <x:f>H770*tun_RoleScale*Arch_Roles*AE770*INDEX(tun_MonasteryPerSett,G770)*tun_OutMonastery*INDEX(LM_Monastery,G770)</x:f>
        <x:v>15.840000000000002</x:v>
      </x:c>
      <x:c r="AM770" s="32" t="n">
        <x:f>(AJ770+AK770+AL770)/4*INDEX(LM_All,G770)*INDEX(tun_Boon,G770)*Arch_Insight</x:f>
        <x:v>836883.1241258057</x:v>
      </x:c>
      <x:c r="AN770" s="32" t="n">
        <x:f>H770*(tun_KHPerAdult*Z770+tun_KHOfCommons*AJ770/4*INDEX(LM_All,G770))*tun_KHUsable*Arch_KH</x:f>
        <x:v>129882.05945659608</x:v>
      </x:c>
      <x:c r="AO770" s="32" t="n">
        <x:f>MIN(AP769+AN770,AM770*tun_KHMaxRatio)</x:f>
        <x:v>129882.05945659608</x:v>
      </x:c>
      <x:c r="AP770" s="32" t="n">
        <x:f>AP769+AN770-AO770</x:f>
        <x:v>0</x:v>
      </x:c>
      <x:c r="AQ770" s="32" t="n">
        <x:f>AM770+AO770</x:f>
        <x:v>966765.1835824017</x:v>
      </x:c>
      <x:c r="AR770" s="10" t="n">
        <x:f>IF(H770=1,INDEX(tun_Req,G770),0)</x:f>
        <x:v>125406521.7009086</x:v>
      </x:c>
      <x:c r="AS770" s="32" t="n">
        <x:f>IF(H770=1,IF(E770=1,AS769-AR769,AS769)+AQ770,0)</x:f>
        <x:v>111677541.56039676</x:v>
      </x:c>
      <x:c r="AT770" s="11" t="n">
        <x:f>IF(AR770&gt;0,MIN(1,AS770/AR770),1)</x:f>
        <x:v>0.8905241932053971</x:v>
      </x:c>
      <x:c r="AU770" s="10" t="n">
        <x:f>AB770/INDEX(tun_RepScale,G770)</x:f>
        <x:v>276.43568927546653</x:v>
      </x:c>
      <x:c r="AV770" s="32" t="n">
        <x:f>AM770*60/tun_SeasonSeconds</x:f>
        <x:v>3347532.496503223</x:v>
      </x:c>
    </x:row>
    <x:row r="771">
      <x:c r="A771" s="8" t="n">
        <x:f>A770+1</x:f>
        <x:v>768</x:v>
      </x:c>
      <x:c r="B771" s="9" t="n">
        <x:f>A771*tun_SeasonSeconds/60</x:f>
        <x:v>192</x:v>
      </x:c>
      <x:c r="C771" s="9" t="n">
        <x:f>A771/4</x:f>
        <x:v>192</x:v>
      </x:c>
      <x:c r="D771" s="8" t="n">
        <x:f>IF(MOD(A771,4)=0,1,0)</x:f>
        <x:v>1</x:v>
      </x:c>
      <x:c r="E771" s="8" t="n">
        <x:f>IF(AND(F770&lt;=9,AS770&gt;=AR770),1,0)</x:f>
        <x:v>0</x:v>
      </x:c>
      <x:c r="F771" s="8" t="n">
        <x:f>MIN(10,F770+E771)</x:f>
        <x:v>9</x:v>
      </x:c>
      <x:c r="G771" s="8" t="n">
        <x:f>MIN(F771,9)+1</x:f>
        <x:v>10</x:v>
      </x:c>
      <x:c r="H771" s="8" t="n">
        <x:f>IF(F771&lt;=9,1,0)</x:f>
        <x:v>1</x:v>
      </x:c>
      <x:c r="I771" s="9" t="n">
        <x:f>MIN(10,F770+IF(AR770&gt;0,MIN(1,AS770/AR770),1))</x:f>
        <x:v>9.890524193205398</x:v>
      </x:c>
      <x:c r="J771" s="32" t="n">
        <x:f>INDEX(tun_FoodCap,G771)*Arch_FoodCap*EXP(tun_CapsByProject*SUMPRODUCT((Cap_Point&lt;=I771)*(Cap_Kind="Food")*Cap_Ln))</x:f>
        <x:v>18627.260449441455</x:v>
      </x:c>
      <x:c r="K771" s="32" t="n">
        <x:f>J771*MIN(1,tun_LeanBase*EXP(tun_CapsByProject*SUMPRODUCT((Cap_Point&lt;=I771)*(Cap_Kind="Lean")*Cap_Ln)))</x:f>
        <x:v>18627.260449441455</x:v>
      </x:c>
      <x:c r="L771" s="10" t="n">
        <x:f>INDEX(tun_HousingCap,G771)*EXP(tun_CapsByProject*SUMPRODUCT((Cap_Point&lt;=I771)*(Cap_Kind="Housing")*Cap_Ln))</x:f>
        <x:v>20528.974303173167</x:v>
      </x:c>
      <x:c r="M771" s="10" t="n">
        <x:f>INDEX(tun_GroupCap,G771)*tun_CohesionFactor*EXP(tun_CapsByProject*SUMPRODUCT((Cap_Point&lt;=I771)*(Cap_Kind="Group")*Cap_Ln))</x:f>
        <x:v>1000000.000000001</x:v>
      </x:c>
      <x:c r="N771" s="32" t="n">
        <x:f>MIN(J771,L771,M771)</x:f>
        <x:v>18627.260449441455</x:v>
      </x:c>
      <x:c r="O771" s="10" t="n">
        <x:f>AE770*N771</x:f>
        <x:v>167645.34404497308</x:v>
      </x:c>
      <x:c r="P771" s="9" t="n">
        <x:f>MIN(1,(AB770/(AE770*IF(tun_GroupInCrowding=1,N771,MIN(J771,L771))))^tun_CrowdingExp)</x:f>
        <x:v>0.3140767001531783</x:v>
      </x:c>
      <x:c r="Q771" s="9" t="n">
        <x:f>IF(D771=1,INDEX(tun_WinterMult,G771),1)</x:f>
        <x:v>1.05</x:v>
      </x:c>
      <x:c r="R771" s="9" t="n">
        <x:f>H771*Z770*tun_WomenShare*tun_BaseFertility*INDEX(tun_FertMult,G771)*Arch_Fertility*(1-P771)</x:f>
        <x:v>873.571729922501</x:v>
      </x:c>
      <x:c r="S771" s="9" t="n">
        <x:f>H771*Y770*INDEX(tun_MortChild,G771)/4*Q771</x:f>
        <x:v>9.200562215644876</x:v>
      </x:c>
      <x:c r="T771" s="9" t="n">
        <x:f>H771*Z770*INDEX(tun_MortAdult,G771)*Arch_AdultMort/4*Q771</x:f>
        <x:v>22.04256760715605</x:v>
      </x:c>
      <x:c r="U771" s="9" t="n">
        <x:f>H771*AA770*INDEX(tun_MortElder,G771)/4*Q771</x:f>
        <x:v>306.8358904717796</x:v>
      </x:c>
      <x:c r="V771" s="9" t="n">
        <x:f>H771*MAX(0,AB770-O771)*tun_OvercapLoss</x:f>
        <x:v>0</x:v>
      </x:c>
      <x:c r="W771" s="9" t="n">
        <x:f>H771*Y770/(tun_ChildYears*4)</x:f>
        <x:v>695.4317623314342</x:v>
      </x:c>
      <x:c r="X771" s="9" t="n">
        <x:f>H771*Z770/(tun_AdultYears*4)</x:f>
        <x:v>451.4606780779528</x:v>
      </x:c>
      <x:c r="Y771" s="32" t="n">
        <x:f>Y770+R771-S771-W771-Y770*V771/AB770</x:f>
        <x:v>39113.11809593574</x:v>
      </x:c>
      <x:c r="Z771" s="32" t="n">
        <x:f>Z770+W771-X771-T771-Z770*V771/AB770</x:f>
        <x:v>56203.05259831248</x:v>
      </x:c>
      <x:c r="AA771" s="32" t="n">
        <x:f>AA770+X771-U771-AA770*V771/AB770</x:f>
        <x:v>43437.16665311298</x:v>
      </x:c>
      <x:c r="AB771" s="10" t="n">
        <x:f>Y771+Z771+AA771</x:f>
        <x:v>138753.3373473612</x:v>
      </x:c>
      <x:c r="AC771" s="8" t="n">
        <x:f>IF(AND(tun_WinterTrigger=1,D771=1,AB770/AE770&gt;=K771),1,0)</x:f>
        <x:v>0</x:v>
      </x:c>
      <x:c r="AD771" s="8" t="n">
        <x:f>H771*IF(AND(OR(AB770/AE770&gt;=tun_FissionTrigger*N771,AC771=1),AB770/AE770*tun_DaughterShare&gt;=tun_MinDaughter),MAX(1,ROUND(AE770*tun_FissionRate,0)),0)</x:f>
        <x:v>0</x:v>
      </x:c>
      <x:c r="AE771" s="8" t="n">
        <x:f>IF(H771=1,MAX(1,MIN(INDEX(tun_Smax,G771),AE770+AD771)),AE770)</x:f>
        <x:v>9</x:v>
      </x:c>
      <x:c r="AF771" s="8" t="n">
        <x:f>MAX(0,AE771-AE770)</x:f>
        <x:v>0</x:v>
      </x:c>
      <x:c r="AG771" s="9" t="str">
        <x:f>IF(AF771&gt;0,B771,"")</x:f>
      </x:c>
      <x:c r="AH771" s="9" t="n">
        <x:f>IF(F771&gt;=1,1,(1+tun_LowTiesShare*(AE771-1))/AE771)</x:f>
        <x:v>1</x:v>
      </x:c>
      <x:c r="AI771" s="32" t="n">
        <x:f>(Z771+tun_ElderCommons*INDEX(LM_Elder,G771)*AA771)*AH771</x:f>
        <x:v>227042.87031791126</x:v>
      </x:c>
      <x:c r="AJ771" s="32" t="n">
        <x:f>H771*tun_CommonsCoef*AI771^tun_CommonsExp*INDEX(LM_Commons,G771)</x:f>
        <x:v>766799.3330901584</x:v>
      </x:c>
      <x:c r="AK771" s="32" t="n">
        <x:f>H771*tun_RoleScale*Arch_Roles*(AE771*(INDEX(tun_ElderRolePerSett,G771)*tun_OutElder*INDEX(LM_Elder,G771)+INDEX(tun_ShamanPerSett,G771)*tun_OutShaman)+Z771*(INDEX(tun_PriestShare,G771)*tun_OutPriest+INDEX(tun_ScribeShare,G771)*tun_OutScribe*INDEX(LM_Scribe,G771)+INDEX(tun_ScholarShare,G771)*tun_OutScholar*INDEX(LM_Scholar,G771)+INDEX(tun_ResearcherShare,G771)*tun_OutResearcher*INDEX(LM_Researcher,G771)))</x:f>
        <x:v>202663.218631907</x:v>
      </x:c>
      <x:c r="AL771" s="32" t="n">
        <x:f>H771*tun_RoleScale*Arch_Roles*AE771*INDEX(tun_MonasteryPerSett,G771)*tun_OutMonastery*INDEX(LM_Monastery,G771)</x:f>
        <x:v>15.840000000000002</x:v>
      </x:c>
      <x:c r="AM771" s="32" t="n">
        <x:f>(AJ771+AK771+AL771)/4*INDEX(LM_All,G771)*INDEX(tun_Boon,G771)*Arch_Insight</x:f>
        <x:v>839541.5499276591</x:v>
      </x:c>
      <x:c r="AN771" s="32" t="n">
        <x:f>H771*(tun_KHPerAdult*Z771+tun_KHOfCommons*AJ771/4*INDEX(LM_All,G771))*tun_KHUsable*Arch_KH</x:f>
        <x:v>130267.8013947353</x:v>
      </x:c>
      <x:c r="AO771" s="32" t="n">
        <x:f>MIN(AP770+AN771,AM771*tun_KHMaxRatio)</x:f>
        <x:v>130267.8013947353</x:v>
      </x:c>
      <x:c r="AP771" s="32" t="n">
        <x:f>AP770+AN771-AO771</x:f>
        <x:v>0</x:v>
      </x:c>
      <x:c r="AQ771" s="32" t="n">
        <x:f>AM771+AO771</x:f>
        <x:v>969809.3513223944</x:v>
      </x:c>
      <x:c r="AR771" s="10" t="n">
        <x:f>IF(H771=1,INDEX(tun_Req,G771),0)</x:f>
        <x:v>125406521.7009086</x:v>
      </x:c>
      <x:c r="AS771" s="32" t="n">
        <x:f>IF(H771=1,IF(E771=1,AS770-AR770,AS770)+AQ771,0)</x:f>
        <x:v>112647350.91171916</x:v>
      </x:c>
      <x:c r="AT771" s="11" t="n">
        <x:f>IF(AR771&gt;0,MIN(1,AS771/AR771),1)</x:f>
        <x:v>0.8982575179015032</x:v>
      </x:c>
      <x:c r="AU771" s="10" t="n">
        <x:f>AB771/INDEX(tun_RepScale,G771)</x:f>
        <x:v>277.5066746947224</x:v>
      </x:c>
      <x:c r="AV771" s="32" t="n">
        <x:f>AM771*60/tun_SeasonSeconds</x:f>
        <x:v>3358166.1997106364</x:v>
      </x:c>
    </x:row>
    <x:row r="772">
      <x:c r="A772" s="8" t="n">
        <x:f>A771+1</x:f>
        <x:v>769</x:v>
      </x:c>
      <x:c r="B772" s="9" t="n">
        <x:f>A772*tun_SeasonSeconds/60</x:f>
        <x:v>192.25</x:v>
      </x:c>
      <x:c r="C772" s="9" t="n">
        <x:f>A772/4</x:f>
        <x:v>192.25</x:v>
      </x:c>
      <x:c r="D772" s="8" t="n">
        <x:f>IF(MOD(A772,4)=0,1,0)</x:f>
        <x:v>0</x:v>
      </x:c>
      <x:c r="E772" s="8" t="n">
        <x:f>IF(AND(F771&lt;=9,AS771&gt;=AR771),1,0)</x:f>
        <x:v>0</x:v>
      </x:c>
      <x:c r="F772" s="8" t="n">
        <x:f>MIN(10,F771+E772)</x:f>
        <x:v>9</x:v>
      </x:c>
      <x:c r="G772" s="8" t="n">
        <x:f>MIN(F772,9)+1</x:f>
        <x:v>10</x:v>
      </x:c>
      <x:c r="H772" s="8" t="n">
        <x:f>IF(F772&lt;=9,1,0)</x:f>
        <x:v>1</x:v>
      </x:c>
      <x:c r="I772" s="9" t="n">
        <x:f>MIN(10,F771+IF(AR771&gt;0,MIN(1,AS771/AR771),1))</x:f>
        <x:v>9.898257517901504</x:v>
      </x:c>
      <x:c r="J772" s="32" t="n">
        <x:f>INDEX(tun_FoodCap,G772)*Arch_FoodCap*EXP(tun_CapsByProject*SUMPRODUCT((Cap_Point&lt;=I772)*(Cap_Kind="Food")*Cap_Ln))</x:f>
        <x:v>18627.260449441455</x:v>
      </x:c>
      <x:c r="K772" s="32" t="n">
        <x:f>J772*MIN(1,tun_LeanBase*EXP(tun_CapsByProject*SUMPRODUCT((Cap_Point&lt;=I772)*(Cap_Kind="Lean")*Cap_Ln)))</x:f>
        <x:v>18627.260449441455</x:v>
      </x:c>
      <x:c r="L772" s="10" t="n">
        <x:f>INDEX(tun_HousingCap,G772)*EXP(tun_CapsByProject*SUMPRODUCT((Cap_Point&lt;=I772)*(Cap_Kind="Housing")*Cap_Ln))</x:f>
        <x:v>20528.974303173167</x:v>
      </x:c>
      <x:c r="M772" s="10" t="n">
        <x:f>INDEX(tun_GroupCap,G772)*tun_CohesionFactor*EXP(tun_CapsByProject*SUMPRODUCT((Cap_Point&lt;=I772)*(Cap_Kind="Group")*Cap_Ln))</x:f>
        <x:v>1000000.000000001</x:v>
      </x:c>
      <x:c r="N772" s="32" t="n">
        <x:f>MIN(J772,L772,M772)</x:f>
        <x:v>18627.260449441455</x:v>
      </x:c>
      <x:c r="O772" s="10" t="n">
        <x:f>AE771*N772</x:f>
        <x:v>167645.34404497308</x:v>
      </x:c>
      <x:c r="P772" s="9" t="n">
        <x:f>MIN(1,(AB771/(AE771*IF(tun_GroupInCrowding=1,N772,MIN(J772,L772))))^tun_CrowdingExp)</x:f>
        <x:v>0.3214486808486789</x:v>
      </x:c>
      <x:c r="Q772" s="9" t="n">
        <x:f>IF(D772=1,INDEX(tun_WinterMult,G772),1)</x:f>
        <x:v>1</x:v>
      </x:c>
      <x:c r="R772" s="9" t="n">
        <x:f>H772*Z771*tun_WomenShare*tun_BaseFertility*INDEX(tun_FertMult,G772)*Arch_Fertility*(1-P772)</x:f>
        <x:v>867.6089121908394</x:v>
      </x:c>
      <x:c r="S772" s="9" t="n">
        <x:f>H772*Y771*INDEX(tun_MortChild,G772)/4*Q772</x:f>
        <x:v>8.80045157158554</x:v>
      </x:c>
      <x:c r="T772" s="9" t="n">
        <x:f>H772*Z771*INDEX(tun_MortAdult,G772)*Arch_AdultMort/4*Q772</x:f>
        <x:v>21.076144724367182</x:v>
      </x:c>
      <x:c r="U772" s="9" t="n">
        <x:f>H772*AA771*INDEX(tun_MortElder,G772)/4*Q772</x:f>
        <x:v>293.2008749085126</x:v>
      </x:c>
      <x:c r="V772" s="9" t="n">
        <x:f>H772*MAX(0,AB771-O772)*tun_OvercapLoss</x:f>
        <x:v>0</x:v>
      </x:c>
      <x:c r="W772" s="9" t="n">
        <x:f>H772*Y771/(tun_ChildYears*4)</x:f>
        <x:v>698.4485374274238</x:v>
      </x:c>
      <x:c r="X772" s="9" t="n">
        <x:f>H772*Z771/(tun_AdultYears*4)</x:f>
        <x:v>453.2504241799394</x:v>
      </x:c>
      <x:c r="Y772" s="32" t="n">
        <x:f>Y771+R772-S772-W772-Y771*V772/AB771</x:f>
        <x:v>39273.478019127564</x:v>
      </x:c>
      <x:c r="Z772" s="32" t="n">
        <x:f>Z771+W772-X772-T772-Z771*V772/AB771</x:f>
        <x:v>56427.1745668356</x:v>
      </x:c>
      <x:c r="AA772" s="32" t="n">
        <x:f>AA771+X772-U772-AA771*V772/AB771</x:f>
        <x:v>43597.21620238441</x:v>
      </x:c>
      <x:c r="AB772" s="10" t="n">
        <x:f>Y772+Z772+AA772</x:f>
        <x:v>139297.86878834758</x:v>
      </x:c>
      <x:c r="AC772" s="8" t="n">
        <x:f>IF(AND(tun_WinterTrigger=1,D772=1,AB771/AE771&gt;=K772),1,0)</x:f>
        <x:v>0</x:v>
      </x:c>
      <x:c r="AD772" s="8" t="n">
        <x:f>H772*IF(AND(OR(AB771/AE771&gt;=tun_FissionTrigger*N772,AC772=1),AB771/AE771*tun_DaughterShare&gt;=tun_MinDaughter),MAX(1,ROUND(AE771*tun_FissionRate,0)),0)</x:f>
        <x:v>0</x:v>
      </x:c>
      <x:c r="AE772" s="8" t="n">
        <x:f>IF(H772=1,MAX(1,MIN(INDEX(tun_Smax,G772),AE771+AD772)),AE771)</x:f>
        <x:v>9</x:v>
      </x:c>
      <x:c r="AF772" s="8" t="n">
        <x:f>MAX(0,AE772-AE771)</x:f>
        <x:v>0</x:v>
      </x:c>
      <x:c r="AG772" s="9" t="str">
        <x:f>IF(AF772&gt;0,B772,"")</x:f>
      </x:c>
      <x:c r="AH772" s="9" t="n">
        <x:f>IF(F772&gt;=1,1,(1+tun_LowTiesShare*(AE772-1))/AE772)</x:f>
        <x:v>1</x:v>
      </x:c>
      <x:c r="AI772" s="32" t="n">
        <x:f>(Z772+tun_ElderCommons*INDEX(LM_Elder,G772)*AA772)*AH772</x:f>
        <x:v>227896.4724742651</x:v>
      </x:c>
      <x:c r="AJ772" s="32" t="n">
        <x:f>H772*tun_CommonsCoef*AI772^tun_CommonsExp*INDEX(LM_Commons,G772)</x:f>
        <x:v>769249.1068943572</x:v>
      </x:c>
      <x:c r="AK772" s="32" t="n">
        <x:f>H772*tun_RoleScale*Arch_Roles*(AE772*(INDEX(tun_ElderRolePerSett,G772)*tun_OutElder*INDEX(LM_Elder,G772)+INDEX(tun_ShamanPerSett,G772)*tun_OutShaman)+Z772*(INDEX(tun_PriestShare,G772)*tun_OutPriest+INDEX(tun_ScribeShare,G772)*tun_OutScribe*INDEX(LM_Scribe,G772)+INDEX(tun_ScholarShare,G772)*tun_OutScholar*INDEX(LM_Scholar,G772)+INDEX(tun_ResearcherShare,G772)*tun_OutResearcher*INDEX(LM_Researcher,G772)))</x:f>
        <x:v>203470.38726400334</x:v>
      </x:c>
      <x:c r="AL772" s="32" t="n">
        <x:f>H772*tun_RoleScale*Arch_Roles*AE772*INDEX(tun_MonasteryPerSett,G772)*tun_OutMonastery*INDEX(LM_Monastery,G772)</x:f>
        <x:v>15.840000000000002</x:v>
      </x:c>
      <x:c r="AM772" s="32" t="n">
        <x:f>(AJ772+AK772+AL772)/4*INDEX(LM_All,G772)*INDEX(tun_Boon,G772)*Arch_Insight</x:f>
        <x:v>842361.9722540766</x:v>
      </x:c>
      <x:c r="AN772" s="32" t="n">
        <x:f>H772*(tun_KHPerAdult*Z772+tun_KHOfCommons*AJ772/4*INDEX(LM_All,G772))*tun_KHUsable*Arch_KH</x:f>
        <x:v>130683.98152637591</x:v>
      </x:c>
      <x:c r="AO772" s="32" t="n">
        <x:f>MIN(AP771+AN772,AM772*tun_KHMaxRatio)</x:f>
        <x:v>130683.98152637591</x:v>
      </x:c>
      <x:c r="AP772" s="32" t="n">
        <x:f>AP771+AN772-AO772</x:f>
        <x:v>0</x:v>
      </x:c>
      <x:c r="AQ772" s="32" t="n">
        <x:f>AM772+AO772</x:f>
        <x:v>973045.9537804525</x:v>
      </x:c>
      <x:c r="AR772" s="10" t="n">
        <x:f>IF(H772=1,INDEX(tun_Req,G772),0)</x:f>
        <x:v>125406521.7009086</x:v>
      </x:c>
      <x:c r="AS772" s="32" t="n">
        <x:f>IF(H772=1,IF(E772=1,AS771-AR771,AS771)+AQ772,0)</x:f>
        <x:v>113620396.86549962</x:v>
      </x:c>
      <x:c r="AT772" s="11" t="n">
        <x:f>IF(AR772&gt;0,MIN(1,AS772/AR772),1)</x:f>
        <x:v>0.9060166514823002</x:v>
      </x:c>
      <x:c r="AU772" s="10" t="n">
        <x:f>AB772/INDEX(tun_RepScale,G772)</x:f>
        <x:v>278.59573757669517</x:v>
      </x:c>
      <x:c r="AV772" s="32" t="n">
        <x:f>AM772*60/tun_SeasonSeconds</x:f>
        <x:v>3369447.8890163065</x:v>
      </x:c>
    </x:row>
    <x:row r="773">
      <x:c r="A773" s="8" t="n">
        <x:f>A772+1</x:f>
        <x:v>770</x:v>
      </x:c>
      <x:c r="B773" s="9" t="n">
        <x:f>A773*tun_SeasonSeconds/60</x:f>
        <x:v>192.5</x:v>
      </x:c>
      <x:c r="C773" s="9" t="n">
        <x:f>A773/4</x:f>
        <x:v>192.5</x:v>
      </x:c>
      <x:c r="D773" s="8" t="n">
        <x:f>IF(MOD(A773,4)=0,1,0)</x:f>
        <x:v>0</x:v>
      </x:c>
      <x:c r="E773" s="8" t="n">
        <x:f>IF(AND(F772&lt;=9,AS772&gt;=AR772),1,0)</x:f>
        <x:v>0</x:v>
      </x:c>
      <x:c r="F773" s="8" t="n">
        <x:f>MIN(10,F772+E773)</x:f>
        <x:v>9</x:v>
      </x:c>
      <x:c r="G773" s="8" t="n">
        <x:f>MIN(F773,9)+1</x:f>
        <x:v>10</x:v>
      </x:c>
      <x:c r="H773" s="8" t="n">
        <x:f>IF(F773&lt;=9,1,0)</x:f>
        <x:v>1</x:v>
      </x:c>
      <x:c r="I773" s="9" t="n">
        <x:f>MIN(10,F772+IF(AR772&gt;0,MIN(1,AS772/AR772),1))</x:f>
        <x:v>9.9060166514823</x:v>
      </x:c>
      <x:c r="J773" s="32" t="n">
        <x:f>INDEX(tun_FoodCap,G773)*Arch_FoodCap*EXP(tun_CapsByProject*SUMPRODUCT((Cap_Point&lt;=I773)*(Cap_Kind="Food")*Cap_Ln))</x:f>
        <x:v>18627.260449441455</x:v>
      </x:c>
      <x:c r="K773" s="32" t="n">
        <x:f>J773*MIN(1,tun_LeanBase*EXP(tun_CapsByProject*SUMPRODUCT((Cap_Point&lt;=I773)*(Cap_Kind="Lean")*Cap_Ln)))</x:f>
        <x:v>18627.260449441455</x:v>
      </x:c>
      <x:c r="L773" s="10" t="n">
        <x:f>INDEX(tun_HousingCap,G773)*EXP(tun_CapsByProject*SUMPRODUCT((Cap_Point&lt;=I773)*(Cap_Kind="Housing")*Cap_Ln))</x:f>
        <x:v>20528.974303173167</x:v>
      </x:c>
      <x:c r="M773" s="10" t="n">
        <x:f>INDEX(tun_GroupCap,G773)*tun_CohesionFactor*EXP(tun_CapsByProject*SUMPRODUCT((Cap_Point&lt;=I773)*(Cap_Kind="Group")*Cap_Ln))</x:f>
        <x:v>1000000.000000001</x:v>
      </x:c>
      <x:c r="N773" s="32" t="n">
        <x:f>MIN(J773,L773,M773)</x:f>
        <x:v>18627.260449441455</x:v>
      </x:c>
      <x:c r="O773" s="10" t="n">
        <x:f>AE772*N773</x:f>
        <x:v>167645.34404497308</x:v>
      </x:c>
      <x:c r="P773" s="9" t="n">
        <x:f>MIN(1,(AB772/(AE772*IF(tun_GroupInCrowding=1,N773,MIN(J773,L773))))^tun_CrowdingExp)</x:f>
        <x:v>0.3290924000224367</x:v>
      </x:c>
      <x:c r="Q773" s="9" t="n">
        <x:f>IF(D773=1,INDEX(tun_WinterMult,G773),1)</x:f>
        <x:v>1</x:v>
      </x:c>
      <x:c r="R773" s="9" t="n">
        <x:f>H773*Z772*tun_WomenShare*tun_BaseFertility*INDEX(tun_FertMult,G773)*Arch_Fertility*(1-P773)</x:f>
        <x:v>861.256310963928</x:v>
      </x:c>
      <x:c r="S773" s="9" t="n">
        <x:f>H773*Y772*INDEX(tun_MortChild,G773)/4*Q773</x:f>
        <x:v>8.836532554303702</x:v>
      </x:c>
      <x:c r="T773" s="9" t="n">
        <x:f>H773*Z772*INDEX(tun_MortAdult,G773)*Arch_AdultMort/4*Q773</x:f>
        <x:v>21.16019046256335</x:v>
      </x:c>
      <x:c r="U773" s="9" t="n">
        <x:f>H773*AA772*INDEX(tun_MortElder,G773)/4*Q773</x:f>
        <x:v>294.28120936609474</x:v>
      </x:c>
      <x:c r="V773" s="9" t="n">
        <x:f>H773*MAX(0,AB772-O773)*tun_OvercapLoss</x:f>
        <x:v>0</x:v>
      </x:c>
      <x:c r="W773" s="9" t="n">
        <x:f>H773*Y772/(tun_ChildYears*4)</x:f>
        <x:v>701.3121074844208</x:v>
      </x:c>
      <x:c r="X773" s="9" t="n">
        <x:f>H773*Z772/(tun_AdultYears*4)</x:f>
        <x:v>455.0578594099645</x:v>
      </x:c>
      <x:c r="Y773" s="32" t="n">
        <x:f>Y772+R773-S773-W773-Y772*V773/AB772</x:f>
        <x:v>39424.585690052765</x:v>
      </x:c>
      <x:c r="Z773" s="32" t="n">
        <x:f>Z772+W773-X773-T773-Z772*V773/AB772</x:f>
        <x:v>56652.2686244475</x:v>
      </x:c>
      <x:c r="AA773" s="32" t="n">
        <x:f>AA772+X773-U773-AA772*V773/AB772</x:f>
        <x:v>43757.99285242827</x:v>
      </x:c>
      <x:c r="AB773" s="10" t="n">
        <x:f>Y773+Z773+AA773</x:f>
        <x:v>139834.84716692852</x:v>
      </x:c>
      <x:c r="AC773" s="8" t="n">
        <x:f>IF(AND(tun_WinterTrigger=1,D773=1,AB772/AE772&gt;=K773),1,0)</x:f>
        <x:v>0</x:v>
      </x:c>
      <x:c r="AD773" s="8" t="n">
        <x:f>H773*IF(AND(OR(AB772/AE772&gt;=tun_FissionTrigger*N773,AC773=1),AB772/AE772*tun_DaughterShare&gt;=tun_MinDaughter),MAX(1,ROUND(AE772*tun_FissionRate,0)),0)</x:f>
        <x:v>0</x:v>
      </x:c>
      <x:c r="AE773" s="8" t="n">
        <x:f>IF(H773=1,MAX(1,MIN(INDEX(tun_Smax,G773),AE772+AD773)),AE772)</x:f>
        <x:v>9</x:v>
      </x:c>
      <x:c r="AF773" s="8" t="n">
        <x:f>MAX(0,AE773-AE772)</x:f>
        <x:v>0</x:v>
      </x:c>
      <x:c r="AG773" s="9" t="str">
        <x:f>IF(AF773&gt;0,B773,"")</x:f>
      </x:c>
      <x:c r="AH773" s="9" t="n">
        <x:f>IF(F773&gt;=1,1,(1+tun_LowTiesShare*(AE773-1))/AE773)</x:f>
        <x:v>1</x:v>
      </x:c>
      <x:c r="AI773" s="32" t="n">
        <x:f>(Z773+tun_ElderCommons*INDEX(LM_Elder,G773)*AA773)*AH773</x:f>
        <x:v>228753.90643117132</x:v>
      </x:c>
      <x:c r="AJ773" s="32" t="n">
        <x:f>H773*tun_CommonsCoef*AI773^tun_CommonsExp*INDEX(LM_Commons,G773)</x:f>
        <x:v>771708.4924202897</x:v>
      </x:c>
      <x:c r="AK773" s="32" t="n">
        <x:f>H773*tun_RoleScale*Arch_Roles*(AE773*(INDEX(tun_ElderRolePerSett,G773)*tun_OutElder*INDEX(LM_Elder,G773)+INDEX(tun_ShamanPerSett,G773)*tun_OutShaman)+Z773*(INDEX(tun_PriestShare,G773)*tun_OutPriest+INDEX(tun_ScribeShare,G773)*tun_OutScribe*INDEX(LM_Scribe,G773)+INDEX(tun_ScholarShare,G773)*tun_OutScholar*INDEX(LM_Scholar,G773)+INDEX(tun_ResearcherShare,G773)*tun_OutResearcher*INDEX(LM_Researcher,G773)))</x:f>
        <x:v>204281.0568461638</x:v>
      </x:c>
      <x:c r="AL773" s="32" t="n">
        <x:f>H773*tun_RoleScale*Arch_Roles*AE773*INDEX(tun_MonasteryPerSett,G773)*tun_OutMonastery*INDEX(LM_Monastery,G773)</x:f>
        <x:v>15.840000000000002</x:v>
      </x:c>
      <x:c r="AM773" s="32" t="n">
        <x:f>(AJ773+AK773+AL773)/4*INDEX(LM_All,G773)*INDEX(tun_Boon,G773)*Arch_Insight</x:f>
        <x:v>845193.7497926359</x:v>
      </x:c>
      <x:c r="AN773" s="32" t="n">
        <x:f>H773*(tun_KHPerAdult*Z773+tun_KHOfCommons*AJ773/4*INDEX(LM_All,G773))*tun_KHUsable*Arch_KH</x:f>
        <x:v>131101.7945465753</x:v>
      </x:c>
      <x:c r="AO773" s="32" t="n">
        <x:f>MIN(AP772+AN773,AM773*tun_KHMaxRatio)</x:f>
        <x:v>131101.7945465753</x:v>
      </x:c>
      <x:c r="AP773" s="32" t="n">
        <x:f>AP772+AN773-AO773</x:f>
        <x:v>0</x:v>
      </x:c>
      <x:c r="AQ773" s="32" t="n">
        <x:f>AM773+AO773</x:f>
        <x:v>976295.5443392112</x:v>
      </x:c>
      <x:c r="AR773" s="10" t="n">
        <x:f>IF(H773=1,INDEX(tun_Req,G773),0)</x:f>
        <x:v>125406521.7009086</x:v>
      </x:c>
      <x:c r="AS773" s="32" t="n">
        <x:f>IF(H773=1,IF(E773=1,AS772-AR772,AS772)+AQ773,0)</x:f>
        <x:v>114596692.40983883</x:v>
      </x:c>
      <x:c r="AT773" s="11" t="n">
        <x:f>IF(AR773&gt;0,MIN(1,AS773/AR773),1)</x:f>
        <x:v>0.9138016975157723</x:v>
      </x:c>
      <x:c r="AU773" s="10" t="n">
        <x:f>AB773/INDEX(tun_RepScale,G773)</x:f>
        <x:v>279.669694333857</x:v>
      </x:c>
      <x:c r="AV773" s="32" t="n">
        <x:f>AM773*60/tun_SeasonSeconds</x:f>
        <x:v>3380774.9991705436</x:v>
      </x:c>
    </x:row>
    <x:row r="774">
      <x:c r="A774" s="8" t="n">
        <x:f>A773+1</x:f>
        <x:v>771</x:v>
      </x:c>
      <x:c r="B774" s="9" t="n">
        <x:f>A774*tun_SeasonSeconds/60</x:f>
        <x:v>192.75</x:v>
      </x:c>
      <x:c r="C774" s="9" t="n">
        <x:f>A774/4</x:f>
        <x:v>192.75</x:v>
      </x:c>
      <x:c r="D774" s="8" t="n">
        <x:f>IF(MOD(A774,4)=0,1,0)</x:f>
        <x:v>0</x:v>
      </x:c>
      <x:c r="E774" s="8" t="n">
        <x:f>IF(AND(F773&lt;=9,AS773&gt;=AR773),1,0)</x:f>
        <x:v>0</x:v>
      </x:c>
      <x:c r="F774" s="8" t="n">
        <x:f>MIN(10,F773+E774)</x:f>
        <x:v>9</x:v>
      </x:c>
      <x:c r="G774" s="8" t="n">
        <x:f>MIN(F774,9)+1</x:f>
        <x:v>10</x:v>
      </x:c>
      <x:c r="H774" s="8" t="n">
        <x:f>IF(F774&lt;=9,1,0)</x:f>
        <x:v>1</x:v>
      </x:c>
      <x:c r="I774" s="9" t="n">
        <x:f>MIN(10,F773+IF(AR773&gt;0,MIN(1,AS773/AR773),1))</x:f>
        <x:v>9.913801697515773</x:v>
      </x:c>
      <x:c r="J774" s="32" t="n">
        <x:f>INDEX(tun_FoodCap,G774)*Arch_FoodCap*EXP(tun_CapsByProject*SUMPRODUCT((Cap_Point&lt;=I774)*(Cap_Kind="Food")*Cap_Ln))</x:f>
        <x:v>18627.260449441455</x:v>
      </x:c>
      <x:c r="K774" s="32" t="n">
        <x:f>J774*MIN(1,tun_LeanBase*EXP(tun_CapsByProject*SUMPRODUCT((Cap_Point&lt;=I774)*(Cap_Kind="Lean")*Cap_Ln)))</x:f>
        <x:v>18627.260449441455</x:v>
      </x:c>
      <x:c r="L774" s="10" t="n">
        <x:f>INDEX(tun_HousingCap,G774)*EXP(tun_CapsByProject*SUMPRODUCT((Cap_Point&lt;=I774)*(Cap_Kind="Housing")*Cap_Ln))</x:f>
        <x:v>20528.974303173167</x:v>
      </x:c>
      <x:c r="M774" s="10" t="n">
        <x:f>INDEX(tun_GroupCap,G774)*tun_CohesionFactor*EXP(tun_CapsByProject*SUMPRODUCT((Cap_Point&lt;=I774)*(Cap_Kind="Group")*Cap_Ln))</x:f>
        <x:v>1000000.000000001</x:v>
      </x:c>
      <x:c r="N774" s="32" t="n">
        <x:f>MIN(J774,L774,M774)</x:f>
        <x:v>18627.260449441455</x:v>
      </x:c>
      <x:c r="O774" s="10" t="n">
        <x:f>AE773*N774</x:f>
        <x:v>167645.34404497308</x:v>
      </x:c>
      <x:c r="P774" s="9" t="n">
        <x:f>MIN(1,(AB773/(AE773*IF(tun_GroupInCrowding=1,N774,MIN(J774,L774))))^tun_CrowdingExp)</x:f>
        <x:v>0.33677782976009785</x:v>
      </x:c>
      <x:c r="Q774" s="9" t="n">
        <x:f>IF(D774=1,INDEX(tun_WinterMult,G774),1)</x:f>
        <x:v>1</x:v>
      </x:c>
      <x:c r="R774" s="9" t="n">
        <x:f>H774*Z773*tun_WomenShare*tun_BaseFertility*INDEX(tun_FertMult,G774)*Arch_Fertility*(1-P774)</x:f>
        <x:v>854.7866724242297</x:v>
      </x:c>
      <x:c r="S774" s="9" t="n">
        <x:f>H774*Y773*INDEX(tun_MortChild,G774)/4*Q774</x:f>
        <x:v>8.870531780261873</x:v>
      </x:c>
      <x:c r="T774" s="9" t="n">
        <x:f>H774*Z773*INDEX(tun_MortAdult,G774)*Arch_AdultMort/4*Q774</x:f>
        <x:v>21.24460073416781</x:v>
      </x:c>
      <x:c r="U774" s="9" t="n">
        <x:f>H774*AA773*INDEX(tun_MortElder,G774)/4*Q774</x:f>
        <x:v>295.36645175389083</x:v>
      </x:c>
      <x:c r="V774" s="9" t="n">
        <x:f>H774*MAX(0,AB773-O774)*tun_OvercapLoss</x:f>
        <x:v>0</x:v>
      </x:c>
      <x:c r="W774" s="9" t="n">
        <x:f>H774*Y773/(tun_ChildYears*4)</x:f>
        <x:v>704.0104587509422</x:v>
      </x:c>
      <x:c r="X774" s="9" t="n">
        <x:f>H774*Z773/(tun_AdultYears*4)</x:f>
        <x:v>456.87313406812495</x:v>
      </x:c>
      <x:c r="Y774" s="32" t="n">
        <x:f>Y773+R774-S774-W774-Y773*V774/AB773</x:f>
        <x:v>39566.49137194579</x:v>
      </x:c>
      <x:c r="Z774" s="32" t="n">
        <x:f>Z773+W774-X774-T774-Z773*V774/AB773</x:f>
        <x:v>56878.16134839614</x:v>
      </x:c>
      <x:c r="AA774" s="32" t="n">
        <x:f>AA773+X774-U774-AA773*V774/AB773</x:f>
        <x:v>43919.49953474251</x:v>
      </x:c>
      <x:c r="AB774" s="10" t="n">
        <x:f>Y774+Z774+AA774</x:f>
        <x:v>140364.15225508442</x:v>
      </x:c>
      <x:c r="AC774" s="8" t="n">
        <x:f>IF(AND(tun_WinterTrigger=1,D774=1,AB773/AE773&gt;=K774),1,0)</x:f>
        <x:v>0</x:v>
      </x:c>
      <x:c r="AD774" s="8" t="n">
        <x:f>H774*IF(AND(OR(AB773/AE773&gt;=tun_FissionTrigger*N774,AC774=1),AB773/AE773*tun_DaughterShare&gt;=tun_MinDaughter),MAX(1,ROUND(AE773*tun_FissionRate,0)),0)</x:f>
        <x:v>0</x:v>
      </x:c>
      <x:c r="AE774" s="8" t="n">
        <x:f>IF(H774=1,MAX(1,MIN(INDEX(tun_Smax,G774),AE773+AD774)),AE773)</x:f>
        <x:v>9</x:v>
      </x:c>
      <x:c r="AF774" s="8" t="n">
        <x:f>MAX(0,AE774-AE773)</x:f>
        <x:v>0</x:v>
      </x:c>
      <x:c r="AG774" s="9" t="str">
        <x:f>IF(AF774&gt;0,B774,"")</x:f>
      </x:c>
      <x:c r="AH774" s="9" t="n">
        <x:f>IF(F774&gt;=1,1,(1+tun_LowTiesShare*(AE774-1))/AE774)</x:f>
        <x:v>1</x:v>
      </x:c>
      <x:c r="AI774" s="32" t="n">
        <x:f>(Z774+tun_ElderCommons*INDEX(LM_Elder,G774)*AA774)*AH774</x:f>
        <x:v>229615.01029555663</x:v>
      </x:c>
      <x:c r="AJ774" s="32" t="n">
        <x:f>H774*tun_CommonsCoef*AI774^tun_CommonsExp*INDEX(LM_Commons,G774)</x:f>
        <x:v>774177.0131104897</x:v>
      </x:c>
      <x:c r="AK774" s="32" t="n">
        <x:f>H774*tun_RoleScale*Arch_Roles*(AE774*(INDEX(tun_ElderRolePerSett,G774)*tun_OutElder*INDEX(LM_Elder,G774)+INDEX(tun_ShamanPerSett,G774)*tun_OutShaman)+Z774*(INDEX(tun_PriestShare,G774)*tun_OutPriest+INDEX(tun_ScribeShare,G774)*tun_OutScribe*INDEX(LM_Scribe,G774)+INDEX(tun_ScholarShare,G774)*tun_OutScholar*INDEX(LM_Scholar,G774)+INDEX(tun_ResearcherShare,G774)*tun_OutResearcher*INDEX(LM_Researcher,G774)))</x:f>
        <x:v>205094.60280148295</x:v>
      </x:c>
      <x:c r="AL774" s="32" t="n">
        <x:f>H774*tun_RoleScale*Arch_Roles*AE774*INDEX(tun_MonasteryPerSett,G774)*tun_OutMonastery*INDEX(LM_Monastery,G774)</x:f>
        <x:v>15.840000000000002</x:v>
      </x:c>
      <x:c r="AM774" s="32" t="n">
        <x:f>(AJ774+AK774+AL774)/4*INDEX(LM_All,G774)*INDEX(tun_Boon,G774)*Arch_Insight</x:f>
        <x:v>848035.9289913396</x:v>
      </x:c>
      <x:c r="AN774" s="32" t="n">
        <x:f>H774*(tun_KHPerAdult*Z774+tun_KHOfCommons*AJ774/4*INDEX(LM_All,G774))*tun_KHUsable*Arch_KH</x:f>
        <x:v>131521.15949530818</x:v>
      </x:c>
      <x:c r="AO774" s="32" t="n">
        <x:f>MIN(AP773+AN774,AM774*tun_KHMaxRatio)</x:f>
        <x:v>131521.15949530818</x:v>
      </x:c>
      <x:c r="AP774" s="32" t="n">
        <x:f>AP773+AN774-AO774</x:f>
        <x:v>0</x:v>
      </x:c>
      <x:c r="AQ774" s="32" t="n">
        <x:f>AM774+AO774</x:f>
        <x:v>979557.0884866478</x:v>
      </x:c>
      <x:c r="AR774" s="10" t="n">
        <x:f>IF(H774=1,INDEX(tun_Req,G774),0)</x:f>
        <x:v>125406521.7009086</x:v>
      </x:c>
      <x:c r="AS774" s="32" t="n">
        <x:f>IF(H774=1,IF(E774=1,AS773-AR773,AS773)+AQ774,0)</x:f>
        <x:v>115576249.49832547</x:v>
      </x:c>
      <x:c r="AT774" s="11" t="n">
        <x:f>IF(AR774&gt;0,MIN(1,AS774/AR774),1)</x:f>
        <x:v>0.9216127513206364</x:v>
      </x:c>
      <x:c r="AU774" s="10" t="n">
        <x:f>AB774/INDEX(tun_RepScale,G774)</x:f>
        <x:v>280.72830451016887</x:v>
      </x:c>
      <x:c r="AV774" s="32" t="n">
        <x:f>AM774*60/tun_SeasonSeconds</x:f>
        <x:v>3392143.7159653585</x:v>
      </x:c>
    </x:row>
    <x:row r="775">
      <x:c r="A775" s="8" t="n">
        <x:f>A774+1</x:f>
        <x:v>772</x:v>
      </x:c>
      <x:c r="B775" s="9" t="n">
        <x:f>A775*tun_SeasonSeconds/60</x:f>
        <x:v>193</x:v>
      </x:c>
      <x:c r="C775" s="9" t="n">
        <x:f>A775/4</x:f>
        <x:v>193</x:v>
      </x:c>
      <x:c r="D775" s="8" t="n">
        <x:f>IF(MOD(A775,4)=0,1,0)</x:f>
        <x:v>1</x:v>
      </x:c>
      <x:c r="E775" s="8" t="n">
        <x:f>IF(AND(F774&lt;=9,AS774&gt;=AR774),1,0)</x:f>
        <x:v>0</x:v>
      </x:c>
      <x:c r="F775" s="8" t="n">
        <x:f>MIN(10,F774+E775)</x:f>
        <x:v>9</x:v>
      </x:c>
      <x:c r="G775" s="8" t="n">
        <x:f>MIN(F775,9)+1</x:f>
        <x:v>10</x:v>
      </x:c>
      <x:c r="H775" s="8" t="n">
        <x:f>IF(F775&lt;=9,1,0)</x:f>
        <x:v>1</x:v>
      </x:c>
      <x:c r="I775" s="9" t="n">
        <x:f>MIN(10,F774+IF(AR774&gt;0,MIN(1,AS774/AR774),1))</x:f>
        <x:v>9.921612751320636</x:v>
      </x:c>
      <x:c r="J775" s="32" t="n">
        <x:f>INDEX(tun_FoodCap,G775)*Arch_FoodCap*EXP(tun_CapsByProject*SUMPRODUCT((Cap_Point&lt;=I775)*(Cap_Kind="Food")*Cap_Ln))</x:f>
        <x:v>18627.260449441455</x:v>
      </x:c>
      <x:c r="K775" s="32" t="n">
        <x:f>J775*MIN(1,tun_LeanBase*EXP(tun_CapsByProject*SUMPRODUCT((Cap_Point&lt;=I775)*(Cap_Kind="Lean")*Cap_Ln)))</x:f>
        <x:v>18627.260449441455</x:v>
      </x:c>
      <x:c r="L775" s="10" t="n">
        <x:f>INDEX(tun_HousingCap,G775)*EXP(tun_CapsByProject*SUMPRODUCT((Cap_Point&lt;=I775)*(Cap_Kind="Housing")*Cap_Ln))</x:f>
        <x:v>20528.974303173167</x:v>
      </x:c>
      <x:c r="M775" s="10" t="n">
        <x:f>INDEX(tun_GroupCap,G775)*tun_CohesionFactor*EXP(tun_CapsByProject*SUMPRODUCT((Cap_Point&lt;=I775)*(Cap_Kind="Group")*Cap_Ln))</x:f>
        <x:v>1000000.000000001</x:v>
      </x:c>
      <x:c r="N775" s="32" t="n">
        <x:f>MIN(J775,L775,M775)</x:f>
        <x:v>18627.260449441455</x:v>
      </x:c>
      <x:c r="O775" s="10" t="n">
        <x:f>AE774*N775</x:f>
        <x:v>167645.34404497308</x:v>
      </x:c>
      <x:c r="P775" s="9" t="n">
        <x:f>MIN(1,(AB774/(AE774*IF(tun_GroupInCrowding=1,N775,MIN(J775,L775))))^tun_CrowdingExp)</x:f>
        <x:v>0.3444992364709077</x:v>
      </x:c>
      <x:c r="Q775" s="9" t="n">
        <x:f>IF(D775=1,INDEX(tun_WinterMult,G775),1)</x:f>
        <x:v>1.05</x:v>
      </x:c>
      <x:c r="R775" s="9" t="n">
        <x:f>H775*Z774*tun_WomenShare*tun_BaseFertility*INDEX(tun_FertMult,G775)*Arch_Fertility*(1-P775)</x:f>
        <x:v>848.2036788681041</x:v>
      </x:c>
      <x:c r="S775" s="9" t="n">
        <x:f>H775*Y774*INDEX(tun_MortChild,G775)/4*Q775</x:f>
        <x:v>9.347583586622195</x:v>
      </x:c>
      <x:c r="T775" s="9" t="n">
        <x:f>H775*Z774*INDEX(tun_MortAdult,G775)*Arch_AdultMort/4*Q775</x:f>
        <x:v>22.395776030930982</x:v>
      </x:c>
      <x:c r="U775" s="9" t="n">
        <x:f>H775*AA774*INDEX(tun_MortElder,G775)/4*Q775</x:f>
        <x:v>311.27945295248753</x:v>
      </x:c>
      <x:c r="V775" s="9" t="n">
        <x:f>H775*MAX(0,AB774-O775)*tun_OvercapLoss</x:f>
        <x:v>0</x:v>
      </x:c>
      <x:c r="W775" s="9" t="n">
        <x:f>H775*Y774/(tun_ChildYears*4)</x:f>
        <x:v>706.5444887847462</x:v>
      </x:c>
      <x:c r="X775" s="9" t="n">
        <x:f>H775*Z774/(tun_AdultYears*4)</x:f>
        <x:v>458.69484958383987</x:v>
      </x:c>
      <x:c r="Y775" s="32" t="n">
        <x:f>Y774+R775-S775-W775-Y774*V775/AB774</x:f>
        <x:v>39698.80297844253</x:v>
      </x:c>
      <x:c r="Z775" s="32" t="n">
        <x:f>Z774+W775-X775-T775-Z774*V775/AB774</x:f>
        <x:v>57103.615211566124</x:v>
      </x:c>
      <x:c r="AA775" s="32" t="n">
        <x:f>AA774+X775-U775-AA774*V775/AB774</x:f>
        <x:v>44066.91493137385</x:v>
      </x:c>
      <x:c r="AB775" s="10" t="n">
        <x:f>Y775+Z775+AA775</x:f>
        <x:v>140869.33312138251</x:v>
      </x:c>
      <x:c r="AC775" s="8" t="n">
        <x:f>IF(AND(tun_WinterTrigger=1,D775=1,AB774/AE774&gt;=K775),1,0)</x:f>
        <x:v>0</x:v>
      </x:c>
      <x:c r="AD775" s="8" t="n">
        <x:f>H775*IF(AND(OR(AB774/AE774&gt;=tun_FissionTrigger*N775,AC775=1),AB774/AE774*tun_DaughterShare&gt;=tun_MinDaughter),MAX(1,ROUND(AE774*tun_FissionRate,0)),0)</x:f>
        <x:v>0</x:v>
      </x:c>
      <x:c r="AE775" s="8" t="n">
        <x:f>IF(H775=1,MAX(1,MIN(INDEX(tun_Smax,G775),AE774+AD775)),AE774)</x:f>
        <x:v>9</x:v>
      </x:c>
      <x:c r="AF775" s="8" t="n">
        <x:f>MAX(0,AE775-AE774)</x:f>
        <x:v>0</x:v>
      </x:c>
      <x:c r="AG775" s="9" t="str">
        <x:f>IF(AF775&gt;0,B775,"")</x:f>
      </x:c>
      <x:c r="AH775" s="9" t="n">
        <x:f>IF(F775&gt;=1,1,(1+tun_LowTiesShare*(AE775-1))/AE775)</x:f>
        <x:v>1</x:v>
      </x:c>
      <x:c r="AI775" s="32" t="n">
        <x:f>(Z775+tun_ElderCommons*INDEX(LM_Elder,G775)*AA775)*AH775</x:f>
        <x:v>230420.25380501462</x:v>
      </x:c>
      <x:c r="AJ775" s="32" t="n">
        <x:f>H775*tun_CommonsCoef*AI775^tun_CommonsExp*INDEX(LM_Commons,G775)</x:f>
        <x:v>776484.143107526</x:v>
      </x:c>
      <x:c r="AK775" s="32" t="n">
        <x:f>H775*tun_RoleScale*Arch_Roles*(AE775*(INDEX(tun_ElderRolePerSett,G775)*tun_OutElder*INDEX(LM_Elder,G775)+INDEX(tun_ShamanPerSett,G775)*tun_OutShaman)+Z775*(INDEX(tun_PriestShare,G775)*tun_OutPriest+INDEX(tun_ScribeShare,G775)*tun_OutScribe*INDEX(LM_Scribe,G775)+INDEX(tun_ScholarShare,G775)*tun_OutScholar*INDEX(LM_Scholar,G775)+INDEX(tun_ResearcherShare,G775)*tun_OutResearcher*INDEX(LM_Researcher,G775)))</x:f>
        <x:v>205906.56821270494</x:v>
      </x:c>
      <x:c r="AL775" s="32" t="n">
        <x:f>H775*tun_RoleScale*Arch_Roles*AE775*INDEX(tun_MonasteryPerSett,G775)*tun_OutMonastery*INDEX(LM_Monastery,G775)</x:f>
        <x:v>15.840000000000002</x:v>
      </x:c>
      <x:c r="AM775" s="32" t="n">
        <x:f>(AJ775+AK775+AL775)/4*INDEX(LM_All,G775)*INDEX(tun_Boon,G775)*Arch_Insight</x:f>
        <x:v>850736.979593169</x:v>
      </x:c>
      <x:c r="AN775" s="32" t="n">
        <x:f>H775*(tun_KHPerAdult*Z775+tun_KHOfCommons*AJ775/4*INDEX(LM_All,G775))*tun_KHUsable*Arch_KH</x:f>
        <x:v>131913.10656578172</x:v>
      </x:c>
      <x:c r="AO775" s="32" t="n">
        <x:f>MIN(AP774+AN775,AM775*tun_KHMaxRatio)</x:f>
        <x:v>131913.10656578172</x:v>
      </x:c>
      <x:c r="AP775" s="32" t="n">
        <x:f>AP774+AN775-AO775</x:f>
        <x:v>0</x:v>
      </x:c>
      <x:c r="AQ775" s="32" t="n">
        <x:f>AM775+AO775</x:f>
        <x:v>982650.0861589507</x:v>
      </x:c>
      <x:c r="AR775" s="10" t="n">
        <x:f>IF(H775=1,INDEX(tun_Req,G775),0)</x:f>
        <x:v>125406521.7009086</x:v>
      </x:c>
      <x:c r="AS775" s="32" t="n">
        <x:f>IF(H775=1,IF(E775=1,AS774-AR774,AS774)+AQ775,0)</x:f>
        <x:v>116558899.58448441</x:v>
      </x:c>
      <x:c r="AT775" s="11" t="n">
        <x:f>IF(AR775&gt;0,MIN(1,AS775/AR775),1)</x:f>
        <x:v>0.9294484688960153</x:v>
      </x:c>
      <x:c r="AU775" s="10" t="n">
        <x:f>AB775/INDEX(tun_RepScale,G775)</x:f>
        <x:v>281.738666242765</x:v>
      </x:c>
      <x:c r="AV775" s="32" t="n">
        <x:f>AM775*60/tun_SeasonSeconds</x:f>
        <x:v>3402947.918372676</x:v>
      </x:c>
    </x:row>
    <x:row r="776">
      <x:c r="A776" s="8" t="n">
        <x:f>A775+1</x:f>
        <x:v>773</x:v>
      </x:c>
      <x:c r="B776" s="9" t="n">
        <x:f>A776*tun_SeasonSeconds/60</x:f>
        <x:v>193.25</x:v>
      </x:c>
      <x:c r="C776" s="9" t="n">
        <x:f>A776/4</x:f>
        <x:v>193.25</x:v>
      </x:c>
      <x:c r="D776" s="8" t="n">
        <x:f>IF(MOD(A776,4)=0,1,0)</x:f>
        <x:v>0</x:v>
      </x:c>
      <x:c r="E776" s="8" t="n">
        <x:f>IF(AND(F775&lt;=9,AS775&gt;=AR775),1,0)</x:f>
        <x:v>0</x:v>
      </x:c>
      <x:c r="F776" s="8" t="n">
        <x:f>MIN(10,F775+E776)</x:f>
        <x:v>9</x:v>
      </x:c>
      <x:c r="G776" s="8" t="n">
        <x:f>MIN(F776,9)+1</x:f>
        <x:v>10</x:v>
      </x:c>
      <x:c r="H776" s="8" t="n">
        <x:f>IF(F776&lt;=9,1,0)</x:f>
        <x:v>1</x:v>
      </x:c>
      <x:c r="I776" s="9" t="n">
        <x:f>MIN(10,F775+IF(AR775&gt;0,MIN(1,AS775/AR775),1))</x:f>
        <x:v>9.929448468896016</x:v>
      </x:c>
      <x:c r="J776" s="32" t="n">
        <x:f>INDEX(tun_FoodCap,G776)*Arch_FoodCap*EXP(tun_CapsByProject*SUMPRODUCT((Cap_Point&lt;=I776)*(Cap_Kind="Food")*Cap_Ln))</x:f>
        <x:v>18627.260449441455</x:v>
      </x:c>
      <x:c r="K776" s="32" t="n">
        <x:f>J776*MIN(1,tun_LeanBase*EXP(tun_CapsByProject*SUMPRODUCT((Cap_Point&lt;=I776)*(Cap_Kind="Lean")*Cap_Ln)))</x:f>
        <x:v>18627.260449441455</x:v>
      </x:c>
      <x:c r="L776" s="10" t="n">
        <x:f>INDEX(tun_HousingCap,G776)*EXP(tun_CapsByProject*SUMPRODUCT((Cap_Point&lt;=I776)*(Cap_Kind="Housing")*Cap_Ln))</x:f>
        <x:v>20528.974303173167</x:v>
      </x:c>
      <x:c r="M776" s="10" t="n">
        <x:f>INDEX(tun_GroupCap,G776)*tun_CohesionFactor*EXP(tun_CapsByProject*SUMPRODUCT((Cap_Point&lt;=I776)*(Cap_Kind="Group")*Cap_Ln))</x:f>
        <x:v>1000000.000000001</x:v>
      </x:c>
      <x:c r="N776" s="32" t="n">
        <x:f>MIN(J776,L776,M776)</x:f>
        <x:v>18627.260449441455</x:v>
      </x:c>
      <x:c r="O776" s="10" t="n">
        <x:f>AE775*N776</x:f>
        <x:v>167645.34404497308</x:v>
      </x:c>
      <x:c r="P776" s="9" t="n">
        <x:f>MIN(1,(AB775/(AE775*IF(tun_GroupInCrowding=1,N776,MIN(J776,L776))))^tun_CrowdingExp)</x:f>
        <x:v>0.3520057626551889</x:v>
      </x:c>
      <x:c r="Q776" s="9" t="n">
        <x:f>IF(D776=1,INDEX(tun_WinterMult,G776),1)</x:f>
        <x:v>1</x:v>
      </x:c>
      <x:c r="R776" s="9" t="n">
        <x:f>H776*Z775*tun_WomenShare*tun_BaseFertility*INDEX(tun_FertMult,G776)*Arch_Fertility*(1-P776)</x:f>
        <x:v>841.8140091417953</x:v>
      </x:c>
      <x:c r="S776" s="9" t="n">
        <x:f>H776*Y775*INDEX(tun_MortChild,G776)/4*Q776</x:f>
        <x:v>8.932230670149568</x:v>
      </x:c>
      <x:c r="T776" s="9" t="n">
        <x:f>H776*Z775*INDEX(tun_MortAdult,G776)*Arch_AdultMort/4*Q776</x:f>
        <x:v>21.413855704337298</x:v>
      </x:c>
      <x:c r="U776" s="9" t="n">
        <x:f>H776*AA775*INDEX(tun_MortElder,G776)/4*Q776</x:f>
        <x:v>297.4516757867735</x:v>
      </x:c>
      <x:c r="V776" s="9" t="n">
        <x:f>H776*MAX(0,AB775-O776)*tun_OvercapLoss</x:f>
        <x:v>0</x:v>
      </x:c>
      <x:c r="W776" s="9" t="n">
        <x:f>H776*Y775/(tun_ChildYears*4)</x:f>
        <x:v>708.9071960436166</x:v>
      </x:c>
      <x:c r="X776" s="9" t="n">
        <x:f>H776*Z775/(tun_AdultYears*4)</x:f>
        <x:v>460.5130258997268</x:v>
      </x:c>
      <x:c r="Y776" s="32" t="n">
        <x:f>Y775+R776-S776-W776-Y775*V776/AB775</x:f>
        <x:v>39822.777560870556</x:v>
      </x:c>
      <x:c r="Z776" s="32" t="n">
        <x:f>Z775+W776-X776-T776-Z775*V776/AB775</x:f>
        <x:v>57330.59552600568</x:v>
      </x:c>
      <x:c r="AA776" s="32" t="n">
        <x:f>AA775+X776-U776-AA775*V776/AB775</x:f>
        <x:v>44229.9762814868</x:v>
      </x:c>
      <x:c r="AB776" s="10" t="n">
        <x:f>Y776+Z776+AA776</x:f>
        <x:v>141383.34936836304</x:v>
      </x:c>
      <x:c r="AC776" s="8" t="n">
        <x:f>IF(AND(tun_WinterTrigger=1,D776=1,AB775/AE775&gt;=K776),1,0)</x:f>
        <x:v>0</x:v>
      </x:c>
      <x:c r="AD776" s="8" t="n">
        <x:f>H776*IF(AND(OR(AB775/AE775&gt;=tun_FissionTrigger*N776,AC776=1),AB775/AE775*tun_DaughterShare&gt;=tun_MinDaughter),MAX(1,ROUND(AE775*tun_FissionRate,0)),0)</x:f>
        <x:v>0</x:v>
      </x:c>
      <x:c r="AE776" s="8" t="n">
        <x:f>IF(H776=1,MAX(1,MIN(INDEX(tun_Smax,G776),AE775+AD776)),AE775)</x:f>
        <x:v>9</x:v>
      </x:c>
      <x:c r="AF776" s="8" t="n">
        <x:f>MAX(0,AE776-AE775)</x:f>
        <x:v>0</x:v>
      </x:c>
      <x:c r="AG776" s="9" t="str">
        <x:f>IF(AF776&gt;0,B776,"")</x:f>
      </x:c>
      <x:c r="AH776" s="9" t="n">
        <x:f>IF(F776&gt;=1,1,(1+tun_LowTiesShare*(AE776-1))/AE776)</x:f>
        <x:v>1</x:v>
      </x:c>
      <x:c r="AI776" s="32" t="n">
        <x:f>(Z776+tun_ElderCommons*INDEX(LM_Elder,G776)*AA776)*AH776</x:f>
        <x:v>231288.55981992802</x:v>
      </x:c>
      <x:c r="AJ776" s="32" t="n">
        <x:f>H776*tun_CommonsCoef*AI776^tun_CommonsExp*INDEX(LM_Commons,G776)</x:f>
        <x:v>778970.6009037138</x:v>
      </x:c>
      <x:c r="AK776" s="32" t="n">
        <x:f>H776*tun_RoleScale*Arch_Roles*(AE776*(INDEX(tun_ElderRolePerSett,G776)*tun_OutElder*INDEX(LM_Elder,G776)+INDEX(tun_ShamanPerSett,G776)*tun_OutShaman)+Z776*(INDEX(tun_PriestShare,G776)*tun_OutPriest+INDEX(tun_ScribeShare,G776)*tun_OutScribe*INDEX(LM_Scribe,G776)+INDEX(tun_ScholarShare,G776)*tun_OutScholar*INDEX(LM_Scholar,G776)+INDEX(tun_ResearcherShare,G776)*tun_OutResearcher*INDEX(LM_Researcher,G776)))</x:f>
        <x:v>206724.0310929673</x:v>
      </x:c>
      <x:c r="AL776" s="32" t="n">
        <x:f>H776*tun_RoleScale*Arch_Roles*AE776*INDEX(tun_MonasteryPerSett,G776)*tun_OutMonastery*INDEX(LM_Monastery,G776)</x:f>
        <x:v>15.840000000000002</x:v>
      </x:c>
      <x:c r="AM776" s="32" t="n">
        <x:f>(AJ776+AK776+AL776)/4*INDEX(LM_All,G776)*INDEX(tun_Boon,G776)*Arch_Insight</x:f>
        <x:v>853598.0837799452</x:v>
      </x:c>
      <x:c r="AN776" s="32" t="n">
        <x:f>H776*(tun_KHPerAdult*Z776+tun_KHOfCommons*AJ776/4*INDEX(LM_All,G776))*tun_KHUsable*Arch_KH</x:f>
        <x:v>132335.5187620272</x:v>
      </x:c>
      <x:c r="AO776" s="32" t="n">
        <x:f>MIN(AP775+AN776,AM776*tun_KHMaxRatio)</x:f>
        <x:v>132335.5187620272</x:v>
      </x:c>
      <x:c r="AP776" s="32" t="n">
        <x:f>AP775+AN776-AO776</x:f>
        <x:v>0</x:v>
      </x:c>
      <x:c r="AQ776" s="32" t="n">
        <x:f>AM776+AO776</x:f>
        <x:v>985933.6025419724</x:v>
      </x:c>
      <x:c r="AR776" s="10" t="n">
        <x:f>IF(H776=1,INDEX(tun_Req,G776),0)</x:f>
        <x:v>125406521.7009086</x:v>
      </x:c>
      <x:c r="AS776" s="32" t="n">
        <x:f>IF(H776=1,IF(E776=1,AS775-AR775,AS775)+AQ776,0)</x:f>
        <x:v>117544833.18702638</x:v>
      </x:c>
      <x:c r="AT776" s="11" t="n">
        <x:f>IF(AR776&gt;0,MIN(1,AS776/AR776),1)</x:f>
        <x:v>0.9373103694508635</x:v>
      </x:c>
      <x:c r="AU776" s="10" t="n">
        <x:f>AB776/INDEX(tun_RepScale,G776)</x:f>
        <x:v>282.7666987367261</x:v>
      </x:c>
      <x:c r="AV776" s="32" t="n">
        <x:f>AM776*60/tun_SeasonSeconds</x:f>
        <x:v>3414392.3351197806</x:v>
      </x:c>
    </x:row>
    <x:row r="777">
      <x:c r="A777" s="8" t="n">
        <x:f>A776+1</x:f>
        <x:v>774</x:v>
      </x:c>
      <x:c r="B777" s="9" t="n">
        <x:f>A777*tun_SeasonSeconds/60</x:f>
        <x:v>193.5</x:v>
      </x:c>
      <x:c r="C777" s="9" t="n">
        <x:f>A777/4</x:f>
        <x:v>193.5</x:v>
      </x:c>
      <x:c r="D777" s="8" t="n">
        <x:f>IF(MOD(A777,4)=0,1,0)</x:f>
        <x:v>0</x:v>
      </x:c>
      <x:c r="E777" s="8" t="n">
        <x:f>IF(AND(F776&lt;=9,AS776&gt;=AR776),1,0)</x:f>
        <x:v>0</x:v>
      </x:c>
      <x:c r="F777" s="8" t="n">
        <x:f>MIN(10,F776+E777)</x:f>
        <x:v>9</x:v>
      </x:c>
      <x:c r="G777" s="8" t="n">
        <x:f>MIN(F777,9)+1</x:f>
        <x:v>10</x:v>
      </x:c>
      <x:c r="H777" s="8" t="n">
        <x:f>IF(F777&lt;=9,1,0)</x:f>
        <x:v>1</x:v>
      </x:c>
      <x:c r="I777" s="9" t="n">
        <x:f>MIN(10,F776+IF(AR776&gt;0,MIN(1,AS776/AR776),1))</x:f>
        <x:v>9.937310369450863</x:v>
      </x:c>
      <x:c r="J777" s="32" t="n">
        <x:f>INDEX(tun_FoodCap,G777)*Arch_FoodCap*EXP(tun_CapsByProject*SUMPRODUCT((Cap_Point&lt;=I777)*(Cap_Kind="Food")*Cap_Ln))</x:f>
        <x:v>18627.260449441455</x:v>
      </x:c>
      <x:c r="K777" s="32" t="n">
        <x:f>J777*MIN(1,tun_LeanBase*EXP(tun_CapsByProject*SUMPRODUCT((Cap_Point&lt;=I777)*(Cap_Kind="Lean")*Cap_Ln)))</x:f>
        <x:v>18627.260449441455</x:v>
      </x:c>
      <x:c r="L777" s="10" t="n">
        <x:f>INDEX(tun_HousingCap,G777)*EXP(tun_CapsByProject*SUMPRODUCT((Cap_Point&lt;=I777)*(Cap_Kind="Housing")*Cap_Ln))</x:f>
        <x:v>20528.974303173167</x:v>
      </x:c>
      <x:c r="M777" s="10" t="n">
        <x:f>INDEX(tun_GroupCap,G777)*tun_CohesionFactor*EXP(tun_CapsByProject*SUMPRODUCT((Cap_Point&lt;=I777)*(Cap_Kind="Group")*Cap_Ln))</x:f>
        <x:v>1000000.000000001</x:v>
      </x:c>
      <x:c r="N777" s="32" t="n">
        <x:f>MIN(J777,L777,M777)</x:f>
        <x:v>18627.260449441455</x:v>
      </x:c>
      <x:c r="O777" s="10" t="n">
        <x:f>AE776*N777</x:f>
        <x:v>167645.34404497308</x:v>
      </x:c>
      <x:c r="P777" s="9" t="n">
        <x:f>MIN(1,(AB776/(AE776*IF(tun_GroupInCrowding=1,N777,MIN(J777,L777))))^tun_CrowdingExp)</x:f>
        <x:v>0.35978298170710166</x:v>
      </x:c>
      <x:c r="Q777" s="9" t="n">
        <x:f>IF(D777=1,INDEX(tun_WinterMult,G777),1)</x:f>
        <x:v>1</x:v>
      </x:c>
      <x:c r="R777" s="9" t="n">
        <x:f>H777*Z776*tun_WomenShare*tun_BaseFertility*INDEX(tun_FertMult,G777)*Arch_Fertility*(1-P777)</x:f>
        <x:v>835.0165215350033</x:v>
      </x:c>
      <x:c r="S777" s="9" t="n">
        <x:f>H777*Y776*INDEX(tun_MortChild,G777)/4*Q777</x:f>
        <x:v>8.960124951195874</x:v>
      </x:c>
      <x:c r="T777" s="9" t="n">
        <x:f>H777*Z776*INDEX(tun_MortAdult,G777)*Arch_AdultMort/4*Q777</x:f>
        <x:v>21.49897332225213</x:v>
      </x:c>
      <x:c r="U777" s="9" t="n">
        <x:f>H777*AA776*INDEX(tun_MortElder,G777)/4*Q777</x:f>
        <x:v>298.5523399000359</x:v>
      </x:c>
      <x:c r="V777" s="9" t="n">
        <x:f>H777*MAX(0,AB776-O777)*tun_OvercapLoss</x:f>
        <x:v>0</x:v>
      </x:c>
      <x:c r="W777" s="9" t="n">
        <x:f>H777*Y776/(tun_ChildYears*4)</x:f>
        <x:v>711.1210278726885</x:v>
      </x:c>
      <x:c r="X777" s="9" t="n">
        <x:f>H777*Z776/(tun_AdultYears*4)</x:f>
        <x:v>462.3435123064974</x:v>
      </x:c>
      <x:c r="Y777" s="32" t="n">
        <x:f>Y776+R777-S777-W777-Y776*V777/AB776</x:f>
        <x:v>39937.71292958168</x:v>
      </x:c>
      <x:c r="Z777" s="32" t="n">
        <x:f>Z776+W777-X777-T777-Z776*V777/AB776</x:f>
        <x:v>57557.87406824961</x:v>
      </x:c>
      <x:c r="AA777" s="32" t="n">
        <x:f>AA776+X777-U777-AA776*V777/AB776</x:f>
        <x:v>44393.76745389326</x:v>
      </x:c>
      <x:c r="AB777" s="10" t="n">
        <x:f>Y777+Z777+AA777</x:f>
        <x:v>141889.35445172456</x:v>
      </x:c>
      <x:c r="AC777" s="8" t="n">
        <x:f>IF(AND(tun_WinterTrigger=1,D777=1,AB776/AE776&gt;=K777),1,0)</x:f>
        <x:v>0</x:v>
      </x:c>
      <x:c r="AD777" s="8" t="n">
        <x:f>H777*IF(AND(OR(AB776/AE776&gt;=tun_FissionTrigger*N777,AC777=1),AB776/AE776*tun_DaughterShare&gt;=tun_MinDaughter),MAX(1,ROUND(AE776*tun_FissionRate,0)),0)</x:f>
        <x:v>0</x:v>
      </x:c>
      <x:c r="AE777" s="8" t="n">
        <x:f>IF(H777=1,MAX(1,MIN(INDEX(tun_Smax,G777),AE776+AD777)),AE776)</x:f>
        <x:v>9</x:v>
      </x:c>
      <x:c r="AF777" s="8" t="n">
        <x:f>MAX(0,AE777-AE776)</x:f>
        <x:v>0</x:v>
      </x:c>
      <x:c r="AG777" s="9" t="str">
        <x:f>IF(AF777&gt;0,B777,"")</x:f>
      </x:c>
      <x:c r="AH777" s="9" t="n">
        <x:f>IF(F777&gt;=1,1,(1+tun_LowTiesShare*(AE777-1))/AE777)</x:f>
        <x:v>1</x:v>
      </x:c>
      <x:c r="AI777" s="32" t="n">
        <x:f>(Z777+tun_ElderCommons*INDEX(LM_Elder,G777)*AA777)*AH777</x:f>
        <x:v>232160.03447794222</x:v>
      </x:c>
      <x:c r="AJ777" s="32" t="n">
        <x:f>H777*tun_CommonsCoef*AI777^tun_CommonsExp*INDEX(LM_Commons,G777)</x:f>
        <x:v>781464.7248645668</x:v>
      </x:c>
      <x:c r="AK777" s="32" t="n">
        <x:f>H777*tun_RoleScale*Arch_Roles*(AE777*(INDEX(tun_ElderRolePerSett,G777)*tun_OutElder*INDEX(LM_Elder,G777)+INDEX(tun_ShamanPerSett,G777)*tun_OutShaman)+Z777*(INDEX(tun_PriestShare,G777)*tun_OutPriest+INDEX(tun_ScribeShare,G777)*tun_OutScribe*INDEX(LM_Scribe,G777)+INDEX(tun_ScholarShare,G777)*tun_OutScholar*INDEX(LM_Scholar,G777)+INDEX(tun_ResearcherShare,G777)*tun_OutResearcher*INDEX(LM_Researcher,G777)))</x:f>
        <x:v>207542.5680318349</x:v>
      </x:c>
      <x:c r="AL777" s="32" t="n">
        <x:f>H777*tun_RoleScale*Arch_Roles*AE777*INDEX(tun_MonasteryPerSett,G777)*tun_OutMonastery*INDEX(LM_Monastery,G777)</x:f>
        <x:v>15.840000000000002</x:v>
      </x:c>
      <x:c r="AM777" s="32" t="n">
        <x:f>(AJ777+AK777+AL777)/4*INDEX(LM_All,G777)*INDEX(tun_Boon,G777)*Arch_Insight</x:f>
        <x:v>856466.7567590263</x:v>
      </x:c>
      <x:c r="AN777" s="32" t="n">
        <x:f>H777*(tun_KHPerAdult*Z777+tun_KHOfCommons*AJ777/4*INDEX(LM_All,G777))*tun_KHUsable*Arch_KH</x:f>
        <x:v>132759.23332562353</x:v>
      </x:c>
      <x:c r="AO777" s="32" t="n">
        <x:f>MIN(AP776+AN777,AM777*tun_KHMaxRatio)</x:f>
        <x:v>132759.23332562353</x:v>
      </x:c>
      <x:c r="AP777" s="32" t="n">
        <x:f>AP776+AN777-AO777</x:f>
        <x:v>0</x:v>
      </x:c>
      <x:c r="AQ777" s="32" t="n">
        <x:f>AM777+AO777</x:f>
        <x:v>989225.9900846499</x:v>
      </x:c>
      <x:c r="AR777" s="10" t="n">
        <x:f>IF(H777=1,INDEX(tun_Req,G777),0)</x:f>
        <x:v>125406521.7009086</x:v>
      </x:c>
      <x:c r="AS777" s="32" t="n">
        <x:f>IF(H777=1,IF(E777=1,AS776-AR776,AS776)+AQ777,0)</x:f>
        <x:v>118534059.17711103</x:v>
      </x:c>
      <x:c r="AT777" s="11" t="n">
        <x:f>IF(AR777&gt;0,MIN(1,AS777/AR777),1)</x:f>
        <x:v>0.9451985237244023</x:v>
      </x:c>
      <x:c r="AU777" s="10" t="n">
        <x:f>AB777/INDEX(tun_RepScale,G777)</x:f>
        <x:v>283.7787089034491</x:v>
      </x:c>
      <x:c r="AV777" s="32" t="n">
        <x:f>AM777*60/tun_SeasonSeconds</x:f>
        <x:v>3425867.0270361053</x:v>
      </x:c>
    </x:row>
    <x:row r="778">
      <x:c r="A778" s="8" t="n">
        <x:f>A777+1</x:f>
        <x:v>775</x:v>
      </x:c>
      <x:c r="B778" s="9" t="n">
        <x:f>A778*tun_SeasonSeconds/60</x:f>
        <x:v>193.75</x:v>
      </x:c>
      <x:c r="C778" s="9" t="n">
        <x:f>A778/4</x:f>
        <x:v>193.75</x:v>
      </x:c>
      <x:c r="D778" s="8" t="n">
        <x:f>IF(MOD(A778,4)=0,1,0)</x:f>
        <x:v>0</x:v>
      </x:c>
      <x:c r="E778" s="8" t="n">
        <x:f>IF(AND(F777&lt;=9,AS777&gt;=AR777),1,0)</x:f>
        <x:v>0</x:v>
      </x:c>
      <x:c r="F778" s="8" t="n">
        <x:f>MIN(10,F777+E778)</x:f>
        <x:v>9</x:v>
      </x:c>
      <x:c r="G778" s="8" t="n">
        <x:f>MIN(F778,9)+1</x:f>
        <x:v>10</x:v>
      </x:c>
      <x:c r="H778" s="8" t="n">
        <x:f>IF(F778&lt;=9,1,0)</x:f>
        <x:v>1</x:v>
      </x:c>
      <x:c r="I778" s="9" t="n">
        <x:f>MIN(10,F777+IF(AR777&gt;0,MIN(1,AS777/AR777),1))</x:f>
        <x:v>9.945198523724402</x:v>
      </x:c>
      <x:c r="J778" s="32" t="n">
        <x:f>INDEX(tun_FoodCap,G778)*Arch_FoodCap*EXP(tun_CapsByProject*SUMPRODUCT((Cap_Point&lt;=I778)*(Cap_Kind="Food")*Cap_Ln))</x:f>
        <x:v>18627.260449441455</x:v>
      </x:c>
      <x:c r="K778" s="32" t="n">
        <x:f>J778*MIN(1,tun_LeanBase*EXP(tun_CapsByProject*SUMPRODUCT((Cap_Point&lt;=I778)*(Cap_Kind="Lean")*Cap_Ln)))</x:f>
        <x:v>18627.260449441455</x:v>
      </x:c>
      <x:c r="L778" s="10" t="n">
        <x:f>INDEX(tun_HousingCap,G778)*EXP(tun_CapsByProject*SUMPRODUCT((Cap_Point&lt;=I778)*(Cap_Kind="Housing")*Cap_Ln))</x:f>
        <x:v>20528.974303173167</x:v>
      </x:c>
      <x:c r="M778" s="10" t="n">
        <x:f>INDEX(tun_GroupCap,G778)*tun_CohesionFactor*EXP(tun_CapsByProject*SUMPRODUCT((Cap_Point&lt;=I778)*(Cap_Kind="Group")*Cap_Ln))</x:f>
        <x:v>1000000.000000001</x:v>
      </x:c>
      <x:c r="N778" s="32" t="n">
        <x:f>MIN(J778,L778,M778)</x:f>
        <x:v>18627.260449441455</x:v>
      </x:c>
      <x:c r="O778" s="10" t="n">
        <x:f>AE777*N778</x:f>
        <x:v>167645.34404497308</x:v>
      </x:c>
      <x:c r="P778" s="9" t="n">
        <x:f>MIN(1,(AB777/(AE777*IF(tun_GroupInCrowding=1,N778,MIN(J778,L778))))^tun_CrowdingExp)</x:f>
        <x:v>0.3675783283459521</x:v>
      </x:c>
      <x:c r="Q778" s="9" t="n">
        <x:f>IF(D778=1,INDEX(tun_WinterMult,G778),1)</x:f>
        <x:v>1</x:v>
      </x:c>
      <x:c r="R778" s="9" t="n">
        <x:f>H778*Z777*tun_WomenShare*tun_BaseFertility*INDEX(tun_FertMult,G778)*Arch_Fertility*(1-P778)</x:f>
        <x:v>828.1192677734248</x:v>
      </x:c>
      <x:c r="S778" s="9" t="n">
        <x:f>H778*Y777*INDEX(tun_MortChild,G778)/4*Q778</x:f>
        <x:v>8.985985409155877</x:v>
      </x:c>
      <x:c r="T778" s="9" t="n">
        <x:f>H778*Z777*INDEX(tun_MortAdult,G778)*Arch_AdultMort/4*Q778</x:f>
        <x:v>21.584202775593607</x:v>
      </x:c>
      <x:c r="U778" s="9" t="n">
        <x:f>H778*AA777*INDEX(tun_MortElder,G778)/4*Q778</x:f>
        <x:v>299.6579303137795</x:v>
      </x:c>
      <x:c r="V778" s="9" t="n">
        <x:f>H778*MAX(0,AB777-O778)*tun_OvercapLoss</x:f>
        <x:v>0</x:v>
      </x:c>
      <x:c r="W778" s="9" t="n">
        <x:f>H778*Y777/(tun_ChildYears*4)</x:f>
        <x:v>713.1734451711014</x:v>
      </x:c>
      <x:c r="X778" s="9" t="n">
        <x:f>H778*Z777/(tun_AdultYears*4)</x:f>
        <x:v>464.17640377620654</x:v>
      </x:c>
      <x:c r="Y778" s="32" t="n">
        <x:f>Y777+R778-S778-W778-Y777*V778/AB777</x:f>
        <x:v>40043.67276677484</x:v>
      </x:c>
      <x:c r="Z778" s="32" t="n">
        <x:f>Z777+W778-X778-T778-Z777*V778/AB777</x:f>
        <x:v>57785.28690686892</x:v>
      </x:c>
      <x:c r="AA778" s="32" t="n">
        <x:f>AA777+X778-U778-AA777*V778/AB777</x:f>
        <x:v>44558.28592735569</x:v>
      </x:c>
      <x:c r="AB778" s="10" t="n">
        <x:f>Y778+Z778+AA778</x:f>
        <x:v>142387.24560099945</x:v>
      </x:c>
      <x:c r="AC778" s="8" t="n">
        <x:f>IF(AND(tun_WinterTrigger=1,D778=1,AB777/AE777&gt;=K778),1,0)</x:f>
        <x:v>0</x:v>
      </x:c>
      <x:c r="AD778" s="8" t="n">
        <x:f>H778*IF(AND(OR(AB777/AE777&gt;=tun_FissionTrigger*N778,AC778=1),AB777/AE777*tun_DaughterShare&gt;=tun_MinDaughter),MAX(1,ROUND(AE777*tun_FissionRate,0)),0)</x:f>
        <x:v>0</x:v>
      </x:c>
      <x:c r="AE778" s="8" t="n">
        <x:f>IF(H778=1,MAX(1,MIN(INDEX(tun_Smax,G778),AE777+AD778)),AE777)</x:f>
        <x:v>9</x:v>
      </x:c>
      <x:c r="AF778" s="8" t="n">
        <x:f>MAX(0,AE778-AE777)</x:f>
        <x:v>0</x:v>
      </x:c>
      <x:c r="AG778" s="9" t="str">
        <x:f>IF(AF778&gt;0,B778,"")</x:f>
      </x:c>
      <x:c r="AH778" s="9" t="n">
        <x:f>IF(F778&gt;=1,1,(1+tun_LowTiesShare*(AE778-1))/AE778)</x:f>
        <x:v>1</x:v>
      </x:c>
      <x:c r="AI778" s="32" t="n">
        <x:f>(Z778+tun_ElderCommons*INDEX(LM_Elder,G778)*AA778)*AH778</x:f>
        <x:v>233034.50393151716</x:v>
      </x:c>
      <x:c r="AJ778" s="32" t="n">
        <x:f>H778*tun_CommonsCoef*AI778^tun_CommonsExp*INDEX(LM_Commons,G778)</x:f>
        <x:v>783966.0086042635</x:v>
      </x:c>
      <x:c r="AK778" s="32" t="n">
        <x:f>H778*tun_RoleScale*Arch_Roles*(AE778*(INDEX(tun_ElderRolePerSett,G778)*tun_OutElder*INDEX(LM_Elder,G778)+INDEX(tun_ShamanPerSett,G778)*tun_OutShaman)+Z778*(INDEX(tun_PriestShare,G778)*tun_OutPriest+INDEX(tun_ScribeShare,G778)*tun_OutScribe*INDEX(LM_Scribe,G778)+INDEX(tun_ScholarShare,G778)*tun_OutScholar*INDEX(LM_Scholar,G778)+INDEX(tun_ResearcherShare,G778)*tun_OutResearcher*INDEX(LM_Researcher,G778)))</x:f>
        <x:v>208361.5886351211</x:v>
      </x:c>
      <x:c r="AL778" s="32" t="n">
        <x:f>H778*tun_RoleScale*Arch_Roles*AE778*INDEX(tun_MonasteryPerSett,G778)*tun_OutMonastery*INDEX(LM_Monastery,G778)</x:f>
        <x:v>15.840000000000002</x:v>
      </x:c>
      <x:c r="AM778" s="32" t="n">
        <x:f>(AJ778+AK778+AL778)/4*INDEX(LM_All,G778)*INDEX(tun_Boon,G778)*Arch_Insight</x:f>
        <x:v>859342.0487491736</x:v>
      </x:c>
      <x:c r="AN778" s="32" t="n">
        <x:f>H778*(tun_KHPerAdult*Z778+tun_KHOfCommons*AJ778/4*INDEX(LM_All,G778))*tun_KHUsable*Arch_KH</x:f>
        <x:v>133184.16422915156</x:v>
      </x:c>
      <x:c r="AO778" s="32" t="n">
        <x:f>MIN(AP777+AN778,AM778*tun_KHMaxRatio)</x:f>
        <x:v>133184.16422915156</x:v>
      </x:c>
      <x:c r="AP778" s="32" t="n">
        <x:f>AP777+AN778-AO778</x:f>
        <x:v>0</x:v>
      </x:c>
      <x:c r="AQ778" s="32" t="n">
        <x:f>AM778+AO778</x:f>
        <x:v>992526.2129783252</x:v>
      </x:c>
      <x:c r="AR778" s="10" t="n">
        <x:f>IF(H778=1,INDEX(tun_Req,G778),0)</x:f>
        <x:v>125406521.7009086</x:v>
      </x:c>
      <x:c r="AS778" s="32" t="n">
        <x:f>IF(H778=1,IF(E778=1,AS777-AR777,AS777)+AQ778,0)</x:f>
        <x:v>119526585.39008935</x:v>
      </x:c>
      <x:c r="AT778" s="11" t="n">
        <x:f>IF(AR778&gt;0,MIN(1,AS778/AR778),1)</x:f>
        <x:v>0.9531129941962448</x:v>
      </x:c>
      <x:c r="AU778" s="10" t="n">
        <x:f>AB778/INDEX(tun_RepScale,G778)</x:f>
        <x:v>284.7744912019989</x:v>
      </x:c>
      <x:c r="AV778" s="32" t="n">
        <x:f>AM778*60/tun_SeasonSeconds</x:f>
        <x:v>3437368.1949966946</x:v>
      </x:c>
    </x:row>
    <x:row r="779">
      <x:c r="A779" s="8" t="n">
        <x:f>A778+1</x:f>
        <x:v>776</x:v>
      </x:c>
      <x:c r="B779" s="9" t="n">
        <x:f>A779*tun_SeasonSeconds/60</x:f>
        <x:v>194</x:v>
      </x:c>
      <x:c r="C779" s="9" t="n">
        <x:f>A779/4</x:f>
        <x:v>194</x:v>
      </x:c>
      <x:c r="D779" s="8" t="n">
        <x:f>IF(MOD(A779,4)=0,1,0)</x:f>
        <x:v>1</x:v>
      </x:c>
      <x:c r="E779" s="8" t="n">
        <x:f>IF(AND(F778&lt;=9,AS778&gt;=AR778),1,0)</x:f>
        <x:v>0</x:v>
      </x:c>
      <x:c r="F779" s="8" t="n">
        <x:f>MIN(10,F778+E779)</x:f>
        <x:v>9</x:v>
      </x:c>
      <x:c r="G779" s="8" t="n">
        <x:f>MIN(F779,9)+1</x:f>
        <x:v>10</x:v>
      </x:c>
      <x:c r="H779" s="8" t="n">
        <x:f>IF(F779&lt;=9,1,0)</x:f>
        <x:v>1</x:v>
      </x:c>
      <x:c r="I779" s="9" t="n">
        <x:f>MIN(10,F778+IF(AR778&gt;0,MIN(1,AS778/AR778),1))</x:f>
        <x:v>9.953112994196244</x:v>
      </x:c>
      <x:c r="J779" s="32" t="n">
        <x:f>INDEX(tun_FoodCap,G779)*Arch_FoodCap*EXP(tun_CapsByProject*SUMPRODUCT((Cap_Point&lt;=I779)*(Cap_Kind="Food")*Cap_Ln))</x:f>
        <x:v>18627.260449441455</x:v>
      </x:c>
      <x:c r="K779" s="32" t="n">
        <x:f>J779*MIN(1,tun_LeanBase*EXP(tun_CapsByProject*SUMPRODUCT((Cap_Point&lt;=I779)*(Cap_Kind="Lean")*Cap_Ln)))</x:f>
        <x:v>18627.260449441455</x:v>
      </x:c>
      <x:c r="L779" s="10" t="n">
        <x:f>INDEX(tun_HousingCap,G779)*EXP(tun_CapsByProject*SUMPRODUCT((Cap_Point&lt;=I779)*(Cap_Kind="Housing")*Cap_Ln))</x:f>
        <x:v>20528.974303173167</x:v>
      </x:c>
      <x:c r="M779" s="10" t="n">
        <x:f>INDEX(tun_GroupCap,G779)*tun_CohesionFactor*EXP(tun_CapsByProject*SUMPRODUCT((Cap_Point&lt;=I779)*(Cap_Kind="Group")*Cap_Ln))</x:f>
        <x:v>1000000.000000001</x:v>
      </x:c>
      <x:c r="N779" s="32" t="n">
        <x:f>MIN(J779,L779,M779)</x:f>
        <x:v>18627.260449441455</x:v>
      </x:c>
      <x:c r="O779" s="10" t="n">
        <x:f>AE778*N779</x:f>
        <x:v>167645.34404497308</x:v>
      </x:c>
      <x:c r="P779" s="9" t="n">
        <x:f>MIN(1,(AB778/(AE778*IF(tun_GroupInCrowding=1,N779,MIN(J779,L779))))^tun_CrowdingExp)</x:f>
        <x:v>0.37538555348698227</x:v>
      </x:c>
      <x:c r="Q779" s="9" t="n">
        <x:f>IF(D779=1,INDEX(tun_WinterMult,G779),1)</x:f>
        <x:v>1.05</x:v>
      </x:c>
      <x:c r="R779" s="9" t="n">
        <x:f>H779*Z778*tun_WomenShare*tun_BaseFertility*INDEX(tun_FertMult,G779)*Arch_Fertility*(1-P779)</x:f>
        <x:v>821.1276937029041</x:v>
      </x:c>
      <x:c r="S779" s="9" t="n">
        <x:f>H779*Y778*INDEX(tun_MortChild,G779)/4*Q779</x:f>
        <x:v>9.460317691150555</x:v>
      </x:c>
      <x:c r="T779" s="9" t="n">
        <x:f>H779*Z778*INDEX(tun_MortAdult,G779)*Arch_AdultMort/4*Q779</x:f>
        <x:v>22.752956719579636</x:v>
      </x:c>
      <x:c r="U779" s="9" t="n">
        <x:f>H779*AA778*INDEX(tun_MortElder,G779)/4*Q779</x:f>
        <x:v>315.80685151013347</x:v>
      </x:c>
      <x:c r="V779" s="9" t="n">
        <x:f>H779*MAX(0,AB778-O779)*tun_OvercapLoss</x:f>
        <x:v>0</x:v>
      </x:c>
      <x:c r="W779" s="9" t="n">
        <x:f>H779*Y778/(tun_ChildYears*4)</x:f>
        <x:v>715.0655851209793</x:v>
      </x:c>
      <x:c r="X779" s="9" t="n">
        <x:f>H779*Z778/(tun_AdultYears*4)</x:f>
        <x:v>466.01037828120093</x:v>
      </x:c>
      <x:c r="Y779" s="32" t="n">
        <x:f>Y778+R779-S779-W779-Y778*V779/AB778</x:f>
        <x:v>40140.274557665616</x:v>
      </x:c>
      <x:c r="Z779" s="32" t="n">
        <x:f>Z778+W779-X779-T779-Z778*V779/AB778</x:f>
        <x:v>58011.58915698912</x:v>
      </x:c>
      <x:c r="AA779" s="32" t="n">
        <x:f>AA778+X779-U779-AA778*V779/AB778</x:f>
        <x:v>44708.48945412676</x:v>
      </x:c>
      <x:c r="AB779" s="10" t="n">
        <x:f>Y779+Z779+AA779</x:f>
        <x:v>142860.3531687815</x:v>
      </x:c>
      <x:c r="AC779" s="8" t="n">
        <x:f>IF(AND(tun_WinterTrigger=1,D779=1,AB778/AE778&gt;=K779),1,0)</x:f>
        <x:v>0</x:v>
      </x:c>
      <x:c r="AD779" s="8" t="n">
        <x:f>H779*IF(AND(OR(AB778/AE778&gt;=tun_FissionTrigger*N779,AC779=1),AB778/AE778*tun_DaughterShare&gt;=tun_MinDaughter),MAX(1,ROUND(AE778*tun_FissionRate,0)),0)</x:f>
        <x:v>0</x:v>
      </x:c>
      <x:c r="AE779" s="8" t="n">
        <x:f>IF(H779=1,MAX(1,MIN(INDEX(tun_Smax,G779),AE778+AD779)),AE778)</x:f>
        <x:v>9</x:v>
      </x:c>
      <x:c r="AF779" s="8" t="n">
        <x:f>MAX(0,AE779-AE778)</x:f>
        <x:v>0</x:v>
      </x:c>
      <x:c r="AG779" s="9" t="str">
        <x:f>IF(AF779&gt;0,B779,"")</x:f>
      </x:c>
      <x:c r="AH779" s="9" t="n">
        <x:f>IF(F779&gt;=1,1,(1+tun_LowTiesShare*(AE779-1))/AE779)</x:f>
        <x:v>1</x:v>
      </x:c>
      <x:c r="AI779" s="32" t="n">
        <x:f>(Z779+tun_ElderCommons*INDEX(LM_Elder,G779)*AA779)*AH779</x:f>
        <x:v>233851.56163627683</x:v>
      </x:c>
      <x:c r="AJ779" s="32" t="n">
        <x:f>H779*tun_CommonsCoef*AI779^tun_CommonsExp*INDEX(LM_Commons,G779)</x:f>
        <x:v>786301.8029044243</x:v>
      </x:c>
      <x:c r="AK779" s="32" t="n">
        <x:f>H779*tun_RoleScale*Arch_Roles*(AE779*(INDEX(tun_ElderRolePerSett,G779)*tun_OutElder*INDEX(LM_Elder,G779)+INDEX(tun_ShamanPerSett,G779)*tun_OutShaman)+Z779*(INDEX(tun_PriestShare,G779)*tun_OutPriest+INDEX(tun_ScribeShare,G779)*tun_OutScribe*INDEX(LM_Scribe,G779)+INDEX(tun_ScholarShare,G779)*tun_OutScholar*INDEX(LM_Scholar,G779)+INDEX(tun_ResearcherShare,G779)*tun_OutResearcher*INDEX(LM_Researcher,G779)))</x:f>
        <x:v>209176.6094868187</x:v>
      </x:c>
      <x:c r="AL779" s="32" t="n">
        <x:f>H779*tun_RoleScale*Arch_Roles*AE779*INDEX(tun_MonasteryPerSett,G779)*tun_OutMonastery*INDEX(LM_Monastery,G779)</x:f>
        <x:v>15.840000000000002</x:v>
      </x:c>
      <x:c r="AM779" s="32" t="n">
        <x:f>(AJ779+AK779+AL779)/4*INDEX(LM_All,G779)*INDEX(tun_Boon,G779)*Arch_Insight</x:f>
        <x:v>862070.5677741597</x:v>
      </x:c>
      <x:c r="AN779" s="32" t="n">
        <x:f>H779*(tun_KHPerAdult*Z779+tun_KHOfCommons*AJ779/4*INDEX(LM_All,G779))*tun_KHUsable*Arch_KH</x:f>
        <x:v>133580.98093837596</x:v>
      </x:c>
      <x:c r="AO779" s="32" t="n">
        <x:f>MIN(AP778+AN779,AM779*tun_KHMaxRatio)</x:f>
        <x:v>133580.98093837596</x:v>
      </x:c>
      <x:c r="AP779" s="32" t="n">
        <x:f>AP778+AN779-AO779</x:f>
        <x:v>0</x:v>
      </x:c>
      <x:c r="AQ779" s="32" t="n">
        <x:f>AM779+AO779</x:f>
        <x:v>995651.5487125356</x:v>
      </x:c>
      <x:c r="AR779" s="10" t="n">
        <x:f>IF(H779=1,INDEX(tun_Req,G779),0)</x:f>
        <x:v>125406521.7009086</x:v>
      </x:c>
      <x:c r="AS779" s="32" t="n">
        <x:f>IF(H779=1,IF(E779=1,AS778-AR778,AS778)+AQ779,0)</x:f>
        <x:v>120522236.93880188</x:v>
      </x:c>
      <x:c r="AT779" s="11" t="n">
        <x:f>IF(AR779&gt;0,MIN(1,AS779/AR779),1)</x:f>
        <x:v>0.961052386304473</x:v>
      </x:c>
      <x:c r="AU779" s="10" t="n">
        <x:f>AB779/INDEX(tun_RepScale,G779)</x:f>
        <x:v>285.720706337563</x:v>
      </x:c>
      <x:c r="AV779" s="32" t="n">
        <x:f>AM779*60/tun_SeasonSeconds</x:f>
        <x:v>3448282.271096639</x:v>
      </x:c>
    </x:row>
    <x:row r="780">
      <x:c r="A780" s="8" t="n">
        <x:f>A779+1</x:f>
        <x:v>777</x:v>
      </x:c>
      <x:c r="B780" s="9" t="n">
        <x:f>A780*tun_SeasonSeconds/60</x:f>
        <x:v>194.25</x:v>
      </x:c>
      <x:c r="C780" s="9" t="n">
        <x:f>A780/4</x:f>
        <x:v>194.25</x:v>
      </x:c>
      <x:c r="D780" s="8" t="n">
        <x:f>IF(MOD(A780,4)=0,1,0)</x:f>
        <x:v>0</x:v>
      </x:c>
      <x:c r="E780" s="8" t="n">
        <x:f>IF(AND(F779&lt;=9,AS779&gt;=AR779),1,0)</x:f>
        <x:v>0</x:v>
      </x:c>
      <x:c r="F780" s="8" t="n">
        <x:f>MIN(10,F779+E780)</x:f>
        <x:v>9</x:v>
      </x:c>
      <x:c r="G780" s="8" t="n">
        <x:f>MIN(F780,9)+1</x:f>
        <x:v>10</x:v>
      </x:c>
      <x:c r="H780" s="8" t="n">
        <x:f>IF(F780&lt;=9,1,0)</x:f>
        <x:v>1</x:v>
      </x:c>
      <x:c r="I780" s="9" t="n">
        <x:f>MIN(10,F779+IF(AR779&gt;0,MIN(1,AS779/AR779),1))</x:f>
        <x:v>9.961052386304473</x:v>
      </x:c>
      <x:c r="J780" s="32" t="n">
        <x:f>INDEX(tun_FoodCap,G780)*Arch_FoodCap*EXP(tun_CapsByProject*SUMPRODUCT((Cap_Point&lt;=I780)*(Cap_Kind="Food")*Cap_Ln))</x:f>
        <x:v>18627.260449441455</x:v>
      </x:c>
      <x:c r="K780" s="32" t="n">
        <x:f>J780*MIN(1,tun_LeanBase*EXP(tun_CapsByProject*SUMPRODUCT((Cap_Point&lt;=I780)*(Cap_Kind="Lean")*Cap_Ln)))</x:f>
        <x:v>18627.260449441455</x:v>
      </x:c>
      <x:c r="L780" s="10" t="n">
        <x:f>INDEX(tun_HousingCap,G780)*EXP(tun_CapsByProject*SUMPRODUCT((Cap_Point&lt;=I780)*(Cap_Kind="Housing")*Cap_Ln))</x:f>
        <x:v>20528.974303173167</x:v>
      </x:c>
      <x:c r="M780" s="10" t="n">
        <x:f>INDEX(tun_GroupCap,G780)*tun_CohesionFactor*EXP(tun_CapsByProject*SUMPRODUCT((Cap_Point&lt;=I780)*(Cap_Kind="Group")*Cap_Ln))</x:f>
        <x:v>1000000.000000001</x:v>
      </x:c>
      <x:c r="N780" s="32" t="n">
        <x:f>MIN(J780,L780,M780)</x:f>
        <x:v>18627.260449441455</x:v>
      </x:c>
      <x:c r="O780" s="10" t="n">
        <x:f>AE779*N780</x:f>
        <x:v>167645.34404497308</x:v>
      </x:c>
      <x:c r="P780" s="9" t="n">
        <x:f>MIN(1,(AB779/(AE779*IF(tun_GroupInCrowding=1,N780,MIN(J780,L780))))^tun_CrowdingExp)</x:f>
        <x:v>0.3829317160515449</x:v>
      </x:c>
      <x:c r="Q780" s="9" t="n">
        <x:f>IF(D780=1,INDEX(tun_WinterMult,G780),1)</x:f>
        <x:v>1</x:v>
      </x:c>
      <x:c r="R780" s="9" t="n">
        <x:f>H780*Z779*tun_WomenShare*tun_BaseFertility*INDEX(tun_FertMult,G780)*Arch_Fertility*(1-P780)</x:f>
        <x:v>814.3842927726434</x:v>
      </x:c>
      <x:c r="S780" s="9" t="n">
        <x:f>H780*Y779*INDEX(tun_MortChild,G780)/4*Q780</x:f>
        <x:v>9.031561775474763</x:v>
      </x:c>
      <x:c r="T780" s="9" t="n">
        <x:f>H780*Z779*INDEX(tun_MortAdult,G780)*Arch_AdultMort/4*Q780</x:f>
        <x:v>21.75434593387092</x:v>
      </x:c>
      <x:c r="U780" s="9" t="n">
        <x:f>H780*AA779*INDEX(tun_MortElder,G780)/4*Q780</x:f>
        <x:v>301.7823038153556</x:v>
      </x:c>
      <x:c r="V780" s="9" t="n">
        <x:f>H780*MAX(0,AB779-O780)*tun_OvercapLoss</x:f>
        <x:v>0</x:v>
      </x:c>
      <x:c r="W780" s="9" t="n">
        <x:f>H780*Y779/(tun_ChildYears*4)</x:f>
        <x:v>716.7906171011717</x:v>
      </x:c>
      <x:c r="X780" s="9" t="n">
        <x:f>H780*Z779/(tun_AdultYears*4)</x:f>
        <x:v>467.8353964273316</x:v>
      </x:c>
      <x:c r="Y780" s="32" t="n">
        <x:f>Y779+R780-S780-W780-Y779*V780/AB779</x:f>
        <x:v>40228.836671561614</x:v>
      </x:c>
      <x:c r="Z780" s="32" t="n">
        <x:f>Z779+W780-X780-T780-Z779*V780/AB779</x:f>
        <x:v>58238.790031729084</x:v>
      </x:c>
      <x:c r="AA780" s="32" t="n">
        <x:f>AA779+X780-U780-AA779*V780/AB779</x:f>
        <x:v>44874.54254673873</x:v>
      </x:c>
      <x:c r="AB780" s="10" t="n">
        <x:f>Y780+Z780+AA780</x:f>
        <x:v>143342.16925002943</x:v>
      </x:c>
      <x:c r="AC780" s="8" t="n">
        <x:f>IF(AND(tun_WinterTrigger=1,D780=1,AB779/AE779&gt;=K780),1,0)</x:f>
        <x:v>0</x:v>
      </x:c>
      <x:c r="AD780" s="8" t="n">
        <x:f>H780*IF(AND(OR(AB779/AE779&gt;=tun_FissionTrigger*N780,AC780=1),AB779/AE779*tun_DaughterShare&gt;=tun_MinDaughter),MAX(1,ROUND(AE779*tun_FissionRate,0)),0)</x:f>
        <x:v>3</x:v>
      </x:c>
      <x:c r="AE780" s="8" t="n">
        <x:f>IF(H780=1,MAX(1,MIN(INDEX(tun_Smax,G780),AE779+AD780)),AE779)</x:f>
        <x:v>9</x:v>
      </x:c>
      <x:c r="AF780" s="8" t="n">
        <x:f>MAX(0,AE780-AE779)</x:f>
        <x:v>0</x:v>
      </x:c>
      <x:c r="AG780" s="9" t="str">
        <x:f>IF(AF780&gt;0,B780,"")</x:f>
      </x:c>
      <x:c r="AH780" s="9" t="n">
        <x:f>IF(F780&gt;=1,1,(1+tun_LowTiesShare*(AE780-1))/AE780)</x:f>
        <x:v>1</x:v>
      </x:c>
      <x:c r="AI780" s="32" t="n">
        <x:f>(Z780+tun_ElderCommons*INDEX(LM_Elder,G780)*AA780)*AH780</x:f>
        <x:v>234731.85483400724</x:v>
      </x:c>
      <x:c r="AJ780" s="32" t="n">
        <x:f>H780*tun_CommonsCoef*AI780^tun_CommonsExp*INDEX(LM_Commons,G780)</x:f>
        <x:v>788817.0045940421</x:v>
      </x:c>
      <x:c r="AK780" s="32" t="n">
        <x:f>H780*tun_RoleScale*Arch_Roles*(AE780*(INDEX(tun_ElderRolePerSett,G780)*tun_OutElder*INDEX(LM_Elder,G780)+INDEX(tun_ShamanPerSett,G780)*tun_OutShaman)+Z780*(INDEX(tun_PriestShare,G780)*tun_OutPriest+INDEX(tun_ScribeShare,G780)*tun_OutScribe*INDEX(LM_Scribe,G780)+INDEX(tun_ScholarShare,G780)*tun_OutScholar*INDEX(LM_Scholar,G780)+INDEX(tun_ResearcherShare,G780)*tun_OutResearcher*INDEX(LM_Researcher,G780)))</x:f>
        <x:v>209994.86670847092</x:v>
      </x:c>
      <x:c r="AL780" s="32" t="n">
        <x:f>H780*tun_RoleScale*Arch_Roles*AE780*INDEX(tun_MonasteryPerSett,G780)*tun_OutMonastery*INDEX(LM_Monastery,G780)</x:f>
        <x:v>15.840000000000002</x:v>
      </x:c>
      <x:c r="AM780" s="32" t="n">
        <x:f>(AJ780+AK780+AL780)/4*INDEX(LM_All,G780)*INDEX(tun_Boon,G780)*Arch_Insight</x:f>
        <x:v>864957.2512576531</x:v>
      </x:c>
      <x:c r="AN780" s="32" t="n">
        <x:f>H780*(tun_KHPerAdult*Z780+tun_KHOfCommons*AJ780/4*INDEX(LM_All,G780))*tun_KHUsable*Arch_KH</x:f>
        <x:v>134008.27629458136</x:v>
      </x:c>
      <x:c r="AO780" s="32" t="n">
        <x:f>MIN(AP779+AN780,AM780*tun_KHMaxRatio)</x:f>
        <x:v>134008.27629458136</x:v>
      </x:c>
      <x:c r="AP780" s="32" t="n">
        <x:f>AP779+AN780-AO780</x:f>
        <x:v>0</x:v>
      </x:c>
      <x:c r="AQ780" s="32" t="n">
        <x:f>AM780+AO780</x:f>
        <x:v>998965.5275522345</x:v>
      </x:c>
      <x:c r="AR780" s="10" t="n">
        <x:f>IF(H780=1,INDEX(tun_Req,G780),0)</x:f>
        <x:v>125406521.7009086</x:v>
      </x:c>
      <x:c r="AS780" s="32" t="n">
        <x:f>IF(H780=1,IF(E780=1,AS779-AR779,AS779)+AQ780,0)</x:f>
        <x:v>121521202.46635412</x:v>
      </x:c>
      <x:c r="AT780" s="11" t="n">
        <x:f>IF(AR780&gt;0,MIN(1,AS780/AR780),1)</x:f>
        <x:v>0.9690182043018395</x:v>
      </x:c>
      <x:c r="AU780" s="10" t="n">
        <x:f>AB780/INDEX(tun_RepScale,G780)</x:f>
        <x:v>286.68433850005886</x:v>
      </x:c>
      <x:c r="AV780" s="32" t="n">
        <x:f>AM780*60/tun_SeasonSeconds</x:f>
        <x:v>3459829.0050306125</x:v>
      </x:c>
    </x:row>
    <x:row r="781">
      <x:c r="A781" s="8" t="n">
        <x:f>A780+1</x:f>
        <x:v>778</x:v>
      </x:c>
      <x:c r="B781" s="9" t="n">
        <x:f>A781*tun_SeasonSeconds/60</x:f>
        <x:v>194.5</x:v>
      </x:c>
      <x:c r="C781" s="9" t="n">
        <x:f>A781/4</x:f>
        <x:v>194.5</x:v>
      </x:c>
      <x:c r="D781" s="8" t="n">
        <x:f>IF(MOD(A781,4)=0,1,0)</x:f>
        <x:v>0</x:v>
      </x:c>
      <x:c r="E781" s="8" t="n">
        <x:f>IF(AND(F780&lt;=9,AS780&gt;=AR780),1,0)</x:f>
        <x:v>0</x:v>
      </x:c>
      <x:c r="F781" s="8" t="n">
        <x:f>MIN(10,F780+E781)</x:f>
        <x:v>9</x:v>
      </x:c>
      <x:c r="G781" s="8" t="n">
        <x:f>MIN(F781,9)+1</x:f>
        <x:v>10</x:v>
      </x:c>
      <x:c r="H781" s="8" t="n">
        <x:f>IF(F781&lt;=9,1,0)</x:f>
        <x:v>1</x:v>
      </x:c>
      <x:c r="I781" s="9" t="n">
        <x:f>MIN(10,F780+IF(AR780&gt;0,MIN(1,AS780/AR780),1))</x:f>
        <x:v>9.96901820430184</x:v>
      </x:c>
      <x:c r="J781" s="32" t="n">
        <x:f>INDEX(tun_FoodCap,G781)*Arch_FoodCap*EXP(tun_CapsByProject*SUMPRODUCT((Cap_Point&lt;=I781)*(Cap_Kind="Food")*Cap_Ln))</x:f>
        <x:v>18627.260449441455</x:v>
      </x:c>
      <x:c r="K781" s="32" t="n">
        <x:f>J781*MIN(1,tun_LeanBase*EXP(tun_CapsByProject*SUMPRODUCT((Cap_Point&lt;=I781)*(Cap_Kind="Lean")*Cap_Ln)))</x:f>
        <x:v>18627.260449441455</x:v>
      </x:c>
      <x:c r="L781" s="10" t="n">
        <x:f>INDEX(tun_HousingCap,G781)*EXP(tun_CapsByProject*SUMPRODUCT((Cap_Point&lt;=I781)*(Cap_Kind="Housing")*Cap_Ln))</x:f>
        <x:v>20528.974303173167</x:v>
      </x:c>
      <x:c r="M781" s="10" t="n">
        <x:f>INDEX(tun_GroupCap,G781)*tun_CohesionFactor*EXP(tun_CapsByProject*SUMPRODUCT((Cap_Point&lt;=I781)*(Cap_Kind="Group")*Cap_Ln))</x:f>
        <x:v>1000000.000000001</x:v>
      </x:c>
      <x:c r="N781" s="32" t="n">
        <x:f>MIN(J781,L781,M781)</x:f>
        <x:v>18627.260449441455</x:v>
      </x:c>
      <x:c r="O781" s="10" t="n">
        <x:f>AE780*N781</x:f>
        <x:v>167645.34404497308</x:v>
      </x:c>
      <x:c r="P781" s="9" t="n">
        <x:f>MIN(1,(AB780/(AE780*IF(tun_GroupInCrowding=1,N781,MIN(J781,L781))))^tun_CrowdingExp)</x:f>
        <x:v>0.3907462840152491</x:v>
      </x:c>
      <x:c r="Q781" s="9" t="n">
        <x:f>IF(D781=1,INDEX(tun_WinterMult,G781),1)</x:f>
        <x:v>1</x:v>
      </x:c>
      <x:c r="R781" s="9" t="n">
        <x:f>H781*Z780*tun_WomenShare*tun_BaseFertility*INDEX(tun_FertMult,G781)*Arch_Fertility*(1-P781)</x:f>
        <x:v>807.2200327392704</x:v>
      </x:c>
      <x:c r="S781" s="9" t="n">
        <x:f>H781*Y780*INDEX(tun_MortChild,G781)/4*Q781</x:f>
        <x:v>9.051488251101363</x:v>
      </x:c>
      <x:c r="T781" s="9" t="n">
        <x:f>H781*Z780*INDEX(tun_MortAdult,G781)*Arch_AdultMort/4*Q781</x:f>
        <x:v>21.839546261898406</x:v>
      </x:c>
      <x:c r="U781" s="9" t="n">
        <x:f>H781*AA780*INDEX(tun_MortElder,G781)/4*Q781</x:f>
        <x:v>302.90316219048646</x:v>
      </x:c>
      <x:c r="V781" s="9" t="n">
        <x:f>H781*MAX(0,AB780-O781)*tun_OvercapLoss</x:f>
        <x:v>0</x:v>
      </x:c>
      <x:c r="W781" s="9" t="n">
        <x:f>H781*Y780/(tun_ChildYears*4)</x:f>
        <x:v>718.3720834207431</x:v>
      </x:c>
      <x:c r="X781" s="9" t="n">
        <x:f>H781*Z780/(tun_AdultYears*4)</x:f>
        <x:v>469.6676615462023</x:v>
      </x:c>
      <x:c r="Y781" s="32" t="n">
        <x:f>Y780+R781-S781-W781-Y780*V781/AB780</x:f>
        <x:v>40308.633132629046</x:v>
      </x:c>
      <x:c r="Z781" s="32" t="n">
        <x:f>Z780+W781-X781-T781-Z780*V781/AB780</x:f>
        <x:v>58465.65490734172</x:v>
      </x:c>
      <x:c r="AA781" s="32" t="n">
        <x:f>AA780+X781-U781-AA780*V781/AB780</x:f>
        <x:v>45041.30704609445</x:v>
      </x:c>
      <x:c r="AB781" s="10" t="n">
        <x:f>Y781+Z781+AA781</x:f>
        <x:v>143815.5950860652</x:v>
      </x:c>
      <x:c r="AC781" s="8" t="n">
        <x:f>IF(AND(tun_WinterTrigger=1,D781=1,AB780/AE780&gt;=K781),1,0)</x:f>
        <x:v>0</x:v>
      </x:c>
      <x:c r="AD781" s="8" t="n">
        <x:f>H781*IF(AND(OR(AB780/AE780&gt;=tun_FissionTrigger*N781,AC781=1),AB780/AE780*tun_DaughterShare&gt;=tun_MinDaughter),MAX(1,ROUND(AE780*tun_FissionRate,0)),0)</x:f>
        <x:v>3</x:v>
      </x:c>
      <x:c r="AE781" s="8" t="n">
        <x:f>IF(H781=1,MAX(1,MIN(INDEX(tun_Smax,G781),AE780+AD781)),AE780)</x:f>
        <x:v>9</x:v>
      </x:c>
      <x:c r="AF781" s="8" t="n">
        <x:f>MAX(0,AE781-AE780)</x:f>
        <x:v>0</x:v>
      </x:c>
      <x:c r="AG781" s="9" t="str">
        <x:f>IF(AF781&gt;0,B781,"")</x:f>
      </x:c>
      <x:c r="AH781" s="9" t="n">
        <x:f>IF(F781&gt;=1,1,(1+tun_LowTiesShare*(AE781-1))/AE781)</x:f>
        <x:v>1</x:v>
      </x:c>
      <x:c r="AI781" s="32" t="n">
        <x:f>(Z781+tun_ElderCommons*INDEX(LM_Elder,G781)*AA781)*AH781</x:f>
        <x:v>235614.61001893843</x:v>
      </x:c>
      <x:c r="AJ781" s="32" t="n">
        <x:f>H781*tun_CommonsCoef*AI781^tun_CommonsExp*INDEX(LM_Commons,G781)</x:f>
        <x:v>791337.8203328891</x:v>
      </x:c>
      <x:c r="AK781" s="32" t="n">
        <x:f>H781*tun_RoleScale*Arch_Roles*(AE781*(INDEX(tun_ElderRolePerSett,G781)*tun_OutElder*INDEX(LM_Elder,G781)+INDEX(tun_ShamanPerSett,G781)*tun_OutShaman)+Z781*(INDEX(tun_PriestShare,G781)*tun_OutPriest+INDEX(tun_ScribeShare,G781)*tun_OutScribe*INDEX(LM_Scribe,G781)+INDEX(tun_ScholarShare,G781)*tun_OutScholar*INDEX(LM_Scholar,G781)+INDEX(tun_ResearcherShare,G781)*tun_OutResearcher*INDEX(LM_Researcher,G781)))</x:f>
        <x:v>210811.91383921693</x:v>
      </x:c>
      <x:c r="AL781" s="32" t="n">
        <x:f>H781*tun_RoleScale*Arch_Roles*AE781*INDEX(tun_MonasteryPerSett,G781)*tun_OutMonastery*INDEX(LM_Monastery,G781)</x:f>
        <x:v>15.840000000000002</x:v>
      </x:c>
      <x:c r="AM781" s="32" t="n">
        <x:f>(AJ781+AK781+AL781)/4*INDEX(LM_All,G781)*INDEX(tun_Boon,G781)*Arch_Insight</x:f>
        <x:v>867847.7484475973</x:v>
      </x:c>
      <x:c r="AN781" s="32" t="n">
        <x:f>H781*(tun_KHPerAdult*Z781+tun_KHOfCommons*AJ781/4*INDEX(LM_All,G781))*tun_KHUsable*Arch_KH</x:f>
        <x:v>134436.52539424802</x:v>
      </x:c>
      <x:c r="AO781" s="32" t="n">
        <x:f>MIN(AP780+AN781,AM781*tun_KHMaxRatio)</x:f>
        <x:v>134436.52539424802</x:v>
      </x:c>
      <x:c r="AP781" s="32" t="n">
        <x:f>AP780+AN781-AO781</x:f>
        <x:v>0</x:v>
      </x:c>
      <x:c r="AQ781" s="32" t="n">
        <x:f>AM781+AO781</x:f>
        <x:v>1002284.2738418453</x:v>
      </x:c>
      <x:c r="AR781" s="10" t="n">
        <x:f>IF(H781=1,INDEX(tun_Req,G781),0)</x:f>
        <x:v>125406521.7009086</x:v>
      </x:c>
      <x:c r="AS781" s="32" t="n">
        <x:f>IF(H781=1,IF(E781=1,AS780-AR780,AS780)+AQ781,0)</x:f>
        <x:v>122523486.74019596</x:v>
      </x:c>
      <x:c r="AT781" s="11" t="n">
        <x:f>IF(AR781&gt;0,MIN(1,AS781/AR781),1)</x:f>
        <x:v>0.9770104862043092</x:v>
      </x:c>
      <x:c r="AU781" s="10" t="n">
        <x:f>AB781/INDEX(tun_RepScale,G781)</x:f>
        <x:v>287.6311901721304</x:v>
      </x:c>
      <x:c r="AV781" s="32" t="n">
        <x:f>AM781*60/tun_SeasonSeconds</x:f>
        <x:v>3471390.993790389</x:v>
      </x:c>
    </x:row>
    <x:row r="782">
      <x:c r="A782" s="8" t="n">
        <x:f>A781+1</x:f>
        <x:v>779</x:v>
      </x:c>
      <x:c r="B782" s="9" t="n">
        <x:f>A782*tun_SeasonSeconds/60</x:f>
        <x:v>194.75</x:v>
      </x:c>
      <x:c r="C782" s="9" t="n">
        <x:f>A782/4</x:f>
        <x:v>194.75</x:v>
      </x:c>
      <x:c r="D782" s="8" t="n">
        <x:f>IF(MOD(A782,4)=0,1,0)</x:f>
        <x:v>0</x:v>
      </x:c>
      <x:c r="E782" s="8" t="n">
        <x:f>IF(AND(F781&lt;=9,AS781&gt;=AR781),1,0)</x:f>
        <x:v>0</x:v>
      </x:c>
      <x:c r="F782" s="8" t="n">
        <x:f>MIN(10,F781+E782)</x:f>
        <x:v>9</x:v>
      </x:c>
      <x:c r="G782" s="8" t="n">
        <x:f>MIN(F782,9)+1</x:f>
        <x:v>10</x:v>
      </x:c>
      <x:c r="H782" s="8" t="n">
        <x:f>IF(F782&lt;=9,1,0)</x:f>
        <x:v>1</x:v>
      </x:c>
      <x:c r="I782" s="9" t="n">
        <x:f>MIN(10,F781+IF(AR781&gt;0,MIN(1,AS781/AR781),1))</x:f>
        <x:v>9.977010486204309</x:v>
      </x:c>
      <x:c r="J782" s="32" t="n">
        <x:f>INDEX(tun_FoodCap,G782)*Arch_FoodCap*EXP(tun_CapsByProject*SUMPRODUCT((Cap_Point&lt;=I782)*(Cap_Kind="Food")*Cap_Ln))</x:f>
        <x:v>18627.260449441455</x:v>
      </x:c>
      <x:c r="K782" s="32" t="n">
        <x:f>J782*MIN(1,tun_LeanBase*EXP(tun_CapsByProject*SUMPRODUCT((Cap_Point&lt;=I782)*(Cap_Kind="Lean")*Cap_Ln)))</x:f>
        <x:v>18627.260449441455</x:v>
      </x:c>
      <x:c r="L782" s="10" t="n">
        <x:f>INDEX(tun_HousingCap,G782)*EXP(tun_CapsByProject*SUMPRODUCT((Cap_Point&lt;=I782)*(Cap_Kind="Housing")*Cap_Ln))</x:f>
        <x:v>20528.974303173167</x:v>
      </x:c>
      <x:c r="M782" s="10" t="n">
        <x:f>INDEX(tun_GroupCap,G782)*tun_CohesionFactor*EXP(tun_CapsByProject*SUMPRODUCT((Cap_Point&lt;=I782)*(Cap_Kind="Group")*Cap_Ln))</x:f>
        <x:v>1000000.000000001</x:v>
      </x:c>
      <x:c r="N782" s="32" t="n">
        <x:f>MIN(J782,L782,M782)</x:f>
        <x:v>18627.260449441455</x:v>
      </x:c>
      <x:c r="O782" s="10" t="n">
        <x:f>AE781*N782</x:f>
        <x:v>167645.34404497308</x:v>
      </x:c>
      <x:c r="P782" s="9" t="n">
        <x:f>MIN(1,(AB781/(AE781*IF(tun_GroupInCrowding=1,N782,MIN(J782,L782))))^tun_CrowdingExp)</x:f>
        <x:v>0.39855376617447424</x:v>
      </x:c>
      <x:c r="Q782" s="9" t="n">
        <x:f>IF(D782=1,INDEX(tun_WinterMult,G782),1)</x:f>
        <x:v>1</x:v>
      </x:c>
      <x:c r="R782" s="9" t="n">
        <x:f>H782*Z781*tun_WomenShare*tun_BaseFertility*INDEX(tun_FertMult,G782)*Arch_Fertility*(1-P782)</x:f>
        <x:v>799.9798159117206</x:v>
      </x:c>
      <x:c r="S782" s="9" t="n">
        <x:f>H782*Y781*INDEX(tun_MortChild,G782)/4*Q782</x:f>
        <x:v>9.069442454841536</x:v>
      </x:c>
      <x:c r="T782" s="9" t="n">
        <x:f>H782*Z781*INDEX(tun_MortAdult,G782)*Arch_AdultMort/4*Q782</x:f>
        <x:v>21.924620590253145</x:v>
      </x:c>
      <x:c r="U782" s="9" t="n">
        <x:f>H782*AA781*INDEX(tun_MortElder,G782)/4*Q782</x:f>
        <x:v>304.02882256113753</x:v>
      </x:c>
      <x:c r="V782" s="9" t="n">
        <x:f>H782*MAX(0,AB781-O782)*tun_OvercapLoss</x:f>
        <x:v>0</x:v>
      </x:c>
      <x:c r="W782" s="9" t="n">
        <x:f>H782*Y781/(tun_ChildYears*4)</x:f>
        <x:v>719.7970202255186</x:v>
      </x:c>
      <x:c r="X782" s="9" t="n">
        <x:f>H782*Z781/(tun_AdultYears*4)</x:f>
        <x:v>471.49721699469126</x:v>
      </x:c>
      <x:c r="Y782" s="32" t="n">
        <x:f>Y781+R782-S782-W782-Y781*V782/AB781</x:f>
        <x:v>40379.74648586041</x:v>
      </x:c>
      <x:c r="Z782" s="32" t="n">
        <x:f>Z781+W782-X782-T782-Z781*V782/AB781</x:f>
        <x:v>58692.03008998229</x:v>
      </x:c>
      <x:c r="AA782" s="32" t="n">
        <x:f>AA781+X782-U782-AA781*V782/AB781</x:f>
        <x:v>45208.77544052801</x:v>
      </x:c>
      <x:c r="AB782" s="10" t="n">
        <x:f>Y782+Z782+AA782</x:f>
        <x:v>144280.5520163707</x:v>
      </x:c>
      <x:c r="AC782" s="8" t="n">
        <x:f>IF(AND(tun_WinterTrigger=1,D782=1,AB781/AE781&gt;=K782),1,0)</x:f>
        <x:v>0</x:v>
      </x:c>
      <x:c r="AD782" s="8" t="n">
        <x:f>H782*IF(AND(OR(AB781/AE781&gt;=tun_FissionTrigger*N782,AC782=1),AB781/AE781*tun_DaughterShare&gt;=tun_MinDaughter),MAX(1,ROUND(AE781*tun_FissionRate,0)),0)</x:f>
        <x:v>3</x:v>
      </x:c>
      <x:c r="AE782" s="8" t="n">
        <x:f>IF(H782=1,MAX(1,MIN(INDEX(tun_Smax,G782),AE781+AD782)),AE781)</x:f>
        <x:v>9</x:v>
      </x:c>
      <x:c r="AF782" s="8" t="n">
        <x:f>MAX(0,AE782-AE781)</x:f>
        <x:v>0</x:v>
      </x:c>
      <x:c r="AG782" s="9" t="str">
        <x:f>IF(AF782&gt;0,B782,"")</x:f>
      </x:c>
      <x:c r="AH782" s="9" t="n">
        <x:f>IF(F782&gt;=1,1,(1+tun_LowTiesShare*(AE782-1))/AE782)</x:f>
        <x:v>1</x:v>
      </x:c>
      <x:c r="AI782" s="32" t="n">
        <x:f>(Z782+tun_ElderCommons*INDEX(LM_Elder,G782)*AA782)*AH782</x:f>
        <x:v>236499.64395359435</x:v>
      </x:c>
      <x:c r="AJ782" s="32" t="n">
        <x:f>H782*tun_CommonsCoef*AI782^tun_CommonsExp*INDEX(LM_Commons,G782)</x:f>
        <x:v>793863.7215565293</x:v>
      </x:c>
      <x:c r="AK782" s="32" t="n">
        <x:f>H782*tun_RoleScale*Arch_Roles*(AE782*(INDEX(tun_ElderRolePerSett,G782)*tun_OutElder*INDEX(LM_Elder,G782)+INDEX(tun_ShamanPerSett,G782)*tun_OutShaman)+Z782*(INDEX(tun_PriestShare,G782)*tun_OutPriest+INDEX(tun_ScribeShare,G782)*tun_OutScribe*INDEX(LM_Scribe,G782)+INDEX(tun_ScholarShare,G782)*tun_OutScholar*INDEX(LM_Scholar,G782)+INDEX(tun_ResearcherShare,G782)*tun_OutResearcher*INDEX(LM_Researcher,G782)))</x:f>
        <x:v>211627.1973552267</x:v>
      </x:c>
      <x:c r="AL782" s="32" t="n">
        <x:f>H782*tun_RoleScale*Arch_Roles*AE782*INDEX(tun_MonasteryPerSett,G782)*tun_OutMonastery*INDEX(LM_Monastery,G782)</x:f>
        <x:v>15.840000000000002</x:v>
      </x:c>
      <x:c r="AM782" s="32" t="n">
        <x:f>(AJ782+AK782+AL782)/4*INDEX(LM_All,G782)*INDEX(tun_Boon,G782)*Arch_Insight</x:f>
        <x:v>870741.1222853966</x:v>
      </x:c>
      <x:c r="AN782" s="32" t="n">
        <x:f>H782*(tun_KHPerAdult*Z782+tun_KHOfCommons*AJ782/4*INDEX(LM_All,G782))*tun_KHUsable*Arch_KH</x:f>
        <x:v>134865.63844214004</x:v>
      </x:c>
      <x:c r="AO782" s="32" t="n">
        <x:f>MIN(AP781+AN782,AM782*tun_KHMaxRatio)</x:f>
        <x:v>134865.63844214004</x:v>
      </x:c>
      <x:c r="AP782" s="32" t="n">
        <x:f>AP781+AN782-AO782</x:f>
        <x:v>0</x:v>
      </x:c>
      <x:c r="AQ782" s="32" t="n">
        <x:f>AM782+AO782</x:f>
        <x:v>1005606.7607275366</x:v>
      </x:c>
      <x:c r="AR782" s="10" t="n">
        <x:f>IF(H782=1,INDEX(tun_Req,G782),0)</x:f>
        <x:v>125406521.7009086</x:v>
      </x:c>
      <x:c r="AS782" s="32" t="n">
        <x:f>IF(H782=1,IF(E782=1,AS781-AR781,AS781)+AQ782,0)</x:f>
        <x:v>123529093.5009235</x:v>
      </x:c>
      <x:c r="AT782" s="11" t="n">
        <x:f>IF(AR782&gt;0,MIN(1,AS782/AR782),1)</x:f>
        <x:v>0.9850292618396457</x:v>
      </x:c>
      <x:c r="AU782" s="10" t="n">
        <x:f>AB782/INDEX(tun_RepScale,G782)</x:f>
        <x:v>288.5611040327414</x:v>
      </x:c>
      <x:c r="AV782" s="32" t="n">
        <x:f>AM782*60/tun_SeasonSeconds</x:f>
        <x:v>3482964.4891415862</x:v>
      </x:c>
    </x:row>
    <x:row r="783">
      <x:c r="A783" s="8" t="n">
        <x:f>A782+1</x:f>
        <x:v>780</x:v>
      </x:c>
      <x:c r="B783" s="9" t="n">
        <x:f>A783*tun_SeasonSeconds/60</x:f>
        <x:v>195</x:v>
      </x:c>
      <x:c r="C783" s="9" t="n">
        <x:f>A783/4</x:f>
        <x:v>195</x:v>
      </x:c>
      <x:c r="D783" s="8" t="n">
        <x:f>IF(MOD(A783,4)=0,1,0)</x:f>
        <x:v>1</x:v>
      </x:c>
      <x:c r="E783" s="8" t="n">
        <x:f>IF(AND(F782&lt;=9,AS782&gt;=AR782),1,0)</x:f>
        <x:v>0</x:v>
      </x:c>
      <x:c r="F783" s="8" t="n">
        <x:f>MIN(10,F782+E783)</x:f>
        <x:v>9</x:v>
      </x:c>
      <x:c r="G783" s="8" t="n">
        <x:f>MIN(F783,9)+1</x:f>
        <x:v>10</x:v>
      </x:c>
      <x:c r="H783" s="8" t="n">
        <x:f>IF(F783&lt;=9,1,0)</x:f>
        <x:v>1</x:v>
      </x:c>
      <x:c r="I783" s="9" t="n">
        <x:f>MIN(10,F782+IF(AR782&gt;0,MIN(1,AS782/AR782),1))</x:f>
        <x:v>9.985029261839646</x:v>
      </x:c>
      <x:c r="J783" s="32" t="n">
        <x:f>INDEX(tun_FoodCap,G783)*Arch_FoodCap*EXP(tun_CapsByProject*SUMPRODUCT((Cap_Point&lt;=I783)*(Cap_Kind="Food")*Cap_Ln))</x:f>
        <x:v>18627.260449441455</x:v>
      </x:c>
      <x:c r="K783" s="32" t="n">
        <x:f>J783*MIN(1,tun_LeanBase*EXP(tun_CapsByProject*SUMPRODUCT((Cap_Point&lt;=I783)*(Cap_Kind="Lean")*Cap_Ln)))</x:f>
        <x:v>18627.260449441455</x:v>
      </x:c>
      <x:c r="L783" s="10" t="n">
        <x:f>INDEX(tun_HousingCap,G783)*EXP(tun_CapsByProject*SUMPRODUCT((Cap_Point&lt;=I783)*(Cap_Kind="Housing")*Cap_Ln))</x:f>
        <x:v>20528.974303173167</x:v>
      </x:c>
      <x:c r="M783" s="10" t="n">
        <x:f>INDEX(tun_GroupCap,G783)*tun_CohesionFactor*EXP(tun_CapsByProject*SUMPRODUCT((Cap_Point&lt;=I783)*(Cap_Kind="Group")*Cap_Ln))</x:f>
        <x:v>1000000.000000001</x:v>
      </x:c>
      <x:c r="N783" s="32" t="n">
        <x:f>MIN(J783,L783,M783)</x:f>
        <x:v>18627.260449441455</x:v>
      </x:c>
      <x:c r="O783" s="10" t="n">
        <x:f>AE782*N783</x:f>
        <x:v>167645.34404497308</x:v>
      </x:c>
      <x:c r="P783" s="9" t="n">
        <x:f>MIN(1,(AB782/(AE782*IF(tun_GroupInCrowding=1,N783,MIN(J783,L783))))^tun_CrowdingExp)</x:f>
        <x:v>0.4063476879130308</x:v>
      </x:c>
      <x:c r="Q783" s="9" t="n">
        <x:f>IF(D783=1,INDEX(tun_WinterMult,G783),1)</x:f>
        <x:v>1.05</x:v>
      </x:c>
      <x:c r="R783" s="9" t="n">
        <x:f>H783*Z782*tun_WomenShare*tun_BaseFertility*INDEX(tun_FertMult,G783)*Arch_Fertility*(1-P783)</x:f>
        <x:v>792.6705005309079</x:v>
      </x:c>
      <x:c r="S783" s="9" t="n">
        <x:f>H783*Y782*INDEX(tun_MortChild,G783)/4*Q783</x:f>
        <x:v>9.539715107284522</x:v>
      </x:c>
      <x:c r="T783" s="9" t="n">
        <x:f>H783*Z782*INDEX(tun_MortAdult,G783)*Arch_AdultMort/4*Q783</x:f>
        <x:v>23.10998684793053</x:v>
      </x:c>
      <x:c r="U783" s="9" t="n">
        <x:f>H783*AA782*INDEX(tun_MortElder,G783)/4*Q783</x:f>
        <x:v>320.41719593474227</x:v>
      </x:c>
      <x:c r="V783" s="9" t="n">
        <x:f>H783*MAX(0,AB782-O783)*tun_OvercapLoss</x:f>
        <x:v>0</x:v>
      </x:c>
      <x:c r="W783" s="9" t="n">
        <x:f>H783*Y782/(tun_ChildYears*4)</x:f>
        <x:v>721.0669015332215</x:v>
      </x:c>
      <x:c r="X783" s="9" t="n">
        <x:f>H783*Z782/(tun_AdultYears*4)</x:f>
        <x:v>473.3228233063088</x:v>
      </x:c>
      <x:c r="Y783" s="32" t="n">
        <x:f>Y782+R783-S783-W783-Y782*V783/AB782</x:f>
        <x:v>40441.810369750805</x:v>
      </x:c>
      <x:c r="Z783" s="32" t="n">
        <x:f>Z782+W783-X783-T783-Z782*V783/AB782</x:f>
        <x:v>58916.66418136128</x:v>
      </x:c>
      <x:c r="AA783" s="32" t="n">
        <x:f>AA782+X783-U783-AA782*V783/AB782</x:f>
        <x:v>45361.68106789957</x:v>
      </x:c>
      <x:c r="AB783" s="10" t="n">
        <x:f>Y783+Z783+AA783</x:f>
        <x:v>144720.15561901167</x:v>
      </x:c>
      <x:c r="AC783" s="8" t="n">
        <x:f>IF(AND(tun_WinterTrigger=1,D783=1,AB782/AE782&gt;=K783),1,0)</x:f>
        <x:v>0</x:v>
      </x:c>
      <x:c r="AD783" s="8" t="n">
        <x:f>H783*IF(AND(OR(AB782/AE782&gt;=tun_FissionTrigger*N783,AC783=1),AB782/AE782*tun_DaughterShare&gt;=tun_MinDaughter),MAX(1,ROUND(AE782*tun_FissionRate,0)),0)</x:f>
        <x:v>3</x:v>
      </x:c>
      <x:c r="AE783" s="8" t="n">
        <x:f>IF(H783=1,MAX(1,MIN(INDEX(tun_Smax,G783),AE782+AD783)),AE782)</x:f>
        <x:v>9</x:v>
      </x:c>
      <x:c r="AF783" s="8" t="n">
        <x:f>MAX(0,AE783-AE782)</x:f>
        <x:v>0</x:v>
      </x:c>
      <x:c r="AG783" s="9" t="str">
        <x:f>IF(AF783&gt;0,B783,"")</x:f>
      </x:c>
      <x:c r="AH783" s="9" t="n">
        <x:f>IF(F783&gt;=1,1,(1+tun_LowTiesShare*(AE783-1))/AE783)</x:f>
        <x:v>1</x:v>
      </x:c>
      <x:c r="AI783" s="32" t="n">
        <x:f>(Z783+tun_ElderCommons*INDEX(LM_Elder,G783)*AA783)*AH783</x:f>
        <x:v>237325.66095093195</x:v>
      </x:c>
      <x:c r="AJ783" s="32" t="n">
        <x:f>H783*tun_CommonsCoef*AI783^tun_CommonsExp*INDEX(LM_Commons,G783)</x:f>
        <x:v>796219.9085141886</x:v>
      </x:c>
      <x:c r="AK783" s="32" t="n">
        <x:f>H783*tun_RoleScale*Arch_Roles*(AE783*(INDEX(tun_ElderRolePerSett,G783)*tun_OutElder*INDEX(LM_Elder,G783)+INDEX(tun_ShamanPerSett,G783)*tun_OutShaman)+Z783*(INDEX(tun_PriestShare,G783)*tun_OutPriest+INDEX(tun_ScribeShare,G783)*tun_OutScribe*INDEX(LM_Scribe,G783)+INDEX(tun_ScholarShare,G783)*tun_OutScholar*INDEX(LM_Scholar,G783)+INDEX(tun_ResearcherShare,G783)*tun_OutResearcher*INDEX(LM_Researcher,G783)))</x:f>
        <x:v>212436.2103826216</x:v>
      </x:c>
      <x:c r="AL783" s="32" t="n">
        <x:f>H783*tun_RoleScale*Arch_Roles*AE783*INDEX(tun_MonasteryPerSett,G783)*tun_OutMonastery*INDEX(LM_Monastery,G783)</x:f>
        <x:v>15.840000000000002</x:v>
      </x:c>
      <x:c r="AM783" s="32" t="n">
        <x:f>(AJ783+AK783+AL783)/4*INDEX(LM_All,G783)*INDEX(tun_Boon,G783)*Arch_Insight</x:f>
        <x:v>873482.0981792102</x:v>
      </x:c>
      <x:c r="AN783" s="32" t="n">
        <x:f>H783*(tun_KHPerAdult*Z783+tun_KHOfCommons*AJ783/4*INDEX(LM_All,G783))*tun_KHUsable*Arch_KH</x:f>
        <x:v>135265.91956055502</x:v>
      </x:c>
      <x:c r="AO783" s="32" t="n">
        <x:f>MIN(AP782+AN783,AM783*tun_KHMaxRatio)</x:f>
        <x:v>135265.91956055502</x:v>
      </x:c>
      <x:c r="AP783" s="32" t="n">
        <x:f>AP782+AN783-AO783</x:f>
        <x:v>0</x:v>
      </x:c>
      <x:c r="AQ783" s="32" t="n">
        <x:f>AM783+AO783</x:f>
        <x:v>1008748.0177397652</x:v>
      </x:c>
      <x:c r="AR783" s="10" t="n">
        <x:f>IF(H783=1,INDEX(tun_Req,G783),0)</x:f>
        <x:v>125406521.7009086</x:v>
      </x:c>
      <x:c r="AS783" s="32" t="n">
        <x:f>IF(H783=1,IF(E783=1,AS782-AR782,AS782)+AQ783,0)</x:f>
        <x:v>124537841.51866326</x:v>
      </x:c>
      <x:c r="AT783" s="11" t="n">
        <x:f>IF(AR783&gt;0,MIN(1,AS783/AR783),1)</x:f>
        <x:v>0.9930730860687045</x:v>
      </x:c>
      <x:c r="AU783" s="10" t="n">
        <x:f>AB783/INDEX(tun_RepScale,G783)</x:f>
        <x:v>289.44031123802336</x:v>
      </x:c>
      <x:c r="AV783" s="32" t="n">
        <x:f>AM783*60/tun_SeasonSeconds</x:f>
        <x:v>3493928.392716841</x:v>
      </x:c>
    </x:row>
    <x:row r="784">
      <x:c r="A784" s="8" t="n">
        <x:f>A783+1</x:f>
        <x:v>781</x:v>
      </x:c>
      <x:c r="B784" s="9" t="n">
        <x:f>A784*tun_SeasonSeconds/60</x:f>
        <x:v>195.25</x:v>
      </x:c>
      <x:c r="C784" s="9" t="n">
        <x:f>A784/4</x:f>
        <x:v>195.25</x:v>
      </x:c>
      <x:c r="D784" s="8" t="n">
        <x:f>IF(MOD(A784,4)=0,1,0)</x:f>
        <x:v>0</x:v>
      </x:c>
      <x:c r="E784" s="8" t="n">
        <x:f>IF(AND(F783&lt;=9,AS783&gt;=AR783),1,0)</x:f>
        <x:v>0</x:v>
      </x:c>
      <x:c r="F784" s="8" t="n">
        <x:f>MIN(10,F783+E784)</x:f>
        <x:v>9</x:v>
      </x:c>
      <x:c r="G784" s="8" t="n">
        <x:f>MIN(F784,9)+1</x:f>
        <x:v>10</x:v>
      </x:c>
      <x:c r="H784" s="8" t="n">
        <x:f>IF(F784&lt;=9,1,0)</x:f>
        <x:v>1</x:v>
      </x:c>
      <x:c r="I784" s="9" t="n">
        <x:f>MIN(10,F783+IF(AR783&gt;0,MIN(1,AS783/AR783),1))</x:f>
        <x:v>9.993073086068705</x:v>
      </x:c>
      <x:c r="J784" s="32" t="n">
        <x:f>INDEX(tun_FoodCap,G784)*Arch_FoodCap*EXP(tun_CapsByProject*SUMPRODUCT((Cap_Point&lt;=I784)*(Cap_Kind="Food")*Cap_Ln))</x:f>
        <x:v>18627.260449441455</x:v>
      </x:c>
      <x:c r="K784" s="32" t="n">
        <x:f>J784*MIN(1,tun_LeanBase*EXP(tun_CapsByProject*SUMPRODUCT((Cap_Point&lt;=I784)*(Cap_Kind="Lean")*Cap_Ln)))</x:f>
        <x:v>18627.260449441455</x:v>
      </x:c>
      <x:c r="L784" s="10" t="n">
        <x:f>INDEX(tun_HousingCap,G784)*EXP(tun_CapsByProject*SUMPRODUCT((Cap_Point&lt;=I784)*(Cap_Kind="Housing")*Cap_Ln))</x:f>
        <x:v>20528.974303173167</x:v>
      </x:c>
      <x:c r="M784" s="10" t="n">
        <x:f>INDEX(tun_GroupCap,G784)*tun_CohesionFactor*EXP(tun_CapsByProject*SUMPRODUCT((Cap_Point&lt;=I784)*(Cap_Kind="Group")*Cap_Ln))</x:f>
        <x:v>1000000.000000001</x:v>
      </x:c>
      <x:c r="N784" s="32" t="n">
        <x:f>MIN(J784,L784,M784)</x:f>
        <x:v>18627.260449441455</x:v>
      </x:c>
      <x:c r="O784" s="10" t="n">
        <x:f>AE783*N784</x:f>
        <x:v>167645.34404497308</x:v>
      </x:c>
      <x:c r="P784" s="9" t="n">
        <x:f>MIN(1,(AB783/(AE783*IF(tun_GroupInCrowding=1,N784,MIN(J784,L784))))^tun_CrowdingExp)</x:f>
        <x:v>0.4138330259314073</x:v>
      </x:c>
      <x:c r="Q784" s="9" t="n">
        <x:f>IF(D784=1,INDEX(tun_WinterMult,G784),1)</x:f>
        <x:v>1</x:v>
      </x:c>
      <x:c r="R784" s="9" t="n">
        <x:f>H784*Z783*tun_WomenShare*tun_BaseFertility*INDEX(tun_FertMult,G784)*Arch_Fertility*(1-P784)</x:f>
        <x:v>785.6713129129405</x:v>
      </x:c>
      <x:c r="S784" s="9" t="n">
        <x:f>H784*Y783*INDEX(tun_MortChild,G784)/4*Q784</x:f>
        <x:v>9.09940733319393</x:v>
      </x:c>
      <x:c r="T784" s="9" t="n">
        <x:f>H784*Z783*INDEX(tun_MortAdult,G784)*Arch_AdultMort/4*Q784</x:f>
        <x:v>22.09374906801048</x:v>
      </x:c>
      <x:c r="U784" s="9" t="n">
        <x:f>H784*AA783*INDEX(tun_MortElder,G784)/4*Q784</x:f>
        <x:v>306.1913472083221</x:v>
      </x:c>
      <x:c r="V784" s="9" t="n">
        <x:f>H784*MAX(0,AB783-O784)*tun_OvercapLoss</x:f>
        <x:v>0</x:v>
      </x:c>
      <x:c r="W784" s="9" t="n">
        <x:f>H784*Y783/(tun_ChildYears*4)</x:f>
        <x:v>722.1751851741216</x:v>
      </x:c>
      <x:c r="X784" s="9" t="n">
        <x:f>H784*Z783/(tun_AdultYears*4)</x:f>
        <x:v>475.13438855936516</x:v>
      </x:c>
      <x:c r="Y784" s="32" t="n">
        <x:f>Y783+R784-S784-W784-Y783*V784/AB783</x:f>
        <x:v>40496.20709015643</x:v>
      </x:c>
      <x:c r="Z784" s="32" t="n">
        <x:f>Z783+W784-X784-T784-Z783*V784/AB783</x:f>
        <x:v>59141.61122890803</x:v>
      </x:c>
      <x:c r="AA784" s="32" t="n">
        <x:f>AA783+X784-U784-AA783*V784/AB783</x:f>
        <x:v>45530.62410925061</x:v>
      </x:c>
      <x:c r="AB784" s="10" t="n">
        <x:f>Y784+Z784+AA784</x:f>
        <x:v>145168.44242831506</x:v>
      </x:c>
      <x:c r="AC784" s="8" t="n">
        <x:f>IF(AND(tun_WinterTrigger=1,D784=1,AB783/AE783&gt;=K784),1,0)</x:f>
        <x:v>0</x:v>
      </x:c>
      <x:c r="AD784" s="8" t="n">
        <x:f>H784*IF(AND(OR(AB783/AE783&gt;=tun_FissionTrigger*N784,AC784=1),AB783/AE783*tun_DaughterShare&gt;=tun_MinDaughter),MAX(1,ROUND(AE783*tun_FissionRate,0)),0)</x:f>
        <x:v>3</x:v>
      </x:c>
      <x:c r="AE784" s="8" t="n">
        <x:f>IF(H784=1,MAX(1,MIN(INDEX(tun_Smax,G784),AE783+AD784)),AE783)</x:f>
        <x:v>9</x:v>
      </x:c>
      <x:c r="AF784" s="8" t="n">
        <x:f>MAX(0,AE784-AE783)</x:f>
        <x:v>0</x:v>
      </x:c>
      <x:c r="AG784" s="9" t="str">
        <x:f>IF(AF784&gt;0,B784,"")</x:f>
      </x:c>
      <x:c r="AH784" s="9" t="n">
        <x:f>IF(F784&gt;=1,1,(1+tun_LowTiesShare*(AE784-1))/AE784)</x:f>
        <x:v>1</x:v>
      </x:c>
      <x:c r="AI784" s="32" t="n">
        <x:f>(Z784+tun_ElderCommons*INDEX(LM_Elder,G784)*AA784)*AH784</x:f>
        <x:v>238215.0665857503</x:v>
      </x:c>
      <x:c r="AJ784" s="32" t="n">
        <x:f>H784*tun_CommonsCoef*AI784^tun_CommonsExp*INDEX(LM_Commons,G784)</x:f>
        <x:v>798755.5346865159</x:v>
      </x:c>
      <x:c r="AK784" s="32" t="n">
        <x:f>H784*tun_RoleScale*Arch_Roles*(AE784*(INDEX(tun_ElderRolePerSett,G784)*tun_OutElder*INDEX(LM_Elder,G784)+INDEX(tun_ShamanPerSett,G784)*tun_OutShaman)+Z784*(INDEX(tun_PriestShare,G784)*tun_OutPriest+INDEX(tun_ScribeShare,G784)*tun_OutScribe*INDEX(LM_Scribe,G784)+INDEX(tun_ScholarShare,G784)*tun_OutScholar*INDEX(LM_Scholar,G784)+INDEX(tun_ResearcherShare,G784)*tun_OutResearcher*INDEX(LM_Researcher,G784)))</x:f>
        <x:v>213246.3505123862</x:v>
      </x:c>
      <x:c r="AL784" s="32" t="n">
        <x:f>H784*tun_RoleScale*Arch_Roles*AE784*INDEX(tun_MonasteryPerSett,G784)*tun_OutMonastery*INDEX(LM_Monastery,G784)</x:f>
        <x:v>15.840000000000002</x:v>
      </x:c>
      <x:c r="AM784" s="32" t="n">
        <x:f>(AJ784+AK784+AL784)/4*INDEX(LM_All,G784)*INDEX(tun_Boon,G784)*Arch_Insight</x:f>
        <x:v>876379.439523729</x:v>
      </x:c>
      <x:c r="AN784" s="32" t="n">
        <x:f>H784*(tun_KHPerAdult*Z784+tun_KHOfCommons*AJ784/4*INDEX(LM_All,G784))*tun_KHUsable*Arch_KH</x:f>
        <x:v>135696.68473258108</x:v>
      </x:c>
      <x:c r="AO784" s="32" t="n">
        <x:f>MIN(AP783+AN784,AM784*tun_KHMaxRatio)</x:f>
        <x:v>135696.68473258108</x:v>
      </x:c>
      <x:c r="AP784" s="32" t="n">
        <x:f>AP783+AN784-AO784</x:f>
        <x:v>0</x:v>
      </x:c>
      <x:c r="AQ784" s="32" t="n">
        <x:f>AM784+AO784</x:f>
        <x:v>1012076.12425631</x:v>
      </x:c>
      <x:c r="AR784" s="10" t="n">
        <x:f>IF(H784=1,INDEX(tun_Req,G784),0)</x:f>
        <x:v>125406521.7009086</x:v>
      </x:c>
      <x:c r="AS784" s="32" t="n">
        <x:f>IF(H784=1,IF(E784=1,AS783-AR783,AS783)+AQ784,0)</x:f>
        <x:v>125549917.64291957</x:v>
      </x:c>
      <x:c r="AT784" s="11" t="n">
        <x:f>IF(AR784&gt;0,MIN(1,AS784/AR784),1)</x:f>
        <x:v>1</x:v>
      </x:c>
      <x:c r="AU784" s="10" t="n">
        <x:f>AB784/INDEX(tun_RepScale,G784)</x:f>
        <x:v>290.3368848566301</x:v>
      </x:c>
      <x:c r="AV784" s="32" t="n">
        <x:f>AM784*60/tun_SeasonSeconds</x:f>
        <x:v>3505517.758094916</x:v>
      </x:c>
    </x:row>
    <x:row r="785">
      <x:c r="A785" s="8" t="n">
        <x:f>A784+1</x:f>
        <x:v>782</x:v>
      </x:c>
      <x:c r="B785" s="9" t="n">
        <x:f>A785*tun_SeasonSeconds/60</x:f>
        <x:v>195.5</x:v>
      </x:c>
      <x:c r="C785" s="9" t="n">
        <x:f>A785/4</x:f>
        <x:v>195.5</x:v>
      </x:c>
      <x:c r="D785" s="8" t="n">
        <x:f>IF(MOD(A785,4)=0,1,0)</x:f>
        <x:v>0</x:v>
      </x:c>
      <x:c r="E785" s="8" t="n">
        <x:f>IF(AND(F784&lt;=9,AS784&gt;=AR784),1,0)</x:f>
        <x:v>1</x:v>
      </x:c>
      <x:c r="F785" s="8" t="n">
        <x:f>MIN(10,F784+E785)</x:f>
        <x:v>10</x:v>
      </x:c>
      <x:c r="G785" s="8" t="n">
        <x:f>MIN(F785,9)+1</x:f>
        <x:v>10</x:v>
      </x:c>
      <x:c r="H785" s="8" t="n">
        <x:f>IF(F785&lt;=9,1,0)</x:f>
        <x:v>0</x:v>
      </x:c>
      <x:c r="I785" s="9" t="n">
        <x:f>MIN(10,F784+IF(AR784&gt;0,MIN(1,AS784/AR784),1))</x:f>
        <x:v>10</x:v>
      </x:c>
      <x:c r="J785" s="32" t="n">
        <x:f>INDEX(tun_FoodCap,G785)*Arch_FoodCap*EXP(tun_CapsByProject*SUMPRODUCT((Cap_Point&lt;=I785)*(Cap_Kind="Food")*Cap_Ln))</x:f>
        <x:v>18627.260449441455</x:v>
      </x:c>
      <x:c r="K785" s="32" t="n">
        <x:f>J785*MIN(1,tun_LeanBase*EXP(tun_CapsByProject*SUMPRODUCT((Cap_Point&lt;=I785)*(Cap_Kind="Lean")*Cap_Ln)))</x:f>
        <x:v>18627.260449441455</x:v>
      </x:c>
      <x:c r="L785" s="10" t="n">
        <x:f>INDEX(tun_HousingCap,G785)*EXP(tun_CapsByProject*SUMPRODUCT((Cap_Point&lt;=I785)*(Cap_Kind="Housing")*Cap_Ln))</x:f>
        <x:v>20528.974303173167</x:v>
      </x:c>
      <x:c r="M785" s="10" t="n">
        <x:f>INDEX(tun_GroupCap,G785)*tun_CohesionFactor*EXP(tun_CapsByProject*SUMPRODUCT((Cap_Point&lt;=I785)*(Cap_Kind="Group")*Cap_Ln))</x:f>
        <x:v>1000000.000000001</x:v>
      </x:c>
      <x:c r="N785" s="32" t="n">
        <x:f>MIN(J785,L785,M785)</x:f>
        <x:v>18627.260449441455</x:v>
      </x:c>
      <x:c r="O785" s="10" t="n">
        <x:f>AE784*N785</x:f>
        <x:v>167645.34404497308</x:v>
      </x:c>
      <x:c r="P785" s="9" t="n">
        <x:f>MIN(1,(AB784/(AE784*IF(tun_GroupInCrowding=1,N785,MIN(J785,L785))))^tun_CrowdingExp)</x:f>
        <x:v>0.4215841981292809</x:v>
      </x:c>
      <x:c r="Q785" s="9" t="n">
        <x:f>IF(D785=1,INDEX(tun_WinterMult,G785),1)</x:f>
        <x:v>1</x:v>
      </x:c>
      <x:c r="R785" s="9" t="n">
        <x:f>H785*Z784*tun_WomenShare*tun_BaseFertility*INDEX(tun_FertMult,G785)*Arch_Fertility*(1-P785)</x:f>
        <x:v>0</x:v>
      </x:c>
      <x:c r="S785" s="9" t="n">
        <x:f>H785*Y784*INDEX(tun_MortChild,G785)/4*Q785</x:f>
        <x:v>0</x:v>
      </x:c>
      <x:c r="T785" s="9" t="n">
        <x:f>H785*Z784*INDEX(tun_MortAdult,G785)*Arch_AdultMort/4*Q785</x:f>
        <x:v>0</x:v>
      </x:c>
      <x:c r="U785" s="9" t="n">
        <x:f>H785*AA784*INDEX(tun_MortElder,G785)/4*Q785</x:f>
        <x:v>0</x:v>
      </x:c>
      <x:c r="V785" s="9" t="n">
        <x:f>H785*MAX(0,AB784-O785)*tun_OvercapLoss</x:f>
        <x:v>0</x:v>
      </x:c>
      <x:c r="W785" s="9" t="n">
        <x:f>H785*Y784/(tun_ChildYears*4)</x:f>
        <x:v>0</x:v>
      </x:c>
      <x:c r="X785" s="9" t="n">
        <x:f>H785*Z784/(tun_AdultYears*4)</x:f>
        <x:v>0</x:v>
      </x:c>
      <x:c r="Y785" s="32" t="n">
        <x:f>Y784+R785-S785-W785-Y784*V785/AB784</x:f>
        <x:v>40496.20709015643</x:v>
      </x:c>
      <x:c r="Z785" s="32" t="n">
        <x:f>Z784+W785-X785-T785-Z784*V785/AB784</x:f>
        <x:v>59141.61122890803</x:v>
      </x:c>
      <x:c r="AA785" s="32" t="n">
        <x:f>AA784+X785-U785-AA784*V785/AB784</x:f>
        <x:v>45530.62410925061</x:v>
      </x:c>
      <x:c r="AB785" s="10" t="n">
        <x:f>Y785+Z785+AA785</x:f>
        <x:v>145168.44242831506</x:v>
      </x:c>
      <x:c r="AC785" s="8" t="n">
        <x:f>IF(AND(tun_WinterTrigger=1,D785=1,AB784/AE784&gt;=K785),1,0)</x:f>
        <x:v>0</x:v>
      </x:c>
      <x:c r="AD785" s="8" t="n">
        <x:f>H785*IF(AND(OR(AB784/AE784&gt;=tun_FissionTrigger*N785,AC785=1),AB784/AE784*tun_DaughterShare&gt;=tun_MinDaughter),MAX(1,ROUND(AE784*tun_FissionRate,0)),0)</x:f>
        <x:v>0</x:v>
      </x:c>
      <x:c r="AE785" s="8" t="n">
        <x:f>IF(H785=1,MAX(1,MIN(INDEX(tun_Smax,G785),AE784+AD785)),AE784)</x:f>
        <x:v>9</x:v>
      </x:c>
      <x:c r="AF785" s="8" t="n">
        <x:f>MAX(0,AE785-AE784)</x:f>
        <x:v>0</x:v>
      </x:c>
      <x:c r="AG785" s="9" t="str">
        <x:f>IF(AF785&gt;0,B785,"")</x:f>
      </x:c>
      <x:c r="AH785" s="9" t="n">
        <x:f>IF(F785&gt;=1,1,(1+tun_LowTiesShare*(AE785-1))/AE785)</x:f>
        <x:v>1</x:v>
      </x:c>
      <x:c r="AI785" s="32" t="n">
        <x:f>(Z785+tun_ElderCommons*INDEX(LM_Elder,G785)*AA785)*AH785</x:f>
        <x:v>238215.0665857503</x:v>
      </x:c>
      <x:c r="AJ785" s="32" t="n">
        <x:f>H785*tun_CommonsCoef*AI785^tun_CommonsExp*INDEX(LM_Commons,G785)</x:f>
        <x:v>0</x:v>
      </x:c>
      <x:c r="AK785" s="32" t="n">
        <x:f>H785*tun_RoleScale*Arch_Roles*(AE785*(INDEX(tun_ElderRolePerSett,G785)*tun_OutElder*INDEX(LM_Elder,G785)+INDEX(tun_ShamanPerSett,G785)*tun_OutShaman)+Z785*(INDEX(tun_PriestShare,G785)*tun_OutPriest+INDEX(tun_ScribeShare,G785)*tun_OutScribe*INDEX(LM_Scribe,G785)+INDEX(tun_ScholarShare,G785)*tun_OutScholar*INDEX(LM_Scholar,G785)+INDEX(tun_ResearcherShare,G785)*tun_OutResearcher*INDEX(LM_Researcher,G785)))</x:f>
        <x:v>0</x:v>
      </x:c>
      <x:c r="AL785" s="32" t="n">
        <x:f>H785*tun_RoleScale*Arch_Roles*AE785*INDEX(tun_MonasteryPerSett,G785)*tun_OutMonastery*INDEX(LM_Monastery,G785)</x:f>
        <x:v>0</x:v>
      </x:c>
      <x:c r="AM785" s="32" t="n">
        <x:f>(AJ785+AK785+AL785)/4*INDEX(LM_All,G785)*INDEX(tun_Boon,G785)*Arch_Insight</x:f>
        <x:v>0</x:v>
      </x:c>
      <x:c r="AN785" s="32" t="n">
        <x:f>H785*(tun_KHPerAdult*Z785+tun_KHOfCommons*AJ785/4*INDEX(LM_All,G785))*tun_KHUsable*Arch_KH</x:f>
        <x:v>0</x:v>
      </x:c>
      <x:c r="AO785" s="32" t="n">
        <x:f>MIN(AP784+AN785,AM785*tun_KHMaxRatio)</x:f>
        <x:v>0</x:v>
      </x:c>
      <x:c r="AP785" s="32" t="n">
        <x:f>AP784+AN785-AO785</x:f>
        <x:v>0</x:v>
      </x:c>
      <x:c r="AQ785" s="32" t="n">
        <x:f>AM785+AO785</x:f>
        <x:v>0</x:v>
      </x:c>
      <x:c r="AR785" s="10" t="n">
        <x:f>IF(H785=1,INDEX(tun_Req,G785),0)</x:f>
        <x:v>0</x:v>
      </x:c>
      <x:c r="AS785" s="32" t="n">
        <x:f>IF(H785=1,IF(E785=1,AS784-AR784,AS784)+AQ785,0)</x:f>
        <x:v>0</x:v>
      </x:c>
      <x:c r="AT785" s="11" t="n">
        <x:f>IF(AR785&gt;0,MIN(1,AS785/AR785),1)</x:f>
        <x:v>1</x:v>
      </x:c>
      <x:c r="AU785" s="10" t="n">
        <x:f>AB785/INDEX(tun_RepScale,G785)</x:f>
        <x:v>290.3368848566301</x:v>
      </x:c>
      <x:c r="AV785" s="32" t="n">
        <x:f>AM785*60/tun_SeasonSeconds</x:f>
        <x:v>0</x:v>
      </x:c>
    </x:row>
    <x:row r="786">
      <x:c r="A786" s="8" t="n">
        <x:f>A785+1</x:f>
        <x:v>783</x:v>
      </x:c>
      <x:c r="B786" s="9" t="n">
        <x:f>A786*tun_SeasonSeconds/60</x:f>
        <x:v>195.75</x:v>
      </x:c>
      <x:c r="C786" s="9" t="n">
        <x:f>A786/4</x:f>
        <x:v>195.75</x:v>
      </x:c>
      <x:c r="D786" s="8" t="n">
        <x:f>IF(MOD(A786,4)=0,1,0)</x:f>
        <x:v>0</x:v>
      </x:c>
      <x:c r="E786" s="8" t="n">
        <x:f>IF(AND(F785&lt;=9,AS785&gt;=AR785),1,0)</x:f>
        <x:v>0</x:v>
      </x:c>
      <x:c r="F786" s="8" t="n">
        <x:f>MIN(10,F785+E786)</x:f>
        <x:v>10</x:v>
      </x:c>
      <x:c r="G786" s="8" t="n">
        <x:f>MIN(F786,9)+1</x:f>
        <x:v>10</x:v>
      </x:c>
      <x:c r="H786" s="8" t="n">
        <x:f>IF(F786&lt;=9,1,0)</x:f>
        <x:v>0</x:v>
      </x:c>
      <x:c r="I786" s="9" t="n">
        <x:f>MIN(10,F785+IF(AR785&gt;0,MIN(1,AS785/AR785),1))</x:f>
        <x:v>10</x:v>
      </x:c>
      <x:c r="J786" s="32" t="n">
        <x:f>INDEX(tun_FoodCap,G786)*Arch_FoodCap*EXP(tun_CapsByProject*SUMPRODUCT((Cap_Point&lt;=I786)*(Cap_Kind="Food")*Cap_Ln))</x:f>
        <x:v>18627.260449441455</x:v>
      </x:c>
      <x:c r="K786" s="32" t="n">
        <x:f>J786*MIN(1,tun_LeanBase*EXP(tun_CapsByProject*SUMPRODUCT((Cap_Point&lt;=I786)*(Cap_Kind="Lean")*Cap_Ln)))</x:f>
        <x:v>18627.260449441455</x:v>
      </x:c>
      <x:c r="L786" s="10" t="n">
        <x:f>INDEX(tun_HousingCap,G786)*EXP(tun_CapsByProject*SUMPRODUCT((Cap_Point&lt;=I786)*(Cap_Kind="Housing")*Cap_Ln))</x:f>
        <x:v>20528.974303173167</x:v>
      </x:c>
      <x:c r="M786" s="10" t="n">
        <x:f>INDEX(tun_GroupCap,G786)*tun_CohesionFactor*EXP(tun_CapsByProject*SUMPRODUCT((Cap_Point&lt;=I786)*(Cap_Kind="Group")*Cap_Ln))</x:f>
        <x:v>1000000.000000001</x:v>
      </x:c>
      <x:c r="N786" s="32" t="n">
        <x:f>MIN(J786,L786,M786)</x:f>
        <x:v>18627.260449441455</x:v>
      </x:c>
      <x:c r="O786" s="10" t="n">
        <x:f>AE785*N786</x:f>
        <x:v>167645.34404497308</x:v>
      </x:c>
      <x:c r="P786" s="9" t="n">
        <x:f>MIN(1,(AB785/(AE785*IF(tun_GroupInCrowding=1,N786,MIN(J786,L786))))^tun_CrowdingExp)</x:f>
        <x:v>0.4215841981292809</x:v>
      </x:c>
      <x:c r="Q786" s="9" t="n">
        <x:f>IF(D786=1,INDEX(tun_WinterMult,G786),1)</x:f>
        <x:v>1</x:v>
      </x:c>
      <x:c r="R786" s="9" t="n">
        <x:f>H786*Z785*tun_WomenShare*tun_BaseFertility*INDEX(tun_FertMult,G786)*Arch_Fertility*(1-P786)</x:f>
        <x:v>0</x:v>
      </x:c>
      <x:c r="S786" s="9" t="n">
        <x:f>H786*Y785*INDEX(tun_MortChild,G786)/4*Q786</x:f>
        <x:v>0</x:v>
      </x:c>
      <x:c r="T786" s="9" t="n">
        <x:f>H786*Z785*INDEX(tun_MortAdult,G786)*Arch_AdultMort/4*Q786</x:f>
        <x:v>0</x:v>
      </x:c>
      <x:c r="U786" s="9" t="n">
        <x:f>H786*AA785*INDEX(tun_MortElder,G786)/4*Q786</x:f>
        <x:v>0</x:v>
      </x:c>
      <x:c r="V786" s="9" t="n">
        <x:f>H786*MAX(0,AB785-O786)*tun_OvercapLoss</x:f>
        <x:v>0</x:v>
      </x:c>
      <x:c r="W786" s="9" t="n">
        <x:f>H786*Y785/(tun_ChildYears*4)</x:f>
        <x:v>0</x:v>
      </x:c>
      <x:c r="X786" s="9" t="n">
        <x:f>H786*Z785/(tun_AdultYears*4)</x:f>
        <x:v>0</x:v>
      </x:c>
      <x:c r="Y786" s="32" t="n">
        <x:f>Y785+R786-S786-W786-Y785*V786/AB785</x:f>
        <x:v>40496.20709015643</x:v>
      </x:c>
      <x:c r="Z786" s="32" t="n">
        <x:f>Z785+W786-X786-T786-Z785*V786/AB785</x:f>
        <x:v>59141.61122890803</x:v>
      </x:c>
      <x:c r="AA786" s="32" t="n">
        <x:f>AA785+X786-U786-AA785*V786/AB785</x:f>
        <x:v>45530.62410925061</x:v>
      </x:c>
      <x:c r="AB786" s="10" t="n">
        <x:f>Y786+Z786+AA786</x:f>
        <x:v>145168.44242831506</x:v>
      </x:c>
      <x:c r="AC786" s="8" t="n">
        <x:f>IF(AND(tun_WinterTrigger=1,D786=1,AB785/AE785&gt;=K786),1,0)</x:f>
        <x:v>0</x:v>
      </x:c>
      <x:c r="AD786" s="8" t="n">
        <x:f>H786*IF(AND(OR(AB785/AE785&gt;=tun_FissionTrigger*N786,AC786=1),AB785/AE785*tun_DaughterShare&gt;=tun_MinDaughter),MAX(1,ROUND(AE785*tun_FissionRate,0)),0)</x:f>
        <x:v>0</x:v>
      </x:c>
      <x:c r="AE786" s="8" t="n">
        <x:f>IF(H786=1,MAX(1,MIN(INDEX(tun_Smax,G786),AE785+AD786)),AE785)</x:f>
        <x:v>9</x:v>
      </x:c>
      <x:c r="AF786" s="8" t="n">
        <x:f>MAX(0,AE786-AE785)</x:f>
        <x:v>0</x:v>
      </x:c>
      <x:c r="AG786" s="9" t="str">
        <x:f>IF(AF786&gt;0,B786,"")</x:f>
      </x:c>
      <x:c r="AH786" s="9" t="n">
        <x:f>IF(F786&gt;=1,1,(1+tun_LowTiesShare*(AE786-1))/AE786)</x:f>
        <x:v>1</x:v>
      </x:c>
      <x:c r="AI786" s="32" t="n">
        <x:f>(Z786+tun_ElderCommons*INDEX(LM_Elder,G786)*AA786)*AH786</x:f>
        <x:v>238215.0665857503</x:v>
      </x:c>
      <x:c r="AJ786" s="32" t="n">
        <x:f>H786*tun_CommonsCoef*AI786^tun_CommonsExp*INDEX(LM_Commons,G786)</x:f>
        <x:v>0</x:v>
      </x:c>
      <x:c r="AK786" s="32" t="n">
        <x:f>H786*tun_RoleScale*Arch_Roles*(AE786*(INDEX(tun_ElderRolePerSett,G786)*tun_OutElder*INDEX(LM_Elder,G786)+INDEX(tun_ShamanPerSett,G786)*tun_OutShaman)+Z786*(INDEX(tun_PriestShare,G786)*tun_OutPriest+INDEX(tun_ScribeShare,G786)*tun_OutScribe*INDEX(LM_Scribe,G786)+INDEX(tun_ScholarShare,G786)*tun_OutScholar*INDEX(LM_Scholar,G786)+INDEX(tun_ResearcherShare,G786)*tun_OutResearcher*INDEX(LM_Researcher,G786)))</x:f>
        <x:v>0</x:v>
      </x:c>
      <x:c r="AL786" s="32" t="n">
        <x:f>H786*tun_RoleScale*Arch_Roles*AE786*INDEX(tun_MonasteryPerSett,G786)*tun_OutMonastery*INDEX(LM_Monastery,G786)</x:f>
        <x:v>0</x:v>
      </x:c>
      <x:c r="AM786" s="32" t="n">
        <x:f>(AJ786+AK786+AL786)/4*INDEX(LM_All,G786)*INDEX(tun_Boon,G786)*Arch_Insight</x:f>
        <x:v>0</x:v>
      </x:c>
      <x:c r="AN786" s="32" t="n">
        <x:f>H786*(tun_KHPerAdult*Z786+tun_KHOfCommons*AJ786/4*INDEX(LM_All,G786))*tun_KHUsable*Arch_KH</x:f>
        <x:v>0</x:v>
      </x:c>
      <x:c r="AO786" s="32" t="n">
        <x:f>MIN(AP785+AN786,AM786*tun_KHMaxRatio)</x:f>
        <x:v>0</x:v>
      </x:c>
      <x:c r="AP786" s="32" t="n">
        <x:f>AP785+AN786-AO786</x:f>
        <x:v>0</x:v>
      </x:c>
      <x:c r="AQ786" s="32" t="n">
        <x:f>AM786+AO786</x:f>
        <x:v>0</x:v>
      </x:c>
      <x:c r="AR786" s="10" t="n">
        <x:f>IF(H786=1,INDEX(tun_Req,G786),0)</x:f>
        <x:v>0</x:v>
      </x:c>
      <x:c r="AS786" s="32" t="n">
        <x:f>IF(H786=1,IF(E786=1,AS785-AR785,AS785)+AQ786,0)</x:f>
        <x:v>0</x:v>
      </x:c>
      <x:c r="AT786" s="11" t="n">
        <x:f>IF(AR786&gt;0,MIN(1,AS786/AR786),1)</x:f>
        <x:v>1</x:v>
      </x:c>
      <x:c r="AU786" s="10" t="n">
        <x:f>AB786/INDEX(tun_RepScale,G786)</x:f>
        <x:v>290.3368848566301</x:v>
      </x:c>
      <x:c r="AV786" s="32" t="n">
        <x:f>AM786*60/tun_SeasonSeconds</x:f>
        <x:v>0</x:v>
      </x:c>
    </x:row>
    <x:row r="787">
      <x:c r="A787" s="8" t="n">
        <x:f>A786+1</x:f>
        <x:v>784</x:v>
      </x:c>
      <x:c r="B787" s="9" t="n">
        <x:f>A787*tun_SeasonSeconds/60</x:f>
        <x:v>196</x:v>
      </x:c>
      <x:c r="C787" s="9" t="n">
        <x:f>A787/4</x:f>
        <x:v>196</x:v>
      </x:c>
      <x:c r="D787" s="8" t="n">
        <x:f>IF(MOD(A787,4)=0,1,0)</x:f>
        <x:v>1</x:v>
      </x:c>
      <x:c r="E787" s="8" t="n">
        <x:f>IF(AND(F786&lt;=9,AS786&gt;=AR786),1,0)</x:f>
        <x:v>0</x:v>
      </x:c>
      <x:c r="F787" s="8" t="n">
        <x:f>MIN(10,F786+E787)</x:f>
        <x:v>10</x:v>
      </x:c>
      <x:c r="G787" s="8" t="n">
        <x:f>MIN(F787,9)+1</x:f>
        <x:v>10</x:v>
      </x:c>
      <x:c r="H787" s="8" t="n">
        <x:f>IF(F787&lt;=9,1,0)</x:f>
        <x:v>0</x:v>
      </x:c>
      <x:c r="I787" s="9" t="n">
        <x:f>MIN(10,F786+IF(AR786&gt;0,MIN(1,AS786/AR786),1))</x:f>
        <x:v>10</x:v>
      </x:c>
      <x:c r="J787" s="32" t="n">
        <x:f>INDEX(tun_FoodCap,G787)*Arch_FoodCap*EXP(tun_CapsByProject*SUMPRODUCT((Cap_Point&lt;=I787)*(Cap_Kind="Food")*Cap_Ln))</x:f>
        <x:v>18627.260449441455</x:v>
      </x:c>
      <x:c r="K787" s="32" t="n">
        <x:f>J787*MIN(1,tun_LeanBase*EXP(tun_CapsByProject*SUMPRODUCT((Cap_Point&lt;=I787)*(Cap_Kind="Lean")*Cap_Ln)))</x:f>
        <x:v>18627.260449441455</x:v>
      </x:c>
      <x:c r="L787" s="10" t="n">
        <x:f>INDEX(tun_HousingCap,G787)*EXP(tun_CapsByProject*SUMPRODUCT((Cap_Point&lt;=I787)*(Cap_Kind="Housing")*Cap_Ln))</x:f>
        <x:v>20528.974303173167</x:v>
      </x:c>
      <x:c r="M787" s="10" t="n">
        <x:f>INDEX(tun_GroupCap,G787)*tun_CohesionFactor*EXP(tun_CapsByProject*SUMPRODUCT((Cap_Point&lt;=I787)*(Cap_Kind="Group")*Cap_Ln))</x:f>
        <x:v>1000000.000000001</x:v>
      </x:c>
      <x:c r="N787" s="32" t="n">
        <x:f>MIN(J787,L787,M787)</x:f>
        <x:v>18627.260449441455</x:v>
      </x:c>
      <x:c r="O787" s="10" t="n">
        <x:f>AE786*N787</x:f>
        <x:v>167645.34404497308</x:v>
      </x:c>
      <x:c r="P787" s="9" t="n">
        <x:f>MIN(1,(AB786/(AE786*IF(tun_GroupInCrowding=1,N787,MIN(J787,L787))))^tun_CrowdingExp)</x:f>
        <x:v>0.4215841981292809</x:v>
      </x:c>
      <x:c r="Q787" s="9" t="n">
        <x:f>IF(D787=1,INDEX(tun_WinterMult,G787),1)</x:f>
        <x:v>1.05</x:v>
      </x:c>
      <x:c r="R787" s="9" t="n">
        <x:f>H787*Z786*tun_WomenShare*tun_BaseFertility*INDEX(tun_FertMult,G787)*Arch_Fertility*(1-P787)</x:f>
        <x:v>0</x:v>
      </x:c>
      <x:c r="S787" s="9" t="n">
        <x:f>H787*Y786*INDEX(tun_MortChild,G787)/4*Q787</x:f>
        <x:v>0</x:v>
      </x:c>
      <x:c r="T787" s="9" t="n">
        <x:f>H787*Z786*INDEX(tun_MortAdult,G787)*Arch_AdultMort/4*Q787</x:f>
        <x:v>0</x:v>
      </x:c>
      <x:c r="U787" s="9" t="n">
        <x:f>H787*AA786*INDEX(tun_MortElder,G787)/4*Q787</x:f>
        <x:v>0</x:v>
      </x:c>
      <x:c r="V787" s="9" t="n">
        <x:f>H787*MAX(0,AB786-O787)*tun_OvercapLoss</x:f>
        <x:v>0</x:v>
      </x:c>
      <x:c r="W787" s="9" t="n">
        <x:f>H787*Y786/(tun_ChildYears*4)</x:f>
        <x:v>0</x:v>
      </x:c>
      <x:c r="X787" s="9" t="n">
        <x:f>H787*Z786/(tun_AdultYears*4)</x:f>
        <x:v>0</x:v>
      </x:c>
      <x:c r="Y787" s="32" t="n">
        <x:f>Y786+R787-S787-W787-Y786*V787/AB786</x:f>
        <x:v>40496.20709015643</x:v>
      </x:c>
      <x:c r="Z787" s="32" t="n">
        <x:f>Z786+W787-X787-T787-Z786*V787/AB786</x:f>
        <x:v>59141.61122890803</x:v>
      </x:c>
      <x:c r="AA787" s="32" t="n">
        <x:f>AA786+X787-U787-AA786*V787/AB786</x:f>
        <x:v>45530.62410925061</x:v>
      </x:c>
      <x:c r="AB787" s="10" t="n">
        <x:f>Y787+Z787+AA787</x:f>
        <x:v>145168.44242831506</x:v>
      </x:c>
      <x:c r="AC787" s="8" t="n">
        <x:f>IF(AND(tun_WinterTrigger=1,D787=1,AB786/AE786&gt;=K787),1,0)</x:f>
        <x:v>0</x:v>
      </x:c>
      <x:c r="AD787" s="8" t="n">
        <x:f>H787*IF(AND(OR(AB786/AE786&gt;=tun_FissionTrigger*N787,AC787=1),AB786/AE786*tun_DaughterShare&gt;=tun_MinDaughter),MAX(1,ROUND(AE786*tun_FissionRate,0)),0)</x:f>
        <x:v>0</x:v>
      </x:c>
      <x:c r="AE787" s="8" t="n">
        <x:f>IF(H787=1,MAX(1,MIN(INDEX(tun_Smax,G787),AE786+AD787)),AE786)</x:f>
        <x:v>9</x:v>
      </x:c>
      <x:c r="AF787" s="8" t="n">
        <x:f>MAX(0,AE787-AE786)</x:f>
        <x:v>0</x:v>
      </x:c>
      <x:c r="AG787" s="9" t="str">
        <x:f>IF(AF787&gt;0,B787,"")</x:f>
      </x:c>
      <x:c r="AH787" s="9" t="n">
        <x:f>IF(F787&gt;=1,1,(1+tun_LowTiesShare*(AE787-1))/AE787)</x:f>
        <x:v>1</x:v>
      </x:c>
      <x:c r="AI787" s="32" t="n">
        <x:f>(Z787+tun_ElderCommons*INDEX(LM_Elder,G787)*AA787)*AH787</x:f>
        <x:v>238215.0665857503</x:v>
      </x:c>
      <x:c r="AJ787" s="32" t="n">
        <x:f>H787*tun_CommonsCoef*AI787^tun_CommonsExp*INDEX(LM_Commons,G787)</x:f>
        <x:v>0</x:v>
      </x:c>
      <x:c r="AK787" s="32" t="n">
        <x:f>H787*tun_RoleScale*Arch_Roles*(AE787*(INDEX(tun_ElderRolePerSett,G787)*tun_OutElder*INDEX(LM_Elder,G787)+INDEX(tun_ShamanPerSett,G787)*tun_OutShaman)+Z787*(INDEX(tun_PriestShare,G787)*tun_OutPriest+INDEX(tun_ScribeShare,G787)*tun_OutScribe*INDEX(LM_Scribe,G787)+INDEX(tun_ScholarShare,G787)*tun_OutScholar*INDEX(LM_Scholar,G787)+INDEX(tun_ResearcherShare,G787)*tun_OutResearcher*INDEX(LM_Researcher,G787)))</x:f>
        <x:v>0</x:v>
      </x:c>
      <x:c r="AL787" s="32" t="n">
        <x:f>H787*tun_RoleScale*Arch_Roles*AE787*INDEX(tun_MonasteryPerSett,G787)*tun_OutMonastery*INDEX(LM_Monastery,G787)</x:f>
        <x:v>0</x:v>
      </x:c>
      <x:c r="AM787" s="32" t="n">
        <x:f>(AJ787+AK787+AL787)/4*INDEX(LM_All,G787)*INDEX(tun_Boon,G787)*Arch_Insight</x:f>
        <x:v>0</x:v>
      </x:c>
      <x:c r="AN787" s="32" t="n">
        <x:f>H787*(tun_KHPerAdult*Z787+tun_KHOfCommons*AJ787/4*INDEX(LM_All,G787))*tun_KHUsable*Arch_KH</x:f>
        <x:v>0</x:v>
      </x:c>
      <x:c r="AO787" s="32" t="n">
        <x:f>MIN(AP786+AN787,AM787*tun_KHMaxRatio)</x:f>
        <x:v>0</x:v>
      </x:c>
      <x:c r="AP787" s="32" t="n">
        <x:f>AP786+AN787-AO787</x:f>
        <x:v>0</x:v>
      </x:c>
      <x:c r="AQ787" s="32" t="n">
        <x:f>AM787+AO787</x:f>
        <x:v>0</x:v>
      </x:c>
      <x:c r="AR787" s="10" t="n">
        <x:f>IF(H787=1,INDEX(tun_Req,G787),0)</x:f>
        <x:v>0</x:v>
      </x:c>
      <x:c r="AS787" s="32" t="n">
        <x:f>IF(H787=1,IF(E787=1,AS786-AR786,AS786)+AQ787,0)</x:f>
        <x:v>0</x:v>
      </x:c>
      <x:c r="AT787" s="11" t="n">
        <x:f>IF(AR787&gt;0,MIN(1,AS787/AR787),1)</x:f>
        <x:v>1</x:v>
      </x:c>
      <x:c r="AU787" s="10" t="n">
        <x:f>AB787/INDEX(tun_RepScale,G787)</x:f>
        <x:v>290.3368848566301</x:v>
      </x:c>
      <x:c r="AV787" s="32" t="n">
        <x:f>AM787*60/tun_SeasonSeconds</x:f>
        <x:v>0</x:v>
      </x:c>
    </x:row>
    <x:row r="788">
      <x:c r="A788" s="8" t="n">
        <x:f>A787+1</x:f>
        <x:v>785</x:v>
      </x:c>
      <x:c r="B788" s="9" t="n">
        <x:f>A788*tun_SeasonSeconds/60</x:f>
        <x:v>196.25</x:v>
      </x:c>
      <x:c r="C788" s="9" t="n">
        <x:f>A788/4</x:f>
        <x:v>196.25</x:v>
      </x:c>
      <x:c r="D788" s="8" t="n">
        <x:f>IF(MOD(A788,4)=0,1,0)</x:f>
        <x:v>0</x:v>
      </x:c>
      <x:c r="E788" s="8" t="n">
        <x:f>IF(AND(F787&lt;=9,AS787&gt;=AR787),1,0)</x:f>
        <x:v>0</x:v>
      </x:c>
      <x:c r="F788" s="8" t="n">
        <x:f>MIN(10,F787+E788)</x:f>
        <x:v>10</x:v>
      </x:c>
      <x:c r="G788" s="8" t="n">
        <x:f>MIN(F788,9)+1</x:f>
        <x:v>10</x:v>
      </x:c>
      <x:c r="H788" s="8" t="n">
        <x:f>IF(F788&lt;=9,1,0)</x:f>
        <x:v>0</x:v>
      </x:c>
      <x:c r="I788" s="9" t="n">
        <x:f>MIN(10,F787+IF(AR787&gt;0,MIN(1,AS787/AR787),1))</x:f>
        <x:v>10</x:v>
      </x:c>
      <x:c r="J788" s="32" t="n">
        <x:f>INDEX(tun_FoodCap,G788)*Arch_FoodCap*EXP(tun_CapsByProject*SUMPRODUCT((Cap_Point&lt;=I788)*(Cap_Kind="Food")*Cap_Ln))</x:f>
        <x:v>18627.260449441455</x:v>
      </x:c>
      <x:c r="K788" s="32" t="n">
        <x:f>J788*MIN(1,tun_LeanBase*EXP(tun_CapsByProject*SUMPRODUCT((Cap_Point&lt;=I788)*(Cap_Kind="Lean")*Cap_Ln)))</x:f>
        <x:v>18627.260449441455</x:v>
      </x:c>
      <x:c r="L788" s="10" t="n">
        <x:f>INDEX(tun_HousingCap,G788)*EXP(tun_CapsByProject*SUMPRODUCT((Cap_Point&lt;=I788)*(Cap_Kind="Housing")*Cap_Ln))</x:f>
        <x:v>20528.974303173167</x:v>
      </x:c>
      <x:c r="M788" s="10" t="n">
        <x:f>INDEX(tun_GroupCap,G788)*tun_CohesionFactor*EXP(tun_CapsByProject*SUMPRODUCT((Cap_Point&lt;=I788)*(Cap_Kind="Group")*Cap_Ln))</x:f>
        <x:v>1000000.000000001</x:v>
      </x:c>
      <x:c r="N788" s="32" t="n">
        <x:f>MIN(J788,L788,M788)</x:f>
        <x:v>18627.260449441455</x:v>
      </x:c>
      <x:c r="O788" s="10" t="n">
        <x:f>AE787*N788</x:f>
        <x:v>167645.34404497308</x:v>
      </x:c>
      <x:c r="P788" s="9" t="n">
        <x:f>MIN(1,(AB787/(AE787*IF(tun_GroupInCrowding=1,N788,MIN(J788,L788))))^tun_CrowdingExp)</x:f>
        <x:v>0.4215841981292809</x:v>
      </x:c>
      <x:c r="Q788" s="9" t="n">
        <x:f>IF(D788=1,INDEX(tun_WinterMult,G788),1)</x:f>
        <x:v>1</x:v>
      </x:c>
      <x:c r="R788" s="9" t="n">
        <x:f>H788*Z787*tun_WomenShare*tun_BaseFertility*INDEX(tun_FertMult,G788)*Arch_Fertility*(1-P788)</x:f>
        <x:v>0</x:v>
      </x:c>
      <x:c r="S788" s="9" t="n">
        <x:f>H788*Y787*INDEX(tun_MortChild,G788)/4*Q788</x:f>
        <x:v>0</x:v>
      </x:c>
      <x:c r="T788" s="9" t="n">
        <x:f>H788*Z787*INDEX(tun_MortAdult,G788)*Arch_AdultMort/4*Q788</x:f>
        <x:v>0</x:v>
      </x:c>
      <x:c r="U788" s="9" t="n">
        <x:f>H788*AA787*INDEX(tun_MortElder,G788)/4*Q788</x:f>
        <x:v>0</x:v>
      </x:c>
      <x:c r="V788" s="9" t="n">
        <x:f>H788*MAX(0,AB787-O788)*tun_OvercapLoss</x:f>
        <x:v>0</x:v>
      </x:c>
      <x:c r="W788" s="9" t="n">
        <x:f>H788*Y787/(tun_ChildYears*4)</x:f>
        <x:v>0</x:v>
      </x:c>
      <x:c r="X788" s="9" t="n">
        <x:f>H788*Z787/(tun_AdultYears*4)</x:f>
        <x:v>0</x:v>
      </x:c>
      <x:c r="Y788" s="32" t="n">
        <x:f>Y787+R788-S788-W788-Y787*V788/AB787</x:f>
        <x:v>40496.20709015643</x:v>
      </x:c>
      <x:c r="Z788" s="32" t="n">
        <x:f>Z787+W788-X788-T788-Z787*V788/AB787</x:f>
        <x:v>59141.61122890803</x:v>
      </x:c>
      <x:c r="AA788" s="32" t="n">
        <x:f>AA787+X788-U788-AA787*V788/AB787</x:f>
        <x:v>45530.62410925061</x:v>
      </x:c>
      <x:c r="AB788" s="10" t="n">
        <x:f>Y788+Z788+AA788</x:f>
        <x:v>145168.44242831506</x:v>
      </x:c>
      <x:c r="AC788" s="8" t="n">
        <x:f>IF(AND(tun_WinterTrigger=1,D788=1,AB787/AE787&gt;=K788),1,0)</x:f>
        <x:v>0</x:v>
      </x:c>
      <x:c r="AD788" s="8" t="n">
        <x:f>H788*IF(AND(OR(AB787/AE787&gt;=tun_FissionTrigger*N788,AC788=1),AB787/AE787*tun_DaughterShare&gt;=tun_MinDaughter),MAX(1,ROUND(AE787*tun_FissionRate,0)),0)</x:f>
        <x:v>0</x:v>
      </x:c>
      <x:c r="AE788" s="8" t="n">
        <x:f>IF(H788=1,MAX(1,MIN(INDEX(tun_Smax,G788),AE787+AD788)),AE787)</x:f>
        <x:v>9</x:v>
      </x:c>
      <x:c r="AF788" s="8" t="n">
        <x:f>MAX(0,AE788-AE787)</x:f>
        <x:v>0</x:v>
      </x:c>
      <x:c r="AG788" s="9" t="str">
        <x:f>IF(AF788&gt;0,B788,"")</x:f>
      </x:c>
      <x:c r="AH788" s="9" t="n">
        <x:f>IF(F788&gt;=1,1,(1+tun_LowTiesShare*(AE788-1))/AE788)</x:f>
        <x:v>1</x:v>
      </x:c>
      <x:c r="AI788" s="32" t="n">
        <x:f>(Z788+tun_ElderCommons*INDEX(LM_Elder,G788)*AA788)*AH788</x:f>
        <x:v>238215.0665857503</x:v>
      </x:c>
      <x:c r="AJ788" s="32" t="n">
        <x:f>H788*tun_CommonsCoef*AI788^tun_CommonsExp*INDEX(LM_Commons,G788)</x:f>
        <x:v>0</x:v>
      </x:c>
      <x:c r="AK788" s="32" t="n">
        <x:f>H788*tun_RoleScale*Arch_Roles*(AE788*(INDEX(tun_ElderRolePerSett,G788)*tun_OutElder*INDEX(LM_Elder,G788)+INDEX(tun_ShamanPerSett,G788)*tun_OutShaman)+Z788*(INDEX(tun_PriestShare,G788)*tun_OutPriest+INDEX(tun_ScribeShare,G788)*tun_OutScribe*INDEX(LM_Scribe,G788)+INDEX(tun_ScholarShare,G788)*tun_OutScholar*INDEX(LM_Scholar,G788)+INDEX(tun_ResearcherShare,G788)*tun_OutResearcher*INDEX(LM_Researcher,G788)))</x:f>
        <x:v>0</x:v>
      </x:c>
      <x:c r="AL788" s="32" t="n">
        <x:f>H788*tun_RoleScale*Arch_Roles*AE788*INDEX(tun_MonasteryPerSett,G788)*tun_OutMonastery*INDEX(LM_Monastery,G788)</x:f>
        <x:v>0</x:v>
      </x:c>
      <x:c r="AM788" s="32" t="n">
        <x:f>(AJ788+AK788+AL788)/4*INDEX(LM_All,G788)*INDEX(tun_Boon,G788)*Arch_Insight</x:f>
        <x:v>0</x:v>
      </x:c>
      <x:c r="AN788" s="32" t="n">
        <x:f>H788*(tun_KHPerAdult*Z788+tun_KHOfCommons*AJ788/4*INDEX(LM_All,G788))*tun_KHUsable*Arch_KH</x:f>
        <x:v>0</x:v>
      </x:c>
      <x:c r="AO788" s="32" t="n">
        <x:f>MIN(AP787+AN788,AM788*tun_KHMaxRatio)</x:f>
        <x:v>0</x:v>
      </x:c>
      <x:c r="AP788" s="32" t="n">
        <x:f>AP787+AN788-AO788</x:f>
        <x:v>0</x:v>
      </x:c>
      <x:c r="AQ788" s="32" t="n">
        <x:f>AM788+AO788</x:f>
        <x:v>0</x:v>
      </x:c>
      <x:c r="AR788" s="10" t="n">
        <x:f>IF(H788=1,INDEX(tun_Req,G788),0)</x:f>
        <x:v>0</x:v>
      </x:c>
      <x:c r="AS788" s="32" t="n">
        <x:f>IF(H788=1,IF(E788=1,AS787-AR787,AS787)+AQ788,0)</x:f>
        <x:v>0</x:v>
      </x:c>
      <x:c r="AT788" s="11" t="n">
        <x:f>IF(AR788&gt;0,MIN(1,AS788/AR788),1)</x:f>
        <x:v>1</x:v>
      </x:c>
      <x:c r="AU788" s="10" t="n">
        <x:f>AB788/INDEX(tun_RepScale,G788)</x:f>
        <x:v>290.3368848566301</x:v>
      </x:c>
      <x:c r="AV788" s="32" t="n">
        <x:f>AM788*60/tun_SeasonSeconds</x:f>
        <x:v>0</x:v>
      </x:c>
    </x:row>
    <x:row r="789">
      <x:c r="A789" s="8" t="n">
        <x:f>A788+1</x:f>
        <x:v>786</x:v>
      </x:c>
      <x:c r="B789" s="9" t="n">
        <x:f>A789*tun_SeasonSeconds/60</x:f>
        <x:v>196.5</x:v>
      </x:c>
      <x:c r="C789" s="9" t="n">
        <x:f>A789/4</x:f>
        <x:v>196.5</x:v>
      </x:c>
      <x:c r="D789" s="8" t="n">
        <x:f>IF(MOD(A789,4)=0,1,0)</x:f>
        <x:v>0</x:v>
      </x:c>
      <x:c r="E789" s="8" t="n">
        <x:f>IF(AND(F788&lt;=9,AS788&gt;=AR788),1,0)</x:f>
        <x:v>0</x:v>
      </x:c>
      <x:c r="F789" s="8" t="n">
        <x:f>MIN(10,F788+E789)</x:f>
        <x:v>10</x:v>
      </x:c>
      <x:c r="G789" s="8" t="n">
        <x:f>MIN(F789,9)+1</x:f>
        <x:v>10</x:v>
      </x:c>
      <x:c r="H789" s="8" t="n">
        <x:f>IF(F789&lt;=9,1,0)</x:f>
        <x:v>0</x:v>
      </x:c>
      <x:c r="I789" s="9" t="n">
        <x:f>MIN(10,F788+IF(AR788&gt;0,MIN(1,AS788/AR788),1))</x:f>
        <x:v>10</x:v>
      </x:c>
      <x:c r="J789" s="32" t="n">
        <x:f>INDEX(tun_FoodCap,G789)*Arch_FoodCap*EXP(tun_CapsByProject*SUMPRODUCT((Cap_Point&lt;=I789)*(Cap_Kind="Food")*Cap_Ln))</x:f>
        <x:v>18627.260449441455</x:v>
      </x:c>
      <x:c r="K789" s="32" t="n">
        <x:f>J789*MIN(1,tun_LeanBase*EXP(tun_CapsByProject*SUMPRODUCT((Cap_Point&lt;=I789)*(Cap_Kind="Lean")*Cap_Ln)))</x:f>
        <x:v>18627.260449441455</x:v>
      </x:c>
      <x:c r="L789" s="10" t="n">
        <x:f>INDEX(tun_HousingCap,G789)*EXP(tun_CapsByProject*SUMPRODUCT((Cap_Point&lt;=I789)*(Cap_Kind="Housing")*Cap_Ln))</x:f>
        <x:v>20528.974303173167</x:v>
      </x:c>
      <x:c r="M789" s="10" t="n">
        <x:f>INDEX(tun_GroupCap,G789)*tun_CohesionFactor*EXP(tun_CapsByProject*SUMPRODUCT((Cap_Point&lt;=I789)*(Cap_Kind="Group")*Cap_Ln))</x:f>
        <x:v>1000000.000000001</x:v>
      </x:c>
      <x:c r="N789" s="32" t="n">
        <x:f>MIN(J789,L789,M789)</x:f>
        <x:v>18627.260449441455</x:v>
      </x:c>
      <x:c r="O789" s="10" t="n">
        <x:f>AE788*N789</x:f>
        <x:v>167645.34404497308</x:v>
      </x:c>
      <x:c r="P789" s="9" t="n">
        <x:f>MIN(1,(AB788/(AE788*IF(tun_GroupInCrowding=1,N789,MIN(J789,L789))))^tun_CrowdingExp)</x:f>
        <x:v>0.4215841981292809</x:v>
      </x:c>
      <x:c r="Q789" s="9" t="n">
        <x:f>IF(D789=1,INDEX(tun_WinterMult,G789),1)</x:f>
        <x:v>1</x:v>
      </x:c>
      <x:c r="R789" s="9" t="n">
        <x:f>H789*Z788*tun_WomenShare*tun_BaseFertility*INDEX(tun_FertMult,G789)*Arch_Fertility*(1-P789)</x:f>
        <x:v>0</x:v>
      </x:c>
      <x:c r="S789" s="9" t="n">
        <x:f>H789*Y788*INDEX(tun_MortChild,G789)/4*Q789</x:f>
        <x:v>0</x:v>
      </x:c>
      <x:c r="T789" s="9" t="n">
        <x:f>H789*Z788*INDEX(tun_MortAdult,G789)*Arch_AdultMort/4*Q789</x:f>
        <x:v>0</x:v>
      </x:c>
      <x:c r="U789" s="9" t="n">
        <x:f>H789*AA788*INDEX(tun_MortElder,G789)/4*Q789</x:f>
        <x:v>0</x:v>
      </x:c>
      <x:c r="V789" s="9" t="n">
        <x:f>H789*MAX(0,AB788-O789)*tun_OvercapLoss</x:f>
        <x:v>0</x:v>
      </x:c>
      <x:c r="W789" s="9" t="n">
        <x:f>H789*Y788/(tun_ChildYears*4)</x:f>
        <x:v>0</x:v>
      </x:c>
      <x:c r="X789" s="9" t="n">
        <x:f>H789*Z788/(tun_AdultYears*4)</x:f>
        <x:v>0</x:v>
      </x:c>
      <x:c r="Y789" s="32" t="n">
        <x:f>Y788+R789-S789-W789-Y788*V789/AB788</x:f>
        <x:v>40496.20709015643</x:v>
      </x:c>
      <x:c r="Z789" s="32" t="n">
        <x:f>Z788+W789-X789-T789-Z788*V789/AB788</x:f>
        <x:v>59141.61122890803</x:v>
      </x:c>
      <x:c r="AA789" s="32" t="n">
        <x:f>AA788+X789-U789-AA788*V789/AB788</x:f>
        <x:v>45530.62410925061</x:v>
      </x:c>
      <x:c r="AB789" s="10" t="n">
        <x:f>Y789+Z789+AA789</x:f>
        <x:v>145168.44242831506</x:v>
      </x:c>
      <x:c r="AC789" s="8" t="n">
        <x:f>IF(AND(tun_WinterTrigger=1,D789=1,AB788/AE788&gt;=K789),1,0)</x:f>
        <x:v>0</x:v>
      </x:c>
      <x:c r="AD789" s="8" t="n">
        <x:f>H789*IF(AND(OR(AB788/AE788&gt;=tun_FissionTrigger*N789,AC789=1),AB788/AE788*tun_DaughterShare&gt;=tun_MinDaughter),MAX(1,ROUND(AE788*tun_FissionRate,0)),0)</x:f>
        <x:v>0</x:v>
      </x:c>
      <x:c r="AE789" s="8" t="n">
        <x:f>IF(H789=1,MAX(1,MIN(INDEX(tun_Smax,G789),AE788+AD789)),AE788)</x:f>
        <x:v>9</x:v>
      </x:c>
      <x:c r="AF789" s="8" t="n">
        <x:f>MAX(0,AE789-AE788)</x:f>
        <x:v>0</x:v>
      </x:c>
      <x:c r="AG789" s="9" t="str">
        <x:f>IF(AF789&gt;0,B789,"")</x:f>
      </x:c>
      <x:c r="AH789" s="9" t="n">
        <x:f>IF(F789&gt;=1,1,(1+tun_LowTiesShare*(AE789-1))/AE789)</x:f>
        <x:v>1</x:v>
      </x:c>
      <x:c r="AI789" s="32" t="n">
        <x:f>(Z789+tun_ElderCommons*INDEX(LM_Elder,G789)*AA789)*AH789</x:f>
        <x:v>238215.0665857503</x:v>
      </x:c>
      <x:c r="AJ789" s="32" t="n">
        <x:f>H789*tun_CommonsCoef*AI789^tun_CommonsExp*INDEX(LM_Commons,G789)</x:f>
        <x:v>0</x:v>
      </x:c>
      <x:c r="AK789" s="32" t="n">
        <x:f>H789*tun_RoleScale*Arch_Roles*(AE789*(INDEX(tun_ElderRolePerSett,G789)*tun_OutElder*INDEX(LM_Elder,G789)+INDEX(tun_ShamanPerSett,G789)*tun_OutShaman)+Z789*(INDEX(tun_PriestShare,G789)*tun_OutPriest+INDEX(tun_ScribeShare,G789)*tun_OutScribe*INDEX(LM_Scribe,G789)+INDEX(tun_ScholarShare,G789)*tun_OutScholar*INDEX(LM_Scholar,G789)+INDEX(tun_ResearcherShare,G789)*tun_OutResearcher*INDEX(LM_Researcher,G789)))</x:f>
        <x:v>0</x:v>
      </x:c>
      <x:c r="AL789" s="32" t="n">
        <x:f>H789*tun_RoleScale*Arch_Roles*AE789*INDEX(tun_MonasteryPerSett,G789)*tun_OutMonastery*INDEX(LM_Monastery,G789)</x:f>
        <x:v>0</x:v>
      </x:c>
      <x:c r="AM789" s="32" t="n">
        <x:f>(AJ789+AK789+AL789)/4*INDEX(LM_All,G789)*INDEX(tun_Boon,G789)*Arch_Insight</x:f>
        <x:v>0</x:v>
      </x:c>
      <x:c r="AN789" s="32" t="n">
        <x:f>H789*(tun_KHPerAdult*Z789+tun_KHOfCommons*AJ789/4*INDEX(LM_All,G789))*tun_KHUsable*Arch_KH</x:f>
        <x:v>0</x:v>
      </x:c>
      <x:c r="AO789" s="32" t="n">
        <x:f>MIN(AP788+AN789,AM789*tun_KHMaxRatio)</x:f>
        <x:v>0</x:v>
      </x:c>
      <x:c r="AP789" s="32" t="n">
        <x:f>AP788+AN789-AO789</x:f>
        <x:v>0</x:v>
      </x:c>
      <x:c r="AQ789" s="32" t="n">
        <x:f>AM789+AO789</x:f>
        <x:v>0</x:v>
      </x:c>
      <x:c r="AR789" s="10" t="n">
        <x:f>IF(H789=1,INDEX(tun_Req,G789),0)</x:f>
        <x:v>0</x:v>
      </x:c>
      <x:c r="AS789" s="32" t="n">
        <x:f>IF(H789=1,IF(E789=1,AS788-AR788,AS788)+AQ789,0)</x:f>
        <x:v>0</x:v>
      </x:c>
      <x:c r="AT789" s="11" t="n">
        <x:f>IF(AR789&gt;0,MIN(1,AS789/AR789),1)</x:f>
        <x:v>1</x:v>
      </x:c>
      <x:c r="AU789" s="10" t="n">
        <x:f>AB789/INDEX(tun_RepScale,G789)</x:f>
        <x:v>290.3368848566301</x:v>
      </x:c>
      <x:c r="AV789" s="32" t="n">
        <x:f>AM789*60/tun_SeasonSeconds</x:f>
        <x:v>0</x:v>
      </x:c>
    </x:row>
    <x:row r="790">
      <x:c r="A790" s="8" t="n">
        <x:f>A789+1</x:f>
        <x:v>787</x:v>
      </x:c>
      <x:c r="B790" s="9" t="n">
        <x:f>A790*tun_SeasonSeconds/60</x:f>
        <x:v>196.75</x:v>
      </x:c>
      <x:c r="C790" s="9" t="n">
        <x:f>A790/4</x:f>
        <x:v>196.75</x:v>
      </x:c>
      <x:c r="D790" s="8" t="n">
        <x:f>IF(MOD(A790,4)=0,1,0)</x:f>
        <x:v>0</x:v>
      </x:c>
      <x:c r="E790" s="8" t="n">
        <x:f>IF(AND(F789&lt;=9,AS789&gt;=AR789),1,0)</x:f>
        <x:v>0</x:v>
      </x:c>
      <x:c r="F790" s="8" t="n">
        <x:f>MIN(10,F789+E790)</x:f>
        <x:v>10</x:v>
      </x:c>
      <x:c r="G790" s="8" t="n">
        <x:f>MIN(F790,9)+1</x:f>
        <x:v>10</x:v>
      </x:c>
      <x:c r="H790" s="8" t="n">
        <x:f>IF(F790&lt;=9,1,0)</x:f>
        <x:v>0</x:v>
      </x:c>
      <x:c r="I790" s="9" t="n">
        <x:f>MIN(10,F789+IF(AR789&gt;0,MIN(1,AS789/AR789),1))</x:f>
        <x:v>10</x:v>
      </x:c>
      <x:c r="J790" s="32" t="n">
        <x:f>INDEX(tun_FoodCap,G790)*Arch_FoodCap*EXP(tun_CapsByProject*SUMPRODUCT((Cap_Point&lt;=I790)*(Cap_Kind="Food")*Cap_Ln))</x:f>
        <x:v>18627.260449441455</x:v>
      </x:c>
      <x:c r="K790" s="32" t="n">
        <x:f>J790*MIN(1,tun_LeanBase*EXP(tun_CapsByProject*SUMPRODUCT((Cap_Point&lt;=I790)*(Cap_Kind="Lean")*Cap_Ln)))</x:f>
        <x:v>18627.260449441455</x:v>
      </x:c>
      <x:c r="L790" s="10" t="n">
        <x:f>INDEX(tun_HousingCap,G790)*EXP(tun_CapsByProject*SUMPRODUCT((Cap_Point&lt;=I790)*(Cap_Kind="Housing")*Cap_Ln))</x:f>
        <x:v>20528.974303173167</x:v>
      </x:c>
      <x:c r="M790" s="10" t="n">
        <x:f>INDEX(tun_GroupCap,G790)*tun_CohesionFactor*EXP(tun_CapsByProject*SUMPRODUCT((Cap_Point&lt;=I790)*(Cap_Kind="Group")*Cap_Ln))</x:f>
        <x:v>1000000.000000001</x:v>
      </x:c>
      <x:c r="N790" s="32" t="n">
        <x:f>MIN(J790,L790,M790)</x:f>
        <x:v>18627.260449441455</x:v>
      </x:c>
      <x:c r="O790" s="10" t="n">
        <x:f>AE789*N790</x:f>
        <x:v>167645.34404497308</x:v>
      </x:c>
      <x:c r="P790" s="9" t="n">
        <x:f>MIN(1,(AB789/(AE789*IF(tun_GroupInCrowding=1,N790,MIN(J790,L790))))^tun_CrowdingExp)</x:f>
        <x:v>0.4215841981292809</x:v>
      </x:c>
      <x:c r="Q790" s="9" t="n">
        <x:f>IF(D790=1,INDEX(tun_WinterMult,G790),1)</x:f>
        <x:v>1</x:v>
      </x:c>
      <x:c r="R790" s="9" t="n">
        <x:f>H790*Z789*tun_WomenShare*tun_BaseFertility*INDEX(tun_FertMult,G790)*Arch_Fertility*(1-P790)</x:f>
        <x:v>0</x:v>
      </x:c>
      <x:c r="S790" s="9" t="n">
        <x:f>H790*Y789*INDEX(tun_MortChild,G790)/4*Q790</x:f>
        <x:v>0</x:v>
      </x:c>
      <x:c r="T790" s="9" t="n">
        <x:f>H790*Z789*INDEX(tun_MortAdult,G790)*Arch_AdultMort/4*Q790</x:f>
        <x:v>0</x:v>
      </x:c>
      <x:c r="U790" s="9" t="n">
        <x:f>H790*AA789*INDEX(tun_MortElder,G790)/4*Q790</x:f>
        <x:v>0</x:v>
      </x:c>
      <x:c r="V790" s="9" t="n">
        <x:f>H790*MAX(0,AB789-O790)*tun_OvercapLoss</x:f>
        <x:v>0</x:v>
      </x:c>
      <x:c r="W790" s="9" t="n">
        <x:f>H790*Y789/(tun_ChildYears*4)</x:f>
        <x:v>0</x:v>
      </x:c>
      <x:c r="X790" s="9" t="n">
        <x:f>H790*Z789/(tun_AdultYears*4)</x:f>
        <x:v>0</x:v>
      </x:c>
      <x:c r="Y790" s="32" t="n">
        <x:f>Y789+R790-S790-W790-Y789*V790/AB789</x:f>
        <x:v>40496.20709015643</x:v>
      </x:c>
      <x:c r="Z790" s="32" t="n">
        <x:f>Z789+W790-X790-T790-Z789*V790/AB789</x:f>
        <x:v>59141.61122890803</x:v>
      </x:c>
      <x:c r="AA790" s="32" t="n">
        <x:f>AA789+X790-U790-AA789*V790/AB789</x:f>
        <x:v>45530.62410925061</x:v>
      </x:c>
      <x:c r="AB790" s="10" t="n">
        <x:f>Y790+Z790+AA790</x:f>
        <x:v>145168.44242831506</x:v>
      </x:c>
      <x:c r="AC790" s="8" t="n">
        <x:f>IF(AND(tun_WinterTrigger=1,D790=1,AB789/AE789&gt;=K790),1,0)</x:f>
        <x:v>0</x:v>
      </x:c>
      <x:c r="AD790" s="8" t="n">
        <x:f>H790*IF(AND(OR(AB789/AE789&gt;=tun_FissionTrigger*N790,AC790=1),AB789/AE789*tun_DaughterShare&gt;=tun_MinDaughter),MAX(1,ROUND(AE789*tun_FissionRate,0)),0)</x:f>
        <x:v>0</x:v>
      </x:c>
      <x:c r="AE790" s="8" t="n">
        <x:f>IF(H790=1,MAX(1,MIN(INDEX(tun_Smax,G790),AE789+AD790)),AE789)</x:f>
        <x:v>9</x:v>
      </x:c>
      <x:c r="AF790" s="8" t="n">
        <x:f>MAX(0,AE790-AE789)</x:f>
        <x:v>0</x:v>
      </x:c>
      <x:c r="AG790" s="9" t="str">
        <x:f>IF(AF790&gt;0,B790,"")</x:f>
      </x:c>
      <x:c r="AH790" s="9" t="n">
        <x:f>IF(F790&gt;=1,1,(1+tun_LowTiesShare*(AE790-1))/AE790)</x:f>
        <x:v>1</x:v>
      </x:c>
      <x:c r="AI790" s="32" t="n">
        <x:f>(Z790+tun_ElderCommons*INDEX(LM_Elder,G790)*AA790)*AH790</x:f>
        <x:v>238215.0665857503</x:v>
      </x:c>
      <x:c r="AJ790" s="32" t="n">
        <x:f>H790*tun_CommonsCoef*AI790^tun_CommonsExp*INDEX(LM_Commons,G790)</x:f>
        <x:v>0</x:v>
      </x:c>
      <x:c r="AK790" s="32" t="n">
        <x:f>H790*tun_RoleScale*Arch_Roles*(AE790*(INDEX(tun_ElderRolePerSett,G790)*tun_OutElder*INDEX(LM_Elder,G790)+INDEX(tun_ShamanPerSett,G790)*tun_OutShaman)+Z790*(INDEX(tun_PriestShare,G790)*tun_OutPriest+INDEX(tun_ScribeShare,G790)*tun_OutScribe*INDEX(LM_Scribe,G790)+INDEX(tun_ScholarShare,G790)*tun_OutScholar*INDEX(LM_Scholar,G790)+INDEX(tun_ResearcherShare,G790)*tun_OutResearcher*INDEX(LM_Researcher,G790)))</x:f>
        <x:v>0</x:v>
      </x:c>
      <x:c r="AL790" s="32" t="n">
        <x:f>H790*tun_RoleScale*Arch_Roles*AE790*INDEX(tun_MonasteryPerSett,G790)*tun_OutMonastery*INDEX(LM_Monastery,G790)</x:f>
        <x:v>0</x:v>
      </x:c>
      <x:c r="AM790" s="32" t="n">
        <x:f>(AJ790+AK790+AL790)/4*INDEX(LM_All,G790)*INDEX(tun_Boon,G790)*Arch_Insight</x:f>
        <x:v>0</x:v>
      </x:c>
      <x:c r="AN790" s="32" t="n">
        <x:f>H790*(tun_KHPerAdult*Z790+tun_KHOfCommons*AJ790/4*INDEX(LM_All,G790))*tun_KHUsable*Arch_KH</x:f>
        <x:v>0</x:v>
      </x:c>
      <x:c r="AO790" s="32" t="n">
        <x:f>MIN(AP789+AN790,AM790*tun_KHMaxRatio)</x:f>
        <x:v>0</x:v>
      </x:c>
      <x:c r="AP790" s="32" t="n">
        <x:f>AP789+AN790-AO790</x:f>
        <x:v>0</x:v>
      </x:c>
      <x:c r="AQ790" s="32" t="n">
        <x:f>AM790+AO790</x:f>
        <x:v>0</x:v>
      </x:c>
      <x:c r="AR790" s="10" t="n">
        <x:f>IF(H790=1,INDEX(tun_Req,G790),0)</x:f>
        <x:v>0</x:v>
      </x:c>
      <x:c r="AS790" s="32" t="n">
        <x:f>IF(H790=1,IF(E790=1,AS789-AR789,AS789)+AQ790,0)</x:f>
        <x:v>0</x:v>
      </x:c>
      <x:c r="AT790" s="11" t="n">
        <x:f>IF(AR790&gt;0,MIN(1,AS790/AR790),1)</x:f>
        <x:v>1</x:v>
      </x:c>
      <x:c r="AU790" s="10" t="n">
        <x:f>AB790/INDEX(tun_RepScale,G790)</x:f>
        <x:v>290.3368848566301</x:v>
      </x:c>
      <x:c r="AV790" s="32" t="n">
        <x:f>AM790*60/tun_SeasonSeconds</x:f>
        <x:v>0</x:v>
      </x:c>
    </x:row>
    <x:row r="791">
      <x:c r="A791" s="8" t="n">
        <x:f>A790+1</x:f>
        <x:v>788</x:v>
      </x:c>
      <x:c r="B791" s="9" t="n">
        <x:f>A791*tun_SeasonSeconds/60</x:f>
        <x:v>197</x:v>
      </x:c>
      <x:c r="C791" s="9" t="n">
        <x:f>A791/4</x:f>
        <x:v>197</x:v>
      </x:c>
      <x:c r="D791" s="8" t="n">
        <x:f>IF(MOD(A791,4)=0,1,0)</x:f>
        <x:v>1</x:v>
      </x:c>
      <x:c r="E791" s="8" t="n">
        <x:f>IF(AND(F790&lt;=9,AS790&gt;=AR790),1,0)</x:f>
        <x:v>0</x:v>
      </x:c>
      <x:c r="F791" s="8" t="n">
        <x:f>MIN(10,F790+E791)</x:f>
        <x:v>10</x:v>
      </x:c>
      <x:c r="G791" s="8" t="n">
        <x:f>MIN(F791,9)+1</x:f>
        <x:v>10</x:v>
      </x:c>
      <x:c r="H791" s="8" t="n">
        <x:f>IF(F791&lt;=9,1,0)</x:f>
        <x:v>0</x:v>
      </x:c>
      <x:c r="I791" s="9" t="n">
        <x:f>MIN(10,F790+IF(AR790&gt;0,MIN(1,AS790/AR790),1))</x:f>
        <x:v>10</x:v>
      </x:c>
      <x:c r="J791" s="32" t="n">
        <x:f>INDEX(tun_FoodCap,G791)*Arch_FoodCap*EXP(tun_CapsByProject*SUMPRODUCT((Cap_Point&lt;=I791)*(Cap_Kind="Food")*Cap_Ln))</x:f>
        <x:v>18627.260449441455</x:v>
      </x:c>
      <x:c r="K791" s="32" t="n">
        <x:f>J791*MIN(1,tun_LeanBase*EXP(tun_CapsByProject*SUMPRODUCT((Cap_Point&lt;=I791)*(Cap_Kind="Lean")*Cap_Ln)))</x:f>
        <x:v>18627.260449441455</x:v>
      </x:c>
      <x:c r="L791" s="10" t="n">
        <x:f>INDEX(tun_HousingCap,G791)*EXP(tun_CapsByProject*SUMPRODUCT((Cap_Point&lt;=I791)*(Cap_Kind="Housing")*Cap_Ln))</x:f>
        <x:v>20528.974303173167</x:v>
      </x:c>
      <x:c r="M791" s="10" t="n">
        <x:f>INDEX(tun_GroupCap,G791)*tun_CohesionFactor*EXP(tun_CapsByProject*SUMPRODUCT((Cap_Point&lt;=I791)*(Cap_Kind="Group")*Cap_Ln))</x:f>
        <x:v>1000000.000000001</x:v>
      </x:c>
      <x:c r="N791" s="32" t="n">
        <x:f>MIN(J791,L791,M791)</x:f>
        <x:v>18627.260449441455</x:v>
      </x:c>
      <x:c r="O791" s="10" t="n">
        <x:f>AE790*N791</x:f>
        <x:v>167645.34404497308</x:v>
      </x:c>
      <x:c r="P791" s="9" t="n">
        <x:f>MIN(1,(AB790/(AE790*IF(tun_GroupInCrowding=1,N791,MIN(J791,L791))))^tun_CrowdingExp)</x:f>
        <x:v>0.4215841981292809</x:v>
      </x:c>
      <x:c r="Q791" s="9" t="n">
        <x:f>IF(D791=1,INDEX(tun_WinterMult,G791),1)</x:f>
        <x:v>1.05</x:v>
      </x:c>
      <x:c r="R791" s="9" t="n">
        <x:f>H791*Z790*tun_WomenShare*tun_BaseFertility*INDEX(tun_FertMult,G791)*Arch_Fertility*(1-P791)</x:f>
        <x:v>0</x:v>
      </x:c>
      <x:c r="S791" s="9" t="n">
        <x:f>H791*Y790*INDEX(tun_MortChild,G791)/4*Q791</x:f>
        <x:v>0</x:v>
      </x:c>
      <x:c r="T791" s="9" t="n">
        <x:f>H791*Z790*INDEX(tun_MortAdult,G791)*Arch_AdultMort/4*Q791</x:f>
        <x:v>0</x:v>
      </x:c>
      <x:c r="U791" s="9" t="n">
        <x:f>H791*AA790*INDEX(tun_MortElder,G791)/4*Q791</x:f>
        <x:v>0</x:v>
      </x:c>
      <x:c r="V791" s="9" t="n">
        <x:f>H791*MAX(0,AB790-O791)*tun_OvercapLoss</x:f>
        <x:v>0</x:v>
      </x:c>
      <x:c r="W791" s="9" t="n">
        <x:f>H791*Y790/(tun_ChildYears*4)</x:f>
        <x:v>0</x:v>
      </x:c>
      <x:c r="X791" s="9" t="n">
        <x:f>H791*Z790/(tun_AdultYears*4)</x:f>
        <x:v>0</x:v>
      </x:c>
      <x:c r="Y791" s="32" t="n">
        <x:f>Y790+R791-S791-W791-Y790*V791/AB790</x:f>
        <x:v>40496.20709015643</x:v>
      </x:c>
      <x:c r="Z791" s="32" t="n">
        <x:f>Z790+W791-X791-T791-Z790*V791/AB790</x:f>
        <x:v>59141.61122890803</x:v>
      </x:c>
      <x:c r="AA791" s="32" t="n">
        <x:f>AA790+X791-U791-AA790*V791/AB790</x:f>
        <x:v>45530.62410925061</x:v>
      </x:c>
      <x:c r="AB791" s="10" t="n">
        <x:f>Y791+Z791+AA791</x:f>
        <x:v>145168.44242831506</x:v>
      </x:c>
      <x:c r="AC791" s="8" t="n">
        <x:f>IF(AND(tun_WinterTrigger=1,D791=1,AB790/AE790&gt;=K791),1,0)</x:f>
        <x:v>0</x:v>
      </x:c>
      <x:c r="AD791" s="8" t="n">
        <x:f>H791*IF(AND(OR(AB790/AE790&gt;=tun_FissionTrigger*N791,AC791=1),AB790/AE790*tun_DaughterShare&gt;=tun_MinDaughter),MAX(1,ROUND(AE790*tun_FissionRate,0)),0)</x:f>
        <x:v>0</x:v>
      </x:c>
      <x:c r="AE791" s="8" t="n">
        <x:f>IF(H791=1,MAX(1,MIN(INDEX(tun_Smax,G791),AE790+AD791)),AE790)</x:f>
        <x:v>9</x:v>
      </x:c>
      <x:c r="AF791" s="8" t="n">
        <x:f>MAX(0,AE791-AE790)</x:f>
        <x:v>0</x:v>
      </x:c>
      <x:c r="AG791" s="9" t="str">
        <x:f>IF(AF791&gt;0,B791,"")</x:f>
      </x:c>
      <x:c r="AH791" s="9" t="n">
        <x:f>IF(F791&gt;=1,1,(1+tun_LowTiesShare*(AE791-1))/AE791)</x:f>
        <x:v>1</x:v>
      </x:c>
      <x:c r="AI791" s="32" t="n">
        <x:f>(Z791+tun_ElderCommons*INDEX(LM_Elder,G791)*AA791)*AH791</x:f>
        <x:v>238215.0665857503</x:v>
      </x:c>
      <x:c r="AJ791" s="32" t="n">
        <x:f>H791*tun_CommonsCoef*AI791^tun_CommonsExp*INDEX(LM_Commons,G791)</x:f>
        <x:v>0</x:v>
      </x:c>
      <x:c r="AK791" s="32" t="n">
        <x:f>H791*tun_RoleScale*Arch_Roles*(AE791*(INDEX(tun_ElderRolePerSett,G791)*tun_OutElder*INDEX(LM_Elder,G791)+INDEX(tun_ShamanPerSett,G791)*tun_OutShaman)+Z791*(INDEX(tun_PriestShare,G791)*tun_OutPriest+INDEX(tun_ScribeShare,G791)*tun_OutScribe*INDEX(LM_Scribe,G791)+INDEX(tun_ScholarShare,G791)*tun_OutScholar*INDEX(LM_Scholar,G791)+INDEX(tun_ResearcherShare,G791)*tun_OutResearcher*INDEX(LM_Researcher,G791)))</x:f>
        <x:v>0</x:v>
      </x:c>
      <x:c r="AL791" s="32" t="n">
        <x:f>H791*tun_RoleScale*Arch_Roles*AE791*INDEX(tun_MonasteryPerSett,G791)*tun_OutMonastery*INDEX(LM_Monastery,G791)</x:f>
        <x:v>0</x:v>
      </x:c>
      <x:c r="AM791" s="32" t="n">
        <x:f>(AJ791+AK791+AL791)/4*INDEX(LM_All,G791)*INDEX(tun_Boon,G791)*Arch_Insight</x:f>
        <x:v>0</x:v>
      </x:c>
      <x:c r="AN791" s="32" t="n">
        <x:f>H791*(tun_KHPerAdult*Z791+tun_KHOfCommons*AJ791/4*INDEX(LM_All,G791))*tun_KHUsable*Arch_KH</x:f>
        <x:v>0</x:v>
      </x:c>
      <x:c r="AO791" s="32" t="n">
        <x:f>MIN(AP790+AN791,AM791*tun_KHMaxRatio)</x:f>
        <x:v>0</x:v>
      </x:c>
      <x:c r="AP791" s="32" t="n">
        <x:f>AP790+AN791-AO791</x:f>
        <x:v>0</x:v>
      </x:c>
      <x:c r="AQ791" s="32" t="n">
        <x:f>AM791+AO791</x:f>
        <x:v>0</x:v>
      </x:c>
      <x:c r="AR791" s="10" t="n">
        <x:f>IF(H791=1,INDEX(tun_Req,G791),0)</x:f>
        <x:v>0</x:v>
      </x:c>
      <x:c r="AS791" s="32" t="n">
        <x:f>IF(H791=1,IF(E791=1,AS790-AR790,AS790)+AQ791,0)</x:f>
        <x:v>0</x:v>
      </x:c>
      <x:c r="AT791" s="11" t="n">
        <x:f>IF(AR791&gt;0,MIN(1,AS791/AR791),1)</x:f>
        <x:v>1</x:v>
      </x:c>
      <x:c r="AU791" s="10" t="n">
        <x:f>AB791/INDEX(tun_RepScale,G791)</x:f>
        <x:v>290.3368848566301</x:v>
      </x:c>
      <x:c r="AV791" s="32" t="n">
        <x:f>AM791*60/tun_SeasonSeconds</x:f>
        <x:v>0</x:v>
      </x:c>
    </x:row>
    <x:row r="792">
      <x:c r="A792" s="8" t="n">
        <x:f>A791+1</x:f>
        <x:v>789</x:v>
      </x:c>
      <x:c r="B792" s="9" t="n">
        <x:f>A792*tun_SeasonSeconds/60</x:f>
        <x:v>197.25</x:v>
      </x:c>
      <x:c r="C792" s="9" t="n">
        <x:f>A792/4</x:f>
        <x:v>197.25</x:v>
      </x:c>
      <x:c r="D792" s="8" t="n">
        <x:f>IF(MOD(A792,4)=0,1,0)</x:f>
        <x:v>0</x:v>
      </x:c>
      <x:c r="E792" s="8" t="n">
        <x:f>IF(AND(F791&lt;=9,AS791&gt;=AR791),1,0)</x:f>
        <x:v>0</x:v>
      </x:c>
      <x:c r="F792" s="8" t="n">
        <x:f>MIN(10,F791+E792)</x:f>
        <x:v>10</x:v>
      </x:c>
      <x:c r="G792" s="8" t="n">
        <x:f>MIN(F792,9)+1</x:f>
        <x:v>10</x:v>
      </x:c>
      <x:c r="H792" s="8" t="n">
        <x:f>IF(F792&lt;=9,1,0)</x:f>
        <x:v>0</x:v>
      </x:c>
      <x:c r="I792" s="9" t="n">
        <x:f>MIN(10,F791+IF(AR791&gt;0,MIN(1,AS791/AR791),1))</x:f>
        <x:v>10</x:v>
      </x:c>
      <x:c r="J792" s="32" t="n">
        <x:f>INDEX(tun_FoodCap,G792)*Arch_FoodCap*EXP(tun_CapsByProject*SUMPRODUCT((Cap_Point&lt;=I792)*(Cap_Kind="Food")*Cap_Ln))</x:f>
        <x:v>18627.260449441455</x:v>
      </x:c>
      <x:c r="K792" s="32" t="n">
        <x:f>J792*MIN(1,tun_LeanBase*EXP(tun_CapsByProject*SUMPRODUCT((Cap_Point&lt;=I792)*(Cap_Kind="Lean")*Cap_Ln)))</x:f>
        <x:v>18627.260449441455</x:v>
      </x:c>
      <x:c r="L792" s="10" t="n">
        <x:f>INDEX(tun_HousingCap,G792)*EXP(tun_CapsByProject*SUMPRODUCT((Cap_Point&lt;=I792)*(Cap_Kind="Housing")*Cap_Ln))</x:f>
        <x:v>20528.974303173167</x:v>
      </x:c>
      <x:c r="M792" s="10" t="n">
        <x:f>INDEX(tun_GroupCap,G792)*tun_CohesionFactor*EXP(tun_CapsByProject*SUMPRODUCT((Cap_Point&lt;=I792)*(Cap_Kind="Group")*Cap_Ln))</x:f>
        <x:v>1000000.000000001</x:v>
      </x:c>
      <x:c r="N792" s="32" t="n">
        <x:f>MIN(J792,L792,M792)</x:f>
        <x:v>18627.260449441455</x:v>
      </x:c>
      <x:c r="O792" s="10" t="n">
        <x:f>AE791*N792</x:f>
        <x:v>167645.34404497308</x:v>
      </x:c>
      <x:c r="P792" s="9" t="n">
        <x:f>MIN(1,(AB791/(AE791*IF(tun_GroupInCrowding=1,N792,MIN(J792,L792))))^tun_CrowdingExp)</x:f>
        <x:v>0.4215841981292809</x:v>
      </x:c>
      <x:c r="Q792" s="9" t="n">
        <x:f>IF(D792=1,INDEX(tun_WinterMult,G792),1)</x:f>
        <x:v>1</x:v>
      </x:c>
      <x:c r="R792" s="9" t="n">
        <x:f>H792*Z791*tun_WomenShare*tun_BaseFertility*INDEX(tun_FertMult,G792)*Arch_Fertility*(1-P792)</x:f>
        <x:v>0</x:v>
      </x:c>
      <x:c r="S792" s="9" t="n">
        <x:f>H792*Y791*INDEX(tun_MortChild,G792)/4*Q792</x:f>
        <x:v>0</x:v>
      </x:c>
      <x:c r="T792" s="9" t="n">
        <x:f>H792*Z791*INDEX(tun_MortAdult,G792)*Arch_AdultMort/4*Q792</x:f>
        <x:v>0</x:v>
      </x:c>
      <x:c r="U792" s="9" t="n">
        <x:f>H792*AA791*INDEX(tun_MortElder,G792)/4*Q792</x:f>
        <x:v>0</x:v>
      </x:c>
      <x:c r="V792" s="9" t="n">
        <x:f>H792*MAX(0,AB791-O792)*tun_OvercapLoss</x:f>
        <x:v>0</x:v>
      </x:c>
      <x:c r="W792" s="9" t="n">
        <x:f>H792*Y791/(tun_ChildYears*4)</x:f>
        <x:v>0</x:v>
      </x:c>
      <x:c r="X792" s="9" t="n">
        <x:f>H792*Z791/(tun_AdultYears*4)</x:f>
        <x:v>0</x:v>
      </x:c>
      <x:c r="Y792" s="32" t="n">
        <x:f>Y791+R792-S792-W792-Y791*V792/AB791</x:f>
        <x:v>40496.20709015643</x:v>
      </x:c>
      <x:c r="Z792" s="32" t="n">
        <x:f>Z791+W792-X792-T792-Z791*V792/AB791</x:f>
        <x:v>59141.61122890803</x:v>
      </x:c>
      <x:c r="AA792" s="32" t="n">
        <x:f>AA791+X792-U792-AA791*V792/AB791</x:f>
        <x:v>45530.62410925061</x:v>
      </x:c>
      <x:c r="AB792" s="10" t="n">
        <x:f>Y792+Z792+AA792</x:f>
        <x:v>145168.44242831506</x:v>
      </x:c>
      <x:c r="AC792" s="8" t="n">
        <x:f>IF(AND(tun_WinterTrigger=1,D792=1,AB791/AE791&gt;=K792),1,0)</x:f>
        <x:v>0</x:v>
      </x:c>
      <x:c r="AD792" s="8" t="n">
        <x:f>H792*IF(AND(OR(AB791/AE791&gt;=tun_FissionTrigger*N792,AC792=1),AB791/AE791*tun_DaughterShare&gt;=tun_MinDaughter),MAX(1,ROUND(AE791*tun_FissionRate,0)),0)</x:f>
        <x:v>0</x:v>
      </x:c>
      <x:c r="AE792" s="8" t="n">
        <x:f>IF(H792=1,MAX(1,MIN(INDEX(tun_Smax,G792),AE791+AD792)),AE791)</x:f>
        <x:v>9</x:v>
      </x:c>
      <x:c r="AF792" s="8" t="n">
        <x:f>MAX(0,AE792-AE791)</x:f>
        <x:v>0</x:v>
      </x:c>
      <x:c r="AG792" s="9" t="str">
        <x:f>IF(AF792&gt;0,B792,"")</x:f>
      </x:c>
      <x:c r="AH792" s="9" t="n">
        <x:f>IF(F792&gt;=1,1,(1+tun_LowTiesShare*(AE792-1))/AE792)</x:f>
        <x:v>1</x:v>
      </x:c>
      <x:c r="AI792" s="32" t="n">
        <x:f>(Z792+tun_ElderCommons*INDEX(LM_Elder,G792)*AA792)*AH792</x:f>
        <x:v>238215.0665857503</x:v>
      </x:c>
      <x:c r="AJ792" s="32" t="n">
        <x:f>H792*tun_CommonsCoef*AI792^tun_CommonsExp*INDEX(LM_Commons,G792)</x:f>
        <x:v>0</x:v>
      </x:c>
      <x:c r="AK792" s="32" t="n">
        <x:f>H792*tun_RoleScale*Arch_Roles*(AE792*(INDEX(tun_ElderRolePerSett,G792)*tun_OutElder*INDEX(LM_Elder,G792)+INDEX(tun_ShamanPerSett,G792)*tun_OutShaman)+Z792*(INDEX(tun_PriestShare,G792)*tun_OutPriest+INDEX(tun_ScribeShare,G792)*tun_OutScribe*INDEX(LM_Scribe,G792)+INDEX(tun_ScholarShare,G792)*tun_OutScholar*INDEX(LM_Scholar,G792)+INDEX(tun_ResearcherShare,G792)*tun_OutResearcher*INDEX(LM_Researcher,G792)))</x:f>
        <x:v>0</x:v>
      </x:c>
      <x:c r="AL792" s="32" t="n">
        <x:f>H792*tun_RoleScale*Arch_Roles*AE792*INDEX(tun_MonasteryPerSett,G792)*tun_OutMonastery*INDEX(LM_Monastery,G792)</x:f>
        <x:v>0</x:v>
      </x:c>
      <x:c r="AM792" s="32" t="n">
        <x:f>(AJ792+AK792+AL792)/4*INDEX(LM_All,G792)*INDEX(tun_Boon,G792)*Arch_Insight</x:f>
        <x:v>0</x:v>
      </x:c>
      <x:c r="AN792" s="32" t="n">
        <x:f>H792*(tun_KHPerAdult*Z792+tun_KHOfCommons*AJ792/4*INDEX(LM_All,G792))*tun_KHUsable*Arch_KH</x:f>
        <x:v>0</x:v>
      </x:c>
      <x:c r="AO792" s="32" t="n">
        <x:f>MIN(AP791+AN792,AM792*tun_KHMaxRatio)</x:f>
        <x:v>0</x:v>
      </x:c>
      <x:c r="AP792" s="32" t="n">
        <x:f>AP791+AN792-AO792</x:f>
        <x:v>0</x:v>
      </x:c>
      <x:c r="AQ792" s="32" t="n">
        <x:f>AM792+AO792</x:f>
        <x:v>0</x:v>
      </x:c>
      <x:c r="AR792" s="10" t="n">
        <x:f>IF(H792=1,INDEX(tun_Req,G792),0)</x:f>
        <x:v>0</x:v>
      </x:c>
      <x:c r="AS792" s="32" t="n">
        <x:f>IF(H792=1,IF(E792=1,AS791-AR791,AS791)+AQ792,0)</x:f>
        <x:v>0</x:v>
      </x:c>
      <x:c r="AT792" s="11" t="n">
        <x:f>IF(AR792&gt;0,MIN(1,AS792/AR792),1)</x:f>
        <x:v>1</x:v>
      </x:c>
      <x:c r="AU792" s="10" t="n">
        <x:f>AB792/INDEX(tun_RepScale,G792)</x:f>
        <x:v>290.3368848566301</x:v>
      </x:c>
      <x:c r="AV792" s="32" t="n">
        <x:f>AM792*60/tun_SeasonSeconds</x:f>
        <x:v>0</x:v>
      </x:c>
    </x:row>
    <x:row r="793">
      <x:c r="A793" s="8" t="n">
        <x:f>A792+1</x:f>
        <x:v>790</x:v>
      </x:c>
      <x:c r="B793" s="9" t="n">
        <x:f>A793*tun_SeasonSeconds/60</x:f>
        <x:v>197.5</x:v>
      </x:c>
      <x:c r="C793" s="9" t="n">
        <x:f>A793/4</x:f>
        <x:v>197.5</x:v>
      </x:c>
      <x:c r="D793" s="8" t="n">
        <x:f>IF(MOD(A793,4)=0,1,0)</x:f>
        <x:v>0</x:v>
      </x:c>
      <x:c r="E793" s="8" t="n">
        <x:f>IF(AND(F792&lt;=9,AS792&gt;=AR792),1,0)</x:f>
        <x:v>0</x:v>
      </x:c>
      <x:c r="F793" s="8" t="n">
        <x:f>MIN(10,F792+E793)</x:f>
        <x:v>10</x:v>
      </x:c>
      <x:c r="G793" s="8" t="n">
        <x:f>MIN(F793,9)+1</x:f>
        <x:v>10</x:v>
      </x:c>
      <x:c r="H793" s="8" t="n">
        <x:f>IF(F793&lt;=9,1,0)</x:f>
        <x:v>0</x:v>
      </x:c>
      <x:c r="I793" s="9" t="n">
        <x:f>MIN(10,F792+IF(AR792&gt;0,MIN(1,AS792/AR792),1))</x:f>
        <x:v>10</x:v>
      </x:c>
      <x:c r="J793" s="32" t="n">
        <x:f>INDEX(tun_FoodCap,G793)*Arch_FoodCap*EXP(tun_CapsByProject*SUMPRODUCT((Cap_Point&lt;=I793)*(Cap_Kind="Food")*Cap_Ln))</x:f>
        <x:v>18627.260449441455</x:v>
      </x:c>
      <x:c r="K793" s="32" t="n">
        <x:f>J793*MIN(1,tun_LeanBase*EXP(tun_CapsByProject*SUMPRODUCT((Cap_Point&lt;=I793)*(Cap_Kind="Lean")*Cap_Ln)))</x:f>
        <x:v>18627.260449441455</x:v>
      </x:c>
      <x:c r="L793" s="10" t="n">
        <x:f>INDEX(tun_HousingCap,G793)*EXP(tun_CapsByProject*SUMPRODUCT((Cap_Point&lt;=I793)*(Cap_Kind="Housing")*Cap_Ln))</x:f>
        <x:v>20528.974303173167</x:v>
      </x:c>
      <x:c r="M793" s="10" t="n">
        <x:f>INDEX(tun_GroupCap,G793)*tun_CohesionFactor*EXP(tun_CapsByProject*SUMPRODUCT((Cap_Point&lt;=I793)*(Cap_Kind="Group")*Cap_Ln))</x:f>
        <x:v>1000000.000000001</x:v>
      </x:c>
      <x:c r="N793" s="32" t="n">
        <x:f>MIN(J793,L793,M793)</x:f>
        <x:v>18627.260449441455</x:v>
      </x:c>
      <x:c r="O793" s="10" t="n">
        <x:f>AE792*N793</x:f>
        <x:v>167645.34404497308</x:v>
      </x:c>
      <x:c r="P793" s="9" t="n">
        <x:f>MIN(1,(AB792/(AE792*IF(tun_GroupInCrowding=1,N793,MIN(J793,L793))))^tun_CrowdingExp)</x:f>
        <x:v>0.4215841981292809</x:v>
      </x:c>
      <x:c r="Q793" s="9" t="n">
        <x:f>IF(D793=1,INDEX(tun_WinterMult,G793),1)</x:f>
        <x:v>1</x:v>
      </x:c>
      <x:c r="R793" s="9" t="n">
        <x:f>H793*Z792*tun_WomenShare*tun_BaseFertility*INDEX(tun_FertMult,G793)*Arch_Fertility*(1-P793)</x:f>
        <x:v>0</x:v>
      </x:c>
      <x:c r="S793" s="9" t="n">
        <x:f>H793*Y792*INDEX(tun_MortChild,G793)/4*Q793</x:f>
        <x:v>0</x:v>
      </x:c>
      <x:c r="T793" s="9" t="n">
        <x:f>H793*Z792*INDEX(tun_MortAdult,G793)*Arch_AdultMort/4*Q793</x:f>
        <x:v>0</x:v>
      </x:c>
      <x:c r="U793" s="9" t="n">
        <x:f>H793*AA792*INDEX(tun_MortElder,G793)/4*Q793</x:f>
        <x:v>0</x:v>
      </x:c>
      <x:c r="V793" s="9" t="n">
        <x:f>H793*MAX(0,AB792-O793)*tun_OvercapLoss</x:f>
        <x:v>0</x:v>
      </x:c>
      <x:c r="W793" s="9" t="n">
        <x:f>H793*Y792/(tun_ChildYears*4)</x:f>
        <x:v>0</x:v>
      </x:c>
      <x:c r="X793" s="9" t="n">
        <x:f>H793*Z792/(tun_AdultYears*4)</x:f>
        <x:v>0</x:v>
      </x:c>
      <x:c r="Y793" s="32" t="n">
        <x:f>Y792+R793-S793-W793-Y792*V793/AB792</x:f>
        <x:v>40496.20709015643</x:v>
      </x:c>
      <x:c r="Z793" s="32" t="n">
        <x:f>Z792+W793-X793-T793-Z792*V793/AB792</x:f>
        <x:v>59141.61122890803</x:v>
      </x:c>
      <x:c r="AA793" s="32" t="n">
        <x:f>AA792+X793-U793-AA792*V793/AB792</x:f>
        <x:v>45530.62410925061</x:v>
      </x:c>
      <x:c r="AB793" s="10" t="n">
        <x:f>Y793+Z793+AA793</x:f>
        <x:v>145168.44242831506</x:v>
      </x:c>
      <x:c r="AC793" s="8" t="n">
        <x:f>IF(AND(tun_WinterTrigger=1,D793=1,AB792/AE792&gt;=K793),1,0)</x:f>
        <x:v>0</x:v>
      </x:c>
      <x:c r="AD793" s="8" t="n">
        <x:f>H793*IF(AND(OR(AB792/AE792&gt;=tun_FissionTrigger*N793,AC793=1),AB792/AE792*tun_DaughterShare&gt;=tun_MinDaughter),MAX(1,ROUND(AE792*tun_FissionRate,0)),0)</x:f>
        <x:v>0</x:v>
      </x:c>
      <x:c r="AE793" s="8" t="n">
        <x:f>IF(H793=1,MAX(1,MIN(INDEX(tun_Smax,G793),AE792+AD793)),AE792)</x:f>
        <x:v>9</x:v>
      </x:c>
      <x:c r="AF793" s="8" t="n">
        <x:f>MAX(0,AE793-AE792)</x:f>
        <x:v>0</x:v>
      </x:c>
      <x:c r="AG793" s="9" t="str">
        <x:f>IF(AF793&gt;0,B793,"")</x:f>
      </x:c>
      <x:c r="AH793" s="9" t="n">
        <x:f>IF(F793&gt;=1,1,(1+tun_LowTiesShare*(AE793-1))/AE793)</x:f>
        <x:v>1</x:v>
      </x:c>
      <x:c r="AI793" s="32" t="n">
        <x:f>(Z793+tun_ElderCommons*INDEX(LM_Elder,G793)*AA793)*AH793</x:f>
        <x:v>238215.0665857503</x:v>
      </x:c>
      <x:c r="AJ793" s="32" t="n">
        <x:f>H793*tun_CommonsCoef*AI793^tun_CommonsExp*INDEX(LM_Commons,G793)</x:f>
        <x:v>0</x:v>
      </x:c>
      <x:c r="AK793" s="32" t="n">
        <x:f>H793*tun_RoleScale*Arch_Roles*(AE793*(INDEX(tun_ElderRolePerSett,G793)*tun_OutElder*INDEX(LM_Elder,G793)+INDEX(tun_ShamanPerSett,G793)*tun_OutShaman)+Z793*(INDEX(tun_PriestShare,G793)*tun_OutPriest+INDEX(tun_ScribeShare,G793)*tun_OutScribe*INDEX(LM_Scribe,G793)+INDEX(tun_ScholarShare,G793)*tun_OutScholar*INDEX(LM_Scholar,G793)+INDEX(tun_ResearcherShare,G793)*tun_OutResearcher*INDEX(LM_Researcher,G793)))</x:f>
        <x:v>0</x:v>
      </x:c>
      <x:c r="AL793" s="32" t="n">
        <x:f>H793*tun_RoleScale*Arch_Roles*AE793*INDEX(tun_MonasteryPerSett,G793)*tun_OutMonastery*INDEX(LM_Monastery,G793)</x:f>
        <x:v>0</x:v>
      </x:c>
      <x:c r="AM793" s="32" t="n">
        <x:f>(AJ793+AK793+AL793)/4*INDEX(LM_All,G793)*INDEX(tun_Boon,G793)*Arch_Insight</x:f>
        <x:v>0</x:v>
      </x:c>
      <x:c r="AN793" s="32" t="n">
        <x:f>H793*(tun_KHPerAdult*Z793+tun_KHOfCommons*AJ793/4*INDEX(LM_All,G793))*tun_KHUsable*Arch_KH</x:f>
        <x:v>0</x:v>
      </x:c>
      <x:c r="AO793" s="32" t="n">
        <x:f>MIN(AP792+AN793,AM793*tun_KHMaxRatio)</x:f>
        <x:v>0</x:v>
      </x:c>
      <x:c r="AP793" s="32" t="n">
        <x:f>AP792+AN793-AO793</x:f>
        <x:v>0</x:v>
      </x:c>
      <x:c r="AQ793" s="32" t="n">
        <x:f>AM793+AO793</x:f>
        <x:v>0</x:v>
      </x:c>
      <x:c r="AR793" s="10" t="n">
        <x:f>IF(H793=1,INDEX(tun_Req,G793),0)</x:f>
        <x:v>0</x:v>
      </x:c>
      <x:c r="AS793" s="32" t="n">
        <x:f>IF(H793=1,IF(E793=1,AS792-AR792,AS792)+AQ793,0)</x:f>
        <x:v>0</x:v>
      </x:c>
      <x:c r="AT793" s="11" t="n">
        <x:f>IF(AR793&gt;0,MIN(1,AS793/AR793),1)</x:f>
        <x:v>1</x:v>
      </x:c>
      <x:c r="AU793" s="10" t="n">
        <x:f>AB793/INDEX(tun_RepScale,G793)</x:f>
        <x:v>290.3368848566301</x:v>
      </x:c>
      <x:c r="AV793" s="32" t="n">
        <x:f>AM793*60/tun_SeasonSeconds</x:f>
        <x:v>0</x:v>
      </x:c>
    </x:row>
    <x:row r="794">
      <x:c r="A794" s="8" t="n">
        <x:f>A793+1</x:f>
        <x:v>791</x:v>
      </x:c>
      <x:c r="B794" s="9" t="n">
        <x:f>A794*tun_SeasonSeconds/60</x:f>
        <x:v>197.75</x:v>
      </x:c>
      <x:c r="C794" s="9" t="n">
        <x:f>A794/4</x:f>
        <x:v>197.75</x:v>
      </x:c>
      <x:c r="D794" s="8" t="n">
        <x:f>IF(MOD(A794,4)=0,1,0)</x:f>
        <x:v>0</x:v>
      </x:c>
      <x:c r="E794" s="8" t="n">
        <x:f>IF(AND(F793&lt;=9,AS793&gt;=AR793),1,0)</x:f>
        <x:v>0</x:v>
      </x:c>
      <x:c r="F794" s="8" t="n">
        <x:f>MIN(10,F793+E794)</x:f>
        <x:v>10</x:v>
      </x:c>
      <x:c r="G794" s="8" t="n">
        <x:f>MIN(F794,9)+1</x:f>
        <x:v>10</x:v>
      </x:c>
      <x:c r="H794" s="8" t="n">
        <x:f>IF(F794&lt;=9,1,0)</x:f>
        <x:v>0</x:v>
      </x:c>
      <x:c r="I794" s="9" t="n">
        <x:f>MIN(10,F793+IF(AR793&gt;0,MIN(1,AS793/AR793),1))</x:f>
        <x:v>10</x:v>
      </x:c>
      <x:c r="J794" s="32" t="n">
        <x:f>INDEX(tun_FoodCap,G794)*Arch_FoodCap*EXP(tun_CapsByProject*SUMPRODUCT((Cap_Point&lt;=I794)*(Cap_Kind="Food")*Cap_Ln))</x:f>
        <x:v>18627.260449441455</x:v>
      </x:c>
      <x:c r="K794" s="32" t="n">
        <x:f>J794*MIN(1,tun_LeanBase*EXP(tun_CapsByProject*SUMPRODUCT((Cap_Point&lt;=I794)*(Cap_Kind="Lean")*Cap_Ln)))</x:f>
        <x:v>18627.260449441455</x:v>
      </x:c>
      <x:c r="L794" s="10" t="n">
        <x:f>INDEX(tun_HousingCap,G794)*EXP(tun_CapsByProject*SUMPRODUCT((Cap_Point&lt;=I794)*(Cap_Kind="Housing")*Cap_Ln))</x:f>
        <x:v>20528.974303173167</x:v>
      </x:c>
      <x:c r="M794" s="10" t="n">
        <x:f>INDEX(tun_GroupCap,G794)*tun_CohesionFactor*EXP(tun_CapsByProject*SUMPRODUCT((Cap_Point&lt;=I794)*(Cap_Kind="Group")*Cap_Ln))</x:f>
        <x:v>1000000.000000001</x:v>
      </x:c>
      <x:c r="N794" s="32" t="n">
        <x:f>MIN(J794,L794,M794)</x:f>
        <x:v>18627.260449441455</x:v>
      </x:c>
      <x:c r="O794" s="10" t="n">
        <x:f>AE793*N794</x:f>
        <x:v>167645.34404497308</x:v>
      </x:c>
      <x:c r="P794" s="9" t="n">
        <x:f>MIN(1,(AB793/(AE793*IF(tun_GroupInCrowding=1,N794,MIN(J794,L794))))^tun_CrowdingExp)</x:f>
        <x:v>0.4215841981292809</x:v>
      </x:c>
      <x:c r="Q794" s="9" t="n">
        <x:f>IF(D794=1,INDEX(tun_WinterMult,G794),1)</x:f>
        <x:v>1</x:v>
      </x:c>
      <x:c r="R794" s="9" t="n">
        <x:f>H794*Z793*tun_WomenShare*tun_BaseFertility*INDEX(tun_FertMult,G794)*Arch_Fertility*(1-P794)</x:f>
        <x:v>0</x:v>
      </x:c>
      <x:c r="S794" s="9" t="n">
        <x:f>H794*Y793*INDEX(tun_MortChild,G794)/4*Q794</x:f>
        <x:v>0</x:v>
      </x:c>
      <x:c r="T794" s="9" t="n">
        <x:f>H794*Z793*INDEX(tun_MortAdult,G794)*Arch_AdultMort/4*Q794</x:f>
        <x:v>0</x:v>
      </x:c>
      <x:c r="U794" s="9" t="n">
        <x:f>H794*AA793*INDEX(tun_MortElder,G794)/4*Q794</x:f>
        <x:v>0</x:v>
      </x:c>
      <x:c r="V794" s="9" t="n">
        <x:f>H794*MAX(0,AB793-O794)*tun_OvercapLoss</x:f>
        <x:v>0</x:v>
      </x:c>
      <x:c r="W794" s="9" t="n">
        <x:f>H794*Y793/(tun_ChildYears*4)</x:f>
        <x:v>0</x:v>
      </x:c>
      <x:c r="X794" s="9" t="n">
        <x:f>H794*Z793/(tun_AdultYears*4)</x:f>
        <x:v>0</x:v>
      </x:c>
      <x:c r="Y794" s="32" t="n">
        <x:f>Y793+R794-S794-W794-Y793*V794/AB793</x:f>
        <x:v>40496.20709015643</x:v>
      </x:c>
      <x:c r="Z794" s="32" t="n">
        <x:f>Z793+W794-X794-T794-Z793*V794/AB793</x:f>
        <x:v>59141.61122890803</x:v>
      </x:c>
      <x:c r="AA794" s="32" t="n">
        <x:f>AA793+X794-U794-AA793*V794/AB793</x:f>
        <x:v>45530.62410925061</x:v>
      </x:c>
      <x:c r="AB794" s="10" t="n">
        <x:f>Y794+Z794+AA794</x:f>
        <x:v>145168.44242831506</x:v>
      </x:c>
      <x:c r="AC794" s="8" t="n">
        <x:f>IF(AND(tun_WinterTrigger=1,D794=1,AB793/AE793&gt;=K794),1,0)</x:f>
        <x:v>0</x:v>
      </x:c>
      <x:c r="AD794" s="8" t="n">
        <x:f>H794*IF(AND(OR(AB793/AE793&gt;=tun_FissionTrigger*N794,AC794=1),AB793/AE793*tun_DaughterShare&gt;=tun_MinDaughter),MAX(1,ROUND(AE793*tun_FissionRate,0)),0)</x:f>
        <x:v>0</x:v>
      </x:c>
      <x:c r="AE794" s="8" t="n">
        <x:f>IF(H794=1,MAX(1,MIN(INDEX(tun_Smax,G794),AE793+AD794)),AE793)</x:f>
        <x:v>9</x:v>
      </x:c>
      <x:c r="AF794" s="8" t="n">
        <x:f>MAX(0,AE794-AE793)</x:f>
        <x:v>0</x:v>
      </x:c>
      <x:c r="AG794" s="9" t="str">
        <x:f>IF(AF794&gt;0,B794,"")</x:f>
      </x:c>
      <x:c r="AH794" s="9" t="n">
        <x:f>IF(F794&gt;=1,1,(1+tun_LowTiesShare*(AE794-1))/AE794)</x:f>
        <x:v>1</x:v>
      </x:c>
      <x:c r="AI794" s="32" t="n">
        <x:f>(Z794+tun_ElderCommons*INDEX(LM_Elder,G794)*AA794)*AH794</x:f>
        <x:v>238215.0665857503</x:v>
      </x:c>
      <x:c r="AJ794" s="32" t="n">
        <x:f>H794*tun_CommonsCoef*AI794^tun_CommonsExp*INDEX(LM_Commons,G794)</x:f>
        <x:v>0</x:v>
      </x:c>
      <x:c r="AK794" s="32" t="n">
        <x:f>H794*tun_RoleScale*Arch_Roles*(AE794*(INDEX(tun_ElderRolePerSett,G794)*tun_OutElder*INDEX(LM_Elder,G794)+INDEX(tun_ShamanPerSett,G794)*tun_OutShaman)+Z794*(INDEX(tun_PriestShare,G794)*tun_OutPriest+INDEX(tun_ScribeShare,G794)*tun_OutScribe*INDEX(LM_Scribe,G794)+INDEX(tun_ScholarShare,G794)*tun_OutScholar*INDEX(LM_Scholar,G794)+INDEX(tun_ResearcherShare,G794)*tun_OutResearcher*INDEX(LM_Researcher,G794)))</x:f>
        <x:v>0</x:v>
      </x:c>
      <x:c r="AL794" s="32" t="n">
        <x:f>H794*tun_RoleScale*Arch_Roles*AE794*INDEX(tun_MonasteryPerSett,G794)*tun_OutMonastery*INDEX(LM_Monastery,G794)</x:f>
        <x:v>0</x:v>
      </x:c>
      <x:c r="AM794" s="32" t="n">
        <x:f>(AJ794+AK794+AL794)/4*INDEX(LM_All,G794)*INDEX(tun_Boon,G794)*Arch_Insight</x:f>
        <x:v>0</x:v>
      </x:c>
      <x:c r="AN794" s="32" t="n">
        <x:f>H794*(tun_KHPerAdult*Z794+tun_KHOfCommons*AJ794/4*INDEX(LM_All,G794))*tun_KHUsable*Arch_KH</x:f>
        <x:v>0</x:v>
      </x:c>
      <x:c r="AO794" s="32" t="n">
        <x:f>MIN(AP793+AN794,AM794*tun_KHMaxRatio)</x:f>
        <x:v>0</x:v>
      </x:c>
      <x:c r="AP794" s="32" t="n">
        <x:f>AP793+AN794-AO794</x:f>
        <x:v>0</x:v>
      </x:c>
      <x:c r="AQ794" s="32" t="n">
        <x:f>AM794+AO794</x:f>
        <x:v>0</x:v>
      </x:c>
      <x:c r="AR794" s="10" t="n">
        <x:f>IF(H794=1,INDEX(tun_Req,G794),0)</x:f>
        <x:v>0</x:v>
      </x:c>
      <x:c r="AS794" s="32" t="n">
        <x:f>IF(H794=1,IF(E794=1,AS793-AR793,AS793)+AQ794,0)</x:f>
        <x:v>0</x:v>
      </x:c>
      <x:c r="AT794" s="11" t="n">
        <x:f>IF(AR794&gt;0,MIN(1,AS794/AR794),1)</x:f>
        <x:v>1</x:v>
      </x:c>
      <x:c r="AU794" s="10" t="n">
        <x:f>AB794/INDEX(tun_RepScale,G794)</x:f>
        <x:v>290.3368848566301</x:v>
      </x:c>
      <x:c r="AV794" s="32" t="n">
        <x:f>AM794*60/tun_SeasonSeconds</x:f>
        <x:v>0</x:v>
      </x:c>
    </x:row>
    <x:row r="795">
      <x:c r="A795" s="8" t="n">
        <x:f>A794+1</x:f>
        <x:v>792</x:v>
      </x:c>
      <x:c r="B795" s="9" t="n">
        <x:f>A795*tun_SeasonSeconds/60</x:f>
        <x:v>198</x:v>
      </x:c>
      <x:c r="C795" s="9" t="n">
        <x:f>A795/4</x:f>
        <x:v>198</x:v>
      </x:c>
      <x:c r="D795" s="8" t="n">
        <x:f>IF(MOD(A795,4)=0,1,0)</x:f>
        <x:v>1</x:v>
      </x:c>
      <x:c r="E795" s="8" t="n">
        <x:f>IF(AND(F794&lt;=9,AS794&gt;=AR794),1,0)</x:f>
        <x:v>0</x:v>
      </x:c>
      <x:c r="F795" s="8" t="n">
        <x:f>MIN(10,F794+E795)</x:f>
        <x:v>10</x:v>
      </x:c>
      <x:c r="G795" s="8" t="n">
        <x:f>MIN(F795,9)+1</x:f>
        <x:v>10</x:v>
      </x:c>
      <x:c r="H795" s="8" t="n">
        <x:f>IF(F795&lt;=9,1,0)</x:f>
        <x:v>0</x:v>
      </x:c>
      <x:c r="I795" s="9" t="n">
        <x:f>MIN(10,F794+IF(AR794&gt;0,MIN(1,AS794/AR794),1))</x:f>
        <x:v>10</x:v>
      </x:c>
      <x:c r="J795" s="32" t="n">
        <x:f>INDEX(tun_FoodCap,G795)*Arch_FoodCap*EXP(tun_CapsByProject*SUMPRODUCT((Cap_Point&lt;=I795)*(Cap_Kind="Food")*Cap_Ln))</x:f>
        <x:v>18627.260449441455</x:v>
      </x:c>
      <x:c r="K795" s="32" t="n">
        <x:f>J795*MIN(1,tun_LeanBase*EXP(tun_CapsByProject*SUMPRODUCT((Cap_Point&lt;=I795)*(Cap_Kind="Lean")*Cap_Ln)))</x:f>
        <x:v>18627.260449441455</x:v>
      </x:c>
      <x:c r="L795" s="10" t="n">
        <x:f>INDEX(tun_HousingCap,G795)*EXP(tun_CapsByProject*SUMPRODUCT((Cap_Point&lt;=I795)*(Cap_Kind="Housing")*Cap_Ln))</x:f>
        <x:v>20528.974303173167</x:v>
      </x:c>
      <x:c r="M795" s="10" t="n">
        <x:f>INDEX(tun_GroupCap,G795)*tun_CohesionFactor*EXP(tun_CapsByProject*SUMPRODUCT((Cap_Point&lt;=I795)*(Cap_Kind="Group")*Cap_Ln))</x:f>
        <x:v>1000000.000000001</x:v>
      </x:c>
      <x:c r="N795" s="32" t="n">
        <x:f>MIN(J795,L795,M795)</x:f>
        <x:v>18627.260449441455</x:v>
      </x:c>
      <x:c r="O795" s="10" t="n">
        <x:f>AE794*N795</x:f>
        <x:v>167645.34404497308</x:v>
      </x:c>
      <x:c r="P795" s="9" t="n">
        <x:f>MIN(1,(AB794/(AE794*IF(tun_GroupInCrowding=1,N795,MIN(J795,L795))))^tun_CrowdingExp)</x:f>
        <x:v>0.4215841981292809</x:v>
      </x:c>
      <x:c r="Q795" s="9" t="n">
        <x:f>IF(D795=1,INDEX(tun_WinterMult,G795),1)</x:f>
        <x:v>1.05</x:v>
      </x:c>
      <x:c r="R795" s="9" t="n">
        <x:f>H795*Z794*tun_WomenShare*tun_BaseFertility*INDEX(tun_FertMult,G795)*Arch_Fertility*(1-P795)</x:f>
        <x:v>0</x:v>
      </x:c>
      <x:c r="S795" s="9" t="n">
        <x:f>H795*Y794*INDEX(tun_MortChild,G795)/4*Q795</x:f>
        <x:v>0</x:v>
      </x:c>
      <x:c r="T795" s="9" t="n">
        <x:f>H795*Z794*INDEX(tun_MortAdult,G795)*Arch_AdultMort/4*Q795</x:f>
        <x:v>0</x:v>
      </x:c>
      <x:c r="U795" s="9" t="n">
        <x:f>H795*AA794*INDEX(tun_MortElder,G795)/4*Q795</x:f>
        <x:v>0</x:v>
      </x:c>
      <x:c r="V795" s="9" t="n">
        <x:f>H795*MAX(0,AB794-O795)*tun_OvercapLoss</x:f>
        <x:v>0</x:v>
      </x:c>
      <x:c r="W795" s="9" t="n">
        <x:f>H795*Y794/(tun_ChildYears*4)</x:f>
        <x:v>0</x:v>
      </x:c>
      <x:c r="X795" s="9" t="n">
        <x:f>H795*Z794/(tun_AdultYears*4)</x:f>
        <x:v>0</x:v>
      </x:c>
      <x:c r="Y795" s="32" t="n">
        <x:f>Y794+R795-S795-W795-Y794*V795/AB794</x:f>
        <x:v>40496.20709015643</x:v>
      </x:c>
      <x:c r="Z795" s="32" t="n">
        <x:f>Z794+W795-X795-T795-Z794*V795/AB794</x:f>
        <x:v>59141.61122890803</x:v>
      </x:c>
      <x:c r="AA795" s="32" t="n">
        <x:f>AA794+X795-U795-AA794*V795/AB794</x:f>
        <x:v>45530.62410925061</x:v>
      </x:c>
      <x:c r="AB795" s="10" t="n">
        <x:f>Y795+Z795+AA795</x:f>
        <x:v>145168.44242831506</x:v>
      </x:c>
      <x:c r="AC795" s="8" t="n">
        <x:f>IF(AND(tun_WinterTrigger=1,D795=1,AB794/AE794&gt;=K795),1,0)</x:f>
        <x:v>0</x:v>
      </x:c>
      <x:c r="AD795" s="8" t="n">
        <x:f>H795*IF(AND(OR(AB794/AE794&gt;=tun_FissionTrigger*N795,AC795=1),AB794/AE794*tun_DaughterShare&gt;=tun_MinDaughter),MAX(1,ROUND(AE794*tun_FissionRate,0)),0)</x:f>
        <x:v>0</x:v>
      </x:c>
      <x:c r="AE795" s="8" t="n">
        <x:f>IF(H795=1,MAX(1,MIN(INDEX(tun_Smax,G795),AE794+AD795)),AE794)</x:f>
        <x:v>9</x:v>
      </x:c>
      <x:c r="AF795" s="8" t="n">
        <x:f>MAX(0,AE795-AE794)</x:f>
        <x:v>0</x:v>
      </x:c>
      <x:c r="AG795" s="9" t="str">
        <x:f>IF(AF795&gt;0,B795,"")</x:f>
      </x:c>
      <x:c r="AH795" s="9" t="n">
        <x:f>IF(F795&gt;=1,1,(1+tun_LowTiesShare*(AE795-1))/AE795)</x:f>
        <x:v>1</x:v>
      </x:c>
      <x:c r="AI795" s="32" t="n">
        <x:f>(Z795+tun_ElderCommons*INDEX(LM_Elder,G795)*AA795)*AH795</x:f>
        <x:v>238215.0665857503</x:v>
      </x:c>
      <x:c r="AJ795" s="32" t="n">
        <x:f>H795*tun_CommonsCoef*AI795^tun_CommonsExp*INDEX(LM_Commons,G795)</x:f>
        <x:v>0</x:v>
      </x:c>
      <x:c r="AK795" s="32" t="n">
        <x:f>H795*tun_RoleScale*Arch_Roles*(AE795*(INDEX(tun_ElderRolePerSett,G795)*tun_OutElder*INDEX(LM_Elder,G795)+INDEX(tun_ShamanPerSett,G795)*tun_OutShaman)+Z795*(INDEX(tun_PriestShare,G795)*tun_OutPriest+INDEX(tun_ScribeShare,G795)*tun_OutScribe*INDEX(LM_Scribe,G795)+INDEX(tun_ScholarShare,G795)*tun_OutScholar*INDEX(LM_Scholar,G795)+INDEX(tun_ResearcherShare,G795)*tun_OutResearcher*INDEX(LM_Researcher,G795)))</x:f>
        <x:v>0</x:v>
      </x:c>
      <x:c r="AL795" s="32" t="n">
        <x:f>H795*tun_RoleScale*Arch_Roles*AE795*INDEX(tun_MonasteryPerSett,G795)*tun_OutMonastery*INDEX(LM_Monastery,G795)</x:f>
        <x:v>0</x:v>
      </x:c>
      <x:c r="AM795" s="32" t="n">
        <x:f>(AJ795+AK795+AL795)/4*INDEX(LM_All,G795)*INDEX(tun_Boon,G795)*Arch_Insight</x:f>
        <x:v>0</x:v>
      </x:c>
      <x:c r="AN795" s="32" t="n">
        <x:f>H795*(tun_KHPerAdult*Z795+tun_KHOfCommons*AJ795/4*INDEX(LM_All,G795))*tun_KHUsable*Arch_KH</x:f>
        <x:v>0</x:v>
      </x:c>
      <x:c r="AO795" s="32" t="n">
        <x:f>MIN(AP794+AN795,AM795*tun_KHMaxRatio)</x:f>
        <x:v>0</x:v>
      </x:c>
      <x:c r="AP795" s="32" t="n">
        <x:f>AP794+AN795-AO795</x:f>
        <x:v>0</x:v>
      </x:c>
      <x:c r="AQ795" s="32" t="n">
        <x:f>AM795+AO795</x:f>
        <x:v>0</x:v>
      </x:c>
      <x:c r="AR795" s="10" t="n">
        <x:f>IF(H795=1,INDEX(tun_Req,G795),0)</x:f>
        <x:v>0</x:v>
      </x:c>
      <x:c r="AS795" s="32" t="n">
        <x:f>IF(H795=1,IF(E795=1,AS794-AR794,AS794)+AQ795,0)</x:f>
        <x:v>0</x:v>
      </x:c>
      <x:c r="AT795" s="11" t="n">
        <x:f>IF(AR795&gt;0,MIN(1,AS795/AR795),1)</x:f>
        <x:v>1</x:v>
      </x:c>
      <x:c r="AU795" s="10" t="n">
        <x:f>AB795/INDEX(tun_RepScale,G795)</x:f>
        <x:v>290.3368848566301</x:v>
      </x:c>
      <x:c r="AV795" s="32" t="n">
        <x:f>AM795*60/tun_SeasonSeconds</x:f>
        <x:v>0</x:v>
      </x:c>
    </x:row>
    <x:row r="796">
      <x:c r="A796" s="8" t="n">
        <x:f>A795+1</x:f>
        <x:v>793</x:v>
      </x:c>
      <x:c r="B796" s="9" t="n">
        <x:f>A796*tun_SeasonSeconds/60</x:f>
        <x:v>198.25</x:v>
      </x:c>
      <x:c r="C796" s="9" t="n">
        <x:f>A796/4</x:f>
        <x:v>198.25</x:v>
      </x:c>
      <x:c r="D796" s="8" t="n">
        <x:f>IF(MOD(A796,4)=0,1,0)</x:f>
        <x:v>0</x:v>
      </x:c>
      <x:c r="E796" s="8" t="n">
        <x:f>IF(AND(F795&lt;=9,AS795&gt;=AR795),1,0)</x:f>
        <x:v>0</x:v>
      </x:c>
      <x:c r="F796" s="8" t="n">
        <x:f>MIN(10,F795+E796)</x:f>
        <x:v>10</x:v>
      </x:c>
      <x:c r="G796" s="8" t="n">
        <x:f>MIN(F796,9)+1</x:f>
        <x:v>10</x:v>
      </x:c>
      <x:c r="H796" s="8" t="n">
        <x:f>IF(F796&lt;=9,1,0)</x:f>
        <x:v>0</x:v>
      </x:c>
      <x:c r="I796" s="9" t="n">
        <x:f>MIN(10,F795+IF(AR795&gt;0,MIN(1,AS795/AR795),1))</x:f>
        <x:v>10</x:v>
      </x:c>
      <x:c r="J796" s="32" t="n">
        <x:f>INDEX(tun_FoodCap,G796)*Arch_FoodCap*EXP(tun_CapsByProject*SUMPRODUCT((Cap_Point&lt;=I796)*(Cap_Kind="Food")*Cap_Ln))</x:f>
        <x:v>18627.260449441455</x:v>
      </x:c>
      <x:c r="K796" s="32" t="n">
        <x:f>J796*MIN(1,tun_LeanBase*EXP(tun_CapsByProject*SUMPRODUCT((Cap_Point&lt;=I796)*(Cap_Kind="Lean")*Cap_Ln)))</x:f>
        <x:v>18627.260449441455</x:v>
      </x:c>
      <x:c r="L796" s="10" t="n">
        <x:f>INDEX(tun_HousingCap,G796)*EXP(tun_CapsByProject*SUMPRODUCT((Cap_Point&lt;=I796)*(Cap_Kind="Housing")*Cap_Ln))</x:f>
        <x:v>20528.974303173167</x:v>
      </x:c>
      <x:c r="M796" s="10" t="n">
        <x:f>INDEX(tun_GroupCap,G796)*tun_CohesionFactor*EXP(tun_CapsByProject*SUMPRODUCT((Cap_Point&lt;=I796)*(Cap_Kind="Group")*Cap_Ln))</x:f>
        <x:v>1000000.000000001</x:v>
      </x:c>
      <x:c r="N796" s="32" t="n">
        <x:f>MIN(J796,L796,M796)</x:f>
        <x:v>18627.260449441455</x:v>
      </x:c>
      <x:c r="O796" s="10" t="n">
        <x:f>AE795*N796</x:f>
        <x:v>167645.34404497308</x:v>
      </x:c>
      <x:c r="P796" s="9" t="n">
        <x:f>MIN(1,(AB795/(AE795*IF(tun_GroupInCrowding=1,N796,MIN(J796,L796))))^tun_CrowdingExp)</x:f>
        <x:v>0.4215841981292809</x:v>
      </x:c>
      <x:c r="Q796" s="9" t="n">
        <x:f>IF(D796=1,INDEX(tun_WinterMult,G796),1)</x:f>
        <x:v>1</x:v>
      </x:c>
      <x:c r="R796" s="9" t="n">
        <x:f>H796*Z795*tun_WomenShare*tun_BaseFertility*INDEX(tun_FertMult,G796)*Arch_Fertility*(1-P796)</x:f>
        <x:v>0</x:v>
      </x:c>
      <x:c r="S796" s="9" t="n">
        <x:f>H796*Y795*INDEX(tun_MortChild,G796)/4*Q796</x:f>
        <x:v>0</x:v>
      </x:c>
      <x:c r="T796" s="9" t="n">
        <x:f>H796*Z795*INDEX(tun_MortAdult,G796)*Arch_AdultMort/4*Q796</x:f>
        <x:v>0</x:v>
      </x:c>
      <x:c r="U796" s="9" t="n">
        <x:f>H796*AA795*INDEX(tun_MortElder,G796)/4*Q796</x:f>
        <x:v>0</x:v>
      </x:c>
      <x:c r="V796" s="9" t="n">
        <x:f>H796*MAX(0,AB795-O796)*tun_OvercapLoss</x:f>
        <x:v>0</x:v>
      </x:c>
      <x:c r="W796" s="9" t="n">
        <x:f>H796*Y795/(tun_ChildYears*4)</x:f>
        <x:v>0</x:v>
      </x:c>
      <x:c r="X796" s="9" t="n">
        <x:f>H796*Z795/(tun_AdultYears*4)</x:f>
        <x:v>0</x:v>
      </x:c>
      <x:c r="Y796" s="32" t="n">
        <x:f>Y795+R796-S796-W796-Y795*V796/AB795</x:f>
        <x:v>40496.20709015643</x:v>
      </x:c>
      <x:c r="Z796" s="32" t="n">
        <x:f>Z795+W796-X796-T796-Z795*V796/AB795</x:f>
        <x:v>59141.61122890803</x:v>
      </x:c>
      <x:c r="AA796" s="32" t="n">
        <x:f>AA795+X796-U796-AA795*V796/AB795</x:f>
        <x:v>45530.62410925061</x:v>
      </x:c>
      <x:c r="AB796" s="10" t="n">
        <x:f>Y796+Z796+AA796</x:f>
        <x:v>145168.44242831506</x:v>
      </x:c>
      <x:c r="AC796" s="8" t="n">
        <x:f>IF(AND(tun_WinterTrigger=1,D796=1,AB795/AE795&gt;=K796),1,0)</x:f>
        <x:v>0</x:v>
      </x:c>
      <x:c r="AD796" s="8" t="n">
        <x:f>H796*IF(AND(OR(AB795/AE795&gt;=tun_FissionTrigger*N796,AC796=1),AB795/AE795*tun_DaughterShare&gt;=tun_MinDaughter),MAX(1,ROUND(AE795*tun_FissionRate,0)),0)</x:f>
        <x:v>0</x:v>
      </x:c>
      <x:c r="AE796" s="8" t="n">
        <x:f>IF(H796=1,MAX(1,MIN(INDEX(tun_Smax,G796),AE795+AD796)),AE795)</x:f>
        <x:v>9</x:v>
      </x:c>
      <x:c r="AF796" s="8" t="n">
        <x:f>MAX(0,AE796-AE795)</x:f>
        <x:v>0</x:v>
      </x:c>
      <x:c r="AG796" s="9" t="str">
        <x:f>IF(AF796&gt;0,B796,"")</x:f>
      </x:c>
      <x:c r="AH796" s="9" t="n">
        <x:f>IF(F796&gt;=1,1,(1+tun_LowTiesShare*(AE796-1))/AE796)</x:f>
        <x:v>1</x:v>
      </x:c>
      <x:c r="AI796" s="32" t="n">
        <x:f>(Z796+tun_ElderCommons*INDEX(LM_Elder,G796)*AA796)*AH796</x:f>
        <x:v>238215.0665857503</x:v>
      </x:c>
      <x:c r="AJ796" s="32" t="n">
        <x:f>H796*tun_CommonsCoef*AI796^tun_CommonsExp*INDEX(LM_Commons,G796)</x:f>
        <x:v>0</x:v>
      </x:c>
      <x:c r="AK796" s="32" t="n">
        <x:f>H796*tun_RoleScale*Arch_Roles*(AE796*(INDEX(tun_ElderRolePerSett,G796)*tun_OutElder*INDEX(LM_Elder,G796)+INDEX(tun_ShamanPerSett,G796)*tun_OutShaman)+Z796*(INDEX(tun_PriestShare,G796)*tun_OutPriest+INDEX(tun_ScribeShare,G796)*tun_OutScribe*INDEX(LM_Scribe,G796)+INDEX(tun_ScholarShare,G796)*tun_OutScholar*INDEX(LM_Scholar,G796)+INDEX(tun_ResearcherShare,G796)*tun_OutResearcher*INDEX(LM_Researcher,G796)))</x:f>
        <x:v>0</x:v>
      </x:c>
      <x:c r="AL796" s="32" t="n">
        <x:f>H796*tun_RoleScale*Arch_Roles*AE796*INDEX(tun_MonasteryPerSett,G796)*tun_OutMonastery*INDEX(LM_Monastery,G796)</x:f>
        <x:v>0</x:v>
      </x:c>
      <x:c r="AM796" s="32" t="n">
        <x:f>(AJ796+AK796+AL796)/4*INDEX(LM_All,G796)*INDEX(tun_Boon,G796)*Arch_Insight</x:f>
        <x:v>0</x:v>
      </x:c>
      <x:c r="AN796" s="32" t="n">
        <x:f>H796*(tun_KHPerAdult*Z796+tun_KHOfCommons*AJ796/4*INDEX(LM_All,G796))*tun_KHUsable*Arch_KH</x:f>
        <x:v>0</x:v>
      </x:c>
      <x:c r="AO796" s="32" t="n">
        <x:f>MIN(AP795+AN796,AM796*tun_KHMaxRatio)</x:f>
        <x:v>0</x:v>
      </x:c>
      <x:c r="AP796" s="32" t="n">
        <x:f>AP795+AN796-AO796</x:f>
        <x:v>0</x:v>
      </x:c>
      <x:c r="AQ796" s="32" t="n">
        <x:f>AM796+AO796</x:f>
        <x:v>0</x:v>
      </x:c>
      <x:c r="AR796" s="10" t="n">
        <x:f>IF(H796=1,INDEX(tun_Req,G796),0)</x:f>
        <x:v>0</x:v>
      </x:c>
      <x:c r="AS796" s="32" t="n">
        <x:f>IF(H796=1,IF(E796=1,AS795-AR795,AS795)+AQ796,0)</x:f>
        <x:v>0</x:v>
      </x:c>
      <x:c r="AT796" s="11" t="n">
        <x:f>IF(AR796&gt;0,MIN(1,AS796/AR796),1)</x:f>
        <x:v>1</x:v>
      </x:c>
      <x:c r="AU796" s="10" t="n">
        <x:f>AB796/INDEX(tun_RepScale,G796)</x:f>
        <x:v>290.3368848566301</x:v>
      </x:c>
      <x:c r="AV796" s="32" t="n">
        <x:f>AM796*60/tun_SeasonSeconds</x:f>
        <x:v>0</x:v>
      </x:c>
    </x:row>
    <x:row r="797">
      <x:c r="A797" s="8" t="n">
        <x:f>A796+1</x:f>
        <x:v>794</x:v>
      </x:c>
      <x:c r="B797" s="9" t="n">
        <x:f>A797*tun_SeasonSeconds/60</x:f>
        <x:v>198.5</x:v>
      </x:c>
      <x:c r="C797" s="9" t="n">
        <x:f>A797/4</x:f>
        <x:v>198.5</x:v>
      </x:c>
      <x:c r="D797" s="8" t="n">
        <x:f>IF(MOD(A797,4)=0,1,0)</x:f>
        <x:v>0</x:v>
      </x:c>
      <x:c r="E797" s="8" t="n">
        <x:f>IF(AND(F796&lt;=9,AS796&gt;=AR796),1,0)</x:f>
        <x:v>0</x:v>
      </x:c>
      <x:c r="F797" s="8" t="n">
        <x:f>MIN(10,F796+E797)</x:f>
        <x:v>10</x:v>
      </x:c>
      <x:c r="G797" s="8" t="n">
        <x:f>MIN(F797,9)+1</x:f>
        <x:v>10</x:v>
      </x:c>
      <x:c r="H797" s="8" t="n">
        <x:f>IF(F797&lt;=9,1,0)</x:f>
        <x:v>0</x:v>
      </x:c>
      <x:c r="I797" s="9" t="n">
        <x:f>MIN(10,F796+IF(AR796&gt;0,MIN(1,AS796/AR796),1))</x:f>
        <x:v>10</x:v>
      </x:c>
      <x:c r="J797" s="32" t="n">
        <x:f>INDEX(tun_FoodCap,G797)*Arch_FoodCap*EXP(tun_CapsByProject*SUMPRODUCT((Cap_Point&lt;=I797)*(Cap_Kind="Food")*Cap_Ln))</x:f>
        <x:v>18627.260449441455</x:v>
      </x:c>
      <x:c r="K797" s="32" t="n">
        <x:f>J797*MIN(1,tun_LeanBase*EXP(tun_CapsByProject*SUMPRODUCT((Cap_Point&lt;=I797)*(Cap_Kind="Lean")*Cap_Ln)))</x:f>
        <x:v>18627.260449441455</x:v>
      </x:c>
      <x:c r="L797" s="10" t="n">
        <x:f>INDEX(tun_HousingCap,G797)*EXP(tun_CapsByProject*SUMPRODUCT((Cap_Point&lt;=I797)*(Cap_Kind="Housing")*Cap_Ln))</x:f>
        <x:v>20528.974303173167</x:v>
      </x:c>
      <x:c r="M797" s="10" t="n">
        <x:f>INDEX(tun_GroupCap,G797)*tun_CohesionFactor*EXP(tun_CapsByProject*SUMPRODUCT((Cap_Point&lt;=I797)*(Cap_Kind="Group")*Cap_Ln))</x:f>
        <x:v>1000000.000000001</x:v>
      </x:c>
      <x:c r="N797" s="32" t="n">
        <x:f>MIN(J797,L797,M797)</x:f>
        <x:v>18627.260449441455</x:v>
      </x:c>
      <x:c r="O797" s="10" t="n">
        <x:f>AE796*N797</x:f>
        <x:v>167645.34404497308</x:v>
      </x:c>
      <x:c r="P797" s="9" t="n">
        <x:f>MIN(1,(AB796/(AE796*IF(tun_GroupInCrowding=1,N797,MIN(J797,L797))))^tun_CrowdingExp)</x:f>
        <x:v>0.4215841981292809</x:v>
      </x:c>
      <x:c r="Q797" s="9" t="n">
        <x:f>IF(D797=1,INDEX(tun_WinterMult,G797),1)</x:f>
        <x:v>1</x:v>
      </x:c>
      <x:c r="R797" s="9" t="n">
        <x:f>H797*Z796*tun_WomenShare*tun_BaseFertility*INDEX(tun_FertMult,G797)*Arch_Fertility*(1-P797)</x:f>
        <x:v>0</x:v>
      </x:c>
      <x:c r="S797" s="9" t="n">
        <x:f>H797*Y796*INDEX(tun_MortChild,G797)/4*Q797</x:f>
        <x:v>0</x:v>
      </x:c>
      <x:c r="T797" s="9" t="n">
        <x:f>H797*Z796*INDEX(tun_MortAdult,G797)*Arch_AdultMort/4*Q797</x:f>
        <x:v>0</x:v>
      </x:c>
      <x:c r="U797" s="9" t="n">
        <x:f>H797*AA796*INDEX(tun_MortElder,G797)/4*Q797</x:f>
        <x:v>0</x:v>
      </x:c>
      <x:c r="V797" s="9" t="n">
        <x:f>H797*MAX(0,AB796-O797)*tun_OvercapLoss</x:f>
        <x:v>0</x:v>
      </x:c>
      <x:c r="W797" s="9" t="n">
        <x:f>H797*Y796/(tun_ChildYears*4)</x:f>
        <x:v>0</x:v>
      </x:c>
      <x:c r="X797" s="9" t="n">
        <x:f>H797*Z796/(tun_AdultYears*4)</x:f>
        <x:v>0</x:v>
      </x:c>
      <x:c r="Y797" s="32" t="n">
        <x:f>Y796+R797-S797-W797-Y796*V797/AB796</x:f>
        <x:v>40496.20709015643</x:v>
      </x:c>
      <x:c r="Z797" s="32" t="n">
        <x:f>Z796+W797-X797-T797-Z796*V797/AB796</x:f>
        <x:v>59141.61122890803</x:v>
      </x:c>
      <x:c r="AA797" s="32" t="n">
        <x:f>AA796+X797-U797-AA796*V797/AB796</x:f>
        <x:v>45530.62410925061</x:v>
      </x:c>
      <x:c r="AB797" s="10" t="n">
        <x:f>Y797+Z797+AA797</x:f>
        <x:v>145168.44242831506</x:v>
      </x:c>
      <x:c r="AC797" s="8" t="n">
        <x:f>IF(AND(tun_WinterTrigger=1,D797=1,AB796/AE796&gt;=K797),1,0)</x:f>
        <x:v>0</x:v>
      </x:c>
      <x:c r="AD797" s="8" t="n">
        <x:f>H797*IF(AND(OR(AB796/AE796&gt;=tun_FissionTrigger*N797,AC797=1),AB796/AE796*tun_DaughterShare&gt;=tun_MinDaughter),MAX(1,ROUND(AE796*tun_FissionRate,0)),0)</x:f>
        <x:v>0</x:v>
      </x:c>
      <x:c r="AE797" s="8" t="n">
        <x:f>IF(H797=1,MAX(1,MIN(INDEX(tun_Smax,G797),AE796+AD797)),AE796)</x:f>
        <x:v>9</x:v>
      </x:c>
      <x:c r="AF797" s="8" t="n">
        <x:f>MAX(0,AE797-AE796)</x:f>
        <x:v>0</x:v>
      </x:c>
      <x:c r="AG797" s="9" t="str">
        <x:f>IF(AF797&gt;0,B797,"")</x:f>
      </x:c>
      <x:c r="AH797" s="9" t="n">
        <x:f>IF(F797&gt;=1,1,(1+tun_LowTiesShare*(AE797-1))/AE797)</x:f>
        <x:v>1</x:v>
      </x:c>
      <x:c r="AI797" s="32" t="n">
        <x:f>(Z797+tun_ElderCommons*INDEX(LM_Elder,G797)*AA797)*AH797</x:f>
        <x:v>238215.0665857503</x:v>
      </x:c>
      <x:c r="AJ797" s="32" t="n">
        <x:f>H797*tun_CommonsCoef*AI797^tun_CommonsExp*INDEX(LM_Commons,G797)</x:f>
        <x:v>0</x:v>
      </x:c>
      <x:c r="AK797" s="32" t="n">
        <x:f>H797*tun_RoleScale*Arch_Roles*(AE797*(INDEX(tun_ElderRolePerSett,G797)*tun_OutElder*INDEX(LM_Elder,G797)+INDEX(tun_ShamanPerSett,G797)*tun_OutShaman)+Z797*(INDEX(tun_PriestShare,G797)*tun_OutPriest+INDEX(tun_ScribeShare,G797)*tun_OutScribe*INDEX(LM_Scribe,G797)+INDEX(tun_ScholarShare,G797)*tun_OutScholar*INDEX(LM_Scholar,G797)+INDEX(tun_ResearcherShare,G797)*tun_OutResearcher*INDEX(LM_Researcher,G797)))</x:f>
        <x:v>0</x:v>
      </x:c>
      <x:c r="AL797" s="32" t="n">
        <x:f>H797*tun_RoleScale*Arch_Roles*AE797*INDEX(tun_MonasteryPerSett,G797)*tun_OutMonastery*INDEX(LM_Monastery,G797)</x:f>
        <x:v>0</x:v>
      </x:c>
      <x:c r="AM797" s="32" t="n">
        <x:f>(AJ797+AK797+AL797)/4*INDEX(LM_All,G797)*INDEX(tun_Boon,G797)*Arch_Insight</x:f>
        <x:v>0</x:v>
      </x:c>
      <x:c r="AN797" s="32" t="n">
        <x:f>H797*(tun_KHPerAdult*Z797+tun_KHOfCommons*AJ797/4*INDEX(LM_All,G797))*tun_KHUsable*Arch_KH</x:f>
        <x:v>0</x:v>
      </x:c>
      <x:c r="AO797" s="32" t="n">
        <x:f>MIN(AP796+AN797,AM797*tun_KHMaxRatio)</x:f>
        <x:v>0</x:v>
      </x:c>
      <x:c r="AP797" s="32" t="n">
        <x:f>AP796+AN797-AO797</x:f>
        <x:v>0</x:v>
      </x:c>
      <x:c r="AQ797" s="32" t="n">
        <x:f>AM797+AO797</x:f>
        <x:v>0</x:v>
      </x:c>
      <x:c r="AR797" s="10" t="n">
        <x:f>IF(H797=1,INDEX(tun_Req,G797),0)</x:f>
        <x:v>0</x:v>
      </x:c>
      <x:c r="AS797" s="32" t="n">
        <x:f>IF(H797=1,IF(E797=1,AS796-AR796,AS796)+AQ797,0)</x:f>
        <x:v>0</x:v>
      </x:c>
      <x:c r="AT797" s="11" t="n">
        <x:f>IF(AR797&gt;0,MIN(1,AS797/AR797),1)</x:f>
        <x:v>1</x:v>
      </x:c>
      <x:c r="AU797" s="10" t="n">
        <x:f>AB797/INDEX(tun_RepScale,G797)</x:f>
        <x:v>290.3368848566301</x:v>
      </x:c>
      <x:c r="AV797" s="32" t="n">
        <x:f>AM797*60/tun_SeasonSeconds</x:f>
        <x:v>0</x:v>
      </x:c>
    </x:row>
    <x:row r="798">
      <x:c r="A798" s="8" t="n">
        <x:f>A797+1</x:f>
        <x:v>795</x:v>
      </x:c>
      <x:c r="B798" s="9" t="n">
        <x:f>A798*tun_SeasonSeconds/60</x:f>
        <x:v>198.75</x:v>
      </x:c>
      <x:c r="C798" s="9" t="n">
        <x:f>A798/4</x:f>
        <x:v>198.75</x:v>
      </x:c>
      <x:c r="D798" s="8" t="n">
        <x:f>IF(MOD(A798,4)=0,1,0)</x:f>
        <x:v>0</x:v>
      </x:c>
      <x:c r="E798" s="8" t="n">
        <x:f>IF(AND(F797&lt;=9,AS797&gt;=AR797),1,0)</x:f>
        <x:v>0</x:v>
      </x:c>
      <x:c r="F798" s="8" t="n">
        <x:f>MIN(10,F797+E798)</x:f>
        <x:v>10</x:v>
      </x:c>
      <x:c r="G798" s="8" t="n">
        <x:f>MIN(F798,9)+1</x:f>
        <x:v>10</x:v>
      </x:c>
      <x:c r="H798" s="8" t="n">
        <x:f>IF(F798&lt;=9,1,0)</x:f>
        <x:v>0</x:v>
      </x:c>
      <x:c r="I798" s="9" t="n">
        <x:f>MIN(10,F797+IF(AR797&gt;0,MIN(1,AS797/AR797),1))</x:f>
        <x:v>10</x:v>
      </x:c>
      <x:c r="J798" s="32" t="n">
        <x:f>INDEX(tun_FoodCap,G798)*Arch_FoodCap*EXP(tun_CapsByProject*SUMPRODUCT((Cap_Point&lt;=I798)*(Cap_Kind="Food")*Cap_Ln))</x:f>
        <x:v>18627.260449441455</x:v>
      </x:c>
      <x:c r="K798" s="32" t="n">
        <x:f>J798*MIN(1,tun_LeanBase*EXP(tun_CapsByProject*SUMPRODUCT((Cap_Point&lt;=I798)*(Cap_Kind="Lean")*Cap_Ln)))</x:f>
        <x:v>18627.260449441455</x:v>
      </x:c>
      <x:c r="L798" s="10" t="n">
        <x:f>INDEX(tun_HousingCap,G798)*EXP(tun_CapsByProject*SUMPRODUCT((Cap_Point&lt;=I798)*(Cap_Kind="Housing")*Cap_Ln))</x:f>
        <x:v>20528.974303173167</x:v>
      </x:c>
      <x:c r="M798" s="10" t="n">
        <x:f>INDEX(tun_GroupCap,G798)*tun_CohesionFactor*EXP(tun_CapsByProject*SUMPRODUCT((Cap_Point&lt;=I798)*(Cap_Kind="Group")*Cap_Ln))</x:f>
        <x:v>1000000.000000001</x:v>
      </x:c>
      <x:c r="N798" s="32" t="n">
        <x:f>MIN(J798,L798,M798)</x:f>
        <x:v>18627.260449441455</x:v>
      </x:c>
      <x:c r="O798" s="10" t="n">
        <x:f>AE797*N798</x:f>
        <x:v>167645.34404497308</x:v>
      </x:c>
      <x:c r="P798" s="9" t="n">
        <x:f>MIN(1,(AB797/(AE797*IF(tun_GroupInCrowding=1,N798,MIN(J798,L798))))^tun_CrowdingExp)</x:f>
        <x:v>0.4215841981292809</x:v>
      </x:c>
      <x:c r="Q798" s="9" t="n">
        <x:f>IF(D798=1,INDEX(tun_WinterMult,G798),1)</x:f>
        <x:v>1</x:v>
      </x:c>
      <x:c r="R798" s="9" t="n">
        <x:f>H798*Z797*tun_WomenShare*tun_BaseFertility*INDEX(tun_FertMult,G798)*Arch_Fertility*(1-P798)</x:f>
        <x:v>0</x:v>
      </x:c>
      <x:c r="S798" s="9" t="n">
        <x:f>H798*Y797*INDEX(tun_MortChild,G798)/4*Q798</x:f>
        <x:v>0</x:v>
      </x:c>
      <x:c r="T798" s="9" t="n">
        <x:f>H798*Z797*INDEX(tun_MortAdult,G798)*Arch_AdultMort/4*Q798</x:f>
        <x:v>0</x:v>
      </x:c>
      <x:c r="U798" s="9" t="n">
        <x:f>H798*AA797*INDEX(tun_MortElder,G798)/4*Q798</x:f>
        <x:v>0</x:v>
      </x:c>
      <x:c r="V798" s="9" t="n">
        <x:f>H798*MAX(0,AB797-O798)*tun_OvercapLoss</x:f>
        <x:v>0</x:v>
      </x:c>
      <x:c r="W798" s="9" t="n">
        <x:f>H798*Y797/(tun_ChildYears*4)</x:f>
        <x:v>0</x:v>
      </x:c>
      <x:c r="X798" s="9" t="n">
        <x:f>H798*Z797/(tun_AdultYears*4)</x:f>
        <x:v>0</x:v>
      </x:c>
      <x:c r="Y798" s="32" t="n">
        <x:f>Y797+R798-S798-W798-Y797*V798/AB797</x:f>
        <x:v>40496.20709015643</x:v>
      </x:c>
      <x:c r="Z798" s="32" t="n">
        <x:f>Z797+W798-X798-T798-Z797*V798/AB797</x:f>
        <x:v>59141.61122890803</x:v>
      </x:c>
      <x:c r="AA798" s="32" t="n">
        <x:f>AA797+X798-U798-AA797*V798/AB797</x:f>
        <x:v>45530.62410925061</x:v>
      </x:c>
      <x:c r="AB798" s="10" t="n">
        <x:f>Y798+Z798+AA798</x:f>
        <x:v>145168.44242831506</x:v>
      </x:c>
      <x:c r="AC798" s="8" t="n">
        <x:f>IF(AND(tun_WinterTrigger=1,D798=1,AB797/AE797&gt;=K798),1,0)</x:f>
        <x:v>0</x:v>
      </x:c>
      <x:c r="AD798" s="8" t="n">
        <x:f>H798*IF(AND(OR(AB797/AE797&gt;=tun_FissionTrigger*N798,AC798=1),AB797/AE797*tun_DaughterShare&gt;=tun_MinDaughter),MAX(1,ROUND(AE797*tun_FissionRate,0)),0)</x:f>
        <x:v>0</x:v>
      </x:c>
      <x:c r="AE798" s="8" t="n">
        <x:f>IF(H798=1,MAX(1,MIN(INDEX(tun_Smax,G798),AE797+AD798)),AE797)</x:f>
        <x:v>9</x:v>
      </x:c>
      <x:c r="AF798" s="8" t="n">
        <x:f>MAX(0,AE798-AE797)</x:f>
        <x:v>0</x:v>
      </x:c>
      <x:c r="AG798" s="9" t="str">
        <x:f>IF(AF798&gt;0,B798,"")</x:f>
      </x:c>
      <x:c r="AH798" s="9" t="n">
        <x:f>IF(F798&gt;=1,1,(1+tun_LowTiesShare*(AE798-1))/AE798)</x:f>
        <x:v>1</x:v>
      </x:c>
      <x:c r="AI798" s="32" t="n">
        <x:f>(Z798+tun_ElderCommons*INDEX(LM_Elder,G798)*AA798)*AH798</x:f>
        <x:v>238215.0665857503</x:v>
      </x:c>
      <x:c r="AJ798" s="32" t="n">
        <x:f>H798*tun_CommonsCoef*AI798^tun_CommonsExp*INDEX(LM_Commons,G798)</x:f>
        <x:v>0</x:v>
      </x:c>
      <x:c r="AK798" s="32" t="n">
        <x:f>H798*tun_RoleScale*Arch_Roles*(AE798*(INDEX(tun_ElderRolePerSett,G798)*tun_OutElder*INDEX(LM_Elder,G798)+INDEX(tun_ShamanPerSett,G798)*tun_OutShaman)+Z798*(INDEX(tun_PriestShare,G798)*tun_OutPriest+INDEX(tun_ScribeShare,G798)*tun_OutScribe*INDEX(LM_Scribe,G798)+INDEX(tun_ScholarShare,G798)*tun_OutScholar*INDEX(LM_Scholar,G798)+INDEX(tun_ResearcherShare,G798)*tun_OutResearcher*INDEX(LM_Researcher,G798)))</x:f>
        <x:v>0</x:v>
      </x:c>
      <x:c r="AL798" s="32" t="n">
        <x:f>H798*tun_RoleScale*Arch_Roles*AE798*INDEX(tun_MonasteryPerSett,G798)*tun_OutMonastery*INDEX(LM_Monastery,G798)</x:f>
        <x:v>0</x:v>
      </x:c>
      <x:c r="AM798" s="32" t="n">
        <x:f>(AJ798+AK798+AL798)/4*INDEX(LM_All,G798)*INDEX(tun_Boon,G798)*Arch_Insight</x:f>
        <x:v>0</x:v>
      </x:c>
      <x:c r="AN798" s="32" t="n">
        <x:f>H798*(tun_KHPerAdult*Z798+tun_KHOfCommons*AJ798/4*INDEX(LM_All,G798))*tun_KHUsable*Arch_KH</x:f>
        <x:v>0</x:v>
      </x:c>
      <x:c r="AO798" s="32" t="n">
        <x:f>MIN(AP797+AN798,AM798*tun_KHMaxRatio)</x:f>
        <x:v>0</x:v>
      </x:c>
      <x:c r="AP798" s="32" t="n">
        <x:f>AP797+AN798-AO798</x:f>
        <x:v>0</x:v>
      </x:c>
      <x:c r="AQ798" s="32" t="n">
        <x:f>AM798+AO798</x:f>
        <x:v>0</x:v>
      </x:c>
      <x:c r="AR798" s="10" t="n">
        <x:f>IF(H798=1,INDEX(tun_Req,G798),0)</x:f>
        <x:v>0</x:v>
      </x:c>
      <x:c r="AS798" s="32" t="n">
        <x:f>IF(H798=1,IF(E798=1,AS797-AR797,AS797)+AQ798,0)</x:f>
        <x:v>0</x:v>
      </x:c>
      <x:c r="AT798" s="11" t="n">
        <x:f>IF(AR798&gt;0,MIN(1,AS798/AR798),1)</x:f>
        <x:v>1</x:v>
      </x:c>
      <x:c r="AU798" s="10" t="n">
        <x:f>AB798/INDEX(tun_RepScale,G798)</x:f>
        <x:v>290.3368848566301</x:v>
      </x:c>
      <x:c r="AV798" s="32" t="n">
        <x:f>AM798*60/tun_SeasonSeconds</x:f>
        <x:v>0</x:v>
      </x:c>
    </x:row>
    <x:row r="799">
      <x:c r="A799" s="8" t="n">
        <x:f>A798+1</x:f>
        <x:v>796</x:v>
      </x:c>
      <x:c r="B799" s="9" t="n">
        <x:f>A799*tun_SeasonSeconds/60</x:f>
        <x:v>199</x:v>
      </x:c>
      <x:c r="C799" s="9" t="n">
        <x:f>A799/4</x:f>
        <x:v>199</x:v>
      </x:c>
      <x:c r="D799" s="8" t="n">
        <x:f>IF(MOD(A799,4)=0,1,0)</x:f>
        <x:v>1</x:v>
      </x:c>
      <x:c r="E799" s="8" t="n">
        <x:f>IF(AND(F798&lt;=9,AS798&gt;=AR798),1,0)</x:f>
        <x:v>0</x:v>
      </x:c>
      <x:c r="F799" s="8" t="n">
        <x:f>MIN(10,F798+E799)</x:f>
        <x:v>10</x:v>
      </x:c>
      <x:c r="G799" s="8" t="n">
        <x:f>MIN(F799,9)+1</x:f>
        <x:v>10</x:v>
      </x:c>
      <x:c r="H799" s="8" t="n">
        <x:f>IF(F799&lt;=9,1,0)</x:f>
        <x:v>0</x:v>
      </x:c>
      <x:c r="I799" s="9" t="n">
        <x:f>MIN(10,F798+IF(AR798&gt;0,MIN(1,AS798/AR798),1))</x:f>
        <x:v>10</x:v>
      </x:c>
      <x:c r="J799" s="32" t="n">
        <x:f>INDEX(tun_FoodCap,G799)*Arch_FoodCap*EXP(tun_CapsByProject*SUMPRODUCT((Cap_Point&lt;=I799)*(Cap_Kind="Food")*Cap_Ln))</x:f>
        <x:v>18627.260449441455</x:v>
      </x:c>
      <x:c r="K799" s="32" t="n">
        <x:f>J799*MIN(1,tun_LeanBase*EXP(tun_CapsByProject*SUMPRODUCT((Cap_Point&lt;=I799)*(Cap_Kind="Lean")*Cap_Ln)))</x:f>
        <x:v>18627.260449441455</x:v>
      </x:c>
      <x:c r="L799" s="10" t="n">
        <x:f>INDEX(tun_HousingCap,G799)*EXP(tun_CapsByProject*SUMPRODUCT((Cap_Point&lt;=I799)*(Cap_Kind="Housing")*Cap_Ln))</x:f>
        <x:v>20528.974303173167</x:v>
      </x:c>
      <x:c r="M799" s="10" t="n">
        <x:f>INDEX(tun_GroupCap,G799)*tun_CohesionFactor*EXP(tun_CapsByProject*SUMPRODUCT((Cap_Point&lt;=I799)*(Cap_Kind="Group")*Cap_Ln))</x:f>
        <x:v>1000000.000000001</x:v>
      </x:c>
      <x:c r="N799" s="32" t="n">
        <x:f>MIN(J799,L799,M799)</x:f>
        <x:v>18627.260449441455</x:v>
      </x:c>
      <x:c r="O799" s="10" t="n">
        <x:f>AE798*N799</x:f>
        <x:v>167645.34404497308</x:v>
      </x:c>
      <x:c r="P799" s="9" t="n">
        <x:f>MIN(1,(AB798/(AE798*IF(tun_GroupInCrowding=1,N799,MIN(J799,L799))))^tun_CrowdingExp)</x:f>
        <x:v>0.4215841981292809</x:v>
      </x:c>
      <x:c r="Q799" s="9" t="n">
        <x:f>IF(D799=1,INDEX(tun_WinterMult,G799),1)</x:f>
        <x:v>1.05</x:v>
      </x:c>
      <x:c r="R799" s="9" t="n">
        <x:f>H799*Z798*tun_WomenShare*tun_BaseFertility*INDEX(tun_FertMult,G799)*Arch_Fertility*(1-P799)</x:f>
        <x:v>0</x:v>
      </x:c>
      <x:c r="S799" s="9" t="n">
        <x:f>H799*Y798*INDEX(tun_MortChild,G799)/4*Q799</x:f>
        <x:v>0</x:v>
      </x:c>
      <x:c r="T799" s="9" t="n">
        <x:f>H799*Z798*INDEX(tun_MortAdult,G799)*Arch_AdultMort/4*Q799</x:f>
        <x:v>0</x:v>
      </x:c>
      <x:c r="U799" s="9" t="n">
        <x:f>H799*AA798*INDEX(tun_MortElder,G799)/4*Q799</x:f>
        <x:v>0</x:v>
      </x:c>
      <x:c r="V799" s="9" t="n">
        <x:f>H799*MAX(0,AB798-O799)*tun_OvercapLoss</x:f>
        <x:v>0</x:v>
      </x:c>
      <x:c r="W799" s="9" t="n">
        <x:f>H799*Y798/(tun_ChildYears*4)</x:f>
        <x:v>0</x:v>
      </x:c>
      <x:c r="X799" s="9" t="n">
        <x:f>H799*Z798/(tun_AdultYears*4)</x:f>
        <x:v>0</x:v>
      </x:c>
      <x:c r="Y799" s="32" t="n">
        <x:f>Y798+R799-S799-W799-Y798*V799/AB798</x:f>
        <x:v>40496.20709015643</x:v>
      </x:c>
      <x:c r="Z799" s="32" t="n">
        <x:f>Z798+W799-X799-T799-Z798*V799/AB798</x:f>
        <x:v>59141.61122890803</x:v>
      </x:c>
      <x:c r="AA799" s="32" t="n">
        <x:f>AA798+X799-U799-AA798*V799/AB798</x:f>
        <x:v>45530.62410925061</x:v>
      </x:c>
      <x:c r="AB799" s="10" t="n">
        <x:f>Y799+Z799+AA799</x:f>
        <x:v>145168.44242831506</x:v>
      </x:c>
      <x:c r="AC799" s="8" t="n">
        <x:f>IF(AND(tun_WinterTrigger=1,D799=1,AB798/AE798&gt;=K799),1,0)</x:f>
        <x:v>0</x:v>
      </x:c>
      <x:c r="AD799" s="8" t="n">
        <x:f>H799*IF(AND(OR(AB798/AE798&gt;=tun_FissionTrigger*N799,AC799=1),AB798/AE798*tun_DaughterShare&gt;=tun_MinDaughter),MAX(1,ROUND(AE798*tun_FissionRate,0)),0)</x:f>
        <x:v>0</x:v>
      </x:c>
      <x:c r="AE799" s="8" t="n">
        <x:f>IF(H799=1,MAX(1,MIN(INDEX(tun_Smax,G799),AE798+AD799)),AE798)</x:f>
        <x:v>9</x:v>
      </x:c>
      <x:c r="AF799" s="8" t="n">
        <x:f>MAX(0,AE799-AE798)</x:f>
        <x:v>0</x:v>
      </x:c>
      <x:c r="AG799" s="9" t="str">
        <x:f>IF(AF799&gt;0,B799,"")</x:f>
      </x:c>
      <x:c r="AH799" s="9" t="n">
        <x:f>IF(F799&gt;=1,1,(1+tun_LowTiesShare*(AE799-1))/AE799)</x:f>
        <x:v>1</x:v>
      </x:c>
      <x:c r="AI799" s="32" t="n">
        <x:f>(Z799+tun_ElderCommons*INDEX(LM_Elder,G799)*AA799)*AH799</x:f>
        <x:v>238215.0665857503</x:v>
      </x:c>
      <x:c r="AJ799" s="32" t="n">
        <x:f>H799*tun_CommonsCoef*AI799^tun_CommonsExp*INDEX(LM_Commons,G799)</x:f>
        <x:v>0</x:v>
      </x:c>
      <x:c r="AK799" s="32" t="n">
        <x:f>H799*tun_RoleScale*Arch_Roles*(AE799*(INDEX(tun_ElderRolePerSett,G799)*tun_OutElder*INDEX(LM_Elder,G799)+INDEX(tun_ShamanPerSett,G799)*tun_OutShaman)+Z799*(INDEX(tun_PriestShare,G799)*tun_OutPriest+INDEX(tun_ScribeShare,G799)*tun_OutScribe*INDEX(LM_Scribe,G799)+INDEX(tun_ScholarShare,G799)*tun_OutScholar*INDEX(LM_Scholar,G799)+INDEX(tun_ResearcherShare,G799)*tun_OutResearcher*INDEX(LM_Researcher,G799)))</x:f>
        <x:v>0</x:v>
      </x:c>
      <x:c r="AL799" s="32" t="n">
        <x:f>H799*tun_RoleScale*Arch_Roles*AE799*INDEX(tun_MonasteryPerSett,G799)*tun_OutMonastery*INDEX(LM_Monastery,G799)</x:f>
        <x:v>0</x:v>
      </x:c>
      <x:c r="AM799" s="32" t="n">
        <x:f>(AJ799+AK799+AL799)/4*INDEX(LM_All,G799)*INDEX(tun_Boon,G799)*Arch_Insight</x:f>
        <x:v>0</x:v>
      </x:c>
      <x:c r="AN799" s="32" t="n">
        <x:f>H799*(tun_KHPerAdult*Z799+tun_KHOfCommons*AJ799/4*INDEX(LM_All,G799))*tun_KHUsable*Arch_KH</x:f>
        <x:v>0</x:v>
      </x:c>
      <x:c r="AO799" s="32" t="n">
        <x:f>MIN(AP798+AN799,AM799*tun_KHMaxRatio)</x:f>
        <x:v>0</x:v>
      </x:c>
      <x:c r="AP799" s="32" t="n">
        <x:f>AP798+AN799-AO799</x:f>
        <x:v>0</x:v>
      </x:c>
      <x:c r="AQ799" s="32" t="n">
        <x:f>AM799+AO799</x:f>
        <x:v>0</x:v>
      </x:c>
      <x:c r="AR799" s="10" t="n">
        <x:f>IF(H799=1,INDEX(tun_Req,G799),0)</x:f>
        <x:v>0</x:v>
      </x:c>
      <x:c r="AS799" s="32" t="n">
        <x:f>IF(H799=1,IF(E799=1,AS798-AR798,AS798)+AQ799,0)</x:f>
        <x:v>0</x:v>
      </x:c>
      <x:c r="AT799" s="11" t="n">
        <x:f>IF(AR799&gt;0,MIN(1,AS799/AR799),1)</x:f>
        <x:v>1</x:v>
      </x:c>
      <x:c r="AU799" s="10" t="n">
        <x:f>AB799/INDEX(tun_RepScale,G799)</x:f>
        <x:v>290.3368848566301</x:v>
      </x:c>
      <x:c r="AV799" s="32" t="n">
        <x:f>AM799*60/tun_SeasonSeconds</x:f>
        <x:v>0</x:v>
      </x:c>
    </x:row>
    <x:row r="800">
      <x:c r="A800" s="8" t="n">
        <x:f>A799+1</x:f>
        <x:v>797</x:v>
      </x:c>
      <x:c r="B800" s="9" t="n">
        <x:f>A800*tun_SeasonSeconds/60</x:f>
        <x:v>199.25</x:v>
      </x:c>
      <x:c r="C800" s="9" t="n">
        <x:f>A800/4</x:f>
        <x:v>199.25</x:v>
      </x:c>
      <x:c r="D800" s="8" t="n">
        <x:f>IF(MOD(A800,4)=0,1,0)</x:f>
        <x:v>0</x:v>
      </x:c>
      <x:c r="E800" s="8" t="n">
        <x:f>IF(AND(F799&lt;=9,AS799&gt;=AR799),1,0)</x:f>
        <x:v>0</x:v>
      </x:c>
      <x:c r="F800" s="8" t="n">
        <x:f>MIN(10,F799+E800)</x:f>
        <x:v>10</x:v>
      </x:c>
      <x:c r="G800" s="8" t="n">
        <x:f>MIN(F800,9)+1</x:f>
        <x:v>10</x:v>
      </x:c>
      <x:c r="H800" s="8" t="n">
        <x:f>IF(F800&lt;=9,1,0)</x:f>
        <x:v>0</x:v>
      </x:c>
      <x:c r="I800" s="9" t="n">
        <x:f>MIN(10,F799+IF(AR799&gt;0,MIN(1,AS799/AR799),1))</x:f>
        <x:v>10</x:v>
      </x:c>
      <x:c r="J800" s="32" t="n">
        <x:f>INDEX(tun_FoodCap,G800)*Arch_FoodCap*EXP(tun_CapsByProject*SUMPRODUCT((Cap_Point&lt;=I800)*(Cap_Kind="Food")*Cap_Ln))</x:f>
        <x:v>18627.260449441455</x:v>
      </x:c>
      <x:c r="K800" s="32" t="n">
        <x:f>J800*MIN(1,tun_LeanBase*EXP(tun_CapsByProject*SUMPRODUCT((Cap_Point&lt;=I800)*(Cap_Kind="Lean")*Cap_Ln)))</x:f>
        <x:v>18627.260449441455</x:v>
      </x:c>
      <x:c r="L800" s="10" t="n">
        <x:f>INDEX(tun_HousingCap,G800)*EXP(tun_CapsByProject*SUMPRODUCT((Cap_Point&lt;=I800)*(Cap_Kind="Housing")*Cap_Ln))</x:f>
        <x:v>20528.974303173167</x:v>
      </x:c>
      <x:c r="M800" s="10" t="n">
        <x:f>INDEX(tun_GroupCap,G800)*tun_CohesionFactor*EXP(tun_CapsByProject*SUMPRODUCT((Cap_Point&lt;=I800)*(Cap_Kind="Group")*Cap_Ln))</x:f>
        <x:v>1000000.000000001</x:v>
      </x:c>
      <x:c r="N800" s="32" t="n">
        <x:f>MIN(J800,L800,M800)</x:f>
        <x:v>18627.260449441455</x:v>
      </x:c>
      <x:c r="O800" s="10" t="n">
        <x:f>AE799*N800</x:f>
        <x:v>167645.34404497308</x:v>
      </x:c>
      <x:c r="P800" s="9" t="n">
        <x:f>MIN(1,(AB799/(AE799*IF(tun_GroupInCrowding=1,N800,MIN(J800,L800))))^tun_CrowdingExp)</x:f>
        <x:v>0.4215841981292809</x:v>
      </x:c>
      <x:c r="Q800" s="9" t="n">
        <x:f>IF(D800=1,INDEX(tun_WinterMult,G800),1)</x:f>
        <x:v>1</x:v>
      </x:c>
      <x:c r="R800" s="9" t="n">
        <x:f>H800*Z799*tun_WomenShare*tun_BaseFertility*INDEX(tun_FertMult,G800)*Arch_Fertility*(1-P800)</x:f>
        <x:v>0</x:v>
      </x:c>
      <x:c r="S800" s="9" t="n">
        <x:f>H800*Y799*INDEX(tun_MortChild,G800)/4*Q800</x:f>
        <x:v>0</x:v>
      </x:c>
      <x:c r="T800" s="9" t="n">
        <x:f>H800*Z799*INDEX(tun_MortAdult,G800)*Arch_AdultMort/4*Q800</x:f>
        <x:v>0</x:v>
      </x:c>
      <x:c r="U800" s="9" t="n">
        <x:f>H800*AA799*INDEX(tun_MortElder,G800)/4*Q800</x:f>
        <x:v>0</x:v>
      </x:c>
      <x:c r="V800" s="9" t="n">
        <x:f>H800*MAX(0,AB799-O800)*tun_OvercapLoss</x:f>
        <x:v>0</x:v>
      </x:c>
      <x:c r="W800" s="9" t="n">
        <x:f>H800*Y799/(tun_ChildYears*4)</x:f>
        <x:v>0</x:v>
      </x:c>
      <x:c r="X800" s="9" t="n">
        <x:f>H800*Z799/(tun_AdultYears*4)</x:f>
        <x:v>0</x:v>
      </x:c>
      <x:c r="Y800" s="32" t="n">
        <x:f>Y799+R800-S800-W800-Y799*V800/AB799</x:f>
        <x:v>40496.20709015643</x:v>
      </x:c>
      <x:c r="Z800" s="32" t="n">
        <x:f>Z799+W800-X800-T800-Z799*V800/AB799</x:f>
        <x:v>59141.61122890803</x:v>
      </x:c>
      <x:c r="AA800" s="32" t="n">
        <x:f>AA799+X800-U800-AA799*V800/AB799</x:f>
        <x:v>45530.62410925061</x:v>
      </x:c>
      <x:c r="AB800" s="10" t="n">
        <x:f>Y800+Z800+AA800</x:f>
        <x:v>145168.44242831506</x:v>
      </x:c>
      <x:c r="AC800" s="8" t="n">
        <x:f>IF(AND(tun_WinterTrigger=1,D800=1,AB799/AE799&gt;=K800),1,0)</x:f>
        <x:v>0</x:v>
      </x:c>
      <x:c r="AD800" s="8" t="n">
        <x:f>H800*IF(AND(OR(AB799/AE799&gt;=tun_FissionTrigger*N800,AC800=1),AB799/AE799*tun_DaughterShare&gt;=tun_MinDaughter),MAX(1,ROUND(AE799*tun_FissionRate,0)),0)</x:f>
        <x:v>0</x:v>
      </x:c>
      <x:c r="AE800" s="8" t="n">
        <x:f>IF(H800=1,MAX(1,MIN(INDEX(tun_Smax,G800),AE799+AD800)),AE799)</x:f>
        <x:v>9</x:v>
      </x:c>
      <x:c r="AF800" s="8" t="n">
        <x:f>MAX(0,AE800-AE799)</x:f>
        <x:v>0</x:v>
      </x:c>
      <x:c r="AG800" s="9" t="str">
        <x:f>IF(AF800&gt;0,B800,"")</x:f>
      </x:c>
      <x:c r="AH800" s="9" t="n">
        <x:f>IF(F800&gt;=1,1,(1+tun_LowTiesShare*(AE800-1))/AE800)</x:f>
        <x:v>1</x:v>
      </x:c>
      <x:c r="AI800" s="32" t="n">
        <x:f>(Z800+tun_ElderCommons*INDEX(LM_Elder,G800)*AA800)*AH800</x:f>
        <x:v>238215.0665857503</x:v>
      </x:c>
      <x:c r="AJ800" s="32" t="n">
        <x:f>H800*tun_CommonsCoef*AI800^tun_CommonsExp*INDEX(LM_Commons,G800)</x:f>
        <x:v>0</x:v>
      </x:c>
      <x:c r="AK800" s="32" t="n">
        <x:f>H800*tun_RoleScale*Arch_Roles*(AE800*(INDEX(tun_ElderRolePerSett,G800)*tun_OutElder*INDEX(LM_Elder,G800)+INDEX(tun_ShamanPerSett,G800)*tun_OutShaman)+Z800*(INDEX(tun_PriestShare,G800)*tun_OutPriest+INDEX(tun_ScribeShare,G800)*tun_OutScribe*INDEX(LM_Scribe,G800)+INDEX(tun_ScholarShare,G800)*tun_OutScholar*INDEX(LM_Scholar,G800)+INDEX(tun_ResearcherShare,G800)*tun_OutResearcher*INDEX(LM_Researcher,G800)))</x:f>
        <x:v>0</x:v>
      </x:c>
      <x:c r="AL800" s="32" t="n">
        <x:f>H800*tun_RoleScale*Arch_Roles*AE800*INDEX(tun_MonasteryPerSett,G800)*tun_OutMonastery*INDEX(LM_Monastery,G800)</x:f>
        <x:v>0</x:v>
      </x:c>
      <x:c r="AM800" s="32" t="n">
        <x:f>(AJ800+AK800+AL800)/4*INDEX(LM_All,G800)*INDEX(tun_Boon,G800)*Arch_Insight</x:f>
        <x:v>0</x:v>
      </x:c>
      <x:c r="AN800" s="32" t="n">
        <x:f>H800*(tun_KHPerAdult*Z800+tun_KHOfCommons*AJ800/4*INDEX(LM_All,G800))*tun_KHUsable*Arch_KH</x:f>
        <x:v>0</x:v>
      </x:c>
      <x:c r="AO800" s="32" t="n">
        <x:f>MIN(AP799+AN800,AM800*tun_KHMaxRatio)</x:f>
        <x:v>0</x:v>
      </x:c>
      <x:c r="AP800" s="32" t="n">
        <x:f>AP799+AN800-AO800</x:f>
        <x:v>0</x:v>
      </x:c>
      <x:c r="AQ800" s="32" t="n">
        <x:f>AM800+AO800</x:f>
        <x:v>0</x:v>
      </x:c>
      <x:c r="AR800" s="10" t="n">
        <x:f>IF(H800=1,INDEX(tun_Req,G800),0)</x:f>
        <x:v>0</x:v>
      </x:c>
      <x:c r="AS800" s="32" t="n">
        <x:f>IF(H800=1,IF(E800=1,AS799-AR799,AS799)+AQ800,0)</x:f>
        <x:v>0</x:v>
      </x:c>
      <x:c r="AT800" s="11" t="n">
        <x:f>IF(AR800&gt;0,MIN(1,AS800/AR800),1)</x:f>
        <x:v>1</x:v>
      </x:c>
      <x:c r="AU800" s="10" t="n">
        <x:f>AB800/INDEX(tun_RepScale,G800)</x:f>
        <x:v>290.3368848566301</x:v>
      </x:c>
      <x:c r="AV800" s="32" t="n">
        <x:f>AM800*60/tun_SeasonSeconds</x:f>
        <x:v>0</x:v>
      </x:c>
    </x:row>
    <x:row r="801">
      <x:c r="A801" s="8" t="n">
        <x:f>A800+1</x:f>
        <x:v>798</x:v>
      </x:c>
      <x:c r="B801" s="9" t="n">
        <x:f>A801*tun_SeasonSeconds/60</x:f>
        <x:v>199.5</x:v>
      </x:c>
      <x:c r="C801" s="9" t="n">
        <x:f>A801/4</x:f>
        <x:v>199.5</x:v>
      </x:c>
      <x:c r="D801" s="8" t="n">
        <x:f>IF(MOD(A801,4)=0,1,0)</x:f>
        <x:v>0</x:v>
      </x:c>
      <x:c r="E801" s="8" t="n">
        <x:f>IF(AND(F800&lt;=9,AS800&gt;=AR800),1,0)</x:f>
        <x:v>0</x:v>
      </x:c>
      <x:c r="F801" s="8" t="n">
        <x:f>MIN(10,F800+E801)</x:f>
        <x:v>10</x:v>
      </x:c>
      <x:c r="G801" s="8" t="n">
        <x:f>MIN(F801,9)+1</x:f>
        <x:v>10</x:v>
      </x:c>
      <x:c r="H801" s="8" t="n">
        <x:f>IF(F801&lt;=9,1,0)</x:f>
        <x:v>0</x:v>
      </x:c>
      <x:c r="I801" s="9" t="n">
        <x:f>MIN(10,F800+IF(AR800&gt;0,MIN(1,AS800/AR800),1))</x:f>
        <x:v>10</x:v>
      </x:c>
      <x:c r="J801" s="32" t="n">
        <x:f>INDEX(tun_FoodCap,G801)*Arch_FoodCap*EXP(tun_CapsByProject*SUMPRODUCT((Cap_Point&lt;=I801)*(Cap_Kind="Food")*Cap_Ln))</x:f>
        <x:v>18627.260449441455</x:v>
      </x:c>
      <x:c r="K801" s="32" t="n">
        <x:f>J801*MIN(1,tun_LeanBase*EXP(tun_CapsByProject*SUMPRODUCT((Cap_Point&lt;=I801)*(Cap_Kind="Lean")*Cap_Ln)))</x:f>
        <x:v>18627.260449441455</x:v>
      </x:c>
      <x:c r="L801" s="10" t="n">
        <x:f>INDEX(tun_HousingCap,G801)*EXP(tun_CapsByProject*SUMPRODUCT((Cap_Point&lt;=I801)*(Cap_Kind="Housing")*Cap_Ln))</x:f>
        <x:v>20528.974303173167</x:v>
      </x:c>
      <x:c r="M801" s="10" t="n">
        <x:f>INDEX(tun_GroupCap,G801)*tun_CohesionFactor*EXP(tun_CapsByProject*SUMPRODUCT((Cap_Point&lt;=I801)*(Cap_Kind="Group")*Cap_Ln))</x:f>
        <x:v>1000000.000000001</x:v>
      </x:c>
      <x:c r="N801" s="32" t="n">
        <x:f>MIN(J801,L801,M801)</x:f>
        <x:v>18627.260449441455</x:v>
      </x:c>
      <x:c r="O801" s="10" t="n">
        <x:f>AE800*N801</x:f>
        <x:v>167645.34404497308</x:v>
      </x:c>
      <x:c r="P801" s="9" t="n">
        <x:f>MIN(1,(AB800/(AE800*IF(tun_GroupInCrowding=1,N801,MIN(J801,L801))))^tun_CrowdingExp)</x:f>
        <x:v>0.4215841981292809</x:v>
      </x:c>
      <x:c r="Q801" s="9" t="n">
        <x:f>IF(D801=1,INDEX(tun_WinterMult,G801),1)</x:f>
        <x:v>1</x:v>
      </x:c>
      <x:c r="R801" s="9" t="n">
        <x:f>H801*Z800*tun_WomenShare*tun_BaseFertility*INDEX(tun_FertMult,G801)*Arch_Fertility*(1-P801)</x:f>
        <x:v>0</x:v>
      </x:c>
      <x:c r="S801" s="9" t="n">
        <x:f>H801*Y800*INDEX(tun_MortChild,G801)/4*Q801</x:f>
        <x:v>0</x:v>
      </x:c>
      <x:c r="T801" s="9" t="n">
        <x:f>H801*Z800*INDEX(tun_MortAdult,G801)*Arch_AdultMort/4*Q801</x:f>
        <x:v>0</x:v>
      </x:c>
      <x:c r="U801" s="9" t="n">
        <x:f>H801*AA800*INDEX(tun_MortElder,G801)/4*Q801</x:f>
        <x:v>0</x:v>
      </x:c>
      <x:c r="V801" s="9" t="n">
        <x:f>H801*MAX(0,AB800-O801)*tun_OvercapLoss</x:f>
        <x:v>0</x:v>
      </x:c>
      <x:c r="W801" s="9" t="n">
        <x:f>H801*Y800/(tun_ChildYears*4)</x:f>
        <x:v>0</x:v>
      </x:c>
      <x:c r="X801" s="9" t="n">
        <x:f>H801*Z800/(tun_AdultYears*4)</x:f>
        <x:v>0</x:v>
      </x:c>
      <x:c r="Y801" s="32" t="n">
        <x:f>Y800+R801-S801-W801-Y800*V801/AB800</x:f>
        <x:v>40496.20709015643</x:v>
      </x:c>
      <x:c r="Z801" s="32" t="n">
        <x:f>Z800+W801-X801-T801-Z800*V801/AB800</x:f>
        <x:v>59141.61122890803</x:v>
      </x:c>
      <x:c r="AA801" s="32" t="n">
        <x:f>AA800+X801-U801-AA800*V801/AB800</x:f>
        <x:v>45530.62410925061</x:v>
      </x:c>
      <x:c r="AB801" s="10" t="n">
        <x:f>Y801+Z801+AA801</x:f>
        <x:v>145168.44242831506</x:v>
      </x:c>
      <x:c r="AC801" s="8" t="n">
        <x:f>IF(AND(tun_WinterTrigger=1,D801=1,AB800/AE800&gt;=K801),1,0)</x:f>
        <x:v>0</x:v>
      </x:c>
      <x:c r="AD801" s="8" t="n">
        <x:f>H801*IF(AND(OR(AB800/AE800&gt;=tun_FissionTrigger*N801,AC801=1),AB800/AE800*tun_DaughterShare&gt;=tun_MinDaughter),MAX(1,ROUND(AE800*tun_FissionRate,0)),0)</x:f>
        <x:v>0</x:v>
      </x:c>
      <x:c r="AE801" s="8" t="n">
        <x:f>IF(H801=1,MAX(1,MIN(INDEX(tun_Smax,G801),AE800+AD801)),AE800)</x:f>
        <x:v>9</x:v>
      </x:c>
      <x:c r="AF801" s="8" t="n">
        <x:f>MAX(0,AE801-AE800)</x:f>
        <x:v>0</x:v>
      </x:c>
      <x:c r="AG801" s="9" t="str">
        <x:f>IF(AF801&gt;0,B801,"")</x:f>
      </x:c>
      <x:c r="AH801" s="9" t="n">
        <x:f>IF(F801&gt;=1,1,(1+tun_LowTiesShare*(AE801-1))/AE801)</x:f>
        <x:v>1</x:v>
      </x:c>
      <x:c r="AI801" s="32" t="n">
        <x:f>(Z801+tun_ElderCommons*INDEX(LM_Elder,G801)*AA801)*AH801</x:f>
        <x:v>238215.0665857503</x:v>
      </x:c>
      <x:c r="AJ801" s="32" t="n">
        <x:f>H801*tun_CommonsCoef*AI801^tun_CommonsExp*INDEX(LM_Commons,G801)</x:f>
        <x:v>0</x:v>
      </x:c>
      <x:c r="AK801" s="32" t="n">
        <x:f>H801*tun_RoleScale*Arch_Roles*(AE801*(INDEX(tun_ElderRolePerSett,G801)*tun_OutElder*INDEX(LM_Elder,G801)+INDEX(tun_ShamanPerSett,G801)*tun_OutShaman)+Z801*(INDEX(tun_PriestShare,G801)*tun_OutPriest+INDEX(tun_ScribeShare,G801)*tun_OutScribe*INDEX(LM_Scribe,G801)+INDEX(tun_ScholarShare,G801)*tun_OutScholar*INDEX(LM_Scholar,G801)+INDEX(tun_ResearcherShare,G801)*tun_OutResearcher*INDEX(LM_Researcher,G801)))</x:f>
        <x:v>0</x:v>
      </x:c>
      <x:c r="AL801" s="32" t="n">
        <x:f>H801*tun_RoleScale*Arch_Roles*AE801*INDEX(tun_MonasteryPerSett,G801)*tun_OutMonastery*INDEX(LM_Monastery,G801)</x:f>
        <x:v>0</x:v>
      </x:c>
      <x:c r="AM801" s="32" t="n">
        <x:f>(AJ801+AK801+AL801)/4*INDEX(LM_All,G801)*INDEX(tun_Boon,G801)*Arch_Insight</x:f>
        <x:v>0</x:v>
      </x:c>
      <x:c r="AN801" s="32" t="n">
        <x:f>H801*(tun_KHPerAdult*Z801+tun_KHOfCommons*AJ801/4*INDEX(LM_All,G801))*tun_KHUsable*Arch_KH</x:f>
        <x:v>0</x:v>
      </x:c>
      <x:c r="AO801" s="32" t="n">
        <x:f>MIN(AP800+AN801,AM801*tun_KHMaxRatio)</x:f>
        <x:v>0</x:v>
      </x:c>
      <x:c r="AP801" s="32" t="n">
        <x:f>AP800+AN801-AO801</x:f>
        <x:v>0</x:v>
      </x:c>
      <x:c r="AQ801" s="32" t="n">
        <x:f>AM801+AO801</x:f>
        <x:v>0</x:v>
      </x:c>
      <x:c r="AR801" s="10" t="n">
        <x:f>IF(H801=1,INDEX(tun_Req,G801),0)</x:f>
        <x:v>0</x:v>
      </x:c>
      <x:c r="AS801" s="32" t="n">
        <x:f>IF(H801=1,IF(E801=1,AS800-AR800,AS800)+AQ801,0)</x:f>
        <x:v>0</x:v>
      </x:c>
      <x:c r="AT801" s="11" t="n">
        <x:f>IF(AR801&gt;0,MIN(1,AS801/AR801),1)</x:f>
        <x:v>1</x:v>
      </x:c>
      <x:c r="AU801" s="10" t="n">
        <x:f>AB801/INDEX(tun_RepScale,G801)</x:f>
        <x:v>290.3368848566301</x:v>
      </x:c>
      <x:c r="AV801" s="32" t="n">
        <x:f>AM801*60/tun_SeasonSeconds</x:f>
        <x:v>0</x:v>
      </x:c>
    </x:row>
    <x:row r="802">
      <x:c r="A802" s="8" t="n">
        <x:f>A801+1</x:f>
        <x:v>799</x:v>
      </x:c>
      <x:c r="B802" s="9" t="n">
        <x:f>A802*tun_SeasonSeconds/60</x:f>
        <x:v>199.75</x:v>
      </x:c>
      <x:c r="C802" s="9" t="n">
        <x:f>A802/4</x:f>
        <x:v>199.75</x:v>
      </x:c>
      <x:c r="D802" s="8" t="n">
        <x:f>IF(MOD(A802,4)=0,1,0)</x:f>
        <x:v>0</x:v>
      </x:c>
      <x:c r="E802" s="8" t="n">
        <x:f>IF(AND(F801&lt;=9,AS801&gt;=AR801),1,0)</x:f>
        <x:v>0</x:v>
      </x:c>
      <x:c r="F802" s="8" t="n">
        <x:f>MIN(10,F801+E802)</x:f>
        <x:v>10</x:v>
      </x:c>
      <x:c r="G802" s="8" t="n">
        <x:f>MIN(F802,9)+1</x:f>
        <x:v>10</x:v>
      </x:c>
      <x:c r="H802" s="8" t="n">
        <x:f>IF(F802&lt;=9,1,0)</x:f>
        <x:v>0</x:v>
      </x:c>
      <x:c r="I802" s="9" t="n">
        <x:f>MIN(10,F801+IF(AR801&gt;0,MIN(1,AS801/AR801),1))</x:f>
        <x:v>10</x:v>
      </x:c>
      <x:c r="J802" s="32" t="n">
        <x:f>INDEX(tun_FoodCap,G802)*Arch_FoodCap*EXP(tun_CapsByProject*SUMPRODUCT((Cap_Point&lt;=I802)*(Cap_Kind="Food")*Cap_Ln))</x:f>
        <x:v>18627.260449441455</x:v>
      </x:c>
      <x:c r="K802" s="32" t="n">
        <x:f>J802*MIN(1,tun_LeanBase*EXP(tun_CapsByProject*SUMPRODUCT((Cap_Point&lt;=I802)*(Cap_Kind="Lean")*Cap_Ln)))</x:f>
        <x:v>18627.260449441455</x:v>
      </x:c>
      <x:c r="L802" s="10" t="n">
        <x:f>INDEX(tun_HousingCap,G802)*EXP(tun_CapsByProject*SUMPRODUCT((Cap_Point&lt;=I802)*(Cap_Kind="Housing")*Cap_Ln))</x:f>
        <x:v>20528.974303173167</x:v>
      </x:c>
      <x:c r="M802" s="10" t="n">
        <x:f>INDEX(tun_GroupCap,G802)*tun_CohesionFactor*EXP(tun_CapsByProject*SUMPRODUCT((Cap_Point&lt;=I802)*(Cap_Kind="Group")*Cap_Ln))</x:f>
        <x:v>1000000.000000001</x:v>
      </x:c>
      <x:c r="N802" s="32" t="n">
        <x:f>MIN(J802,L802,M802)</x:f>
        <x:v>18627.260449441455</x:v>
      </x:c>
      <x:c r="O802" s="10" t="n">
        <x:f>AE801*N802</x:f>
        <x:v>167645.34404497308</x:v>
      </x:c>
      <x:c r="P802" s="9" t="n">
        <x:f>MIN(1,(AB801/(AE801*IF(tun_GroupInCrowding=1,N802,MIN(J802,L802))))^tun_CrowdingExp)</x:f>
        <x:v>0.4215841981292809</x:v>
      </x:c>
      <x:c r="Q802" s="9" t="n">
        <x:f>IF(D802=1,INDEX(tun_WinterMult,G802),1)</x:f>
        <x:v>1</x:v>
      </x:c>
      <x:c r="R802" s="9" t="n">
        <x:f>H802*Z801*tun_WomenShare*tun_BaseFertility*INDEX(tun_FertMult,G802)*Arch_Fertility*(1-P802)</x:f>
        <x:v>0</x:v>
      </x:c>
      <x:c r="S802" s="9" t="n">
        <x:f>H802*Y801*INDEX(tun_MortChild,G802)/4*Q802</x:f>
        <x:v>0</x:v>
      </x:c>
      <x:c r="T802" s="9" t="n">
        <x:f>H802*Z801*INDEX(tun_MortAdult,G802)*Arch_AdultMort/4*Q802</x:f>
        <x:v>0</x:v>
      </x:c>
      <x:c r="U802" s="9" t="n">
        <x:f>H802*AA801*INDEX(tun_MortElder,G802)/4*Q802</x:f>
        <x:v>0</x:v>
      </x:c>
      <x:c r="V802" s="9" t="n">
        <x:f>H802*MAX(0,AB801-O802)*tun_OvercapLoss</x:f>
        <x:v>0</x:v>
      </x:c>
      <x:c r="W802" s="9" t="n">
        <x:f>H802*Y801/(tun_ChildYears*4)</x:f>
        <x:v>0</x:v>
      </x:c>
      <x:c r="X802" s="9" t="n">
        <x:f>H802*Z801/(tun_AdultYears*4)</x:f>
        <x:v>0</x:v>
      </x:c>
      <x:c r="Y802" s="32" t="n">
        <x:f>Y801+R802-S802-W802-Y801*V802/AB801</x:f>
        <x:v>40496.20709015643</x:v>
      </x:c>
      <x:c r="Z802" s="32" t="n">
        <x:f>Z801+W802-X802-T802-Z801*V802/AB801</x:f>
        <x:v>59141.61122890803</x:v>
      </x:c>
      <x:c r="AA802" s="32" t="n">
        <x:f>AA801+X802-U802-AA801*V802/AB801</x:f>
        <x:v>45530.62410925061</x:v>
      </x:c>
      <x:c r="AB802" s="10" t="n">
        <x:f>Y802+Z802+AA802</x:f>
        <x:v>145168.44242831506</x:v>
      </x:c>
      <x:c r="AC802" s="8" t="n">
        <x:f>IF(AND(tun_WinterTrigger=1,D802=1,AB801/AE801&gt;=K802),1,0)</x:f>
        <x:v>0</x:v>
      </x:c>
      <x:c r="AD802" s="8" t="n">
        <x:f>H802*IF(AND(OR(AB801/AE801&gt;=tun_FissionTrigger*N802,AC802=1),AB801/AE801*tun_DaughterShare&gt;=tun_MinDaughter),MAX(1,ROUND(AE801*tun_FissionRate,0)),0)</x:f>
        <x:v>0</x:v>
      </x:c>
      <x:c r="AE802" s="8" t="n">
        <x:f>IF(H802=1,MAX(1,MIN(INDEX(tun_Smax,G802),AE801+AD802)),AE801)</x:f>
        <x:v>9</x:v>
      </x:c>
      <x:c r="AF802" s="8" t="n">
        <x:f>MAX(0,AE802-AE801)</x:f>
        <x:v>0</x:v>
      </x:c>
      <x:c r="AG802" s="9" t="str">
        <x:f>IF(AF802&gt;0,B802,"")</x:f>
      </x:c>
      <x:c r="AH802" s="9" t="n">
        <x:f>IF(F802&gt;=1,1,(1+tun_LowTiesShare*(AE802-1))/AE802)</x:f>
        <x:v>1</x:v>
      </x:c>
      <x:c r="AI802" s="32" t="n">
        <x:f>(Z802+tun_ElderCommons*INDEX(LM_Elder,G802)*AA802)*AH802</x:f>
        <x:v>238215.0665857503</x:v>
      </x:c>
      <x:c r="AJ802" s="32" t="n">
        <x:f>H802*tun_CommonsCoef*AI802^tun_CommonsExp*INDEX(LM_Commons,G802)</x:f>
        <x:v>0</x:v>
      </x:c>
      <x:c r="AK802" s="32" t="n">
        <x:f>H802*tun_RoleScale*Arch_Roles*(AE802*(INDEX(tun_ElderRolePerSett,G802)*tun_OutElder*INDEX(LM_Elder,G802)+INDEX(tun_ShamanPerSett,G802)*tun_OutShaman)+Z802*(INDEX(tun_PriestShare,G802)*tun_OutPriest+INDEX(tun_ScribeShare,G802)*tun_OutScribe*INDEX(LM_Scribe,G802)+INDEX(tun_ScholarShare,G802)*tun_OutScholar*INDEX(LM_Scholar,G802)+INDEX(tun_ResearcherShare,G802)*tun_OutResearcher*INDEX(LM_Researcher,G802)))</x:f>
        <x:v>0</x:v>
      </x:c>
      <x:c r="AL802" s="32" t="n">
        <x:f>H802*tun_RoleScale*Arch_Roles*AE802*INDEX(tun_MonasteryPerSett,G802)*tun_OutMonastery*INDEX(LM_Monastery,G802)</x:f>
        <x:v>0</x:v>
      </x:c>
      <x:c r="AM802" s="32" t="n">
        <x:f>(AJ802+AK802+AL802)/4*INDEX(LM_All,G802)*INDEX(tun_Boon,G802)*Arch_Insight</x:f>
        <x:v>0</x:v>
      </x:c>
      <x:c r="AN802" s="32" t="n">
        <x:f>H802*(tun_KHPerAdult*Z802+tun_KHOfCommons*AJ802/4*INDEX(LM_All,G802))*tun_KHUsable*Arch_KH</x:f>
        <x:v>0</x:v>
      </x:c>
      <x:c r="AO802" s="32" t="n">
        <x:f>MIN(AP801+AN802,AM802*tun_KHMaxRatio)</x:f>
        <x:v>0</x:v>
      </x:c>
      <x:c r="AP802" s="32" t="n">
        <x:f>AP801+AN802-AO802</x:f>
        <x:v>0</x:v>
      </x:c>
      <x:c r="AQ802" s="32" t="n">
        <x:f>AM802+AO802</x:f>
        <x:v>0</x:v>
      </x:c>
      <x:c r="AR802" s="10" t="n">
        <x:f>IF(H802=1,INDEX(tun_Req,G802),0)</x:f>
        <x:v>0</x:v>
      </x:c>
      <x:c r="AS802" s="32" t="n">
        <x:f>IF(H802=1,IF(E802=1,AS801-AR801,AS801)+AQ802,0)</x:f>
        <x:v>0</x:v>
      </x:c>
      <x:c r="AT802" s="11" t="n">
        <x:f>IF(AR802&gt;0,MIN(1,AS802/AR802),1)</x:f>
        <x:v>1</x:v>
      </x:c>
      <x:c r="AU802" s="10" t="n">
        <x:f>AB802/INDEX(tun_RepScale,G802)</x:f>
        <x:v>290.3368848566301</x:v>
      </x:c>
      <x:c r="AV802" s="32" t="n">
        <x:f>AM802*60/tun_SeasonSeconds</x:f>
        <x:v>0</x:v>
      </x:c>
    </x:row>
    <x:row r="803">
      <x:c r="A803" s="8" t="n">
        <x:f>A802+1</x:f>
        <x:v>800</x:v>
      </x:c>
      <x:c r="B803" s="9" t="n">
        <x:f>A803*tun_SeasonSeconds/60</x:f>
        <x:v>200</x:v>
      </x:c>
      <x:c r="C803" s="9" t="n">
        <x:f>A803/4</x:f>
        <x:v>200</x:v>
      </x:c>
      <x:c r="D803" s="8" t="n">
        <x:f>IF(MOD(A803,4)=0,1,0)</x:f>
        <x:v>1</x:v>
      </x:c>
      <x:c r="E803" s="8" t="n">
        <x:f>IF(AND(F802&lt;=9,AS802&gt;=AR802),1,0)</x:f>
        <x:v>0</x:v>
      </x:c>
      <x:c r="F803" s="8" t="n">
        <x:f>MIN(10,F802+E803)</x:f>
        <x:v>10</x:v>
      </x:c>
      <x:c r="G803" s="8" t="n">
        <x:f>MIN(F803,9)+1</x:f>
        <x:v>10</x:v>
      </x:c>
      <x:c r="H803" s="8" t="n">
        <x:f>IF(F803&lt;=9,1,0)</x:f>
        <x:v>0</x:v>
      </x:c>
      <x:c r="I803" s="9" t="n">
        <x:f>MIN(10,F802+IF(AR802&gt;0,MIN(1,AS802/AR802),1))</x:f>
        <x:v>10</x:v>
      </x:c>
      <x:c r="J803" s="32" t="n">
        <x:f>INDEX(tun_FoodCap,G803)*Arch_FoodCap*EXP(tun_CapsByProject*SUMPRODUCT((Cap_Point&lt;=I803)*(Cap_Kind="Food")*Cap_Ln))</x:f>
        <x:v>18627.260449441455</x:v>
      </x:c>
      <x:c r="K803" s="32" t="n">
        <x:f>J803*MIN(1,tun_LeanBase*EXP(tun_CapsByProject*SUMPRODUCT((Cap_Point&lt;=I803)*(Cap_Kind="Lean")*Cap_Ln)))</x:f>
        <x:v>18627.260449441455</x:v>
      </x:c>
      <x:c r="L803" s="10" t="n">
        <x:f>INDEX(tun_HousingCap,G803)*EXP(tun_CapsByProject*SUMPRODUCT((Cap_Point&lt;=I803)*(Cap_Kind="Housing")*Cap_Ln))</x:f>
        <x:v>20528.974303173167</x:v>
      </x:c>
      <x:c r="M803" s="10" t="n">
        <x:f>INDEX(tun_GroupCap,G803)*tun_CohesionFactor*EXP(tun_CapsByProject*SUMPRODUCT((Cap_Point&lt;=I803)*(Cap_Kind="Group")*Cap_Ln))</x:f>
        <x:v>1000000.000000001</x:v>
      </x:c>
      <x:c r="N803" s="32" t="n">
        <x:f>MIN(J803,L803,M803)</x:f>
        <x:v>18627.260449441455</x:v>
      </x:c>
      <x:c r="O803" s="10" t="n">
        <x:f>AE802*N803</x:f>
        <x:v>167645.34404497308</x:v>
      </x:c>
      <x:c r="P803" s="9" t="n">
        <x:f>MIN(1,(AB802/(AE802*IF(tun_GroupInCrowding=1,N803,MIN(J803,L803))))^tun_CrowdingExp)</x:f>
        <x:v>0.4215841981292809</x:v>
      </x:c>
      <x:c r="Q803" s="9" t="n">
        <x:f>IF(D803=1,INDEX(tun_WinterMult,G803),1)</x:f>
        <x:v>1.05</x:v>
      </x:c>
      <x:c r="R803" s="9" t="n">
        <x:f>H803*Z802*tun_WomenShare*tun_BaseFertility*INDEX(tun_FertMult,G803)*Arch_Fertility*(1-P803)</x:f>
        <x:v>0</x:v>
      </x:c>
      <x:c r="S803" s="9" t="n">
        <x:f>H803*Y802*INDEX(tun_MortChild,G803)/4*Q803</x:f>
        <x:v>0</x:v>
      </x:c>
      <x:c r="T803" s="9" t="n">
        <x:f>H803*Z802*INDEX(tun_MortAdult,G803)*Arch_AdultMort/4*Q803</x:f>
        <x:v>0</x:v>
      </x:c>
      <x:c r="U803" s="9" t="n">
        <x:f>H803*AA802*INDEX(tun_MortElder,G803)/4*Q803</x:f>
        <x:v>0</x:v>
      </x:c>
      <x:c r="V803" s="9" t="n">
        <x:f>H803*MAX(0,AB802-O803)*tun_OvercapLoss</x:f>
        <x:v>0</x:v>
      </x:c>
      <x:c r="W803" s="9" t="n">
        <x:f>H803*Y802/(tun_ChildYears*4)</x:f>
        <x:v>0</x:v>
      </x:c>
      <x:c r="X803" s="9" t="n">
        <x:f>H803*Z802/(tun_AdultYears*4)</x:f>
        <x:v>0</x:v>
      </x:c>
      <x:c r="Y803" s="32" t="n">
        <x:f>Y802+R803-S803-W803-Y802*V803/AB802</x:f>
        <x:v>40496.20709015643</x:v>
      </x:c>
      <x:c r="Z803" s="32" t="n">
        <x:f>Z802+W803-X803-T803-Z802*V803/AB802</x:f>
        <x:v>59141.61122890803</x:v>
      </x:c>
      <x:c r="AA803" s="32" t="n">
        <x:f>AA802+X803-U803-AA802*V803/AB802</x:f>
        <x:v>45530.62410925061</x:v>
      </x:c>
      <x:c r="AB803" s="10" t="n">
        <x:f>Y803+Z803+AA803</x:f>
        <x:v>145168.44242831506</x:v>
      </x:c>
      <x:c r="AC803" s="8" t="n">
        <x:f>IF(AND(tun_WinterTrigger=1,D803=1,AB802/AE802&gt;=K803),1,0)</x:f>
        <x:v>0</x:v>
      </x:c>
      <x:c r="AD803" s="8" t="n">
        <x:f>H803*IF(AND(OR(AB802/AE802&gt;=tun_FissionTrigger*N803,AC803=1),AB802/AE802*tun_DaughterShare&gt;=tun_MinDaughter),MAX(1,ROUND(AE802*tun_FissionRate,0)),0)</x:f>
        <x:v>0</x:v>
      </x:c>
      <x:c r="AE803" s="8" t="n">
        <x:f>IF(H803=1,MAX(1,MIN(INDEX(tun_Smax,G803),AE802+AD803)),AE802)</x:f>
        <x:v>9</x:v>
      </x:c>
      <x:c r="AF803" s="8" t="n">
        <x:f>MAX(0,AE803-AE802)</x:f>
        <x:v>0</x:v>
      </x:c>
      <x:c r="AG803" s="9" t="str">
        <x:f>IF(AF803&gt;0,B803,"")</x:f>
      </x:c>
      <x:c r="AH803" s="9" t="n">
        <x:f>IF(F803&gt;=1,1,(1+tun_LowTiesShare*(AE803-1))/AE803)</x:f>
        <x:v>1</x:v>
      </x:c>
      <x:c r="AI803" s="32" t="n">
        <x:f>(Z803+tun_ElderCommons*INDEX(LM_Elder,G803)*AA803)*AH803</x:f>
        <x:v>238215.0665857503</x:v>
      </x:c>
      <x:c r="AJ803" s="32" t="n">
        <x:f>H803*tun_CommonsCoef*AI803^tun_CommonsExp*INDEX(LM_Commons,G803)</x:f>
        <x:v>0</x:v>
      </x:c>
      <x:c r="AK803" s="32" t="n">
        <x:f>H803*tun_RoleScale*Arch_Roles*(AE803*(INDEX(tun_ElderRolePerSett,G803)*tun_OutElder*INDEX(LM_Elder,G803)+INDEX(tun_ShamanPerSett,G803)*tun_OutShaman)+Z803*(INDEX(tun_PriestShare,G803)*tun_OutPriest+INDEX(tun_ScribeShare,G803)*tun_OutScribe*INDEX(LM_Scribe,G803)+INDEX(tun_ScholarShare,G803)*tun_OutScholar*INDEX(LM_Scholar,G803)+INDEX(tun_ResearcherShare,G803)*tun_OutResearcher*INDEX(LM_Researcher,G803)))</x:f>
        <x:v>0</x:v>
      </x:c>
      <x:c r="AL803" s="32" t="n">
        <x:f>H803*tun_RoleScale*Arch_Roles*AE803*INDEX(tun_MonasteryPerSett,G803)*tun_OutMonastery*INDEX(LM_Monastery,G803)</x:f>
        <x:v>0</x:v>
      </x:c>
      <x:c r="AM803" s="32" t="n">
        <x:f>(AJ803+AK803+AL803)/4*INDEX(LM_All,G803)*INDEX(tun_Boon,G803)*Arch_Insight</x:f>
        <x:v>0</x:v>
      </x:c>
      <x:c r="AN803" s="32" t="n">
        <x:f>H803*(tun_KHPerAdult*Z803+tun_KHOfCommons*AJ803/4*INDEX(LM_All,G803))*tun_KHUsable*Arch_KH</x:f>
        <x:v>0</x:v>
      </x:c>
      <x:c r="AO803" s="32" t="n">
        <x:f>MIN(AP802+AN803,AM803*tun_KHMaxRatio)</x:f>
        <x:v>0</x:v>
      </x:c>
      <x:c r="AP803" s="32" t="n">
        <x:f>AP802+AN803-AO803</x:f>
        <x:v>0</x:v>
      </x:c>
      <x:c r="AQ803" s="32" t="n">
        <x:f>AM803+AO803</x:f>
        <x:v>0</x:v>
      </x:c>
      <x:c r="AR803" s="10" t="n">
        <x:f>IF(H803=1,INDEX(tun_Req,G803),0)</x:f>
        <x:v>0</x:v>
      </x:c>
      <x:c r="AS803" s="32" t="n">
        <x:f>IF(H803=1,IF(E803=1,AS802-AR802,AS802)+AQ803,0)</x:f>
        <x:v>0</x:v>
      </x:c>
      <x:c r="AT803" s="11" t="n">
        <x:f>IF(AR803&gt;0,MIN(1,AS803/AR803),1)</x:f>
        <x:v>1</x:v>
      </x:c>
      <x:c r="AU803" s="10" t="n">
        <x:f>AB803/INDEX(tun_RepScale,G803)</x:f>
        <x:v>290.3368848566301</x:v>
      </x:c>
      <x:c r="AV803" s="32" t="n">
        <x:f>AM803*60/tun_SeasonSeconds</x:f>
        <x:v>0</x:v>
      </x:c>
    </x:row>
    <x:row r="804">
      <x:c r="A804" s="8" t="n">
        <x:f>A803+1</x:f>
        <x:v>801</x:v>
      </x:c>
      <x:c r="B804" s="9" t="n">
        <x:f>A804*tun_SeasonSeconds/60</x:f>
        <x:v>200.25</x:v>
      </x:c>
      <x:c r="C804" s="9" t="n">
        <x:f>A804/4</x:f>
        <x:v>200.25</x:v>
      </x:c>
      <x:c r="D804" s="8" t="n">
        <x:f>IF(MOD(A804,4)=0,1,0)</x:f>
        <x:v>0</x:v>
      </x:c>
      <x:c r="E804" s="8" t="n">
        <x:f>IF(AND(F803&lt;=9,AS803&gt;=AR803),1,0)</x:f>
        <x:v>0</x:v>
      </x:c>
      <x:c r="F804" s="8" t="n">
        <x:f>MIN(10,F803+E804)</x:f>
        <x:v>10</x:v>
      </x:c>
      <x:c r="G804" s="8" t="n">
        <x:f>MIN(F804,9)+1</x:f>
        <x:v>10</x:v>
      </x:c>
      <x:c r="H804" s="8" t="n">
        <x:f>IF(F804&lt;=9,1,0)</x:f>
        <x:v>0</x:v>
      </x:c>
      <x:c r="I804" s="9" t="n">
        <x:f>MIN(10,F803+IF(AR803&gt;0,MIN(1,AS803/AR803),1))</x:f>
        <x:v>10</x:v>
      </x:c>
      <x:c r="J804" s="32" t="n">
        <x:f>INDEX(tun_FoodCap,G804)*Arch_FoodCap*EXP(tun_CapsByProject*SUMPRODUCT((Cap_Point&lt;=I804)*(Cap_Kind="Food")*Cap_Ln))</x:f>
        <x:v>18627.260449441455</x:v>
      </x:c>
      <x:c r="K804" s="32" t="n">
        <x:f>J804*MIN(1,tun_LeanBase*EXP(tun_CapsByProject*SUMPRODUCT((Cap_Point&lt;=I804)*(Cap_Kind="Lean")*Cap_Ln)))</x:f>
        <x:v>18627.260449441455</x:v>
      </x:c>
      <x:c r="L804" s="10" t="n">
        <x:f>INDEX(tun_HousingCap,G804)*EXP(tun_CapsByProject*SUMPRODUCT((Cap_Point&lt;=I804)*(Cap_Kind="Housing")*Cap_Ln))</x:f>
        <x:v>20528.974303173167</x:v>
      </x:c>
      <x:c r="M804" s="10" t="n">
        <x:f>INDEX(tun_GroupCap,G804)*tun_CohesionFactor*EXP(tun_CapsByProject*SUMPRODUCT((Cap_Point&lt;=I804)*(Cap_Kind="Group")*Cap_Ln))</x:f>
        <x:v>1000000.000000001</x:v>
      </x:c>
      <x:c r="N804" s="32" t="n">
        <x:f>MIN(J804,L804,M804)</x:f>
        <x:v>18627.260449441455</x:v>
      </x:c>
      <x:c r="O804" s="10" t="n">
        <x:f>AE803*N804</x:f>
        <x:v>167645.34404497308</x:v>
      </x:c>
      <x:c r="P804" s="9" t="n">
        <x:f>MIN(1,(AB803/(AE803*IF(tun_GroupInCrowding=1,N804,MIN(J804,L804))))^tun_CrowdingExp)</x:f>
        <x:v>0.4215841981292809</x:v>
      </x:c>
      <x:c r="Q804" s="9" t="n">
        <x:f>IF(D804=1,INDEX(tun_WinterMult,G804),1)</x:f>
        <x:v>1</x:v>
      </x:c>
      <x:c r="R804" s="9" t="n">
        <x:f>H804*Z803*tun_WomenShare*tun_BaseFertility*INDEX(tun_FertMult,G804)*Arch_Fertility*(1-P804)</x:f>
        <x:v>0</x:v>
      </x:c>
      <x:c r="S804" s="9" t="n">
        <x:f>H804*Y803*INDEX(tun_MortChild,G804)/4*Q804</x:f>
        <x:v>0</x:v>
      </x:c>
      <x:c r="T804" s="9" t="n">
        <x:f>H804*Z803*INDEX(tun_MortAdult,G804)*Arch_AdultMort/4*Q804</x:f>
        <x:v>0</x:v>
      </x:c>
      <x:c r="U804" s="9" t="n">
        <x:f>H804*AA803*INDEX(tun_MortElder,G804)/4*Q804</x:f>
        <x:v>0</x:v>
      </x:c>
      <x:c r="V804" s="9" t="n">
        <x:f>H804*MAX(0,AB803-O804)*tun_OvercapLoss</x:f>
        <x:v>0</x:v>
      </x:c>
      <x:c r="W804" s="9" t="n">
        <x:f>H804*Y803/(tun_ChildYears*4)</x:f>
        <x:v>0</x:v>
      </x:c>
      <x:c r="X804" s="9" t="n">
        <x:f>H804*Z803/(tun_AdultYears*4)</x:f>
        <x:v>0</x:v>
      </x:c>
      <x:c r="Y804" s="32" t="n">
        <x:f>Y803+R804-S804-W804-Y803*V804/AB803</x:f>
        <x:v>40496.20709015643</x:v>
      </x:c>
      <x:c r="Z804" s="32" t="n">
        <x:f>Z803+W804-X804-T804-Z803*V804/AB803</x:f>
        <x:v>59141.61122890803</x:v>
      </x:c>
      <x:c r="AA804" s="32" t="n">
        <x:f>AA803+X804-U804-AA803*V804/AB803</x:f>
        <x:v>45530.62410925061</x:v>
      </x:c>
      <x:c r="AB804" s="10" t="n">
        <x:f>Y804+Z804+AA804</x:f>
        <x:v>145168.44242831506</x:v>
      </x:c>
      <x:c r="AC804" s="8" t="n">
        <x:f>IF(AND(tun_WinterTrigger=1,D804=1,AB803/AE803&gt;=K804),1,0)</x:f>
        <x:v>0</x:v>
      </x:c>
      <x:c r="AD804" s="8" t="n">
        <x:f>H804*IF(AND(OR(AB803/AE803&gt;=tun_FissionTrigger*N804,AC804=1),AB803/AE803*tun_DaughterShare&gt;=tun_MinDaughter),MAX(1,ROUND(AE803*tun_FissionRate,0)),0)</x:f>
        <x:v>0</x:v>
      </x:c>
      <x:c r="AE804" s="8" t="n">
        <x:f>IF(H804=1,MAX(1,MIN(INDEX(tun_Smax,G804),AE803+AD804)),AE803)</x:f>
        <x:v>9</x:v>
      </x:c>
      <x:c r="AF804" s="8" t="n">
        <x:f>MAX(0,AE804-AE803)</x:f>
        <x:v>0</x:v>
      </x:c>
      <x:c r="AG804" s="9" t="str">
        <x:f>IF(AF804&gt;0,B804,"")</x:f>
      </x:c>
      <x:c r="AH804" s="9" t="n">
        <x:f>IF(F804&gt;=1,1,(1+tun_LowTiesShare*(AE804-1))/AE804)</x:f>
        <x:v>1</x:v>
      </x:c>
      <x:c r="AI804" s="32" t="n">
        <x:f>(Z804+tun_ElderCommons*INDEX(LM_Elder,G804)*AA804)*AH804</x:f>
        <x:v>238215.0665857503</x:v>
      </x:c>
      <x:c r="AJ804" s="32" t="n">
        <x:f>H804*tun_CommonsCoef*AI804^tun_CommonsExp*INDEX(LM_Commons,G804)</x:f>
        <x:v>0</x:v>
      </x:c>
      <x:c r="AK804" s="32" t="n">
        <x:f>H804*tun_RoleScale*Arch_Roles*(AE804*(INDEX(tun_ElderRolePerSett,G804)*tun_OutElder*INDEX(LM_Elder,G804)+INDEX(tun_ShamanPerSett,G804)*tun_OutShaman)+Z804*(INDEX(tun_PriestShare,G804)*tun_OutPriest+INDEX(tun_ScribeShare,G804)*tun_OutScribe*INDEX(LM_Scribe,G804)+INDEX(tun_ScholarShare,G804)*tun_OutScholar*INDEX(LM_Scholar,G804)+INDEX(tun_ResearcherShare,G804)*tun_OutResearcher*INDEX(LM_Researcher,G804)))</x:f>
        <x:v>0</x:v>
      </x:c>
      <x:c r="AL804" s="32" t="n">
        <x:f>H804*tun_RoleScale*Arch_Roles*AE804*INDEX(tun_MonasteryPerSett,G804)*tun_OutMonastery*INDEX(LM_Monastery,G804)</x:f>
        <x:v>0</x:v>
      </x:c>
      <x:c r="AM804" s="32" t="n">
        <x:f>(AJ804+AK804+AL804)/4*INDEX(LM_All,G804)*INDEX(tun_Boon,G804)*Arch_Insight</x:f>
        <x:v>0</x:v>
      </x:c>
      <x:c r="AN804" s="32" t="n">
        <x:f>H804*(tun_KHPerAdult*Z804+tun_KHOfCommons*AJ804/4*INDEX(LM_All,G804))*tun_KHUsable*Arch_KH</x:f>
        <x:v>0</x:v>
      </x:c>
      <x:c r="AO804" s="32" t="n">
        <x:f>MIN(AP803+AN804,AM804*tun_KHMaxRatio)</x:f>
        <x:v>0</x:v>
      </x:c>
      <x:c r="AP804" s="32" t="n">
        <x:f>AP803+AN804-AO804</x:f>
        <x:v>0</x:v>
      </x:c>
      <x:c r="AQ804" s="32" t="n">
        <x:f>AM804+AO804</x:f>
        <x:v>0</x:v>
      </x:c>
      <x:c r="AR804" s="10" t="n">
        <x:f>IF(H804=1,INDEX(tun_Req,G804),0)</x:f>
        <x:v>0</x:v>
      </x:c>
      <x:c r="AS804" s="32" t="n">
        <x:f>IF(H804=1,IF(E804=1,AS803-AR803,AS803)+AQ804,0)</x:f>
        <x:v>0</x:v>
      </x:c>
      <x:c r="AT804" s="11" t="n">
        <x:f>IF(AR804&gt;0,MIN(1,AS804/AR804),1)</x:f>
        <x:v>1</x:v>
      </x:c>
      <x:c r="AU804" s="10" t="n">
        <x:f>AB804/INDEX(tun_RepScale,G804)</x:f>
        <x:v>290.3368848566301</x:v>
      </x:c>
      <x:c r="AV804" s="32" t="n">
        <x:f>AM804*60/tun_SeasonSeconds</x:f>
        <x:v>0</x:v>
      </x:c>
    </x:row>
    <x:row r="805">
      <x:c r="A805" s="8" t="n">
        <x:f>A804+1</x:f>
        <x:v>802</x:v>
      </x:c>
      <x:c r="B805" s="9" t="n">
        <x:f>A805*tun_SeasonSeconds/60</x:f>
        <x:v>200.5</x:v>
      </x:c>
      <x:c r="C805" s="9" t="n">
        <x:f>A805/4</x:f>
        <x:v>200.5</x:v>
      </x:c>
      <x:c r="D805" s="8" t="n">
        <x:f>IF(MOD(A805,4)=0,1,0)</x:f>
        <x:v>0</x:v>
      </x:c>
      <x:c r="E805" s="8" t="n">
        <x:f>IF(AND(F804&lt;=9,AS804&gt;=AR804),1,0)</x:f>
        <x:v>0</x:v>
      </x:c>
      <x:c r="F805" s="8" t="n">
        <x:f>MIN(10,F804+E805)</x:f>
        <x:v>10</x:v>
      </x:c>
      <x:c r="G805" s="8" t="n">
        <x:f>MIN(F805,9)+1</x:f>
        <x:v>10</x:v>
      </x:c>
      <x:c r="H805" s="8" t="n">
        <x:f>IF(F805&lt;=9,1,0)</x:f>
        <x:v>0</x:v>
      </x:c>
      <x:c r="I805" s="9" t="n">
        <x:f>MIN(10,F804+IF(AR804&gt;0,MIN(1,AS804/AR804),1))</x:f>
        <x:v>10</x:v>
      </x:c>
      <x:c r="J805" s="32" t="n">
        <x:f>INDEX(tun_FoodCap,G805)*Arch_FoodCap*EXP(tun_CapsByProject*SUMPRODUCT((Cap_Point&lt;=I805)*(Cap_Kind="Food")*Cap_Ln))</x:f>
        <x:v>18627.260449441455</x:v>
      </x:c>
      <x:c r="K805" s="32" t="n">
        <x:f>J805*MIN(1,tun_LeanBase*EXP(tun_CapsByProject*SUMPRODUCT((Cap_Point&lt;=I805)*(Cap_Kind="Lean")*Cap_Ln)))</x:f>
        <x:v>18627.260449441455</x:v>
      </x:c>
      <x:c r="L805" s="10" t="n">
        <x:f>INDEX(tun_HousingCap,G805)*EXP(tun_CapsByProject*SUMPRODUCT((Cap_Point&lt;=I805)*(Cap_Kind="Housing")*Cap_Ln))</x:f>
        <x:v>20528.974303173167</x:v>
      </x:c>
      <x:c r="M805" s="10" t="n">
        <x:f>INDEX(tun_GroupCap,G805)*tun_CohesionFactor*EXP(tun_CapsByProject*SUMPRODUCT((Cap_Point&lt;=I805)*(Cap_Kind="Group")*Cap_Ln))</x:f>
        <x:v>1000000.000000001</x:v>
      </x:c>
      <x:c r="N805" s="32" t="n">
        <x:f>MIN(J805,L805,M805)</x:f>
        <x:v>18627.260449441455</x:v>
      </x:c>
      <x:c r="O805" s="10" t="n">
        <x:f>AE804*N805</x:f>
        <x:v>167645.34404497308</x:v>
      </x:c>
      <x:c r="P805" s="9" t="n">
        <x:f>MIN(1,(AB804/(AE804*IF(tun_GroupInCrowding=1,N805,MIN(J805,L805))))^tun_CrowdingExp)</x:f>
        <x:v>0.4215841981292809</x:v>
      </x:c>
      <x:c r="Q805" s="9" t="n">
        <x:f>IF(D805=1,INDEX(tun_WinterMult,G805),1)</x:f>
        <x:v>1</x:v>
      </x:c>
      <x:c r="R805" s="9" t="n">
        <x:f>H805*Z804*tun_WomenShare*tun_BaseFertility*INDEX(tun_FertMult,G805)*Arch_Fertility*(1-P805)</x:f>
        <x:v>0</x:v>
      </x:c>
      <x:c r="S805" s="9" t="n">
        <x:f>H805*Y804*INDEX(tun_MortChild,G805)/4*Q805</x:f>
        <x:v>0</x:v>
      </x:c>
      <x:c r="T805" s="9" t="n">
        <x:f>H805*Z804*INDEX(tun_MortAdult,G805)*Arch_AdultMort/4*Q805</x:f>
        <x:v>0</x:v>
      </x:c>
      <x:c r="U805" s="9" t="n">
        <x:f>H805*AA804*INDEX(tun_MortElder,G805)/4*Q805</x:f>
        <x:v>0</x:v>
      </x:c>
      <x:c r="V805" s="9" t="n">
        <x:f>H805*MAX(0,AB804-O805)*tun_OvercapLoss</x:f>
        <x:v>0</x:v>
      </x:c>
      <x:c r="W805" s="9" t="n">
        <x:f>H805*Y804/(tun_ChildYears*4)</x:f>
        <x:v>0</x:v>
      </x:c>
      <x:c r="X805" s="9" t="n">
        <x:f>H805*Z804/(tun_AdultYears*4)</x:f>
        <x:v>0</x:v>
      </x:c>
      <x:c r="Y805" s="32" t="n">
        <x:f>Y804+R805-S805-W805-Y804*V805/AB804</x:f>
        <x:v>40496.20709015643</x:v>
      </x:c>
      <x:c r="Z805" s="32" t="n">
        <x:f>Z804+W805-X805-T805-Z804*V805/AB804</x:f>
        <x:v>59141.61122890803</x:v>
      </x:c>
      <x:c r="AA805" s="32" t="n">
        <x:f>AA804+X805-U805-AA804*V805/AB804</x:f>
        <x:v>45530.62410925061</x:v>
      </x:c>
      <x:c r="AB805" s="10" t="n">
        <x:f>Y805+Z805+AA805</x:f>
        <x:v>145168.44242831506</x:v>
      </x:c>
      <x:c r="AC805" s="8" t="n">
        <x:f>IF(AND(tun_WinterTrigger=1,D805=1,AB804/AE804&gt;=K805),1,0)</x:f>
        <x:v>0</x:v>
      </x:c>
      <x:c r="AD805" s="8" t="n">
        <x:f>H805*IF(AND(OR(AB804/AE804&gt;=tun_FissionTrigger*N805,AC805=1),AB804/AE804*tun_DaughterShare&gt;=tun_MinDaughter),MAX(1,ROUND(AE804*tun_FissionRate,0)),0)</x:f>
        <x:v>0</x:v>
      </x:c>
      <x:c r="AE805" s="8" t="n">
        <x:f>IF(H805=1,MAX(1,MIN(INDEX(tun_Smax,G805),AE804+AD805)),AE804)</x:f>
        <x:v>9</x:v>
      </x:c>
      <x:c r="AF805" s="8" t="n">
        <x:f>MAX(0,AE805-AE804)</x:f>
        <x:v>0</x:v>
      </x:c>
      <x:c r="AG805" s="9" t="str">
        <x:f>IF(AF805&gt;0,B805,"")</x:f>
      </x:c>
      <x:c r="AH805" s="9" t="n">
        <x:f>IF(F805&gt;=1,1,(1+tun_LowTiesShare*(AE805-1))/AE805)</x:f>
        <x:v>1</x:v>
      </x:c>
      <x:c r="AI805" s="32" t="n">
        <x:f>(Z805+tun_ElderCommons*INDEX(LM_Elder,G805)*AA805)*AH805</x:f>
        <x:v>238215.0665857503</x:v>
      </x:c>
      <x:c r="AJ805" s="32" t="n">
        <x:f>H805*tun_CommonsCoef*AI805^tun_CommonsExp*INDEX(LM_Commons,G805)</x:f>
        <x:v>0</x:v>
      </x:c>
      <x:c r="AK805" s="32" t="n">
        <x:f>H805*tun_RoleScale*Arch_Roles*(AE805*(INDEX(tun_ElderRolePerSett,G805)*tun_OutElder*INDEX(LM_Elder,G805)+INDEX(tun_ShamanPerSett,G805)*tun_OutShaman)+Z805*(INDEX(tun_PriestShare,G805)*tun_OutPriest+INDEX(tun_ScribeShare,G805)*tun_OutScribe*INDEX(LM_Scribe,G805)+INDEX(tun_ScholarShare,G805)*tun_OutScholar*INDEX(LM_Scholar,G805)+INDEX(tun_ResearcherShare,G805)*tun_OutResearcher*INDEX(LM_Researcher,G805)))</x:f>
        <x:v>0</x:v>
      </x:c>
      <x:c r="AL805" s="32" t="n">
        <x:f>H805*tun_RoleScale*Arch_Roles*AE805*INDEX(tun_MonasteryPerSett,G805)*tun_OutMonastery*INDEX(LM_Monastery,G805)</x:f>
        <x:v>0</x:v>
      </x:c>
      <x:c r="AM805" s="32" t="n">
        <x:f>(AJ805+AK805+AL805)/4*INDEX(LM_All,G805)*INDEX(tun_Boon,G805)*Arch_Insight</x:f>
        <x:v>0</x:v>
      </x:c>
      <x:c r="AN805" s="32" t="n">
        <x:f>H805*(tun_KHPerAdult*Z805+tun_KHOfCommons*AJ805/4*INDEX(LM_All,G805))*tun_KHUsable*Arch_KH</x:f>
        <x:v>0</x:v>
      </x:c>
      <x:c r="AO805" s="32" t="n">
        <x:f>MIN(AP804+AN805,AM805*tun_KHMaxRatio)</x:f>
        <x:v>0</x:v>
      </x:c>
      <x:c r="AP805" s="32" t="n">
        <x:f>AP804+AN805-AO805</x:f>
        <x:v>0</x:v>
      </x:c>
      <x:c r="AQ805" s="32" t="n">
        <x:f>AM805+AO805</x:f>
        <x:v>0</x:v>
      </x:c>
      <x:c r="AR805" s="10" t="n">
        <x:f>IF(H805=1,INDEX(tun_Req,G805),0)</x:f>
        <x:v>0</x:v>
      </x:c>
      <x:c r="AS805" s="32" t="n">
        <x:f>IF(H805=1,IF(E805=1,AS804-AR804,AS804)+AQ805,0)</x:f>
        <x:v>0</x:v>
      </x:c>
      <x:c r="AT805" s="11" t="n">
        <x:f>IF(AR805&gt;0,MIN(1,AS805/AR805),1)</x:f>
        <x:v>1</x:v>
      </x:c>
      <x:c r="AU805" s="10" t="n">
        <x:f>AB805/INDEX(tun_RepScale,G805)</x:f>
        <x:v>290.3368848566301</x:v>
      </x:c>
      <x:c r="AV805" s="32" t="n">
        <x:f>AM805*60/tun_SeasonSeconds</x:f>
        <x:v>0</x:v>
      </x:c>
    </x:row>
    <x:row r="806">
      <x:c r="A806" s="8" t="n">
        <x:f>A805+1</x:f>
        <x:v>803</x:v>
      </x:c>
      <x:c r="B806" s="9" t="n">
        <x:f>A806*tun_SeasonSeconds/60</x:f>
        <x:v>200.75</x:v>
      </x:c>
      <x:c r="C806" s="9" t="n">
        <x:f>A806/4</x:f>
        <x:v>200.75</x:v>
      </x:c>
      <x:c r="D806" s="8" t="n">
        <x:f>IF(MOD(A806,4)=0,1,0)</x:f>
        <x:v>0</x:v>
      </x:c>
      <x:c r="E806" s="8" t="n">
        <x:f>IF(AND(F805&lt;=9,AS805&gt;=AR805),1,0)</x:f>
        <x:v>0</x:v>
      </x:c>
      <x:c r="F806" s="8" t="n">
        <x:f>MIN(10,F805+E806)</x:f>
        <x:v>10</x:v>
      </x:c>
      <x:c r="G806" s="8" t="n">
        <x:f>MIN(F806,9)+1</x:f>
        <x:v>10</x:v>
      </x:c>
      <x:c r="H806" s="8" t="n">
        <x:f>IF(F806&lt;=9,1,0)</x:f>
        <x:v>0</x:v>
      </x:c>
      <x:c r="I806" s="9" t="n">
        <x:f>MIN(10,F805+IF(AR805&gt;0,MIN(1,AS805/AR805),1))</x:f>
        <x:v>10</x:v>
      </x:c>
      <x:c r="J806" s="32" t="n">
        <x:f>INDEX(tun_FoodCap,G806)*Arch_FoodCap*EXP(tun_CapsByProject*SUMPRODUCT((Cap_Point&lt;=I806)*(Cap_Kind="Food")*Cap_Ln))</x:f>
        <x:v>18627.260449441455</x:v>
      </x:c>
      <x:c r="K806" s="32" t="n">
        <x:f>J806*MIN(1,tun_LeanBase*EXP(tun_CapsByProject*SUMPRODUCT((Cap_Point&lt;=I806)*(Cap_Kind="Lean")*Cap_Ln)))</x:f>
        <x:v>18627.260449441455</x:v>
      </x:c>
      <x:c r="L806" s="10" t="n">
        <x:f>INDEX(tun_HousingCap,G806)*EXP(tun_CapsByProject*SUMPRODUCT((Cap_Point&lt;=I806)*(Cap_Kind="Housing")*Cap_Ln))</x:f>
        <x:v>20528.974303173167</x:v>
      </x:c>
      <x:c r="M806" s="10" t="n">
        <x:f>INDEX(tun_GroupCap,G806)*tun_CohesionFactor*EXP(tun_CapsByProject*SUMPRODUCT((Cap_Point&lt;=I806)*(Cap_Kind="Group")*Cap_Ln))</x:f>
        <x:v>1000000.000000001</x:v>
      </x:c>
      <x:c r="N806" s="32" t="n">
        <x:f>MIN(J806,L806,M806)</x:f>
        <x:v>18627.260449441455</x:v>
      </x:c>
      <x:c r="O806" s="10" t="n">
        <x:f>AE805*N806</x:f>
        <x:v>167645.34404497308</x:v>
      </x:c>
      <x:c r="P806" s="9" t="n">
        <x:f>MIN(1,(AB805/(AE805*IF(tun_GroupInCrowding=1,N806,MIN(J806,L806))))^tun_CrowdingExp)</x:f>
        <x:v>0.4215841981292809</x:v>
      </x:c>
      <x:c r="Q806" s="9" t="n">
        <x:f>IF(D806=1,INDEX(tun_WinterMult,G806),1)</x:f>
        <x:v>1</x:v>
      </x:c>
      <x:c r="R806" s="9" t="n">
        <x:f>H806*Z805*tun_WomenShare*tun_BaseFertility*INDEX(tun_FertMult,G806)*Arch_Fertility*(1-P806)</x:f>
        <x:v>0</x:v>
      </x:c>
      <x:c r="S806" s="9" t="n">
        <x:f>H806*Y805*INDEX(tun_MortChild,G806)/4*Q806</x:f>
        <x:v>0</x:v>
      </x:c>
      <x:c r="T806" s="9" t="n">
        <x:f>H806*Z805*INDEX(tun_MortAdult,G806)*Arch_AdultMort/4*Q806</x:f>
        <x:v>0</x:v>
      </x:c>
      <x:c r="U806" s="9" t="n">
        <x:f>H806*AA805*INDEX(tun_MortElder,G806)/4*Q806</x:f>
        <x:v>0</x:v>
      </x:c>
      <x:c r="V806" s="9" t="n">
        <x:f>H806*MAX(0,AB805-O806)*tun_OvercapLoss</x:f>
        <x:v>0</x:v>
      </x:c>
      <x:c r="W806" s="9" t="n">
        <x:f>H806*Y805/(tun_ChildYears*4)</x:f>
        <x:v>0</x:v>
      </x:c>
      <x:c r="X806" s="9" t="n">
        <x:f>H806*Z805/(tun_AdultYears*4)</x:f>
        <x:v>0</x:v>
      </x:c>
      <x:c r="Y806" s="32" t="n">
        <x:f>Y805+R806-S806-W806-Y805*V806/AB805</x:f>
        <x:v>40496.20709015643</x:v>
      </x:c>
      <x:c r="Z806" s="32" t="n">
        <x:f>Z805+W806-X806-T806-Z805*V806/AB805</x:f>
        <x:v>59141.61122890803</x:v>
      </x:c>
      <x:c r="AA806" s="32" t="n">
        <x:f>AA805+X806-U806-AA805*V806/AB805</x:f>
        <x:v>45530.62410925061</x:v>
      </x:c>
      <x:c r="AB806" s="10" t="n">
        <x:f>Y806+Z806+AA806</x:f>
        <x:v>145168.44242831506</x:v>
      </x:c>
      <x:c r="AC806" s="8" t="n">
        <x:f>IF(AND(tun_WinterTrigger=1,D806=1,AB805/AE805&gt;=K806),1,0)</x:f>
        <x:v>0</x:v>
      </x:c>
      <x:c r="AD806" s="8" t="n">
        <x:f>H806*IF(AND(OR(AB805/AE805&gt;=tun_FissionTrigger*N806,AC806=1),AB805/AE805*tun_DaughterShare&gt;=tun_MinDaughter),MAX(1,ROUND(AE805*tun_FissionRate,0)),0)</x:f>
        <x:v>0</x:v>
      </x:c>
      <x:c r="AE806" s="8" t="n">
        <x:f>IF(H806=1,MAX(1,MIN(INDEX(tun_Smax,G806),AE805+AD806)),AE805)</x:f>
        <x:v>9</x:v>
      </x:c>
      <x:c r="AF806" s="8" t="n">
        <x:f>MAX(0,AE806-AE805)</x:f>
        <x:v>0</x:v>
      </x:c>
      <x:c r="AG806" s="9" t="str">
        <x:f>IF(AF806&gt;0,B806,"")</x:f>
      </x:c>
      <x:c r="AH806" s="9" t="n">
        <x:f>IF(F806&gt;=1,1,(1+tun_LowTiesShare*(AE806-1))/AE806)</x:f>
        <x:v>1</x:v>
      </x:c>
      <x:c r="AI806" s="32" t="n">
        <x:f>(Z806+tun_ElderCommons*INDEX(LM_Elder,G806)*AA806)*AH806</x:f>
        <x:v>238215.0665857503</x:v>
      </x:c>
      <x:c r="AJ806" s="32" t="n">
        <x:f>H806*tun_CommonsCoef*AI806^tun_CommonsExp*INDEX(LM_Commons,G806)</x:f>
        <x:v>0</x:v>
      </x:c>
      <x:c r="AK806" s="32" t="n">
        <x:f>H806*tun_RoleScale*Arch_Roles*(AE806*(INDEX(tun_ElderRolePerSett,G806)*tun_OutElder*INDEX(LM_Elder,G806)+INDEX(tun_ShamanPerSett,G806)*tun_OutShaman)+Z806*(INDEX(tun_PriestShare,G806)*tun_OutPriest+INDEX(tun_ScribeShare,G806)*tun_OutScribe*INDEX(LM_Scribe,G806)+INDEX(tun_ScholarShare,G806)*tun_OutScholar*INDEX(LM_Scholar,G806)+INDEX(tun_ResearcherShare,G806)*tun_OutResearcher*INDEX(LM_Researcher,G806)))</x:f>
        <x:v>0</x:v>
      </x:c>
      <x:c r="AL806" s="32" t="n">
        <x:f>H806*tun_RoleScale*Arch_Roles*AE806*INDEX(tun_MonasteryPerSett,G806)*tun_OutMonastery*INDEX(LM_Monastery,G806)</x:f>
        <x:v>0</x:v>
      </x:c>
      <x:c r="AM806" s="32" t="n">
        <x:f>(AJ806+AK806+AL806)/4*INDEX(LM_All,G806)*INDEX(tun_Boon,G806)*Arch_Insight</x:f>
        <x:v>0</x:v>
      </x:c>
      <x:c r="AN806" s="32" t="n">
        <x:f>H806*(tun_KHPerAdult*Z806+tun_KHOfCommons*AJ806/4*INDEX(LM_All,G806))*tun_KHUsable*Arch_KH</x:f>
        <x:v>0</x:v>
      </x:c>
      <x:c r="AO806" s="32" t="n">
        <x:f>MIN(AP805+AN806,AM806*tun_KHMaxRatio)</x:f>
        <x:v>0</x:v>
      </x:c>
      <x:c r="AP806" s="32" t="n">
        <x:f>AP805+AN806-AO806</x:f>
        <x:v>0</x:v>
      </x:c>
      <x:c r="AQ806" s="32" t="n">
        <x:f>AM806+AO806</x:f>
        <x:v>0</x:v>
      </x:c>
      <x:c r="AR806" s="10" t="n">
        <x:f>IF(H806=1,INDEX(tun_Req,G806),0)</x:f>
        <x:v>0</x:v>
      </x:c>
      <x:c r="AS806" s="32" t="n">
        <x:f>IF(H806=1,IF(E806=1,AS805-AR805,AS805)+AQ806,0)</x:f>
        <x:v>0</x:v>
      </x:c>
      <x:c r="AT806" s="11" t="n">
        <x:f>IF(AR806&gt;0,MIN(1,AS806/AR806),1)</x:f>
        <x:v>1</x:v>
      </x:c>
      <x:c r="AU806" s="10" t="n">
        <x:f>AB806/INDEX(tun_RepScale,G806)</x:f>
        <x:v>290.3368848566301</x:v>
      </x:c>
      <x:c r="AV806" s="32" t="n">
        <x:f>AM806*60/tun_SeasonSeconds</x:f>
        <x:v>0</x:v>
      </x:c>
    </x:row>
    <x:row r="807">
      <x:c r="A807" s="8" t="n">
        <x:f>A806+1</x:f>
        <x:v>804</x:v>
      </x:c>
      <x:c r="B807" s="9" t="n">
        <x:f>A807*tun_SeasonSeconds/60</x:f>
        <x:v>201</x:v>
      </x:c>
      <x:c r="C807" s="9" t="n">
        <x:f>A807/4</x:f>
        <x:v>201</x:v>
      </x:c>
      <x:c r="D807" s="8" t="n">
        <x:f>IF(MOD(A807,4)=0,1,0)</x:f>
        <x:v>1</x:v>
      </x:c>
      <x:c r="E807" s="8" t="n">
        <x:f>IF(AND(F806&lt;=9,AS806&gt;=AR806),1,0)</x:f>
        <x:v>0</x:v>
      </x:c>
      <x:c r="F807" s="8" t="n">
        <x:f>MIN(10,F806+E807)</x:f>
        <x:v>10</x:v>
      </x:c>
      <x:c r="G807" s="8" t="n">
        <x:f>MIN(F807,9)+1</x:f>
        <x:v>10</x:v>
      </x:c>
      <x:c r="H807" s="8" t="n">
        <x:f>IF(F807&lt;=9,1,0)</x:f>
        <x:v>0</x:v>
      </x:c>
      <x:c r="I807" s="9" t="n">
        <x:f>MIN(10,F806+IF(AR806&gt;0,MIN(1,AS806/AR806),1))</x:f>
        <x:v>10</x:v>
      </x:c>
      <x:c r="J807" s="32" t="n">
        <x:f>INDEX(tun_FoodCap,G807)*Arch_FoodCap*EXP(tun_CapsByProject*SUMPRODUCT((Cap_Point&lt;=I807)*(Cap_Kind="Food")*Cap_Ln))</x:f>
        <x:v>18627.260449441455</x:v>
      </x:c>
      <x:c r="K807" s="32" t="n">
        <x:f>J807*MIN(1,tun_LeanBase*EXP(tun_CapsByProject*SUMPRODUCT((Cap_Point&lt;=I807)*(Cap_Kind="Lean")*Cap_Ln)))</x:f>
        <x:v>18627.260449441455</x:v>
      </x:c>
      <x:c r="L807" s="10" t="n">
        <x:f>INDEX(tun_HousingCap,G807)*EXP(tun_CapsByProject*SUMPRODUCT((Cap_Point&lt;=I807)*(Cap_Kind="Housing")*Cap_Ln))</x:f>
        <x:v>20528.974303173167</x:v>
      </x:c>
      <x:c r="M807" s="10" t="n">
        <x:f>INDEX(tun_GroupCap,G807)*tun_CohesionFactor*EXP(tun_CapsByProject*SUMPRODUCT((Cap_Point&lt;=I807)*(Cap_Kind="Group")*Cap_Ln))</x:f>
        <x:v>1000000.000000001</x:v>
      </x:c>
      <x:c r="N807" s="32" t="n">
        <x:f>MIN(J807,L807,M807)</x:f>
        <x:v>18627.260449441455</x:v>
      </x:c>
      <x:c r="O807" s="10" t="n">
        <x:f>AE806*N807</x:f>
        <x:v>167645.34404497308</x:v>
      </x:c>
      <x:c r="P807" s="9" t="n">
        <x:f>MIN(1,(AB806/(AE806*IF(tun_GroupInCrowding=1,N807,MIN(J807,L807))))^tun_CrowdingExp)</x:f>
        <x:v>0.4215841981292809</x:v>
      </x:c>
      <x:c r="Q807" s="9" t="n">
        <x:f>IF(D807=1,INDEX(tun_WinterMult,G807),1)</x:f>
        <x:v>1.05</x:v>
      </x:c>
      <x:c r="R807" s="9" t="n">
        <x:f>H807*Z806*tun_WomenShare*tun_BaseFertility*INDEX(tun_FertMult,G807)*Arch_Fertility*(1-P807)</x:f>
        <x:v>0</x:v>
      </x:c>
      <x:c r="S807" s="9" t="n">
        <x:f>H807*Y806*INDEX(tun_MortChild,G807)/4*Q807</x:f>
        <x:v>0</x:v>
      </x:c>
      <x:c r="T807" s="9" t="n">
        <x:f>H807*Z806*INDEX(tun_MortAdult,G807)*Arch_AdultMort/4*Q807</x:f>
        <x:v>0</x:v>
      </x:c>
      <x:c r="U807" s="9" t="n">
        <x:f>H807*AA806*INDEX(tun_MortElder,G807)/4*Q807</x:f>
        <x:v>0</x:v>
      </x:c>
      <x:c r="V807" s="9" t="n">
        <x:f>H807*MAX(0,AB806-O807)*tun_OvercapLoss</x:f>
        <x:v>0</x:v>
      </x:c>
      <x:c r="W807" s="9" t="n">
        <x:f>H807*Y806/(tun_ChildYears*4)</x:f>
        <x:v>0</x:v>
      </x:c>
      <x:c r="X807" s="9" t="n">
        <x:f>H807*Z806/(tun_AdultYears*4)</x:f>
        <x:v>0</x:v>
      </x:c>
      <x:c r="Y807" s="32" t="n">
        <x:f>Y806+R807-S807-W807-Y806*V807/AB806</x:f>
        <x:v>40496.20709015643</x:v>
      </x:c>
      <x:c r="Z807" s="32" t="n">
        <x:f>Z806+W807-X807-T807-Z806*V807/AB806</x:f>
        <x:v>59141.61122890803</x:v>
      </x:c>
      <x:c r="AA807" s="32" t="n">
        <x:f>AA806+X807-U807-AA806*V807/AB806</x:f>
        <x:v>45530.62410925061</x:v>
      </x:c>
      <x:c r="AB807" s="10" t="n">
        <x:f>Y807+Z807+AA807</x:f>
        <x:v>145168.44242831506</x:v>
      </x:c>
      <x:c r="AC807" s="8" t="n">
        <x:f>IF(AND(tun_WinterTrigger=1,D807=1,AB806/AE806&gt;=K807),1,0)</x:f>
        <x:v>0</x:v>
      </x:c>
      <x:c r="AD807" s="8" t="n">
        <x:f>H807*IF(AND(OR(AB806/AE806&gt;=tun_FissionTrigger*N807,AC807=1),AB806/AE806*tun_DaughterShare&gt;=tun_MinDaughter),MAX(1,ROUND(AE806*tun_FissionRate,0)),0)</x:f>
        <x:v>0</x:v>
      </x:c>
      <x:c r="AE807" s="8" t="n">
        <x:f>IF(H807=1,MAX(1,MIN(INDEX(tun_Smax,G807),AE806+AD807)),AE806)</x:f>
        <x:v>9</x:v>
      </x:c>
      <x:c r="AF807" s="8" t="n">
        <x:f>MAX(0,AE807-AE806)</x:f>
        <x:v>0</x:v>
      </x:c>
      <x:c r="AG807" s="9" t="str">
        <x:f>IF(AF807&gt;0,B807,"")</x:f>
      </x:c>
      <x:c r="AH807" s="9" t="n">
        <x:f>IF(F807&gt;=1,1,(1+tun_LowTiesShare*(AE807-1))/AE807)</x:f>
        <x:v>1</x:v>
      </x:c>
      <x:c r="AI807" s="32" t="n">
        <x:f>(Z807+tun_ElderCommons*INDEX(LM_Elder,G807)*AA807)*AH807</x:f>
        <x:v>238215.0665857503</x:v>
      </x:c>
      <x:c r="AJ807" s="32" t="n">
        <x:f>H807*tun_CommonsCoef*AI807^tun_CommonsExp*INDEX(LM_Commons,G807)</x:f>
        <x:v>0</x:v>
      </x:c>
      <x:c r="AK807" s="32" t="n">
        <x:f>H807*tun_RoleScale*Arch_Roles*(AE807*(INDEX(tun_ElderRolePerSett,G807)*tun_OutElder*INDEX(LM_Elder,G807)+INDEX(tun_ShamanPerSett,G807)*tun_OutShaman)+Z807*(INDEX(tun_PriestShare,G807)*tun_OutPriest+INDEX(tun_ScribeShare,G807)*tun_OutScribe*INDEX(LM_Scribe,G807)+INDEX(tun_ScholarShare,G807)*tun_OutScholar*INDEX(LM_Scholar,G807)+INDEX(tun_ResearcherShare,G807)*tun_OutResearcher*INDEX(LM_Researcher,G807)))</x:f>
        <x:v>0</x:v>
      </x:c>
      <x:c r="AL807" s="32" t="n">
        <x:f>H807*tun_RoleScale*Arch_Roles*AE807*INDEX(tun_MonasteryPerSett,G807)*tun_OutMonastery*INDEX(LM_Monastery,G807)</x:f>
        <x:v>0</x:v>
      </x:c>
      <x:c r="AM807" s="32" t="n">
        <x:f>(AJ807+AK807+AL807)/4*INDEX(LM_All,G807)*INDEX(tun_Boon,G807)*Arch_Insight</x:f>
        <x:v>0</x:v>
      </x:c>
      <x:c r="AN807" s="32" t="n">
        <x:f>H807*(tun_KHPerAdult*Z807+tun_KHOfCommons*AJ807/4*INDEX(LM_All,G807))*tun_KHUsable*Arch_KH</x:f>
        <x:v>0</x:v>
      </x:c>
      <x:c r="AO807" s="32" t="n">
        <x:f>MIN(AP806+AN807,AM807*tun_KHMaxRatio)</x:f>
        <x:v>0</x:v>
      </x:c>
      <x:c r="AP807" s="32" t="n">
        <x:f>AP806+AN807-AO807</x:f>
        <x:v>0</x:v>
      </x:c>
      <x:c r="AQ807" s="32" t="n">
        <x:f>AM807+AO807</x:f>
        <x:v>0</x:v>
      </x:c>
      <x:c r="AR807" s="10" t="n">
        <x:f>IF(H807=1,INDEX(tun_Req,G807),0)</x:f>
        <x:v>0</x:v>
      </x:c>
      <x:c r="AS807" s="32" t="n">
        <x:f>IF(H807=1,IF(E807=1,AS806-AR806,AS806)+AQ807,0)</x:f>
        <x:v>0</x:v>
      </x:c>
      <x:c r="AT807" s="11" t="n">
        <x:f>IF(AR807&gt;0,MIN(1,AS807/AR807),1)</x:f>
        <x:v>1</x:v>
      </x:c>
      <x:c r="AU807" s="10" t="n">
        <x:f>AB807/INDEX(tun_RepScale,G807)</x:f>
        <x:v>290.3368848566301</x:v>
      </x:c>
      <x:c r="AV807" s="32" t="n">
        <x:f>AM807*60/tun_SeasonSeconds</x:f>
        <x:v>0</x:v>
      </x:c>
    </x:row>
    <x:row r="808">
      <x:c r="A808" s="8" t="n">
        <x:f>A807+1</x:f>
        <x:v>805</x:v>
      </x:c>
      <x:c r="B808" s="9" t="n">
        <x:f>A808*tun_SeasonSeconds/60</x:f>
        <x:v>201.25</x:v>
      </x:c>
      <x:c r="C808" s="9" t="n">
        <x:f>A808/4</x:f>
        <x:v>201.25</x:v>
      </x:c>
      <x:c r="D808" s="8" t="n">
        <x:f>IF(MOD(A808,4)=0,1,0)</x:f>
        <x:v>0</x:v>
      </x:c>
      <x:c r="E808" s="8" t="n">
        <x:f>IF(AND(F807&lt;=9,AS807&gt;=AR807),1,0)</x:f>
        <x:v>0</x:v>
      </x:c>
      <x:c r="F808" s="8" t="n">
        <x:f>MIN(10,F807+E808)</x:f>
        <x:v>10</x:v>
      </x:c>
      <x:c r="G808" s="8" t="n">
        <x:f>MIN(F808,9)+1</x:f>
        <x:v>10</x:v>
      </x:c>
      <x:c r="H808" s="8" t="n">
        <x:f>IF(F808&lt;=9,1,0)</x:f>
        <x:v>0</x:v>
      </x:c>
      <x:c r="I808" s="9" t="n">
        <x:f>MIN(10,F807+IF(AR807&gt;0,MIN(1,AS807/AR807),1))</x:f>
        <x:v>10</x:v>
      </x:c>
      <x:c r="J808" s="32" t="n">
        <x:f>INDEX(tun_FoodCap,G808)*Arch_FoodCap*EXP(tun_CapsByProject*SUMPRODUCT((Cap_Point&lt;=I808)*(Cap_Kind="Food")*Cap_Ln))</x:f>
        <x:v>18627.260449441455</x:v>
      </x:c>
      <x:c r="K808" s="32" t="n">
        <x:f>J808*MIN(1,tun_LeanBase*EXP(tun_CapsByProject*SUMPRODUCT((Cap_Point&lt;=I808)*(Cap_Kind="Lean")*Cap_Ln)))</x:f>
        <x:v>18627.260449441455</x:v>
      </x:c>
      <x:c r="L808" s="10" t="n">
        <x:f>INDEX(tun_HousingCap,G808)*EXP(tun_CapsByProject*SUMPRODUCT((Cap_Point&lt;=I808)*(Cap_Kind="Housing")*Cap_Ln))</x:f>
        <x:v>20528.974303173167</x:v>
      </x:c>
      <x:c r="M808" s="10" t="n">
        <x:f>INDEX(tun_GroupCap,G808)*tun_CohesionFactor*EXP(tun_CapsByProject*SUMPRODUCT((Cap_Point&lt;=I808)*(Cap_Kind="Group")*Cap_Ln))</x:f>
        <x:v>1000000.000000001</x:v>
      </x:c>
      <x:c r="N808" s="32" t="n">
        <x:f>MIN(J808,L808,M808)</x:f>
        <x:v>18627.260449441455</x:v>
      </x:c>
      <x:c r="O808" s="10" t="n">
        <x:f>AE807*N808</x:f>
        <x:v>167645.34404497308</x:v>
      </x:c>
      <x:c r="P808" s="9" t="n">
        <x:f>MIN(1,(AB807/(AE807*IF(tun_GroupInCrowding=1,N808,MIN(J808,L808))))^tun_CrowdingExp)</x:f>
        <x:v>0.4215841981292809</x:v>
      </x:c>
      <x:c r="Q808" s="9" t="n">
        <x:f>IF(D808=1,INDEX(tun_WinterMult,G808),1)</x:f>
        <x:v>1</x:v>
      </x:c>
      <x:c r="R808" s="9" t="n">
        <x:f>H808*Z807*tun_WomenShare*tun_BaseFertility*INDEX(tun_FertMult,G808)*Arch_Fertility*(1-P808)</x:f>
        <x:v>0</x:v>
      </x:c>
      <x:c r="S808" s="9" t="n">
        <x:f>H808*Y807*INDEX(tun_MortChild,G808)/4*Q808</x:f>
        <x:v>0</x:v>
      </x:c>
      <x:c r="T808" s="9" t="n">
        <x:f>H808*Z807*INDEX(tun_MortAdult,G808)*Arch_AdultMort/4*Q808</x:f>
        <x:v>0</x:v>
      </x:c>
      <x:c r="U808" s="9" t="n">
        <x:f>H808*AA807*INDEX(tun_MortElder,G808)/4*Q808</x:f>
        <x:v>0</x:v>
      </x:c>
      <x:c r="V808" s="9" t="n">
        <x:f>H808*MAX(0,AB807-O808)*tun_OvercapLoss</x:f>
        <x:v>0</x:v>
      </x:c>
      <x:c r="W808" s="9" t="n">
        <x:f>H808*Y807/(tun_ChildYears*4)</x:f>
        <x:v>0</x:v>
      </x:c>
      <x:c r="X808" s="9" t="n">
        <x:f>H808*Z807/(tun_AdultYears*4)</x:f>
        <x:v>0</x:v>
      </x:c>
      <x:c r="Y808" s="32" t="n">
        <x:f>Y807+R808-S808-W808-Y807*V808/AB807</x:f>
        <x:v>40496.20709015643</x:v>
      </x:c>
      <x:c r="Z808" s="32" t="n">
        <x:f>Z807+W808-X808-T808-Z807*V808/AB807</x:f>
        <x:v>59141.61122890803</x:v>
      </x:c>
      <x:c r="AA808" s="32" t="n">
        <x:f>AA807+X808-U808-AA807*V808/AB807</x:f>
        <x:v>45530.62410925061</x:v>
      </x:c>
      <x:c r="AB808" s="10" t="n">
        <x:f>Y808+Z808+AA808</x:f>
        <x:v>145168.44242831506</x:v>
      </x:c>
      <x:c r="AC808" s="8" t="n">
        <x:f>IF(AND(tun_WinterTrigger=1,D808=1,AB807/AE807&gt;=K808),1,0)</x:f>
        <x:v>0</x:v>
      </x:c>
      <x:c r="AD808" s="8" t="n">
        <x:f>H808*IF(AND(OR(AB807/AE807&gt;=tun_FissionTrigger*N808,AC808=1),AB807/AE807*tun_DaughterShare&gt;=tun_MinDaughter),MAX(1,ROUND(AE807*tun_FissionRate,0)),0)</x:f>
        <x:v>0</x:v>
      </x:c>
      <x:c r="AE808" s="8" t="n">
        <x:f>IF(H808=1,MAX(1,MIN(INDEX(tun_Smax,G808),AE807+AD808)),AE807)</x:f>
        <x:v>9</x:v>
      </x:c>
      <x:c r="AF808" s="8" t="n">
        <x:f>MAX(0,AE808-AE807)</x:f>
        <x:v>0</x:v>
      </x:c>
      <x:c r="AG808" s="9" t="str">
        <x:f>IF(AF808&gt;0,B808,"")</x:f>
      </x:c>
      <x:c r="AH808" s="9" t="n">
        <x:f>IF(F808&gt;=1,1,(1+tun_LowTiesShare*(AE808-1))/AE808)</x:f>
        <x:v>1</x:v>
      </x:c>
      <x:c r="AI808" s="32" t="n">
        <x:f>(Z808+tun_ElderCommons*INDEX(LM_Elder,G808)*AA808)*AH808</x:f>
        <x:v>238215.0665857503</x:v>
      </x:c>
      <x:c r="AJ808" s="32" t="n">
        <x:f>H808*tun_CommonsCoef*AI808^tun_CommonsExp*INDEX(LM_Commons,G808)</x:f>
        <x:v>0</x:v>
      </x:c>
      <x:c r="AK808" s="32" t="n">
        <x:f>H808*tun_RoleScale*Arch_Roles*(AE808*(INDEX(tun_ElderRolePerSett,G808)*tun_OutElder*INDEX(LM_Elder,G808)+INDEX(tun_ShamanPerSett,G808)*tun_OutShaman)+Z808*(INDEX(tun_PriestShare,G808)*tun_OutPriest+INDEX(tun_ScribeShare,G808)*tun_OutScribe*INDEX(LM_Scribe,G808)+INDEX(tun_ScholarShare,G808)*tun_OutScholar*INDEX(LM_Scholar,G808)+INDEX(tun_ResearcherShare,G808)*tun_OutResearcher*INDEX(LM_Researcher,G808)))</x:f>
        <x:v>0</x:v>
      </x:c>
      <x:c r="AL808" s="32" t="n">
        <x:f>H808*tun_RoleScale*Arch_Roles*AE808*INDEX(tun_MonasteryPerSett,G808)*tun_OutMonastery*INDEX(LM_Monastery,G808)</x:f>
        <x:v>0</x:v>
      </x:c>
      <x:c r="AM808" s="32" t="n">
        <x:f>(AJ808+AK808+AL808)/4*INDEX(LM_All,G808)*INDEX(tun_Boon,G808)*Arch_Insight</x:f>
        <x:v>0</x:v>
      </x:c>
      <x:c r="AN808" s="32" t="n">
        <x:f>H808*(tun_KHPerAdult*Z808+tun_KHOfCommons*AJ808/4*INDEX(LM_All,G808))*tun_KHUsable*Arch_KH</x:f>
        <x:v>0</x:v>
      </x:c>
      <x:c r="AO808" s="32" t="n">
        <x:f>MIN(AP807+AN808,AM808*tun_KHMaxRatio)</x:f>
        <x:v>0</x:v>
      </x:c>
      <x:c r="AP808" s="32" t="n">
        <x:f>AP807+AN808-AO808</x:f>
        <x:v>0</x:v>
      </x:c>
      <x:c r="AQ808" s="32" t="n">
        <x:f>AM808+AO808</x:f>
        <x:v>0</x:v>
      </x:c>
      <x:c r="AR808" s="10" t="n">
        <x:f>IF(H808=1,INDEX(tun_Req,G808),0)</x:f>
        <x:v>0</x:v>
      </x:c>
      <x:c r="AS808" s="32" t="n">
        <x:f>IF(H808=1,IF(E808=1,AS807-AR807,AS807)+AQ808,0)</x:f>
        <x:v>0</x:v>
      </x:c>
      <x:c r="AT808" s="11" t="n">
        <x:f>IF(AR808&gt;0,MIN(1,AS808/AR808),1)</x:f>
        <x:v>1</x:v>
      </x:c>
      <x:c r="AU808" s="10" t="n">
        <x:f>AB808/INDEX(tun_RepScale,G808)</x:f>
        <x:v>290.3368848566301</x:v>
      </x:c>
      <x:c r="AV808" s="32" t="n">
        <x:f>AM808*60/tun_SeasonSeconds</x:f>
        <x:v>0</x:v>
      </x:c>
    </x:row>
    <x:row r="809">
      <x:c r="A809" s="8" t="n">
        <x:f>A808+1</x:f>
        <x:v>806</x:v>
      </x:c>
      <x:c r="B809" s="9" t="n">
        <x:f>A809*tun_SeasonSeconds/60</x:f>
        <x:v>201.5</x:v>
      </x:c>
      <x:c r="C809" s="9" t="n">
        <x:f>A809/4</x:f>
        <x:v>201.5</x:v>
      </x:c>
      <x:c r="D809" s="8" t="n">
        <x:f>IF(MOD(A809,4)=0,1,0)</x:f>
        <x:v>0</x:v>
      </x:c>
      <x:c r="E809" s="8" t="n">
        <x:f>IF(AND(F808&lt;=9,AS808&gt;=AR808),1,0)</x:f>
        <x:v>0</x:v>
      </x:c>
      <x:c r="F809" s="8" t="n">
        <x:f>MIN(10,F808+E809)</x:f>
        <x:v>10</x:v>
      </x:c>
      <x:c r="G809" s="8" t="n">
        <x:f>MIN(F809,9)+1</x:f>
        <x:v>10</x:v>
      </x:c>
      <x:c r="H809" s="8" t="n">
        <x:f>IF(F809&lt;=9,1,0)</x:f>
        <x:v>0</x:v>
      </x:c>
      <x:c r="I809" s="9" t="n">
        <x:f>MIN(10,F808+IF(AR808&gt;0,MIN(1,AS808/AR808),1))</x:f>
        <x:v>10</x:v>
      </x:c>
      <x:c r="J809" s="32" t="n">
        <x:f>INDEX(tun_FoodCap,G809)*Arch_FoodCap*EXP(tun_CapsByProject*SUMPRODUCT((Cap_Point&lt;=I809)*(Cap_Kind="Food")*Cap_Ln))</x:f>
        <x:v>18627.260449441455</x:v>
      </x:c>
      <x:c r="K809" s="32" t="n">
        <x:f>J809*MIN(1,tun_LeanBase*EXP(tun_CapsByProject*SUMPRODUCT((Cap_Point&lt;=I809)*(Cap_Kind="Lean")*Cap_Ln)))</x:f>
        <x:v>18627.260449441455</x:v>
      </x:c>
      <x:c r="L809" s="10" t="n">
        <x:f>INDEX(tun_HousingCap,G809)*EXP(tun_CapsByProject*SUMPRODUCT((Cap_Point&lt;=I809)*(Cap_Kind="Housing")*Cap_Ln))</x:f>
        <x:v>20528.974303173167</x:v>
      </x:c>
      <x:c r="M809" s="10" t="n">
        <x:f>INDEX(tun_GroupCap,G809)*tun_CohesionFactor*EXP(tun_CapsByProject*SUMPRODUCT((Cap_Point&lt;=I809)*(Cap_Kind="Group")*Cap_Ln))</x:f>
        <x:v>1000000.000000001</x:v>
      </x:c>
      <x:c r="N809" s="32" t="n">
        <x:f>MIN(J809,L809,M809)</x:f>
        <x:v>18627.260449441455</x:v>
      </x:c>
      <x:c r="O809" s="10" t="n">
        <x:f>AE808*N809</x:f>
        <x:v>167645.34404497308</x:v>
      </x:c>
      <x:c r="P809" s="9" t="n">
        <x:f>MIN(1,(AB808/(AE808*IF(tun_GroupInCrowding=1,N809,MIN(J809,L809))))^tun_CrowdingExp)</x:f>
        <x:v>0.4215841981292809</x:v>
      </x:c>
      <x:c r="Q809" s="9" t="n">
        <x:f>IF(D809=1,INDEX(tun_WinterMult,G809),1)</x:f>
        <x:v>1</x:v>
      </x:c>
      <x:c r="R809" s="9" t="n">
        <x:f>H809*Z808*tun_WomenShare*tun_BaseFertility*INDEX(tun_FertMult,G809)*Arch_Fertility*(1-P809)</x:f>
        <x:v>0</x:v>
      </x:c>
      <x:c r="S809" s="9" t="n">
        <x:f>H809*Y808*INDEX(tun_MortChild,G809)/4*Q809</x:f>
        <x:v>0</x:v>
      </x:c>
      <x:c r="T809" s="9" t="n">
        <x:f>H809*Z808*INDEX(tun_MortAdult,G809)*Arch_AdultMort/4*Q809</x:f>
        <x:v>0</x:v>
      </x:c>
      <x:c r="U809" s="9" t="n">
        <x:f>H809*AA808*INDEX(tun_MortElder,G809)/4*Q809</x:f>
        <x:v>0</x:v>
      </x:c>
      <x:c r="V809" s="9" t="n">
        <x:f>H809*MAX(0,AB808-O809)*tun_OvercapLoss</x:f>
        <x:v>0</x:v>
      </x:c>
      <x:c r="W809" s="9" t="n">
        <x:f>H809*Y808/(tun_ChildYears*4)</x:f>
        <x:v>0</x:v>
      </x:c>
      <x:c r="X809" s="9" t="n">
        <x:f>H809*Z808/(tun_AdultYears*4)</x:f>
        <x:v>0</x:v>
      </x:c>
      <x:c r="Y809" s="32" t="n">
        <x:f>Y808+R809-S809-W809-Y808*V809/AB808</x:f>
        <x:v>40496.20709015643</x:v>
      </x:c>
      <x:c r="Z809" s="32" t="n">
        <x:f>Z808+W809-X809-T809-Z808*V809/AB808</x:f>
        <x:v>59141.61122890803</x:v>
      </x:c>
      <x:c r="AA809" s="32" t="n">
        <x:f>AA808+X809-U809-AA808*V809/AB808</x:f>
        <x:v>45530.62410925061</x:v>
      </x:c>
      <x:c r="AB809" s="10" t="n">
        <x:f>Y809+Z809+AA809</x:f>
        <x:v>145168.44242831506</x:v>
      </x:c>
      <x:c r="AC809" s="8" t="n">
        <x:f>IF(AND(tun_WinterTrigger=1,D809=1,AB808/AE808&gt;=K809),1,0)</x:f>
        <x:v>0</x:v>
      </x:c>
      <x:c r="AD809" s="8" t="n">
        <x:f>H809*IF(AND(OR(AB808/AE808&gt;=tun_FissionTrigger*N809,AC809=1),AB808/AE808*tun_DaughterShare&gt;=tun_MinDaughter),MAX(1,ROUND(AE808*tun_FissionRate,0)),0)</x:f>
        <x:v>0</x:v>
      </x:c>
      <x:c r="AE809" s="8" t="n">
        <x:f>IF(H809=1,MAX(1,MIN(INDEX(tun_Smax,G809),AE808+AD809)),AE808)</x:f>
        <x:v>9</x:v>
      </x:c>
      <x:c r="AF809" s="8" t="n">
        <x:f>MAX(0,AE809-AE808)</x:f>
        <x:v>0</x:v>
      </x:c>
      <x:c r="AG809" s="9" t="str">
        <x:f>IF(AF809&gt;0,B809,"")</x:f>
      </x:c>
      <x:c r="AH809" s="9" t="n">
        <x:f>IF(F809&gt;=1,1,(1+tun_LowTiesShare*(AE809-1))/AE809)</x:f>
        <x:v>1</x:v>
      </x:c>
      <x:c r="AI809" s="32" t="n">
        <x:f>(Z809+tun_ElderCommons*INDEX(LM_Elder,G809)*AA809)*AH809</x:f>
        <x:v>238215.0665857503</x:v>
      </x:c>
      <x:c r="AJ809" s="32" t="n">
        <x:f>H809*tun_CommonsCoef*AI809^tun_CommonsExp*INDEX(LM_Commons,G809)</x:f>
        <x:v>0</x:v>
      </x:c>
      <x:c r="AK809" s="32" t="n">
        <x:f>H809*tun_RoleScale*Arch_Roles*(AE809*(INDEX(tun_ElderRolePerSett,G809)*tun_OutElder*INDEX(LM_Elder,G809)+INDEX(tun_ShamanPerSett,G809)*tun_OutShaman)+Z809*(INDEX(tun_PriestShare,G809)*tun_OutPriest+INDEX(tun_ScribeShare,G809)*tun_OutScribe*INDEX(LM_Scribe,G809)+INDEX(tun_ScholarShare,G809)*tun_OutScholar*INDEX(LM_Scholar,G809)+INDEX(tun_ResearcherShare,G809)*tun_OutResearcher*INDEX(LM_Researcher,G809)))</x:f>
        <x:v>0</x:v>
      </x:c>
      <x:c r="AL809" s="32" t="n">
        <x:f>H809*tun_RoleScale*Arch_Roles*AE809*INDEX(tun_MonasteryPerSett,G809)*tun_OutMonastery*INDEX(LM_Monastery,G809)</x:f>
        <x:v>0</x:v>
      </x:c>
      <x:c r="AM809" s="32" t="n">
        <x:f>(AJ809+AK809+AL809)/4*INDEX(LM_All,G809)*INDEX(tun_Boon,G809)*Arch_Insight</x:f>
        <x:v>0</x:v>
      </x:c>
      <x:c r="AN809" s="32" t="n">
        <x:f>H809*(tun_KHPerAdult*Z809+tun_KHOfCommons*AJ809/4*INDEX(LM_All,G809))*tun_KHUsable*Arch_KH</x:f>
        <x:v>0</x:v>
      </x:c>
      <x:c r="AO809" s="32" t="n">
        <x:f>MIN(AP808+AN809,AM809*tun_KHMaxRatio)</x:f>
        <x:v>0</x:v>
      </x:c>
      <x:c r="AP809" s="32" t="n">
        <x:f>AP808+AN809-AO809</x:f>
        <x:v>0</x:v>
      </x:c>
      <x:c r="AQ809" s="32" t="n">
        <x:f>AM809+AO809</x:f>
        <x:v>0</x:v>
      </x:c>
      <x:c r="AR809" s="10" t="n">
        <x:f>IF(H809=1,INDEX(tun_Req,G809),0)</x:f>
        <x:v>0</x:v>
      </x:c>
      <x:c r="AS809" s="32" t="n">
        <x:f>IF(H809=1,IF(E809=1,AS808-AR808,AS808)+AQ809,0)</x:f>
        <x:v>0</x:v>
      </x:c>
      <x:c r="AT809" s="11" t="n">
        <x:f>IF(AR809&gt;0,MIN(1,AS809/AR809),1)</x:f>
        <x:v>1</x:v>
      </x:c>
      <x:c r="AU809" s="10" t="n">
        <x:f>AB809/INDEX(tun_RepScale,G809)</x:f>
        <x:v>290.3368848566301</x:v>
      </x:c>
      <x:c r="AV809" s="32" t="n">
        <x:f>AM809*60/tun_SeasonSeconds</x:f>
        <x:v>0</x:v>
      </x:c>
    </x:row>
    <x:row r="810">
      <x:c r="A810" s="8" t="n">
        <x:f>A809+1</x:f>
        <x:v>807</x:v>
      </x:c>
      <x:c r="B810" s="9" t="n">
        <x:f>A810*tun_SeasonSeconds/60</x:f>
        <x:v>201.75</x:v>
      </x:c>
      <x:c r="C810" s="9" t="n">
        <x:f>A810/4</x:f>
        <x:v>201.75</x:v>
      </x:c>
      <x:c r="D810" s="8" t="n">
        <x:f>IF(MOD(A810,4)=0,1,0)</x:f>
        <x:v>0</x:v>
      </x:c>
      <x:c r="E810" s="8" t="n">
        <x:f>IF(AND(F809&lt;=9,AS809&gt;=AR809),1,0)</x:f>
        <x:v>0</x:v>
      </x:c>
      <x:c r="F810" s="8" t="n">
        <x:f>MIN(10,F809+E810)</x:f>
        <x:v>10</x:v>
      </x:c>
      <x:c r="G810" s="8" t="n">
        <x:f>MIN(F810,9)+1</x:f>
        <x:v>10</x:v>
      </x:c>
      <x:c r="H810" s="8" t="n">
        <x:f>IF(F810&lt;=9,1,0)</x:f>
        <x:v>0</x:v>
      </x:c>
      <x:c r="I810" s="9" t="n">
        <x:f>MIN(10,F809+IF(AR809&gt;0,MIN(1,AS809/AR809),1))</x:f>
        <x:v>10</x:v>
      </x:c>
      <x:c r="J810" s="32" t="n">
        <x:f>INDEX(tun_FoodCap,G810)*Arch_FoodCap*EXP(tun_CapsByProject*SUMPRODUCT((Cap_Point&lt;=I810)*(Cap_Kind="Food")*Cap_Ln))</x:f>
        <x:v>18627.260449441455</x:v>
      </x:c>
      <x:c r="K810" s="32" t="n">
        <x:f>J810*MIN(1,tun_LeanBase*EXP(tun_CapsByProject*SUMPRODUCT((Cap_Point&lt;=I810)*(Cap_Kind="Lean")*Cap_Ln)))</x:f>
        <x:v>18627.260449441455</x:v>
      </x:c>
      <x:c r="L810" s="10" t="n">
        <x:f>INDEX(tun_HousingCap,G810)*EXP(tun_CapsByProject*SUMPRODUCT((Cap_Point&lt;=I810)*(Cap_Kind="Housing")*Cap_Ln))</x:f>
        <x:v>20528.974303173167</x:v>
      </x:c>
      <x:c r="M810" s="10" t="n">
        <x:f>INDEX(tun_GroupCap,G810)*tun_CohesionFactor*EXP(tun_CapsByProject*SUMPRODUCT((Cap_Point&lt;=I810)*(Cap_Kind="Group")*Cap_Ln))</x:f>
        <x:v>1000000.000000001</x:v>
      </x:c>
      <x:c r="N810" s="32" t="n">
        <x:f>MIN(J810,L810,M810)</x:f>
        <x:v>18627.260449441455</x:v>
      </x:c>
      <x:c r="O810" s="10" t="n">
        <x:f>AE809*N810</x:f>
        <x:v>167645.34404497308</x:v>
      </x:c>
      <x:c r="P810" s="9" t="n">
        <x:f>MIN(1,(AB809/(AE809*IF(tun_GroupInCrowding=1,N810,MIN(J810,L810))))^tun_CrowdingExp)</x:f>
        <x:v>0.4215841981292809</x:v>
      </x:c>
      <x:c r="Q810" s="9" t="n">
        <x:f>IF(D810=1,INDEX(tun_WinterMult,G810),1)</x:f>
        <x:v>1</x:v>
      </x:c>
      <x:c r="R810" s="9" t="n">
        <x:f>H810*Z809*tun_WomenShare*tun_BaseFertility*INDEX(tun_FertMult,G810)*Arch_Fertility*(1-P810)</x:f>
        <x:v>0</x:v>
      </x:c>
      <x:c r="S810" s="9" t="n">
        <x:f>H810*Y809*INDEX(tun_MortChild,G810)/4*Q810</x:f>
        <x:v>0</x:v>
      </x:c>
      <x:c r="T810" s="9" t="n">
        <x:f>H810*Z809*INDEX(tun_MortAdult,G810)*Arch_AdultMort/4*Q810</x:f>
        <x:v>0</x:v>
      </x:c>
      <x:c r="U810" s="9" t="n">
        <x:f>H810*AA809*INDEX(tun_MortElder,G810)/4*Q810</x:f>
        <x:v>0</x:v>
      </x:c>
      <x:c r="V810" s="9" t="n">
        <x:f>H810*MAX(0,AB809-O810)*tun_OvercapLoss</x:f>
        <x:v>0</x:v>
      </x:c>
      <x:c r="W810" s="9" t="n">
        <x:f>H810*Y809/(tun_ChildYears*4)</x:f>
        <x:v>0</x:v>
      </x:c>
      <x:c r="X810" s="9" t="n">
        <x:f>H810*Z809/(tun_AdultYears*4)</x:f>
        <x:v>0</x:v>
      </x:c>
      <x:c r="Y810" s="32" t="n">
        <x:f>Y809+R810-S810-W810-Y809*V810/AB809</x:f>
        <x:v>40496.20709015643</x:v>
      </x:c>
      <x:c r="Z810" s="32" t="n">
        <x:f>Z809+W810-X810-T810-Z809*V810/AB809</x:f>
        <x:v>59141.61122890803</x:v>
      </x:c>
      <x:c r="AA810" s="32" t="n">
        <x:f>AA809+X810-U810-AA809*V810/AB809</x:f>
        <x:v>45530.62410925061</x:v>
      </x:c>
      <x:c r="AB810" s="10" t="n">
        <x:f>Y810+Z810+AA810</x:f>
        <x:v>145168.44242831506</x:v>
      </x:c>
      <x:c r="AC810" s="8" t="n">
        <x:f>IF(AND(tun_WinterTrigger=1,D810=1,AB809/AE809&gt;=K810),1,0)</x:f>
        <x:v>0</x:v>
      </x:c>
      <x:c r="AD810" s="8" t="n">
        <x:f>H810*IF(AND(OR(AB809/AE809&gt;=tun_FissionTrigger*N810,AC810=1),AB809/AE809*tun_DaughterShare&gt;=tun_MinDaughter),MAX(1,ROUND(AE809*tun_FissionRate,0)),0)</x:f>
        <x:v>0</x:v>
      </x:c>
      <x:c r="AE810" s="8" t="n">
        <x:f>IF(H810=1,MAX(1,MIN(INDEX(tun_Smax,G810),AE809+AD810)),AE809)</x:f>
        <x:v>9</x:v>
      </x:c>
      <x:c r="AF810" s="8" t="n">
        <x:f>MAX(0,AE810-AE809)</x:f>
        <x:v>0</x:v>
      </x:c>
      <x:c r="AG810" s="9" t="str">
        <x:f>IF(AF810&gt;0,B810,"")</x:f>
      </x:c>
      <x:c r="AH810" s="9" t="n">
        <x:f>IF(F810&gt;=1,1,(1+tun_LowTiesShare*(AE810-1))/AE810)</x:f>
        <x:v>1</x:v>
      </x:c>
      <x:c r="AI810" s="32" t="n">
        <x:f>(Z810+tun_ElderCommons*INDEX(LM_Elder,G810)*AA810)*AH810</x:f>
        <x:v>238215.0665857503</x:v>
      </x:c>
      <x:c r="AJ810" s="32" t="n">
        <x:f>H810*tun_CommonsCoef*AI810^tun_CommonsExp*INDEX(LM_Commons,G810)</x:f>
        <x:v>0</x:v>
      </x:c>
      <x:c r="AK810" s="32" t="n">
        <x:f>H810*tun_RoleScale*Arch_Roles*(AE810*(INDEX(tun_ElderRolePerSett,G810)*tun_OutElder*INDEX(LM_Elder,G810)+INDEX(tun_ShamanPerSett,G810)*tun_OutShaman)+Z810*(INDEX(tun_PriestShare,G810)*tun_OutPriest+INDEX(tun_ScribeShare,G810)*tun_OutScribe*INDEX(LM_Scribe,G810)+INDEX(tun_ScholarShare,G810)*tun_OutScholar*INDEX(LM_Scholar,G810)+INDEX(tun_ResearcherShare,G810)*tun_OutResearcher*INDEX(LM_Researcher,G810)))</x:f>
        <x:v>0</x:v>
      </x:c>
      <x:c r="AL810" s="32" t="n">
        <x:f>H810*tun_RoleScale*Arch_Roles*AE810*INDEX(tun_MonasteryPerSett,G810)*tun_OutMonastery*INDEX(LM_Monastery,G810)</x:f>
        <x:v>0</x:v>
      </x:c>
      <x:c r="AM810" s="32" t="n">
        <x:f>(AJ810+AK810+AL810)/4*INDEX(LM_All,G810)*INDEX(tun_Boon,G810)*Arch_Insight</x:f>
        <x:v>0</x:v>
      </x:c>
      <x:c r="AN810" s="32" t="n">
        <x:f>H810*(tun_KHPerAdult*Z810+tun_KHOfCommons*AJ810/4*INDEX(LM_All,G810))*tun_KHUsable*Arch_KH</x:f>
        <x:v>0</x:v>
      </x:c>
      <x:c r="AO810" s="32" t="n">
        <x:f>MIN(AP809+AN810,AM810*tun_KHMaxRatio)</x:f>
        <x:v>0</x:v>
      </x:c>
      <x:c r="AP810" s="32" t="n">
        <x:f>AP809+AN810-AO810</x:f>
        <x:v>0</x:v>
      </x:c>
      <x:c r="AQ810" s="32" t="n">
        <x:f>AM810+AO810</x:f>
        <x:v>0</x:v>
      </x:c>
      <x:c r="AR810" s="10" t="n">
        <x:f>IF(H810=1,INDEX(tun_Req,G810),0)</x:f>
        <x:v>0</x:v>
      </x:c>
      <x:c r="AS810" s="32" t="n">
        <x:f>IF(H810=1,IF(E810=1,AS809-AR809,AS809)+AQ810,0)</x:f>
        <x:v>0</x:v>
      </x:c>
      <x:c r="AT810" s="11" t="n">
        <x:f>IF(AR810&gt;0,MIN(1,AS810/AR810),1)</x:f>
        <x:v>1</x:v>
      </x:c>
      <x:c r="AU810" s="10" t="n">
        <x:f>AB810/INDEX(tun_RepScale,G810)</x:f>
        <x:v>290.3368848566301</x:v>
      </x:c>
      <x:c r="AV810" s="32" t="n">
        <x:f>AM810*60/tun_SeasonSeconds</x:f>
        <x:v>0</x:v>
      </x:c>
    </x:row>
    <x:row r="811">
      <x:c r="A811" s="8" t="n">
        <x:f>A810+1</x:f>
        <x:v>808</x:v>
      </x:c>
      <x:c r="B811" s="9" t="n">
        <x:f>A811*tun_SeasonSeconds/60</x:f>
        <x:v>202</x:v>
      </x:c>
      <x:c r="C811" s="9" t="n">
        <x:f>A811/4</x:f>
        <x:v>202</x:v>
      </x:c>
      <x:c r="D811" s="8" t="n">
        <x:f>IF(MOD(A811,4)=0,1,0)</x:f>
        <x:v>1</x:v>
      </x:c>
      <x:c r="E811" s="8" t="n">
        <x:f>IF(AND(F810&lt;=9,AS810&gt;=AR810),1,0)</x:f>
        <x:v>0</x:v>
      </x:c>
      <x:c r="F811" s="8" t="n">
        <x:f>MIN(10,F810+E811)</x:f>
        <x:v>10</x:v>
      </x:c>
      <x:c r="G811" s="8" t="n">
        <x:f>MIN(F811,9)+1</x:f>
        <x:v>10</x:v>
      </x:c>
      <x:c r="H811" s="8" t="n">
        <x:f>IF(F811&lt;=9,1,0)</x:f>
        <x:v>0</x:v>
      </x:c>
      <x:c r="I811" s="9" t="n">
        <x:f>MIN(10,F810+IF(AR810&gt;0,MIN(1,AS810/AR810),1))</x:f>
        <x:v>10</x:v>
      </x:c>
      <x:c r="J811" s="32" t="n">
        <x:f>INDEX(tun_FoodCap,G811)*Arch_FoodCap*EXP(tun_CapsByProject*SUMPRODUCT((Cap_Point&lt;=I811)*(Cap_Kind="Food")*Cap_Ln))</x:f>
        <x:v>18627.260449441455</x:v>
      </x:c>
      <x:c r="K811" s="32" t="n">
        <x:f>J811*MIN(1,tun_LeanBase*EXP(tun_CapsByProject*SUMPRODUCT((Cap_Point&lt;=I811)*(Cap_Kind="Lean")*Cap_Ln)))</x:f>
        <x:v>18627.260449441455</x:v>
      </x:c>
      <x:c r="L811" s="10" t="n">
        <x:f>INDEX(tun_HousingCap,G811)*EXP(tun_CapsByProject*SUMPRODUCT((Cap_Point&lt;=I811)*(Cap_Kind="Housing")*Cap_Ln))</x:f>
        <x:v>20528.974303173167</x:v>
      </x:c>
      <x:c r="M811" s="10" t="n">
        <x:f>INDEX(tun_GroupCap,G811)*tun_CohesionFactor*EXP(tun_CapsByProject*SUMPRODUCT((Cap_Point&lt;=I811)*(Cap_Kind="Group")*Cap_Ln))</x:f>
        <x:v>1000000.000000001</x:v>
      </x:c>
      <x:c r="N811" s="32" t="n">
        <x:f>MIN(J811,L811,M811)</x:f>
        <x:v>18627.260449441455</x:v>
      </x:c>
      <x:c r="O811" s="10" t="n">
        <x:f>AE810*N811</x:f>
        <x:v>167645.34404497308</x:v>
      </x:c>
      <x:c r="P811" s="9" t="n">
        <x:f>MIN(1,(AB810/(AE810*IF(tun_GroupInCrowding=1,N811,MIN(J811,L811))))^tun_CrowdingExp)</x:f>
        <x:v>0.4215841981292809</x:v>
      </x:c>
      <x:c r="Q811" s="9" t="n">
        <x:f>IF(D811=1,INDEX(tun_WinterMult,G811),1)</x:f>
        <x:v>1.05</x:v>
      </x:c>
      <x:c r="R811" s="9" t="n">
        <x:f>H811*Z810*tun_WomenShare*tun_BaseFertility*INDEX(tun_FertMult,G811)*Arch_Fertility*(1-P811)</x:f>
        <x:v>0</x:v>
      </x:c>
      <x:c r="S811" s="9" t="n">
        <x:f>H811*Y810*INDEX(tun_MortChild,G811)/4*Q811</x:f>
        <x:v>0</x:v>
      </x:c>
      <x:c r="T811" s="9" t="n">
        <x:f>H811*Z810*INDEX(tun_MortAdult,G811)*Arch_AdultMort/4*Q811</x:f>
        <x:v>0</x:v>
      </x:c>
      <x:c r="U811" s="9" t="n">
        <x:f>H811*AA810*INDEX(tun_MortElder,G811)/4*Q811</x:f>
        <x:v>0</x:v>
      </x:c>
      <x:c r="V811" s="9" t="n">
        <x:f>H811*MAX(0,AB810-O811)*tun_OvercapLoss</x:f>
        <x:v>0</x:v>
      </x:c>
      <x:c r="W811" s="9" t="n">
        <x:f>H811*Y810/(tun_ChildYears*4)</x:f>
        <x:v>0</x:v>
      </x:c>
      <x:c r="X811" s="9" t="n">
        <x:f>H811*Z810/(tun_AdultYears*4)</x:f>
        <x:v>0</x:v>
      </x:c>
      <x:c r="Y811" s="32" t="n">
        <x:f>Y810+R811-S811-W811-Y810*V811/AB810</x:f>
        <x:v>40496.20709015643</x:v>
      </x:c>
      <x:c r="Z811" s="32" t="n">
        <x:f>Z810+W811-X811-T811-Z810*V811/AB810</x:f>
        <x:v>59141.61122890803</x:v>
      </x:c>
      <x:c r="AA811" s="32" t="n">
        <x:f>AA810+X811-U811-AA810*V811/AB810</x:f>
        <x:v>45530.62410925061</x:v>
      </x:c>
      <x:c r="AB811" s="10" t="n">
        <x:f>Y811+Z811+AA811</x:f>
        <x:v>145168.44242831506</x:v>
      </x:c>
      <x:c r="AC811" s="8" t="n">
        <x:f>IF(AND(tun_WinterTrigger=1,D811=1,AB810/AE810&gt;=K811),1,0)</x:f>
        <x:v>0</x:v>
      </x:c>
      <x:c r="AD811" s="8" t="n">
        <x:f>H811*IF(AND(OR(AB810/AE810&gt;=tun_FissionTrigger*N811,AC811=1),AB810/AE810*tun_DaughterShare&gt;=tun_MinDaughter),MAX(1,ROUND(AE810*tun_FissionRate,0)),0)</x:f>
        <x:v>0</x:v>
      </x:c>
      <x:c r="AE811" s="8" t="n">
        <x:f>IF(H811=1,MAX(1,MIN(INDEX(tun_Smax,G811),AE810+AD811)),AE810)</x:f>
        <x:v>9</x:v>
      </x:c>
      <x:c r="AF811" s="8" t="n">
        <x:f>MAX(0,AE811-AE810)</x:f>
        <x:v>0</x:v>
      </x:c>
      <x:c r="AG811" s="9" t="str">
        <x:f>IF(AF811&gt;0,B811,"")</x:f>
      </x:c>
      <x:c r="AH811" s="9" t="n">
        <x:f>IF(F811&gt;=1,1,(1+tun_LowTiesShare*(AE811-1))/AE811)</x:f>
        <x:v>1</x:v>
      </x:c>
      <x:c r="AI811" s="32" t="n">
        <x:f>(Z811+tun_ElderCommons*INDEX(LM_Elder,G811)*AA811)*AH811</x:f>
        <x:v>238215.0665857503</x:v>
      </x:c>
      <x:c r="AJ811" s="32" t="n">
        <x:f>H811*tun_CommonsCoef*AI811^tun_CommonsExp*INDEX(LM_Commons,G811)</x:f>
        <x:v>0</x:v>
      </x:c>
      <x:c r="AK811" s="32" t="n">
        <x:f>H811*tun_RoleScale*Arch_Roles*(AE811*(INDEX(tun_ElderRolePerSett,G811)*tun_OutElder*INDEX(LM_Elder,G811)+INDEX(tun_ShamanPerSett,G811)*tun_OutShaman)+Z811*(INDEX(tun_PriestShare,G811)*tun_OutPriest+INDEX(tun_ScribeShare,G811)*tun_OutScribe*INDEX(LM_Scribe,G811)+INDEX(tun_ScholarShare,G811)*tun_OutScholar*INDEX(LM_Scholar,G811)+INDEX(tun_ResearcherShare,G811)*tun_OutResearcher*INDEX(LM_Researcher,G811)))</x:f>
        <x:v>0</x:v>
      </x:c>
      <x:c r="AL811" s="32" t="n">
        <x:f>H811*tun_RoleScale*Arch_Roles*AE811*INDEX(tun_MonasteryPerSett,G811)*tun_OutMonastery*INDEX(LM_Monastery,G811)</x:f>
        <x:v>0</x:v>
      </x:c>
      <x:c r="AM811" s="32" t="n">
        <x:f>(AJ811+AK811+AL811)/4*INDEX(LM_All,G811)*INDEX(tun_Boon,G811)*Arch_Insight</x:f>
        <x:v>0</x:v>
      </x:c>
      <x:c r="AN811" s="32" t="n">
        <x:f>H811*(tun_KHPerAdult*Z811+tun_KHOfCommons*AJ811/4*INDEX(LM_All,G811))*tun_KHUsable*Arch_KH</x:f>
        <x:v>0</x:v>
      </x:c>
      <x:c r="AO811" s="32" t="n">
        <x:f>MIN(AP810+AN811,AM811*tun_KHMaxRatio)</x:f>
        <x:v>0</x:v>
      </x:c>
      <x:c r="AP811" s="32" t="n">
        <x:f>AP810+AN811-AO811</x:f>
        <x:v>0</x:v>
      </x:c>
      <x:c r="AQ811" s="32" t="n">
        <x:f>AM811+AO811</x:f>
        <x:v>0</x:v>
      </x:c>
      <x:c r="AR811" s="10" t="n">
        <x:f>IF(H811=1,INDEX(tun_Req,G811),0)</x:f>
        <x:v>0</x:v>
      </x:c>
      <x:c r="AS811" s="32" t="n">
        <x:f>IF(H811=1,IF(E811=1,AS810-AR810,AS810)+AQ811,0)</x:f>
        <x:v>0</x:v>
      </x:c>
      <x:c r="AT811" s="11" t="n">
        <x:f>IF(AR811&gt;0,MIN(1,AS811/AR811),1)</x:f>
        <x:v>1</x:v>
      </x:c>
      <x:c r="AU811" s="10" t="n">
        <x:f>AB811/INDEX(tun_RepScale,G811)</x:f>
        <x:v>290.3368848566301</x:v>
      </x:c>
      <x:c r="AV811" s="32" t="n">
        <x:f>AM811*60/tun_SeasonSeconds</x:f>
        <x:v>0</x:v>
      </x:c>
    </x:row>
    <x:row r="812">
      <x:c r="A812" s="8" t="n">
        <x:f>A811+1</x:f>
        <x:v>809</x:v>
      </x:c>
      <x:c r="B812" s="9" t="n">
        <x:f>A812*tun_SeasonSeconds/60</x:f>
        <x:v>202.25</x:v>
      </x:c>
      <x:c r="C812" s="9" t="n">
        <x:f>A812/4</x:f>
        <x:v>202.25</x:v>
      </x:c>
      <x:c r="D812" s="8" t="n">
        <x:f>IF(MOD(A812,4)=0,1,0)</x:f>
        <x:v>0</x:v>
      </x:c>
      <x:c r="E812" s="8" t="n">
        <x:f>IF(AND(F811&lt;=9,AS811&gt;=AR811),1,0)</x:f>
        <x:v>0</x:v>
      </x:c>
      <x:c r="F812" s="8" t="n">
        <x:f>MIN(10,F811+E812)</x:f>
        <x:v>10</x:v>
      </x:c>
      <x:c r="G812" s="8" t="n">
        <x:f>MIN(F812,9)+1</x:f>
        <x:v>10</x:v>
      </x:c>
      <x:c r="H812" s="8" t="n">
        <x:f>IF(F812&lt;=9,1,0)</x:f>
        <x:v>0</x:v>
      </x:c>
      <x:c r="I812" s="9" t="n">
        <x:f>MIN(10,F811+IF(AR811&gt;0,MIN(1,AS811/AR811),1))</x:f>
        <x:v>10</x:v>
      </x:c>
      <x:c r="J812" s="32" t="n">
        <x:f>INDEX(tun_FoodCap,G812)*Arch_FoodCap*EXP(tun_CapsByProject*SUMPRODUCT((Cap_Point&lt;=I812)*(Cap_Kind="Food")*Cap_Ln))</x:f>
        <x:v>18627.260449441455</x:v>
      </x:c>
      <x:c r="K812" s="32" t="n">
        <x:f>J812*MIN(1,tun_LeanBase*EXP(tun_CapsByProject*SUMPRODUCT((Cap_Point&lt;=I812)*(Cap_Kind="Lean")*Cap_Ln)))</x:f>
        <x:v>18627.260449441455</x:v>
      </x:c>
      <x:c r="L812" s="10" t="n">
        <x:f>INDEX(tun_HousingCap,G812)*EXP(tun_CapsByProject*SUMPRODUCT((Cap_Point&lt;=I812)*(Cap_Kind="Housing")*Cap_Ln))</x:f>
        <x:v>20528.974303173167</x:v>
      </x:c>
      <x:c r="M812" s="10" t="n">
        <x:f>INDEX(tun_GroupCap,G812)*tun_CohesionFactor*EXP(tun_CapsByProject*SUMPRODUCT((Cap_Point&lt;=I812)*(Cap_Kind="Group")*Cap_Ln))</x:f>
        <x:v>1000000.000000001</x:v>
      </x:c>
      <x:c r="N812" s="32" t="n">
        <x:f>MIN(J812,L812,M812)</x:f>
        <x:v>18627.260449441455</x:v>
      </x:c>
      <x:c r="O812" s="10" t="n">
        <x:f>AE811*N812</x:f>
        <x:v>167645.34404497308</x:v>
      </x:c>
      <x:c r="P812" s="9" t="n">
        <x:f>MIN(1,(AB811/(AE811*IF(tun_GroupInCrowding=1,N812,MIN(J812,L812))))^tun_CrowdingExp)</x:f>
        <x:v>0.4215841981292809</x:v>
      </x:c>
      <x:c r="Q812" s="9" t="n">
        <x:f>IF(D812=1,INDEX(tun_WinterMult,G812),1)</x:f>
        <x:v>1</x:v>
      </x:c>
      <x:c r="R812" s="9" t="n">
        <x:f>H812*Z811*tun_WomenShare*tun_BaseFertility*INDEX(tun_FertMult,G812)*Arch_Fertility*(1-P812)</x:f>
        <x:v>0</x:v>
      </x:c>
      <x:c r="S812" s="9" t="n">
        <x:f>H812*Y811*INDEX(tun_MortChild,G812)/4*Q812</x:f>
        <x:v>0</x:v>
      </x:c>
      <x:c r="T812" s="9" t="n">
        <x:f>H812*Z811*INDEX(tun_MortAdult,G812)*Arch_AdultMort/4*Q812</x:f>
        <x:v>0</x:v>
      </x:c>
      <x:c r="U812" s="9" t="n">
        <x:f>H812*AA811*INDEX(tun_MortElder,G812)/4*Q812</x:f>
        <x:v>0</x:v>
      </x:c>
      <x:c r="V812" s="9" t="n">
        <x:f>H812*MAX(0,AB811-O812)*tun_OvercapLoss</x:f>
        <x:v>0</x:v>
      </x:c>
      <x:c r="W812" s="9" t="n">
        <x:f>H812*Y811/(tun_ChildYears*4)</x:f>
        <x:v>0</x:v>
      </x:c>
      <x:c r="X812" s="9" t="n">
        <x:f>H812*Z811/(tun_AdultYears*4)</x:f>
        <x:v>0</x:v>
      </x:c>
      <x:c r="Y812" s="32" t="n">
        <x:f>Y811+R812-S812-W812-Y811*V812/AB811</x:f>
        <x:v>40496.20709015643</x:v>
      </x:c>
      <x:c r="Z812" s="32" t="n">
        <x:f>Z811+W812-X812-T812-Z811*V812/AB811</x:f>
        <x:v>59141.61122890803</x:v>
      </x:c>
      <x:c r="AA812" s="32" t="n">
        <x:f>AA811+X812-U812-AA811*V812/AB811</x:f>
        <x:v>45530.62410925061</x:v>
      </x:c>
      <x:c r="AB812" s="10" t="n">
        <x:f>Y812+Z812+AA812</x:f>
        <x:v>145168.44242831506</x:v>
      </x:c>
      <x:c r="AC812" s="8" t="n">
        <x:f>IF(AND(tun_WinterTrigger=1,D812=1,AB811/AE811&gt;=K812),1,0)</x:f>
        <x:v>0</x:v>
      </x:c>
      <x:c r="AD812" s="8" t="n">
        <x:f>H812*IF(AND(OR(AB811/AE811&gt;=tun_FissionTrigger*N812,AC812=1),AB811/AE811*tun_DaughterShare&gt;=tun_MinDaughter),MAX(1,ROUND(AE811*tun_FissionRate,0)),0)</x:f>
        <x:v>0</x:v>
      </x:c>
      <x:c r="AE812" s="8" t="n">
        <x:f>IF(H812=1,MAX(1,MIN(INDEX(tun_Smax,G812),AE811+AD812)),AE811)</x:f>
        <x:v>9</x:v>
      </x:c>
      <x:c r="AF812" s="8" t="n">
        <x:f>MAX(0,AE812-AE811)</x:f>
        <x:v>0</x:v>
      </x:c>
      <x:c r="AG812" s="9" t="str">
        <x:f>IF(AF812&gt;0,B812,"")</x:f>
      </x:c>
      <x:c r="AH812" s="9" t="n">
        <x:f>IF(F812&gt;=1,1,(1+tun_LowTiesShare*(AE812-1))/AE812)</x:f>
        <x:v>1</x:v>
      </x:c>
      <x:c r="AI812" s="32" t="n">
        <x:f>(Z812+tun_ElderCommons*INDEX(LM_Elder,G812)*AA812)*AH812</x:f>
        <x:v>238215.0665857503</x:v>
      </x:c>
      <x:c r="AJ812" s="32" t="n">
        <x:f>H812*tun_CommonsCoef*AI812^tun_CommonsExp*INDEX(LM_Commons,G812)</x:f>
        <x:v>0</x:v>
      </x:c>
      <x:c r="AK812" s="32" t="n">
        <x:f>H812*tun_RoleScale*Arch_Roles*(AE812*(INDEX(tun_ElderRolePerSett,G812)*tun_OutElder*INDEX(LM_Elder,G812)+INDEX(tun_ShamanPerSett,G812)*tun_OutShaman)+Z812*(INDEX(tun_PriestShare,G812)*tun_OutPriest+INDEX(tun_ScribeShare,G812)*tun_OutScribe*INDEX(LM_Scribe,G812)+INDEX(tun_ScholarShare,G812)*tun_OutScholar*INDEX(LM_Scholar,G812)+INDEX(tun_ResearcherShare,G812)*tun_OutResearcher*INDEX(LM_Researcher,G812)))</x:f>
        <x:v>0</x:v>
      </x:c>
      <x:c r="AL812" s="32" t="n">
        <x:f>H812*tun_RoleScale*Arch_Roles*AE812*INDEX(tun_MonasteryPerSett,G812)*tun_OutMonastery*INDEX(LM_Monastery,G812)</x:f>
        <x:v>0</x:v>
      </x:c>
      <x:c r="AM812" s="32" t="n">
        <x:f>(AJ812+AK812+AL812)/4*INDEX(LM_All,G812)*INDEX(tun_Boon,G812)*Arch_Insight</x:f>
        <x:v>0</x:v>
      </x:c>
      <x:c r="AN812" s="32" t="n">
        <x:f>H812*(tun_KHPerAdult*Z812+tun_KHOfCommons*AJ812/4*INDEX(LM_All,G812))*tun_KHUsable*Arch_KH</x:f>
        <x:v>0</x:v>
      </x:c>
      <x:c r="AO812" s="32" t="n">
        <x:f>MIN(AP811+AN812,AM812*tun_KHMaxRatio)</x:f>
        <x:v>0</x:v>
      </x:c>
      <x:c r="AP812" s="32" t="n">
        <x:f>AP811+AN812-AO812</x:f>
        <x:v>0</x:v>
      </x:c>
      <x:c r="AQ812" s="32" t="n">
        <x:f>AM812+AO812</x:f>
        <x:v>0</x:v>
      </x:c>
      <x:c r="AR812" s="10" t="n">
        <x:f>IF(H812=1,INDEX(tun_Req,G812),0)</x:f>
        <x:v>0</x:v>
      </x:c>
      <x:c r="AS812" s="32" t="n">
        <x:f>IF(H812=1,IF(E812=1,AS811-AR811,AS811)+AQ812,0)</x:f>
        <x:v>0</x:v>
      </x:c>
      <x:c r="AT812" s="11" t="n">
        <x:f>IF(AR812&gt;0,MIN(1,AS812/AR812),1)</x:f>
        <x:v>1</x:v>
      </x:c>
      <x:c r="AU812" s="10" t="n">
        <x:f>AB812/INDEX(tun_RepScale,G812)</x:f>
        <x:v>290.3368848566301</x:v>
      </x:c>
      <x:c r="AV812" s="32" t="n">
        <x:f>AM812*60/tun_SeasonSeconds</x:f>
        <x:v>0</x:v>
      </x:c>
    </x:row>
    <x:row r="813">
      <x:c r="A813" s="8" t="n">
        <x:f>A812+1</x:f>
        <x:v>810</x:v>
      </x:c>
      <x:c r="B813" s="9" t="n">
        <x:f>A813*tun_SeasonSeconds/60</x:f>
        <x:v>202.5</x:v>
      </x:c>
      <x:c r="C813" s="9" t="n">
        <x:f>A813/4</x:f>
        <x:v>202.5</x:v>
      </x:c>
      <x:c r="D813" s="8" t="n">
        <x:f>IF(MOD(A813,4)=0,1,0)</x:f>
        <x:v>0</x:v>
      </x:c>
      <x:c r="E813" s="8" t="n">
        <x:f>IF(AND(F812&lt;=9,AS812&gt;=AR812),1,0)</x:f>
        <x:v>0</x:v>
      </x:c>
      <x:c r="F813" s="8" t="n">
        <x:f>MIN(10,F812+E813)</x:f>
        <x:v>10</x:v>
      </x:c>
      <x:c r="G813" s="8" t="n">
        <x:f>MIN(F813,9)+1</x:f>
        <x:v>10</x:v>
      </x:c>
      <x:c r="H813" s="8" t="n">
        <x:f>IF(F813&lt;=9,1,0)</x:f>
        <x:v>0</x:v>
      </x:c>
      <x:c r="I813" s="9" t="n">
        <x:f>MIN(10,F812+IF(AR812&gt;0,MIN(1,AS812/AR812),1))</x:f>
        <x:v>10</x:v>
      </x:c>
      <x:c r="J813" s="32" t="n">
        <x:f>INDEX(tun_FoodCap,G813)*Arch_FoodCap*EXP(tun_CapsByProject*SUMPRODUCT((Cap_Point&lt;=I813)*(Cap_Kind="Food")*Cap_Ln))</x:f>
        <x:v>18627.260449441455</x:v>
      </x:c>
      <x:c r="K813" s="32" t="n">
        <x:f>J813*MIN(1,tun_LeanBase*EXP(tun_CapsByProject*SUMPRODUCT((Cap_Point&lt;=I813)*(Cap_Kind="Lean")*Cap_Ln)))</x:f>
        <x:v>18627.260449441455</x:v>
      </x:c>
      <x:c r="L813" s="10" t="n">
        <x:f>INDEX(tun_HousingCap,G813)*EXP(tun_CapsByProject*SUMPRODUCT((Cap_Point&lt;=I813)*(Cap_Kind="Housing")*Cap_Ln))</x:f>
        <x:v>20528.974303173167</x:v>
      </x:c>
      <x:c r="M813" s="10" t="n">
        <x:f>INDEX(tun_GroupCap,G813)*tun_CohesionFactor*EXP(tun_CapsByProject*SUMPRODUCT((Cap_Point&lt;=I813)*(Cap_Kind="Group")*Cap_Ln))</x:f>
        <x:v>1000000.000000001</x:v>
      </x:c>
      <x:c r="N813" s="32" t="n">
        <x:f>MIN(J813,L813,M813)</x:f>
        <x:v>18627.260449441455</x:v>
      </x:c>
      <x:c r="O813" s="10" t="n">
        <x:f>AE812*N813</x:f>
        <x:v>167645.34404497308</x:v>
      </x:c>
      <x:c r="P813" s="9" t="n">
        <x:f>MIN(1,(AB812/(AE812*IF(tun_GroupInCrowding=1,N813,MIN(J813,L813))))^tun_CrowdingExp)</x:f>
        <x:v>0.4215841981292809</x:v>
      </x:c>
      <x:c r="Q813" s="9" t="n">
        <x:f>IF(D813=1,INDEX(tun_WinterMult,G813),1)</x:f>
        <x:v>1</x:v>
      </x:c>
      <x:c r="R813" s="9" t="n">
        <x:f>H813*Z812*tun_WomenShare*tun_BaseFertility*INDEX(tun_FertMult,G813)*Arch_Fertility*(1-P813)</x:f>
        <x:v>0</x:v>
      </x:c>
      <x:c r="S813" s="9" t="n">
        <x:f>H813*Y812*INDEX(tun_MortChild,G813)/4*Q813</x:f>
        <x:v>0</x:v>
      </x:c>
      <x:c r="T813" s="9" t="n">
        <x:f>H813*Z812*INDEX(tun_MortAdult,G813)*Arch_AdultMort/4*Q813</x:f>
        <x:v>0</x:v>
      </x:c>
      <x:c r="U813" s="9" t="n">
        <x:f>H813*AA812*INDEX(tun_MortElder,G813)/4*Q813</x:f>
        <x:v>0</x:v>
      </x:c>
      <x:c r="V813" s="9" t="n">
        <x:f>H813*MAX(0,AB812-O813)*tun_OvercapLoss</x:f>
        <x:v>0</x:v>
      </x:c>
      <x:c r="W813" s="9" t="n">
        <x:f>H813*Y812/(tun_ChildYears*4)</x:f>
        <x:v>0</x:v>
      </x:c>
      <x:c r="X813" s="9" t="n">
        <x:f>H813*Z812/(tun_AdultYears*4)</x:f>
        <x:v>0</x:v>
      </x:c>
      <x:c r="Y813" s="32" t="n">
        <x:f>Y812+R813-S813-W813-Y812*V813/AB812</x:f>
        <x:v>40496.20709015643</x:v>
      </x:c>
      <x:c r="Z813" s="32" t="n">
        <x:f>Z812+W813-X813-T813-Z812*V813/AB812</x:f>
        <x:v>59141.61122890803</x:v>
      </x:c>
      <x:c r="AA813" s="32" t="n">
        <x:f>AA812+X813-U813-AA812*V813/AB812</x:f>
        <x:v>45530.62410925061</x:v>
      </x:c>
      <x:c r="AB813" s="10" t="n">
        <x:f>Y813+Z813+AA813</x:f>
        <x:v>145168.44242831506</x:v>
      </x:c>
      <x:c r="AC813" s="8" t="n">
        <x:f>IF(AND(tun_WinterTrigger=1,D813=1,AB812/AE812&gt;=K813),1,0)</x:f>
        <x:v>0</x:v>
      </x:c>
      <x:c r="AD813" s="8" t="n">
        <x:f>H813*IF(AND(OR(AB812/AE812&gt;=tun_FissionTrigger*N813,AC813=1),AB812/AE812*tun_DaughterShare&gt;=tun_MinDaughter),MAX(1,ROUND(AE812*tun_FissionRate,0)),0)</x:f>
        <x:v>0</x:v>
      </x:c>
      <x:c r="AE813" s="8" t="n">
        <x:f>IF(H813=1,MAX(1,MIN(INDEX(tun_Smax,G813),AE812+AD813)),AE812)</x:f>
        <x:v>9</x:v>
      </x:c>
      <x:c r="AF813" s="8" t="n">
        <x:f>MAX(0,AE813-AE812)</x:f>
        <x:v>0</x:v>
      </x:c>
      <x:c r="AG813" s="9" t="str">
        <x:f>IF(AF813&gt;0,B813,"")</x:f>
      </x:c>
      <x:c r="AH813" s="9" t="n">
        <x:f>IF(F813&gt;=1,1,(1+tun_LowTiesShare*(AE813-1))/AE813)</x:f>
        <x:v>1</x:v>
      </x:c>
      <x:c r="AI813" s="32" t="n">
        <x:f>(Z813+tun_ElderCommons*INDEX(LM_Elder,G813)*AA813)*AH813</x:f>
        <x:v>238215.0665857503</x:v>
      </x:c>
      <x:c r="AJ813" s="32" t="n">
        <x:f>H813*tun_CommonsCoef*AI813^tun_CommonsExp*INDEX(LM_Commons,G813)</x:f>
        <x:v>0</x:v>
      </x:c>
      <x:c r="AK813" s="32" t="n">
        <x:f>H813*tun_RoleScale*Arch_Roles*(AE813*(INDEX(tun_ElderRolePerSett,G813)*tun_OutElder*INDEX(LM_Elder,G813)+INDEX(tun_ShamanPerSett,G813)*tun_OutShaman)+Z813*(INDEX(tun_PriestShare,G813)*tun_OutPriest+INDEX(tun_ScribeShare,G813)*tun_OutScribe*INDEX(LM_Scribe,G813)+INDEX(tun_ScholarShare,G813)*tun_OutScholar*INDEX(LM_Scholar,G813)+INDEX(tun_ResearcherShare,G813)*tun_OutResearcher*INDEX(LM_Researcher,G813)))</x:f>
        <x:v>0</x:v>
      </x:c>
      <x:c r="AL813" s="32" t="n">
        <x:f>H813*tun_RoleScale*Arch_Roles*AE813*INDEX(tun_MonasteryPerSett,G813)*tun_OutMonastery*INDEX(LM_Monastery,G813)</x:f>
        <x:v>0</x:v>
      </x:c>
      <x:c r="AM813" s="32" t="n">
        <x:f>(AJ813+AK813+AL813)/4*INDEX(LM_All,G813)*INDEX(tun_Boon,G813)*Arch_Insight</x:f>
        <x:v>0</x:v>
      </x:c>
      <x:c r="AN813" s="32" t="n">
        <x:f>H813*(tun_KHPerAdult*Z813+tun_KHOfCommons*AJ813/4*INDEX(LM_All,G813))*tun_KHUsable*Arch_KH</x:f>
        <x:v>0</x:v>
      </x:c>
      <x:c r="AO813" s="32" t="n">
        <x:f>MIN(AP812+AN813,AM813*tun_KHMaxRatio)</x:f>
        <x:v>0</x:v>
      </x:c>
      <x:c r="AP813" s="32" t="n">
        <x:f>AP812+AN813-AO813</x:f>
        <x:v>0</x:v>
      </x:c>
      <x:c r="AQ813" s="32" t="n">
        <x:f>AM813+AO813</x:f>
        <x:v>0</x:v>
      </x:c>
      <x:c r="AR813" s="10" t="n">
        <x:f>IF(H813=1,INDEX(tun_Req,G813),0)</x:f>
        <x:v>0</x:v>
      </x:c>
      <x:c r="AS813" s="32" t="n">
        <x:f>IF(H813=1,IF(E813=1,AS812-AR812,AS812)+AQ813,0)</x:f>
        <x:v>0</x:v>
      </x:c>
      <x:c r="AT813" s="11" t="n">
        <x:f>IF(AR813&gt;0,MIN(1,AS813/AR813),1)</x:f>
        <x:v>1</x:v>
      </x:c>
      <x:c r="AU813" s="10" t="n">
        <x:f>AB813/INDEX(tun_RepScale,G813)</x:f>
        <x:v>290.3368848566301</x:v>
      </x:c>
      <x:c r="AV813" s="32" t="n">
        <x:f>AM813*60/tun_SeasonSeconds</x:f>
        <x:v>0</x:v>
      </x:c>
    </x:row>
    <x:row r="814">
      <x:c r="A814" s="8" t="n">
        <x:f>A813+1</x:f>
        <x:v>811</x:v>
      </x:c>
      <x:c r="B814" s="9" t="n">
        <x:f>A814*tun_SeasonSeconds/60</x:f>
        <x:v>202.75</x:v>
      </x:c>
      <x:c r="C814" s="9" t="n">
        <x:f>A814/4</x:f>
        <x:v>202.75</x:v>
      </x:c>
      <x:c r="D814" s="8" t="n">
        <x:f>IF(MOD(A814,4)=0,1,0)</x:f>
        <x:v>0</x:v>
      </x:c>
      <x:c r="E814" s="8" t="n">
        <x:f>IF(AND(F813&lt;=9,AS813&gt;=AR813),1,0)</x:f>
        <x:v>0</x:v>
      </x:c>
      <x:c r="F814" s="8" t="n">
        <x:f>MIN(10,F813+E814)</x:f>
        <x:v>10</x:v>
      </x:c>
      <x:c r="G814" s="8" t="n">
        <x:f>MIN(F814,9)+1</x:f>
        <x:v>10</x:v>
      </x:c>
      <x:c r="H814" s="8" t="n">
        <x:f>IF(F814&lt;=9,1,0)</x:f>
        <x:v>0</x:v>
      </x:c>
      <x:c r="I814" s="9" t="n">
        <x:f>MIN(10,F813+IF(AR813&gt;0,MIN(1,AS813/AR813),1))</x:f>
        <x:v>10</x:v>
      </x:c>
      <x:c r="J814" s="32" t="n">
        <x:f>INDEX(tun_FoodCap,G814)*Arch_FoodCap*EXP(tun_CapsByProject*SUMPRODUCT((Cap_Point&lt;=I814)*(Cap_Kind="Food")*Cap_Ln))</x:f>
        <x:v>18627.260449441455</x:v>
      </x:c>
      <x:c r="K814" s="32" t="n">
        <x:f>J814*MIN(1,tun_LeanBase*EXP(tun_CapsByProject*SUMPRODUCT((Cap_Point&lt;=I814)*(Cap_Kind="Lean")*Cap_Ln)))</x:f>
        <x:v>18627.260449441455</x:v>
      </x:c>
      <x:c r="L814" s="10" t="n">
        <x:f>INDEX(tun_HousingCap,G814)*EXP(tun_CapsByProject*SUMPRODUCT((Cap_Point&lt;=I814)*(Cap_Kind="Housing")*Cap_Ln))</x:f>
        <x:v>20528.974303173167</x:v>
      </x:c>
      <x:c r="M814" s="10" t="n">
        <x:f>INDEX(tun_GroupCap,G814)*tun_CohesionFactor*EXP(tun_CapsByProject*SUMPRODUCT((Cap_Point&lt;=I814)*(Cap_Kind="Group")*Cap_Ln))</x:f>
        <x:v>1000000.000000001</x:v>
      </x:c>
      <x:c r="N814" s="32" t="n">
        <x:f>MIN(J814,L814,M814)</x:f>
        <x:v>18627.260449441455</x:v>
      </x:c>
      <x:c r="O814" s="10" t="n">
        <x:f>AE813*N814</x:f>
        <x:v>167645.34404497308</x:v>
      </x:c>
      <x:c r="P814" s="9" t="n">
        <x:f>MIN(1,(AB813/(AE813*IF(tun_GroupInCrowding=1,N814,MIN(J814,L814))))^tun_CrowdingExp)</x:f>
        <x:v>0.4215841981292809</x:v>
      </x:c>
      <x:c r="Q814" s="9" t="n">
        <x:f>IF(D814=1,INDEX(tun_WinterMult,G814),1)</x:f>
        <x:v>1</x:v>
      </x:c>
      <x:c r="R814" s="9" t="n">
        <x:f>H814*Z813*tun_WomenShare*tun_BaseFertility*INDEX(tun_FertMult,G814)*Arch_Fertility*(1-P814)</x:f>
        <x:v>0</x:v>
      </x:c>
      <x:c r="S814" s="9" t="n">
        <x:f>H814*Y813*INDEX(tun_MortChild,G814)/4*Q814</x:f>
        <x:v>0</x:v>
      </x:c>
      <x:c r="T814" s="9" t="n">
        <x:f>H814*Z813*INDEX(tun_MortAdult,G814)*Arch_AdultMort/4*Q814</x:f>
        <x:v>0</x:v>
      </x:c>
      <x:c r="U814" s="9" t="n">
        <x:f>H814*AA813*INDEX(tun_MortElder,G814)/4*Q814</x:f>
        <x:v>0</x:v>
      </x:c>
      <x:c r="V814" s="9" t="n">
        <x:f>H814*MAX(0,AB813-O814)*tun_OvercapLoss</x:f>
        <x:v>0</x:v>
      </x:c>
      <x:c r="W814" s="9" t="n">
        <x:f>H814*Y813/(tun_ChildYears*4)</x:f>
        <x:v>0</x:v>
      </x:c>
      <x:c r="X814" s="9" t="n">
        <x:f>H814*Z813/(tun_AdultYears*4)</x:f>
        <x:v>0</x:v>
      </x:c>
      <x:c r="Y814" s="32" t="n">
        <x:f>Y813+R814-S814-W814-Y813*V814/AB813</x:f>
        <x:v>40496.20709015643</x:v>
      </x:c>
      <x:c r="Z814" s="32" t="n">
        <x:f>Z813+W814-X814-T814-Z813*V814/AB813</x:f>
        <x:v>59141.61122890803</x:v>
      </x:c>
      <x:c r="AA814" s="32" t="n">
        <x:f>AA813+X814-U814-AA813*V814/AB813</x:f>
        <x:v>45530.62410925061</x:v>
      </x:c>
      <x:c r="AB814" s="10" t="n">
        <x:f>Y814+Z814+AA814</x:f>
        <x:v>145168.44242831506</x:v>
      </x:c>
      <x:c r="AC814" s="8" t="n">
        <x:f>IF(AND(tun_WinterTrigger=1,D814=1,AB813/AE813&gt;=K814),1,0)</x:f>
        <x:v>0</x:v>
      </x:c>
      <x:c r="AD814" s="8" t="n">
        <x:f>H814*IF(AND(OR(AB813/AE813&gt;=tun_FissionTrigger*N814,AC814=1),AB813/AE813*tun_DaughterShare&gt;=tun_MinDaughter),MAX(1,ROUND(AE813*tun_FissionRate,0)),0)</x:f>
        <x:v>0</x:v>
      </x:c>
      <x:c r="AE814" s="8" t="n">
        <x:f>IF(H814=1,MAX(1,MIN(INDEX(tun_Smax,G814),AE813+AD814)),AE813)</x:f>
        <x:v>9</x:v>
      </x:c>
      <x:c r="AF814" s="8" t="n">
        <x:f>MAX(0,AE814-AE813)</x:f>
        <x:v>0</x:v>
      </x:c>
      <x:c r="AG814" s="9" t="str">
        <x:f>IF(AF814&gt;0,B814,"")</x:f>
      </x:c>
      <x:c r="AH814" s="9" t="n">
        <x:f>IF(F814&gt;=1,1,(1+tun_LowTiesShare*(AE814-1))/AE814)</x:f>
        <x:v>1</x:v>
      </x:c>
      <x:c r="AI814" s="32" t="n">
        <x:f>(Z814+tun_ElderCommons*INDEX(LM_Elder,G814)*AA814)*AH814</x:f>
        <x:v>238215.0665857503</x:v>
      </x:c>
      <x:c r="AJ814" s="32" t="n">
        <x:f>H814*tun_CommonsCoef*AI814^tun_CommonsExp*INDEX(LM_Commons,G814)</x:f>
        <x:v>0</x:v>
      </x:c>
      <x:c r="AK814" s="32" t="n">
        <x:f>H814*tun_RoleScale*Arch_Roles*(AE814*(INDEX(tun_ElderRolePerSett,G814)*tun_OutElder*INDEX(LM_Elder,G814)+INDEX(tun_ShamanPerSett,G814)*tun_OutShaman)+Z814*(INDEX(tun_PriestShare,G814)*tun_OutPriest+INDEX(tun_ScribeShare,G814)*tun_OutScribe*INDEX(LM_Scribe,G814)+INDEX(tun_ScholarShare,G814)*tun_OutScholar*INDEX(LM_Scholar,G814)+INDEX(tun_ResearcherShare,G814)*tun_OutResearcher*INDEX(LM_Researcher,G814)))</x:f>
        <x:v>0</x:v>
      </x:c>
      <x:c r="AL814" s="32" t="n">
        <x:f>H814*tun_RoleScale*Arch_Roles*AE814*INDEX(tun_MonasteryPerSett,G814)*tun_OutMonastery*INDEX(LM_Monastery,G814)</x:f>
        <x:v>0</x:v>
      </x:c>
      <x:c r="AM814" s="32" t="n">
        <x:f>(AJ814+AK814+AL814)/4*INDEX(LM_All,G814)*INDEX(tun_Boon,G814)*Arch_Insight</x:f>
        <x:v>0</x:v>
      </x:c>
      <x:c r="AN814" s="32" t="n">
        <x:f>H814*(tun_KHPerAdult*Z814+tun_KHOfCommons*AJ814/4*INDEX(LM_All,G814))*tun_KHUsable*Arch_KH</x:f>
        <x:v>0</x:v>
      </x:c>
      <x:c r="AO814" s="32" t="n">
        <x:f>MIN(AP813+AN814,AM814*tun_KHMaxRatio)</x:f>
        <x:v>0</x:v>
      </x:c>
      <x:c r="AP814" s="32" t="n">
        <x:f>AP813+AN814-AO814</x:f>
        <x:v>0</x:v>
      </x:c>
      <x:c r="AQ814" s="32" t="n">
        <x:f>AM814+AO814</x:f>
        <x:v>0</x:v>
      </x:c>
      <x:c r="AR814" s="10" t="n">
        <x:f>IF(H814=1,INDEX(tun_Req,G814),0)</x:f>
        <x:v>0</x:v>
      </x:c>
      <x:c r="AS814" s="32" t="n">
        <x:f>IF(H814=1,IF(E814=1,AS813-AR813,AS813)+AQ814,0)</x:f>
        <x:v>0</x:v>
      </x:c>
      <x:c r="AT814" s="11" t="n">
        <x:f>IF(AR814&gt;0,MIN(1,AS814/AR814),1)</x:f>
        <x:v>1</x:v>
      </x:c>
      <x:c r="AU814" s="10" t="n">
        <x:f>AB814/INDEX(tun_RepScale,G814)</x:f>
        <x:v>290.3368848566301</x:v>
      </x:c>
      <x:c r="AV814" s="32" t="n">
        <x:f>AM814*60/tun_SeasonSeconds</x:f>
        <x:v>0</x:v>
      </x:c>
    </x:row>
    <x:row r="815">
      <x:c r="A815" s="8" t="n">
        <x:f>A814+1</x:f>
        <x:v>812</x:v>
      </x:c>
      <x:c r="B815" s="9" t="n">
        <x:f>A815*tun_SeasonSeconds/60</x:f>
        <x:v>203</x:v>
      </x:c>
      <x:c r="C815" s="9" t="n">
        <x:f>A815/4</x:f>
        <x:v>203</x:v>
      </x:c>
      <x:c r="D815" s="8" t="n">
        <x:f>IF(MOD(A815,4)=0,1,0)</x:f>
        <x:v>1</x:v>
      </x:c>
      <x:c r="E815" s="8" t="n">
        <x:f>IF(AND(F814&lt;=9,AS814&gt;=AR814),1,0)</x:f>
        <x:v>0</x:v>
      </x:c>
      <x:c r="F815" s="8" t="n">
        <x:f>MIN(10,F814+E815)</x:f>
        <x:v>10</x:v>
      </x:c>
      <x:c r="G815" s="8" t="n">
        <x:f>MIN(F815,9)+1</x:f>
        <x:v>10</x:v>
      </x:c>
      <x:c r="H815" s="8" t="n">
        <x:f>IF(F815&lt;=9,1,0)</x:f>
        <x:v>0</x:v>
      </x:c>
      <x:c r="I815" s="9" t="n">
        <x:f>MIN(10,F814+IF(AR814&gt;0,MIN(1,AS814/AR814),1))</x:f>
        <x:v>10</x:v>
      </x:c>
      <x:c r="J815" s="32" t="n">
        <x:f>INDEX(tun_FoodCap,G815)*Arch_FoodCap*EXP(tun_CapsByProject*SUMPRODUCT((Cap_Point&lt;=I815)*(Cap_Kind="Food")*Cap_Ln))</x:f>
        <x:v>18627.260449441455</x:v>
      </x:c>
      <x:c r="K815" s="32" t="n">
        <x:f>J815*MIN(1,tun_LeanBase*EXP(tun_CapsByProject*SUMPRODUCT((Cap_Point&lt;=I815)*(Cap_Kind="Lean")*Cap_Ln)))</x:f>
        <x:v>18627.260449441455</x:v>
      </x:c>
      <x:c r="L815" s="10" t="n">
        <x:f>INDEX(tun_HousingCap,G815)*EXP(tun_CapsByProject*SUMPRODUCT((Cap_Point&lt;=I815)*(Cap_Kind="Housing")*Cap_Ln))</x:f>
        <x:v>20528.974303173167</x:v>
      </x:c>
      <x:c r="M815" s="10" t="n">
        <x:f>INDEX(tun_GroupCap,G815)*tun_CohesionFactor*EXP(tun_CapsByProject*SUMPRODUCT((Cap_Point&lt;=I815)*(Cap_Kind="Group")*Cap_Ln))</x:f>
        <x:v>1000000.000000001</x:v>
      </x:c>
      <x:c r="N815" s="32" t="n">
        <x:f>MIN(J815,L815,M815)</x:f>
        <x:v>18627.260449441455</x:v>
      </x:c>
      <x:c r="O815" s="10" t="n">
        <x:f>AE814*N815</x:f>
        <x:v>167645.34404497308</x:v>
      </x:c>
      <x:c r="P815" s="9" t="n">
        <x:f>MIN(1,(AB814/(AE814*IF(tun_GroupInCrowding=1,N815,MIN(J815,L815))))^tun_CrowdingExp)</x:f>
        <x:v>0.4215841981292809</x:v>
      </x:c>
      <x:c r="Q815" s="9" t="n">
        <x:f>IF(D815=1,INDEX(tun_WinterMult,G815),1)</x:f>
        <x:v>1.05</x:v>
      </x:c>
      <x:c r="R815" s="9" t="n">
        <x:f>H815*Z814*tun_WomenShare*tun_BaseFertility*INDEX(tun_FertMult,G815)*Arch_Fertility*(1-P815)</x:f>
        <x:v>0</x:v>
      </x:c>
      <x:c r="S815" s="9" t="n">
        <x:f>H815*Y814*INDEX(tun_MortChild,G815)/4*Q815</x:f>
        <x:v>0</x:v>
      </x:c>
      <x:c r="T815" s="9" t="n">
        <x:f>H815*Z814*INDEX(tun_MortAdult,G815)*Arch_AdultMort/4*Q815</x:f>
        <x:v>0</x:v>
      </x:c>
      <x:c r="U815" s="9" t="n">
        <x:f>H815*AA814*INDEX(tun_MortElder,G815)/4*Q815</x:f>
        <x:v>0</x:v>
      </x:c>
      <x:c r="V815" s="9" t="n">
        <x:f>H815*MAX(0,AB814-O815)*tun_OvercapLoss</x:f>
        <x:v>0</x:v>
      </x:c>
      <x:c r="W815" s="9" t="n">
        <x:f>H815*Y814/(tun_ChildYears*4)</x:f>
        <x:v>0</x:v>
      </x:c>
      <x:c r="X815" s="9" t="n">
        <x:f>H815*Z814/(tun_AdultYears*4)</x:f>
        <x:v>0</x:v>
      </x:c>
      <x:c r="Y815" s="32" t="n">
        <x:f>Y814+R815-S815-W815-Y814*V815/AB814</x:f>
        <x:v>40496.20709015643</x:v>
      </x:c>
      <x:c r="Z815" s="32" t="n">
        <x:f>Z814+W815-X815-T815-Z814*V815/AB814</x:f>
        <x:v>59141.61122890803</x:v>
      </x:c>
      <x:c r="AA815" s="32" t="n">
        <x:f>AA814+X815-U815-AA814*V815/AB814</x:f>
        <x:v>45530.62410925061</x:v>
      </x:c>
      <x:c r="AB815" s="10" t="n">
        <x:f>Y815+Z815+AA815</x:f>
        <x:v>145168.44242831506</x:v>
      </x:c>
      <x:c r="AC815" s="8" t="n">
        <x:f>IF(AND(tun_WinterTrigger=1,D815=1,AB814/AE814&gt;=K815),1,0)</x:f>
        <x:v>0</x:v>
      </x:c>
      <x:c r="AD815" s="8" t="n">
        <x:f>H815*IF(AND(OR(AB814/AE814&gt;=tun_FissionTrigger*N815,AC815=1),AB814/AE814*tun_DaughterShare&gt;=tun_MinDaughter),MAX(1,ROUND(AE814*tun_FissionRate,0)),0)</x:f>
        <x:v>0</x:v>
      </x:c>
      <x:c r="AE815" s="8" t="n">
        <x:f>IF(H815=1,MAX(1,MIN(INDEX(tun_Smax,G815),AE814+AD815)),AE814)</x:f>
        <x:v>9</x:v>
      </x:c>
      <x:c r="AF815" s="8" t="n">
        <x:f>MAX(0,AE815-AE814)</x:f>
        <x:v>0</x:v>
      </x:c>
      <x:c r="AG815" s="9" t="str">
        <x:f>IF(AF815&gt;0,B815,"")</x:f>
      </x:c>
      <x:c r="AH815" s="9" t="n">
        <x:f>IF(F815&gt;=1,1,(1+tun_LowTiesShare*(AE815-1))/AE815)</x:f>
        <x:v>1</x:v>
      </x:c>
      <x:c r="AI815" s="32" t="n">
        <x:f>(Z815+tun_ElderCommons*INDEX(LM_Elder,G815)*AA815)*AH815</x:f>
        <x:v>238215.0665857503</x:v>
      </x:c>
      <x:c r="AJ815" s="32" t="n">
        <x:f>H815*tun_CommonsCoef*AI815^tun_CommonsExp*INDEX(LM_Commons,G815)</x:f>
        <x:v>0</x:v>
      </x:c>
      <x:c r="AK815" s="32" t="n">
        <x:f>H815*tun_RoleScale*Arch_Roles*(AE815*(INDEX(tun_ElderRolePerSett,G815)*tun_OutElder*INDEX(LM_Elder,G815)+INDEX(tun_ShamanPerSett,G815)*tun_OutShaman)+Z815*(INDEX(tun_PriestShare,G815)*tun_OutPriest+INDEX(tun_ScribeShare,G815)*tun_OutScribe*INDEX(LM_Scribe,G815)+INDEX(tun_ScholarShare,G815)*tun_OutScholar*INDEX(LM_Scholar,G815)+INDEX(tun_ResearcherShare,G815)*tun_OutResearcher*INDEX(LM_Researcher,G815)))</x:f>
        <x:v>0</x:v>
      </x:c>
      <x:c r="AL815" s="32" t="n">
        <x:f>H815*tun_RoleScale*Arch_Roles*AE815*INDEX(tun_MonasteryPerSett,G815)*tun_OutMonastery*INDEX(LM_Monastery,G815)</x:f>
        <x:v>0</x:v>
      </x:c>
      <x:c r="AM815" s="32" t="n">
        <x:f>(AJ815+AK815+AL815)/4*INDEX(LM_All,G815)*INDEX(tun_Boon,G815)*Arch_Insight</x:f>
        <x:v>0</x:v>
      </x:c>
      <x:c r="AN815" s="32" t="n">
        <x:f>H815*(tun_KHPerAdult*Z815+tun_KHOfCommons*AJ815/4*INDEX(LM_All,G815))*tun_KHUsable*Arch_KH</x:f>
        <x:v>0</x:v>
      </x:c>
      <x:c r="AO815" s="32" t="n">
        <x:f>MIN(AP814+AN815,AM815*tun_KHMaxRatio)</x:f>
        <x:v>0</x:v>
      </x:c>
      <x:c r="AP815" s="32" t="n">
        <x:f>AP814+AN815-AO815</x:f>
        <x:v>0</x:v>
      </x:c>
      <x:c r="AQ815" s="32" t="n">
        <x:f>AM815+AO815</x:f>
        <x:v>0</x:v>
      </x:c>
      <x:c r="AR815" s="10" t="n">
        <x:f>IF(H815=1,INDEX(tun_Req,G815),0)</x:f>
        <x:v>0</x:v>
      </x:c>
      <x:c r="AS815" s="32" t="n">
        <x:f>IF(H815=1,IF(E815=1,AS814-AR814,AS814)+AQ815,0)</x:f>
        <x:v>0</x:v>
      </x:c>
      <x:c r="AT815" s="11" t="n">
        <x:f>IF(AR815&gt;0,MIN(1,AS815/AR815),1)</x:f>
        <x:v>1</x:v>
      </x:c>
      <x:c r="AU815" s="10" t="n">
        <x:f>AB815/INDEX(tun_RepScale,G815)</x:f>
        <x:v>290.3368848566301</x:v>
      </x:c>
      <x:c r="AV815" s="32" t="n">
        <x:f>AM815*60/tun_SeasonSeconds</x:f>
        <x:v>0</x:v>
      </x:c>
    </x:row>
    <x:row r="816">
      <x:c r="A816" s="8" t="n">
        <x:f>A815+1</x:f>
        <x:v>813</x:v>
      </x:c>
      <x:c r="B816" s="9" t="n">
        <x:f>A816*tun_SeasonSeconds/60</x:f>
        <x:v>203.25</x:v>
      </x:c>
      <x:c r="C816" s="9" t="n">
        <x:f>A816/4</x:f>
        <x:v>203.25</x:v>
      </x:c>
      <x:c r="D816" s="8" t="n">
        <x:f>IF(MOD(A816,4)=0,1,0)</x:f>
        <x:v>0</x:v>
      </x:c>
      <x:c r="E816" s="8" t="n">
        <x:f>IF(AND(F815&lt;=9,AS815&gt;=AR815),1,0)</x:f>
        <x:v>0</x:v>
      </x:c>
      <x:c r="F816" s="8" t="n">
        <x:f>MIN(10,F815+E816)</x:f>
        <x:v>10</x:v>
      </x:c>
      <x:c r="G816" s="8" t="n">
        <x:f>MIN(F816,9)+1</x:f>
        <x:v>10</x:v>
      </x:c>
      <x:c r="H816" s="8" t="n">
        <x:f>IF(F816&lt;=9,1,0)</x:f>
        <x:v>0</x:v>
      </x:c>
      <x:c r="I816" s="9" t="n">
        <x:f>MIN(10,F815+IF(AR815&gt;0,MIN(1,AS815/AR815),1))</x:f>
        <x:v>10</x:v>
      </x:c>
      <x:c r="J816" s="32" t="n">
        <x:f>INDEX(tun_FoodCap,G816)*Arch_FoodCap*EXP(tun_CapsByProject*SUMPRODUCT((Cap_Point&lt;=I816)*(Cap_Kind="Food")*Cap_Ln))</x:f>
        <x:v>18627.260449441455</x:v>
      </x:c>
      <x:c r="K816" s="32" t="n">
        <x:f>J816*MIN(1,tun_LeanBase*EXP(tun_CapsByProject*SUMPRODUCT((Cap_Point&lt;=I816)*(Cap_Kind="Lean")*Cap_Ln)))</x:f>
        <x:v>18627.260449441455</x:v>
      </x:c>
      <x:c r="L816" s="10" t="n">
        <x:f>INDEX(tun_HousingCap,G816)*EXP(tun_CapsByProject*SUMPRODUCT((Cap_Point&lt;=I816)*(Cap_Kind="Housing")*Cap_Ln))</x:f>
        <x:v>20528.974303173167</x:v>
      </x:c>
      <x:c r="M816" s="10" t="n">
        <x:f>INDEX(tun_GroupCap,G816)*tun_CohesionFactor*EXP(tun_CapsByProject*SUMPRODUCT((Cap_Point&lt;=I816)*(Cap_Kind="Group")*Cap_Ln))</x:f>
        <x:v>1000000.000000001</x:v>
      </x:c>
      <x:c r="N816" s="32" t="n">
        <x:f>MIN(J816,L816,M816)</x:f>
        <x:v>18627.260449441455</x:v>
      </x:c>
      <x:c r="O816" s="10" t="n">
        <x:f>AE815*N816</x:f>
        <x:v>167645.34404497308</x:v>
      </x:c>
      <x:c r="P816" s="9" t="n">
        <x:f>MIN(1,(AB815/(AE815*IF(tun_GroupInCrowding=1,N816,MIN(J816,L816))))^tun_CrowdingExp)</x:f>
        <x:v>0.4215841981292809</x:v>
      </x:c>
      <x:c r="Q816" s="9" t="n">
        <x:f>IF(D816=1,INDEX(tun_WinterMult,G816),1)</x:f>
        <x:v>1</x:v>
      </x:c>
      <x:c r="R816" s="9" t="n">
        <x:f>H816*Z815*tun_WomenShare*tun_BaseFertility*INDEX(tun_FertMult,G816)*Arch_Fertility*(1-P816)</x:f>
        <x:v>0</x:v>
      </x:c>
      <x:c r="S816" s="9" t="n">
        <x:f>H816*Y815*INDEX(tun_MortChild,G816)/4*Q816</x:f>
        <x:v>0</x:v>
      </x:c>
      <x:c r="T816" s="9" t="n">
        <x:f>H816*Z815*INDEX(tun_MortAdult,G816)*Arch_AdultMort/4*Q816</x:f>
        <x:v>0</x:v>
      </x:c>
      <x:c r="U816" s="9" t="n">
        <x:f>H816*AA815*INDEX(tun_MortElder,G816)/4*Q816</x:f>
        <x:v>0</x:v>
      </x:c>
      <x:c r="V816" s="9" t="n">
        <x:f>H816*MAX(0,AB815-O816)*tun_OvercapLoss</x:f>
        <x:v>0</x:v>
      </x:c>
      <x:c r="W816" s="9" t="n">
        <x:f>H816*Y815/(tun_ChildYears*4)</x:f>
        <x:v>0</x:v>
      </x:c>
      <x:c r="X816" s="9" t="n">
        <x:f>H816*Z815/(tun_AdultYears*4)</x:f>
        <x:v>0</x:v>
      </x:c>
      <x:c r="Y816" s="32" t="n">
        <x:f>Y815+R816-S816-W816-Y815*V816/AB815</x:f>
        <x:v>40496.20709015643</x:v>
      </x:c>
      <x:c r="Z816" s="32" t="n">
        <x:f>Z815+W816-X816-T816-Z815*V816/AB815</x:f>
        <x:v>59141.61122890803</x:v>
      </x:c>
      <x:c r="AA816" s="32" t="n">
        <x:f>AA815+X816-U816-AA815*V816/AB815</x:f>
        <x:v>45530.62410925061</x:v>
      </x:c>
      <x:c r="AB816" s="10" t="n">
        <x:f>Y816+Z816+AA816</x:f>
        <x:v>145168.44242831506</x:v>
      </x:c>
      <x:c r="AC816" s="8" t="n">
        <x:f>IF(AND(tun_WinterTrigger=1,D816=1,AB815/AE815&gt;=K816),1,0)</x:f>
        <x:v>0</x:v>
      </x:c>
      <x:c r="AD816" s="8" t="n">
        <x:f>H816*IF(AND(OR(AB815/AE815&gt;=tun_FissionTrigger*N816,AC816=1),AB815/AE815*tun_DaughterShare&gt;=tun_MinDaughter),MAX(1,ROUND(AE815*tun_FissionRate,0)),0)</x:f>
        <x:v>0</x:v>
      </x:c>
      <x:c r="AE816" s="8" t="n">
        <x:f>IF(H816=1,MAX(1,MIN(INDEX(tun_Smax,G816),AE815+AD816)),AE815)</x:f>
        <x:v>9</x:v>
      </x:c>
      <x:c r="AF816" s="8" t="n">
        <x:f>MAX(0,AE816-AE815)</x:f>
        <x:v>0</x:v>
      </x:c>
      <x:c r="AG816" s="9" t="str">
        <x:f>IF(AF816&gt;0,B816,"")</x:f>
      </x:c>
      <x:c r="AH816" s="9" t="n">
        <x:f>IF(F816&gt;=1,1,(1+tun_LowTiesShare*(AE816-1))/AE816)</x:f>
        <x:v>1</x:v>
      </x:c>
      <x:c r="AI816" s="32" t="n">
        <x:f>(Z816+tun_ElderCommons*INDEX(LM_Elder,G816)*AA816)*AH816</x:f>
        <x:v>238215.0665857503</x:v>
      </x:c>
      <x:c r="AJ816" s="32" t="n">
        <x:f>H816*tun_CommonsCoef*AI816^tun_CommonsExp*INDEX(LM_Commons,G816)</x:f>
        <x:v>0</x:v>
      </x:c>
      <x:c r="AK816" s="32" t="n">
        <x:f>H816*tun_RoleScale*Arch_Roles*(AE816*(INDEX(tun_ElderRolePerSett,G816)*tun_OutElder*INDEX(LM_Elder,G816)+INDEX(tun_ShamanPerSett,G816)*tun_OutShaman)+Z816*(INDEX(tun_PriestShare,G816)*tun_OutPriest+INDEX(tun_ScribeShare,G816)*tun_OutScribe*INDEX(LM_Scribe,G816)+INDEX(tun_ScholarShare,G816)*tun_OutScholar*INDEX(LM_Scholar,G816)+INDEX(tun_ResearcherShare,G816)*tun_OutResearcher*INDEX(LM_Researcher,G816)))</x:f>
        <x:v>0</x:v>
      </x:c>
      <x:c r="AL816" s="32" t="n">
        <x:f>H816*tun_RoleScale*Arch_Roles*AE816*INDEX(tun_MonasteryPerSett,G816)*tun_OutMonastery*INDEX(LM_Monastery,G816)</x:f>
        <x:v>0</x:v>
      </x:c>
      <x:c r="AM816" s="32" t="n">
        <x:f>(AJ816+AK816+AL816)/4*INDEX(LM_All,G816)*INDEX(tun_Boon,G816)*Arch_Insight</x:f>
        <x:v>0</x:v>
      </x:c>
      <x:c r="AN816" s="32" t="n">
        <x:f>H816*(tun_KHPerAdult*Z816+tun_KHOfCommons*AJ816/4*INDEX(LM_All,G816))*tun_KHUsable*Arch_KH</x:f>
        <x:v>0</x:v>
      </x:c>
      <x:c r="AO816" s="32" t="n">
        <x:f>MIN(AP815+AN816,AM816*tun_KHMaxRatio)</x:f>
        <x:v>0</x:v>
      </x:c>
      <x:c r="AP816" s="32" t="n">
        <x:f>AP815+AN816-AO816</x:f>
        <x:v>0</x:v>
      </x:c>
      <x:c r="AQ816" s="32" t="n">
        <x:f>AM816+AO816</x:f>
        <x:v>0</x:v>
      </x:c>
      <x:c r="AR816" s="10" t="n">
        <x:f>IF(H816=1,INDEX(tun_Req,G816),0)</x:f>
        <x:v>0</x:v>
      </x:c>
      <x:c r="AS816" s="32" t="n">
        <x:f>IF(H816=1,IF(E816=1,AS815-AR815,AS815)+AQ816,0)</x:f>
        <x:v>0</x:v>
      </x:c>
      <x:c r="AT816" s="11" t="n">
        <x:f>IF(AR816&gt;0,MIN(1,AS816/AR816),1)</x:f>
        <x:v>1</x:v>
      </x:c>
      <x:c r="AU816" s="10" t="n">
        <x:f>AB816/INDEX(tun_RepScale,G816)</x:f>
        <x:v>290.3368848566301</x:v>
      </x:c>
      <x:c r="AV816" s="32" t="n">
        <x:f>AM816*60/tun_SeasonSeconds</x:f>
        <x:v>0</x:v>
      </x:c>
    </x:row>
    <x:row r="817">
      <x:c r="A817" s="8" t="n">
        <x:f>A816+1</x:f>
        <x:v>814</x:v>
      </x:c>
      <x:c r="B817" s="9" t="n">
        <x:f>A817*tun_SeasonSeconds/60</x:f>
        <x:v>203.5</x:v>
      </x:c>
      <x:c r="C817" s="9" t="n">
        <x:f>A817/4</x:f>
        <x:v>203.5</x:v>
      </x:c>
      <x:c r="D817" s="8" t="n">
        <x:f>IF(MOD(A817,4)=0,1,0)</x:f>
        <x:v>0</x:v>
      </x:c>
      <x:c r="E817" s="8" t="n">
        <x:f>IF(AND(F816&lt;=9,AS816&gt;=AR816),1,0)</x:f>
        <x:v>0</x:v>
      </x:c>
      <x:c r="F817" s="8" t="n">
        <x:f>MIN(10,F816+E817)</x:f>
        <x:v>10</x:v>
      </x:c>
      <x:c r="G817" s="8" t="n">
        <x:f>MIN(F817,9)+1</x:f>
        <x:v>10</x:v>
      </x:c>
      <x:c r="H817" s="8" t="n">
        <x:f>IF(F817&lt;=9,1,0)</x:f>
        <x:v>0</x:v>
      </x:c>
      <x:c r="I817" s="9" t="n">
        <x:f>MIN(10,F816+IF(AR816&gt;0,MIN(1,AS816/AR816),1))</x:f>
        <x:v>10</x:v>
      </x:c>
      <x:c r="J817" s="32" t="n">
        <x:f>INDEX(tun_FoodCap,G817)*Arch_FoodCap*EXP(tun_CapsByProject*SUMPRODUCT((Cap_Point&lt;=I817)*(Cap_Kind="Food")*Cap_Ln))</x:f>
        <x:v>18627.260449441455</x:v>
      </x:c>
      <x:c r="K817" s="32" t="n">
        <x:f>J817*MIN(1,tun_LeanBase*EXP(tun_CapsByProject*SUMPRODUCT((Cap_Point&lt;=I817)*(Cap_Kind="Lean")*Cap_Ln)))</x:f>
        <x:v>18627.260449441455</x:v>
      </x:c>
      <x:c r="L817" s="10" t="n">
        <x:f>INDEX(tun_HousingCap,G817)*EXP(tun_CapsByProject*SUMPRODUCT((Cap_Point&lt;=I817)*(Cap_Kind="Housing")*Cap_Ln))</x:f>
        <x:v>20528.974303173167</x:v>
      </x:c>
      <x:c r="M817" s="10" t="n">
        <x:f>INDEX(tun_GroupCap,G817)*tun_CohesionFactor*EXP(tun_CapsByProject*SUMPRODUCT((Cap_Point&lt;=I817)*(Cap_Kind="Group")*Cap_Ln))</x:f>
        <x:v>1000000.000000001</x:v>
      </x:c>
      <x:c r="N817" s="32" t="n">
        <x:f>MIN(J817,L817,M817)</x:f>
        <x:v>18627.260449441455</x:v>
      </x:c>
      <x:c r="O817" s="10" t="n">
        <x:f>AE816*N817</x:f>
        <x:v>167645.34404497308</x:v>
      </x:c>
      <x:c r="P817" s="9" t="n">
        <x:f>MIN(1,(AB816/(AE816*IF(tun_GroupInCrowding=1,N817,MIN(J817,L817))))^tun_CrowdingExp)</x:f>
        <x:v>0.4215841981292809</x:v>
      </x:c>
      <x:c r="Q817" s="9" t="n">
        <x:f>IF(D817=1,INDEX(tun_WinterMult,G817),1)</x:f>
        <x:v>1</x:v>
      </x:c>
      <x:c r="R817" s="9" t="n">
        <x:f>H817*Z816*tun_WomenShare*tun_BaseFertility*INDEX(tun_FertMult,G817)*Arch_Fertility*(1-P817)</x:f>
        <x:v>0</x:v>
      </x:c>
      <x:c r="S817" s="9" t="n">
        <x:f>H817*Y816*INDEX(tun_MortChild,G817)/4*Q817</x:f>
        <x:v>0</x:v>
      </x:c>
      <x:c r="T817" s="9" t="n">
        <x:f>H817*Z816*INDEX(tun_MortAdult,G817)*Arch_AdultMort/4*Q817</x:f>
        <x:v>0</x:v>
      </x:c>
      <x:c r="U817" s="9" t="n">
        <x:f>H817*AA816*INDEX(tun_MortElder,G817)/4*Q817</x:f>
        <x:v>0</x:v>
      </x:c>
      <x:c r="V817" s="9" t="n">
        <x:f>H817*MAX(0,AB816-O817)*tun_OvercapLoss</x:f>
        <x:v>0</x:v>
      </x:c>
      <x:c r="W817" s="9" t="n">
        <x:f>H817*Y816/(tun_ChildYears*4)</x:f>
        <x:v>0</x:v>
      </x:c>
      <x:c r="X817" s="9" t="n">
        <x:f>H817*Z816/(tun_AdultYears*4)</x:f>
        <x:v>0</x:v>
      </x:c>
      <x:c r="Y817" s="32" t="n">
        <x:f>Y816+R817-S817-W817-Y816*V817/AB816</x:f>
        <x:v>40496.20709015643</x:v>
      </x:c>
      <x:c r="Z817" s="32" t="n">
        <x:f>Z816+W817-X817-T817-Z816*V817/AB816</x:f>
        <x:v>59141.61122890803</x:v>
      </x:c>
      <x:c r="AA817" s="32" t="n">
        <x:f>AA816+X817-U817-AA816*V817/AB816</x:f>
        <x:v>45530.62410925061</x:v>
      </x:c>
      <x:c r="AB817" s="10" t="n">
        <x:f>Y817+Z817+AA817</x:f>
        <x:v>145168.44242831506</x:v>
      </x:c>
      <x:c r="AC817" s="8" t="n">
        <x:f>IF(AND(tun_WinterTrigger=1,D817=1,AB816/AE816&gt;=K817),1,0)</x:f>
        <x:v>0</x:v>
      </x:c>
      <x:c r="AD817" s="8" t="n">
        <x:f>H817*IF(AND(OR(AB816/AE816&gt;=tun_FissionTrigger*N817,AC817=1),AB816/AE816*tun_DaughterShare&gt;=tun_MinDaughter),MAX(1,ROUND(AE816*tun_FissionRate,0)),0)</x:f>
        <x:v>0</x:v>
      </x:c>
      <x:c r="AE817" s="8" t="n">
        <x:f>IF(H817=1,MAX(1,MIN(INDEX(tun_Smax,G817),AE816+AD817)),AE816)</x:f>
        <x:v>9</x:v>
      </x:c>
      <x:c r="AF817" s="8" t="n">
        <x:f>MAX(0,AE817-AE816)</x:f>
        <x:v>0</x:v>
      </x:c>
      <x:c r="AG817" s="9" t="str">
        <x:f>IF(AF817&gt;0,B817,"")</x:f>
      </x:c>
      <x:c r="AH817" s="9" t="n">
        <x:f>IF(F817&gt;=1,1,(1+tun_LowTiesShare*(AE817-1))/AE817)</x:f>
        <x:v>1</x:v>
      </x:c>
      <x:c r="AI817" s="32" t="n">
        <x:f>(Z817+tun_ElderCommons*INDEX(LM_Elder,G817)*AA817)*AH817</x:f>
        <x:v>238215.0665857503</x:v>
      </x:c>
      <x:c r="AJ817" s="32" t="n">
        <x:f>H817*tun_CommonsCoef*AI817^tun_CommonsExp*INDEX(LM_Commons,G817)</x:f>
        <x:v>0</x:v>
      </x:c>
      <x:c r="AK817" s="32" t="n">
        <x:f>H817*tun_RoleScale*Arch_Roles*(AE817*(INDEX(tun_ElderRolePerSett,G817)*tun_OutElder*INDEX(LM_Elder,G817)+INDEX(tun_ShamanPerSett,G817)*tun_OutShaman)+Z817*(INDEX(tun_PriestShare,G817)*tun_OutPriest+INDEX(tun_ScribeShare,G817)*tun_OutScribe*INDEX(LM_Scribe,G817)+INDEX(tun_ScholarShare,G817)*tun_OutScholar*INDEX(LM_Scholar,G817)+INDEX(tun_ResearcherShare,G817)*tun_OutResearcher*INDEX(LM_Researcher,G817)))</x:f>
        <x:v>0</x:v>
      </x:c>
      <x:c r="AL817" s="32" t="n">
        <x:f>H817*tun_RoleScale*Arch_Roles*AE817*INDEX(tun_MonasteryPerSett,G817)*tun_OutMonastery*INDEX(LM_Monastery,G817)</x:f>
        <x:v>0</x:v>
      </x:c>
      <x:c r="AM817" s="32" t="n">
        <x:f>(AJ817+AK817+AL817)/4*INDEX(LM_All,G817)*INDEX(tun_Boon,G817)*Arch_Insight</x:f>
        <x:v>0</x:v>
      </x:c>
      <x:c r="AN817" s="32" t="n">
        <x:f>H817*(tun_KHPerAdult*Z817+tun_KHOfCommons*AJ817/4*INDEX(LM_All,G817))*tun_KHUsable*Arch_KH</x:f>
        <x:v>0</x:v>
      </x:c>
      <x:c r="AO817" s="32" t="n">
        <x:f>MIN(AP816+AN817,AM817*tun_KHMaxRatio)</x:f>
        <x:v>0</x:v>
      </x:c>
      <x:c r="AP817" s="32" t="n">
        <x:f>AP816+AN817-AO817</x:f>
        <x:v>0</x:v>
      </x:c>
      <x:c r="AQ817" s="32" t="n">
        <x:f>AM817+AO817</x:f>
        <x:v>0</x:v>
      </x:c>
      <x:c r="AR817" s="10" t="n">
        <x:f>IF(H817=1,INDEX(tun_Req,G817),0)</x:f>
        <x:v>0</x:v>
      </x:c>
      <x:c r="AS817" s="32" t="n">
        <x:f>IF(H817=1,IF(E817=1,AS816-AR816,AS816)+AQ817,0)</x:f>
        <x:v>0</x:v>
      </x:c>
      <x:c r="AT817" s="11" t="n">
        <x:f>IF(AR817&gt;0,MIN(1,AS817/AR817),1)</x:f>
        <x:v>1</x:v>
      </x:c>
      <x:c r="AU817" s="10" t="n">
        <x:f>AB817/INDEX(tun_RepScale,G817)</x:f>
        <x:v>290.3368848566301</x:v>
      </x:c>
      <x:c r="AV817" s="32" t="n">
        <x:f>AM817*60/tun_SeasonSeconds</x:f>
        <x:v>0</x:v>
      </x:c>
    </x:row>
    <x:row r="818">
      <x:c r="A818" s="8" t="n">
        <x:f>A817+1</x:f>
        <x:v>815</x:v>
      </x:c>
      <x:c r="B818" s="9" t="n">
        <x:f>A818*tun_SeasonSeconds/60</x:f>
        <x:v>203.75</x:v>
      </x:c>
      <x:c r="C818" s="9" t="n">
        <x:f>A818/4</x:f>
        <x:v>203.75</x:v>
      </x:c>
      <x:c r="D818" s="8" t="n">
        <x:f>IF(MOD(A818,4)=0,1,0)</x:f>
        <x:v>0</x:v>
      </x:c>
      <x:c r="E818" s="8" t="n">
        <x:f>IF(AND(F817&lt;=9,AS817&gt;=AR817),1,0)</x:f>
        <x:v>0</x:v>
      </x:c>
      <x:c r="F818" s="8" t="n">
        <x:f>MIN(10,F817+E818)</x:f>
        <x:v>10</x:v>
      </x:c>
      <x:c r="G818" s="8" t="n">
        <x:f>MIN(F818,9)+1</x:f>
        <x:v>10</x:v>
      </x:c>
      <x:c r="H818" s="8" t="n">
        <x:f>IF(F818&lt;=9,1,0)</x:f>
        <x:v>0</x:v>
      </x:c>
      <x:c r="I818" s="9" t="n">
        <x:f>MIN(10,F817+IF(AR817&gt;0,MIN(1,AS817/AR817),1))</x:f>
        <x:v>10</x:v>
      </x:c>
      <x:c r="J818" s="32" t="n">
        <x:f>INDEX(tun_FoodCap,G818)*Arch_FoodCap*EXP(tun_CapsByProject*SUMPRODUCT((Cap_Point&lt;=I818)*(Cap_Kind="Food")*Cap_Ln))</x:f>
        <x:v>18627.260449441455</x:v>
      </x:c>
      <x:c r="K818" s="32" t="n">
        <x:f>J818*MIN(1,tun_LeanBase*EXP(tun_CapsByProject*SUMPRODUCT((Cap_Point&lt;=I818)*(Cap_Kind="Lean")*Cap_Ln)))</x:f>
        <x:v>18627.260449441455</x:v>
      </x:c>
      <x:c r="L818" s="10" t="n">
        <x:f>INDEX(tun_HousingCap,G818)*EXP(tun_CapsByProject*SUMPRODUCT((Cap_Point&lt;=I818)*(Cap_Kind="Housing")*Cap_Ln))</x:f>
        <x:v>20528.974303173167</x:v>
      </x:c>
      <x:c r="M818" s="10" t="n">
        <x:f>INDEX(tun_GroupCap,G818)*tun_CohesionFactor*EXP(tun_CapsByProject*SUMPRODUCT((Cap_Point&lt;=I818)*(Cap_Kind="Group")*Cap_Ln))</x:f>
        <x:v>1000000.000000001</x:v>
      </x:c>
      <x:c r="N818" s="32" t="n">
        <x:f>MIN(J818,L818,M818)</x:f>
        <x:v>18627.260449441455</x:v>
      </x:c>
      <x:c r="O818" s="10" t="n">
        <x:f>AE817*N818</x:f>
        <x:v>167645.34404497308</x:v>
      </x:c>
      <x:c r="P818" s="9" t="n">
        <x:f>MIN(1,(AB817/(AE817*IF(tun_GroupInCrowding=1,N818,MIN(J818,L818))))^tun_CrowdingExp)</x:f>
        <x:v>0.4215841981292809</x:v>
      </x:c>
      <x:c r="Q818" s="9" t="n">
        <x:f>IF(D818=1,INDEX(tun_WinterMult,G818),1)</x:f>
        <x:v>1</x:v>
      </x:c>
      <x:c r="R818" s="9" t="n">
        <x:f>H818*Z817*tun_WomenShare*tun_BaseFertility*INDEX(tun_FertMult,G818)*Arch_Fertility*(1-P818)</x:f>
        <x:v>0</x:v>
      </x:c>
      <x:c r="S818" s="9" t="n">
        <x:f>H818*Y817*INDEX(tun_MortChild,G818)/4*Q818</x:f>
        <x:v>0</x:v>
      </x:c>
      <x:c r="T818" s="9" t="n">
        <x:f>H818*Z817*INDEX(tun_MortAdult,G818)*Arch_AdultMort/4*Q818</x:f>
        <x:v>0</x:v>
      </x:c>
      <x:c r="U818" s="9" t="n">
        <x:f>H818*AA817*INDEX(tun_MortElder,G818)/4*Q818</x:f>
        <x:v>0</x:v>
      </x:c>
      <x:c r="V818" s="9" t="n">
        <x:f>H818*MAX(0,AB817-O818)*tun_OvercapLoss</x:f>
        <x:v>0</x:v>
      </x:c>
      <x:c r="W818" s="9" t="n">
        <x:f>H818*Y817/(tun_ChildYears*4)</x:f>
        <x:v>0</x:v>
      </x:c>
      <x:c r="X818" s="9" t="n">
        <x:f>H818*Z817/(tun_AdultYears*4)</x:f>
        <x:v>0</x:v>
      </x:c>
      <x:c r="Y818" s="32" t="n">
        <x:f>Y817+R818-S818-W818-Y817*V818/AB817</x:f>
        <x:v>40496.20709015643</x:v>
      </x:c>
      <x:c r="Z818" s="32" t="n">
        <x:f>Z817+W818-X818-T818-Z817*V818/AB817</x:f>
        <x:v>59141.61122890803</x:v>
      </x:c>
      <x:c r="AA818" s="32" t="n">
        <x:f>AA817+X818-U818-AA817*V818/AB817</x:f>
        <x:v>45530.62410925061</x:v>
      </x:c>
      <x:c r="AB818" s="10" t="n">
        <x:f>Y818+Z818+AA818</x:f>
        <x:v>145168.44242831506</x:v>
      </x:c>
      <x:c r="AC818" s="8" t="n">
        <x:f>IF(AND(tun_WinterTrigger=1,D818=1,AB817/AE817&gt;=K818),1,0)</x:f>
        <x:v>0</x:v>
      </x:c>
      <x:c r="AD818" s="8" t="n">
        <x:f>H818*IF(AND(OR(AB817/AE817&gt;=tun_FissionTrigger*N818,AC818=1),AB817/AE817*tun_DaughterShare&gt;=tun_MinDaughter),MAX(1,ROUND(AE817*tun_FissionRate,0)),0)</x:f>
        <x:v>0</x:v>
      </x:c>
      <x:c r="AE818" s="8" t="n">
        <x:f>IF(H818=1,MAX(1,MIN(INDEX(tun_Smax,G818),AE817+AD818)),AE817)</x:f>
        <x:v>9</x:v>
      </x:c>
      <x:c r="AF818" s="8" t="n">
        <x:f>MAX(0,AE818-AE817)</x:f>
        <x:v>0</x:v>
      </x:c>
      <x:c r="AG818" s="9" t="str">
        <x:f>IF(AF818&gt;0,B818,"")</x:f>
      </x:c>
      <x:c r="AH818" s="9" t="n">
        <x:f>IF(F818&gt;=1,1,(1+tun_LowTiesShare*(AE818-1))/AE818)</x:f>
        <x:v>1</x:v>
      </x:c>
      <x:c r="AI818" s="32" t="n">
        <x:f>(Z818+tun_ElderCommons*INDEX(LM_Elder,G818)*AA818)*AH818</x:f>
        <x:v>238215.0665857503</x:v>
      </x:c>
      <x:c r="AJ818" s="32" t="n">
        <x:f>H818*tun_CommonsCoef*AI818^tun_CommonsExp*INDEX(LM_Commons,G818)</x:f>
        <x:v>0</x:v>
      </x:c>
      <x:c r="AK818" s="32" t="n">
        <x:f>H818*tun_RoleScale*Arch_Roles*(AE818*(INDEX(tun_ElderRolePerSett,G818)*tun_OutElder*INDEX(LM_Elder,G818)+INDEX(tun_ShamanPerSett,G818)*tun_OutShaman)+Z818*(INDEX(tun_PriestShare,G818)*tun_OutPriest+INDEX(tun_ScribeShare,G818)*tun_OutScribe*INDEX(LM_Scribe,G818)+INDEX(tun_ScholarShare,G818)*tun_OutScholar*INDEX(LM_Scholar,G818)+INDEX(tun_ResearcherShare,G818)*tun_OutResearcher*INDEX(LM_Researcher,G818)))</x:f>
        <x:v>0</x:v>
      </x:c>
      <x:c r="AL818" s="32" t="n">
        <x:f>H818*tun_RoleScale*Arch_Roles*AE818*INDEX(tun_MonasteryPerSett,G818)*tun_OutMonastery*INDEX(LM_Monastery,G818)</x:f>
        <x:v>0</x:v>
      </x:c>
      <x:c r="AM818" s="32" t="n">
        <x:f>(AJ818+AK818+AL818)/4*INDEX(LM_All,G818)*INDEX(tun_Boon,G818)*Arch_Insight</x:f>
        <x:v>0</x:v>
      </x:c>
      <x:c r="AN818" s="32" t="n">
        <x:f>H818*(tun_KHPerAdult*Z818+tun_KHOfCommons*AJ818/4*INDEX(LM_All,G818))*tun_KHUsable*Arch_KH</x:f>
        <x:v>0</x:v>
      </x:c>
      <x:c r="AO818" s="32" t="n">
        <x:f>MIN(AP817+AN818,AM818*tun_KHMaxRatio)</x:f>
        <x:v>0</x:v>
      </x:c>
      <x:c r="AP818" s="32" t="n">
        <x:f>AP817+AN818-AO818</x:f>
        <x:v>0</x:v>
      </x:c>
      <x:c r="AQ818" s="32" t="n">
        <x:f>AM818+AO818</x:f>
        <x:v>0</x:v>
      </x:c>
      <x:c r="AR818" s="10" t="n">
        <x:f>IF(H818=1,INDEX(tun_Req,G818),0)</x:f>
        <x:v>0</x:v>
      </x:c>
      <x:c r="AS818" s="32" t="n">
        <x:f>IF(H818=1,IF(E818=1,AS817-AR817,AS817)+AQ818,0)</x:f>
        <x:v>0</x:v>
      </x:c>
      <x:c r="AT818" s="11" t="n">
        <x:f>IF(AR818&gt;0,MIN(1,AS818/AR818),1)</x:f>
        <x:v>1</x:v>
      </x:c>
      <x:c r="AU818" s="10" t="n">
        <x:f>AB818/INDEX(tun_RepScale,G818)</x:f>
        <x:v>290.3368848566301</x:v>
      </x:c>
      <x:c r="AV818" s="32" t="n">
        <x:f>AM818*60/tun_SeasonSeconds</x:f>
        <x:v>0</x:v>
      </x:c>
    </x:row>
    <x:row r="819">
      <x:c r="A819" s="8" t="n">
        <x:f>A818+1</x:f>
        <x:v>816</x:v>
      </x:c>
      <x:c r="B819" s="9" t="n">
        <x:f>A819*tun_SeasonSeconds/60</x:f>
        <x:v>204</x:v>
      </x:c>
      <x:c r="C819" s="9" t="n">
        <x:f>A819/4</x:f>
        <x:v>204</x:v>
      </x:c>
      <x:c r="D819" s="8" t="n">
        <x:f>IF(MOD(A819,4)=0,1,0)</x:f>
        <x:v>1</x:v>
      </x:c>
      <x:c r="E819" s="8" t="n">
        <x:f>IF(AND(F818&lt;=9,AS818&gt;=AR818),1,0)</x:f>
        <x:v>0</x:v>
      </x:c>
      <x:c r="F819" s="8" t="n">
        <x:f>MIN(10,F818+E819)</x:f>
        <x:v>10</x:v>
      </x:c>
      <x:c r="G819" s="8" t="n">
        <x:f>MIN(F819,9)+1</x:f>
        <x:v>10</x:v>
      </x:c>
      <x:c r="H819" s="8" t="n">
        <x:f>IF(F819&lt;=9,1,0)</x:f>
        <x:v>0</x:v>
      </x:c>
      <x:c r="I819" s="9" t="n">
        <x:f>MIN(10,F818+IF(AR818&gt;0,MIN(1,AS818/AR818),1))</x:f>
        <x:v>10</x:v>
      </x:c>
      <x:c r="J819" s="32" t="n">
        <x:f>INDEX(tun_FoodCap,G819)*Arch_FoodCap*EXP(tun_CapsByProject*SUMPRODUCT((Cap_Point&lt;=I819)*(Cap_Kind="Food")*Cap_Ln))</x:f>
        <x:v>18627.260449441455</x:v>
      </x:c>
      <x:c r="K819" s="32" t="n">
        <x:f>J819*MIN(1,tun_LeanBase*EXP(tun_CapsByProject*SUMPRODUCT((Cap_Point&lt;=I819)*(Cap_Kind="Lean")*Cap_Ln)))</x:f>
        <x:v>18627.260449441455</x:v>
      </x:c>
      <x:c r="L819" s="10" t="n">
        <x:f>INDEX(tun_HousingCap,G819)*EXP(tun_CapsByProject*SUMPRODUCT((Cap_Point&lt;=I819)*(Cap_Kind="Housing")*Cap_Ln))</x:f>
        <x:v>20528.974303173167</x:v>
      </x:c>
      <x:c r="M819" s="10" t="n">
        <x:f>INDEX(tun_GroupCap,G819)*tun_CohesionFactor*EXP(tun_CapsByProject*SUMPRODUCT((Cap_Point&lt;=I819)*(Cap_Kind="Group")*Cap_Ln))</x:f>
        <x:v>1000000.000000001</x:v>
      </x:c>
      <x:c r="N819" s="32" t="n">
        <x:f>MIN(J819,L819,M819)</x:f>
        <x:v>18627.260449441455</x:v>
      </x:c>
      <x:c r="O819" s="10" t="n">
        <x:f>AE818*N819</x:f>
        <x:v>167645.34404497308</x:v>
      </x:c>
      <x:c r="P819" s="9" t="n">
        <x:f>MIN(1,(AB818/(AE818*IF(tun_GroupInCrowding=1,N819,MIN(J819,L819))))^tun_CrowdingExp)</x:f>
        <x:v>0.4215841981292809</x:v>
      </x:c>
      <x:c r="Q819" s="9" t="n">
        <x:f>IF(D819=1,INDEX(tun_WinterMult,G819),1)</x:f>
        <x:v>1.05</x:v>
      </x:c>
      <x:c r="R819" s="9" t="n">
        <x:f>H819*Z818*tun_WomenShare*tun_BaseFertility*INDEX(tun_FertMult,G819)*Arch_Fertility*(1-P819)</x:f>
        <x:v>0</x:v>
      </x:c>
      <x:c r="S819" s="9" t="n">
        <x:f>H819*Y818*INDEX(tun_MortChild,G819)/4*Q819</x:f>
        <x:v>0</x:v>
      </x:c>
      <x:c r="T819" s="9" t="n">
        <x:f>H819*Z818*INDEX(tun_MortAdult,G819)*Arch_AdultMort/4*Q819</x:f>
        <x:v>0</x:v>
      </x:c>
      <x:c r="U819" s="9" t="n">
        <x:f>H819*AA818*INDEX(tun_MortElder,G819)/4*Q819</x:f>
        <x:v>0</x:v>
      </x:c>
      <x:c r="V819" s="9" t="n">
        <x:f>H819*MAX(0,AB818-O819)*tun_OvercapLoss</x:f>
        <x:v>0</x:v>
      </x:c>
      <x:c r="W819" s="9" t="n">
        <x:f>H819*Y818/(tun_ChildYears*4)</x:f>
        <x:v>0</x:v>
      </x:c>
      <x:c r="X819" s="9" t="n">
        <x:f>H819*Z818/(tun_AdultYears*4)</x:f>
        <x:v>0</x:v>
      </x:c>
      <x:c r="Y819" s="32" t="n">
        <x:f>Y818+R819-S819-W819-Y818*V819/AB818</x:f>
        <x:v>40496.20709015643</x:v>
      </x:c>
      <x:c r="Z819" s="32" t="n">
        <x:f>Z818+W819-X819-T819-Z818*V819/AB818</x:f>
        <x:v>59141.61122890803</x:v>
      </x:c>
      <x:c r="AA819" s="32" t="n">
        <x:f>AA818+X819-U819-AA818*V819/AB818</x:f>
        <x:v>45530.62410925061</x:v>
      </x:c>
      <x:c r="AB819" s="10" t="n">
        <x:f>Y819+Z819+AA819</x:f>
        <x:v>145168.44242831506</x:v>
      </x:c>
      <x:c r="AC819" s="8" t="n">
        <x:f>IF(AND(tun_WinterTrigger=1,D819=1,AB818/AE818&gt;=K819),1,0)</x:f>
        <x:v>0</x:v>
      </x:c>
      <x:c r="AD819" s="8" t="n">
        <x:f>H819*IF(AND(OR(AB818/AE818&gt;=tun_FissionTrigger*N819,AC819=1),AB818/AE818*tun_DaughterShare&gt;=tun_MinDaughter),MAX(1,ROUND(AE818*tun_FissionRate,0)),0)</x:f>
        <x:v>0</x:v>
      </x:c>
      <x:c r="AE819" s="8" t="n">
        <x:f>IF(H819=1,MAX(1,MIN(INDEX(tun_Smax,G819),AE818+AD819)),AE818)</x:f>
        <x:v>9</x:v>
      </x:c>
      <x:c r="AF819" s="8" t="n">
        <x:f>MAX(0,AE819-AE818)</x:f>
        <x:v>0</x:v>
      </x:c>
      <x:c r="AG819" s="9" t="str">
        <x:f>IF(AF819&gt;0,B819,"")</x:f>
      </x:c>
      <x:c r="AH819" s="9" t="n">
        <x:f>IF(F819&gt;=1,1,(1+tun_LowTiesShare*(AE819-1))/AE819)</x:f>
        <x:v>1</x:v>
      </x:c>
      <x:c r="AI819" s="32" t="n">
        <x:f>(Z819+tun_ElderCommons*INDEX(LM_Elder,G819)*AA819)*AH819</x:f>
        <x:v>238215.0665857503</x:v>
      </x:c>
      <x:c r="AJ819" s="32" t="n">
        <x:f>H819*tun_CommonsCoef*AI819^tun_CommonsExp*INDEX(LM_Commons,G819)</x:f>
        <x:v>0</x:v>
      </x:c>
      <x:c r="AK819" s="32" t="n">
        <x:f>H819*tun_RoleScale*Arch_Roles*(AE819*(INDEX(tun_ElderRolePerSett,G819)*tun_OutElder*INDEX(LM_Elder,G819)+INDEX(tun_ShamanPerSett,G819)*tun_OutShaman)+Z819*(INDEX(tun_PriestShare,G819)*tun_OutPriest+INDEX(tun_ScribeShare,G819)*tun_OutScribe*INDEX(LM_Scribe,G819)+INDEX(tun_ScholarShare,G819)*tun_OutScholar*INDEX(LM_Scholar,G819)+INDEX(tun_ResearcherShare,G819)*tun_OutResearcher*INDEX(LM_Researcher,G819)))</x:f>
        <x:v>0</x:v>
      </x:c>
      <x:c r="AL819" s="32" t="n">
        <x:f>H819*tun_RoleScale*Arch_Roles*AE819*INDEX(tun_MonasteryPerSett,G819)*tun_OutMonastery*INDEX(LM_Monastery,G819)</x:f>
        <x:v>0</x:v>
      </x:c>
      <x:c r="AM819" s="32" t="n">
        <x:f>(AJ819+AK819+AL819)/4*INDEX(LM_All,G819)*INDEX(tun_Boon,G819)*Arch_Insight</x:f>
        <x:v>0</x:v>
      </x:c>
      <x:c r="AN819" s="32" t="n">
        <x:f>H819*(tun_KHPerAdult*Z819+tun_KHOfCommons*AJ819/4*INDEX(LM_All,G819))*tun_KHUsable*Arch_KH</x:f>
        <x:v>0</x:v>
      </x:c>
      <x:c r="AO819" s="32" t="n">
        <x:f>MIN(AP818+AN819,AM819*tun_KHMaxRatio)</x:f>
        <x:v>0</x:v>
      </x:c>
      <x:c r="AP819" s="32" t="n">
        <x:f>AP818+AN819-AO819</x:f>
        <x:v>0</x:v>
      </x:c>
      <x:c r="AQ819" s="32" t="n">
        <x:f>AM819+AO819</x:f>
        <x:v>0</x:v>
      </x:c>
      <x:c r="AR819" s="10" t="n">
        <x:f>IF(H819=1,INDEX(tun_Req,G819),0)</x:f>
        <x:v>0</x:v>
      </x:c>
      <x:c r="AS819" s="32" t="n">
        <x:f>IF(H819=1,IF(E819=1,AS818-AR818,AS818)+AQ819,0)</x:f>
        <x:v>0</x:v>
      </x:c>
      <x:c r="AT819" s="11" t="n">
        <x:f>IF(AR819&gt;0,MIN(1,AS819/AR819),1)</x:f>
        <x:v>1</x:v>
      </x:c>
      <x:c r="AU819" s="10" t="n">
        <x:f>AB819/INDEX(tun_RepScale,G819)</x:f>
        <x:v>290.3368848566301</x:v>
      </x:c>
      <x:c r="AV819" s="32" t="n">
        <x:f>AM819*60/tun_SeasonSeconds</x:f>
        <x:v>0</x:v>
      </x:c>
    </x:row>
    <x:row r="820">
      <x:c r="A820" s="8" t="n">
        <x:f>A819+1</x:f>
        <x:v>817</x:v>
      </x:c>
      <x:c r="B820" s="9" t="n">
        <x:f>A820*tun_SeasonSeconds/60</x:f>
        <x:v>204.25</x:v>
      </x:c>
      <x:c r="C820" s="9" t="n">
        <x:f>A820/4</x:f>
        <x:v>204.25</x:v>
      </x:c>
      <x:c r="D820" s="8" t="n">
        <x:f>IF(MOD(A820,4)=0,1,0)</x:f>
        <x:v>0</x:v>
      </x:c>
      <x:c r="E820" s="8" t="n">
        <x:f>IF(AND(F819&lt;=9,AS819&gt;=AR819),1,0)</x:f>
        <x:v>0</x:v>
      </x:c>
      <x:c r="F820" s="8" t="n">
        <x:f>MIN(10,F819+E820)</x:f>
        <x:v>10</x:v>
      </x:c>
      <x:c r="G820" s="8" t="n">
        <x:f>MIN(F820,9)+1</x:f>
        <x:v>10</x:v>
      </x:c>
      <x:c r="H820" s="8" t="n">
        <x:f>IF(F820&lt;=9,1,0)</x:f>
        <x:v>0</x:v>
      </x:c>
      <x:c r="I820" s="9" t="n">
        <x:f>MIN(10,F819+IF(AR819&gt;0,MIN(1,AS819/AR819),1))</x:f>
        <x:v>10</x:v>
      </x:c>
      <x:c r="J820" s="32" t="n">
        <x:f>INDEX(tun_FoodCap,G820)*Arch_FoodCap*EXP(tun_CapsByProject*SUMPRODUCT((Cap_Point&lt;=I820)*(Cap_Kind="Food")*Cap_Ln))</x:f>
        <x:v>18627.260449441455</x:v>
      </x:c>
      <x:c r="K820" s="32" t="n">
        <x:f>J820*MIN(1,tun_LeanBase*EXP(tun_CapsByProject*SUMPRODUCT((Cap_Point&lt;=I820)*(Cap_Kind="Lean")*Cap_Ln)))</x:f>
        <x:v>18627.260449441455</x:v>
      </x:c>
      <x:c r="L820" s="10" t="n">
        <x:f>INDEX(tun_HousingCap,G820)*EXP(tun_CapsByProject*SUMPRODUCT((Cap_Point&lt;=I820)*(Cap_Kind="Housing")*Cap_Ln))</x:f>
        <x:v>20528.974303173167</x:v>
      </x:c>
      <x:c r="M820" s="10" t="n">
        <x:f>INDEX(tun_GroupCap,G820)*tun_CohesionFactor*EXP(tun_CapsByProject*SUMPRODUCT((Cap_Point&lt;=I820)*(Cap_Kind="Group")*Cap_Ln))</x:f>
        <x:v>1000000.000000001</x:v>
      </x:c>
      <x:c r="N820" s="32" t="n">
        <x:f>MIN(J820,L820,M820)</x:f>
        <x:v>18627.260449441455</x:v>
      </x:c>
      <x:c r="O820" s="10" t="n">
        <x:f>AE819*N820</x:f>
        <x:v>167645.34404497308</x:v>
      </x:c>
      <x:c r="P820" s="9" t="n">
        <x:f>MIN(1,(AB819/(AE819*IF(tun_GroupInCrowding=1,N820,MIN(J820,L820))))^tun_CrowdingExp)</x:f>
        <x:v>0.4215841981292809</x:v>
      </x:c>
      <x:c r="Q820" s="9" t="n">
        <x:f>IF(D820=1,INDEX(tun_WinterMult,G820),1)</x:f>
        <x:v>1</x:v>
      </x:c>
      <x:c r="R820" s="9" t="n">
        <x:f>H820*Z819*tun_WomenShare*tun_BaseFertility*INDEX(tun_FertMult,G820)*Arch_Fertility*(1-P820)</x:f>
        <x:v>0</x:v>
      </x:c>
      <x:c r="S820" s="9" t="n">
        <x:f>H820*Y819*INDEX(tun_MortChild,G820)/4*Q820</x:f>
        <x:v>0</x:v>
      </x:c>
      <x:c r="T820" s="9" t="n">
        <x:f>H820*Z819*INDEX(tun_MortAdult,G820)*Arch_AdultMort/4*Q820</x:f>
        <x:v>0</x:v>
      </x:c>
      <x:c r="U820" s="9" t="n">
        <x:f>H820*AA819*INDEX(tun_MortElder,G820)/4*Q820</x:f>
        <x:v>0</x:v>
      </x:c>
      <x:c r="V820" s="9" t="n">
        <x:f>H820*MAX(0,AB819-O820)*tun_OvercapLoss</x:f>
        <x:v>0</x:v>
      </x:c>
      <x:c r="W820" s="9" t="n">
        <x:f>H820*Y819/(tun_ChildYears*4)</x:f>
        <x:v>0</x:v>
      </x:c>
      <x:c r="X820" s="9" t="n">
        <x:f>H820*Z819/(tun_AdultYears*4)</x:f>
        <x:v>0</x:v>
      </x:c>
      <x:c r="Y820" s="32" t="n">
        <x:f>Y819+R820-S820-W820-Y819*V820/AB819</x:f>
        <x:v>40496.20709015643</x:v>
      </x:c>
      <x:c r="Z820" s="32" t="n">
        <x:f>Z819+W820-X820-T820-Z819*V820/AB819</x:f>
        <x:v>59141.61122890803</x:v>
      </x:c>
      <x:c r="AA820" s="32" t="n">
        <x:f>AA819+X820-U820-AA819*V820/AB819</x:f>
        <x:v>45530.62410925061</x:v>
      </x:c>
      <x:c r="AB820" s="10" t="n">
        <x:f>Y820+Z820+AA820</x:f>
        <x:v>145168.44242831506</x:v>
      </x:c>
      <x:c r="AC820" s="8" t="n">
        <x:f>IF(AND(tun_WinterTrigger=1,D820=1,AB819/AE819&gt;=K820),1,0)</x:f>
        <x:v>0</x:v>
      </x:c>
      <x:c r="AD820" s="8" t="n">
        <x:f>H820*IF(AND(OR(AB819/AE819&gt;=tun_FissionTrigger*N820,AC820=1),AB819/AE819*tun_DaughterShare&gt;=tun_MinDaughter),MAX(1,ROUND(AE819*tun_FissionRate,0)),0)</x:f>
        <x:v>0</x:v>
      </x:c>
      <x:c r="AE820" s="8" t="n">
        <x:f>IF(H820=1,MAX(1,MIN(INDEX(tun_Smax,G820),AE819+AD820)),AE819)</x:f>
        <x:v>9</x:v>
      </x:c>
      <x:c r="AF820" s="8" t="n">
        <x:f>MAX(0,AE820-AE819)</x:f>
        <x:v>0</x:v>
      </x:c>
      <x:c r="AG820" s="9" t="str">
        <x:f>IF(AF820&gt;0,B820,"")</x:f>
      </x:c>
      <x:c r="AH820" s="9" t="n">
        <x:f>IF(F820&gt;=1,1,(1+tun_LowTiesShare*(AE820-1))/AE820)</x:f>
        <x:v>1</x:v>
      </x:c>
      <x:c r="AI820" s="32" t="n">
        <x:f>(Z820+tun_ElderCommons*INDEX(LM_Elder,G820)*AA820)*AH820</x:f>
        <x:v>238215.0665857503</x:v>
      </x:c>
      <x:c r="AJ820" s="32" t="n">
        <x:f>H820*tun_CommonsCoef*AI820^tun_CommonsExp*INDEX(LM_Commons,G820)</x:f>
        <x:v>0</x:v>
      </x:c>
      <x:c r="AK820" s="32" t="n">
        <x:f>H820*tun_RoleScale*Arch_Roles*(AE820*(INDEX(tun_ElderRolePerSett,G820)*tun_OutElder*INDEX(LM_Elder,G820)+INDEX(tun_ShamanPerSett,G820)*tun_OutShaman)+Z820*(INDEX(tun_PriestShare,G820)*tun_OutPriest+INDEX(tun_ScribeShare,G820)*tun_OutScribe*INDEX(LM_Scribe,G820)+INDEX(tun_ScholarShare,G820)*tun_OutScholar*INDEX(LM_Scholar,G820)+INDEX(tun_ResearcherShare,G820)*tun_OutResearcher*INDEX(LM_Researcher,G820)))</x:f>
        <x:v>0</x:v>
      </x:c>
      <x:c r="AL820" s="32" t="n">
        <x:f>H820*tun_RoleScale*Arch_Roles*AE820*INDEX(tun_MonasteryPerSett,G820)*tun_OutMonastery*INDEX(LM_Monastery,G820)</x:f>
        <x:v>0</x:v>
      </x:c>
      <x:c r="AM820" s="32" t="n">
        <x:f>(AJ820+AK820+AL820)/4*INDEX(LM_All,G820)*INDEX(tun_Boon,G820)*Arch_Insight</x:f>
        <x:v>0</x:v>
      </x:c>
      <x:c r="AN820" s="32" t="n">
        <x:f>H820*(tun_KHPerAdult*Z820+tun_KHOfCommons*AJ820/4*INDEX(LM_All,G820))*tun_KHUsable*Arch_KH</x:f>
        <x:v>0</x:v>
      </x:c>
      <x:c r="AO820" s="32" t="n">
        <x:f>MIN(AP819+AN820,AM820*tun_KHMaxRatio)</x:f>
        <x:v>0</x:v>
      </x:c>
      <x:c r="AP820" s="32" t="n">
        <x:f>AP819+AN820-AO820</x:f>
        <x:v>0</x:v>
      </x:c>
      <x:c r="AQ820" s="32" t="n">
        <x:f>AM820+AO820</x:f>
        <x:v>0</x:v>
      </x:c>
      <x:c r="AR820" s="10" t="n">
        <x:f>IF(H820=1,INDEX(tun_Req,G820),0)</x:f>
        <x:v>0</x:v>
      </x:c>
      <x:c r="AS820" s="32" t="n">
        <x:f>IF(H820=1,IF(E820=1,AS819-AR819,AS819)+AQ820,0)</x:f>
        <x:v>0</x:v>
      </x:c>
      <x:c r="AT820" s="11" t="n">
        <x:f>IF(AR820&gt;0,MIN(1,AS820/AR820),1)</x:f>
        <x:v>1</x:v>
      </x:c>
      <x:c r="AU820" s="10" t="n">
        <x:f>AB820/INDEX(tun_RepScale,G820)</x:f>
        <x:v>290.3368848566301</x:v>
      </x:c>
      <x:c r="AV820" s="32" t="n">
        <x:f>AM820*60/tun_SeasonSeconds</x:f>
        <x:v>0</x:v>
      </x:c>
    </x:row>
    <x:row r="821">
      <x:c r="A821" s="8" t="n">
        <x:f>A820+1</x:f>
        <x:v>818</x:v>
      </x:c>
      <x:c r="B821" s="9" t="n">
        <x:f>A821*tun_SeasonSeconds/60</x:f>
        <x:v>204.5</x:v>
      </x:c>
      <x:c r="C821" s="9" t="n">
        <x:f>A821/4</x:f>
        <x:v>204.5</x:v>
      </x:c>
      <x:c r="D821" s="8" t="n">
        <x:f>IF(MOD(A821,4)=0,1,0)</x:f>
        <x:v>0</x:v>
      </x:c>
      <x:c r="E821" s="8" t="n">
        <x:f>IF(AND(F820&lt;=9,AS820&gt;=AR820),1,0)</x:f>
        <x:v>0</x:v>
      </x:c>
      <x:c r="F821" s="8" t="n">
        <x:f>MIN(10,F820+E821)</x:f>
        <x:v>10</x:v>
      </x:c>
      <x:c r="G821" s="8" t="n">
        <x:f>MIN(F821,9)+1</x:f>
        <x:v>10</x:v>
      </x:c>
      <x:c r="H821" s="8" t="n">
        <x:f>IF(F821&lt;=9,1,0)</x:f>
        <x:v>0</x:v>
      </x:c>
      <x:c r="I821" s="9" t="n">
        <x:f>MIN(10,F820+IF(AR820&gt;0,MIN(1,AS820/AR820),1))</x:f>
        <x:v>10</x:v>
      </x:c>
      <x:c r="J821" s="32" t="n">
        <x:f>INDEX(tun_FoodCap,G821)*Arch_FoodCap*EXP(tun_CapsByProject*SUMPRODUCT((Cap_Point&lt;=I821)*(Cap_Kind="Food")*Cap_Ln))</x:f>
        <x:v>18627.260449441455</x:v>
      </x:c>
      <x:c r="K821" s="32" t="n">
        <x:f>J821*MIN(1,tun_LeanBase*EXP(tun_CapsByProject*SUMPRODUCT((Cap_Point&lt;=I821)*(Cap_Kind="Lean")*Cap_Ln)))</x:f>
        <x:v>18627.260449441455</x:v>
      </x:c>
      <x:c r="L821" s="10" t="n">
        <x:f>INDEX(tun_HousingCap,G821)*EXP(tun_CapsByProject*SUMPRODUCT((Cap_Point&lt;=I821)*(Cap_Kind="Housing")*Cap_Ln))</x:f>
        <x:v>20528.974303173167</x:v>
      </x:c>
      <x:c r="M821" s="10" t="n">
        <x:f>INDEX(tun_GroupCap,G821)*tun_CohesionFactor*EXP(tun_CapsByProject*SUMPRODUCT((Cap_Point&lt;=I821)*(Cap_Kind="Group")*Cap_Ln))</x:f>
        <x:v>1000000.000000001</x:v>
      </x:c>
      <x:c r="N821" s="32" t="n">
        <x:f>MIN(J821,L821,M821)</x:f>
        <x:v>18627.260449441455</x:v>
      </x:c>
      <x:c r="O821" s="10" t="n">
        <x:f>AE820*N821</x:f>
        <x:v>167645.34404497308</x:v>
      </x:c>
      <x:c r="P821" s="9" t="n">
        <x:f>MIN(1,(AB820/(AE820*IF(tun_GroupInCrowding=1,N821,MIN(J821,L821))))^tun_CrowdingExp)</x:f>
        <x:v>0.4215841981292809</x:v>
      </x:c>
      <x:c r="Q821" s="9" t="n">
        <x:f>IF(D821=1,INDEX(tun_WinterMult,G821),1)</x:f>
        <x:v>1</x:v>
      </x:c>
      <x:c r="R821" s="9" t="n">
        <x:f>H821*Z820*tun_WomenShare*tun_BaseFertility*INDEX(tun_FertMult,G821)*Arch_Fertility*(1-P821)</x:f>
        <x:v>0</x:v>
      </x:c>
      <x:c r="S821" s="9" t="n">
        <x:f>H821*Y820*INDEX(tun_MortChild,G821)/4*Q821</x:f>
        <x:v>0</x:v>
      </x:c>
      <x:c r="T821" s="9" t="n">
        <x:f>H821*Z820*INDEX(tun_MortAdult,G821)*Arch_AdultMort/4*Q821</x:f>
        <x:v>0</x:v>
      </x:c>
      <x:c r="U821" s="9" t="n">
        <x:f>H821*AA820*INDEX(tun_MortElder,G821)/4*Q821</x:f>
        <x:v>0</x:v>
      </x:c>
      <x:c r="V821" s="9" t="n">
        <x:f>H821*MAX(0,AB820-O821)*tun_OvercapLoss</x:f>
        <x:v>0</x:v>
      </x:c>
      <x:c r="W821" s="9" t="n">
        <x:f>H821*Y820/(tun_ChildYears*4)</x:f>
        <x:v>0</x:v>
      </x:c>
      <x:c r="X821" s="9" t="n">
        <x:f>H821*Z820/(tun_AdultYears*4)</x:f>
        <x:v>0</x:v>
      </x:c>
      <x:c r="Y821" s="32" t="n">
        <x:f>Y820+R821-S821-W821-Y820*V821/AB820</x:f>
        <x:v>40496.20709015643</x:v>
      </x:c>
      <x:c r="Z821" s="32" t="n">
        <x:f>Z820+W821-X821-T821-Z820*V821/AB820</x:f>
        <x:v>59141.61122890803</x:v>
      </x:c>
      <x:c r="AA821" s="32" t="n">
        <x:f>AA820+X821-U821-AA820*V821/AB820</x:f>
        <x:v>45530.62410925061</x:v>
      </x:c>
      <x:c r="AB821" s="10" t="n">
        <x:f>Y821+Z821+AA821</x:f>
        <x:v>145168.44242831506</x:v>
      </x:c>
      <x:c r="AC821" s="8" t="n">
        <x:f>IF(AND(tun_WinterTrigger=1,D821=1,AB820/AE820&gt;=K821),1,0)</x:f>
        <x:v>0</x:v>
      </x:c>
      <x:c r="AD821" s="8" t="n">
        <x:f>H821*IF(AND(OR(AB820/AE820&gt;=tun_FissionTrigger*N821,AC821=1),AB820/AE820*tun_DaughterShare&gt;=tun_MinDaughter),MAX(1,ROUND(AE820*tun_FissionRate,0)),0)</x:f>
        <x:v>0</x:v>
      </x:c>
      <x:c r="AE821" s="8" t="n">
        <x:f>IF(H821=1,MAX(1,MIN(INDEX(tun_Smax,G821),AE820+AD821)),AE820)</x:f>
        <x:v>9</x:v>
      </x:c>
      <x:c r="AF821" s="8" t="n">
        <x:f>MAX(0,AE821-AE820)</x:f>
        <x:v>0</x:v>
      </x:c>
      <x:c r="AG821" s="9" t="str">
        <x:f>IF(AF821&gt;0,B821,"")</x:f>
      </x:c>
      <x:c r="AH821" s="9" t="n">
        <x:f>IF(F821&gt;=1,1,(1+tun_LowTiesShare*(AE821-1))/AE821)</x:f>
        <x:v>1</x:v>
      </x:c>
      <x:c r="AI821" s="32" t="n">
        <x:f>(Z821+tun_ElderCommons*INDEX(LM_Elder,G821)*AA821)*AH821</x:f>
        <x:v>238215.0665857503</x:v>
      </x:c>
      <x:c r="AJ821" s="32" t="n">
        <x:f>H821*tun_CommonsCoef*AI821^tun_CommonsExp*INDEX(LM_Commons,G821)</x:f>
        <x:v>0</x:v>
      </x:c>
      <x:c r="AK821" s="32" t="n">
        <x:f>H821*tun_RoleScale*Arch_Roles*(AE821*(INDEX(tun_ElderRolePerSett,G821)*tun_OutElder*INDEX(LM_Elder,G821)+INDEX(tun_ShamanPerSett,G821)*tun_OutShaman)+Z821*(INDEX(tun_PriestShare,G821)*tun_OutPriest+INDEX(tun_ScribeShare,G821)*tun_OutScribe*INDEX(LM_Scribe,G821)+INDEX(tun_ScholarShare,G821)*tun_OutScholar*INDEX(LM_Scholar,G821)+INDEX(tun_ResearcherShare,G821)*tun_OutResearcher*INDEX(LM_Researcher,G821)))</x:f>
        <x:v>0</x:v>
      </x:c>
      <x:c r="AL821" s="32" t="n">
        <x:f>H821*tun_RoleScale*Arch_Roles*AE821*INDEX(tun_MonasteryPerSett,G821)*tun_OutMonastery*INDEX(LM_Monastery,G821)</x:f>
        <x:v>0</x:v>
      </x:c>
      <x:c r="AM821" s="32" t="n">
        <x:f>(AJ821+AK821+AL821)/4*INDEX(LM_All,G821)*INDEX(tun_Boon,G821)*Arch_Insight</x:f>
        <x:v>0</x:v>
      </x:c>
      <x:c r="AN821" s="32" t="n">
        <x:f>H821*(tun_KHPerAdult*Z821+tun_KHOfCommons*AJ821/4*INDEX(LM_All,G821))*tun_KHUsable*Arch_KH</x:f>
        <x:v>0</x:v>
      </x:c>
      <x:c r="AO821" s="32" t="n">
        <x:f>MIN(AP820+AN821,AM821*tun_KHMaxRatio)</x:f>
        <x:v>0</x:v>
      </x:c>
      <x:c r="AP821" s="32" t="n">
        <x:f>AP820+AN821-AO821</x:f>
        <x:v>0</x:v>
      </x:c>
      <x:c r="AQ821" s="32" t="n">
        <x:f>AM821+AO821</x:f>
        <x:v>0</x:v>
      </x:c>
      <x:c r="AR821" s="10" t="n">
        <x:f>IF(H821=1,INDEX(tun_Req,G821),0)</x:f>
        <x:v>0</x:v>
      </x:c>
      <x:c r="AS821" s="32" t="n">
        <x:f>IF(H821=1,IF(E821=1,AS820-AR820,AS820)+AQ821,0)</x:f>
        <x:v>0</x:v>
      </x:c>
      <x:c r="AT821" s="11" t="n">
        <x:f>IF(AR821&gt;0,MIN(1,AS821/AR821),1)</x:f>
        <x:v>1</x:v>
      </x:c>
      <x:c r="AU821" s="10" t="n">
        <x:f>AB821/INDEX(tun_RepScale,G821)</x:f>
        <x:v>290.3368848566301</x:v>
      </x:c>
      <x:c r="AV821" s="32" t="n">
        <x:f>AM821*60/tun_SeasonSeconds</x:f>
        <x:v>0</x:v>
      </x:c>
    </x:row>
    <x:row r="822">
      <x:c r="A822" s="8" t="n">
        <x:f>A821+1</x:f>
        <x:v>819</x:v>
      </x:c>
      <x:c r="B822" s="9" t="n">
        <x:f>A822*tun_SeasonSeconds/60</x:f>
        <x:v>204.75</x:v>
      </x:c>
      <x:c r="C822" s="9" t="n">
        <x:f>A822/4</x:f>
        <x:v>204.75</x:v>
      </x:c>
      <x:c r="D822" s="8" t="n">
        <x:f>IF(MOD(A822,4)=0,1,0)</x:f>
        <x:v>0</x:v>
      </x:c>
      <x:c r="E822" s="8" t="n">
        <x:f>IF(AND(F821&lt;=9,AS821&gt;=AR821),1,0)</x:f>
        <x:v>0</x:v>
      </x:c>
      <x:c r="F822" s="8" t="n">
        <x:f>MIN(10,F821+E822)</x:f>
        <x:v>10</x:v>
      </x:c>
      <x:c r="G822" s="8" t="n">
        <x:f>MIN(F822,9)+1</x:f>
        <x:v>10</x:v>
      </x:c>
      <x:c r="H822" s="8" t="n">
        <x:f>IF(F822&lt;=9,1,0)</x:f>
        <x:v>0</x:v>
      </x:c>
      <x:c r="I822" s="9" t="n">
        <x:f>MIN(10,F821+IF(AR821&gt;0,MIN(1,AS821/AR821),1))</x:f>
        <x:v>10</x:v>
      </x:c>
      <x:c r="J822" s="32" t="n">
        <x:f>INDEX(tun_FoodCap,G822)*Arch_FoodCap*EXP(tun_CapsByProject*SUMPRODUCT((Cap_Point&lt;=I822)*(Cap_Kind="Food")*Cap_Ln))</x:f>
        <x:v>18627.260449441455</x:v>
      </x:c>
      <x:c r="K822" s="32" t="n">
        <x:f>J822*MIN(1,tun_LeanBase*EXP(tun_CapsByProject*SUMPRODUCT((Cap_Point&lt;=I822)*(Cap_Kind="Lean")*Cap_Ln)))</x:f>
        <x:v>18627.260449441455</x:v>
      </x:c>
      <x:c r="L822" s="10" t="n">
        <x:f>INDEX(tun_HousingCap,G822)*EXP(tun_CapsByProject*SUMPRODUCT((Cap_Point&lt;=I822)*(Cap_Kind="Housing")*Cap_Ln))</x:f>
        <x:v>20528.974303173167</x:v>
      </x:c>
      <x:c r="M822" s="10" t="n">
        <x:f>INDEX(tun_GroupCap,G822)*tun_CohesionFactor*EXP(tun_CapsByProject*SUMPRODUCT((Cap_Point&lt;=I822)*(Cap_Kind="Group")*Cap_Ln))</x:f>
        <x:v>1000000.000000001</x:v>
      </x:c>
      <x:c r="N822" s="32" t="n">
        <x:f>MIN(J822,L822,M822)</x:f>
        <x:v>18627.260449441455</x:v>
      </x:c>
      <x:c r="O822" s="10" t="n">
        <x:f>AE821*N822</x:f>
        <x:v>167645.34404497308</x:v>
      </x:c>
      <x:c r="P822" s="9" t="n">
        <x:f>MIN(1,(AB821/(AE821*IF(tun_GroupInCrowding=1,N822,MIN(J822,L822))))^tun_CrowdingExp)</x:f>
        <x:v>0.4215841981292809</x:v>
      </x:c>
      <x:c r="Q822" s="9" t="n">
        <x:f>IF(D822=1,INDEX(tun_WinterMult,G822),1)</x:f>
        <x:v>1</x:v>
      </x:c>
      <x:c r="R822" s="9" t="n">
        <x:f>H822*Z821*tun_WomenShare*tun_BaseFertility*INDEX(tun_FertMult,G822)*Arch_Fertility*(1-P822)</x:f>
        <x:v>0</x:v>
      </x:c>
      <x:c r="S822" s="9" t="n">
        <x:f>H822*Y821*INDEX(tun_MortChild,G822)/4*Q822</x:f>
        <x:v>0</x:v>
      </x:c>
      <x:c r="T822" s="9" t="n">
        <x:f>H822*Z821*INDEX(tun_MortAdult,G822)*Arch_AdultMort/4*Q822</x:f>
        <x:v>0</x:v>
      </x:c>
      <x:c r="U822" s="9" t="n">
        <x:f>H822*AA821*INDEX(tun_MortElder,G822)/4*Q822</x:f>
        <x:v>0</x:v>
      </x:c>
      <x:c r="V822" s="9" t="n">
        <x:f>H822*MAX(0,AB821-O822)*tun_OvercapLoss</x:f>
        <x:v>0</x:v>
      </x:c>
      <x:c r="W822" s="9" t="n">
        <x:f>H822*Y821/(tun_ChildYears*4)</x:f>
        <x:v>0</x:v>
      </x:c>
      <x:c r="X822" s="9" t="n">
        <x:f>H822*Z821/(tun_AdultYears*4)</x:f>
        <x:v>0</x:v>
      </x:c>
      <x:c r="Y822" s="32" t="n">
        <x:f>Y821+R822-S822-W822-Y821*V822/AB821</x:f>
        <x:v>40496.20709015643</x:v>
      </x:c>
      <x:c r="Z822" s="32" t="n">
        <x:f>Z821+W822-X822-T822-Z821*V822/AB821</x:f>
        <x:v>59141.61122890803</x:v>
      </x:c>
      <x:c r="AA822" s="32" t="n">
        <x:f>AA821+X822-U822-AA821*V822/AB821</x:f>
        <x:v>45530.62410925061</x:v>
      </x:c>
      <x:c r="AB822" s="10" t="n">
        <x:f>Y822+Z822+AA822</x:f>
        <x:v>145168.44242831506</x:v>
      </x:c>
      <x:c r="AC822" s="8" t="n">
        <x:f>IF(AND(tun_WinterTrigger=1,D822=1,AB821/AE821&gt;=K822),1,0)</x:f>
        <x:v>0</x:v>
      </x:c>
      <x:c r="AD822" s="8" t="n">
        <x:f>H822*IF(AND(OR(AB821/AE821&gt;=tun_FissionTrigger*N822,AC822=1),AB821/AE821*tun_DaughterShare&gt;=tun_MinDaughter),MAX(1,ROUND(AE821*tun_FissionRate,0)),0)</x:f>
        <x:v>0</x:v>
      </x:c>
      <x:c r="AE822" s="8" t="n">
        <x:f>IF(H822=1,MAX(1,MIN(INDEX(tun_Smax,G822),AE821+AD822)),AE821)</x:f>
        <x:v>9</x:v>
      </x:c>
      <x:c r="AF822" s="8" t="n">
        <x:f>MAX(0,AE822-AE821)</x:f>
        <x:v>0</x:v>
      </x:c>
      <x:c r="AG822" s="9" t="str">
        <x:f>IF(AF822&gt;0,B822,"")</x:f>
      </x:c>
      <x:c r="AH822" s="9" t="n">
        <x:f>IF(F822&gt;=1,1,(1+tun_LowTiesShare*(AE822-1))/AE822)</x:f>
        <x:v>1</x:v>
      </x:c>
      <x:c r="AI822" s="32" t="n">
        <x:f>(Z822+tun_ElderCommons*INDEX(LM_Elder,G822)*AA822)*AH822</x:f>
        <x:v>238215.0665857503</x:v>
      </x:c>
      <x:c r="AJ822" s="32" t="n">
        <x:f>H822*tun_CommonsCoef*AI822^tun_CommonsExp*INDEX(LM_Commons,G822)</x:f>
        <x:v>0</x:v>
      </x:c>
      <x:c r="AK822" s="32" t="n">
        <x:f>H822*tun_RoleScale*Arch_Roles*(AE822*(INDEX(tun_ElderRolePerSett,G822)*tun_OutElder*INDEX(LM_Elder,G822)+INDEX(tun_ShamanPerSett,G822)*tun_OutShaman)+Z822*(INDEX(tun_PriestShare,G822)*tun_OutPriest+INDEX(tun_ScribeShare,G822)*tun_OutScribe*INDEX(LM_Scribe,G822)+INDEX(tun_ScholarShare,G822)*tun_OutScholar*INDEX(LM_Scholar,G822)+INDEX(tun_ResearcherShare,G822)*tun_OutResearcher*INDEX(LM_Researcher,G822)))</x:f>
        <x:v>0</x:v>
      </x:c>
      <x:c r="AL822" s="32" t="n">
        <x:f>H822*tun_RoleScale*Arch_Roles*AE822*INDEX(tun_MonasteryPerSett,G822)*tun_OutMonastery*INDEX(LM_Monastery,G822)</x:f>
        <x:v>0</x:v>
      </x:c>
      <x:c r="AM822" s="32" t="n">
        <x:f>(AJ822+AK822+AL822)/4*INDEX(LM_All,G822)*INDEX(tun_Boon,G822)*Arch_Insight</x:f>
        <x:v>0</x:v>
      </x:c>
      <x:c r="AN822" s="32" t="n">
        <x:f>H822*(tun_KHPerAdult*Z822+tun_KHOfCommons*AJ822/4*INDEX(LM_All,G822))*tun_KHUsable*Arch_KH</x:f>
        <x:v>0</x:v>
      </x:c>
      <x:c r="AO822" s="32" t="n">
        <x:f>MIN(AP821+AN822,AM822*tun_KHMaxRatio)</x:f>
        <x:v>0</x:v>
      </x:c>
      <x:c r="AP822" s="32" t="n">
        <x:f>AP821+AN822-AO822</x:f>
        <x:v>0</x:v>
      </x:c>
      <x:c r="AQ822" s="32" t="n">
        <x:f>AM822+AO822</x:f>
        <x:v>0</x:v>
      </x:c>
      <x:c r="AR822" s="10" t="n">
        <x:f>IF(H822=1,INDEX(tun_Req,G822),0)</x:f>
        <x:v>0</x:v>
      </x:c>
      <x:c r="AS822" s="32" t="n">
        <x:f>IF(H822=1,IF(E822=1,AS821-AR821,AS821)+AQ822,0)</x:f>
        <x:v>0</x:v>
      </x:c>
      <x:c r="AT822" s="11" t="n">
        <x:f>IF(AR822&gt;0,MIN(1,AS822/AR822),1)</x:f>
        <x:v>1</x:v>
      </x:c>
      <x:c r="AU822" s="10" t="n">
        <x:f>AB822/INDEX(tun_RepScale,G822)</x:f>
        <x:v>290.3368848566301</x:v>
      </x:c>
      <x:c r="AV822" s="32" t="n">
        <x:f>AM822*60/tun_SeasonSeconds</x:f>
        <x:v>0</x:v>
      </x:c>
    </x:row>
    <x:row r="823">
      <x:c r="A823" s="8" t="n">
        <x:f>A822+1</x:f>
        <x:v>820</x:v>
      </x:c>
      <x:c r="B823" s="9" t="n">
        <x:f>A823*tun_SeasonSeconds/60</x:f>
        <x:v>205</x:v>
      </x:c>
      <x:c r="C823" s="9" t="n">
        <x:f>A823/4</x:f>
        <x:v>205</x:v>
      </x:c>
      <x:c r="D823" s="8" t="n">
        <x:f>IF(MOD(A823,4)=0,1,0)</x:f>
        <x:v>1</x:v>
      </x:c>
      <x:c r="E823" s="8" t="n">
        <x:f>IF(AND(F822&lt;=9,AS822&gt;=AR822),1,0)</x:f>
        <x:v>0</x:v>
      </x:c>
      <x:c r="F823" s="8" t="n">
        <x:f>MIN(10,F822+E823)</x:f>
        <x:v>10</x:v>
      </x:c>
      <x:c r="G823" s="8" t="n">
        <x:f>MIN(F823,9)+1</x:f>
        <x:v>10</x:v>
      </x:c>
      <x:c r="H823" s="8" t="n">
        <x:f>IF(F823&lt;=9,1,0)</x:f>
        <x:v>0</x:v>
      </x:c>
      <x:c r="I823" s="9" t="n">
        <x:f>MIN(10,F822+IF(AR822&gt;0,MIN(1,AS822/AR822),1))</x:f>
        <x:v>10</x:v>
      </x:c>
      <x:c r="J823" s="32" t="n">
        <x:f>INDEX(tun_FoodCap,G823)*Arch_FoodCap*EXP(tun_CapsByProject*SUMPRODUCT((Cap_Point&lt;=I823)*(Cap_Kind="Food")*Cap_Ln))</x:f>
        <x:v>18627.260449441455</x:v>
      </x:c>
      <x:c r="K823" s="32" t="n">
        <x:f>J823*MIN(1,tun_LeanBase*EXP(tun_CapsByProject*SUMPRODUCT((Cap_Point&lt;=I823)*(Cap_Kind="Lean")*Cap_Ln)))</x:f>
        <x:v>18627.260449441455</x:v>
      </x:c>
      <x:c r="L823" s="10" t="n">
        <x:f>INDEX(tun_HousingCap,G823)*EXP(tun_CapsByProject*SUMPRODUCT((Cap_Point&lt;=I823)*(Cap_Kind="Housing")*Cap_Ln))</x:f>
        <x:v>20528.974303173167</x:v>
      </x:c>
      <x:c r="M823" s="10" t="n">
        <x:f>INDEX(tun_GroupCap,G823)*tun_CohesionFactor*EXP(tun_CapsByProject*SUMPRODUCT((Cap_Point&lt;=I823)*(Cap_Kind="Group")*Cap_Ln))</x:f>
        <x:v>1000000.000000001</x:v>
      </x:c>
      <x:c r="N823" s="32" t="n">
        <x:f>MIN(J823,L823,M823)</x:f>
        <x:v>18627.260449441455</x:v>
      </x:c>
      <x:c r="O823" s="10" t="n">
        <x:f>AE822*N823</x:f>
        <x:v>167645.34404497308</x:v>
      </x:c>
      <x:c r="P823" s="9" t="n">
        <x:f>MIN(1,(AB822/(AE822*IF(tun_GroupInCrowding=1,N823,MIN(J823,L823))))^tun_CrowdingExp)</x:f>
        <x:v>0.4215841981292809</x:v>
      </x:c>
      <x:c r="Q823" s="9" t="n">
        <x:f>IF(D823=1,INDEX(tun_WinterMult,G823),1)</x:f>
        <x:v>1.05</x:v>
      </x:c>
      <x:c r="R823" s="9" t="n">
        <x:f>H823*Z822*tun_WomenShare*tun_BaseFertility*INDEX(tun_FertMult,G823)*Arch_Fertility*(1-P823)</x:f>
        <x:v>0</x:v>
      </x:c>
      <x:c r="S823" s="9" t="n">
        <x:f>H823*Y822*INDEX(tun_MortChild,G823)/4*Q823</x:f>
        <x:v>0</x:v>
      </x:c>
      <x:c r="T823" s="9" t="n">
        <x:f>H823*Z822*INDEX(tun_MortAdult,G823)*Arch_AdultMort/4*Q823</x:f>
        <x:v>0</x:v>
      </x:c>
      <x:c r="U823" s="9" t="n">
        <x:f>H823*AA822*INDEX(tun_MortElder,G823)/4*Q823</x:f>
        <x:v>0</x:v>
      </x:c>
      <x:c r="V823" s="9" t="n">
        <x:f>H823*MAX(0,AB822-O823)*tun_OvercapLoss</x:f>
        <x:v>0</x:v>
      </x:c>
      <x:c r="W823" s="9" t="n">
        <x:f>H823*Y822/(tun_ChildYears*4)</x:f>
        <x:v>0</x:v>
      </x:c>
      <x:c r="X823" s="9" t="n">
        <x:f>H823*Z822/(tun_AdultYears*4)</x:f>
        <x:v>0</x:v>
      </x:c>
      <x:c r="Y823" s="32" t="n">
        <x:f>Y822+R823-S823-W823-Y822*V823/AB822</x:f>
        <x:v>40496.20709015643</x:v>
      </x:c>
      <x:c r="Z823" s="32" t="n">
        <x:f>Z822+W823-X823-T823-Z822*V823/AB822</x:f>
        <x:v>59141.61122890803</x:v>
      </x:c>
      <x:c r="AA823" s="32" t="n">
        <x:f>AA822+X823-U823-AA822*V823/AB822</x:f>
        <x:v>45530.62410925061</x:v>
      </x:c>
      <x:c r="AB823" s="10" t="n">
        <x:f>Y823+Z823+AA823</x:f>
        <x:v>145168.44242831506</x:v>
      </x:c>
      <x:c r="AC823" s="8" t="n">
        <x:f>IF(AND(tun_WinterTrigger=1,D823=1,AB822/AE822&gt;=K823),1,0)</x:f>
        <x:v>0</x:v>
      </x:c>
      <x:c r="AD823" s="8" t="n">
        <x:f>H823*IF(AND(OR(AB822/AE822&gt;=tun_FissionTrigger*N823,AC823=1),AB822/AE822*tun_DaughterShare&gt;=tun_MinDaughter),MAX(1,ROUND(AE822*tun_FissionRate,0)),0)</x:f>
        <x:v>0</x:v>
      </x:c>
      <x:c r="AE823" s="8" t="n">
        <x:f>IF(H823=1,MAX(1,MIN(INDEX(tun_Smax,G823),AE822+AD823)),AE822)</x:f>
        <x:v>9</x:v>
      </x:c>
      <x:c r="AF823" s="8" t="n">
        <x:f>MAX(0,AE823-AE822)</x:f>
        <x:v>0</x:v>
      </x:c>
      <x:c r="AG823" s="9" t="str">
        <x:f>IF(AF823&gt;0,B823,"")</x:f>
      </x:c>
      <x:c r="AH823" s="9" t="n">
        <x:f>IF(F823&gt;=1,1,(1+tun_LowTiesShare*(AE823-1))/AE823)</x:f>
        <x:v>1</x:v>
      </x:c>
      <x:c r="AI823" s="32" t="n">
        <x:f>(Z823+tun_ElderCommons*INDEX(LM_Elder,G823)*AA823)*AH823</x:f>
        <x:v>238215.0665857503</x:v>
      </x:c>
      <x:c r="AJ823" s="32" t="n">
        <x:f>H823*tun_CommonsCoef*AI823^tun_CommonsExp*INDEX(LM_Commons,G823)</x:f>
        <x:v>0</x:v>
      </x:c>
      <x:c r="AK823" s="32" t="n">
        <x:f>H823*tun_RoleScale*Arch_Roles*(AE823*(INDEX(tun_ElderRolePerSett,G823)*tun_OutElder*INDEX(LM_Elder,G823)+INDEX(tun_ShamanPerSett,G823)*tun_OutShaman)+Z823*(INDEX(tun_PriestShare,G823)*tun_OutPriest+INDEX(tun_ScribeShare,G823)*tun_OutScribe*INDEX(LM_Scribe,G823)+INDEX(tun_ScholarShare,G823)*tun_OutScholar*INDEX(LM_Scholar,G823)+INDEX(tun_ResearcherShare,G823)*tun_OutResearcher*INDEX(LM_Researcher,G823)))</x:f>
        <x:v>0</x:v>
      </x:c>
      <x:c r="AL823" s="32" t="n">
        <x:f>H823*tun_RoleScale*Arch_Roles*AE823*INDEX(tun_MonasteryPerSett,G823)*tun_OutMonastery*INDEX(LM_Monastery,G823)</x:f>
        <x:v>0</x:v>
      </x:c>
      <x:c r="AM823" s="32" t="n">
        <x:f>(AJ823+AK823+AL823)/4*INDEX(LM_All,G823)*INDEX(tun_Boon,G823)*Arch_Insight</x:f>
        <x:v>0</x:v>
      </x:c>
      <x:c r="AN823" s="32" t="n">
        <x:f>H823*(tun_KHPerAdult*Z823+tun_KHOfCommons*AJ823/4*INDEX(LM_All,G823))*tun_KHUsable*Arch_KH</x:f>
        <x:v>0</x:v>
      </x:c>
      <x:c r="AO823" s="32" t="n">
        <x:f>MIN(AP822+AN823,AM823*tun_KHMaxRatio)</x:f>
        <x:v>0</x:v>
      </x:c>
      <x:c r="AP823" s="32" t="n">
        <x:f>AP822+AN823-AO823</x:f>
        <x:v>0</x:v>
      </x:c>
      <x:c r="AQ823" s="32" t="n">
        <x:f>AM823+AO823</x:f>
        <x:v>0</x:v>
      </x:c>
      <x:c r="AR823" s="10" t="n">
        <x:f>IF(H823=1,INDEX(tun_Req,G823),0)</x:f>
        <x:v>0</x:v>
      </x:c>
      <x:c r="AS823" s="32" t="n">
        <x:f>IF(H823=1,IF(E823=1,AS822-AR822,AS822)+AQ823,0)</x:f>
        <x:v>0</x:v>
      </x:c>
      <x:c r="AT823" s="11" t="n">
        <x:f>IF(AR823&gt;0,MIN(1,AS823/AR823),1)</x:f>
        <x:v>1</x:v>
      </x:c>
      <x:c r="AU823" s="10" t="n">
        <x:f>AB823/INDEX(tun_RepScale,G823)</x:f>
        <x:v>290.3368848566301</x:v>
      </x:c>
      <x:c r="AV823" s="32" t="n">
        <x:f>AM823*60/tun_SeasonSeconds</x:f>
        <x:v>0</x:v>
      </x:c>
    </x:row>
    <x:row r="824">
      <x:c r="A824" s="8" t="n">
        <x:f>A823+1</x:f>
        <x:v>821</x:v>
      </x:c>
      <x:c r="B824" s="9" t="n">
        <x:f>A824*tun_SeasonSeconds/60</x:f>
        <x:v>205.25</x:v>
      </x:c>
      <x:c r="C824" s="9" t="n">
        <x:f>A824/4</x:f>
        <x:v>205.25</x:v>
      </x:c>
      <x:c r="D824" s="8" t="n">
        <x:f>IF(MOD(A824,4)=0,1,0)</x:f>
        <x:v>0</x:v>
      </x:c>
      <x:c r="E824" s="8" t="n">
        <x:f>IF(AND(F823&lt;=9,AS823&gt;=AR823),1,0)</x:f>
        <x:v>0</x:v>
      </x:c>
      <x:c r="F824" s="8" t="n">
        <x:f>MIN(10,F823+E824)</x:f>
        <x:v>10</x:v>
      </x:c>
      <x:c r="G824" s="8" t="n">
        <x:f>MIN(F824,9)+1</x:f>
        <x:v>10</x:v>
      </x:c>
      <x:c r="H824" s="8" t="n">
        <x:f>IF(F824&lt;=9,1,0)</x:f>
        <x:v>0</x:v>
      </x:c>
      <x:c r="I824" s="9" t="n">
        <x:f>MIN(10,F823+IF(AR823&gt;0,MIN(1,AS823/AR823),1))</x:f>
        <x:v>10</x:v>
      </x:c>
      <x:c r="J824" s="32" t="n">
        <x:f>INDEX(tun_FoodCap,G824)*Arch_FoodCap*EXP(tun_CapsByProject*SUMPRODUCT((Cap_Point&lt;=I824)*(Cap_Kind="Food")*Cap_Ln))</x:f>
        <x:v>18627.260449441455</x:v>
      </x:c>
      <x:c r="K824" s="32" t="n">
        <x:f>J824*MIN(1,tun_LeanBase*EXP(tun_CapsByProject*SUMPRODUCT((Cap_Point&lt;=I824)*(Cap_Kind="Lean")*Cap_Ln)))</x:f>
        <x:v>18627.260449441455</x:v>
      </x:c>
      <x:c r="L824" s="10" t="n">
        <x:f>INDEX(tun_HousingCap,G824)*EXP(tun_CapsByProject*SUMPRODUCT((Cap_Point&lt;=I824)*(Cap_Kind="Housing")*Cap_Ln))</x:f>
        <x:v>20528.974303173167</x:v>
      </x:c>
      <x:c r="M824" s="10" t="n">
        <x:f>INDEX(tun_GroupCap,G824)*tun_CohesionFactor*EXP(tun_CapsByProject*SUMPRODUCT((Cap_Point&lt;=I824)*(Cap_Kind="Group")*Cap_Ln))</x:f>
        <x:v>1000000.000000001</x:v>
      </x:c>
      <x:c r="N824" s="32" t="n">
        <x:f>MIN(J824,L824,M824)</x:f>
        <x:v>18627.260449441455</x:v>
      </x:c>
      <x:c r="O824" s="10" t="n">
        <x:f>AE823*N824</x:f>
        <x:v>167645.34404497308</x:v>
      </x:c>
      <x:c r="P824" s="9" t="n">
        <x:f>MIN(1,(AB823/(AE823*IF(tun_GroupInCrowding=1,N824,MIN(J824,L824))))^tun_CrowdingExp)</x:f>
        <x:v>0.4215841981292809</x:v>
      </x:c>
      <x:c r="Q824" s="9" t="n">
        <x:f>IF(D824=1,INDEX(tun_WinterMult,G824),1)</x:f>
        <x:v>1</x:v>
      </x:c>
      <x:c r="R824" s="9" t="n">
        <x:f>H824*Z823*tun_WomenShare*tun_BaseFertility*INDEX(tun_FertMult,G824)*Arch_Fertility*(1-P824)</x:f>
        <x:v>0</x:v>
      </x:c>
      <x:c r="S824" s="9" t="n">
        <x:f>H824*Y823*INDEX(tun_MortChild,G824)/4*Q824</x:f>
        <x:v>0</x:v>
      </x:c>
      <x:c r="T824" s="9" t="n">
        <x:f>H824*Z823*INDEX(tun_MortAdult,G824)*Arch_AdultMort/4*Q824</x:f>
        <x:v>0</x:v>
      </x:c>
      <x:c r="U824" s="9" t="n">
        <x:f>H824*AA823*INDEX(tun_MortElder,G824)/4*Q824</x:f>
        <x:v>0</x:v>
      </x:c>
      <x:c r="V824" s="9" t="n">
        <x:f>H824*MAX(0,AB823-O824)*tun_OvercapLoss</x:f>
        <x:v>0</x:v>
      </x:c>
      <x:c r="W824" s="9" t="n">
        <x:f>H824*Y823/(tun_ChildYears*4)</x:f>
        <x:v>0</x:v>
      </x:c>
      <x:c r="X824" s="9" t="n">
        <x:f>H824*Z823/(tun_AdultYears*4)</x:f>
        <x:v>0</x:v>
      </x:c>
      <x:c r="Y824" s="32" t="n">
        <x:f>Y823+R824-S824-W824-Y823*V824/AB823</x:f>
        <x:v>40496.20709015643</x:v>
      </x:c>
      <x:c r="Z824" s="32" t="n">
        <x:f>Z823+W824-X824-T824-Z823*V824/AB823</x:f>
        <x:v>59141.61122890803</x:v>
      </x:c>
      <x:c r="AA824" s="32" t="n">
        <x:f>AA823+X824-U824-AA823*V824/AB823</x:f>
        <x:v>45530.62410925061</x:v>
      </x:c>
      <x:c r="AB824" s="10" t="n">
        <x:f>Y824+Z824+AA824</x:f>
        <x:v>145168.44242831506</x:v>
      </x:c>
      <x:c r="AC824" s="8" t="n">
        <x:f>IF(AND(tun_WinterTrigger=1,D824=1,AB823/AE823&gt;=K824),1,0)</x:f>
        <x:v>0</x:v>
      </x:c>
      <x:c r="AD824" s="8" t="n">
        <x:f>H824*IF(AND(OR(AB823/AE823&gt;=tun_FissionTrigger*N824,AC824=1),AB823/AE823*tun_DaughterShare&gt;=tun_MinDaughter),MAX(1,ROUND(AE823*tun_FissionRate,0)),0)</x:f>
        <x:v>0</x:v>
      </x:c>
      <x:c r="AE824" s="8" t="n">
        <x:f>IF(H824=1,MAX(1,MIN(INDEX(tun_Smax,G824),AE823+AD824)),AE823)</x:f>
        <x:v>9</x:v>
      </x:c>
      <x:c r="AF824" s="8" t="n">
        <x:f>MAX(0,AE824-AE823)</x:f>
        <x:v>0</x:v>
      </x:c>
      <x:c r="AG824" s="9" t="str">
        <x:f>IF(AF824&gt;0,B824,"")</x:f>
      </x:c>
      <x:c r="AH824" s="9" t="n">
        <x:f>IF(F824&gt;=1,1,(1+tun_LowTiesShare*(AE824-1))/AE824)</x:f>
        <x:v>1</x:v>
      </x:c>
      <x:c r="AI824" s="32" t="n">
        <x:f>(Z824+tun_ElderCommons*INDEX(LM_Elder,G824)*AA824)*AH824</x:f>
        <x:v>238215.0665857503</x:v>
      </x:c>
      <x:c r="AJ824" s="32" t="n">
        <x:f>H824*tun_CommonsCoef*AI824^tun_CommonsExp*INDEX(LM_Commons,G824)</x:f>
        <x:v>0</x:v>
      </x:c>
      <x:c r="AK824" s="32" t="n">
        <x:f>H824*tun_RoleScale*Arch_Roles*(AE824*(INDEX(tun_ElderRolePerSett,G824)*tun_OutElder*INDEX(LM_Elder,G824)+INDEX(tun_ShamanPerSett,G824)*tun_OutShaman)+Z824*(INDEX(tun_PriestShare,G824)*tun_OutPriest+INDEX(tun_ScribeShare,G824)*tun_OutScribe*INDEX(LM_Scribe,G824)+INDEX(tun_ScholarShare,G824)*tun_OutScholar*INDEX(LM_Scholar,G824)+INDEX(tun_ResearcherShare,G824)*tun_OutResearcher*INDEX(LM_Researcher,G824)))</x:f>
        <x:v>0</x:v>
      </x:c>
      <x:c r="AL824" s="32" t="n">
        <x:f>H824*tun_RoleScale*Arch_Roles*AE824*INDEX(tun_MonasteryPerSett,G824)*tun_OutMonastery*INDEX(LM_Monastery,G824)</x:f>
        <x:v>0</x:v>
      </x:c>
      <x:c r="AM824" s="32" t="n">
        <x:f>(AJ824+AK824+AL824)/4*INDEX(LM_All,G824)*INDEX(tun_Boon,G824)*Arch_Insight</x:f>
        <x:v>0</x:v>
      </x:c>
      <x:c r="AN824" s="32" t="n">
        <x:f>H824*(tun_KHPerAdult*Z824+tun_KHOfCommons*AJ824/4*INDEX(LM_All,G824))*tun_KHUsable*Arch_KH</x:f>
        <x:v>0</x:v>
      </x:c>
      <x:c r="AO824" s="32" t="n">
        <x:f>MIN(AP823+AN824,AM824*tun_KHMaxRatio)</x:f>
        <x:v>0</x:v>
      </x:c>
      <x:c r="AP824" s="32" t="n">
        <x:f>AP823+AN824-AO824</x:f>
        <x:v>0</x:v>
      </x:c>
      <x:c r="AQ824" s="32" t="n">
        <x:f>AM824+AO824</x:f>
        <x:v>0</x:v>
      </x:c>
      <x:c r="AR824" s="10" t="n">
        <x:f>IF(H824=1,INDEX(tun_Req,G824),0)</x:f>
        <x:v>0</x:v>
      </x:c>
      <x:c r="AS824" s="32" t="n">
        <x:f>IF(H824=1,IF(E824=1,AS823-AR823,AS823)+AQ824,0)</x:f>
        <x:v>0</x:v>
      </x:c>
      <x:c r="AT824" s="11" t="n">
        <x:f>IF(AR824&gt;0,MIN(1,AS824/AR824),1)</x:f>
        <x:v>1</x:v>
      </x:c>
      <x:c r="AU824" s="10" t="n">
        <x:f>AB824/INDEX(tun_RepScale,G824)</x:f>
        <x:v>290.3368848566301</x:v>
      </x:c>
      <x:c r="AV824" s="32" t="n">
        <x:f>AM824*60/tun_SeasonSeconds</x:f>
        <x:v>0</x:v>
      </x:c>
    </x:row>
    <x:row r="825">
      <x:c r="A825" s="8" t="n">
        <x:f>A824+1</x:f>
        <x:v>822</x:v>
      </x:c>
      <x:c r="B825" s="9" t="n">
        <x:f>A825*tun_SeasonSeconds/60</x:f>
        <x:v>205.5</x:v>
      </x:c>
      <x:c r="C825" s="9" t="n">
        <x:f>A825/4</x:f>
        <x:v>205.5</x:v>
      </x:c>
      <x:c r="D825" s="8" t="n">
        <x:f>IF(MOD(A825,4)=0,1,0)</x:f>
        <x:v>0</x:v>
      </x:c>
      <x:c r="E825" s="8" t="n">
        <x:f>IF(AND(F824&lt;=9,AS824&gt;=AR824),1,0)</x:f>
        <x:v>0</x:v>
      </x:c>
      <x:c r="F825" s="8" t="n">
        <x:f>MIN(10,F824+E825)</x:f>
        <x:v>10</x:v>
      </x:c>
      <x:c r="G825" s="8" t="n">
        <x:f>MIN(F825,9)+1</x:f>
        <x:v>10</x:v>
      </x:c>
      <x:c r="H825" s="8" t="n">
        <x:f>IF(F825&lt;=9,1,0)</x:f>
        <x:v>0</x:v>
      </x:c>
      <x:c r="I825" s="9" t="n">
        <x:f>MIN(10,F824+IF(AR824&gt;0,MIN(1,AS824/AR824),1))</x:f>
        <x:v>10</x:v>
      </x:c>
      <x:c r="J825" s="32" t="n">
        <x:f>INDEX(tun_FoodCap,G825)*Arch_FoodCap*EXP(tun_CapsByProject*SUMPRODUCT((Cap_Point&lt;=I825)*(Cap_Kind="Food")*Cap_Ln))</x:f>
        <x:v>18627.260449441455</x:v>
      </x:c>
      <x:c r="K825" s="32" t="n">
        <x:f>J825*MIN(1,tun_LeanBase*EXP(tun_CapsByProject*SUMPRODUCT((Cap_Point&lt;=I825)*(Cap_Kind="Lean")*Cap_Ln)))</x:f>
        <x:v>18627.260449441455</x:v>
      </x:c>
      <x:c r="L825" s="10" t="n">
        <x:f>INDEX(tun_HousingCap,G825)*EXP(tun_CapsByProject*SUMPRODUCT((Cap_Point&lt;=I825)*(Cap_Kind="Housing")*Cap_Ln))</x:f>
        <x:v>20528.974303173167</x:v>
      </x:c>
      <x:c r="M825" s="10" t="n">
        <x:f>INDEX(tun_GroupCap,G825)*tun_CohesionFactor*EXP(tun_CapsByProject*SUMPRODUCT((Cap_Point&lt;=I825)*(Cap_Kind="Group")*Cap_Ln))</x:f>
        <x:v>1000000.000000001</x:v>
      </x:c>
      <x:c r="N825" s="32" t="n">
        <x:f>MIN(J825,L825,M825)</x:f>
        <x:v>18627.260449441455</x:v>
      </x:c>
      <x:c r="O825" s="10" t="n">
        <x:f>AE824*N825</x:f>
        <x:v>167645.34404497308</x:v>
      </x:c>
      <x:c r="P825" s="9" t="n">
        <x:f>MIN(1,(AB824/(AE824*IF(tun_GroupInCrowding=1,N825,MIN(J825,L825))))^tun_CrowdingExp)</x:f>
        <x:v>0.4215841981292809</x:v>
      </x:c>
      <x:c r="Q825" s="9" t="n">
        <x:f>IF(D825=1,INDEX(tun_WinterMult,G825),1)</x:f>
        <x:v>1</x:v>
      </x:c>
      <x:c r="R825" s="9" t="n">
        <x:f>H825*Z824*tun_WomenShare*tun_BaseFertility*INDEX(tun_FertMult,G825)*Arch_Fertility*(1-P825)</x:f>
        <x:v>0</x:v>
      </x:c>
      <x:c r="S825" s="9" t="n">
        <x:f>H825*Y824*INDEX(tun_MortChild,G825)/4*Q825</x:f>
        <x:v>0</x:v>
      </x:c>
      <x:c r="T825" s="9" t="n">
        <x:f>H825*Z824*INDEX(tun_MortAdult,G825)*Arch_AdultMort/4*Q825</x:f>
        <x:v>0</x:v>
      </x:c>
      <x:c r="U825" s="9" t="n">
        <x:f>H825*AA824*INDEX(tun_MortElder,G825)/4*Q825</x:f>
        <x:v>0</x:v>
      </x:c>
      <x:c r="V825" s="9" t="n">
        <x:f>H825*MAX(0,AB824-O825)*tun_OvercapLoss</x:f>
        <x:v>0</x:v>
      </x:c>
      <x:c r="W825" s="9" t="n">
        <x:f>H825*Y824/(tun_ChildYears*4)</x:f>
        <x:v>0</x:v>
      </x:c>
      <x:c r="X825" s="9" t="n">
        <x:f>H825*Z824/(tun_AdultYears*4)</x:f>
        <x:v>0</x:v>
      </x:c>
      <x:c r="Y825" s="32" t="n">
        <x:f>Y824+R825-S825-W825-Y824*V825/AB824</x:f>
        <x:v>40496.20709015643</x:v>
      </x:c>
      <x:c r="Z825" s="32" t="n">
        <x:f>Z824+W825-X825-T825-Z824*V825/AB824</x:f>
        <x:v>59141.61122890803</x:v>
      </x:c>
      <x:c r="AA825" s="32" t="n">
        <x:f>AA824+X825-U825-AA824*V825/AB824</x:f>
        <x:v>45530.62410925061</x:v>
      </x:c>
      <x:c r="AB825" s="10" t="n">
        <x:f>Y825+Z825+AA825</x:f>
        <x:v>145168.44242831506</x:v>
      </x:c>
      <x:c r="AC825" s="8" t="n">
        <x:f>IF(AND(tun_WinterTrigger=1,D825=1,AB824/AE824&gt;=K825),1,0)</x:f>
        <x:v>0</x:v>
      </x:c>
      <x:c r="AD825" s="8" t="n">
        <x:f>H825*IF(AND(OR(AB824/AE824&gt;=tun_FissionTrigger*N825,AC825=1),AB824/AE824*tun_DaughterShare&gt;=tun_MinDaughter),MAX(1,ROUND(AE824*tun_FissionRate,0)),0)</x:f>
        <x:v>0</x:v>
      </x:c>
      <x:c r="AE825" s="8" t="n">
        <x:f>IF(H825=1,MAX(1,MIN(INDEX(tun_Smax,G825),AE824+AD825)),AE824)</x:f>
        <x:v>9</x:v>
      </x:c>
      <x:c r="AF825" s="8" t="n">
        <x:f>MAX(0,AE825-AE824)</x:f>
        <x:v>0</x:v>
      </x:c>
      <x:c r="AG825" s="9" t="str">
        <x:f>IF(AF825&gt;0,B825,"")</x:f>
      </x:c>
      <x:c r="AH825" s="9" t="n">
        <x:f>IF(F825&gt;=1,1,(1+tun_LowTiesShare*(AE825-1))/AE825)</x:f>
        <x:v>1</x:v>
      </x:c>
      <x:c r="AI825" s="32" t="n">
        <x:f>(Z825+tun_ElderCommons*INDEX(LM_Elder,G825)*AA825)*AH825</x:f>
        <x:v>238215.0665857503</x:v>
      </x:c>
      <x:c r="AJ825" s="32" t="n">
        <x:f>H825*tun_CommonsCoef*AI825^tun_CommonsExp*INDEX(LM_Commons,G825)</x:f>
        <x:v>0</x:v>
      </x:c>
      <x:c r="AK825" s="32" t="n">
        <x:f>H825*tun_RoleScale*Arch_Roles*(AE825*(INDEX(tun_ElderRolePerSett,G825)*tun_OutElder*INDEX(LM_Elder,G825)+INDEX(tun_ShamanPerSett,G825)*tun_OutShaman)+Z825*(INDEX(tun_PriestShare,G825)*tun_OutPriest+INDEX(tun_ScribeShare,G825)*tun_OutScribe*INDEX(LM_Scribe,G825)+INDEX(tun_ScholarShare,G825)*tun_OutScholar*INDEX(LM_Scholar,G825)+INDEX(tun_ResearcherShare,G825)*tun_OutResearcher*INDEX(LM_Researcher,G825)))</x:f>
        <x:v>0</x:v>
      </x:c>
      <x:c r="AL825" s="32" t="n">
        <x:f>H825*tun_RoleScale*Arch_Roles*AE825*INDEX(tun_MonasteryPerSett,G825)*tun_OutMonastery*INDEX(LM_Monastery,G825)</x:f>
        <x:v>0</x:v>
      </x:c>
      <x:c r="AM825" s="32" t="n">
        <x:f>(AJ825+AK825+AL825)/4*INDEX(LM_All,G825)*INDEX(tun_Boon,G825)*Arch_Insight</x:f>
        <x:v>0</x:v>
      </x:c>
      <x:c r="AN825" s="32" t="n">
        <x:f>H825*(tun_KHPerAdult*Z825+tun_KHOfCommons*AJ825/4*INDEX(LM_All,G825))*tun_KHUsable*Arch_KH</x:f>
        <x:v>0</x:v>
      </x:c>
      <x:c r="AO825" s="32" t="n">
        <x:f>MIN(AP824+AN825,AM825*tun_KHMaxRatio)</x:f>
        <x:v>0</x:v>
      </x:c>
      <x:c r="AP825" s="32" t="n">
        <x:f>AP824+AN825-AO825</x:f>
        <x:v>0</x:v>
      </x:c>
      <x:c r="AQ825" s="32" t="n">
        <x:f>AM825+AO825</x:f>
        <x:v>0</x:v>
      </x:c>
      <x:c r="AR825" s="10" t="n">
        <x:f>IF(H825=1,INDEX(tun_Req,G825),0)</x:f>
        <x:v>0</x:v>
      </x:c>
      <x:c r="AS825" s="32" t="n">
        <x:f>IF(H825=1,IF(E825=1,AS824-AR824,AS824)+AQ825,0)</x:f>
        <x:v>0</x:v>
      </x:c>
      <x:c r="AT825" s="11" t="n">
        <x:f>IF(AR825&gt;0,MIN(1,AS825/AR825),1)</x:f>
        <x:v>1</x:v>
      </x:c>
      <x:c r="AU825" s="10" t="n">
        <x:f>AB825/INDEX(tun_RepScale,G825)</x:f>
        <x:v>290.3368848566301</x:v>
      </x:c>
      <x:c r="AV825" s="32" t="n">
        <x:f>AM825*60/tun_SeasonSeconds</x:f>
        <x:v>0</x:v>
      </x:c>
    </x:row>
    <x:row r="826">
      <x:c r="A826" s="8" t="n">
        <x:f>A825+1</x:f>
        <x:v>823</x:v>
      </x:c>
      <x:c r="B826" s="9" t="n">
        <x:f>A826*tun_SeasonSeconds/60</x:f>
        <x:v>205.75</x:v>
      </x:c>
      <x:c r="C826" s="9" t="n">
        <x:f>A826/4</x:f>
        <x:v>205.75</x:v>
      </x:c>
      <x:c r="D826" s="8" t="n">
        <x:f>IF(MOD(A826,4)=0,1,0)</x:f>
        <x:v>0</x:v>
      </x:c>
      <x:c r="E826" s="8" t="n">
        <x:f>IF(AND(F825&lt;=9,AS825&gt;=AR825),1,0)</x:f>
        <x:v>0</x:v>
      </x:c>
      <x:c r="F826" s="8" t="n">
        <x:f>MIN(10,F825+E826)</x:f>
        <x:v>10</x:v>
      </x:c>
      <x:c r="G826" s="8" t="n">
        <x:f>MIN(F826,9)+1</x:f>
        <x:v>10</x:v>
      </x:c>
      <x:c r="H826" s="8" t="n">
        <x:f>IF(F826&lt;=9,1,0)</x:f>
        <x:v>0</x:v>
      </x:c>
      <x:c r="I826" s="9" t="n">
        <x:f>MIN(10,F825+IF(AR825&gt;0,MIN(1,AS825/AR825),1))</x:f>
        <x:v>10</x:v>
      </x:c>
      <x:c r="J826" s="32" t="n">
        <x:f>INDEX(tun_FoodCap,G826)*Arch_FoodCap*EXP(tun_CapsByProject*SUMPRODUCT((Cap_Point&lt;=I826)*(Cap_Kind="Food")*Cap_Ln))</x:f>
        <x:v>18627.260449441455</x:v>
      </x:c>
      <x:c r="K826" s="32" t="n">
        <x:f>J826*MIN(1,tun_LeanBase*EXP(tun_CapsByProject*SUMPRODUCT((Cap_Point&lt;=I826)*(Cap_Kind="Lean")*Cap_Ln)))</x:f>
        <x:v>18627.260449441455</x:v>
      </x:c>
      <x:c r="L826" s="10" t="n">
        <x:f>INDEX(tun_HousingCap,G826)*EXP(tun_CapsByProject*SUMPRODUCT((Cap_Point&lt;=I826)*(Cap_Kind="Housing")*Cap_Ln))</x:f>
        <x:v>20528.974303173167</x:v>
      </x:c>
      <x:c r="M826" s="10" t="n">
        <x:f>INDEX(tun_GroupCap,G826)*tun_CohesionFactor*EXP(tun_CapsByProject*SUMPRODUCT((Cap_Point&lt;=I826)*(Cap_Kind="Group")*Cap_Ln))</x:f>
        <x:v>1000000.000000001</x:v>
      </x:c>
      <x:c r="N826" s="32" t="n">
        <x:f>MIN(J826,L826,M826)</x:f>
        <x:v>18627.260449441455</x:v>
      </x:c>
      <x:c r="O826" s="10" t="n">
        <x:f>AE825*N826</x:f>
        <x:v>167645.34404497308</x:v>
      </x:c>
      <x:c r="P826" s="9" t="n">
        <x:f>MIN(1,(AB825/(AE825*IF(tun_GroupInCrowding=1,N826,MIN(J826,L826))))^tun_CrowdingExp)</x:f>
        <x:v>0.4215841981292809</x:v>
      </x:c>
      <x:c r="Q826" s="9" t="n">
        <x:f>IF(D826=1,INDEX(tun_WinterMult,G826),1)</x:f>
        <x:v>1</x:v>
      </x:c>
      <x:c r="R826" s="9" t="n">
        <x:f>H826*Z825*tun_WomenShare*tun_BaseFertility*INDEX(tun_FertMult,G826)*Arch_Fertility*(1-P826)</x:f>
        <x:v>0</x:v>
      </x:c>
      <x:c r="S826" s="9" t="n">
        <x:f>H826*Y825*INDEX(tun_MortChild,G826)/4*Q826</x:f>
        <x:v>0</x:v>
      </x:c>
      <x:c r="T826" s="9" t="n">
        <x:f>H826*Z825*INDEX(tun_MortAdult,G826)*Arch_AdultMort/4*Q826</x:f>
        <x:v>0</x:v>
      </x:c>
      <x:c r="U826" s="9" t="n">
        <x:f>H826*AA825*INDEX(tun_MortElder,G826)/4*Q826</x:f>
        <x:v>0</x:v>
      </x:c>
      <x:c r="V826" s="9" t="n">
        <x:f>H826*MAX(0,AB825-O826)*tun_OvercapLoss</x:f>
        <x:v>0</x:v>
      </x:c>
      <x:c r="W826" s="9" t="n">
        <x:f>H826*Y825/(tun_ChildYears*4)</x:f>
        <x:v>0</x:v>
      </x:c>
      <x:c r="X826" s="9" t="n">
        <x:f>H826*Z825/(tun_AdultYears*4)</x:f>
        <x:v>0</x:v>
      </x:c>
      <x:c r="Y826" s="32" t="n">
        <x:f>Y825+R826-S826-W826-Y825*V826/AB825</x:f>
        <x:v>40496.20709015643</x:v>
      </x:c>
      <x:c r="Z826" s="32" t="n">
        <x:f>Z825+W826-X826-T826-Z825*V826/AB825</x:f>
        <x:v>59141.61122890803</x:v>
      </x:c>
      <x:c r="AA826" s="32" t="n">
        <x:f>AA825+X826-U826-AA825*V826/AB825</x:f>
        <x:v>45530.62410925061</x:v>
      </x:c>
      <x:c r="AB826" s="10" t="n">
        <x:f>Y826+Z826+AA826</x:f>
        <x:v>145168.44242831506</x:v>
      </x:c>
      <x:c r="AC826" s="8" t="n">
        <x:f>IF(AND(tun_WinterTrigger=1,D826=1,AB825/AE825&gt;=K826),1,0)</x:f>
        <x:v>0</x:v>
      </x:c>
      <x:c r="AD826" s="8" t="n">
        <x:f>H826*IF(AND(OR(AB825/AE825&gt;=tun_FissionTrigger*N826,AC826=1),AB825/AE825*tun_DaughterShare&gt;=tun_MinDaughter),MAX(1,ROUND(AE825*tun_FissionRate,0)),0)</x:f>
        <x:v>0</x:v>
      </x:c>
      <x:c r="AE826" s="8" t="n">
        <x:f>IF(H826=1,MAX(1,MIN(INDEX(tun_Smax,G826),AE825+AD826)),AE825)</x:f>
        <x:v>9</x:v>
      </x:c>
      <x:c r="AF826" s="8" t="n">
        <x:f>MAX(0,AE826-AE825)</x:f>
        <x:v>0</x:v>
      </x:c>
      <x:c r="AG826" s="9" t="str">
        <x:f>IF(AF826&gt;0,B826,"")</x:f>
      </x:c>
      <x:c r="AH826" s="9" t="n">
        <x:f>IF(F826&gt;=1,1,(1+tun_LowTiesShare*(AE826-1))/AE826)</x:f>
        <x:v>1</x:v>
      </x:c>
      <x:c r="AI826" s="32" t="n">
        <x:f>(Z826+tun_ElderCommons*INDEX(LM_Elder,G826)*AA826)*AH826</x:f>
        <x:v>238215.0665857503</x:v>
      </x:c>
      <x:c r="AJ826" s="32" t="n">
        <x:f>H826*tun_CommonsCoef*AI826^tun_CommonsExp*INDEX(LM_Commons,G826)</x:f>
        <x:v>0</x:v>
      </x:c>
      <x:c r="AK826" s="32" t="n">
        <x:f>H826*tun_RoleScale*Arch_Roles*(AE826*(INDEX(tun_ElderRolePerSett,G826)*tun_OutElder*INDEX(LM_Elder,G826)+INDEX(tun_ShamanPerSett,G826)*tun_OutShaman)+Z826*(INDEX(tun_PriestShare,G826)*tun_OutPriest+INDEX(tun_ScribeShare,G826)*tun_OutScribe*INDEX(LM_Scribe,G826)+INDEX(tun_ScholarShare,G826)*tun_OutScholar*INDEX(LM_Scholar,G826)+INDEX(tun_ResearcherShare,G826)*tun_OutResearcher*INDEX(LM_Researcher,G826)))</x:f>
        <x:v>0</x:v>
      </x:c>
      <x:c r="AL826" s="32" t="n">
        <x:f>H826*tun_RoleScale*Arch_Roles*AE826*INDEX(tun_MonasteryPerSett,G826)*tun_OutMonastery*INDEX(LM_Monastery,G826)</x:f>
        <x:v>0</x:v>
      </x:c>
      <x:c r="AM826" s="32" t="n">
        <x:f>(AJ826+AK826+AL826)/4*INDEX(LM_All,G826)*INDEX(tun_Boon,G826)*Arch_Insight</x:f>
        <x:v>0</x:v>
      </x:c>
      <x:c r="AN826" s="32" t="n">
        <x:f>H826*(tun_KHPerAdult*Z826+tun_KHOfCommons*AJ826/4*INDEX(LM_All,G826))*tun_KHUsable*Arch_KH</x:f>
        <x:v>0</x:v>
      </x:c>
      <x:c r="AO826" s="32" t="n">
        <x:f>MIN(AP825+AN826,AM826*tun_KHMaxRatio)</x:f>
        <x:v>0</x:v>
      </x:c>
      <x:c r="AP826" s="32" t="n">
        <x:f>AP825+AN826-AO826</x:f>
        <x:v>0</x:v>
      </x:c>
      <x:c r="AQ826" s="32" t="n">
        <x:f>AM826+AO826</x:f>
        <x:v>0</x:v>
      </x:c>
      <x:c r="AR826" s="10" t="n">
        <x:f>IF(H826=1,INDEX(tun_Req,G826),0)</x:f>
        <x:v>0</x:v>
      </x:c>
      <x:c r="AS826" s="32" t="n">
        <x:f>IF(H826=1,IF(E826=1,AS825-AR825,AS825)+AQ826,0)</x:f>
        <x:v>0</x:v>
      </x:c>
      <x:c r="AT826" s="11" t="n">
        <x:f>IF(AR826&gt;0,MIN(1,AS826/AR826),1)</x:f>
        <x:v>1</x:v>
      </x:c>
      <x:c r="AU826" s="10" t="n">
        <x:f>AB826/INDEX(tun_RepScale,G826)</x:f>
        <x:v>290.3368848566301</x:v>
      </x:c>
      <x:c r="AV826" s="32" t="n">
        <x:f>AM826*60/tun_SeasonSeconds</x:f>
        <x:v>0</x:v>
      </x:c>
    </x:row>
    <x:row r="827">
      <x:c r="A827" s="8" t="n">
        <x:f>A826+1</x:f>
        <x:v>824</x:v>
      </x:c>
      <x:c r="B827" s="9" t="n">
        <x:f>A827*tun_SeasonSeconds/60</x:f>
        <x:v>206</x:v>
      </x:c>
      <x:c r="C827" s="9" t="n">
        <x:f>A827/4</x:f>
        <x:v>206</x:v>
      </x:c>
      <x:c r="D827" s="8" t="n">
        <x:f>IF(MOD(A827,4)=0,1,0)</x:f>
        <x:v>1</x:v>
      </x:c>
      <x:c r="E827" s="8" t="n">
        <x:f>IF(AND(F826&lt;=9,AS826&gt;=AR826),1,0)</x:f>
        <x:v>0</x:v>
      </x:c>
      <x:c r="F827" s="8" t="n">
        <x:f>MIN(10,F826+E827)</x:f>
        <x:v>10</x:v>
      </x:c>
      <x:c r="G827" s="8" t="n">
        <x:f>MIN(F827,9)+1</x:f>
        <x:v>10</x:v>
      </x:c>
      <x:c r="H827" s="8" t="n">
        <x:f>IF(F827&lt;=9,1,0)</x:f>
        <x:v>0</x:v>
      </x:c>
      <x:c r="I827" s="9" t="n">
        <x:f>MIN(10,F826+IF(AR826&gt;0,MIN(1,AS826/AR826),1))</x:f>
        <x:v>10</x:v>
      </x:c>
      <x:c r="J827" s="32" t="n">
        <x:f>INDEX(tun_FoodCap,G827)*Arch_FoodCap*EXP(tun_CapsByProject*SUMPRODUCT((Cap_Point&lt;=I827)*(Cap_Kind="Food")*Cap_Ln))</x:f>
        <x:v>18627.260449441455</x:v>
      </x:c>
      <x:c r="K827" s="32" t="n">
        <x:f>J827*MIN(1,tun_LeanBase*EXP(tun_CapsByProject*SUMPRODUCT((Cap_Point&lt;=I827)*(Cap_Kind="Lean")*Cap_Ln)))</x:f>
        <x:v>18627.260449441455</x:v>
      </x:c>
      <x:c r="L827" s="10" t="n">
        <x:f>INDEX(tun_HousingCap,G827)*EXP(tun_CapsByProject*SUMPRODUCT((Cap_Point&lt;=I827)*(Cap_Kind="Housing")*Cap_Ln))</x:f>
        <x:v>20528.974303173167</x:v>
      </x:c>
      <x:c r="M827" s="10" t="n">
        <x:f>INDEX(tun_GroupCap,G827)*tun_CohesionFactor*EXP(tun_CapsByProject*SUMPRODUCT((Cap_Point&lt;=I827)*(Cap_Kind="Group")*Cap_Ln))</x:f>
        <x:v>1000000.000000001</x:v>
      </x:c>
      <x:c r="N827" s="32" t="n">
        <x:f>MIN(J827,L827,M827)</x:f>
        <x:v>18627.260449441455</x:v>
      </x:c>
      <x:c r="O827" s="10" t="n">
        <x:f>AE826*N827</x:f>
        <x:v>167645.34404497308</x:v>
      </x:c>
      <x:c r="P827" s="9" t="n">
        <x:f>MIN(1,(AB826/(AE826*IF(tun_GroupInCrowding=1,N827,MIN(J827,L827))))^tun_CrowdingExp)</x:f>
        <x:v>0.4215841981292809</x:v>
      </x:c>
      <x:c r="Q827" s="9" t="n">
        <x:f>IF(D827=1,INDEX(tun_WinterMult,G827),1)</x:f>
        <x:v>1.05</x:v>
      </x:c>
      <x:c r="R827" s="9" t="n">
        <x:f>H827*Z826*tun_WomenShare*tun_BaseFertility*INDEX(tun_FertMult,G827)*Arch_Fertility*(1-P827)</x:f>
        <x:v>0</x:v>
      </x:c>
      <x:c r="S827" s="9" t="n">
        <x:f>H827*Y826*INDEX(tun_MortChild,G827)/4*Q827</x:f>
        <x:v>0</x:v>
      </x:c>
      <x:c r="T827" s="9" t="n">
        <x:f>H827*Z826*INDEX(tun_MortAdult,G827)*Arch_AdultMort/4*Q827</x:f>
        <x:v>0</x:v>
      </x:c>
      <x:c r="U827" s="9" t="n">
        <x:f>H827*AA826*INDEX(tun_MortElder,G827)/4*Q827</x:f>
        <x:v>0</x:v>
      </x:c>
      <x:c r="V827" s="9" t="n">
        <x:f>H827*MAX(0,AB826-O827)*tun_OvercapLoss</x:f>
        <x:v>0</x:v>
      </x:c>
      <x:c r="W827" s="9" t="n">
        <x:f>H827*Y826/(tun_ChildYears*4)</x:f>
        <x:v>0</x:v>
      </x:c>
      <x:c r="X827" s="9" t="n">
        <x:f>H827*Z826/(tun_AdultYears*4)</x:f>
        <x:v>0</x:v>
      </x:c>
      <x:c r="Y827" s="32" t="n">
        <x:f>Y826+R827-S827-W827-Y826*V827/AB826</x:f>
        <x:v>40496.20709015643</x:v>
      </x:c>
      <x:c r="Z827" s="32" t="n">
        <x:f>Z826+W827-X827-T827-Z826*V827/AB826</x:f>
        <x:v>59141.61122890803</x:v>
      </x:c>
      <x:c r="AA827" s="32" t="n">
        <x:f>AA826+X827-U827-AA826*V827/AB826</x:f>
        <x:v>45530.62410925061</x:v>
      </x:c>
      <x:c r="AB827" s="10" t="n">
        <x:f>Y827+Z827+AA827</x:f>
        <x:v>145168.44242831506</x:v>
      </x:c>
      <x:c r="AC827" s="8" t="n">
        <x:f>IF(AND(tun_WinterTrigger=1,D827=1,AB826/AE826&gt;=K827),1,0)</x:f>
        <x:v>0</x:v>
      </x:c>
      <x:c r="AD827" s="8" t="n">
        <x:f>H827*IF(AND(OR(AB826/AE826&gt;=tun_FissionTrigger*N827,AC827=1),AB826/AE826*tun_DaughterShare&gt;=tun_MinDaughter),MAX(1,ROUND(AE826*tun_FissionRate,0)),0)</x:f>
        <x:v>0</x:v>
      </x:c>
      <x:c r="AE827" s="8" t="n">
        <x:f>IF(H827=1,MAX(1,MIN(INDEX(tun_Smax,G827),AE826+AD827)),AE826)</x:f>
        <x:v>9</x:v>
      </x:c>
      <x:c r="AF827" s="8" t="n">
        <x:f>MAX(0,AE827-AE826)</x:f>
        <x:v>0</x:v>
      </x:c>
      <x:c r="AG827" s="9" t="str">
        <x:f>IF(AF827&gt;0,B827,"")</x:f>
      </x:c>
      <x:c r="AH827" s="9" t="n">
        <x:f>IF(F827&gt;=1,1,(1+tun_LowTiesShare*(AE827-1))/AE827)</x:f>
        <x:v>1</x:v>
      </x:c>
      <x:c r="AI827" s="32" t="n">
        <x:f>(Z827+tun_ElderCommons*INDEX(LM_Elder,G827)*AA827)*AH827</x:f>
        <x:v>238215.0665857503</x:v>
      </x:c>
      <x:c r="AJ827" s="32" t="n">
        <x:f>H827*tun_CommonsCoef*AI827^tun_CommonsExp*INDEX(LM_Commons,G827)</x:f>
        <x:v>0</x:v>
      </x:c>
      <x:c r="AK827" s="32" t="n">
        <x:f>H827*tun_RoleScale*Arch_Roles*(AE827*(INDEX(tun_ElderRolePerSett,G827)*tun_OutElder*INDEX(LM_Elder,G827)+INDEX(tun_ShamanPerSett,G827)*tun_OutShaman)+Z827*(INDEX(tun_PriestShare,G827)*tun_OutPriest+INDEX(tun_ScribeShare,G827)*tun_OutScribe*INDEX(LM_Scribe,G827)+INDEX(tun_ScholarShare,G827)*tun_OutScholar*INDEX(LM_Scholar,G827)+INDEX(tun_ResearcherShare,G827)*tun_OutResearcher*INDEX(LM_Researcher,G827)))</x:f>
        <x:v>0</x:v>
      </x:c>
      <x:c r="AL827" s="32" t="n">
        <x:f>H827*tun_RoleScale*Arch_Roles*AE827*INDEX(tun_MonasteryPerSett,G827)*tun_OutMonastery*INDEX(LM_Monastery,G827)</x:f>
        <x:v>0</x:v>
      </x:c>
      <x:c r="AM827" s="32" t="n">
        <x:f>(AJ827+AK827+AL827)/4*INDEX(LM_All,G827)*INDEX(tun_Boon,G827)*Arch_Insight</x:f>
        <x:v>0</x:v>
      </x:c>
      <x:c r="AN827" s="32" t="n">
        <x:f>H827*(tun_KHPerAdult*Z827+tun_KHOfCommons*AJ827/4*INDEX(LM_All,G827))*tun_KHUsable*Arch_KH</x:f>
        <x:v>0</x:v>
      </x:c>
      <x:c r="AO827" s="32" t="n">
        <x:f>MIN(AP826+AN827,AM827*tun_KHMaxRatio)</x:f>
        <x:v>0</x:v>
      </x:c>
      <x:c r="AP827" s="32" t="n">
        <x:f>AP826+AN827-AO827</x:f>
        <x:v>0</x:v>
      </x:c>
      <x:c r="AQ827" s="32" t="n">
        <x:f>AM827+AO827</x:f>
        <x:v>0</x:v>
      </x:c>
      <x:c r="AR827" s="10" t="n">
        <x:f>IF(H827=1,INDEX(tun_Req,G827),0)</x:f>
        <x:v>0</x:v>
      </x:c>
      <x:c r="AS827" s="32" t="n">
        <x:f>IF(H827=1,IF(E827=1,AS826-AR826,AS826)+AQ827,0)</x:f>
        <x:v>0</x:v>
      </x:c>
      <x:c r="AT827" s="11" t="n">
        <x:f>IF(AR827&gt;0,MIN(1,AS827/AR827),1)</x:f>
        <x:v>1</x:v>
      </x:c>
      <x:c r="AU827" s="10" t="n">
        <x:f>AB827/INDEX(tun_RepScale,G827)</x:f>
        <x:v>290.3368848566301</x:v>
      </x:c>
      <x:c r="AV827" s="32" t="n">
        <x:f>AM827*60/tun_SeasonSeconds</x:f>
        <x:v>0</x:v>
      </x:c>
    </x:row>
    <x:row r="828">
      <x:c r="A828" s="8" t="n">
        <x:f>A827+1</x:f>
        <x:v>825</x:v>
      </x:c>
      <x:c r="B828" s="9" t="n">
        <x:f>A828*tun_SeasonSeconds/60</x:f>
        <x:v>206.25</x:v>
      </x:c>
      <x:c r="C828" s="9" t="n">
        <x:f>A828/4</x:f>
        <x:v>206.25</x:v>
      </x:c>
      <x:c r="D828" s="8" t="n">
        <x:f>IF(MOD(A828,4)=0,1,0)</x:f>
        <x:v>0</x:v>
      </x:c>
      <x:c r="E828" s="8" t="n">
        <x:f>IF(AND(F827&lt;=9,AS827&gt;=AR827),1,0)</x:f>
        <x:v>0</x:v>
      </x:c>
      <x:c r="F828" s="8" t="n">
        <x:f>MIN(10,F827+E828)</x:f>
        <x:v>10</x:v>
      </x:c>
      <x:c r="G828" s="8" t="n">
        <x:f>MIN(F828,9)+1</x:f>
        <x:v>10</x:v>
      </x:c>
      <x:c r="H828" s="8" t="n">
        <x:f>IF(F828&lt;=9,1,0)</x:f>
        <x:v>0</x:v>
      </x:c>
      <x:c r="I828" s="9" t="n">
        <x:f>MIN(10,F827+IF(AR827&gt;0,MIN(1,AS827/AR827),1))</x:f>
        <x:v>10</x:v>
      </x:c>
      <x:c r="J828" s="32" t="n">
        <x:f>INDEX(tun_FoodCap,G828)*Arch_FoodCap*EXP(tun_CapsByProject*SUMPRODUCT((Cap_Point&lt;=I828)*(Cap_Kind="Food")*Cap_Ln))</x:f>
        <x:v>18627.260449441455</x:v>
      </x:c>
      <x:c r="K828" s="32" t="n">
        <x:f>J828*MIN(1,tun_LeanBase*EXP(tun_CapsByProject*SUMPRODUCT((Cap_Point&lt;=I828)*(Cap_Kind="Lean")*Cap_Ln)))</x:f>
        <x:v>18627.260449441455</x:v>
      </x:c>
      <x:c r="L828" s="10" t="n">
        <x:f>INDEX(tun_HousingCap,G828)*EXP(tun_CapsByProject*SUMPRODUCT((Cap_Point&lt;=I828)*(Cap_Kind="Housing")*Cap_Ln))</x:f>
        <x:v>20528.974303173167</x:v>
      </x:c>
      <x:c r="M828" s="10" t="n">
        <x:f>INDEX(tun_GroupCap,G828)*tun_CohesionFactor*EXP(tun_CapsByProject*SUMPRODUCT((Cap_Point&lt;=I828)*(Cap_Kind="Group")*Cap_Ln))</x:f>
        <x:v>1000000.000000001</x:v>
      </x:c>
      <x:c r="N828" s="32" t="n">
        <x:f>MIN(J828,L828,M828)</x:f>
        <x:v>18627.260449441455</x:v>
      </x:c>
      <x:c r="O828" s="10" t="n">
        <x:f>AE827*N828</x:f>
        <x:v>167645.34404497308</x:v>
      </x:c>
      <x:c r="P828" s="9" t="n">
        <x:f>MIN(1,(AB827/(AE827*IF(tun_GroupInCrowding=1,N828,MIN(J828,L828))))^tun_CrowdingExp)</x:f>
        <x:v>0.4215841981292809</x:v>
      </x:c>
      <x:c r="Q828" s="9" t="n">
        <x:f>IF(D828=1,INDEX(tun_WinterMult,G828),1)</x:f>
        <x:v>1</x:v>
      </x:c>
      <x:c r="R828" s="9" t="n">
        <x:f>H828*Z827*tun_WomenShare*tun_BaseFertility*INDEX(tun_FertMult,G828)*Arch_Fertility*(1-P828)</x:f>
        <x:v>0</x:v>
      </x:c>
      <x:c r="S828" s="9" t="n">
        <x:f>H828*Y827*INDEX(tun_MortChild,G828)/4*Q828</x:f>
        <x:v>0</x:v>
      </x:c>
      <x:c r="T828" s="9" t="n">
        <x:f>H828*Z827*INDEX(tun_MortAdult,G828)*Arch_AdultMort/4*Q828</x:f>
        <x:v>0</x:v>
      </x:c>
      <x:c r="U828" s="9" t="n">
        <x:f>H828*AA827*INDEX(tun_MortElder,G828)/4*Q828</x:f>
        <x:v>0</x:v>
      </x:c>
      <x:c r="V828" s="9" t="n">
        <x:f>H828*MAX(0,AB827-O828)*tun_OvercapLoss</x:f>
        <x:v>0</x:v>
      </x:c>
      <x:c r="W828" s="9" t="n">
        <x:f>H828*Y827/(tun_ChildYears*4)</x:f>
        <x:v>0</x:v>
      </x:c>
      <x:c r="X828" s="9" t="n">
        <x:f>H828*Z827/(tun_AdultYears*4)</x:f>
        <x:v>0</x:v>
      </x:c>
      <x:c r="Y828" s="32" t="n">
        <x:f>Y827+R828-S828-W828-Y827*V828/AB827</x:f>
        <x:v>40496.20709015643</x:v>
      </x:c>
      <x:c r="Z828" s="32" t="n">
        <x:f>Z827+W828-X828-T828-Z827*V828/AB827</x:f>
        <x:v>59141.61122890803</x:v>
      </x:c>
      <x:c r="AA828" s="32" t="n">
        <x:f>AA827+X828-U828-AA827*V828/AB827</x:f>
        <x:v>45530.62410925061</x:v>
      </x:c>
      <x:c r="AB828" s="10" t="n">
        <x:f>Y828+Z828+AA828</x:f>
        <x:v>145168.44242831506</x:v>
      </x:c>
      <x:c r="AC828" s="8" t="n">
        <x:f>IF(AND(tun_WinterTrigger=1,D828=1,AB827/AE827&gt;=K828),1,0)</x:f>
        <x:v>0</x:v>
      </x:c>
      <x:c r="AD828" s="8" t="n">
        <x:f>H828*IF(AND(OR(AB827/AE827&gt;=tun_FissionTrigger*N828,AC828=1),AB827/AE827*tun_DaughterShare&gt;=tun_MinDaughter),MAX(1,ROUND(AE827*tun_FissionRate,0)),0)</x:f>
        <x:v>0</x:v>
      </x:c>
      <x:c r="AE828" s="8" t="n">
        <x:f>IF(H828=1,MAX(1,MIN(INDEX(tun_Smax,G828),AE827+AD828)),AE827)</x:f>
        <x:v>9</x:v>
      </x:c>
      <x:c r="AF828" s="8" t="n">
        <x:f>MAX(0,AE828-AE827)</x:f>
        <x:v>0</x:v>
      </x:c>
      <x:c r="AG828" s="9" t="str">
        <x:f>IF(AF828&gt;0,B828,"")</x:f>
      </x:c>
      <x:c r="AH828" s="9" t="n">
        <x:f>IF(F828&gt;=1,1,(1+tun_LowTiesShare*(AE828-1))/AE828)</x:f>
        <x:v>1</x:v>
      </x:c>
      <x:c r="AI828" s="32" t="n">
        <x:f>(Z828+tun_ElderCommons*INDEX(LM_Elder,G828)*AA828)*AH828</x:f>
        <x:v>238215.0665857503</x:v>
      </x:c>
      <x:c r="AJ828" s="32" t="n">
        <x:f>H828*tun_CommonsCoef*AI828^tun_CommonsExp*INDEX(LM_Commons,G828)</x:f>
        <x:v>0</x:v>
      </x:c>
      <x:c r="AK828" s="32" t="n">
        <x:f>H828*tun_RoleScale*Arch_Roles*(AE828*(INDEX(tun_ElderRolePerSett,G828)*tun_OutElder*INDEX(LM_Elder,G828)+INDEX(tun_ShamanPerSett,G828)*tun_OutShaman)+Z828*(INDEX(tun_PriestShare,G828)*tun_OutPriest+INDEX(tun_ScribeShare,G828)*tun_OutScribe*INDEX(LM_Scribe,G828)+INDEX(tun_ScholarShare,G828)*tun_OutScholar*INDEX(LM_Scholar,G828)+INDEX(tun_ResearcherShare,G828)*tun_OutResearcher*INDEX(LM_Researcher,G828)))</x:f>
        <x:v>0</x:v>
      </x:c>
      <x:c r="AL828" s="32" t="n">
        <x:f>H828*tun_RoleScale*Arch_Roles*AE828*INDEX(tun_MonasteryPerSett,G828)*tun_OutMonastery*INDEX(LM_Monastery,G828)</x:f>
        <x:v>0</x:v>
      </x:c>
      <x:c r="AM828" s="32" t="n">
        <x:f>(AJ828+AK828+AL828)/4*INDEX(LM_All,G828)*INDEX(tun_Boon,G828)*Arch_Insight</x:f>
        <x:v>0</x:v>
      </x:c>
      <x:c r="AN828" s="32" t="n">
        <x:f>H828*(tun_KHPerAdult*Z828+tun_KHOfCommons*AJ828/4*INDEX(LM_All,G828))*tun_KHUsable*Arch_KH</x:f>
        <x:v>0</x:v>
      </x:c>
      <x:c r="AO828" s="32" t="n">
        <x:f>MIN(AP827+AN828,AM828*tun_KHMaxRatio)</x:f>
        <x:v>0</x:v>
      </x:c>
      <x:c r="AP828" s="32" t="n">
        <x:f>AP827+AN828-AO828</x:f>
        <x:v>0</x:v>
      </x:c>
      <x:c r="AQ828" s="32" t="n">
        <x:f>AM828+AO828</x:f>
        <x:v>0</x:v>
      </x:c>
      <x:c r="AR828" s="10" t="n">
        <x:f>IF(H828=1,INDEX(tun_Req,G828),0)</x:f>
        <x:v>0</x:v>
      </x:c>
      <x:c r="AS828" s="32" t="n">
        <x:f>IF(H828=1,IF(E828=1,AS827-AR827,AS827)+AQ828,0)</x:f>
        <x:v>0</x:v>
      </x:c>
      <x:c r="AT828" s="11" t="n">
        <x:f>IF(AR828&gt;0,MIN(1,AS828/AR828),1)</x:f>
        <x:v>1</x:v>
      </x:c>
      <x:c r="AU828" s="10" t="n">
        <x:f>AB828/INDEX(tun_RepScale,G828)</x:f>
        <x:v>290.3368848566301</x:v>
      </x:c>
      <x:c r="AV828" s="32" t="n">
        <x:f>AM828*60/tun_SeasonSeconds</x:f>
        <x:v>0</x:v>
      </x:c>
    </x:row>
    <x:row r="829">
      <x:c r="A829" s="8" t="n">
        <x:f>A828+1</x:f>
        <x:v>826</x:v>
      </x:c>
      <x:c r="B829" s="9" t="n">
        <x:f>A829*tun_SeasonSeconds/60</x:f>
        <x:v>206.5</x:v>
      </x:c>
      <x:c r="C829" s="9" t="n">
        <x:f>A829/4</x:f>
        <x:v>206.5</x:v>
      </x:c>
      <x:c r="D829" s="8" t="n">
        <x:f>IF(MOD(A829,4)=0,1,0)</x:f>
        <x:v>0</x:v>
      </x:c>
      <x:c r="E829" s="8" t="n">
        <x:f>IF(AND(F828&lt;=9,AS828&gt;=AR828),1,0)</x:f>
        <x:v>0</x:v>
      </x:c>
      <x:c r="F829" s="8" t="n">
        <x:f>MIN(10,F828+E829)</x:f>
        <x:v>10</x:v>
      </x:c>
      <x:c r="G829" s="8" t="n">
        <x:f>MIN(F829,9)+1</x:f>
        <x:v>10</x:v>
      </x:c>
      <x:c r="H829" s="8" t="n">
        <x:f>IF(F829&lt;=9,1,0)</x:f>
        <x:v>0</x:v>
      </x:c>
      <x:c r="I829" s="9" t="n">
        <x:f>MIN(10,F828+IF(AR828&gt;0,MIN(1,AS828/AR828),1))</x:f>
        <x:v>10</x:v>
      </x:c>
      <x:c r="J829" s="32" t="n">
        <x:f>INDEX(tun_FoodCap,G829)*Arch_FoodCap*EXP(tun_CapsByProject*SUMPRODUCT((Cap_Point&lt;=I829)*(Cap_Kind="Food")*Cap_Ln))</x:f>
        <x:v>18627.260449441455</x:v>
      </x:c>
      <x:c r="K829" s="32" t="n">
        <x:f>J829*MIN(1,tun_LeanBase*EXP(tun_CapsByProject*SUMPRODUCT((Cap_Point&lt;=I829)*(Cap_Kind="Lean")*Cap_Ln)))</x:f>
        <x:v>18627.260449441455</x:v>
      </x:c>
      <x:c r="L829" s="10" t="n">
        <x:f>INDEX(tun_HousingCap,G829)*EXP(tun_CapsByProject*SUMPRODUCT((Cap_Point&lt;=I829)*(Cap_Kind="Housing")*Cap_Ln))</x:f>
        <x:v>20528.974303173167</x:v>
      </x:c>
      <x:c r="M829" s="10" t="n">
        <x:f>INDEX(tun_GroupCap,G829)*tun_CohesionFactor*EXP(tun_CapsByProject*SUMPRODUCT((Cap_Point&lt;=I829)*(Cap_Kind="Group")*Cap_Ln))</x:f>
        <x:v>1000000.000000001</x:v>
      </x:c>
      <x:c r="N829" s="32" t="n">
        <x:f>MIN(J829,L829,M829)</x:f>
        <x:v>18627.260449441455</x:v>
      </x:c>
      <x:c r="O829" s="10" t="n">
        <x:f>AE828*N829</x:f>
        <x:v>167645.34404497308</x:v>
      </x:c>
      <x:c r="P829" s="9" t="n">
        <x:f>MIN(1,(AB828/(AE828*IF(tun_GroupInCrowding=1,N829,MIN(J829,L829))))^tun_CrowdingExp)</x:f>
        <x:v>0.4215841981292809</x:v>
      </x:c>
      <x:c r="Q829" s="9" t="n">
        <x:f>IF(D829=1,INDEX(tun_WinterMult,G829),1)</x:f>
        <x:v>1</x:v>
      </x:c>
      <x:c r="R829" s="9" t="n">
        <x:f>H829*Z828*tun_WomenShare*tun_BaseFertility*INDEX(tun_FertMult,G829)*Arch_Fertility*(1-P829)</x:f>
        <x:v>0</x:v>
      </x:c>
      <x:c r="S829" s="9" t="n">
        <x:f>H829*Y828*INDEX(tun_MortChild,G829)/4*Q829</x:f>
        <x:v>0</x:v>
      </x:c>
      <x:c r="T829" s="9" t="n">
        <x:f>H829*Z828*INDEX(tun_MortAdult,G829)*Arch_AdultMort/4*Q829</x:f>
        <x:v>0</x:v>
      </x:c>
      <x:c r="U829" s="9" t="n">
        <x:f>H829*AA828*INDEX(tun_MortElder,G829)/4*Q829</x:f>
        <x:v>0</x:v>
      </x:c>
      <x:c r="V829" s="9" t="n">
        <x:f>H829*MAX(0,AB828-O829)*tun_OvercapLoss</x:f>
        <x:v>0</x:v>
      </x:c>
      <x:c r="W829" s="9" t="n">
        <x:f>H829*Y828/(tun_ChildYears*4)</x:f>
        <x:v>0</x:v>
      </x:c>
      <x:c r="X829" s="9" t="n">
        <x:f>H829*Z828/(tun_AdultYears*4)</x:f>
        <x:v>0</x:v>
      </x:c>
      <x:c r="Y829" s="32" t="n">
        <x:f>Y828+R829-S829-W829-Y828*V829/AB828</x:f>
        <x:v>40496.20709015643</x:v>
      </x:c>
      <x:c r="Z829" s="32" t="n">
        <x:f>Z828+W829-X829-T829-Z828*V829/AB828</x:f>
        <x:v>59141.61122890803</x:v>
      </x:c>
      <x:c r="AA829" s="32" t="n">
        <x:f>AA828+X829-U829-AA828*V829/AB828</x:f>
        <x:v>45530.62410925061</x:v>
      </x:c>
      <x:c r="AB829" s="10" t="n">
        <x:f>Y829+Z829+AA829</x:f>
        <x:v>145168.44242831506</x:v>
      </x:c>
      <x:c r="AC829" s="8" t="n">
        <x:f>IF(AND(tun_WinterTrigger=1,D829=1,AB828/AE828&gt;=K829),1,0)</x:f>
        <x:v>0</x:v>
      </x:c>
      <x:c r="AD829" s="8" t="n">
        <x:f>H829*IF(AND(OR(AB828/AE828&gt;=tun_FissionTrigger*N829,AC829=1),AB828/AE828*tun_DaughterShare&gt;=tun_MinDaughter),MAX(1,ROUND(AE828*tun_FissionRate,0)),0)</x:f>
        <x:v>0</x:v>
      </x:c>
      <x:c r="AE829" s="8" t="n">
        <x:f>IF(H829=1,MAX(1,MIN(INDEX(tun_Smax,G829),AE828+AD829)),AE828)</x:f>
        <x:v>9</x:v>
      </x:c>
      <x:c r="AF829" s="8" t="n">
        <x:f>MAX(0,AE829-AE828)</x:f>
        <x:v>0</x:v>
      </x:c>
      <x:c r="AG829" s="9" t="str">
        <x:f>IF(AF829&gt;0,B829,"")</x:f>
      </x:c>
      <x:c r="AH829" s="9" t="n">
        <x:f>IF(F829&gt;=1,1,(1+tun_LowTiesShare*(AE829-1))/AE829)</x:f>
        <x:v>1</x:v>
      </x:c>
      <x:c r="AI829" s="32" t="n">
        <x:f>(Z829+tun_ElderCommons*INDEX(LM_Elder,G829)*AA829)*AH829</x:f>
        <x:v>238215.0665857503</x:v>
      </x:c>
      <x:c r="AJ829" s="32" t="n">
        <x:f>H829*tun_CommonsCoef*AI829^tun_CommonsExp*INDEX(LM_Commons,G829)</x:f>
        <x:v>0</x:v>
      </x:c>
      <x:c r="AK829" s="32" t="n">
        <x:f>H829*tun_RoleScale*Arch_Roles*(AE829*(INDEX(tun_ElderRolePerSett,G829)*tun_OutElder*INDEX(LM_Elder,G829)+INDEX(tun_ShamanPerSett,G829)*tun_OutShaman)+Z829*(INDEX(tun_PriestShare,G829)*tun_OutPriest+INDEX(tun_ScribeShare,G829)*tun_OutScribe*INDEX(LM_Scribe,G829)+INDEX(tun_ScholarShare,G829)*tun_OutScholar*INDEX(LM_Scholar,G829)+INDEX(tun_ResearcherShare,G829)*tun_OutResearcher*INDEX(LM_Researcher,G829)))</x:f>
        <x:v>0</x:v>
      </x:c>
      <x:c r="AL829" s="32" t="n">
        <x:f>H829*tun_RoleScale*Arch_Roles*AE829*INDEX(tun_MonasteryPerSett,G829)*tun_OutMonastery*INDEX(LM_Monastery,G829)</x:f>
        <x:v>0</x:v>
      </x:c>
      <x:c r="AM829" s="32" t="n">
        <x:f>(AJ829+AK829+AL829)/4*INDEX(LM_All,G829)*INDEX(tun_Boon,G829)*Arch_Insight</x:f>
        <x:v>0</x:v>
      </x:c>
      <x:c r="AN829" s="32" t="n">
        <x:f>H829*(tun_KHPerAdult*Z829+tun_KHOfCommons*AJ829/4*INDEX(LM_All,G829))*tun_KHUsable*Arch_KH</x:f>
        <x:v>0</x:v>
      </x:c>
      <x:c r="AO829" s="32" t="n">
        <x:f>MIN(AP828+AN829,AM829*tun_KHMaxRatio)</x:f>
        <x:v>0</x:v>
      </x:c>
      <x:c r="AP829" s="32" t="n">
        <x:f>AP828+AN829-AO829</x:f>
        <x:v>0</x:v>
      </x:c>
      <x:c r="AQ829" s="32" t="n">
        <x:f>AM829+AO829</x:f>
        <x:v>0</x:v>
      </x:c>
      <x:c r="AR829" s="10" t="n">
        <x:f>IF(H829=1,INDEX(tun_Req,G829),0)</x:f>
        <x:v>0</x:v>
      </x:c>
      <x:c r="AS829" s="32" t="n">
        <x:f>IF(H829=1,IF(E829=1,AS828-AR828,AS828)+AQ829,0)</x:f>
        <x:v>0</x:v>
      </x:c>
      <x:c r="AT829" s="11" t="n">
        <x:f>IF(AR829&gt;0,MIN(1,AS829/AR829),1)</x:f>
        <x:v>1</x:v>
      </x:c>
      <x:c r="AU829" s="10" t="n">
        <x:f>AB829/INDEX(tun_RepScale,G829)</x:f>
        <x:v>290.3368848566301</x:v>
      </x:c>
      <x:c r="AV829" s="32" t="n">
        <x:f>AM829*60/tun_SeasonSeconds</x:f>
        <x:v>0</x:v>
      </x:c>
    </x:row>
    <x:row r="830">
      <x:c r="A830" s="8" t="n">
        <x:f>A829+1</x:f>
        <x:v>827</x:v>
      </x:c>
      <x:c r="B830" s="9" t="n">
        <x:f>A830*tun_SeasonSeconds/60</x:f>
        <x:v>206.75</x:v>
      </x:c>
      <x:c r="C830" s="9" t="n">
        <x:f>A830/4</x:f>
        <x:v>206.75</x:v>
      </x:c>
      <x:c r="D830" s="8" t="n">
        <x:f>IF(MOD(A830,4)=0,1,0)</x:f>
        <x:v>0</x:v>
      </x:c>
      <x:c r="E830" s="8" t="n">
        <x:f>IF(AND(F829&lt;=9,AS829&gt;=AR829),1,0)</x:f>
        <x:v>0</x:v>
      </x:c>
      <x:c r="F830" s="8" t="n">
        <x:f>MIN(10,F829+E830)</x:f>
        <x:v>10</x:v>
      </x:c>
      <x:c r="G830" s="8" t="n">
        <x:f>MIN(F830,9)+1</x:f>
        <x:v>10</x:v>
      </x:c>
      <x:c r="H830" s="8" t="n">
        <x:f>IF(F830&lt;=9,1,0)</x:f>
        <x:v>0</x:v>
      </x:c>
      <x:c r="I830" s="9" t="n">
        <x:f>MIN(10,F829+IF(AR829&gt;0,MIN(1,AS829/AR829),1))</x:f>
        <x:v>10</x:v>
      </x:c>
      <x:c r="J830" s="32" t="n">
        <x:f>INDEX(tun_FoodCap,G830)*Arch_FoodCap*EXP(tun_CapsByProject*SUMPRODUCT((Cap_Point&lt;=I830)*(Cap_Kind="Food")*Cap_Ln))</x:f>
        <x:v>18627.260449441455</x:v>
      </x:c>
      <x:c r="K830" s="32" t="n">
        <x:f>J830*MIN(1,tun_LeanBase*EXP(tun_CapsByProject*SUMPRODUCT((Cap_Point&lt;=I830)*(Cap_Kind="Lean")*Cap_Ln)))</x:f>
        <x:v>18627.260449441455</x:v>
      </x:c>
      <x:c r="L830" s="10" t="n">
        <x:f>INDEX(tun_HousingCap,G830)*EXP(tun_CapsByProject*SUMPRODUCT((Cap_Point&lt;=I830)*(Cap_Kind="Housing")*Cap_Ln))</x:f>
        <x:v>20528.974303173167</x:v>
      </x:c>
      <x:c r="M830" s="10" t="n">
        <x:f>INDEX(tun_GroupCap,G830)*tun_CohesionFactor*EXP(tun_CapsByProject*SUMPRODUCT((Cap_Point&lt;=I830)*(Cap_Kind="Group")*Cap_Ln))</x:f>
        <x:v>1000000.000000001</x:v>
      </x:c>
      <x:c r="N830" s="32" t="n">
        <x:f>MIN(J830,L830,M830)</x:f>
        <x:v>18627.260449441455</x:v>
      </x:c>
      <x:c r="O830" s="10" t="n">
        <x:f>AE829*N830</x:f>
        <x:v>167645.34404497308</x:v>
      </x:c>
      <x:c r="P830" s="9" t="n">
        <x:f>MIN(1,(AB829/(AE829*IF(tun_GroupInCrowding=1,N830,MIN(J830,L830))))^tun_CrowdingExp)</x:f>
        <x:v>0.4215841981292809</x:v>
      </x:c>
      <x:c r="Q830" s="9" t="n">
        <x:f>IF(D830=1,INDEX(tun_WinterMult,G830),1)</x:f>
        <x:v>1</x:v>
      </x:c>
      <x:c r="R830" s="9" t="n">
        <x:f>H830*Z829*tun_WomenShare*tun_BaseFertility*INDEX(tun_FertMult,G830)*Arch_Fertility*(1-P830)</x:f>
        <x:v>0</x:v>
      </x:c>
      <x:c r="S830" s="9" t="n">
        <x:f>H830*Y829*INDEX(tun_MortChild,G830)/4*Q830</x:f>
        <x:v>0</x:v>
      </x:c>
      <x:c r="T830" s="9" t="n">
        <x:f>H830*Z829*INDEX(tun_MortAdult,G830)*Arch_AdultMort/4*Q830</x:f>
        <x:v>0</x:v>
      </x:c>
      <x:c r="U830" s="9" t="n">
        <x:f>H830*AA829*INDEX(tun_MortElder,G830)/4*Q830</x:f>
        <x:v>0</x:v>
      </x:c>
      <x:c r="V830" s="9" t="n">
        <x:f>H830*MAX(0,AB829-O830)*tun_OvercapLoss</x:f>
        <x:v>0</x:v>
      </x:c>
      <x:c r="W830" s="9" t="n">
        <x:f>H830*Y829/(tun_ChildYears*4)</x:f>
        <x:v>0</x:v>
      </x:c>
      <x:c r="X830" s="9" t="n">
        <x:f>H830*Z829/(tun_AdultYears*4)</x:f>
        <x:v>0</x:v>
      </x:c>
      <x:c r="Y830" s="32" t="n">
        <x:f>Y829+R830-S830-W830-Y829*V830/AB829</x:f>
        <x:v>40496.20709015643</x:v>
      </x:c>
      <x:c r="Z830" s="32" t="n">
        <x:f>Z829+W830-X830-T830-Z829*V830/AB829</x:f>
        <x:v>59141.61122890803</x:v>
      </x:c>
      <x:c r="AA830" s="32" t="n">
        <x:f>AA829+X830-U830-AA829*V830/AB829</x:f>
        <x:v>45530.62410925061</x:v>
      </x:c>
      <x:c r="AB830" s="10" t="n">
        <x:f>Y830+Z830+AA830</x:f>
        <x:v>145168.44242831506</x:v>
      </x:c>
      <x:c r="AC830" s="8" t="n">
        <x:f>IF(AND(tun_WinterTrigger=1,D830=1,AB829/AE829&gt;=K830),1,0)</x:f>
        <x:v>0</x:v>
      </x:c>
      <x:c r="AD830" s="8" t="n">
        <x:f>H830*IF(AND(OR(AB829/AE829&gt;=tun_FissionTrigger*N830,AC830=1),AB829/AE829*tun_DaughterShare&gt;=tun_MinDaughter),MAX(1,ROUND(AE829*tun_FissionRate,0)),0)</x:f>
        <x:v>0</x:v>
      </x:c>
      <x:c r="AE830" s="8" t="n">
        <x:f>IF(H830=1,MAX(1,MIN(INDEX(tun_Smax,G830),AE829+AD830)),AE829)</x:f>
        <x:v>9</x:v>
      </x:c>
      <x:c r="AF830" s="8" t="n">
        <x:f>MAX(0,AE830-AE829)</x:f>
        <x:v>0</x:v>
      </x:c>
      <x:c r="AG830" s="9" t="str">
        <x:f>IF(AF830&gt;0,B830,"")</x:f>
      </x:c>
      <x:c r="AH830" s="9" t="n">
        <x:f>IF(F830&gt;=1,1,(1+tun_LowTiesShare*(AE830-1))/AE830)</x:f>
        <x:v>1</x:v>
      </x:c>
      <x:c r="AI830" s="32" t="n">
        <x:f>(Z830+tun_ElderCommons*INDEX(LM_Elder,G830)*AA830)*AH830</x:f>
        <x:v>238215.0665857503</x:v>
      </x:c>
      <x:c r="AJ830" s="32" t="n">
        <x:f>H830*tun_CommonsCoef*AI830^tun_CommonsExp*INDEX(LM_Commons,G830)</x:f>
        <x:v>0</x:v>
      </x:c>
      <x:c r="AK830" s="32" t="n">
        <x:f>H830*tun_RoleScale*Arch_Roles*(AE830*(INDEX(tun_ElderRolePerSett,G830)*tun_OutElder*INDEX(LM_Elder,G830)+INDEX(tun_ShamanPerSett,G830)*tun_OutShaman)+Z830*(INDEX(tun_PriestShare,G830)*tun_OutPriest+INDEX(tun_ScribeShare,G830)*tun_OutScribe*INDEX(LM_Scribe,G830)+INDEX(tun_ScholarShare,G830)*tun_OutScholar*INDEX(LM_Scholar,G830)+INDEX(tun_ResearcherShare,G830)*tun_OutResearcher*INDEX(LM_Researcher,G830)))</x:f>
        <x:v>0</x:v>
      </x:c>
      <x:c r="AL830" s="32" t="n">
        <x:f>H830*tun_RoleScale*Arch_Roles*AE830*INDEX(tun_MonasteryPerSett,G830)*tun_OutMonastery*INDEX(LM_Monastery,G830)</x:f>
        <x:v>0</x:v>
      </x:c>
      <x:c r="AM830" s="32" t="n">
        <x:f>(AJ830+AK830+AL830)/4*INDEX(LM_All,G830)*INDEX(tun_Boon,G830)*Arch_Insight</x:f>
        <x:v>0</x:v>
      </x:c>
      <x:c r="AN830" s="32" t="n">
        <x:f>H830*(tun_KHPerAdult*Z830+tun_KHOfCommons*AJ830/4*INDEX(LM_All,G830))*tun_KHUsable*Arch_KH</x:f>
        <x:v>0</x:v>
      </x:c>
      <x:c r="AO830" s="32" t="n">
        <x:f>MIN(AP829+AN830,AM830*tun_KHMaxRatio)</x:f>
        <x:v>0</x:v>
      </x:c>
      <x:c r="AP830" s="32" t="n">
        <x:f>AP829+AN830-AO830</x:f>
        <x:v>0</x:v>
      </x:c>
      <x:c r="AQ830" s="32" t="n">
        <x:f>AM830+AO830</x:f>
        <x:v>0</x:v>
      </x:c>
      <x:c r="AR830" s="10" t="n">
        <x:f>IF(H830=1,INDEX(tun_Req,G830),0)</x:f>
        <x:v>0</x:v>
      </x:c>
      <x:c r="AS830" s="32" t="n">
        <x:f>IF(H830=1,IF(E830=1,AS829-AR829,AS829)+AQ830,0)</x:f>
        <x:v>0</x:v>
      </x:c>
      <x:c r="AT830" s="11" t="n">
        <x:f>IF(AR830&gt;0,MIN(1,AS830/AR830),1)</x:f>
        <x:v>1</x:v>
      </x:c>
      <x:c r="AU830" s="10" t="n">
        <x:f>AB830/INDEX(tun_RepScale,G830)</x:f>
        <x:v>290.3368848566301</x:v>
      </x:c>
      <x:c r="AV830" s="32" t="n">
        <x:f>AM830*60/tun_SeasonSeconds</x:f>
        <x:v>0</x:v>
      </x:c>
    </x:row>
    <x:row r="831">
      <x:c r="A831" s="8" t="n">
        <x:f>A830+1</x:f>
        <x:v>828</x:v>
      </x:c>
      <x:c r="B831" s="9" t="n">
        <x:f>A831*tun_SeasonSeconds/60</x:f>
        <x:v>207</x:v>
      </x:c>
      <x:c r="C831" s="9" t="n">
        <x:f>A831/4</x:f>
        <x:v>207</x:v>
      </x:c>
      <x:c r="D831" s="8" t="n">
        <x:f>IF(MOD(A831,4)=0,1,0)</x:f>
        <x:v>1</x:v>
      </x:c>
      <x:c r="E831" s="8" t="n">
        <x:f>IF(AND(F830&lt;=9,AS830&gt;=AR830),1,0)</x:f>
        <x:v>0</x:v>
      </x:c>
      <x:c r="F831" s="8" t="n">
        <x:f>MIN(10,F830+E831)</x:f>
        <x:v>10</x:v>
      </x:c>
      <x:c r="G831" s="8" t="n">
        <x:f>MIN(F831,9)+1</x:f>
        <x:v>10</x:v>
      </x:c>
      <x:c r="H831" s="8" t="n">
        <x:f>IF(F831&lt;=9,1,0)</x:f>
        <x:v>0</x:v>
      </x:c>
      <x:c r="I831" s="9" t="n">
        <x:f>MIN(10,F830+IF(AR830&gt;0,MIN(1,AS830/AR830),1))</x:f>
        <x:v>10</x:v>
      </x:c>
      <x:c r="J831" s="32" t="n">
        <x:f>INDEX(tun_FoodCap,G831)*Arch_FoodCap*EXP(tun_CapsByProject*SUMPRODUCT((Cap_Point&lt;=I831)*(Cap_Kind="Food")*Cap_Ln))</x:f>
        <x:v>18627.260449441455</x:v>
      </x:c>
      <x:c r="K831" s="32" t="n">
        <x:f>J831*MIN(1,tun_LeanBase*EXP(tun_CapsByProject*SUMPRODUCT((Cap_Point&lt;=I831)*(Cap_Kind="Lean")*Cap_Ln)))</x:f>
        <x:v>18627.260449441455</x:v>
      </x:c>
      <x:c r="L831" s="10" t="n">
        <x:f>INDEX(tun_HousingCap,G831)*EXP(tun_CapsByProject*SUMPRODUCT((Cap_Point&lt;=I831)*(Cap_Kind="Housing")*Cap_Ln))</x:f>
        <x:v>20528.974303173167</x:v>
      </x:c>
      <x:c r="M831" s="10" t="n">
        <x:f>INDEX(tun_GroupCap,G831)*tun_CohesionFactor*EXP(tun_CapsByProject*SUMPRODUCT((Cap_Point&lt;=I831)*(Cap_Kind="Group")*Cap_Ln))</x:f>
        <x:v>1000000.000000001</x:v>
      </x:c>
      <x:c r="N831" s="32" t="n">
        <x:f>MIN(J831,L831,M831)</x:f>
        <x:v>18627.260449441455</x:v>
      </x:c>
      <x:c r="O831" s="10" t="n">
        <x:f>AE830*N831</x:f>
        <x:v>167645.34404497308</x:v>
      </x:c>
      <x:c r="P831" s="9" t="n">
        <x:f>MIN(1,(AB830/(AE830*IF(tun_GroupInCrowding=1,N831,MIN(J831,L831))))^tun_CrowdingExp)</x:f>
        <x:v>0.4215841981292809</x:v>
      </x:c>
      <x:c r="Q831" s="9" t="n">
        <x:f>IF(D831=1,INDEX(tun_WinterMult,G831),1)</x:f>
        <x:v>1.05</x:v>
      </x:c>
      <x:c r="R831" s="9" t="n">
        <x:f>H831*Z830*tun_WomenShare*tun_BaseFertility*INDEX(tun_FertMult,G831)*Arch_Fertility*(1-P831)</x:f>
        <x:v>0</x:v>
      </x:c>
      <x:c r="S831" s="9" t="n">
        <x:f>H831*Y830*INDEX(tun_MortChild,G831)/4*Q831</x:f>
        <x:v>0</x:v>
      </x:c>
      <x:c r="T831" s="9" t="n">
        <x:f>H831*Z830*INDEX(tun_MortAdult,G831)*Arch_AdultMort/4*Q831</x:f>
        <x:v>0</x:v>
      </x:c>
      <x:c r="U831" s="9" t="n">
        <x:f>H831*AA830*INDEX(tun_MortElder,G831)/4*Q831</x:f>
        <x:v>0</x:v>
      </x:c>
      <x:c r="V831" s="9" t="n">
        <x:f>H831*MAX(0,AB830-O831)*tun_OvercapLoss</x:f>
        <x:v>0</x:v>
      </x:c>
      <x:c r="W831" s="9" t="n">
        <x:f>H831*Y830/(tun_ChildYears*4)</x:f>
        <x:v>0</x:v>
      </x:c>
      <x:c r="X831" s="9" t="n">
        <x:f>H831*Z830/(tun_AdultYears*4)</x:f>
        <x:v>0</x:v>
      </x:c>
      <x:c r="Y831" s="32" t="n">
        <x:f>Y830+R831-S831-W831-Y830*V831/AB830</x:f>
        <x:v>40496.20709015643</x:v>
      </x:c>
      <x:c r="Z831" s="32" t="n">
        <x:f>Z830+W831-X831-T831-Z830*V831/AB830</x:f>
        <x:v>59141.61122890803</x:v>
      </x:c>
      <x:c r="AA831" s="32" t="n">
        <x:f>AA830+X831-U831-AA830*V831/AB830</x:f>
        <x:v>45530.62410925061</x:v>
      </x:c>
      <x:c r="AB831" s="10" t="n">
        <x:f>Y831+Z831+AA831</x:f>
        <x:v>145168.44242831506</x:v>
      </x:c>
      <x:c r="AC831" s="8" t="n">
        <x:f>IF(AND(tun_WinterTrigger=1,D831=1,AB830/AE830&gt;=K831),1,0)</x:f>
        <x:v>0</x:v>
      </x:c>
      <x:c r="AD831" s="8" t="n">
        <x:f>H831*IF(AND(OR(AB830/AE830&gt;=tun_FissionTrigger*N831,AC831=1),AB830/AE830*tun_DaughterShare&gt;=tun_MinDaughter),MAX(1,ROUND(AE830*tun_FissionRate,0)),0)</x:f>
        <x:v>0</x:v>
      </x:c>
      <x:c r="AE831" s="8" t="n">
        <x:f>IF(H831=1,MAX(1,MIN(INDEX(tun_Smax,G831),AE830+AD831)),AE830)</x:f>
        <x:v>9</x:v>
      </x:c>
      <x:c r="AF831" s="8" t="n">
        <x:f>MAX(0,AE831-AE830)</x:f>
        <x:v>0</x:v>
      </x:c>
      <x:c r="AG831" s="9" t="str">
        <x:f>IF(AF831&gt;0,B831,"")</x:f>
      </x:c>
      <x:c r="AH831" s="9" t="n">
        <x:f>IF(F831&gt;=1,1,(1+tun_LowTiesShare*(AE831-1))/AE831)</x:f>
        <x:v>1</x:v>
      </x:c>
      <x:c r="AI831" s="32" t="n">
        <x:f>(Z831+tun_ElderCommons*INDEX(LM_Elder,G831)*AA831)*AH831</x:f>
        <x:v>238215.0665857503</x:v>
      </x:c>
      <x:c r="AJ831" s="32" t="n">
        <x:f>H831*tun_CommonsCoef*AI831^tun_CommonsExp*INDEX(LM_Commons,G831)</x:f>
        <x:v>0</x:v>
      </x:c>
      <x:c r="AK831" s="32" t="n">
        <x:f>H831*tun_RoleScale*Arch_Roles*(AE831*(INDEX(tun_ElderRolePerSett,G831)*tun_OutElder*INDEX(LM_Elder,G831)+INDEX(tun_ShamanPerSett,G831)*tun_OutShaman)+Z831*(INDEX(tun_PriestShare,G831)*tun_OutPriest+INDEX(tun_ScribeShare,G831)*tun_OutScribe*INDEX(LM_Scribe,G831)+INDEX(tun_ScholarShare,G831)*tun_OutScholar*INDEX(LM_Scholar,G831)+INDEX(tun_ResearcherShare,G831)*tun_OutResearcher*INDEX(LM_Researcher,G831)))</x:f>
        <x:v>0</x:v>
      </x:c>
      <x:c r="AL831" s="32" t="n">
        <x:f>H831*tun_RoleScale*Arch_Roles*AE831*INDEX(tun_MonasteryPerSett,G831)*tun_OutMonastery*INDEX(LM_Monastery,G831)</x:f>
        <x:v>0</x:v>
      </x:c>
      <x:c r="AM831" s="32" t="n">
        <x:f>(AJ831+AK831+AL831)/4*INDEX(LM_All,G831)*INDEX(tun_Boon,G831)*Arch_Insight</x:f>
        <x:v>0</x:v>
      </x:c>
      <x:c r="AN831" s="32" t="n">
        <x:f>H831*(tun_KHPerAdult*Z831+tun_KHOfCommons*AJ831/4*INDEX(LM_All,G831))*tun_KHUsable*Arch_KH</x:f>
        <x:v>0</x:v>
      </x:c>
      <x:c r="AO831" s="32" t="n">
        <x:f>MIN(AP830+AN831,AM831*tun_KHMaxRatio)</x:f>
        <x:v>0</x:v>
      </x:c>
      <x:c r="AP831" s="32" t="n">
        <x:f>AP830+AN831-AO831</x:f>
        <x:v>0</x:v>
      </x:c>
      <x:c r="AQ831" s="32" t="n">
        <x:f>AM831+AO831</x:f>
        <x:v>0</x:v>
      </x:c>
      <x:c r="AR831" s="10" t="n">
        <x:f>IF(H831=1,INDEX(tun_Req,G831),0)</x:f>
        <x:v>0</x:v>
      </x:c>
      <x:c r="AS831" s="32" t="n">
        <x:f>IF(H831=1,IF(E831=1,AS830-AR830,AS830)+AQ831,0)</x:f>
        <x:v>0</x:v>
      </x:c>
      <x:c r="AT831" s="11" t="n">
        <x:f>IF(AR831&gt;0,MIN(1,AS831/AR831),1)</x:f>
        <x:v>1</x:v>
      </x:c>
      <x:c r="AU831" s="10" t="n">
        <x:f>AB831/INDEX(tun_RepScale,G831)</x:f>
        <x:v>290.3368848566301</x:v>
      </x:c>
      <x:c r="AV831" s="32" t="n">
        <x:f>AM831*60/tun_SeasonSeconds</x:f>
        <x:v>0</x:v>
      </x:c>
    </x:row>
    <x:row r="832">
      <x:c r="A832" s="8" t="n">
        <x:f>A831+1</x:f>
        <x:v>829</x:v>
      </x:c>
      <x:c r="B832" s="9" t="n">
        <x:f>A832*tun_SeasonSeconds/60</x:f>
        <x:v>207.25</x:v>
      </x:c>
      <x:c r="C832" s="9" t="n">
        <x:f>A832/4</x:f>
        <x:v>207.25</x:v>
      </x:c>
      <x:c r="D832" s="8" t="n">
        <x:f>IF(MOD(A832,4)=0,1,0)</x:f>
        <x:v>0</x:v>
      </x:c>
      <x:c r="E832" s="8" t="n">
        <x:f>IF(AND(F831&lt;=9,AS831&gt;=AR831),1,0)</x:f>
        <x:v>0</x:v>
      </x:c>
      <x:c r="F832" s="8" t="n">
        <x:f>MIN(10,F831+E832)</x:f>
        <x:v>10</x:v>
      </x:c>
      <x:c r="G832" s="8" t="n">
        <x:f>MIN(F832,9)+1</x:f>
        <x:v>10</x:v>
      </x:c>
      <x:c r="H832" s="8" t="n">
        <x:f>IF(F832&lt;=9,1,0)</x:f>
        <x:v>0</x:v>
      </x:c>
      <x:c r="I832" s="9" t="n">
        <x:f>MIN(10,F831+IF(AR831&gt;0,MIN(1,AS831/AR831),1))</x:f>
        <x:v>10</x:v>
      </x:c>
      <x:c r="J832" s="32" t="n">
        <x:f>INDEX(tun_FoodCap,G832)*Arch_FoodCap*EXP(tun_CapsByProject*SUMPRODUCT((Cap_Point&lt;=I832)*(Cap_Kind="Food")*Cap_Ln))</x:f>
        <x:v>18627.260449441455</x:v>
      </x:c>
      <x:c r="K832" s="32" t="n">
        <x:f>J832*MIN(1,tun_LeanBase*EXP(tun_CapsByProject*SUMPRODUCT((Cap_Point&lt;=I832)*(Cap_Kind="Lean")*Cap_Ln)))</x:f>
        <x:v>18627.260449441455</x:v>
      </x:c>
      <x:c r="L832" s="10" t="n">
        <x:f>INDEX(tun_HousingCap,G832)*EXP(tun_CapsByProject*SUMPRODUCT((Cap_Point&lt;=I832)*(Cap_Kind="Housing")*Cap_Ln))</x:f>
        <x:v>20528.974303173167</x:v>
      </x:c>
      <x:c r="M832" s="10" t="n">
        <x:f>INDEX(tun_GroupCap,G832)*tun_CohesionFactor*EXP(tun_CapsByProject*SUMPRODUCT((Cap_Point&lt;=I832)*(Cap_Kind="Group")*Cap_Ln))</x:f>
        <x:v>1000000.000000001</x:v>
      </x:c>
      <x:c r="N832" s="32" t="n">
        <x:f>MIN(J832,L832,M832)</x:f>
        <x:v>18627.260449441455</x:v>
      </x:c>
      <x:c r="O832" s="10" t="n">
        <x:f>AE831*N832</x:f>
        <x:v>167645.34404497308</x:v>
      </x:c>
      <x:c r="P832" s="9" t="n">
        <x:f>MIN(1,(AB831/(AE831*IF(tun_GroupInCrowding=1,N832,MIN(J832,L832))))^tun_CrowdingExp)</x:f>
        <x:v>0.4215841981292809</x:v>
      </x:c>
      <x:c r="Q832" s="9" t="n">
        <x:f>IF(D832=1,INDEX(tun_WinterMult,G832),1)</x:f>
        <x:v>1</x:v>
      </x:c>
      <x:c r="R832" s="9" t="n">
        <x:f>H832*Z831*tun_WomenShare*tun_BaseFertility*INDEX(tun_FertMult,G832)*Arch_Fertility*(1-P832)</x:f>
        <x:v>0</x:v>
      </x:c>
      <x:c r="S832" s="9" t="n">
        <x:f>H832*Y831*INDEX(tun_MortChild,G832)/4*Q832</x:f>
        <x:v>0</x:v>
      </x:c>
      <x:c r="T832" s="9" t="n">
        <x:f>H832*Z831*INDEX(tun_MortAdult,G832)*Arch_AdultMort/4*Q832</x:f>
        <x:v>0</x:v>
      </x:c>
      <x:c r="U832" s="9" t="n">
        <x:f>H832*AA831*INDEX(tun_MortElder,G832)/4*Q832</x:f>
        <x:v>0</x:v>
      </x:c>
      <x:c r="V832" s="9" t="n">
        <x:f>H832*MAX(0,AB831-O832)*tun_OvercapLoss</x:f>
        <x:v>0</x:v>
      </x:c>
      <x:c r="W832" s="9" t="n">
        <x:f>H832*Y831/(tun_ChildYears*4)</x:f>
        <x:v>0</x:v>
      </x:c>
      <x:c r="X832" s="9" t="n">
        <x:f>H832*Z831/(tun_AdultYears*4)</x:f>
        <x:v>0</x:v>
      </x:c>
      <x:c r="Y832" s="32" t="n">
        <x:f>Y831+R832-S832-W832-Y831*V832/AB831</x:f>
        <x:v>40496.20709015643</x:v>
      </x:c>
      <x:c r="Z832" s="32" t="n">
        <x:f>Z831+W832-X832-T832-Z831*V832/AB831</x:f>
        <x:v>59141.61122890803</x:v>
      </x:c>
      <x:c r="AA832" s="32" t="n">
        <x:f>AA831+X832-U832-AA831*V832/AB831</x:f>
        <x:v>45530.62410925061</x:v>
      </x:c>
      <x:c r="AB832" s="10" t="n">
        <x:f>Y832+Z832+AA832</x:f>
        <x:v>145168.44242831506</x:v>
      </x:c>
      <x:c r="AC832" s="8" t="n">
        <x:f>IF(AND(tun_WinterTrigger=1,D832=1,AB831/AE831&gt;=K832),1,0)</x:f>
        <x:v>0</x:v>
      </x:c>
      <x:c r="AD832" s="8" t="n">
        <x:f>H832*IF(AND(OR(AB831/AE831&gt;=tun_FissionTrigger*N832,AC832=1),AB831/AE831*tun_DaughterShare&gt;=tun_MinDaughter),MAX(1,ROUND(AE831*tun_FissionRate,0)),0)</x:f>
        <x:v>0</x:v>
      </x:c>
      <x:c r="AE832" s="8" t="n">
        <x:f>IF(H832=1,MAX(1,MIN(INDEX(tun_Smax,G832),AE831+AD832)),AE831)</x:f>
        <x:v>9</x:v>
      </x:c>
      <x:c r="AF832" s="8" t="n">
        <x:f>MAX(0,AE832-AE831)</x:f>
        <x:v>0</x:v>
      </x:c>
      <x:c r="AG832" s="9" t="str">
        <x:f>IF(AF832&gt;0,B832,"")</x:f>
      </x:c>
      <x:c r="AH832" s="9" t="n">
        <x:f>IF(F832&gt;=1,1,(1+tun_LowTiesShare*(AE832-1))/AE832)</x:f>
        <x:v>1</x:v>
      </x:c>
      <x:c r="AI832" s="32" t="n">
        <x:f>(Z832+tun_ElderCommons*INDEX(LM_Elder,G832)*AA832)*AH832</x:f>
        <x:v>238215.0665857503</x:v>
      </x:c>
      <x:c r="AJ832" s="32" t="n">
        <x:f>H832*tun_CommonsCoef*AI832^tun_CommonsExp*INDEX(LM_Commons,G832)</x:f>
        <x:v>0</x:v>
      </x:c>
      <x:c r="AK832" s="32" t="n">
        <x:f>H832*tun_RoleScale*Arch_Roles*(AE832*(INDEX(tun_ElderRolePerSett,G832)*tun_OutElder*INDEX(LM_Elder,G832)+INDEX(tun_ShamanPerSett,G832)*tun_OutShaman)+Z832*(INDEX(tun_PriestShare,G832)*tun_OutPriest+INDEX(tun_ScribeShare,G832)*tun_OutScribe*INDEX(LM_Scribe,G832)+INDEX(tun_ScholarShare,G832)*tun_OutScholar*INDEX(LM_Scholar,G832)+INDEX(tun_ResearcherShare,G832)*tun_OutResearcher*INDEX(LM_Researcher,G832)))</x:f>
        <x:v>0</x:v>
      </x:c>
      <x:c r="AL832" s="32" t="n">
        <x:f>H832*tun_RoleScale*Arch_Roles*AE832*INDEX(tun_MonasteryPerSett,G832)*tun_OutMonastery*INDEX(LM_Monastery,G832)</x:f>
        <x:v>0</x:v>
      </x:c>
      <x:c r="AM832" s="32" t="n">
        <x:f>(AJ832+AK832+AL832)/4*INDEX(LM_All,G832)*INDEX(tun_Boon,G832)*Arch_Insight</x:f>
        <x:v>0</x:v>
      </x:c>
      <x:c r="AN832" s="32" t="n">
        <x:f>H832*(tun_KHPerAdult*Z832+tun_KHOfCommons*AJ832/4*INDEX(LM_All,G832))*tun_KHUsable*Arch_KH</x:f>
        <x:v>0</x:v>
      </x:c>
      <x:c r="AO832" s="32" t="n">
        <x:f>MIN(AP831+AN832,AM832*tun_KHMaxRatio)</x:f>
        <x:v>0</x:v>
      </x:c>
      <x:c r="AP832" s="32" t="n">
        <x:f>AP831+AN832-AO832</x:f>
        <x:v>0</x:v>
      </x:c>
      <x:c r="AQ832" s="32" t="n">
        <x:f>AM832+AO832</x:f>
        <x:v>0</x:v>
      </x:c>
      <x:c r="AR832" s="10" t="n">
        <x:f>IF(H832=1,INDEX(tun_Req,G832),0)</x:f>
        <x:v>0</x:v>
      </x:c>
      <x:c r="AS832" s="32" t="n">
        <x:f>IF(H832=1,IF(E832=1,AS831-AR831,AS831)+AQ832,0)</x:f>
        <x:v>0</x:v>
      </x:c>
      <x:c r="AT832" s="11" t="n">
        <x:f>IF(AR832&gt;0,MIN(1,AS832/AR832),1)</x:f>
        <x:v>1</x:v>
      </x:c>
      <x:c r="AU832" s="10" t="n">
        <x:f>AB832/INDEX(tun_RepScale,G832)</x:f>
        <x:v>290.3368848566301</x:v>
      </x:c>
      <x:c r="AV832" s="32" t="n">
        <x:f>AM832*60/tun_SeasonSeconds</x:f>
        <x:v>0</x:v>
      </x:c>
    </x:row>
    <x:row r="833">
      <x:c r="A833" s="8" t="n">
        <x:f>A832+1</x:f>
        <x:v>830</x:v>
      </x:c>
      <x:c r="B833" s="9" t="n">
        <x:f>A833*tun_SeasonSeconds/60</x:f>
        <x:v>207.5</x:v>
      </x:c>
      <x:c r="C833" s="9" t="n">
        <x:f>A833/4</x:f>
        <x:v>207.5</x:v>
      </x:c>
      <x:c r="D833" s="8" t="n">
        <x:f>IF(MOD(A833,4)=0,1,0)</x:f>
        <x:v>0</x:v>
      </x:c>
      <x:c r="E833" s="8" t="n">
        <x:f>IF(AND(F832&lt;=9,AS832&gt;=AR832),1,0)</x:f>
        <x:v>0</x:v>
      </x:c>
      <x:c r="F833" s="8" t="n">
        <x:f>MIN(10,F832+E833)</x:f>
        <x:v>10</x:v>
      </x:c>
      <x:c r="G833" s="8" t="n">
        <x:f>MIN(F833,9)+1</x:f>
        <x:v>10</x:v>
      </x:c>
      <x:c r="H833" s="8" t="n">
        <x:f>IF(F833&lt;=9,1,0)</x:f>
        <x:v>0</x:v>
      </x:c>
      <x:c r="I833" s="9" t="n">
        <x:f>MIN(10,F832+IF(AR832&gt;0,MIN(1,AS832/AR832),1))</x:f>
        <x:v>10</x:v>
      </x:c>
      <x:c r="J833" s="32" t="n">
        <x:f>INDEX(tun_FoodCap,G833)*Arch_FoodCap*EXP(tun_CapsByProject*SUMPRODUCT((Cap_Point&lt;=I833)*(Cap_Kind="Food")*Cap_Ln))</x:f>
        <x:v>18627.260449441455</x:v>
      </x:c>
      <x:c r="K833" s="32" t="n">
        <x:f>J833*MIN(1,tun_LeanBase*EXP(tun_CapsByProject*SUMPRODUCT((Cap_Point&lt;=I833)*(Cap_Kind="Lean")*Cap_Ln)))</x:f>
        <x:v>18627.260449441455</x:v>
      </x:c>
      <x:c r="L833" s="10" t="n">
        <x:f>INDEX(tun_HousingCap,G833)*EXP(tun_CapsByProject*SUMPRODUCT((Cap_Point&lt;=I833)*(Cap_Kind="Housing")*Cap_Ln))</x:f>
        <x:v>20528.974303173167</x:v>
      </x:c>
      <x:c r="M833" s="10" t="n">
        <x:f>INDEX(tun_GroupCap,G833)*tun_CohesionFactor*EXP(tun_CapsByProject*SUMPRODUCT((Cap_Point&lt;=I833)*(Cap_Kind="Group")*Cap_Ln))</x:f>
        <x:v>1000000.000000001</x:v>
      </x:c>
      <x:c r="N833" s="32" t="n">
        <x:f>MIN(J833,L833,M833)</x:f>
        <x:v>18627.260449441455</x:v>
      </x:c>
      <x:c r="O833" s="10" t="n">
        <x:f>AE832*N833</x:f>
        <x:v>167645.34404497308</x:v>
      </x:c>
      <x:c r="P833" s="9" t="n">
        <x:f>MIN(1,(AB832/(AE832*IF(tun_GroupInCrowding=1,N833,MIN(J833,L833))))^tun_CrowdingExp)</x:f>
        <x:v>0.4215841981292809</x:v>
      </x:c>
      <x:c r="Q833" s="9" t="n">
        <x:f>IF(D833=1,INDEX(tun_WinterMult,G833),1)</x:f>
        <x:v>1</x:v>
      </x:c>
      <x:c r="R833" s="9" t="n">
        <x:f>H833*Z832*tun_WomenShare*tun_BaseFertility*INDEX(tun_FertMult,G833)*Arch_Fertility*(1-P833)</x:f>
        <x:v>0</x:v>
      </x:c>
      <x:c r="S833" s="9" t="n">
        <x:f>H833*Y832*INDEX(tun_MortChild,G833)/4*Q833</x:f>
        <x:v>0</x:v>
      </x:c>
      <x:c r="T833" s="9" t="n">
        <x:f>H833*Z832*INDEX(tun_MortAdult,G833)*Arch_AdultMort/4*Q833</x:f>
        <x:v>0</x:v>
      </x:c>
      <x:c r="U833" s="9" t="n">
        <x:f>H833*AA832*INDEX(tun_MortElder,G833)/4*Q833</x:f>
        <x:v>0</x:v>
      </x:c>
      <x:c r="V833" s="9" t="n">
        <x:f>H833*MAX(0,AB832-O833)*tun_OvercapLoss</x:f>
        <x:v>0</x:v>
      </x:c>
      <x:c r="W833" s="9" t="n">
        <x:f>H833*Y832/(tun_ChildYears*4)</x:f>
        <x:v>0</x:v>
      </x:c>
      <x:c r="X833" s="9" t="n">
        <x:f>H833*Z832/(tun_AdultYears*4)</x:f>
        <x:v>0</x:v>
      </x:c>
      <x:c r="Y833" s="32" t="n">
        <x:f>Y832+R833-S833-W833-Y832*V833/AB832</x:f>
        <x:v>40496.20709015643</x:v>
      </x:c>
      <x:c r="Z833" s="32" t="n">
        <x:f>Z832+W833-X833-T833-Z832*V833/AB832</x:f>
        <x:v>59141.61122890803</x:v>
      </x:c>
      <x:c r="AA833" s="32" t="n">
        <x:f>AA832+X833-U833-AA832*V833/AB832</x:f>
        <x:v>45530.62410925061</x:v>
      </x:c>
      <x:c r="AB833" s="10" t="n">
        <x:f>Y833+Z833+AA833</x:f>
        <x:v>145168.44242831506</x:v>
      </x:c>
      <x:c r="AC833" s="8" t="n">
        <x:f>IF(AND(tun_WinterTrigger=1,D833=1,AB832/AE832&gt;=K833),1,0)</x:f>
        <x:v>0</x:v>
      </x:c>
      <x:c r="AD833" s="8" t="n">
        <x:f>H833*IF(AND(OR(AB832/AE832&gt;=tun_FissionTrigger*N833,AC833=1),AB832/AE832*tun_DaughterShare&gt;=tun_MinDaughter),MAX(1,ROUND(AE832*tun_FissionRate,0)),0)</x:f>
        <x:v>0</x:v>
      </x:c>
      <x:c r="AE833" s="8" t="n">
        <x:f>IF(H833=1,MAX(1,MIN(INDEX(tun_Smax,G833),AE832+AD833)),AE832)</x:f>
        <x:v>9</x:v>
      </x:c>
      <x:c r="AF833" s="8" t="n">
        <x:f>MAX(0,AE833-AE832)</x:f>
        <x:v>0</x:v>
      </x:c>
      <x:c r="AG833" s="9" t="str">
        <x:f>IF(AF833&gt;0,B833,"")</x:f>
      </x:c>
      <x:c r="AH833" s="9" t="n">
        <x:f>IF(F833&gt;=1,1,(1+tun_LowTiesShare*(AE833-1))/AE833)</x:f>
        <x:v>1</x:v>
      </x:c>
      <x:c r="AI833" s="32" t="n">
        <x:f>(Z833+tun_ElderCommons*INDEX(LM_Elder,G833)*AA833)*AH833</x:f>
        <x:v>238215.0665857503</x:v>
      </x:c>
      <x:c r="AJ833" s="32" t="n">
        <x:f>H833*tun_CommonsCoef*AI833^tun_CommonsExp*INDEX(LM_Commons,G833)</x:f>
        <x:v>0</x:v>
      </x:c>
      <x:c r="AK833" s="32" t="n">
        <x:f>H833*tun_RoleScale*Arch_Roles*(AE833*(INDEX(tun_ElderRolePerSett,G833)*tun_OutElder*INDEX(LM_Elder,G833)+INDEX(tun_ShamanPerSett,G833)*tun_OutShaman)+Z833*(INDEX(tun_PriestShare,G833)*tun_OutPriest+INDEX(tun_ScribeShare,G833)*tun_OutScribe*INDEX(LM_Scribe,G833)+INDEX(tun_ScholarShare,G833)*tun_OutScholar*INDEX(LM_Scholar,G833)+INDEX(tun_ResearcherShare,G833)*tun_OutResearcher*INDEX(LM_Researcher,G833)))</x:f>
        <x:v>0</x:v>
      </x:c>
      <x:c r="AL833" s="32" t="n">
        <x:f>H833*tun_RoleScale*Arch_Roles*AE833*INDEX(tun_MonasteryPerSett,G833)*tun_OutMonastery*INDEX(LM_Monastery,G833)</x:f>
        <x:v>0</x:v>
      </x:c>
      <x:c r="AM833" s="32" t="n">
        <x:f>(AJ833+AK833+AL833)/4*INDEX(LM_All,G833)*INDEX(tun_Boon,G833)*Arch_Insight</x:f>
        <x:v>0</x:v>
      </x:c>
      <x:c r="AN833" s="32" t="n">
        <x:f>H833*(tun_KHPerAdult*Z833+tun_KHOfCommons*AJ833/4*INDEX(LM_All,G833))*tun_KHUsable*Arch_KH</x:f>
        <x:v>0</x:v>
      </x:c>
      <x:c r="AO833" s="32" t="n">
        <x:f>MIN(AP832+AN833,AM833*tun_KHMaxRatio)</x:f>
        <x:v>0</x:v>
      </x:c>
      <x:c r="AP833" s="32" t="n">
        <x:f>AP832+AN833-AO833</x:f>
        <x:v>0</x:v>
      </x:c>
      <x:c r="AQ833" s="32" t="n">
        <x:f>AM833+AO833</x:f>
        <x:v>0</x:v>
      </x:c>
      <x:c r="AR833" s="10" t="n">
        <x:f>IF(H833=1,INDEX(tun_Req,G833),0)</x:f>
        <x:v>0</x:v>
      </x:c>
      <x:c r="AS833" s="32" t="n">
        <x:f>IF(H833=1,IF(E833=1,AS832-AR832,AS832)+AQ833,0)</x:f>
        <x:v>0</x:v>
      </x:c>
      <x:c r="AT833" s="11" t="n">
        <x:f>IF(AR833&gt;0,MIN(1,AS833/AR833),1)</x:f>
        <x:v>1</x:v>
      </x:c>
      <x:c r="AU833" s="10" t="n">
        <x:f>AB833/INDEX(tun_RepScale,G833)</x:f>
        <x:v>290.3368848566301</x:v>
      </x:c>
      <x:c r="AV833" s="32" t="n">
        <x:f>AM833*60/tun_SeasonSeconds</x:f>
        <x:v>0</x:v>
      </x:c>
    </x:row>
    <x:row r="834">
      <x:c r="A834" s="8" t="n">
        <x:f>A833+1</x:f>
        <x:v>831</x:v>
      </x:c>
      <x:c r="B834" s="9" t="n">
        <x:f>A834*tun_SeasonSeconds/60</x:f>
        <x:v>207.75</x:v>
      </x:c>
      <x:c r="C834" s="9" t="n">
        <x:f>A834/4</x:f>
        <x:v>207.75</x:v>
      </x:c>
      <x:c r="D834" s="8" t="n">
        <x:f>IF(MOD(A834,4)=0,1,0)</x:f>
        <x:v>0</x:v>
      </x:c>
      <x:c r="E834" s="8" t="n">
        <x:f>IF(AND(F833&lt;=9,AS833&gt;=AR833),1,0)</x:f>
        <x:v>0</x:v>
      </x:c>
      <x:c r="F834" s="8" t="n">
        <x:f>MIN(10,F833+E834)</x:f>
        <x:v>10</x:v>
      </x:c>
      <x:c r="G834" s="8" t="n">
        <x:f>MIN(F834,9)+1</x:f>
        <x:v>10</x:v>
      </x:c>
      <x:c r="H834" s="8" t="n">
        <x:f>IF(F834&lt;=9,1,0)</x:f>
        <x:v>0</x:v>
      </x:c>
      <x:c r="I834" s="9" t="n">
        <x:f>MIN(10,F833+IF(AR833&gt;0,MIN(1,AS833/AR833),1))</x:f>
        <x:v>10</x:v>
      </x:c>
      <x:c r="J834" s="32" t="n">
        <x:f>INDEX(tun_FoodCap,G834)*Arch_FoodCap*EXP(tun_CapsByProject*SUMPRODUCT((Cap_Point&lt;=I834)*(Cap_Kind="Food")*Cap_Ln))</x:f>
        <x:v>18627.260449441455</x:v>
      </x:c>
      <x:c r="K834" s="32" t="n">
        <x:f>J834*MIN(1,tun_LeanBase*EXP(tun_CapsByProject*SUMPRODUCT((Cap_Point&lt;=I834)*(Cap_Kind="Lean")*Cap_Ln)))</x:f>
        <x:v>18627.260449441455</x:v>
      </x:c>
      <x:c r="L834" s="10" t="n">
        <x:f>INDEX(tun_HousingCap,G834)*EXP(tun_CapsByProject*SUMPRODUCT((Cap_Point&lt;=I834)*(Cap_Kind="Housing")*Cap_Ln))</x:f>
        <x:v>20528.974303173167</x:v>
      </x:c>
      <x:c r="M834" s="10" t="n">
        <x:f>INDEX(tun_GroupCap,G834)*tun_CohesionFactor*EXP(tun_CapsByProject*SUMPRODUCT((Cap_Point&lt;=I834)*(Cap_Kind="Group")*Cap_Ln))</x:f>
        <x:v>1000000.000000001</x:v>
      </x:c>
      <x:c r="N834" s="32" t="n">
        <x:f>MIN(J834,L834,M834)</x:f>
        <x:v>18627.260449441455</x:v>
      </x:c>
      <x:c r="O834" s="10" t="n">
        <x:f>AE833*N834</x:f>
        <x:v>167645.34404497308</x:v>
      </x:c>
      <x:c r="P834" s="9" t="n">
        <x:f>MIN(1,(AB833/(AE833*IF(tun_GroupInCrowding=1,N834,MIN(J834,L834))))^tun_CrowdingExp)</x:f>
        <x:v>0.4215841981292809</x:v>
      </x:c>
      <x:c r="Q834" s="9" t="n">
        <x:f>IF(D834=1,INDEX(tun_WinterMult,G834),1)</x:f>
        <x:v>1</x:v>
      </x:c>
      <x:c r="R834" s="9" t="n">
        <x:f>H834*Z833*tun_WomenShare*tun_BaseFertility*INDEX(tun_FertMult,G834)*Arch_Fertility*(1-P834)</x:f>
        <x:v>0</x:v>
      </x:c>
      <x:c r="S834" s="9" t="n">
        <x:f>H834*Y833*INDEX(tun_MortChild,G834)/4*Q834</x:f>
        <x:v>0</x:v>
      </x:c>
      <x:c r="T834" s="9" t="n">
        <x:f>H834*Z833*INDEX(tun_MortAdult,G834)*Arch_AdultMort/4*Q834</x:f>
        <x:v>0</x:v>
      </x:c>
      <x:c r="U834" s="9" t="n">
        <x:f>H834*AA833*INDEX(tun_MortElder,G834)/4*Q834</x:f>
        <x:v>0</x:v>
      </x:c>
      <x:c r="V834" s="9" t="n">
        <x:f>H834*MAX(0,AB833-O834)*tun_OvercapLoss</x:f>
        <x:v>0</x:v>
      </x:c>
      <x:c r="W834" s="9" t="n">
        <x:f>H834*Y833/(tun_ChildYears*4)</x:f>
        <x:v>0</x:v>
      </x:c>
      <x:c r="X834" s="9" t="n">
        <x:f>H834*Z833/(tun_AdultYears*4)</x:f>
        <x:v>0</x:v>
      </x:c>
      <x:c r="Y834" s="32" t="n">
        <x:f>Y833+R834-S834-W834-Y833*V834/AB833</x:f>
        <x:v>40496.20709015643</x:v>
      </x:c>
      <x:c r="Z834" s="32" t="n">
        <x:f>Z833+W834-X834-T834-Z833*V834/AB833</x:f>
        <x:v>59141.61122890803</x:v>
      </x:c>
      <x:c r="AA834" s="32" t="n">
        <x:f>AA833+X834-U834-AA833*V834/AB833</x:f>
        <x:v>45530.62410925061</x:v>
      </x:c>
      <x:c r="AB834" s="10" t="n">
        <x:f>Y834+Z834+AA834</x:f>
        <x:v>145168.44242831506</x:v>
      </x:c>
      <x:c r="AC834" s="8" t="n">
        <x:f>IF(AND(tun_WinterTrigger=1,D834=1,AB833/AE833&gt;=K834),1,0)</x:f>
        <x:v>0</x:v>
      </x:c>
      <x:c r="AD834" s="8" t="n">
        <x:f>H834*IF(AND(OR(AB833/AE833&gt;=tun_FissionTrigger*N834,AC834=1),AB833/AE833*tun_DaughterShare&gt;=tun_MinDaughter),MAX(1,ROUND(AE833*tun_FissionRate,0)),0)</x:f>
        <x:v>0</x:v>
      </x:c>
      <x:c r="AE834" s="8" t="n">
        <x:f>IF(H834=1,MAX(1,MIN(INDEX(tun_Smax,G834),AE833+AD834)),AE833)</x:f>
        <x:v>9</x:v>
      </x:c>
      <x:c r="AF834" s="8" t="n">
        <x:f>MAX(0,AE834-AE833)</x:f>
        <x:v>0</x:v>
      </x:c>
      <x:c r="AG834" s="9" t="str">
        <x:f>IF(AF834&gt;0,B834,"")</x:f>
      </x:c>
      <x:c r="AH834" s="9" t="n">
        <x:f>IF(F834&gt;=1,1,(1+tun_LowTiesShare*(AE834-1))/AE834)</x:f>
        <x:v>1</x:v>
      </x:c>
      <x:c r="AI834" s="32" t="n">
        <x:f>(Z834+tun_ElderCommons*INDEX(LM_Elder,G834)*AA834)*AH834</x:f>
        <x:v>238215.0665857503</x:v>
      </x:c>
      <x:c r="AJ834" s="32" t="n">
        <x:f>H834*tun_CommonsCoef*AI834^tun_CommonsExp*INDEX(LM_Commons,G834)</x:f>
        <x:v>0</x:v>
      </x:c>
      <x:c r="AK834" s="32" t="n">
        <x:f>H834*tun_RoleScale*Arch_Roles*(AE834*(INDEX(tun_ElderRolePerSett,G834)*tun_OutElder*INDEX(LM_Elder,G834)+INDEX(tun_ShamanPerSett,G834)*tun_OutShaman)+Z834*(INDEX(tun_PriestShare,G834)*tun_OutPriest+INDEX(tun_ScribeShare,G834)*tun_OutScribe*INDEX(LM_Scribe,G834)+INDEX(tun_ScholarShare,G834)*tun_OutScholar*INDEX(LM_Scholar,G834)+INDEX(tun_ResearcherShare,G834)*tun_OutResearcher*INDEX(LM_Researcher,G834)))</x:f>
        <x:v>0</x:v>
      </x:c>
      <x:c r="AL834" s="32" t="n">
        <x:f>H834*tun_RoleScale*Arch_Roles*AE834*INDEX(tun_MonasteryPerSett,G834)*tun_OutMonastery*INDEX(LM_Monastery,G834)</x:f>
        <x:v>0</x:v>
      </x:c>
      <x:c r="AM834" s="32" t="n">
        <x:f>(AJ834+AK834+AL834)/4*INDEX(LM_All,G834)*INDEX(tun_Boon,G834)*Arch_Insight</x:f>
        <x:v>0</x:v>
      </x:c>
      <x:c r="AN834" s="32" t="n">
        <x:f>H834*(tun_KHPerAdult*Z834+tun_KHOfCommons*AJ834/4*INDEX(LM_All,G834))*tun_KHUsable*Arch_KH</x:f>
        <x:v>0</x:v>
      </x:c>
      <x:c r="AO834" s="32" t="n">
        <x:f>MIN(AP833+AN834,AM834*tun_KHMaxRatio)</x:f>
        <x:v>0</x:v>
      </x:c>
      <x:c r="AP834" s="32" t="n">
        <x:f>AP833+AN834-AO834</x:f>
        <x:v>0</x:v>
      </x:c>
      <x:c r="AQ834" s="32" t="n">
        <x:f>AM834+AO834</x:f>
        <x:v>0</x:v>
      </x:c>
      <x:c r="AR834" s="10" t="n">
        <x:f>IF(H834=1,INDEX(tun_Req,G834),0)</x:f>
        <x:v>0</x:v>
      </x:c>
      <x:c r="AS834" s="32" t="n">
        <x:f>IF(H834=1,IF(E834=1,AS833-AR833,AS833)+AQ834,0)</x:f>
        <x:v>0</x:v>
      </x:c>
      <x:c r="AT834" s="11" t="n">
        <x:f>IF(AR834&gt;0,MIN(1,AS834/AR834),1)</x:f>
        <x:v>1</x:v>
      </x:c>
      <x:c r="AU834" s="10" t="n">
        <x:f>AB834/INDEX(tun_RepScale,G834)</x:f>
        <x:v>290.3368848566301</x:v>
      </x:c>
      <x:c r="AV834" s="32" t="n">
        <x:f>AM834*60/tun_SeasonSeconds</x:f>
        <x:v>0</x:v>
      </x:c>
    </x:row>
    <x:row r="835">
      <x:c r="A835" s="8" t="n">
        <x:f>A834+1</x:f>
        <x:v>832</x:v>
      </x:c>
      <x:c r="B835" s="9" t="n">
        <x:f>A835*tun_SeasonSeconds/60</x:f>
        <x:v>208</x:v>
      </x:c>
      <x:c r="C835" s="9" t="n">
        <x:f>A835/4</x:f>
        <x:v>208</x:v>
      </x:c>
      <x:c r="D835" s="8" t="n">
        <x:f>IF(MOD(A835,4)=0,1,0)</x:f>
        <x:v>1</x:v>
      </x:c>
      <x:c r="E835" s="8" t="n">
        <x:f>IF(AND(F834&lt;=9,AS834&gt;=AR834),1,0)</x:f>
        <x:v>0</x:v>
      </x:c>
      <x:c r="F835" s="8" t="n">
        <x:f>MIN(10,F834+E835)</x:f>
        <x:v>10</x:v>
      </x:c>
      <x:c r="G835" s="8" t="n">
        <x:f>MIN(F835,9)+1</x:f>
        <x:v>10</x:v>
      </x:c>
      <x:c r="H835" s="8" t="n">
        <x:f>IF(F835&lt;=9,1,0)</x:f>
        <x:v>0</x:v>
      </x:c>
      <x:c r="I835" s="9" t="n">
        <x:f>MIN(10,F834+IF(AR834&gt;0,MIN(1,AS834/AR834),1))</x:f>
        <x:v>10</x:v>
      </x:c>
      <x:c r="J835" s="32" t="n">
        <x:f>INDEX(tun_FoodCap,G835)*Arch_FoodCap*EXP(tun_CapsByProject*SUMPRODUCT((Cap_Point&lt;=I835)*(Cap_Kind="Food")*Cap_Ln))</x:f>
        <x:v>18627.260449441455</x:v>
      </x:c>
      <x:c r="K835" s="32" t="n">
        <x:f>J835*MIN(1,tun_LeanBase*EXP(tun_CapsByProject*SUMPRODUCT((Cap_Point&lt;=I835)*(Cap_Kind="Lean")*Cap_Ln)))</x:f>
        <x:v>18627.260449441455</x:v>
      </x:c>
      <x:c r="L835" s="10" t="n">
        <x:f>INDEX(tun_HousingCap,G835)*EXP(tun_CapsByProject*SUMPRODUCT((Cap_Point&lt;=I835)*(Cap_Kind="Housing")*Cap_Ln))</x:f>
        <x:v>20528.974303173167</x:v>
      </x:c>
      <x:c r="M835" s="10" t="n">
        <x:f>INDEX(tun_GroupCap,G835)*tun_CohesionFactor*EXP(tun_CapsByProject*SUMPRODUCT((Cap_Point&lt;=I835)*(Cap_Kind="Group")*Cap_Ln))</x:f>
        <x:v>1000000.000000001</x:v>
      </x:c>
      <x:c r="N835" s="32" t="n">
        <x:f>MIN(J835,L835,M835)</x:f>
        <x:v>18627.260449441455</x:v>
      </x:c>
      <x:c r="O835" s="10" t="n">
        <x:f>AE834*N835</x:f>
        <x:v>167645.34404497308</x:v>
      </x:c>
      <x:c r="P835" s="9" t="n">
        <x:f>MIN(1,(AB834/(AE834*IF(tun_GroupInCrowding=1,N835,MIN(J835,L835))))^tun_CrowdingExp)</x:f>
        <x:v>0.4215841981292809</x:v>
      </x:c>
      <x:c r="Q835" s="9" t="n">
        <x:f>IF(D835=1,INDEX(tun_WinterMult,G835),1)</x:f>
        <x:v>1.05</x:v>
      </x:c>
      <x:c r="R835" s="9" t="n">
        <x:f>H835*Z834*tun_WomenShare*tun_BaseFertility*INDEX(tun_FertMult,G835)*Arch_Fertility*(1-P835)</x:f>
        <x:v>0</x:v>
      </x:c>
      <x:c r="S835" s="9" t="n">
        <x:f>H835*Y834*INDEX(tun_MortChild,G835)/4*Q835</x:f>
        <x:v>0</x:v>
      </x:c>
      <x:c r="T835" s="9" t="n">
        <x:f>H835*Z834*INDEX(tun_MortAdult,G835)*Arch_AdultMort/4*Q835</x:f>
        <x:v>0</x:v>
      </x:c>
      <x:c r="U835" s="9" t="n">
        <x:f>H835*AA834*INDEX(tun_MortElder,G835)/4*Q835</x:f>
        <x:v>0</x:v>
      </x:c>
      <x:c r="V835" s="9" t="n">
        <x:f>H835*MAX(0,AB834-O835)*tun_OvercapLoss</x:f>
        <x:v>0</x:v>
      </x:c>
      <x:c r="W835" s="9" t="n">
        <x:f>H835*Y834/(tun_ChildYears*4)</x:f>
        <x:v>0</x:v>
      </x:c>
      <x:c r="X835" s="9" t="n">
        <x:f>H835*Z834/(tun_AdultYears*4)</x:f>
        <x:v>0</x:v>
      </x:c>
      <x:c r="Y835" s="32" t="n">
        <x:f>Y834+R835-S835-W835-Y834*V835/AB834</x:f>
        <x:v>40496.20709015643</x:v>
      </x:c>
      <x:c r="Z835" s="32" t="n">
        <x:f>Z834+W835-X835-T835-Z834*V835/AB834</x:f>
        <x:v>59141.61122890803</x:v>
      </x:c>
      <x:c r="AA835" s="32" t="n">
        <x:f>AA834+X835-U835-AA834*V835/AB834</x:f>
        <x:v>45530.62410925061</x:v>
      </x:c>
      <x:c r="AB835" s="10" t="n">
        <x:f>Y835+Z835+AA835</x:f>
        <x:v>145168.44242831506</x:v>
      </x:c>
      <x:c r="AC835" s="8" t="n">
        <x:f>IF(AND(tun_WinterTrigger=1,D835=1,AB834/AE834&gt;=K835),1,0)</x:f>
        <x:v>0</x:v>
      </x:c>
      <x:c r="AD835" s="8" t="n">
        <x:f>H835*IF(AND(OR(AB834/AE834&gt;=tun_FissionTrigger*N835,AC835=1),AB834/AE834*tun_DaughterShare&gt;=tun_MinDaughter),MAX(1,ROUND(AE834*tun_FissionRate,0)),0)</x:f>
        <x:v>0</x:v>
      </x:c>
      <x:c r="AE835" s="8" t="n">
        <x:f>IF(H835=1,MAX(1,MIN(INDEX(tun_Smax,G835),AE834+AD835)),AE834)</x:f>
        <x:v>9</x:v>
      </x:c>
      <x:c r="AF835" s="8" t="n">
        <x:f>MAX(0,AE835-AE834)</x:f>
        <x:v>0</x:v>
      </x:c>
      <x:c r="AG835" s="9" t="str">
        <x:f>IF(AF835&gt;0,B835,"")</x:f>
      </x:c>
      <x:c r="AH835" s="9" t="n">
        <x:f>IF(F835&gt;=1,1,(1+tun_LowTiesShare*(AE835-1))/AE835)</x:f>
        <x:v>1</x:v>
      </x:c>
      <x:c r="AI835" s="32" t="n">
        <x:f>(Z835+tun_ElderCommons*INDEX(LM_Elder,G835)*AA835)*AH835</x:f>
        <x:v>238215.0665857503</x:v>
      </x:c>
      <x:c r="AJ835" s="32" t="n">
        <x:f>H835*tun_CommonsCoef*AI835^tun_CommonsExp*INDEX(LM_Commons,G835)</x:f>
        <x:v>0</x:v>
      </x:c>
      <x:c r="AK835" s="32" t="n">
        <x:f>H835*tun_RoleScale*Arch_Roles*(AE835*(INDEX(tun_ElderRolePerSett,G835)*tun_OutElder*INDEX(LM_Elder,G835)+INDEX(tun_ShamanPerSett,G835)*tun_OutShaman)+Z835*(INDEX(tun_PriestShare,G835)*tun_OutPriest+INDEX(tun_ScribeShare,G835)*tun_OutScribe*INDEX(LM_Scribe,G835)+INDEX(tun_ScholarShare,G835)*tun_OutScholar*INDEX(LM_Scholar,G835)+INDEX(tun_ResearcherShare,G835)*tun_OutResearcher*INDEX(LM_Researcher,G835)))</x:f>
        <x:v>0</x:v>
      </x:c>
      <x:c r="AL835" s="32" t="n">
        <x:f>H835*tun_RoleScale*Arch_Roles*AE835*INDEX(tun_MonasteryPerSett,G835)*tun_OutMonastery*INDEX(LM_Monastery,G835)</x:f>
        <x:v>0</x:v>
      </x:c>
      <x:c r="AM835" s="32" t="n">
        <x:f>(AJ835+AK835+AL835)/4*INDEX(LM_All,G835)*INDEX(tun_Boon,G835)*Arch_Insight</x:f>
        <x:v>0</x:v>
      </x:c>
      <x:c r="AN835" s="32" t="n">
        <x:f>H835*(tun_KHPerAdult*Z835+tun_KHOfCommons*AJ835/4*INDEX(LM_All,G835))*tun_KHUsable*Arch_KH</x:f>
        <x:v>0</x:v>
      </x:c>
      <x:c r="AO835" s="32" t="n">
        <x:f>MIN(AP834+AN835,AM835*tun_KHMaxRatio)</x:f>
        <x:v>0</x:v>
      </x:c>
      <x:c r="AP835" s="32" t="n">
        <x:f>AP834+AN835-AO835</x:f>
        <x:v>0</x:v>
      </x:c>
      <x:c r="AQ835" s="32" t="n">
        <x:f>AM835+AO835</x:f>
        <x:v>0</x:v>
      </x:c>
      <x:c r="AR835" s="10" t="n">
        <x:f>IF(H835=1,INDEX(tun_Req,G835),0)</x:f>
        <x:v>0</x:v>
      </x:c>
      <x:c r="AS835" s="32" t="n">
        <x:f>IF(H835=1,IF(E835=1,AS834-AR834,AS834)+AQ835,0)</x:f>
        <x:v>0</x:v>
      </x:c>
      <x:c r="AT835" s="11" t="n">
        <x:f>IF(AR835&gt;0,MIN(1,AS835/AR835),1)</x:f>
        <x:v>1</x:v>
      </x:c>
      <x:c r="AU835" s="10" t="n">
        <x:f>AB835/INDEX(tun_RepScale,G835)</x:f>
        <x:v>290.3368848566301</x:v>
      </x:c>
      <x:c r="AV835" s="32" t="n">
        <x:f>AM835*60/tun_SeasonSeconds</x:f>
        <x:v>0</x:v>
      </x:c>
    </x:row>
    <x:row r="836">
      <x:c r="A836" s="8" t="n">
        <x:f>A835+1</x:f>
        <x:v>833</x:v>
      </x:c>
      <x:c r="B836" s="9" t="n">
        <x:f>A836*tun_SeasonSeconds/60</x:f>
        <x:v>208.25</x:v>
      </x:c>
      <x:c r="C836" s="9" t="n">
        <x:f>A836/4</x:f>
        <x:v>208.25</x:v>
      </x:c>
      <x:c r="D836" s="8" t="n">
        <x:f>IF(MOD(A836,4)=0,1,0)</x:f>
        <x:v>0</x:v>
      </x:c>
      <x:c r="E836" s="8" t="n">
        <x:f>IF(AND(F835&lt;=9,AS835&gt;=AR835),1,0)</x:f>
        <x:v>0</x:v>
      </x:c>
      <x:c r="F836" s="8" t="n">
        <x:f>MIN(10,F835+E836)</x:f>
        <x:v>10</x:v>
      </x:c>
      <x:c r="G836" s="8" t="n">
        <x:f>MIN(F836,9)+1</x:f>
        <x:v>10</x:v>
      </x:c>
      <x:c r="H836" s="8" t="n">
        <x:f>IF(F836&lt;=9,1,0)</x:f>
        <x:v>0</x:v>
      </x:c>
      <x:c r="I836" s="9" t="n">
        <x:f>MIN(10,F835+IF(AR835&gt;0,MIN(1,AS835/AR835),1))</x:f>
        <x:v>10</x:v>
      </x:c>
      <x:c r="J836" s="32" t="n">
        <x:f>INDEX(tun_FoodCap,G836)*Arch_FoodCap*EXP(tun_CapsByProject*SUMPRODUCT((Cap_Point&lt;=I836)*(Cap_Kind="Food")*Cap_Ln))</x:f>
        <x:v>18627.260449441455</x:v>
      </x:c>
      <x:c r="K836" s="32" t="n">
        <x:f>J836*MIN(1,tun_LeanBase*EXP(tun_CapsByProject*SUMPRODUCT((Cap_Point&lt;=I836)*(Cap_Kind="Lean")*Cap_Ln)))</x:f>
        <x:v>18627.260449441455</x:v>
      </x:c>
      <x:c r="L836" s="10" t="n">
        <x:f>INDEX(tun_HousingCap,G836)*EXP(tun_CapsByProject*SUMPRODUCT((Cap_Point&lt;=I836)*(Cap_Kind="Housing")*Cap_Ln))</x:f>
        <x:v>20528.974303173167</x:v>
      </x:c>
      <x:c r="M836" s="10" t="n">
        <x:f>INDEX(tun_GroupCap,G836)*tun_CohesionFactor*EXP(tun_CapsByProject*SUMPRODUCT((Cap_Point&lt;=I836)*(Cap_Kind="Group")*Cap_Ln))</x:f>
        <x:v>1000000.000000001</x:v>
      </x:c>
      <x:c r="N836" s="32" t="n">
        <x:f>MIN(J836,L836,M836)</x:f>
        <x:v>18627.260449441455</x:v>
      </x:c>
      <x:c r="O836" s="10" t="n">
        <x:f>AE835*N836</x:f>
        <x:v>167645.34404497308</x:v>
      </x:c>
      <x:c r="P836" s="9" t="n">
        <x:f>MIN(1,(AB835/(AE835*IF(tun_GroupInCrowding=1,N836,MIN(J836,L836))))^tun_CrowdingExp)</x:f>
        <x:v>0.4215841981292809</x:v>
      </x:c>
      <x:c r="Q836" s="9" t="n">
        <x:f>IF(D836=1,INDEX(tun_WinterMult,G836),1)</x:f>
        <x:v>1</x:v>
      </x:c>
      <x:c r="R836" s="9" t="n">
        <x:f>H836*Z835*tun_WomenShare*tun_BaseFertility*INDEX(tun_FertMult,G836)*Arch_Fertility*(1-P836)</x:f>
        <x:v>0</x:v>
      </x:c>
      <x:c r="S836" s="9" t="n">
        <x:f>H836*Y835*INDEX(tun_MortChild,G836)/4*Q836</x:f>
        <x:v>0</x:v>
      </x:c>
      <x:c r="T836" s="9" t="n">
        <x:f>H836*Z835*INDEX(tun_MortAdult,G836)*Arch_AdultMort/4*Q836</x:f>
        <x:v>0</x:v>
      </x:c>
      <x:c r="U836" s="9" t="n">
        <x:f>H836*AA835*INDEX(tun_MortElder,G836)/4*Q836</x:f>
        <x:v>0</x:v>
      </x:c>
      <x:c r="V836" s="9" t="n">
        <x:f>H836*MAX(0,AB835-O836)*tun_OvercapLoss</x:f>
        <x:v>0</x:v>
      </x:c>
      <x:c r="W836" s="9" t="n">
        <x:f>H836*Y835/(tun_ChildYears*4)</x:f>
        <x:v>0</x:v>
      </x:c>
      <x:c r="X836" s="9" t="n">
        <x:f>H836*Z835/(tun_AdultYears*4)</x:f>
        <x:v>0</x:v>
      </x:c>
      <x:c r="Y836" s="32" t="n">
        <x:f>Y835+R836-S836-W836-Y835*V836/AB835</x:f>
        <x:v>40496.20709015643</x:v>
      </x:c>
      <x:c r="Z836" s="32" t="n">
        <x:f>Z835+W836-X836-T836-Z835*V836/AB835</x:f>
        <x:v>59141.61122890803</x:v>
      </x:c>
      <x:c r="AA836" s="32" t="n">
        <x:f>AA835+X836-U836-AA835*V836/AB835</x:f>
        <x:v>45530.62410925061</x:v>
      </x:c>
      <x:c r="AB836" s="10" t="n">
        <x:f>Y836+Z836+AA836</x:f>
        <x:v>145168.44242831506</x:v>
      </x:c>
      <x:c r="AC836" s="8" t="n">
        <x:f>IF(AND(tun_WinterTrigger=1,D836=1,AB835/AE835&gt;=K836),1,0)</x:f>
        <x:v>0</x:v>
      </x:c>
      <x:c r="AD836" s="8" t="n">
        <x:f>H836*IF(AND(OR(AB835/AE835&gt;=tun_FissionTrigger*N836,AC836=1),AB835/AE835*tun_DaughterShare&gt;=tun_MinDaughter),MAX(1,ROUND(AE835*tun_FissionRate,0)),0)</x:f>
        <x:v>0</x:v>
      </x:c>
      <x:c r="AE836" s="8" t="n">
        <x:f>IF(H836=1,MAX(1,MIN(INDEX(tun_Smax,G836),AE835+AD836)),AE835)</x:f>
        <x:v>9</x:v>
      </x:c>
      <x:c r="AF836" s="8" t="n">
        <x:f>MAX(0,AE836-AE835)</x:f>
        <x:v>0</x:v>
      </x:c>
      <x:c r="AG836" s="9" t="str">
        <x:f>IF(AF836&gt;0,B836,"")</x:f>
      </x:c>
      <x:c r="AH836" s="9" t="n">
        <x:f>IF(F836&gt;=1,1,(1+tun_LowTiesShare*(AE836-1))/AE836)</x:f>
        <x:v>1</x:v>
      </x:c>
      <x:c r="AI836" s="32" t="n">
        <x:f>(Z836+tun_ElderCommons*INDEX(LM_Elder,G836)*AA836)*AH836</x:f>
        <x:v>238215.0665857503</x:v>
      </x:c>
      <x:c r="AJ836" s="32" t="n">
        <x:f>H836*tun_CommonsCoef*AI836^tun_CommonsExp*INDEX(LM_Commons,G836)</x:f>
        <x:v>0</x:v>
      </x:c>
      <x:c r="AK836" s="32" t="n">
        <x:f>H836*tun_RoleScale*Arch_Roles*(AE836*(INDEX(tun_ElderRolePerSett,G836)*tun_OutElder*INDEX(LM_Elder,G836)+INDEX(tun_ShamanPerSett,G836)*tun_OutShaman)+Z836*(INDEX(tun_PriestShare,G836)*tun_OutPriest+INDEX(tun_ScribeShare,G836)*tun_OutScribe*INDEX(LM_Scribe,G836)+INDEX(tun_ScholarShare,G836)*tun_OutScholar*INDEX(LM_Scholar,G836)+INDEX(tun_ResearcherShare,G836)*tun_OutResearcher*INDEX(LM_Researcher,G836)))</x:f>
        <x:v>0</x:v>
      </x:c>
      <x:c r="AL836" s="32" t="n">
        <x:f>H836*tun_RoleScale*Arch_Roles*AE836*INDEX(tun_MonasteryPerSett,G836)*tun_OutMonastery*INDEX(LM_Monastery,G836)</x:f>
        <x:v>0</x:v>
      </x:c>
      <x:c r="AM836" s="32" t="n">
        <x:f>(AJ836+AK836+AL836)/4*INDEX(LM_All,G836)*INDEX(tun_Boon,G836)*Arch_Insight</x:f>
        <x:v>0</x:v>
      </x:c>
      <x:c r="AN836" s="32" t="n">
        <x:f>H836*(tun_KHPerAdult*Z836+tun_KHOfCommons*AJ836/4*INDEX(LM_All,G836))*tun_KHUsable*Arch_KH</x:f>
        <x:v>0</x:v>
      </x:c>
      <x:c r="AO836" s="32" t="n">
        <x:f>MIN(AP835+AN836,AM836*tun_KHMaxRatio)</x:f>
        <x:v>0</x:v>
      </x:c>
      <x:c r="AP836" s="32" t="n">
        <x:f>AP835+AN836-AO836</x:f>
        <x:v>0</x:v>
      </x:c>
      <x:c r="AQ836" s="32" t="n">
        <x:f>AM836+AO836</x:f>
        <x:v>0</x:v>
      </x:c>
      <x:c r="AR836" s="10" t="n">
        <x:f>IF(H836=1,INDEX(tun_Req,G836),0)</x:f>
        <x:v>0</x:v>
      </x:c>
      <x:c r="AS836" s="32" t="n">
        <x:f>IF(H836=1,IF(E836=1,AS835-AR835,AS835)+AQ836,0)</x:f>
        <x:v>0</x:v>
      </x:c>
      <x:c r="AT836" s="11" t="n">
        <x:f>IF(AR836&gt;0,MIN(1,AS836/AR836),1)</x:f>
        <x:v>1</x:v>
      </x:c>
      <x:c r="AU836" s="10" t="n">
        <x:f>AB836/INDEX(tun_RepScale,G836)</x:f>
        <x:v>290.3368848566301</x:v>
      </x:c>
      <x:c r="AV836" s="32" t="n">
        <x:f>AM836*60/tun_SeasonSeconds</x:f>
        <x:v>0</x:v>
      </x:c>
    </x:row>
    <x:row r="837">
      <x:c r="A837" s="8" t="n">
        <x:f>A836+1</x:f>
        <x:v>834</x:v>
      </x:c>
      <x:c r="B837" s="9" t="n">
        <x:f>A837*tun_SeasonSeconds/60</x:f>
        <x:v>208.5</x:v>
      </x:c>
      <x:c r="C837" s="9" t="n">
        <x:f>A837/4</x:f>
        <x:v>208.5</x:v>
      </x:c>
      <x:c r="D837" s="8" t="n">
        <x:f>IF(MOD(A837,4)=0,1,0)</x:f>
        <x:v>0</x:v>
      </x:c>
      <x:c r="E837" s="8" t="n">
        <x:f>IF(AND(F836&lt;=9,AS836&gt;=AR836),1,0)</x:f>
        <x:v>0</x:v>
      </x:c>
      <x:c r="F837" s="8" t="n">
        <x:f>MIN(10,F836+E837)</x:f>
        <x:v>10</x:v>
      </x:c>
      <x:c r="G837" s="8" t="n">
        <x:f>MIN(F837,9)+1</x:f>
        <x:v>10</x:v>
      </x:c>
      <x:c r="H837" s="8" t="n">
        <x:f>IF(F837&lt;=9,1,0)</x:f>
        <x:v>0</x:v>
      </x:c>
      <x:c r="I837" s="9" t="n">
        <x:f>MIN(10,F836+IF(AR836&gt;0,MIN(1,AS836/AR836),1))</x:f>
        <x:v>10</x:v>
      </x:c>
      <x:c r="J837" s="32" t="n">
        <x:f>INDEX(tun_FoodCap,G837)*Arch_FoodCap*EXP(tun_CapsByProject*SUMPRODUCT((Cap_Point&lt;=I837)*(Cap_Kind="Food")*Cap_Ln))</x:f>
        <x:v>18627.260449441455</x:v>
      </x:c>
      <x:c r="K837" s="32" t="n">
        <x:f>J837*MIN(1,tun_LeanBase*EXP(tun_CapsByProject*SUMPRODUCT((Cap_Point&lt;=I837)*(Cap_Kind="Lean")*Cap_Ln)))</x:f>
        <x:v>18627.260449441455</x:v>
      </x:c>
      <x:c r="L837" s="10" t="n">
        <x:f>INDEX(tun_HousingCap,G837)*EXP(tun_CapsByProject*SUMPRODUCT((Cap_Point&lt;=I837)*(Cap_Kind="Housing")*Cap_Ln))</x:f>
        <x:v>20528.974303173167</x:v>
      </x:c>
      <x:c r="M837" s="10" t="n">
        <x:f>INDEX(tun_GroupCap,G837)*tun_CohesionFactor*EXP(tun_CapsByProject*SUMPRODUCT((Cap_Point&lt;=I837)*(Cap_Kind="Group")*Cap_Ln))</x:f>
        <x:v>1000000.000000001</x:v>
      </x:c>
      <x:c r="N837" s="32" t="n">
        <x:f>MIN(J837,L837,M837)</x:f>
        <x:v>18627.260449441455</x:v>
      </x:c>
      <x:c r="O837" s="10" t="n">
        <x:f>AE836*N837</x:f>
        <x:v>167645.34404497308</x:v>
      </x:c>
      <x:c r="P837" s="9" t="n">
        <x:f>MIN(1,(AB836/(AE836*IF(tun_GroupInCrowding=1,N837,MIN(J837,L837))))^tun_CrowdingExp)</x:f>
        <x:v>0.4215841981292809</x:v>
      </x:c>
      <x:c r="Q837" s="9" t="n">
        <x:f>IF(D837=1,INDEX(tun_WinterMult,G837),1)</x:f>
        <x:v>1</x:v>
      </x:c>
      <x:c r="R837" s="9" t="n">
        <x:f>H837*Z836*tun_WomenShare*tun_BaseFertility*INDEX(tun_FertMult,G837)*Arch_Fertility*(1-P837)</x:f>
        <x:v>0</x:v>
      </x:c>
      <x:c r="S837" s="9" t="n">
        <x:f>H837*Y836*INDEX(tun_MortChild,G837)/4*Q837</x:f>
        <x:v>0</x:v>
      </x:c>
      <x:c r="T837" s="9" t="n">
        <x:f>H837*Z836*INDEX(tun_MortAdult,G837)*Arch_AdultMort/4*Q837</x:f>
        <x:v>0</x:v>
      </x:c>
      <x:c r="U837" s="9" t="n">
        <x:f>H837*AA836*INDEX(tun_MortElder,G837)/4*Q837</x:f>
        <x:v>0</x:v>
      </x:c>
      <x:c r="V837" s="9" t="n">
        <x:f>H837*MAX(0,AB836-O837)*tun_OvercapLoss</x:f>
        <x:v>0</x:v>
      </x:c>
      <x:c r="W837" s="9" t="n">
        <x:f>H837*Y836/(tun_ChildYears*4)</x:f>
        <x:v>0</x:v>
      </x:c>
      <x:c r="X837" s="9" t="n">
        <x:f>H837*Z836/(tun_AdultYears*4)</x:f>
        <x:v>0</x:v>
      </x:c>
      <x:c r="Y837" s="32" t="n">
        <x:f>Y836+R837-S837-W837-Y836*V837/AB836</x:f>
        <x:v>40496.20709015643</x:v>
      </x:c>
      <x:c r="Z837" s="32" t="n">
        <x:f>Z836+W837-X837-T837-Z836*V837/AB836</x:f>
        <x:v>59141.61122890803</x:v>
      </x:c>
      <x:c r="AA837" s="32" t="n">
        <x:f>AA836+X837-U837-AA836*V837/AB836</x:f>
        <x:v>45530.62410925061</x:v>
      </x:c>
      <x:c r="AB837" s="10" t="n">
        <x:f>Y837+Z837+AA837</x:f>
        <x:v>145168.44242831506</x:v>
      </x:c>
      <x:c r="AC837" s="8" t="n">
        <x:f>IF(AND(tun_WinterTrigger=1,D837=1,AB836/AE836&gt;=K837),1,0)</x:f>
        <x:v>0</x:v>
      </x:c>
      <x:c r="AD837" s="8" t="n">
        <x:f>H837*IF(AND(OR(AB836/AE836&gt;=tun_FissionTrigger*N837,AC837=1),AB836/AE836*tun_DaughterShare&gt;=tun_MinDaughter),MAX(1,ROUND(AE836*tun_FissionRate,0)),0)</x:f>
        <x:v>0</x:v>
      </x:c>
      <x:c r="AE837" s="8" t="n">
        <x:f>IF(H837=1,MAX(1,MIN(INDEX(tun_Smax,G837),AE836+AD837)),AE836)</x:f>
        <x:v>9</x:v>
      </x:c>
      <x:c r="AF837" s="8" t="n">
        <x:f>MAX(0,AE837-AE836)</x:f>
        <x:v>0</x:v>
      </x:c>
      <x:c r="AG837" s="9" t="str">
        <x:f>IF(AF837&gt;0,B837,"")</x:f>
      </x:c>
      <x:c r="AH837" s="9" t="n">
        <x:f>IF(F837&gt;=1,1,(1+tun_LowTiesShare*(AE837-1))/AE837)</x:f>
        <x:v>1</x:v>
      </x:c>
      <x:c r="AI837" s="32" t="n">
        <x:f>(Z837+tun_ElderCommons*INDEX(LM_Elder,G837)*AA837)*AH837</x:f>
        <x:v>238215.0665857503</x:v>
      </x:c>
      <x:c r="AJ837" s="32" t="n">
        <x:f>H837*tun_CommonsCoef*AI837^tun_CommonsExp*INDEX(LM_Commons,G837)</x:f>
        <x:v>0</x:v>
      </x:c>
      <x:c r="AK837" s="32" t="n">
        <x:f>H837*tun_RoleScale*Arch_Roles*(AE837*(INDEX(tun_ElderRolePerSett,G837)*tun_OutElder*INDEX(LM_Elder,G837)+INDEX(tun_ShamanPerSett,G837)*tun_OutShaman)+Z837*(INDEX(tun_PriestShare,G837)*tun_OutPriest+INDEX(tun_ScribeShare,G837)*tun_OutScribe*INDEX(LM_Scribe,G837)+INDEX(tun_ScholarShare,G837)*tun_OutScholar*INDEX(LM_Scholar,G837)+INDEX(tun_ResearcherShare,G837)*tun_OutResearcher*INDEX(LM_Researcher,G837)))</x:f>
        <x:v>0</x:v>
      </x:c>
      <x:c r="AL837" s="32" t="n">
        <x:f>H837*tun_RoleScale*Arch_Roles*AE837*INDEX(tun_MonasteryPerSett,G837)*tun_OutMonastery*INDEX(LM_Monastery,G837)</x:f>
        <x:v>0</x:v>
      </x:c>
      <x:c r="AM837" s="32" t="n">
        <x:f>(AJ837+AK837+AL837)/4*INDEX(LM_All,G837)*INDEX(tun_Boon,G837)*Arch_Insight</x:f>
        <x:v>0</x:v>
      </x:c>
      <x:c r="AN837" s="32" t="n">
        <x:f>H837*(tun_KHPerAdult*Z837+tun_KHOfCommons*AJ837/4*INDEX(LM_All,G837))*tun_KHUsable*Arch_KH</x:f>
        <x:v>0</x:v>
      </x:c>
      <x:c r="AO837" s="32" t="n">
        <x:f>MIN(AP836+AN837,AM837*tun_KHMaxRatio)</x:f>
        <x:v>0</x:v>
      </x:c>
      <x:c r="AP837" s="32" t="n">
        <x:f>AP836+AN837-AO837</x:f>
        <x:v>0</x:v>
      </x:c>
      <x:c r="AQ837" s="32" t="n">
        <x:f>AM837+AO837</x:f>
        <x:v>0</x:v>
      </x:c>
      <x:c r="AR837" s="10" t="n">
        <x:f>IF(H837=1,INDEX(tun_Req,G837),0)</x:f>
        <x:v>0</x:v>
      </x:c>
      <x:c r="AS837" s="32" t="n">
        <x:f>IF(H837=1,IF(E837=1,AS836-AR836,AS836)+AQ837,0)</x:f>
        <x:v>0</x:v>
      </x:c>
      <x:c r="AT837" s="11" t="n">
        <x:f>IF(AR837&gt;0,MIN(1,AS837/AR837),1)</x:f>
        <x:v>1</x:v>
      </x:c>
      <x:c r="AU837" s="10" t="n">
        <x:f>AB837/INDEX(tun_RepScale,G837)</x:f>
        <x:v>290.3368848566301</x:v>
      </x:c>
      <x:c r="AV837" s="32" t="n">
        <x:f>AM837*60/tun_SeasonSeconds</x:f>
        <x:v>0</x:v>
      </x:c>
    </x:row>
    <x:row r="838">
      <x:c r="A838" s="8" t="n">
        <x:f>A837+1</x:f>
        <x:v>835</x:v>
      </x:c>
      <x:c r="B838" s="9" t="n">
        <x:f>A838*tun_SeasonSeconds/60</x:f>
        <x:v>208.75</x:v>
      </x:c>
      <x:c r="C838" s="9" t="n">
        <x:f>A838/4</x:f>
        <x:v>208.75</x:v>
      </x:c>
      <x:c r="D838" s="8" t="n">
        <x:f>IF(MOD(A838,4)=0,1,0)</x:f>
        <x:v>0</x:v>
      </x:c>
      <x:c r="E838" s="8" t="n">
        <x:f>IF(AND(F837&lt;=9,AS837&gt;=AR837),1,0)</x:f>
        <x:v>0</x:v>
      </x:c>
      <x:c r="F838" s="8" t="n">
        <x:f>MIN(10,F837+E838)</x:f>
        <x:v>10</x:v>
      </x:c>
      <x:c r="G838" s="8" t="n">
        <x:f>MIN(F838,9)+1</x:f>
        <x:v>10</x:v>
      </x:c>
      <x:c r="H838" s="8" t="n">
        <x:f>IF(F838&lt;=9,1,0)</x:f>
        <x:v>0</x:v>
      </x:c>
      <x:c r="I838" s="9" t="n">
        <x:f>MIN(10,F837+IF(AR837&gt;0,MIN(1,AS837/AR837),1))</x:f>
        <x:v>10</x:v>
      </x:c>
      <x:c r="J838" s="32" t="n">
        <x:f>INDEX(tun_FoodCap,G838)*Arch_FoodCap*EXP(tun_CapsByProject*SUMPRODUCT((Cap_Point&lt;=I838)*(Cap_Kind="Food")*Cap_Ln))</x:f>
        <x:v>18627.260449441455</x:v>
      </x:c>
      <x:c r="K838" s="32" t="n">
        <x:f>J838*MIN(1,tun_LeanBase*EXP(tun_CapsByProject*SUMPRODUCT((Cap_Point&lt;=I838)*(Cap_Kind="Lean")*Cap_Ln)))</x:f>
        <x:v>18627.260449441455</x:v>
      </x:c>
      <x:c r="L838" s="10" t="n">
        <x:f>INDEX(tun_HousingCap,G838)*EXP(tun_CapsByProject*SUMPRODUCT((Cap_Point&lt;=I838)*(Cap_Kind="Housing")*Cap_Ln))</x:f>
        <x:v>20528.974303173167</x:v>
      </x:c>
      <x:c r="M838" s="10" t="n">
        <x:f>INDEX(tun_GroupCap,G838)*tun_CohesionFactor*EXP(tun_CapsByProject*SUMPRODUCT((Cap_Point&lt;=I838)*(Cap_Kind="Group")*Cap_Ln))</x:f>
        <x:v>1000000.000000001</x:v>
      </x:c>
      <x:c r="N838" s="32" t="n">
        <x:f>MIN(J838,L838,M838)</x:f>
        <x:v>18627.260449441455</x:v>
      </x:c>
      <x:c r="O838" s="10" t="n">
        <x:f>AE837*N838</x:f>
        <x:v>167645.34404497308</x:v>
      </x:c>
      <x:c r="P838" s="9" t="n">
        <x:f>MIN(1,(AB837/(AE837*IF(tun_GroupInCrowding=1,N838,MIN(J838,L838))))^tun_CrowdingExp)</x:f>
        <x:v>0.4215841981292809</x:v>
      </x:c>
      <x:c r="Q838" s="9" t="n">
        <x:f>IF(D838=1,INDEX(tun_WinterMult,G838),1)</x:f>
        <x:v>1</x:v>
      </x:c>
      <x:c r="R838" s="9" t="n">
        <x:f>H838*Z837*tun_WomenShare*tun_BaseFertility*INDEX(tun_FertMult,G838)*Arch_Fertility*(1-P838)</x:f>
        <x:v>0</x:v>
      </x:c>
      <x:c r="S838" s="9" t="n">
        <x:f>H838*Y837*INDEX(tun_MortChild,G838)/4*Q838</x:f>
        <x:v>0</x:v>
      </x:c>
      <x:c r="T838" s="9" t="n">
        <x:f>H838*Z837*INDEX(tun_MortAdult,G838)*Arch_AdultMort/4*Q838</x:f>
        <x:v>0</x:v>
      </x:c>
      <x:c r="U838" s="9" t="n">
        <x:f>H838*AA837*INDEX(tun_MortElder,G838)/4*Q838</x:f>
        <x:v>0</x:v>
      </x:c>
      <x:c r="V838" s="9" t="n">
        <x:f>H838*MAX(0,AB837-O838)*tun_OvercapLoss</x:f>
        <x:v>0</x:v>
      </x:c>
      <x:c r="W838" s="9" t="n">
        <x:f>H838*Y837/(tun_ChildYears*4)</x:f>
        <x:v>0</x:v>
      </x:c>
      <x:c r="X838" s="9" t="n">
        <x:f>H838*Z837/(tun_AdultYears*4)</x:f>
        <x:v>0</x:v>
      </x:c>
      <x:c r="Y838" s="32" t="n">
        <x:f>Y837+R838-S838-W838-Y837*V838/AB837</x:f>
        <x:v>40496.20709015643</x:v>
      </x:c>
      <x:c r="Z838" s="32" t="n">
        <x:f>Z837+W838-X838-T838-Z837*V838/AB837</x:f>
        <x:v>59141.61122890803</x:v>
      </x:c>
      <x:c r="AA838" s="32" t="n">
        <x:f>AA837+X838-U838-AA837*V838/AB837</x:f>
        <x:v>45530.62410925061</x:v>
      </x:c>
      <x:c r="AB838" s="10" t="n">
        <x:f>Y838+Z838+AA838</x:f>
        <x:v>145168.44242831506</x:v>
      </x:c>
      <x:c r="AC838" s="8" t="n">
        <x:f>IF(AND(tun_WinterTrigger=1,D838=1,AB837/AE837&gt;=K838),1,0)</x:f>
        <x:v>0</x:v>
      </x:c>
      <x:c r="AD838" s="8" t="n">
        <x:f>H838*IF(AND(OR(AB837/AE837&gt;=tun_FissionTrigger*N838,AC838=1),AB837/AE837*tun_DaughterShare&gt;=tun_MinDaughter),MAX(1,ROUND(AE837*tun_FissionRate,0)),0)</x:f>
        <x:v>0</x:v>
      </x:c>
      <x:c r="AE838" s="8" t="n">
        <x:f>IF(H838=1,MAX(1,MIN(INDEX(tun_Smax,G838),AE837+AD838)),AE837)</x:f>
        <x:v>9</x:v>
      </x:c>
      <x:c r="AF838" s="8" t="n">
        <x:f>MAX(0,AE838-AE837)</x:f>
        <x:v>0</x:v>
      </x:c>
      <x:c r="AG838" s="9" t="str">
        <x:f>IF(AF838&gt;0,B838,"")</x:f>
      </x:c>
      <x:c r="AH838" s="9" t="n">
        <x:f>IF(F838&gt;=1,1,(1+tun_LowTiesShare*(AE838-1))/AE838)</x:f>
        <x:v>1</x:v>
      </x:c>
      <x:c r="AI838" s="32" t="n">
        <x:f>(Z838+tun_ElderCommons*INDEX(LM_Elder,G838)*AA838)*AH838</x:f>
        <x:v>238215.0665857503</x:v>
      </x:c>
      <x:c r="AJ838" s="32" t="n">
        <x:f>H838*tun_CommonsCoef*AI838^tun_CommonsExp*INDEX(LM_Commons,G838)</x:f>
        <x:v>0</x:v>
      </x:c>
      <x:c r="AK838" s="32" t="n">
        <x:f>H838*tun_RoleScale*Arch_Roles*(AE838*(INDEX(tun_ElderRolePerSett,G838)*tun_OutElder*INDEX(LM_Elder,G838)+INDEX(tun_ShamanPerSett,G838)*tun_OutShaman)+Z838*(INDEX(tun_PriestShare,G838)*tun_OutPriest+INDEX(tun_ScribeShare,G838)*tun_OutScribe*INDEX(LM_Scribe,G838)+INDEX(tun_ScholarShare,G838)*tun_OutScholar*INDEX(LM_Scholar,G838)+INDEX(tun_ResearcherShare,G838)*tun_OutResearcher*INDEX(LM_Researcher,G838)))</x:f>
        <x:v>0</x:v>
      </x:c>
      <x:c r="AL838" s="32" t="n">
        <x:f>H838*tun_RoleScale*Arch_Roles*AE838*INDEX(tun_MonasteryPerSett,G838)*tun_OutMonastery*INDEX(LM_Monastery,G838)</x:f>
        <x:v>0</x:v>
      </x:c>
      <x:c r="AM838" s="32" t="n">
        <x:f>(AJ838+AK838+AL838)/4*INDEX(LM_All,G838)*INDEX(tun_Boon,G838)*Arch_Insight</x:f>
        <x:v>0</x:v>
      </x:c>
      <x:c r="AN838" s="32" t="n">
        <x:f>H838*(tun_KHPerAdult*Z838+tun_KHOfCommons*AJ838/4*INDEX(LM_All,G838))*tun_KHUsable*Arch_KH</x:f>
        <x:v>0</x:v>
      </x:c>
      <x:c r="AO838" s="32" t="n">
        <x:f>MIN(AP837+AN838,AM838*tun_KHMaxRatio)</x:f>
        <x:v>0</x:v>
      </x:c>
      <x:c r="AP838" s="32" t="n">
        <x:f>AP837+AN838-AO838</x:f>
        <x:v>0</x:v>
      </x:c>
      <x:c r="AQ838" s="32" t="n">
        <x:f>AM838+AO838</x:f>
        <x:v>0</x:v>
      </x:c>
      <x:c r="AR838" s="10" t="n">
        <x:f>IF(H838=1,INDEX(tun_Req,G838),0)</x:f>
        <x:v>0</x:v>
      </x:c>
      <x:c r="AS838" s="32" t="n">
        <x:f>IF(H838=1,IF(E838=1,AS837-AR837,AS837)+AQ838,0)</x:f>
        <x:v>0</x:v>
      </x:c>
      <x:c r="AT838" s="11" t="n">
        <x:f>IF(AR838&gt;0,MIN(1,AS838/AR838),1)</x:f>
        <x:v>1</x:v>
      </x:c>
      <x:c r="AU838" s="10" t="n">
        <x:f>AB838/INDEX(tun_RepScale,G838)</x:f>
        <x:v>290.3368848566301</x:v>
      </x:c>
      <x:c r="AV838" s="32" t="n">
        <x:f>AM838*60/tun_SeasonSeconds</x:f>
        <x:v>0</x:v>
      </x:c>
    </x:row>
    <x:row r="839">
      <x:c r="A839" s="8" t="n">
        <x:f>A838+1</x:f>
        <x:v>836</x:v>
      </x:c>
      <x:c r="B839" s="9" t="n">
        <x:f>A839*tun_SeasonSeconds/60</x:f>
        <x:v>209</x:v>
      </x:c>
      <x:c r="C839" s="9" t="n">
        <x:f>A839/4</x:f>
        <x:v>209</x:v>
      </x:c>
      <x:c r="D839" s="8" t="n">
        <x:f>IF(MOD(A839,4)=0,1,0)</x:f>
        <x:v>1</x:v>
      </x:c>
      <x:c r="E839" s="8" t="n">
        <x:f>IF(AND(F838&lt;=9,AS838&gt;=AR838),1,0)</x:f>
        <x:v>0</x:v>
      </x:c>
      <x:c r="F839" s="8" t="n">
        <x:f>MIN(10,F838+E839)</x:f>
        <x:v>10</x:v>
      </x:c>
      <x:c r="G839" s="8" t="n">
        <x:f>MIN(F839,9)+1</x:f>
        <x:v>10</x:v>
      </x:c>
      <x:c r="H839" s="8" t="n">
        <x:f>IF(F839&lt;=9,1,0)</x:f>
        <x:v>0</x:v>
      </x:c>
      <x:c r="I839" s="9" t="n">
        <x:f>MIN(10,F838+IF(AR838&gt;0,MIN(1,AS838/AR838),1))</x:f>
        <x:v>10</x:v>
      </x:c>
      <x:c r="J839" s="32" t="n">
        <x:f>INDEX(tun_FoodCap,G839)*Arch_FoodCap*EXP(tun_CapsByProject*SUMPRODUCT((Cap_Point&lt;=I839)*(Cap_Kind="Food")*Cap_Ln))</x:f>
        <x:v>18627.260449441455</x:v>
      </x:c>
      <x:c r="K839" s="32" t="n">
        <x:f>J839*MIN(1,tun_LeanBase*EXP(tun_CapsByProject*SUMPRODUCT((Cap_Point&lt;=I839)*(Cap_Kind="Lean")*Cap_Ln)))</x:f>
        <x:v>18627.260449441455</x:v>
      </x:c>
      <x:c r="L839" s="10" t="n">
        <x:f>INDEX(tun_HousingCap,G839)*EXP(tun_CapsByProject*SUMPRODUCT((Cap_Point&lt;=I839)*(Cap_Kind="Housing")*Cap_Ln))</x:f>
        <x:v>20528.974303173167</x:v>
      </x:c>
      <x:c r="M839" s="10" t="n">
        <x:f>INDEX(tun_GroupCap,G839)*tun_CohesionFactor*EXP(tun_CapsByProject*SUMPRODUCT((Cap_Point&lt;=I839)*(Cap_Kind="Group")*Cap_Ln))</x:f>
        <x:v>1000000.000000001</x:v>
      </x:c>
      <x:c r="N839" s="32" t="n">
        <x:f>MIN(J839,L839,M839)</x:f>
        <x:v>18627.260449441455</x:v>
      </x:c>
      <x:c r="O839" s="10" t="n">
        <x:f>AE838*N839</x:f>
        <x:v>167645.34404497308</x:v>
      </x:c>
      <x:c r="P839" s="9" t="n">
        <x:f>MIN(1,(AB838/(AE838*IF(tun_GroupInCrowding=1,N839,MIN(J839,L839))))^tun_CrowdingExp)</x:f>
        <x:v>0.4215841981292809</x:v>
      </x:c>
      <x:c r="Q839" s="9" t="n">
        <x:f>IF(D839=1,INDEX(tun_WinterMult,G839),1)</x:f>
        <x:v>1.05</x:v>
      </x:c>
      <x:c r="R839" s="9" t="n">
        <x:f>H839*Z838*tun_WomenShare*tun_BaseFertility*INDEX(tun_FertMult,G839)*Arch_Fertility*(1-P839)</x:f>
        <x:v>0</x:v>
      </x:c>
      <x:c r="S839" s="9" t="n">
        <x:f>H839*Y838*INDEX(tun_MortChild,G839)/4*Q839</x:f>
        <x:v>0</x:v>
      </x:c>
      <x:c r="T839" s="9" t="n">
        <x:f>H839*Z838*INDEX(tun_MortAdult,G839)*Arch_AdultMort/4*Q839</x:f>
        <x:v>0</x:v>
      </x:c>
      <x:c r="U839" s="9" t="n">
        <x:f>H839*AA838*INDEX(tun_MortElder,G839)/4*Q839</x:f>
        <x:v>0</x:v>
      </x:c>
      <x:c r="V839" s="9" t="n">
        <x:f>H839*MAX(0,AB838-O839)*tun_OvercapLoss</x:f>
        <x:v>0</x:v>
      </x:c>
      <x:c r="W839" s="9" t="n">
        <x:f>H839*Y838/(tun_ChildYears*4)</x:f>
        <x:v>0</x:v>
      </x:c>
      <x:c r="X839" s="9" t="n">
        <x:f>H839*Z838/(tun_AdultYears*4)</x:f>
        <x:v>0</x:v>
      </x:c>
      <x:c r="Y839" s="32" t="n">
        <x:f>Y838+R839-S839-W839-Y838*V839/AB838</x:f>
        <x:v>40496.20709015643</x:v>
      </x:c>
      <x:c r="Z839" s="32" t="n">
        <x:f>Z838+W839-X839-T839-Z838*V839/AB838</x:f>
        <x:v>59141.61122890803</x:v>
      </x:c>
      <x:c r="AA839" s="32" t="n">
        <x:f>AA838+X839-U839-AA838*V839/AB838</x:f>
        <x:v>45530.62410925061</x:v>
      </x:c>
      <x:c r="AB839" s="10" t="n">
        <x:f>Y839+Z839+AA839</x:f>
        <x:v>145168.44242831506</x:v>
      </x:c>
      <x:c r="AC839" s="8" t="n">
        <x:f>IF(AND(tun_WinterTrigger=1,D839=1,AB838/AE838&gt;=K839),1,0)</x:f>
        <x:v>0</x:v>
      </x:c>
      <x:c r="AD839" s="8" t="n">
        <x:f>H839*IF(AND(OR(AB838/AE838&gt;=tun_FissionTrigger*N839,AC839=1),AB838/AE838*tun_DaughterShare&gt;=tun_MinDaughter),MAX(1,ROUND(AE838*tun_FissionRate,0)),0)</x:f>
        <x:v>0</x:v>
      </x:c>
      <x:c r="AE839" s="8" t="n">
        <x:f>IF(H839=1,MAX(1,MIN(INDEX(tun_Smax,G839),AE838+AD839)),AE838)</x:f>
        <x:v>9</x:v>
      </x:c>
      <x:c r="AF839" s="8" t="n">
        <x:f>MAX(0,AE839-AE838)</x:f>
        <x:v>0</x:v>
      </x:c>
      <x:c r="AG839" s="9" t="str">
        <x:f>IF(AF839&gt;0,B839,"")</x:f>
      </x:c>
      <x:c r="AH839" s="9" t="n">
        <x:f>IF(F839&gt;=1,1,(1+tun_LowTiesShare*(AE839-1))/AE839)</x:f>
        <x:v>1</x:v>
      </x:c>
      <x:c r="AI839" s="32" t="n">
        <x:f>(Z839+tun_ElderCommons*INDEX(LM_Elder,G839)*AA839)*AH839</x:f>
        <x:v>238215.0665857503</x:v>
      </x:c>
      <x:c r="AJ839" s="32" t="n">
        <x:f>H839*tun_CommonsCoef*AI839^tun_CommonsExp*INDEX(LM_Commons,G839)</x:f>
        <x:v>0</x:v>
      </x:c>
      <x:c r="AK839" s="32" t="n">
        <x:f>H839*tun_RoleScale*Arch_Roles*(AE839*(INDEX(tun_ElderRolePerSett,G839)*tun_OutElder*INDEX(LM_Elder,G839)+INDEX(tun_ShamanPerSett,G839)*tun_OutShaman)+Z839*(INDEX(tun_PriestShare,G839)*tun_OutPriest+INDEX(tun_ScribeShare,G839)*tun_OutScribe*INDEX(LM_Scribe,G839)+INDEX(tun_ScholarShare,G839)*tun_OutScholar*INDEX(LM_Scholar,G839)+INDEX(tun_ResearcherShare,G839)*tun_OutResearcher*INDEX(LM_Researcher,G839)))</x:f>
        <x:v>0</x:v>
      </x:c>
      <x:c r="AL839" s="32" t="n">
        <x:f>H839*tun_RoleScale*Arch_Roles*AE839*INDEX(tun_MonasteryPerSett,G839)*tun_OutMonastery*INDEX(LM_Monastery,G839)</x:f>
        <x:v>0</x:v>
      </x:c>
      <x:c r="AM839" s="32" t="n">
        <x:f>(AJ839+AK839+AL839)/4*INDEX(LM_All,G839)*INDEX(tun_Boon,G839)*Arch_Insight</x:f>
        <x:v>0</x:v>
      </x:c>
      <x:c r="AN839" s="32" t="n">
        <x:f>H839*(tun_KHPerAdult*Z839+tun_KHOfCommons*AJ839/4*INDEX(LM_All,G839))*tun_KHUsable*Arch_KH</x:f>
        <x:v>0</x:v>
      </x:c>
      <x:c r="AO839" s="32" t="n">
        <x:f>MIN(AP838+AN839,AM839*tun_KHMaxRatio)</x:f>
        <x:v>0</x:v>
      </x:c>
      <x:c r="AP839" s="32" t="n">
        <x:f>AP838+AN839-AO839</x:f>
        <x:v>0</x:v>
      </x:c>
      <x:c r="AQ839" s="32" t="n">
        <x:f>AM839+AO839</x:f>
        <x:v>0</x:v>
      </x:c>
      <x:c r="AR839" s="10" t="n">
        <x:f>IF(H839=1,INDEX(tun_Req,G839),0)</x:f>
        <x:v>0</x:v>
      </x:c>
      <x:c r="AS839" s="32" t="n">
        <x:f>IF(H839=1,IF(E839=1,AS838-AR838,AS838)+AQ839,0)</x:f>
        <x:v>0</x:v>
      </x:c>
      <x:c r="AT839" s="11" t="n">
        <x:f>IF(AR839&gt;0,MIN(1,AS839/AR839),1)</x:f>
        <x:v>1</x:v>
      </x:c>
      <x:c r="AU839" s="10" t="n">
        <x:f>AB839/INDEX(tun_RepScale,G839)</x:f>
        <x:v>290.3368848566301</x:v>
      </x:c>
      <x:c r="AV839" s="32" t="n">
        <x:f>AM839*60/tun_SeasonSeconds</x:f>
        <x:v>0</x:v>
      </x:c>
    </x:row>
    <x:row r="840">
      <x:c r="A840" s="8" t="n">
        <x:f>A839+1</x:f>
        <x:v>837</x:v>
      </x:c>
      <x:c r="B840" s="9" t="n">
        <x:f>A840*tun_SeasonSeconds/60</x:f>
        <x:v>209.25</x:v>
      </x:c>
      <x:c r="C840" s="9" t="n">
        <x:f>A840/4</x:f>
        <x:v>209.25</x:v>
      </x:c>
      <x:c r="D840" s="8" t="n">
        <x:f>IF(MOD(A840,4)=0,1,0)</x:f>
        <x:v>0</x:v>
      </x:c>
      <x:c r="E840" s="8" t="n">
        <x:f>IF(AND(F839&lt;=9,AS839&gt;=AR839),1,0)</x:f>
        <x:v>0</x:v>
      </x:c>
      <x:c r="F840" s="8" t="n">
        <x:f>MIN(10,F839+E840)</x:f>
        <x:v>10</x:v>
      </x:c>
      <x:c r="G840" s="8" t="n">
        <x:f>MIN(F840,9)+1</x:f>
        <x:v>10</x:v>
      </x:c>
      <x:c r="H840" s="8" t="n">
        <x:f>IF(F840&lt;=9,1,0)</x:f>
        <x:v>0</x:v>
      </x:c>
      <x:c r="I840" s="9" t="n">
        <x:f>MIN(10,F839+IF(AR839&gt;0,MIN(1,AS839/AR839),1))</x:f>
        <x:v>10</x:v>
      </x:c>
      <x:c r="J840" s="32" t="n">
        <x:f>INDEX(tun_FoodCap,G840)*Arch_FoodCap*EXP(tun_CapsByProject*SUMPRODUCT((Cap_Point&lt;=I840)*(Cap_Kind="Food")*Cap_Ln))</x:f>
        <x:v>18627.260449441455</x:v>
      </x:c>
      <x:c r="K840" s="32" t="n">
        <x:f>J840*MIN(1,tun_LeanBase*EXP(tun_CapsByProject*SUMPRODUCT((Cap_Point&lt;=I840)*(Cap_Kind="Lean")*Cap_Ln)))</x:f>
        <x:v>18627.260449441455</x:v>
      </x:c>
      <x:c r="L840" s="10" t="n">
        <x:f>INDEX(tun_HousingCap,G840)*EXP(tun_CapsByProject*SUMPRODUCT((Cap_Point&lt;=I840)*(Cap_Kind="Housing")*Cap_Ln))</x:f>
        <x:v>20528.974303173167</x:v>
      </x:c>
      <x:c r="M840" s="10" t="n">
        <x:f>INDEX(tun_GroupCap,G840)*tun_CohesionFactor*EXP(tun_CapsByProject*SUMPRODUCT((Cap_Point&lt;=I840)*(Cap_Kind="Group")*Cap_Ln))</x:f>
        <x:v>1000000.000000001</x:v>
      </x:c>
      <x:c r="N840" s="32" t="n">
        <x:f>MIN(J840,L840,M840)</x:f>
        <x:v>18627.260449441455</x:v>
      </x:c>
      <x:c r="O840" s="10" t="n">
        <x:f>AE839*N840</x:f>
        <x:v>167645.34404497308</x:v>
      </x:c>
      <x:c r="P840" s="9" t="n">
        <x:f>MIN(1,(AB839/(AE839*IF(tun_GroupInCrowding=1,N840,MIN(J840,L840))))^tun_CrowdingExp)</x:f>
        <x:v>0.4215841981292809</x:v>
      </x:c>
      <x:c r="Q840" s="9" t="n">
        <x:f>IF(D840=1,INDEX(tun_WinterMult,G840),1)</x:f>
        <x:v>1</x:v>
      </x:c>
      <x:c r="R840" s="9" t="n">
        <x:f>H840*Z839*tun_WomenShare*tun_BaseFertility*INDEX(tun_FertMult,G840)*Arch_Fertility*(1-P840)</x:f>
        <x:v>0</x:v>
      </x:c>
      <x:c r="S840" s="9" t="n">
        <x:f>H840*Y839*INDEX(tun_MortChild,G840)/4*Q840</x:f>
        <x:v>0</x:v>
      </x:c>
      <x:c r="T840" s="9" t="n">
        <x:f>H840*Z839*INDEX(tun_MortAdult,G840)*Arch_AdultMort/4*Q840</x:f>
        <x:v>0</x:v>
      </x:c>
      <x:c r="U840" s="9" t="n">
        <x:f>H840*AA839*INDEX(tun_MortElder,G840)/4*Q840</x:f>
        <x:v>0</x:v>
      </x:c>
      <x:c r="V840" s="9" t="n">
        <x:f>H840*MAX(0,AB839-O840)*tun_OvercapLoss</x:f>
        <x:v>0</x:v>
      </x:c>
      <x:c r="W840" s="9" t="n">
        <x:f>H840*Y839/(tun_ChildYears*4)</x:f>
        <x:v>0</x:v>
      </x:c>
      <x:c r="X840" s="9" t="n">
        <x:f>H840*Z839/(tun_AdultYears*4)</x:f>
        <x:v>0</x:v>
      </x:c>
      <x:c r="Y840" s="32" t="n">
        <x:f>Y839+R840-S840-W840-Y839*V840/AB839</x:f>
        <x:v>40496.20709015643</x:v>
      </x:c>
      <x:c r="Z840" s="32" t="n">
        <x:f>Z839+W840-X840-T840-Z839*V840/AB839</x:f>
        <x:v>59141.61122890803</x:v>
      </x:c>
      <x:c r="AA840" s="32" t="n">
        <x:f>AA839+X840-U840-AA839*V840/AB839</x:f>
        <x:v>45530.62410925061</x:v>
      </x:c>
      <x:c r="AB840" s="10" t="n">
        <x:f>Y840+Z840+AA840</x:f>
        <x:v>145168.44242831506</x:v>
      </x:c>
      <x:c r="AC840" s="8" t="n">
        <x:f>IF(AND(tun_WinterTrigger=1,D840=1,AB839/AE839&gt;=K840),1,0)</x:f>
        <x:v>0</x:v>
      </x:c>
      <x:c r="AD840" s="8" t="n">
        <x:f>H840*IF(AND(OR(AB839/AE839&gt;=tun_FissionTrigger*N840,AC840=1),AB839/AE839*tun_DaughterShare&gt;=tun_MinDaughter),MAX(1,ROUND(AE839*tun_FissionRate,0)),0)</x:f>
        <x:v>0</x:v>
      </x:c>
      <x:c r="AE840" s="8" t="n">
        <x:f>IF(H840=1,MAX(1,MIN(INDEX(tun_Smax,G840),AE839+AD840)),AE839)</x:f>
        <x:v>9</x:v>
      </x:c>
      <x:c r="AF840" s="8" t="n">
        <x:f>MAX(0,AE840-AE839)</x:f>
        <x:v>0</x:v>
      </x:c>
      <x:c r="AG840" s="9" t="str">
        <x:f>IF(AF840&gt;0,B840,"")</x:f>
      </x:c>
      <x:c r="AH840" s="9" t="n">
        <x:f>IF(F840&gt;=1,1,(1+tun_LowTiesShare*(AE840-1))/AE840)</x:f>
        <x:v>1</x:v>
      </x:c>
      <x:c r="AI840" s="32" t="n">
        <x:f>(Z840+tun_ElderCommons*INDEX(LM_Elder,G840)*AA840)*AH840</x:f>
        <x:v>238215.0665857503</x:v>
      </x:c>
      <x:c r="AJ840" s="32" t="n">
        <x:f>H840*tun_CommonsCoef*AI840^tun_CommonsExp*INDEX(LM_Commons,G840)</x:f>
        <x:v>0</x:v>
      </x:c>
      <x:c r="AK840" s="32" t="n">
        <x:f>H840*tun_RoleScale*Arch_Roles*(AE840*(INDEX(tun_ElderRolePerSett,G840)*tun_OutElder*INDEX(LM_Elder,G840)+INDEX(tun_ShamanPerSett,G840)*tun_OutShaman)+Z840*(INDEX(tun_PriestShare,G840)*tun_OutPriest+INDEX(tun_ScribeShare,G840)*tun_OutScribe*INDEX(LM_Scribe,G840)+INDEX(tun_ScholarShare,G840)*tun_OutScholar*INDEX(LM_Scholar,G840)+INDEX(tun_ResearcherShare,G840)*tun_OutResearcher*INDEX(LM_Researcher,G840)))</x:f>
        <x:v>0</x:v>
      </x:c>
      <x:c r="AL840" s="32" t="n">
        <x:f>H840*tun_RoleScale*Arch_Roles*AE840*INDEX(tun_MonasteryPerSett,G840)*tun_OutMonastery*INDEX(LM_Monastery,G840)</x:f>
        <x:v>0</x:v>
      </x:c>
      <x:c r="AM840" s="32" t="n">
        <x:f>(AJ840+AK840+AL840)/4*INDEX(LM_All,G840)*INDEX(tun_Boon,G840)*Arch_Insight</x:f>
        <x:v>0</x:v>
      </x:c>
      <x:c r="AN840" s="32" t="n">
        <x:f>H840*(tun_KHPerAdult*Z840+tun_KHOfCommons*AJ840/4*INDEX(LM_All,G840))*tun_KHUsable*Arch_KH</x:f>
        <x:v>0</x:v>
      </x:c>
      <x:c r="AO840" s="32" t="n">
        <x:f>MIN(AP839+AN840,AM840*tun_KHMaxRatio)</x:f>
        <x:v>0</x:v>
      </x:c>
      <x:c r="AP840" s="32" t="n">
        <x:f>AP839+AN840-AO840</x:f>
        <x:v>0</x:v>
      </x:c>
      <x:c r="AQ840" s="32" t="n">
        <x:f>AM840+AO840</x:f>
        <x:v>0</x:v>
      </x:c>
      <x:c r="AR840" s="10" t="n">
        <x:f>IF(H840=1,INDEX(tun_Req,G840),0)</x:f>
        <x:v>0</x:v>
      </x:c>
      <x:c r="AS840" s="32" t="n">
        <x:f>IF(H840=1,IF(E840=1,AS839-AR839,AS839)+AQ840,0)</x:f>
        <x:v>0</x:v>
      </x:c>
      <x:c r="AT840" s="11" t="n">
        <x:f>IF(AR840&gt;0,MIN(1,AS840/AR840),1)</x:f>
        <x:v>1</x:v>
      </x:c>
      <x:c r="AU840" s="10" t="n">
        <x:f>AB840/INDEX(tun_RepScale,G840)</x:f>
        <x:v>290.3368848566301</x:v>
      </x:c>
      <x:c r="AV840" s="32" t="n">
        <x:f>AM840*60/tun_SeasonSeconds</x:f>
        <x:v>0</x:v>
      </x:c>
    </x:row>
    <x:row r="841">
      <x:c r="A841" s="8" t="n">
        <x:f>A840+1</x:f>
        <x:v>838</x:v>
      </x:c>
      <x:c r="B841" s="9" t="n">
        <x:f>A841*tun_SeasonSeconds/60</x:f>
        <x:v>209.5</x:v>
      </x:c>
      <x:c r="C841" s="9" t="n">
        <x:f>A841/4</x:f>
        <x:v>209.5</x:v>
      </x:c>
      <x:c r="D841" s="8" t="n">
        <x:f>IF(MOD(A841,4)=0,1,0)</x:f>
        <x:v>0</x:v>
      </x:c>
      <x:c r="E841" s="8" t="n">
        <x:f>IF(AND(F840&lt;=9,AS840&gt;=AR840),1,0)</x:f>
        <x:v>0</x:v>
      </x:c>
      <x:c r="F841" s="8" t="n">
        <x:f>MIN(10,F840+E841)</x:f>
        <x:v>10</x:v>
      </x:c>
      <x:c r="G841" s="8" t="n">
        <x:f>MIN(F841,9)+1</x:f>
        <x:v>10</x:v>
      </x:c>
      <x:c r="H841" s="8" t="n">
        <x:f>IF(F841&lt;=9,1,0)</x:f>
        <x:v>0</x:v>
      </x:c>
      <x:c r="I841" s="9" t="n">
        <x:f>MIN(10,F840+IF(AR840&gt;0,MIN(1,AS840/AR840),1))</x:f>
        <x:v>10</x:v>
      </x:c>
      <x:c r="J841" s="32" t="n">
        <x:f>INDEX(tun_FoodCap,G841)*Arch_FoodCap*EXP(tun_CapsByProject*SUMPRODUCT((Cap_Point&lt;=I841)*(Cap_Kind="Food")*Cap_Ln))</x:f>
        <x:v>18627.260449441455</x:v>
      </x:c>
      <x:c r="K841" s="32" t="n">
        <x:f>J841*MIN(1,tun_LeanBase*EXP(tun_CapsByProject*SUMPRODUCT((Cap_Point&lt;=I841)*(Cap_Kind="Lean")*Cap_Ln)))</x:f>
        <x:v>18627.260449441455</x:v>
      </x:c>
      <x:c r="L841" s="10" t="n">
        <x:f>INDEX(tun_HousingCap,G841)*EXP(tun_CapsByProject*SUMPRODUCT((Cap_Point&lt;=I841)*(Cap_Kind="Housing")*Cap_Ln))</x:f>
        <x:v>20528.974303173167</x:v>
      </x:c>
      <x:c r="M841" s="10" t="n">
        <x:f>INDEX(tun_GroupCap,G841)*tun_CohesionFactor*EXP(tun_CapsByProject*SUMPRODUCT((Cap_Point&lt;=I841)*(Cap_Kind="Group")*Cap_Ln))</x:f>
        <x:v>1000000.000000001</x:v>
      </x:c>
      <x:c r="N841" s="32" t="n">
        <x:f>MIN(J841,L841,M841)</x:f>
        <x:v>18627.260449441455</x:v>
      </x:c>
      <x:c r="O841" s="10" t="n">
        <x:f>AE840*N841</x:f>
        <x:v>167645.34404497308</x:v>
      </x:c>
      <x:c r="P841" s="9" t="n">
        <x:f>MIN(1,(AB840/(AE840*IF(tun_GroupInCrowding=1,N841,MIN(J841,L841))))^tun_CrowdingExp)</x:f>
        <x:v>0.4215841981292809</x:v>
      </x:c>
      <x:c r="Q841" s="9" t="n">
        <x:f>IF(D841=1,INDEX(tun_WinterMult,G841),1)</x:f>
        <x:v>1</x:v>
      </x:c>
      <x:c r="R841" s="9" t="n">
        <x:f>H841*Z840*tun_WomenShare*tun_BaseFertility*INDEX(tun_FertMult,G841)*Arch_Fertility*(1-P841)</x:f>
        <x:v>0</x:v>
      </x:c>
      <x:c r="S841" s="9" t="n">
        <x:f>H841*Y840*INDEX(tun_MortChild,G841)/4*Q841</x:f>
        <x:v>0</x:v>
      </x:c>
      <x:c r="T841" s="9" t="n">
        <x:f>H841*Z840*INDEX(tun_MortAdult,G841)*Arch_AdultMort/4*Q841</x:f>
        <x:v>0</x:v>
      </x:c>
      <x:c r="U841" s="9" t="n">
        <x:f>H841*AA840*INDEX(tun_MortElder,G841)/4*Q841</x:f>
        <x:v>0</x:v>
      </x:c>
      <x:c r="V841" s="9" t="n">
        <x:f>H841*MAX(0,AB840-O841)*tun_OvercapLoss</x:f>
        <x:v>0</x:v>
      </x:c>
      <x:c r="W841" s="9" t="n">
        <x:f>H841*Y840/(tun_ChildYears*4)</x:f>
        <x:v>0</x:v>
      </x:c>
      <x:c r="X841" s="9" t="n">
        <x:f>H841*Z840/(tun_AdultYears*4)</x:f>
        <x:v>0</x:v>
      </x:c>
      <x:c r="Y841" s="32" t="n">
        <x:f>Y840+R841-S841-W841-Y840*V841/AB840</x:f>
        <x:v>40496.20709015643</x:v>
      </x:c>
      <x:c r="Z841" s="32" t="n">
        <x:f>Z840+W841-X841-T841-Z840*V841/AB840</x:f>
        <x:v>59141.61122890803</x:v>
      </x:c>
      <x:c r="AA841" s="32" t="n">
        <x:f>AA840+X841-U841-AA840*V841/AB840</x:f>
        <x:v>45530.62410925061</x:v>
      </x:c>
      <x:c r="AB841" s="10" t="n">
        <x:f>Y841+Z841+AA841</x:f>
        <x:v>145168.44242831506</x:v>
      </x:c>
      <x:c r="AC841" s="8" t="n">
        <x:f>IF(AND(tun_WinterTrigger=1,D841=1,AB840/AE840&gt;=K841),1,0)</x:f>
        <x:v>0</x:v>
      </x:c>
      <x:c r="AD841" s="8" t="n">
        <x:f>H841*IF(AND(OR(AB840/AE840&gt;=tun_FissionTrigger*N841,AC841=1),AB840/AE840*tun_DaughterShare&gt;=tun_MinDaughter),MAX(1,ROUND(AE840*tun_FissionRate,0)),0)</x:f>
        <x:v>0</x:v>
      </x:c>
      <x:c r="AE841" s="8" t="n">
        <x:f>IF(H841=1,MAX(1,MIN(INDEX(tun_Smax,G841),AE840+AD841)),AE840)</x:f>
        <x:v>9</x:v>
      </x:c>
      <x:c r="AF841" s="8" t="n">
        <x:f>MAX(0,AE841-AE840)</x:f>
        <x:v>0</x:v>
      </x:c>
      <x:c r="AG841" s="9" t="str">
        <x:f>IF(AF841&gt;0,B841,"")</x:f>
      </x:c>
      <x:c r="AH841" s="9" t="n">
        <x:f>IF(F841&gt;=1,1,(1+tun_LowTiesShare*(AE841-1))/AE841)</x:f>
        <x:v>1</x:v>
      </x:c>
      <x:c r="AI841" s="32" t="n">
        <x:f>(Z841+tun_ElderCommons*INDEX(LM_Elder,G841)*AA841)*AH841</x:f>
        <x:v>238215.0665857503</x:v>
      </x:c>
      <x:c r="AJ841" s="32" t="n">
        <x:f>H841*tun_CommonsCoef*AI841^tun_CommonsExp*INDEX(LM_Commons,G841)</x:f>
        <x:v>0</x:v>
      </x:c>
      <x:c r="AK841" s="32" t="n">
        <x:f>H841*tun_RoleScale*Arch_Roles*(AE841*(INDEX(tun_ElderRolePerSett,G841)*tun_OutElder*INDEX(LM_Elder,G841)+INDEX(tun_ShamanPerSett,G841)*tun_OutShaman)+Z841*(INDEX(tun_PriestShare,G841)*tun_OutPriest+INDEX(tun_ScribeShare,G841)*tun_OutScribe*INDEX(LM_Scribe,G841)+INDEX(tun_ScholarShare,G841)*tun_OutScholar*INDEX(LM_Scholar,G841)+INDEX(tun_ResearcherShare,G841)*tun_OutResearcher*INDEX(LM_Researcher,G841)))</x:f>
        <x:v>0</x:v>
      </x:c>
      <x:c r="AL841" s="32" t="n">
        <x:f>H841*tun_RoleScale*Arch_Roles*AE841*INDEX(tun_MonasteryPerSett,G841)*tun_OutMonastery*INDEX(LM_Monastery,G841)</x:f>
        <x:v>0</x:v>
      </x:c>
      <x:c r="AM841" s="32" t="n">
        <x:f>(AJ841+AK841+AL841)/4*INDEX(LM_All,G841)*INDEX(tun_Boon,G841)*Arch_Insight</x:f>
        <x:v>0</x:v>
      </x:c>
      <x:c r="AN841" s="32" t="n">
        <x:f>H841*(tun_KHPerAdult*Z841+tun_KHOfCommons*AJ841/4*INDEX(LM_All,G841))*tun_KHUsable*Arch_KH</x:f>
        <x:v>0</x:v>
      </x:c>
      <x:c r="AO841" s="32" t="n">
        <x:f>MIN(AP840+AN841,AM841*tun_KHMaxRatio)</x:f>
        <x:v>0</x:v>
      </x:c>
      <x:c r="AP841" s="32" t="n">
        <x:f>AP840+AN841-AO841</x:f>
        <x:v>0</x:v>
      </x:c>
      <x:c r="AQ841" s="32" t="n">
        <x:f>AM841+AO841</x:f>
        <x:v>0</x:v>
      </x:c>
      <x:c r="AR841" s="10" t="n">
        <x:f>IF(H841=1,INDEX(tun_Req,G841),0)</x:f>
        <x:v>0</x:v>
      </x:c>
      <x:c r="AS841" s="32" t="n">
        <x:f>IF(H841=1,IF(E841=1,AS840-AR840,AS840)+AQ841,0)</x:f>
        <x:v>0</x:v>
      </x:c>
      <x:c r="AT841" s="11" t="n">
        <x:f>IF(AR841&gt;0,MIN(1,AS841/AR841),1)</x:f>
        <x:v>1</x:v>
      </x:c>
      <x:c r="AU841" s="10" t="n">
        <x:f>AB841/INDEX(tun_RepScale,G841)</x:f>
        <x:v>290.3368848566301</x:v>
      </x:c>
      <x:c r="AV841" s="32" t="n">
        <x:f>AM841*60/tun_SeasonSeconds</x:f>
        <x:v>0</x:v>
      </x:c>
    </x:row>
    <x:row r="842">
      <x:c r="A842" s="8" t="n">
        <x:f>A841+1</x:f>
        <x:v>839</x:v>
      </x:c>
      <x:c r="B842" s="9" t="n">
        <x:f>A842*tun_SeasonSeconds/60</x:f>
        <x:v>209.75</x:v>
      </x:c>
      <x:c r="C842" s="9" t="n">
        <x:f>A842/4</x:f>
        <x:v>209.75</x:v>
      </x:c>
      <x:c r="D842" s="8" t="n">
        <x:f>IF(MOD(A842,4)=0,1,0)</x:f>
        <x:v>0</x:v>
      </x:c>
      <x:c r="E842" s="8" t="n">
        <x:f>IF(AND(F841&lt;=9,AS841&gt;=AR841),1,0)</x:f>
        <x:v>0</x:v>
      </x:c>
      <x:c r="F842" s="8" t="n">
        <x:f>MIN(10,F841+E842)</x:f>
        <x:v>10</x:v>
      </x:c>
      <x:c r="G842" s="8" t="n">
        <x:f>MIN(F842,9)+1</x:f>
        <x:v>10</x:v>
      </x:c>
      <x:c r="H842" s="8" t="n">
        <x:f>IF(F842&lt;=9,1,0)</x:f>
        <x:v>0</x:v>
      </x:c>
      <x:c r="I842" s="9" t="n">
        <x:f>MIN(10,F841+IF(AR841&gt;0,MIN(1,AS841/AR841),1))</x:f>
        <x:v>10</x:v>
      </x:c>
      <x:c r="J842" s="32" t="n">
        <x:f>INDEX(tun_FoodCap,G842)*Arch_FoodCap*EXP(tun_CapsByProject*SUMPRODUCT((Cap_Point&lt;=I842)*(Cap_Kind="Food")*Cap_Ln))</x:f>
        <x:v>18627.260449441455</x:v>
      </x:c>
      <x:c r="K842" s="32" t="n">
        <x:f>J842*MIN(1,tun_LeanBase*EXP(tun_CapsByProject*SUMPRODUCT((Cap_Point&lt;=I842)*(Cap_Kind="Lean")*Cap_Ln)))</x:f>
        <x:v>18627.260449441455</x:v>
      </x:c>
      <x:c r="L842" s="10" t="n">
        <x:f>INDEX(tun_HousingCap,G842)*EXP(tun_CapsByProject*SUMPRODUCT((Cap_Point&lt;=I842)*(Cap_Kind="Housing")*Cap_Ln))</x:f>
        <x:v>20528.974303173167</x:v>
      </x:c>
      <x:c r="M842" s="10" t="n">
        <x:f>INDEX(tun_GroupCap,G842)*tun_CohesionFactor*EXP(tun_CapsByProject*SUMPRODUCT((Cap_Point&lt;=I842)*(Cap_Kind="Group")*Cap_Ln))</x:f>
        <x:v>1000000.000000001</x:v>
      </x:c>
      <x:c r="N842" s="32" t="n">
        <x:f>MIN(J842,L842,M842)</x:f>
        <x:v>18627.260449441455</x:v>
      </x:c>
      <x:c r="O842" s="10" t="n">
        <x:f>AE841*N842</x:f>
        <x:v>167645.34404497308</x:v>
      </x:c>
      <x:c r="P842" s="9" t="n">
        <x:f>MIN(1,(AB841/(AE841*IF(tun_GroupInCrowding=1,N842,MIN(J842,L842))))^tun_CrowdingExp)</x:f>
        <x:v>0.4215841981292809</x:v>
      </x:c>
      <x:c r="Q842" s="9" t="n">
        <x:f>IF(D842=1,INDEX(tun_WinterMult,G842),1)</x:f>
        <x:v>1</x:v>
      </x:c>
      <x:c r="R842" s="9" t="n">
        <x:f>H842*Z841*tun_WomenShare*tun_BaseFertility*INDEX(tun_FertMult,G842)*Arch_Fertility*(1-P842)</x:f>
        <x:v>0</x:v>
      </x:c>
      <x:c r="S842" s="9" t="n">
        <x:f>H842*Y841*INDEX(tun_MortChild,G842)/4*Q842</x:f>
        <x:v>0</x:v>
      </x:c>
      <x:c r="T842" s="9" t="n">
        <x:f>H842*Z841*INDEX(tun_MortAdult,G842)*Arch_AdultMort/4*Q842</x:f>
        <x:v>0</x:v>
      </x:c>
      <x:c r="U842" s="9" t="n">
        <x:f>H842*AA841*INDEX(tun_MortElder,G842)/4*Q842</x:f>
        <x:v>0</x:v>
      </x:c>
      <x:c r="V842" s="9" t="n">
        <x:f>H842*MAX(0,AB841-O842)*tun_OvercapLoss</x:f>
        <x:v>0</x:v>
      </x:c>
      <x:c r="W842" s="9" t="n">
        <x:f>H842*Y841/(tun_ChildYears*4)</x:f>
        <x:v>0</x:v>
      </x:c>
      <x:c r="X842" s="9" t="n">
        <x:f>H842*Z841/(tun_AdultYears*4)</x:f>
        <x:v>0</x:v>
      </x:c>
      <x:c r="Y842" s="32" t="n">
        <x:f>Y841+R842-S842-W842-Y841*V842/AB841</x:f>
        <x:v>40496.20709015643</x:v>
      </x:c>
      <x:c r="Z842" s="32" t="n">
        <x:f>Z841+W842-X842-T842-Z841*V842/AB841</x:f>
        <x:v>59141.61122890803</x:v>
      </x:c>
      <x:c r="AA842" s="32" t="n">
        <x:f>AA841+X842-U842-AA841*V842/AB841</x:f>
        <x:v>45530.62410925061</x:v>
      </x:c>
      <x:c r="AB842" s="10" t="n">
        <x:f>Y842+Z842+AA842</x:f>
        <x:v>145168.44242831506</x:v>
      </x:c>
      <x:c r="AC842" s="8" t="n">
        <x:f>IF(AND(tun_WinterTrigger=1,D842=1,AB841/AE841&gt;=K842),1,0)</x:f>
        <x:v>0</x:v>
      </x:c>
      <x:c r="AD842" s="8" t="n">
        <x:f>H842*IF(AND(OR(AB841/AE841&gt;=tun_FissionTrigger*N842,AC842=1),AB841/AE841*tun_DaughterShare&gt;=tun_MinDaughter),MAX(1,ROUND(AE841*tun_FissionRate,0)),0)</x:f>
        <x:v>0</x:v>
      </x:c>
      <x:c r="AE842" s="8" t="n">
        <x:f>IF(H842=1,MAX(1,MIN(INDEX(tun_Smax,G842),AE841+AD842)),AE841)</x:f>
        <x:v>9</x:v>
      </x:c>
      <x:c r="AF842" s="8" t="n">
        <x:f>MAX(0,AE842-AE841)</x:f>
        <x:v>0</x:v>
      </x:c>
      <x:c r="AG842" s="9" t="str">
        <x:f>IF(AF842&gt;0,B842,"")</x:f>
      </x:c>
      <x:c r="AH842" s="9" t="n">
        <x:f>IF(F842&gt;=1,1,(1+tun_LowTiesShare*(AE842-1))/AE842)</x:f>
        <x:v>1</x:v>
      </x:c>
      <x:c r="AI842" s="32" t="n">
        <x:f>(Z842+tun_ElderCommons*INDEX(LM_Elder,G842)*AA842)*AH842</x:f>
        <x:v>238215.0665857503</x:v>
      </x:c>
      <x:c r="AJ842" s="32" t="n">
        <x:f>H842*tun_CommonsCoef*AI842^tun_CommonsExp*INDEX(LM_Commons,G842)</x:f>
        <x:v>0</x:v>
      </x:c>
      <x:c r="AK842" s="32" t="n">
        <x:f>H842*tun_RoleScale*Arch_Roles*(AE842*(INDEX(tun_ElderRolePerSett,G842)*tun_OutElder*INDEX(LM_Elder,G842)+INDEX(tun_ShamanPerSett,G842)*tun_OutShaman)+Z842*(INDEX(tun_PriestShare,G842)*tun_OutPriest+INDEX(tun_ScribeShare,G842)*tun_OutScribe*INDEX(LM_Scribe,G842)+INDEX(tun_ScholarShare,G842)*tun_OutScholar*INDEX(LM_Scholar,G842)+INDEX(tun_ResearcherShare,G842)*tun_OutResearcher*INDEX(LM_Researcher,G842)))</x:f>
        <x:v>0</x:v>
      </x:c>
      <x:c r="AL842" s="32" t="n">
        <x:f>H842*tun_RoleScale*Arch_Roles*AE842*INDEX(tun_MonasteryPerSett,G842)*tun_OutMonastery*INDEX(LM_Monastery,G842)</x:f>
        <x:v>0</x:v>
      </x:c>
      <x:c r="AM842" s="32" t="n">
        <x:f>(AJ842+AK842+AL842)/4*INDEX(LM_All,G842)*INDEX(tun_Boon,G842)*Arch_Insight</x:f>
        <x:v>0</x:v>
      </x:c>
      <x:c r="AN842" s="32" t="n">
        <x:f>H842*(tun_KHPerAdult*Z842+tun_KHOfCommons*AJ842/4*INDEX(LM_All,G842))*tun_KHUsable*Arch_KH</x:f>
        <x:v>0</x:v>
      </x:c>
      <x:c r="AO842" s="32" t="n">
        <x:f>MIN(AP841+AN842,AM842*tun_KHMaxRatio)</x:f>
        <x:v>0</x:v>
      </x:c>
      <x:c r="AP842" s="32" t="n">
        <x:f>AP841+AN842-AO842</x:f>
        <x:v>0</x:v>
      </x:c>
      <x:c r="AQ842" s="32" t="n">
        <x:f>AM842+AO842</x:f>
        <x:v>0</x:v>
      </x:c>
      <x:c r="AR842" s="10" t="n">
        <x:f>IF(H842=1,INDEX(tun_Req,G842),0)</x:f>
        <x:v>0</x:v>
      </x:c>
      <x:c r="AS842" s="32" t="n">
        <x:f>IF(H842=1,IF(E842=1,AS841-AR841,AS841)+AQ842,0)</x:f>
        <x:v>0</x:v>
      </x:c>
      <x:c r="AT842" s="11" t="n">
        <x:f>IF(AR842&gt;0,MIN(1,AS842/AR842),1)</x:f>
        <x:v>1</x:v>
      </x:c>
      <x:c r="AU842" s="10" t="n">
        <x:f>AB842/INDEX(tun_RepScale,G842)</x:f>
        <x:v>290.3368848566301</x:v>
      </x:c>
      <x:c r="AV842" s="32" t="n">
        <x:f>AM842*60/tun_SeasonSeconds</x:f>
        <x:v>0</x:v>
      </x:c>
    </x:row>
    <x:row r="843">
      <x:c r="A843" s="8" t="n">
        <x:f>A842+1</x:f>
        <x:v>840</x:v>
      </x:c>
      <x:c r="B843" s="9" t="n">
        <x:f>A843*tun_SeasonSeconds/60</x:f>
        <x:v>210</x:v>
      </x:c>
      <x:c r="C843" s="9" t="n">
        <x:f>A843/4</x:f>
        <x:v>210</x:v>
      </x:c>
      <x:c r="D843" s="8" t="n">
        <x:f>IF(MOD(A843,4)=0,1,0)</x:f>
        <x:v>1</x:v>
      </x:c>
      <x:c r="E843" s="8" t="n">
        <x:f>IF(AND(F842&lt;=9,AS842&gt;=AR842),1,0)</x:f>
        <x:v>0</x:v>
      </x:c>
      <x:c r="F843" s="8" t="n">
        <x:f>MIN(10,F842+E843)</x:f>
        <x:v>10</x:v>
      </x:c>
      <x:c r="G843" s="8" t="n">
        <x:f>MIN(F843,9)+1</x:f>
        <x:v>10</x:v>
      </x:c>
      <x:c r="H843" s="8" t="n">
        <x:f>IF(F843&lt;=9,1,0)</x:f>
        <x:v>0</x:v>
      </x:c>
      <x:c r="I843" s="9" t="n">
        <x:f>MIN(10,F842+IF(AR842&gt;0,MIN(1,AS842/AR842),1))</x:f>
        <x:v>10</x:v>
      </x:c>
      <x:c r="J843" s="32" t="n">
        <x:f>INDEX(tun_FoodCap,G843)*Arch_FoodCap*EXP(tun_CapsByProject*SUMPRODUCT((Cap_Point&lt;=I843)*(Cap_Kind="Food")*Cap_Ln))</x:f>
        <x:v>18627.260449441455</x:v>
      </x:c>
      <x:c r="K843" s="32" t="n">
        <x:f>J843*MIN(1,tun_LeanBase*EXP(tun_CapsByProject*SUMPRODUCT((Cap_Point&lt;=I843)*(Cap_Kind="Lean")*Cap_Ln)))</x:f>
        <x:v>18627.260449441455</x:v>
      </x:c>
      <x:c r="L843" s="10" t="n">
        <x:f>INDEX(tun_HousingCap,G843)*EXP(tun_CapsByProject*SUMPRODUCT((Cap_Point&lt;=I843)*(Cap_Kind="Housing")*Cap_Ln))</x:f>
        <x:v>20528.974303173167</x:v>
      </x:c>
      <x:c r="M843" s="10" t="n">
        <x:f>INDEX(tun_GroupCap,G843)*tun_CohesionFactor*EXP(tun_CapsByProject*SUMPRODUCT((Cap_Point&lt;=I843)*(Cap_Kind="Group")*Cap_Ln))</x:f>
        <x:v>1000000.000000001</x:v>
      </x:c>
      <x:c r="N843" s="32" t="n">
        <x:f>MIN(J843,L843,M843)</x:f>
        <x:v>18627.260449441455</x:v>
      </x:c>
      <x:c r="O843" s="10" t="n">
        <x:f>AE842*N843</x:f>
        <x:v>167645.34404497308</x:v>
      </x:c>
      <x:c r="P843" s="9" t="n">
        <x:f>MIN(1,(AB842/(AE842*IF(tun_GroupInCrowding=1,N843,MIN(J843,L843))))^tun_CrowdingExp)</x:f>
        <x:v>0.4215841981292809</x:v>
      </x:c>
      <x:c r="Q843" s="9" t="n">
        <x:f>IF(D843=1,INDEX(tun_WinterMult,G843),1)</x:f>
        <x:v>1.05</x:v>
      </x:c>
      <x:c r="R843" s="9" t="n">
        <x:f>H843*Z842*tun_WomenShare*tun_BaseFertility*INDEX(tun_FertMult,G843)*Arch_Fertility*(1-P843)</x:f>
        <x:v>0</x:v>
      </x:c>
      <x:c r="S843" s="9" t="n">
        <x:f>H843*Y842*INDEX(tun_MortChild,G843)/4*Q843</x:f>
        <x:v>0</x:v>
      </x:c>
      <x:c r="T843" s="9" t="n">
        <x:f>H843*Z842*INDEX(tun_MortAdult,G843)*Arch_AdultMort/4*Q843</x:f>
        <x:v>0</x:v>
      </x:c>
      <x:c r="U843" s="9" t="n">
        <x:f>H843*AA842*INDEX(tun_MortElder,G843)/4*Q843</x:f>
        <x:v>0</x:v>
      </x:c>
      <x:c r="V843" s="9" t="n">
        <x:f>H843*MAX(0,AB842-O843)*tun_OvercapLoss</x:f>
        <x:v>0</x:v>
      </x:c>
      <x:c r="W843" s="9" t="n">
        <x:f>H843*Y842/(tun_ChildYears*4)</x:f>
        <x:v>0</x:v>
      </x:c>
      <x:c r="X843" s="9" t="n">
        <x:f>H843*Z842/(tun_AdultYears*4)</x:f>
        <x:v>0</x:v>
      </x:c>
      <x:c r="Y843" s="32" t="n">
        <x:f>Y842+R843-S843-W843-Y842*V843/AB842</x:f>
        <x:v>40496.20709015643</x:v>
      </x:c>
      <x:c r="Z843" s="32" t="n">
        <x:f>Z842+W843-X843-T843-Z842*V843/AB842</x:f>
        <x:v>59141.61122890803</x:v>
      </x:c>
      <x:c r="AA843" s="32" t="n">
        <x:f>AA842+X843-U843-AA842*V843/AB842</x:f>
        <x:v>45530.62410925061</x:v>
      </x:c>
      <x:c r="AB843" s="10" t="n">
        <x:f>Y843+Z843+AA843</x:f>
        <x:v>145168.44242831506</x:v>
      </x:c>
      <x:c r="AC843" s="8" t="n">
        <x:f>IF(AND(tun_WinterTrigger=1,D843=1,AB842/AE842&gt;=K843),1,0)</x:f>
        <x:v>0</x:v>
      </x:c>
      <x:c r="AD843" s="8" t="n">
        <x:f>H843*IF(AND(OR(AB842/AE842&gt;=tun_FissionTrigger*N843,AC843=1),AB842/AE842*tun_DaughterShare&gt;=tun_MinDaughter),MAX(1,ROUND(AE842*tun_FissionRate,0)),0)</x:f>
        <x:v>0</x:v>
      </x:c>
      <x:c r="AE843" s="8" t="n">
        <x:f>IF(H843=1,MAX(1,MIN(INDEX(tun_Smax,G843),AE842+AD843)),AE842)</x:f>
        <x:v>9</x:v>
      </x:c>
      <x:c r="AF843" s="8" t="n">
        <x:f>MAX(0,AE843-AE842)</x:f>
        <x:v>0</x:v>
      </x:c>
      <x:c r="AG843" s="9" t="str">
        <x:f>IF(AF843&gt;0,B843,"")</x:f>
      </x:c>
      <x:c r="AH843" s="9" t="n">
        <x:f>IF(F843&gt;=1,1,(1+tun_LowTiesShare*(AE843-1))/AE843)</x:f>
        <x:v>1</x:v>
      </x:c>
      <x:c r="AI843" s="32" t="n">
        <x:f>(Z843+tun_ElderCommons*INDEX(LM_Elder,G843)*AA843)*AH843</x:f>
        <x:v>238215.0665857503</x:v>
      </x:c>
      <x:c r="AJ843" s="32" t="n">
        <x:f>H843*tun_CommonsCoef*AI843^tun_CommonsExp*INDEX(LM_Commons,G843)</x:f>
        <x:v>0</x:v>
      </x:c>
      <x:c r="AK843" s="32" t="n">
        <x:f>H843*tun_RoleScale*Arch_Roles*(AE843*(INDEX(tun_ElderRolePerSett,G843)*tun_OutElder*INDEX(LM_Elder,G843)+INDEX(tun_ShamanPerSett,G843)*tun_OutShaman)+Z843*(INDEX(tun_PriestShare,G843)*tun_OutPriest+INDEX(tun_ScribeShare,G843)*tun_OutScribe*INDEX(LM_Scribe,G843)+INDEX(tun_ScholarShare,G843)*tun_OutScholar*INDEX(LM_Scholar,G843)+INDEX(tun_ResearcherShare,G843)*tun_OutResearcher*INDEX(LM_Researcher,G843)))</x:f>
        <x:v>0</x:v>
      </x:c>
      <x:c r="AL843" s="32" t="n">
        <x:f>H843*tun_RoleScale*Arch_Roles*AE843*INDEX(tun_MonasteryPerSett,G843)*tun_OutMonastery*INDEX(LM_Monastery,G843)</x:f>
        <x:v>0</x:v>
      </x:c>
      <x:c r="AM843" s="32" t="n">
        <x:f>(AJ843+AK843+AL843)/4*INDEX(LM_All,G843)*INDEX(tun_Boon,G843)*Arch_Insight</x:f>
        <x:v>0</x:v>
      </x:c>
      <x:c r="AN843" s="32" t="n">
        <x:f>H843*(tun_KHPerAdult*Z843+tun_KHOfCommons*AJ843/4*INDEX(LM_All,G843))*tun_KHUsable*Arch_KH</x:f>
        <x:v>0</x:v>
      </x:c>
      <x:c r="AO843" s="32" t="n">
        <x:f>MIN(AP842+AN843,AM843*tun_KHMaxRatio)</x:f>
        <x:v>0</x:v>
      </x:c>
      <x:c r="AP843" s="32" t="n">
        <x:f>AP842+AN843-AO843</x:f>
        <x:v>0</x:v>
      </x:c>
      <x:c r="AQ843" s="32" t="n">
        <x:f>AM843+AO843</x:f>
        <x:v>0</x:v>
      </x:c>
      <x:c r="AR843" s="10" t="n">
        <x:f>IF(H843=1,INDEX(tun_Req,G843),0)</x:f>
        <x:v>0</x:v>
      </x:c>
      <x:c r="AS843" s="32" t="n">
        <x:f>IF(H843=1,IF(E843=1,AS842-AR842,AS842)+AQ843,0)</x:f>
        <x:v>0</x:v>
      </x:c>
      <x:c r="AT843" s="11" t="n">
        <x:f>IF(AR843&gt;0,MIN(1,AS843/AR843),1)</x:f>
        <x:v>1</x:v>
      </x:c>
      <x:c r="AU843" s="10" t="n">
        <x:f>AB843/INDEX(tun_RepScale,G843)</x:f>
        <x:v>290.3368848566301</x:v>
      </x:c>
      <x:c r="AV843" s="32" t="n">
        <x:f>AM843*60/tun_SeasonSeconds</x:f>
        <x:v>0</x:v>
      </x:c>
    </x:row>
    <x:row r="844">
      <x:c r="A844" s="8" t="n">
        <x:f>A843+1</x:f>
        <x:v>841</x:v>
      </x:c>
      <x:c r="B844" s="9" t="n">
        <x:f>A844*tun_SeasonSeconds/60</x:f>
        <x:v>210.25</x:v>
      </x:c>
      <x:c r="C844" s="9" t="n">
        <x:f>A844/4</x:f>
        <x:v>210.25</x:v>
      </x:c>
      <x:c r="D844" s="8" t="n">
        <x:f>IF(MOD(A844,4)=0,1,0)</x:f>
        <x:v>0</x:v>
      </x:c>
      <x:c r="E844" s="8" t="n">
        <x:f>IF(AND(F843&lt;=9,AS843&gt;=AR843),1,0)</x:f>
        <x:v>0</x:v>
      </x:c>
      <x:c r="F844" s="8" t="n">
        <x:f>MIN(10,F843+E844)</x:f>
        <x:v>10</x:v>
      </x:c>
      <x:c r="G844" s="8" t="n">
        <x:f>MIN(F844,9)+1</x:f>
        <x:v>10</x:v>
      </x:c>
      <x:c r="H844" s="8" t="n">
        <x:f>IF(F844&lt;=9,1,0)</x:f>
        <x:v>0</x:v>
      </x:c>
      <x:c r="I844" s="9" t="n">
        <x:f>MIN(10,F843+IF(AR843&gt;0,MIN(1,AS843/AR843),1))</x:f>
        <x:v>10</x:v>
      </x:c>
      <x:c r="J844" s="32" t="n">
        <x:f>INDEX(tun_FoodCap,G844)*Arch_FoodCap*EXP(tun_CapsByProject*SUMPRODUCT((Cap_Point&lt;=I844)*(Cap_Kind="Food")*Cap_Ln))</x:f>
        <x:v>18627.260449441455</x:v>
      </x:c>
      <x:c r="K844" s="32" t="n">
        <x:f>J844*MIN(1,tun_LeanBase*EXP(tun_CapsByProject*SUMPRODUCT((Cap_Point&lt;=I844)*(Cap_Kind="Lean")*Cap_Ln)))</x:f>
        <x:v>18627.260449441455</x:v>
      </x:c>
      <x:c r="L844" s="10" t="n">
        <x:f>INDEX(tun_HousingCap,G844)*EXP(tun_CapsByProject*SUMPRODUCT((Cap_Point&lt;=I844)*(Cap_Kind="Housing")*Cap_Ln))</x:f>
        <x:v>20528.974303173167</x:v>
      </x:c>
      <x:c r="M844" s="10" t="n">
        <x:f>INDEX(tun_GroupCap,G844)*tun_CohesionFactor*EXP(tun_CapsByProject*SUMPRODUCT((Cap_Point&lt;=I844)*(Cap_Kind="Group")*Cap_Ln))</x:f>
        <x:v>1000000.000000001</x:v>
      </x:c>
      <x:c r="N844" s="32" t="n">
        <x:f>MIN(J844,L844,M844)</x:f>
        <x:v>18627.260449441455</x:v>
      </x:c>
      <x:c r="O844" s="10" t="n">
        <x:f>AE843*N844</x:f>
        <x:v>167645.34404497308</x:v>
      </x:c>
      <x:c r="P844" s="9" t="n">
        <x:f>MIN(1,(AB843/(AE843*IF(tun_GroupInCrowding=1,N844,MIN(J844,L844))))^tun_CrowdingExp)</x:f>
        <x:v>0.4215841981292809</x:v>
      </x:c>
      <x:c r="Q844" s="9" t="n">
        <x:f>IF(D844=1,INDEX(tun_WinterMult,G844),1)</x:f>
        <x:v>1</x:v>
      </x:c>
      <x:c r="R844" s="9" t="n">
        <x:f>H844*Z843*tun_WomenShare*tun_BaseFertility*INDEX(tun_FertMult,G844)*Arch_Fertility*(1-P844)</x:f>
        <x:v>0</x:v>
      </x:c>
      <x:c r="S844" s="9" t="n">
        <x:f>H844*Y843*INDEX(tun_MortChild,G844)/4*Q844</x:f>
        <x:v>0</x:v>
      </x:c>
      <x:c r="T844" s="9" t="n">
        <x:f>H844*Z843*INDEX(tun_MortAdult,G844)*Arch_AdultMort/4*Q844</x:f>
        <x:v>0</x:v>
      </x:c>
      <x:c r="U844" s="9" t="n">
        <x:f>H844*AA843*INDEX(tun_MortElder,G844)/4*Q844</x:f>
        <x:v>0</x:v>
      </x:c>
      <x:c r="V844" s="9" t="n">
        <x:f>H844*MAX(0,AB843-O844)*tun_OvercapLoss</x:f>
        <x:v>0</x:v>
      </x:c>
      <x:c r="W844" s="9" t="n">
        <x:f>H844*Y843/(tun_ChildYears*4)</x:f>
        <x:v>0</x:v>
      </x:c>
      <x:c r="X844" s="9" t="n">
        <x:f>H844*Z843/(tun_AdultYears*4)</x:f>
        <x:v>0</x:v>
      </x:c>
      <x:c r="Y844" s="32" t="n">
        <x:f>Y843+R844-S844-W844-Y843*V844/AB843</x:f>
        <x:v>40496.20709015643</x:v>
      </x:c>
      <x:c r="Z844" s="32" t="n">
        <x:f>Z843+W844-X844-T844-Z843*V844/AB843</x:f>
        <x:v>59141.61122890803</x:v>
      </x:c>
      <x:c r="AA844" s="32" t="n">
        <x:f>AA843+X844-U844-AA843*V844/AB843</x:f>
        <x:v>45530.62410925061</x:v>
      </x:c>
      <x:c r="AB844" s="10" t="n">
        <x:f>Y844+Z844+AA844</x:f>
        <x:v>145168.44242831506</x:v>
      </x:c>
      <x:c r="AC844" s="8" t="n">
        <x:f>IF(AND(tun_WinterTrigger=1,D844=1,AB843/AE843&gt;=K844),1,0)</x:f>
        <x:v>0</x:v>
      </x:c>
      <x:c r="AD844" s="8" t="n">
        <x:f>H844*IF(AND(OR(AB843/AE843&gt;=tun_FissionTrigger*N844,AC844=1),AB843/AE843*tun_DaughterShare&gt;=tun_MinDaughter),MAX(1,ROUND(AE843*tun_FissionRate,0)),0)</x:f>
        <x:v>0</x:v>
      </x:c>
      <x:c r="AE844" s="8" t="n">
        <x:f>IF(H844=1,MAX(1,MIN(INDEX(tun_Smax,G844),AE843+AD844)),AE843)</x:f>
        <x:v>9</x:v>
      </x:c>
      <x:c r="AF844" s="8" t="n">
        <x:f>MAX(0,AE844-AE843)</x:f>
        <x:v>0</x:v>
      </x:c>
      <x:c r="AG844" s="9" t="str">
        <x:f>IF(AF844&gt;0,B844,"")</x:f>
      </x:c>
      <x:c r="AH844" s="9" t="n">
        <x:f>IF(F844&gt;=1,1,(1+tun_LowTiesShare*(AE844-1))/AE844)</x:f>
        <x:v>1</x:v>
      </x:c>
      <x:c r="AI844" s="32" t="n">
        <x:f>(Z844+tun_ElderCommons*INDEX(LM_Elder,G844)*AA844)*AH844</x:f>
        <x:v>238215.0665857503</x:v>
      </x:c>
      <x:c r="AJ844" s="32" t="n">
        <x:f>H844*tun_CommonsCoef*AI844^tun_CommonsExp*INDEX(LM_Commons,G844)</x:f>
        <x:v>0</x:v>
      </x:c>
      <x:c r="AK844" s="32" t="n">
        <x:f>H844*tun_RoleScale*Arch_Roles*(AE844*(INDEX(tun_ElderRolePerSett,G844)*tun_OutElder*INDEX(LM_Elder,G844)+INDEX(tun_ShamanPerSett,G844)*tun_OutShaman)+Z844*(INDEX(tun_PriestShare,G844)*tun_OutPriest+INDEX(tun_ScribeShare,G844)*tun_OutScribe*INDEX(LM_Scribe,G844)+INDEX(tun_ScholarShare,G844)*tun_OutScholar*INDEX(LM_Scholar,G844)+INDEX(tun_ResearcherShare,G844)*tun_OutResearcher*INDEX(LM_Researcher,G844)))</x:f>
        <x:v>0</x:v>
      </x:c>
      <x:c r="AL844" s="32" t="n">
        <x:f>H844*tun_RoleScale*Arch_Roles*AE844*INDEX(tun_MonasteryPerSett,G844)*tun_OutMonastery*INDEX(LM_Monastery,G844)</x:f>
        <x:v>0</x:v>
      </x:c>
      <x:c r="AM844" s="32" t="n">
        <x:f>(AJ844+AK844+AL844)/4*INDEX(LM_All,G844)*INDEX(tun_Boon,G844)*Arch_Insight</x:f>
        <x:v>0</x:v>
      </x:c>
      <x:c r="AN844" s="32" t="n">
        <x:f>H844*(tun_KHPerAdult*Z844+tun_KHOfCommons*AJ844/4*INDEX(LM_All,G844))*tun_KHUsable*Arch_KH</x:f>
        <x:v>0</x:v>
      </x:c>
      <x:c r="AO844" s="32" t="n">
        <x:f>MIN(AP843+AN844,AM844*tun_KHMaxRatio)</x:f>
        <x:v>0</x:v>
      </x:c>
      <x:c r="AP844" s="32" t="n">
        <x:f>AP843+AN844-AO844</x:f>
        <x:v>0</x:v>
      </x:c>
      <x:c r="AQ844" s="32" t="n">
        <x:f>AM844+AO844</x:f>
        <x:v>0</x:v>
      </x:c>
      <x:c r="AR844" s="10" t="n">
        <x:f>IF(H844=1,INDEX(tun_Req,G844),0)</x:f>
        <x:v>0</x:v>
      </x:c>
      <x:c r="AS844" s="32" t="n">
        <x:f>IF(H844=1,IF(E844=1,AS843-AR843,AS843)+AQ844,0)</x:f>
        <x:v>0</x:v>
      </x:c>
      <x:c r="AT844" s="11" t="n">
        <x:f>IF(AR844&gt;0,MIN(1,AS844/AR844),1)</x:f>
        <x:v>1</x:v>
      </x:c>
      <x:c r="AU844" s="10" t="n">
        <x:f>AB844/INDEX(tun_RepScale,G844)</x:f>
        <x:v>290.3368848566301</x:v>
      </x:c>
      <x:c r="AV844" s="32" t="n">
        <x:f>AM844*60/tun_SeasonSeconds</x:f>
        <x:v>0</x:v>
      </x:c>
    </x:row>
    <x:row r="845">
      <x:c r="A845" s="8" t="n">
        <x:f>A844+1</x:f>
        <x:v>842</x:v>
      </x:c>
      <x:c r="B845" s="9" t="n">
        <x:f>A845*tun_SeasonSeconds/60</x:f>
        <x:v>210.5</x:v>
      </x:c>
      <x:c r="C845" s="9" t="n">
        <x:f>A845/4</x:f>
        <x:v>210.5</x:v>
      </x:c>
      <x:c r="D845" s="8" t="n">
        <x:f>IF(MOD(A845,4)=0,1,0)</x:f>
        <x:v>0</x:v>
      </x:c>
      <x:c r="E845" s="8" t="n">
        <x:f>IF(AND(F844&lt;=9,AS844&gt;=AR844),1,0)</x:f>
        <x:v>0</x:v>
      </x:c>
      <x:c r="F845" s="8" t="n">
        <x:f>MIN(10,F844+E845)</x:f>
        <x:v>10</x:v>
      </x:c>
      <x:c r="G845" s="8" t="n">
        <x:f>MIN(F845,9)+1</x:f>
        <x:v>10</x:v>
      </x:c>
      <x:c r="H845" s="8" t="n">
        <x:f>IF(F845&lt;=9,1,0)</x:f>
        <x:v>0</x:v>
      </x:c>
      <x:c r="I845" s="9" t="n">
        <x:f>MIN(10,F844+IF(AR844&gt;0,MIN(1,AS844/AR844),1))</x:f>
        <x:v>10</x:v>
      </x:c>
      <x:c r="J845" s="32" t="n">
        <x:f>INDEX(tun_FoodCap,G845)*Arch_FoodCap*EXP(tun_CapsByProject*SUMPRODUCT((Cap_Point&lt;=I845)*(Cap_Kind="Food")*Cap_Ln))</x:f>
        <x:v>18627.260449441455</x:v>
      </x:c>
      <x:c r="K845" s="32" t="n">
        <x:f>J845*MIN(1,tun_LeanBase*EXP(tun_CapsByProject*SUMPRODUCT((Cap_Point&lt;=I845)*(Cap_Kind="Lean")*Cap_Ln)))</x:f>
        <x:v>18627.260449441455</x:v>
      </x:c>
      <x:c r="L845" s="10" t="n">
        <x:f>INDEX(tun_HousingCap,G845)*EXP(tun_CapsByProject*SUMPRODUCT((Cap_Point&lt;=I845)*(Cap_Kind="Housing")*Cap_Ln))</x:f>
        <x:v>20528.974303173167</x:v>
      </x:c>
      <x:c r="M845" s="10" t="n">
        <x:f>INDEX(tun_GroupCap,G845)*tun_CohesionFactor*EXP(tun_CapsByProject*SUMPRODUCT((Cap_Point&lt;=I845)*(Cap_Kind="Group")*Cap_Ln))</x:f>
        <x:v>1000000.000000001</x:v>
      </x:c>
      <x:c r="N845" s="32" t="n">
        <x:f>MIN(J845,L845,M845)</x:f>
        <x:v>18627.260449441455</x:v>
      </x:c>
      <x:c r="O845" s="10" t="n">
        <x:f>AE844*N845</x:f>
        <x:v>167645.34404497308</x:v>
      </x:c>
      <x:c r="P845" s="9" t="n">
        <x:f>MIN(1,(AB844/(AE844*IF(tun_GroupInCrowding=1,N845,MIN(J845,L845))))^tun_CrowdingExp)</x:f>
        <x:v>0.4215841981292809</x:v>
      </x:c>
      <x:c r="Q845" s="9" t="n">
        <x:f>IF(D845=1,INDEX(tun_WinterMult,G845),1)</x:f>
        <x:v>1</x:v>
      </x:c>
      <x:c r="R845" s="9" t="n">
        <x:f>H845*Z844*tun_WomenShare*tun_BaseFertility*INDEX(tun_FertMult,G845)*Arch_Fertility*(1-P845)</x:f>
        <x:v>0</x:v>
      </x:c>
      <x:c r="S845" s="9" t="n">
        <x:f>H845*Y844*INDEX(tun_MortChild,G845)/4*Q845</x:f>
        <x:v>0</x:v>
      </x:c>
      <x:c r="T845" s="9" t="n">
        <x:f>H845*Z844*INDEX(tun_MortAdult,G845)*Arch_AdultMort/4*Q845</x:f>
        <x:v>0</x:v>
      </x:c>
      <x:c r="U845" s="9" t="n">
        <x:f>H845*AA844*INDEX(tun_MortElder,G845)/4*Q845</x:f>
        <x:v>0</x:v>
      </x:c>
      <x:c r="V845" s="9" t="n">
        <x:f>H845*MAX(0,AB844-O845)*tun_OvercapLoss</x:f>
        <x:v>0</x:v>
      </x:c>
      <x:c r="W845" s="9" t="n">
        <x:f>H845*Y844/(tun_ChildYears*4)</x:f>
        <x:v>0</x:v>
      </x:c>
      <x:c r="X845" s="9" t="n">
        <x:f>H845*Z844/(tun_AdultYears*4)</x:f>
        <x:v>0</x:v>
      </x:c>
      <x:c r="Y845" s="32" t="n">
        <x:f>Y844+R845-S845-W845-Y844*V845/AB844</x:f>
        <x:v>40496.20709015643</x:v>
      </x:c>
      <x:c r="Z845" s="32" t="n">
        <x:f>Z844+W845-X845-T845-Z844*V845/AB844</x:f>
        <x:v>59141.61122890803</x:v>
      </x:c>
      <x:c r="AA845" s="32" t="n">
        <x:f>AA844+X845-U845-AA844*V845/AB844</x:f>
        <x:v>45530.62410925061</x:v>
      </x:c>
      <x:c r="AB845" s="10" t="n">
        <x:f>Y845+Z845+AA845</x:f>
        <x:v>145168.44242831506</x:v>
      </x:c>
      <x:c r="AC845" s="8" t="n">
        <x:f>IF(AND(tun_WinterTrigger=1,D845=1,AB844/AE844&gt;=K845),1,0)</x:f>
        <x:v>0</x:v>
      </x:c>
      <x:c r="AD845" s="8" t="n">
        <x:f>H845*IF(AND(OR(AB844/AE844&gt;=tun_FissionTrigger*N845,AC845=1),AB844/AE844*tun_DaughterShare&gt;=tun_MinDaughter),MAX(1,ROUND(AE844*tun_FissionRate,0)),0)</x:f>
        <x:v>0</x:v>
      </x:c>
      <x:c r="AE845" s="8" t="n">
        <x:f>IF(H845=1,MAX(1,MIN(INDEX(tun_Smax,G845),AE844+AD845)),AE844)</x:f>
        <x:v>9</x:v>
      </x:c>
      <x:c r="AF845" s="8" t="n">
        <x:f>MAX(0,AE845-AE844)</x:f>
        <x:v>0</x:v>
      </x:c>
      <x:c r="AG845" s="9" t="str">
        <x:f>IF(AF845&gt;0,B845,"")</x:f>
      </x:c>
      <x:c r="AH845" s="9" t="n">
        <x:f>IF(F845&gt;=1,1,(1+tun_LowTiesShare*(AE845-1))/AE845)</x:f>
        <x:v>1</x:v>
      </x:c>
      <x:c r="AI845" s="32" t="n">
        <x:f>(Z845+tun_ElderCommons*INDEX(LM_Elder,G845)*AA845)*AH845</x:f>
        <x:v>238215.0665857503</x:v>
      </x:c>
      <x:c r="AJ845" s="32" t="n">
        <x:f>H845*tun_CommonsCoef*AI845^tun_CommonsExp*INDEX(LM_Commons,G845)</x:f>
        <x:v>0</x:v>
      </x:c>
      <x:c r="AK845" s="32" t="n">
        <x:f>H845*tun_RoleScale*Arch_Roles*(AE845*(INDEX(tun_ElderRolePerSett,G845)*tun_OutElder*INDEX(LM_Elder,G845)+INDEX(tun_ShamanPerSett,G845)*tun_OutShaman)+Z845*(INDEX(tun_PriestShare,G845)*tun_OutPriest+INDEX(tun_ScribeShare,G845)*tun_OutScribe*INDEX(LM_Scribe,G845)+INDEX(tun_ScholarShare,G845)*tun_OutScholar*INDEX(LM_Scholar,G845)+INDEX(tun_ResearcherShare,G845)*tun_OutResearcher*INDEX(LM_Researcher,G845)))</x:f>
        <x:v>0</x:v>
      </x:c>
      <x:c r="AL845" s="32" t="n">
        <x:f>H845*tun_RoleScale*Arch_Roles*AE845*INDEX(tun_MonasteryPerSett,G845)*tun_OutMonastery*INDEX(LM_Monastery,G845)</x:f>
        <x:v>0</x:v>
      </x:c>
      <x:c r="AM845" s="32" t="n">
        <x:f>(AJ845+AK845+AL845)/4*INDEX(LM_All,G845)*INDEX(tun_Boon,G845)*Arch_Insight</x:f>
        <x:v>0</x:v>
      </x:c>
      <x:c r="AN845" s="32" t="n">
        <x:f>H845*(tun_KHPerAdult*Z845+tun_KHOfCommons*AJ845/4*INDEX(LM_All,G845))*tun_KHUsable*Arch_KH</x:f>
        <x:v>0</x:v>
      </x:c>
      <x:c r="AO845" s="32" t="n">
        <x:f>MIN(AP844+AN845,AM845*tun_KHMaxRatio)</x:f>
        <x:v>0</x:v>
      </x:c>
      <x:c r="AP845" s="32" t="n">
        <x:f>AP844+AN845-AO845</x:f>
        <x:v>0</x:v>
      </x:c>
      <x:c r="AQ845" s="32" t="n">
        <x:f>AM845+AO845</x:f>
        <x:v>0</x:v>
      </x:c>
      <x:c r="AR845" s="10" t="n">
        <x:f>IF(H845=1,INDEX(tun_Req,G845),0)</x:f>
        <x:v>0</x:v>
      </x:c>
      <x:c r="AS845" s="32" t="n">
        <x:f>IF(H845=1,IF(E845=1,AS844-AR844,AS844)+AQ845,0)</x:f>
        <x:v>0</x:v>
      </x:c>
      <x:c r="AT845" s="11" t="n">
        <x:f>IF(AR845&gt;0,MIN(1,AS845/AR845),1)</x:f>
        <x:v>1</x:v>
      </x:c>
      <x:c r="AU845" s="10" t="n">
        <x:f>AB845/INDEX(tun_RepScale,G845)</x:f>
        <x:v>290.3368848566301</x:v>
      </x:c>
      <x:c r="AV845" s="32" t="n">
        <x:f>AM845*60/tun_SeasonSeconds</x:f>
        <x:v>0</x:v>
      </x:c>
    </x:row>
    <x:row r="846">
      <x:c r="A846" s="8" t="n">
        <x:f>A845+1</x:f>
        <x:v>843</x:v>
      </x:c>
      <x:c r="B846" s="9" t="n">
        <x:f>A846*tun_SeasonSeconds/60</x:f>
        <x:v>210.75</x:v>
      </x:c>
      <x:c r="C846" s="9" t="n">
        <x:f>A846/4</x:f>
        <x:v>210.75</x:v>
      </x:c>
      <x:c r="D846" s="8" t="n">
        <x:f>IF(MOD(A846,4)=0,1,0)</x:f>
        <x:v>0</x:v>
      </x:c>
      <x:c r="E846" s="8" t="n">
        <x:f>IF(AND(F845&lt;=9,AS845&gt;=AR845),1,0)</x:f>
        <x:v>0</x:v>
      </x:c>
      <x:c r="F846" s="8" t="n">
        <x:f>MIN(10,F845+E846)</x:f>
        <x:v>10</x:v>
      </x:c>
      <x:c r="G846" s="8" t="n">
        <x:f>MIN(F846,9)+1</x:f>
        <x:v>10</x:v>
      </x:c>
      <x:c r="H846" s="8" t="n">
        <x:f>IF(F846&lt;=9,1,0)</x:f>
        <x:v>0</x:v>
      </x:c>
      <x:c r="I846" s="9" t="n">
        <x:f>MIN(10,F845+IF(AR845&gt;0,MIN(1,AS845/AR845),1))</x:f>
        <x:v>10</x:v>
      </x:c>
      <x:c r="J846" s="32" t="n">
        <x:f>INDEX(tun_FoodCap,G846)*Arch_FoodCap*EXP(tun_CapsByProject*SUMPRODUCT((Cap_Point&lt;=I846)*(Cap_Kind="Food")*Cap_Ln))</x:f>
        <x:v>18627.260449441455</x:v>
      </x:c>
      <x:c r="K846" s="32" t="n">
        <x:f>J846*MIN(1,tun_LeanBase*EXP(tun_CapsByProject*SUMPRODUCT((Cap_Point&lt;=I846)*(Cap_Kind="Lean")*Cap_Ln)))</x:f>
        <x:v>18627.260449441455</x:v>
      </x:c>
      <x:c r="L846" s="10" t="n">
        <x:f>INDEX(tun_HousingCap,G846)*EXP(tun_CapsByProject*SUMPRODUCT((Cap_Point&lt;=I846)*(Cap_Kind="Housing")*Cap_Ln))</x:f>
        <x:v>20528.974303173167</x:v>
      </x:c>
      <x:c r="M846" s="10" t="n">
        <x:f>INDEX(tun_GroupCap,G846)*tun_CohesionFactor*EXP(tun_CapsByProject*SUMPRODUCT((Cap_Point&lt;=I846)*(Cap_Kind="Group")*Cap_Ln))</x:f>
        <x:v>1000000.000000001</x:v>
      </x:c>
      <x:c r="N846" s="32" t="n">
        <x:f>MIN(J846,L846,M846)</x:f>
        <x:v>18627.260449441455</x:v>
      </x:c>
      <x:c r="O846" s="10" t="n">
        <x:f>AE845*N846</x:f>
        <x:v>167645.34404497308</x:v>
      </x:c>
      <x:c r="P846" s="9" t="n">
        <x:f>MIN(1,(AB845/(AE845*IF(tun_GroupInCrowding=1,N846,MIN(J846,L846))))^tun_CrowdingExp)</x:f>
        <x:v>0.4215841981292809</x:v>
      </x:c>
      <x:c r="Q846" s="9" t="n">
        <x:f>IF(D846=1,INDEX(tun_WinterMult,G846),1)</x:f>
        <x:v>1</x:v>
      </x:c>
      <x:c r="R846" s="9" t="n">
        <x:f>H846*Z845*tun_WomenShare*tun_BaseFertility*INDEX(tun_FertMult,G846)*Arch_Fertility*(1-P846)</x:f>
        <x:v>0</x:v>
      </x:c>
      <x:c r="S846" s="9" t="n">
        <x:f>H846*Y845*INDEX(tun_MortChild,G846)/4*Q846</x:f>
        <x:v>0</x:v>
      </x:c>
      <x:c r="T846" s="9" t="n">
        <x:f>H846*Z845*INDEX(tun_MortAdult,G846)*Arch_AdultMort/4*Q846</x:f>
        <x:v>0</x:v>
      </x:c>
      <x:c r="U846" s="9" t="n">
        <x:f>H846*AA845*INDEX(tun_MortElder,G846)/4*Q846</x:f>
        <x:v>0</x:v>
      </x:c>
      <x:c r="V846" s="9" t="n">
        <x:f>H846*MAX(0,AB845-O846)*tun_OvercapLoss</x:f>
        <x:v>0</x:v>
      </x:c>
      <x:c r="W846" s="9" t="n">
        <x:f>H846*Y845/(tun_ChildYears*4)</x:f>
        <x:v>0</x:v>
      </x:c>
      <x:c r="X846" s="9" t="n">
        <x:f>H846*Z845/(tun_AdultYears*4)</x:f>
        <x:v>0</x:v>
      </x:c>
      <x:c r="Y846" s="32" t="n">
        <x:f>Y845+R846-S846-W846-Y845*V846/AB845</x:f>
        <x:v>40496.20709015643</x:v>
      </x:c>
      <x:c r="Z846" s="32" t="n">
        <x:f>Z845+W846-X846-T846-Z845*V846/AB845</x:f>
        <x:v>59141.61122890803</x:v>
      </x:c>
      <x:c r="AA846" s="32" t="n">
        <x:f>AA845+X846-U846-AA845*V846/AB845</x:f>
        <x:v>45530.62410925061</x:v>
      </x:c>
      <x:c r="AB846" s="10" t="n">
        <x:f>Y846+Z846+AA846</x:f>
        <x:v>145168.44242831506</x:v>
      </x:c>
      <x:c r="AC846" s="8" t="n">
        <x:f>IF(AND(tun_WinterTrigger=1,D846=1,AB845/AE845&gt;=K846),1,0)</x:f>
        <x:v>0</x:v>
      </x:c>
      <x:c r="AD846" s="8" t="n">
        <x:f>H846*IF(AND(OR(AB845/AE845&gt;=tun_FissionTrigger*N846,AC846=1),AB845/AE845*tun_DaughterShare&gt;=tun_MinDaughter),MAX(1,ROUND(AE845*tun_FissionRate,0)),0)</x:f>
        <x:v>0</x:v>
      </x:c>
      <x:c r="AE846" s="8" t="n">
        <x:f>IF(H846=1,MAX(1,MIN(INDEX(tun_Smax,G846),AE845+AD846)),AE845)</x:f>
        <x:v>9</x:v>
      </x:c>
      <x:c r="AF846" s="8" t="n">
        <x:f>MAX(0,AE846-AE845)</x:f>
        <x:v>0</x:v>
      </x:c>
      <x:c r="AG846" s="9" t="str">
        <x:f>IF(AF846&gt;0,B846,"")</x:f>
      </x:c>
      <x:c r="AH846" s="9" t="n">
        <x:f>IF(F846&gt;=1,1,(1+tun_LowTiesShare*(AE846-1))/AE846)</x:f>
        <x:v>1</x:v>
      </x:c>
      <x:c r="AI846" s="32" t="n">
        <x:f>(Z846+tun_ElderCommons*INDEX(LM_Elder,G846)*AA846)*AH846</x:f>
        <x:v>238215.0665857503</x:v>
      </x:c>
      <x:c r="AJ846" s="32" t="n">
        <x:f>H846*tun_CommonsCoef*AI846^tun_CommonsExp*INDEX(LM_Commons,G846)</x:f>
        <x:v>0</x:v>
      </x:c>
      <x:c r="AK846" s="32" t="n">
        <x:f>H846*tun_RoleScale*Arch_Roles*(AE846*(INDEX(tun_ElderRolePerSett,G846)*tun_OutElder*INDEX(LM_Elder,G846)+INDEX(tun_ShamanPerSett,G846)*tun_OutShaman)+Z846*(INDEX(tun_PriestShare,G846)*tun_OutPriest+INDEX(tun_ScribeShare,G846)*tun_OutScribe*INDEX(LM_Scribe,G846)+INDEX(tun_ScholarShare,G846)*tun_OutScholar*INDEX(LM_Scholar,G846)+INDEX(tun_ResearcherShare,G846)*tun_OutResearcher*INDEX(LM_Researcher,G846)))</x:f>
        <x:v>0</x:v>
      </x:c>
      <x:c r="AL846" s="32" t="n">
        <x:f>H846*tun_RoleScale*Arch_Roles*AE846*INDEX(tun_MonasteryPerSett,G846)*tun_OutMonastery*INDEX(LM_Monastery,G846)</x:f>
        <x:v>0</x:v>
      </x:c>
      <x:c r="AM846" s="32" t="n">
        <x:f>(AJ846+AK846+AL846)/4*INDEX(LM_All,G846)*INDEX(tun_Boon,G846)*Arch_Insight</x:f>
        <x:v>0</x:v>
      </x:c>
      <x:c r="AN846" s="32" t="n">
        <x:f>H846*(tun_KHPerAdult*Z846+tun_KHOfCommons*AJ846/4*INDEX(LM_All,G846))*tun_KHUsable*Arch_KH</x:f>
        <x:v>0</x:v>
      </x:c>
      <x:c r="AO846" s="32" t="n">
        <x:f>MIN(AP845+AN846,AM846*tun_KHMaxRatio)</x:f>
        <x:v>0</x:v>
      </x:c>
      <x:c r="AP846" s="32" t="n">
        <x:f>AP845+AN846-AO846</x:f>
        <x:v>0</x:v>
      </x:c>
      <x:c r="AQ846" s="32" t="n">
        <x:f>AM846+AO846</x:f>
        <x:v>0</x:v>
      </x:c>
      <x:c r="AR846" s="10" t="n">
        <x:f>IF(H846=1,INDEX(tun_Req,G846),0)</x:f>
        <x:v>0</x:v>
      </x:c>
      <x:c r="AS846" s="32" t="n">
        <x:f>IF(H846=1,IF(E846=1,AS845-AR845,AS845)+AQ846,0)</x:f>
        <x:v>0</x:v>
      </x:c>
      <x:c r="AT846" s="11" t="n">
        <x:f>IF(AR846&gt;0,MIN(1,AS846/AR846),1)</x:f>
        <x:v>1</x:v>
      </x:c>
      <x:c r="AU846" s="10" t="n">
        <x:f>AB846/INDEX(tun_RepScale,G846)</x:f>
        <x:v>290.3368848566301</x:v>
      </x:c>
      <x:c r="AV846" s="32" t="n">
        <x:f>AM846*60/tun_SeasonSeconds</x:f>
        <x:v>0</x:v>
      </x:c>
    </x:row>
    <x:row r="847">
      <x:c r="A847" s="8" t="n">
        <x:f>A846+1</x:f>
        <x:v>844</x:v>
      </x:c>
      <x:c r="B847" s="9" t="n">
        <x:f>A847*tun_SeasonSeconds/60</x:f>
        <x:v>211</x:v>
      </x:c>
      <x:c r="C847" s="9" t="n">
        <x:f>A847/4</x:f>
        <x:v>211</x:v>
      </x:c>
      <x:c r="D847" s="8" t="n">
        <x:f>IF(MOD(A847,4)=0,1,0)</x:f>
        <x:v>1</x:v>
      </x:c>
      <x:c r="E847" s="8" t="n">
        <x:f>IF(AND(F846&lt;=9,AS846&gt;=AR846),1,0)</x:f>
        <x:v>0</x:v>
      </x:c>
      <x:c r="F847" s="8" t="n">
        <x:f>MIN(10,F846+E847)</x:f>
        <x:v>10</x:v>
      </x:c>
      <x:c r="G847" s="8" t="n">
        <x:f>MIN(F847,9)+1</x:f>
        <x:v>10</x:v>
      </x:c>
      <x:c r="H847" s="8" t="n">
        <x:f>IF(F847&lt;=9,1,0)</x:f>
        <x:v>0</x:v>
      </x:c>
      <x:c r="I847" s="9" t="n">
        <x:f>MIN(10,F846+IF(AR846&gt;0,MIN(1,AS846/AR846),1))</x:f>
        <x:v>10</x:v>
      </x:c>
      <x:c r="J847" s="32" t="n">
        <x:f>INDEX(tun_FoodCap,G847)*Arch_FoodCap*EXP(tun_CapsByProject*SUMPRODUCT((Cap_Point&lt;=I847)*(Cap_Kind="Food")*Cap_Ln))</x:f>
        <x:v>18627.260449441455</x:v>
      </x:c>
      <x:c r="K847" s="32" t="n">
        <x:f>J847*MIN(1,tun_LeanBase*EXP(tun_CapsByProject*SUMPRODUCT((Cap_Point&lt;=I847)*(Cap_Kind="Lean")*Cap_Ln)))</x:f>
        <x:v>18627.260449441455</x:v>
      </x:c>
      <x:c r="L847" s="10" t="n">
        <x:f>INDEX(tun_HousingCap,G847)*EXP(tun_CapsByProject*SUMPRODUCT((Cap_Point&lt;=I847)*(Cap_Kind="Housing")*Cap_Ln))</x:f>
        <x:v>20528.974303173167</x:v>
      </x:c>
      <x:c r="M847" s="10" t="n">
        <x:f>INDEX(tun_GroupCap,G847)*tun_CohesionFactor*EXP(tun_CapsByProject*SUMPRODUCT((Cap_Point&lt;=I847)*(Cap_Kind="Group")*Cap_Ln))</x:f>
        <x:v>1000000.000000001</x:v>
      </x:c>
      <x:c r="N847" s="32" t="n">
        <x:f>MIN(J847,L847,M847)</x:f>
        <x:v>18627.260449441455</x:v>
      </x:c>
      <x:c r="O847" s="10" t="n">
        <x:f>AE846*N847</x:f>
        <x:v>167645.34404497308</x:v>
      </x:c>
      <x:c r="P847" s="9" t="n">
        <x:f>MIN(1,(AB846/(AE846*IF(tun_GroupInCrowding=1,N847,MIN(J847,L847))))^tun_CrowdingExp)</x:f>
        <x:v>0.4215841981292809</x:v>
      </x:c>
      <x:c r="Q847" s="9" t="n">
        <x:f>IF(D847=1,INDEX(tun_WinterMult,G847),1)</x:f>
        <x:v>1.05</x:v>
      </x:c>
      <x:c r="R847" s="9" t="n">
        <x:f>H847*Z846*tun_WomenShare*tun_BaseFertility*INDEX(tun_FertMult,G847)*Arch_Fertility*(1-P847)</x:f>
        <x:v>0</x:v>
      </x:c>
      <x:c r="S847" s="9" t="n">
        <x:f>H847*Y846*INDEX(tun_MortChild,G847)/4*Q847</x:f>
        <x:v>0</x:v>
      </x:c>
      <x:c r="T847" s="9" t="n">
        <x:f>H847*Z846*INDEX(tun_MortAdult,G847)*Arch_AdultMort/4*Q847</x:f>
        <x:v>0</x:v>
      </x:c>
      <x:c r="U847" s="9" t="n">
        <x:f>H847*AA846*INDEX(tun_MortElder,G847)/4*Q847</x:f>
        <x:v>0</x:v>
      </x:c>
      <x:c r="V847" s="9" t="n">
        <x:f>H847*MAX(0,AB846-O847)*tun_OvercapLoss</x:f>
        <x:v>0</x:v>
      </x:c>
      <x:c r="W847" s="9" t="n">
        <x:f>H847*Y846/(tun_ChildYears*4)</x:f>
        <x:v>0</x:v>
      </x:c>
      <x:c r="X847" s="9" t="n">
        <x:f>H847*Z846/(tun_AdultYears*4)</x:f>
        <x:v>0</x:v>
      </x:c>
      <x:c r="Y847" s="32" t="n">
        <x:f>Y846+R847-S847-W847-Y846*V847/AB846</x:f>
        <x:v>40496.20709015643</x:v>
      </x:c>
      <x:c r="Z847" s="32" t="n">
        <x:f>Z846+W847-X847-T847-Z846*V847/AB846</x:f>
        <x:v>59141.61122890803</x:v>
      </x:c>
      <x:c r="AA847" s="32" t="n">
        <x:f>AA846+X847-U847-AA846*V847/AB846</x:f>
        <x:v>45530.62410925061</x:v>
      </x:c>
      <x:c r="AB847" s="10" t="n">
        <x:f>Y847+Z847+AA847</x:f>
        <x:v>145168.44242831506</x:v>
      </x:c>
      <x:c r="AC847" s="8" t="n">
        <x:f>IF(AND(tun_WinterTrigger=1,D847=1,AB846/AE846&gt;=K847),1,0)</x:f>
        <x:v>0</x:v>
      </x:c>
      <x:c r="AD847" s="8" t="n">
        <x:f>H847*IF(AND(OR(AB846/AE846&gt;=tun_FissionTrigger*N847,AC847=1),AB846/AE846*tun_DaughterShare&gt;=tun_MinDaughter),MAX(1,ROUND(AE846*tun_FissionRate,0)),0)</x:f>
        <x:v>0</x:v>
      </x:c>
      <x:c r="AE847" s="8" t="n">
        <x:f>IF(H847=1,MAX(1,MIN(INDEX(tun_Smax,G847),AE846+AD847)),AE846)</x:f>
        <x:v>9</x:v>
      </x:c>
      <x:c r="AF847" s="8" t="n">
        <x:f>MAX(0,AE847-AE846)</x:f>
        <x:v>0</x:v>
      </x:c>
      <x:c r="AG847" s="9" t="str">
        <x:f>IF(AF847&gt;0,B847,"")</x:f>
      </x:c>
      <x:c r="AH847" s="9" t="n">
        <x:f>IF(F847&gt;=1,1,(1+tun_LowTiesShare*(AE847-1))/AE847)</x:f>
        <x:v>1</x:v>
      </x:c>
      <x:c r="AI847" s="32" t="n">
        <x:f>(Z847+tun_ElderCommons*INDEX(LM_Elder,G847)*AA847)*AH847</x:f>
        <x:v>238215.0665857503</x:v>
      </x:c>
      <x:c r="AJ847" s="32" t="n">
        <x:f>H847*tun_CommonsCoef*AI847^tun_CommonsExp*INDEX(LM_Commons,G847)</x:f>
        <x:v>0</x:v>
      </x:c>
      <x:c r="AK847" s="32" t="n">
        <x:f>H847*tun_RoleScale*Arch_Roles*(AE847*(INDEX(tun_ElderRolePerSett,G847)*tun_OutElder*INDEX(LM_Elder,G847)+INDEX(tun_ShamanPerSett,G847)*tun_OutShaman)+Z847*(INDEX(tun_PriestShare,G847)*tun_OutPriest+INDEX(tun_ScribeShare,G847)*tun_OutScribe*INDEX(LM_Scribe,G847)+INDEX(tun_ScholarShare,G847)*tun_OutScholar*INDEX(LM_Scholar,G847)+INDEX(tun_ResearcherShare,G847)*tun_OutResearcher*INDEX(LM_Researcher,G847)))</x:f>
        <x:v>0</x:v>
      </x:c>
      <x:c r="AL847" s="32" t="n">
        <x:f>H847*tun_RoleScale*Arch_Roles*AE847*INDEX(tun_MonasteryPerSett,G847)*tun_OutMonastery*INDEX(LM_Monastery,G847)</x:f>
        <x:v>0</x:v>
      </x:c>
      <x:c r="AM847" s="32" t="n">
        <x:f>(AJ847+AK847+AL847)/4*INDEX(LM_All,G847)*INDEX(tun_Boon,G847)*Arch_Insight</x:f>
        <x:v>0</x:v>
      </x:c>
      <x:c r="AN847" s="32" t="n">
        <x:f>H847*(tun_KHPerAdult*Z847+tun_KHOfCommons*AJ847/4*INDEX(LM_All,G847))*tun_KHUsable*Arch_KH</x:f>
        <x:v>0</x:v>
      </x:c>
      <x:c r="AO847" s="32" t="n">
        <x:f>MIN(AP846+AN847,AM847*tun_KHMaxRatio)</x:f>
        <x:v>0</x:v>
      </x:c>
      <x:c r="AP847" s="32" t="n">
        <x:f>AP846+AN847-AO847</x:f>
        <x:v>0</x:v>
      </x:c>
      <x:c r="AQ847" s="32" t="n">
        <x:f>AM847+AO847</x:f>
        <x:v>0</x:v>
      </x:c>
      <x:c r="AR847" s="10" t="n">
        <x:f>IF(H847=1,INDEX(tun_Req,G847),0)</x:f>
        <x:v>0</x:v>
      </x:c>
      <x:c r="AS847" s="32" t="n">
        <x:f>IF(H847=1,IF(E847=1,AS846-AR846,AS846)+AQ847,0)</x:f>
        <x:v>0</x:v>
      </x:c>
      <x:c r="AT847" s="11" t="n">
        <x:f>IF(AR847&gt;0,MIN(1,AS847/AR847),1)</x:f>
        <x:v>1</x:v>
      </x:c>
      <x:c r="AU847" s="10" t="n">
        <x:f>AB847/INDEX(tun_RepScale,G847)</x:f>
        <x:v>290.3368848566301</x:v>
      </x:c>
      <x:c r="AV847" s="32" t="n">
        <x:f>AM847*60/tun_SeasonSeconds</x:f>
        <x:v>0</x:v>
      </x:c>
    </x:row>
    <x:row r="848">
      <x:c r="A848" s="8" t="n">
        <x:f>A847+1</x:f>
        <x:v>845</x:v>
      </x:c>
      <x:c r="B848" s="9" t="n">
        <x:f>A848*tun_SeasonSeconds/60</x:f>
        <x:v>211.25</x:v>
      </x:c>
      <x:c r="C848" s="9" t="n">
        <x:f>A848/4</x:f>
        <x:v>211.25</x:v>
      </x:c>
      <x:c r="D848" s="8" t="n">
        <x:f>IF(MOD(A848,4)=0,1,0)</x:f>
        <x:v>0</x:v>
      </x:c>
      <x:c r="E848" s="8" t="n">
        <x:f>IF(AND(F847&lt;=9,AS847&gt;=AR847),1,0)</x:f>
        <x:v>0</x:v>
      </x:c>
      <x:c r="F848" s="8" t="n">
        <x:f>MIN(10,F847+E848)</x:f>
        <x:v>10</x:v>
      </x:c>
      <x:c r="G848" s="8" t="n">
        <x:f>MIN(F848,9)+1</x:f>
        <x:v>10</x:v>
      </x:c>
      <x:c r="H848" s="8" t="n">
        <x:f>IF(F848&lt;=9,1,0)</x:f>
        <x:v>0</x:v>
      </x:c>
      <x:c r="I848" s="9" t="n">
        <x:f>MIN(10,F847+IF(AR847&gt;0,MIN(1,AS847/AR847),1))</x:f>
        <x:v>10</x:v>
      </x:c>
      <x:c r="J848" s="32" t="n">
        <x:f>INDEX(tun_FoodCap,G848)*Arch_FoodCap*EXP(tun_CapsByProject*SUMPRODUCT((Cap_Point&lt;=I848)*(Cap_Kind="Food")*Cap_Ln))</x:f>
        <x:v>18627.260449441455</x:v>
      </x:c>
      <x:c r="K848" s="32" t="n">
        <x:f>J848*MIN(1,tun_LeanBase*EXP(tun_CapsByProject*SUMPRODUCT((Cap_Point&lt;=I848)*(Cap_Kind="Lean")*Cap_Ln)))</x:f>
        <x:v>18627.260449441455</x:v>
      </x:c>
      <x:c r="L848" s="10" t="n">
        <x:f>INDEX(tun_HousingCap,G848)*EXP(tun_CapsByProject*SUMPRODUCT((Cap_Point&lt;=I848)*(Cap_Kind="Housing")*Cap_Ln))</x:f>
        <x:v>20528.974303173167</x:v>
      </x:c>
      <x:c r="M848" s="10" t="n">
        <x:f>INDEX(tun_GroupCap,G848)*tun_CohesionFactor*EXP(tun_CapsByProject*SUMPRODUCT((Cap_Point&lt;=I848)*(Cap_Kind="Group")*Cap_Ln))</x:f>
        <x:v>1000000.000000001</x:v>
      </x:c>
      <x:c r="N848" s="32" t="n">
        <x:f>MIN(J848,L848,M848)</x:f>
        <x:v>18627.260449441455</x:v>
      </x:c>
      <x:c r="O848" s="10" t="n">
        <x:f>AE847*N848</x:f>
        <x:v>167645.34404497308</x:v>
      </x:c>
      <x:c r="P848" s="9" t="n">
        <x:f>MIN(1,(AB847/(AE847*IF(tun_GroupInCrowding=1,N848,MIN(J848,L848))))^tun_CrowdingExp)</x:f>
        <x:v>0.4215841981292809</x:v>
      </x:c>
      <x:c r="Q848" s="9" t="n">
        <x:f>IF(D848=1,INDEX(tun_WinterMult,G848),1)</x:f>
        <x:v>1</x:v>
      </x:c>
      <x:c r="R848" s="9" t="n">
        <x:f>H848*Z847*tun_WomenShare*tun_BaseFertility*INDEX(tun_FertMult,G848)*Arch_Fertility*(1-P848)</x:f>
        <x:v>0</x:v>
      </x:c>
      <x:c r="S848" s="9" t="n">
        <x:f>H848*Y847*INDEX(tun_MortChild,G848)/4*Q848</x:f>
        <x:v>0</x:v>
      </x:c>
      <x:c r="T848" s="9" t="n">
        <x:f>H848*Z847*INDEX(tun_MortAdult,G848)*Arch_AdultMort/4*Q848</x:f>
        <x:v>0</x:v>
      </x:c>
      <x:c r="U848" s="9" t="n">
        <x:f>H848*AA847*INDEX(tun_MortElder,G848)/4*Q848</x:f>
        <x:v>0</x:v>
      </x:c>
      <x:c r="V848" s="9" t="n">
        <x:f>H848*MAX(0,AB847-O848)*tun_OvercapLoss</x:f>
        <x:v>0</x:v>
      </x:c>
      <x:c r="W848" s="9" t="n">
        <x:f>H848*Y847/(tun_ChildYears*4)</x:f>
        <x:v>0</x:v>
      </x:c>
      <x:c r="X848" s="9" t="n">
        <x:f>H848*Z847/(tun_AdultYears*4)</x:f>
        <x:v>0</x:v>
      </x:c>
      <x:c r="Y848" s="32" t="n">
        <x:f>Y847+R848-S848-W848-Y847*V848/AB847</x:f>
        <x:v>40496.20709015643</x:v>
      </x:c>
      <x:c r="Z848" s="32" t="n">
        <x:f>Z847+W848-X848-T848-Z847*V848/AB847</x:f>
        <x:v>59141.61122890803</x:v>
      </x:c>
      <x:c r="AA848" s="32" t="n">
        <x:f>AA847+X848-U848-AA847*V848/AB847</x:f>
        <x:v>45530.62410925061</x:v>
      </x:c>
      <x:c r="AB848" s="10" t="n">
        <x:f>Y848+Z848+AA848</x:f>
        <x:v>145168.44242831506</x:v>
      </x:c>
      <x:c r="AC848" s="8" t="n">
        <x:f>IF(AND(tun_WinterTrigger=1,D848=1,AB847/AE847&gt;=K848),1,0)</x:f>
        <x:v>0</x:v>
      </x:c>
      <x:c r="AD848" s="8" t="n">
        <x:f>H848*IF(AND(OR(AB847/AE847&gt;=tun_FissionTrigger*N848,AC848=1),AB847/AE847*tun_DaughterShare&gt;=tun_MinDaughter),MAX(1,ROUND(AE847*tun_FissionRate,0)),0)</x:f>
        <x:v>0</x:v>
      </x:c>
      <x:c r="AE848" s="8" t="n">
        <x:f>IF(H848=1,MAX(1,MIN(INDEX(tun_Smax,G848),AE847+AD848)),AE847)</x:f>
        <x:v>9</x:v>
      </x:c>
      <x:c r="AF848" s="8" t="n">
        <x:f>MAX(0,AE848-AE847)</x:f>
        <x:v>0</x:v>
      </x:c>
      <x:c r="AG848" s="9" t="str">
        <x:f>IF(AF848&gt;0,B848,"")</x:f>
      </x:c>
      <x:c r="AH848" s="9" t="n">
        <x:f>IF(F848&gt;=1,1,(1+tun_LowTiesShare*(AE848-1))/AE848)</x:f>
        <x:v>1</x:v>
      </x:c>
      <x:c r="AI848" s="32" t="n">
        <x:f>(Z848+tun_ElderCommons*INDEX(LM_Elder,G848)*AA848)*AH848</x:f>
        <x:v>238215.0665857503</x:v>
      </x:c>
      <x:c r="AJ848" s="32" t="n">
        <x:f>H848*tun_CommonsCoef*AI848^tun_CommonsExp*INDEX(LM_Commons,G848)</x:f>
        <x:v>0</x:v>
      </x:c>
      <x:c r="AK848" s="32" t="n">
        <x:f>H848*tun_RoleScale*Arch_Roles*(AE848*(INDEX(tun_ElderRolePerSett,G848)*tun_OutElder*INDEX(LM_Elder,G848)+INDEX(tun_ShamanPerSett,G848)*tun_OutShaman)+Z848*(INDEX(tun_PriestShare,G848)*tun_OutPriest+INDEX(tun_ScribeShare,G848)*tun_OutScribe*INDEX(LM_Scribe,G848)+INDEX(tun_ScholarShare,G848)*tun_OutScholar*INDEX(LM_Scholar,G848)+INDEX(tun_ResearcherShare,G848)*tun_OutResearcher*INDEX(LM_Researcher,G848)))</x:f>
        <x:v>0</x:v>
      </x:c>
      <x:c r="AL848" s="32" t="n">
        <x:f>H848*tun_RoleScale*Arch_Roles*AE848*INDEX(tun_MonasteryPerSett,G848)*tun_OutMonastery*INDEX(LM_Monastery,G848)</x:f>
        <x:v>0</x:v>
      </x:c>
      <x:c r="AM848" s="32" t="n">
        <x:f>(AJ848+AK848+AL848)/4*INDEX(LM_All,G848)*INDEX(tun_Boon,G848)*Arch_Insight</x:f>
        <x:v>0</x:v>
      </x:c>
      <x:c r="AN848" s="32" t="n">
        <x:f>H848*(tun_KHPerAdult*Z848+tun_KHOfCommons*AJ848/4*INDEX(LM_All,G848))*tun_KHUsable*Arch_KH</x:f>
        <x:v>0</x:v>
      </x:c>
      <x:c r="AO848" s="32" t="n">
        <x:f>MIN(AP847+AN848,AM848*tun_KHMaxRatio)</x:f>
        <x:v>0</x:v>
      </x:c>
      <x:c r="AP848" s="32" t="n">
        <x:f>AP847+AN848-AO848</x:f>
        <x:v>0</x:v>
      </x:c>
      <x:c r="AQ848" s="32" t="n">
        <x:f>AM848+AO848</x:f>
        <x:v>0</x:v>
      </x:c>
      <x:c r="AR848" s="10" t="n">
        <x:f>IF(H848=1,INDEX(tun_Req,G848),0)</x:f>
        <x:v>0</x:v>
      </x:c>
      <x:c r="AS848" s="32" t="n">
        <x:f>IF(H848=1,IF(E848=1,AS847-AR847,AS847)+AQ848,0)</x:f>
        <x:v>0</x:v>
      </x:c>
      <x:c r="AT848" s="11" t="n">
        <x:f>IF(AR848&gt;0,MIN(1,AS848/AR848),1)</x:f>
        <x:v>1</x:v>
      </x:c>
      <x:c r="AU848" s="10" t="n">
        <x:f>AB848/INDEX(tun_RepScale,G848)</x:f>
        <x:v>290.3368848566301</x:v>
      </x:c>
      <x:c r="AV848" s="32" t="n">
        <x:f>AM848*60/tun_SeasonSeconds</x:f>
        <x:v>0</x:v>
      </x:c>
    </x:row>
    <x:row r="849">
      <x:c r="A849" s="8" t="n">
        <x:f>A848+1</x:f>
        <x:v>846</x:v>
      </x:c>
      <x:c r="B849" s="9" t="n">
        <x:f>A849*tun_SeasonSeconds/60</x:f>
        <x:v>211.5</x:v>
      </x:c>
      <x:c r="C849" s="9" t="n">
        <x:f>A849/4</x:f>
        <x:v>211.5</x:v>
      </x:c>
      <x:c r="D849" s="8" t="n">
        <x:f>IF(MOD(A849,4)=0,1,0)</x:f>
        <x:v>0</x:v>
      </x:c>
      <x:c r="E849" s="8" t="n">
        <x:f>IF(AND(F848&lt;=9,AS848&gt;=AR848),1,0)</x:f>
        <x:v>0</x:v>
      </x:c>
      <x:c r="F849" s="8" t="n">
        <x:f>MIN(10,F848+E849)</x:f>
        <x:v>10</x:v>
      </x:c>
      <x:c r="G849" s="8" t="n">
        <x:f>MIN(F849,9)+1</x:f>
        <x:v>10</x:v>
      </x:c>
      <x:c r="H849" s="8" t="n">
        <x:f>IF(F849&lt;=9,1,0)</x:f>
        <x:v>0</x:v>
      </x:c>
      <x:c r="I849" s="9" t="n">
        <x:f>MIN(10,F848+IF(AR848&gt;0,MIN(1,AS848/AR848),1))</x:f>
        <x:v>10</x:v>
      </x:c>
      <x:c r="J849" s="32" t="n">
        <x:f>INDEX(tun_FoodCap,G849)*Arch_FoodCap*EXP(tun_CapsByProject*SUMPRODUCT((Cap_Point&lt;=I849)*(Cap_Kind="Food")*Cap_Ln))</x:f>
        <x:v>18627.260449441455</x:v>
      </x:c>
      <x:c r="K849" s="32" t="n">
        <x:f>J849*MIN(1,tun_LeanBase*EXP(tun_CapsByProject*SUMPRODUCT((Cap_Point&lt;=I849)*(Cap_Kind="Lean")*Cap_Ln)))</x:f>
        <x:v>18627.260449441455</x:v>
      </x:c>
      <x:c r="L849" s="10" t="n">
        <x:f>INDEX(tun_HousingCap,G849)*EXP(tun_CapsByProject*SUMPRODUCT((Cap_Point&lt;=I849)*(Cap_Kind="Housing")*Cap_Ln))</x:f>
        <x:v>20528.974303173167</x:v>
      </x:c>
      <x:c r="M849" s="10" t="n">
        <x:f>INDEX(tun_GroupCap,G849)*tun_CohesionFactor*EXP(tun_CapsByProject*SUMPRODUCT((Cap_Point&lt;=I849)*(Cap_Kind="Group")*Cap_Ln))</x:f>
        <x:v>1000000.000000001</x:v>
      </x:c>
      <x:c r="N849" s="32" t="n">
        <x:f>MIN(J849,L849,M849)</x:f>
        <x:v>18627.260449441455</x:v>
      </x:c>
      <x:c r="O849" s="10" t="n">
        <x:f>AE848*N849</x:f>
        <x:v>167645.34404497308</x:v>
      </x:c>
      <x:c r="P849" s="9" t="n">
        <x:f>MIN(1,(AB848/(AE848*IF(tun_GroupInCrowding=1,N849,MIN(J849,L849))))^tun_CrowdingExp)</x:f>
        <x:v>0.4215841981292809</x:v>
      </x:c>
      <x:c r="Q849" s="9" t="n">
        <x:f>IF(D849=1,INDEX(tun_WinterMult,G849),1)</x:f>
        <x:v>1</x:v>
      </x:c>
      <x:c r="R849" s="9" t="n">
        <x:f>H849*Z848*tun_WomenShare*tun_BaseFertility*INDEX(tun_FertMult,G849)*Arch_Fertility*(1-P849)</x:f>
        <x:v>0</x:v>
      </x:c>
      <x:c r="S849" s="9" t="n">
        <x:f>H849*Y848*INDEX(tun_MortChild,G849)/4*Q849</x:f>
        <x:v>0</x:v>
      </x:c>
      <x:c r="T849" s="9" t="n">
        <x:f>H849*Z848*INDEX(tun_MortAdult,G849)*Arch_AdultMort/4*Q849</x:f>
        <x:v>0</x:v>
      </x:c>
      <x:c r="U849" s="9" t="n">
        <x:f>H849*AA848*INDEX(tun_MortElder,G849)/4*Q849</x:f>
        <x:v>0</x:v>
      </x:c>
      <x:c r="V849" s="9" t="n">
        <x:f>H849*MAX(0,AB848-O849)*tun_OvercapLoss</x:f>
        <x:v>0</x:v>
      </x:c>
      <x:c r="W849" s="9" t="n">
        <x:f>H849*Y848/(tun_ChildYears*4)</x:f>
        <x:v>0</x:v>
      </x:c>
      <x:c r="X849" s="9" t="n">
        <x:f>H849*Z848/(tun_AdultYears*4)</x:f>
        <x:v>0</x:v>
      </x:c>
      <x:c r="Y849" s="32" t="n">
        <x:f>Y848+R849-S849-W849-Y848*V849/AB848</x:f>
        <x:v>40496.20709015643</x:v>
      </x:c>
      <x:c r="Z849" s="32" t="n">
        <x:f>Z848+W849-X849-T849-Z848*V849/AB848</x:f>
        <x:v>59141.61122890803</x:v>
      </x:c>
      <x:c r="AA849" s="32" t="n">
        <x:f>AA848+X849-U849-AA848*V849/AB848</x:f>
        <x:v>45530.62410925061</x:v>
      </x:c>
      <x:c r="AB849" s="10" t="n">
        <x:f>Y849+Z849+AA849</x:f>
        <x:v>145168.44242831506</x:v>
      </x:c>
      <x:c r="AC849" s="8" t="n">
        <x:f>IF(AND(tun_WinterTrigger=1,D849=1,AB848/AE848&gt;=K849),1,0)</x:f>
        <x:v>0</x:v>
      </x:c>
      <x:c r="AD849" s="8" t="n">
        <x:f>H849*IF(AND(OR(AB848/AE848&gt;=tun_FissionTrigger*N849,AC849=1),AB848/AE848*tun_DaughterShare&gt;=tun_MinDaughter),MAX(1,ROUND(AE848*tun_FissionRate,0)),0)</x:f>
        <x:v>0</x:v>
      </x:c>
      <x:c r="AE849" s="8" t="n">
        <x:f>IF(H849=1,MAX(1,MIN(INDEX(tun_Smax,G849),AE848+AD849)),AE848)</x:f>
        <x:v>9</x:v>
      </x:c>
      <x:c r="AF849" s="8" t="n">
        <x:f>MAX(0,AE849-AE848)</x:f>
        <x:v>0</x:v>
      </x:c>
      <x:c r="AG849" s="9" t="str">
        <x:f>IF(AF849&gt;0,B849,"")</x:f>
      </x:c>
      <x:c r="AH849" s="9" t="n">
        <x:f>IF(F849&gt;=1,1,(1+tun_LowTiesShare*(AE849-1))/AE849)</x:f>
        <x:v>1</x:v>
      </x:c>
      <x:c r="AI849" s="32" t="n">
        <x:f>(Z849+tun_ElderCommons*INDEX(LM_Elder,G849)*AA849)*AH849</x:f>
        <x:v>238215.0665857503</x:v>
      </x:c>
      <x:c r="AJ849" s="32" t="n">
        <x:f>H849*tun_CommonsCoef*AI849^tun_CommonsExp*INDEX(LM_Commons,G849)</x:f>
        <x:v>0</x:v>
      </x:c>
      <x:c r="AK849" s="32" t="n">
        <x:f>H849*tun_RoleScale*Arch_Roles*(AE849*(INDEX(tun_ElderRolePerSett,G849)*tun_OutElder*INDEX(LM_Elder,G849)+INDEX(tun_ShamanPerSett,G849)*tun_OutShaman)+Z849*(INDEX(tun_PriestShare,G849)*tun_OutPriest+INDEX(tun_ScribeShare,G849)*tun_OutScribe*INDEX(LM_Scribe,G849)+INDEX(tun_ScholarShare,G849)*tun_OutScholar*INDEX(LM_Scholar,G849)+INDEX(tun_ResearcherShare,G849)*tun_OutResearcher*INDEX(LM_Researcher,G849)))</x:f>
        <x:v>0</x:v>
      </x:c>
      <x:c r="AL849" s="32" t="n">
        <x:f>H849*tun_RoleScale*Arch_Roles*AE849*INDEX(tun_MonasteryPerSett,G849)*tun_OutMonastery*INDEX(LM_Monastery,G849)</x:f>
        <x:v>0</x:v>
      </x:c>
      <x:c r="AM849" s="32" t="n">
        <x:f>(AJ849+AK849+AL849)/4*INDEX(LM_All,G849)*INDEX(tun_Boon,G849)*Arch_Insight</x:f>
        <x:v>0</x:v>
      </x:c>
      <x:c r="AN849" s="32" t="n">
        <x:f>H849*(tun_KHPerAdult*Z849+tun_KHOfCommons*AJ849/4*INDEX(LM_All,G849))*tun_KHUsable*Arch_KH</x:f>
        <x:v>0</x:v>
      </x:c>
      <x:c r="AO849" s="32" t="n">
        <x:f>MIN(AP848+AN849,AM849*tun_KHMaxRatio)</x:f>
        <x:v>0</x:v>
      </x:c>
      <x:c r="AP849" s="32" t="n">
        <x:f>AP848+AN849-AO849</x:f>
        <x:v>0</x:v>
      </x:c>
      <x:c r="AQ849" s="32" t="n">
        <x:f>AM849+AO849</x:f>
        <x:v>0</x:v>
      </x:c>
      <x:c r="AR849" s="10" t="n">
        <x:f>IF(H849=1,INDEX(tun_Req,G849),0)</x:f>
        <x:v>0</x:v>
      </x:c>
      <x:c r="AS849" s="32" t="n">
        <x:f>IF(H849=1,IF(E849=1,AS848-AR848,AS848)+AQ849,0)</x:f>
        <x:v>0</x:v>
      </x:c>
      <x:c r="AT849" s="11" t="n">
        <x:f>IF(AR849&gt;0,MIN(1,AS849/AR849),1)</x:f>
        <x:v>1</x:v>
      </x:c>
      <x:c r="AU849" s="10" t="n">
        <x:f>AB849/INDEX(tun_RepScale,G849)</x:f>
        <x:v>290.3368848566301</x:v>
      </x:c>
      <x:c r="AV849" s="32" t="n">
        <x:f>AM849*60/tun_SeasonSeconds</x:f>
        <x:v>0</x:v>
      </x:c>
    </x:row>
    <x:row r="850">
      <x:c r="A850" s="8" t="n">
        <x:f>A849+1</x:f>
        <x:v>847</x:v>
      </x:c>
      <x:c r="B850" s="9" t="n">
        <x:f>A850*tun_SeasonSeconds/60</x:f>
        <x:v>211.75</x:v>
      </x:c>
      <x:c r="C850" s="9" t="n">
        <x:f>A850/4</x:f>
        <x:v>211.75</x:v>
      </x:c>
      <x:c r="D850" s="8" t="n">
        <x:f>IF(MOD(A850,4)=0,1,0)</x:f>
        <x:v>0</x:v>
      </x:c>
      <x:c r="E850" s="8" t="n">
        <x:f>IF(AND(F849&lt;=9,AS849&gt;=AR849),1,0)</x:f>
        <x:v>0</x:v>
      </x:c>
      <x:c r="F850" s="8" t="n">
        <x:f>MIN(10,F849+E850)</x:f>
        <x:v>10</x:v>
      </x:c>
      <x:c r="G850" s="8" t="n">
        <x:f>MIN(F850,9)+1</x:f>
        <x:v>10</x:v>
      </x:c>
      <x:c r="H850" s="8" t="n">
        <x:f>IF(F850&lt;=9,1,0)</x:f>
        <x:v>0</x:v>
      </x:c>
      <x:c r="I850" s="9" t="n">
        <x:f>MIN(10,F849+IF(AR849&gt;0,MIN(1,AS849/AR849),1))</x:f>
        <x:v>10</x:v>
      </x:c>
      <x:c r="J850" s="32" t="n">
        <x:f>INDEX(tun_FoodCap,G850)*Arch_FoodCap*EXP(tun_CapsByProject*SUMPRODUCT((Cap_Point&lt;=I850)*(Cap_Kind="Food")*Cap_Ln))</x:f>
        <x:v>18627.260449441455</x:v>
      </x:c>
      <x:c r="K850" s="32" t="n">
        <x:f>J850*MIN(1,tun_LeanBase*EXP(tun_CapsByProject*SUMPRODUCT((Cap_Point&lt;=I850)*(Cap_Kind="Lean")*Cap_Ln)))</x:f>
        <x:v>18627.260449441455</x:v>
      </x:c>
      <x:c r="L850" s="10" t="n">
        <x:f>INDEX(tun_HousingCap,G850)*EXP(tun_CapsByProject*SUMPRODUCT((Cap_Point&lt;=I850)*(Cap_Kind="Housing")*Cap_Ln))</x:f>
        <x:v>20528.974303173167</x:v>
      </x:c>
      <x:c r="M850" s="10" t="n">
        <x:f>INDEX(tun_GroupCap,G850)*tun_CohesionFactor*EXP(tun_CapsByProject*SUMPRODUCT((Cap_Point&lt;=I850)*(Cap_Kind="Group")*Cap_Ln))</x:f>
        <x:v>1000000.000000001</x:v>
      </x:c>
      <x:c r="N850" s="32" t="n">
        <x:f>MIN(J850,L850,M850)</x:f>
        <x:v>18627.260449441455</x:v>
      </x:c>
      <x:c r="O850" s="10" t="n">
        <x:f>AE849*N850</x:f>
        <x:v>167645.34404497308</x:v>
      </x:c>
      <x:c r="P850" s="9" t="n">
        <x:f>MIN(1,(AB849/(AE849*IF(tun_GroupInCrowding=1,N850,MIN(J850,L850))))^tun_CrowdingExp)</x:f>
        <x:v>0.4215841981292809</x:v>
      </x:c>
      <x:c r="Q850" s="9" t="n">
        <x:f>IF(D850=1,INDEX(tun_WinterMult,G850),1)</x:f>
        <x:v>1</x:v>
      </x:c>
      <x:c r="R850" s="9" t="n">
        <x:f>H850*Z849*tun_WomenShare*tun_BaseFertility*INDEX(tun_FertMult,G850)*Arch_Fertility*(1-P850)</x:f>
        <x:v>0</x:v>
      </x:c>
      <x:c r="S850" s="9" t="n">
        <x:f>H850*Y849*INDEX(tun_MortChild,G850)/4*Q850</x:f>
        <x:v>0</x:v>
      </x:c>
      <x:c r="T850" s="9" t="n">
        <x:f>H850*Z849*INDEX(tun_MortAdult,G850)*Arch_AdultMort/4*Q850</x:f>
        <x:v>0</x:v>
      </x:c>
      <x:c r="U850" s="9" t="n">
        <x:f>H850*AA849*INDEX(tun_MortElder,G850)/4*Q850</x:f>
        <x:v>0</x:v>
      </x:c>
      <x:c r="V850" s="9" t="n">
        <x:f>H850*MAX(0,AB849-O850)*tun_OvercapLoss</x:f>
        <x:v>0</x:v>
      </x:c>
      <x:c r="W850" s="9" t="n">
        <x:f>H850*Y849/(tun_ChildYears*4)</x:f>
        <x:v>0</x:v>
      </x:c>
      <x:c r="X850" s="9" t="n">
        <x:f>H850*Z849/(tun_AdultYears*4)</x:f>
        <x:v>0</x:v>
      </x:c>
      <x:c r="Y850" s="32" t="n">
        <x:f>Y849+R850-S850-W850-Y849*V850/AB849</x:f>
        <x:v>40496.20709015643</x:v>
      </x:c>
      <x:c r="Z850" s="32" t="n">
        <x:f>Z849+W850-X850-T850-Z849*V850/AB849</x:f>
        <x:v>59141.61122890803</x:v>
      </x:c>
      <x:c r="AA850" s="32" t="n">
        <x:f>AA849+X850-U850-AA849*V850/AB849</x:f>
        <x:v>45530.62410925061</x:v>
      </x:c>
      <x:c r="AB850" s="10" t="n">
        <x:f>Y850+Z850+AA850</x:f>
        <x:v>145168.44242831506</x:v>
      </x:c>
      <x:c r="AC850" s="8" t="n">
        <x:f>IF(AND(tun_WinterTrigger=1,D850=1,AB849/AE849&gt;=K850),1,0)</x:f>
        <x:v>0</x:v>
      </x:c>
      <x:c r="AD850" s="8" t="n">
        <x:f>H850*IF(AND(OR(AB849/AE849&gt;=tun_FissionTrigger*N850,AC850=1),AB849/AE849*tun_DaughterShare&gt;=tun_MinDaughter),MAX(1,ROUND(AE849*tun_FissionRate,0)),0)</x:f>
        <x:v>0</x:v>
      </x:c>
      <x:c r="AE850" s="8" t="n">
        <x:f>IF(H850=1,MAX(1,MIN(INDEX(tun_Smax,G850),AE849+AD850)),AE849)</x:f>
        <x:v>9</x:v>
      </x:c>
      <x:c r="AF850" s="8" t="n">
        <x:f>MAX(0,AE850-AE849)</x:f>
        <x:v>0</x:v>
      </x:c>
      <x:c r="AG850" s="9" t="str">
        <x:f>IF(AF850&gt;0,B850,"")</x:f>
      </x:c>
      <x:c r="AH850" s="9" t="n">
        <x:f>IF(F850&gt;=1,1,(1+tun_LowTiesShare*(AE850-1))/AE850)</x:f>
        <x:v>1</x:v>
      </x:c>
      <x:c r="AI850" s="32" t="n">
        <x:f>(Z850+tun_ElderCommons*INDEX(LM_Elder,G850)*AA850)*AH850</x:f>
        <x:v>238215.0665857503</x:v>
      </x:c>
      <x:c r="AJ850" s="32" t="n">
        <x:f>H850*tun_CommonsCoef*AI850^tun_CommonsExp*INDEX(LM_Commons,G850)</x:f>
        <x:v>0</x:v>
      </x:c>
      <x:c r="AK850" s="32" t="n">
        <x:f>H850*tun_RoleScale*Arch_Roles*(AE850*(INDEX(tun_ElderRolePerSett,G850)*tun_OutElder*INDEX(LM_Elder,G850)+INDEX(tun_ShamanPerSett,G850)*tun_OutShaman)+Z850*(INDEX(tun_PriestShare,G850)*tun_OutPriest+INDEX(tun_ScribeShare,G850)*tun_OutScribe*INDEX(LM_Scribe,G850)+INDEX(tun_ScholarShare,G850)*tun_OutScholar*INDEX(LM_Scholar,G850)+INDEX(tun_ResearcherShare,G850)*tun_OutResearcher*INDEX(LM_Researcher,G850)))</x:f>
        <x:v>0</x:v>
      </x:c>
      <x:c r="AL850" s="32" t="n">
        <x:f>H850*tun_RoleScale*Arch_Roles*AE850*INDEX(tun_MonasteryPerSett,G850)*tun_OutMonastery*INDEX(LM_Monastery,G850)</x:f>
        <x:v>0</x:v>
      </x:c>
      <x:c r="AM850" s="32" t="n">
        <x:f>(AJ850+AK850+AL850)/4*INDEX(LM_All,G850)*INDEX(tun_Boon,G850)*Arch_Insight</x:f>
        <x:v>0</x:v>
      </x:c>
      <x:c r="AN850" s="32" t="n">
        <x:f>H850*(tun_KHPerAdult*Z850+tun_KHOfCommons*AJ850/4*INDEX(LM_All,G850))*tun_KHUsable*Arch_KH</x:f>
        <x:v>0</x:v>
      </x:c>
      <x:c r="AO850" s="32" t="n">
        <x:f>MIN(AP849+AN850,AM850*tun_KHMaxRatio)</x:f>
        <x:v>0</x:v>
      </x:c>
      <x:c r="AP850" s="32" t="n">
        <x:f>AP849+AN850-AO850</x:f>
        <x:v>0</x:v>
      </x:c>
      <x:c r="AQ850" s="32" t="n">
        <x:f>AM850+AO850</x:f>
        <x:v>0</x:v>
      </x:c>
      <x:c r="AR850" s="10" t="n">
        <x:f>IF(H850=1,INDEX(tun_Req,G850),0)</x:f>
        <x:v>0</x:v>
      </x:c>
      <x:c r="AS850" s="32" t="n">
        <x:f>IF(H850=1,IF(E850=1,AS849-AR849,AS849)+AQ850,0)</x:f>
        <x:v>0</x:v>
      </x:c>
      <x:c r="AT850" s="11" t="n">
        <x:f>IF(AR850&gt;0,MIN(1,AS850/AR850),1)</x:f>
        <x:v>1</x:v>
      </x:c>
      <x:c r="AU850" s="10" t="n">
        <x:f>AB850/INDEX(tun_RepScale,G850)</x:f>
        <x:v>290.3368848566301</x:v>
      </x:c>
      <x:c r="AV850" s="32" t="n">
        <x:f>AM850*60/tun_SeasonSeconds</x:f>
        <x:v>0</x:v>
      </x:c>
    </x:row>
    <x:row r="851">
      <x:c r="A851" s="8" t="n">
        <x:f>A850+1</x:f>
        <x:v>848</x:v>
      </x:c>
      <x:c r="B851" s="9" t="n">
        <x:f>A851*tun_SeasonSeconds/60</x:f>
        <x:v>212</x:v>
      </x:c>
      <x:c r="C851" s="9" t="n">
        <x:f>A851/4</x:f>
        <x:v>212</x:v>
      </x:c>
      <x:c r="D851" s="8" t="n">
        <x:f>IF(MOD(A851,4)=0,1,0)</x:f>
        <x:v>1</x:v>
      </x:c>
      <x:c r="E851" s="8" t="n">
        <x:f>IF(AND(F850&lt;=9,AS850&gt;=AR850),1,0)</x:f>
        <x:v>0</x:v>
      </x:c>
      <x:c r="F851" s="8" t="n">
        <x:f>MIN(10,F850+E851)</x:f>
        <x:v>10</x:v>
      </x:c>
      <x:c r="G851" s="8" t="n">
        <x:f>MIN(F851,9)+1</x:f>
        <x:v>10</x:v>
      </x:c>
      <x:c r="H851" s="8" t="n">
        <x:f>IF(F851&lt;=9,1,0)</x:f>
        <x:v>0</x:v>
      </x:c>
      <x:c r="I851" s="9" t="n">
        <x:f>MIN(10,F850+IF(AR850&gt;0,MIN(1,AS850/AR850),1))</x:f>
        <x:v>10</x:v>
      </x:c>
      <x:c r="J851" s="32" t="n">
        <x:f>INDEX(tun_FoodCap,G851)*Arch_FoodCap*EXP(tun_CapsByProject*SUMPRODUCT((Cap_Point&lt;=I851)*(Cap_Kind="Food")*Cap_Ln))</x:f>
        <x:v>18627.260449441455</x:v>
      </x:c>
      <x:c r="K851" s="32" t="n">
        <x:f>J851*MIN(1,tun_LeanBase*EXP(tun_CapsByProject*SUMPRODUCT((Cap_Point&lt;=I851)*(Cap_Kind="Lean")*Cap_Ln)))</x:f>
        <x:v>18627.260449441455</x:v>
      </x:c>
      <x:c r="L851" s="10" t="n">
        <x:f>INDEX(tun_HousingCap,G851)*EXP(tun_CapsByProject*SUMPRODUCT((Cap_Point&lt;=I851)*(Cap_Kind="Housing")*Cap_Ln))</x:f>
        <x:v>20528.974303173167</x:v>
      </x:c>
      <x:c r="M851" s="10" t="n">
        <x:f>INDEX(tun_GroupCap,G851)*tun_CohesionFactor*EXP(tun_CapsByProject*SUMPRODUCT((Cap_Point&lt;=I851)*(Cap_Kind="Group")*Cap_Ln))</x:f>
        <x:v>1000000.000000001</x:v>
      </x:c>
      <x:c r="N851" s="32" t="n">
        <x:f>MIN(J851,L851,M851)</x:f>
        <x:v>18627.260449441455</x:v>
      </x:c>
      <x:c r="O851" s="10" t="n">
        <x:f>AE850*N851</x:f>
        <x:v>167645.34404497308</x:v>
      </x:c>
      <x:c r="P851" s="9" t="n">
        <x:f>MIN(1,(AB850/(AE850*IF(tun_GroupInCrowding=1,N851,MIN(J851,L851))))^tun_CrowdingExp)</x:f>
        <x:v>0.4215841981292809</x:v>
      </x:c>
      <x:c r="Q851" s="9" t="n">
        <x:f>IF(D851=1,INDEX(tun_WinterMult,G851),1)</x:f>
        <x:v>1.05</x:v>
      </x:c>
      <x:c r="R851" s="9" t="n">
        <x:f>H851*Z850*tun_WomenShare*tun_BaseFertility*INDEX(tun_FertMult,G851)*Arch_Fertility*(1-P851)</x:f>
        <x:v>0</x:v>
      </x:c>
      <x:c r="S851" s="9" t="n">
        <x:f>H851*Y850*INDEX(tun_MortChild,G851)/4*Q851</x:f>
        <x:v>0</x:v>
      </x:c>
      <x:c r="T851" s="9" t="n">
        <x:f>H851*Z850*INDEX(tun_MortAdult,G851)*Arch_AdultMort/4*Q851</x:f>
        <x:v>0</x:v>
      </x:c>
      <x:c r="U851" s="9" t="n">
        <x:f>H851*AA850*INDEX(tun_MortElder,G851)/4*Q851</x:f>
        <x:v>0</x:v>
      </x:c>
      <x:c r="V851" s="9" t="n">
        <x:f>H851*MAX(0,AB850-O851)*tun_OvercapLoss</x:f>
        <x:v>0</x:v>
      </x:c>
      <x:c r="W851" s="9" t="n">
        <x:f>H851*Y850/(tun_ChildYears*4)</x:f>
        <x:v>0</x:v>
      </x:c>
      <x:c r="X851" s="9" t="n">
        <x:f>H851*Z850/(tun_AdultYears*4)</x:f>
        <x:v>0</x:v>
      </x:c>
      <x:c r="Y851" s="32" t="n">
        <x:f>Y850+R851-S851-W851-Y850*V851/AB850</x:f>
        <x:v>40496.20709015643</x:v>
      </x:c>
      <x:c r="Z851" s="32" t="n">
        <x:f>Z850+W851-X851-T851-Z850*V851/AB850</x:f>
        <x:v>59141.61122890803</x:v>
      </x:c>
      <x:c r="AA851" s="32" t="n">
        <x:f>AA850+X851-U851-AA850*V851/AB850</x:f>
        <x:v>45530.62410925061</x:v>
      </x:c>
      <x:c r="AB851" s="10" t="n">
        <x:f>Y851+Z851+AA851</x:f>
        <x:v>145168.44242831506</x:v>
      </x:c>
      <x:c r="AC851" s="8" t="n">
        <x:f>IF(AND(tun_WinterTrigger=1,D851=1,AB850/AE850&gt;=K851),1,0)</x:f>
        <x:v>0</x:v>
      </x:c>
      <x:c r="AD851" s="8" t="n">
        <x:f>H851*IF(AND(OR(AB850/AE850&gt;=tun_FissionTrigger*N851,AC851=1),AB850/AE850*tun_DaughterShare&gt;=tun_MinDaughter),MAX(1,ROUND(AE850*tun_FissionRate,0)),0)</x:f>
        <x:v>0</x:v>
      </x:c>
      <x:c r="AE851" s="8" t="n">
        <x:f>IF(H851=1,MAX(1,MIN(INDEX(tun_Smax,G851),AE850+AD851)),AE850)</x:f>
        <x:v>9</x:v>
      </x:c>
      <x:c r="AF851" s="8" t="n">
        <x:f>MAX(0,AE851-AE850)</x:f>
        <x:v>0</x:v>
      </x:c>
      <x:c r="AG851" s="9" t="str">
        <x:f>IF(AF851&gt;0,B851,"")</x:f>
      </x:c>
      <x:c r="AH851" s="9" t="n">
        <x:f>IF(F851&gt;=1,1,(1+tun_LowTiesShare*(AE851-1))/AE851)</x:f>
        <x:v>1</x:v>
      </x:c>
      <x:c r="AI851" s="32" t="n">
        <x:f>(Z851+tun_ElderCommons*INDEX(LM_Elder,G851)*AA851)*AH851</x:f>
        <x:v>238215.0665857503</x:v>
      </x:c>
      <x:c r="AJ851" s="32" t="n">
        <x:f>H851*tun_CommonsCoef*AI851^tun_CommonsExp*INDEX(LM_Commons,G851)</x:f>
        <x:v>0</x:v>
      </x:c>
      <x:c r="AK851" s="32" t="n">
        <x:f>H851*tun_RoleScale*Arch_Roles*(AE851*(INDEX(tun_ElderRolePerSett,G851)*tun_OutElder*INDEX(LM_Elder,G851)+INDEX(tun_ShamanPerSett,G851)*tun_OutShaman)+Z851*(INDEX(tun_PriestShare,G851)*tun_OutPriest+INDEX(tun_ScribeShare,G851)*tun_OutScribe*INDEX(LM_Scribe,G851)+INDEX(tun_ScholarShare,G851)*tun_OutScholar*INDEX(LM_Scholar,G851)+INDEX(tun_ResearcherShare,G851)*tun_OutResearcher*INDEX(LM_Researcher,G851)))</x:f>
        <x:v>0</x:v>
      </x:c>
      <x:c r="AL851" s="32" t="n">
        <x:f>H851*tun_RoleScale*Arch_Roles*AE851*INDEX(tun_MonasteryPerSett,G851)*tun_OutMonastery*INDEX(LM_Monastery,G851)</x:f>
        <x:v>0</x:v>
      </x:c>
      <x:c r="AM851" s="32" t="n">
        <x:f>(AJ851+AK851+AL851)/4*INDEX(LM_All,G851)*INDEX(tun_Boon,G851)*Arch_Insight</x:f>
        <x:v>0</x:v>
      </x:c>
      <x:c r="AN851" s="32" t="n">
        <x:f>H851*(tun_KHPerAdult*Z851+tun_KHOfCommons*AJ851/4*INDEX(LM_All,G851))*tun_KHUsable*Arch_KH</x:f>
        <x:v>0</x:v>
      </x:c>
      <x:c r="AO851" s="32" t="n">
        <x:f>MIN(AP850+AN851,AM851*tun_KHMaxRatio)</x:f>
        <x:v>0</x:v>
      </x:c>
      <x:c r="AP851" s="32" t="n">
        <x:f>AP850+AN851-AO851</x:f>
        <x:v>0</x:v>
      </x:c>
      <x:c r="AQ851" s="32" t="n">
        <x:f>AM851+AO851</x:f>
        <x:v>0</x:v>
      </x:c>
      <x:c r="AR851" s="10" t="n">
        <x:f>IF(H851=1,INDEX(tun_Req,G851),0)</x:f>
        <x:v>0</x:v>
      </x:c>
      <x:c r="AS851" s="32" t="n">
        <x:f>IF(H851=1,IF(E851=1,AS850-AR850,AS850)+AQ851,0)</x:f>
        <x:v>0</x:v>
      </x:c>
      <x:c r="AT851" s="11" t="n">
        <x:f>IF(AR851&gt;0,MIN(1,AS851/AR851),1)</x:f>
        <x:v>1</x:v>
      </x:c>
      <x:c r="AU851" s="10" t="n">
        <x:f>AB851/INDEX(tun_RepScale,G851)</x:f>
        <x:v>290.3368848566301</x:v>
      </x:c>
      <x:c r="AV851" s="32" t="n">
        <x:f>AM851*60/tun_SeasonSeconds</x:f>
        <x:v>0</x:v>
      </x:c>
    </x:row>
    <x:row r="852">
      <x:c r="A852" s="8" t="n">
        <x:f>A851+1</x:f>
        <x:v>849</x:v>
      </x:c>
      <x:c r="B852" s="9" t="n">
        <x:f>A852*tun_SeasonSeconds/60</x:f>
        <x:v>212.25</x:v>
      </x:c>
      <x:c r="C852" s="9" t="n">
        <x:f>A852/4</x:f>
        <x:v>212.25</x:v>
      </x:c>
      <x:c r="D852" s="8" t="n">
        <x:f>IF(MOD(A852,4)=0,1,0)</x:f>
        <x:v>0</x:v>
      </x:c>
      <x:c r="E852" s="8" t="n">
        <x:f>IF(AND(F851&lt;=9,AS851&gt;=AR851),1,0)</x:f>
        <x:v>0</x:v>
      </x:c>
      <x:c r="F852" s="8" t="n">
        <x:f>MIN(10,F851+E852)</x:f>
        <x:v>10</x:v>
      </x:c>
      <x:c r="G852" s="8" t="n">
        <x:f>MIN(F852,9)+1</x:f>
        <x:v>10</x:v>
      </x:c>
      <x:c r="H852" s="8" t="n">
        <x:f>IF(F852&lt;=9,1,0)</x:f>
        <x:v>0</x:v>
      </x:c>
      <x:c r="I852" s="9" t="n">
        <x:f>MIN(10,F851+IF(AR851&gt;0,MIN(1,AS851/AR851),1))</x:f>
        <x:v>10</x:v>
      </x:c>
      <x:c r="J852" s="32" t="n">
        <x:f>INDEX(tun_FoodCap,G852)*Arch_FoodCap*EXP(tun_CapsByProject*SUMPRODUCT((Cap_Point&lt;=I852)*(Cap_Kind="Food")*Cap_Ln))</x:f>
        <x:v>18627.260449441455</x:v>
      </x:c>
      <x:c r="K852" s="32" t="n">
        <x:f>J852*MIN(1,tun_LeanBase*EXP(tun_CapsByProject*SUMPRODUCT((Cap_Point&lt;=I852)*(Cap_Kind="Lean")*Cap_Ln)))</x:f>
        <x:v>18627.260449441455</x:v>
      </x:c>
      <x:c r="L852" s="10" t="n">
        <x:f>INDEX(tun_HousingCap,G852)*EXP(tun_CapsByProject*SUMPRODUCT((Cap_Point&lt;=I852)*(Cap_Kind="Housing")*Cap_Ln))</x:f>
        <x:v>20528.974303173167</x:v>
      </x:c>
      <x:c r="M852" s="10" t="n">
        <x:f>INDEX(tun_GroupCap,G852)*tun_CohesionFactor*EXP(tun_CapsByProject*SUMPRODUCT((Cap_Point&lt;=I852)*(Cap_Kind="Group")*Cap_Ln))</x:f>
        <x:v>1000000.000000001</x:v>
      </x:c>
      <x:c r="N852" s="32" t="n">
        <x:f>MIN(J852,L852,M852)</x:f>
        <x:v>18627.260449441455</x:v>
      </x:c>
      <x:c r="O852" s="10" t="n">
        <x:f>AE851*N852</x:f>
        <x:v>167645.34404497308</x:v>
      </x:c>
      <x:c r="P852" s="9" t="n">
        <x:f>MIN(1,(AB851/(AE851*IF(tun_GroupInCrowding=1,N852,MIN(J852,L852))))^tun_CrowdingExp)</x:f>
        <x:v>0.4215841981292809</x:v>
      </x:c>
      <x:c r="Q852" s="9" t="n">
        <x:f>IF(D852=1,INDEX(tun_WinterMult,G852),1)</x:f>
        <x:v>1</x:v>
      </x:c>
      <x:c r="R852" s="9" t="n">
        <x:f>H852*Z851*tun_WomenShare*tun_BaseFertility*INDEX(tun_FertMult,G852)*Arch_Fertility*(1-P852)</x:f>
        <x:v>0</x:v>
      </x:c>
      <x:c r="S852" s="9" t="n">
        <x:f>H852*Y851*INDEX(tun_MortChild,G852)/4*Q852</x:f>
        <x:v>0</x:v>
      </x:c>
      <x:c r="T852" s="9" t="n">
        <x:f>H852*Z851*INDEX(tun_MortAdult,G852)*Arch_AdultMort/4*Q852</x:f>
        <x:v>0</x:v>
      </x:c>
      <x:c r="U852" s="9" t="n">
        <x:f>H852*AA851*INDEX(tun_MortElder,G852)/4*Q852</x:f>
        <x:v>0</x:v>
      </x:c>
      <x:c r="V852" s="9" t="n">
        <x:f>H852*MAX(0,AB851-O852)*tun_OvercapLoss</x:f>
        <x:v>0</x:v>
      </x:c>
      <x:c r="W852" s="9" t="n">
        <x:f>H852*Y851/(tun_ChildYears*4)</x:f>
        <x:v>0</x:v>
      </x:c>
      <x:c r="X852" s="9" t="n">
        <x:f>H852*Z851/(tun_AdultYears*4)</x:f>
        <x:v>0</x:v>
      </x:c>
      <x:c r="Y852" s="32" t="n">
        <x:f>Y851+R852-S852-W852-Y851*V852/AB851</x:f>
        <x:v>40496.20709015643</x:v>
      </x:c>
      <x:c r="Z852" s="32" t="n">
        <x:f>Z851+W852-X852-T852-Z851*V852/AB851</x:f>
        <x:v>59141.61122890803</x:v>
      </x:c>
      <x:c r="AA852" s="32" t="n">
        <x:f>AA851+X852-U852-AA851*V852/AB851</x:f>
        <x:v>45530.62410925061</x:v>
      </x:c>
      <x:c r="AB852" s="10" t="n">
        <x:f>Y852+Z852+AA852</x:f>
        <x:v>145168.44242831506</x:v>
      </x:c>
      <x:c r="AC852" s="8" t="n">
        <x:f>IF(AND(tun_WinterTrigger=1,D852=1,AB851/AE851&gt;=K852),1,0)</x:f>
        <x:v>0</x:v>
      </x:c>
      <x:c r="AD852" s="8" t="n">
        <x:f>H852*IF(AND(OR(AB851/AE851&gt;=tun_FissionTrigger*N852,AC852=1),AB851/AE851*tun_DaughterShare&gt;=tun_MinDaughter),MAX(1,ROUND(AE851*tun_FissionRate,0)),0)</x:f>
        <x:v>0</x:v>
      </x:c>
      <x:c r="AE852" s="8" t="n">
        <x:f>IF(H852=1,MAX(1,MIN(INDEX(tun_Smax,G852),AE851+AD852)),AE851)</x:f>
        <x:v>9</x:v>
      </x:c>
      <x:c r="AF852" s="8" t="n">
        <x:f>MAX(0,AE852-AE851)</x:f>
        <x:v>0</x:v>
      </x:c>
      <x:c r="AG852" s="9" t="str">
        <x:f>IF(AF852&gt;0,B852,"")</x:f>
      </x:c>
      <x:c r="AH852" s="9" t="n">
        <x:f>IF(F852&gt;=1,1,(1+tun_LowTiesShare*(AE852-1))/AE852)</x:f>
        <x:v>1</x:v>
      </x:c>
      <x:c r="AI852" s="32" t="n">
        <x:f>(Z852+tun_ElderCommons*INDEX(LM_Elder,G852)*AA852)*AH852</x:f>
        <x:v>238215.0665857503</x:v>
      </x:c>
      <x:c r="AJ852" s="32" t="n">
        <x:f>H852*tun_CommonsCoef*AI852^tun_CommonsExp*INDEX(LM_Commons,G852)</x:f>
        <x:v>0</x:v>
      </x:c>
      <x:c r="AK852" s="32" t="n">
        <x:f>H852*tun_RoleScale*Arch_Roles*(AE852*(INDEX(tun_ElderRolePerSett,G852)*tun_OutElder*INDEX(LM_Elder,G852)+INDEX(tun_ShamanPerSett,G852)*tun_OutShaman)+Z852*(INDEX(tun_PriestShare,G852)*tun_OutPriest+INDEX(tun_ScribeShare,G852)*tun_OutScribe*INDEX(LM_Scribe,G852)+INDEX(tun_ScholarShare,G852)*tun_OutScholar*INDEX(LM_Scholar,G852)+INDEX(tun_ResearcherShare,G852)*tun_OutResearcher*INDEX(LM_Researcher,G852)))</x:f>
        <x:v>0</x:v>
      </x:c>
      <x:c r="AL852" s="32" t="n">
        <x:f>H852*tun_RoleScale*Arch_Roles*AE852*INDEX(tun_MonasteryPerSett,G852)*tun_OutMonastery*INDEX(LM_Monastery,G852)</x:f>
        <x:v>0</x:v>
      </x:c>
      <x:c r="AM852" s="32" t="n">
        <x:f>(AJ852+AK852+AL852)/4*INDEX(LM_All,G852)*INDEX(tun_Boon,G852)*Arch_Insight</x:f>
        <x:v>0</x:v>
      </x:c>
      <x:c r="AN852" s="32" t="n">
        <x:f>H852*(tun_KHPerAdult*Z852+tun_KHOfCommons*AJ852/4*INDEX(LM_All,G852))*tun_KHUsable*Arch_KH</x:f>
        <x:v>0</x:v>
      </x:c>
      <x:c r="AO852" s="32" t="n">
        <x:f>MIN(AP851+AN852,AM852*tun_KHMaxRatio)</x:f>
        <x:v>0</x:v>
      </x:c>
      <x:c r="AP852" s="32" t="n">
        <x:f>AP851+AN852-AO852</x:f>
        <x:v>0</x:v>
      </x:c>
      <x:c r="AQ852" s="32" t="n">
        <x:f>AM852+AO852</x:f>
        <x:v>0</x:v>
      </x:c>
      <x:c r="AR852" s="10" t="n">
        <x:f>IF(H852=1,INDEX(tun_Req,G852),0)</x:f>
        <x:v>0</x:v>
      </x:c>
      <x:c r="AS852" s="32" t="n">
        <x:f>IF(H852=1,IF(E852=1,AS851-AR851,AS851)+AQ852,0)</x:f>
        <x:v>0</x:v>
      </x:c>
      <x:c r="AT852" s="11" t="n">
        <x:f>IF(AR852&gt;0,MIN(1,AS852/AR852),1)</x:f>
        <x:v>1</x:v>
      </x:c>
      <x:c r="AU852" s="10" t="n">
        <x:f>AB852/INDEX(tun_RepScale,G852)</x:f>
        <x:v>290.3368848566301</x:v>
      </x:c>
      <x:c r="AV852" s="32" t="n">
        <x:f>AM852*60/tun_SeasonSeconds</x:f>
        <x:v>0</x:v>
      </x:c>
    </x:row>
    <x:row r="853">
      <x:c r="A853" s="8" t="n">
        <x:f>A852+1</x:f>
        <x:v>850</x:v>
      </x:c>
      <x:c r="B853" s="9" t="n">
        <x:f>A853*tun_SeasonSeconds/60</x:f>
        <x:v>212.5</x:v>
      </x:c>
      <x:c r="C853" s="9" t="n">
        <x:f>A853/4</x:f>
        <x:v>212.5</x:v>
      </x:c>
      <x:c r="D853" s="8" t="n">
        <x:f>IF(MOD(A853,4)=0,1,0)</x:f>
        <x:v>0</x:v>
      </x:c>
      <x:c r="E853" s="8" t="n">
        <x:f>IF(AND(F852&lt;=9,AS852&gt;=AR852),1,0)</x:f>
        <x:v>0</x:v>
      </x:c>
      <x:c r="F853" s="8" t="n">
        <x:f>MIN(10,F852+E853)</x:f>
        <x:v>10</x:v>
      </x:c>
      <x:c r="G853" s="8" t="n">
        <x:f>MIN(F853,9)+1</x:f>
        <x:v>10</x:v>
      </x:c>
      <x:c r="H853" s="8" t="n">
        <x:f>IF(F853&lt;=9,1,0)</x:f>
        <x:v>0</x:v>
      </x:c>
      <x:c r="I853" s="9" t="n">
        <x:f>MIN(10,F852+IF(AR852&gt;0,MIN(1,AS852/AR852),1))</x:f>
        <x:v>10</x:v>
      </x:c>
      <x:c r="J853" s="32" t="n">
        <x:f>INDEX(tun_FoodCap,G853)*Arch_FoodCap*EXP(tun_CapsByProject*SUMPRODUCT((Cap_Point&lt;=I853)*(Cap_Kind="Food")*Cap_Ln))</x:f>
        <x:v>18627.260449441455</x:v>
      </x:c>
      <x:c r="K853" s="32" t="n">
        <x:f>J853*MIN(1,tun_LeanBase*EXP(tun_CapsByProject*SUMPRODUCT((Cap_Point&lt;=I853)*(Cap_Kind="Lean")*Cap_Ln)))</x:f>
        <x:v>18627.260449441455</x:v>
      </x:c>
      <x:c r="L853" s="10" t="n">
        <x:f>INDEX(tun_HousingCap,G853)*EXP(tun_CapsByProject*SUMPRODUCT((Cap_Point&lt;=I853)*(Cap_Kind="Housing")*Cap_Ln))</x:f>
        <x:v>20528.974303173167</x:v>
      </x:c>
      <x:c r="M853" s="10" t="n">
        <x:f>INDEX(tun_GroupCap,G853)*tun_CohesionFactor*EXP(tun_CapsByProject*SUMPRODUCT((Cap_Point&lt;=I853)*(Cap_Kind="Group")*Cap_Ln))</x:f>
        <x:v>1000000.000000001</x:v>
      </x:c>
      <x:c r="N853" s="32" t="n">
        <x:f>MIN(J853,L853,M853)</x:f>
        <x:v>18627.260449441455</x:v>
      </x:c>
      <x:c r="O853" s="10" t="n">
        <x:f>AE852*N853</x:f>
        <x:v>167645.34404497308</x:v>
      </x:c>
      <x:c r="P853" s="9" t="n">
        <x:f>MIN(1,(AB852/(AE852*IF(tun_GroupInCrowding=1,N853,MIN(J853,L853))))^tun_CrowdingExp)</x:f>
        <x:v>0.4215841981292809</x:v>
      </x:c>
      <x:c r="Q853" s="9" t="n">
        <x:f>IF(D853=1,INDEX(tun_WinterMult,G853),1)</x:f>
        <x:v>1</x:v>
      </x:c>
      <x:c r="R853" s="9" t="n">
        <x:f>H853*Z852*tun_WomenShare*tun_BaseFertility*INDEX(tun_FertMult,G853)*Arch_Fertility*(1-P853)</x:f>
        <x:v>0</x:v>
      </x:c>
      <x:c r="S853" s="9" t="n">
        <x:f>H853*Y852*INDEX(tun_MortChild,G853)/4*Q853</x:f>
        <x:v>0</x:v>
      </x:c>
      <x:c r="T853" s="9" t="n">
        <x:f>H853*Z852*INDEX(tun_MortAdult,G853)*Arch_AdultMort/4*Q853</x:f>
        <x:v>0</x:v>
      </x:c>
      <x:c r="U853" s="9" t="n">
        <x:f>H853*AA852*INDEX(tun_MortElder,G853)/4*Q853</x:f>
        <x:v>0</x:v>
      </x:c>
      <x:c r="V853" s="9" t="n">
        <x:f>H853*MAX(0,AB852-O853)*tun_OvercapLoss</x:f>
        <x:v>0</x:v>
      </x:c>
      <x:c r="W853" s="9" t="n">
        <x:f>H853*Y852/(tun_ChildYears*4)</x:f>
        <x:v>0</x:v>
      </x:c>
      <x:c r="X853" s="9" t="n">
        <x:f>H853*Z852/(tun_AdultYears*4)</x:f>
        <x:v>0</x:v>
      </x:c>
      <x:c r="Y853" s="32" t="n">
        <x:f>Y852+R853-S853-W853-Y852*V853/AB852</x:f>
        <x:v>40496.20709015643</x:v>
      </x:c>
      <x:c r="Z853" s="32" t="n">
        <x:f>Z852+W853-X853-T853-Z852*V853/AB852</x:f>
        <x:v>59141.61122890803</x:v>
      </x:c>
      <x:c r="AA853" s="32" t="n">
        <x:f>AA852+X853-U853-AA852*V853/AB852</x:f>
        <x:v>45530.62410925061</x:v>
      </x:c>
      <x:c r="AB853" s="10" t="n">
        <x:f>Y853+Z853+AA853</x:f>
        <x:v>145168.44242831506</x:v>
      </x:c>
      <x:c r="AC853" s="8" t="n">
        <x:f>IF(AND(tun_WinterTrigger=1,D853=1,AB852/AE852&gt;=K853),1,0)</x:f>
        <x:v>0</x:v>
      </x:c>
      <x:c r="AD853" s="8" t="n">
        <x:f>H853*IF(AND(OR(AB852/AE852&gt;=tun_FissionTrigger*N853,AC853=1),AB852/AE852*tun_DaughterShare&gt;=tun_MinDaughter),MAX(1,ROUND(AE852*tun_FissionRate,0)),0)</x:f>
        <x:v>0</x:v>
      </x:c>
      <x:c r="AE853" s="8" t="n">
        <x:f>IF(H853=1,MAX(1,MIN(INDEX(tun_Smax,G853),AE852+AD853)),AE852)</x:f>
        <x:v>9</x:v>
      </x:c>
      <x:c r="AF853" s="8" t="n">
        <x:f>MAX(0,AE853-AE852)</x:f>
        <x:v>0</x:v>
      </x:c>
      <x:c r="AG853" s="9" t="str">
        <x:f>IF(AF853&gt;0,B853,"")</x:f>
      </x:c>
      <x:c r="AH853" s="9" t="n">
        <x:f>IF(F853&gt;=1,1,(1+tun_LowTiesShare*(AE853-1))/AE853)</x:f>
        <x:v>1</x:v>
      </x:c>
      <x:c r="AI853" s="32" t="n">
        <x:f>(Z853+tun_ElderCommons*INDEX(LM_Elder,G853)*AA853)*AH853</x:f>
        <x:v>238215.0665857503</x:v>
      </x:c>
      <x:c r="AJ853" s="32" t="n">
        <x:f>H853*tun_CommonsCoef*AI853^tun_CommonsExp*INDEX(LM_Commons,G853)</x:f>
        <x:v>0</x:v>
      </x:c>
      <x:c r="AK853" s="32" t="n">
        <x:f>H853*tun_RoleScale*Arch_Roles*(AE853*(INDEX(tun_ElderRolePerSett,G853)*tun_OutElder*INDEX(LM_Elder,G853)+INDEX(tun_ShamanPerSett,G853)*tun_OutShaman)+Z853*(INDEX(tun_PriestShare,G853)*tun_OutPriest+INDEX(tun_ScribeShare,G853)*tun_OutScribe*INDEX(LM_Scribe,G853)+INDEX(tun_ScholarShare,G853)*tun_OutScholar*INDEX(LM_Scholar,G853)+INDEX(tun_ResearcherShare,G853)*tun_OutResearcher*INDEX(LM_Researcher,G853)))</x:f>
        <x:v>0</x:v>
      </x:c>
      <x:c r="AL853" s="32" t="n">
        <x:f>H853*tun_RoleScale*Arch_Roles*AE853*INDEX(tun_MonasteryPerSett,G853)*tun_OutMonastery*INDEX(LM_Monastery,G853)</x:f>
        <x:v>0</x:v>
      </x:c>
      <x:c r="AM853" s="32" t="n">
        <x:f>(AJ853+AK853+AL853)/4*INDEX(LM_All,G853)*INDEX(tun_Boon,G853)*Arch_Insight</x:f>
        <x:v>0</x:v>
      </x:c>
      <x:c r="AN853" s="32" t="n">
        <x:f>H853*(tun_KHPerAdult*Z853+tun_KHOfCommons*AJ853/4*INDEX(LM_All,G853))*tun_KHUsable*Arch_KH</x:f>
        <x:v>0</x:v>
      </x:c>
      <x:c r="AO853" s="32" t="n">
        <x:f>MIN(AP852+AN853,AM853*tun_KHMaxRatio)</x:f>
        <x:v>0</x:v>
      </x:c>
      <x:c r="AP853" s="32" t="n">
        <x:f>AP852+AN853-AO853</x:f>
        <x:v>0</x:v>
      </x:c>
      <x:c r="AQ853" s="32" t="n">
        <x:f>AM853+AO853</x:f>
        <x:v>0</x:v>
      </x:c>
      <x:c r="AR853" s="10" t="n">
        <x:f>IF(H853=1,INDEX(tun_Req,G853),0)</x:f>
        <x:v>0</x:v>
      </x:c>
      <x:c r="AS853" s="32" t="n">
        <x:f>IF(H853=1,IF(E853=1,AS852-AR852,AS852)+AQ853,0)</x:f>
        <x:v>0</x:v>
      </x:c>
      <x:c r="AT853" s="11" t="n">
        <x:f>IF(AR853&gt;0,MIN(1,AS853/AR853),1)</x:f>
        <x:v>1</x:v>
      </x:c>
      <x:c r="AU853" s="10" t="n">
        <x:f>AB853/INDEX(tun_RepScale,G853)</x:f>
        <x:v>290.3368848566301</x:v>
      </x:c>
      <x:c r="AV853" s="32" t="n">
        <x:f>AM853*60/tun_SeasonSeconds</x:f>
        <x:v>0</x:v>
      </x:c>
    </x:row>
    <x:row r="854">
      <x:c r="A854" s="8" t="n">
        <x:f>A853+1</x:f>
        <x:v>851</x:v>
      </x:c>
      <x:c r="B854" s="9" t="n">
        <x:f>A854*tun_SeasonSeconds/60</x:f>
        <x:v>212.75</x:v>
      </x:c>
      <x:c r="C854" s="9" t="n">
        <x:f>A854/4</x:f>
        <x:v>212.75</x:v>
      </x:c>
      <x:c r="D854" s="8" t="n">
        <x:f>IF(MOD(A854,4)=0,1,0)</x:f>
        <x:v>0</x:v>
      </x:c>
      <x:c r="E854" s="8" t="n">
        <x:f>IF(AND(F853&lt;=9,AS853&gt;=AR853),1,0)</x:f>
        <x:v>0</x:v>
      </x:c>
      <x:c r="F854" s="8" t="n">
        <x:f>MIN(10,F853+E854)</x:f>
        <x:v>10</x:v>
      </x:c>
      <x:c r="G854" s="8" t="n">
        <x:f>MIN(F854,9)+1</x:f>
        <x:v>10</x:v>
      </x:c>
      <x:c r="H854" s="8" t="n">
        <x:f>IF(F854&lt;=9,1,0)</x:f>
        <x:v>0</x:v>
      </x:c>
      <x:c r="I854" s="9" t="n">
        <x:f>MIN(10,F853+IF(AR853&gt;0,MIN(1,AS853/AR853),1))</x:f>
        <x:v>10</x:v>
      </x:c>
      <x:c r="J854" s="32" t="n">
        <x:f>INDEX(tun_FoodCap,G854)*Arch_FoodCap*EXP(tun_CapsByProject*SUMPRODUCT((Cap_Point&lt;=I854)*(Cap_Kind="Food")*Cap_Ln))</x:f>
        <x:v>18627.260449441455</x:v>
      </x:c>
      <x:c r="K854" s="32" t="n">
        <x:f>J854*MIN(1,tun_LeanBase*EXP(tun_CapsByProject*SUMPRODUCT((Cap_Point&lt;=I854)*(Cap_Kind="Lean")*Cap_Ln)))</x:f>
        <x:v>18627.260449441455</x:v>
      </x:c>
      <x:c r="L854" s="10" t="n">
        <x:f>INDEX(tun_HousingCap,G854)*EXP(tun_CapsByProject*SUMPRODUCT((Cap_Point&lt;=I854)*(Cap_Kind="Housing")*Cap_Ln))</x:f>
        <x:v>20528.974303173167</x:v>
      </x:c>
      <x:c r="M854" s="10" t="n">
        <x:f>INDEX(tun_GroupCap,G854)*tun_CohesionFactor*EXP(tun_CapsByProject*SUMPRODUCT((Cap_Point&lt;=I854)*(Cap_Kind="Group")*Cap_Ln))</x:f>
        <x:v>1000000.000000001</x:v>
      </x:c>
      <x:c r="N854" s="32" t="n">
        <x:f>MIN(J854,L854,M854)</x:f>
        <x:v>18627.260449441455</x:v>
      </x:c>
      <x:c r="O854" s="10" t="n">
        <x:f>AE853*N854</x:f>
        <x:v>167645.34404497308</x:v>
      </x:c>
      <x:c r="P854" s="9" t="n">
        <x:f>MIN(1,(AB853/(AE853*IF(tun_GroupInCrowding=1,N854,MIN(J854,L854))))^tun_CrowdingExp)</x:f>
        <x:v>0.4215841981292809</x:v>
      </x:c>
      <x:c r="Q854" s="9" t="n">
        <x:f>IF(D854=1,INDEX(tun_WinterMult,G854),1)</x:f>
        <x:v>1</x:v>
      </x:c>
      <x:c r="R854" s="9" t="n">
        <x:f>H854*Z853*tun_WomenShare*tun_BaseFertility*INDEX(tun_FertMult,G854)*Arch_Fertility*(1-P854)</x:f>
        <x:v>0</x:v>
      </x:c>
      <x:c r="S854" s="9" t="n">
        <x:f>H854*Y853*INDEX(tun_MortChild,G854)/4*Q854</x:f>
        <x:v>0</x:v>
      </x:c>
      <x:c r="T854" s="9" t="n">
        <x:f>H854*Z853*INDEX(tun_MortAdult,G854)*Arch_AdultMort/4*Q854</x:f>
        <x:v>0</x:v>
      </x:c>
      <x:c r="U854" s="9" t="n">
        <x:f>H854*AA853*INDEX(tun_MortElder,G854)/4*Q854</x:f>
        <x:v>0</x:v>
      </x:c>
      <x:c r="V854" s="9" t="n">
        <x:f>H854*MAX(0,AB853-O854)*tun_OvercapLoss</x:f>
        <x:v>0</x:v>
      </x:c>
      <x:c r="W854" s="9" t="n">
        <x:f>H854*Y853/(tun_ChildYears*4)</x:f>
        <x:v>0</x:v>
      </x:c>
      <x:c r="X854" s="9" t="n">
        <x:f>H854*Z853/(tun_AdultYears*4)</x:f>
        <x:v>0</x:v>
      </x:c>
      <x:c r="Y854" s="32" t="n">
        <x:f>Y853+R854-S854-W854-Y853*V854/AB853</x:f>
        <x:v>40496.20709015643</x:v>
      </x:c>
      <x:c r="Z854" s="32" t="n">
        <x:f>Z853+W854-X854-T854-Z853*V854/AB853</x:f>
        <x:v>59141.61122890803</x:v>
      </x:c>
      <x:c r="AA854" s="32" t="n">
        <x:f>AA853+X854-U854-AA853*V854/AB853</x:f>
        <x:v>45530.62410925061</x:v>
      </x:c>
      <x:c r="AB854" s="10" t="n">
        <x:f>Y854+Z854+AA854</x:f>
        <x:v>145168.44242831506</x:v>
      </x:c>
      <x:c r="AC854" s="8" t="n">
        <x:f>IF(AND(tun_WinterTrigger=1,D854=1,AB853/AE853&gt;=K854),1,0)</x:f>
        <x:v>0</x:v>
      </x:c>
      <x:c r="AD854" s="8" t="n">
        <x:f>H854*IF(AND(OR(AB853/AE853&gt;=tun_FissionTrigger*N854,AC854=1),AB853/AE853*tun_DaughterShare&gt;=tun_MinDaughter),MAX(1,ROUND(AE853*tun_FissionRate,0)),0)</x:f>
        <x:v>0</x:v>
      </x:c>
      <x:c r="AE854" s="8" t="n">
        <x:f>IF(H854=1,MAX(1,MIN(INDEX(tun_Smax,G854),AE853+AD854)),AE853)</x:f>
        <x:v>9</x:v>
      </x:c>
      <x:c r="AF854" s="8" t="n">
        <x:f>MAX(0,AE854-AE853)</x:f>
        <x:v>0</x:v>
      </x:c>
      <x:c r="AG854" s="9" t="str">
        <x:f>IF(AF854&gt;0,B854,"")</x:f>
      </x:c>
      <x:c r="AH854" s="9" t="n">
        <x:f>IF(F854&gt;=1,1,(1+tun_LowTiesShare*(AE854-1))/AE854)</x:f>
        <x:v>1</x:v>
      </x:c>
      <x:c r="AI854" s="32" t="n">
        <x:f>(Z854+tun_ElderCommons*INDEX(LM_Elder,G854)*AA854)*AH854</x:f>
        <x:v>238215.0665857503</x:v>
      </x:c>
      <x:c r="AJ854" s="32" t="n">
        <x:f>H854*tun_CommonsCoef*AI854^tun_CommonsExp*INDEX(LM_Commons,G854)</x:f>
        <x:v>0</x:v>
      </x:c>
      <x:c r="AK854" s="32" t="n">
        <x:f>H854*tun_RoleScale*Arch_Roles*(AE854*(INDEX(tun_ElderRolePerSett,G854)*tun_OutElder*INDEX(LM_Elder,G854)+INDEX(tun_ShamanPerSett,G854)*tun_OutShaman)+Z854*(INDEX(tun_PriestShare,G854)*tun_OutPriest+INDEX(tun_ScribeShare,G854)*tun_OutScribe*INDEX(LM_Scribe,G854)+INDEX(tun_ScholarShare,G854)*tun_OutScholar*INDEX(LM_Scholar,G854)+INDEX(tun_ResearcherShare,G854)*tun_OutResearcher*INDEX(LM_Researcher,G854)))</x:f>
        <x:v>0</x:v>
      </x:c>
      <x:c r="AL854" s="32" t="n">
        <x:f>H854*tun_RoleScale*Arch_Roles*AE854*INDEX(tun_MonasteryPerSett,G854)*tun_OutMonastery*INDEX(LM_Monastery,G854)</x:f>
        <x:v>0</x:v>
      </x:c>
      <x:c r="AM854" s="32" t="n">
        <x:f>(AJ854+AK854+AL854)/4*INDEX(LM_All,G854)*INDEX(tun_Boon,G854)*Arch_Insight</x:f>
        <x:v>0</x:v>
      </x:c>
      <x:c r="AN854" s="32" t="n">
        <x:f>H854*(tun_KHPerAdult*Z854+tun_KHOfCommons*AJ854/4*INDEX(LM_All,G854))*tun_KHUsable*Arch_KH</x:f>
        <x:v>0</x:v>
      </x:c>
      <x:c r="AO854" s="32" t="n">
        <x:f>MIN(AP853+AN854,AM854*tun_KHMaxRatio)</x:f>
        <x:v>0</x:v>
      </x:c>
      <x:c r="AP854" s="32" t="n">
        <x:f>AP853+AN854-AO854</x:f>
        <x:v>0</x:v>
      </x:c>
      <x:c r="AQ854" s="32" t="n">
        <x:f>AM854+AO854</x:f>
        <x:v>0</x:v>
      </x:c>
      <x:c r="AR854" s="10" t="n">
        <x:f>IF(H854=1,INDEX(tun_Req,G854),0)</x:f>
        <x:v>0</x:v>
      </x:c>
      <x:c r="AS854" s="32" t="n">
        <x:f>IF(H854=1,IF(E854=1,AS853-AR853,AS853)+AQ854,0)</x:f>
        <x:v>0</x:v>
      </x:c>
      <x:c r="AT854" s="11" t="n">
        <x:f>IF(AR854&gt;0,MIN(1,AS854/AR854),1)</x:f>
        <x:v>1</x:v>
      </x:c>
      <x:c r="AU854" s="10" t="n">
        <x:f>AB854/INDEX(tun_RepScale,G854)</x:f>
        <x:v>290.3368848566301</x:v>
      </x:c>
      <x:c r="AV854" s="32" t="n">
        <x:f>AM854*60/tun_SeasonSeconds</x:f>
        <x:v>0</x:v>
      </x:c>
    </x:row>
    <x:row r="855">
      <x:c r="A855" s="8" t="n">
        <x:f>A854+1</x:f>
        <x:v>852</x:v>
      </x:c>
      <x:c r="B855" s="9" t="n">
        <x:f>A855*tun_SeasonSeconds/60</x:f>
        <x:v>213</x:v>
      </x:c>
      <x:c r="C855" s="9" t="n">
        <x:f>A855/4</x:f>
        <x:v>213</x:v>
      </x:c>
      <x:c r="D855" s="8" t="n">
        <x:f>IF(MOD(A855,4)=0,1,0)</x:f>
        <x:v>1</x:v>
      </x:c>
      <x:c r="E855" s="8" t="n">
        <x:f>IF(AND(F854&lt;=9,AS854&gt;=AR854),1,0)</x:f>
        <x:v>0</x:v>
      </x:c>
      <x:c r="F855" s="8" t="n">
        <x:f>MIN(10,F854+E855)</x:f>
        <x:v>10</x:v>
      </x:c>
      <x:c r="G855" s="8" t="n">
        <x:f>MIN(F855,9)+1</x:f>
        <x:v>10</x:v>
      </x:c>
      <x:c r="H855" s="8" t="n">
        <x:f>IF(F855&lt;=9,1,0)</x:f>
        <x:v>0</x:v>
      </x:c>
      <x:c r="I855" s="9" t="n">
        <x:f>MIN(10,F854+IF(AR854&gt;0,MIN(1,AS854/AR854),1))</x:f>
        <x:v>10</x:v>
      </x:c>
      <x:c r="J855" s="32" t="n">
        <x:f>INDEX(tun_FoodCap,G855)*Arch_FoodCap*EXP(tun_CapsByProject*SUMPRODUCT((Cap_Point&lt;=I855)*(Cap_Kind="Food")*Cap_Ln))</x:f>
        <x:v>18627.260449441455</x:v>
      </x:c>
      <x:c r="K855" s="32" t="n">
        <x:f>J855*MIN(1,tun_LeanBase*EXP(tun_CapsByProject*SUMPRODUCT((Cap_Point&lt;=I855)*(Cap_Kind="Lean")*Cap_Ln)))</x:f>
        <x:v>18627.260449441455</x:v>
      </x:c>
      <x:c r="L855" s="10" t="n">
        <x:f>INDEX(tun_HousingCap,G855)*EXP(tun_CapsByProject*SUMPRODUCT((Cap_Point&lt;=I855)*(Cap_Kind="Housing")*Cap_Ln))</x:f>
        <x:v>20528.974303173167</x:v>
      </x:c>
      <x:c r="M855" s="10" t="n">
        <x:f>INDEX(tun_GroupCap,G855)*tun_CohesionFactor*EXP(tun_CapsByProject*SUMPRODUCT((Cap_Point&lt;=I855)*(Cap_Kind="Group")*Cap_Ln))</x:f>
        <x:v>1000000.000000001</x:v>
      </x:c>
      <x:c r="N855" s="32" t="n">
        <x:f>MIN(J855,L855,M855)</x:f>
        <x:v>18627.260449441455</x:v>
      </x:c>
      <x:c r="O855" s="10" t="n">
        <x:f>AE854*N855</x:f>
        <x:v>167645.34404497308</x:v>
      </x:c>
      <x:c r="P855" s="9" t="n">
        <x:f>MIN(1,(AB854/(AE854*IF(tun_GroupInCrowding=1,N855,MIN(J855,L855))))^tun_CrowdingExp)</x:f>
        <x:v>0.4215841981292809</x:v>
      </x:c>
      <x:c r="Q855" s="9" t="n">
        <x:f>IF(D855=1,INDEX(tun_WinterMult,G855),1)</x:f>
        <x:v>1.05</x:v>
      </x:c>
      <x:c r="R855" s="9" t="n">
        <x:f>H855*Z854*tun_WomenShare*tun_BaseFertility*INDEX(tun_FertMult,G855)*Arch_Fertility*(1-P855)</x:f>
        <x:v>0</x:v>
      </x:c>
      <x:c r="S855" s="9" t="n">
        <x:f>H855*Y854*INDEX(tun_MortChild,G855)/4*Q855</x:f>
        <x:v>0</x:v>
      </x:c>
      <x:c r="T855" s="9" t="n">
        <x:f>H855*Z854*INDEX(tun_MortAdult,G855)*Arch_AdultMort/4*Q855</x:f>
        <x:v>0</x:v>
      </x:c>
      <x:c r="U855" s="9" t="n">
        <x:f>H855*AA854*INDEX(tun_MortElder,G855)/4*Q855</x:f>
        <x:v>0</x:v>
      </x:c>
      <x:c r="V855" s="9" t="n">
        <x:f>H855*MAX(0,AB854-O855)*tun_OvercapLoss</x:f>
        <x:v>0</x:v>
      </x:c>
      <x:c r="W855" s="9" t="n">
        <x:f>H855*Y854/(tun_ChildYears*4)</x:f>
        <x:v>0</x:v>
      </x:c>
      <x:c r="X855" s="9" t="n">
        <x:f>H855*Z854/(tun_AdultYears*4)</x:f>
        <x:v>0</x:v>
      </x:c>
      <x:c r="Y855" s="32" t="n">
        <x:f>Y854+R855-S855-W855-Y854*V855/AB854</x:f>
        <x:v>40496.20709015643</x:v>
      </x:c>
      <x:c r="Z855" s="32" t="n">
        <x:f>Z854+W855-X855-T855-Z854*V855/AB854</x:f>
        <x:v>59141.61122890803</x:v>
      </x:c>
      <x:c r="AA855" s="32" t="n">
        <x:f>AA854+X855-U855-AA854*V855/AB854</x:f>
        <x:v>45530.62410925061</x:v>
      </x:c>
      <x:c r="AB855" s="10" t="n">
        <x:f>Y855+Z855+AA855</x:f>
        <x:v>145168.44242831506</x:v>
      </x:c>
      <x:c r="AC855" s="8" t="n">
        <x:f>IF(AND(tun_WinterTrigger=1,D855=1,AB854/AE854&gt;=K855),1,0)</x:f>
        <x:v>0</x:v>
      </x:c>
      <x:c r="AD855" s="8" t="n">
        <x:f>H855*IF(AND(OR(AB854/AE854&gt;=tun_FissionTrigger*N855,AC855=1),AB854/AE854*tun_DaughterShare&gt;=tun_MinDaughter),MAX(1,ROUND(AE854*tun_FissionRate,0)),0)</x:f>
        <x:v>0</x:v>
      </x:c>
      <x:c r="AE855" s="8" t="n">
        <x:f>IF(H855=1,MAX(1,MIN(INDEX(tun_Smax,G855),AE854+AD855)),AE854)</x:f>
        <x:v>9</x:v>
      </x:c>
      <x:c r="AF855" s="8" t="n">
        <x:f>MAX(0,AE855-AE854)</x:f>
        <x:v>0</x:v>
      </x:c>
      <x:c r="AG855" s="9" t="str">
        <x:f>IF(AF855&gt;0,B855,"")</x:f>
      </x:c>
      <x:c r="AH855" s="9" t="n">
        <x:f>IF(F855&gt;=1,1,(1+tun_LowTiesShare*(AE855-1))/AE855)</x:f>
        <x:v>1</x:v>
      </x:c>
      <x:c r="AI855" s="32" t="n">
        <x:f>(Z855+tun_ElderCommons*INDEX(LM_Elder,G855)*AA855)*AH855</x:f>
        <x:v>238215.0665857503</x:v>
      </x:c>
      <x:c r="AJ855" s="32" t="n">
        <x:f>H855*tun_CommonsCoef*AI855^tun_CommonsExp*INDEX(LM_Commons,G855)</x:f>
        <x:v>0</x:v>
      </x:c>
      <x:c r="AK855" s="32" t="n">
        <x:f>H855*tun_RoleScale*Arch_Roles*(AE855*(INDEX(tun_ElderRolePerSett,G855)*tun_OutElder*INDEX(LM_Elder,G855)+INDEX(tun_ShamanPerSett,G855)*tun_OutShaman)+Z855*(INDEX(tun_PriestShare,G855)*tun_OutPriest+INDEX(tun_ScribeShare,G855)*tun_OutScribe*INDEX(LM_Scribe,G855)+INDEX(tun_ScholarShare,G855)*tun_OutScholar*INDEX(LM_Scholar,G855)+INDEX(tun_ResearcherShare,G855)*tun_OutResearcher*INDEX(LM_Researcher,G855)))</x:f>
        <x:v>0</x:v>
      </x:c>
      <x:c r="AL855" s="32" t="n">
        <x:f>H855*tun_RoleScale*Arch_Roles*AE855*INDEX(tun_MonasteryPerSett,G855)*tun_OutMonastery*INDEX(LM_Monastery,G855)</x:f>
        <x:v>0</x:v>
      </x:c>
      <x:c r="AM855" s="32" t="n">
        <x:f>(AJ855+AK855+AL855)/4*INDEX(LM_All,G855)*INDEX(tun_Boon,G855)*Arch_Insight</x:f>
        <x:v>0</x:v>
      </x:c>
      <x:c r="AN855" s="32" t="n">
        <x:f>H855*(tun_KHPerAdult*Z855+tun_KHOfCommons*AJ855/4*INDEX(LM_All,G855))*tun_KHUsable*Arch_KH</x:f>
        <x:v>0</x:v>
      </x:c>
      <x:c r="AO855" s="32" t="n">
        <x:f>MIN(AP854+AN855,AM855*tun_KHMaxRatio)</x:f>
        <x:v>0</x:v>
      </x:c>
      <x:c r="AP855" s="32" t="n">
        <x:f>AP854+AN855-AO855</x:f>
        <x:v>0</x:v>
      </x:c>
      <x:c r="AQ855" s="32" t="n">
        <x:f>AM855+AO855</x:f>
        <x:v>0</x:v>
      </x:c>
      <x:c r="AR855" s="10" t="n">
        <x:f>IF(H855=1,INDEX(tun_Req,G855),0)</x:f>
        <x:v>0</x:v>
      </x:c>
      <x:c r="AS855" s="32" t="n">
        <x:f>IF(H855=1,IF(E855=1,AS854-AR854,AS854)+AQ855,0)</x:f>
        <x:v>0</x:v>
      </x:c>
      <x:c r="AT855" s="11" t="n">
        <x:f>IF(AR855&gt;0,MIN(1,AS855/AR855),1)</x:f>
        <x:v>1</x:v>
      </x:c>
      <x:c r="AU855" s="10" t="n">
        <x:f>AB855/INDEX(tun_RepScale,G855)</x:f>
        <x:v>290.3368848566301</x:v>
      </x:c>
      <x:c r="AV855" s="32" t="n">
        <x:f>AM855*60/tun_SeasonSeconds</x:f>
        <x:v>0</x:v>
      </x:c>
    </x:row>
    <x:row r="856">
      <x:c r="A856" s="8" t="n">
        <x:f>A855+1</x:f>
        <x:v>853</x:v>
      </x:c>
      <x:c r="B856" s="9" t="n">
        <x:f>A856*tun_SeasonSeconds/60</x:f>
        <x:v>213.25</x:v>
      </x:c>
      <x:c r="C856" s="9" t="n">
        <x:f>A856/4</x:f>
        <x:v>213.25</x:v>
      </x:c>
      <x:c r="D856" s="8" t="n">
        <x:f>IF(MOD(A856,4)=0,1,0)</x:f>
        <x:v>0</x:v>
      </x:c>
      <x:c r="E856" s="8" t="n">
        <x:f>IF(AND(F855&lt;=9,AS855&gt;=AR855),1,0)</x:f>
        <x:v>0</x:v>
      </x:c>
      <x:c r="F856" s="8" t="n">
        <x:f>MIN(10,F855+E856)</x:f>
        <x:v>10</x:v>
      </x:c>
      <x:c r="G856" s="8" t="n">
        <x:f>MIN(F856,9)+1</x:f>
        <x:v>10</x:v>
      </x:c>
      <x:c r="H856" s="8" t="n">
        <x:f>IF(F856&lt;=9,1,0)</x:f>
        <x:v>0</x:v>
      </x:c>
      <x:c r="I856" s="9" t="n">
        <x:f>MIN(10,F855+IF(AR855&gt;0,MIN(1,AS855/AR855),1))</x:f>
        <x:v>10</x:v>
      </x:c>
      <x:c r="J856" s="32" t="n">
        <x:f>INDEX(tun_FoodCap,G856)*Arch_FoodCap*EXP(tun_CapsByProject*SUMPRODUCT((Cap_Point&lt;=I856)*(Cap_Kind="Food")*Cap_Ln))</x:f>
        <x:v>18627.260449441455</x:v>
      </x:c>
      <x:c r="K856" s="32" t="n">
        <x:f>J856*MIN(1,tun_LeanBase*EXP(tun_CapsByProject*SUMPRODUCT((Cap_Point&lt;=I856)*(Cap_Kind="Lean")*Cap_Ln)))</x:f>
        <x:v>18627.260449441455</x:v>
      </x:c>
      <x:c r="L856" s="10" t="n">
        <x:f>INDEX(tun_HousingCap,G856)*EXP(tun_CapsByProject*SUMPRODUCT((Cap_Point&lt;=I856)*(Cap_Kind="Housing")*Cap_Ln))</x:f>
        <x:v>20528.974303173167</x:v>
      </x:c>
      <x:c r="M856" s="10" t="n">
        <x:f>INDEX(tun_GroupCap,G856)*tun_CohesionFactor*EXP(tun_CapsByProject*SUMPRODUCT((Cap_Point&lt;=I856)*(Cap_Kind="Group")*Cap_Ln))</x:f>
        <x:v>1000000.000000001</x:v>
      </x:c>
      <x:c r="N856" s="32" t="n">
        <x:f>MIN(J856,L856,M856)</x:f>
        <x:v>18627.260449441455</x:v>
      </x:c>
      <x:c r="O856" s="10" t="n">
        <x:f>AE855*N856</x:f>
        <x:v>167645.34404497308</x:v>
      </x:c>
      <x:c r="P856" s="9" t="n">
        <x:f>MIN(1,(AB855/(AE855*IF(tun_GroupInCrowding=1,N856,MIN(J856,L856))))^tun_CrowdingExp)</x:f>
        <x:v>0.4215841981292809</x:v>
      </x:c>
      <x:c r="Q856" s="9" t="n">
        <x:f>IF(D856=1,INDEX(tun_WinterMult,G856),1)</x:f>
        <x:v>1</x:v>
      </x:c>
      <x:c r="R856" s="9" t="n">
        <x:f>H856*Z855*tun_WomenShare*tun_BaseFertility*INDEX(tun_FertMult,G856)*Arch_Fertility*(1-P856)</x:f>
        <x:v>0</x:v>
      </x:c>
      <x:c r="S856" s="9" t="n">
        <x:f>H856*Y855*INDEX(tun_MortChild,G856)/4*Q856</x:f>
        <x:v>0</x:v>
      </x:c>
      <x:c r="T856" s="9" t="n">
        <x:f>H856*Z855*INDEX(tun_MortAdult,G856)*Arch_AdultMort/4*Q856</x:f>
        <x:v>0</x:v>
      </x:c>
      <x:c r="U856" s="9" t="n">
        <x:f>H856*AA855*INDEX(tun_MortElder,G856)/4*Q856</x:f>
        <x:v>0</x:v>
      </x:c>
      <x:c r="V856" s="9" t="n">
        <x:f>H856*MAX(0,AB855-O856)*tun_OvercapLoss</x:f>
        <x:v>0</x:v>
      </x:c>
      <x:c r="W856" s="9" t="n">
        <x:f>H856*Y855/(tun_ChildYears*4)</x:f>
        <x:v>0</x:v>
      </x:c>
      <x:c r="X856" s="9" t="n">
        <x:f>H856*Z855/(tun_AdultYears*4)</x:f>
        <x:v>0</x:v>
      </x:c>
      <x:c r="Y856" s="32" t="n">
        <x:f>Y855+R856-S856-W856-Y855*V856/AB855</x:f>
        <x:v>40496.20709015643</x:v>
      </x:c>
      <x:c r="Z856" s="32" t="n">
        <x:f>Z855+W856-X856-T856-Z855*V856/AB855</x:f>
        <x:v>59141.61122890803</x:v>
      </x:c>
      <x:c r="AA856" s="32" t="n">
        <x:f>AA855+X856-U856-AA855*V856/AB855</x:f>
        <x:v>45530.62410925061</x:v>
      </x:c>
      <x:c r="AB856" s="10" t="n">
        <x:f>Y856+Z856+AA856</x:f>
        <x:v>145168.44242831506</x:v>
      </x:c>
      <x:c r="AC856" s="8" t="n">
        <x:f>IF(AND(tun_WinterTrigger=1,D856=1,AB855/AE855&gt;=K856),1,0)</x:f>
        <x:v>0</x:v>
      </x:c>
      <x:c r="AD856" s="8" t="n">
        <x:f>H856*IF(AND(OR(AB855/AE855&gt;=tun_FissionTrigger*N856,AC856=1),AB855/AE855*tun_DaughterShare&gt;=tun_MinDaughter),MAX(1,ROUND(AE855*tun_FissionRate,0)),0)</x:f>
        <x:v>0</x:v>
      </x:c>
      <x:c r="AE856" s="8" t="n">
        <x:f>IF(H856=1,MAX(1,MIN(INDEX(tun_Smax,G856),AE855+AD856)),AE855)</x:f>
        <x:v>9</x:v>
      </x:c>
      <x:c r="AF856" s="8" t="n">
        <x:f>MAX(0,AE856-AE855)</x:f>
        <x:v>0</x:v>
      </x:c>
      <x:c r="AG856" s="9" t="str">
        <x:f>IF(AF856&gt;0,B856,"")</x:f>
      </x:c>
      <x:c r="AH856" s="9" t="n">
        <x:f>IF(F856&gt;=1,1,(1+tun_LowTiesShare*(AE856-1))/AE856)</x:f>
        <x:v>1</x:v>
      </x:c>
      <x:c r="AI856" s="32" t="n">
        <x:f>(Z856+tun_ElderCommons*INDEX(LM_Elder,G856)*AA856)*AH856</x:f>
        <x:v>238215.0665857503</x:v>
      </x:c>
      <x:c r="AJ856" s="32" t="n">
        <x:f>H856*tun_CommonsCoef*AI856^tun_CommonsExp*INDEX(LM_Commons,G856)</x:f>
        <x:v>0</x:v>
      </x:c>
      <x:c r="AK856" s="32" t="n">
        <x:f>H856*tun_RoleScale*Arch_Roles*(AE856*(INDEX(tun_ElderRolePerSett,G856)*tun_OutElder*INDEX(LM_Elder,G856)+INDEX(tun_ShamanPerSett,G856)*tun_OutShaman)+Z856*(INDEX(tun_PriestShare,G856)*tun_OutPriest+INDEX(tun_ScribeShare,G856)*tun_OutScribe*INDEX(LM_Scribe,G856)+INDEX(tun_ScholarShare,G856)*tun_OutScholar*INDEX(LM_Scholar,G856)+INDEX(tun_ResearcherShare,G856)*tun_OutResearcher*INDEX(LM_Researcher,G856)))</x:f>
        <x:v>0</x:v>
      </x:c>
      <x:c r="AL856" s="32" t="n">
        <x:f>H856*tun_RoleScale*Arch_Roles*AE856*INDEX(tun_MonasteryPerSett,G856)*tun_OutMonastery*INDEX(LM_Monastery,G856)</x:f>
        <x:v>0</x:v>
      </x:c>
      <x:c r="AM856" s="32" t="n">
        <x:f>(AJ856+AK856+AL856)/4*INDEX(LM_All,G856)*INDEX(tun_Boon,G856)*Arch_Insight</x:f>
        <x:v>0</x:v>
      </x:c>
      <x:c r="AN856" s="32" t="n">
        <x:f>H856*(tun_KHPerAdult*Z856+tun_KHOfCommons*AJ856/4*INDEX(LM_All,G856))*tun_KHUsable*Arch_KH</x:f>
        <x:v>0</x:v>
      </x:c>
      <x:c r="AO856" s="32" t="n">
        <x:f>MIN(AP855+AN856,AM856*tun_KHMaxRatio)</x:f>
        <x:v>0</x:v>
      </x:c>
      <x:c r="AP856" s="32" t="n">
        <x:f>AP855+AN856-AO856</x:f>
        <x:v>0</x:v>
      </x:c>
      <x:c r="AQ856" s="32" t="n">
        <x:f>AM856+AO856</x:f>
        <x:v>0</x:v>
      </x:c>
      <x:c r="AR856" s="10" t="n">
        <x:f>IF(H856=1,INDEX(tun_Req,G856),0)</x:f>
        <x:v>0</x:v>
      </x:c>
      <x:c r="AS856" s="32" t="n">
        <x:f>IF(H856=1,IF(E856=1,AS855-AR855,AS855)+AQ856,0)</x:f>
        <x:v>0</x:v>
      </x:c>
      <x:c r="AT856" s="11" t="n">
        <x:f>IF(AR856&gt;0,MIN(1,AS856/AR856),1)</x:f>
        <x:v>1</x:v>
      </x:c>
      <x:c r="AU856" s="10" t="n">
        <x:f>AB856/INDEX(tun_RepScale,G856)</x:f>
        <x:v>290.3368848566301</x:v>
      </x:c>
      <x:c r="AV856" s="32" t="n">
        <x:f>AM856*60/tun_SeasonSeconds</x:f>
        <x:v>0</x:v>
      </x:c>
    </x:row>
    <x:row r="857">
      <x:c r="A857" s="8" t="n">
        <x:f>A856+1</x:f>
        <x:v>854</x:v>
      </x:c>
      <x:c r="B857" s="9" t="n">
        <x:f>A857*tun_SeasonSeconds/60</x:f>
        <x:v>213.5</x:v>
      </x:c>
      <x:c r="C857" s="9" t="n">
        <x:f>A857/4</x:f>
        <x:v>213.5</x:v>
      </x:c>
      <x:c r="D857" s="8" t="n">
        <x:f>IF(MOD(A857,4)=0,1,0)</x:f>
        <x:v>0</x:v>
      </x:c>
      <x:c r="E857" s="8" t="n">
        <x:f>IF(AND(F856&lt;=9,AS856&gt;=AR856),1,0)</x:f>
        <x:v>0</x:v>
      </x:c>
      <x:c r="F857" s="8" t="n">
        <x:f>MIN(10,F856+E857)</x:f>
        <x:v>10</x:v>
      </x:c>
      <x:c r="G857" s="8" t="n">
        <x:f>MIN(F857,9)+1</x:f>
        <x:v>10</x:v>
      </x:c>
      <x:c r="H857" s="8" t="n">
        <x:f>IF(F857&lt;=9,1,0)</x:f>
        <x:v>0</x:v>
      </x:c>
      <x:c r="I857" s="9" t="n">
        <x:f>MIN(10,F856+IF(AR856&gt;0,MIN(1,AS856/AR856),1))</x:f>
        <x:v>10</x:v>
      </x:c>
      <x:c r="J857" s="32" t="n">
        <x:f>INDEX(tun_FoodCap,G857)*Arch_FoodCap*EXP(tun_CapsByProject*SUMPRODUCT((Cap_Point&lt;=I857)*(Cap_Kind="Food")*Cap_Ln))</x:f>
        <x:v>18627.260449441455</x:v>
      </x:c>
      <x:c r="K857" s="32" t="n">
        <x:f>J857*MIN(1,tun_LeanBase*EXP(tun_CapsByProject*SUMPRODUCT((Cap_Point&lt;=I857)*(Cap_Kind="Lean")*Cap_Ln)))</x:f>
        <x:v>18627.260449441455</x:v>
      </x:c>
      <x:c r="L857" s="10" t="n">
        <x:f>INDEX(tun_HousingCap,G857)*EXP(tun_CapsByProject*SUMPRODUCT((Cap_Point&lt;=I857)*(Cap_Kind="Housing")*Cap_Ln))</x:f>
        <x:v>20528.974303173167</x:v>
      </x:c>
      <x:c r="M857" s="10" t="n">
        <x:f>INDEX(tun_GroupCap,G857)*tun_CohesionFactor*EXP(tun_CapsByProject*SUMPRODUCT((Cap_Point&lt;=I857)*(Cap_Kind="Group")*Cap_Ln))</x:f>
        <x:v>1000000.000000001</x:v>
      </x:c>
      <x:c r="N857" s="32" t="n">
        <x:f>MIN(J857,L857,M857)</x:f>
        <x:v>18627.260449441455</x:v>
      </x:c>
      <x:c r="O857" s="10" t="n">
        <x:f>AE856*N857</x:f>
        <x:v>167645.34404497308</x:v>
      </x:c>
      <x:c r="P857" s="9" t="n">
        <x:f>MIN(1,(AB856/(AE856*IF(tun_GroupInCrowding=1,N857,MIN(J857,L857))))^tun_CrowdingExp)</x:f>
        <x:v>0.4215841981292809</x:v>
      </x:c>
      <x:c r="Q857" s="9" t="n">
        <x:f>IF(D857=1,INDEX(tun_WinterMult,G857),1)</x:f>
        <x:v>1</x:v>
      </x:c>
      <x:c r="R857" s="9" t="n">
        <x:f>H857*Z856*tun_WomenShare*tun_BaseFertility*INDEX(tun_FertMult,G857)*Arch_Fertility*(1-P857)</x:f>
        <x:v>0</x:v>
      </x:c>
      <x:c r="S857" s="9" t="n">
        <x:f>H857*Y856*INDEX(tun_MortChild,G857)/4*Q857</x:f>
        <x:v>0</x:v>
      </x:c>
      <x:c r="T857" s="9" t="n">
        <x:f>H857*Z856*INDEX(tun_MortAdult,G857)*Arch_AdultMort/4*Q857</x:f>
        <x:v>0</x:v>
      </x:c>
      <x:c r="U857" s="9" t="n">
        <x:f>H857*AA856*INDEX(tun_MortElder,G857)/4*Q857</x:f>
        <x:v>0</x:v>
      </x:c>
      <x:c r="V857" s="9" t="n">
        <x:f>H857*MAX(0,AB856-O857)*tun_OvercapLoss</x:f>
        <x:v>0</x:v>
      </x:c>
      <x:c r="W857" s="9" t="n">
        <x:f>H857*Y856/(tun_ChildYears*4)</x:f>
        <x:v>0</x:v>
      </x:c>
      <x:c r="X857" s="9" t="n">
        <x:f>H857*Z856/(tun_AdultYears*4)</x:f>
        <x:v>0</x:v>
      </x:c>
      <x:c r="Y857" s="32" t="n">
        <x:f>Y856+R857-S857-W857-Y856*V857/AB856</x:f>
        <x:v>40496.20709015643</x:v>
      </x:c>
      <x:c r="Z857" s="32" t="n">
        <x:f>Z856+W857-X857-T857-Z856*V857/AB856</x:f>
        <x:v>59141.61122890803</x:v>
      </x:c>
      <x:c r="AA857" s="32" t="n">
        <x:f>AA856+X857-U857-AA856*V857/AB856</x:f>
        <x:v>45530.62410925061</x:v>
      </x:c>
      <x:c r="AB857" s="10" t="n">
        <x:f>Y857+Z857+AA857</x:f>
        <x:v>145168.44242831506</x:v>
      </x:c>
      <x:c r="AC857" s="8" t="n">
        <x:f>IF(AND(tun_WinterTrigger=1,D857=1,AB856/AE856&gt;=K857),1,0)</x:f>
        <x:v>0</x:v>
      </x:c>
      <x:c r="AD857" s="8" t="n">
        <x:f>H857*IF(AND(OR(AB856/AE856&gt;=tun_FissionTrigger*N857,AC857=1),AB856/AE856*tun_DaughterShare&gt;=tun_MinDaughter),MAX(1,ROUND(AE856*tun_FissionRate,0)),0)</x:f>
        <x:v>0</x:v>
      </x:c>
      <x:c r="AE857" s="8" t="n">
        <x:f>IF(H857=1,MAX(1,MIN(INDEX(tun_Smax,G857),AE856+AD857)),AE856)</x:f>
        <x:v>9</x:v>
      </x:c>
      <x:c r="AF857" s="8" t="n">
        <x:f>MAX(0,AE857-AE856)</x:f>
        <x:v>0</x:v>
      </x:c>
      <x:c r="AG857" s="9" t="str">
        <x:f>IF(AF857&gt;0,B857,"")</x:f>
      </x:c>
      <x:c r="AH857" s="9" t="n">
        <x:f>IF(F857&gt;=1,1,(1+tun_LowTiesShare*(AE857-1))/AE857)</x:f>
        <x:v>1</x:v>
      </x:c>
      <x:c r="AI857" s="32" t="n">
        <x:f>(Z857+tun_ElderCommons*INDEX(LM_Elder,G857)*AA857)*AH857</x:f>
        <x:v>238215.0665857503</x:v>
      </x:c>
      <x:c r="AJ857" s="32" t="n">
        <x:f>H857*tun_CommonsCoef*AI857^tun_CommonsExp*INDEX(LM_Commons,G857)</x:f>
        <x:v>0</x:v>
      </x:c>
      <x:c r="AK857" s="32" t="n">
        <x:f>H857*tun_RoleScale*Arch_Roles*(AE857*(INDEX(tun_ElderRolePerSett,G857)*tun_OutElder*INDEX(LM_Elder,G857)+INDEX(tun_ShamanPerSett,G857)*tun_OutShaman)+Z857*(INDEX(tun_PriestShare,G857)*tun_OutPriest+INDEX(tun_ScribeShare,G857)*tun_OutScribe*INDEX(LM_Scribe,G857)+INDEX(tun_ScholarShare,G857)*tun_OutScholar*INDEX(LM_Scholar,G857)+INDEX(tun_ResearcherShare,G857)*tun_OutResearcher*INDEX(LM_Researcher,G857)))</x:f>
        <x:v>0</x:v>
      </x:c>
      <x:c r="AL857" s="32" t="n">
        <x:f>H857*tun_RoleScale*Arch_Roles*AE857*INDEX(tun_MonasteryPerSett,G857)*tun_OutMonastery*INDEX(LM_Monastery,G857)</x:f>
        <x:v>0</x:v>
      </x:c>
      <x:c r="AM857" s="32" t="n">
        <x:f>(AJ857+AK857+AL857)/4*INDEX(LM_All,G857)*INDEX(tun_Boon,G857)*Arch_Insight</x:f>
        <x:v>0</x:v>
      </x:c>
      <x:c r="AN857" s="32" t="n">
        <x:f>H857*(tun_KHPerAdult*Z857+tun_KHOfCommons*AJ857/4*INDEX(LM_All,G857))*tun_KHUsable*Arch_KH</x:f>
        <x:v>0</x:v>
      </x:c>
      <x:c r="AO857" s="32" t="n">
        <x:f>MIN(AP856+AN857,AM857*tun_KHMaxRatio)</x:f>
        <x:v>0</x:v>
      </x:c>
      <x:c r="AP857" s="32" t="n">
        <x:f>AP856+AN857-AO857</x:f>
        <x:v>0</x:v>
      </x:c>
      <x:c r="AQ857" s="32" t="n">
        <x:f>AM857+AO857</x:f>
        <x:v>0</x:v>
      </x:c>
      <x:c r="AR857" s="10" t="n">
        <x:f>IF(H857=1,INDEX(tun_Req,G857),0)</x:f>
        <x:v>0</x:v>
      </x:c>
      <x:c r="AS857" s="32" t="n">
        <x:f>IF(H857=1,IF(E857=1,AS856-AR856,AS856)+AQ857,0)</x:f>
        <x:v>0</x:v>
      </x:c>
      <x:c r="AT857" s="11" t="n">
        <x:f>IF(AR857&gt;0,MIN(1,AS857/AR857),1)</x:f>
        <x:v>1</x:v>
      </x:c>
      <x:c r="AU857" s="10" t="n">
        <x:f>AB857/INDEX(tun_RepScale,G857)</x:f>
        <x:v>290.3368848566301</x:v>
      </x:c>
      <x:c r="AV857" s="32" t="n">
        <x:f>AM857*60/tun_SeasonSeconds</x:f>
        <x:v>0</x:v>
      </x:c>
    </x:row>
    <x:row r="858">
      <x:c r="A858" s="8" t="n">
        <x:f>A857+1</x:f>
        <x:v>855</x:v>
      </x:c>
      <x:c r="B858" s="9" t="n">
        <x:f>A858*tun_SeasonSeconds/60</x:f>
        <x:v>213.75</x:v>
      </x:c>
      <x:c r="C858" s="9" t="n">
        <x:f>A858/4</x:f>
        <x:v>213.75</x:v>
      </x:c>
      <x:c r="D858" s="8" t="n">
        <x:f>IF(MOD(A858,4)=0,1,0)</x:f>
        <x:v>0</x:v>
      </x:c>
      <x:c r="E858" s="8" t="n">
        <x:f>IF(AND(F857&lt;=9,AS857&gt;=AR857),1,0)</x:f>
        <x:v>0</x:v>
      </x:c>
      <x:c r="F858" s="8" t="n">
        <x:f>MIN(10,F857+E858)</x:f>
        <x:v>10</x:v>
      </x:c>
      <x:c r="G858" s="8" t="n">
        <x:f>MIN(F858,9)+1</x:f>
        <x:v>10</x:v>
      </x:c>
      <x:c r="H858" s="8" t="n">
        <x:f>IF(F858&lt;=9,1,0)</x:f>
        <x:v>0</x:v>
      </x:c>
      <x:c r="I858" s="9" t="n">
        <x:f>MIN(10,F857+IF(AR857&gt;0,MIN(1,AS857/AR857),1))</x:f>
        <x:v>10</x:v>
      </x:c>
      <x:c r="J858" s="32" t="n">
        <x:f>INDEX(tun_FoodCap,G858)*Arch_FoodCap*EXP(tun_CapsByProject*SUMPRODUCT((Cap_Point&lt;=I858)*(Cap_Kind="Food")*Cap_Ln))</x:f>
        <x:v>18627.260449441455</x:v>
      </x:c>
      <x:c r="K858" s="32" t="n">
        <x:f>J858*MIN(1,tun_LeanBase*EXP(tun_CapsByProject*SUMPRODUCT((Cap_Point&lt;=I858)*(Cap_Kind="Lean")*Cap_Ln)))</x:f>
        <x:v>18627.260449441455</x:v>
      </x:c>
      <x:c r="L858" s="10" t="n">
        <x:f>INDEX(tun_HousingCap,G858)*EXP(tun_CapsByProject*SUMPRODUCT((Cap_Point&lt;=I858)*(Cap_Kind="Housing")*Cap_Ln))</x:f>
        <x:v>20528.974303173167</x:v>
      </x:c>
      <x:c r="M858" s="10" t="n">
        <x:f>INDEX(tun_GroupCap,G858)*tun_CohesionFactor*EXP(tun_CapsByProject*SUMPRODUCT((Cap_Point&lt;=I858)*(Cap_Kind="Group")*Cap_Ln))</x:f>
        <x:v>1000000.000000001</x:v>
      </x:c>
      <x:c r="N858" s="32" t="n">
        <x:f>MIN(J858,L858,M858)</x:f>
        <x:v>18627.260449441455</x:v>
      </x:c>
      <x:c r="O858" s="10" t="n">
        <x:f>AE857*N858</x:f>
        <x:v>167645.34404497308</x:v>
      </x:c>
      <x:c r="P858" s="9" t="n">
        <x:f>MIN(1,(AB857/(AE857*IF(tun_GroupInCrowding=1,N858,MIN(J858,L858))))^tun_CrowdingExp)</x:f>
        <x:v>0.4215841981292809</x:v>
      </x:c>
      <x:c r="Q858" s="9" t="n">
        <x:f>IF(D858=1,INDEX(tun_WinterMult,G858),1)</x:f>
        <x:v>1</x:v>
      </x:c>
      <x:c r="R858" s="9" t="n">
        <x:f>H858*Z857*tun_WomenShare*tun_BaseFertility*INDEX(tun_FertMult,G858)*Arch_Fertility*(1-P858)</x:f>
        <x:v>0</x:v>
      </x:c>
      <x:c r="S858" s="9" t="n">
        <x:f>H858*Y857*INDEX(tun_MortChild,G858)/4*Q858</x:f>
        <x:v>0</x:v>
      </x:c>
      <x:c r="T858" s="9" t="n">
        <x:f>H858*Z857*INDEX(tun_MortAdult,G858)*Arch_AdultMort/4*Q858</x:f>
        <x:v>0</x:v>
      </x:c>
      <x:c r="U858" s="9" t="n">
        <x:f>H858*AA857*INDEX(tun_MortElder,G858)/4*Q858</x:f>
        <x:v>0</x:v>
      </x:c>
      <x:c r="V858" s="9" t="n">
        <x:f>H858*MAX(0,AB857-O858)*tun_OvercapLoss</x:f>
        <x:v>0</x:v>
      </x:c>
      <x:c r="W858" s="9" t="n">
        <x:f>H858*Y857/(tun_ChildYears*4)</x:f>
        <x:v>0</x:v>
      </x:c>
      <x:c r="X858" s="9" t="n">
        <x:f>H858*Z857/(tun_AdultYears*4)</x:f>
        <x:v>0</x:v>
      </x:c>
      <x:c r="Y858" s="32" t="n">
        <x:f>Y857+R858-S858-W858-Y857*V858/AB857</x:f>
        <x:v>40496.20709015643</x:v>
      </x:c>
      <x:c r="Z858" s="32" t="n">
        <x:f>Z857+W858-X858-T858-Z857*V858/AB857</x:f>
        <x:v>59141.61122890803</x:v>
      </x:c>
      <x:c r="AA858" s="32" t="n">
        <x:f>AA857+X858-U858-AA857*V858/AB857</x:f>
        <x:v>45530.62410925061</x:v>
      </x:c>
      <x:c r="AB858" s="10" t="n">
        <x:f>Y858+Z858+AA858</x:f>
        <x:v>145168.44242831506</x:v>
      </x:c>
      <x:c r="AC858" s="8" t="n">
        <x:f>IF(AND(tun_WinterTrigger=1,D858=1,AB857/AE857&gt;=K858),1,0)</x:f>
        <x:v>0</x:v>
      </x:c>
      <x:c r="AD858" s="8" t="n">
        <x:f>H858*IF(AND(OR(AB857/AE857&gt;=tun_FissionTrigger*N858,AC858=1),AB857/AE857*tun_DaughterShare&gt;=tun_MinDaughter),MAX(1,ROUND(AE857*tun_FissionRate,0)),0)</x:f>
        <x:v>0</x:v>
      </x:c>
      <x:c r="AE858" s="8" t="n">
        <x:f>IF(H858=1,MAX(1,MIN(INDEX(tun_Smax,G858),AE857+AD858)),AE857)</x:f>
        <x:v>9</x:v>
      </x:c>
      <x:c r="AF858" s="8" t="n">
        <x:f>MAX(0,AE858-AE857)</x:f>
        <x:v>0</x:v>
      </x:c>
      <x:c r="AG858" s="9" t="str">
        <x:f>IF(AF858&gt;0,B858,"")</x:f>
      </x:c>
      <x:c r="AH858" s="9" t="n">
        <x:f>IF(F858&gt;=1,1,(1+tun_LowTiesShare*(AE858-1))/AE858)</x:f>
        <x:v>1</x:v>
      </x:c>
      <x:c r="AI858" s="32" t="n">
        <x:f>(Z858+tun_ElderCommons*INDEX(LM_Elder,G858)*AA858)*AH858</x:f>
        <x:v>238215.0665857503</x:v>
      </x:c>
      <x:c r="AJ858" s="32" t="n">
        <x:f>H858*tun_CommonsCoef*AI858^tun_CommonsExp*INDEX(LM_Commons,G858)</x:f>
        <x:v>0</x:v>
      </x:c>
      <x:c r="AK858" s="32" t="n">
        <x:f>H858*tun_RoleScale*Arch_Roles*(AE858*(INDEX(tun_ElderRolePerSett,G858)*tun_OutElder*INDEX(LM_Elder,G858)+INDEX(tun_ShamanPerSett,G858)*tun_OutShaman)+Z858*(INDEX(tun_PriestShare,G858)*tun_OutPriest+INDEX(tun_ScribeShare,G858)*tun_OutScribe*INDEX(LM_Scribe,G858)+INDEX(tun_ScholarShare,G858)*tun_OutScholar*INDEX(LM_Scholar,G858)+INDEX(tun_ResearcherShare,G858)*tun_OutResearcher*INDEX(LM_Researcher,G858)))</x:f>
        <x:v>0</x:v>
      </x:c>
      <x:c r="AL858" s="32" t="n">
        <x:f>H858*tun_RoleScale*Arch_Roles*AE858*INDEX(tun_MonasteryPerSett,G858)*tun_OutMonastery*INDEX(LM_Monastery,G858)</x:f>
        <x:v>0</x:v>
      </x:c>
      <x:c r="AM858" s="32" t="n">
        <x:f>(AJ858+AK858+AL858)/4*INDEX(LM_All,G858)*INDEX(tun_Boon,G858)*Arch_Insight</x:f>
        <x:v>0</x:v>
      </x:c>
      <x:c r="AN858" s="32" t="n">
        <x:f>H858*(tun_KHPerAdult*Z858+tun_KHOfCommons*AJ858/4*INDEX(LM_All,G858))*tun_KHUsable*Arch_KH</x:f>
        <x:v>0</x:v>
      </x:c>
      <x:c r="AO858" s="32" t="n">
        <x:f>MIN(AP857+AN858,AM858*tun_KHMaxRatio)</x:f>
        <x:v>0</x:v>
      </x:c>
      <x:c r="AP858" s="32" t="n">
        <x:f>AP857+AN858-AO858</x:f>
        <x:v>0</x:v>
      </x:c>
      <x:c r="AQ858" s="32" t="n">
        <x:f>AM858+AO858</x:f>
        <x:v>0</x:v>
      </x:c>
      <x:c r="AR858" s="10" t="n">
        <x:f>IF(H858=1,INDEX(tun_Req,G858),0)</x:f>
        <x:v>0</x:v>
      </x:c>
      <x:c r="AS858" s="32" t="n">
        <x:f>IF(H858=1,IF(E858=1,AS857-AR857,AS857)+AQ858,0)</x:f>
        <x:v>0</x:v>
      </x:c>
      <x:c r="AT858" s="11" t="n">
        <x:f>IF(AR858&gt;0,MIN(1,AS858/AR858),1)</x:f>
        <x:v>1</x:v>
      </x:c>
      <x:c r="AU858" s="10" t="n">
        <x:f>AB858/INDEX(tun_RepScale,G858)</x:f>
        <x:v>290.3368848566301</x:v>
      </x:c>
      <x:c r="AV858" s="32" t="n">
        <x:f>AM858*60/tun_SeasonSeconds</x:f>
        <x:v>0</x:v>
      </x:c>
    </x:row>
    <x:row r="859">
      <x:c r="A859" s="8" t="n">
        <x:f>A858+1</x:f>
        <x:v>856</x:v>
      </x:c>
      <x:c r="B859" s="9" t="n">
        <x:f>A859*tun_SeasonSeconds/60</x:f>
        <x:v>214</x:v>
      </x:c>
      <x:c r="C859" s="9" t="n">
        <x:f>A859/4</x:f>
        <x:v>214</x:v>
      </x:c>
      <x:c r="D859" s="8" t="n">
        <x:f>IF(MOD(A859,4)=0,1,0)</x:f>
        <x:v>1</x:v>
      </x:c>
      <x:c r="E859" s="8" t="n">
        <x:f>IF(AND(F858&lt;=9,AS858&gt;=AR858),1,0)</x:f>
        <x:v>0</x:v>
      </x:c>
      <x:c r="F859" s="8" t="n">
        <x:f>MIN(10,F858+E859)</x:f>
        <x:v>10</x:v>
      </x:c>
      <x:c r="G859" s="8" t="n">
        <x:f>MIN(F859,9)+1</x:f>
        <x:v>10</x:v>
      </x:c>
      <x:c r="H859" s="8" t="n">
        <x:f>IF(F859&lt;=9,1,0)</x:f>
        <x:v>0</x:v>
      </x:c>
      <x:c r="I859" s="9" t="n">
        <x:f>MIN(10,F858+IF(AR858&gt;0,MIN(1,AS858/AR858),1))</x:f>
        <x:v>10</x:v>
      </x:c>
      <x:c r="J859" s="32" t="n">
        <x:f>INDEX(tun_FoodCap,G859)*Arch_FoodCap*EXP(tun_CapsByProject*SUMPRODUCT((Cap_Point&lt;=I859)*(Cap_Kind="Food")*Cap_Ln))</x:f>
        <x:v>18627.260449441455</x:v>
      </x:c>
      <x:c r="K859" s="32" t="n">
        <x:f>J859*MIN(1,tun_LeanBase*EXP(tun_CapsByProject*SUMPRODUCT((Cap_Point&lt;=I859)*(Cap_Kind="Lean")*Cap_Ln)))</x:f>
        <x:v>18627.260449441455</x:v>
      </x:c>
      <x:c r="L859" s="10" t="n">
        <x:f>INDEX(tun_HousingCap,G859)*EXP(tun_CapsByProject*SUMPRODUCT((Cap_Point&lt;=I859)*(Cap_Kind="Housing")*Cap_Ln))</x:f>
        <x:v>20528.974303173167</x:v>
      </x:c>
      <x:c r="M859" s="10" t="n">
        <x:f>INDEX(tun_GroupCap,G859)*tun_CohesionFactor*EXP(tun_CapsByProject*SUMPRODUCT((Cap_Point&lt;=I859)*(Cap_Kind="Group")*Cap_Ln))</x:f>
        <x:v>1000000.000000001</x:v>
      </x:c>
      <x:c r="N859" s="32" t="n">
        <x:f>MIN(J859,L859,M859)</x:f>
        <x:v>18627.260449441455</x:v>
      </x:c>
      <x:c r="O859" s="10" t="n">
        <x:f>AE858*N859</x:f>
        <x:v>167645.34404497308</x:v>
      </x:c>
      <x:c r="P859" s="9" t="n">
        <x:f>MIN(1,(AB858/(AE858*IF(tun_GroupInCrowding=1,N859,MIN(J859,L859))))^tun_CrowdingExp)</x:f>
        <x:v>0.4215841981292809</x:v>
      </x:c>
      <x:c r="Q859" s="9" t="n">
        <x:f>IF(D859=1,INDEX(tun_WinterMult,G859),1)</x:f>
        <x:v>1.05</x:v>
      </x:c>
      <x:c r="R859" s="9" t="n">
        <x:f>H859*Z858*tun_WomenShare*tun_BaseFertility*INDEX(tun_FertMult,G859)*Arch_Fertility*(1-P859)</x:f>
        <x:v>0</x:v>
      </x:c>
      <x:c r="S859" s="9" t="n">
        <x:f>H859*Y858*INDEX(tun_MortChild,G859)/4*Q859</x:f>
        <x:v>0</x:v>
      </x:c>
      <x:c r="T859" s="9" t="n">
        <x:f>H859*Z858*INDEX(tun_MortAdult,G859)*Arch_AdultMort/4*Q859</x:f>
        <x:v>0</x:v>
      </x:c>
      <x:c r="U859" s="9" t="n">
        <x:f>H859*AA858*INDEX(tun_MortElder,G859)/4*Q859</x:f>
        <x:v>0</x:v>
      </x:c>
      <x:c r="V859" s="9" t="n">
        <x:f>H859*MAX(0,AB858-O859)*tun_OvercapLoss</x:f>
        <x:v>0</x:v>
      </x:c>
      <x:c r="W859" s="9" t="n">
        <x:f>H859*Y858/(tun_ChildYears*4)</x:f>
        <x:v>0</x:v>
      </x:c>
      <x:c r="X859" s="9" t="n">
        <x:f>H859*Z858/(tun_AdultYears*4)</x:f>
        <x:v>0</x:v>
      </x:c>
      <x:c r="Y859" s="32" t="n">
        <x:f>Y858+R859-S859-W859-Y858*V859/AB858</x:f>
        <x:v>40496.20709015643</x:v>
      </x:c>
      <x:c r="Z859" s="32" t="n">
        <x:f>Z858+W859-X859-T859-Z858*V859/AB858</x:f>
        <x:v>59141.61122890803</x:v>
      </x:c>
      <x:c r="AA859" s="32" t="n">
        <x:f>AA858+X859-U859-AA858*V859/AB858</x:f>
        <x:v>45530.62410925061</x:v>
      </x:c>
      <x:c r="AB859" s="10" t="n">
        <x:f>Y859+Z859+AA859</x:f>
        <x:v>145168.44242831506</x:v>
      </x:c>
      <x:c r="AC859" s="8" t="n">
        <x:f>IF(AND(tun_WinterTrigger=1,D859=1,AB858/AE858&gt;=K859),1,0)</x:f>
        <x:v>0</x:v>
      </x:c>
      <x:c r="AD859" s="8" t="n">
        <x:f>H859*IF(AND(OR(AB858/AE858&gt;=tun_FissionTrigger*N859,AC859=1),AB858/AE858*tun_DaughterShare&gt;=tun_MinDaughter),MAX(1,ROUND(AE858*tun_FissionRate,0)),0)</x:f>
        <x:v>0</x:v>
      </x:c>
      <x:c r="AE859" s="8" t="n">
        <x:f>IF(H859=1,MAX(1,MIN(INDEX(tun_Smax,G859),AE858+AD859)),AE858)</x:f>
        <x:v>9</x:v>
      </x:c>
      <x:c r="AF859" s="8" t="n">
        <x:f>MAX(0,AE859-AE858)</x:f>
        <x:v>0</x:v>
      </x:c>
      <x:c r="AG859" s="9" t="str">
        <x:f>IF(AF859&gt;0,B859,"")</x:f>
      </x:c>
      <x:c r="AH859" s="9" t="n">
        <x:f>IF(F859&gt;=1,1,(1+tun_LowTiesShare*(AE859-1))/AE859)</x:f>
        <x:v>1</x:v>
      </x:c>
      <x:c r="AI859" s="32" t="n">
        <x:f>(Z859+tun_ElderCommons*INDEX(LM_Elder,G859)*AA859)*AH859</x:f>
        <x:v>238215.0665857503</x:v>
      </x:c>
      <x:c r="AJ859" s="32" t="n">
        <x:f>H859*tun_CommonsCoef*AI859^tun_CommonsExp*INDEX(LM_Commons,G859)</x:f>
        <x:v>0</x:v>
      </x:c>
      <x:c r="AK859" s="32" t="n">
        <x:f>H859*tun_RoleScale*Arch_Roles*(AE859*(INDEX(tun_ElderRolePerSett,G859)*tun_OutElder*INDEX(LM_Elder,G859)+INDEX(tun_ShamanPerSett,G859)*tun_OutShaman)+Z859*(INDEX(tun_PriestShare,G859)*tun_OutPriest+INDEX(tun_ScribeShare,G859)*tun_OutScribe*INDEX(LM_Scribe,G859)+INDEX(tun_ScholarShare,G859)*tun_OutScholar*INDEX(LM_Scholar,G859)+INDEX(tun_ResearcherShare,G859)*tun_OutResearcher*INDEX(LM_Researcher,G859)))</x:f>
        <x:v>0</x:v>
      </x:c>
      <x:c r="AL859" s="32" t="n">
        <x:f>H859*tun_RoleScale*Arch_Roles*AE859*INDEX(tun_MonasteryPerSett,G859)*tun_OutMonastery*INDEX(LM_Monastery,G859)</x:f>
        <x:v>0</x:v>
      </x:c>
      <x:c r="AM859" s="32" t="n">
        <x:f>(AJ859+AK859+AL859)/4*INDEX(LM_All,G859)*INDEX(tun_Boon,G859)*Arch_Insight</x:f>
        <x:v>0</x:v>
      </x:c>
      <x:c r="AN859" s="32" t="n">
        <x:f>H859*(tun_KHPerAdult*Z859+tun_KHOfCommons*AJ859/4*INDEX(LM_All,G859))*tun_KHUsable*Arch_KH</x:f>
        <x:v>0</x:v>
      </x:c>
      <x:c r="AO859" s="32" t="n">
        <x:f>MIN(AP858+AN859,AM859*tun_KHMaxRatio)</x:f>
        <x:v>0</x:v>
      </x:c>
      <x:c r="AP859" s="32" t="n">
        <x:f>AP858+AN859-AO859</x:f>
        <x:v>0</x:v>
      </x:c>
      <x:c r="AQ859" s="32" t="n">
        <x:f>AM859+AO859</x:f>
        <x:v>0</x:v>
      </x:c>
      <x:c r="AR859" s="10" t="n">
        <x:f>IF(H859=1,INDEX(tun_Req,G859),0)</x:f>
        <x:v>0</x:v>
      </x:c>
      <x:c r="AS859" s="32" t="n">
        <x:f>IF(H859=1,IF(E859=1,AS858-AR858,AS858)+AQ859,0)</x:f>
        <x:v>0</x:v>
      </x:c>
      <x:c r="AT859" s="11" t="n">
        <x:f>IF(AR859&gt;0,MIN(1,AS859/AR859),1)</x:f>
        <x:v>1</x:v>
      </x:c>
      <x:c r="AU859" s="10" t="n">
        <x:f>AB859/INDEX(tun_RepScale,G859)</x:f>
        <x:v>290.3368848566301</x:v>
      </x:c>
      <x:c r="AV859" s="32" t="n">
        <x:f>AM859*60/tun_SeasonSeconds</x:f>
        <x:v>0</x:v>
      </x:c>
    </x:row>
    <x:row r="860">
      <x:c r="A860" s="8" t="n">
        <x:f>A859+1</x:f>
        <x:v>857</x:v>
      </x:c>
      <x:c r="B860" s="9" t="n">
        <x:f>A860*tun_SeasonSeconds/60</x:f>
        <x:v>214.25</x:v>
      </x:c>
      <x:c r="C860" s="9" t="n">
        <x:f>A860/4</x:f>
        <x:v>214.25</x:v>
      </x:c>
      <x:c r="D860" s="8" t="n">
        <x:f>IF(MOD(A860,4)=0,1,0)</x:f>
        <x:v>0</x:v>
      </x:c>
      <x:c r="E860" s="8" t="n">
        <x:f>IF(AND(F859&lt;=9,AS859&gt;=AR859),1,0)</x:f>
        <x:v>0</x:v>
      </x:c>
      <x:c r="F860" s="8" t="n">
        <x:f>MIN(10,F859+E860)</x:f>
        <x:v>10</x:v>
      </x:c>
      <x:c r="G860" s="8" t="n">
        <x:f>MIN(F860,9)+1</x:f>
        <x:v>10</x:v>
      </x:c>
      <x:c r="H860" s="8" t="n">
        <x:f>IF(F860&lt;=9,1,0)</x:f>
        <x:v>0</x:v>
      </x:c>
      <x:c r="I860" s="9" t="n">
        <x:f>MIN(10,F859+IF(AR859&gt;0,MIN(1,AS859/AR859),1))</x:f>
        <x:v>10</x:v>
      </x:c>
      <x:c r="J860" s="32" t="n">
        <x:f>INDEX(tun_FoodCap,G860)*Arch_FoodCap*EXP(tun_CapsByProject*SUMPRODUCT((Cap_Point&lt;=I860)*(Cap_Kind="Food")*Cap_Ln))</x:f>
        <x:v>18627.260449441455</x:v>
      </x:c>
      <x:c r="K860" s="32" t="n">
        <x:f>J860*MIN(1,tun_LeanBase*EXP(tun_CapsByProject*SUMPRODUCT((Cap_Point&lt;=I860)*(Cap_Kind="Lean")*Cap_Ln)))</x:f>
        <x:v>18627.260449441455</x:v>
      </x:c>
      <x:c r="L860" s="10" t="n">
        <x:f>INDEX(tun_HousingCap,G860)*EXP(tun_CapsByProject*SUMPRODUCT((Cap_Point&lt;=I860)*(Cap_Kind="Housing")*Cap_Ln))</x:f>
        <x:v>20528.974303173167</x:v>
      </x:c>
      <x:c r="M860" s="10" t="n">
        <x:f>INDEX(tun_GroupCap,G860)*tun_CohesionFactor*EXP(tun_CapsByProject*SUMPRODUCT((Cap_Point&lt;=I860)*(Cap_Kind="Group")*Cap_Ln))</x:f>
        <x:v>1000000.000000001</x:v>
      </x:c>
      <x:c r="N860" s="32" t="n">
        <x:f>MIN(J860,L860,M860)</x:f>
        <x:v>18627.260449441455</x:v>
      </x:c>
      <x:c r="O860" s="10" t="n">
        <x:f>AE859*N860</x:f>
        <x:v>167645.34404497308</x:v>
      </x:c>
      <x:c r="P860" s="9" t="n">
        <x:f>MIN(1,(AB859/(AE859*IF(tun_GroupInCrowding=1,N860,MIN(J860,L860))))^tun_CrowdingExp)</x:f>
        <x:v>0.4215841981292809</x:v>
      </x:c>
      <x:c r="Q860" s="9" t="n">
        <x:f>IF(D860=1,INDEX(tun_WinterMult,G860),1)</x:f>
        <x:v>1</x:v>
      </x:c>
      <x:c r="R860" s="9" t="n">
        <x:f>H860*Z859*tun_WomenShare*tun_BaseFertility*INDEX(tun_FertMult,G860)*Arch_Fertility*(1-P860)</x:f>
        <x:v>0</x:v>
      </x:c>
      <x:c r="S860" s="9" t="n">
        <x:f>H860*Y859*INDEX(tun_MortChild,G860)/4*Q860</x:f>
        <x:v>0</x:v>
      </x:c>
      <x:c r="T860" s="9" t="n">
        <x:f>H860*Z859*INDEX(tun_MortAdult,G860)*Arch_AdultMort/4*Q860</x:f>
        <x:v>0</x:v>
      </x:c>
      <x:c r="U860" s="9" t="n">
        <x:f>H860*AA859*INDEX(tun_MortElder,G860)/4*Q860</x:f>
        <x:v>0</x:v>
      </x:c>
      <x:c r="V860" s="9" t="n">
        <x:f>H860*MAX(0,AB859-O860)*tun_OvercapLoss</x:f>
        <x:v>0</x:v>
      </x:c>
      <x:c r="W860" s="9" t="n">
        <x:f>H860*Y859/(tun_ChildYears*4)</x:f>
        <x:v>0</x:v>
      </x:c>
      <x:c r="X860" s="9" t="n">
        <x:f>H860*Z859/(tun_AdultYears*4)</x:f>
        <x:v>0</x:v>
      </x:c>
      <x:c r="Y860" s="32" t="n">
        <x:f>Y859+R860-S860-W860-Y859*V860/AB859</x:f>
        <x:v>40496.20709015643</x:v>
      </x:c>
      <x:c r="Z860" s="32" t="n">
        <x:f>Z859+W860-X860-T860-Z859*V860/AB859</x:f>
        <x:v>59141.61122890803</x:v>
      </x:c>
      <x:c r="AA860" s="32" t="n">
        <x:f>AA859+X860-U860-AA859*V860/AB859</x:f>
        <x:v>45530.62410925061</x:v>
      </x:c>
      <x:c r="AB860" s="10" t="n">
        <x:f>Y860+Z860+AA860</x:f>
        <x:v>145168.44242831506</x:v>
      </x:c>
      <x:c r="AC860" s="8" t="n">
        <x:f>IF(AND(tun_WinterTrigger=1,D860=1,AB859/AE859&gt;=K860),1,0)</x:f>
        <x:v>0</x:v>
      </x:c>
      <x:c r="AD860" s="8" t="n">
        <x:f>H860*IF(AND(OR(AB859/AE859&gt;=tun_FissionTrigger*N860,AC860=1),AB859/AE859*tun_DaughterShare&gt;=tun_MinDaughter),MAX(1,ROUND(AE859*tun_FissionRate,0)),0)</x:f>
        <x:v>0</x:v>
      </x:c>
      <x:c r="AE860" s="8" t="n">
        <x:f>IF(H860=1,MAX(1,MIN(INDEX(tun_Smax,G860),AE859+AD860)),AE859)</x:f>
        <x:v>9</x:v>
      </x:c>
      <x:c r="AF860" s="8" t="n">
        <x:f>MAX(0,AE860-AE859)</x:f>
        <x:v>0</x:v>
      </x:c>
      <x:c r="AG860" s="9" t="str">
        <x:f>IF(AF860&gt;0,B860,"")</x:f>
      </x:c>
      <x:c r="AH860" s="9" t="n">
        <x:f>IF(F860&gt;=1,1,(1+tun_LowTiesShare*(AE860-1))/AE860)</x:f>
        <x:v>1</x:v>
      </x:c>
      <x:c r="AI860" s="32" t="n">
        <x:f>(Z860+tun_ElderCommons*INDEX(LM_Elder,G860)*AA860)*AH860</x:f>
        <x:v>238215.0665857503</x:v>
      </x:c>
      <x:c r="AJ860" s="32" t="n">
        <x:f>H860*tun_CommonsCoef*AI860^tun_CommonsExp*INDEX(LM_Commons,G860)</x:f>
        <x:v>0</x:v>
      </x:c>
      <x:c r="AK860" s="32" t="n">
        <x:f>H860*tun_RoleScale*Arch_Roles*(AE860*(INDEX(tun_ElderRolePerSett,G860)*tun_OutElder*INDEX(LM_Elder,G860)+INDEX(tun_ShamanPerSett,G860)*tun_OutShaman)+Z860*(INDEX(tun_PriestShare,G860)*tun_OutPriest+INDEX(tun_ScribeShare,G860)*tun_OutScribe*INDEX(LM_Scribe,G860)+INDEX(tun_ScholarShare,G860)*tun_OutScholar*INDEX(LM_Scholar,G860)+INDEX(tun_ResearcherShare,G860)*tun_OutResearcher*INDEX(LM_Researcher,G860)))</x:f>
        <x:v>0</x:v>
      </x:c>
      <x:c r="AL860" s="32" t="n">
        <x:f>H860*tun_RoleScale*Arch_Roles*AE860*INDEX(tun_MonasteryPerSett,G860)*tun_OutMonastery*INDEX(LM_Monastery,G860)</x:f>
        <x:v>0</x:v>
      </x:c>
      <x:c r="AM860" s="32" t="n">
        <x:f>(AJ860+AK860+AL860)/4*INDEX(LM_All,G860)*INDEX(tun_Boon,G860)*Arch_Insight</x:f>
        <x:v>0</x:v>
      </x:c>
      <x:c r="AN860" s="32" t="n">
        <x:f>H860*(tun_KHPerAdult*Z860+tun_KHOfCommons*AJ860/4*INDEX(LM_All,G860))*tun_KHUsable*Arch_KH</x:f>
        <x:v>0</x:v>
      </x:c>
      <x:c r="AO860" s="32" t="n">
        <x:f>MIN(AP859+AN860,AM860*tun_KHMaxRatio)</x:f>
        <x:v>0</x:v>
      </x:c>
      <x:c r="AP860" s="32" t="n">
        <x:f>AP859+AN860-AO860</x:f>
        <x:v>0</x:v>
      </x:c>
      <x:c r="AQ860" s="32" t="n">
        <x:f>AM860+AO860</x:f>
        <x:v>0</x:v>
      </x:c>
      <x:c r="AR860" s="10" t="n">
        <x:f>IF(H860=1,INDEX(tun_Req,G860),0)</x:f>
        <x:v>0</x:v>
      </x:c>
      <x:c r="AS860" s="32" t="n">
        <x:f>IF(H860=1,IF(E860=1,AS859-AR859,AS859)+AQ860,0)</x:f>
        <x:v>0</x:v>
      </x:c>
      <x:c r="AT860" s="11" t="n">
        <x:f>IF(AR860&gt;0,MIN(1,AS860/AR860),1)</x:f>
        <x:v>1</x:v>
      </x:c>
      <x:c r="AU860" s="10" t="n">
        <x:f>AB860/INDEX(tun_RepScale,G860)</x:f>
        <x:v>290.3368848566301</x:v>
      </x:c>
      <x:c r="AV860" s="32" t="n">
        <x:f>AM860*60/tun_SeasonSeconds</x:f>
        <x:v>0</x:v>
      </x:c>
    </x:row>
    <x:row r="861">
      <x:c r="A861" s="8" t="n">
        <x:f>A860+1</x:f>
        <x:v>858</x:v>
      </x:c>
      <x:c r="B861" s="9" t="n">
        <x:f>A861*tun_SeasonSeconds/60</x:f>
        <x:v>214.5</x:v>
      </x:c>
      <x:c r="C861" s="9" t="n">
        <x:f>A861/4</x:f>
        <x:v>214.5</x:v>
      </x:c>
      <x:c r="D861" s="8" t="n">
        <x:f>IF(MOD(A861,4)=0,1,0)</x:f>
        <x:v>0</x:v>
      </x:c>
      <x:c r="E861" s="8" t="n">
        <x:f>IF(AND(F860&lt;=9,AS860&gt;=AR860),1,0)</x:f>
        <x:v>0</x:v>
      </x:c>
      <x:c r="F861" s="8" t="n">
        <x:f>MIN(10,F860+E861)</x:f>
        <x:v>10</x:v>
      </x:c>
      <x:c r="G861" s="8" t="n">
        <x:f>MIN(F861,9)+1</x:f>
        <x:v>10</x:v>
      </x:c>
      <x:c r="H861" s="8" t="n">
        <x:f>IF(F861&lt;=9,1,0)</x:f>
        <x:v>0</x:v>
      </x:c>
      <x:c r="I861" s="9" t="n">
        <x:f>MIN(10,F860+IF(AR860&gt;0,MIN(1,AS860/AR860),1))</x:f>
        <x:v>10</x:v>
      </x:c>
      <x:c r="J861" s="32" t="n">
        <x:f>INDEX(tun_FoodCap,G861)*Arch_FoodCap*EXP(tun_CapsByProject*SUMPRODUCT((Cap_Point&lt;=I861)*(Cap_Kind="Food")*Cap_Ln))</x:f>
        <x:v>18627.260449441455</x:v>
      </x:c>
      <x:c r="K861" s="32" t="n">
        <x:f>J861*MIN(1,tun_LeanBase*EXP(tun_CapsByProject*SUMPRODUCT((Cap_Point&lt;=I861)*(Cap_Kind="Lean")*Cap_Ln)))</x:f>
        <x:v>18627.260449441455</x:v>
      </x:c>
      <x:c r="L861" s="10" t="n">
        <x:f>INDEX(tun_HousingCap,G861)*EXP(tun_CapsByProject*SUMPRODUCT((Cap_Point&lt;=I861)*(Cap_Kind="Housing")*Cap_Ln))</x:f>
        <x:v>20528.974303173167</x:v>
      </x:c>
      <x:c r="M861" s="10" t="n">
        <x:f>INDEX(tun_GroupCap,G861)*tun_CohesionFactor*EXP(tun_CapsByProject*SUMPRODUCT((Cap_Point&lt;=I861)*(Cap_Kind="Group")*Cap_Ln))</x:f>
        <x:v>1000000.000000001</x:v>
      </x:c>
      <x:c r="N861" s="32" t="n">
        <x:f>MIN(J861,L861,M861)</x:f>
        <x:v>18627.260449441455</x:v>
      </x:c>
      <x:c r="O861" s="10" t="n">
        <x:f>AE860*N861</x:f>
        <x:v>167645.34404497308</x:v>
      </x:c>
      <x:c r="P861" s="9" t="n">
        <x:f>MIN(1,(AB860/(AE860*IF(tun_GroupInCrowding=1,N861,MIN(J861,L861))))^tun_CrowdingExp)</x:f>
        <x:v>0.4215841981292809</x:v>
      </x:c>
      <x:c r="Q861" s="9" t="n">
        <x:f>IF(D861=1,INDEX(tun_WinterMult,G861),1)</x:f>
        <x:v>1</x:v>
      </x:c>
      <x:c r="R861" s="9" t="n">
        <x:f>H861*Z860*tun_WomenShare*tun_BaseFertility*INDEX(tun_FertMult,G861)*Arch_Fertility*(1-P861)</x:f>
        <x:v>0</x:v>
      </x:c>
      <x:c r="S861" s="9" t="n">
        <x:f>H861*Y860*INDEX(tun_MortChild,G861)/4*Q861</x:f>
        <x:v>0</x:v>
      </x:c>
      <x:c r="T861" s="9" t="n">
        <x:f>H861*Z860*INDEX(tun_MortAdult,G861)*Arch_AdultMort/4*Q861</x:f>
        <x:v>0</x:v>
      </x:c>
      <x:c r="U861" s="9" t="n">
        <x:f>H861*AA860*INDEX(tun_MortElder,G861)/4*Q861</x:f>
        <x:v>0</x:v>
      </x:c>
      <x:c r="V861" s="9" t="n">
        <x:f>H861*MAX(0,AB860-O861)*tun_OvercapLoss</x:f>
        <x:v>0</x:v>
      </x:c>
      <x:c r="W861" s="9" t="n">
        <x:f>H861*Y860/(tun_ChildYears*4)</x:f>
        <x:v>0</x:v>
      </x:c>
      <x:c r="X861" s="9" t="n">
        <x:f>H861*Z860/(tun_AdultYears*4)</x:f>
        <x:v>0</x:v>
      </x:c>
      <x:c r="Y861" s="32" t="n">
        <x:f>Y860+R861-S861-W861-Y860*V861/AB860</x:f>
        <x:v>40496.20709015643</x:v>
      </x:c>
      <x:c r="Z861" s="32" t="n">
        <x:f>Z860+W861-X861-T861-Z860*V861/AB860</x:f>
        <x:v>59141.61122890803</x:v>
      </x:c>
      <x:c r="AA861" s="32" t="n">
        <x:f>AA860+X861-U861-AA860*V861/AB860</x:f>
        <x:v>45530.62410925061</x:v>
      </x:c>
      <x:c r="AB861" s="10" t="n">
        <x:f>Y861+Z861+AA861</x:f>
        <x:v>145168.44242831506</x:v>
      </x:c>
      <x:c r="AC861" s="8" t="n">
        <x:f>IF(AND(tun_WinterTrigger=1,D861=1,AB860/AE860&gt;=K861),1,0)</x:f>
        <x:v>0</x:v>
      </x:c>
      <x:c r="AD861" s="8" t="n">
        <x:f>H861*IF(AND(OR(AB860/AE860&gt;=tun_FissionTrigger*N861,AC861=1),AB860/AE860*tun_DaughterShare&gt;=tun_MinDaughter),MAX(1,ROUND(AE860*tun_FissionRate,0)),0)</x:f>
        <x:v>0</x:v>
      </x:c>
      <x:c r="AE861" s="8" t="n">
        <x:f>IF(H861=1,MAX(1,MIN(INDEX(tun_Smax,G861),AE860+AD861)),AE860)</x:f>
        <x:v>9</x:v>
      </x:c>
      <x:c r="AF861" s="8" t="n">
        <x:f>MAX(0,AE861-AE860)</x:f>
        <x:v>0</x:v>
      </x:c>
      <x:c r="AG861" s="9" t="str">
        <x:f>IF(AF861&gt;0,B861,"")</x:f>
      </x:c>
      <x:c r="AH861" s="9" t="n">
        <x:f>IF(F861&gt;=1,1,(1+tun_LowTiesShare*(AE861-1))/AE861)</x:f>
        <x:v>1</x:v>
      </x:c>
      <x:c r="AI861" s="32" t="n">
        <x:f>(Z861+tun_ElderCommons*INDEX(LM_Elder,G861)*AA861)*AH861</x:f>
        <x:v>238215.0665857503</x:v>
      </x:c>
      <x:c r="AJ861" s="32" t="n">
        <x:f>H861*tun_CommonsCoef*AI861^tun_CommonsExp*INDEX(LM_Commons,G861)</x:f>
        <x:v>0</x:v>
      </x:c>
      <x:c r="AK861" s="32" t="n">
        <x:f>H861*tun_RoleScale*Arch_Roles*(AE861*(INDEX(tun_ElderRolePerSett,G861)*tun_OutElder*INDEX(LM_Elder,G861)+INDEX(tun_ShamanPerSett,G861)*tun_OutShaman)+Z861*(INDEX(tun_PriestShare,G861)*tun_OutPriest+INDEX(tun_ScribeShare,G861)*tun_OutScribe*INDEX(LM_Scribe,G861)+INDEX(tun_ScholarShare,G861)*tun_OutScholar*INDEX(LM_Scholar,G861)+INDEX(tun_ResearcherShare,G861)*tun_OutResearcher*INDEX(LM_Researcher,G861)))</x:f>
        <x:v>0</x:v>
      </x:c>
      <x:c r="AL861" s="32" t="n">
        <x:f>H861*tun_RoleScale*Arch_Roles*AE861*INDEX(tun_MonasteryPerSett,G861)*tun_OutMonastery*INDEX(LM_Monastery,G861)</x:f>
        <x:v>0</x:v>
      </x:c>
      <x:c r="AM861" s="32" t="n">
        <x:f>(AJ861+AK861+AL861)/4*INDEX(LM_All,G861)*INDEX(tun_Boon,G861)*Arch_Insight</x:f>
        <x:v>0</x:v>
      </x:c>
      <x:c r="AN861" s="32" t="n">
        <x:f>H861*(tun_KHPerAdult*Z861+tun_KHOfCommons*AJ861/4*INDEX(LM_All,G861))*tun_KHUsable*Arch_KH</x:f>
        <x:v>0</x:v>
      </x:c>
      <x:c r="AO861" s="32" t="n">
        <x:f>MIN(AP860+AN861,AM861*tun_KHMaxRatio)</x:f>
        <x:v>0</x:v>
      </x:c>
      <x:c r="AP861" s="32" t="n">
        <x:f>AP860+AN861-AO861</x:f>
        <x:v>0</x:v>
      </x:c>
      <x:c r="AQ861" s="32" t="n">
        <x:f>AM861+AO861</x:f>
        <x:v>0</x:v>
      </x:c>
      <x:c r="AR861" s="10" t="n">
        <x:f>IF(H861=1,INDEX(tun_Req,G861),0)</x:f>
        <x:v>0</x:v>
      </x:c>
      <x:c r="AS861" s="32" t="n">
        <x:f>IF(H861=1,IF(E861=1,AS860-AR860,AS860)+AQ861,0)</x:f>
        <x:v>0</x:v>
      </x:c>
      <x:c r="AT861" s="11" t="n">
        <x:f>IF(AR861&gt;0,MIN(1,AS861/AR861),1)</x:f>
        <x:v>1</x:v>
      </x:c>
      <x:c r="AU861" s="10" t="n">
        <x:f>AB861/INDEX(tun_RepScale,G861)</x:f>
        <x:v>290.3368848566301</x:v>
      </x:c>
      <x:c r="AV861" s="32" t="n">
        <x:f>AM861*60/tun_SeasonSeconds</x:f>
        <x:v>0</x:v>
      </x:c>
    </x:row>
    <x:row r="862">
      <x:c r="A862" s="8" t="n">
        <x:f>A861+1</x:f>
        <x:v>859</x:v>
      </x:c>
      <x:c r="B862" s="9" t="n">
        <x:f>A862*tun_SeasonSeconds/60</x:f>
        <x:v>214.75</x:v>
      </x:c>
      <x:c r="C862" s="9" t="n">
        <x:f>A862/4</x:f>
        <x:v>214.75</x:v>
      </x:c>
      <x:c r="D862" s="8" t="n">
        <x:f>IF(MOD(A862,4)=0,1,0)</x:f>
        <x:v>0</x:v>
      </x:c>
      <x:c r="E862" s="8" t="n">
        <x:f>IF(AND(F861&lt;=9,AS861&gt;=AR861),1,0)</x:f>
        <x:v>0</x:v>
      </x:c>
      <x:c r="F862" s="8" t="n">
        <x:f>MIN(10,F861+E862)</x:f>
        <x:v>10</x:v>
      </x:c>
      <x:c r="G862" s="8" t="n">
        <x:f>MIN(F862,9)+1</x:f>
        <x:v>10</x:v>
      </x:c>
      <x:c r="H862" s="8" t="n">
        <x:f>IF(F862&lt;=9,1,0)</x:f>
        <x:v>0</x:v>
      </x:c>
      <x:c r="I862" s="9" t="n">
        <x:f>MIN(10,F861+IF(AR861&gt;0,MIN(1,AS861/AR861),1))</x:f>
        <x:v>10</x:v>
      </x:c>
      <x:c r="J862" s="32" t="n">
        <x:f>INDEX(tun_FoodCap,G862)*Arch_FoodCap*EXP(tun_CapsByProject*SUMPRODUCT((Cap_Point&lt;=I862)*(Cap_Kind="Food")*Cap_Ln))</x:f>
        <x:v>18627.260449441455</x:v>
      </x:c>
      <x:c r="K862" s="32" t="n">
        <x:f>J862*MIN(1,tun_LeanBase*EXP(tun_CapsByProject*SUMPRODUCT((Cap_Point&lt;=I862)*(Cap_Kind="Lean")*Cap_Ln)))</x:f>
        <x:v>18627.260449441455</x:v>
      </x:c>
      <x:c r="L862" s="10" t="n">
        <x:f>INDEX(tun_HousingCap,G862)*EXP(tun_CapsByProject*SUMPRODUCT((Cap_Point&lt;=I862)*(Cap_Kind="Housing")*Cap_Ln))</x:f>
        <x:v>20528.974303173167</x:v>
      </x:c>
      <x:c r="M862" s="10" t="n">
        <x:f>INDEX(tun_GroupCap,G862)*tun_CohesionFactor*EXP(tun_CapsByProject*SUMPRODUCT((Cap_Point&lt;=I862)*(Cap_Kind="Group")*Cap_Ln))</x:f>
        <x:v>1000000.000000001</x:v>
      </x:c>
      <x:c r="N862" s="32" t="n">
        <x:f>MIN(J862,L862,M862)</x:f>
        <x:v>18627.260449441455</x:v>
      </x:c>
      <x:c r="O862" s="10" t="n">
        <x:f>AE861*N862</x:f>
        <x:v>167645.34404497308</x:v>
      </x:c>
      <x:c r="P862" s="9" t="n">
        <x:f>MIN(1,(AB861/(AE861*IF(tun_GroupInCrowding=1,N862,MIN(J862,L862))))^tun_CrowdingExp)</x:f>
        <x:v>0.4215841981292809</x:v>
      </x:c>
      <x:c r="Q862" s="9" t="n">
        <x:f>IF(D862=1,INDEX(tun_WinterMult,G862),1)</x:f>
        <x:v>1</x:v>
      </x:c>
      <x:c r="R862" s="9" t="n">
        <x:f>H862*Z861*tun_WomenShare*tun_BaseFertility*INDEX(tun_FertMult,G862)*Arch_Fertility*(1-P862)</x:f>
        <x:v>0</x:v>
      </x:c>
      <x:c r="S862" s="9" t="n">
        <x:f>H862*Y861*INDEX(tun_MortChild,G862)/4*Q862</x:f>
        <x:v>0</x:v>
      </x:c>
      <x:c r="T862" s="9" t="n">
        <x:f>H862*Z861*INDEX(tun_MortAdult,G862)*Arch_AdultMort/4*Q862</x:f>
        <x:v>0</x:v>
      </x:c>
      <x:c r="U862" s="9" t="n">
        <x:f>H862*AA861*INDEX(tun_MortElder,G862)/4*Q862</x:f>
        <x:v>0</x:v>
      </x:c>
      <x:c r="V862" s="9" t="n">
        <x:f>H862*MAX(0,AB861-O862)*tun_OvercapLoss</x:f>
        <x:v>0</x:v>
      </x:c>
      <x:c r="W862" s="9" t="n">
        <x:f>H862*Y861/(tun_ChildYears*4)</x:f>
        <x:v>0</x:v>
      </x:c>
      <x:c r="X862" s="9" t="n">
        <x:f>H862*Z861/(tun_AdultYears*4)</x:f>
        <x:v>0</x:v>
      </x:c>
      <x:c r="Y862" s="32" t="n">
        <x:f>Y861+R862-S862-W862-Y861*V862/AB861</x:f>
        <x:v>40496.20709015643</x:v>
      </x:c>
      <x:c r="Z862" s="32" t="n">
        <x:f>Z861+W862-X862-T862-Z861*V862/AB861</x:f>
        <x:v>59141.61122890803</x:v>
      </x:c>
      <x:c r="AA862" s="32" t="n">
        <x:f>AA861+X862-U862-AA861*V862/AB861</x:f>
        <x:v>45530.62410925061</x:v>
      </x:c>
      <x:c r="AB862" s="10" t="n">
        <x:f>Y862+Z862+AA862</x:f>
        <x:v>145168.44242831506</x:v>
      </x:c>
      <x:c r="AC862" s="8" t="n">
        <x:f>IF(AND(tun_WinterTrigger=1,D862=1,AB861/AE861&gt;=K862),1,0)</x:f>
        <x:v>0</x:v>
      </x:c>
      <x:c r="AD862" s="8" t="n">
        <x:f>H862*IF(AND(OR(AB861/AE861&gt;=tun_FissionTrigger*N862,AC862=1),AB861/AE861*tun_DaughterShare&gt;=tun_MinDaughter),MAX(1,ROUND(AE861*tun_FissionRate,0)),0)</x:f>
        <x:v>0</x:v>
      </x:c>
      <x:c r="AE862" s="8" t="n">
        <x:f>IF(H862=1,MAX(1,MIN(INDEX(tun_Smax,G862),AE861+AD862)),AE861)</x:f>
        <x:v>9</x:v>
      </x:c>
      <x:c r="AF862" s="8" t="n">
        <x:f>MAX(0,AE862-AE861)</x:f>
        <x:v>0</x:v>
      </x:c>
      <x:c r="AG862" s="9" t="str">
        <x:f>IF(AF862&gt;0,B862,"")</x:f>
      </x:c>
      <x:c r="AH862" s="9" t="n">
        <x:f>IF(F862&gt;=1,1,(1+tun_LowTiesShare*(AE862-1))/AE862)</x:f>
        <x:v>1</x:v>
      </x:c>
      <x:c r="AI862" s="32" t="n">
        <x:f>(Z862+tun_ElderCommons*INDEX(LM_Elder,G862)*AA862)*AH862</x:f>
        <x:v>238215.0665857503</x:v>
      </x:c>
      <x:c r="AJ862" s="32" t="n">
        <x:f>H862*tun_CommonsCoef*AI862^tun_CommonsExp*INDEX(LM_Commons,G862)</x:f>
        <x:v>0</x:v>
      </x:c>
      <x:c r="AK862" s="32" t="n">
        <x:f>H862*tun_RoleScale*Arch_Roles*(AE862*(INDEX(tun_ElderRolePerSett,G862)*tun_OutElder*INDEX(LM_Elder,G862)+INDEX(tun_ShamanPerSett,G862)*tun_OutShaman)+Z862*(INDEX(tun_PriestShare,G862)*tun_OutPriest+INDEX(tun_ScribeShare,G862)*tun_OutScribe*INDEX(LM_Scribe,G862)+INDEX(tun_ScholarShare,G862)*tun_OutScholar*INDEX(LM_Scholar,G862)+INDEX(tun_ResearcherShare,G862)*tun_OutResearcher*INDEX(LM_Researcher,G862)))</x:f>
        <x:v>0</x:v>
      </x:c>
      <x:c r="AL862" s="32" t="n">
        <x:f>H862*tun_RoleScale*Arch_Roles*AE862*INDEX(tun_MonasteryPerSett,G862)*tun_OutMonastery*INDEX(LM_Monastery,G862)</x:f>
        <x:v>0</x:v>
      </x:c>
      <x:c r="AM862" s="32" t="n">
        <x:f>(AJ862+AK862+AL862)/4*INDEX(LM_All,G862)*INDEX(tun_Boon,G862)*Arch_Insight</x:f>
        <x:v>0</x:v>
      </x:c>
      <x:c r="AN862" s="32" t="n">
        <x:f>H862*(tun_KHPerAdult*Z862+tun_KHOfCommons*AJ862/4*INDEX(LM_All,G862))*tun_KHUsable*Arch_KH</x:f>
        <x:v>0</x:v>
      </x:c>
      <x:c r="AO862" s="32" t="n">
        <x:f>MIN(AP861+AN862,AM862*tun_KHMaxRatio)</x:f>
        <x:v>0</x:v>
      </x:c>
      <x:c r="AP862" s="32" t="n">
        <x:f>AP861+AN862-AO862</x:f>
        <x:v>0</x:v>
      </x:c>
      <x:c r="AQ862" s="32" t="n">
        <x:f>AM862+AO862</x:f>
        <x:v>0</x:v>
      </x:c>
      <x:c r="AR862" s="10" t="n">
        <x:f>IF(H862=1,INDEX(tun_Req,G862),0)</x:f>
        <x:v>0</x:v>
      </x:c>
      <x:c r="AS862" s="32" t="n">
        <x:f>IF(H862=1,IF(E862=1,AS861-AR861,AS861)+AQ862,0)</x:f>
        <x:v>0</x:v>
      </x:c>
      <x:c r="AT862" s="11" t="n">
        <x:f>IF(AR862&gt;0,MIN(1,AS862/AR862),1)</x:f>
        <x:v>1</x:v>
      </x:c>
      <x:c r="AU862" s="10" t="n">
        <x:f>AB862/INDEX(tun_RepScale,G862)</x:f>
        <x:v>290.3368848566301</x:v>
      </x:c>
      <x:c r="AV862" s="32" t="n">
        <x:f>AM862*60/tun_SeasonSeconds</x:f>
        <x:v>0</x:v>
      </x:c>
    </x:row>
    <x:row r="863">
      <x:c r="A863" s="8" t="n">
        <x:f>A862+1</x:f>
        <x:v>860</x:v>
      </x:c>
      <x:c r="B863" s="9" t="n">
        <x:f>A863*tun_SeasonSeconds/60</x:f>
        <x:v>215</x:v>
      </x:c>
      <x:c r="C863" s="9" t="n">
        <x:f>A863/4</x:f>
        <x:v>215</x:v>
      </x:c>
      <x:c r="D863" s="8" t="n">
        <x:f>IF(MOD(A863,4)=0,1,0)</x:f>
        <x:v>1</x:v>
      </x:c>
      <x:c r="E863" s="8" t="n">
        <x:f>IF(AND(F862&lt;=9,AS862&gt;=AR862),1,0)</x:f>
        <x:v>0</x:v>
      </x:c>
      <x:c r="F863" s="8" t="n">
        <x:f>MIN(10,F862+E863)</x:f>
        <x:v>10</x:v>
      </x:c>
      <x:c r="G863" s="8" t="n">
        <x:f>MIN(F863,9)+1</x:f>
        <x:v>10</x:v>
      </x:c>
      <x:c r="H863" s="8" t="n">
        <x:f>IF(F863&lt;=9,1,0)</x:f>
        <x:v>0</x:v>
      </x:c>
      <x:c r="I863" s="9" t="n">
        <x:f>MIN(10,F862+IF(AR862&gt;0,MIN(1,AS862/AR862),1))</x:f>
        <x:v>10</x:v>
      </x:c>
      <x:c r="J863" s="32" t="n">
        <x:f>INDEX(tun_FoodCap,G863)*Arch_FoodCap*EXP(tun_CapsByProject*SUMPRODUCT((Cap_Point&lt;=I863)*(Cap_Kind="Food")*Cap_Ln))</x:f>
        <x:v>18627.260449441455</x:v>
      </x:c>
      <x:c r="K863" s="32" t="n">
        <x:f>J863*MIN(1,tun_LeanBase*EXP(tun_CapsByProject*SUMPRODUCT((Cap_Point&lt;=I863)*(Cap_Kind="Lean")*Cap_Ln)))</x:f>
        <x:v>18627.260449441455</x:v>
      </x:c>
      <x:c r="L863" s="10" t="n">
        <x:f>INDEX(tun_HousingCap,G863)*EXP(tun_CapsByProject*SUMPRODUCT((Cap_Point&lt;=I863)*(Cap_Kind="Housing")*Cap_Ln))</x:f>
        <x:v>20528.974303173167</x:v>
      </x:c>
      <x:c r="M863" s="10" t="n">
        <x:f>INDEX(tun_GroupCap,G863)*tun_CohesionFactor*EXP(tun_CapsByProject*SUMPRODUCT((Cap_Point&lt;=I863)*(Cap_Kind="Group")*Cap_Ln))</x:f>
        <x:v>1000000.000000001</x:v>
      </x:c>
      <x:c r="N863" s="32" t="n">
        <x:f>MIN(J863,L863,M863)</x:f>
        <x:v>18627.260449441455</x:v>
      </x:c>
      <x:c r="O863" s="10" t="n">
        <x:f>AE862*N863</x:f>
        <x:v>167645.34404497308</x:v>
      </x:c>
      <x:c r="P863" s="9" t="n">
        <x:f>MIN(1,(AB862/(AE862*IF(tun_GroupInCrowding=1,N863,MIN(J863,L863))))^tun_CrowdingExp)</x:f>
        <x:v>0.4215841981292809</x:v>
      </x:c>
      <x:c r="Q863" s="9" t="n">
        <x:f>IF(D863=1,INDEX(tun_WinterMult,G863),1)</x:f>
        <x:v>1.05</x:v>
      </x:c>
      <x:c r="R863" s="9" t="n">
        <x:f>H863*Z862*tun_WomenShare*tun_BaseFertility*INDEX(tun_FertMult,G863)*Arch_Fertility*(1-P863)</x:f>
        <x:v>0</x:v>
      </x:c>
      <x:c r="S863" s="9" t="n">
        <x:f>H863*Y862*INDEX(tun_MortChild,G863)/4*Q863</x:f>
        <x:v>0</x:v>
      </x:c>
      <x:c r="T863" s="9" t="n">
        <x:f>H863*Z862*INDEX(tun_MortAdult,G863)*Arch_AdultMort/4*Q863</x:f>
        <x:v>0</x:v>
      </x:c>
      <x:c r="U863" s="9" t="n">
        <x:f>H863*AA862*INDEX(tun_MortElder,G863)/4*Q863</x:f>
        <x:v>0</x:v>
      </x:c>
      <x:c r="V863" s="9" t="n">
        <x:f>H863*MAX(0,AB862-O863)*tun_OvercapLoss</x:f>
        <x:v>0</x:v>
      </x:c>
      <x:c r="W863" s="9" t="n">
        <x:f>H863*Y862/(tun_ChildYears*4)</x:f>
        <x:v>0</x:v>
      </x:c>
      <x:c r="X863" s="9" t="n">
        <x:f>H863*Z862/(tun_AdultYears*4)</x:f>
        <x:v>0</x:v>
      </x:c>
      <x:c r="Y863" s="32" t="n">
        <x:f>Y862+R863-S863-W863-Y862*V863/AB862</x:f>
        <x:v>40496.20709015643</x:v>
      </x:c>
      <x:c r="Z863" s="32" t="n">
        <x:f>Z862+W863-X863-T863-Z862*V863/AB862</x:f>
        <x:v>59141.61122890803</x:v>
      </x:c>
      <x:c r="AA863" s="32" t="n">
        <x:f>AA862+X863-U863-AA862*V863/AB862</x:f>
        <x:v>45530.62410925061</x:v>
      </x:c>
      <x:c r="AB863" s="10" t="n">
        <x:f>Y863+Z863+AA863</x:f>
        <x:v>145168.44242831506</x:v>
      </x:c>
      <x:c r="AC863" s="8" t="n">
        <x:f>IF(AND(tun_WinterTrigger=1,D863=1,AB862/AE862&gt;=K863),1,0)</x:f>
        <x:v>0</x:v>
      </x:c>
      <x:c r="AD863" s="8" t="n">
        <x:f>H863*IF(AND(OR(AB862/AE862&gt;=tun_FissionTrigger*N863,AC863=1),AB862/AE862*tun_DaughterShare&gt;=tun_MinDaughter),MAX(1,ROUND(AE862*tun_FissionRate,0)),0)</x:f>
        <x:v>0</x:v>
      </x:c>
      <x:c r="AE863" s="8" t="n">
        <x:f>IF(H863=1,MAX(1,MIN(INDEX(tun_Smax,G863),AE862+AD863)),AE862)</x:f>
        <x:v>9</x:v>
      </x:c>
      <x:c r="AF863" s="8" t="n">
        <x:f>MAX(0,AE863-AE862)</x:f>
        <x:v>0</x:v>
      </x:c>
      <x:c r="AG863" s="9" t="str">
        <x:f>IF(AF863&gt;0,B863,"")</x:f>
      </x:c>
      <x:c r="AH863" s="9" t="n">
        <x:f>IF(F863&gt;=1,1,(1+tun_LowTiesShare*(AE863-1))/AE863)</x:f>
        <x:v>1</x:v>
      </x:c>
      <x:c r="AI863" s="32" t="n">
        <x:f>(Z863+tun_ElderCommons*INDEX(LM_Elder,G863)*AA863)*AH863</x:f>
        <x:v>238215.0665857503</x:v>
      </x:c>
      <x:c r="AJ863" s="32" t="n">
        <x:f>H863*tun_CommonsCoef*AI863^tun_CommonsExp*INDEX(LM_Commons,G863)</x:f>
        <x:v>0</x:v>
      </x:c>
      <x:c r="AK863" s="32" t="n">
        <x:f>H863*tun_RoleScale*Arch_Roles*(AE863*(INDEX(tun_ElderRolePerSett,G863)*tun_OutElder*INDEX(LM_Elder,G863)+INDEX(tun_ShamanPerSett,G863)*tun_OutShaman)+Z863*(INDEX(tun_PriestShare,G863)*tun_OutPriest+INDEX(tun_ScribeShare,G863)*tun_OutScribe*INDEX(LM_Scribe,G863)+INDEX(tun_ScholarShare,G863)*tun_OutScholar*INDEX(LM_Scholar,G863)+INDEX(tun_ResearcherShare,G863)*tun_OutResearcher*INDEX(LM_Researcher,G863)))</x:f>
        <x:v>0</x:v>
      </x:c>
      <x:c r="AL863" s="32" t="n">
        <x:f>H863*tun_RoleScale*Arch_Roles*AE863*INDEX(tun_MonasteryPerSett,G863)*tun_OutMonastery*INDEX(LM_Monastery,G863)</x:f>
        <x:v>0</x:v>
      </x:c>
      <x:c r="AM863" s="32" t="n">
        <x:f>(AJ863+AK863+AL863)/4*INDEX(LM_All,G863)*INDEX(tun_Boon,G863)*Arch_Insight</x:f>
        <x:v>0</x:v>
      </x:c>
      <x:c r="AN863" s="32" t="n">
        <x:f>H863*(tun_KHPerAdult*Z863+tun_KHOfCommons*AJ863/4*INDEX(LM_All,G863))*tun_KHUsable*Arch_KH</x:f>
        <x:v>0</x:v>
      </x:c>
      <x:c r="AO863" s="32" t="n">
        <x:f>MIN(AP862+AN863,AM863*tun_KHMaxRatio)</x:f>
        <x:v>0</x:v>
      </x:c>
      <x:c r="AP863" s="32" t="n">
        <x:f>AP862+AN863-AO863</x:f>
        <x:v>0</x:v>
      </x:c>
      <x:c r="AQ863" s="32" t="n">
        <x:f>AM863+AO863</x:f>
        <x:v>0</x:v>
      </x:c>
      <x:c r="AR863" s="10" t="n">
        <x:f>IF(H863=1,INDEX(tun_Req,G863),0)</x:f>
        <x:v>0</x:v>
      </x:c>
      <x:c r="AS863" s="32" t="n">
        <x:f>IF(H863=1,IF(E863=1,AS862-AR862,AS862)+AQ863,0)</x:f>
        <x:v>0</x:v>
      </x:c>
      <x:c r="AT863" s="11" t="n">
        <x:f>IF(AR863&gt;0,MIN(1,AS863/AR863),1)</x:f>
        <x:v>1</x:v>
      </x:c>
      <x:c r="AU863" s="10" t="n">
        <x:f>AB863/INDEX(tun_RepScale,G863)</x:f>
        <x:v>290.3368848566301</x:v>
      </x:c>
      <x:c r="AV863" s="32" t="n">
        <x:f>AM863*60/tun_SeasonSeconds</x:f>
        <x:v>0</x:v>
      </x:c>
    </x:row>
    <x:row r="864">
      <x:c r="A864" s="8" t="n">
        <x:f>A863+1</x:f>
        <x:v>861</x:v>
      </x:c>
      <x:c r="B864" s="9" t="n">
        <x:f>A864*tun_SeasonSeconds/60</x:f>
        <x:v>215.25</x:v>
      </x:c>
      <x:c r="C864" s="9" t="n">
        <x:f>A864/4</x:f>
        <x:v>215.25</x:v>
      </x:c>
      <x:c r="D864" s="8" t="n">
        <x:f>IF(MOD(A864,4)=0,1,0)</x:f>
        <x:v>0</x:v>
      </x:c>
      <x:c r="E864" s="8" t="n">
        <x:f>IF(AND(F863&lt;=9,AS863&gt;=AR863),1,0)</x:f>
        <x:v>0</x:v>
      </x:c>
      <x:c r="F864" s="8" t="n">
        <x:f>MIN(10,F863+E864)</x:f>
        <x:v>10</x:v>
      </x:c>
      <x:c r="G864" s="8" t="n">
        <x:f>MIN(F864,9)+1</x:f>
        <x:v>10</x:v>
      </x:c>
      <x:c r="H864" s="8" t="n">
        <x:f>IF(F864&lt;=9,1,0)</x:f>
        <x:v>0</x:v>
      </x:c>
      <x:c r="I864" s="9" t="n">
        <x:f>MIN(10,F863+IF(AR863&gt;0,MIN(1,AS863/AR863),1))</x:f>
        <x:v>10</x:v>
      </x:c>
      <x:c r="J864" s="32" t="n">
        <x:f>INDEX(tun_FoodCap,G864)*Arch_FoodCap*EXP(tun_CapsByProject*SUMPRODUCT((Cap_Point&lt;=I864)*(Cap_Kind="Food")*Cap_Ln))</x:f>
        <x:v>18627.260449441455</x:v>
      </x:c>
      <x:c r="K864" s="32" t="n">
        <x:f>J864*MIN(1,tun_LeanBase*EXP(tun_CapsByProject*SUMPRODUCT((Cap_Point&lt;=I864)*(Cap_Kind="Lean")*Cap_Ln)))</x:f>
        <x:v>18627.260449441455</x:v>
      </x:c>
      <x:c r="L864" s="10" t="n">
        <x:f>INDEX(tun_HousingCap,G864)*EXP(tun_CapsByProject*SUMPRODUCT((Cap_Point&lt;=I864)*(Cap_Kind="Housing")*Cap_Ln))</x:f>
        <x:v>20528.974303173167</x:v>
      </x:c>
      <x:c r="M864" s="10" t="n">
        <x:f>INDEX(tun_GroupCap,G864)*tun_CohesionFactor*EXP(tun_CapsByProject*SUMPRODUCT((Cap_Point&lt;=I864)*(Cap_Kind="Group")*Cap_Ln))</x:f>
        <x:v>1000000.000000001</x:v>
      </x:c>
      <x:c r="N864" s="32" t="n">
        <x:f>MIN(J864,L864,M864)</x:f>
        <x:v>18627.260449441455</x:v>
      </x:c>
      <x:c r="O864" s="10" t="n">
        <x:f>AE863*N864</x:f>
        <x:v>167645.34404497308</x:v>
      </x:c>
      <x:c r="P864" s="9" t="n">
        <x:f>MIN(1,(AB863/(AE863*IF(tun_GroupInCrowding=1,N864,MIN(J864,L864))))^tun_CrowdingExp)</x:f>
        <x:v>0.4215841981292809</x:v>
      </x:c>
      <x:c r="Q864" s="9" t="n">
        <x:f>IF(D864=1,INDEX(tun_WinterMult,G864),1)</x:f>
        <x:v>1</x:v>
      </x:c>
      <x:c r="R864" s="9" t="n">
        <x:f>H864*Z863*tun_WomenShare*tun_BaseFertility*INDEX(tun_FertMult,G864)*Arch_Fertility*(1-P864)</x:f>
        <x:v>0</x:v>
      </x:c>
      <x:c r="S864" s="9" t="n">
        <x:f>H864*Y863*INDEX(tun_MortChild,G864)/4*Q864</x:f>
        <x:v>0</x:v>
      </x:c>
      <x:c r="T864" s="9" t="n">
        <x:f>H864*Z863*INDEX(tun_MortAdult,G864)*Arch_AdultMort/4*Q864</x:f>
        <x:v>0</x:v>
      </x:c>
      <x:c r="U864" s="9" t="n">
        <x:f>H864*AA863*INDEX(tun_MortElder,G864)/4*Q864</x:f>
        <x:v>0</x:v>
      </x:c>
      <x:c r="V864" s="9" t="n">
        <x:f>H864*MAX(0,AB863-O864)*tun_OvercapLoss</x:f>
        <x:v>0</x:v>
      </x:c>
      <x:c r="W864" s="9" t="n">
        <x:f>H864*Y863/(tun_ChildYears*4)</x:f>
        <x:v>0</x:v>
      </x:c>
      <x:c r="X864" s="9" t="n">
        <x:f>H864*Z863/(tun_AdultYears*4)</x:f>
        <x:v>0</x:v>
      </x:c>
      <x:c r="Y864" s="32" t="n">
        <x:f>Y863+R864-S864-W864-Y863*V864/AB863</x:f>
        <x:v>40496.20709015643</x:v>
      </x:c>
      <x:c r="Z864" s="32" t="n">
        <x:f>Z863+W864-X864-T864-Z863*V864/AB863</x:f>
        <x:v>59141.61122890803</x:v>
      </x:c>
      <x:c r="AA864" s="32" t="n">
        <x:f>AA863+X864-U864-AA863*V864/AB863</x:f>
        <x:v>45530.62410925061</x:v>
      </x:c>
      <x:c r="AB864" s="10" t="n">
        <x:f>Y864+Z864+AA864</x:f>
        <x:v>145168.44242831506</x:v>
      </x:c>
      <x:c r="AC864" s="8" t="n">
        <x:f>IF(AND(tun_WinterTrigger=1,D864=1,AB863/AE863&gt;=K864),1,0)</x:f>
        <x:v>0</x:v>
      </x:c>
      <x:c r="AD864" s="8" t="n">
        <x:f>H864*IF(AND(OR(AB863/AE863&gt;=tun_FissionTrigger*N864,AC864=1),AB863/AE863*tun_DaughterShare&gt;=tun_MinDaughter),MAX(1,ROUND(AE863*tun_FissionRate,0)),0)</x:f>
        <x:v>0</x:v>
      </x:c>
      <x:c r="AE864" s="8" t="n">
        <x:f>IF(H864=1,MAX(1,MIN(INDEX(tun_Smax,G864),AE863+AD864)),AE863)</x:f>
        <x:v>9</x:v>
      </x:c>
      <x:c r="AF864" s="8" t="n">
        <x:f>MAX(0,AE864-AE863)</x:f>
        <x:v>0</x:v>
      </x:c>
      <x:c r="AG864" s="9" t="str">
        <x:f>IF(AF864&gt;0,B864,"")</x:f>
      </x:c>
      <x:c r="AH864" s="9" t="n">
        <x:f>IF(F864&gt;=1,1,(1+tun_LowTiesShare*(AE864-1))/AE864)</x:f>
        <x:v>1</x:v>
      </x:c>
      <x:c r="AI864" s="32" t="n">
        <x:f>(Z864+tun_ElderCommons*INDEX(LM_Elder,G864)*AA864)*AH864</x:f>
        <x:v>238215.0665857503</x:v>
      </x:c>
      <x:c r="AJ864" s="32" t="n">
        <x:f>H864*tun_CommonsCoef*AI864^tun_CommonsExp*INDEX(LM_Commons,G864)</x:f>
        <x:v>0</x:v>
      </x:c>
      <x:c r="AK864" s="32" t="n">
        <x:f>H864*tun_RoleScale*Arch_Roles*(AE864*(INDEX(tun_ElderRolePerSett,G864)*tun_OutElder*INDEX(LM_Elder,G864)+INDEX(tun_ShamanPerSett,G864)*tun_OutShaman)+Z864*(INDEX(tun_PriestShare,G864)*tun_OutPriest+INDEX(tun_ScribeShare,G864)*tun_OutScribe*INDEX(LM_Scribe,G864)+INDEX(tun_ScholarShare,G864)*tun_OutScholar*INDEX(LM_Scholar,G864)+INDEX(tun_ResearcherShare,G864)*tun_OutResearcher*INDEX(LM_Researcher,G864)))</x:f>
        <x:v>0</x:v>
      </x:c>
      <x:c r="AL864" s="32" t="n">
        <x:f>H864*tun_RoleScale*Arch_Roles*AE864*INDEX(tun_MonasteryPerSett,G864)*tun_OutMonastery*INDEX(LM_Monastery,G864)</x:f>
        <x:v>0</x:v>
      </x:c>
      <x:c r="AM864" s="32" t="n">
        <x:f>(AJ864+AK864+AL864)/4*INDEX(LM_All,G864)*INDEX(tun_Boon,G864)*Arch_Insight</x:f>
        <x:v>0</x:v>
      </x:c>
      <x:c r="AN864" s="32" t="n">
        <x:f>H864*(tun_KHPerAdult*Z864+tun_KHOfCommons*AJ864/4*INDEX(LM_All,G864))*tun_KHUsable*Arch_KH</x:f>
        <x:v>0</x:v>
      </x:c>
      <x:c r="AO864" s="32" t="n">
        <x:f>MIN(AP863+AN864,AM864*tun_KHMaxRatio)</x:f>
        <x:v>0</x:v>
      </x:c>
      <x:c r="AP864" s="32" t="n">
        <x:f>AP863+AN864-AO864</x:f>
        <x:v>0</x:v>
      </x:c>
      <x:c r="AQ864" s="32" t="n">
        <x:f>AM864+AO864</x:f>
        <x:v>0</x:v>
      </x:c>
      <x:c r="AR864" s="10" t="n">
        <x:f>IF(H864=1,INDEX(tun_Req,G864),0)</x:f>
        <x:v>0</x:v>
      </x:c>
      <x:c r="AS864" s="32" t="n">
        <x:f>IF(H864=1,IF(E864=1,AS863-AR863,AS863)+AQ864,0)</x:f>
        <x:v>0</x:v>
      </x:c>
      <x:c r="AT864" s="11" t="n">
        <x:f>IF(AR864&gt;0,MIN(1,AS864/AR864),1)</x:f>
        <x:v>1</x:v>
      </x:c>
      <x:c r="AU864" s="10" t="n">
        <x:f>AB864/INDEX(tun_RepScale,G864)</x:f>
        <x:v>290.3368848566301</x:v>
      </x:c>
      <x:c r="AV864" s="32" t="n">
        <x:f>AM864*60/tun_SeasonSeconds</x:f>
        <x:v>0</x:v>
      </x:c>
    </x:row>
    <x:row r="865">
      <x:c r="A865" s="8" t="n">
        <x:f>A864+1</x:f>
        <x:v>862</x:v>
      </x:c>
      <x:c r="B865" s="9" t="n">
        <x:f>A865*tun_SeasonSeconds/60</x:f>
        <x:v>215.5</x:v>
      </x:c>
      <x:c r="C865" s="9" t="n">
        <x:f>A865/4</x:f>
        <x:v>215.5</x:v>
      </x:c>
      <x:c r="D865" s="8" t="n">
        <x:f>IF(MOD(A865,4)=0,1,0)</x:f>
        <x:v>0</x:v>
      </x:c>
      <x:c r="E865" s="8" t="n">
        <x:f>IF(AND(F864&lt;=9,AS864&gt;=AR864),1,0)</x:f>
        <x:v>0</x:v>
      </x:c>
      <x:c r="F865" s="8" t="n">
        <x:f>MIN(10,F864+E865)</x:f>
        <x:v>10</x:v>
      </x:c>
      <x:c r="G865" s="8" t="n">
        <x:f>MIN(F865,9)+1</x:f>
        <x:v>10</x:v>
      </x:c>
      <x:c r="H865" s="8" t="n">
        <x:f>IF(F865&lt;=9,1,0)</x:f>
        <x:v>0</x:v>
      </x:c>
      <x:c r="I865" s="9" t="n">
        <x:f>MIN(10,F864+IF(AR864&gt;0,MIN(1,AS864/AR864),1))</x:f>
        <x:v>10</x:v>
      </x:c>
      <x:c r="J865" s="32" t="n">
        <x:f>INDEX(tun_FoodCap,G865)*Arch_FoodCap*EXP(tun_CapsByProject*SUMPRODUCT((Cap_Point&lt;=I865)*(Cap_Kind="Food")*Cap_Ln))</x:f>
        <x:v>18627.260449441455</x:v>
      </x:c>
      <x:c r="K865" s="32" t="n">
        <x:f>J865*MIN(1,tun_LeanBase*EXP(tun_CapsByProject*SUMPRODUCT((Cap_Point&lt;=I865)*(Cap_Kind="Lean")*Cap_Ln)))</x:f>
        <x:v>18627.260449441455</x:v>
      </x:c>
      <x:c r="L865" s="10" t="n">
        <x:f>INDEX(tun_HousingCap,G865)*EXP(tun_CapsByProject*SUMPRODUCT((Cap_Point&lt;=I865)*(Cap_Kind="Housing")*Cap_Ln))</x:f>
        <x:v>20528.974303173167</x:v>
      </x:c>
      <x:c r="M865" s="10" t="n">
        <x:f>INDEX(tun_GroupCap,G865)*tun_CohesionFactor*EXP(tun_CapsByProject*SUMPRODUCT((Cap_Point&lt;=I865)*(Cap_Kind="Group")*Cap_Ln))</x:f>
        <x:v>1000000.000000001</x:v>
      </x:c>
      <x:c r="N865" s="32" t="n">
        <x:f>MIN(J865,L865,M865)</x:f>
        <x:v>18627.260449441455</x:v>
      </x:c>
      <x:c r="O865" s="10" t="n">
        <x:f>AE864*N865</x:f>
        <x:v>167645.34404497308</x:v>
      </x:c>
      <x:c r="P865" s="9" t="n">
        <x:f>MIN(1,(AB864/(AE864*IF(tun_GroupInCrowding=1,N865,MIN(J865,L865))))^tun_CrowdingExp)</x:f>
        <x:v>0.4215841981292809</x:v>
      </x:c>
      <x:c r="Q865" s="9" t="n">
        <x:f>IF(D865=1,INDEX(tun_WinterMult,G865),1)</x:f>
        <x:v>1</x:v>
      </x:c>
      <x:c r="R865" s="9" t="n">
        <x:f>H865*Z864*tun_WomenShare*tun_BaseFertility*INDEX(tun_FertMult,G865)*Arch_Fertility*(1-P865)</x:f>
        <x:v>0</x:v>
      </x:c>
      <x:c r="S865" s="9" t="n">
        <x:f>H865*Y864*INDEX(tun_MortChild,G865)/4*Q865</x:f>
        <x:v>0</x:v>
      </x:c>
      <x:c r="T865" s="9" t="n">
        <x:f>H865*Z864*INDEX(tun_MortAdult,G865)*Arch_AdultMort/4*Q865</x:f>
        <x:v>0</x:v>
      </x:c>
      <x:c r="U865" s="9" t="n">
        <x:f>H865*AA864*INDEX(tun_MortElder,G865)/4*Q865</x:f>
        <x:v>0</x:v>
      </x:c>
      <x:c r="V865" s="9" t="n">
        <x:f>H865*MAX(0,AB864-O865)*tun_OvercapLoss</x:f>
        <x:v>0</x:v>
      </x:c>
      <x:c r="W865" s="9" t="n">
        <x:f>H865*Y864/(tun_ChildYears*4)</x:f>
        <x:v>0</x:v>
      </x:c>
      <x:c r="X865" s="9" t="n">
        <x:f>H865*Z864/(tun_AdultYears*4)</x:f>
        <x:v>0</x:v>
      </x:c>
      <x:c r="Y865" s="32" t="n">
        <x:f>Y864+R865-S865-W865-Y864*V865/AB864</x:f>
        <x:v>40496.20709015643</x:v>
      </x:c>
      <x:c r="Z865" s="32" t="n">
        <x:f>Z864+W865-X865-T865-Z864*V865/AB864</x:f>
        <x:v>59141.61122890803</x:v>
      </x:c>
      <x:c r="AA865" s="32" t="n">
        <x:f>AA864+X865-U865-AA864*V865/AB864</x:f>
        <x:v>45530.62410925061</x:v>
      </x:c>
      <x:c r="AB865" s="10" t="n">
        <x:f>Y865+Z865+AA865</x:f>
        <x:v>145168.44242831506</x:v>
      </x:c>
      <x:c r="AC865" s="8" t="n">
        <x:f>IF(AND(tun_WinterTrigger=1,D865=1,AB864/AE864&gt;=K865),1,0)</x:f>
        <x:v>0</x:v>
      </x:c>
      <x:c r="AD865" s="8" t="n">
        <x:f>H865*IF(AND(OR(AB864/AE864&gt;=tun_FissionTrigger*N865,AC865=1),AB864/AE864*tun_DaughterShare&gt;=tun_MinDaughter),MAX(1,ROUND(AE864*tun_FissionRate,0)),0)</x:f>
        <x:v>0</x:v>
      </x:c>
      <x:c r="AE865" s="8" t="n">
        <x:f>IF(H865=1,MAX(1,MIN(INDEX(tun_Smax,G865),AE864+AD865)),AE864)</x:f>
        <x:v>9</x:v>
      </x:c>
      <x:c r="AF865" s="8" t="n">
        <x:f>MAX(0,AE865-AE864)</x:f>
        <x:v>0</x:v>
      </x:c>
      <x:c r="AG865" s="9" t="str">
        <x:f>IF(AF865&gt;0,B865,"")</x:f>
      </x:c>
      <x:c r="AH865" s="9" t="n">
        <x:f>IF(F865&gt;=1,1,(1+tun_LowTiesShare*(AE865-1))/AE865)</x:f>
        <x:v>1</x:v>
      </x:c>
      <x:c r="AI865" s="32" t="n">
        <x:f>(Z865+tun_ElderCommons*INDEX(LM_Elder,G865)*AA865)*AH865</x:f>
        <x:v>238215.0665857503</x:v>
      </x:c>
      <x:c r="AJ865" s="32" t="n">
        <x:f>H865*tun_CommonsCoef*AI865^tun_CommonsExp*INDEX(LM_Commons,G865)</x:f>
        <x:v>0</x:v>
      </x:c>
      <x:c r="AK865" s="32" t="n">
        <x:f>H865*tun_RoleScale*Arch_Roles*(AE865*(INDEX(tun_ElderRolePerSett,G865)*tun_OutElder*INDEX(LM_Elder,G865)+INDEX(tun_ShamanPerSett,G865)*tun_OutShaman)+Z865*(INDEX(tun_PriestShare,G865)*tun_OutPriest+INDEX(tun_ScribeShare,G865)*tun_OutScribe*INDEX(LM_Scribe,G865)+INDEX(tun_ScholarShare,G865)*tun_OutScholar*INDEX(LM_Scholar,G865)+INDEX(tun_ResearcherShare,G865)*tun_OutResearcher*INDEX(LM_Researcher,G865)))</x:f>
        <x:v>0</x:v>
      </x:c>
      <x:c r="AL865" s="32" t="n">
        <x:f>H865*tun_RoleScale*Arch_Roles*AE865*INDEX(tun_MonasteryPerSett,G865)*tun_OutMonastery*INDEX(LM_Monastery,G865)</x:f>
        <x:v>0</x:v>
      </x:c>
      <x:c r="AM865" s="32" t="n">
        <x:f>(AJ865+AK865+AL865)/4*INDEX(LM_All,G865)*INDEX(tun_Boon,G865)*Arch_Insight</x:f>
        <x:v>0</x:v>
      </x:c>
      <x:c r="AN865" s="32" t="n">
        <x:f>H865*(tun_KHPerAdult*Z865+tun_KHOfCommons*AJ865/4*INDEX(LM_All,G865))*tun_KHUsable*Arch_KH</x:f>
        <x:v>0</x:v>
      </x:c>
      <x:c r="AO865" s="32" t="n">
        <x:f>MIN(AP864+AN865,AM865*tun_KHMaxRatio)</x:f>
        <x:v>0</x:v>
      </x:c>
      <x:c r="AP865" s="32" t="n">
        <x:f>AP864+AN865-AO865</x:f>
        <x:v>0</x:v>
      </x:c>
      <x:c r="AQ865" s="32" t="n">
        <x:f>AM865+AO865</x:f>
        <x:v>0</x:v>
      </x:c>
      <x:c r="AR865" s="10" t="n">
        <x:f>IF(H865=1,INDEX(tun_Req,G865),0)</x:f>
        <x:v>0</x:v>
      </x:c>
      <x:c r="AS865" s="32" t="n">
        <x:f>IF(H865=1,IF(E865=1,AS864-AR864,AS864)+AQ865,0)</x:f>
        <x:v>0</x:v>
      </x:c>
      <x:c r="AT865" s="11" t="n">
        <x:f>IF(AR865&gt;0,MIN(1,AS865/AR865),1)</x:f>
        <x:v>1</x:v>
      </x:c>
      <x:c r="AU865" s="10" t="n">
        <x:f>AB865/INDEX(tun_RepScale,G865)</x:f>
        <x:v>290.3368848566301</x:v>
      </x:c>
      <x:c r="AV865" s="32" t="n">
        <x:f>AM865*60/tun_SeasonSeconds</x:f>
        <x:v>0</x:v>
      </x:c>
    </x:row>
    <x:row r="866">
      <x:c r="A866" s="8" t="n">
        <x:f>A865+1</x:f>
        <x:v>863</x:v>
      </x:c>
      <x:c r="B866" s="9" t="n">
        <x:f>A866*tun_SeasonSeconds/60</x:f>
        <x:v>215.75</x:v>
      </x:c>
      <x:c r="C866" s="9" t="n">
        <x:f>A866/4</x:f>
        <x:v>215.75</x:v>
      </x:c>
      <x:c r="D866" s="8" t="n">
        <x:f>IF(MOD(A866,4)=0,1,0)</x:f>
        <x:v>0</x:v>
      </x:c>
      <x:c r="E866" s="8" t="n">
        <x:f>IF(AND(F865&lt;=9,AS865&gt;=AR865),1,0)</x:f>
        <x:v>0</x:v>
      </x:c>
      <x:c r="F866" s="8" t="n">
        <x:f>MIN(10,F865+E866)</x:f>
        <x:v>10</x:v>
      </x:c>
      <x:c r="G866" s="8" t="n">
        <x:f>MIN(F866,9)+1</x:f>
        <x:v>10</x:v>
      </x:c>
      <x:c r="H866" s="8" t="n">
        <x:f>IF(F866&lt;=9,1,0)</x:f>
        <x:v>0</x:v>
      </x:c>
      <x:c r="I866" s="9" t="n">
        <x:f>MIN(10,F865+IF(AR865&gt;0,MIN(1,AS865/AR865),1))</x:f>
        <x:v>10</x:v>
      </x:c>
      <x:c r="J866" s="32" t="n">
        <x:f>INDEX(tun_FoodCap,G866)*Arch_FoodCap*EXP(tun_CapsByProject*SUMPRODUCT((Cap_Point&lt;=I866)*(Cap_Kind="Food")*Cap_Ln))</x:f>
        <x:v>18627.260449441455</x:v>
      </x:c>
      <x:c r="K866" s="32" t="n">
        <x:f>J866*MIN(1,tun_LeanBase*EXP(tun_CapsByProject*SUMPRODUCT((Cap_Point&lt;=I866)*(Cap_Kind="Lean")*Cap_Ln)))</x:f>
        <x:v>18627.260449441455</x:v>
      </x:c>
      <x:c r="L866" s="10" t="n">
        <x:f>INDEX(tun_HousingCap,G866)*EXP(tun_CapsByProject*SUMPRODUCT((Cap_Point&lt;=I866)*(Cap_Kind="Housing")*Cap_Ln))</x:f>
        <x:v>20528.974303173167</x:v>
      </x:c>
      <x:c r="M866" s="10" t="n">
        <x:f>INDEX(tun_GroupCap,G866)*tun_CohesionFactor*EXP(tun_CapsByProject*SUMPRODUCT((Cap_Point&lt;=I866)*(Cap_Kind="Group")*Cap_Ln))</x:f>
        <x:v>1000000.000000001</x:v>
      </x:c>
      <x:c r="N866" s="32" t="n">
        <x:f>MIN(J866,L866,M866)</x:f>
        <x:v>18627.260449441455</x:v>
      </x:c>
      <x:c r="O866" s="10" t="n">
        <x:f>AE865*N866</x:f>
        <x:v>167645.34404497308</x:v>
      </x:c>
      <x:c r="P866" s="9" t="n">
        <x:f>MIN(1,(AB865/(AE865*IF(tun_GroupInCrowding=1,N866,MIN(J866,L866))))^tun_CrowdingExp)</x:f>
        <x:v>0.4215841981292809</x:v>
      </x:c>
      <x:c r="Q866" s="9" t="n">
        <x:f>IF(D866=1,INDEX(tun_WinterMult,G866),1)</x:f>
        <x:v>1</x:v>
      </x:c>
      <x:c r="R866" s="9" t="n">
        <x:f>H866*Z865*tun_WomenShare*tun_BaseFertility*INDEX(tun_FertMult,G866)*Arch_Fertility*(1-P866)</x:f>
        <x:v>0</x:v>
      </x:c>
      <x:c r="S866" s="9" t="n">
        <x:f>H866*Y865*INDEX(tun_MortChild,G866)/4*Q866</x:f>
        <x:v>0</x:v>
      </x:c>
      <x:c r="T866" s="9" t="n">
        <x:f>H866*Z865*INDEX(tun_MortAdult,G866)*Arch_AdultMort/4*Q866</x:f>
        <x:v>0</x:v>
      </x:c>
      <x:c r="U866" s="9" t="n">
        <x:f>H866*AA865*INDEX(tun_MortElder,G866)/4*Q866</x:f>
        <x:v>0</x:v>
      </x:c>
      <x:c r="V866" s="9" t="n">
        <x:f>H866*MAX(0,AB865-O866)*tun_OvercapLoss</x:f>
        <x:v>0</x:v>
      </x:c>
      <x:c r="W866" s="9" t="n">
        <x:f>H866*Y865/(tun_ChildYears*4)</x:f>
        <x:v>0</x:v>
      </x:c>
      <x:c r="X866" s="9" t="n">
        <x:f>H866*Z865/(tun_AdultYears*4)</x:f>
        <x:v>0</x:v>
      </x:c>
      <x:c r="Y866" s="32" t="n">
        <x:f>Y865+R866-S866-W866-Y865*V866/AB865</x:f>
        <x:v>40496.20709015643</x:v>
      </x:c>
      <x:c r="Z866" s="32" t="n">
        <x:f>Z865+W866-X866-T866-Z865*V866/AB865</x:f>
        <x:v>59141.61122890803</x:v>
      </x:c>
      <x:c r="AA866" s="32" t="n">
        <x:f>AA865+X866-U866-AA865*V866/AB865</x:f>
        <x:v>45530.62410925061</x:v>
      </x:c>
      <x:c r="AB866" s="10" t="n">
        <x:f>Y866+Z866+AA866</x:f>
        <x:v>145168.44242831506</x:v>
      </x:c>
      <x:c r="AC866" s="8" t="n">
        <x:f>IF(AND(tun_WinterTrigger=1,D866=1,AB865/AE865&gt;=K866),1,0)</x:f>
        <x:v>0</x:v>
      </x:c>
      <x:c r="AD866" s="8" t="n">
        <x:f>H866*IF(AND(OR(AB865/AE865&gt;=tun_FissionTrigger*N866,AC866=1),AB865/AE865*tun_DaughterShare&gt;=tun_MinDaughter),MAX(1,ROUND(AE865*tun_FissionRate,0)),0)</x:f>
        <x:v>0</x:v>
      </x:c>
      <x:c r="AE866" s="8" t="n">
        <x:f>IF(H866=1,MAX(1,MIN(INDEX(tun_Smax,G866),AE865+AD866)),AE865)</x:f>
        <x:v>9</x:v>
      </x:c>
      <x:c r="AF866" s="8" t="n">
        <x:f>MAX(0,AE866-AE865)</x:f>
        <x:v>0</x:v>
      </x:c>
      <x:c r="AG866" s="9" t="str">
        <x:f>IF(AF866&gt;0,B866,"")</x:f>
      </x:c>
      <x:c r="AH866" s="9" t="n">
        <x:f>IF(F866&gt;=1,1,(1+tun_LowTiesShare*(AE866-1))/AE866)</x:f>
        <x:v>1</x:v>
      </x:c>
      <x:c r="AI866" s="32" t="n">
        <x:f>(Z866+tun_ElderCommons*INDEX(LM_Elder,G866)*AA866)*AH866</x:f>
        <x:v>238215.0665857503</x:v>
      </x:c>
      <x:c r="AJ866" s="32" t="n">
        <x:f>H866*tun_CommonsCoef*AI866^tun_CommonsExp*INDEX(LM_Commons,G866)</x:f>
        <x:v>0</x:v>
      </x:c>
      <x:c r="AK866" s="32" t="n">
        <x:f>H866*tun_RoleScale*Arch_Roles*(AE866*(INDEX(tun_ElderRolePerSett,G866)*tun_OutElder*INDEX(LM_Elder,G866)+INDEX(tun_ShamanPerSett,G866)*tun_OutShaman)+Z866*(INDEX(tun_PriestShare,G866)*tun_OutPriest+INDEX(tun_ScribeShare,G866)*tun_OutScribe*INDEX(LM_Scribe,G866)+INDEX(tun_ScholarShare,G866)*tun_OutScholar*INDEX(LM_Scholar,G866)+INDEX(tun_ResearcherShare,G866)*tun_OutResearcher*INDEX(LM_Researcher,G866)))</x:f>
        <x:v>0</x:v>
      </x:c>
      <x:c r="AL866" s="32" t="n">
        <x:f>H866*tun_RoleScale*Arch_Roles*AE866*INDEX(tun_MonasteryPerSett,G866)*tun_OutMonastery*INDEX(LM_Monastery,G866)</x:f>
        <x:v>0</x:v>
      </x:c>
      <x:c r="AM866" s="32" t="n">
        <x:f>(AJ866+AK866+AL866)/4*INDEX(LM_All,G866)*INDEX(tun_Boon,G866)*Arch_Insight</x:f>
        <x:v>0</x:v>
      </x:c>
      <x:c r="AN866" s="32" t="n">
        <x:f>H866*(tun_KHPerAdult*Z866+tun_KHOfCommons*AJ866/4*INDEX(LM_All,G866))*tun_KHUsable*Arch_KH</x:f>
        <x:v>0</x:v>
      </x:c>
      <x:c r="AO866" s="32" t="n">
        <x:f>MIN(AP865+AN866,AM866*tun_KHMaxRatio)</x:f>
        <x:v>0</x:v>
      </x:c>
      <x:c r="AP866" s="32" t="n">
        <x:f>AP865+AN866-AO866</x:f>
        <x:v>0</x:v>
      </x:c>
      <x:c r="AQ866" s="32" t="n">
        <x:f>AM866+AO866</x:f>
        <x:v>0</x:v>
      </x:c>
      <x:c r="AR866" s="10" t="n">
        <x:f>IF(H866=1,INDEX(tun_Req,G866),0)</x:f>
        <x:v>0</x:v>
      </x:c>
      <x:c r="AS866" s="32" t="n">
        <x:f>IF(H866=1,IF(E866=1,AS865-AR865,AS865)+AQ866,0)</x:f>
        <x:v>0</x:v>
      </x:c>
      <x:c r="AT866" s="11" t="n">
        <x:f>IF(AR866&gt;0,MIN(1,AS866/AR866),1)</x:f>
        <x:v>1</x:v>
      </x:c>
      <x:c r="AU866" s="10" t="n">
        <x:f>AB866/INDEX(tun_RepScale,G866)</x:f>
        <x:v>290.3368848566301</x:v>
      </x:c>
      <x:c r="AV866" s="32" t="n">
        <x:f>AM866*60/tun_SeasonSeconds</x:f>
        <x:v>0</x:v>
      </x:c>
    </x:row>
    <x:row r="867">
      <x:c r="A867" s="8" t="n">
        <x:f>A866+1</x:f>
        <x:v>864</x:v>
      </x:c>
      <x:c r="B867" s="9" t="n">
        <x:f>A867*tun_SeasonSeconds/60</x:f>
        <x:v>216</x:v>
      </x:c>
      <x:c r="C867" s="9" t="n">
        <x:f>A867/4</x:f>
        <x:v>216</x:v>
      </x:c>
      <x:c r="D867" s="8" t="n">
        <x:f>IF(MOD(A867,4)=0,1,0)</x:f>
        <x:v>1</x:v>
      </x:c>
      <x:c r="E867" s="8" t="n">
        <x:f>IF(AND(F866&lt;=9,AS866&gt;=AR866),1,0)</x:f>
        <x:v>0</x:v>
      </x:c>
      <x:c r="F867" s="8" t="n">
        <x:f>MIN(10,F866+E867)</x:f>
        <x:v>10</x:v>
      </x:c>
      <x:c r="G867" s="8" t="n">
        <x:f>MIN(F867,9)+1</x:f>
        <x:v>10</x:v>
      </x:c>
      <x:c r="H867" s="8" t="n">
        <x:f>IF(F867&lt;=9,1,0)</x:f>
        <x:v>0</x:v>
      </x:c>
      <x:c r="I867" s="9" t="n">
        <x:f>MIN(10,F866+IF(AR866&gt;0,MIN(1,AS866/AR866),1))</x:f>
        <x:v>10</x:v>
      </x:c>
      <x:c r="J867" s="32" t="n">
        <x:f>INDEX(tun_FoodCap,G867)*Arch_FoodCap*EXP(tun_CapsByProject*SUMPRODUCT((Cap_Point&lt;=I867)*(Cap_Kind="Food")*Cap_Ln))</x:f>
        <x:v>18627.260449441455</x:v>
      </x:c>
      <x:c r="K867" s="32" t="n">
        <x:f>J867*MIN(1,tun_LeanBase*EXP(tun_CapsByProject*SUMPRODUCT((Cap_Point&lt;=I867)*(Cap_Kind="Lean")*Cap_Ln)))</x:f>
        <x:v>18627.260449441455</x:v>
      </x:c>
      <x:c r="L867" s="10" t="n">
        <x:f>INDEX(tun_HousingCap,G867)*EXP(tun_CapsByProject*SUMPRODUCT((Cap_Point&lt;=I867)*(Cap_Kind="Housing")*Cap_Ln))</x:f>
        <x:v>20528.974303173167</x:v>
      </x:c>
      <x:c r="M867" s="10" t="n">
        <x:f>INDEX(tun_GroupCap,G867)*tun_CohesionFactor*EXP(tun_CapsByProject*SUMPRODUCT((Cap_Point&lt;=I867)*(Cap_Kind="Group")*Cap_Ln))</x:f>
        <x:v>1000000.000000001</x:v>
      </x:c>
      <x:c r="N867" s="32" t="n">
        <x:f>MIN(J867,L867,M867)</x:f>
        <x:v>18627.260449441455</x:v>
      </x:c>
      <x:c r="O867" s="10" t="n">
        <x:f>AE866*N867</x:f>
        <x:v>167645.34404497308</x:v>
      </x:c>
      <x:c r="P867" s="9" t="n">
        <x:f>MIN(1,(AB866/(AE866*IF(tun_GroupInCrowding=1,N867,MIN(J867,L867))))^tun_CrowdingExp)</x:f>
        <x:v>0.4215841981292809</x:v>
      </x:c>
      <x:c r="Q867" s="9" t="n">
        <x:f>IF(D867=1,INDEX(tun_WinterMult,G867),1)</x:f>
        <x:v>1.05</x:v>
      </x:c>
      <x:c r="R867" s="9" t="n">
        <x:f>H867*Z866*tun_WomenShare*tun_BaseFertility*INDEX(tun_FertMult,G867)*Arch_Fertility*(1-P867)</x:f>
        <x:v>0</x:v>
      </x:c>
      <x:c r="S867" s="9" t="n">
        <x:f>H867*Y866*INDEX(tun_MortChild,G867)/4*Q867</x:f>
        <x:v>0</x:v>
      </x:c>
      <x:c r="T867" s="9" t="n">
        <x:f>H867*Z866*INDEX(tun_MortAdult,G867)*Arch_AdultMort/4*Q867</x:f>
        <x:v>0</x:v>
      </x:c>
      <x:c r="U867" s="9" t="n">
        <x:f>H867*AA866*INDEX(tun_MortElder,G867)/4*Q867</x:f>
        <x:v>0</x:v>
      </x:c>
      <x:c r="V867" s="9" t="n">
        <x:f>H867*MAX(0,AB866-O867)*tun_OvercapLoss</x:f>
        <x:v>0</x:v>
      </x:c>
      <x:c r="W867" s="9" t="n">
        <x:f>H867*Y866/(tun_ChildYears*4)</x:f>
        <x:v>0</x:v>
      </x:c>
      <x:c r="X867" s="9" t="n">
        <x:f>H867*Z866/(tun_AdultYears*4)</x:f>
        <x:v>0</x:v>
      </x:c>
      <x:c r="Y867" s="32" t="n">
        <x:f>Y866+R867-S867-W867-Y866*V867/AB866</x:f>
        <x:v>40496.20709015643</x:v>
      </x:c>
      <x:c r="Z867" s="32" t="n">
        <x:f>Z866+W867-X867-T867-Z866*V867/AB866</x:f>
        <x:v>59141.61122890803</x:v>
      </x:c>
      <x:c r="AA867" s="32" t="n">
        <x:f>AA866+X867-U867-AA866*V867/AB866</x:f>
        <x:v>45530.62410925061</x:v>
      </x:c>
      <x:c r="AB867" s="10" t="n">
        <x:f>Y867+Z867+AA867</x:f>
        <x:v>145168.44242831506</x:v>
      </x:c>
      <x:c r="AC867" s="8" t="n">
        <x:f>IF(AND(tun_WinterTrigger=1,D867=1,AB866/AE866&gt;=K867),1,0)</x:f>
        <x:v>0</x:v>
      </x:c>
      <x:c r="AD867" s="8" t="n">
        <x:f>H867*IF(AND(OR(AB866/AE866&gt;=tun_FissionTrigger*N867,AC867=1),AB866/AE866*tun_DaughterShare&gt;=tun_MinDaughter),MAX(1,ROUND(AE866*tun_FissionRate,0)),0)</x:f>
        <x:v>0</x:v>
      </x:c>
      <x:c r="AE867" s="8" t="n">
        <x:f>IF(H867=1,MAX(1,MIN(INDEX(tun_Smax,G867),AE866+AD867)),AE866)</x:f>
        <x:v>9</x:v>
      </x:c>
      <x:c r="AF867" s="8" t="n">
        <x:f>MAX(0,AE867-AE866)</x:f>
        <x:v>0</x:v>
      </x:c>
      <x:c r="AG867" s="9" t="str">
        <x:f>IF(AF867&gt;0,B867,"")</x:f>
      </x:c>
      <x:c r="AH867" s="9" t="n">
        <x:f>IF(F867&gt;=1,1,(1+tun_LowTiesShare*(AE867-1))/AE867)</x:f>
        <x:v>1</x:v>
      </x:c>
      <x:c r="AI867" s="32" t="n">
        <x:f>(Z867+tun_ElderCommons*INDEX(LM_Elder,G867)*AA867)*AH867</x:f>
        <x:v>238215.0665857503</x:v>
      </x:c>
      <x:c r="AJ867" s="32" t="n">
        <x:f>H867*tun_CommonsCoef*AI867^tun_CommonsExp*INDEX(LM_Commons,G867)</x:f>
        <x:v>0</x:v>
      </x:c>
      <x:c r="AK867" s="32" t="n">
        <x:f>H867*tun_RoleScale*Arch_Roles*(AE867*(INDEX(tun_ElderRolePerSett,G867)*tun_OutElder*INDEX(LM_Elder,G867)+INDEX(tun_ShamanPerSett,G867)*tun_OutShaman)+Z867*(INDEX(tun_PriestShare,G867)*tun_OutPriest+INDEX(tun_ScribeShare,G867)*tun_OutScribe*INDEX(LM_Scribe,G867)+INDEX(tun_ScholarShare,G867)*tun_OutScholar*INDEX(LM_Scholar,G867)+INDEX(tun_ResearcherShare,G867)*tun_OutResearcher*INDEX(LM_Researcher,G867)))</x:f>
        <x:v>0</x:v>
      </x:c>
      <x:c r="AL867" s="32" t="n">
        <x:f>H867*tun_RoleScale*Arch_Roles*AE867*INDEX(tun_MonasteryPerSett,G867)*tun_OutMonastery*INDEX(LM_Monastery,G867)</x:f>
        <x:v>0</x:v>
      </x:c>
      <x:c r="AM867" s="32" t="n">
        <x:f>(AJ867+AK867+AL867)/4*INDEX(LM_All,G867)*INDEX(tun_Boon,G867)*Arch_Insight</x:f>
        <x:v>0</x:v>
      </x:c>
      <x:c r="AN867" s="32" t="n">
        <x:f>H867*(tun_KHPerAdult*Z867+tun_KHOfCommons*AJ867/4*INDEX(LM_All,G867))*tun_KHUsable*Arch_KH</x:f>
        <x:v>0</x:v>
      </x:c>
      <x:c r="AO867" s="32" t="n">
        <x:f>MIN(AP866+AN867,AM867*tun_KHMaxRatio)</x:f>
        <x:v>0</x:v>
      </x:c>
      <x:c r="AP867" s="32" t="n">
        <x:f>AP866+AN867-AO867</x:f>
        <x:v>0</x:v>
      </x:c>
      <x:c r="AQ867" s="32" t="n">
        <x:f>AM867+AO867</x:f>
        <x:v>0</x:v>
      </x:c>
      <x:c r="AR867" s="10" t="n">
        <x:f>IF(H867=1,INDEX(tun_Req,G867),0)</x:f>
        <x:v>0</x:v>
      </x:c>
      <x:c r="AS867" s="32" t="n">
        <x:f>IF(H867=1,IF(E867=1,AS866-AR866,AS866)+AQ867,0)</x:f>
        <x:v>0</x:v>
      </x:c>
      <x:c r="AT867" s="11" t="n">
        <x:f>IF(AR867&gt;0,MIN(1,AS867/AR867),1)</x:f>
        <x:v>1</x:v>
      </x:c>
      <x:c r="AU867" s="10" t="n">
        <x:f>AB867/INDEX(tun_RepScale,G867)</x:f>
        <x:v>290.3368848566301</x:v>
      </x:c>
      <x:c r="AV867" s="32" t="n">
        <x:f>AM867*60/tun_SeasonSeconds</x:f>
        <x:v>0</x:v>
      </x:c>
    </x:row>
    <x:row r="868">
      <x:c r="A868" s="8" t="n">
        <x:f>A867+1</x:f>
        <x:v>865</x:v>
      </x:c>
      <x:c r="B868" s="9" t="n">
        <x:f>A868*tun_SeasonSeconds/60</x:f>
        <x:v>216.25</x:v>
      </x:c>
      <x:c r="C868" s="9" t="n">
        <x:f>A868/4</x:f>
        <x:v>216.25</x:v>
      </x:c>
      <x:c r="D868" s="8" t="n">
        <x:f>IF(MOD(A868,4)=0,1,0)</x:f>
        <x:v>0</x:v>
      </x:c>
      <x:c r="E868" s="8" t="n">
        <x:f>IF(AND(F867&lt;=9,AS867&gt;=AR867),1,0)</x:f>
        <x:v>0</x:v>
      </x:c>
      <x:c r="F868" s="8" t="n">
        <x:f>MIN(10,F867+E868)</x:f>
        <x:v>10</x:v>
      </x:c>
      <x:c r="G868" s="8" t="n">
        <x:f>MIN(F868,9)+1</x:f>
        <x:v>10</x:v>
      </x:c>
      <x:c r="H868" s="8" t="n">
        <x:f>IF(F868&lt;=9,1,0)</x:f>
        <x:v>0</x:v>
      </x:c>
      <x:c r="I868" s="9" t="n">
        <x:f>MIN(10,F867+IF(AR867&gt;0,MIN(1,AS867/AR867),1))</x:f>
        <x:v>10</x:v>
      </x:c>
      <x:c r="J868" s="32" t="n">
        <x:f>INDEX(tun_FoodCap,G868)*Arch_FoodCap*EXP(tun_CapsByProject*SUMPRODUCT((Cap_Point&lt;=I868)*(Cap_Kind="Food")*Cap_Ln))</x:f>
        <x:v>18627.260449441455</x:v>
      </x:c>
      <x:c r="K868" s="32" t="n">
        <x:f>J868*MIN(1,tun_LeanBase*EXP(tun_CapsByProject*SUMPRODUCT((Cap_Point&lt;=I868)*(Cap_Kind="Lean")*Cap_Ln)))</x:f>
        <x:v>18627.260449441455</x:v>
      </x:c>
      <x:c r="L868" s="10" t="n">
        <x:f>INDEX(tun_HousingCap,G868)*EXP(tun_CapsByProject*SUMPRODUCT((Cap_Point&lt;=I868)*(Cap_Kind="Housing")*Cap_Ln))</x:f>
        <x:v>20528.974303173167</x:v>
      </x:c>
      <x:c r="M868" s="10" t="n">
        <x:f>INDEX(tun_GroupCap,G868)*tun_CohesionFactor*EXP(tun_CapsByProject*SUMPRODUCT((Cap_Point&lt;=I868)*(Cap_Kind="Group")*Cap_Ln))</x:f>
        <x:v>1000000.000000001</x:v>
      </x:c>
      <x:c r="N868" s="32" t="n">
        <x:f>MIN(J868,L868,M868)</x:f>
        <x:v>18627.260449441455</x:v>
      </x:c>
      <x:c r="O868" s="10" t="n">
        <x:f>AE867*N868</x:f>
        <x:v>167645.34404497308</x:v>
      </x:c>
      <x:c r="P868" s="9" t="n">
        <x:f>MIN(1,(AB867/(AE867*IF(tun_GroupInCrowding=1,N868,MIN(J868,L868))))^tun_CrowdingExp)</x:f>
        <x:v>0.4215841981292809</x:v>
      </x:c>
      <x:c r="Q868" s="9" t="n">
        <x:f>IF(D868=1,INDEX(tun_WinterMult,G868),1)</x:f>
        <x:v>1</x:v>
      </x:c>
      <x:c r="R868" s="9" t="n">
        <x:f>H868*Z867*tun_WomenShare*tun_BaseFertility*INDEX(tun_FertMult,G868)*Arch_Fertility*(1-P868)</x:f>
        <x:v>0</x:v>
      </x:c>
      <x:c r="S868" s="9" t="n">
        <x:f>H868*Y867*INDEX(tun_MortChild,G868)/4*Q868</x:f>
        <x:v>0</x:v>
      </x:c>
      <x:c r="T868" s="9" t="n">
        <x:f>H868*Z867*INDEX(tun_MortAdult,G868)*Arch_AdultMort/4*Q868</x:f>
        <x:v>0</x:v>
      </x:c>
      <x:c r="U868" s="9" t="n">
        <x:f>H868*AA867*INDEX(tun_MortElder,G868)/4*Q868</x:f>
        <x:v>0</x:v>
      </x:c>
      <x:c r="V868" s="9" t="n">
        <x:f>H868*MAX(0,AB867-O868)*tun_OvercapLoss</x:f>
        <x:v>0</x:v>
      </x:c>
      <x:c r="W868" s="9" t="n">
        <x:f>H868*Y867/(tun_ChildYears*4)</x:f>
        <x:v>0</x:v>
      </x:c>
      <x:c r="X868" s="9" t="n">
        <x:f>H868*Z867/(tun_AdultYears*4)</x:f>
        <x:v>0</x:v>
      </x:c>
      <x:c r="Y868" s="32" t="n">
        <x:f>Y867+R868-S868-W868-Y867*V868/AB867</x:f>
        <x:v>40496.20709015643</x:v>
      </x:c>
      <x:c r="Z868" s="32" t="n">
        <x:f>Z867+W868-X868-T868-Z867*V868/AB867</x:f>
        <x:v>59141.61122890803</x:v>
      </x:c>
      <x:c r="AA868" s="32" t="n">
        <x:f>AA867+X868-U868-AA867*V868/AB867</x:f>
        <x:v>45530.62410925061</x:v>
      </x:c>
      <x:c r="AB868" s="10" t="n">
        <x:f>Y868+Z868+AA868</x:f>
        <x:v>145168.44242831506</x:v>
      </x:c>
      <x:c r="AC868" s="8" t="n">
        <x:f>IF(AND(tun_WinterTrigger=1,D868=1,AB867/AE867&gt;=K868),1,0)</x:f>
        <x:v>0</x:v>
      </x:c>
      <x:c r="AD868" s="8" t="n">
        <x:f>H868*IF(AND(OR(AB867/AE867&gt;=tun_FissionTrigger*N868,AC868=1),AB867/AE867*tun_DaughterShare&gt;=tun_MinDaughter),MAX(1,ROUND(AE867*tun_FissionRate,0)),0)</x:f>
        <x:v>0</x:v>
      </x:c>
      <x:c r="AE868" s="8" t="n">
        <x:f>IF(H868=1,MAX(1,MIN(INDEX(tun_Smax,G868),AE867+AD868)),AE867)</x:f>
        <x:v>9</x:v>
      </x:c>
      <x:c r="AF868" s="8" t="n">
        <x:f>MAX(0,AE868-AE867)</x:f>
        <x:v>0</x:v>
      </x:c>
      <x:c r="AG868" s="9" t="str">
        <x:f>IF(AF868&gt;0,B868,"")</x:f>
      </x:c>
      <x:c r="AH868" s="9" t="n">
        <x:f>IF(F868&gt;=1,1,(1+tun_LowTiesShare*(AE868-1))/AE868)</x:f>
        <x:v>1</x:v>
      </x:c>
      <x:c r="AI868" s="32" t="n">
        <x:f>(Z868+tun_ElderCommons*INDEX(LM_Elder,G868)*AA868)*AH868</x:f>
        <x:v>238215.0665857503</x:v>
      </x:c>
      <x:c r="AJ868" s="32" t="n">
        <x:f>H868*tun_CommonsCoef*AI868^tun_CommonsExp*INDEX(LM_Commons,G868)</x:f>
        <x:v>0</x:v>
      </x:c>
      <x:c r="AK868" s="32" t="n">
        <x:f>H868*tun_RoleScale*Arch_Roles*(AE868*(INDEX(tun_ElderRolePerSett,G868)*tun_OutElder*INDEX(LM_Elder,G868)+INDEX(tun_ShamanPerSett,G868)*tun_OutShaman)+Z868*(INDEX(tun_PriestShare,G868)*tun_OutPriest+INDEX(tun_ScribeShare,G868)*tun_OutScribe*INDEX(LM_Scribe,G868)+INDEX(tun_ScholarShare,G868)*tun_OutScholar*INDEX(LM_Scholar,G868)+INDEX(tun_ResearcherShare,G868)*tun_OutResearcher*INDEX(LM_Researcher,G868)))</x:f>
        <x:v>0</x:v>
      </x:c>
      <x:c r="AL868" s="32" t="n">
        <x:f>H868*tun_RoleScale*Arch_Roles*AE868*INDEX(tun_MonasteryPerSett,G868)*tun_OutMonastery*INDEX(LM_Monastery,G868)</x:f>
        <x:v>0</x:v>
      </x:c>
      <x:c r="AM868" s="32" t="n">
        <x:f>(AJ868+AK868+AL868)/4*INDEX(LM_All,G868)*INDEX(tun_Boon,G868)*Arch_Insight</x:f>
        <x:v>0</x:v>
      </x:c>
      <x:c r="AN868" s="32" t="n">
        <x:f>H868*(tun_KHPerAdult*Z868+tun_KHOfCommons*AJ868/4*INDEX(LM_All,G868))*tun_KHUsable*Arch_KH</x:f>
        <x:v>0</x:v>
      </x:c>
      <x:c r="AO868" s="32" t="n">
        <x:f>MIN(AP867+AN868,AM868*tun_KHMaxRatio)</x:f>
        <x:v>0</x:v>
      </x:c>
      <x:c r="AP868" s="32" t="n">
        <x:f>AP867+AN868-AO868</x:f>
        <x:v>0</x:v>
      </x:c>
      <x:c r="AQ868" s="32" t="n">
        <x:f>AM868+AO868</x:f>
        <x:v>0</x:v>
      </x:c>
      <x:c r="AR868" s="10" t="n">
        <x:f>IF(H868=1,INDEX(tun_Req,G868),0)</x:f>
        <x:v>0</x:v>
      </x:c>
      <x:c r="AS868" s="32" t="n">
        <x:f>IF(H868=1,IF(E868=1,AS867-AR867,AS867)+AQ868,0)</x:f>
        <x:v>0</x:v>
      </x:c>
      <x:c r="AT868" s="11" t="n">
        <x:f>IF(AR868&gt;0,MIN(1,AS868/AR868),1)</x:f>
        <x:v>1</x:v>
      </x:c>
      <x:c r="AU868" s="10" t="n">
        <x:f>AB868/INDEX(tun_RepScale,G868)</x:f>
        <x:v>290.3368848566301</x:v>
      </x:c>
      <x:c r="AV868" s="32" t="n">
        <x:f>AM868*60/tun_SeasonSeconds</x:f>
        <x:v>0</x:v>
      </x:c>
    </x:row>
    <x:row r="869">
      <x:c r="A869" s="8" t="n">
        <x:f>A868+1</x:f>
        <x:v>866</x:v>
      </x:c>
      <x:c r="B869" s="9" t="n">
        <x:f>A869*tun_SeasonSeconds/60</x:f>
        <x:v>216.5</x:v>
      </x:c>
      <x:c r="C869" s="9" t="n">
        <x:f>A869/4</x:f>
        <x:v>216.5</x:v>
      </x:c>
      <x:c r="D869" s="8" t="n">
        <x:f>IF(MOD(A869,4)=0,1,0)</x:f>
        <x:v>0</x:v>
      </x:c>
      <x:c r="E869" s="8" t="n">
        <x:f>IF(AND(F868&lt;=9,AS868&gt;=AR868),1,0)</x:f>
        <x:v>0</x:v>
      </x:c>
      <x:c r="F869" s="8" t="n">
        <x:f>MIN(10,F868+E869)</x:f>
        <x:v>10</x:v>
      </x:c>
      <x:c r="G869" s="8" t="n">
        <x:f>MIN(F869,9)+1</x:f>
        <x:v>10</x:v>
      </x:c>
      <x:c r="H869" s="8" t="n">
        <x:f>IF(F869&lt;=9,1,0)</x:f>
        <x:v>0</x:v>
      </x:c>
      <x:c r="I869" s="9" t="n">
        <x:f>MIN(10,F868+IF(AR868&gt;0,MIN(1,AS868/AR868),1))</x:f>
        <x:v>10</x:v>
      </x:c>
      <x:c r="J869" s="32" t="n">
        <x:f>INDEX(tun_FoodCap,G869)*Arch_FoodCap*EXP(tun_CapsByProject*SUMPRODUCT((Cap_Point&lt;=I869)*(Cap_Kind="Food")*Cap_Ln))</x:f>
        <x:v>18627.260449441455</x:v>
      </x:c>
      <x:c r="K869" s="32" t="n">
        <x:f>J869*MIN(1,tun_LeanBase*EXP(tun_CapsByProject*SUMPRODUCT((Cap_Point&lt;=I869)*(Cap_Kind="Lean")*Cap_Ln)))</x:f>
        <x:v>18627.260449441455</x:v>
      </x:c>
      <x:c r="L869" s="10" t="n">
        <x:f>INDEX(tun_HousingCap,G869)*EXP(tun_CapsByProject*SUMPRODUCT((Cap_Point&lt;=I869)*(Cap_Kind="Housing")*Cap_Ln))</x:f>
        <x:v>20528.974303173167</x:v>
      </x:c>
      <x:c r="M869" s="10" t="n">
        <x:f>INDEX(tun_GroupCap,G869)*tun_CohesionFactor*EXP(tun_CapsByProject*SUMPRODUCT((Cap_Point&lt;=I869)*(Cap_Kind="Group")*Cap_Ln))</x:f>
        <x:v>1000000.000000001</x:v>
      </x:c>
      <x:c r="N869" s="32" t="n">
        <x:f>MIN(J869,L869,M869)</x:f>
        <x:v>18627.260449441455</x:v>
      </x:c>
      <x:c r="O869" s="10" t="n">
        <x:f>AE868*N869</x:f>
        <x:v>167645.34404497308</x:v>
      </x:c>
      <x:c r="P869" s="9" t="n">
        <x:f>MIN(1,(AB868/(AE868*IF(tun_GroupInCrowding=1,N869,MIN(J869,L869))))^tun_CrowdingExp)</x:f>
        <x:v>0.4215841981292809</x:v>
      </x:c>
      <x:c r="Q869" s="9" t="n">
        <x:f>IF(D869=1,INDEX(tun_WinterMult,G869),1)</x:f>
        <x:v>1</x:v>
      </x:c>
      <x:c r="R869" s="9" t="n">
        <x:f>H869*Z868*tun_WomenShare*tun_BaseFertility*INDEX(tun_FertMult,G869)*Arch_Fertility*(1-P869)</x:f>
        <x:v>0</x:v>
      </x:c>
      <x:c r="S869" s="9" t="n">
        <x:f>H869*Y868*INDEX(tun_MortChild,G869)/4*Q869</x:f>
        <x:v>0</x:v>
      </x:c>
      <x:c r="T869" s="9" t="n">
        <x:f>H869*Z868*INDEX(tun_MortAdult,G869)*Arch_AdultMort/4*Q869</x:f>
        <x:v>0</x:v>
      </x:c>
      <x:c r="U869" s="9" t="n">
        <x:f>H869*AA868*INDEX(tun_MortElder,G869)/4*Q869</x:f>
        <x:v>0</x:v>
      </x:c>
      <x:c r="V869" s="9" t="n">
        <x:f>H869*MAX(0,AB868-O869)*tun_OvercapLoss</x:f>
        <x:v>0</x:v>
      </x:c>
      <x:c r="W869" s="9" t="n">
        <x:f>H869*Y868/(tun_ChildYears*4)</x:f>
        <x:v>0</x:v>
      </x:c>
      <x:c r="X869" s="9" t="n">
        <x:f>H869*Z868/(tun_AdultYears*4)</x:f>
        <x:v>0</x:v>
      </x:c>
      <x:c r="Y869" s="32" t="n">
        <x:f>Y868+R869-S869-W869-Y868*V869/AB868</x:f>
        <x:v>40496.20709015643</x:v>
      </x:c>
      <x:c r="Z869" s="32" t="n">
        <x:f>Z868+W869-X869-T869-Z868*V869/AB868</x:f>
        <x:v>59141.61122890803</x:v>
      </x:c>
      <x:c r="AA869" s="32" t="n">
        <x:f>AA868+X869-U869-AA868*V869/AB868</x:f>
        <x:v>45530.62410925061</x:v>
      </x:c>
      <x:c r="AB869" s="10" t="n">
        <x:f>Y869+Z869+AA869</x:f>
        <x:v>145168.44242831506</x:v>
      </x:c>
      <x:c r="AC869" s="8" t="n">
        <x:f>IF(AND(tun_WinterTrigger=1,D869=1,AB868/AE868&gt;=K869),1,0)</x:f>
        <x:v>0</x:v>
      </x:c>
      <x:c r="AD869" s="8" t="n">
        <x:f>H869*IF(AND(OR(AB868/AE868&gt;=tun_FissionTrigger*N869,AC869=1),AB868/AE868*tun_DaughterShare&gt;=tun_MinDaughter),MAX(1,ROUND(AE868*tun_FissionRate,0)),0)</x:f>
        <x:v>0</x:v>
      </x:c>
      <x:c r="AE869" s="8" t="n">
        <x:f>IF(H869=1,MAX(1,MIN(INDEX(tun_Smax,G869),AE868+AD869)),AE868)</x:f>
        <x:v>9</x:v>
      </x:c>
      <x:c r="AF869" s="8" t="n">
        <x:f>MAX(0,AE869-AE868)</x:f>
        <x:v>0</x:v>
      </x:c>
      <x:c r="AG869" s="9" t="str">
        <x:f>IF(AF869&gt;0,B869,"")</x:f>
      </x:c>
      <x:c r="AH869" s="9" t="n">
        <x:f>IF(F869&gt;=1,1,(1+tun_LowTiesShare*(AE869-1))/AE869)</x:f>
        <x:v>1</x:v>
      </x:c>
      <x:c r="AI869" s="32" t="n">
        <x:f>(Z869+tun_ElderCommons*INDEX(LM_Elder,G869)*AA869)*AH869</x:f>
        <x:v>238215.0665857503</x:v>
      </x:c>
      <x:c r="AJ869" s="32" t="n">
        <x:f>H869*tun_CommonsCoef*AI869^tun_CommonsExp*INDEX(LM_Commons,G869)</x:f>
        <x:v>0</x:v>
      </x:c>
      <x:c r="AK869" s="32" t="n">
        <x:f>H869*tun_RoleScale*Arch_Roles*(AE869*(INDEX(tun_ElderRolePerSett,G869)*tun_OutElder*INDEX(LM_Elder,G869)+INDEX(tun_ShamanPerSett,G869)*tun_OutShaman)+Z869*(INDEX(tun_PriestShare,G869)*tun_OutPriest+INDEX(tun_ScribeShare,G869)*tun_OutScribe*INDEX(LM_Scribe,G869)+INDEX(tun_ScholarShare,G869)*tun_OutScholar*INDEX(LM_Scholar,G869)+INDEX(tun_ResearcherShare,G869)*tun_OutResearcher*INDEX(LM_Researcher,G869)))</x:f>
        <x:v>0</x:v>
      </x:c>
      <x:c r="AL869" s="32" t="n">
        <x:f>H869*tun_RoleScale*Arch_Roles*AE869*INDEX(tun_MonasteryPerSett,G869)*tun_OutMonastery*INDEX(LM_Monastery,G869)</x:f>
        <x:v>0</x:v>
      </x:c>
      <x:c r="AM869" s="32" t="n">
        <x:f>(AJ869+AK869+AL869)/4*INDEX(LM_All,G869)*INDEX(tun_Boon,G869)*Arch_Insight</x:f>
        <x:v>0</x:v>
      </x:c>
      <x:c r="AN869" s="32" t="n">
        <x:f>H869*(tun_KHPerAdult*Z869+tun_KHOfCommons*AJ869/4*INDEX(LM_All,G869))*tun_KHUsable*Arch_KH</x:f>
        <x:v>0</x:v>
      </x:c>
      <x:c r="AO869" s="32" t="n">
        <x:f>MIN(AP868+AN869,AM869*tun_KHMaxRatio)</x:f>
        <x:v>0</x:v>
      </x:c>
      <x:c r="AP869" s="32" t="n">
        <x:f>AP868+AN869-AO869</x:f>
        <x:v>0</x:v>
      </x:c>
      <x:c r="AQ869" s="32" t="n">
        <x:f>AM869+AO869</x:f>
        <x:v>0</x:v>
      </x:c>
      <x:c r="AR869" s="10" t="n">
        <x:f>IF(H869=1,INDEX(tun_Req,G869),0)</x:f>
        <x:v>0</x:v>
      </x:c>
      <x:c r="AS869" s="32" t="n">
        <x:f>IF(H869=1,IF(E869=1,AS868-AR868,AS868)+AQ869,0)</x:f>
        <x:v>0</x:v>
      </x:c>
      <x:c r="AT869" s="11" t="n">
        <x:f>IF(AR869&gt;0,MIN(1,AS869/AR869),1)</x:f>
        <x:v>1</x:v>
      </x:c>
      <x:c r="AU869" s="10" t="n">
        <x:f>AB869/INDEX(tun_RepScale,G869)</x:f>
        <x:v>290.3368848566301</x:v>
      </x:c>
      <x:c r="AV869" s="32" t="n">
        <x:f>AM869*60/tun_SeasonSeconds</x:f>
        <x:v>0</x:v>
      </x:c>
    </x:row>
    <x:row r="870">
      <x:c r="A870" s="8" t="n">
        <x:f>A869+1</x:f>
        <x:v>867</x:v>
      </x:c>
      <x:c r="B870" s="9" t="n">
        <x:f>A870*tun_SeasonSeconds/60</x:f>
        <x:v>216.75</x:v>
      </x:c>
      <x:c r="C870" s="9" t="n">
        <x:f>A870/4</x:f>
        <x:v>216.75</x:v>
      </x:c>
      <x:c r="D870" s="8" t="n">
        <x:f>IF(MOD(A870,4)=0,1,0)</x:f>
        <x:v>0</x:v>
      </x:c>
      <x:c r="E870" s="8" t="n">
        <x:f>IF(AND(F869&lt;=9,AS869&gt;=AR869),1,0)</x:f>
        <x:v>0</x:v>
      </x:c>
      <x:c r="F870" s="8" t="n">
        <x:f>MIN(10,F869+E870)</x:f>
        <x:v>10</x:v>
      </x:c>
      <x:c r="G870" s="8" t="n">
        <x:f>MIN(F870,9)+1</x:f>
        <x:v>10</x:v>
      </x:c>
      <x:c r="H870" s="8" t="n">
        <x:f>IF(F870&lt;=9,1,0)</x:f>
        <x:v>0</x:v>
      </x:c>
      <x:c r="I870" s="9" t="n">
        <x:f>MIN(10,F869+IF(AR869&gt;0,MIN(1,AS869/AR869),1))</x:f>
        <x:v>10</x:v>
      </x:c>
      <x:c r="J870" s="32" t="n">
        <x:f>INDEX(tun_FoodCap,G870)*Arch_FoodCap*EXP(tun_CapsByProject*SUMPRODUCT((Cap_Point&lt;=I870)*(Cap_Kind="Food")*Cap_Ln))</x:f>
        <x:v>18627.260449441455</x:v>
      </x:c>
      <x:c r="K870" s="32" t="n">
        <x:f>J870*MIN(1,tun_LeanBase*EXP(tun_CapsByProject*SUMPRODUCT((Cap_Point&lt;=I870)*(Cap_Kind="Lean")*Cap_Ln)))</x:f>
        <x:v>18627.260449441455</x:v>
      </x:c>
      <x:c r="L870" s="10" t="n">
        <x:f>INDEX(tun_HousingCap,G870)*EXP(tun_CapsByProject*SUMPRODUCT((Cap_Point&lt;=I870)*(Cap_Kind="Housing")*Cap_Ln))</x:f>
        <x:v>20528.974303173167</x:v>
      </x:c>
      <x:c r="M870" s="10" t="n">
        <x:f>INDEX(tun_GroupCap,G870)*tun_CohesionFactor*EXP(tun_CapsByProject*SUMPRODUCT((Cap_Point&lt;=I870)*(Cap_Kind="Group")*Cap_Ln))</x:f>
        <x:v>1000000.000000001</x:v>
      </x:c>
      <x:c r="N870" s="32" t="n">
        <x:f>MIN(J870,L870,M870)</x:f>
        <x:v>18627.260449441455</x:v>
      </x:c>
      <x:c r="O870" s="10" t="n">
        <x:f>AE869*N870</x:f>
        <x:v>167645.34404497308</x:v>
      </x:c>
      <x:c r="P870" s="9" t="n">
        <x:f>MIN(1,(AB869/(AE869*IF(tun_GroupInCrowding=1,N870,MIN(J870,L870))))^tun_CrowdingExp)</x:f>
        <x:v>0.4215841981292809</x:v>
      </x:c>
      <x:c r="Q870" s="9" t="n">
        <x:f>IF(D870=1,INDEX(tun_WinterMult,G870),1)</x:f>
        <x:v>1</x:v>
      </x:c>
      <x:c r="R870" s="9" t="n">
        <x:f>H870*Z869*tun_WomenShare*tun_BaseFertility*INDEX(tun_FertMult,G870)*Arch_Fertility*(1-P870)</x:f>
        <x:v>0</x:v>
      </x:c>
      <x:c r="S870" s="9" t="n">
        <x:f>H870*Y869*INDEX(tun_MortChild,G870)/4*Q870</x:f>
        <x:v>0</x:v>
      </x:c>
      <x:c r="T870" s="9" t="n">
        <x:f>H870*Z869*INDEX(tun_MortAdult,G870)*Arch_AdultMort/4*Q870</x:f>
        <x:v>0</x:v>
      </x:c>
      <x:c r="U870" s="9" t="n">
        <x:f>H870*AA869*INDEX(tun_MortElder,G870)/4*Q870</x:f>
        <x:v>0</x:v>
      </x:c>
      <x:c r="V870" s="9" t="n">
        <x:f>H870*MAX(0,AB869-O870)*tun_OvercapLoss</x:f>
        <x:v>0</x:v>
      </x:c>
      <x:c r="W870" s="9" t="n">
        <x:f>H870*Y869/(tun_ChildYears*4)</x:f>
        <x:v>0</x:v>
      </x:c>
      <x:c r="X870" s="9" t="n">
        <x:f>H870*Z869/(tun_AdultYears*4)</x:f>
        <x:v>0</x:v>
      </x:c>
      <x:c r="Y870" s="32" t="n">
        <x:f>Y869+R870-S870-W870-Y869*V870/AB869</x:f>
        <x:v>40496.20709015643</x:v>
      </x:c>
      <x:c r="Z870" s="32" t="n">
        <x:f>Z869+W870-X870-T870-Z869*V870/AB869</x:f>
        <x:v>59141.61122890803</x:v>
      </x:c>
      <x:c r="AA870" s="32" t="n">
        <x:f>AA869+X870-U870-AA869*V870/AB869</x:f>
        <x:v>45530.62410925061</x:v>
      </x:c>
      <x:c r="AB870" s="10" t="n">
        <x:f>Y870+Z870+AA870</x:f>
        <x:v>145168.44242831506</x:v>
      </x:c>
      <x:c r="AC870" s="8" t="n">
        <x:f>IF(AND(tun_WinterTrigger=1,D870=1,AB869/AE869&gt;=K870),1,0)</x:f>
        <x:v>0</x:v>
      </x:c>
      <x:c r="AD870" s="8" t="n">
        <x:f>H870*IF(AND(OR(AB869/AE869&gt;=tun_FissionTrigger*N870,AC870=1),AB869/AE869*tun_DaughterShare&gt;=tun_MinDaughter),MAX(1,ROUND(AE869*tun_FissionRate,0)),0)</x:f>
        <x:v>0</x:v>
      </x:c>
      <x:c r="AE870" s="8" t="n">
        <x:f>IF(H870=1,MAX(1,MIN(INDEX(tun_Smax,G870),AE869+AD870)),AE869)</x:f>
        <x:v>9</x:v>
      </x:c>
      <x:c r="AF870" s="8" t="n">
        <x:f>MAX(0,AE870-AE869)</x:f>
        <x:v>0</x:v>
      </x:c>
      <x:c r="AG870" s="9" t="str">
        <x:f>IF(AF870&gt;0,B870,"")</x:f>
      </x:c>
      <x:c r="AH870" s="9" t="n">
        <x:f>IF(F870&gt;=1,1,(1+tun_LowTiesShare*(AE870-1))/AE870)</x:f>
        <x:v>1</x:v>
      </x:c>
      <x:c r="AI870" s="32" t="n">
        <x:f>(Z870+tun_ElderCommons*INDEX(LM_Elder,G870)*AA870)*AH870</x:f>
        <x:v>238215.0665857503</x:v>
      </x:c>
      <x:c r="AJ870" s="32" t="n">
        <x:f>H870*tun_CommonsCoef*AI870^tun_CommonsExp*INDEX(LM_Commons,G870)</x:f>
        <x:v>0</x:v>
      </x:c>
      <x:c r="AK870" s="32" t="n">
        <x:f>H870*tun_RoleScale*Arch_Roles*(AE870*(INDEX(tun_ElderRolePerSett,G870)*tun_OutElder*INDEX(LM_Elder,G870)+INDEX(tun_ShamanPerSett,G870)*tun_OutShaman)+Z870*(INDEX(tun_PriestShare,G870)*tun_OutPriest+INDEX(tun_ScribeShare,G870)*tun_OutScribe*INDEX(LM_Scribe,G870)+INDEX(tun_ScholarShare,G870)*tun_OutScholar*INDEX(LM_Scholar,G870)+INDEX(tun_ResearcherShare,G870)*tun_OutResearcher*INDEX(LM_Researcher,G870)))</x:f>
        <x:v>0</x:v>
      </x:c>
      <x:c r="AL870" s="32" t="n">
        <x:f>H870*tun_RoleScale*Arch_Roles*AE870*INDEX(tun_MonasteryPerSett,G870)*tun_OutMonastery*INDEX(LM_Monastery,G870)</x:f>
        <x:v>0</x:v>
      </x:c>
      <x:c r="AM870" s="32" t="n">
        <x:f>(AJ870+AK870+AL870)/4*INDEX(LM_All,G870)*INDEX(tun_Boon,G870)*Arch_Insight</x:f>
        <x:v>0</x:v>
      </x:c>
      <x:c r="AN870" s="32" t="n">
        <x:f>H870*(tun_KHPerAdult*Z870+tun_KHOfCommons*AJ870/4*INDEX(LM_All,G870))*tun_KHUsable*Arch_KH</x:f>
        <x:v>0</x:v>
      </x:c>
      <x:c r="AO870" s="32" t="n">
        <x:f>MIN(AP869+AN870,AM870*tun_KHMaxRatio)</x:f>
        <x:v>0</x:v>
      </x:c>
      <x:c r="AP870" s="32" t="n">
        <x:f>AP869+AN870-AO870</x:f>
        <x:v>0</x:v>
      </x:c>
      <x:c r="AQ870" s="32" t="n">
        <x:f>AM870+AO870</x:f>
        <x:v>0</x:v>
      </x:c>
      <x:c r="AR870" s="10" t="n">
        <x:f>IF(H870=1,INDEX(tun_Req,G870),0)</x:f>
        <x:v>0</x:v>
      </x:c>
      <x:c r="AS870" s="32" t="n">
        <x:f>IF(H870=1,IF(E870=1,AS869-AR869,AS869)+AQ870,0)</x:f>
        <x:v>0</x:v>
      </x:c>
      <x:c r="AT870" s="11" t="n">
        <x:f>IF(AR870&gt;0,MIN(1,AS870/AR870),1)</x:f>
        <x:v>1</x:v>
      </x:c>
      <x:c r="AU870" s="10" t="n">
        <x:f>AB870/INDEX(tun_RepScale,G870)</x:f>
        <x:v>290.3368848566301</x:v>
      </x:c>
      <x:c r="AV870" s="32" t="n">
        <x:f>AM870*60/tun_SeasonSeconds</x:f>
        <x:v>0</x:v>
      </x:c>
    </x:row>
    <x:row r="871">
      <x:c r="A871" s="8" t="n">
        <x:f>A870+1</x:f>
        <x:v>868</x:v>
      </x:c>
      <x:c r="B871" s="9" t="n">
        <x:f>A871*tun_SeasonSeconds/60</x:f>
        <x:v>217</x:v>
      </x:c>
      <x:c r="C871" s="9" t="n">
        <x:f>A871/4</x:f>
        <x:v>217</x:v>
      </x:c>
      <x:c r="D871" s="8" t="n">
        <x:f>IF(MOD(A871,4)=0,1,0)</x:f>
        <x:v>1</x:v>
      </x:c>
      <x:c r="E871" s="8" t="n">
        <x:f>IF(AND(F870&lt;=9,AS870&gt;=AR870),1,0)</x:f>
        <x:v>0</x:v>
      </x:c>
      <x:c r="F871" s="8" t="n">
        <x:f>MIN(10,F870+E871)</x:f>
        <x:v>10</x:v>
      </x:c>
      <x:c r="G871" s="8" t="n">
        <x:f>MIN(F871,9)+1</x:f>
        <x:v>10</x:v>
      </x:c>
      <x:c r="H871" s="8" t="n">
        <x:f>IF(F871&lt;=9,1,0)</x:f>
        <x:v>0</x:v>
      </x:c>
      <x:c r="I871" s="9" t="n">
        <x:f>MIN(10,F870+IF(AR870&gt;0,MIN(1,AS870/AR870),1))</x:f>
        <x:v>10</x:v>
      </x:c>
      <x:c r="J871" s="32" t="n">
        <x:f>INDEX(tun_FoodCap,G871)*Arch_FoodCap*EXP(tun_CapsByProject*SUMPRODUCT((Cap_Point&lt;=I871)*(Cap_Kind="Food")*Cap_Ln))</x:f>
        <x:v>18627.260449441455</x:v>
      </x:c>
      <x:c r="K871" s="32" t="n">
        <x:f>J871*MIN(1,tun_LeanBase*EXP(tun_CapsByProject*SUMPRODUCT((Cap_Point&lt;=I871)*(Cap_Kind="Lean")*Cap_Ln)))</x:f>
        <x:v>18627.260449441455</x:v>
      </x:c>
      <x:c r="L871" s="10" t="n">
        <x:f>INDEX(tun_HousingCap,G871)*EXP(tun_CapsByProject*SUMPRODUCT((Cap_Point&lt;=I871)*(Cap_Kind="Housing")*Cap_Ln))</x:f>
        <x:v>20528.974303173167</x:v>
      </x:c>
      <x:c r="M871" s="10" t="n">
        <x:f>INDEX(tun_GroupCap,G871)*tun_CohesionFactor*EXP(tun_CapsByProject*SUMPRODUCT((Cap_Point&lt;=I871)*(Cap_Kind="Group")*Cap_Ln))</x:f>
        <x:v>1000000.000000001</x:v>
      </x:c>
      <x:c r="N871" s="32" t="n">
        <x:f>MIN(J871,L871,M871)</x:f>
        <x:v>18627.260449441455</x:v>
      </x:c>
      <x:c r="O871" s="10" t="n">
        <x:f>AE870*N871</x:f>
        <x:v>167645.34404497308</x:v>
      </x:c>
      <x:c r="P871" s="9" t="n">
        <x:f>MIN(1,(AB870/(AE870*IF(tun_GroupInCrowding=1,N871,MIN(J871,L871))))^tun_CrowdingExp)</x:f>
        <x:v>0.4215841981292809</x:v>
      </x:c>
      <x:c r="Q871" s="9" t="n">
        <x:f>IF(D871=1,INDEX(tun_WinterMult,G871),1)</x:f>
        <x:v>1.05</x:v>
      </x:c>
      <x:c r="R871" s="9" t="n">
        <x:f>H871*Z870*tun_WomenShare*tun_BaseFertility*INDEX(tun_FertMult,G871)*Arch_Fertility*(1-P871)</x:f>
        <x:v>0</x:v>
      </x:c>
      <x:c r="S871" s="9" t="n">
        <x:f>H871*Y870*INDEX(tun_MortChild,G871)/4*Q871</x:f>
        <x:v>0</x:v>
      </x:c>
      <x:c r="T871" s="9" t="n">
        <x:f>H871*Z870*INDEX(tun_MortAdult,G871)*Arch_AdultMort/4*Q871</x:f>
        <x:v>0</x:v>
      </x:c>
      <x:c r="U871" s="9" t="n">
        <x:f>H871*AA870*INDEX(tun_MortElder,G871)/4*Q871</x:f>
        <x:v>0</x:v>
      </x:c>
      <x:c r="V871" s="9" t="n">
        <x:f>H871*MAX(0,AB870-O871)*tun_OvercapLoss</x:f>
        <x:v>0</x:v>
      </x:c>
      <x:c r="W871" s="9" t="n">
        <x:f>H871*Y870/(tun_ChildYears*4)</x:f>
        <x:v>0</x:v>
      </x:c>
      <x:c r="X871" s="9" t="n">
        <x:f>H871*Z870/(tun_AdultYears*4)</x:f>
        <x:v>0</x:v>
      </x:c>
      <x:c r="Y871" s="32" t="n">
        <x:f>Y870+R871-S871-W871-Y870*V871/AB870</x:f>
        <x:v>40496.20709015643</x:v>
      </x:c>
      <x:c r="Z871" s="32" t="n">
        <x:f>Z870+W871-X871-T871-Z870*V871/AB870</x:f>
        <x:v>59141.61122890803</x:v>
      </x:c>
      <x:c r="AA871" s="32" t="n">
        <x:f>AA870+X871-U871-AA870*V871/AB870</x:f>
        <x:v>45530.62410925061</x:v>
      </x:c>
      <x:c r="AB871" s="10" t="n">
        <x:f>Y871+Z871+AA871</x:f>
        <x:v>145168.44242831506</x:v>
      </x:c>
      <x:c r="AC871" s="8" t="n">
        <x:f>IF(AND(tun_WinterTrigger=1,D871=1,AB870/AE870&gt;=K871),1,0)</x:f>
        <x:v>0</x:v>
      </x:c>
      <x:c r="AD871" s="8" t="n">
        <x:f>H871*IF(AND(OR(AB870/AE870&gt;=tun_FissionTrigger*N871,AC871=1),AB870/AE870*tun_DaughterShare&gt;=tun_MinDaughter),MAX(1,ROUND(AE870*tun_FissionRate,0)),0)</x:f>
        <x:v>0</x:v>
      </x:c>
      <x:c r="AE871" s="8" t="n">
        <x:f>IF(H871=1,MAX(1,MIN(INDEX(tun_Smax,G871),AE870+AD871)),AE870)</x:f>
        <x:v>9</x:v>
      </x:c>
      <x:c r="AF871" s="8" t="n">
        <x:f>MAX(0,AE871-AE870)</x:f>
        <x:v>0</x:v>
      </x:c>
      <x:c r="AG871" s="9" t="str">
        <x:f>IF(AF871&gt;0,B871,"")</x:f>
      </x:c>
      <x:c r="AH871" s="9" t="n">
        <x:f>IF(F871&gt;=1,1,(1+tun_LowTiesShare*(AE871-1))/AE871)</x:f>
        <x:v>1</x:v>
      </x:c>
      <x:c r="AI871" s="32" t="n">
        <x:f>(Z871+tun_ElderCommons*INDEX(LM_Elder,G871)*AA871)*AH871</x:f>
        <x:v>238215.0665857503</x:v>
      </x:c>
      <x:c r="AJ871" s="32" t="n">
        <x:f>H871*tun_CommonsCoef*AI871^tun_CommonsExp*INDEX(LM_Commons,G871)</x:f>
        <x:v>0</x:v>
      </x:c>
      <x:c r="AK871" s="32" t="n">
        <x:f>H871*tun_RoleScale*Arch_Roles*(AE871*(INDEX(tun_ElderRolePerSett,G871)*tun_OutElder*INDEX(LM_Elder,G871)+INDEX(tun_ShamanPerSett,G871)*tun_OutShaman)+Z871*(INDEX(tun_PriestShare,G871)*tun_OutPriest+INDEX(tun_ScribeShare,G871)*tun_OutScribe*INDEX(LM_Scribe,G871)+INDEX(tun_ScholarShare,G871)*tun_OutScholar*INDEX(LM_Scholar,G871)+INDEX(tun_ResearcherShare,G871)*tun_OutResearcher*INDEX(LM_Researcher,G871)))</x:f>
        <x:v>0</x:v>
      </x:c>
      <x:c r="AL871" s="32" t="n">
        <x:f>H871*tun_RoleScale*Arch_Roles*AE871*INDEX(tun_MonasteryPerSett,G871)*tun_OutMonastery*INDEX(LM_Monastery,G871)</x:f>
        <x:v>0</x:v>
      </x:c>
      <x:c r="AM871" s="32" t="n">
        <x:f>(AJ871+AK871+AL871)/4*INDEX(LM_All,G871)*INDEX(tun_Boon,G871)*Arch_Insight</x:f>
        <x:v>0</x:v>
      </x:c>
      <x:c r="AN871" s="32" t="n">
        <x:f>H871*(tun_KHPerAdult*Z871+tun_KHOfCommons*AJ871/4*INDEX(LM_All,G871))*tun_KHUsable*Arch_KH</x:f>
        <x:v>0</x:v>
      </x:c>
      <x:c r="AO871" s="32" t="n">
        <x:f>MIN(AP870+AN871,AM871*tun_KHMaxRatio)</x:f>
        <x:v>0</x:v>
      </x:c>
      <x:c r="AP871" s="32" t="n">
        <x:f>AP870+AN871-AO871</x:f>
        <x:v>0</x:v>
      </x:c>
      <x:c r="AQ871" s="32" t="n">
        <x:f>AM871+AO871</x:f>
        <x:v>0</x:v>
      </x:c>
      <x:c r="AR871" s="10" t="n">
        <x:f>IF(H871=1,INDEX(tun_Req,G871),0)</x:f>
        <x:v>0</x:v>
      </x:c>
      <x:c r="AS871" s="32" t="n">
        <x:f>IF(H871=1,IF(E871=1,AS870-AR870,AS870)+AQ871,0)</x:f>
        <x:v>0</x:v>
      </x:c>
      <x:c r="AT871" s="11" t="n">
        <x:f>IF(AR871&gt;0,MIN(1,AS871/AR871),1)</x:f>
        <x:v>1</x:v>
      </x:c>
      <x:c r="AU871" s="10" t="n">
        <x:f>AB871/INDEX(tun_RepScale,G871)</x:f>
        <x:v>290.3368848566301</x:v>
      </x:c>
      <x:c r="AV871" s="32" t="n">
        <x:f>AM871*60/tun_SeasonSeconds</x:f>
        <x:v>0</x:v>
      </x:c>
    </x:row>
    <x:row r="872">
      <x:c r="A872" s="8" t="n">
        <x:f>A871+1</x:f>
        <x:v>869</x:v>
      </x:c>
      <x:c r="B872" s="9" t="n">
        <x:f>A872*tun_SeasonSeconds/60</x:f>
        <x:v>217.25</x:v>
      </x:c>
      <x:c r="C872" s="9" t="n">
        <x:f>A872/4</x:f>
        <x:v>217.25</x:v>
      </x:c>
      <x:c r="D872" s="8" t="n">
        <x:f>IF(MOD(A872,4)=0,1,0)</x:f>
        <x:v>0</x:v>
      </x:c>
      <x:c r="E872" s="8" t="n">
        <x:f>IF(AND(F871&lt;=9,AS871&gt;=AR871),1,0)</x:f>
        <x:v>0</x:v>
      </x:c>
      <x:c r="F872" s="8" t="n">
        <x:f>MIN(10,F871+E872)</x:f>
        <x:v>10</x:v>
      </x:c>
      <x:c r="G872" s="8" t="n">
        <x:f>MIN(F872,9)+1</x:f>
        <x:v>10</x:v>
      </x:c>
      <x:c r="H872" s="8" t="n">
        <x:f>IF(F872&lt;=9,1,0)</x:f>
        <x:v>0</x:v>
      </x:c>
      <x:c r="I872" s="9" t="n">
        <x:f>MIN(10,F871+IF(AR871&gt;0,MIN(1,AS871/AR871),1))</x:f>
        <x:v>10</x:v>
      </x:c>
      <x:c r="J872" s="32" t="n">
        <x:f>INDEX(tun_FoodCap,G872)*Arch_FoodCap*EXP(tun_CapsByProject*SUMPRODUCT((Cap_Point&lt;=I872)*(Cap_Kind="Food")*Cap_Ln))</x:f>
        <x:v>18627.260449441455</x:v>
      </x:c>
      <x:c r="K872" s="32" t="n">
        <x:f>J872*MIN(1,tun_LeanBase*EXP(tun_CapsByProject*SUMPRODUCT((Cap_Point&lt;=I872)*(Cap_Kind="Lean")*Cap_Ln)))</x:f>
        <x:v>18627.260449441455</x:v>
      </x:c>
      <x:c r="L872" s="10" t="n">
        <x:f>INDEX(tun_HousingCap,G872)*EXP(tun_CapsByProject*SUMPRODUCT((Cap_Point&lt;=I872)*(Cap_Kind="Housing")*Cap_Ln))</x:f>
        <x:v>20528.974303173167</x:v>
      </x:c>
      <x:c r="M872" s="10" t="n">
        <x:f>INDEX(tun_GroupCap,G872)*tun_CohesionFactor*EXP(tun_CapsByProject*SUMPRODUCT((Cap_Point&lt;=I872)*(Cap_Kind="Group")*Cap_Ln))</x:f>
        <x:v>1000000.000000001</x:v>
      </x:c>
      <x:c r="N872" s="32" t="n">
        <x:f>MIN(J872,L872,M872)</x:f>
        <x:v>18627.260449441455</x:v>
      </x:c>
      <x:c r="O872" s="10" t="n">
        <x:f>AE871*N872</x:f>
        <x:v>167645.34404497308</x:v>
      </x:c>
      <x:c r="P872" s="9" t="n">
        <x:f>MIN(1,(AB871/(AE871*IF(tun_GroupInCrowding=1,N872,MIN(J872,L872))))^tun_CrowdingExp)</x:f>
        <x:v>0.4215841981292809</x:v>
      </x:c>
      <x:c r="Q872" s="9" t="n">
        <x:f>IF(D872=1,INDEX(tun_WinterMult,G872),1)</x:f>
        <x:v>1</x:v>
      </x:c>
      <x:c r="R872" s="9" t="n">
        <x:f>H872*Z871*tun_WomenShare*tun_BaseFertility*INDEX(tun_FertMult,G872)*Arch_Fertility*(1-P872)</x:f>
        <x:v>0</x:v>
      </x:c>
      <x:c r="S872" s="9" t="n">
        <x:f>H872*Y871*INDEX(tun_MortChild,G872)/4*Q872</x:f>
        <x:v>0</x:v>
      </x:c>
      <x:c r="T872" s="9" t="n">
        <x:f>H872*Z871*INDEX(tun_MortAdult,G872)*Arch_AdultMort/4*Q872</x:f>
        <x:v>0</x:v>
      </x:c>
      <x:c r="U872" s="9" t="n">
        <x:f>H872*AA871*INDEX(tun_MortElder,G872)/4*Q872</x:f>
        <x:v>0</x:v>
      </x:c>
      <x:c r="V872" s="9" t="n">
        <x:f>H872*MAX(0,AB871-O872)*tun_OvercapLoss</x:f>
        <x:v>0</x:v>
      </x:c>
      <x:c r="W872" s="9" t="n">
        <x:f>H872*Y871/(tun_ChildYears*4)</x:f>
        <x:v>0</x:v>
      </x:c>
      <x:c r="X872" s="9" t="n">
        <x:f>H872*Z871/(tun_AdultYears*4)</x:f>
        <x:v>0</x:v>
      </x:c>
      <x:c r="Y872" s="32" t="n">
        <x:f>Y871+R872-S872-W872-Y871*V872/AB871</x:f>
        <x:v>40496.20709015643</x:v>
      </x:c>
      <x:c r="Z872" s="32" t="n">
        <x:f>Z871+W872-X872-T872-Z871*V872/AB871</x:f>
        <x:v>59141.61122890803</x:v>
      </x:c>
      <x:c r="AA872" s="32" t="n">
        <x:f>AA871+X872-U872-AA871*V872/AB871</x:f>
        <x:v>45530.62410925061</x:v>
      </x:c>
      <x:c r="AB872" s="10" t="n">
        <x:f>Y872+Z872+AA872</x:f>
        <x:v>145168.44242831506</x:v>
      </x:c>
      <x:c r="AC872" s="8" t="n">
        <x:f>IF(AND(tun_WinterTrigger=1,D872=1,AB871/AE871&gt;=K872),1,0)</x:f>
        <x:v>0</x:v>
      </x:c>
      <x:c r="AD872" s="8" t="n">
        <x:f>H872*IF(AND(OR(AB871/AE871&gt;=tun_FissionTrigger*N872,AC872=1),AB871/AE871*tun_DaughterShare&gt;=tun_MinDaughter),MAX(1,ROUND(AE871*tun_FissionRate,0)),0)</x:f>
        <x:v>0</x:v>
      </x:c>
      <x:c r="AE872" s="8" t="n">
        <x:f>IF(H872=1,MAX(1,MIN(INDEX(tun_Smax,G872),AE871+AD872)),AE871)</x:f>
        <x:v>9</x:v>
      </x:c>
      <x:c r="AF872" s="8" t="n">
        <x:f>MAX(0,AE872-AE871)</x:f>
        <x:v>0</x:v>
      </x:c>
      <x:c r="AG872" s="9" t="str">
        <x:f>IF(AF872&gt;0,B872,"")</x:f>
      </x:c>
      <x:c r="AH872" s="9" t="n">
        <x:f>IF(F872&gt;=1,1,(1+tun_LowTiesShare*(AE872-1))/AE872)</x:f>
        <x:v>1</x:v>
      </x:c>
      <x:c r="AI872" s="32" t="n">
        <x:f>(Z872+tun_ElderCommons*INDEX(LM_Elder,G872)*AA872)*AH872</x:f>
        <x:v>238215.0665857503</x:v>
      </x:c>
      <x:c r="AJ872" s="32" t="n">
        <x:f>H872*tun_CommonsCoef*AI872^tun_CommonsExp*INDEX(LM_Commons,G872)</x:f>
        <x:v>0</x:v>
      </x:c>
      <x:c r="AK872" s="32" t="n">
        <x:f>H872*tun_RoleScale*Arch_Roles*(AE872*(INDEX(tun_ElderRolePerSett,G872)*tun_OutElder*INDEX(LM_Elder,G872)+INDEX(tun_ShamanPerSett,G872)*tun_OutShaman)+Z872*(INDEX(tun_PriestShare,G872)*tun_OutPriest+INDEX(tun_ScribeShare,G872)*tun_OutScribe*INDEX(LM_Scribe,G872)+INDEX(tun_ScholarShare,G872)*tun_OutScholar*INDEX(LM_Scholar,G872)+INDEX(tun_ResearcherShare,G872)*tun_OutResearcher*INDEX(LM_Researcher,G872)))</x:f>
        <x:v>0</x:v>
      </x:c>
      <x:c r="AL872" s="32" t="n">
        <x:f>H872*tun_RoleScale*Arch_Roles*AE872*INDEX(tun_MonasteryPerSett,G872)*tun_OutMonastery*INDEX(LM_Monastery,G872)</x:f>
        <x:v>0</x:v>
      </x:c>
      <x:c r="AM872" s="32" t="n">
        <x:f>(AJ872+AK872+AL872)/4*INDEX(LM_All,G872)*INDEX(tun_Boon,G872)*Arch_Insight</x:f>
        <x:v>0</x:v>
      </x:c>
      <x:c r="AN872" s="32" t="n">
        <x:f>H872*(tun_KHPerAdult*Z872+tun_KHOfCommons*AJ872/4*INDEX(LM_All,G872))*tun_KHUsable*Arch_KH</x:f>
        <x:v>0</x:v>
      </x:c>
      <x:c r="AO872" s="32" t="n">
        <x:f>MIN(AP871+AN872,AM872*tun_KHMaxRatio)</x:f>
        <x:v>0</x:v>
      </x:c>
      <x:c r="AP872" s="32" t="n">
        <x:f>AP871+AN872-AO872</x:f>
        <x:v>0</x:v>
      </x:c>
      <x:c r="AQ872" s="32" t="n">
        <x:f>AM872+AO872</x:f>
        <x:v>0</x:v>
      </x:c>
      <x:c r="AR872" s="10" t="n">
        <x:f>IF(H872=1,INDEX(tun_Req,G872),0)</x:f>
        <x:v>0</x:v>
      </x:c>
      <x:c r="AS872" s="32" t="n">
        <x:f>IF(H872=1,IF(E872=1,AS871-AR871,AS871)+AQ872,0)</x:f>
        <x:v>0</x:v>
      </x:c>
      <x:c r="AT872" s="11" t="n">
        <x:f>IF(AR872&gt;0,MIN(1,AS872/AR872),1)</x:f>
        <x:v>1</x:v>
      </x:c>
      <x:c r="AU872" s="10" t="n">
        <x:f>AB872/INDEX(tun_RepScale,G872)</x:f>
        <x:v>290.3368848566301</x:v>
      </x:c>
      <x:c r="AV872" s="32" t="n">
        <x:f>AM872*60/tun_SeasonSeconds</x:f>
        <x:v>0</x:v>
      </x:c>
    </x:row>
    <x:row r="873">
      <x:c r="A873" s="8" t="n">
        <x:f>A872+1</x:f>
        <x:v>870</x:v>
      </x:c>
      <x:c r="B873" s="9" t="n">
        <x:f>A873*tun_SeasonSeconds/60</x:f>
        <x:v>217.5</x:v>
      </x:c>
      <x:c r="C873" s="9" t="n">
        <x:f>A873/4</x:f>
        <x:v>217.5</x:v>
      </x:c>
      <x:c r="D873" s="8" t="n">
        <x:f>IF(MOD(A873,4)=0,1,0)</x:f>
        <x:v>0</x:v>
      </x:c>
      <x:c r="E873" s="8" t="n">
        <x:f>IF(AND(F872&lt;=9,AS872&gt;=AR872),1,0)</x:f>
        <x:v>0</x:v>
      </x:c>
      <x:c r="F873" s="8" t="n">
        <x:f>MIN(10,F872+E873)</x:f>
        <x:v>10</x:v>
      </x:c>
      <x:c r="G873" s="8" t="n">
        <x:f>MIN(F873,9)+1</x:f>
        <x:v>10</x:v>
      </x:c>
      <x:c r="H873" s="8" t="n">
        <x:f>IF(F873&lt;=9,1,0)</x:f>
        <x:v>0</x:v>
      </x:c>
      <x:c r="I873" s="9" t="n">
        <x:f>MIN(10,F872+IF(AR872&gt;0,MIN(1,AS872/AR872),1))</x:f>
        <x:v>10</x:v>
      </x:c>
      <x:c r="J873" s="32" t="n">
        <x:f>INDEX(tun_FoodCap,G873)*Arch_FoodCap*EXP(tun_CapsByProject*SUMPRODUCT((Cap_Point&lt;=I873)*(Cap_Kind="Food")*Cap_Ln))</x:f>
        <x:v>18627.260449441455</x:v>
      </x:c>
      <x:c r="K873" s="32" t="n">
        <x:f>J873*MIN(1,tun_LeanBase*EXP(tun_CapsByProject*SUMPRODUCT((Cap_Point&lt;=I873)*(Cap_Kind="Lean")*Cap_Ln)))</x:f>
        <x:v>18627.260449441455</x:v>
      </x:c>
      <x:c r="L873" s="10" t="n">
        <x:f>INDEX(tun_HousingCap,G873)*EXP(tun_CapsByProject*SUMPRODUCT((Cap_Point&lt;=I873)*(Cap_Kind="Housing")*Cap_Ln))</x:f>
        <x:v>20528.974303173167</x:v>
      </x:c>
      <x:c r="M873" s="10" t="n">
        <x:f>INDEX(tun_GroupCap,G873)*tun_CohesionFactor*EXP(tun_CapsByProject*SUMPRODUCT((Cap_Point&lt;=I873)*(Cap_Kind="Group")*Cap_Ln))</x:f>
        <x:v>1000000.000000001</x:v>
      </x:c>
      <x:c r="N873" s="32" t="n">
        <x:f>MIN(J873,L873,M873)</x:f>
        <x:v>18627.260449441455</x:v>
      </x:c>
      <x:c r="O873" s="10" t="n">
        <x:f>AE872*N873</x:f>
        <x:v>167645.34404497308</x:v>
      </x:c>
      <x:c r="P873" s="9" t="n">
        <x:f>MIN(1,(AB872/(AE872*IF(tun_GroupInCrowding=1,N873,MIN(J873,L873))))^tun_CrowdingExp)</x:f>
        <x:v>0.4215841981292809</x:v>
      </x:c>
      <x:c r="Q873" s="9" t="n">
        <x:f>IF(D873=1,INDEX(tun_WinterMult,G873),1)</x:f>
        <x:v>1</x:v>
      </x:c>
      <x:c r="R873" s="9" t="n">
        <x:f>H873*Z872*tun_WomenShare*tun_BaseFertility*INDEX(tun_FertMult,G873)*Arch_Fertility*(1-P873)</x:f>
        <x:v>0</x:v>
      </x:c>
      <x:c r="S873" s="9" t="n">
        <x:f>H873*Y872*INDEX(tun_MortChild,G873)/4*Q873</x:f>
        <x:v>0</x:v>
      </x:c>
      <x:c r="T873" s="9" t="n">
        <x:f>H873*Z872*INDEX(tun_MortAdult,G873)*Arch_AdultMort/4*Q873</x:f>
        <x:v>0</x:v>
      </x:c>
      <x:c r="U873" s="9" t="n">
        <x:f>H873*AA872*INDEX(tun_MortElder,G873)/4*Q873</x:f>
        <x:v>0</x:v>
      </x:c>
      <x:c r="V873" s="9" t="n">
        <x:f>H873*MAX(0,AB872-O873)*tun_OvercapLoss</x:f>
        <x:v>0</x:v>
      </x:c>
      <x:c r="W873" s="9" t="n">
        <x:f>H873*Y872/(tun_ChildYears*4)</x:f>
        <x:v>0</x:v>
      </x:c>
      <x:c r="X873" s="9" t="n">
        <x:f>H873*Z872/(tun_AdultYears*4)</x:f>
        <x:v>0</x:v>
      </x:c>
      <x:c r="Y873" s="32" t="n">
        <x:f>Y872+R873-S873-W873-Y872*V873/AB872</x:f>
        <x:v>40496.20709015643</x:v>
      </x:c>
      <x:c r="Z873" s="32" t="n">
        <x:f>Z872+W873-X873-T873-Z872*V873/AB872</x:f>
        <x:v>59141.61122890803</x:v>
      </x:c>
      <x:c r="AA873" s="32" t="n">
        <x:f>AA872+X873-U873-AA872*V873/AB872</x:f>
        <x:v>45530.62410925061</x:v>
      </x:c>
      <x:c r="AB873" s="10" t="n">
        <x:f>Y873+Z873+AA873</x:f>
        <x:v>145168.44242831506</x:v>
      </x:c>
      <x:c r="AC873" s="8" t="n">
        <x:f>IF(AND(tun_WinterTrigger=1,D873=1,AB872/AE872&gt;=K873),1,0)</x:f>
        <x:v>0</x:v>
      </x:c>
      <x:c r="AD873" s="8" t="n">
        <x:f>H873*IF(AND(OR(AB872/AE872&gt;=tun_FissionTrigger*N873,AC873=1),AB872/AE872*tun_DaughterShare&gt;=tun_MinDaughter),MAX(1,ROUND(AE872*tun_FissionRate,0)),0)</x:f>
        <x:v>0</x:v>
      </x:c>
      <x:c r="AE873" s="8" t="n">
        <x:f>IF(H873=1,MAX(1,MIN(INDEX(tun_Smax,G873),AE872+AD873)),AE872)</x:f>
        <x:v>9</x:v>
      </x:c>
      <x:c r="AF873" s="8" t="n">
        <x:f>MAX(0,AE873-AE872)</x:f>
        <x:v>0</x:v>
      </x:c>
      <x:c r="AG873" s="9" t="str">
        <x:f>IF(AF873&gt;0,B873,"")</x:f>
      </x:c>
      <x:c r="AH873" s="9" t="n">
        <x:f>IF(F873&gt;=1,1,(1+tun_LowTiesShare*(AE873-1))/AE873)</x:f>
        <x:v>1</x:v>
      </x:c>
      <x:c r="AI873" s="32" t="n">
        <x:f>(Z873+tun_ElderCommons*INDEX(LM_Elder,G873)*AA873)*AH873</x:f>
        <x:v>238215.0665857503</x:v>
      </x:c>
      <x:c r="AJ873" s="32" t="n">
        <x:f>H873*tun_CommonsCoef*AI873^tun_CommonsExp*INDEX(LM_Commons,G873)</x:f>
        <x:v>0</x:v>
      </x:c>
      <x:c r="AK873" s="32" t="n">
        <x:f>H873*tun_RoleScale*Arch_Roles*(AE873*(INDEX(tun_ElderRolePerSett,G873)*tun_OutElder*INDEX(LM_Elder,G873)+INDEX(tun_ShamanPerSett,G873)*tun_OutShaman)+Z873*(INDEX(tun_PriestShare,G873)*tun_OutPriest+INDEX(tun_ScribeShare,G873)*tun_OutScribe*INDEX(LM_Scribe,G873)+INDEX(tun_ScholarShare,G873)*tun_OutScholar*INDEX(LM_Scholar,G873)+INDEX(tun_ResearcherShare,G873)*tun_OutResearcher*INDEX(LM_Researcher,G873)))</x:f>
        <x:v>0</x:v>
      </x:c>
      <x:c r="AL873" s="32" t="n">
        <x:f>H873*tun_RoleScale*Arch_Roles*AE873*INDEX(tun_MonasteryPerSett,G873)*tun_OutMonastery*INDEX(LM_Monastery,G873)</x:f>
        <x:v>0</x:v>
      </x:c>
      <x:c r="AM873" s="32" t="n">
        <x:f>(AJ873+AK873+AL873)/4*INDEX(LM_All,G873)*INDEX(tun_Boon,G873)*Arch_Insight</x:f>
        <x:v>0</x:v>
      </x:c>
      <x:c r="AN873" s="32" t="n">
        <x:f>H873*(tun_KHPerAdult*Z873+tun_KHOfCommons*AJ873/4*INDEX(LM_All,G873))*tun_KHUsable*Arch_KH</x:f>
        <x:v>0</x:v>
      </x:c>
      <x:c r="AO873" s="32" t="n">
        <x:f>MIN(AP872+AN873,AM873*tun_KHMaxRatio)</x:f>
        <x:v>0</x:v>
      </x:c>
      <x:c r="AP873" s="32" t="n">
        <x:f>AP872+AN873-AO873</x:f>
        <x:v>0</x:v>
      </x:c>
      <x:c r="AQ873" s="32" t="n">
        <x:f>AM873+AO873</x:f>
        <x:v>0</x:v>
      </x:c>
      <x:c r="AR873" s="10" t="n">
        <x:f>IF(H873=1,INDEX(tun_Req,G873),0)</x:f>
        <x:v>0</x:v>
      </x:c>
      <x:c r="AS873" s="32" t="n">
        <x:f>IF(H873=1,IF(E873=1,AS872-AR872,AS872)+AQ873,0)</x:f>
        <x:v>0</x:v>
      </x:c>
      <x:c r="AT873" s="11" t="n">
        <x:f>IF(AR873&gt;0,MIN(1,AS873/AR873),1)</x:f>
        <x:v>1</x:v>
      </x:c>
      <x:c r="AU873" s="10" t="n">
        <x:f>AB873/INDEX(tun_RepScale,G873)</x:f>
        <x:v>290.3368848566301</x:v>
      </x:c>
      <x:c r="AV873" s="32" t="n">
        <x:f>AM873*60/tun_SeasonSeconds</x:f>
        <x:v>0</x:v>
      </x:c>
    </x:row>
    <x:row r="874">
      <x:c r="A874" s="8" t="n">
        <x:f>A873+1</x:f>
        <x:v>871</x:v>
      </x:c>
      <x:c r="B874" s="9" t="n">
        <x:f>A874*tun_SeasonSeconds/60</x:f>
        <x:v>217.75</x:v>
      </x:c>
      <x:c r="C874" s="9" t="n">
        <x:f>A874/4</x:f>
        <x:v>217.75</x:v>
      </x:c>
      <x:c r="D874" s="8" t="n">
        <x:f>IF(MOD(A874,4)=0,1,0)</x:f>
        <x:v>0</x:v>
      </x:c>
      <x:c r="E874" s="8" t="n">
        <x:f>IF(AND(F873&lt;=9,AS873&gt;=AR873),1,0)</x:f>
        <x:v>0</x:v>
      </x:c>
      <x:c r="F874" s="8" t="n">
        <x:f>MIN(10,F873+E874)</x:f>
        <x:v>10</x:v>
      </x:c>
      <x:c r="G874" s="8" t="n">
        <x:f>MIN(F874,9)+1</x:f>
        <x:v>10</x:v>
      </x:c>
      <x:c r="H874" s="8" t="n">
        <x:f>IF(F874&lt;=9,1,0)</x:f>
        <x:v>0</x:v>
      </x:c>
      <x:c r="I874" s="9" t="n">
        <x:f>MIN(10,F873+IF(AR873&gt;0,MIN(1,AS873/AR873),1))</x:f>
        <x:v>10</x:v>
      </x:c>
      <x:c r="J874" s="32" t="n">
        <x:f>INDEX(tun_FoodCap,G874)*Arch_FoodCap*EXP(tun_CapsByProject*SUMPRODUCT((Cap_Point&lt;=I874)*(Cap_Kind="Food")*Cap_Ln))</x:f>
        <x:v>18627.260449441455</x:v>
      </x:c>
      <x:c r="K874" s="32" t="n">
        <x:f>J874*MIN(1,tun_LeanBase*EXP(tun_CapsByProject*SUMPRODUCT((Cap_Point&lt;=I874)*(Cap_Kind="Lean")*Cap_Ln)))</x:f>
        <x:v>18627.260449441455</x:v>
      </x:c>
      <x:c r="L874" s="10" t="n">
        <x:f>INDEX(tun_HousingCap,G874)*EXP(tun_CapsByProject*SUMPRODUCT((Cap_Point&lt;=I874)*(Cap_Kind="Housing")*Cap_Ln))</x:f>
        <x:v>20528.974303173167</x:v>
      </x:c>
      <x:c r="M874" s="10" t="n">
        <x:f>INDEX(tun_GroupCap,G874)*tun_CohesionFactor*EXP(tun_CapsByProject*SUMPRODUCT((Cap_Point&lt;=I874)*(Cap_Kind="Group")*Cap_Ln))</x:f>
        <x:v>1000000.000000001</x:v>
      </x:c>
      <x:c r="N874" s="32" t="n">
        <x:f>MIN(J874,L874,M874)</x:f>
        <x:v>18627.260449441455</x:v>
      </x:c>
      <x:c r="O874" s="10" t="n">
        <x:f>AE873*N874</x:f>
        <x:v>167645.34404497308</x:v>
      </x:c>
      <x:c r="P874" s="9" t="n">
        <x:f>MIN(1,(AB873/(AE873*IF(tun_GroupInCrowding=1,N874,MIN(J874,L874))))^tun_CrowdingExp)</x:f>
        <x:v>0.4215841981292809</x:v>
      </x:c>
      <x:c r="Q874" s="9" t="n">
        <x:f>IF(D874=1,INDEX(tun_WinterMult,G874),1)</x:f>
        <x:v>1</x:v>
      </x:c>
      <x:c r="R874" s="9" t="n">
        <x:f>H874*Z873*tun_WomenShare*tun_BaseFertility*INDEX(tun_FertMult,G874)*Arch_Fertility*(1-P874)</x:f>
        <x:v>0</x:v>
      </x:c>
      <x:c r="S874" s="9" t="n">
        <x:f>H874*Y873*INDEX(tun_MortChild,G874)/4*Q874</x:f>
        <x:v>0</x:v>
      </x:c>
      <x:c r="T874" s="9" t="n">
        <x:f>H874*Z873*INDEX(tun_MortAdult,G874)*Arch_AdultMort/4*Q874</x:f>
        <x:v>0</x:v>
      </x:c>
      <x:c r="U874" s="9" t="n">
        <x:f>H874*AA873*INDEX(tun_MortElder,G874)/4*Q874</x:f>
        <x:v>0</x:v>
      </x:c>
      <x:c r="V874" s="9" t="n">
        <x:f>H874*MAX(0,AB873-O874)*tun_OvercapLoss</x:f>
        <x:v>0</x:v>
      </x:c>
      <x:c r="W874" s="9" t="n">
        <x:f>H874*Y873/(tun_ChildYears*4)</x:f>
        <x:v>0</x:v>
      </x:c>
      <x:c r="X874" s="9" t="n">
        <x:f>H874*Z873/(tun_AdultYears*4)</x:f>
        <x:v>0</x:v>
      </x:c>
      <x:c r="Y874" s="32" t="n">
        <x:f>Y873+R874-S874-W874-Y873*V874/AB873</x:f>
        <x:v>40496.20709015643</x:v>
      </x:c>
      <x:c r="Z874" s="32" t="n">
        <x:f>Z873+W874-X874-T874-Z873*V874/AB873</x:f>
        <x:v>59141.61122890803</x:v>
      </x:c>
      <x:c r="AA874" s="32" t="n">
        <x:f>AA873+X874-U874-AA873*V874/AB873</x:f>
        <x:v>45530.62410925061</x:v>
      </x:c>
      <x:c r="AB874" s="10" t="n">
        <x:f>Y874+Z874+AA874</x:f>
        <x:v>145168.44242831506</x:v>
      </x:c>
      <x:c r="AC874" s="8" t="n">
        <x:f>IF(AND(tun_WinterTrigger=1,D874=1,AB873/AE873&gt;=K874),1,0)</x:f>
        <x:v>0</x:v>
      </x:c>
      <x:c r="AD874" s="8" t="n">
        <x:f>H874*IF(AND(OR(AB873/AE873&gt;=tun_FissionTrigger*N874,AC874=1),AB873/AE873*tun_DaughterShare&gt;=tun_MinDaughter),MAX(1,ROUND(AE873*tun_FissionRate,0)),0)</x:f>
        <x:v>0</x:v>
      </x:c>
      <x:c r="AE874" s="8" t="n">
        <x:f>IF(H874=1,MAX(1,MIN(INDEX(tun_Smax,G874),AE873+AD874)),AE873)</x:f>
        <x:v>9</x:v>
      </x:c>
      <x:c r="AF874" s="8" t="n">
        <x:f>MAX(0,AE874-AE873)</x:f>
        <x:v>0</x:v>
      </x:c>
      <x:c r="AG874" s="9" t="str">
        <x:f>IF(AF874&gt;0,B874,"")</x:f>
      </x:c>
      <x:c r="AH874" s="9" t="n">
        <x:f>IF(F874&gt;=1,1,(1+tun_LowTiesShare*(AE874-1))/AE874)</x:f>
        <x:v>1</x:v>
      </x:c>
      <x:c r="AI874" s="32" t="n">
        <x:f>(Z874+tun_ElderCommons*INDEX(LM_Elder,G874)*AA874)*AH874</x:f>
        <x:v>238215.0665857503</x:v>
      </x:c>
      <x:c r="AJ874" s="32" t="n">
        <x:f>H874*tun_CommonsCoef*AI874^tun_CommonsExp*INDEX(LM_Commons,G874)</x:f>
        <x:v>0</x:v>
      </x:c>
      <x:c r="AK874" s="32" t="n">
        <x:f>H874*tun_RoleScale*Arch_Roles*(AE874*(INDEX(tun_ElderRolePerSett,G874)*tun_OutElder*INDEX(LM_Elder,G874)+INDEX(tun_ShamanPerSett,G874)*tun_OutShaman)+Z874*(INDEX(tun_PriestShare,G874)*tun_OutPriest+INDEX(tun_ScribeShare,G874)*tun_OutScribe*INDEX(LM_Scribe,G874)+INDEX(tun_ScholarShare,G874)*tun_OutScholar*INDEX(LM_Scholar,G874)+INDEX(tun_ResearcherShare,G874)*tun_OutResearcher*INDEX(LM_Researcher,G874)))</x:f>
        <x:v>0</x:v>
      </x:c>
      <x:c r="AL874" s="32" t="n">
        <x:f>H874*tun_RoleScale*Arch_Roles*AE874*INDEX(tun_MonasteryPerSett,G874)*tun_OutMonastery*INDEX(LM_Monastery,G874)</x:f>
        <x:v>0</x:v>
      </x:c>
      <x:c r="AM874" s="32" t="n">
        <x:f>(AJ874+AK874+AL874)/4*INDEX(LM_All,G874)*INDEX(tun_Boon,G874)*Arch_Insight</x:f>
        <x:v>0</x:v>
      </x:c>
      <x:c r="AN874" s="32" t="n">
        <x:f>H874*(tun_KHPerAdult*Z874+tun_KHOfCommons*AJ874/4*INDEX(LM_All,G874))*tun_KHUsable*Arch_KH</x:f>
        <x:v>0</x:v>
      </x:c>
      <x:c r="AO874" s="32" t="n">
        <x:f>MIN(AP873+AN874,AM874*tun_KHMaxRatio)</x:f>
        <x:v>0</x:v>
      </x:c>
      <x:c r="AP874" s="32" t="n">
        <x:f>AP873+AN874-AO874</x:f>
        <x:v>0</x:v>
      </x:c>
      <x:c r="AQ874" s="32" t="n">
        <x:f>AM874+AO874</x:f>
        <x:v>0</x:v>
      </x:c>
      <x:c r="AR874" s="10" t="n">
        <x:f>IF(H874=1,INDEX(tun_Req,G874),0)</x:f>
        <x:v>0</x:v>
      </x:c>
      <x:c r="AS874" s="32" t="n">
        <x:f>IF(H874=1,IF(E874=1,AS873-AR873,AS873)+AQ874,0)</x:f>
        <x:v>0</x:v>
      </x:c>
      <x:c r="AT874" s="11" t="n">
        <x:f>IF(AR874&gt;0,MIN(1,AS874/AR874),1)</x:f>
        <x:v>1</x:v>
      </x:c>
      <x:c r="AU874" s="10" t="n">
        <x:f>AB874/INDEX(tun_RepScale,G874)</x:f>
        <x:v>290.3368848566301</x:v>
      </x:c>
      <x:c r="AV874" s="32" t="n">
        <x:f>AM874*60/tun_SeasonSeconds</x:f>
        <x:v>0</x:v>
      </x:c>
    </x:row>
    <x:row r="875">
      <x:c r="A875" s="8" t="n">
        <x:f>A874+1</x:f>
        <x:v>872</x:v>
      </x:c>
      <x:c r="B875" s="9" t="n">
        <x:f>A875*tun_SeasonSeconds/60</x:f>
        <x:v>218</x:v>
      </x:c>
      <x:c r="C875" s="9" t="n">
        <x:f>A875/4</x:f>
        <x:v>218</x:v>
      </x:c>
      <x:c r="D875" s="8" t="n">
        <x:f>IF(MOD(A875,4)=0,1,0)</x:f>
        <x:v>1</x:v>
      </x:c>
      <x:c r="E875" s="8" t="n">
        <x:f>IF(AND(F874&lt;=9,AS874&gt;=AR874),1,0)</x:f>
        <x:v>0</x:v>
      </x:c>
      <x:c r="F875" s="8" t="n">
        <x:f>MIN(10,F874+E875)</x:f>
        <x:v>10</x:v>
      </x:c>
      <x:c r="G875" s="8" t="n">
        <x:f>MIN(F875,9)+1</x:f>
        <x:v>10</x:v>
      </x:c>
      <x:c r="H875" s="8" t="n">
        <x:f>IF(F875&lt;=9,1,0)</x:f>
        <x:v>0</x:v>
      </x:c>
      <x:c r="I875" s="9" t="n">
        <x:f>MIN(10,F874+IF(AR874&gt;0,MIN(1,AS874/AR874),1))</x:f>
        <x:v>10</x:v>
      </x:c>
      <x:c r="J875" s="32" t="n">
        <x:f>INDEX(tun_FoodCap,G875)*Arch_FoodCap*EXP(tun_CapsByProject*SUMPRODUCT((Cap_Point&lt;=I875)*(Cap_Kind="Food")*Cap_Ln))</x:f>
        <x:v>18627.260449441455</x:v>
      </x:c>
      <x:c r="K875" s="32" t="n">
        <x:f>J875*MIN(1,tun_LeanBase*EXP(tun_CapsByProject*SUMPRODUCT((Cap_Point&lt;=I875)*(Cap_Kind="Lean")*Cap_Ln)))</x:f>
        <x:v>18627.260449441455</x:v>
      </x:c>
      <x:c r="L875" s="10" t="n">
        <x:f>INDEX(tun_HousingCap,G875)*EXP(tun_CapsByProject*SUMPRODUCT((Cap_Point&lt;=I875)*(Cap_Kind="Housing")*Cap_Ln))</x:f>
        <x:v>20528.974303173167</x:v>
      </x:c>
      <x:c r="M875" s="10" t="n">
        <x:f>INDEX(tun_GroupCap,G875)*tun_CohesionFactor*EXP(tun_CapsByProject*SUMPRODUCT((Cap_Point&lt;=I875)*(Cap_Kind="Group")*Cap_Ln))</x:f>
        <x:v>1000000.000000001</x:v>
      </x:c>
      <x:c r="N875" s="32" t="n">
        <x:f>MIN(J875,L875,M875)</x:f>
        <x:v>18627.260449441455</x:v>
      </x:c>
      <x:c r="O875" s="10" t="n">
        <x:f>AE874*N875</x:f>
        <x:v>167645.34404497308</x:v>
      </x:c>
      <x:c r="P875" s="9" t="n">
        <x:f>MIN(1,(AB874/(AE874*IF(tun_GroupInCrowding=1,N875,MIN(J875,L875))))^tun_CrowdingExp)</x:f>
        <x:v>0.4215841981292809</x:v>
      </x:c>
      <x:c r="Q875" s="9" t="n">
        <x:f>IF(D875=1,INDEX(tun_WinterMult,G875),1)</x:f>
        <x:v>1.05</x:v>
      </x:c>
      <x:c r="R875" s="9" t="n">
        <x:f>H875*Z874*tun_WomenShare*tun_BaseFertility*INDEX(tun_FertMult,G875)*Arch_Fertility*(1-P875)</x:f>
        <x:v>0</x:v>
      </x:c>
      <x:c r="S875" s="9" t="n">
        <x:f>H875*Y874*INDEX(tun_MortChild,G875)/4*Q875</x:f>
        <x:v>0</x:v>
      </x:c>
      <x:c r="T875" s="9" t="n">
        <x:f>H875*Z874*INDEX(tun_MortAdult,G875)*Arch_AdultMort/4*Q875</x:f>
        <x:v>0</x:v>
      </x:c>
      <x:c r="U875" s="9" t="n">
        <x:f>H875*AA874*INDEX(tun_MortElder,G875)/4*Q875</x:f>
        <x:v>0</x:v>
      </x:c>
      <x:c r="V875" s="9" t="n">
        <x:f>H875*MAX(0,AB874-O875)*tun_OvercapLoss</x:f>
        <x:v>0</x:v>
      </x:c>
      <x:c r="W875" s="9" t="n">
        <x:f>H875*Y874/(tun_ChildYears*4)</x:f>
        <x:v>0</x:v>
      </x:c>
      <x:c r="X875" s="9" t="n">
        <x:f>H875*Z874/(tun_AdultYears*4)</x:f>
        <x:v>0</x:v>
      </x:c>
      <x:c r="Y875" s="32" t="n">
        <x:f>Y874+R875-S875-W875-Y874*V875/AB874</x:f>
        <x:v>40496.20709015643</x:v>
      </x:c>
      <x:c r="Z875" s="32" t="n">
        <x:f>Z874+W875-X875-T875-Z874*V875/AB874</x:f>
        <x:v>59141.61122890803</x:v>
      </x:c>
      <x:c r="AA875" s="32" t="n">
        <x:f>AA874+X875-U875-AA874*V875/AB874</x:f>
        <x:v>45530.62410925061</x:v>
      </x:c>
      <x:c r="AB875" s="10" t="n">
        <x:f>Y875+Z875+AA875</x:f>
        <x:v>145168.44242831506</x:v>
      </x:c>
      <x:c r="AC875" s="8" t="n">
        <x:f>IF(AND(tun_WinterTrigger=1,D875=1,AB874/AE874&gt;=K875),1,0)</x:f>
        <x:v>0</x:v>
      </x:c>
      <x:c r="AD875" s="8" t="n">
        <x:f>H875*IF(AND(OR(AB874/AE874&gt;=tun_FissionTrigger*N875,AC875=1),AB874/AE874*tun_DaughterShare&gt;=tun_MinDaughter),MAX(1,ROUND(AE874*tun_FissionRate,0)),0)</x:f>
        <x:v>0</x:v>
      </x:c>
      <x:c r="AE875" s="8" t="n">
        <x:f>IF(H875=1,MAX(1,MIN(INDEX(tun_Smax,G875),AE874+AD875)),AE874)</x:f>
        <x:v>9</x:v>
      </x:c>
      <x:c r="AF875" s="8" t="n">
        <x:f>MAX(0,AE875-AE874)</x:f>
        <x:v>0</x:v>
      </x:c>
      <x:c r="AG875" s="9" t="str">
        <x:f>IF(AF875&gt;0,B875,"")</x:f>
      </x:c>
      <x:c r="AH875" s="9" t="n">
        <x:f>IF(F875&gt;=1,1,(1+tun_LowTiesShare*(AE875-1))/AE875)</x:f>
        <x:v>1</x:v>
      </x:c>
      <x:c r="AI875" s="32" t="n">
        <x:f>(Z875+tun_ElderCommons*INDEX(LM_Elder,G875)*AA875)*AH875</x:f>
        <x:v>238215.0665857503</x:v>
      </x:c>
      <x:c r="AJ875" s="32" t="n">
        <x:f>H875*tun_CommonsCoef*AI875^tun_CommonsExp*INDEX(LM_Commons,G875)</x:f>
        <x:v>0</x:v>
      </x:c>
      <x:c r="AK875" s="32" t="n">
        <x:f>H875*tun_RoleScale*Arch_Roles*(AE875*(INDEX(tun_ElderRolePerSett,G875)*tun_OutElder*INDEX(LM_Elder,G875)+INDEX(tun_ShamanPerSett,G875)*tun_OutShaman)+Z875*(INDEX(tun_PriestShare,G875)*tun_OutPriest+INDEX(tun_ScribeShare,G875)*tun_OutScribe*INDEX(LM_Scribe,G875)+INDEX(tun_ScholarShare,G875)*tun_OutScholar*INDEX(LM_Scholar,G875)+INDEX(tun_ResearcherShare,G875)*tun_OutResearcher*INDEX(LM_Researcher,G875)))</x:f>
        <x:v>0</x:v>
      </x:c>
      <x:c r="AL875" s="32" t="n">
        <x:f>H875*tun_RoleScale*Arch_Roles*AE875*INDEX(tun_MonasteryPerSett,G875)*tun_OutMonastery*INDEX(LM_Monastery,G875)</x:f>
        <x:v>0</x:v>
      </x:c>
      <x:c r="AM875" s="32" t="n">
        <x:f>(AJ875+AK875+AL875)/4*INDEX(LM_All,G875)*INDEX(tun_Boon,G875)*Arch_Insight</x:f>
        <x:v>0</x:v>
      </x:c>
      <x:c r="AN875" s="32" t="n">
        <x:f>H875*(tun_KHPerAdult*Z875+tun_KHOfCommons*AJ875/4*INDEX(LM_All,G875))*tun_KHUsable*Arch_KH</x:f>
        <x:v>0</x:v>
      </x:c>
      <x:c r="AO875" s="32" t="n">
        <x:f>MIN(AP874+AN875,AM875*tun_KHMaxRatio)</x:f>
        <x:v>0</x:v>
      </x:c>
      <x:c r="AP875" s="32" t="n">
        <x:f>AP874+AN875-AO875</x:f>
        <x:v>0</x:v>
      </x:c>
      <x:c r="AQ875" s="32" t="n">
        <x:f>AM875+AO875</x:f>
        <x:v>0</x:v>
      </x:c>
      <x:c r="AR875" s="10" t="n">
        <x:f>IF(H875=1,INDEX(tun_Req,G875),0)</x:f>
        <x:v>0</x:v>
      </x:c>
      <x:c r="AS875" s="32" t="n">
        <x:f>IF(H875=1,IF(E875=1,AS874-AR874,AS874)+AQ875,0)</x:f>
        <x:v>0</x:v>
      </x:c>
      <x:c r="AT875" s="11" t="n">
        <x:f>IF(AR875&gt;0,MIN(1,AS875/AR875),1)</x:f>
        <x:v>1</x:v>
      </x:c>
      <x:c r="AU875" s="10" t="n">
        <x:f>AB875/INDEX(tun_RepScale,G875)</x:f>
        <x:v>290.3368848566301</x:v>
      </x:c>
      <x:c r="AV875" s="32" t="n">
        <x:f>AM875*60/tun_SeasonSeconds</x:f>
        <x:v>0</x:v>
      </x:c>
    </x:row>
    <x:row r="876">
      <x:c r="A876" s="8" t="n">
        <x:f>A875+1</x:f>
        <x:v>873</x:v>
      </x:c>
      <x:c r="B876" s="9" t="n">
        <x:f>A876*tun_SeasonSeconds/60</x:f>
        <x:v>218.25</x:v>
      </x:c>
      <x:c r="C876" s="9" t="n">
        <x:f>A876/4</x:f>
        <x:v>218.25</x:v>
      </x:c>
      <x:c r="D876" s="8" t="n">
        <x:f>IF(MOD(A876,4)=0,1,0)</x:f>
        <x:v>0</x:v>
      </x:c>
      <x:c r="E876" s="8" t="n">
        <x:f>IF(AND(F875&lt;=9,AS875&gt;=AR875),1,0)</x:f>
        <x:v>0</x:v>
      </x:c>
      <x:c r="F876" s="8" t="n">
        <x:f>MIN(10,F875+E876)</x:f>
        <x:v>10</x:v>
      </x:c>
      <x:c r="G876" s="8" t="n">
        <x:f>MIN(F876,9)+1</x:f>
        <x:v>10</x:v>
      </x:c>
      <x:c r="H876" s="8" t="n">
        <x:f>IF(F876&lt;=9,1,0)</x:f>
        <x:v>0</x:v>
      </x:c>
      <x:c r="I876" s="9" t="n">
        <x:f>MIN(10,F875+IF(AR875&gt;0,MIN(1,AS875/AR875),1))</x:f>
        <x:v>10</x:v>
      </x:c>
      <x:c r="J876" s="32" t="n">
        <x:f>INDEX(tun_FoodCap,G876)*Arch_FoodCap*EXP(tun_CapsByProject*SUMPRODUCT((Cap_Point&lt;=I876)*(Cap_Kind="Food")*Cap_Ln))</x:f>
        <x:v>18627.260449441455</x:v>
      </x:c>
      <x:c r="K876" s="32" t="n">
        <x:f>J876*MIN(1,tun_LeanBase*EXP(tun_CapsByProject*SUMPRODUCT((Cap_Point&lt;=I876)*(Cap_Kind="Lean")*Cap_Ln)))</x:f>
        <x:v>18627.260449441455</x:v>
      </x:c>
      <x:c r="L876" s="10" t="n">
        <x:f>INDEX(tun_HousingCap,G876)*EXP(tun_CapsByProject*SUMPRODUCT((Cap_Point&lt;=I876)*(Cap_Kind="Housing")*Cap_Ln))</x:f>
        <x:v>20528.974303173167</x:v>
      </x:c>
      <x:c r="M876" s="10" t="n">
        <x:f>INDEX(tun_GroupCap,G876)*tun_CohesionFactor*EXP(tun_CapsByProject*SUMPRODUCT((Cap_Point&lt;=I876)*(Cap_Kind="Group")*Cap_Ln))</x:f>
        <x:v>1000000.000000001</x:v>
      </x:c>
      <x:c r="N876" s="32" t="n">
        <x:f>MIN(J876,L876,M876)</x:f>
        <x:v>18627.260449441455</x:v>
      </x:c>
      <x:c r="O876" s="10" t="n">
        <x:f>AE875*N876</x:f>
        <x:v>167645.34404497308</x:v>
      </x:c>
      <x:c r="P876" s="9" t="n">
        <x:f>MIN(1,(AB875/(AE875*IF(tun_GroupInCrowding=1,N876,MIN(J876,L876))))^tun_CrowdingExp)</x:f>
        <x:v>0.4215841981292809</x:v>
      </x:c>
      <x:c r="Q876" s="9" t="n">
        <x:f>IF(D876=1,INDEX(tun_WinterMult,G876),1)</x:f>
        <x:v>1</x:v>
      </x:c>
      <x:c r="R876" s="9" t="n">
        <x:f>H876*Z875*tun_WomenShare*tun_BaseFertility*INDEX(tun_FertMult,G876)*Arch_Fertility*(1-P876)</x:f>
        <x:v>0</x:v>
      </x:c>
      <x:c r="S876" s="9" t="n">
        <x:f>H876*Y875*INDEX(tun_MortChild,G876)/4*Q876</x:f>
        <x:v>0</x:v>
      </x:c>
      <x:c r="T876" s="9" t="n">
        <x:f>H876*Z875*INDEX(tun_MortAdult,G876)*Arch_AdultMort/4*Q876</x:f>
        <x:v>0</x:v>
      </x:c>
      <x:c r="U876" s="9" t="n">
        <x:f>H876*AA875*INDEX(tun_MortElder,G876)/4*Q876</x:f>
        <x:v>0</x:v>
      </x:c>
      <x:c r="V876" s="9" t="n">
        <x:f>H876*MAX(0,AB875-O876)*tun_OvercapLoss</x:f>
        <x:v>0</x:v>
      </x:c>
      <x:c r="W876" s="9" t="n">
        <x:f>H876*Y875/(tun_ChildYears*4)</x:f>
        <x:v>0</x:v>
      </x:c>
      <x:c r="X876" s="9" t="n">
        <x:f>H876*Z875/(tun_AdultYears*4)</x:f>
        <x:v>0</x:v>
      </x:c>
      <x:c r="Y876" s="32" t="n">
        <x:f>Y875+R876-S876-W876-Y875*V876/AB875</x:f>
        <x:v>40496.20709015643</x:v>
      </x:c>
      <x:c r="Z876" s="32" t="n">
        <x:f>Z875+W876-X876-T876-Z875*V876/AB875</x:f>
        <x:v>59141.61122890803</x:v>
      </x:c>
      <x:c r="AA876" s="32" t="n">
        <x:f>AA875+X876-U876-AA875*V876/AB875</x:f>
        <x:v>45530.62410925061</x:v>
      </x:c>
      <x:c r="AB876" s="10" t="n">
        <x:f>Y876+Z876+AA876</x:f>
        <x:v>145168.44242831506</x:v>
      </x:c>
      <x:c r="AC876" s="8" t="n">
        <x:f>IF(AND(tun_WinterTrigger=1,D876=1,AB875/AE875&gt;=K876),1,0)</x:f>
        <x:v>0</x:v>
      </x:c>
      <x:c r="AD876" s="8" t="n">
        <x:f>H876*IF(AND(OR(AB875/AE875&gt;=tun_FissionTrigger*N876,AC876=1),AB875/AE875*tun_DaughterShare&gt;=tun_MinDaughter),MAX(1,ROUND(AE875*tun_FissionRate,0)),0)</x:f>
        <x:v>0</x:v>
      </x:c>
      <x:c r="AE876" s="8" t="n">
        <x:f>IF(H876=1,MAX(1,MIN(INDEX(tun_Smax,G876),AE875+AD876)),AE875)</x:f>
        <x:v>9</x:v>
      </x:c>
      <x:c r="AF876" s="8" t="n">
        <x:f>MAX(0,AE876-AE875)</x:f>
        <x:v>0</x:v>
      </x:c>
      <x:c r="AG876" s="9" t="str">
        <x:f>IF(AF876&gt;0,B876,"")</x:f>
      </x:c>
      <x:c r="AH876" s="9" t="n">
        <x:f>IF(F876&gt;=1,1,(1+tun_LowTiesShare*(AE876-1))/AE876)</x:f>
        <x:v>1</x:v>
      </x:c>
      <x:c r="AI876" s="32" t="n">
        <x:f>(Z876+tun_ElderCommons*INDEX(LM_Elder,G876)*AA876)*AH876</x:f>
        <x:v>238215.0665857503</x:v>
      </x:c>
      <x:c r="AJ876" s="32" t="n">
        <x:f>H876*tun_CommonsCoef*AI876^tun_CommonsExp*INDEX(LM_Commons,G876)</x:f>
        <x:v>0</x:v>
      </x:c>
      <x:c r="AK876" s="32" t="n">
        <x:f>H876*tun_RoleScale*Arch_Roles*(AE876*(INDEX(tun_ElderRolePerSett,G876)*tun_OutElder*INDEX(LM_Elder,G876)+INDEX(tun_ShamanPerSett,G876)*tun_OutShaman)+Z876*(INDEX(tun_PriestShare,G876)*tun_OutPriest+INDEX(tun_ScribeShare,G876)*tun_OutScribe*INDEX(LM_Scribe,G876)+INDEX(tun_ScholarShare,G876)*tun_OutScholar*INDEX(LM_Scholar,G876)+INDEX(tun_ResearcherShare,G876)*tun_OutResearcher*INDEX(LM_Researcher,G876)))</x:f>
        <x:v>0</x:v>
      </x:c>
      <x:c r="AL876" s="32" t="n">
        <x:f>H876*tun_RoleScale*Arch_Roles*AE876*INDEX(tun_MonasteryPerSett,G876)*tun_OutMonastery*INDEX(LM_Monastery,G876)</x:f>
        <x:v>0</x:v>
      </x:c>
      <x:c r="AM876" s="32" t="n">
        <x:f>(AJ876+AK876+AL876)/4*INDEX(LM_All,G876)*INDEX(tun_Boon,G876)*Arch_Insight</x:f>
        <x:v>0</x:v>
      </x:c>
      <x:c r="AN876" s="32" t="n">
        <x:f>H876*(tun_KHPerAdult*Z876+tun_KHOfCommons*AJ876/4*INDEX(LM_All,G876))*tun_KHUsable*Arch_KH</x:f>
        <x:v>0</x:v>
      </x:c>
      <x:c r="AO876" s="32" t="n">
        <x:f>MIN(AP875+AN876,AM876*tun_KHMaxRatio)</x:f>
        <x:v>0</x:v>
      </x:c>
      <x:c r="AP876" s="32" t="n">
        <x:f>AP875+AN876-AO876</x:f>
        <x:v>0</x:v>
      </x:c>
      <x:c r="AQ876" s="32" t="n">
        <x:f>AM876+AO876</x:f>
        <x:v>0</x:v>
      </x:c>
      <x:c r="AR876" s="10" t="n">
        <x:f>IF(H876=1,INDEX(tun_Req,G876),0)</x:f>
        <x:v>0</x:v>
      </x:c>
      <x:c r="AS876" s="32" t="n">
        <x:f>IF(H876=1,IF(E876=1,AS875-AR875,AS875)+AQ876,0)</x:f>
        <x:v>0</x:v>
      </x:c>
      <x:c r="AT876" s="11" t="n">
        <x:f>IF(AR876&gt;0,MIN(1,AS876/AR876),1)</x:f>
        <x:v>1</x:v>
      </x:c>
      <x:c r="AU876" s="10" t="n">
        <x:f>AB876/INDEX(tun_RepScale,G876)</x:f>
        <x:v>290.3368848566301</x:v>
      </x:c>
      <x:c r="AV876" s="32" t="n">
        <x:f>AM876*60/tun_SeasonSeconds</x:f>
        <x:v>0</x:v>
      </x:c>
    </x:row>
    <x:row r="877">
      <x:c r="A877" s="8" t="n">
        <x:f>A876+1</x:f>
        <x:v>874</x:v>
      </x:c>
      <x:c r="B877" s="9" t="n">
        <x:f>A877*tun_SeasonSeconds/60</x:f>
        <x:v>218.5</x:v>
      </x:c>
      <x:c r="C877" s="9" t="n">
        <x:f>A877/4</x:f>
        <x:v>218.5</x:v>
      </x:c>
      <x:c r="D877" s="8" t="n">
        <x:f>IF(MOD(A877,4)=0,1,0)</x:f>
        <x:v>0</x:v>
      </x:c>
      <x:c r="E877" s="8" t="n">
        <x:f>IF(AND(F876&lt;=9,AS876&gt;=AR876),1,0)</x:f>
        <x:v>0</x:v>
      </x:c>
      <x:c r="F877" s="8" t="n">
        <x:f>MIN(10,F876+E877)</x:f>
        <x:v>10</x:v>
      </x:c>
      <x:c r="G877" s="8" t="n">
        <x:f>MIN(F877,9)+1</x:f>
        <x:v>10</x:v>
      </x:c>
      <x:c r="H877" s="8" t="n">
        <x:f>IF(F877&lt;=9,1,0)</x:f>
        <x:v>0</x:v>
      </x:c>
      <x:c r="I877" s="9" t="n">
        <x:f>MIN(10,F876+IF(AR876&gt;0,MIN(1,AS876/AR876),1))</x:f>
        <x:v>10</x:v>
      </x:c>
      <x:c r="J877" s="32" t="n">
        <x:f>INDEX(tun_FoodCap,G877)*Arch_FoodCap*EXP(tun_CapsByProject*SUMPRODUCT((Cap_Point&lt;=I877)*(Cap_Kind="Food")*Cap_Ln))</x:f>
        <x:v>18627.260449441455</x:v>
      </x:c>
      <x:c r="K877" s="32" t="n">
        <x:f>J877*MIN(1,tun_LeanBase*EXP(tun_CapsByProject*SUMPRODUCT((Cap_Point&lt;=I877)*(Cap_Kind="Lean")*Cap_Ln)))</x:f>
        <x:v>18627.260449441455</x:v>
      </x:c>
      <x:c r="L877" s="10" t="n">
        <x:f>INDEX(tun_HousingCap,G877)*EXP(tun_CapsByProject*SUMPRODUCT((Cap_Point&lt;=I877)*(Cap_Kind="Housing")*Cap_Ln))</x:f>
        <x:v>20528.974303173167</x:v>
      </x:c>
      <x:c r="M877" s="10" t="n">
        <x:f>INDEX(tun_GroupCap,G877)*tun_CohesionFactor*EXP(tun_CapsByProject*SUMPRODUCT((Cap_Point&lt;=I877)*(Cap_Kind="Group")*Cap_Ln))</x:f>
        <x:v>1000000.000000001</x:v>
      </x:c>
      <x:c r="N877" s="32" t="n">
        <x:f>MIN(J877,L877,M877)</x:f>
        <x:v>18627.260449441455</x:v>
      </x:c>
      <x:c r="O877" s="10" t="n">
        <x:f>AE876*N877</x:f>
        <x:v>167645.34404497308</x:v>
      </x:c>
      <x:c r="P877" s="9" t="n">
        <x:f>MIN(1,(AB876/(AE876*IF(tun_GroupInCrowding=1,N877,MIN(J877,L877))))^tun_CrowdingExp)</x:f>
        <x:v>0.4215841981292809</x:v>
      </x:c>
      <x:c r="Q877" s="9" t="n">
        <x:f>IF(D877=1,INDEX(tun_WinterMult,G877),1)</x:f>
        <x:v>1</x:v>
      </x:c>
      <x:c r="R877" s="9" t="n">
        <x:f>H877*Z876*tun_WomenShare*tun_BaseFertility*INDEX(tun_FertMult,G877)*Arch_Fertility*(1-P877)</x:f>
        <x:v>0</x:v>
      </x:c>
      <x:c r="S877" s="9" t="n">
        <x:f>H877*Y876*INDEX(tun_MortChild,G877)/4*Q877</x:f>
        <x:v>0</x:v>
      </x:c>
      <x:c r="T877" s="9" t="n">
        <x:f>H877*Z876*INDEX(tun_MortAdult,G877)*Arch_AdultMort/4*Q877</x:f>
        <x:v>0</x:v>
      </x:c>
      <x:c r="U877" s="9" t="n">
        <x:f>H877*AA876*INDEX(tun_MortElder,G877)/4*Q877</x:f>
        <x:v>0</x:v>
      </x:c>
      <x:c r="V877" s="9" t="n">
        <x:f>H877*MAX(0,AB876-O877)*tun_OvercapLoss</x:f>
        <x:v>0</x:v>
      </x:c>
      <x:c r="W877" s="9" t="n">
        <x:f>H877*Y876/(tun_ChildYears*4)</x:f>
        <x:v>0</x:v>
      </x:c>
      <x:c r="X877" s="9" t="n">
        <x:f>H877*Z876/(tun_AdultYears*4)</x:f>
        <x:v>0</x:v>
      </x:c>
      <x:c r="Y877" s="32" t="n">
        <x:f>Y876+R877-S877-W877-Y876*V877/AB876</x:f>
        <x:v>40496.20709015643</x:v>
      </x:c>
      <x:c r="Z877" s="32" t="n">
        <x:f>Z876+W877-X877-T877-Z876*V877/AB876</x:f>
        <x:v>59141.61122890803</x:v>
      </x:c>
      <x:c r="AA877" s="32" t="n">
        <x:f>AA876+X877-U877-AA876*V877/AB876</x:f>
        <x:v>45530.62410925061</x:v>
      </x:c>
      <x:c r="AB877" s="10" t="n">
        <x:f>Y877+Z877+AA877</x:f>
        <x:v>145168.44242831506</x:v>
      </x:c>
      <x:c r="AC877" s="8" t="n">
        <x:f>IF(AND(tun_WinterTrigger=1,D877=1,AB876/AE876&gt;=K877),1,0)</x:f>
        <x:v>0</x:v>
      </x:c>
      <x:c r="AD877" s="8" t="n">
        <x:f>H877*IF(AND(OR(AB876/AE876&gt;=tun_FissionTrigger*N877,AC877=1),AB876/AE876*tun_DaughterShare&gt;=tun_MinDaughter),MAX(1,ROUND(AE876*tun_FissionRate,0)),0)</x:f>
        <x:v>0</x:v>
      </x:c>
      <x:c r="AE877" s="8" t="n">
        <x:f>IF(H877=1,MAX(1,MIN(INDEX(tun_Smax,G877),AE876+AD877)),AE876)</x:f>
        <x:v>9</x:v>
      </x:c>
      <x:c r="AF877" s="8" t="n">
        <x:f>MAX(0,AE877-AE876)</x:f>
        <x:v>0</x:v>
      </x:c>
      <x:c r="AG877" s="9" t="str">
        <x:f>IF(AF877&gt;0,B877,"")</x:f>
      </x:c>
      <x:c r="AH877" s="9" t="n">
        <x:f>IF(F877&gt;=1,1,(1+tun_LowTiesShare*(AE877-1))/AE877)</x:f>
        <x:v>1</x:v>
      </x:c>
      <x:c r="AI877" s="32" t="n">
        <x:f>(Z877+tun_ElderCommons*INDEX(LM_Elder,G877)*AA877)*AH877</x:f>
        <x:v>238215.0665857503</x:v>
      </x:c>
      <x:c r="AJ877" s="32" t="n">
        <x:f>H877*tun_CommonsCoef*AI877^tun_CommonsExp*INDEX(LM_Commons,G877)</x:f>
        <x:v>0</x:v>
      </x:c>
      <x:c r="AK877" s="32" t="n">
        <x:f>H877*tun_RoleScale*Arch_Roles*(AE877*(INDEX(tun_ElderRolePerSett,G877)*tun_OutElder*INDEX(LM_Elder,G877)+INDEX(tun_ShamanPerSett,G877)*tun_OutShaman)+Z877*(INDEX(tun_PriestShare,G877)*tun_OutPriest+INDEX(tun_ScribeShare,G877)*tun_OutScribe*INDEX(LM_Scribe,G877)+INDEX(tun_ScholarShare,G877)*tun_OutScholar*INDEX(LM_Scholar,G877)+INDEX(tun_ResearcherShare,G877)*tun_OutResearcher*INDEX(LM_Researcher,G877)))</x:f>
        <x:v>0</x:v>
      </x:c>
      <x:c r="AL877" s="32" t="n">
        <x:f>H877*tun_RoleScale*Arch_Roles*AE877*INDEX(tun_MonasteryPerSett,G877)*tun_OutMonastery*INDEX(LM_Monastery,G877)</x:f>
        <x:v>0</x:v>
      </x:c>
      <x:c r="AM877" s="32" t="n">
        <x:f>(AJ877+AK877+AL877)/4*INDEX(LM_All,G877)*INDEX(tun_Boon,G877)*Arch_Insight</x:f>
        <x:v>0</x:v>
      </x:c>
      <x:c r="AN877" s="32" t="n">
        <x:f>H877*(tun_KHPerAdult*Z877+tun_KHOfCommons*AJ877/4*INDEX(LM_All,G877))*tun_KHUsable*Arch_KH</x:f>
        <x:v>0</x:v>
      </x:c>
      <x:c r="AO877" s="32" t="n">
        <x:f>MIN(AP876+AN877,AM877*tun_KHMaxRatio)</x:f>
        <x:v>0</x:v>
      </x:c>
      <x:c r="AP877" s="32" t="n">
        <x:f>AP876+AN877-AO877</x:f>
        <x:v>0</x:v>
      </x:c>
      <x:c r="AQ877" s="32" t="n">
        <x:f>AM877+AO877</x:f>
        <x:v>0</x:v>
      </x:c>
      <x:c r="AR877" s="10" t="n">
        <x:f>IF(H877=1,INDEX(tun_Req,G877),0)</x:f>
        <x:v>0</x:v>
      </x:c>
      <x:c r="AS877" s="32" t="n">
        <x:f>IF(H877=1,IF(E877=1,AS876-AR876,AS876)+AQ877,0)</x:f>
        <x:v>0</x:v>
      </x:c>
      <x:c r="AT877" s="11" t="n">
        <x:f>IF(AR877&gt;0,MIN(1,AS877/AR877),1)</x:f>
        <x:v>1</x:v>
      </x:c>
      <x:c r="AU877" s="10" t="n">
        <x:f>AB877/INDEX(tun_RepScale,G877)</x:f>
        <x:v>290.3368848566301</x:v>
      </x:c>
      <x:c r="AV877" s="32" t="n">
        <x:f>AM877*60/tun_SeasonSeconds</x:f>
        <x:v>0</x:v>
      </x:c>
    </x:row>
    <x:row r="878">
      <x:c r="A878" s="8" t="n">
        <x:f>A877+1</x:f>
        <x:v>875</x:v>
      </x:c>
      <x:c r="B878" s="9" t="n">
        <x:f>A878*tun_SeasonSeconds/60</x:f>
        <x:v>218.75</x:v>
      </x:c>
      <x:c r="C878" s="9" t="n">
        <x:f>A878/4</x:f>
        <x:v>218.75</x:v>
      </x:c>
      <x:c r="D878" s="8" t="n">
        <x:f>IF(MOD(A878,4)=0,1,0)</x:f>
        <x:v>0</x:v>
      </x:c>
      <x:c r="E878" s="8" t="n">
        <x:f>IF(AND(F877&lt;=9,AS877&gt;=AR877),1,0)</x:f>
        <x:v>0</x:v>
      </x:c>
      <x:c r="F878" s="8" t="n">
        <x:f>MIN(10,F877+E878)</x:f>
        <x:v>10</x:v>
      </x:c>
      <x:c r="G878" s="8" t="n">
        <x:f>MIN(F878,9)+1</x:f>
        <x:v>10</x:v>
      </x:c>
      <x:c r="H878" s="8" t="n">
        <x:f>IF(F878&lt;=9,1,0)</x:f>
        <x:v>0</x:v>
      </x:c>
      <x:c r="I878" s="9" t="n">
        <x:f>MIN(10,F877+IF(AR877&gt;0,MIN(1,AS877/AR877),1))</x:f>
        <x:v>10</x:v>
      </x:c>
      <x:c r="J878" s="32" t="n">
        <x:f>INDEX(tun_FoodCap,G878)*Arch_FoodCap*EXP(tun_CapsByProject*SUMPRODUCT((Cap_Point&lt;=I878)*(Cap_Kind="Food")*Cap_Ln))</x:f>
        <x:v>18627.260449441455</x:v>
      </x:c>
      <x:c r="K878" s="32" t="n">
        <x:f>J878*MIN(1,tun_LeanBase*EXP(tun_CapsByProject*SUMPRODUCT((Cap_Point&lt;=I878)*(Cap_Kind="Lean")*Cap_Ln)))</x:f>
        <x:v>18627.260449441455</x:v>
      </x:c>
      <x:c r="L878" s="10" t="n">
        <x:f>INDEX(tun_HousingCap,G878)*EXP(tun_CapsByProject*SUMPRODUCT((Cap_Point&lt;=I878)*(Cap_Kind="Housing")*Cap_Ln))</x:f>
        <x:v>20528.974303173167</x:v>
      </x:c>
      <x:c r="M878" s="10" t="n">
        <x:f>INDEX(tun_GroupCap,G878)*tun_CohesionFactor*EXP(tun_CapsByProject*SUMPRODUCT((Cap_Point&lt;=I878)*(Cap_Kind="Group")*Cap_Ln))</x:f>
        <x:v>1000000.000000001</x:v>
      </x:c>
      <x:c r="N878" s="32" t="n">
        <x:f>MIN(J878,L878,M878)</x:f>
        <x:v>18627.260449441455</x:v>
      </x:c>
      <x:c r="O878" s="10" t="n">
        <x:f>AE877*N878</x:f>
        <x:v>167645.34404497308</x:v>
      </x:c>
      <x:c r="P878" s="9" t="n">
        <x:f>MIN(1,(AB877/(AE877*IF(tun_GroupInCrowding=1,N878,MIN(J878,L878))))^tun_CrowdingExp)</x:f>
        <x:v>0.4215841981292809</x:v>
      </x:c>
      <x:c r="Q878" s="9" t="n">
        <x:f>IF(D878=1,INDEX(tun_WinterMult,G878),1)</x:f>
        <x:v>1</x:v>
      </x:c>
      <x:c r="R878" s="9" t="n">
        <x:f>H878*Z877*tun_WomenShare*tun_BaseFertility*INDEX(tun_FertMult,G878)*Arch_Fertility*(1-P878)</x:f>
        <x:v>0</x:v>
      </x:c>
      <x:c r="S878" s="9" t="n">
        <x:f>H878*Y877*INDEX(tun_MortChild,G878)/4*Q878</x:f>
        <x:v>0</x:v>
      </x:c>
      <x:c r="T878" s="9" t="n">
        <x:f>H878*Z877*INDEX(tun_MortAdult,G878)*Arch_AdultMort/4*Q878</x:f>
        <x:v>0</x:v>
      </x:c>
      <x:c r="U878" s="9" t="n">
        <x:f>H878*AA877*INDEX(tun_MortElder,G878)/4*Q878</x:f>
        <x:v>0</x:v>
      </x:c>
      <x:c r="V878" s="9" t="n">
        <x:f>H878*MAX(0,AB877-O878)*tun_OvercapLoss</x:f>
        <x:v>0</x:v>
      </x:c>
      <x:c r="W878" s="9" t="n">
        <x:f>H878*Y877/(tun_ChildYears*4)</x:f>
        <x:v>0</x:v>
      </x:c>
      <x:c r="X878" s="9" t="n">
        <x:f>H878*Z877/(tun_AdultYears*4)</x:f>
        <x:v>0</x:v>
      </x:c>
      <x:c r="Y878" s="32" t="n">
        <x:f>Y877+R878-S878-W878-Y877*V878/AB877</x:f>
        <x:v>40496.20709015643</x:v>
      </x:c>
      <x:c r="Z878" s="32" t="n">
        <x:f>Z877+W878-X878-T878-Z877*V878/AB877</x:f>
        <x:v>59141.61122890803</x:v>
      </x:c>
      <x:c r="AA878" s="32" t="n">
        <x:f>AA877+X878-U878-AA877*V878/AB877</x:f>
        <x:v>45530.62410925061</x:v>
      </x:c>
      <x:c r="AB878" s="10" t="n">
        <x:f>Y878+Z878+AA878</x:f>
        <x:v>145168.44242831506</x:v>
      </x:c>
      <x:c r="AC878" s="8" t="n">
        <x:f>IF(AND(tun_WinterTrigger=1,D878=1,AB877/AE877&gt;=K878),1,0)</x:f>
        <x:v>0</x:v>
      </x:c>
      <x:c r="AD878" s="8" t="n">
        <x:f>H878*IF(AND(OR(AB877/AE877&gt;=tun_FissionTrigger*N878,AC878=1),AB877/AE877*tun_DaughterShare&gt;=tun_MinDaughter),MAX(1,ROUND(AE877*tun_FissionRate,0)),0)</x:f>
        <x:v>0</x:v>
      </x:c>
      <x:c r="AE878" s="8" t="n">
        <x:f>IF(H878=1,MAX(1,MIN(INDEX(tun_Smax,G878),AE877+AD878)),AE877)</x:f>
        <x:v>9</x:v>
      </x:c>
      <x:c r="AF878" s="8" t="n">
        <x:f>MAX(0,AE878-AE877)</x:f>
        <x:v>0</x:v>
      </x:c>
      <x:c r="AG878" s="9" t="str">
        <x:f>IF(AF878&gt;0,B878,"")</x:f>
      </x:c>
      <x:c r="AH878" s="9" t="n">
        <x:f>IF(F878&gt;=1,1,(1+tun_LowTiesShare*(AE878-1))/AE878)</x:f>
        <x:v>1</x:v>
      </x:c>
      <x:c r="AI878" s="32" t="n">
        <x:f>(Z878+tun_ElderCommons*INDEX(LM_Elder,G878)*AA878)*AH878</x:f>
        <x:v>238215.0665857503</x:v>
      </x:c>
      <x:c r="AJ878" s="32" t="n">
        <x:f>H878*tun_CommonsCoef*AI878^tun_CommonsExp*INDEX(LM_Commons,G878)</x:f>
        <x:v>0</x:v>
      </x:c>
      <x:c r="AK878" s="32" t="n">
        <x:f>H878*tun_RoleScale*Arch_Roles*(AE878*(INDEX(tun_ElderRolePerSett,G878)*tun_OutElder*INDEX(LM_Elder,G878)+INDEX(tun_ShamanPerSett,G878)*tun_OutShaman)+Z878*(INDEX(tun_PriestShare,G878)*tun_OutPriest+INDEX(tun_ScribeShare,G878)*tun_OutScribe*INDEX(LM_Scribe,G878)+INDEX(tun_ScholarShare,G878)*tun_OutScholar*INDEX(LM_Scholar,G878)+INDEX(tun_ResearcherShare,G878)*tun_OutResearcher*INDEX(LM_Researcher,G878)))</x:f>
        <x:v>0</x:v>
      </x:c>
      <x:c r="AL878" s="32" t="n">
        <x:f>H878*tun_RoleScale*Arch_Roles*AE878*INDEX(tun_MonasteryPerSett,G878)*tun_OutMonastery*INDEX(LM_Monastery,G878)</x:f>
        <x:v>0</x:v>
      </x:c>
      <x:c r="AM878" s="32" t="n">
        <x:f>(AJ878+AK878+AL878)/4*INDEX(LM_All,G878)*INDEX(tun_Boon,G878)*Arch_Insight</x:f>
        <x:v>0</x:v>
      </x:c>
      <x:c r="AN878" s="32" t="n">
        <x:f>H878*(tun_KHPerAdult*Z878+tun_KHOfCommons*AJ878/4*INDEX(LM_All,G878))*tun_KHUsable*Arch_KH</x:f>
        <x:v>0</x:v>
      </x:c>
      <x:c r="AO878" s="32" t="n">
        <x:f>MIN(AP877+AN878,AM878*tun_KHMaxRatio)</x:f>
        <x:v>0</x:v>
      </x:c>
      <x:c r="AP878" s="32" t="n">
        <x:f>AP877+AN878-AO878</x:f>
        <x:v>0</x:v>
      </x:c>
      <x:c r="AQ878" s="32" t="n">
        <x:f>AM878+AO878</x:f>
        <x:v>0</x:v>
      </x:c>
      <x:c r="AR878" s="10" t="n">
        <x:f>IF(H878=1,INDEX(tun_Req,G878),0)</x:f>
        <x:v>0</x:v>
      </x:c>
      <x:c r="AS878" s="32" t="n">
        <x:f>IF(H878=1,IF(E878=1,AS877-AR877,AS877)+AQ878,0)</x:f>
        <x:v>0</x:v>
      </x:c>
      <x:c r="AT878" s="11" t="n">
        <x:f>IF(AR878&gt;0,MIN(1,AS878/AR878),1)</x:f>
        <x:v>1</x:v>
      </x:c>
      <x:c r="AU878" s="10" t="n">
        <x:f>AB878/INDEX(tun_RepScale,G878)</x:f>
        <x:v>290.3368848566301</x:v>
      </x:c>
      <x:c r="AV878" s="32" t="n">
        <x:f>AM878*60/tun_SeasonSeconds</x:f>
        <x:v>0</x:v>
      </x:c>
    </x:row>
    <x:row r="879">
      <x:c r="A879" s="8" t="n">
        <x:f>A878+1</x:f>
        <x:v>876</x:v>
      </x:c>
      <x:c r="B879" s="9" t="n">
        <x:f>A879*tun_SeasonSeconds/60</x:f>
        <x:v>219</x:v>
      </x:c>
      <x:c r="C879" s="9" t="n">
        <x:f>A879/4</x:f>
        <x:v>219</x:v>
      </x:c>
      <x:c r="D879" s="8" t="n">
        <x:f>IF(MOD(A879,4)=0,1,0)</x:f>
        <x:v>1</x:v>
      </x:c>
      <x:c r="E879" s="8" t="n">
        <x:f>IF(AND(F878&lt;=9,AS878&gt;=AR878),1,0)</x:f>
        <x:v>0</x:v>
      </x:c>
      <x:c r="F879" s="8" t="n">
        <x:f>MIN(10,F878+E879)</x:f>
        <x:v>10</x:v>
      </x:c>
      <x:c r="G879" s="8" t="n">
        <x:f>MIN(F879,9)+1</x:f>
        <x:v>10</x:v>
      </x:c>
      <x:c r="H879" s="8" t="n">
        <x:f>IF(F879&lt;=9,1,0)</x:f>
        <x:v>0</x:v>
      </x:c>
      <x:c r="I879" s="9" t="n">
        <x:f>MIN(10,F878+IF(AR878&gt;0,MIN(1,AS878/AR878),1))</x:f>
        <x:v>10</x:v>
      </x:c>
      <x:c r="J879" s="32" t="n">
        <x:f>INDEX(tun_FoodCap,G879)*Arch_FoodCap*EXP(tun_CapsByProject*SUMPRODUCT((Cap_Point&lt;=I879)*(Cap_Kind="Food")*Cap_Ln))</x:f>
        <x:v>18627.260449441455</x:v>
      </x:c>
      <x:c r="K879" s="32" t="n">
        <x:f>J879*MIN(1,tun_LeanBase*EXP(tun_CapsByProject*SUMPRODUCT((Cap_Point&lt;=I879)*(Cap_Kind="Lean")*Cap_Ln)))</x:f>
        <x:v>18627.260449441455</x:v>
      </x:c>
      <x:c r="L879" s="10" t="n">
        <x:f>INDEX(tun_HousingCap,G879)*EXP(tun_CapsByProject*SUMPRODUCT((Cap_Point&lt;=I879)*(Cap_Kind="Housing")*Cap_Ln))</x:f>
        <x:v>20528.974303173167</x:v>
      </x:c>
      <x:c r="M879" s="10" t="n">
        <x:f>INDEX(tun_GroupCap,G879)*tun_CohesionFactor*EXP(tun_CapsByProject*SUMPRODUCT((Cap_Point&lt;=I879)*(Cap_Kind="Group")*Cap_Ln))</x:f>
        <x:v>1000000.000000001</x:v>
      </x:c>
      <x:c r="N879" s="32" t="n">
        <x:f>MIN(J879,L879,M879)</x:f>
        <x:v>18627.260449441455</x:v>
      </x:c>
      <x:c r="O879" s="10" t="n">
        <x:f>AE878*N879</x:f>
        <x:v>167645.34404497308</x:v>
      </x:c>
      <x:c r="P879" s="9" t="n">
        <x:f>MIN(1,(AB878/(AE878*IF(tun_GroupInCrowding=1,N879,MIN(J879,L879))))^tun_CrowdingExp)</x:f>
        <x:v>0.4215841981292809</x:v>
      </x:c>
      <x:c r="Q879" s="9" t="n">
        <x:f>IF(D879=1,INDEX(tun_WinterMult,G879),1)</x:f>
        <x:v>1.05</x:v>
      </x:c>
      <x:c r="R879" s="9" t="n">
        <x:f>H879*Z878*tun_WomenShare*tun_BaseFertility*INDEX(tun_FertMult,G879)*Arch_Fertility*(1-P879)</x:f>
        <x:v>0</x:v>
      </x:c>
      <x:c r="S879" s="9" t="n">
        <x:f>H879*Y878*INDEX(tun_MortChild,G879)/4*Q879</x:f>
        <x:v>0</x:v>
      </x:c>
      <x:c r="T879" s="9" t="n">
        <x:f>H879*Z878*INDEX(tun_MortAdult,G879)*Arch_AdultMort/4*Q879</x:f>
        <x:v>0</x:v>
      </x:c>
      <x:c r="U879" s="9" t="n">
        <x:f>H879*AA878*INDEX(tun_MortElder,G879)/4*Q879</x:f>
        <x:v>0</x:v>
      </x:c>
      <x:c r="V879" s="9" t="n">
        <x:f>H879*MAX(0,AB878-O879)*tun_OvercapLoss</x:f>
        <x:v>0</x:v>
      </x:c>
      <x:c r="W879" s="9" t="n">
        <x:f>H879*Y878/(tun_ChildYears*4)</x:f>
        <x:v>0</x:v>
      </x:c>
      <x:c r="X879" s="9" t="n">
        <x:f>H879*Z878/(tun_AdultYears*4)</x:f>
        <x:v>0</x:v>
      </x:c>
      <x:c r="Y879" s="32" t="n">
        <x:f>Y878+R879-S879-W879-Y878*V879/AB878</x:f>
        <x:v>40496.20709015643</x:v>
      </x:c>
      <x:c r="Z879" s="32" t="n">
        <x:f>Z878+W879-X879-T879-Z878*V879/AB878</x:f>
        <x:v>59141.61122890803</x:v>
      </x:c>
      <x:c r="AA879" s="32" t="n">
        <x:f>AA878+X879-U879-AA878*V879/AB878</x:f>
        <x:v>45530.62410925061</x:v>
      </x:c>
      <x:c r="AB879" s="10" t="n">
        <x:f>Y879+Z879+AA879</x:f>
        <x:v>145168.44242831506</x:v>
      </x:c>
      <x:c r="AC879" s="8" t="n">
        <x:f>IF(AND(tun_WinterTrigger=1,D879=1,AB878/AE878&gt;=K879),1,0)</x:f>
        <x:v>0</x:v>
      </x:c>
      <x:c r="AD879" s="8" t="n">
        <x:f>H879*IF(AND(OR(AB878/AE878&gt;=tun_FissionTrigger*N879,AC879=1),AB878/AE878*tun_DaughterShare&gt;=tun_MinDaughter),MAX(1,ROUND(AE878*tun_FissionRate,0)),0)</x:f>
        <x:v>0</x:v>
      </x:c>
      <x:c r="AE879" s="8" t="n">
        <x:f>IF(H879=1,MAX(1,MIN(INDEX(tun_Smax,G879),AE878+AD879)),AE878)</x:f>
        <x:v>9</x:v>
      </x:c>
      <x:c r="AF879" s="8" t="n">
        <x:f>MAX(0,AE879-AE878)</x:f>
        <x:v>0</x:v>
      </x:c>
      <x:c r="AG879" s="9" t="str">
        <x:f>IF(AF879&gt;0,B879,"")</x:f>
      </x:c>
      <x:c r="AH879" s="9" t="n">
        <x:f>IF(F879&gt;=1,1,(1+tun_LowTiesShare*(AE879-1))/AE879)</x:f>
        <x:v>1</x:v>
      </x:c>
      <x:c r="AI879" s="32" t="n">
        <x:f>(Z879+tun_ElderCommons*INDEX(LM_Elder,G879)*AA879)*AH879</x:f>
        <x:v>238215.0665857503</x:v>
      </x:c>
      <x:c r="AJ879" s="32" t="n">
        <x:f>H879*tun_CommonsCoef*AI879^tun_CommonsExp*INDEX(LM_Commons,G879)</x:f>
        <x:v>0</x:v>
      </x:c>
      <x:c r="AK879" s="32" t="n">
        <x:f>H879*tun_RoleScale*Arch_Roles*(AE879*(INDEX(tun_ElderRolePerSett,G879)*tun_OutElder*INDEX(LM_Elder,G879)+INDEX(tun_ShamanPerSett,G879)*tun_OutShaman)+Z879*(INDEX(tun_PriestShare,G879)*tun_OutPriest+INDEX(tun_ScribeShare,G879)*tun_OutScribe*INDEX(LM_Scribe,G879)+INDEX(tun_ScholarShare,G879)*tun_OutScholar*INDEX(LM_Scholar,G879)+INDEX(tun_ResearcherShare,G879)*tun_OutResearcher*INDEX(LM_Researcher,G879)))</x:f>
        <x:v>0</x:v>
      </x:c>
      <x:c r="AL879" s="32" t="n">
        <x:f>H879*tun_RoleScale*Arch_Roles*AE879*INDEX(tun_MonasteryPerSett,G879)*tun_OutMonastery*INDEX(LM_Monastery,G879)</x:f>
        <x:v>0</x:v>
      </x:c>
      <x:c r="AM879" s="32" t="n">
        <x:f>(AJ879+AK879+AL879)/4*INDEX(LM_All,G879)*INDEX(tun_Boon,G879)*Arch_Insight</x:f>
        <x:v>0</x:v>
      </x:c>
      <x:c r="AN879" s="32" t="n">
        <x:f>H879*(tun_KHPerAdult*Z879+tun_KHOfCommons*AJ879/4*INDEX(LM_All,G879))*tun_KHUsable*Arch_KH</x:f>
        <x:v>0</x:v>
      </x:c>
      <x:c r="AO879" s="32" t="n">
        <x:f>MIN(AP878+AN879,AM879*tun_KHMaxRatio)</x:f>
        <x:v>0</x:v>
      </x:c>
      <x:c r="AP879" s="32" t="n">
        <x:f>AP878+AN879-AO879</x:f>
        <x:v>0</x:v>
      </x:c>
      <x:c r="AQ879" s="32" t="n">
        <x:f>AM879+AO879</x:f>
        <x:v>0</x:v>
      </x:c>
      <x:c r="AR879" s="10" t="n">
        <x:f>IF(H879=1,INDEX(tun_Req,G879),0)</x:f>
        <x:v>0</x:v>
      </x:c>
      <x:c r="AS879" s="32" t="n">
        <x:f>IF(H879=1,IF(E879=1,AS878-AR878,AS878)+AQ879,0)</x:f>
        <x:v>0</x:v>
      </x:c>
      <x:c r="AT879" s="11" t="n">
        <x:f>IF(AR879&gt;0,MIN(1,AS879/AR879),1)</x:f>
        <x:v>1</x:v>
      </x:c>
      <x:c r="AU879" s="10" t="n">
        <x:f>AB879/INDEX(tun_RepScale,G879)</x:f>
        <x:v>290.3368848566301</x:v>
      </x:c>
      <x:c r="AV879" s="32" t="n">
        <x:f>AM879*60/tun_SeasonSeconds</x:f>
        <x:v>0</x:v>
      </x:c>
    </x:row>
    <x:row r="880">
      <x:c r="A880" s="8" t="n">
        <x:f>A879+1</x:f>
        <x:v>877</x:v>
      </x:c>
      <x:c r="B880" s="9" t="n">
        <x:f>A880*tun_SeasonSeconds/60</x:f>
        <x:v>219.25</x:v>
      </x:c>
      <x:c r="C880" s="9" t="n">
        <x:f>A880/4</x:f>
        <x:v>219.25</x:v>
      </x:c>
      <x:c r="D880" s="8" t="n">
        <x:f>IF(MOD(A880,4)=0,1,0)</x:f>
        <x:v>0</x:v>
      </x:c>
      <x:c r="E880" s="8" t="n">
        <x:f>IF(AND(F879&lt;=9,AS879&gt;=AR879),1,0)</x:f>
        <x:v>0</x:v>
      </x:c>
      <x:c r="F880" s="8" t="n">
        <x:f>MIN(10,F879+E880)</x:f>
        <x:v>10</x:v>
      </x:c>
      <x:c r="G880" s="8" t="n">
        <x:f>MIN(F880,9)+1</x:f>
        <x:v>10</x:v>
      </x:c>
      <x:c r="H880" s="8" t="n">
        <x:f>IF(F880&lt;=9,1,0)</x:f>
        <x:v>0</x:v>
      </x:c>
      <x:c r="I880" s="9" t="n">
        <x:f>MIN(10,F879+IF(AR879&gt;0,MIN(1,AS879/AR879),1))</x:f>
        <x:v>10</x:v>
      </x:c>
      <x:c r="J880" s="32" t="n">
        <x:f>INDEX(tun_FoodCap,G880)*Arch_FoodCap*EXP(tun_CapsByProject*SUMPRODUCT((Cap_Point&lt;=I880)*(Cap_Kind="Food")*Cap_Ln))</x:f>
        <x:v>18627.260449441455</x:v>
      </x:c>
      <x:c r="K880" s="32" t="n">
        <x:f>J880*MIN(1,tun_LeanBase*EXP(tun_CapsByProject*SUMPRODUCT((Cap_Point&lt;=I880)*(Cap_Kind="Lean")*Cap_Ln)))</x:f>
        <x:v>18627.260449441455</x:v>
      </x:c>
      <x:c r="L880" s="10" t="n">
        <x:f>INDEX(tun_HousingCap,G880)*EXP(tun_CapsByProject*SUMPRODUCT((Cap_Point&lt;=I880)*(Cap_Kind="Housing")*Cap_Ln))</x:f>
        <x:v>20528.974303173167</x:v>
      </x:c>
      <x:c r="M880" s="10" t="n">
        <x:f>INDEX(tun_GroupCap,G880)*tun_CohesionFactor*EXP(tun_CapsByProject*SUMPRODUCT((Cap_Point&lt;=I880)*(Cap_Kind="Group")*Cap_Ln))</x:f>
        <x:v>1000000.000000001</x:v>
      </x:c>
      <x:c r="N880" s="32" t="n">
        <x:f>MIN(J880,L880,M880)</x:f>
        <x:v>18627.260449441455</x:v>
      </x:c>
      <x:c r="O880" s="10" t="n">
        <x:f>AE879*N880</x:f>
        <x:v>167645.34404497308</x:v>
      </x:c>
      <x:c r="P880" s="9" t="n">
        <x:f>MIN(1,(AB879/(AE879*IF(tun_GroupInCrowding=1,N880,MIN(J880,L880))))^tun_CrowdingExp)</x:f>
        <x:v>0.4215841981292809</x:v>
      </x:c>
      <x:c r="Q880" s="9" t="n">
        <x:f>IF(D880=1,INDEX(tun_WinterMult,G880),1)</x:f>
        <x:v>1</x:v>
      </x:c>
      <x:c r="R880" s="9" t="n">
        <x:f>H880*Z879*tun_WomenShare*tun_BaseFertility*INDEX(tun_FertMult,G880)*Arch_Fertility*(1-P880)</x:f>
        <x:v>0</x:v>
      </x:c>
      <x:c r="S880" s="9" t="n">
        <x:f>H880*Y879*INDEX(tun_MortChild,G880)/4*Q880</x:f>
        <x:v>0</x:v>
      </x:c>
      <x:c r="T880" s="9" t="n">
        <x:f>H880*Z879*INDEX(tun_MortAdult,G880)*Arch_AdultMort/4*Q880</x:f>
        <x:v>0</x:v>
      </x:c>
      <x:c r="U880" s="9" t="n">
        <x:f>H880*AA879*INDEX(tun_MortElder,G880)/4*Q880</x:f>
        <x:v>0</x:v>
      </x:c>
      <x:c r="V880" s="9" t="n">
        <x:f>H880*MAX(0,AB879-O880)*tun_OvercapLoss</x:f>
        <x:v>0</x:v>
      </x:c>
      <x:c r="W880" s="9" t="n">
        <x:f>H880*Y879/(tun_ChildYears*4)</x:f>
        <x:v>0</x:v>
      </x:c>
      <x:c r="X880" s="9" t="n">
        <x:f>H880*Z879/(tun_AdultYears*4)</x:f>
        <x:v>0</x:v>
      </x:c>
      <x:c r="Y880" s="32" t="n">
        <x:f>Y879+R880-S880-W880-Y879*V880/AB879</x:f>
        <x:v>40496.20709015643</x:v>
      </x:c>
      <x:c r="Z880" s="32" t="n">
        <x:f>Z879+W880-X880-T880-Z879*V880/AB879</x:f>
        <x:v>59141.61122890803</x:v>
      </x:c>
      <x:c r="AA880" s="32" t="n">
        <x:f>AA879+X880-U880-AA879*V880/AB879</x:f>
        <x:v>45530.62410925061</x:v>
      </x:c>
      <x:c r="AB880" s="10" t="n">
        <x:f>Y880+Z880+AA880</x:f>
        <x:v>145168.44242831506</x:v>
      </x:c>
      <x:c r="AC880" s="8" t="n">
        <x:f>IF(AND(tun_WinterTrigger=1,D880=1,AB879/AE879&gt;=K880),1,0)</x:f>
        <x:v>0</x:v>
      </x:c>
      <x:c r="AD880" s="8" t="n">
        <x:f>H880*IF(AND(OR(AB879/AE879&gt;=tun_FissionTrigger*N880,AC880=1),AB879/AE879*tun_DaughterShare&gt;=tun_MinDaughter),MAX(1,ROUND(AE879*tun_FissionRate,0)),0)</x:f>
        <x:v>0</x:v>
      </x:c>
      <x:c r="AE880" s="8" t="n">
        <x:f>IF(H880=1,MAX(1,MIN(INDEX(tun_Smax,G880),AE879+AD880)),AE879)</x:f>
        <x:v>9</x:v>
      </x:c>
      <x:c r="AF880" s="8" t="n">
        <x:f>MAX(0,AE880-AE879)</x:f>
        <x:v>0</x:v>
      </x:c>
      <x:c r="AG880" s="9" t="str">
        <x:f>IF(AF880&gt;0,B880,"")</x:f>
      </x:c>
      <x:c r="AH880" s="9" t="n">
        <x:f>IF(F880&gt;=1,1,(1+tun_LowTiesShare*(AE880-1))/AE880)</x:f>
        <x:v>1</x:v>
      </x:c>
      <x:c r="AI880" s="32" t="n">
        <x:f>(Z880+tun_ElderCommons*INDEX(LM_Elder,G880)*AA880)*AH880</x:f>
        <x:v>238215.0665857503</x:v>
      </x:c>
      <x:c r="AJ880" s="32" t="n">
        <x:f>H880*tun_CommonsCoef*AI880^tun_CommonsExp*INDEX(LM_Commons,G880)</x:f>
        <x:v>0</x:v>
      </x:c>
      <x:c r="AK880" s="32" t="n">
        <x:f>H880*tun_RoleScale*Arch_Roles*(AE880*(INDEX(tun_ElderRolePerSett,G880)*tun_OutElder*INDEX(LM_Elder,G880)+INDEX(tun_ShamanPerSett,G880)*tun_OutShaman)+Z880*(INDEX(tun_PriestShare,G880)*tun_OutPriest+INDEX(tun_ScribeShare,G880)*tun_OutScribe*INDEX(LM_Scribe,G880)+INDEX(tun_ScholarShare,G880)*tun_OutScholar*INDEX(LM_Scholar,G880)+INDEX(tun_ResearcherShare,G880)*tun_OutResearcher*INDEX(LM_Researcher,G880)))</x:f>
        <x:v>0</x:v>
      </x:c>
      <x:c r="AL880" s="32" t="n">
        <x:f>H880*tun_RoleScale*Arch_Roles*AE880*INDEX(tun_MonasteryPerSett,G880)*tun_OutMonastery*INDEX(LM_Monastery,G880)</x:f>
        <x:v>0</x:v>
      </x:c>
      <x:c r="AM880" s="32" t="n">
        <x:f>(AJ880+AK880+AL880)/4*INDEX(LM_All,G880)*INDEX(tun_Boon,G880)*Arch_Insight</x:f>
        <x:v>0</x:v>
      </x:c>
      <x:c r="AN880" s="32" t="n">
        <x:f>H880*(tun_KHPerAdult*Z880+tun_KHOfCommons*AJ880/4*INDEX(LM_All,G880))*tun_KHUsable*Arch_KH</x:f>
        <x:v>0</x:v>
      </x:c>
      <x:c r="AO880" s="32" t="n">
        <x:f>MIN(AP879+AN880,AM880*tun_KHMaxRatio)</x:f>
        <x:v>0</x:v>
      </x:c>
      <x:c r="AP880" s="32" t="n">
        <x:f>AP879+AN880-AO880</x:f>
        <x:v>0</x:v>
      </x:c>
      <x:c r="AQ880" s="32" t="n">
        <x:f>AM880+AO880</x:f>
        <x:v>0</x:v>
      </x:c>
      <x:c r="AR880" s="10" t="n">
        <x:f>IF(H880=1,INDEX(tun_Req,G880),0)</x:f>
        <x:v>0</x:v>
      </x:c>
      <x:c r="AS880" s="32" t="n">
        <x:f>IF(H880=1,IF(E880=1,AS879-AR879,AS879)+AQ880,0)</x:f>
        <x:v>0</x:v>
      </x:c>
      <x:c r="AT880" s="11" t="n">
        <x:f>IF(AR880&gt;0,MIN(1,AS880/AR880),1)</x:f>
        <x:v>1</x:v>
      </x:c>
      <x:c r="AU880" s="10" t="n">
        <x:f>AB880/INDEX(tun_RepScale,G880)</x:f>
        <x:v>290.3368848566301</x:v>
      </x:c>
      <x:c r="AV880" s="32" t="n">
        <x:f>AM880*60/tun_SeasonSeconds</x:f>
        <x:v>0</x:v>
      </x:c>
    </x:row>
    <x:row r="881">
      <x:c r="A881" s="8" t="n">
        <x:f>A880+1</x:f>
        <x:v>878</x:v>
      </x:c>
      <x:c r="B881" s="9" t="n">
        <x:f>A881*tun_SeasonSeconds/60</x:f>
        <x:v>219.5</x:v>
      </x:c>
      <x:c r="C881" s="9" t="n">
        <x:f>A881/4</x:f>
        <x:v>219.5</x:v>
      </x:c>
      <x:c r="D881" s="8" t="n">
        <x:f>IF(MOD(A881,4)=0,1,0)</x:f>
        <x:v>0</x:v>
      </x:c>
      <x:c r="E881" s="8" t="n">
        <x:f>IF(AND(F880&lt;=9,AS880&gt;=AR880),1,0)</x:f>
        <x:v>0</x:v>
      </x:c>
      <x:c r="F881" s="8" t="n">
        <x:f>MIN(10,F880+E881)</x:f>
        <x:v>10</x:v>
      </x:c>
      <x:c r="G881" s="8" t="n">
        <x:f>MIN(F881,9)+1</x:f>
        <x:v>10</x:v>
      </x:c>
      <x:c r="H881" s="8" t="n">
        <x:f>IF(F881&lt;=9,1,0)</x:f>
        <x:v>0</x:v>
      </x:c>
      <x:c r="I881" s="9" t="n">
        <x:f>MIN(10,F880+IF(AR880&gt;0,MIN(1,AS880/AR880),1))</x:f>
        <x:v>10</x:v>
      </x:c>
      <x:c r="J881" s="32" t="n">
        <x:f>INDEX(tun_FoodCap,G881)*Arch_FoodCap*EXP(tun_CapsByProject*SUMPRODUCT((Cap_Point&lt;=I881)*(Cap_Kind="Food")*Cap_Ln))</x:f>
        <x:v>18627.260449441455</x:v>
      </x:c>
      <x:c r="K881" s="32" t="n">
        <x:f>J881*MIN(1,tun_LeanBase*EXP(tun_CapsByProject*SUMPRODUCT((Cap_Point&lt;=I881)*(Cap_Kind="Lean")*Cap_Ln)))</x:f>
        <x:v>18627.260449441455</x:v>
      </x:c>
      <x:c r="L881" s="10" t="n">
        <x:f>INDEX(tun_HousingCap,G881)*EXP(tun_CapsByProject*SUMPRODUCT((Cap_Point&lt;=I881)*(Cap_Kind="Housing")*Cap_Ln))</x:f>
        <x:v>20528.974303173167</x:v>
      </x:c>
      <x:c r="M881" s="10" t="n">
        <x:f>INDEX(tun_GroupCap,G881)*tun_CohesionFactor*EXP(tun_CapsByProject*SUMPRODUCT((Cap_Point&lt;=I881)*(Cap_Kind="Group")*Cap_Ln))</x:f>
        <x:v>1000000.000000001</x:v>
      </x:c>
      <x:c r="N881" s="32" t="n">
        <x:f>MIN(J881,L881,M881)</x:f>
        <x:v>18627.260449441455</x:v>
      </x:c>
      <x:c r="O881" s="10" t="n">
        <x:f>AE880*N881</x:f>
        <x:v>167645.34404497308</x:v>
      </x:c>
      <x:c r="P881" s="9" t="n">
        <x:f>MIN(1,(AB880/(AE880*IF(tun_GroupInCrowding=1,N881,MIN(J881,L881))))^tun_CrowdingExp)</x:f>
        <x:v>0.4215841981292809</x:v>
      </x:c>
      <x:c r="Q881" s="9" t="n">
        <x:f>IF(D881=1,INDEX(tun_WinterMult,G881),1)</x:f>
        <x:v>1</x:v>
      </x:c>
      <x:c r="R881" s="9" t="n">
        <x:f>H881*Z880*tun_WomenShare*tun_BaseFertility*INDEX(tun_FertMult,G881)*Arch_Fertility*(1-P881)</x:f>
        <x:v>0</x:v>
      </x:c>
      <x:c r="S881" s="9" t="n">
        <x:f>H881*Y880*INDEX(tun_MortChild,G881)/4*Q881</x:f>
        <x:v>0</x:v>
      </x:c>
      <x:c r="T881" s="9" t="n">
        <x:f>H881*Z880*INDEX(tun_MortAdult,G881)*Arch_AdultMort/4*Q881</x:f>
        <x:v>0</x:v>
      </x:c>
      <x:c r="U881" s="9" t="n">
        <x:f>H881*AA880*INDEX(tun_MortElder,G881)/4*Q881</x:f>
        <x:v>0</x:v>
      </x:c>
      <x:c r="V881" s="9" t="n">
        <x:f>H881*MAX(0,AB880-O881)*tun_OvercapLoss</x:f>
        <x:v>0</x:v>
      </x:c>
      <x:c r="W881" s="9" t="n">
        <x:f>H881*Y880/(tun_ChildYears*4)</x:f>
        <x:v>0</x:v>
      </x:c>
      <x:c r="X881" s="9" t="n">
        <x:f>H881*Z880/(tun_AdultYears*4)</x:f>
        <x:v>0</x:v>
      </x:c>
      <x:c r="Y881" s="32" t="n">
        <x:f>Y880+R881-S881-W881-Y880*V881/AB880</x:f>
        <x:v>40496.20709015643</x:v>
      </x:c>
      <x:c r="Z881" s="32" t="n">
        <x:f>Z880+W881-X881-T881-Z880*V881/AB880</x:f>
        <x:v>59141.61122890803</x:v>
      </x:c>
      <x:c r="AA881" s="32" t="n">
        <x:f>AA880+X881-U881-AA880*V881/AB880</x:f>
        <x:v>45530.62410925061</x:v>
      </x:c>
      <x:c r="AB881" s="10" t="n">
        <x:f>Y881+Z881+AA881</x:f>
        <x:v>145168.44242831506</x:v>
      </x:c>
      <x:c r="AC881" s="8" t="n">
        <x:f>IF(AND(tun_WinterTrigger=1,D881=1,AB880/AE880&gt;=K881),1,0)</x:f>
        <x:v>0</x:v>
      </x:c>
      <x:c r="AD881" s="8" t="n">
        <x:f>H881*IF(AND(OR(AB880/AE880&gt;=tun_FissionTrigger*N881,AC881=1),AB880/AE880*tun_DaughterShare&gt;=tun_MinDaughter),MAX(1,ROUND(AE880*tun_FissionRate,0)),0)</x:f>
        <x:v>0</x:v>
      </x:c>
      <x:c r="AE881" s="8" t="n">
        <x:f>IF(H881=1,MAX(1,MIN(INDEX(tun_Smax,G881),AE880+AD881)),AE880)</x:f>
        <x:v>9</x:v>
      </x:c>
      <x:c r="AF881" s="8" t="n">
        <x:f>MAX(0,AE881-AE880)</x:f>
        <x:v>0</x:v>
      </x:c>
      <x:c r="AG881" s="9" t="str">
        <x:f>IF(AF881&gt;0,B881,"")</x:f>
      </x:c>
      <x:c r="AH881" s="9" t="n">
        <x:f>IF(F881&gt;=1,1,(1+tun_LowTiesShare*(AE881-1))/AE881)</x:f>
        <x:v>1</x:v>
      </x:c>
      <x:c r="AI881" s="32" t="n">
        <x:f>(Z881+tun_ElderCommons*INDEX(LM_Elder,G881)*AA881)*AH881</x:f>
        <x:v>238215.0665857503</x:v>
      </x:c>
      <x:c r="AJ881" s="32" t="n">
        <x:f>H881*tun_CommonsCoef*AI881^tun_CommonsExp*INDEX(LM_Commons,G881)</x:f>
        <x:v>0</x:v>
      </x:c>
      <x:c r="AK881" s="32" t="n">
        <x:f>H881*tun_RoleScale*Arch_Roles*(AE881*(INDEX(tun_ElderRolePerSett,G881)*tun_OutElder*INDEX(LM_Elder,G881)+INDEX(tun_ShamanPerSett,G881)*tun_OutShaman)+Z881*(INDEX(tun_PriestShare,G881)*tun_OutPriest+INDEX(tun_ScribeShare,G881)*tun_OutScribe*INDEX(LM_Scribe,G881)+INDEX(tun_ScholarShare,G881)*tun_OutScholar*INDEX(LM_Scholar,G881)+INDEX(tun_ResearcherShare,G881)*tun_OutResearcher*INDEX(LM_Researcher,G881)))</x:f>
        <x:v>0</x:v>
      </x:c>
      <x:c r="AL881" s="32" t="n">
        <x:f>H881*tun_RoleScale*Arch_Roles*AE881*INDEX(tun_MonasteryPerSett,G881)*tun_OutMonastery*INDEX(LM_Monastery,G881)</x:f>
        <x:v>0</x:v>
      </x:c>
      <x:c r="AM881" s="32" t="n">
        <x:f>(AJ881+AK881+AL881)/4*INDEX(LM_All,G881)*INDEX(tun_Boon,G881)*Arch_Insight</x:f>
        <x:v>0</x:v>
      </x:c>
      <x:c r="AN881" s="32" t="n">
        <x:f>H881*(tun_KHPerAdult*Z881+tun_KHOfCommons*AJ881/4*INDEX(LM_All,G881))*tun_KHUsable*Arch_KH</x:f>
        <x:v>0</x:v>
      </x:c>
      <x:c r="AO881" s="32" t="n">
        <x:f>MIN(AP880+AN881,AM881*tun_KHMaxRatio)</x:f>
        <x:v>0</x:v>
      </x:c>
      <x:c r="AP881" s="32" t="n">
        <x:f>AP880+AN881-AO881</x:f>
        <x:v>0</x:v>
      </x:c>
      <x:c r="AQ881" s="32" t="n">
        <x:f>AM881+AO881</x:f>
        <x:v>0</x:v>
      </x:c>
      <x:c r="AR881" s="10" t="n">
        <x:f>IF(H881=1,INDEX(tun_Req,G881),0)</x:f>
        <x:v>0</x:v>
      </x:c>
      <x:c r="AS881" s="32" t="n">
        <x:f>IF(H881=1,IF(E881=1,AS880-AR880,AS880)+AQ881,0)</x:f>
        <x:v>0</x:v>
      </x:c>
      <x:c r="AT881" s="11" t="n">
        <x:f>IF(AR881&gt;0,MIN(1,AS881/AR881),1)</x:f>
        <x:v>1</x:v>
      </x:c>
      <x:c r="AU881" s="10" t="n">
        <x:f>AB881/INDEX(tun_RepScale,G881)</x:f>
        <x:v>290.3368848566301</x:v>
      </x:c>
      <x:c r="AV881" s="32" t="n">
        <x:f>AM881*60/tun_SeasonSeconds</x:f>
        <x:v>0</x:v>
      </x:c>
    </x:row>
    <x:row r="882">
      <x:c r="A882" s="8" t="n">
        <x:f>A881+1</x:f>
        <x:v>879</x:v>
      </x:c>
      <x:c r="B882" s="9" t="n">
        <x:f>A882*tun_SeasonSeconds/60</x:f>
        <x:v>219.75</x:v>
      </x:c>
      <x:c r="C882" s="9" t="n">
        <x:f>A882/4</x:f>
        <x:v>219.75</x:v>
      </x:c>
      <x:c r="D882" s="8" t="n">
        <x:f>IF(MOD(A882,4)=0,1,0)</x:f>
        <x:v>0</x:v>
      </x:c>
      <x:c r="E882" s="8" t="n">
        <x:f>IF(AND(F881&lt;=9,AS881&gt;=AR881),1,0)</x:f>
        <x:v>0</x:v>
      </x:c>
      <x:c r="F882" s="8" t="n">
        <x:f>MIN(10,F881+E882)</x:f>
        <x:v>10</x:v>
      </x:c>
      <x:c r="G882" s="8" t="n">
        <x:f>MIN(F882,9)+1</x:f>
        <x:v>10</x:v>
      </x:c>
      <x:c r="H882" s="8" t="n">
        <x:f>IF(F882&lt;=9,1,0)</x:f>
        <x:v>0</x:v>
      </x:c>
      <x:c r="I882" s="9" t="n">
        <x:f>MIN(10,F881+IF(AR881&gt;0,MIN(1,AS881/AR881),1))</x:f>
        <x:v>10</x:v>
      </x:c>
      <x:c r="J882" s="32" t="n">
        <x:f>INDEX(tun_FoodCap,G882)*Arch_FoodCap*EXP(tun_CapsByProject*SUMPRODUCT((Cap_Point&lt;=I882)*(Cap_Kind="Food")*Cap_Ln))</x:f>
        <x:v>18627.260449441455</x:v>
      </x:c>
      <x:c r="K882" s="32" t="n">
        <x:f>J882*MIN(1,tun_LeanBase*EXP(tun_CapsByProject*SUMPRODUCT((Cap_Point&lt;=I882)*(Cap_Kind="Lean")*Cap_Ln)))</x:f>
        <x:v>18627.260449441455</x:v>
      </x:c>
      <x:c r="L882" s="10" t="n">
        <x:f>INDEX(tun_HousingCap,G882)*EXP(tun_CapsByProject*SUMPRODUCT((Cap_Point&lt;=I882)*(Cap_Kind="Housing")*Cap_Ln))</x:f>
        <x:v>20528.974303173167</x:v>
      </x:c>
      <x:c r="M882" s="10" t="n">
        <x:f>INDEX(tun_GroupCap,G882)*tun_CohesionFactor*EXP(tun_CapsByProject*SUMPRODUCT((Cap_Point&lt;=I882)*(Cap_Kind="Group")*Cap_Ln))</x:f>
        <x:v>1000000.000000001</x:v>
      </x:c>
      <x:c r="N882" s="32" t="n">
        <x:f>MIN(J882,L882,M882)</x:f>
        <x:v>18627.260449441455</x:v>
      </x:c>
      <x:c r="O882" s="10" t="n">
        <x:f>AE881*N882</x:f>
        <x:v>167645.34404497308</x:v>
      </x:c>
      <x:c r="P882" s="9" t="n">
        <x:f>MIN(1,(AB881/(AE881*IF(tun_GroupInCrowding=1,N882,MIN(J882,L882))))^tun_CrowdingExp)</x:f>
        <x:v>0.4215841981292809</x:v>
      </x:c>
      <x:c r="Q882" s="9" t="n">
        <x:f>IF(D882=1,INDEX(tun_WinterMult,G882),1)</x:f>
        <x:v>1</x:v>
      </x:c>
      <x:c r="R882" s="9" t="n">
        <x:f>H882*Z881*tun_WomenShare*tun_BaseFertility*INDEX(tun_FertMult,G882)*Arch_Fertility*(1-P882)</x:f>
        <x:v>0</x:v>
      </x:c>
      <x:c r="S882" s="9" t="n">
        <x:f>H882*Y881*INDEX(tun_MortChild,G882)/4*Q882</x:f>
        <x:v>0</x:v>
      </x:c>
      <x:c r="T882" s="9" t="n">
        <x:f>H882*Z881*INDEX(tun_MortAdult,G882)*Arch_AdultMort/4*Q882</x:f>
        <x:v>0</x:v>
      </x:c>
      <x:c r="U882" s="9" t="n">
        <x:f>H882*AA881*INDEX(tun_MortElder,G882)/4*Q882</x:f>
        <x:v>0</x:v>
      </x:c>
      <x:c r="V882" s="9" t="n">
        <x:f>H882*MAX(0,AB881-O882)*tun_OvercapLoss</x:f>
        <x:v>0</x:v>
      </x:c>
      <x:c r="W882" s="9" t="n">
        <x:f>H882*Y881/(tun_ChildYears*4)</x:f>
        <x:v>0</x:v>
      </x:c>
      <x:c r="X882" s="9" t="n">
        <x:f>H882*Z881/(tun_AdultYears*4)</x:f>
        <x:v>0</x:v>
      </x:c>
      <x:c r="Y882" s="32" t="n">
        <x:f>Y881+R882-S882-W882-Y881*V882/AB881</x:f>
        <x:v>40496.20709015643</x:v>
      </x:c>
      <x:c r="Z882" s="32" t="n">
        <x:f>Z881+W882-X882-T882-Z881*V882/AB881</x:f>
        <x:v>59141.61122890803</x:v>
      </x:c>
      <x:c r="AA882" s="32" t="n">
        <x:f>AA881+X882-U882-AA881*V882/AB881</x:f>
        <x:v>45530.62410925061</x:v>
      </x:c>
      <x:c r="AB882" s="10" t="n">
        <x:f>Y882+Z882+AA882</x:f>
        <x:v>145168.44242831506</x:v>
      </x:c>
      <x:c r="AC882" s="8" t="n">
        <x:f>IF(AND(tun_WinterTrigger=1,D882=1,AB881/AE881&gt;=K882),1,0)</x:f>
        <x:v>0</x:v>
      </x:c>
      <x:c r="AD882" s="8" t="n">
        <x:f>H882*IF(AND(OR(AB881/AE881&gt;=tun_FissionTrigger*N882,AC882=1),AB881/AE881*tun_DaughterShare&gt;=tun_MinDaughter),MAX(1,ROUND(AE881*tun_FissionRate,0)),0)</x:f>
        <x:v>0</x:v>
      </x:c>
      <x:c r="AE882" s="8" t="n">
        <x:f>IF(H882=1,MAX(1,MIN(INDEX(tun_Smax,G882),AE881+AD882)),AE881)</x:f>
        <x:v>9</x:v>
      </x:c>
      <x:c r="AF882" s="8" t="n">
        <x:f>MAX(0,AE882-AE881)</x:f>
        <x:v>0</x:v>
      </x:c>
      <x:c r="AG882" s="9" t="str">
        <x:f>IF(AF882&gt;0,B882,"")</x:f>
      </x:c>
      <x:c r="AH882" s="9" t="n">
        <x:f>IF(F882&gt;=1,1,(1+tun_LowTiesShare*(AE882-1))/AE882)</x:f>
        <x:v>1</x:v>
      </x:c>
      <x:c r="AI882" s="32" t="n">
        <x:f>(Z882+tun_ElderCommons*INDEX(LM_Elder,G882)*AA882)*AH882</x:f>
        <x:v>238215.0665857503</x:v>
      </x:c>
      <x:c r="AJ882" s="32" t="n">
        <x:f>H882*tun_CommonsCoef*AI882^tun_CommonsExp*INDEX(LM_Commons,G882)</x:f>
        <x:v>0</x:v>
      </x:c>
      <x:c r="AK882" s="32" t="n">
        <x:f>H882*tun_RoleScale*Arch_Roles*(AE882*(INDEX(tun_ElderRolePerSett,G882)*tun_OutElder*INDEX(LM_Elder,G882)+INDEX(tun_ShamanPerSett,G882)*tun_OutShaman)+Z882*(INDEX(tun_PriestShare,G882)*tun_OutPriest+INDEX(tun_ScribeShare,G882)*tun_OutScribe*INDEX(LM_Scribe,G882)+INDEX(tun_ScholarShare,G882)*tun_OutScholar*INDEX(LM_Scholar,G882)+INDEX(tun_ResearcherShare,G882)*tun_OutResearcher*INDEX(LM_Researcher,G882)))</x:f>
        <x:v>0</x:v>
      </x:c>
      <x:c r="AL882" s="32" t="n">
        <x:f>H882*tun_RoleScale*Arch_Roles*AE882*INDEX(tun_MonasteryPerSett,G882)*tun_OutMonastery*INDEX(LM_Monastery,G882)</x:f>
        <x:v>0</x:v>
      </x:c>
      <x:c r="AM882" s="32" t="n">
        <x:f>(AJ882+AK882+AL882)/4*INDEX(LM_All,G882)*INDEX(tun_Boon,G882)*Arch_Insight</x:f>
        <x:v>0</x:v>
      </x:c>
      <x:c r="AN882" s="32" t="n">
        <x:f>H882*(tun_KHPerAdult*Z882+tun_KHOfCommons*AJ882/4*INDEX(LM_All,G882))*tun_KHUsable*Arch_KH</x:f>
        <x:v>0</x:v>
      </x:c>
      <x:c r="AO882" s="32" t="n">
        <x:f>MIN(AP881+AN882,AM882*tun_KHMaxRatio)</x:f>
        <x:v>0</x:v>
      </x:c>
      <x:c r="AP882" s="32" t="n">
        <x:f>AP881+AN882-AO882</x:f>
        <x:v>0</x:v>
      </x:c>
      <x:c r="AQ882" s="32" t="n">
        <x:f>AM882+AO882</x:f>
        <x:v>0</x:v>
      </x:c>
      <x:c r="AR882" s="10" t="n">
        <x:f>IF(H882=1,INDEX(tun_Req,G882),0)</x:f>
        <x:v>0</x:v>
      </x:c>
      <x:c r="AS882" s="32" t="n">
        <x:f>IF(H882=1,IF(E882=1,AS881-AR881,AS881)+AQ882,0)</x:f>
        <x:v>0</x:v>
      </x:c>
      <x:c r="AT882" s="11" t="n">
        <x:f>IF(AR882&gt;0,MIN(1,AS882/AR882),1)</x:f>
        <x:v>1</x:v>
      </x:c>
      <x:c r="AU882" s="10" t="n">
        <x:f>AB882/INDEX(tun_RepScale,G882)</x:f>
        <x:v>290.3368848566301</x:v>
      </x:c>
      <x:c r="AV882" s="32" t="n">
        <x:f>AM882*60/tun_SeasonSeconds</x:f>
        <x:v>0</x:v>
      </x:c>
    </x:row>
    <x:row r="883">
      <x:c r="A883" s="8" t="n">
        <x:f>A882+1</x:f>
        <x:v>880</x:v>
      </x:c>
      <x:c r="B883" s="9" t="n">
        <x:f>A883*tun_SeasonSeconds/60</x:f>
        <x:v>220</x:v>
      </x:c>
      <x:c r="C883" s="9" t="n">
        <x:f>A883/4</x:f>
        <x:v>220</x:v>
      </x:c>
      <x:c r="D883" s="8" t="n">
        <x:f>IF(MOD(A883,4)=0,1,0)</x:f>
        <x:v>1</x:v>
      </x:c>
      <x:c r="E883" s="8" t="n">
        <x:f>IF(AND(F882&lt;=9,AS882&gt;=AR882),1,0)</x:f>
        <x:v>0</x:v>
      </x:c>
      <x:c r="F883" s="8" t="n">
        <x:f>MIN(10,F882+E883)</x:f>
        <x:v>10</x:v>
      </x:c>
      <x:c r="G883" s="8" t="n">
        <x:f>MIN(F883,9)+1</x:f>
        <x:v>10</x:v>
      </x:c>
      <x:c r="H883" s="8" t="n">
        <x:f>IF(F883&lt;=9,1,0)</x:f>
        <x:v>0</x:v>
      </x:c>
      <x:c r="I883" s="9" t="n">
        <x:f>MIN(10,F882+IF(AR882&gt;0,MIN(1,AS882/AR882),1))</x:f>
        <x:v>10</x:v>
      </x:c>
      <x:c r="J883" s="32" t="n">
        <x:f>INDEX(tun_FoodCap,G883)*Arch_FoodCap*EXP(tun_CapsByProject*SUMPRODUCT((Cap_Point&lt;=I883)*(Cap_Kind="Food")*Cap_Ln))</x:f>
        <x:v>18627.260449441455</x:v>
      </x:c>
      <x:c r="K883" s="32" t="n">
        <x:f>J883*MIN(1,tun_LeanBase*EXP(tun_CapsByProject*SUMPRODUCT((Cap_Point&lt;=I883)*(Cap_Kind="Lean")*Cap_Ln)))</x:f>
        <x:v>18627.260449441455</x:v>
      </x:c>
      <x:c r="L883" s="10" t="n">
        <x:f>INDEX(tun_HousingCap,G883)*EXP(tun_CapsByProject*SUMPRODUCT((Cap_Point&lt;=I883)*(Cap_Kind="Housing")*Cap_Ln))</x:f>
        <x:v>20528.974303173167</x:v>
      </x:c>
      <x:c r="M883" s="10" t="n">
        <x:f>INDEX(tun_GroupCap,G883)*tun_CohesionFactor*EXP(tun_CapsByProject*SUMPRODUCT((Cap_Point&lt;=I883)*(Cap_Kind="Group")*Cap_Ln))</x:f>
        <x:v>1000000.000000001</x:v>
      </x:c>
      <x:c r="N883" s="32" t="n">
        <x:f>MIN(J883,L883,M883)</x:f>
        <x:v>18627.260449441455</x:v>
      </x:c>
      <x:c r="O883" s="10" t="n">
        <x:f>AE882*N883</x:f>
        <x:v>167645.34404497308</x:v>
      </x:c>
      <x:c r="P883" s="9" t="n">
        <x:f>MIN(1,(AB882/(AE882*IF(tun_GroupInCrowding=1,N883,MIN(J883,L883))))^tun_CrowdingExp)</x:f>
        <x:v>0.4215841981292809</x:v>
      </x:c>
      <x:c r="Q883" s="9" t="n">
        <x:f>IF(D883=1,INDEX(tun_WinterMult,G883),1)</x:f>
        <x:v>1.05</x:v>
      </x:c>
      <x:c r="R883" s="9" t="n">
        <x:f>H883*Z882*tun_WomenShare*tun_BaseFertility*INDEX(tun_FertMult,G883)*Arch_Fertility*(1-P883)</x:f>
        <x:v>0</x:v>
      </x:c>
      <x:c r="S883" s="9" t="n">
        <x:f>H883*Y882*INDEX(tun_MortChild,G883)/4*Q883</x:f>
        <x:v>0</x:v>
      </x:c>
      <x:c r="T883" s="9" t="n">
        <x:f>H883*Z882*INDEX(tun_MortAdult,G883)*Arch_AdultMort/4*Q883</x:f>
        <x:v>0</x:v>
      </x:c>
      <x:c r="U883" s="9" t="n">
        <x:f>H883*AA882*INDEX(tun_MortElder,G883)/4*Q883</x:f>
        <x:v>0</x:v>
      </x:c>
      <x:c r="V883" s="9" t="n">
        <x:f>H883*MAX(0,AB882-O883)*tun_OvercapLoss</x:f>
        <x:v>0</x:v>
      </x:c>
      <x:c r="W883" s="9" t="n">
        <x:f>H883*Y882/(tun_ChildYears*4)</x:f>
        <x:v>0</x:v>
      </x:c>
      <x:c r="X883" s="9" t="n">
        <x:f>H883*Z882/(tun_AdultYears*4)</x:f>
        <x:v>0</x:v>
      </x:c>
      <x:c r="Y883" s="32" t="n">
        <x:f>Y882+R883-S883-W883-Y882*V883/AB882</x:f>
        <x:v>40496.20709015643</x:v>
      </x:c>
      <x:c r="Z883" s="32" t="n">
        <x:f>Z882+W883-X883-T883-Z882*V883/AB882</x:f>
        <x:v>59141.61122890803</x:v>
      </x:c>
      <x:c r="AA883" s="32" t="n">
        <x:f>AA882+X883-U883-AA882*V883/AB882</x:f>
        <x:v>45530.62410925061</x:v>
      </x:c>
      <x:c r="AB883" s="10" t="n">
        <x:f>Y883+Z883+AA883</x:f>
        <x:v>145168.44242831506</x:v>
      </x:c>
      <x:c r="AC883" s="8" t="n">
        <x:f>IF(AND(tun_WinterTrigger=1,D883=1,AB882/AE882&gt;=K883),1,0)</x:f>
        <x:v>0</x:v>
      </x:c>
      <x:c r="AD883" s="8" t="n">
        <x:f>H883*IF(AND(OR(AB882/AE882&gt;=tun_FissionTrigger*N883,AC883=1),AB882/AE882*tun_DaughterShare&gt;=tun_MinDaughter),MAX(1,ROUND(AE882*tun_FissionRate,0)),0)</x:f>
        <x:v>0</x:v>
      </x:c>
      <x:c r="AE883" s="8" t="n">
        <x:f>IF(H883=1,MAX(1,MIN(INDEX(tun_Smax,G883),AE882+AD883)),AE882)</x:f>
        <x:v>9</x:v>
      </x:c>
      <x:c r="AF883" s="8" t="n">
        <x:f>MAX(0,AE883-AE882)</x:f>
        <x:v>0</x:v>
      </x:c>
      <x:c r="AG883" s="9" t="str">
        <x:f>IF(AF883&gt;0,B883,"")</x:f>
      </x:c>
      <x:c r="AH883" s="9" t="n">
        <x:f>IF(F883&gt;=1,1,(1+tun_LowTiesShare*(AE883-1))/AE883)</x:f>
        <x:v>1</x:v>
      </x:c>
      <x:c r="AI883" s="32" t="n">
        <x:f>(Z883+tun_ElderCommons*INDEX(LM_Elder,G883)*AA883)*AH883</x:f>
        <x:v>238215.0665857503</x:v>
      </x:c>
      <x:c r="AJ883" s="32" t="n">
        <x:f>H883*tun_CommonsCoef*AI883^tun_CommonsExp*INDEX(LM_Commons,G883)</x:f>
        <x:v>0</x:v>
      </x:c>
      <x:c r="AK883" s="32" t="n">
        <x:f>H883*tun_RoleScale*Arch_Roles*(AE883*(INDEX(tun_ElderRolePerSett,G883)*tun_OutElder*INDEX(LM_Elder,G883)+INDEX(tun_ShamanPerSett,G883)*tun_OutShaman)+Z883*(INDEX(tun_PriestShare,G883)*tun_OutPriest+INDEX(tun_ScribeShare,G883)*tun_OutScribe*INDEX(LM_Scribe,G883)+INDEX(tun_ScholarShare,G883)*tun_OutScholar*INDEX(LM_Scholar,G883)+INDEX(tun_ResearcherShare,G883)*tun_OutResearcher*INDEX(LM_Researcher,G883)))</x:f>
        <x:v>0</x:v>
      </x:c>
      <x:c r="AL883" s="32" t="n">
        <x:f>H883*tun_RoleScale*Arch_Roles*AE883*INDEX(tun_MonasteryPerSett,G883)*tun_OutMonastery*INDEX(LM_Monastery,G883)</x:f>
        <x:v>0</x:v>
      </x:c>
      <x:c r="AM883" s="32" t="n">
        <x:f>(AJ883+AK883+AL883)/4*INDEX(LM_All,G883)*INDEX(tun_Boon,G883)*Arch_Insight</x:f>
        <x:v>0</x:v>
      </x:c>
      <x:c r="AN883" s="32" t="n">
        <x:f>H883*(tun_KHPerAdult*Z883+tun_KHOfCommons*AJ883/4*INDEX(LM_All,G883))*tun_KHUsable*Arch_KH</x:f>
        <x:v>0</x:v>
      </x:c>
      <x:c r="AO883" s="32" t="n">
        <x:f>MIN(AP882+AN883,AM883*tun_KHMaxRatio)</x:f>
        <x:v>0</x:v>
      </x:c>
      <x:c r="AP883" s="32" t="n">
        <x:f>AP882+AN883-AO883</x:f>
        <x:v>0</x:v>
      </x:c>
      <x:c r="AQ883" s="32" t="n">
        <x:f>AM883+AO883</x:f>
        <x:v>0</x:v>
      </x:c>
      <x:c r="AR883" s="10" t="n">
        <x:f>IF(H883=1,INDEX(tun_Req,G883),0)</x:f>
        <x:v>0</x:v>
      </x:c>
      <x:c r="AS883" s="32" t="n">
        <x:f>IF(H883=1,IF(E883=1,AS882-AR882,AS882)+AQ883,0)</x:f>
        <x:v>0</x:v>
      </x:c>
      <x:c r="AT883" s="11" t="n">
        <x:f>IF(AR883&gt;0,MIN(1,AS883/AR883),1)</x:f>
        <x:v>1</x:v>
      </x:c>
      <x:c r="AU883" s="10" t="n">
        <x:f>AB883/INDEX(tun_RepScale,G883)</x:f>
        <x:v>290.3368848566301</x:v>
      </x:c>
      <x:c r="AV883" s="32" t="n">
        <x:f>AM883*60/tun_SeasonSeconds</x:f>
        <x:v>0</x:v>
      </x:c>
    </x:row>
    <x:row r="884">
      <x:c r="A884" s="8" t="n">
        <x:f>A883+1</x:f>
        <x:v>881</x:v>
      </x:c>
      <x:c r="B884" s="9" t="n">
        <x:f>A884*tun_SeasonSeconds/60</x:f>
        <x:v>220.25</x:v>
      </x:c>
      <x:c r="C884" s="9" t="n">
        <x:f>A884/4</x:f>
        <x:v>220.25</x:v>
      </x:c>
      <x:c r="D884" s="8" t="n">
        <x:f>IF(MOD(A884,4)=0,1,0)</x:f>
        <x:v>0</x:v>
      </x:c>
      <x:c r="E884" s="8" t="n">
        <x:f>IF(AND(F883&lt;=9,AS883&gt;=AR883),1,0)</x:f>
        <x:v>0</x:v>
      </x:c>
      <x:c r="F884" s="8" t="n">
        <x:f>MIN(10,F883+E884)</x:f>
        <x:v>10</x:v>
      </x:c>
      <x:c r="G884" s="8" t="n">
        <x:f>MIN(F884,9)+1</x:f>
        <x:v>10</x:v>
      </x:c>
      <x:c r="H884" s="8" t="n">
        <x:f>IF(F884&lt;=9,1,0)</x:f>
        <x:v>0</x:v>
      </x:c>
      <x:c r="I884" s="9" t="n">
        <x:f>MIN(10,F883+IF(AR883&gt;0,MIN(1,AS883/AR883),1))</x:f>
        <x:v>10</x:v>
      </x:c>
      <x:c r="J884" s="32" t="n">
        <x:f>INDEX(tun_FoodCap,G884)*Arch_FoodCap*EXP(tun_CapsByProject*SUMPRODUCT((Cap_Point&lt;=I884)*(Cap_Kind="Food")*Cap_Ln))</x:f>
        <x:v>18627.260449441455</x:v>
      </x:c>
      <x:c r="K884" s="32" t="n">
        <x:f>J884*MIN(1,tun_LeanBase*EXP(tun_CapsByProject*SUMPRODUCT((Cap_Point&lt;=I884)*(Cap_Kind="Lean")*Cap_Ln)))</x:f>
        <x:v>18627.260449441455</x:v>
      </x:c>
      <x:c r="L884" s="10" t="n">
        <x:f>INDEX(tun_HousingCap,G884)*EXP(tun_CapsByProject*SUMPRODUCT((Cap_Point&lt;=I884)*(Cap_Kind="Housing")*Cap_Ln))</x:f>
        <x:v>20528.974303173167</x:v>
      </x:c>
      <x:c r="M884" s="10" t="n">
        <x:f>INDEX(tun_GroupCap,G884)*tun_CohesionFactor*EXP(tun_CapsByProject*SUMPRODUCT((Cap_Point&lt;=I884)*(Cap_Kind="Group")*Cap_Ln))</x:f>
        <x:v>1000000.000000001</x:v>
      </x:c>
      <x:c r="N884" s="32" t="n">
        <x:f>MIN(J884,L884,M884)</x:f>
        <x:v>18627.260449441455</x:v>
      </x:c>
      <x:c r="O884" s="10" t="n">
        <x:f>AE883*N884</x:f>
        <x:v>167645.34404497308</x:v>
      </x:c>
      <x:c r="P884" s="9" t="n">
        <x:f>MIN(1,(AB883/(AE883*IF(tun_GroupInCrowding=1,N884,MIN(J884,L884))))^tun_CrowdingExp)</x:f>
        <x:v>0.4215841981292809</x:v>
      </x:c>
      <x:c r="Q884" s="9" t="n">
        <x:f>IF(D884=1,INDEX(tun_WinterMult,G884),1)</x:f>
        <x:v>1</x:v>
      </x:c>
      <x:c r="R884" s="9" t="n">
        <x:f>H884*Z883*tun_WomenShare*tun_BaseFertility*INDEX(tun_FertMult,G884)*Arch_Fertility*(1-P884)</x:f>
        <x:v>0</x:v>
      </x:c>
      <x:c r="S884" s="9" t="n">
        <x:f>H884*Y883*INDEX(tun_MortChild,G884)/4*Q884</x:f>
        <x:v>0</x:v>
      </x:c>
      <x:c r="T884" s="9" t="n">
        <x:f>H884*Z883*INDEX(tun_MortAdult,G884)*Arch_AdultMort/4*Q884</x:f>
        <x:v>0</x:v>
      </x:c>
      <x:c r="U884" s="9" t="n">
        <x:f>H884*AA883*INDEX(tun_MortElder,G884)/4*Q884</x:f>
        <x:v>0</x:v>
      </x:c>
      <x:c r="V884" s="9" t="n">
        <x:f>H884*MAX(0,AB883-O884)*tun_OvercapLoss</x:f>
        <x:v>0</x:v>
      </x:c>
      <x:c r="W884" s="9" t="n">
        <x:f>H884*Y883/(tun_ChildYears*4)</x:f>
        <x:v>0</x:v>
      </x:c>
      <x:c r="X884" s="9" t="n">
        <x:f>H884*Z883/(tun_AdultYears*4)</x:f>
        <x:v>0</x:v>
      </x:c>
      <x:c r="Y884" s="32" t="n">
        <x:f>Y883+R884-S884-W884-Y883*V884/AB883</x:f>
        <x:v>40496.20709015643</x:v>
      </x:c>
      <x:c r="Z884" s="32" t="n">
        <x:f>Z883+W884-X884-T884-Z883*V884/AB883</x:f>
        <x:v>59141.61122890803</x:v>
      </x:c>
      <x:c r="AA884" s="32" t="n">
        <x:f>AA883+X884-U884-AA883*V884/AB883</x:f>
        <x:v>45530.62410925061</x:v>
      </x:c>
      <x:c r="AB884" s="10" t="n">
        <x:f>Y884+Z884+AA884</x:f>
        <x:v>145168.44242831506</x:v>
      </x:c>
      <x:c r="AC884" s="8" t="n">
        <x:f>IF(AND(tun_WinterTrigger=1,D884=1,AB883/AE883&gt;=K884),1,0)</x:f>
        <x:v>0</x:v>
      </x:c>
      <x:c r="AD884" s="8" t="n">
        <x:f>H884*IF(AND(OR(AB883/AE883&gt;=tun_FissionTrigger*N884,AC884=1),AB883/AE883*tun_DaughterShare&gt;=tun_MinDaughter),MAX(1,ROUND(AE883*tun_FissionRate,0)),0)</x:f>
        <x:v>0</x:v>
      </x:c>
      <x:c r="AE884" s="8" t="n">
        <x:f>IF(H884=1,MAX(1,MIN(INDEX(tun_Smax,G884),AE883+AD884)),AE883)</x:f>
        <x:v>9</x:v>
      </x:c>
      <x:c r="AF884" s="8" t="n">
        <x:f>MAX(0,AE884-AE883)</x:f>
        <x:v>0</x:v>
      </x:c>
      <x:c r="AG884" s="9" t="str">
        <x:f>IF(AF884&gt;0,B884,"")</x:f>
      </x:c>
      <x:c r="AH884" s="9" t="n">
        <x:f>IF(F884&gt;=1,1,(1+tun_LowTiesShare*(AE884-1))/AE884)</x:f>
        <x:v>1</x:v>
      </x:c>
      <x:c r="AI884" s="32" t="n">
        <x:f>(Z884+tun_ElderCommons*INDEX(LM_Elder,G884)*AA884)*AH884</x:f>
        <x:v>238215.0665857503</x:v>
      </x:c>
      <x:c r="AJ884" s="32" t="n">
        <x:f>H884*tun_CommonsCoef*AI884^tun_CommonsExp*INDEX(LM_Commons,G884)</x:f>
        <x:v>0</x:v>
      </x:c>
      <x:c r="AK884" s="32" t="n">
        <x:f>H884*tun_RoleScale*Arch_Roles*(AE884*(INDEX(tun_ElderRolePerSett,G884)*tun_OutElder*INDEX(LM_Elder,G884)+INDEX(tun_ShamanPerSett,G884)*tun_OutShaman)+Z884*(INDEX(tun_PriestShare,G884)*tun_OutPriest+INDEX(tun_ScribeShare,G884)*tun_OutScribe*INDEX(LM_Scribe,G884)+INDEX(tun_ScholarShare,G884)*tun_OutScholar*INDEX(LM_Scholar,G884)+INDEX(tun_ResearcherShare,G884)*tun_OutResearcher*INDEX(LM_Researcher,G884)))</x:f>
        <x:v>0</x:v>
      </x:c>
      <x:c r="AL884" s="32" t="n">
        <x:f>H884*tun_RoleScale*Arch_Roles*AE884*INDEX(tun_MonasteryPerSett,G884)*tun_OutMonastery*INDEX(LM_Monastery,G884)</x:f>
        <x:v>0</x:v>
      </x:c>
      <x:c r="AM884" s="32" t="n">
        <x:f>(AJ884+AK884+AL884)/4*INDEX(LM_All,G884)*INDEX(tun_Boon,G884)*Arch_Insight</x:f>
        <x:v>0</x:v>
      </x:c>
      <x:c r="AN884" s="32" t="n">
        <x:f>H884*(tun_KHPerAdult*Z884+tun_KHOfCommons*AJ884/4*INDEX(LM_All,G884))*tun_KHUsable*Arch_KH</x:f>
        <x:v>0</x:v>
      </x:c>
      <x:c r="AO884" s="32" t="n">
        <x:f>MIN(AP883+AN884,AM884*tun_KHMaxRatio)</x:f>
        <x:v>0</x:v>
      </x:c>
      <x:c r="AP884" s="32" t="n">
        <x:f>AP883+AN884-AO884</x:f>
        <x:v>0</x:v>
      </x:c>
      <x:c r="AQ884" s="32" t="n">
        <x:f>AM884+AO884</x:f>
        <x:v>0</x:v>
      </x:c>
      <x:c r="AR884" s="10" t="n">
        <x:f>IF(H884=1,INDEX(tun_Req,G884),0)</x:f>
        <x:v>0</x:v>
      </x:c>
      <x:c r="AS884" s="32" t="n">
        <x:f>IF(H884=1,IF(E884=1,AS883-AR883,AS883)+AQ884,0)</x:f>
        <x:v>0</x:v>
      </x:c>
      <x:c r="AT884" s="11" t="n">
        <x:f>IF(AR884&gt;0,MIN(1,AS884/AR884),1)</x:f>
        <x:v>1</x:v>
      </x:c>
      <x:c r="AU884" s="10" t="n">
        <x:f>AB884/INDEX(tun_RepScale,G884)</x:f>
        <x:v>290.3368848566301</x:v>
      </x:c>
      <x:c r="AV884" s="32" t="n">
        <x:f>AM884*60/tun_SeasonSeconds</x:f>
        <x:v>0</x:v>
      </x:c>
    </x:row>
    <x:row r="885">
      <x:c r="A885" s="8" t="n">
        <x:f>A884+1</x:f>
        <x:v>882</x:v>
      </x:c>
      <x:c r="B885" s="9" t="n">
        <x:f>A885*tun_SeasonSeconds/60</x:f>
        <x:v>220.5</x:v>
      </x:c>
      <x:c r="C885" s="9" t="n">
        <x:f>A885/4</x:f>
        <x:v>220.5</x:v>
      </x:c>
      <x:c r="D885" s="8" t="n">
        <x:f>IF(MOD(A885,4)=0,1,0)</x:f>
        <x:v>0</x:v>
      </x:c>
      <x:c r="E885" s="8" t="n">
        <x:f>IF(AND(F884&lt;=9,AS884&gt;=AR884),1,0)</x:f>
        <x:v>0</x:v>
      </x:c>
      <x:c r="F885" s="8" t="n">
        <x:f>MIN(10,F884+E885)</x:f>
        <x:v>10</x:v>
      </x:c>
      <x:c r="G885" s="8" t="n">
        <x:f>MIN(F885,9)+1</x:f>
        <x:v>10</x:v>
      </x:c>
      <x:c r="H885" s="8" t="n">
        <x:f>IF(F885&lt;=9,1,0)</x:f>
        <x:v>0</x:v>
      </x:c>
      <x:c r="I885" s="9" t="n">
        <x:f>MIN(10,F884+IF(AR884&gt;0,MIN(1,AS884/AR884),1))</x:f>
        <x:v>10</x:v>
      </x:c>
      <x:c r="J885" s="32" t="n">
        <x:f>INDEX(tun_FoodCap,G885)*Arch_FoodCap*EXP(tun_CapsByProject*SUMPRODUCT((Cap_Point&lt;=I885)*(Cap_Kind="Food")*Cap_Ln))</x:f>
        <x:v>18627.260449441455</x:v>
      </x:c>
      <x:c r="K885" s="32" t="n">
        <x:f>J885*MIN(1,tun_LeanBase*EXP(tun_CapsByProject*SUMPRODUCT((Cap_Point&lt;=I885)*(Cap_Kind="Lean")*Cap_Ln)))</x:f>
        <x:v>18627.260449441455</x:v>
      </x:c>
      <x:c r="L885" s="10" t="n">
        <x:f>INDEX(tun_HousingCap,G885)*EXP(tun_CapsByProject*SUMPRODUCT((Cap_Point&lt;=I885)*(Cap_Kind="Housing")*Cap_Ln))</x:f>
        <x:v>20528.974303173167</x:v>
      </x:c>
      <x:c r="M885" s="10" t="n">
        <x:f>INDEX(tun_GroupCap,G885)*tun_CohesionFactor*EXP(tun_CapsByProject*SUMPRODUCT((Cap_Point&lt;=I885)*(Cap_Kind="Group")*Cap_Ln))</x:f>
        <x:v>1000000.000000001</x:v>
      </x:c>
      <x:c r="N885" s="32" t="n">
        <x:f>MIN(J885,L885,M885)</x:f>
        <x:v>18627.260449441455</x:v>
      </x:c>
      <x:c r="O885" s="10" t="n">
        <x:f>AE884*N885</x:f>
        <x:v>167645.34404497308</x:v>
      </x:c>
      <x:c r="P885" s="9" t="n">
        <x:f>MIN(1,(AB884/(AE884*IF(tun_GroupInCrowding=1,N885,MIN(J885,L885))))^tun_CrowdingExp)</x:f>
        <x:v>0.4215841981292809</x:v>
      </x:c>
      <x:c r="Q885" s="9" t="n">
        <x:f>IF(D885=1,INDEX(tun_WinterMult,G885),1)</x:f>
        <x:v>1</x:v>
      </x:c>
      <x:c r="R885" s="9" t="n">
        <x:f>H885*Z884*tun_WomenShare*tun_BaseFertility*INDEX(tun_FertMult,G885)*Arch_Fertility*(1-P885)</x:f>
        <x:v>0</x:v>
      </x:c>
      <x:c r="S885" s="9" t="n">
        <x:f>H885*Y884*INDEX(tun_MortChild,G885)/4*Q885</x:f>
        <x:v>0</x:v>
      </x:c>
      <x:c r="T885" s="9" t="n">
        <x:f>H885*Z884*INDEX(tun_MortAdult,G885)*Arch_AdultMort/4*Q885</x:f>
        <x:v>0</x:v>
      </x:c>
      <x:c r="U885" s="9" t="n">
        <x:f>H885*AA884*INDEX(tun_MortElder,G885)/4*Q885</x:f>
        <x:v>0</x:v>
      </x:c>
      <x:c r="V885" s="9" t="n">
        <x:f>H885*MAX(0,AB884-O885)*tun_OvercapLoss</x:f>
        <x:v>0</x:v>
      </x:c>
      <x:c r="W885" s="9" t="n">
        <x:f>H885*Y884/(tun_ChildYears*4)</x:f>
        <x:v>0</x:v>
      </x:c>
      <x:c r="X885" s="9" t="n">
        <x:f>H885*Z884/(tun_AdultYears*4)</x:f>
        <x:v>0</x:v>
      </x:c>
      <x:c r="Y885" s="32" t="n">
        <x:f>Y884+R885-S885-W885-Y884*V885/AB884</x:f>
        <x:v>40496.20709015643</x:v>
      </x:c>
      <x:c r="Z885" s="32" t="n">
        <x:f>Z884+W885-X885-T885-Z884*V885/AB884</x:f>
        <x:v>59141.61122890803</x:v>
      </x:c>
      <x:c r="AA885" s="32" t="n">
        <x:f>AA884+X885-U885-AA884*V885/AB884</x:f>
        <x:v>45530.62410925061</x:v>
      </x:c>
      <x:c r="AB885" s="10" t="n">
        <x:f>Y885+Z885+AA885</x:f>
        <x:v>145168.44242831506</x:v>
      </x:c>
      <x:c r="AC885" s="8" t="n">
        <x:f>IF(AND(tun_WinterTrigger=1,D885=1,AB884/AE884&gt;=K885),1,0)</x:f>
        <x:v>0</x:v>
      </x:c>
      <x:c r="AD885" s="8" t="n">
        <x:f>H885*IF(AND(OR(AB884/AE884&gt;=tun_FissionTrigger*N885,AC885=1),AB884/AE884*tun_DaughterShare&gt;=tun_MinDaughter),MAX(1,ROUND(AE884*tun_FissionRate,0)),0)</x:f>
        <x:v>0</x:v>
      </x:c>
      <x:c r="AE885" s="8" t="n">
        <x:f>IF(H885=1,MAX(1,MIN(INDEX(tun_Smax,G885),AE884+AD885)),AE884)</x:f>
        <x:v>9</x:v>
      </x:c>
      <x:c r="AF885" s="8" t="n">
        <x:f>MAX(0,AE885-AE884)</x:f>
        <x:v>0</x:v>
      </x:c>
      <x:c r="AG885" s="9" t="str">
        <x:f>IF(AF885&gt;0,B885,"")</x:f>
      </x:c>
      <x:c r="AH885" s="9" t="n">
        <x:f>IF(F885&gt;=1,1,(1+tun_LowTiesShare*(AE885-1))/AE885)</x:f>
        <x:v>1</x:v>
      </x:c>
      <x:c r="AI885" s="32" t="n">
        <x:f>(Z885+tun_ElderCommons*INDEX(LM_Elder,G885)*AA885)*AH885</x:f>
        <x:v>238215.0665857503</x:v>
      </x:c>
      <x:c r="AJ885" s="32" t="n">
        <x:f>H885*tun_CommonsCoef*AI885^tun_CommonsExp*INDEX(LM_Commons,G885)</x:f>
        <x:v>0</x:v>
      </x:c>
      <x:c r="AK885" s="32" t="n">
        <x:f>H885*tun_RoleScale*Arch_Roles*(AE885*(INDEX(tun_ElderRolePerSett,G885)*tun_OutElder*INDEX(LM_Elder,G885)+INDEX(tun_ShamanPerSett,G885)*tun_OutShaman)+Z885*(INDEX(tun_PriestShare,G885)*tun_OutPriest+INDEX(tun_ScribeShare,G885)*tun_OutScribe*INDEX(LM_Scribe,G885)+INDEX(tun_ScholarShare,G885)*tun_OutScholar*INDEX(LM_Scholar,G885)+INDEX(tun_ResearcherShare,G885)*tun_OutResearcher*INDEX(LM_Researcher,G885)))</x:f>
        <x:v>0</x:v>
      </x:c>
      <x:c r="AL885" s="32" t="n">
        <x:f>H885*tun_RoleScale*Arch_Roles*AE885*INDEX(tun_MonasteryPerSett,G885)*tun_OutMonastery*INDEX(LM_Monastery,G885)</x:f>
        <x:v>0</x:v>
      </x:c>
      <x:c r="AM885" s="32" t="n">
        <x:f>(AJ885+AK885+AL885)/4*INDEX(LM_All,G885)*INDEX(tun_Boon,G885)*Arch_Insight</x:f>
        <x:v>0</x:v>
      </x:c>
      <x:c r="AN885" s="32" t="n">
        <x:f>H885*(tun_KHPerAdult*Z885+tun_KHOfCommons*AJ885/4*INDEX(LM_All,G885))*tun_KHUsable*Arch_KH</x:f>
        <x:v>0</x:v>
      </x:c>
      <x:c r="AO885" s="32" t="n">
        <x:f>MIN(AP884+AN885,AM885*tun_KHMaxRatio)</x:f>
        <x:v>0</x:v>
      </x:c>
      <x:c r="AP885" s="32" t="n">
        <x:f>AP884+AN885-AO885</x:f>
        <x:v>0</x:v>
      </x:c>
      <x:c r="AQ885" s="32" t="n">
        <x:f>AM885+AO885</x:f>
        <x:v>0</x:v>
      </x:c>
      <x:c r="AR885" s="10" t="n">
        <x:f>IF(H885=1,INDEX(tun_Req,G885),0)</x:f>
        <x:v>0</x:v>
      </x:c>
      <x:c r="AS885" s="32" t="n">
        <x:f>IF(H885=1,IF(E885=1,AS884-AR884,AS884)+AQ885,0)</x:f>
        <x:v>0</x:v>
      </x:c>
      <x:c r="AT885" s="11" t="n">
        <x:f>IF(AR885&gt;0,MIN(1,AS885/AR885),1)</x:f>
        <x:v>1</x:v>
      </x:c>
      <x:c r="AU885" s="10" t="n">
        <x:f>AB885/INDEX(tun_RepScale,G885)</x:f>
        <x:v>290.3368848566301</x:v>
      </x:c>
      <x:c r="AV885" s="32" t="n">
        <x:f>AM885*60/tun_SeasonSeconds</x:f>
        <x:v>0</x:v>
      </x:c>
    </x:row>
    <x:row r="886">
      <x:c r="A886" s="8" t="n">
        <x:f>A885+1</x:f>
        <x:v>883</x:v>
      </x:c>
      <x:c r="B886" s="9" t="n">
        <x:f>A886*tun_SeasonSeconds/60</x:f>
        <x:v>220.75</x:v>
      </x:c>
      <x:c r="C886" s="9" t="n">
        <x:f>A886/4</x:f>
        <x:v>220.75</x:v>
      </x:c>
      <x:c r="D886" s="8" t="n">
        <x:f>IF(MOD(A886,4)=0,1,0)</x:f>
        <x:v>0</x:v>
      </x:c>
      <x:c r="E886" s="8" t="n">
        <x:f>IF(AND(F885&lt;=9,AS885&gt;=AR885),1,0)</x:f>
        <x:v>0</x:v>
      </x:c>
      <x:c r="F886" s="8" t="n">
        <x:f>MIN(10,F885+E886)</x:f>
        <x:v>10</x:v>
      </x:c>
      <x:c r="G886" s="8" t="n">
        <x:f>MIN(F886,9)+1</x:f>
        <x:v>10</x:v>
      </x:c>
      <x:c r="H886" s="8" t="n">
        <x:f>IF(F886&lt;=9,1,0)</x:f>
        <x:v>0</x:v>
      </x:c>
      <x:c r="I886" s="9" t="n">
        <x:f>MIN(10,F885+IF(AR885&gt;0,MIN(1,AS885/AR885),1))</x:f>
        <x:v>10</x:v>
      </x:c>
      <x:c r="J886" s="32" t="n">
        <x:f>INDEX(tun_FoodCap,G886)*Arch_FoodCap*EXP(tun_CapsByProject*SUMPRODUCT((Cap_Point&lt;=I886)*(Cap_Kind="Food")*Cap_Ln))</x:f>
        <x:v>18627.260449441455</x:v>
      </x:c>
      <x:c r="K886" s="32" t="n">
        <x:f>J886*MIN(1,tun_LeanBase*EXP(tun_CapsByProject*SUMPRODUCT((Cap_Point&lt;=I886)*(Cap_Kind="Lean")*Cap_Ln)))</x:f>
        <x:v>18627.260449441455</x:v>
      </x:c>
      <x:c r="L886" s="10" t="n">
        <x:f>INDEX(tun_HousingCap,G886)*EXP(tun_CapsByProject*SUMPRODUCT((Cap_Point&lt;=I886)*(Cap_Kind="Housing")*Cap_Ln))</x:f>
        <x:v>20528.974303173167</x:v>
      </x:c>
      <x:c r="M886" s="10" t="n">
        <x:f>INDEX(tun_GroupCap,G886)*tun_CohesionFactor*EXP(tun_CapsByProject*SUMPRODUCT((Cap_Point&lt;=I886)*(Cap_Kind="Group")*Cap_Ln))</x:f>
        <x:v>1000000.000000001</x:v>
      </x:c>
      <x:c r="N886" s="32" t="n">
        <x:f>MIN(J886,L886,M886)</x:f>
        <x:v>18627.260449441455</x:v>
      </x:c>
      <x:c r="O886" s="10" t="n">
        <x:f>AE885*N886</x:f>
        <x:v>167645.34404497308</x:v>
      </x:c>
      <x:c r="P886" s="9" t="n">
        <x:f>MIN(1,(AB885/(AE885*IF(tun_GroupInCrowding=1,N886,MIN(J886,L886))))^tun_CrowdingExp)</x:f>
        <x:v>0.4215841981292809</x:v>
      </x:c>
      <x:c r="Q886" s="9" t="n">
        <x:f>IF(D886=1,INDEX(tun_WinterMult,G886),1)</x:f>
        <x:v>1</x:v>
      </x:c>
      <x:c r="R886" s="9" t="n">
        <x:f>H886*Z885*tun_WomenShare*tun_BaseFertility*INDEX(tun_FertMult,G886)*Arch_Fertility*(1-P886)</x:f>
        <x:v>0</x:v>
      </x:c>
      <x:c r="S886" s="9" t="n">
        <x:f>H886*Y885*INDEX(tun_MortChild,G886)/4*Q886</x:f>
        <x:v>0</x:v>
      </x:c>
      <x:c r="T886" s="9" t="n">
        <x:f>H886*Z885*INDEX(tun_MortAdult,G886)*Arch_AdultMort/4*Q886</x:f>
        <x:v>0</x:v>
      </x:c>
      <x:c r="U886" s="9" t="n">
        <x:f>H886*AA885*INDEX(tun_MortElder,G886)/4*Q886</x:f>
        <x:v>0</x:v>
      </x:c>
      <x:c r="V886" s="9" t="n">
        <x:f>H886*MAX(0,AB885-O886)*tun_OvercapLoss</x:f>
        <x:v>0</x:v>
      </x:c>
      <x:c r="W886" s="9" t="n">
        <x:f>H886*Y885/(tun_ChildYears*4)</x:f>
        <x:v>0</x:v>
      </x:c>
      <x:c r="X886" s="9" t="n">
        <x:f>H886*Z885/(tun_AdultYears*4)</x:f>
        <x:v>0</x:v>
      </x:c>
      <x:c r="Y886" s="32" t="n">
        <x:f>Y885+R886-S886-W886-Y885*V886/AB885</x:f>
        <x:v>40496.20709015643</x:v>
      </x:c>
      <x:c r="Z886" s="32" t="n">
        <x:f>Z885+W886-X886-T886-Z885*V886/AB885</x:f>
        <x:v>59141.61122890803</x:v>
      </x:c>
      <x:c r="AA886" s="32" t="n">
        <x:f>AA885+X886-U886-AA885*V886/AB885</x:f>
        <x:v>45530.62410925061</x:v>
      </x:c>
      <x:c r="AB886" s="10" t="n">
        <x:f>Y886+Z886+AA886</x:f>
        <x:v>145168.44242831506</x:v>
      </x:c>
      <x:c r="AC886" s="8" t="n">
        <x:f>IF(AND(tun_WinterTrigger=1,D886=1,AB885/AE885&gt;=K886),1,0)</x:f>
        <x:v>0</x:v>
      </x:c>
      <x:c r="AD886" s="8" t="n">
        <x:f>H886*IF(AND(OR(AB885/AE885&gt;=tun_FissionTrigger*N886,AC886=1),AB885/AE885*tun_DaughterShare&gt;=tun_MinDaughter),MAX(1,ROUND(AE885*tun_FissionRate,0)),0)</x:f>
        <x:v>0</x:v>
      </x:c>
      <x:c r="AE886" s="8" t="n">
        <x:f>IF(H886=1,MAX(1,MIN(INDEX(tun_Smax,G886),AE885+AD886)),AE885)</x:f>
        <x:v>9</x:v>
      </x:c>
      <x:c r="AF886" s="8" t="n">
        <x:f>MAX(0,AE886-AE885)</x:f>
        <x:v>0</x:v>
      </x:c>
      <x:c r="AG886" s="9" t="str">
        <x:f>IF(AF886&gt;0,B886,"")</x:f>
      </x:c>
      <x:c r="AH886" s="9" t="n">
        <x:f>IF(F886&gt;=1,1,(1+tun_LowTiesShare*(AE886-1))/AE886)</x:f>
        <x:v>1</x:v>
      </x:c>
      <x:c r="AI886" s="32" t="n">
        <x:f>(Z886+tun_ElderCommons*INDEX(LM_Elder,G886)*AA886)*AH886</x:f>
        <x:v>238215.0665857503</x:v>
      </x:c>
      <x:c r="AJ886" s="32" t="n">
        <x:f>H886*tun_CommonsCoef*AI886^tun_CommonsExp*INDEX(LM_Commons,G886)</x:f>
        <x:v>0</x:v>
      </x:c>
      <x:c r="AK886" s="32" t="n">
        <x:f>H886*tun_RoleScale*Arch_Roles*(AE886*(INDEX(tun_ElderRolePerSett,G886)*tun_OutElder*INDEX(LM_Elder,G886)+INDEX(tun_ShamanPerSett,G886)*tun_OutShaman)+Z886*(INDEX(tun_PriestShare,G886)*tun_OutPriest+INDEX(tun_ScribeShare,G886)*tun_OutScribe*INDEX(LM_Scribe,G886)+INDEX(tun_ScholarShare,G886)*tun_OutScholar*INDEX(LM_Scholar,G886)+INDEX(tun_ResearcherShare,G886)*tun_OutResearcher*INDEX(LM_Researcher,G886)))</x:f>
        <x:v>0</x:v>
      </x:c>
      <x:c r="AL886" s="32" t="n">
        <x:f>H886*tun_RoleScale*Arch_Roles*AE886*INDEX(tun_MonasteryPerSett,G886)*tun_OutMonastery*INDEX(LM_Monastery,G886)</x:f>
        <x:v>0</x:v>
      </x:c>
      <x:c r="AM886" s="32" t="n">
        <x:f>(AJ886+AK886+AL886)/4*INDEX(LM_All,G886)*INDEX(tun_Boon,G886)*Arch_Insight</x:f>
        <x:v>0</x:v>
      </x:c>
      <x:c r="AN886" s="32" t="n">
        <x:f>H886*(tun_KHPerAdult*Z886+tun_KHOfCommons*AJ886/4*INDEX(LM_All,G886))*tun_KHUsable*Arch_KH</x:f>
        <x:v>0</x:v>
      </x:c>
      <x:c r="AO886" s="32" t="n">
        <x:f>MIN(AP885+AN886,AM886*tun_KHMaxRatio)</x:f>
        <x:v>0</x:v>
      </x:c>
      <x:c r="AP886" s="32" t="n">
        <x:f>AP885+AN886-AO886</x:f>
        <x:v>0</x:v>
      </x:c>
      <x:c r="AQ886" s="32" t="n">
        <x:f>AM886+AO886</x:f>
        <x:v>0</x:v>
      </x:c>
      <x:c r="AR886" s="10" t="n">
        <x:f>IF(H886=1,INDEX(tun_Req,G886),0)</x:f>
        <x:v>0</x:v>
      </x:c>
      <x:c r="AS886" s="32" t="n">
        <x:f>IF(H886=1,IF(E886=1,AS885-AR885,AS885)+AQ886,0)</x:f>
        <x:v>0</x:v>
      </x:c>
      <x:c r="AT886" s="11" t="n">
        <x:f>IF(AR886&gt;0,MIN(1,AS886/AR886),1)</x:f>
        <x:v>1</x:v>
      </x:c>
      <x:c r="AU886" s="10" t="n">
        <x:f>AB886/INDEX(tun_RepScale,G886)</x:f>
        <x:v>290.3368848566301</x:v>
      </x:c>
      <x:c r="AV886" s="32" t="n">
        <x:f>AM886*60/tun_SeasonSeconds</x:f>
        <x:v>0</x:v>
      </x:c>
    </x:row>
    <x:row r="887">
      <x:c r="A887" s="8" t="n">
        <x:f>A886+1</x:f>
        <x:v>884</x:v>
      </x:c>
      <x:c r="B887" s="9" t="n">
        <x:f>A887*tun_SeasonSeconds/60</x:f>
        <x:v>221</x:v>
      </x:c>
      <x:c r="C887" s="9" t="n">
        <x:f>A887/4</x:f>
        <x:v>221</x:v>
      </x:c>
      <x:c r="D887" s="8" t="n">
        <x:f>IF(MOD(A887,4)=0,1,0)</x:f>
        <x:v>1</x:v>
      </x:c>
      <x:c r="E887" s="8" t="n">
        <x:f>IF(AND(F886&lt;=9,AS886&gt;=AR886),1,0)</x:f>
        <x:v>0</x:v>
      </x:c>
      <x:c r="F887" s="8" t="n">
        <x:f>MIN(10,F886+E887)</x:f>
        <x:v>10</x:v>
      </x:c>
      <x:c r="G887" s="8" t="n">
        <x:f>MIN(F887,9)+1</x:f>
        <x:v>10</x:v>
      </x:c>
      <x:c r="H887" s="8" t="n">
        <x:f>IF(F887&lt;=9,1,0)</x:f>
        <x:v>0</x:v>
      </x:c>
      <x:c r="I887" s="9" t="n">
        <x:f>MIN(10,F886+IF(AR886&gt;0,MIN(1,AS886/AR886),1))</x:f>
        <x:v>10</x:v>
      </x:c>
      <x:c r="J887" s="32" t="n">
        <x:f>INDEX(tun_FoodCap,G887)*Arch_FoodCap*EXP(tun_CapsByProject*SUMPRODUCT((Cap_Point&lt;=I887)*(Cap_Kind="Food")*Cap_Ln))</x:f>
        <x:v>18627.260449441455</x:v>
      </x:c>
      <x:c r="K887" s="32" t="n">
        <x:f>J887*MIN(1,tun_LeanBase*EXP(tun_CapsByProject*SUMPRODUCT((Cap_Point&lt;=I887)*(Cap_Kind="Lean")*Cap_Ln)))</x:f>
        <x:v>18627.260449441455</x:v>
      </x:c>
      <x:c r="L887" s="10" t="n">
        <x:f>INDEX(tun_HousingCap,G887)*EXP(tun_CapsByProject*SUMPRODUCT((Cap_Point&lt;=I887)*(Cap_Kind="Housing")*Cap_Ln))</x:f>
        <x:v>20528.974303173167</x:v>
      </x:c>
      <x:c r="M887" s="10" t="n">
        <x:f>INDEX(tun_GroupCap,G887)*tun_CohesionFactor*EXP(tun_CapsByProject*SUMPRODUCT((Cap_Point&lt;=I887)*(Cap_Kind="Group")*Cap_Ln))</x:f>
        <x:v>1000000.000000001</x:v>
      </x:c>
      <x:c r="N887" s="32" t="n">
        <x:f>MIN(J887,L887,M887)</x:f>
        <x:v>18627.260449441455</x:v>
      </x:c>
      <x:c r="O887" s="10" t="n">
        <x:f>AE886*N887</x:f>
        <x:v>167645.34404497308</x:v>
      </x:c>
      <x:c r="P887" s="9" t="n">
        <x:f>MIN(1,(AB886/(AE886*IF(tun_GroupInCrowding=1,N887,MIN(J887,L887))))^tun_CrowdingExp)</x:f>
        <x:v>0.4215841981292809</x:v>
      </x:c>
      <x:c r="Q887" s="9" t="n">
        <x:f>IF(D887=1,INDEX(tun_WinterMult,G887),1)</x:f>
        <x:v>1.05</x:v>
      </x:c>
      <x:c r="R887" s="9" t="n">
        <x:f>H887*Z886*tun_WomenShare*tun_BaseFertility*INDEX(tun_FertMult,G887)*Arch_Fertility*(1-P887)</x:f>
        <x:v>0</x:v>
      </x:c>
      <x:c r="S887" s="9" t="n">
        <x:f>H887*Y886*INDEX(tun_MortChild,G887)/4*Q887</x:f>
        <x:v>0</x:v>
      </x:c>
      <x:c r="T887" s="9" t="n">
        <x:f>H887*Z886*INDEX(tun_MortAdult,G887)*Arch_AdultMort/4*Q887</x:f>
        <x:v>0</x:v>
      </x:c>
      <x:c r="U887" s="9" t="n">
        <x:f>H887*AA886*INDEX(tun_MortElder,G887)/4*Q887</x:f>
        <x:v>0</x:v>
      </x:c>
      <x:c r="V887" s="9" t="n">
        <x:f>H887*MAX(0,AB886-O887)*tun_OvercapLoss</x:f>
        <x:v>0</x:v>
      </x:c>
      <x:c r="W887" s="9" t="n">
        <x:f>H887*Y886/(tun_ChildYears*4)</x:f>
        <x:v>0</x:v>
      </x:c>
      <x:c r="X887" s="9" t="n">
        <x:f>H887*Z886/(tun_AdultYears*4)</x:f>
        <x:v>0</x:v>
      </x:c>
      <x:c r="Y887" s="32" t="n">
        <x:f>Y886+R887-S887-W887-Y886*V887/AB886</x:f>
        <x:v>40496.20709015643</x:v>
      </x:c>
      <x:c r="Z887" s="32" t="n">
        <x:f>Z886+W887-X887-T887-Z886*V887/AB886</x:f>
        <x:v>59141.61122890803</x:v>
      </x:c>
      <x:c r="AA887" s="32" t="n">
        <x:f>AA886+X887-U887-AA886*V887/AB886</x:f>
        <x:v>45530.62410925061</x:v>
      </x:c>
      <x:c r="AB887" s="10" t="n">
        <x:f>Y887+Z887+AA887</x:f>
        <x:v>145168.44242831506</x:v>
      </x:c>
      <x:c r="AC887" s="8" t="n">
        <x:f>IF(AND(tun_WinterTrigger=1,D887=1,AB886/AE886&gt;=K887),1,0)</x:f>
        <x:v>0</x:v>
      </x:c>
      <x:c r="AD887" s="8" t="n">
        <x:f>H887*IF(AND(OR(AB886/AE886&gt;=tun_FissionTrigger*N887,AC887=1),AB886/AE886*tun_DaughterShare&gt;=tun_MinDaughter),MAX(1,ROUND(AE886*tun_FissionRate,0)),0)</x:f>
        <x:v>0</x:v>
      </x:c>
      <x:c r="AE887" s="8" t="n">
        <x:f>IF(H887=1,MAX(1,MIN(INDEX(tun_Smax,G887),AE886+AD887)),AE886)</x:f>
        <x:v>9</x:v>
      </x:c>
      <x:c r="AF887" s="8" t="n">
        <x:f>MAX(0,AE887-AE886)</x:f>
        <x:v>0</x:v>
      </x:c>
      <x:c r="AG887" s="9" t="str">
        <x:f>IF(AF887&gt;0,B887,"")</x:f>
      </x:c>
      <x:c r="AH887" s="9" t="n">
        <x:f>IF(F887&gt;=1,1,(1+tun_LowTiesShare*(AE887-1))/AE887)</x:f>
        <x:v>1</x:v>
      </x:c>
      <x:c r="AI887" s="32" t="n">
        <x:f>(Z887+tun_ElderCommons*INDEX(LM_Elder,G887)*AA887)*AH887</x:f>
        <x:v>238215.0665857503</x:v>
      </x:c>
      <x:c r="AJ887" s="32" t="n">
        <x:f>H887*tun_CommonsCoef*AI887^tun_CommonsExp*INDEX(LM_Commons,G887)</x:f>
        <x:v>0</x:v>
      </x:c>
      <x:c r="AK887" s="32" t="n">
        <x:f>H887*tun_RoleScale*Arch_Roles*(AE887*(INDEX(tun_ElderRolePerSett,G887)*tun_OutElder*INDEX(LM_Elder,G887)+INDEX(tun_ShamanPerSett,G887)*tun_OutShaman)+Z887*(INDEX(tun_PriestShare,G887)*tun_OutPriest+INDEX(tun_ScribeShare,G887)*tun_OutScribe*INDEX(LM_Scribe,G887)+INDEX(tun_ScholarShare,G887)*tun_OutScholar*INDEX(LM_Scholar,G887)+INDEX(tun_ResearcherShare,G887)*tun_OutResearcher*INDEX(LM_Researcher,G887)))</x:f>
        <x:v>0</x:v>
      </x:c>
      <x:c r="AL887" s="32" t="n">
        <x:f>H887*tun_RoleScale*Arch_Roles*AE887*INDEX(tun_MonasteryPerSett,G887)*tun_OutMonastery*INDEX(LM_Monastery,G887)</x:f>
        <x:v>0</x:v>
      </x:c>
      <x:c r="AM887" s="32" t="n">
        <x:f>(AJ887+AK887+AL887)/4*INDEX(LM_All,G887)*INDEX(tun_Boon,G887)*Arch_Insight</x:f>
        <x:v>0</x:v>
      </x:c>
      <x:c r="AN887" s="32" t="n">
        <x:f>H887*(tun_KHPerAdult*Z887+tun_KHOfCommons*AJ887/4*INDEX(LM_All,G887))*tun_KHUsable*Arch_KH</x:f>
        <x:v>0</x:v>
      </x:c>
      <x:c r="AO887" s="32" t="n">
        <x:f>MIN(AP886+AN887,AM887*tun_KHMaxRatio)</x:f>
        <x:v>0</x:v>
      </x:c>
      <x:c r="AP887" s="32" t="n">
        <x:f>AP886+AN887-AO887</x:f>
        <x:v>0</x:v>
      </x:c>
      <x:c r="AQ887" s="32" t="n">
        <x:f>AM887+AO887</x:f>
        <x:v>0</x:v>
      </x:c>
      <x:c r="AR887" s="10" t="n">
        <x:f>IF(H887=1,INDEX(tun_Req,G887),0)</x:f>
        <x:v>0</x:v>
      </x:c>
      <x:c r="AS887" s="32" t="n">
        <x:f>IF(H887=1,IF(E887=1,AS886-AR886,AS886)+AQ887,0)</x:f>
        <x:v>0</x:v>
      </x:c>
      <x:c r="AT887" s="11" t="n">
        <x:f>IF(AR887&gt;0,MIN(1,AS887/AR887),1)</x:f>
        <x:v>1</x:v>
      </x:c>
      <x:c r="AU887" s="10" t="n">
        <x:f>AB887/INDEX(tun_RepScale,G887)</x:f>
        <x:v>290.3368848566301</x:v>
      </x:c>
      <x:c r="AV887" s="32" t="n">
        <x:f>AM887*60/tun_SeasonSeconds</x:f>
        <x:v>0</x:v>
      </x:c>
    </x:row>
    <x:row r="888">
      <x:c r="A888" s="8" t="n">
        <x:f>A887+1</x:f>
        <x:v>885</x:v>
      </x:c>
      <x:c r="B888" s="9" t="n">
        <x:f>A888*tun_SeasonSeconds/60</x:f>
        <x:v>221.25</x:v>
      </x:c>
      <x:c r="C888" s="9" t="n">
        <x:f>A888/4</x:f>
        <x:v>221.25</x:v>
      </x:c>
      <x:c r="D888" s="8" t="n">
        <x:f>IF(MOD(A888,4)=0,1,0)</x:f>
        <x:v>0</x:v>
      </x:c>
      <x:c r="E888" s="8" t="n">
        <x:f>IF(AND(F887&lt;=9,AS887&gt;=AR887),1,0)</x:f>
        <x:v>0</x:v>
      </x:c>
      <x:c r="F888" s="8" t="n">
        <x:f>MIN(10,F887+E888)</x:f>
        <x:v>10</x:v>
      </x:c>
      <x:c r="G888" s="8" t="n">
        <x:f>MIN(F888,9)+1</x:f>
        <x:v>10</x:v>
      </x:c>
      <x:c r="H888" s="8" t="n">
        <x:f>IF(F888&lt;=9,1,0)</x:f>
        <x:v>0</x:v>
      </x:c>
      <x:c r="I888" s="9" t="n">
        <x:f>MIN(10,F887+IF(AR887&gt;0,MIN(1,AS887/AR887),1))</x:f>
        <x:v>10</x:v>
      </x:c>
      <x:c r="J888" s="32" t="n">
        <x:f>INDEX(tun_FoodCap,G888)*Arch_FoodCap*EXP(tun_CapsByProject*SUMPRODUCT((Cap_Point&lt;=I888)*(Cap_Kind="Food")*Cap_Ln))</x:f>
        <x:v>18627.260449441455</x:v>
      </x:c>
      <x:c r="K888" s="32" t="n">
        <x:f>J888*MIN(1,tun_LeanBase*EXP(tun_CapsByProject*SUMPRODUCT((Cap_Point&lt;=I888)*(Cap_Kind="Lean")*Cap_Ln)))</x:f>
        <x:v>18627.260449441455</x:v>
      </x:c>
      <x:c r="L888" s="10" t="n">
        <x:f>INDEX(tun_HousingCap,G888)*EXP(tun_CapsByProject*SUMPRODUCT((Cap_Point&lt;=I888)*(Cap_Kind="Housing")*Cap_Ln))</x:f>
        <x:v>20528.974303173167</x:v>
      </x:c>
      <x:c r="M888" s="10" t="n">
        <x:f>INDEX(tun_GroupCap,G888)*tun_CohesionFactor*EXP(tun_CapsByProject*SUMPRODUCT((Cap_Point&lt;=I888)*(Cap_Kind="Group")*Cap_Ln))</x:f>
        <x:v>1000000.000000001</x:v>
      </x:c>
      <x:c r="N888" s="32" t="n">
        <x:f>MIN(J888,L888,M888)</x:f>
        <x:v>18627.260449441455</x:v>
      </x:c>
      <x:c r="O888" s="10" t="n">
        <x:f>AE887*N888</x:f>
        <x:v>167645.34404497308</x:v>
      </x:c>
      <x:c r="P888" s="9" t="n">
        <x:f>MIN(1,(AB887/(AE887*IF(tun_GroupInCrowding=1,N888,MIN(J888,L888))))^tun_CrowdingExp)</x:f>
        <x:v>0.4215841981292809</x:v>
      </x:c>
      <x:c r="Q888" s="9" t="n">
        <x:f>IF(D888=1,INDEX(tun_WinterMult,G888),1)</x:f>
        <x:v>1</x:v>
      </x:c>
      <x:c r="R888" s="9" t="n">
        <x:f>H888*Z887*tun_WomenShare*tun_BaseFertility*INDEX(tun_FertMult,G888)*Arch_Fertility*(1-P888)</x:f>
        <x:v>0</x:v>
      </x:c>
      <x:c r="S888" s="9" t="n">
        <x:f>H888*Y887*INDEX(tun_MortChild,G888)/4*Q888</x:f>
        <x:v>0</x:v>
      </x:c>
      <x:c r="T888" s="9" t="n">
        <x:f>H888*Z887*INDEX(tun_MortAdult,G888)*Arch_AdultMort/4*Q888</x:f>
        <x:v>0</x:v>
      </x:c>
      <x:c r="U888" s="9" t="n">
        <x:f>H888*AA887*INDEX(tun_MortElder,G888)/4*Q888</x:f>
        <x:v>0</x:v>
      </x:c>
      <x:c r="V888" s="9" t="n">
        <x:f>H888*MAX(0,AB887-O888)*tun_OvercapLoss</x:f>
        <x:v>0</x:v>
      </x:c>
      <x:c r="W888" s="9" t="n">
        <x:f>H888*Y887/(tun_ChildYears*4)</x:f>
        <x:v>0</x:v>
      </x:c>
      <x:c r="X888" s="9" t="n">
        <x:f>H888*Z887/(tun_AdultYears*4)</x:f>
        <x:v>0</x:v>
      </x:c>
      <x:c r="Y888" s="32" t="n">
        <x:f>Y887+R888-S888-W888-Y887*V888/AB887</x:f>
        <x:v>40496.20709015643</x:v>
      </x:c>
      <x:c r="Z888" s="32" t="n">
        <x:f>Z887+W888-X888-T888-Z887*V888/AB887</x:f>
        <x:v>59141.61122890803</x:v>
      </x:c>
      <x:c r="AA888" s="32" t="n">
        <x:f>AA887+X888-U888-AA887*V888/AB887</x:f>
        <x:v>45530.62410925061</x:v>
      </x:c>
      <x:c r="AB888" s="10" t="n">
        <x:f>Y888+Z888+AA888</x:f>
        <x:v>145168.44242831506</x:v>
      </x:c>
      <x:c r="AC888" s="8" t="n">
        <x:f>IF(AND(tun_WinterTrigger=1,D888=1,AB887/AE887&gt;=K888),1,0)</x:f>
        <x:v>0</x:v>
      </x:c>
      <x:c r="AD888" s="8" t="n">
        <x:f>H888*IF(AND(OR(AB887/AE887&gt;=tun_FissionTrigger*N888,AC888=1),AB887/AE887*tun_DaughterShare&gt;=tun_MinDaughter),MAX(1,ROUND(AE887*tun_FissionRate,0)),0)</x:f>
        <x:v>0</x:v>
      </x:c>
      <x:c r="AE888" s="8" t="n">
        <x:f>IF(H888=1,MAX(1,MIN(INDEX(tun_Smax,G888),AE887+AD888)),AE887)</x:f>
        <x:v>9</x:v>
      </x:c>
      <x:c r="AF888" s="8" t="n">
        <x:f>MAX(0,AE888-AE887)</x:f>
        <x:v>0</x:v>
      </x:c>
      <x:c r="AG888" s="9" t="str">
        <x:f>IF(AF888&gt;0,B888,"")</x:f>
      </x:c>
      <x:c r="AH888" s="9" t="n">
        <x:f>IF(F888&gt;=1,1,(1+tun_LowTiesShare*(AE888-1))/AE888)</x:f>
        <x:v>1</x:v>
      </x:c>
      <x:c r="AI888" s="32" t="n">
        <x:f>(Z888+tun_ElderCommons*INDEX(LM_Elder,G888)*AA888)*AH888</x:f>
        <x:v>238215.0665857503</x:v>
      </x:c>
      <x:c r="AJ888" s="32" t="n">
        <x:f>H888*tun_CommonsCoef*AI888^tun_CommonsExp*INDEX(LM_Commons,G888)</x:f>
        <x:v>0</x:v>
      </x:c>
      <x:c r="AK888" s="32" t="n">
        <x:f>H888*tun_RoleScale*Arch_Roles*(AE888*(INDEX(tun_ElderRolePerSett,G888)*tun_OutElder*INDEX(LM_Elder,G888)+INDEX(tun_ShamanPerSett,G888)*tun_OutShaman)+Z888*(INDEX(tun_PriestShare,G888)*tun_OutPriest+INDEX(tun_ScribeShare,G888)*tun_OutScribe*INDEX(LM_Scribe,G888)+INDEX(tun_ScholarShare,G888)*tun_OutScholar*INDEX(LM_Scholar,G888)+INDEX(tun_ResearcherShare,G888)*tun_OutResearcher*INDEX(LM_Researcher,G888)))</x:f>
        <x:v>0</x:v>
      </x:c>
      <x:c r="AL888" s="32" t="n">
        <x:f>H888*tun_RoleScale*Arch_Roles*AE888*INDEX(tun_MonasteryPerSett,G888)*tun_OutMonastery*INDEX(LM_Monastery,G888)</x:f>
        <x:v>0</x:v>
      </x:c>
      <x:c r="AM888" s="32" t="n">
        <x:f>(AJ888+AK888+AL888)/4*INDEX(LM_All,G888)*INDEX(tun_Boon,G888)*Arch_Insight</x:f>
        <x:v>0</x:v>
      </x:c>
      <x:c r="AN888" s="32" t="n">
        <x:f>H888*(tun_KHPerAdult*Z888+tun_KHOfCommons*AJ888/4*INDEX(LM_All,G888))*tun_KHUsable*Arch_KH</x:f>
        <x:v>0</x:v>
      </x:c>
      <x:c r="AO888" s="32" t="n">
        <x:f>MIN(AP887+AN888,AM888*tun_KHMaxRatio)</x:f>
        <x:v>0</x:v>
      </x:c>
      <x:c r="AP888" s="32" t="n">
        <x:f>AP887+AN888-AO888</x:f>
        <x:v>0</x:v>
      </x:c>
      <x:c r="AQ888" s="32" t="n">
        <x:f>AM888+AO888</x:f>
        <x:v>0</x:v>
      </x:c>
      <x:c r="AR888" s="10" t="n">
        <x:f>IF(H888=1,INDEX(tun_Req,G888),0)</x:f>
        <x:v>0</x:v>
      </x:c>
      <x:c r="AS888" s="32" t="n">
        <x:f>IF(H888=1,IF(E888=1,AS887-AR887,AS887)+AQ888,0)</x:f>
        <x:v>0</x:v>
      </x:c>
      <x:c r="AT888" s="11" t="n">
        <x:f>IF(AR888&gt;0,MIN(1,AS888/AR888),1)</x:f>
        <x:v>1</x:v>
      </x:c>
      <x:c r="AU888" s="10" t="n">
        <x:f>AB888/INDEX(tun_RepScale,G888)</x:f>
        <x:v>290.3368848566301</x:v>
      </x:c>
      <x:c r="AV888" s="32" t="n">
        <x:f>AM888*60/tun_SeasonSeconds</x:f>
        <x:v>0</x:v>
      </x:c>
    </x:row>
    <x:row r="889">
      <x:c r="A889" s="8" t="n">
        <x:f>A888+1</x:f>
        <x:v>886</x:v>
      </x:c>
      <x:c r="B889" s="9" t="n">
        <x:f>A889*tun_SeasonSeconds/60</x:f>
        <x:v>221.5</x:v>
      </x:c>
      <x:c r="C889" s="9" t="n">
        <x:f>A889/4</x:f>
        <x:v>221.5</x:v>
      </x:c>
      <x:c r="D889" s="8" t="n">
        <x:f>IF(MOD(A889,4)=0,1,0)</x:f>
        <x:v>0</x:v>
      </x:c>
      <x:c r="E889" s="8" t="n">
        <x:f>IF(AND(F888&lt;=9,AS888&gt;=AR888),1,0)</x:f>
        <x:v>0</x:v>
      </x:c>
      <x:c r="F889" s="8" t="n">
        <x:f>MIN(10,F888+E889)</x:f>
        <x:v>10</x:v>
      </x:c>
      <x:c r="G889" s="8" t="n">
        <x:f>MIN(F889,9)+1</x:f>
        <x:v>10</x:v>
      </x:c>
      <x:c r="H889" s="8" t="n">
        <x:f>IF(F889&lt;=9,1,0)</x:f>
        <x:v>0</x:v>
      </x:c>
      <x:c r="I889" s="9" t="n">
        <x:f>MIN(10,F888+IF(AR888&gt;0,MIN(1,AS888/AR888),1))</x:f>
        <x:v>10</x:v>
      </x:c>
      <x:c r="J889" s="32" t="n">
        <x:f>INDEX(tun_FoodCap,G889)*Arch_FoodCap*EXP(tun_CapsByProject*SUMPRODUCT((Cap_Point&lt;=I889)*(Cap_Kind="Food")*Cap_Ln))</x:f>
        <x:v>18627.260449441455</x:v>
      </x:c>
      <x:c r="K889" s="32" t="n">
        <x:f>J889*MIN(1,tun_LeanBase*EXP(tun_CapsByProject*SUMPRODUCT((Cap_Point&lt;=I889)*(Cap_Kind="Lean")*Cap_Ln)))</x:f>
        <x:v>18627.260449441455</x:v>
      </x:c>
      <x:c r="L889" s="10" t="n">
        <x:f>INDEX(tun_HousingCap,G889)*EXP(tun_CapsByProject*SUMPRODUCT((Cap_Point&lt;=I889)*(Cap_Kind="Housing")*Cap_Ln))</x:f>
        <x:v>20528.974303173167</x:v>
      </x:c>
      <x:c r="M889" s="10" t="n">
        <x:f>INDEX(tun_GroupCap,G889)*tun_CohesionFactor*EXP(tun_CapsByProject*SUMPRODUCT((Cap_Point&lt;=I889)*(Cap_Kind="Group")*Cap_Ln))</x:f>
        <x:v>1000000.000000001</x:v>
      </x:c>
      <x:c r="N889" s="32" t="n">
        <x:f>MIN(J889,L889,M889)</x:f>
        <x:v>18627.260449441455</x:v>
      </x:c>
      <x:c r="O889" s="10" t="n">
        <x:f>AE888*N889</x:f>
        <x:v>167645.34404497308</x:v>
      </x:c>
      <x:c r="P889" s="9" t="n">
        <x:f>MIN(1,(AB888/(AE888*IF(tun_GroupInCrowding=1,N889,MIN(J889,L889))))^tun_CrowdingExp)</x:f>
        <x:v>0.4215841981292809</x:v>
      </x:c>
      <x:c r="Q889" s="9" t="n">
        <x:f>IF(D889=1,INDEX(tun_WinterMult,G889),1)</x:f>
        <x:v>1</x:v>
      </x:c>
      <x:c r="R889" s="9" t="n">
        <x:f>H889*Z888*tun_WomenShare*tun_BaseFertility*INDEX(tun_FertMult,G889)*Arch_Fertility*(1-P889)</x:f>
        <x:v>0</x:v>
      </x:c>
      <x:c r="S889" s="9" t="n">
        <x:f>H889*Y888*INDEX(tun_MortChild,G889)/4*Q889</x:f>
        <x:v>0</x:v>
      </x:c>
      <x:c r="T889" s="9" t="n">
        <x:f>H889*Z888*INDEX(tun_MortAdult,G889)*Arch_AdultMort/4*Q889</x:f>
        <x:v>0</x:v>
      </x:c>
      <x:c r="U889" s="9" t="n">
        <x:f>H889*AA888*INDEX(tun_MortElder,G889)/4*Q889</x:f>
        <x:v>0</x:v>
      </x:c>
      <x:c r="V889" s="9" t="n">
        <x:f>H889*MAX(0,AB888-O889)*tun_OvercapLoss</x:f>
        <x:v>0</x:v>
      </x:c>
      <x:c r="W889" s="9" t="n">
        <x:f>H889*Y888/(tun_ChildYears*4)</x:f>
        <x:v>0</x:v>
      </x:c>
      <x:c r="X889" s="9" t="n">
        <x:f>H889*Z888/(tun_AdultYears*4)</x:f>
        <x:v>0</x:v>
      </x:c>
      <x:c r="Y889" s="32" t="n">
        <x:f>Y888+R889-S889-W889-Y888*V889/AB888</x:f>
        <x:v>40496.20709015643</x:v>
      </x:c>
      <x:c r="Z889" s="32" t="n">
        <x:f>Z888+W889-X889-T889-Z888*V889/AB888</x:f>
        <x:v>59141.61122890803</x:v>
      </x:c>
      <x:c r="AA889" s="32" t="n">
        <x:f>AA888+X889-U889-AA888*V889/AB888</x:f>
        <x:v>45530.62410925061</x:v>
      </x:c>
      <x:c r="AB889" s="10" t="n">
        <x:f>Y889+Z889+AA889</x:f>
        <x:v>145168.44242831506</x:v>
      </x:c>
      <x:c r="AC889" s="8" t="n">
        <x:f>IF(AND(tun_WinterTrigger=1,D889=1,AB888/AE888&gt;=K889),1,0)</x:f>
        <x:v>0</x:v>
      </x:c>
      <x:c r="AD889" s="8" t="n">
        <x:f>H889*IF(AND(OR(AB888/AE888&gt;=tun_FissionTrigger*N889,AC889=1),AB888/AE888*tun_DaughterShare&gt;=tun_MinDaughter),MAX(1,ROUND(AE888*tun_FissionRate,0)),0)</x:f>
        <x:v>0</x:v>
      </x:c>
      <x:c r="AE889" s="8" t="n">
        <x:f>IF(H889=1,MAX(1,MIN(INDEX(tun_Smax,G889),AE888+AD889)),AE888)</x:f>
        <x:v>9</x:v>
      </x:c>
      <x:c r="AF889" s="8" t="n">
        <x:f>MAX(0,AE889-AE888)</x:f>
        <x:v>0</x:v>
      </x:c>
      <x:c r="AG889" s="9" t="str">
        <x:f>IF(AF889&gt;0,B889,"")</x:f>
      </x:c>
      <x:c r="AH889" s="9" t="n">
        <x:f>IF(F889&gt;=1,1,(1+tun_LowTiesShare*(AE889-1))/AE889)</x:f>
        <x:v>1</x:v>
      </x:c>
      <x:c r="AI889" s="32" t="n">
        <x:f>(Z889+tun_ElderCommons*INDEX(LM_Elder,G889)*AA889)*AH889</x:f>
        <x:v>238215.0665857503</x:v>
      </x:c>
      <x:c r="AJ889" s="32" t="n">
        <x:f>H889*tun_CommonsCoef*AI889^tun_CommonsExp*INDEX(LM_Commons,G889)</x:f>
        <x:v>0</x:v>
      </x:c>
      <x:c r="AK889" s="32" t="n">
        <x:f>H889*tun_RoleScale*Arch_Roles*(AE889*(INDEX(tun_ElderRolePerSett,G889)*tun_OutElder*INDEX(LM_Elder,G889)+INDEX(tun_ShamanPerSett,G889)*tun_OutShaman)+Z889*(INDEX(tun_PriestShare,G889)*tun_OutPriest+INDEX(tun_ScribeShare,G889)*tun_OutScribe*INDEX(LM_Scribe,G889)+INDEX(tun_ScholarShare,G889)*tun_OutScholar*INDEX(LM_Scholar,G889)+INDEX(tun_ResearcherShare,G889)*tun_OutResearcher*INDEX(LM_Researcher,G889)))</x:f>
        <x:v>0</x:v>
      </x:c>
      <x:c r="AL889" s="32" t="n">
        <x:f>H889*tun_RoleScale*Arch_Roles*AE889*INDEX(tun_MonasteryPerSett,G889)*tun_OutMonastery*INDEX(LM_Monastery,G889)</x:f>
        <x:v>0</x:v>
      </x:c>
      <x:c r="AM889" s="32" t="n">
        <x:f>(AJ889+AK889+AL889)/4*INDEX(LM_All,G889)*INDEX(tun_Boon,G889)*Arch_Insight</x:f>
        <x:v>0</x:v>
      </x:c>
      <x:c r="AN889" s="32" t="n">
        <x:f>H889*(tun_KHPerAdult*Z889+tun_KHOfCommons*AJ889/4*INDEX(LM_All,G889))*tun_KHUsable*Arch_KH</x:f>
        <x:v>0</x:v>
      </x:c>
      <x:c r="AO889" s="32" t="n">
        <x:f>MIN(AP888+AN889,AM889*tun_KHMaxRatio)</x:f>
        <x:v>0</x:v>
      </x:c>
      <x:c r="AP889" s="32" t="n">
        <x:f>AP888+AN889-AO889</x:f>
        <x:v>0</x:v>
      </x:c>
      <x:c r="AQ889" s="32" t="n">
        <x:f>AM889+AO889</x:f>
        <x:v>0</x:v>
      </x:c>
      <x:c r="AR889" s="10" t="n">
        <x:f>IF(H889=1,INDEX(tun_Req,G889),0)</x:f>
        <x:v>0</x:v>
      </x:c>
      <x:c r="AS889" s="32" t="n">
        <x:f>IF(H889=1,IF(E889=1,AS888-AR888,AS888)+AQ889,0)</x:f>
        <x:v>0</x:v>
      </x:c>
      <x:c r="AT889" s="11" t="n">
        <x:f>IF(AR889&gt;0,MIN(1,AS889/AR889),1)</x:f>
        <x:v>1</x:v>
      </x:c>
      <x:c r="AU889" s="10" t="n">
        <x:f>AB889/INDEX(tun_RepScale,G889)</x:f>
        <x:v>290.3368848566301</x:v>
      </x:c>
      <x:c r="AV889" s="32" t="n">
        <x:f>AM889*60/tun_SeasonSeconds</x:f>
        <x:v>0</x:v>
      </x:c>
    </x:row>
    <x:row r="890">
      <x:c r="A890" s="8" t="n">
        <x:f>A889+1</x:f>
        <x:v>887</x:v>
      </x:c>
      <x:c r="B890" s="9" t="n">
        <x:f>A890*tun_SeasonSeconds/60</x:f>
        <x:v>221.75</x:v>
      </x:c>
      <x:c r="C890" s="9" t="n">
        <x:f>A890/4</x:f>
        <x:v>221.75</x:v>
      </x:c>
      <x:c r="D890" s="8" t="n">
        <x:f>IF(MOD(A890,4)=0,1,0)</x:f>
        <x:v>0</x:v>
      </x:c>
      <x:c r="E890" s="8" t="n">
        <x:f>IF(AND(F889&lt;=9,AS889&gt;=AR889),1,0)</x:f>
        <x:v>0</x:v>
      </x:c>
      <x:c r="F890" s="8" t="n">
        <x:f>MIN(10,F889+E890)</x:f>
        <x:v>10</x:v>
      </x:c>
      <x:c r="G890" s="8" t="n">
        <x:f>MIN(F890,9)+1</x:f>
        <x:v>10</x:v>
      </x:c>
      <x:c r="H890" s="8" t="n">
        <x:f>IF(F890&lt;=9,1,0)</x:f>
        <x:v>0</x:v>
      </x:c>
      <x:c r="I890" s="9" t="n">
        <x:f>MIN(10,F889+IF(AR889&gt;0,MIN(1,AS889/AR889),1))</x:f>
        <x:v>10</x:v>
      </x:c>
      <x:c r="J890" s="32" t="n">
        <x:f>INDEX(tun_FoodCap,G890)*Arch_FoodCap*EXP(tun_CapsByProject*SUMPRODUCT((Cap_Point&lt;=I890)*(Cap_Kind="Food")*Cap_Ln))</x:f>
        <x:v>18627.260449441455</x:v>
      </x:c>
      <x:c r="K890" s="32" t="n">
        <x:f>J890*MIN(1,tun_LeanBase*EXP(tun_CapsByProject*SUMPRODUCT((Cap_Point&lt;=I890)*(Cap_Kind="Lean")*Cap_Ln)))</x:f>
        <x:v>18627.260449441455</x:v>
      </x:c>
      <x:c r="L890" s="10" t="n">
        <x:f>INDEX(tun_HousingCap,G890)*EXP(tun_CapsByProject*SUMPRODUCT((Cap_Point&lt;=I890)*(Cap_Kind="Housing")*Cap_Ln))</x:f>
        <x:v>20528.974303173167</x:v>
      </x:c>
      <x:c r="M890" s="10" t="n">
        <x:f>INDEX(tun_GroupCap,G890)*tun_CohesionFactor*EXP(tun_CapsByProject*SUMPRODUCT((Cap_Point&lt;=I890)*(Cap_Kind="Group")*Cap_Ln))</x:f>
        <x:v>1000000.000000001</x:v>
      </x:c>
      <x:c r="N890" s="32" t="n">
        <x:f>MIN(J890,L890,M890)</x:f>
        <x:v>18627.260449441455</x:v>
      </x:c>
      <x:c r="O890" s="10" t="n">
        <x:f>AE889*N890</x:f>
        <x:v>167645.34404497308</x:v>
      </x:c>
      <x:c r="P890" s="9" t="n">
        <x:f>MIN(1,(AB889/(AE889*IF(tun_GroupInCrowding=1,N890,MIN(J890,L890))))^tun_CrowdingExp)</x:f>
        <x:v>0.4215841981292809</x:v>
      </x:c>
      <x:c r="Q890" s="9" t="n">
        <x:f>IF(D890=1,INDEX(tun_WinterMult,G890),1)</x:f>
        <x:v>1</x:v>
      </x:c>
      <x:c r="R890" s="9" t="n">
        <x:f>H890*Z889*tun_WomenShare*tun_BaseFertility*INDEX(tun_FertMult,G890)*Arch_Fertility*(1-P890)</x:f>
        <x:v>0</x:v>
      </x:c>
      <x:c r="S890" s="9" t="n">
        <x:f>H890*Y889*INDEX(tun_MortChild,G890)/4*Q890</x:f>
        <x:v>0</x:v>
      </x:c>
      <x:c r="T890" s="9" t="n">
        <x:f>H890*Z889*INDEX(tun_MortAdult,G890)*Arch_AdultMort/4*Q890</x:f>
        <x:v>0</x:v>
      </x:c>
      <x:c r="U890" s="9" t="n">
        <x:f>H890*AA889*INDEX(tun_MortElder,G890)/4*Q890</x:f>
        <x:v>0</x:v>
      </x:c>
      <x:c r="V890" s="9" t="n">
        <x:f>H890*MAX(0,AB889-O890)*tun_OvercapLoss</x:f>
        <x:v>0</x:v>
      </x:c>
      <x:c r="W890" s="9" t="n">
        <x:f>H890*Y889/(tun_ChildYears*4)</x:f>
        <x:v>0</x:v>
      </x:c>
      <x:c r="X890" s="9" t="n">
        <x:f>H890*Z889/(tun_AdultYears*4)</x:f>
        <x:v>0</x:v>
      </x:c>
      <x:c r="Y890" s="32" t="n">
        <x:f>Y889+R890-S890-W890-Y889*V890/AB889</x:f>
        <x:v>40496.20709015643</x:v>
      </x:c>
      <x:c r="Z890" s="32" t="n">
        <x:f>Z889+W890-X890-T890-Z889*V890/AB889</x:f>
        <x:v>59141.61122890803</x:v>
      </x:c>
      <x:c r="AA890" s="32" t="n">
        <x:f>AA889+X890-U890-AA889*V890/AB889</x:f>
        <x:v>45530.62410925061</x:v>
      </x:c>
      <x:c r="AB890" s="10" t="n">
        <x:f>Y890+Z890+AA890</x:f>
        <x:v>145168.44242831506</x:v>
      </x:c>
      <x:c r="AC890" s="8" t="n">
        <x:f>IF(AND(tun_WinterTrigger=1,D890=1,AB889/AE889&gt;=K890),1,0)</x:f>
        <x:v>0</x:v>
      </x:c>
      <x:c r="AD890" s="8" t="n">
        <x:f>H890*IF(AND(OR(AB889/AE889&gt;=tun_FissionTrigger*N890,AC890=1),AB889/AE889*tun_DaughterShare&gt;=tun_MinDaughter),MAX(1,ROUND(AE889*tun_FissionRate,0)),0)</x:f>
        <x:v>0</x:v>
      </x:c>
      <x:c r="AE890" s="8" t="n">
        <x:f>IF(H890=1,MAX(1,MIN(INDEX(tun_Smax,G890),AE889+AD890)),AE889)</x:f>
        <x:v>9</x:v>
      </x:c>
      <x:c r="AF890" s="8" t="n">
        <x:f>MAX(0,AE890-AE889)</x:f>
        <x:v>0</x:v>
      </x:c>
      <x:c r="AG890" s="9" t="str">
        <x:f>IF(AF890&gt;0,B890,"")</x:f>
      </x:c>
      <x:c r="AH890" s="9" t="n">
        <x:f>IF(F890&gt;=1,1,(1+tun_LowTiesShare*(AE890-1))/AE890)</x:f>
        <x:v>1</x:v>
      </x:c>
      <x:c r="AI890" s="32" t="n">
        <x:f>(Z890+tun_ElderCommons*INDEX(LM_Elder,G890)*AA890)*AH890</x:f>
        <x:v>238215.0665857503</x:v>
      </x:c>
      <x:c r="AJ890" s="32" t="n">
        <x:f>H890*tun_CommonsCoef*AI890^tun_CommonsExp*INDEX(LM_Commons,G890)</x:f>
        <x:v>0</x:v>
      </x:c>
      <x:c r="AK890" s="32" t="n">
        <x:f>H890*tun_RoleScale*Arch_Roles*(AE890*(INDEX(tun_ElderRolePerSett,G890)*tun_OutElder*INDEX(LM_Elder,G890)+INDEX(tun_ShamanPerSett,G890)*tun_OutShaman)+Z890*(INDEX(tun_PriestShare,G890)*tun_OutPriest+INDEX(tun_ScribeShare,G890)*tun_OutScribe*INDEX(LM_Scribe,G890)+INDEX(tun_ScholarShare,G890)*tun_OutScholar*INDEX(LM_Scholar,G890)+INDEX(tun_ResearcherShare,G890)*tun_OutResearcher*INDEX(LM_Researcher,G890)))</x:f>
        <x:v>0</x:v>
      </x:c>
      <x:c r="AL890" s="32" t="n">
        <x:f>H890*tun_RoleScale*Arch_Roles*AE890*INDEX(tun_MonasteryPerSett,G890)*tun_OutMonastery*INDEX(LM_Monastery,G890)</x:f>
        <x:v>0</x:v>
      </x:c>
      <x:c r="AM890" s="32" t="n">
        <x:f>(AJ890+AK890+AL890)/4*INDEX(LM_All,G890)*INDEX(tun_Boon,G890)*Arch_Insight</x:f>
        <x:v>0</x:v>
      </x:c>
      <x:c r="AN890" s="32" t="n">
        <x:f>H890*(tun_KHPerAdult*Z890+tun_KHOfCommons*AJ890/4*INDEX(LM_All,G890))*tun_KHUsable*Arch_KH</x:f>
        <x:v>0</x:v>
      </x:c>
      <x:c r="AO890" s="32" t="n">
        <x:f>MIN(AP889+AN890,AM890*tun_KHMaxRatio)</x:f>
        <x:v>0</x:v>
      </x:c>
      <x:c r="AP890" s="32" t="n">
        <x:f>AP889+AN890-AO890</x:f>
        <x:v>0</x:v>
      </x:c>
      <x:c r="AQ890" s="32" t="n">
        <x:f>AM890+AO890</x:f>
        <x:v>0</x:v>
      </x:c>
      <x:c r="AR890" s="10" t="n">
        <x:f>IF(H890=1,INDEX(tun_Req,G890),0)</x:f>
        <x:v>0</x:v>
      </x:c>
      <x:c r="AS890" s="32" t="n">
        <x:f>IF(H890=1,IF(E890=1,AS889-AR889,AS889)+AQ890,0)</x:f>
        <x:v>0</x:v>
      </x:c>
      <x:c r="AT890" s="11" t="n">
        <x:f>IF(AR890&gt;0,MIN(1,AS890/AR890),1)</x:f>
        <x:v>1</x:v>
      </x:c>
      <x:c r="AU890" s="10" t="n">
        <x:f>AB890/INDEX(tun_RepScale,G890)</x:f>
        <x:v>290.3368848566301</x:v>
      </x:c>
      <x:c r="AV890" s="32" t="n">
        <x:f>AM890*60/tun_SeasonSeconds</x:f>
        <x:v>0</x:v>
      </x:c>
    </x:row>
    <x:row r="891">
      <x:c r="A891" s="8" t="n">
        <x:f>A890+1</x:f>
        <x:v>888</x:v>
      </x:c>
      <x:c r="B891" s="9" t="n">
        <x:f>A891*tun_SeasonSeconds/60</x:f>
        <x:v>222</x:v>
      </x:c>
      <x:c r="C891" s="9" t="n">
        <x:f>A891/4</x:f>
        <x:v>222</x:v>
      </x:c>
      <x:c r="D891" s="8" t="n">
        <x:f>IF(MOD(A891,4)=0,1,0)</x:f>
        <x:v>1</x:v>
      </x:c>
      <x:c r="E891" s="8" t="n">
        <x:f>IF(AND(F890&lt;=9,AS890&gt;=AR890),1,0)</x:f>
        <x:v>0</x:v>
      </x:c>
      <x:c r="F891" s="8" t="n">
        <x:f>MIN(10,F890+E891)</x:f>
        <x:v>10</x:v>
      </x:c>
      <x:c r="G891" s="8" t="n">
        <x:f>MIN(F891,9)+1</x:f>
        <x:v>10</x:v>
      </x:c>
      <x:c r="H891" s="8" t="n">
        <x:f>IF(F891&lt;=9,1,0)</x:f>
        <x:v>0</x:v>
      </x:c>
      <x:c r="I891" s="9" t="n">
        <x:f>MIN(10,F890+IF(AR890&gt;0,MIN(1,AS890/AR890),1))</x:f>
        <x:v>10</x:v>
      </x:c>
      <x:c r="J891" s="32" t="n">
        <x:f>INDEX(tun_FoodCap,G891)*Arch_FoodCap*EXP(tun_CapsByProject*SUMPRODUCT((Cap_Point&lt;=I891)*(Cap_Kind="Food")*Cap_Ln))</x:f>
        <x:v>18627.260449441455</x:v>
      </x:c>
      <x:c r="K891" s="32" t="n">
        <x:f>J891*MIN(1,tun_LeanBase*EXP(tun_CapsByProject*SUMPRODUCT((Cap_Point&lt;=I891)*(Cap_Kind="Lean")*Cap_Ln)))</x:f>
        <x:v>18627.260449441455</x:v>
      </x:c>
      <x:c r="L891" s="10" t="n">
        <x:f>INDEX(tun_HousingCap,G891)*EXP(tun_CapsByProject*SUMPRODUCT((Cap_Point&lt;=I891)*(Cap_Kind="Housing")*Cap_Ln))</x:f>
        <x:v>20528.974303173167</x:v>
      </x:c>
      <x:c r="M891" s="10" t="n">
        <x:f>INDEX(tun_GroupCap,G891)*tun_CohesionFactor*EXP(tun_CapsByProject*SUMPRODUCT((Cap_Point&lt;=I891)*(Cap_Kind="Group")*Cap_Ln))</x:f>
        <x:v>1000000.000000001</x:v>
      </x:c>
      <x:c r="N891" s="32" t="n">
        <x:f>MIN(J891,L891,M891)</x:f>
        <x:v>18627.260449441455</x:v>
      </x:c>
      <x:c r="O891" s="10" t="n">
        <x:f>AE890*N891</x:f>
        <x:v>167645.34404497308</x:v>
      </x:c>
      <x:c r="P891" s="9" t="n">
        <x:f>MIN(1,(AB890/(AE890*IF(tun_GroupInCrowding=1,N891,MIN(J891,L891))))^tun_CrowdingExp)</x:f>
        <x:v>0.4215841981292809</x:v>
      </x:c>
      <x:c r="Q891" s="9" t="n">
        <x:f>IF(D891=1,INDEX(tun_WinterMult,G891),1)</x:f>
        <x:v>1.05</x:v>
      </x:c>
      <x:c r="R891" s="9" t="n">
        <x:f>H891*Z890*tun_WomenShare*tun_BaseFertility*INDEX(tun_FertMult,G891)*Arch_Fertility*(1-P891)</x:f>
        <x:v>0</x:v>
      </x:c>
      <x:c r="S891" s="9" t="n">
        <x:f>H891*Y890*INDEX(tun_MortChild,G891)/4*Q891</x:f>
        <x:v>0</x:v>
      </x:c>
      <x:c r="T891" s="9" t="n">
        <x:f>H891*Z890*INDEX(tun_MortAdult,G891)*Arch_AdultMort/4*Q891</x:f>
        <x:v>0</x:v>
      </x:c>
      <x:c r="U891" s="9" t="n">
        <x:f>H891*AA890*INDEX(tun_MortElder,G891)/4*Q891</x:f>
        <x:v>0</x:v>
      </x:c>
      <x:c r="V891" s="9" t="n">
        <x:f>H891*MAX(0,AB890-O891)*tun_OvercapLoss</x:f>
        <x:v>0</x:v>
      </x:c>
      <x:c r="W891" s="9" t="n">
        <x:f>H891*Y890/(tun_ChildYears*4)</x:f>
        <x:v>0</x:v>
      </x:c>
      <x:c r="X891" s="9" t="n">
        <x:f>H891*Z890/(tun_AdultYears*4)</x:f>
        <x:v>0</x:v>
      </x:c>
      <x:c r="Y891" s="32" t="n">
        <x:f>Y890+R891-S891-W891-Y890*V891/AB890</x:f>
        <x:v>40496.20709015643</x:v>
      </x:c>
      <x:c r="Z891" s="32" t="n">
        <x:f>Z890+W891-X891-T891-Z890*V891/AB890</x:f>
        <x:v>59141.61122890803</x:v>
      </x:c>
      <x:c r="AA891" s="32" t="n">
        <x:f>AA890+X891-U891-AA890*V891/AB890</x:f>
        <x:v>45530.62410925061</x:v>
      </x:c>
      <x:c r="AB891" s="10" t="n">
        <x:f>Y891+Z891+AA891</x:f>
        <x:v>145168.44242831506</x:v>
      </x:c>
      <x:c r="AC891" s="8" t="n">
        <x:f>IF(AND(tun_WinterTrigger=1,D891=1,AB890/AE890&gt;=K891),1,0)</x:f>
        <x:v>0</x:v>
      </x:c>
      <x:c r="AD891" s="8" t="n">
        <x:f>H891*IF(AND(OR(AB890/AE890&gt;=tun_FissionTrigger*N891,AC891=1),AB890/AE890*tun_DaughterShare&gt;=tun_MinDaughter),MAX(1,ROUND(AE890*tun_FissionRate,0)),0)</x:f>
        <x:v>0</x:v>
      </x:c>
      <x:c r="AE891" s="8" t="n">
        <x:f>IF(H891=1,MAX(1,MIN(INDEX(tun_Smax,G891),AE890+AD891)),AE890)</x:f>
        <x:v>9</x:v>
      </x:c>
      <x:c r="AF891" s="8" t="n">
        <x:f>MAX(0,AE891-AE890)</x:f>
        <x:v>0</x:v>
      </x:c>
      <x:c r="AG891" s="9" t="str">
        <x:f>IF(AF891&gt;0,B891,"")</x:f>
      </x:c>
      <x:c r="AH891" s="9" t="n">
        <x:f>IF(F891&gt;=1,1,(1+tun_LowTiesShare*(AE891-1))/AE891)</x:f>
        <x:v>1</x:v>
      </x:c>
      <x:c r="AI891" s="32" t="n">
        <x:f>(Z891+tun_ElderCommons*INDEX(LM_Elder,G891)*AA891)*AH891</x:f>
        <x:v>238215.0665857503</x:v>
      </x:c>
      <x:c r="AJ891" s="32" t="n">
        <x:f>H891*tun_CommonsCoef*AI891^tun_CommonsExp*INDEX(LM_Commons,G891)</x:f>
        <x:v>0</x:v>
      </x:c>
      <x:c r="AK891" s="32" t="n">
        <x:f>H891*tun_RoleScale*Arch_Roles*(AE891*(INDEX(tun_ElderRolePerSett,G891)*tun_OutElder*INDEX(LM_Elder,G891)+INDEX(tun_ShamanPerSett,G891)*tun_OutShaman)+Z891*(INDEX(tun_PriestShare,G891)*tun_OutPriest+INDEX(tun_ScribeShare,G891)*tun_OutScribe*INDEX(LM_Scribe,G891)+INDEX(tun_ScholarShare,G891)*tun_OutScholar*INDEX(LM_Scholar,G891)+INDEX(tun_ResearcherShare,G891)*tun_OutResearcher*INDEX(LM_Researcher,G891)))</x:f>
        <x:v>0</x:v>
      </x:c>
      <x:c r="AL891" s="32" t="n">
        <x:f>H891*tun_RoleScale*Arch_Roles*AE891*INDEX(tun_MonasteryPerSett,G891)*tun_OutMonastery*INDEX(LM_Monastery,G891)</x:f>
        <x:v>0</x:v>
      </x:c>
      <x:c r="AM891" s="32" t="n">
        <x:f>(AJ891+AK891+AL891)/4*INDEX(LM_All,G891)*INDEX(tun_Boon,G891)*Arch_Insight</x:f>
        <x:v>0</x:v>
      </x:c>
      <x:c r="AN891" s="32" t="n">
        <x:f>H891*(tun_KHPerAdult*Z891+tun_KHOfCommons*AJ891/4*INDEX(LM_All,G891))*tun_KHUsable*Arch_KH</x:f>
        <x:v>0</x:v>
      </x:c>
      <x:c r="AO891" s="32" t="n">
        <x:f>MIN(AP890+AN891,AM891*tun_KHMaxRatio)</x:f>
        <x:v>0</x:v>
      </x:c>
      <x:c r="AP891" s="32" t="n">
        <x:f>AP890+AN891-AO891</x:f>
        <x:v>0</x:v>
      </x:c>
      <x:c r="AQ891" s="32" t="n">
        <x:f>AM891+AO891</x:f>
        <x:v>0</x:v>
      </x:c>
      <x:c r="AR891" s="10" t="n">
        <x:f>IF(H891=1,INDEX(tun_Req,G891),0)</x:f>
        <x:v>0</x:v>
      </x:c>
      <x:c r="AS891" s="32" t="n">
        <x:f>IF(H891=1,IF(E891=1,AS890-AR890,AS890)+AQ891,0)</x:f>
        <x:v>0</x:v>
      </x:c>
      <x:c r="AT891" s="11" t="n">
        <x:f>IF(AR891&gt;0,MIN(1,AS891/AR891),1)</x:f>
        <x:v>1</x:v>
      </x:c>
      <x:c r="AU891" s="10" t="n">
        <x:f>AB891/INDEX(tun_RepScale,G891)</x:f>
        <x:v>290.3368848566301</x:v>
      </x:c>
      <x:c r="AV891" s="32" t="n">
        <x:f>AM891*60/tun_SeasonSeconds</x:f>
        <x:v>0</x:v>
      </x:c>
    </x:row>
    <x:row r="892">
      <x:c r="A892" s="8" t="n">
        <x:f>A891+1</x:f>
        <x:v>889</x:v>
      </x:c>
      <x:c r="B892" s="9" t="n">
        <x:f>A892*tun_SeasonSeconds/60</x:f>
        <x:v>222.25</x:v>
      </x:c>
      <x:c r="C892" s="9" t="n">
        <x:f>A892/4</x:f>
        <x:v>222.25</x:v>
      </x:c>
      <x:c r="D892" s="8" t="n">
        <x:f>IF(MOD(A892,4)=0,1,0)</x:f>
        <x:v>0</x:v>
      </x:c>
      <x:c r="E892" s="8" t="n">
        <x:f>IF(AND(F891&lt;=9,AS891&gt;=AR891),1,0)</x:f>
        <x:v>0</x:v>
      </x:c>
      <x:c r="F892" s="8" t="n">
        <x:f>MIN(10,F891+E892)</x:f>
        <x:v>10</x:v>
      </x:c>
      <x:c r="G892" s="8" t="n">
        <x:f>MIN(F892,9)+1</x:f>
        <x:v>10</x:v>
      </x:c>
      <x:c r="H892" s="8" t="n">
        <x:f>IF(F892&lt;=9,1,0)</x:f>
        <x:v>0</x:v>
      </x:c>
      <x:c r="I892" s="9" t="n">
        <x:f>MIN(10,F891+IF(AR891&gt;0,MIN(1,AS891/AR891),1))</x:f>
        <x:v>10</x:v>
      </x:c>
      <x:c r="J892" s="32" t="n">
        <x:f>INDEX(tun_FoodCap,G892)*Arch_FoodCap*EXP(tun_CapsByProject*SUMPRODUCT((Cap_Point&lt;=I892)*(Cap_Kind="Food")*Cap_Ln))</x:f>
        <x:v>18627.260449441455</x:v>
      </x:c>
      <x:c r="K892" s="32" t="n">
        <x:f>J892*MIN(1,tun_LeanBase*EXP(tun_CapsByProject*SUMPRODUCT((Cap_Point&lt;=I892)*(Cap_Kind="Lean")*Cap_Ln)))</x:f>
        <x:v>18627.260449441455</x:v>
      </x:c>
      <x:c r="L892" s="10" t="n">
        <x:f>INDEX(tun_HousingCap,G892)*EXP(tun_CapsByProject*SUMPRODUCT((Cap_Point&lt;=I892)*(Cap_Kind="Housing")*Cap_Ln))</x:f>
        <x:v>20528.974303173167</x:v>
      </x:c>
      <x:c r="M892" s="10" t="n">
        <x:f>INDEX(tun_GroupCap,G892)*tun_CohesionFactor*EXP(tun_CapsByProject*SUMPRODUCT((Cap_Point&lt;=I892)*(Cap_Kind="Group")*Cap_Ln))</x:f>
        <x:v>1000000.000000001</x:v>
      </x:c>
      <x:c r="N892" s="32" t="n">
        <x:f>MIN(J892,L892,M892)</x:f>
        <x:v>18627.260449441455</x:v>
      </x:c>
      <x:c r="O892" s="10" t="n">
        <x:f>AE891*N892</x:f>
        <x:v>167645.34404497308</x:v>
      </x:c>
      <x:c r="P892" s="9" t="n">
        <x:f>MIN(1,(AB891/(AE891*IF(tun_GroupInCrowding=1,N892,MIN(J892,L892))))^tun_CrowdingExp)</x:f>
        <x:v>0.4215841981292809</x:v>
      </x:c>
      <x:c r="Q892" s="9" t="n">
        <x:f>IF(D892=1,INDEX(tun_WinterMult,G892),1)</x:f>
        <x:v>1</x:v>
      </x:c>
      <x:c r="R892" s="9" t="n">
        <x:f>H892*Z891*tun_WomenShare*tun_BaseFertility*INDEX(tun_FertMult,G892)*Arch_Fertility*(1-P892)</x:f>
        <x:v>0</x:v>
      </x:c>
      <x:c r="S892" s="9" t="n">
        <x:f>H892*Y891*INDEX(tun_MortChild,G892)/4*Q892</x:f>
        <x:v>0</x:v>
      </x:c>
      <x:c r="T892" s="9" t="n">
        <x:f>H892*Z891*INDEX(tun_MortAdult,G892)*Arch_AdultMort/4*Q892</x:f>
        <x:v>0</x:v>
      </x:c>
      <x:c r="U892" s="9" t="n">
        <x:f>H892*AA891*INDEX(tun_MortElder,G892)/4*Q892</x:f>
        <x:v>0</x:v>
      </x:c>
      <x:c r="V892" s="9" t="n">
        <x:f>H892*MAX(0,AB891-O892)*tun_OvercapLoss</x:f>
        <x:v>0</x:v>
      </x:c>
      <x:c r="W892" s="9" t="n">
        <x:f>H892*Y891/(tun_ChildYears*4)</x:f>
        <x:v>0</x:v>
      </x:c>
      <x:c r="X892" s="9" t="n">
        <x:f>H892*Z891/(tun_AdultYears*4)</x:f>
        <x:v>0</x:v>
      </x:c>
      <x:c r="Y892" s="32" t="n">
        <x:f>Y891+R892-S892-W892-Y891*V892/AB891</x:f>
        <x:v>40496.20709015643</x:v>
      </x:c>
      <x:c r="Z892" s="32" t="n">
        <x:f>Z891+W892-X892-T892-Z891*V892/AB891</x:f>
        <x:v>59141.61122890803</x:v>
      </x:c>
      <x:c r="AA892" s="32" t="n">
        <x:f>AA891+X892-U892-AA891*V892/AB891</x:f>
        <x:v>45530.62410925061</x:v>
      </x:c>
      <x:c r="AB892" s="10" t="n">
        <x:f>Y892+Z892+AA892</x:f>
        <x:v>145168.44242831506</x:v>
      </x:c>
      <x:c r="AC892" s="8" t="n">
        <x:f>IF(AND(tun_WinterTrigger=1,D892=1,AB891/AE891&gt;=K892),1,0)</x:f>
        <x:v>0</x:v>
      </x:c>
      <x:c r="AD892" s="8" t="n">
        <x:f>H892*IF(AND(OR(AB891/AE891&gt;=tun_FissionTrigger*N892,AC892=1),AB891/AE891*tun_DaughterShare&gt;=tun_MinDaughter),MAX(1,ROUND(AE891*tun_FissionRate,0)),0)</x:f>
        <x:v>0</x:v>
      </x:c>
      <x:c r="AE892" s="8" t="n">
        <x:f>IF(H892=1,MAX(1,MIN(INDEX(tun_Smax,G892),AE891+AD892)),AE891)</x:f>
        <x:v>9</x:v>
      </x:c>
      <x:c r="AF892" s="8" t="n">
        <x:f>MAX(0,AE892-AE891)</x:f>
        <x:v>0</x:v>
      </x:c>
      <x:c r="AG892" s="9" t="str">
        <x:f>IF(AF892&gt;0,B892,"")</x:f>
      </x:c>
      <x:c r="AH892" s="9" t="n">
        <x:f>IF(F892&gt;=1,1,(1+tun_LowTiesShare*(AE892-1))/AE892)</x:f>
        <x:v>1</x:v>
      </x:c>
      <x:c r="AI892" s="32" t="n">
        <x:f>(Z892+tun_ElderCommons*INDEX(LM_Elder,G892)*AA892)*AH892</x:f>
        <x:v>238215.0665857503</x:v>
      </x:c>
      <x:c r="AJ892" s="32" t="n">
        <x:f>H892*tun_CommonsCoef*AI892^tun_CommonsExp*INDEX(LM_Commons,G892)</x:f>
        <x:v>0</x:v>
      </x:c>
      <x:c r="AK892" s="32" t="n">
        <x:f>H892*tun_RoleScale*Arch_Roles*(AE892*(INDEX(tun_ElderRolePerSett,G892)*tun_OutElder*INDEX(LM_Elder,G892)+INDEX(tun_ShamanPerSett,G892)*tun_OutShaman)+Z892*(INDEX(tun_PriestShare,G892)*tun_OutPriest+INDEX(tun_ScribeShare,G892)*tun_OutScribe*INDEX(LM_Scribe,G892)+INDEX(tun_ScholarShare,G892)*tun_OutScholar*INDEX(LM_Scholar,G892)+INDEX(tun_ResearcherShare,G892)*tun_OutResearcher*INDEX(LM_Researcher,G892)))</x:f>
        <x:v>0</x:v>
      </x:c>
      <x:c r="AL892" s="32" t="n">
        <x:f>H892*tun_RoleScale*Arch_Roles*AE892*INDEX(tun_MonasteryPerSett,G892)*tun_OutMonastery*INDEX(LM_Monastery,G892)</x:f>
        <x:v>0</x:v>
      </x:c>
      <x:c r="AM892" s="32" t="n">
        <x:f>(AJ892+AK892+AL892)/4*INDEX(LM_All,G892)*INDEX(tun_Boon,G892)*Arch_Insight</x:f>
        <x:v>0</x:v>
      </x:c>
      <x:c r="AN892" s="32" t="n">
        <x:f>H892*(tun_KHPerAdult*Z892+tun_KHOfCommons*AJ892/4*INDEX(LM_All,G892))*tun_KHUsable*Arch_KH</x:f>
        <x:v>0</x:v>
      </x:c>
      <x:c r="AO892" s="32" t="n">
        <x:f>MIN(AP891+AN892,AM892*tun_KHMaxRatio)</x:f>
        <x:v>0</x:v>
      </x:c>
      <x:c r="AP892" s="32" t="n">
        <x:f>AP891+AN892-AO892</x:f>
        <x:v>0</x:v>
      </x:c>
      <x:c r="AQ892" s="32" t="n">
        <x:f>AM892+AO892</x:f>
        <x:v>0</x:v>
      </x:c>
      <x:c r="AR892" s="10" t="n">
        <x:f>IF(H892=1,INDEX(tun_Req,G892),0)</x:f>
        <x:v>0</x:v>
      </x:c>
      <x:c r="AS892" s="32" t="n">
        <x:f>IF(H892=1,IF(E892=1,AS891-AR891,AS891)+AQ892,0)</x:f>
        <x:v>0</x:v>
      </x:c>
      <x:c r="AT892" s="11" t="n">
        <x:f>IF(AR892&gt;0,MIN(1,AS892/AR892),1)</x:f>
        <x:v>1</x:v>
      </x:c>
      <x:c r="AU892" s="10" t="n">
        <x:f>AB892/INDEX(tun_RepScale,G892)</x:f>
        <x:v>290.3368848566301</x:v>
      </x:c>
      <x:c r="AV892" s="32" t="n">
        <x:f>AM892*60/tun_SeasonSeconds</x:f>
        <x:v>0</x:v>
      </x:c>
    </x:row>
    <x:row r="893">
      <x:c r="A893" s="8" t="n">
        <x:f>A892+1</x:f>
        <x:v>890</x:v>
      </x:c>
      <x:c r="B893" s="9" t="n">
        <x:f>A893*tun_SeasonSeconds/60</x:f>
        <x:v>222.5</x:v>
      </x:c>
      <x:c r="C893" s="9" t="n">
        <x:f>A893/4</x:f>
        <x:v>222.5</x:v>
      </x:c>
      <x:c r="D893" s="8" t="n">
        <x:f>IF(MOD(A893,4)=0,1,0)</x:f>
        <x:v>0</x:v>
      </x:c>
      <x:c r="E893" s="8" t="n">
        <x:f>IF(AND(F892&lt;=9,AS892&gt;=AR892),1,0)</x:f>
        <x:v>0</x:v>
      </x:c>
      <x:c r="F893" s="8" t="n">
        <x:f>MIN(10,F892+E893)</x:f>
        <x:v>10</x:v>
      </x:c>
      <x:c r="G893" s="8" t="n">
        <x:f>MIN(F893,9)+1</x:f>
        <x:v>10</x:v>
      </x:c>
      <x:c r="H893" s="8" t="n">
        <x:f>IF(F893&lt;=9,1,0)</x:f>
        <x:v>0</x:v>
      </x:c>
      <x:c r="I893" s="9" t="n">
        <x:f>MIN(10,F892+IF(AR892&gt;0,MIN(1,AS892/AR892),1))</x:f>
        <x:v>10</x:v>
      </x:c>
      <x:c r="J893" s="32" t="n">
        <x:f>INDEX(tun_FoodCap,G893)*Arch_FoodCap*EXP(tun_CapsByProject*SUMPRODUCT((Cap_Point&lt;=I893)*(Cap_Kind="Food")*Cap_Ln))</x:f>
        <x:v>18627.260449441455</x:v>
      </x:c>
      <x:c r="K893" s="32" t="n">
        <x:f>J893*MIN(1,tun_LeanBase*EXP(tun_CapsByProject*SUMPRODUCT((Cap_Point&lt;=I893)*(Cap_Kind="Lean")*Cap_Ln)))</x:f>
        <x:v>18627.260449441455</x:v>
      </x:c>
      <x:c r="L893" s="10" t="n">
        <x:f>INDEX(tun_HousingCap,G893)*EXP(tun_CapsByProject*SUMPRODUCT((Cap_Point&lt;=I893)*(Cap_Kind="Housing")*Cap_Ln))</x:f>
        <x:v>20528.974303173167</x:v>
      </x:c>
      <x:c r="M893" s="10" t="n">
        <x:f>INDEX(tun_GroupCap,G893)*tun_CohesionFactor*EXP(tun_CapsByProject*SUMPRODUCT((Cap_Point&lt;=I893)*(Cap_Kind="Group")*Cap_Ln))</x:f>
        <x:v>1000000.000000001</x:v>
      </x:c>
      <x:c r="N893" s="32" t="n">
        <x:f>MIN(J893,L893,M893)</x:f>
        <x:v>18627.260449441455</x:v>
      </x:c>
      <x:c r="O893" s="10" t="n">
        <x:f>AE892*N893</x:f>
        <x:v>167645.34404497308</x:v>
      </x:c>
      <x:c r="P893" s="9" t="n">
        <x:f>MIN(1,(AB892/(AE892*IF(tun_GroupInCrowding=1,N893,MIN(J893,L893))))^tun_CrowdingExp)</x:f>
        <x:v>0.4215841981292809</x:v>
      </x:c>
      <x:c r="Q893" s="9" t="n">
        <x:f>IF(D893=1,INDEX(tun_WinterMult,G893),1)</x:f>
        <x:v>1</x:v>
      </x:c>
      <x:c r="R893" s="9" t="n">
        <x:f>H893*Z892*tun_WomenShare*tun_BaseFertility*INDEX(tun_FertMult,G893)*Arch_Fertility*(1-P893)</x:f>
        <x:v>0</x:v>
      </x:c>
      <x:c r="S893" s="9" t="n">
        <x:f>H893*Y892*INDEX(tun_MortChild,G893)/4*Q893</x:f>
        <x:v>0</x:v>
      </x:c>
      <x:c r="T893" s="9" t="n">
        <x:f>H893*Z892*INDEX(tun_MortAdult,G893)*Arch_AdultMort/4*Q893</x:f>
        <x:v>0</x:v>
      </x:c>
      <x:c r="U893" s="9" t="n">
        <x:f>H893*AA892*INDEX(tun_MortElder,G893)/4*Q893</x:f>
        <x:v>0</x:v>
      </x:c>
      <x:c r="V893" s="9" t="n">
        <x:f>H893*MAX(0,AB892-O893)*tun_OvercapLoss</x:f>
        <x:v>0</x:v>
      </x:c>
      <x:c r="W893" s="9" t="n">
        <x:f>H893*Y892/(tun_ChildYears*4)</x:f>
        <x:v>0</x:v>
      </x:c>
      <x:c r="X893" s="9" t="n">
        <x:f>H893*Z892/(tun_AdultYears*4)</x:f>
        <x:v>0</x:v>
      </x:c>
      <x:c r="Y893" s="32" t="n">
        <x:f>Y892+R893-S893-W893-Y892*V893/AB892</x:f>
        <x:v>40496.20709015643</x:v>
      </x:c>
      <x:c r="Z893" s="32" t="n">
        <x:f>Z892+W893-X893-T893-Z892*V893/AB892</x:f>
        <x:v>59141.61122890803</x:v>
      </x:c>
      <x:c r="AA893" s="32" t="n">
        <x:f>AA892+X893-U893-AA892*V893/AB892</x:f>
        <x:v>45530.62410925061</x:v>
      </x:c>
      <x:c r="AB893" s="10" t="n">
        <x:f>Y893+Z893+AA893</x:f>
        <x:v>145168.44242831506</x:v>
      </x:c>
      <x:c r="AC893" s="8" t="n">
        <x:f>IF(AND(tun_WinterTrigger=1,D893=1,AB892/AE892&gt;=K893),1,0)</x:f>
        <x:v>0</x:v>
      </x:c>
      <x:c r="AD893" s="8" t="n">
        <x:f>H893*IF(AND(OR(AB892/AE892&gt;=tun_FissionTrigger*N893,AC893=1),AB892/AE892*tun_DaughterShare&gt;=tun_MinDaughter),MAX(1,ROUND(AE892*tun_FissionRate,0)),0)</x:f>
        <x:v>0</x:v>
      </x:c>
      <x:c r="AE893" s="8" t="n">
        <x:f>IF(H893=1,MAX(1,MIN(INDEX(tun_Smax,G893),AE892+AD893)),AE892)</x:f>
        <x:v>9</x:v>
      </x:c>
      <x:c r="AF893" s="8" t="n">
        <x:f>MAX(0,AE893-AE892)</x:f>
        <x:v>0</x:v>
      </x:c>
      <x:c r="AG893" s="9" t="str">
        <x:f>IF(AF893&gt;0,B893,"")</x:f>
      </x:c>
      <x:c r="AH893" s="9" t="n">
        <x:f>IF(F893&gt;=1,1,(1+tun_LowTiesShare*(AE893-1))/AE893)</x:f>
        <x:v>1</x:v>
      </x:c>
      <x:c r="AI893" s="32" t="n">
        <x:f>(Z893+tun_ElderCommons*INDEX(LM_Elder,G893)*AA893)*AH893</x:f>
        <x:v>238215.0665857503</x:v>
      </x:c>
      <x:c r="AJ893" s="32" t="n">
        <x:f>H893*tun_CommonsCoef*AI893^tun_CommonsExp*INDEX(LM_Commons,G893)</x:f>
        <x:v>0</x:v>
      </x:c>
      <x:c r="AK893" s="32" t="n">
        <x:f>H893*tun_RoleScale*Arch_Roles*(AE893*(INDEX(tun_ElderRolePerSett,G893)*tun_OutElder*INDEX(LM_Elder,G893)+INDEX(tun_ShamanPerSett,G893)*tun_OutShaman)+Z893*(INDEX(tun_PriestShare,G893)*tun_OutPriest+INDEX(tun_ScribeShare,G893)*tun_OutScribe*INDEX(LM_Scribe,G893)+INDEX(tun_ScholarShare,G893)*tun_OutScholar*INDEX(LM_Scholar,G893)+INDEX(tun_ResearcherShare,G893)*tun_OutResearcher*INDEX(LM_Researcher,G893)))</x:f>
        <x:v>0</x:v>
      </x:c>
      <x:c r="AL893" s="32" t="n">
        <x:f>H893*tun_RoleScale*Arch_Roles*AE893*INDEX(tun_MonasteryPerSett,G893)*tun_OutMonastery*INDEX(LM_Monastery,G893)</x:f>
        <x:v>0</x:v>
      </x:c>
      <x:c r="AM893" s="32" t="n">
        <x:f>(AJ893+AK893+AL893)/4*INDEX(LM_All,G893)*INDEX(tun_Boon,G893)*Arch_Insight</x:f>
        <x:v>0</x:v>
      </x:c>
      <x:c r="AN893" s="32" t="n">
        <x:f>H893*(tun_KHPerAdult*Z893+tun_KHOfCommons*AJ893/4*INDEX(LM_All,G893))*tun_KHUsable*Arch_KH</x:f>
        <x:v>0</x:v>
      </x:c>
      <x:c r="AO893" s="32" t="n">
        <x:f>MIN(AP892+AN893,AM893*tun_KHMaxRatio)</x:f>
        <x:v>0</x:v>
      </x:c>
      <x:c r="AP893" s="32" t="n">
        <x:f>AP892+AN893-AO893</x:f>
        <x:v>0</x:v>
      </x:c>
      <x:c r="AQ893" s="32" t="n">
        <x:f>AM893+AO893</x:f>
        <x:v>0</x:v>
      </x:c>
      <x:c r="AR893" s="10" t="n">
        <x:f>IF(H893=1,INDEX(tun_Req,G893),0)</x:f>
        <x:v>0</x:v>
      </x:c>
      <x:c r="AS893" s="32" t="n">
        <x:f>IF(H893=1,IF(E893=1,AS892-AR892,AS892)+AQ893,0)</x:f>
        <x:v>0</x:v>
      </x:c>
      <x:c r="AT893" s="11" t="n">
        <x:f>IF(AR893&gt;0,MIN(1,AS893/AR893),1)</x:f>
        <x:v>1</x:v>
      </x:c>
      <x:c r="AU893" s="10" t="n">
        <x:f>AB893/INDEX(tun_RepScale,G893)</x:f>
        <x:v>290.3368848566301</x:v>
      </x:c>
      <x:c r="AV893" s="32" t="n">
        <x:f>AM893*60/tun_SeasonSeconds</x:f>
        <x:v>0</x:v>
      </x:c>
    </x:row>
    <x:row r="894">
      <x:c r="A894" s="8" t="n">
        <x:f>A893+1</x:f>
        <x:v>891</x:v>
      </x:c>
      <x:c r="B894" s="9" t="n">
        <x:f>A894*tun_SeasonSeconds/60</x:f>
        <x:v>222.75</x:v>
      </x:c>
      <x:c r="C894" s="9" t="n">
        <x:f>A894/4</x:f>
        <x:v>222.75</x:v>
      </x:c>
      <x:c r="D894" s="8" t="n">
        <x:f>IF(MOD(A894,4)=0,1,0)</x:f>
        <x:v>0</x:v>
      </x:c>
      <x:c r="E894" s="8" t="n">
        <x:f>IF(AND(F893&lt;=9,AS893&gt;=AR893),1,0)</x:f>
        <x:v>0</x:v>
      </x:c>
      <x:c r="F894" s="8" t="n">
        <x:f>MIN(10,F893+E894)</x:f>
        <x:v>10</x:v>
      </x:c>
      <x:c r="G894" s="8" t="n">
        <x:f>MIN(F894,9)+1</x:f>
        <x:v>10</x:v>
      </x:c>
      <x:c r="H894" s="8" t="n">
        <x:f>IF(F894&lt;=9,1,0)</x:f>
        <x:v>0</x:v>
      </x:c>
      <x:c r="I894" s="9" t="n">
        <x:f>MIN(10,F893+IF(AR893&gt;0,MIN(1,AS893/AR893),1))</x:f>
        <x:v>10</x:v>
      </x:c>
      <x:c r="J894" s="32" t="n">
        <x:f>INDEX(tun_FoodCap,G894)*Arch_FoodCap*EXP(tun_CapsByProject*SUMPRODUCT((Cap_Point&lt;=I894)*(Cap_Kind="Food")*Cap_Ln))</x:f>
        <x:v>18627.260449441455</x:v>
      </x:c>
      <x:c r="K894" s="32" t="n">
        <x:f>J894*MIN(1,tun_LeanBase*EXP(tun_CapsByProject*SUMPRODUCT((Cap_Point&lt;=I894)*(Cap_Kind="Lean")*Cap_Ln)))</x:f>
        <x:v>18627.260449441455</x:v>
      </x:c>
      <x:c r="L894" s="10" t="n">
        <x:f>INDEX(tun_HousingCap,G894)*EXP(tun_CapsByProject*SUMPRODUCT((Cap_Point&lt;=I894)*(Cap_Kind="Housing")*Cap_Ln))</x:f>
        <x:v>20528.974303173167</x:v>
      </x:c>
      <x:c r="M894" s="10" t="n">
        <x:f>INDEX(tun_GroupCap,G894)*tun_CohesionFactor*EXP(tun_CapsByProject*SUMPRODUCT((Cap_Point&lt;=I894)*(Cap_Kind="Group")*Cap_Ln))</x:f>
        <x:v>1000000.000000001</x:v>
      </x:c>
      <x:c r="N894" s="32" t="n">
        <x:f>MIN(J894,L894,M894)</x:f>
        <x:v>18627.260449441455</x:v>
      </x:c>
      <x:c r="O894" s="10" t="n">
        <x:f>AE893*N894</x:f>
        <x:v>167645.34404497308</x:v>
      </x:c>
      <x:c r="P894" s="9" t="n">
        <x:f>MIN(1,(AB893/(AE893*IF(tun_GroupInCrowding=1,N894,MIN(J894,L894))))^tun_CrowdingExp)</x:f>
        <x:v>0.4215841981292809</x:v>
      </x:c>
      <x:c r="Q894" s="9" t="n">
        <x:f>IF(D894=1,INDEX(tun_WinterMult,G894),1)</x:f>
        <x:v>1</x:v>
      </x:c>
      <x:c r="R894" s="9" t="n">
        <x:f>H894*Z893*tun_WomenShare*tun_BaseFertility*INDEX(tun_FertMult,G894)*Arch_Fertility*(1-P894)</x:f>
        <x:v>0</x:v>
      </x:c>
      <x:c r="S894" s="9" t="n">
        <x:f>H894*Y893*INDEX(tun_MortChild,G894)/4*Q894</x:f>
        <x:v>0</x:v>
      </x:c>
      <x:c r="T894" s="9" t="n">
        <x:f>H894*Z893*INDEX(tun_MortAdult,G894)*Arch_AdultMort/4*Q894</x:f>
        <x:v>0</x:v>
      </x:c>
      <x:c r="U894" s="9" t="n">
        <x:f>H894*AA893*INDEX(tun_MortElder,G894)/4*Q894</x:f>
        <x:v>0</x:v>
      </x:c>
      <x:c r="V894" s="9" t="n">
        <x:f>H894*MAX(0,AB893-O894)*tun_OvercapLoss</x:f>
        <x:v>0</x:v>
      </x:c>
      <x:c r="W894" s="9" t="n">
        <x:f>H894*Y893/(tun_ChildYears*4)</x:f>
        <x:v>0</x:v>
      </x:c>
      <x:c r="X894" s="9" t="n">
        <x:f>H894*Z893/(tun_AdultYears*4)</x:f>
        <x:v>0</x:v>
      </x:c>
      <x:c r="Y894" s="32" t="n">
        <x:f>Y893+R894-S894-W894-Y893*V894/AB893</x:f>
        <x:v>40496.20709015643</x:v>
      </x:c>
      <x:c r="Z894" s="32" t="n">
        <x:f>Z893+W894-X894-T894-Z893*V894/AB893</x:f>
        <x:v>59141.61122890803</x:v>
      </x:c>
      <x:c r="AA894" s="32" t="n">
        <x:f>AA893+X894-U894-AA893*V894/AB893</x:f>
        <x:v>45530.62410925061</x:v>
      </x:c>
      <x:c r="AB894" s="10" t="n">
        <x:f>Y894+Z894+AA894</x:f>
        <x:v>145168.44242831506</x:v>
      </x:c>
      <x:c r="AC894" s="8" t="n">
        <x:f>IF(AND(tun_WinterTrigger=1,D894=1,AB893/AE893&gt;=K894),1,0)</x:f>
        <x:v>0</x:v>
      </x:c>
      <x:c r="AD894" s="8" t="n">
        <x:f>H894*IF(AND(OR(AB893/AE893&gt;=tun_FissionTrigger*N894,AC894=1),AB893/AE893*tun_DaughterShare&gt;=tun_MinDaughter),MAX(1,ROUND(AE893*tun_FissionRate,0)),0)</x:f>
        <x:v>0</x:v>
      </x:c>
      <x:c r="AE894" s="8" t="n">
        <x:f>IF(H894=1,MAX(1,MIN(INDEX(tun_Smax,G894),AE893+AD894)),AE893)</x:f>
        <x:v>9</x:v>
      </x:c>
      <x:c r="AF894" s="8" t="n">
        <x:f>MAX(0,AE894-AE893)</x:f>
        <x:v>0</x:v>
      </x:c>
      <x:c r="AG894" s="9" t="str">
        <x:f>IF(AF894&gt;0,B894,"")</x:f>
      </x:c>
      <x:c r="AH894" s="9" t="n">
        <x:f>IF(F894&gt;=1,1,(1+tun_LowTiesShare*(AE894-1))/AE894)</x:f>
        <x:v>1</x:v>
      </x:c>
      <x:c r="AI894" s="32" t="n">
        <x:f>(Z894+tun_ElderCommons*INDEX(LM_Elder,G894)*AA894)*AH894</x:f>
        <x:v>238215.0665857503</x:v>
      </x:c>
      <x:c r="AJ894" s="32" t="n">
        <x:f>H894*tun_CommonsCoef*AI894^tun_CommonsExp*INDEX(LM_Commons,G894)</x:f>
        <x:v>0</x:v>
      </x:c>
      <x:c r="AK894" s="32" t="n">
        <x:f>H894*tun_RoleScale*Arch_Roles*(AE894*(INDEX(tun_ElderRolePerSett,G894)*tun_OutElder*INDEX(LM_Elder,G894)+INDEX(tun_ShamanPerSett,G894)*tun_OutShaman)+Z894*(INDEX(tun_PriestShare,G894)*tun_OutPriest+INDEX(tun_ScribeShare,G894)*tun_OutScribe*INDEX(LM_Scribe,G894)+INDEX(tun_ScholarShare,G894)*tun_OutScholar*INDEX(LM_Scholar,G894)+INDEX(tun_ResearcherShare,G894)*tun_OutResearcher*INDEX(LM_Researcher,G894)))</x:f>
        <x:v>0</x:v>
      </x:c>
      <x:c r="AL894" s="32" t="n">
        <x:f>H894*tun_RoleScale*Arch_Roles*AE894*INDEX(tun_MonasteryPerSett,G894)*tun_OutMonastery*INDEX(LM_Monastery,G894)</x:f>
        <x:v>0</x:v>
      </x:c>
      <x:c r="AM894" s="32" t="n">
        <x:f>(AJ894+AK894+AL894)/4*INDEX(LM_All,G894)*INDEX(tun_Boon,G894)*Arch_Insight</x:f>
        <x:v>0</x:v>
      </x:c>
      <x:c r="AN894" s="32" t="n">
        <x:f>H894*(tun_KHPerAdult*Z894+tun_KHOfCommons*AJ894/4*INDEX(LM_All,G894))*tun_KHUsable*Arch_KH</x:f>
        <x:v>0</x:v>
      </x:c>
      <x:c r="AO894" s="32" t="n">
        <x:f>MIN(AP893+AN894,AM894*tun_KHMaxRatio)</x:f>
        <x:v>0</x:v>
      </x:c>
      <x:c r="AP894" s="32" t="n">
        <x:f>AP893+AN894-AO894</x:f>
        <x:v>0</x:v>
      </x:c>
      <x:c r="AQ894" s="32" t="n">
        <x:f>AM894+AO894</x:f>
        <x:v>0</x:v>
      </x:c>
      <x:c r="AR894" s="10" t="n">
        <x:f>IF(H894=1,INDEX(tun_Req,G894),0)</x:f>
        <x:v>0</x:v>
      </x:c>
      <x:c r="AS894" s="32" t="n">
        <x:f>IF(H894=1,IF(E894=1,AS893-AR893,AS893)+AQ894,0)</x:f>
        <x:v>0</x:v>
      </x:c>
      <x:c r="AT894" s="11" t="n">
        <x:f>IF(AR894&gt;0,MIN(1,AS894/AR894),1)</x:f>
        <x:v>1</x:v>
      </x:c>
      <x:c r="AU894" s="10" t="n">
        <x:f>AB894/INDEX(tun_RepScale,G894)</x:f>
        <x:v>290.3368848566301</x:v>
      </x:c>
      <x:c r="AV894" s="32" t="n">
        <x:f>AM894*60/tun_SeasonSeconds</x:f>
        <x:v>0</x:v>
      </x:c>
    </x:row>
    <x:row r="895">
      <x:c r="A895" s="8" t="n">
        <x:f>A894+1</x:f>
        <x:v>892</x:v>
      </x:c>
      <x:c r="B895" s="9" t="n">
        <x:f>A895*tun_SeasonSeconds/60</x:f>
        <x:v>223</x:v>
      </x:c>
      <x:c r="C895" s="9" t="n">
        <x:f>A895/4</x:f>
        <x:v>223</x:v>
      </x:c>
      <x:c r="D895" s="8" t="n">
        <x:f>IF(MOD(A895,4)=0,1,0)</x:f>
        <x:v>1</x:v>
      </x:c>
      <x:c r="E895" s="8" t="n">
        <x:f>IF(AND(F894&lt;=9,AS894&gt;=AR894),1,0)</x:f>
        <x:v>0</x:v>
      </x:c>
      <x:c r="F895" s="8" t="n">
        <x:f>MIN(10,F894+E895)</x:f>
        <x:v>10</x:v>
      </x:c>
      <x:c r="G895" s="8" t="n">
        <x:f>MIN(F895,9)+1</x:f>
        <x:v>10</x:v>
      </x:c>
      <x:c r="H895" s="8" t="n">
        <x:f>IF(F895&lt;=9,1,0)</x:f>
        <x:v>0</x:v>
      </x:c>
      <x:c r="I895" s="9" t="n">
        <x:f>MIN(10,F894+IF(AR894&gt;0,MIN(1,AS894/AR894),1))</x:f>
        <x:v>10</x:v>
      </x:c>
      <x:c r="J895" s="32" t="n">
        <x:f>INDEX(tun_FoodCap,G895)*Arch_FoodCap*EXP(tun_CapsByProject*SUMPRODUCT((Cap_Point&lt;=I895)*(Cap_Kind="Food")*Cap_Ln))</x:f>
        <x:v>18627.260449441455</x:v>
      </x:c>
      <x:c r="K895" s="32" t="n">
        <x:f>J895*MIN(1,tun_LeanBase*EXP(tun_CapsByProject*SUMPRODUCT((Cap_Point&lt;=I895)*(Cap_Kind="Lean")*Cap_Ln)))</x:f>
        <x:v>18627.260449441455</x:v>
      </x:c>
      <x:c r="L895" s="10" t="n">
        <x:f>INDEX(tun_HousingCap,G895)*EXP(tun_CapsByProject*SUMPRODUCT((Cap_Point&lt;=I895)*(Cap_Kind="Housing")*Cap_Ln))</x:f>
        <x:v>20528.974303173167</x:v>
      </x:c>
      <x:c r="M895" s="10" t="n">
        <x:f>INDEX(tun_GroupCap,G895)*tun_CohesionFactor*EXP(tun_CapsByProject*SUMPRODUCT((Cap_Point&lt;=I895)*(Cap_Kind="Group")*Cap_Ln))</x:f>
        <x:v>1000000.000000001</x:v>
      </x:c>
      <x:c r="N895" s="32" t="n">
        <x:f>MIN(J895,L895,M895)</x:f>
        <x:v>18627.260449441455</x:v>
      </x:c>
      <x:c r="O895" s="10" t="n">
        <x:f>AE894*N895</x:f>
        <x:v>167645.34404497308</x:v>
      </x:c>
      <x:c r="P895" s="9" t="n">
        <x:f>MIN(1,(AB894/(AE894*IF(tun_GroupInCrowding=1,N895,MIN(J895,L895))))^tun_CrowdingExp)</x:f>
        <x:v>0.4215841981292809</x:v>
      </x:c>
      <x:c r="Q895" s="9" t="n">
        <x:f>IF(D895=1,INDEX(tun_WinterMult,G895),1)</x:f>
        <x:v>1.05</x:v>
      </x:c>
      <x:c r="R895" s="9" t="n">
        <x:f>H895*Z894*tun_WomenShare*tun_BaseFertility*INDEX(tun_FertMult,G895)*Arch_Fertility*(1-P895)</x:f>
        <x:v>0</x:v>
      </x:c>
      <x:c r="S895" s="9" t="n">
        <x:f>H895*Y894*INDEX(tun_MortChild,G895)/4*Q895</x:f>
        <x:v>0</x:v>
      </x:c>
      <x:c r="T895" s="9" t="n">
        <x:f>H895*Z894*INDEX(tun_MortAdult,G895)*Arch_AdultMort/4*Q895</x:f>
        <x:v>0</x:v>
      </x:c>
      <x:c r="U895" s="9" t="n">
        <x:f>H895*AA894*INDEX(tun_MortElder,G895)/4*Q895</x:f>
        <x:v>0</x:v>
      </x:c>
      <x:c r="V895" s="9" t="n">
        <x:f>H895*MAX(0,AB894-O895)*tun_OvercapLoss</x:f>
        <x:v>0</x:v>
      </x:c>
      <x:c r="W895" s="9" t="n">
        <x:f>H895*Y894/(tun_ChildYears*4)</x:f>
        <x:v>0</x:v>
      </x:c>
      <x:c r="X895" s="9" t="n">
        <x:f>H895*Z894/(tun_AdultYears*4)</x:f>
        <x:v>0</x:v>
      </x:c>
      <x:c r="Y895" s="32" t="n">
        <x:f>Y894+R895-S895-W895-Y894*V895/AB894</x:f>
        <x:v>40496.20709015643</x:v>
      </x:c>
      <x:c r="Z895" s="32" t="n">
        <x:f>Z894+W895-X895-T895-Z894*V895/AB894</x:f>
        <x:v>59141.61122890803</x:v>
      </x:c>
      <x:c r="AA895" s="32" t="n">
        <x:f>AA894+X895-U895-AA894*V895/AB894</x:f>
        <x:v>45530.62410925061</x:v>
      </x:c>
      <x:c r="AB895" s="10" t="n">
        <x:f>Y895+Z895+AA895</x:f>
        <x:v>145168.44242831506</x:v>
      </x:c>
      <x:c r="AC895" s="8" t="n">
        <x:f>IF(AND(tun_WinterTrigger=1,D895=1,AB894/AE894&gt;=K895),1,0)</x:f>
        <x:v>0</x:v>
      </x:c>
      <x:c r="AD895" s="8" t="n">
        <x:f>H895*IF(AND(OR(AB894/AE894&gt;=tun_FissionTrigger*N895,AC895=1),AB894/AE894*tun_DaughterShare&gt;=tun_MinDaughter),MAX(1,ROUND(AE894*tun_FissionRate,0)),0)</x:f>
        <x:v>0</x:v>
      </x:c>
      <x:c r="AE895" s="8" t="n">
        <x:f>IF(H895=1,MAX(1,MIN(INDEX(tun_Smax,G895),AE894+AD895)),AE894)</x:f>
        <x:v>9</x:v>
      </x:c>
      <x:c r="AF895" s="8" t="n">
        <x:f>MAX(0,AE895-AE894)</x:f>
        <x:v>0</x:v>
      </x:c>
      <x:c r="AG895" s="9" t="str">
        <x:f>IF(AF895&gt;0,B895,"")</x:f>
      </x:c>
      <x:c r="AH895" s="9" t="n">
        <x:f>IF(F895&gt;=1,1,(1+tun_LowTiesShare*(AE895-1))/AE895)</x:f>
        <x:v>1</x:v>
      </x:c>
      <x:c r="AI895" s="32" t="n">
        <x:f>(Z895+tun_ElderCommons*INDEX(LM_Elder,G895)*AA895)*AH895</x:f>
        <x:v>238215.0665857503</x:v>
      </x:c>
      <x:c r="AJ895" s="32" t="n">
        <x:f>H895*tun_CommonsCoef*AI895^tun_CommonsExp*INDEX(LM_Commons,G895)</x:f>
        <x:v>0</x:v>
      </x:c>
      <x:c r="AK895" s="32" t="n">
        <x:f>H895*tun_RoleScale*Arch_Roles*(AE895*(INDEX(tun_ElderRolePerSett,G895)*tun_OutElder*INDEX(LM_Elder,G895)+INDEX(tun_ShamanPerSett,G895)*tun_OutShaman)+Z895*(INDEX(tun_PriestShare,G895)*tun_OutPriest+INDEX(tun_ScribeShare,G895)*tun_OutScribe*INDEX(LM_Scribe,G895)+INDEX(tun_ScholarShare,G895)*tun_OutScholar*INDEX(LM_Scholar,G895)+INDEX(tun_ResearcherShare,G895)*tun_OutResearcher*INDEX(LM_Researcher,G895)))</x:f>
        <x:v>0</x:v>
      </x:c>
      <x:c r="AL895" s="32" t="n">
        <x:f>H895*tun_RoleScale*Arch_Roles*AE895*INDEX(tun_MonasteryPerSett,G895)*tun_OutMonastery*INDEX(LM_Monastery,G895)</x:f>
        <x:v>0</x:v>
      </x:c>
      <x:c r="AM895" s="32" t="n">
        <x:f>(AJ895+AK895+AL895)/4*INDEX(LM_All,G895)*INDEX(tun_Boon,G895)*Arch_Insight</x:f>
        <x:v>0</x:v>
      </x:c>
      <x:c r="AN895" s="32" t="n">
        <x:f>H895*(tun_KHPerAdult*Z895+tun_KHOfCommons*AJ895/4*INDEX(LM_All,G895))*tun_KHUsable*Arch_KH</x:f>
        <x:v>0</x:v>
      </x:c>
      <x:c r="AO895" s="32" t="n">
        <x:f>MIN(AP894+AN895,AM895*tun_KHMaxRatio)</x:f>
        <x:v>0</x:v>
      </x:c>
      <x:c r="AP895" s="32" t="n">
        <x:f>AP894+AN895-AO895</x:f>
        <x:v>0</x:v>
      </x:c>
      <x:c r="AQ895" s="32" t="n">
        <x:f>AM895+AO895</x:f>
        <x:v>0</x:v>
      </x:c>
      <x:c r="AR895" s="10" t="n">
        <x:f>IF(H895=1,INDEX(tun_Req,G895),0)</x:f>
        <x:v>0</x:v>
      </x:c>
      <x:c r="AS895" s="32" t="n">
        <x:f>IF(H895=1,IF(E895=1,AS894-AR894,AS894)+AQ895,0)</x:f>
        <x:v>0</x:v>
      </x:c>
      <x:c r="AT895" s="11" t="n">
        <x:f>IF(AR895&gt;0,MIN(1,AS895/AR895),1)</x:f>
        <x:v>1</x:v>
      </x:c>
      <x:c r="AU895" s="10" t="n">
        <x:f>AB895/INDEX(tun_RepScale,G895)</x:f>
        <x:v>290.3368848566301</x:v>
      </x:c>
      <x:c r="AV895" s="32" t="n">
        <x:f>AM895*60/tun_SeasonSeconds</x:f>
        <x:v>0</x:v>
      </x:c>
    </x:row>
    <x:row r="896">
      <x:c r="A896" s="8" t="n">
        <x:f>A895+1</x:f>
        <x:v>893</x:v>
      </x:c>
      <x:c r="B896" s="9" t="n">
        <x:f>A896*tun_SeasonSeconds/60</x:f>
        <x:v>223.25</x:v>
      </x:c>
      <x:c r="C896" s="9" t="n">
        <x:f>A896/4</x:f>
        <x:v>223.25</x:v>
      </x:c>
      <x:c r="D896" s="8" t="n">
        <x:f>IF(MOD(A896,4)=0,1,0)</x:f>
        <x:v>0</x:v>
      </x:c>
      <x:c r="E896" s="8" t="n">
        <x:f>IF(AND(F895&lt;=9,AS895&gt;=AR895),1,0)</x:f>
        <x:v>0</x:v>
      </x:c>
      <x:c r="F896" s="8" t="n">
        <x:f>MIN(10,F895+E896)</x:f>
        <x:v>10</x:v>
      </x:c>
      <x:c r="G896" s="8" t="n">
        <x:f>MIN(F896,9)+1</x:f>
        <x:v>10</x:v>
      </x:c>
      <x:c r="H896" s="8" t="n">
        <x:f>IF(F896&lt;=9,1,0)</x:f>
        <x:v>0</x:v>
      </x:c>
      <x:c r="I896" s="9" t="n">
        <x:f>MIN(10,F895+IF(AR895&gt;0,MIN(1,AS895/AR895),1))</x:f>
        <x:v>10</x:v>
      </x:c>
      <x:c r="J896" s="32" t="n">
        <x:f>INDEX(tun_FoodCap,G896)*Arch_FoodCap*EXP(tun_CapsByProject*SUMPRODUCT((Cap_Point&lt;=I896)*(Cap_Kind="Food")*Cap_Ln))</x:f>
        <x:v>18627.260449441455</x:v>
      </x:c>
      <x:c r="K896" s="32" t="n">
        <x:f>J896*MIN(1,tun_LeanBase*EXP(tun_CapsByProject*SUMPRODUCT((Cap_Point&lt;=I896)*(Cap_Kind="Lean")*Cap_Ln)))</x:f>
        <x:v>18627.260449441455</x:v>
      </x:c>
      <x:c r="L896" s="10" t="n">
        <x:f>INDEX(tun_HousingCap,G896)*EXP(tun_CapsByProject*SUMPRODUCT((Cap_Point&lt;=I896)*(Cap_Kind="Housing")*Cap_Ln))</x:f>
        <x:v>20528.974303173167</x:v>
      </x:c>
      <x:c r="M896" s="10" t="n">
        <x:f>INDEX(tun_GroupCap,G896)*tun_CohesionFactor*EXP(tun_CapsByProject*SUMPRODUCT((Cap_Point&lt;=I896)*(Cap_Kind="Group")*Cap_Ln))</x:f>
        <x:v>1000000.000000001</x:v>
      </x:c>
      <x:c r="N896" s="32" t="n">
        <x:f>MIN(J896,L896,M896)</x:f>
        <x:v>18627.260449441455</x:v>
      </x:c>
      <x:c r="O896" s="10" t="n">
        <x:f>AE895*N896</x:f>
        <x:v>167645.34404497308</x:v>
      </x:c>
      <x:c r="P896" s="9" t="n">
        <x:f>MIN(1,(AB895/(AE895*IF(tun_GroupInCrowding=1,N896,MIN(J896,L896))))^tun_CrowdingExp)</x:f>
        <x:v>0.4215841981292809</x:v>
      </x:c>
      <x:c r="Q896" s="9" t="n">
        <x:f>IF(D896=1,INDEX(tun_WinterMult,G896),1)</x:f>
        <x:v>1</x:v>
      </x:c>
      <x:c r="R896" s="9" t="n">
        <x:f>H896*Z895*tun_WomenShare*tun_BaseFertility*INDEX(tun_FertMult,G896)*Arch_Fertility*(1-P896)</x:f>
        <x:v>0</x:v>
      </x:c>
      <x:c r="S896" s="9" t="n">
        <x:f>H896*Y895*INDEX(tun_MortChild,G896)/4*Q896</x:f>
        <x:v>0</x:v>
      </x:c>
      <x:c r="T896" s="9" t="n">
        <x:f>H896*Z895*INDEX(tun_MortAdult,G896)*Arch_AdultMort/4*Q896</x:f>
        <x:v>0</x:v>
      </x:c>
      <x:c r="U896" s="9" t="n">
        <x:f>H896*AA895*INDEX(tun_MortElder,G896)/4*Q896</x:f>
        <x:v>0</x:v>
      </x:c>
      <x:c r="V896" s="9" t="n">
        <x:f>H896*MAX(0,AB895-O896)*tun_OvercapLoss</x:f>
        <x:v>0</x:v>
      </x:c>
      <x:c r="W896" s="9" t="n">
        <x:f>H896*Y895/(tun_ChildYears*4)</x:f>
        <x:v>0</x:v>
      </x:c>
      <x:c r="X896" s="9" t="n">
        <x:f>H896*Z895/(tun_AdultYears*4)</x:f>
        <x:v>0</x:v>
      </x:c>
      <x:c r="Y896" s="32" t="n">
        <x:f>Y895+R896-S896-W896-Y895*V896/AB895</x:f>
        <x:v>40496.20709015643</x:v>
      </x:c>
      <x:c r="Z896" s="32" t="n">
        <x:f>Z895+W896-X896-T896-Z895*V896/AB895</x:f>
        <x:v>59141.61122890803</x:v>
      </x:c>
      <x:c r="AA896" s="32" t="n">
        <x:f>AA895+X896-U896-AA895*V896/AB895</x:f>
        <x:v>45530.62410925061</x:v>
      </x:c>
      <x:c r="AB896" s="10" t="n">
        <x:f>Y896+Z896+AA896</x:f>
        <x:v>145168.44242831506</x:v>
      </x:c>
      <x:c r="AC896" s="8" t="n">
        <x:f>IF(AND(tun_WinterTrigger=1,D896=1,AB895/AE895&gt;=K896),1,0)</x:f>
        <x:v>0</x:v>
      </x:c>
      <x:c r="AD896" s="8" t="n">
        <x:f>H896*IF(AND(OR(AB895/AE895&gt;=tun_FissionTrigger*N896,AC896=1),AB895/AE895*tun_DaughterShare&gt;=tun_MinDaughter),MAX(1,ROUND(AE895*tun_FissionRate,0)),0)</x:f>
        <x:v>0</x:v>
      </x:c>
      <x:c r="AE896" s="8" t="n">
        <x:f>IF(H896=1,MAX(1,MIN(INDEX(tun_Smax,G896),AE895+AD896)),AE895)</x:f>
        <x:v>9</x:v>
      </x:c>
      <x:c r="AF896" s="8" t="n">
        <x:f>MAX(0,AE896-AE895)</x:f>
        <x:v>0</x:v>
      </x:c>
      <x:c r="AG896" s="9" t="str">
        <x:f>IF(AF896&gt;0,B896,"")</x:f>
      </x:c>
      <x:c r="AH896" s="9" t="n">
        <x:f>IF(F896&gt;=1,1,(1+tun_LowTiesShare*(AE896-1))/AE896)</x:f>
        <x:v>1</x:v>
      </x:c>
      <x:c r="AI896" s="32" t="n">
        <x:f>(Z896+tun_ElderCommons*INDEX(LM_Elder,G896)*AA896)*AH896</x:f>
        <x:v>238215.0665857503</x:v>
      </x:c>
      <x:c r="AJ896" s="32" t="n">
        <x:f>H896*tun_CommonsCoef*AI896^tun_CommonsExp*INDEX(LM_Commons,G896)</x:f>
        <x:v>0</x:v>
      </x:c>
      <x:c r="AK896" s="32" t="n">
        <x:f>H896*tun_RoleScale*Arch_Roles*(AE896*(INDEX(tun_ElderRolePerSett,G896)*tun_OutElder*INDEX(LM_Elder,G896)+INDEX(tun_ShamanPerSett,G896)*tun_OutShaman)+Z896*(INDEX(tun_PriestShare,G896)*tun_OutPriest+INDEX(tun_ScribeShare,G896)*tun_OutScribe*INDEX(LM_Scribe,G896)+INDEX(tun_ScholarShare,G896)*tun_OutScholar*INDEX(LM_Scholar,G896)+INDEX(tun_ResearcherShare,G896)*tun_OutResearcher*INDEX(LM_Researcher,G896)))</x:f>
        <x:v>0</x:v>
      </x:c>
      <x:c r="AL896" s="32" t="n">
        <x:f>H896*tun_RoleScale*Arch_Roles*AE896*INDEX(tun_MonasteryPerSett,G896)*tun_OutMonastery*INDEX(LM_Monastery,G896)</x:f>
        <x:v>0</x:v>
      </x:c>
      <x:c r="AM896" s="32" t="n">
        <x:f>(AJ896+AK896+AL896)/4*INDEX(LM_All,G896)*INDEX(tun_Boon,G896)*Arch_Insight</x:f>
        <x:v>0</x:v>
      </x:c>
      <x:c r="AN896" s="32" t="n">
        <x:f>H896*(tun_KHPerAdult*Z896+tun_KHOfCommons*AJ896/4*INDEX(LM_All,G896))*tun_KHUsable*Arch_KH</x:f>
        <x:v>0</x:v>
      </x:c>
      <x:c r="AO896" s="32" t="n">
        <x:f>MIN(AP895+AN896,AM896*tun_KHMaxRatio)</x:f>
        <x:v>0</x:v>
      </x:c>
      <x:c r="AP896" s="32" t="n">
        <x:f>AP895+AN896-AO896</x:f>
        <x:v>0</x:v>
      </x:c>
      <x:c r="AQ896" s="32" t="n">
        <x:f>AM896+AO896</x:f>
        <x:v>0</x:v>
      </x:c>
      <x:c r="AR896" s="10" t="n">
        <x:f>IF(H896=1,INDEX(tun_Req,G896),0)</x:f>
        <x:v>0</x:v>
      </x:c>
      <x:c r="AS896" s="32" t="n">
        <x:f>IF(H896=1,IF(E896=1,AS895-AR895,AS895)+AQ896,0)</x:f>
        <x:v>0</x:v>
      </x:c>
      <x:c r="AT896" s="11" t="n">
        <x:f>IF(AR896&gt;0,MIN(1,AS896/AR896),1)</x:f>
        <x:v>1</x:v>
      </x:c>
      <x:c r="AU896" s="10" t="n">
        <x:f>AB896/INDEX(tun_RepScale,G896)</x:f>
        <x:v>290.3368848566301</x:v>
      </x:c>
      <x:c r="AV896" s="32" t="n">
        <x:f>AM896*60/tun_SeasonSeconds</x:f>
        <x:v>0</x:v>
      </x:c>
    </x:row>
    <x:row r="897">
      <x:c r="A897" s="8" t="n">
        <x:f>A896+1</x:f>
        <x:v>894</x:v>
      </x:c>
      <x:c r="B897" s="9" t="n">
        <x:f>A897*tun_SeasonSeconds/60</x:f>
        <x:v>223.5</x:v>
      </x:c>
      <x:c r="C897" s="9" t="n">
        <x:f>A897/4</x:f>
        <x:v>223.5</x:v>
      </x:c>
      <x:c r="D897" s="8" t="n">
        <x:f>IF(MOD(A897,4)=0,1,0)</x:f>
        <x:v>0</x:v>
      </x:c>
      <x:c r="E897" s="8" t="n">
        <x:f>IF(AND(F896&lt;=9,AS896&gt;=AR896),1,0)</x:f>
        <x:v>0</x:v>
      </x:c>
      <x:c r="F897" s="8" t="n">
        <x:f>MIN(10,F896+E897)</x:f>
        <x:v>10</x:v>
      </x:c>
      <x:c r="G897" s="8" t="n">
        <x:f>MIN(F897,9)+1</x:f>
        <x:v>10</x:v>
      </x:c>
      <x:c r="H897" s="8" t="n">
        <x:f>IF(F897&lt;=9,1,0)</x:f>
        <x:v>0</x:v>
      </x:c>
      <x:c r="I897" s="9" t="n">
        <x:f>MIN(10,F896+IF(AR896&gt;0,MIN(1,AS896/AR896),1))</x:f>
        <x:v>10</x:v>
      </x:c>
      <x:c r="J897" s="32" t="n">
        <x:f>INDEX(tun_FoodCap,G897)*Arch_FoodCap*EXP(tun_CapsByProject*SUMPRODUCT((Cap_Point&lt;=I897)*(Cap_Kind="Food")*Cap_Ln))</x:f>
        <x:v>18627.260449441455</x:v>
      </x:c>
      <x:c r="K897" s="32" t="n">
        <x:f>J897*MIN(1,tun_LeanBase*EXP(tun_CapsByProject*SUMPRODUCT((Cap_Point&lt;=I897)*(Cap_Kind="Lean")*Cap_Ln)))</x:f>
        <x:v>18627.260449441455</x:v>
      </x:c>
      <x:c r="L897" s="10" t="n">
        <x:f>INDEX(tun_HousingCap,G897)*EXP(tun_CapsByProject*SUMPRODUCT((Cap_Point&lt;=I897)*(Cap_Kind="Housing")*Cap_Ln))</x:f>
        <x:v>20528.974303173167</x:v>
      </x:c>
      <x:c r="M897" s="10" t="n">
        <x:f>INDEX(tun_GroupCap,G897)*tun_CohesionFactor*EXP(tun_CapsByProject*SUMPRODUCT((Cap_Point&lt;=I897)*(Cap_Kind="Group")*Cap_Ln))</x:f>
        <x:v>1000000.000000001</x:v>
      </x:c>
      <x:c r="N897" s="32" t="n">
        <x:f>MIN(J897,L897,M897)</x:f>
        <x:v>18627.260449441455</x:v>
      </x:c>
      <x:c r="O897" s="10" t="n">
        <x:f>AE896*N897</x:f>
        <x:v>167645.34404497308</x:v>
      </x:c>
      <x:c r="P897" s="9" t="n">
        <x:f>MIN(1,(AB896/(AE896*IF(tun_GroupInCrowding=1,N897,MIN(J897,L897))))^tun_CrowdingExp)</x:f>
        <x:v>0.4215841981292809</x:v>
      </x:c>
      <x:c r="Q897" s="9" t="n">
        <x:f>IF(D897=1,INDEX(tun_WinterMult,G897),1)</x:f>
        <x:v>1</x:v>
      </x:c>
      <x:c r="R897" s="9" t="n">
        <x:f>H897*Z896*tun_WomenShare*tun_BaseFertility*INDEX(tun_FertMult,G897)*Arch_Fertility*(1-P897)</x:f>
        <x:v>0</x:v>
      </x:c>
      <x:c r="S897" s="9" t="n">
        <x:f>H897*Y896*INDEX(tun_MortChild,G897)/4*Q897</x:f>
        <x:v>0</x:v>
      </x:c>
      <x:c r="T897" s="9" t="n">
        <x:f>H897*Z896*INDEX(tun_MortAdult,G897)*Arch_AdultMort/4*Q897</x:f>
        <x:v>0</x:v>
      </x:c>
      <x:c r="U897" s="9" t="n">
        <x:f>H897*AA896*INDEX(tun_MortElder,G897)/4*Q897</x:f>
        <x:v>0</x:v>
      </x:c>
      <x:c r="V897" s="9" t="n">
        <x:f>H897*MAX(0,AB896-O897)*tun_OvercapLoss</x:f>
        <x:v>0</x:v>
      </x:c>
      <x:c r="W897" s="9" t="n">
        <x:f>H897*Y896/(tun_ChildYears*4)</x:f>
        <x:v>0</x:v>
      </x:c>
      <x:c r="X897" s="9" t="n">
        <x:f>H897*Z896/(tun_AdultYears*4)</x:f>
        <x:v>0</x:v>
      </x:c>
      <x:c r="Y897" s="32" t="n">
        <x:f>Y896+R897-S897-W897-Y896*V897/AB896</x:f>
        <x:v>40496.20709015643</x:v>
      </x:c>
      <x:c r="Z897" s="32" t="n">
        <x:f>Z896+W897-X897-T897-Z896*V897/AB896</x:f>
        <x:v>59141.61122890803</x:v>
      </x:c>
      <x:c r="AA897" s="32" t="n">
        <x:f>AA896+X897-U897-AA896*V897/AB896</x:f>
        <x:v>45530.62410925061</x:v>
      </x:c>
      <x:c r="AB897" s="10" t="n">
        <x:f>Y897+Z897+AA897</x:f>
        <x:v>145168.44242831506</x:v>
      </x:c>
      <x:c r="AC897" s="8" t="n">
        <x:f>IF(AND(tun_WinterTrigger=1,D897=1,AB896/AE896&gt;=K897),1,0)</x:f>
        <x:v>0</x:v>
      </x:c>
      <x:c r="AD897" s="8" t="n">
        <x:f>H897*IF(AND(OR(AB896/AE896&gt;=tun_FissionTrigger*N897,AC897=1),AB896/AE896*tun_DaughterShare&gt;=tun_MinDaughter),MAX(1,ROUND(AE896*tun_FissionRate,0)),0)</x:f>
        <x:v>0</x:v>
      </x:c>
      <x:c r="AE897" s="8" t="n">
        <x:f>IF(H897=1,MAX(1,MIN(INDEX(tun_Smax,G897),AE896+AD897)),AE896)</x:f>
        <x:v>9</x:v>
      </x:c>
      <x:c r="AF897" s="8" t="n">
        <x:f>MAX(0,AE897-AE896)</x:f>
        <x:v>0</x:v>
      </x:c>
      <x:c r="AG897" s="9" t="str">
        <x:f>IF(AF897&gt;0,B897,"")</x:f>
      </x:c>
      <x:c r="AH897" s="9" t="n">
        <x:f>IF(F897&gt;=1,1,(1+tun_LowTiesShare*(AE897-1))/AE897)</x:f>
        <x:v>1</x:v>
      </x:c>
      <x:c r="AI897" s="32" t="n">
        <x:f>(Z897+tun_ElderCommons*INDEX(LM_Elder,G897)*AA897)*AH897</x:f>
        <x:v>238215.0665857503</x:v>
      </x:c>
      <x:c r="AJ897" s="32" t="n">
        <x:f>H897*tun_CommonsCoef*AI897^tun_CommonsExp*INDEX(LM_Commons,G897)</x:f>
        <x:v>0</x:v>
      </x:c>
      <x:c r="AK897" s="32" t="n">
        <x:f>H897*tun_RoleScale*Arch_Roles*(AE897*(INDEX(tun_ElderRolePerSett,G897)*tun_OutElder*INDEX(LM_Elder,G897)+INDEX(tun_ShamanPerSett,G897)*tun_OutShaman)+Z897*(INDEX(tun_PriestShare,G897)*tun_OutPriest+INDEX(tun_ScribeShare,G897)*tun_OutScribe*INDEX(LM_Scribe,G897)+INDEX(tun_ScholarShare,G897)*tun_OutScholar*INDEX(LM_Scholar,G897)+INDEX(tun_ResearcherShare,G897)*tun_OutResearcher*INDEX(LM_Researcher,G897)))</x:f>
        <x:v>0</x:v>
      </x:c>
      <x:c r="AL897" s="32" t="n">
        <x:f>H897*tun_RoleScale*Arch_Roles*AE897*INDEX(tun_MonasteryPerSett,G897)*tun_OutMonastery*INDEX(LM_Monastery,G897)</x:f>
        <x:v>0</x:v>
      </x:c>
      <x:c r="AM897" s="32" t="n">
        <x:f>(AJ897+AK897+AL897)/4*INDEX(LM_All,G897)*INDEX(tun_Boon,G897)*Arch_Insight</x:f>
        <x:v>0</x:v>
      </x:c>
      <x:c r="AN897" s="32" t="n">
        <x:f>H897*(tun_KHPerAdult*Z897+tun_KHOfCommons*AJ897/4*INDEX(LM_All,G897))*tun_KHUsable*Arch_KH</x:f>
        <x:v>0</x:v>
      </x:c>
      <x:c r="AO897" s="32" t="n">
        <x:f>MIN(AP896+AN897,AM897*tun_KHMaxRatio)</x:f>
        <x:v>0</x:v>
      </x:c>
      <x:c r="AP897" s="32" t="n">
        <x:f>AP896+AN897-AO897</x:f>
        <x:v>0</x:v>
      </x:c>
      <x:c r="AQ897" s="32" t="n">
        <x:f>AM897+AO897</x:f>
        <x:v>0</x:v>
      </x:c>
      <x:c r="AR897" s="10" t="n">
        <x:f>IF(H897=1,INDEX(tun_Req,G897),0)</x:f>
        <x:v>0</x:v>
      </x:c>
      <x:c r="AS897" s="32" t="n">
        <x:f>IF(H897=1,IF(E897=1,AS896-AR896,AS896)+AQ897,0)</x:f>
        <x:v>0</x:v>
      </x:c>
      <x:c r="AT897" s="11" t="n">
        <x:f>IF(AR897&gt;0,MIN(1,AS897/AR897),1)</x:f>
        <x:v>1</x:v>
      </x:c>
      <x:c r="AU897" s="10" t="n">
        <x:f>AB897/INDEX(tun_RepScale,G897)</x:f>
        <x:v>290.3368848566301</x:v>
      </x:c>
      <x:c r="AV897" s="32" t="n">
        <x:f>AM897*60/tun_SeasonSeconds</x:f>
        <x:v>0</x:v>
      </x:c>
    </x:row>
    <x:row r="898">
      <x:c r="A898" s="8" t="n">
        <x:f>A897+1</x:f>
        <x:v>895</x:v>
      </x:c>
      <x:c r="B898" s="9" t="n">
        <x:f>A898*tun_SeasonSeconds/60</x:f>
        <x:v>223.75</x:v>
      </x:c>
      <x:c r="C898" s="9" t="n">
        <x:f>A898/4</x:f>
        <x:v>223.75</x:v>
      </x:c>
      <x:c r="D898" s="8" t="n">
        <x:f>IF(MOD(A898,4)=0,1,0)</x:f>
        <x:v>0</x:v>
      </x:c>
      <x:c r="E898" s="8" t="n">
        <x:f>IF(AND(F897&lt;=9,AS897&gt;=AR897),1,0)</x:f>
        <x:v>0</x:v>
      </x:c>
      <x:c r="F898" s="8" t="n">
        <x:f>MIN(10,F897+E898)</x:f>
        <x:v>10</x:v>
      </x:c>
      <x:c r="G898" s="8" t="n">
        <x:f>MIN(F898,9)+1</x:f>
        <x:v>10</x:v>
      </x:c>
      <x:c r="H898" s="8" t="n">
        <x:f>IF(F898&lt;=9,1,0)</x:f>
        <x:v>0</x:v>
      </x:c>
      <x:c r="I898" s="9" t="n">
        <x:f>MIN(10,F897+IF(AR897&gt;0,MIN(1,AS897/AR897),1))</x:f>
        <x:v>10</x:v>
      </x:c>
      <x:c r="J898" s="32" t="n">
        <x:f>INDEX(tun_FoodCap,G898)*Arch_FoodCap*EXP(tun_CapsByProject*SUMPRODUCT((Cap_Point&lt;=I898)*(Cap_Kind="Food")*Cap_Ln))</x:f>
        <x:v>18627.260449441455</x:v>
      </x:c>
      <x:c r="K898" s="32" t="n">
        <x:f>J898*MIN(1,tun_LeanBase*EXP(tun_CapsByProject*SUMPRODUCT((Cap_Point&lt;=I898)*(Cap_Kind="Lean")*Cap_Ln)))</x:f>
        <x:v>18627.260449441455</x:v>
      </x:c>
      <x:c r="L898" s="10" t="n">
        <x:f>INDEX(tun_HousingCap,G898)*EXP(tun_CapsByProject*SUMPRODUCT((Cap_Point&lt;=I898)*(Cap_Kind="Housing")*Cap_Ln))</x:f>
        <x:v>20528.974303173167</x:v>
      </x:c>
      <x:c r="M898" s="10" t="n">
        <x:f>INDEX(tun_GroupCap,G898)*tun_CohesionFactor*EXP(tun_CapsByProject*SUMPRODUCT((Cap_Point&lt;=I898)*(Cap_Kind="Group")*Cap_Ln))</x:f>
        <x:v>1000000.000000001</x:v>
      </x:c>
      <x:c r="N898" s="32" t="n">
        <x:f>MIN(J898,L898,M898)</x:f>
        <x:v>18627.260449441455</x:v>
      </x:c>
      <x:c r="O898" s="10" t="n">
        <x:f>AE897*N898</x:f>
        <x:v>167645.34404497308</x:v>
      </x:c>
      <x:c r="P898" s="9" t="n">
        <x:f>MIN(1,(AB897/(AE897*IF(tun_GroupInCrowding=1,N898,MIN(J898,L898))))^tun_CrowdingExp)</x:f>
        <x:v>0.4215841981292809</x:v>
      </x:c>
      <x:c r="Q898" s="9" t="n">
        <x:f>IF(D898=1,INDEX(tun_WinterMult,G898),1)</x:f>
        <x:v>1</x:v>
      </x:c>
      <x:c r="R898" s="9" t="n">
        <x:f>H898*Z897*tun_WomenShare*tun_BaseFertility*INDEX(tun_FertMult,G898)*Arch_Fertility*(1-P898)</x:f>
        <x:v>0</x:v>
      </x:c>
      <x:c r="S898" s="9" t="n">
        <x:f>H898*Y897*INDEX(tun_MortChild,G898)/4*Q898</x:f>
        <x:v>0</x:v>
      </x:c>
      <x:c r="T898" s="9" t="n">
        <x:f>H898*Z897*INDEX(tun_MortAdult,G898)*Arch_AdultMort/4*Q898</x:f>
        <x:v>0</x:v>
      </x:c>
      <x:c r="U898" s="9" t="n">
        <x:f>H898*AA897*INDEX(tun_MortElder,G898)/4*Q898</x:f>
        <x:v>0</x:v>
      </x:c>
      <x:c r="V898" s="9" t="n">
        <x:f>H898*MAX(0,AB897-O898)*tun_OvercapLoss</x:f>
        <x:v>0</x:v>
      </x:c>
      <x:c r="W898" s="9" t="n">
        <x:f>H898*Y897/(tun_ChildYears*4)</x:f>
        <x:v>0</x:v>
      </x:c>
      <x:c r="X898" s="9" t="n">
        <x:f>H898*Z897/(tun_AdultYears*4)</x:f>
        <x:v>0</x:v>
      </x:c>
      <x:c r="Y898" s="32" t="n">
        <x:f>Y897+R898-S898-W898-Y897*V898/AB897</x:f>
        <x:v>40496.20709015643</x:v>
      </x:c>
      <x:c r="Z898" s="32" t="n">
        <x:f>Z897+W898-X898-T898-Z897*V898/AB897</x:f>
        <x:v>59141.61122890803</x:v>
      </x:c>
      <x:c r="AA898" s="32" t="n">
        <x:f>AA897+X898-U898-AA897*V898/AB897</x:f>
        <x:v>45530.62410925061</x:v>
      </x:c>
      <x:c r="AB898" s="10" t="n">
        <x:f>Y898+Z898+AA898</x:f>
        <x:v>145168.44242831506</x:v>
      </x:c>
      <x:c r="AC898" s="8" t="n">
        <x:f>IF(AND(tun_WinterTrigger=1,D898=1,AB897/AE897&gt;=K898),1,0)</x:f>
        <x:v>0</x:v>
      </x:c>
      <x:c r="AD898" s="8" t="n">
        <x:f>H898*IF(AND(OR(AB897/AE897&gt;=tun_FissionTrigger*N898,AC898=1),AB897/AE897*tun_DaughterShare&gt;=tun_MinDaughter),MAX(1,ROUND(AE897*tun_FissionRate,0)),0)</x:f>
        <x:v>0</x:v>
      </x:c>
      <x:c r="AE898" s="8" t="n">
        <x:f>IF(H898=1,MAX(1,MIN(INDEX(tun_Smax,G898),AE897+AD898)),AE897)</x:f>
        <x:v>9</x:v>
      </x:c>
      <x:c r="AF898" s="8" t="n">
        <x:f>MAX(0,AE898-AE897)</x:f>
        <x:v>0</x:v>
      </x:c>
      <x:c r="AG898" s="9" t="str">
        <x:f>IF(AF898&gt;0,B898,"")</x:f>
      </x:c>
      <x:c r="AH898" s="9" t="n">
        <x:f>IF(F898&gt;=1,1,(1+tun_LowTiesShare*(AE898-1))/AE898)</x:f>
        <x:v>1</x:v>
      </x:c>
      <x:c r="AI898" s="32" t="n">
        <x:f>(Z898+tun_ElderCommons*INDEX(LM_Elder,G898)*AA898)*AH898</x:f>
        <x:v>238215.0665857503</x:v>
      </x:c>
      <x:c r="AJ898" s="32" t="n">
        <x:f>H898*tun_CommonsCoef*AI898^tun_CommonsExp*INDEX(LM_Commons,G898)</x:f>
        <x:v>0</x:v>
      </x:c>
      <x:c r="AK898" s="32" t="n">
        <x:f>H898*tun_RoleScale*Arch_Roles*(AE898*(INDEX(tun_ElderRolePerSett,G898)*tun_OutElder*INDEX(LM_Elder,G898)+INDEX(tun_ShamanPerSett,G898)*tun_OutShaman)+Z898*(INDEX(tun_PriestShare,G898)*tun_OutPriest+INDEX(tun_ScribeShare,G898)*tun_OutScribe*INDEX(LM_Scribe,G898)+INDEX(tun_ScholarShare,G898)*tun_OutScholar*INDEX(LM_Scholar,G898)+INDEX(tun_ResearcherShare,G898)*tun_OutResearcher*INDEX(LM_Researcher,G898)))</x:f>
        <x:v>0</x:v>
      </x:c>
      <x:c r="AL898" s="32" t="n">
        <x:f>H898*tun_RoleScale*Arch_Roles*AE898*INDEX(tun_MonasteryPerSett,G898)*tun_OutMonastery*INDEX(LM_Monastery,G898)</x:f>
        <x:v>0</x:v>
      </x:c>
      <x:c r="AM898" s="32" t="n">
        <x:f>(AJ898+AK898+AL898)/4*INDEX(LM_All,G898)*INDEX(tun_Boon,G898)*Arch_Insight</x:f>
        <x:v>0</x:v>
      </x:c>
      <x:c r="AN898" s="32" t="n">
        <x:f>H898*(tun_KHPerAdult*Z898+tun_KHOfCommons*AJ898/4*INDEX(LM_All,G898))*tun_KHUsable*Arch_KH</x:f>
        <x:v>0</x:v>
      </x:c>
      <x:c r="AO898" s="32" t="n">
        <x:f>MIN(AP897+AN898,AM898*tun_KHMaxRatio)</x:f>
        <x:v>0</x:v>
      </x:c>
      <x:c r="AP898" s="32" t="n">
        <x:f>AP897+AN898-AO898</x:f>
        <x:v>0</x:v>
      </x:c>
      <x:c r="AQ898" s="32" t="n">
        <x:f>AM898+AO898</x:f>
        <x:v>0</x:v>
      </x:c>
      <x:c r="AR898" s="10" t="n">
        <x:f>IF(H898=1,INDEX(tun_Req,G898),0)</x:f>
        <x:v>0</x:v>
      </x:c>
      <x:c r="AS898" s="32" t="n">
        <x:f>IF(H898=1,IF(E898=1,AS897-AR897,AS897)+AQ898,0)</x:f>
        <x:v>0</x:v>
      </x:c>
      <x:c r="AT898" s="11" t="n">
        <x:f>IF(AR898&gt;0,MIN(1,AS898/AR898),1)</x:f>
        <x:v>1</x:v>
      </x:c>
      <x:c r="AU898" s="10" t="n">
        <x:f>AB898/INDEX(tun_RepScale,G898)</x:f>
        <x:v>290.3368848566301</x:v>
      </x:c>
      <x:c r="AV898" s="32" t="n">
        <x:f>AM898*60/tun_SeasonSeconds</x:f>
        <x:v>0</x:v>
      </x:c>
    </x:row>
    <x:row r="899">
      <x:c r="A899" s="8" t="n">
        <x:f>A898+1</x:f>
        <x:v>896</x:v>
      </x:c>
      <x:c r="B899" s="9" t="n">
        <x:f>A899*tun_SeasonSeconds/60</x:f>
        <x:v>224</x:v>
      </x:c>
      <x:c r="C899" s="9" t="n">
        <x:f>A899/4</x:f>
        <x:v>224</x:v>
      </x:c>
      <x:c r="D899" s="8" t="n">
        <x:f>IF(MOD(A899,4)=0,1,0)</x:f>
        <x:v>1</x:v>
      </x:c>
      <x:c r="E899" s="8" t="n">
        <x:f>IF(AND(F898&lt;=9,AS898&gt;=AR898),1,0)</x:f>
        <x:v>0</x:v>
      </x:c>
      <x:c r="F899" s="8" t="n">
        <x:f>MIN(10,F898+E899)</x:f>
        <x:v>10</x:v>
      </x:c>
      <x:c r="G899" s="8" t="n">
        <x:f>MIN(F899,9)+1</x:f>
        <x:v>10</x:v>
      </x:c>
      <x:c r="H899" s="8" t="n">
        <x:f>IF(F899&lt;=9,1,0)</x:f>
        <x:v>0</x:v>
      </x:c>
      <x:c r="I899" s="9" t="n">
        <x:f>MIN(10,F898+IF(AR898&gt;0,MIN(1,AS898/AR898),1))</x:f>
        <x:v>10</x:v>
      </x:c>
      <x:c r="J899" s="32" t="n">
        <x:f>INDEX(tun_FoodCap,G899)*Arch_FoodCap*EXP(tun_CapsByProject*SUMPRODUCT((Cap_Point&lt;=I899)*(Cap_Kind="Food")*Cap_Ln))</x:f>
        <x:v>18627.260449441455</x:v>
      </x:c>
      <x:c r="K899" s="32" t="n">
        <x:f>J899*MIN(1,tun_LeanBase*EXP(tun_CapsByProject*SUMPRODUCT((Cap_Point&lt;=I899)*(Cap_Kind="Lean")*Cap_Ln)))</x:f>
        <x:v>18627.260449441455</x:v>
      </x:c>
      <x:c r="L899" s="10" t="n">
        <x:f>INDEX(tun_HousingCap,G899)*EXP(tun_CapsByProject*SUMPRODUCT((Cap_Point&lt;=I899)*(Cap_Kind="Housing")*Cap_Ln))</x:f>
        <x:v>20528.974303173167</x:v>
      </x:c>
      <x:c r="M899" s="10" t="n">
        <x:f>INDEX(tun_GroupCap,G899)*tun_CohesionFactor*EXP(tun_CapsByProject*SUMPRODUCT((Cap_Point&lt;=I899)*(Cap_Kind="Group")*Cap_Ln))</x:f>
        <x:v>1000000.000000001</x:v>
      </x:c>
      <x:c r="N899" s="32" t="n">
        <x:f>MIN(J899,L899,M899)</x:f>
        <x:v>18627.260449441455</x:v>
      </x:c>
      <x:c r="O899" s="10" t="n">
        <x:f>AE898*N899</x:f>
        <x:v>167645.34404497308</x:v>
      </x:c>
      <x:c r="P899" s="9" t="n">
        <x:f>MIN(1,(AB898/(AE898*IF(tun_GroupInCrowding=1,N899,MIN(J899,L899))))^tun_CrowdingExp)</x:f>
        <x:v>0.4215841981292809</x:v>
      </x:c>
      <x:c r="Q899" s="9" t="n">
        <x:f>IF(D899=1,INDEX(tun_WinterMult,G899),1)</x:f>
        <x:v>1.05</x:v>
      </x:c>
      <x:c r="R899" s="9" t="n">
        <x:f>H899*Z898*tun_WomenShare*tun_BaseFertility*INDEX(tun_FertMult,G899)*Arch_Fertility*(1-P899)</x:f>
        <x:v>0</x:v>
      </x:c>
      <x:c r="S899" s="9" t="n">
        <x:f>H899*Y898*INDEX(tun_MortChild,G899)/4*Q899</x:f>
        <x:v>0</x:v>
      </x:c>
      <x:c r="T899" s="9" t="n">
        <x:f>H899*Z898*INDEX(tun_MortAdult,G899)*Arch_AdultMort/4*Q899</x:f>
        <x:v>0</x:v>
      </x:c>
      <x:c r="U899" s="9" t="n">
        <x:f>H899*AA898*INDEX(tun_MortElder,G899)/4*Q899</x:f>
        <x:v>0</x:v>
      </x:c>
      <x:c r="V899" s="9" t="n">
        <x:f>H899*MAX(0,AB898-O899)*tun_OvercapLoss</x:f>
        <x:v>0</x:v>
      </x:c>
      <x:c r="W899" s="9" t="n">
        <x:f>H899*Y898/(tun_ChildYears*4)</x:f>
        <x:v>0</x:v>
      </x:c>
      <x:c r="X899" s="9" t="n">
        <x:f>H899*Z898/(tun_AdultYears*4)</x:f>
        <x:v>0</x:v>
      </x:c>
      <x:c r="Y899" s="32" t="n">
        <x:f>Y898+R899-S899-W899-Y898*V899/AB898</x:f>
        <x:v>40496.20709015643</x:v>
      </x:c>
      <x:c r="Z899" s="32" t="n">
        <x:f>Z898+W899-X899-T899-Z898*V899/AB898</x:f>
        <x:v>59141.61122890803</x:v>
      </x:c>
      <x:c r="AA899" s="32" t="n">
        <x:f>AA898+X899-U899-AA898*V899/AB898</x:f>
        <x:v>45530.62410925061</x:v>
      </x:c>
      <x:c r="AB899" s="10" t="n">
        <x:f>Y899+Z899+AA899</x:f>
        <x:v>145168.44242831506</x:v>
      </x:c>
      <x:c r="AC899" s="8" t="n">
        <x:f>IF(AND(tun_WinterTrigger=1,D899=1,AB898/AE898&gt;=K899),1,0)</x:f>
        <x:v>0</x:v>
      </x:c>
      <x:c r="AD899" s="8" t="n">
        <x:f>H899*IF(AND(OR(AB898/AE898&gt;=tun_FissionTrigger*N899,AC899=1),AB898/AE898*tun_DaughterShare&gt;=tun_MinDaughter),MAX(1,ROUND(AE898*tun_FissionRate,0)),0)</x:f>
        <x:v>0</x:v>
      </x:c>
      <x:c r="AE899" s="8" t="n">
        <x:f>IF(H899=1,MAX(1,MIN(INDEX(tun_Smax,G899),AE898+AD899)),AE898)</x:f>
        <x:v>9</x:v>
      </x:c>
      <x:c r="AF899" s="8" t="n">
        <x:f>MAX(0,AE899-AE898)</x:f>
        <x:v>0</x:v>
      </x:c>
      <x:c r="AG899" s="9" t="str">
        <x:f>IF(AF899&gt;0,B899,"")</x:f>
      </x:c>
      <x:c r="AH899" s="9" t="n">
        <x:f>IF(F899&gt;=1,1,(1+tun_LowTiesShare*(AE899-1))/AE899)</x:f>
        <x:v>1</x:v>
      </x:c>
      <x:c r="AI899" s="32" t="n">
        <x:f>(Z899+tun_ElderCommons*INDEX(LM_Elder,G899)*AA899)*AH899</x:f>
        <x:v>238215.0665857503</x:v>
      </x:c>
      <x:c r="AJ899" s="32" t="n">
        <x:f>H899*tun_CommonsCoef*AI899^tun_CommonsExp*INDEX(LM_Commons,G899)</x:f>
        <x:v>0</x:v>
      </x:c>
      <x:c r="AK899" s="32" t="n">
        <x:f>H899*tun_RoleScale*Arch_Roles*(AE899*(INDEX(tun_ElderRolePerSett,G899)*tun_OutElder*INDEX(LM_Elder,G899)+INDEX(tun_ShamanPerSett,G899)*tun_OutShaman)+Z899*(INDEX(tun_PriestShare,G899)*tun_OutPriest+INDEX(tun_ScribeShare,G899)*tun_OutScribe*INDEX(LM_Scribe,G899)+INDEX(tun_ScholarShare,G899)*tun_OutScholar*INDEX(LM_Scholar,G899)+INDEX(tun_ResearcherShare,G899)*tun_OutResearcher*INDEX(LM_Researcher,G899)))</x:f>
        <x:v>0</x:v>
      </x:c>
      <x:c r="AL899" s="32" t="n">
        <x:f>H899*tun_RoleScale*Arch_Roles*AE899*INDEX(tun_MonasteryPerSett,G899)*tun_OutMonastery*INDEX(LM_Monastery,G899)</x:f>
        <x:v>0</x:v>
      </x:c>
      <x:c r="AM899" s="32" t="n">
        <x:f>(AJ899+AK899+AL899)/4*INDEX(LM_All,G899)*INDEX(tun_Boon,G899)*Arch_Insight</x:f>
        <x:v>0</x:v>
      </x:c>
      <x:c r="AN899" s="32" t="n">
        <x:f>H899*(tun_KHPerAdult*Z899+tun_KHOfCommons*AJ899/4*INDEX(LM_All,G899))*tun_KHUsable*Arch_KH</x:f>
        <x:v>0</x:v>
      </x:c>
      <x:c r="AO899" s="32" t="n">
        <x:f>MIN(AP898+AN899,AM899*tun_KHMaxRatio)</x:f>
        <x:v>0</x:v>
      </x:c>
      <x:c r="AP899" s="32" t="n">
        <x:f>AP898+AN899-AO899</x:f>
        <x:v>0</x:v>
      </x:c>
      <x:c r="AQ899" s="32" t="n">
        <x:f>AM899+AO899</x:f>
        <x:v>0</x:v>
      </x:c>
      <x:c r="AR899" s="10" t="n">
        <x:f>IF(H899=1,INDEX(tun_Req,G899),0)</x:f>
        <x:v>0</x:v>
      </x:c>
      <x:c r="AS899" s="32" t="n">
        <x:f>IF(H899=1,IF(E899=1,AS898-AR898,AS898)+AQ899,0)</x:f>
        <x:v>0</x:v>
      </x:c>
      <x:c r="AT899" s="11" t="n">
        <x:f>IF(AR899&gt;0,MIN(1,AS899/AR899),1)</x:f>
        <x:v>1</x:v>
      </x:c>
      <x:c r="AU899" s="10" t="n">
        <x:f>AB899/INDEX(tun_RepScale,G899)</x:f>
        <x:v>290.3368848566301</x:v>
      </x:c>
      <x:c r="AV899" s="32" t="n">
        <x:f>AM899*60/tun_SeasonSeconds</x:f>
        <x:v>0</x:v>
      </x:c>
    </x:row>
    <x:row r="900">
      <x:c r="A900" s="8" t="n">
        <x:f>A899+1</x:f>
        <x:v>897</x:v>
      </x:c>
      <x:c r="B900" s="9" t="n">
        <x:f>A900*tun_SeasonSeconds/60</x:f>
        <x:v>224.25</x:v>
      </x:c>
      <x:c r="C900" s="9" t="n">
        <x:f>A900/4</x:f>
        <x:v>224.25</x:v>
      </x:c>
      <x:c r="D900" s="8" t="n">
        <x:f>IF(MOD(A900,4)=0,1,0)</x:f>
        <x:v>0</x:v>
      </x:c>
      <x:c r="E900" s="8" t="n">
        <x:f>IF(AND(F899&lt;=9,AS899&gt;=AR899),1,0)</x:f>
        <x:v>0</x:v>
      </x:c>
      <x:c r="F900" s="8" t="n">
        <x:f>MIN(10,F899+E900)</x:f>
        <x:v>10</x:v>
      </x:c>
      <x:c r="G900" s="8" t="n">
        <x:f>MIN(F900,9)+1</x:f>
        <x:v>10</x:v>
      </x:c>
      <x:c r="H900" s="8" t="n">
        <x:f>IF(F900&lt;=9,1,0)</x:f>
        <x:v>0</x:v>
      </x:c>
      <x:c r="I900" s="9" t="n">
        <x:f>MIN(10,F899+IF(AR899&gt;0,MIN(1,AS899/AR899),1))</x:f>
        <x:v>10</x:v>
      </x:c>
      <x:c r="J900" s="32" t="n">
        <x:f>INDEX(tun_FoodCap,G900)*Arch_FoodCap*EXP(tun_CapsByProject*SUMPRODUCT((Cap_Point&lt;=I900)*(Cap_Kind="Food")*Cap_Ln))</x:f>
        <x:v>18627.260449441455</x:v>
      </x:c>
      <x:c r="K900" s="32" t="n">
        <x:f>J900*MIN(1,tun_LeanBase*EXP(tun_CapsByProject*SUMPRODUCT((Cap_Point&lt;=I900)*(Cap_Kind="Lean")*Cap_Ln)))</x:f>
        <x:v>18627.260449441455</x:v>
      </x:c>
      <x:c r="L900" s="10" t="n">
        <x:f>INDEX(tun_HousingCap,G900)*EXP(tun_CapsByProject*SUMPRODUCT((Cap_Point&lt;=I900)*(Cap_Kind="Housing")*Cap_Ln))</x:f>
        <x:v>20528.974303173167</x:v>
      </x:c>
      <x:c r="M900" s="10" t="n">
        <x:f>INDEX(tun_GroupCap,G900)*tun_CohesionFactor*EXP(tun_CapsByProject*SUMPRODUCT((Cap_Point&lt;=I900)*(Cap_Kind="Group")*Cap_Ln))</x:f>
        <x:v>1000000.000000001</x:v>
      </x:c>
      <x:c r="N900" s="32" t="n">
        <x:f>MIN(J900,L900,M900)</x:f>
        <x:v>18627.260449441455</x:v>
      </x:c>
      <x:c r="O900" s="10" t="n">
        <x:f>AE899*N900</x:f>
        <x:v>167645.34404497308</x:v>
      </x:c>
      <x:c r="P900" s="9" t="n">
        <x:f>MIN(1,(AB899/(AE899*IF(tun_GroupInCrowding=1,N900,MIN(J900,L900))))^tun_CrowdingExp)</x:f>
        <x:v>0.4215841981292809</x:v>
      </x:c>
      <x:c r="Q900" s="9" t="n">
        <x:f>IF(D900=1,INDEX(tun_WinterMult,G900),1)</x:f>
        <x:v>1</x:v>
      </x:c>
      <x:c r="R900" s="9" t="n">
        <x:f>H900*Z899*tun_WomenShare*tun_BaseFertility*INDEX(tun_FertMult,G900)*Arch_Fertility*(1-P900)</x:f>
        <x:v>0</x:v>
      </x:c>
      <x:c r="S900" s="9" t="n">
        <x:f>H900*Y899*INDEX(tun_MortChild,G900)/4*Q900</x:f>
        <x:v>0</x:v>
      </x:c>
      <x:c r="T900" s="9" t="n">
        <x:f>H900*Z899*INDEX(tun_MortAdult,G900)*Arch_AdultMort/4*Q900</x:f>
        <x:v>0</x:v>
      </x:c>
      <x:c r="U900" s="9" t="n">
        <x:f>H900*AA899*INDEX(tun_MortElder,G900)/4*Q900</x:f>
        <x:v>0</x:v>
      </x:c>
      <x:c r="V900" s="9" t="n">
        <x:f>H900*MAX(0,AB899-O900)*tun_OvercapLoss</x:f>
        <x:v>0</x:v>
      </x:c>
      <x:c r="W900" s="9" t="n">
        <x:f>H900*Y899/(tun_ChildYears*4)</x:f>
        <x:v>0</x:v>
      </x:c>
      <x:c r="X900" s="9" t="n">
        <x:f>H900*Z899/(tun_AdultYears*4)</x:f>
        <x:v>0</x:v>
      </x:c>
      <x:c r="Y900" s="32" t="n">
        <x:f>Y899+R900-S900-W900-Y899*V900/AB899</x:f>
        <x:v>40496.20709015643</x:v>
      </x:c>
      <x:c r="Z900" s="32" t="n">
        <x:f>Z899+W900-X900-T900-Z899*V900/AB899</x:f>
        <x:v>59141.61122890803</x:v>
      </x:c>
      <x:c r="AA900" s="32" t="n">
        <x:f>AA899+X900-U900-AA899*V900/AB899</x:f>
        <x:v>45530.62410925061</x:v>
      </x:c>
      <x:c r="AB900" s="10" t="n">
        <x:f>Y900+Z900+AA900</x:f>
        <x:v>145168.44242831506</x:v>
      </x:c>
      <x:c r="AC900" s="8" t="n">
        <x:f>IF(AND(tun_WinterTrigger=1,D900=1,AB899/AE899&gt;=K900),1,0)</x:f>
        <x:v>0</x:v>
      </x:c>
      <x:c r="AD900" s="8" t="n">
        <x:f>H900*IF(AND(OR(AB899/AE899&gt;=tun_FissionTrigger*N900,AC900=1),AB899/AE899*tun_DaughterShare&gt;=tun_MinDaughter),MAX(1,ROUND(AE899*tun_FissionRate,0)),0)</x:f>
        <x:v>0</x:v>
      </x:c>
      <x:c r="AE900" s="8" t="n">
        <x:f>IF(H900=1,MAX(1,MIN(INDEX(tun_Smax,G900),AE899+AD900)),AE899)</x:f>
        <x:v>9</x:v>
      </x:c>
      <x:c r="AF900" s="8" t="n">
        <x:f>MAX(0,AE900-AE899)</x:f>
        <x:v>0</x:v>
      </x:c>
      <x:c r="AG900" s="9" t="str">
        <x:f>IF(AF900&gt;0,B900,"")</x:f>
      </x:c>
      <x:c r="AH900" s="9" t="n">
        <x:f>IF(F900&gt;=1,1,(1+tun_LowTiesShare*(AE900-1))/AE900)</x:f>
        <x:v>1</x:v>
      </x:c>
      <x:c r="AI900" s="32" t="n">
        <x:f>(Z900+tun_ElderCommons*INDEX(LM_Elder,G900)*AA900)*AH900</x:f>
        <x:v>238215.0665857503</x:v>
      </x:c>
      <x:c r="AJ900" s="32" t="n">
        <x:f>H900*tun_CommonsCoef*AI900^tun_CommonsExp*INDEX(LM_Commons,G900)</x:f>
        <x:v>0</x:v>
      </x:c>
      <x:c r="AK900" s="32" t="n">
        <x:f>H900*tun_RoleScale*Arch_Roles*(AE900*(INDEX(tun_ElderRolePerSett,G900)*tun_OutElder*INDEX(LM_Elder,G900)+INDEX(tun_ShamanPerSett,G900)*tun_OutShaman)+Z900*(INDEX(tun_PriestShare,G900)*tun_OutPriest+INDEX(tun_ScribeShare,G900)*tun_OutScribe*INDEX(LM_Scribe,G900)+INDEX(tun_ScholarShare,G900)*tun_OutScholar*INDEX(LM_Scholar,G900)+INDEX(tun_ResearcherShare,G900)*tun_OutResearcher*INDEX(LM_Researcher,G900)))</x:f>
        <x:v>0</x:v>
      </x:c>
      <x:c r="AL900" s="32" t="n">
        <x:f>H900*tun_RoleScale*Arch_Roles*AE900*INDEX(tun_MonasteryPerSett,G900)*tun_OutMonastery*INDEX(LM_Monastery,G900)</x:f>
        <x:v>0</x:v>
      </x:c>
      <x:c r="AM900" s="32" t="n">
        <x:f>(AJ900+AK900+AL900)/4*INDEX(LM_All,G900)*INDEX(tun_Boon,G900)*Arch_Insight</x:f>
        <x:v>0</x:v>
      </x:c>
      <x:c r="AN900" s="32" t="n">
        <x:f>H900*(tun_KHPerAdult*Z900+tun_KHOfCommons*AJ900/4*INDEX(LM_All,G900))*tun_KHUsable*Arch_KH</x:f>
        <x:v>0</x:v>
      </x:c>
      <x:c r="AO900" s="32" t="n">
        <x:f>MIN(AP899+AN900,AM900*tun_KHMaxRatio)</x:f>
        <x:v>0</x:v>
      </x:c>
      <x:c r="AP900" s="32" t="n">
        <x:f>AP899+AN900-AO900</x:f>
        <x:v>0</x:v>
      </x:c>
      <x:c r="AQ900" s="32" t="n">
        <x:f>AM900+AO900</x:f>
        <x:v>0</x:v>
      </x:c>
      <x:c r="AR900" s="10" t="n">
        <x:f>IF(H900=1,INDEX(tun_Req,G900),0)</x:f>
        <x:v>0</x:v>
      </x:c>
      <x:c r="AS900" s="32" t="n">
        <x:f>IF(H900=1,IF(E900=1,AS899-AR899,AS899)+AQ900,0)</x:f>
        <x:v>0</x:v>
      </x:c>
      <x:c r="AT900" s="11" t="n">
        <x:f>IF(AR900&gt;0,MIN(1,AS900/AR900),1)</x:f>
        <x:v>1</x:v>
      </x:c>
      <x:c r="AU900" s="10" t="n">
        <x:f>AB900/INDEX(tun_RepScale,G900)</x:f>
        <x:v>290.3368848566301</x:v>
      </x:c>
      <x:c r="AV900" s="32" t="n">
        <x:f>AM900*60/tun_SeasonSeconds</x:f>
        <x:v>0</x:v>
      </x:c>
    </x:row>
    <x:row r="901">
      <x:c r="A901" s="8" t="n">
        <x:f>A900+1</x:f>
        <x:v>898</x:v>
      </x:c>
      <x:c r="B901" s="9" t="n">
        <x:f>A901*tun_SeasonSeconds/60</x:f>
        <x:v>224.5</x:v>
      </x:c>
      <x:c r="C901" s="9" t="n">
        <x:f>A901/4</x:f>
        <x:v>224.5</x:v>
      </x:c>
      <x:c r="D901" s="8" t="n">
        <x:f>IF(MOD(A901,4)=0,1,0)</x:f>
        <x:v>0</x:v>
      </x:c>
      <x:c r="E901" s="8" t="n">
        <x:f>IF(AND(F900&lt;=9,AS900&gt;=AR900),1,0)</x:f>
        <x:v>0</x:v>
      </x:c>
      <x:c r="F901" s="8" t="n">
        <x:f>MIN(10,F900+E901)</x:f>
        <x:v>10</x:v>
      </x:c>
      <x:c r="G901" s="8" t="n">
        <x:f>MIN(F901,9)+1</x:f>
        <x:v>10</x:v>
      </x:c>
      <x:c r="H901" s="8" t="n">
        <x:f>IF(F901&lt;=9,1,0)</x:f>
        <x:v>0</x:v>
      </x:c>
      <x:c r="I901" s="9" t="n">
        <x:f>MIN(10,F900+IF(AR900&gt;0,MIN(1,AS900/AR900),1))</x:f>
        <x:v>10</x:v>
      </x:c>
      <x:c r="J901" s="32" t="n">
        <x:f>INDEX(tun_FoodCap,G901)*Arch_FoodCap*EXP(tun_CapsByProject*SUMPRODUCT((Cap_Point&lt;=I901)*(Cap_Kind="Food")*Cap_Ln))</x:f>
        <x:v>18627.260449441455</x:v>
      </x:c>
      <x:c r="K901" s="32" t="n">
        <x:f>J901*MIN(1,tun_LeanBase*EXP(tun_CapsByProject*SUMPRODUCT((Cap_Point&lt;=I901)*(Cap_Kind="Lean")*Cap_Ln)))</x:f>
        <x:v>18627.260449441455</x:v>
      </x:c>
      <x:c r="L901" s="10" t="n">
        <x:f>INDEX(tun_HousingCap,G901)*EXP(tun_CapsByProject*SUMPRODUCT((Cap_Point&lt;=I901)*(Cap_Kind="Housing")*Cap_Ln))</x:f>
        <x:v>20528.974303173167</x:v>
      </x:c>
      <x:c r="M901" s="10" t="n">
        <x:f>INDEX(tun_GroupCap,G901)*tun_CohesionFactor*EXP(tun_CapsByProject*SUMPRODUCT((Cap_Point&lt;=I901)*(Cap_Kind="Group")*Cap_Ln))</x:f>
        <x:v>1000000.000000001</x:v>
      </x:c>
      <x:c r="N901" s="32" t="n">
        <x:f>MIN(J901,L901,M901)</x:f>
        <x:v>18627.260449441455</x:v>
      </x:c>
      <x:c r="O901" s="10" t="n">
        <x:f>AE900*N901</x:f>
        <x:v>167645.34404497308</x:v>
      </x:c>
      <x:c r="P901" s="9" t="n">
        <x:f>MIN(1,(AB900/(AE900*IF(tun_GroupInCrowding=1,N901,MIN(J901,L901))))^tun_CrowdingExp)</x:f>
        <x:v>0.4215841981292809</x:v>
      </x:c>
      <x:c r="Q901" s="9" t="n">
        <x:f>IF(D901=1,INDEX(tun_WinterMult,G901),1)</x:f>
        <x:v>1</x:v>
      </x:c>
      <x:c r="R901" s="9" t="n">
        <x:f>H901*Z900*tun_WomenShare*tun_BaseFertility*INDEX(tun_FertMult,G901)*Arch_Fertility*(1-P901)</x:f>
        <x:v>0</x:v>
      </x:c>
      <x:c r="S901" s="9" t="n">
        <x:f>H901*Y900*INDEX(tun_MortChild,G901)/4*Q901</x:f>
        <x:v>0</x:v>
      </x:c>
      <x:c r="T901" s="9" t="n">
        <x:f>H901*Z900*INDEX(tun_MortAdult,G901)*Arch_AdultMort/4*Q901</x:f>
        <x:v>0</x:v>
      </x:c>
      <x:c r="U901" s="9" t="n">
        <x:f>H901*AA900*INDEX(tun_MortElder,G901)/4*Q901</x:f>
        <x:v>0</x:v>
      </x:c>
      <x:c r="V901" s="9" t="n">
        <x:f>H901*MAX(0,AB900-O901)*tun_OvercapLoss</x:f>
        <x:v>0</x:v>
      </x:c>
      <x:c r="W901" s="9" t="n">
        <x:f>H901*Y900/(tun_ChildYears*4)</x:f>
        <x:v>0</x:v>
      </x:c>
      <x:c r="X901" s="9" t="n">
        <x:f>H901*Z900/(tun_AdultYears*4)</x:f>
        <x:v>0</x:v>
      </x:c>
      <x:c r="Y901" s="32" t="n">
        <x:f>Y900+R901-S901-W901-Y900*V901/AB900</x:f>
        <x:v>40496.20709015643</x:v>
      </x:c>
      <x:c r="Z901" s="32" t="n">
        <x:f>Z900+W901-X901-T901-Z900*V901/AB900</x:f>
        <x:v>59141.61122890803</x:v>
      </x:c>
      <x:c r="AA901" s="32" t="n">
        <x:f>AA900+X901-U901-AA900*V901/AB900</x:f>
        <x:v>45530.62410925061</x:v>
      </x:c>
      <x:c r="AB901" s="10" t="n">
        <x:f>Y901+Z901+AA901</x:f>
        <x:v>145168.44242831506</x:v>
      </x:c>
      <x:c r="AC901" s="8" t="n">
        <x:f>IF(AND(tun_WinterTrigger=1,D901=1,AB900/AE900&gt;=K901),1,0)</x:f>
        <x:v>0</x:v>
      </x:c>
      <x:c r="AD901" s="8" t="n">
        <x:f>H901*IF(AND(OR(AB900/AE900&gt;=tun_FissionTrigger*N901,AC901=1),AB900/AE900*tun_DaughterShare&gt;=tun_MinDaughter),MAX(1,ROUND(AE900*tun_FissionRate,0)),0)</x:f>
        <x:v>0</x:v>
      </x:c>
      <x:c r="AE901" s="8" t="n">
        <x:f>IF(H901=1,MAX(1,MIN(INDEX(tun_Smax,G901),AE900+AD901)),AE900)</x:f>
        <x:v>9</x:v>
      </x:c>
      <x:c r="AF901" s="8" t="n">
        <x:f>MAX(0,AE901-AE900)</x:f>
        <x:v>0</x:v>
      </x:c>
      <x:c r="AG901" s="9" t="str">
        <x:f>IF(AF901&gt;0,B901,"")</x:f>
      </x:c>
      <x:c r="AH901" s="9" t="n">
        <x:f>IF(F901&gt;=1,1,(1+tun_LowTiesShare*(AE901-1))/AE901)</x:f>
        <x:v>1</x:v>
      </x:c>
      <x:c r="AI901" s="32" t="n">
        <x:f>(Z901+tun_ElderCommons*INDEX(LM_Elder,G901)*AA901)*AH901</x:f>
        <x:v>238215.0665857503</x:v>
      </x:c>
      <x:c r="AJ901" s="32" t="n">
        <x:f>H901*tun_CommonsCoef*AI901^tun_CommonsExp*INDEX(LM_Commons,G901)</x:f>
        <x:v>0</x:v>
      </x:c>
      <x:c r="AK901" s="32" t="n">
        <x:f>H901*tun_RoleScale*Arch_Roles*(AE901*(INDEX(tun_ElderRolePerSett,G901)*tun_OutElder*INDEX(LM_Elder,G901)+INDEX(tun_ShamanPerSett,G901)*tun_OutShaman)+Z901*(INDEX(tun_PriestShare,G901)*tun_OutPriest+INDEX(tun_ScribeShare,G901)*tun_OutScribe*INDEX(LM_Scribe,G901)+INDEX(tun_ScholarShare,G901)*tun_OutScholar*INDEX(LM_Scholar,G901)+INDEX(tun_ResearcherShare,G901)*tun_OutResearcher*INDEX(LM_Researcher,G901)))</x:f>
        <x:v>0</x:v>
      </x:c>
      <x:c r="AL901" s="32" t="n">
        <x:f>H901*tun_RoleScale*Arch_Roles*AE901*INDEX(tun_MonasteryPerSett,G901)*tun_OutMonastery*INDEX(LM_Monastery,G901)</x:f>
        <x:v>0</x:v>
      </x:c>
      <x:c r="AM901" s="32" t="n">
        <x:f>(AJ901+AK901+AL901)/4*INDEX(LM_All,G901)*INDEX(tun_Boon,G901)*Arch_Insight</x:f>
        <x:v>0</x:v>
      </x:c>
      <x:c r="AN901" s="32" t="n">
        <x:f>H901*(tun_KHPerAdult*Z901+tun_KHOfCommons*AJ901/4*INDEX(LM_All,G901))*tun_KHUsable*Arch_KH</x:f>
        <x:v>0</x:v>
      </x:c>
      <x:c r="AO901" s="32" t="n">
        <x:f>MIN(AP900+AN901,AM901*tun_KHMaxRatio)</x:f>
        <x:v>0</x:v>
      </x:c>
      <x:c r="AP901" s="32" t="n">
        <x:f>AP900+AN901-AO901</x:f>
        <x:v>0</x:v>
      </x:c>
      <x:c r="AQ901" s="32" t="n">
        <x:f>AM901+AO901</x:f>
        <x:v>0</x:v>
      </x:c>
      <x:c r="AR901" s="10" t="n">
        <x:f>IF(H901=1,INDEX(tun_Req,G901),0)</x:f>
        <x:v>0</x:v>
      </x:c>
      <x:c r="AS901" s="32" t="n">
        <x:f>IF(H901=1,IF(E901=1,AS900-AR900,AS900)+AQ901,0)</x:f>
        <x:v>0</x:v>
      </x:c>
      <x:c r="AT901" s="11" t="n">
        <x:f>IF(AR901&gt;0,MIN(1,AS901/AR901),1)</x:f>
        <x:v>1</x:v>
      </x:c>
      <x:c r="AU901" s="10" t="n">
        <x:f>AB901/INDEX(tun_RepScale,G901)</x:f>
        <x:v>290.3368848566301</x:v>
      </x:c>
      <x:c r="AV901" s="32" t="n">
        <x:f>AM901*60/tun_SeasonSeconds</x:f>
        <x:v>0</x:v>
      </x:c>
    </x:row>
    <x:row r="902">
      <x:c r="A902" s="8" t="n">
        <x:f>A901+1</x:f>
        <x:v>899</x:v>
      </x:c>
      <x:c r="B902" s="9" t="n">
        <x:f>A902*tun_SeasonSeconds/60</x:f>
        <x:v>224.75</x:v>
      </x:c>
      <x:c r="C902" s="9" t="n">
        <x:f>A902/4</x:f>
        <x:v>224.75</x:v>
      </x:c>
      <x:c r="D902" s="8" t="n">
        <x:f>IF(MOD(A902,4)=0,1,0)</x:f>
        <x:v>0</x:v>
      </x:c>
      <x:c r="E902" s="8" t="n">
        <x:f>IF(AND(F901&lt;=9,AS901&gt;=AR901),1,0)</x:f>
        <x:v>0</x:v>
      </x:c>
      <x:c r="F902" s="8" t="n">
        <x:f>MIN(10,F901+E902)</x:f>
        <x:v>10</x:v>
      </x:c>
      <x:c r="G902" s="8" t="n">
        <x:f>MIN(F902,9)+1</x:f>
        <x:v>10</x:v>
      </x:c>
      <x:c r="H902" s="8" t="n">
        <x:f>IF(F902&lt;=9,1,0)</x:f>
        <x:v>0</x:v>
      </x:c>
      <x:c r="I902" s="9" t="n">
        <x:f>MIN(10,F901+IF(AR901&gt;0,MIN(1,AS901/AR901),1))</x:f>
        <x:v>10</x:v>
      </x:c>
      <x:c r="J902" s="32" t="n">
        <x:f>INDEX(tun_FoodCap,G902)*Arch_FoodCap*EXP(tun_CapsByProject*SUMPRODUCT((Cap_Point&lt;=I902)*(Cap_Kind="Food")*Cap_Ln))</x:f>
        <x:v>18627.260449441455</x:v>
      </x:c>
      <x:c r="K902" s="32" t="n">
        <x:f>J902*MIN(1,tun_LeanBase*EXP(tun_CapsByProject*SUMPRODUCT((Cap_Point&lt;=I902)*(Cap_Kind="Lean")*Cap_Ln)))</x:f>
        <x:v>18627.260449441455</x:v>
      </x:c>
      <x:c r="L902" s="10" t="n">
        <x:f>INDEX(tun_HousingCap,G902)*EXP(tun_CapsByProject*SUMPRODUCT((Cap_Point&lt;=I902)*(Cap_Kind="Housing")*Cap_Ln))</x:f>
        <x:v>20528.974303173167</x:v>
      </x:c>
      <x:c r="M902" s="10" t="n">
        <x:f>INDEX(tun_GroupCap,G902)*tun_CohesionFactor*EXP(tun_CapsByProject*SUMPRODUCT((Cap_Point&lt;=I902)*(Cap_Kind="Group")*Cap_Ln))</x:f>
        <x:v>1000000.000000001</x:v>
      </x:c>
      <x:c r="N902" s="32" t="n">
        <x:f>MIN(J902,L902,M902)</x:f>
        <x:v>18627.260449441455</x:v>
      </x:c>
      <x:c r="O902" s="10" t="n">
        <x:f>AE901*N902</x:f>
        <x:v>167645.34404497308</x:v>
      </x:c>
      <x:c r="P902" s="9" t="n">
        <x:f>MIN(1,(AB901/(AE901*IF(tun_GroupInCrowding=1,N902,MIN(J902,L902))))^tun_CrowdingExp)</x:f>
        <x:v>0.4215841981292809</x:v>
      </x:c>
      <x:c r="Q902" s="9" t="n">
        <x:f>IF(D902=1,INDEX(tun_WinterMult,G902),1)</x:f>
        <x:v>1</x:v>
      </x:c>
      <x:c r="R902" s="9" t="n">
        <x:f>H902*Z901*tun_WomenShare*tun_BaseFertility*INDEX(tun_FertMult,G902)*Arch_Fertility*(1-P902)</x:f>
        <x:v>0</x:v>
      </x:c>
      <x:c r="S902" s="9" t="n">
        <x:f>H902*Y901*INDEX(tun_MortChild,G902)/4*Q902</x:f>
        <x:v>0</x:v>
      </x:c>
      <x:c r="T902" s="9" t="n">
        <x:f>H902*Z901*INDEX(tun_MortAdult,G902)*Arch_AdultMort/4*Q902</x:f>
        <x:v>0</x:v>
      </x:c>
      <x:c r="U902" s="9" t="n">
        <x:f>H902*AA901*INDEX(tun_MortElder,G902)/4*Q902</x:f>
        <x:v>0</x:v>
      </x:c>
      <x:c r="V902" s="9" t="n">
        <x:f>H902*MAX(0,AB901-O902)*tun_OvercapLoss</x:f>
        <x:v>0</x:v>
      </x:c>
      <x:c r="W902" s="9" t="n">
        <x:f>H902*Y901/(tun_ChildYears*4)</x:f>
        <x:v>0</x:v>
      </x:c>
      <x:c r="X902" s="9" t="n">
        <x:f>H902*Z901/(tun_AdultYears*4)</x:f>
        <x:v>0</x:v>
      </x:c>
      <x:c r="Y902" s="32" t="n">
        <x:f>Y901+R902-S902-W902-Y901*V902/AB901</x:f>
        <x:v>40496.20709015643</x:v>
      </x:c>
      <x:c r="Z902" s="32" t="n">
        <x:f>Z901+W902-X902-T902-Z901*V902/AB901</x:f>
        <x:v>59141.61122890803</x:v>
      </x:c>
      <x:c r="AA902" s="32" t="n">
        <x:f>AA901+X902-U902-AA901*V902/AB901</x:f>
        <x:v>45530.62410925061</x:v>
      </x:c>
      <x:c r="AB902" s="10" t="n">
        <x:f>Y902+Z902+AA902</x:f>
        <x:v>145168.44242831506</x:v>
      </x:c>
      <x:c r="AC902" s="8" t="n">
        <x:f>IF(AND(tun_WinterTrigger=1,D902=1,AB901/AE901&gt;=K902),1,0)</x:f>
        <x:v>0</x:v>
      </x:c>
      <x:c r="AD902" s="8" t="n">
        <x:f>H902*IF(AND(OR(AB901/AE901&gt;=tun_FissionTrigger*N902,AC902=1),AB901/AE901*tun_DaughterShare&gt;=tun_MinDaughter),MAX(1,ROUND(AE901*tun_FissionRate,0)),0)</x:f>
        <x:v>0</x:v>
      </x:c>
      <x:c r="AE902" s="8" t="n">
        <x:f>IF(H902=1,MAX(1,MIN(INDEX(tun_Smax,G902),AE901+AD902)),AE901)</x:f>
        <x:v>9</x:v>
      </x:c>
      <x:c r="AF902" s="8" t="n">
        <x:f>MAX(0,AE902-AE901)</x:f>
        <x:v>0</x:v>
      </x:c>
      <x:c r="AG902" s="9" t="str">
        <x:f>IF(AF902&gt;0,B902,"")</x:f>
      </x:c>
      <x:c r="AH902" s="9" t="n">
        <x:f>IF(F902&gt;=1,1,(1+tun_LowTiesShare*(AE902-1))/AE902)</x:f>
        <x:v>1</x:v>
      </x:c>
      <x:c r="AI902" s="32" t="n">
        <x:f>(Z902+tun_ElderCommons*INDEX(LM_Elder,G902)*AA902)*AH902</x:f>
        <x:v>238215.0665857503</x:v>
      </x:c>
      <x:c r="AJ902" s="32" t="n">
        <x:f>H902*tun_CommonsCoef*AI902^tun_CommonsExp*INDEX(LM_Commons,G902)</x:f>
        <x:v>0</x:v>
      </x:c>
      <x:c r="AK902" s="32" t="n">
        <x:f>H902*tun_RoleScale*Arch_Roles*(AE902*(INDEX(tun_ElderRolePerSett,G902)*tun_OutElder*INDEX(LM_Elder,G902)+INDEX(tun_ShamanPerSett,G902)*tun_OutShaman)+Z902*(INDEX(tun_PriestShare,G902)*tun_OutPriest+INDEX(tun_ScribeShare,G902)*tun_OutScribe*INDEX(LM_Scribe,G902)+INDEX(tun_ScholarShare,G902)*tun_OutScholar*INDEX(LM_Scholar,G902)+INDEX(tun_ResearcherShare,G902)*tun_OutResearcher*INDEX(LM_Researcher,G902)))</x:f>
        <x:v>0</x:v>
      </x:c>
      <x:c r="AL902" s="32" t="n">
        <x:f>H902*tun_RoleScale*Arch_Roles*AE902*INDEX(tun_MonasteryPerSett,G902)*tun_OutMonastery*INDEX(LM_Monastery,G902)</x:f>
        <x:v>0</x:v>
      </x:c>
      <x:c r="AM902" s="32" t="n">
        <x:f>(AJ902+AK902+AL902)/4*INDEX(LM_All,G902)*INDEX(tun_Boon,G902)*Arch_Insight</x:f>
        <x:v>0</x:v>
      </x:c>
      <x:c r="AN902" s="32" t="n">
        <x:f>H902*(tun_KHPerAdult*Z902+tun_KHOfCommons*AJ902/4*INDEX(LM_All,G902))*tun_KHUsable*Arch_KH</x:f>
        <x:v>0</x:v>
      </x:c>
      <x:c r="AO902" s="32" t="n">
        <x:f>MIN(AP901+AN902,AM902*tun_KHMaxRatio)</x:f>
        <x:v>0</x:v>
      </x:c>
      <x:c r="AP902" s="32" t="n">
        <x:f>AP901+AN902-AO902</x:f>
        <x:v>0</x:v>
      </x:c>
      <x:c r="AQ902" s="32" t="n">
        <x:f>AM902+AO902</x:f>
        <x:v>0</x:v>
      </x:c>
      <x:c r="AR902" s="10" t="n">
        <x:f>IF(H902=1,INDEX(tun_Req,G902),0)</x:f>
        <x:v>0</x:v>
      </x:c>
      <x:c r="AS902" s="32" t="n">
        <x:f>IF(H902=1,IF(E902=1,AS901-AR901,AS901)+AQ902,0)</x:f>
        <x:v>0</x:v>
      </x:c>
      <x:c r="AT902" s="11" t="n">
        <x:f>IF(AR902&gt;0,MIN(1,AS902/AR902),1)</x:f>
        <x:v>1</x:v>
      </x:c>
      <x:c r="AU902" s="10" t="n">
        <x:f>AB902/INDEX(tun_RepScale,G902)</x:f>
        <x:v>290.3368848566301</x:v>
      </x:c>
      <x:c r="AV902" s="32" t="n">
        <x:f>AM902*60/tun_SeasonSeconds</x:f>
        <x:v>0</x:v>
      </x:c>
    </x:row>
    <x:row r="903">
      <x:c r="A903" s="8" t="n">
        <x:f>A902+1</x:f>
        <x:v>900</x:v>
      </x:c>
      <x:c r="B903" s="9" t="n">
        <x:f>A903*tun_SeasonSeconds/60</x:f>
        <x:v>225</x:v>
      </x:c>
      <x:c r="C903" s="9" t="n">
        <x:f>A903/4</x:f>
        <x:v>225</x:v>
      </x:c>
      <x:c r="D903" s="8" t="n">
        <x:f>IF(MOD(A903,4)=0,1,0)</x:f>
        <x:v>1</x:v>
      </x:c>
      <x:c r="E903" s="8" t="n">
        <x:f>IF(AND(F902&lt;=9,AS902&gt;=AR902),1,0)</x:f>
        <x:v>0</x:v>
      </x:c>
      <x:c r="F903" s="8" t="n">
        <x:f>MIN(10,F902+E903)</x:f>
        <x:v>10</x:v>
      </x:c>
      <x:c r="G903" s="8" t="n">
        <x:f>MIN(F903,9)+1</x:f>
        <x:v>10</x:v>
      </x:c>
      <x:c r="H903" s="8" t="n">
        <x:f>IF(F903&lt;=9,1,0)</x:f>
        <x:v>0</x:v>
      </x:c>
      <x:c r="I903" s="9" t="n">
        <x:f>MIN(10,F902+IF(AR902&gt;0,MIN(1,AS902/AR902),1))</x:f>
        <x:v>10</x:v>
      </x:c>
      <x:c r="J903" s="32" t="n">
        <x:f>INDEX(tun_FoodCap,G903)*Arch_FoodCap*EXP(tun_CapsByProject*SUMPRODUCT((Cap_Point&lt;=I903)*(Cap_Kind="Food")*Cap_Ln))</x:f>
        <x:v>18627.260449441455</x:v>
      </x:c>
      <x:c r="K903" s="32" t="n">
        <x:f>J903*MIN(1,tun_LeanBase*EXP(tun_CapsByProject*SUMPRODUCT((Cap_Point&lt;=I903)*(Cap_Kind="Lean")*Cap_Ln)))</x:f>
        <x:v>18627.260449441455</x:v>
      </x:c>
      <x:c r="L903" s="10" t="n">
        <x:f>INDEX(tun_HousingCap,G903)*EXP(tun_CapsByProject*SUMPRODUCT((Cap_Point&lt;=I903)*(Cap_Kind="Housing")*Cap_Ln))</x:f>
        <x:v>20528.974303173167</x:v>
      </x:c>
      <x:c r="M903" s="10" t="n">
        <x:f>INDEX(tun_GroupCap,G903)*tun_CohesionFactor*EXP(tun_CapsByProject*SUMPRODUCT((Cap_Point&lt;=I903)*(Cap_Kind="Group")*Cap_Ln))</x:f>
        <x:v>1000000.000000001</x:v>
      </x:c>
      <x:c r="N903" s="32" t="n">
        <x:f>MIN(J903,L903,M903)</x:f>
        <x:v>18627.260449441455</x:v>
      </x:c>
      <x:c r="O903" s="10" t="n">
        <x:f>AE902*N903</x:f>
        <x:v>167645.34404497308</x:v>
      </x:c>
      <x:c r="P903" s="9" t="n">
        <x:f>MIN(1,(AB902/(AE902*IF(tun_GroupInCrowding=1,N903,MIN(J903,L903))))^tun_CrowdingExp)</x:f>
        <x:v>0.4215841981292809</x:v>
      </x:c>
      <x:c r="Q903" s="9" t="n">
        <x:f>IF(D903=1,INDEX(tun_WinterMult,G903),1)</x:f>
        <x:v>1.05</x:v>
      </x:c>
      <x:c r="R903" s="9" t="n">
        <x:f>H903*Z902*tun_WomenShare*tun_BaseFertility*INDEX(tun_FertMult,G903)*Arch_Fertility*(1-P903)</x:f>
        <x:v>0</x:v>
      </x:c>
      <x:c r="S903" s="9" t="n">
        <x:f>H903*Y902*INDEX(tun_MortChild,G903)/4*Q903</x:f>
        <x:v>0</x:v>
      </x:c>
      <x:c r="T903" s="9" t="n">
        <x:f>H903*Z902*INDEX(tun_MortAdult,G903)*Arch_AdultMort/4*Q903</x:f>
        <x:v>0</x:v>
      </x:c>
      <x:c r="U903" s="9" t="n">
        <x:f>H903*AA902*INDEX(tun_MortElder,G903)/4*Q903</x:f>
        <x:v>0</x:v>
      </x:c>
      <x:c r="V903" s="9" t="n">
        <x:f>H903*MAX(0,AB902-O903)*tun_OvercapLoss</x:f>
        <x:v>0</x:v>
      </x:c>
      <x:c r="W903" s="9" t="n">
        <x:f>H903*Y902/(tun_ChildYears*4)</x:f>
        <x:v>0</x:v>
      </x:c>
      <x:c r="X903" s="9" t="n">
        <x:f>H903*Z902/(tun_AdultYears*4)</x:f>
        <x:v>0</x:v>
      </x:c>
      <x:c r="Y903" s="32" t="n">
        <x:f>Y902+R903-S903-W903-Y902*V903/AB902</x:f>
        <x:v>40496.20709015643</x:v>
      </x:c>
      <x:c r="Z903" s="32" t="n">
        <x:f>Z902+W903-X903-T903-Z902*V903/AB902</x:f>
        <x:v>59141.61122890803</x:v>
      </x:c>
      <x:c r="AA903" s="32" t="n">
        <x:f>AA902+X903-U903-AA902*V903/AB902</x:f>
        <x:v>45530.62410925061</x:v>
      </x:c>
      <x:c r="AB903" s="10" t="n">
        <x:f>Y903+Z903+AA903</x:f>
        <x:v>145168.44242831506</x:v>
      </x:c>
      <x:c r="AC903" s="8" t="n">
        <x:f>IF(AND(tun_WinterTrigger=1,D903=1,AB902/AE902&gt;=K903),1,0)</x:f>
        <x:v>0</x:v>
      </x:c>
      <x:c r="AD903" s="8" t="n">
        <x:f>H903*IF(AND(OR(AB902/AE902&gt;=tun_FissionTrigger*N903,AC903=1),AB902/AE902*tun_DaughterShare&gt;=tun_MinDaughter),MAX(1,ROUND(AE902*tun_FissionRate,0)),0)</x:f>
        <x:v>0</x:v>
      </x:c>
      <x:c r="AE903" s="8" t="n">
        <x:f>IF(H903=1,MAX(1,MIN(INDEX(tun_Smax,G903),AE902+AD903)),AE902)</x:f>
        <x:v>9</x:v>
      </x:c>
      <x:c r="AF903" s="8" t="n">
        <x:f>MAX(0,AE903-AE902)</x:f>
        <x:v>0</x:v>
      </x:c>
      <x:c r="AG903" s="9" t="str">
        <x:f>IF(AF903&gt;0,B903,"")</x:f>
      </x:c>
      <x:c r="AH903" s="9" t="n">
        <x:f>IF(F903&gt;=1,1,(1+tun_LowTiesShare*(AE903-1))/AE903)</x:f>
        <x:v>1</x:v>
      </x:c>
      <x:c r="AI903" s="32" t="n">
        <x:f>(Z903+tun_ElderCommons*INDEX(LM_Elder,G903)*AA903)*AH903</x:f>
        <x:v>238215.0665857503</x:v>
      </x:c>
      <x:c r="AJ903" s="32" t="n">
        <x:f>H903*tun_CommonsCoef*AI903^tun_CommonsExp*INDEX(LM_Commons,G903)</x:f>
        <x:v>0</x:v>
      </x:c>
      <x:c r="AK903" s="32" t="n">
        <x:f>H903*tun_RoleScale*Arch_Roles*(AE903*(INDEX(tun_ElderRolePerSett,G903)*tun_OutElder*INDEX(LM_Elder,G903)+INDEX(tun_ShamanPerSett,G903)*tun_OutShaman)+Z903*(INDEX(tun_PriestShare,G903)*tun_OutPriest+INDEX(tun_ScribeShare,G903)*tun_OutScribe*INDEX(LM_Scribe,G903)+INDEX(tun_ScholarShare,G903)*tun_OutScholar*INDEX(LM_Scholar,G903)+INDEX(tun_ResearcherShare,G903)*tun_OutResearcher*INDEX(LM_Researcher,G903)))</x:f>
        <x:v>0</x:v>
      </x:c>
      <x:c r="AL903" s="32" t="n">
        <x:f>H903*tun_RoleScale*Arch_Roles*AE903*INDEX(tun_MonasteryPerSett,G903)*tun_OutMonastery*INDEX(LM_Monastery,G903)</x:f>
        <x:v>0</x:v>
      </x:c>
      <x:c r="AM903" s="32" t="n">
        <x:f>(AJ903+AK903+AL903)/4*INDEX(LM_All,G903)*INDEX(tun_Boon,G903)*Arch_Insight</x:f>
        <x:v>0</x:v>
      </x:c>
      <x:c r="AN903" s="32" t="n">
        <x:f>H903*(tun_KHPerAdult*Z903+tun_KHOfCommons*AJ903/4*INDEX(LM_All,G903))*tun_KHUsable*Arch_KH</x:f>
        <x:v>0</x:v>
      </x:c>
      <x:c r="AO903" s="32" t="n">
        <x:f>MIN(AP902+AN903,AM903*tun_KHMaxRatio)</x:f>
        <x:v>0</x:v>
      </x:c>
      <x:c r="AP903" s="32" t="n">
        <x:f>AP902+AN903-AO903</x:f>
        <x:v>0</x:v>
      </x:c>
      <x:c r="AQ903" s="32" t="n">
        <x:f>AM903+AO903</x:f>
        <x:v>0</x:v>
      </x:c>
      <x:c r="AR903" s="10" t="n">
        <x:f>IF(H903=1,INDEX(tun_Req,G903),0)</x:f>
        <x:v>0</x:v>
      </x:c>
      <x:c r="AS903" s="32" t="n">
        <x:f>IF(H903=1,IF(E903=1,AS902-AR902,AS902)+AQ903,0)</x:f>
        <x:v>0</x:v>
      </x:c>
      <x:c r="AT903" s="11" t="n">
        <x:f>IF(AR903&gt;0,MIN(1,AS903/AR903),1)</x:f>
        <x:v>1</x:v>
      </x:c>
      <x:c r="AU903" s="10" t="n">
        <x:f>AB903/INDEX(tun_RepScale,G903)</x:f>
        <x:v>290.3368848566301</x:v>
      </x:c>
      <x:c r="AV903" s="32" t="n">
        <x:f>AM903*60/tun_SeasonSeconds</x:f>
        <x:v>0</x:v>
      </x:c>
    </x:row>
    <x:row r="904">
      <x:c r="A904" s="8" t="n">
        <x:f>A903+1</x:f>
        <x:v>901</x:v>
      </x:c>
      <x:c r="B904" s="9" t="n">
        <x:f>A904*tun_SeasonSeconds/60</x:f>
        <x:v>225.25</x:v>
      </x:c>
      <x:c r="C904" s="9" t="n">
        <x:f>A904/4</x:f>
        <x:v>225.25</x:v>
      </x:c>
      <x:c r="D904" s="8" t="n">
        <x:f>IF(MOD(A904,4)=0,1,0)</x:f>
        <x:v>0</x:v>
      </x:c>
      <x:c r="E904" s="8" t="n">
        <x:f>IF(AND(F903&lt;=9,AS903&gt;=AR903),1,0)</x:f>
        <x:v>0</x:v>
      </x:c>
      <x:c r="F904" s="8" t="n">
        <x:f>MIN(10,F903+E904)</x:f>
        <x:v>10</x:v>
      </x:c>
      <x:c r="G904" s="8" t="n">
        <x:f>MIN(F904,9)+1</x:f>
        <x:v>10</x:v>
      </x:c>
      <x:c r="H904" s="8" t="n">
        <x:f>IF(F904&lt;=9,1,0)</x:f>
        <x:v>0</x:v>
      </x:c>
      <x:c r="I904" s="9" t="n">
        <x:f>MIN(10,F903+IF(AR903&gt;0,MIN(1,AS903/AR903),1))</x:f>
        <x:v>10</x:v>
      </x:c>
      <x:c r="J904" s="32" t="n">
        <x:f>INDEX(tun_FoodCap,G904)*Arch_FoodCap*EXP(tun_CapsByProject*SUMPRODUCT((Cap_Point&lt;=I904)*(Cap_Kind="Food")*Cap_Ln))</x:f>
        <x:v>18627.260449441455</x:v>
      </x:c>
      <x:c r="K904" s="32" t="n">
        <x:f>J904*MIN(1,tun_LeanBase*EXP(tun_CapsByProject*SUMPRODUCT((Cap_Point&lt;=I904)*(Cap_Kind="Lean")*Cap_Ln)))</x:f>
        <x:v>18627.260449441455</x:v>
      </x:c>
      <x:c r="L904" s="10" t="n">
        <x:f>INDEX(tun_HousingCap,G904)*EXP(tun_CapsByProject*SUMPRODUCT((Cap_Point&lt;=I904)*(Cap_Kind="Housing")*Cap_Ln))</x:f>
        <x:v>20528.974303173167</x:v>
      </x:c>
      <x:c r="M904" s="10" t="n">
        <x:f>INDEX(tun_GroupCap,G904)*tun_CohesionFactor*EXP(tun_CapsByProject*SUMPRODUCT((Cap_Point&lt;=I904)*(Cap_Kind="Group")*Cap_Ln))</x:f>
        <x:v>1000000.000000001</x:v>
      </x:c>
      <x:c r="N904" s="32" t="n">
        <x:f>MIN(J904,L904,M904)</x:f>
        <x:v>18627.260449441455</x:v>
      </x:c>
      <x:c r="O904" s="10" t="n">
        <x:f>AE903*N904</x:f>
        <x:v>167645.34404497308</x:v>
      </x:c>
      <x:c r="P904" s="9" t="n">
        <x:f>MIN(1,(AB903/(AE903*IF(tun_GroupInCrowding=1,N904,MIN(J904,L904))))^tun_CrowdingExp)</x:f>
        <x:v>0.4215841981292809</x:v>
      </x:c>
      <x:c r="Q904" s="9" t="n">
        <x:f>IF(D904=1,INDEX(tun_WinterMult,G904),1)</x:f>
        <x:v>1</x:v>
      </x:c>
      <x:c r="R904" s="9" t="n">
        <x:f>H904*Z903*tun_WomenShare*tun_BaseFertility*INDEX(tun_FertMult,G904)*Arch_Fertility*(1-P904)</x:f>
        <x:v>0</x:v>
      </x:c>
      <x:c r="S904" s="9" t="n">
        <x:f>H904*Y903*INDEX(tun_MortChild,G904)/4*Q904</x:f>
        <x:v>0</x:v>
      </x:c>
      <x:c r="T904" s="9" t="n">
        <x:f>H904*Z903*INDEX(tun_MortAdult,G904)*Arch_AdultMort/4*Q904</x:f>
        <x:v>0</x:v>
      </x:c>
      <x:c r="U904" s="9" t="n">
        <x:f>H904*AA903*INDEX(tun_MortElder,G904)/4*Q904</x:f>
        <x:v>0</x:v>
      </x:c>
      <x:c r="V904" s="9" t="n">
        <x:f>H904*MAX(0,AB903-O904)*tun_OvercapLoss</x:f>
        <x:v>0</x:v>
      </x:c>
      <x:c r="W904" s="9" t="n">
        <x:f>H904*Y903/(tun_ChildYears*4)</x:f>
        <x:v>0</x:v>
      </x:c>
      <x:c r="X904" s="9" t="n">
        <x:f>H904*Z903/(tun_AdultYears*4)</x:f>
        <x:v>0</x:v>
      </x:c>
      <x:c r="Y904" s="32" t="n">
        <x:f>Y903+R904-S904-W904-Y903*V904/AB903</x:f>
        <x:v>40496.20709015643</x:v>
      </x:c>
      <x:c r="Z904" s="32" t="n">
        <x:f>Z903+W904-X904-T904-Z903*V904/AB903</x:f>
        <x:v>59141.61122890803</x:v>
      </x:c>
      <x:c r="AA904" s="32" t="n">
        <x:f>AA903+X904-U904-AA903*V904/AB903</x:f>
        <x:v>45530.62410925061</x:v>
      </x:c>
      <x:c r="AB904" s="10" t="n">
        <x:f>Y904+Z904+AA904</x:f>
        <x:v>145168.44242831506</x:v>
      </x:c>
      <x:c r="AC904" s="8" t="n">
        <x:f>IF(AND(tun_WinterTrigger=1,D904=1,AB903/AE903&gt;=K904),1,0)</x:f>
        <x:v>0</x:v>
      </x:c>
      <x:c r="AD904" s="8" t="n">
        <x:f>H904*IF(AND(OR(AB903/AE903&gt;=tun_FissionTrigger*N904,AC904=1),AB903/AE903*tun_DaughterShare&gt;=tun_MinDaughter),MAX(1,ROUND(AE903*tun_FissionRate,0)),0)</x:f>
        <x:v>0</x:v>
      </x:c>
      <x:c r="AE904" s="8" t="n">
        <x:f>IF(H904=1,MAX(1,MIN(INDEX(tun_Smax,G904),AE903+AD904)),AE903)</x:f>
        <x:v>9</x:v>
      </x:c>
      <x:c r="AF904" s="8" t="n">
        <x:f>MAX(0,AE904-AE903)</x:f>
        <x:v>0</x:v>
      </x:c>
      <x:c r="AG904" s="9" t="str">
        <x:f>IF(AF904&gt;0,B904,"")</x:f>
      </x:c>
      <x:c r="AH904" s="9" t="n">
        <x:f>IF(F904&gt;=1,1,(1+tun_LowTiesShare*(AE904-1))/AE904)</x:f>
        <x:v>1</x:v>
      </x:c>
      <x:c r="AI904" s="32" t="n">
        <x:f>(Z904+tun_ElderCommons*INDEX(LM_Elder,G904)*AA904)*AH904</x:f>
        <x:v>238215.0665857503</x:v>
      </x:c>
      <x:c r="AJ904" s="32" t="n">
        <x:f>H904*tun_CommonsCoef*AI904^tun_CommonsExp*INDEX(LM_Commons,G904)</x:f>
        <x:v>0</x:v>
      </x:c>
      <x:c r="AK904" s="32" t="n">
        <x:f>H904*tun_RoleScale*Arch_Roles*(AE904*(INDEX(tun_ElderRolePerSett,G904)*tun_OutElder*INDEX(LM_Elder,G904)+INDEX(tun_ShamanPerSett,G904)*tun_OutShaman)+Z904*(INDEX(tun_PriestShare,G904)*tun_OutPriest+INDEX(tun_ScribeShare,G904)*tun_OutScribe*INDEX(LM_Scribe,G904)+INDEX(tun_ScholarShare,G904)*tun_OutScholar*INDEX(LM_Scholar,G904)+INDEX(tun_ResearcherShare,G904)*tun_OutResearcher*INDEX(LM_Researcher,G904)))</x:f>
        <x:v>0</x:v>
      </x:c>
      <x:c r="AL904" s="32" t="n">
        <x:f>H904*tun_RoleScale*Arch_Roles*AE904*INDEX(tun_MonasteryPerSett,G904)*tun_OutMonastery*INDEX(LM_Monastery,G904)</x:f>
        <x:v>0</x:v>
      </x:c>
      <x:c r="AM904" s="32" t="n">
        <x:f>(AJ904+AK904+AL904)/4*INDEX(LM_All,G904)*INDEX(tun_Boon,G904)*Arch_Insight</x:f>
        <x:v>0</x:v>
      </x:c>
      <x:c r="AN904" s="32" t="n">
        <x:f>H904*(tun_KHPerAdult*Z904+tun_KHOfCommons*AJ904/4*INDEX(LM_All,G904))*tun_KHUsable*Arch_KH</x:f>
        <x:v>0</x:v>
      </x:c>
      <x:c r="AO904" s="32" t="n">
        <x:f>MIN(AP903+AN904,AM904*tun_KHMaxRatio)</x:f>
        <x:v>0</x:v>
      </x:c>
      <x:c r="AP904" s="32" t="n">
        <x:f>AP903+AN904-AO904</x:f>
        <x:v>0</x:v>
      </x:c>
      <x:c r="AQ904" s="32" t="n">
        <x:f>AM904+AO904</x:f>
        <x:v>0</x:v>
      </x:c>
      <x:c r="AR904" s="10" t="n">
        <x:f>IF(H904=1,INDEX(tun_Req,G904),0)</x:f>
        <x:v>0</x:v>
      </x:c>
      <x:c r="AS904" s="32" t="n">
        <x:f>IF(H904=1,IF(E904=1,AS903-AR903,AS903)+AQ904,0)</x:f>
        <x:v>0</x:v>
      </x:c>
      <x:c r="AT904" s="11" t="n">
        <x:f>IF(AR904&gt;0,MIN(1,AS904/AR904),1)</x:f>
        <x:v>1</x:v>
      </x:c>
      <x:c r="AU904" s="10" t="n">
        <x:f>AB904/INDEX(tun_RepScale,G904)</x:f>
        <x:v>290.3368848566301</x:v>
      </x:c>
      <x:c r="AV904" s="32" t="n">
        <x:f>AM904*60/tun_SeasonSeconds</x:f>
        <x:v>0</x:v>
      </x:c>
    </x:row>
    <x:row r="905">
      <x:c r="A905" s="8" t="n">
        <x:f>A904+1</x:f>
        <x:v>902</x:v>
      </x:c>
      <x:c r="B905" s="9" t="n">
        <x:f>A905*tun_SeasonSeconds/60</x:f>
        <x:v>225.5</x:v>
      </x:c>
      <x:c r="C905" s="9" t="n">
        <x:f>A905/4</x:f>
        <x:v>225.5</x:v>
      </x:c>
      <x:c r="D905" s="8" t="n">
        <x:f>IF(MOD(A905,4)=0,1,0)</x:f>
        <x:v>0</x:v>
      </x:c>
      <x:c r="E905" s="8" t="n">
        <x:f>IF(AND(F904&lt;=9,AS904&gt;=AR904),1,0)</x:f>
        <x:v>0</x:v>
      </x:c>
      <x:c r="F905" s="8" t="n">
        <x:f>MIN(10,F904+E905)</x:f>
        <x:v>10</x:v>
      </x:c>
      <x:c r="G905" s="8" t="n">
        <x:f>MIN(F905,9)+1</x:f>
        <x:v>10</x:v>
      </x:c>
      <x:c r="H905" s="8" t="n">
        <x:f>IF(F905&lt;=9,1,0)</x:f>
        <x:v>0</x:v>
      </x:c>
      <x:c r="I905" s="9" t="n">
        <x:f>MIN(10,F904+IF(AR904&gt;0,MIN(1,AS904/AR904),1))</x:f>
        <x:v>10</x:v>
      </x:c>
      <x:c r="J905" s="32" t="n">
        <x:f>INDEX(tun_FoodCap,G905)*Arch_FoodCap*EXP(tun_CapsByProject*SUMPRODUCT((Cap_Point&lt;=I905)*(Cap_Kind="Food")*Cap_Ln))</x:f>
        <x:v>18627.260449441455</x:v>
      </x:c>
      <x:c r="K905" s="32" t="n">
        <x:f>J905*MIN(1,tun_LeanBase*EXP(tun_CapsByProject*SUMPRODUCT((Cap_Point&lt;=I905)*(Cap_Kind="Lean")*Cap_Ln)))</x:f>
        <x:v>18627.260449441455</x:v>
      </x:c>
      <x:c r="L905" s="10" t="n">
        <x:f>INDEX(tun_HousingCap,G905)*EXP(tun_CapsByProject*SUMPRODUCT((Cap_Point&lt;=I905)*(Cap_Kind="Housing")*Cap_Ln))</x:f>
        <x:v>20528.974303173167</x:v>
      </x:c>
      <x:c r="M905" s="10" t="n">
        <x:f>INDEX(tun_GroupCap,G905)*tun_CohesionFactor*EXP(tun_CapsByProject*SUMPRODUCT((Cap_Point&lt;=I905)*(Cap_Kind="Group")*Cap_Ln))</x:f>
        <x:v>1000000.000000001</x:v>
      </x:c>
      <x:c r="N905" s="32" t="n">
        <x:f>MIN(J905,L905,M905)</x:f>
        <x:v>18627.260449441455</x:v>
      </x:c>
      <x:c r="O905" s="10" t="n">
        <x:f>AE904*N905</x:f>
        <x:v>167645.34404497308</x:v>
      </x:c>
      <x:c r="P905" s="9" t="n">
        <x:f>MIN(1,(AB904/(AE904*IF(tun_GroupInCrowding=1,N905,MIN(J905,L905))))^tun_CrowdingExp)</x:f>
        <x:v>0.4215841981292809</x:v>
      </x:c>
      <x:c r="Q905" s="9" t="n">
        <x:f>IF(D905=1,INDEX(tun_WinterMult,G905),1)</x:f>
        <x:v>1</x:v>
      </x:c>
      <x:c r="R905" s="9" t="n">
        <x:f>H905*Z904*tun_WomenShare*tun_BaseFertility*INDEX(tun_FertMult,G905)*Arch_Fertility*(1-P905)</x:f>
        <x:v>0</x:v>
      </x:c>
      <x:c r="S905" s="9" t="n">
        <x:f>H905*Y904*INDEX(tun_MortChild,G905)/4*Q905</x:f>
        <x:v>0</x:v>
      </x:c>
      <x:c r="T905" s="9" t="n">
        <x:f>H905*Z904*INDEX(tun_MortAdult,G905)*Arch_AdultMort/4*Q905</x:f>
        <x:v>0</x:v>
      </x:c>
      <x:c r="U905" s="9" t="n">
        <x:f>H905*AA904*INDEX(tun_MortElder,G905)/4*Q905</x:f>
        <x:v>0</x:v>
      </x:c>
      <x:c r="V905" s="9" t="n">
        <x:f>H905*MAX(0,AB904-O905)*tun_OvercapLoss</x:f>
        <x:v>0</x:v>
      </x:c>
      <x:c r="W905" s="9" t="n">
        <x:f>H905*Y904/(tun_ChildYears*4)</x:f>
        <x:v>0</x:v>
      </x:c>
      <x:c r="X905" s="9" t="n">
        <x:f>H905*Z904/(tun_AdultYears*4)</x:f>
        <x:v>0</x:v>
      </x:c>
      <x:c r="Y905" s="32" t="n">
        <x:f>Y904+R905-S905-W905-Y904*V905/AB904</x:f>
        <x:v>40496.20709015643</x:v>
      </x:c>
      <x:c r="Z905" s="32" t="n">
        <x:f>Z904+W905-X905-T905-Z904*V905/AB904</x:f>
        <x:v>59141.61122890803</x:v>
      </x:c>
      <x:c r="AA905" s="32" t="n">
        <x:f>AA904+X905-U905-AA904*V905/AB904</x:f>
        <x:v>45530.62410925061</x:v>
      </x:c>
      <x:c r="AB905" s="10" t="n">
        <x:f>Y905+Z905+AA905</x:f>
        <x:v>145168.44242831506</x:v>
      </x:c>
      <x:c r="AC905" s="8" t="n">
        <x:f>IF(AND(tun_WinterTrigger=1,D905=1,AB904/AE904&gt;=K905),1,0)</x:f>
        <x:v>0</x:v>
      </x:c>
      <x:c r="AD905" s="8" t="n">
        <x:f>H905*IF(AND(OR(AB904/AE904&gt;=tun_FissionTrigger*N905,AC905=1),AB904/AE904*tun_DaughterShare&gt;=tun_MinDaughter),MAX(1,ROUND(AE904*tun_FissionRate,0)),0)</x:f>
        <x:v>0</x:v>
      </x:c>
      <x:c r="AE905" s="8" t="n">
        <x:f>IF(H905=1,MAX(1,MIN(INDEX(tun_Smax,G905),AE904+AD905)),AE904)</x:f>
        <x:v>9</x:v>
      </x:c>
      <x:c r="AF905" s="8" t="n">
        <x:f>MAX(0,AE905-AE904)</x:f>
        <x:v>0</x:v>
      </x:c>
      <x:c r="AG905" s="9" t="str">
        <x:f>IF(AF905&gt;0,B905,"")</x:f>
      </x:c>
      <x:c r="AH905" s="9" t="n">
        <x:f>IF(F905&gt;=1,1,(1+tun_LowTiesShare*(AE905-1))/AE905)</x:f>
        <x:v>1</x:v>
      </x:c>
      <x:c r="AI905" s="32" t="n">
        <x:f>(Z905+tun_ElderCommons*INDEX(LM_Elder,G905)*AA905)*AH905</x:f>
        <x:v>238215.0665857503</x:v>
      </x:c>
      <x:c r="AJ905" s="32" t="n">
        <x:f>H905*tun_CommonsCoef*AI905^tun_CommonsExp*INDEX(LM_Commons,G905)</x:f>
        <x:v>0</x:v>
      </x:c>
      <x:c r="AK905" s="32" t="n">
        <x:f>H905*tun_RoleScale*Arch_Roles*(AE905*(INDEX(tun_ElderRolePerSett,G905)*tun_OutElder*INDEX(LM_Elder,G905)+INDEX(tun_ShamanPerSett,G905)*tun_OutShaman)+Z905*(INDEX(tun_PriestShare,G905)*tun_OutPriest+INDEX(tun_ScribeShare,G905)*tun_OutScribe*INDEX(LM_Scribe,G905)+INDEX(tun_ScholarShare,G905)*tun_OutScholar*INDEX(LM_Scholar,G905)+INDEX(tun_ResearcherShare,G905)*tun_OutResearcher*INDEX(LM_Researcher,G905)))</x:f>
        <x:v>0</x:v>
      </x:c>
      <x:c r="AL905" s="32" t="n">
        <x:f>H905*tun_RoleScale*Arch_Roles*AE905*INDEX(tun_MonasteryPerSett,G905)*tun_OutMonastery*INDEX(LM_Monastery,G905)</x:f>
        <x:v>0</x:v>
      </x:c>
      <x:c r="AM905" s="32" t="n">
        <x:f>(AJ905+AK905+AL905)/4*INDEX(LM_All,G905)*INDEX(tun_Boon,G905)*Arch_Insight</x:f>
        <x:v>0</x:v>
      </x:c>
      <x:c r="AN905" s="32" t="n">
        <x:f>H905*(tun_KHPerAdult*Z905+tun_KHOfCommons*AJ905/4*INDEX(LM_All,G905))*tun_KHUsable*Arch_KH</x:f>
        <x:v>0</x:v>
      </x:c>
      <x:c r="AO905" s="32" t="n">
        <x:f>MIN(AP904+AN905,AM905*tun_KHMaxRatio)</x:f>
        <x:v>0</x:v>
      </x:c>
      <x:c r="AP905" s="32" t="n">
        <x:f>AP904+AN905-AO905</x:f>
        <x:v>0</x:v>
      </x:c>
      <x:c r="AQ905" s="32" t="n">
        <x:f>AM905+AO905</x:f>
        <x:v>0</x:v>
      </x:c>
      <x:c r="AR905" s="10" t="n">
        <x:f>IF(H905=1,INDEX(tun_Req,G905),0)</x:f>
        <x:v>0</x:v>
      </x:c>
      <x:c r="AS905" s="32" t="n">
        <x:f>IF(H905=1,IF(E905=1,AS904-AR904,AS904)+AQ905,0)</x:f>
        <x:v>0</x:v>
      </x:c>
      <x:c r="AT905" s="11" t="n">
        <x:f>IF(AR905&gt;0,MIN(1,AS905/AR905),1)</x:f>
        <x:v>1</x:v>
      </x:c>
      <x:c r="AU905" s="10" t="n">
        <x:f>AB905/INDEX(tun_RepScale,G905)</x:f>
        <x:v>290.3368848566301</x:v>
      </x:c>
      <x:c r="AV905" s="32" t="n">
        <x:f>AM905*60/tun_SeasonSeconds</x:f>
        <x:v>0</x:v>
      </x:c>
    </x:row>
    <x:row r="906">
      <x:c r="A906" s="8" t="n">
        <x:f>A905+1</x:f>
        <x:v>903</x:v>
      </x:c>
      <x:c r="B906" s="9" t="n">
        <x:f>A906*tun_SeasonSeconds/60</x:f>
        <x:v>225.75</x:v>
      </x:c>
      <x:c r="C906" s="9" t="n">
        <x:f>A906/4</x:f>
        <x:v>225.75</x:v>
      </x:c>
      <x:c r="D906" s="8" t="n">
        <x:f>IF(MOD(A906,4)=0,1,0)</x:f>
        <x:v>0</x:v>
      </x:c>
      <x:c r="E906" s="8" t="n">
        <x:f>IF(AND(F905&lt;=9,AS905&gt;=AR905),1,0)</x:f>
        <x:v>0</x:v>
      </x:c>
      <x:c r="F906" s="8" t="n">
        <x:f>MIN(10,F905+E906)</x:f>
        <x:v>10</x:v>
      </x:c>
      <x:c r="G906" s="8" t="n">
        <x:f>MIN(F906,9)+1</x:f>
        <x:v>10</x:v>
      </x:c>
      <x:c r="H906" s="8" t="n">
        <x:f>IF(F906&lt;=9,1,0)</x:f>
        <x:v>0</x:v>
      </x:c>
      <x:c r="I906" s="9" t="n">
        <x:f>MIN(10,F905+IF(AR905&gt;0,MIN(1,AS905/AR905),1))</x:f>
        <x:v>10</x:v>
      </x:c>
      <x:c r="J906" s="32" t="n">
        <x:f>INDEX(tun_FoodCap,G906)*Arch_FoodCap*EXP(tun_CapsByProject*SUMPRODUCT((Cap_Point&lt;=I906)*(Cap_Kind="Food")*Cap_Ln))</x:f>
        <x:v>18627.260449441455</x:v>
      </x:c>
      <x:c r="K906" s="32" t="n">
        <x:f>J906*MIN(1,tun_LeanBase*EXP(tun_CapsByProject*SUMPRODUCT((Cap_Point&lt;=I906)*(Cap_Kind="Lean")*Cap_Ln)))</x:f>
        <x:v>18627.260449441455</x:v>
      </x:c>
      <x:c r="L906" s="10" t="n">
        <x:f>INDEX(tun_HousingCap,G906)*EXP(tun_CapsByProject*SUMPRODUCT((Cap_Point&lt;=I906)*(Cap_Kind="Housing")*Cap_Ln))</x:f>
        <x:v>20528.974303173167</x:v>
      </x:c>
      <x:c r="M906" s="10" t="n">
        <x:f>INDEX(tun_GroupCap,G906)*tun_CohesionFactor*EXP(tun_CapsByProject*SUMPRODUCT((Cap_Point&lt;=I906)*(Cap_Kind="Group")*Cap_Ln))</x:f>
        <x:v>1000000.000000001</x:v>
      </x:c>
      <x:c r="N906" s="32" t="n">
        <x:f>MIN(J906,L906,M906)</x:f>
        <x:v>18627.260449441455</x:v>
      </x:c>
      <x:c r="O906" s="10" t="n">
        <x:f>AE905*N906</x:f>
        <x:v>167645.34404497308</x:v>
      </x:c>
      <x:c r="P906" s="9" t="n">
        <x:f>MIN(1,(AB905/(AE905*IF(tun_GroupInCrowding=1,N906,MIN(J906,L906))))^tun_CrowdingExp)</x:f>
        <x:v>0.4215841981292809</x:v>
      </x:c>
      <x:c r="Q906" s="9" t="n">
        <x:f>IF(D906=1,INDEX(tun_WinterMult,G906),1)</x:f>
        <x:v>1</x:v>
      </x:c>
      <x:c r="R906" s="9" t="n">
        <x:f>H906*Z905*tun_WomenShare*tun_BaseFertility*INDEX(tun_FertMult,G906)*Arch_Fertility*(1-P906)</x:f>
        <x:v>0</x:v>
      </x:c>
      <x:c r="S906" s="9" t="n">
        <x:f>H906*Y905*INDEX(tun_MortChild,G906)/4*Q906</x:f>
        <x:v>0</x:v>
      </x:c>
      <x:c r="T906" s="9" t="n">
        <x:f>H906*Z905*INDEX(tun_MortAdult,G906)*Arch_AdultMort/4*Q906</x:f>
        <x:v>0</x:v>
      </x:c>
      <x:c r="U906" s="9" t="n">
        <x:f>H906*AA905*INDEX(tun_MortElder,G906)/4*Q906</x:f>
        <x:v>0</x:v>
      </x:c>
      <x:c r="V906" s="9" t="n">
        <x:f>H906*MAX(0,AB905-O906)*tun_OvercapLoss</x:f>
        <x:v>0</x:v>
      </x:c>
      <x:c r="W906" s="9" t="n">
        <x:f>H906*Y905/(tun_ChildYears*4)</x:f>
        <x:v>0</x:v>
      </x:c>
      <x:c r="X906" s="9" t="n">
        <x:f>H906*Z905/(tun_AdultYears*4)</x:f>
        <x:v>0</x:v>
      </x:c>
      <x:c r="Y906" s="32" t="n">
        <x:f>Y905+R906-S906-W906-Y905*V906/AB905</x:f>
        <x:v>40496.20709015643</x:v>
      </x:c>
      <x:c r="Z906" s="32" t="n">
        <x:f>Z905+W906-X906-T906-Z905*V906/AB905</x:f>
        <x:v>59141.61122890803</x:v>
      </x:c>
      <x:c r="AA906" s="32" t="n">
        <x:f>AA905+X906-U906-AA905*V906/AB905</x:f>
        <x:v>45530.62410925061</x:v>
      </x:c>
      <x:c r="AB906" s="10" t="n">
        <x:f>Y906+Z906+AA906</x:f>
        <x:v>145168.44242831506</x:v>
      </x:c>
      <x:c r="AC906" s="8" t="n">
        <x:f>IF(AND(tun_WinterTrigger=1,D906=1,AB905/AE905&gt;=K906),1,0)</x:f>
        <x:v>0</x:v>
      </x:c>
      <x:c r="AD906" s="8" t="n">
        <x:f>H906*IF(AND(OR(AB905/AE905&gt;=tun_FissionTrigger*N906,AC906=1),AB905/AE905*tun_DaughterShare&gt;=tun_MinDaughter),MAX(1,ROUND(AE905*tun_FissionRate,0)),0)</x:f>
        <x:v>0</x:v>
      </x:c>
      <x:c r="AE906" s="8" t="n">
        <x:f>IF(H906=1,MAX(1,MIN(INDEX(tun_Smax,G906),AE905+AD906)),AE905)</x:f>
        <x:v>9</x:v>
      </x:c>
      <x:c r="AF906" s="8" t="n">
        <x:f>MAX(0,AE906-AE905)</x:f>
        <x:v>0</x:v>
      </x:c>
      <x:c r="AG906" s="9" t="str">
        <x:f>IF(AF906&gt;0,B906,"")</x:f>
      </x:c>
      <x:c r="AH906" s="9" t="n">
        <x:f>IF(F906&gt;=1,1,(1+tun_LowTiesShare*(AE906-1))/AE906)</x:f>
        <x:v>1</x:v>
      </x:c>
      <x:c r="AI906" s="32" t="n">
        <x:f>(Z906+tun_ElderCommons*INDEX(LM_Elder,G906)*AA906)*AH906</x:f>
        <x:v>238215.0665857503</x:v>
      </x:c>
      <x:c r="AJ906" s="32" t="n">
        <x:f>H906*tun_CommonsCoef*AI906^tun_CommonsExp*INDEX(LM_Commons,G906)</x:f>
        <x:v>0</x:v>
      </x:c>
      <x:c r="AK906" s="32" t="n">
        <x:f>H906*tun_RoleScale*Arch_Roles*(AE906*(INDEX(tun_ElderRolePerSett,G906)*tun_OutElder*INDEX(LM_Elder,G906)+INDEX(tun_ShamanPerSett,G906)*tun_OutShaman)+Z906*(INDEX(tun_PriestShare,G906)*tun_OutPriest+INDEX(tun_ScribeShare,G906)*tun_OutScribe*INDEX(LM_Scribe,G906)+INDEX(tun_ScholarShare,G906)*tun_OutScholar*INDEX(LM_Scholar,G906)+INDEX(tun_ResearcherShare,G906)*tun_OutResearcher*INDEX(LM_Researcher,G906)))</x:f>
        <x:v>0</x:v>
      </x:c>
      <x:c r="AL906" s="32" t="n">
        <x:f>H906*tun_RoleScale*Arch_Roles*AE906*INDEX(tun_MonasteryPerSett,G906)*tun_OutMonastery*INDEX(LM_Monastery,G906)</x:f>
        <x:v>0</x:v>
      </x:c>
      <x:c r="AM906" s="32" t="n">
        <x:f>(AJ906+AK906+AL906)/4*INDEX(LM_All,G906)*INDEX(tun_Boon,G906)*Arch_Insight</x:f>
        <x:v>0</x:v>
      </x:c>
      <x:c r="AN906" s="32" t="n">
        <x:f>H906*(tun_KHPerAdult*Z906+tun_KHOfCommons*AJ906/4*INDEX(LM_All,G906))*tun_KHUsable*Arch_KH</x:f>
        <x:v>0</x:v>
      </x:c>
      <x:c r="AO906" s="32" t="n">
        <x:f>MIN(AP905+AN906,AM906*tun_KHMaxRatio)</x:f>
        <x:v>0</x:v>
      </x:c>
      <x:c r="AP906" s="32" t="n">
        <x:f>AP905+AN906-AO906</x:f>
        <x:v>0</x:v>
      </x:c>
      <x:c r="AQ906" s="32" t="n">
        <x:f>AM906+AO906</x:f>
        <x:v>0</x:v>
      </x:c>
      <x:c r="AR906" s="10" t="n">
        <x:f>IF(H906=1,INDEX(tun_Req,G906),0)</x:f>
        <x:v>0</x:v>
      </x:c>
      <x:c r="AS906" s="32" t="n">
        <x:f>IF(H906=1,IF(E906=1,AS905-AR905,AS905)+AQ906,0)</x:f>
        <x:v>0</x:v>
      </x:c>
      <x:c r="AT906" s="11" t="n">
        <x:f>IF(AR906&gt;0,MIN(1,AS906/AR906),1)</x:f>
        <x:v>1</x:v>
      </x:c>
      <x:c r="AU906" s="10" t="n">
        <x:f>AB906/INDEX(tun_RepScale,G906)</x:f>
        <x:v>290.3368848566301</x:v>
      </x:c>
      <x:c r="AV906" s="32" t="n">
        <x:f>AM906*60/tun_SeasonSeconds</x:f>
        <x:v>0</x:v>
      </x:c>
    </x:row>
    <x:row r="907">
      <x:c r="A907" s="8" t="n">
        <x:f>A906+1</x:f>
        <x:v>904</x:v>
      </x:c>
      <x:c r="B907" s="9" t="n">
        <x:f>A907*tun_SeasonSeconds/60</x:f>
        <x:v>226</x:v>
      </x:c>
      <x:c r="C907" s="9" t="n">
        <x:f>A907/4</x:f>
        <x:v>226</x:v>
      </x:c>
      <x:c r="D907" s="8" t="n">
        <x:f>IF(MOD(A907,4)=0,1,0)</x:f>
        <x:v>1</x:v>
      </x:c>
      <x:c r="E907" s="8" t="n">
        <x:f>IF(AND(F906&lt;=9,AS906&gt;=AR906),1,0)</x:f>
        <x:v>0</x:v>
      </x:c>
      <x:c r="F907" s="8" t="n">
        <x:f>MIN(10,F906+E907)</x:f>
        <x:v>10</x:v>
      </x:c>
      <x:c r="G907" s="8" t="n">
        <x:f>MIN(F907,9)+1</x:f>
        <x:v>10</x:v>
      </x:c>
      <x:c r="H907" s="8" t="n">
        <x:f>IF(F907&lt;=9,1,0)</x:f>
        <x:v>0</x:v>
      </x:c>
      <x:c r="I907" s="9" t="n">
        <x:f>MIN(10,F906+IF(AR906&gt;0,MIN(1,AS906/AR906),1))</x:f>
        <x:v>10</x:v>
      </x:c>
      <x:c r="J907" s="32" t="n">
        <x:f>INDEX(tun_FoodCap,G907)*Arch_FoodCap*EXP(tun_CapsByProject*SUMPRODUCT((Cap_Point&lt;=I907)*(Cap_Kind="Food")*Cap_Ln))</x:f>
        <x:v>18627.260449441455</x:v>
      </x:c>
      <x:c r="K907" s="32" t="n">
        <x:f>J907*MIN(1,tun_LeanBase*EXP(tun_CapsByProject*SUMPRODUCT((Cap_Point&lt;=I907)*(Cap_Kind="Lean")*Cap_Ln)))</x:f>
        <x:v>18627.260449441455</x:v>
      </x:c>
      <x:c r="L907" s="10" t="n">
        <x:f>INDEX(tun_HousingCap,G907)*EXP(tun_CapsByProject*SUMPRODUCT((Cap_Point&lt;=I907)*(Cap_Kind="Housing")*Cap_Ln))</x:f>
        <x:v>20528.974303173167</x:v>
      </x:c>
      <x:c r="M907" s="10" t="n">
        <x:f>INDEX(tun_GroupCap,G907)*tun_CohesionFactor*EXP(tun_CapsByProject*SUMPRODUCT((Cap_Point&lt;=I907)*(Cap_Kind="Group")*Cap_Ln))</x:f>
        <x:v>1000000.000000001</x:v>
      </x:c>
      <x:c r="N907" s="32" t="n">
        <x:f>MIN(J907,L907,M907)</x:f>
        <x:v>18627.260449441455</x:v>
      </x:c>
      <x:c r="O907" s="10" t="n">
        <x:f>AE906*N907</x:f>
        <x:v>167645.34404497308</x:v>
      </x:c>
      <x:c r="P907" s="9" t="n">
        <x:f>MIN(1,(AB906/(AE906*IF(tun_GroupInCrowding=1,N907,MIN(J907,L907))))^tun_CrowdingExp)</x:f>
        <x:v>0.4215841981292809</x:v>
      </x:c>
      <x:c r="Q907" s="9" t="n">
        <x:f>IF(D907=1,INDEX(tun_WinterMult,G907),1)</x:f>
        <x:v>1.05</x:v>
      </x:c>
      <x:c r="R907" s="9" t="n">
        <x:f>H907*Z906*tun_WomenShare*tun_BaseFertility*INDEX(tun_FertMult,G907)*Arch_Fertility*(1-P907)</x:f>
        <x:v>0</x:v>
      </x:c>
      <x:c r="S907" s="9" t="n">
        <x:f>H907*Y906*INDEX(tun_MortChild,G907)/4*Q907</x:f>
        <x:v>0</x:v>
      </x:c>
      <x:c r="T907" s="9" t="n">
        <x:f>H907*Z906*INDEX(tun_MortAdult,G907)*Arch_AdultMort/4*Q907</x:f>
        <x:v>0</x:v>
      </x:c>
      <x:c r="U907" s="9" t="n">
        <x:f>H907*AA906*INDEX(tun_MortElder,G907)/4*Q907</x:f>
        <x:v>0</x:v>
      </x:c>
      <x:c r="V907" s="9" t="n">
        <x:f>H907*MAX(0,AB906-O907)*tun_OvercapLoss</x:f>
        <x:v>0</x:v>
      </x:c>
      <x:c r="W907" s="9" t="n">
        <x:f>H907*Y906/(tun_ChildYears*4)</x:f>
        <x:v>0</x:v>
      </x:c>
      <x:c r="X907" s="9" t="n">
        <x:f>H907*Z906/(tun_AdultYears*4)</x:f>
        <x:v>0</x:v>
      </x:c>
      <x:c r="Y907" s="32" t="n">
        <x:f>Y906+R907-S907-W907-Y906*V907/AB906</x:f>
        <x:v>40496.20709015643</x:v>
      </x:c>
      <x:c r="Z907" s="32" t="n">
        <x:f>Z906+W907-X907-T907-Z906*V907/AB906</x:f>
        <x:v>59141.61122890803</x:v>
      </x:c>
      <x:c r="AA907" s="32" t="n">
        <x:f>AA906+X907-U907-AA906*V907/AB906</x:f>
        <x:v>45530.62410925061</x:v>
      </x:c>
      <x:c r="AB907" s="10" t="n">
        <x:f>Y907+Z907+AA907</x:f>
        <x:v>145168.44242831506</x:v>
      </x:c>
      <x:c r="AC907" s="8" t="n">
        <x:f>IF(AND(tun_WinterTrigger=1,D907=1,AB906/AE906&gt;=K907),1,0)</x:f>
        <x:v>0</x:v>
      </x:c>
      <x:c r="AD907" s="8" t="n">
        <x:f>H907*IF(AND(OR(AB906/AE906&gt;=tun_FissionTrigger*N907,AC907=1),AB906/AE906*tun_DaughterShare&gt;=tun_MinDaughter),MAX(1,ROUND(AE906*tun_FissionRate,0)),0)</x:f>
        <x:v>0</x:v>
      </x:c>
      <x:c r="AE907" s="8" t="n">
        <x:f>IF(H907=1,MAX(1,MIN(INDEX(tun_Smax,G907),AE906+AD907)),AE906)</x:f>
        <x:v>9</x:v>
      </x:c>
      <x:c r="AF907" s="8" t="n">
        <x:f>MAX(0,AE907-AE906)</x:f>
        <x:v>0</x:v>
      </x:c>
      <x:c r="AG907" s="9" t="str">
        <x:f>IF(AF907&gt;0,B907,"")</x:f>
      </x:c>
      <x:c r="AH907" s="9" t="n">
        <x:f>IF(F907&gt;=1,1,(1+tun_LowTiesShare*(AE907-1))/AE907)</x:f>
        <x:v>1</x:v>
      </x:c>
      <x:c r="AI907" s="32" t="n">
        <x:f>(Z907+tun_ElderCommons*INDEX(LM_Elder,G907)*AA907)*AH907</x:f>
        <x:v>238215.0665857503</x:v>
      </x:c>
      <x:c r="AJ907" s="32" t="n">
        <x:f>H907*tun_CommonsCoef*AI907^tun_CommonsExp*INDEX(LM_Commons,G907)</x:f>
        <x:v>0</x:v>
      </x:c>
      <x:c r="AK907" s="32" t="n">
        <x:f>H907*tun_RoleScale*Arch_Roles*(AE907*(INDEX(tun_ElderRolePerSett,G907)*tun_OutElder*INDEX(LM_Elder,G907)+INDEX(tun_ShamanPerSett,G907)*tun_OutShaman)+Z907*(INDEX(tun_PriestShare,G907)*tun_OutPriest+INDEX(tun_ScribeShare,G907)*tun_OutScribe*INDEX(LM_Scribe,G907)+INDEX(tun_ScholarShare,G907)*tun_OutScholar*INDEX(LM_Scholar,G907)+INDEX(tun_ResearcherShare,G907)*tun_OutResearcher*INDEX(LM_Researcher,G907)))</x:f>
        <x:v>0</x:v>
      </x:c>
      <x:c r="AL907" s="32" t="n">
        <x:f>H907*tun_RoleScale*Arch_Roles*AE907*INDEX(tun_MonasteryPerSett,G907)*tun_OutMonastery*INDEX(LM_Monastery,G907)</x:f>
        <x:v>0</x:v>
      </x:c>
      <x:c r="AM907" s="32" t="n">
        <x:f>(AJ907+AK907+AL907)/4*INDEX(LM_All,G907)*INDEX(tun_Boon,G907)*Arch_Insight</x:f>
        <x:v>0</x:v>
      </x:c>
      <x:c r="AN907" s="32" t="n">
        <x:f>H907*(tun_KHPerAdult*Z907+tun_KHOfCommons*AJ907/4*INDEX(LM_All,G907))*tun_KHUsable*Arch_KH</x:f>
        <x:v>0</x:v>
      </x:c>
      <x:c r="AO907" s="32" t="n">
        <x:f>MIN(AP906+AN907,AM907*tun_KHMaxRatio)</x:f>
        <x:v>0</x:v>
      </x:c>
      <x:c r="AP907" s="32" t="n">
        <x:f>AP906+AN907-AO907</x:f>
        <x:v>0</x:v>
      </x:c>
      <x:c r="AQ907" s="32" t="n">
        <x:f>AM907+AO907</x:f>
        <x:v>0</x:v>
      </x:c>
      <x:c r="AR907" s="10" t="n">
        <x:f>IF(H907=1,INDEX(tun_Req,G907),0)</x:f>
        <x:v>0</x:v>
      </x:c>
      <x:c r="AS907" s="32" t="n">
        <x:f>IF(H907=1,IF(E907=1,AS906-AR906,AS906)+AQ907,0)</x:f>
        <x:v>0</x:v>
      </x:c>
      <x:c r="AT907" s="11" t="n">
        <x:f>IF(AR907&gt;0,MIN(1,AS907/AR907),1)</x:f>
        <x:v>1</x:v>
      </x:c>
      <x:c r="AU907" s="10" t="n">
        <x:f>AB907/INDEX(tun_RepScale,G907)</x:f>
        <x:v>290.3368848566301</x:v>
      </x:c>
      <x:c r="AV907" s="32" t="n">
        <x:f>AM907*60/tun_SeasonSeconds</x:f>
        <x:v>0</x:v>
      </x:c>
    </x:row>
    <x:row r="908">
      <x:c r="A908" s="8" t="n">
        <x:f>A907+1</x:f>
        <x:v>905</x:v>
      </x:c>
      <x:c r="B908" s="9" t="n">
        <x:f>A908*tun_SeasonSeconds/60</x:f>
        <x:v>226.25</x:v>
      </x:c>
      <x:c r="C908" s="9" t="n">
        <x:f>A908/4</x:f>
        <x:v>226.25</x:v>
      </x:c>
      <x:c r="D908" s="8" t="n">
        <x:f>IF(MOD(A908,4)=0,1,0)</x:f>
        <x:v>0</x:v>
      </x:c>
      <x:c r="E908" s="8" t="n">
        <x:f>IF(AND(F907&lt;=9,AS907&gt;=AR907),1,0)</x:f>
        <x:v>0</x:v>
      </x:c>
      <x:c r="F908" s="8" t="n">
        <x:f>MIN(10,F907+E908)</x:f>
        <x:v>10</x:v>
      </x:c>
      <x:c r="G908" s="8" t="n">
        <x:f>MIN(F908,9)+1</x:f>
        <x:v>10</x:v>
      </x:c>
      <x:c r="H908" s="8" t="n">
        <x:f>IF(F908&lt;=9,1,0)</x:f>
        <x:v>0</x:v>
      </x:c>
      <x:c r="I908" s="9" t="n">
        <x:f>MIN(10,F907+IF(AR907&gt;0,MIN(1,AS907/AR907),1))</x:f>
        <x:v>10</x:v>
      </x:c>
      <x:c r="J908" s="32" t="n">
        <x:f>INDEX(tun_FoodCap,G908)*Arch_FoodCap*EXP(tun_CapsByProject*SUMPRODUCT((Cap_Point&lt;=I908)*(Cap_Kind="Food")*Cap_Ln))</x:f>
        <x:v>18627.260449441455</x:v>
      </x:c>
      <x:c r="K908" s="32" t="n">
        <x:f>J908*MIN(1,tun_LeanBase*EXP(tun_CapsByProject*SUMPRODUCT((Cap_Point&lt;=I908)*(Cap_Kind="Lean")*Cap_Ln)))</x:f>
        <x:v>18627.260449441455</x:v>
      </x:c>
      <x:c r="L908" s="10" t="n">
        <x:f>INDEX(tun_HousingCap,G908)*EXP(tun_CapsByProject*SUMPRODUCT((Cap_Point&lt;=I908)*(Cap_Kind="Housing")*Cap_Ln))</x:f>
        <x:v>20528.974303173167</x:v>
      </x:c>
      <x:c r="M908" s="10" t="n">
        <x:f>INDEX(tun_GroupCap,G908)*tun_CohesionFactor*EXP(tun_CapsByProject*SUMPRODUCT((Cap_Point&lt;=I908)*(Cap_Kind="Group")*Cap_Ln))</x:f>
        <x:v>1000000.000000001</x:v>
      </x:c>
      <x:c r="N908" s="32" t="n">
        <x:f>MIN(J908,L908,M908)</x:f>
        <x:v>18627.260449441455</x:v>
      </x:c>
      <x:c r="O908" s="10" t="n">
        <x:f>AE907*N908</x:f>
        <x:v>167645.34404497308</x:v>
      </x:c>
      <x:c r="P908" s="9" t="n">
        <x:f>MIN(1,(AB907/(AE907*IF(tun_GroupInCrowding=1,N908,MIN(J908,L908))))^tun_CrowdingExp)</x:f>
        <x:v>0.4215841981292809</x:v>
      </x:c>
      <x:c r="Q908" s="9" t="n">
        <x:f>IF(D908=1,INDEX(tun_WinterMult,G908),1)</x:f>
        <x:v>1</x:v>
      </x:c>
      <x:c r="R908" s="9" t="n">
        <x:f>H908*Z907*tun_WomenShare*tun_BaseFertility*INDEX(tun_FertMult,G908)*Arch_Fertility*(1-P908)</x:f>
        <x:v>0</x:v>
      </x:c>
      <x:c r="S908" s="9" t="n">
        <x:f>H908*Y907*INDEX(tun_MortChild,G908)/4*Q908</x:f>
        <x:v>0</x:v>
      </x:c>
      <x:c r="T908" s="9" t="n">
        <x:f>H908*Z907*INDEX(tun_MortAdult,G908)*Arch_AdultMort/4*Q908</x:f>
        <x:v>0</x:v>
      </x:c>
      <x:c r="U908" s="9" t="n">
        <x:f>H908*AA907*INDEX(tun_MortElder,G908)/4*Q908</x:f>
        <x:v>0</x:v>
      </x:c>
      <x:c r="V908" s="9" t="n">
        <x:f>H908*MAX(0,AB907-O908)*tun_OvercapLoss</x:f>
        <x:v>0</x:v>
      </x:c>
      <x:c r="W908" s="9" t="n">
        <x:f>H908*Y907/(tun_ChildYears*4)</x:f>
        <x:v>0</x:v>
      </x:c>
      <x:c r="X908" s="9" t="n">
        <x:f>H908*Z907/(tun_AdultYears*4)</x:f>
        <x:v>0</x:v>
      </x:c>
      <x:c r="Y908" s="32" t="n">
        <x:f>Y907+R908-S908-W908-Y907*V908/AB907</x:f>
        <x:v>40496.20709015643</x:v>
      </x:c>
      <x:c r="Z908" s="32" t="n">
        <x:f>Z907+W908-X908-T908-Z907*V908/AB907</x:f>
        <x:v>59141.61122890803</x:v>
      </x:c>
      <x:c r="AA908" s="32" t="n">
        <x:f>AA907+X908-U908-AA907*V908/AB907</x:f>
        <x:v>45530.62410925061</x:v>
      </x:c>
      <x:c r="AB908" s="10" t="n">
        <x:f>Y908+Z908+AA908</x:f>
        <x:v>145168.44242831506</x:v>
      </x:c>
      <x:c r="AC908" s="8" t="n">
        <x:f>IF(AND(tun_WinterTrigger=1,D908=1,AB907/AE907&gt;=K908),1,0)</x:f>
        <x:v>0</x:v>
      </x:c>
      <x:c r="AD908" s="8" t="n">
        <x:f>H908*IF(AND(OR(AB907/AE907&gt;=tun_FissionTrigger*N908,AC908=1),AB907/AE907*tun_DaughterShare&gt;=tun_MinDaughter),MAX(1,ROUND(AE907*tun_FissionRate,0)),0)</x:f>
        <x:v>0</x:v>
      </x:c>
      <x:c r="AE908" s="8" t="n">
        <x:f>IF(H908=1,MAX(1,MIN(INDEX(tun_Smax,G908),AE907+AD908)),AE907)</x:f>
        <x:v>9</x:v>
      </x:c>
      <x:c r="AF908" s="8" t="n">
        <x:f>MAX(0,AE908-AE907)</x:f>
        <x:v>0</x:v>
      </x:c>
      <x:c r="AG908" s="9" t="str">
        <x:f>IF(AF908&gt;0,B908,"")</x:f>
      </x:c>
      <x:c r="AH908" s="9" t="n">
        <x:f>IF(F908&gt;=1,1,(1+tun_LowTiesShare*(AE908-1))/AE908)</x:f>
        <x:v>1</x:v>
      </x:c>
      <x:c r="AI908" s="32" t="n">
        <x:f>(Z908+tun_ElderCommons*INDEX(LM_Elder,G908)*AA908)*AH908</x:f>
        <x:v>238215.0665857503</x:v>
      </x:c>
      <x:c r="AJ908" s="32" t="n">
        <x:f>H908*tun_CommonsCoef*AI908^tun_CommonsExp*INDEX(LM_Commons,G908)</x:f>
        <x:v>0</x:v>
      </x:c>
      <x:c r="AK908" s="32" t="n">
        <x:f>H908*tun_RoleScale*Arch_Roles*(AE908*(INDEX(tun_ElderRolePerSett,G908)*tun_OutElder*INDEX(LM_Elder,G908)+INDEX(tun_ShamanPerSett,G908)*tun_OutShaman)+Z908*(INDEX(tun_PriestShare,G908)*tun_OutPriest+INDEX(tun_ScribeShare,G908)*tun_OutScribe*INDEX(LM_Scribe,G908)+INDEX(tun_ScholarShare,G908)*tun_OutScholar*INDEX(LM_Scholar,G908)+INDEX(tun_ResearcherShare,G908)*tun_OutResearcher*INDEX(LM_Researcher,G908)))</x:f>
        <x:v>0</x:v>
      </x:c>
      <x:c r="AL908" s="32" t="n">
        <x:f>H908*tun_RoleScale*Arch_Roles*AE908*INDEX(tun_MonasteryPerSett,G908)*tun_OutMonastery*INDEX(LM_Monastery,G908)</x:f>
        <x:v>0</x:v>
      </x:c>
      <x:c r="AM908" s="32" t="n">
        <x:f>(AJ908+AK908+AL908)/4*INDEX(LM_All,G908)*INDEX(tun_Boon,G908)*Arch_Insight</x:f>
        <x:v>0</x:v>
      </x:c>
      <x:c r="AN908" s="32" t="n">
        <x:f>H908*(tun_KHPerAdult*Z908+tun_KHOfCommons*AJ908/4*INDEX(LM_All,G908))*tun_KHUsable*Arch_KH</x:f>
        <x:v>0</x:v>
      </x:c>
      <x:c r="AO908" s="32" t="n">
        <x:f>MIN(AP907+AN908,AM908*tun_KHMaxRatio)</x:f>
        <x:v>0</x:v>
      </x:c>
      <x:c r="AP908" s="32" t="n">
        <x:f>AP907+AN908-AO908</x:f>
        <x:v>0</x:v>
      </x:c>
      <x:c r="AQ908" s="32" t="n">
        <x:f>AM908+AO908</x:f>
        <x:v>0</x:v>
      </x:c>
      <x:c r="AR908" s="10" t="n">
        <x:f>IF(H908=1,INDEX(tun_Req,G908),0)</x:f>
        <x:v>0</x:v>
      </x:c>
      <x:c r="AS908" s="32" t="n">
        <x:f>IF(H908=1,IF(E908=1,AS907-AR907,AS907)+AQ908,0)</x:f>
        <x:v>0</x:v>
      </x:c>
      <x:c r="AT908" s="11" t="n">
        <x:f>IF(AR908&gt;0,MIN(1,AS908/AR908),1)</x:f>
        <x:v>1</x:v>
      </x:c>
      <x:c r="AU908" s="10" t="n">
        <x:f>AB908/INDEX(tun_RepScale,G908)</x:f>
        <x:v>290.3368848566301</x:v>
      </x:c>
      <x:c r="AV908" s="32" t="n">
        <x:f>AM908*60/tun_SeasonSeconds</x:f>
        <x:v>0</x:v>
      </x:c>
    </x:row>
    <x:row r="909">
      <x:c r="A909" s="8" t="n">
        <x:f>A908+1</x:f>
        <x:v>906</x:v>
      </x:c>
      <x:c r="B909" s="9" t="n">
        <x:f>A909*tun_SeasonSeconds/60</x:f>
        <x:v>226.5</x:v>
      </x:c>
      <x:c r="C909" s="9" t="n">
        <x:f>A909/4</x:f>
        <x:v>226.5</x:v>
      </x:c>
      <x:c r="D909" s="8" t="n">
        <x:f>IF(MOD(A909,4)=0,1,0)</x:f>
        <x:v>0</x:v>
      </x:c>
      <x:c r="E909" s="8" t="n">
        <x:f>IF(AND(F908&lt;=9,AS908&gt;=AR908),1,0)</x:f>
        <x:v>0</x:v>
      </x:c>
      <x:c r="F909" s="8" t="n">
        <x:f>MIN(10,F908+E909)</x:f>
        <x:v>10</x:v>
      </x:c>
      <x:c r="G909" s="8" t="n">
        <x:f>MIN(F909,9)+1</x:f>
        <x:v>10</x:v>
      </x:c>
      <x:c r="H909" s="8" t="n">
        <x:f>IF(F909&lt;=9,1,0)</x:f>
        <x:v>0</x:v>
      </x:c>
      <x:c r="I909" s="9" t="n">
        <x:f>MIN(10,F908+IF(AR908&gt;0,MIN(1,AS908/AR908),1))</x:f>
        <x:v>10</x:v>
      </x:c>
      <x:c r="J909" s="32" t="n">
        <x:f>INDEX(tun_FoodCap,G909)*Arch_FoodCap*EXP(tun_CapsByProject*SUMPRODUCT((Cap_Point&lt;=I909)*(Cap_Kind="Food")*Cap_Ln))</x:f>
        <x:v>18627.260449441455</x:v>
      </x:c>
      <x:c r="K909" s="32" t="n">
        <x:f>J909*MIN(1,tun_LeanBase*EXP(tun_CapsByProject*SUMPRODUCT((Cap_Point&lt;=I909)*(Cap_Kind="Lean")*Cap_Ln)))</x:f>
        <x:v>18627.260449441455</x:v>
      </x:c>
      <x:c r="L909" s="10" t="n">
        <x:f>INDEX(tun_HousingCap,G909)*EXP(tun_CapsByProject*SUMPRODUCT((Cap_Point&lt;=I909)*(Cap_Kind="Housing")*Cap_Ln))</x:f>
        <x:v>20528.974303173167</x:v>
      </x:c>
      <x:c r="M909" s="10" t="n">
        <x:f>INDEX(tun_GroupCap,G909)*tun_CohesionFactor*EXP(tun_CapsByProject*SUMPRODUCT((Cap_Point&lt;=I909)*(Cap_Kind="Group")*Cap_Ln))</x:f>
        <x:v>1000000.000000001</x:v>
      </x:c>
      <x:c r="N909" s="32" t="n">
        <x:f>MIN(J909,L909,M909)</x:f>
        <x:v>18627.260449441455</x:v>
      </x:c>
      <x:c r="O909" s="10" t="n">
        <x:f>AE908*N909</x:f>
        <x:v>167645.34404497308</x:v>
      </x:c>
      <x:c r="P909" s="9" t="n">
        <x:f>MIN(1,(AB908/(AE908*IF(tun_GroupInCrowding=1,N909,MIN(J909,L909))))^tun_CrowdingExp)</x:f>
        <x:v>0.4215841981292809</x:v>
      </x:c>
      <x:c r="Q909" s="9" t="n">
        <x:f>IF(D909=1,INDEX(tun_WinterMult,G909),1)</x:f>
        <x:v>1</x:v>
      </x:c>
      <x:c r="R909" s="9" t="n">
        <x:f>H909*Z908*tun_WomenShare*tun_BaseFertility*INDEX(tun_FertMult,G909)*Arch_Fertility*(1-P909)</x:f>
        <x:v>0</x:v>
      </x:c>
      <x:c r="S909" s="9" t="n">
        <x:f>H909*Y908*INDEX(tun_MortChild,G909)/4*Q909</x:f>
        <x:v>0</x:v>
      </x:c>
      <x:c r="T909" s="9" t="n">
        <x:f>H909*Z908*INDEX(tun_MortAdult,G909)*Arch_AdultMort/4*Q909</x:f>
        <x:v>0</x:v>
      </x:c>
      <x:c r="U909" s="9" t="n">
        <x:f>H909*AA908*INDEX(tun_MortElder,G909)/4*Q909</x:f>
        <x:v>0</x:v>
      </x:c>
      <x:c r="V909" s="9" t="n">
        <x:f>H909*MAX(0,AB908-O909)*tun_OvercapLoss</x:f>
        <x:v>0</x:v>
      </x:c>
      <x:c r="W909" s="9" t="n">
        <x:f>H909*Y908/(tun_ChildYears*4)</x:f>
        <x:v>0</x:v>
      </x:c>
      <x:c r="X909" s="9" t="n">
        <x:f>H909*Z908/(tun_AdultYears*4)</x:f>
        <x:v>0</x:v>
      </x:c>
      <x:c r="Y909" s="32" t="n">
        <x:f>Y908+R909-S909-W909-Y908*V909/AB908</x:f>
        <x:v>40496.20709015643</x:v>
      </x:c>
      <x:c r="Z909" s="32" t="n">
        <x:f>Z908+W909-X909-T909-Z908*V909/AB908</x:f>
        <x:v>59141.61122890803</x:v>
      </x:c>
      <x:c r="AA909" s="32" t="n">
        <x:f>AA908+X909-U909-AA908*V909/AB908</x:f>
        <x:v>45530.62410925061</x:v>
      </x:c>
      <x:c r="AB909" s="10" t="n">
        <x:f>Y909+Z909+AA909</x:f>
        <x:v>145168.44242831506</x:v>
      </x:c>
      <x:c r="AC909" s="8" t="n">
        <x:f>IF(AND(tun_WinterTrigger=1,D909=1,AB908/AE908&gt;=K909),1,0)</x:f>
        <x:v>0</x:v>
      </x:c>
      <x:c r="AD909" s="8" t="n">
        <x:f>H909*IF(AND(OR(AB908/AE908&gt;=tun_FissionTrigger*N909,AC909=1),AB908/AE908*tun_DaughterShare&gt;=tun_MinDaughter),MAX(1,ROUND(AE908*tun_FissionRate,0)),0)</x:f>
        <x:v>0</x:v>
      </x:c>
      <x:c r="AE909" s="8" t="n">
        <x:f>IF(H909=1,MAX(1,MIN(INDEX(tun_Smax,G909),AE908+AD909)),AE908)</x:f>
        <x:v>9</x:v>
      </x:c>
      <x:c r="AF909" s="8" t="n">
        <x:f>MAX(0,AE909-AE908)</x:f>
        <x:v>0</x:v>
      </x:c>
      <x:c r="AG909" s="9" t="str">
        <x:f>IF(AF909&gt;0,B909,"")</x:f>
      </x:c>
      <x:c r="AH909" s="9" t="n">
        <x:f>IF(F909&gt;=1,1,(1+tun_LowTiesShare*(AE909-1))/AE909)</x:f>
        <x:v>1</x:v>
      </x:c>
      <x:c r="AI909" s="32" t="n">
        <x:f>(Z909+tun_ElderCommons*INDEX(LM_Elder,G909)*AA909)*AH909</x:f>
        <x:v>238215.0665857503</x:v>
      </x:c>
      <x:c r="AJ909" s="32" t="n">
        <x:f>H909*tun_CommonsCoef*AI909^tun_CommonsExp*INDEX(LM_Commons,G909)</x:f>
        <x:v>0</x:v>
      </x:c>
      <x:c r="AK909" s="32" t="n">
        <x:f>H909*tun_RoleScale*Arch_Roles*(AE909*(INDEX(tun_ElderRolePerSett,G909)*tun_OutElder*INDEX(LM_Elder,G909)+INDEX(tun_ShamanPerSett,G909)*tun_OutShaman)+Z909*(INDEX(tun_PriestShare,G909)*tun_OutPriest+INDEX(tun_ScribeShare,G909)*tun_OutScribe*INDEX(LM_Scribe,G909)+INDEX(tun_ScholarShare,G909)*tun_OutScholar*INDEX(LM_Scholar,G909)+INDEX(tun_ResearcherShare,G909)*tun_OutResearcher*INDEX(LM_Researcher,G909)))</x:f>
        <x:v>0</x:v>
      </x:c>
      <x:c r="AL909" s="32" t="n">
        <x:f>H909*tun_RoleScale*Arch_Roles*AE909*INDEX(tun_MonasteryPerSett,G909)*tun_OutMonastery*INDEX(LM_Monastery,G909)</x:f>
        <x:v>0</x:v>
      </x:c>
      <x:c r="AM909" s="32" t="n">
        <x:f>(AJ909+AK909+AL909)/4*INDEX(LM_All,G909)*INDEX(tun_Boon,G909)*Arch_Insight</x:f>
        <x:v>0</x:v>
      </x:c>
      <x:c r="AN909" s="32" t="n">
        <x:f>H909*(tun_KHPerAdult*Z909+tun_KHOfCommons*AJ909/4*INDEX(LM_All,G909))*tun_KHUsable*Arch_KH</x:f>
        <x:v>0</x:v>
      </x:c>
      <x:c r="AO909" s="32" t="n">
        <x:f>MIN(AP908+AN909,AM909*tun_KHMaxRatio)</x:f>
        <x:v>0</x:v>
      </x:c>
      <x:c r="AP909" s="32" t="n">
        <x:f>AP908+AN909-AO909</x:f>
        <x:v>0</x:v>
      </x:c>
      <x:c r="AQ909" s="32" t="n">
        <x:f>AM909+AO909</x:f>
        <x:v>0</x:v>
      </x:c>
      <x:c r="AR909" s="10" t="n">
        <x:f>IF(H909=1,INDEX(tun_Req,G909),0)</x:f>
        <x:v>0</x:v>
      </x:c>
      <x:c r="AS909" s="32" t="n">
        <x:f>IF(H909=1,IF(E909=1,AS908-AR908,AS908)+AQ909,0)</x:f>
        <x:v>0</x:v>
      </x:c>
      <x:c r="AT909" s="11" t="n">
        <x:f>IF(AR909&gt;0,MIN(1,AS909/AR909),1)</x:f>
        <x:v>1</x:v>
      </x:c>
      <x:c r="AU909" s="10" t="n">
        <x:f>AB909/INDEX(tun_RepScale,G909)</x:f>
        <x:v>290.3368848566301</x:v>
      </x:c>
      <x:c r="AV909" s="32" t="n">
        <x:f>AM909*60/tun_SeasonSeconds</x:f>
        <x:v>0</x:v>
      </x:c>
    </x:row>
    <x:row r="910">
      <x:c r="A910" s="8" t="n">
        <x:f>A909+1</x:f>
        <x:v>907</x:v>
      </x:c>
      <x:c r="B910" s="9" t="n">
        <x:f>A910*tun_SeasonSeconds/60</x:f>
        <x:v>226.75</x:v>
      </x:c>
      <x:c r="C910" s="9" t="n">
        <x:f>A910/4</x:f>
        <x:v>226.75</x:v>
      </x:c>
      <x:c r="D910" s="8" t="n">
        <x:f>IF(MOD(A910,4)=0,1,0)</x:f>
        <x:v>0</x:v>
      </x:c>
      <x:c r="E910" s="8" t="n">
        <x:f>IF(AND(F909&lt;=9,AS909&gt;=AR909),1,0)</x:f>
        <x:v>0</x:v>
      </x:c>
      <x:c r="F910" s="8" t="n">
        <x:f>MIN(10,F909+E910)</x:f>
        <x:v>10</x:v>
      </x:c>
      <x:c r="G910" s="8" t="n">
        <x:f>MIN(F910,9)+1</x:f>
        <x:v>10</x:v>
      </x:c>
      <x:c r="H910" s="8" t="n">
        <x:f>IF(F910&lt;=9,1,0)</x:f>
        <x:v>0</x:v>
      </x:c>
      <x:c r="I910" s="9" t="n">
        <x:f>MIN(10,F909+IF(AR909&gt;0,MIN(1,AS909/AR909),1))</x:f>
        <x:v>10</x:v>
      </x:c>
      <x:c r="J910" s="32" t="n">
        <x:f>INDEX(tun_FoodCap,G910)*Arch_FoodCap*EXP(tun_CapsByProject*SUMPRODUCT((Cap_Point&lt;=I910)*(Cap_Kind="Food")*Cap_Ln))</x:f>
        <x:v>18627.260449441455</x:v>
      </x:c>
      <x:c r="K910" s="32" t="n">
        <x:f>J910*MIN(1,tun_LeanBase*EXP(tun_CapsByProject*SUMPRODUCT((Cap_Point&lt;=I910)*(Cap_Kind="Lean")*Cap_Ln)))</x:f>
        <x:v>18627.260449441455</x:v>
      </x:c>
      <x:c r="L910" s="10" t="n">
        <x:f>INDEX(tun_HousingCap,G910)*EXP(tun_CapsByProject*SUMPRODUCT((Cap_Point&lt;=I910)*(Cap_Kind="Housing")*Cap_Ln))</x:f>
        <x:v>20528.974303173167</x:v>
      </x:c>
      <x:c r="M910" s="10" t="n">
        <x:f>INDEX(tun_GroupCap,G910)*tun_CohesionFactor*EXP(tun_CapsByProject*SUMPRODUCT((Cap_Point&lt;=I910)*(Cap_Kind="Group")*Cap_Ln))</x:f>
        <x:v>1000000.000000001</x:v>
      </x:c>
      <x:c r="N910" s="32" t="n">
        <x:f>MIN(J910,L910,M910)</x:f>
        <x:v>18627.260449441455</x:v>
      </x:c>
      <x:c r="O910" s="10" t="n">
        <x:f>AE909*N910</x:f>
        <x:v>167645.34404497308</x:v>
      </x:c>
      <x:c r="P910" s="9" t="n">
        <x:f>MIN(1,(AB909/(AE909*IF(tun_GroupInCrowding=1,N910,MIN(J910,L910))))^tun_CrowdingExp)</x:f>
        <x:v>0.4215841981292809</x:v>
      </x:c>
      <x:c r="Q910" s="9" t="n">
        <x:f>IF(D910=1,INDEX(tun_WinterMult,G910),1)</x:f>
        <x:v>1</x:v>
      </x:c>
      <x:c r="R910" s="9" t="n">
        <x:f>H910*Z909*tun_WomenShare*tun_BaseFertility*INDEX(tun_FertMult,G910)*Arch_Fertility*(1-P910)</x:f>
        <x:v>0</x:v>
      </x:c>
      <x:c r="S910" s="9" t="n">
        <x:f>H910*Y909*INDEX(tun_MortChild,G910)/4*Q910</x:f>
        <x:v>0</x:v>
      </x:c>
      <x:c r="T910" s="9" t="n">
        <x:f>H910*Z909*INDEX(tun_MortAdult,G910)*Arch_AdultMort/4*Q910</x:f>
        <x:v>0</x:v>
      </x:c>
      <x:c r="U910" s="9" t="n">
        <x:f>H910*AA909*INDEX(tun_MortElder,G910)/4*Q910</x:f>
        <x:v>0</x:v>
      </x:c>
      <x:c r="V910" s="9" t="n">
        <x:f>H910*MAX(0,AB909-O910)*tun_OvercapLoss</x:f>
        <x:v>0</x:v>
      </x:c>
      <x:c r="W910" s="9" t="n">
        <x:f>H910*Y909/(tun_ChildYears*4)</x:f>
        <x:v>0</x:v>
      </x:c>
      <x:c r="X910" s="9" t="n">
        <x:f>H910*Z909/(tun_AdultYears*4)</x:f>
        <x:v>0</x:v>
      </x:c>
      <x:c r="Y910" s="32" t="n">
        <x:f>Y909+R910-S910-W910-Y909*V910/AB909</x:f>
        <x:v>40496.20709015643</x:v>
      </x:c>
      <x:c r="Z910" s="32" t="n">
        <x:f>Z909+W910-X910-T910-Z909*V910/AB909</x:f>
        <x:v>59141.61122890803</x:v>
      </x:c>
      <x:c r="AA910" s="32" t="n">
        <x:f>AA909+X910-U910-AA909*V910/AB909</x:f>
        <x:v>45530.62410925061</x:v>
      </x:c>
      <x:c r="AB910" s="10" t="n">
        <x:f>Y910+Z910+AA910</x:f>
        <x:v>145168.44242831506</x:v>
      </x:c>
      <x:c r="AC910" s="8" t="n">
        <x:f>IF(AND(tun_WinterTrigger=1,D910=1,AB909/AE909&gt;=K910),1,0)</x:f>
        <x:v>0</x:v>
      </x:c>
      <x:c r="AD910" s="8" t="n">
        <x:f>H910*IF(AND(OR(AB909/AE909&gt;=tun_FissionTrigger*N910,AC910=1),AB909/AE909*tun_DaughterShare&gt;=tun_MinDaughter),MAX(1,ROUND(AE909*tun_FissionRate,0)),0)</x:f>
        <x:v>0</x:v>
      </x:c>
      <x:c r="AE910" s="8" t="n">
        <x:f>IF(H910=1,MAX(1,MIN(INDEX(tun_Smax,G910),AE909+AD910)),AE909)</x:f>
        <x:v>9</x:v>
      </x:c>
      <x:c r="AF910" s="8" t="n">
        <x:f>MAX(0,AE910-AE909)</x:f>
        <x:v>0</x:v>
      </x:c>
      <x:c r="AG910" s="9" t="str">
        <x:f>IF(AF910&gt;0,B910,"")</x:f>
      </x:c>
      <x:c r="AH910" s="9" t="n">
        <x:f>IF(F910&gt;=1,1,(1+tun_LowTiesShare*(AE910-1))/AE910)</x:f>
        <x:v>1</x:v>
      </x:c>
      <x:c r="AI910" s="32" t="n">
        <x:f>(Z910+tun_ElderCommons*INDEX(LM_Elder,G910)*AA910)*AH910</x:f>
        <x:v>238215.0665857503</x:v>
      </x:c>
      <x:c r="AJ910" s="32" t="n">
        <x:f>H910*tun_CommonsCoef*AI910^tun_CommonsExp*INDEX(LM_Commons,G910)</x:f>
        <x:v>0</x:v>
      </x:c>
      <x:c r="AK910" s="32" t="n">
        <x:f>H910*tun_RoleScale*Arch_Roles*(AE910*(INDEX(tun_ElderRolePerSett,G910)*tun_OutElder*INDEX(LM_Elder,G910)+INDEX(tun_ShamanPerSett,G910)*tun_OutShaman)+Z910*(INDEX(tun_PriestShare,G910)*tun_OutPriest+INDEX(tun_ScribeShare,G910)*tun_OutScribe*INDEX(LM_Scribe,G910)+INDEX(tun_ScholarShare,G910)*tun_OutScholar*INDEX(LM_Scholar,G910)+INDEX(tun_ResearcherShare,G910)*tun_OutResearcher*INDEX(LM_Researcher,G910)))</x:f>
        <x:v>0</x:v>
      </x:c>
      <x:c r="AL910" s="32" t="n">
        <x:f>H910*tun_RoleScale*Arch_Roles*AE910*INDEX(tun_MonasteryPerSett,G910)*tun_OutMonastery*INDEX(LM_Monastery,G910)</x:f>
        <x:v>0</x:v>
      </x:c>
      <x:c r="AM910" s="32" t="n">
        <x:f>(AJ910+AK910+AL910)/4*INDEX(LM_All,G910)*INDEX(tun_Boon,G910)*Arch_Insight</x:f>
        <x:v>0</x:v>
      </x:c>
      <x:c r="AN910" s="32" t="n">
        <x:f>H910*(tun_KHPerAdult*Z910+tun_KHOfCommons*AJ910/4*INDEX(LM_All,G910))*tun_KHUsable*Arch_KH</x:f>
        <x:v>0</x:v>
      </x:c>
      <x:c r="AO910" s="32" t="n">
        <x:f>MIN(AP909+AN910,AM910*tun_KHMaxRatio)</x:f>
        <x:v>0</x:v>
      </x:c>
      <x:c r="AP910" s="32" t="n">
        <x:f>AP909+AN910-AO910</x:f>
        <x:v>0</x:v>
      </x:c>
      <x:c r="AQ910" s="32" t="n">
        <x:f>AM910+AO910</x:f>
        <x:v>0</x:v>
      </x:c>
      <x:c r="AR910" s="10" t="n">
        <x:f>IF(H910=1,INDEX(tun_Req,G910),0)</x:f>
        <x:v>0</x:v>
      </x:c>
      <x:c r="AS910" s="32" t="n">
        <x:f>IF(H910=1,IF(E910=1,AS909-AR909,AS909)+AQ910,0)</x:f>
        <x:v>0</x:v>
      </x:c>
      <x:c r="AT910" s="11" t="n">
        <x:f>IF(AR910&gt;0,MIN(1,AS910/AR910),1)</x:f>
        <x:v>1</x:v>
      </x:c>
      <x:c r="AU910" s="10" t="n">
        <x:f>AB910/INDEX(tun_RepScale,G910)</x:f>
        <x:v>290.3368848566301</x:v>
      </x:c>
      <x:c r="AV910" s="32" t="n">
        <x:f>AM910*60/tun_SeasonSeconds</x:f>
        <x:v>0</x:v>
      </x:c>
    </x:row>
    <x:row r="911">
      <x:c r="A911" s="8" t="n">
        <x:f>A910+1</x:f>
        <x:v>908</x:v>
      </x:c>
      <x:c r="B911" s="9" t="n">
        <x:f>A911*tun_SeasonSeconds/60</x:f>
        <x:v>227</x:v>
      </x:c>
      <x:c r="C911" s="9" t="n">
        <x:f>A911/4</x:f>
        <x:v>227</x:v>
      </x:c>
      <x:c r="D911" s="8" t="n">
        <x:f>IF(MOD(A911,4)=0,1,0)</x:f>
        <x:v>1</x:v>
      </x:c>
      <x:c r="E911" s="8" t="n">
        <x:f>IF(AND(F910&lt;=9,AS910&gt;=AR910),1,0)</x:f>
        <x:v>0</x:v>
      </x:c>
      <x:c r="F911" s="8" t="n">
        <x:f>MIN(10,F910+E911)</x:f>
        <x:v>10</x:v>
      </x:c>
      <x:c r="G911" s="8" t="n">
        <x:f>MIN(F911,9)+1</x:f>
        <x:v>10</x:v>
      </x:c>
      <x:c r="H911" s="8" t="n">
        <x:f>IF(F911&lt;=9,1,0)</x:f>
        <x:v>0</x:v>
      </x:c>
      <x:c r="I911" s="9" t="n">
        <x:f>MIN(10,F910+IF(AR910&gt;0,MIN(1,AS910/AR910),1))</x:f>
        <x:v>10</x:v>
      </x:c>
      <x:c r="J911" s="32" t="n">
        <x:f>INDEX(tun_FoodCap,G911)*Arch_FoodCap*EXP(tun_CapsByProject*SUMPRODUCT((Cap_Point&lt;=I911)*(Cap_Kind="Food")*Cap_Ln))</x:f>
        <x:v>18627.260449441455</x:v>
      </x:c>
      <x:c r="K911" s="32" t="n">
        <x:f>J911*MIN(1,tun_LeanBase*EXP(tun_CapsByProject*SUMPRODUCT((Cap_Point&lt;=I911)*(Cap_Kind="Lean")*Cap_Ln)))</x:f>
        <x:v>18627.260449441455</x:v>
      </x:c>
      <x:c r="L911" s="10" t="n">
        <x:f>INDEX(tun_HousingCap,G911)*EXP(tun_CapsByProject*SUMPRODUCT((Cap_Point&lt;=I911)*(Cap_Kind="Housing")*Cap_Ln))</x:f>
        <x:v>20528.974303173167</x:v>
      </x:c>
      <x:c r="M911" s="10" t="n">
        <x:f>INDEX(tun_GroupCap,G911)*tun_CohesionFactor*EXP(tun_CapsByProject*SUMPRODUCT((Cap_Point&lt;=I911)*(Cap_Kind="Group")*Cap_Ln))</x:f>
        <x:v>1000000.000000001</x:v>
      </x:c>
      <x:c r="N911" s="32" t="n">
        <x:f>MIN(J911,L911,M911)</x:f>
        <x:v>18627.260449441455</x:v>
      </x:c>
      <x:c r="O911" s="10" t="n">
        <x:f>AE910*N911</x:f>
        <x:v>167645.34404497308</x:v>
      </x:c>
      <x:c r="P911" s="9" t="n">
        <x:f>MIN(1,(AB910/(AE910*IF(tun_GroupInCrowding=1,N911,MIN(J911,L911))))^tun_CrowdingExp)</x:f>
        <x:v>0.4215841981292809</x:v>
      </x:c>
      <x:c r="Q911" s="9" t="n">
        <x:f>IF(D911=1,INDEX(tun_WinterMult,G911),1)</x:f>
        <x:v>1.05</x:v>
      </x:c>
      <x:c r="R911" s="9" t="n">
        <x:f>H911*Z910*tun_WomenShare*tun_BaseFertility*INDEX(tun_FertMult,G911)*Arch_Fertility*(1-P911)</x:f>
        <x:v>0</x:v>
      </x:c>
      <x:c r="S911" s="9" t="n">
        <x:f>H911*Y910*INDEX(tun_MortChild,G911)/4*Q911</x:f>
        <x:v>0</x:v>
      </x:c>
      <x:c r="T911" s="9" t="n">
        <x:f>H911*Z910*INDEX(tun_MortAdult,G911)*Arch_AdultMort/4*Q911</x:f>
        <x:v>0</x:v>
      </x:c>
      <x:c r="U911" s="9" t="n">
        <x:f>H911*AA910*INDEX(tun_MortElder,G911)/4*Q911</x:f>
        <x:v>0</x:v>
      </x:c>
      <x:c r="V911" s="9" t="n">
        <x:f>H911*MAX(0,AB910-O911)*tun_OvercapLoss</x:f>
        <x:v>0</x:v>
      </x:c>
      <x:c r="W911" s="9" t="n">
        <x:f>H911*Y910/(tun_ChildYears*4)</x:f>
        <x:v>0</x:v>
      </x:c>
      <x:c r="X911" s="9" t="n">
        <x:f>H911*Z910/(tun_AdultYears*4)</x:f>
        <x:v>0</x:v>
      </x:c>
      <x:c r="Y911" s="32" t="n">
        <x:f>Y910+R911-S911-W911-Y910*V911/AB910</x:f>
        <x:v>40496.20709015643</x:v>
      </x:c>
      <x:c r="Z911" s="32" t="n">
        <x:f>Z910+W911-X911-T911-Z910*V911/AB910</x:f>
        <x:v>59141.61122890803</x:v>
      </x:c>
      <x:c r="AA911" s="32" t="n">
        <x:f>AA910+X911-U911-AA910*V911/AB910</x:f>
        <x:v>45530.62410925061</x:v>
      </x:c>
      <x:c r="AB911" s="10" t="n">
        <x:f>Y911+Z911+AA911</x:f>
        <x:v>145168.44242831506</x:v>
      </x:c>
      <x:c r="AC911" s="8" t="n">
        <x:f>IF(AND(tun_WinterTrigger=1,D911=1,AB910/AE910&gt;=K911),1,0)</x:f>
        <x:v>0</x:v>
      </x:c>
      <x:c r="AD911" s="8" t="n">
        <x:f>H911*IF(AND(OR(AB910/AE910&gt;=tun_FissionTrigger*N911,AC911=1),AB910/AE910*tun_DaughterShare&gt;=tun_MinDaughter),MAX(1,ROUND(AE910*tun_FissionRate,0)),0)</x:f>
        <x:v>0</x:v>
      </x:c>
      <x:c r="AE911" s="8" t="n">
        <x:f>IF(H911=1,MAX(1,MIN(INDEX(tun_Smax,G911),AE910+AD911)),AE910)</x:f>
        <x:v>9</x:v>
      </x:c>
      <x:c r="AF911" s="8" t="n">
        <x:f>MAX(0,AE911-AE910)</x:f>
        <x:v>0</x:v>
      </x:c>
      <x:c r="AG911" s="9" t="str">
        <x:f>IF(AF911&gt;0,B911,"")</x:f>
      </x:c>
      <x:c r="AH911" s="9" t="n">
        <x:f>IF(F911&gt;=1,1,(1+tun_LowTiesShare*(AE911-1))/AE911)</x:f>
        <x:v>1</x:v>
      </x:c>
      <x:c r="AI911" s="32" t="n">
        <x:f>(Z911+tun_ElderCommons*INDEX(LM_Elder,G911)*AA911)*AH911</x:f>
        <x:v>238215.0665857503</x:v>
      </x:c>
      <x:c r="AJ911" s="32" t="n">
        <x:f>H911*tun_CommonsCoef*AI911^tun_CommonsExp*INDEX(LM_Commons,G911)</x:f>
        <x:v>0</x:v>
      </x:c>
      <x:c r="AK911" s="32" t="n">
        <x:f>H911*tun_RoleScale*Arch_Roles*(AE911*(INDEX(tun_ElderRolePerSett,G911)*tun_OutElder*INDEX(LM_Elder,G911)+INDEX(tun_ShamanPerSett,G911)*tun_OutShaman)+Z911*(INDEX(tun_PriestShare,G911)*tun_OutPriest+INDEX(tun_ScribeShare,G911)*tun_OutScribe*INDEX(LM_Scribe,G911)+INDEX(tun_ScholarShare,G911)*tun_OutScholar*INDEX(LM_Scholar,G911)+INDEX(tun_ResearcherShare,G911)*tun_OutResearcher*INDEX(LM_Researcher,G911)))</x:f>
        <x:v>0</x:v>
      </x:c>
      <x:c r="AL911" s="32" t="n">
        <x:f>H911*tun_RoleScale*Arch_Roles*AE911*INDEX(tun_MonasteryPerSett,G911)*tun_OutMonastery*INDEX(LM_Monastery,G911)</x:f>
        <x:v>0</x:v>
      </x:c>
      <x:c r="AM911" s="32" t="n">
        <x:f>(AJ911+AK911+AL911)/4*INDEX(LM_All,G911)*INDEX(tun_Boon,G911)*Arch_Insight</x:f>
        <x:v>0</x:v>
      </x:c>
      <x:c r="AN911" s="32" t="n">
        <x:f>H911*(tun_KHPerAdult*Z911+tun_KHOfCommons*AJ911/4*INDEX(LM_All,G911))*tun_KHUsable*Arch_KH</x:f>
        <x:v>0</x:v>
      </x:c>
      <x:c r="AO911" s="32" t="n">
        <x:f>MIN(AP910+AN911,AM911*tun_KHMaxRatio)</x:f>
        <x:v>0</x:v>
      </x:c>
      <x:c r="AP911" s="32" t="n">
        <x:f>AP910+AN911-AO911</x:f>
        <x:v>0</x:v>
      </x:c>
      <x:c r="AQ911" s="32" t="n">
        <x:f>AM911+AO911</x:f>
        <x:v>0</x:v>
      </x:c>
      <x:c r="AR911" s="10" t="n">
        <x:f>IF(H911=1,INDEX(tun_Req,G911),0)</x:f>
        <x:v>0</x:v>
      </x:c>
      <x:c r="AS911" s="32" t="n">
        <x:f>IF(H911=1,IF(E911=1,AS910-AR910,AS910)+AQ911,0)</x:f>
        <x:v>0</x:v>
      </x:c>
      <x:c r="AT911" s="11" t="n">
        <x:f>IF(AR911&gt;0,MIN(1,AS911/AR911),1)</x:f>
        <x:v>1</x:v>
      </x:c>
      <x:c r="AU911" s="10" t="n">
        <x:f>AB911/INDEX(tun_RepScale,G911)</x:f>
        <x:v>290.3368848566301</x:v>
      </x:c>
      <x:c r="AV911" s="32" t="n">
        <x:f>AM911*60/tun_SeasonSeconds</x:f>
        <x:v>0</x:v>
      </x:c>
    </x:row>
    <x:row r="912">
      <x:c r="A912" s="8" t="n">
        <x:f>A911+1</x:f>
        <x:v>909</x:v>
      </x:c>
      <x:c r="B912" s="9" t="n">
        <x:f>A912*tun_SeasonSeconds/60</x:f>
        <x:v>227.25</x:v>
      </x:c>
      <x:c r="C912" s="9" t="n">
        <x:f>A912/4</x:f>
        <x:v>227.25</x:v>
      </x:c>
      <x:c r="D912" s="8" t="n">
        <x:f>IF(MOD(A912,4)=0,1,0)</x:f>
        <x:v>0</x:v>
      </x:c>
      <x:c r="E912" s="8" t="n">
        <x:f>IF(AND(F911&lt;=9,AS911&gt;=AR911),1,0)</x:f>
        <x:v>0</x:v>
      </x:c>
      <x:c r="F912" s="8" t="n">
        <x:f>MIN(10,F911+E912)</x:f>
        <x:v>10</x:v>
      </x:c>
      <x:c r="G912" s="8" t="n">
        <x:f>MIN(F912,9)+1</x:f>
        <x:v>10</x:v>
      </x:c>
      <x:c r="H912" s="8" t="n">
        <x:f>IF(F912&lt;=9,1,0)</x:f>
        <x:v>0</x:v>
      </x:c>
      <x:c r="I912" s="9" t="n">
        <x:f>MIN(10,F911+IF(AR911&gt;0,MIN(1,AS911/AR911),1))</x:f>
        <x:v>10</x:v>
      </x:c>
      <x:c r="J912" s="32" t="n">
        <x:f>INDEX(tun_FoodCap,G912)*Arch_FoodCap*EXP(tun_CapsByProject*SUMPRODUCT((Cap_Point&lt;=I912)*(Cap_Kind="Food")*Cap_Ln))</x:f>
        <x:v>18627.260449441455</x:v>
      </x:c>
      <x:c r="K912" s="32" t="n">
        <x:f>J912*MIN(1,tun_LeanBase*EXP(tun_CapsByProject*SUMPRODUCT((Cap_Point&lt;=I912)*(Cap_Kind="Lean")*Cap_Ln)))</x:f>
        <x:v>18627.260449441455</x:v>
      </x:c>
      <x:c r="L912" s="10" t="n">
        <x:f>INDEX(tun_HousingCap,G912)*EXP(tun_CapsByProject*SUMPRODUCT((Cap_Point&lt;=I912)*(Cap_Kind="Housing")*Cap_Ln))</x:f>
        <x:v>20528.974303173167</x:v>
      </x:c>
      <x:c r="M912" s="10" t="n">
        <x:f>INDEX(tun_GroupCap,G912)*tun_CohesionFactor*EXP(tun_CapsByProject*SUMPRODUCT((Cap_Point&lt;=I912)*(Cap_Kind="Group")*Cap_Ln))</x:f>
        <x:v>1000000.000000001</x:v>
      </x:c>
      <x:c r="N912" s="32" t="n">
        <x:f>MIN(J912,L912,M912)</x:f>
        <x:v>18627.260449441455</x:v>
      </x:c>
      <x:c r="O912" s="10" t="n">
        <x:f>AE911*N912</x:f>
        <x:v>167645.34404497308</x:v>
      </x:c>
      <x:c r="P912" s="9" t="n">
        <x:f>MIN(1,(AB911/(AE911*IF(tun_GroupInCrowding=1,N912,MIN(J912,L912))))^tun_CrowdingExp)</x:f>
        <x:v>0.4215841981292809</x:v>
      </x:c>
      <x:c r="Q912" s="9" t="n">
        <x:f>IF(D912=1,INDEX(tun_WinterMult,G912),1)</x:f>
        <x:v>1</x:v>
      </x:c>
      <x:c r="R912" s="9" t="n">
        <x:f>H912*Z911*tun_WomenShare*tun_BaseFertility*INDEX(tun_FertMult,G912)*Arch_Fertility*(1-P912)</x:f>
        <x:v>0</x:v>
      </x:c>
      <x:c r="S912" s="9" t="n">
        <x:f>H912*Y911*INDEX(tun_MortChild,G912)/4*Q912</x:f>
        <x:v>0</x:v>
      </x:c>
      <x:c r="T912" s="9" t="n">
        <x:f>H912*Z911*INDEX(tun_MortAdult,G912)*Arch_AdultMort/4*Q912</x:f>
        <x:v>0</x:v>
      </x:c>
      <x:c r="U912" s="9" t="n">
        <x:f>H912*AA911*INDEX(tun_MortElder,G912)/4*Q912</x:f>
        <x:v>0</x:v>
      </x:c>
      <x:c r="V912" s="9" t="n">
        <x:f>H912*MAX(0,AB911-O912)*tun_OvercapLoss</x:f>
        <x:v>0</x:v>
      </x:c>
      <x:c r="W912" s="9" t="n">
        <x:f>H912*Y911/(tun_ChildYears*4)</x:f>
        <x:v>0</x:v>
      </x:c>
      <x:c r="X912" s="9" t="n">
        <x:f>H912*Z911/(tun_AdultYears*4)</x:f>
        <x:v>0</x:v>
      </x:c>
      <x:c r="Y912" s="32" t="n">
        <x:f>Y911+R912-S912-W912-Y911*V912/AB911</x:f>
        <x:v>40496.20709015643</x:v>
      </x:c>
      <x:c r="Z912" s="32" t="n">
        <x:f>Z911+W912-X912-T912-Z911*V912/AB911</x:f>
        <x:v>59141.61122890803</x:v>
      </x:c>
      <x:c r="AA912" s="32" t="n">
        <x:f>AA911+X912-U912-AA911*V912/AB911</x:f>
        <x:v>45530.62410925061</x:v>
      </x:c>
      <x:c r="AB912" s="10" t="n">
        <x:f>Y912+Z912+AA912</x:f>
        <x:v>145168.44242831506</x:v>
      </x:c>
      <x:c r="AC912" s="8" t="n">
        <x:f>IF(AND(tun_WinterTrigger=1,D912=1,AB911/AE911&gt;=K912),1,0)</x:f>
        <x:v>0</x:v>
      </x:c>
      <x:c r="AD912" s="8" t="n">
        <x:f>H912*IF(AND(OR(AB911/AE911&gt;=tun_FissionTrigger*N912,AC912=1),AB911/AE911*tun_DaughterShare&gt;=tun_MinDaughter),MAX(1,ROUND(AE911*tun_FissionRate,0)),0)</x:f>
        <x:v>0</x:v>
      </x:c>
      <x:c r="AE912" s="8" t="n">
        <x:f>IF(H912=1,MAX(1,MIN(INDEX(tun_Smax,G912),AE911+AD912)),AE911)</x:f>
        <x:v>9</x:v>
      </x:c>
      <x:c r="AF912" s="8" t="n">
        <x:f>MAX(0,AE912-AE911)</x:f>
        <x:v>0</x:v>
      </x:c>
      <x:c r="AG912" s="9" t="str">
        <x:f>IF(AF912&gt;0,B912,"")</x:f>
      </x:c>
      <x:c r="AH912" s="9" t="n">
        <x:f>IF(F912&gt;=1,1,(1+tun_LowTiesShare*(AE912-1))/AE912)</x:f>
        <x:v>1</x:v>
      </x:c>
      <x:c r="AI912" s="32" t="n">
        <x:f>(Z912+tun_ElderCommons*INDEX(LM_Elder,G912)*AA912)*AH912</x:f>
        <x:v>238215.0665857503</x:v>
      </x:c>
      <x:c r="AJ912" s="32" t="n">
        <x:f>H912*tun_CommonsCoef*AI912^tun_CommonsExp*INDEX(LM_Commons,G912)</x:f>
        <x:v>0</x:v>
      </x:c>
      <x:c r="AK912" s="32" t="n">
        <x:f>H912*tun_RoleScale*Arch_Roles*(AE912*(INDEX(tun_ElderRolePerSett,G912)*tun_OutElder*INDEX(LM_Elder,G912)+INDEX(tun_ShamanPerSett,G912)*tun_OutShaman)+Z912*(INDEX(tun_PriestShare,G912)*tun_OutPriest+INDEX(tun_ScribeShare,G912)*tun_OutScribe*INDEX(LM_Scribe,G912)+INDEX(tun_ScholarShare,G912)*tun_OutScholar*INDEX(LM_Scholar,G912)+INDEX(tun_ResearcherShare,G912)*tun_OutResearcher*INDEX(LM_Researcher,G912)))</x:f>
        <x:v>0</x:v>
      </x:c>
      <x:c r="AL912" s="32" t="n">
        <x:f>H912*tun_RoleScale*Arch_Roles*AE912*INDEX(tun_MonasteryPerSett,G912)*tun_OutMonastery*INDEX(LM_Monastery,G912)</x:f>
        <x:v>0</x:v>
      </x:c>
      <x:c r="AM912" s="32" t="n">
        <x:f>(AJ912+AK912+AL912)/4*INDEX(LM_All,G912)*INDEX(tun_Boon,G912)*Arch_Insight</x:f>
        <x:v>0</x:v>
      </x:c>
      <x:c r="AN912" s="32" t="n">
        <x:f>H912*(tun_KHPerAdult*Z912+tun_KHOfCommons*AJ912/4*INDEX(LM_All,G912))*tun_KHUsable*Arch_KH</x:f>
        <x:v>0</x:v>
      </x:c>
      <x:c r="AO912" s="32" t="n">
        <x:f>MIN(AP911+AN912,AM912*tun_KHMaxRatio)</x:f>
        <x:v>0</x:v>
      </x:c>
      <x:c r="AP912" s="32" t="n">
        <x:f>AP911+AN912-AO912</x:f>
        <x:v>0</x:v>
      </x:c>
      <x:c r="AQ912" s="32" t="n">
        <x:f>AM912+AO912</x:f>
        <x:v>0</x:v>
      </x:c>
      <x:c r="AR912" s="10" t="n">
        <x:f>IF(H912=1,INDEX(tun_Req,G912),0)</x:f>
        <x:v>0</x:v>
      </x:c>
      <x:c r="AS912" s="32" t="n">
        <x:f>IF(H912=1,IF(E912=1,AS911-AR911,AS911)+AQ912,0)</x:f>
        <x:v>0</x:v>
      </x:c>
      <x:c r="AT912" s="11" t="n">
        <x:f>IF(AR912&gt;0,MIN(1,AS912/AR912),1)</x:f>
        <x:v>1</x:v>
      </x:c>
      <x:c r="AU912" s="10" t="n">
        <x:f>AB912/INDEX(tun_RepScale,G912)</x:f>
        <x:v>290.3368848566301</x:v>
      </x:c>
      <x:c r="AV912" s="32" t="n">
        <x:f>AM912*60/tun_SeasonSeconds</x:f>
        <x:v>0</x:v>
      </x:c>
    </x:row>
    <x:row r="913">
      <x:c r="A913" s="8" t="n">
        <x:f>A912+1</x:f>
        <x:v>910</x:v>
      </x:c>
      <x:c r="B913" s="9" t="n">
        <x:f>A913*tun_SeasonSeconds/60</x:f>
        <x:v>227.5</x:v>
      </x:c>
      <x:c r="C913" s="9" t="n">
        <x:f>A913/4</x:f>
        <x:v>227.5</x:v>
      </x:c>
      <x:c r="D913" s="8" t="n">
        <x:f>IF(MOD(A913,4)=0,1,0)</x:f>
        <x:v>0</x:v>
      </x:c>
      <x:c r="E913" s="8" t="n">
        <x:f>IF(AND(F912&lt;=9,AS912&gt;=AR912),1,0)</x:f>
        <x:v>0</x:v>
      </x:c>
      <x:c r="F913" s="8" t="n">
        <x:f>MIN(10,F912+E913)</x:f>
        <x:v>10</x:v>
      </x:c>
      <x:c r="G913" s="8" t="n">
        <x:f>MIN(F913,9)+1</x:f>
        <x:v>10</x:v>
      </x:c>
      <x:c r="H913" s="8" t="n">
        <x:f>IF(F913&lt;=9,1,0)</x:f>
        <x:v>0</x:v>
      </x:c>
      <x:c r="I913" s="9" t="n">
        <x:f>MIN(10,F912+IF(AR912&gt;0,MIN(1,AS912/AR912),1))</x:f>
        <x:v>10</x:v>
      </x:c>
      <x:c r="J913" s="32" t="n">
        <x:f>INDEX(tun_FoodCap,G913)*Arch_FoodCap*EXP(tun_CapsByProject*SUMPRODUCT((Cap_Point&lt;=I913)*(Cap_Kind="Food")*Cap_Ln))</x:f>
        <x:v>18627.260449441455</x:v>
      </x:c>
      <x:c r="K913" s="32" t="n">
        <x:f>J913*MIN(1,tun_LeanBase*EXP(tun_CapsByProject*SUMPRODUCT((Cap_Point&lt;=I913)*(Cap_Kind="Lean")*Cap_Ln)))</x:f>
        <x:v>18627.260449441455</x:v>
      </x:c>
      <x:c r="L913" s="10" t="n">
        <x:f>INDEX(tun_HousingCap,G913)*EXP(tun_CapsByProject*SUMPRODUCT((Cap_Point&lt;=I913)*(Cap_Kind="Housing")*Cap_Ln))</x:f>
        <x:v>20528.974303173167</x:v>
      </x:c>
      <x:c r="M913" s="10" t="n">
        <x:f>INDEX(tun_GroupCap,G913)*tun_CohesionFactor*EXP(tun_CapsByProject*SUMPRODUCT((Cap_Point&lt;=I913)*(Cap_Kind="Group")*Cap_Ln))</x:f>
        <x:v>1000000.000000001</x:v>
      </x:c>
      <x:c r="N913" s="32" t="n">
        <x:f>MIN(J913,L913,M913)</x:f>
        <x:v>18627.260449441455</x:v>
      </x:c>
      <x:c r="O913" s="10" t="n">
        <x:f>AE912*N913</x:f>
        <x:v>167645.34404497308</x:v>
      </x:c>
      <x:c r="P913" s="9" t="n">
        <x:f>MIN(1,(AB912/(AE912*IF(tun_GroupInCrowding=1,N913,MIN(J913,L913))))^tun_CrowdingExp)</x:f>
        <x:v>0.4215841981292809</x:v>
      </x:c>
      <x:c r="Q913" s="9" t="n">
        <x:f>IF(D913=1,INDEX(tun_WinterMult,G913),1)</x:f>
        <x:v>1</x:v>
      </x:c>
      <x:c r="R913" s="9" t="n">
        <x:f>H913*Z912*tun_WomenShare*tun_BaseFertility*INDEX(tun_FertMult,G913)*Arch_Fertility*(1-P913)</x:f>
        <x:v>0</x:v>
      </x:c>
      <x:c r="S913" s="9" t="n">
        <x:f>H913*Y912*INDEX(tun_MortChild,G913)/4*Q913</x:f>
        <x:v>0</x:v>
      </x:c>
      <x:c r="T913" s="9" t="n">
        <x:f>H913*Z912*INDEX(tun_MortAdult,G913)*Arch_AdultMort/4*Q913</x:f>
        <x:v>0</x:v>
      </x:c>
      <x:c r="U913" s="9" t="n">
        <x:f>H913*AA912*INDEX(tun_MortElder,G913)/4*Q913</x:f>
        <x:v>0</x:v>
      </x:c>
      <x:c r="V913" s="9" t="n">
        <x:f>H913*MAX(0,AB912-O913)*tun_OvercapLoss</x:f>
        <x:v>0</x:v>
      </x:c>
      <x:c r="W913" s="9" t="n">
        <x:f>H913*Y912/(tun_ChildYears*4)</x:f>
        <x:v>0</x:v>
      </x:c>
      <x:c r="X913" s="9" t="n">
        <x:f>H913*Z912/(tun_AdultYears*4)</x:f>
        <x:v>0</x:v>
      </x:c>
      <x:c r="Y913" s="32" t="n">
        <x:f>Y912+R913-S913-W913-Y912*V913/AB912</x:f>
        <x:v>40496.20709015643</x:v>
      </x:c>
      <x:c r="Z913" s="32" t="n">
        <x:f>Z912+W913-X913-T913-Z912*V913/AB912</x:f>
        <x:v>59141.61122890803</x:v>
      </x:c>
      <x:c r="AA913" s="32" t="n">
        <x:f>AA912+X913-U913-AA912*V913/AB912</x:f>
        <x:v>45530.62410925061</x:v>
      </x:c>
      <x:c r="AB913" s="10" t="n">
        <x:f>Y913+Z913+AA913</x:f>
        <x:v>145168.44242831506</x:v>
      </x:c>
      <x:c r="AC913" s="8" t="n">
        <x:f>IF(AND(tun_WinterTrigger=1,D913=1,AB912/AE912&gt;=K913),1,0)</x:f>
        <x:v>0</x:v>
      </x:c>
      <x:c r="AD913" s="8" t="n">
        <x:f>H913*IF(AND(OR(AB912/AE912&gt;=tun_FissionTrigger*N913,AC913=1),AB912/AE912*tun_DaughterShare&gt;=tun_MinDaughter),MAX(1,ROUND(AE912*tun_FissionRate,0)),0)</x:f>
        <x:v>0</x:v>
      </x:c>
      <x:c r="AE913" s="8" t="n">
        <x:f>IF(H913=1,MAX(1,MIN(INDEX(tun_Smax,G913),AE912+AD913)),AE912)</x:f>
        <x:v>9</x:v>
      </x:c>
      <x:c r="AF913" s="8" t="n">
        <x:f>MAX(0,AE913-AE912)</x:f>
        <x:v>0</x:v>
      </x:c>
      <x:c r="AG913" s="9" t="str">
        <x:f>IF(AF913&gt;0,B913,"")</x:f>
      </x:c>
      <x:c r="AH913" s="9" t="n">
        <x:f>IF(F913&gt;=1,1,(1+tun_LowTiesShare*(AE913-1))/AE913)</x:f>
        <x:v>1</x:v>
      </x:c>
      <x:c r="AI913" s="32" t="n">
        <x:f>(Z913+tun_ElderCommons*INDEX(LM_Elder,G913)*AA913)*AH913</x:f>
        <x:v>238215.0665857503</x:v>
      </x:c>
      <x:c r="AJ913" s="32" t="n">
        <x:f>H913*tun_CommonsCoef*AI913^tun_CommonsExp*INDEX(LM_Commons,G913)</x:f>
        <x:v>0</x:v>
      </x:c>
      <x:c r="AK913" s="32" t="n">
        <x:f>H913*tun_RoleScale*Arch_Roles*(AE913*(INDEX(tun_ElderRolePerSett,G913)*tun_OutElder*INDEX(LM_Elder,G913)+INDEX(tun_ShamanPerSett,G913)*tun_OutShaman)+Z913*(INDEX(tun_PriestShare,G913)*tun_OutPriest+INDEX(tun_ScribeShare,G913)*tun_OutScribe*INDEX(LM_Scribe,G913)+INDEX(tun_ScholarShare,G913)*tun_OutScholar*INDEX(LM_Scholar,G913)+INDEX(tun_ResearcherShare,G913)*tun_OutResearcher*INDEX(LM_Researcher,G913)))</x:f>
        <x:v>0</x:v>
      </x:c>
      <x:c r="AL913" s="32" t="n">
        <x:f>H913*tun_RoleScale*Arch_Roles*AE913*INDEX(tun_MonasteryPerSett,G913)*tun_OutMonastery*INDEX(LM_Monastery,G913)</x:f>
        <x:v>0</x:v>
      </x:c>
      <x:c r="AM913" s="32" t="n">
        <x:f>(AJ913+AK913+AL913)/4*INDEX(LM_All,G913)*INDEX(tun_Boon,G913)*Arch_Insight</x:f>
        <x:v>0</x:v>
      </x:c>
      <x:c r="AN913" s="32" t="n">
        <x:f>H913*(tun_KHPerAdult*Z913+tun_KHOfCommons*AJ913/4*INDEX(LM_All,G913))*tun_KHUsable*Arch_KH</x:f>
        <x:v>0</x:v>
      </x:c>
      <x:c r="AO913" s="32" t="n">
        <x:f>MIN(AP912+AN913,AM913*tun_KHMaxRatio)</x:f>
        <x:v>0</x:v>
      </x:c>
      <x:c r="AP913" s="32" t="n">
        <x:f>AP912+AN913-AO913</x:f>
        <x:v>0</x:v>
      </x:c>
      <x:c r="AQ913" s="32" t="n">
        <x:f>AM913+AO913</x:f>
        <x:v>0</x:v>
      </x:c>
      <x:c r="AR913" s="10" t="n">
        <x:f>IF(H913=1,INDEX(tun_Req,G913),0)</x:f>
        <x:v>0</x:v>
      </x:c>
      <x:c r="AS913" s="32" t="n">
        <x:f>IF(H913=1,IF(E913=1,AS912-AR912,AS912)+AQ913,0)</x:f>
        <x:v>0</x:v>
      </x:c>
      <x:c r="AT913" s="11" t="n">
        <x:f>IF(AR913&gt;0,MIN(1,AS913/AR913),1)</x:f>
        <x:v>1</x:v>
      </x:c>
      <x:c r="AU913" s="10" t="n">
        <x:f>AB913/INDEX(tun_RepScale,G913)</x:f>
        <x:v>290.3368848566301</x:v>
      </x:c>
      <x:c r="AV913" s="32" t="n">
        <x:f>AM913*60/tun_SeasonSeconds</x:f>
        <x:v>0</x:v>
      </x:c>
    </x:row>
    <x:row r="914">
      <x:c r="A914" s="8" t="n">
        <x:f>A913+1</x:f>
        <x:v>911</x:v>
      </x:c>
      <x:c r="B914" s="9" t="n">
        <x:f>A914*tun_SeasonSeconds/60</x:f>
        <x:v>227.75</x:v>
      </x:c>
      <x:c r="C914" s="9" t="n">
        <x:f>A914/4</x:f>
        <x:v>227.75</x:v>
      </x:c>
      <x:c r="D914" s="8" t="n">
        <x:f>IF(MOD(A914,4)=0,1,0)</x:f>
        <x:v>0</x:v>
      </x:c>
      <x:c r="E914" s="8" t="n">
        <x:f>IF(AND(F913&lt;=9,AS913&gt;=AR913),1,0)</x:f>
        <x:v>0</x:v>
      </x:c>
      <x:c r="F914" s="8" t="n">
        <x:f>MIN(10,F913+E914)</x:f>
        <x:v>10</x:v>
      </x:c>
      <x:c r="G914" s="8" t="n">
        <x:f>MIN(F914,9)+1</x:f>
        <x:v>10</x:v>
      </x:c>
      <x:c r="H914" s="8" t="n">
        <x:f>IF(F914&lt;=9,1,0)</x:f>
        <x:v>0</x:v>
      </x:c>
      <x:c r="I914" s="9" t="n">
        <x:f>MIN(10,F913+IF(AR913&gt;0,MIN(1,AS913/AR913),1))</x:f>
        <x:v>10</x:v>
      </x:c>
      <x:c r="J914" s="32" t="n">
        <x:f>INDEX(tun_FoodCap,G914)*Arch_FoodCap*EXP(tun_CapsByProject*SUMPRODUCT((Cap_Point&lt;=I914)*(Cap_Kind="Food")*Cap_Ln))</x:f>
        <x:v>18627.260449441455</x:v>
      </x:c>
      <x:c r="K914" s="32" t="n">
        <x:f>J914*MIN(1,tun_LeanBase*EXP(tun_CapsByProject*SUMPRODUCT((Cap_Point&lt;=I914)*(Cap_Kind="Lean")*Cap_Ln)))</x:f>
        <x:v>18627.260449441455</x:v>
      </x:c>
      <x:c r="L914" s="10" t="n">
        <x:f>INDEX(tun_HousingCap,G914)*EXP(tun_CapsByProject*SUMPRODUCT((Cap_Point&lt;=I914)*(Cap_Kind="Housing")*Cap_Ln))</x:f>
        <x:v>20528.974303173167</x:v>
      </x:c>
      <x:c r="M914" s="10" t="n">
        <x:f>INDEX(tun_GroupCap,G914)*tun_CohesionFactor*EXP(tun_CapsByProject*SUMPRODUCT((Cap_Point&lt;=I914)*(Cap_Kind="Group")*Cap_Ln))</x:f>
        <x:v>1000000.000000001</x:v>
      </x:c>
      <x:c r="N914" s="32" t="n">
        <x:f>MIN(J914,L914,M914)</x:f>
        <x:v>18627.260449441455</x:v>
      </x:c>
      <x:c r="O914" s="10" t="n">
        <x:f>AE913*N914</x:f>
        <x:v>167645.34404497308</x:v>
      </x:c>
      <x:c r="P914" s="9" t="n">
        <x:f>MIN(1,(AB913/(AE913*IF(tun_GroupInCrowding=1,N914,MIN(J914,L914))))^tun_CrowdingExp)</x:f>
        <x:v>0.4215841981292809</x:v>
      </x:c>
      <x:c r="Q914" s="9" t="n">
        <x:f>IF(D914=1,INDEX(tun_WinterMult,G914),1)</x:f>
        <x:v>1</x:v>
      </x:c>
      <x:c r="R914" s="9" t="n">
        <x:f>H914*Z913*tun_WomenShare*tun_BaseFertility*INDEX(tun_FertMult,G914)*Arch_Fertility*(1-P914)</x:f>
        <x:v>0</x:v>
      </x:c>
      <x:c r="S914" s="9" t="n">
        <x:f>H914*Y913*INDEX(tun_MortChild,G914)/4*Q914</x:f>
        <x:v>0</x:v>
      </x:c>
      <x:c r="T914" s="9" t="n">
        <x:f>H914*Z913*INDEX(tun_MortAdult,G914)*Arch_AdultMort/4*Q914</x:f>
        <x:v>0</x:v>
      </x:c>
      <x:c r="U914" s="9" t="n">
        <x:f>H914*AA913*INDEX(tun_MortElder,G914)/4*Q914</x:f>
        <x:v>0</x:v>
      </x:c>
      <x:c r="V914" s="9" t="n">
        <x:f>H914*MAX(0,AB913-O914)*tun_OvercapLoss</x:f>
        <x:v>0</x:v>
      </x:c>
      <x:c r="W914" s="9" t="n">
        <x:f>H914*Y913/(tun_ChildYears*4)</x:f>
        <x:v>0</x:v>
      </x:c>
      <x:c r="X914" s="9" t="n">
        <x:f>H914*Z913/(tun_AdultYears*4)</x:f>
        <x:v>0</x:v>
      </x:c>
      <x:c r="Y914" s="32" t="n">
        <x:f>Y913+R914-S914-W914-Y913*V914/AB913</x:f>
        <x:v>40496.20709015643</x:v>
      </x:c>
      <x:c r="Z914" s="32" t="n">
        <x:f>Z913+W914-X914-T914-Z913*V914/AB913</x:f>
        <x:v>59141.61122890803</x:v>
      </x:c>
      <x:c r="AA914" s="32" t="n">
        <x:f>AA913+X914-U914-AA913*V914/AB913</x:f>
        <x:v>45530.62410925061</x:v>
      </x:c>
      <x:c r="AB914" s="10" t="n">
        <x:f>Y914+Z914+AA914</x:f>
        <x:v>145168.44242831506</x:v>
      </x:c>
      <x:c r="AC914" s="8" t="n">
        <x:f>IF(AND(tun_WinterTrigger=1,D914=1,AB913/AE913&gt;=K914),1,0)</x:f>
        <x:v>0</x:v>
      </x:c>
      <x:c r="AD914" s="8" t="n">
        <x:f>H914*IF(AND(OR(AB913/AE913&gt;=tun_FissionTrigger*N914,AC914=1),AB913/AE913*tun_DaughterShare&gt;=tun_MinDaughter),MAX(1,ROUND(AE913*tun_FissionRate,0)),0)</x:f>
        <x:v>0</x:v>
      </x:c>
      <x:c r="AE914" s="8" t="n">
        <x:f>IF(H914=1,MAX(1,MIN(INDEX(tun_Smax,G914),AE913+AD914)),AE913)</x:f>
        <x:v>9</x:v>
      </x:c>
      <x:c r="AF914" s="8" t="n">
        <x:f>MAX(0,AE914-AE913)</x:f>
        <x:v>0</x:v>
      </x:c>
      <x:c r="AG914" s="9" t="str">
        <x:f>IF(AF914&gt;0,B914,"")</x:f>
      </x:c>
      <x:c r="AH914" s="9" t="n">
        <x:f>IF(F914&gt;=1,1,(1+tun_LowTiesShare*(AE914-1))/AE914)</x:f>
        <x:v>1</x:v>
      </x:c>
      <x:c r="AI914" s="32" t="n">
        <x:f>(Z914+tun_ElderCommons*INDEX(LM_Elder,G914)*AA914)*AH914</x:f>
        <x:v>238215.0665857503</x:v>
      </x:c>
      <x:c r="AJ914" s="32" t="n">
        <x:f>H914*tun_CommonsCoef*AI914^tun_CommonsExp*INDEX(LM_Commons,G914)</x:f>
        <x:v>0</x:v>
      </x:c>
      <x:c r="AK914" s="32" t="n">
        <x:f>H914*tun_RoleScale*Arch_Roles*(AE914*(INDEX(tun_ElderRolePerSett,G914)*tun_OutElder*INDEX(LM_Elder,G914)+INDEX(tun_ShamanPerSett,G914)*tun_OutShaman)+Z914*(INDEX(tun_PriestShare,G914)*tun_OutPriest+INDEX(tun_ScribeShare,G914)*tun_OutScribe*INDEX(LM_Scribe,G914)+INDEX(tun_ScholarShare,G914)*tun_OutScholar*INDEX(LM_Scholar,G914)+INDEX(tun_ResearcherShare,G914)*tun_OutResearcher*INDEX(LM_Researcher,G914)))</x:f>
        <x:v>0</x:v>
      </x:c>
      <x:c r="AL914" s="32" t="n">
        <x:f>H914*tun_RoleScale*Arch_Roles*AE914*INDEX(tun_MonasteryPerSett,G914)*tun_OutMonastery*INDEX(LM_Monastery,G914)</x:f>
        <x:v>0</x:v>
      </x:c>
      <x:c r="AM914" s="32" t="n">
        <x:f>(AJ914+AK914+AL914)/4*INDEX(LM_All,G914)*INDEX(tun_Boon,G914)*Arch_Insight</x:f>
        <x:v>0</x:v>
      </x:c>
      <x:c r="AN914" s="32" t="n">
        <x:f>H914*(tun_KHPerAdult*Z914+tun_KHOfCommons*AJ914/4*INDEX(LM_All,G914))*tun_KHUsable*Arch_KH</x:f>
        <x:v>0</x:v>
      </x:c>
      <x:c r="AO914" s="32" t="n">
        <x:f>MIN(AP913+AN914,AM914*tun_KHMaxRatio)</x:f>
        <x:v>0</x:v>
      </x:c>
      <x:c r="AP914" s="32" t="n">
        <x:f>AP913+AN914-AO914</x:f>
        <x:v>0</x:v>
      </x:c>
      <x:c r="AQ914" s="32" t="n">
        <x:f>AM914+AO914</x:f>
        <x:v>0</x:v>
      </x:c>
      <x:c r="AR914" s="10" t="n">
        <x:f>IF(H914=1,INDEX(tun_Req,G914),0)</x:f>
        <x:v>0</x:v>
      </x:c>
      <x:c r="AS914" s="32" t="n">
        <x:f>IF(H914=1,IF(E914=1,AS913-AR913,AS913)+AQ914,0)</x:f>
        <x:v>0</x:v>
      </x:c>
      <x:c r="AT914" s="11" t="n">
        <x:f>IF(AR914&gt;0,MIN(1,AS914/AR914),1)</x:f>
        <x:v>1</x:v>
      </x:c>
      <x:c r="AU914" s="10" t="n">
        <x:f>AB914/INDEX(tun_RepScale,G914)</x:f>
        <x:v>290.3368848566301</x:v>
      </x:c>
      <x:c r="AV914" s="32" t="n">
        <x:f>AM914*60/tun_SeasonSeconds</x:f>
        <x:v>0</x:v>
      </x:c>
    </x:row>
    <x:row r="915">
      <x:c r="A915" s="8" t="n">
        <x:f>A914+1</x:f>
        <x:v>912</x:v>
      </x:c>
      <x:c r="B915" s="9" t="n">
        <x:f>A915*tun_SeasonSeconds/60</x:f>
        <x:v>228</x:v>
      </x:c>
      <x:c r="C915" s="9" t="n">
        <x:f>A915/4</x:f>
        <x:v>228</x:v>
      </x:c>
      <x:c r="D915" s="8" t="n">
        <x:f>IF(MOD(A915,4)=0,1,0)</x:f>
        <x:v>1</x:v>
      </x:c>
      <x:c r="E915" s="8" t="n">
        <x:f>IF(AND(F914&lt;=9,AS914&gt;=AR914),1,0)</x:f>
        <x:v>0</x:v>
      </x:c>
      <x:c r="F915" s="8" t="n">
        <x:f>MIN(10,F914+E915)</x:f>
        <x:v>10</x:v>
      </x:c>
      <x:c r="G915" s="8" t="n">
        <x:f>MIN(F915,9)+1</x:f>
        <x:v>10</x:v>
      </x:c>
      <x:c r="H915" s="8" t="n">
        <x:f>IF(F915&lt;=9,1,0)</x:f>
        <x:v>0</x:v>
      </x:c>
      <x:c r="I915" s="9" t="n">
        <x:f>MIN(10,F914+IF(AR914&gt;0,MIN(1,AS914/AR914),1))</x:f>
        <x:v>10</x:v>
      </x:c>
      <x:c r="J915" s="32" t="n">
        <x:f>INDEX(tun_FoodCap,G915)*Arch_FoodCap*EXP(tun_CapsByProject*SUMPRODUCT((Cap_Point&lt;=I915)*(Cap_Kind="Food")*Cap_Ln))</x:f>
        <x:v>18627.260449441455</x:v>
      </x:c>
      <x:c r="K915" s="32" t="n">
        <x:f>J915*MIN(1,tun_LeanBase*EXP(tun_CapsByProject*SUMPRODUCT((Cap_Point&lt;=I915)*(Cap_Kind="Lean")*Cap_Ln)))</x:f>
        <x:v>18627.260449441455</x:v>
      </x:c>
      <x:c r="L915" s="10" t="n">
        <x:f>INDEX(tun_HousingCap,G915)*EXP(tun_CapsByProject*SUMPRODUCT((Cap_Point&lt;=I915)*(Cap_Kind="Housing")*Cap_Ln))</x:f>
        <x:v>20528.974303173167</x:v>
      </x:c>
      <x:c r="M915" s="10" t="n">
        <x:f>INDEX(tun_GroupCap,G915)*tun_CohesionFactor*EXP(tun_CapsByProject*SUMPRODUCT((Cap_Point&lt;=I915)*(Cap_Kind="Group")*Cap_Ln))</x:f>
        <x:v>1000000.000000001</x:v>
      </x:c>
      <x:c r="N915" s="32" t="n">
        <x:f>MIN(J915,L915,M915)</x:f>
        <x:v>18627.260449441455</x:v>
      </x:c>
      <x:c r="O915" s="10" t="n">
        <x:f>AE914*N915</x:f>
        <x:v>167645.34404497308</x:v>
      </x:c>
      <x:c r="P915" s="9" t="n">
        <x:f>MIN(1,(AB914/(AE914*IF(tun_GroupInCrowding=1,N915,MIN(J915,L915))))^tun_CrowdingExp)</x:f>
        <x:v>0.4215841981292809</x:v>
      </x:c>
      <x:c r="Q915" s="9" t="n">
        <x:f>IF(D915=1,INDEX(tun_WinterMult,G915),1)</x:f>
        <x:v>1.05</x:v>
      </x:c>
      <x:c r="R915" s="9" t="n">
        <x:f>H915*Z914*tun_WomenShare*tun_BaseFertility*INDEX(tun_FertMult,G915)*Arch_Fertility*(1-P915)</x:f>
        <x:v>0</x:v>
      </x:c>
      <x:c r="S915" s="9" t="n">
        <x:f>H915*Y914*INDEX(tun_MortChild,G915)/4*Q915</x:f>
        <x:v>0</x:v>
      </x:c>
      <x:c r="T915" s="9" t="n">
        <x:f>H915*Z914*INDEX(tun_MortAdult,G915)*Arch_AdultMort/4*Q915</x:f>
        <x:v>0</x:v>
      </x:c>
      <x:c r="U915" s="9" t="n">
        <x:f>H915*AA914*INDEX(tun_MortElder,G915)/4*Q915</x:f>
        <x:v>0</x:v>
      </x:c>
      <x:c r="V915" s="9" t="n">
        <x:f>H915*MAX(0,AB914-O915)*tun_OvercapLoss</x:f>
        <x:v>0</x:v>
      </x:c>
      <x:c r="W915" s="9" t="n">
        <x:f>H915*Y914/(tun_ChildYears*4)</x:f>
        <x:v>0</x:v>
      </x:c>
      <x:c r="X915" s="9" t="n">
        <x:f>H915*Z914/(tun_AdultYears*4)</x:f>
        <x:v>0</x:v>
      </x:c>
      <x:c r="Y915" s="32" t="n">
        <x:f>Y914+R915-S915-W915-Y914*V915/AB914</x:f>
        <x:v>40496.20709015643</x:v>
      </x:c>
      <x:c r="Z915" s="32" t="n">
        <x:f>Z914+W915-X915-T915-Z914*V915/AB914</x:f>
        <x:v>59141.61122890803</x:v>
      </x:c>
      <x:c r="AA915" s="32" t="n">
        <x:f>AA914+X915-U915-AA914*V915/AB914</x:f>
        <x:v>45530.62410925061</x:v>
      </x:c>
      <x:c r="AB915" s="10" t="n">
        <x:f>Y915+Z915+AA915</x:f>
        <x:v>145168.44242831506</x:v>
      </x:c>
      <x:c r="AC915" s="8" t="n">
        <x:f>IF(AND(tun_WinterTrigger=1,D915=1,AB914/AE914&gt;=K915),1,0)</x:f>
        <x:v>0</x:v>
      </x:c>
      <x:c r="AD915" s="8" t="n">
        <x:f>H915*IF(AND(OR(AB914/AE914&gt;=tun_FissionTrigger*N915,AC915=1),AB914/AE914*tun_DaughterShare&gt;=tun_MinDaughter),MAX(1,ROUND(AE914*tun_FissionRate,0)),0)</x:f>
        <x:v>0</x:v>
      </x:c>
      <x:c r="AE915" s="8" t="n">
        <x:f>IF(H915=1,MAX(1,MIN(INDEX(tun_Smax,G915),AE914+AD915)),AE914)</x:f>
        <x:v>9</x:v>
      </x:c>
      <x:c r="AF915" s="8" t="n">
        <x:f>MAX(0,AE915-AE914)</x:f>
        <x:v>0</x:v>
      </x:c>
      <x:c r="AG915" s="9" t="str">
        <x:f>IF(AF915&gt;0,B915,"")</x:f>
      </x:c>
      <x:c r="AH915" s="9" t="n">
        <x:f>IF(F915&gt;=1,1,(1+tun_LowTiesShare*(AE915-1))/AE915)</x:f>
        <x:v>1</x:v>
      </x:c>
      <x:c r="AI915" s="32" t="n">
        <x:f>(Z915+tun_ElderCommons*INDEX(LM_Elder,G915)*AA915)*AH915</x:f>
        <x:v>238215.0665857503</x:v>
      </x:c>
      <x:c r="AJ915" s="32" t="n">
        <x:f>H915*tun_CommonsCoef*AI915^tun_CommonsExp*INDEX(LM_Commons,G915)</x:f>
        <x:v>0</x:v>
      </x:c>
      <x:c r="AK915" s="32" t="n">
        <x:f>H915*tun_RoleScale*Arch_Roles*(AE915*(INDEX(tun_ElderRolePerSett,G915)*tun_OutElder*INDEX(LM_Elder,G915)+INDEX(tun_ShamanPerSett,G915)*tun_OutShaman)+Z915*(INDEX(tun_PriestShare,G915)*tun_OutPriest+INDEX(tun_ScribeShare,G915)*tun_OutScribe*INDEX(LM_Scribe,G915)+INDEX(tun_ScholarShare,G915)*tun_OutScholar*INDEX(LM_Scholar,G915)+INDEX(tun_ResearcherShare,G915)*tun_OutResearcher*INDEX(LM_Researcher,G915)))</x:f>
        <x:v>0</x:v>
      </x:c>
      <x:c r="AL915" s="32" t="n">
        <x:f>H915*tun_RoleScale*Arch_Roles*AE915*INDEX(tun_MonasteryPerSett,G915)*tun_OutMonastery*INDEX(LM_Monastery,G915)</x:f>
        <x:v>0</x:v>
      </x:c>
      <x:c r="AM915" s="32" t="n">
        <x:f>(AJ915+AK915+AL915)/4*INDEX(LM_All,G915)*INDEX(tun_Boon,G915)*Arch_Insight</x:f>
        <x:v>0</x:v>
      </x:c>
      <x:c r="AN915" s="32" t="n">
        <x:f>H915*(tun_KHPerAdult*Z915+tun_KHOfCommons*AJ915/4*INDEX(LM_All,G915))*tun_KHUsable*Arch_KH</x:f>
        <x:v>0</x:v>
      </x:c>
      <x:c r="AO915" s="32" t="n">
        <x:f>MIN(AP914+AN915,AM915*tun_KHMaxRatio)</x:f>
        <x:v>0</x:v>
      </x:c>
      <x:c r="AP915" s="32" t="n">
        <x:f>AP914+AN915-AO915</x:f>
        <x:v>0</x:v>
      </x:c>
      <x:c r="AQ915" s="32" t="n">
        <x:f>AM915+AO915</x:f>
        <x:v>0</x:v>
      </x:c>
      <x:c r="AR915" s="10" t="n">
        <x:f>IF(H915=1,INDEX(tun_Req,G915),0)</x:f>
        <x:v>0</x:v>
      </x:c>
      <x:c r="AS915" s="32" t="n">
        <x:f>IF(H915=1,IF(E915=1,AS914-AR914,AS914)+AQ915,0)</x:f>
        <x:v>0</x:v>
      </x:c>
      <x:c r="AT915" s="11" t="n">
        <x:f>IF(AR915&gt;0,MIN(1,AS915/AR915),1)</x:f>
        <x:v>1</x:v>
      </x:c>
      <x:c r="AU915" s="10" t="n">
        <x:f>AB915/INDEX(tun_RepScale,G915)</x:f>
        <x:v>290.3368848566301</x:v>
      </x:c>
      <x:c r="AV915" s="32" t="n">
        <x:f>AM915*60/tun_SeasonSeconds</x:f>
        <x:v>0</x:v>
      </x:c>
    </x:row>
    <x:row r="916">
      <x:c r="A916" s="8" t="n">
        <x:f>A915+1</x:f>
        <x:v>913</x:v>
      </x:c>
      <x:c r="B916" s="9" t="n">
        <x:f>A916*tun_SeasonSeconds/60</x:f>
        <x:v>228.25</x:v>
      </x:c>
      <x:c r="C916" s="9" t="n">
        <x:f>A916/4</x:f>
        <x:v>228.25</x:v>
      </x:c>
      <x:c r="D916" s="8" t="n">
        <x:f>IF(MOD(A916,4)=0,1,0)</x:f>
        <x:v>0</x:v>
      </x:c>
      <x:c r="E916" s="8" t="n">
        <x:f>IF(AND(F915&lt;=9,AS915&gt;=AR915),1,0)</x:f>
        <x:v>0</x:v>
      </x:c>
      <x:c r="F916" s="8" t="n">
        <x:f>MIN(10,F915+E916)</x:f>
        <x:v>10</x:v>
      </x:c>
      <x:c r="G916" s="8" t="n">
        <x:f>MIN(F916,9)+1</x:f>
        <x:v>10</x:v>
      </x:c>
      <x:c r="H916" s="8" t="n">
        <x:f>IF(F916&lt;=9,1,0)</x:f>
        <x:v>0</x:v>
      </x:c>
      <x:c r="I916" s="9" t="n">
        <x:f>MIN(10,F915+IF(AR915&gt;0,MIN(1,AS915/AR915),1))</x:f>
        <x:v>10</x:v>
      </x:c>
      <x:c r="J916" s="32" t="n">
        <x:f>INDEX(tun_FoodCap,G916)*Arch_FoodCap*EXP(tun_CapsByProject*SUMPRODUCT((Cap_Point&lt;=I916)*(Cap_Kind="Food")*Cap_Ln))</x:f>
        <x:v>18627.260449441455</x:v>
      </x:c>
      <x:c r="K916" s="32" t="n">
        <x:f>J916*MIN(1,tun_LeanBase*EXP(tun_CapsByProject*SUMPRODUCT((Cap_Point&lt;=I916)*(Cap_Kind="Lean")*Cap_Ln)))</x:f>
        <x:v>18627.260449441455</x:v>
      </x:c>
      <x:c r="L916" s="10" t="n">
        <x:f>INDEX(tun_HousingCap,G916)*EXP(tun_CapsByProject*SUMPRODUCT((Cap_Point&lt;=I916)*(Cap_Kind="Housing")*Cap_Ln))</x:f>
        <x:v>20528.974303173167</x:v>
      </x:c>
      <x:c r="M916" s="10" t="n">
        <x:f>INDEX(tun_GroupCap,G916)*tun_CohesionFactor*EXP(tun_CapsByProject*SUMPRODUCT((Cap_Point&lt;=I916)*(Cap_Kind="Group")*Cap_Ln))</x:f>
        <x:v>1000000.000000001</x:v>
      </x:c>
      <x:c r="N916" s="32" t="n">
        <x:f>MIN(J916,L916,M916)</x:f>
        <x:v>18627.260449441455</x:v>
      </x:c>
      <x:c r="O916" s="10" t="n">
        <x:f>AE915*N916</x:f>
        <x:v>167645.34404497308</x:v>
      </x:c>
      <x:c r="P916" s="9" t="n">
        <x:f>MIN(1,(AB915/(AE915*IF(tun_GroupInCrowding=1,N916,MIN(J916,L916))))^tun_CrowdingExp)</x:f>
        <x:v>0.4215841981292809</x:v>
      </x:c>
      <x:c r="Q916" s="9" t="n">
        <x:f>IF(D916=1,INDEX(tun_WinterMult,G916),1)</x:f>
        <x:v>1</x:v>
      </x:c>
      <x:c r="R916" s="9" t="n">
        <x:f>H916*Z915*tun_WomenShare*tun_BaseFertility*INDEX(tun_FertMult,G916)*Arch_Fertility*(1-P916)</x:f>
        <x:v>0</x:v>
      </x:c>
      <x:c r="S916" s="9" t="n">
        <x:f>H916*Y915*INDEX(tun_MortChild,G916)/4*Q916</x:f>
        <x:v>0</x:v>
      </x:c>
      <x:c r="T916" s="9" t="n">
        <x:f>H916*Z915*INDEX(tun_MortAdult,G916)*Arch_AdultMort/4*Q916</x:f>
        <x:v>0</x:v>
      </x:c>
      <x:c r="U916" s="9" t="n">
        <x:f>H916*AA915*INDEX(tun_MortElder,G916)/4*Q916</x:f>
        <x:v>0</x:v>
      </x:c>
      <x:c r="V916" s="9" t="n">
        <x:f>H916*MAX(0,AB915-O916)*tun_OvercapLoss</x:f>
        <x:v>0</x:v>
      </x:c>
      <x:c r="W916" s="9" t="n">
        <x:f>H916*Y915/(tun_ChildYears*4)</x:f>
        <x:v>0</x:v>
      </x:c>
      <x:c r="X916" s="9" t="n">
        <x:f>H916*Z915/(tun_AdultYears*4)</x:f>
        <x:v>0</x:v>
      </x:c>
      <x:c r="Y916" s="32" t="n">
        <x:f>Y915+R916-S916-W916-Y915*V916/AB915</x:f>
        <x:v>40496.20709015643</x:v>
      </x:c>
      <x:c r="Z916" s="32" t="n">
        <x:f>Z915+W916-X916-T916-Z915*V916/AB915</x:f>
        <x:v>59141.61122890803</x:v>
      </x:c>
      <x:c r="AA916" s="32" t="n">
        <x:f>AA915+X916-U916-AA915*V916/AB915</x:f>
        <x:v>45530.62410925061</x:v>
      </x:c>
      <x:c r="AB916" s="10" t="n">
        <x:f>Y916+Z916+AA916</x:f>
        <x:v>145168.44242831506</x:v>
      </x:c>
      <x:c r="AC916" s="8" t="n">
        <x:f>IF(AND(tun_WinterTrigger=1,D916=1,AB915/AE915&gt;=K916),1,0)</x:f>
        <x:v>0</x:v>
      </x:c>
      <x:c r="AD916" s="8" t="n">
        <x:f>H916*IF(AND(OR(AB915/AE915&gt;=tun_FissionTrigger*N916,AC916=1),AB915/AE915*tun_DaughterShare&gt;=tun_MinDaughter),MAX(1,ROUND(AE915*tun_FissionRate,0)),0)</x:f>
        <x:v>0</x:v>
      </x:c>
      <x:c r="AE916" s="8" t="n">
        <x:f>IF(H916=1,MAX(1,MIN(INDEX(tun_Smax,G916),AE915+AD916)),AE915)</x:f>
        <x:v>9</x:v>
      </x:c>
      <x:c r="AF916" s="8" t="n">
        <x:f>MAX(0,AE916-AE915)</x:f>
        <x:v>0</x:v>
      </x:c>
      <x:c r="AG916" s="9" t="str">
        <x:f>IF(AF916&gt;0,B916,"")</x:f>
      </x:c>
      <x:c r="AH916" s="9" t="n">
        <x:f>IF(F916&gt;=1,1,(1+tun_LowTiesShare*(AE916-1))/AE916)</x:f>
        <x:v>1</x:v>
      </x:c>
      <x:c r="AI916" s="32" t="n">
        <x:f>(Z916+tun_ElderCommons*INDEX(LM_Elder,G916)*AA916)*AH916</x:f>
        <x:v>238215.0665857503</x:v>
      </x:c>
      <x:c r="AJ916" s="32" t="n">
        <x:f>H916*tun_CommonsCoef*AI916^tun_CommonsExp*INDEX(LM_Commons,G916)</x:f>
        <x:v>0</x:v>
      </x:c>
      <x:c r="AK916" s="32" t="n">
        <x:f>H916*tun_RoleScale*Arch_Roles*(AE916*(INDEX(tun_ElderRolePerSett,G916)*tun_OutElder*INDEX(LM_Elder,G916)+INDEX(tun_ShamanPerSett,G916)*tun_OutShaman)+Z916*(INDEX(tun_PriestShare,G916)*tun_OutPriest+INDEX(tun_ScribeShare,G916)*tun_OutScribe*INDEX(LM_Scribe,G916)+INDEX(tun_ScholarShare,G916)*tun_OutScholar*INDEX(LM_Scholar,G916)+INDEX(tun_ResearcherShare,G916)*tun_OutResearcher*INDEX(LM_Researcher,G916)))</x:f>
        <x:v>0</x:v>
      </x:c>
      <x:c r="AL916" s="32" t="n">
        <x:f>H916*tun_RoleScale*Arch_Roles*AE916*INDEX(tun_MonasteryPerSett,G916)*tun_OutMonastery*INDEX(LM_Monastery,G916)</x:f>
        <x:v>0</x:v>
      </x:c>
      <x:c r="AM916" s="32" t="n">
        <x:f>(AJ916+AK916+AL916)/4*INDEX(LM_All,G916)*INDEX(tun_Boon,G916)*Arch_Insight</x:f>
        <x:v>0</x:v>
      </x:c>
      <x:c r="AN916" s="32" t="n">
        <x:f>H916*(tun_KHPerAdult*Z916+tun_KHOfCommons*AJ916/4*INDEX(LM_All,G916))*tun_KHUsable*Arch_KH</x:f>
        <x:v>0</x:v>
      </x:c>
      <x:c r="AO916" s="32" t="n">
        <x:f>MIN(AP915+AN916,AM916*tun_KHMaxRatio)</x:f>
        <x:v>0</x:v>
      </x:c>
      <x:c r="AP916" s="32" t="n">
        <x:f>AP915+AN916-AO916</x:f>
        <x:v>0</x:v>
      </x:c>
      <x:c r="AQ916" s="32" t="n">
        <x:f>AM916+AO916</x:f>
        <x:v>0</x:v>
      </x:c>
      <x:c r="AR916" s="10" t="n">
        <x:f>IF(H916=1,INDEX(tun_Req,G916),0)</x:f>
        <x:v>0</x:v>
      </x:c>
      <x:c r="AS916" s="32" t="n">
        <x:f>IF(H916=1,IF(E916=1,AS915-AR915,AS915)+AQ916,0)</x:f>
        <x:v>0</x:v>
      </x:c>
      <x:c r="AT916" s="11" t="n">
        <x:f>IF(AR916&gt;0,MIN(1,AS916/AR916),1)</x:f>
        <x:v>1</x:v>
      </x:c>
      <x:c r="AU916" s="10" t="n">
        <x:f>AB916/INDEX(tun_RepScale,G916)</x:f>
        <x:v>290.3368848566301</x:v>
      </x:c>
      <x:c r="AV916" s="32" t="n">
        <x:f>AM916*60/tun_SeasonSeconds</x:f>
        <x:v>0</x:v>
      </x:c>
    </x:row>
    <x:row r="917">
      <x:c r="A917" s="8" t="n">
        <x:f>A916+1</x:f>
        <x:v>914</x:v>
      </x:c>
      <x:c r="B917" s="9" t="n">
        <x:f>A917*tun_SeasonSeconds/60</x:f>
        <x:v>228.5</x:v>
      </x:c>
      <x:c r="C917" s="9" t="n">
        <x:f>A917/4</x:f>
        <x:v>228.5</x:v>
      </x:c>
      <x:c r="D917" s="8" t="n">
        <x:f>IF(MOD(A917,4)=0,1,0)</x:f>
        <x:v>0</x:v>
      </x:c>
      <x:c r="E917" s="8" t="n">
        <x:f>IF(AND(F916&lt;=9,AS916&gt;=AR916),1,0)</x:f>
        <x:v>0</x:v>
      </x:c>
      <x:c r="F917" s="8" t="n">
        <x:f>MIN(10,F916+E917)</x:f>
        <x:v>10</x:v>
      </x:c>
      <x:c r="G917" s="8" t="n">
        <x:f>MIN(F917,9)+1</x:f>
        <x:v>10</x:v>
      </x:c>
      <x:c r="H917" s="8" t="n">
        <x:f>IF(F917&lt;=9,1,0)</x:f>
        <x:v>0</x:v>
      </x:c>
      <x:c r="I917" s="9" t="n">
        <x:f>MIN(10,F916+IF(AR916&gt;0,MIN(1,AS916/AR916),1))</x:f>
        <x:v>10</x:v>
      </x:c>
      <x:c r="J917" s="32" t="n">
        <x:f>INDEX(tun_FoodCap,G917)*Arch_FoodCap*EXP(tun_CapsByProject*SUMPRODUCT((Cap_Point&lt;=I917)*(Cap_Kind="Food")*Cap_Ln))</x:f>
        <x:v>18627.260449441455</x:v>
      </x:c>
      <x:c r="K917" s="32" t="n">
        <x:f>J917*MIN(1,tun_LeanBase*EXP(tun_CapsByProject*SUMPRODUCT((Cap_Point&lt;=I917)*(Cap_Kind="Lean")*Cap_Ln)))</x:f>
        <x:v>18627.260449441455</x:v>
      </x:c>
      <x:c r="L917" s="10" t="n">
        <x:f>INDEX(tun_HousingCap,G917)*EXP(tun_CapsByProject*SUMPRODUCT((Cap_Point&lt;=I917)*(Cap_Kind="Housing")*Cap_Ln))</x:f>
        <x:v>20528.974303173167</x:v>
      </x:c>
      <x:c r="M917" s="10" t="n">
        <x:f>INDEX(tun_GroupCap,G917)*tun_CohesionFactor*EXP(tun_CapsByProject*SUMPRODUCT((Cap_Point&lt;=I917)*(Cap_Kind="Group")*Cap_Ln))</x:f>
        <x:v>1000000.000000001</x:v>
      </x:c>
      <x:c r="N917" s="32" t="n">
        <x:f>MIN(J917,L917,M917)</x:f>
        <x:v>18627.260449441455</x:v>
      </x:c>
      <x:c r="O917" s="10" t="n">
        <x:f>AE916*N917</x:f>
        <x:v>167645.34404497308</x:v>
      </x:c>
      <x:c r="P917" s="9" t="n">
        <x:f>MIN(1,(AB916/(AE916*IF(tun_GroupInCrowding=1,N917,MIN(J917,L917))))^tun_CrowdingExp)</x:f>
        <x:v>0.4215841981292809</x:v>
      </x:c>
      <x:c r="Q917" s="9" t="n">
        <x:f>IF(D917=1,INDEX(tun_WinterMult,G917),1)</x:f>
        <x:v>1</x:v>
      </x:c>
      <x:c r="R917" s="9" t="n">
        <x:f>H917*Z916*tun_WomenShare*tun_BaseFertility*INDEX(tun_FertMult,G917)*Arch_Fertility*(1-P917)</x:f>
        <x:v>0</x:v>
      </x:c>
      <x:c r="S917" s="9" t="n">
        <x:f>H917*Y916*INDEX(tun_MortChild,G917)/4*Q917</x:f>
        <x:v>0</x:v>
      </x:c>
      <x:c r="T917" s="9" t="n">
        <x:f>H917*Z916*INDEX(tun_MortAdult,G917)*Arch_AdultMort/4*Q917</x:f>
        <x:v>0</x:v>
      </x:c>
      <x:c r="U917" s="9" t="n">
        <x:f>H917*AA916*INDEX(tun_MortElder,G917)/4*Q917</x:f>
        <x:v>0</x:v>
      </x:c>
      <x:c r="V917" s="9" t="n">
        <x:f>H917*MAX(0,AB916-O917)*tun_OvercapLoss</x:f>
        <x:v>0</x:v>
      </x:c>
      <x:c r="W917" s="9" t="n">
        <x:f>H917*Y916/(tun_ChildYears*4)</x:f>
        <x:v>0</x:v>
      </x:c>
      <x:c r="X917" s="9" t="n">
        <x:f>H917*Z916/(tun_AdultYears*4)</x:f>
        <x:v>0</x:v>
      </x:c>
      <x:c r="Y917" s="32" t="n">
        <x:f>Y916+R917-S917-W917-Y916*V917/AB916</x:f>
        <x:v>40496.20709015643</x:v>
      </x:c>
      <x:c r="Z917" s="32" t="n">
        <x:f>Z916+W917-X917-T917-Z916*V917/AB916</x:f>
        <x:v>59141.61122890803</x:v>
      </x:c>
      <x:c r="AA917" s="32" t="n">
        <x:f>AA916+X917-U917-AA916*V917/AB916</x:f>
        <x:v>45530.62410925061</x:v>
      </x:c>
      <x:c r="AB917" s="10" t="n">
        <x:f>Y917+Z917+AA917</x:f>
        <x:v>145168.44242831506</x:v>
      </x:c>
      <x:c r="AC917" s="8" t="n">
        <x:f>IF(AND(tun_WinterTrigger=1,D917=1,AB916/AE916&gt;=K917),1,0)</x:f>
        <x:v>0</x:v>
      </x:c>
      <x:c r="AD917" s="8" t="n">
        <x:f>H917*IF(AND(OR(AB916/AE916&gt;=tun_FissionTrigger*N917,AC917=1),AB916/AE916*tun_DaughterShare&gt;=tun_MinDaughter),MAX(1,ROUND(AE916*tun_FissionRate,0)),0)</x:f>
        <x:v>0</x:v>
      </x:c>
      <x:c r="AE917" s="8" t="n">
        <x:f>IF(H917=1,MAX(1,MIN(INDEX(tun_Smax,G917),AE916+AD917)),AE916)</x:f>
        <x:v>9</x:v>
      </x:c>
      <x:c r="AF917" s="8" t="n">
        <x:f>MAX(0,AE917-AE916)</x:f>
        <x:v>0</x:v>
      </x:c>
      <x:c r="AG917" s="9" t="str">
        <x:f>IF(AF917&gt;0,B917,"")</x:f>
      </x:c>
      <x:c r="AH917" s="9" t="n">
        <x:f>IF(F917&gt;=1,1,(1+tun_LowTiesShare*(AE917-1))/AE917)</x:f>
        <x:v>1</x:v>
      </x:c>
      <x:c r="AI917" s="32" t="n">
        <x:f>(Z917+tun_ElderCommons*INDEX(LM_Elder,G917)*AA917)*AH917</x:f>
        <x:v>238215.0665857503</x:v>
      </x:c>
      <x:c r="AJ917" s="32" t="n">
        <x:f>H917*tun_CommonsCoef*AI917^tun_CommonsExp*INDEX(LM_Commons,G917)</x:f>
        <x:v>0</x:v>
      </x:c>
      <x:c r="AK917" s="32" t="n">
        <x:f>H917*tun_RoleScale*Arch_Roles*(AE917*(INDEX(tun_ElderRolePerSett,G917)*tun_OutElder*INDEX(LM_Elder,G917)+INDEX(tun_ShamanPerSett,G917)*tun_OutShaman)+Z917*(INDEX(tun_PriestShare,G917)*tun_OutPriest+INDEX(tun_ScribeShare,G917)*tun_OutScribe*INDEX(LM_Scribe,G917)+INDEX(tun_ScholarShare,G917)*tun_OutScholar*INDEX(LM_Scholar,G917)+INDEX(tun_ResearcherShare,G917)*tun_OutResearcher*INDEX(LM_Researcher,G917)))</x:f>
        <x:v>0</x:v>
      </x:c>
      <x:c r="AL917" s="32" t="n">
        <x:f>H917*tun_RoleScale*Arch_Roles*AE917*INDEX(tun_MonasteryPerSett,G917)*tun_OutMonastery*INDEX(LM_Monastery,G917)</x:f>
        <x:v>0</x:v>
      </x:c>
      <x:c r="AM917" s="32" t="n">
        <x:f>(AJ917+AK917+AL917)/4*INDEX(LM_All,G917)*INDEX(tun_Boon,G917)*Arch_Insight</x:f>
        <x:v>0</x:v>
      </x:c>
      <x:c r="AN917" s="32" t="n">
        <x:f>H917*(tun_KHPerAdult*Z917+tun_KHOfCommons*AJ917/4*INDEX(LM_All,G917))*tun_KHUsable*Arch_KH</x:f>
        <x:v>0</x:v>
      </x:c>
      <x:c r="AO917" s="32" t="n">
        <x:f>MIN(AP916+AN917,AM917*tun_KHMaxRatio)</x:f>
        <x:v>0</x:v>
      </x:c>
      <x:c r="AP917" s="32" t="n">
        <x:f>AP916+AN917-AO917</x:f>
        <x:v>0</x:v>
      </x:c>
      <x:c r="AQ917" s="32" t="n">
        <x:f>AM917+AO917</x:f>
        <x:v>0</x:v>
      </x:c>
      <x:c r="AR917" s="10" t="n">
        <x:f>IF(H917=1,INDEX(tun_Req,G917),0)</x:f>
        <x:v>0</x:v>
      </x:c>
      <x:c r="AS917" s="32" t="n">
        <x:f>IF(H917=1,IF(E917=1,AS916-AR916,AS916)+AQ917,0)</x:f>
        <x:v>0</x:v>
      </x:c>
      <x:c r="AT917" s="11" t="n">
        <x:f>IF(AR917&gt;0,MIN(1,AS917/AR917),1)</x:f>
        <x:v>1</x:v>
      </x:c>
      <x:c r="AU917" s="10" t="n">
        <x:f>AB917/INDEX(tun_RepScale,G917)</x:f>
        <x:v>290.3368848566301</x:v>
      </x:c>
      <x:c r="AV917" s="32" t="n">
        <x:f>AM917*60/tun_SeasonSeconds</x:f>
        <x:v>0</x:v>
      </x:c>
    </x:row>
    <x:row r="918">
      <x:c r="A918" s="8" t="n">
        <x:f>A917+1</x:f>
        <x:v>915</x:v>
      </x:c>
      <x:c r="B918" s="9" t="n">
        <x:f>A918*tun_SeasonSeconds/60</x:f>
        <x:v>228.75</x:v>
      </x:c>
      <x:c r="C918" s="9" t="n">
        <x:f>A918/4</x:f>
        <x:v>228.75</x:v>
      </x:c>
      <x:c r="D918" s="8" t="n">
        <x:f>IF(MOD(A918,4)=0,1,0)</x:f>
        <x:v>0</x:v>
      </x:c>
      <x:c r="E918" s="8" t="n">
        <x:f>IF(AND(F917&lt;=9,AS917&gt;=AR917),1,0)</x:f>
        <x:v>0</x:v>
      </x:c>
      <x:c r="F918" s="8" t="n">
        <x:f>MIN(10,F917+E918)</x:f>
        <x:v>10</x:v>
      </x:c>
      <x:c r="G918" s="8" t="n">
        <x:f>MIN(F918,9)+1</x:f>
        <x:v>10</x:v>
      </x:c>
      <x:c r="H918" s="8" t="n">
        <x:f>IF(F918&lt;=9,1,0)</x:f>
        <x:v>0</x:v>
      </x:c>
      <x:c r="I918" s="9" t="n">
        <x:f>MIN(10,F917+IF(AR917&gt;0,MIN(1,AS917/AR917),1))</x:f>
        <x:v>10</x:v>
      </x:c>
      <x:c r="J918" s="32" t="n">
        <x:f>INDEX(tun_FoodCap,G918)*Arch_FoodCap*EXP(tun_CapsByProject*SUMPRODUCT((Cap_Point&lt;=I918)*(Cap_Kind="Food")*Cap_Ln))</x:f>
        <x:v>18627.260449441455</x:v>
      </x:c>
      <x:c r="K918" s="32" t="n">
        <x:f>J918*MIN(1,tun_LeanBase*EXP(tun_CapsByProject*SUMPRODUCT((Cap_Point&lt;=I918)*(Cap_Kind="Lean")*Cap_Ln)))</x:f>
        <x:v>18627.260449441455</x:v>
      </x:c>
      <x:c r="L918" s="10" t="n">
        <x:f>INDEX(tun_HousingCap,G918)*EXP(tun_CapsByProject*SUMPRODUCT((Cap_Point&lt;=I918)*(Cap_Kind="Housing")*Cap_Ln))</x:f>
        <x:v>20528.974303173167</x:v>
      </x:c>
      <x:c r="M918" s="10" t="n">
        <x:f>INDEX(tun_GroupCap,G918)*tun_CohesionFactor*EXP(tun_CapsByProject*SUMPRODUCT((Cap_Point&lt;=I918)*(Cap_Kind="Group")*Cap_Ln))</x:f>
        <x:v>1000000.000000001</x:v>
      </x:c>
      <x:c r="N918" s="32" t="n">
        <x:f>MIN(J918,L918,M918)</x:f>
        <x:v>18627.260449441455</x:v>
      </x:c>
      <x:c r="O918" s="10" t="n">
        <x:f>AE917*N918</x:f>
        <x:v>167645.34404497308</x:v>
      </x:c>
      <x:c r="P918" s="9" t="n">
        <x:f>MIN(1,(AB917/(AE917*IF(tun_GroupInCrowding=1,N918,MIN(J918,L918))))^tun_CrowdingExp)</x:f>
        <x:v>0.4215841981292809</x:v>
      </x:c>
      <x:c r="Q918" s="9" t="n">
        <x:f>IF(D918=1,INDEX(tun_WinterMult,G918),1)</x:f>
        <x:v>1</x:v>
      </x:c>
      <x:c r="R918" s="9" t="n">
        <x:f>H918*Z917*tun_WomenShare*tun_BaseFertility*INDEX(tun_FertMult,G918)*Arch_Fertility*(1-P918)</x:f>
        <x:v>0</x:v>
      </x:c>
      <x:c r="S918" s="9" t="n">
        <x:f>H918*Y917*INDEX(tun_MortChild,G918)/4*Q918</x:f>
        <x:v>0</x:v>
      </x:c>
      <x:c r="T918" s="9" t="n">
        <x:f>H918*Z917*INDEX(tun_MortAdult,G918)*Arch_AdultMort/4*Q918</x:f>
        <x:v>0</x:v>
      </x:c>
      <x:c r="U918" s="9" t="n">
        <x:f>H918*AA917*INDEX(tun_MortElder,G918)/4*Q918</x:f>
        <x:v>0</x:v>
      </x:c>
      <x:c r="V918" s="9" t="n">
        <x:f>H918*MAX(0,AB917-O918)*tun_OvercapLoss</x:f>
        <x:v>0</x:v>
      </x:c>
      <x:c r="W918" s="9" t="n">
        <x:f>H918*Y917/(tun_ChildYears*4)</x:f>
        <x:v>0</x:v>
      </x:c>
      <x:c r="X918" s="9" t="n">
        <x:f>H918*Z917/(tun_AdultYears*4)</x:f>
        <x:v>0</x:v>
      </x:c>
      <x:c r="Y918" s="32" t="n">
        <x:f>Y917+R918-S918-W918-Y917*V918/AB917</x:f>
        <x:v>40496.20709015643</x:v>
      </x:c>
      <x:c r="Z918" s="32" t="n">
        <x:f>Z917+W918-X918-T918-Z917*V918/AB917</x:f>
        <x:v>59141.61122890803</x:v>
      </x:c>
      <x:c r="AA918" s="32" t="n">
        <x:f>AA917+X918-U918-AA917*V918/AB917</x:f>
        <x:v>45530.62410925061</x:v>
      </x:c>
      <x:c r="AB918" s="10" t="n">
        <x:f>Y918+Z918+AA918</x:f>
        <x:v>145168.44242831506</x:v>
      </x:c>
      <x:c r="AC918" s="8" t="n">
        <x:f>IF(AND(tun_WinterTrigger=1,D918=1,AB917/AE917&gt;=K918),1,0)</x:f>
        <x:v>0</x:v>
      </x:c>
      <x:c r="AD918" s="8" t="n">
        <x:f>H918*IF(AND(OR(AB917/AE917&gt;=tun_FissionTrigger*N918,AC918=1),AB917/AE917*tun_DaughterShare&gt;=tun_MinDaughter),MAX(1,ROUND(AE917*tun_FissionRate,0)),0)</x:f>
        <x:v>0</x:v>
      </x:c>
      <x:c r="AE918" s="8" t="n">
        <x:f>IF(H918=1,MAX(1,MIN(INDEX(tun_Smax,G918),AE917+AD918)),AE917)</x:f>
        <x:v>9</x:v>
      </x:c>
      <x:c r="AF918" s="8" t="n">
        <x:f>MAX(0,AE918-AE917)</x:f>
        <x:v>0</x:v>
      </x:c>
      <x:c r="AG918" s="9" t="str">
        <x:f>IF(AF918&gt;0,B918,"")</x:f>
      </x:c>
      <x:c r="AH918" s="9" t="n">
        <x:f>IF(F918&gt;=1,1,(1+tun_LowTiesShare*(AE918-1))/AE918)</x:f>
        <x:v>1</x:v>
      </x:c>
      <x:c r="AI918" s="32" t="n">
        <x:f>(Z918+tun_ElderCommons*INDEX(LM_Elder,G918)*AA918)*AH918</x:f>
        <x:v>238215.0665857503</x:v>
      </x:c>
      <x:c r="AJ918" s="32" t="n">
        <x:f>H918*tun_CommonsCoef*AI918^tun_CommonsExp*INDEX(LM_Commons,G918)</x:f>
        <x:v>0</x:v>
      </x:c>
      <x:c r="AK918" s="32" t="n">
        <x:f>H918*tun_RoleScale*Arch_Roles*(AE918*(INDEX(tun_ElderRolePerSett,G918)*tun_OutElder*INDEX(LM_Elder,G918)+INDEX(tun_ShamanPerSett,G918)*tun_OutShaman)+Z918*(INDEX(tun_PriestShare,G918)*tun_OutPriest+INDEX(tun_ScribeShare,G918)*tun_OutScribe*INDEX(LM_Scribe,G918)+INDEX(tun_ScholarShare,G918)*tun_OutScholar*INDEX(LM_Scholar,G918)+INDEX(tun_ResearcherShare,G918)*tun_OutResearcher*INDEX(LM_Researcher,G918)))</x:f>
        <x:v>0</x:v>
      </x:c>
      <x:c r="AL918" s="32" t="n">
        <x:f>H918*tun_RoleScale*Arch_Roles*AE918*INDEX(tun_MonasteryPerSett,G918)*tun_OutMonastery*INDEX(LM_Monastery,G918)</x:f>
        <x:v>0</x:v>
      </x:c>
      <x:c r="AM918" s="32" t="n">
        <x:f>(AJ918+AK918+AL918)/4*INDEX(LM_All,G918)*INDEX(tun_Boon,G918)*Arch_Insight</x:f>
        <x:v>0</x:v>
      </x:c>
      <x:c r="AN918" s="32" t="n">
        <x:f>H918*(tun_KHPerAdult*Z918+tun_KHOfCommons*AJ918/4*INDEX(LM_All,G918))*tun_KHUsable*Arch_KH</x:f>
        <x:v>0</x:v>
      </x:c>
      <x:c r="AO918" s="32" t="n">
        <x:f>MIN(AP917+AN918,AM918*tun_KHMaxRatio)</x:f>
        <x:v>0</x:v>
      </x:c>
      <x:c r="AP918" s="32" t="n">
        <x:f>AP917+AN918-AO918</x:f>
        <x:v>0</x:v>
      </x:c>
      <x:c r="AQ918" s="32" t="n">
        <x:f>AM918+AO918</x:f>
        <x:v>0</x:v>
      </x:c>
      <x:c r="AR918" s="10" t="n">
        <x:f>IF(H918=1,INDEX(tun_Req,G918),0)</x:f>
        <x:v>0</x:v>
      </x:c>
      <x:c r="AS918" s="32" t="n">
        <x:f>IF(H918=1,IF(E918=1,AS917-AR917,AS917)+AQ918,0)</x:f>
        <x:v>0</x:v>
      </x:c>
      <x:c r="AT918" s="11" t="n">
        <x:f>IF(AR918&gt;0,MIN(1,AS918/AR918),1)</x:f>
        <x:v>1</x:v>
      </x:c>
      <x:c r="AU918" s="10" t="n">
        <x:f>AB918/INDEX(tun_RepScale,G918)</x:f>
        <x:v>290.3368848566301</x:v>
      </x:c>
      <x:c r="AV918" s="32" t="n">
        <x:f>AM918*60/tun_SeasonSeconds</x:f>
        <x:v>0</x:v>
      </x:c>
    </x:row>
    <x:row r="919">
      <x:c r="A919" s="8" t="n">
        <x:f>A918+1</x:f>
        <x:v>916</x:v>
      </x:c>
      <x:c r="B919" s="9" t="n">
        <x:f>A919*tun_SeasonSeconds/60</x:f>
        <x:v>229</x:v>
      </x:c>
      <x:c r="C919" s="9" t="n">
        <x:f>A919/4</x:f>
        <x:v>229</x:v>
      </x:c>
      <x:c r="D919" s="8" t="n">
        <x:f>IF(MOD(A919,4)=0,1,0)</x:f>
        <x:v>1</x:v>
      </x:c>
      <x:c r="E919" s="8" t="n">
        <x:f>IF(AND(F918&lt;=9,AS918&gt;=AR918),1,0)</x:f>
        <x:v>0</x:v>
      </x:c>
      <x:c r="F919" s="8" t="n">
        <x:f>MIN(10,F918+E919)</x:f>
        <x:v>10</x:v>
      </x:c>
      <x:c r="G919" s="8" t="n">
        <x:f>MIN(F919,9)+1</x:f>
        <x:v>10</x:v>
      </x:c>
      <x:c r="H919" s="8" t="n">
        <x:f>IF(F919&lt;=9,1,0)</x:f>
        <x:v>0</x:v>
      </x:c>
      <x:c r="I919" s="9" t="n">
        <x:f>MIN(10,F918+IF(AR918&gt;0,MIN(1,AS918/AR918),1))</x:f>
        <x:v>10</x:v>
      </x:c>
      <x:c r="J919" s="32" t="n">
        <x:f>INDEX(tun_FoodCap,G919)*Arch_FoodCap*EXP(tun_CapsByProject*SUMPRODUCT((Cap_Point&lt;=I919)*(Cap_Kind="Food")*Cap_Ln))</x:f>
        <x:v>18627.260449441455</x:v>
      </x:c>
      <x:c r="K919" s="32" t="n">
        <x:f>J919*MIN(1,tun_LeanBase*EXP(tun_CapsByProject*SUMPRODUCT((Cap_Point&lt;=I919)*(Cap_Kind="Lean")*Cap_Ln)))</x:f>
        <x:v>18627.260449441455</x:v>
      </x:c>
      <x:c r="L919" s="10" t="n">
        <x:f>INDEX(tun_HousingCap,G919)*EXP(tun_CapsByProject*SUMPRODUCT((Cap_Point&lt;=I919)*(Cap_Kind="Housing")*Cap_Ln))</x:f>
        <x:v>20528.974303173167</x:v>
      </x:c>
      <x:c r="M919" s="10" t="n">
        <x:f>INDEX(tun_GroupCap,G919)*tun_CohesionFactor*EXP(tun_CapsByProject*SUMPRODUCT((Cap_Point&lt;=I919)*(Cap_Kind="Group")*Cap_Ln))</x:f>
        <x:v>1000000.000000001</x:v>
      </x:c>
      <x:c r="N919" s="32" t="n">
        <x:f>MIN(J919,L919,M919)</x:f>
        <x:v>18627.260449441455</x:v>
      </x:c>
      <x:c r="O919" s="10" t="n">
        <x:f>AE918*N919</x:f>
        <x:v>167645.34404497308</x:v>
      </x:c>
      <x:c r="P919" s="9" t="n">
        <x:f>MIN(1,(AB918/(AE918*IF(tun_GroupInCrowding=1,N919,MIN(J919,L919))))^tun_CrowdingExp)</x:f>
        <x:v>0.4215841981292809</x:v>
      </x:c>
      <x:c r="Q919" s="9" t="n">
        <x:f>IF(D919=1,INDEX(tun_WinterMult,G919),1)</x:f>
        <x:v>1.05</x:v>
      </x:c>
      <x:c r="R919" s="9" t="n">
        <x:f>H919*Z918*tun_WomenShare*tun_BaseFertility*INDEX(tun_FertMult,G919)*Arch_Fertility*(1-P919)</x:f>
        <x:v>0</x:v>
      </x:c>
      <x:c r="S919" s="9" t="n">
        <x:f>H919*Y918*INDEX(tun_MortChild,G919)/4*Q919</x:f>
        <x:v>0</x:v>
      </x:c>
      <x:c r="T919" s="9" t="n">
        <x:f>H919*Z918*INDEX(tun_MortAdult,G919)*Arch_AdultMort/4*Q919</x:f>
        <x:v>0</x:v>
      </x:c>
      <x:c r="U919" s="9" t="n">
        <x:f>H919*AA918*INDEX(tun_MortElder,G919)/4*Q919</x:f>
        <x:v>0</x:v>
      </x:c>
      <x:c r="V919" s="9" t="n">
        <x:f>H919*MAX(0,AB918-O919)*tun_OvercapLoss</x:f>
        <x:v>0</x:v>
      </x:c>
      <x:c r="W919" s="9" t="n">
        <x:f>H919*Y918/(tun_ChildYears*4)</x:f>
        <x:v>0</x:v>
      </x:c>
      <x:c r="X919" s="9" t="n">
        <x:f>H919*Z918/(tun_AdultYears*4)</x:f>
        <x:v>0</x:v>
      </x:c>
      <x:c r="Y919" s="32" t="n">
        <x:f>Y918+R919-S919-W919-Y918*V919/AB918</x:f>
        <x:v>40496.20709015643</x:v>
      </x:c>
      <x:c r="Z919" s="32" t="n">
        <x:f>Z918+W919-X919-T919-Z918*V919/AB918</x:f>
        <x:v>59141.61122890803</x:v>
      </x:c>
      <x:c r="AA919" s="32" t="n">
        <x:f>AA918+X919-U919-AA918*V919/AB918</x:f>
        <x:v>45530.62410925061</x:v>
      </x:c>
      <x:c r="AB919" s="10" t="n">
        <x:f>Y919+Z919+AA919</x:f>
        <x:v>145168.44242831506</x:v>
      </x:c>
      <x:c r="AC919" s="8" t="n">
        <x:f>IF(AND(tun_WinterTrigger=1,D919=1,AB918/AE918&gt;=K919),1,0)</x:f>
        <x:v>0</x:v>
      </x:c>
      <x:c r="AD919" s="8" t="n">
        <x:f>H919*IF(AND(OR(AB918/AE918&gt;=tun_FissionTrigger*N919,AC919=1),AB918/AE918*tun_DaughterShare&gt;=tun_MinDaughter),MAX(1,ROUND(AE918*tun_FissionRate,0)),0)</x:f>
        <x:v>0</x:v>
      </x:c>
      <x:c r="AE919" s="8" t="n">
        <x:f>IF(H919=1,MAX(1,MIN(INDEX(tun_Smax,G919),AE918+AD919)),AE918)</x:f>
        <x:v>9</x:v>
      </x:c>
      <x:c r="AF919" s="8" t="n">
        <x:f>MAX(0,AE919-AE918)</x:f>
        <x:v>0</x:v>
      </x:c>
      <x:c r="AG919" s="9" t="str">
        <x:f>IF(AF919&gt;0,B919,"")</x:f>
      </x:c>
      <x:c r="AH919" s="9" t="n">
        <x:f>IF(F919&gt;=1,1,(1+tun_LowTiesShare*(AE919-1))/AE919)</x:f>
        <x:v>1</x:v>
      </x:c>
      <x:c r="AI919" s="32" t="n">
        <x:f>(Z919+tun_ElderCommons*INDEX(LM_Elder,G919)*AA919)*AH919</x:f>
        <x:v>238215.0665857503</x:v>
      </x:c>
      <x:c r="AJ919" s="32" t="n">
        <x:f>H919*tun_CommonsCoef*AI919^tun_CommonsExp*INDEX(LM_Commons,G919)</x:f>
        <x:v>0</x:v>
      </x:c>
      <x:c r="AK919" s="32" t="n">
        <x:f>H919*tun_RoleScale*Arch_Roles*(AE919*(INDEX(tun_ElderRolePerSett,G919)*tun_OutElder*INDEX(LM_Elder,G919)+INDEX(tun_ShamanPerSett,G919)*tun_OutShaman)+Z919*(INDEX(tun_PriestShare,G919)*tun_OutPriest+INDEX(tun_ScribeShare,G919)*tun_OutScribe*INDEX(LM_Scribe,G919)+INDEX(tun_ScholarShare,G919)*tun_OutScholar*INDEX(LM_Scholar,G919)+INDEX(tun_ResearcherShare,G919)*tun_OutResearcher*INDEX(LM_Researcher,G919)))</x:f>
        <x:v>0</x:v>
      </x:c>
      <x:c r="AL919" s="32" t="n">
        <x:f>H919*tun_RoleScale*Arch_Roles*AE919*INDEX(tun_MonasteryPerSett,G919)*tun_OutMonastery*INDEX(LM_Monastery,G919)</x:f>
        <x:v>0</x:v>
      </x:c>
      <x:c r="AM919" s="32" t="n">
        <x:f>(AJ919+AK919+AL919)/4*INDEX(LM_All,G919)*INDEX(tun_Boon,G919)*Arch_Insight</x:f>
        <x:v>0</x:v>
      </x:c>
      <x:c r="AN919" s="32" t="n">
        <x:f>H919*(tun_KHPerAdult*Z919+tun_KHOfCommons*AJ919/4*INDEX(LM_All,G919))*tun_KHUsable*Arch_KH</x:f>
        <x:v>0</x:v>
      </x:c>
      <x:c r="AO919" s="32" t="n">
        <x:f>MIN(AP918+AN919,AM919*tun_KHMaxRatio)</x:f>
        <x:v>0</x:v>
      </x:c>
      <x:c r="AP919" s="32" t="n">
        <x:f>AP918+AN919-AO919</x:f>
        <x:v>0</x:v>
      </x:c>
      <x:c r="AQ919" s="32" t="n">
        <x:f>AM919+AO919</x:f>
        <x:v>0</x:v>
      </x:c>
      <x:c r="AR919" s="10" t="n">
        <x:f>IF(H919=1,INDEX(tun_Req,G919),0)</x:f>
        <x:v>0</x:v>
      </x:c>
      <x:c r="AS919" s="32" t="n">
        <x:f>IF(H919=1,IF(E919=1,AS918-AR918,AS918)+AQ919,0)</x:f>
        <x:v>0</x:v>
      </x:c>
      <x:c r="AT919" s="11" t="n">
        <x:f>IF(AR919&gt;0,MIN(1,AS919/AR919),1)</x:f>
        <x:v>1</x:v>
      </x:c>
      <x:c r="AU919" s="10" t="n">
        <x:f>AB919/INDEX(tun_RepScale,G919)</x:f>
        <x:v>290.3368848566301</x:v>
      </x:c>
      <x:c r="AV919" s="32" t="n">
        <x:f>AM919*60/tun_SeasonSeconds</x:f>
        <x:v>0</x:v>
      </x:c>
    </x:row>
    <x:row r="920">
      <x:c r="A920" s="8" t="n">
        <x:f>A919+1</x:f>
        <x:v>917</x:v>
      </x:c>
      <x:c r="B920" s="9" t="n">
        <x:f>A920*tun_SeasonSeconds/60</x:f>
        <x:v>229.25</x:v>
      </x:c>
      <x:c r="C920" s="9" t="n">
        <x:f>A920/4</x:f>
        <x:v>229.25</x:v>
      </x:c>
      <x:c r="D920" s="8" t="n">
        <x:f>IF(MOD(A920,4)=0,1,0)</x:f>
        <x:v>0</x:v>
      </x:c>
      <x:c r="E920" s="8" t="n">
        <x:f>IF(AND(F919&lt;=9,AS919&gt;=AR919),1,0)</x:f>
        <x:v>0</x:v>
      </x:c>
      <x:c r="F920" s="8" t="n">
        <x:f>MIN(10,F919+E920)</x:f>
        <x:v>10</x:v>
      </x:c>
      <x:c r="G920" s="8" t="n">
        <x:f>MIN(F920,9)+1</x:f>
        <x:v>10</x:v>
      </x:c>
      <x:c r="H920" s="8" t="n">
        <x:f>IF(F920&lt;=9,1,0)</x:f>
        <x:v>0</x:v>
      </x:c>
      <x:c r="I920" s="9" t="n">
        <x:f>MIN(10,F919+IF(AR919&gt;0,MIN(1,AS919/AR919),1))</x:f>
        <x:v>10</x:v>
      </x:c>
      <x:c r="J920" s="32" t="n">
        <x:f>INDEX(tun_FoodCap,G920)*Arch_FoodCap*EXP(tun_CapsByProject*SUMPRODUCT((Cap_Point&lt;=I920)*(Cap_Kind="Food")*Cap_Ln))</x:f>
        <x:v>18627.260449441455</x:v>
      </x:c>
      <x:c r="K920" s="32" t="n">
        <x:f>J920*MIN(1,tun_LeanBase*EXP(tun_CapsByProject*SUMPRODUCT((Cap_Point&lt;=I920)*(Cap_Kind="Lean")*Cap_Ln)))</x:f>
        <x:v>18627.260449441455</x:v>
      </x:c>
      <x:c r="L920" s="10" t="n">
        <x:f>INDEX(tun_HousingCap,G920)*EXP(tun_CapsByProject*SUMPRODUCT((Cap_Point&lt;=I920)*(Cap_Kind="Housing")*Cap_Ln))</x:f>
        <x:v>20528.974303173167</x:v>
      </x:c>
      <x:c r="M920" s="10" t="n">
        <x:f>INDEX(tun_GroupCap,G920)*tun_CohesionFactor*EXP(tun_CapsByProject*SUMPRODUCT((Cap_Point&lt;=I920)*(Cap_Kind="Group")*Cap_Ln))</x:f>
        <x:v>1000000.000000001</x:v>
      </x:c>
      <x:c r="N920" s="32" t="n">
        <x:f>MIN(J920,L920,M920)</x:f>
        <x:v>18627.260449441455</x:v>
      </x:c>
      <x:c r="O920" s="10" t="n">
        <x:f>AE919*N920</x:f>
        <x:v>167645.34404497308</x:v>
      </x:c>
      <x:c r="P920" s="9" t="n">
        <x:f>MIN(1,(AB919/(AE919*IF(tun_GroupInCrowding=1,N920,MIN(J920,L920))))^tun_CrowdingExp)</x:f>
        <x:v>0.4215841981292809</x:v>
      </x:c>
      <x:c r="Q920" s="9" t="n">
        <x:f>IF(D920=1,INDEX(tun_WinterMult,G920),1)</x:f>
        <x:v>1</x:v>
      </x:c>
      <x:c r="R920" s="9" t="n">
        <x:f>H920*Z919*tun_WomenShare*tun_BaseFertility*INDEX(tun_FertMult,G920)*Arch_Fertility*(1-P920)</x:f>
        <x:v>0</x:v>
      </x:c>
      <x:c r="S920" s="9" t="n">
        <x:f>H920*Y919*INDEX(tun_MortChild,G920)/4*Q920</x:f>
        <x:v>0</x:v>
      </x:c>
      <x:c r="T920" s="9" t="n">
        <x:f>H920*Z919*INDEX(tun_MortAdult,G920)*Arch_AdultMort/4*Q920</x:f>
        <x:v>0</x:v>
      </x:c>
      <x:c r="U920" s="9" t="n">
        <x:f>H920*AA919*INDEX(tun_MortElder,G920)/4*Q920</x:f>
        <x:v>0</x:v>
      </x:c>
      <x:c r="V920" s="9" t="n">
        <x:f>H920*MAX(0,AB919-O920)*tun_OvercapLoss</x:f>
        <x:v>0</x:v>
      </x:c>
      <x:c r="W920" s="9" t="n">
        <x:f>H920*Y919/(tun_ChildYears*4)</x:f>
        <x:v>0</x:v>
      </x:c>
      <x:c r="X920" s="9" t="n">
        <x:f>H920*Z919/(tun_AdultYears*4)</x:f>
        <x:v>0</x:v>
      </x:c>
      <x:c r="Y920" s="32" t="n">
        <x:f>Y919+R920-S920-W920-Y919*V920/AB919</x:f>
        <x:v>40496.20709015643</x:v>
      </x:c>
      <x:c r="Z920" s="32" t="n">
        <x:f>Z919+W920-X920-T920-Z919*V920/AB919</x:f>
        <x:v>59141.61122890803</x:v>
      </x:c>
      <x:c r="AA920" s="32" t="n">
        <x:f>AA919+X920-U920-AA919*V920/AB919</x:f>
        <x:v>45530.62410925061</x:v>
      </x:c>
      <x:c r="AB920" s="10" t="n">
        <x:f>Y920+Z920+AA920</x:f>
        <x:v>145168.44242831506</x:v>
      </x:c>
      <x:c r="AC920" s="8" t="n">
        <x:f>IF(AND(tun_WinterTrigger=1,D920=1,AB919/AE919&gt;=K920),1,0)</x:f>
        <x:v>0</x:v>
      </x:c>
      <x:c r="AD920" s="8" t="n">
        <x:f>H920*IF(AND(OR(AB919/AE919&gt;=tun_FissionTrigger*N920,AC920=1),AB919/AE919*tun_DaughterShare&gt;=tun_MinDaughter),MAX(1,ROUND(AE919*tun_FissionRate,0)),0)</x:f>
        <x:v>0</x:v>
      </x:c>
      <x:c r="AE920" s="8" t="n">
        <x:f>IF(H920=1,MAX(1,MIN(INDEX(tun_Smax,G920),AE919+AD920)),AE919)</x:f>
        <x:v>9</x:v>
      </x:c>
      <x:c r="AF920" s="8" t="n">
        <x:f>MAX(0,AE920-AE919)</x:f>
        <x:v>0</x:v>
      </x:c>
      <x:c r="AG920" s="9" t="str">
        <x:f>IF(AF920&gt;0,B920,"")</x:f>
      </x:c>
      <x:c r="AH920" s="9" t="n">
        <x:f>IF(F920&gt;=1,1,(1+tun_LowTiesShare*(AE920-1))/AE920)</x:f>
        <x:v>1</x:v>
      </x:c>
      <x:c r="AI920" s="32" t="n">
        <x:f>(Z920+tun_ElderCommons*INDEX(LM_Elder,G920)*AA920)*AH920</x:f>
        <x:v>238215.0665857503</x:v>
      </x:c>
      <x:c r="AJ920" s="32" t="n">
        <x:f>H920*tun_CommonsCoef*AI920^tun_CommonsExp*INDEX(LM_Commons,G920)</x:f>
        <x:v>0</x:v>
      </x:c>
      <x:c r="AK920" s="32" t="n">
        <x:f>H920*tun_RoleScale*Arch_Roles*(AE920*(INDEX(tun_ElderRolePerSett,G920)*tun_OutElder*INDEX(LM_Elder,G920)+INDEX(tun_ShamanPerSett,G920)*tun_OutShaman)+Z920*(INDEX(tun_PriestShare,G920)*tun_OutPriest+INDEX(tun_ScribeShare,G920)*tun_OutScribe*INDEX(LM_Scribe,G920)+INDEX(tun_ScholarShare,G920)*tun_OutScholar*INDEX(LM_Scholar,G920)+INDEX(tun_ResearcherShare,G920)*tun_OutResearcher*INDEX(LM_Researcher,G920)))</x:f>
        <x:v>0</x:v>
      </x:c>
      <x:c r="AL920" s="32" t="n">
        <x:f>H920*tun_RoleScale*Arch_Roles*AE920*INDEX(tun_MonasteryPerSett,G920)*tun_OutMonastery*INDEX(LM_Monastery,G920)</x:f>
        <x:v>0</x:v>
      </x:c>
      <x:c r="AM920" s="32" t="n">
        <x:f>(AJ920+AK920+AL920)/4*INDEX(LM_All,G920)*INDEX(tun_Boon,G920)*Arch_Insight</x:f>
        <x:v>0</x:v>
      </x:c>
      <x:c r="AN920" s="32" t="n">
        <x:f>H920*(tun_KHPerAdult*Z920+tun_KHOfCommons*AJ920/4*INDEX(LM_All,G920))*tun_KHUsable*Arch_KH</x:f>
        <x:v>0</x:v>
      </x:c>
      <x:c r="AO920" s="32" t="n">
        <x:f>MIN(AP919+AN920,AM920*tun_KHMaxRatio)</x:f>
        <x:v>0</x:v>
      </x:c>
      <x:c r="AP920" s="32" t="n">
        <x:f>AP919+AN920-AO920</x:f>
        <x:v>0</x:v>
      </x:c>
      <x:c r="AQ920" s="32" t="n">
        <x:f>AM920+AO920</x:f>
        <x:v>0</x:v>
      </x:c>
      <x:c r="AR920" s="10" t="n">
        <x:f>IF(H920=1,INDEX(tun_Req,G920),0)</x:f>
        <x:v>0</x:v>
      </x:c>
      <x:c r="AS920" s="32" t="n">
        <x:f>IF(H920=1,IF(E920=1,AS919-AR919,AS919)+AQ920,0)</x:f>
        <x:v>0</x:v>
      </x:c>
      <x:c r="AT920" s="11" t="n">
        <x:f>IF(AR920&gt;0,MIN(1,AS920/AR920),1)</x:f>
        <x:v>1</x:v>
      </x:c>
      <x:c r="AU920" s="10" t="n">
        <x:f>AB920/INDEX(tun_RepScale,G920)</x:f>
        <x:v>290.3368848566301</x:v>
      </x:c>
      <x:c r="AV920" s="32" t="n">
        <x:f>AM920*60/tun_SeasonSeconds</x:f>
        <x:v>0</x:v>
      </x:c>
    </x:row>
    <x:row r="921">
      <x:c r="A921" s="8" t="n">
        <x:f>A920+1</x:f>
        <x:v>918</x:v>
      </x:c>
      <x:c r="B921" s="9" t="n">
        <x:f>A921*tun_SeasonSeconds/60</x:f>
        <x:v>229.5</x:v>
      </x:c>
      <x:c r="C921" s="9" t="n">
        <x:f>A921/4</x:f>
        <x:v>229.5</x:v>
      </x:c>
      <x:c r="D921" s="8" t="n">
        <x:f>IF(MOD(A921,4)=0,1,0)</x:f>
        <x:v>0</x:v>
      </x:c>
      <x:c r="E921" s="8" t="n">
        <x:f>IF(AND(F920&lt;=9,AS920&gt;=AR920),1,0)</x:f>
        <x:v>0</x:v>
      </x:c>
      <x:c r="F921" s="8" t="n">
        <x:f>MIN(10,F920+E921)</x:f>
        <x:v>10</x:v>
      </x:c>
      <x:c r="G921" s="8" t="n">
        <x:f>MIN(F921,9)+1</x:f>
        <x:v>10</x:v>
      </x:c>
      <x:c r="H921" s="8" t="n">
        <x:f>IF(F921&lt;=9,1,0)</x:f>
        <x:v>0</x:v>
      </x:c>
      <x:c r="I921" s="9" t="n">
        <x:f>MIN(10,F920+IF(AR920&gt;0,MIN(1,AS920/AR920),1))</x:f>
        <x:v>10</x:v>
      </x:c>
      <x:c r="J921" s="32" t="n">
        <x:f>INDEX(tun_FoodCap,G921)*Arch_FoodCap*EXP(tun_CapsByProject*SUMPRODUCT((Cap_Point&lt;=I921)*(Cap_Kind="Food")*Cap_Ln))</x:f>
        <x:v>18627.260449441455</x:v>
      </x:c>
      <x:c r="K921" s="32" t="n">
        <x:f>J921*MIN(1,tun_LeanBase*EXP(tun_CapsByProject*SUMPRODUCT((Cap_Point&lt;=I921)*(Cap_Kind="Lean")*Cap_Ln)))</x:f>
        <x:v>18627.260449441455</x:v>
      </x:c>
      <x:c r="L921" s="10" t="n">
        <x:f>INDEX(tun_HousingCap,G921)*EXP(tun_CapsByProject*SUMPRODUCT((Cap_Point&lt;=I921)*(Cap_Kind="Housing")*Cap_Ln))</x:f>
        <x:v>20528.974303173167</x:v>
      </x:c>
      <x:c r="M921" s="10" t="n">
        <x:f>INDEX(tun_GroupCap,G921)*tun_CohesionFactor*EXP(tun_CapsByProject*SUMPRODUCT((Cap_Point&lt;=I921)*(Cap_Kind="Group")*Cap_Ln))</x:f>
        <x:v>1000000.000000001</x:v>
      </x:c>
      <x:c r="N921" s="32" t="n">
        <x:f>MIN(J921,L921,M921)</x:f>
        <x:v>18627.260449441455</x:v>
      </x:c>
      <x:c r="O921" s="10" t="n">
        <x:f>AE920*N921</x:f>
        <x:v>167645.34404497308</x:v>
      </x:c>
      <x:c r="P921" s="9" t="n">
        <x:f>MIN(1,(AB920/(AE920*IF(tun_GroupInCrowding=1,N921,MIN(J921,L921))))^tun_CrowdingExp)</x:f>
        <x:v>0.4215841981292809</x:v>
      </x:c>
      <x:c r="Q921" s="9" t="n">
        <x:f>IF(D921=1,INDEX(tun_WinterMult,G921),1)</x:f>
        <x:v>1</x:v>
      </x:c>
      <x:c r="R921" s="9" t="n">
        <x:f>H921*Z920*tun_WomenShare*tun_BaseFertility*INDEX(tun_FertMult,G921)*Arch_Fertility*(1-P921)</x:f>
        <x:v>0</x:v>
      </x:c>
      <x:c r="S921" s="9" t="n">
        <x:f>H921*Y920*INDEX(tun_MortChild,G921)/4*Q921</x:f>
        <x:v>0</x:v>
      </x:c>
      <x:c r="T921" s="9" t="n">
        <x:f>H921*Z920*INDEX(tun_MortAdult,G921)*Arch_AdultMort/4*Q921</x:f>
        <x:v>0</x:v>
      </x:c>
      <x:c r="U921" s="9" t="n">
        <x:f>H921*AA920*INDEX(tun_MortElder,G921)/4*Q921</x:f>
        <x:v>0</x:v>
      </x:c>
      <x:c r="V921" s="9" t="n">
        <x:f>H921*MAX(0,AB920-O921)*tun_OvercapLoss</x:f>
        <x:v>0</x:v>
      </x:c>
      <x:c r="W921" s="9" t="n">
        <x:f>H921*Y920/(tun_ChildYears*4)</x:f>
        <x:v>0</x:v>
      </x:c>
      <x:c r="X921" s="9" t="n">
        <x:f>H921*Z920/(tun_AdultYears*4)</x:f>
        <x:v>0</x:v>
      </x:c>
      <x:c r="Y921" s="32" t="n">
        <x:f>Y920+R921-S921-W921-Y920*V921/AB920</x:f>
        <x:v>40496.20709015643</x:v>
      </x:c>
      <x:c r="Z921" s="32" t="n">
        <x:f>Z920+W921-X921-T921-Z920*V921/AB920</x:f>
        <x:v>59141.61122890803</x:v>
      </x:c>
      <x:c r="AA921" s="32" t="n">
        <x:f>AA920+X921-U921-AA920*V921/AB920</x:f>
        <x:v>45530.62410925061</x:v>
      </x:c>
      <x:c r="AB921" s="10" t="n">
        <x:f>Y921+Z921+AA921</x:f>
        <x:v>145168.44242831506</x:v>
      </x:c>
      <x:c r="AC921" s="8" t="n">
        <x:f>IF(AND(tun_WinterTrigger=1,D921=1,AB920/AE920&gt;=K921),1,0)</x:f>
        <x:v>0</x:v>
      </x:c>
      <x:c r="AD921" s="8" t="n">
        <x:f>H921*IF(AND(OR(AB920/AE920&gt;=tun_FissionTrigger*N921,AC921=1),AB920/AE920*tun_DaughterShare&gt;=tun_MinDaughter),MAX(1,ROUND(AE920*tun_FissionRate,0)),0)</x:f>
        <x:v>0</x:v>
      </x:c>
      <x:c r="AE921" s="8" t="n">
        <x:f>IF(H921=1,MAX(1,MIN(INDEX(tun_Smax,G921),AE920+AD921)),AE920)</x:f>
        <x:v>9</x:v>
      </x:c>
      <x:c r="AF921" s="8" t="n">
        <x:f>MAX(0,AE921-AE920)</x:f>
        <x:v>0</x:v>
      </x:c>
      <x:c r="AG921" s="9" t="str">
        <x:f>IF(AF921&gt;0,B921,"")</x:f>
      </x:c>
      <x:c r="AH921" s="9" t="n">
        <x:f>IF(F921&gt;=1,1,(1+tun_LowTiesShare*(AE921-1))/AE921)</x:f>
        <x:v>1</x:v>
      </x:c>
      <x:c r="AI921" s="32" t="n">
        <x:f>(Z921+tun_ElderCommons*INDEX(LM_Elder,G921)*AA921)*AH921</x:f>
        <x:v>238215.0665857503</x:v>
      </x:c>
      <x:c r="AJ921" s="32" t="n">
        <x:f>H921*tun_CommonsCoef*AI921^tun_CommonsExp*INDEX(LM_Commons,G921)</x:f>
        <x:v>0</x:v>
      </x:c>
      <x:c r="AK921" s="32" t="n">
        <x:f>H921*tun_RoleScale*Arch_Roles*(AE921*(INDEX(tun_ElderRolePerSett,G921)*tun_OutElder*INDEX(LM_Elder,G921)+INDEX(tun_ShamanPerSett,G921)*tun_OutShaman)+Z921*(INDEX(tun_PriestShare,G921)*tun_OutPriest+INDEX(tun_ScribeShare,G921)*tun_OutScribe*INDEX(LM_Scribe,G921)+INDEX(tun_ScholarShare,G921)*tun_OutScholar*INDEX(LM_Scholar,G921)+INDEX(tun_ResearcherShare,G921)*tun_OutResearcher*INDEX(LM_Researcher,G921)))</x:f>
        <x:v>0</x:v>
      </x:c>
      <x:c r="AL921" s="32" t="n">
        <x:f>H921*tun_RoleScale*Arch_Roles*AE921*INDEX(tun_MonasteryPerSett,G921)*tun_OutMonastery*INDEX(LM_Monastery,G921)</x:f>
        <x:v>0</x:v>
      </x:c>
      <x:c r="AM921" s="32" t="n">
        <x:f>(AJ921+AK921+AL921)/4*INDEX(LM_All,G921)*INDEX(tun_Boon,G921)*Arch_Insight</x:f>
        <x:v>0</x:v>
      </x:c>
      <x:c r="AN921" s="32" t="n">
        <x:f>H921*(tun_KHPerAdult*Z921+tun_KHOfCommons*AJ921/4*INDEX(LM_All,G921))*tun_KHUsable*Arch_KH</x:f>
        <x:v>0</x:v>
      </x:c>
      <x:c r="AO921" s="32" t="n">
        <x:f>MIN(AP920+AN921,AM921*tun_KHMaxRatio)</x:f>
        <x:v>0</x:v>
      </x:c>
      <x:c r="AP921" s="32" t="n">
        <x:f>AP920+AN921-AO921</x:f>
        <x:v>0</x:v>
      </x:c>
      <x:c r="AQ921" s="32" t="n">
        <x:f>AM921+AO921</x:f>
        <x:v>0</x:v>
      </x:c>
      <x:c r="AR921" s="10" t="n">
        <x:f>IF(H921=1,INDEX(tun_Req,G921),0)</x:f>
        <x:v>0</x:v>
      </x:c>
      <x:c r="AS921" s="32" t="n">
        <x:f>IF(H921=1,IF(E921=1,AS920-AR920,AS920)+AQ921,0)</x:f>
        <x:v>0</x:v>
      </x:c>
      <x:c r="AT921" s="11" t="n">
        <x:f>IF(AR921&gt;0,MIN(1,AS921/AR921),1)</x:f>
        <x:v>1</x:v>
      </x:c>
      <x:c r="AU921" s="10" t="n">
        <x:f>AB921/INDEX(tun_RepScale,G921)</x:f>
        <x:v>290.3368848566301</x:v>
      </x:c>
      <x:c r="AV921" s="32" t="n">
        <x:f>AM921*60/tun_SeasonSeconds</x:f>
        <x:v>0</x:v>
      </x:c>
    </x:row>
    <x:row r="922">
      <x:c r="A922" s="8" t="n">
        <x:f>A921+1</x:f>
        <x:v>919</x:v>
      </x:c>
      <x:c r="B922" s="9" t="n">
        <x:f>A922*tun_SeasonSeconds/60</x:f>
        <x:v>229.75</x:v>
      </x:c>
      <x:c r="C922" s="9" t="n">
        <x:f>A922/4</x:f>
        <x:v>229.75</x:v>
      </x:c>
      <x:c r="D922" s="8" t="n">
        <x:f>IF(MOD(A922,4)=0,1,0)</x:f>
        <x:v>0</x:v>
      </x:c>
      <x:c r="E922" s="8" t="n">
        <x:f>IF(AND(F921&lt;=9,AS921&gt;=AR921),1,0)</x:f>
        <x:v>0</x:v>
      </x:c>
      <x:c r="F922" s="8" t="n">
        <x:f>MIN(10,F921+E922)</x:f>
        <x:v>10</x:v>
      </x:c>
      <x:c r="G922" s="8" t="n">
        <x:f>MIN(F922,9)+1</x:f>
        <x:v>10</x:v>
      </x:c>
      <x:c r="H922" s="8" t="n">
        <x:f>IF(F922&lt;=9,1,0)</x:f>
        <x:v>0</x:v>
      </x:c>
      <x:c r="I922" s="9" t="n">
        <x:f>MIN(10,F921+IF(AR921&gt;0,MIN(1,AS921/AR921),1))</x:f>
        <x:v>10</x:v>
      </x:c>
      <x:c r="J922" s="32" t="n">
        <x:f>INDEX(tun_FoodCap,G922)*Arch_FoodCap*EXP(tun_CapsByProject*SUMPRODUCT((Cap_Point&lt;=I922)*(Cap_Kind="Food")*Cap_Ln))</x:f>
        <x:v>18627.260449441455</x:v>
      </x:c>
      <x:c r="K922" s="32" t="n">
        <x:f>J922*MIN(1,tun_LeanBase*EXP(tun_CapsByProject*SUMPRODUCT((Cap_Point&lt;=I922)*(Cap_Kind="Lean")*Cap_Ln)))</x:f>
        <x:v>18627.260449441455</x:v>
      </x:c>
      <x:c r="L922" s="10" t="n">
        <x:f>INDEX(tun_HousingCap,G922)*EXP(tun_CapsByProject*SUMPRODUCT((Cap_Point&lt;=I922)*(Cap_Kind="Housing")*Cap_Ln))</x:f>
        <x:v>20528.974303173167</x:v>
      </x:c>
      <x:c r="M922" s="10" t="n">
        <x:f>INDEX(tun_GroupCap,G922)*tun_CohesionFactor*EXP(tun_CapsByProject*SUMPRODUCT((Cap_Point&lt;=I922)*(Cap_Kind="Group")*Cap_Ln))</x:f>
        <x:v>1000000.000000001</x:v>
      </x:c>
      <x:c r="N922" s="32" t="n">
        <x:f>MIN(J922,L922,M922)</x:f>
        <x:v>18627.260449441455</x:v>
      </x:c>
      <x:c r="O922" s="10" t="n">
        <x:f>AE921*N922</x:f>
        <x:v>167645.34404497308</x:v>
      </x:c>
      <x:c r="P922" s="9" t="n">
        <x:f>MIN(1,(AB921/(AE921*IF(tun_GroupInCrowding=1,N922,MIN(J922,L922))))^tun_CrowdingExp)</x:f>
        <x:v>0.4215841981292809</x:v>
      </x:c>
      <x:c r="Q922" s="9" t="n">
        <x:f>IF(D922=1,INDEX(tun_WinterMult,G922),1)</x:f>
        <x:v>1</x:v>
      </x:c>
      <x:c r="R922" s="9" t="n">
        <x:f>H922*Z921*tun_WomenShare*tun_BaseFertility*INDEX(tun_FertMult,G922)*Arch_Fertility*(1-P922)</x:f>
        <x:v>0</x:v>
      </x:c>
      <x:c r="S922" s="9" t="n">
        <x:f>H922*Y921*INDEX(tun_MortChild,G922)/4*Q922</x:f>
        <x:v>0</x:v>
      </x:c>
      <x:c r="T922" s="9" t="n">
        <x:f>H922*Z921*INDEX(tun_MortAdult,G922)*Arch_AdultMort/4*Q922</x:f>
        <x:v>0</x:v>
      </x:c>
      <x:c r="U922" s="9" t="n">
        <x:f>H922*AA921*INDEX(tun_MortElder,G922)/4*Q922</x:f>
        <x:v>0</x:v>
      </x:c>
      <x:c r="V922" s="9" t="n">
        <x:f>H922*MAX(0,AB921-O922)*tun_OvercapLoss</x:f>
        <x:v>0</x:v>
      </x:c>
      <x:c r="W922" s="9" t="n">
        <x:f>H922*Y921/(tun_ChildYears*4)</x:f>
        <x:v>0</x:v>
      </x:c>
      <x:c r="X922" s="9" t="n">
        <x:f>H922*Z921/(tun_AdultYears*4)</x:f>
        <x:v>0</x:v>
      </x:c>
      <x:c r="Y922" s="32" t="n">
        <x:f>Y921+R922-S922-W922-Y921*V922/AB921</x:f>
        <x:v>40496.20709015643</x:v>
      </x:c>
      <x:c r="Z922" s="32" t="n">
        <x:f>Z921+W922-X922-T922-Z921*V922/AB921</x:f>
        <x:v>59141.61122890803</x:v>
      </x:c>
      <x:c r="AA922" s="32" t="n">
        <x:f>AA921+X922-U922-AA921*V922/AB921</x:f>
        <x:v>45530.62410925061</x:v>
      </x:c>
      <x:c r="AB922" s="10" t="n">
        <x:f>Y922+Z922+AA922</x:f>
        <x:v>145168.44242831506</x:v>
      </x:c>
      <x:c r="AC922" s="8" t="n">
        <x:f>IF(AND(tun_WinterTrigger=1,D922=1,AB921/AE921&gt;=K922),1,0)</x:f>
        <x:v>0</x:v>
      </x:c>
      <x:c r="AD922" s="8" t="n">
        <x:f>H922*IF(AND(OR(AB921/AE921&gt;=tun_FissionTrigger*N922,AC922=1),AB921/AE921*tun_DaughterShare&gt;=tun_MinDaughter),MAX(1,ROUND(AE921*tun_FissionRate,0)),0)</x:f>
        <x:v>0</x:v>
      </x:c>
      <x:c r="AE922" s="8" t="n">
        <x:f>IF(H922=1,MAX(1,MIN(INDEX(tun_Smax,G922),AE921+AD922)),AE921)</x:f>
        <x:v>9</x:v>
      </x:c>
      <x:c r="AF922" s="8" t="n">
        <x:f>MAX(0,AE922-AE921)</x:f>
        <x:v>0</x:v>
      </x:c>
      <x:c r="AG922" s="9" t="str">
        <x:f>IF(AF922&gt;0,B922,"")</x:f>
      </x:c>
      <x:c r="AH922" s="9" t="n">
        <x:f>IF(F922&gt;=1,1,(1+tun_LowTiesShare*(AE922-1))/AE922)</x:f>
        <x:v>1</x:v>
      </x:c>
      <x:c r="AI922" s="32" t="n">
        <x:f>(Z922+tun_ElderCommons*INDEX(LM_Elder,G922)*AA922)*AH922</x:f>
        <x:v>238215.0665857503</x:v>
      </x:c>
      <x:c r="AJ922" s="32" t="n">
        <x:f>H922*tun_CommonsCoef*AI922^tun_CommonsExp*INDEX(LM_Commons,G922)</x:f>
        <x:v>0</x:v>
      </x:c>
      <x:c r="AK922" s="32" t="n">
        <x:f>H922*tun_RoleScale*Arch_Roles*(AE922*(INDEX(tun_ElderRolePerSett,G922)*tun_OutElder*INDEX(LM_Elder,G922)+INDEX(tun_ShamanPerSett,G922)*tun_OutShaman)+Z922*(INDEX(tun_PriestShare,G922)*tun_OutPriest+INDEX(tun_ScribeShare,G922)*tun_OutScribe*INDEX(LM_Scribe,G922)+INDEX(tun_ScholarShare,G922)*tun_OutScholar*INDEX(LM_Scholar,G922)+INDEX(tun_ResearcherShare,G922)*tun_OutResearcher*INDEX(LM_Researcher,G922)))</x:f>
        <x:v>0</x:v>
      </x:c>
      <x:c r="AL922" s="32" t="n">
        <x:f>H922*tun_RoleScale*Arch_Roles*AE922*INDEX(tun_MonasteryPerSett,G922)*tun_OutMonastery*INDEX(LM_Monastery,G922)</x:f>
        <x:v>0</x:v>
      </x:c>
      <x:c r="AM922" s="32" t="n">
        <x:f>(AJ922+AK922+AL922)/4*INDEX(LM_All,G922)*INDEX(tun_Boon,G922)*Arch_Insight</x:f>
        <x:v>0</x:v>
      </x:c>
      <x:c r="AN922" s="32" t="n">
        <x:f>H922*(tun_KHPerAdult*Z922+tun_KHOfCommons*AJ922/4*INDEX(LM_All,G922))*tun_KHUsable*Arch_KH</x:f>
        <x:v>0</x:v>
      </x:c>
      <x:c r="AO922" s="32" t="n">
        <x:f>MIN(AP921+AN922,AM922*tun_KHMaxRatio)</x:f>
        <x:v>0</x:v>
      </x:c>
      <x:c r="AP922" s="32" t="n">
        <x:f>AP921+AN922-AO922</x:f>
        <x:v>0</x:v>
      </x:c>
      <x:c r="AQ922" s="32" t="n">
        <x:f>AM922+AO922</x:f>
        <x:v>0</x:v>
      </x:c>
      <x:c r="AR922" s="10" t="n">
        <x:f>IF(H922=1,INDEX(tun_Req,G922),0)</x:f>
        <x:v>0</x:v>
      </x:c>
      <x:c r="AS922" s="32" t="n">
        <x:f>IF(H922=1,IF(E922=1,AS921-AR921,AS921)+AQ922,0)</x:f>
        <x:v>0</x:v>
      </x:c>
      <x:c r="AT922" s="11" t="n">
        <x:f>IF(AR922&gt;0,MIN(1,AS922/AR922),1)</x:f>
        <x:v>1</x:v>
      </x:c>
      <x:c r="AU922" s="10" t="n">
        <x:f>AB922/INDEX(tun_RepScale,G922)</x:f>
        <x:v>290.3368848566301</x:v>
      </x:c>
      <x:c r="AV922" s="32" t="n">
        <x:f>AM922*60/tun_SeasonSeconds</x:f>
        <x:v>0</x:v>
      </x:c>
    </x:row>
    <x:row r="923">
      <x:c r="A923" s="8" t="n">
        <x:f>A922+1</x:f>
        <x:v>920</x:v>
      </x:c>
      <x:c r="B923" s="9" t="n">
        <x:f>A923*tun_SeasonSeconds/60</x:f>
        <x:v>230</x:v>
      </x:c>
      <x:c r="C923" s="9" t="n">
        <x:f>A923/4</x:f>
        <x:v>230</x:v>
      </x:c>
      <x:c r="D923" s="8" t="n">
        <x:f>IF(MOD(A923,4)=0,1,0)</x:f>
        <x:v>1</x:v>
      </x:c>
      <x:c r="E923" s="8" t="n">
        <x:f>IF(AND(F922&lt;=9,AS922&gt;=AR922),1,0)</x:f>
        <x:v>0</x:v>
      </x:c>
      <x:c r="F923" s="8" t="n">
        <x:f>MIN(10,F922+E923)</x:f>
        <x:v>10</x:v>
      </x:c>
      <x:c r="G923" s="8" t="n">
        <x:f>MIN(F923,9)+1</x:f>
        <x:v>10</x:v>
      </x:c>
      <x:c r="H923" s="8" t="n">
        <x:f>IF(F923&lt;=9,1,0)</x:f>
        <x:v>0</x:v>
      </x:c>
      <x:c r="I923" s="9" t="n">
        <x:f>MIN(10,F922+IF(AR922&gt;0,MIN(1,AS922/AR922),1))</x:f>
        <x:v>10</x:v>
      </x:c>
      <x:c r="J923" s="32" t="n">
        <x:f>INDEX(tun_FoodCap,G923)*Arch_FoodCap*EXP(tun_CapsByProject*SUMPRODUCT((Cap_Point&lt;=I923)*(Cap_Kind="Food")*Cap_Ln))</x:f>
        <x:v>18627.260449441455</x:v>
      </x:c>
      <x:c r="K923" s="32" t="n">
        <x:f>J923*MIN(1,tun_LeanBase*EXP(tun_CapsByProject*SUMPRODUCT((Cap_Point&lt;=I923)*(Cap_Kind="Lean")*Cap_Ln)))</x:f>
        <x:v>18627.260449441455</x:v>
      </x:c>
      <x:c r="L923" s="10" t="n">
        <x:f>INDEX(tun_HousingCap,G923)*EXP(tun_CapsByProject*SUMPRODUCT((Cap_Point&lt;=I923)*(Cap_Kind="Housing")*Cap_Ln))</x:f>
        <x:v>20528.974303173167</x:v>
      </x:c>
      <x:c r="M923" s="10" t="n">
        <x:f>INDEX(tun_GroupCap,G923)*tun_CohesionFactor*EXP(tun_CapsByProject*SUMPRODUCT((Cap_Point&lt;=I923)*(Cap_Kind="Group")*Cap_Ln))</x:f>
        <x:v>1000000.000000001</x:v>
      </x:c>
      <x:c r="N923" s="32" t="n">
        <x:f>MIN(J923,L923,M923)</x:f>
        <x:v>18627.260449441455</x:v>
      </x:c>
      <x:c r="O923" s="10" t="n">
        <x:f>AE922*N923</x:f>
        <x:v>167645.34404497308</x:v>
      </x:c>
      <x:c r="P923" s="9" t="n">
        <x:f>MIN(1,(AB922/(AE922*IF(tun_GroupInCrowding=1,N923,MIN(J923,L923))))^tun_CrowdingExp)</x:f>
        <x:v>0.4215841981292809</x:v>
      </x:c>
      <x:c r="Q923" s="9" t="n">
        <x:f>IF(D923=1,INDEX(tun_WinterMult,G923),1)</x:f>
        <x:v>1.05</x:v>
      </x:c>
      <x:c r="R923" s="9" t="n">
        <x:f>H923*Z922*tun_WomenShare*tun_BaseFertility*INDEX(tun_FertMult,G923)*Arch_Fertility*(1-P923)</x:f>
        <x:v>0</x:v>
      </x:c>
      <x:c r="S923" s="9" t="n">
        <x:f>H923*Y922*INDEX(tun_MortChild,G923)/4*Q923</x:f>
        <x:v>0</x:v>
      </x:c>
      <x:c r="T923" s="9" t="n">
        <x:f>H923*Z922*INDEX(tun_MortAdult,G923)*Arch_AdultMort/4*Q923</x:f>
        <x:v>0</x:v>
      </x:c>
      <x:c r="U923" s="9" t="n">
        <x:f>H923*AA922*INDEX(tun_MortElder,G923)/4*Q923</x:f>
        <x:v>0</x:v>
      </x:c>
      <x:c r="V923" s="9" t="n">
        <x:f>H923*MAX(0,AB922-O923)*tun_OvercapLoss</x:f>
        <x:v>0</x:v>
      </x:c>
      <x:c r="W923" s="9" t="n">
        <x:f>H923*Y922/(tun_ChildYears*4)</x:f>
        <x:v>0</x:v>
      </x:c>
      <x:c r="X923" s="9" t="n">
        <x:f>H923*Z922/(tun_AdultYears*4)</x:f>
        <x:v>0</x:v>
      </x:c>
      <x:c r="Y923" s="32" t="n">
        <x:f>Y922+R923-S923-W923-Y922*V923/AB922</x:f>
        <x:v>40496.20709015643</x:v>
      </x:c>
      <x:c r="Z923" s="32" t="n">
        <x:f>Z922+W923-X923-T923-Z922*V923/AB922</x:f>
        <x:v>59141.61122890803</x:v>
      </x:c>
      <x:c r="AA923" s="32" t="n">
        <x:f>AA922+X923-U923-AA922*V923/AB922</x:f>
        <x:v>45530.62410925061</x:v>
      </x:c>
      <x:c r="AB923" s="10" t="n">
        <x:f>Y923+Z923+AA923</x:f>
        <x:v>145168.44242831506</x:v>
      </x:c>
      <x:c r="AC923" s="8" t="n">
        <x:f>IF(AND(tun_WinterTrigger=1,D923=1,AB922/AE922&gt;=K923),1,0)</x:f>
        <x:v>0</x:v>
      </x:c>
      <x:c r="AD923" s="8" t="n">
        <x:f>H923*IF(AND(OR(AB922/AE922&gt;=tun_FissionTrigger*N923,AC923=1),AB922/AE922*tun_DaughterShare&gt;=tun_MinDaughter),MAX(1,ROUND(AE922*tun_FissionRate,0)),0)</x:f>
        <x:v>0</x:v>
      </x:c>
      <x:c r="AE923" s="8" t="n">
        <x:f>IF(H923=1,MAX(1,MIN(INDEX(tun_Smax,G923),AE922+AD923)),AE922)</x:f>
        <x:v>9</x:v>
      </x:c>
      <x:c r="AF923" s="8" t="n">
        <x:f>MAX(0,AE923-AE922)</x:f>
        <x:v>0</x:v>
      </x:c>
      <x:c r="AG923" s="9" t="str">
        <x:f>IF(AF923&gt;0,B923,"")</x:f>
      </x:c>
      <x:c r="AH923" s="9" t="n">
        <x:f>IF(F923&gt;=1,1,(1+tun_LowTiesShare*(AE923-1))/AE923)</x:f>
        <x:v>1</x:v>
      </x:c>
      <x:c r="AI923" s="32" t="n">
        <x:f>(Z923+tun_ElderCommons*INDEX(LM_Elder,G923)*AA923)*AH923</x:f>
        <x:v>238215.0665857503</x:v>
      </x:c>
      <x:c r="AJ923" s="32" t="n">
        <x:f>H923*tun_CommonsCoef*AI923^tun_CommonsExp*INDEX(LM_Commons,G923)</x:f>
        <x:v>0</x:v>
      </x:c>
      <x:c r="AK923" s="32" t="n">
        <x:f>H923*tun_RoleScale*Arch_Roles*(AE923*(INDEX(tun_ElderRolePerSett,G923)*tun_OutElder*INDEX(LM_Elder,G923)+INDEX(tun_ShamanPerSett,G923)*tun_OutShaman)+Z923*(INDEX(tun_PriestShare,G923)*tun_OutPriest+INDEX(tun_ScribeShare,G923)*tun_OutScribe*INDEX(LM_Scribe,G923)+INDEX(tun_ScholarShare,G923)*tun_OutScholar*INDEX(LM_Scholar,G923)+INDEX(tun_ResearcherShare,G923)*tun_OutResearcher*INDEX(LM_Researcher,G923)))</x:f>
        <x:v>0</x:v>
      </x:c>
      <x:c r="AL923" s="32" t="n">
        <x:f>H923*tun_RoleScale*Arch_Roles*AE923*INDEX(tun_MonasteryPerSett,G923)*tun_OutMonastery*INDEX(LM_Monastery,G923)</x:f>
        <x:v>0</x:v>
      </x:c>
      <x:c r="AM923" s="32" t="n">
        <x:f>(AJ923+AK923+AL923)/4*INDEX(LM_All,G923)*INDEX(tun_Boon,G923)*Arch_Insight</x:f>
        <x:v>0</x:v>
      </x:c>
      <x:c r="AN923" s="32" t="n">
        <x:f>H923*(tun_KHPerAdult*Z923+tun_KHOfCommons*AJ923/4*INDEX(LM_All,G923))*tun_KHUsable*Arch_KH</x:f>
        <x:v>0</x:v>
      </x:c>
      <x:c r="AO923" s="32" t="n">
        <x:f>MIN(AP922+AN923,AM923*tun_KHMaxRatio)</x:f>
        <x:v>0</x:v>
      </x:c>
      <x:c r="AP923" s="32" t="n">
        <x:f>AP922+AN923-AO923</x:f>
        <x:v>0</x:v>
      </x:c>
      <x:c r="AQ923" s="32" t="n">
        <x:f>AM923+AO923</x:f>
        <x:v>0</x:v>
      </x:c>
      <x:c r="AR923" s="10" t="n">
        <x:f>IF(H923=1,INDEX(tun_Req,G923),0)</x:f>
        <x:v>0</x:v>
      </x:c>
      <x:c r="AS923" s="32" t="n">
        <x:f>IF(H923=1,IF(E923=1,AS922-AR922,AS922)+AQ923,0)</x:f>
        <x:v>0</x:v>
      </x:c>
      <x:c r="AT923" s="11" t="n">
        <x:f>IF(AR923&gt;0,MIN(1,AS923/AR923),1)</x:f>
        <x:v>1</x:v>
      </x:c>
      <x:c r="AU923" s="10" t="n">
        <x:f>AB923/INDEX(tun_RepScale,G923)</x:f>
        <x:v>290.3368848566301</x:v>
      </x:c>
      <x:c r="AV923" s="32" t="n">
        <x:f>AM923*60/tun_SeasonSeconds</x:f>
        <x:v>0</x:v>
      </x:c>
    </x:row>
    <x:row r="924">
      <x:c r="A924" s="8" t="n">
        <x:f>A923+1</x:f>
        <x:v>921</x:v>
      </x:c>
      <x:c r="B924" s="9" t="n">
        <x:f>A924*tun_SeasonSeconds/60</x:f>
        <x:v>230.25</x:v>
      </x:c>
      <x:c r="C924" s="9" t="n">
        <x:f>A924/4</x:f>
        <x:v>230.25</x:v>
      </x:c>
      <x:c r="D924" s="8" t="n">
        <x:f>IF(MOD(A924,4)=0,1,0)</x:f>
        <x:v>0</x:v>
      </x:c>
      <x:c r="E924" s="8" t="n">
        <x:f>IF(AND(F923&lt;=9,AS923&gt;=AR923),1,0)</x:f>
        <x:v>0</x:v>
      </x:c>
      <x:c r="F924" s="8" t="n">
        <x:f>MIN(10,F923+E924)</x:f>
        <x:v>10</x:v>
      </x:c>
      <x:c r="G924" s="8" t="n">
        <x:f>MIN(F924,9)+1</x:f>
        <x:v>10</x:v>
      </x:c>
      <x:c r="H924" s="8" t="n">
        <x:f>IF(F924&lt;=9,1,0)</x:f>
        <x:v>0</x:v>
      </x:c>
      <x:c r="I924" s="9" t="n">
        <x:f>MIN(10,F923+IF(AR923&gt;0,MIN(1,AS923/AR923),1))</x:f>
        <x:v>10</x:v>
      </x:c>
      <x:c r="J924" s="32" t="n">
        <x:f>INDEX(tun_FoodCap,G924)*Arch_FoodCap*EXP(tun_CapsByProject*SUMPRODUCT((Cap_Point&lt;=I924)*(Cap_Kind="Food")*Cap_Ln))</x:f>
        <x:v>18627.260449441455</x:v>
      </x:c>
      <x:c r="K924" s="32" t="n">
        <x:f>J924*MIN(1,tun_LeanBase*EXP(tun_CapsByProject*SUMPRODUCT((Cap_Point&lt;=I924)*(Cap_Kind="Lean")*Cap_Ln)))</x:f>
        <x:v>18627.260449441455</x:v>
      </x:c>
      <x:c r="L924" s="10" t="n">
        <x:f>INDEX(tun_HousingCap,G924)*EXP(tun_CapsByProject*SUMPRODUCT((Cap_Point&lt;=I924)*(Cap_Kind="Housing")*Cap_Ln))</x:f>
        <x:v>20528.974303173167</x:v>
      </x:c>
      <x:c r="M924" s="10" t="n">
        <x:f>INDEX(tun_GroupCap,G924)*tun_CohesionFactor*EXP(tun_CapsByProject*SUMPRODUCT((Cap_Point&lt;=I924)*(Cap_Kind="Group")*Cap_Ln))</x:f>
        <x:v>1000000.000000001</x:v>
      </x:c>
      <x:c r="N924" s="32" t="n">
        <x:f>MIN(J924,L924,M924)</x:f>
        <x:v>18627.260449441455</x:v>
      </x:c>
      <x:c r="O924" s="10" t="n">
        <x:f>AE923*N924</x:f>
        <x:v>167645.34404497308</x:v>
      </x:c>
      <x:c r="P924" s="9" t="n">
        <x:f>MIN(1,(AB923/(AE923*IF(tun_GroupInCrowding=1,N924,MIN(J924,L924))))^tun_CrowdingExp)</x:f>
        <x:v>0.4215841981292809</x:v>
      </x:c>
      <x:c r="Q924" s="9" t="n">
        <x:f>IF(D924=1,INDEX(tun_WinterMult,G924),1)</x:f>
        <x:v>1</x:v>
      </x:c>
      <x:c r="R924" s="9" t="n">
        <x:f>H924*Z923*tun_WomenShare*tun_BaseFertility*INDEX(tun_FertMult,G924)*Arch_Fertility*(1-P924)</x:f>
        <x:v>0</x:v>
      </x:c>
      <x:c r="S924" s="9" t="n">
        <x:f>H924*Y923*INDEX(tun_MortChild,G924)/4*Q924</x:f>
        <x:v>0</x:v>
      </x:c>
      <x:c r="T924" s="9" t="n">
        <x:f>H924*Z923*INDEX(tun_MortAdult,G924)*Arch_AdultMort/4*Q924</x:f>
        <x:v>0</x:v>
      </x:c>
      <x:c r="U924" s="9" t="n">
        <x:f>H924*AA923*INDEX(tun_MortElder,G924)/4*Q924</x:f>
        <x:v>0</x:v>
      </x:c>
      <x:c r="V924" s="9" t="n">
        <x:f>H924*MAX(0,AB923-O924)*tun_OvercapLoss</x:f>
        <x:v>0</x:v>
      </x:c>
      <x:c r="W924" s="9" t="n">
        <x:f>H924*Y923/(tun_ChildYears*4)</x:f>
        <x:v>0</x:v>
      </x:c>
      <x:c r="X924" s="9" t="n">
        <x:f>H924*Z923/(tun_AdultYears*4)</x:f>
        <x:v>0</x:v>
      </x:c>
      <x:c r="Y924" s="32" t="n">
        <x:f>Y923+R924-S924-W924-Y923*V924/AB923</x:f>
        <x:v>40496.20709015643</x:v>
      </x:c>
      <x:c r="Z924" s="32" t="n">
        <x:f>Z923+W924-X924-T924-Z923*V924/AB923</x:f>
        <x:v>59141.61122890803</x:v>
      </x:c>
      <x:c r="AA924" s="32" t="n">
        <x:f>AA923+X924-U924-AA923*V924/AB923</x:f>
        <x:v>45530.62410925061</x:v>
      </x:c>
      <x:c r="AB924" s="10" t="n">
        <x:f>Y924+Z924+AA924</x:f>
        <x:v>145168.44242831506</x:v>
      </x:c>
      <x:c r="AC924" s="8" t="n">
        <x:f>IF(AND(tun_WinterTrigger=1,D924=1,AB923/AE923&gt;=K924),1,0)</x:f>
        <x:v>0</x:v>
      </x:c>
      <x:c r="AD924" s="8" t="n">
        <x:f>H924*IF(AND(OR(AB923/AE923&gt;=tun_FissionTrigger*N924,AC924=1),AB923/AE923*tun_DaughterShare&gt;=tun_MinDaughter),MAX(1,ROUND(AE923*tun_FissionRate,0)),0)</x:f>
        <x:v>0</x:v>
      </x:c>
      <x:c r="AE924" s="8" t="n">
        <x:f>IF(H924=1,MAX(1,MIN(INDEX(tun_Smax,G924),AE923+AD924)),AE923)</x:f>
        <x:v>9</x:v>
      </x:c>
      <x:c r="AF924" s="8" t="n">
        <x:f>MAX(0,AE924-AE923)</x:f>
        <x:v>0</x:v>
      </x:c>
      <x:c r="AG924" s="9" t="str">
        <x:f>IF(AF924&gt;0,B924,"")</x:f>
      </x:c>
      <x:c r="AH924" s="9" t="n">
        <x:f>IF(F924&gt;=1,1,(1+tun_LowTiesShare*(AE924-1))/AE924)</x:f>
        <x:v>1</x:v>
      </x:c>
      <x:c r="AI924" s="32" t="n">
        <x:f>(Z924+tun_ElderCommons*INDEX(LM_Elder,G924)*AA924)*AH924</x:f>
        <x:v>238215.0665857503</x:v>
      </x:c>
      <x:c r="AJ924" s="32" t="n">
        <x:f>H924*tun_CommonsCoef*AI924^tun_CommonsExp*INDEX(LM_Commons,G924)</x:f>
        <x:v>0</x:v>
      </x:c>
      <x:c r="AK924" s="32" t="n">
        <x:f>H924*tun_RoleScale*Arch_Roles*(AE924*(INDEX(tun_ElderRolePerSett,G924)*tun_OutElder*INDEX(LM_Elder,G924)+INDEX(tun_ShamanPerSett,G924)*tun_OutShaman)+Z924*(INDEX(tun_PriestShare,G924)*tun_OutPriest+INDEX(tun_ScribeShare,G924)*tun_OutScribe*INDEX(LM_Scribe,G924)+INDEX(tun_ScholarShare,G924)*tun_OutScholar*INDEX(LM_Scholar,G924)+INDEX(tun_ResearcherShare,G924)*tun_OutResearcher*INDEX(LM_Researcher,G924)))</x:f>
        <x:v>0</x:v>
      </x:c>
      <x:c r="AL924" s="32" t="n">
        <x:f>H924*tun_RoleScale*Arch_Roles*AE924*INDEX(tun_MonasteryPerSett,G924)*tun_OutMonastery*INDEX(LM_Monastery,G924)</x:f>
        <x:v>0</x:v>
      </x:c>
      <x:c r="AM924" s="32" t="n">
        <x:f>(AJ924+AK924+AL924)/4*INDEX(LM_All,G924)*INDEX(tun_Boon,G924)*Arch_Insight</x:f>
        <x:v>0</x:v>
      </x:c>
      <x:c r="AN924" s="32" t="n">
        <x:f>H924*(tun_KHPerAdult*Z924+tun_KHOfCommons*AJ924/4*INDEX(LM_All,G924))*tun_KHUsable*Arch_KH</x:f>
        <x:v>0</x:v>
      </x:c>
      <x:c r="AO924" s="32" t="n">
        <x:f>MIN(AP923+AN924,AM924*tun_KHMaxRatio)</x:f>
        <x:v>0</x:v>
      </x:c>
      <x:c r="AP924" s="32" t="n">
        <x:f>AP923+AN924-AO924</x:f>
        <x:v>0</x:v>
      </x:c>
      <x:c r="AQ924" s="32" t="n">
        <x:f>AM924+AO924</x:f>
        <x:v>0</x:v>
      </x:c>
      <x:c r="AR924" s="10" t="n">
        <x:f>IF(H924=1,INDEX(tun_Req,G924),0)</x:f>
        <x:v>0</x:v>
      </x:c>
      <x:c r="AS924" s="32" t="n">
        <x:f>IF(H924=1,IF(E924=1,AS923-AR923,AS923)+AQ924,0)</x:f>
        <x:v>0</x:v>
      </x:c>
      <x:c r="AT924" s="11" t="n">
        <x:f>IF(AR924&gt;0,MIN(1,AS924/AR924),1)</x:f>
        <x:v>1</x:v>
      </x:c>
      <x:c r="AU924" s="10" t="n">
        <x:f>AB924/INDEX(tun_RepScale,G924)</x:f>
        <x:v>290.3368848566301</x:v>
      </x:c>
      <x:c r="AV924" s="32" t="n">
        <x:f>AM924*60/tun_SeasonSeconds</x:f>
        <x:v>0</x:v>
      </x:c>
    </x:row>
    <x:row r="925">
      <x:c r="A925" s="8" t="n">
        <x:f>A924+1</x:f>
        <x:v>922</x:v>
      </x:c>
      <x:c r="B925" s="9" t="n">
        <x:f>A925*tun_SeasonSeconds/60</x:f>
        <x:v>230.5</x:v>
      </x:c>
      <x:c r="C925" s="9" t="n">
        <x:f>A925/4</x:f>
        <x:v>230.5</x:v>
      </x:c>
      <x:c r="D925" s="8" t="n">
        <x:f>IF(MOD(A925,4)=0,1,0)</x:f>
        <x:v>0</x:v>
      </x:c>
      <x:c r="E925" s="8" t="n">
        <x:f>IF(AND(F924&lt;=9,AS924&gt;=AR924),1,0)</x:f>
        <x:v>0</x:v>
      </x:c>
      <x:c r="F925" s="8" t="n">
        <x:f>MIN(10,F924+E925)</x:f>
        <x:v>10</x:v>
      </x:c>
      <x:c r="G925" s="8" t="n">
        <x:f>MIN(F925,9)+1</x:f>
        <x:v>10</x:v>
      </x:c>
      <x:c r="H925" s="8" t="n">
        <x:f>IF(F925&lt;=9,1,0)</x:f>
        <x:v>0</x:v>
      </x:c>
      <x:c r="I925" s="9" t="n">
        <x:f>MIN(10,F924+IF(AR924&gt;0,MIN(1,AS924/AR924),1))</x:f>
        <x:v>10</x:v>
      </x:c>
      <x:c r="J925" s="32" t="n">
        <x:f>INDEX(tun_FoodCap,G925)*Arch_FoodCap*EXP(tun_CapsByProject*SUMPRODUCT((Cap_Point&lt;=I925)*(Cap_Kind="Food")*Cap_Ln))</x:f>
        <x:v>18627.260449441455</x:v>
      </x:c>
      <x:c r="K925" s="32" t="n">
        <x:f>J925*MIN(1,tun_LeanBase*EXP(tun_CapsByProject*SUMPRODUCT((Cap_Point&lt;=I925)*(Cap_Kind="Lean")*Cap_Ln)))</x:f>
        <x:v>18627.260449441455</x:v>
      </x:c>
      <x:c r="L925" s="10" t="n">
        <x:f>INDEX(tun_HousingCap,G925)*EXP(tun_CapsByProject*SUMPRODUCT((Cap_Point&lt;=I925)*(Cap_Kind="Housing")*Cap_Ln))</x:f>
        <x:v>20528.974303173167</x:v>
      </x:c>
      <x:c r="M925" s="10" t="n">
        <x:f>INDEX(tun_GroupCap,G925)*tun_CohesionFactor*EXP(tun_CapsByProject*SUMPRODUCT((Cap_Point&lt;=I925)*(Cap_Kind="Group")*Cap_Ln))</x:f>
        <x:v>1000000.000000001</x:v>
      </x:c>
      <x:c r="N925" s="32" t="n">
        <x:f>MIN(J925,L925,M925)</x:f>
        <x:v>18627.260449441455</x:v>
      </x:c>
      <x:c r="O925" s="10" t="n">
        <x:f>AE924*N925</x:f>
        <x:v>167645.34404497308</x:v>
      </x:c>
      <x:c r="P925" s="9" t="n">
        <x:f>MIN(1,(AB924/(AE924*IF(tun_GroupInCrowding=1,N925,MIN(J925,L925))))^tun_CrowdingExp)</x:f>
        <x:v>0.4215841981292809</x:v>
      </x:c>
      <x:c r="Q925" s="9" t="n">
        <x:f>IF(D925=1,INDEX(tun_WinterMult,G925),1)</x:f>
        <x:v>1</x:v>
      </x:c>
      <x:c r="R925" s="9" t="n">
        <x:f>H925*Z924*tun_WomenShare*tun_BaseFertility*INDEX(tun_FertMult,G925)*Arch_Fertility*(1-P925)</x:f>
        <x:v>0</x:v>
      </x:c>
      <x:c r="S925" s="9" t="n">
        <x:f>H925*Y924*INDEX(tun_MortChild,G925)/4*Q925</x:f>
        <x:v>0</x:v>
      </x:c>
      <x:c r="T925" s="9" t="n">
        <x:f>H925*Z924*INDEX(tun_MortAdult,G925)*Arch_AdultMort/4*Q925</x:f>
        <x:v>0</x:v>
      </x:c>
      <x:c r="U925" s="9" t="n">
        <x:f>H925*AA924*INDEX(tun_MortElder,G925)/4*Q925</x:f>
        <x:v>0</x:v>
      </x:c>
      <x:c r="V925" s="9" t="n">
        <x:f>H925*MAX(0,AB924-O925)*tun_OvercapLoss</x:f>
        <x:v>0</x:v>
      </x:c>
      <x:c r="W925" s="9" t="n">
        <x:f>H925*Y924/(tun_ChildYears*4)</x:f>
        <x:v>0</x:v>
      </x:c>
      <x:c r="X925" s="9" t="n">
        <x:f>H925*Z924/(tun_AdultYears*4)</x:f>
        <x:v>0</x:v>
      </x:c>
      <x:c r="Y925" s="32" t="n">
        <x:f>Y924+R925-S925-W925-Y924*V925/AB924</x:f>
        <x:v>40496.20709015643</x:v>
      </x:c>
      <x:c r="Z925" s="32" t="n">
        <x:f>Z924+W925-X925-T925-Z924*V925/AB924</x:f>
        <x:v>59141.61122890803</x:v>
      </x:c>
      <x:c r="AA925" s="32" t="n">
        <x:f>AA924+X925-U925-AA924*V925/AB924</x:f>
        <x:v>45530.62410925061</x:v>
      </x:c>
      <x:c r="AB925" s="10" t="n">
        <x:f>Y925+Z925+AA925</x:f>
        <x:v>145168.44242831506</x:v>
      </x:c>
      <x:c r="AC925" s="8" t="n">
        <x:f>IF(AND(tun_WinterTrigger=1,D925=1,AB924/AE924&gt;=K925),1,0)</x:f>
        <x:v>0</x:v>
      </x:c>
      <x:c r="AD925" s="8" t="n">
        <x:f>H925*IF(AND(OR(AB924/AE924&gt;=tun_FissionTrigger*N925,AC925=1),AB924/AE924*tun_DaughterShare&gt;=tun_MinDaughter),MAX(1,ROUND(AE924*tun_FissionRate,0)),0)</x:f>
        <x:v>0</x:v>
      </x:c>
      <x:c r="AE925" s="8" t="n">
        <x:f>IF(H925=1,MAX(1,MIN(INDEX(tun_Smax,G925),AE924+AD925)),AE924)</x:f>
        <x:v>9</x:v>
      </x:c>
      <x:c r="AF925" s="8" t="n">
        <x:f>MAX(0,AE925-AE924)</x:f>
        <x:v>0</x:v>
      </x:c>
      <x:c r="AG925" s="9" t="str">
        <x:f>IF(AF925&gt;0,B925,"")</x:f>
      </x:c>
      <x:c r="AH925" s="9" t="n">
        <x:f>IF(F925&gt;=1,1,(1+tun_LowTiesShare*(AE925-1))/AE925)</x:f>
        <x:v>1</x:v>
      </x:c>
      <x:c r="AI925" s="32" t="n">
        <x:f>(Z925+tun_ElderCommons*INDEX(LM_Elder,G925)*AA925)*AH925</x:f>
        <x:v>238215.0665857503</x:v>
      </x:c>
      <x:c r="AJ925" s="32" t="n">
        <x:f>H925*tun_CommonsCoef*AI925^tun_CommonsExp*INDEX(LM_Commons,G925)</x:f>
        <x:v>0</x:v>
      </x:c>
      <x:c r="AK925" s="32" t="n">
        <x:f>H925*tun_RoleScale*Arch_Roles*(AE925*(INDEX(tun_ElderRolePerSett,G925)*tun_OutElder*INDEX(LM_Elder,G925)+INDEX(tun_ShamanPerSett,G925)*tun_OutShaman)+Z925*(INDEX(tun_PriestShare,G925)*tun_OutPriest+INDEX(tun_ScribeShare,G925)*tun_OutScribe*INDEX(LM_Scribe,G925)+INDEX(tun_ScholarShare,G925)*tun_OutScholar*INDEX(LM_Scholar,G925)+INDEX(tun_ResearcherShare,G925)*tun_OutResearcher*INDEX(LM_Researcher,G925)))</x:f>
        <x:v>0</x:v>
      </x:c>
      <x:c r="AL925" s="32" t="n">
        <x:f>H925*tun_RoleScale*Arch_Roles*AE925*INDEX(tun_MonasteryPerSett,G925)*tun_OutMonastery*INDEX(LM_Monastery,G925)</x:f>
        <x:v>0</x:v>
      </x:c>
      <x:c r="AM925" s="32" t="n">
        <x:f>(AJ925+AK925+AL925)/4*INDEX(LM_All,G925)*INDEX(tun_Boon,G925)*Arch_Insight</x:f>
        <x:v>0</x:v>
      </x:c>
      <x:c r="AN925" s="32" t="n">
        <x:f>H925*(tun_KHPerAdult*Z925+tun_KHOfCommons*AJ925/4*INDEX(LM_All,G925))*tun_KHUsable*Arch_KH</x:f>
        <x:v>0</x:v>
      </x:c>
      <x:c r="AO925" s="32" t="n">
        <x:f>MIN(AP924+AN925,AM925*tun_KHMaxRatio)</x:f>
        <x:v>0</x:v>
      </x:c>
      <x:c r="AP925" s="32" t="n">
        <x:f>AP924+AN925-AO925</x:f>
        <x:v>0</x:v>
      </x:c>
      <x:c r="AQ925" s="32" t="n">
        <x:f>AM925+AO925</x:f>
        <x:v>0</x:v>
      </x:c>
      <x:c r="AR925" s="10" t="n">
        <x:f>IF(H925=1,INDEX(tun_Req,G925),0)</x:f>
        <x:v>0</x:v>
      </x:c>
      <x:c r="AS925" s="32" t="n">
        <x:f>IF(H925=1,IF(E925=1,AS924-AR924,AS924)+AQ925,0)</x:f>
        <x:v>0</x:v>
      </x:c>
      <x:c r="AT925" s="11" t="n">
        <x:f>IF(AR925&gt;0,MIN(1,AS925/AR925),1)</x:f>
        <x:v>1</x:v>
      </x:c>
      <x:c r="AU925" s="10" t="n">
        <x:f>AB925/INDEX(tun_RepScale,G925)</x:f>
        <x:v>290.3368848566301</x:v>
      </x:c>
      <x:c r="AV925" s="32" t="n">
        <x:f>AM925*60/tun_SeasonSeconds</x:f>
        <x:v>0</x:v>
      </x:c>
    </x:row>
    <x:row r="926">
      <x:c r="A926" s="8" t="n">
        <x:f>A925+1</x:f>
        <x:v>923</x:v>
      </x:c>
      <x:c r="B926" s="9" t="n">
        <x:f>A926*tun_SeasonSeconds/60</x:f>
        <x:v>230.75</x:v>
      </x:c>
      <x:c r="C926" s="9" t="n">
        <x:f>A926/4</x:f>
        <x:v>230.75</x:v>
      </x:c>
      <x:c r="D926" s="8" t="n">
        <x:f>IF(MOD(A926,4)=0,1,0)</x:f>
        <x:v>0</x:v>
      </x:c>
      <x:c r="E926" s="8" t="n">
        <x:f>IF(AND(F925&lt;=9,AS925&gt;=AR925),1,0)</x:f>
        <x:v>0</x:v>
      </x:c>
      <x:c r="F926" s="8" t="n">
        <x:f>MIN(10,F925+E926)</x:f>
        <x:v>10</x:v>
      </x:c>
      <x:c r="G926" s="8" t="n">
        <x:f>MIN(F926,9)+1</x:f>
        <x:v>10</x:v>
      </x:c>
      <x:c r="H926" s="8" t="n">
        <x:f>IF(F926&lt;=9,1,0)</x:f>
        <x:v>0</x:v>
      </x:c>
      <x:c r="I926" s="9" t="n">
        <x:f>MIN(10,F925+IF(AR925&gt;0,MIN(1,AS925/AR925),1))</x:f>
        <x:v>10</x:v>
      </x:c>
      <x:c r="J926" s="32" t="n">
        <x:f>INDEX(tun_FoodCap,G926)*Arch_FoodCap*EXP(tun_CapsByProject*SUMPRODUCT((Cap_Point&lt;=I926)*(Cap_Kind="Food")*Cap_Ln))</x:f>
        <x:v>18627.260449441455</x:v>
      </x:c>
      <x:c r="K926" s="32" t="n">
        <x:f>J926*MIN(1,tun_LeanBase*EXP(tun_CapsByProject*SUMPRODUCT((Cap_Point&lt;=I926)*(Cap_Kind="Lean")*Cap_Ln)))</x:f>
        <x:v>18627.260449441455</x:v>
      </x:c>
      <x:c r="L926" s="10" t="n">
        <x:f>INDEX(tun_HousingCap,G926)*EXP(tun_CapsByProject*SUMPRODUCT((Cap_Point&lt;=I926)*(Cap_Kind="Housing")*Cap_Ln))</x:f>
        <x:v>20528.974303173167</x:v>
      </x:c>
      <x:c r="M926" s="10" t="n">
        <x:f>INDEX(tun_GroupCap,G926)*tun_CohesionFactor*EXP(tun_CapsByProject*SUMPRODUCT((Cap_Point&lt;=I926)*(Cap_Kind="Group")*Cap_Ln))</x:f>
        <x:v>1000000.000000001</x:v>
      </x:c>
      <x:c r="N926" s="32" t="n">
        <x:f>MIN(J926,L926,M926)</x:f>
        <x:v>18627.260449441455</x:v>
      </x:c>
      <x:c r="O926" s="10" t="n">
        <x:f>AE925*N926</x:f>
        <x:v>167645.34404497308</x:v>
      </x:c>
      <x:c r="P926" s="9" t="n">
        <x:f>MIN(1,(AB925/(AE925*IF(tun_GroupInCrowding=1,N926,MIN(J926,L926))))^tun_CrowdingExp)</x:f>
        <x:v>0.4215841981292809</x:v>
      </x:c>
      <x:c r="Q926" s="9" t="n">
        <x:f>IF(D926=1,INDEX(tun_WinterMult,G926),1)</x:f>
        <x:v>1</x:v>
      </x:c>
      <x:c r="R926" s="9" t="n">
        <x:f>H926*Z925*tun_WomenShare*tun_BaseFertility*INDEX(tun_FertMult,G926)*Arch_Fertility*(1-P926)</x:f>
        <x:v>0</x:v>
      </x:c>
      <x:c r="S926" s="9" t="n">
        <x:f>H926*Y925*INDEX(tun_MortChild,G926)/4*Q926</x:f>
        <x:v>0</x:v>
      </x:c>
      <x:c r="T926" s="9" t="n">
        <x:f>H926*Z925*INDEX(tun_MortAdult,G926)*Arch_AdultMort/4*Q926</x:f>
        <x:v>0</x:v>
      </x:c>
      <x:c r="U926" s="9" t="n">
        <x:f>H926*AA925*INDEX(tun_MortElder,G926)/4*Q926</x:f>
        <x:v>0</x:v>
      </x:c>
      <x:c r="V926" s="9" t="n">
        <x:f>H926*MAX(0,AB925-O926)*tun_OvercapLoss</x:f>
        <x:v>0</x:v>
      </x:c>
      <x:c r="W926" s="9" t="n">
        <x:f>H926*Y925/(tun_ChildYears*4)</x:f>
        <x:v>0</x:v>
      </x:c>
      <x:c r="X926" s="9" t="n">
        <x:f>H926*Z925/(tun_AdultYears*4)</x:f>
        <x:v>0</x:v>
      </x:c>
      <x:c r="Y926" s="32" t="n">
        <x:f>Y925+R926-S926-W926-Y925*V926/AB925</x:f>
        <x:v>40496.20709015643</x:v>
      </x:c>
      <x:c r="Z926" s="32" t="n">
        <x:f>Z925+W926-X926-T926-Z925*V926/AB925</x:f>
        <x:v>59141.61122890803</x:v>
      </x:c>
      <x:c r="AA926" s="32" t="n">
        <x:f>AA925+X926-U926-AA925*V926/AB925</x:f>
        <x:v>45530.62410925061</x:v>
      </x:c>
      <x:c r="AB926" s="10" t="n">
        <x:f>Y926+Z926+AA926</x:f>
        <x:v>145168.44242831506</x:v>
      </x:c>
      <x:c r="AC926" s="8" t="n">
        <x:f>IF(AND(tun_WinterTrigger=1,D926=1,AB925/AE925&gt;=K926),1,0)</x:f>
        <x:v>0</x:v>
      </x:c>
      <x:c r="AD926" s="8" t="n">
        <x:f>H926*IF(AND(OR(AB925/AE925&gt;=tun_FissionTrigger*N926,AC926=1),AB925/AE925*tun_DaughterShare&gt;=tun_MinDaughter),MAX(1,ROUND(AE925*tun_FissionRate,0)),0)</x:f>
        <x:v>0</x:v>
      </x:c>
      <x:c r="AE926" s="8" t="n">
        <x:f>IF(H926=1,MAX(1,MIN(INDEX(tun_Smax,G926),AE925+AD926)),AE925)</x:f>
        <x:v>9</x:v>
      </x:c>
      <x:c r="AF926" s="8" t="n">
        <x:f>MAX(0,AE926-AE925)</x:f>
        <x:v>0</x:v>
      </x:c>
      <x:c r="AG926" s="9" t="str">
        <x:f>IF(AF926&gt;0,B926,"")</x:f>
      </x:c>
      <x:c r="AH926" s="9" t="n">
        <x:f>IF(F926&gt;=1,1,(1+tun_LowTiesShare*(AE926-1))/AE926)</x:f>
        <x:v>1</x:v>
      </x:c>
      <x:c r="AI926" s="32" t="n">
        <x:f>(Z926+tun_ElderCommons*INDEX(LM_Elder,G926)*AA926)*AH926</x:f>
        <x:v>238215.0665857503</x:v>
      </x:c>
      <x:c r="AJ926" s="32" t="n">
        <x:f>H926*tun_CommonsCoef*AI926^tun_CommonsExp*INDEX(LM_Commons,G926)</x:f>
        <x:v>0</x:v>
      </x:c>
      <x:c r="AK926" s="32" t="n">
        <x:f>H926*tun_RoleScale*Arch_Roles*(AE926*(INDEX(tun_ElderRolePerSett,G926)*tun_OutElder*INDEX(LM_Elder,G926)+INDEX(tun_ShamanPerSett,G926)*tun_OutShaman)+Z926*(INDEX(tun_PriestShare,G926)*tun_OutPriest+INDEX(tun_ScribeShare,G926)*tun_OutScribe*INDEX(LM_Scribe,G926)+INDEX(tun_ScholarShare,G926)*tun_OutScholar*INDEX(LM_Scholar,G926)+INDEX(tun_ResearcherShare,G926)*tun_OutResearcher*INDEX(LM_Researcher,G926)))</x:f>
        <x:v>0</x:v>
      </x:c>
      <x:c r="AL926" s="32" t="n">
        <x:f>H926*tun_RoleScale*Arch_Roles*AE926*INDEX(tun_MonasteryPerSett,G926)*tun_OutMonastery*INDEX(LM_Monastery,G926)</x:f>
        <x:v>0</x:v>
      </x:c>
      <x:c r="AM926" s="32" t="n">
        <x:f>(AJ926+AK926+AL926)/4*INDEX(LM_All,G926)*INDEX(tun_Boon,G926)*Arch_Insight</x:f>
        <x:v>0</x:v>
      </x:c>
      <x:c r="AN926" s="32" t="n">
        <x:f>H926*(tun_KHPerAdult*Z926+tun_KHOfCommons*AJ926/4*INDEX(LM_All,G926))*tun_KHUsable*Arch_KH</x:f>
        <x:v>0</x:v>
      </x:c>
      <x:c r="AO926" s="32" t="n">
        <x:f>MIN(AP925+AN926,AM926*tun_KHMaxRatio)</x:f>
        <x:v>0</x:v>
      </x:c>
      <x:c r="AP926" s="32" t="n">
        <x:f>AP925+AN926-AO926</x:f>
        <x:v>0</x:v>
      </x:c>
      <x:c r="AQ926" s="32" t="n">
        <x:f>AM926+AO926</x:f>
        <x:v>0</x:v>
      </x:c>
      <x:c r="AR926" s="10" t="n">
        <x:f>IF(H926=1,INDEX(tun_Req,G926),0)</x:f>
        <x:v>0</x:v>
      </x:c>
      <x:c r="AS926" s="32" t="n">
        <x:f>IF(H926=1,IF(E926=1,AS925-AR925,AS925)+AQ926,0)</x:f>
        <x:v>0</x:v>
      </x:c>
      <x:c r="AT926" s="11" t="n">
        <x:f>IF(AR926&gt;0,MIN(1,AS926/AR926),1)</x:f>
        <x:v>1</x:v>
      </x:c>
      <x:c r="AU926" s="10" t="n">
        <x:f>AB926/INDEX(tun_RepScale,G926)</x:f>
        <x:v>290.3368848566301</x:v>
      </x:c>
      <x:c r="AV926" s="32" t="n">
        <x:f>AM926*60/tun_SeasonSeconds</x:f>
        <x:v>0</x:v>
      </x:c>
    </x:row>
    <x:row r="927">
      <x:c r="A927" s="8" t="n">
        <x:f>A926+1</x:f>
        <x:v>924</x:v>
      </x:c>
      <x:c r="B927" s="9" t="n">
        <x:f>A927*tun_SeasonSeconds/60</x:f>
        <x:v>231</x:v>
      </x:c>
      <x:c r="C927" s="9" t="n">
        <x:f>A927/4</x:f>
        <x:v>231</x:v>
      </x:c>
      <x:c r="D927" s="8" t="n">
        <x:f>IF(MOD(A927,4)=0,1,0)</x:f>
        <x:v>1</x:v>
      </x:c>
      <x:c r="E927" s="8" t="n">
        <x:f>IF(AND(F926&lt;=9,AS926&gt;=AR926),1,0)</x:f>
        <x:v>0</x:v>
      </x:c>
      <x:c r="F927" s="8" t="n">
        <x:f>MIN(10,F926+E927)</x:f>
        <x:v>10</x:v>
      </x:c>
      <x:c r="G927" s="8" t="n">
        <x:f>MIN(F927,9)+1</x:f>
        <x:v>10</x:v>
      </x:c>
      <x:c r="H927" s="8" t="n">
        <x:f>IF(F927&lt;=9,1,0)</x:f>
        <x:v>0</x:v>
      </x:c>
      <x:c r="I927" s="9" t="n">
        <x:f>MIN(10,F926+IF(AR926&gt;0,MIN(1,AS926/AR926),1))</x:f>
        <x:v>10</x:v>
      </x:c>
      <x:c r="J927" s="32" t="n">
        <x:f>INDEX(tun_FoodCap,G927)*Arch_FoodCap*EXP(tun_CapsByProject*SUMPRODUCT((Cap_Point&lt;=I927)*(Cap_Kind="Food")*Cap_Ln))</x:f>
        <x:v>18627.260449441455</x:v>
      </x:c>
      <x:c r="K927" s="32" t="n">
        <x:f>J927*MIN(1,tun_LeanBase*EXP(tun_CapsByProject*SUMPRODUCT((Cap_Point&lt;=I927)*(Cap_Kind="Lean")*Cap_Ln)))</x:f>
        <x:v>18627.260449441455</x:v>
      </x:c>
      <x:c r="L927" s="10" t="n">
        <x:f>INDEX(tun_HousingCap,G927)*EXP(tun_CapsByProject*SUMPRODUCT((Cap_Point&lt;=I927)*(Cap_Kind="Housing")*Cap_Ln))</x:f>
        <x:v>20528.974303173167</x:v>
      </x:c>
      <x:c r="M927" s="10" t="n">
        <x:f>INDEX(tun_GroupCap,G927)*tun_CohesionFactor*EXP(tun_CapsByProject*SUMPRODUCT((Cap_Point&lt;=I927)*(Cap_Kind="Group")*Cap_Ln))</x:f>
        <x:v>1000000.000000001</x:v>
      </x:c>
      <x:c r="N927" s="32" t="n">
        <x:f>MIN(J927,L927,M927)</x:f>
        <x:v>18627.260449441455</x:v>
      </x:c>
      <x:c r="O927" s="10" t="n">
        <x:f>AE926*N927</x:f>
        <x:v>167645.34404497308</x:v>
      </x:c>
      <x:c r="P927" s="9" t="n">
        <x:f>MIN(1,(AB926/(AE926*IF(tun_GroupInCrowding=1,N927,MIN(J927,L927))))^tun_CrowdingExp)</x:f>
        <x:v>0.4215841981292809</x:v>
      </x:c>
      <x:c r="Q927" s="9" t="n">
        <x:f>IF(D927=1,INDEX(tun_WinterMult,G927),1)</x:f>
        <x:v>1.05</x:v>
      </x:c>
      <x:c r="R927" s="9" t="n">
        <x:f>H927*Z926*tun_WomenShare*tun_BaseFertility*INDEX(tun_FertMult,G927)*Arch_Fertility*(1-P927)</x:f>
        <x:v>0</x:v>
      </x:c>
      <x:c r="S927" s="9" t="n">
        <x:f>H927*Y926*INDEX(tun_MortChild,G927)/4*Q927</x:f>
        <x:v>0</x:v>
      </x:c>
      <x:c r="T927" s="9" t="n">
        <x:f>H927*Z926*INDEX(tun_MortAdult,G927)*Arch_AdultMort/4*Q927</x:f>
        <x:v>0</x:v>
      </x:c>
      <x:c r="U927" s="9" t="n">
        <x:f>H927*AA926*INDEX(tun_MortElder,G927)/4*Q927</x:f>
        <x:v>0</x:v>
      </x:c>
      <x:c r="V927" s="9" t="n">
        <x:f>H927*MAX(0,AB926-O927)*tun_OvercapLoss</x:f>
        <x:v>0</x:v>
      </x:c>
      <x:c r="W927" s="9" t="n">
        <x:f>H927*Y926/(tun_ChildYears*4)</x:f>
        <x:v>0</x:v>
      </x:c>
      <x:c r="X927" s="9" t="n">
        <x:f>H927*Z926/(tun_AdultYears*4)</x:f>
        <x:v>0</x:v>
      </x:c>
      <x:c r="Y927" s="32" t="n">
        <x:f>Y926+R927-S927-W927-Y926*V927/AB926</x:f>
        <x:v>40496.20709015643</x:v>
      </x:c>
      <x:c r="Z927" s="32" t="n">
        <x:f>Z926+W927-X927-T927-Z926*V927/AB926</x:f>
        <x:v>59141.61122890803</x:v>
      </x:c>
      <x:c r="AA927" s="32" t="n">
        <x:f>AA926+X927-U927-AA926*V927/AB926</x:f>
        <x:v>45530.62410925061</x:v>
      </x:c>
      <x:c r="AB927" s="10" t="n">
        <x:f>Y927+Z927+AA927</x:f>
        <x:v>145168.44242831506</x:v>
      </x:c>
      <x:c r="AC927" s="8" t="n">
        <x:f>IF(AND(tun_WinterTrigger=1,D927=1,AB926/AE926&gt;=K927),1,0)</x:f>
        <x:v>0</x:v>
      </x:c>
      <x:c r="AD927" s="8" t="n">
        <x:f>H927*IF(AND(OR(AB926/AE926&gt;=tun_FissionTrigger*N927,AC927=1),AB926/AE926*tun_DaughterShare&gt;=tun_MinDaughter),MAX(1,ROUND(AE926*tun_FissionRate,0)),0)</x:f>
        <x:v>0</x:v>
      </x:c>
      <x:c r="AE927" s="8" t="n">
        <x:f>IF(H927=1,MAX(1,MIN(INDEX(tun_Smax,G927),AE926+AD927)),AE926)</x:f>
        <x:v>9</x:v>
      </x:c>
      <x:c r="AF927" s="8" t="n">
        <x:f>MAX(0,AE927-AE926)</x:f>
        <x:v>0</x:v>
      </x:c>
      <x:c r="AG927" s="9" t="str">
        <x:f>IF(AF927&gt;0,B927,"")</x:f>
      </x:c>
      <x:c r="AH927" s="9" t="n">
        <x:f>IF(F927&gt;=1,1,(1+tun_LowTiesShare*(AE927-1))/AE927)</x:f>
        <x:v>1</x:v>
      </x:c>
      <x:c r="AI927" s="32" t="n">
        <x:f>(Z927+tun_ElderCommons*INDEX(LM_Elder,G927)*AA927)*AH927</x:f>
        <x:v>238215.0665857503</x:v>
      </x:c>
      <x:c r="AJ927" s="32" t="n">
        <x:f>H927*tun_CommonsCoef*AI927^tun_CommonsExp*INDEX(LM_Commons,G927)</x:f>
        <x:v>0</x:v>
      </x:c>
      <x:c r="AK927" s="32" t="n">
        <x:f>H927*tun_RoleScale*Arch_Roles*(AE927*(INDEX(tun_ElderRolePerSett,G927)*tun_OutElder*INDEX(LM_Elder,G927)+INDEX(tun_ShamanPerSett,G927)*tun_OutShaman)+Z927*(INDEX(tun_PriestShare,G927)*tun_OutPriest+INDEX(tun_ScribeShare,G927)*tun_OutScribe*INDEX(LM_Scribe,G927)+INDEX(tun_ScholarShare,G927)*tun_OutScholar*INDEX(LM_Scholar,G927)+INDEX(tun_ResearcherShare,G927)*tun_OutResearcher*INDEX(LM_Researcher,G927)))</x:f>
        <x:v>0</x:v>
      </x:c>
      <x:c r="AL927" s="32" t="n">
        <x:f>H927*tun_RoleScale*Arch_Roles*AE927*INDEX(tun_MonasteryPerSett,G927)*tun_OutMonastery*INDEX(LM_Monastery,G927)</x:f>
        <x:v>0</x:v>
      </x:c>
      <x:c r="AM927" s="32" t="n">
        <x:f>(AJ927+AK927+AL927)/4*INDEX(LM_All,G927)*INDEX(tun_Boon,G927)*Arch_Insight</x:f>
        <x:v>0</x:v>
      </x:c>
      <x:c r="AN927" s="32" t="n">
        <x:f>H927*(tun_KHPerAdult*Z927+tun_KHOfCommons*AJ927/4*INDEX(LM_All,G927))*tun_KHUsable*Arch_KH</x:f>
        <x:v>0</x:v>
      </x:c>
      <x:c r="AO927" s="32" t="n">
        <x:f>MIN(AP926+AN927,AM927*tun_KHMaxRatio)</x:f>
        <x:v>0</x:v>
      </x:c>
      <x:c r="AP927" s="32" t="n">
        <x:f>AP926+AN927-AO927</x:f>
        <x:v>0</x:v>
      </x:c>
      <x:c r="AQ927" s="32" t="n">
        <x:f>AM927+AO927</x:f>
        <x:v>0</x:v>
      </x:c>
      <x:c r="AR927" s="10" t="n">
        <x:f>IF(H927=1,INDEX(tun_Req,G927),0)</x:f>
        <x:v>0</x:v>
      </x:c>
      <x:c r="AS927" s="32" t="n">
        <x:f>IF(H927=1,IF(E927=1,AS926-AR926,AS926)+AQ927,0)</x:f>
        <x:v>0</x:v>
      </x:c>
      <x:c r="AT927" s="11" t="n">
        <x:f>IF(AR927&gt;0,MIN(1,AS927/AR927),1)</x:f>
        <x:v>1</x:v>
      </x:c>
      <x:c r="AU927" s="10" t="n">
        <x:f>AB927/INDEX(tun_RepScale,G927)</x:f>
        <x:v>290.3368848566301</x:v>
      </x:c>
      <x:c r="AV927" s="32" t="n">
        <x:f>AM927*60/tun_SeasonSeconds</x:f>
        <x:v>0</x:v>
      </x:c>
    </x:row>
    <x:row r="928">
      <x:c r="A928" s="8" t="n">
        <x:f>A927+1</x:f>
        <x:v>925</x:v>
      </x:c>
      <x:c r="B928" s="9" t="n">
        <x:f>A928*tun_SeasonSeconds/60</x:f>
        <x:v>231.25</x:v>
      </x:c>
      <x:c r="C928" s="9" t="n">
        <x:f>A928/4</x:f>
        <x:v>231.25</x:v>
      </x:c>
      <x:c r="D928" s="8" t="n">
        <x:f>IF(MOD(A928,4)=0,1,0)</x:f>
        <x:v>0</x:v>
      </x:c>
      <x:c r="E928" s="8" t="n">
        <x:f>IF(AND(F927&lt;=9,AS927&gt;=AR927),1,0)</x:f>
        <x:v>0</x:v>
      </x:c>
      <x:c r="F928" s="8" t="n">
        <x:f>MIN(10,F927+E928)</x:f>
        <x:v>10</x:v>
      </x:c>
      <x:c r="G928" s="8" t="n">
        <x:f>MIN(F928,9)+1</x:f>
        <x:v>10</x:v>
      </x:c>
      <x:c r="H928" s="8" t="n">
        <x:f>IF(F928&lt;=9,1,0)</x:f>
        <x:v>0</x:v>
      </x:c>
      <x:c r="I928" s="9" t="n">
        <x:f>MIN(10,F927+IF(AR927&gt;0,MIN(1,AS927/AR927),1))</x:f>
        <x:v>10</x:v>
      </x:c>
      <x:c r="J928" s="32" t="n">
        <x:f>INDEX(tun_FoodCap,G928)*Arch_FoodCap*EXP(tun_CapsByProject*SUMPRODUCT((Cap_Point&lt;=I928)*(Cap_Kind="Food")*Cap_Ln))</x:f>
        <x:v>18627.260449441455</x:v>
      </x:c>
      <x:c r="K928" s="32" t="n">
        <x:f>J928*MIN(1,tun_LeanBase*EXP(tun_CapsByProject*SUMPRODUCT((Cap_Point&lt;=I928)*(Cap_Kind="Lean")*Cap_Ln)))</x:f>
        <x:v>18627.260449441455</x:v>
      </x:c>
      <x:c r="L928" s="10" t="n">
        <x:f>INDEX(tun_HousingCap,G928)*EXP(tun_CapsByProject*SUMPRODUCT((Cap_Point&lt;=I928)*(Cap_Kind="Housing")*Cap_Ln))</x:f>
        <x:v>20528.974303173167</x:v>
      </x:c>
      <x:c r="M928" s="10" t="n">
        <x:f>INDEX(tun_GroupCap,G928)*tun_CohesionFactor*EXP(tun_CapsByProject*SUMPRODUCT((Cap_Point&lt;=I928)*(Cap_Kind="Group")*Cap_Ln))</x:f>
        <x:v>1000000.000000001</x:v>
      </x:c>
      <x:c r="N928" s="32" t="n">
        <x:f>MIN(J928,L928,M928)</x:f>
        <x:v>18627.260449441455</x:v>
      </x:c>
      <x:c r="O928" s="10" t="n">
        <x:f>AE927*N928</x:f>
        <x:v>167645.34404497308</x:v>
      </x:c>
      <x:c r="P928" s="9" t="n">
        <x:f>MIN(1,(AB927/(AE927*IF(tun_GroupInCrowding=1,N928,MIN(J928,L928))))^tun_CrowdingExp)</x:f>
        <x:v>0.4215841981292809</x:v>
      </x:c>
      <x:c r="Q928" s="9" t="n">
        <x:f>IF(D928=1,INDEX(tun_WinterMult,G928),1)</x:f>
        <x:v>1</x:v>
      </x:c>
      <x:c r="R928" s="9" t="n">
        <x:f>H928*Z927*tun_WomenShare*tun_BaseFertility*INDEX(tun_FertMult,G928)*Arch_Fertility*(1-P928)</x:f>
        <x:v>0</x:v>
      </x:c>
      <x:c r="S928" s="9" t="n">
        <x:f>H928*Y927*INDEX(tun_MortChild,G928)/4*Q928</x:f>
        <x:v>0</x:v>
      </x:c>
      <x:c r="T928" s="9" t="n">
        <x:f>H928*Z927*INDEX(tun_MortAdult,G928)*Arch_AdultMort/4*Q928</x:f>
        <x:v>0</x:v>
      </x:c>
      <x:c r="U928" s="9" t="n">
        <x:f>H928*AA927*INDEX(tun_MortElder,G928)/4*Q928</x:f>
        <x:v>0</x:v>
      </x:c>
      <x:c r="V928" s="9" t="n">
        <x:f>H928*MAX(0,AB927-O928)*tun_OvercapLoss</x:f>
        <x:v>0</x:v>
      </x:c>
      <x:c r="W928" s="9" t="n">
        <x:f>H928*Y927/(tun_ChildYears*4)</x:f>
        <x:v>0</x:v>
      </x:c>
      <x:c r="X928" s="9" t="n">
        <x:f>H928*Z927/(tun_AdultYears*4)</x:f>
        <x:v>0</x:v>
      </x:c>
      <x:c r="Y928" s="32" t="n">
        <x:f>Y927+R928-S928-W928-Y927*V928/AB927</x:f>
        <x:v>40496.20709015643</x:v>
      </x:c>
      <x:c r="Z928" s="32" t="n">
        <x:f>Z927+W928-X928-T928-Z927*V928/AB927</x:f>
        <x:v>59141.61122890803</x:v>
      </x:c>
      <x:c r="AA928" s="32" t="n">
        <x:f>AA927+X928-U928-AA927*V928/AB927</x:f>
        <x:v>45530.62410925061</x:v>
      </x:c>
      <x:c r="AB928" s="10" t="n">
        <x:f>Y928+Z928+AA928</x:f>
        <x:v>145168.44242831506</x:v>
      </x:c>
      <x:c r="AC928" s="8" t="n">
        <x:f>IF(AND(tun_WinterTrigger=1,D928=1,AB927/AE927&gt;=K928),1,0)</x:f>
        <x:v>0</x:v>
      </x:c>
      <x:c r="AD928" s="8" t="n">
        <x:f>H928*IF(AND(OR(AB927/AE927&gt;=tun_FissionTrigger*N928,AC928=1),AB927/AE927*tun_DaughterShare&gt;=tun_MinDaughter),MAX(1,ROUND(AE927*tun_FissionRate,0)),0)</x:f>
        <x:v>0</x:v>
      </x:c>
      <x:c r="AE928" s="8" t="n">
        <x:f>IF(H928=1,MAX(1,MIN(INDEX(tun_Smax,G928),AE927+AD928)),AE927)</x:f>
        <x:v>9</x:v>
      </x:c>
      <x:c r="AF928" s="8" t="n">
        <x:f>MAX(0,AE928-AE927)</x:f>
        <x:v>0</x:v>
      </x:c>
      <x:c r="AG928" s="9" t="str">
        <x:f>IF(AF928&gt;0,B928,"")</x:f>
      </x:c>
      <x:c r="AH928" s="9" t="n">
        <x:f>IF(F928&gt;=1,1,(1+tun_LowTiesShare*(AE928-1))/AE928)</x:f>
        <x:v>1</x:v>
      </x:c>
      <x:c r="AI928" s="32" t="n">
        <x:f>(Z928+tun_ElderCommons*INDEX(LM_Elder,G928)*AA928)*AH928</x:f>
        <x:v>238215.0665857503</x:v>
      </x:c>
      <x:c r="AJ928" s="32" t="n">
        <x:f>H928*tun_CommonsCoef*AI928^tun_CommonsExp*INDEX(LM_Commons,G928)</x:f>
        <x:v>0</x:v>
      </x:c>
      <x:c r="AK928" s="32" t="n">
        <x:f>H928*tun_RoleScale*Arch_Roles*(AE928*(INDEX(tun_ElderRolePerSett,G928)*tun_OutElder*INDEX(LM_Elder,G928)+INDEX(tun_ShamanPerSett,G928)*tun_OutShaman)+Z928*(INDEX(tun_PriestShare,G928)*tun_OutPriest+INDEX(tun_ScribeShare,G928)*tun_OutScribe*INDEX(LM_Scribe,G928)+INDEX(tun_ScholarShare,G928)*tun_OutScholar*INDEX(LM_Scholar,G928)+INDEX(tun_ResearcherShare,G928)*tun_OutResearcher*INDEX(LM_Researcher,G928)))</x:f>
        <x:v>0</x:v>
      </x:c>
      <x:c r="AL928" s="32" t="n">
        <x:f>H928*tun_RoleScale*Arch_Roles*AE928*INDEX(tun_MonasteryPerSett,G928)*tun_OutMonastery*INDEX(LM_Monastery,G928)</x:f>
        <x:v>0</x:v>
      </x:c>
      <x:c r="AM928" s="32" t="n">
        <x:f>(AJ928+AK928+AL928)/4*INDEX(LM_All,G928)*INDEX(tun_Boon,G928)*Arch_Insight</x:f>
        <x:v>0</x:v>
      </x:c>
      <x:c r="AN928" s="32" t="n">
        <x:f>H928*(tun_KHPerAdult*Z928+tun_KHOfCommons*AJ928/4*INDEX(LM_All,G928))*tun_KHUsable*Arch_KH</x:f>
        <x:v>0</x:v>
      </x:c>
      <x:c r="AO928" s="32" t="n">
        <x:f>MIN(AP927+AN928,AM928*tun_KHMaxRatio)</x:f>
        <x:v>0</x:v>
      </x:c>
      <x:c r="AP928" s="32" t="n">
        <x:f>AP927+AN928-AO928</x:f>
        <x:v>0</x:v>
      </x:c>
      <x:c r="AQ928" s="32" t="n">
        <x:f>AM928+AO928</x:f>
        <x:v>0</x:v>
      </x:c>
      <x:c r="AR928" s="10" t="n">
        <x:f>IF(H928=1,INDEX(tun_Req,G928),0)</x:f>
        <x:v>0</x:v>
      </x:c>
      <x:c r="AS928" s="32" t="n">
        <x:f>IF(H928=1,IF(E928=1,AS927-AR927,AS927)+AQ928,0)</x:f>
        <x:v>0</x:v>
      </x:c>
      <x:c r="AT928" s="11" t="n">
        <x:f>IF(AR928&gt;0,MIN(1,AS928/AR928),1)</x:f>
        <x:v>1</x:v>
      </x:c>
      <x:c r="AU928" s="10" t="n">
        <x:f>AB928/INDEX(tun_RepScale,G928)</x:f>
        <x:v>290.3368848566301</x:v>
      </x:c>
      <x:c r="AV928" s="32" t="n">
        <x:f>AM928*60/tun_SeasonSeconds</x:f>
        <x:v>0</x:v>
      </x:c>
    </x:row>
    <x:row r="929">
      <x:c r="A929" s="8" t="n">
        <x:f>A928+1</x:f>
        <x:v>926</x:v>
      </x:c>
      <x:c r="B929" s="9" t="n">
        <x:f>A929*tun_SeasonSeconds/60</x:f>
        <x:v>231.5</x:v>
      </x:c>
      <x:c r="C929" s="9" t="n">
        <x:f>A929/4</x:f>
        <x:v>231.5</x:v>
      </x:c>
      <x:c r="D929" s="8" t="n">
        <x:f>IF(MOD(A929,4)=0,1,0)</x:f>
        <x:v>0</x:v>
      </x:c>
      <x:c r="E929" s="8" t="n">
        <x:f>IF(AND(F928&lt;=9,AS928&gt;=AR928),1,0)</x:f>
        <x:v>0</x:v>
      </x:c>
      <x:c r="F929" s="8" t="n">
        <x:f>MIN(10,F928+E929)</x:f>
        <x:v>10</x:v>
      </x:c>
      <x:c r="G929" s="8" t="n">
        <x:f>MIN(F929,9)+1</x:f>
        <x:v>10</x:v>
      </x:c>
      <x:c r="H929" s="8" t="n">
        <x:f>IF(F929&lt;=9,1,0)</x:f>
        <x:v>0</x:v>
      </x:c>
      <x:c r="I929" s="9" t="n">
        <x:f>MIN(10,F928+IF(AR928&gt;0,MIN(1,AS928/AR928),1))</x:f>
        <x:v>10</x:v>
      </x:c>
      <x:c r="J929" s="32" t="n">
        <x:f>INDEX(tun_FoodCap,G929)*Arch_FoodCap*EXP(tun_CapsByProject*SUMPRODUCT((Cap_Point&lt;=I929)*(Cap_Kind="Food")*Cap_Ln))</x:f>
        <x:v>18627.260449441455</x:v>
      </x:c>
      <x:c r="K929" s="32" t="n">
        <x:f>J929*MIN(1,tun_LeanBase*EXP(tun_CapsByProject*SUMPRODUCT((Cap_Point&lt;=I929)*(Cap_Kind="Lean")*Cap_Ln)))</x:f>
        <x:v>18627.260449441455</x:v>
      </x:c>
      <x:c r="L929" s="10" t="n">
        <x:f>INDEX(tun_HousingCap,G929)*EXP(tun_CapsByProject*SUMPRODUCT((Cap_Point&lt;=I929)*(Cap_Kind="Housing")*Cap_Ln))</x:f>
        <x:v>20528.974303173167</x:v>
      </x:c>
      <x:c r="M929" s="10" t="n">
        <x:f>INDEX(tun_GroupCap,G929)*tun_CohesionFactor*EXP(tun_CapsByProject*SUMPRODUCT((Cap_Point&lt;=I929)*(Cap_Kind="Group")*Cap_Ln))</x:f>
        <x:v>1000000.000000001</x:v>
      </x:c>
      <x:c r="N929" s="32" t="n">
        <x:f>MIN(J929,L929,M929)</x:f>
        <x:v>18627.260449441455</x:v>
      </x:c>
      <x:c r="O929" s="10" t="n">
        <x:f>AE928*N929</x:f>
        <x:v>167645.34404497308</x:v>
      </x:c>
      <x:c r="P929" s="9" t="n">
        <x:f>MIN(1,(AB928/(AE928*IF(tun_GroupInCrowding=1,N929,MIN(J929,L929))))^tun_CrowdingExp)</x:f>
        <x:v>0.4215841981292809</x:v>
      </x:c>
      <x:c r="Q929" s="9" t="n">
        <x:f>IF(D929=1,INDEX(tun_WinterMult,G929),1)</x:f>
        <x:v>1</x:v>
      </x:c>
      <x:c r="R929" s="9" t="n">
        <x:f>H929*Z928*tun_WomenShare*tun_BaseFertility*INDEX(tun_FertMult,G929)*Arch_Fertility*(1-P929)</x:f>
        <x:v>0</x:v>
      </x:c>
      <x:c r="S929" s="9" t="n">
        <x:f>H929*Y928*INDEX(tun_MortChild,G929)/4*Q929</x:f>
        <x:v>0</x:v>
      </x:c>
      <x:c r="T929" s="9" t="n">
        <x:f>H929*Z928*INDEX(tun_MortAdult,G929)*Arch_AdultMort/4*Q929</x:f>
        <x:v>0</x:v>
      </x:c>
      <x:c r="U929" s="9" t="n">
        <x:f>H929*AA928*INDEX(tun_MortElder,G929)/4*Q929</x:f>
        <x:v>0</x:v>
      </x:c>
      <x:c r="V929" s="9" t="n">
        <x:f>H929*MAX(0,AB928-O929)*tun_OvercapLoss</x:f>
        <x:v>0</x:v>
      </x:c>
      <x:c r="W929" s="9" t="n">
        <x:f>H929*Y928/(tun_ChildYears*4)</x:f>
        <x:v>0</x:v>
      </x:c>
      <x:c r="X929" s="9" t="n">
        <x:f>H929*Z928/(tun_AdultYears*4)</x:f>
        <x:v>0</x:v>
      </x:c>
      <x:c r="Y929" s="32" t="n">
        <x:f>Y928+R929-S929-W929-Y928*V929/AB928</x:f>
        <x:v>40496.20709015643</x:v>
      </x:c>
      <x:c r="Z929" s="32" t="n">
        <x:f>Z928+W929-X929-T929-Z928*V929/AB928</x:f>
        <x:v>59141.61122890803</x:v>
      </x:c>
      <x:c r="AA929" s="32" t="n">
        <x:f>AA928+X929-U929-AA928*V929/AB928</x:f>
        <x:v>45530.62410925061</x:v>
      </x:c>
      <x:c r="AB929" s="10" t="n">
        <x:f>Y929+Z929+AA929</x:f>
        <x:v>145168.44242831506</x:v>
      </x:c>
      <x:c r="AC929" s="8" t="n">
        <x:f>IF(AND(tun_WinterTrigger=1,D929=1,AB928/AE928&gt;=K929),1,0)</x:f>
        <x:v>0</x:v>
      </x:c>
      <x:c r="AD929" s="8" t="n">
        <x:f>H929*IF(AND(OR(AB928/AE928&gt;=tun_FissionTrigger*N929,AC929=1),AB928/AE928*tun_DaughterShare&gt;=tun_MinDaughter),MAX(1,ROUND(AE928*tun_FissionRate,0)),0)</x:f>
        <x:v>0</x:v>
      </x:c>
      <x:c r="AE929" s="8" t="n">
        <x:f>IF(H929=1,MAX(1,MIN(INDEX(tun_Smax,G929),AE928+AD929)),AE928)</x:f>
        <x:v>9</x:v>
      </x:c>
      <x:c r="AF929" s="8" t="n">
        <x:f>MAX(0,AE929-AE928)</x:f>
        <x:v>0</x:v>
      </x:c>
      <x:c r="AG929" s="9" t="str">
        <x:f>IF(AF929&gt;0,B929,"")</x:f>
      </x:c>
      <x:c r="AH929" s="9" t="n">
        <x:f>IF(F929&gt;=1,1,(1+tun_LowTiesShare*(AE929-1))/AE929)</x:f>
        <x:v>1</x:v>
      </x:c>
      <x:c r="AI929" s="32" t="n">
        <x:f>(Z929+tun_ElderCommons*INDEX(LM_Elder,G929)*AA929)*AH929</x:f>
        <x:v>238215.0665857503</x:v>
      </x:c>
      <x:c r="AJ929" s="32" t="n">
        <x:f>H929*tun_CommonsCoef*AI929^tun_CommonsExp*INDEX(LM_Commons,G929)</x:f>
        <x:v>0</x:v>
      </x:c>
      <x:c r="AK929" s="32" t="n">
        <x:f>H929*tun_RoleScale*Arch_Roles*(AE929*(INDEX(tun_ElderRolePerSett,G929)*tun_OutElder*INDEX(LM_Elder,G929)+INDEX(tun_ShamanPerSett,G929)*tun_OutShaman)+Z929*(INDEX(tun_PriestShare,G929)*tun_OutPriest+INDEX(tun_ScribeShare,G929)*tun_OutScribe*INDEX(LM_Scribe,G929)+INDEX(tun_ScholarShare,G929)*tun_OutScholar*INDEX(LM_Scholar,G929)+INDEX(tun_ResearcherShare,G929)*tun_OutResearcher*INDEX(LM_Researcher,G929)))</x:f>
        <x:v>0</x:v>
      </x:c>
      <x:c r="AL929" s="32" t="n">
        <x:f>H929*tun_RoleScale*Arch_Roles*AE929*INDEX(tun_MonasteryPerSett,G929)*tun_OutMonastery*INDEX(LM_Monastery,G929)</x:f>
        <x:v>0</x:v>
      </x:c>
      <x:c r="AM929" s="32" t="n">
        <x:f>(AJ929+AK929+AL929)/4*INDEX(LM_All,G929)*INDEX(tun_Boon,G929)*Arch_Insight</x:f>
        <x:v>0</x:v>
      </x:c>
      <x:c r="AN929" s="32" t="n">
        <x:f>H929*(tun_KHPerAdult*Z929+tun_KHOfCommons*AJ929/4*INDEX(LM_All,G929))*tun_KHUsable*Arch_KH</x:f>
        <x:v>0</x:v>
      </x:c>
      <x:c r="AO929" s="32" t="n">
        <x:f>MIN(AP928+AN929,AM929*tun_KHMaxRatio)</x:f>
        <x:v>0</x:v>
      </x:c>
      <x:c r="AP929" s="32" t="n">
        <x:f>AP928+AN929-AO929</x:f>
        <x:v>0</x:v>
      </x:c>
      <x:c r="AQ929" s="32" t="n">
        <x:f>AM929+AO929</x:f>
        <x:v>0</x:v>
      </x:c>
      <x:c r="AR929" s="10" t="n">
        <x:f>IF(H929=1,INDEX(tun_Req,G929),0)</x:f>
        <x:v>0</x:v>
      </x:c>
      <x:c r="AS929" s="32" t="n">
        <x:f>IF(H929=1,IF(E929=1,AS928-AR928,AS928)+AQ929,0)</x:f>
        <x:v>0</x:v>
      </x:c>
      <x:c r="AT929" s="11" t="n">
        <x:f>IF(AR929&gt;0,MIN(1,AS929/AR929),1)</x:f>
        <x:v>1</x:v>
      </x:c>
      <x:c r="AU929" s="10" t="n">
        <x:f>AB929/INDEX(tun_RepScale,G929)</x:f>
        <x:v>290.3368848566301</x:v>
      </x:c>
      <x:c r="AV929" s="32" t="n">
        <x:f>AM929*60/tun_SeasonSeconds</x:f>
        <x:v>0</x:v>
      </x:c>
    </x:row>
    <x:row r="930">
      <x:c r="A930" s="8" t="n">
        <x:f>A929+1</x:f>
        <x:v>927</x:v>
      </x:c>
      <x:c r="B930" s="9" t="n">
        <x:f>A930*tun_SeasonSeconds/60</x:f>
        <x:v>231.75</x:v>
      </x:c>
      <x:c r="C930" s="9" t="n">
        <x:f>A930/4</x:f>
        <x:v>231.75</x:v>
      </x:c>
      <x:c r="D930" s="8" t="n">
        <x:f>IF(MOD(A930,4)=0,1,0)</x:f>
        <x:v>0</x:v>
      </x:c>
      <x:c r="E930" s="8" t="n">
        <x:f>IF(AND(F929&lt;=9,AS929&gt;=AR929),1,0)</x:f>
        <x:v>0</x:v>
      </x:c>
      <x:c r="F930" s="8" t="n">
        <x:f>MIN(10,F929+E930)</x:f>
        <x:v>10</x:v>
      </x:c>
      <x:c r="G930" s="8" t="n">
        <x:f>MIN(F930,9)+1</x:f>
        <x:v>10</x:v>
      </x:c>
      <x:c r="H930" s="8" t="n">
        <x:f>IF(F930&lt;=9,1,0)</x:f>
        <x:v>0</x:v>
      </x:c>
      <x:c r="I930" s="9" t="n">
        <x:f>MIN(10,F929+IF(AR929&gt;0,MIN(1,AS929/AR929),1))</x:f>
        <x:v>10</x:v>
      </x:c>
      <x:c r="J930" s="32" t="n">
        <x:f>INDEX(tun_FoodCap,G930)*Arch_FoodCap*EXP(tun_CapsByProject*SUMPRODUCT((Cap_Point&lt;=I930)*(Cap_Kind="Food")*Cap_Ln))</x:f>
        <x:v>18627.260449441455</x:v>
      </x:c>
      <x:c r="K930" s="32" t="n">
        <x:f>J930*MIN(1,tun_LeanBase*EXP(tun_CapsByProject*SUMPRODUCT((Cap_Point&lt;=I930)*(Cap_Kind="Lean")*Cap_Ln)))</x:f>
        <x:v>18627.260449441455</x:v>
      </x:c>
      <x:c r="L930" s="10" t="n">
        <x:f>INDEX(tun_HousingCap,G930)*EXP(tun_CapsByProject*SUMPRODUCT((Cap_Point&lt;=I930)*(Cap_Kind="Housing")*Cap_Ln))</x:f>
        <x:v>20528.974303173167</x:v>
      </x:c>
      <x:c r="M930" s="10" t="n">
        <x:f>INDEX(tun_GroupCap,G930)*tun_CohesionFactor*EXP(tun_CapsByProject*SUMPRODUCT((Cap_Point&lt;=I930)*(Cap_Kind="Group")*Cap_Ln))</x:f>
        <x:v>1000000.000000001</x:v>
      </x:c>
      <x:c r="N930" s="32" t="n">
        <x:f>MIN(J930,L930,M930)</x:f>
        <x:v>18627.260449441455</x:v>
      </x:c>
      <x:c r="O930" s="10" t="n">
        <x:f>AE929*N930</x:f>
        <x:v>167645.34404497308</x:v>
      </x:c>
      <x:c r="P930" s="9" t="n">
        <x:f>MIN(1,(AB929/(AE929*IF(tun_GroupInCrowding=1,N930,MIN(J930,L930))))^tun_CrowdingExp)</x:f>
        <x:v>0.4215841981292809</x:v>
      </x:c>
      <x:c r="Q930" s="9" t="n">
        <x:f>IF(D930=1,INDEX(tun_WinterMult,G930),1)</x:f>
        <x:v>1</x:v>
      </x:c>
      <x:c r="R930" s="9" t="n">
        <x:f>H930*Z929*tun_WomenShare*tun_BaseFertility*INDEX(tun_FertMult,G930)*Arch_Fertility*(1-P930)</x:f>
        <x:v>0</x:v>
      </x:c>
      <x:c r="S930" s="9" t="n">
        <x:f>H930*Y929*INDEX(tun_MortChild,G930)/4*Q930</x:f>
        <x:v>0</x:v>
      </x:c>
      <x:c r="T930" s="9" t="n">
        <x:f>H930*Z929*INDEX(tun_MortAdult,G930)*Arch_AdultMort/4*Q930</x:f>
        <x:v>0</x:v>
      </x:c>
      <x:c r="U930" s="9" t="n">
        <x:f>H930*AA929*INDEX(tun_MortElder,G930)/4*Q930</x:f>
        <x:v>0</x:v>
      </x:c>
      <x:c r="V930" s="9" t="n">
        <x:f>H930*MAX(0,AB929-O930)*tun_OvercapLoss</x:f>
        <x:v>0</x:v>
      </x:c>
      <x:c r="W930" s="9" t="n">
        <x:f>H930*Y929/(tun_ChildYears*4)</x:f>
        <x:v>0</x:v>
      </x:c>
      <x:c r="X930" s="9" t="n">
        <x:f>H930*Z929/(tun_AdultYears*4)</x:f>
        <x:v>0</x:v>
      </x:c>
      <x:c r="Y930" s="32" t="n">
        <x:f>Y929+R930-S930-W930-Y929*V930/AB929</x:f>
        <x:v>40496.20709015643</x:v>
      </x:c>
      <x:c r="Z930" s="32" t="n">
        <x:f>Z929+W930-X930-T930-Z929*V930/AB929</x:f>
        <x:v>59141.61122890803</x:v>
      </x:c>
      <x:c r="AA930" s="32" t="n">
        <x:f>AA929+X930-U930-AA929*V930/AB929</x:f>
        <x:v>45530.62410925061</x:v>
      </x:c>
      <x:c r="AB930" s="10" t="n">
        <x:f>Y930+Z930+AA930</x:f>
        <x:v>145168.44242831506</x:v>
      </x:c>
      <x:c r="AC930" s="8" t="n">
        <x:f>IF(AND(tun_WinterTrigger=1,D930=1,AB929/AE929&gt;=K930),1,0)</x:f>
        <x:v>0</x:v>
      </x:c>
      <x:c r="AD930" s="8" t="n">
        <x:f>H930*IF(AND(OR(AB929/AE929&gt;=tun_FissionTrigger*N930,AC930=1),AB929/AE929*tun_DaughterShare&gt;=tun_MinDaughter),MAX(1,ROUND(AE929*tun_FissionRate,0)),0)</x:f>
        <x:v>0</x:v>
      </x:c>
      <x:c r="AE930" s="8" t="n">
        <x:f>IF(H930=1,MAX(1,MIN(INDEX(tun_Smax,G930),AE929+AD930)),AE929)</x:f>
        <x:v>9</x:v>
      </x:c>
      <x:c r="AF930" s="8" t="n">
        <x:f>MAX(0,AE930-AE929)</x:f>
        <x:v>0</x:v>
      </x:c>
      <x:c r="AG930" s="9" t="str">
        <x:f>IF(AF930&gt;0,B930,"")</x:f>
      </x:c>
      <x:c r="AH930" s="9" t="n">
        <x:f>IF(F930&gt;=1,1,(1+tun_LowTiesShare*(AE930-1))/AE930)</x:f>
        <x:v>1</x:v>
      </x:c>
      <x:c r="AI930" s="32" t="n">
        <x:f>(Z930+tun_ElderCommons*INDEX(LM_Elder,G930)*AA930)*AH930</x:f>
        <x:v>238215.0665857503</x:v>
      </x:c>
      <x:c r="AJ930" s="32" t="n">
        <x:f>H930*tun_CommonsCoef*AI930^tun_CommonsExp*INDEX(LM_Commons,G930)</x:f>
        <x:v>0</x:v>
      </x:c>
      <x:c r="AK930" s="32" t="n">
        <x:f>H930*tun_RoleScale*Arch_Roles*(AE930*(INDEX(tun_ElderRolePerSett,G930)*tun_OutElder*INDEX(LM_Elder,G930)+INDEX(tun_ShamanPerSett,G930)*tun_OutShaman)+Z930*(INDEX(tun_PriestShare,G930)*tun_OutPriest+INDEX(tun_ScribeShare,G930)*tun_OutScribe*INDEX(LM_Scribe,G930)+INDEX(tun_ScholarShare,G930)*tun_OutScholar*INDEX(LM_Scholar,G930)+INDEX(tun_ResearcherShare,G930)*tun_OutResearcher*INDEX(LM_Researcher,G930)))</x:f>
        <x:v>0</x:v>
      </x:c>
      <x:c r="AL930" s="32" t="n">
        <x:f>H930*tun_RoleScale*Arch_Roles*AE930*INDEX(tun_MonasteryPerSett,G930)*tun_OutMonastery*INDEX(LM_Monastery,G930)</x:f>
        <x:v>0</x:v>
      </x:c>
      <x:c r="AM930" s="32" t="n">
        <x:f>(AJ930+AK930+AL930)/4*INDEX(LM_All,G930)*INDEX(tun_Boon,G930)*Arch_Insight</x:f>
        <x:v>0</x:v>
      </x:c>
      <x:c r="AN930" s="32" t="n">
        <x:f>H930*(tun_KHPerAdult*Z930+tun_KHOfCommons*AJ930/4*INDEX(LM_All,G930))*tun_KHUsable*Arch_KH</x:f>
        <x:v>0</x:v>
      </x:c>
      <x:c r="AO930" s="32" t="n">
        <x:f>MIN(AP929+AN930,AM930*tun_KHMaxRatio)</x:f>
        <x:v>0</x:v>
      </x:c>
      <x:c r="AP930" s="32" t="n">
        <x:f>AP929+AN930-AO930</x:f>
        <x:v>0</x:v>
      </x:c>
      <x:c r="AQ930" s="32" t="n">
        <x:f>AM930+AO930</x:f>
        <x:v>0</x:v>
      </x:c>
      <x:c r="AR930" s="10" t="n">
        <x:f>IF(H930=1,INDEX(tun_Req,G930),0)</x:f>
        <x:v>0</x:v>
      </x:c>
      <x:c r="AS930" s="32" t="n">
        <x:f>IF(H930=1,IF(E930=1,AS929-AR929,AS929)+AQ930,0)</x:f>
        <x:v>0</x:v>
      </x:c>
      <x:c r="AT930" s="11" t="n">
        <x:f>IF(AR930&gt;0,MIN(1,AS930/AR930),1)</x:f>
        <x:v>1</x:v>
      </x:c>
      <x:c r="AU930" s="10" t="n">
        <x:f>AB930/INDEX(tun_RepScale,G930)</x:f>
        <x:v>290.3368848566301</x:v>
      </x:c>
      <x:c r="AV930" s="32" t="n">
        <x:f>AM930*60/tun_SeasonSeconds</x:f>
        <x:v>0</x:v>
      </x:c>
    </x:row>
    <x:row r="931">
      <x:c r="A931" s="8" t="n">
        <x:f>A930+1</x:f>
        <x:v>928</x:v>
      </x:c>
      <x:c r="B931" s="9" t="n">
        <x:f>A931*tun_SeasonSeconds/60</x:f>
        <x:v>232</x:v>
      </x:c>
      <x:c r="C931" s="9" t="n">
        <x:f>A931/4</x:f>
        <x:v>232</x:v>
      </x:c>
      <x:c r="D931" s="8" t="n">
        <x:f>IF(MOD(A931,4)=0,1,0)</x:f>
        <x:v>1</x:v>
      </x:c>
      <x:c r="E931" s="8" t="n">
        <x:f>IF(AND(F930&lt;=9,AS930&gt;=AR930),1,0)</x:f>
        <x:v>0</x:v>
      </x:c>
      <x:c r="F931" s="8" t="n">
        <x:f>MIN(10,F930+E931)</x:f>
        <x:v>10</x:v>
      </x:c>
      <x:c r="G931" s="8" t="n">
        <x:f>MIN(F931,9)+1</x:f>
        <x:v>10</x:v>
      </x:c>
      <x:c r="H931" s="8" t="n">
        <x:f>IF(F931&lt;=9,1,0)</x:f>
        <x:v>0</x:v>
      </x:c>
      <x:c r="I931" s="9" t="n">
        <x:f>MIN(10,F930+IF(AR930&gt;0,MIN(1,AS930/AR930),1))</x:f>
        <x:v>10</x:v>
      </x:c>
      <x:c r="J931" s="32" t="n">
        <x:f>INDEX(tun_FoodCap,G931)*Arch_FoodCap*EXP(tun_CapsByProject*SUMPRODUCT((Cap_Point&lt;=I931)*(Cap_Kind="Food")*Cap_Ln))</x:f>
        <x:v>18627.260449441455</x:v>
      </x:c>
      <x:c r="K931" s="32" t="n">
        <x:f>J931*MIN(1,tun_LeanBase*EXP(tun_CapsByProject*SUMPRODUCT((Cap_Point&lt;=I931)*(Cap_Kind="Lean")*Cap_Ln)))</x:f>
        <x:v>18627.260449441455</x:v>
      </x:c>
      <x:c r="L931" s="10" t="n">
        <x:f>INDEX(tun_HousingCap,G931)*EXP(tun_CapsByProject*SUMPRODUCT((Cap_Point&lt;=I931)*(Cap_Kind="Housing")*Cap_Ln))</x:f>
        <x:v>20528.974303173167</x:v>
      </x:c>
      <x:c r="M931" s="10" t="n">
        <x:f>INDEX(tun_GroupCap,G931)*tun_CohesionFactor*EXP(tun_CapsByProject*SUMPRODUCT((Cap_Point&lt;=I931)*(Cap_Kind="Group")*Cap_Ln))</x:f>
        <x:v>1000000.000000001</x:v>
      </x:c>
      <x:c r="N931" s="32" t="n">
        <x:f>MIN(J931,L931,M931)</x:f>
        <x:v>18627.260449441455</x:v>
      </x:c>
      <x:c r="O931" s="10" t="n">
        <x:f>AE930*N931</x:f>
        <x:v>167645.34404497308</x:v>
      </x:c>
      <x:c r="P931" s="9" t="n">
        <x:f>MIN(1,(AB930/(AE930*IF(tun_GroupInCrowding=1,N931,MIN(J931,L931))))^tun_CrowdingExp)</x:f>
        <x:v>0.4215841981292809</x:v>
      </x:c>
      <x:c r="Q931" s="9" t="n">
        <x:f>IF(D931=1,INDEX(tun_WinterMult,G931),1)</x:f>
        <x:v>1.05</x:v>
      </x:c>
      <x:c r="R931" s="9" t="n">
        <x:f>H931*Z930*tun_WomenShare*tun_BaseFertility*INDEX(tun_FertMult,G931)*Arch_Fertility*(1-P931)</x:f>
        <x:v>0</x:v>
      </x:c>
      <x:c r="S931" s="9" t="n">
        <x:f>H931*Y930*INDEX(tun_MortChild,G931)/4*Q931</x:f>
        <x:v>0</x:v>
      </x:c>
      <x:c r="T931" s="9" t="n">
        <x:f>H931*Z930*INDEX(tun_MortAdult,G931)*Arch_AdultMort/4*Q931</x:f>
        <x:v>0</x:v>
      </x:c>
      <x:c r="U931" s="9" t="n">
        <x:f>H931*AA930*INDEX(tun_MortElder,G931)/4*Q931</x:f>
        <x:v>0</x:v>
      </x:c>
      <x:c r="V931" s="9" t="n">
        <x:f>H931*MAX(0,AB930-O931)*tun_OvercapLoss</x:f>
        <x:v>0</x:v>
      </x:c>
      <x:c r="W931" s="9" t="n">
        <x:f>H931*Y930/(tun_ChildYears*4)</x:f>
        <x:v>0</x:v>
      </x:c>
      <x:c r="X931" s="9" t="n">
        <x:f>H931*Z930/(tun_AdultYears*4)</x:f>
        <x:v>0</x:v>
      </x:c>
      <x:c r="Y931" s="32" t="n">
        <x:f>Y930+R931-S931-W931-Y930*V931/AB930</x:f>
        <x:v>40496.20709015643</x:v>
      </x:c>
      <x:c r="Z931" s="32" t="n">
        <x:f>Z930+W931-X931-T931-Z930*V931/AB930</x:f>
        <x:v>59141.61122890803</x:v>
      </x:c>
      <x:c r="AA931" s="32" t="n">
        <x:f>AA930+X931-U931-AA930*V931/AB930</x:f>
        <x:v>45530.62410925061</x:v>
      </x:c>
      <x:c r="AB931" s="10" t="n">
        <x:f>Y931+Z931+AA931</x:f>
        <x:v>145168.44242831506</x:v>
      </x:c>
      <x:c r="AC931" s="8" t="n">
        <x:f>IF(AND(tun_WinterTrigger=1,D931=1,AB930/AE930&gt;=K931),1,0)</x:f>
        <x:v>0</x:v>
      </x:c>
      <x:c r="AD931" s="8" t="n">
        <x:f>H931*IF(AND(OR(AB930/AE930&gt;=tun_FissionTrigger*N931,AC931=1),AB930/AE930*tun_DaughterShare&gt;=tun_MinDaughter),MAX(1,ROUND(AE930*tun_FissionRate,0)),0)</x:f>
        <x:v>0</x:v>
      </x:c>
      <x:c r="AE931" s="8" t="n">
        <x:f>IF(H931=1,MAX(1,MIN(INDEX(tun_Smax,G931),AE930+AD931)),AE930)</x:f>
        <x:v>9</x:v>
      </x:c>
      <x:c r="AF931" s="8" t="n">
        <x:f>MAX(0,AE931-AE930)</x:f>
        <x:v>0</x:v>
      </x:c>
      <x:c r="AG931" s="9" t="str">
        <x:f>IF(AF931&gt;0,B931,"")</x:f>
      </x:c>
      <x:c r="AH931" s="9" t="n">
        <x:f>IF(F931&gt;=1,1,(1+tun_LowTiesShare*(AE931-1))/AE931)</x:f>
        <x:v>1</x:v>
      </x:c>
      <x:c r="AI931" s="32" t="n">
        <x:f>(Z931+tun_ElderCommons*INDEX(LM_Elder,G931)*AA931)*AH931</x:f>
        <x:v>238215.0665857503</x:v>
      </x:c>
      <x:c r="AJ931" s="32" t="n">
        <x:f>H931*tun_CommonsCoef*AI931^tun_CommonsExp*INDEX(LM_Commons,G931)</x:f>
        <x:v>0</x:v>
      </x:c>
      <x:c r="AK931" s="32" t="n">
        <x:f>H931*tun_RoleScale*Arch_Roles*(AE931*(INDEX(tun_ElderRolePerSett,G931)*tun_OutElder*INDEX(LM_Elder,G931)+INDEX(tun_ShamanPerSett,G931)*tun_OutShaman)+Z931*(INDEX(tun_PriestShare,G931)*tun_OutPriest+INDEX(tun_ScribeShare,G931)*tun_OutScribe*INDEX(LM_Scribe,G931)+INDEX(tun_ScholarShare,G931)*tun_OutScholar*INDEX(LM_Scholar,G931)+INDEX(tun_ResearcherShare,G931)*tun_OutResearcher*INDEX(LM_Researcher,G931)))</x:f>
        <x:v>0</x:v>
      </x:c>
      <x:c r="AL931" s="32" t="n">
        <x:f>H931*tun_RoleScale*Arch_Roles*AE931*INDEX(tun_MonasteryPerSett,G931)*tun_OutMonastery*INDEX(LM_Monastery,G931)</x:f>
        <x:v>0</x:v>
      </x:c>
      <x:c r="AM931" s="32" t="n">
        <x:f>(AJ931+AK931+AL931)/4*INDEX(LM_All,G931)*INDEX(tun_Boon,G931)*Arch_Insight</x:f>
        <x:v>0</x:v>
      </x:c>
      <x:c r="AN931" s="32" t="n">
        <x:f>H931*(tun_KHPerAdult*Z931+tun_KHOfCommons*AJ931/4*INDEX(LM_All,G931))*tun_KHUsable*Arch_KH</x:f>
        <x:v>0</x:v>
      </x:c>
      <x:c r="AO931" s="32" t="n">
        <x:f>MIN(AP930+AN931,AM931*tun_KHMaxRatio)</x:f>
        <x:v>0</x:v>
      </x:c>
      <x:c r="AP931" s="32" t="n">
        <x:f>AP930+AN931-AO931</x:f>
        <x:v>0</x:v>
      </x:c>
      <x:c r="AQ931" s="32" t="n">
        <x:f>AM931+AO931</x:f>
        <x:v>0</x:v>
      </x:c>
      <x:c r="AR931" s="10" t="n">
        <x:f>IF(H931=1,INDEX(tun_Req,G931),0)</x:f>
        <x:v>0</x:v>
      </x:c>
      <x:c r="AS931" s="32" t="n">
        <x:f>IF(H931=1,IF(E931=1,AS930-AR930,AS930)+AQ931,0)</x:f>
        <x:v>0</x:v>
      </x:c>
      <x:c r="AT931" s="11" t="n">
        <x:f>IF(AR931&gt;0,MIN(1,AS931/AR931),1)</x:f>
        <x:v>1</x:v>
      </x:c>
      <x:c r="AU931" s="10" t="n">
        <x:f>AB931/INDEX(tun_RepScale,G931)</x:f>
        <x:v>290.3368848566301</x:v>
      </x:c>
      <x:c r="AV931" s="32" t="n">
        <x:f>AM931*60/tun_SeasonSeconds</x:f>
        <x:v>0</x:v>
      </x:c>
    </x:row>
    <x:row r="932">
      <x:c r="A932" s="8" t="n">
        <x:f>A931+1</x:f>
        <x:v>929</x:v>
      </x:c>
      <x:c r="B932" s="9" t="n">
        <x:f>A932*tun_SeasonSeconds/60</x:f>
        <x:v>232.25</x:v>
      </x:c>
      <x:c r="C932" s="9" t="n">
        <x:f>A932/4</x:f>
        <x:v>232.25</x:v>
      </x:c>
      <x:c r="D932" s="8" t="n">
        <x:f>IF(MOD(A932,4)=0,1,0)</x:f>
        <x:v>0</x:v>
      </x:c>
      <x:c r="E932" s="8" t="n">
        <x:f>IF(AND(F931&lt;=9,AS931&gt;=AR931),1,0)</x:f>
        <x:v>0</x:v>
      </x:c>
      <x:c r="F932" s="8" t="n">
        <x:f>MIN(10,F931+E932)</x:f>
        <x:v>10</x:v>
      </x:c>
      <x:c r="G932" s="8" t="n">
        <x:f>MIN(F932,9)+1</x:f>
        <x:v>10</x:v>
      </x:c>
      <x:c r="H932" s="8" t="n">
        <x:f>IF(F932&lt;=9,1,0)</x:f>
        <x:v>0</x:v>
      </x:c>
      <x:c r="I932" s="9" t="n">
        <x:f>MIN(10,F931+IF(AR931&gt;0,MIN(1,AS931/AR931),1))</x:f>
        <x:v>10</x:v>
      </x:c>
      <x:c r="J932" s="32" t="n">
        <x:f>INDEX(tun_FoodCap,G932)*Arch_FoodCap*EXP(tun_CapsByProject*SUMPRODUCT((Cap_Point&lt;=I932)*(Cap_Kind="Food")*Cap_Ln))</x:f>
        <x:v>18627.260449441455</x:v>
      </x:c>
      <x:c r="K932" s="32" t="n">
        <x:f>J932*MIN(1,tun_LeanBase*EXP(tun_CapsByProject*SUMPRODUCT((Cap_Point&lt;=I932)*(Cap_Kind="Lean")*Cap_Ln)))</x:f>
        <x:v>18627.260449441455</x:v>
      </x:c>
      <x:c r="L932" s="10" t="n">
        <x:f>INDEX(tun_HousingCap,G932)*EXP(tun_CapsByProject*SUMPRODUCT((Cap_Point&lt;=I932)*(Cap_Kind="Housing")*Cap_Ln))</x:f>
        <x:v>20528.974303173167</x:v>
      </x:c>
      <x:c r="M932" s="10" t="n">
        <x:f>INDEX(tun_GroupCap,G932)*tun_CohesionFactor*EXP(tun_CapsByProject*SUMPRODUCT((Cap_Point&lt;=I932)*(Cap_Kind="Group")*Cap_Ln))</x:f>
        <x:v>1000000.000000001</x:v>
      </x:c>
      <x:c r="N932" s="32" t="n">
        <x:f>MIN(J932,L932,M932)</x:f>
        <x:v>18627.260449441455</x:v>
      </x:c>
      <x:c r="O932" s="10" t="n">
        <x:f>AE931*N932</x:f>
        <x:v>167645.34404497308</x:v>
      </x:c>
      <x:c r="P932" s="9" t="n">
        <x:f>MIN(1,(AB931/(AE931*IF(tun_GroupInCrowding=1,N932,MIN(J932,L932))))^tun_CrowdingExp)</x:f>
        <x:v>0.4215841981292809</x:v>
      </x:c>
      <x:c r="Q932" s="9" t="n">
        <x:f>IF(D932=1,INDEX(tun_WinterMult,G932),1)</x:f>
        <x:v>1</x:v>
      </x:c>
      <x:c r="R932" s="9" t="n">
        <x:f>H932*Z931*tun_WomenShare*tun_BaseFertility*INDEX(tun_FertMult,G932)*Arch_Fertility*(1-P932)</x:f>
        <x:v>0</x:v>
      </x:c>
      <x:c r="S932" s="9" t="n">
        <x:f>H932*Y931*INDEX(tun_MortChild,G932)/4*Q932</x:f>
        <x:v>0</x:v>
      </x:c>
      <x:c r="T932" s="9" t="n">
        <x:f>H932*Z931*INDEX(tun_MortAdult,G932)*Arch_AdultMort/4*Q932</x:f>
        <x:v>0</x:v>
      </x:c>
      <x:c r="U932" s="9" t="n">
        <x:f>H932*AA931*INDEX(tun_MortElder,G932)/4*Q932</x:f>
        <x:v>0</x:v>
      </x:c>
      <x:c r="V932" s="9" t="n">
        <x:f>H932*MAX(0,AB931-O932)*tun_OvercapLoss</x:f>
        <x:v>0</x:v>
      </x:c>
      <x:c r="W932" s="9" t="n">
        <x:f>H932*Y931/(tun_ChildYears*4)</x:f>
        <x:v>0</x:v>
      </x:c>
      <x:c r="X932" s="9" t="n">
        <x:f>H932*Z931/(tun_AdultYears*4)</x:f>
        <x:v>0</x:v>
      </x:c>
      <x:c r="Y932" s="32" t="n">
        <x:f>Y931+R932-S932-W932-Y931*V932/AB931</x:f>
        <x:v>40496.20709015643</x:v>
      </x:c>
      <x:c r="Z932" s="32" t="n">
        <x:f>Z931+W932-X932-T932-Z931*V932/AB931</x:f>
        <x:v>59141.61122890803</x:v>
      </x:c>
      <x:c r="AA932" s="32" t="n">
        <x:f>AA931+X932-U932-AA931*V932/AB931</x:f>
        <x:v>45530.62410925061</x:v>
      </x:c>
      <x:c r="AB932" s="10" t="n">
        <x:f>Y932+Z932+AA932</x:f>
        <x:v>145168.44242831506</x:v>
      </x:c>
      <x:c r="AC932" s="8" t="n">
        <x:f>IF(AND(tun_WinterTrigger=1,D932=1,AB931/AE931&gt;=K932),1,0)</x:f>
        <x:v>0</x:v>
      </x:c>
      <x:c r="AD932" s="8" t="n">
        <x:f>H932*IF(AND(OR(AB931/AE931&gt;=tun_FissionTrigger*N932,AC932=1),AB931/AE931*tun_DaughterShare&gt;=tun_MinDaughter),MAX(1,ROUND(AE931*tun_FissionRate,0)),0)</x:f>
        <x:v>0</x:v>
      </x:c>
      <x:c r="AE932" s="8" t="n">
        <x:f>IF(H932=1,MAX(1,MIN(INDEX(tun_Smax,G932),AE931+AD932)),AE931)</x:f>
        <x:v>9</x:v>
      </x:c>
      <x:c r="AF932" s="8" t="n">
        <x:f>MAX(0,AE932-AE931)</x:f>
        <x:v>0</x:v>
      </x:c>
      <x:c r="AG932" s="9" t="str">
        <x:f>IF(AF932&gt;0,B932,"")</x:f>
      </x:c>
      <x:c r="AH932" s="9" t="n">
        <x:f>IF(F932&gt;=1,1,(1+tun_LowTiesShare*(AE932-1))/AE932)</x:f>
        <x:v>1</x:v>
      </x:c>
      <x:c r="AI932" s="32" t="n">
        <x:f>(Z932+tun_ElderCommons*INDEX(LM_Elder,G932)*AA932)*AH932</x:f>
        <x:v>238215.0665857503</x:v>
      </x:c>
      <x:c r="AJ932" s="32" t="n">
        <x:f>H932*tun_CommonsCoef*AI932^tun_CommonsExp*INDEX(LM_Commons,G932)</x:f>
        <x:v>0</x:v>
      </x:c>
      <x:c r="AK932" s="32" t="n">
        <x:f>H932*tun_RoleScale*Arch_Roles*(AE932*(INDEX(tun_ElderRolePerSett,G932)*tun_OutElder*INDEX(LM_Elder,G932)+INDEX(tun_ShamanPerSett,G932)*tun_OutShaman)+Z932*(INDEX(tun_PriestShare,G932)*tun_OutPriest+INDEX(tun_ScribeShare,G932)*tun_OutScribe*INDEX(LM_Scribe,G932)+INDEX(tun_ScholarShare,G932)*tun_OutScholar*INDEX(LM_Scholar,G932)+INDEX(tun_ResearcherShare,G932)*tun_OutResearcher*INDEX(LM_Researcher,G932)))</x:f>
        <x:v>0</x:v>
      </x:c>
      <x:c r="AL932" s="32" t="n">
        <x:f>H932*tun_RoleScale*Arch_Roles*AE932*INDEX(tun_MonasteryPerSett,G932)*tun_OutMonastery*INDEX(LM_Monastery,G932)</x:f>
        <x:v>0</x:v>
      </x:c>
      <x:c r="AM932" s="32" t="n">
        <x:f>(AJ932+AK932+AL932)/4*INDEX(LM_All,G932)*INDEX(tun_Boon,G932)*Arch_Insight</x:f>
        <x:v>0</x:v>
      </x:c>
      <x:c r="AN932" s="32" t="n">
        <x:f>H932*(tun_KHPerAdult*Z932+tun_KHOfCommons*AJ932/4*INDEX(LM_All,G932))*tun_KHUsable*Arch_KH</x:f>
        <x:v>0</x:v>
      </x:c>
      <x:c r="AO932" s="32" t="n">
        <x:f>MIN(AP931+AN932,AM932*tun_KHMaxRatio)</x:f>
        <x:v>0</x:v>
      </x:c>
      <x:c r="AP932" s="32" t="n">
        <x:f>AP931+AN932-AO932</x:f>
        <x:v>0</x:v>
      </x:c>
      <x:c r="AQ932" s="32" t="n">
        <x:f>AM932+AO932</x:f>
        <x:v>0</x:v>
      </x:c>
      <x:c r="AR932" s="10" t="n">
        <x:f>IF(H932=1,INDEX(tun_Req,G932),0)</x:f>
        <x:v>0</x:v>
      </x:c>
      <x:c r="AS932" s="32" t="n">
        <x:f>IF(H932=1,IF(E932=1,AS931-AR931,AS931)+AQ932,0)</x:f>
        <x:v>0</x:v>
      </x:c>
      <x:c r="AT932" s="11" t="n">
        <x:f>IF(AR932&gt;0,MIN(1,AS932/AR932),1)</x:f>
        <x:v>1</x:v>
      </x:c>
      <x:c r="AU932" s="10" t="n">
        <x:f>AB932/INDEX(tun_RepScale,G932)</x:f>
        <x:v>290.3368848566301</x:v>
      </x:c>
      <x:c r="AV932" s="32" t="n">
        <x:f>AM932*60/tun_SeasonSeconds</x:f>
        <x:v>0</x:v>
      </x:c>
    </x:row>
    <x:row r="933">
      <x:c r="A933" s="8" t="n">
        <x:f>A932+1</x:f>
        <x:v>930</x:v>
      </x:c>
      <x:c r="B933" s="9" t="n">
        <x:f>A933*tun_SeasonSeconds/60</x:f>
        <x:v>232.5</x:v>
      </x:c>
      <x:c r="C933" s="9" t="n">
        <x:f>A933/4</x:f>
        <x:v>232.5</x:v>
      </x:c>
      <x:c r="D933" s="8" t="n">
        <x:f>IF(MOD(A933,4)=0,1,0)</x:f>
        <x:v>0</x:v>
      </x:c>
      <x:c r="E933" s="8" t="n">
        <x:f>IF(AND(F932&lt;=9,AS932&gt;=AR932),1,0)</x:f>
        <x:v>0</x:v>
      </x:c>
      <x:c r="F933" s="8" t="n">
        <x:f>MIN(10,F932+E933)</x:f>
        <x:v>10</x:v>
      </x:c>
      <x:c r="G933" s="8" t="n">
        <x:f>MIN(F933,9)+1</x:f>
        <x:v>10</x:v>
      </x:c>
      <x:c r="H933" s="8" t="n">
        <x:f>IF(F933&lt;=9,1,0)</x:f>
        <x:v>0</x:v>
      </x:c>
      <x:c r="I933" s="9" t="n">
        <x:f>MIN(10,F932+IF(AR932&gt;0,MIN(1,AS932/AR932),1))</x:f>
        <x:v>10</x:v>
      </x:c>
      <x:c r="J933" s="32" t="n">
        <x:f>INDEX(tun_FoodCap,G933)*Arch_FoodCap*EXP(tun_CapsByProject*SUMPRODUCT((Cap_Point&lt;=I933)*(Cap_Kind="Food")*Cap_Ln))</x:f>
        <x:v>18627.260449441455</x:v>
      </x:c>
      <x:c r="K933" s="32" t="n">
        <x:f>J933*MIN(1,tun_LeanBase*EXP(tun_CapsByProject*SUMPRODUCT((Cap_Point&lt;=I933)*(Cap_Kind="Lean")*Cap_Ln)))</x:f>
        <x:v>18627.260449441455</x:v>
      </x:c>
      <x:c r="L933" s="10" t="n">
        <x:f>INDEX(tun_HousingCap,G933)*EXP(tun_CapsByProject*SUMPRODUCT((Cap_Point&lt;=I933)*(Cap_Kind="Housing")*Cap_Ln))</x:f>
        <x:v>20528.974303173167</x:v>
      </x:c>
      <x:c r="M933" s="10" t="n">
        <x:f>INDEX(tun_GroupCap,G933)*tun_CohesionFactor*EXP(tun_CapsByProject*SUMPRODUCT((Cap_Point&lt;=I933)*(Cap_Kind="Group")*Cap_Ln))</x:f>
        <x:v>1000000.000000001</x:v>
      </x:c>
      <x:c r="N933" s="32" t="n">
        <x:f>MIN(J933,L933,M933)</x:f>
        <x:v>18627.260449441455</x:v>
      </x:c>
      <x:c r="O933" s="10" t="n">
        <x:f>AE932*N933</x:f>
        <x:v>167645.34404497308</x:v>
      </x:c>
      <x:c r="P933" s="9" t="n">
        <x:f>MIN(1,(AB932/(AE932*IF(tun_GroupInCrowding=1,N933,MIN(J933,L933))))^tun_CrowdingExp)</x:f>
        <x:v>0.4215841981292809</x:v>
      </x:c>
      <x:c r="Q933" s="9" t="n">
        <x:f>IF(D933=1,INDEX(tun_WinterMult,G933),1)</x:f>
        <x:v>1</x:v>
      </x:c>
      <x:c r="R933" s="9" t="n">
        <x:f>H933*Z932*tun_WomenShare*tun_BaseFertility*INDEX(tun_FertMult,G933)*Arch_Fertility*(1-P933)</x:f>
        <x:v>0</x:v>
      </x:c>
      <x:c r="S933" s="9" t="n">
        <x:f>H933*Y932*INDEX(tun_MortChild,G933)/4*Q933</x:f>
        <x:v>0</x:v>
      </x:c>
      <x:c r="T933" s="9" t="n">
        <x:f>H933*Z932*INDEX(tun_MortAdult,G933)*Arch_AdultMort/4*Q933</x:f>
        <x:v>0</x:v>
      </x:c>
      <x:c r="U933" s="9" t="n">
        <x:f>H933*AA932*INDEX(tun_MortElder,G933)/4*Q933</x:f>
        <x:v>0</x:v>
      </x:c>
      <x:c r="V933" s="9" t="n">
        <x:f>H933*MAX(0,AB932-O933)*tun_OvercapLoss</x:f>
        <x:v>0</x:v>
      </x:c>
      <x:c r="W933" s="9" t="n">
        <x:f>H933*Y932/(tun_ChildYears*4)</x:f>
        <x:v>0</x:v>
      </x:c>
      <x:c r="X933" s="9" t="n">
        <x:f>H933*Z932/(tun_AdultYears*4)</x:f>
        <x:v>0</x:v>
      </x:c>
      <x:c r="Y933" s="32" t="n">
        <x:f>Y932+R933-S933-W933-Y932*V933/AB932</x:f>
        <x:v>40496.20709015643</x:v>
      </x:c>
      <x:c r="Z933" s="32" t="n">
        <x:f>Z932+W933-X933-T933-Z932*V933/AB932</x:f>
        <x:v>59141.61122890803</x:v>
      </x:c>
      <x:c r="AA933" s="32" t="n">
        <x:f>AA932+X933-U933-AA932*V933/AB932</x:f>
        <x:v>45530.62410925061</x:v>
      </x:c>
      <x:c r="AB933" s="10" t="n">
        <x:f>Y933+Z933+AA933</x:f>
        <x:v>145168.44242831506</x:v>
      </x:c>
      <x:c r="AC933" s="8" t="n">
        <x:f>IF(AND(tun_WinterTrigger=1,D933=1,AB932/AE932&gt;=K933),1,0)</x:f>
        <x:v>0</x:v>
      </x:c>
      <x:c r="AD933" s="8" t="n">
        <x:f>H933*IF(AND(OR(AB932/AE932&gt;=tun_FissionTrigger*N933,AC933=1),AB932/AE932*tun_DaughterShare&gt;=tun_MinDaughter),MAX(1,ROUND(AE932*tun_FissionRate,0)),0)</x:f>
        <x:v>0</x:v>
      </x:c>
      <x:c r="AE933" s="8" t="n">
        <x:f>IF(H933=1,MAX(1,MIN(INDEX(tun_Smax,G933),AE932+AD933)),AE932)</x:f>
        <x:v>9</x:v>
      </x:c>
      <x:c r="AF933" s="8" t="n">
        <x:f>MAX(0,AE933-AE932)</x:f>
        <x:v>0</x:v>
      </x:c>
      <x:c r="AG933" s="9" t="str">
        <x:f>IF(AF933&gt;0,B933,"")</x:f>
      </x:c>
      <x:c r="AH933" s="9" t="n">
        <x:f>IF(F933&gt;=1,1,(1+tun_LowTiesShare*(AE933-1))/AE933)</x:f>
        <x:v>1</x:v>
      </x:c>
      <x:c r="AI933" s="32" t="n">
        <x:f>(Z933+tun_ElderCommons*INDEX(LM_Elder,G933)*AA933)*AH933</x:f>
        <x:v>238215.0665857503</x:v>
      </x:c>
      <x:c r="AJ933" s="32" t="n">
        <x:f>H933*tun_CommonsCoef*AI933^tun_CommonsExp*INDEX(LM_Commons,G933)</x:f>
        <x:v>0</x:v>
      </x:c>
      <x:c r="AK933" s="32" t="n">
        <x:f>H933*tun_RoleScale*Arch_Roles*(AE933*(INDEX(tun_ElderRolePerSett,G933)*tun_OutElder*INDEX(LM_Elder,G933)+INDEX(tun_ShamanPerSett,G933)*tun_OutShaman)+Z933*(INDEX(tun_PriestShare,G933)*tun_OutPriest+INDEX(tun_ScribeShare,G933)*tun_OutScribe*INDEX(LM_Scribe,G933)+INDEX(tun_ScholarShare,G933)*tun_OutScholar*INDEX(LM_Scholar,G933)+INDEX(tun_ResearcherShare,G933)*tun_OutResearcher*INDEX(LM_Researcher,G933)))</x:f>
        <x:v>0</x:v>
      </x:c>
      <x:c r="AL933" s="32" t="n">
        <x:f>H933*tun_RoleScale*Arch_Roles*AE933*INDEX(tun_MonasteryPerSett,G933)*tun_OutMonastery*INDEX(LM_Monastery,G933)</x:f>
        <x:v>0</x:v>
      </x:c>
      <x:c r="AM933" s="32" t="n">
        <x:f>(AJ933+AK933+AL933)/4*INDEX(LM_All,G933)*INDEX(tun_Boon,G933)*Arch_Insight</x:f>
        <x:v>0</x:v>
      </x:c>
      <x:c r="AN933" s="32" t="n">
        <x:f>H933*(tun_KHPerAdult*Z933+tun_KHOfCommons*AJ933/4*INDEX(LM_All,G933))*tun_KHUsable*Arch_KH</x:f>
        <x:v>0</x:v>
      </x:c>
      <x:c r="AO933" s="32" t="n">
        <x:f>MIN(AP932+AN933,AM933*tun_KHMaxRatio)</x:f>
        <x:v>0</x:v>
      </x:c>
      <x:c r="AP933" s="32" t="n">
        <x:f>AP932+AN933-AO933</x:f>
        <x:v>0</x:v>
      </x:c>
      <x:c r="AQ933" s="32" t="n">
        <x:f>AM933+AO933</x:f>
        <x:v>0</x:v>
      </x:c>
      <x:c r="AR933" s="10" t="n">
        <x:f>IF(H933=1,INDEX(tun_Req,G933),0)</x:f>
        <x:v>0</x:v>
      </x:c>
      <x:c r="AS933" s="32" t="n">
        <x:f>IF(H933=1,IF(E933=1,AS932-AR932,AS932)+AQ933,0)</x:f>
        <x:v>0</x:v>
      </x:c>
      <x:c r="AT933" s="11" t="n">
        <x:f>IF(AR933&gt;0,MIN(1,AS933/AR933),1)</x:f>
        <x:v>1</x:v>
      </x:c>
      <x:c r="AU933" s="10" t="n">
        <x:f>AB933/INDEX(tun_RepScale,G933)</x:f>
        <x:v>290.3368848566301</x:v>
      </x:c>
      <x:c r="AV933" s="32" t="n">
        <x:f>AM933*60/tun_SeasonSeconds</x:f>
        <x:v>0</x:v>
      </x:c>
    </x:row>
    <x:row r="934">
      <x:c r="A934" s="8" t="n">
        <x:f>A933+1</x:f>
        <x:v>931</x:v>
      </x:c>
      <x:c r="B934" s="9" t="n">
        <x:f>A934*tun_SeasonSeconds/60</x:f>
        <x:v>232.75</x:v>
      </x:c>
      <x:c r="C934" s="9" t="n">
        <x:f>A934/4</x:f>
        <x:v>232.75</x:v>
      </x:c>
      <x:c r="D934" s="8" t="n">
        <x:f>IF(MOD(A934,4)=0,1,0)</x:f>
        <x:v>0</x:v>
      </x:c>
      <x:c r="E934" s="8" t="n">
        <x:f>IF(AND(F933&lt;=9,AS933&gt;=AR933),1,0)</x:f>
        <x:v>0</x:v>
      </x:c>
      <x:c r="F934" s="8" t="n">
        <x:f>MIN(10,F933+E934)</x:f>
        <x:v>10</x:v>
      </x:c>
      <x:c r="G934" s="8" t="n">
        <x:f>MIN(F934,9)+1</x:f>
        <x:v>10</x:v>
      </x:c>
      <x:c r="H934" s="8" t="n">
        <x:f>IF(F934&lt;=9,1,0)</x:f>
        <x:v>0</x:v>
      </x:c>
      <x:c r="I934" s="9" t="n">
        <x:f>MIN(10,F933+IF(AR933&gt;0,MIN(1,AS933/AR933),1))</x:f>
        <x:v>10</x:v>
      </x:c>
      <x:c r="J934" s="32" t="n">
        <x:f>INDEX(tun_FoodCap,G934)*Arch_FoodCap*EXP(tun_CapsByProject*SUMPRODUCT((Cap_Point&lt;=I934)*(Cap_Kind="Food")*Cap_Ln))</x:f>
        <x:v>18627.260449441455</x:v>
      </x:c>
      <x:c r="K934" s="32" t="n">
        <x:f>J934*MIN(1,tun_LeanBase*EXP(tun_CapsByProject*SUMPRODUCT((Cap_Point&lt;=I934)*(Cap_Kind="Lean")*Cap_Ln)))</x:f>
        <x:v>18627.260449441455</x:v>
      </x:c>
      <x:c r="L934" s="10" t="n">
        <x:f>INDEX(tun_HousingCap,G934)*EXP(tun_CapsByProject*SUMPRODUCT((Cap_Point&lt;=I934)*(Cap_Kind="Housing")*Cap_Ln))</x:f>
        <x:v>20528.974303173167</x:v>
      </x:c>
      <x:c r="M934" s="10" t="n">
        <x:f>INDEX(tun_GroupCap,G934)*tun_CohesionFactor*EXP(tun_CapsByProject*SUMPRODUCT((Cap_Point&lt;=I934)*(Cap_Kind="Group")*Cap_Ln))</x:f>
        <x:v>1000000.000000001</x:v>
      </x:c>
      <x:c r="N934" s="32" t="n">
        <x:f>MIN(J934,L934,M934)</x:f>
        <x:v>18627.260449441455</x:v>
      </x:c>
      <x:c r="O934" s="10" t="n">
        <x:f>AE933*N934</x:f>
        <x:v>167645.34404497308</x:v>
      </x:c>
      <x:c r="P934" s="9" t="n">
        <x:f>MIN(1,(AB933/(AE933*IF(tun_GroupInCrowding=1,N934,MIN(J934,L934))))^tun_CrowdingExp)</x:f>
        <x:v>0.4215841981292809</x:v>
      </x:c>
      <x:c r="Q934" s="9" t="n">
        <x:f>IF(D934=1,INDEX(tun_WinterMult,G934),1)</x:f>
        <x:v>1</x:v>
      </x:c>
      <x:c r="R934" s="9" t="n">
        <x:f>H934*Z933*tun_WomenShare*tun_BaseFertility*INDEX(tun_FertMult,G934)*Arch_Fertility*(1-P934)</x:f>
        <x:v>0</x:v>
      </x:c>
      <x:c r="S934" s="9" t="n">
        <x:f>H934*Y933*INDEX(tun_MortChild,G934)/4*Q934</x:f>
        <x:v>0</x:v>
      </x:c>
      <x:c r="T934" s="9" t="n">
        <x:f>H934*Z933*INDEX(tun_MortAdult,G934)*Arch_AdultMort/4*Q934</x:f>
        <x:v>0</x:v>
      </x:c>
      <x:c r="U934" s="9" t="n">
        <x:f>H934*AA933*INDEX(tun_MortElder,G934)/4*Q934</x:f>
        <x:v>0</x:v>
      </x:c>
      <x:c r="V934" s="9" t="n">
        <x:f>H934*MAX(0,AB933-O934)*tun_OvercapLoss</x:f>
        <x:v>0</x:v>
      </x:c>
      <x:c r="W934" s="9" t="n">
        <x:f>H934*Y933/(tun_ChildYears*4)</x:f>
        <x:v>0</x:v>
      </x:c>
      <x:c r="X934" s="9" t="n">
        <x:f>H934*Z933/(tun_AdultYears*4)</x:f>
        <x:v>0</x:v>
      </x:c>
      <x:c r="Y934" s="32" t="n">
        <x:f>Y933+R934-S934-W934-Y933*V934/AB933</x:f>
        <x:v>40496.20709015643</x:v>
      </x:c>
      <x:c r="Z934" s="32" t="n">
        <x:f>Z933+W934-X934-T934-Z933*V934/AB933</x:f>
        <x:v>59141.61122890803</x:v>
      </x:c>
      <x:c r="AA934" s="32" t="n">
        <x:f>AA933+X934-U934-AA933*V934/AB933</x:f>
        <x:v>45530.62410925061</x:v>
      </x:c>
      <x:c r="AB934" s="10" t="n">
        <x:f>Y934+Z934+AA934</x:f>
        <x:v>145168.44242831506</x:v>
      </x:c>
      <x:c r="AC934" s="8" t="n">
        <x:f>IF(AND(tun_WinterTrigger=1,D934=1,AB933/AE933&gt;=K934),1,0)</x:f>
        <x:v>0</x:v>
      </x:c>
      <x:c r="AD934" s="8" t="n">
        <x:f>H934*IF(AND(OR(AB933/AE933&gt;=tun_FissionTrigger*N934,AC934=1),AB933/AE933*tun_DaughterShare&gt;=tun_MinDaughter),MAX(1,ROUND(AE933*tun_FissionRate,0)),0)</x:f>
        <x:v>0</x:v>
      </x:c>
      <x:c r="AE934" s="8" t="n">
        <x:f>IF(H934=1,MAX(1,MIN(INDEX(tun_Smax,G934),AE933+AD934)),AE933)</x:f>
        <x:v>9</x:v>
      </x:c>
      <x:c r="AF934" s="8" t="n">
        <x:f>MAX(0,AE934-AE933)</x:f>
        <x:v>0</x:v>
      </x:c>
      <x:c r="AG934" s="9" t="str">
        <x:f>IF(AF934&gt;0,B934,"")</x:f>
      </x:c>
      <x:c r="AH934" s="9" t="n">
        <x:f>IF(F934&gt;=1,1,(1+tun_LowTiesShare*(AE934-1))/AE934)</x:f>
        <x:v>1</x:v>
      </x:c>
      <x:c r="AI934" s="32" t="n">
        <x:f>(Z934+tun_ElderCommons*INDEX(LM_Elder,G934)*AA934)*AH934</x:f>
        <x:v>238215.0665857503</x:v>
      </x:c>
      <x:c r="AJ934" s="32" t="n">
        <x:f>H934*tun_CommonsCoef*AI934^tun_CommonsExp*INDEX(LM_Commons,G934)</x:f>
        <x:v>0</x:v>
      </x:c>
      <x:c r="AK934" s="32" t="n">
        <x:f>H934*tun_RoleScale*Arch_Roles*(AE934*(INDEX(tun_ElderRolePerSett,G934)*tun_OutElder*INDEX(LM_Elder,G934)+INDEX(tun_ShamanPerSett,G934)*tun_OutShaman)+Z934*(INDEX(tun_PriestShare,G934)*tun_OutPriest+INDEX(tun_ScribeShare,G934)*tun_OutScribe*INDEX(LM_Scribe,G934)+INDEX(tun_ScholarShare,G934)*tun_OutScholar*INDEX(LM_Scholar,G934)+INDEX(tun_ResearcherShare,G934)*tun_OutResearcher*INDEX(LM_Researcher,G934)))</x:f>
        <x:v>0</x:v>
      </x:c>
      <x:c r="AL934" s="32" t="n">
        <x:f>H934*tun_RoleScale*Arch_Roles*AE934*INDEX(tun_MonasteryPerSett,G934)*tun_OutMonastery*INDEX(LM_Monastery,G934)</x:f>
        <x:v>0</x:v>
      </x:c>
      <x:c r="AM934" s="32" t="n">
        <x:f>(AJ934+AK934+AL934)/4*INDEX(LM_All,G934)*INDEX(tun_Boon,G934)*Arch_Insight</x:f>
        <x:v>0</x:v>
      </x:c>
      <x:c r="AN934" s="32" t="n">
        <x:f>H934*(tun_KHPerAdult*Z934+tun_KHOfCommons*AJ934/4*INDEX(LM_All,G934))*tun_KHUsable*Arch_KH</x:f>
        <x:v>0</x:v>
      </x:c>
      <x:c r="AO934" s="32" t="n">
        <x:f>MIN(AP933+AN934,AM934*tun_KHMaxRatio)</x:f>
        <x:v>0</x:v>
      </x:c>
      <x:c r="AP934" s="32" t="n">
        <x:f>AP933+AN934-AO934</x:f>
        <x:v>0</x:v>
      </x:c>
      <x:c r="AQ934" s="32" t="n">
        <x:f>AM934+AO934</x:f>
        <x:v>0</x:v>
      </x:c>
      <x:c r="AR934" s="10" t="n">
        <x:f>IF(H934=1,INDEX(tun_Req,G934),0)</x:f>
        <x:v>0</x:v>
      </x:c>
      <x:c r="AS934" s="32" t="n">
        <x:f>IF(H934=1,IF(E934=1,AS933-AR933,AS933)+AQ934,0)</x:f>
        <x:v>0</x:v>
      </x:c>
      <x:c r="AT934" s="11" t="n">
        <x:f>IF(AR934&gt;0,MIN(1,AS934/AR934),1)</x:f>
        <x:v>1</x:v>
      </x:c>
      <x:c r="AU934" s="10" t="n">
        <x:f>AB934/INDEX(tun_RepScale,G934)</x:f>
        <x:v>290.3368848566301</x:v>
      </x:c>
      <x:c r="AV934" s="32" t="n">
        <x:f>AM934*60/tun_SeasonSeconds</x:f>
        <x:v>0</x:v>
      </x:c>
    </x:row>
    <x:row r="935">
      <x:c r="A935" s="8" t="n">
        <x:f>A934+1</x:f>
        <x:v>932</x:v>
      </x:c>
      <x:c r="B935" s="9" t="n">
        <x:f>A935*tun_SeasonSeconds/60</x:f>
        <x:v>233</x:v>
      </x:c>
      <x:c r="C935" s="9" t="n">
        <x:f>A935/4</x:f>
        <x:v>233</x:v>
      </x:c>
      <x:c r="D935" s="8" t="n">
        <x:f>IF(MOD(A935,4)=0,1,0)</x:f>
        <x:v>1</x:v>
      </x:c>
      <x:c r="E935" s="8" t="n">
        <x:f>IF(AND(F934&lt;=9,AS934&gt;=AR934),1,0)</x:f>
        <x:v>0</x:v>
      </x:c>
      <x:c r="F935" s="8" t="n">
        <x:f>MIN(10,F934+E935)</x:f>
        <x:v>10</x:v>
      </x:c>
      <x:c r="G935" s="8" t="n">
        <x:f>MIN(F935,9)+1</x:f>
        <x:v>10</x:v>
      </x:c>
      <x:c r="H935" s="8" t="n">
        <x:f>IF(F935&lt;=9,1,0)</x:f>
        <x:v>0</x:v>
      </x:c>
      <x:c r="I935" s="9" t="n">
        <x:f>MIN(10,F934+IF(AR934&gt;0,MIN(1,AS934/AR934),1))</x:f>
        <x:v>10</x:v>
      </x:c>
      <x:c r="J935" s="32" t="n">
        <x:f>INDEX(tun_FoodCap,G935)*Arch_FoodCap*EXP(tun_CapsByProject*SUMPRODUCT((Cap_Point&lt;=I935)*(Cap_Kind="Food")*Cap_Ln))</x:f>
        <x:v>18627.260449441455</x:v>
      </x:c>
      <x:c r="K935" s="32" t="n">
        <x:f>J935*MIN(1,tun_LeanBase*EXP(tun_CapsByProject*SUMPRODUCT((Cap_Point&lt;=I935)*(Cap_Kind="Lean")*Cap_Ln)))</x:f>
        <x:v>18627.260449441455</x:v>
      </x:c>
      <x:c r="L935" s="10" t="n">
        <x:f>INDEX(tun_HousingCap,G935)*EXP(tun_CapsByProject*SUMPRODUCT((Cap_Point&lt;=I935)*(Cap_Kind="Housing")*Cap_Ln))</x:f>
        <x:v>20528.974303173167</x:v>
      </x:c>
      <x:c r="M935" s="10" t="n">
        <x:f>INDEX(tun_GroupCap,G935)*tun_CohesionFactor*EXP(tun_CapsByProject*SUMPRODUCT((Cap_Point&lt;=I935)*(Cap_Kind="Group")*Cap_Ln))</x:f>
        <x:v>1000000.000000001</x:v>
      </x:c>
      <x:c r="N935" s="32" t="n">
        <x:f>MIN(J935,L935,M935)</x:f>
        <x:v>18627.260449441455</x:v>
      </x:c>
      <x:c r="O935" s="10" t="n">
        <x:f>AE934*N935</x:f>
        <x:v>167645.34404497308</x:v>
      </x:c>
      <x:c r="P935" s="9" t="n">
        <x:f>MIN(1,(AB934/(AE934*IF(tun_GroupInCrowding=1,N935,MIN(J935,L935))))^tun_CrowdingExp)</x:f>
        <x:v>0.4215841981292809</x:v>
      </x:c>
      <x:c r="Q935" s="9" t="n">
        <x:f>IF(D935=1,INDEX(tun_WinterMult,G935),1)</x:f>
        <x:v>1.05</x:v>
      </x:c>
      <x:c r="R935" s="9" t="n">
        <x:f>H935*Z934*tun_WomenShare*tun_BaseFertility*INDEX(tun_FertMult,G935)*Arch_Fertility*(1-P935)</x:f>
        <x:v>0</x:v>
      </x:c>
      <x:c r="S935" s="9" t="n">
        <x:f>H935*Y934*INDEX(tun_MortChild,G935)/4*Q935</x:f>
        <x:v>0</x:v>
      </x:c>
      <x:c r="T935" s="9" t="n">
        <x:f>H935*Z934*INDEX(tun_MortAdult,G935)*Arch_AdultMort/4*Q935</x:f>
        <x:v>0</x:v>
      </x:c>
      <x:c r="U935" s="9" t="n">
        <x:f>H935*AA934*INDEX(tun_MortElder,G935)/4*Q935</x:f>
        <x:v>0</x:v>
      </x:c>
      <x:c r="V935" s="9" t="n">
        <x:f>H935*MAX(0,AB934-O935)*tun_OvercapLoss</x:f>
        <x:v>0</x:v>
      </x:c>
      <x:c r="W935" s="9" t="n">
        <x:f>H935*Y934/(tun_ChildYears*4)</x:f>
        <x:v>0</x:v>
      </x:c>
      <x:c r="X935" s="9" t="n">
        <x:f>H935*Z934/(tun_AdultYears*4)</x:f>
        <x:v>0</x:v>
      </x:c>
      <x:c r="Y935" s="32" t="n">
        <x:f>Y934+R935-S935-W935-Y934*V935/AB934</x:f>
        <x:v>40496.20709015643</x:v>
      </x:c>
      <x:c r="Z935" s="32" t="n">
        <x:f>Z934+W935-X935-T935-Z934*V935/AB934</x:f>
        <x:v>59141.61122890803</x:v>
      </x:c>
      <x:c r="AA935" s="32" t="n">
        <x:f>AA934+X935-U935-AA934*V935/AB934</x:f>
        <x:v>45530.62410925061</x:v>
      </x:c>
      <x:c r="AB935" s="10" t="n">
        <x:f>Y935+Z935+AA935</x:f>
        <x:v>145168.44242831506</x:v>
      </x:c>
      <x:c r="AC935" s="8" t="n">
        <x:f>IF(AND(tun_WinterTrigger=1,D935=1,AB934/AE934&gt;=K935),1,0)</x:f>
        <x:v>0</x:v>
      </x:c>
      <x:c r="AD935" s="8" t="n">
        <x:f>H935*IF(AND(OR(AB934/AE934&gt;=tun_FissionTrigger*N935,AC935=1),AB934/AE934*tun_DaughterShare&gt;=tun_MinDaughter),MAX(1,ROUND(AE934*tun_FissionRate,0)),0)</x:f>
        <x:v>0</x:v>
      </x:c>
      <x:c r="AE935" s="8" t="n">
        <x:f>IF(H935=1,MAX(1,MIN(INDEX(tun_Smax,G935),AE934+AD935)),AE934)</x:f>
        <x:v>9</x:v>
      </x:c>
      <x:c r="AF935" s="8" t="n">
        <x:f>MAX(0,AE935-AE934)</x:f>
        <x:v>0</x:v>
      </x:c>
      <x:c r="AG935" s="9" t="str">
        <x:f>IF(AF935&gt;0,B935,"")</x:f>
      </x:c>
      <x:c r="AH935" s="9" t="n">
        <x:f>IF(F935&gt;=1,1,(1+tun_LowTiesShare*(AE935-1))/AE935)</x:f>
        <x:v>1</x:v>
      </x:c>
      <x:c r="AI935" s="32" t="n">
        <x:f>(Z935+tun_ElderCommons*INDEX(LM_Elder,G935)*AA935)*AH935</x:f>
        <x:v>238215.0665857503</x:v>
      </x:c>
      <x:c r="AJ935" s="32" t="n">
        <x:f>H935*tun_CommonsCoef*AI935^tun_CommonsExp*INDEX(LM_Commons,G935)</x:f>
        <x:v>0</x:v>
      </x:c>
      <x:c r="AK935" s="32" t="n">
        <x:f>H935*tun_RoleScale*Arch_Roles*(AE935*(INDEX(tun_ElderRolePerSett,G935)*tun_OutElder*INDEX(LM_Elder,G935)+INDEX(tun_ShamanPerSett,G935)*tun_OutShaman)+Z935*(INDEX(tun_PriestShare,G935)*tun_OutPriest+INDEX(tun_ScribeShare,G935)*tun_OutScribe*INDEX(LM_Scribe,G935)+INDEX(tun_ScholarShare,G935)*tun_OutScholar*INDEX(LM_Scholar,G935)+INDEX(tun_ResearcherShare,G935)*tun_OutResearcher*INDEX(LM_Researcher,G935)))</x:f>
        <x:v>0</x:v>
      </x:c>
      <x:c r="AL935" s="32" t="n">
        <x:f>H935*tun_RoleScale*Arch_Roles*AE935*INDEX(tun_MonasteryPerSett,G935)*tun_OutMonastery*INDEX(LM_Monastery,G935)</x:f>
        <x:v>0</x:v>
      </x:c>
      <x:c r="AM935" s="32" t="n">
        <x:f>(AJ935+AK935+AL935)/4*INDEX(LM_All,G935)*INDEX(tun_Boon,G935)*Arch_Insight</x:f>
        <x:v>0</x:v>
      </x:c>
      <x:c r="AN935" s="32" t="n">
        <x:f>H935*(tun_KHPerAdult*Z935+tun_KHOfCommons*AJ935/4*INDEX(LM_All,G935))*tun_KHUsable*Arch_KH</x:f>
        <x:v>0</x:v>
      </x:c>
      <x:c r="AO935" s="32" t="n">
        <x:f>MIN(AP934+AN935,AM935*tun_KHMaxRatio)</x:f>
        <x:v>0</x:v>
      </x:c>
      <x:c r="AP935" s="32" t="n">
        <x:f>AP934+AN935-AO935</x:f>
        <x:v>0</x:v>
      </x:c>
      <x:c r="AQ935" s="32" t="n">
        <x:f>AM935+AO935</x:f>
        <x:v>0</x:v>
      </x:c>
      <x:c r="AR935" s="10" t="n">
        <x:f>IF(H935=1,INDEX(tun_Req,G935),0)</x:f>
        <x:v>0</x:v>
      </x:c>
      <x:c r="AS935" s="32" t="n">
        <x:f>IF(H935=1,IF(E935=1,AS934-AR934,AS934)+AQ935,0)</x:f>
        <x:v>0</x:v>
      </x:c>
      <x:c r="AT935" s="11" t="n">
        <x:f>IF(AR935&gt;0,MIN(1,AS935/AR935),1)</x:f>
        <x:v>1</x:v>
      </x:c>
      <x:c r="AU935" s="10" t="n">
        <x:f>AB935/INDEX(tun_RepScale,G935)</x:f>
        <x:v>290.3368848566301</x:v>
      </x:c>
      <x:c r="AV935" s="32" t="n">
        <x:f>AM935*60/tun_SeasonSeconds</x:f>
        <x:v>0</x:v>
      </x:c>
    </x:row>
    <x:row r="936">
      <x:c r="A936" s="8" t="n">
        <x:f>A935+1</x:f>
        <x:v>933</x:v>
      </x:c>
      <x:c r="B936" s="9" t="n">
        <x:f>A936*tun_SeasonSeconds/60</x:f>
        <x:v>233.25</x:v>
      </x:c>
      <x:c r="C936" s="9" t="n">
        <x:f>A936/4</x:f>
        <x:v>233.25</x:v>
      </x:c>
      <x:c r="D936" s="8" t="n">
        <x:f>IF(MOD(A936,4)=0,1,0)</x:f>
        <x:v>0</x:v>
      </x:c>
      <x:c r="E936" s="8" t="n">
        <x:f>IF(AND(F935&lt;=9,AS935&gt;=AR935),1,0)</x:f>
        <x:v>0</x:v>
      </x:c>
      <x:c r="F936" s="8" t="n">
        <x:f>MIN(10,F935+E936)</x:f>
        <x:v>10</x:v>
      </x:c>
      <x:c r="G936" s="8" t="n">
        <x:f>MIN(F936,9)+1</x:f>
        <x:v>10</x:v>
      </x:c>
      <x:c r="H936" s="8" t="n">
        <x:f>IF(F936&lt;=9,1,0)</x:f>
        <x:v>0</x:v>
      </x:c>
      <x:c r="I936" s="9" t="n">
        <x:f>MIN(10,F935+IF(AR935&gt;0,MIN(1,AS935/AR935),1))</x:f>
        <x:v>10</x:v>
      </x:c>
      <x:c r="J936" s="32" t="n">
        <x:f>INDEX(tun_FoodCap,G936)*Arch_FoodCap*EXP(tun_CapsByProject*SUMPRODUCT((Cap_Point&lt;=I936)*(Cap_Kind="Food")*Cap_Ln))</x:f>
        <x:v>18627.260449441455</x:v>
      </x:c>
      <x:c r="K936" s="32" t="n">
        <x:f>J936*MIN(1,tun_LeanBase*EXP(tun_CapsByProject*SUMPRODUCT((Cap_Point&lt;=I936)*(Cap_Kind="Lean")*Cap_Ln)))</x:f>
        <x:v>18627.260449441455</x:v>
      </x:c>
      <x:c r="L936" s="10" t="n">
        <x:f>INDEX(tun_HousingCap,G936)*EXP(tun_CapsByProject*SUMPRODUCT((Cap_Point&lt;=I936)*(Cap_Kind="Housing")*Cap_Ln))</x:f>
        <x:v>20528.974303173167</x:v>
      </x:c>
      <x:c r="M936" s="10" t="n">
        <x:f>INDEX(tun_GroupCap,G936)*tun_CohesionFactor*EXP(tun_CapsByProject*SUMPRODUCT((Cap_Point&lt;=I936)*(Cap_Kind="Group")*Cap_Ln))</x:f>
        <x:v>1000000.000000001</x:v>
      </x:c>
      <x:c r="N936" s="32" t="n">
        <x:f>MIN(J936,L936,M936)</x:f>
        <x:v>18627.260449441455</x:v>
      </x:c>
      <x:c r="O936" s="10" t="n">
        <x:f>AE935*N936</x:f>
        <x:v>167645.34404497308</x:v>
      </x:c>
      <x:c r="P936" s="9" t="n">
        <x:f>MIN(1,(AB935/(AE935*IF(tun_GroupInCrowding=1,N936,MIN(J936,L936))))^tun_CrowdingExp)</x:f>
        <x:v>0.4215841981292809</x:v>
      </x:c>
      <x:c r="Q936" s="9" t="n">
        <x:f>IF(D936=1,INDEX(tun_WinterMult,G936),1)</x:f>
        <x:v>1</x:v>
      </x:c>
      <x:c r="R936" s="9" t="n">
        <x:f>H936*Z935*tun_WomenShare*tun_BaseFertility*INDEX(tun_FertMult,G936)*Arch_Fertility*(1-P936)</x:f>
        <x:v>0</x:v>
      </x:c>
      <x:c r="S936" s="9" t="n">
        <x:f>H936*Y935*INDEX(tun_MortChild,G936)/4*Q936</x:f>
        <x:v>0</x:v>
      </x:c>
      <x:c r="T936" s="9" t="n">
        <x:f>H936*Z935*INDEX(tun_MortAdult,G936)*Arch_AdultMort/4*Q936</x:f>
        <x:v>0</x:v>
      </x:c>
      <x:c r="U936" s="9" t="n">
        <x:f>H936*AA935*INDEX(tun_MortElder,G936)/4*Q936</x:f>
        <x:v>0</x:v>
      </x:c>
      <x:c r="V936" s="9" t="n">
        <x:f>H936*MAX(0,AB935-O936)*tun_OvercapLoss</x:f>
        <x:v>0</x:v>
      </x:c>
      <x:c r="W936" s="9" t="n">
        <x:f>H936*Y935/(tun_ChildYears*4)</x:f>
        <x:v>0</x:v>
      </x:c>
      <x:c r="X936" s="9" t="n">
        <x:f>H936*Z935/(tun_AdultYears*4)</x:f>
        <x:v>0</x:v>
      </x:c>
      <x:c r="Y936" s="32" t="n">
        <x:f>Y935+R936-S936-W936-Y935*V936/AB935</x:f>
        <x:v>40496.20709015643</x:v>
      </x:c>
      <x:c r="Z936" s="32" t="n">
        <x:f>Z935+W936-X936-T936-Z935*V936/AB935</x:f>
        <x:v>59141.61122890803</x:v>
      </x:c>
      <x:c r="AA936" s="32" t="n">
        <x:f>AA935+X936-U936-AA935*V936/AB935</x:f>
        <x:v>45530.62410925061</x:v>
      </x:c>
      <x:c r="AB936" s="10" t="n">
        <x:f>Y936+Z936+AA936</x:f>
        <x:v>145168.44242831506</x:v>
      </x:c>
      <x:c r="AC936" s="8" t="n">
        <x:f>IF(AND(tun_WinterTrigger=1,D936=1,AB935/AE935&gt;=K936),1,0)</x:f>
        <x:v>0</x:v>
      </x:c>
      <x:c r="AD936" s="8" t="n">
        <x:f>H936*IF(AND(OR(AB935/AE935&gt;=tun_FissionTrigger*N936,AC936=1),AB935/AE935*tun_DaughterShare&gt;=tun_MinDaughter),MAX(1,ROUND(AE935*tun_FissionRate,0)),0)</x:f>
        <x:v>0</x:v>
      </x:c>
      <x:c r="AE936" s="8" t="n">
        <x:f>IF(H936=1,MAX(1,MIN(INDEX(tun_Smax,G936),AE935+AD936)),AE935)</x:f>
        <x:v>9</x:v>
      </x:c>
      <x:c r="AF936" s="8" t="n">
        <x:f>MAX(0,AE936-AE935)</x:f>
        <x:v>0</x:v>
      </x:c>
      <x:c r="AG936" s="9" t="str">
        <x:f>IF(AF936&gt;0,B936,"")</x:f>
      </x:c>
      <x:c r="AH936" s="9" t="n">
        <x:f>IF(F936&gt;=1,1,(1+tun_LowTiesShare*(AE936-1))/AE936)</x:f>
        <x:v>1</x:v>
      </x:c>
      <x:c r="AI936" s="32" t="n">
        <x:f>(Z936+tun_ElderCommons*INDEX(LM_Elder,G936)*AA936)*AH936</x:f>
        <x:v>238215.0665857503</x:v>
      </x:c>
      <x:c r="AJ936" s="32" t="n">
        <x:f>H936*tun_CommonsCoef*AI936^tun_CommonsExp*INDEX(LM_Commons,G936)</x:f>
        <x:v>0</x:v>
      </x:c>
      <x:c r="AK936" s="32" t="n">
        <x:f>H936*tun_RoleScale*Arch_Roles*(AE936*(INDEX(tun_ElderRolePerSett,G936)*tun_OutElder*INDEX(LM_Elder,G936)+INDEX(tun_ShamanPerSett,G936)*tun_OutShaman)+Z936*(INDEX(tun_PriestShare,G936)*tun_OutPriest+INDEX(tun_ScribeShare,G936)*tun_OutScribe*INDEX(LM_Scribe,G936)+INDEX(tun_ScholarShare,G936)*tun_OutScholar*INDEX(LM_Scholar,G936)+INDEX(tun_ResearcherShare,G936)*tun_OutResearcher*INDEX(LM_Researcher,G936)))</x:f>
        <x:v>0</x:v>
      </x:c>
      <x:c r="AL936" s="32" t="n">
        <x:f>H936*tun_RoleScale*Arch_Roles*AE936*INDEX(tun_MonasteryPerSett,G936)*tun_OutMonastery*INDEX(LM_Monastery,G936)</x:f>
        <x:v>0</x:v>
      </x:c>
      <x:c r="AM936" s="32" t="n">
        <x:f>(AJ936+AK936+AL936)/4*INDEX(LM_All,G936)*INDEX(tun_Boon,G936)*Arch_Insight</x:f>
        <x:v>0</x:v>
      </x:c>
      <x:c r="AN936" s="32" t="n">
        <x:f>H936*(tun_KHPerAdult*Z936+tun_KHOfCommons*AJ936/4*INDEX(LM_All,G936))*tun_KHUsable*Arch_KH</x:f>
        <x:v>0</x:v>
      </x:c>
      <x:c r="AO936" s="32" t="n">
        <x:f>MIN(AP935+AN936,AM936*tun_KHMaxRatio)</x:f>
        <x:v>0</x:v>
      </x:c>
      <x:c r="AP936" s="32" t="n">
        <x:f>AP935+AN936-AO936</x:f>
        <x:v>0</x:v>
      </x:c>
      <x:c r="AQ936" s="32" t="n">
        <x:f>AM936+AO936</x:f>
        <x:v>0</x:v>
      </x:c>
      <x:c r="AR936" s="10" t="n">
        <x:f>IF(H936=1,INDEX(tun_Req,G936),0)</x:f>
        <x:v>0</x:v>
      </x:c>
      <x:c r="AS936" s="32" t="n">
        <x:f>IF(H936=1,IF(E936=1,AS935-AR935,AS935)+AQ936,0)</x:f>
        <x:v>0</x:v>
      </x:c>
      <x:c r="AT936" s="11" t="n">
        <x:f>IF(AR936&gt;0,MIN(1,AS936/AR936),1)</x:f>
        <x:v>1</x:v>
      </x:c>
      <x:c r="AU936" s="10" t="n">
        <x:f>AB936/INDEX(tun_RepScale,G936)</x:f>
        <x:v>290.3368848566301</x:v>
      </x:c>
      <x:c r="AV936" s="32" t="n">
        <x:f>AM936*60/tun_SeasonSeconds</x:f>
        <x:v>0</x:v>
      </x:c>
    </x:row>
    <x:row r="937">
      <x:c r="A937" s="8" t="n">
        <x:f>A936+1</x:f>
        <x:v>934</x:v>
      </x:c>
      <x:c r="B937" s="9" t="n">
        <x:f>A937*tun_SeasonSeconds/60</x:f>
        <x:v>233.5</x:v>
      </x:c>
      <x:c r="C937" s="9" t="n">
        <x:f>A937/4</x:f>
        <x:v>233.5</x:v>
      </x:c>
      <x:c r="D937" s="8" t="n">
        <x:f>IF(MOD(A937,4)=0,1,0)</x:f>
        <x:v>0</x:v>
      </x:c>
      <x:c r="E937" s="8" t="n">
        <x:f>IF(AND(F936&lt;=9,AS936&gt;=AR936),1,0)</x:f>
        <x:v>0</x:v>
      </x:c>
      <x:c r="F937" s="8" t="n">
        <x:f>MIN(10,F936+E937)</x:f>
        <x:v>10</x:v>
      </x:c>
      <x:c r="G937" s="8" t="n">
        <x:f>MIN(F937,9)+1</x:f>
        <x:v>10</x:v>
      </x:c>
      <x:c r="H937" s="8" t="n">
        <x:f>IF(F937&lt;=9,1,0)</x:f>
        <x:v>0</x:v>
      </x:c>
      <x:c r="I937" s="9" t="n">
        <x:f>MIN(10,F936+IF(AR936&gt;0,MIN(1,AS936/AR936),1))</x:f>
        <x:v>10</x:v>
      </x:c>
      <x:c r="J937" s="32" t="n">
        <x:f>INDEX(tun_FoodCap,G937)*Arch_FoodCap*EXP(tun_CapsByProject*SUMPRODUCT((Cap_Point&lt;=I937)*(Cap_Kind="Food")*Cap_Ln))</x:f>
        <x:v>18627.260449441455</x:v>
      </x:c>
      <x:c r="K937" s="32" t="n">
        <x:f>J937*MIN(1,tun_LeanBase*EXP(tun_CapsByProject*SUMPRODUCT((Cap_Point&lt;=I937)*(Cap_Kind="Lean")*Cap_Ln)))</x:f>
        <x:v>18627.260449441455</x:v>
      </x:c>
      <x:c r="L937" s="10" t="n">
        <x:f>INDEX(tun_HousingCap,G937)*EXP(tun_CapsByProject*SUMPRODUCT((Cap_Point&lt;=I937)*(Cap_Kind="Housing")*Cap_Ln))</x:f>
        <x:v>20528.974303173167</x:v>
      </x:c>
      <x:c r="M937" s="10" t="n">
        <x:f>INDEX(tun_GroupCap,G937)*tun_CohesionFactor*EXP(tun_CapsByProject*SUMPRODUCT((Cap_Point&lt;=I937)*(Cap_Kind="Group")*Cap_Ln))</x:f>
        <x:v>1000000.000000001</x:v>
      </x:c>
      <x:c r="N937" s="32" t="n">
        <x:f>MIN(J937,L937,M937)</x:f>
        <x:v>18627.260449441455</x:v>
      </x:c>
      <x:c r="O937" s="10" t="n">
        <x:f>AE936*N937</x:f>
        <x:v>167645.34404497308</x:v>
      </x:c>
      <x:c r="P937" s="9" t="n">
        <x:f>MIN(1,(AB936/(AE936*IF(tun_GroupInCrowding=1,N937,MIN(J937,L937))))^tun_CrowdingExp)</x:f>
        <x:v>0.4215841981292809</x:v>
      </x:c>
      <x:c r="Q937" s="9" t="n">
        <x:f>IF(D937=1,INDEX(tun_WinterMult,G937),1)</x:f>
        <x:v>1</x:v>
      </x:c>
      <x:c r="R937" s="9" t="n">
        <x:f>H937*Z936*tun_WomenShare*tun_BaseFertility*INDEX(tun_FertMult,G937)*Arch_Fertility*(1-P937)</x:f>
        <x:v>0</x:v>
      </x:c>
      <x:c r="S937" s="9" t="n">
        <x:f>H937*Y936*INDEX(tun_MortChild,G937)/4*Q937</x:f>
        <x:v>0</x:v>
      </x:c>
      <x:c r="T937" s="9" t="n">
        <x:f>H937*Z936*INDEX(tun_MortAdult,G937)*Arch_AdultMort/4*Q937</x:f>
        <x:v>0</x:v>
      </x:c>
      <x:c r="U937" s="9" t="n">
        <x:f>H937*AA936*INDEX(tun_MortElder,G937)/4*Q937</x:f>
        <x:v>0</x:v>
      </x:c>
      <x:c r="V937" s="9" t="n">
        <x:f>H937*MAX(0,AB936-O937)*tun_OvercapLoss</x:f>
        <x:v>0</x:v>
      </x:c>
      <x:c r="W937" s="9" t="n">
        <x:f>H937*Y936/(tun_ChildYears*4)</x:f>
        <x:v>0</x:v>
      </x:c>
      <x:c r="X937" s="9" t="n">
        <x:f>H937*Z936/(tun_AdultYears*4)</x:f>
        <x:v>0</x:v>
      </x:c>
      <x:c r="Y937" s="32" t="n">
        <x:f>Y936+R937-S937-W937-Y936*V937/AB936</x:f>
        <x:v>40496.20709015643</x:v>
      </x:c>
      <x:c r="Z937" s="32" t="n">
        <x:f>Z936+W937-X937-T937-Z936*V937/AB936</x:f>
        <x:v>59141.61122890803</x:v>
      </x:c>
      <x:c r="AA937" s="32" t="n">
        <x:f>AA936+X937-U937-AA936*V937/AB936</x:f>
        <x:v>45530.62410925061</x:v>
      </x:c>
      <x:c r="AB937" s="10" t="n">
        <x:f>Y937+Z937+AA937</x:f>
        <x:v>145168.44242831506</x:v>
      </x:c>
      <x:c r="AC937" s="8" t="n">
        <x:f>IF(AND(tun_WinterTrigger=1,D937=1,AB936/AE936&gt;=K937),1,0)</x:f>
        <x:v>0</x:v>
      </x:c>
      <x:c r="AD937" s="8" t="n">
        <x:f>H937*IF(AND(OR(AB936/AE936&gt;=tun_FissionTrigger*N937,AC937=1),AB936/AE936*tun_DaughterShare&gt;=tun_MinDaughter),MAX(1,ROUND(AE936*tun_FissionRate,0)),0)</x:f>
        <x:v>0</x:v>
      </x:c>
      <x:c r="AE937" s="8" t="n">
        <x:f>IF(H937=1,MAX(1,MIN(INDEX(tun_Smax,G937),AE936+AD937)),AE936)</x:f>
        <x:v>9</x:v>
      </x:c>
      <x:c r="AF937" s="8" t="n">
        <x:f>MAX(0,AE937-AE936)</x:f>
        <x:v>0</x:v>
      </x:c>
      <x:c r="AG937" s="9" t="str">
        <x:f>IF(AF937&gt;0,B937,"")</x:f>
      </x:c>
      <x:c r="AH937" s="9" t="n">
        <x:f>IF(F937&gt;=1,1,(1+tun_LowTiesShare*(AE937-1))/AE937)</x:f>
        <x:v>1</x:v>
      </x:c>
      <x:c r="AI937" s="32" t="n">
        <x:f>(Z937+tun_ElderCommons*INDEX(LM_Elder,G937)*AA937)*AH937</x:f>
        <x:v>238215.0665857503</x:v>
      </x:c>
      <x:c r="AJ937" s="32" t="n">
        <x:f>H937*tun_CommonsCoef*AI937^tun_CommonsExp*INDEX(LM_Commons,G937)</x:f>
        <x:v>0</x:v>
      </x:c>
      <x:c r="AK937" s="32" t="n">
        <x:f>H937*tun_RoleScale*Arch_Roles*(AE937*(INDEX(tun_ElderRolePerSett,G937)*tun_OutElder*INDEX(LM_Elder,G937)+INDEX(tun_ShamanPerSett,G937)*tun_OutShaman)+Z937*(INDEX(tun_PriestShare,G937)*tun_OutPriest+INDEX(tun_ScribeShare,G937)*tun_OutScribe*INDEX(LM_Scribe,G937)+INDEX(tun_ScholarShare,G937)*tun_OutScholar*INDEX(LM_Scholar,G937)+INDEX(tun_ResearcherShare,G937)*tun_OutResearcher*INDEX(LM_Researcher,G937)))</x:f>
        <x:v>0</x:v>
      </x:c>
      <x:c r="AL937" s="32" t="n">
        <x:f>H937*tun_RoleScale*Arch_Roles*AE937*INDEX(tun_MonasteryPerSett,G937)*tun_OutMonastery*INDEX(LM_Monastery,G937)</x:f>
        <x:v>0</x:v>
      </x:c>
      <x:c r="AM937" s="32" t="n">
        <x:f>(AJ937+AK937+AL937)/4*INDEX(LM_All,G937)*INDEX(tun_Boon,G937)*Arch_Insight</x:f>
        <x:v>0</x:v>
      </x:c>
      <x:c r="AN937" s="32" t="n">
        <x:f>H937*(tun_KHPerAdult*Z937+tun_KHOfCommons*AJ937/4*INDEX(LM_All,G937))*tun_KHUsable*Arch_KH</x:f>
        <x:v>0</x:v>
      </x:c>
      <x:c r="AO937" s="32" t="n">
        <x:f>MIN(AP936+AN937,AM937*tun_KHMaxRatio)</x:f>
        <x:v>0</x:v>
      </x:c>
      <x:c r="AP937" s="32" t="n">
        <x:f>AP936+AN937-AO937</x:f>
        <x:v>0</x:v>
      </x:c>
      <x:c r="AQ937" s="32" t="n">
        <x:f>AM937+AO937</x:f>
        <x:v>0</x:v>
      </x:c>
      <x:c r="AR937" s="10" t="n">
        <x:f>IF(H937=1,INDEX(tun_Req,G937),0)</x:f>
        <x:v>0</x:v>
      </x:c>
      <x:c r="AS937" s="32" t="n">
        <x:f>IF(H937=1,IF(E937=1,AS936-AR936,AS936)+AQ937,0)</x:f>
        <x:v>0</x:v>
      </x:c>
      <x:c r="AT937" s="11" t="n">
        <x:f>IF(AR937&gt;0,MIN(1,AS937/AR937),1)</x:f>
        <x:v>1</x:v>
      </x:c>
      <x:c r="AU937" s="10" t="n">
        <x:f>AB937/INDEX(tun_RepScale,G937)</x:f>
        <x:v>290.3368848566301</x:v>
      </x:c>
      <x:c r="AV937" s="32" t="n">
        <x:f>AM937*60/tun_SeasonSeconds</x:f>
        <x:v>0</x:v>
      </x:c>
    </x:row>
    <x:row r="938">
      <x:c r="A938" s="8" t="n">
        <x:f>A937+1</x:f>
        <x:v>935</x:v>
      </x:c>
      <x:c r="B938" s="9" t="n">
        <x:f>A938*tun_SeasonSeconds/60</x:f>
        <x:v>233.75</x:v>
      </x:c>
      <x:c r="C938" s="9" t="n">
        <x:f>A938/4</x:f>
        <x:v>233.75</x:v>
      </x:c>
      <x:c r="D938" s="8" t="n">
        <x:f>IF(MOD(A938,4)=0,1,0)</x:f>
        <x:v>0</x:v>
      </x:c>
      <x:c r="E938" s="8" t="n">
        <x:f>IF(AND(F937&lt;=9,AS937&gt;=AR937),1,0)</x:f>
        <x:v>0</x:v>
      </x:c>
      <x:c r="F938" s="8" t="n">
        <x:f>MIN(10,F937+E938)</x:f>
        <x:v>10</x:v>
      </x:c>
      <x:c r="G938" s="8" t="n">
        <x:f>MIN(F938,9)+1</x:f>
        <x:v>10</x:v>
      </x:c>
      <x:c r="H938" s="8" t="n">
        <x:f>IF(F938&lt;=9,1,0)</x:f>
        <x:v>0</x:v>
      </x:c>
      <x:c r="I938" s="9" t="n">
        <x:f>MIN(10,F937+IF(AR937&gt;0,MIN(1,AS937/AR937),1))</x:f>
        <x:v>10</x:v>
      </x:c>
      <x:c r="J938" s="32" t="n">
        <x:f>INDEX(tun_FoodCap,G938)*Arch_FoodCap*EXP(tun_CapsByProject*SUMPRODUCT((Cap_Point&lt;=I938)*(Cap_Kind="Food")*Cap_Ln))</x:f>
        <x:v>18627.260449441455</x:v>
      </x:c>
      <x:c r="K938" s="32" t="n">
        <x:f>J938*MIN(1,tun_LeanBase*EXP(tun_CapsByProject*SUMPRODUCT((Cap_Point&lt;=I938)*(Cap_Kind="Lean")*Cap_Ln)))</x:f>
        <x:v>18627.260449441455</x:v>
      </x:c>
      <x:c r="L938" s="10" t="n">
        <x:f>INDEX(tun_HousingCap,G938)*EXP(tun_CapsByProject*SUMPRODUCT((Cap_Point&lt;=I938)*(Cap_Kind="Housing")*Cap_Ln))</x:f>
        <x:v>20528.974303173167</x:v>
      </x:c>
      <x:c r="M938" s="10" t="n">
        <x:f>INDEX(tun_GroupCap,G938)*tun_CohesionFactor*EXP(tun_CapsByProject*SUMPRODUCT((Cap_Point&lt;=I938)*(Cap_Kind="Group")*Cap_Ln))</x:f>
        <x:v>1000000.000000001</x:v>
      </x:c>
      <x:c r="N938" s="32" t="n">
        <x:f>MIN(J938,L938,M938)</x:f>
        <x:v>18627.260449441455</x:v>
      </x:c>
      <x:c r="O938" s="10" t="n">
        <x:f>AE937*N938</x:f>
        <x:v>167645.34404497308</x:v>
      </x:c>
      <x:c r="P938" s="9" t="n">
        <x:f>MIN(1,(AB937/(AE937*IF(tun_GroupInCrowding=1,N938,MIN(J938,L938))))^tun_CrowdingExp)</x:f>
        <x:v>0.4215841981292809</x:v>
      </x:c>
      <x:c r="Q938" s="9" t="n">
        <x:f>IF(D938=1,INDEX(tun_WinterMult,G938),1)</x:f>
        <x:v>1</x:v>
      </x:c>
      <x:c r="R938" s="9" t="n">
        <x:f>H938*Z937*tun_WomenShare*tun_BaseFertility*INDEX(tun_FertMult,G938)*Arch_Fertility*(1-P938)</x:f>
        <x:v>0</x:v>
      </x:c>
      <x:c r="S938" s="9" t="n">
        <x:f>H938*Y937*INDEX(tun_MortChild,G938)/4*Q938</x:f>
        <x:v>0</x:v>
      </x:c>
      <x:c r="T938" s="9" t="n">
        <x:f>H938*Z937*INDEX(tun_MortAdult,G938)*Arch_AdultMort/4*Q938</x:f>
        <x:v>0</x:v>
      </x:c>
      <x:c r="U938" s="9" t="n">
        <x:f>H938*AA937*INDEX(tun_MortElder,G938)/4*Q938</x:f>
        <x:v>0</x:v>
      </x:c>
      <x:c r="V938" s="9" t="n">
        <x:f>H938*MAX(0,AB937-O938)*tun_OvercapLoss</x:f>
        <x:v>0</x:v>
      </x:c>
      <x:c r="W938" s="9" t="n">
        <x:f>H938*Y937/(tun_ChildYears*4)</x:f>
        <x:v>0</x:v>
      </x:c>
      <x:c r="X938" s="9" t="n">
        <x:f>H938*Z937/(tun_AdultYears*4)</x:f>
        <x:v>0</x:v>
      </x:c>
      <x:c r="Y938" s="32" t="n">
        <x:f>Y937+R938-S938-W938-Y937*V938/AB937</x:f>
        <x:v>40496.20709015643</x:v>
      </x:c>
      <x:c r="Z938" s="32" t="n">
        <x:f>Z937+W938-X938-T938-Z937*V938/AB937</x:f>
        <x:v>59141.61122890803</x:v>
      </x:c>
      <x:c r="AA938" s="32" t="n">
        <x:f>AA937+X938-U938-AA937*V938/AB937</x:f>
        <x:v>45530.62410925061</x:v>
      </x:c>
      <x:c r="AB938" s="10" t="n">
        <x:f>Y938+Z938+AA938</x:f>
        <x:v>145168.44242831506</x:v>
      </x:c>
      <x:c r="AC938" s="8" t="n">
        <x:f>IF(AND(tun_WinterTrigger=1,D938=1,AB937/AE937&gt;=K938),1,0)</x:f>
        <x:v>0</x:v>
      </x:c>
      <x:c r="AD938" s="8" t="n">
        <x:f>H938*IF(AND(OR(AB937/AE937&gt;=tun_FissionTrigger*N938,AC938=1),AB937/AE937*tun_DaughterShare&gt;=tun_MinDaughter),MAX(1,ROUND(AE937*tun_FissionRate,0)),0)</x:f>
        <x:v>0</x:v>
      </x:c>
      <x:c r="AE938" s="8" t="n">
        <x:f>IF(H938=1,MAX(1,MIN(INDEX(tun_Smax,G938),AE937+AD938)),AE937)</x:f>
        <x:v>9</x:v>
      </x:c>
      <x:c r="AF938" s="8" t="n">
        <x:f>MAX(0,AE938-AE937)</x:f>
        <x:v>0</x:v>
      </x:c>
      <x:c r="AG938" s="9" t="str">
        <x:f>IF(AF938&gt;0,B938,"")</x:f>
      </x:c>
      <x:c r="AH938" s="9" t="n">
        <x:f>IF(F938&gt;=1,1,(1+tun_LowTiesShare*(AE938-1))/AE938)</x:f>
        <x:v>1</x:v>
      </x:c>
      <x:c r="AI938" s="32" t="n">
        <x:f>(Z938+tun_ElderCommons*INDEX(LM_Elder,G938)*AA938)*AH938</x:f>
        <x:v>238215.0665857503</x:v>
      </x:c>
      <x:c r="AJ938" s="32" t="n">
        <x:f>H938*tun_CommonsCoef*AI938^tun_CommonsExp*INDEX(LM_Commons,G938)</x:f>
        <x:v>0</x:v>
      </x:c>
      <x:c r="AK938" s="32" t="n">
        <x:f>H938*tun_RoleScale*Arch_Roles*(AE938*(INDEX(tun_ElderRolePerSett,G938)*tun_OutElder*INDEX(LM_Elder,G938)+INDEX(tun_ShamanPerSett,G938)*tun_OutShaman)+Z938*(INDEX(tun_PriestShare,G938)*tun_OutPriest+INDEX(tun_ScribeShare,G938)*tun_OutScribe*INDEX(LM_Scribe,G938)+INDEX(tun_ScholarShare,G938)*tun_OutScholar*INDEX(LM_Scholar,G938)+INDEX(tun_ResearcherShare,G938)*tun_OutResearcher*INDEX(LM_Researcher,G938)))</x:f>
        <x:v>0</x:v>
      </x:c>
      <x:c r="AL938" s="32" t="n">
        <x:f>H938*tun_RoleScale*Arch_Roles*AE938*INDEX(tun_MonasteryPerSett,G938)*tun_OutMonastery*INDEX(LM_Monastery,G938)</x:f>
        <x:v>0</x:v>
      </x:c>
      <x:c r="AM938" s="32" t="n">
        <x:f>(AJ938+AK938+AL938)/4*INDEX(LM_All,G938)*INDEX(tun_Boon,G938)*Arch_Insight</x:f>
        <x:v>0</x:v>
      </x:c>
      <x:c r="AN938" s="32" t="n">
        <x:f>H938*(tun_KHPerAdult*Z938+tun_KHOfCommons*AJ938/4*INDEX(LM_All,G938))*tun_KHUsable*Arch_KH</x:f>
        <x:v>0</x:v>
      </x:c>
      <x:c r="AO938" s="32" t="n">
        <x:f>MIN(AP937+AN938,AM938*tun_KHMaxRatio)</x:f>
        <x:v>0</x:v>
      </x:c>
      <x:c r="AP938" s="32" t="n">
        <x:f>AP937+AN938-AO938</x:f>
        <x:v>0</x:v>
      </x:c>
      <x:c r="AQ938" s="32" t="n">
        <x:f>AM938+AO938</x:f>
        <x:v>0</x:v>
      </x:c>
      <x:c r="AR938" s="10" t="n">
        <x:f>IF(H938=1,INDEX(tun_Req,G938),0)</x:f>
        <x:v>0</x:v>
      </x:c>
      <x:c r="AS938" s="32" t="n">
        <x:f>IF(H938=1,IF(E938=1,AS937-AR937,AS937)+AQ938,0)</x:f>
        <x:v>0</x:v>
      </x:c>
      <x:c r="AT938" s="11" t="n">
        <x:f>IF(AR938&gt;0,MIN(1,AS938/AR938),1)</x:f>
        <x:v>1</x:v>
      </x:c>
      <x:c r="AU938" s="10" t="n">
        <x:f>AB938/INDEX(tun_RepScale,G938)</x:f>
        <x:v>290.3368848566301</x:v>
      </x:c>
      <x:c r="AV938" s="32" t="n">
        <x:f>AM938*60/tun_SeasonSeconds</x:f>
        <x:v>0</x:v>
      </x:c>
    </x:row>
    <x:row r="939">
      <x:c r="A939" s="8" t="n">
        <x:f>A938+1</x:f>
        <x:v>936</x:v>
      </x:c>
      <x:c r="B939" s="9" t="n">
        <x:f>A939*tun_SeasonSeconds/60</x:f>
        <x:v>234</x:v>
      </x:c>
      <x:c r="C939" s="9" t="n">
        <x:f>A939/4</x:f>
        <x:v>234</x:v>
      </x:c>
      <x:c r="D939" s="8" t="n">
        <x:f>IF(MOD(A939,4)=0,1,0)</x:f>
        <x:v>1</x:v>
      </x:c>
      <x:c r="E939" s="8" t="n">
        <x:f>IF(AND(F938&lt;=9,AS938&gt;=AR938),1,0)</x:f>
        <x:v>0</x:v>
      </x:c>
      <x:c r="F939" s="8" t="n">
        <x:f>MIN(10,F938+E939)</x:f>
        <x:v>10</x:v>
      </x:c>
      <x:c r="G939" s="8" t="n">
        <x:f>MIN(F939,9)+1</x:f>
        <x:v>10</x:v>
      </x:c>
      <x:c r="H939" s="8" t="n">
        <x:f>IF(F939&lt;=9,1,0)</x:f>
        <x:v>0</x:v>
      </x:c>
      <x:c r="I939" s="9" t="n">
        <x:f>MIN(10,F938+IF(AR938&gt;0,MIN(1,AS938/AR938),1))</x:f>
        <x:v>10</x:v>
      </x:c>
      <x:c r="J939" s="32" t="n">
        <x:f>INDEX(tun_FoodCap,G939)*Arch_FoodCap*EXP(tun_CapsByProject*SUMPRODUCT((Cap_Point&lt;=I939)*(Cap_Kind="Food")*Cap_Ln))</x:f>
        <x:v>18627.260449441455</x:v>
      </x:c>
      <x:c r="K939" s="32" t="n">
        <x:f>J939*MIN(1,tun_LeanBase*EXP(tun_CapsByProject*SUMPRODUCT((Cap_Point&lt;=I939)*(Cap_Kind="Lean")*Cap_Ln)))</x:f>
        <x:v>18627.260449441455</x:v>
      </x:c>
      <x:c r="L939" s="10" t="n">
        <x:f>INDEX(tun_HousingCap,G939)*EXP(tun_CapsByProject*SUMPRODUCT((Cap_Point&lt;=I939)*(Cap_Kind="Housing")*Cap_Ln))</x:f>
        <x:v>20528.974303173167</x:v>
      </x:c>
      <x:c r="M939" s="10" t="n">
        <x:f>INDEX(tun_GroupCap,G939)*tun_CohesionFactor*EXP(tun_CapsByProject*SUMPRODUCT((Cap_Point&lt;=I939)*(Cap_Kind="Group")*Cap_Ln))</x:f>
        <x:v>1000000.000000001</x:v>
      </x:c>
      <x:c r="N939" s="32" t="n">
        <x:f>MIN(J939,L939,M939)</x:f>
        <x:v>18627.260449441455</x:v>
      </x:c>
      <x:c r="O939" s="10" t="n">
        <x:f>AE938*N939</x:f>
        <x:v>167645.34404497308</x:v>
      </x:c>
      <x:c r="P939" s="9" t="n">
        <x:f>MIN(1,(AB938/(AE938*IF(tun_GroupInCrowding=1,N939,MIN(J939,L939))))^tun_CrowdingExp)</x:f>
        <x:v>0.4215841981292809</x:v>
      </x:c>
      <x:c r="Q939" s="9" t="n">
        <x:f>IF(D939=1,INDEX(tun_WinterMult,G939),1)</x:f>
        <x:v>1.05</x:v>
      </x:c>
      <x:c r="R939" s="9" t="n">
        <x:f>H939*Z938*tun_WomenShare*tun_BaseFertility*INDEX(tun_FertMult,G939)*Arch_Fertility*(1-P939)</x:f>
        <x:v>0</x:v>
      </x:c>
      <x:c r="S939" s="9" t="n">
        <x:f>H939*Y938*INDEX(tun_MortChild,G939)/4*Q939</x:f>
        <x:v>0</x:v>
      </x:c>
      <x:c r="T939" s="9" t="n">
        <x:f>H939*Z938*INDEX(tun_MortAdult,G939)*Arch_AdultMort/4*Q939</x:f>
        <x:v>0</x:v>
      </x:c>
      <x:c r="U939" s="9" t="n">
        <x:f>H939*AA938*INDEX(tun_MortElder,G939)/4*Q939</x:f>
        <x:v>0</x:v>
      </x:c>
      <x:c r="V939" s="9" t="n">
        <x:f>H939*MAX(0,AB938-O939)*tun_OvercapLoss</x:f>
        <x:v>0</x:v>
      </x:c>
      <x:c r="W939" s="9" t="n">
        <x:f>H939*Y938/(tun_ChildYears*4)</x:f>
        <x:v>0</x:v>
      </x:c>
      <x:c r="X939" s="9" t="n">
        <x:f>H939*Z938/(tun_AdultYears*4)</x:f>
        <x:v>0</x:v>
      </x:c>
      <x:c r="Y939" s="32" t="n">
        <x:f>Y938+R939-S939-W939-Y938*V939/AB938</x:f>
        <x:v>40496.20709015643</x:v>
      </x:c>
      <x:c r="Z939" s="32" t="n">
        <x:f>Z938+W939-X939-T939-Z938*V939/AB938</x:f>
        <x:v>59141.61122890803</x:v>
      </x:c>
      <x:c r="AA939" s="32" t="n">
        <x:f>AA938+X939-U939-AA938*V939/AB938</x:f>
        <x:v>45530.62410925061</x:v>
      </x:c>
      <x:c r="AB939" s="10" t="n">
        <x:f>Y939+Z939+AA939</x:f>
        <x:v>145168.44242831506</x:v>
      </x:c>
      <x:c r="AC939" s="8" t="n">
        <x:f>IF(AND(tun_WinterTrigger=1,D939=1,AB938/AE938&gt;=K939),1,0)</x:f>
        <x:v>0</x:v>
      </x:c>
      <x:c r="AD939" s="8" t="n">
        <x:f>H939*IF(AND(OR(AB938/AE938&gt;=tun_FissionTrigger*N939,AC939=1),AB938/AE938*tun_DaughterShare&gt;=tun_MinDaughter),MAX(1,ROUND(AE938*tun_FissionRate,0)),0)</x:f>
        <x:v>0</x:v>
      </x:c>
      <x:c r="AE939" s="8" t="n">
        <x:f>IF(H939=1,MAX(1,MIN(INDEX(tun_Smax,G939),AE938+AD939)),AE938)</x:f>
        <x:v>9</x:v>
      </x:c>
      <x:c r="AF939" s="8" t="n">
        <x:f>MAX(0,AE939-AE938)</x:f>
        <x:v>0</x:v>
      </x:c>
      <x:c r="AG939" s="9" t="str">
        <x:f>IF(AF939&gt;0,B939,"")</x:f>
      </x:c>
      <x:c r="AH939" s="9" t="n">
        <x:f>IF(F939&gt;=1,1,(1+tun_LowTiesShare*(AE939-1))/AE939)</x:f>
        <x:v>1</x:v>
      </x:c>
      <x:c r="AI939" s="32" t="n">
        <x:f>(Z939+tun_ElderCommons*INDEX(LM_Elder,G939)*AA939)*AH939</x:f>
        <x:v>238215.0665857503</x:v>
      </x:c>
      <x:c r="AJ939" s="32" t="n">
        <x:f>H939*tun_CommonsCoef*AI939^tun_CommonsExp*INDEX(LM_Commons,G939)</x:f>
        <x:v>0</x:v>
      </x:c>
      <x:c r="AK939" s="32" t="n">
        <x:f>H939*tun_RoleScale*Arch_Roles*(AE939*(INDEX(tun_ElderRolePerSett,G939)*tun_OutElder*INDEX(LM_Elder,G939)+INDEX(tun_ShamanPerSett,G939)*tun_OutShaman)+Z939*(INDEX(tun_PriestShare,G939)*tun_OutPriest+INDEX(tun_ScribeShare,G939)*tun_OutScribe*INDEX(LM_Scribe,G939)+INDEX(tun_ScholarShare,G939)*tun_OutScholar*INDEX(LM_Scholar,G939)+INDEX(tun_ResearcherShare,G939)*tun_OutResearcher*INDEX(LM_Researcher,G939)))</x:f>
        <x:v>0</x:v>
      </x:c>
      <x:c r="AL939" s="32" t="n">
        <x:f>H939*tun_RoleScale*Arch_Roles*AE939*INDEX(tun_MonasteryPerSett,G939)*tun_OutMonastery*INDEX(LM_Monastery,G939)</x:f>
        <x:v>0</x:v>
      </x:c>
      <x:c r="AM939" s="32" t="n">
        <x:f>(AJ939+AK939+AL939)/4*INDEX(LM_All,G939)*INDEX(tun_Boon,G939)*Arch_Insight</x:f>
        <x:v>0</x:v>
      </x:c>
      <x:c r="AN939" s="32" t="n">
        <x:f>H939*(tun_KHPerAdult*Z939+tun_KHOfCommons*AJ939/4*INDEX(LM_All,G939))*tun_KHUsable*Arch_KH</x:f>
        <x:v>0</x:v>
      </x:c>
      <x:c r="AO939" s="32" t="n">
        <x:f>MIN(AP938+AN939,AM939*tun_KHMaxRatio)</x:f>
        <x:v>0</x:v>
      </x:c>
      <x:c r="AP939" s="32" t="n">
        <x:f>AP938+AN939-AO939</x:f>
        <x:v>0</x:v>
      </x:c>
      <x:c r="AQ939" s="32" t="n">
        <x:f>AM939+AO939</x:f>
        <x:v>0</x:v>
      </x:c>
      <x:c r="AR939" s="10" t="n">
        <x:f>IF(H939=1,INDEX(tun_Req,G939),0)</x:f>
        <x:v>0</x:v>
      </x:c>
      <x:c r="AS939" s="32" t="n">
        <x:f>IF(H939=1,IF(E939=1,AS938-AR938,AS938)+AQ939,0)</x:f>
        <x:v>0</x:v>
      </x:c>
      <x:c r="AT939" s="11" t="n">
        <x:f>IF(AR939&gt;0,MIN(1,AS939/AR939),1)</x:f>
        <x:v>1</x:v>
      </x:c>
      <x:c r="AU939" s="10" t="n">
        <x:f>AB939/INDEX(tun_RepScale,G939)</x:f>
        <x:v>290.3368848566301</x:v>
      </x:c>
      <x:c r="AV939" s="32" t="n">
        <x:f>AM939*60/tun_SeasonSeconds</x:f>
        <x:v>0</x:v>
      </x:c>
    </x:row>
    <x:row r="940">
      <x:c r="A940" s="8" t="n">
        <x:f>A939+1</x:f>
        <x:v>937</x:v>
      </x:c>
      <x:c r="B940" s="9" t="n">
        <x:f>A940*tun_SeasonSeconds/60</x:f>
        <x:v>234.25</x:v>
      </x:c>
      <x:c r="C940" s="9" t="n">
        <x:f>A940/4</x:f>
        <x:v>234.25</x:v>
      </x:c>
      <x:c r="D940" s="8" t="n">
        <x:f>IF(MOD(A940,4)=0,1,0)</x:f>
        <x:v>0</x:v>
      </x:c>
      <x:c r="E940" s="8" t="n">
        <x:f>IF(AND(F939&lt;=9,AS939&gt;=AR939),1,0)</x:f>
        <x:v>0</x:v>
      </x:c>
      <x:c r="F940" s="8" t="n">
        <x:f>MIN(10,F939+E940)</x:f>
        <x:v>10</x:v>
      </x:c>
      <x:c r="G940" s="8" t="n">
        <x:f>MIN(F940,9)+1</x:f>
        <x:v>10</x:v>
      </x:c>
      <x:c r="H940" s="8" t="n">
        <x:f>IF(F940&lt;=9,1,0)</x:f>
        <x:v>0</x:v>
      </x:c>
      <x:c r="I940" s="9" t="n">
        <x:f>MIN(10,F939+IF(AR939&gt;0,MIN(1,AS939/AR939),1))</x:f>
        <x:v>10</x:v>
      </x:c>
      <x:c r="J940" s="32" t="n">
        <x:f>INDEX(tun_FoodCap,G940)*Arch_FoodCap*EXP(tun_CapsByProject*SUMPRODUCT((Cap_Point&lt;=I940)*(Cap_Kind="Food")*Cap_Ln))</x:f>
        <x:v>18627.260449441455</x:v>
      </x:c>
      <x:c r="K940" s="32" t="n">
        <x:f>J940*MIN(1,tun_LeanBase*EXP(tun_CapsByProject*SUMPRODUCT((Cap_Point&lt;=I940)*(Cap_Kind="Lean")*Cap_Ln)))</x:f>
        <x:v>18627.260449441455</x:v>
      </x:c>
      <x:c r="L940" s="10" t="n">
        <x:f>INDEX(tun_HousingCap,G940)*EXP(tun_CapsByProject*SUMPRODUCT((Cap_Point&lt;=I940)*(Cap_Kind="Housing")*Cap_Ln))</x:f>
        <x:v>20528.974303173167</x:v>
      </x:c>
      <x:c r="M940" s="10" t="n">
        <x:f>INDEX(tun_GroupCap,G940)*tun_CohesionFactor*EXP(tun_CapsByProject*SUMPRODUCT((Cap_Point&lt;=I940)*(Cap_Kind="Group")*Cap_Ln))</x:f>
        <x:v>1000000.000000001</x:v>
      </x:c>
      <x:c r="N940" s="32" t="n">
        <x:f>MIN(J940,L940,M940)</x:f>
        <x:v>18627.260449441455</x:v>
      </x:c>
      <x:c r="O940" s="10" t="n">
        <x:f>AE939*N940</x:f>
        <x:v>167645.34404497308</x:v>
      </x:c>
      <x:c r="P940" s="9" t="n">
        <x:f>MIN(1,(AB939/(AE939*IF(tun_GroupInCrowding=1,N940,MIN(J940,L940))))^tun_CrowdingExp)</x:f>
        <x:v>0.4215841981292809</x:v>
      </x:c>
      <x:c r="Q940" s="9" t="n">
        <x:f>IF(D940=1,INDEX(tun_WinterMult,G940),1)</x:f>
        <x:v>1</x:v>
      </x:c>
      <x:c r="R940" s="9" t="n">
        <x:f>H940*Z939*tun_WomenShare*tun_BaseFertility*INDEX(tun_FertMult,G940)*Arch_Fertility*(1-P940)</x:f>
        <x:v>0</x:v>
      </x:c>
      <x:c r="S940" s="9" t="n">
        <x:f>H940*Y939*INDEX(tun_MortChild,G940)/4*Q940</x:f>
        <x:v>0</x:v>
      </x:c>
      <x:c r="T940" s="9" t="n">
        <x:f>H940*Z939*INDEX(tun_MortAdult,G940)*Arch_AdultMort/4*Q940</x:f>
        <x:v>0</x:v>
      </x:c>
      <x:c r="U940" s="9" t="n">
        <x:f>H940*AA939*INDEX(tun_MortElder,G940)/4*Q940</x:f>
        <x:v>0</x:v>
      </x:c>
      <x:c r="V940" s="9" t="n">
        <x:f>H940*MAX(0,AB939-O940)*tun_OvercapLoss</x:f>
        <x:v>0</x:v>
      </x:c>
      <x:c r="W940" s="9" t="n">
        <x:f>H940*Y939/(tun_ChildYears*4)</x:f>
        <x:v>0</x:v>
      </x:c>
      <x:c r="X940" s="9" t="n">
        <x:f>H940*Z939/(tun_AdultYears*4)</x:f>
        <x:v>0</x:v>
      </x:c>
      <x:c r="Y940" s="32" t="n">
        <x:f>Y939+R940-S940-W940-Y939*V940/AB939</x:f>
        <x:v>40496.20709015643</x:v>
      </x:c>
      <x:c r="Z940" s="32" t="n">
        <x:f>Z939+W940-X940-T940-Z939*V940/AB939</x:f>
        <x:v>59141.61122890803</x:v>
      </x:c>
      <x:c r="AA940" s="32" t="n">
        <x:f>AA939+X940-U940-AA939*V940/AB939</x:f>
        <x:v>45530.62410925061</x:v>
      </x:c>
      <x:c r="AB940" s="10" t="n">
        <x:f>Y940+Z940+AA940</x:f>
        <x:v>145168.44242831506</x:v>
      </x:c>
      <x:c r="AC940" s="8" t="n">
        <x:f>IF(AND(tun_WinterTrigger=1,D940=1,AB939/AE939&gt;=K940),1,0)</x:f>
        <x:v>0</x:v>
      </x:c>
      <x:c r="AD940" s="8" t="n">
        <x:f>H940*IF(AND(OR(AB939/AE939&gt;=tun_FissionTrigger*N940,AC940=1),AB939/AE939*tun_DaughterShare&gt;=tun_MinDaughter),MAX(1,ROUND(AE939*tun_FissionRate,0)),0)</x:f>
        <x:v>0</x:v>
      </x:c>
      <x:c r="AE940" s="8" t="n">
        <x:f>IF(H940=1,MAX(1,MIN(INDEX(tun_Smax,G940),AE939+AD940)),AE939)</x:f>
        <x:v>9</x:v>
      </x:c>
      <x:c r="AF940" s="8" t="n">
        <x:f>MAX(0,AE940-AE939)</x:f>
        <x:v>0</x:v>
      </x:c>
      <x:c r="AG940" s="9" t="str">
        <x:f>IF(AF940&gt;0,B940,"")</x:f>
      </x:c>
      <x:c r="AH940" s="9" t="n">
        <x:f>IF(F940&gt;=1,1,(1+tun_LowTiesShare*(AE940-1))/AE940)</x:f>
        <x:v>1</x:v>
      </x:c>
      <x:c r="AI940" s="32" t="n">
        <x:f>(Z940+tun_ElderCommons*INDEX(LM_Elder,G940)*AA940)*AH940</x:f>
        <x:v>238215.0665857503</x:v>
      </x:c>
      <x:c r="AJ940" s="32" t="n">
        <x:f>H940*tun_CommonsCoef*AI940^tun_CommonsExp*INDEX(LM_Commons,G940)</x:f>
        <x:v>0</x:v>
      </x:c>
      <x:c r="AK940" s="32" t="n">
        <x:f>H940*tun_RoleScale*Arch_Roles*(AE940*(INDEX(tun_ElderRolePerSett,G940)*tun_OutElder*INDEX(LM_Elder,G940)+INDEX(tun_ShamanPerSett,G940)*tun_OutShaman)+Z940*(INDEX(tun_PriestShare,G940)*tun_OutPriest+INDEX(tun_ScribeShare,G940)*tun_OutScribe*INDEX(LM_Scribe,G940)+INDEX(tun_ScholarShare,G940)*tun_OutScholar*INDEX(LM_Scholar,G940)+INDEX(tun_ResearcherShare,G940)*tun_OutResearcher*INDEX(LM_Researcher,G940)))</x:f>
        <x:v>0</x:v>
      </x:c>
      <x:c r="AL940" s="32" t="n">
        <x:f>H940*tun_RoleScale*Arch_Roles*AE940*INDEX(tun_MonasteryPerSett,G940)*tun_OutMonastery*INDEX(LM_Monastery,G940)</x:f>
        <x:v>0</x:v>
      </x:c>
      <x:c r="AM940" s="32" t="n">
        <x:f>(AJ940+AK940+AL940)/4*INDEX(LM_All,G940)*INDEX(tun_Boon,G940)*Arch_Insight</x:f>
        <x:v>0</x:v>
      </x:c>
      <x:c r="AN940" s="32" t="n">
        <x:f>H940*(tun_KHPerAdult*Z940+tun_KHOfCommons*AJ940/4*INDEX(LM_All,G940))*tun_KHUsable*Arch_KH</x:f>
        <x:v>0</x:v>
      </x:c>
      <x:c r="AO940" s="32" t="n">
        <x:f>MIN(AP939+AN940,AM940*tun_KHMaxRatio)</x:f>
        <x:v>0</x:v>
      </x:c>
      <x:c r="AP940" s="32" t="n">
        <x:f>AP939+AN940-AO940</x:f>
        <x:v>0</x:v>
      </x:c>
      <x:c r="AQ940" s="32" t="n">
        <x:f>AM940+AO940</x:f>
        <x:v>0</x:v>
      </x:c>
      <x:c r="AR940" s="10" t="n">
        <x:f>IF(H940=1,INDEX(tun_Req,G940),0)</x:f>
        <x:v>0</x:v>
      </x:c>
      <x:c r="AS940" s="32" t="n">
        <x:f>IF(H940=1,IF(E940=1,AS939-AR939,AS939)+AQ940,0)</x:f>
        <x:v>0</x:v>
      </x:c>
      <x:c r="AT940" s="11" t="n">
        <x:f>IF(AR940&gt;0,MIN(1,AS940/AR940),1)</x:f>
        <x:v>1</x:v>
      </x:c>
      <x:c r="AU940" s="10" t="n">
        <x:f>AB940/INDEX(tun_RepScale,G940)</x:f>
        <x:v>290.3368848566301</x:v>
      </x:c>
      <x:c r="AV940" s="32" t="n">
        <x:f>AM940*60/tun_SeasonSeconds</x:f>
        <x:v>0</x:v>
      </x:c>
    </x:row>
    <x:row r="941">
      <x:c r="A941" s="8" t="n">
        <x:f>A940+1</x:f>
        <x:v>938</x:v>
      </x:c>
      <x:c r="B941" s="9" t="n">
        <x:f>A941*tun_SeasonSeconds/60</x:f>
        <x:v>234.5</x:v>
      </x:c>
      <x:c r="C941" s="9" t="n">
        <x:f>A941/4</x:f>
        <x:v>234.5</x:v>
      </x:c>
      <x:c r="D941" s="8" t="n">
        <x:f>IF(MOD(A941,4)=0,1,0)</x:f>
        <x:v>0</x:v>
      </x:c>
      <x:c r="E941" s="8" t="n">
        <x:f>IF(AND(F940&lt;=9,AS940&gt;=AR940),1,0)</x:f>
        <x:v>0</x:v>
      </x:c>
      <x:c r="F941" s="8" t="n">
        <x:f>MIN(10,F940+E941)</x:f>
        <x:v>10</x:v>
      </x:c>
      <x:c r="G941" s="8" t="n">
        <x:f>MIN(F941,9)+1</x:f>
        <x:v>10</x:v>
      </x:c>
      <x:c r="H941" s="8" t="n">
        <x:f>IF(F941&lt;=9,1,0)</x:f>
        <x:v>0</x:v>
      </x:c>
      <x:c r="I941" s="9" t="n">
        <x:f>MIN(10,F940+IF(AR940&gt;0,MIN(1,AS940/AR940),1))</x:f>
        <x:v>10</x:v>
      </x:c>
      <x:c r="J941" s="32" t="n">
        <x:f>INDEX(tun_FoodCap,G941)*Arch_FoodCap*EXP(tun_CapsByProject*SUMPRODUCT((Cap_Point&lt;=I941)*(Cap_Kind="Food")*Cap_Ln))</x:f>
        <x:v>18627.260449441455</x:v>
      </x:c>
      <x:c r="K941" s="32" t="n">
        <x:f>J941*MIN(1,tun_LeanBase*EXP(tun_CapsByProject*SUMPRODUCT((Cap_Point&lt;=I941)*(Cap_Kind="Lean")*Cap_Ln)))</x:f>
        <x:v>18627.260449441455</x:v>
      </x:c>
      <x:c r="L941" s="10" t="n">
        <x:f>INDEX(tun_HousingCap,G941)*EXP(tun_CapsByProject*SUMPRODUCT((Cap_Point&lt;=I941)*(Cap_Kind="Housing")*Cap_Ln))</x:f>
        <x:v>20528.974303173167</x:v>
      </x:c>
      <x:c r="M941" s="10" t="n">
        <x:f>INDEX(tun_GroupCap,G941)*tun_CohesionFactor*EXP(tun_CapsByProject*SUMPRODUCT((Cap_Point&lt;=I941)*(Cap_Kind="Group")*Cap_Ln))</x:f>
        <x:v>1000000.000000001</x:v>
      </x:c>
      <x:c r="N941" s="32" t="n">
        <x:f>MIN(J941,L941,M941)</x:f>
        <x:v>18627.260449441455</x:v>
      </x:c>
      <x:c r="O941" s="10" t="n">
        <x:f>AE940*N941</x:f>
        <x:v>167645.34404497308</x:v>
      </x:c>
      <x:c r="P941" s="9" t="n">
        <x:f>MIN(1,(AB940/(AE940*IF(tun_GroupInCrowding=1,N941,MIN(J941,L941))))^tun_CrowdingExp)</x:f>
        <x:v>0.4215841981292809</x:v>
      </x:c>
      <x:c r="Q941" s="9" t="n">
        <x:f>IF(D941=1,INDEX(tun_WinterMult,G941),1)</x:f>
        <x:v>1</x:v>
      </x:c>
      <x:c r="R941" s="9" t="n">
        <x:f>H941*Z940*tun_WomenShare*tun_BaseFertility*INDEX(tun_FertMult,G941)*Arch_Fertility*(1-P941)</x:f>
        <x:v>0</x:v>
      </x:c>
      <x:c r="S941" s="9" t="n">
        <x:f>H941*Y940*INDEX(tun_MortChild,G941)/4*Q941</x:f>
        <x:v>0</x:v>
      </x:c>
      <x:c r="T941" s="9" t="n">
        <x:f>H941*Z940*INDEX(tun_MortAdult,G941)*Arch_AdultMort/4*Q941</x:f>
        <x:v>0</x:v>
      </x:c>
      <x:c r="U941" s="9" t="n">
        <x:f>H941*AA940*INDEX(tun_MortElder,G941)/4*Q941</x:f>
        <x:v>0</x:v>
      </x:c>
      <x:c r="V941" s="9" t="n">
        <x:f>H941*MAX(0,AB940-O941)*tun_OvercapLoss</x:f>
        <x:v>0</x:v>
      </x:c>
      <x:c r="W941" s="9" t="n">
        <x:f>H941*Y940/(tun_ChildYears*4)</x:f>
        <x:v>0</x:v>
      </x:c>
      <x:c r="X941" s="9" t="n">
        <x:f>H941*Z940/(tun_AdultYears*4)</x:f>
        <x:v>0</x:v>
      </x:c>
      <x:c r="Y941" s="32" t="n">
        <x:f>Y940+R941-S941-W941-Y940*V941/AB940</x:f>
        <x:v>40496.20709015643</x:v>
      </x:c>
      <x:c r="Z941" s="32" t="n">
        <x:f>Z940+W941-X941-T941-Z940*V941/AB940</x:f>
        <x:v>59141.61122890803</x:v>
      </x:c>
      <x:c r="AA941" s="32" t="n">
        <x:f>AA940+X941-U941-AA940*V941/AB940</x:f>
        <x:v>45530.62410925061</x:v>
      </x:c>
      <x:c r="AB941" s="10" t="n">
        <x:f>Y941+Z941+AA941</x:f>
        <x:v>145168.44242831506</x:v>
      </x:c>
      <x:c r="AC941" s="8" t="n">
        <x:f>IF(AND(tun_WinterTrigger=1,D941=1,AB940/AE940&gt;=K941),1,0)</x:f>
        <x:v>0</x:v>
      </x:c>
      <x:c r="AD941" s="8" t="n">
        <x:f>H941*IF(AND(OR(AB940/AE940&gt;=tun_FissionTrigger*N941,AC941=1),AB940/AE940*tun_DaughterShare&gt;=tun_MinDaughter),MAX(1,ROUND(AE940*tun_FissionRate,0)),0)</x:f>
        <x:v>0</x:v>
      </x:c>
      <x:c r="AE941" s="8" t="n">
        <x:f>IF(H941=1,MAX(1,MIN(INDEX(tun_Smax,G941),AE940+AD941)),AE940)</x:f>
        <x:v>9</x:v>
      </x:c>
      <x:c r="AF941" s="8" t="n">
        <x:f>MAX(0,AE941-AE940)</x:f>
        <x:v>0</x:v>
      </x:c>
      <x:c r="AG941" s="9" t="str">
        <x:f>IF(AF941&gt;0,B941,"")</x:f>
      </x:c>
      <x:c r="AH941" s="9" t="n">
        <x:f>IF(F941&gt;=1,1,(1+tun_LowTiesShare*(AE941-1))/AE941)</x:f>
        <x:v>1</x:v>
      </x:c>
      <x:c r="AI941" s="32" t="n">
        <x:f>(Z941+tun_ElderCommons*INDEX(LM_Elder,G941)*AA941)*AH941</x:f>
        <x:v>238215.0665857503</x:v>
      </x:c>
      <x:c r="AJ941" s="32" t="n">
        <x:f>H941*tun_CommonsCoef*AI941^tun_CommonsExp*INDEX(LM_Commons,G941)</x:f>
        <x:v>0</x:v>
      </x:c>
      <x:c r="AK941" s="32" t="n">
        <x:f>H941*tun_RoleScale*Arch_Roles*(AE941*(INDEX(tun_ElderRolePerSett,G941)*tun_OutElder*INDEX(LM_Elder,G941)+INDEX(tun_ShamanPerSett,G941)*tun_OutShaman)+Z941*(INDEX(tun_PriestShare,G941)*tun_OutPriest+INDEX(tun_ScribeShare,G941)*tun_OutScribe*INDEX(LM_Scribe,G941)+INDEX(tun_ScholarShare,G941)*tun_OutScholar*INDEX(LM_Scholar,G941)+INDEX(tun_ResearcherShare,G941)*tun_OutResearcher*INDEX(LM_Researcher,G941)))</x:f>
        <x:v>0</x:v>
      </x:c>
      <x:c r="AL941" s="32" t="n">
        <x:f>H941*tun_RoleScale*Arch_Roles*AE941*INDEX(tun_MonasteryPerSett,G941)*tun_OutMonastery*INDEX(LM_Monastery,G941)</x:f>
        <x:v>0</x:v>
      </x:c>
      <x:c r="AM941" s="32" t="n">
        <x:f>(AJ941+AK941+AL941)/4*INDEX(LM_All,G941)*INDEX(tun_Boon,G941)*Arch_Insight</x:f>
        <x:v>0</x:v>
      </x:c>
      <x:c r="AN941" s="32" t="n">
        <x:f>H941*(tun_KHPerAdult*Z941+tun_KHOfCommons*AJ941/4*INDEX(LM_All,G941))*tun_KHUsable*Arch_KH</x:f>
        <x:v>0</x:v>
      </x:c>
      <x:c r="AO941" s="32" t="n">
        <x:f>MIN(AP940+AN941,AM941*tun_KHMaxRatio)</x:f>
        <x:v>0</x:v>
      </x:c>
      <x:c r="AP941" s="32" t="n">
        <x:f>AP940+AN941-AO941</x:f>
        <x:v>0</x:v>
      </x:c>
      <x:c r="AQ941" s="32" t="n">
        <x:f>AM941+AO941</x:f>
        <x:v>0</x:v>
      </x:c>
      <x:c r="AR941" s="10" t="n">
        <x:f>IF(H941=1,INDEX(tun_Req,G941),0)</x:f>
        <x:v>0</x:v>
      </x:c>
      <x:c r="AS941" s="32" t="n">
        <x:f>IF(H941=1,IF(E941=1,AS940-AR940,AS940)+AQ941,0)</x:f>
        <x:v>0</x:v>
      </x:c>
      <x:c r="AT941" s="11" t="n">
        <x:f>IF(AR941&gt;0,MIN(1,AS941/AR941),1)</x:f>
        <x:v>1</x:v>
      </x:c>
      <x:c r="AU941" s="10" t="n">
        <x:f>AB941/INDEX(tun_RepScale,G941)</x:f>
        <x:v>290.3368848566301</x:v>
      </x:c>
      <x:c r="AV941" s="32" t="n">
        <x:f>AM941*60/tun_SeasonSeconds</x:f>
        <x:v>0</x:v>
      </x:c>
    </x:row>
    <x:row r="942">
      <x:c r="A942" s="8" t="n">
        <x:f>A941+1</x:f>
        <x:v>939</x:v>
      </x:c>
      <x:c r="B942" s="9" t="n">
        <x:f>A942*tun_SeasonSeconds/60</x:f>
        <x:v>234.75</x:v>
      </x:c>
      <x:c r="C942" s="9" t="n">
        <x:f>A942/4</x:f>
        <x:v>234.75</x:v>
      </x:c>
      <x:c r="D942" s="8" t="n">
        <x:f>IF(MOD(A942,4)=0,1,0)</x:f>
        <x:v>0</x:v>
      </x:c>
      <x:c r="E942" s="8" t="n">
        <x:f>IF(AND(F941&lt;=9,AS941&gt;=AR941),1,0)</x:f>
        <x:v>0</x:v>
      </x:c>
      <x:c r="F942" s="8" t="n">
        <x:f>MIN(10,F941+E942)</x:f>
        <x:v>10</x:v>
      </x:c>
      <x:c r="G942" s="8" t="n">
        <x:f>MIN(F942,9)+1</x:f>
        <x:v>10</x:v>
      </x:c>
      <x:c r="H942" s="8" t="n">
        <x:f>IF(F942&lt;=9,1,0)</x:f>
        <x:v>0</x:v>
      </x:c>
      <x:c r="I942" s="9" t="n">
        <x:f>MIN(10,F941+IF(AR941&gt;0,MIN(1,AS941/AR941),1))</x:f>
        <x:v>10</x:v>
      </x:c>
      <x:c r="J942" s="32" t="n">
        <x:f>INDEX(tun_FoodCap,G942)*Arch_FoodCap*EXP(tun_CapsByProject*SUMPRODUCT((Cap_Point&lt;=I942)*(Cap_Kind="Food")*Cap_Ln))</x:f>
        <x:v>18627.260449441455</x:v>
      </x:c>
      <x:c r="K942" s="32" t="n">
        <x:f>J942*MIN(1,tun_LeanBase*EXP(tun_CapsByProject*SUMPRODUCT((Cap_Point&lt;=I942)*(Cap_Kind="Lean")*Cap_Ln)))</x:f>
        <x:v>18627.260449441455</x:v>
      </x:c>
      <x:c r="L942" s="10" t="n">
        <x:f>INDEX(tun_HousingCap,G942)*EXP(tun_CapsByProject*SUMPRODUCT((Cap_Point&lt;=I942)*(Cap_Kind="Housing")*Cap_Ln))</x:f>
        <x:v>20528.974303173167</x:v>
      </x:c>
      <x:c r="M942" s="10" t="n">
        <x:f>INDEX(tun_GroupCap,G942)*tun_CohesionFactor*EXP(tun_CapsByProject*SUMPRODUCT((Cap_Point&lt;=I942)*(Cap_Kind="Group")*Cap_Ln))</x:f>
        <x:v>1000000.000000001</x:v>
      </x:c>
      <x:c r="N942" s="32" t="n">
        <x:f>MIN(J942,L942,M942)</x:f>
        <x:v>18627.260449441455</x:v>
      </x:c>
      <x:c r="O942" s="10" t="n">
        <x:f>AE941*N942</x:f>
        <x:v>167645.34404497308</x:v>
      </x:c>
      <x:c r="P942" s="9" t="n">
        <x:f>MIN(1,(AB941/(AE941*IF(tun_GroupInCrowding=1,N942,MIN(J942,L942))))^tun_CrowdingExp)</x:f>
        <x:v>0.4215841981292809</x:v>
      </x:c>
      <x:c r="Q942" s="9" t="n">
        <x:f>IF(D942=1,INDEX(tun_WinterMult,G942),1)</x:f>
        <x:v>1</x:v>
      </x:c>
      <x:c r="R942" s="9" t="n">
        <x:f>H942*Z941*tun_WomenShare*tun_BaseFertility*INDEX(tun_FertMult,G942)*Arch_Fertility*(1-P942)</x:f>
        <x:v>0</x:v>
      </x:c>
      <x:c r="S942" s="9" t="n">
        <x:f>H942*Y941*INDEX(tun_MortChild,G942)/4*Q942</x:f>
        <x:v>0</x:v>
      </x:c>
      <x:c r="T942" s="9" t="n">
        <x:f>H942*Z941*INDEX(tun_MortAdult,G942)*Arch_AdultMort/4*Q942</x:f>
        <x:v>0</x:v>
      </x:c>
      <x:c r="U942" s="9" t="n">
        <x:f>H942*AA941*INDEX(tun_MortElder,G942)/4*Q942</x:f>
        <x:v>0</x:v>
      </x:c>
      <x:c r="V942" s="9" t="n">
        <x:f>H942*MAX(0,AB941-O942)*tun_OvercapLoss</x:f>
        <x:v>0</x:v>
      </x:c>
      <x:c r="W942" s="9" t="n">
        <x:f>H942*Y941/(tun_ChildYears*4)</x:f>
        <x:v>0</x:v>
      </x:c>
      <x:c r="X942" s="9" t="n">
        <x:f>H942*Z941/(tun_AdultYears*4)</x:f>
        <x:v>0</x:v>
      </x:c>
      <x:c r="Y942" s="32" t="n">
        <x:f>Y941+R942-S942-W942-Y941*V942/AB941</x:f>
        <x:v>40496.20709015643</x:v>
      </x:c>
      <x:c r="Z942" s="32" t="n">
        <x:f>Z941+W942-X942-T942-Z941*V942/AB941</x:f>
        <x:v>59141.61122890803</x:v>
      </x:c>
      <x:c r="AA942" s="32" t="n">
        <x:f>AA941+X942-U942-AA941*V942/AB941</x:f>
        <x:v>45530.62410925061</x:v>
      </x:c>
      <x:c r="AB942" s="10" t="n">
        <x:f>Y942+Z942+AA942</x:f>
        <x:v>145168.44242831506</x:v>
      </x:c>
      <x:c r="AC942" s="8" t="n">
        <x:f>IF(AND(tun_WinterTrigger=1,D942=1,AB941/AE941&gt;=K942),1,0)</x:f>
        <x:v>0</x:v>
      </x:c>
      <x:c r="AD942" s="8" t="n">
        <x:f>H942*IF(AND(OR(AB941/AE941&gt;=tun_FissionTrigger*N942,AC942=1),AB941/AE941*tun_DaughterShare&gt;=tun_MinDaughter),MAX(1,ROUND(AE941*tun_FissionRate,0)),0)</x:f>
        <x:v>0</x:v>
      </x:c>
      <x:c r="AE942" s="8" t="n">
        <x:f>IF(H942=1,MAX(1,MIN(INDEX(tun_Smax,G942),AE941+AD942)),AE941)</x:f>
        <x:v>9</x:v>
      </x:c>
      <x:c r="AF942" s="8" t="n">
        <x:f>MAX(0,AE942-AE941)</x:f>
        <x:v>0</x:v>
      </x:c>
      <x:c r="AG942" s="9" t="str">
        <x:f>IF(AF942&gt;0,B942,"")</x:f>
      </x:c>
      <x:c r="AH942" s="9" t="n">
        <x:f>IF(F942&gt;=1,1,(1+tun_LowTiesShare*(AE942-1))/AE942)</x:f>
        <x:v>1</x:v>
      </x:c>
      <x:c r="AI942" s="32" t="n">
        <x:f>(Z942+tun_ElderCommons*INDEX(LM_Elder,G942)*AA942)*AH942</x:f>
        <x:v>238215.0665857503</x:v>
      </x:c>
      <x:c r="AJ942" s="32" t="n">
        <x:f>H942*tun_CommonsCoef*AI942^tun_CommonsExp*INDEX(LM_Commons,G942)</x:f>
        <x:v>0</x:v>
      </x:c>
      <x:c r="AK942" s="32" t="n">
        <x:f>H942*tun_RoleScale*Arch_Roles*(AE942*(INDEX(tun_ElderRolePerSett,G942)*tun_OutElder*INDEX(LM_Elder,G942)+INDEX(tun_ShamanPerSett,G942)*tun_OutShaman)+Z942*(INDEX(tun_PriestShare,G942)*tun_OutPriest+INDEX(tun_ScribeShare,G942)*tun_OutScribe*INDEX(LM_Scribe,G942)+INDEX(tun_ScholarShare,G942)*tun_OutScholar*INDEX(LM_Scholar,G942)+INDEX(tun_ResearcherShare,G942)*tun_OutResearcher*INDEX(LM_Researcher,G942)))</x:f>
        <x:v>0</x:v>
      </x:c>
      <x:c r="AL942" s="32" t="n">
        <x:f>H942*tun_RoleScale*Arch_Roles*AE942*INDEX(tun_MonasteryPerSett,G942)*tun_OutMonastery*INDEX(LM_Monastery,G942)</x:f>
        <x:v>0</x:v>
      </x:c>
      <x:c r="AM942" s="32" t="n">
        <x:f>(AJ942+AK942+AL942)/4*INDEX(LM_All,G942)*INDEX(tun_Boon,G942)*Arch_Insight</x:f>
        <x:v>0</x:v>
      </x:c>
      <x:c r="AN942" s="32" t="n">
        <x:f>H942*(tun_KHPerAdult*Z942+tun_KHOfCommons*AJ942/4*INDEX(LM_All,G942))*tun_KHUsable*Arch_KH</x:f>
        <x:v>0</x:v>
      </x:c>
      <x:c r="AO942" s="32" t="n">
        <x:f>MIN(AP941+AN942,AM942*tun_KHMaxRatio)</x:f>
        <x:v>0</x:v>
      </x:c>
      <x:c r="AP942" s="32" t="n">
        <x:f>AP941+AN942-AO942</x:f>
        <x:v>0</x:v>
      </x:c>
      <x:c r="AQ942" s="32" t="n">
        <x:f>AM942+AO942</x:f>
        <x:v>0</x:v>
      </x:c>
      <x:c r="AR942" s="10" t="n">
        <x:f>IF(H942=1,INDEX(tun_Req,G942),0)</x:f>
        <x:v>0</x:v>
      </x:c>
      <x:c r="AS942" s="32" t="n">
        <x:f>IF(H942=1,IF(E942=1,AS941-AR941,AS941)+AQ942,0)</x:f>
        <x:v>0</x:v>
      </x:c>
      <x:c r="AT942" s="11" t="n">
        <x:f>IF(AR942&gt;0,MIN(1,AS942/AR942),1)</x:f>
        <x:v>1</x:v>
      </x:c>
      <x:c r="AU942" s="10" t="n">
        <x:f>AB942/INDEX(tun_RepScale,G942)</x:f>
        <x:v>290.3368848566301</x:v>
      </x:c>
      <x:c r="AV942" s="32" t="n">
        <x:f>AM942*60/tun_SeasonSeconds</x:f>
        <x:v>0</x:v>
      </x:c>
    </x:row>
    <x:row r="943">
      <x:c r="A943" s="8" t="n">
        <x:f>A942+1</x:f>
        <x:v>940</x:v>
      </x:c>
      <x:c r="B943" s="9" t="n">
        <x:f>A943*tun_SeasonSeconds/60</x:f>
        <x:v>235</x:v>
      </x:c>
      <x:c r="C943" s="9" t="n">
        <x:f>A943/4</x:f>
        <x:v>235</x:v>
      </x:c>
      <x:c r="D943" s="8" t="n">
        <x:f>IF(MOD(A943,4)=0,1,0)</x:f>
        <x:v>1</x:v>
      </x:c>
      <x:c r="E943" s="8" t="n">
        <x:f>IF(AND(F942&lt;=9,AS942&gt;=AR942),1,0)</x:f>
        <x:v>0</x:v>
      </x:c>
      <x:c r="F943" s="8" t="n">
        <x:f>MIN(10,F942+E943)</x:f>
        <x:v>10</x:v>
      </x:c>
      <x:c r="G943" s="8" t="n">
        <x:f>MIN(F943,9)+1</x:f>
        <x:v>10</x:v>
      </x:c>
      <x:c r="H943" s="8" t="n">
        <x:f>IF(F943&lt;=9,1,0)</x:f>
        <x:v>0</x:v>
      </x:c>
      <x:c r="I943" s="9" t="n">
        <x:f>MIN(10,F942+IF(AR942&gt;0,MIN(1,AS942/AR942),1))</x:f>
        <x:v>10</x:v>
      </x:c>
      <x:c r="J943" s="32" t="n">
        <x:f>INDEX(tun_FoodCap,G943)*Arch_FoodCap*EXP(tun_CapsByProject*SUMPRODUCT((Cap_Point&lt;=I943)*(Cap_Kind="Food")*Cap_Ln))</x:f>
        <x:v>18627.260449441455</x:v>
      </x:c>
      <x:c r="K943" s="32" t="n">
        <x:f>J943*MIN(1,tun_LeanBase*EXP(tun_CapsByProject*SUMPRODUCT((Cap_Point&lt;=I943)*(Cap_Kind="Lean")*Cap_Ln)))</x:f>
        <x:v>18627.260449441455</x:v>
      </x:c>
      <x:c r="L943" s="10" t="n">
        <x:f>INDEX(tun_HousingCap,G943)*EXP(tun_CapsByProject*SUMPRODUCT((Cap_Point&lt;=I943)*(Cap_Kind="Housing")*Cap_Ln))</x:f>
        <x:v>20528.974303173167</x:v>
      </x:c>
      <x:c r="M943" s="10" t="n">
        <x:f>INDEX(tun_GroupCap,G943)*tun_CohesionFactor*EXP(tun_CapsByProject*SUMPRODUCT((Cap_Point&lt;=I943)*(Cap_Kind="Group")*Cap_Ln))</x:f>
        <x:v>1000000.000000001</x:v>
      </x:c>
      <x:c r="N943" s="32" t="n">
        <x:f>MIN(J943,L943,M943)</x:f>
        <x:v>18627.260449441455</x:v>
      </x:c>
      <x:c r="O943" s="10" t="n">
        <x:f>AE942*N943</x:f>
        <x:v>167645.34404497308</x:v>
      </x:c>
      <x:c r="P943" s="9" t="n">
        <x:f>MIN(1,(AB942/(AE942*IF(tun_GroupInCrowding=1,N943,MIN(J943,L943))))^tun_CrowdingExp)</x:f>
        <x:v>0.4215841981292809</x:v>
      </x:c>
      <x:c r="Q943" s="9" t="n">
        <x:f>IF(D943=1,INDEX(tun_WinterMult,G943),1)</x:f>
        <x:v>1.05</x:v>
      </x:c>
      <x:c r="R943" s="9" t="n">
        <x:f>H943*Z942*tun_WomenShare*tun_BaseFertility*INDEX(tun_FertMult,G943)*Arch_Fertility*(1-P943)</x:f>
        <x:v>0</x:v>
      </x:c>
      <x:c r="S943" s="9" t="n">
        <x:f>H943*Y942*INDEX(tun_MortChild,G943)/4*Q943</x:f>
        <x:v>0</x:v>
      </x:c>
      <x:c r="T943" s="9" t="n">
        <x:f>H943*Z942*INDEX(tun_MortAdult,G943)*Arch_AdultMort/4*Q943</x:f>
        <x:v>0</x:v>
      </x:c>
      <x:c r="U943" s="9" t="n">
        <x:f>H943*AA942*INDEX(tun_MortElder,G943)/4*Q943</x:f>
        <x:v>0</x:v>
      </x:c>
      <x:c r="V943" s="9" t="n">
        <x:f>H943*MAX(0,AB942-O943)*tun_OvercapLoss</x:f>
        <x:v>0</x:v>
      </x:c>
      <x:c r="W943" s="9" t="n">
        <x:f>H943*Y942/(tun_ChildYears*4)</x:f>
        <x:v>0</x:v>
      </x:c>
      <x:c r="X943" s="9" t="n">
        <x:f>H943*Z942/(tun_AdultYears*4)</x:f>
        <x:v>0</x:v>
      </x:c>
      <x:c r="Y943" s="32" t="n">
        <x:f>Y942+R943-S943-W943-Y942*V943/AB942</x:f>
        <x:v>40496.20709015643</x:v>
      </x:c>
      <x:c r="Z943" s="32" t="n">
        <x:f>Z942+W943-X943-T943-Z942*V943/AB942</x:f>
        <x:v>59141.61122890803</x:v>
      </x:c>
      <x:c r="AA943" s="32" t="n">
        <x:f>AA942+X943-U943-AA942*V943/AB942</x:f>
        <x:v>45530.62410925061</x:v>
      </x:c>
      <x:c r="AB943" s="10" t="n">
        <x:f>Y943+Z943+AA943</x:f>
        <x:v>145168.44242831506</x:v>
      </x:c>
      <x:c r="AC943" s="8" t="n">
        <x:f>IF(AND(tun_WinterTrigger=1,D943=1,AB942/AE942&gt;=K943),1,0)</x:f>
        <x:v>0</x:v>
      </x:c>
      <x:c r="AD943" s="8" t="n">
        <x:f>H943*IF(AND(OR(AB942/AE942&gt;=tun_FissionTrigger*N943,AC943=1),AB942/AE942*tun_DaughterShare&gt;=tun_MinDaughter),MAX(1,ROUND(AE942*tun_FissionRate,0)),0)</x:f>
        <x:v>0</x:v>
      </x:c>
      <x:c r="AE943" s="8" t="n">
        <x:f>IF(H943=1,MAX(1,MIN(INDEX(tun_Smax,G943),AE942+AD943)),AE942)</x:f>
        <x:v>9</x:v>
      </x:c>
      <x:c r="AF943" s="8" t="n">
        <x:f>MAX(0,AE943-AE942)</x:f>
        <x:v>0</x:v>
      </x:c>
      <x:c r="AG943" s="9" t="str">
        <x:f>IF(AF943&gt;0,B943,"")</x:f>
      </x:c>
      <x:c r="AH943" s="9" t="n">
        <x:f>IF(F943&gt;=1,1,(1+tun_LowTiesShare*(AE943-1))/AE943)</x:f>
        <x:v>1</x:v>
      </x:c>
      <x:c r="AI943" s="32" t="n">
        <x:f>(Z943+tun_ElderCommons*INDEX(LM_Elder,G943)*AA943)*AH943</x:f>
        <x:v>238215.0665857503</x:v>
      </x:c>
      <x:c r="AJ943" s="32" t="n">
        <x:f>H943*tun_CommonsCoef*AI943^tun_CommonsExp*INDEX(LM_Commons,G943)</x:f>
        <x:v>0</x:v>
      </x:c>
      <x:c r="AK943" s="32" t="n">
        <x:f>H943*tun_RoleScale*Arch_Roles*(AE943*(INDEX(tun_ElderRolePerSett,G943)*tun_OutElder*INDEX(LM_Elder,G943)+INDEX(tun_ShamanPerSett,G943)*tun_OutShaman)+Z943*(INDEX(tun_PriestShare,G943)*tun_OutPriest+INDEX(tun_ScribeShare,G943)*tun_OutScribe*INDEX(LM_Scribe,G943)+INDEX(tun_ScholarShare,G943)*tun_OutScholar*INDEX(LM_Scholar,G943)+INDEX(tun_ResearcherShare,G943)*tun_OutResearcher*INDEX(LM_Researcher,G943)))</x:f>
        <x:v>0</x:v>
      </x:c>
      <x:c r="AL943" s="32" t="n">
        <x:f>H943*tun_RoleScale*Arch_Roles*AE943*INDEX(tun_MonasteryPerSett,G943)*tun_OutMonastery*INDEX(LM_Monastery,G943)</x:f>
        <x:v>0</x:v>
      </x:c>
      <x:c r="AM943" s="32" t="n">
        <x:f>(AJ943+AK943+AL943)/4*INDEX(LM_All,G943)*INDEX(tun_Boon,G943)*Arch_Insight</x:f>
        <x:v>0</x:v>
      </x:c>
      <x:c r="AN943" s="32" t="n">
        <x:f>H943*(tun_KHPerAdult*Z943+tun_KHOfCommons*AJ943/4*INDEX(LM_All,G943))*tun_KHUsable*Arch_KH</x:f>
        <x:v>0</x:v>
      </x:c>
      <x:c r="AO943" s="32" t="n">
        <x:f>MIN(AP942+AN943,AM943*tun_KHMaxRatio)</x:f>
        <x:v>0</x:v>
      </x:c>
      <x:c r="AP943" s="32" t="n">
        <x:f>AP942+AN943-AO943</x:f>
        <x:v>0</x:v>
      </x:c>
      <x:c r="AQ943" s="32" t="n">
        <x:f>AM943+AO943</x:f>
        <x:v>0</x:v>
      </x:c>
      <x:c r="AR943" s="10" t="n">
        <x:f>IF(H943=1,INDEX(tun_Req,G943),0)</x:f>
        <x:v>0</x:v>
      </x:c>
      <x:c r="AS943" s="32" t="n">
        <x:f>IF(H943=1,IF(E943=1,AS942-AR942,AS942)+AQ943,0)</x:f>
        <x:v>0</x:v>
      </x:c>
      <x:c r="AT943" s="11" t="n">
        <x:f>IF(AR943&gt;0,MIN(1,AS943/AR943),1)</x:f>
        <x:v>1</x:v>
      </x:c>
      <x:c r="AU943" s="10" t="n">
        <x:f>AB943/INDEX(tun_RepScale,G943)</x:f>
        <x:v>290.3368848566301</x:v>
      </x:c>
      <x:c r="AV943" s="32" t="n">
        <x:f>AM943*60/tun_SeasonSeconds</x:f>
        <x:v>0</x:v>
      </x:c>
    </x:row>
    <x:row r="944">
      <x:c r="A944" s="8" t="n">
        <x:f>A943+1</x:f>
        <x:v>941</x:v>
      </x:c>
      <x:c r="B944" s="9" t="n">
        <x:f>A944*tun_SeasonSeconds/60</x:f>
        <x:v>235.25</x:v>
      </x:c>
      <x:c r="C944" s="9" t="n">
        <x:f>A944/4</x:f>
        <x:v>235.25</x:v>
      </x:c>
      <x:c r="D944" s="8" t="n">
        <x:f>IF(MOD(A944,4)=0,1,0)</x:f>
        <x:v>0</x:v>
      </x:c>
      <x:c r="E944" s="8" t="n">
        <x:f>IF(AND(F943&lt;=9,AS943&gt;=AR943),1,0)</x:f>
        <x:v>0</x:v>
      </x:c>
      <x:c r="F944" s="8" t="n">
        <x:f>MIN(10,F943+E944)</x:f>
        <x:v>10</x:v>
      </x:c>
      <x:c r="G944" s="8" t="n">
        <x:f>MIN(F944,9)+1</x:f>
        <x:v>10</x:v>
      </x:c>
      <x:c r="H944" s="8" t="n">
        <x:f>IF(F944&lt;=9,1,0)</x:f>
        <x:v>0</x:v>
      </x:c>
      <x:c r="I944" s="9" t="n">
        <x:f>MIN(10,F943+IF(AR943&gt;0,MIN(1,AS943/AR943),1))</x:f>
        <x:v>10</x:v>
      </x:c>
      <x:c r="J944" s="32" t="n">
        <x:f>INDEX(tun_FoodCap,G944)*Arch_FoodCap*EXP(tun_CapsByProject*SUMPRODUCT((Cap_Point&lt;=I944)*(Cap_Kind="Food")*Cap_Ln))</x:f>
        <x:v>18627.260449441455</x:v>
      </x:c>
      <x:c r="K944" s="32" t="n">
        <x:f>J944*MIN(1,tun_LeanBase*EXP(tun_CapsByProject*SUMPRODUCT((Cap_Point&lt;=I944)*(Cap_Kind="Lean")*Cap_Ln)))</x:f>
        <x:v>18627.260449441455</x:v>
      </x:c>
      <x:c r="L944" s="10" t="n">
        <x:f>INDEX(tun_HousingCap,G944)*EXP(tun_CapsByProject*SUMPRODUCT((Cap_Point&lt;=I944)*(Cap_Kind="Housing")*Cap_Ln))</x:f>
        <x:v>20528.974303173167</x:v>
      </x:c>
      <x:c r="M944" s="10" t="n">
        <x:f>INDEX(tun_GroupCap,G944)*tun_CohesionFactor*EXP(tun_CapsByProject*SUMPRODUCT((Cap_Point&lt;=I944)*(Cap_Kind="Group")*Cap_Ln))</x:f>
        <x:v>1000000.000000001</x:v>
      </x:c>
      <x:c r="N944" s="32" t="n">
        <x:f>MIN(J944,L944,M944)</x:f>
        <x:v>18627.260449441455</x:v>
      </x:c>
      <x:c r="O944" s="10" t="n">
        <x:f>AE943*N944</x:f>
        <x:v>167645.34404497308</x:v>
      </x:c>
      <x:c r="P944" s="9" t="n">
        <x:f>MIN(1,(AB943/(AE943*IF(tun_GroupInCrowding=1,N944,MIN(J944,L944))))^tun_CrowdingExp)</x:f>
        <x:v>0.4215841981292809</x:v>
      </x:c>
      <x:c r="Q944" s="9" t="n">
        <x:f>IF(D944=1,INDEX(tun_WinterMult,G944),1)</x:f>
        <x:v>1</x:v>
      </x:c>
      <x:c r="R944" s="9" t="n">
        <x:f>H944*Z943*tun_WomenShare*tun_BaseFertility*INDEX(tun_FertMult,G944)*Arch_Fertility*(1-P944)</x:f>
        <x:v>0</x:v>
      </x:c>
      <x:c r="S944" s="9" t="n">
        <x:f>H944*Y943*INDEX(tun_MortChild,G944)/4*Q944</x:f>
        <x:v>0</x:v>
      </x:c>
      <x:c r="T944" s="9" t="n">
        <x:f>H944*Z943*INDEX(tun_MortAdult,G944)*Arch_AdultMort/4*Q944</x:f>
        <x:v>0</x:v>
      </x:c>
      <x:c r="U944" s="9" t="n">
        <x:f>H944*AA943*INDEX(tun_MortElder,G944)/4*Q944</x:f>
        <x:v>0</x:v>
      </x:c>
      <x:c r="V944" s="9" t="n">
        <x:f>H944*MAX(0,AB943-O944)*tun_OvercapLoss</x:f>
        <x:v>0</x:v>
      </x:c>
      <x:c r="W944" s="9" t="n">
        <x:f>H944*Y943/(tun_ChildYears*4)</x:f>
        <x:v>0</x:v>
      </x:c>
      <x:c r="X944" s="9" t="n">
        <x:f>H944*Z943/(tun_AdultYears*4)</x:f>
        <x:v>0</x:v>
      </x:c>
      <x:c r="Y944" s="32" t="n">
        <x:f>Y943+R944-S944-W944-Y943*V944/AB943</x:f>
        <x:v>40496.20709015643</x:v>
      </x:c>
      <x:c r="Z944" s="32" t="n">
        <x:f>Z943+W944-X944-T944-Z943*V944/AB943</x:f>
        <x:v>59141.61122890803</x:v>
      </x:c>
      <x:c r="AA944" s="32" t="n">
        <x:f>AA943+X944-U944-AA943*V944/AB943</x:f>
        <x:v>45530.62410925061</x:v>
      </x:c>
      <x:c r="AB944" s="10" t="n">
        <x:f>Y944+Z944+AA944</x:f>
        <x:v>145168.44242831506</x:v>
      </x:c>
      <x:c r="AC944" s="8" t="n">
        <x:f>IF(AND(tun_WinterTrigger=1,D944=1,AB943/AE943&gt;=K944),1,0)</x:f>
        <x:v>0</x:v>
      </x:c>
      <x:c r="AD944" s="8" t="n">
        <x:f>H944*IF(AND(OR(AB943/AE943&gt;=tun_FissionTrigger*N944,AC944=1),AB943/AE943*tun_DaughterShare&gt;=tun_MinDaughter),MAX(1,ROUND(AE943*tun_FissionRate,0)),0)</x:f>
        <x:v>0</x:v>
      </x:c>
      <x:c r="AE944" s="8" t="n">
        <x:f>IF(H944=1,MAX(1,MIN(INDEX(tun_Smax,G944),AE943+AD944)),AE943)</x:f>
        <x:v>9</x:v>
      </x:c>
      <x:c r="AF944" s="8" t="n">
        <x:f>MAX(0,AE944-AE943)</x:f>
        <x:v>0</x:v>
      </x:c>
      <x:c r="AG944" s="9" t="str">
        <x:f>IF(AF944&gt;0,B944,"")</x:f>
      </x:c>
      <x:c r="AH944" s="9" t="n">
        <x:f>IF(F944&gt;=1,1,(1+tun_LowTiesShare*(AE944-1))/AE944)</x:f>
        <x:v>1</x:v>
      </x:c>
      <x:c r="AI944" s="32" t="n">
        <x:f>(Z944+tun_ElderCommons*INDEX(LM_Elder,G944)*AA944)*AH944</x:f>
        <x:v>238215.0665857503</x:v>
      </x:c>
      <x:c r="AJ944" s="32" t="n">
        <x:f>H944*tun_CommonsCoef*AI944^tun_CommonsExp*INDEX(LM_Commons,G944)</x:f>
        <x:v>0</x:v>
      </x:c>
      <x:c r="AK944" s="32" t="n">
        <x:f>H944*tun_RoleScale*Arch_Roles*(AE944*(INDEX(tun_ElderRolePerSett,G944)*tun_OutElder*INDEX(LM_Elder,G944)+INDEX(tun_ShamanPerSett,G944)*tun_OutShaman)+Z944*(INDEX(tun_PriestShare,G944)*tun_OutPriest+INDEX(tun_ScribeShare,G944)*tun_OutScribe*INDEX(LM_Scribe,G944)+INDEX(tun_ScholarShare,G944)*tun_OutScholar*INDEX(LM_Scholar,G944)+INDEX(tun_ResearcherShare,G944)*tun_OutResearcher*INDEX(LM_Researcher,G944)))</x:f>
        <x:v>0</x:v>
      </x:c>
      <x:c r="AL944" s="32" t="n">
        <x:f>H944*tun_RoleScale*Arch_Roles*AE944*INDEX(tun_MonasteryPerSett,G944)*tun_OutMonastery*INDEX(LM_Monastery,G944)</x:f>
        <x:v>0</x:v>
      </x:c>
      <x:c r="AM944" s="32" t="n">
        <x:f>(AJ944+AK944+AL944)/4*INDEX(LM_All,G944)*INDEX(tun_Boon,G944)*Arch_Insight</x:f>
        <x:v>0</x:v>
      </x:c>
      <x:c r="AN944" s="32" t="n">
        <x:f>H944*(tun_KHPerAdult*Z944+tun_KHOfCommons*AJ944/4*INDEX(LM_All,G944))*tun_KHUsable*Arch_KH</x:f>
        <x:v>0</x:v>
      </x:c>
      <x:c r="AO944" s="32" t="n">
        <x:f>MIN(AP943+AN944,AM944*tun_KHMaxRatio)</x:f>
        <x:v>0</x:v>
      </x:c>
      <x:c r="AP944" s="32" t="n">
        <x:f>AP943+AN944-AO944</x:f>
        <x:v>0</x:v>
      </x:c>
      <x:c r="AQ944" s="32" t="n">
        <x:f>AM944+AO944</x:f>
        <x:v>0</x:v>
      </x:c>
      <x:c r="AR944" s="10" t="n">
        <x:f>IF(H944=1,INDEX(tun_Req,G944),0)</x:f>
        <x:v>0</x:v>
      </x:c>
      <x:c r="AS944" s="32" t="n">
        <x:f>IF(H944=1,IF(E944=1,AS943-AR943,AS943)+AQ944,0)</x:f>
        <x:v>0</x:v>
      </x:c>
      <x:c r="AT944" s="11" t="n">
        <x:f>IF(AR944&gt;0,MIN(1,AS944/AR944),1)</x:f>
        <x:v>1</x:v>
      </x:c>
      <x:c r="AU944" s="10" t="n">
        <x:f>AB944/INDEX(tun_RepScale,G944)</x:f>
        <x:v>290.3368848566301</x:v>
      </x:c>
      <x:c r="AV944" s="32" t="n">
        <x:f>AM944*60/tun_SeasonSeconds</x:f>
        <x:v>0</x:v>
      </x:c>
    </x:row>
    <x:row r="945">
      <x:c r="A945" s="8" t="n">
        <x:f>A944+1</x:f>
        <x:v>942</x:v>
      </x:c>
      <x:c r="B945" s="9" t="n">
        <x:f>A945*tun_SeasonSeconds/60</x:f>
        <x:v>235.5</x:v>
      </x:c>
      <x:c r="C945" s="9" t="n">
        <x:f>A945/4</x:f>
        <x:v>235.5</x:v>
      </x:c>
      <x:c r="D945" s="8" t="n">
        <x:f>IF(MOD(A945,4)=0,1,0)</x:f>
        <x:v>0</x:v>
      </x:c>
      <x:c r="E945" s="8" t="n">
        <x:f>IF(AND(F944&lt;=9,AS944&gt;=AR944),1,0)</x:f>
        <x:v>0</x:v>
      </x:c>
      <x:c r="F945" s="8" t="n">
        <x:f>MIN(10,F944+E945)</x:f>
        <x:v>10</x:v>
      </x:c>
      <x:c r="G945" s="8" t="n">
        <x:f>MIN(F945,9)+1</x:f>
        <x:v>10</x:v>
      </x:c>
      <x:c r="H945" s="8" t="n">
        <x:f>IF(F945&lt;=9,1,0)</x:f>
        <x:v>0</x:v>
      </x:c>
      <x:c r="I945" s="9" t="n">
        <x:f>MIN(10,F944+IF(AR944&gt;0,MIN(1,AS944/AR944),1))</x:f>
        <x:v>10</x:v>
      </x:c>
      <x:c r="J945" s="32" t="n">
        <x:f>INDEX(tun_FoodCap,G945)*Arch_FoodCap*EXP(tun_CapsByProject*SUMPRODUCT((Cap_Point&lt;=I945)*(Cap_Kind="Food")*Cap_Ln))</x:f>
        <x:v>18627.260449441455</x:v>
      </x:c>
      <x:c r="K945" s="32" t="n">
        <x:f>J945*MIN(1,tun_LeanBase*EXP(tun_CapsByProject*SUMPRODUCT((Cap_Point&lt;=I945)*(Cap_Kind="Lean")*Cap_Ln)))</x:f>
        <x:v>18627.260449441455</x:v>
      </x:c>
      <x:c r="L945" s="10" t="n">
        <x:f>INDEX(tun_HousingCap,G945)*EXP(tun_CapsByProject*SUMPRODUCT((Cap_Point&lt;=I945)*(Cap_Kind="Housing")*Cap_Ln))</x:f>
        <x:v>20528.974303173167</x:v>
      </x:c>
      <x:c r="M945" s="10" t="n">
        <x:f>INDEX(tun_GroupCap,G945)*tun_CohesionFactor*EXP(tun_CapsByProject*SUMPRODUCT((Cap_Point&lt;=I945)*(Cap_Kind="Group")*Cap_Ln))</x:f>
        <x:v>1000000.000000001</x:v>
      </x:c>
      <x:c r="N945" s="32" t="n">
        <x:f>MIN(J945,L945,M945)</x:f>
        <x:v>18627.260449441455</x:v>
      </x:c>
      <x:c r="O945" s="10" t="n">
        <x:f>AE944*N945</x:f>
        <x:v>167645.34404497308</x:v>
      </x:c>
      <x:c r="P945" s="9" t="n">
        <x:f>MIN(1,(AB944/(AE944*IF(tun_GroupInCrowding=1,N945,MIN(J945,L945))))^tun_CrowdingExp)</x:f>
        <x:v>0.4215841981292809</x:v>
      </x:c>
      <x:c r="Q945" s="9" t="n">
        <x:f>IF(D945=1,INDEX(tun_WinterMult,G945),1)</x:f>
        <x:v>1</x:v>
      </x:c>
      <x:c r="R945" s="9" t="n">
        <x:f>H945*Z944*tun_WomenShare*tun_BaseFertility*INDEX(tun_FertMult,G945)*Arch_Fertility*(1-P945)</x:f>
        <x:v>0</x:v>
      </x:c>
      <x:c r="S945" s="9" t="n">
        <x:f>H945*Y944*INDEX(tun_MortChild,G945)/4*Q945</x:f>
        <x:v>0</x:v>
      </x:c>
      <x:c r="T945" s="9" t="n">
        <x:f>H945*Z944*INDEX(tun_MortAdult,G945)*Arch_AdultMort/4*Q945</x:f>
        <x:v>0</x:v>
      </x:c>
      <x:c r="U945" s="9" t="n">
        <x:f>H945*AA944*INDEX(tun_MortElder,G945)/4*Q945</x:f>
        <x:v>0</x:v>
      </x:c>
      <x:c r="V945" s="9" t="n">
        <x:f>H945*MAX(0,AB944-O945)*tun_OvercapLoss</x:f>
        <x:v>0</x:v>
      </x:c>
      <x:c r="W945" s="9" t="n">
        <x:f>H945*Y944/(tun_ChildYears*4)</x:f>
        <x:v>0</x:v>
      </x:c>
      <x:c r="X945" s="9" t="n">
        <x:f>H945*Z944/(tun_AdultYears*4)</x:f>
        <x:v>0</x:v>
      </x:c>
      <x:c r="Y945" s="32" t="n">
        <x:f>Y944+R945-S945-W945-Y944*V945/AB944</x:f>
        <x:v>40496.20709015643</x:v>
      </x:c>
      <x:c r="Z945" s="32" t="n">
        <x:f>Z944+W945-X945-T945-Z944*V945/AB944</x:f>
        <x:v>59141.61122890803</x:v>
      </x:c>
      <x:c r="AA945" s="32" t="n">
        <x:f>AA944+X945-U945-AA944*V945/AB944</x:f>
        <x:v>45530.62410925061</x:v>
      </x:c>
      <x:c r="AB945" s="10" t="n">
        <x:f>Y945+Z945+AA945</x:f>
        <x:v>145168.44242831506</x:v>
      </x:c>
      <x:c r="AC945" s="8" t="n">
        <x:f>IF(AND(tun_WinterTrigger=1,D945=1,AB944/AE944&gt;=K945),1,0)</x:f>
        <x:v>0</x:v>
      </x:c>
      <x:c r="AD945" s="8" t="n">
        <x:f>H945*IF(AND(OR(AB944/AE944&gt;=tun_FissionTrigger*N945,AC945=1),AB944/AE944*tun_DaughterShare&gt;=tun_MinDaughter),MAX(1,ROUND(AE944*tun_FissionRate,0)),0)</x:f>
        <x:v>0</x:v>
      </x:c>
      <x:c r="AE945" s="8" t="n">
        <x:f>IF(H945=1,MAX(1,MIN(INDEX(tun_Smax,G945),AE944+AD945)),AE944)</x:f>
        <x:v>9</x:v>
      </x:c>
      <x:c r="AF945" s="8" t="n">
        <x:f>MAX(0,AE945-AE944)</x:f>
        <x:v>0</x:v>
      </x:c>
      <x:c r="AG945" s="9" t="str">
        <x:f>IF(AF945&gt;0,B945,"")</x:f>
      </x:c>
      <x:c r="AH945" s="9" t="n">
        <x:f>IF(F945&gt;=1,1,(1+tun_LowTiesShare*(AE945-1))/AE945)</x:f>
        <x:v>1</x:v>
      </x:c>
      <x:c r="AI945" s="32" t="n">
        <x:f>(Z945+tun_ElderCommons*INDEX(LM_Elder,G945)*AA945)*AH945</x:f>
        <x:v>238215.0665857503</x:v>
      </x:c>
      <x:c r="AJ945" s="32" t="n">
        <x:f>H945*tun_CommonsCoef*AI945^tun_CommonsExp*INDEX(LM_Commons,G945)</x:f>
        <x:v>0</x:v>
      </x:c>
      <x:c r="AK945" s="32" t="n">
        <x:f>H945*tun_RoleScale*Arch_Roles*(AE945*(INDEX(tun_ElderRolePerSett,G945)*tun_OutElder*INDEX(LM_Elder,G945)+INDEX(tun_ShamanPerSett,G945)*tun_OutShaman)+Z945*(INDEX(tun_PriestShare,G945)*tun_OutPriest+INDEX(tun_ScribeShare,G945)*tun_OutScribe*INDEX(LM_Scribe,G945)+INDEX(tun_ScholarShare,G945)*tun_OutScholar*INDEX(LM_Scholar,G945)+INDEX(tun_ResearcherShare,G945)*tun_OutResearcher*INDEX(LM_Researcher,G945)))</x:f>
        <x:v>0</x:v>
      </x:c>
      <x:c r="AL945" s="32" t="n">
        <x:f>H945*tun_RoleScale*Arch_Roles*AE945*INDEX(tun_MonasteryPerSett,G945)*tun_OutMonastery*INDEX(LM_Monastery,G945)</x:f>
        <x:v>0</x:v>
      </x:c>
      <x:c r="AM945" s="32" t="n">
        <x:f>(AJ945+AK945+AL945)/4*INDEX(LM_All,G945)*INDEX(tun_Boon,G945)*Arch_Insight</x:f>
        <x:v>0</x:v>
      </x:c>
      <x:c r="AN945" s="32" t="n">
        <x:f>H945*(tun_KHPerAdult*Z945+tun_KHOfCommons*AJ945/4*INDEX(LM_All,G945))*tun_KHUsable*Arch_KH</x:f>
        <x:v>0</x:v>
      </x:c>
      <x:c r="AO945" s="32" t="n">
        <x:f>MIN(AP944+AN945,AM945*tun_KHMaxRatio)</x:f>
        <x:v>0</x:v>
      </x:c>
      <x:c r="AP945" s="32" t="n">
        <x:f>AP944+AN945-AO945</x:f>
        <x:v>0</x:v>
      </x:c>
      <x:c r="AQ945" s="32" t="n">
        <x:f>AM945+AO945</x:f>
        <x:v>0</x:v>
      </x:c>
      <x:c r="AR945" s="10" t="n">
        <x:f>IF(H945=1,INDEX(tun_Req,G945),0)</x:f>
        <x:v>0</x:v>
      </x:c>
      <x:c r="AS945" s="32" t="n">
        <x:f>IF(H945=1,IF(E945=1,AS944-AR944,AS944)+AQ945,0)</x:f>
        <x:v>0</x:v>
      </x:c>
      <x:c r="AT945" s="11" t="n">
        <x:f>IF(AR945&gt;0,MIN(1,AS945/AR945),1)</x:f>
        <x:v>1</x:v>
      </x:c>
      <x:c r="AU945" s="10" t="n">
        <x:f>AB945/INDEX(tun_RepScale,G945)</x:f>
        <x:v>290.3368848566301</x:v>
      </x:c>
      <x:c r="AV945" s="32" t="n">
        <x:f>AM945*60/tun_SeasonSeconds</x:f>
        <x:v>0</x:v>
      </x:c>
    </x:row>
    <x:row r="946">
      <x:c r="A946" s="8" t="n">
        <x:f>A945+1</x:f>
        <x:v>943</x:v>
      </x:c>
      <x:c r="B946" s="9" t="n">
        <x:f>A946*tun_SeasonSeconds/60</x:f>
        <x:v>235.75</x:v>
      </x:c>
      <x:c r="C946" s="9" t="n">
        <x:f>A946/4</x:f>
        <x:v>235.75</x:v>
      </x:c>
      <x:c r="D946" s="8" t="n">
        <x:f>IF(MOD(A946,4)=0,1,0)</x:f>
        <x:v>0</x:v>
      </x:c>
      <x:c r="E946" s="8" t="n">
        <x:f>IF(AND(F945&lt;=9,AS945&gt;=AR945),1,0)</x:f>
        <x:v>0</x:v>
      </x:c>
      <x:c r="F946" s="8" t="n">
        <x:f>MIN(10,F945+E946)</x:f>
        <x:v>10</x:v>
      </x:c>
      <x:c r="G946" s="8" t="n">
        <x:f>MIN(F946,9)+1</x:f>
        <x:v>10</x:v>
      </x:c>
      <x:c r="H946" s="8" t="n">
        <x:f>IF(F946&lt;=9,1,0)</x:f>
        <x:v>0</x:v>
      </x:c>
      <x:c r="I946" s="9" t="n">
        <x:f>MIN(10,F945+IF(AR945&gt;0,MIN(1,AS945/AR945),1))</x:f>
        <x:v>10</x:v>
      </x:c>
      <x:c r="J946" s="32" t="n">
        <x:f>INDEX(tun_FoodCap,G946)*Arch_FoodCap*EXP(tun_CapsByProject*SUMPRODUCT((Cap_Point&lt;=I946)*(Cap_Kind="Food")*Cap_Ln))</x:f>
        <x:v>18627.260449441455</x:v>
      </x:c>
      <x:c r="K946" s="32" t="n">
        <x:f>J946*MIN(1,tun_LeanBase*EXP(tun_CapsByProject*SUMPRODUCT((Cap_Point&lt;=I946)*(Cap_Kind="Lean")*Cap_Ln)))</x:f>
        <x:v>18627.260449441455</x:v>
      </x:c>
      <x:c r="L946" s="10" t="n">
        <x:f>INDEX(tun_HousingCap,G946)*EXP(tun_CapsByProject*SUMPRODUCT((Cap_Point&lt;=I946)*(Cap_Kind="Housing")*Cap_Ln))</x:f>
        <x:v>20528.974303173167</x:v>
      </x:c>
      <x:c r="M946" s="10" t="n">
        <x:f>INDEX(tun_GroupCap,G946)*tun_CohesionFactor*EXP(tun_CapsByProject*SUMPRODUCT((Cap_Point&lt;=I946)*(Cap_Kind="Group")*Cap_Ln))</x:f>
        <x:v>1000000.000000001</x:v>
      </x:c>
      <x:c r="N946" s="32" t="n">
        <x:f>MIN(J946,L946,M946)</x:f>
        <x:v>18627.260449441455</x:v>
      </x:c>
      <x:c r="O946" s="10" t="n">
        <x:f>AE945*N946</x:f>
        <x:v>167645.34404497308</x:v>
      </x:c>
      <x:c r="P946" s="9" t="n">
        <x:f>MIN(1,(AB945/(AE945*IF(tun_GroupInCrowding=1,N946,MIN(J946,L946))))^tun_CrowdingExp)</x:f>
        <x:v>0.4215841981292809</x:v>
      </x:c>
      <x:c r="Q946" s="9" t="n">
        <x:f>IF(D946=1,INDEX(tun_WinterMult,G946),1)</x:f>
        <x:v>1</x:v>
      </x:c>
      <x:c r="R946" s="9" t="n">
        <x:f>H946*Z945*tun_WomenShare*tun_BaseFertility*INDEX(tun_FertMult,G946)*Arch_Fertility*(1-P946)</x:f>
        <x:v>0</x:v>
      </x:c>
      <x:c r="S946" s="9" t="n">
        <x:f>H946*Y945*INDEX(tun_MortChild,G946)/4*Q946</x:f>
        <x:v>0</x:v>
      </x:c>
      <x:c r="T946" s="9" t="n">
        <x:f>H946*Z945*INDEX(tun_MortAdult,G946)*Arch_AdultMort/4*Q946</x:f>
        <x:v>0</x:v>
      </x:c>
      <x:c r="U946" s="9" t="n">
        <x:f>H946*AA945*INDEX(tun_MortElder,G946)/4*Q946</x:f>
        <x:v>0</x:v>
      </x:c>
      <x:c r="V946" s="9" t="n">
        <x:f>H946*MAX(0,AB945-O946)*tun_OvercapLoss</x:f>
        <x:v>0</x:v>
      </x:c>
      <x:c r="W946" s="9" t="n">
        <x:f>H946*Y945/(tun_ChildYears*4)</x:f>
        <x:v>0</x:v>
      </x:c>
      <x:c r="X946" s="9" t="n">
        <x:f>H946*Z945/(tun_AdultYears*4)</x:f>
        <x:v>0</x:v>
      </x:c>
      <x:c r="Y946" s="32" t="n">
        <x:f>Y945+R946-S946-W946-Y945*V946/AB945</x:f>
        <x:v>40496.20709015643</x:v>
      </x:c>
      <x:c r="Z946" s="32" t="n">
        <x:f>Z945+W946-X946-T946-Z945*V946/AB945</x:f>
        <x:v>59141.61122890803</x:v>
      </x:c>
      <x:c r="AA946" s="32" t="n">
        <x:f>AA945+X946-U946-AA945*V946/AB945</x:f>
        <x:v>45530.62410925061</x:v>
      </x:c>
      <x:c r="AB946" s="10" t="n">
        <x:f>Y946+Z946+AA946</x:f>
        <x:v>145168.44242831506</x:v>
      </x:c>
      <x:c r="AC946" s="8" t="n">
        <x:f>IF(AND(tun_WinterTrigger=1,D946=1,AB945/AE945&gt;=K946),1,0)</x:f>
        <x:v>0</x:v>
      </x:c>
      <x:c r="AD946" s="8" t="n">
        <x:f>H946*IF(AND(OR(AB945/AE945&gt;=tun_FissionTrigger*N946,AC946=1),AB945/AE945*tun_DaughterShare&gt;=tun_MinDaughter),MAX(1,ROUND(AE945*tun_FissionRate,0)),0)</x:f>
        <x:v>0</x:v>
      </x:c>
      <x:c r="AE946" s="8" t="n">
        <x:f>IF(H946=1,MAX(1,MIN(INDEX(tun_Smax,G946),AE945+AD946)),AE945)</x:f>
        <x:v>9</x:v>
      </x:c>
      <x:c r="AF946" s="8" t="n">
        <x:f>MAX(0,AE946-AE945)</x:f>
        <x:v>0</x:v>
      </x:c>
      <x:c r="AG946" s="9" t="str">
        <x:f>IF(AF946&gt;0,B946,"")</x:f>
      </x:c>
      <x:c r="AH946" s="9" t="n">
        <x:f>IF(F946&gt;=1,1,(1+tun_LowTiesShare*(AE946-1))/AE946)</x:f>
        <x:v>1</x:v>
      </x:c>
      <x:c r="AI946" s="32" t="n">
        <x:f>(Z946+tun_ElderCommons*INDEX(LM_Elder,G946)*AA946)*AH946</x:f>
        <x:v>238215.0665857503</x:v>
      </x:c>
      <x:c r="AJ946" s="32" t="n">
        <x:f>H946*tun_CommonsCoef*AI946^tun_CommonsExp*INDEX(LM_Commons,G946)</x:f>
        <x:v>0</x:v>
      </x:c>
      <x:c r="AK946" s="32" t="n">
        <x:f>H946*tun_RoleScale*Arch_Roles*(AE946*(INDEX(tun_ElderRolePerSett,G946)*tun_OutElder*INDEX(LM_Elder,G946)+INDEX(tun_ShamanPerSett,G946)*tun_OutShaman)+Z946*(INDEX(tun_PriestShare,G946)*tun_OutPriest+INDEX(tun_ScribeShare,G946)*tun_OutScribe*INDEX(LM_Scribe,G946)+INDEX(tun_ScholarShare,G946)*tun_OutScholar*INDEX(LM_Scholar,G946)+INDEX(tun_ResearcherShare,G946)*tun_OutResearcher*INDEX(LM_Researcher,G946)))</x:f>
        <x:v>0</x:v>
      </x:c>
      <x:c r="AL946" s="32" t="n">
        <x:f>H946*tun_RoleScale*Arch_Roles*AE946*INDEX(tun_MonasteryPerSett,G946)*tun_OutMonastery*INDEX(LM_Monastery,G946)</x:f>
        <x:v>0</x:v>
      </x:c>
      <x:c r="AM946" s="32" t="n">
        <x:f>(AJ946+AK946+AL946)/4*INDEX(LM_All,G946)*INDEX(tun_Boon,G946)*Arch_Insight</x:f>
        <x:v>0</x:v>
      </x:c>
      <x:c r="AN946" s="32" t="n">
        <x:f>H946*(tun_KHPerAdult*Z946+tun_KHOfCommons*AJ946/4*INDEX(LM_All,G946))*tun_KHUsable*Arch_KH</x:f>
        <x:v>0</x:v>
      </x:c>
      <x:c r="AO946" s="32" t="n">
        <x:f>MIN(AP945+AN946,AM946*tun_KHMaxRatio)</x:f>
        <x:v>0</x:v>
      </x:c>
      <x:c r="AP946" s="32" t="n">
        <x:f>AP945+AN946-AO946</x:f>
        <x:v>0</x:v>
      </x:c>
      <x:c r="AQ946" s="32" t="n">
        <x:f>AM946+AO946</x:f>
        <x:v>0</x:v>
      </x:c>
      <x:c r="AR946" s="10" t="n">
        <x:f>IF(H946=1,INDEX(tun_Req,G946),0)</x:f>
        <x:v>0</x:v>
      </x:c>
      <x:c r="AS946" s="32" t="n">
        <x:f>IF(H946=1,IF(E946=1,AS945-AR945,AS945)+AQ946,0)</x:f>
        <x:v>0</x:v>
      </x:c>
      <x:c r="AT946" s="11" t="n">
        <x:f>IF(AR946&gt;0,MIN(1,AS946/AR946),1)</x:f>
        <x:v>1</x:v>
      </x:c>
      <x:c r="AU946" s="10" t="n">
        <x:f>AB946/INDEX(tun_RepScale,G946)</x:f>
        <x:v>290.3368848566301</x:v>
      </x:c>
      <x:c r="AV946" s="32" t="n">
        <x:f>AM946*60/tun_SeasonSeconds</x:f>
        <x:v>0</x:v>
      </x:c>
    </x:row>
    <x:row r="947">
      <x:c r="A947" s="8" t="n">
        <x:f>A946+1</x:f>
        <x:v>944</x:v>
      </x:c>
      <x:c r="B947" s="9" t="n">
        <x:f>A947*tun_SeasonSeconds/60</x:f>
        <x:v>236</x:v>
      </x:c>
      <x:c r="C947" s="9" t="n">
        <x:f>A947/4</x:f>
        <x:v>236</x:v>
      </x:c>
      <x:c r="D947" s="8" t="n">
        <x:f>IF(MOD(A947,4)=0,1,0)</x:f>
        <x:v>1</x:v>
      </x:c>
      <x:c r="E947" s="8" t="n">
        <x:f>IF(AND(F946&lt;=9,AS946&gt;=AR946),1,0)</x:f>
        <x:v>0</x:v>
      </x:c>
      <x:c r="F947" s="8" t="n">
        <x:f>MIN(10,F946+E947)</x:f>
        <x:v>10</x:v>
      </x:c>
      <x:c r="G947" s="8" t="n">
        <x:f>MIN(F947,9)+1</x:f>
        <x:v>10</x:v>
      </x:c>
      <x:c r="H947" s="8" t="n">
        <x:f>IF(F947&lt;=9,1,0)</x:f>
        <x:v>0</x:v>
      </x:c>
      <x:c r="I947" s="9" t="n">
        <x:f>MIN(10,F946+IF(AR946&gt;0,MIN(1,AS946/AR946),1))</x:f>
        <x:v>10</x:v>
      </x:c>
      <x:c r="J947" s="32" t="n">
        <x:f>INDEX(tun_FoodCap,G947)*Arch_FoodCap*EXP(tun_CapsByProject*SUMPRODUCT((Cap_Point&lt;=I947)*(Cap_Kind="Food")*Cap_Ln))</x:f>
        <x:v>18627.260449441455</x:v>
      </x:c>
      <x:c r="K947" s="32" t="n">
        <x:f>J947*MIN(1,tun_LeanBase*EXP(tun_CapsByProject*SUMPRODUCT((Cap_Point&lt;=I947)*(Cap_Kind="Lean")*Cap_Ln)))</x:f>
        <x:v>18627.260449441455</x:v>
      </x:c>
      <x:c r="L947" s="10" t="n">
        <x:f>INDEX(tun_HousingCap,G947)*EXP(tun_CapsByProject*SUMPRODUCT((Cap_Point&lt;=I947)*(Cap_Kind="Housing")*Cap_Ln))</x:f>
        <x:v>20528.974303173167</x:v>
      </x:c>
      <x:c r="M947" s="10" t="n">
        <x:f>INDEX(tun_GroupCap,G947)*tun_CohesionFactor*EXP(tun_CapsByProject*SUMPRODUCT((Cap_Point&lt;=I947)*(Cap_Kind="Group")*Cap_Ln))</x:f>
        <x:v>1000000.000000001</x:v>
      </x:c>
      <x:c r="N947" s="32" t="n">
        <x:f>MIN(J947,L947,M947)</x:f>
        <x:v>18627.260449441455</x:v>
      </x:c>
      <x:c r="O947" s="10" t="n">
        <x:f>AE946*N947</x:f>
        <x:v>167645.34404497308</x:v>
      </x:c>
      <x:c r="P947" s="9" t="n">
        <x:f>MIN(1,(AB946/(AE946*IF(tun_GroupInCrowding=1,N947,MIN(J947,L947))))^tun_CrowdingExp)</x:f>
        <x:v>0.4215841981292809</x:v>
      </x:c>
      <x:c r="Q947" s="9" t="n">
        <x:f>IF(D947=1,INDEX(tun_WinterMult,G947),1)</x:f>
        <x:v>1.05</x:v>
      </x:c>
      <x:c r="R947" s="9" t="n">
        <x:f>H947*Z946*tun_WomenShare*tun_BaseFertility*INDEX(tun_FertMult,G947)*Arch_Fertility*(1-P947)</x:f>
        <x:v>0</x:v>
      </x:c>
      <x:c r="S947" s="9" t="n">
        <x:f>H947*Y946*INDEX(tun_MortChild,G947)/4*Q947</x:f>
        <x:v>0</x:v>
      </x:c>
      <x:c r="T947" s="9" t="n">
        <x:f>H947*Z946*INDEX(tun_MortAdult,G947)*Arch_AdultMort/4*Q947</x:f>
        <x:v>0</x:v>
      </x:c>
      <x:c r="U947" s="9" t="n">
        <x:f>H947*AA946*INDEX(tun_MortElder,G947)/4*Q947</x:f>
        <x:v>0</x:v>
      </x:c>
      <x:c r="V947" s="9" t="n">
        <x:f>H947*MAX(0,AB946-O947)*tun_OvercapLoss</x:f>
        <x:v>0</x:v>
      </x:c>
      <x:c r="W947" s="9" t="n">
        <x:f>H947*Y946/(tun_ChildYears*4)</x:f>
        <x:v>0</x:v>
      </x:c>
      <x:c r="X947" s="9" t="n">
        <x:f>H947*Z946/(tun_AdultYears*4)</x:f>
        <x:v>0</x:v>
      </x:c>
      <x:c r="Y947" s="32" t="n">
        <x:f>Y946+R947-S947-W947-Y946*V947/AB946</x:f>
        <x:v>40496.20709015643</x:v>
      </x:c>
      <x:c r="Z947" s="32" t="n">
        <x:f>Z946+W947-X947-T947-Z946*V947/AB946</x:f>
        <x:v>59141.61122890803</x:v>
      </x:c>
      <x:c r="AA947" s="32" t="n">
        <x:f>AA946+X947-U947-AA946*V947/AB946</x:f>
        <x:v>45530.62410925061</x:v>
      </x:c>
      <x:c r="AB947" s="10" t="n">
        <x:f>Y947+Z947+AA947</x:f>
        <x:v>145168.44242831506</x:v>
      </x:c>
      <x:c r="AC947" s="8" t="n">
        <x:f>IF(AND(tun_WinterTrigger=1,D947=1,AB946/AE946&gt;=K947),1,0)</x:f>
        <x:v>0</x:v>
      </x:c>
      <x:c r="AD947" s="8" t="n">
        <x:f>H947*IF(AND(OR(AB946/AE946&gt;=tun_FissionTrigger*N947,AC947=1),AB946/AE946*tun_DaughterShare&gt;=tun_MinDaughter),MAX(1,ROUND(AE946*tun_FissionRate,0)),0)</x:f>
        <x:v>0</x:v>
      </x:c>
      <x:c r="AE947" s="8" t="n">
        <x:f>IF(H947=1,MAX(1,MIN(INDEX(tun_Smax,G947),AE946+AD947)),AE946)</x:f>
        <x:v>9</x:v>
      </x:c>
      <x:c r="AF947" s="8" t="n">
        <x:f>MAX(0,AE947-AE946)</x:f>
        <x:v>0</x:v>
      </x:c>
      <x:c r="AG947" s="9" t="str">
        <x:f>IF(AF947&gt;0,B947,"")</x:f>
      </x:c>
      <x:c r="AH947" s="9" t="n">
        <x:f>IF(F947&gt;=1,1,(1+tun_LowTiesShare*(AE947-1))/AE947)</x:f>
        <x:v>1</x:v>
      </x:c>
      <x:c r="AI947" s="32" t="n">
        <x:f>(Z947+tun_ElderCommons*INDEX(LM_Elder,G947)*AA947)*AH947</x:f>
        <x:v>238215.0665857503</x:v>
      </x:c>
      <x:c r="AJ947" s="32" t="n">
        <x:f>H947*tun_CommonsCoef*AI947^tun_CommonsExp*INDEX(LM_Commons,G947)</x:f>
        <x:v>0</x:v>
      </x:c>
      <x:c r="AK947" s="32" t="n">
        <x:f>H947*tun_RoleScale*Arch_Roles*(AE947*(INDEX(tun_ElderRolePerSett,G947)*tun_OutElder*INDEX(LM_Elder,G947)+INDEX(tun_ShamanPerSett,G947)*tun_OutShaman)+Z947*(INDEX(tun_PriestShare,G947)*tun_OutPriest+INDEX(tun_ScribeShare,G947)*tun_OutScribe*INDEX(LM_Scribe,G947)+INDEX(tun_ScholarShare,G947)*tun_OutScholar*INDEX(LM_Scholar,G947)+INDEX(tun_ResearcherShare,G947)*tun_OutResearcher*INDEX(LM_Researcher,G947)))</x:f>
        <x:v>0</x:v>
      </x:c>
      <x:c r="AL947" s="32" t="n">
        <x:f>H947*tun_RoleScale*Arch_Roles*AE947*INDEX(tun_MonasteryPerSett,G947)*tun_OutMonastery*INDEX(LM_Monastery,G947)</x:f>
        <x:v>0</x:v>
      </x:c>
      <x:c r="AM947" s="32" t="n">
        <x:f>(AJ947+AK947+AL947)/4*INDEX(LM_All,G947)*INDEX(tun_Boon,G947)*Arch_Insight</x:f>
        <x:v>0</x:v>
      </x:c>
      <x:c r="AN947" s="32" t="n">
        <x:f>H947*(tun_KHPerAdult*Z947+tun_KHOfCommons*AJ947/4*INDEX(LM_All,G947))*tun_KHUsable*Arch_KH</x:f>
        <x:v>0</x:v>
      </x:c>
      <x:c r="AO947" s="32" t="n">
        <x:f>MIN(AP946+AN947,AM947*tun_KHMaxRatio)</x:f>
        <x:v>0</x:v>
      </x:c>
      <x:c r="AP947" s="32" t="n">
        <x:f>AP946+AN947-AO947</x:f>
        <x:v>0</x:v>
      </x:c>
      <x:c r="AQ947" s="32" t="n">
        <x:f>AM947+AO947</x:f>
        <x:v>0</x:v>
      </x:c>
      <x:c r="AR947" s="10" t="n">
        <x:f>IF(H947=1,INDEX(tun_Req,G947),0)</x:f>
        <x:v>0</x:v>
      </x:c>
      <x:c r="AS947" s="32" t="n">
        <x:f>IF(H947=1,IF(E947=1,AS946-AR946,AS946)+AQ947,0)</x:f>
        <x:v>0</x:v>
      </x:c>
      <x:c r="AT947" s="11" t="n">
        <x:f>IF(AR947&gt;0,MIN(1,AS947/AR947),1)</x:f>
        <x:v>1</x:v>
      </x:c>
      <x:c r="AU947" s="10" t="n">
        <x:f>AB947/INDEX(tun_RepScale,G947)</x:f>
        <x:v>290.3368848566301</x:v>
      </x:c>
      <x:c r="AV947" s="32" t="n">
        <x:f>AM947*60/tun_SeasonSeconds</x:f>
        <x:v>0</x:v>
      </x:c>
    </x:row>
    <x:row r="948">
      <x:c r="A948" s="8" t="n">
        <x:f>A947+1</x:f>
        <x:v>945</x:v>
      </x:c>
      <x:c r="B948" s="9" t="n">
        <x:f>A948*tun_SeasonSeconds/60</x:f>
        <x:v>236.25</x:v>
      </x:c>
      <x:c r="C948" s="9" t="n">
        <x:f>A948/4</x:f>
        <x:v>236.25</x:v>
      </x:c>
      <x:c r="D948" s="8" t="n">
        <x:f>IF(MOD(A948,4)=0,1,0)</x:f>
        <x:v>0</x:v>
      </x:c>
      <x:c r="E948" s="8" t="n">
        <x:f>IF(AND(F947&lt;=9,AS947&gt;=AR947),1,0)</x:f>
        <x:v>0</x:v>
      </x:c>
      <x:c r="F948" s="8" t="n">
        <x:f>MIN(10,F947+E948)</x:f>
        <x:v>10</x:v>
      </x:c>
      <x:c r="G948" s="8" t="n">
        <x:f>MIN(F948,9)+1</x:f>
        <x:v>10</x:v>
      </x:c>
      <x:c r="H948" s="8" t="n">
        <x:f>IF(F948&lt;=9,1,0)</x:f>
        <x:v>0</x:v>
      </x:c>
      <x:c r="I948" s="9" t="n">
        <x:f>MIN(10,F947+IF(AR947&gt;0,MIN(1,AS947/AR947),1))</x:f>
        <x:v>10</x:v>
      </x:c>
      <x:c r="J948" s="32" t="n">
        <x:f>INDEX(tun_FoodCap,G948)*Arch_FoodCap*EXP(tun_CapsByProject*SUMPRODUCT((Cap_Point&lt;=I948)*(Cap_Kind="Food")*Cap_Ln))</x:f>
        <x:v>18627.260449441455</x:v>
      </x:c>
      <x:c r="K948" s="32" t="n">
        <x:f>J948*MIN(1,tun_LeanBase*EXP(tun_CapsByProject*SUMPRODUCT((Cap_Point&lt;=I948)*(Cap_Kind="Lean")*Cap_Ln)))</x:f>
        <x:v>18627.260449441455</x:v>
      </x:c>
      <x:c r="L948" s="10" t="n">
        <x:f>INDEX(tun_HousingCap,G948)*EXP(tun_CapsByProject*SUMPRODUCT((Cap_Point&lt;=I948)*(Cap_Kind="Housing")*Cap_Ln))</x:f>
        <x:v>20528.974303173167</x:v>
      </x:c>
      <x:c r="M948" s="10" t="n">
        <x:f>INDEX(tun_GroupCap,G948)*tun_CohesionFactor*EXP(tun_CapsByProject*SUMPRODUCT((Cap_Point&lt;=I948)*(Cap_Kind="Group")*Cap_Ln))</x:f>
        <x:v>1000000.000000001</x:v>
      </x:c>
      <x:c r="N948" s="32" t="n">
        <x:f>MIN(J948,L948,M948)</x:f>
        <x:v>18627.260449441455</x:v>
      </x:c>
      <x:c r="O948" s="10" t="n">
        <x:f>AE947*N948</x:f>
        <x:v>167645.34404497308</x:v>
      </x:c>
      <x:c r="P948" s="9" t="n">
        <x:f>MIN(1,(AB947/(AE947*IF(tun_GroupInCrowding=1,N948,MIN(J948,L948))))^tun_CrowdingExp)</x:f>
        <x:v>0.4215841981292809</x:v>
      </x:c>
      <x:c r="Q948" s="9" t="n">
        <x:f>IF(D948=1,INDEX(tun_WinterMult,G948),1)</x:f>
        <x:v>1</x:v>
      </x:c>
      <x:c r="R948" s="9" t="n">
        <x:f>H948*Z947*tun_WomenShare*tun_BaseFertility*INDEX(tun_FertMult,G948)*Arch_Fertility*(1-P948)</x:f>
        <x:v>0</x:v>
      </x:c>
      <x:c r="S948" s="9" t="n">
        <x:f>H948*Y947*INDEX(tun_MortChild,G948)/4*Q948</x:f>
        <x:v>0</x:v>
      </x:c>
      <x:c r="T948" s="9" t="n">
        <x:f>H948*Z947*INDEX(tun_MortAdult,G948)*Arch_AdultMort/4*Q948</x:f>
        <x:v>0</x:v>
      </x:c>
      <x:c r="U948" s="9" t="n">
        <x:f>H948*AA947*INDEX(tun_MortElder,G948)/4*Q948</x:f>
        <x:v>0</x:v>
      </x:c>
      <x:c r="V948" s="9" t="n">
        <x:f>H948*MAX(0,AB947-O948)*tun_OvercapLoss</x:f>
        <x:v>0</x:v>
      </x:c>
      <x:c r="W948" s="9" t="n">
        <x:f>H948*Y947/(tun_ChildYears*4)</x:f>
        <x:v>0</x:v>
      </x:c>
      <x:c r="X948" s="9" t="n">
        <x:f>H948*Z947/(tun_AdultYears*4)</x:f>
        <x:v>0</x:v>
      </x:c>
      <x:c r="Y948" s="32" t="n">
        <x:f>Y947+R948-S948-W948-Y947*V948/AB947</x:f>
        <x:v>40496.20709015643</x:v>
      </x:c>
      <x:c r="Z948" s="32" t="n">
        <x:f>Z947+W948-X948-T948-Z947*V948/AB947</x:f>
        <x:v>59141.61122890803</x:v>
      </x:c>
      <x:c r="AA948" s="32" t="n">
        <x:f>AA947+X948-U948-AA947*V948/AB947</x:f>
        <x:v>45530.62410925061</x:v>
      </x:c>
      <x:c r="AB948" s="10" t="n">
        <x:f>Y948+Z948+AA948</x:f>
        <x:v>145168.44242831506</x:v>
      </x:c>
      <x:c r="AC948" s="8" t="n">
        <x:f>IF(AND(tun_WinterTrigger=1,D948=1,AB947/AE947&gt;=K948),1,0)</x:f>
        <x:v>0</x:v>
      </x:c>
      <x:c r="AD948" s="8" t="n">
        <x:f>H948*IF(AND(OR(AB947/AE947&gt;=tun_FissionTrigger*N948,AC948=1),AB947/AE947*tun_DaughterShare&gt;=tun_MinDaughter),MAX(1,ROUND(AE947*tun_FissionRate,0)),0)</x:f>
        <x:v>0</x:v>
      </x:c>
      <x:c r="AE948" s="8" t="n">
        <x:f>IF(H948=1,MAX(1,MIN(INDEX(tun_Smax,G948),AE947+AD948)),AE947)</x:f>
        <x:v>9</x:v>
      </x:c>
      <x:c r="AF948" s="8" t="n">
        <x:f>MAX(0,AE948-AE947)</x:f>
        <x:v>0</x:v>
      </x:c>
      <x:c r="AG948" s="9" t="str">
        <x:f>IF(AF948&gt;0,B948,"")</x:f>
      </x:c>
      <x:c r="AH948" s="9" t="n">
        <x:f>IF(F948&gt;=1,1,(1+tun_LowTiesShare*(AE948-1))/AE948)</x:f>
        <x:v>1</x:v>
      </x:c>
      <x:c r="AI948" s="32" t="n">
        <x:f>(Z948+tun_ElderCommons*INDEX(LM_Elder,G948)*AA948)*AH948</x:f>
        <x:v>238215.0665857503</x:v>
      </x:c>
      <x:c r="AJ948" s="32" t="n">
        <x:f>H948*tun_CommonsCoef*AI948^tun_CommonsExp*INDEX(LM_Commons,G948)</x:f>
        <x:v>0</x:v>
      </x:c>
      <x:c r="AK948" s="32" t="n">
        <x:f>H948*tun_RoleScale*Arch_Roles*(AE948*(INDEX(tun_ElderRolePerSett,G948)*tun_OutElder*INDEX(LM_Elder,G948)+INDEX(tun_ShamanPerSett,G948)*tun_OutShaman)+Z948*(INDEX(tun_PriestShare,G948)*tun_OutPriest+INDEX(tun_ScribeShare,G948)*tun_OutScribe*INDEX(LM_Scribe,G948)+INDEX(tun_ScholarShare,G948)*tun_OutScholar*INDEX(LM_Scholar,G948)+INDEX(tun_ResearcherShare,G948)*tun_OutResearcher*INDEX(LM_Researcher,G948)))</x:f>
        <x:v>0</x:v>
      </x:c>
      <x:c r="AL948" s="32" t="n">
        <x:f>H948*tun_RoleScale*Arch_Roles*AE948*INDEX(tun_MonasteryPerSett,G948)*tun_OutMonastery*INDEX(LM_Monastery,G948)</x:f>
        <x:v>0</x:v>
      </x:c>
      <x:c r="AM948" s="32" t="n">
        <x:f>(AJ948+AK948+AL948)/4*INDEX(LM_All,G948)*INDEX(tun_Boon,G948)*Arch_Insight</x:f>
        <x:v>0</x:v>
      </x:c>
      <x:c r="AN948" s="32" t="n">
        <x:f>H948*(tun_KHPerAdult*Z948+tun_KHOfCommons*AJ948/4*INDEX(LM_All,G948))*tun_KHUsable*Arch_KH</x:f>
        <x:v>0</x:v>
      </x:c>
      <x:c r="AO948" s="32" t="n">
        <x:f>MIN(AP947+AN948,AM948*tun_KHMaxRatio)</x:f>
        <x:v>0</x:v>
      </x:c>
      <x:c r="AP948" s="32" t="n">
        <x:f>AP947+AN948-AO948</x:f>
        <x:v>0</x:v>
      </x:c>
      <x:c r="AQ948" s="32" t="n">
        <x:f>AM948+AO948</x:f>
        <x:v>0</x:v>
      </x:c>
      <x:c r="AR948" s="10" t="n">
        <x:f>IF(H948=1,INDEX(tun_Req,G948),0)</x:f>
        <x:v>0</x:v>
      </x:c>
      <x:c r="AS948" s="32" t="n">
        <x:f>IF(H948=1,IF(E948=1,AS947-AR947,AS947)+AQ948,0)</x:f>
        <x:v>0</x:v>
      </x:c>
      <x:c r="AT948" s="11" t="n">
        <x:f>IF(AR948&gt;0,MIN(1,AS948/AR948),1)</x:f>
        <x:v>1</x:v>
      </x:c>
      <x:c r="AU948" s="10" t="n">
        <x:f>AB948/INDEX(tun_RepScale,G948)</x:f>
        <x:v>290.3368848566301</x:v>
      </x:c>
      <x:c r="AV948" s="32" t="n">
        <x:f>AM948*60/tun_SeasonSeconds</x:f>
        <x:v>0</x:v>
      </x:c>
    </x:row>
    <x:row r="949">
      <x:c r="A949" s="8" t="n">
        <x:f>A948+1</x:f>
        <x:v>946</x:v>
      </x:c>
      <x:c r="B949" s="9" t="n">
        <x:f>A949*tun_SeasonSeconds/60</x:f>
        <x:v>236.5</x:v>
      </x:c>
      <x:c r="C949" s="9" t="n">
        <x:f>A949/4</x:f>
        <x:v>236.5</x:v>
      </x:c>
      <x:c r="D949" s="8" t="n">
        <x:f>IF(MOD(A949,4)=0,1,0)</x:f>
        <x:v>0</x:v>
      </x:c>
      <x:c r="E949" s="8" t="n">
        <x:f>IF(AND(F948&lt;=9,AS948&gt;=AR948),1,0)</x:f>
        <x:v>0</x:v>
      </x:c>
      <x:c r="F949" s="8" t="n">
        <x:f>MIN(10,F948+E949)</x:f>
        <x:v>10</x:v>
      </x:c>
      <x:c r="G949" s="8" t="n">
        <x:f>MIN(F949,9)+1</x:f>
        <x:v>10</x:v>
      </x:c>
      <x:c r="H949" s="8" t="n">
        <x:f>IF(F949&lt;=9,1,0)</x:f>
        <x:v>0</x:v>
      </x:c>
      <x:c r="I949" s="9" t="n">
        <x:f>MIN(10,F948+IF(AR948&gt;0,MIN(1,AS948/AR948),1))</x:f>
        <x:v>10</x:v>
      </x:c>
      <x:c r="J949" s="32" t="n">
        <x:f>INDEX(tun_FoodCap,G949)*Arch_FoodCap*EXP(tun_CapsByProject*SUMPRODUCT((Cap_Point&lt;=I949)*(Cap_Kind="Food")*Cap_Ln))</x:f>
        <x:v>18627.260449441455</x:v>
      </x:c>
      <x:c r="K949" s="32" t="n">
        <x:f>J949*MIN(1,tun_LeanBase*EXP(tun_CapsByProject*SUMPRODUCT((Cap_Point&lt;=I949)*(Cap_Kind="Lean")*Cap_Ln)))</x:f>
        <x:v>18627.260449441455</x:v>
      </x:c>
      <x:c r="L949" s="10" t="n">
        <x:f>INDEX(tun_HousingCap,G949)*EXP(tun_CapsByProject*SUMPRODUCT((Cap_Point&lt;=I949)*(Cap_Kind="Housing")*Cap_Ln))</x:f>
        <x:v>20528.974303173167</x:v>
      </x:c>
      <x:c r="M949" s="10" t="n">
        <x:f>INDEX(tun_GroupCap,G949)*tun_CohesionFactor*EXP(tun_CapsByProject*SUMPRODUCT((Cap_Point&lt;=I949)*(Cap_Kind="Group")*Cap_Ln))</x:f>
        <x:v>1000000.000000001</x:v>
      </x:c>
      <x:c r="N949" s="32" t="n">
        <x:f>MIN(J949,L949,M949)</x:f>
        <x:v>18627.260449441455</x:v>
      </x:c>
      <x:c r="O949" s="10" t="n">
        <x:f>AE948*N949</x:f>
        <x:v>167645.34404497308</x:v>
      </x:c>
      <x:c r="P949" s="9" t="n">
        <x:f>MIN(1,(AB948/(AE948*IF(tun_GroupInCrowding=1,N949,MIN(J949,L949))))^tun_CrowdingExp)</x:f>
        <x:v>0.4215841981292809</x:v>
      </x:c>
      <x:c r="Q949" s="9" t="n">
        <x:f>IF(D949=1,INDEX(tun_WinterMult,G949),1)</x:f>
        <x:v>1</x:v>
      </x:c>
      <x:c r="R949" s="9" t="n">
        <x:f>H949*Z948*tun_WomenShare*tun_BaseFertility*INDEX(tun_FertMult,G949)*Arch_Fertility*(1-P949)</x:f>
        <x:v>0</x:v>
      </x:c>
      <x:c r="S949" s="9" t="n">
        <x:f>H949*Y948*INDEX(tun_MortChild,G949)/4*Q949</x:f>
        <x:v>0</x:v>
      </x:c>
      <x:c r="T949" s="9" t="n">
        <x:f>H949*Z948*INDEX(tun_MortAdult,G949)*Arch_AdultMort/4*Q949</x:f>
        <x:v>0</x:v>
      </x:c>
      <x:c r="U949" s="9" t="n">
        <x:f>H949*AA948*INDEX(tun_MortElder,G949)/4*Q949</x:f>
        <x:v>0</x:v>
      </x:c>
      <x:c r="V949" s="9" t="n">
        <x:f>H949*MAX(0,AB948-O949)*tun_OvercapLoss</x:f>
        <x:v>0</x:v>
      </x:c>
      <x:c r="W949" s="9" t="n">
        <x:f>H949*Y948/(tun_ChildYears*4)</x:f>
        <x:v>0</x:v>
      </x:c>
      <x:c r="X949" s="9" t="n">
        <x:f>H949*Z948/(tun_AdultYears*4)</x:f>
        <x:v>0</x:v>
      </x:c>
      <x:c r="Y949" s="32" t="n">
        <x:f>Y948+R949-S949-W949-Y948*V949/AB948</x:f>
        <x:v>40496.20709015643</x:v>
      </x:c>
      <x:c r="Z949" s="32" t="n">
        <x:f>Z948+W949-X949-T949-Z948*V949/AB948</x:f>
        <x:v>59141.61122890803</x:v>
      </x:c>
      <x:c r="AA949" s="32" t="n">
        <x:f>AA948+X949-U949-AA948*V949/AB948</x:f>
        <x:v>45530.62410925061</x:v>
      </x:c>
      <x:c r="AB949" s="10" t="n">
        <x:f>Y949+Z949+AA949</x:f>
        <x:v>145168.44242831506</x:v>
      </x:c>
      <x:c r="AC949" s="8" t="n">
        <x:f>IF(AND(tun_WinterTrigger=1,D949=1,AB948/AE948&gt;=K949),1,0)</x:f>
        <x:v>0</x:v>
      </x:c>
      <x:c r="AD949" s="8" t="n">
        <x:f>H949*IF(AND(OR(AB948/AE948&gt;=tun_FissionTrigger*N949,AC949=1),AB948/AE948*tun_DaughterShare&gt;=tun_MinDaughter),MAX(1,ROUND(AE948*tun_FissionRate,0)),0)</x:f>
        <x:v>0</x:v>
      </x:c>
      <x:c r="AE949" s="8" t="n">
        <x:f>IF(H949=1,MAX(1,MIN(INDEX(tun_Smax,G949),AE948+AD949)),AE948)</x:f>
        <x:v>9</x:v>
      </x:c>
      <x:c r="AF949" s="8" t="n">
        <x:f>MAX(0,AE949-AE948)</x:f>
        <x:v>0</x:v>
      </x:c>
      <x:c r="AG949" s="9" t="str">
        <x:f>IF(AF949&gt;0,B949,"")</x:f>
      </x:c>
      <x:c r="AH949" s="9" t="n">
        <x:f>IF(F949&gt;=1,1,(1+tun_LowTiesShare*(AE949-1))/AE949)</x:f>
        <x:v>1</x:v>
      </x:c>
      <x:c r="AI949" s="32" t="n">
        <x:f>(Z949+tun_ElderCommons*INDEX(LM_Elder,G949)*AA949)*AH949</x:f>
        <x:v>238215.0665857503</x:v>
      </x:c>
      <x:c r="AJ949" s="32" t="n">
        <x:f>H949*tun_CommonsCoef*AI949^tun_CommonsExp*INDEX(LM_Commons,G949)</x:f>
        <x:v>0</x:v>
      </x:c>
      <x:c r="AK949" s="32" t="n">
        <x:f>H949*tun_RoleScale*Arch_Roles*(AE949*(INDEX(tun_ElderRolePerSett,G949)*tun_OutElder*INDEX(LM_Elder,G949)+INDEX(tun_ShamanPerSett,G949)*tun_OutShaman)+Z949*(INDEX(tun_PriestShare,G949)*tun_OutPriest+INDEX(tun_ScribeShare,G949)*tun_OutScribe*INDEX(LM_Scribe,G949)+INDEX(tun_ScholarShare,G949)*tun_OutScholar*INDEX(LM_Scholar,G949)+INDEX(tun_ResearcherShare,G949)*tun_OutResearcher*INDEX(LM_Researcher,G949)))</x:f>
        <x:v>0</x:v>
      </x:c>
      <x:c r="AL949" s="32" t="n">
        <x:f>H949*tun_RoleScale*Arch_Roles*AE949*INDEX(tun_MonasteryPerSett,G949)*tun_OutMonastery*INDEX(LM_Monastery,G949)</x:f>
        <x:v>0</x:v>
      </x:c>
      <x:c r="AM949" s="32" t="n">
        <x:f>(AJ949+AK949+AL949)/4*INDEX(LM_All,G949)*INDEX(tun_Boon,G949)*Arch_Insight</x:f>
        <x:v>0</x:v>
      </x:c>
      <x:c r="AN949" s="32" t="n">
        <x:f>H949*(tun_KHPerAdult*Z949+tun_KHOfCommons*AJ949/4*INDEX(LM_All,G949))*tun_KHUsable*Arch_KH</x:f>
        <x:v>0</x:v>
      </x:c>
      <x:c r="AO949" s="32" t="n">
        <x:f>MIN(AP948+AN949,AM949*tun_KHMaxRatio)</x:f>
        <x:v>0</x:v>
      </x:c>
      <x:c r="AP949" s="32" t="n">
        <x:f>AP948+AN949-AO949</x:f>
        <x:v>0</x:v>
      </x:c>
      <x:c r="AQ949" s="32" t="n">
        <x:f>AM949+AO949</x:f>
        <x:v>0</x:v>
      </x:c>
      <x:c r="AR949" s="10" t="n">
        <x:f>IF(H949=1,INDEX(tun_Req,G949),0)</x:f>
        <x:v>0</x:v>
      </x:c>
      <x:c r="AS949" s="32" t="n">
        <x:f>IF(H949=1,IF(E949=1,AS948-AR948,AS948)+AQ949,0)</x:f>
        <x:v>0</x:v>
      </x:c>
      <x:c r="AT949" s="11" t="n">
        <x:f>IF(AR949&gt;0,MIN(1,AS949/AR949),1)</x:f>
        <x:v>1</x:v>
      </x:c>
      <x:c r="AU949" s="10" t="n">
        <x:f>AB949/INDEX(tun_RepScale,G949)</x:f>
        <x:v>290.3368848566301</x:v>
      </x:c>
      <x:c r="AV949" s="32" t="n">
        <x:f>AM949*60/tun_SeasonSeconds</x:f>
        <x:v>0</x:v>
      </x:c>
    </x:row>
    <x:row r="950">
      <x:c r="A950" s="8" t="n">
        <x:f>A949+1</x:f>
        <x:v>947</x:v>
      </x:c>
      <x:c r="B950" s="9" t="n">
        <x:f>A950*tun_SeasonSeconds/60</x:f>
        <x:v>236.75</x:v>
      </x:c>
      <x:c r="C950" s="9" t="n">
        <x:f>A950/4</x:f>
        <x:v>236.75</x:v>
      </x:c>
      <x:c r="D950" s="8" t="n">
        <x:f>IF(MOD(A950,4)=0,1,0)</x:f>
        <x:v>0</x:v>
      </x:c>
      <x:c r="E950" s="8" t="n">
        <x:f>IF(AND(F949&lt;=9,AS949&gt;=AR949),1,0)</x:f>
        <x:v>0</x:v>
      </x:c>
      <x:c r="F950" s="8" t="n">
        <x:f>MIN(10,F949+E950)</x:f>
        <x:v>10</x:v>
      </x:c>
      <x:c r="G950" s="8" t="n">
        <x:f>MIN(F950,9)+1</x:f>
        <x:v>10</x:v>
      </x:c>
      <x:c r="H950" s="8" t="n">
        <x:f>IF(F950&lt;=9,1,0)</x:f>
        <x:v>0</x:v>
      </x:c>
      <x:c r="I950" s="9" t="n">
        <x:f>MIN(10,F949+IF(AR949&gt;0,MIN(1,AS949/AR949),1))</x:f>
        <x:v>10</x:v>
      </x:c>
      <x:c r="J950" s="32" t="n">
        <x:f>INDEX(tun_FoodCap,G950)*Arch_FoodCap*EXP(tun_CapsByProject*SUMPRODUCT((Cap_Point&lt;=I950)*(Cap_Kind="Food")*Cap_Ln))</x:f>
        <x:v>18627.260449441455</x:v>
      </x:c>
      <x:c r="K950" s="32" t="n">
        <x:f>J950*MIN(1,tun_LeanBase*EXP(tun_CapsByProject*SUMPRODUCT((Cap_Point&lt;=I950)*(Cap_Kind="Lean")*Cap_Ln)))</x:f>
        <x:v>18627.260449441455</x:v>
      </x:c>
      <x:c r="L950" s="10" t="n">
        <x:f>INDEX(tun_HousingCap,G950)*EXP(tun_CapsByProject*SUMPRODUCT((Cap_Point&lt;=I950)*(Cap_Kind="Housing")*Cap_Ln))</x:f>
        <x:v>20528.974303173167</x:v>
      </x:c>
      <x:c r="M950" s="10" t="n">
        <x:f>INDEX(tun_GroupCap,G950)*tun_CohesionFactor*EXP(tun_CapsByProject*SUMPRODUCT((Cap_Point&lt;=I950)*(Cap_Kind="Group")*Cap_Ln))</x:f>
        <x:v>1000000.000000001</x:v>
      </x:c>
      <x:c r="N950" s="32" t="n">
        <x:f>MIN(J950,L950,M950)</x:f>
        <x:v>18627.260449441455</x:v>
      </x:c>
      <x:c r="O950" s="10" t="n">
        <x:f>AE949*N950</x:f>
        <x:v>167645.34404497308</x:v>
      </x:c>
      <x:c r="P950" s="9" t="n">
        <x:f>MIN(1,(AB949/(AE949*IF(tun_GroupInCrowding=1,N950,MIN(J950,L950))))^tun_CrowdingExp)</x:f>
        <x:v>0.4215841981292809</x:v>
      </x:c>
      <x:c r="Q950" s="9" t="n">
        <x:f>IF(D950=1,INDEX(tun_WinterMult,G950),1)</x:f>
        <x:v>1</x:v>
      </x:c>
      <x:c r="R950" s="9" t="n">
        <x:f>H950*Z949*tun_WomenShare*tun_BaseFertility*INDEX(tun_FertMult,G950)*Arch_Fertility*(1-P950)</x:f>
        <x:v>0</x:v>
      </x:c>
      <x:c r="S950" s="9" t="n">
        <x:f>H950*Y949*INDEX(tun_MortChild,G950)/4*Q950</x:f>
        <x:v>0</x:v>
      </x:c>
      <x:c r="T950" s="9" t="n">
        <x:f>H950*Z949*INDEX(tun_MortAdult,G950)*Arch_AdultMort/4*Q950</x:f>
        <x:v>0</x:v>
      </x:c>
      <x:c r="U950" s="9" t="n">
        <x:f>H950*AA949*INDEX(tun_MortElder,G950)/4*Q950</x:f>
        <x:v>0</x:v>
      </x:c>
      <x:c r="V950" s="9" t="n">
        <x:f>H950*MAX(0,AB949-O950)*tun_OvercapLoss</x:f>
        <x:v>0</x:v>
      </x:c>
      <x:c r="W950" s="9" t="n">
        <x:f>H950*Y949/(tun_ChildYears*4)</x:f>
        <x:v>0</x:v>
      </x:c>
      <x:c r="X950" s="9" t="n">
        <x:f>H950*Z949/(tun_AdultYears*4)</x:f>
        <x:v>0</x:v>
      </x:c>
      <x:c r="Y950" s="32" t="n">
        <x:f>Y949+R950-S950-W950-Y949*V950/AB949</x:f>
        <x:v>40496.20709015643</x:v>
      </x:c>
      <x:c r="Z950" s="32" t="n">
        <x:f>Z949+W950-X950-T950-Z949*V950/AB949</x:f>
        <x:v>59141.61122890803</x:v>
      </x:c>
      <x:c r="AA950" s="32" t="n">
        <x:f>AA949+X950-U950-AA949*V950/AB949</x:f>
        <x:v>45530.62410925061</x:v>
      </x:c>
      <x:c r="AB950" s="10" t="n">
        <x:f>Y950+Z950+AA950</x:f>
        <x:v>145168.44242831506</x:v>
      </x:c>
      <x:c r="AC950" s="8" t="n">
        <x:f>IF(AND(tun_WinterTrigger=1,D950=1,AB949/AE949&gt;=K950),1,0)</x:f>
        <x:v>0</x:v>
      </x:c>
      <x:c r="AD950" s="8" t="n">
        <x:f>H950*IF(AND(OR(AB949/AE949&gt;=tun_FissionTrigger*N950,AC950=1),AB949/AE949*tun_DaughterShare&gt;=tun_MinDaughter),MAX(1,ROUND(AE949*tun_FissionRate,0)),0)</x:f>
        <x:v>0</x:v>
      </x:c>
      <x:c r="AE950" s="8" t="n">
        <x:f>IF(H950=1,MAX(1,MIN(INDEX(tun_Smax,G950),AE949+AD950)),AE949)</x:f>
        <x:v>9</x:v>
      </x:c>
      <x:c r="AF950" s="8" t="n">
        <x:f>MAX(0,AE950-AE949)</x:f>
        <x:v>0</x:v>
      </x:c>
      <x:c r="AG950" s="9" t="str">
        <x:f>IF(AF950&gt;0,B950,"")</x:f>
      </x:c>
      <x:c r="AH950" s="9" t="n">
        <x:f>IF(F950&gt;=1,1,(1+tun_LowTiesShare*(AE950-1))/AE950)</x:f>
        <x:v>1</x:v>
      </x:c>
      <x:c r="AI950" s="32" t="n">
        <x:f>(Z950+tun_ElderCommons*INDEX(LM_Elder,G950)*AA950)*AH950</x:f>
        <x:v>238215.0665857503</x:v>
      </x:c>
      <x:c r="AJ950" s="32" t="n">
        <x:f>H950*tun_CommonsCoef*AI950^tun_CommonsExp*INDEX(LM_Commons,G950)</x:f>
        <x:v>0</x:v>
      </x:c>
      <x:c r="AK950" s="32" t="n">
        <x:f>H950*tun_RoleScale*Arch_Roles*(AE950*(INDEX(tun_ElderRolePerSett,G950)*tun_OutElder*INDEX(LM_Elder,G950)+INDEX(tun_ShamanPerSett,G950)*tun_OutShaman)+Z950*(INDEX(tun_PriestShare,G950)*tun_OutPriest+INDEX(tun_ScribeShare,G950)*tun_OutScribe*INDEX(LM_Scribe,G950)+INDEX(tun_ScholarShare,G950)*tun_OutScholar*INDEX(LM_Scholar,G950)+INDEX(tun_ResearcherShare,G950)*tun_OutResearcher*INDEX(LM_Researcher,G950)))</x:f>
        <x:v>0</x:v>
      </x:c>
      <x:c r="AL950" s="32" t="n">
        <x:f>H950*tun_RoleScale*Arch_Roles*AE950*INDEX(tun_MonasteryPerSett,G950)*tun_OutMonastery*INDEX(LM_Monastery,G950)</x:f>
        <x:v>0</x:v>
      </x:c>
      <x:c r="AM950" s="32" t="n">
        <x:f>(AJ950+AK950+AL950)/4*INDEX(LM_All,G950)*INDEX(tun_Boon,G950)*Arch_Insight</x:f>
        <x:v>0</x:v>
      </x:c>
      <x:c r="AN950" s="32" t="n">
        <x:f>H950*(tun_KHPerAdult*Z950+tun_KHOfCommons*AJ950/4*INDEX(LM_All,G950))*tun_KHUsable*Arch_KH</x:f>
        <x:v>0</x:v>
      </x:c>
      <x:c r="AO950" s="32" t="n">
        <x:f>MIN(AP949+AN950,AM950*tun_KHMaxRatio)</x:f>
        <x:v>0</x:v>
      </x:c>
      <x:c r="AP950" s="32" t="n">
        <x:f>AP949+AN950-AO950</x:f>
        <x:v>0</x:v>
      </x:c>
      <x:c r="AQ950" s="32" t="n">
        <x:f>AM950+AO950</x:f>
        <x:v>0</x:v>
      </x:c>
      <x:c r="AR950" s="10" t="n">
        <x:f>IF(H950=1,INDEX(tun_Req,G950),0)</x:f>
        <x:v>0</x:v>
      </x:c>
      <x:c r="AS950" s="32" t="n">
        <x:f>IF(H950=1,IF(E950=1,AS949-AR949,AS949)+AQ950,0)</x:f>
        <x:v>0</x:v>
      </x:c>
      <x:c r="AT950" s="11" t="n">
        <x:f>IF(AR950&gt;0,MIN(1,AS950/AR950),1)</x:f>
        <x:v>1</x:v>
      </x:c>
      <x:c r="AU950" s="10" t="n">
        <x:f>AB950/INDEX(tun_RepScale,G950)</x:f>
        <x:v>290.3368848566301</x:v>
      </x:c>
      <x:c r="AV950" s="32" t="n">
        <x:f>AM950*60/tun_SeasonSeconds</x:f>
        <x:v>0</x:v>
      </x:c>
    </x:row>
    <x:row r="951">
      <x:c r="A951" s="8" t="n">
        <x:f>A950+1</x:f>
        <x:v>948</x:v>
      </x:c>
      <x:c r="B951" s="9" t="n">
        <x:f>A951*tun_SeasonSeconds/60</x:f>
        <x:v>237</x:v>
      </x:c>
      <x:c r="C951" s="9" t="n">
        <x:f>A951/4</x:f>
        <x:v>237</x:v>
      </x:c>
      <x:c r="D951" s="8" t="n">
        <x:f>IF(MOD(A951,4)=0,1,0)</x:f>
        <x:v>1</x:v>
      </x:c>
      <x:c r="E951" s="8" t="n">
        <x:f>IF(AND(F950&lt;=9,AS950&gt;=AR950),1,0)</x:f>
        <x:v>0</x:v>
      </x:c>
      <x:c r="F951" s="8" t="n">
        <x:f>MIN(10,F950+E951)</x:f>
        <x:v>10</x:v>
      </x:c>
      <x:c r="G951" s="8" t="n">
        <x:f>MIN(F951,9)+1</x:f>
        <x:v>10</x:v>
      </x:c>
      <x:c r="H951" s="8" t="n">
        <x:f>IF(F951&lt;=9,1,0)</x:f>
        <x:v>0</x:v>
      </x:c>
      <x:c r="I951" s="9" t="n">
        <x:f>MIN(10,F950+IF(AR950&gt;0,MIN(1,AS950/AR950),1))</x:f>
        <x:v>10</x:v>
      </x:c>
      <x:c r="J951" s="32" t="n">
        <x:f>INDEX(tun_FoodCap,G951)*Arch_FoodCap*EXP(tun_CapsByProject*SUMPRODUCT((Cap_Point&lt;=I951)*(Cap_Kind="Food")*Cap_Ln))</x:f>
        <x:v>18627.260449441455</x:v>
      </x:c>
      <x:c r="K951" s="32" t="n">
        <x:f>J951*MIN(1,tun_LeanBase*EXP(tun_CapsByProject*SUMPRODUCT((Cap_Point&lt;=I951)*(Cap_Kind="Lean")*Cap_Ln)))</x:f>
        <x:v>18627.260449441455</x:v>
      </x:c>
      <x:c r="L951" s="10" t="n">
        <x:f>INDEX(tun_HousingCap,G951)*EXP(tun_CapsByProject*SUMPRODUCT((Cap_Point&lt;=I951)*(Cap_Kind="Housing")*Cap_Ln))</x:f>
        <x:v>20528.974303173167</x:v>
      </x:c>
      <x:c r="M951" s="10" t="n">
        <x:f>INDEX(tun_GroupCap,G951)*tun_CohesionFactor*EXP(tun_CapsByProject*SUMPRODUCT((Cap_Point&lt;=I951)*(Cap_Kind="Group")*Cap_Ln))</x:f>
        <x:v>1000000.000000001</x:v>
      </x:c>
      <x:c r="N951" s="32" t="n">
        <x:f>MIN(J951,L951,M951)</x:f>
        <x:v>18627.260449441455</x:v>
      </x:c>
      <x:c r="O951" s="10" t="n">
        <x:f>AE950*N951</x:f>
        <x:v>167645.34404497308</x:v>
      </x:c>
      <x:c r="P951" s="9" t="n">
        <x:f>MIN(1,(AB950/(AE950*IF(tun_GroupInCrowding=1,N951,MIN(J951,L951))))^tun_CrowdingExp)</x:f>
        <x:v>0.4215841981292809</x:v>
      </x:c>
      <x:c r="Q951" s="9" t="n">
        <x:f>IF(D951=1,INDEX(tun_WinterMult,G951),1)</x:f>
        <x:v>1.05</x:v>
      </x:c>
      <x:c r="R951" s="9" t="n">
        <x:f>H951*Z950*tun_WomenShare*tun_BaseFertility*INDEX(tun_FertMult,G951)*Arch_Fertility*(1-P951)</x:f>
        <x:v>0</x:v>
      </x:c>
      <x:c r="S951" s="9" t="n">
        <x:f>H951*Y950*INDEX(tun_MortChild,G951)/4*Q951</x:f>
        <x:v>0</x:v>
      </x:c>
      <x:c r="T951" s="9" t="n">
        <x:f>H951*Z950*INDEX(tun_MortAdult,G951)*Arch_AdultMort/4*Q951</x:f>
        <x:v>0</x:v>
      </x:c>
      <x:c r="U951" s="9" t="n">
        <x:f>H951*AA950*INDEX(tun_MortElder,G951)/4*Q951</x:f>
        <x:v>0</x:v>
      </x:c>
      <x:c r="V951" s="9" t="n">
        <x:f>H951*MAX(0,AB950-O951)*tun_OvercapLoss</x:f>
        <x:v>0</x:v>
      </x:c>
      <x:c r="W951" s="9" t="n">
        <x:f>H951*Y950/(tun_ChildYears*4)</x:f>
        <x:v>0</x:v>
      </x:c>
      <x:c r="X951" s="9" t="n">
        <x:f>H951*Z950/(tun_AdultYears*4)</x:f>
        <x:v>0</x:v>
      </x:c>
      <x:c r="Y951" s="32" t="n">
        <x:f>Y950+R951-S951-W951-Y950*V951/AB950</x:f>
        <x:v>40496.20709015643</x:v>
      </x:c>
      <x:c r="Z951" s="32" t="n">
        <x:f>Z950+W951-X951-T951-Z950*V951/AB950</x:f>
        <x:v>59141.61122890803</x:v>
      </x:c>
      <x:c r="AA951" s="32" t="n">
        <x:f>AA950+X951-U951-AA950*V951/AB950</x:f>
        <x:v>45530.62410925061</x:v>
      </x:c>
      <x:c r="AB951" s="10" t="n">
        <x:f>Y951+Z951+AA951</x:f>
        <x:v>145168.44242831506</x:v>
      </x:c>
      <x:c r="AC951" s="8" t="n">
        <x:f>IF(AND(tun_WinterTrigger=1,D951=1,AB950/AE950&gt;=K951),1,0)</x:f>
        <x:v>0</x:v>
      </x:c>
      <x:c r="AD951" s="8" t="n">
        <x:f>H951*IF(AND(OR(AB950/AE950&gt;=tun_FissionTrigger*N951,AC951=1),AB950/AE950*tun_DaughterShare&gt;=tun_MinDaughter),MAX(1,ROUND(AE950*tun_FissionRate,0)),0)</x:f>
        <x:v>0</x:v>
      </x:c>
      <x:c r="AE951" s="8" t="n">
        <x:f>IF(H951=1,MAX(1,MIN(INDEX(tun_Smax,G951),AE950+AD951)),AE950)</x:f>
        <x:v>9</x:v>
      </x:c>
      <x:c r="AF951" s="8" t="n">
        <x:f>MAX(0,AE951-AE950)</x:f>
        <x:v>0</x:v>
      </x:c>
      <x:c r="AG951" s="9" t="str">
        <x:f>IF(AF951&gt;0,B951,"")</x:f>
      </x:c>
      <x:c r="AH951" s="9" t="n">
        <x:f>IF(F951&gt;=1,1,(1+tun_LowTiesShare*(AE951-1))/AE951)</x:f>
        <x:v>1</x:v>
      </x:c>
      <x:c r="AI951" s="32" t="n">
        <x:f>(Z951+tun_ElderCommons*INDEX(LM_Elder,G951)*AA951)*AH951</x:f>
        <x:v>238215.0665857503</x:v>
      </x:c>
      <x:c r="AJ951" s="32" t="n">
        <x:f>H951*tun_CommonsCoef*AI951^tun_CommonsExp*INDEX(LM_Commons,G951)</x:f>
        <x:v>0</x:v>
      </x:c>
      <x:c r="AK951" s="32" t="n">
        <x:f>H951*tun_RoleScale*Arch_Roles*(AE951*(INDEX(tun_ElderRolePerSett,G951)*tun_OutElder*INDEX(LM_Elder,G951)+INDEX(tun_ShamanPerSett,G951)*tun_OutShaman)+Z951*(INDEX(tun_PriestShare,G951)*tun_OutPriest+INDEX(tun_ScribeShare,G951)*tun_OutScribe*INDEX(LM_Scribe,G951)+INDEX(tun_ScholarShare,G951)*tun_OutScholar*INDEX(LM_Scholar,G951)+INDEX(tun_ResearcherShare,G951)*tun_OutResearcher*INDEX(LM_Researcher,G951)))</x:f>
        <x:v>0</x:v>
      </x:c>
      <x:c r="AL951" s="32" t="n">
        <x:f>H951*tun_RoleScale*Arch_Roles*AE951*INDEX(tun_MonasteryPerSett,G951)*tun_OutMonastery*INDEX(LM_Monastery,G951)</x:f>
        <x:v>0</x:v>
      </x:c>
      <x:c r="AM951" s="32" t="n">
        <x:f>(AJ951+AK951+AL951)/4*INDEX(LM_All,G951)*INDEX(tun_Boon,G951)*Arch_Insight</x:f>
        <x:v>0</x:v>
      </x:c>
      <x:c r="AN951" s="32" t="n">
        <x:f>H951*(tun_KHPerAdult*Z951+tun_KHOfCommons*AJ951/4*INDEX(LM_All,G951))*tun_KHUsable*Arch_KH</x:f>
        <x:v>0</x:v>
      </x:c>
      <x:c r="AO951" s="32" t="n">
        <x:f>MIN(AP950+AN951,AM951*tun_KHMaxRatio)</x:f>
        <x:v>0</x:v>
      </x:c>
      <x:c r="AP951" s="32" t="n">
        <x:f>AP950+AN951-AO951</x:f>
        <x:v>0</x:v>
      </x:c>
      <x:c r="AQ951" s="32" t="n">
        <x:f>AM951+AO951</x:f>
        <x:v>0</x:v>
      </x:c>
      <x:c r="AR951" s="10" t="n">
        <x:f>IF(H951=1,INDEX(tun_Req,G951),0)</x:f>
        <x:v>0</x:v>
      </x:c>
      <x:c r="AS951" s="32" t="n">
        <x:f>IF(H951=1,IF(E951=1,AS950-AR950,AS950)+AQ951,0)</x:f>
        <x:v>0</x:v>
      </x:c>
      <x:c r="AT951" s="11" t="n">
        <x:f>IF(AR951&gt;0,MIN(1,AS951/AR951),1)</x:f>
        <x:v>1</x:v>
      </x:c>
      <x:c r="AU951" s="10" t="n">
        <x:f>AB951/INDEX(tun_RepScale,G951)</x:f>
        <x:v>290.3368848566301</x:v>
      </x:c>
      <x:c r="AV951" s="32" t="n">
        <x:f>AM951*60/tun_SeasonSeconds</x:f>
        <x:v>0</x:v>
      </x:c>
    </x:row>
    <x:row r="952">
      <x:c r="A952" s="8" t="n">
        <x:f>A951+1</x:f>
        <x:v>949</x:v>
      </x:c>
      <x:c r="B952" s="9" t="n">
        <x:f>A952*tun_SeasonSeconds/60</x:f>
        <x:v>237.25</x:v>
      </x:c>
      <x:c r="C952" s="9" t="n">
        <x:f>A952/4</x:f>
        <x:v>237.25</x:v>
      </x:c>
      <x:c r="D952" s="8" t="n">
        <x:f>IF(MOD(A952,4)=0,1,0)</x:f>
        <x:v>0</x:v>
      </x:c>
      <x:c r="E952" s="8" t="n">
        <x:f>IF(AND(F951&lt;=9,AS951&gt;=AR951),1,0)</x:f>
        <x:v>0</x:v>
      </x:c>
      <x:c r="F952" s="8" t="n">
        <x:f>MIN(10,F951+E952)</x:f>
        <x:v>10</x:v>
      </x:c>
      <x:c r="G952" s="8" t="n">
        <x:f>MIN(F952,9)+1</x:f>
        <x:v>10</x:v>
      </x:c>
      <x:c r="H952" s="8" t="n">
        <x:f>IF(F952&lt;=9,1,0)</x:f>
        <x:v>0</x:v>
      </x:c>
      <x:c r="I952" s="9" t="n">
        <x:f>MIN(10,F951+IF(AR951&gt;0,MIN(1,AS951/AR951),1))</x:f>
        <x:v>10</x:v>
      </x:c>
      <x:c r="J952" s="32" t="n">
        <x:f>INDEX(tun_FoodCap,G952)*Arch_FoodCap*EXP(tun_CapsByProject*SUMPRODUCT((Cap_Point&lt;=I952)*(Cap_Kind="Food")*Cap_Ln))</x:f>
        <x:v>18627.260449441455</x:v>
      </x:c>
      <x:c r="K952" s="32" t="n">
        <x:f>J952*MIN(1,tun_LeanBase*EXP(tun_CapsByProject*SUMPRODUCT((Cap_Point&lt;=I952)*(Cap_Kind="Lean")*Cap_Ln)))</x:f>
        <x:v>18627.260449441455</x:v>
      </x:c>
      <x:c r="L952" s="10" t="n">
        <x:f>INDEX(tun_HousingCap,G952)*EXP(tun_CapsByProject*SUMPRODUCT((Cap_Point&lt;=I952)*(Cap_Kind="Housing")*Cap_Ln))</x:f>
        <x:v>20528.974303173167</x:v>
      </x:c>
      <x:c r="M952" s="10" t="n">
        <x:f>INDEX(tun_GroupCap,G952)*tun_CohesionFactor*EXP(tun_CapsByProject*SUMPRODUCT((Cap_Point&lt;=I952)*(Cap_Kind="Group")*Cap_Ln))</x:f>
        <x:v>1000000.000000001</x:v>
      </x:c>
      <x:c r="N952" s="32" t="n">
        <x:f>MIN(J952,L952,M952)</x:f>
        <x:v>18627.260449441455</x:v>
      </x:c>
      <x:c r="O952" s="10" t="n">
        <x:f>AE951*N952</x:f>
        <x:v>167645.34404497308</x:v>
      </x:c>
      <x:c r="P952" s="9" t="n">
        <x:f>MIN(1,(AB951/(AE951*IF(tun_GroupInCrowding=1,N952,MIN(J952,L952))))^tun_CrowdingExp)</x:f>
        <x:v>0.4215841981292809</x:v>
      </x:c>
      <x:c r="Q952" s="9" t="n">
        <x:f>IF(D952=1,INDEX(tun_WinterMult,G952),1)</x:f>
        <x:v>1</x:v>
      </x:c>
      <x:c r="R952" s="9" t="n">
        <x:f>H952*Z951*tun_WomenShare*tun_BaseFertility*INDEX(tun_FertMult,G952)*Arch_Fertility*(1-P952)</x:f>
        <x:v>0</x:v>
      </x:c>
      <x:c r="S952" s="9" t="n">
        <x:f>H952*Y951*INDEX(tun_MortChild,G952)/4*Q952</x:f>
        <x:v>0</x:v>
      </x:c>
      <x:c r="T952" s="9" t="n">
        <x:f>H952*Z951*INDEX(tun_MortAdult,G952)*Arch_AdultMort/4*Q952</x:f>
        <x:v>0</x:v>
      </x:c>
      <x:c r="U952" s="9" t="n">
        <x:f>H952*AA951*INDEX(tun_MortElder,G952)/4*Q952</x:f>
        <x:v>0</x:v>
      </x:c>
      <x:c r="V952" s="9" t="n">
        <x:f>H952*MAX(0,AB951-O952)*tun_OvercapLoss</x:f>
        <x:v>0</x:v>
      </x:c>
      <x:c r="W952" s="9" t="n">
        <x:f>H952*Y951/(tun_ChildYears*4)</x:f>
        <x:v>0</x:v>
      </x:c>
      <x:c r="X952" s="9" t="n">
        <x:f>H952*Z951/(tun_AdultYears*4)</x:f>
        <x:v>0</x:v>
      </x:c>
      <x:c r="Y952" s="32" t="n">
        <x:f>Y951+R952-S952-W952-Y951*V952/AB951</x:f>
        <x:v>40496.20709015643</x:v>
      </x:c>
      <x:c r="Z952" s="32" t="n">
        <x:f>Z951+W952-X952-T952-Z951*V952/AB951</x:f>
        <x:v>59141.61122890803</x:v>
      </x:c>
      <x:c r="AA952" s="32" t="n">
        <x:f>AA951+X952-U952-AA951*V952/AB951</x:f>
        <x:v>45530.62410925061</x:v>
      </x:c>
      <x:c r="AB952" s="10" t="n">
        <x:f>Y952+Z952+AA952</x:f>
        <x:v>145168.44242831506</x:v>
      </x:c>
      <x:c r="AC952" s="8" t="n">
        <x:f>IF(AND(tun_WinterTrigger=1,D952=1,AB951/AE951&gt;=K952),1,0)</x:f>
        <x:v>0</x:v>
      </x:c>
      <x:c r="AD952" s="8" t="n">
        <x:f>H952*IF(AND(OR(AB951/AE951&gt;=tun_FissionTrigger*N952,AC952=1),AB951/AE951*tun_DaughterShare&gt;=tun_MinDaughter),MAX(1,ROUND(AE951*tun_FissionRate,0)),0)</x:f>
        <x:v>0</x:v>
      </x:c>
      <x:c r="AE952" s="8" t="n">
        <x:f>IF(H952=1,MAX(1,MIN(INDEX(tun_Smax,G952),AE951+AD952)),AE951)</x:f>
        <x:v>9</x:v>
      </x:c>
      <x:c r="AF952" s="8" t="n">
        <x:f>MAX(0,AE952-AE951)</x:f>
        <x:v>0</x:v>
      </x:c>
      <x:c r="AG952" s="9" t="str">
        <x:f>IF(AF952&gt;0,B952,"")</x:f>
      </x:c>
      <x:c r="AH952" s="9" t="n">
        <x:f>IF(F952&gt;=1,1,(1+tun_LowTiesShare*(AE952-1))/AE952)</x:f>
        <x:v>1</x:v>
      </x:c>
      <x:c r="AI952" s="32" t="n">
        <x:f>(Z952+tun_ElderCommons*INDEX(LM_Elder,G952)*AA952)*AH952</x:f>
        <x:v>238215.0665857503</x:v>
      </x:c>
      <x:c r="AJ952" s="32" t="n">
        <x:f>H952*tun_CommonsCoef*AI952^tun_CommonsExp*INDEX(LM_Commons,G952)</x:f>
        <x:v>0</x:v>
      </x:c>
      <x:c r="AK952" s="32" t="n">
        <x:f>H952*tun_RoleScale*Arch_Roles*(AE952*(INDEX(tun_ElderRolePerSett,G952)*tun_OutElder*INDEX(LM_Elder,G952)+INDEX(tun_ShamanPerSett,G952)*tun_OutShaman)+Z952*(INDEX(tun_PriestShare,G952)*tun_OutPriest+INDEX(tun_ScribeShare,G952)*tun_OutScribe*INDEX(LM_Scribe,G952)+INDEX(tun_ScholarShare,G952)*tun_OutScholar*INDEX(LM_Scholar,G952)+INDEX(tun_ResearcherShare,G952)*tun_OutResearcher*INDEX(LM_Researcher,G952)))</x:f>
        <x:v>0</x:v>
      </x:c>
      <x:c r="AL952" s="32" t="n">
        <x:f>H952*tun_RoleScale*Arch_Roles*AE952*INDEX(tun_MonasteryPerSett,G952)*tun_OutMonastery*INDEX(LM_Monastery,G952)</x:f>
        <x:v>0</x:v>
      </x:c>
      <x:c r="AM952" s="32" t="n">
        <x:f>(AJ952+AK952+AL952)/4*INDEX(LM_All,G952)*INDEX(tun_Boon,G952)*Arch_Insight</x:f>
        <x:v>0</x:v>
      </x:c>
      <x:c r="AN952" s="32" t="n">
        <x:f>H952*(tun_KHPerAdult*Z952+tun_KHOfCommons*AJ952/4*INDEX(LM_All,G952))*tun_KHUsable*Arch_KH</x:f>
        <x:v>0</x:v>
      </x:c>
      <x:c r="AO952" s="32" t="n">
        <x:f>MIN(AP951+AN952,AM952*tun_KHMaxRatio)</x:f>
        <x:v>0</x:v>
      </x:c>
      <x:c r="AP952" s="32" t="n">
        <x:f>AP951+AN952-AO952</x:f>
        <x:v>0</x:v>
      </x:c>
      <x:c r="AQ952" s="32" t="n">
        <x:f>AM952+AO952</x:f>
        <x:v>0</x:v>
      </x:c>
      <x:c r="AR952" s="10" t="n">
        <x:f>IF(H952=1,INDEX(tun_Req,G952),0)</x:f>
        <x:v>0</x:v>
      </x:c>
      <x:c r="AS952" s="32" t="n">
        <x:f>IF(H952=1,IF(E952=1,AS951-AR951,AS951)+AQ952,0)</x:f>
        <x:v>0</x:v>
      </x:c>
      <x:c r="AT952" s="11" t="n">
        <x:f>IF(AR952&gt;0,MIN(1,AS952/AR952),1)</x:f>
        <x:v>1</x:v>
      </x:c>
      <x:c r="AU952" s="10" t="n">
        <x:f>AB952/INDEX(tun_RepScale,G952)</x:f>
        <x:v>290.3368848566301</x:v>
      </x:c>
      <x:c r="AV952" s="32" t="n">
        <x:f>AM952*60/tun_SeasonSeconds</x:f>
        <x:v>0</x:v>
      </x:c>
    </x:row>
    <x:row r="953">
      <x:c r="A953" s="8" t="n">
        <x:f>A952+1</x:f>
        <x:v>950</x:v>
      </x:c>
      <x:c r="B953" s="9" t="n">
        <x:f>A953*tun_SeasonSeconds/60</x:f>
        <x:v>237.5</x:v>
      </x:c>
      <x:c r="C953" s="9" t="n">
        <x:f>A953/4</x:f>
        <x:v>237.5</x:v>
      </x:c>
      <x:c r="D953" s="8" t="n">
        <x:f>IF(MOD(A953,4)=0,1,0)</x:f>
        <x:v>0</x:v>
      </x:c>
      <x:c r="E953" s="8" t="n">
        <x:f>IF(AND(F952&lt;=9,AS952&gt;=AR952),1,0)</x:f>
        <x:v>0</x:v>
      </x:c>
      <x:c r="F953" s="8" t="n">
        <x:f>MIN(10,F952+E953)</x:f>
        <x:v>10</x:v>
      </x:c>
      <x:c r="G953" s="8" t="n">
        <x:f>MIN(F953,9)+1</x:f>
        <x:v>10</x:v>
      </x:c>
      <x:c r="H953" s="8" t="n">
        <x:f>IF(F953&lt;=9,1,0)</x:f>
        <x:v>0</x:v>
      </x:c>
      <x:c r="I953" s="9" t="n">
        <x:f>MIN(10,F952+IF(AR952&gt;0,MIN(1,AS952/AR952),1))</x:f>
        <x:v>10</x:v>
      </x:c>
      <x:c r="J953" s="32" t="n">
        <x:f>INDEX(tun_FoodCap,G953)*Arch_FoodCap*EXP(tun_CapsByProject*SUMPRODUCT((Cap_Point&lt;=I953)*(Cap_Kind="Food")*Cap_Ln))</x:f>
        <x:v>18627.260449441455</x:v>
      </x:c>
      <x:c r="K953" s="32" t="n">
        <x:f>J953*MIN(1,tun_LeanBase*EXP(tun_CapsByProject*SUMPRODUCT((Cap_Point&lt;=I953)*(Cap_Kind="Lean")*Cap_Ln)))</x:f>
        <x:v>18627.260449441455</x:v>
      </x:c>
      <x:c r="L953" s="10" t="n">
        <x:f>INDEX(tun_HousingCap,G953)*EXP(tun_CapsByProject*SUMPRODUCT((Cap_Point&lt;=I953)*(Cap_Kind="Housing")*Cap_Ln))</x:f>
        <x:v>20528.974303173167</x:v>
      </x:c>
      <x:c r="M953" s="10" t="n">
        <x:f>INDEX(tun_GroupCap,G953)*tun_CohesionFactor*EXP(tun_CapsByProject*SUMPRODUCT((Cap_Point&lt;=I953)*(Cap_Kind="Group")*Cap_Ln))</x:f>
        <x:v>1000000.000000001</x:v>
      </x:c>
      <x:c r="N953" s="32" t="n">
        <x:f>MIN(J953,L953,M953)</x:f>
        <x:v>18627.260449441455</x:v>
      </x:c>
      <x:c r="O953" s="10" t="n">
        <x:f>AE952*N953</x:f>
        <x:v>167645.34404497308</x:v>
      </x:c>
      <x:c r="P953" s="9" t="n">
        <x:f>MIN(1,(AB952/(AE952*IF(tun_GroupInCrowding=1,N953,MIN(J953,L953))))^tun_CrowdingExp)</x:f>
        <x:v>0.4215841981292809</x:v>
      </x:c>
      <x:c r="Q953" s="9" t="n">
        <x:f>IF(D953=1,INDEX(tun_WinterMult,G953),1)</x:f>
        <x:v>1</x:v>
      </x:c>
      <x:c r="R953" s="9" t="n">
        <x:f>H953*Z952*tun_WomenShare*tun_BaseFertility*INDEX(tun_FertMult,G953)*Arch_Fertility*(1-P953)</x:f>
        <x:v>0</x:v>
      </x:c>
      <x:c r="S953" s="9" t="n">
        <x:f>H953*Y952*INDEX(tun_MortChild,G953)/4*Q953</x:f>
        <x:v>0</x:v>
      </x:c>
      <x:c r="T953" s="9" t="n">
        <x:f>H953*Z952*INDEX(tun_MortAdult,G953)*Arch_AdultMort/4*Q953</x:f>
        <x:v>0</x:v>
      </x:c>
      <x:c r="U953" s="9" t="n">
        <x:f>H953*AA952*INDEX(tun_MortElder,G953)/4*Q953</x:f>
        <x:v>0</x:v>
      </x:c>
      <x:c r="V953" s="9" t="n">
        <x:f>H953*MAX(0,AB952-O953)*tun_OvercapLoss</x:f>
        <x:v>0</x:v>
      </x:c>
      <x:c r="W953" s="9" t="n">
        <x:f>H953*Y952/(tun_ChildYears*4)</x:f>
        <x:v>0</x:v>
      </x:c>
      <x:c r="X953" s="9" t="n">
        <x:f>H953*Z952/(tun_AdultYears*4)</x:f>
        <x:v>0</x:v>
      </x:c>
      <x:c r="Y953" s="32" t="n">
        <x:f>Y952+R953-S953-W953-Y952*V953/AB952</x:f>
        <x:v>40496.20709015643</x:v>
      </x:c>
      <x:c r="Z953" s="32" t="n">
        <x:f>Z952+W953-X953-T953-Z952*V953/AB952</x:f>
        <x:v>59141.61122890803</x:v>
      </x:c>
      <x:c r="AA953" s="32" t="n">
        <x:f>AA952+X953-U953-AA952*V953/AB952</x:f>
        <x:v>45530.62410925061</x:v>
      </x:c>
      <x:c r="AB953" s="10" t="n">
        <x:f>Y953+Z953+AA953</x:f>
        <x:v>145168.44242831506</x:v>
      </x:c>
      <x:c r="AC953" s="8" t="n">
        <x:f>IF(AND(tun_WinterTrigger=1,D953=1,AB952/AE952&gt;=K953),1,0)</x:f>
        <x:v>0</x:v>
      </x:c>
      <x:c r="AD953" s="8" t="n">
        <x:f>H953*IF(AND(OR(AB952/AE952&gt;=tun_FissionTrigger*N953,AC953=1),AB952/AE952*tun_DaughterShare&gt;=tun_MinDaughter),MAX(1,ROUND(AE952*tun_FissionRate,0)),0)</x:f>
        <x:v>0</x:v>
      </x:c>
      <x:c r="AE953" s="8" t="n">
        <x:f>IF(H953=1,MAX(1,MIN(INDEX(tun_Smax,G953),AE952+AD953)),AE952)</x:f>
        <x:v>9</x:v>
      </x:c>
      <x:c r="AF953" s="8" t="n">
        <x:f>MAX(0,AE953-AE952)</x:f>
        <x:v>0</x:v>
      </x:c>
      <x:c r="AG953" s="9" t="str">
        <x:f>IF(AF953&gt;0,B953,"")</x:f>
      </x:c>
      <x:c r="AH953" s="9" t="n">
        <x:f>IF(F953&gt;=1,1,(1+tun_LowTiesShare*(AE953-1))/AE953)</x:f>
        <x:v>1</x:v>
      </x:c>
      <x:c r="AI953" s="32" t="n">
        <x:f>(Z953+tun_ElderCommons*INDEX(LM_Elder,G953)*AA953)*AH953</x:f>
        <x:v>238215.0665857503</x:v>
      </x:c>
      <x:c r="AJ953" s="32" t="n">
        <x:f>H953*tun_CommonsCoef*AI953^tun_CommonsExp*INDEX(LM_Commons,G953)</x:f>
        <x:v>0</x:v>
      </x:c>
      <x:c r="AK953" s="32" t="n">
        <x:f>H953*tun_RoleScale*Arch_Roles*(AE953*(INDEX(tun_ElderRolePerSett,G953)*tun_OutElder*INDEX(LM_Elder,G953)+INDEX(tun_ShamanPerSett,G953)*tun_OutShaman)+Z953*(INDEX(tun_PriestShare,G953)*tun_OutPriest+INDEX(tun_ScribeShare,G953)*tun_OutScribe*INDEX(LM_Scribe,G953)+INDEX(tun_ScholarShare,G953)*tun_OutScholar*INDEX(LM_Scholar,G953)+INDEX(tun_ResearcherShare,G953)*tun_OutResearcher*INDEX(LM_Researcher,G953)))</x:f>
        <x:v>0</x:v>
      </x:c>
      <x:c r="AL953" s="32" t="n">
        <x:f>H953*tun_RoleScale*Arch_Roles*AE953*INDEX(tun_MonasteryPerSett,G953)*tun_OutMonastery*INDEX(LM_Monastery,G953)</x:f>
        <x:v>0</x:v>
      </x:c>
      <x:c r="AM953" s="32" t="n">
        <x:f>(AJ953+AK953+AL953)/4*INDEX(LM_All,G953)*INDEX(tun_Boon,G953)*Arch_Insight</x:f>
        <x:v>0</x:v>
      </x:c>
      <x:c r="AN953" s="32" t="n">
        <x:f>H953*(tun_KHPerAdult*Z953+tun_KHOfCommons*AJ953/4*INDEX(LM_All,G953))*tun_KHUsable*Arch_KH</x:f>
        <x:v>0</x:v>
      </x:c>
      <x:c r="AO953" s="32" t="n">
        <x:f>MIN(AP952+AN953,AM953*tun_KHMaxRatio)</x:f>
        <x:v>0</x:v>
      </x:c>
      <x:c r="AP953" s="32" t="n">
        <x:f>AP952+AN953-AO953</x:f>
        <x:v>0</x:v>
      </x:c>
      <x:c r="AQ953" s="32" t="n">
        <x:f>AM953+AO953</x:f>
        <x:v>0</x:v>
      </x:c>
      <x:c r="AR953" s="10" t="n">
        <x:f>IF(H953=1,INDEX(tun_Req,G953),0)</x:f>
        <x:v>0</x:v>
      </x:c>
      <x:c r="AS953" s="32" t="n">
        <x:f>IF(H953=1,IF(E953=1,AS952-AR952,AS952)+AQ953,0)</x:f>
        <x:v>0</x:v>
      </x:c>
      <x:c r="AT953" s="11" t="n">
        <x:f>IF(AR953&gt;0,MIN(1,AS953/AR953),1)</x:f>
        <x:v>1</x:v>
      </x:c>
      <x:c r="AU953" s="10" t="n">
        <x:f>AB953/INDEX(tun_RepScale,G953)</x:f>
        <x:v>290.3368848566301</x:v>
      </x:c>
      <x:c r="AV953" s="32" t="n">
        <x:f>AM953*60/tun_SeasonSeconds</x:f>
        <x:v>0</x:v>
      </x:c>
    </x:row>
    <x:row r="954">
      <x:c r="A954" s="8" t="n">
        <x:f>A953+1</x:f>
        <x:v>951</x:v>
      </x:c>
      <x:c r="B954" s="9" t="n">
        <x:f>A954*tun_SeasonSeconds/60</x:f>
        <x:v>237.75</x:v>
      </x:c>
      <x:c r="C954" s="9" t="n">
        <x:f>A954/4</x:f>
        <x:v>237.75</x:v>
      </x:c>
      <x:c r="D954" s="8" t="n">
        <x:f>IF(MOD(A954,4)=0,1,0)</x:f>
        <x:v>0</x:v>
      </x:c>
      <x:c r="E954" s="8" t="n">
        <x:f>IF(AND(F953&lt;=9,AS953&gt;=AR953),1,0)</x:f>
        <x:v>0</x:v>
      </x:c>
      <x:c r="F954" s="8" t="n">
        <x:f>MIN(10,F953+E954)</x:f>
        <x:v>10</x:v>
      </x:c>
      <x:c r="G954" s="8" t="n">
        <x:f>MIN(F954,9)+1</x:f>
        <x:v>10</x:v>
      </x:c>
      <x:c r="H954" s="8" t="n">
        <x:f>IF(F954&lt;=9,1,0)</x:f>
        <x:v>0</x:v>
      </x:c>
      <x:c r="I954" s="9" t="n">
        <x:f>MIN(10,F953+IF(AR953&gt;0,MIN(1,AS953/AR953),1))</x:f>
        <x:v>10</x:v>
      </x:c>
      <x:c r="J954" s="32" t="n">
        <x:f>INDEX(tun_FoodCap,G954)*Arch_FoodCap*EXP(tun_CapsByProject*SUMPRODUCT((Cap_Point&lt;=I954)*(Cap_Kind="Food")*Cap_Ln))</x:f>
        <x:v>18627.260449441455</x:v>
      </x:c>
      <x:c r="K954" s="32" t="n">
        <x:f>J954*MIN(1,tun_LeanBase*EXP(tun_CapsByProject*SUMPRODUCT((Cap_Point&lt;=I954)*(Cap_Kind="Lean")*Cap_Ln)))</x:f>
        <x:v>18627.260449441455</x:v>
      </x:c>
      <x:c r="L954" s="10" t="n">
        <x:f>INDEX(tun_HousingCap,G954)*EXP(tun_CapsByProject*SUMPRODUCT((Cap_Point&lt;=I954)*(Cap_Kind="Housing")*Cap_Ln))</x:f>
        <x:v>20528.974303173167</x:v>
      </x:c>
      <x:c r="M954" s="10" t="n">
        <x:f>INDEX(tun_GroupCap,G954)*tun_CohesionFactor*EXP(tun_CapsByProject*SUMPRODUCT((Cap_Point&lt;=I954)*(Cap_Kind="Group")*Cap_Ln))</x:f>
        <x:v>1000000.000000001</x:v>
      </x:c>
      <x:c r="N954" s="32" t="n">
        <x:f>MIN(J954,L954,M954)</x:f>
        <x:v>18627.260449441455</x:v>
      </x:c>
      <x:c r="O954" s="10" t="n">
        <x:f>AE953*N954</x:f>
        <x:v>167645.34404497308</x:v>
      </x:c>
      <x:c r="P954" s="9" t="n">
        <x:f>MIN(1,(AB953/(AE953*IF(tun_GroupInCrowding=1,N954,MIN(J954,L954))))^tun_CrowdingExp)</x:f>
        <x:v>0.4215841981292809</x:v>
      </x:c>
      <x:c r="Q954" s="9" t="n">
        <x:f>IF(D954=1,INDEX(tun_WinterMult,G954),1)</x:f>
        <x:v>1</x:v>
      </x:c>
      <x:c r="R954" s="9" t="n">
        <x:f>H954*Z953*tun_WomenShare*tun_BaseFertility*INDEX(tun_FertMult,G954)*Arch_Fertility*(1-P954)</x:f>
        <x:v>0</x:v>
      </x:c>
      <x:c r="S954" s="9" t="n">
        <x:f>H954*Y953*INDEX(tun_MortChild,G954)/4*Q954</x:f>
        <x:v>0</x:v>
      </x:c>
      <x:c r="T954" s="9" t="n">
        <x:f>H954*Z953*INDEX(tun_MortAdult,G954)*Arch_AdultMort/4*Q954</x:f>
        <x:v>0</x:v>
      </x:c>
      <x:c r="U954" s="9" t="n">
        <x:f>H954*AA953*INDEX(tun_MortElder,G954)/4*Q954</x:f>
        <x:v>0</x:v>
      </x:c>
      <x:c r="V954" s="9" t="n">
        <x:f>H954*MAX(0,AB953-O954)*tun_OvercapLoss</x:f>
        <x:v>0</x:v>
      </x:c>
      <x:c r="W954" s="9" t="n">
        <x:f>H954*Y953/(tun_ChildYears*4)</x:f>
        <x:v>0</x:v>
      </x:c>
      <x:c r="X954" s="9" t="n">
        <x:f>H954*Z953/(tun_AdultYears*4)</x:f>
        <x:v>0</x:v>
      </x:c>
      <x:c r="Y954" s="32" t="n">
        <x:f>Y953+R954-S954-W954-Y953*V954/AB953</x:f>
        <x:v>40496.20709015643</x:v>
      </x:c>
      <x:c r="Z954" s="32" t="n">
        <x:f>Z953+W954-X954-T954-Z953*V954/AB953</x:f>
        <x:v>59141.61122890803</x:v>
      </x:c>
      <x:c r="AA954" s="32" t="n">
        <x:f>AA953+X954-U954-AA953*V954/AB953</x:f>
        <x:v>45530.62410925061</x:v>
      </x:c>
      <x:c r="AB954" s="10" t="n">
        <x:f>Y954+Z954+AA954</x:f>
        <x:v>145168.44242831506</x:v>
      </x:c>
      <x:c r="AC954" s="8" t="n">
        <x:f>IF(AND(tun_WinterTrigger=1,D954=1,AB953/AE953&gt;=K954),1,0)</x:f>
        <x:v>0</x:v>
      </x:c>
      <x:c r="AD954" s="8" t="n">
        <x:f>H954*IF(AND(OR(AB953/AE953&gt;=tun_FissionTrigger*N954,AC954=1),AB953/AE953*tun_DaughterShare&gt;=tun_MinDaughter),MAX(1,ROUND(AE953*tun_FissionRate,0)),0)</x:f>
        <x:v>0</x:v>
      </x:c>
      <x:c r="AE954" s="8" t="n">
        <x:f>IF(H954=1,MAX(1,MIN(INDEX(tun_Smax,G954),AE953+AD954)),AE953)</x:f>
        <x:v>9</x:v>
      </x:c>
      <x:c r="AF954" s="8" t="n">
        <x:f>MAX(0,AE954-AE953)</x:f>
        <x:v>0</x:v>
      </x:c>
      <x:c r="AG954" s="9" t="str">
        <x:f>IF(AF954&gt;0,B954,"")</x:f>
      </x:c>
      <x:c r="AH954" s="9" t="n">
        <x:f>IF(F954&gt;=1,1,(1+tun_LowTiesShare*(AE954-1))/AE954)</x:f>
        <x:v>1</x:v>
      </x:c>
      <x:c r="AI954" s="32" t="n">
        <x:f>(Z954+tun_ElderCommons*INDEX(LM_Elder,G954)*AA954)*AH954</x:f>
        <x:v>238215.0665857503</x:v>
      </x:c>
      <x:c r="AJ954" s="32" t="n">
        <x:f>H954*tun_CommonsCoef*AI954^tun_CommonsExp*INDEX(LM_Commons,G954)</x:f>
        <x:v>0</x:v>
      </x:c>
      <x:c r="AK954" s="32" t="n">
        <x:f>H954*tun_RoleScale*Arch_Roles*(AE954*(INDEX(tun_ElderRolePerSett,G954)*tun_OutElder*INDEX(LM_Elder,G954)+INDEX(tun_ShamanPerSett,G954)*tun_OutShaman)+Z954*(INDEX(tun_PriestShare,G954)*tun_OutPriest+INDEX(tun_ScribeShare,G954)*tun_OutScribe*INDEX(LM_Scribe,G954)+INDEX(tun_ScholarShare,G954)*tun_OutScholar*INDEX(LM_Scholar,G954)+INDEX(tun_ResearcherShare,G954)*tun_OutResearcher*INDEX(LM_Researcher,G954)))</x:f>
        <x:v>0</x:v>
      </x:c>
      <x:c r="AL954" s="32" t="n">
        <x:f>H954*tun_RoleScale*Arch_Roles*AE954*INDEX(tun_MonasteryPerSett,G954)*tun_OutMonastery*INDEX(LM_Monastery,G954)</x:f>
        <x:v>0</x:v>
      </x:c>
      <x:c r="AM954" s="32" t="n">
        <x:f>(AJ954+AK954+AL954)/4*INDEX(LM_All,G954)*INDEX(tun_Boon,G954)*Arch_Insight</x:f>
        <x:v>0</x:v>
      </x:c>
      <x:c r="AN954" s="32" t="n">
        <x:f>H954*(tun_KHPerAdult*Z954+tun_KHOfCommons*AJ954/4*INDEX(LM_All,G954))*tun_KHUsable*Arch_KH</x:f>
        <x:v>0</x:v>
      </x:c>
      <x:c r="AO954" s="32" t="n">
        <x:f>MIN(AP953+AN954,AM954*tun_KHMaxRatio)</x:f>
        <x:v>0</x:v>
      </x:c>
      <x:c r="AP954" s="32" t="n">
        <x:f>AP953+AN954-AO954</x:f>
        <x:v>0</x:v>
      </x:c>
      <x:c r="AQ954" s="32" t="n">
        <x:f>AM954+AO954</x:f>
        <x:v>0</x:v>
      </x:c>
      <x:c r="AR954" s="10" t="n">
        <x:f>IF(H954=1,INDEX(tun_Req,G954),0)</x:f>
        <x:v>0</x:v>
      </x:c>
      <x:c r="AS954" s="32" t="n">
        <x:f>IF(H954=1,IF(E954=1,AS953-AR953,AS953)+AQ954,0)</x:f>
        <x:v>0</x:v>
      </x:c>
      <x:c r="AT954" s="11" t="n">
        <x:f>IF(AR954&gt;0,MIN(1,AS954/AR954),1)</x:f>
        <x:v>1</x:v>
      </x:c>
      <x:c r="AU954" s="10" t="n">
        <x:f>AB954/INDEX(tun_RepScale,G954)</x:f>
        <x:v>290.3368848566301</x:v>
      </x:c>
      <x:c r="AV954" s="32" t="n">
        <x:f>AM954*60/tun_SeasonSeconds</x:f>
        <x:v>0</x:v>
      </x:c>
    </x:row>
    <x:row r="955">
      <x:c r="A955" s="8" t="n">
        <x:f>A954+1</x:f>
        <x:v>952</x:v>
      </x:c>
      <x:c r="B955" s="9" t="n">
        <x:f>A955*tun_SeasonSeconds/60</x:f>
        <x:v>238</x:v>
      </x:c>
      <x:c r="C955" s="9" t="n">
        <x:f>A955/4</x:f>
        <x:v>238</x:v>
      </x:c>
      <x:c r="D955" s="8" t="n">
        <x:f>IF(MOD(A955,4)=0,1,0)</x:f>
        <x:v>1</x:v>
      </x:c>
      <x:c r="E955" s="8" t="n">
        <x:f>IF(AND(F954&lt;=9,AS954&gt;=AR954),1,0)</x:f>
        <x:v>0</x:v>
      </x:c>
      <x:c r="F955" s="8" t="n">
        <x:f>MIN(10,F954+E955)</x:f>
        <x:v>10</x:v>
      </x:c>
      <x:c r="G955" s="8" t="n">
        <x:f>MIN(F955,9)+1</x:f>
        <x:v>10</x:v>
      </x:c>
      <x:c r="H955" s="8" t="n">
        <x:f>IF(F955&lt;=9,1,0)</x:f>
        <x:v>0</x:v>
      </x:c>
      <x:c r="I955" s="9" t="n">
        <x:f>MIN(10,F954+IF(AR954&gt;0,MIN(1,AS954/AR954),1))</x:f>
        <x:v>10</x:v>
      </x:c>
      <x:c r="J955" s="32" t="n">
        <x:f>INDEX(tun_FoodCap,G955)*Arch_FoodCap*EXP(tun_CapsByProject*SUMPRODUCT((Cap_Point&lt;=I955)*(Cap_Kind="Food")*Cap_Ln))</x:f>
        <x:v>18627.260449441455</x:v>
      </x:c>
      <x:c r="K955" s="32" t="n">
        <x:f>J955*MIN(1,tun_LeanBase*EXP(tun_CapsByProject*SUMPRODUCT((Cap_Point&lt;=I955)*(Cap_Kind="Lean")*Cap_Ln)))</x:f>
        <x:v>18627.260449441455</x:v>
      </x:c>
      <x:c r="L955" s="10" t="n">
        <x:f>INDEX(tun_HousingCap,G955)*EXP(tun_CapsByProject*SUMPRODUCT((Cap_Point&lt;=I955)*(Cap_Kind="Housing")*Cap_Ln))</x:f>
        <x:v>20528.974303173167</x:v>
      </x:c>
      <x:c r="M955" s="10" t="n">
        <x:f>INDEX(tun_GroupCap,G955)*tun_CohesionFactor*EXP(tun_CapsByProject*SUMPRODUCT((Cap_Point&lt;=I955)*(Cap_Kind="Group")*Cap_Ln))</x:f>
        <x:v>1000000.000000001</x:v>
      </x:c>
      <x:c r="N955" s="32" t="n">
        <x:f>MIN(J955,L955,M955)</x:f>
        <x:v>18627.260449441455</x:v>
      </x:c>
      <x:c r="O955" s="10" t="n">
        <x:f>AE954*N955</x:f>
        <x:v>167645.34404497308</x:v>
      </x:c>
      <x:c r="P955" s="9" t="n">
        <x:f>MIN(1,(AB954/(AE954*IF(tun_GroupInCrowding=1,N955,MIN(J955,L955))))^tun_CrowdingExp)</x:f>
        <x:v>0.4215841981292809</x:v>
      </x:c>
      <x:c r="Q955" s="9" t="n">
        <x:f>IF(D955=1,INDEX(tun_WinterMult,G955),1)</x:f>
        <x:v>1.05</x:v>
      </x:c>
      <x:c r="R955" s="9" t="n">
        <x:f>H955*Z954*tun_WomenShare*tun_BaseFertility*INDEX(tun_FertMult,G955)*Arch_Fertility*(1-P955)</x:f>
        <x:v>0</x:v>
      </x:c>
      <x:c r="S955" s="9" t="n">
        <x:f>H955*Y954*INDEX(tun_MortChild,G955)/4*Q955</x:f>
        <x:v>0</x:v>
      </x:c>
      <x:c r="T955" s="9" t="n">
        <x:f>H955*Z954*INDEX(tun_MortAdult,G955)*Arch_AdultMort/4*Q955</x:f>
        <x:v>0</x:v>
      </x:c>
      <x:c r="U955" s="9" t="n">
        <x:f>H955*AA954*INDEX(tun_MortElder,G955)/4*Q955</x:f>
        <x:v>0</x:v>
      </x:c>
      <x:c r="V955" s="9" t="n">
        <x:f>H955*MAX(0,AB954-O955)*tun_OvercapLoss</x:f>
        <x:v>0</x:v>
      </x:c>
      <x:c r="W955" s="9" t="n">
        <x:f>H955*Y954/(tun_ChildYears*4)</x:f>
        <x:v>0</x:v>
      </x:c>
      <x:c r="X955" s="9" t="n">
        <x:f>H955*Z954/(tun_AdultYears*4)</x:f>
        <x:v>0</x:v>
      </x:c>
      <x:c r="Y955" s="32" t="n">
        <x:f>Y954+R955-S955-W955-Y954*V955/AB954</x:f>
        <x:v>40496.20709015643</x:v>
      </x:c>
      <x:c r="Z955" s="32" t="n">
        <x:f>Z954+W955-X955-T955-Z954*V955/AB954</x:f>
        <x:v>59141.61122890803</x:v>
      </x:c>
      <x:c r="AA955" s="32" t="n">
        <x:f>AA954+X955-U955-AA954*V955/AB954</x:f>
        <x:v>45530.62410925061</x:v>
      </x:c>
      <x:c r="AB955" s="10" t="n">
        <x:f>Y955+Z955+AA955</x:f>
        <x:v>145168.44242831506</x:v>
      </x:c>
      <x:c r="AC955" s="8" t="n">
        <x:f>IF(AND(tun_WinterTrigger=1,D955=1,AB954/AE954&gt;=K955),1,0)</x:f>
        <x:v>0</x:v>
      </x:c>
      <x:c r="AD955" s="8" t="n">
        <x:f>H955*IF(AND(OR(AB954/AE954&gt;=tun_FissionTrigger*N955,AC955=1),AB954/AE954*tun_DaughterShare&gt;=tun_MinDaughter),MAX(1,ROUND(AE954*tun_FissionRate,0)),0)</x:f>
        <x:v>0</x:v>
      </x:c>
      <x:c r="AE955" s="8" t="n">
        <x:f>IF(H955=1,MAX(1,MIN(INDEX(tun_Smax,G955),AE954+AD955)),AE954)</x:f>
        <x:v>9</x:v>
      </x:c>
      <x:c r="AF955" s="8" t="n">
        <x:f>MAX(0,AE955-AE954)</x:f>
        <x:v>0</x:v>
      </x:c>
      <x:c r="AG955" s="9" t="str">
        <x:f>IF(AF955&gt;0,B955,"")</x:f>
      </x:c>
      <x:c r="AH955" s="9" t="n">
        <x:f>IF(F955&gt;=1,1,(1+tun_LowTiesShare*(AE955-1))/AE955)</x:f>
        <x:v>1</x:v>
      </x:c>
      <x:c r="AI955" s="32" t="n">
        <x:f>(Z955+tun_ElderCommons*INDEX(LM_Elder,G955)*AA955)*AH955</x:f>
        <x:v>238215.0665857503</x:v>
      </x:c>
      <x:c r="AJ955" s="32" t="n">
        <x:f>H955*tun_CommonsCoef*AI955^tun_CommonsExp*INDEX(LM_Commons,G955)</x:f>
        <x:v>0</x:v>
      </x:c>
      <x:c r="AK955" s="32" t="n">
        <x:f>H955*tun_RoleScale*Arch_Roles*(AE955*(INDEX(tun_ElderRolePerSett,G955)*tun_OutElder*INDEX(LM_Elder,G955)+INDEX(tun_ShamanPerSett,G955)*tun_OutShaman)+Z955*(INDEX(tun_PriestShare,G955)*tun_OutPriest+INDEX(tun_ScribeShare,G955)*tun_OutScribe*INDEX(LM_Scribe,G955)+INDEX(tun_ScholarShare,G955)*tun_OutScholar*INDEX(LM_Scholar,G955)+INDEX(tun_ResearcherShare,G955)*tun_OutResearcher*INDEX(LM_Researcher,G955)))</x:f>
        <x:v>0</x:v>
      </x:c>
      <x:c r="AL955" s="32" t="n">
        <x:f>H955*tun_RoleScale*Arch_Roles*AE955*INDEX(tun_MonasteryPerSett,G955)*tun_OutMonastery*INDEX(LM_Monastery,G955)</x:f>
        <x:v>0</x:v>
      </x:c>
      <x:c r="AM955" s="32" t="n">
        <x:f>(AJ955+AK955+AL955)/4*INDEX(LM_All,G955)*INDEX(tun_Boon,G955)*Arch_Insight</x:f>
        <x:v>0</x:v>
      </x:c>
      <x:c r="AN955" s="32" t="n">
        <x:f>H955*(tun_KHPerAdult*Z955+tun_KHOfCommons*AJ955/4*INDEX(LM_All,G955))*tun_KHUsable*Arch_KH</x:f>
        <x:v>0</x:v>
      </x:c>
      <x:c r="AO955" s="32" t="n">
        <x:f>MIN(AP954+AN955,AM955*tun_KHMaxRatio)</x:f>
        <x:v>0</x:v>
      </x:c>
      <x:c r="AP955" s="32" t="n">
        <x:f>AP954+AN955-AO955</x:f>
        <x:v>0</x:v>
      </x:c>
      <x:c r="AQ955" s="32" t="n">
        <x:f>AM955+AO955</x:f>
        <x:v>0</x:v>
      </x:c>
      <x:c r="AR955" s="10" t="n">
        <x:f>IF(H955=1,INDEX(tun_Req,G955),0)</x:f>
        <x:v>0</x:v>
      </x:c>
      <x:c r="AS955" s="32" t="n">
        <x:f>IF(H955=1,IF(E955=1,AS954-AR954,AS954)+AQ955,0)</x:f>
        <x:v>0</x:v>
      </x:c>
      <x:c r="AT955" s="11" t="n">
        <x:f>IF(AR955&gt;0,MIN(1,AS955/AR955),1)</x:f>
        <x:v>1</x:v>
      </x:c>
      <x:c r="AU955" s="10" t="n">
        <x:f>AB955/INDEX(tun_RepScale,G955)</x:f>
        <x:v>290.3368848566301</x:v>
      </x:c>
      <x:c r="AV955" s="32" t="n">
        <x:f>AM955*60/tun_SeasonSeconds</x:f>
        <x:v>0</x:v>
      </x:c>
    </x:row>
    <x:row r="956">
      <x:c r="A956" s="8" t="n">
        <x:f>A955+1</x:f>
        <x:v>953</x:v>
      </x:c>
      <x:c r="B956" s="9" t="n">
        <x:f>A956*tun_SeasonSeconds/60</x:f>
        <x:v>238.25</x:v>
      </x:c>
      <x:c r="C956" s="9" t="n">
        <x:f>A956/4</x:f>
        <x:v>238.25</x:v>
      </x:c>
      <x:c r="D956" s="8" t="n">
        <x:f>IF(MOD(A956,4)=0,1,0)</x:f>
        <x:v>0</x:v>
      </x:c>
      <x:c r="E956" s="8" t="n">
        <x:f>IF(AND(F955&lt;=9,AS955&gt;=AR955),1,0)</x:f>
        <x:v>0</x:v>
      </x:c>
      <x:c r="F956" s="8" t="n">
        <x:f>MIN(10,F955+E956)</x:f>
        <x:v>10</x:v>
      </x:c>
      <x:c r="G956" s="8" t="n">
        <x:f>MIN(F956,9)+1</x:f>
        <x:v>10</x:v>
      </x:c>
      <x:c r="H956" s="8" t="n">
        <x:f>IF(F956&lt;=9,1,0)</x:f>
        <x:v>0</x:v>
      </x:c>
      <x:c r="I956" s="9" t="n">
        <x:f>MIN(10,F955+IF(AR955&gt;0,MIN(1,AS955/AR955),1))</x:f>
        <x:v>10</x:v>
      </x:c>
      <x:c r="J956" s="32" t="n">
        <x:f>INDEX(tun_FoodCap,G956)*Arch_FoodCap*EXP(tun_CapsByProject*SUMPRODUCT((Cap_Point&lt;=I956)*(Cap_Kind="Food")*Cap_Ln))</x:f>
        <x:v>18627.260449441455</x:v>
      </x:c>
      <x:c r="K956" s="32" t="n">
        <x:f>J956*MIN(1,tun_LeanBase*EXP(tun_CapsByProject*SUMPRODUCT((Cap_Point&lt;=I956)*(Cap_Kind="Lean")*Cap_Ln)))</x:f>
        <x:v>18627.260449441455</x:v>
      </x:c>
      <x:c r="L956" s="10" t="n">
        <x:f>INDEX(tun_HousingCap,G956)*EXP(tun_CapsByProject*SUMPRODUCT((Cap_Point&lt;=I956)*(Cap_Kind="Housing")*Cap_Ln))</x:f>
        <x:v>20528.974303173167</x:v>
      </x:c>
      <x:c r="M956" s="10" t="n">
        <x:f>INDEX(tun_GroupCap,G956)*tun_CohesionFactor*EXP(tun_CapsByProject*SUMPRODUCT((Cap_Point&lt;=I956)*(Cap_Kind="Group")*Cap_Ln))</x:f>
        <x:v>1000000.000000001</x:v>
      </x:c>
      <x:c r="N956" s="32" t="n">
        <x:f>MIN(J956,L956,M956)</x:f>
        <x:v>18627.260449441455</x:v>
      </x:c>
      <x:c r="O956" s="10" t="n">
        <x:f>AE955*N956</x:f>
        <x:v>167645.34404497308</x:v>
      </x:c>
      <x:c r="P956" s="9" t="n">
        <x:f>MIN(1,(AB955/(AE955*IF(tun_GroupInCrowding=1,N956,MIN(J956,L956))))^tun_CrowdingExp)</x:f>
        <x:v>0.4215841981292809</x:v>
      </x:c>
      <x:c r="Q956" s="9" t="n">
        <x:f>IF(D956=1,INDEX(tun_WinterMult,G956),1)</x:f>
        <x:v>1</x:v>
      </x:c>
      <x:c r="R956" s="9" t="n">
        <x:f>H956*Z955*tun_WomenShare*tun_BaseFertility*INDEX(tun_FertMult,G956)*Arch_Fertility*(1-P956)</x:f>
        <x:v>0</x:v>
      </x:c>
      <x:c r="S956" s="9" t="n">
        <x:f>H956*Y955*INDEX(tun_MortChild,G956)/4*Q956</x:f>
        <x:v>0</x:v>
      </x:c>
      <x:c r="T956" s="9" t="n">
        <x:f>H956*Z955*INDEX(tun_MortAdult,G956)*Arch_AdultMort/4*Q956</x:f>
        <x:v>0</x:v>
      </x:c>
      <x:c r="U956" s="9" t="n">
        <x:f>H956*AA955*INDEX(tun_MortElder,G956)/4*Q956</x:f>
        <x:v>0</x:v>
      </x:c>
      <x:c r="V956" s="9" t="n">
        <x:f>H956*MAX(0,AB955-O956)*tun_OvercapLoss</x:f>
        <x:v>0</x:v>
      </x:c>
      <x:c r="W956" s="9" t="n">
        <x:f>H956*Y955/(tun_ChildYears*4)</x:f>
        <x:v>0</x:v>
      </x:c>
      <x:c r="X956" s="9" t="n">
        <x:f>H956*Z955/(tun_AdultYears*4)</x:f>
        <x:v>0</x:v>
      </x:c>
      <x:c r="Y956" s="32" t="n">
        <x:f>Y955+R956-S956-W956-Y955*V956/AB955</x:f>
        <x:v>40496.20709015643</x:v>
      </x:c>
      <x:c r="Z956" s="32" t="n">
        <x:f>Z955+W956-X956-T956-Z955*V956/AB955</x:f>
        <x:v>59141.61122890803</x:v>
      </x:c>
      <x:c r="AA956" s="32" t="n">
        <x:f>AA955+X956-U956-AA955*V956/AB955</x:f>
        <x:v>45530.62410925061</x:v>
      </x:c>
      <x:c r="AB956" s="10" t="n">
        <x:f>Y956+Z956+AA956</x:f>
        <x:v>145168.44242831506</x:v>
      </x:c>
      <x:c r="AC956" s="8" t="n">
        <x:f>IF(AND(tun_WinterTrigger=1,D956=1,AB955/AE955&gt;=K956),1,0)</x:f>
        <x:v>0</x:v>
      </x:c>
      <x:c r="AD956" s="8" t="n">
        <x:f>H956*IF(AND(OR(AB955/AE955&gt;=tun_FissionTrigger*N956,AC956=1),AB955/AE955*tun_DaughterShare&gt;=tun_MinDaughter),MAX(1,ROUND(AE955*tun_FissionRate,0)),0)</x:f>
        <x:v>0</x:v>
      </x:c>
      <x:c r="AE956" s="8" t="n">
        <x:f>IF(H956=1,MAX(1,MIN(INDEX(tun_Smax,G956),AE955+AD956)),AE955)</x:f>
        <x:v>9</x:v>
      </x:c>
      <x:c r="AF956" s="8" t="n">
        <x:f>MAX(0,AE956-AE955)</x:f>
        <x:v>0</x:v>
      </x:c>
      <x:c r="AG956" s="9" t="str">
        <x:f>IF(AF956&gt;0,B956,"")</x:f>
      </x:c>
      <x:c r="AH956" s="9" t="n">
        <x:f>IF(F956&gt;=1,1,(1+tun_LowTiesShare*(AE956-1))/AE956)</x:f>
        <x:v>1</x:v>
      </x:c>
      <x:c r="AI956" s="32" t="n">
        <x:f>(Z956+tun_ElderCommons*INDEX(LM_Elder,G956)*AA956)*AH956</x:f>
        <x:v>238215.0665857503</x:v>
      </x:c>
      <x:c r="AJ956" s="32" t="n">
        <x:f>H956*tun_CommonsCoef*AI956^tun_CommonsExp*INDEX(LM_Commons,G956)</x:f>
        <x:v>0</x:v>
      </x:c>
      <x:c r="AK956" s="32" t="n">
        <x:f>H956*tun_RoleScale*Arch_Roles*(AE956*(INDEX(tun_ElderRolePerSett,G956)*tun_OutElder*INDEX(LM_Elder,G956)+INDEX(tun_ShamanPerSett,G956)*tun_OutShaman)+Z956*(INDEX(tun_PriestShare,G956)*tun_OutPriest+INDEX(tun_ScribeShare,G956)*tun_OutScribe*INDEX(LM_Scribe,G956)+INDEX(tun_ScholarShare,G956)*tun_OutScholar*INDEX(LM_Scholar,G956)+INDEX(tun_ResearcherShare,G956)*tun_OutResearcher*INDEX(LM_Researcher,G956)))</x:f>
        <x:v>0</x:v>
      </x:c>
      <x:c r="AL956" s="32" t="n">
        <x:f>H956*tun_RoleScale*Arch_Roles*AE956*INDEX(tun_MonasteryPerSett,G956)*tun_OutMonastery*INDEX(LM_Monastery,G956)</x:f>
        <x:v>0</x:v>
      </x:c>
      <x:c r="AM956" s="32" t="n">
        <x:f>(AJ956+AK956+AL956)/4*INDEX(LM_All,G956)*INDEX(tun_Boon,G956)*Arch_Insight</x:f>
        <x:v>0</x:v>
      </x:c>
      <x:c r="AN956" s="32" t="n">
        <x:f>H956*(tun_KHPerAdult*Z956+tun_KHOfCommons*AJ956/4*INDEX(LM_All,G956))*tun_KHUsable*Arch_KH</x:f>
        <x:v>0</x:v>
      </x:c>
      <x:c r="AO956" s="32" t="n">
        <x:f>MIN(AP955+AN956,AM956*tun_KHMaxRatio)</x:f>
        <x:v>0</x:v>
      </x:c>
      <x:c r="AP956" s="32" t="n">
        <x:f>AP955+AN956-AO956</x:f>
        <x:v>0</x:v>
      </x:c>
      <x:c r="AQ956" s="32" t="n">
        <x:f>AM956+AO956</x:f>
        <x:v>0</x:v>
      </x:c>
      <x:c r="AR956" s="10" t="n">
        <x:f>IF(H956=1,INDEX(tun_Req,G956),0)</x:f>
        <x:v>0</x:v>
      </x:c>
      <x:c r="AS956" s="32" t="n">
        <x:f>IF(H956=1,IF(E956=1,AS955-AR955,AS955)+AQ956,0)</x:f>
        <x:v>0</x:v>
      </x:c>
      <x:c r="AT956" s="11" t="n">
        <x:f>IF(AR956&gt;0,MIN(1,AS956/AR956),1)</x:f>
        <x:v>1</x:v>
      </x:c>
      <x:c r="AU956" s="10" t="n">
        <x:f>AB956/INDEX(tun_RepScale,G956)</x:f>
        <x:v>290.3368848566301</x:v>
      </x:c>
      <x:c r="AV956" s="32" t="n">
        <x:f>AM956*60/tun_SeasonSeconds</x:f>
        <x:v>0</x:v>
      </x:c>
    </x:row>
    <x:row r="957">
      <x:c r="A957" s="8" t="n">
        <x:f>A956+1</x:f>
        <x:v>954</x:v>
      </x:c>
      <x:c r="B957" s="9" t="n">
        <x:f>A957*tun_SeasonSeconds/60</x:f>
        <x:v>238.5</x:v>
      </x:c>
      <x:c r="C957" s="9" t="n">
        <x:f>A957/4</x:f>
        <x:v>238.5</x:v>
      </x:c>
      <x:c r="D957" s="8" t="n">
        <x:f>IF(MOD(A957,4)=0,1,0)</x:f>
        <x:v>0</x:v>
      </x:c>
      <x:c r="E957" s="8" t="n">
        <x:f>IF(AND(F956&lt;=9,AS956&gt;=AR956),1,0)</x:f>
        <x:v>0</x:v>
      </x:c>
      <x:c r="F957" s="8" t="n">
        <x:f>MIN(10,F956+E957)</x:f>
        <x:v>10</x:v>
      </x:c>
      <x:c r="G957" s="8" t="n">
        <x:f>MIN(F957,9)+1</x:f>
        <x:v>10</x:v>
      </x:c>
      <x:c r="H957" s="8" t="n">
        <x:f>IF(F957&lt;=9,1,0)</x:f>
        <x:v>0</x:v>
      </x:c>
      <x:c r="I957" s="9" t="n">
        <x:f>MIN(10,F956+IF(AR956&gt;0,MIN(1,AS956/AR956),1))</x:f>
        <x:v>10</x:v>
      </x:c>
      <x:c r="J957" s="32" t="n">
        <x:f>INDEX(tun_FoodCap,G957)*Arch_FoodCap*EXP(tun_CapsByProject*SUMPRODUCT((Cap_Point&lt;=I957)*(Cap_Kind="Food")*Cap_Ln))</x:f>
        <x:v>18627.260449441455</x:v>
      </x:c>
      <x:c r="K957" s="32" t="n">
        <x:f>J957*MIN(1,tun_LeanBase*EXP(tun_CapsByProject*SUMPRODUCT((Cap_Point&lt;=I957)*(Cap_Kind="Lean")*Cap_Ln)))</x:f>
        <x:v>18627.260449441455</x:v>
      </x:c>
      <x:c r="L957" s="10" t="n">
        <x:f>INDEX(tun_HousingCap,G957)*EXP(tun_CapsByProject*SUMPRODUCT((Cap_Point&lt;=I957)*(Cap_Kind="Housing")*Cap_Ln))</x:f>
        <x:v>20528.974303173167</x:v>
      </x:c>
      <x:c r="M957" s="10" t="n">
        <x:f>INDEX(tun_GroupCap,G957)*tun_CohesionFactor*EXP(tun_CapsByProject*SUMPRODUCT((Cap_Point&lt;=I957)*(Cap_Kind="Group")*Cap_Ln))</x:f>
        <x:v>1000000.000000001</x:v>
      </x:c>
      <x:c r="N957" s="32" t="n">
        <x:f>MIN(J957,L957,M957)</x:f>
        <x:v>18627.260449441455</x:v>
      </x:c>
      <x:c r="O957" s="10" t="n">
        <x:f>AE956*N957</x:f>
        <x:v>167645.34404497308</x:v>
      </x:c>
      <x:c r="P957" s="9" t="n">
        <x:f>MIN(1,(AB956/(AE956*IF(tun_GroupInCrowding=1,N957,MIN(J957,L957))))^tun_CrowdingExp)</x:f>
        <x:v>0.4215841981292809</x:v>
      </x:c>
      <x:c r="Q957" s="9" t="n">
        <x:f>IF(D957=1,INDEX(tun_WinterMult,G957),1)</x:f>
        <x:v>1</x:v>
      </x:c>
      <x:c r="R957" s="9" t="n">
        <x:f>H957*Z956*tun_WomenShare*tun_BaseFertility*INDEX(tun_FertMult,G957)*Arch_Fertility*(1-P957)</x:f>
        <x:v>0</x:v>
      </x:c>
      <x:c r="S957" s="9" t="n">
        <x:f>H957*Y956*INDEX(tun_MortChild,G957)/4*Q957</x:f>
        <x:v>0</x:v>
      </x:c>
      <x:c r="T957" s="9" t="n">
        <x:f>H957*Z956*INDEX(tun_MortAdult,G957)*Arch_AdultMort/4*Q957</x:f>
        <x:v>0</x:v>
      </x:c>
      <x:c r="U957" s="9" t="n">
        <x:f>H957*AA956*INDEX(tun_MortElder,G957)/4*Q957</x:f>
        <x:v>0</x:v>
      </x:c>
      <x:c r="V957" s="9" t="n">
        <x:f>H957*MAX(0,AB956-O957)*tun_OvercapLoss</x:f>
        <x:v>0</x:v>
      </x:c>
      <x:c r="W957" s="9" t="n">
        <x:f>H957*Y956/(tun_ChildYears*4)</x:f>
        <x:v>0</x:v>
      </x:c>
      <x:c r="X957" s="9" t="n">
        <x:f>H957*Z956/(tun_AdultYears*4)</x:f>
        <x:v>0</x:v>
      </x:c>
      <x:c r="Y957" s="32" t="n">
        <x:f>Y956+R957-S957-W957-Y956*V957/AB956</x:f>
        <x:v>40496.20709015643</x:v>
      </x:c>
      <x:c r="Z957" s="32" t="n">
        <x:f>Z956+W957-X957-T957-Z956*V957/AB956</x:f>
        <x:v>59141.61122890803</x:v>
      </x:c>
      <x:c r="AA957" s="32" t="n">
        <x:f>AA956+X957-U957-AA956*V957/AB956</x:f>
        <x:v>45530.62410925061</x:v>
      </x:c>
      <x:c r="AB957" s="10" t="n">
        <x:f>Y957+Z957+AA957</x:f>
        <x:v>145168.44242831506</x:v>
      </x:c>
      <x:c r="AC957" s="8" t="n">
        <x:f>IF(AND(tun_WinterTrigger=1,D957=1,AB956/AE956&gt;=K957),1,0)</x:f>
        <x:v>0</x:v>
      </x:c>
      <x:c r="AD957" s="8" t="n">
        <x:f>H957*IF(AND(OR(AB956/AE956&gt;=tun_FissionTrigger*N957,AC957=1),AB956/AE956*tun_DaughterShare&gt;=tun_MinDaughter),MAX(1,ROUND(AE956*tun_FissionRate,0)),0)</x:f>
        <x:v>0</x:v>
      </x:c>
      <x:c r="AE957" s="8" t="n">
        <x:f>IF(H957=1,MAX(1,MIN(INDEX(tun_Smax,G957),AE956+AD957)),AE956)</x:f>
        <x:v>9</x:v>
      </x:c>
      <x:c r="AF957" s="8" t="n">
        <x:f>MAX(0,AE957-AE956)</x:f>
        <x:v>0</x:v>
      </x:c>
      <x:c r="AG957" s="9" t="str">
        <x:f>IF(AF957&gt;0,B957,"")</x:f>
      </x:c>
      <x:c r="AH957" s="9" t="n">
        <x:f>IF(F957&gt;=1,1,(1+tun_LowTiesShare*(AE957-1))/AE957)</x:f>
        <x:v>1</x:v>
      </x:c>
      <x:c r="AI957" s="32" t="n">
        <x:f>(Z957+tun_ElderCommons*INDEX(LM_Elder,G957)*AA957)*AH957</x:f>
        <x:v>238215.0665857503</x:v>
      </x:c>
      <x:c r="AJ957" s="32" t="n">
        <x:f>H957*tun_CommonsCoef*AI957^tun_CommonsExp*INDEX(LM_Commons,G957)</x:f>
        <x:v>0</x:v>
      </x:c>
      <x:c r="AK957" s="32" t="n">
        <x:f>H957*tun_RoleScale*Arch_Roles*(AE957*(INDEX(tun_ElderRolePerSett,G957)*tun_OutElder*INDEX(LM_Elder,G957)+INDEX(tun_ShamanPerSett,G957)*tun_OutShaman)+Z957*(INDEX(tun_PriestShare,G957)*tun_OutPriest+INDEX(tun_ScribeShare,G957)*tun_OutScribe*INDEX(LM_Scribe,G957)+INDEX(tun_ScholarShare,G957)*tun_OutScholar*INDEX(LM_Scholar,G957)+INDEX(tun_ResearcherShare,G957)*tun_OutResearcher*INDEX(LM_Researcher,G957)))</x:f>
        <x:v>0</x:v>
      </x:c>
      <x:c r="AL957" s="32" t="n">
        <x:f>H957*tun_RoleScale*Arch_Roles*AE957*INDEX(tun_MonasteryPerSett,G957)*tun_OutMonastery*INDEX(LM_Monastery,G957)</x:f>
        <x:v>0</x:v>
      </x:c>
      <x:c r="AM957" s="32" t="n">
        <x:f>(AJ957+AK957+AL957)/4*INDEX(LM_All,G957)*INDEX(tun_Boon,G957)*Arch_Insight</x:f>
        <x:v>0</x:v>
      </x:c>
      <x:c r="AN957" s="32" t="n">
        <x:f>H957*(tun_KHPerAdult*Z957+tun_KHOfCommons*AJ957/4*INDEX(LM_All,G957))*tun_KHUsable*Arch_KH</x:f>
        <x:v>0</x:v>
      </x:c>
      <x:c r="AO957" s="32" t="n">
        <x:f>MIN(AP956+AN957,AM957*tun_KHMaxRatio)</x:f>
        <x:v>0</x:v>
      </x:c>
      <x:c r="AP957" s="32" t="n">
        <x:f>AP956+AN957-AO957</x:f>
        <x:v>0</x:v>
      </x:c>
      <x:c r="AQ957" s="32" t="n">
        <x:f>AM957+AO957</x:f>
        <x:v>0</x:v>
      </x:c>
      <x:c r="AR957" s="10" t="n">
        <x:f>IF(H957=1,INDEX(tun_Req,G957),0)</x:f>
        <x:v>0</x:v>
      </x:c>
      <x:c r="AS957" s="32" t="n">
        <x:f>IF(H957=1,IF(E957=1,AS956-AR956,AS956)+AQ957,0)</x:f>
        <x:v>0</x:v>
      </x:c>
      <x:c r="AT957" s="11" t="n">
        <x:f>IF(AR957&gt;0,MIN(1,AS957/AR957),1)</x:f>
        <x:v>1</x:v>
      </x:c>
      <x:c r="AU957" s="10" t="n">
        <x:f>AB957/INDEX(tun_RepScale,G957)</x:f>
        <x:v>290.3368848566301</x:v>
      </x:c>
      <x:c r="AV957" s="32" t="n">
        <x:f>AM957*60/tun_SeasonSeconds</x:f>
        <x:v>0</x:v>
      </x:c>
    </x:row>
    <x:row r="958">
      <x:c r="A958" s="8" t="n">
        <x:f>A957+1</x:f>
        <x:v>955</x:v>
      </x:c>
      <x:c r="B958" s="9" t="n">
        <x:f>A958*tun_SeasonSeconds/60</x:f>
        <x:v>238.75</x:v>
      </x:c>
      <x:c r="C958" s="9" t="n">
        <x:f>A958/4</x:f>
        <x:v>238.75</x:v>
      </x:c>
      <x:c r="D958" s="8" t="n">
        <x:f>IF(MOD(A958,4)=0,1,0)</x:f>
        <x:v>0</x:v>
      </x:c>
      <x:c r="E958" s="8" t="n">
        <x:f>IF(AND(F957&lt;=9,AS957&gt;=AR957),1,0)</x:f>
        <x:v>0</x:v>
      </x:c>
      <x:c r="F958" s="8" t="n">
        <x:f>MIN(10,F957+E958)</x:f>
        <x:v>10</x:v>
      </x:c>
      <x:c r="G958" s="8" t="n">
        <x:f>MIN(F958,9)+1</x:f>
        <x:v>10</x:v>
      </x:c>
      <x:c r="H958" s="8" t="n">
        <x:f>IF(F958&lt;=9,1,0)</x:f>
        <x:v>0</x:v>
      </x:c>
      <x:c r="I958" s="9" t="n">
        <x:f>MIN(10,F957+IF(AR957&gt;0,MIN(1,AS957/AR957),1))</x:f>
        <x:v>10</x:v>
      </x:c>
      <x:c r="J958" s="32" t="n">
        <x:f>INDEX(tun_FoodCap,G958)*Arch_FoodCap*EXP(tun_CapsByProject*SUMPRODUCT((Cap_Point&lt;=I958)*(Cap_Kind="Food")*Cap_Ln))</x:f>
        <x:v>18627.260449441455</x:v>
      </x:c>
      <x:c r="K958" s="32" t="n">
        <x:f>J958*MIN(1,tun_LeanBase*EXP(tun_CapsByProject*SUMPRODUCT((Cap_Point&lt;=I958)*(Cap_Kind="Lean")*Cap_Ln)))</x:f>
        <x:v>18627.260449441455</x:v>
      </x:c>
      <x:c r="L958" s="10" t="n">
        <x:f>INDEX(tun_HousingCap,G958)*EXP(tun_CapsByProject*SUMPRODUCT((Cap_Point&lt;=I958)*(Cap_Kind="Housing")*Cap_Ln))</x:f>
        <x:v>20528.974303173167</x:v>
      </x:c>
      <x:c r="M958" s="10" t="n">
        <x:f>INDEX(tun_GroupCap,G958)*tun_CohesionFactor*EXP(tun_CapsByProject*SUMPRODUCT((Cap_Point&lt;=I958)*(Cap_Kind="Group")*Cap_Ln))</x:f>
        <x:v>1000000.000000001</x:v>
      </x:c>
      <x:c r="N958" s="32" t="n">
        <x:f>MIN(J958,L958,M958)</x:f>
        <x:v>18627.260449441455</x:v>
      </x:c>
      <x:c r="O958" s="10" t="n">
        <x:f>AE957*N958</x:f>
        <x:v>167645.34404497308</x:v>
      </x:c>
      <x:c r="P958" s="9" t="n">
        <x:f>MIN(1,(AB957/(AE957*IF(tun_GroupInCrowding=1,N958,MIN(J958,L958))))^tun_CrowdingExp)</x:f>
        <x:v>0.4215841981292809</x:v>
      </x:c>
      <x:c r="Q958" s="9" t="n">
        <x:f>IF(D958=1,INDEX(tun_WinterMult,G958),1)</x:f>
        <x:v>1</x:v>
      </x:c>
      <x:c r="R958" s="9" t="n">
        <x:f>H958*Z957*tun_WomenShare*tun_BaseFertility*INDEX(tun_FertMult,G958)*Arch_Fertility*(1-P958)</x:f>
        <x:v>0</x:v>
      </x:c>
      <x:c r="S958" s="9" t="n">
        <x:f>H958*Y957*INDEX(tun_MortChild,G958)/4*Q958</x:f>
        <x:v>0</x:v>
      </x:c>
      <x:c r="T958" s="9" t="n">
        <x:f>H958*Z957*INDEX(tun_MortAdult,G958)*Arch_AdultMort/4*Q958</x:f>
        <x:v>0</x:v>
      </x:c>
      <x:c r="U958" s="9" t="n">
        <x:f>H958*AA957*INDEX(tun_MortElder,G958)/4*Q958</x:f>
        <x:v>0</x:v>
      </x:c>
      <x:c r="V958" s="9" t="n">
        <x:f>H958*MAX(0,AB957-O958)*tun_OvercapLoss</x:f>
        <x:v>0</x:v>
      </x:c>
      <x:c r="W958" s="9" t="n">
        <x:f>H958*Y957/(tun_ChildYears*4)</x:f>
        <x:v>0</x:v>
      </x:c>
      <x:c r="X958" s="9" t="n">
        <x:f>H958*Z957/(tun_AdultYears*4)</x:f>
        <x:v>0</x:v>
      </x:c>
      <x:c r="Y958" s="32" t="n">
        <x:f>Y957+R958-S958-W958-Y957*V958/AB957</x:f>
        <x:v>40496.20709015643</x:v>
      </x:c>
      <x:c r="Z958" s="32" t="n">
        <x:f>Z957+W958-X958-T958-Z957*V958/AB957</x:f>
        <x:v>59141.61122890803</x:v>
      </x:c>
      <x:c r="AA958" s="32" t="n">
        <x:f>AA957+X958-U958-AA957*V958/AB957</x:f>
        <x:v>45530.62410925061</x:v>
      </x:c>
      <x:c r="AB958" s="10" t="n">
        <x:f>Y958+Z958+AA958</x:f>
        <x:v>145168.44242831506</x:v>
      </x:c>
      <x:c r="AC958" s="8" t="n">
        <x:f>IF(AND(tun_WinterTrigger=1,D958=1,AB957/AE957&gt;=K958),1,0)</x:f>
        <x:v>0</x:v>
      </x:c>
      <x:c r="AD958" s="8" t="n">
        <x:f>H958*IF(AND(OR(AB957/AE957&gt;=tun_FissionTrigger*N958,AC958=1),AB957/AE957*tun_DaughterShare&gt;=tun_MinDaughter),MAX(1,ROUND(AE957*tun_FissionRate,0)),0)</x:f>
        <x:v>0</x:v>
      </x:c>
      <x:c r="AE958" s="8" t="n">
        <x:f>IF(H958=1,MAX(1,MIN(INDEX(tun_Smax,G958),AE957+AD958)),AE957)</x:f>
        <x:v>9</x:v>
      </x:c>
      <x:c r="AF958" s="8" t="n">
        <x:f>MAX(0,AE958-AE957)</x:f>
        <x:v>0</x:v>
      </x:c>
      <x:c r="AG958" s="9" t="str">
        <x:f>IF(AF958&gt;0,B958,"")</x:f>
      </x:c>
      <x:c r="AH958" s="9" t="n">
        <x:f>IF(F958&gt;=1,1,(1+tun_LowTiesShare*(AE958-1))/AE958)</x:f>
        <x:v>1</x:v>
      </x:c>
      <x:c r="AI958" s="32" t="n">
        <x:f>(Z958+tun_ElderCommons*INDEX(LM_Elder,G958)*AA958)*AH958</x:f>
        <x:v>238215.0665857503</x:v>
      </x:c>
      <x:c r="AJ958" s="32" t="n">
        <x:f>H958*tun_CommonsCoef*AI958^tun_CommonsExp*INDEX(LM_Commons,G958)</x:f>
        <x:v>0</x:v>
      </x:c>
      <x:c r="AK958" s="32" t="n">
        <x:f>H958*tun_RoleScale*Arch_Roles*(AE958*(INDEX(tun_ElderRolePerSett,G958)*tun_OutElder*INDEX(LM_Elder,G958)+INDEX(tun_ShamanPerSett,G958)*tun_OutShaman)+Z958*(INDEX(tun_PriestShare,G958)*tun_OutPriest+INDEX(tun_ScribeShare,G958)*tun_OutScribe*INDEX(LM_Scribe,G958)+INDEX(tun_ScholarShare,G958)*tun_OutScholar*INDEX(LM_Scholar,G958)+INDEX(tun_ResearcherShare,G958)*tun_OutResearcher*INDEX(LM_Researcher,G958)))</x:f>
        <x:v>0</x:v>
      </x:c>
      <x:c r="AL958" s="32" t="n">
        <x:f>H958*tun_RoleScale*Arch_Roles*AE958*INDEX(tun_MonasteryPerSett,G958)*tun_OutMonastery*INDEX(LM_Monastery,G958)</x:f>
        <x:v>0</x:v>
      </x:c>
      <x:c r="AM958" s="32" t="n">
        <x:f>(AJ958+AK958+AL958)/4*INDEX(LM_All,G958)*INDEX(tun_Boon,G958)*Arch_Insight</x:f>
        <x:v>0</x:v>
      </x:c>
      <x:c r="AN958" s="32" t="n">
        <x:f>H958*(tun_KHPerAdult*Z958+tun_KHOfCommons*AJ958/4*INDEX(LM_All,G958))*tun_KHUsable*Arch_KH</x:f>
        <x:v>0</x:v>
      </x:c>
      <x:c r="AO958" s="32" t="n">
        <x:f>MIN(AP957+AN958,AM958*tun_KHMaxRatio)</x:f>
        <x:v>0</x:v>
      </x:c>
      <x:c r="AP958" s="32" t="n">
        <x:f>AP957+AN958-AO958</x:f>
        <x:v>0</x:v>
      </x:c>
      <x:c r="AQ958" s="32" t="n">
        <x:f>AM958+AO958</x:f>
        <x:v>0</x:v>
      </x:c>
      <x:c r="AR958" s="10" t="n">
        <x:f>IF(H958=1,INDEX(tun_Req,G958),0)</x:f>
        <x:v>0</x:v>
      </x:c>
      <x:c r="AS958" s="32" t="n">
        <x:f>IF(H958=1,IF(E958=1,AS957-AR957,AS957)+AQ958,0)</x:f>
        <x:v>0</x:v>
      </x:c>
      <x:c r="AT958" s="11" t="n">
        <x:f>IF(AR958&gt;0,MIN(1,AS958/AR958),1)</x:f>
        <x:v>1</x:v>
      </x:c>
      <x:c r="AU958" s="10" t="n">
        <x:f>AB958/INDEX(tun_RepScale,G958)</x:f>
        <x:v>290.3368848566301</x:v>
      </x:c>
      <x:c r="AV958" s="32" t="n">
        <x:f>AM958*60/tun_SeasonSeconds</x:f>
        <x:v>0</x:v>
      </x:c>
    </x:row>
    <x:row r="959">
      <x:c r="A959" s="8" t="n">
        <x:f>A958+1</x:f>
        <x:v>956</x:v>
      </x:c>
      <x:c r="B959" s="9" t="n">
        <x:f>A959*tun_SeasonSeconds/60</x:f>
        <x:v>239</x:v>
      </x:c>
      <x:c r="C959" s="9" t="n">
        <x:f>A959/4</x:f>
        <x:v>239</x:v>
      </x:c>
      <x:c r="D959" s="8" t="n">
        <x:f>IF(MOD(A959,4)=0,1,0)</x:f>
        <x:v>1</x:v>
      </x:c>
      <x:c r="E959" s="8" t="n">
        <x:f>IF(AND(F958&lt;=9,AS958&gt;=AR958),1,0)</x:f>
        <x:v>0</x:v>
      </x:c>
      <x:c r="F959" s="8" t="n">
        <x:f>MIN(10,F958+E959)</x:f>
        <x:v>10</x:v>
      </x:c>
      <x:c r="G959" s="8" t="n">
        <x:f>MIN(F959,9)+1</x:f>
        <x:v>10</x:v>
      </x:c>
      <x:c r="H959" s="8" t="n">
        <x:f>IF(F959&lt;=9,1,0)</x:f>
        <x:v>0</x:v>
      </x:c>
      <x:c r="I959" s="9" t="n">
        <x:f>MIN(10,F958+IF(AR958&gt;0,MIN(1,AS958/AR958),1))</x:f>
        <x:v>10</x:v>
      </x:c>
      <x:c r="J959" s="32" t="n">
        <x:f>INDEX(tun_FoodCap,G959)*Arch_FoodCap*EXP(tun_CapsByProject*SUMPRODUCT((Cap_Point&lt;=I959)*(Cap_Kind="Food")*Cap_Ln))</x:f>
        <x:v>18627.260449441455</x:v>
      </x:c>
      <x:c r="K959" s="32" t="n">
        <x:f>J959*MIN(1,tun_LeanBase*EXP(tun_CapsByProject*SUMPRODUCT((Cap_Point&lt;=I959)*(Cap_Kind="Lean")*Cap_Ln)))</x:f>
        <x:v>18627.260449441455</x:v>
      </x:c>
      <x:c r="L959" s="10" t="n">
        <x:f>INDEX(tun_HousingCap,G959)*EXP(tun_CapsByProject*SUMPRODUCT((Cap_Point&lt;=I959)*(Cap_Kind="Housing")*Cap_Ln))</x:f>
        <x:v>20528.974303173167</x:v>
      </x:c>
      <x:c r="M959" s="10" t="n">
        <x:f>INDEX(tun_GroupCap,G959)*tun_CohesionFactor*EXP(tun_CapsByProject*SUMPRODUCT((Cap_Point&lt;=I959)*(Cap_Kind="Group")*Cap_Ln))</x:f>
        <x:v>1000000.000000001</x:v>
      </x:c>
      <x:c r="N959" s="32" t="n">
        <x:f>MIN(J959,L959,M959)</x:f>
        <x:v>18627.260449441455</x:v>
      </x:c>
      <x:c r="O959" s="10" t="n">
        <x:f>AE958*N959</x:f>
        <x:v>167645.34404497308</x:v>
      </x:c>
      <x:c r="P959" s="9" t="n">
        <x:f>MIN(1,(AB958/(AE958*IF(tun_GroupInCrowding=1,N959,MIN(J959,L959))))^tun_CrowdingExp)</x:f>
        <x:v>0.4215841981292809</x:v>
      </x:c>
      <x:c r="Q959" s="9" t="n">
        <x:f>IF(D959=1,INDEX(tun_WinterMult,G959),1)</x:f>
        <x:v>1.05</x:v>
      </x:c>
      <x:c r="R959" s="9" t="n">
        <x:f>H959*Z958*tun_WomenShare*tun_BaseFertility*INDEX(tun_FertMult,G959)*Arch_Fertility*(1-P959)</x:f>
        <x:v>0</x:v>
      </x:c>
      <x:c r="S959" s="9" t="n">
        <x:f>H959*Y958*INDEX(tun_MortChild,G959)/4*Q959</x:f>
        <x:v>0</x:v>
      </x:c>
      <x:c r="T959" s="9" t="n">
        <x:f>H959*Z958*INDEX(tun_MortAdult,G959)*Arch_AdultMort/4*Q959</x:f>
        <x:v>0</x:v>
      </x:c>
      <x:c r="U959" s="9" t="n">
        <x:f>H959*AA958*INDEX(tun_MortElder,G959)/4*Q959</x:f>
        <x:v>0</x:v>
      </x:c>
      <x:c r="V959" s="9" t="n">
        <x:f>H959*MAX(0,AB958-O959)*tun_OvercapLoss</x:f>
        <x:v>0</x:v>
      </x:c>
      <x:c r="W959" s="9" t="n">
        <x:f>H959*Y958/(tun_ChildYears*4)</x:f>
        <x:v>0</x:v>
      </x:c>
      <x:c r="X959" s="9" t="n">
        <x:f>H959*Z958/(tun_AdultYears*4)</x:f>
        <x:v>0</x:v>
      </x:c>
      <x:c r="Y959" s="32" t="n">
        <x:f>Y958+R959-S959-W959-Y958*V959/AB958</x:f>
        <x:v>40496.20709015643</x:v>
      </x:c>
      <x:c r="Z959" s="32" t="n">
        <x:f>Z958+W959-X959-T959-Z958*V959/AB958</x:f>
        <x:v>59141.61122890803</x:v>
      </x:c>
      <x:c r="AA959" s="32" t="n">
        <x:f>AA958+X959-U959-AA958*V959/AB958</x:f>
        <x:v>45530.62410925061</x:v>
      </x:c>
      <x:c r="AB959" s="10" t="n">
        <x:f>Y959+Z959+AA959</x:f>
        <x:v>145168.44242831506</x:v>
      </x:c>
      <x:c r="AC959" s="8" t="n">
        <x:f>IF(AND(tun_WinterTrigger=1,D959=1,AB958/AE958&gt;=K959),1,0)</x:f>
        <x:v>0</x:v>
      </x:c>
      <x:c r="AD959" s="8" t="n">
        <x:f>H959*IF(AND(OR(AB958/AE958&gt;=tun_FissionTrigger*N959,AC959=1),AB958/AE958*tun_DaughterShare&gt;=tun_MinDaughter),MAX(1,ROUND(AE958*tun_FissionRate,0)),0)</x:f>
        <x:v>0</x:v>
      </x:c>
      <x:c r="AE959" s="8" t="n">
        <x:f>IF(H959=1,MAX(1,MIN(INDEX(tun_Smax,G959),AE958+AD959)),AE958)</x:f>
        <x:v>9</x:v>
      </x:c>
      <x:c r="AF959" s="8" t="n">
        <x:f>MAX(0,AE959-AE958)</x:f>
        <x:v>0</x:v>
      </x:c>
      <x:c r="AG959" s="9" t="str">
        <x:f>IF(AF959&gt;0,B959,"")</x:f>
      </x:c>
      <x:c r="AH959" s="9" t="n">
        <x:f>IF(F959&gt;=1,1,(1+tun_LowTiesShare*(AE959-1))/AE959)</x:f>
        <x:v>1</x:v>
      </x:c>
      <x:c r="AI959" s="32" t="n">
        <x:f>(Z959+tun_ElderCommons*INDEX(LM_Elder,G959)*AA959)*AH959</x:f>
        <x:v>238215.0665857503</x:v>
      </x:c>
      <x:c r="AJ959" s="32" t="n">
        <x:f>H959*tun_CommonsCoef*AI959^tun_CommonsExp*INDEX(LM_Commons,G959)</x:f>
        <x:v>0</x:v>
      </x:c>
      <x:c r="AK959" s="32" t="n">
        <x:f>H959*tun_RoleScale*Arch_Roles*(AE959*(INDEX(tun_ElderRolePerSett,G959)*tun_OutElder*INDEX(LM_Elder,G959)+INDEX(tun_ShamanPerSett,G959)*tun_OutShaman)+Z959*(INDEX(tun_PriestShare,G959)*tun_OutPriest+INDEX(tun_ScribeShare,G959)*tun_OutScribe*INDEX(LM_Scribe,G959)+INDEX(tun_ScholarShare,G959)*tun_OutScholar*INDEX(LM_Scholar,G959)+INDEX(tun_ResearcherShare,G959)*tun_OutResearcher*INDEX(LM_Researcher,G959)))</x:f>
        <x:v>0</x:v>
      </x:c>
      <x:c r="AL959" s="32" t="n">
        <x:f>H959*tun_RoleScale*Arch_Roles*AE959*INDEX(tun_MonasteryPerSett,G959)*tun_OutMonastery*INDEX(LM_Monastery,G959)</x:f>
        <x:v>0</x:v>
      </x:c>
      <x:c r="AM959" s="32" t="n">
        <x:f>(AJ959+AK959+AL959)/4*INDEX(LM_All,G959)*INDEX(tun_Boon,G959)*Arch_Insight</x:f>
        <x:v>0</x:v>
      </x:c>
      <x:c r="AN959" s="32" t="n">
        <x:f>H959*(tun_KHPerAdult*Z959+tun_KHOfCommons*AJ959/4*INDEX(LM_All,G959))*tun_KHUsable*Arch_KH</x:f>
        <x:v>0</x:v>
      </x:c>
      <x:c r="AO959" s="32" t="n">
        <x:f>MIN(AP958+AN959,AM959*tun_KHMaxRatio)</x:f>
        <x:v>0</x:v>
      </x:c>
      <x:c r="AP959" s="32" t="n">
        <x:f>AP958+AN959-AO959</x:f>
        <x:v>0</x:v>
      </x:c>
      <x:c r="AQ959" s="32" t="n">
        <x:f>AM959+AO959</x:f>
        <x:v>0</x:v>
      </x:c>
      <x:c r="AR959" s="10" t="n">
        <x:f>IF(H959=1,INDEX(tun_Req,G959),0)</x:f>
        <x:v>0</x:v>
      </x:c>
      <x:c r="AS959" s="32" t="n">
        <x:f>IF(H959=1,IF(E959=1,AS958-AR958,AS958)+AQ959,0)</x:f>
        <x:v>0</x:v>
      </x:c>
      <x:c r="AT959" s="11" t="n">
        <x:f>IF(AR959&gt;0,MIN(1,AS959/AR959),1)</x:f>
        <x:v>1</x:v>
      </x:c>
      <x:c r="AU959" s="10" t="n">
        <x:f>AB959/INDEX(tun_RepScale,G959)</x:f>
        <x:v>290.3368848566301</x:v>
      </x:c>
      <x:c r="AV959" s="32" t="n">
        <x:f>AM959*60/tun_SeasonSeconds</x:f>
        <x:v>0</x:v>
      </x:c>
    </x:row>
    <x:row r="960">
      <x:c r="A960" s="8" t="n">
        <x:f>A959+1</x:f>
        <x:v>957</x:v>
      </x:c>
      <x:c r="B960" s="9" t="n">
        <x:f>A960*tun_SeasonSeconds/60</x:f>
        <x:v>239.25</x:v>
      </x:c>
      <x:c r="C960" s="9" t="n">
        <x:f>A960/4</x:f>
        <x:v>239.25</x:v>
      </x:c>
      <x:c r="D960" s="8" t="n">
        <x:f>IF(MOD(A960,4)=0,1,0)</x:f>
        <x:v>0</x:v>
      </x:c>
      <x:c r="E960" s="8" t="n">
        <x:f>IF(AND(F959&lt;=9,AS959&gt;=AR959),1,0)</x:f>
        <x:v>0</x:v>
      </x:c>
      <x:c r="F960" s="8" t="n">
        <x:f>MIN(10,F959+E960)</x:f>
        <x:v>10</x:v>
      </x:c>
      <x:c r="G960" s="8" t="n">
        <x:f>MIN(F960,9)+1</x:f>
        <x:v>10</x:v>
      </x:c>
      <x:c r="H960" s="8" t="n">
        <x:f>IF(F960&lt;=9,1,0)</x:f>
        <x:v>0</x:v>
      </x:c>
      <x:c r="I960" s="9" t="n">
        <x:f>MIN(10,F959+IF(AR959&gt;0,MIN(1,AS959/AR959),1))</x:f>
        <x:v>10</x:v>
      </x:c>
      <x:c r="J960" s="32" t="n">
        <x:f>INDEX(tun_FoodCap,G960)*Arch_FoodCap*EXP(tun_CapsByProject*SUMPRODUCT((Cap_Point&lt;=I960)*(Cap_Kind="Food")*Cap_Ln))</x:f>
        <x:v>18627.260449441455</x:v>
      </x:c>
      <x:c r="K960" s="32" t="n">
        <x:f>J960*MIN(1,tun_LeanBase*EXP(tun_CapsByProject*SUMPRODUCT((Cap_Point&lt;=I960)*(Cap_Kind="Lean")*Cap_Ln)))</x:f>
        <x:v>18627.260449441455</x:v>
      </x:c>
      <x:c r="L960" s="10" t="n">
        <x:f>INDEX(tun_HousingCap,G960)*EXP(tun_CapsByProject*SUMPRODUCT((Cap_Point&lt;=I960)*(Cap_Kind="Housing")*Cap_Ln))</x:f>
        <x:v>20528.974303173167</x:v>
      </x:c>
      <x:c r="M960" s="10" t="n">
        <x:f>INDEX(tun_GroupCap,G960)*tun_CohesionFactor*EXP(tun_CapsByProject*SUMPRODUCT((Cap_Point&lt;=I960)*(Cap_Kind="Group")*Cap_Ln))</x:f>
        <x:v>1000000.000000001</x:v>
      </x:c>
      <x:c r="N960" s="32" t="n">
        <x:f>MIN(J960,L960,M960)</x:f>
        <x:v>18627.260449441455</x:v>
      </x:c>
      <x:c r="O960" s="10" t="n">
        <x:f>AE959*N960</x:f>
        <x:v>167645.34404497308</x:v>
      </x:c>
      <x:c r="P960" s="9" t="n">
        <x:f>MIN(1,(AB959/(AE959*IF(tun_GroupInCrowding=1,N960,MIN(J960,L960))))^tun_CrowdingExp)</x:f>
        <x:v>0.4215841981292809</x:v>
      </x:c>
      <x:c r="Q960" s="9" t="n">
        <x:f>IF(D960=1,INDEX(tun_WinterMult,G960),1)</x:f>
        <x:v>1</x:v>
      </x:c>
      <x:c r="R960" s="9" t="n">
        <x:f>H960*Z959*tun_WomenShare*tun_BaseFertility*INDEX(tun_FertMult,G960)*Arch_Fertility*(1-P960)</x:f>
        <x:v>0</x:v>
      </x:c>
      <x:c r="S960" s="9" t="n">
        <x:f>H960*Y959*INDEX(tun_MortChild,G960)/4*Q960</x:f>
        <x:v>0</x:v>
      </x:c>
      <x:c r="T960" s="9" t="n">
        <x:f>H960*Z959*INDEX(tun_MortAdult,G960)*Arch_AdultMort/4*Q960</x:f>
        <x:v>0</x:v>
      </x:c>
      <x:c r="U960" s="9" t="n">
        <x:f>H960*AA959*INDEX(tun_MortElder,G960)/4*Q960</x:f>
        <x:v>0</x:v>
      </x:c>
      <x:c r="V960" s="9" t="n">
        <x:f>H960*MAX(0,AB959-O960)*tun_OvercapLoss</x:f>
        <x:v>0</x:v>
      </x:c>
      <x:c r="W960" s="9" t="n">
        <x:f>H960*Y959/(tun_ChildYears*4)</x:f>
        <x:v>0</x:v>
      </x:c>
      <x:c r="X960" s="9" t="n">
        <x:f>H960*Z959/(tun_AdultYears*4)</x:f>
        <x:v>0</x:v>
      </x:c>
      <x:c r="Y960" s="32" t="n">
        <x:f>Y959+R960-S960-W960-Y959*V960/AB959</x:f>
        <x:v>40496.20709015643</x:v>
      </x:c>
      <x:c r="Z960" s="32" t="n">
        <x:f>Z959+W960-X960-T960-Z959*V960/AB959</x:f>
        <x:v>59141.61122890803</x:v>
      </x:c>
      <x:c r="AA960" s="32" t="n">
        <x:f>AA959+X960-U960-AA959*V960/AB959</x:f>
        <x:v>45530.62410925061</x:v>
      </x:c>
      <x:c r="AB960" s="10" t="n">
        <x:f>Y960+Z960+AA960</x:f>
        <x:v>145168.44242831506</x:v>
      </x:c>
      <x:c r="AC960" s="8" t="n">
        <x:f>IF(AND(tun_WinterTrigger=1,D960=1,AB959/AE959&gt;=K960),1,0)</x:f>
        <x:v>0</x:v>
      </x:c>
      <x:c r="AD960" s="8" t="n">
        <x:f>H960*IF(AND(OR(AB959/AE959&gt;=tun_FissionTrigger*N960,AC960=1),AB959/AE959*tun_DaughterShare&gt;=tun_MinDaughter),MAX(1,ROUND(AE959*tun_FissionRate,0)),0)</x:f>
        <x:v>0</x:v>
      </x:c>
      <x:c r="AE960" s="8" t="n">
        <x:f>IF(H960=1,MAX(1,MIN(INDEX(tun_Smax,G960),AE959+AD960)),AE959)</x:f>
        <x:v>9</x:v>
      </x:c>
      <x:c r="AF960" s="8" t="n">
        <x:f>MAX(0,AE960-AE959)</x:f>
        <x:v>0</x:v>
      </x:c>
      <x:c r="AG960" s="9" t="str">
        <x:f>IF(AF960&gt;0,B960,"")</x:f>
      </x:c>
      <x:c r="AH960" s="9" t="n">
        <x:f>IF(F960&gt;=1,1,(1+tun_LowTiesShare*(AE960-1))/AE960)</x:f>
        <x:v>1</x:v>
      </x:c>
      <x:c r="AI960" s="32" t="n">
        <x:f>(Z960+tun_ElderCommons*INDEX(LM_Elder,G960)*AA960)*AH960</x:f>
        <x:v>238215.0665857503</x:v>
      </x:c>
      <x:c r="AJ960" s="32" t="n">
        <x:f>H960*tun_CommonsCoef*AI960^tun_CommonsExp*INDEX(LM_Commons,G960)</x:f>
        <x:v>0</x:v>
      </x:c>
      <x:c r="AK960" s="32" t="n">
        <x:f>H960*tun_RoleScale*Arch_Roles*(AE960*(INDEX(tun_ElderRolePerSett,G960)*tun_OutElder*INDEX(LM_Elder,G960)+INDEX(tun_ShamanPerSett,G960)*tun_OutShaman)+Z960*(INDEX(tun_PriestShare,G960)*tun_OutPriest+INDEX(tun_ScribeShare,G960)*tun_OutScribe*INDEX(LM_Scribe,G960)+INDEX(tun_ScholarShare,G960)*tun_OutScholar*INDEX(LM_Scholar,G960)+INDEX(tun_ResearcherShare,G960)*tun_OutResearcher*INDEX(LM_Researcher,G960)))</x:f>
        <x:v>0</x:v>
      </x:c>
      <x:c r="AL960" s="32" t="n">
        <x:f>H960*tun_RoleScale*Arch_Roles*AE960*INDEX(tun_MonasteryPerSett,G960)*tun_OutMonastery*INDEX(LM_Monastery,G960)</x:f>
        <x:v>0</x:v>
      </x:c>
      <x:c r="AM960" s="32" t="n">
        <x:f>(AJ960+AK960+AL960)/4*INDEX(LM_All,G960)*INDEX(tun_Boon,G960)*Arch_Insight</x:f>
        <x:v>0</x:v>
      </x:c>
      <x:c r="AN960" s="32" t="n">
        <x:f>H960*(tun_KHPerAdult*Z960+tun_KHOfCommons*AJ960/4*INDEX(LM_All,G960))*tun_KHUsable*Arch_KH</x:f>
        <x:v>0</x:v>
      </x:c>
      <x:c r="AO960" s="32" t="n">
        <x:f>MIN(AP959+AN960,AM960*tun_KHMaxRatio)</x:f>
        <x:v>0</x:v>
      </x:c>
      <x:c r="AP960" s="32" t="n">
        <x:f>AP959+AN960-AO960</x:f>
        <x:v>0</x:v>
      </x:c>
      <x:c r="AQ960" s="32" t="n">
        <x:f>AM960+AO960</x:f>
        <x:v>0</x:v>
      </x:c>
      <x:c r="AR960" s="10" t="n">
        <x:f>IF(H960=1,INDEX(tun_Req,G960),0)</x:f>
        <x:v>0</x:v>
      </x:c>
      <x:c r="AS960" s="32" t="n">
        <x:f>IF(H960=1,IF(E960=1,AS959-AR959,AS959)+AQ960,0)</x:f>
        <x:v>0</x:v>
      </x:c>
      <x:c r="AT960" s="11" t="n">
        <x:f>IF(AR960&gt;0,MIN(1,AS960/AR960),1)</x:f>
        <x:v>1</x:v>
      </x:c>
      <x:c r="AU960" s="10" t="n">
        <x:f>AB960/INDEX(tun_RepScale,G960)</x:f>
        <x:v>290.3368848566301</x:v>
      </x:c>
      <x:c r="AV960" s="32" t="n">
        <x:f>AM960*60/tun_SeasonSeconds</x:f>
        <x:v>0</x:v>
      </x:c>
    </x:row>
    <x:row r="961">
      <x:c r="A961" s="8" t="n">
        <x:f>A960+1</x:f>
        <x:v>958</x:v>
      </x:c>
      <x:c r="B961" s="9" t="n">
        <x:f>A961*tun_SeasonSeconds/60</x:f>
        <x:v>239.5</x:v>
      </x:c>
      <x:c r="C961" s="9" t="n">
        <x:f>A961/4</x:f>
        <x:v>239.5</x:v>
      </x:c>
      <x:c r="D961" s="8" t="n">
        <x:f>IF(MOD(A961,4)=0,1,0)</x:f>
        <x:v>0</x:v>
      </x:c>
      <x:c r="E961" s="8" t="n">
        <x:f>IF(AND(F960&lt;=9,AS960&gt;=AR960),1,0)</x:f>
        <x:v>0</x:v>
      </x:c>
      <x:c r="F961" s="8" t="n">
        <x:f>MIN(10,F960+E961)</x:f>
        <x:v>10</x:v>
      </x:c>
      <x:c r="G961" s="8" t="n">
        <x:f>MIN(F961,9)+1</x:f>
        <x:v>10</x:v>
      </x:c>
      <x:c r="H961" s="8" t="n">
        <x:f>IF(F961&lt;=9,1,0)</x:f>
        <x:v>0</x:v>
      </x:c>
      <x:c r="I961" s="9" t="n">
        <x:f>MIN(10,F960+IF(AR960&gt;0,MIN(1,AS960/AR960),1))</x:f>
        <x:v>10</x:v>
      </x:c>
      <x:c r="J961" s="32" t="n">
        <x:f>INDEX(tun_FoodCap,G961)*Arch_FoodCap*EXP(tun_CapsByProject*SUMPRODUCT((Cap_Point&lt;=I961)*(Cap_Kind="Food")*Cap_Ln))</x:f>
        <x:v>18627.260449441455</x:v>
      </x:c>
      <x:c r="K961" s="32" t="n">
        <x:f>J961*MIN(1,tun_LeanBase*EXP(tun_CapsByProject*SUMPRODUCT((Cap_Point&lt;=I961)*(Cap_Kind="Lean")*Cap_Ln)))</x:f>
        <x:v>18627.260449441455</x:v>
      </x:c>
      <x:c r="L961" s="10" t="n">
        <x:f>INDEX(tun_HousingCap,G961)*EXP(tun_CapsByProject*SUMPRODUCT((Cap_Point&lt;=I961)*(Cap_Kind="Housing")*Cap_Ln))</x:f>
        <x:v>20528.974303173167</x:v>
      </x:c>
      <x:c r="M961" s="10" t="n">
        <x:f>INDEX(tun_GroupCap,G961)*tun_CohesionFactor*EXP(tun_CapsByProject*SUMPRODUCT((Cap_Point&lt;=I961)*(Cap_Kind="Group")*Cap_Ln))</x:f>
        <x:v>1000000.000000001</x:v>
      </x:c>
      <x:c r="N961" s="32" t="n">
        <x:f>MIN(J961,L961,M961)</x:f>
        <x:v>18627.260449441455</x:v>
      </x:c>
      <x:c r="O961" s="10" t="n">
        <x:f>AE960*N961</x:f>
        <x:v>167645.34404497308</x:v>
      </x:c>
      <x:c r="P961" s="9" t="n">
        <x:f>MIN(1,(AB960/(AE960*IF(tun_GroupInCrowding=1,N961,MIN(J961,L961))))^tun_CrowdingExp)</x:f>
        <x:v>0.4215841981292809</x:v>
      </x:c>
      <x:c r="Q961" s="9" t="n">
        <x:f>IF(D961=1,INDEX(tun_WinterMult,G961),1)</x:f>
        <x:v>1</x:v>
      </x:c>
      <x:c r="R961" s="9" t="n">
        <x:f>H961*Z960*tun_WomenShare*tun_BaseFertility*INDEX(tun_FertMult,G961)*Arch_Fertility*(1-P961)</x:f>
        <x:v>0</x:v>
      </x:c>
      <x:c r="S961" s="9" t="n">
        <x:f>H961*Y960*INDEX(tun_MortChild,G961)/4*Q961</x:f>
        <x:v>0</x:v>
      </x:c>
      <x:c r="T961" s="9" t="n">
        <x:f>H961*Z960*INDEX(tun_MortAdult,G961)*Arch_AdultMort/4*Q961</x:f>
        <x:v>0</x:v>
      </x:c>
      <x:c r="U961" s="9" t="n">
        <x:f>H961*AA960*INDEX(tun_MortElder,G961)/4*Q961</x:f>
        <x:v>0</x:v>
      </x:c>
      <x:c r="V961" s="9" t="n">
        <x:f>H961*MAX(0,AB960-O961)*tun_OvercapLoss</x:f>
        <x:v>0</x:v>
      </x:c>
      <x:c r="W961" s="9" t="n">
        <x:f>H961*Y960/(tun_ChildYears*4)</x:f>
        <x:v>0</x:v>
      </x:c>
      <x:c r="X961" s="9" t="n">
        <x:f>H961*Z960/(tun_AdultYears*4)</x:f>
        <x:v>0</x:v>
      </x:c>
      <x:c r="Y961" s="32" t="n">
        <x:f>Y960+R961-S961-W961-Y960*V961/AB960</x:f>
        <x:v>40496.20709015643</x:v>
      </x:c>
      <x:c r="Z961" s="32" t="n">
        <x:f>Z960+W961-X961-T961-Z960*V961/AB960</x:f>
        <x:v>59141.61122890803</x:v>
      </x:c>
      <x:c r="AA961" s="32" t="n">
        <x:f>AA960+X961-U961-AA960*V961/AB960</x:f>
        <x:v>45530.62410925061</x:v>
      </x:c>
      <x:c r="AB961" s="10" t="n">
        <x:f>Y961+Z961+AA961</x:f>
        <x:v>145168.44242831506</x:v>
      </x:c>
      <x:c r="AC961" s="8" t="n">
        <x:f>IF(AND(tun_WinterTrigger=1,D961=1,AB960/AE960&gt;=K961),1,0)</x:f>
        <x:v>0</x:v>
      </x:c>
      <x:c r="AD961" s="8" t="n">
        <x:f>H961*IF(AND(OR(AB960/AE960&gt;=tun_FissionTrigger*N961,AC961=1),AB960/AE960*tun_DaughterShare&gt;=tun_MinDaughter),MAX(1,ROUND(AE960*tun_FissionRate,0)),0)</x:f>
        <x:v>0</x:v>
      </x:c>
      <x:c r="AE961" s="8" t="n">
        <x:f>IF(H961=1,MAX(1,MIN(INDEX(tun_Smax,G961),AE960+AD961)),AE960)</x:f>
        <x:v>9</x:v>
      </x:c>
      <x:c r="AF961" s="8" t="n">
        <x:f>MAX(0,AE961-AE960)</x:f>
        <x:v>0</x:v>
      </x:c>
      <x:c r="AG961" s="9" t="str">
        <x:f>IF(AF961&gt;0,B961,"")</x:f>
      </x:c>
      <x:c r="AH961" s="9" t="n">
        <x:f>IF(F961&gt;=1,1,(1+tun_LowTiesShare*(AE961-1))/AE961)</x:f>
        <x:v>1</x:v>
      </x:c>
      <x:c r="AI961" s="32" t="n">
        <x:f>(Z961+tun_ElderCommons*INDEX(LM_Elder,G961)*AA961)*AH961</x:f>
        <x:v>238215.0665857503</x:v>
      </x:c>
      <x:c r="AJ961" s="32" t="n">
        <x:f>H961*tun_CommonsCoef*AI961^tun_CommonsExp*INDEX(LM_Commons,G961)</x:f>
        <x:v>0</x:v>
      </x:c>
      <x:c r="AK961" s="32" t="n">
        <x:f>H961*tun_RoleScale*Arch_Roles*(AE961*(INDEX(tun_ElderRolePerSett,G961)*tun_OutElder*INDEX(LM_Elder,G961)+INDEX(tun_ShamanPerSett,G961)*tun_OutShaman)+Z961*(INDEX(tun_PriestShare,G961)*tun_OutPriest+INDEX(tun_ScribeShare,G961)*tun_OutScribe*INDEX(LM_Scribe,G961)+INDEX(tun_ScholarShare,G961)*tun_OutScholar*INDEX(LM_Scholar,G961)+INDEX(tun_ResearcherShare,G961)*tun_OutResearcher*INDEX(LM_Researcher,G961)))</x:f>
        <x:v>0</x:v>
      </x:c>
      <x:c r="AL961" s="32" t="n">
        <x:f>H961*tun_RoleScale*Arch_Roles*AE961*INDEX(tun_MonasteryPerSett,G961)*tun_OutMonastery*INDEX(LM_Monastery,G961)</x:f>
        <x:v>0</x:v>
      </x:c>
      <x:c r="AM961" s="32" t="n">
        <x:f>(AJ961+AK961+AL961)/4*INDEX(LM_All,G961)*INDEX(tun_Boon,G961)*Arch_Insight</x:f>
        <x:v>0</x:v>
      </x:c>
      <x:c r="AN961" s="32" t="n">
        <x:f>H961*(tun_KHPerAdult*Z961+tun_KHOfCommons*AJ961/4*INDEX(LM_All,G961))*tun_KHUsable*Arch_KH</x:f>
        <x:v>0</x:v>
      </x:c>
      <x:c r="AO961" s="32" t="n">
        <x:f>MIN(AP960+AN961,AM961*tun_KHMaxRatio)</x:f>
        <x:v>0</x:v>
      </x:c>
      <x:c r="AP961" s="32" t="n">
        <x:f>AP960+AN961-AO961</x:f>
        <x:v>0</x:v>
      </x:c>
      <x:c r="AQ961" s="32" t="n">
        <x:f>AM961+AO961</x:f>
        <x:v>0</x:v>
      </x:c>
      <x:c r="AR961" s="10" t="n">
        <x:f>IF(H961=1,INDEX(tun_Req,G961),0)</x:f>
        <x:v>0</x:v>
      </x:c>
      <x:c r="AS961" s="32" t="n">
        <x:f>IF(H961=1,IF(E961=1,AS960-AR960,AS960)+AQ961,0)</x:f>
        <x:v>0</x:v>
      </x:c>
      <x:c r="AT961" s="11" t="n">
        <x:f>IF(AR961&gt;0,MIN(1,AS961/AR961),1)</x:f>
        <x:v>1</x:v>
      </x:c>
      <x:c r="AU961" s="10" t="n">
        <x:f>AB961/INDEX(tun_RepScale,G961)</x:f>
        <x:v>290.3368848566301</x:v>
      </x:c>
      <x:c r="AV961" s="32" t="n">
        <x:f>AM961*60/tun_SeasonSeconds</x:f>
        <x:v>0</x:v>
      </x:c>
    </x:row>
    <x:row r="962">
      <x:c r="A962" s="8" t="n">
        <x:f>A961+1</x:f>
        <x:v>959</x:v>
      </x:c>
      <x:c r="B962" s="9" t="n">
        <x:f>A962*tun_SeasonSeconds/60</x:f>
        <x:v>239.75</x:v>
      </x:c>
      <x:c r="C962" s="9" t="n">
        <x:f>A962/4</x:f>
        <x:v>239.75</x:v>
      </x:c>
      <x:c r="D962" s="8" t="n">
        <x:f>IF(MOD(A962,4)=0,1,0)</x:f>
        <x:v>0</x:v>
      </x:c>
      <x:c r="E962" s="8" t="n">
        <x:f>IF(AND(F961&lt;=9,AS961&gt;=AR961),1,0)</x:f>
        <x:v>0</x:v>
      </x:c>
      <x:c r="F962" s="8" t="n">
        <x:f>MIN(10,F961+E962)</x:f>
        <x:v>10</x:v>
      </x:c>
      <x:c r="G962" s="8" t="n">
        <x:f>MIN(F962,9)+1</x:f>
        <x:v>10</x:v>
      </x:c>
      <x:c r="H962" s="8" t="n">
        <x:f>IF(F962&lt;=9,1,0)</x:f>
        <x:v>0</x:v>
      </x:c>
      <x:c r="I962" s="9" t="n">
        <x:f>MIN(10,F961+IF(AR961&gt;0,MIN(1,AS961/AR961),1))</x:f>
        <x:v>10</x:v>
      </x:c>
      <x:c r="J962" s="32" t="n">
        <x:f>INDEX(tun_FoodCap,G962)*Arch_FoodCap*EXP(tun_CapsByProject*SUMPRODUCT((Cap_Point&lt;=I962)*(Cap_Kind="Food")*Cap_Ln))</x:f>
        <x:v>18627.260449441455</x:v>
      </x:c>
      <x:c r="K962" s="32" t="n">
        <x:f>J962*MIN(1,tun_LeanBase*EXP(tun_CapsByProject*SUMPRODUCT((Cap_Point&lt;=I962)*(Cap_Kind="Lean")*Cap_Ln)))</x:f>
        <x:v>18627.260449441455</x:v>
      </x:c>
      <x:c r="L962" s="10" t="n">
        <x:f>INDEX(tun_HousingCap,G962)*EXP(tun_CapsByProject*SUMPRODUCT((Cap_Point&lt;=I962)*(Cap_Kind="Housing")*Cap_Ln))</x:f>
        <x:v>20528.974303173167</x:v>
      </x:c>
      <x:c r="M962" s="10" t="n">
        <x:f>INDEX(tun_GroupCap,G962)*tun_CohesionFactor*EXP(tun_CapsByProject*SUMPRODUCT((Cap_Point&lt;=I962)*(Cap_Kind="Group")*Cap_Ln))</x:f>
        <x:v>1000000.000000001</x:v>
      </x:c>
      <x:c r="N962" s="32" t="n">
        <x:f>MIN(J962,L962,M962)</x:f>
        <x:v>18627.260449441455</x:v>
      </x:c>
      <x:c r="O962" s="10" t="n">
        <x:f>AE961*N962</x:f>
        <x:v>167645.34404497308</x:v>
      </x:c>
      <x:c r="P962" s="9" t="n">
        <x:f>MIN(1,(AB961/(AE961*IF(tun_GroupInCrowding=1,N962,MIN(J962,L962))))^tun_CrowdingExp)</x:f>
        <x:v>0.4215841981292809</x:v>
      </x:c>
      <x:c r="Q962" s="9" t="n">
        <x:f>IF(D962=1,INDEX(tun_WinterMult,G962),1)</x:f>
        <x:v>1</x:v>
      </x:c>
      <x:c r="R962" s="9" t="n">
        <x:f>H962*Z961*tun_WomenShare*tun_BaseFertility*INDEX(tun_FertMult,G962)*Arch_Fertility*(1-P962)</x:f>
        <x:v>0</x:v>
      </x:c>
      <x:c r="S962" s="9" t="n">
        <x:f>H962*Y961*INDEX(tun_MortChild,G962)/4*Q962</x:f>
        <x:v>0</x:v>
      </x:c>
      <x:c r="T962" s="9" t="n">
        <x:f>H962*Z961*INDEX(tun_MortAdult,G962)*Arch_AdultMort/4*Q962</x:f>
        <x:v>0</x:v>
      </x:c>
      <x:c r="U962" s="9" t="n">
        <x:f>H962*AA961*INDEX(tun_MortElder,G962)/4*Q962</x:f>
        <x:v>0</x:v>
      </x:c>
      <x:c r="V962" s="9" t="n">
        <x:f>H962*MAX(0,AB961-O962)*tun_OvercapLoss</x:f>
        <x:v>0</x:v>
      </x:c>
      <x:c r="W962" s="9" t="n">
        <x:f>H962*Y961/(tun_ChildYears*4)</x:f>
        <x:v>0</x:v>
      </x:c>
      <x:c r="X962" s="9" t="n">
        <x:f>H962*Z961/(tun_AdultYears*4)</x:f>
        <x:v>0</x:v>
      </x:c>
      <x:c r="Y962" s="32" t="n">
        <x:f>Y961+R962-S962-W962-Y961*V962/AB961</x:f>
        <x:v>40496.20709015643</x:v>
      </x:c>
      <x:c r="Z962" s="32" t="n">
        <x:f>Z961+W962-X962-T962-Z961*V962/AB961</x:f>
        <x:v>59141.61122890803</x:v>
      </x:c>
      <x:c r="AA962" s="32" t="n">
        <x:f>AA961+X962-U962-AA961*V962/AB961</x:f>
        <x:v>45530.62410925061</x:v>
      </x:c>
      <x:c r="AB962" s="10" t="n">
        <x:f>Y962+Z962+AA962</x:f>
        <x:v>145168.44242831506</x:v>
      </x:c>
      <x:c r="AC962" s="8" t="n">
        <x:f>IF(AND(tun_WinterTrigger=1,D962=1,AB961/AE961&gt;=K962),1,0)</x:f>
        <x:v>0</x:v>
      </x:c>
      <x:c r="AD962" s="8" t="n">
        <x:f>H962*IF(AND(OR(AB961/AE961&gt;=tun_FissionTrigger*N962,AC962=1),AB961/AE961*tun_DaughterShare&gt;=tun_MinDaughter),MAX(1,ROUND(AE961*tun_FissionRate,0)),0)</x:f>
        <x:v>0</x:v>
      </x:c>
      <x:c r="AE962" s="8" t="n">
        <x:f>IF(H962=1,MAX(1,MIN(INDEX(tun_Smax,G962),AE961+AD962)),AE961)</x:f>
        <x:v>9</x:v>
      </x:c>
      <x:c r="AF962" s="8" t="n">
        <x:f>MAX(0,AE962-AE961)</x:f>
        <x:v>0</x:v>
      </x:c>
      <x:c r="AG962" s="9" t="str">
        <x:f>IF(AF962&gt;0,B962,"")</x:f>
      </x:c>
      <x:c r="AH962" s="9" t="n">
        <x:f>IF(F962&gt;=1,1,(1+tun_LowTiesShare*(AE962-1))/AE962)</x:f>
        <x:v>1</x:v>
      </x:c>
      <x:c r="AI962" s="32" t="n">
        <x:f>(Z962+tun_ElderCommons*INDEX(LM_Elder,G962)*AA962)*AH962</x:f>
        <x:v>238215.0665857503</x:v>
      </x:c>
      <x:c r="AJ962" s="32" t="n">
        <x:f>H962*tun_CommonsCoef*AI962^tun_CommonsExp*INDEX(LM_Commons,G962)</x:f>
        <x:v>0</x:v>
      </x:c>
      <x:c r="AK962" s="32" t="n">
        <x:f>H962*tun_RoleScale*Arch_Roles*(AE962*(INDEX(tun_ElderRolePerSett,G962)*tun_OutElder*INDEX(LM_Elder,G962)+INDEX(tun_ShamanPerSett,G962)*tun_OutShaman)+Z962*(INDEX(tun_PriestShare,G962)*tun_OutPriest+INDEX(tun_ScribeShare,G962)*tun_OutScribe*INDEX(LM_Scribe,G962)+INDEX(tun_ScholarShare,G962)*tun_OutScholar*INDEX(LM_Scholar,G962)+INDEX(tun_ResearcherShare,G962)*tun_OutResearcher*INDEX(LM_Researcher,G962)))</x:f>
        <x:v>0</x:v>
      </x:c>
      <x:c r="AL962" s="32" t="n">
        <x:f>H962*tun_RoleScale*Arch_Roles*AE962*INDEX(tun_MonasteryPerSett,G962)*tun_OutMonastery*INDEX(LM_Monastery,G962)</x:f>
        <x:v>0</x:v>
      </x:c>
      <x:c r="AM962" s="32" t="n">
        <x:f>(AJ962+AK962+AL962)/4*INDEX(LM_All,G962)*INDEX(tun_Boon,G962)*Arch_Insight</x:f>
        <x:v>0</x:v>
      </x:c>
      <x:c r="AN962" s="32" t="n">
        <x:f>H962*(tun_KHPerAdult*Z962+tun_KHOfCommons*AJ962/4*INDEX(LM_All,G962))*tun_KHUsable*Arch_KH</x:f>
        <x:v>0</x:v>
      </x:c>
      <x:c r="AO962" s="32" t="n">
        <x:f>MIN(AP961+AN962,AM962*tun_KHMaxRatio)</x:f>
        <x:v>0</x:v>
      </x:c>
      <x:c r="AP962" s="32" t="n">
        <x:f>AP961+AN962-AO962</x:f>
        <x:v>0</x:v>
      </x:c>
      <x:c r="AQ962" s="32" t="n">
        <x:f>AM962+AO962</x:f>
        <x:v>0</x:v>
      </x:c>
      <x:c r="AR962" s="10" t="n">
        <x:f>IF(H962=1,INDEX(tun_Req,G962),0)</x:f>
        <x:v>0</x:v>
      </x:c>
      <x:c r="AS962" s="32" t="n">
        <x:f>IF(H962=1,IF(E962=1,AS961-AR961,AS961)+AQ962,0)</x:f>
        <x:v>0</x:v>
      </x:c>
      <x:c r="AT962" s="11" t="n">
        <x:f>IF(AR962&gt;0,MIN(1,AS962/AR962),1)</x:f>
        <x:v>1</x:v>
      </x:c>
      <x:c r="AU962" s="10" t="n">
        <x:f>AB962/INDEX(tun_RepScale,G962)</x:f>
        <x:v>290.3368848566301</x:v>
      </x:c>
      <x:c r="AV962" s="32" t="n">
        <x:f>AM962*60/tun_SeasonSeconds</x:f>
        <x:v>0</x:v>
      </x:c>
    </x:row>
    <x:row r="963">
      <x:c r="A963" s="8" t="n">
        <x:f>A962+1</x:f>
        <x:v>960</x:v>
      </x:c>
      <x:c r="B963" s="9" t="n">
        <x:f>A963*tun_SeasonSeconds/60</x:f>
        <x:v>240</x:v>
      </x:c>
      <x:c r="C963" s="9" t="n">
        <x:f>A963/4</x:f>
        <x:v>240</x:v>
      </x:c>
      <x:c r="D963" s="8" t="n">
        <x:f>IF(MOD(A963,4)=0,1,0)</x:f>
        <x:v>1</x:v>
      </x:c>
      <x:c r="E963" s="8" t="n">
        <x:f>IF(AND(F962&lt;=9,AS962&gt;=AR962),1,0)</x:f>
        <x:v>0</x:v>
      </x:c>
      <x:c r="F963" s="8" t="n">
        <x:f>MIN(10,F962+E963)</x:f>
        <x:v>10</x:v>
      </x:c>
      <x:c r="G963" s="8" t="n">
        <x:f>MIN(F963,9)+1</x:f>
        <x:v>10</x:v>
      </x:c>
      <x:c r="H963" s="8" t="n">
        <x:f>IF(F963&lt;=9,1,0)</x:f>
        <x:v>0</x:v>
      </x:c>
      <x:c r="I963" s="9" t="n">
        <x:f>MIN(10,F962+IF(AR962&gt;0,MIN(1,AS962/AR962),1))</x:f>
        <x:v>10</x:v>
      </x:c>
      <x:c r="J963" s="32" t="n">
        <x:f>INDEX(tun_FoodCap,G963)*Arch_FoodCap*EXP(tun_CapsByProject*SUMPRODUCT((Cap_Point&lt;=I963)*(Cap_Kind="Food")*Cap_Ln))</x:f>
        <x:v>18627.260449441455</x:v>
      </x:c>
      <x:c r="K963" s="32" t="n">
        <x:f>J963*MIN(1,tun_LeanBase*EXP(tun_CapsByProject*SUMPRODUCT((Cap_Point&lt;=I963)*(Cap_Kind="Lean")*Cap_Ln)))</x:f>
        <x:v>18627.260449441455</x:v>
      </x:c>
      <x:c r="L963" s="10" t="n">
        <x:f>INDEX(tun_HousingCap,G963)*EXP(tun_CapsByProject*SUMPRODUCT((Cap_Point&lt;=I963)*(Cap_Kind="Housing")*Cap_Ln))</x:f>
        <x:v>20528.974303173167</x:v>
      </x:c>
      <x:c r="M963" s="10" t="n">
        <x:f>INDEX(tun_GroupCap,G963)*tun_CohesionFactor*EXP(tun_CapsByProject*SUMPRODUCT((Cap_Point&lt;=I963)*(Cap_Kind="Group")*Cap_Ln))</x:f>
        <x:v>1000000.000000001</x:v>
      </x:c>
      <x:c r="N963" s="32" t="n">
        <x:f>MIN(J963,L963,M963)</x:f>
        <x:v>18627.260449441455</x:v>
      </x:c>
      <x:c r="O963" s="10" t="n">
        <x:f>AE962*N963</x:f>
        <x:v>167645.34404497308</x:v>
      </x:c>
      <x:c r="P963" s="9" t="n">
        <x:f>MIN(1,(AB962/(AE962*IF(tun_GroupInCrowding=1,N963,MIN(J963,L963))))^tun_CrowdingExp)</x:f>
        <x:v>0.4215841981292809</x:v>
      </x:c>
      <x:c r="Q963" s="9" t="n">
        <x:f>IF(D963=1,INDEX(tun_WinterMult,G963),1)</x:f>
        <x:v>1.05</x:v>
      </x:c>
      <x:c r="R963" s="9" t="n">
        <x:f>H963*Z962*tun_WomenShare*tun_BaseFertility*INDEX(tun_FertMult,G963)*Arch_Fertility*(1-P963)</x:f>
        <x:v>0</x:v>
      </x:c>
      <x:c r="S963" s="9" t="n">
        <x:f>H963*Y962*INDEX(tun_MortChild,G963)/4*Q963</x:f>
        <x:v>0</x:v>
      </x:c>
      <x:c r="T963" s="9" t="n">
        <x:f>H963*Z962*INDEX(tun_MortAdult,G963)*Arch_AdultMort/4*Q963</x:f>
        <x:v>0</x:v>
      </x:c>
      <x:c r="U963" s="9" t="n">
        <x:f>H963*AA962*INDEX(tun_MortElder,G963)/4*Q963</x:f>
        <x:v>0</x:v>
      </x:c>
      <x:c r="V963" s="9" t="n">
        <x:f>H963*MAX(0,AB962-O963)*tun_OvercapLoss</x:f>
        <x:v>0</x:v>
      </x:c>
      <x:c r="W963" s="9" t="n">
        <x:f>H963*Y962/(tun_ChildYears*4)</x:f>
        <x:v>0</x:v>
      </x:c>
      <x:c r="X963" s="9" t="n">
        <x:f>H963*Z962/(tun_AdultYears*4)</x:f>
        <x:v>0</x:v>
      </x:c>
      <x:c r="Y963" s="32" t="n">
        <x:f>Y962+R963-S963-W963-Y962*V963/AB962</x:f>
        <x:v>40496.20709015643</x:v>
      </x:c>
      <x:c r="Z963" s="32" t="n">
        <x:f>Z962+W963-X963-T963-Z962*V963/AB962</x:f>
        <x:v>59141.61122890803</x:v>
      </x:c>
      <x:c r="AA963" s="32" t="n">
        <x:f>AA962+X963-U963-AA962*V963/AB962</x:f>
        <x:v>45530.62410925061</x:v>
      </x:c>
      <x:c r="AB963" s="10" t="n">
        <x:f>Y963+Z963+AA963</x:f>
        <x:v>145168.44242831506</x:v>
      </x:c>
      <x:c r="AC963" s="8" t="n">
        <x:f>IF(AND(tun_WinterTrigger=1,D963=1,AB962/AE962&gt;=K963),1,0)</x:f>
        <x:v>0</x:v>
      </x:c>
      <x:c r="AD963" s="8" t="n">
        <x:f>H963*IF(AND(OR(AB962/AE962&gt;=tun_FissionTrigger*N963,AC963=1),AB962/AE962*tun_DaughterShare&gt;=tun_MinDaughter),MAX(1,ROUND(AE962*tun_FissionRate,0)),0)</x:f>
        <x:v>0</x:v>
      </x:c>
      <x:c r="AE963" s="8" t="n">
        <x:f>IF(H963=1,MAX(1,MIN(INDEX(tun_Smax,G963),AE962+AD963)),AE962)</x:f>
        <x:v>9</x:v>
      </x:c>
      <x:c r="AF963" s="8" t="n">
        <x:f>MAX(0,AE963-AE962)</x:f>
        <x:v>0</x:v>
      </x:c>
      <x:c r="AG963" s="9" t="str">
        <x:f>IF(AF963&gt;0,B963,"")</x:f>
      </x:c>
      <x:c r="AH963" s="9" t="n">
        <x:f>IF(F963&gt;=1,1,(1+tun_LowTiesShare*(AE963-1))/AE963)</x:f>
        <x:v>1</x:v>
      </x:c>
      <x:c r="AI963" s="32" t="n">
        <x:f>(Z963+tun_ElderCommons*INDEX(LM_Elder,G963)*AA963)*AH963</x:f>
        <x:v>238215.0665857503</x:v>
      </x:c>
      <x:c r="AJ963" s="32" t="n">
        <x:f>H963*tun_CommonsCoef*AI963^tun_CommonsExp*INDEX(LM_Commons,G963)</x:f>
        <x:v>0</x:v>
      </x:c>
      <x:c r="AK963" s="32" t="n">
        <x:f>H963*tun_RoleScale*Arch_Roles*(AE963*(INDEX(tun_ElderRolePerSett,G963)*tun_OutElder*INDEX(LM_Elder,G963)+INDEX(tun_ShamanPerSett,G963)*tun_OutShaman)+Z963*(INDEX(tun_PriestShare,G963)*tun_OutPriest+INDEX(tun_ScribeShare,G963)*tun_OutScribe*INDEX(LM_Scribe,G963)+INDEX(tun_ScholarShare,G963)*tun_OutScholar*INDEX(LM_Scholar,G963)+INDEX(tun_ResearcherShare,G963)*tun_OutResearcher*INDEX(LM_Researcher,G963)))</x:f>
        <x:v>0</x:v>
      </x:c>
      <x:c r="AL963" s="32" t="n">
        <x:f>H963*tun_RoleScale*Arch_Roles*AE963*INDEX(tun_MonasteryPerSett,G963)*tun_OutMonastery*INDEX(LM_Monastery,G963)</x:f>
        <x:v>0</x:v>
      </x:c>
      <x:c r="AM963" s="32" t="n">
        <x:f>(AJ963+AK963+AL963)/4*INDEX(LM_All,G963)*INDEX(tun_Boon,G963)*Arch_Insight</x:f>
        <x:v>0</x:v>
      </x:c>
      <x:c r="AN963" s="32" t="n">
        <x:f>H963*(tun_KHPerAdult*Z963+tun_KHOfCommons*AJ963/4*INDEX(LM_All,G963))*tun_KHUsable*Arch_KH</x:f>
        <x:v>0</x:v>
      </x:c>
      <x:c r="AO963" s="32" t="n">
        <x:f>MIN(AP962+AN963,AM963*tun_KHMaxRatio)</x:f>
        <x:v>0</x:v>
      </x:c>
      <x:c r="AP963" s="32" t="n">
        <x:f>AP962+AN963-AO963</x:f>
        <x:v>0</x:v>
      </x:c>
      <x:c r="AQ963" s="32" t="n">
        <x:f>AM963+AO963</x:f>
        <x:v>0</x:v>
      </x:c>
      <x:c r="AR963" s="10" t="n">
        <x:f>IF(H963=1,INDEX(tun_Req,G963),0)</x:f>
        <x:v>0</x:v>
      </x:c>
      <x:c r="AS963" s="32" t="n">
        <x:f>IF(H963=1,IF(E963=1,AS962-AR962,AS962)+AQ963,0)</x:f>
        <x:v>0</x:v>
      </x:c>
      <x:c r="AT963" s="11" t="n">
        <x:f>IF(AR963&gt;0,MIN(1,AS963/AR963),1)</x:f>
        <x:v>1</x:v>
      </x:c>
      <x:c r="AU963" s="10" t="n">
        <x:f>AB963/INDEX(tun_RepScale,G963)</x:f>
        <x:v>290.3368848566301</x:v>
      </x:c>
      <x:c r="AV963" s="32" t="n">
        <x:f>AM963*60/tun_SeasonSeconds</x:f>
        <x:v>0</x:v>
      </x:c>
    </x:row>
    <x:row r="964">
      <x:c r="A964" s="8" t="n">
        <x:f>A963+1</x:f>
        <x:v>961</x:v>
      </x:c>
      <x:c r="B964" s="9" t="n">
        <x:f>A964*tun_SeasonSeconds/60</x:f>
        <x:v>240.25</x:v>
      </x:c>
      <x:c r="C964" s="9" t="n">
        <x:f>A964/4</x:f>
        <x:v>240.25</x:v>
      </x:c>
      <x:c r="D964" s="8" t="n">
        <x:f>IF(MOD(A964,4)=0,1,0)</x:f>
        <x:v>0</x:v>
      </x:c>
      <x:c r="E964" s="8" t="n">
        <x:f>IF(AND(F963&lt;=9,AS963&gt;=AR963),1,0)</x:f>
        <x:v>0</x:v>
      </x:c>
      <x:c r="F964" s="8" t="n">
        <x:f>MIN(10,F963+E964)</x:f>
        <x:v>10</x:v>
      </x:c>
      <x:c r="G964" s="8" t="n">
        <x:f>MIN(F964,9)+1</x:f>
        <x:v>10</x:v>
      </x:c>
      <x:c r="H964" s="8" t="n">
        <x:f>IF(F964&lt;=9,1,0)</x:f>
        <x:v>0</x:v>
      </x:c>
      <x:c r="I964" s="9" t="n">
        <x:f>MIN(10,F963+IF(AR963&gt;0,MIN(1,AS963/AR963),1))</x:f>
        <x:v>10</x:v>
      </x:c>
      <x:c r="J964" s="32" t="n">
        <x:f>INDEX(tun_FoodCap,G964)*Arch_FoodCap*EXP(tun_CapsByProject*SUMPRODUCT((Cap_Point&lt;=I964)*(Cap_Kind="Food")*Cap_Ln))</x:f>
        <x:v>18627.260449441455</x:v>
      </x:c>
      <x:c r="K964" s="32" t="n">
        <x:f>J964*MIN(1,tun_LeanBase*EXP(tun_CapsByProject*SUMPRODUCT((Cap_Point&lt;=I964)*(Cap_Kind="Lean")*Cap_Ln)))</x:f>
        <x:v>18627.260449441455</x:v>
      </x:c>
      <x:c r="L964" s="10" t="n">
        <x:f>INDEX(tun_HousingCap,G964)*EXP(tun_CapsByProject*SUMPRODUCT((Cap_Point&lt;=I964)*(Cap_Kind="Housing")*Cap_Ln))</x:f>
        <x:v>20528.974303173167</x:v>
      </x:c>
      <x:c r="M964" s="10" t="n">
        <x:f>INDEX(tun_GroupCap,G964)*tun_CohesionFactor*EXP(tun_CapsByProject*SUMPRODUCT((Cap_Point&lt;=I964)*(Cap_Kind="Group")*Cap_Ln))</x:f>
        <x:v>1000000.000000001</x:v>
      </x:c>
      <x:c r="N964" s="32" t="n">
        <x:f>MIN(J964,L964,M964)</x:f>
        <x:v>18627.260449441455</x:v>
      </x:c>
      <x:c r="O964" s="10" t="n">
        <x:f>AE963*N964</x:f>
        <x:v>167645.34404497308</x:v>
      </x:c>
      <x:c r="P964" s="9" t="n">
        <x:f>MIN(1,(AB963/(AE963*IF(tun_GroupInCrowding=1,N964,MIN(J964,L964))))^tun_CrowdingExp)</x:f>
        <x:v>0.4215841981292809</x:v>
      </x:c>
      <x:c r="Q964" s="9" t="n">
        <x:f>IF(D964=1,INDEX(tun_WinterMult,G964),1)</x:f>
        <x:v>1</x:v>
      </x:c>
      <x:c r="R964" s="9" t="n">
        <x:f>H964*Z963*tun_WomenShare*tun_BaseFertility*INDEX(tun_FertMult,G964)*Arch_Fertility*(1-P964)</x:f>
        <x:v>0</x:v>
      </x:c>
      <x:c r="S964" s="9" t="n">
        <x:f>H964*Y963*INDEX(tun_MortChild,G964)/4*Q964</x:f>
        <x:v>0</x:v>
      </x:c>
      <x:c r="T964" s="9" t="n">
        <x:f>H964*Z963*INDEX(tun_MortAdult,G964)*Arch_AdultMort/4*Q964</x:f>
        <x:v>0</x:v>
      </x:c>
      <x:c r="U964" s="9" t="n">
        <x:f>H964*AA963*INDEX(tun_MortElder,G964)/4*Q964</x:f>
        <x:v>0</x:v>
      </x:c>
      <x:c r="V964" s="9" t="n">
        <x:f>H964*MAX(0,AB963-O964)*tun_OvercapLoss</x:f>
        <x:v>0</x:v>
      </x:c>
      <x:c r="W964" s="9" t="n">
        <x:f>H964*Y963/(tun_ChildYears*4)</x:f>
        <x:v>0</x:v>
      </x:c>
      <x:c r="X964" s="9" t="n">
        <x:f>H964*Z963/(tun_AdultYears*4)</x:f>
        <x:v>0</x:v>
      </x:c>
      <x:c r="Y964" s="32" t="n">
        <x:f>Y963+R964-S964-W964-Y963*V964/AB963</x:f>
        <x:v>40496.20709015643</x:v>
      </x:c>
      <x:c r="Z964" s="32" t="n">
        <x:f>Z963+W964-X964-T964-Z963*V964/AB963</x:f>
        <x:v>59141.61122890803</x:v>
      </x:c>
      <x:c r="AA964" s="32" t="n">
        <x:f>AA963+X964-U964-AA963*V964/AB963</x:f>
        <x:v>45530.62410925061</x:v>
      </x:c>
      <x:c r="AB964" s="10" t="n">
        <x:f>Y964+Z964+AA964</x:f>
        <x:v>145168.44242831506</x:v>
      </x:c>
      <x:c r="AC964" s="8" t="n">
        <x:f>IF(AND(tun_WinterTrigger=1,D964=1,AB963/AE963&gt;=K964),1,0)</x:f>
        <x:v>0</x:v>
      </x:c>
      <x:c r="AD964" s="8" t="n">
        <x:f>H964*IF(AND(OR(AB963/AE963&gt;=tun_FissionTrigger*N964,AC964=1),AB963/AE963*tun_DaughterShare&gt;=tun_MinDaughter),MAX(1,ROUND(AE963*tun_FissionRate,0)),0)</x:f>
        <x:v>0</x:v>
      </x:c>
      <x:c r="AE964" s="8" t="n">
        <x:f>IF(H964=1,MAX(1,MIN(INDEX(tun_Smax,G964),AE963+AD964)),AE963)</x:f>
        <x:v>9</x:v>
      </x:c>
      <x:c r="AF964" s="8" t="n">
        <x:f>MAX(0,AE964-AE963)</x:f>
        <x:v>0</x:v>
      </x:c>
      <x:c r="AG964" s="9" t="str">
        <x:f>IF(AF964&gt;0,B964,"")</x:f>
      </x:c>
      <x:c r="AH964" s="9" t="n">
        <x:f>IF(F964&gt;=1,1,(1+tun_LowTiesShare*(AE964-1))/AE964)</x:f>
        <x:v>1</x:v>
      </x:c>
      <x:c r="AI964" s="32" t="n">
        <x:f>(Z964+tun_ElderCommons*INDEX(LM_Elder,G964)*AA964)*AH964</x:f>
        <x:v>238215.0665857503</x:v>
      </x:c>
      <x:c r="AJ964" s="32" t="n">
        <x:f>H964*tun_CommonsCoef*AI964^tun_CommonsExp*INDEX(LM_Commons,G964)</x:f>
        <x:v>0</x:v>
      </x:c>
      <x:c r="AK964" s="32" t="n">
        <x:f>H964*tun_RoleScale*Arch_Roles*(AE964*(INDEX(tun_ElderRolePerSett,G964)*tun_OutElder*INDEX(LM_Elder,G964)+INDEX(tun_ShamanPerSett,G964)*tun_OutShaman)+Z964*(INDEX(tun_PriestShare,G964)*tun_OutPriest+INDEX(tun_ScribeShare,G964)*tun_OutScribe*INDEX(LM_Scribe,G964)+INDEX(tun_ScholarShare,G964)*tun_OutScholar*INDEX(LM_Scholar,G964)+INDEX(tun_ResearcherShare,G964)*tun_OutResearcher*INDEX(LM_Researcher,G964)))</x:f>
        <x:v>0</x:v>
      </x:c>
      <x:c r="AL964" s="32" t="n">
        <x:f>H964*tun_RoleScale*Arch_Roles*AE964*INDEX(tun_MonasteryPerSett,G964)*tun_OutMonastery*INDEX(LM_Monastery,G964)</x:f>
        <x:v>0</x:v>
      </x:c>
      <x:c r="AM964" s="32" t="n">
        <x:f>(AJ964+AK964+AL964)/4*INDEX(LM_All,G964)*INDEX(tun_Boon,G964)*Arch_Insight</x:f>
        <x:v>0</x:v>
      </x:c>
      <x:c r="AN964" s="32" t="n">
        <x:f>H964*(tun_KHPerAdult*Z964+tun_KHOfCommons*AJ964/4*INDEX(LM_All,G964))*tun_KHUsable*Arch_KH</x:f>
        <x:v>0</x:v>
      </x:c>
      <x:c r="AO964" s="32" t="n">
        <x:f>MIN(AP963+AN964,AM964*tun_KHMaxRatio)</x:f>
        <x:v>0</x:v>
      </x:c>
      <x:c r="AP964" s="32" t="n">
        <x:f>AP963+AN964-AO964</x:f>
        <x:v>0</x:v>
      </x:c>
      <x:c r="AQ964" s="32" t="n">
        <x:f>AM964+AO964</x:f>
        <x:v>0</x:v>
      </x:c>
      <x:c r="AR964" s="10" t="n">
        <x:f>IF(H964=1,INDEX(tun_Req,G964),0)</x:f>
        <x:v>0</x:v>
      </x:c>
      <x:c r="AS964" s="32" t="n">
        <x:f>IF(H964=1,IF(E964=1,AS963-AR963,AS963)+AQ964,0)</x:f>
        <x:v>0</x:v>
      </x:c>
      <x:c r="AT964" s="11" t="n">
        <x:f>IF(AR964&gt;0,MIN(1,AS964/AR964),1)</x:f>
        <x:v>1</x:v>
      </x:c>
      <x:c r="AU964" s="10" t="n">
        <x:f>AB964/INDEX(tun_RepScale,G964)</x:f>
        <x:v>290.3368848566301</x:v>
      </x:c>
      <x:c r="AV964" s="32" t="n">
        <x:f>AM964*60/tun_SeasonSeconds</x:f>
        <x:v>0</x:v>
      </x:c>
    </x:row>
    <x:row r="965">
      <x:c r="A965" s="8" t="n">
        <x:f>A964+1</x:f>
        <x:v>962</x:v>
      </x:c>
      <x:c r="B965" s="9" t="n">
        <x:f>A965*tun_SeasonSeconds/60</x:f>
        <x:v>240.5</x:v>
      </x:c>
      <x:c r="C965" s="9" t="n">
        <x:f>A965/4</x:f>
        <x:v>240.5</x:v>
      </x:c>
      <x:c r="D965" s="8" t="n">
        <x:f>IF(MOD(A965,4)=0,1,0)</x:f>
        <x:v>0</x:v>
      </x:c>
      <x:c r="E965" s="8" t="n">
        <x:f>IF(AND(F964&lt;=9,AS964&gt;=AR964),1,0)</x:f>
        <x:v>0</x:v>
      </x:c>
      <x:c r="F965" s="8" t="n">
        <x:f>MIN(10,F964+E965)</x:f>
        <x:v>10</x:v>
      </x:c>
      <x:c r="G965" s="8" t="n">
        <x:f>MIN(F965,9)+1</x:f>
        <x:v>10</x:v>
      </x:c>
      <x:c r="H965" s="8" t="n">
        <x:f>IF(F965&lt;=9,1,0)</x:f>
        <x:v>0</x:v>
      </x:c>
      <x:c r="I965" s="9" t="n">
        <x:f>MIN(10,F964+IF(AR964&gt;0,MIN(1,AS964/AR964),1))</x:f>
        <x:v>10</x:v>
      </x:c>
      <x:c r="J965" s="32" t="n">
        <x:f>INDEX(tun_FoodCap,G965)*Arch_FoodCap*EXP(tun_CapsByProject*SUMPRODUCT((Cap_Point&lt;=I965)*(Cap_Kind="Food")*Cap_Ln))</x:f>
        <x:v>18627.260449441455</x:v>
      </x:c>
      <x:c r="K965" s="32" t="n">
        <x:f>J965*MIN(1,tun_LeanBase*EXP(tun_CapsByProject*SUMPRODUCT((Cap_Point&lt;=I965)*(Cap_Kind="Lean")*Cap_Ln)))</x:f>
        <x:v>18627.260449441455</x:v>
      </x:c>
      <x:c r="L965" s="10" t="n">
        <x:f>INDEX(tun_HousingCap,G965)*EXP(tun_CapsByProject*SUMPRODUCT((Cap_Point&lt;=I965)*(Cap_Kind="Housing")*Cap_Ln))</x:f>
        <x:v>20528.974303173167</x:v>
      </x:c>
      <x:c r="M965" s="10" t="n">
        <x:f>INDEX(tun_GroupCap,G965)*tun_CohesionFactor*EXP(tun_CapsByProject*SUMPRODUCT((Cap_Point&lt;=I965)*(Cap_Kind="Group")*Cap_Ln))</x:f>
        <x:v>1000000.000000001</x:v>
      </x:c>
      <x:c r="N965" s="32" t="n">
        <x:f>MIN(J965,L965,M965)</x:f>
        <x:v>18627.260449441455</x:v>
      </x:c>
      <x:c r="O965" s="10" t="n">
        <x:f>AE964*N965</x:f>
        <x:v>167645.34404497308</x:v>
      </x:c>
      <x:c r="P965" s="9" t="n">
        <x:f>MIN(1,(AB964/(AE964*IF(tun_GroupInCrowding=1,N965,MIN(J965,L965))))^tun_CrowdingExp)</x:f>
        <x:v>0.4215841981292809</x:v>
      </x:c>
      <x:c r="Q965" s="9" t="n">
        <x:f>IF(D965=1,INDEX(tun_WinterMult,G965),1)</x:f>
        <x:v>1</x:v>
      </x:c>
      <x:c r="R965" s="9" t="n">
        <x:f>H965*Z964*tun_WomenShare*tun_BaseFertility*INDEX(tun_FertMult,G965)*Arch_Fertility*(1-P965)</x:f>
        <x:v>0</x:v>
      </x:c>
      <x:c r="S965" s="9" t="n">
        <x:f>H965*Y964*INDEX(tun_MortChild,G965)/4*Q965</x:f>
        <x:v>0</x:v>
      </x:c>
      <x:c r="T965" s="9" t="n">
        <x:f>H965*Z964*INDEX(tun_MortAdult,G965)*Arch_AdultMort/4*Q965</x:f>
        <x:v>0</x:v>
      </x:c>
      <x:c r="U965" s="9" t="n">
        <x:f>H965*AA964*INDEX(tun_MortElder,G965)/4*Q965</x:f>
        <x:v>0</x:v>
      </x:c>
      <x:c r="V965" s="9" t="n">
        <x:f>H965*MAX(0,AB964-O965)*tun_OvercapLoss</x:f>
        <x:v>0</x:v>
      </x:c>
      <x:c r="W965" s="9" t="n">
        <x:f>H965*Y964/(tun_ChildYears*4)</x:f>
        <x:v>0</x:v>
      </x:c>
      <x:c r="X965" s="9" t="n">
        <x:f>H965*Z964/(tun_AdultYears*4)</x:f>
        <x:v>0</x:v>
      </x:c>
      <x:c r="Y965" s="32" t="n">
        <x:f>Y964+R965-S965-W965-Y964*V965/AB964</x:f>
        <x:v>40496.20709015643</x:v>
      </x:c>
      <x:c r="Z965" s="32" t="n">
        <x:f>Z964+W965-X965-T965-Z964*V965/AB964</x:f>
        <x:v>59141.61122890803</x:v>
      </x:c>
      <x:c r="AA965" s="32" t="n">
        <x:f>AA964+X965-U965-AA964*V965/AB964</x:f>
        <x:v>45530.62410925061</x:v>
      </x:c>
      <x:c r="AB965" s="10" t="n">
        <x:f>Y965+Z965+AA965</x:f>
        <x:v>145168.44242831506</x:v>
      </x:c>
      <x:c r="AC965" s="8" t="n">
        <x:f>IF(AND(tun_WinterTrigger=1,D965=1,AB964/AE964&gt;=K965),1,0)</x:f>
        <x:v>0</x:v>
      </x:c>
      <x:c r="AD965" s="8" t="n">
        <x:f>H965*IF(AND(OR(AB964/AE964&gt;=tun_FissionTrigger*N965,AC965=1),AB964/AE964*tun_DaughterShare&gt;=tun_MinDaughter),MAX(1,ROUND(AE964*tun_FissionRate,0)),0)</x:f>
        <x:v>0</x:v>
      </x:c>
      <x:c r="AE965" s="8" t="n">
        <x:f>IF(H965=1,MAX(1,MIN(INDEX(tun_Smax,G965),AE964+AD965)),AE964)</x:f>
        <x:v>9</x:v>
      </x:c>
      <x:c r="AF965" s="8" t="n">
        <x:f>MAX(0,AE965-AE964)</x:f>
        <x:v>0</x:v>
      </x:c>
      <x:c r="AG965" s="9" t="str">
        <x:f>IF(AF965&gt;0,B965,"")</x:f>
      </x:c>
      <x:c r="AH965" s="9" t="n">
        <x:f>IF(F965&gt;=1,1,(1+tun_LowTiesShare*(AE965-1))/AE965)</x:f>
        <x:v>1</x:v>
      </x:c>
      <x:c r="AI965" s="32" t="n">
        <x:f>(Z965+tun_ElderCommons*INDEX(LM_Elder,G965)*AA965)*AH965</x:f>
        <x:v>238215.0665857503</x:v>
      </x:c>
      <x:c r="AJ965" s="32" t="n">
        <x:f>H965*tun_CommonsCoef*AI965^tun_CommonsExp*INDEX(LM_Commons,G965)</x:f>
        <x:v>0</x:v>
      </x:c>
      <x:c r="AK965" s="32" t="n">
        <x:f>H965*tun_RoleScale*Arch_Roles*(AE965*(INDEX(tun_ElderRolePerSett,G965)*tun_OutElder*INDEX(LM_Elder,G965)+INDEX(tun_ShamanPerSett,G965)*tun_OutShaman)+Z965*(INDEX(tun_PriestShare,G965)*tun_OutPriest+INDEX(tun_ScribeShare,G965)*tun_OutScribe*INDEX(LM_Scribe,G965)+INDEX(tun_ScholarShare,G965)*tun_OutScholar*INDEX(LM_Scholar,G965)+INDEX(tun_ResearcherShare,G965)*tun_OutResearcher*INDEX(LM_Researcher,G965)))</x:f>
        <x:v>0</x:v>
      </x:c>
      <x:c r="AL965" s="32" t="n">
        <x:f>H965*tun_RoleScale*Arch_Roles*AE965*INDEX(tun_MonasteryPerSett,G965)*tun_OutMonastery*INDEX(LM_Monastery,G965)</x:f>
        <x:v>0</x:v>
      </x:c>
      <x:c r="AM965" s="32" t="n">
        <x:f>(AJ965+AK965+AL965)/4*INDEX(LM_All,G965)*INDEX(tun_Boon,G965)*Arch_Insight</x:f>
        <x:v>0</x:v>
      </x:c>
      <x:c r="AN965" s="32" t="n">
        <x:f>H965*(tun_KHPerAdult*Z965+tun_KHOfCommons*AJ965/4*INDEX(LM_All,G965))*tun_KHUsable*Arch_KH</x:f>
        <x:v>0</x:v>
      </x:c>
      <x:c r="AO965" s="32" t="n">
        <x:f>MIN(AP964+AN965,AM965*tun_KHMaxRatio)</x:f>
        <x:v>0</x:v>
      </x:c>
      <x:c r="AP965" s="32" t="n">
        <x:f>AP964+AN965-AO965</x:f>
        <x:v>0</x:v>
      </x:c>
      <x:c r="AQ965" s="32" t="n">
        <x:f>AM965+AO965</x:f>
        <x:v>0</x:v>
      </x:c>
      <x:c r="AR965" s="10" t="n">
        <x:f>IF(H965=1,INDEX(tun_Req,G965),0)</x:f>
        <x:v>0</x:v>
      </x:c>
      <x:c r="AS965" s="32" t="n">
        <x:f>IF(H965=1,IF(E965=1,AS964-AR964,AS964)+AQ965,0)</x:f>
        <x:v>0</x:v>
      </x:c>
      <x:c r="AT965" s="11" t="n">
        <x:f>IF(AR965&gt;0,MIN(1,AS965/AR965),1)</x:f>
        <x:v>1</x:v>
      </x:c>
      <x:c r="AU965" s="10" t="n">
        <x:f>AB965/INDEX(tun_RepScale,G965)</x:f>
        <x:v>290.3368848566301</x:v>
      </x:c>
      <x:c r="AV965" s="32" t="n">
        <x:f>AM965*60/tun_SeasonSeconds</x:f>
        <x:v>0</x:v>
      </x:c>
    </x:row>
    <x:row r="966">
      <x:c r="A966" s="8" t="n">
        <x:f>A965+1</x:f>
        <x:v>963</x:v>
      </x:c>
      <x:c r="B966" s="9" t="n">
        <x:f>A966*tun_SeasonSeconds/60</x:f>
        <x:v>240.75</x:v>
      </x:c>
      <x:c r="C966" s="9" t="n">
        <x:f>A966/4</x:f>
        <x:v>240.75</x:v>
      </x:c>
      <x:c r="D966" s="8" t="n">
        <x:f>IF(MOD(A966,4)=0,1,0)</x:f>
        <x:v>0</x:v>
      </x:c>
      <x:c r="E966" s="8" t="n">
        <x:f>IF(AND(F965&lt;=9,AS965&gt;=AR965),1,0)</x:f>
        <x:v>0</x:v>
      </x:c>
      <x:c r="F966" s="8" t="n">
        <x:f>MIN(10,F965+E966)</x:f>
        <x:v>10</x:v>
      </x:c>
      <x:c r="G966" s="8" t="n">
        <x:f>MIN(F966,9)+1</x:f>
        <x:v>10</x:v>
      </x:c>
      <x:c r="H966" s="8" t="n">
        <x:f>IF(F966&lt;=9,1,0)</x:f>
        <x:v>0</x:v>
      </x:c>
      <x:c r="I966" s="9" t="n">
        <x:f>MIN(10,F965+IF(AR965&gt;0,MIN(1,AS965/AR965),1))</x:f>
        <x:v>10</x:v>
      </x:c>
      <x:c r="J966" s="32" t="n">
        <x:f>INDEX(tun_FoodCap,G966)*Arch_FoodCap*EXP(tun_CapsByProject*SUMPRODUCT((Cap_Point&lt;=I966)*(Cap_Kind="Food")*Cap_Ln))</x:f>
        <x:v>18627.260449441455</x:v>
      </x:c>
      <x:c r="K966" s="32" t="n">
        <x:f>J966*MIN(1,tun_LeanBase*EXP(tun_CapsByProject*SUMPRODUCT((Cap_Point&lt;=I966)*(Cap_Kind="Lean")*Cap_Ln)))</x:f>
        <x:v>18627.260449441455</x:v>
      </x:c>
      <x:c r="L966" s="10" t="n">
        <x:f>INDEX(tun_HousingCap,G966)*EXP(tun_CapsByProject*SUMPRODUCT((Cap_Point&lt;=I966)*(Cap_Kind="Housing")*Cap_Ln))</x:f>
        <x:v>20528.974303173167</x:v>
      </x:c>
      <x:c r="M966" s="10" t="n">
        <x:f>INDEX(tun_GroupCap,G966)*tun_CohesionFactor*EXP(tun_CapsByProject*SUMPRODUCT((Cap_Point&lt;=I966)*(Cap_Kind="Group")*Cap_Ln))</x:f>
        <x:v>1000000.000000001</x:v>
      </x:c>
      <x:c r="N966" s="32" t="n">
        <x:f>MIN(J966,L966,M966)</x:f>
        <x:v>18627.260449441455</x:v>
      </x:c>
      <x:c r="O966" s="10" t="n">
        <x:f>AE965*N966</x:f>
        <x:v>167645.34404497308</x:v>
      </x:c>
      <x:c r="P966" s="9" t="n">
        <x:f>MIN(1,(AB965/(AE965*IF(tun_GroupInCrowding=1,N966,MIN(J966,L966))))^tun_CrowdingExp)</x:f>
        <x:v>0.4215841981292809</x:v>
      </x:c>
      <x:c r="Q966" s="9" t="n">
        <x:f>IF(D966=1,INDEX(tun_WinterMult,G966),1)</x:f>
        <x:v>1</x:v>
      </x:c>
      <x:c r="R966" s="9" t="n">
        <x:f>H966*Z965*tun_WomenShare*tun_BaseFertility*INDEX(tun_FertMult,G966)*Arch_Fertility*(1-P966)</x:f>
        <x:v>0</x:v>
      </x:c>
      <x:c r="S966" s="9" t="n">
        <x:f>H966*Y965*INDEX(tun_MortChild,G966)/4*Q966</x:f>
        <x:v>0</x:v>
      </x:c>
      <x:c r="T966" s="9" t="n">
        <x:f>H966*Z965*INDEX(tun_MortAdult,G966)*Arch_AdultMort/4*Q966</x:f>
        <x:v>0</x:v>
      </x:c>
      <x:c r="U966" s="9" t="n">
        <x:f>H966*AA965*INDEX(tun_MortElder,G966)/4*Q966</x:f>
        <x:v>0</x:v>
      </x:c>
      <x:c r="V966" s="9" t="n">
        <x:f>H966*MAX(0,AB965-O966)*tun_OvercapLoss</x:f>
        <x:v>0</x:v>
      </x:c>
      <x:c r="W966" s="9" t="n">
        <x:f>H966*Y965/(tun_ChildYears*4)</x:f>
        <x:v>0</x:v>
      </x:c>
      <x:c r="X966" s="9" t="n">
        <x:f>H966*Z965/(tun_AdultYears*4)</x:f>
        <x:v>0</x:v>
      </x:c>
      <x:c r="Y966" s="32" t="n">
        <x:f>Y965+R966-S966-W966-Y965*V966/AB965</x:f>
        <x:v>40496.20709015643</x:v>
      </x:c>
      <x:c r="Z966" s="32" t="n">
        <x:f>Z965+W966-X966-T966-Z965*V966/AB965</x:f>
        <x:v>59141.61122890803</x:v>
      </x:c>
      <x:c r="AA966" s="32" t="n">
        <x:f>AA965+X966-U966-AA965*V966/AB965</x:f>
        <x:v>45530.62410925061</x:v>
      </x:c>
      <x:c r="AB966" s="10" t="n">
        <x:f>Y966+Z966+AA966</x:f>
        <x:v>145168.44242831506</x:v>
      </x:c>
      <x:c r="AC966" s="8" t="n">
        <x:f>IF(AND(tun_WinterTrigger=1,D966=1,AB965/AE965&gt;=K966),1,0)</x:f>
        <x:v>0</x:v>
      </x:c>
      <x:c r="AD966" s="8" t="n">
        <x:f>H966*IF(AND(OR(AB965/AE965&gt;=tun_FissionTrigger*N966,AC966=1),AB965/AE965*tun_DaughterShare&gt;=tun_MinDaughter),MAX(1,ROUND(AE965*tun_FissionRate,0)),0)</x:f>
        <x:v>0</x:v>
      </x:c>
      <x:c r="AE966" s="8" t="n">
        <x:f>IF(H966=1,MAX(1,MIN(INDEX(tun_Smax,G966),AE965+AD966)),AE965)</x:f>
        <x:v>9</x:v>
      </x:c>
      <x:c r="AF966" s="8" t="n">
        <x:f>MAX(0,AE966-AE965)</x:f>
        <x:v>0</x:v>
      </x:c>
      <x:c r="AG966" s="9" t="str">
        <x:f>IF(AF966&gt;0,B966,"")</x:f>
      </x:c>
      <x:c r="AH966" s="9" t="n">
        <x:f>IF(F966&gt;=1,1,(1+tun_LowTiesShare*(AE966-1))/AE966)</x:f>
        <x:v>1</x:v>
      </x:c>
      <x:c r="AI966" s="32" t="n">
        <x:f>(Z966+tun_ElderCommons*INDEX(LM_Elder,G966)*AA966)*AH966</x:f>
        <x:v>238215.0665857503</x:v>
      </x:c>
      <x:c r="AJ966" s="32" t="n">
        <x:f>H966*tun_CommonsCoef*AI966^tun_CommonsExp*INDEX(LM_Commons,G966)</x:f>
        <x:v>0</x:v>
      </x:c>
      <x:c r="AK966" s="32" t="n">
        <x:f>H966*tun_RoleScale*Arch_Roles*(AE966*(INDEX(tun_ElderRolePerSett,G966)*tun_OutElder*INDEX(LM_Elder,G966)+INDEX(tun_ShamanPerSett,G966)*tun_OutShaman)+Z966*(INDEX(tun_PriestShare,G966)*tun_OutPriest+INDEX(tun_ScribeShare,G966)*tun_OutScribe*INDEX(LM_Scribe,G966)+INDEX(tun_ScholarShare,G966)*tun_OutScholar*INDEX(LM_Scholar,G966)+INDEX(tun_ResearcherShare,G966)*tun_OutResearcher*INDEX(LM_Researcher,G966)))</x:f>
        <x:v>0</x:v>
      </x:c>
      <x:c r="AL966" s="32" t="n">
        <x:f>H966*tun_RoleScale*Arch_Roles*AE966*INDEX(tun_MonasteryPerSett,G966)*tun_OutMonastery*INDEX(LM_Monastery,G966)</x:f>
        <x:v>0</x:v>
      </x:c>
      <x:c r="AM966" s="32" t="n">
        <x:f>(AJ966+AK966+AL966)/4*INDEX(LM_All,G966)*INDEX(tun_Boon,G966)*Arch_Insight</x:f>
        <x:v>0</x:v>
      </x:c>
      <x:c r="AN966" s="32" t="n">
        <x:f>H966*(tun_KHPerAdult*Z966+tun_KHOfCommons*AJ966/4*INDEX(LM_All,G966))*tun_KHUsable*Arch_KH</x:f>
        <x:v>0</x:v>
      </x:c>
      <x:c r="AO966" s="32" t="n">
        <x:f>MIN(AP965+AN966,AM966*tun_KHMaxRatio)</x:f>
        <x:v>0</x:v>
      </x:c>
      <x:c r="AP966" s="32" t="n">
        <x:f>AP965+AN966-AO966</x:f>
        <x:v>0</x:v>
      </x:c>
      <x:c r="AQ966" s="32" t="n">
        <x:f>AM966+AO966</x:f>
        <x:v>0</x:v>
      </x:c>
      <x:c r="AR966" s="10" t="n">
        <x:f>IF(H966=1,INDEX(tun_Req,G966),0)</x:f>
        <x:v>0</x:v>
      </x:c>
      <x:c r="AS966" s="32" t="n">
        <x:f>IF(H966=1,IF(E966=1,AS965-AR965,AS965)+AQ966,0)</x:f>
        <x:v>0</x:v>
      </x:c>
      <x:c r="AT966" s="11" t="n">
        <x:f>IF(AR966&gt;0,MIN(1,AS966/AR966),1)</x:f>
        <x:v>1</x:v>
      </x:c>
      <x:c r="AU966" s="10" t="n">
        <x:f>AB966/INDEX(tun_RepScale,G966)</x:f>
        <x:v>290.3368848566301</x:v>
      </x:c>
      <x:c r="AV966" s="32" t="n">
        <x:f>AM966*60/tun_SeasonSeconds</x:f>
        <x:v>0</x:v>
      </x:c>
    </x:row>
    <x:row r="967">
      <x:c r="A967" s="8" t="n">
        <x:f>A966+1</x:f>
        <x:v>964</x:v>
      </x:c>
      <x:c r="B967" s="9" t="n">
        <x:f>A967*tun_SeasonSeconds/60</x:f>
        <x:v>241</x:v>
      </x:c>
      <x:c r="C967" s="9" t="n">
        <x:f>A967/4</x:f>
        <x:v>241</x:v>
      </x:c>
      <x:c r="D967" s="8" t="n">
        <x:f>IF(MOD(A967,4)=0,1,0)</x:f>
        <x:v>1</x:v>
      </x:c>
      <x:c r="E967" s="8" t="n">
        <x:f>IF(AND(F966&lt;=9,AS966&gt;=AR966),1,0)</x:f>
        <x:v>0</x:v>
      </x:c>
      <x:c r="F967" s="8" t="n">
        <x:f>MIN(10,F966+E967)</x:f>
        <x:v>10</x:v>
      </x:c>
      <x:c r="G967" s="8" t="n">
        <x:f>MIN(F967,9)+1</x:f>
        <x:v>10</x:v>
      </x:c>
      <x:c r="H967" s="8" t="n">
        <x:f>IF(F967&lt;=9,1,0)</x:f>
        <x:v>0</x:v>
      </x:c>
      <x:c r="I967" s="9" t="n">
        <x:f>MIN(10,F966+IF(AR966&gt;0,MIN(1,AS966/AR966),1))</x:f>
        <x:v>10</x:v>
      </x:c>
      <x:c r="J967" s="32" t="n">
        <x:f>INDEX(tun_FoodCap,G967)*Arch_FoodCap*EXP(tun_CapsByProject*SUMPRODUCT((Cap_Point&lt;=I967)*(Cap_Kind="Food")*Cap_Ln))</x:f>
        <x:v>18627.260449441455</x:v>
      </x:c>
      <x:c r="K967" s="32" t="n">
        <x:f>J967*MIN(1,tun_LeanBase*EXP(tun_CapsByProject*SUMPRODUCT((Cap_Point&lt;=I967)*(Cap_Kind="Lean")*Cap_Ln)))</x:f>
        <x:v>18627.260449441455</x:v>
      </x:c>
      <x:c r="L967" s="10" t="n">
        <x:f>INDEX(tun_HousingCap,G967)*EXP(tun_CapsByProject*SUMPRODUCT((Cap_Point&lt;=I967)*(Cap_Kind="Housing")*Cap_Ln))</x:f>
        <x:v>20528.974303173167</x:v>
      </x:c>
      <x:c r="M967" s="10" t="n">
        <x:f>INDEX(tun_GroupCap,G967)*tun_CohesionFactor*EXP(tun_CapsByProject*SUMPRODUCT((Cap_Point&lt;=I967)*(Cap_Kind="Group")*Cap_Ln))</x:f>
        <x:v>1000000.000000001</x:v>
      </x:c>
      <x:c r="N967" s="32" t="n">
        <x:f>MIN(J967,L967,M967)</x:f>
        <x:v>18627.260449441455</x:v>
      </x:c>
      <x:c r="O967" s="10" t="n">
        <x:f>AE966*N967</x:f>
        <x:v>167645.34404497308</x:v>
      </x:c>
      <x:c r="P967" s="9" t="n">
        <x:f>MIN(1,(AB966/(AE966*IF(tun_GroupInCrowding=1,N967,MIN(J967,L967))))^tun_CrowdingExp)</x:f>
        <x:v>0.4215841981292809</x:v>
      </x:c>
      <x:c r="Q967" s="9" t="n">
        <x:f>IF(D967=1,INDEX(tun_WinterMult,G967),1)</x:f>
        <x:v>1.05</x:v>
      </x:c>
      <x:c r="R967" s="9" t="n">
        <x:f>H967*Z966*tun_WomenShare*tun_BaseFertility*INDEX(tun_FertMult,G967)*Arch_Fertility*(1-P967)</x:f>
        <x:v>0</x:v>
      </x:c>
      <x:c r="S967" s="9" t="n">
        <x:f>H967*Y966*INDEX(tun_MortChild,G967)/4*Q967</x:f>
        <x:v>0</x:v>
      </x:c>
      <x:c r="T967" s="9" t="n">
        <x:f>H967*Z966*INDEX(tun_MortAdult,G967)*Arch_AdultMort/4*Q967</x:f>
        <x:v>0</x:v>
      </x:c>
      <x:c r="U967" s="9" t="n">
        <x:f>H967*AA966*INDEX(tun_MortElder,G967)/4*Q967</x:f>
        <x:v>0</x:v>
      </x:c>
      <x:c r="V967" s="9" t="n">
        <x:f>H967*MAX(0,AB966-O967)*tun_OvercapLoss</x:f>
        <x:v>0</x:v>
      </x:c>
      <x:c r="W967" s="9" t="n">
        <x:f>H967*Y966/(tun_ChildYears*4)</x:f>
        <x:v>0</x:v>
      </x:c>
      <x:c r="X967" s="9" t="n">
        <x:f>H967*Z966/(tun_AdultYears*4)</x:f>
        <x:v>0</x:v>
      </x:c>
      <x:c r="Y967" s="32" t="n">
        <x:f>Y966+R967-S967-W967-Y966*V967/AB966</x:f>
        <x:v>40496.20709015643</x:v>
      </x:c>
      <x:c r="Z967" s="32" t="n">
        <x:f>Z966+W967-X967-T967-Z966*V967/AB966</x:f>
        <x:v>59141.61122890803</x:v>
      </x:c>
      <x:c r="AA967" s="32" t="n">
        <x:f>AA966+X967-U967-AA966*V967/AB966</x:f>
        <x:v>45530.62410925061</x:v>
      </x:c>
      <x:c r="AB967" s="10" t="n">
        <x:f>Y967+Z967+AA967</x:f>
        <x:v>145168.44242831506</x:v>
      </x:c>
      <x:c r="AC967" s="8" t="n">
        <x:f>IF(AND(tun_WinterTrigger=1,D967=1,AB966/AE966&gt;=K967),1,0)</x:f>
        <x:v>0</x:v>
      </x:c>
      <x:c r="AD967" s="8" t="n">
        <x:f>H967*IF(AND(OR(AB966/AE966&gt;=tun_FissionTrigger*N967,AC967=1),AB966/AE966*tun_DaughterShare&gt;=tun_MinDaughter),MAX(1,ROUND(AE966*tun_FissionRate,0)),0)</x:f>
        <x:v>0</x:v>
      </x:c>
      <x:c r="AE967" s="8" t="n">
        <x:f>IF(H967=1,MAX(1,MIN(INDEX(tun_Smax,G967),AE966+AD967)),AE966)</x:f>
        <x:v>9</x:v>
      </x:c>
      <x:c r="AF967" s="8" t="n">
        <x:f>MAX(0,AE967-AE966)</x:f>
        <x:v>0</x:v>
      </x:c>
      <x:c r="AG967" s="9" t="str">
        <x:f>IF(AF967&gt;0,B967,"")</x:f>
      </x:c>
      <x:c r="AH967" s="9" t="n">
        <x:f>IF(F967&gt;=1,1,(1+tun_LowTiesShare*(AE967-1))/AE967)</x:f>
        <x:v>1</x:v>
      </x:c>
      <x:c r="AI967" s="32" t="n">
        <x:f>(Z967+tun_ElderCommons*INDEX(LM_Elder,G967)*AA967)*AH967</x:f>
        <x:v>238215.0665857503</x:v>
      </x:c>
      <x:c r="AJ967" s="32" t="n">
        <x:f>H967*tun_CommonsCoef*AI967^tun_CommonsExp*INDEX(LM_Commons,G967)</x:f>
        <x:v>0</x:v>
      </x:c>
      <x:c r="AK967" s="32" t="n">
        <x:f>H967*tun_RoleScale*Arch_Roles*(AE967*(INDEX(tun_ElderRolePerSett,G967)*tun_OutElder*INDEX(LM_Elder,G967)+INDEX(tun_ShamanPerSett,G967)*tun_OutShaman)+Z967*(INDEX(tun_PriestShare,G967)*tun_OutPriest+INDEX(tun_ScribeShare,G967)*tun_OutScribe*INDEX(LM_Scribe,G967)+INDEX(tun_ScholarShare,G967)*tun_OutScholar*INDEX(LM_Scholar,G967)+INDEX(tun_ResearcherShare,G967)*tun_OutResearcher*INDEX(LM_Researcher,G967)))</x:f>
        <x:v>0</x:v>
      </x:c>
      <x:c r="AL967" s="32" t="n">
        <x:f>H967*tun_RoleScale*Arch_Roles*AE967*INDEX(tun_MonasteryPerSett,G967)*tun_OutMonastery*INDEX(LM_Monastery,G967)</x:f>
        <x:v>0</x:v>
      </x:c>
      <x:c r="AM967" s="32" t="n">
        <x:f>(AJ967+AK967+AL967)/4*INDEX(LM_All,G967)*INDEX(tun_Boon,G967)*Arch_Insight</x:f>
        <x:v>0</x:v>
      </x:c>
      <x:c r="AN967" s="32" t="n">
        <x:f>H967*(tun_KHPerAdult*Z967+tun_KHOfCommons*AJ967/4*INDEX(LM_All,G967))*tun_KHUsable*Arch_KH</x:f>
        <x:v>0</x:v>
      </x:c>
      <x:c r="AO967" s="32" t="n">
        <x:f>MIN(AP966+AN967,AM967*tun_KHMaxRatio)</x:f>
        <x:v>0</x:v>
      </x:c>
      <x:c r="AP967" s="32" t="n">
        <x:f>AP966+AN967-AO967</x:f>
        <x:v>0</x:v>
      </x:c>
      <x:c r="AQ967" s="32" t="n">
        <x:f>AM967+AO967</x:f>
        <x:v>0</x:v>
      </x:c>
      <x:c r="AR967" s="10" t="n">
        <x:f>IF(H967=1,INDEX(tun_Req,G967),0)</x:f>
        <x:v>0</x:v>
      </x:c>
      <x:c r="AS967" s="32" t="n">
        <x:f>IF(H967=1,IF(E967=1,AS966-AR966,AS966)+AQ967,0)</x:f>
        <x:v>0</x:v>
      </x:c>
      <x:c r="AT967" s="11" t="n">
        <x:f>IF(AR967&gt;0,MIN(1,AS967/AR967),1)</x:f>
        <x:v>1</x:v>
      </x:c>
      <x:c r="AU967" s="10" t="n">
        <x:f>AB967/INDEX(tun_RepScale,G967)</x:f>
        <x:v>290.3368848566301</x:v>
      </x:c>
      <x:c r="AV967" s="32" t="n">
        <x:f>AM967*60/tun_SeasonSeconds</x:f>
        <x:v>0</x:v>
      </x:c>
    </x:row>
    <x:row r="968">
      <x:c r="A968" s="8" t="n">
        <x:f>A967+1</x:f>
        <x:v>965</x:v>
      </x:c>
      <x:c r="B968" s="9" t="n">
        <x:f>A968*tun_SeasonSeconds/60</x:f>
        <x:v>241.25</x:v>
      </x:c>
      <x:c r="C968" s="9" t="n">
        <x:f>A968/4</x:f>
        <x:v>241.25</x:v>
      </x:c>
      <x:c r="D968" s="8" t="n">
        <x:f>IF(MOD(A968,4)=0,1,0)</x:f>
        <x:v>0</x:v>
      </x:c>
      <x:c r="E968" s="8" t="n">
        <x:f>IF(AND(F967&lt;=9,AS967&gt;=AR967),1,0)</x:f>
        <x:v>0</x:v>
      </x:c>
      <x:c r="F968" s="8" t="n">
        <x:f>MIN(10,F967+E968)</x:f>
        <x:v>10</x:v>
      </x:c>
      <x:c r="G968" s="8" t="n">
        <x:f>MIN(F968,9)+1</x:f>
        <x:v>10</x:v>
      </x:c>
      <x:c r="H968" s="8" t="n">
        <x:f>IF(F968&lt;=9,1,0)</x:f>
        <x:v>0</x:v>
      </x:c>
      <x:c r="I968" s="9" t="n">
        <x:f>MIN(10,F967+IF(AR967&gt;0,MIN(1,AS967/AR967),1))</x:f>
        <x:v>10</x:v>
      </x:c>
      <x:c r="J968" s="32" t="n">
        <x:f>INDEX(tun_FoodCap,G968)*Arch_FoodCap*EXP(tun_CapsByProject*SUMPRODUCT((Cap_Point&lt;=I968)*(Cap_Kind="Food")*Cap_Ln))</x:f>
        <x:v>18627.260449441455</x:v>
      </x:c>
      <x:c r="K968" s="32" t="n">
        <x:f>J968*MIN(1,tun_LeanBase*EXP(tun_CapsByProject*SUMPRODUCT((Cap_Point&lt;=I968)*(Cap_Kind="Lean")*Cap_Ln)))</x:f>
        <x:v>18627.260449441455</x:v>
      </x:c>
      <x:c r="L968" s="10" t="n">
        <x:f>INDEX(tun_HousingCap,G968)*EXP(tun_CapsByProject*SUMPRODUCT((Cap_Point&lt;=I968)*(Cap_Kind="Housing")*Cap_Ln))</x:f>
        <x:v>20528.974303173167</x:v>
      </x:c>
      <x:c r="M968" s="10" t="n">
        <x:f>INDEX(tun_GroupCap,G968)*tun_CohesionFactor*EXP(tun_CapsByProject*SUMPRODUCT((Cap_Point&lt;=I968)*(Cap_Kind="Group")*Cap_Ln))</x:f>
        <x:v>1000000.000000001</x:v>
      </x:c>
      <x:c r="N968" s="32" t="n">
        <x:f>MIN(J968,L968,M968)</x:f>
        <x:v>18627.260449441455</x:v>
      </x:c>
      <x:c r="O968" s="10" t="n">
        <x:f>AE967*N968</x:f>
        <x:v>167645.34404497308</x:v>
      </x:c>
      <x:c r="P968" s="9" t="n">
        <x:f>MIN(1,(AB967/(AE967*IF(tun_GroupInCrowding=1,N968,MIN(J968,L968))))^tun_CrowdingExp)</x:f>
        <x:v>0.4215841981292809</x:v>
      </x:c>
      <x:c r="Q968" s="9" t="n">
        <x:f>IF(D968=1,INDEX(tun_WinterMult,G968),1)</x:f>
        <x:v>1</x:v>
      </x:c>
      <x:c r="R968" s="9" t="n">
        <x:f>H968*Z967*tun_WomenShare*tun_BaseFertility*INDEX(tun_FertMult,G968)*Arch_Fertility*(1-P968)</x:f>
        <x:v>0</x:v>
      </x:c>
      <x:c r="S968" s="9" t="n">
        <x:f>H968*Y967*INDEX(tun_MortChild,G968)/4*Q968</x:f>
        <x:v>0</x:v>
      </x:c>
      <x:c r="T968" s="9" t="n">
        <x:f>H968*Z967*INDEX(tun_MortAdult,G968)*Arch_AdultMort/4*Q968</x:f>
        <x:v>0</x:v>
      </x:c>
      <x:c r="U968" s="9" t="n">
        <x:f>H968*AA967*INDEX(tun_MortElder,G968)/4*Q968</x:f>
        <x:v>0</x:v>
      </x:c>
      <x:c r="V968" s="9" t="n">
        <x:f>H968*MAX(0,AB967-O968)*tun_OvercapLoss</x:f>
        <x:v>0</x:v>
      </x:c>
      <x:c r="W968" s="9" t="n">
        <x:f>H968*Y967/(tun_ChildYears*4)</x:f>
        <x:v>0</x:v>
      </x:c>
      <x:c r="X968" s="9" t="n">
        <x:f>H968*Z967/(tun_AdultYears*4)</x:f>
        <x:v>0</x:v>
      </x:c>
      <x:c r="Y968" s="32" t="n">
        <x:f>Y967+R968-S968-W968-Y967*V968/AB967</x:f>
        <x:v>40496.20709015643</x:v>
      </x:c>
      <x:c r="Z968" s="32" t="n">
        <x:f>Z967+W968-X968-T968-Z967*V968/AB967</x:f>
        <x:v>59141.61122890803</x:v>
      </x:c>
      <x:c r="AA968" s="32" t="n">
        <x:f>AA967+X968-U968-AA967*V968/AB967</x:f>
        <x:v>45530.62410925061</x:v>
      </x:c>
      <x:c r="AB968" s="10" t="n">
        <x:f>Y968+Z968+AA968</x:f>
        <x:v>145168.44242831506</x:v>
      </x:c>
      <x:c r="AC968" s="8" t="n">
        <x:f>IF(AND(tun_WinterTrigger=1,D968=1,AB967/AE967&gt;=K968),1,0)</x:f>
        <x:v>0</x:v>
      </x:c>
      <x:c r="AD968" s="8" t="n">
        <x:f>H968*IF(AND(OR(AB967/AE967&gt;=tun_FissionTrigger*N968,AC968=1),AB967/AE967*tun_DaughterShare&gt;=tun_MinDaughter),MAX(1,ROUND(AE967*tun_FissionRate,0)),0)</x:f>
        <x:v>0</x:v>
      </x:c>
      <x:c r="AE968" s="8" t="n">
        <x:f>IF(H968=1,MAX(1,MIN(INDEX(tun_Smax,G968),AE967+AD968)),AE967)</x:f>
        <x:v>9</x:v>
      </x:c>
      <x:c r="AF968" s="8" t="n">
        <x:f>MAX(0,AE968-AE967)</x:f>
        <x:v>0</x:v>
      </x:c>
      <x:c r="AG968" s="9" t="str">
        <x:f>IF(AF968&gt;0,B968,"")</x:f>
      </x:c>
      <x:c r="AH968" s="9" t="n">
        <x:f>IF(F968&gt;=1,1,(1+tun_LowTiesShare*(AE968-1))/AE968)</x:f>
        <x:v>1</x:v>
      </x:c>
      <x:c r="AI968" s="32" t="n">
        <x:f>(Z968+tun_ElderCommons*INDEX(LM_Elder,G968)*AA968)*AH968</x:f>
        <x:v>238215.0665857503</x:v>
      </x:c>
      <x:c r="AJ968" s="32" t="n">
        <x:f>H968*tun_CommonsCoef*AI968^tun_CommonsExp*INDEX(LM_Commons,G968)</x:f>
        <x:v>0</x:v>
      </x:c>
      <x:c r="AK968" s="32" t="n">
        <x:f>H968*tun_RoleScale*Arch_Roles*(AE968*(INDEX(tun_ElderRolePerSett,G968)*tun_OutElder*INDEX(LM_Elder,G968)+INDEX(tun_ShamanPerSett,G968)*tun_OutShaman)+Z968*(INDEX(tun_PriestShare,G968)*tun_OutPriest+INDEX(tun_ScribeShare,G968)*tun_OutScribe*INDEX(LM_Scribe,G968)+INDEX(tun_ScholarShare,G968)*tun_OutScholar*INDEX(LM_Scholar,G968)+INDEX(tun_ResearcherShare,G968)*tun_OutResearcher*INDEX(LM_Researcher,G968)))</x:f>
        <x:v>0</x:v>
      </x:c>
      <x:c r="AL968" s="32" t="n">
        <x:f>H968*tun_RoleScale*Arch_Roles*AE968*INDEX(tun_MonasteryPerSett,G968)*tun_OutMonastery*INDEX(LM_Monastery,G968)</x:f>
        <x:v>0</x:v>
      </x:c>
      <x:c r="AM968" s="32" t="n">
        <x:f>(AJ968+AK968+AL968)/4*INDEX(LM_All,G968)*INDEX(tun_Boon,G968)*Arch_Insight</x:f>
        <x:v>0</x:v>
      </x:c>
      <x:c r="AN968" s="32" t="n">
        <x:f>H968*(tun_KHPerAdult*Z968+tun_KHOfCommons*AJ968/4*INDEX(LM_All,G968))*tun_KHUsable*Arch_KH</x:f>
        <x:v>0</x:v>
      </x:c>
      <x:c r="AO968" s="32" t="n">
        <x:f>MIN(AP967+AN968,AM968*tun_KHMaxRatio)</x:f>
        <x:v>0</x:v>
      </x:c>
      <x:c r="AP968" s="32" t="n">
        <x:f>AP967+AN968-AO968</x:f>
        <x:v>0</x:v>
      </x:c>
      <x:c r="AQ968" s="32" t="n">
        <x:f>AM968+AO968</x:f>
        <x:v>0</x:v>
      </x:c>
      <x:c r="AR968" s="10" t="n">
        <x:f>IF(H968=1,INDEX(tun_Req,G968),0)</x:f>
        <x:v>0</x:v>
      </x:c>
      <x:c r="AS968" s="32" t="n">
        <x:f>IF(H968=1,IF(E968=1,AS967-AR967,AS967)+AQ968,0)</x:f>
        <x:v>0</x:v>
      </x:c>
      <x:c r="AT968" s="11" t="n">
        <x:f>IF(AR968&gt;0,MIN(1,AS968/AR968),1)</x:f>
        <x:v>1</x:v>
      </x:c>
      <x:c r="AU968" s="10" t="n">
        <x:f>AB968/INDEX(tun_RepScale,G968)</x:f>
        <x:v>290.3368848566301</x:v>
      </x:c>
      <x:c r="AV968" s="32" t="n">
        <x:f>AM968*60/tun_SeasonSeconds</x:f>
        <x:v>0</x:v>
      </x:c>
    </x:row>
    <x:row r="969">
      <x:c r="A969" s="8" t="n">
        <x:f>A968+1</x:f>
        <x:v>966</x:v>
      </x:c>
      <x:c r="B969" s="9" t="n">
        <x:f>A969*tun_SeasonSeconds/60</x:f>
        <x:v>241.5</x:v>
      </x:c>
      <x:c r="C969" s="9" t="n">
        <x:f>A969/4</x:f>
        <x:v>241.5</x:v>
      </x:c>
      <x:c r="D969" s="8" t="n">
        <x:f>IF(MOD(A969,4)=0,1,0)</x:f>
        <x:v>0</x:v>
      </x:c>
      <x:c r="E969" s="8" t="n">
        <x:f>IF(AND(F968&lt;=9,AS968&gt;=AR968),1,0)</x:f>
        <x:v>0</x:v>
      </x:c>
      <x:c r="F969" s="8" t="n">
        <x:f>MIN(10,F968+E969)</x:f>
        <x:v>10</x:v>
      </x:c>
      <x:c r="G969" s="8" t="n">
        <x:f>MIN(F969,9)+1</x:f>
        <x:v>10</x:v>
      </x:c>
      <x:c r="H969" s="8" t="n">
        <x:f>IF(F969&lt;=9,1,0)</x:f>
        <x:v>0</x:v>
      </x:c>
      <x:c r="I969" s="9" t="n">
        <x:f>MIN(10,F968+IF(AR968&gt;0,MIN(1,AS968/AR968),1))</x:f>
        <x:v>10</x:v>
      </x:c>
      <x:c r="J969" s="32" t="n">
        <x:f>INDEX(tun_FoodCap,G969)*Arch_FoodCap*EXP(tun_CapsByProject*SUMPRODUCT((Cap_Point&lt;=I969)*(Cap_Kind="Food")*Cap_Ln))</x:f>
        <x:v>18627.260449441455</x:v>
      </x:c>
      <x:c r="K969" s="32" t="n">
        <x:f>J969*MIN(1,tun_LeanBase*EXP(tun_CapsByProject*SUMPRODUCT((Cap_Point&lt;=I969)*(Cap_Kind="Lean")*Cap_Ln)))</x:f>
        <x:v>18627.260449441455</x:v>
      </x:c>
      <x:c r="L969" s="10" t="n">
        <x:f>INDEX(tun_HousingCap,G969)*EXP(tun_CapsByProject*SUMPRODUCT((Cap_Point&lt;=I969)*(Cap_Kind="Housing")*Cap_Ln))</x:f>
        <x:v>20528.974303173167</x:v>
      </x:c>
      <x:c r="M969" s="10" t="n">
        <x:f>INDEX(tun_GroupCap,G969)*tun_CohesionFactor*EXP(tun_CapsByProject*SUMPRODUCT((Cap_Point&lt;=I969)*(Cap_Kind="Group")*Cap_Ln))</x:f>
        <x:v>1000000.000000001</x:v>
      </x:c>
      <x:c r="N969" s="32" t="n">
        <x:f>MIN(J969,L969,M969)</x:f>
        <x:v>18627.260449441455</x:v>
      </x:c>
      <x:c r="O969" s="10" t="n">
        <x:f>AE968*N969</x:f>
        <x:v>167645.34404497308</x:v>
      </x:c>
      <x:c r="P969" s="9" t="n">
        <x:f>MIN(1,(AB968/(AE968*IF(tun_GroupInCrowding=1,N969,MIN(J969,L969))))^tun_CrowdingExp)</x:f>
        <x:v>0.4215841981292809</x:v>
      </x:c>
      <x:c r="Q969" s="9" t="n">
        <x:f>IF(D969=1,INDEX(tun_WinterMult,G969),1)</x:f>
        <x:v>1</x:v>
      </x:c>
      <x:c r="R969" s="9" t="n">
        <x:f>H969*Z968*tun_WomenShare*tun_BaseFertility*INDEX(tun_FertMult,G969)*Arch_Fertility*(1-P969)</x:f>
        <x:v>0</x:v>
      </x:c>
      <x:c r="S969" s="9" t="n">
        <x:f>H969*Y968*INDEX(tun_MortChild,G969)/4*Q969</x:f>
        <x:v>0</x:v>
      </x:c>
      <x:c r="T969" s="9" t="n">
        <x:f>H969*Z968*INDEX(tun_MortAdult,G969)*Arch_AdultMort/4*Q969</x:f>
        <x:v>0</x:v>
      </x:c>
      <x:c r="U969" s="9" t="n">
        <x:f>H969*AA968*INDEX(tun_MortElder,G969)/4*Q969</x:f>
        <x:v>0</x:v>
      </x:c>
      <x:c r="V969" s="9" t="n">
        <x:f>H969*MAX(0,AB968-O969)*tun_OvercapLoss</x:f>
        <x:v>0</x:v>
      </x:c>
      <x:c r="W969" s="9" t="n">
        <x:f>H969*Y968/(tun_ChildYears*4)</x:f>
        <x:v>0</x:v>
      </x:c>
      <x:c r="X969" s="9" t="n">
        <x:f>H969*Z968/(tun_AdultYears*4)</x:f>
        <x:v>0</x:v>
      </x:c>
      <x:c r="Y969" s="32" t="n">
        <x:f>Y968+R969-S969-W969-Y968*V969/AB968</x:f>
        <x:v>40496.20709015643</x:v>
      </x:c>
      <x:c r="Z969" s="32" t="n">
        <x:f>Z968+W969-X969-T969-Z968*V969/AB968</x:f>
        <x:v>59141.61122890803</x:v>
      </x:c>
      <x:c r="AA969" s="32" t="n">
        <x:f>AA968+X969-U969-AA968*V969/AB968</x:f>
        <x:v>45530.62410925061</x:v>
      </x:c>
      <x:c r="AB969" s="10" t="n">
        <x:f>Y969+Z969+AA969</x:f>
        <x:v>145168.44242831506</x:v>
      </x:c>
      <x:c r="AC969" s="8" t="n">
        <x:f>IF(AND(tun_WinterTrigger=1,D969=1,AB968/AE968&gt;=K969),1,0)</x:f>
        <x:v>0</x:v>
      </x:c>
      <x:c r="AD969" s="8" t="n">
        <x:f>H969*IF(AND(OR(AB968/AE968&gt;=tun_FissionTrigger*N969,AC969=1),AB968/AE968*tun_DaughterShare&gt;=tun_MinDaughter),MAX(1,ROUND(AE968*tun_FissionRate,0)),0)</x:f>
        <x:v>0</x:v>
      </x:c>
      <x:c r="AE969" s="8" t="n">
        <x:f>IF(H969=1,MAX(1,MIN(INDEX(tun_Smax,G969),AE968+AD969)),AE968)</x:f>
        <x:v>9</x:v>
      </x:c>
      <x:c r="AF969" s="8" t="n">
        <x:f>MAX(0,AE969-AE968)</x:f>
        <x:v>0</x:v>
      </x:c>
      <x:c r="AG969" s="9" t="str">
        <x:f>IF(AF969&gt;0,B969,"")</x:f>
      </x:c>
      <x:c r="AH969" s="9" t="n">
        <x:f>IF(F969&gt;=1,1,(1+tun_LowTiesShare*(AE969-1))/AE969)</x:f>
        <x:v>1</x:v>
      </x:c>
      <x:c r="AI969" s="32" t="n">
        <x:f>(Z969+tun_ElderCommons*INDEX(LM_Elder,G969)*AA969)*AH969</x:f>
        <x:v>238215.0665857503</x:v>
      </x:c>
      <x:c r="AJ969" s="32" t="n">
        <x:f>H969*tun_CommonsCoef*AI969^tun_CommonsExp*INDEX(LM_Commons,G969)</x:f>
        <x:v>0</x:v>
      </x:c>
      <x:c r="AK969" s="32" t="n">
        <x:f>H969*tun_RoleScale*Arch_Roles*(AE969*(INDEX(tun_ElderRolePerSett,G969)*tun_OutElder*INDEX(LM_Elder,G969)+INDEX(tun_ShamanPerSett,G969)*tun_OutShaman)+Z969*(INDEX(tun_PriestShare,G969)*tun_OutPriest+INDEX(tun_ScribeShare,G969)*tun_OutScribe*INDEX(LM_Scribe,G969)+INDEX(tun_ScholarShare,G969)*tun_OutScholar*INDEX(LM_Scholar,G969)+INDEX(tun_ResearcherShare,G969)*tun_OutResearcher*INDEX(LM_Researcher,G969)))</x:f>
        <x:v>0</x:v>
      </x:c>
      <x:c r="AL969" s="32" t="n">
        <x:f>H969*tun_RoleScale*Arch_Roles*AE969*INDEX(tun_MonasteryPerSett,G969)*tun_OutMonastery*INDEX(LM_Monastery,G969)</x:f>
        <x:v>0</x:v>
      </x:c>
      <x:c r="AM969" s="32" t="n">
        <x:f>(AJ969+AK969+AL969)/4*INDEX(LM_All,G969)*INDEX(tun_Boon,G969)*Arch_Insight</x:f>
        <x:v>0</x:v>
      </x:c>
      <x:c r="AN969" s="32" t="n">
        <x:f>H969*(tun_KHPerAdult*Z969+tun_KHOfCommons*AJ969/4*INDEX(LM_All,G969))*tun_KHUsable*Arch_KH</x:f>
        <x:v>0</x:v>
      </x:c>
      <x:c r="AO969" s="32" t="n">
        <x:f>MIN(AP968+AN969,AM969*tun_KHMaxRatio)</x:f>
        <x:v>0</x:v>
      </x:c>
      <x:c r="AP969" s="32" t="n">
        <x:f>AP968+AN969-AO969</x:f>
        <x:v>0</x:v>
      </x:c>
      <x:c r="AQ969" s="32" t="n">
        <x:f>AM969+AO969</x:f>
        <x:v>0</x:v>
      </x:c>
      <x:c r="AR969" s="10" t="n">
        <x:f>IF(H969=1,INDEX(tun_Req,G969),0)</x:f>
        <x:v>0</x:v>
      </x:c>
      <x:c r="AS969" s="32" t="n">
        <x:f>IF(H969=1,IF(E969=1,AS968-AR968,AS968)+AQ969,0)</x:f>
        <x:v>0</x:v>
      </x:c>
      <x:c r="AT969" s="11" t="n">
        <x:f>IF(AR969&gt;0,MIN(1,AS969/AR969),1)</x:f>
        <x:v>1</x:v>
      </x:c>
      <x:c r="AU969" s="10" t="n">
        <x:f>AB969/INDEX(tun_RepScale,G969)</x:f>
        <x:v>290.3368848566301</x:v>
      </x:c>
      <x:c r="AV969" s="32" t="n">
        <x:f>AM969*60/tun_SeasonSeconds</x:f>
        <x:v>0</x:v>
      </x:c>
    </x:row>
    <x:row r="970">
      <x:c r="A970" s="8" t="n">
        <x:f>A969+1</x:f>
        <x:v>967</x:v>
      </x:c>
      <x:c r="B970" s="9" t="n">
        <x:f>A970*tun_SeasonSeconds/60</x:f>
        <x:v>241.75</x:v>
      </x:c>
      <x:c r="C970" s="9" t="n">
        <x:f>A970/4</x:f>
        <x:v>241.75</x:v>
      </x:c>
      <x:c r="D970" s="8" t="n">
        <x:f>IF(MOD(A970,4)=0,1,0)</x:f>
        <x:v>0</x:v>
      </x:c>
      <x:c r="E970" s="8" t="n">
        <x:f>IF(AND(F969&lt;=9,AS969&gt;=AR969),1,0)</x:f>
        <x:v>0</x:v>
      </x:c>
      <x:c r="F970" s="8" t="n">
        <x:f>MIN(10,F969+E970)</x:f>
        <x:v>10</x:v>
      </x:c>
      <x:c r="G970" s="8" t="n">
        <x:f>MIN(F970,9)+1</x:f>
        <x:v>10</x:v>
      </x:c>
      <x:c r="H970" s="8" t="n">
        <x:f>IF(F970&lt;=9,1,0)</x:f>
        <x:v>0</x:v>
      </x:c>
      <x:c r="I970" s="9" t="n">
        <x:f>MIN(10,F969+IF(AR969&gt;0,MIN(1,AS969/AR969),1))</x:f>
        <x:v>10</x:v>
      </x:c>
      <x:c r="J970" s="32" t="n">
        <x:f>INDEX(tun_FoodCap,G970)*Arch_FoodCap*EXP(tun_CapsByProject*SUMPRODUCT((Cap_Point&lt;=I970)*(Cap_Kind="Food")*Cap_Ln))</x:f>
        <x:v>18627.260449441455</x:v>
      </x:c>
      <x:c r="K970" s="32" t="n">
        <x:f>J970*MIN(1,tun_LeanBase*EXP(tun_CapsByProject*SUMPRODUCT((Cap_Point&lt;=I970)*(Cap_Kind="Lean")*Cap_Ln)))</x:f>
        <x:v>18627.260449441455</x:v>
      </x:c>
      <x:c r="L970" s="10" t="n">
        <x:f>INDEX(tun_HousingCap,G970)*EXP(tun_CapsByProject*SUMPRODUCT((Cap_Point&lt;=I970)*(Cap_Kind="Housing")*Cap_Ln))</x:f>
        <x:v>20528.974303173167</x:v>
      </x:c>
      <x:c r="M970" s="10" t="n">
        <x:f>INDEX(tun_GroupCap,G970)*tun_CohesionFactor*EXP(tun_CapsByProject*SUMPRODUCT((Cap_Point&lt;=I970)*(Cap_Kind="Group")*Cap_Ln))</x:f>
        <x:v>1000000.000000001</x:v>
      </x:c>
      <x:c r="N970" s="32" t="n">
        <x:f>MIN(J970,L970,M970)</x:f>
        <x:v>18627.260449441455</x:v>
      </x:c>
      <x:c r="O970" s="10" t="n">
        <x:f>AE969*N970</x:f>
        <x:v>167645.34404497308</x:v>
      </x:c>
      <x:c r="P970" s="9" t="n">
        <x:f>MIN(1,(AB969/(AE969*IF(tun_GroupInCrowding=1,N970,MIN(J970,L970))))^tun_CrowdingExp)</x:f>
        <x:v>0.4215841981292809</x:v>
      </x:c>
      <x:c r="Q970" s="9" t="n">
        <x:f>IF(D970=1,INDEX(tun_WinterMult,G970),1)</x:f>
        <x:v>1</x:v>
      </x:c>
      <x:c r="R970" s="9" t="n">
        <x:f>H970*Z969*tun_WomenShare*tun_BaseFertility*INDEX(tun_FertMult,G970)*Arch_Fertility*(1-P970)</x:f>
        <x:v>0</x:v>
      </x:c>
      <x:c r="S970" s="9" t="n">
        <x:f>H970*Y969*INDEX(tun_MortChild,G970)/4*Q970</x:f>
        <x:v>0</x:v>
      </x:c>
      <x:c r="T970" s="9" t="n">
        <x:f>H970*Z969*INDEX(tun_MortAdult,G970)*Arch_AdultMort/4*Q970</x:f>
        <x:v>0</x:v>
      </x:c>
      <x:c r="U970" s="9" t="n">
        <x:f>H970*AA969*INDEX(tun_MortElder,G970)/4*Q970</x:f>
        <x:v>0</x:v>
      </x:c>
      <x:c r="V970" s="9" t="n">
        <x:f>H970*MAX(0,AB969-O970)*tun_OvercapLoss</x:f>
        <x:v>0</x:v>
      </x:c>
      <x:c r="W970" s="9" t="n">
        <x:f>H970*Y969/(tun_ChildYears*4)</x:f>
        <x:v>0</x:v>
      </x:c>
      <x:c r="X970" s="9" t="n">
        <x:f>H970*Z969/(tun_AdultYears*4)</x:f>
        <x:v>0</x:v>
      </x:c>
      <x:c r="Y970" s="32" t="n">
        <x:f>Y969+R970-S970-W970-Y969*V970/AB969</x:f>
        <x:v>40496.20709015643</x:v>
      </x:c>
      <x:c r="Z970" s="32" t="n">
        <x:f>Z969+W970-X970-T970-Z969*V970/AB969</x:f>
        <x:v>59141.61122890803</x:v>
      </x:c>
      <x:c r="AA970" s="32" t="n">
        <x:f>AA969+X970-U970-AA969*V970/AB969</x:f>
        <x:v>45530.62410925061</x:v>
      </x:c>
      <x:c r="AB970" s="10" t="n">
        <x:f>Y970+Z970+AA970</x:f>
        <x:v>145168.44242831506</x:v>
      </x:c>
      <x:c r="AC970" s="8" t="n">
        <x:f>IF(AND(tun_WinterTrigger=1,D970=1,AB969/AE969&gt;=K970),1,0)</x:f>
        <x:v>0</x:v>
      </x:c>
      <x:c r="AD970" s="8" t="n">
        <x:f>H970*IF(AND(OR(AB969/AE969&gt;=tun_FissionTrigger*N970,AC970=1),AB969/AE969*tun_DaughterShare&gt;=tun_MinDaughter),MAX(1,ROUND(AE969*tun_FissionRate,0)),0)</x:f>
        <x:v>0</x:v>
      </x:c>
      <x:c r="AE970" s="8" t="n">
        <x:f>IF(H970=1,MAX(1,MIN(INDEX(tun_Smax,G970),AE969+AD970)),AE969)</x:f>
        <x:v>9</x:v>
      </x:c>
      <x:c r="AF970" s="8" t="n">
        <x:f>MAX(0,AE970-AE969)</x:f>
        <x:v>0</x:v>
      </x:c>
      <x:c r="AG970" s="9" t="str">
        <x:f>IF(AF970&gt;0,B970,"")</x:f>
      </x:c>
      <x:c r="AH970" s="9" t="n">
        <x:f>IF(F970&gt;=1,1,(1+tun_LowTiesShare*(AE970-1))/AE970)</x:f>
        <x:v>1</x:v>
      </x:c>
      <x:c r="AI970" s="32" t="n">
        <x:f>(Z970+tun_ElderCommons*INDEX(LM_Elder,G970)*AA970)*AH970</x:f>
        <x:v>238215.0665857503</x:v>
      </x:c>
      <x:c r="AJ970" s="32" t="n">
        <x:f>H970*tun_CommonsCoef*AI970^tun_CommonsExp*INDEX(LM_Commons,G970)</x:f>
        <x:v>0</x:v>
      </x:c>
      <x:c r="AK970" s="32" t="n">
        <x:f>H970*tun_RoleScale*Arch_Roles*(AE970*(INDEX(tun_ElderRolePerSett,G970)*tun_OutElder*INDEX(LM_Elder,G970)+INDEX(tun_ShamanPerSett,G970)*tun_OutShaman)+Z970*(INDEX(tun_PriestShare,G970)*tun_OutPriest+INDEX(tun_ScribeShare,G970)*tun_OutScribe*INDEX(LM_Scribe,G970)+INDEX(tun_ScholarShare,G970)*tun_OutScholar*INDEX(LM_Scholar,G970)+INDEX(tun_ResearcherShare,G970)*tun_OutResearcher*INDEX(LM_Researcher,G970)))</x:f>
        <x:v>0</x:v>
      </x:c>
      <x:c r="AL970" s="32" t="n">
        <x:f>H970*tun_RoleScale*Arch_Roles*AE970*INDEX(tun_MonasteryPerSett,G970)*tun_OutMonastery*INDEX(LM_Monastery,G970)</x:f>
        <x:v>0</x:v>
      </x:c>
      <x:c r="AM970" s="32" t="n">
        <x:f>(AJ970+AK970+AL970)/4*INDEX(LM_All,G970)*INDEX(tun_Boon,G970)*Arch_Insight</x:f>
        <x:v>0</x:v>
      </x:c>
      <x:c r="AN970" s="32" t="n">
        <x:f>H970*(tun_KHPerAdult*Z970+tun_KHOfCommons*AJ970/4*INDEX(LM_All,G970))*tun_KHUsable*Arch_KH</x:f>
        <x:v>0</x:v>
      </x:c>
      <x:c r="AO970" s="32" t="n">
        <x:f>MIN(AP969+AN970,AM970*tun_KHMaxRatio)</x:f>
        <x:v>0</x:v>
      </x:c>
      <x:c r="AP970" s="32" t="n">
        <x:f>AP969+AN970-AO970</x:f>
        <x:v>0</x:v>
      </x:c>
      <x:c r="AQ970" s="32" t="n">
        <x:f>AM970+AO970</x:f>
        <x:v>0</x:v>
      </x:c>
      <x:c r="AR970" s="10" t="n">
        <x:f>IF(H970=1,INDEX(tun_Req,G970),0)</x:f>
        <x:v>0</x:v>
      </x:c>
      <x:c r="AS970" s="32" t="n">
        <x:f>IF(H970=1,IF(E970=1,AS969-AR969,AS969)+AQ970,0)</x:f>
        <x:v>0</x:v>
      </x:c>
      <x:c r="AT970" s="11" t="n">
        <x:f>IF(AR970&gt;0,MIN(1,AS970/AR970),1)</x:f>
        <x:v>1</x:v>
      </x:c>
      <x:c r="AU970" s="10" t="n">
        <x:f>AB970/INDEX(tun_RepScale,G970)</x:f>
        <x:v>290.3368848566301</x:v>
      </x:c>
      <x:c r="AV970" s="32" t="n">
        <x:f>AM970*60/tun_SeasonSeconds</x:f>
        <x:v>0</x:v>
      </x:c>
    </x:row>
    <x:row r="971">
      <x:c r="A971" s="8" t="n">
        <x:f>A970+1</x:f>
        <x:v>968</x:v>
      </x:c>
      <x:c r="B971" s="9" t="n">
        <x:f>A971*tun_SeasonSeconds/60</x:f>
        <x:v>242</x:v>
      </x:c>
      <x:c r="C971" s="9" t="n">
        <x:f>A971/4</x:f>
        <x:v>242</x:v>
      </x:c>
      <x:c r="D971" s="8" t="n">
        <x:f>IF(MOD(A971,4)=0,1,0)</x:f>
        <x:v>1</x:v>
      </x:c>
      <x:c r="E971" s="8" t="n">
        <x:f>IF(AND(F970&lt;=9,AS970&gt;=AR970),1,0)</x:f>
        <x:v>0</x:v>
      </x:c>
      <x:c r="F971" s="8" t="n">
        <x:f>MIN(10,F970+E971)</x:f>
        <x:v>10</x:v>
      </x:c>
      <x:c r="G971" s="8" t="n">
        <x:f>MIN(F971,9)+1</x:f>
        <x:v>10</x:v>
      </x:c>
      <x:c r="H971" s="8" t="n">
        <x:f>IF(F971&lt;=9,1,0)</x:f>
        <x:v>0</x:v>
      </x:c>
      <x:c r="I971" s="9" t="n">
        <x:f>MIN(10,F970+IF(AR970&gt;0,MIN(1,AS970/AR970),1))</x:f>
        <x:v>10</x:v>
      </x:c>
      <x:c r="J971" s="32" t="n">
        <x:f>INDEX(tun_FoodCap,G971)*Arch_FoodCap*EXP(tun_CapsByProject*SUMPRODUCT((Cap_Point&lt;=I971)*(Cap_Kind="Food")*Cap_Ln))</x:f>
        <x:v>18627.260449441455</x:v>
      </x:c>
      <x:c r="K971" s="32" t="n">
        <x:f>J971*MIN(1,tun_LeanBase*EXP(tun_CapsByProject*SUMPRODUCT((Cap_Point&lt;=I971)*(Cap_Kind="Lean")*Cap_Ln)))</x:f>
        <x:v>18627.260449441455</x:v>
      </x:c>
      <x:c r="L971" s="10" t="n">
        <x:f>INDEX(tun_HousingCap,G971)*EXP(tun_CapsByProject*SUMPRODUCT((Cap_Point&lt;=I971)*(Cap_Kind="Housing")*Cap_Ln))</x:f>
        <x:v>20528.974303173167</x:v>
      </x:c>
      <x:c r="M971" s="10" t="n">
        <x:f>INDEX(tun_GroupCap,G971)*tun_CohesionFactor*EXP(tun_CapsByProject*SUMPRODUCT((Cap_Point&lt;=I971)*(Cap_Kind="Group")*Cap_Ln))</x:f>
        <x:v>1000000.000000001</x:v>
      </x:c>
      <x:c r="N971" s="32" t="n">
        <x:f>MIN(J971,L971,M971)</x:f>
        <x:v>18627.260449441455</x:v>
      </x:c>
      <x:c r="O971" s="10" t="n">
        <x:f>AE970*N971</x:f>
        <x:v>167645.34404497308</x:v>
      </x:c>
      <x:c r="P971" s="9" t="n">
        <x:f>MIN(1,(AB970/(AE970*IF(tun_GroupInCrowding=1,N971,MIN(J971,L971))))^tun_CrowdingExp)</x:f>
        <x:v>0.4215841981292809</x:v>
      </x:c>
      <x:c r="Q971" s="9" t="n">
        <x:f>IF(D971=1,INDEX(tun_WinterMult,G971),1)</x:f>
        <x:v>1.05</x:v>
      </x:c>
      <x:c r="R971" s="9" t="n">
        <x:f>H971*Z970*tun_WomenShare*tun_BaseFertility*INDEX(tun_FertMult,G971)*Arch_Fertility*(1-P971)</x:f>
        <x:v>0</x:v>
      </x:c>
      <x:c r="S971" s="9" t="n">
        <x:f>H971*Y970*INDEX(tun_MortChild,G971)/4*Q971</x:f>
        <x:v>0</x:v>
      </x:c>
      <x:c r="T971" s="9" t="n">
        <x:f>H971*Z970*INDEX(tun_MortAdult,G971)*Arch_AdultMort/4*Q971</x:f>
        <x:v>0</x:v>
      </x:c>
      <x:c r="U971" s="9" t="n">
        <x:f>H971*AA970*INDEX(tun_MortElder,G971)/4*Q971</x:f>
        <x:v>0</x:v>
      </x:c>
      <x:c r="V971" s="9" t="n">
        <x:f>H971*MAX(0,AB970-O971)*tun_OvercapLoss</x:f>
        <x:v>0</x:v>
      </x:c>
      <x:c r="W971" s="9" t="n">
        <x:f>H971*Y970/(tun_ChildYears*4)</x:f>
        <x:v>0</x:v>
      </x:c>
      <x:c r="X971" s="9" t="n">
        <x:f>H971*Z970/(tun_AdultYears*4)</x:f>
        <x:v>0</x:v>
      </x:c>
      <x:c r="Y971" s="32" t="n">
        <x:f>Y970+R971-S971-W971-Y970*V971/AB970</x:f>
        <x:v>40496.20709015643</x:v>
      </x:c>
      <x:c r="Z971" s="32" t="n">
        <x:f>Z970+W971-X971-T971-Z970*V971/AB970</x:f>
        <x:v>59141.61122890803</x:v>
      </x:c>
      <x:c r="AA971" s="32" t="n">
        <x:f>AA970+X971-U971-AA970*V971/AB970</x:f>
        <x:v>45530.62410925061</x:v>
      </x:c>
      <x:c r="AB971" s="10" t="n">
        <x:f>Y971+Z971+AA971</x:f>
        <x:v>145168.44242831506</x:v>
      </x:c>
      <x:c r="AC971" s="8" t="n">
        <x:f>IF(AND(tun_WinterTrigger=1,D971=1,AB970/AE970&gt;=K971),1,0)</x:f>
        <x:v>0</x:v>
      </x:c>
      <x:c r="AD971" s="8" t="n">
        <x:f>H971*IF(AND(OR(AB970/AE970&gt;=tun_FissionTrigger*N971,AC971=1),AB970/AE970*tun_DaughterShare&gt;=tun_MinDaughter),MAX(1,ROUND(AE970*tun_FissionRate,0)),0)</x:f>
        <x:v>0</x:v>
      </x:c>
      <x:c r="AE971" s="8" t="n">
        <x:f>IF(H971=1,MAX(1,MIN(INDEX(tun_Smax,G971),AE970+AD971)),AE970)</x:f>
        <x:v>9</x:v>
      </x:c>
      <x:c r="AF971" s="8" t="n">
        <x:f>MAX(0,AE971-AE970)</x:f>
        <x:v>0</x:v>
      </x:c>
      <x:c r="AG971" s="9" t="str">
        <x:f>IF(AF971&gt;0,B971,"")</x:f>
      </x:c>
      <x:c r="AH971" s="9" t="n">
        <x:f>IF(F971&gt;=1,1,(1+tun_LowTiesShare*(AE971-1))/AE971)</x:f>
        <x:v>1</x:v>
      </x:c>
      <x:c r="AI971" s="32" t="n">
        <x:f>(Z971+tun_ElderCommons*INDEX(LM_Elder,G971)*AA971)*AH971</x:f>
        <x:v>238215.0665857503</x:v>
      </x:c>
      <x:c r="AJ971" s="32" t="n">
        <x:f>H971*tun_CommonsCoef*AI971^tun_CommonsExp*INDEX(LM_Commons,G971)</x:f>
        <x:v>0</x:v>
      </x:c>
      <x:c r="AK971" s="32" t="n">
        <x:f>H971*tun_RoleScale*Arch_Roles*(AE971*(INDEX(tun_ElderRolePerSett,G971)*tun_OutElder*INDEX(LM_Elder,G971)+INDEX(tun_ShamanPerSett,G971)*tun_OutShaman)+Z971*(INDEX(tun_PriestShare,G971)*tun_OutPriest+INDEX(tun_ScribeShare,G971)*tun_OutScribe*INDEX(LM_Scribe,G971)+INDEX(tun_ScholarShare,G971)*tun_OutScholar*INDEX(LM_Scholar,G971)+INDEX(tun_ResearcherShare,G971)*tun_OutResearcher*INDEX(LM_Researcher,G971)))</x:f>
        <x:v>0</x:v>
      </x:c>
      <x:c r="AL971" s="32" t="n">
        <x:f>H971*tun_RoleScale*Arch_Roles*AE971*INDEX(tun_MonasteryPerSett,G971)*tun_OutMonastery*INDEX(LM_Monastery,G971)</x:f>
        <x:v>0</x:v>
      </x:c>
      <x:c r="AM971" s="32" t="n">
        <x:f>(AJ971+AK971+AL971)/4*INDEX(LM_All,G971)*INDEX(tun_Boon,G971)*Arch_Insight</x:f>
        <x:v>0</x:v>
      </x:c>
      <x:c r="AN971" s="32" t="n">
        <x:f>H971*(tun_KHPerAdult*Z971+tun_KHOfCommons*AJ971/4*INDEX(LM_All,G971))*tun_KHUsable*Arch_KH</x:f>
        <x:v>0</x:v>
      </x:c>
      <x:c r="AO971" s="32" t="n">
        <x:f>MIN(AP970+AN971,AM971*tun_KHMaxRatio)</x:f>
        <x:v>0</x:v>
      </x:c>
      <x:c r="AP971" s="32" t="n">
        <x:f>AP970+AN971-AO971</x:f>
        <x:v>0</x:v>
      </x:c>
      <x:c r="AQ971" s="32" t="n">
        <x:f>AM971+AO971</x:f>
        <x:v>0</x:v>
      </x:c>
      <x:c r="AR971" s="10" t="n">
        <x:f>IF(H971=1,INDEX(tun_Req,G971),0)</x:f>
        <x:v>0</x:v>
      </x:c>
      <x:c r="AS971" s="32" t="n">
        <x:f>IF(H971=1,IF(E971=1,AS970-AR970,AS970)+AQ971,0)</x:f>
        <x:v>0</x:v>
      </x:c>
      <x:c r="AT971" s="11" t="n">
        <x:f>IF(AR971&gt;0,MIN(1,AS971/AR971),1)</x:f>
        <x:v>1</x:v>
      </x:c>
      <x:c r="AU971" s="10" t="n">
        <x:f>AB971/INDEX(tun_RepScale,G971)</x:f>
        <x:v>290.3368848566301</x:v>
      </x:c>
      <x:c r="AV971" s="32" t="n">
        <x:f>AM971*60/tun_SeasonSeconds</x:f>
        <x:v>0</x:v>
      </x:c>
    </x:row>
    <x:row r="972">
      <x:c r="A972" s="8" t="n">
        <x:f>A971+1</x:f>
        <x:v>969</x:v>
      </x:c>
      <x:c r="B972" s="9" t="n">
        <x:f>A972*tun_SeasonSeconds/60</x:f>
        <x:v>242.25</x:v>
      </x:c>
      <x:c r="C972" s="9" t="n">
        <x:f>A972/4</x:f>
        <x:v>242.25</x:v>
      </x:c>
      <x:c r="D972" s="8" t="n">
        <x:f>IF(MOD(A972,4)=0,1,0)</x:f>
        <x:v>0</x:v>
      </x:c>
      <x:c r="E972" s="8" t="n">
        <x:f>IF(AND(F971&lt;=9,AS971&gt;=AR971),1,0)</x:f>
        <x:v>0</x:v>
      </x:c>
      <x:c r="F972" s="8" t="n">
        <x:f>MIN(10,F971+E972)</x:f>
        <x:v>10</x:v>
      </x:c>
      <x:c r="G972" s="8" t="n">
        <x:f>MIN(F972,9)+1</x:f>
        <x:v>10</x:v>
      </x:c>
      <x:c r="H972" s="8" t="n">
        <x:f>IF(F972&lt;=9,1,0)</x:f>
        <x:v>0</x:v>
      </x:c>
      <x:c r="I972" s="9" t="n">
        <x:f>MIN(10,F971+IF(AR971&gt;0,MIN(1,AS971/AR971),1))</x:f>
        <x:v>10</x:v>
      </x:c>
      <x:c r="J972" s="32" t="n">
        <x:f>INDEX(tun_FoodCap,G972)*Arch_FoodCap*EXP(tun_CapsByProject*SUMPRODUCT((Cap_Point&lt;=I972)*(Cap_Kind="Food")*Cap_Ln))</x:f>
        <x:v>18627.260449441455</x:v>
      </x:c>
      <x:c r="K972" s="32" t="n">
        <x:f>J972*MIN(1,tun_LeanBase*EXP(tun_CapsByProject*SUMPRODUCT((Cap_Point&lt;=I972)*(Cap_Kind="Lean")*Cap_Ln)))</x:f>
        <x:v>18627.260449441455</x:v>
      </x:c>
      <x:c r="L972" s="10" t="n">
        <x:f>INDEX(tun_HousingCap,G972)*EXP(tun_CapsByProject*SUMPRODUCT((Cap_Point&lt;=I972)*(Cap_Kind="Housing")*Cap_Ln))</x:f>
        <x:v>20528.974303173167</x:v>
      </x:c>
      <x:c r="M972" s="10" t="n">
        <x:f>INDEX(tun_GroupCap,G972)*tun_CohesionFactor*EXP(tun_CapsByProject*SUMPRODUCT((Cap_Point&lt;=I972)*(Cap_Kind="Group")*Cap_Ln))</x:f>
        <x:v>1000000.000000001</x:v>
      </x:c>
      <x:c r="N972" s="32" t="n">
        <x:f>MIN(J972,L972,M972)</x:f>
        <x:v>18627.260449441455</x:v>
      </x:c>
      <x:c r="O972" s="10" t="n">
        <x:f>AE971*N972</x:f>
        <x:v>167645.34404497308</x:v>
      </x:c>
      <x:c r="P972" s="9" t="n">
        <x:f>MIN(1,(AB971/(AE971*IF(tun_GroupInCrowding=1,N972,MIN(J972,L972))))^tun_CrowdingExp)</x:f>
        <x:v>0.4215841981292809</x:v>
      </x:c>
      <x:c r="Q972" s="9" t="n">
        <x:f>IF(D972=1,INDEX(tun_WinterMult,G972),1)</x:f>
        <x:v>1</x:v>
      </x:c>
      <x:c r="R972" s="9" t="n">
        <x:f>H972*Z971*tun_WomenShare*tun_BaseFertility*INDEX(tun_FertMult,G972)*Arch_Fertility*(1-P972)</x:f>
        <x:v>0</x:v>
      </x:c>
      <x:c r="S972" s="9" t="n">
        <x:f>H972*Y971*INDEX(tun_MortChild,G972)/4*Q972</x:f>
        <x:v>0</x:v>
      </x:c>
      <x:c r="T972" s="9" t="n">
        <x:f>H972*Z971*INDEX(tun_MortAdult,G972)*Arch_AdultMort/4*Q972</x:f>
        <x:v>0</x:v>
      </x:c>
      <x:c r="U972" s="9" t="n">
        <x:f>H972*AA971*INDEX(tun_MortElder,G972)/4*Q972</x:f>
        <x:v>0</x:v>
      </x:c>
      <x:c r="V972" s="9" t="n">
        <x:f>H972*MAX(0,AB971-O972)*tun_OvercapLoss</x:f>
        <x:v>0</x:v>
      </x:c>
      <x:c r="W972" s="9" t="n">
        <x:f>H972*Y971/(tun_ChildYears*4)</x:f>
        <x:v>0</x:v>
      </x:c>
      <x:c r="X972" s="9" t="n">
        <x:f>H972*Z971/(tun_AdultYears*4)</x:f>
        <x:v>0</x:v>
      </x:c>
      <x:c r="Y972" s="32" t="n">
        <x:f>Y971+R972-S972-W972-Y971*V972/AB971</x:f>
        <x:v>40496.20709015643</x:v>
      </x:c>
      <x:c r="Z972" s="32" t="n">
        <x:f>Z971+W972-X972-T972-Z971*V972/AB971</x:f>
        <x:v>59141.61122890803</x:v>
      </x:c>
      <x:c r="AA972" s="32" t="n">
        <x:f>AA971+X972-U972-AA971*V972/AB971</x:f>
        <x:v>45530.62410925061</x:v>
      </x:c>
      <x:c r="AB972" s="10" t="n">
        <x:f>Y972+Z972+AA972</x:f>
        <x:v>145168.44242831506</x:v>
      </x:c>
      <x:c r="AC972" s="8" t="n">
        <x:f>IF(AND(tun_WinterTrigger=1,D972=1,AB971/AE971&gt;=K972),1,0)</x:f>
        <x:v>0</x:v>
      </x:c>
      <x:c r="AD972" s="8" t="n">
        <x:f>H972*IF(AND(OR(AB971/AE971&gt;=tun_FissionTrigger*N972,AC972=1),AB971/AE971*tun_DaughterShare&gt;=tun_MinDaughter),MAX(1,ROUND(AE971*tun_FissionRate,0)),0)</x:f>
        <x:v>0</x:v>
      </x:c>
      <x:c r="AE972" s="8" t="n">
        <x:f>IF(H972=1,MAX(1,MIN(INDEX(tun_Smax,G972),AE971+AD972)),AE971)</x:f>
        <x:v>9</x:v>
      </x:c>
      <x:c r="AF972" s="8" t="n">
        <x:f>MAX(0,AE972-AE971)</x:f>
        <x:v>0</x:v>
      </x:c>
      <x:c r="AG972" s="9" t="str">
        <x:f>IF(AF972&gt;0,B972,"")</x:f>
      </x:c>
      <x:c r="AH972" s="9" t="n">
        <x:f>IF(F972&gt;=1,1,(1+tun_LowTiesShare*(AE972-1))/AE972)</x:f>
        <x:v>1</x:v>
      </x:c>
      <x:c r="AI972" s="32" t="n">
        <x:f>(Z972+tun_ElderCommons*INDEX(LM_Elder,G972)*AA972)*AH972</x:f>
        <x:v>238215.0665857503</x:v>
      </x:c>
      <x:c r="AJ972" s="32" t="n">
        <x:f>H972*tun_CommonsCoef*AI972^tun_CommonsExp*INDEX(LM_Commons,G972)</x:f>
        <x:v>0</x:v>
      </x:c>
      <x:c r="AK972" s="32" t="n">
        <x:f>H972*tun_RoleScale*Arch_Roles*(AE972*(INDEX(tun_ElderRolePerSett,G972)*tun_OutElder*INDEX(LM_Elder,G972)+INDEX(tun_ShamanPerSett,G972)*tun_OutShaman)+Z972*(INDEX(tun_PriestShare,G972)*tun_OutPriest+INDEX(tun_ScribeShare,G972)*tun_OutScribe*INDEX(LM_Scribe,G972)+INDEX(tun_ScholarShare,G972)*tun_OutScholar*INDEX(LM_Scholar,G972)+INDEX(tun_ResearcherShare,G972)*tun_OutResearcher*INDEX(LM_Researcher,G972)))</x:f>
        <x:v>0</x:v>
      </x:c>
      <x:c r="AL972" s="32" t="n">
        <x:f>H972*tun_RoleScale*Arch_Roles*AE972*INDEX(tun_MonasteryPerSett,G972)*tun_OutMonastery*INDEX(LM_Monastery,G972)</x:f>
        <x:v>0</x:v>
      </x:c>
      <x:c r="AM972" s="32" t="n">
        <x:f>(AJ972+AK972+AL972)/4*INDEX(LM_All,G972)*INDEX(tun_Boon,G972)*Arch_Insight</x:f>
        <x:v>0</x:v>
      </x:c>
      <x:c r="AN972" s="32" t="n">
        <x:f>H972*(tun_KHPerAdult*Z972+tun_KHOfCommons*AJ972/4*INDEX(LM_All,G972))*tun_KHUsable*Arch_KH</x:f>
        <x:v>0</x:v>
      </x:c>
      <x:c r="AO972" s="32" t="n">
        <x:f>MIN(AP971+AN972,AM972*tun_KHMaxRatio)</x:f>
        <x:v>0</x:v>
      </x:c>
      <x:c r="AP972" s="32" t="n">
        <x:f>AP971+AN972-AO972</x:f>
        <x:v>0</x:v>
      </x:c>
      <x:c r="AQ972" s="32" t="n">
        <x:f>AM972+AO972</x:f>
        <x:v>0</x:v>
      </x:c>
      <x:c r="AR972" s="10" t="n">
        <x:f>IF(H972=1,INDEX(tun_Req,G972),0)</x:f>
        <x:v>0</x:v>
      </x:c>
      <x:c r="AS972" s="32" t="n">
        <x:f>IF(H972=1,IF(E972=1,AS971-AR971,AS971)+AQ972,0)</x:f>
        <x:v>0</x:v>
      </x:c>
      <x:c r="AT972" s="11" t="n">
        <x:f>IF(AR972&gt;0,MIN(1,AS972/AR972),1)</x:f>
        <x:v>1</x:v>
      </x:c>
      <x:c r="AU972" s="10" t="n">
        <x:f>AB972/INDEX(tun_RepScale,G972)</x:f>
        <x:v>290.3368848566301</x:v>
      </x:c>
      <x:c r="AV972" s="32" t="n">
        <x:f>AM972*60/tun_SeasonSeconds</x:f>
        <x:v>0</x:v>
      </x:c>
    </x:row>
    <x:row r="973">
      <x:c r="A973" s="8" t="n">
        <x:f>A972+1</x:f>
        <x:v>970</x:v>
      </x:c>
      <x:c r="B973" s="9" t="n">
        <x:f>A973*tun_SeasonSeconds/60</x:f>
        <x:v>242.5</x:v>
      </x:c>
      <x:c r="C973" s="9" t="n">
        <x:f>A973/4</x:f>
        <x:v>242.5</x:v>
      </x:c>
      <x:c r="D973" s="8" t="n">
        <x:f>IF(MOD(A973,4)=0,1,0)</x:f>
        <x:v>0</x:v>
      </x:c>
      <x:c r="E973" s="8" t="n">
        <x:f>IF(AND(F972&lt;=9,AS972&gt;=AR972),1,0)</x:f>
        <x:v>0</x:v>
      </x:c>
      <x:c r="F973" s="8" t="n">
        <x:f>MIN(10,F972+E973)</x:f>
        <x:v>10</x:v>
      </x:c>
      <x:c r="G973" s="8" t="n">
        <x:f>MIN(F973,9)+1</x:f>
        <x:v>10</x:v>
      </x:c>
      <x:c r="H973" s="8" t="n">
        <x:f>IF(F973&lt;=9,1,0)</x:f>
        <x:v>0</x:v>
      </x:c>
      <x:c r="I973" s="9" t="n">
        <x:f>MIN(10,F972+IF(AR972&gt;0,MIN(1,AS972/AR972),1))</x:f>
        <x:v>10</x:v>
      </x:c>
      <x:c r="J973" s="32" t="n">
        <x:f>INDEX(tun_FoodCap,G973)*Arch_FoodCap*EXP(tun_CapsByProject*SUMPRODUCT((Cap_Point&lt;=I973)*(Cap_Kind="Food")*Cap_Ln))</x:f>
        <x:v>18627.260449441455</x:v>
      </x:c>
      <x:c r="K973" s="32" t="n">
        <x:f>J973*MIN(1,tun_LeanBase*EXP(tun_CapsByProject*SUMPRODUCT((Cap_Point&lt;=I973)*(Cap_Kind="Lean")*Cap_Ln)))</x:f>
        <x:v>18627.260449441455</x:v>
      </x:c>
      <x:c r="L973" s="10" t="n">
        <x:f>INDEX(tun_HousingCap,G973)*EXP(tun_CapsByProject*SUMPRODUCT((Cap_Point&lt;=I973)*(Cap_Kind="Housing")*Cap_Ln))</x:f>
        <x:v>20528.974303173167</x:v>
      </x:c>
      <x:c r="M973" s="10" t="n">
        <x:f>INDEX(tun_GroupCap,G973)*tun_CohesionFactor*EXP(tun_CapsByProject*SUMPRODUCT((Cap_Point&lt;=I973)*(Cap_Kind="Group")*Cap_Ln))</x:f>
        <x:v>1000000.000000001</x:v>
      </x:c>
      <x:c r="N973" s="32" t="n">
        <x:f>MIN(J973,L973,M973)</x:f>
        <x:v>18627.260449441455</x:v>
      </x:c>
      <x:c r="O973" s="10" t="n">
        <x:f>AE972*N973</x:f>
        <x:v>167645.34404497308</x:v>
      </x:c>
      <x:c r="P973" s="9" t="n">
        <x:f>MIN(1,(AB972/(AE972*IF(tun_GroupInCrowding=1,N973,MIN(J973,L973))))^tun_CrowdingExp)</x:f>
        <x:v>0.4215841981292809</x:v>
      </x:c>
      <x:c r="Q973" s="9" t="n">
        <x:f>IF(D973=1,INDEX(tun_WinterMult,G973),1)</x:f>
        <x:v>1</x:v>
      </x:c>
      <x:c r="R973" s="9" t="n">
        <x:f>H973*Z972*tun_WomenShare*tun_BaseFertility*INDEX(tun_FertMult,G973)*Arch_Fertility*(1-P973)</x:f>
        <x:v>0</x:v>
      </x:c>
      <x:c r="S973" s="9" t="n">
        <x:f>H973*Y972*INDEX(tun_MortChild,G973)/4*Q973</x:f>
        <x:v>0</x:v>
      </x:c>
      <x:c r="T973" s="9" t="n">
        <x:f>H973*Z972*INDEX(tun_MortAdult,G973)*Arch_AdultMort/4*Q973</x:f>
        <x:v>0</x:v>
      </x:c>
      <x:c r="U973" s="9" t="n">
        <x:f>H973*AA972*INDEX(tun_MortElder,G973)/4*Q973</x:f>
        <x:v>0</x:v>
      </x:c>
      <x:c r="V973" s="9" t="n">
        <x:f>H973*MAX(0,AB972-O973)*tun_OvercapLoss</x:f>
        <x:v>0</x:v>
      </x:c>
      <x:c r="W973" s="9" t="n">
        <x:f>H973*Y972/(tun_ChildYears*4)</x:f>
        <x:v>0</x:v>
      </x:c>
      <x:c r="X973" s="9" t="n">
        <x:f>H973*Z972/(tun_AdultYears*4)</x:f>
        <x:v>0</x:v>
      </x:c>
      <x:c r="Y973" s="32" t="n">
        <x:f>Y972+R973-S973-W973-Y972*V973/AB972</x:f>
        <x:v>40496.20709015643</x:v>
      </x:c>
      <x:c r="Z973" s="32" t="n">
        <x:f>Z972+W973-X973-T973-Z972*V973/AB972</x:f>
        <x:v>59141.61122890803</x:v>
      </x:c>
      <x:c r="AA973" s="32" t="n">
        <x:f>AA972+X973-U973-AA972*V973/AB972</x:f>
        <x:v>45530.62410925061</x:v>
      </x:c>
      <x:c r="AB973" s="10" t="n">
        <x:f>Y973+Z973+AA973</x:f>
        <x:v>145168.44242831506</x:v>
      </x:c>
      <x:c r="AC973" s="8" t="n">
        <x:f>IF(AND(tun_WinterTrigger=1,D973=1,AB972/AE972&gt;=K973),1,0)</x:f>
        <x:v>0</x:v>
      </x:c>
      <x:c r="AD973" s="8" t="n">
        <x:f>H973*IF(AND(OR(AB972/AE972&gt;=tun_FissionTrigger*N973,AC973=1),AB972/AE972*tun_DaughterShare&gt;=tun_MinDaughter),MAX(1,ROUND(AE972*tun_FissionRate,0)),0)</x:f>
        <x:v>0</x:v>
      </x:c>
      <x:c r="AE973" s="8" t="n">
        <x:f>IF(H973=1,MAX(1,MIN(INDEX(tun_Smax,G973),AE972+AD973)),AE972)</x:f>
        <x:v>9</x:v>
      </x:c>
      <x:c r="AF973" s="8" t="n">
        <x:f>MAX(0,AE973-AE972)</x:f>
        <x:v>0</x:v>
      </x:c>
      <x:c r="AG973" s="9" t="str">
        <x:f>IF(AF973&gt;0,B973,"")</x:f>
      </x:c>
      <x:c r="AH973" s="9" t="n">
        <x:f>IF(F973&gt;=1,1,(1+tun_LowTiesShare*(AE973-1))/AE973)</x:f>
        <x:v>1</x:v>
      </x:c>
      <x:c r="AI973" s="32" t="n">
        <x:f>(Z973+tun_ElderCommons*INDEX(LM_Elder,G973)*AA973)*AH973</x:f>
        <x:v>238215.0665857503</x:v>
      </x:c>
      <x:c r="AJ973" s="32" t="n">
        <x:f>H973*tun_CommonsCoef*AI973^tun_CommonsExp*INDEX(LM_Commons,G973)</x:f>
        <x:v>0</x:v>
      </x:c>
      <x:c r="AK973" s="32" t="n">
        <x:f>H973*tun_RoleScale*Arch_Roles*(AE973*(INDEX(tun_ElderRolePerSett,G973)*tun_OutElder*INDEX(LM_Elder,G973)+INDEX(tun_ShamanPerSett,G973)*tun_OutShaman)+Z973*(INDEX(tun_PriestShare,G973)*tun_OutPriest+INDEX(tun_ScribeShare,G973)*tun_OutScribe*INDEX(LM_Scribe,G973)+INDEX(tun_ScholarShare,G973)*tun_OutScholar*INDEX(LM_Scholar,G973)+INDEX(tun_ResearcherShare,G973)*tun_OutResearcher*INDEX(LM_Researcher,G973)))</x:f>
        <x:v>0</x:v>
      </x:c>
      <x:c r="AL973" s="32" t="n">
        <x:f>H973*tun_RoleScale*Arch_Roles*AE973*INDEX(tun_MonasteryPerSett,G973)*tun_OutMonastery*INDEX(LM_Monastery,G973)</x:f>
        <x:v>0</x:v>
      </x:c>
      <x:c r="AM973" s="32" t="n">
        <x:f>(AJ973+AK973+AL973)/4*INDEX(LM_All,G973)*INDEX(tun_Boon,G973)*Arch_Insight</x:f>
        <x:v>0</x:v>
      </x:c>
      <x:c r="AN973" s="32" t="n">
        <x:f>H973*(tun_KHPerAdult*Z973+tun_KHOfCommons*AJ973/4*INDEX(LM_All,G973))*tun_KHUsable*Arch_KH</x:f>
        <x:v>0</x:v>
      </x:c>
      <x:c r="AO973" s="32" t="n">
        <x:f>MIN(AP972+AN973,AM973*tun_KHMaxRatio)</x:f>
        <x:v>0</x:v>
      </x:c>
      <x:c r="AP973" s="32" t="n">
        <x:f>AP972+AN973-AO973</x:f>
        <x:v>0</x:v>
      </x:c>
      <x:c r="AQ973" s="32" t="n">
        <x:f>AM973+AO973</x:f>
        <x:v>0</x:v>
      </x:c>
      <x:c r="AR973" s="10" t="n">
        <x:f>IF(H973=1,INDEX(tun_Req,G973),0)</x:f>
        <x:v>0</x:v>
      </x:c>
      <x:c r="AS973" s="32" t="n">
        <x:f>IF(H973=1,IF(E973=1,AS972-AR972,AS972)+AQ973,0)</x:f>
        <x:v>0</x:v>
      </x:c>
      <x:c r="AT973" s="11" t="n">
        <x:f>IF(AR973&gt;0,MIN(1,AS973/AR973),1)</x:f>
        <x:v>1</x:v>
      </x:c>
      <x:c r="AU973" s="10" t="n">
        <x:f>AB973/INDEX(tun_RepScale,G973)</x:f>
        <x:v>290.3368848566301</x:v>
      </x:c>
      <x:c r="AV973" s="32" t="n">
        <x:f>AM973*60/tun_SeasonSeconds</x:f>
        <x:v>0</x:v>
      </x:c>
    </x:row>
    <x:row r="974">
      <x:c r="A974" s="8" t="n">
        <x:f>A973+1</x:f>
        <x:v>971</x:v>
      </x:c>
      <x:c r="B974" s="9" t="n">
        <x:f>A974*tun_SeasonSeconds/60</x:f>
        <x:v>242.75</x:v>
      </x:c>
      <x:c r="C974" s="9" t="n">
        <x:f>A974/4</x:f>
        <x:v>242.75</x:v>
      </x:c>
      <x:c r="D974" s="8" t="n">
        <x:f>IF(MOD(A974,4)=0,1,0)</x:f>
        <x:v>0</x:v>
      </x:c>
      <x:c r="E974" s="8" t="n">
        <x:f>IF(AND(F973&lt;=9,AS973&gt;=AR973),1,0)</x:f>
        <x:v>0</x:v>
      </x:c>
      <x:c r="F974" s="8" t="n">
        <x:f>MIN(10,F973+E974)</x:f>
        <x:v>10</x:v>
      </x:c>
      <x:c r="G974" s="8" t="n">
        <x:f>MIN(F974,9)+1</x:f>
        <x:v>10</x:v>
      </x:c>
      <x:c r="H974" s="8" t="n">
        <x:f>IF(F974&lt;=9,1,0)</x:f>
        <x:v>0</x:v>
      </x:c>
      <x:c r="I974" s="9" t="n">
        <x:f>MIN(10,F973+IF(AR973&gt;0,MIN(1,AS973/AR973),1))</x:f>
        <x:v>10</x:v>
      </x:c>
      <x:c r="J974" s="32" t="n">
        <x:f>INDEX(tun_FoodCap,G974)*Arch_FoodCap*EXP(tun_CapsByProject*SUMPRODUCT((Cap_Point&lt;=I974)*(Cap_Kind="Food")*Cap_Ln))</x:f>
        <x:v>18627.260449441455</x:v>
      </x:c>
      <x:c r="K974" s="32" t="n">
        <x:f>J974*MIN(1,tun_LeanBase*EXP(tun_CapsByProject*SUMPRODUCT((Cap_Point&lt;=I974)*(Cap_Kind="Lean")*Cap_Ln)))</x:f>
        <x:v>18627.260449441455</x:v>
      </x:c>
      <x:c r="L974" s="10" t="n">
        <x:f>INDEX(tun_HousingCap,G974)*EXP(tun_CapsByProject*SUMPRODUCT((Cap_Point&lt;=I974)*(Cap_Kind="Housing")*Cap_Ln))</x:f>
        <x:v>20528.974303173167</x:v>
      </x:c>
      <x:c r="M974" s="10" t="n">
        <x:f>INDEX(tun_GroupCap,G974)*tun_CohesionFactor*EXP(tun_CapsByProject*SUMPRODUCT((Cap_Point&lt;=I974)*(Cap_Kind="Group")*Cap_Ln))</x:f>
        <x:v>1000000.000000001</x:v>
      </x:c>
      <x:c r="N974" s="32" t="n">
        <x:f>MIN(J974,L974,M974)</x:f>
        <x:v>18627.260449441455</x:v>
      </x:c>
      <x:c r="O974" s="10" t="n">
        <x:f>AE973*N974</x:f>
        <x:v>167645.34404497308</x:v>
      </x:c>
      <x:c r="P974" s="9" t="n">
        <x:f>MIN(1,(AB973/(AE973*IF(tun_GroupInCrowding=1,N974,MIN(J974,L974))))^tun_CrowdingExp)</x:f>
        <x:v>0.4215841981292809</x:v>
      </x:c>
      <x:c r="Q974" s="9" t="n">
        <x:f>IF(D974=1,INDEX(tun_WinterMult,G974),1)</x:f>
        <x:v>1</x:v>
      </x:c>
      <x:c r="R974" s="9" t="n">
        <x:f>H974*Z973*tun_WomenShare*tun_BaseFertility*INDEX(tun_FertMult,G974)*Arch_Fertility*(1-P974)</x:f>
        <x:v>0</x:v>
      </x:c>
      <x:c r="S974" s="9" t="n">
        <x:f>H974*Y973*INDEX(tun_MortChild,G974)/4*Q974</x:f>
        <x:v>0</x:v>
      </x:c>
      <x:c r="T974" s="9" t="n">
        <x:f>H974*Z973*INDEX(tun_MortAdult,G974)*Arch_AdultMort/4*Q974</x:f>
        <x:v>0</x:v>
      </x:c>
      <x:c r="U974" s="9" t="n">
        <x:f>H974*AA973*INDEX(tun_MortElder,G974)/4*Q974</x:f>
        <x:v>0</x:v>
      </x:c>
      <x:c r="V974" s="9" t="n">
        <x:f>H974*MAX(0,AB973-O974)*tun_OvercapLoss</x:f>
        <x:v>0</x:v>
      </x:c>
      <x:c r="W974" s="9" t="n">
        <x:f>H974*Y973/(tun_ChildYears*4)</x:f>
        <x:v>0</x:v>
      </x:c>
      <x:c r="X974" s="9" t="n">
        <x:f>H974*Z973/(tun_AdultYears*4)</x:f>
        <x:v>0</x:v>
      </x:c>
      <x:c r="Y974" s="32" t="n">
        <x:f>Y973+R974-S974-W974-Y973*V974/AB973</x:f>
        <x:v>40496.20709015643</x:v>
      </x:c>
      <x:c r="Z974" s="32" t="n">
        <x:f>Z973+W974-X974-T974-Z973*V974/AB973</x:f>
        <x:v>59141.61122890803</x:v>
      </x:c>
      <x:c r="AA974" s="32" t="n">
        <x:f>AA973+X974-U974-AA973*V974/AB973</x:f>
        <x:v>45530.62410925061</x:v>
      </x:c>
      <x:c r="AB974" s="10" t="n">
        <x:f>Y974+Z974+AA974</x:f>
        <x:v>145168.44242831506</x:v>
      </x:c>
      <x:c r="AC974" s="8" t="n">
        <x:f>IF(AND(tun_WinterTrigger=1,D974=1,AB973/AE973&gt;=K974),1,0)</x:f>
        <x:v>0</x:v>
      </x:c>
      <x:c r="AD974" s="8" t="n">
        <x:f>H974*IF(AND(OR(AB973/AE973&gt;=tun_FissionTrigger*N974,AC974=1),AB973/AE973*tun_DaughterShare&gt;=tun_MinDaughter),MAX(1,ROUND(AE973*tun_FissionRate,0)),0)</x:f>
        <x:v>0</x:v>
      </x:c>
      <x:c r="AE974" s="8" t="n">
        <x:f>IF(H974=1,MAX(1,MIN(INDEX(tun_Smax,G974),AE973+AD974)),AE973)</x:f>
        <x:v>9</x:v>
      </x:c>
      <x:c r="AF974" s="8" t="n">
        <x:f>MAX(0,AE974-AE973)</x:f>
        <x:v>0</x:v>
      </x:c>
      <x:c r="AG974" s="9" t="str">
        <x:f>IF(AF974&gt;0,B974,"")</x:f>
      </x:c>
      <x:c r="AH974" s="9" t="n">
        <x:f>IF(F974&gt;=1,1,(1+tun_LowTiesShare*(AE974-1))/AE974)</x:f>
        <x:v>1</x:v>
      </x:c>
      <x:c r="AI974" s="32" t="n">
        <x:f>(Z974+tun_ElderCommons*INDEX(LM_Elder,G974)*AA974)*AH974</x:f>
        <x:v>238215.0665857503</x:v>
      </x:c>
      <x:c r="AJ974" s="32" t="n">
        <x:f>H974*tun_CommonsCoef*AI974^tun_CommonsExp*INDEX(LM_Commons,G974)</x:f>
        <x:v>0</x:v>
      </x:c>
      <x:c r="AK974" s="32" t="n">
        <x:f>H974*tun_RoleScale*Arch_Roles*(AE974*(INDEX(tun_ElderRolePerSett,G974)*tun_OutElder*INDEX(LM_Elder,G974)+INDEX(tun_ShamanPerSett,G974)*tun_OutShaman)+Z974*(INDEX(tun_PriestShare,G974)*tun_OutPriest+INDEX(tun_ScribeShare,G974)*tun_OutScribe*INDEX(LM_Scribe,G974)+INDEX(tun_ScholarShare,G974)*tun_OutScholar*INDEX(LM_Scholar,G974)+INDEX(tun_ResearcherShare,G974)*tun_OutResearcher*INDEX(LM_Researcher,G974)))</x:f>
        <x:v>0</x:v>
      </x:c>
      <x:c r="AL974" s="32" t="n">
        <x:f>H974*tun_RoleScale*Arch_Roles*AE974*INDEX(tun_MonasteryPerSett,G974)*tun_OutMonastery*INDEX(LM_Monastery,G974)</x:f>
        <x:v>0</x:v>
      </x:c>
      <x:c r="AM974" s="32" t="n">
        <x:f>(AJ974+AK974+AL974)/4*INDEX(LM_All,G974)*INDEX(tun_Boon,G974)*Arch_Insight</x:f>
        <x:v>0</x:v>
      </x:c>
      <x:c r="AN974" s="32" t="n">
        <x:f>H974*(tun_KHPerAdult*Z974+tun_KHOfCommons*AJ974/4*INDEX(LM_All,G974))*tun_KHUsable*Arch_KH</x:f>
        <x:v>0</x:v>
      </x:c>
      <x:c r="AO974" s="32" t="n">
        <x:f>MIN(AP973+AN974,AM974*tun_KHMaxRatio)</x:f>
        <x:v>0</x:v>
      </x:c>
      <x:c r="AP974" s="32" t="n">
        <x:f>AP973+AN974-AO974</x:f>
        <x:v>0</x:v>
      </x:c>
      <x:c r="AQ974" s="32" t="n">
        <x:f>AM974+AO974</x:f>
        <x:v>0</x:v>
      </x:c>
      <x:c r="AR974" s="10" t="n">
        <x:f>IF(H974=1,INDEX(tun_Req,G974),0)</x:f>
        <x:v>0</x:v>
      </x:c>
      <x:c r="AS974" s="32" t="n">
        <x:f>IF(H974=1,IF(E974=1,AS973-AR973,AS973)+AQ974,0)</x:f>
        <x:v>0</x:v>
      </x:c>
      <x:c r="AT974" s="11" t="n">
        <x:f>IF(AR974&gt;0,MIN(1,AS974/AR974),1)</x:f>
        <x:v>1</x:v>
      </x:c>
      <x:c r="AU974" s="10" t="n">
        <x:f>AB974/INDEX(tun_RepScale,G974)</x:f>
        <x:v>290.3368848566301</x:v>
      </x:c>
      <x:c r="AV974" s="32" t="n">
        <x:f>AM974*60/tun_SeasonSeconds</x:f>
        <x:v>0</x:v>
      </x:c>
    </x:row>
    <x:row r="975">
      <x:c r="A975" s="8" t="n">
        <x:f>A974+1</x:f>
        <x:v>972</x:v>
      </x:c>
      <x:c r="B975" s="9" t="n">
        <x:f>A975*tun_SeasonSeconds/60</x:f>
        <x:v>243</x:v>
      </x:c>
      <x:c r="C975" s="9" t="n">
        <x:f>A975/4</x:f>
        <x:v>243</x:v>
      </x:c>
      <x:c r="D975" s="8" t="n">
        <x:f>IF(MOD(A975,4)=0,1,0)</x:f>
        <x:v>1</x:v>
      </x:c>
      <x:c r="E975" s="8" t="n">
        <x:f>IF(AND(F974&lt;=9,AS974&gt;=AR974),1,0)</x:f>
        <x:v>0</x:v>
      </x:c>
      <x:c r="F975" s="8" t="n">
        <x:f>MIN(10,F974+E975)</x:f>
        <x:v>10</x:v>
      </x:c>
      <x:c r="G975" s="8" t="n">
        <x:f>MIN(F975,9)+1</x:f>
        <x:v>10</x:v>
      </x:c>
      <x:c r="H975" s="8" t="n">
        <x:f>IF(F975&lt;=9,1,0)</x:f>
        <x:v>0</x:v>
      </x:c>
      <x:c r="I975" s="9" t="n">
        <x:f>MIN(10,F974+IF(AR974&gt;0,MIN(1,AS974/AR974),1))</x:f>
        <x:v>10</x:v>
      </x:c>
      <x:c r="J975" s="32" t="n">
        <x:f>INDEX(tun_FoodCap,G975)*Arch_FoodCap*EXP(tun_CapsByProject*SUMPRODUCT((Cap_Point&lt;=I975)*(Cap_Kind="Food")*Cap_Ln))</x:f>
        <x:v>18627.260449441455</x:v>
      </x:c>
      <x:c r="K975" s="32" t="n">
        <x:f>J975*MIN(1,tun_LeanBase*EXP(tun_CapsByProject*SUMPRODUCT((Cap_Point&lt;=I975)*(Cap_Kind="Lean")*Cap_Ln)))</x:f>
        <x:v>18627.260449441455</x:v>
      </x:c>
      <x:c r="L975" s="10" t="n">
        <x:f>INDEX(tun_HousingCap,G975)*EXP(tun_CapsByProject*SUMPRODUCT((Cap_Point&lt;=I975)*(Cap_Kind="Housing")*Cap_Ln))</x:f>
        <x:v>20528.974303173167</x:v>
      </x:c>
      <x:c r="M975" s="10" t="n">
        <x:f>INDEX(tun_GroupCap,G975)*tun_CohesionFactor*EXP(tun_CapsByProject*SUMPRODUCT((Cap_Point&lt;=I975)*(Cap_Kind="Group")*Cap_Ln))</x:f>
        <x:v>1000000.000000001</x:v>
      </x:c>
      <x:c r="N975" s="32" t="n">
        <x:f>MIN(J975,L975,M975)</x:f>
        <x:v>18627.260449441455</x:v>
      </x:c>
      <x:c r="O975" s="10" t="n">
        <x:f>AE974*N975</x:f>
        <x:v>167645.34404497308</x:v>
      </x:c>
      <x:c r="P975" s="9" t="n">
        <x:f>MIN(1,(AB974/(AE974*IF(tun_GroupInCrowding=1,N975,MIN(J975,L975))))^tun_CrowdingExp)</x:f>
        <x:v>0.4215841981292809</x:v>
      </x:c>
      <x:c r="Q975" s="9" t="n">
        <x:f>IF(D975=1,INDEX(tun_WinterMult,G975),1)</x:f>
        <x:v>1.05</x:v>
      </x:c>
      <x:c r="R975" s="9" t="n">
        <x:f>H975*Z974*tun_WomenShare*tun_BaseFertility*INDEX(tun_FertMult,G975)*Arch_Fertility*(1-P975)</x:f>
        <x:v>0</x:v>
      </x:c>
      <x:c r="S975" s="9" t="n">
        <x:f>H975*Y974*INDEX(tun_MortChild,G975)/4*Q975</x:f>
        <x:v>0</x:v>
      </x:c>
      <x:c r="T975" s="9" t="n">
        <x:f>H975*Z974*INDEX(tun_MortAdult,G975)*Arch_AdultMort/4*Q975</x:f>
        <x:v>0</x:v>
      </x:c>
      <x:c r="U975" s="9" t="n">
        <x:f>H975*AA974*INDEX(tun_MortElder,G975)/4*Q975</x:f>
        <x:v>0</x:v>
      </x:c>
      <x:c r="V975" s="9" t="n">
        <x:f>H975*MAX(0,AB974-O975)*tun_OvercapLoss</x:f>
        <x:v>0</x:v>
      </x:c>
      <x:c r="W975" s="9" t="n">
        <x:f>H975*Y974/(tun_ChildYears*4)</x:f>
        <x:v>0</x:v>
      </x:c>
      <x:c r="X975" s="9" t="n">
        <x:f>H975*Z974/(tun_AdultYears*4)</x:f>
        <x:v>0</x:v>
      </x:c>
      <x:c r="Y975" s="32" t="n">
        <x:f>Y974+R975-S975-W975-Y974*V975/AB974</x:f>
        <x:v>40496.20709015643</x:v>
      </x:c>
      <x:c r="Z975" s="32" t="n">
        <x:f>Z974+W975-X975-T975-Z974*V975/AB974</x:f>
        <x:v>59141.61122890803</x:v>
      </x:c>
      <x:c r="AA975" s="32" t="n">
        <x:f>AA974+X975-U975-AA974*V975/AB974</x:f>
        <x:v>45530.62410925061</x:v>
      </x:c>
      <x:c r="AB975" s="10" t="n">
        <x:f>Y975+Z975+AA975</x:f>
        <x:v>145168.44242831506</x:v>
      </x:c>
      <x:c r="AC975" s="8" t="n">
        <x:f>IF(AND(tun_WinterTrigger=1,D975=1,AB974/AE974&gt;=K975),1,0)</x:f>
        <x:v>0</x:v>
      </x:c>
      <x:c r="AD975" s="8" t="n">
        <x:f>H975*IF(AND(OR(AB974/AE974&gt;=tun_FissionTrigger*N975,AC975=1),AB974/AE974*tun_DaughterShare&gt;=tun_MinDaughter),MAX(1,ROUND(AE974*tun_FissionRate,0)),0)</x:f>
        <x:v>0</x:v>
      </x:c>
      <x:c r="AE975" s="8" t="n">
        <x:f>IF(H975=1,MAX(1,MIN(INDEX(tun_Smax,G975),AE974+AD975)),AE974)</x:f>
        <x:v>9</x:v>
      </x:c>
      <x:c r="AF975" s="8" t="n">
        <x:f>MAX(0,AE975-AE974)</x:f>
        <x:v>0</x:v>
      </x:c>
      <x:c r="AG975" s="9" t="str">
        <x:f>IF(AF975&gt;0,B975,"")</x:f>
      </x:c>
      <x:c r="AH975" s="9" t="n">
        <x:f>IF(F975&gt;=1,1,(1+tun_LowTiesShare*(AE975-1))/AE975)</x:f>
        <x:v>1</x:v>
      </x:c>
      <x:c r="AI975" s="32" t="n">
        <x:f>(Z975+tun_ElderCommons*INDEX(LM_Elder,G975)*AA975)*AH975</x:f>
        <x:v>238215.0665857503</x:v>
      </x:c>
      <x:c r="AJ975" s="32" t="n">
        <x:f>H975*tun_CommonsCoef*AI975^tun_CommonsExp*INDEX(LM_Commons,G975)</x:f>
        <x:v>0</x:v>
      </x:c>
      <x:c r="AK975" s="32" t="n">
        <x:f>H975*tun_RoleScale*Arch_Roles*(AE975*(INDEX(tun_ElderRolePerSett,G975)*tun_OutElder*INDEX(LM_Elder,G975)+INDEX(tun_ShamanPerSett,G975)*tun_OutShaman)+Z975*(INDEX(tun_PriestShare,G975)*tun_OutPriest+INDEX(tun_ScribeShare,G975)*tun_OutScribe*INDEX(LM_Scribe,G975)+INDEX(tun_ScholarShare,G975)*tun_OutScholar*INDEX(LM_Scholar,G975)+INDEX(tun_ResearcherShare,G975)*tun_OutResearcher*INDEX(LM_Researcher,G975)))</x:f>
        <x:v>0</x:v>
      </x:c>
      <x:c r="AL975" s="32" t="n">
        <x:f>H975*tun_RoleScale*Arch_Roles*AE975*INDEX(tun_MonasteryPerSett,G975)*tun_OutMonastery*INDEX(LM_Monastery,G975)</x:f>
        <x:v>0</x:v>
      </x:c>
      <x:c r="AM975" s="32" t="n">
        <x:f>(AJ975+AK975+AL975)/4*INDEX(LM_All,G975)*INDEX(tun_Boon,G975)*Arch_Insight</x:f>
        <x:v>0</x:v>
      </x:c>
      <x:c r="AN975" s="32" t="n">
        <x:f>H975*(tun_KHPerAdult*Z975+tun_KHOfCommons*AJ975/4*INDEX(LM_All,G975))*tun_KHUsable*Arch_KH</x:f>
        <x:v>0</x:v>
      </x:c>
      <x:c r="AO975" s="32" t="n">
        <x:f>MIN(AP974+AN975,AM975*tun_KHMaxRatio)</x:f>
        <x:v>0</x:v>
      </x:c>
      <x:c r="AP975" s="32" t="n">
        <x:f>AP974+AN975-AO975</x:f>
        <x:v>0</x:v>
      </x:c>
      <x:c r="AQ975" s="32" t="n">
        <x:f>AM975+AO975</x:f>
        <x:v>0</x:v>
      </x:c>
      <x:c r="AR975" s="10" t="n">
        <x:f>IF(H975=1,INDEX(tun_Req,G975),0)</x:f>
        <x:v>0</x:v>
      </x:c>
      <x:c r="AS975" s="32" t="n">
        <x:f>IF(H975=1,IF(E975=1,AS974-AR974,AS974)+AQ975,0)</x:f>
        <x:v>0</x:v>
      </x:c>
      <x:c r="AT975" s="11" t="n">
        <x:f>IF(AR975&gt;0,MIN(1,AS975/AR975),1)</x:f>
        <x:v>1</x:v>
      </x:c>
      <x:c r="AU975" s="10" t="n">
        <x:f>AB975/INDEX(tun_RepScale,G975)</x:f>
        <x:v>290.3368848566301</x:v>
      </x:c>
      <x:c r="AV975" s="32" t="n">
        <x:f>AM975*60/tun_SeasonSeconds</x:f>
        <x:v>0</x:v>
      </x:c>
    </x:row>
    <x:row r="976">
      <x:c r="A976" s="8" t="n">
        <x:f>A975+1</x:f>
        <x:v>973</x:v>
      </x:c>
      <x:c r="B976" s="9" t="n">
        <x:f>A976*tun_SeasonSeconds/60</x:f>
        <x:v>243.25</x:v>
      </x:c>
      <x:c r="C976" s="9" t="n">
        <x:f>A976/4</x:f>
        <x:v>243.25</x:v>
      </x:c>
      <x:c r="D976" s="8" t="n">
        <x:f>IF(MOD(A976,4)=0,1,0)</x:f>
        <x:v>0</x:v>
      </x:c>
      <x:c r="E976" s="8" t="n">
        <x:f>IF(AND(F975&lt;=9,AS975&gt;=AR975),1,0)</x:f>
        <x:v>0</x:v>
      </x:c>
      <x:c r="F976" s="8" t="n">
        <x:f>MIN(10,F975+E976)</x:f>
        <x:v>10</x:v>
      </x:c>
      <x:c r="G976" s="8" t="n">
        <x:f>MIN(F976,9)+1</x:f>
        <x:v>10</x:v>
      </x:c>
      <x:c r="H976" s="8" t="n">
        <x:f>IF(F976&lt;=9,1,0)</x:f>
        <x:v>0</x:v>
      </x:c>
      <x:c r="I976" s="9" t="n">
        <x:f>MIN(10,F975+IF(AR975&gt;0,MIN(1,AS975/AR975),1))</x:f>
        <x:v>10</x:v>
      </x:c>
      <x:c r="J976" s="32" t="n">
        <x:f>INDEX(tun_FoodCap,G976)*Arch_FoodCap*EXP(tun_CapsByProject*SUMPRODUCT((Cap_Point&lt;=I976)*(Cap_Kind="Food")*Cap_Ln))</x:f>
        <x:v>18627.260449441455</x:v>
      </x:c>
      <x:c r="K976" s="32" t="n">
        <x:f>J976*MIN(1,tun_LeanBase*EXP(tun_CapsByProject*SUMPRODUCT((Cap_Point&lt;=I976)*(Cap_Kind="Lean")*Cap_Ln)))</x:f>
        <x:v>18627.260449441455</x:v>
      </x:c>
      <x:c r="L976" s="10" t="n">
        <x:f>INDEX(tun_HousingCap,G976)*EXP(tun_CapsByProject*SUMPRODUCT((Cap_Point&lt;=I976)*(Cap_Kind="Housing")*Cap_Ln))</x:f>
        <x:v>20528.974303173167</x:v>
      </x:c>
      <x:c r="M976" s="10" t="n">
        <x:f>INDEX(tun_GroupCap,G976)*tun_CohesionFactor*EXP(tun_CapsByProject*SUMPRODUCT((Cap_Point&lt;=I976)*(Cap_Kind="Group")*Cap_Ln))</x:f>
        <x:v>1000000.000000001</x:v>
      </x:c>
      <x:c r="N976" s="32" t="n">
        <x:f>MIN(J976,L976,M976)</x:f>
        <x:v>18627.260449441455</x:v>
      </x:c>
      <x:c r="O976" s="10" t="n">
        <x:f>AE975*N976</x:f>
        <x:v>167645.34404497308</x:v>
      </x:c>
      <x:c r="P976" s="9" t="n">
        <x:f>MIN(1,(AB975/(AE975*IF(tun_GroupInCrowding=1,N976,MIN(J976,L976))))^tun_CrowdingExp)</x:f>
        <x:v>0.4215841981292809</x:v>
      </x:c>
      <x:c r="Q976" s="9" t="n">
        <x:f>IF(D976=1,INDEX(tun_WinterMult,G976),1)</x:f>
        <x:v>1</x:v>
      </x:c>
      <x:c r="R976" s="9" t="n">
        <x:f>H976*Z975*tun_WomenShare*tun_BaseFertility*INDEX(tun_FertMult,G976)*Arch_Fertility*(1-P976)</x:f>
        <x:v>0</x:v>
      </x:c>
      <x:c r="S976" s="9" t="n">
        <x:f>H976*Y975*INDEX(tun_MortChild,G976)/4*Q976</x:f>
        <x:v>0</x:v>
      </x:c>
      <x:c r="T976" s="9" t="n">
        <x:f>H976*Z975*INDEX(tun_MortAdult,G976)*Arch_AdultMort/4*Q976</x:f>
        <x:v>0</x:v>
      </x:c>
      <x:c r="U976" s="9" t="n">
        <x:f>H976*AA975*INDEX(tun_MortElder,G976)/4*Q976</x:f>
        <x:v>0</x:v>
      </x:c>
      <x:c r="V976" s="9" t="n">
        <x:f>H976*MAX(0,AB975-O976)*tun_OvercapLoss</x:f>
        <x:v>0</x:v>
      </x:c>
      <x:c r="W976" s="9" t="n">
        <x:f>H976*Y975/(tun_ChildYears*4)</x:f>
        <x:v>0</x:v>
      </x:c>
      <x:c r="X976" s="9" t="n">
        <x:f>H976*Z975/(tun_AdultYears*4)</x:f>
        <x:v>0</x:v>
      </x:c>
      <x:c r="Y976" s="32" t="n">
        <x:f>Y975+R976-S976-W976-Y975*V976/AB975</x:f>
        <x:v>40496.20709015643</x:v>
      </x:c>
      <x:c r="Z976" s="32" t="n">
        <x:f>Z975+W976-X976-T976-Z975*V976/AB975</x:f>
        <x:v>59141.61122890803</x:v>
      </x:c>
      <x:c r="AA976" s="32" t="n">
        <x:f>AA975+X976-U976-AA975*V976/AB975</x:f>
        <x:v>45530.62410925061</x:v>
      </x:c>
      <x:c r="AB976" s="10" t="n">
        <x:f>Y976+Z976+AA976</x:f>
        <x:v>145168.44242831506</x:v>
      </x:c>
      <x:c r="AC976" s="8" t="n">
        <x:f>IF(AND(tun_WinterTrigger=1,D976=1,AB975/AE975&gt;=K976),1,0)</x:f>
        <x:v>0</x:v>
      </x:c>
      <x:c r="AD976" s="8" t="n">
        <x:f>H976*IF(AND(OR(AB975/AE975&gt;=tun_FissionTrigger*N976,AC976=1),AB975/AE975*tun_DaughterShare&gt;=tun_MinDaughter),MAX(1,ROUND(AE975*tun_FissionRate,0)),0)</x:f>
        <x:v>0</x:v>
      </x:c>
      <x:c r="AE976" s="8" t="n">
        <x:f>IF(H976=1,MAX(1,MIN(INDEX(tun_Smax,G976),AE975+AD976)),AE975)</x:f>
        <x:v>9</x:v>
      </x:c>
      <x:c r="AF976" s="8" t="n">
        <x:f>MAX(0,AE976-AE975)</x:f>
        <x:v>0</x:v>
      </x:c>
      <x:c r="AG976" s="9" t="str">
        <x:f>IF(AF976&gt;0,B976,"")</x:f>
      </x:c>
      <x:c r="AH976" s="9" t="n">
        <x:f>IF(F976&gt;=1,1,(1+tun_LowTiesShare*(AE976-1))/AE976)</x:f>
        <x:v>1</x:v>
      </x:c>
      <x:c r="AI976" s="32" t="n">
        <x:f>(Z976+tun_ElderCommons*INDEX(LM_Elder,G976)*AA976)*AH976</x:f>
        <x:v>238215.0665857503</x:v>
      </x:c>
      <x:c r="AJ976" s="32" t="n">
        <x:f>H976*tun_CommonsCoef*AI976^tun_CommonsExp*INDEX(LM_Commons,G976)</x:f>
        <x:v>0</x:v>
      </x:c>
      <x:c r="AK976" s="32" t="n">
        <x:f>H976*tun_RoleScale*Arch_Roles*(AE976*(INDEX(tun_ElderRolePerSett,G976)*tun_OutElder*INDEX(LM_Elder,G976)+INDEX(tun_ShamanPerSett,G976)*tun_OutShaman)+Z976*(INDEX(tun_PriestShare,G976)*tun_OutPriest+INDEX(tun_ScribeShare,G976)*tun_OutScribe*INDEX(LM_Scribe,G976)+INDEX(tun_ScholarShare,G976)*tun_OutScholar*INDEX(LM_Scholar,G976)+INDEX(tun_ResearcherShare,G976)*tun_OutResearcher*INDEX(LM_Researcher,G976)))</x:f>
        <x:v>0</x:v>
      </x:c>
      <x:c r="AL976" s="32" t="n">
        <x:f>H976*tun_RoleScale*Arch_Roles*AE976*INDEX(tun_MonasteryPerSett,G976)*tun_OutMonastery*INDEX(LM_Monastery,G976)</x:f>
        <x:v>0</x:v>
      </x:c>
      <x:c r="AM976" s="32" t="n">
        <x:f>(AJ976+AK976+AL976)/4*INDEX(LM_All,G976)*INDEX(tun_Boon,G976)*Arch_Insight</x:f>
        <x:v>0</x:v>
      </x:c>
      <x:c r="AN976" s="32" t="n">
        <x:f>H976*(tun_KHPerAdult*Z976+tun_KHOfCommons*AJ976/4*INDEX(LM_All,G976))*tun_KHUsable*Arch_KH</x:f>
        <x:v>0</x:v>
      </x:c>
      <x:c r="AO976" s="32" t="n">
        <x:f>MIN(AP975+AN976,AM976*tun_KHMaxRatio)</x:f>
        <x:v>0</x:v>
      </x:c>
      <x:c r="AP976" s="32" t="n">
        <x:f>AP975+AN976-AO976</x:f>
        <x:v>0</x:v>
      </x:c>
      <x:c r="AQ976" s="32" t="n">
        <x:f>AM976+AO976</x:f>
        <x:v>0</x:v>
      </x:c>
      <x:c r="AR976" s="10" t="n">
        <x:f>IF(H976=1,INDEX(tun_Req,G976),0)</x:f>
        <x:v>0</x:v>
      </x:c>
      <x:c r="AS976" s="32" t="n">
        <x:f>IF(H976=1,IF(E976=1,AS975-AR975,AS975)+AQ976,0)</x:f>
        <x:v>0</x:v>
      </x:c>
      <x:c r="AT976" s="11" t="n">
        <x:f>IF(AR976&gt;0,MIN(1,AS976/AR976),1)</x:f>
        <x:v>1</x:v>
      </x:c>
      <x:c r="AU976" s="10" t="n">
        <x:f>AB976/INDEX(tun_RepScale,G976)</x:f>
        <x:v>290.3368848566301</x:v>
      </x:c>
      <x:c r="AV976" s="32" t="n">
        <x:f>AM976*60/tun_SeasonSeconds</x:f>
        <x:v>0</x:v>
      </x:c>
    </x:row>
    <x:row r="977">
      <x:c r="A977" s="8" t="n">
        <x:f>A976+1</x:f>
        <x:v>974</x:v>
      </x:c>
      <x:c r="B977" s="9" t="n">
        <x:f>A977*tun_SeasonSeconds/60</x:f>
        <x:v>243.5</x:v>
      </x:c>
      <x:c r="C977" s="9" t="n">
        <x:f>A977/4</x:f>
        <x:v>243.5</x:v>
      </x:c>
      <x:c r="D977" s="8" t="n">
        <x:f>IF(MOD(A977,4)=0,1,0)</x:f>
        <x:v>0</x:v>
      </x:c>
      <x:c r="E977" s="8" t="n">
        <x:f>IF(AND(F976&lt;=9,AS976&gt;=AR976),1,0)</x:f>
        <x:v>0</x:v>
      </x:c>
      <x:c r="F977" s="8" t="n">
        <x:f>MIN(10,F976+E977)</x:f>
        <x:v>10</x:v>
      </x:c>
      <x:c r="G977" s="8" t="n">
        <x:f>MIN(F977,9)+1</x:f>
        <x:v>10</x:v>
      </x:c>
      <x:c r="H977" s="8" t="n">
        <x:f>IF(F977&lt;=9,1,0)</x:f>
        <x:v>0</x:v>
      </x:c>
      <x:c r="I977" s="9" t="n">
        <x:f>MIN(10,F976+IF(AR976&gt;0,MIN(1,AS976/AR976),1))</x:f>
        <x:v>10</x:v>
      </x:c>
      <x:c r="J977" s="32" t="n">
        <x:f>INDEX(tun_FoodCap,G977)*Arch_FoodCap*EXP(tun_CapsByProject*SUMPRODUCT((Cap_Point&lt;=I977)*(Cap_Kind="Food")*Cap_Ln))</x:f>
        <x:v>18627.260449441455</x:v>
      </x:c>
      <x:c r="K977" s="32" t="n">
        <x:f>J977*MIN(1,tun_LeanBase*EXP(tun_CapsByProject*SUMPRODUCT((Cap_Point&lt;=I977)*(Cap_Kind="Lean")*Cap_Ln)))</x:f>
        <x:v>18627.260449441455</x:v>
      </x:c>
      <x:c r="L977" s="10" t="n">
        <x:f>INDEX(tun_HousingCap,G977)*EXP(tun_CapsByProject*SUMPRODUCT((Cap_Point&lt;=I977)*(Cap_Kind="Housing")*Cap_Ln))</x:f>
        <x:v>20528.974303173167</x:v>
      </x:c>
      <x:c r="M977" s="10" t="n">
        <x:f>INDEX(tun_GroupCap,G977)*tun_CohesionFactor*EXP(tun_CapsByProject*SUMPRODUCT((Cap_Point&lt;=I977)*(Cap_Kind="Group")*Cap_Ln))</x:f>
        <x:v>1000000.000000001</x:v>
      </x:c>
      <x:c r="N977" s="32" t="n">
        <x:f>MIN(J977,L977,M977)</x:f>
        <x:v>18627.260449441455</x:v>
      </x:c>
      <x:c r="O977" s="10" t="n">
        <x:f>AE976*N977</x:f>
        <x:v>167645.34404497308</x:v>
      </x:c>
      <x:c r="P977" s="9" t="n">
        <x:f>MIN(1,(AB976/(AE976*IF(tun_GroupInCrowding=1,N977,MIN(J977,L977))))^tun_CrowdingExp)</x:f>
        <x:v>0.4215841981292809</x:v>
      </x:c>
      <x:c r="Q977" s="9" t="n">
        <x:f>IF(D977=1,INDEX(tun_WinterMult,G977),1)</x:f>
        <x:v>1</x:v>
      </x:c>
      <x:c r="R977" s="9" t="n">
        <x:f>H977*Z976*tun_WomenShare*tun_BaseFertility*INDEX(tun_FertMult,G977)*Arch_Fertility*(1-P977)</x:f>
        <x:v>0</x:v>
      </x:c>
      <x:c r="S977" s="9" t="n">
        <x:f>H977*Y976*INDEX(tun_MortChild,G977)/4*Q977</x:f>
        <x:v>0</x:v>
      </x:c>
      <x:c r="T977" s="9" t="n">
        <x:f>H977*Z976*INDEX(tun_MortAdult,G977)*Arch_AdultMort/4*Q977</x:f>
        <x:v>0</x:v>
      </x:c>
      <x:c r="U977" s="9" t="n">
        <x:f>H977*AA976*INDEX(tun_MortElder,G977)/4*Q977</x:f>
        <x:v>0</x:v>
      </x:c>
      <x:c r="V977" s="9" t="n">
        <x:f>H977*MAX(0,AB976-O977)*tun_OvercapLoss</x:f>
        <x:v>0</x:v>
      </x:c>
      <x:c r="W977" s="9" t="n">
        <x:f>H977*Y976/(tun_ChildYears*4)</x:f>
        <x:v>0</x:v>
      </x:c>
      <x:c r="X977" s="9" t="n">
        <x:f>H977*Z976/(tun_AdultYears*4)</x:f>
        <x:v>0</x:v>
      </x:c>
      <x:c r="Y977" s="32" t="n">
        <x:f>Y976+R977-S977-W977-Y976*V977/AB976</x:f>
        <x:v>40496.20709015643</x:v>
      </x:c>
      <x:c r="Z977" s="32" t="n">
        <x:f>Z976+W977-X977-T977-Z976*V977/AB976</x:f>
        <x:v>59141.61122890803</x:v>
      </x:c>
      <x:c r="AA977" s="32" t="n">
        <x:f>AA976+X977-U977-AA976*V977/AB976</x:f>
        <x:v>45530.62410925061</x:v>
      </x:c>
      <x:c r="AB977" s="10" t="n">
        <x:f>Y977+Z977+AA977</x:f>
        <x:v>145168.44242831506</x:v>
      </x:c>
      <x:c r="AC977" s="8" t="n">
        <x:f>IF(AND(tun_WinterTrigger=1,D977=1,AB976/AE976&gt;=K977),1,0)</x:f>
        <x:v>0</x:v>
      </x:c>
      <x:c r="AD977" s="8" t="n">
        <x:f>H977*IF(AND(OR(AB976/AE976&gt;=tun_FissionTrigger*N977,AC977=1),AB976/AE976*tun_DaughterShare&gt;=tun_MinDaughter),MAX(1,ROUND(AE976*tun_FissionRate,0)),0)</x:f>
        <x:v>0</x:v>
      </x:c>
      <x:c r="AE977" s="8" t="n">
        <x:f>IF(H977=1,MAX(1,MIN(INDEX(tun_Smax,G977),AE976+AD977)),AE976)</x:f>
        <x:v>9</x:v>
      </x:c>
      <x:c r="AF977" s="8" t="n">
        <x:f>MAX(0,AE977-AE976)</x:f>
        <x:v>0</x:v>
      </x:c>
      <x:c r="AG977" s="9" t="str">
        <x:f>IF(AF977&gt;0,B977,"")</x:f>
      </x:c>
      <x:c r="AH977" s="9" t="n">
        <x:f>IF(F977&gt;=1,1,(1+tun_LowTiesShare*(AE977-1))/AE977)</x:f>
        <x:v>1</x:v>
      </x:c>
      <x:c r="AI977" s="32" t="n">
        <x:f>(Z977+tun_ElderCommons*INDEX(LM_Elder,G977)*AA977)*AH977</x:f>
        <x:v>238215.0665857503</x:v>
      </x:c>
      <x:c r="AJ977" s="32" t="n">
        <x:f>H977*tun_CommonsCoef*AI977^tun_CommonsExp*INDEX(LM_Commons,G977)</x:f>
        <x:v>0</x:v>
      </x:c>
      <x:c r="AK977" s="32" t="n">
        <x:f>H977*tun_RoleScale*Arch_Roles*(AE977*(INDEX(tun_ElderRolePerSett,G977)*tun_OutElder*INDEX(LM_Elder,G977)+INDEX(tun_ShamanPerSett,G977)*tun_OutShaman)+Z977*(INDEX(tun_PriestShare,G977)*tun_OutPriest+INDEX(tun_ScribeShare,G977)*tun_OutScribe*INDEX(LM_Scribe,G977)+INDEX(tun_ScholarShare,G977)*tun_OutScholar*INDEX(LM_Scholar,G977)+INDEX(tun_ResearcherShare,G977)*tun_OutResearcher*INDEX(LM_Researcher,G977)))</x:f>
        <x:v>0</x:v>
      </x:c>
      <x:c r="AL977" s="32" t="n">
        <x:f>H977*tun_RoleScale*Arch_Roles*AE977*INDEX(tun_MonasteryPerSett,G977)*tun_OutMonastery*INDEX(LM_Monastery,G977)</x:f>
        <x:v>0</x:v>
      </x:c>
      <x:c r="AM977" s="32" t="n">
        <x:f>(AJ977+AK977+AL977)/4*INDEX(LM_All,G977)*INDEX(tun_Boon,G977)*Arch_Insight</x:f>
        <x:v>0</x:v>
      </x:c>
      <x:c r="AN977" s="32" t="n">
        <x:f>H977*(tun_KHPerAdult*Z977+tun_KHOfCommons*AJ977/4*INDEX(LM_All,G977))*tun_KHUsable*Arch_KH</x:f>
        <x:v>0</x:v>
      </x:c>
      <x:c r="AO977" s="32" t="n">
        <x:f>MIN(AP976+AN977,AM977*tun_KHMaxRatio)</x:f>
        <x:v>0</x:v>
      </x:c>
      <x:c r="AP977" s="32" t="n">
        <x:f>AP976+AN977-AO977</x:f>
        <x:v>0</x:v>
      </x:c>
      <x:c r="AQ977" s="32" t="n">
        <x:f>AM977+AO977</x:f>
        <x:v>0</x:v>
      </x:c>
      <x:c r="AR977" s="10" t="n">
        <x:f>IF(H977=1,INDEX(tun_Req,G977),0)</x:f>
        <x:v>0</x:v>
      </x:c>
      <x:c r="AS977" s="32" t="n">
        <x:f>IF(H977=1,IF(E977=1,AS976-AR976,AS976)+AQ977,0)</x:f>
        <x:v>0</x:v>
      </x:c>
      <x:c r="AT977" s="11" t="n">
        <x:f>IF(AR977&gt;0,MIN(1,AS977/AR977),1)</x:f>
        <x:v>1</x:v>
      </x:c>
      <x:c r="AU977" s="10" t="n">
        <x:f>AB977/INDEX(tun_RepScale,G977)</x:f>
        <x:v>290.3368848566301</x:v>
      </x:c>
      <x:c r="AV977" s="32" t="n">
        <x:f>AM977*60/tun_SeasonSeconds</x:f>
        <x:v>0</x:v>
      </x:c>
    </x:row>
    <x:row r="978">
      <x:c r="A978" s="8" t="n">
        <x:f>A977+1</x:f>
        <x:v>975</x:v>
      </x:c>
      <x:c r="B978" s="9" t="n">
        <x:f>A978*tun_SeasonSeconds/60</x:f>
        <x:v>243.75</x:v>
      </x:c>
      <x:c r="C978" s="9" t="n">
        <x:f>A978/4</x:f>
        <x:v>243.75</x:v>
      </x:c>
      <x:c r="D978" s="8" t="n">
        <x:f>IF(MOD(A978,4)=0,1,0)</x:f>
        <x:v>0</x:v>
      </x:c>
      <x:c r="E978" s="8" t="n">
        <x:f>IF(AND(F977&lt;=9,AS977&gt;=AR977),1,0)</x:f>
        <x:v>0</x:v>
      </x:c>
      <x:c r="F978" s="8" t="n">
        <x:f>MIN(10,F977+E978)</x:f>
        <x:v>10</x:v>
      </x:c>
      <x:c r="G978" s="8" t="n">
        <x:f>MIN(F978,9)+1</x:f>
        <x:v>10</x:v>
      </x:c>
      <x:c r="H978" s="8" t="n">
        <x:f>IF(F978&lt;=9,1,0)</x:f>
        <x:v>0</x:v>
      </x:c>
      <x:c r="I978" s="9" t="n">
        <x:f>MIN(10,F977+IF(AR977&gt;0,MIN(1,AS977/AR977),1))</x:f>
        <x:v>10</x:v>
      </x:c>
      <x:c r="J978" s="32" t="n">
        <x:f>INDEX(tun_FoodCap,G978)*Arch_FoodCap*EXP(tun_CapsByProject*SUMPRODUCT((Cap_Point&lt;=I978)*(Cap_Kind="Food")*Cap_Ln))</x:f>
        <x:v>18627.260449441455</x:v>
      </x:c>
      <x:c r="K978" s="32" t="n">
        <x:f>J978*MIN(1,tun_LeanBase*EXP(tun_CapsByProject*SUMPRODUCT((Cap_Point&lt;=I978)*(Cap_Kind="Lean")*Cap_Ln)))</x:f>
        <x:v>18627.260449441455</x:v>
      </x:c>
      <x:c r="L978" s="10" t="n">
        <x:f>INDEX(tun_HousingCap,G978)*EXP(tun_CapsByProject*SUMPRODUCT((Cap_Point&lt;=I978)*(Cap_Kind="Housing")*Cap_Ln))</x:f>
        <x:v>20528.974303173167</x:v>
      </x:c>
      <x:c r="M978" s="10" t="n">
        <x:f>INDEX(tun_GroupCap,G978)*tun_CohesionFactor*EXP(tun_CapsByProject*SUMPRODUCT((Cap_Point&lt;=I978)*(Cap_Kind="Group")*Cap_Ln))</x:f>
        <x:v>1000000.000000001</x:v>
      </x:c>
      <x:c r="N978" s="32" t="n">
        <x:f>MIN(J978,L978,M978)</x:f>
        <x:v>18627.260449441455</x:v>
      </x:c>
      <x:c r="O978" s="10" t="n">
        <x:f>AE977*N978</x:f>
        <x:v>167645.34404497308</x:v>
      </x:c>
      <x:c r="P978" s="9" t="n">
        <x:f>MIN(1,(AB977/(AE977*IF(tun_GroupInCrowding=1,N978,MIN(J978,L978))))^tun_CrowdingExp)</x:f>
        <x:v>0.4215841981292809</x:v>
      </x:c>
      <x:c r="Q978" s="9" t="n">
        <x:f>IF(D978=1,INDEX(tun_WinterMult,G978),1)</x:f>
        <x:v>1</x:v>
      </x:c>
      <x:c r="R978" s="9" t="n">
        <x:f>H978*Z977*tun_WomenShare*tun_BaseFertility*INDEX(tun_FertMult,G978)*Arch_Fertility*(1-P978)</x:f>
        <x:v>0</x:v>
      </x:c>
      <x:c r="S978" s="9" t="n">
        <x:f>H978*Y977*INDEX(tun_MortChild,G978)/4*Q978</x:f>
        <x:v>0</x:v>
      </x:c>
      <x:c r="T978" s="9" t="n">
        <x:f>H978*Z977*INDEX(tun_MortAdult,G978)*Arch_AdultMort/4*Q978</x:f>
        <x:v>0</x:v>
      </x:c>
      <x:c r="U978" s="9" t="n">
        <x:f>H978*AA977*INDEX(tun_MortElder,G978)/4*Q978</x:f>
        <x:v>0</x:v>
      </x:c>
      <x:c r="V978" s="9" t="n">
        <x:f>H978*MAX(0,AB977-O978)*tun_OvercapLoss</x:f>
        <x:v>0</x:v>
      </x:c>
      <x:c r="W978" s="9" t="n">
        <x:f>H978*Y977/(tun_ChildYears*4)</x:f>
        <x:v>0</x:v>
      </x:c>
      <x:c r="X978" s="9" t="n">
        <x:f>H978*Z977/(tun_AdultYears*4)</x:f>
        <x:v>0</x:v>
      </x:c>
      <x:c r="Y978" s="32" t="n">
        <x:f>Y977+R978-S978-W978-Y977*V978/AB977</x:f>
        <x:v>40496.20709015643</x:v>
      </x:c>
      <x:c r="Z978" s="32" t="n">
        <x:f>Z977+W978-X978-T978-Z977*V978/AB977</x:f>
        <x:v>59141.61122890803</x:v>
      </x:c>
      <x:c r="AA978" s="32" t="n">
        <x:f>AA977+X978-U978-AA977*V978/AB977</x:f>
        <x:v>45530.62410925061</x:v>
      </x:c>
      <x:c r="AB978" s="10" t="n">
        <x:f>Y978+Z978+AA978</x:f>
        <x:v>145168.44242831506</x:v>
      </x:c>
      <x:c r="AC978" s="8" t="n">
        <x:f>IF(AND(tun_WinterTrigger=1,D978=1,AB977/AE977&gt;=K978),1,0)</x:f>
        <x:v>0</x:v>
      </x:c>
      <x:c r="AD978" s="8" t="n">
        <x:f>H978*IF(AND(OR(AB977/AE977&gt;=tun_FissionTrigger*N978,AC978=1),AB977/AE977*tun_DaughterShare&gt;=tun_MinDaughter),MAX(1,ROUND(AE977*tun_FissionRate,0)),0)</x:f>
        <x:v>0</x:v>
      </x:c>
      <x:c r="AE978" s="8" t="n">
        <x:f>IF(H978=1,MAX(1,MIN(INDEX(tun_Smax,G978),AE977+AD978)),AE977)</x:f>
        <x:v>9</x:v>
      </x:c>
      <x:c r="AF978" s="8" t="n">
        <x:f>MAX(0,AE978-AE977)</x:f>
        <x:v>0</x:v>
      </x:c>
      <x:c r="AG978" s="9" t="str">
        <x:f>IF(AF978&gt;0,B978,"")</x:f>
      </x:c>
      <x:c r="AH978" s="9" t="n">
        <x:f>IF(F978&gt;=1,1,(1+tun_LowTiesShare*(AE978-1))/AE978)</x:f>
        <x:v>1</x:v>
      </x:c>
      <x:c r="AI978" s="32" t="n">
        <x:f>(Z978+tun_ElderCommons*INDEX(LM_Elder,G978)*AA978)*AH978</x:f>
        <x:v>238215.0665857503</x:v>
      </x:c>
      <x:c r="AJ978" s="32" t="n">
        <x:f>H978*tun_CommonsCoef*AI978^tun_CommonsExp*INDEX(LM_Commons,G978)</x:f>
        <x:v>0</x:v>
      </x:c>
      <x:c r="AK978" s="32" t="n">
        <x:f>H978*tun_RoleScale*Arch_Roles*(AE978*(INDEX(tun_ElderRolePerSett,G978)*tun_OutElder*INDEX(LM_Elder,G978)+INDEX(tun_ShamanPerSett,G978)*tun_OutShaman)+Z978*(INDEX(tun_PriestShare,G978)*tun_OutPriest+INDEX(tun_ScribeShare,G978)*tun_OutScribe*INDEX(LM_Scribe,G978)+INDEX(tun_ScholarShare,G978)*tun_OutScholar*INDEX(LM_Scholar,G978)+INDEX(tun_ResearcherShare,G978)*tun_OutResearcher*INDEX(LM_Researcher,G978)))</x:f>
        <x:v>0</x:v>
      </x:c>
      <x:c r="AL978" s="32" t="n">
        <x:f>H978*tun_RoleScale*Arch_Roles*AE978*INDEX(tun_MonasteryPerSett,G978)*tun_OutMonastery*INDEX(LM_Monastery,G978)</x:f>
        <x:v>0</x:v>
      </x:c>
      <x:c r="AM978" s="32" t="n">
        <x:f>(AJ978+AK978+AL978)/4*INDEX(LM_All,G978)*INDEX(tun_Boon,G978)*Arch_Insight</x:f>
        <x:v>0</x:v>
      </x:c>
      <x:c r="AN978" s="32" t="n">
        <x:f>H978*(tun_KHPerAdult*Z978+tun_KHOfCommons*AJ978/4*INDEX(LM_All,G978))*tun_KHUsable*Arch_KH</x:f>
        <x:v>0</x:v>
      </x:c>
      <x:c r="AO978" s="32" t="n">
        <x:f>MIN(AP977+AN978,AM978*tun_KHMaxRatio)</x:f>
        <x:v>0</x:v>
      </x:c>
      <x:c r="AP978" s="32" t="n">
        <x:f>AP977+AN978-AO978</x:f>
        <x:v>0</x:v>
      </x:c>
      <x:c r="AQ978" s="32" t="n">
        <x:f>AM978+AO978</x:f>
        <x:v>0</x:v>
      </x:c>
      <x:c r="AR978" s="10" t="n">
        <x:f>IF(H978=1,INDEX(tun_Req,G978),0)</x:f>
        <x:v>0</x:v>
      </x:c>
      <x:c r="AS978" s="32" t="n">
        <x:f>IF(H978=1,IF(E978=1,AS977-AR977,AS977)+AQ978,0)</x:f>
        <x:v>0</x:v>
      </x:c>
      <x:c r="AT978" s="11" t="n">
        <x:f>IF(AR978&gt;0,MIN(1,AS978/AR978),1)</x:f>
        <x:v>1</x:v>
      </x:c>
      <x:c r="AU978" s="10" t="n">
        <x:f>AB978/INDEX(tun_RepScale,G978)</x:f>
        <x:v>290.3368848566301</x:v>
      </x:c>
      <x:c r="AV978" s="32" t="n">
        <x:f>AM978*60/tun_SeasonSeconds</x:f>
        <x:v>0</x:v>
      </x:c>
    </x:row>
    <x:row r="979">
      <x:c r="A979" s="8" t="n">
        <x:f>A978+1</x:f>
        <x:v>976</x:v>
      </x:c>
      <x:c r="B979" s="9" t="n">
        <x:f>A979*tun_SeasonSeconds/60</x:f>
        <x:v>244</x:v>
      </x:c>
      <x:c r="C979" s="9" t="n">
        <x:f>A979/4</x:f>
        <x:v>244</x:v>
      </x:c>
      <x:c r="D979" s="8" t="n">
        <x:f>IF(MOD(A979,4)=0,1,0)</x:f>
        <x:v>1</x:v>
      </x:c>
      <x:c r="E979" s="8" t="n">
        <x:f>IF(AND(F978&lt;=9,AS978&gt;=AR978),1,0)</x:f>
        <x:v>0</x:v>
      </x:c>
      <x:c r="F979" s="8" t="n">
        <x:f>MIN(10,F978+E979)</x:f>
        <x:v>10</x:v>
      </x:c>
      <x:c r="G979" s="8" t="n">
        <x:f>MIN(F979,9)+1</x:f>
        <x:v>10</x:v>
      </x:c>
      <x:c r="H979" s="8" t="n">
        <x:f>IF(F979&lt;=9,1,0)</x:f>
        <x:v>0</x:v>
      </x:c>
      <x:c r="I979" s="9" t="n">
        <x:f>MIN(10,F978+IF(AR978&gt;0,MIN(1,AS978/AR978),1))</x:f>
        <x:v>10</x:v>
      </x:c>
      <x:c r="J979" s="32" t="n">
        <x:f>INDEX(tun_FoodCap,G979)*Arch_FoodCap*EXP(tun_CapsByProject*SUMPRODUCT((Cap_Point&lt;=I979)*(Cap_Kind="Food")*Cap_Ln))</x:f>
        <x:v>18627.260449441455</x:v>
      </x:c>
      <x:c r="K979" s="32" t="n">
        <x:f>J979*MIN(1,tun_LeanBase*EXP(tun_CapsByProject*SUMPRODUCT((Cap_Point&lt;=I979)*(Cap_Kind="Lean")*Cap_Ln)))</x:f>
        <x:v>18627.260449441455</x:v>
      </x:c>
      <x:c r="L979" s="10" t="n">
        <x:f>INDEX(tun_HousingCap,G979)*EXP(tun_CapsByProject*SUMPRODUCT((Cap_Point&lt;=I979)*(Cap_Kind="Housing")*Cap_Ln))</x:f>
        <x:v>20528.974303173167</x:v>
      </x:c>
      <x:c r="M979" s="10" t="n">
        <x:f>INDEX(tun_GroupCap,G979)*tun_CohesionFactor*EXP(tun_CapsByProject*SUMPRODUCT((Cap_Point&lt;=I979)*(Cap_Kind="Group")*Cap_Ln))</x:f>
        <x:v>1000000.000000001</x:v>
      </x:c>
      <x:c r="N979" s="32" t="n">
        <x:f>MIN(J979,L979,M979)</x:f>
        <x:v>18627.260449441455</x:v>
      </x:c>
      <x:c r="O979" s="10" t="n">
        <x:f>AE978*N979</x:f>
        <x:v>167645.34404497308</x:v>
      </x:c>
      <x:c r="P979" s="9" t="n">
        <x:f>MIN(1,(AB978/(AE978*IF(tun_GroupInCrowding=1,N979,MIN(J979,L979))))^tun_CrowdingExp)</x:f>
        <x:v>0.4215841981292809</x:v>
      </x:c>
      <x:c r="Q979" s="9" t="n">
        <x:f>IF(D979=1,INDEX(tun_WinterMult,G979),1)</x:f>
        <x:v>1.05</x:v>
      </x:c>
      <x:c r="R979" s="9" t="n">
        <x:f>H979*Z978*tun_WomenShare*tun_BaseFertility*INDEX(tun_FertMult,G979)*Arch_Fertility*(1-P979)</x:f>
        <x:v>0</x:v>
      </x:c>
      <x:c r="S979" s="9" t="n">
        <x:f>H979*Y978*INDEX(tun_MortChild,G979)/4*Q979</x:f>
        <x:v>0</x:v>
      </x:c>
      <x:c r="T979" s="9" t="n">
        <x:f>H979*Z978*INDEX(tun_MortAdult,G979)*Arch_AdultMort/4*Q979</x:f>
        <x:v>0</x:v>
      </x:c>
      <x:c r="U979" s="9" t="n">
        <x:f>H979*AA978*INDEX(tun_MortElder,G979)/4*Q979</x:f>
        <x:v>0</x:v>
      </x:c>
      <x:c r="V979" s="9" t="n">
        <x:f>H979*MAX(0,AB978-O979)*tun_OvercapLoss</x:f>
        <x:v>0</x:v>
      </x:c>
      <x:c r="W979" s="9" t="n">
        <x:f>H979*Y978/(tun_ChildYears*4)</x:f>
        <x:v>0</x:v>
      </x:c>
      <x:c r="X979" s="9" t="n">
        <x:f>H979*Z978/(tun_AdultYears*4)</x:f>
        <x:v>0</x:v>
      </x:c>
      <x:c r="Y979" s="32" t="n">
        <x:f>Y978+R979-S979-W979-Y978*V979/AB978</x:f>
        <x:v>40496.20709015643</x:v>
      </x:c>
      <x:c r="Z979" s="32" t="n">
        <x:f>Z978+W979-X979-T979-Z978*V979/AB978</x:f>
        <x:v>59141.61122890803</x:v>
      </x:c>
      <x:c r="AA979" s="32" t="n">
        <x:f>AA978+X979-U979-AA978*V979/AB978</x:f>
        <x:v>45530.62410925061</x:v>
      </x:c>
      <x:c r="AB979" s="10" t="n">
        <x:f>Y979+Z979+AA979</x:f>
        <x:v>145168.44242831506</x:v>
      </x:c>
      <x:c r="AC979" s="8" t="n">
        <x:f>IF(AND(tun_WinterTrigger=1,D979=1,AB978/AE978&gt;=K979),1,0)</x:f>
        <x:v>0</x:v>
      </x:c>
      <x:c r="AD979" s="8" t="n">
        <x:f>H979*IF(AND(OR(AB978/AE978&gt;=tun_FissionTrigger*N979,AC979=1),AB978/AE978*tun_DaughterShare&gt;=tun_MinDaughter),MAX(1,ROUND(AE978*tun_FissionRate,0)),0)</x:f>
        <x:v>0</x:v>
      </x:c>
      <x:c r="AE979" s="8" t="n">
        <x:f>IF(H979=1,MAX(1,MIN(INDEX(tun_Smax,G979),AE978+AD979)),AE978)</x:f>
        <x:v>9</x:v>
      </x:c>
      <x:c r="AF979" s="8" t="n">
        <x:f>MAX(0,AE979-AE978)</x:f>
        <x:v>0</x:v>
      </x:c>
      <x:c r="AG979" s="9" t="str">
        <x:f>IF(AF979&gt;0,B979,"")</x:f>
      </x:c>
      <x:c r="AH979" s="9" t="n">
        <x:f>IF(F979&gt;=1,1,(1+tun_LowTiesShare*(AE979-1))/AE979)</x:f>
        <x:v>1</x:v>
      </x:c>
      <x:c r="AI979" s="32" t="n">
        <x:f>(Z979+tun_ElderCommons*INDEX(LM_Elder,G979)*AA979)*AH979</x:f>
        <x:v>238215.0665857503</x:v>
      </x:c>
      <x:c r="AJ979" s="32" t="n">
        <x:f>H979*tun_CommonsCoef*AI979^tun_CommonsExp*INDEX(LM_Commons,G979)</x:f>
        <x:v>0</x:v>
      </x:c>
      <x:c r="AK979" s="32" t="n">
        <x:f>H979*tun_RoleScale*Arch_Roles*(AE979*(INDEX(tun_ElderRolePerSett,G979)*tun_OutElder*INDEX(LM_Elder,G979)+INDEX(tun_ShamanPerSett,G979)*tun_OutShaman)+Z979*(INDEX(tun_PriestShare,G979)*tun_OutPriest+INDEX(tun_ScribeShare,G979)*tun_OutScribe*INDEX(LM_Scribe,G979)+INDEX(tun_ScholarShare,G979)*tun_OutScholar*INDEX(LM_Scholar,G979)+INDEX(tun_ResearcherShare,G979)*tun_OutResearcher*INDEX(LM_Researcher,G979)))</x:f>
        <x:v>0</x:v>
      </x:c>
      <x:c r="AL979" s="32" t="n">
        <x:f>H979*tun_RoleScale*Arch_Roles*AE979*INDEX(tun_MonasteryPerSett,G979)*tun_OutMonastery*INDEX(LM_Monastery,G979)</x:f>
        <x:v>0</x:v>
      </x:c>
      <x:c r="AM979" s="32" t="n">
        <x:f>(AJ979+AK979+AL979)/4*INDEX(LM_All,G979)*INDEX(tun_Boon,G979)*Arch_Insight</x:f>
        <x:v>0</x:v>
      </x:c>
      <x:c r="AN979" s="32" t="n">
        <x:f>H979*(tun_KHPerAdult*Z979+tun_KHOfCommons*AJ979/4*INDEX(LM_All,G979))*tun_KHUsable*Arch_KH</x:f>
        <x:v>0</x:v>
      </x:c>
      <x:c r="AO979" s="32" t="n">
        <x:f>MIN(AP978+AN979,AM979*tun_KHMaxRatio)</x:f>
        <x:v>0</x:v>
      </x:c>
      <x:c r="AP979" s="32" t="n">
        <x:f>AP978+AN979-AO979</x:f>
        <x:v>0</x:v>
      </x:c>
      <x:c r="AQ979" s="32" t="n">
        <x:f>AM979+AO979</x:f>
        <x:v>0</x:v>
      </x:c>
      <x:c r="AR979" s="10" t="n">
        <x:f>IF(H979=1,INDEX(tun_Req,G979),0)</x:f>
        <x:v>0</x:v>
      </x:c>
      <x:c r="AS979" s="32" t="n">
        <x:f>IF(H979=1,IF(E979=1,AS978-AR978,AS978)+AQ979,0)</x:f>
        <x:v>0</x:v>
      </x:c>
      <x:c r="AT979" s="11" t="n">
        <x:f>IF(AR979&gt;0,MIN(1,AS979/AR979),1)</x:f>
        <x:v>1</x:v>
      </x:c>
      <x:c r="AU979" s="10" t="n">
        <x:f>AB979/INDEX(tun_RepScale,G979)</x:f>
        <x:v>290.3368848566301</x:v>
      </x:c>
      <x:c r="AV979" s="32" t="n">
        <x:f>AM979*60/tun_SeasonSeconds</x:f>
        <x:v>0</x:v>
      </x:c>
    </x:row>
    <x:row r="980">
      <x:c r="A980" s="8" t="n">
        <x:f>A979+1</x:f>
        <x:v>977</x:v>
      </x:c>
      <x:c r="B980" s="9" t="n">
        <x:f>A980*tun_SeasonSeconds/60</x:f>
        <x:v>244.25</x:v>
      </x:c>
      <x:c r="C980" s="9" t="n">
        <x:f>A980/4</x:f>
        <x:v>244.25</x:v>
      </x:c>
      <x:c r="D980" s="8" t="n">
        <x:f>IF(MOD(A980,4)=0,1,0)</x:f>
        <x:v>0</x:v>
      </x:c>
      <x:c r="E980" s="8" t="n">
        <x:f>IF(AND(F979&lt;=9,AS979&gt;=AR979),1,0)</x:f>
        <x:v>0</x:v>
      </x:c>
      <x:c r="F980" s="8" t="n">
        <x:f>MIN(10,F979+E980)</x:f>
        <x:v>10</x:v>
      </x:c>
      <x:c r="G980" s="8" t="n">
        <x:f>MIN(F980,9)+1</x:f>
        <x:v>10</x:v>
      </x:c>
      <x:c r="H980" s="8" t="n">
        <x:f>IF(F980&lt;=9,1,0)</x:f>
        <x:v>0</x:v>
      </x:c>
      <x:c r="I980" s="9" t="n">
        <x:f>MIN(10,F979+IF(AR979&gt;0,MIN(1,AS979/AR979),1))</x:f>
        <x:v>10</x:v>
      </x:c>
      <x:c r="J980" s="32" t="n">
        <x:f>INDEX(tun_FoodCap,G980)*Arch_FoodCap*EXP(tun_CapsByProject*SUMPRODUCT((Cap_Point&lt;=I980)*(Cap_Kind="Food")*Cap_Ln))</x:f>
        <x:v>18627.260449441455</x:v>
      </x:c>
      <x:c r="K980" s="32" t="n">
        <x:f>J980*MIN(1,tun_LeanBase*EXP(tun_CapsByProject*SUMPRODUCT((Cap_Point&lt;=I980)*(Cap_Kind="Lean")*Cap_Ln)))</x:f>
        <x:v>18627.260449441455</x:v>
      </x:c>
      <x:c r="L980" s="10" t="n">
        <x:f>INDEX(tun_HousingCap,G980)*EXP(tun_CapsByProject*SUMPRODUCT((Cap_Point&lt;=I980)*(Cap_Kind="Housing")*Cap_Ln))</x:f>
        <x:v>20528.974303173167</x:v>
      </x:c>
      <x:c r="M980" s="10" t="n">
        <x:f>INDEX(tun_GroupCap,G980)*tun_CohesionFactor*EXP(tun_CapsByProject*SUMPRODUCT((Cap_Point&lt;=I980)*(Cap_Kind="Group")*Cap_Ln))</x:f>
        <x:v>1000000.000000001</x:v>
      </x:c>
      <x:c r="N980" s="32" t="n">
        <x:f>MIN(J980,L980,M980)</x:f>
        <x:v>18627.260449441455</x:v>
      </x:c>
      <x:c r="O980" s="10" t="n">
        <x:f>AE979*N980</x:f>
        <x:v>167645.34404497308</x:v>
      </x:c>
      <x:c r="P980" s="9" t="n">
        <x:f>MIN(1,(AB979/(AE979*IF(tun_GroupInCrowding=1,N980,MIN(J980,L980))))^tun_CrowdingExp)</x:f>
        <x:v>0.4215841981292809</x:v>
      </x:c>
      <x:c r="Q980" s="9" t="n">
        <x:f>IF(D980=1,INDEX(tun_WinterMult,G980),1)</x:f>
        <x:v>1</x:v>
      </x:c>
      <x:c r="R980" s="9" t="n">
        <x:f>H980*Z979*tun_WomenShare*tun_BaseFertility*INDEX(tun_FertMult,G980)*Arch_Fertility*(1-P980)</x:f>
        <x:v>0</x:v>
      </x:c>
      <x:c r="S980" s="9" t="n">
        <x:f>H980*Y979*INDEX(tun_MortChild,G980)/4*Q980</x:f>
        <x:v>0</x:v>
      </x:c>
      <x:c r="T980" s="9" t="n">
        <x:f>H980*Z979*INDEX(tun_MortAdult,G980)*Arch_AdultMort/4*Q980</x:f>
        <x:v>0</x:v>
      </x:c>
      <x:c r="U980" s="9" t="n">
        <x:f>H980*AA979*INDEX(tun_MortElder,G980)/4*Q980</x:f>
        <x:v>0</x:v>
      </x:c>
      <x:c r="V980" s="9" t="n">
        <x:f>H980*MAX(0,AB979-O980)*tun_OvercapLoss</x:f>
        <x:v>0</x:v>
      </x:c>
      <x:c r="W980" s="9" t="n">
        <x:f>H980*Y979/(tun_ChildYears*4)</x:f>
        <x:v>0</x:v>
      </x:c>
      <x:c r="X980" s="9" t="n">
        <x:f>H980*Z979/(tun_AdultYears*4)</x:f>
        <x:v>0</x:v>
      </x:c>
      <x:c r="Y980" s="32" t="n">
        <x:f>Y979+R980-S980-W980-Y979*V980/AB979</x:f>
        <x:v>40496.20709015643</x:v>
      </x:c>
      <x:c r="Z980" s="32" t="n">
        <x:f>Z979+W980-X980-T980-Z979*V980/AB979</x:f>
        <x:v>59141.61122890803</x:v>
      </x:c>
      <x:c r="AA980" s="32" t="n">
        <x:f>AA979+X980-U980-AA979*V980/AB979</x:f>
        <x:v>45530.62410925061</x:v>
      </x:c>
      <x:c r="AB980" s="10" t="n">
        <x:f>Y980+Z980+AA980</x:f>
        <x:v>145168.44242831506</x:v>
      </x:c>
      <x:c r="AC980" s="8" t="n">
        <x:f>IF(AND(tun_WinterTrigger=1,D980=1,AB979/AE979&gt;=K980),1,0)</x:f>
        <x:v>0</x:v>
      </x:c>
      <x:c r="AD980" s="8" t="n">
        <x:f>H980*IF(AND(OR(AB979/AE979&gt;=tun_FissionTrigger*N980,AC980=1),AB979/AE979*tun_DaughterShare&gt;=tun_MinDaughter),MAX(1,ROUND(AE979*tun_FissionRate,0)),0)</x:f>
        <x:v>0</x:v>
      </x:c>
      <x:c r="AE980" s="8" t="n">
        <x:f>IF(H980=1,MAX(1,MIN(INDEX(tun_Smax,G980),AE979+AD980)),AE979)</x:f>
        <x:v>9</x:v>
      </x:c>
      <x:c r="AF980" s="8" t="n">
        <x:f>MAX(0,AE980-AE979)</x:f>
        <x:v>0</x:v>
      </x:c>
      <x:c r="AG980" s="9" t="str">
        <x:f>IF(AF980&gt;0,B980,"")</x:f>
      </x:c>
      <x:c r="AH980" s="9" t="n">
        <x:f>IF(F980&gt;=1,1,(1+tun_LowTiesShare*(AE980-1))/AE980)</x:f>
        <x:v>1</x:v>
      </x:c>
      <x:c r="AI980" s="32" t="n">
        <x:f>(Z980+tun_ElderCommons*INDEX(LM_Elder,G980)*AA980)*AH980</x:f>
        <x:v>238215.0665857503</x:v>
      </x:c>
      <x:c r="AJ980" s="32" t="n">
        <x:f>H980*tun_CommonsCoef*AI980^tun_CommonsExp*INDEX(LM_Commons,G980)</x:f>
        <x:v>0</x:v>
      </x:c>
      <x:c r="AK980" s="32" t="n">
        <x:f>H980*tun_RoleScale*Arch_Roles*(AE980*(INDEX(tun_ElderRolePerSett,G980)*tun_OutElder*INDEX(LM_Elder,G980)+INDEX(tun_ShamanPerSett,G980)*tun_OutShaman)+Z980*(INDEX(tun_PriestShare,G980)*tun_OutPriest+INDEX(tun_ScribeShare,G980)*tun_OutScribe*INDEX(LM_Scribe,G980)+INDEX(tun_ScholarShare,G980)*tun_OutScholar*INDEX(LM_Scholar,G980)+INDEX(tun_ResearcherShare,G980)*tun_OutResearcher*INDEX(LM_Researcher,G980)))</x:f>
        <x:v>0</x:v>
      </x:c>
      <x:c r="AL980" s="32" t="n">
        <x:f>H980*tun_RoleScale*Arch_Roles*AE980*INDEX(tun_MonasteryPerSett,G980)*tun_OutMonastery*INDEX(LM_Monastery,G980)</x:f>
        <x:v>0</x:v>
      </x:c>
      <x:c r="AM980" s="32" t="n">
        <x:f>(AJ980+AK980+AL980)/4*INDEX(LM_All,G980)*INDEX(tun_Boon,G980)*Arch_Insight</x:f>
        <x:v>0</x:v>
      </x:c>
      <x:c r="AN980" s="32" t="n">
        <x:f>H980*(tun_KHPerAdult*Z980+tun_KHOfCommons*AJ980/4*INDEX(LM_All,G980))*tun_KHUsable*Arch_KH</x:f>
        <x:v>0</x:v>
      </x:c>
      <x:c r="AO980" s="32" t="n">
        <x:f>MIN(AP979+AN980,AM980*tun_KHMaxRatio)</x:f>
        <x:v>0</x:v>
      </x:c>
      <x:c r="AP980" s="32" t="n">
        <x:f>AP979+AN980-AO980</x:f>
        <x:v>0</x:v>
      </x:c>
      <x:c r="AQ980" s="32" t="n">
        <x:f>AM980+AO980</x:f>
        <x:v>0</x:v>
      </x:c>
      <x:c r="AR980" s="10" t="n">
        <x:f>IF(H980=1,INDEX(tun_Req,G980),0)</x:f>
        <x:v>0</x:v>
      </x:c>
      <x:c r="AS980" s="32" t="n">
        <x:f>IF(H980=1,IF(E980=1,AS979-AR979,AS979)+AQ980,0)</x:f>
        <x:v>0</x:v>
      </x:c>
      <x:c r="AT980" s="11" t="n">
        <x:f>IF(AR980&gt;0,MIN(1,AS980/AR980),1)</x:f>
        <x:v>1</x:v>
      </x:c>
      <x:c r="AU980" s="10" t="n">
        <x:f>AB980/INDEX(tun_RepScale,G980)</x:f>
        <x:v>290.3368848566301</x:v>
      </x:c>
      <x:c r="AV980" s="32" t="n">
        <x:f>AM980*60/tun_SeasonSeconds</x:f>
        <x:v>0</x:v>
      </x:c>
    </x:row>
    <x:row r="981">
      <x:c r="A981" s="8" t="n">
        <x:f>A980+1</x:f>
        <x:v>978</x:v>
      </x:c>
      <x:c r="B981" s="9" t="n">
        <x:f>A981*tun_SeasonSeconds/60</x:f>
        <x:v>244.5</x:v>
      </x:c>
      <x:c r="C981" s="9" t="n">
        <x:f>A981/4</x:f>
        <x:v>244.5</x:v>
      </x:c>
      <x:c r="D981" s="8" t="n">
        <x:f>IF(MOD(A981,4)=0,1,0)</x:f>
        <x:v>0</x:v>
      </x:c>
      <x:c r="E981" s="8" t="n">
        <x:f>IF(AND(F980&lt;=9,AS980&gt;=AR980),1,0)</x:f>
        <x:v>0</x:v>
      </x:c>
      <x:c r="F981" s="8" t="n">
        <x:f>MIN(10,F980+E981)</x:f>
        <x:v>10</x:v>
      </x:c>
      <x:c r="G981" s="8" t="n">
        <x:f>MIN(F981,9)+1</x:f>
        <x:v>10</x:v>
      </x:c>
      <x:c r="H981" s="8" t="n">
        <x:f>IF(F981&lt;=9,1,0)</x:f>
        <x:v>0</x:v>
      </x:c>
      <x:c r="I981" s="9" t="n">
        <x:f>MIN(10,F980+IF(AR980&gt;0,MIN(1,AS980/AR980),1))</x:f>
        <x:v>10</x:v>
      </x:c>
      <x:c r="J981" s="32" t="n">
        <x:f>INDEX(tun_FoodCap,G981)*Arch_FoodCap*EXP(tun_CapsByProject*SUMPRODUCT((Cap_Point&lt;=I981)*(Cap_Kind="Food")*Cap_Ln))</x:f>
        <x:v>18627.260449441455</x:v>
      </x:c>
      <x:c r="K981" s="32" t="n">
        <x:f>J981*MIN(1,tun_LeanBase*EXP(tun_CapsByProject*SUMPRODUCT((Cap_Point&lt;=I981)*(Cap_Kind="Lean")*Cap_Ln)))</x:f>
        <x:v>18627.260449441455</x:v>
      </x:c>
      <x:c r="L981" s="10" t="n">
        <x:f>INDEX(tun_HousingCap,G981)*EXP(tun_CapsByProject*SUMPRODUCT((Cap_Point&lt;=I981)*(Cap_Kind="Housing")*Cap_Ln))</x:f>
        <x:v>20528.974303173167</x:v>
      </x:c>
      <x:c r="M981" s="10" t="n">
        <x:f>INDEX(tun_GroupCap,G981)*tun_CohesionFactor*EXP(tun_CapsByProject*SUMPRODUCT((Cap_Point&lt;=I981)*(Cap_Kind="Group")*Cap_Ln))</x:f>
        <x:v>1000000.000000001</x:v>
      </x:c>
      <x:c r="N981" s="32" t="n">
        <x:f>MIN(J981,L981,M981)</x:f>
        <x:v>18627.260449441455</x:v>
      </x:c>
      <x:c r="O981" s="10" t="n">
        <x:f>AE980*N981</x:f>
        <x:v>167645.34404497308</x:v>
      </x:c>
      <x:c r="P981" s="9" t="n">
        <x:f>MIN(1,(AB980/(AE980*IF(tun_GroupInCrowding=1,N981,MIN(J981,L981))))^tun_CrowdingExp)</x:f>
        <x:v>0.4215841981292809</x:v>
      </x:c>
      <x:c r="Q981" s="9" t="n">
        <x:f>IF(D981=1,INDEX(tun_WinterMult,G981),1)</x:f>
        <x:v>1</x:v>
      </x:c>
      <x:c r="R981" s="9" t="n">
        <x:f>H981*Z980*tun_WomenShare*tun_BaseFertility*INDEX(tun_FertMult,G981)*Arch_Fertility*(1-P981)</x:f>
        <x:v>0</x:v>
      </x:c>
      <x:c r="S981" s="9" t="n">
        <x:f>H981*Y980*INDEX(tun_MortChild,G981)/4*Q981</x:f>
        <x:v>0</x:v>
      </x:c>
      <x:c r="T981" s="9" t="n">
        <x:f>H981*Z980*INDEX(tun_MortAdult,G981)*Arch_AdultMort/4*Q981</x:f>
        <x:v>0</x:v>
      </x:c>
      <x:c r="U981" s="9" t="n">
        <x:f>H981*AA980*INDEX(tun_MortElder,G981)/4*Q981</x:f>
        <x:v>0</x:v>
      </x:c>
      <x:c r="V981" s="9" t="n">
        <x:f>H981*MAX(0,AB980-O981)*tun_OvercapLoss</x:f>
        <x:v>0</x:v>
      </x:c>
      <x:c r="W981" s="9" t="n">
        <x:f>H981*Y980/(tun_ChildYears*4)</x:f>
        <x:v>0</x:v>
      </x:c>
      <x:c r="X981" s="9" t="n">
        <x:f>H981*Z980/(tun_AdultYears*4)</x:f>
        <x:v>0</x:v>
      </x:c>
      <x:c r="Y981" s="32" t="n">
        <x:f>Y980+R981-S981-W981-Y980*V981/AB980</x:f>
        <x:v>40496.20709015643</x:v>
      </x:c>
      <x:c r="Z981" s="32" t="n">
        <x:f>Z980+W981-X981-T981-Z980*V981/AB980</x:f>
        <x:v>59141.61122890803</x:v>
      </x:c>
      <x:c r="AA981" s="32" t="n">
        <x:f>AA980+X981-U981-AA980*V981/AB980</x:f>
        <x:v>45530.62410925061</x:v>
      </x:c>
      <x:c r="AB981" s="10" t="n">
        <x:f>Y981+Z981+AA981</x:f>
        <x:v>145168.44242831506</x:v>
      </x:c>
      <x:c r="AC981" s="8" t="n">
        <x:f>IF(AND(tun_WinterTrigger=1,D981=1,AB980/AE980&gt;=K981),1,0)</x:f>
        <x:v>0</x:v>
      </x:c>
      <x:c r="AD981" s="8" t="n">
        <x:f>H981*IF(AND(OR(AB980/AE980&gt;=tun_FissionTrigger*N981,AC981=1),AB980/AE980*tun_DaughterShare&gt;=tun_MinDaughter),MAX(1,ROUND(AE980*tun_FissionRate,0)),0)</x:f>
        <x:v>0</x:v>
      </x:c>
      <x:c r="AE981" s="8" t="n">
        <x:f>IF(H981=1,MAX(1,MIN(INDEX(tun_Smax,G981),AE980+AD981)),AE980)</x:f>
        <x:v>9</x:v>
      </x:c>
      <x:c r="AF981" s="8" t="n">
        <x:f>MAX(0,AE981-AE980)</x:f>
        <x:v>0</x:v>
      </x:c>
      <x:c r="AG981" s="9" t="str">
        <x:f>IF(AF981&gt;0,B981,"")</x:f>
      </x:c>
      <x:c r="AH981" s="9" t="n">
        <x:f>IF(F981&gt;=1,1,(1+tun_LowTiesShare*(AE981-1))/AE981)</x:f>
        <x:v>1</x:v>
      </x:c>
      <x:c r="AI981" s="32" t="n">
        <x:f>(Z981+tun_ElderCommons*INDEX(LM_Elder,G981)*AA981)*AH981</x:f>
        <x:v>238215.0665857503</x:v>
      </x:c>
      <x:c r="AJ981" s="32" t="n">
        <x:f>H981*tun_CommonsCoef*AI981^tun_CommonsExp*INDEX(LM_Commons,G981)</x:f>
        <x:v>0</x:v>
      </x:c>
      <x:c r="AK981" s="32" t="n">
        <x:f>H981*tun_RoleScale*Arch_Roles*(AE981*(INDEX(tun_ElderRolePerSett,G981)*tun_OutElder*INDEX(LM_Elder,G981)+INDEX(tun_ShamanPerSett,G981)*tun_OutShaman)+Z981*(INDEX(tun_PriestShare,G981)*tun_OutPriest+INDEX(tun_ScribeShare,G981)*tun_OutScribe*INDEX(LM_Scribe,G981)+INDEX(tun_ScholarShare,G981)*tun_OutScholar*INDEX(LM_Scholar,G981)+INDEX(tun_ResearcherShare,G981)*tun_OutResearcher*INDEX(LM_Researcher,G981)))</x:f>
        <x:v>0</x:v>
      </x:c>
      <x:c r="AL981" s="32" t="n">
        <x:f>H981*tun_RoleScale*Arch_Roles*AE981*INDEX(tun_MonasteryPerSett,G981)*tun_OutMonastery*INDEX(LM_Monastery,G981)</x:f>
        <x:v>0</x:v>
      </x:c>
      <x:c r="AM981" s="32" t="n">
        <x:f>(AJ981+AK981+AL981)/4*INDEX(LM_All,G981)*INDEX(tun_Boon,G981)*Arch_Insight</x:f>
        <x:v>0</x:v>
      </x:c>
      <x:c r="AN981" s="32" t="n">
        <x:f>H981*(tun_KHPerAdult*Z981+tun_KHOfCommons*AJ981/4*INDEX(LM_All,G981))*tun_KHUsable*Arch_KH</x:f>
        <x:v>0</x:v>
      </x:c>
      <x:c r="AO981" s="32" t="n">
        <x:f>MIN(AP980+AN981,AM981*tun_KHMaxRatio)</x:f>
        <x:v>0</x:v>
      </x:c>
      <x:c r="AP981" s="32" t="n">
        <x:f>AP980+AN981-AO981</x:f>
        <x:v>0</x:v>
      </x:c>
      <x:c r="AQ981" s="32" t="n">
        <x:f>AM981+AO981</x:f>
        <x:v>0</x:v>
      </x:c>
      <x:c r="AR981" s="10" t="n">
        <x:f>IF(H981=1,INDEX(tun_Req,G981),0)</x:f>
        <x:v>0</x:v>
      </x:c>
      <x:c r="AS981" s="32" t="n">
        <x:f>IF(H981=1,IF(E981=1,AS980-AR980,AS980)+AQ981,0)</x:f>
        <x:v>0</x:v>
      </x:c>
      <x:c r="AT981" s="11" t="n">
        <x:f>IF(AR981&gt;0,MIN(1,AS981/AR981),1)</x:f>
        <x:v>1</x:v>
      </x:c>
      <x:c r="AU981" s="10" t="n">
        <x:f>AB981/INDEX(tun_RepScale,G981)</x:f>
        <x:v>290.3368848566301</x:v>
      </x:c>
      <x:c r="AV981" s="32" t="n">
        <x:f>AM981*60/tun_SeasonSeconds</x:f>
        <x:v>0</x:v>
      </x:c>
    </x:row>
    <x:row r="982">
      <x:c r="A982" s="8" t="n">
        <x:f>A981+1</x:f>
        <x:v>979</x:v>
      </x:c>
      <x:c r="B982" s="9" t="n">
        <x:f>A982*tun_SeasonSeconds/60</x:f>
        <x:v>244.75</x:v>
      </x:c>
      <x:c r="C982" s="9" t="n">
        <x:f>A982/4</x:f>
        <x:v>244.75</x:v>
      </x:c>
      <x:c r="D982" s="8" t="n">
        <x:f>IF(MOD(A982,4)=0,1,0)</x:f>
        <x:v>0</x:v>
      </x:c>
      <x:c r="E982" s="8" t="n">
        <x:f>IF(AND(F981&lt;=9,AS981&gt;=AR981),1,0)</x:f>
        <x:v>0</x:v>
      </x:c>
      <x:c r="F982" s="8" t="n">
        <x:f>MIN(10,F981+E982)</x:f>
        <x:v>10</x:v>
      </x:c>
      <x:c r="G982" s="8" t="n">
        <x:f>MIN(F982,9)+1</x:f>
        <x:v>10</x:v>
      </x:c>
      <x:c r="H982" s="8" t="n">
        <x:f>IF(F982&lt;=9,1,0)</x:f>
        <x:v>0</x:v>
      </x:c>
      <x:c r="I982" s="9" t="n">
        <x:f>MIN(10,F981+IF(AR981&gt;0,MIN(1,AS981/AR981),1))</x:f>
        <x:v>10</x:v>
      </x:c>
      <x:c r="J982" s="32" t="n">
        <x:f>INDEX(tun_FoodCap,G982)*Arch_FoodCap*EXP(tun_CapsByProject*SUMPRODUCT((Cap_Point&lt;=I982)*(Cap_Kind="Food")*Cap_Ln))</x:f>
        <x:v>18627.260449441455</x:v>
      </x:c>
      <x:c r="K982" s="32" t="n">
        <x:f>J982*MIN(1,tun_LeanBase*EXP(tun_CapsByProject*SUMPRODUCT((Cap_Point&lt;=I982)*(Cap_Kind="Lean")*Cap_Ln)))</x:f>
        <x:v>18627.260449441455</x:v>
      </x:c>
      <x:c r="L982" s="10" t="n">
        <x:f>INDEX(tun_HousingCap,G982)*EXP(tun_CapsByProject*SUMPRODUCT((Cap_Point&lt;=I982)*(Cap_Kind="Housing")*Cap_Ln))</x:f>
        <x:v>20528.974303173167</x:v>
      </x:c>
      <x:c r="M982" s="10" t="n">
        <x:f>INDEX(tun_GroupCap,G982)*tun_CohesionFactor*EXP(tun_CapsByProject*SUMPRODUCT((Cap_Point&lt;=I982)*(Cap_Kind="Group")*Cap_Ln))</x:f>
        <x:v>1000000.000000001</x:v>
      </x:c>
      <x:c r="N982" s="32" t="n">
        <x:f>MIN(J982,L982,M982)</x:f>
        <x:v>18627.260449441455</x:v>
      </x:c>
      <x:c r="O982" s="10" t="n">
        <x:f>AE981*N982</x:f>
        <x:v>167645.34404497308</x:v>
      </x:c>
      <x:c r="P982" s="9" t="n">
        <x:f>MIN(1,(AB981/(AE981*IF(tun_GroupInCrowding=1,N982,MIN(J982,L982))))^tun_CrowdingExp)</x:f>
        <x:v>0.4215841981292809</x:v>
      </x:c>
      <x:c r="Q982" s="9" t="n">
        <x:f>IF(D982=1,INDEX(tun_WinterMult,G982),1)</x:f>
        <x:v>1</x:v>
      </x:c>
      <x:c r="R982" s="9" t="n">
        <x:f>H982*Z981*tun_WomenShare*tun_BaseFertility*INDEX(tun_FertMult,G982)*Arch_Fertility*(1-P982)</x:f>
        <x:v>0</x:v>
      </x:c>
      <x:c r="S982" s="9" t="n">
        <x:f>H982*Y981*INDEX(tun_MortChild,G982)/4*Q982</x:f>
        <x:v>0</x:v>
      </x:c>
      <x:c r="T982" s="9" t="n">
        <x:f>H982*Z981*INDEX(tun_MortAdult,G982)*Arch_AdultMort/4*Q982</x:f>
        <x:v>0</x:v>
      </x:c>
      <x:c r="U982" s="9" t="n">
        <x:f>H982*AA981*INDEX(tun_MortElder,G982)/4*Q982</x:f>
        <x:v>0</x:v>
      </x:c>
      <x:c r="V982" s="9" t="n">
        <x:f>H982*MAX(0,AB981-O982)*tun_OvercapLoss</x:f>
        <x:v>0</x:v>
      </x:c>
      <x:c r="W982" s="9" t="n">
        <x:f>H982*Y981/(tun_ChildYears*4)</x:f>
        <x:v>0</x:v>
      </x:c>
      <x:c r="X982" s="9" t="n">
        <x:f>H982*Z981/(tun_AdultYears*4)</x:f>
        <x:v>0</x:v>
      </x:c>
      <x:c r="Y982" s="32" t="n">
        <x:f>Y981+R982-S982-W982-Y981*V982/AB981</x:f>
        <x:v>40496.20709015643</x:v>
      </x:c>
      <x:c r="Z982" s="32" t="n">
        <x:f>Z981+W982-X982-T982-Z981*V982/AB981</x:f>
        <x:v>59141.61122890803</x:v>
      </x:c>
      <x:c r="AA982" s="32" t="n">
        <x:f>AA981+X982-U982-AA981*V982/AB981</x:f>
        <x:v>45530.62410925061</x:v>
      </x:c>
      <x:c r="AB982" s="10" t="n">
        <x:f>Y982+Z982+AA982</x:f>
        <x:v>145168.44242831506</x:v>
      </x:c>
      <x:c r="AC982" s="8" t="n">
        <x:f>IF(AND(tun_WinterTrigger=1,D982=1,AB981/AE981&gt;=K982),1,0)</x:f>
        <x:v>0</x:v>
      </x:c>
      <x:c r="AD982" s="8" t="n">
        <x:f>H982*IF(AND(OR(AB981/AE981&gt;=tun_FissionTrigger*N982,AC982=1),AB981/AE981*tun_DaughterShare&gt;=tun_MinDaughter),MAX(1,ROUND(AE981*tun_FissionRate,0)),0)</x:f>
        <x:v>0</x:v>
      </x:c>
      <x:c r="AE982" s="8" t="n">
        <x:f>IF(H982=1,MAX(1,MIN(INDEX(tun_Smax,G982),AE981+AD982)),AE981)</x:f>
        <x:v>9</x:v>
      </x:c>
      <x:c r="AF982" s="8" t="n">
        <x:f>MAX(0,AE982-AE981)</x:f>
        <x:v>0</x:v>
      </x:c>
      <x:c r="AG982" s="9" t="str">
        <x:f>IF(AF982&gt;0,B982,"")</x:f>
      </x:c>
      <x:c r="AH982" s="9" t="n">
        <x:f>IF(F982&gt;=1,1,(1+tun_LowTiesShare*(AE982-1))/AE982)</x:f>
        <x:v>1</x:v>
      </x:c>
      <x:c r="AI982" s="32" t="n">
        <x:f>(Z982+tun_ElderCommons*INDEX(LM_Elder,G982)*AA982)*AH982</x:f>
        <x:v>238215.0665857503</x:v>
      </x:c>
      <x:c r="AJ982" s="32" t="n">
        <x:f>H982*tun_CommonsCoef*AI982^tun_CommonsExp*INDEX(LM_Commons,G982)</x:f>
        <x:v>0</x:v>
      </x:c>
      <x:c r="AK982" s="32" t="n">
        <x:f>H982*tun_RoleScale*Arch_Roles*(AE982*(INDEX(tun_ElderRolePerSett,G982)*tun_OutElder*INDEX(LM_Elder,G982)+INDEX(tun_ShamanPerSett,G982)*tun_OutShaman)+Z982*(INDEX(tun_PriestShare,G982)*tun_OutPriest+INDEX(tun_ScribeShare,G982)*tun_OutScribe*INDEX(LM_Scribe,G982)+INDEX(tun_ScholarShare,G982)*tun_OutScholar*INDEX(LM_Scholar,G982)+INDEX(tun_ResearcherShare,G982)*tun_OutResearcher*INDEX(LM_Researcher,G982)))</x:f>
        <x:v>0</x:v>
      </x:c>
      <x:c r="AL982" s="32" t="n">
        <x:f>H982*tun_RoleScale*Arch_Roles*AE982*INDEX(tun_MonasteryPerSett,G982)*tun_OutMonastery*INDEX(LM_Monastery,G982)</x:f>
        <x:v>0</x:v>
      </x:c>
      <x:c r="AM982" s="32" t="n">
        <x:f>(AJ982+AK982+AL982)/4*INDEX(LM_All,G982)*INDEX(tun_Boon,G982)*Arch_Insight</x:f>
        <x:v>0</x:v>
      </x:c>
      <x:c r="AN982" s="32" t="n">
        <x:f>H982*(tun_KHPerAdult*Z982+tun_KHOfCommons*AJ982/4*INDEX(LM_All,G982))*tun_KHUsable*Arch_KH</x:f>
        <x:v>0</x:v>
      </x:c>
      <x:c r="AO982" s="32" t="n">
        <x:f>MIN(AP981+AN982,AM982*tun_KHMaxRatio)</x:f>
        <x:v>0</x:v>
      </x:c>
      <x:c r="AP982" s="32" t="n">
        <x:f>AP981+AN982-AO982</x:f>
        <x:v>0</x:v>
      </x:c>
      <x:c r="AQ982" s="32" t="n">
        <x:f>AM982+AO982</x:f>
        <x:v>0</x:v>
      </x:c>
      <x:c r="AR982" s="10" t="n">
        <x:f>IF(H982=1,INDEX(tun_Req,G982),0)</x:f>
        <x:v>0</x:v>
      </x:c>
      <x:c r="AS982" s="32" t="n">
        <x:f>IF(H982=1,IF(E982=1,AS981-AR981,AS981)+AQ982,0)</x:f>
        <x:v>0</x:v>
      </x:c>
      <x:c r="AT982" s="11" t="n">
        <x:f>IF(AR982&gt;0,MIN(1,AS982/AR982),1)</x:f>
        <x:v>1</x:v>
      </x:c>
      <x:c r="AU982" s="10" t="n">
        <x:f>AB982/INDEX(tun_RepScale,G982)</x:f>
        <x:v>290.3368848566301</x:v>
      </x:c>
      <x:c r="AV982" s="32" t="n">
        <x:f>AM982*60/tun_SeasonSeconds</x:f>
        <x:v>0</x:v>
      </x:c>
    </x:row>
    <x:row r="983">
      <x:c r="A983" s="8" t="n">
        <x:f>A982+1</x:f>
        <x:v>980</x:v>
      </x:c>
      <x:c r="B983" s="9" t="n">
        <x:f>A983*tun_SeasonSeconds/60</x:f>
        <x:v>245</x:v>
      </x:c>
      <x:c r="C983" s="9" t="n">
        <x:f>A983/4</x:f>
        <x:v>245</x:v>
      </x:c>
      <x:c r="D983" s="8" t="n">
        <x:f>IF(MOD(A983,4)=0,1,0)</x:f>
        <x:v>1</x:v>
      </x:c>
      <x:c r="E983" s="8" t="n">
        <x:f>IF(AND(F982&lt;=9,AS982&gt;=AR982),1,0)</x:f>
        <x:v>0</x:v>
      </x:c>
      <x:c r="F983" s="8" t="n">
        <x:f>MIN(10,F982+E983)</x:f>
        <x:v>10</x:v>
      </x:c>
      <x:c r="G983" s="8" t="n">
        <x:f>MIN(F983,9)+1</x:f>
        <x:v>10</x:v>
      </x:c>
      <x:c r="H983" s="8" t="n">
        <x:f>IF(F983&lt;=9,1,0)</x:f>
        <x:v>0</x:v>
      </x:c>
      <x:c r="I983" s="9" t="n">
        <x:f>MIN(10,F982+IF(AR982&gt;0,MIN(1,AS982/AR982),1))</x:f>
        <x:v>10</x:v>
      </x:c>
      <x:c r="J983" s="32" t="n">
        <x:f>INDEX(tun_FoodCap,G983)*Arch_FoodCap*EXP(tun_CapsByProject*SUMPRODUCT((Cap_Point&lt;=I983)*(Cap_Kind="Food")*Cap_Ln))</x:f>
        <x:v>18627.260449441455</x:v>
      </x:c>
      <x:c r="K983" s="32" t="n">
        <x:f>J983*MIN(1,tun_LeanBase*EXP(tun_CapsByProject*SUMPRODUCT((Cap_Point&lt;=I983)*(Cap_Kind="Lean")*Cap_Ln)))</x:f>
        <x:v>18627.260449441455</x:v>
      </x:c>
      <x:c r="L983" s="10" t="n">
        <x:f>INDEX(tun_HousingCap,G983)*EXP(tun_CapsByProject*SUMPRODUCT((Cap_Point&lt;=I983)*(Cap_Kind="Housing")*Cap_Ln))</x:f>
        <x:v>20528.974303173167</x:v>
      </x:c>
      <x:c r="M983" s="10" t="n">
        <x:f>INDEX(tun_GroupCap,G983)*tun_CohesionFactor*EXP(tun_CapsByProject*SUMPRODUCT((Cap_Point&lt;=I983)*(Cap_Kind="Group")*Cap_Ln))</x:f>
        <x:v>1000000.000000001</x:v>
      </x:c>
      <x:c r="N983" s="32" t="n">
        <x:f>MIN(J983,L983,M983)</x:f>
        <x:v>18627.260449441455</x:v>
      </x:c>
      <x:c r="O983" s="10" t="n">
        <x:f>AE982*N983</x:f>
        <x:v>167645.34404497308</x:v>
      </x:c>
      <x:c r="P983" s="9" t="n">
        <x:f>MIN(1,(AB982/(AE982*IF(tun_GroupInCrowding=1,N983,MIN(J983,L983))))^tun_CrowdingExp)</x:f>
        <x:v>0.4215841981292809</x:v>
      </x:c>
      <x:c r="Q983" s="9" t="n">
        <x:f>IF(D983=1,INDEX(tun_WinterMult,G983),1)</x:f>
        <x:v>1.05</x:v>
      </x:c>
      <x:c r="R983" s="9" t="n">
        <x:f>H983*Z982*tun_WomenShare*tun_BaseFertility*INDEX(tun_FertMult,G983)*Arch_Fertility*(1-P983)</x:f>
        <x:v>0</x:v>
      </x:c>
      <x:c r="S983" s="9" t="n">
        <x:f>H983*Y982*INDEX(tun_MortChild,G983)/4*Q983</x:f>
        <x:v>0</x:v>
      </x:c>
      <x:c r="T983" s="9" t="n">
        <x:f>H983*Z982*INDEX(tun_MortAdult,G983)*Arch_AdultMort/4*Q983</x:f>
        <x:v>0</x:v>
      </x:c>
      <x:c r="U983" s="9" t="n">
        <x:f>H983*AA982*INDEX(tun_MortElder,G983)/4*Q983</x:f>
        <x:v>0</x:v>
      </x:c>
      <x:c r="V983" s="9" t="n">
        <x:f>H983*MAX(0,AB982-O983)*tun_OvercapLoss</x:f>
        <x:v>0</x:v>
      </x:c>
      <x:c r="W983" s="9" t="n">
        <x:f>H983*Y982/(tun_ChildYears*4)</x:f>
        <x:v>0</x:v>
      </x:c>
      <x:c r="X983" s="9" t="n">
        <x:f>H983*Z982/(tun_AdultYears*4)</x:f>
        <x:v>0</x:v>
      </x:c>
      <x:c r="Y983" s="32" t="n">
        <x:f>Y982+R983-S983-W983-Y982*V983/AB982</x:f>
        <x:v>40496.20709015643</x:v>
      </x:c>
      <x:c r="Z983" s="32" t="n">
        <x:f>Z982+W983-X983-T983-Z982*V983/AB982</x:f>
        <x:v>59141.61122890803</x:v>
      </x:c>
      <x:c r="AA983" s="32" t="n">
        <x:f>AA982+X983-U983-AA982*V983/AB982</x:f>
        <x:v>45530.62410925061</x:v>
      </x:c>
      <x:c r="AB983" s="10" t="n">
        <x:f>Y983+Z983+AA983</x:f>
        <x:v>145168.44242831506</x:v>
      </x:c>
      <x:c r="AC983" s="8" t="n">
        <x:f>IF(AND(tun_WinterTrigger=1,D983=1,AB982/AE982&gt;=K983),1,0)</x:f>
        <x:v>0</x:v>
      </x:c>
      <x:c r="AD983" s="8" t="n">
        <x:f>H983*IF(AND(OR(AB982/AE982&gt;=tun_FissionTrigger*N983,AC983=1),AB982/AE982*tun_DaughterShare&gt;=tun_MinDaughter),MAX(1,ROUND(AE982*tun_FissionRate,0)),0)</x:f>
        <x:v>0</x:v>
      </x:c>
      <x:c r="AE983" s="8" t="n">
        <x:f>IF(H983=1,MAX(1,MIN(INDEX(tun_Smax,G983),AE982+AD983)),AE982)</x:f>
        <x:v>9</x:v>
      </x:c>
      <x:c r="AF983" s="8" t="n">
        <x:f>MAX(0,AE983-AE982)</x:f>
        <x:v>0</x:v>
      </x:c>
      <x:c r="AG983" s="9" t="str">
        <x:f>IF(AF983&gt;0,B983,"")</x:f>
      </x:c>
      <x:c r="AH983" s="9" t="n">
        <x:f>IF(F983&gt;=1,1,(1+tun_LowTiesShare*(AE983-1))/AE983)</x:f>
        <x:v>1</x:v>
      </x:c>
      <x:c r="AI983" s="32" t="n">
        <x:f>(Z983+tun_ElderCommons*INDEX(LM_Elder,G983)*AA983)*AH983</x:f>
        <x:v>238215.0665857503</x:v>
      </x:c>
      <x:c r="AJ983" s="32" t="n">
        <x:f>H983*tun_CommonsCoef*AI983^tun_CommonsExp*INDEX(LM_Commons,G983)</x:f>
        <x:v>0</x:v>
      </x:c>
      <x:c r="AK983" s="32" t="n">
        <x:f>H983*tun_RoleScale*Arch_Roles*(AE983*(INDEX(tun_ElderRolePerSett,G983)*tun_OutElder*INDEX(LM_Elder,G983)+INDEX(tun_ShamanPerSett,G983)*tun_OutShaman)+Z983*(INDEX(tun_PriestShare,G983)*tun_OutPriest+INDEX(tun_ScribeShare,G983)*tun_OutScribe*INDEX(LM_Scribe,G983)+INDEX(tun_ScholarShare,G983)*tun_OutScholar*INDEX(LM_Scholar,G983)+INDEX(tun_ResearcherShare,G983)*tun_OutResearcher*INDEX(LM_Researcher,G983)))</x:f>
        <x:v>0</x:v>
      </x:c>
      <x:c r="AL983" s="32" t="n">
        <x:f>H983*tun_RoleScale*Arch_Roles*AE983*INDEX(tun_MonasteryPerSett,G983)*tun_OutMonastery*INDEX(LM_Monastery,G983)</x:f>
        <x:v>0</x:v>
      </x:c>
      <x:c r="AM983" s="32" t="n">
        <x:f>(AJ983+AK983+AL983)/4*INDEX(LM_All,G983)*INDEX(tun_Boon,G983)*Arch_Insight</x:f>
        <x:v>0</x:v>
      </x:c>
      <x:c r="AN983" s="32" t="n">
        <x:f>H983*(tun_KHPerAdult*Z983+tun_KHOfCommons*AJ983/4*INDEX(LM_All,G983))*tun_KHUsable*Arch_KH</x:f>
        <x:v>0</x:v>
      </x:c>
      <x:c r="AO983" s="32" t="n">
        <x:f>MIN(AP982+AN983,AM983*tun_KHMaxRatio)</x:f>
        <x:v>0</x:v>
      </x:c>
      <x:c r="AP983" s="32" t="n">
        <x:f>AP982+AN983-AO983</x:f>
        <x:v>0</x:v>
      </x:c>
      <x:c r="AQ983" s="32" t="n">
        <x:f>AM983+AO983</x:f>
        <x:v>0</x:v>
      </x:c>
      <x:c r="AR983" s="10" t="n">
        <x:f>IF(H983=1,INDEX(tun_Req,G983),0)</x:f>
        <x:v>0</x:v>
      </x:c>
      <x:c r="AS983" s="32" t="n">
        <x:f>IF(H983=1,IF(E983=1,AS982-AR982,AS982)+AQ983,0)</x:f>
        <x:v>0</x:v>
      </x:c>
      <x:c r="AT983" s="11" t="n">
        <x:f>IF(AR983&gt;0,MIN(1,AS983/AR983),1)</x:f>
        <x:v>1</x:v>
      </x:c>
      <x:c r="AU983" s="10" t="n">
        <x:f>AB983/INDEX(tun_RepScale,G983)</x:f>
        <x:v>290.3368848566301</x:v>
      </x:c>
      <x:c r="AV983" s="32" t="n">
        <x:f>AM983*60/tun_SeasonSeconds</x:f>
        <x:v>0</x:v>
      </x:c>
    </x:row>
    <x:row r="984">
      <x:c r="A984" s="8" t="n">
        <x:f>A983+1</x:f>
        <x:v>981</x:v>
      </x:c>
      <x:c r="B984" s="9" t="n">
        <x:f>A984*tun_SeasonSeconds/60</x:f>
        <x:v>245.25</x:v>
      </x:c>
      <x:c r="C984" s="9" t="n">
        <x:f>A984/4</x:f>
        <x:v>245.25</x:v>
      </x:c>
      <x:c r="D984" s="8" t="n">
        <x:f>IF(MOD(A984,4)=0,1,0)</x:f>
        <x:v>0</x:v>
      </x:c>
      <x:c r="E984" s="8" t="n">
        <x:f>IF(AND(F983&lt;=9,AS983&gt;=AR983),1,0)</x:f>
        <x:v>0</x:v>
      </x:c>
      <x:c r="F984" s="8" t="n">
        <x:f>MIN(10,F983+E984)</x:f>
        <x:v>10</x:v>
      </x:c>
      <x:c r="G984" s="8" t="n">
        <x:f>MIN(F984,9)+1</x:f>
        <x:v>10</x:v>
      </x:c>
      <x:c r="H984" s="8" t="n">
        <x:f>IF(F984&lt;=9,1,0)</x:f>
        <x:v>0</x:v>
      </x:c>
      <x:c r="I984" s="9" t="n">
        <x:f>MIN(10,F983+IF(AR983&gt;0,MIN(1,AS983/AR983),1))</x:f>
        <x:v>10</x:v>
      </x:c>
      <x:c r="J984" s="32" t="n">
        <x:f>INDEX(tun_FoodCap,G984)*Arch_FoodCap*EXP(tun_CapsByProject*SUMPRODUCT((Cap_Point&lt;=I984)*(Cap_Kind="Food")*Cap_Ln))</x:f>
        <x:v>18627.260449441455</x:v>
      </x:c>
      <x:c r="K984" s="32" t="n">
        <x:f>J984*MIN(1,tun_LeanBase*EXP(tun_CapsByProject*SUMPRODUCT((Cap_Point&lt;=I984)*(Cap_Kind="Lean")*Cap_Ln)))</x:f>
        <x:v>18627.260449441455</x:v>
      </x:c>
      <x:c r="L984" s="10" t="n">
        <x:f>INDEX(tun_HousingCap,G984)*EXP(tun_CapsByProject*SUMPRODUCT((Cap_Point&lt;=I984)*(Cap_Kind="Housing")*Cap_Ln))</x:f>
        <x:v>20528.974303173167</x:v>
      </x:c>
      <x:c r="M984" s="10" t="n">
        <x:f>INDEX(tun_GroupCap,G984)*tun_CohesionFactor*EXP(tun_CapsByProject*SUMPRODUCT((Cap_Point&lt;=I984)*(Cap_Kind="Group")*Cap_Ln))</x:f>
        <x:v>1000000.000000001</x:v>
      </x:c>
      <x:c r="N984" s="32" t="n">
        <x:f>MIN(J984,L984,M984)</x:f>
        <x:v>18627.260449441455</x:v>
      </x:c>
      <x:c r="O984" s="10" t="n">
        <x:f>AE983*N984</x:f>
        <x:v>167645.34404497308</x:v>
      </x:c>
      <x:c r="P984" s="9" t="n">
        <x:f>MIN(1,(AB983/(AE983*IF(tun_GroupInCrowding=1,N984,MIN(J984,L984))))^tun_CrowdingExp)</x:f>
        <x:v>0.4215841981292809</x:v>
      </x:c>
      <x:c r="Q984" s="9" t="n">
        <x:f>IF(D984=1,INDEX(tun_WinterMult,G984),1)</x:f>
        <x:v>1</x:v>
      </x:c>
      <x:c r="R984" s="9" t="n">
        <x:f>H984*Z983*tun_WomenShare*tun_BaseFertility*INDEX(tun_FertMult,G984)*Arch_Fertility*(1-P984)</x:f>
        <x:v>0</x:v>
      </x:c>
      <x:c r="S984" s="9" t="n">
        <x:f>H984*Y983*INDEX(tun_MortChild,G984)/4*Q984</x:f>
        <x:v>0</x:v>
      </x:c>
      <x:c r="T984" s="9" t="n">
        <x:f>H984*Z983*INDEX(tun_MortAdult,G984)*Arch_AdultMort/4*Q984</x:f>
        <x:v>0</x:v>
      </x:c>
      <x:c r="U984" s="9" t="n">
        <x:f>H984*AA983*INDEX(tun_MortElder,G984)/4*Q984</x:f>
        <x:v>0</x:v>
      </x:c>
      <x:c r="V984" s="9" t="n">
        <x:f>H984*MAX(0,AB983-O984)*tun_OvercapLoss</x:f>
        <x:v>0</x:v>
      </x:c>
      <x:c r="W984" s="9" t="n">
        <x:f>H984*Y983/(tun_ChildYears*4)</x:f>
        <x:v>0</x:v>
      </x:c>
      <x:c r="X984" s="9" t="n">
        <x:f>H984*Z983/(tun_AdultYears*4)</x:f>
        <x:v>0</x:v>
      </x:c>
      <x:c r="Y984" s="32" t="n">
        <x:f>Y983+R984-S984-W984-Y983*V984/AB983</x:f>
        <x:v>40496.20709015643</x:v>
      </x:c>
      <x:c r="Z984" s="32" t="n">
        <x:f>Z983+W984-X984-T984-Z983*V984/AB983</x:f>
        <x:v>59141.61122890803</x:v>
      </x:c>
      <x:c r="AA984" s="32" t="n">
        <x:f>AA983+X984-U984-AA983*V984/AB983</x:f>
        <x:v>45530.62410925061</x:v>
      </x:c>
      <x:c r="AB984" s="10" t="n">
        <x:f>Y984+Z984+AA984</x:f>
        <x:v>145168.44242831506</x:v>
      </x:c>
      <x:c r="AC984" s="8" t="n">
        <x:f>IF(AND(tun_WinterTrigger=1,D984=1,AB983/AE983&gt;=K984),1,0)</x:f>
        <x:v>0</x:v>
      </x:c>
      <x:c r="AD984" s="8" t="n">
        <x:f>H984*IF(AND(OR(AB983/AE983&gt;=tun_FissionTrigger*N984,AC984=1),AB983/AE983*tun_DaughterShare&gt;=tun_MinDaughter),MAX(1,ROUND(AE983*tun_FissionRate,0)),0)</x:f>
        <x:v>0</x:v>
      </x:c>
      <x:c r="AE984" s="8" t="n">
        <x:f>IF(H984=1,MAX(1,MIN(INDEX(tun_Smax,G984),AE983+AD984)),AE983)</x:f>
        <x:v>9</x:v>
      </x:c>
      <x:c r="AF984" s="8" t="n">
        <x:f>MAX(0,AE984-AE983)</x:f>
        <x:v>0</x:v>
      </x:c>
      <x:c r="AG984" s="9" t="str">
        <x:f>IF(AF984&gt;0,B984,"")</x:f>
      </x:c>
      <x:c r="AH984" s="9" t="n">
        <x:f>IF(F984&gt;=1,1,(1+tun_LowTiesShare*(AE984-1))/AE984)</x:f>
        <x:v>1</x:v>
      </x:c>
      <x:c r="AI984" s="32" t="n">
        <x:f>(Z984+tun_ElderCommons*INDEX(LM_Elder,G984)*AA984)*AH984</x:f>
        <x:v>238215.0665857503</x:v>
      </x:c>
      <x:c r="AJ984" s="32" t="n">
        <x:f>H984*tun_CommonsCoef*AI984^tun_CommonsExp*INDEX(LM_Commons,G984)</x:f>
        <x:v>0</x:v>
      </x:c>
      <x:c r="AK984" s="32" t="n">
        <x:f>H984*tun_RoleScale*Arch_Roles*(AE984*(INDEX(tun_ElderRolePerSett,G984)*tun_OutElder*INDEX(LM_Elder,G984)+INDEX(tun_ShamanPerSett,G984)*tun_OutShaman)+Z984*(INDEX(tun_PriestShare,G984)*tun_OutPriest+INDEX(tun_ScribeShare,G984)*tun_OutScribe*INDEX(LM_Scribe,G984)+INDEX(tun_ScholarShare,G984)*tun_OutScholar*INDEX(LM_Scholar,G984)+INDEX(tun_ResearcherShare,G984)*tun_OutResearcher*INDEX(LM_Researcher,G984)))</x:f>
        <x:v>0</x:v>
      </x:c>
      <x:c r="AL984" s="32" t="n">
        <x:f>H984*tun_RoleScale*Arch_Roles*AE984*INDEX(tun_MonasteryPerSett,G984)*tun_OutMonastery*INDEX(LM_Monastery,G984)</x:f>
        <x:v>0</x:v>
      </x:c>
      <x:c r="AM984" s="32" t="n">
        <x:f>(AJ984+AK984+AL984)/4*INDEX(LM_All,G984)*INDEX(tun_Boon,G984)*Arch_Insight</x:f>
        <x:v>0</x:v>
      </x:c>
      <x:c r="AN984" s="32" t="n">
        <x:f>H984*(tun_KHPerAdult*Z984+tun_KHOfCommons*AJ984/4*INDEX(LM_All,G984))*tun_KHUsable*Arch_KH</x:f>
        <x:v>0</x:v>
      </x:c>
      <x:c r="AO984" s="32" t="n">
        <x:f>MIN(AP983+AN984,AM984*tun_KHMaxRatio)</x:f>
        <x:v>0</x:v>
      </x:c>
      <x:c r="AP984" s="32" t="n">
        <x:f>AP983+AN984-AO984</x:f>
        <x:v>0</x:v>
      </x:c>
      <x:c r="AQ984" s="32" t="n">
        <x:f>AM984+AO984</x:f>
        <x:v>0</x:v>
      </x:c>
      <x:c r="AR984" s="10" t="n">
        <x:f>IF(H984=1,INDEX(tun_Req,G984),0)</x:f>
        <x:v>0</x:v>
      </x:c>
      <x:c r="AS984" s="32" t="n">
        <x:f>IF(H984=1,IF(E984=1,AS983-AR983,AS983)+AQ984,0)</x:f>
        <x:v>0</x:v>
      </x:c>
      <x:c r="AT984" s="11" t="n">
        <x:f>IF(AR984&gt;0,MIN(1,AS984/AR984),1)</x:f>
        <x:v>1</x:v>
      </x:c>
      <x:c r="AU984" s="10" t="n">
        <x:f>AB984/INDEX(tun_RepScale,G984)</x:f>
        <x:v>290.3368848566301</x:v>
      </x:c>
      <x:c r="AV984" s="32" t="n">
        <x:f>AM984*60/tun_SeasonSeconds</x:f>
        <x:v>0</x:v>
      </x:c>
    </x:row>
    <x:row r="985">
      <x:c r="A985" s="8" t="n">
        <x:f>A984+1</x:f>
        <x:v>982</x:v>
      </x:c>
      <x:c r="B985" s="9" t="n">
        <x:f>A985*tun_SeasonSeconds/60</x:f>
        <x:v>245.5</x:v>
      </x:c>
      <x:c r="C985" s="9" t="n">
        <x:f>A985/4</x:f>
        <x:v>245.5</x:v>
      </x:c>
      <x:c r="D985" s="8" t="n">
        <x:f>IF(MOD(A985,4)=0,1,0)</x:f>
        <x:v>0</x:v>
      </x:c>
      <x:c r="E985" s="8" t="n">
        <x:f>IF(AND(F984&lt;=9,AS984&gt;=AR984),1,0)</x:f>
        <x:v>0</x:v>
      </x:c>
      <x:c r="F985" s="8" t="n">
        <x:f>MIN(10,F984+E985)</x:f>
        <x:v>10</x:v>
      </x:c>
      <x:c r="G985" s="8" t="n">
        <x:f>MIN(F985,9)+1</x:f>
        <x:v>10</x:v>
      </x:c>
      <x:c r="H985" s="8" t="n">
        <x:f>IF(F985&lt;=9,1,0)</x:f>
        <x:v>0</x:v>
      </x:c>
      <x:c r="I985" s="9" t="n">
        <x:f>MIN(10,F984+IF(AR984&gt;0,MIN(1,AS984/AR984),1))</x:f>
        <x:v>10</x:v>
      </x:c>
      <x:c r="J985" s="32" t="n">
        <x:f>INDEX(tun_FoodCap,G985)*Arch_FoodCap*EXP(tun_CapsByProject*SUMPRODUCT((Cap_Point&lt;=I985)*(Cap_Kind="Food")*Cap_Ln))</x:f>
        <x:v>18627.260449441455</x:v>
      </x:c>
      <x:c r="K985" s="32" t="n">
        <x:f>J985*MIN(1,tun_LeanBase*EXP(tun_CapsByProject*SUMPRODUCT((Cap_Point&lt;=I985)*(Cap_Kind="Lean")*Cap_Ln)))</x:f>
        <x:v>18627.260449441455</x:v>
      </x:c>
      <x:c r="L985" s="10" t="n">
        <x:f>INDEX(tun_HousingCap,G985)*EXP(tun_CapsByProject*SUMPRODUCT((Cap_Point&lt;=I985)*(Cap_Kind="Housing")*Cap_Ln))</x:f>
        <x:v>20528.974303173167</x:v>
      </x:c>
      <x:c r="M985" s="10" t="n">
        <x:f>INDEX(tun_GroupCap,G985)*tun_CohesionFactor*EXP(tun_CapsByProject*SUMPRODUCT((Cap_Point&lt;=I985)*(Cap_Kind="Group")*Cap_Ln))</x:f>
        <x:v>1000000.000000001</x:v>
      </x:c>
      <x:c r="N985" s="32" t="n">
        <x:f>MIN(J985,L985,M985)</x:f>
        <x:v>18627.260449441455</x:v>
      </x:c>
      <x:c r="O985" s="10" t="n">
        <x:f>AE984*N985</x:f>
        <x:v>167645.34404497308</x:v>
      </x:c>
      <x:c r="P985" s="9" t="n">
        <x:f>MIN(1,(AB984/(AE984*IF(tun_GroupInCrowding=1,N985,MIN(J985,L985))))^tun_CrowdingExp)</x:f>
        <x:v>0.4215841981292809</x:v>
      </x:c>
      <x:c r="Q985" s="9" t="n">
        <x:f>IF(D985=1,INDEX(tun_WinterMult,G985),1)</x:f>
        <x:v>1</x:v>
      </x:c>
      <x:c r="R985" s="9" t="n">
        <x:f>H985*Z984*tun_WomenShare*tun_BaseFertility*INDEX(tun_FertMult,G985)*Arch_Fertility*(1-P985)</x:f>
        <x:v>0</x:v>
      </x:c>
      <x:c r="S985" s="9" t="n">
        <x:f>H985*Y984*INDEX(tun_MortChild,G985)/4*Q985</x:f>
        <x:v>0</x:v>
      </x:c>
      <x:c r="T985" s="9" t="n">
        <x:f>H985*Z984*INDEX(tun_MortAdult,G985)*Arch_AdultMort/4*Q985</x:f>
        <x:v>0</x:v>
      </x:c>
      <x:c r="U985" s="9" t="n">
        <x:f>H985*AA984*INDEX(tun_MortElder,G985)/4*Q985</x:f>
        <x:v>0</x:v>
      </x:c>
      <x:c r="V985" s="9" t="n">
        <x:f>H985*MAX(0,AB984-O985)*tun_OvercapLoss</x:f>
        <x:v>0</x:v>
      </x:c>
      <x:c r="W985" s="9" t="n">
        <x:f>H985*Y984/(tun_ChildYears*4)</x:f>
        <x:v>0</x:v>
      </x:c>
      <x:c r="X985" s="9" t="n">
        <x:f>H985*Z984/(tun_AdultYears*4)</x:f>
        <x:v>0</x:v>
      </x:c>
      <x:c r="Y985" s="32" t="n">
        <x:f>Y984+R985-S985-W985-Y984*V985/AB984</x:f>
        <x:v>40496.20709015643</x:v>
      </x:c>
      <x:c r="Z985" s="32" t="n">
        <x:f>Z984+W985-X985-T985-Z984*V985/AB984</x:f>
        <x:v>59141.61122890803</x:v>
      </x:c>
      <x:c r="AA985" s="32" t="n">
        <x:f>AA984+X985-U985-AA984*V985/AB984</x:f>
        <x:v>45530.62410925061</x:v>
      </x:c>
      <x:c r="AB985" s="10" t="n">
        <x:f>Y985+Z985+AA985</x:f>
        <x:v>145168.44242831506</x:v>
      </x:c>
      <x:c r="AC985" s="8" t="n">
        <x:f>IF(AND(tun_WinterTrigger=1,D985=1,AB984/AE984&gt;=K985),1,0)</x:f>
        <x:v>0</x:v>
      </x:c>
      <x:c r="AD985" s="8" t="n">
        <x:f>H985*IF(AND(OR(AB984/AE984&gt;=tun_FissionTrigger*N985,AC985=1),AB984/AE984*tun_DaughterShare&gt;=tun_MinDaughter),MAX(1,ROUND(AE984*tun_FissionRate,0)),0)</x:f>
        <x:v>0</x:v>
      </x:c>
      <x:c r="AE985" s="8" t="n">
        <x:f>IF(H985=1,MAX(1,MIN(INDEX(tun_Smax,G985),AE984+AD985)),AE984)</x:f>
        <x:v>9</x:v>
      </x:c>
      <x:c r="AF985" s="8" t="n">
        <x:f>MAX(0,AE985-AE984)</x:f>
        <x:v>0</x:v>
      </x:c>
      <x:c r="AG985" s="9" t="str">
        <x:f>IF(AF985&gt;0,B985,"")</x:f>
      </x:c>
      <x:c r="AH985" s="9" t="n">
        <x:f>IF(F985&gt;=1,1,(1+tun_LowTiesShare*(AE985-1))/AE985)</x:f>
        <x:v>1</x:v>
      </x:c>
      <x:c r="AI985" s="32" t="n">
        <x:f>(Z985+tun_ElderCommons*INDEX(LM_Elder,G985)*AA985)*AH985</x:f>
        <x:v>238215.0665857503</x:v>
      </x:c>
      <x:c r="AJ985" s="32" t="n">
        <x:f>H985*tun_CommonsCoef*AI985^tun_CommonsExp*INDEX(LM_Commons,G985)</x:f>
        <x:v>0</x:v>
      </x:c>
      <x:c r="AK985" s="32" t="n">
        <x:f>H985*tun_RoleScale*Arch_Roles*(AE985*(INDEX(tun_ElderRolePerSett,G985)*tun_OutElder*INDEX(LM_Elder,G985)+INDEX(tun_ShamanPerSett,G985)*tun_OutShaman)+Z985*(INDEX(tun_PriestShare,G985)*tun_OutPriest+INDEX(tun_ScribeShare,G985)*tun_OutScribe*INDEX(LM_Scribe,G985)+INDEX(tun_ScholarShare,G985)*tun_OutScholar*INDEX(LM_Scholar,G985)+INDEX(tun_ResearcherShare,G985)*tun_OutResearcher*INDEX(LM_Researcher,G985)))</x:f>
        <x:v>0</x:v>
      </x:c>
      <x:c r="AL985" s="32" t="n">
        <x:f>H985*tun_RoleScale*Arch_Roles*AE985*INDEX(tun_MonasteryPerSett,G985)*tun_OutMonastery*INDEX(LM_Monastery,G985)</x:f>
        <x:v>0</x:v>
      </x:c>
      <x:c r="AM985" s="32" t="n">
        <x:f>(AJ985+AK985+AL985)/4*INDEX(LM_All,G985)*INDEX(tun_Boon,G985)*Arch_Insight</x:f>
        <x:v>0</x:v>
      </x:c>
      <x:c r="AN985" s="32" t="n">
        <x:f>H985*(tun_KHPerAdult*Z985+tun_KHOfCommons*AJ985/4*INDEX(LM_All,G985))*tun_KHUsable*Arch_KH</x:f>
        <x:v>0</x:v>
      </x:c>
      <x:c r="AO985" s="32" t="n">
        <x:f>MIN(AP984+AN985,AM985*tun_KHMaxRatio)</x:f>
        <x:v>0</x:v>
      </x:c>
      <x:c r="AP985" s="32" t="n">
        <x:f>AP984+AN985-AO985</x:f>
        <x:v>0</x:v>
      </x:c>
      <x:c r="AQ985" s="32" t="n">
        <x:f>AM985+AO985</x:f>
        <x:v>0</x:v>
      </x:c>
      <x:c r="AR985" s="10" t="n">
        <x:f>IF(H985=1,INDEX(tun_Req,G985),0)</x:f>
        <x:v>0</x:v>
      </x:c>
      <x:c r="AS985" s="32" t="n">
        <x:f>IF(H985=1,IF(E985=1,AS984-AR984,AS984)+AQ985,0)</x:f>
        <x:v>0</x:v>
      </x:c>
      <x:c r="AT985" s="11" t="n">
        <x:f>IF(AR985&gt;0,MIN(1,AS985/AR985),1)</x:f>
        <x:v>1</x:v>
      </x:c>
      <x:c r="AU985" s="10" t="n">
        <x:f>AB985/INDEX(tun_RepScale,G985)</x:f>
        <x:v>290.3368848566301</x:v>
      </x:c>
      <x:c r="AV985" s="32" t="n">
        <x:f>AM985*60/tun_SeasonSeconds</x:f>
        <x:v>0</x:v>
      </x:c>
    </x:row>
    <x:row r="986">
      <x:c r="A986" s="8" t="n">
        <x:f>A985+1</x:f>
        <x:v>983</x:v>
      </x:c>
      <x:c r="B986" s="9" t="n">
        <x:f>A986*tun_SeasonSeconds/60</x:f>
        <x:v>245.75</x:v>
      </x:c>
      <x:c r="C986" s="9" t="n">
        <x:f>A986/4</x:f>
        <x:v>245.75</x:v>
      </x:c>
      <x:c r="D986" s="8" t="n">
        <x:f>IF(MOD(A986,4)=0,1,0)</x:f>
        <x:v>0</x:v>
      </x:c>
      <x:c r="E986" s="8" t="n">
        <x:f>IF(AND(F985&lt;=9,AS985&gt;=AR985),1,0)</x:f>
        <x:v>0</x:v>
      </x:c>
      <x:c r="F986" s="8" t="n">
        <x:f>MIN(10,F985+E986)</x:f>
        <x:v>10</x:v>
      </x:c>
      <x:c r="G986" s="8" t="n">
        <x:f>MIN(F986,9)+1</x:f>
        <x:v>10</x:v>
      </x:c>
      <x:c r="H986" s="8" t="n">
        <x:f>IF(F986&lt;=9,1,0)</x:f>
        <x:v>0</x:v>
      </x:c>
      <x:c r="I986" s="9" t="n">
        <x:f>MIN(10,F985+IF(AR985&gt;0,MIN(1,AS985/AR985),1))</x:f>
        <x:v>10</x:v>
      </x:c>
      <x:c r="J986" s="32" t="n">
        <x:f>INDEX(tun_FoodCap,G986)*Arch_FoodCap*EXP(tun_CapsByProject*SUMPRODUCT((Cap_Point&lt;=I986)*(Cap_Kind="Food")*Cap_Ln))</x:f>
        <x:v>18627.260449441455</x:v>
      </x:c>
      <x:c r="K986" s="32" t="n">
        <x:f>J986*MIN(1,tun_LeanBase*EXP(tun_CapsByProject*SUMPRODUCT((Cap_Point&lt;=I986)*(Cap_Kind="Lean")*Cap_Ln)))</x:f>
        <x:v>18627.260449441455</x:v>
      </x:c>
      <x:c r="L986" s="10" t="n">
        <x:f>INDEX(tun_HousingCap,G986)*EXP(tun_CapsByProject*SUMPRODUCT((Cap_Point&lt;=I986)*(Cap_Kind="Housing")*Cap_Ln))</x:f>
        <x:v>20528.974303173167</x:v>
      </x:c>
      <x:c r="M986" s="10" t="n">
        <x:f>INDEX(tun_GroupCap,G986)*tun_CohesionFactor*EXP(tun_CapsByProject*SUMPRODUCT((Cap_Point&lt;=I986)*(Cap_Kind="Group")*Cap_Ln))</x:f>
        <x:v>1000000.000000001</x:v>
      </x:c>
      <x:c r="N986" s="32" t="n">
        <x:f>MIN(J986,L986,M986)</x:f>
        <x:v>18627.260449441455</x:v>
      </x:c>
      <x:c r="O986" s="10" t="n">
        <x:f>AE985*N986</x:f>
        <x:v>167645.34404497308</x:v>
      </x:c>
      <x:c r="P986" s="9" t="n">
        <x:f>MIN(1,(AB985/(AE985*IF(tun_GroupInCrowding=1,N986,MIN(J986,L986))))^tun_CrowdingExp)</x:f>
        <x:v>0.4215841981292809</x:v>
      </x:c>
      <x:c r="Q986" s="9" t="n">
        <x:f>IF(D986=1,INDEX(tun_WinterMult,G986),1)</x:f>
        <x:v>1</x:v>
      </x:c>
      <x:c r="R986" s="9" t="n">
        <x:f>H986*Z985*tun_WomenShare*tun_BaseFertility*INDEX(tun_FertMult,G986)*Arch_Fertility*(1-P986)</x:f>
        <x:v>0</x:v>
      </x:c>
      <x:c r="S986" s="9" t="n">
        <x:f>H986*Y985*INDEX(tun_MortChild,G986)/4*Q986</x:f>
        <x:v>0</x:v>
      </x:c>
      <x:c r="T986" s="9" t="n">
        <x:f>H986*Z985*INDEX(tun_MortAdult,G986)*Arch_AdultMort/4*Q986</x:f>
        <x:v>0</x:v>
      </x:c>
      <x:c r="U986" s="9" t="n">
        <x:f>H986*AA985*INDEX(tun_MortElder,G986)/4*Q986</x:f>
        <x:v>0</x:v>
      </x:c>
      <x:c r="V986" s="9" t="n">
        <x:f>H986*MAX(0,AB985-O986)*tun_OvercapLoss</x:f>
        <x:v>0</x:v>
      </x:c>
      <x:c r="W986" s="9" t="n">
        <x:f>H986*Y985/(tun_ChildYears*4)</x:f>
        <x:v>0</x:v>
      </x:c>
      <x:c r="X986" s="9" t="n">
        <x:f>H986*Z985/(tun_AdultYears*4)</x:f>
        <x:v>0</x:v>
      </x:c>
      <x:c r="Y986" s="32" t="n">
        <x:f>Y985+R986-S986-W986-Y985*V986/AB985</x:f>
        <x:v>40496.20709015643</x:v>
      </x:c>
      <x:c r="Z986" s="32" t="n">
        <x:f>Z985+W986-X986-T986-Z985*V986/AB985</x:f>
        <x:v>59141.61122890803</x:v>
      </x:c>
      <x:c r="AA986" s="32" t="n">
        <x:f>AA985+X986-U986-AA985*V986/AB985</x:f>
        <x:v>45530.62410925061</x:v>
      </x:c>
      <x:c r="AB986" s="10" t="n">
        <x:f>Y986+Z986+AA986</x:f>
        <x:v>145168.44242831506</x:v>
      </x:c>
      <x:c r="AC986" s="8" t="n">
        <x:f>IF(AND(tun_WinterTrigger=1,D986=1,AB985/AE985&gt;=K986),1,0)</x:f>
        <x:v>0</x:v>
      </x:c>
      <x:c r="AD986" s="8" t="n">
        <x:f>H986*IF(AND(OR(AB985/AE985&gt;=tun_FissionTrigger*N986,AC986=1),AB985/AE985*tun_DaughterShare&gt;=tun_MinDaughter),MAX(1,ROUND(AE985*tun_FissionRate,0)),0)</x:f>
        <x:v>0</x:v>
      </x:c>
      <x:c r="AE986" s="8" t="n">
        <x:f>IF(H986=1,MAX(1,MIN(INDEX(tun_Smax,G986),AE985+AD986)),AE985)</x:f>
        <x:v>9</x:v>
      </x:c>
      <x:c r="AF986" s="8" t="n">
        <x:f>MAX(0,AE986-AE985)</x:f>
        <x:v>0</x:v>
      </x:c>
      <x:c r="AG986" s="9" t="str">
        <x:f>IF(AF986&gt;0,B986,"")</x:f>
      </x:c>
      <x:c r="AH986" s="9" t="n">
        <x:f>IF(F986&gt;=1,1,(1+tun_LowTiesShare*(AE986-1))/AE986)</x:f>
        <x:v>1</x:v>
      </x:c>
      <x:c r="AI986" s="32" t="n">
        <x:f>(Z986+tun_ElderCommons*INDEX(LM_Elder,G986)*AA986)*AH986</x:f>
        <x:v>238215.0665857503</x:v>
      </x:c>
      <x:c r="AJ986" s="32" t="n">
        <x:f>H986*tun_CommonsCoef*AI986^tun_CommonsExp*INDEX(LM_Commons,G986)</x:f>
        <x:v>0</x:v>
      </x:c>
      <x:c r="AK986" s="32" t="n">
        <x:f>H986*tun_RoleScale*Arch_Roles*(AE986*(INDEX(tun_ElderRolePerSett,G986)*tun_OutElder*INDEX(LM_Elder,G986)+INDEX(tun_ShamanPerSett,G986)*tun_OutShaman)+Z986*(INDEX(tun_PriestShare,G986)*tun_OutPriest+INDEX(tun_ScribeShare,G986)*tun_OutScribe*INDEX(LM_Scribe,G986)+INDEX(tun_ScholarShare,G986)*tun_OutScholar*INDEX(LM_Scholar,G986)+INDEX(tun_ResearcherShare,G986)*tun_OutResearcher*INDEX(LM_Researcher,G986)))</x:f>
        <x:v>0</x:v>
      </x:c>
      <x:c r="AL986" s="32" t="n">
        <x:f>H986*tun_RoleScale*Arch_Roles*AE986*INDEX(tun_MonasteryPerSett,G986)*tun_OutMonastery*INDEX(LM_Monastery,G986)</x:f>
        <x:v>0</x:v>
      </x:c>
      <x:c r="AM986" s="32" t="n">
        <x:f>(AJ986+AK986+AL986)/4*INDEX(LM_All,G986)*INDEX(tun_Boon,G986)*Arch_Insight</x:f>
        <x:v>0</x:v>
      </x:c>
      <x:c r="AN986" s="32" t="n">
        <x:f>H986*(tun_KHPerAdult*Z986+tun_KHOfCommons*AJ986/4*INDEX(LM_All,G986))*tun_KHUsable*Arch_KH</x:f>
        <x:v>0</x:v>
      </x:c>
      <x:c r="AO986" s="32" t="n">
        <x:f>MIN(AP985+AN986,AM986*tun_KHMaxRatio)</x:f>
        <x:v>0</x:v>
      </x:c>
      <x:c r="AP986" s="32" t="n">
        <x:f>AP985+AN986-AO986</x:f>
        <x:v>0</x:v>
      </x:c>
      <x:c r="AQ986" s="32" t="n">
        <x:f>AM986+AO986</x:f>
        <x:v>0</x:v>
      </x:c>
      <x:c r="AR986" s="10" t="n">
        <x:f>IF(H986=1,INDEX(tun_Req,G986),0)</x:f>
        <x:v>0</x:v>
      </x:c>
      <x:c r="AS986" s="32" t="n">
        <x:f>IF(H986=1,IF(E986=1,AS985-AR985,AS985)+AQ986,0)</x:f>
        <x:v>0</x:v>
      </x:c>
      <x:c r="AT986" s="11" t="n">
        <x:f>IF(AR986&gt;0,MIN(1,AS986/AR986),1)</x:f>
        <x:v>1</x:v>
      </x:c>
      <x:c r="AU986" s="10" t="n">
        <x:f>AB986/INDEX(tun_RepScale,G986)</x:f>
        <x:v>290.3368848566301</x:v>
      </x:c>
      <x:c r="AV986" s="32" t="n">
        <x:f>AM986*60/tun_SeasonSeconds</x:f>
        <x:v>0</x:v>
      </x:c>
    </x:row>
    <x:row r="987">
      <x:c r="A987" s="8" t="n">
        <x:f>A986+1</x:f>
        <x:v>984</x:v>
      </x:c>
      <x:c r="B987" s="9" t="n">
        <x:f>A987*tun_SeasonSeconds/60</x:f>
        <x:v>246</x:v>
      </x:c>
      <x:c r="C987" s="9" t="n">
        <x:f>A987/4</x:f>
        <x:v>246</x:v>
      </x:c>
      <x:c r="D987" s="8" t="n">
        <x:f>IF(MOD(A987,4)=0,1,0)</x:f>
        <x:v>1</x:v>
      </x:c>
      <x:c r="E987" s="8" t="n">
        <x:f>IF(AND(F986&lt;=9,AS986&gt;=AR986),1,0)</x:f>
        <x:v>0</x:v>
      </x:c>
      <x:c r="F987" s="8" t="n">
        <x:f>MIN(10,F986+E987)</x:f>
        <x:v>10</x:v>
      </x:c>
      <x:c r="G987" s="8" t="n">
        <x:f>MIN(F987,9)+1</x:f>
        <x:v>10</x:v>
      </x:c>
      <x:c r="H987" s="8" t="n">
        <x:f>IF(F987&lt;=9,1,0)</x:f>
        <x:v>0</x:v>
      </x:c>
      <x:c r="I987" s="9" t="n">
        <x:f>MIN(10,F986+IF(AR986&gt;0,MIN(1,AS986/AR986),1))</x:f>
        <x:v>10</x:v>
      </x:c>
      <x:c r="J987" s="32" t="n">
        <x:f>INDEX(tun_FoodCap,G987)*Arch_FoodCap*EXP(tun_CapsByProject*SUMPRODUCT((Cap_Point&lt;=I987)*(Cap_Kind="Food")*Cap_Ln))</x:f>
        <x:v>18627.260449441455</x:v>
      </x:c>
      <x:c r="K987" s="32" t="n">
        <x:f>J987*MIN(1,tun_LeanBase*EXP(tun_CapsByProject*SUMPRODUCT((Cap_Point&lt;=I987)*(Cap_Kind="Lean")*Cap_Ln)))</x:f>
        <x:v>18627.260449441455</x:v>
      </x:c>
      <x:c r="L987" s="10" t="n">
        <x:f>INDEX(tun_HousingCap,G987)*EXP(tun_CapsByProject*SUMPRODUCT((Cap_Point&lt;=I987)*(Cap_Kind="Housing")*Cap_Ln))</x:f>
        <x:v>20528.974303173167</x:v>
      </x:c>
      <x:c r="M987" s="10" t="n">
        <x:f>INDEX(tun_GroupCap,G987)*tun_CohesionFactor*EXP(tun_CapsByProject*SUMPRODUCT((Cap_Point&lt;=I987)*(Cap_Kind="Group")*Cap_Ln))</x:f>
        <x:v>1000000.000000001</x:v>
      </x:c>
      <x:c r="N987" s="32" t="n">
        <x:f>MIN(J987,L987,M987)</x:f>
        <x:v>18627.260449441455</x:v>
      </x:c>
      <x:c r="O987" s="10" t="n">
        <x:f>AE986*N987</x:f>
        <x:v>167645.34404497308</x:v>
      </x:c>
      <x:c r="P987" s="9" t="n">
        <x:f>MIN(1,(AB986/(AE986*IF(tun_GroupInCrowding=1,N987,MIN(J987,L987))))^tun_CrowdingExp)</x:f>
        <x:v>0.4215841981292809</x:v>
      </x:c>
      <x:c r="Q987" s="9" t="n">
        <x:f>IF(D987=1,INDEX(tun_WinterMult,G987),1)</x:f>
        <x:v>1.05</x:v>
      </x:c>
      <x:c r="R987" s="9" t="n">
        <x:f>H987*Z986*tun_WomenShare*tun_BaseFertility*INDEX(tun_FertMult,G987)*Arch_Fertility*(1-P987)</x:f>
        <x:v>0</x:v>
      </x:c>
      <x:c r="S987" s="9" t="n">
        <x:f>H987*Y986*INDEX(tun_MortChild,G987)/4*Q987</x:f>
        <x:v>0</x:v>
      </x:c>
      <x:c r="T987" s="9" t="n">
        <x:f>H987*Z986*INDEX(tun_MortAdult,G987)*Arch_AdultMort/4*Q987</x:f>
        <x:v>0</x:v>
      </x:c>
      <x:c r="U987" s="9" t="n">
        <x:f>H987*AA986*INDEX(tun_MortElder,G987)/4*Q987</x:f>
        <x:v>0</x:v>
      </x:c>
      <x:c r="V987" s="9" t="n">
        <x:f>H987*MAX(0,AB986-O987)*tun_OvercapLoss</x:f>
        <x:v>0</x:v>
      </x:c>
      <x:c r="W987" s="9" t="n">
        <x:f>H987*Y986/(tun_ChildYears*4)</x:f>
        <x:v>0</x:v>
      </x:c>
      <x:c r="X987" s="9" t="n">
        <x:f>H987*Z986/(tun_AdultYears*4)</x:f>
        <x:v>0</x:v>
      </x:c>
      <x:c r="Y987" s="32" t="n">
        <x:f>Y986+R987-S987-W987-Y986*V987/AB986</x:f>
        <x:v>40496.20709015643</x:v>
      </x:c>
      <x:c r="Z987" s="32" t="n">
        <x:f>Z986+W987-X987-T987-Z986*V987/AB986</x:f>
        <x:v>59141.61122890803</x:v>
      </x:c>
      <x:c r="AA987" s="32" t="n">
        <x:f>AA986+X987-U987-AA986*V987/AB986</x:f>
        <x:v>45530.62410925061</x:v>
      </x:c>
      <x:c r="AB987" s="10" t="n">
        <x:f>Y987+Z987+AA987</x:f>
        <x:v>145168.44242831506</x:v>
      </x:c>
      <x:c r="AC987" s="8" t="n">
        <x:f>IF(AND(tun_WinterTrigger=1,D987=1,AB986/AE986&gt;=K987),1,0)</x:f>
        <x:v>0</x:v>
      </x:c>
      <x:c r="AD987" s="8" t="n">
        <x:f>H987*IF(AND(OR(AB986/AE986&gt;=tun_FissionTrigger*N987,AC987=1),AB986/AE986*tun_DaughterShare&gt;=tun_MinDaughter),MAX(1,ROUND(AE986*tun_FissionRate,0)),0)</x:f>
        <x:v>0</x:v>
      </x:c>
      <x:c r="AE987" s="8" t="n">
        <x:f>IF(H987=1,MAX(1,MIN(INDEX(tun_Smax,G987),AE986+AD987)),AE986)</x:f>
        <x:v>9</x:v>
      </x:c>
      <x:c r="AF987" s="8" t="n">
        <x:f>MAX(0,AE987-AE986)</x:f>
        <x:v>0</x:v>
      </x:c>
      <x:c r="AG987" s="9" t="str">
        <x:f>IF(AF987&gt;0,B987,"")</x:f>
      </x:c>
      <x:c r="AH987" s="9" t="n">
        <x:f>IF(F987&gt;=1,1,(1+tun_LowTiesShare*(AE987-1))/AE987)</x:f>
        <x:v>1</x:v>
      </x:c>
      <x:c r="AI987" s="32" t="n">
        <x:f>(Z987+tun_ElderCommons*INDEX(LM_Elder,G987)*AA987)*AH987</x:f>
        <x:v>238215.0665857503</x:v>
      </x:c>
      <x:c r="AJ987" s="32" t="n">
        <x:f>H987*tun_CommonsCoef*AI987^tun_CommonsExp*INDEX(LM_Commons,G987)</x:f>
        <x:v>0</x:v>
      </x:c>
      <x:c r="AK987" s="32" t="n">
        <x:f>H987*tun_RoleScale*Arch_Roles*(AE987*(INDEX(tun_ElderRolePerSett,G987)*tun_OutElder*INDEX(LM_Elder,G987)+INDEX(tun_ShamanPerSett,G987)*tun_OutShaman)+Z987*(INDEX(tun_PriestShare,G987)*tun_OutPriest+INDEX(tun_ScribeShare,G987)*tun_OutScribe*INDEX(LM_Scribe,G987)+INDEX(tun_ScholarShare,G987)*tun_OutScholar*INDEX(LM_Scholar,G987)+INDEX(tun_ResearcherShare,G987)*tun_OutResearcher*INDEX(LM_Researcher,G987)))</x:f>
        <x:v>0</x:v>
      </x:c>
      <x:c r="AL987" s="32" t="n">
        <x:f>H987*tun_RoleScale*Arch_Roles*AE987*INDEX(tun_MonasteryPerSett,G987)*tun_OutMonastery*INDEX(LM_Monastery,G987)</x:f>
        <x:v>0</x:v>
      </x:c>
      <x:c r="AM987" s="32" t="n">
        <x:f>(AJ987+AK987+AL987)/4*INDEX(LM_All,G987)*INDEX(tun_Boon,G987)*Arch_Insight</x:f>
        <x:v>0</x:v>
      </x:c>
      <x:c r="AN987" s="32" t="n">
        <x:f>H987*(tun_KHPerAdult*Z987+tun_KHOfCommons*AJ987/4*INDEX(LM_All,G987))*tun_KHUsable*Arch_KH</x:f>
        <x:v>0</x:v>
      </x:c>
      <x:c r="AO987" s="32" t="n">
        <x:f>MIN(AP986+AN987,AM987*tun_KHMaxRatio)</x:f>
        <x:v>0</x:v>
      </x:c>
      <x:c r="AP987" s="32" t="n">
        <x:f>AP986+AN987-AO987</x:f>
        <x:v>0</x:v>
      </x:c>
      <x:c r="AQ987" s="32" t="n">
        <x:f>AM987+AO987</x:f>
        <x:v>0</x:v>
      </x:c>
      <x:c r="AR987" s="10" t="n">
        <x:f>IF(H987=1,INDEX(tun_Req,G987),0)</x:f>
        <x:v>0</x:v>
      </x:c>
      <x:c r="AS987" s="32" t="n">
        <x:f>IF(H987=1,IF(E987=1,AS986-AR986,AS986)+AQ987,0)</x:f>
        <x:v>0</x:v>
      </x:c>
      <x:c r="AT987" s="11" t="n">
        <x:f>IF(AR987&gt;0,MIN(1,AS987/AR987),1)</x:f>
        <x:v>1</x:v>
      </x:c>
      <x:c r="AU987" s="10" t="n">
        <x:f>AB987/INDEX(tun_RepScale,G987)</x:f>
        <x:v>290.3368848566301</x:v>
      </x:c>
      <x:c r="AV987" s="32" t="n">
        <x:f>AM987*60/tun_SeasonSeconds</x:f>
        <x:v>0</x:v>
      </x:c>
    </x:row>
    <x:row r="988">
      <x:c r="A988" s="8" t="n">
        <x:f>A987+1</x:f>
        <x:v>985</x:v>
      </x:c>
      <x:c r="B988" s="9" t="n">
        <x:f>A988*tun_SeasonSeconds/60</x:f>
        <x:v>246.25</x:v>
      </x:c>
      <x:c r="C988" s="9" t="n">
        <x:f>A988/4</x:f>
        <x:v>246.25</x:v>
      </x:c>
      <x:c r="D988" s="8" t="n">
        <x:f>IF(MOD(A988,4)=0,1,0)</x:f>
        <x:v>0</x:v>
      </x:c>
      <x:c r="E988" s="8" t="n">
        <x:f>IF(AND(F987&lt;=9,AS987&gt;=AR987),1,0)</x:f>
        <x:v>0</x:v>
      </x:c>
      <x:c r="F988" s="8" t="n">
        <x:f>MIN(10,F987+E988)</x:f>
        <x:v>10</x:v>
      </x:c>
      <x:c r="G988" s="8" t="n">
        <x:f>MIN(F988,9)+1</x:f>
        <x:v>10</x:v>
      </x:c>
      <x:c r="H988" s="8" t="n">
        <x:f>IF(F988&lt;=9,1,0)</x:f>
        <x:v>0</x:v>
      </x:c>
      <x:c r="I988" s="9" t="n">
        <x:f>MIN(10,F987+IF(AR987&gt;0,MIN(1,AS987/AR987),1))</x:f>
        <x:v>10</x:v>
      </x:c>
      <x:c r="J988" s="32" t="n">
        <x:f>INDEX(tun_FoodCap,G988)*Arch_FoodCap*EXP(tun_CapsByProject*SUMPRODUCT((Cap_Point&lt;=I988)*(Cap_Kind="Food")*Cap_Ln))</x:f>
        <x:v>18627.260449441455</x:v>
      </x:c>
      <x:c r="K988" s="32" t="n">
        <x:f>J988*MIN(1,tun_LeanBase*EXP(tun_CapsByProject*SUMPRODUCT((Cap_Point&lt;=I988)*(Cap_Kind="Lean")*Cap_Ln)))</x:f>
        <x:v>18627.260449441455</x:v>
      </x:c>
      <x:c r="L988" s="10" t="n">
        <x:f>INDEX(tun_HousingCap,G988)*EXP(tun_CapsByProject*SUMPRODUCT((Cap_Point&lt;=I988)*(Cap_Kind="Housing")*Cap_Ln))</x:f>
        <x:v>20528.974303173167</x:v>
      </x:c>
      <x:c r="M988" s="10" t="n">
        <x:f>INDEX(tun_GroupCap,G988)*tun_CohesionFactor*EXP(tun_CapsByProject*SUMPRODUCT((Cap_Point&lt;=I988)*(Cap_Kind="Group")*Cap_Ln))</x:f>
        <x:v>1000000.000000001</x:v>
      </x:c>
      <x:c r="N988" s="32" t="n">
        <x:f>MIN(J988,L988,M988)</x:f>
        <x:v>18627.260449441455</x:v>
      </x:c>
      <x:c r="O988" s="10" t="n">
        <x:f>AE987*N988</x:f>
        <x:v>167645.34404497308</x:v>
      </x:c>
      <x:c r="P988" s="9" t="n">
        <x:f>MIN(1,(AB987/(AE987*IF(tun_GroupInCrowding=1,N988,MIN(J988,L988))))^tun_CrowdingExp)</x:f>
        <x:v>0.4215841981292809</x:v>
      </x:c>
      <x:c r="Q988" s="9" t="n">
        <x:f>IF(D988=1,INDEX(tun_WinterMult,G988),1)</x:f>
        <x:v>1</x:v>
      </x:c>
      <x:c r="R988" s="9" t="n">
        <x:f>H988*Z987*tun_WomenShare*tun_BaseFertility*INDEX(tun_FertMult,G988)*Arch_Fertility*(1-P988)</x:f>
        <x:v>0</x:v>
      </x:c>
      <x:c r="S988" s="9" t="n">
        <x:f>H988*Y987*INDEX(tun_MortChild,G988)/4*Q988</x:f>
        <x:v>0</x:v>
      </x:c>
      <x:c r="T988" s="9" t="n">
        <x:f>H988*Z987*INDEX(tun_MortAdult,G988)*Arch_AdultMort/4*Q988</x:f>
        <x:v>0</x:v>
      </x:c>
      <x:c r="U988" s="9" t="n">
        <x:f>H988*AA987*INDEX(tun_MortElder,G988)/4*Q988</x:f>
        <x:v>0</x:v>
      </x:c>
      <x:c r="V988" s="9" t="n">
        <x:f>H988*MAX(0,AB987-O988)*tun_OvercapLoss</x:f>
        <x:v>0</x:v>
      </x:c>
      <x:c r="W988" s="9" t="n">
        <x:f>H988*Y987/(tun_ChildYears*4)</x:f>
        <x:v>0</x:v>
      </x:c>
      <x:c r="X988" s="9" t="n">
        <x:f>H988*Z987/(tun_AdultYears*4)</x:f>
        <x:v>0</x:v>
      </x:c>
      <x:c r="Y988" s="32" t="n">
        <x:f>Y987+R988-S988-W988-Y987*V988/AB987</x:f>
        <x:v>40496.20709015643</x:v>
      </x:c>
      <x:c r="Z988" s="32" t="n">
        <x:f>Z987+W988-X988-T988-Z987*V988/AB987</x:f>
        <x:v>59141.61122890803</x:v>
      </x:c>
      <x:c r="AA988" s="32" t="n">
        <x:f>AA987+X988-U988-AA987*V988/AB987</x:f>
        <x:v>45530.62410925061</x:v>
      </x:c>
      <x:c r="AB988" s="10" t="n">
        <x:f>Y988+Z988+AA988</x:f>
        <x:v>145168.44242831506</x:v>
      </x:c>
      <x:c r="AC988" s="8" t="n">
        <x:f>IF(AND(tun_WinterTrigger=1,D988=1,AB987/AE987&gt;=K988),1,0)</x:f>
        <x:v>0</x:v>
      </x:c>
      <x:c r="AD988" s="8" t="n">
        <x:f>H988*IF(AND(OR(AB987/AE987&gt;=tun_FissionTrigger*N988,AC988=1),AB987/AE987*tun_DaughterShare&gt;=tun_MinDaughter),MAX(1,ROUND(AE987*tun_FissionRate,0)),0)</x:f>
        <x:v>0</x:v>
      </x:c>
      <x:c r="AE988" s="8" t="n">
        <x:f>IF(H988=1,MAX(1,MIN(INDEX(tun_Smax,G988),AE987+AD988)),AE987)</x:f>
        <x:v>9</x:v>
      </x:c>
      <x:c r="AF988" s="8" t="n">
        <x:f>MAX(0,AE988-AE987)</x:f>
        <x:v>0</x:v>
      </x:c>
      <x:c r="AG988" s="9" t="str">
        <x:f>IF(AF988&gt;0,B988,"")</x:f>
      </x:c>
      <x:c r="AH988" s="9" t="n">
        <x:f>IF(F988&gt;=1,1,(1+tun_LowTiesShare*(AE988-1))/AE988)</x:f>
        <x:v>1</x:v>
      </x:c>
      <x:c r="AI988" s="32" t="n">
        <x:f>(Z988+tun_ElderCommons*INDEX(LM_Elder,G988)*AA988)*AH988</x:f>
        <x:v>238215.0665857503</x:v>
      </x:c>
      <x:c r="AJ988" s="32" t="n">
        <x:f>H988*tun_CommonsCoef*AI988^tun_CommonsExp*INDEX(LM_Commons,G988)</x:f>
        <x:v>0</x:v>
      </x:c>
      <x:c r="AK988" s="32" t="n">
        <x:f>H988*tun_RoleScale*Arch_Roles*(AE988*(INDEX(tun_ElderRolePerSett,G988)*tun_OutElder*INDEX(LM_Elder,G988)+INDEX(tun_ShamanPerSett,G988)*tun_OutShaman)+Z988*(INDEX(tun_PriestShare,G988)*tun_OutPriest+INDEX(tun_ScribeShare,G988)*tun_OutScribe*INDEX(LM_Scribe,G988)+INDEX(tun_ScholarShare,G988)*tun_OutScholar*INDEX(LM_Scholar,G988)+INDEX(tun_ResearcherShare,G988)*tun_OutResearcher*INDEX(LM_Researcher,G988)))</x:f>
        <x:v>0</x:v>
      </x:c>
      <x:c r="AL988" s="32" t="n">
        <x:f>H988*tun_RoleScale*Arch_Roles*AE988*INDEX(tun_MonasteryPerSett,G988)*tun_OutMonastery*INDEX(LM_Monastery,G988)</x:f>
        <x:v>0</x:v>
      </x:c>
      <x:c r="AM988" s="32" t="n">
        <x:f>(AJ988+AK988+AL988)/4*INDEX(LM_All,G988)*INDEX(tun_Boon,G988)*Arch_Insight</x:f>
        <x:v>0</x:v>
      </x:c>
      <x:c r="AN988" s="32" t="n">
        <x:f>H988*(tun_KHPerAdult*Z988+tun_KHOfCommons*AJ988/4*INDEX(LM_All,G988))*tun_KHUsable*Arch_KH</x:f>
        <x:v>0</x:v>
      </x:c>
      <x:c r="AO988" s="32" t="n">
        <x:f>MIN(AP987+AN988,AM988*tun_KHMaxRatio)</x:f>
        <x:v>0</x:v>
      </x:c>
      <x:c r="AP988" s="32" t="n">
        <x:f>AP987+AN988-AO988</x:f>
        <x:v>0</x:v>
      </x:c>
      <x:c r="AQ988" s="32" t="n">
        <x:f>AM988+AO988</x:f>
        <x:v>0</x:v>
      </x:c>
      <x:c r="AR988" s="10" t="n">
        <x:f>IF(H988=1,INDEX(tun_Req,G988),0)</x:f>
        <x:v>0</x:v>
      </x:c>
      <x:c r="AS988" s="32" t="n">
        <x:f>IF(H988=1,IF(E988=1,AS987-AR987,AS987)+AQ988,0)</x:f>
        <x:v>0</x:v>
      </x:c>
      <x:c r="AT988" s="11" t="n">
        <x:f>IF(AR988&gt;0,MIN(1,AS988/AR988),1)</x:f>
        <x:v>1</x:v>
      </x:c>
      <x:c r="AU988" s="10" t="n">
        <x:f>AB988/INDEX(tun_RepScale,G988)</x:f>
        <x:v>290.3368848566301</x:v>
      </x:c>
      <x:c r="AV988" s="32" t="n">
        <x:f>AM988*60/tun_SeasonSeconds</x:f>
        <x:v>0</x:v>
      </x:c>
    </x:row>
    <x:row r="989">
      <x:c r="A989" s="8" t="n">
        <x:f>A988+1</x:f>
        <x:v>986</x:v>
      </x:c>
      <x:c r="B989" s="9" t="n">
        <x:f>A989*tun_SeasonSeconds/60</x:f>
        <x:v>246.5</x:v>
      </x:c>
      <x:c r="C989" s="9" t="n">
        <x:f>A989/4</x:f>
        <x:v>246.5</x:v>
      </x:c>
      <x:c r="D989" s="8" t="n">
        <x:f>IF(MOD(A989,4)=0,1,0)</x:f>
        <x:v>0</x:v>
      </x:c>
      <x:c r="E989" s="8" t="n">
        <x:f>IF(AND(F988&lt;=9,AS988&gt;=AR988),1,0)</x:f>
        <x:v>0</x:v>
      </x:c>
      <x:c r="F989" s="8" t="n">
        <x:f>MIN(10,F988+E989)</x:f>
        <x:v>10</x:v>
      </x:c>
      <x:c r="G989" s="8" t="n">
        <x:f>MIN(F989,9)+1</x:f>
        <x:v>10</x:v>
      </x:c>
      <x:c r="H989" s="8" t="n">
        <x:f>IF(F989&lt;=9,1,0)</x:f>
        <x:v>0</x:v>
      </x:c>
      <x:c r="I989" s="9" t="n">
        <x:f>MIN(10,F988+IF(AR988&gt;0,MIN(1,AS988/AR988),1))</x:f>
        <x:v>10</x:v>
      </x:c>
      <x:c r="J989" s="32" t="n">
        <x:f>INDEX(tun_FoodCap,G989)*Arch_FoodCap*EXP(tun_CapsByProject*SUMPRODUCT((Cap_Point&lt;=I989)*(Cap_Kind="Food")*Cap_Ln))</x:f>
        <x:v>18627.260449441455</x:v>
      </x:c>
      <x:c r="K989" s="32" t="n">
        <x:f>J989*MIN(1,tun_LeanBase*EXP(tun_CapsByProject*SUMPRODUCT((Cap_Point&lt;=I989)*(Cap_Kind="Lean")*Cap_Ln)))</x:f>
        <x:v>18627.260449441455</x:v>
      </x:c>
      <x:c r="L989" s="10" t="n">
        <x:f>INDEX(tun_HousingCap,G989)*EXP(tun_CapsByProject*SUMPRODUCT((Cap_Point&lt;=I989)*(Cap_Kind="Housing")*Cap_Ln))</x:f>
        <x:v>20528.974303173167</x:v>
      </x:c>
      <x:c r="M989" s="10" t="n">
        <x:f>INDEX(tun_GroupCap,G989)*tun_CohesionFactor*EXP(tun_CapsByProject*SUMPRODUCT((Cap_Point&lt;=I989)*(Cap_Kind="Group")*Cap_Ln))</x:f>
        <x:v>1000000.000000001</x:v>
      </x:c>
      <x:c r="N989" s="32" t="n">
        <x:f>MIN(J989,L989,M989)</x:f>
        <x:v>18627.260449441455</x:v>
      </x:c>
      <x:c r="O989" s="10" t="n">
        <x:f>AE988*N989</x:f>
        <x:v>167645.34404497308</x:v>
      </x:c>
      <x:c r="P989" s="9" t="n">
        <x:f>MIN(1,(AB988/(AE988*IF(tun_GroupInCrowding=1,N989,MIN(J989,L989))))^tun_CrowdingExp)</x:f>
        <x:v>0.4215841981292809</x:v>
      </x:c>
      <x:c r="Q989" s="9" t="n">
        <x:f>IF(D989=1,INDEX(tun_WinterMult,G989),1)</x:f>
        <x:v>1</x:v>
      </x:c>
      <x:c r="R989" s="9" t="n">
        <x:f>H989*Z988*tun_WomenShare*tun_BaseFertility*INDEX(tun_FertMult,G989)*Arch_Fertility*(1-P989)</x:f>
        <x:v>0</x:v>
      </x:c>
      <x:c r="S989" s="9" t="n">
        <x:f>H989*Y988*INDEX(tun_MortChild,G989)/4*Q989</x:f>
        <x:v>0</x:v>
      </x:c>
      <x:c r="T989" s="9" t="n">
        <x:f>H989*Z988*INDEX(tun_MortAdult,G989)*Arch_AdultMort/4*Q989</x:f>
        <x:v>0</x:v>
      </x:c>
      <x:c r="U989" s="9" t="n">
        <x:f>H989*AA988*INDEX(tun_MortElder,G989)/4*Q989</x:f>
        <x:v>0</x:v>
      </x:c>
      <x:c r="V989" s="9" t="n">
        <x:f>H989*MAX(0,AB988-O989)*tun_OvercapLoss</x:f>
        <x:v>0</x:v>
      </x:c>
      <x:c r="W989" s="9" t="n">
        <x:f>H989*Y988/(tun_ChildYears*4)</x:f>
        <x:v>0</x:v>
      </x:c>
      <x:c r="X989" s="9" t="n">
        <x:f>H989*Z988/(tun_AdultYears*4)</x:f>
        <x:v>0</x:v>
      </x:c>
      <x:c r="Y989" s="32" t="n">
        <x:f>Y988+R989-S989-W989-Y988*V989/AB988</x:f>
        <x:v>40496.20709015643</x:v>
      </x:c>
      <x:c r="Z989" s="32" t="n">
        <x:f>Z988+W989-X989-T989-Z988*V989/AB988</x:f>
        <x:v>59141.61122890803</x:v>
      </x:c>
      <x:c r="AA989" s="32" t="n">
        <x:f>AA988+X989-U989-AA988*V989/AB988</x:f>
        <x:v>45530.62410925061</x:v>
      </x:c>
      <x:c r="AB989" s="10" t="n">
        <x:f>Y989+Z989+AA989</x:f>
        <x:v>145168.44242831506</x:v>
      </x:c>
      <x:c r="AC989" s="8" t="n">
        <x:f>IF(AND(tun_WinterTrigger=1,D989=1,AB988/AE988&gt;=K989),1,0)</x:f>
        <x:v>0</x:v>
      </x:c>
      <x:c r="AD989" s="8" t="n">
        <x:f>H989*IF(AND(OR(AB988/AE988&gt;=tun_FissionTrigger*N989,AC989=1),AB988/AE988*tun_DaughterShare&gt;=tun_MinDaughter),MAX(1,ROUND(AE988*tun_FissionRate,0)),0)</x:f>
        <x:v>0</x:v>
      </x:c>
      <x:c r="AE989" s="8" t="n">
        <x:f>IF(H989=1,MAX(1,MIN(INDEX(tun_Smax,G989),AE988+AD989)),AE988)</x:f>
        <x:v>9</x:v>
      </x:c>
      <x:c r="AF989" s="8" t="n">
        <x:f>MAX(0,AE989-AE988)</x:f>
        <x:v>0</x:v>
      </x:c>
      <x:c r="AG989" s="9" t="str">
        <x:f>IF(AF989&gt;0,B989,"")</x:f>
      </x:c>
      <x:c r="AH989" s="9" t="n">
        <x:f>IF(F989&gt;=1,1,(1+tun_LowTiesShare*(AE989-1))/AE989)</x:f>
        <x:v>1</x:v>
      </x:c>
      <x:c r="AI989" s="32" t="n">
        <x:f>(Z989+tun_ElderCommons*INDEX(LM_Elder,G989)*AA989)*AH989</x:f>
        <x:v>238215.0665857503</x:v>
      </x:c>
      <x:c r="AJ989" s="32" t="n">
        <x:f>H989*tun_CommonsCoef*AI989^tun_CommonsExp*INDEX(LM_Commons,G989)</x:f>
        <x:v>0</x:v>
      </x:c>
      <x:c r="AK989" s="32" t="n">
        <x:f>H989*tun_RoleScale*Arch_Roles*(AE989*(INDEX(tun_ElderRolePerSett,G989)*tun_OutElder*INDEX(LM_Elder,G989)+INDEX(tun_ShamanPerSett,G989)*tun_OutShaman)+Z989*(INDEX(tun_PriestShare,G989)*tun_OutPriest+INDEX(tun_ScribeShare,G989)*tun_OutScribe*INDEX(LM_Scribe,G989)+INDEX(tun_ScholarShare,G989)*tun_OutScholar*INDEX(LM_Scholar,G989)+INDEX(tun_ResearcherShare,G989)*tun_OutResearcher*INDEX(LM_Researcher,G989)))</x:f>
        <x:v>0</x:v>
      </x:c>
      <x:c r="AL989" s="32" t="n">
        <x:f>H989*tun_RoleScale*Arch_Roles*AE989*INDEX(tun_MonasteryPerSett,G989)*tun_OutMonastery*INDEX(LM_Monastery,G989)</x:f>
        <x:v>0</x:v>
      </x:c>
      <x:c r="AM989" s="32" t="n">
        <x:f>(AJ989+AK989+AL989)/4*INDEX(LM_All,G989)*INDEX(tun_Boon,G989)*Arch_Insight</x:f>
        <x:v>0</x:v>
      </x:c>
      <x:c r="AN989" s="32" t="n">
        <x:f>H989*(tun_KHPerAdult*Z989+tun_KHOfCommons*AJ989/4*INDEX(LM_All,G989))*tun_KHUsable*Arch_KH</x:f>
        <x:v>0</x:v>
      </x:c>
      <x:c r="AO989" s="32" t="n">
        <x:f>MIN(AP988+AN989,AM989*tun_KHMaxRatio)</x:f>
        <x:v>0</x:v>
      </x:c>
      <x:c r="AP989" s="32" t="n">
        <x:f>AP988+AN989-AO989</x:f>
        <x:v>0</x:v>
      </x:c>
      <x:c r="AQ989" s="32" t="n">
        <x:f>AM989+AO989</x:f>
        <x:v>0</x:v>
      </x:c>
      <x:c r="AR989" s="10" t="n">
        <x:f>IF(H989=1,INDEX(tun_Req,G989),0)</x:f>
        <x:v>0</x:v>
      </x:c>
      <x:c r="AS989" s="32" t="n">
        <x:f>IF(H989=1,IF(E989=1,AS988-AR988,AS988)+AQ989,0)</x:f>
        <x:v>0</x:v>
      </x:c>
      <x:c r="AT989" s="11" t="n">
        <x:f>IF(AR989&gt;0,MIN(1,AS989/AR989),1)</x:f>
        <x:v>1</x:v>
      </x:c>
      <x:c r="AU989" s="10" t="n">
        <x:f>AB989/INDEX(tun_RepScale,G989)</x:f>
        <x:v>290.3368848566301</x:v>
      </x:c>
      <x:c r="AV989" s="32" t="n">
        <x:f>AM989*60/tun_SeasonSeconds</x:f>
        <x:v>0</x:v>
      </x:c>
    </x:row>
    <x:row r="990">
      <x:c r="A990" s="8" t="n">
        <x:f>A989+1</x:f>
        <x:v>987</x:v>
      </x:c>
      <x:c r="B990" s="9" t="n">
        <x:f>A990*tun_SeasonSeconds/60</x:f>
        <x:v>246.75</x:v>
      </x:c>
      <x:c r="C990" s="9" t="n">
        <x:f>A990/4</x:f>
        <x:v>246.75</x:v>
      </x:c>
      <x:c r="D990" s="8" t="n">
        <x:f>IF(MOD(A990,4)=0,1,0)</x:f>
        <x:v>0</x:v>
      </x:c>
      <x:c r="E990" s="8" t="n">
        <x:f>IF(AND(F989&lt;=9,AS989&gt;=AR989),1,0)</x:f>
        <x:v>0</x:v>
      </x:c>
      <x:c r="F990" s="8" t="n">
        <x:f>MIN(10,F989+E990)</x:f>
        <x:v>10</x:v>
      </x:c>
      <x:c r="G990" s="8" t="n">
        <x:f>MIN(F990,9)+1</x:f>
        <x:v>10</x:v>
      </x:c>
      <x:c r="H990" s="8" t="n">
        <x:f>IF(F990&lt;=9,1,0)</x:f>
        <x:v>0</x:v>
      </x:c>
      <x:c r="I990" s="9" t="n">
        <x:f>MIN(10,F989+IF(AR989&gt;0,MIN(1,AS989/AR989),1))</x:f>
        <x:v>10</x:v>
      </x:c>
      <x:c r="J990" s="32" t="n">
        <x:f>INDEX(tun_FoodCap,G990)*Arch_FoodCap*EXP(tun_CapsByProject*SUMPRODUCT((Cap_Point&lt;=I990)*(Cap_Kind="Food")*Cap_Ln))</x:f>
        <x:v>18627.260449441455</x:v>
      </x:c>
      <x:c r="K990" s="32" t="n">
        <x:f>J990*MIN(1,tun_LeanBase*EXP(tun_CapsByProject*SUMPRODUCT((Cap_Point&lt;=I990)*(Cap_Kind="Lean")*Cap_Ln)))</x:f>
        <x:v>18627.260449441455</x:v>
      </x:c>
      <x:c r="L990" s="10" t="n">
        <x:f>INDEX(tun_HousingCap,G990)*EXP(tun_CapsByProject*SUMPRODUCT((Cap_Point&lt;=I990)*(Cap_Kind="Housing")*Cap_Ln))</x:f>
        <x:v>20528.974303173167</x:v>
      </x:c>
      <x:c r="M990" s="10" t="n">
        <x:f>INDEX(tun_GroupCap,G990)*tun_CohesionFactor*EXP(tun_CapsByProject*SUMPRODUCT((Cap_Point&lt;=I990)*(Cap_Kind="Group")*Cap_Ln))</x:f>
        <x:v>1000000.000000001</x:v>
      </x:c>
      <x:c r="N990" s="32" t="n">
        <x:f>MIN(J990,L990,M990)</x:f>
        <x:v>18627.260449441455</x:v>
      </x:c>
      <x:c r="O990" s="10" t="n">
        <x:f>AE989*N990</x:f>
        <x:v>167645.34404497308</x:v>
      </x:c>
      <x:c r="P990" s="9" t="n">
        <x:f>MIN(1,(AB989/(AE989*IF(tun_GroupInCrowding=1,N990,MIN(J990,L990))))^tun_CrowdingExp)</x:f>
        <x:v>0.4215841981292809</x:v>
      </x:c>
      <x:c r="Q990" s="9" t="n">
        <x:f>IF(D990=1,INDEX(tun_WinterMult,G990),1)</x:f>
        <x:v>1</x:v>
      </x:c>
      <x:c r="R990" s="9" t="n">
        <x:f>H990*Z989*tun_WomenShare*tun_BaseFertility*INDEX(tun_FertMult,G990)*Arch_Fertility*(1-P990)</x:f>
        <x:v>0</x:v>
      </x:c>
      <x:c r="S990" s="9" t="n">
        <x:f>H990*Y989*INDEX(tun_MortChild,G990)/4*Q990</x:f>
        <x:v>0</x:v>
      </x:c>
      <x:c r="T990" s="9" t="n">
        <x:f>H990*Z989*INDEX(tun_MortAdult,G990)*Arch_AdultMort/4*Q990</x:f>
        <x:v>0</x:v>
      </x:c>
      <x:c r="U990" s="9" t="n">
        <x:f>H990*AA989*INDEX(tun_MortElder,G990)/4*Q990</x:f>
        <x:v>0</x:v>
      </x:c>
      <x:c r="V990" s="9" t="n">
        <x:f>H990*MAX(0,AB989-O990)*tun_OvercapLoss</x:f>
        <x:v>0</x:v>
      </x:c>
      <x:c r="W990" s="9" t="n">
        <x:f>H990*Y989/(tun_ChildYears*4)</x:f>
        <x:v>0</x:v>
      </x:c>
      <x:c r="X990" s="9" t="n">
        <x:f>H990*Z989/(tun_AdultYears*4)</x:f>
        <x:v>0</x:v>
      </x:c>
      <x:c r="Y990" s="32" t="n">
        <x:f>Y989+R990-S990-W990-Y989*V990/AB989</x:f>
        <x:v>40496.20709015643</x:v>
      </x:c>
      <x:c r="Z990" s="32" t="n">
        <x:f>Z989+W990-X990-T990-Z989*V990/AB989</x:f>
        <x:v>59141.61122890803</x:v>
      </x:c>
      <x:c r="AA990" s="32" t="n">
        <x:f>AA989+X990-U990-AA989*V990/AB989</x:f>
        <x:v>45530.62410925061</x:v>
      </x:c>
      <x:c r="AB990" s="10" t="n">
        <x:f>Y990+Z990+AA990</x:f>
        <x:v>145168.44242831506</x:v>
      </x:c>
      <x:c r="AC990" s="8" t="n">
        <x:f>IF(AND(tun_WinterTrigger=1,D990=1,AB989/AE989&gt;=K990),1,0)</x:f>
        <x:v>0</x:v>
      </x:c>
      <x:c r="AD990" s="8" t="n">
        <x:f>H990*IF(AND(OR(AB989/AE989&gt;=tun_FissionTrigger*N990,AC990=1),AB989/AE989*tun_DaughterShare&gt;=tun_MinDaughter),MAX(1,ROUND(AE989*tun_FissionRate,0)),0)</x:f>
        <x:v>0</x:v>
      </x:c>
      <x:c r="AE990" s="8" t="n">
        <x:f>IF(H990=1,MAX(1,MIN(INDEX(tun_Smax,G990),AE989+AD990)),AE989)</x:f>
        <x:v>9</x:v>
      </x:c>
      <x:c r="AF990" s="8" t="n">
        <x:f>MAX(0,AE990-AE989)</x:f>
        <x:v>0</x:v>
      </x:c>
      <x:c r="AG990" s="9" t="str">
        <x:f>IF(AF990&gt;0,B990,"")</x:f>
      </x:c>
      <x:c r="AH990" s="9" t="n">
        <x:f>IF(F990&gt;=1,1,(1+tun_LowTiesShare*(AE990-1))/AE990)</x:f>
        <x:v>1</x:v>
      </x:c>
      <x:c r="AI990" s="32" t="n">
        <x:f>(Z990+tun_ElderCommons*INDEX(LM_Elder,G990)*AA990)*AH990</x:f>
        <x:v>238215.0665857503</x:v>
      </x:c>
      <x:c r="AJ990" s="32" t="n">
        <x:f>H990*tun_CommonsCoef*AI990^tun_CommonsExp*INDEX(LM_Commons,G990)</x:f>
        <x:v>0</x:v>
      </x:c>
      <x:c r="AK990" s="32" t="n">
        <x:f>H990*tun_RoleScale*Arch_Roles*(AE990*(INDEX(tun_ElderRolePerSett,G990)*tun_OutElder*INDEX(LM_Elder,G990)+INDEX(tun_ShamanPerSett,G990)*tun_OutShaman)+Z990*(INDEX(tun_PriestShare,G990)*tun_OutPriest+INDEX(tun_ScribeShare,G990)*tun_OutScribe*INDEX(LM_Scribe,G990)+INDEX(tun_ScholarShare,G990)*tun_OutScholar*INDEX(LM_Scholar,G990)+INDEX(tun_ResearcherShare,G990)*tun_OutResearcher*INDEX(LM_Researcher,G990)))</x:f>
        <x:v>0</x:v>
      </x:c>
      <x:c r="AL990" s="32" t="n">
        <x:f>H990*tun_RoleScale*Arch_Roles*AE990*INDEX(tun_MonasteryPerSett,G990)*tun_OutMonastery*INDEX(LM_Monastery,G990)</x:f>
        <x:v>0</x:v>
      </x:c>
      <x:c r="AM990" s="32" t="n">
        <x:f>(AJ990+AK990+AL990)/4*INDEX(LM_All,G990)*INDEX(tun_Boon,G990)*Arch_Insight</x:f>
        <x:v>0</x:v>
      </x:c>
      <x:c r="AN990" s="32" t="n">
        <x:f>H990*(tun_KHPerAdult*Z990+tun_KHOfCommons*AJ990/4*INDEX(LM_All,G990))*tun_KHUsable*Arch_KH</x:f>
        <x:v>0</x:v>
      </x:c>
      <x:c r="AO990" s="32" t="n">
        <x:f>MIN(AP989+AN990,AM990*tun_KHMaxRatio)</x:f>
        <x:v>0</x:v>
      </x:c>
      <x:c r="AP990" s="32" t="n">
        <x:f>AP989+AN990-AO990</x:f>
        <x:v>0</x:v>
      </x:c>
      <x:c r="AQ990" s="32" t="n">
        <x:f>AM990+AO990</x:f>
        <x:v>0</x:v>
      </x:c>
      <x:c r="AR990" s="10" t="n">
        <x:f>IF(H990=1,INDEX(tun_Req,G990),0)</x:f>
        <x:v>0</x:v>
      </x:c>
      <x:c r="AS990" s="32" t="n">
        <x:f>IF(H990=1,IF(E990=1,AS989-AR989,AS989)+AQ990,0)</x:f>
        <x:v>0</x:v>
      </x:c>
      <x:c r="AT990" s="11" t="n">
        <x:f>IF(AR990&gt;0,MIN(1,AS990/AR990),1)</x:f>
        <x:v>1</x:v>
      </x:c>
      <x:c r="AU990" s="10" t="n">
        <x:f>AB990/INDEX(tun_RepScale,G990)</x:f>
        <x:v>290.3368848566301</x:v>
      </x:c>
      <x:c r="AV990" s="32" t="n">
        <x:f>AM990*60/tun_SeasonSeconds</x:f>
        <x:v>0</x:v>
      </x:c>
    </x:row>
    <x:row r="991">
      <x:c r="A991" s="8" t="n">
        <x:f>A990+1</x:f>
        <x:v>988</x:v>
      </x:c>
      <x:c r="B991" s="9" t="n">
        <x:f>A991*tun_SeasonSeconds/60</x:f>
        <x:v>247</x:v>
      </x:c>
      <x:c r="C991" s="9" t="n">
        <x:f>A991/4</x:f>
        <x:v>247</x:v>
      </x:c>
      <x:c r="D991" s="8" t="n">
        <x:f>IF(MOD(A991,4)=0,1,0)</x:f>
        <x:v>1</x:v>
      </x:c>
      <x:c r="E991" s="8" t="n">
        <x:f>IF(AND(F990&lt;=9,AS990&gt;=AR990),1,0)</x:f>
        <x:v>0</x:v>
      </x:c>
      <x:c r="F991" s="8" t="n">
        <x:f>MIN(10,F990+E991)</x:f>
        <x:v>10</x:v>
      </x:c>
      <x:c r="G991" s="8" t="n">
        <x:f>MIN(F991,9)+1</x:f>
        <x:v>10</x:v>
      </x:c>
      <x:c r="H991" s="8" t="n">
        <x:f>IF(F991&lt;=9,1,0)</x:f>
        <x:v>0</x:v>
      </x:c>
      <x:c r="I991" s="9" t="n">
        <x:f>MIN(10,F990+IF(AR990&gt;0,MIN(1,AS990/AR990),1))</x:f>
        <x:v>10</x:v>
      </x:c>
      <x:c r="J991" s="32" t="n">
        <x:f>INDEX(tun_FoodCap,G991)*Arch_FoodCap*EXP(tun_CapsByProject*SUMPRODUCT((Cap_Point&lt;=I991)*(Cap_Kind="Food")*Cap_Ln))</x:f>
        <x:v>18627.260449441455</x:v>
      </x:c>
      <x:c r="K991" s="32" t="n">
        <x:f>J991*MIN(1,tun_LeanBase*EXP(tun_CapsByProject*SUMPRODUCT((Cap_Point&lt;=I991)*(Cap_Kind="Lean")*Cap_Ln)))</x:f>
        <x:v>18627.260449441455</x:v>
      </x:c>
      <x:c r="L991" s="10" t="n">
        <x:f>INDEX(tun_HousingCap,G991)*EXP(tun_CapsByProject*SUMPRODUCT((Cap_Point&lt;=I991)*(Cap_Kind="Housing")*Cap_Ln))</x:f>
        <x:v>20528.974303173167</x:v>
      </x:c>
      <x:c r="M991" s="10" t="n">
        <x:f>INDEX(tun_GroupCap,G991)*tun_CohesionFactor*EXP(tun_CapsByProject*SUMPRODUCT((Cap_Point&lt;=I991)*(Cap_Kind="Group")*Cap_Ln))</x:f>
        <x:v>1000000.000000001</x:v>
      </x:c>
      <x:c r="N991" s="32" t="n">
        <x:f>MIN(J991,L991,M991)</x:f>
        <x:v>18627.260449441455</x:v>
      </x:c>
      <x:c r="O991" s="10" t="n">
        <x:f>AE990*N991</x:f>
        <x:v>167645.34404497308</x:v>
      </x:c>
      <x:c r="P991" s="9" t="n">
        <x:f>MIN(1,(AB990/(AE990*IF(tun_GroupInCrowding=1,N991,MIN(J991,L991))))^tun_CrowdingExp)</x:f>
        <x:v>0.4215841981292809</x:v>
      </x:c>
      <x:c r="Q991" s="9" t="n">
        <x:f>IF(D991=1,INDEX(tun_WinterMult,G991),1)</x:f>
        <x:v>1.05</x:v>
      </x:c>
      <x:c r="R991" s="9" t="n">
        <x:f>H991*Z990*tun_WomenShare*tun_BaseFertility*INDEX(tun_FertMult,G991)*Arch_Fertility*(1-P991)</x:f>
        <x:v>0</x:v>
      </x:c>
      <x:c r="S991" s="9" t="n">
        <x:f>H991*Y990*INDEX(tun_MortChild,G991)/4*Q991</x:f>
        <x:v>0</x:v>
      </x:c>
      <x:c r="T991" s="9" t="n">
        <x:f>H991*Z990*INDEX(tun_MortAdult,G991)*Arch_AdultMort/4*Q991</x:f>
        <x:v>0</x:v>
      </x:c>
      <x:c r="U991" s="9" t="n">
        <x:f>H991*AA990*INDEX(tun_MortElder,G991)/4*Q991</x:f>
        <x:v>0</x:v>
      </x:c>
      <x:c r="V991" s="9" t="n">
        <x:f>H991*MAX(0,AB990-O991)*tun_OvercapLoss</x:f>
        <x:v>0</x:v>
      </x:c>
      <x:c r="W991" s="9" t="n">
        <x:f>H991*Y990/(tun_ChildYears*4)</x:f>
        <x:v>0</x:v>
      </x:c>
      <x:c r="X991" s="9" t="n">
        <x:f>H991*Z990/(tun_AdultYears*4)</x:f>
        <x:v>0</x:v>
      </x:c>
      <x:c r="Y991" s="32" t="n">
        <x:f>Y990+R991-S991-W991-Y990*V991/AB990</x:f>
        <x:v>40496.20709015643</x:v>
      </x:c>
      <x:c r="Z991" s="32" t="n">
        <x:f>Z990+W991-X991-T991-Z990*V991/AB990</x:f>
        <x:v>59141.61122890803</x:v>
      </x:c>
      <x:c r="AA991" s="32" t="n">
        <x:f>AA990+X991-U991-AA990*V991/AB990</x:f>
        <x:v>45530.62410925061</x:v>
      </x:c>
      <x:c r="AB991" s="10" t="n">
        <x:f>Y991+Z991+AA991</x:f>
        <x:v>145168.44242831506</x:v>
      </x:c>
      <x:c r="AC991" s="8" t="n">
        <x:f>IF(AND(tun_WinterTrigger=1,D991=1,AB990/AE990&gt;=K991),1,0)</x:f>
        <x:v>0</x:v>
      </x:c>
      <x:c r="AD991" s="8" t="n">
        <x:f>H991*IF(AND(OR(AB990/AE990&gt;=tun_FissionTrigger*N991,AC991=1),AB990/AE990*tun_DaughterShare&gt;=tun_MinDaughter),MAX(1,ROUND(AE990*tun_FissionRate,0)),0)</x:f>
        <x:v>0</x:v>
      </x:c>
      <x:c r="AE991" s="8" t="n">
        <x:f>IF(H991=1,MAX(1,MIN(INDEX(tun_Smax,G991),AE990+AD991)),AE990)</x:f>
        <x:v>9</x:v>
      </x:c>
      <x:c r="AF991" s="8" t="n">
        <x:f>MAX(0,AE991-AE990)</x:f>
        <x:v>0</x:v>
      </x:c>
      <x:c r="AG991" s="9" t="str">
        <x:f>IF(AF991&gt;0,B991,"")</x:f>
      </x:c>
      <x:c r="AH991" s="9" t="n">
        <x:f>IF(F991&gt;=1,1,(1+tun_LowTiesShare*(AE991-1))/AE991)</x:f>
        <x:v>1</x:v>
      </x:c>
      <x:c r="AI991" s="32" t="n">
        <x:f>(Z991+tun_ElderCommons*INDEX(LM_Elder,G991)*AA991)*AH991</x:f>
        <x:v>238215.0665857503</x:v>
      </x:c>
      <x:c r="AJ991" s="32" t="n">
        <x:f>H991*tun_CommonsCoef*AI991^tun_CommonsExp*INDEX(LM_Commons,G991)</x:f>
        <x:v>0</x:v>
      </x:c>
      <x:c r="AK991" s="32" t="n">
        <x:f>H991*tun_RoleScale*Arch_Roles*(AE991*(INDEX(tun_ElderRolePerSett,G991)*tun_OutElder*INDEX(LM_Elder,G991)+INDEX(tun_ShamanPerSett,G991)*tun_OutShaman)+Z991*(INDEX(tun_PriestShare,G991)*tun_OutPriest+INDEX(tun_ScribeShare,G991)*tun_OutScribe*INDEX(LM_Scribe,G991)+INDEX(tun_ScholarShare,G991)*tun_OutScholar*INDEX(LM_Scholar,G991)+INDEX(tun_ResearcherShare,G991)*tun_OutResearcher*INDEX(LM_Researcher,G991)))</x:f>
        <x:v>0</x:v>
      </x:c>
      <x:c r="AL991" s="32" t="n">
        <x:f>H991*tun_RoleScale*Arch_Roles*AE991*INDEX(tun_MonasteryPerSett,G991)*tun_OutMonastery*INDEX(LM_Monastery,G991)</x:f>
        <x:v>0</x:v>
      </x:c>
      <x:c r="AM991" s="32" t="n">
        <x:f>(AJ991+AK991+AL991)/4*INDEX(LM_All,G991)*INDEX(tun_Boon,G991)*Arch_Insight</x:f>
        <x:v>0</x:v>
      </x:c>
      <x:c r="AN991" s="32" t="n">
        <x:f>H991*(tun_KHPerAdult*Z991+tun_KHOfCommons*AJ991/4*INDEX(LM_All,G991))*tun_KHUsable*Arch_KH</x:f>
        <x:v>0</x:v>
      </x:c>
      <x:c r="AO991" s="32" t="n">
        <x:f>MIN(AP990+AN991,AM991*tun_KHMaxRatio)</x:f>
        <x:v>0</x:v>
      </x:c>
      <x:c r="AP991" s="32" t="n">
        <x:f>AP990+AN991-AO991</x:f>
        <x:v>0</x:v>
      </x:c>
      <x:c r="AQ991" s="32" t="n">
        <x:f>AM991+AO991</x:f>
        <x:v>0</x:v>
      </x:c>
      <x:c r="AR991" s="10" t="n">
        <x:f>IF(H991=1,INDEX(tun_Req,G991),0)</x:f>
        <x:v>0</x:v>
      </x:c>
      <x:c r="AS991" s="32" t="n">
        <x:f>IF(H991=1,IF(E991=1,AS990-AR990,AS990)+AQ991,0)</x:f>
        <x:v>0</x:v>
      </x:c>
      <x:c r="AT991" s="11" t="n">
        <x:f>IF(AR991&gt;0,MIN(1,AS991/AR991),1)</x:f>
        <x:v>1</x:v>
      </x:c>
      <x:c r="AU991" s="10" t="n">
        <x:f>AB991/INDEX(tun_RepScale,G991)</x:f>
        <x:v>290.3368848566301</x:v>
      </x:c>
      <x:c r="AV991" s="32" t="n">
        <x:f>AM991*60/tun_SeasonSeconds</x:f>
        <x:v>0</x:v>
      </x:c>
    </x:row>
    <x:row r="992">
      <x:c r="A992" s="8" t="n">
        <x:f>A991+1</x:f>
        <x:v>989</x:v>
      </x:c>
      <x:c r="B992" s="9" t="n">
        <x:f>A992*tun_SeasonSeconds/60</x:f>
        <x:v>247.25</x:v>
      </x:c>
      <x:c r="C992" s="9" t="n">
        <x:f>A992/4</x:f>
        <x:v>247.25</x:v>
      </x:c>
      <x:c r="D992" s="8" t="n">
        <x:f>IF(MOD(A992,4)=0,1,0)</x:f>
        <x:v>0</x:v>
      </x:c>
      <x:c r="E992" s="8" t="n">
        <x:f>IF(AND(F991&lt;=9,AS991&gt;=AR991),1,0)</x:f>
        <x:v>0</x:v>
      </x:c>
      <x:c r="F992" s="8" t="n">
        <x:f>MIN(10,F991+E992)</x:f>
        <x:v>10</x:v>
      </x:c>
      <x:c r="G992" s="8" t="n">
        <x:f>MIN(F992,9)+1</x:f>
        <x:v>10</x:v>
      </x:c>
      <x:c r="H992" s="8" t="n">
        <x:f>IF(F992&lt;=9,1,0)</x:f>
        <x:v>0</x:v>
      </x:c>
      <x:c r="I992" s="9" t="n">
        <x:f>MIN(10,F991+IF(AR991&gt;0,MIN(1,AS991/AR991),1))</x:f>
        <x:v>10</x:v>
      </x:c>
      <x:c r="J992" s="32" t="n">
        <x:f>INDEX(tun_FoodCap,G992)*Arch_FoodCap*EXP(tun_CapsByProject*SUMPRODUCT((Cap_Point&lt;=I992)*(Cap_Kind="Food")*Cap_Ln))</x:f>
        <x:v>18627.260449441455</x:v>
      </x:c>
      <x:c r="K992" s="32" t="n">
        <x:f>J992*MIN(1,tun_LeanBase*EXP(tun_CapsByProject*SUMPRODUCT((Cap_Point&lt;=I992)*(Cap_Kind="Lean")*Cap_Ln)))</x:f>
        <x:v>18627.260449441455</x:v>
      </x:c>
      <x:c r="L992" s="10" t="n">
        <x:f>INDEX(tun_HousingCap,G992)*EXP(tun_CapsByProject*SUMPRODUCT((Cap_Point&lt;=I992)*(Cap_Kind="Housing")*Cap_Ln))</x:f>
        <x:v>20528.974303173167</x:v>
      </x:c>
      <x:c r="M992" s="10" t="n">
        <x:f>INDEX(tun_GroupCap,G992)*tun_CohesionFactor*EXP(tun_CapsByProject*SUMPRODUCT((Cap_Point&lt;=I992)*(Cap_Kind="Group")*Cap_Ln))</x:f>
        <x:v>1000000.000000001</x:v>
      </x:c>
      <x:c r="N992" s="32" t="n">
        <x:f>MIN(J992,L992,M992)</x:f>
        <x:v>18627.260449441455</x:v>
      </x:c>
      <x:c r="O992" s="10" t="n">
        <x:f>AE991*N992</x:f>
        <x:v>167645.34404497308</x:v>
      </x:c>
      <x:c r="P992" s="9" t="n">
        <x:f>MIN(1,(AB991/(AE991*IF(tun_GroupInCrowding=1,N992,MIN(J992,L992))))^tun_CrowdingExp)</x:f>
        <x:v>0.4215841981292809</x:v>
      </x:c>
      <x:c r="Q992" s="9" t="n">
        <x:f>IF(D992=1,INDEX(tun_WinterMult,G992),1)</x:f>
        <x:v>1</x:v>
      </x:c>
      <x:c r="R992" s="9" t="n">
        <x:f>H992*Z991*tun_WomenShare*tun_BaseFertility*INDEX(tun_FertMult,G992)*Arch_Fertility*(1-P992)</x:f>
        <x:v>0</x:v>
      </x:c>
      <x:c r="S992" s="9" t="n">
        <x:f>H992*Y991*INDEX(tun_MortChild,G992)/4*Q992</x:f>
        <x:v>0</x:v>
      </x:c>
      <x:c r="T992" s="9" t="n">
        <x:f>H992*Z991*INDEX(tun_MortAdult,G992)*Arch_AdultMort/4*Q992</x:f>
        <x:v>0</x:v>
      </x:c>
      <x:c r="U992" s="9" t="n">
        <x:f>H992*AA991*INDEX(tun_MortElder,G992)/4*Q992</x:f>
        <x:v>0</x:v>
      </x:c>
      <x:c r="V992" s="9" t="n">
        <x:f>H992*MAX(0,AB991-O992)*tun_OvercapLoss</x:f>
        <x:v>0</x:v>
      </x:c>
      <x:c r="W992" s="9" t="n">
        <x:f>H992*Y991/(tun_ChildYears*4)</x:f>
        <x:v>0</x:v>
      </x:c>
      <x:c r="X992" s="9" t="n">
        <x:f>H992*Z991/(tun_AdultYears*4)</x:f>
        <x:v>0</x:v>
      </x:c>
      <x:c r="Y992" s="32" t="n">
        <x:f>Y991+R992-S992-W992-Y991*V992/AB991</x:f>
        <x:v>40496.20709015643</x:v>
      </x:c>
      <x:c r="Z992" s="32" t="n">
        <x:f>Z991+W992-X992-T992-Z991*V992/AB991</x:f>
        <x:v>59141.61122890803</x:v>
      </x:c>
      <x:c r="AA992" s="32" t="n">
        <x:f>AA991+X992-U992-AA991*V992/AB991</x:f>
        <x:v>45530.62410925061</x:v>
      </x:c>
      <x:c r="AB992" s="10" t="n">
        <x:f>Y992+Z992+AA992</x:f>
        <x:v>145168.44242831506</x:v>
      </x:c>
      <x:c r="AC992" s="8" t="n">
        <x:f>IF(AND(tun_WinterTrigger=1,D992=1,AB991/AE991&gt;=K992),1,0)</x:f>
        <x:v>0</x:v>
      </x:c>
      <x:c r="AD992" s="8" t="n">
        <x:f>H992*IF(AND(OR(AB991/AE991&gt;=tun_FissionTrigger*N992,AC992=1),AB991/AE991*tun_DaughterShare&gt;=tun_MinDaughter),MAX(1,ROUND(AE991*tun_FissionRate,0)),0)</x:f>
        <x:v>0</x:v>
      </x:c>
      <x:c r="AE992" s="8" t="n">
        <x:f>IF(H992=1,MAX(1,MIN(INDEX(tun_Smax,G992),AE991+AD992)),AE991)</x:f>
        <x:v>9</x:v>
      </x:c>
      <x:c r="AF992" s="8" t="n">
        <x:f>MAX(0,AE992-AE991)</x:f>
        <x:v>0</x:v>
      </x:c>
      <x:c r="AG992" s="9" t="str">
        <x:f>IF(AF992&gt;0,B992,"")</x:f>
      </x:c>
      <x:c r="AH992" s="9" t="n">
        <x:f>IF(F992&gt;=1,1,(1+tun_LowTiesShare*(AE992-1))/AE992)</x:f>
        <x:v>1</x:v>
      </x:c>
      <x:c r="AI992" s="32" t="n">
        <x:f>(Z992+tun_ElderCommons*INDEX(LM_Elder,G992)*AA992)*AH992</x:f>
        <x:v>238215.0665857503</x:v>
      </x:c>
      <x:c r="AJ992" s="32" t="n">
        <x:f>H992*tun_CommonsCoef*AI992^tun_CommonsExp*INDEX(LM_Commons,G992)</x:f>
        <x:v>0</x:v>
      </x:c>
      <x:c r="AK992" s="32" t="n">
        <x:f>H992*tun_RoleScale*Arch_Roles*(AE992*(INDEX(tun_ElderRolePerSett,G992)*tun_OutElder*INDEX(LM_Elder,G992)+INDEX(tun_ShamanPerSett,G992)*tun_OutShaman)+Z992*(INDEX(tun_PriestShare,G992)*tun_OutPriest+INDEX(tun_ScribeShare,G992)*tun_OutScribe*INDEX(LM_Scribe,G992)+INDEX(tun_ScholarShare,G992)*tun_OutScholar*INDEX(LM_Scholar,G992)+INDEX(tun_ResearcherShare,G992)*tun_OutResearcher*INDEX(LM_Researcher,G992)))</x:f>
        <x:v>0</x:v>
      </x:c>
      <x:c r="AL992" s="32" t="n">
        <x:f>H992*tun_RoleScale*Arch_Roles*AE992*INDEX(tun_MonasteryPerSett,G992)*tun_OutMonastery*INDEX(LM_Monastery,G992)</x:f>
        <x:v>0</x:v>
      </x:c>
      <x:c r="AM992" s="32" t="n">
        <x:f>(AJ992+AK992+AL992)/4*INDEX(LM_All,G992)*INDEX(tun_Boon,G992)*Arch_Insight</x:f>
        <x:v>0</x:v>
      </x:c>
      <x:c r="AN992" s="32" t="n">
        <x:f>H992*(tun_KHPerAdult*Z992+tun_KHOfCommons*AJ992/4*INDEX(LM_All,G992))*tun_KHUsable*Arch_KH</x:f>
        <x:v>0</x:v>
      </x:c>
      <x:c r="AO992" s="32" t="n">
        <x:f>MIN(AP991+AN992,AM992*tun_KHMaxRatio)</x:f>
        <x:v>0</x:v>
      </x:c>
      <x:c r="AP992" s="32" t="n">
        <x:f>AP991+AN992-AO992</x:f>
        <x:v>0</x:v>
      </x:c>
      <x:c r="AQ992" s="32" t="n">
        <x:f>AM992+AO992</x:f>
        <x:v>0</x:v>
      </x:c>
      <x:c r="AR992" s="10" t="n">
        <x:f>IF(H992=1,INDEX(tun_Req,G992),0)</x:f>
        <x:v>0</x:v>
      </x:c>
      <x:c r="AS992" s="32" t="n">
        <x:f>IF(H992=1,IF(E992=1,AS991-AR991,AS991)+AQ992,0)</x:f>
        <x:v>0</x:v>
      </x:c>
      <x:c r="AT992" s="11" t="n">
        <x:f>IF(AR992&gt;0,MIN(1,AS992/AR992),1)</x:f>
        <x:v>1</x:v>
      </x:c>
      <x:c r="AU992" s="10" t="n">
        <x:f>AB992/INDEX(tun_RepScale,G992)</x:f>
        <x:v>290.3368848566301</x:v>
      </x:c>
      <x:c r="AV992" s="32" t="n">
        <x:f>AM992*60/tun_SeasonSeconds</x:f>
        <x:v>0</x:v>
      </x:c>
    </x:row>
    <x:row r="993">
      <x:c r="A993" s="8" t="n">
        <x:f>A992+1</x:f>
        <x:v>990</x:v>
      </x:c>
      <x:c r="B993" s="9" t="n">
        <x:f>A993*tun_SeasonSeconds/60</x:f>
        <x:v>247.5</x:v>
      </x:c>
      <x:c r="C993" s="9" t="n">
        <x:f>A993/4</x:f>
        <x:v>247.5</x:v>
      </x:c>
      <x:c r="D993" s="8" t="n">
        <x:f>IF(MOD(A993,4)=0,1,0)</x:f>
        <x:v>0</x:v>
      </x:c>
      <x:c r="E993" s="8" t="n">
        <x:f>IF(AND(F992&lt;=9,AS992&gt;=AR992),1,0)</x:f>
        <x:v>0</x:v>
      </x:c>
      <x:c r="F993" s="8" t="n">
        <x:f>MIN(10,F992+E993)</x:f>
        <x:v>10</x:v>
      </x:c>
      <x:c r="G993" s="8" t="n">
        <x:f>MIN(F993,9)+1</x:f>
        <x:v>10</x:v>
      </x:c>
      <x:c r="H993" s="8" t="n">
        <x:f>IF(F993&lt;=9,1,0)</x:f>
        <x:v>0</x:v>
      </x:c>
      <x:c r="I993" s="9" t="n">
        <x:f>MIN(10,F992+IF(AR992&gt;0,MIN(1,AS992/AR992),1))</x:f>
        <x:v>10</x:v>
      </x:c>
      <x:c r="J993" s="32" t="n">
        <x:f>INDEX(tun_FoodCap,G993)*Arch_FoodCap*EXP(tun_CapsByProject*SUMPRODUCT((Cap_Point&lt;=I993)*(Cap_Kind="Food")*Cap_Ln))</x:f>
        <x:v>18627.260449441455</x:v>
      </x:c>
      <x:c r="K993" s="32" t="n">
        <x:f>J993*MIN(1,tun_LeanBase*EXP(tun_CapsByProject*SUMPRODUCT((Cap_Point&lt;=I993)*(Cap_Kind="Lean")*Cap_Ln)))</x:f>
        <x:v>18627.260449441455</x:v>
      </x:c>
      <x:c r="L993" s="10" t="n">
        <x:f>INDEX(tun_HousingCap,G993)*EXP(tun_CapsByProject*SUMPRODUCT((Cap_Point&lt;=I993)*(Cap_Kind="Housing")*Cap_Ln))</x:f>
        <x:v>20528.974303173167</x:v>
      </x:c>
      <x:c r="M993" s="10" t="n">
        <x:f>INDEX(tun_GroupCap,G993)*tun_CohesionFactor*EXP(tun_CapsByProject*SUMPRODUCT((Cap_Point&lt;=I993)*(Cap_Kind="Group")*Cap_Ln))</x:f>
        <x:v>1000000.000000001</x:v>
      </x:c>
      <x:c r="N993" s="32" t="n">
        <x:f>MIN(J993,L993,M993)</x:f>
        <x:v>18627.260449441455</x:v>
      </x:c>
      <x:c r="O993" s="10" t="n">
        <x:f>AE992*N993</x:f>
        <x:v>167645.34404497308</x:v>
      </x:c>
      <x:c r="P993" s="9" t="n">
        <x:f>MIN(1,(AB992/(AE992*IF(tun_GroupInCrowding=1,N993,MIN(J993,L993))))^tun_CrowdingExp)</x:f>
        <x:v>0.4215841981292809</x:v>
      </x:c>
      <x:c r="Q993" s="9" t="n">
        <x:f>IF(D993=1,INDEX(tun_WinterMult,G993),1)</x:f>
        <x:v>1</x:v>
      </x:c>
      <x:c r="R993" s="9" t="n">
        <x:f>H993*Z992*tun_WomenShare*tun_BaseFertility*INDEX(tun_FertMult,G993)*Arch_Fertility*(1-P993)</x:f>
        <x:v>0</x:v>
      </x:c>
      <x:c r="S993" s="9" t="n">
        <x:f>H993*Y992*INDEX(tun_MortChild,G993)/4*Q993</x:f>
        <x:v>0</x:v>
      </x:c>
      <x:c r="T993" s="9" t="n">
        <x:f>H993*Z992*INDEX(tun_MortAdult,G993)*Arch_AdultMort/4*Q993</x:f>
        <x:v>0</x:v>
      </x:c>
      <x:c r="U993" s="9" t="n">
        <x:f>H993*AA992*INDEX(tun_MortElder,G993)/4*Q993</x:f>
        <x:v>0</x:v>
      </x:c>
      <x:c r="V993" s="9" t="n">
        <x:f>H993*MAX(0,AB992-O993)*tun_OvercapLoss</x:f>
        <x:v>0</x:v>
      </x:c>
      <x:c r="W993" s="9" t="n">
        <x:f>H993*Y992/(tun_ChildYears*4)</x:f>
        <x:v>0</x:v>
      </x:c>
      <x:c r="X993" s="9" t="n">
        <x:f>H993*Z992/(tun_AdultYears*4)</x:f>
        <x:v>0</x:v>
      </x:c>
      <x:c r="Y993" s="32" t="n">
        <x:f>Y992+R993-S993-W993-Y992*V993/AB992</x:f>
        <x:v>40496.20709015643</x:v>
      </x:c>
      <x:c r="Z993" s="32" t="n">
        <x:f>Z992+W993-X993-T993-Z992*V993/AB992</x:f>
        <x:v>59141.61122890803</x:v>
      </x:c>
      <x:c r="AA993" s="32" t="n">
        <x:f>AA992+X993-U993-AA992*V993/AB992</x:f>
        <x:v>45530.62410925061</x:v>
      </x:c>
      <x:c r="AB993" s="10" t="n">
        <x:f>Y993+Z993+AA993</x:f>
        <x:v>145168.44242831506</x:v>
      </x:c>
      <x:c r="AC993" s="8" t="n">
        <x:f>IF(AND(tun_WinterTrigger=1,D993=1,AB992/AE992&gt;=K993),1,0)</x:f>
        <x:v>0</x:v>
      </x:c>
      <x:c r="AD993" s="8" t="n">
        <x:f>H993*IF(AND(OR(AB992/AE992&gt;=tun_FissionTrigger*N993,AC993=1),AB992/AE992*tun_DaughterShare&gt;=tun_MinDaughter),MAX(1,ROUND(AE992*tun_FissionRate,0)),0)</x:f>
        <x:v>0</x:v>
      </x:c>
      <x:c r="AE993" s="8" t="n">
        <x:f>IF(H993=1,MAX(1,MIN(INDEX(tun_Smax,G993),AE992+AD993)),AE992)</x:f>
        <x:v>9</x:v>
      </x:c>
      <x:c r="AF993" s="8" t="n">
        <x:f>MAX(0,AE993-AE992)</x:f>
        <x:v>0</x:v>
      </x:c>
      <x:c r="AG993" s="9" t="str">
        <x:f>IF(AF993&gt;0,B993,"")</x:f>
      </x:c>
      <x:c r="AH993" s="9" t="n">
        <x:f>IF(F993&gt;=1,1,(1+tun_LowTiesShare*(AE993-1))/AE993)</x:f>
        <x:v>1</x:v>
      </x:c>
      <x:c r="AI993" s="32" t="n">
        <x:f>(Z993+tun_ElderCommons*INDEX(LM_Elder,G993)*AA993)*AH993</x:f>
        <x:v>238215.0665857503</x:v>
      </x:c>
      <x:c r="AJ993" s="32" t="n">
        <x:f>H993*tun_CommonsCoef*AI993^tun_CommonsExp*INDEX(LM_Commons,G993)</x:f>
        <x:v>0</x:v>
      </x:c>
      <x:c r="AK993" s="32" t="n">
        <x:f>H993*tun_RoleScale*Arch_Roles*(AE993*(INDEX(tun_ElderRolePerSett,G993)*tun_OutElder*INDEX(LM_Elder,G993)+INDEX(tun_ShamanPerSett,G993)*tun_OutShaman)+Z993*(INDEX(tun_PriestShare,G993)*tun_OutPriest+INDEX(tun_ScribeShare,G993)*tun_OutScribe*INDEX(LM_Scribe,G993)+INDEX(tun_ScholarShare,G993)*tun_OutScholar*INDEX(LM_Scholar,G993)+INDEX(tun_ResearcherShare,G993)*tun_OutResearcher*INDEX(LM_Researcher,G993)))</x:f>
        <x:v>0</x:v>
      </x:c>
      <x:c r="AL993" s="32" t="n">
        <x:f>H993*tun_RoleScale*Arch_Roles*AE993*INDEX(tun_MonasteryPerSett,G993)*tun_OutMonastery*INDEX(LM_Monastery,G993)</x:f>
        <x:v>0</x:v>
      </x:c>
      <x:c r="AM993" s="32" t="n">
        <x:f>(AJ993+AK993+AL993)/4*INDEX(LM_All,G993)*INDEX(tun_Boon,G993)*Arch_Insight</x:f>
        <x:v>0</x:v>
      </x:c>
      <x:c r="AN993" s="32" t="n">
        <x:f>H993*(tun_KHPerAdult*Z993+tun_KHOfCommons*AJ993/4*INDEX(LM_All,G993))*tun_KHUsable*Arch_KH</x:f>
        <x:v>0</x:v>
      </x:c>
      <x:c r="AO993" s="32" t="n">
        <x:f>MIN(AP992+AN993,AM993*tun_KHMaxRatio)</x:f>
        <x:v>0</x:v>
      </x:c>
      <x:c r="AP993" s="32" t="n">
        <x:f>AP992+AN993-AO993</x:f>
        <x:v>0</x:v>
      </x:c>
      <x:c r="AQ993" s="32" t="n">
        <x:f>AM993+AO993</x:f>
        <x:v>0</x:v>
      </x:c>
      <x:c r="AR993" s="10" t="n">
        <x:f>IF(H993=1,INDEX(tun_Req,G993),0)</x:f>
        <x:v>0</x:v>
      </x:c>
      <x:c r="AS993" s="32" t="n">
        <x:f>IF(H993=1,IF(E993=1,AS992-AR992,AS992)+AQ993,0)</x:f>
        <x:v>0</x:v>
      </x:c>
      <x:c r="AT993" s="11" t="n">
        <x:f>IF(AR993&gt;0,MIN(1,AS993/AR993),1)</x:f>
        <x:v>1</x:v>
      </x:c>
      <x:c r="AU993" s="10" t="n">
        <x:f>AB993/INDEX(tun_RepScale,G993)</x:f>
        <x:v>290.3368848566301</x:v>
      </x:c>
      <x:c r="AV993" s="32" t="n">
        <x:f>AM993*60/tun_SeasonSeconds</x:f>
        <x:v>0</x:v>
      </x:c>
    </x:row>
    <x:row r="994">
      <x:c r="A994" s="8" t="n">
        <x:f>A993+1</x:f>
        <x:v>991</x:v>
      </x:c>
      <x:c r="B994" s="9" t="n">
        <x:f>A994*tun_SeasonSeconds/60</x:f>
        <x:v>247.75</x:v>
      </x:c>
      <x:c r="C994" s="9" t="n">
        <x:f>A994/4</x:f>
        <x:v>247.75</x:v>
      </x:c>
      <x:c r="D994" s="8" t="n">
        <x:f>IF(MOD(A994,4)=0,1,0)</x:f>
        <x:v>0</x:v>
      </x:c>
      <x:c r="E994" s="8" t="n">
        <x:f>IF(AND(F993&lt;=9,AS993&gt;=AR993),1,0)</x:f>
        <x:v>0</x:v>
      </x:c>
      <x:c r="F994" s="8" t="n">
        <x:f>MIN(10,F993+E994)</x:f>
        <x:v>10</x:v>
      </x:c>
      <x:c r="G994" s="8" t="n">
        <x:f>MIN(F994,9)+1</x:f>
        <x:v>10</x:v>
      </x:c>
      <x:c r="H994" s="8" t="n">
        <x:f>IF(F994&lt;=9,1,0)</x:f>
        <x:v>0</x:v>
      </x:c>
      <x:c r="I994" s="9" t="n">
        <x:f>MIN(10,F993+IF(AR993&gt;0,MIN(1,AS993/AR993),1))</x:f>
        <x:v>10</x:v>
      </x:c>
      <x:c r="J994" s="32" t="n">
        <x:f>INDEX(tun_FoodCap,G994)*Arch_FoodCap*EXP(tun_CapsByProject*SUMPRODUCT((Cap_Point&lt;=I994)*(Cap_Kind="Food")*Cap_Ln))</x:f>
        <x:v>18627.260449441455</x:v>
      </x:c>
      <x:c r="K994" s="32" t="n">
        <x:f>J994*MIN(1,tun_LeanBase*EXP(tun_CapsByProject*SUMPRODUCT((Cap_Point&lt;=I994)*(Cap_Kind="Lean")*Cap_Ln)))</x:f>
        <x:v>18627.260449441455</x:v>
      </x:c>
      <x:c r="L994" s="10" t="n">
        <x:f>INDEX(tun_HousingCap,G994)*EXP(tun_CapsByProject*SUMPRODUCT((Cap_Point&lt;=I994)*(Cap_Kind="Housing")*Cap_Ln))</x:f>
        <x:v>20528.974303173167</x:v>
      </x:c>
      <x:c r="M994" s="10" t="n">
        <x:f>INDEX(tun_GroupCap,G994)*tun_CohesionFactor*EXP(tun_CapsByProject*SUMPRODUCT((Cap_Point&lt;=I994)*(Cap_Kind="Group")*Cap_Ln))</x:f>
        <x:v>1000000.000000001</x:v>
      </x:c>
      <x:c r="N994" s="32" t="n">
        <x:f>MIN(J994,L994,M994)</x:f>
        <x:v>18627.260449441455</x:v>
      </x:c>
      <x:c r="O994" s="10" t="n">
        <x:f>AE993*N994</x:f>
        <x:v>167645.34404497308</x:v>
      </x:c>
      <x:c r="P994" s="9" t="n">
        <x:f>MIN(1,(AB993/(AE993*IF(tun_GroupInCrowding=1,N994,MIN(J994,L994))))^tun_CrowdingExp)</x:f>
        <x:v>0.4215841981292809</x:v>
      </x:c>
      <x:c r="Q994" s="9" t="n">
        <x:f>IF(D994=1,INDEX(tun_WinterMult,G994),1)</x:f>
        <x:v>1</x:v>
      </x:c>
      <x:c r="R994" s="9" t="n">
        <x:f>H994*Z993*tun_WomenShare*tun_BaseFertility*INDEX(tun_FertMult,G994)*Arch_Fertility*(1-P994)</x:f>
        <x:v>0</x:v>
      </x:c>
      <x:c r="S994" s="9" t="n">
        <x:f>H994*Y993*INDEX(tun_MortChild,G994)/4*Q994</x:f>
        <x:v>0</x:v>
      </x:c>
      <x:c r="T994" s="9" t="n">
        <x:f>H994*Z993*INDEX(tun_MortAdult,G994)*Arch_AdultMort/4*Q994</x:f>
        <x:v>0</x:v>
      </x:c>
      <x:c r="U994" s="9" t="n">
        <x:f>H994*AA993*INDEX(tun_MortElder,G994)/4*Q994</x:f>
        <x:v>0</x:v>
      </x:c>
      <x:c r="V994" s="9" t="n">
        <x:f>H994*MAX(0,AB993-O994)*tun_OvercapLoss</x:f>
        <x:v>0</x:v>
      </x:c>
      <x:c r="W994" s="9" t="n">
        <x:f>H994*Y993/(tun_ChildYears*4)</x:f>
        <x:v>0</x:v>
      </x:c>
      <x:c r="X994" s="9" t="n">
        <x:f>H994*Z993/(tun_AdultYears*4)</x:f>
        <x:v>0</x:v>
      </x:c>
      <x:c r="Y994" s="32" t="n">
        <x:f>Y993+R994-S994-W994-Y993*V994/AB993</x:f>
        <x:v>40496.20709015643</x:v>
      </x:c>
      <x:c r="Z994" s="32" t="n">
        <x:f>Z993+W994-X994-T994-Z993*V994/AB993</x:f>
        <x:v>59141.61122890803</x:v>
      </x:c>
      <x:c r="AA994" s="32" t="n">
        <x:f>AA993+X994-U994-AA993*V994/AB993</x:f>
        <x:v>45530.62410925061</x:v>
      </x:c>
      <x:c r="AB994" s="10" t="n">
        <x:f>Y994+Z994+AA994</x:f>
        <x:v>145168.44242831506</x:v>
      </x:c>
      <x:c r="AC994" s="8" t="n">
        <x:f>IF(AND(tun_WinterTrigger=1,D994=1,AB993/AE993&gt;=K994),1,0)</x:f>
        <x:v>0</x:v>
      </x:c>
      <x:c r="AD994" s="8" t="n">
        <x:f>H994*IF(AND(OR(AB993/AE993&gt;=tun_FissionTrigger*N994,AC994=1),AB993/AE993*tun_DaughterShare&gt;=tun_MinDaughter),MAX(1,ROUND(AE993*tun_FissionRate,0)),0)</x:f>
        <x:v>0</x:v>
      </x:c>
      <x:c r="AE994" s="8" t="n">
        <x:f>IF(H994=1,MAX(1,MIN(INDEX(tun_Smax,G994),AE993+AD994)),AE993)</x:f>
        <x:v>9</x:v>
      </x:c>
      <x:c r="AF994" s="8" t="n">
        <x:f>MAX(0,AE994-AE993)</x:f>
        <x:v>0</x:v>
      </x:c>
      <x:c r="AG994" s="9" t="str">
        <x:f>IF(AF994&gt;0,B994,"")</x:f>
      </x:c>
      <x:c r="AH994" s="9" t="n">
        <x:f>IF(F994&gt;=1,1,(1+tun_LowTiesShare*(AE994-1))/AE994)</x:f>
        <x:v>1</x:v>
      </x:c>
      <x:c r="AI994" s="32" t="n">
        <x:f>(Z994+tun_ElderCommons*INDEX(LM_Elder,G994)*AA994)*AH994</x:f>
        <x:v>238215.0665857503</x:v>
      </x:c>
      <x:c r="AJ994" s="32" t="n">
        <x:f>H994*tun_CommonsCoef*AI994^tun_CommonsExp*INDEX(LM_Commons,G994)</x:f>
        <x:v>0</x:v>
      </x:c>
      <x:c r="AK994" s="32" t="n">
        <x:f>H994*tun_RoleScale*Arch_Roles*(AE994*(INDEX(tun_ElderRolePerSett,G994)*tun_OutElder*INDEX(LM_Elder,G994)+INDEX(tun_ShamanPerSett,G994)*tun_OutShaman)+Z994*(INDEX(tun_PriestShare,G994)*tun_OutPriest+INDEX(tun_ScribeShare,G994)*tun_OutScribe*INDEX(LM_Scribe,G994)+INDEX(tun_ScholarShare,G994)*tun_OutScholar*INDEX(LM_Scholar,G994)+INDEX(tun_ResearcherShare,G994)*tun_OutResearcher*INDEX(LM_Researcher,G994)))</x:f>
        <x:v>0</x:v>
      </x:c>
      <x:c r="AL994" s="32" t="n">
        <x:f>H994*tun_RoleScale*Arch_Roles*AE994*INDEX(tun_MonasteryPerSett,G994)*tun_OutMonastery*INDEX(LM_Monastery,G994)</x:f>
        <x:v>0</x:v>
      </x:c>
      <x:c r="AM994" s="32" t="n">
        <x:f>(AJ994+AK994+AL994)/4*INDEX(LM_All,G994)*INDEX(tun_Boon,G994)*Arch_Insight</x:f>
        <x:v>0</x:v>
      </x:c>
      <x:c r="AN994" s="32" t="n">
        <x:f>H994*(tun_KHPerAdult*Z994+tun_KHOfCommons*AJ994/4*INDEX(LM_All,G994))*tun_KHUsable*Arch_KH</x:f>
        <x:v>0</x:v>
      </x:c>
      <x:c r="AO994" s="32" t="n">
        <x:f>MIN(AP993+AN994,AM994*tun_KHMaxRatio)</x:f>
        <x:v>0</x:v>
      </x:c>
      <x:c r="AP994" s="32" t="n">
        <x:f>AP993+AN994-AO994</x:f>
        <x:v>0</x:v>
      </x:c>
      <x:c r="AQ994" s="32" t="n">
        <x:f>AM994+AO994</x:f>
        <x:v>0</x:v>
      </x:c>
      <x:c r="AR994" s="10" t="n">
        <x:f>IF(H994=1,INDEX(tun_Req,G994),0)</x:f>
        <x:v>0</x:v>
      </x:c>
      <x:c r="AS994" s="32" t="n">
        <x:f>IF(H994=1,IF(E994=1,AS993-AR993,AS993)+AQ994,0)</x:f>
        <x:v>0</x:v>
      </x:c>
      <x:c r="AT994" s="11" t="n">
        <x:f>IF(AR994&gt;0,MIN(1,AS994/AR994),1)</x:f>
        <x:v>1</x:v>
      </x:c>
      <x:c r="AU994" s="10" t="n">
        <x:f>AB994/INDEX(tun_RepScale,G994)</x:f>
        <x:v>290.3368848566301</x:v>
      </x:c>
      <x:c r="AV994" s="32" t="n">
        <x:f>AM994*60/tun_SeasonSeconds</x:f>
        <x:v>0</x:v>
      </x:c>
    </x:row>
    <x:row r="995">
      <x:c r="A995" s="8" t="n">
        <x:f>A994+1</x:f>
        <x:v>992</x:v>
      </x:c>
      <x:c r="B995" s="9" t="n">
        <x:f>A995*tun_SeasonSeconds/60</x:f>
        <x:v>248</x:v>
      </x:c>
      <x:c r="C995" s="9" t="n">
        <x:f>A995/4</x:f>
        <x:v>248</x:v>
      </x:c>
      <x:c r="D995" s="8" t="n">
        <x:f>IF(MOD(A995,4)=0,1,0)</x:f>
        <x:v>1</x:v>
      </x:c>
      <x:c r="E995" s="8" t="n">
        <x:f>IF(AND(F994&lt;=9,AS994&gt;=AR994),1,0)</x:f>
        <x:v>0</x:v>
      </x:c>
      <x:c r="F995" s="8" t="n">
        <x:f>MIN(10,F994+E995)</x:f>
        <x:v>10</x:v>
      </x:c>
      <x:c r="G995" s="8" t="n">
        <x:f>MIN(F995,9)+1</x:f>
        <x:v>10</x:v>
      </x:c>
      <x:c r="H995" s="8" t="n">
        <x:f>IF(F995&lt;=9,1,0)</x:f>
        <x:v>0</x:v>
      </x:c>
      <x:c r="I995" s="9" t="n">
        <x:f>MIN(10,F994+IF(AR994&gt;0,MIN(1,AS994/AR994),1))</x:f>
        <x:v>10</x:v>
      </x:c>
      <x:c r="J995" s="32" t="n">
        <x:f>INDEX(tun_FoodCap,G995)*Arch_FoodCap*EXP(tun_CapsByProject*SUMPRODUCT((Cap_Point&lt;=I995)*(Cap_Kind="Food")*Cap_Ln))</x:f>
        <x:v>18627.260449441455</x:v>
      </x:c>
      <x:c r="K995" s="32" t="n">
        <x:f>J995*MIN(1,tun_LeanBase*EXP(tun_CapsByProject*SUMPRODUCT((Cap_Point&lt;=I995)*(Cap_Kind="Lean")*Cap_Ln)))</x:f>
        <x:v>18627.260449441455</x:v>
      </x:c>
      <x:c r="L995" s="10" t="n">
        <x:f>INDEX(tun_HousingCap,G995)*EXP(tun_CapsByProject*SUMPRODUCT((Cap_Point&lt;=I995)*(Cap_Kind="Housing")*Cap_Ln))</x:f>
        <x:v>20528.974303173167</x:v>
      </x:c>
      <x:c r="M995" s="10" t="n">
        <x:f>INDEX(tun_GroupCap,G995)*tun_CohesionFactor*EXP(tun_CapsByProject*SUMPRODUCT((Cap_Point&lt;=I995)*(Cap_Kind="Group")*Cap_Ln))</x:f>
        <x:v>1000000.000000001</x:v>
      </x:c>
      <x:c r="N995" s="32" t="n">
        <x:f>MIN(J995,L995,M995)</x:f>
        <x:v>18627.260449441455</x:v>
      </x:c>
      <x:c r="O995" s="10" t="n">
        <x:f>AE994*N995</x:f>
        <x:v>167645.34404497308</x:v>
      </x:c>
      <x:c r="P995" s="9" t="n">
        <x:f>MIN(1,(AB994/(AE994*IF(tun_GroupInCrowding=1,N995,MIN(J995,L995))))^tun_CrowdingExp)</x:f>
        <x:v>0.4215841981292809</x:v>
      </x:c>
      <x:c r="Q995" s="9" t="n">
        <x:f>IF(D995=1,INDEX(tun_WinterMult,G995),1)</x:f>
        <x:v>1.05</x:v>
      </x:c>
      <x:c r="R995" s="9" t="n">
        <x:f>H995*Z994*tun_WomenShare*tun_BaseFertility*INDEX(tun_FertMult,G995)*Arch_Fertility*(1-P995)</x:f>
        <x:v>0</x:v>
      </x:c>
      <x:c r="S995" s="9" t="n">
        <x:f>H995*Y994*INDEX(tun_MortChild,G995)/4*Q995</x:f>
        <x:v>0</x:v>
      </x:c>
      <x:c r="T995" s="9" t="n">
        <x:f>H995*Z994*INDEX(tun_MortAdult,G995)*Arch_AdultMort/4*Q995</x:f>
        <x:v>0</x:v>
      </x:c>
      <x:c r="U995" s="9" t="n">
        <x:f>H995*AA994*INDEX(tun_MortElder,G995)/4*Q995</x:f>
        <x:v>0</x:v>
      </x:c>
      <x:c r="V995" s="9" t="n">
        <x:f>H995*MAX(0,AB994-O995)*tun_OvercapLoss</x:f>
        <x:v>0</x:v>
      </x:c>
      <x:c r="W995" s="9" t="n">
        <x:f>H995*Y994/(tun_ChildYears*4)</x:f>
        <x:v>0</x:v>
      </x:c>
      <x:c r="X995" s="9" t="n">
        <x:f>H995*Z994/(tun_AdultYears*4)</x:f>
        <x:v>0</x:v>
      </x:c>
      <x:c r="Y995" s="32" t="n">
        <x:f>Y994+R995-S995-W995-Y994*V995/AB994</x:f>
        <x:v>40496.20709015643</x:v>
      </x:c>
      <x:c r="Z995" s="32" t="n">
        <x:f>Z994+W995-X995-T995-Z994*V995/AB994</x:f>
        <x:v>59141.61122890803</x:v>
      </x:c>
      <x:c r="AA995" s="32" t="n">
        <x:f>AA994+X995-U995-AA994*V995/AB994</x:f>
        <x:v>45530.62410925061</x:v>
      </x:c>
      <x:c r="AB995" s="10" t="n">
        <x:f>Y995+Z995+AA995</x:f>
        <x:v>145168.44242831506</x:v>
      </x:c>
      <x:c r="AC995" s="8" t="n">
        <x:f>IF(AND(tun_WinterTrigger=1,D995=1,AB994/AE994&gt;=K995),1,0)</x:f>
        <x:v>0</x:v>
      </x:c>
      <x:c r="AD995" s="8" t="n">
        <x:f>H995*IF(AND(OR(AB994/AE994&gt;=tun_FissionTrigger*N995,AC995=1),AB994/AE994*tun_DaughterShare&gt;=tun_MinDaughter),MAX(1,ROUND(AE994*tun_FissionRate,0)),0)</x:f>
        <x:v>0</x:v>
      </x:c>
      <x:c r="AE995" s="8" t="n">
        <x:f>IF(H995=1,MAX(1,MIN(INDEX(tun_Smax,G995),AE994+AD995)),AE994)</x:f>
        <x:v>9</x:v>
      </x:c>
      <x:c r="AF995" s="8" t="n">
        <x:f>MAX(0,AE995-AE994)</x:f>
        <x:v>0</x:v>
      </x:c>
      <x:c r="AG995" s="9" t="str">
        <x:f>IF(AF995&gt;0,B995,"")</x:f>
      </x:c>
      <x:c r="AH995" s="9" t="n">
        <x:f>IF(F995&gt;=1,1,(1+tun_LowTiesShare*(AE995-1))/AE995)</x:f>
        <x:v>1</x:v>
      </x:c>
      <x:c r="AI995" s="32" t="n">
        <x:f>(Z995+tun_ElderCommons*INDEX(LM_Elder,G995)*AA995)*AH995</x:f>
        <x:v>238215.0665857503</x:v>
      </x:c>
      <x:c r="AJ995" s="32" t="n">
        <x:f>H995*tun_CommonsCoef*AI995^tun_CommonsExp*INDEX(LM_Commons,G995)</x:f>
        <x:v>0</x:v>
      </x:c>
      <x:c r="AK995" s="32" t="n">
        <x:f>H995*tun_RoleScale*Arch_Roles*(AE995*(INDEX(tun_ElderRolePerSett,G995)*tun_OutElder*INDEX(LM_Elder,G995)+INDEX(tun_ShamanPerSett,G995)*tun_OutShaman)+Z995*(INDEX(tun_PriestShare,G995)*tun_OutPriest+INDEX(tun_ScribeShare,G995)*tun_OutScribe*INDEX(LM_Scribe,G995)+INDEX(tun_ScholarShare,G995)*tun_OutScholar*INDEX(LM_Scholar,G995)+INDEX(tun_ResearcherShare,G995)*tun_OutResearcher*INDEX(LM_Researcher,G995)))</x:f>
        <x:v>0</x:v>
      </x:c>
      <x:c r="AL995" s="32" t="n">
        <x:f>H995*tun_RoleScale*Arch_Roles*AE995*INDEX(tun_MonasteryPerSett,G995)*tun_OutMonastery*INDEX(LM_Monastery,G995)</x:f>
        <x:v>0</x:v>
      </x:c>
      <x:c r="AM995" s="32" t="n">
        <x:f>(AJ995+AK995+AL995)/4*INDEX(LM_All,G995)*INDEX(tun_Boon,G995)*Arch_Insight</x:f>
        <x:v>0</x:v>
      </x:c>
      <x:c r="AN995" s="32" t="n">
        <x:f>H995*(tun_KHPerAdult*Z995+tun_KHOfCommons*AJ995/4*INDEX(LM_All,G995))*tun_KHUsable*Arch_KH</x:f>
        <x:v>0</x:v>
      </x:c>
      <x:c r="AO995" s="32" t="n">
        <x:f>MIN(AP994+AN995,AM995*tun_KHMaxRatio)</x:f>
        <x:v>0</x:v>
      </x:c>
      <x:c r="AP995" s="32" t="n">
        <x:f>AP994+AN995-AO995</x:f>
        <x:v>0</x:v>
      </x:c>
      <x:c r="AQ995" s="32" t="n">
        <x:f>AM995+AO995</x:f>
        <x:v>0</x:v>
      </x:c>
      <x:c r="AR995" s="10" t="n">
        <x:f>IF(H995=1,INDEX(tun_Req,G995),0)</x:f>
        <x:v>0</x:v>
      </x:c>
      <x:c r="AS995" s="32" t="n">
        <x:f>IF(H995=1,IF(E995=1,AS994-AR994,AS994)+AQ995,0)</x:f>
        <x:v>0</x:v>
      </x:c>
      <x:c r="AT995" s="11" t="n">
        <x:f>IF(AR995&gt;0,MIN(1,AS995/AR995),1)</x:f>
        <x:v>1</x:v>
      </x:c>
      <x:c r="AU995" s="10" t="n">
        <x:f>AB995/INDEX(tun_RepScale,G995)</x:f>
        <x:v>290.3368848566301</x:v>
      </x:c>
      <x:c r="AV995" s="32" t="n">
        <x:f>AM995*60/tun_SeasonSeconds</x:f>
        <x:v>0</x:v>
      </x:c>
    </x:row>
    <x:row r="996">
      <x:c r="A996" s="8" t="n">
        <x:f>A995+1</x:f>
        <x:v>993</x:v>
      </x:c>
      <x:c r="B996" s="9" t="n">
        <x:f>A996*tun_SeasonSeconds/60</x:f>
        <x:v>248.25</x:v>
      </x:c>
      <x:c r="C996" s="9" t="n">
        <x:f>A996/4</x:f>
        <x:v>248.25</x:v>
      </x:c>
      <x:c r="D996" s="8" t="n">
        <x:f>IF(MOD(A996,4)=0,1,0)</x:f>
        <x:v>0</x:v>
      </x:c>
      <x:c r="E996" s="8" t="n">
        <x:f>IF(AND(F995&lt;=9,AS995&gt;=AR995),1,0)</x:f>
        <x:v>0</x:v>
      </x:c>
      <x:c r="F996" s="8" t="n">
        <x:f>MIN(10,F995+E996)</x:f>
        <x:v>10</x:v>
      </x:c>
      <x:c r="G996" s="8" t="n">
        <x:f>MIN(F996,9)+1</x:f>
        <x:v>10</x:v>
      </x:c>
      <x:c r="H996" s="8" t="n">
        <x:f>IF(F996&lt;=9,1,0)</x:f>
        <x:v>0</x:v>
      </x:c>
      <x:c r="I996" s="9" t="n">
        <x:f>MIN(10,F995+IF(AR995&gt;0,MIN(1,AS995/AR995),1))</x:f>
        <x:v>10</x:v>
      </x:c>
      <x:c r="J996" s="32" t="n">
        <x:f>INDEX(tun_FoodCap,G996)*Arch_FoodCap*EXP(tun_CapsByProject*SUMPRODUCT((Cap_Point&lt;=I996)*(Cap_Kind="Food")*Cap_Ln))</x:f>
        <x:v>18627.260449441455</x:v>
      </x:c>
      <x:c r="K996" s="32" t="n">
        <x:f>J996*MIN(1,tun_LeanBase*EXP(tun_CapsByProject*SUMPRODUCT((Cap_Point&lt;=I996)*(Cap_Kind="Lean")*Cap_Ln)))</x:f>
        <x:v>18627.260449441455</x:v>
      </x:c>
      <x:c r="L996" s="10" t="n">
        <x:f>INDEX(tun_HousingCap,G996)*EXP(tun_CapsByProject*SUMPRODUCT((Cap_Point&lt;=I996)*(Cap_Kind="Housing")*Cap_Ln))</x:f>
        <x:v>20528.974303173167</x:v>
      </x:c>
      <x:c r="M996" s="10" t="n">
        <x:f>INDEX(tun_GroupCap,G996)*tun_CohesionFactor*EXP(tun_CapsByProject*SUMPRODUCT((Cap_Point&lt;=I996)*(Cap_Kind="Group")*Cap_Ln))</x:f>
        <x:v>1000000.000000001</x:v>
      </x:c>
      <x:c r="N996" s="32" t="n">
        <x:f>MIN(J996,L996,M996)</x:f>
        <x:v>18627.260449441455</x:v>
      </x:c>
      <x:c r="O996" s="10" t="n">
        <x:f>AE995*N996</x:f>
        <x:v>167645.34404497308</x:v>
      </x:c>
      <x:c r="P996" s="9" t="n">
        <x:f>MIN(1,(AB995/(AE995*IF(tun_GroupInCrowding=1,N996,MIN(J996,L996))))^tun_CrowdingExp)</x:f>
        <x:v>0.4215841981292809</x:v>
      </x:c>
      <x:c r="Q996" s="9" t="n">
        <x:f>IF(D996=1,INDEX(tun_WinterMult,G996),1)</x:f>
        <x:v>1</x:v>
      </x:c>
      <x:c r="R996" s="9" t="n">
        <x:f>H996*Z995*tun_WomenShare*tun_BaseFertility*INDEX(tun_FertMult,G996)*Arch_Fertility*(1-P996)</x:f>
        <x:v>0</x:v>
      </x:c>
      <x:c r="S996" s="9" t="n">
        <x:f>H996*Y995*INDEX(tun_MortChild,G996)/4*Q996</x:f>
        <x:v>0</x:v>
      </x:c>
      <x:c r="T996" s="9" t="n">
        <x:f>H996*Z995*INDEX(tun_MortAdult,G996)*Arch_AdultMort/4*Q996</x:f>
        <x:v>0</x:v>
      </x:c>
      <x:c r="U996" s="9" t="n">
        <x:f>H996*AA995*INDEX(tun_MortElder,G996)/4*Q996</x:f>
        <x:v>0</x:v>
      </x:c>
      <x:c r="V996" s="9" t="n">
        <x:f>H996*MAX(0,AB995-O996)*tun_OvercapLoss</x:f>
        <x:v>0</x:v>
      </x:c>
      <x:c r="W996" s="9" t="n">
        <x:f>H996*Y995/(tun_ChildYears*4)</x:f>
        <x:v>0</x:v>
      </x:c>
      <x:c r="X996" s="9" t="n">
        <x:f>H996*Z995/(tun_AdultYears*4)</x:f>
        <x:v>0</x:v>
      </x:c>
      <x:c r="Y996" s="32" t="n">
        <x:f>Y995+R996-S996-W996-Y995*V996/AB995</x:f>
        <x:v>40496.20709015643</x:v>
      </x:c>
      <x:c r="Z996" s="32" t="n">
        <x:f>Z995+W996-X996-T996-Z995*V996/AB995</x:f>
        <x:v>59141.61122890803</x:v>
      </x:c>
      <x:c r="AA996" s="32" t="n">
        <x:f>AA995+X996-U996-AA995*V996/AB995</x:f>
        <x:v>45530.62410925061</x:v>
      </x:c>
      <x:c r="AB996" s="10" t="n">
        <x:f>Y996+Z996+AA996</x:f>
        <x:v>145168.44242831506</x:v>
      </x:c>
      <x:c r="AC996" s="8" t="n">
        <x:f>IF(AND(tun_WinterTrigger=1,D996=1,AB995/AE995&gt;=K996),1,0)</x:f>
        <x:v>0</x:v>
      </x:c>
      <x:c r="AD996" s="8" t="n">
        <x:f>H996*IF(AND(OR(AB995/AE995&gt;=tun_FissionTrigger*N996,AC996=1),AB995/AE995*tun_DaughterShare&gt;=tun_MinDaughter),MAX(1,ROUND(AE995*tun_FissionRate,0)),0)</x:f>
        <x:v>0</x:v>
      </x:c>
      <x:c r="AE996" s="8" t="n">
        <x:f>IF(H996=1,MAX(1,MIN(INDEX(tun_Smax,G996),AE995+AD996)),AE995)</x:f>
        <x:v>9</x:v>
      </x:c>
      <x:c r="AF996" s="8" t="n">
        <x:f>MAX(0,AE996-AE995)</x:f>
        <x:v>0</x:v>
      </x:c>
      <x:c r="AG996" s="9" t="str">
        <x:f>IF(AF996&gt;0,B996,"")</x:f>
      </x:c>
      <x:c r="AH996" s="9" t="n">
        <x:f>IF(F996&gt;=1,1,(1+tun_LowTiesShare*(AE996-1))/AE996)</x:f>
        <x:v>1</x:v>
      </x:c>
      <x:c r="AI996" s="32" t="n">
        <x:f>(Z996+tun_ElderCommons*INDEX(LM_Elder,G996)*AA996)*AH996</x:f>
        <x:v>238215.0665857503</x:v>
      </x:c>
      <x:c r="AJ996" s="32" t="n">
        <x:f>H996*tun_CommonsCoef*AI996^tun_CommonsExp*INDEX(LM_Commons,G996)</x:f>
        <x:v>0</x:v>
      </x:c>
      <x:c r="AK996" s="32" t="n">
        <x:f>H996*tun_RoleScale*Arch_Roles*(AE996*(INDEX(tun_ElderRolePerSett,G996)*tun_OutElder*INDEX(LM_Elder,G996)+INDEX(tun_ShamanPerSett,G996)*tun_OutShaman)+Z996*(INDEX(tun_PriestShare,G996)*tun_OutPriest+INDEX(tun_ScribeShare,G996)*tun_OutScribe*INDEX(LM_Scribe,G996)+INDEX(tun_ScholarShare,G996)*tun_OutScholar*INDEX(LM_Scholar,G996)+INDEX(tun_ResearcherShare,G996)*tun_OutResearcher*INDEX(LM_Researcher,G996)))</x:f>
        <x:v>0</x:v>
      </x:c>
      <x:c r="AL996" s="32" t="n">
        <x:f>H996*tun_RoleScale*Arch_Roles*AE996*INDEX(tun_MonasteryPerSett,G996)*tun_OutMonastery*INDEX(LM_Monastery,G996)</x:f>
        <x:v>0</x:v>
      </x:c>
      <x:c r="AM996" s="32" t="n">
        <x:f>(AJ996+AK996+AL996)/4*INDEX(LM_All,G996)*INDEX(tun_Boon,G996)*Arch_Insight</x:f>
        <x:v>0</x:v>
      </x:c>
      <x:c r="AN996" s="32" t="n">
        <x:f>H996*(tun_KHPerAdult*Z996+tun_KHOfCommons*AJ996/4*INDEX(LM_All,G996))*tun_KHUsable*Arch_KH</x:f>
        <x:v>0</x:v>
      </x:c>
      <x:c r="AO996" s="32" t="n">
        <x:f>MIN(AP995+AN996,AM996*tun_KHMaxRatio)</x:f>
        <x:v>0</x:v>
      </x:c>
      <x:c r="AP996" s="32" t="n">
        <x:f>AP995+AN996-AO996</x:f>
        <x:v>0</x:v>
      </x:c>
      <x:c r="AQ996" s="32" t="n">
        <x:f>AM996+AO996</x:f>
        <x:v>0</x:v>
      </x:c>
      <x:c r="AR996" s="10" t="n">
        <x:f>IF(H996=1,INDEX(tun_Req,G996),0)</x:f>
        <x:v>0</x:v>
      </x:c>
      <x:c r="AS996" s="32" t="n">
        <x:f>IF(H996=1,IF(E996=1,AS995-AR995,AS995)+AQ996,0)</x:f>
        <x:v>0</x:v>
      </x:c>
      <x:c r="AT996" s="11" t="n">
        <x:f>IF(AR996&gt;0,MIN(1,AS996/AR996),1)</x:f>
        <x:v>1</x:v>
      </x:c>
      <x:c r="AU996" s="10" t="n">
        <x:f>AB996/INDEX(tun_RepScale,G996)</x:f>
        <x:v>290.3368848566301</x:v>
      </x:c>
      <x:c r="AV996" s="32" t="n">
        <x:f>AM996*60/tun_SeasonSeconds</x:f>
        <x:v>0</x:v>
      </x:c>
    </x:row>
    <x:row r="997">
      <x:c r="A997" s="8" t="n">
        <x:f>A996+1</x:f>
        <x:v>994</x:v>
      </x:c>
      <x:c r="B997" s="9" t="n">
        <x:f>A997*tun_SeasonSeconds/60</x:f>
        <x:v>248.5</x:v>
      </x:c>
      <x:c r="C997" s="9" t="n">
        <x:f>A997/4</x:f>
        <x:v>248.5</x:v>
      </x:c>
      <x:c r="D997" s="8" t="n">
        <x:f>IF(MOD(A997,4)=0,1,0)</x:f>
        <x:v>0</x:v>
      </x:c>
      <x:c r="E997" s="8" t="n">
        <x:f>IF(AND(F996&lt;=9,AS996&gt;=AR996),1,0)</x:f>
        <x:v>0</x:v>
      </x:c>
      <x:c r="F997" s="8" t="n">
        <x:f>MIN(10,F996+E997)</x:f>
        <x:v>10</x:v>
      </x:c>
      <x:c r="G997" s="8" t="n">
        <x:f>MIN(F997,9)+1</x:f>
        <x:v>10</x:v>
      </x:c>
      <x:c r="H997" s="8" t="n">
        <x:f>IF(F997&lt;=9,1,0)</x:f>
        <x:v>0</x:v>
      </x:c>
      <x:c r="I997" s="9" t="n">
        <x:f>MIN(10,F996+IF(AR996&gt;0,MIN(1,AS996/AR996),1))</x:f>
        <x:v>10</x:v>
      </x:c>
      <x:c r="J997" s="32" t="n">
        <x:f>INDEX(tun_FoodCap,G997)*Arch_FoodCap*EXP(tun_CapsByProject*SUMPRODUCT((Cap_Point&lt;=I997)*(Cap_Kind="Food")*Cap_Ln))</x:f>
        <x:v>18627.260449441455</x:v>
      </x:c>
      <x:c r="K997" s="32" t="n">
        <x:f>J997*MIN(1,tun_LeanBase*EXP(tun_CapsByProject*SUMPRODUCT((Cap_Point&lt;=I997)*(Cap_Kind="Lean")*Cap_Ln)))</x:f>
        <x:v>18627.260449441455</x:v>
      </x:c>
      <x:c r="L997" s="10" t="n">
        <x:f>INDEX(tun_HousingCap,G997)*EXP(tun_CapsByProject*SUMPRODUCT((Cap_Point&lt;=I997)*(Cap_Kind="Housing")*Cap_Ln))</x:f>
        <x:v>20528.974303173167</x:v>
      </x:c>
      <x:c r="M997" s="10" t="n">
        <x:f>INDEX(tun_GroupCap,G997)*tun_CohesionFactor*EXP(tun_CapsByProject*SUMPRODUCT((Cap_Point&lt;=I997)*(Cap_Kind="Group")*Cap_Ln))</x:f>
        <x:v>1000000.000000001</x:v>
      </x:c>
      <x:c r="N997" s="32" t="n">
        <x:f>MIN(J997,L997,M997)</x:f>
        <x:v>18627.260449441455</x:v>
      </x:c>
      <x:c r="O997" s="10" t="n">
        <x:f>AE996*N997</x:f>
        <x:v>167645.34404497308</x:v>
      </x:c>
      <x:c r="P997" s="9" t="n">
        <x:f>MIN(1,(AB996/(AE996*IF(tun_GroupInCrowding=1,N997,MIN(J997,L997))))^tun_CrowdingExp)</x:f>
        <x:v>0.4215841981292809</x:v>
      </x:c>
      <x:c r="Q997" s="9" t="n">
        <x:f>IF(D997=1,INDEX(tun_WinterMult,G997),1)</x:f>
        <x:v>1</x:v>
      </x:c>
      <x:c r="R997" s="9" t="n">
        <x:f>H997*Z996*tun_WomenShare*tun_BaseFertility*INDEX(tun_FertMult,G997)*Arch_Fertility*(1-P997)</x:f>
        <x:v>0</x:v>
      </x:c>
      <x:c r="S997" s="9" t="n">
        <x:f>H997*Y996*INDEX(tun_MortChild,G997)/4*Q997</x:f>
        <x:v>0</x:v>
      </x:c>
      <x:c r="T997" s="9" t="n">
        <x:f>H997*Z996*INDEX(tun_MortAdult,G997)*Arch_AdultMort/4*Q997</x:f>
        <x:v>0</x:v>
      </x:c>
      <x:c r="U997" s="9" t="n">
        <x:f>H997*AA996*INDEX(tun_MortElder,G997)/4*Q997</x:f>
        <x:v>0</x:v>
      </x:c>
      <x:c r="V997" s="9" t="n">
        <x:f>H997*MAX(0,AB996-O997)*tun_OvercapLoss</x:f>
        <x:v>0</x:v>
      </x:c>
      <x:c r="W997" s="9" t="n">
        <x:f>H997*Y996/(tun_ChildYears*4)</x:f>
        <x:v>0</x:v>
      </x:c>
      <x:c r="X997" s="9" t="n">
        <x:f>H997*Z996/(tun_AdultYears*4)</x:f>
        <x:v>0</x:v>
      </x:c>
      <x:c r="Y997" s="32" t="n">
        <x:f>Y996+R997-S997-W997-Y996*V997/AB996</x:f>
        <x:v>40496.20709015643</x:v>
      </x:c>
      <x:c r="Z997" s="32" t="n">
        <x:f>Z996+W997-X997-T997-Z996*V997/AB996</x:f>
        <x:v>59141.61122890803</x:v>
      </x:c>
      <x:c r="AA997" s="32" t="n">
        <x:f>AA996+X997-U997-AA996*V997/AB996</x:f>
        <x:v>45530.62410925061</x:v>
      </x:c>
      <x:c r="AB997" s="10" t="n">
        <x:f>Y997+Z997+AA997</x:f>
        <x:v>145168.44242831506</x:v>
      </x:c>
      <x:c r="AC997" s="8" t="n">
        <x:f>IF(AND(tun_WinterTrigger=1,D997=1,AB996/AE996&gt;=K997),1,0)</x:f>
        <x:v>0</x:v>
      </x:c>
      <x:c r="AD997" s="8" t="n">
        <x:f>H997*IF(AND(OR(AB996/AE996&gt;=tun_FissionTrigger*N997,AC997=1),AB996/AE996*tun_DaughterShare&gt;=tun_MinDaughter),MAX(1,ROUND(AE996*tun_FissionRate,0)),0)</x:f>
        <x:v>0</x:v>
      </x:c>
      <x:c r="AE997" s="8" t="n">
        <x:f>IF(H997=1,MAX(1,MIN(INDEX(tun_Smax,G997),AE996+AD997)),AE996)</x:f>
        <x:v>9</x:v>
      </x:c>
      <x:c r="AF997" s="8" t="n">
        <x:f>MAX(0,AE997-AE996)</x:f>
        <x:v>0</x:v>
      </x:c>
      <x:c r="AG997" s="9" t="str">
        <x:f>IF(AF997&gt;0,B997,"")</x:f>
      </x:c>
      <x:c r="AH997" s="9" t="n">
        <x:f>IF(F997&gt;=1,1,(1+tun_LowTiesShare*(AE997-1))/AE997)</x:f>
        <x:v>1</x:v>
      </x:c>
      <x:c r="AI997" s="32" t="n">
        <x:f>(Z997+tun_ElderCommons*INDEX(LM_Elder,G997)*AA997)*AH997</x:f>
        <x:v>238215.0665857503</x:v>
      </x:c>
      <x:c r="AJ997" s="32" t="n">
        <x:f>H997*tun_CommonsCoef*AI997^tun_CommonsExp*INDEX(LM_Commons,G997)</x:f>
        <x:v>0</x:v>
      </x:c>
      <x:c r="AK997" s="32" t="n">
        <x:f>H997*tun_RoleScale*Arch_Roles*(AE997*(INDEX(tun_ElderRolePerSett,G997)*tun_OutElder*INDEX(LM_Elder,G997)+INDEX(tun_ShamanPerSett,G997)*tun_OutShaman)+Z997*(INDEX(tun_PriestShare,G997)*tun_OutPriest+INDEX(tun_ScribeShare,G997)*tun_OutScribe*INDEX(LM_Scribe,G997)+INDEX(tun_ScholarShare,G997)*tun_OutScholar*INDEX(LM_Scholar,G997)+INDEX(tun_ResearcherShare,G997)*tun_OutResearcher*INDEX(LM_Researcher,G997)))</x:f>
        <x:v>0</x:v>
      </x:c>
      <x:c r="AL997" s="32" t="n">
        <x:f>H997*tun_RoleScale*Arch_Roles*AE997*INDEX(tun_MonasteryPerSett,G997)*tun_OutMonastery*INDEX(LM_Monastery,G997)</x:f>
        <x:v>0</x:v>
      </x:c>
      <x:c r="AM997" s="32" t="n">
        <x:f>(AJ997+AK997+AL997)/4*INDEX(LM_All,G997)*INDEX(tun_Boon,G997)*Arch_Insight</x:f>
        <x:v>0</x:v>
      </x:c>
      <x:c r="AN997" s="32" t="n">
        <x:f>H997*(tun_KHPerAdult*Z997+tun_KHOfCommons*AJ997/4*INDEX(LM_All,G997))*tun_KHUsable*Arch_KH</x:f>
        <x:v>0</x:v>
      </x:c>
      <x:c r="AO997" s="32" t="n">
        <x:f>MIN(AP996+AN997,AM997*tun_KHMaxRatio)</x:f>
        <x:v>0</x:v>
      </x:c>
      <x:c r="AP997" s="32" t="n">
        <x:f>AP996+AN997-AO997</x:f>
        <x:v>0</x:v>
      </x:c>
      <x:c r="AQ997" s="32" t="n">
        <x:f>AM997+AO997</x:f>
        <x:v>0</x:v>
      </x:c>
      <x:c r="AR997" s="10" t="n">
        <x:f>IF(H997=1,INDEX(tun_Req,G997),0)</x:f>
        <x:v>0</x:v>
      </x:c>
      <x:c r="AS997" s="32" t="n">
        <x:f>IF(H997=1,IF(E997=1,AS996-AR996,AS996)+AQ997,0)</x:f>
        <x:v>0</x:v>
      </x:c>
      <x:c r="AT997" s="11" t="n">
        <x:f>IF(AR997&gt;0,MIN(1,AS997/AR997),1)</x:f>
        <x:v>1</x:v>
      </x:c>
      <x:c r="AU997" s="10" t="n">
        <x:f>AB997/INDEX(tun_RepScale,G997)</x:f>
        <x:v>290.3368848566301</x:v>
      </x:c>
      <x:c r="AV997" s="32" t="n">
        <x:f>AM997*60/tun_SeasonSeconds</x:f>
        <x:v>0</x:v>
      </x:c>
    </x:row>
    <x:row r="998">
      <x:c r="A998" s="8" t="n">
        <x:f>A997+1</x:f>
        <x:v>995</x:v>
      </x:c>
      <x:c r="B998" s="9" t="n">
        <x:f>A998*tun_SeasonSeconds/60</x:f>
        <x:v>248.75</x:v>
      </x:c>
      <x:c r="C998" s="9" t="n">
        <x:f>A998/4</x:f>
        <x:v>248.75</x:v>
      </x:c>
      <x:c r="D998" s="8" t="n">
        <x:f>IF(MOD(A998,4)=0,1,0)</x:f>
        <x:v>0</x:v>
      </x:c>
      <x:c r="E998" s="8" t="n">
        <x:f>IF(AND(F997&lt;=9,AS997&gt;=AR997),1,0)</x:f>
        <x:v>0</x:v>
      </x:c>
      <x:c r="F998" s="8" t="n">
        <x:f>MIN(10,F997+E998)</x:f>
        <x:v>10</x:v>
      </x:c>
      <x:c r="G998" s="8" t="n">
        <x:f>MIN(F998,9)+1</x:f>
        <x:v>10</x:v>
      </x:c>
      <x:c r="H998" s="8" t="n">
        <x:f>IF(F998&lt;=9,1,0)</x:f>
        <x:v>0</x:v>
      </x:c>
      <x:c r="I998" s="9" t="n">
        <x:f>MIN(10,F997+IF(AR997&gt;0,MIN(1,AS997/AR997),1))</x:f>
        <x:v>10</x:v>
      </x:c>
      <x:c r="J998" s="32" t="n">
        <x:f>INDEX(tun_FoodCap,G998)*Arch_FoodCap*EXP(tun_CapsByProject*SUMPRODUCT((Cap_Point&lt;=I998)*(Cap_Kind="Food")*Cap_Ln))</x:f>
        <x:v>18627.260449441455</x:v>
      </x:c>
      <x:c r="K998" s="32" t="n">
        <x:f>J998*MIN(1,tun_LeanBase*EXP(tun_CapsByProject*SUMPRODUCT((Cap_Point&lt;=I998)*(Cap_Kind="Lean")*Cap_Ln)))</x:f>
        <x:v>18627.260449441455</x:v>
      </x:c>
      <x:c r="L998" s="10" t="n">
        <x:f>INDEX(tun_HousingCap,G998)*EXP(tun_CapsByProject*SUMPRODUCT((Cap_Point&lt;=I998)*(Cap_Kind="Housing")*Cap_Ln))</x:f>
        <x:v>20528.974303173167</x:v>
      </x:c>
      <x:c r="M998" s="10" t="n">
        <x:f>INDEX(tun_GroupCap,G998)*tun_CohesionFactor*EXP(tun_CapsByProject*SUMPRODUCT((Cap_Point&lt;=I998)*(Cap_Kind="Group")*Cap_Ln))</x:f>
        <x:v>1000000.000000001</x:v>
      </x:c>
      <x:c r="N998" s="32" t="n">
        <x:f>MIN(J998,L998,M998)</x:f>
        <x:v>18627.260449441455</x:v>
      </x:c>
      <x:c r="O998" s="10" t="n">
        <x:f>AE997*N998</x:f>
        <x:v>167645.34404497308</x:v>
      </x:c>
      <x:c r="P998" s="9" t="n">
        <x:f>MIN(1,(AB997/(AE997*IF(tun_GroupInCrowding=1,N998,MIN(J998,L998))))^tun_CrowdingExp)</x:f>
        <x:v>0.4215841981292809</x:v>
      </x:c>
      <x:c r="Q998" s="9" t="n">
        <x:f>IF(D998=1,INDEX(tun_WinterMult,G998),1)</x:f>
        <x:v>1</x:v>
      </x:c>
      <x:c r="R998" s="9" t="n">
        <x:f>H998*Z997*tun_WomenShare*tun_BaseFertility*INDEX(tun_FertMult,G998)*Arch_Fertility*(1-P998)</x:f>
        <x:v>0</x:v>
      </x:c>
      <x:c r="S998" s="9" t="n">
        <x:f>H998*Y997*INDEX(tun_MortChild,G998)/4*Q998</x:f>
        <x:v>0</x:v>
      </x:c>
      <x:c r="T998" s="9" t="n">
        <x:f>H998*Z997*INDEX(tun_MortAdult,G998)*Arch_AdultMort/4*Q998</x:f>
        <x:v>0</x:v>
      </x:c>
      <x:c r="U998" s="9" t="n">
        <x:f>H998*AA997*INDEX(tun_MortElder,G998)/4*Q998</x:f>
        <x:v>0</x:v>
      </x:c>
      <x:c r="V998" s="9" t="n">
        <x:f>H998*MAX(0,AB997-O998)*tun_OvercapLoss</x:f>
        <x:v>0</x:v>
      </x:c>
      <x:c r="W998" s="9" t="n">
        <x:f>H998*Y997/(tun_ChildYears*4)</x:f>
        <x:v>0</x:v>
      </x:c>
      <x:c r="X998" s="9" t="n">
        <x:f>H998*Z997/(tun_AdultYears*4)</x:f>
        <x:v>0</x:v>
      </x:c>
      <x:c r="Y998" s="32" t="n">
        <x:f>Y997+R998-S998-W998-Y997*V998/AB997</x:f>
        <x:v>40496.20709015643</x:v>
      </x:c>
      <x:c r="Z998" s="32" t="n">
        <x:f>Z997+W998-X998-T998-Z997*V998/AB997</x:f>
        <x:v>59141.61122890803</x:v>
      </x:c>
      <x:c r="AA998" s="32" t="n">
        <x:f>AA997+X998-U998-AA997*V998/AB997</x:f>
        <x:v>45530.62410925061</x:v>
      </x:c>
      <x:c r="AB998" s="10" t="n">
        <x:f>Y998+Z998+AA998</x:f>
        <x:v>145168.44242831506</x:v>
      </x:c>
      <x:c r="AC998" s="8" t="n">
        <x:f>IF(AND(tun_WinterTrigger=1,D998=1,AB997/AE997&gt;=K998),1,0)</x:f>
        <x:v>0</x:v>
      </x:c>
      <x:c r="AD998" s="8" t="n">
        <x:f>H998*IF(AND(OR(AB997/AE997&gt;=tun_FissionTrigger*N998,AC998=1),AB997/AE997*tun_DaughterShare&gt;=tun_MinDaughter),MAX(1,ROUND(AE997*tun_FissionRate,0)),0)</x:f>
        <x:v>0</x:v>
      </x:c>
      <x:c r="AE998" s="8" t="n">
        <x:f>IF(H998=1,MAX(1,MIN(INDEX(tun_Smax,G998),AE997+AD998)),AE997)</x:f>
        <x:v>9</x:v>
      </x:c>
      <x:c r="AF998" s="8" t="n">
        <x:f>MAX(0,AE998-AE997)</x:f>
        <x:v>0</x:v>
      </x:c>
      <x:c r="AG998" s="9" t="str">
        <x:f>IF(AF998&gt;0,B998,"")</x:f>
      </x:c>
      <x:c r="AH998" s="9" t="n">
        <x:f>IF(F998&gt;=1,1,(1+tun_LowTiesShare*(AE998-1))/AE998)</x:f>
        <x:v>1</x:v>
      </x:c>
      <x:c r="AI998" s="32" t="n">
        <x:f>(Z998+tun_ElderCommons*INDEX(LM_Elder,G998)*AA998)*AH998</x:f>
        <x:v>238215.0665857503</x:v>
      </x:c>
      <x:c r="AJ998" s="32" t="n">
        <x:f>H998*tun_CommonsCoef*AI998^tun_CommonsExp*INDEX(LM_Commons,G998)</x:f>
        <x:v>0</x:v>
      </x:c>
      <x:c r="AK998" s="32" t="n">
        <x:f>H998*tun_RoleScale*Arch_Roles*(AE998*(INDEX(tun_ElderRolePerSett,G998)*tun_OutElder*INDEX(LM_Elder,G998)+INDEX(tun_ShamanPerSett,G998)*tun_OutShaman)+Z998*(INDEX(tun_PriestShare,G998)*tun_OutPriest+INDEX(tun_ScribeShare,G998)*tun_OutScribe*INDEX(LM_Scribe,G998)+INDEX(tun_ScholarShare,G998)*tun_OutScholar*INDEX(LM_Scholar,G998)+INDEX(tun_ResearcherShare,G998)*tun_OutResearcher*INDEX(LM_Researcher,G998)))</x:f>
        <x:v>0</x:v>
      </x:c>
      <x:c r="AL998" s="32" t="n">
        <x:f>H998*tun_RoleScale*Arch_Roles*AE998*INDEX(tun_MonasteryPerSett,G998)*tun_OutMonastery*INDEX(LM_Monastery,G998)</x:f>
        <x:v>0</x:v>
      </x:c>
      <x:c r="AM998" s="32" t="n">
        <x:f>(AJ998+AK998+AL998)/4*INDEX(LM_All,G998)*INDEX(tun_Boon,G998)*Arch_Insight</x:f>
        <x:v>0</x:v>
      </x:c>
      <x:c r="AN998" s="32" t="n">
        <x:f>H998*(tun_KHPerAdult*Z998+tun_KHOfCommons*AJ998/4*INDEX(LM_All,G998))*tun_KHUsable*Arch_KH</x:f>
        <x:v>0</x:v>
      </x:c>
      <x:c r="AO998" s="32" t="n">
        <x:f>MIN(AP997+AN998,AM998*tun_KHMaxRatio)</x:f>
        <x:v>0</x:v>
      </x:c>
      <x:c r="AP998" s="32" t="n">
        <x:f>AP997+AN998-AO998</x:f>
        <x:v>0</x:v>
      </x:c>
      <x:c r="AQ998" s="32" t="n">
        <x:f>AM998+AO998</x:f>
        <x:v>0</x:v>
      </x:c>
      <x:c r="AR998" s="10" t="n">
        <x:f>IF(H998=1,INDEX(tun_Req,G998),0)</x:f>
        <x:v>0</x:v>
      </x:c>
      <x:c r="AS998" s="32" t="n">
        <x:f>IF(H998=1,IF(E998=1,AS997-AR997,AS997)+AQ998,0)</x:f>
        <x:v>0</x:v>
      </x:c>
      <x:c r="AT998" s="11" t="n">
        <x:f>IF(AR998&gt;0,MIN(1,AS998/AR998),1)</x:f>
        <x:v>1</x:v>
      </x:c>
      <x:c r="AU998" s="10" t="n">
        <x:f>AB998/INDEX(tun_RepScale,G998)</x:f>
        <x:v>290.3368848566301</x:v>
      </x:c>
      <x:c r="AV998" s="32" t="n">
        <x:f>AM998*60/tun_SeasonSeconds</x:f>
        <x:v>0</x:v>
      </x:c>
    </x:row>
    <x:row r="999">
      <x:c r="A999" s="8" t="n">
        <x:f>A998+1</x:f>
        <x:v>996</x:v>
      </x:c>
      <x:c r="B999" s="9" t="n">
        <x:f>A999*tun_SeasonSeconds/60</x:f>
        <x:v>249</x:v>
      </x:c>
      <x:c r="C999" s="9" t="n">
        <x:f>A999/4</x:f>
        <x:v>249</x:v>
      </x:c>
      <x:c r="D999" s="8" t="n">
        <x:f>IF(MOD(A999,4)=0,1,0)</x:f>
        <x:v>1</x:v>
      </x:c>
      <x:c r="E999" s="8" t="n">
        <x:f>IF(AND(F998&lt;=9,AS998&gt;=AR998),1,0)</x:f>
        <x:v>0</x:v>
      </x:c>
      <x:c r="F999" s="8" t="n">
        <x:f>MIN(10,F998+E999)</x:f>
        <x:v>10</x:v>
      </x:c>
      <x:c r="G999" s="8" t="n">
        <x:f>MIN(F999,9)+1</x:f>
        <x:v>10</x:v>
      </x:c>
      <x:c r="H999" s="8" t="n">
        <x:f>IF(F999&lt;=9,1,0)</x:f>
        <x:v>0</x:v>
      </x:c>
      <x:c r="I999" s="9" t="n">
        <x:f>MIN(10,F998+IF(AR998&gt;0,MIN(1,AS998/AR998),1))</x:f>
        <x:v>10</x:v>
      </x:c>
      <x:c r="J999" s="32" t="n">
        <x:f>INDEX(tun_FoodCap,G999)*Arch_FoodCap*EXP(tun_CapsByProject*SUMPRODUCT((Cap_Point&lt;=I999)*(Cap_Kind="Food")*Cap_Ln))</x:f>
        <x:v>18627.260449441455</x:v>
      </x:c>
      <x:c r="K999" s="32" t="n">
        <x:f>J999*MIN(1,tun_LeanBase*EXP(tun_CapsByProject*SUMPRODUCT((Cap_Point&lt;=I999)*(Cap_Kind="Lean")*Cap_Ln)))</x:f>
        <x:v>18627.260449441455</x:v>
      </x:c>
      <x:c r="L999" s="10" t="n">
        <x:f>INDEX(tun_HousingCap,G999)*EXP(tun_CapsByProject*SUMPRODUCT((Cap_Point&lt;=I999)*(Cap_Kind="Housing")*Cap_Ln))</x:f>
        <x:v>20528.974303173167</x:v>
      </x:c>
      <x:c r="M999" s="10" t="n">
        <x:f>INDEX(tun_GroupCap,G999)*tun_CohesionFactor*EXP(tun_CapsByProject*SUMPRODUCT((Cap_Point&lt;=I999)*(Cap_Kind="Group")*Cap_Ln))</x:f>
        <x:v>1000000.000000001</x:v>
      </x:c>
      <x:c r="N999" s="32" t="n">
        <x:f>MIN(J999,L999,M999)</x:f>
        <x:v>18627.260449441455</x:v>
      </x:c>
      <x:c r="O999" s="10" t="n">
        <x:f>AE998*N999</x:f>
        <x:v>167645.34404497308</x:v>
      </x:c>
      <x:c r="P999" s="9" t="n">
        <x:f>MIN(1,(AB998/(AE998*IF(tun_GroupInCrowding=1,N999,MIN(J999,L999))))^tun_CrowdingExp)</x:f>
        <x:v>0.4215841981292809</x:v>
      </x:c>
      <x:c r="Q999" s="9" t="n">
        <x:f>IF(D999=1,INDEX(tun_WinterMult,G999),1)</x:f>
        <x:v>1.05</x:v>
      </x:c>
      <x:c r="R999" s="9" t="n">
        <x:f>H999*Z998*tun_WomenShare*tun_BaseFertility*INDEX(tun_FertMult,G999)*Arch_Fertility*(1-P999)</x:f>
        <x:v>0</x:v>
      </x:c>
      <x:c r="S999" s="9" t="n">
        <x:f>H999*Y998*INDEX(tun_MortChild,G999)/4*Q999</x:f>
        <x:v>0</x:v>
      </x:c>
      <x:c r="T999" s="9" t="n">
        <x:f>H999*Z998*INDEX(tun_MortAdult,G999)*Arch_AdultMort/4*Q999</x:f>
        <x:v>0</x:v>
      </x:c>
      <x:c r="U999" s="9" t="n">
        <x:f>H999*AA998*INDEX(tun_MortElder,G999)/4*Q999</x:f>
        <x:v>0</x:v>
      </x:c>
      <x:c r="V999" s="9" t="n">
        <x:f>H999*MAX(0,AB998-O999)*tun_OvercapLoss</x:f>
        <x:v>0</x:v>
      </x:c>
      <x:c r="W999" s="9" t="n">
        <x:f>H999*Y998/(tun_ChildYears*4)</x:f>
        <x:v>0</x:v>
      </x:c>
      <x:c r="X999" s="9" t="n">
        <x:f>H999*Z998/(tun_AdultYears*4)</x:f>
        <x:v>0</x:v>
      </x:c>
      <x:c r="Y999" s="32" t="n">
        <x:f>Y998+R999-S999-W999-Y998*V999/AB998</x:f>
        <x:v>40496.20709015643</x:v>
      </x:c>
      <x:c r="Z999" s="32" t="n">
        <x:f>Z998+W999-X999-T999-Z998*V999/AB998</x:f>
        <x:v>59141.61122890803</x:v>
      </x:c>
      <x:c r="AA999" s="32" t="n">
        <x:f>AA998+X999-U999-AA998*V999/AB998</x:f>
        <x:v>45530.62410925061</x:v>
      </x:c>
      <x:c r="AB999" s="10" t="n">
        <x:f>Y999+Z999+AA999</x:f>
        <x:v>145168.44242831506</x:v>
      </x:c>
      <x:c r="AC999" s="8" t="n">
        <x:f>IF(AND(tun_WinterTrigger=1,D999=1,AB998/AE998&gt;=K999),1,0)</x:f>
        <x:v>0</x:v>
      </x:c>
      <x:c r="AD999" s="8" t="n">
        <x:f>H999*IF(AND(OR(AB998/AE998&gt;=tun_FissionTrigger*N999,AC999=1),AB998/AE998*tun_DaughterShare&gt;=tun_MinDaughter),MAX(1,ROUND(AE998*tun_FissionRate,0)),0)</x:f>
        <x:v>0</x:v>
      </x:c>
      <x:c r="AE999" s="8" t="n">
        <x:f>IF(H999=1,MAX(1,MIN(INDEX(tun_Smax,G999),AE998+AD999)),AE998)</x:f>
        <x:v>9</x:v>
      </x:c>
      <x:c r="AF999" s="8" t="n">
        <x:f>MAX(0,AE999-AE998)</x:f>
        <x:v>0</x:v>
      </x:c>
      <x:c r="AG999" s="9" t="str">
        <x:f>IF(AF999&gt;0,B999,"")</x:f>
      </x:c>
      <x:c r="AH999" s="9" t="n">
        <x:f>IF(F999&gt;=1,1,(1+tun_LowTiesShare*(AE999-1))/AE999)</x:f>
        <x:v>1</x:v>
      </x:c>
      <x:c r="AI999" s="32" t="n">
        <x:f>(Z999+tun_ElderCommons*INDEX(LM_Elder,G999)*AA999)*AH999</x:f>
        <x:v>238215.0665857503</x:v>
      </x:c>
      <x:c r="AJ999" s="32" t="n">
        <x:f>H999*tun_CommonsCoef*AI999^tun_CommonsExp*INDEX(LM_Commons,G999)</x:f>
        <x:v>0</x:v>
      </x:c>
      <x:c r="AK999" s="32" t="n">
        <x:f>H999*tun_RoleScale*Arch_Roles*(AE999*(INDEX(tun_ElderRolePerSett,G999)*tun_OutElder*INDEX(LM_Elder,G999)+INDEX(tun_ShamanPerSett,G999)*tun_OutShaman)+Z999*(INDEX(tun_PriestShare,G999)*tun_OutPriest+INDEX(tun_ScribeShare,G999)*tun_OutScribe*INDEX(LM_Scribe,G999)+INDEX(tun_ScholarShare,G999)*tun_OutScholar*INDEX(LM_Scholar,G999)+INDEX(tun_ResearcherShare,G999)*tun_OutResearcher*INDEX(LM_Researcher,G999)))</x:f>
        <x:v>0</x:v>
      </x:c>
      <x:c r="AL999" s="32" t="n">
        <x:f>H999*tun_RoleScale*Arch_Roles*AE999*INDEX(tun_MonasteryPerSett,G999)*tun_OutMonastery*INDEX(LM_Monastery,G999)</x:f>
        <x:v>0</x:v>
      </x:c>
      <x:c r="AM999" s="32" t="n">
        <x:f>(AJ999+AK999+AL999)/4*INDEX(LM_All,G999)*INDEX(tun_Boon,G999)*Arch_Insight</x:f>
        <x:v>0</x:v>
      </x:c>
      <x:c r="AN999" s="32" t="n">
        <x:f>H999*(tun_KHPerAdult*Z999+tun_KHOfCommons*AJ999/4*INDEX(LM_All,G999))*tun_KHUsable*Arch_KH</x:f>
        <x:v>0</x:v>
      </x:c>
      <x:c r="AO999" s="32" t="n">
        <x:f>MIN(AP998+AN999,AM999*tun_KHMaxRatio)</x:f>
        <x:v>0</x:v>
      </x:c>
      <x:c r="AP999" s="32" t="n">
        <x:f>AP998+AN999-AO999</x:f>
        <x:v>0</x:v>
      </x:c>
      <x:c r="AQ999" s="32" t="n">
        <x:f>AM999+AO999</x:f>
        <x:v>0</x:v>
      </x:c>
      <x:c r="AR999" s="10" t="n">
        <x:f>IF(H999=1,INDEX(tun_Req,G999),0)</x:f>
        <x:v>0</x:v>
      </x:c>
      <x:c r="AS999" s="32" t="n">
        <x:f>IF(H999=1,IF(E999=1,AS998-AR998,AS998)+AQ999,0)</x:f>
        <x:v>0</x:v>
      </x:c>
      <x:c r="AT999" s="11" t="n">
        <x:f>IF(AR999&gt;0,MIN(1,AS999/AR999),1)</x:f>
        <x:v>1</x:v>
      </x:c>
      <x:c r="AU999" s="10" t="n">
        <x:f>AB999/INDEX(tun_RepScale,G999)</x:f>
        <x:v>290.3368848566301</x:v>
      </x:c>
      <x:c r="AV999" s="32" t="n">
        <x:f>AM999*60/tun_SeasonSeconds</x:f>
        <x:v>0</x:v>
      </x:c>
    </x:row>
    <x:row r="1000">
      <x:c r="A1000" s="8" t="n">
        <x:f>A999+1</x:f>
        <x:v>997</x:v>
      </x:c>
      <x:c r="B1000" s="9" t="n">
        <x:f>A1000*tun_SeasonSeconds/60</x:f>
        <x:v>249.25</x:v>
      </x:c>
      <x:c r="C1000" s="9" t="n">
        <x:f>A1000/4</x:f>
        <x:v>249.25</x:v>
      </x:c>
      <x:c r="D1000" s="8" t="n">
        <x:f>IF(MOD(A1000,4)=0,1,0)</x:f>
        <x:v>0</x:v>
      </x:c>
      <x:c r="E1000" s="8" t="n">
        <x:f>IF(AND(F999&lt;=9,AS999&gt;=AR999),1,0)</x:f>
        <x:v>0</x:v>
      </x:c>
      <x:c r="F1000" s="8" t="n">
        <x:f>MIN(10,F999+E1000)</x:f>
        <x:v>10</x:v>
      </x:c>
      <x:c r="G1000" s="8" t="n">
        <x:f>MIN(F1000,9)+1</x:f>
        <x:v>10</x:v>
      </x:c>
      <x:c r="H1000" s="8" t="n">
        <x:f>IF(F1000&lt;=9,1,0)</x:f>
        <x:v>0</x:v>
      </x:c>
      <x:c r="I1000" s="9" t="n">
        <x:f>MIN(10,F999+IF(AR999&gt;0,MIN(1,AS999/AR999),1))</x:f>
        <x:v>10</x:v>
      </x:c>
      <x:c r="J1000" s="32" t="n">
        <x:f>INDEX(tun_FoodCap,G1000)*Arch_FoodCap*EXP(tun_CapsByProject*SUMPRODUCT((Cap_Point&lt;=I1000)*(Cap_Kind="Food")*Cap_Ln))</x:f>
        <x:v>18627.260449441455</x:v>
      </x:c>
      <x:c r="K1000" s="32" t="n">
        <x:f>J1000*MIN(1,tun_LeanBase*EXP(tun_CapsByProject*SUMPRODUCT((Cap_Point&lt;=I1000)*(Cap_Kind="Lean")*Cap_Ln)))</x:f>
        <x:v>18627.260449441455</x:v>
      </x:c>
      <x:c r="L1000" s="10" t="n">
        <x:f>INDEX(tun_HousingCap,G1000)*EXP(tun_CapsByProject*SUMPRODUCT((Cap_Point&lt;=I1000)*(Cap_Kind="Housing")*Cap_Ln))</x:f>
        <x:v>20528.974303173167</x:v>
      </x:c>
      <x:c r="M1000" s="10" t="n">
        <x:f>INDEX(tun_GroupCap,G1000)*tun_CohesionFactor*EXP(tun_CapsByProject*SUMPRODUCT((Cap_Point&lt;=I1000)*(Cap_Kind="Group")*Cap_Ln))</x:f>
        <x:v>1000000.000000001</x:v>
      </x:c>
      <x:c r="N1000" s="32" t="n">
        <x:f>MIN(J1000,L1000,M1000)</x:f>
        <x:v>18627.260449441455</x:v>
      </x:c>
      <x:c r="O1000" s="10" t="n">
        <x:f>AE999*N1000</x:f>
        <x:v>167645.34404497308</x:v>
      </x:c>
      <x:c r="P1000" s="9" t="n">
        <x:f>MIN(1,(AB999/(AE999*IF(tun_GroupInCrowding=1,N1000,MIN(J1000,L1000))))^tun_CrowdingExp)</x:f>
        <x:v>0.4215841981292809</x:v>
      </x:c>
      <x:c r="Q1000" s="9" t="n">
        <x:f>IF(D1000=1,INDEX(tun_WinterMult,G1000),1)</x:f>
        <x:v>1</x:v>
      </x:c>
      <x:c r="R1000" s="9" t="n">
        <x:f>H1000*Z999*tun_WomenShare*tun_BaseFertility*INDEX(tun_FertMult,G1000)*Arch_Fertility*(1-P1000)</x:f>
        <x:v>0</x:v>
      </x:c>
      <x:c r="S1000" s="9" t="n">
        <x:f>H1000*Y999*INDEX(tun_MortChild,G1000)/4*Q1000</x:f>
        <x:v>0</x:v>
      </x:c>
      <x:c r="T1000" s="9" t="n">
        <x:f>H1000*Z999*INDEX(tun_MortAdult,G1000)*Arch_AdultMort/4*Q1000</x:f>
        <x:v>0</x:v>
      </x:c>
      <x:c r="U1000" s="9" t="n">
        <x:f>H1000*AA999*INDEX(tun_MortElder,G1000)/4*Q1000</x:f>
        <x:v>0</x:v>
      </x:c>
      <x:c r="V1000" s="9" t="n">
        <x:f>H1000*MAX(0,AB999-O1000)*tun_OvercapLoss</x:f>
        <x:v>0</x:v>
      </x:c>
      <x:c r="W1000" s="9" t="n">
        <x:f>H1000*Y999/(tun_ChildYears*4)</x:f>
        <x:v>0</x:v>
      </x:c>
      <x:c r="X1000" s="9" t="n">
        <x:f>H1000*Z999/(tun_AdultYears*4)</x:f>
        <x:v>0</x:v>
      </x:c>
      <x:c r="Y1000" s="32" t="n">
        <x:f>Y999+R1000-S1000-W1000-Y999*V1000/AB999</x:f>
        <x:v>40496.20709015643</x:v>
      </x:c>
      <x:c r="Z1000" s="32" t="n">
        <x:f>Z999+W1000-X1000-T1000-Z999*V1000/AB999</x:f>
        <x:v>59141.61122890803</x:v>
      </x:c>
      <x:c r="AA1000" s="32" t="n">
        <x:f>AA999+X1000-U1000-AA999*V1000/AB999</x:f>
        <x:v>45530.62410925061</x:v>
      </x:c>
      <x:c r="AB1000" s="10" t="n">
        <x:f>Y1000+Z1000+AA1000</x:f>
        <x:v>145168.44242831506</x:v>
      </x:c>
      <x:c r="AC1000" s="8" t="n">
        <x:f>IF(AND(tun_WinterTrigger=1,D1000=1,AB999/AE999&gt;=K1000),1,0)</x:f>
        <x:v>0</x:v>
      </x:c>
      <x:c r="AD1000" s="8" t="n">
        <x:f>H1000*IF(AND(OR(AB999/AE999&gt;=tun_FissionTrigger*N1000,AC1000=1),AB999/AE999*tun_DaughterShare&gt;=tun_MinDaughter),MAX(1,ROUND(AE999*tun_FissionRate,0)),0)</x:f>
        <x:v>0</x:v>
      </x:c>
      <x:c r="AE1000" s="8" t="n">
        <x:f>IF(H1000=1,MAX(1,MIN(INDEX(tun_Smax,G1000),AE999+AD1000)),AE999)</x:f>
        <x:v>9</x:v>
      </x:c>
      <x:c r="AF1000" s="8" t="n">
        <x:f>MAX(0,AE1000-AE999)</x:f>
        <x:v>0</x:v>
      </x:c>
      <x:c r="AG1000" s="9" t="str">
        <x:f>IF(AF1000&gt;0,B1000,"")</x:f>
      </x:c>
      <x:c r="AH1000" s="9" t="n">
        <x:f>IF(F1000&gt;=1,1,(1+tun_LowTiesShare*(AE1000-1))/AE1000)</x:f>
        <x:v>1</x:v>
      </x:c>
      <x:c r="AI1000" s="32" t="n">
        <x:f>(Z1000+tun_ElderCommons*INDEX(LM_Elder,G1000)*AA1000)*AH1000</x:f>
        <x:v>238215.0665857503</x:v>
      </x:c>
      <x:c r="AJ1000" s="32" t="n">
        <x:f>H1000*tun_CommonsCoef*AI1000^tun_CommonsExp*INDEX(LM_Commons,G1000)</x:f>
        <x:v>0</x:v>
      </x:c>
      <x:c r="AK1000" s="32" t="n">
        <x:f>H1000*tun_RoleScale*Arch_Roles*(AE1000*(INDEX(tun_ElderRolePerSett,G1000)*tun_OutElder*INDEX(LM_Elder,G1000)+INDEX(tun_ShamanPerSett,G1000)*tun_OutShaman)+Z1000*(INDEX(tun_PriestShare,G1000)*tun_OutPriest+INDEX(tun_ScribeShare,G1000)*tun_OutScribe*INDEX(LM_Scribe,G1000)+INDEX(tun_ScholarShare,G1000)*tun_OutScholar*INDEX(LM_Scholar,G1000)+INDEX(tun_ResearcherShare,G1000)*tun_OutResearcher*INDEX(LM_Researcher,G1000)))</x:f>
        <x:v>0</x:v>
      </x:c>
      <x:c r="AL1000" s="32" t="n">
        <x:f>H1000*tun_RoleScale*Arch_Roles*AE1000*INDEX(tun_MonasteryPerSett,G1000)*tun_OutMonastery*INDEX(LM_Monastery,G1000)</x:f>
        <x:v>0</x:v>
      </x:c>
      <x:c r="AM1000" s="32" t="n">
        <x:f>(AJ1000+AK1000+AL1000)/4*INDEX(LM_All,G1000)*INDEX(tun_Boon,G1000)*Arch_Insight</x:f>
        <x:v>0</x:v>
      </x:c>
      <x:c r="AN1000" s="32" t="n">
        <x:f>H1000*(tun_KHPerAdult*Z1000+tun_KHOfCommons*AJ1000/4*INDEX(LM_All,G1000))*tun_KHUsable*Arch_KH</x:f>
        <x:v>0</x:v>
      </x:c>
      <x:c r="AO1000" s="32" t="n">
        <x:f>MIN(AP999+AN1000,AM1000*tun_KHMaxRatio)</x:f>
        <x:v>0</x:v>
      </x:c>
      <x:c r="AP1000" s="32" t="n">
        <x:f>AP999+AN1000-AO1000</x:f>
        <x:v>0</x:v>
      </x:c>
      <x:c r="AQ1000" s="32" t="n">
        <x:f>AM1000+AO1000</x:f>
        <x:v>0</x:v>
      </x:c>
      <x:c r="AR1000" s="10" t="n">
        <x:f>IF(H1000=1,INDEX(tun_Req,G1000),0)</x:f>
        <x:v>0</x:v>
      </x:c>
      <x:c r="AS1000" s="32" t="n">
        <x:f>IF(H1000=1,IF(E1000=1,AS999-AR999,AS999)+AQ1000,0)</x:f>
        <x:v>0</x:v>
      </x:c>
      <x:c r="AT1000" s="11" t="n">
        <x:f>IF(AR1000&gt;0,MIN(1,AS1000/AR1000),1)</x:f>
        <x:v>1</x:v>
      </x:c>
      <x:c r="AU1000" s="10" t="n">
        <x:f>AB1000/INDEX(tun_RepScale,G1000)</x:f>
        <x:v>290.3368848566301</x:v>
      </x:c>
      <x:c r="AV1000" s="32" t="n">
        <x:f>AM1000*60/tun_SeasonSeconds</x:f>
        <x:v>0</x:v>
      </x:c>
    </x:row>
    <x:row r="1001">
      <x:c r="A1001" s="8" t="n">
        <x:f>A1000+1</x:f>
        <x:v>998</x:v>
      </x:c>
      <x:c r="B1001" s="9" t="n">
        <x:f>A1001*tun_SeasonSeconds/60</x:f>
        <x:v>249.5</x:v>
      </x:c>
      <x:c r="C1001" s="9" t="n">
        <x:f>A1001/4</x:f>
        <x:v>249.5</x:v>
      </x:c>
      <x:c r="D1001" s="8" t="n">
        <x:f>IF(MOD(A1001,4)=0,1,0)</x:f>
        <x:v>0</x:v>
      </x:c>
      <x:c r="E1001" s="8" t="n">
        <x:f>IF(AND(F1000&lt;=9,AS1000&gt;=AR1000),1,0)</x:f>
        <x:v>0</x:v>
      </x:c>
      <x:c r="F1001" s="8" t="n">
        <x:f>MIN(10,F1000+E1001)</x:f>
        <x:v>10</x:v>
      </x:c>
      <x:c r="G1001" s="8" t="n">
        <x:f>MIN(F1001,9)+1</x:f>
        <x:v>10</x:v>
      </x:c>
      <x:c r="H1001" s="8" t="n">
        <x:f>IF(F1001&lt;=9,1,0)</x:f>
        <x:v>0</x:v>
      </x:c>
      <x:c r="I1001" s="9" t="n">
        <x:f>MIN(10,F1000+IF(AR1000&gt;0,MIN(1,AS1000/AR1000),1))</x:f>
        <x:v>10</x:v>
      </x:c>
      <x:c r="J1001" s="32" t="n">
        <x:f>INDEX(tun_FoodCap,G1001)*Arch_FoodCap*EXP(tun_CapsByProject*SUMPRODUCT((Cap_Point&lt;=I1001)*(Cap_Kind="Food")*Cap_Ln))</x:f>
        <x:v>18627.260449441455</x:v>
      </x:c>
      <x:c r="K1001" s="32" t="n">
        <x:f>J1001*MIN(1,tun_LeanBase*EXP(tun_CapsByProject*SUMPRODUCT((Cap_Point&lt;=I1001)*(Cap_Kind="Lean")*Cap_Ln)))</x:f>
        <x:v>18627.260449441455</x:v>
      </x:c>
      <x:c r="L1001" s="10" t="n">
        <x:f>INDEX(tun_HousingCap,G1001)*EXP(tun_CapsByProject*SUMPRODUCT((Cap_Point&lt;=I1001)*(Cap_Kind="Housing")*Cap_Ln))</x:f>
        <x:v>20528.974303173167</x:v>
      </x:c>
      <x:c r="M1001" s="10" t="n">
        <x:f>INDEX(tun_GroupCap,G1001)*tun_CohesionFactor*EXP(tun_CapsByProject*SUMPRODUCT((Cap_Point&lt;=I1001)*(Cap_Kind="Group")*Cap_Ln))</x:f>
        <x:v>1000000.000000001</x:v>
      </x:c>
      <x:c r="N1001" s="32" t="n">
        <x:f>MIN(J1001,L1001,M1001)</x:f>
        <x:v>18627.260449441455</x:v>
      </x:c>
      <x:c r="O1001" s="10" t="n">
        <x:f>AE1000*N1001</x:f>
        <x:v>167645.34404497308</x:v>
      </x:c>
      <x:c r="P1001" s="9" t="n">
        <x:f>MIN(1,(AB1000/(AE1000*IF(tun_GroupInCrowding=1,N1001,MIN(J1001,L1001))))^tun_CrowdingExp)</x:f>
        <x:v>0.4215841981292809</x:v>
      </x:c>
      <x:c r="Q1001" s="9" t="n">
        <x:f>IF(D1001=1,INDEX(tun_WinterMult,G1001),1)</x:f>
        <x:v>1</x:v>
      </x:c>
      <x:c r="R1001" s="9" t="n">
        <x:f>H1001*Z1000*tun_WomenShare*tun_BaseFertility*INDEX(tun_FertMult,G1001)*Arch_Fertility*(1-P1001)</x:f>
        <x:v>0</x:v>
      </x:c>
      <x:c r="S1001" s="9" t="n">
        <x:f>H1001*Y1000*INDEX(tun_MortChild,G1001)/4*Q1001</x:f>
        <x:v>0</x:v>
      </x:c>
      <x:c r="T1001" s="9" t="n">
        <x:f>H1001*Z1000*INDEX(tun_MortAdult,G1001)*Arch_AdultMort/4*Q1001</x:f>
        <x:v>0</x:v>
      </x:c>
      <x:c r="U1001" s="9" t="n">
        <x:f>H1001*AA1000*INDEX(tun_MortElder,G1001)/4*Q1001</x:f>
        <x:v>0</x:v>
      </x:c>
      <x:c r="V1001" s="9" t="n">
        <x:f>H1001*MAX(0,AB1000-O1001)*tun_OvercapLoss</x:f>
        <x:v>0</x:v>
      </x:c>
      <x:c r="W1001" s="9" t="n">
        <x:f>H1001*Y1000/(tun_ChildYears*4)</x:f>
        <x:v>0</x:v>
      </x:c>
      <x:c r="X1001" s="9" t="n">
        <x:f>H1001*Z1000/(tun_AdultYears*4)</x:f>
        <x:v>0</x:v>
      </x:c>
      <x:c r="Y1001" s="32" t="n">
        <x:f>Y1000+R1001-S1001-W1001-Y1000*V1001/AB1000</x:f>
        <x:v>40496.20709015643</x:v>
      </x:c>
      <x:c r="Z1001" s="32" t="n">
        <x:f>Z1000+W1001-X1001-T1001-Z1000*V1001/AB1000</x:f>
        <x:v>59141.61122890803</x:v>
      </x:c>
      <x:c r="AA1001" s="32" t="n">
        <x:f>AA1000+X1001-U1001-AA1000*V1001/AB1000</x:f>
        <x:v>45530.62410925061</x:v>
      </x:c>
      <x:c r="AB1001" s="10" t="n">
        <x:f>Y1001+Z1001+AA1001</x:f>
        <x:v>145168.44242831506</x:v>
      </x:c>
      <x:c r="AC1001" s="8" t="n">
        <x:f>IF(AND(tun_WinterTrigger=1,D1001=1,AB1000/AE1000&gt;=K1001),1,0)</x:f>
        <x:v>0</x:v>
      </x:c>
      <x:c r="AD1001" s="8" t="n">
        <x:f>H1001*IF(AND(OR(AB1000/AE1000&gt;=tun_FissionTrigger*N1001,AC1001=1),AB1000/AE1000*tun_DaughterShare&gt;=tun_MinDaughter),MAX(1,ROUND(AE1000*tun_FissionRate,0)),0)</x:f>
        <x:v>0</x:v>
      </x:c>
      <x:c r="AE1001" s="8" t="n">
        <x:f>IF(H1001=1,MAX(1,MIN(INDEX(tun_Smax,G1001),AE1000+AD1001)),AE1000)</x:f>
        <x:v>9</x:v>
      </x:c>
      <x:c r="AF1001" s="8" t="n">
        <x:f>MAX(0,AE1001-AE1000)</x:f>
        <x:v>0</x:v>
      </x:c>
      <x:c r="AG1001" s="9" t="str">
        <x:f>IF(AF1001&gt;0,B1001,"")</x:f>
      </x:c>
      <x:c r="AH1001" s="9" t="n">
        <x:f>IF(F1001&gt;=1,1,(1+tun_LowTiesShare*(AE1001-1))/AE1001)</x:f>
        <x:v>1</x:v>
      </x:c>
      <x:c r="AI1001" s="32" t="n">
        <x:f>(Z1001+tun_ElderCommons*INDEX(LM_Elder,G1001)*AA1001)*AH1001</x:f>
        <x:v>238215.0665857503</x:v>
      </x:c>
      <x:c r="AJ1001" s="32" t="n">
        <x:f>H1001*tun_CommonsCoef*AI1001^tun_CommonsExp*INDEX(LM_Commons,G1001)</x:f>
        <x:v>0</x:v>
      </x:c>
      <x:c r="AK1001" s="32" t="n">
        <x:f>H1001*tun_RoleScale*Arch_Roles*(AE1001*(INDEX(tun_ElderRolePerSett,G1001)*tun_OutElder*INDEX(LM_Elder,G1001)+INDEX(tun_ShamanPerSett,G1001)*tun_OutShaman)+Z1001*(INDEX(tun_PriestShare,G1001)*tun_OutPriest+INDEX(tun_ScribeShare,G1001)*tun_OutScribe*INDEX(LM_Scribe,G1001)+INDEX(tun_ScholarShare,G1001)*tun_OutScholar*INDEX(LM_Scholar,G1001)+INDEX(tun_ResearcherShare,G1001)*tun_OutResearcher*INDEX(LM_Researcher,G1001)))</x:f>
        <x:v>0</x:v>
      </x:c>
      <x:c r="AL1001" s="32" t="n">
        <x:f>H1001*tun_RoleScale*Arch_Roles*AE1001*INDEX(tun_MonasteryPerSett,G1001)*tun_OutMonastery*INDEX(LM_Monastery,G1001)</x:f>
        <x:v>0</x:v>
      </x:c>
      <x:c r="AM1001" s="32" t="n">
        <x:f>(AJ1001+AK1001+AL1001)/4*INDEX(LM_All,G1001)*INDEX(tun_Boon,G1001)*Arch_Insight</x:f>
        <x:v>0</x:v>
      </x:c>
      <x:c r="AN1001" s="32" t="n">
        <x:f>H1001*(tun_KHPerAdult*Z1001+tun_KHOfCommons*AJ1001/4*INDEX(LM_All,G1001))*tun_KHUsable*Arch_KH</x:f>
        <x:v>0</x:v>
      </x:c>
      <x:c r="AO1001" s="32" t="n">
        <x:f>MIN(AP1000+AN1001,AM1001*tun_KHMaxRatio)</x:f>
        <x:v>0</x:v>
      </x:c>
      <x:c r="AP1001" s="32" t="n">
        <x:f>AP1000+AN1001-AO1001</x:f>
        <x:v>0</x:v>
      </x:c>
      <x:c r="AQ1001" s="32" t="n">
        <x:f>AM1001+AO1001</x:f>
        <x:v>0</x:v>
      </x:c>
      <x:c r="AR1001" s="10" t="n">
        <x:f>IF(H1001=1,INDEX(tun_Req,G1001),0)</x:f>
        <x:v>0</x:v>
      </x:c>
      <x:c r="AS1001" s="32" t="n">
        <x:f>IF(H1001=1,IF(E1001=1,AS1000-AR1000,AS1000)+AQ1001,0)</x:f>
        <x:v>0</x:v>
      </x:c>
      <x:c r="AT1001" s="11" t="n">
        <x:f>IF(AR1001&gt;0,MIN(1,AS1001/AR1001),1)</x:f>
        <x:v>1</x:v>
      </x:c>
      <x:c r="AU1001" s="10" t="n">
        <x:f>AB1001/INDEX(tun_RepScale,G1001)</x:f>
        <x:v>290.3368848566301</x:v>
      </x:c>
      <x:c r="AV1001" s="32" t="n">
        <x:f>AM1001*60/tun_SeasonSeconds</x:f>
        <x:v>0</x:v>
      </x:c>
    </x:row>
    <x:row r="1002">
      <x:c r="A1002" s="8" t="n">
        <x:f>A1001+1</x:f>
        <x:v>999</x:v>
      </x:c>
      <x:c r="B1002" s="9" t="n">
        <x:f>A1002*tun_SeasonSeconds/60</x:f>
        <x:v>249.75</x:v>
      </x:c>
      <x:c r="C1002" s="9" t="n">
        <x:f>A1002/4</x:f>
        <x:v>249.75</x:v>
      </x:c>
      <x:c r="D1002" s="8" t="n">
        <x:f>IF(MOD(A1002,4)=0,1,0)</x:f>
        <x:v>0</x:v>
      </x:c>
      <x:c r="E1002" s="8" t="n">
        <x:f>IF(AND(F1001&lt;=9,AS1001&gt;=AR1001),1,0)</x:f>
        <x:v>0</x:v>
      </x:c>
      <x:c r="F1002" s="8" t="n">
        <x:f>MIN(10,F1001+E1002)</x:f>
        <x:v>10</x:v>
      </x:c>
      <x:c r="G1002" s="8" t="n">
        <x:f>MIN(F1002,9)+1</x:f>
        <x:v>10</x:v>
      </x:c>
      <x:c r="H1002" s="8" t="n">
        <x:f>IF(F1002&lt;=9,1,0)</x:f>
        <x:v>0</x:v>
      </x:c>
      <x:c r="I1002" s="9" t="n">
        <x:f>MIN(10,F1001+IF(AR1001&gt;0,MIN(1,AS1001/AR1001),1))</x:f>
        <x:v>10</x:v>
      </x:c>
      <x:c r="J1002" s="32" t="n">
        <x:f>INDEX(tun_FoodCap,G1002)*Arch_FoodCap*EXP(tun_CapsByProject*SUMPRODUCT((Cap_Point&lt;=I1002)*(Cap_Kind="Food")*Cap_Ln))</x:f>
        <x:v>18627.260449441455</x:v>
      </x:c>
      <x:c r="K1002" s="32" t="n">
        <x:f>J1002*MIN(1,tun_LeanBase*EXP(tun_CapsByProject*SUMPRODUCT((Cap_Point&lt;=I1002)*(Cap_Kind="Lean")*Cap_Ln)))</x:f>
        <x:v>18627.260449441455</x:v>
      </x:c>
      <x:c r="L1002" s="10" t="n">
        <x:f>INDEX(tun_HousingCap,G1002)*EXP(tun_CapsByProject*SUMPRODUCT((Cap_Point&lt;=I1002)*(Cap_Kind="Housing")*Cap_Ln))</x:f>
        <x:v>20528.974303173167</x:v>
      </x:c>
      <x:c r="M1002" s="10" t="n">
        <x:f>INDEX(tun_GroupCap,G1002)*tun_CohesionFactor*EXP(tun_CapsByProject*SUMPRODUCT((Cap_Point&lt;=I1002)*(Cap_Kind="Group")*Cap_Ln))</x:f>
        <x:v>1000000.000000001</x:v>
      </x:c>
      <x:c r="N1002" s="32" t="n">
        <x:f>MIN(J1002,L1002,M1002)</x:f>
        <x:v>18627.260449441455</x:v>
      </x:c>
      <x:c r="O1002" s="10" t="n">
        <x:f>AE1001*N1002</x:f>
        <x:v>167645.34404497308</x:v>
      </x:c>
      <x:c r="P1002" s="9" t="n">
        <x:f>MIN(1,(AB1001/(AE1001*IF(tun_GroupInCrowding=1,N1002,MIN(J1002,L1002))))^tun_CrowdingExp)</x:f>
        <x:v>0.4215841981292809</x:v>
      </x:c>
      <x:c r="Q1002" s="9" t="n">
        <x:f>IF(D1002=1,INDEX(tun_WinterMult,G1002),1)</x:f>
        <x:v>1</x:v>
      </x:c>
      <x:c r="R1002" s="9" t="n">
        <x:f>H1002*Z1001*tun_WomenShare*tun_BaseFertility*INDEX(tun_FertMult,G1002)*Arch_Fertility*(1-P1002)</x:f>
        <x:v>0</x:v>
      </x:c>
      <x:c r="S1002" s="9" t="n">
        <x:f>H1002*Y1001*INDEX(tun_MortChild,G1002)/4*Q1002</x:f>
        <x:v>0</x:v>
      </x:c>
      <x:c r="T1002" s="9" t="n">
        <x:f>H1002*Z1001*INDEX(tun_MortAdult,G1002)*Arch_AdultMort/4*Q1002</x:f>
        <x:v>0</x:v>
      </x:c>
      <x:c r="U1002" s="9" t="n">
        <x:f>H1002*AA1001*INDEX(tun_MortElder,G1002)/4*Q1002</x:f>
        <x:v>0</x:v>
      </x:c>
      <x:c r="V1002" s="9" t="n">
        <x:f>H1002*MAX(0,AB1001-O1002)*tun_OvercapLoss</x:f>
        <x:v>0</x:v>
      </x:c>
      <x:c r="W1002" s="9" t="n">
        <x:f>H1002*Y1001/(tun_ChildYears*4)</x:f>
        <x:v>0</x:v>
      </x:c>
      <x:c r="X1002" s="9" t="n">
        <x:f>H1002*Z1001/(tun_AdultYears*4)</x:f>
        <x:v>0</x:v>
      </x:c>
      <x:c r="Y1002" s="32" t="n">
        <x:f>Y1001+R1002-S1002-W1002-Y1001*V1002/AB1001</x:f>
        <x:v>40496.20709015643</x:v>
      </x:c>
      <x:c r="Z1002" s="32" t="n">
        <x:f>Z1001+W1002-X1002-T1002-Z1001*V1002/AB1001</x:f>
        <x:v>59141.61122890803</x:v>
      </x:c>
      <x:c r="AA1002" s="32" t="n">
        <x:f>AA1001+X1002-U1002-AA1001*V1002/AB1001</x:f>
        <x:v>45530.62410925061</x:v>
      </x:c>
      <x:c r="AB1002" s="10" t="n">
        <x:f>Y1002+Z1002+AA1002</x:f>
        <x:v>145168.44242831506</x:v>
      </x:c>
      <x:c r="AC1002" s="8" t="n">
        <x:f>IF(AND(tun_WinterTrigger=1,D1002=1,AB1001/AE1001&gt;=K1002),1,0)</x:f>
        <x:v>0</x:v>
      </x:c>
      <x:c r="AD1002" s="8" t="n">
        <x:f>H1002*IF(AND(OR(AB1001/AE1001&gt;=tun_FissionTrigger*N1002,AC1002=1),AB1001/AE1001*tun_DaughterShare&gt;=tun_MinDaughter),MAX(1,ROUND(AE1001*tun_FissionRate,0)),0)</x:f>
        <x:v>0</x:v>
      </x:c>
      <x:c r="AE1002" s="8" t="n">
        <x:f>IF(H1002=1,MAX(1,MIN(INDEX(tun_Smax,G1002),AE1001+AD1002)),AE1001)</x:f>
        <x:v>9</x:v>
      </x:c>
      <x:c r="AF1002" s="8" t="n">
        <x:f>MAX(0,AE1002-AE1001)</x:f>
        <x:v>0</x:v>
      </x:c>
      <x:c r="AG1002" s="9" t="str">
        <x:f>IF(AF1002&gt;0,B1002,"")</x:f>
      </x:c>
      <x:c r="AH1002" s="9" t="n">
        <x:f>IF(F1002&gt;=1,1,(1+tun_LowTiesShare*(AE1002-1))/AE1002)</x:f>
        <x:v>1</x:v>
      </x:c>
      <x:c r="AI1002" s="32" t="n">
        <x:f>(Z1002+tun_ElderCommons*INDEX(LM_Elder,G1002)*AA1002)*AH1002</x:f>
        <x:v>238215.0665857503</x:v>
      </x:c>
      <x:c r="AJ1002" s="32" t="n">
        <x:f>H1002*tun_CommonsCoef*AI1002^tun_CommonsExp*INDEX(LM_Commons,G1002)</x:f>
        <x:v>0</x:v>
      </x:c>
      <x:c r="AK1002" s="32" t="n">
        <x:f>H1002*tun_RoleScale*Arch_Roles*(AE1002*(INDEX(tun_ElderRolePerSett,G1002)*tun_OutElder*INDEX(LM_Elder,G1002)+INDEX(tun_ShamanPerSett,G1002)*tun_OutShaman)+Z1002*(INDEX(tun_PriestShare,G1002)*tun_OutPriest+INDEX(tun_ScribeShare,G1002)*tun_OutScribe*INDEX(LM_Scribe,G1002)+INDEX(tun_ScholarShare,G1002)*tun_OutScholar*INDEX(LM_Scholar,G1002)+INDEX(tun_ResearcherShare,G1002)*tun_OutResearcher*INDEX(LM_Researcher,G1002)))</x:f>
        <x:v>0</x:v>
      </x:c>
      <x:c r="AL1002" s="32" t="n">
        <x:f>H1002*tun_RoleScale*Arch_Roles*AE1002*INDEX(tun_MonasteryPerSett,G1002)*tun_OutMonastery*INDEX(LM_Monastery,G1002)</x:f>
        <x:v>0</x:v>
      </x:c>
      <x:c r="AM1002" s="32" t="n">
        <x:f>(AJ1002+AK1002+AL1002)/4*INDEX(LM_All,G1002)*INDEX(tun_Boon,G1002)*Arch_Insight</x:f>
        <x:v>0</x:v>
      </x:c>
      <x:c r="AN1002" s="32" t="n">
        <x:f>H1002*(tun_KHPerAdult*Z1002+tun_KHOfCommons*AJ1002/4*INDEX(LM_All,G1002))*tun_KHUsable*Arch_KH</x:f>
        <x:v>0</x:v>
      </x:c>
      <x:c r="AO1002" s="32" t="n">
        <x:f>MIN(AP1001+AN1002,AM1002*tun_KHMaxRatio)</x:f>
        <x:v>0</x:v>
      </x:c>
      <x:c r="AP1002" s="32" t="n">
        <x:f>AP1001+AN1002-AO1002</x:f>
        <x:v>0</x:v>
      </x:c>
      <x:c r="AQ1002" s="32" t="n">
        <x:f>AM1002+AO1002</x:f>
        <x:v>0</x:v>
      </x:c>
      <x:c r="AR1002" s="10" t="n">
        <x:f>IF(H1002=1,INDEX(tun_Req,G1002),0)</x:f>
        <x:v>0</x:v>
      </x:c>
      <x:c r="AS1002" s="32" t="n">
        <x:f>IF(H1002=1,IF(E1002=1,AS1001-AR1001,AS1001)+AQ1002,0)</x:f>
        <x:v>0</x:v>
      </x:c>
      <x:c r="AT1002" s="11" t="n">
        <x:f>IF(AR1002&gt;0,MIN(1,AS1002/AR1002),1)</x:f>
        <x:v>1</x:v>
      </x:c>
      <x:c r="AU1002" s="10" t="n">
        <x:f>AB1002/INDEX(tun_RepScale,G1002)</x:f>
        <x:v>290.3368848566301</x:v>
      </x:c>
      <x:c r="AV1002" s="32" t="n">
        <x:f>AM1002*60/tun_SeasonSeconds</x:f>
        <x:v>0</x:v>
      </x:c>
    </x:row>
    <x:row r="1003">
      <x:c r="A1003" s="8" t="n">
        <x:f>A1002+1</x:f>
        <x:v>1000</x:v>
      </x:c>
      <x:c r="B1003" s="9" t="n">
        <x:f>A1003*tun_SeasonSeconds/60</x:f>
        <x:v>250</x:v>
      </x:c>
      <x:c r="C1003" s="9" t="n">
        <x:f>A1003/4</x:f>
        <x:v>250</x:v>
      </x:c>
      <x:c r="D1003" s="8" t="n">
        <x:f>IF(MOD(A1003,4)=0,1,0)</x:f>
        <x:v>1</x:v>
      </x:c>
      <x:c r="E1003" s="8" t="n">
        <x:f>IF(AND(F1002&lt;=9,AS1002&gt;=AR1002),1,0)</x:f>
        <x:v>0</x:v>
      </x:c>
      <x:c r="F1003" s="8" t="n">
        <x:f>MIN(10,F1002+E1003)</x:f>
        <x:v>10</x:v>
      </x:c>
      <x:c r="G1003" s="8" t="n">
        <x:f>MIN(F1003,9)+1</x:f>
        <x:v>10</x:v>
      </x:c>
      <x:c r="H1003" s="8" t="n">
        <x:f>IF(F1003&lt;=9,1,0)</x:f>
        <x:v>0</x:v>
      </x:c>
      <x:c r="I1003" s="9" t="n">
        <x:f>MIN(10,F1002+IF(AR1002&gt;0,MIN(1,AS1002/AR1002),1))</x:f>
        <x:v>10</x:v>
      </x:c>
      <x:c r="J1003" s="32" t="n">
        <x:f>INDEX(tun_FoodCap,G1003)*Arch_FoodCap*EXP(tun_CapsByProject*SUMPRODUCT((Cap_Point&lt;=I1003)*(Cap_Kind="Food")*Cap_Ln))</x:f>
        <x:v>18627.260449441455</x:v>
      </x:c>
      <x:c r="K1003" s="32" t="n">
        <x:f>J1003*MIN(1,tun_LeanBase*EXP(tun_CapsByProject*SUMPRODUCT((Cap_Point&lt;=I1003)*(Cap_Kind="Lean")*Cap_Ln)))</x:f>
        <x:v>18627.260449441455</x:v>
      </x:c>
      <x:c r="L1003" s="10" t="n">
        <x:f>INDEX(tun_HousingCap,G1003)*EXP(tun_CapsByProject*SUMPRODUCT((Cap_Point&lt;=I1003)*(Cap_Kind="Housing")*Cap_Ln))</x:f>
        <x:v>20528.974303173167</x:v>
      </x:c>
      <x:c r="M1003" s="10" t="n">
        <x:f>INDEX(tun_GroupCap,G1003)*tun_CohesionFactor*EXP(tun_CapsByProject*SUMPRODUCT((Cap_Point&lt;=I1003)*(Cap_Kind="Group")*Cap_Ln))</x:f>
        <x:v>1000000.000000001</x:v>
      </x:c>
      <x:c r="N1003" s="32" t="n">
        <x:f>MIN(J1003,L1003,M1003)</x:f>
        <x:v>18627.260449441455</x:v>
      </x:c>
      <x:c r="O1003" s="10" t="n">
        <x:f>AE1002*N1003</x:f>
        <x:v>167645.34404497308</x:v>
      </x:c>
      <x:c r="P1003" s="9" t="n">
        <x:f>MIN(1,(AB1002/(AE1002*IF(tun_GroupInCrowding=1,N1003,MIN(J1003,L1003))))^tun_CrowdingExp)</x:f>
        <x:v>0.4215841981292809</x:v>
      </x:c>
      <x:c r="Q1003" s="9" t="n">
        <x:f>IF(D1003=1,INDEX(tun_WinterMult,G1003),1)</x:f>
        <x:v>1.05</x:v>
      </x:c>
      <x:c r="R1003" s="9" t="n">
        <x:f>H1003*Z1002*tun_WomenShare*tun_BaseFertility*INDEX(tun_FertMult,G1003)*Arch_Fertility*(1-P1003)</x:f>
        <x:v>0</x:v>
      </x:c>
      <x:c r="S1003" s="9" t="n">
        <x:f>H1003*Y1002*INDEX(tun_MortChild,G1003)/4*Q1003</x:f>
        <x:v>0</x:v>
      </x:c>
      <x:c r="T1003" s="9" t="n">
        <x:f>H1003*Z1002*INDEX(tun_MortAdult,G1003)*Arch_AdultMort/4*Q1003</x:f>
        <x:v>0</x:v>
      </x:c>
      <x:c r="U1003" s="9" t="n">
        <x:f>H1003*AA1002*INDEX(tun_MortElder,G1003)/4*Q1003</x:f>
        <x:v>0</x:v>
      </x:c>
      <x:c r="V1003" s="9" t="n">
        <x:f>H1003*MAX(0,AB1002-O1003)*tun_OvercapLoss</x:f>
        <x:v>0</x:v>
      </x:c>
      <x:c r="W1003" s="9" t="n">
        <x:f>H1003*Y1002/(tun_ChildYears*4)</x:f>
        <x:v>0</x:v>
      </x:c>
      <x:c r="X1003" s="9" t="n">
        <x:f>H1003*Z1002/(tun_AdultYears*4)</x:f>
        <x:v>0</x:v>
      </x:c>
      <x:c r="Y1003" s="32" t="n">
        <x:f>Y1002+R1003-S1003-W1003-Y1002*V1003/AB1002</x:f>
        <x:v>40496.20709015643</x:v>
      </x:c>
      <x:c r="Z1003" s="32" t="n">
        <x:f>Z1002+W1003-X1003-T1003-Z1002*V1003/AB1002</x:f>
        <x:v>59141.61122890803</x:v>
      </x:c>
      <x:c r="AA1003" s="32" t="n">
        <x:f>AA1002+X1003-U1003-AA1002*V1003/AB1002</x:f>
        <x:v>45530.62410925061</x:v>
      </x:c>
      <x:c r="AB1003" s="10" t="n">
        <x:f>Y1003+Z1003+AA1003</x:f>
        <x:v>145168.44242831506</x:v>
      </x:c>
      <x:c r="AC1003" s="8" t="n">
        <x:f>IF(AND(tun_WinterTrigger=1,D1003=1,AB1002/AE1002&gt;=K1003),1,0)</x:f>
        <x:v>0</x:v>
      </x:c>
      <x:c r="AD1003" s="8" t="n">
        <x:f>H1003*IF(AND(OR(AB1002/AE1002&gt;=tun_FissionTrigger*N1003,AC1003=1),AB1002/AE1002*tun_DaughterShare&gt;=tun_MinDaughter),MAX(1,ROUND(AE1002*tun_FissionRate,0)),0)</x:f>
        <x:v>0</x:v>
      </x:c>
      <x:c r="AE1003" s="8" t="n">
        <x:f>IF(H1003=1,MAX(1,MIN(INDEX(tun_Smax,G1003),AE1002+AD1003)),AE1002)</x:f>
        <x:v>9</x:v>
      </x:c>
      <x:c r="AF1003" s="8" t="n">
        <x:f>MAX(0,AE1003-AE1002)</x:f>
        <x:v>0</x:v>
      </x:c>
      <x:c r="AG1003" s="9" t="str">
        <x:f>IF(AF1003&gt;0,B1003,"")</x:f>
      </x:c>
      <x:c r="AH1003" s="9" t="n">
        <x:f>IF(F1003&gt;=1,1,(1+tun_LowTiesShare*(AE1003-1))/AE1003)</x:f>
        <x:v>1</x:v>
      </x:c>
      <x:c r="AI1003" s="32" t="n">
        <x:f>(Z1003+tun_ElderCommons*INDEX(LM_Elder,G1003)*AA1003)*AH1003</x:f>
        <x:v>238215.0665857503</x:v>
      </x:c>
      <x:c r="AJ1003" s="32" t="n">
        <x:f>H1003*tun_CommonsCoef*AI1003^tun_CommonsExp*INDEX(LM_Commons,G1003)</x:f>
        <x:v>0</x:v>
      </x:c>
      <x:c r="AK1003" s="32" t="n">
        <x:f>H1003*tun_RoleScale*Arch_Roles*(AE1003*(INDEX(tun_ElderRolePerSett,G1003)*tun_OutElder*INDEX(LM_Elder,G1003)+INDEX(tun_ShamanPerSett,G1003)*tun_OutShaman)+Z1003*(INDEX(tun_PriestShare,G1003)*tun_OutPriest+INDEX(tun_ScribeShare,G1003)*tun_OutScribe*INDEX(LM_Scribe,G1003)+INDEX(tun_ScholarShare,G1003)*tun_OutScholar*INDEX(LM_Scholar,G1003)+INDEX(tun_ResearcherShare,G1003)*tun_OutResearcher*INDEX(LM_Researcher,G1003)))</x:f>
        <x:v>0</x:v>
      </x:c>
      <x:c r="AL1003" s="32" t="n">
        <x:f>H1003*tun_RoleScale*Arch_Roles*AE1003*INDEX(tun_MonasteryPerSett,G1003)*tun_OutMonastery*INDEX(LM_Monastery,G1003)</x:f>
        <x:v>0</x:v>
      </x:c>
      <x:c r="AM1003" s="32" t="n">
        <x:f>(AJ1003+AK1003+AL1003)/4*INDEX(LM_All,G1003)*INDEX(tun_Boon,G1003)*Arch_Insight</x:f>
        <x:v>0</x:v>
      </x:c>
      <x:c r="AN1003" s="32" t="n">
        <x:f>H1003*(tun_KHPerAdult*Z1003+tun_KHOfCommons*AJ1003/4*INDEX(LM_All,G1003))*tun_KHUsable*Arch_KH</x:f>
        <x:v>0</x:v>
      </x:c>
      <x:c r="AO1003" s="32" t="n">
        <x:f>MIN(AP1002+AN1003,AM1003*tun_KHMaxRatio)</x:f>
        <x:v>0</x:v>
      </x:c>
      <x:c r="AP1003" s="32" t="n">
        <x:f>AP1002+AN1003-AO1003</x:f>
        <x:v>0</x:v>
      </x:c>
      <x:c r="AQ1003" s="32" t="n">
        <x:f>AM1003+AO1003</x:f>
        <x:v>0</x:v>
      </x:c>
      <x:c r="AR1003" s="10" t="n">
        <x:f>IF(H1003=1,INDEX(tun_Req,G1003),0)</x:f>
        <x:v>0</x:v>
      </x:c>
      <x:c r="AS1003" s="32" t="n">
        <x:f>IF(H1003=1,IF(E1003=1,AS1002-AR1002,AS1002)+AQ1003,0)</x:f>
        <x:v>0</x:v>
      </x:c>
      <x:c r="AT1003" s="11" t="n">
        <x:f>IF(AR1003&gt;0,MIN(1,AS1003/AR1003),1)</x:f>
        <x:v>1</x:v>
      </x:c>
      <x:c r="AU1003" s="10" t="n">
        <x:f>AB1003/INDEX(tun_RepScale,G1003)</x:f>
        <x:v>290.3368848566301</x:v>
      </x:c>
      <x:c r="AV1003" s="32" t="n">
        <x:f>AM1003*60/tun_SeasonSeconds</x:f>
        <x:v>0</x:v>
      </x:c>
    </x:row>
    <x:row r="1004">
      <x:c r="A1004" s="8" t="n">
        <x:f>A1003+1</x:f>
        <x:v>1001</x:v>
      </x:c>
      <x:c r="B1004" s="9" t="n">
        <x:f>A1004*tun_SeasonSeconds/60</x:f>
        <x:v>250.25</x:v>
      </x:c>
      <x:c r="C1004" s="9" t="n">
        <x:f>A1004/4</x:f>
        <x:v>250.25</x:v>
      </x:c>
      <x:c r="D1004" s="8" t="n">
        <x:f>IF(MOD(A1004,4)=0,1,0)</x:f>
        <x:v>0</x:v>
      </x:c>
      <x:c r="E1004" s="8" t="n">
        <x:f>IF(AND(F1003&lt;=9,AS1003&gt;=AR1003),1,0)</x:f>
        <x:v>0</x:v>
      </x:c>
      <x:c r="F1004" s="8" t="n">
        <x:f>MIN(10,F1003+E1004)</x:f>
        <x:v>10</x:v>
      </x:c>
      <x:c r="G1004" s="8" t="n">
        <x:f>MIN(F1004,9)+1</x:f>
        <x:v>10</x:v>
      </x:c>
      <x:c r="H1004" s="8" t="n">
        <x:f>IF(F1004&lt;=9,1,0)</x:f>
        <x:v>0</x:v>
      </x:c>
      <x:c r="I1004" s="9" t="n">
        <x:f>MIN(10,F1003+IF(AR1003&gt;0,MIN(1,AS1003/AR1003),1))</x:f>
        <x:v>10</x:v>
      </x:c>
      <x:c r="J1004" s="32" t="n">
        <x:f>INDEX(tun_FoodCap,G1004)*Arch_FoodCap*EXP(tun_CapsByProject*SUMPRODUCT((Cap_Point&lt;=I1004)*(Cap_Kind="Food")*Cap_Ln))</x:f>
        <x:v>18627.260449441455</x:v>
      </x:c>
      <x:c r="K1004" s="32" t="n">
        <x:f>J1004*MIN(1,tun_LeanBase*EXP(tun_CapsByProject*SUMPRODUCT((Cap_Point&lt;=I1004)*(Cap_Kind="Lean")*Cap_Ln)))</x:f>
        <x:v>18627.260449441455</x:v>
      </x:c>
      <x:c r="L1004" s="10" t="n">
        <x:f>INDEX(tun_HousingCap,G1004)*EXP(tun_CapsByProject*SUMPRODUCT((Cap_Point&lt;=I1004)*(Cap_Kind="Housing")*Cap_Ln))</x:f>
        <x:v>20528.974303173167</x:v>
      </x:c>
      <x:c r="M1004" s="10" t="n">
        <x:f>INDEX(tun_GroupCap,G1004)*tun_CohesionFactor*EXP(tun_CapsByProject*SUMPRODUCT((Cap_Point&lt;=I1004)*(Cap_Kind="Group")*Cap_Ln))</x:f>
        <x:v>1000000.000000001</x:v>
      </x:c>
      <x:c r="N1004" s="32" t="n">
        <x:f>MIN(J1004,L1004,M1004)</x:f>
        <x:v>18627.260449441455</x:v>
      </x:c>
      <x:c r="O1004" s="10" t="n">
        <x:f>AE1003*N1004</x:f>
        <x:v>167645.34404497308</x:v>
      </x:c>
      <x:c r="P1004" s="9" t="n">
        <x:f>MIN(1,(AB1003/(AE1003*IF(tun_GroupInCrowding=1,N1004,MIN(J1004,L1004))))^tun_CrowdingExp)</x:f>
        <x:v>0.4215841981292809</x:v>
      </x:c>
      <x:c r="Q1004" s="9" t="n">
        <x:f>IF(D1004=1,INDEX(tun_WinterMult,G1004),1)</x:f>
        <x:v>1</x:v>
      </x:c>
      <x:c r="R1004" s="9" t="n">
        <x:f>H1004*Z1003*tun_WomenShare*tun_BaseFertility*INDEX(tun_FertMult,G1004)*Arch_Fertility*(1-P1004)</x:f>
        <x:v>0</x:v>
      </x:c>
      <x:c r="S1004" s="9" t="n">
        <x:f>H1004*Y1003*INDEX(tun_MortChild,G1004)/4*Q1004</x:f>
        <x:v>0</x:v>
      </x:c>
      <x:c r="T1004" s="9" t="n">
        <x:f>H1004*Z1003*INDEX(tun_MortAdult,G1004)*Arch_AdultMort/4*Q1004</x:f>
        <x:v>0</x:v>
      </x:c>
      <x:c r="U1004" s="9" t="n">
        <x:f>H1004*AA1003*INDEX(tun_MortElder,G1004)/4*Q1004</x:f>
        <x:v>0</x:v>
      </x:c>
      <x:c r="V1004" s="9" t="n">
        <x:f>H1004*MAX(0,AB1003-O1004)*tun_OvercapLoss</x:f>
        <x:v>0</x:v>
      </x:c>
      <x:c r="W1004" s="9" t="n">
        <x:f>H1004*Y1003/(tun_ChildYears*4)</x:f>
        <x:v>0</x:v>
      </x:c>
      <x:c r="X1004" s="9" t="n">
        <x:f>H1004*Z1003/(tun_AdultYears*4)</x:f>
        <x:v>0</x:v>
      </x:c>
      <x:c r="Y1004" s="32" t="n">
        <x:f>Y1003+R1004-S1004-W1004-Y1003*V1004/AB1003</x:f>
        <x:v>40496.20709015643</x:v>
      </x:c>
      <x:c r="Z1004" s="32" t="n">
        <x:f>Z1003+W1004-X1004-T1004-Z1003*V1004/AB1003</x:f>
        <x:v>59141.61122890803</x:v>
      </x:c>
      <x:c r="AA1004" s="32" t="n">
        <x:f>AA1003+X1004-U1004-AA1003*V1004/AB1003</x:f>
        <x:v>45530.62410925061</x:v>
      </x:c>
      <x:c r="AB1004" s="10" t="n">
        <x:f>Y1004+Z1004+AA1004</x:f>
        <x:v>145168.44242831506</x:v>
      </x:c>
      <x:c r="AC1004" s="8" t="n">
        <x:f>IF(AND(tun_WinterTrigger=1,D1004=1,AB1003/AE1003&gt;=K1004),1,0)</x:f>
        <x:v>0</x:v>
      </x:c>
      <x:c r="AD1004" s="8" t="n">
        <x:f>H1004*IF(AND(OR(AB1003/AE1003&gt;=tun_FissionTrigger*N1004,AC1004=1),AB1003/AE1003*tun_DaughterShare&gt;=tun_MinDaughter),MAX(1,ROUND(AE1003*tun_FissionRate,0)),0)</x:f>
        <x:v>0</x:v>
      </x:c>
      <x:c r="AE1004" s="8" t="n">
        <x:f>IF(H1004=1,MAX(1,MIN(INDEX(tun_Smax,G1004),AE1003+AD1004)),AE1003)</x:f>
        <x:v>9</x:v>
      </x:c>
      <x:c r="AF1004" s="8" t="n">
        <x:f>MAX(0,AE1004-AE1003)</x:f>
        <x:v>0</x:v>
      </x:c>
      <x:c r="AG1004" s="9" t="str">
        <x:f>IF(AF1004&gt;0,B1004,"")</x:f>
      </x:c>
      <x:c r="AH1004" s="9" t="n">
        <x:f>IF(F1004&gt;=1,1,(1+tun_LowTiesShare*(AE1004-1))/AE1004)</x:f>
        <x:v>1</x:v>
      </x:c>
      <x:c r="AI1004" s="32" t="n">
        <x:f>(Z1004+tun_ElderCommons*INDEX(LM_Elder,G1004)*AA1004)*AH1004</x:f>
        <x:v>238215.0665857503</x:v>
      </x:c>
      <x:c r="AJ1004" s="32" t="n">
        <x:f>H1004*tun_CommonsCoef*AI1004^tun_CommonsExp*INDEX(LM_Commons,G1004)</x:f>
        <x:v>0</x:v>
      </x:c>
      <x:c r="AK1004" s="32" t="n">
        <x:f>H1004*tun_RoleScale*Arch_Roles*(AE1004*(INDEX(tun_ElderRolePerSett,G1004)*tun_OutElder*INDEX(LM_Elder,G1004)+INDEX(tun_ShamanPerSett,G1004)*tun_OutShaman)+Z1004*(INDEX(tun_PriestShare,G1004)*tun_OutPriest+INDEX(tun_ScribeShare,G1004)*tun_OutScribe*INDEX(LM_Scribe,G1004)+INDEX(tun_ScholarShare,G1004)*tun_OutScholar*INDEX(LM_Scholar,G1004)+INDEX(tun_ResearcherShare,G1004)*tun_OutResearcher*INDEX(LM_Researcher,G1004)))</x:f>
        <x:v>0</x:v>
      </x:c>
      <x:c r="AL1004" s="32" t="n">
        <x:f>H1004*tun_RoleScale*Arch_Roles*AE1004*INDEX(tun_MonasteryPerSett,G1004)*tun_OutMonastery*INDEX(LM_Monastery,G1004)</x:f>
        <x:v>0</x:v>
      </x:c>
      <x:c r="AM1004" s="32" t="n">
        <x:f>(AJ1004+AK1004+AL1004)/4*INDEX(LM_All,G1004)*INDEX(tun_Boon,G1004)*Arch_Insight</x:f>
        <x:v>0</x:v>
      </x:c>
      <x:c r="AN1004" s="32" t="n">
        <x:f>H1004*(tun_KHPerAdult*Z1004+tun_KHOfCommons*AJ1004/4*INDEX(LM_All,G1004))*tun_KHUsable*Arch_KH</x:f>
        <x:v>0</x:v>
      </x:c>
      <x:c r="AO1004" s="32" t="n">
        <x:f>MIN(AP1003+AN1004,AM1004*tun_KHMaxRatio)</x:f>
        <x:v>0</x:v>
      </x:c>
      <x:c r="AP1004" s="32" t="n">
        <x:f>AP1003+AN1004-AO1004</x:f>
        <x:v>0</x:v>
      </x:c>
      <x:c r="AQ1004" s="32" t="n">
        <x:f>AM1004+AO1004</x:f>
        <x:v>0</x:v>
      </x:c>
      <x:c r="AR1004" s="10" t="n">
        <x:f>IF(H1004=1,INDEX(tun_Req,G1004),0)</x:f>
        <x:v>0</x:v>
      </x:c>
      <x:c r="AS1004" s="32" t="n">
        <x:f>IF(H1004=1,IF(E1004=1,AS1003-AR1003,AS1003)+AQ1004,0)</x:f>
        <x:v>0</x:v>
      </x:c>
      <x:c r="AT1004" s="11" t="n">
        <x:f>IF(AR1004&gt;0,MIN(1,AS1004/AR1004),1)</x:f>
        <x:v>1</x:v>
      </x:c>
      <x:c r="AU1004" s="10" t="n">
        <x:f>AB1004/INDEX(tun_RepScale,G1004)</x:f>
        <x:v>290.3368848566301</x:v>
      </x:c>
      <x:c r="AV1004" s="32" t="n">
        <x:f>AM1004*60/tun_SeasonSeconds</x:f>
        <x:v>0</x:v>
      </x:c>
    </x:row>
    <x:row r="1005">
      <x:c r="A1005" s="8" t="n">
        <x:f>A1004+1</x:f>
        <x:v>1002</x:v>
      </x:c>
      <x:c r="B1005" s="9" t="n">
        <x:f>A1005*tun_SeasonSeconds/60</x:f>
        <x:v>250.5</x:v>
      </x:c>
      <x:c r="C1005" s="9" t="n">
        <x:f>A1005/4</x:f>
        <x:v>250.5</x:v>
      </x:c>
      <x:c r="D1005" s="8" t="n">
        <x:f>IF(MOD(A1005,4)=0,1,0)</x:f>
        <x:v>0</x:v>
      </x:c>
      <x:c r="E1005" s="8" t="n">
        <x:f>IF(AND(F1004&lt;=9,AS1004&gt;=AR1004),1,0)</x:f>
        <x:v>0</x:v>
      </x:c>
      <x:c r="F1005" s="8" t="n">
        <x:f>MIN(10,F1004+E1005)</x:f>
        <x:v>10</x:v>
      </x:c>
      <x:c r="G1005" s="8" t="n">
        <x:f>MIN(F1005,9)+1</x:f>
        <x:v>10</x:v>
      </x:c>
      <x:c r="H1005" s="8" t="n">
        <x:f>IF(F1005&lt;=9,1,0)</x:f>
        <x:v>0</x:v>
      </x:c>
      <x:c r="I1005" s="9" t="n">
        <x:f>MIN(10,F1004+IF(AR1004&gt;0,MIN(1,AS1004/AR1004),1))</x:f>
        <x:v>10</x:v>
      </x:c>
      <x:c r="J1005" s="32" t="n">
        <x:f>INDEX(tun_FoodCap,G1005)*Arch_FoodCap*EXP(tun_CapsByProject*SUMPRODUCT((Cap_Point&lt;=I1005)*(Cap_Kind="Food")*Cap_Ln))</x:f>
        <x:v>18627.260449441455</x:v>
      </x:c>
      <x:c r="K1005" s="32" t="n">
        <x:f>J1005*MIN(1,tun_LeanBase*EXP(tun_CapsByProject*SUMPRODUCT((Cap_Point&lt;=I1005)*(Cap_Kind="Lean")*Cap_Ln)))</x:f>
        <x:v>18627.260449441455</x:v>
      </x:c>
      <x:c r="L1005" s="10" t="n">
        <x:f>INDEX(tun_HousingCap,G1005)*EXP(tun_CapsByProject*SUMPRODUCT((Cap_Point&lt;=I1005)*(Cap_Kind="Housing")*Cap_Ln))</x:f>
        <x:v>20528.974303173167</x:v>
      </x:c>
      <x:c r="M1005" s="10" t="n">
        <x:f>INDEX(tun_GroupCap,G1005)*tun_CohesionFactor*EXP(tun_CapsByProject*SUMPRODUCT((Cap_Point&lt;=I1005)*(Cap_Kind="Group")*Cap_Ln))</x:f>
        <x:v>1000000.000000001</x:v>
      </x:c>
      <x:c r="N1005" s="32" t="n">
        <x:f>MIN(J1005,L1005,M1005)</x:f>
        <x:v>18627.260449441455</x:v>
      </x:c>
      <x:c r="O1005" s="10" t="n">
        <x:f>AE1004*N1005</x:f>
        <x:v>167645.34404497308</x:v>
      </x:c>
      <x:c r="P1005" s="9" t="n">
        <x:f>MIN(1,(AB1004/(AE1004*IF(tun_GroupInCrowding=1,N1005,MIN(J1005,L1005))))^tun_CrowdingExp)</x:f>
        <x:v>0.4215841981292809</x:v>
      </x:c>
      <x:c r="Q1005" s="9" t="n">
        <x:f>IF(D1005=1,INDEX(tun_WinterMult,G1005),1)</x:f>
        <x:v>1</x:v>
      </x:c>
      <x:c r="R1005" s="9" t="n">
        <x:f>H1005*Z1004*tun_WomenShare*tun_BaseFertility*INDEX(tun_FertMult,G1005)*Arch_Fertility*(1-P1005)</x:f>
        <x:v>0</x:v>
      </x:c>
      <x:c r="S1005" s="9" t="n">
        <x:f>H1005*Y1004*INDEX(tun_MortChild,G1005)/4*Q1005</x:f>
        <x:v>0</x:v>
      </x:c>
      <x:c r="T1005" s="9" t="n">
        <x:f>H1005*Z1004*INDEX(tun_MortAdult,G1005)*Arch_AdultMort/4*Q1005</x:f>
        <x:v>0</x:v>
      </x:c>
      <x:c r="U1005" s="9" t="n">
        <x:f>H1005*AA1004*INDEX(tun_MortElder,G1005)/4*Q1005</x:f>
        <x:v>0</x:v>
      </x:c>
      <x:c r="V1005" s="9" t="n">
        <x:f>H1005*MAX(0,AB1004-O1005)*tun_OvercapLoss</x:f>
        <x:v>0</x:v>
      </x:c>
      <x:c r="W1005" s="9" t="n">
        <x:f>H1005*Y1004/(tun_ChildYears*4)</x:f>
        <x:v>0</x:v>
      </x:c>
      <x:c r="X1005" s="9" t="n">
        <x:f>H1005*Z1004/(tun_AdultYears*4)</x:f>
        <x:v>0</x:v>
      </x:c>
      <x:c r="Y1005" s="32" t="n">
        <x:f>Y1004+R1005-S1005-W1005-Y1004*V1005/AB1004</x:f>
        <x:v>40496.20709015643</x:v>
      </x:c>
      <x:c r="Z1005" s="32" t="n">
        <x:f>Z1004+W1005-X1005-T1005-Z1004*V1005/AB1004</x:f>
        <x:v>59141.61122890803</x:v>
      </x:c>
      <x:c r="AA1005" s="32" t="n">
        <x:f>AA1004+X1005-U1005-AA1004*V1005/AB1004</x:f>
        <x:v>45530.62410925061</x:v>
      </x:c>
      <x:c r="AB1005" s="10" t="n">
        <x:f>Y1005+Z1005+AA1005</x:f>
        <x:v>145168.44242831506</x:v>
      </x:c>
      <x:c r="AC1005" s="8" t="n">
        <x:f>IF(AND(tun_WinterTrigger=1,D1005=1,AB1004/AE1004&gt;=K1005),1,0)</x:f>
        <x:v>0</x:v>
      </x:c>
      <x:c r="AD1005" s="8" t="n">
        <x:f>H1005*IF(AND(OR(AB1004/AE1004&gt;=tun_FissionTrigger*N1005,AC1005=1),AB1004/AE1004*tun_DaughterShare&gt;=tun_MinDaughter),MAX(1,ROUND(AE1004*tun_FissionRate,0)),0)</x:f>
        <x:v>0</x:v>
      </x:c>
      <x:c r="AE1005" s="8" t="n">
        <x:f>IF(H1005=1,MAX(1,MIN(INDEX(tun_Smax,G1005),AE1004+AD1005)),AE1004)</x:f>
        <x:v>9</x:v>
      </x:c>
      <x:c r="AF1005" s="8" t="n">
        <x:f>MAX(0,AE1005-AE1004)</x:f>
        <x:v>0</x:v>
      </x:c>
      <x:c r="AG1005" s="9" t="str">
        <x:f>IF(AF1005&gt;0,B1005,"")</x:f>
      </x:c>
      <x:c r="AH1005" s="9" t="n">
        <x:f>IF(F1005&gt;=1,1,(1+tun_LowTiesShare*(AE1005-1))/AE1005)</x:f>
        <x:v>1</x:v>
      </x:c>
      <x:c r="AI1005" s="32" t="n">
        <x:f>(Z1005+tun_ElderCommons*INDEX(LM_Elder,G1005)*AA1005)*AH1005</x:f>
        <x:v>238215.0665857503</x:v>
      </x:c>
      <x:c r="AJ1005" s="32" t="n">
        <x:f>H1005*tun_CommonsCoef*AI1005^tun_CommonsExp*INDEX(LM_Commons,G1005)</x:f>
        <x:v>0</x:v>
      </x:c>
      <x:c r="AK1005" s="32" t="n">
        <x:f>H1005*tun_RoleScale*Arch_Roles*(AE1005*(INDEX(tun_ElderRolePerSett,G1005)*tun_OutElder*INDEX(LM_Elder,G1005)+INDEX(tun_ShamanPerSett,G1005)*tun_OutShaman)+Z1005*(INDEX(tun_PriestShare,G1005)*tun_OutPriest+INDEX(tun_ScribeShare,G1005)*tun_OutScribe*INDEX(LM_Scribe,G1005)+INDEX(tun_ScholarShare,G1005)*tun_OutScholar*INDEX(LM_Scholar,G1005)+INDEX(tun_ResearcherShare,G1005)*tun_OutResearcher*INDEX(LM_Researcher,G1005)))</x:f>
        <x:v>0</x:v>
      </x:c>
      <x:c r="AL1005" s="32" t="n">
        <x:f>H1005*tun_RoleScale*Arch_Roles*AE1005*INDEX(tun_MonasteryPerSett,G1005)*tun_OutMonastery*INDEX(LM_Monastery,G1005)</x:f>
        <x:v>0</x:v>
      </x:c>
      <x:c r="AM1005" s="32" t="n">
        <x:f>(AJ1005+AK1005+AL1005)/4*INDEX(LM_All,G1005)*INDEX(tun_Boon,G1005)*Arch_Insight</x:f>
        <x:v>0</x:v>
      </x:c>
      <x:c r="AN1005" s="32" t="n">
        <x:f>H1005*(tun_KHPerAdult*Z1005+tun_KHOfCommons*AJ1005/4*INDEX(LM_All,G1005))*tun_KHUsable*Arch_KH</x:f>
        <x:v>0</x:v>
      </x:c>
      <x:c r="AO1005" s="32" t="n">
        <x:f>MIN(AP1004+AN1005,AM1005*tun_KHMaxRatio)</x:f>
        <x:v>0</x:v>
      </x:c>
      <x:c r="AP1005" s="32" t="n">
        <x:f>AP1004+AN1005-AO1005</x:f>
        <x:v>0</x:v>
      </x:c>
      <x:c r="AQ1005" s="32" t="n">
        <x:f>AM1005+AO1005</x:f>
        <x:v>0</x:v>
      </x:c>
      <x:c r="AR1005" s="10" t="n">
        <x:f>IF(H1005=1,INDEX(tun_Req,G1005),0)</x:f>
        <x:v>0</x:v>
      </x:c>
      <x:c r="AS1005" s="32" t="n">
        <x:f>IF(H1005=1,IF(E1005=1,AS1004-AR1004,AS1004)+AQ1005,0)</x:f>
        <x:v>0</x:v>
      </x:c>
      <x:c r="AT1005" s="11" t="n">
        <x:f>IF(AR1005&gt;0,MIN(1,AS1005/AR1005),1)</x:f>
        <x:v>1</x:v>
      </x:c>
      <x:c r="AU1005" s="10" t="n">
        <x:f>AB1005/INDEX(tun_RepScale,G1005)</x:f>
        <x:v>290.3368848566301</x:v>
      </x:c>
      <x:c r="AV1005" s="32" t="n">
        <x:f>AM1005*60/tun_SeasonSeconds</x:f>
        <x:v>0</x:v>
      </x:c>
    </x:row>
    <x:row r="1006">
      <x:c r="A1006" s="8" t="n">
        <x:f>A1005+1</x:f>
        <x:v>1003</x:v>
      </x:c>
      <x:c r="B1006" s="9" t="n">
        <x:f>A1006*tun_SeasonSeconds/60</x:f>
        <x:v>250.75</x:v>
      </x:c>
      <x:c r="C1006" s="9" t="n">
        <x:f>A1006/4</x:f>
        <x:v>250.75</x:v>
      </x:c>
      <x:c r="D1006" s="8" t="n">
        <x:f>IF(MOD(A1006,4)=0,1,0)</x:f>
        <x:v>0</x:v>
      </x:c>
      <x:c r="E1006" s="8" t="n">
        <x:f>IF(AND(F1005&lt;=9,AS1005&gt;=AR1005),1,0)</x:f>
        <x:v>0</x:v>
      </x:c>
      <x:c r="F1006" s="8" t="n">
        <x:f>MIN(10,F1005+E1006)</x:f>
        <x:v>10</x:v>
      </x:c>
      <x:c r="G1006" s="8" t="n">
        <x:f>MIN(F1006,9)+1</x:f>
        <x:v>10</x:v>
      </x:c>
      <x:c r="H1006" s="8" t="n">
        <x:f>IF(F1006&lt;=9,1,0)</x:f>
        <x:v>0</x:v>
      </x:c>
      <x:c r="I1006" s="9" t="n">
        <x:f>MIN(10,F1005+IF(AR1005&gt;0,MIN(1,AS1005/AR1005),1))</x:f>
        <x:v>10</x:v>
      </x:c>
      <x:c r="J1006" s="32" t="n">
        <x:f>INDEX(tun_FoodCap,G1006)*Arch_FoodCap*EXP(tun_CapsByProject*SUMPRODUCT((Cap_Point&lt;=I1006)*(Cap_Kind="Food")*Cap_Ln))</x:f>
        <x:v>18627.260449441455</x:v>
      </x:c>
      <x:c r="K1006" s="32" t="n">
        <x:f>J1006*MIN(1,tun_LeanBase*EXP(tun_CapsByProject*SUMPRODUCT((Cap_Point&lt;=I1006)*(Cap_Kind="Lean")*Cap_Ln)))</x:f>
        <x:v>18627.260449441455</x:v>
      </x:c>
      <x:c r="L1006" s="10" t="n">
        <x:f>INDEX(tun_HousingCap,G1006)*EXP(tun_CapsByProject*SUMPRODUCT((Cap_Point&lt;=I1006)*(Cap_Kind="Housing")*Cap_Ln))</x:f>
        <x:v>20528.974303173167</x:v>
      </x:c>
      <x:c r="M1006" s="10" t="n">
        <x:f>INDEX(tun_GroupCap,G1006)*tun_CohesionFactor*EXP(tun_CapsByProject*SUMPRODUCT((Cap_Point&lt;=I1006)*(Cap_Kind="Group")*Cap_Ln))</x:f>
        <x:v>1000000.000000001</x:v>
      </x:c>
      <x:c r="N1006" s="32" t="n">
        <x:f>MIN(J1006,L1006,M1006)</x:f>
        <x:v>18627.260449441455</x:v>
      </x:c>
      <x:c r="O1006" s="10" t="n">
        <x:f>AE1005*N1006</x:f>
        <x:v>167645.34404497308</x:v>
      </x:c>
      <x:c r="P1006" s="9" t="n">
        <x:f>MIN(1,(AB1005/(AE1005*IF(tun_GroupInCrowding=1,N1006,MIN(J1006,L1006))))^tun_CrowdingExp)</x:f>
        <x:v>0.4215841981292809</x:v>
      </x:c>
      <x:c r="Q1006" s="9" t="n">
        <x:f>IF(D1006=1,INDEX(tun_WinterMult,G1006),1)</x:f>
        <x:v>1</x:v>
      </x:c>
      <x:c r="R1006" s="9" t="n">
        <x:f>H1006*Z1005*tun_WomenShare*tun_BaseFertility*INDEX(tun_FertMult,G1006)*Arch_Fertility*(1-P1006)</x:f>
        <x:v>0</x:v>
      </x:c>
      <x:c r="S1006" s="9" t="n">
        <x:f>H1006*Y1005*INDEX(tun_MortChild,G1006)/4*Q1006</x:f>
        <x:v>0</x:v>
      </x:c>
      <x:c r="T1006" s="9" t="n">
        <x:f>H1006*Z1005*INDEX(tun_MortAdult,G1006)*Arch_AdultMort/4*Q1006</x:f>
        <x:v>0</x:v>
      </x:c>
      <x:c r="U1006" s="9" t="n">
        <x:f>H1006*AA1005*INDEX(tun_MortElder,G1006)/4*Q1006</x:f>
        <x:v>0</x:v>
      </x:c>
      <x:c r="V1006" s="9" t="n">
        <x:f>H1006*MAX(0,AB1005-O1006)*tun_OvercapLoss</x:f>
        <x:v>0</x:v>
      </x:c>
      <x:c r="W1006" s="9" t="n">
        <x:f>H1006*Y1005/(tun_ChildYears*4)</x:f>
        <x:v>0</x:v>
      </x:c>
      <x:c r="X1006" s="9" t="n">
        <x:f>H1006*Z1005/(tun_AdultYears*4)</x:f>
        <x:v>0</x:v>
      </x:c>
      <x:c r="Y1006" s="32" t="n">
        <x:f>Y1005+R1006-S1006-W1006-Y1005*V1006/AB1005</x:f>
        <x:v>40496.20709015643</x:v>
      </x:c>
      <x:c r="Z1006" s="32" t="n">
        <x:f>Z1005+W1006-X1006-T1006-Z1005*V1006/AB1005</x:f>
        <x:v>59141.61122890803</x:v>
      </x:c>
      <x:c r="AA1006" s="32" t="n">
        <x:f>AA1005+X1006-U1006-AA1005*V1006/AB1005</x:f>
        <x:v>45530.62410925061</x:v>
      </x:c>
      <x:c r="AB1006" s="10" t="n">
        <x:f>Y1006+Z1006+AA1006</x:f>
        <x:v>145168.44242831506</x:v>
      </x:c>
      <x:c r="AC1006" s="8" t="n">
        <x:f>IF(AND(tun_WinterTrigger=1,D1006=1,AB1005/AE1005&gt;=K1006),1,0)</x:f>
        <x:v>0</x:v>
      </x:c>
      <x:c r="AD1006" s="8" t="n">
        <x:f>H1006*IF(AND(OR(AB1005/AE1005&gt;=tun_FissionTrigger*N1006,AC1006=1),AB1005/AE1005*tun_DaughterShare&gt;=tun_MinDaughter),MAX(1,ROUND(AE1005*tun_FissionRate,0)),0)</x:f>
        <x:v>0</x:v>
      </x:c>
      <x:c r="AE1006" s="8" t="n">
        <x:f>IF(H1006=1,MAX(1,MIN(INDEX(tun_Smax,G1006),AE1005+AD1006)),AE1005)</x:f>
        <x:v>9</x:v>
      </x:c>
      <x:c r="AF1006" s="8" t="n">
        <x:f>MAX(0,AE1006-AE1005)</x:f>
        <x:v>0</x:v>
      </x:c>
      <x:c r="AG1006" s="9" t="str">
        <x:f>IF(AF1006&gt;0,B1006,"")</x:f>
      </x:c>
      <x:c r="AH1006" s="9" t="n">
        <x:f>IF(F1006&gt;=1,1,(1+tun_LowTiesShare*(AE1006-1))/AE1006)</x:f>
        <x:v>1</x:v>
      </x:c>
      <x:c r="AI1006" s="32" t="n">
        <x:f>(Z1006+tun_ElderCommons*INDEX(LM_Elder,G1006)*AA1006)*AH1006</x:f>
        <x:v>238215.0665857503</x:v>
      </x:c>
      <x:c r="AJ1006" s="32" t="n">
        <x:f>H1006*tun_CommonsCoef*AI1006^tun_CommonsExp*INDEX(LM_Commons,G1006)</x:f>
        <x:v>0</x:v>
      </x:c>
      <x:c r="AK1006" s="32" t="n">
        <x:f>H1006*tun_RoleScale*Arch_Roles*(AE1006*(INDEX(tun_ElderRolePerSett,G1006)*tun_OutElder*INDEX(LM_Elder,G1006)+INDEX(tun_ShamanPerSett,G1006)*tun_OutShaman)+Z1006*(INDEX(tun_PriestShare,G1006)*tun_OutPriest+INDEX(tun_ScribeShare,G1006)*tun_OutScribe*INDEX(LM_Scribe,G1006)+INDEX(tun_ScholarShare,G1006)*tun_OutScholar*INDEX(LM_Scholar,G1006)+INDEX(tun_ResearcherShare,G1006)*tun_OutResearcher*INDEX(LM_Researcher,G1006)))</x:f>
        <x:v>0</x:v>
      </x:c>
      <x:c r="AL1006" s="32" t="n">
        <x:f>H1006*tun_RoleScale*Arch_Roles*AE1006*INDEX(tun_MonasteryPerSett,G1006)*tun_OutMonastery*INDEX(LM_Monastery,G1006)</x:f>
        <x:v>0</x:v>
      </x:c>
      <x:c r="AM1006" s="32" t="n">
        <x:f>(AJ1006+AK1006+AL1006)/4*INDEX(LM_All,G1006)*INDEX(tun_Boon,G1006)*Arch_Insight</x:f>
        <x:v>0</x:v>
      </x:c>
      <x:c r="AN1006" s="32" t="n">
        <x:f>H1006*(tun_KHPerAdult*Z1006+tun_KHOfCommons*AJ1006/4*INDEX(LM_All,G1006))*tun_KHUsable*Arch_KH</x:f>
        <x:v>0</x:v>
      </x:c>
      <x:c r="AO1006" s="32" t="n">
        <x:f>MIN(AP1005+AN1006,AM1006*tun_KHMaxRatio)</x:f>
        <x:v>0</x:v>
      </x:c>
      <x:c r="AP1006" s="32" t="n">
        <x:f>AP1005+AN1006-AO1006</x:f>
        <x:v>0</x:v>
      </x:c>
      <x:c r="AQ1006" s="32" t="n">
        <x:f>AM1006+AO1006</x:f>
        <x:v>0</x:v>
      </x:c>
      <x:c r="AR1006" s="10" t="n">
        <x:f>IF(H1006=1,INDEX(tun_Req,G1006),0)</x:f>
        <x:v>0</x:v>
      </x:c>
      <x:c r="AS1006" s="32" t="n">
        <x:f>IF(H1006=1,IF(E1006=1,AS1005-AR1005,AS1005)+AQ1006,0)</x:f>
        <x:v>0</x:v>
      </x:c>
      <x:c r="AT1006" s="11" t="n">
        <x:f>IF(AR1006&gt;0,MIN(1,AS1006/AR1006),1)</x:f>
        <x:v>1</x:v>
      </x:c>
      <x:c r="AU1006" s="10" t="n">
        <x:f>AB1006/INDEX(tun_RepScale,G1006)</x:f>
        <x:v>290.3368848566301</x:v>
      </x:c>
      <x:c r="AV1006" s="32" t="n">
        <x:f>AM1006*60/tun_SeasonSeconds</x:f>
        <x:v>0</x:v>
      </x:c>
    </x:row>
    <x:row r="1007">
      <x:c r="A1007" s="8" t="n">
        <x:f>A1006+1</x:f>
        <x:v>1004</x:v>
      </x:c>
      <x:c r="B1007" s="9" t="n">
        <x:f>A1007*tun_SeasonSeconds/60</x:f>
        <x:v>251</x:v>
      </x:c>
      <x:c r="C1007" s="9" t="n">
        <x:f>A1007/4</x:f>
        <x:v>251</x:v>
      </x:c>
      <x:c r="D1007" s="8" t="n">
        <x:f>IF(MOD(A1007,4)=0,1,0)</x:f>
        <x:v>1</x:v>
      </x:c>
      <x:c r="E1007" s="8" t="n">
        <x:f>IF(AND(F1006&lt;=9,AS1006&gt;=AR1006),1,0)</x:f>
        <x:v>0</x:v>
      </x:c>
      <x:c r="F1007" s="8" t="n">
        <x:f>MIN(10,F1006+E1007)</x:f>
        <x:v>10</x:v>
      </x:c>
      <x:c r="G1007" s="8" t="n">
        <x:f>MIN(F1007,9)+1</x:f>
        <x:v>10</x:v>
      </x:c>
      <x:c r="H1007" s="8" t="n">
        <x:f>IF(F1007&lt;=9,1,0)</x:f>
        <x:v>0</x:v>
      </x:c>
      <x:c r="I1007" s="9" t="n">
        <x:f>MIN(10,F1006+IF(AR1006&gt;0,MIN(1,AS1006/AR1006),1))</x:f>
        <x:v>10</x:v>
      </x:c>
      <x:c r="J1007" s="32" t="n">
        <x:f>INDEX(tun_FoodCap,G1007)*Arch_FoodCap*EXP(tun_CapsByProject*SUMPRODUCT((Cap_Point&lt;=I1007)*(Cap_Kind="Food")*Cap_Ln))</x:f>
        <x:v>18627.260449441455</x:v>
      </x:c>
      <x:c r="K1007" s="32" t="n">
        <x:f>J1007*MIN(1,tun_LeanBase*EXP(tun_CapsByProject*SUMPRODUCT((Cap_Point&lt;=I1007)*(Cap_Kind="Lean")*Cap_Ln)))</x:f>
        <x:v>18627.260449441455</x:v>
      </x:c>
      <x:c r="L1007" s="10" t="n">
        <x:f>INDEX(tun_HousingCap,G1007)*EXP(tun_CapsByProject*SUMPRODUCT((Cap_Point&lt;=I1007)*(Cap_Kind="Housing")*Cap_Ln))</x:f>
        <x:v>20528.974303173167</x:v>
      </x:c>
      <x:c r="M1007" s="10" t="n">
        <x:f>INDEX(tun_GroupCap,G1007)*tun_CohesionFactor*EXP(tun_CapsByProject*SUMPRODUCT((Cap_Point&lt;=I1007)*(Cap_Kind="Group")*Cap_Ln))</x:f>
        <x:v>1000000.000000001</x:v>
      </x:c>
      <x:c r="N1007" s="32" t="n">
        <x:f>MIN(J1007,L1007,M1007)</x:f>
        <x:v>18627.260449441455</x:v>
      </x:c>
      <x:c r="O1007" s="10" t="n">
        <x:f>AE1006*N1007</x:f>
        <x:v>167645.34404497308</x:v>
      </x:c>
      <x:c r="P1007" s="9" t="n">
        <x:f>MIN(1,(AB1006/(AE1006*IF(tun_GroupInCrowding=1,N1007,MIN(J1007,L1007))))^tun_CrowdingExp)</x:f>
        <x:v>0.4215841981292809</x:v>
      </x:c>
      <x:c r="Q1007" s="9" t="n">
        <x:f>IF(D1007=1,INDEX(tun_WinterMult,G1007),1)</x:f>
        <x:v>1.05</x:v>
      </x:c>
      <x:c r="R1007" s="9" t="n">
        <x:f>H1007*Z1006*tun_WomenShare*tun_BaseFertility*INDEX(tun_FertMult,G1007)*Arch_Fertility*(1-P1007)</x:f>
        <x:v>0</x:v>
      </x:c>
      <x:c r="S1007" s="9" t="n">
        <x:f>H1007*Y1006*INDEX(tun_MortChild,G1007)/4*Q1007</x:f>
        <x:v>0</x:v>
      </x:c>
      <x:c r="T1007" s="9" t="n">
        <x:f>H1007*Z1006*INDEX(tun_MortAdult,G1007)*Arch_AdultMort/4*Q1007</x:f>
        <x:v>0</x:v>
      </x:c>
      <x:c r="U1007" s="9" t="n">
        <x:f>H1007*AA1006*INDEX(tun_MortElder,G1007)/4*Q1007</x:f>
        <x:v>0</x:v>
      </x:c>
      <x:c r="V1007" s="9" t="n">
        <x:f>H1007*MAX(0,AB1006-O1007)*tun_OvercapLoss</x:f>
        <x:v>0</x:v>
      </x:c>
      <x:c r="W1007" s="9" t="n">
        <x:f>H1007*Y1006/(tun_ChildYears*4)</x:f>
        <x:v>0</x:v>
      </x:c>
      <x:c r="X1007" s="9" t="n">
        <x:f>H1007*Z1006/(tun_AdultYears*4)</x:f>
        <x:v>0</x:v>
      </x:c>
      <x:c r="Y1007" s="32" t="n">
        <x:f>Y1006+R1007-S1007-W1007-Y1006*V1007/AB1006</x:f>
        <x:v>40496.20709015643</x:v>
      </x:c>
      <x:c r="Z1007" s="32" t="n">
        <x:f>Z1006+W1007-X1007-T1007-Z1006*V1007/AB1006</x:f>
        <x:v>59141.61122890803</x:v>
      </x:c>
      <x:c r="AA1007" s="32" t="n">
        <x:f>AA1006+X1007-U1007-AA1006*V1007/AB1006</x:f>
        <x:v>45530.62410925061</x:v>
      </x:c>
      <x:c r="AB1007" s="10" t="n">
        <x:f>Y1007+Z1007+AA1007</x:f>
        <x:v>145168.44242831506</x:v>
      </x:c>
      <x:c r="AC1007" s="8" t="n">
        <x:f>IF(AND(tun_WinterTrigger=1,D1007=1,AB1006/AE1006&gt;=K1007),1,0)</x:f>
        <x:v>0</x:v>
      </x:c>
      <x:c r="AD1007" s="8" t="n">
        <x:f>H1007*IF(AND(OR(AB1006/AE1006&gt;=tun_FissionTrigger*N1007,AC1007=1),AB1006/AE1006*tun_DaughterShare&gt;=tun_MinDaughter),MAX(1,ROUND(AE1006*tun_FissionRate,0)),0)</x:f>
        <x:v>0</x:v>
      </x:c>
      <x:c r="AE1007" s="8" t="n">
        <x:f>IF(H1007=1,MAX(1,MIN(INDEX(tun_Smax,G1007),AE1006+AD1007)),AE1006)</x:f>
        <x:v>9</x:v>
      </x:c>
      <x:c r="AF1007" s="8" t="n">
        <x:f>MAX(0,AE1007-AE1006)</x:f>
        <x:v>0</x:v>
      </x:c>
      <x:c r="AG1007" s="9" t="str">
        <x:f>IF(AF1007&gt;0,B1007,"")</x:f>
      </x:c>
      <x:c r="AH1007" s="9" t="n">
        <x:f>IF(F1007&gt;=1,1,(1+tun_LowTiesShare*(AE1007-1))/AE1007)</x:f>
        <x:v>1</x:v>
      </x:c>
      <x:c r="AI1007" s="32" t="n">
        <x:f>(Z1007+tun_ElderCommons*INDEX(LM_Elder,G1007)*AA1007)*AH1007</x:f>
        <x:v>238215.0665857503</x:v>
      </x:c>
      <x:c r="AJ1007" s="32" t="n">
        <x:f>H1007*tun_CommonsCoef*AI1007^tun_CommonsExp*INDEX(LM_Commons,G1007)</x:f>
        <x:v>0</x:v>
      </x:c>
      <x:c r="AK1007" s="32" t="n">
        <x:f>H1007*tun_RoleScale*Arch_Roles*(AE1007*(INDEX(tun_ElderRolePerSett,G1007)*tun_OutElder*INDEX(LM_Elder,G1007)+INDEX(tun_ShamanPerSett,G1007)*tun_OutShaman)+Z1007*(INDEX(tun_PriestShare,G1007)*tun_OutPriest+INDEX(tun_ScribeShare,G1007)*tun_OutScribe*INDEX(LM_Scribe,G1007)+INDEX(tun_ScholarShare,G1007)*tun_OutScholar*INDEX(LM_Scholar,G1007)+INDEX(tun_ResearcherShare,G1007)*tun_OutResearcher*INDEX(LM_Researcher,G1007)))</x:f>
        <x:v>0</x:v>
      </x:c>
      <x:c r="AL1007" s="32" t="n">
        <x:f>H1007*tun_RoleScale*Arch_Roles*AE1007*INDEX(tun_MonasteryPerSett,G1007)*tun_OutMonastery*INDEX(LM_Monastery,G1007)</x:f>
        <x:v>0</x:v>
      </x:c>
      <x:c r="AM1007" s="32" t="n">
        <x:f>(AJ1007+AK1007+AL1007)/4*INDEX(LM_All,G1007)*INDEX(tun_Boon,G1007)*Arch_Insight</x:f>
        <x:v>0</x:v>
      </x:c>
      <x:c r="AN1007" s="32" t="n">
        <x:f>H1007*(tun_KHPerAdult*Z1007+tun_KHOfCommons*AJ1007/4*INDEX(LM_All,G1007))*tun_KHUsable*Arch_KH</x:f>
        <x:v>0</x:v>
      </x:c>
      <x:c r="AO1007" s="32" t="n">
        <x:f>MIN(AP1006+AN1007,AM1007*tun_KHMaxRatio)</x:f>
        <x:v>0</x:v>
      </x:c>
      <x:c r="AP1007" s="32" t="n">
        <x:f>AP1006+AN1007-AO1007</x:f>
        <x:v>0</x:v>
      </x:c>
      <x:c r="AQ1007" s="32" t="n">
        <x:f>AM1007+AO1007</x:f>
        <x:v>0</x:v>
      </x:c>
      <x:c r="AR1007" s="10" t="n">
        <x:f>IF(H1007=1,INDEX(tun_Req,G1007),0)</x:f>
        <x:v>0</x:v>
      </x:c>
      <x:c r="AS1007" s="32" t="n">
        <x:f>IF(H1007=1,IF(E1007=1,AS1006-AR1006,AS1006)+AQ1007,0)</x:f>
        <x:v>0</x:v>
      </x:c>
      <x:c r="AT1007" s="11" t="n">
        <x:f>IF(AR1007&gt;0,MIN(1,AS1007/AR1007),1)</x:f>
        <x:v>1</x:v>
      </x:c>
      <x:c r="AU1007" s="10" t="n">
        <x:f>AB1007/INDEX(tun_RepScale,G1007)</x:f>
        <x:v>290.3368848566301</x:v>
      </x:c>
      <x:c r="AV1007" s="32" t="n">
        <x:f>AM1007*60/tun_SeasonSeconds</x:f>
        <x:v>0</x:v>
      </x:c>
    </x:row>
    <x:row r="1008">
      <x:c r="A1008" s="8" t="n">
        <x:f>A1007+1</x:f>
        <x:v>1005</x:v>
      </x:c>
      <x:c r="B1008" s="9" t="n">
        <x:f>A1008*tun_SeasonSeconds/60</x:f>
        <x:v>251.25</x:v>
      </x:c>
      <x:c r="C1008" s="9" t="n">
        <x:f>A1008/4</x:f>
        <x:v>251.25</x:v>
      </x:c>
      <x:c r="D1008" s="8" t="n">
        <x:f>IF(MOD(A1008,4)=0,1,0)</x:f>
        <x:v>0</x:v>
      </x:c>
      <x:c r="E1008" s="8" t="n">
        <x:f>IF(AND(F1007&lt;=9,AS1007&gt;=AR1007),1,0)</x:f>
        <x:v>0</x:v>
      </x:c>
      <x:c r="F1008" s="8" t="n">
        <x:f>MIN(10,F1007+E1008)</x:f>
        <x:v>10</x:v>
      </x:c>
      <x:c r="G1008" s="8" t="n">
        <x:f>MIN(F1008,9)+1</x:f>
        <x:v>10</x:v>
      </x:c>
      <x:c r="H1008" s="8" t="n">
        <x:f>IF(F1008&lt;=9,1,0)</x:f>
        <x:v>0</x:v>
      </x:c>
      <x:c r="I1008" s="9" t="n">
        <x:f>MIN(10,F1007+IF(AR1007&gt;0,MIN(1,AS1007/AR1007),1))</x:f>
        <x:v>10</x:v>
      </x:c>
      <x:c r="J1008" s="32" t="n">
        <x:f>INDEX(tun_FoodCap,G1008)*Arch_FoodCap*EXP(tun_CapsByProject*SUMPRODUCT((Cap_Point&lt;=I1008)*(Cap_Kind="Food")*Cap_Ln))</x:f>
        <x:v>18627.260449441455</x:v>
      </x:c>
      <x:c r="K1008" s="32" t="n">
        <x:f>J1008*MIN(1,tun_LeanBase*EXP(tun_CapsByProject*SUMPRODUCT((Cap_Point&lt;=I1008)*(Cap_Kind="Lean")*Cap_Ln)))</x:f>
        <x:v>18627.260449441455</x:v>
      </x:c>
      <x:c r="L1008" s="10" t="n">
        <x:f>INDEX(tun_HousingCap,G1008)*EXP(tun_CapsByProject*SUMPRODUCT((Cap_Point&lt;=I1008)*(Cap_Kind="Housing")*Cap_Ln))</x:f>
        <x:v>20528.974303173167</x:v>
      </x:c>
      <x:c r="M1008" s="10" t="n">
        <x:f>INDEX(tun_GroupCap,G1008)*tun_CohesionFactor*EXP(tun_CapsByProject*SUMPRODUCT((Cap_Point&lt;=I1008)*(Cap_Kind="Group")*Cap_Ln))</x:f>
        <x:v>1000000.000000001</x:v>
      </x:c>
      <x:c r="N1008" s="32" t="n">
        <x:f>MIN(J1008,L1008,M1008)</x:f>
        <x:v>18627.260449441455</x:v>
      </x:c>
      <x:c r="O1008" s="10" t="n">
        <x:f>AE1007*N1008</x:f>
        <x:v>167645.34404497308</x:v>
      </x:c>
      <x:c r="P1008" s="9" t="n">
        <x:f>MIN(1,(AB1007/(AE1007*IF(tun_GroupInCrowding=1,N1008,MIN(J1008,L1008))))^tun_CrowdingExp)</x:f>
        <x:v>0.4215841981292809</x:v>
      </x:c>
      <x:c r="Q1008" s="9" t="n">
        <x:f>IF(D1008=1,INDEX(tun_WinterMult,G1008),1)</x:f>
        <x:v>1</x:v>
      </x:c>
      <x:c r="R1008" s="9" t="n">
        <x:f>H1008*Z1007*tun_WomenShare*tun_BaseFertility*INDEX(tun_FertMult,G1008)*Arch_Fertility*(1-P1008)</x:f>
        <x:v>0</x:v>
      </x:c>
      <x:c r="S1008" s="9" t="n">
        <x:f>H1008*Y1007*INDEX(tun_MortChild,G1008)/4*Q1008</x:f>
        <x:v>0</x:v>
      </x:c>
      <x:c r="T1008" s="9" t="n">
        <x:f>H1008*Z1007*INDEX(tun_MortAdult,G1008)*Arch_AdultMort/4*Q1008</x:f>
        <x:v>0</x:v>
      </x:c>
      <x:c r="U1008" s="9" t="n">
        <x:f>H1008*AA1007*INDEX(tun_MortElder,G1008)/4*Q1008</x:f>
        <x:v>0</x:v>
      </x:c>
      <x:c r="V1008" s="9" t="n">
        <x:f>H1008*MAX(0,AB1007-O1008)*tun_OvercapLoss</x:f>
        <x:v>0</x:v>
      </x:c>
      <x:c r="W1008" s="9" t="n">
        <x:f>H1008*Y1007/(tun_ChildYears*4)</x:f>
        <x:v>0</x:v>
      </x:c>
      <x:c r="X1008" s="9" t="n">
        <x:f>H1008*Z1007/(tun_AdultYears*4)</x:f>
        <x:v>0</x:v>
      </x:c>
      <x:c r="Y1008" s="32" t="n">
        <x:f>Y1007+R1008-S1008-W1008-Y1007*V1008/AB1007</x:f>
        <x:v>40496.20709015643</x:v>
      </x:c>
      <x:c r="Z1008" s="32" t="n">
        <x:f>Z1007+W1008-X1008-T1008-Z1007*V1008/AB1007</x:f>
        <x:v>59141.61122890803</x:v>
      </x:c>
      <x:c r="AA1008" s="32" t="n">
        <x:f>AA1007+X1008-U1008-AA1007*V1008/AB1007</x:f>
        <x:v>45530.62410925061</x:v>
      </x:c>
      <x:c r="AB1008" s="10" t="n">
        <x:f>Y1008+Z1008+AA1008</x:f>
        <x:v>145168.44242831506</x:v>
      </x:c>
      <x:c r="AC1008" s="8" t="n">
        <x:f>IF(AND(tun_WinterTrigger=1,D1008=1,AB1007/AE1007&gt;=K1008),1,0)</x:f>
        <x:v>0</x:v>
      </x:c>
      <x:c r="AD1008" s="8" t="n">
        <x:f>H1008*IF(AND(OR(AB1007/AE1007&gt;=tun_FissionTrigger*N1008,AC1008=1),AB1007/AE1007*tun_DaughterShare&gt;=tun_MinDaughter),MAX(1,ROUND(AE1007*tun_FissionRate,0)),0)</x:f>
        <x:v>0</x:v>
      </x:c>
      <x:c r="AE1008" s="8" t="n">
        <x:f>IF(H1008=1,MAX(1,MIN(INDEX(tun_Smax,G1008),AE1007+AD1008)),AE1007)</x:f>
        <x:v>9</x:v>
      </x:c>
      <x:c r="AF1008" s="8" t="n">
        <x:f>MAX(0,AE1008-AE1007)</x:f>
        <x:v>0</x:v>
      </x:c>
      <x:c r="AG1008" s="9" t="str">
        <x:f>IF(AF1008&gt;0,B1008,"")</x:f>
      </x:c>
      <x:c r="AH1008" s="9" t="n">
        <x:f>IF(F1008&gt;=1,1,(1+tun_LowTiesShare*(AE1008-1))/AE1008)</x:f>
        <x:v>1</x:v>
      </x:c>
      <x:c r="AI1008" s="32" t="n">
        <x:f>(Z1008+tun_ElderCommons*INDEX(LM_Elder,G1008)*AA1008)*AH1008</x:f>
        <x:v>238215.0665857503</x:v>
      </x:c>
      <x:c r="AJ1008" s="32" t="n">
        <x:f>H1008*tun_CommonsCoef*AI1008^tun_CommonsExp*INDEX(LM_Commons,G1008)</x:f>
        <x:v>0</x:v>
      </x:c>
      <x:c r="AK1008" s="32" t="n">
        <x:f>H1008*tun_RoleScale*Arch_Roles*(AE1008*(INDEX(tun_ElderRolePerSett,G1008)*tun_OutElder*INDEX(LM_Elder,G1008)+INDEX(tun_ShamanPerSett,G1008)*tun_OutShaman)+Z1008*(INDEX(tun_PriestShare,G1008)*tun_OutPriest+INDEX(tun_ScribeShare,G1008)*tun_OutScribe*INDEX(LM_Scribe,G1008)+INDEX(tun_ScholarShare,G1008)*tun_OutScholar*INDEX(LM_Scholar,G1008)+INDEX(tun_ResearcherShare,G1008)*tun_OutResearcher*INDEX(LM_Researcher,G1008)))</x:f>
        <x:v>0</x:v>
      </x:c>
      <x:c r="AL1008" s="32" t="n">
        <x:f>H1008*tun_RoleScale*Arch_Roles*AE1008*INDEX(tun_MonasteryPerSett,G1008)*tun_OutMonastery*INDEX(LM_Monastery,G1008)</x:f>
        <x:v>0</x:v>
      </x:c>
      <x:c r="AM1008" s="32" t="n">
        <x:f>(AJ1008+AK1008+AL1008)/4*INDEX(LM_All,G1008)*INDEX(tun_Boon,G1008)*Arch_Insight</x:f>
        <x:v>0</x:v>
      </x:c>
      <x:c r="AN1008" s="32" t="n">
        <x:f>H1008*(tun_KHPerAdult*Z1008+tun_KHOfCommons*AJ1008/4*INDEX(LM_All,G1008))*tun_KHUsable*Arch_KH</x:f>
        <x:v>0</x:v>
      </x:c>
      <x:c r="AO1008" s="32" t="n">
        <x:f>MIN(AP1007+AN1008,AM1008*tun_KHMaxRatio)</x:f>
        <x:v>0</x:v>
      </x:c>
      <x:c r="AP1008" s="32" t="n">
        <x:f>AP1007+AN1008-AO1008</x:f>
        <x:v>0</x:v>
      </x:c>
      <x:c r="AQ1008" s="32" t="n">
        <x:f>AM1008+AO1008</x:f>
        <x:v>0</x:v>
      </x:c>
      <x:c r="AR1008" s="10" t="n">
        <x:f>IF(H1008=1,INDEX(tun_Req,G1008),0)</x:f>
        <x:v>0</x:v>
      </x:c>
      <x:c r="AS1008" s="32" t="n">
        <x:f>IF(H1008=1,IF(E1008=1,AS1007-AR1007,AS1007)+AQ1008,0)</x:f>
        <x:v>0</x:v>
      </x:c>
      <x:c r="AT1008" s="11" t="n">
        <x:f>IF(AR1008&gt;0,MIN(1,AS1008/AR1008),1)</x:f>
        <x:v>1</x:v>
      </x:c>
      <x:c r="AU1008" s="10" t="n">
        <x:f>AB1008/INDEX(tun_RepScale,G1008)</x:f>
        <x:v>290.3368848566301</x:v>
      </x:c>
      <x:c r="AV1008" s="32" t="n">
        <x:f>AM1008*60/tun_SeasonSeconds</x:f>
        <x:v>0</x:v>
      </x:c>
    </x:row>
    <x:row r="1009">
      <x:c r="A1009" s="8" t="n">
        <x:f>A1008+1</x:f>
        <x:v>1006</x:v>
      </x:c>
      <x:c r="B1009" s="9" t="n">
        <x:f>A1009*tun_SeasonSeconds/60</x:f>
        <x:v>251.5</x:v>
      </x:c>
      <x:c r="C1009" s="9" t="n">
        <x:f>A1009/4</x:f>
        <x:v>251.5</x:v>
      </x:c>
      <x:c r="D1009" s="8" t="n">
        <x:f>IF(MOD(A1009,4)=0,1,0)</x:f>
        <x:v>0</x:v>
      </x:c>
      <x:c r="E1009" s="8" t="n">
        <x:f>IF(AND(F1008&lt;=9,AS1008&gt;=AR1008),1,0)</x:f>
        <x:v>0</x:v>
      </x:c>
      <x:c r="F1009" s="8" t="n">
        <x:f>MIN(10,F1008+E1009)</x:f>
        <x:v>10</x:v>
      </x:c>
      <x:c r="G1009" s="8" t="n">
        <x:f>MIN(F1009,9)+1</x:f>
        <x:v>10</x:v>
      </x:c>
      <x:c r="H1009" s="8" t="n">
        <x:f>IF(F1009&lt;=9,1,0)</x:f>
        <x:v>0</x:v>
      </x:c>
      <x:c r="I1009" s="9" t="n">
        <x:f>MIN(10,F1008+IF(AR1008&gt;0,MIN(1,AS1008/AR1008),1))</x:f>
        <x:v>10</x:v>
      </x:c>
      <x:c r="J1009" s="32" t="n">
        <x:f>INDEX(tun_FoodCap,G1009)*Arch_FoodCap*EXP(tun_CapsByProject*SUMPRODUCT((Cap_Point&lt;=I1009)*(Cap_Kind="Food")*Cap_Ln))</x:f>
        <x:v>18627.260449441455</x:v>
      </x:c>
      <x:c r="K1009" s="32" t="n">
        <x:f>J1009*MIN(1,tun_LeanBase*EXP(tun_CapsByProject*SUMPRODUCT((Cap_Point&lt;=I1009)*(Cap_Kind="Lean")*Cap_Ln)))</x:f>
        <x:v>18627.260449441455</x:v>
      </x:c>
      <x:c r="L1009" s="10" t="n">
        <x:f>INDEX(tun_HousingCap,G1009)*EXP(tun_CapsByProject*SUMPRODUCT((Cap_Point&lt;=I1009)*(Cap_Kind="Housing")*Cap_Ln))</x:f>
        <x:v>20528.974303173167</x:v>
      </x:c>
      <x:c r="M1009" s="10" t="n">
        <x:f>INDEX(tun_GroupCap,G1009)*tun_CohesionFactor*EXP(tun_CapsByProject*SUMPRODUCT((Cap_Point&lt;=I1009)*(Cap_Kind="Group")*Cap_Ln))</x:f>
        <x:v>1000000.000000001</x:v>
      </x:c>
      <x:c r="N1009" s="32" t="n">
        <x:f>MIN(J1009,L1009,M1009)</x:f>
        <x:v>18627.260449441455</x:v>
      </x:c>
      <x:c r="O1009" s="10" t="n">
        <x:f>AE1008*N1009</x:f>
        <x:v>167645.34404497308</x:v>
      </x:c>
      <x:c r="P1009" s="9" t="n">
        <x:f>MIN(1,(AB1008/(AE1008*IF(tun_GroupInCrowding=1,N1009,MIN(J1009,L1009))))^tun_CrowdingExp)</x:f>
        <x:v>0.4215841981292809</x:v>
      </x:c>
      <x:c r="Q1009" s="9" t="n">
        <x:f>IF(D1009=1,INDEX(tun_WinterMult,G1009),1)</x:f>
        <x:v>1</x:v>
      </x:c>
      <x:c r="R1009" s="9" t="n">
        <x:f>H1009*Z1008*tun_WomenShare*tun_BaseFertility*INDEX(tun_FertMult,G1009)*Arch_Fertility*(1-P1009)</x:f>
        <x:v>0</x:v>
      </x:c>
      <x:c r="S1009" s="9" t="n">
        <x:f>H1009*Y1008*INDEX(tun_MortChild,G1009)/4*Q1009</x:f>
        <x:v>0</x:v>
      </x:c>
      <x:c r="T1009" s="9" t="n">
        <x:f>H1009*Z1008*INDEX(tun_MortAdult,G1009)*Arch_AdultMort/4*Q1009</x:f>
        <x:v>0</x:v>
      </x:c>
      <x:c r="U1009" s="9" t="n">
        <x:f>H1009*AA1008*INDEX(tun_MortElder,G1009)/4*Q1009</x:f>
        <x:v>0</x:v>
      </x:c>
      <x:c r="V1009" s="9" t="n">
        <x:f>H1009*MAX(0,AB1008-O1009)*tun_OvercapLoss</x:f>
        <x:v>0</x:v>
      </x:c>
      <x:c r="W1009" s="9" t="n">
        <x:f>H1009*Y1008/(tun_ChildYears*4)</x:f>
        <x:v>0</x:v>
      </x:c>
      <x:c r="X1009" s="9" t="n">
        <x:f>H1009*Z1008/(tun_AdultYears*4)</x:f>
        <x:v>0</x:v>
      </x:c>
      <x:c r="Y1009" s="32" t="n">
        <x:f>Y1008+R1009-S1009-W1009-Y1008*V1009/AB1008</x:f>
        <x:v>40496.20709015643</x:v>
      </x:c>
      <x:c r="Z1009" s="32" t="n">
        <x:f>Z1008+W1009-X1009-T1009-Z1008*V1009/AB1008</x:f>
        <x:v>59141.61122890803</x:v>
      </x:c>
      <x:c r="AA1009" s="32" t="n">
        <x:f>AA1008+X1009-U1009-AA1008*V1009/AB1008</x:f>
        <x:v>45530.62410925061</x:v>
      </x:c>
      <x:c r="AB1009" s="10" t="n">
        <x:f>Y1009+Z1009+AA1009</x:f>
        <x:v>145168.44242831506</x:v>
      </x:c>
      <x:c r="AC1009" s="8" t="n">
        <x:f>IF(AND(tun_WinterTrigger=1,D1009=1,AB1008/AE1008&gt;=K1009),1,0)</x:f>
        <x:v>0</x:v>
      </x:c>
      <x:c r="AD1009" s="8" t="n">
        <x:f>H1009*IF(AND(OR(AB1008/AE1008&gt;=tun_FissionTrigger*N1009,AC1009=1),AB1008/AE1008*tun_DaughterShare&gt;=tun_MinDaughter),MAX(1,ROUND(AE1008*tun_FissionRate,0)),0)</x:f>
        <x:v>0</x:v>
      </x:c>
      <x:c r="AE1009" s="8" t="n">
        <x:f>IF(H1009=1,MAX(1,MIN(INDEX(tun_Smax,G1009),AE1008+AD1009)),AE1008)</x:f>
        <x:v>9</x:v>
      </x:c>
      <x:c r="AF1009" s="8" t="n">
        <x:f>MAX(0,AE1009-AE1008)</x:f>
        <x:v>0</x:v>
      </x:c>
      <x:c r="AG1009" s="9" t="str">
        <x:f>IF(AF1009&gt;0,B1009,"")</x:f>
      </x:c>
      <x:c r="AH1009" s="9" t="n">
        <x:f>IF(F1009&gt;=1,1,(1+tun_LowTiesShare*(AE1009-1))/AE1009)</x:f>
        <x:v>1</x:v>
      </x:c>
      <x:c r="AI1009" s="32" t="n">
        <x:f>(Z1009+tun_ElderCommons*INDEX(LM_Elder,G1009)*AA1009)*AH1009</x:f>
        <x:v>238215.0665857503</x:v>
      </x:c>
      <x:c r="AJ1009" s="32" t="n">
        <x:f>H1009*tun_CommonsCoef*AI1009^tun_CommonsExp*INDEX(LM_Commons,G1009)</x:f>
        <x:v>0</x:v>
      </x:c>
      <x:c r="AK1009" s="32" t="n">
        <x:f>H1009*tun_RoleScale*Arch_Roles*(AE1009*(INDEX(tun_ElderRolePerSett,G1009)*tun_OutElder*INDEX(LM_Elder,G1009)+INDEX(tun_ShamanPerSett,G1009)*tun_OutShaman)+Z1009*(INDEX(tun_PriestShare,G1009)*tun_OutPriest+INDEX(tun_ScribeShare,G1009)*tun_OutScribe*INDEX(LM_Scribe,G1009)+INDEX(tun_ScholarShare,G1009)*tun_OutScholar*INDEX(LM_Scholar,G1009)+INDEX(tun_ResearcherShare,G1009)*tun_OutResearcher*INDEX(LM_Researcher,G1009)))</x:f>
        <x:v>0</x:v>
      </x:c>
      <x:c r="AL1009" s="32" t="n">
        <x:f>H1009*tun_RoleScale*Arch_Roles*AE1009*INDEX(tun_MonasteryPerSett,G1009)*tun_OutMonastery*INDEX(LM_Monastery,G1009)</x:f>
        <x:v>0</x:v>
      </x:c>
      <x:c r="AM1009" s="32" t="n">
        <x:f>(AJ1009+AK1009+AL1009)/4*INDEX(LM_All,G1009)*INDEX(tun_Boon,G1009)*Arch_Insight</x:f>
        <x:v>0</x:v>
      </x:c>
      <x:c r="AN1009" s="32" t="n">
        <x:f>H1009*(tun_KHPerAdult*Z1009+tun_KHOfCommons*AJ1009/4*INDEX(LM_All,G1009))*tun_KHUsable*Arch_KH</x:f>
        <x:v>0</x:v>
      </x:c>
      <x:c r="AO1009" s="32" t="n">
        <x:f>MIN(AP1008+AN1009,AM1009*tun_KHMaxRatio)</x:f>
        <x:v>0</x:v>
      </x:c>
      <x:c r="AP1009" s="32" t="n">
        <x:f>AP1008+AN1009-AO1009</x:f>
        <x:v>0</x:v>
      </x:c>
      <x:c r="AQ1009" s="32" t="n">
        <x:f>AM1009+AO1009</x:f>
        <x:v>0</x:v>
      </x:c>
      <x:c r="AR1009" s="10" t="n">
        <x:f>IF(H1009=1,INDEX(tun_Req,G1009),0)</x:f>
        <x:v>0</x:v>
      </x:c>
      <x:c r="AS1009" s="32" t="n">
        <x:f>IF(H1009=1,IF(E1009=1,AS1008-AR1008,AS1008)+AQ1009,0)</x:f>
        <x:v>0</x:v>
      </x:c>
      <x:c r="AT1009" s="11" t="n">
        <x:f>IF(AR1009&gt;0,MIN(1,AS1009/AR1009),1)</x:f>
        <x:v>1</x:v>
      </x:c>
      <x:c r="AU1009" s="10" t="n">
        <x:f>AB1009/INDEX(tun_RepScale,G1009)</x:f>
        <x:v>290.3368848566301</x:v>
      </x:c>
      <x:c r="AV1009" s="32" t="n">
        <x:f>AM1009*60/tun_SeasonSeconds</x:f>
        <x:v>0</x:v>
      </x:c>
    </x:row>
    <x:row r="1010">
      <x:c r="A1010" s="8" t="n">
        <x:f>A1009+1</x:f>
        <x:v>1007</x:v>
      </x:c>
      <x:c r="B1010" s="9" t="n">
        <x:f>A1010*tun_SeasonSeconds/60</x:f>
        <x:v>251.75</x:v>
      </x:c>
      <x:c r="C1010" s="9" t="n">
        <x:f>A1010/4</x:f>
        <x:v>251.75</x:v>
      </x:c>
      <x:c r="D1010" s="8" t="n">
        <x:f>IF(MOD(A1010,4)=0,1,0)</x:f>
        <x:v>0</x:v>
      </x:c>
      <x:c r="E1010" s="8" t="n">
        <x:f>IF(AND(F1009&lt;=9,AS1009&gt;=AR1009),1,0)</x:f>
        <x:v>0</x:v>
      </x:c>
      <x:c r="F1010" s="8" t="n">
        <x:f>MIN(10,F1009+E1010)</x:f>
        <x:v>10</x:v>
      </x:c>
      <x:c r="G1010" s="8" t="n">
        <x:f>MIN(F1010,9)+1</x:f>
        <x:v>10</x:v>
      </x:c>
      <x:c r="H1010" s="8" t="n">
        <x:f>IF(F1010&lt;=9,1,0)</x:f>
        <x:v>0</x:v>
      </x:c>
      <x:c r="I1010" s="9" t="n">
        <x:f>MIN(10,F1009+IF(AR1009&gt;0,MIN(1,AS1009/AR1009),1))</x:f>
        <x:v>10</x:v>
      </x:c>
      <x:c r="J1010" s="32" t="n">
        <x:f>INDEX(tun_FoodCap,G1010)*Arch_FoodCap*EXP(tun_CapsByProject*SUMPRODUCT((Cap_Point&lt;=I1010)*(Cap_Kind="Food")*Cap_Ln))</x:f>
        <x:v>18627.260449441455</x:v>
      </x:c>
      <x:c r="K1010" s="32" t="n">
        <x:f>J1010*MIN(1,tun_LeanBase*EXP(tun_CapsByProject*SUMPRODUCT((Cap_Point&lt;=I1010)*(Cap_Kind="Lean")*Cap_Ln)))</x:f>
        <x:v>18627.260449441455</x:v>
      </x:c>
      <x:c r="L1010" s="10" t="n">
        <x:f>INDEX(tun_HousingCap,G1010)*EXP(tun_CapsByProject*SUMPRODUCT((Cap_Point&lt;=I1010)*(Cap_Kind="Housing")*Cap_Ln))</x:f>
        <x:v>20528.974303173167</x:v>
      </x:c>
      <x:c r="M1010" s="10" t="n">
        <x:f>INDEX(tun_GroupCap,G1010)*tun_CohesionFactor*EXP(tun_CapsByProject*SUMPRODUCT((Cap_Point&lt;=I1010)*(Cap_Kind="Group")*Cap_Ln))</x:f>
        <x:v>1000000.000000001</x:v>
      </x:c>
      <x:c r="N1010" s="32" t="n">
        <x:f>MIN(J1010,L1010,M1010)</x:f>
        <x:v>18627.260449441455</x:v>
      </x:c>
      <x:c r="O1010" s="10" t="n">
        <x:f>AE1009*N1010</x:f>
        <x:v>167645.34404497308</x:v>
      </x:c>
      <x:c r="P1010" s="9" t="n">
        <x:f>MIN(1,(AB1009/(AE1009*IF(tun_GroupInCrowding=1,N1010,MIN(J1010,L1010))))^tun_CrowdingExp)</x:f>
        <x:v>0.4215841981292809</x:v>
      </x:c>
      <x:c r="Q1010" s="9" t="n">
        <x:f>IF(D1010=1,INDEX(tun_WinterMult,G1010),1)</x:f>
        <x:v>1</x:v>
      </x:c>
      <x:c r="R1010" s="9" t="n">
        <x:f>H1010*Z1009*tun_WomenShare*tun_BaseFertility*INDEX(tun_FertMult,G1010)*Arch_Fertility*(1-P1010)</x:f>
        <x:v>0</x:v>
      </x:c>
      <x:c r="S1010" s="9" t="n">
        <x:f>H1010*Y1009*INDEX(tun_MortChild,G1010)/4*Q1010</x:f>
        <x:v>0</x:v>
      </x:c>
      <x:c r="T1010" s="9" t="n">
        <x:f>H1010*Z1009*INDEX(tun_MortAdult,G1010)*Arch_AdultMort/4*Q1010</x:f>
        <x:v>0</x:v>
      </x:c>
      <x:c r="U1010" s="9" t="n">
        <x:f>H1010*AA1009*INDEX(tun_MortElder,G1010)/4*Q1010</x:f>
        <x:v>0</x:v>
      </x:c>
      <x:c r="V1010" s="9" t="n">
        <x:f>H1010*MAX(0,AB1009-O1010)*tun_OvercapLoss</x:f>
        <x:v>0</x:v>
      </x:c>
      <x:c r="W1010" s="9" t="n">
        <x:f>H1010*Y1009/(tun_ChildYears*4)</x:f>
        <x:v>0</x:v>
      </x:c>
      <x:c r="X1010" s="9" t="n">
        <x:f>H1010*Z1009/(tun_AdultYears*4)</x:f>
        <x:v>0</x:v>
      </x:c>
      <x:c r="Y1010" s="32" t="n">
        <x:f>Y1009+R1010-S1010-W1010-Y1009*V1010/AB1009</x:f>
        <x:v>40496.20709015643</x:v>
      </x:c>
      <x:c r="Z1010" s="32" t="n">
        <x:f>Z1009+W1010-X1010-T1010-Z1009*V1010/AB1009</x:f>
        <x:v>59141.61122890803</x:v>
      </x:c>
      <x:c r="AA1010" s="32" t="n">
        <x:f>AA1009+X1010-U1010-AA1009*V1010/AB1009</x:f>
        <x:v>45530.62410925061</x:v>
      </x:c>
      <x:c r="AB1010" s="10" t="n">
        <x:f>Y1010+Z1010+AA1010</x:f>
        <x:v>145168.44242831506</x:v>
      </x:c>
      <x:c r="AC1010" s="8" t="n">
        <x:f>IF(AND(tun_WinterTrigger=1,D1010=1,AB1009/AE1009&gt;=K1010),1,0)</x:f>
        <x:v>0</x:v>
      </x:c>
      <x:c r="AD1010" s="8" t="n">
        <x:f>H1010*IF(AND(OR(AB1009/AE1009&gt;=tun_FissionTrigger*N1010,AC1010=1),AB1009/AE1009*tun_DaughterShare&gt;=tun_MinDaughter),MAX(1,ROUND(AE1009*tun_FissionRate,0)),0)</x:f>
        <x:v>0</x:v>
      </x:c>
      <x:c r="AE1010" s="8" t="n">
        <x:f>IF(H1010=1,MAX(1,MIN(INDEX(tun_Smax,G1010),AE1009+AD1010)),AE1009)</x:f>
        <x:v>9</x:v>
      </x:c>
      <x:c r="AF1010" s="8" t="n">
        <x:f>MAX(0,AE1010-AE1009)</x:f>
        <x:v>0</x:v>
      </x:c>
      <x:c r="AG1010" s="9" t="str">
        <x:f>IF(AF1010&gt;0,B1010,"")</x:f>
      </x:c>
      <x:c r="AH1010" s="9" t="n">
        <x:f>IF(F1010&gt;=1,1,(1+tun_LowTiesShare*(AE1010-1))/AE1010)</x:f>
        <x:v>1</x:v>
      </x:c>
      <x:c r="AI1010" s="32" t="n">
        <x:f>(Z1010+tun_ElderCommons*INDEX(LM_Elder,G1010)*AA1010)*AH1010</x:f>
        <x:v>238215.0665857503</x:v>
      </x:c>
      <x:c r="AJ1010" s="32" t="n">
        <x:f>H1010*tun_CommonsCoef*AI1010^tun_CommonsExp*INDEX(LM_Commons,G1010)</x:f>
        <x:v>0</x:v>
      </x:c>
      <x:c r="AK1010" s="32" t="n">
        <x:f>H1010*tun_RoleScale*Arch_Roles*(AE1010*(INDEX(tun_ElderRolePerSett,G1010)*tun_OutElder*INDEX(LM_Elder,G1010)+INDEX(tun_ShamanPerSett,G1010)*tun_OutShaman)+Z1010*(INDEX(tun_PriestShare,G1010)*tun_OutPriest+INDEX(tun_ScribeShare,G1010)*tun_OutScribe*INDEX(LM_Scribe,G1010)+INDEX(tun_ScholarShare,G1010)*tun_OutScholar*INDEX(LM_Scholar,G1010)+INDEX(tun_ResearcherShare,G1010)*tun_OutResearcher*INDEX(LM_Researcher,G1010)))</x:f>
        <x:v>0</x:v>
      </x:c>
      <x:c r="AL1010" s="32" t="n">
        <x:f>H1010*tun_RoleScale*Arch_Roles*AE1010*INDEX(tun_MonasteryPerSett,G1010)*tun_OutMonastery*INDEX(LM_Monastery,G1010)</x:f>
        <x:v>0</x:v>
      </x:c>
      <x:c r="AM1010" s="32" t="n">
        <x:f>(AJ1010+AK1010+AL1010)/4*INDEX(LM_All,G1010)*INDEX(tun_Boon,G1010)*Arch_Insight</x:f>
        <x:v>0</x:v>
      </x:c>
      <x:c r="AN1010" s="32" t="n">
        <x:f>H1010*(tun_KHPerAdult*Z1010+tun_KHOfCommons*AJ1010/4*INDEX(LM_All,G1010))*tun_KHUsable*Arch_KH</x:f>
        <x:v>0</x:v>
      </x:c>
      <x:c r="AO1010" s="32" t="n">
        <x:f>MIN(AP1009+AN1010,AM1010*tun_KHMaxRatio)</x:f>
        <x:v>0</x:v>
      </x:c>
      <x:c r="AP1010" s="32" t="n">
        <x:f>AP1009+AN1010-AO1010</x:f>
        <x:v>0</x:v>
      </x:c>
      <x:c r="AQ1010" s="32" t="n">
        <x:f>AM1010+AO1010</x:f>
        <x:v>0</x:v>
      </x:c>
      <x:c r="AR1010" s="10" t="n">
        <x:f>IF(H1010=1,INDEX(tun_Req,G1010),0)</x:f>
        <x:v>0</x:v>
      </x:c>
      <x:c r="AS1010" s="32" t="n">
        <x:f>IF(H1010=1,IF(E1010=1,AS1009-AR1009,AS1009)+AQ1010,0)</x:f>
        <x:v>0</x:v>
      </x:c>
      <x:c r="AT1010" s="11" t="n">
        <x:f>IF(AR1010&gt;0,MIN(1,AS1010/AR1010),1)</x:f>
        <x:v>1</x:v>
      </x:c>
      <x:c r="AU1010" s="10" t="n">
        <x:f>AB1010/INDEX(tun_RepScale,G1010)</x:f>
        <x:v>290.3368848566301</x:v>
      </x:c>
      <x:c r="AV1010" s="32" t="n">
        <x:f>AM1010*60/tun_SeasonSeconds</x:f>
        <x:v>0</x:v>
      </x:c>
    </x:row>
    <x:row r="1011">
      <x:c r="A1011" s="8" t="n">
        <x:f>A1010+1</x:f>
        <x:v>1008</x:v>
      </x:c>
      <x:c r="B1011" s="9" t="n">
        <x:f>A1011*tun_SeasonSeconds/60</x:f>
        <x:v>252</x:v>
      </x:c>
      <x:c r="C1011" s="9" t="n">
        <x:f>A1011/4</x:f>
        <x:v>252</x:v>
      </x:c>
      <x:c r="D1011" s="8" t="n">
        <x:f>IF(MOD(A1011,4)=0,1,0)</x:f>
        <x:v>1</x:v>
      </x:c>
      <x:c r="E1011" s="8" t="n">
        <x:f>IF(AND(F1010&lt;=9,AS1010&gt;=AR1010),1,0)</x:f>
        <x:v>0</x:v>
      </x:c>
      <x:c r="F1011" s="8" t="n">
        <x:f>MIN(10,F1010+E1011)</x:f>
        <x:v>10</x:v>
      </x:c>
      <x:c r="G1011" s="8" t="n">
        <x:f>MIN(F1011,9)+1</x:f>
        <x:v>10</x:v>
      </x:c>
      <x:c r="H1011" s="8" t="n">
        <x:f>IF(F1011&lt;=9,1,0)</x:f>
        <x:v>0</x:v>
      </x:c>
      <x:c r="I1011" s="9" t="n">
        <x:f>MIN(10,F1010+IF(AR1010&gt;0,MIN(1,AS1010/AR1010),1))</x:f>
        <x:v>10</x:v>
      </x:c>
      <x:c r="J1011" s="32" t="n">
        <x:f>INDEX(tun_FoodCap,G1011)*Arch_FoodCap*EXP(tun_CapsByProject*SUMPRODUCT((Cap_Point&lt;=I1011)*(Cap_Kind="Food")*Cap_Ln))</x:f>
        <x:v>18627.260449441455</x:v>
      </x:c>
      <x:c r="K1011" s="32" t="n">
        <x:f>J1011*MIN(1,tun_LeanBase*EXP(tun_CapsByProject*SUMPRODUCT((Cap_Point&lt;=I1011)*(Cap_Kind="Lean")*Cap_Ln)))</x:f>
        <x:v>18627.260449441455</x:v>
      </x:c>
      <x:c r="L1011" s="10" t="n">
        <x:f>INDEX(tun_HousingCap,G1011)*EXP(tun_CapsByProject*SUMPRODUCT((Cap_Point&lt;=I1011)*(Cap_Kind="Housing")*Cap_Ln))</x:f>
        <x:v>20528.974303173167</x:v>
      </x:c>
      <x:c r="M1011" s="10" t="n">
        <x:f>INDEX(tun_GroupCap,G1011)*tun_CohesionFactor*EXP(tun_CapsByProject*SUMPRODUCT((Cap_Point&lt;=I1011)*(Cap_Kind="Group")*Cap_Ln))</x:f>
        <x:v>1000000.000000001</x:v>
      </x:c>
      <x:c r="N1011" s="32" t="n">
        <x:f>MIN(J1011,L1011,M1011)</x:f>
        <x:v>18627.260449441455</x:v>
      </x:c>
      <x:c r="O1011" s="10" t="n">
        <x:f>AE1010*N1011</x:f>
        <x:v>167645.34404497308</x:v>
      </x:c>
      <x:c r="P1011" s="9" t="n">
        <x:f>MIN(1,(AB1010/(AE1010*IF(tun_GroupInCrowding=1,N1011,MIN(J1011,L1011))))^tun_CrowdingExp)</x:f>
        <x:v>0.4215841981292809</x:v>
      </x:c>
      <x:c r="Q1011" s="9" t="n">
        <x:f>IF(D1011=1,INDEX(tun_WinterMult,G1011),1)</x:f>
        <x:v>1.05</x:v>
      </x:c>
      <x:c r="R1011" s="9" t="n">
        <x:f>H1011*Z1010*tun_WomenShare*tun_BaseFertility*INDEX(tun_FertMult,G1011)*Arch_Fertility*(1-P1011)</x:f>
        <x:v>0</x:v>
      </x:c>
      <x:c r="S1011" s="9" t="n">
        <x:f>H1011*Y1010*INDEX(tun_MortChild,G1011)/4*Q1011</x:f>
        <x:v>0</x:v>
      </x:c>
      <x:c r="T1011" s="9" t="n">
        <x:f>H1011*Z1010*INDEX(tun_MortAdult,G1011)*Arch_AdultMort/4*Q1011</x:f>
        <x:v>0</x:v>
      </x:c>
      <x:c r="U1011" s="9" t="n">
        <x:f>H1011*AA1010*INDEX(tun_MortElder,G1011)/4*Q1011</x:f>
        <x:v>0</x:v>
      </x:c>
      <x:c r="V1011" s="9" t="n">
        <x:f>H1011*MAX(0,AB1010-O1011)*tun_OvercapLoss</x:f>
        <x:v>0</x:v>
      </x:c>
      <x:c r="W1011" s="9" t="n">
        <x:f>H1011*Y1010/(tun_ChildYears*4)</x:f>
        <x:v>0</x:v>
      </x:c>
      <x:c r="X1011" s="9" t="n">
        <x:f>H1011*Z1010/(tun_AdultYears*4)</x:f>
        <x:v>0</x:v>
      </x:c>
      <x:c r="Y1011" s="32" t="n">
        <x:f>Y1010+R1011-S1011-W1011-Y1010*V1011/AB1010</x:f>
        <x:v>40496.20709015643</x:v>
      </x:c>
      <x:c r="Z1011" s="32" t="n">
        <x:f>Z1010+W1011-X1011-T1011-Z1010*V1011/AB1010</x:f>
        <x:v>59141.61122890803</x:v>
      </x:c>
      <x:c r="AA1011" s="32" t="n">
        <x:f>AA1010+X1011-U1011-AA1010*V1011/AB1010</x:f>
        <x:v>45530.62410925061</x:v>
      </x:c>
      <x:c r="AB1011" s="10" t="n">
        <x:f>Y1011+Z1011+AA1011</x:f>
        <x:v>145168.44242831506</x:v>
      </x:c>
      <x:c r="AC1011" s="8" t="n">
        <x:f>IF(AND(tun_WinterTrigger=1,D1011=1,AB1010/AE1010&gt;=K1011),1,0)</x:f>
        <x:v>0</x:v>
      </x:c>
      <x:c r="AD1011" s="8" t="n">
        <x:f>H1011*IF(AND(OR(AB1010/AE1010&gt;=tun_FissionTrigger*N1011,AC1011=1),AB1010/AE1010*tun_DaughterShare&gt;=tun_MinDaughter),MAX(1,ROUND(AE1010*tun_FissionRate,0)),0)</x:f>
        <x:v>0</x:v>
      </x:c>
      <x:c r="AE1011" s="8" t="n">
        <x:f>IF(H1011=1,MAX(1,MIN(INDEX(tun_Smax,G1011),AE1010+AD1011)),AE1010)</x:f>
        <x:v>9</x:v>
      </x:c>
      <x:c r="AF1011" s="8" t="n">
        <x:f>MAX(0,AE1011-AE1010)</x:f>
        <x:v>0</x:v>
      </x:c>
      <x:c r="AG1011" s="9" t="str">
        <x:f>IF(AF1011&gt;0,B1011,"")</x:f>
      </x:c>
      <x:c r="AH1011" s="9" t="n">
        <x:f>IF(F1011&gt;=1,1,(1+tun_LowTiesShare*(AE1011-1))/AE1011)</x:f>
        <x:v>1</x:v>
      </x:c>
      <x:c r="AI1011" s="32" t="n">
        <x:f>(Z1011+tun_ElderCommons*INDEX(LM_Elder,G1011)*AA1011)*AH1011</x:f>
        <x:v>238215.0665857503</x:v>
      </x:c>
      <x:c r="AJ1011" s="32" t="n">
        <x:f>H1011*tun_CommonsCoef*AI1011^tun_CommonsExp*INDEX(LM_Commons,G1011)</x:f>
        <x:v>0</x:v>
      </x:c>
      <x:c r="AK1011" s="32" t="n">
        <x:f>H1011*tun_RoleScale*Arch_Roles*(AE1011*(INDEX(tun_ElderRolePerSett,G1011)*tun_OutElder*INDEX(LM_Elder,G1011)+INDEX(tun_ShamanPerSett,G1011)*tun_OutShaman)+Z1011*(INDEX(tun_PriestShare,G1011)*tun_OutPriest+INDEX(tun_ScribeShare,G1011)*tun_OutScribe*INDEX(LM_Scribe,G1011)+INDEX(tun_ScholarShare,G1011)*tun_OutScholar*INDEX(LM_Scholar,G1011)+INDEX(tun_ResearcherShare,G1011)*tun_OutResearcher*INDEX(LM_Researcher,G1011)))</x:f>
        <x:v>0</x:v>
      </x:c>
      <x:c r="AL1011" s="32" t="n">
        <x:f>H1011*tun_RoleScale*Arch_Roles*AE1011*INDEX(tun_MonasteryPerSett,G1011)*tun_OutMonastery*INDEX(LM_Monastery,G1011)</x:f>
        <x:v>0</x:v>
      </x:c>
      <x:c r="AM1011" s="32" t="n">
        <x:f>(AJ1011+AK1011+AL1011)/4*INDEX(LM_All,G1011)*INDEX(tun_Boon,G1011)*Arch_Insight</x:f>
        <x:v>0</x:v>
      </x:c>
      <x:c r="AN1011" s="32" t="n">
        <x:f>H1011*(tun_KHPerAdult*Z1011+tun_KHOfCommons*AJ1011/4*INDEX(LM_All,G1011))*tun_KHUsable*Arch_KH</x:f>
        <x:v>0</x:v>
      </x:c>
      <x:c r="AO1011" s="32" t="n">
        <x:f>MIN(AP1010+AN1011,AM1011*tun_KHMaxRatio)</x:f>
        <x:v>0</x:v>
      </x:c>
      <x:c r="AP1011" s="32" t="n">
        <x:f>AP1010+AN1011-AO1011</x:f>
        <x:v>0</x:v>
      </x:c>
      <x:c r="AQ1011" s="32" t="n">
        <x:f>AM1011+AO1011</x:f>
        <x:v>0</x:v>
      </x:c>
      <x:c r="AR1011" s="10" t="n">
        <x:f>IF(H1011=1,INDEX(tun_Req,G1011),0)</x:f>
        <x:v>0</x:v>
      </x:c>
      <x:c r="AS1011" s="32" t="n">
        <x:f>IF(H1011=1,IF(E1011=1,AS1010-AR1010,AS1010)+AQ1011,0)</x:f>
        <x:v>0</x:v>
      </x:c>
      <x:c r="AT1011" s="11" t="n">
        <x:f>IF(AR1011&gt;0,MIN(1,AS1011/AR1011),1)</x:f>
        <x:v>1</x:v>
      </x:c>
      <x:c r="AU1011" s="10" t="n">
        <x:f>AB1011/INDEX(tun_RepScale,G1011)</x:f>
        <x:v>290.3368848566301</x:v>
      </x:c>
      <x:c r="AV1011" s="32" t="n">
        <x:f>AM1011*60/tun_SeasonSeconds</x:f>
        <x:v>0</x:v>
      </x:c>
    </x:row>
    <x:row r="1012">
      <x:c r="A1012" s="8" t="n">
        <x:f>A1011+1</x:f>
        <x:v>1009</x:v>
      </x:c>
      <x:c r="B1012" s="9" t="n">
        <x:f>A1012*tun_SeasonSeconds/60</x:f>
        <x:v>252.25</x:v>
      </x:c>
      <x:c r="C1012" s="9" t="n">
        <x:f>A1012/4</x:f>
        <x:v>252.25</x:v>
      </x:c>
      <x:c r="D1012" s="8" t="n">
        <x:f>IF(MOD(A1012,4)=0,1,0)</x:f>
        <x:v>0</x:v>
      </x:c>
      <x:c r="E1012" s="8" t="n">
        <x:f>IF(AND(F1011&lt;=9,AS1011&gt;=AR1011),1,0)</x:f>
        <x:v>0</x:v>
      </x:c>
      <x:c r="F1012" s="8" t="n">
        <x:f>MIN(10,F1011+E1012)</x:f>
        <x:v>10</x:v>
      </x:c>
      <x:c r="G1012" s="8" t="n">
        <x:f>MIN(F1012,9)+1</x:f>
        <x:v>10</x:v>
      </x:c>
      <x:c r="H1012" s="8" t="n">
        <x:f>IF(F1012&lt;=9,1,0)</x:f>
        <x:v>0</x:v>
      </x:c>
      <x:c r="I1012" s="9" t="n">
        <x:f>MIN(10,F1011+IF(AR1011&gt;0,MIN(1,AS1011/AR1011),1))</x:f>
        <x:v>10</x:v>
      </x:c>
      <x:c r="J1012" s="32" t="n">
        <x:f>INDEX(tun_FoodCap,G1012)*Arch_FoodCap*EXP(tun_CapsByProject*SUMPRODUCT((Cap_Point&lt;=I1012)*(Cap_Kind="Food")*Cap_Ln))</x:f>
        <x:v>18627.260449441455</x:v>
      </x:c>
      <x:c r="K1012" s="32" t="n">
        <x:f>J1012*MIN(1,tun_LeanBase*EXP(tun_CapsByProject*SUMPRODUCT((Cap_Point&lt;=I1012)*(Cap_Kind="Lean")*Cap_Ln)))</x:f>
        <x:v>18627.260449441455</x:v>
      </x:c>
      <x:c r="L1012" s="10" t="n">
        <x:f>INDEX(tun_HousingCap,G1012)*EXP(tun_CapsByProject*SUMPRODUCT((Cap_Point&lt;=I1012)*(Cap_Kind="Housing")*Cap_Ln))</x:f>
        <x:v>20528.974303173167</x:v>
      </x:c>
      <x:c r="M1012" s="10" t="n">
        <x:f>INDEX(tun_GroupCap,G1012)*tun_CohesionFactor*EXP(tun_CapsByProject*SUMPRODUCT((Cap_Point&lt;=I1012)*(Cap_Kind="Group")*Cap_Ln))</x:f>
        <x:v>1000000.000000001</x:v>
      </x:c>
      <x:c r="N1012" s="32" t="n">
        <x:f>MIN(J1012,L1012,M1012)</x:f>
        <x:v>18627.260449441455</x:v>
      </x:c>
      <x:c r="O1012" s="10" t="n">
        <x:f>AE1011*N1012</x:f>
        <x:v>167645.34404497308</x:v>
      </x:c>
      <x:c r="P1012" s="9" t="n">
        <x:f>MIN(1,(AB1011/(AE1011*IF(tun_GroupInCrowding=1,N1012,MIN(J1012,L1012))))^tun_CrowdingExp)</x:f>
        <x:v>0.4215841981292809</x:v>
      </x:c>
      <x:c r="Q1012" s="9" t="n">
        <x:f>IF(D1012=1,INDEX(tun_WinterMult,G1012),1)</x:f>
        <x:v>1</x:v>
      </x:c>
      <x:c r="R1012" s="9" t="n">
        <x:f>H1012*Z1011*tun_WomenShare*tun_BaseFertility*INDEX(tun_FertMult,G1012)*Arch_Fertility*(1-P1012)</x:f>
        <x:v>0</x:v>
      </x:c>
      <x:c r="S1012" s="9" t="n">
        <x:f>H1012*Y1011*INDEX(tun_MortChild,G1012)/4*Q1012</x:f>
        <x:v>0</x:v>
      </x:c>
      <x:c r="T1012" s="9" t="n">
        <x:f>H1012*Z1011*INDEX(tun_MortAdult,G1012)*Arch_AdultMort/4*Q1012</x:f>
        <x:v>0</x:v>
      </x:c>
      <x:c r="U1012" s="9" t="n">
        <x:f>H1012*AA1011*INDEX(tun_MortElder,G1012)/4*Q1012</x:f>
        <x:v>0</x:v>
      </x:c>
      <x:c r="V1012" s="9" t="n">
        <x:f>H1012*MAX(0,AB1011-O1012)*tun_OvercapLoss</x:f>
        <x:v>0</x:v>
      </x:c>
      <x:c r="W1012" s="9" t="n">
        <x:f>H1012*Y1011/(tun_ChildYears*4)</x:f>
        <x:v>0</x:v>
      </x:c>
      <x:c r="X1012" s="9" t="n">
        <x:f>H1012*Z1011/(tun_AdultYears*4)</x:f>
        <x:v>0</x:v>
      </x:c>
      <x:c r="Y1012" s="32" t="n">
        <x:f>Y1011+R1012-S1012-W1012-Y1011*V1012/AB1011</x:f>
        <x:v>40496.20709015643</x:v>
      </x:c>
      <x:c r="Z1012" s="32" t="n">
        <x:f>Z1011+W1012-X1012-T1012-Z1011*V1012/AB1011</x:f>
        <x:v>59141.61122890803</x:v>
      </x:c>
      <x:c r="AA1012" s="32" t="n">
        <x:f>AA1011+X1012-U1012-AA1011*V1012/AB1011</x:f>
        <x:v>45530.62410925061</x:v>
      </x:c>
      <x:c r="AB1012" s="10" t="n">
        <x:f>Y1012+Z1012+AA1012</x:f>
        <x:v>145168.44242831506</x:v>
      </x:c>
      <x:c r="AC1012" s="8" t="n">
        <x:f>IF(AND(tun_WinterTrigger=1,D1012=1,AB1011/AE1011&gt;=K1012),1,0)</x:f>
        <x:v>0</x:v>
      </x:c>
      <x:c r="AD1012" s="8" t="n">
        <x:f>H1012*IF(AND(OR(AB1011/AE1011&gt;=tun_FissionTrigger*N1012,AC1012=1),AB1011/AE1011*tun_DaughterShare&gt;=tun_MinDaughter),MAX(1,ROUND(AE1011*tun_FissionRate,0)),0)</x:f>
        <x:v>0</x:v>
      </x:c>
      <x:c r="AE1012" s="8" t="n">
        <x:f>IF(H1012=1,MAX(1,MIN(INDEX(tun_Smax,G1012),AE1011+AD1012)),AE1011)</x:f>
        <x:v>9</x:v>
      </x:c>
      <x:c r="AF1012" s="8" t="n">
        <x:f>MAX(0,AE1012-AE1011)</x:f>
        <x:v>0</x:v>
      </x:c>
      <x:c r="AG1012" s="9" t="str">
        <x:f>IF(AF1012&gt;0,B1012,"")</x:f>
      </x:c>
      <x:c r="AH1012" s="9" t="n">
        <x:f>IF(F1012&gt;=1,1,(1+tun_LowTiesShare*(AE1012-1))/AE1012)</x:f>
        <x:v>1</x:v>
      </x:c>
      <x:c r="AI1012" s="32" t="n">
        <x:f>(Z1012+tun_ElderCommons*INDEX(LM_Elder,G1012)*AA1012)*AH1012</x:f>
        <x:v>238215.0665857503</x:v>
      </x:c>
      <x:c r="AJ1012" s="32" t="n">
        <x:f>H1012*tun_CommonsCoef*AI1012^tun_CommonsExp*INDEX(LM_Commons,G1012)</x:f>
        <x:v>0</x:v>
      </x:c>
      <x:c r="AK1012" s="32" t="n">
        <x:f>H1012*tun_RoleScale*Arch_Roles*(AE1012*(INDEX(tun_ElderRolePerSett,G1012)*tun_OutElder*INDEX(LM_Elder,G1012)+INDEX(tun_ShamanPerSett,G1012)*tun_OutShaman)+Z1012*(INDEX(tun_PriestShare,G1012)*tun_OutPriest+INDEX(tun_ScribeShare,G1012)*tun_OutScribe*INDEX(LM_Scribe,G1012)+INDEX(tun_ScholarShare,G1012)*tun_OutScholar*INDEX(LM_Scholar,G1012)+INDEX(tun_ResearcherShare,G1012)*tun_OutResearcher*INDEX(LM_Researcher,G1012)))</x:f>
        <x:v>0</x:v>
      </x:c>
      <x:c r="AL1012" s="32" t="n">
        <x:f>H1012*tun_RoleScale*Arch_Roles*AE1012*INDEX(tun_MonasteryPerSett,G1012)*tun_OutMonastery*INDEX(LM_Monastery,G1012)</x:f>
        <x:v>0</x:v>
      </x:c>
      <x:c r="AM1012" s="32" t="n">
        <x:f>(AJ1012+AK1012+AL1012)/4*INDEX(LM_All,G1012)*INDEX(tun_Boon,G1012)*Arch_Insight</x:f>
        <x:v>0</x:v>
      </x:c>
      <x:c r="AN1012" s="32" t="n">
        <x:f>H1012*(tun_KHPerAdult*Z1012+tun_KHOfCommons*AJ1012/4*INDEX(LM_All,G1012))*tun_KHUsable*Arch_KH</x:f>
        <x:v>0</x:v>
      </x:c>
      <x:c r="AO1012" s="32" t="n">
        <x:f>MIN(AP1011+AN1012,AM1012*tun_KHMaxRatio)</x:f>
        <x:v>0</x:v>
      </x:c>
      <x:c r="AP1012" s="32" t="n">
        <x:f>AP1011+AN1012-AO1012</x:f>
        <x:v>0</x:v>
      </x:c>
      <x:c r="AQ1012" s="32" t="n">
        <x:f>AM1012+AO1012</x:f>
        <x:v>0</x:v>
      </x:c>
      <x:c r="AR1012" s="10" t="n">
        <x:f>IF(H1012=1,INDEX(tun_Req,G1012),0)</x:f>
        <x:v>0</x:v>
      </x:c>
      <x:c r="AS1012" s="32" t="n">
        <x:f>IF(H1012=1,IF(E1012=1,AS1011-AR1011,AS1011)+AQ1012,0)</x:f>
        <x:v>0</x:v>
      </x:c>
      <x:c r="AT1012" s="11" t="n">
        <x:f>IF(AR1012&gt;0,MIN(1,AS1012/AR1012),1)</x:f>
        <x:v>1</x:v>
      </x:c>
      <x:c r="AU1012" s="10" t="n">
        <x:f>AB1012/INDEX(tun_RepScale,G1012)</x:f>
        <x:v>290.3368848566301</x:v>
      </x:c>
      <x:c r="AV1012" s="32" t="n">
        <x:f>AM1012*60/tun_SeasonSeconds</x:f>
        <x:v>0</x:v>
      </x:c>
    </x:row>
    <x:row r="1013">
      <x:c r="A1013" s="8" t="n">
        <x:f>A1012+1</x:f>
        <x:v>1010</x:v>
      </x:c>
      <x:c r="B1013" s="9" t="n">
        <x:f>A1013*tun_SeasonSeconds/60</x:f>
        <x:v>252.5</x:v>
      </x:c>
      <x:c r="C1013" s="9" t="n">
        <x:f>A1013/4</x:f>
        <x:v>252.5</x:v>
      </x:c>
      <x:c r="D1013" s="8" t="n">
        <x:f>IF(MOD(A1013,4)=0,1,0)</x:f>
        <x:v>0</x:v>
      </x:c>
      <x:c r="E1013" s="8" t="n">
        <x:f>IF(AND(F1012&lt;=9,AS1012&gt;=AR1012),1,0)</x:f>
        <x:v>0</x:v>
      </x:c>
      <x:c r="F1013" s="8" t="n">
        <x:f>MIN(10,F1012+E1013)</x:f>
        <x:v>10</x:v>
      </x:c>
      <x:c r="G1013" s="8" t="n">
        <x:f>MIN(F1013,9)+1</x:f>
        <x:v>10</x:v>
      </x:c>
      <x:c r="H1013" s="8" t="n">
        <x:f>IF(F1013&lt;=9,1,0)</x:f>
        <x:v>0</x:v>
      </x:c>
      <x:c r="I1013" s="9" t="n">
        <x:f>MIN(10,F1012+IF(AR1012&gt;0,MIN(1,AS1012/AR1012),1))</x:f>
        <x:v>10</x:v>
      </x:c>
      <x:c r="J1013" s="32" t="n">
        <x:f>INDEX(tun_FoodCap,G1013)*Arch_FoodCap*EXP(tun_CapsByProject*SUMPRODUCT((Cap_Point&lt;=I1013)*(Cap_Kind="Food")*Cap_Ln))</x:f>
        <x:v>18627.260449441455</x:v>
      </x:c>
      <x:c r="K1013" s="32" t="n">
        <x:f>J1013*MIN(1,tun_LeanBase*EXP(tun_CapsByProject*SUMPRODUCT((Cap_Point&lt;=I1013)*(Cap_Kind="Lean")*Cap_Ln)))</x:f>
        <x:v>18627.260449441455</x:v>
      </x:c>
      <x:c r="L1013" s="10" t="n">
        <x:f>INDEX(tun_HousingCap,G1013)*EXP(tun_CapsByProject*SUMPRODUCT((Cap_Point&lt;=I1013)*(Cap_Kind="Housing")*Cap_Ln))</x:f>
        <x:v>20528.974303173167</x:v>
      </x:c>
      <x:c r="M1013" s="10" t="n">
        <x:f>INDEX(tun_GroupCap,G1013)*tun_CohesionFactor*EXP(tun_CapsByProject*SUMPRODUCT((Cap_Point&lt;=I1013)*(Cap_Kind="Group")*Cap_Ln))</x:f>
        <x:v>1000000.000000001</x:v>
      </x:c>
      <x:c r="N1013" s="32" t="n">
        <x:f>MIN(J1013,L1013,M1013)</x:f>
        <x:v>18627.260449441455</x:v>
      </x:c>
      <x:c r="O1013" s="10" t="n">
        <x:f>AE1012*N1013</x:f>
        <x:v>167645.34404497308</x:v>
      </x:c>
      <x:c r="P1013" s="9" t="n">
        <x:f>MIN(1,(AB1012/(AE1012*IF(tun_GroupInCrowding=1,N1013,MIN(J1013,L1013))))^tun_CrowdingExp)</x:f>
        <x:v>0.4215841981292809</x:v>
      </x:c>
      <x:c r="Q1013" s="9" t="n">
        <x:f>IF(D1013=1,INDEX(tun_WinterMult,G1013),1)</x:f>
        <x:v>1</x:v>
      </x:c>
      <x:c r="R1013" s="9" t="n">
        <x:f>H1013*Z1012*tun_WomenShare*tun_BaseFertility*INDEX(tun_FertMult,G1013)*Arch_Fertility*(1-P1013)</x:f>
        <x:v>0</x:v>
      </x:c>
      <x:c r="S1013" s="9" t="n">
        <x:f>H1013*Y1012*INDEX(tun_MortChild,G1013)/4*Q1013</x:f>
        <x:v>0</x:v>
      </x:c>
      <x:c r="T1013" s="9" t="n">
        <x:f>H1013*Z1012*INDEX(tun_MortAdult,G1013)*Arch_AdultMort/4*Q1013</x:f>
        <x:v>0</x:v>
      </x:c>
      <x:c r="U1013" s="9" t="n">
        <x:f>H1013*AA1012*INDEX(tun_MortElder,G1013)/4*Q1013</x:f>
        <x:v>0</x:v>
      </x:c>
      <x:c r="V1013" s="9" t="n">
        <x:f>H1013*MAX(0,AB1012-O1013)*tun_OvercapLoss</x:f>
        <x:v>0</x:v>
      </x:c>
      <x:c r="W1013" s="9" t="n">
        <x:f>H1013*Y1012/(tun_ChildYears*4)</x:f>
        <x:v>0</x:v>
      </x:c>
      <x:c r="X1013" s="9" t="n">
        <x:f>H1013*Z1012/(tun_AdultYears*4)</x:f>
        <x:v>0</x:v>
      </x:c>
      <x:c r="Y1013" s="32" t="n">
        <x:f>Y1012+R1013-S1013-W1013-Y1012*V1013/AB1012</x:f>
        <x:v>40496.20709015643</x:v>
      </x:c>
      <x:c r="Z1013" s="32" t="n">
        <x:f>Z1012+W1013-X1013-T1013-Z1012*V1013/AB1012</x:f>
        <x:v>59141.61122890803</x:v>
      </x:c>
      <x:c r="AA1013" s="32" t="n">
        <x:f>AA1012+X1013-U1013-AA1012*V1013/AB1012</x:f>
        <x:v>45530.62410925061</x:v>
      </x:c>
      <x:c r="AB1013" s="10" t="n">
        <x:f>Y1013+Z1013+AA1013</x:f>
        <x:v>145168.44242831506</x:v>
      </x:c>
      <x:c r="AC1013" s="8" t="n">
        <x:f>IF(AND(tun_WinterTrigger=1,D1013=1,AB1012/AE1012&gt;=K1013),1,0)</x:f>
        <x:v>0</x:v>
      </x:c>
      <x:c r="AD1013" s="8" t="n">
        <x:f>H1013*IF(AND(OR(AB1012/AE1012&gt;=tun_FissionTrigger*N1013,AC1013=1),AB1012/AE1012*tun_DaughterShare&gt;=tun_MinDaughter),MAX(1,ROUND(AE1012*tun_FissionRate,0)),0)</x:f>
        <x:v>0</x:v>
      </x:c>
      <x:c r="AE1013" s="8" t="n">
        <x:f>IF(H1013=1,MAX(1,MIN(INDEX(tun_Smax,G1013),AE1012+AD1013)),AE1012)</x:f>
        <x:v>9</x:v>
      </x:c>
      <x:c r="AF1013" s="8" t="n">
        <x:f>MAX(0,AE1013-AE1012)</x:f>
        <x:v>0</x:v>
      </x:c>
      <x:c r="AG1013" s="9" t="str">
        <x:f>IF(AF1013&gt;0,B1013,"")</x:f>
      </x:c>
      <x:c r="AH1013" s="9" t="n">
        <x:f>IF(F1013&gt;=1,1,(1+tun_LowTiesShare*(AE1013-1))/AE1013)</x:f>
        <x:v>1</x:v>
      </x:c>
      <x:c r="AI1013" s="32" t="n">
        <x:f>(Z1013+tun_ElderCommons*INDEX(LM_Elder,G1013)*AA1013)*AH1013</x:f>
        <x:v>238215.0665857503</x:v>
      </x:c>
      <x:c r="AJ1013" s="32" t="n">
        <x:f>H1013*tun_CommonsCoef*AI1013^tun_CommonsExp*INDEX(LM_Commons,G1013)</x:f>
        <x:v>0</x:v>
      </x:c>
      <x:c r="AK1013" s="32" t="n">
        <x:f>H1013*tun_RoleScale*Arch_Roles*(AE1013*(INDEX(tun_ElderRolePerSett,G1013)*tun_OutElder*INDEX(LM_Elder,G1013)+INDEX(tun_ShamanPerSett,G1013)*tun_OutShaman)+Z1013*(INDEX(tun_PriestShare,G1013)*tun_OutPriest+INDEX(tun_ScribeShare,G1013)*tun_OutScribe*INDEX(LM_Scribe,G1013)+INDEX(tun_ScholarShare,G1013)*tun_OutScholar*INDEX(LM_Scholar,G1013)+INDEX(tun_ResearcherShare,G1013)*tun_OutResearcher*INDEX(LM_Researcher,G1013)))</x:f>
        <x:v>0</x:v>
      </x:c>
      <x:c r="AL1013" s="32" t="n">
        <x:f>H1013*tun_RoleScale*Arch_Roles*AE1013*INDEX(tun_MonasteryPerSett,G1013)*tun_OutMonastery*INDEX(LM_Monastery,G1013)</x:f>
        <x:v>0</x:v>
      </x:c>
      <x:c r="AM1013" s="32" t="n">
        <x:f>(AJ1013+AK1013+AL1013)/4*INDEX(LM_All,G1013)*INDEX(tun_Boon,G1013)*Arch_Insight</x:f>
        <x:v>0</x:v>
      </x:c>
      <x:c r="AN1013" s="32" t="n">
        <x:f>H1013*(tun_KHPerAdult*Z1013+tun_KHOfCommons*AJ1013/4*INDEX(LM_All,G1013))*tun_KHUsable*Arch_KH</x:f>
        <x:v>0</x:v>
      </x:c>
      <x:c r="AO1013" s="32" t="n">
        <x:f>MIN(AP1012+AN1013,AM1013*tun_KHMaxRatio)</x:f>
        <x:v>0</x:v>
      </x:c>
      <x:c r="AP1013" s="32" t="n">
        <x:f>AP1012+AN1013-AO1013</x:f>
        <x:v>0</x:v>
      </x:c>
      <x:c r="AQ1013" s="32" t="n">
        <x:f>AM1013+AO1013</x:f>
        <x:v>0</x:v>
      </x:c>
      <x:c r="AR1013" s="10" t="n">
        <x:f>IF(H1013=1,INDEX(tun_Req,G1013),0)</x:f>
        <x:v>0</x:v>
      </x:c>
      <x:c r="AS1013" s="32" t="n">
        <x:f>IF(H1013=1,IF(E1013=1,AS1012-AR1012,AS1012)+AQ1013,0)</x:f>
        <x:v>0</x:v>
      </x:c>
      <x:c r="AT1013" s="11" t="n">
        <x:f>IF(AR1013&gt;0,MIN(1,AS1013/AR1013),1)</x:f>
        <x:v>1</x:v>
      </x:c>
      <x:c r="AU1013" s="10" t="n">
        <x:f>AB1013/INDEX(tun_RepScale,G1013)</x:f>
        <x:v>290.3368848566301</x:v>
      </x:c>
      <x:c r="AV1013" s="32" t="n">
        <x:f>AM1013*60/tun_SeasonSeconds</x:f>
        <x:v>0</x:v>
      </x:c>
    </x:row>
    <x:row r="1014">
      <x:c r="A1014" s="8" t="n">
        <x:f>A1013+1</x:f>
        <x:v>1011</x:v>
      </x:c>
      <x:c r="B1014" s="9" t="n">
        <x:f>A1014*tun_SeasonSeconds/60</x:f>
        <x:v>252.75</x:v>
      </x:c>
      <x:c r="C1014" s="9" t="n">
        <x:f>A1014/4</x:f>
        <x:v>252.75</x:v>
      </x:c>
      <x:c r="D1014" s="8" t="n">
        <x:f>IF(MOD(A1014,4)=0,1,0)</x:f>
        <x:v>0</x:v>
      </x:c>
      <x:c r="E1014" s="8" t="n">
        <x:f>IF(AND(F1013&lt;=9,AS1013&gt;=AR1013),1,0)</x:f>
        <x:v>0</x:v>
      </x:c>
      <x:c r="F1014" s="8" t="n">
        <x:f>MIN(10,F1013+E1014)</x:f>
        <x:v>10</x:v>
      </x:c>
      <x:c r="G1014" s="8" t="n">
        <x:f>MIN(F1014,9)+1</x:f>
        <x:v>10</x:v>
      </x:c>
      <x:c r="H1014" s="8" t="n">
        <x:f>IF(F1014&lt;=9,1,0)</x:f>
        <x:v>0</x:v>
      </x:c>
      <x:c r="I1014" s="9" t="n">
        <x:f>MIN(10,F1013+IF(AR1013&gt;0,MIN(1,AS1013/AR1013),1))</x:f>
        <x:v>10</x:v>
      </x:c>
      <x:c r="J1014" s="32" t="n">
        <x:f>INDEX(tun_FoodCap,G1014)*Arch_FoodCap*EXP(tun_CapsByProject*SUMPRODUCT((Cap_Point&lt;=I1014)*(Cap_Kind="Food")*Cap_Ln))</x:f>
        <x:v>18627.260449441455</x:v>
      </x:c>
      <x:c r="K1014" s="32" t="n">
        <x:f>J1014*MIN(1,tun_LeanBase*EXP(tun_CapsByProject*SUMPRODUCT((Cap_Point&lt;=I1014)*(Cap_Kind="Lean")*Cap_Ln)))</x:f>
        <x:v>18627.260449441455</x:v>
      </x:c>
      <x:c r="L1014" s="10" t="n">
        <x:f>INDEX(tun_HousingCap,G1014)*EXP(tun_CapsByProject*SUMPRODUCT((Cap_Point&lt;=I1014)*(Cap_Kind="Housing")*Cap_Ln))</x:f>
        <x:v>20528.974303173167</x:v>
      </x:c>
      <x:c r="M1014" s="10" t="n">
        <x:f>INDEX(tun_GroupCap,G1014)*tun_CohesionFactor*EXP(tun_CapsByProject*SUMPRODUCT((Cap_Point&lt;=I1014)*(Cap_Kind="Group")*Cap_Ln))</x:f>
        <x:v>1000000.000000001</x:v>
      </x:c>
      <x:c r="N1014" s="32" t="n">
        <x:f>MIN(J1014,L1014,M1014)</x:f>
        <x:v>18627.260449441455</x:v>
      </x:c>
      <x:c r="O1014" s="10" t="n">
        <x:f>AE1013*N1014</x:f>
        <x:v>167645.34404497308</x:v>
      </x:c>
      <x:c r="P1014" s="9" t="n">
        <x:f>MIN(1,(AB1013/(AE1013*IF(tun_GroupInCrowding=1,N1014,MIN(J1014,L1014))))^tun_CrowdingExp)</x:f>
        <x:v>0.4215841981292809</x:v>
      </x:c>
      <x:c r="Q1014" s="9" t="n">
        <x:f>IF(D1014=1,INDEX(tun_WinterMult,G1014),1)</x:f>
        <x:v>1</x:v>
      </x:c>
      <x:c r="R1014" s="9" t="n">
        <x:f>H1014*Z1013*tun_WomenShare*tun_BaseFertility*INDEX(tun_FertMult,G1014)*Arch_Fertility*(1-P1014)</x:f>
        <x:v>0</x:v>
      </x:c>
      <x:c r="S1014" s="9" t="n">
        <x:f>H1014*Y1013*INDEX(tun_MortChild,G1014)/4*Q1014</x:f>
        <x:v>0</x:v>
      </x:c>
      <x:c r="T1014" s="9" t="n">
        <x:f>H1014*Z1013*INDEX(tun_MortAdult,G1014)*Arch_AdultMort/4*Q1014</x:f>
        <x:v>0</x:v>
      </x:c>
      <x:c r="U1014" s="9" t="n">
        <x:f>H1014*AA1013*INDEX(tun_MortElder,G1014)/4*Q1014</x:f>
        <x:v>0</x:v>
      </x:c>
      <x:c r="V1014" s="9" t="n">
        <x:f>H1014*MAX(0,AB1013-O1014)*tun_OvercapLoss</x:f>
        <x:v>0</x:v>
      </x:c>
      <x:c r="W1014" s="9" t="n">
        <x:f>H1014*Y1013/(tun_ChildYears*4)</x:f>
        <x:v>0</x:v>
      </x:c>
      <x:c r="X1014" s="9" t="n">
        <x:f>H1014*Z1013/(tun_AdultYears*4)</x:f>
        <x:v>0</x:v>
      </x:c>
      <x:c r="Y1014" s="32" t="n">
        <x:f>Y1013+R1014-S1014-W1014-Y1013*V1014/AB1013</x:f>
        <x:v>40496.20709015643</x:v>
      </x:c>
      <x:c r="Z1014" s="32" t="n">
        <x:f>Z1013+W1014-X1014-T1014-Z1013*V1014/AB1013</x:f>
        <x:v>59141.61122890803</x:v>
      </x:c>
      <x:c r="AA1014" s="32" t="n">
        <x:f>AA1013+X1014-U1014-AA1013*V1014/AB1013</x:f>
        <x:v>45530.62410925061</x:v>
      </x:c>
      <x:c r="AB1014" s="10" t="n">
        <x:f>Y1014+Z1014+AA1014</x:f>
        <x:v>145168.44242831506</x:v>
      </x:c>
      <x:c r="AC1014" s="8" t="n">
        <x:f>IF(AND(tun_WinterTrigger=1,D1014=1,AB1013/AE1013&gt;=K1014),1,0)</x:f>
        <x:v>0</x:v>
      </x:c>
      <x:c r="AD1014" s="8" t="n">
        <x:f>H1014*IF(AND(OR(AB1013/AE1013&gt;=tun_FissionTrigger*N1014,AC1014=1),AB1013/AE1013*tun_DaughterShare&gt;=tun_MinDaughter),MAX(1,ROUND(AE1013*tun_FissionRate,0)),0)</x:f>
        <x:v>0</x:v>
      </x:c>
      <x:c r="AE1014" s="8" t="n">
        <x:f>IF(H1014=1,MAX(1,MIN(INDEX(tun_Smax,G1014),AE1013+AD1014)),AE1013)</x:f>
        <x:v>9</x:v>
      </x:c>
      <x:c r="AF1014" s="8" t="n">
        <x:f>MAX(0,AE1014-AE1013)</x:f>
        <x:v>0</x:v>
      </x:c>
      <x:c r="AG1014" s="9" t="str">
        <x:f>IF(AF1014&gt;0,B1014,"")</x:f>
      </x:c>
      <x:c r="AH1014" s="9" t="n">
        <x:f>IF(F1014&gt;=1,1,(1+tun_LowTiesShare*(AE1014-1))/AE1014)</x:f>
        <x:v>1</x:v>
      </x:c>
      <x:c r="AI1014" s="32" t="n">
        <x:f>(Z1014+tun_ElderCommons*INDEX(LM_Elder,G1014)*AA1014)*AH1014</x:f>
        <x:v>238215.0665857503</x:v>
      </x:c>
      <x:c r="AJ1014" s="32" t="n">
        <x:f>H1014*tun_CommonsCoef*AI1014^tun_CommonsExp*INDEX(LM_Commons,G1014)</x:f>
        <x:v>0</x:v>
      </x:c>
      <x:c r="AK1014" s="32" t="n">
        <x:f>H1014*tun_RoleScale*Arch_Roles*(AE1014*(INDEX(tun_ElderRolePerSett,G1014)*tun_OutElder*INDEX(LM_Elder,G1014)+INDEX(tun_ShamanPerSett,G1014)*tun_OutShaman)+Z1014*(INDEX(tun_PriestShare,G1014)*tun_OutPriest+INDEX(tun_ScribeShare,G1014)*tun_OutScribe*INDEX(LM_Scribe,G1014)+INDEX(tun_ScholarShare,G1014)*tun_OutScholar*INDEX(LM_Scholar,G1014)+INDEX(tun_ResearcherShare,G1014)*tun_OutResearcher*INDEX(LM_Researcher,G1014)))</x:f>
        <x:v>0</x:v>
      </x:c>
      <x:c r="AL1014" s="32" t="n">
        <x:f>H1014*tun_RoleScale*Arch_Roles*AE1014*INDEX(tun_MonasteryPerSett,G1014)*tun_OutMonastery*INDEX(LM_Monastery,G1014)</x:f>
        <x:v>0</x:v>
      </x:c>
      <x:c r="AM1014" s="32" t="n">
        <x:f>(AJ1014+AK1014+AL1014)/4*INDEX(LM_All,G1014)*INDEX(tun_Boon,G1014)*Arch_Insight</x:f>
        <x:v>0</x:v>
      </x:c>
      <x:c r="AN1014" s="32" t="n">
        <x:f>H1014*(tun_KHPerAdult*Z1014+tun_KHOfCommons*AJ1014/4*INDEX(LM_All,G1014))*tun_KHUsable*Arch_KH</x:f>
        <x:v>0</x:v>
      </x:c>
      <x:c r="AO1014" s="32" t="n">
        <x:f>MIN(AP1013+AN1014,AM1014*tun_KHMaxRatio)</x:f>
        <x:v>0</x:v>
      </x:c>
      <x:c r="AP1014" s="32" t="n">
        <x:f>AP1013+AN1014-AO1014</x:f>
        <x:v>0</x:v>
      </x:c>
      <x:c r="AQ1014" s="32" t="n">
        <x:f>AM1014+AO1014</x:f>
        <x:v>0</x:v>
      </x:c>
      <x:c r="AR1014" s="10" t="n">
        <x:f>IF(H1014=1,INDEX(tun_Req,G1014),0)</x:f>
        <x:v>0</x:v>
      </x:c>
      <x:c r="AS1014" s="32" t="n">
        <x:f>IF(H1014=1,IF(E1014=1,AS1013-AR1013,AS1013)+AQ1014,0)</x:f>
        <x:v>0</x:v>
      </x:c>
      <x:c r="AT1014" s="11" t="n">
        <x:f>IF(AR1014&gt;0,MIN(1,AS1014/AR1014),1)</x:f>
        <x:v>1</x:v>
      </x:c>
      <x:c r="AU1014" s="10" t="n">
        <x:f>AB1014/INDEX(tun_RepScale,G1014)</x:f>
        <x:v>290.3368848566301</x:v>
      </x:c>
      <x:c r="AV1014" s="32" t="n">
        <x:f>AM1014*60/tun_SeasonSeconds</x:f>
        <x:v>0</x:v>
      </x:c>
    </x:row>
    <x:row r="1015">
      <x:c r="A1015" s="8" t="n">
        <x:f>A1014+1</x:f>
        <x:v>1012</x:v>
      </x:c>
      <x:c r="B1015" s="9" t="n">
        <x:f>A1015*tun_SeasonSeconds/60</x:f>
        <x:v>253</x:v>
      </x:c>
      <x:c r="C1015" s="9" t="n">
        <x:f>A1015/4</x:f>
        <x:v>253</x:v>
      </x:c>
      <x:c r="D1015" s="8" t="n">
        <x:f>IF(MOD(A1015,4)=0,1,0)</x:f>
        <x:v>1</x:v>
      </x:c>
      <x:c r="E1015" s="8" t="n">
        <x:f>IF(AND(F1014&lt;=9,AS1014&gt;=AR1014),1,0)</x:f>
        <x:v>0</x:v>
      </x:c>
      <x:c r="F1015" s="8" t="n">
        <x:f>MIN(10,F1014+E1015)</x:f>
        <x:v>10</x:v>
      </x:c>
      <x:c r="G1015" s="8" t="n">
        <x:f>MIN(F1015,9)+1</x:f>
        <x:v>10</x:v>
      </x:c>
      <x:c r="H1015" s="8" t="n">
        <x:f>IF(F1015&lt;=9,1,0)</x:f>
        <x:v>0</x:v>
      </x:c>
      <x:c r="I1015" s="9" t="n">
        <x:f>MIN(10,F1014+IF(AR1014&gt;0,MIN(1,AS1014/AR1014),1))</x:f>
        <x:v>10</x:v>
      </x:c>
      <x:c r="J1015" s="32" t="n">
        <x:f>INDEX(tun_FoodCap,G1015)*Arch_FoodCap*EXP(tun_CapsByProject*SUMPRODUCT((Cap_Point&lt;=I1015)*(Cap_Kind="Food")*Cap_Ln))</x:f>
        <x:v>18627.260449441455</x:v>
      </x:c>
      <x:c r="K1015" s="32" t="n">
        <x:f>J1015*MIN(1,tun_LeanBase*EXP(tun_CapsByProject*SUMPRODUCT((Cap_Point&lt;=I1015)*(Cap_Kind="Lean")*Cap_Ln)))</x:f>
        <x:v>18627.260449441455</x:v>
      </x:c>
      <x:c r="L1015" s="10" t="n">
        <x:f>INDEX(tun_HousingCap,G1015)*EXP(tun_CapsByProject*SUMPRODUCT((Cap_Point&lt;=I1015)*(Cap_Kind="Housing")*Cap_Ln))</x:f>
        <x:v>20528.974303173167</x:v>
      </x:c>
      <x:c r="M1015" s="10" t="n">
        <x:f>INDEX(tun_GroupCap,G1015)*tun_CohesionFactor*EXP(tun_CapsByProject*SUMPRODUCT((Cap_Point&lt;=I1015)*(Cap_Kind="Group")*Cap_Ln))</x:f>
        <x:v>1000000.000000001</x:v>
      </x:c>
      <x:c r="N1015" s="32" t="n">
        <x:f>MIN(J1015,L1015,M1015)</x:f>
        <x:v>18627.260449441455</x:v>
      </x:c>
      <x:c r="O1015" s="10" t="n">
        <x:f>AE1014*N1015</x:f>
        <x:v>167645.34404497308</x:v>
      </x:c>
      <x:c r="P1015" s="9" t="n">
        <x:f>MIN(1,(AB1014/(AE1014*IF(tun_GroupInCrowding=1,N1015,MIN(J1015,L1015))))^tun_CrowdingExp)</x:f>
        <x:v>0.4215841981292809</x:v>
      </x:c>
      <x:c r="Q1015" s="9" t="n">
        <x:f>IF(D1015=1,INDEX(tun_WinterMult,G1015),1)</x:f>
        <x:v>1.05</x:v>
      </x:c>
      <x:c r="R1015" s="9" t="n">
        <x:f>H1015*Z1014*tun_WomenShare*tun_BaseFertility*INDEX(tun_FertMult,G1015)*Arch_Fertility*(1-P1015)</x:f>
        <x:v>0</x:v>
      </x:c>
      <x:c r="S1015" s="9" t="n">
        <x:f>H1015*Y1014*INDEX(tun_MortChild,G1015)/4*Q1015</x:f>
        <x:v>0</x:v>
      </x:c>
      <x:c r="T1015" s="9" t="n">
        <x:f>H1015*Z1014*INDEX(tun_MortAdult,G1015)*Arch_AdultMort/4*Q1015</x:f>
        <x:v>0</x:v>
      </x:c>
      <x:c r="U1015" s="9" t="n">
        <x:f>H1015*AA1014*INDEX(tun_MortElder,G1015)/4*Q1015</x:f>
        <x:v>0</x:v>
      </x:c>
      <x:c r="V1015" s="9" t="n">
        <x:f>H1015*MAX(0,AB1014-O1015)*tun_OvercapLoss</x:f>
        <x:v>0</x:v>
      </x:c>
      <x:c r="W1015" s="9" t="n">
        <x:f>H1015*Y1014/(tun_ChildYears*4)</x:f>
        <x:v>0</x:v>
      </x:c>
      <x:c r="X1015" s="9" t="n">
        <x:f>H1015*Z1014/(tun_AdultYears*4)</x:f>
        <x:v>0</x:v>
      </x:c>
      <x:c r="Y1015" s="32" t="n">
        <x:f>Y1014+R1015-S1015-W1015-Y1014*V1015/AB1014</x:f>
        <x:v>40496.20709015643</x:v>
      </x:c>
      <x:c r="Z1015" s="32" t="n">
        <x:f>Z1014+W1015-X1015-T1015-Z1014*V1015/AB1014</x:f>
        <x:v>59141.61122890803</x:v>
      </x:c>
      <x:c r="AA1015" s="32" t="n">
        <x:f>AA1014+X1015-U1015-AA1014*V1015/AB1014</x:f>
        <x:v>45530.62410925061</x:v>
      </x:c>
      <x:c r="AB1015" s="10" t="n">
        <x:f>Y1015+Z1015+AA1015</x:f>
        <x:v>145168.44242831506</x:v>
      </x:c>
      <x:c r="AC1015" s="8" t="n">
        <x:f>IF(AND(tun_WinterTrigger=1,D1015=1,AB1014/AE1014&gt;=K1015),1,0)</x:f>
        <x:v>0</x:v>
      </x:c>
      <x:c r="AD1015" s="8" t="n">
        <x:f>H1015*IF(AND(OR(AB1014/AE1014&gt;=tun_FissionTrigger*N1015,AC1015=1),AB1014/AE1014*tun_DaughterShare&gt;=tun_MinDaughter),MAX(1,ROUND(AE1014*tun_FissionRate,0)),0)</x:f>
        <x:v>0</x:v>
      </x:c>
      <x:c r="AE1015" s="8" t="n">
        <x:f>IF(H1015=1,MAX(1,MIN(INDEX(tun_Smax,G1015),AE1014+AD1015)),AE1014)</x:f>
        <x:v>9</x:v>
      </x:c>
      <x:c r="AF1015" s="8" t="n">
        <x:f>MAX(0,AE1015-AE1014)</x:f>
        <x:v>0</x:v>
      </x:c>
      <x:c r="AG1015" s="9" t="str">
        <x:f>IF(AF1015&gt;0,B1015,"")</x:f>
      </x:c>
      <x:c r="AH1015" s="9" t="n">
        <x:f>IF(F1015&gt;=1,1,(1+tun_LowTiesShare*(AE1015-1))/AE1015)</x:f>
        <x:v>1</x:v>
      </x:c>
      <x:c r="AI1015" s="32" t="n">
        <x:f>(Z1015+tun_ElderCommons*INDEX(LM_Elder,G1015)*AA1015)*AH1015</x:f>
        <x:v>238215.0665857503</x:v>
      </x:c>
      <x:c r="AJ1015" s="32" t="n">
        <x:f>H1015*tun_CommonsCoef*AI1015^tun_CommonsExp*INDEX(LM_Commons,G1015)</x:f>
        <x:v>0</x:v>
      </x:c>
      <x:c r="AK1015" s="32" t="n">
        <x:f>H1015*tun_RoleScale*Arch_Roles*(AE1015*(INDEX(tun_ElderRolePerSett,G1015)*tun_OutElder*INDEX(LM_Elder,G1015)+INDEX(tun_ShamanPerSett,G1015)*tun_OutShaman)+Z1015*(INDEX(tun_PriestShare,G1015)*tun_OutPriest+INDEX(tun_ScribeShare,G1015)*tun_OutScribe*INDEX(LM_Scribe,G1015)+INDEX(tun_ScholarShare,G1015)*tun_OutScholar*INDEX(LM_Scholar,G1015)+INDEX(tun_ResearcherShare,G1015)*tun_OutResearcher*INDEX(LM_Researcher,G1015)))</x:f>
        <x:v>0</x:v>
      </x:c>
      <x:c r="AL1015" s="32" t="n">
        <x:f>H1015*tun_RoleScale*Arch_Roles*AE1015*INDEX(tun_MonasteryPerSett,G1015)*tun_OutMonastery*INDEX(LM_Monastery,G1015)</x:f>
        <x:v>0</x:v>
      </x:c>
      <x:c r="AM1015" s="32" t="n">
        <x:f>(AJ1015+AK1015+AL1015)/4*INDEX(LM_All,G1015)*INDEX(tun_Boon,G1015)*Arch_Insight</x:f>
        <x:v>0</x:v>
      </x:c>
      <x:c r="AN1015" s="32" t="n">
        <x:f>H1015*(tun_KHPerAdult*Z1015+tun_KHOfCommons*AJ1015/4*INDEX(LM_All,G1015))*tun_KHUsable*Arch_KH</x:f>
        <x:v>0</x:v>
      </x:c>
      <x:c r="AO1015" s="32" t="n">
        <x:f>MIN(AP1014+AN1015,AM1015*tun_KHMaxRatio)</x:f>
        <x:v>0</x:v>
      </x:c>
      <x:c r="AP1015" s="32" t="n">
        <x:f>AP1014+AN1015-AO1015</x:f>
        <x:v>0</x:v>
      </x:c>
      <x:c r="AQ1015" s="32" t="n">
        <x:f>AM1015+AO1015</x:f>
        <x:v>0</x:v>
      </x:c>
      <x:c r="AR1015" s="10" t="n">
        <x:f>IF(H1015=1,INDEX(tun_Req,G1015),0)</x:f>
        <x:v>0</x:v>
      </x:c>
      <x:c r="AS1015" s="32" t="n">
        <x:f>IF(H1015=1,IF(E1015=1,AS1014-AR1014,AS1014)+AQ1015,0)</x:f>
        <x:v>0</x:v>
      </x:c>
      <x:c r="AT1015" s="11" t="n">
        <x:f>IF(AR1015&gt;0,MIN(1,AS1015/AR1015),1)</x:f>
        <x:v>1</x:v>
      </x:c>
      <x:c r="AU1015" s="10" t="n">
        <x:f>AB1015/INDEX(tun_RepScale,G1015)</x:f>
        <x:v>290.3368848566301</x:v>
      </x:c>
      <x:c r="AV1015" s="32" t="n">
        <x:f>AM1015*60/tun_SeasonSeconds</x:f>
        <x:v>0</x:v>
      </x:c>
    </x:row>
    <x:row r="1016">
      <x:c r="A1016" s="8" t="n">
        <x:f>A1015+1</x:f>
        <x:v>1013</x:v>
      </x:c>
      <x:c r="B1016" s="9" t="n">
        <x:f>A1016*tun_SeasonSeconds/60</x:f>
        <x:v>253.25</x:v>
      </x:c>
      <x:c r="C1016" s="9" t="n">
        <x:f>A1016/4</x:f>
        <x:v>253.25</x:v>
      </x:c>
      <x:c r="D1016" s="8" t="n">
        <x:f>IF(MOD(A1016,4)=0,1,0)</x:f>
        <x:v>0</x:v>
      </x:c>
      <x:c r="E1016" s="8" t="n">
        <x:f>IF(AND(F1015&lt;=9,AS1015&gt;=AR1015),1,0)</x:f>
        <x:v>0</x:v>
      </x:c>
      <x:c r="F1016" s="8" t="n">
        <x:f>MIN(10,F1015+E1016)</x:f>
        <x:v>10</x:v>
      </x:c>
      <x:c r="G1016" s="8" t="n">
        <x:f>MIN(F1016,9)+1</x:f>
        <x:v>10</x:v>
      </x:c>
      <x:c r="H1016" s="8" t="n">
        <x:f>IF(F1016&lt;=9,1,0)</x:f>
        <x:v>0</x:v>
      </x:c>
      <x:c r="I1016" s="9" t="n">
        <x:f>MIN(10,F1015+IF(AR1015&gt;0,MIN(1,AS1015/AR1015),1))</x:f>
        <x:v>10</x:v>
      </x:c>
      <x:c r="J1016" s="32" t="n">
        <x:f>INDEX(tun_FoodCap,G1016)*Arch_FoodCap*EXP(tun_CapsByProject*SUMPRODUCT((Cap_Point&lt;=I1016)*(Cap_Kind="Food")*Cap_Ln))</x:f>
        <x:v>18627.260449441455</x:v>
      </x:c>
      <x:c r="K1016" s="32" t="n">
        <x:f>J1016*MIN(1,tun_LeanBase*EXP(tun_CapsByProject*SUMPRODUCT((Cap_Point&lt;=I1016)*(Cap_Kind="Lean")*Cap_Ln)))</x:f>
        <x:v>18627.260449441455</x:v>
      </x:c>
      <x:c r="L1016" s="10" t="n">
        <x:f>INDEX(tun_HousingCap,G1016)*EXP(tun_CapsByProject*SUMPRODUCT((Cap_Point&lt;=I1016)*(Cap_Kind="Housing")*Cap_Ln))</x:f>
        <x:v>20528.974303173167</x:v>
      </x:c>
      <x:c r="M1016" s="10" t="n">
        <x:f>INDEX(tun_GroupCap,G1016)*tun_CohesionFactor*EXP(tun_CapsByProject*SUMPRODUCT((Cap_Point&lt;=I1016)*(Cap_Kind="Group")*Cap_Ln))</x:f>
        <x:v>1000000.000000001</x:v>
      </x:c>
      <x:c r="N1016" s="32" t="n">
        <x:f>MIN(J1016,L1016,M1016)</x:f>
        <x:v>18627.260449441455</x:v>
      </x:c>
      <x:c r="O1016" s="10" t="n">
        <x:f>AE1015*N1016</x:f>
        <x:v>167645.34404497308</x:v>
      </x:c>
      <x:c r="P1016" s="9" t="n">
        <x:f>MIN(1,(AB1015/(AE1015*IF(tun_GroupInCrowding=1,N1016,MIN(J1016,L1016))))^tun_CrowdingExp)</x:f>
        <x:v>0.4215841981292809</x:v>
      </x:c>
      <x:c r="Q1016" s="9" t="n">
        <x:f>IF(D1016=1,INDEX(tun_WinterMult,G1016),1)</x:f>
        <x:v>1</x:v>
      </x:c>
      <x:c r="R1016" s="9" t="n">
        <x:f>H1016*Z1015*tun_WomenShare*tun_BaseFertility*INDEX(tun_FertMult,G1016)*Arch_Fertility*(1-P1016)</x:f>
        <x:v>0</x:v>
      </x:c>
      <x:c r="S1016" s="9" t="n">
        <x:f>H1016*Y1015*INDEX(tun_MortChild,G1016)/4*Q1016</x:f>
        <x:v>0</x:v>
      </x:c>
      <x:c r="T1016" s="9" t="n">
        <x:f>H1016*Z1015*INDEX(tun_MortAdult,G1016)*Arch_AdultMort/4*Q1016</x:f>
        <x:v>0</x:v>
      </x:c>
      <x:c r="U1016" s="9" t="n">
        <x:f>H1016*AA1015*INDEX(tun_MortElder,G1016)/4*Q1016</x:f>
        <x:v>0</x:v>
      </x:c>
      <x:c r="V1016" s="9" t="n">
        <x:f>H1016*MAX(0,AB1015-O1016)*tun_OvercapLoss</x:f>
        <x:v>0</x:v>
      </x:c>
      <x:c r="W1016" s="9" t="n">
        <x:f>H1016*Y1015/(tun_ChildYears*4)</x:f>
        <x:v>0</x:v>
      </x:c>
      <x:c r="X1016" s="9" t="n">
        <x:f>H1016*Z1015/(tun_AdultYears*4)</x:f>
        <x:v>0</x:v>
      </x:c>
      <x:c r="Y1016" s="32" t="n">
        <x:f>Y1015+R1016-S1016-W1016-Y1015*V1016/AB1015</x:f>
        <x:v>40496.20709015643</x:v>
      </x:c>
      <x:c r="Z1016" s="32" t="n">
        <x:f>Z1015+W1016-X1016-T1016-Z1015*V1016/AB1015</x:f>
        <x:v>59141.61122890803</x:v>
      </x:c>
      <x:c r="AA1016" s="32" t="n">
        <x:f>AA1015+X1016-U1016-AA1015*V1016/AB1015</x:f>
        <x:v>45530.62410925061</x:v>
      </x:c>
      <x:c r="AB1016" s="10" t="n">
        <x:f>Y1016+Z1016+AA1016</x:f>
        <x:v>145168.44242831506</x:v>
      </x:c>
      <x:c r="AC1016" s="8" t="n">
        <x:f>IF(AND(tun_WinterTrigger=1,D1016=1,AB1015/AE1015&gt;=K1016),1,0)</x:f>
        <x:v>0</x:v>
      </x:c>
      <x:c r="AD1016" s="8" t="n">
        <x:f>H1016*IF(AND(OR(AB1015/AE1015&gt;=tun_FissionTrigger*N1016,AC1016=1),AB1015/AE1015*tun_DaughterShare&gt;=tun_MinDaughter),MAX(1,ROUND(AE1015*tun_FissionRate,0)),0)</x:f>
        <x:v>0</x:v>
      </x:c>
      <x:c r="AE1016" s="8" t="n">
        <x:f>IF(H1016=1,MAX(1,MIN(INDEX(tun_Smax,G1016),AE1015+AD1016)),AE1015)</x:f>
        <x:v>9</x:v>
      </x:c>
      <x:c r="AF1016" s="8" t="n">
        <x:f>MAX(0,AE1016-AE1015)</x:f>
        <x:v>0</x:v>
      </x:c>
      <x:c r="AG1016" s="9" t="str">
        <x:f>IF(AF1016&gt;0,B1016,"")</x:f>
      </x:c>
      <x:c r="AH1016" s="9" t="n">
        <x:f>IF(F1016&gt;=1,1,(1+tun_LowTiesShare*(AE1016-1))/AE1016)</x:f>
        <x:v>1</x:v>
      </x:c>
      <x:c r="AI1016" s="32" t="n">
        <x:f>(Z1016+tun_ElderCommons*INDEX(LM_Elder,G1016)*AA1016)*AH1016</x:f>
        <x:v>238215.0665857503</x:v>
      </x:c>
      <x:c r="AJ1016" s="32" t="n">
        <x:f>H1016*tun_CommonsCoef*AI1016^tun_CommonsExp*INDEX(LM_Commons,G1016)</x:f>
        <x:v>0</x:v>
      </x:c>
      <x:c r="AK1016" s="32" t="n">
        <x:f>H1016*tun_RoleScale*Arch_Roles*(AE1016*(INDEX(tun_ElderRolePerSett,G1016)*tun_OutElder*INDEX(LM_Elder,G1016)+INDEX(tun_ShamanPerSett,G1016)*tun_OutShaman)+Z1016*(INDEX(tun_PriestShare,G1016)*tun_OutPriest+INDEX(tun_ScribeShare,G1016)*tun_OutScribe*INDEX(LM_Scribe,G1016)+INDEX(tun_ScholarShare,G1016)*tun_OutScholar*INDEX(LM_Scholar,G1016)+INDEX(tun_ResearcherShare,G1016)*tun_OutResearcher*INDEX(LM_Researcher,G1016)))</x:f>
        <x:v>0</x:v>
      </x:c>
      <x:c r="AL1016" s="32" t="n">
        <x:f>H1016*tun_RoleScale*Arch_Roles*AE1016*INDEX(tun_MonasteryPerSett,G1016)*tun_OutMonastery*INDEX(LM_Monastery,G1016)</x:f>
        <x:v>0</x:v>
      </x:c>
      <x:c r="AM1016" s="32" t="n">
        <x:f>(AJ1016+AK1016+AL1016)/4*INDEX(LM_All,G1016)*INDEX(tun_Boon,G1016)*Arch_Insight</x:f>
        <x:v>0</x:v>
      </x:c>
      <x:c r="AN1016" s="32" t="n">
        <x:f>H1016*(tun_KHPerAdult*Z1016+tun_KHOfCommons*AJ1016/4*INDEX(LM_All,G1016))*tun_KHUsable*Arch_KH</x:f>
        <x:v>0</x:v>
      </x:c>
      <x:c r="AO1016" s="32" t="n">
        <x:f>MIN(AP1015+AN1016,AM1016*tun_KHMaxRatio)</x:f>
        <x:v>0</x:v>
      </x:c>
      <x:c r="AP1016" s="32" t="n">
        <x:f>AP1015+AN1016-AO1016</x:f>
        <x:v>0</x:v>
      </x:c>
      <x:c r="AQ1016" s="32" t="n">
        <x:f>AM1016+AO1016</x:f>
        <x:v>0</x:v>
      </x:c>
      <x:c r="AR1016" s="10" t="n">
        <x:f>IF(H1016=1,INDEX(tun_Req,G1016),0)</x:f>
        <x:v>0</x:v>
      </x:c>
      <x:c r="AS1016" s="32" t="n">
        <x:f>IF(H1016=1,IF(E1016=1,AS1015-AR1015,AS1015)+AQ1016,0)</x:f>
        <x:v>0</x:v>
      </x:c>
      <x:c r="AT1016" s="11" t="n">
        <x:f>IF(AR1016&gt;0,MIN(1,AS1016/AR1016),1)</x:f>
        <x:v>1</x:v>
      </x:c>
      <x:c r="AU1016" s="10" t="n">
        <x:f>AB1016/INDEX(tun_RepScale,G1016)</x:f>
        <x:v>290.3368848566301</x:v>
      </x:c>
      <x:c r="AV1016" s="32" t="n">
        <x:f>AM1016*60/tun_SeasonSeconds</x:f>
        <x:v>0</x:v>
      </x:c>
    </x:row>
    <x:row r="1017">
      <x:c r="A1017" s="8" t="n">
        <x:f>A1016+1</x:f>
        <x:v>1014</x:v>
      </x:c>
      <x:c r="B1017" s="9" t="n">
        <x:f>A1017*tun_SeasonSeconds/60</x:f>
        <x:v>253.5</x:v>
      </x:c>
      <x:c r="C1017" s="9" t="n">
        <x:f>A1017/4</x:f>
        <x:v>253.5</x:v>
      </x:c>
      <x:c r="D1017" s="8" t="n">
        <x:f>IF(MOD(A1017,4)=0,1,0)</x:f>
        <x:v>0</x:v>
      </x:c>
      <x:c r="E1017" s="8" t="n">
        <x:f>IF(AND(F1016&lt;=9,AS1016&gt;=AR1016),1,0)</x:f>
        <x:v>0</x:v>
      </x:c>
      <x:c r="F1017" s="8" t="n">
        <x:f>MIN(10,F1016+E1017)</x:f>
        <x:v>10</x:v>
      </x:c>
      <x:c r="G1017" s="8" t="n">
        <x:f>MIN(F1017,9)+1</x:f>
        <x:v>10</x:v>
      </x:c>
      <x:c r="H1017" s="8" t="n">
        <x:f>IF(F1017&lt;=9,1,0)</x:f>
        <x:v>0</x:v>
      </x:c>
      <x:c r="I1017" s="9" t="n">
        <x:f>MIN(10,F1016+IF(AR1016&gt;0,MIN(1,AS1016/AR1016),1))</x:f>
        <x:v>10</x:v>
      </x:c>
      <x:c r="J1017" s="32" t="n">
        <x:f>INDEX(tun_FoodCap,G1017)*Arch_FoodCap*EXP(tun_CapsByProject*SUMPRODUCT((Cap_Point&lt;=I1017)*(Cap_Kind="Food")*Cap_Ln))</x:f>
        <x:v>18627.260449441455</x:v>
      </x:c>
      <x:c r="K1017" s="32" t="n">
        <x:f>J1017*MIN(1,tun_LeanBase*EXP(tun_CapsByProject*SUMPRODUCT((Cap_Point&lt;=I1017)*(Cap_Kind="Lean")*Cap_Ln)))</x:f>
        <x:v>18627.260449441455</x:v>
      </x:c>
      <x:c r="L1017" s="10" t="n">
        <x:f>INDEX(tun_HousingCap,G1017)*EXP(tun_CapsByProject*SUMPRODUCT((Cap_Point&lt;=I1017)*(Cap_Kind="Housing")*Cap_Ln))</x:f>
        <x:v>20528.974303173167</x:v>
      </x:c>
      <x:c r="M1017" s="10" t="n">
        <x:f>INDEX(tun_GroupCap,G1017)*tun_CohesionFactor*EXP(tun_CapsByProject*SUMPRODUCT((Cap_Point&lt;=I1017)*(Cap_Kind="Group")*Cap_Ln))</x:f>
        <x:v>1000000.000000001</x:v>
      </x:c>
      <x:c r="N1017" s="32" t="n">
        <x:f>MIN(J1017,L1017,M1017)</x:f>
        <x:v>18627.260449441455</x:v>
      </x:c>
      <x:c r="O1017" s="10" t="n">
        <x:f>AE1016*N1017</x:f>
        <x:v>167645.34404497308</x:v>
      </x:c>
      <x:c r="P1017" s="9" t="n">
        <x:f>MIN(1,(AB1016/(AE1016*IF(tun_GroupInCrowding=1,N1017,MIN(J1017,L1017))))^tun_CrowdingExp)</x:f>
        <x:v>0.4215841981292809</x:v>
      </x:c>
      <x:c r="Q1017" s="9" t="n">
        <x:f>IF(D1017=1,INDEX(tun_WinterMult,G1017),1)</x:f>
        <x:v>1</x:v>
      </x:c>
      <x:c r="R1017" s="9" t="n">
        <x:f>H1017*Z1016*tun_WomenShare*tun_BaseFertility*INDEX(tun_FertMult,G1017)*Arch_Fertility*(1-P1017)</x:f>
        <x:v>0</x:v>
      </x:c>
      <x:c r="S1017" s="9" t="n">
        <x:f>H1017*Y1016*INDEX(tun_MortChild,G1017)/4*Q1017</x:f>
        <x:v>0</x:v>
      </x:c>
      <x:c r="T1017" s="9" t="n">
        <x:f>H1017*Z1016*INDEX(tun_MortAdult,G1017)*Arch_AdultMort/4*Q1017</x:f>
        <x:v>0</x:v>
      </x:c>
      <x:c r="U1017" s="9" t="n">
        <x:f>H1017*AA1016*INDEX(tun_MortElder,G1017)/4*Q1017</x:f>
        <x:v>0</x:v>
      </x:c>
      <x:c r="V1017" s="9" t="n">
        <x:f>H1017*MAX(0,AB1016-O1017)*tun_OvercapLoss</x:f>
        <x:v>0</x:v>
      </x:c>
      <x:c r="W1017" s="9" t="n">
        <x:f>H1017*Y1016/(tun_ChildYears*4)</x:f>
        <x:v>0</x:v>
      </x:c>
      <x:c r="X1017" s="9" t="n">
        <x:f>H1017*Z1016/(tun_AdultYears*4)</x:f>
        <x:v>0</x:v>
      </x:c>
      <x:c r="Y1017" s="32" t="n">
        <x:f>Y1016+R1017-S1017-W1017-Y1016*V1017/AB1016</x:f>
        <x:v>40496.20709015643</x:v>
      </x:c>
      <x:c r="Z1017" s="32" t="n">
        <x:f>Z1016+W1017-X1017-T1017-Z1016*V1017/AB1016</x:f>
        <x:v>59141.61122890803</x:v>
      </x:c>
      <x:c r="AA1017" s="32" t="n">
        <x:f>AA1016+X1017-U1017-AA1016*V1017/AB1016</x:f>
        <x:v>45530.62410925061</x:v>
      </x:c>
      <x:c r="AB1017" s="10" t="n">
        <x:f>Y1017+Z1017+AA1017</x:f>
        <x:v>145168.44242831506</x:v>
      </x:c>
      <x:c r="AC1017" s="8" t="n">
        <x:f>IF(AND(tun_WinterTrigger=1,D1017=1,AB1016/AE1016&gt;=K1017),1,0)</x:f>
        <x:v>0</x:v>
      </x:c>
      <x:c r="AD1017" s="8" t="n">
        <x:f>H1017*IF(AND(OR(AB1016/AE1016&gt;=tun_FissionTrigger*N1017,AC1017=1),AB1016/AE1016*tun_DaughterShare&gt;=tun_MinDaughter),MAX(1,ROUND(AE1016*tun_FissionRate,0)),0)</x:f>
        <x:v>0</x:v>
      </x:c>
      <x:c r="AE1017" s="8" t="n">
        <x:f>IF(H1017=1,MAX(1,MIN(INDEX(tun_Smax,G1017),AE1016+AD1017)),AE1016)</x:f>
        <x:v>9</x:v>
      </x:c>
      <x:c r="AF1017" s="8" t="n">
        <x:f>MAX(0,AE1017-AE1016)</x:f>
        <x:v>0</x:v>
      </x:c>
      <x:c r="AG1017" s="9" t="str">
        <x:f>IF(AF1017&gt;0,B1017,"")</x:f>
      </x:c>
      <x:c r="AH1017" s="9" t="n">
        <x:f>IF(F1017&gt;=1,1,(1+tun_LowTiesShare*(AE1017-1))/AE1017)</x:f>
        <x:v>1</x:v>
      </x:c>
      <x:c r="AI1017" s="32" t="n">
        <x:f>(Z1017+tun_ElderCommons*INDEX(LM_Elder,G1017)*AA1017)*AH1017</x:f>
        <x:v>238215.0665857503</x:v>
      </x:c>
      <x:c r="AJ1017" s="32" t="n">
        <x:f>H1017*tun_CommonsCoef*AI1017^tun_CommonsExp*INDEX(LM_Commons,G1017)</x:f>
        <x:v>0</x:v>
      </x:c>
      <x:c r="AK1017" s="32" t="n">
        <x:f>H1017*tun_RoleScale*Arch_Roles*(AE1017*(INDEX(tun_ElderRolePerSett,G1017)*tun_OutElder*INDEX(LM_Elder,G1017)+INDEX(tun_ShamanPerSett,G1017)*tun_OutShaman)+Z1017*(INDEX(tun_PriestShare,G1017)*tun_OutPriest+INDEX(tun_ScribeShare,G1017)*tun_OutScribe*INDEX(LM_Scribe,G1017)+INDEX(tun_ScholarShare,G1017)*tun_OutScholar*INDEX(LM_Scholar,G1017)+INDEX(tun_ResearcherShare,G1017)*tun_OutResearcher*INDEX(LM_Researcher,G1017)))</x:f>
        <x:v>0</x:v>
      </x:c>
      <x:c r="AL1017" s="32" t="n">
        <x:f>H1017*tun_RoleScale*Arch_Roles*AE1017*INDEX(tun_MonasteryPerSett,G1017)*tun_OutMonastery*INDEX(LM_Monastery,G1017)</x:f>
        <x:v>0</x:v>
      </x:c>
      <x:c r="AM1017" s="32" t="n">
        <x:f>(AJ1017+AK1017+AL1017)/4*INDEX(LM_All,G1017)*INDEX(tun_Boon,G1017)*Arch_Insight</x:f>
        <x:v>0</x:v>
      </x:c>
      <x:c r="AN1017" s="32" t="n">
        <x:f>H1017*(tun_KHPerAdult*Z1017+tun_KHOfCommons*AJ1017/4*INDEX(LM_All,G1017))*tun_KHUsable*Arch_KH</x:f>
        <x:v>0</x:v>
      </x:c>
      <x:c r="AO1017" s="32" t="n">
        <x:f>MIN(AP1016+AN1017,AM1017*tun_KHMaxRatio)</x:f>
        <x:v>0</x:v>
      </x:c>
      <x:c r="AP1017" s="32" t="n">
        <x:f>AP1016+AN1017-AO1017</x:f>
        <x:v>0</x:v>
      </x:c>
      <x:c r="AQ1017" s="32" t="n">
        <x:f>AM1017+AO1017</x:f>
        <x:v>0</x:v>
      </x:c>
      <x:c r="AR1017" s="10" t="n">
        <x:f>IF(H1017=1,INDEX(tun_Req,G1017),0)</x:f>
        <x:v>0</x:v>
      </x:c>
      <x:c r="AS1017" s="32" t="n">
        <x:f>IF(H1017=1,IF(E1017=1,AS1016-AR1016,AS1016)+AQ1017,0)</x:f>
        <x:v>0</x:v>
      </x:c>
      <x:c r="AT1017" s="11" t="n">
        <x:f>IF(AR1017&gt;0,MIN(1,AS1017/AR1017),1)</x:f>
        <x:v>1</x:v>
      </x:c>
      <x:c r="AU1017" s="10" t="n">
        <x:f>AB1017/INDEX(tun_RepScale,G1017)</x:f>
        <x:v>290.3368848566301</x:v>
      </x:c>
      <x:c r="AV1017" s="32" t="n">
        <x:f>AM1017*60/tun_SeasonSeconds</x:f>
        <x:v>0</x:v>
      </x:c>
    </x:row>
    <x:row r="1018">
      <x:c r="A1018" s="8" t="n">
        <x:f>A1017+1</x:f>
        <x:v>1015</x:v>
      </x:c>
      <x:c r="B1018" s="9" t="n">
        <x:f>A1018*tun_SeasonSeconds/60</x:f>
        <x:v>253.75</x:v>
      </x:c>
      <x:c r="C1018" s="9" t="n">
        <x:f>A1018/4</x:f>
        <x:v>253.75</x:v>
      </x:c>
      <x:c r="D1018" s="8" t="n">
        <x:f>IF(MOD(A1018,4)=0,1,0)</x:f>
        <x:v>0</x:v>
      </x:c>
      <x:c r="E1018" s="8" t="n">
        <x:f>IF(AND(F1017&lt;=9,AS1017&gt;=AR1017),1,0)</x:f>
        <x:v>0</x:v>
      </x:c>
      <x:c r="F1018" s="8" t="n">
        <x:f>MIN(10,F1017+E1018)</x:f>
        <x:v>10</x:v>
      </x:c>
      <x:c r="G1018" s="8" t="n">
        <x:f>MIN(F1018,9)+1</x:f>
        <x:v>10</x:v>
      </x:c>
      <x:c r="H1018" s="8" t="n">
        <x:f>IF(F1018&lt;=9,1,0)</x:f>
        <x:v>0</x:v>
      </x:c>
      <x:c r="I1018" s="9" t="n">
        <x:f>MIN(10,F1017+IF(AR1017&gt;0,MIN(1,AS1017/AR1017),1))</x:f>
        <x:v>10</x:v>
      </x:c>
      <x:c r="J1018" s="32" t="n">
        <x:f>INDEX(tun_FoodCap,G1018)*Arch_FoodCap*EXP(tun_CapsByProject*SUMPRODUCT((Cap_Point&lt;=I1018)*(Cap_Kind="Food")*Cap_Ln))</x:f>
        <x:v>18627.260449441455</x:v>
      </x:c>
      <x:c r="K1018" s="32" t="n">
        <x:f>J1018*MIN(1,tun_LeanBase*EXP(tun_CapsByProject*SUMPRODUCT((Cap_Point&lt;=I1018)*(Cap_Kind="Lean")*Cap_Ln)))</x:f>
        <x:v>18627.260449441455</x:v>
      </x:c>
      <x:c r="L1018" s="10" t="n">
        <x:f>INDEX(tun_HousingCap,G1018)*EXP(tun_CapsByProject*SUMPRODUCT((Cap_Point&lt;=I1018)*(Cap_Kind="Housing")*Cap_Ln))</x:f>
        <x:v>20528.974303173167</x:v>
      </x:c>
      <x:c r="M1018" s="10" t="n">
        <x:f>INDEX(tun_GroupCap,G1018)*tun_CohesionFactor*EXP(tun_CapsByProject*SUMPRODUCT((Cap_Point&lt;=I1018)*(Cap_Kind="Group")*Cap_Ln))</x:f>
        <x:v>1000000.000000001</x:v>
      </x:c>
      <x:c r="N1018" s="32" t="n">
        <x:f>MIN(J1018,L1018,M1018)</x:f>
        <x:v>18627.260449441455</x:v>
      </x:c>
      <x:c r="O1018" s="10" t="n">
        <x:f>AE1017*N1018</x:f>
        <x:v>167645.34404497308</x:v>
      </x:c>
      <x:c r="P1018" s="9" t="n">
        <x:f>MIN(1,(AB1017/(AE1017*IF(tun_GroupInCrowding=1,N1018,MIN(J1018,L1018))))^tun_CrowdingExp)</x:f>
        <x:v>0.4215841981292809</x:v>
      </x:c>
      <x:c r="Q1018" s="9" t="n">
        <x:f>IF(D1018=1,INDEX(tun_WinterMult,G1018),1)</x:f>
        <x:v>1</x:v>
      </x:c>
      <x:c r="R1018" s="9" t="n">
        <x:f>H1018*Z1017*tun_WomenShare*tun_BaseFertility*INDEX(tun_FertMult,G1018)*Arch_Fertility*(1-P1018)</x:f>
        <x:v>0</x:v>
      </x:c>
      <x:c r="S1018" s="9" t="n">
        <x:f>H1018*Y1017*INDEX(tun_MortChild,G1018)/4*Q1018</x:f>
        <x:v>0</x:v>
      </x:c>
      <x:c r="T1018" s="9" t="n">
        <x:f>H1018*Z1017*INDEX(tun_MortAdult,G1018)*Arch_AdultMort/4*Q1018</x:f>
        <x:v>0</x:v>
      </x:c>
      <x:c r="U1018" s="9" t="n">
        <x:f>H1018*AA1017*INDEX(tun_MortElder,G1018)/4*Q1018</x:f>
        <x:v>0</x:v>
      </x:c>
      <x:c r="V1018" s="9" t="n">
        <x:f>H1018*MAX(0,AB1017-O1018)*tun_OvercapLoss</x:f>
        <x:v>0</x:v>
      </x:c>
      <x:c r="W1018" s="9" t="n">
        <x:f>H1018*Y1017/(tun_ChildYears*4)</x:f>
        <x:v>0</x:v>
      </x:c>
      <x:c r="X1018" s="9" t="n">
        <x:f>H1018*Z1017/(tun_AdultYears*4)</x:f>
        <x:v>0</x:v>
      </x:c>
      <x:c r="Y1018" s="32" t="n">
        <x:f>Y1017+R1018-S1018-W1018-Y1017*V1018/AB1017</x:f>
        <x:v>40496.20709015643</x:v>
      </x:c>
      <x:c r="Z1018" s="32" t="n">
        <x:f>Z1017+W1018-X1018-T1018-Z1017*V1018/AB1017</x:f>
        <x:v>59141.61122890803</x:v>
      </x:c>
      <x:c r="AA1018" s="32" t="n">
        <x:f>AA1017+X1018-U1018-AA1017*V1018/AB1017</x:f>
        <x:v>45530.62410925061</x:v>
      </x:c>
      <x:c r="AB1018" s="10" t="n">
        <x:f>Y1018+Z1018+AA1018</x:f>
        <x:v>145168.44242831506</x:v>
      </x:c>
      <x:c r="AC1018" s="8" t="n">
        <x:f>IF(AND(tun_WinterTrigger=1,D1018=1,AB1017/AE1017&gt;=K1018),1,0)</x:f>
        <x:v>0</x:v>
      </x:c>
      <x:c r="AD1018" s="8" t="n">
        <x:f>H1018*IF(AND(OR(AB1017/AE1017&gt;=tun_FissionTrigger*N1018,AC1018=1),AB1017/AE1017*tun_DaughterShare&gt;=tun_MinDaughter),MAX(1,ROUND(AE1017*tun_FissionRate,0)),0)</x:f>
        <x:v>0</x:v>
      </x:c>
      <x:c r="AE1018" s="8" t="n">
        <x:f>IF(H1018=1,MAX(1,MIN(INDEX(tun_Smax,G1018),AE1017+AD1018)),AE1017)</x:f>
        <x:v>9</x:v>
      </x:c>
      <x:c r="AF1018" s="8" t="n">
        <x:f>MAX(0,AE1018-AE1017)</x:f>
        <x:v>0</x:v>
      </x:c>
      <x:c r="AG1018" s="9" t="str">
        <x:f>IF(AF1018&gt;0,B1018,"")</x:f>
      </x:c>
      <x:c r="AH1018" s="9" t="n">
        <x:f>IF(F1018&gt;=1,1,(1+tun_LowTiesShare*(AE1018-1))/AE1018)</x:f>
        <x:v>1</x:v>
      </x:c>
      <x:c r="AI1018" s="32" t="n">
        <x:f>(Z1018+tun_ElderCommons*INDEX(LM_Elder,G1018)*AA1018)*AH1018</x:f>
        <x:v>238215.0665857503</x:v>
      </x:c>
      <x:c r="AJ1018" s="32" t="n">
        <x:f>H1018*tun_CommonsCoef*AI1018^tun_CommonsExp*INDEX(LM_Commons,G1018)</x:f>
        <x:v>0</x:v>
      </x:c>
      <x:c r="AK1018" s="32" t="n">
        <x:f>H1018*tun_RoleScale*Arch_Roles*(AE1018*(INDEX(tun_ElderRolePerSett,G1018)*tun_OutElder*INDEX(LM_Elder,G1018)+INDEX(tun_ShamanPerSett,G1018)*tun_OutShaman)+Z1018*(INDEX(tun_PriestShare,G1018)*tun_OutPriest+INDEX(tun_ScribeShare,G1018)*tun_OutScribe*INDEX(LM_Scribe,G1018)+INDEX(tun_ScholarShare,G1018)*tun_OutScholar*INDEX(LM_Scholar,G1018)+INDEX(tun_ResearcherShare,G1018)*tun_OutResearcher*INDEX(LM_Researcher,G1018)))</x:f>
        <x:v>0</x:v>
      </x:c>
      <x:c r="AL1018" s="32" t="n">
        <x:f>H1018*tun_RoleScale*Arch_Roles*AE1018*INDEX(tun_MonasteryPerSett,G1018)*tun_OutMonastery*INDEX(LM_Monastery,G1018)</x:f>
        <x:v>0</x:v>
      </x:c>
      <x:c r="AM1018" s="32" t="n">
        <x:f>(AJ1018+AK1018+AL1018)/4*INDEX(LM_All,G1018)*INDEX(tun_Boon,G1018)*Arch_Insight</x:f>
        <x:v>0</x:v>
      </x:c>
      <x:c r="AN1018" s="32" t="n">
        <x:f>H1018*(tun_KHPerAdult*Z1018+tun_KHOfCommons*AJ1018/4*INDEX(LM_All,G1018))*tun_KHUsable*Arch_KH</x:f>
        <x:v>0</x:v>
      </x:c>
      <x:c r="AO1018" s="32" t="n">
        <x:f>MIN(AP1017+AN1018,AM1018*tun_KHMaxRatio)</x:f>
        <x:v>0</x:v>
      </x:c>
      <x:c r="AP1018" s="32" t="n">
        <x:f>AP1017+AN1018-AO1018</x:f>
        <x:v>0</x:v>
      </x:c>
      <x:c r="AQ1018" s="32" t="n">
        <x:f>AM1018+AO1018</x:f>
        <x:v>0</x:v>
      </x:c>
      <x:c r="AR1018" s="10" t="n">
        <x:f>IF(H1018=1,INDEX(tun_Req,G1018),0)</x:f>
        <x:v>0</x:v>
      </x:c>
      <x:c r="AS1018" s="32" t="n">
        <x:f>IF(H1018=1,IF(E1018=1,AS1017-AR1017,AS1017)+AQ1018,0)</x:f>
        <x:v>0</x:v>
      </x:c>
      <x:c r="AT1018" s="11" t="n">
        <x:f>IF(AR1018&gt;0,MIN(1,AS1018/AR1018),1)</x:f>
        <x:v>1</x:v>
      </x:c>
      <x:c r="AU1018" s="10" t="n">
        <x:f>AB1018/INDEX(tun_RepScale,G1018)</x:f>
        <x:v>290.3368848566301</x:v>
      </x:c>
      <x:c r="AV1018" s="32" t="n">
        <x:f>AM1018*60/tun_SeasonSeconds</x:f>
        <x:v>0</x:v>
      </x:c>
    </x:row>
    <x:row r="1019">
      <x:c r="A1019" s="8" t="n">
        <x:f>A1018+1</x:f>
        <x:v>1016</x:v>
      </x:c>
      <x:c r="B1019" s="9" t="n">
        <x:f>A1019*tun_SeasonSeconds/60</x:f>
        <x:v>254</x:v>
      </x:c>
      <x:c r="C1019" s="9" t="n">
        <x:f>A1019/4</x:f>
        <x:v>254</x:v>
      </x:c>
      <x:c r="D1019" s="8" t="n">
        <x:f>IF(MOD(A1019,4)=0,1,0)</x:f>
        <x:v>1</x:v>
      </x:c>
      <x:c r="E1019" s="8" t="n">
        <x:f>IF(AND(F1018&lt;=9,AS1018&gt;=AR1018),1,0)</x:f>
        <x:v>0</x:v>
      </x:c>
      <x:c r="F1019" s="8" t="n">
        <x:f>MIN(10,F1018+E1019)</x:f>
        <x:v>10</x:v>
      </x:c>
      <x:c r="G1019" s="8" t="n">
        <x:f>MIN(F1019,9)+1</x:f>
        <x:v>10</x:v>
      </x:c>
      <x:c r="H1019" s="8" t="n">
        <x:f>IF(F1019&lt;=9,1,0)</x:f>
        <x:v>0</x:v>
      </x:c>
      <x:c r="I1019" s="9" t="n">
        <x:f>MIN(10,F1018+IF(AR1018&gt;0,MIN(1,AS1018/AR1018),1))</x:f>
        <x:v>10</x:v>
      </x:c>
      <x:c r="J1019" s="32" t="n">
        <x:f>INDEX(tun_FoodCap,G1019)*Arch_FoodCap*EXP(tun_CapsByProject*SUMPRODUCT((Cap_Point&lt;=I1019)*(Cap_Kind="Food")*Cap_Ln))</x:f>
        <x:v>18627.260449441455</x:v>
      </x:c>
      <x:c r="K1019" s="32" t="n">
        <x:f>J1019*MIN(1,tun_LeanBase*EXP(tun_CapsByProject*SUMPRODUCT((Cap_Point&lt;=I1019)*(Cap_Kind="Lean")*Cap_Ln)))</x:f>
        <x:v>18627.260449441455</x:v>
      </x:c>
      <x:c r="L1019" s="10" t="n">
        <x:f>INDEX(tun_HousingCap,G1019)*EXP(tun_CapsByProject*SUMPRODUCT((Cap_Point&lt;=I1019)*(Cap_Kind="Housing")*Cap_Ln))</x:f>
        <x:v>20528.974303173167</x:v>
      </x:c>
      <x:c r="M1019" s="10" t="n">
        <x:f>INDEX(tun_GroupCap,G1019)*tun_CohesionFactor*EXP(tun_CapsByProject*SUMPRODUCT((Cap_Point&lt;=I1019)*(Cap_Kind="Group")*Cap_Ln))</x:f>
        <x:v>1000000.000000001</x:v>
      </x:c>
      <x:c r="N1019" s="32" t="n">
        <x:f>MIN(J1019,L1019,M1019)</x:f>
        <x:v>18627.260449441455</x:v>
      </x:c>
      <x:c r="O1019" s="10" t="n">
        <x:f>AE1018*N1019</x:f>
        <x:v>167645.34404497308</x:v>
      </x:c>
      <x:c r="P1019" s="9" t="n">
        <x:f>MIN(1,(AB1018/(AE1018*IF(tun_GroupInCrowding=1,N1019,MIN(J1019,L1019))))^tun_CrowdingExp)</x:f>
        <x:v>0.4215841981292809</x:v>
      </x:c>
      <x:c r="Q1019" s="9" t="n">
        <x:f>IF(D1019=1,INDEX(tun_WinterMult,G1019),1)</x:f>
        <x:v>1.05</x:v>
      </x:c>
      <x:c r="R1019" s="9" t="n">
        <x:f>H1019*Z1018*tun_WomenShare*tun_BaseFertility*INDEX(tun_FertMult,G1019)*Arch_Fertility*(1-P1019)</x:f>
        <x:v>0</x:v>
      </x:c>
      <x:c r="S1019" s="9" t="n">
        <x:f>H1019*Y1018*INDEX(tun_MortChild,G1019)/4*Q1019</x:f>
        <x:v>0</x:v>
      </x:c>
      <x:c r="T1019" s="9" t="n">
        <x:f>H1019*Z1018*INDEX(tun_MortAdult,G1019)*Arch_AdultMort/4*Q1019</x:f>
        <x:v>0</x:v>
      </x:c>
      <x:c r="U1019" s="9" t="n">
        <x:f>H1019*AA1018*INDEX(tun_MortElder,G1019)/4*Q1019</x:f>
        <x:v>0</x:v>
      </x:c>
      <x:c r="V1019" s="9" t="n">
        <x:f>H1019*MAX(0,AB1018-O1019)*tun_OvercapLoss</x:f>
        <x:v>0</x:v>
      </x:c>
      <x:c r="W1019" s="9" t="n">
        <x:f>H1019*Y1018/(tun_ChildYears*4)</x:f>
        <x:v>0</x:v>
      </x:c>
      <x:c r="X1019" s="9" t="n">
        <x:f>H1019*Z1018/(tun_AdultYears*4)</x:f>
        <x:v>0</x:v>
      </x:c>
      <x:c r="Y1019" s="32" t="n">
        <x:f>Y1018+R1019-S1019-W1019-Y1018*V1019/AB1018</x:f>
        <x:v>40496.20709015643</x:v>
      </x:c>
      <x:c r="Z1019" s="32" t="n">
        <x:f>Z1018+W1019-X1019-T1019-Z1018*V1019/AB1018</x:f>
        <x:v>59141.61122890803</x:v>
      </x:c>
      <x:c r="AA1019" s="32" t="n">
        <x:f>AA1018+X1019-U1019-AA1018*V1019/AB1018</x:f>
        <x:v>45530.62410925061</x:v>
      </x:c>
      <x:c r="AB1019" s="10" t="n">
        <x:f>Y1019+Z1019+AA1019</x:f>
        <x:v>145168.44242831506</x:v>
      </x:c>
      <x:c r="AC1019" s="8" t="n">
        <x:f>IF(AND(tun_WinterTrigger=1,D1019=1,AB1018/AE1018&gt;=K1019),1,0)</x:f>
        <x:v>0</x:v>
      </x:c>
      <x:c r="AD1019" s="8" t="n">
        <x:f>H1019*IF(AND(OR(AB1018/AE1018&gt;=tun_FissionTrigger*N1019,AC1019=1),AB1018/AE1018*tun_DaughterShare&gt;=tun_MinDaughter),MAX(1,ROUND(AE1018*tun_FissionRate,0)),0)</x:f>
        <x:v>0</x:v>
      </x:c>
      <x:c r="AE1019" s="8" t="n">
        <x:f>IF(H1019=1,MAX(1,MIN(INDEX(tun_Smax,G1019),AE1018+AD1019)),AE1018)</x:f>
        <x:v>9</x:v>
      </x:c>
      <x:c r="AF1019" s="8" t="n">
        <x:f>MAX(0,AE1019-AE1018)</x:f>
        <x:v>0</x:v>
      </x:c>
      <x:c r="AG1019" s="9" t="str">
        <x:f>IF(AF1019&gt;0,B1019,"")</x:f>
      </x:c>
      <x:c r="AH1019" s="9" t="n">
        <x:f>IF(F1019&gt;=1,1,(1+tun_LowTiesShare*(AE1019-1))/AE1019)</x:f>
        <x:v>1</x:v>
      </x:c>
      <x:c r="AI1019" s="32" t="n">
        <x:f>(Z1019+tun_ElderCommons*INDEX(LM_Elder,G1019)*AA1019)*AH1019</x:f>
        <x:v>238215.0665857503</x:v>
      </x:c>
      <x:c r="AJ1019" s="32" t="n">
        <x:f>H1019*tun_CommonsCoef*AI1019^tun_CommonsExp*INDEX(LM_Commons,G1019)</x:f>
        <x:v>0</x:v>
      </x:c>
      <x:c r="AK1019" s="32" t="n">
        <x:f>H1019*tun_RoleScale*Arch_Roles*(AE1019*(INDEX(tun_ElderRolePerSett,G1019)*tun_OutElder*INDEX(LM_Elder,G1019)+INDEX(tun_ShamanPerSett,G1019)*tun_OutShaman)+Z1019*(INDEX(tun_PriestShare,G1019)*tun_OutPriest+INDEX(tun_ScribeShare,G1019)*tun_OutScribe*INDEX(LM_Scribe,G1019)+INDEX(tun_ScholarShare,G1019)*tun_OutScholar*INDEX(LM_Scholar,G1019)+INDEX(tun_ResearcherShare,G1019)*tun_OutResearcher*INDEX(LM_Researcher,G1019)))</x:f>
        <x:v>0</x:v>
      </x:c>
      <x:c r="AL1019" s="32" t="n">
        <x:f>H1019*tun_RoleScale*Arch_Roles*AE1019*INDEX(tun_MonasteryPerSett,G1019)*tun_OutMonastery*INDEX(LM_Monastery,G1019)</x:f>
        <x:v>0</x:v>
      </x:c>
      <x:c r="AM1019" s="32" t="n">
        <x:f>(AJ1019+AK1019+AL1019)/4*INDEX(LM_All,G1019)*INDEX(tun_Boon,G1019)*Arch_Insight</x:f>
        <x:v>0</x:v>
      </x:c>
      <x:c r="AN1019" s="32" t="n">
        <x:f>H1019*(tun_KHPerAdult*Z1019+tun_KHOfCommons*AJ1019/4*INDEX(LM_All,G1019))*tun_KHUsable*Arch_KH</x:f>
        <x:v>0</x:v>
      </x:c>
      <x:c r="AO1019" s="32" t="n">
        <x:f>MIN(AP1018+AN1019,AM1019*tun_KHMaxRatio)</x:f>
        <x:v>0</x:v>
      </x:c>
      <x:c r="AP1019" s="32" t="n">
        <x:f>AP1018+AN1019-AO1019</x:f>
        <x:v>0</x:v>
      </x:c>
      <x:c r="AQ1019" s="32" t="n">
        <x:f>AM1019+AO1019</x:f>
        <x:v>0</x:v>
      </x:c>
      <x:c r="AR1019" s="10" t="n">
        <x:f>IF(H1019=1,INDEX(tun_Req,G1019),0)</x:f>
        <x:v>0</x:v>
      </x:c>
      <x:c r="AS1019" s="32" t="n">
        <x:f>IF(H1019=1,IF(E1019=1,AS1018-AR1018,AS1018)+AQ1019,0)</x:f>
        <x:v>0</x:v>
      </x:c>
      <x:c r="AT1019" s="11" t="n">
        <x:f>IF(AR1019&gt;0,MIN(1,AS1019/AR1019),1)</x:f>
        <x:v>1</x:v>
      </x:c>
      <x:c r="AU1019" s="10" t="n">
        <x:f>AB1019/INDEX(tun_RepScale,G1019)</x:f>
        <x:v>290.3368848566301</x:v>
      </x:c>
      <x:c r="AV1019" s="32" t="n">
        <x:f>AM1019*60/tun_SeasonSeconds</x:f>
        <x:v>0</x:v>
      </x:c>
    </x:row>
    <x:row r="1020">
      <x:c r="A1020" s="8" t="n">
        <x:f>A1019+1</x:f>
        <x:v>1017</x:v>
      </x:c>
      <x:c r="B1020" s="9" t="n">
        <x:f>A1020*tun_SeasonSeconds/60</x:f>
        <x:v>254.25</x:v>
      </x:c>
      <x:c r="C1020" s="9" t="n">
        <x:f>A1020/4</x:f>
        <x:v>254.25</x:v>
      </x:c>
      <x:c r="D1020" s="8" t="n">
        <x:f>IF(MOD(A1020,4)=0,1,0)</x:f>
        <x:v>0</x:v>
      </x:c>
      <x:c r="E1020" s="8" t="n">
        <x:f>IF(AND(F1019&lt;=9,AS1019&gt;=AR1019),1,0)</x:f>
        <x:v>0</x:v>
      </x:c>
      <x:c r="F1020" s="8" t="n">
        <x:f>MIN(10,F1019+E1020)</x:f>
        <x:v>10</x:v>
      </x:c>
      <x:c r="G1020" s="8" t="n">
        <x:f>MIN(F1020,9)+1</x:f>
        <x:v>10</x:v>
      </x:c>
      <x:c r="H1020" s="8" t="n">
        <x:f>IF(F1020&lt;=9,1,0)</x:f>
        <x:v>0</x:v>
      </x:c>
      <x:c r="I1020" s="9" t="n">
        <x:f>MIN(10,F1019+IF(AR1019&gt;0,MIN(1,AS1019/AR1019),1))</x:f>
        <x:v>10</x:v>
      </x:c>
      <x:c r="J1020" s="32" t="n">
        <x:f>INDEX(tun_FoodCap,G1020)*Arch_FoodCap*EXP(tun_CapsByProject*SUMPRODUCT((Cap_Point&lt;=I1020)*(Cap_Kind="Food")*Cap_Ln))</x:f>
        <x:v>18627.260449441455</x:v>
      </x:c>
      <x:c r="K1020" s="32" t="n">
        <x:f>J1020*MIN(1,tun_LeanBase*EXP(tun_CapsByProject*SUMPRODUCT((Cap_Point&lt;=I1020)*(Cap_Kind="Lean")*Cap_Ln)))</x:f>
        <x:v>18627.260449441455</x:v>
      </x:c>
      <x:c r="L1020" s="10" t="n">
        <x:f>INDEX(tun_HousingCap,G1020)*EXP(tun_CapsByProject*SUMPRODUCT((Cap_Point&lt;=I1020)*(Cap_Kind="Housing")*Cap_Ln))</x:f>
        <x:v>20528.974303173167</x:v>
      </x:c>
      <x:c r="M1020" s="10" t="n">
        <x:f>INDEX(tun_GroupCap,G1020)*tun_CohesionFactor*EXP(tun_CapsByProject*SUMPRODUCT((Cap_Point&lt;=I1020)*(Cap_Kind="Group")*Cap_Ln))</x:f>
        <x:v>1000000.000000001</x:v>
      </x:c>
      <x:c r="N1020" s="32" t="n">
        <x:f>MIN(J1020,L1020,M1020)</x:f>
        <x:v>18627.260449441455</x:v>
      </x:c>
      <x:c r="O1020" s="10" t="n">
        <x:f>AE1019*N1020</x:f>
        <x:v>167645.34404497308</x:v>
      </x:c>
      <x:c r="P1020" s="9" t="n">
        <x:f>MIN(1,(AB1019/(AE1019*IF(tun_GroupInCrowding=1,N1020,MIN(J1020,L1020))))^tun_CrowdingExp)</x:f>
        <x:v>0.4215841981292809</x:v>
      </x:c>
      <x:c r="Q1020" s="9" t="n">
        <x:f>IF(D1020=1,INDEX(tun_WinterMult,G1020),1)</x:f>
        <x:v>1</x:v>
      </x:c>
      <x:c r="R1020" s="9" t="n">
        <x:f>H1020*Z1019*tun_WomenShare*tun_BaseFertility*INDEX(tun_FertMult,G1020)*Arch_Fertility*(1-P1020)</x:f>
        <x:v>0</x:v>
      </x:c>
      <x:c r="S1020" s="9" t="n">
        <x:f>H1020*Y1019*INDEX(tun_MortChild,G1020)/4*Q1020</x:f>
        <x:v>0</x:v>
      </x:c>
      <x:c r="T1020" s="9" t="n">
        <x:f>H1020*Z1019*INDEX(tun_MortAdult,G1020)*Arch_AdultMort/4*Q1020</x:f>
        <x:v>0</x:v>
      </x:c>
      <x:c r="U1020" s="9" t="n">
        <x:f>H1020*AA1019*INDEX(tun_MortElder,G1020)/4*Q1020</x:f>
        <x:v>0</x:v>
      </x:c>
      <x:c r="V1020" s="9" t="n">
        <x:f>H1020*MAX(0,AB1019-O1020)*tun_OvercapLoss</x:f>
        <x:v>0</x:v>
      </x:c>
      <x:c r="W1020" s="9" t="n">
        <x:f>H1020*Y1019/(tun_ChildYears*4)</x:f>
        <x:v>0</x:v>
      </x:c>
      <x:c r="X1020" s="9" t="n">
        <x:f>H1020*Z1019/(tun_AdultYears*4)</x:f>
        <x:v>0</x:v>
      </x:c>
      <x:c r="Y1020" s="32" t="n">
        <x:f>Y1019+R1020-S1020-W1020-Y1019*V1020/AB1019</x:f>
        <x:v>40496.20709015643</x:v>
      </x:c>
      <x:c r="Z1020" s="32" t="n">
        <x:f>Z1019+W1020-X1020-T1020-Z1019*V1020/AB1019</x:f>
        <x:v>59141.61122890803</x:v>
      </x:c>
      <x:c r="AA1020" s="32" t="n">
        <x:f>AA1019+X1020-U1020-AA1019*V1020/AB1019</x:f>
        <x:v>45530.62410925061</x:v>
      </x:c>
      <x:c r="AB1020" s="10" t="n">
        <x:f>Y1020+Z1020+AA1020</x:f>
        <x:v>145168.44242831506</x:v>
      </x:c>
      <x:c r="AC1020" s="8" t="n">
        <x:f>IF(AND(tun_WinterTrigger=1,D1020=1,AB1019/AE1019&gt;=K1020),1,0)</x:f>
        <x:v>0</x:v>
      </x:c>
      <x:c r="AD1020" s="8" t="n">
        <x:f>H1020*IF(AND(OR(AB1019/AE1019&gt;=tun_FissionTrigger*N1020,AC1020=1),AB1019/AE1019*tun_DaughterShare&gt;=tun_MinDaughter),MAX(1,ROUND(AE1019*tun_FissionRate,0)),0)</x:f>
        <x:v>0</x:v>
      </x:c>
      <x:c r="AE1020" s="8" t="n">
        <x:f>IF(H1020=1,MAX(1,MIN(INDEX(tun_Smax,G1020),AE1019+AD1020)),AE1019)</x:f>
        <x:v>9</x:v>
      </x:c>
      <x:c r="AF1020" s="8" t="n">
        <x:f>MAX(0,AE1020-AE1019)</x:f>
        <x:v>0</x:v>
      </x:c>
      <x:c r="AG1020" s="9" t="str">
        <x:f>IF(AF1020&gt;0,B1020,"")</x:f>
      </x:c>
      <x:c r="AH1020" s="9" t="n">
        <x:f>IF(F1020&gt;=1,1,(1+tun_LowTiesShare*(AE1020-1))/AE1020)</x:f>
        <x:v>1</x:v>
      </x:c>
      <x:c r="AI1020" s="32" t="n">
        <x:f>(Z1020+tun_ElderCommons*INDEX(LM_Elder,G1020)*AA1020)*AH1020</x:f>
        <x:v>238215.0665857503</x:v>
      </x:c>
      <x:c r="AJ1020" s="32" t="n">
        <x:f>H1020*tun_CommonsCoef*AI1020^tun_CommonsExp*INDEX(LM_Commons,G1020)</x:f>
        <x:v>0</x:v>
      </x:c>
      <x:c r="AK1020" s="32" t="n">
        <x:f>H1020*tun_RoleScale*Arch_Roles*(AE1020*(INDEX(tun_ElderRolePerSett,G1020)*tun_OutElder*INDEX(LM_Elder,G1020)+INDEX(tun_ShamanPerSett,G1020)*tun_OutShaman)+Z1020*(INDEX(tun_PriestShare,G1020)*tun_OutPriest+INDEX(tun_ScribeShare,G1020)*tun_OutScribe*INDEX(LM_Scribe,G1020)+INDEX(tun_ScholarShare,G1020)*tun_OutScholar*INDEX(LM_Scholar,G1020)+INDEX(tun_ResearcherShare,G1020)*tun_OutResearcher*INDEX(LM_Researcher,G1020)))</x:f>
        <x:v>0</x:v>
      </x:c>
      <x:c r="AL1020" s="32" t="n">
        <x:f>H1020*tun_RoleScale*Arch_Roles*AE1020*INDEX(tun_MonasteryPerSett,G1020)*tun_OutMonastery*INDEX(LM_Monastery,G1020)</x:f>
        <x:v>0</x:v>
      </x:c>
      <x:c r="AM1020" s="32" t="n">
        <x:f>(AJ1020+AK1020+AL1020)/4*INDEX(LM_All,G1020)*INDEX(tun_Boon,G1020)*Arch_Insight</x:f>
        <x:v>0</x:v>
      </x:c>
      <x:c r="AN1020" s="32" t="n">
        <x:f>H1020*(tun_KHPerAdult*Z1020+tun_KHOfCommons*AJ1020/4*INDEX(LM_All,G1020))*tun_KHUsable*Arch_KH</x:f>
        <x:v>0</x:v>
      </x:c>
      <x:c r="AO1020" s="32" t="n">
        <x:f>MIN(AP1019+AN1020,AM1020*tun_KHMaxRatio)</x:f>
        <x:v>0</x:v>
      </x:c>
      <x:c r="AP1020" s="32" t="n">
        <x:f>AP1019+AN1020-AO1020</x:f>
        <x:v>0</x:v>
      </x:c>
      <x:c r="AQ1020" s="32" t="n">
        <x:f>AM1020+AO1020</x:f>
        <x:v>0</x:v>
      </x:c>
      <x:c r="AR1020" s="10" t="n">
        <x:f>IF(H1020=1,INDEX(tun_Req,G1020),0)</x:f>
        <x:v>0</x:v>
      </x:c>
      <x:c r="AS1020" s="32" t="n">
        <x:f>IF(H1020=1,IF(E1020=1,AS1019-AR1019,AS1019)+AQ1020,0)</x:f>
        <x:v>0</x:v>
      </x:c>
      <x:c r="AT1020" s="11" t="n">
        <x:f>IF(AR1020&gt;0,MIN(1,AS1020/AR1020),1)</x:f>
        <x:v>1</x:v>
      </x:c>
      <x:c r="AU1020" s="10" t="n">
        <x:f>AB1020/INDEX(tun_RepScale,G1020)</x:f>
        <x:v>290.3368848566301</x:v>
      </x:c>
      <x:c r="AV1020" s="32" t="n">
        <x:f>AM1020*60/tun_SeasonSeconds</x:f>
        <x:v>0</x:v>
      </x:c>
    </x:row>
    <x:row r="1021">
      <x:c r="A1021" s="8" t="n">
        <x:f>A1020+1</x:f>
        <x:v>1018</x:v>
      </x:c>
      <x:c r="B1021" s="9" t="n">
        <x:f>A1021*tun_SeasonSeconds/60</x:f>
        <x:v>254.5</x:v>
      </x:c>
      <x:c r="C1021" s="9" t="n">
        <x:f>A1021/4</x:f>
        <x:v>254.5</x:v>
      </x:c>
      <x:c r="D1021" s="8" t="n">
        <x:f>IF(MOD(A1021,4)=0,1,0)</x:f>
        <x:v>0</x:v>
      </x:c>
      <x:c r="E1021" s="8" t="n">
        <x:f>IF(AND(F1020&lt;=9,AS1020&gt;=AR1020),1,0)</x:f>
        <x:v>0</x:v>
      </x:c>
      <x:c r="F1021" s="8" t="n">
        <x:f>MIN(10,F1020+E1021)</x:f>
        <x:v>10</x:v>
      </x:c>
      <x:c r="G1021" s="8" t="n">
        <x:f>MIN(F1021,9)+1</x:f>
        <x:v>10</x:v>
      </x:c>
      <x:c r="H1021" s="8" t="n">
        <x:f>IF(F1021&lt;=9,1,0)</x:f>
        <x:v>0</x:v>
      </x:c>
      <x:c r="I1021" s="9" t="n">
        <x:f>MIN(10,F1020+IF(AR1020&gt;0,MIN(1,AS1020/AR1020),1))</x:f>
        <x:v>10</x:v>
      </x:c>
      <x:c r="J1021" s="32" t="n">
        <x:f>INDEX(tun_FoodCap,G1021)*Arch_FoodCap*EXP(tun_CapsByProject*SUMPRODUCT((Cap_Point&lt;=I1021)*(Cap_Kind="Food")*Cap_Ln))</x:f>
        <x:v>18627.260449441455</x:v>
      </x:c>
      <x:c r="K1021" s="32" t="n">
        <x:f>J1021*MIN(1,tun_LeanBase*EXP(tun_CapsByProject*SUMPRODUCT((Cap_Point&lt;=I1021)*(Cap_Kind="Lean")*Cap_Ln)))</x:f>
        <x:v>18627.260449441455</x:v>
      </x:c>
      <x:c r="L1021" s="10" t="n">
        <x:f>INDEX(tun_HousingCap,G1021)*EXP(tun_CapsByProject*SUMPRODUCT((Cap_Point&lt;=I1021)*(Cap_Kind="Housing")*Cap_Ln))</x:f>
        <x:v>20528.974303173167</x:v>
      </x:c>
      <x:c r="M1021" s="10" t="n">
        <x:f>INDEX(tun_GroupCap,G1021)*tun_CohesionFactor*EXP(tun_CapsByProject*SUMPRODUCT((Cap_Point&lt;=I1021)*(Cap_Kind="Group")*Cap_Ln))</x:f>
        <x:v>1000000.000000001</x:v>
      </x:c>
      <x:c r="N1021" s="32" t="n">
        <x:f>MIN(J1021,L1021,M1021)</x:f>
        <x:v>18627.260449441455</x:v>
      </x:c>
      <x:c r="O1021" s="10" t="n">
        <x:f>AE1020*N1021</x:f>
        <x:v>167645.34404497308</x:v>
      </x:c>
      <x:c r="P1021" s="9" t="n">
        <x:f>MIN(1,(AB1020/(AE1020*IF(tun_GroupInCrowding=1,N1021,MIN(J1021,L1021))))^tun_CrowdingExp)</x:f>
        <x:v>0.4215841981292809</x:v>
      </x:c>
      <x:c r="Q1021" s="9" t="n">
        <x:f>IF(D1021=1,INDEX(tun_WinterMult,G1021),1)</x:f>
        <x:v>1</x:v>
      </x:c>
      <x:c r="R1021" s="9" t="n">
        <x:f>H1021*Z1020*tun_WomenShare*tun_BaseFertility*INDEX(tun_FertMult,G1021)*Arch_Fertility*(1-P1021)</x:f>
        <x:v>0</x:v>
      </x:c>
      <x:c r="S1021" s="9" t="n">
        <x:f>H1021*Y1020*INDEX(tun_MortChild,G1021)/4*Q1021</x:f>
        <x:v>0</x:v>
      </x:c>
      <x:c r="T1021" s="9" t="n">
        <x:f>H1021*Z1020*INDEX(tun_MortAdult,G1021)*Arch_AdultMort/4*Q1021</x:f>
        <x:v>0</x:v>
      </x:c>
      <x:c r="U1021" s="9" t="n">
        <x:f>H1021*AA1020*INDEX(tun_MortElder,G1021)/4*Q1021</x:f>
        <x:v>0</x:v>
      </x:c>
      <x:c r="V1021" s="9" t="n">
        <x:f>H1021*MAX(0,AB1020-O1021)*tun_OvercapLoss</x:f>
        <x:v>0</x:v>
      </x:c>
      <x:c r="W1021" s="9" t="n">
        <x:f>H1021*Y1020/(tun_ChildYears*4)</x:f>
        <x:v>0</x:v>
      </x:c>
      <x:c r="X1021" s="9" t="n">
        <x:f>H1021*Z1020/(tun_AdultYears*4)</x:f>
        <x:v>0</x:v>
      </x:c>
      <x:c r="Y1021" s="32" t="n">
        <x:f>Y1020+R1021-S1021-W1021-Y1020*V1021/AB1020</x:f>
        <x:v>40496.20709015643</x:v>
      </x:c>
      <x:c r="Z1021" s="32" t="n">
        <x:f>Z1020+W1021-X1021-T1021-Z1020*V1021/AB1020</x:f>
        <x:v>59141.61122890803</x:v>
      </x:c>
      <x:c r="AA1021" s="32" t="n">
        <x:f>AA1020+X1021-U1021-AA1020*V1021/AB1020</x:f>
        <x:v>45530.62410925061</x:v>
      </x:c>
      <x:c r="AB1021" s="10" t="n">
        <x:f>Y1021+Z1021+AA1021</x:f>
        <x:v>145168.44242831506</x:v>
      </x:c>
      <x:c r="AC1021" s="8" t="n">
        <x:f>IF(AND(tun_WinterTrigger=1,D1021=1,AB1020/AE1020&gt;=K1021),1,0)</x:f>
        <x:v>0</x:v>
      </x:c>
      <x:c r="AD1021" s="8" t="n">
        <x:f>H1021*IF(AND(OR(AB1020/AE1020&gt;=tun_FissionTrigger*N1021,AC1021=1),AB1020/AE1020*tun_DaughterShare&gt;=tun_MinDaughter),MAX(1,ROUND(AE1020*tun_FissionRate,0)),0)</x:f>
        <x:v>0</x:v>
      </x:c>
      <x:c r="AE1021" s="8" t="n">
        <x:f>IF(H1021=1,MAX(1,MIN(INDEX(tun_Smax,G1021),AE1020+AD1021)),AE1020)</x:f>
        <x:v>9</x:v>
      </x:c>
      <x:c r="AF1021" s="8" t="n">
        <x:f>MAX(0,AE1021-AE1020)</x:f>
        <x:v>0</x:v>
      </x:c>
      <x:c r="AG1021" s="9" t="str">
        <x:f>IF(AF1021&gt;0,B1021,"")</x:f>
      </x:c>
      <x:c r="AH1021" s="9" t="n">
        <x:f>IF(F1021&gt;=1,1,(1+tun_LowTiesShare*(AE1021-1))/AE1021)</x:f>
        <x:v>1</x:v>
      </x:c>
      <x:c r="AI1021" s="32" t="n">
        <x:f>(Z1021+tun_ElderCommons*INDEX(LM_Elder,G1021)*AA1021)*AH1021</x:f>
        <x:v>238215.0665857503</x:v>
      </x:c>
      <x:c r="AJ1021" s="32" t="n">
        <x:f>H1021*tun_CommonsCoef*AI1021^tun_CommonsExp*INDEX(LM_Commons,G1021)</x:f>
        <x:v>0</x:v>
      </x:c>
      <x:c r="AK1021" s="32" t="n">
        <x:f>H1021*tun_RoleScale*Arch_Roles*(AE1021*(INDEX(tun_ElderRolePerSett,G1021)*tun_OutElder*INDEX(LM_Elder,G1021)+INDEX(tun_ShamanPerSett,G1021)*tun_OutShaman)+Z1021*(INDEX(tun_PriestShare,G1021)*tun_OutPriest+INDEX(tun_ScribeShare,G1021)*tun_OutScribe*INDEX(LM_Scribe,G1021)+INDEX(tun_ScholarShare,G1021)*tun_OutScholar*INDEX(LM_Scholar,G1021)+INDEX(tun_ResearcherShare,G1021)*tun_OutResearcher*INDEX(LM_Researcher,G1021)))</x:f>
        <x:v>0</x:v>
      </x:c>
      <x:c r="AL1021" s="32" t="n">
        <x:f>H1021*tun_RoleScale*Arch_Roles*AE1021*INDEX(tun_MonasteryPerSett,G1021)*tun_OutMonastery*INDEX(LM_Monastery,G1021)</x:f>
        <x:v>0</x:v>
      </x:c>
      <x:c r="AM1021" s="32" t="n">
        <x:f>(AJ1021+AK1021+AL1021)/4*INDEX(LM_All,G1021)*INDEX(tun_Boon,G1021)*Arch_Insight</x:f>
        <x:v>0</x:v>
      </x:c>
      <x:c r="AN1021" s="32" t="n">
        <x:f>H1021*(tun_KHPerAdult*Z1021+tun_KHOfCommons*AJ1021/4*INDEX(LM_All,G1021))*tun_KHUsable*Arch_KH</x:f>
        <x:v>0</x:v>
      </x:c>
      <x:c r="AO1021" s="32" t="n">
        <x:f>MIN(AP1020+AN1021,AM1021*tun_KHMaxRatio)</x:f>
        <x:v>0</x:v>
      </x:c>
      <x:c r="AP1021" s="32" t="n">
        <x:f>AP1020+AN1021-AO1021</x:f>
        <x:v>0</x:v>
      </x:c>
      <x:c r="AQ1021" s="32" t="n">
        <x:f>AM1021+AO1021</x:f>
        <x:v>0</x:v>
      </x:c>
      <x:c r="AR1021" s="10" t="n">
        <x:f>IF(H1021=1,INDEX(tun_Req,G1021),0)</x:f>
        <x:v>0</x:v>
      </x:c>
      <x:c r="AS1021" s="32" t="n">
        <x:f>IF(H1021=1,IF(E1021=1,AS1020-AR1020,AS1020)+AQ1021,0)</x:f>
        <x:v>0</x:v>
      </x:c>
      <x:c r="AT1021" s="11" t="n">
        <x:f>IF(AR1021&gt;0,MIN(1,AS1021/AR1021),1)</x:f>
        <x:v>1</x:v>
      </x:c>
      <x:c r="AU1021" s="10" t="n">
        <x:f>AB1021/INDEX(tun_RepScale,G1021)</x:f>
        <x:v>290.3368848566301</x:v>
      </x:c>
      <x:c r="AV1021" s="32" t="n">
        <x:f>AM1021*60/tun_SeasonSeconds</x:f>
        <x:v>0</x:v>
      </x:c>
    </x:row>
    <x:row r="1022">
      <x:c r="A1022" s="8" t="n">
        <x:f>A1021+1</x:f>
        <x:v>1019</x:v>
      </x:c>
      <x:c r="B1022" s="9" t="n">
        <x:f>A1022*tun_SeasonSeconds/60</x:f>
        <x:v>254.75</x:v>
      </x:c>
      <x:c r="C1022" s="9" t="n">
        <x:f>A1022/4</x:f>
        <x:v>254.75</x:v>
      </x:c>
      <x:c r="D1022" s="8" t="n">
        <x:f>IF(MOD(A1022,4)=0,1,0)</x:f>
        <x:v>0</x:v>
      </x:c>
      <x:c r="E1022" s="8" t="n">
        <x:f>IF(AND(F1021&lt;=9,AS1021&gt;=AR1021),1,0)</x:f>
        <x:v>0</x:v>
      </x:c>
      <x:c r="F1022" s="8" t="n">
        <x:f>MIN(10,F1021+E1022)</x:f>
        <x:v>10</x:v>
      </x:c>
      <x:c r="G1022" s="8" t="n">
        <x:f>MIN(F1022,9)+1</x:f>
        <x:v>10</x:v>
      </x:c>
      <x:c r="H1022" s="8" t="n">
        <x:f>IF(F1022&lt;=9,1,0)</x:f>
        <x:v>0</x:v>
      </x:c>
      <x:c r="I1022" s="9" t="n">
        <x:f>MIN(10,F1021+IF(AR1021&gt;0,MIN(1,AS1021/AR1021),1))</x:f>
        <x:v>10</x:v>
      </x:c>
      <x:c r="J1022" s="32" t="n">
        <x:f>INDEX(tun_FoodCap,G1022)*Arch_FoodCap*EXP(tun_CapsByProject*SUMPRODUCT((Cap_Point&lt;=I1022)*(Cap_Kind="Food")*Cap_Ln))</x:f>
        <x:v>18627.260449441455</x:v>
      </x:c>
      <x:c r="K1022" s="32" t="n">
        <x:f>J1022*MIN(1,tun_LeanBase*EXP(tun_CapsByProject*SUMPRODUCT((Cap_Point&lt;=I1022)*(Cap_Kind="Lean")*Cap_Ln)))</x:f>
        <x:v>18627.260449441455</x:v>
      </x:c>
      <x:c r="L1022" s="10" t="n">
        <x:f>INDEX(tun_HousingCap,G1022)*EXP(tun_CapsByProject*SUMPRODUCT((Cap_Point&lt;=I1022)*(Cap_Kind="Housing")*Cap_Ln))</x:f>
        <x:v>20528.974303173167</x:v>
      </x:c>
      <x:c r="M1022" s="10" t="n">
        <x:f>INDEX(tun_GroupCap,G1022)*tun_CohesionFactor*EXP(tun_CapsByProject*SUMPRODUCT((Cap_Point&lt;=I1022)*(Cap_Kind="Group")*Cap_Ln))</x:f>
        <x:v>1000000.000000001</x:v>
      </x:c>
      <x:c r="N1022" s="32" t="n">
        <x:f>MIN(J1022,L1022,M1022)</x:f>
        <x:v>18627.260449441455</x:v>
      </x:c>
      <x:c r="O1022" s="10" t="n">
        <x:f>AE1021*N1022</x:f>
        <x:v>167645.34404497308</x:v>
      </x:c>
      <x:c r="P1022" s="9" t="n">
        <x:f>MIN(1,(AB1021/(AE1021*IF(tun_GroupInCrowding=1,N1022,MIN(J1022,L1022))))^tun_CrowdingExp)</x:f>
        <x:v>0.4215841981292809</x:v>
      </x:c>
      <x:c r="Q1022" s="9" t="n">
        <x:f>IF(D1022=1,INDEX(tun_WinterMult,G1022),1)</x:f>
        <x:v>1</x:v>
      </x:c>
      <x:c r="R1022" s="9" t="n">
        <x:f>H1022*Z1021*tun_WomenShare*tun_BaseFertility*INDEX(tun_FertMult,G1022)*Arch_Fertility*(1-P1022)</x:f>
        <x:v>0</x:v>
      </x:c>
      <x:c r="S1022" s="9" t="n">
        <x:f>H1022*Y1021*INDEX(tun_MortChild,G1022)/4*Q1022</x:f>
        <x:v>0</x:v>
      </x:c>
      <x:c r="T1022" s="9" t="n">
        <x:f>H1022*Z1021*INDEX(tun_MortAdult,G1022)*Arch_AdultMort/4*Q1022</x:f>
        <x:v>0</x:v>
      </x:c>
      <x:c r="U1022" s="9" t="n">
        <x:f>H1022*AA1021*INDEX(tun_MortElder,G1022)/4*Q1022</x:f>
        <x:v>0</x:v>
      </x:c>
      <x:c r="V1022" s="9" t="n">
        <x:f>H1022*MAX(0,AB1021-O1022)*tun_OvercapLoss</x:f>
        <x:v>0</x:v>
      </x:c>
      <x:c r="W1022" s="9" t="n">
        <x:f>H1022*Y1021/(tun_ChildYears*4)</x:f>
        <x:v>0</x:v>
      </x:c>
      <x:c r="X1022" s="9" t="n">
        <x:f>H1022*Z1021/(tun_AdultYears*4)</x:f>
        <x:v>0</x:v>
      </x:c>
      <x:c r="Y1022" s="32" t="n">
        <x:f>Y1021+R1022-S1022-W1022-Y1021*V1022/AB1021</x:f>
        <x:v>40496.20709015643</x:v>
      </x:c>
      <x:c r="Z1022" s="32" t="n">
        <x:f>Z1021+W1022-X1022-T1022-Z1021*V1022/AB1021</x:f>
        <x:v>59141.61122890803</x:v>
      </x:c>
      <x:c r="AA1022" s="32" t="n">
        <x:f>AA1021+X1022-U1022-AA1021*V1022/AB1021</x:f>
        <x:v>45530.62410925061</x:v>
      </x:c>
      <x:c r="AB1022" s="10" t="n">
        <x:f>Y1022+Z1022+AA1022</x:f>
        <x:v>145168.44242831506</x:v>
      </x:c>
      <x:c r="AC1022" s="8" t="n">
        <x:f>IF(AND(tun_WinterTrigger=1,D1022=1,AB1021/AE1021&gt;=K1022),1,0)</x:f>
        <x:v>0</x:v>
      </x:c>
      <x:c r="AD1022" s="8" t="n">
        <x:f>H1022*IF(AND(OR(AB1021/AE1021&gt;=tun_FissionTrigger*N1022,AC1022=1),AB1021/AE1021*tun_DaughterShare&gt;=tun_MinDaughter),MAX(1,ROUND(AE1021*tun_FissionRate,0)),0)</x:f>
        <x:v>0</x:v>
      </x:c>
      <x:c r="AE1022" s="8" t="n">
        <x:f>IF(H1022=1,MAX(1,MIN(INDEX(tun_Smax,G1022),AE1021+AD1022)),AE1021)</x:f>
        <x:v>9</x:v>
      </x:c>
      <x:c r="AF1022" s="8" t="n">
        <x:f>MAX(0,AE1022-AE1021)</x:f>
        <x:v>0</x:v>
      </x:c>
      <x:c r="AG1022" s="9" t="str">
        <x:f>IF(AF1022&gt;0,B1022,"")</x:f>
      </x:c>
      <x:c r="AH1022" s="9" t="n">
        <x:f>IF(F1022&gt;=1,1,(1+tun_LowTiesShare*(AE1022-1))/AE1022)</x:f>
        <x:v>1</x:v>
      </x:c>
      <x:c r="AI1022" s="32" t="n">
        <x:f>(Z1022+tun_ElderCommons*INDEX(LM_Elder,G1022)*AA1022)*AH1022</x:f>
        <x:v>238215.0665857503</x:v>
      </x:c>
      <x:c r="AJ1022" s="32" t="n">
        <x:f>H1022*tun_CommonsCoef*AI1022^tun_CommonsExp*INDEX(LM_Commons,G1022)</x:f>
        <x:v>0</x:v>
      </x:c>
      <x:c r="AK1022" s="32" t="n">
        <x:f>H1022*tun_RoleScale*Arch_Roles*(AE1022*(INDEX(tun_ElderRolePerSett,G1022)*tun_OutElder*INDEX(LM_Elder,G1022)+INDEX(tun_ShamanPerSett,G1022)*tun_OutShaman)+Z1022*(INDEX(tun_PriestShare,G1022)*tun_OutPriest+INDEX(tun_ScribeShare,G1022)*tun_OutScribe*INDEX(LM_Scribe,G1022)+INDEX(tun_ScholarShare,G1022)*tun_OutScholar*INDEX(LM_Scholar,G1022)+INDEX(tun_ResearcherShare,G1022)*tun_OutResearcher*INDEX(LM_Researcher,G1022)))</x:f>
        <x:v>0</x:v>
      </x:c>
      <x:c r="AL1022" s="32" t="n">
        <x:f>H1022*tun_RoleScale*Arch_Roles*AE1022*INDEX(tun_MonasteryPerSett,G1022)*tun_OutMonastery*INDEX(LM_Monastery,G1022)</x:f>
        <x:v>0</x:v>
      </x:c>
      <x:c r="AM1022" s="32" t="n">
        <x:f>(AJ1022+AK1022+AL1022)/4*INDEX(LM_All,G1022)*INDEX(tun_Boon,G1022)*Arch_Insight</x:f>
        <x:v>0</x:v>
      </x:c>
      <x:c r="AN1022" s="32" t="n">
        <x:f>H1022*(tun_KHPerAdult*Z1022+tun_KHOfCommons*AJ1022/4*INDEX(LM_All,G1022))*tun_KHUsable*Arch_KH</x:f>
        <x:v>0</x:v>
      </x:c>
      <x:c r="AO1022" s="32" t="n">
        <x:f>MIN(AP1021+AN1022,AM1022*tun_KHMaxRatio)</x:f>
        <x:v>0</x:v>
      </x:c>
      <x:c r="AP1022" s="32" t="n">
        <x:f>AP1021+AN1022-AO1022</x:f>
        <x:v>0</x:v>
      </x:c>
      <x:c r="AQ1022" s="32" t="n">
        <x:f>AM1022+AO1022</x:f>
        <x:v>0</x:v>
      </x:c>
      <x:c r="AR1022" s="10" t="n">
        <x:f>IF(H1022=1,INDEX(tun_Req,G1022),0)</x:f>
        <x:v>0</x:v>
      </x:c>
      <x:c r="AS1022" s="32" t="n">
        <x:f>IF(H1022=1,IF(E1022=1,AS1021-AR1021,AS1021)+AQ1022,0)</x:f>
        <x:v>0</x:v>
      </x:c>
      <x:c r="AT1022" s="11" t="n">
        <x:f>IF(AR1022&gt;0,MIN(1,AS1022/AR1022),1)</x:f>
        <x:v>1</x:v>
      </x:c>
      <x:c r="AU1022" s="10" t="n">
        <x:f>AB1022/INDEX(tun_RepScale,G1022)</x:f>
        <x:v>290.3368848566301</x:v>
      </x:c>
      <x:c r="AV1022" s="32" t="n">
        <x:f>AM1022*60/tun_SeasonSeconds</x:f>
        <x:v>0</x:v>
      </x:c>
    </x:row>
    <x:row r="1023">
      <x:c r="A1023" s="8" t="n">
        <x:f>A1022+1</x:f>
        <x:v>1020</x:v>
      </x:c>
      <x:c r="B1023" s="9" t="n">
        <x:f>A1023*tun_SeasonSeconds/60</x:f>
        <x:v>255</x:v>
      </x:c>
      <x:c r="C1023" s="9" t="n">
        <x:f>A1023/4</x:f>
        <x:v>255</x:v>
      </x:c>
      <x:c r="D1023" s="8" t="n">
        <x:f>IF(MOD(A1023,4)=0,1,0)</x:f>
        <x:v>1</x:v>
      </x:c>
      <x:c r="E1023" s="8" t="n">
        <x:f>IF(AND(F1022&lt;=9,AS1022&gt;=AR1022),1,0)</x:f>
        <x:v>0</x:v>
      </x:c>
      <x:c r="F1023" s="8" t="n">
        <x:f>MIN(10,F1022+E1023)</x:f>
        <x:v>10</x:v>
      </x:c>
      <x:c r="G1023" s="8" t="n">
        <x:f>MIN(F1023,9)+1</x:f>
        <x:v>10</x:v>
      </x:c>
      <x:c r="H1023" s="8" t="n">
        <x:f>IF(F1023&lt;=9,1,0)</x:f>
        <x:v>0</x:v>
      </x:c>
      <x:c r="I1023" s="9" t="n">
        <x:f>MIN(10,F1022+IF(AR1022&gt;0,MIN(1,AS1022/AR1022),1))</x:f>
        <x:v>10</x:v>
      </x:c>
      <x:c r="J1023" s="32" t="n">
        <x:f>INDEX(tun_FoodCap,G1023)*Arch_FoodCap*EXP(tun_CapsByProject*SUMPRODUCT((Cap_Point&lt;=I1023)*(Cap_Kind="Food")*Cap_Ln))</x:f>
        <x:v>18627.260449441455</x:v>
      </x:c>
      <x:c r="K1023" s="32" t="n">
        <x:f>J1023*MIN(1,tun_LeanBase*EXP(tun_CapsByProject*SUMPRODUCT((Cap_Point&lt;=I1023)*(Cap_Kind="Lean")*Cap_Ln)))</x:f>
        <x:v>18627.260449441455</x:v>
      </x:c>
      <x:c r="L1023" s="10" t="n">
        <x:f>INDEX(tun_HousingCap,G1023)*EXP(tun_CapsByProject*SUMPRODUCT((Cap_Point&lt;=I1023)*(Cap_Kind="Housing")*Cap_Ln))</x:f>
        <x:v>20528.974303173167</x:v>
      </x:c>
      <x:c r="M1023" s="10" t="n">
        <x:f>INDEX(tun_GroupCap,G1023)*tun_CohesionFactor*EXP(tun_CapsByProject*SUMPRODUCT((Cap_Point&lt;=I1023)*(Cap_Kind="Group")*Cap_Ln))</x:f>
        <x:v>1000000.000000001</x:v>
      </x:c>
      <x:c r="N1023" s="32" t="n">
        <x:f>MIN(J1023,L1023,M1023)</x:f>
        <x:v>18627.260449441455</x:v>
      </x:c>
      <x:c r="O1023" s="10" t="n">
        <x:f>AE1022*N1023</x:f>
        <x:v>167645.34404497308</x:v>
      </x:c>
      <x:c r="P1023" s="9" t="n">
        <x:f>MIN(1,(AB1022/(AE1022*IF(tun_GroupInCrowding=1,N1023,MIN(J1023,L1023))))^tun_CrowdingExp)</x:f>
        <x:v>0.4215841981292809</x:v>
      </x:c>
      <x:c r="Q1023" s="9" t="n">
        <x:f>IF(D1023=1,INDEX(tun_WinterMult,G1023),1)</x:f>
        <x:v>1.05</x:v>
      </x:c>
      <x:c r="R1023" s="9" t="n">
        <x:f>H1023*Z1022*tun_WomenShare*tun_BaseFertility*INDEX(tun_FertMult,G1023)*Arch_Fertility*(1-P1023)</x:f>
        <x:v>0</x:v>
      </x:c>
      <x:c r="S1023" s="9" t="n">
        <x:f>H1023*Y1022*INDEX(tun_MortChild,G1023)/4*Q1023</x:f>
        <x:v>0</x:v>
      </x:c>
      <x:c r="T1023" s="9" t="n">
        <x:f>H1023*Z1022*INDEX(tun_MortAdult,G1023)*Arch_AdultMort/4*Q1023</x:f>
        <x:v>0</x:v>
      </x:c>
      <x:c r="U1023" s="9" t="n">
        <x:f>H1023*AA1022*INDEX(tun_MortElder,G1023)/4*Q1023</x:f>
        <x:v>0</x:v>
      </x:c>
      <x:c r="V1023" s="9" t="n">
        <x:f>H1023*MAX(0,AB1022-O1023)*tun_OvercapLoss</x:f>
        <x:v>0</x:v>
      </x:c>
      <x:c r="W1023" s="9" t="n">
        <x:f>H1023*Y1022/(tun_ChildYears*4)</x:f>
        <x:v>0</x:v>
      </x:c>
      <x:c r="X1023" s="9" t="n">
        <x:f>H1023*Z1022/(tun_AdultYears*4)</x:f>
        <x:v>0</x:v>
      </x:c>
      <x:c r="Y1023" s="32" t="n">
        <x:f>Y1022+R1023-S1023-W1023-Y1022*V1023/AB1022</x:f>
        <x:v>40496.20709015643</x:v>
      </x:c>
      <x:c r="Z1023" s="32" t="n">
        <x:f>Z1022+W1023-X1023-T1023-Z1022*V1023/AB1022</x:f>
        <x:v>59141.61122890803</x:v>
      </x:c>
      <x:c r="AA1023" s="32" t="n">
        <x:f>AA1022+X1023-U1023-AA1022*V1023/AB1022</x:f>
        <x:v>45530.62410925061</x:v>
      </x:c>
      <x:c r="AB1023" s="10" t="n">
        <x:f>Y1023+Z1023+AA1023</x:f>
        <x:v>145168.44242831506</x:v>
      </x:c>
      <x:c r="AC1023" s="8" t="n">
        <x:f>IF(AND(tun_WinterTrigger=1,D1023=1,AB1022/AE1022&gt;=K1023),1,0)</x:f>
        <x:v>0</x:v>
      </x:c>
      <x:c r="AD1023" s="8" t="n">
        <x:f>H1023*IF(AND(OR(AB1022/AE1022&gt;=tun_FissionTrigger*N1023,AC1023=1),AB1022/AE1022*tun_DaughterShare&gt;=tun_MinDaughter),MAX(1,ROUND(AE1022*tun_FissionRate,0)),0)</x:f>
        <x:v>0</x:v>
      </x:c>
      <x:c r="AE1023" s="8" t="n">
        <x:f>IF(H1023=1,MAX(1,MIN(INDEX(tun_Smax,G1023),AE1022+AD1023)),AE1022)</x:f>
        <x:v>9</x:v>
      </x:c>
      <x:c r="AF1023" s="8" t="n">
        <x:f>MAX(0,AE1023-AE1022)</x:f>
        <x:v>0</x:v>
      </x:c>
      <x:c r="AG1023" s="9" t="str">
        <x:f>IF(AF1023&gt;0,B1023,"")</x:f>
      </x:c>
      <x:c r="AH1023" s="9" t="n">
        <x:f>IF(F1023&gt;=1,1,(1+tun_LowTiesShare*(AE1023-1))/AE1023)</x:f>
        <x:v>1</x:v>
      </x:c>
      <x:c r="AI1023" s="32" t="n">
        <x:f>(Z1023+tun_ElderCommons*INDEX(LM_Elder,G1023)*AA1023)*AH1023</x:f>
        <x:v>238215.0665857503</x:v>
      </x:c>
      <x:c r="AJ1023" s="32" t="n">
        <x:f>H1023*tun_CommonsCoef*AI1023^tun_CommonsExp*INDEX(LM_Commons,G1023)</x:f>
        <x:v>0</x:v>
      </x:c>
      <x:c r="AK1023" s="32" t="n">
        <x:f>H1023*tun_RoleScale*Arch_Roles*(AE1023*(INDEX(tun_ElderRolePerSett,G1023)*tun_OutElder*INDEX(LM_Elder,G1023)+INDEX(tun_ShamanPerSett,G1023)*tun_OutShaman)+Z1023*(INDEX(tun_PriestShare,G1023)*tun_OutPriest+INDEX(tun_ScribeShare,G1023)*tun_OutScribe*INDEX(LM_Scribe,G1023)+INDEX(tun_ScholarShare,G1023)*tun_OutScholar*INDEX(LM_Scholar,G1023)+INDEX(tun_ResearcherShare,G1023)*tun_OutResearcher*INDEX(LM_Researcher,G1023)))</x:f>
        <x:v>0</x:v>
      </x:c>
      <x:c r="AL1023" s="32" t="n">
        <x:f>H1023*tun_RoleScale*Arch_Roles*AE1023*INDEX(tun_MonasteryPerSett,G1023)*tun_OutMonastery*INDEX(LM_Monastery,G1023)</x:f>
        <x:v>0</x:v>
      </x:c>
      <x:c r="AM1023" s="32" t="n">
        <x:f>(AJ1023+AK1023+AL1023)/4*INDEX(LM_All,G1023)*INDEX(tun_Boon,G1023)*Arch_Insight</x:f>
        <x:v>0</x:v>
      </x:c>
      <x:c r="AN1023" s="32" t="n">
        <x:f>H1023*(tun_KHPerAdult*Z1023+tun_KHOfCommons*AJ1023/4*INDEX(LM_All,G1023))*tun_KHUsable*Arch_KH</x:f>
        <x:v>0</x:v>
      </x:c>
      <x:c r="AO1023" s="32" t="n">
        <x:f>MIN(AP1022+AN1023,AM1023*tun_KHMaxRatio)</x:f>
        <x:v>0</x:v>
      </x:c>
      <x:c r="AP1023" s="32" t="n">
        <x:f>AP1022+AN1023-AO1023</x:f>
        <x:v>0</x:v>
      </x:c>
      <x:c r="AQ1023" s="32" t="n">
        <x:f>AM1023+AO1023</x:f>
        <x:v>0</x:v>
      </x:c>
      <x:c r="AR1023" s="10" t="n">
        <x:f>IF(H1023=1,INDEX(tun_Req,G1023),0)</x:f>
        <x:v>0</x:v>
      </x:c>
      <x:c r="AS1023" s="32" t="n">
        <x:f>IF(H1023=1,IF(E1023=1,AS1022-AR1022,AS1022)+AQ1023,0)</x:f>
        <x:v>0</x:v>
      </x:c>
      <x:c r="AT1023" s="11" t="n">
        <x:f>IF(AR1023&gt;0,MIN(1,AS1023/AR1023),1)</x:f>
        <x:v>1</x:v>
      </x:c>
      <x:c r="AU1023" s="10" t="n">
        <x:f>AB1023/INDEX(tun_RepScale,G1023)</x:f>
        <x:v>290.3368848566301</x:v>
      </x:c>
      <x:c r="AV1023" s="32" t="n">
        <x:f>AM1023*60/tun_SeasonSeconds</x:f>
        <x:v>0</x:v>
      </x:c>
    </x:row>
    <x:row r="1024">
      <x:c r="A1024" s="8" t="n">
        <x:f>A1023+1</x:f>
        <x:v>1021</x:v>
      </x:c>
      <x:c r="B1024" s="9" t="n">
        <x:f>A1024*tun_SeasonSeconds/60</x:f>
        <x:v>255.25</x:v>
      </x:c>
      <x:c r="C1024" s="9" t="n">
        <x:f>A1024/4</x:f>
        <x:v>255.25</x:v>
      </x:c>
      <x:c r="D1024" s="8" t="n">
        <x:f>IF(MOD(A1024,4)=0,1,0)</x:f>
        <x:v>0</x:v>
      </x:c>
      <x:c r="E1024" s="8" t="n">
        <x:f>IF(AND(F1023&lt;=9,AS1023&gt;=AR1023),1,0)</x:f>
        <x:v>0</x:v>
      </x:c>
      <x:c r="F1024" s="8" t="n">
        <x:f>MIN(10,F1023+E1024)</x:f>
        <x:v>10</x:v>
      </x:c>
      <x:c r="G1024" s="8" t="n">
        <x:f>MIN(F1024,9)+1</x:f>
        <x:v>10</x:v>
      </x:c>
      <x:c r="H1024" s="8" t="n">
        <x:f>IF(F1024&lt;=9,1,0)</x:f>
        <x:v>0</x:v>
      </x:c>
      <x:c r="I1024" s="9" t="n">
        <x:f>MIN(10,F1023+IF(AR1023&gt;0,MIN(1,AS1023/AR1023),1))</x:f>
        <x:v>10</x:v>
      </x:c>
      <x:c r="J1024" s="32" t="n">
        <x:f>INDEX(tun_FoodCap,G1024)*Arch_FoodCap*EXP(tun_CapsByProject*SUMPRODUCT((Cap_Point&lt;=I1024)*(Cap_Kind="Food")*Cap_Ln))</x:f>
        <x:v>18627.260449441455</x:v>
      </x:c>
      <x:c r="K1024" s="32" t="n">
        <x:f>J1024*MIN(1,tun_LeanBase*EXP(tun_CapsByProject*SUMPRODUCT((Cap_Point&lt;=I1024)*(Cap_Kind="Lean")*Cap_Ln)))</x:f>
        <x:v>18627.260449441455</x:v>
      </x:c>
      <x:c r="L1024" s="10" t="n">
        <x:f>INDEX(tun_HousingCap,G1024)*EXP(tun_CapsByProject*SUMPRODUCT((Cap_Point&lt;=I1024)*(Cap_Kind="Housing")*Cap_Ln))</x:f>
        <x:v>20528.974303173167</x:v>
      </x:c>
      <x:c r="M1024" s="10" t="n">
        <x:f>INDEX(tun_GroupCap,G1024)*tun_CohesionFactor*EXP(tun_CapsByProject*SUMPRODUCT((Cap_Point&lt;=I1024)*(Cap_Kind="Group")*Cap_Ln))</x:f>
        <x:v>1000000.000000001</x:v>
      </x:c>
      <x:c r="N1024" s="32" t="n">
        <x:f>MIN(J1024,L1024,M1024)</x:f>
        <x:v>18627.260449441455</x:v>
      </x:c>
      <x:c r="O1024" s="10" t="n">
        <x:f>AE1023*N1024</x:f>
        <x:v>167645.34404497308</x:v>
      </x:c>
      <x:c r="P1024" s="9" t="n">
        <x:f>MIN(1,(AB1023/(AE1023*IF(tun_GroupInCrowding=1,N1024,MIN(J1024,L1024))))^tun_CrowdingExp)</x:f>
        <x:v>0.4215841981292809</x:v>
      </x:c>
      <x:c r="Q1024" s="9" t="n">
        <x:f>IF(D1024=1,INDEX(tun_WinterMult,G1024),1)</x:f>
        <x:v>1</x:v>
      </x:c>
      <x:c r="R1024" s="9" t="n">
        <x:f>H1024*Z1023*tun_WomenShare*tun_BaseFertility*INDEX(tun_FertMult,G1024)*Arch_Fertility*(1-P1024)</x:f>
        <x:v>0</x:v>
      </x:c>
      <x:c r="S1024" s="9" t="n">
        <x:f>H1024*Y1023*INDEX(tun_MortChild,G1024)/4*Q1024</x:f>
        <x:v>0</x:v>
      </x:c>
      <x:c r="T1024" s="9" t="n">
        <x:f>H1024*Z1023*INDEX(tun_MortAdult,G1024)*Arch_AdultMort/4*Q1024</x:f>
        <x:v>0</x:v>
      </x:c>
      <x:c r="U1024" s="9" t="n">
        <x:f>H1024*AA1023*INDEX(tun_MortElder,G1024)/4*Q1024</x:f>
        <x:v>0</x:v>
      </x:c>
      <x:c r="V1024" s="9" t="n">
        <x:f>H1024*MAX(0,AB1023-O1024)*tun_OvercapLoss</x:f>
        <x:v>0</x:v>
      </x:c>
      <x:c r="W1024" s="9" t="n">
        <x:f>H1024*Y1023/(tun_ChildYears*4)</x:f>
        <x:v>0</x:v>
      </x:c>
      <x:c r="X1024" s="9" t="n">
        <x:f>H1024*Z1023/(tun_AdultYears*4)</x:f>
        <x:v>0</x:v>
      </x:c>
      <x:c r="Y1024" s="32" t="n">
        <x:f>Y1023+R1024-S1024-W1024-Y1023*V1024/AB1023</x:f>
        <x:v>40496.20709015643</x:v>
      </x:c>
      <x:c r="Z1024" s="32" t="n">
        <x:f>Z1023+W1024-X1024-T1024-Z1023*V1024/AB1023</x:f>
        <x:v>59141.61122890803</x:v>
      </x:c>
      <x:c r="AA1024" s="32" t="n">
        <x:f>AA1023+X1024-U1024-AA1023*V1024/AB1023</x:f>
        <x:v>45530.62410925061</x:v>
      </x:c>
      <x:c r="AB1024" s="10" t="n">
        <x:f>Y1024+Z1024+AA1024</x:f>
        <x:v>145168.44242831506</x:v>
      </x:c>
      <x:c r="AC1024" s="8" t="n">
        <x:f>IF(AND(tun_WinterTrigger=1,D1024=1,AB1023/AE1023&gt;=K1024),1,0)</x:f>
        <x:v>0</x:v>
      </x:c>
      <x:c r="AD1024" s="8" t="n">
        <x:f>H1024*IF(AND(OR(AB1023/AE1023&gt;=tun_FissionTrigger*N1024,AC1024=1),AB1023/AE1023*tun_DaughterShare&gt;=tun_MinDaughter),MAX(1,ROUND(AE1023*tun_FissionRate,0)),0)</x:f>
        <x:v>0</x:v>
      </x:c>
      <x:c r="AE1024" s="8" t="n">
        <x:f>IF(H1024=1,MAX(1,MIN(INDEX(tun_Smax,G1024),AE1023+AD1024)),AE1023)</x:f>
        <x:v>9</x:v>
      </x:c>
      <x:c r="AF1024" s="8" t="n">
        <x:f>MAX(0,AE1024-AE1023)</x:f>
        <x:v>0</x:v>
      </x:c>
      <x:c r="AG1024" s="9" t="str">
        <x:f>IF(AF1024&gt;0,B1024,"")</x:f>
      </x:c>
      <x:c r="AH1024" s="9" t="n">
        <x:f>IF(F1024&gt;=1,1,(1+tun_LowTiesShare*(AE1024-1))/AE1024)</x:f>
        <x:v>1</x:v>
      </x:c>
      <x:c r="AI1024" s="32" t="n">
        <x:f>(Z1024+tun_ElderCommons*INDEX(LM_Elder,G1024)*AA1024)*AH1024</x:f>
        <x:v>238215.0665857503</x:v>
      </x:c>
      <x:c r="AJ1024" s="32" t="n">
        <x:f>H1024*tun_CommonsCoef*AI1024^tun_CommonsExp*INDEX(LM_Commons,G1024)</x:f>
        <x:v>0</x:v>
      </x:c>
      <x:c r="AK1024" s="32" t="n">
        <x:f>H1024*tun_RoleScale*Arch_Roles*(AE1024*(INDEX(tun_ElderRolePerSett,G1024)*tun_OutElder*INDEX(LM_Elder,G1024)+INDEX(tun_ShamanPerSett,G1024)*tun_OutShaman)+Z1024*(INDEX(tun_PriestShare,G1024)*tun_OutPriest+INDEX(tun_ScribeShare,G1024)*tun_OutScribe*INDEX(LM_Scribe,G1024)+INDEX(tun_ScholarShare,G1024)*tun_OutScholar*INDEX(LM_Scholar,G1024)+INDEX(tun_ResearcherShare,G1024)*tun_OutResearcher*INDEX(LM_Researcher,G1024)))</x:f>
        <x:v>0</x:v>
      </x:c>
      <x:c r="AL1024" s="32" t="n">
        <x:f>H1024*tun_RoleScale*Arch_Roles*AE1024*INDEX(tun_MonasteryPerSett,G1024)*tun_OutMonastery*INDEX(LM_Monastery,G1024)</x:f>
        <x:v>0</x:v>
      </x:c>
      <x:c r="AM1024" s="32" t="n">
        <x:f>(AJ1024+AK1024+AL1024)/4*INDEX(LM_All,G1024)*INDEX(tun_Boon,G1024)*Arch_Insight</x:f>
        <x:v>0</x:v>
      </x:c>
      <x:c r="AN1024" s="32" t="n">
        <x:f>H1024*(tun_KHPerAdult*Z1024+tun_KHOfCommons*AJ1024/4*INDEX(LM_All,G1024))*tun_KHUsable*Arch_KH</x:f>
        <x:v>0</x:v>
      </x:c>
      <x:c r="AO1024" s="32" t="n">
        <x:f>MIN(AP1023+AN1024,AM1024*tun_KHMaxRatio)</x:f>
        <x:v>0</x:v>
      </x:c>
      <x:c r="AP1024" s="32" t="n">
        <x:f>AP1023+AN1024-AO1024</x:f>
        <x:v>0</x:v>
      </x:c>
      <x:c r="AQ1024" s="32" t="n">
        <x:f>AM1024+AO1024</x:f>
        <x:v>0</x:v>
      </x:c>
      <x:c r="AR1024" s="10" t="n">
        <x:f>IF(H1024=1,INDEX(tun_Req,G1024),0)</x:f>
        <x:v>0</x:v>
      </x:c>
      <x:c r="AS1024" s="32" t="n">
        <x:f>IF(H1024=1,IF(E1024=1,AS1023-AR1023,AS1023)+AQ1024,0)</x:f>
        <x:v>0</x:v>
      </x:c>
      <x:c r="AT1024" s="11" t="n">
        <x:f>IF(AR1024&gt;0,MIN(1,AS1024/AR1024),1)</x:f>
        <x:v>1</x:v>
      </x:c>
      <x:c r="AU1024" s="10" t="n">
        <x:f>AB1024/INDEX(tun_RepScale,G1024)</x:f>
        <x:v>290.3368848566301</x:v>
      </x:c>
      <x:c r="AV1024" s="32" t="n">
        <x:f>AM1024*60/tun_SeasonSeconds</x:f>
        <x:v>0</x:v>
      </x:c>
    </x:row>
    <x:row r="1025">
      <x:c r="A1025" s="8" t="n">
        <x:f>A1024+1</x:f>
        <x:v>1022</x:v>
      </x:c>
      <x:c r="B1025" s="9" t="n">
        <x:f>A1025*tun_SeasonSeconds/60</x:f>
        <x:v>255.5</x:v>
      </x:c>
      <x:c r="C1025" s="9" t="n">
        <x:f>A1025/4</x:f>
        <x:v>255.5</x:v>
      </x:c>
      <x:c r="D1025" s="8" t="n">
        <x:f>IF(MOD(A1025,4)=0,1,0)</x:f>
        <x:v>0</x:v>
      </x:c>
      <x:c r="E1025" s="8" t="n">
        <x:f>IF(AND(F1024&lt;=9,AS1024&gt;=AR1024),1,0)</x:f>
        <x:v>0</x:v>
      </x:c>
      <x:c r="F1025" s="8" t="n">
        <x:f>MIN(10,F1024+E1025)</x:f>
        <x:v>10</x:v>
      </x:c>
      <x:c r="G1025" s="8" t="n">
        <x:f>MIN(F1025,9)+1</x:f>
        <x:v>10</x:v>
      </x:c>
      <x:c r="H1025" s="8" t="n">
        <x:f>IF(F1025&lt;=9,1,0)</x:f>
        <x:v>0</x:v>
      </x:c>
      <x:c r="I1025" s="9" t="n">
        <x:f>MIN(10,F1024+IF(AR1024&gt;0,MIN(1,AS1024/AR1024),1))</x:f>
        <x:v>10</x:v>
      </x:c>
      <x:c r="J1025" s="32" t="n">
        <x:f>INDEX(tun_FoodCap,G1025)*Arch_FoodCap*EXP(tun_CapsByProject*SUMPRODUCT((Cap_Point&lt;=I1025)*(Cap_Kind="Food")*Cap_Ln))</x:f>
        <x:v>18627.260449441455</x:v>
      </x:c>
      <x:c r="K1025" s="32" t="n">
        <x:f>J1025*MIN(1,tun_LeanBase*EXP(tun_CapsByProject*SUMPRODUCT((Cap_Point&lt;=I1025)*(Cap_Kind="Lean")*Cap_Ln)))</x:f>
        <x:v>18627.260449441455</x:v>
      </x:c>
      <x:c r="L1025" s="10" t="n">
        <x:f>INDEX(tun_HousingCap,G1025)*EXP(tun_CapsByProject*SUMPRODUCT((Cap_Point&lt;=I1025)*(Cap_Kind="Housing")*Cap_Ln))</x:f>
        <x:v>20528.974303173167</x:v>
      </x:c>
      <x:c r="M1025" s="10" t="n">
        <x:f>INDEX(tun_GroupCap,G1025)*tun_CohesionFactor*EXP(tun_CapsByProject*SUMPRODUCT((Cap_Point&lt;=I1025)*(Cap_Kind="Group")*Cap_Ln))</x:f>
        <x:v>1000000.000000001</x:v>
      </x:c>
      <x:c r="N1025" s="32" t="n">
        <x:f>MIN(J1025,L1025,M1025)</x:f>
        <x:v>18627.260449441455</x:v>
      </x:c>
      <x:c r="O1025" s="10" t="n">
        <x:f>AE1024*N1025</x:f>
        <x:v>167645.34404497308</x:v>
      </x:c>
      <x:c r="P1025" s="9" t="n">
        <x:f>MIN(1,(AB1024/(AE1024*IF(tun_GroupInCrowding=1,N1025,MIN(J1025,L1025))))^tun_CrowdingExp)</x:f>
        <x:v>0.4215841981292809</x:v>
      </x:c>
      <x:c r="Q1025" s="9" t="n">
        <x:f>IF(D1025=1,INDEX(tun_WinterMult,G1025),1)</x:f>
        <x:v>1</x:v>
      </x:c>
      <x:c r="R1025" s="9" t="n">
        <x:f>H1025*Z1024*tun_WomenShare*tun_BaseFertility*INDEX(tun_FertMult,G1025)*Arch_Fertility*(1-P1025)</x:f>
        <x:v>0</x:v>
      </x:c>
      <x:c r="S1025" s="9" t="n">
        <x:f>H1025*Y1024*INDEX(tun_MortChild,G1025)/4*Q1025</x:f>
        <x:v>0</x:v>
      </x:c>
      <x:c r="T1025" s="9" t="n">
        <x:f>H1025*Z1024*INDEX(tun_MortAdult,G1025)*Arch_AdultMort/4*Q1025</x:f>
        <x:v>0</x:v>
      </x:c>
      <x:c r="U1025" s="9" t="n">
        <x:f>H1025*AA1024*INDEX(tun_MortElder,G1025)/4*Q1025</x:f>
        <x:v>0</x:v>
      </x:c>
      <x:c r="V1025" s="9" t="n">
        <x:f>H1025*MAX(0,AB1024-O1025)*tun_OvercapLoss</x:f>
        <x:v>0</x:v>
      </x:c>
      <x:c r="W1025" s="9" t="n">
        <x:f>H1025*Y1024/(tun_ChildYears*4)</x:f>
        <x:v>0</x:v>
      </x:c>
      <x:c r="X1025" s="9" t="n">
        <x:f>H1025*Z1024/(tun_AdultYears*4)</x:f>
        <x:v>0</x:v>
      </x:c>
      <x:c r="Y1025" s="32" t="n">
        <x:f>Y1024+R1025-S1025-W1025-Y1024*V1025/AB1024</x:f>
        <x:v>40496.20709015643</x:v>
      </x:c>
      <x:c r="Z1025" s="32" t="n">
        <x:f>Z1024+W1025-X1025-T1025-Z1024*V1025/AB1024</x:f>
        <x:v>59141.61122890803</x:v>
      </x:c>
      <x:c r="AA1025" s="32" t="n">
        <x:f>AA1024+X1025-U1025-AA1024*V1025/AB1024</x:f>
        <x:v>45530.62410925061</x:v>
      </x:c>
      <x:c r="AB1025" s="10" t="n">
        <x:f>Y1025+Z1025+AA1025</x:f>
        <x:v>145168.44242831506</x:v>
      </x:c>
      <x:c r="AC1025" s="8" t="n">
        <x:f>IF(AND(tun_WinterTrigger=1,D1025=1,AB1024/AE1024&gt;=K1025),1,0)</x:f>
        <x:v>0</x:v>
      </x:c>
      <x:c r="AD1025" s="8" t="n">
        <x:f>H1025*IF(AND(OR(AB1024/AE1024&gt;=tun_FissionTrigger*N1025,AC1025=1),AB1024/AE1024*tun_DaughterShare&gt;=tun_MinDaughter),MAX(1,ROUND(AE1024*tun_FissionRate,0)),0)</x:f>
        <x:v>0</x:v>
      </x:c>
      <x:c r="AE1025" s="8" t="n">
        <x:f>IF(H1025=1,MAX(1,MIN(INDEX(tun_Smax,G1025),AE1024+AD1025)),AE1024)</x:f>
        <x:v>9</x:v>
      </x:c>
      <x:c r="AF1025" s="8" t="n">
        <x:f>MAX(0,AE1025-AE1024)</x:f>
        <x:v>0</x:v>
      </x:c>
      <x:c r="AG1025" s="9" t="str">
        <x:f>IF(AF1025&gt;0,B1025,"")</x:f>
      </x:c>
      <x:c r="AH1025" s="9" t="n">
        <x:f>IF(F1025&gt;=1,1,(1+tun_LowTiesShare*(AE1025-1))/AE1025)</x:f>
        <x:v>1</x:v>
      </x:c>
      <x:c r="AI1025" s="32" t="n">
        <x:f>(Z1025+tun_ElderCommons*INDEX(LM_Elder,G1025)*AA1025)*AH1025</x:f>
        <x:v>238215.0665857503</x:v>
      </x:c>
      <x:c r="AJ1025" s="32" t="n">
        <x:f>H1025*tun_CommonsCoef*AI1025^tun_CommonsExp*INDEX(LM_Commons,G1025)</x:f>
        <x:v>0</x:v>
      </x:c>
      <x:c r="AK1025" s="32" t="n">
        <x:f>H1025*tun_RoleScale*Arch_Roles*(AE1025*(INDEX(tun_ElderRolePerSett,G1025)*tun_OutElder*INDEX(LM_Elder,G1025)+INDEX(tun_ShamanPerSett,G1025)*tun_OutShaman)+Z1025*(INDEX(tun_PriestShare,G1025)*tun_OutPriest+INDEX(tun_ScribeShare,G1025)*tun_OutScribe*INDEX(LM_Scribe,G1025)+INDEX(tun_ScholarShare,G1025)*tun_OutScholar*INDEX(LM_Scholar,G1025)+INDEX(tun_ResearcherShare,G1025)*tun_OutResearcher*INDEX(LM_Researcher,G1025)))</x:f>
        <x:v>0</x:v>
      </x:c>
      <x:c r="AL1025" s="32" t="n">
        <x:f>H1025*tun_RoleScale*Arch_Roles*AE1025*INDEX(tun_MonasteryPerSett,G1025)*tun_OutMonastery*INDEX(LM_Monastery,G1025)</x:f>
        <x:v>0</x:v>
      </x:c>
      <x:c r="AM1025" s="32" t="n">
        <x:f>(AJ1025+AK1025+AL1025)/4*INDEX(LM_All,G1025)*INDEX(tun_Boon,G1025)*Arch_Insight</x:f>
        <x:v>0</x:v>
      </x:c>
      <x:c r="AN1025" s="32" t="n">
        <x:f>H1025*(tun_KHPerAdult*Z1025+tun_KHOfCommons*AJ1025/4*INDEX(LM_All,G1025))*tun_KHUsable*Arch_KH</x:f>
        <x:v>0</x:v>
      </x:c>
      <x:c r="AO1025" s="32" t="n">
        <x:f>MIN(AP1024+AN1025,AM1025*tun_KHMaxRatio)</x:f>
        <x:v>0</x:v>
      </x:c>
      <x:c r="AP1025" s="32" t="n">
        <x:f>AP1024+AN1025-AO1025</x:f>
        <x:v>0</x:v>
      </x:c>
      <x:c r="AQ1025" s="32" t="n">
        <x:f>AM1025+AO1025</x:f>
        <x:v>0</x:v>
      </x:c>
      <x:c r="AR1025" s="10" t="n">
        <x:f>IF(H1025=1,INDEX(tun_Req,G1025),0)</x:f>
        <x:v>0</x:v>
      </x:c>
      <x:c r="AS1025" s="32" t="n">
        <x:f>IF(H1025=1,IF(E1025=1,AS1024-AR1024,AS1024)+AQ1025,0)</x:f>
        <x:v>0</x:v>
      </x:c>
      <x:c r="AT1025" s="11" t="n">
        <x:f>IF(AR1025&gt;0,MIN(1,AS1025/AR1025),1)</x:f>
        <x:v>1</x:v>
      </x:c>
      <x:c r="AU1025" s="10" t="n">
        <x:f>AB1025/INDEX(tun_RepScale,G1025)</x:f>
        <x:v>290.3368848566301</x:v>
      </x:c>
      <x:c r="AV1025" s="32" t="n">
        <x:f>AM1025*60/tun_SeasonSeconds</x:f>
        <x:v>0</x:v>
      </x:c>
    </x:row>
    <x:row r="1026">
      <x:c r="A1026" s="8" t="n">
        <x:f>A1025+1</x:f>
        <x:v>1023</x:v>
      </x:c>
      <x:c r="B1026" s="9" t="n">
        <x:f>A1026*tun_SeasonSeconds/60</x:f>
        <x:v>255.75</x:v>
      </x:c>
      <x:c r="C1026" s="9" t="n">
        <x:f>A1026/4</x:f>
        <x:v>255.75</x:v>
      </x:c>
      <x:c r="D1026" s="8" t="n">
        <x:f>IF(MOD(A1026,4)=0,1,0)</x:f>
        <x:v>0</x:v>
      </x:c>
      <x:c r="E1026" s="8" t="n">
        <x:f>IF(AND(F1025&lt;=9,AS1025&gt;=AR1025),1,0)</x:f>
        <x:v>0</x:v>
      </x:c>
      <x:c r="F1026" s="8" t="n">
        <x:f>MIN(10,F1025+E1026)</x:f>
        <x:v>10</x:v>
      </x:c>
      <x:c r="G1026" s="8" t="n">
        <x:f>MIN(F1026,9)+1</x:f>
        <x:v>10</x:v>
      </x:c>
      <x:c r="H1026" s="8" t="n">
        <x:f>IF(F1026&lt;=9,1,0)</x:f>
        <x:v>0</x:v>
      </x:c>
      <x:c r="I1026" s="9" t="n">
        <x:f>MIN(10,F1025+IF(AR1025&gt;0,MIN(1,AS1025/AR1025),1))</x:f>
        <x:v>10</x:v>
      </x:c>
      <x:c r="J1026" s="32" t="n">
        <x:f>INDEX(tun_FoodCap,G1026)*Arch_FoodCap*EXP(tun_CapsByProject*SUMPRODUCT((Cap_Point&lt;=I1026)*(Cap_Kind="Food")*Cap_Ln))</x:f>
        <x:v>18627.260449441455</x:v>
      </x:c>
      <x:c r="K1026" s="32" t="n">
        <x:f>J1026*MIN(1,tun_LeanBase*EXP(tun_CapsByProject*SUMPRODUCT((Cap_Point&lt;=I1026)*(Cap_Kind="Lean")*Cap_Ln)))</x:f>
        <x:v>18627.260449441455</x:v>
      </x:c>
      <x:c r="L1026" s="10" t="n">
        <x:f>INDEX(tun_HousingCap,G1026)*EXP(tun_CapsByProject*SUMPRODUCT((Cap_Point&lt;=I1026)*(Cap_Kind="Housing")*Cap_Ln))</x:f>
        <x:v>20528.974303173167</x:v>
      </x:c>
      <x:c r="M1026" s="10" t="n">
        <x:f>INDEX(tun_GroupCap,G1026)*tun_CohesionFactor*EXP(tun_CapsByProject*SUMPRODUCT((Cap_Point&lt;=I1026)*(Cap_Kind="Group")*Cap_Ln))</x:f>
        <x:v>1000000.000000001</x:v>
      </x:c>
      <x:c r="N1026" s="32" t="n">
        <x:f>MIN(J1026,L1026,M1026)</x:f>
        <x:v>18627.260449441455</x:v>
      </x:c>
      <x:c r="O1026" s="10" t="n">
        <x:f>AE1025*N1026</x:f>
        <x:v>167645.34404497308</x:v>
      </x:c>
      <x:c r="P1026" s="9" t="n">
        <x:f>MIN(1,(AB1025/(AE1025*IF(tun_GroupInCrowding=1,N1026,MIN(J1026,L1026))))^tun_CrowdingExp)</x:f>
        <x:v>0.4215841981292809</x:v>
      </x:c>
      <x:c r="Q1026" s="9" t="n">
        <x:f>IF(D1026=1,INDEX(tun_WinterMult,G1026),1)</x:f>
        <x:v>1</x:v>
      </x:c>
      <x:c r="R1026" s="9" t="n">
        <x:f>H1026*Z1025*tun_WomenShare*tun_BaseFertility*INDEX(tun_FertMult,G1026)*Arch_Fertility*(1-P1026)</x:f>
        <x:v>0</x:v>
      </x:c>
      <x:c r="S1026" s="9" t="n">
        <x:f>H1026*Y1025*INDEX(tun_MortChild,G1026)/4*Q1026</x:f>
        <x:v>0</x:v>
      </x:c>
      <x:c r="T1026" s="9" t="n">
        <x:f>H1026*Z1025*INDEX(tun_MortAdult,G1026)*Arch_AdultMort/4*Q1026</x:f>
        <x:v>0</x:v>
      </x:c>
      <x:c r="U1026" s="9" t="n">
        <x:f>H1026*AA1025*INDEX(tun_MortElder,G1026)/4*Q1026</x:f>
        <x:v>0</x:v>
      </x:c>
      <x:c r="V1026" s="9" t="n">
        <x:f>H1026*MAX(0,AB1025-O1026)*tun_OvercapLoss</x:f>
        <x:v>0</x:v>
      </x:c>
      <x:c r="W1026" s="9" t="n">
        <x:f>H1026*Y1025/(tun_ChildYears*4)</x:f>
        <x:v>0</x:v>
      </x:c>
      <x:c r="X1026" s="9" t="n">
        <x:f>H1026*Z1025/(tun_AdultYears*4)</x:f>
        <x:v>0</x:v>
      </x:c>
      <x:c r="Y1026" s="32" t="n">
        <x:f>Y1025+R1026-S1026-W1026-Y1025*V1026/AB1025</x:f>
        <x:v>40496.20709015643</x:v>
      </x:c>
      <x:c r="Z1026" s="32" t="n">
        <x:f>Z1025+W1026-X1026-T1026-Z1025*V1026/AB1025</x:f>
        <x:v>59141.61122890803</x:v>
      </x:c>
      <x:c r="AA1026" s="32" t="n">
        <x:f>AA1025+X1026-U1026-AA1025*V1026/AB1025</x:f>
        <x:v>45530.62410925061</x:v>
      </x:c>
      <x:c r="AB1026" s="10" t="n">
        <x:f>Y1026+Z1026+AA1026</x:f>
        <x:v>145168.44242831506</x:v>
      </x:c>
      <x:c r="AC1026" s="8" t="n">
        <x:f>IF(AND(tun_WinterTrigger=1,D1026=1,AB1025/AE1025&gt;=K1026),1,0)</x:f>
        <x:v>0</x:v>
      </x:c>
      <x:c r="AD1026" s="8" t="n">
        <x:f>H1026*IF(AND(OR(AB1025/AE1025&gt;=tun_FissionTrigger*N1026,AC1026=1),AB1025/AE1025*tun_DaughterShare&gt;=tun_MinDaughter),MAX(1,ROUND(AE1025*tun_FissionRate,0)),0)</x:f>
        <x:v>0</x:v>
      </x:c>
      <x:c r="AE1026" s="8" t="n">
        <x:f>IF(H1026=1,MAX(1,MIN(INDEX(tun_Smax,G1026),AE1025+AD1026)),AE1025)</x:f>
        <x:v>9</x:v>
      </x:c>
      <x:c r="AF1026" s="8" t="n">
        <x:f>MAX(0,AE1026-AE1025)</x:f>
        <x:v>0</x:v>
      </x:c>
      <x:c r="AG1026" s="9" t="str">
        <x:f>IF(AF1026&gt;0,B1026,"")</x:f>
      </x:c>
      <x:c r="AH1026" s="9" t="n">
        <x:f>IF(F1026&gt;=1,1,(1+tun_LowTiesShare*(AE1026-1))/AE1026)</x:f>
        <x:v>1</x:v>
      </x:c>
      <x:c r="AI1026" s="32" t="n">
        <x:f>(Z1026+tun_ElderCommons*INDEX(LM_Elder,G1026)*AA1026)*AH1026</x:f>
        <x:v>238215.0665857503</x:v>
      </x:c>
      <x:c r="AJ1026" s="32" t="n">
        <x:f>H1026*tun_CommonsCoef*AI1026^tun_CommonsExp*INDEX(LM_Commons,G1026)</x:f>
        <x:v>0</x:v>
      </x:c>
      <x:c r="AK1026" s="32" t="n">
        <x:f>H1026*tun_RoleScale*Arch_Roles*(AE1026*(INDEX(tun_ElderRolePerSett,G1026)*tun_OutElder*INDEX(LM_Elder,G1026)+INDEX(tun_ShamanPerSett,G1026)*tun_OutShaman)+Z1026*(INDEX(tun_PriestShare,G1026)*tun_OutPriest+INDEX(tun_ScribeShare,G1026)*tun_OutScribe*INDEX(LM_Scribe,G1026)+INDEX(tun_ScholarShare,G1026)*tun_OutScholar*INDEX(LM_Scholar,G1026)+INDEX(tun_ResearcherShare,G1026)*tun_OutResearcher*INDEX(LM_Researcher,G1026)))</x:f>
        <x:v>0</x:v>
      </x:c>
      <x:c r="AL1026" s="32" t="n">
        <x:f>H1026*tun_RoleScale*Arch_Roles*AE1026*INDEX(tun_MonasteryPerSett,G1026)*tun_OutMonastery*INDEX(LM_Monastery,G1026)</x:f>
        <x:v>0</x:v>
      </x:c>
      <x:c r="AM1026" s="32" t="n">
        <x:f>(AJ1026+AK1026+AL1026)/4*INDEX(LM_All,G1026)*INDEX(tun_Boon,G1026)*Arch_Insight</x:f>
        <x:v>0</x:v>
      </x:c>
      <x:c r="AN1026" s="32" t="n">
        <x:f>H1026*(tun_KHPerAdult*Z1026+tun_KHOfCommons*AJ1026/4*INDEX(LM_All,G1026))*tun_KHUsable*Arch_KH</x:f>
        <x:v>0</x:v>
      </x:c>
      <x:c r="AO1026" s="32" t="n">
        <x:f>MIN(AP1025+AN1026,AM1026*tun_KHMaxRatio)</x:f>
        <x:v>0</x:v>
      </x:c>
      <x:c r="AP1026" s="32" t="n">
        <x:f>AP1025+AN1026-AO1026</x:f>
        <x:v>0</x:v>
      </x:c>
      <x:c r="AQ1026" s="32" t="n">
        <x:f>AM1026+AO1026</x:f>
        <x:v>0</x:v>
      </x:c>
      <x:c r="AR1026" s="10" t="n">
        <x:f>IF(H1026=1,INDEX(tun_Req,G1026),0)</x:f>
        <x:v>0</x:v>
      </x:c>
      <x:c r="AS1026" s="32" t="n">
        <x:f>IF(H1026=1,IF(E1026=1,AS1025-AR1025,AS1025)+AQ1026,0)</x:f>
        <x:v>0</x:v>
      </x:c>
      <x:c r="AT1026" s="11" t="n">
        <x:f>IF(AR1026&gt;0,MIN(1,AS1026/AR1026),1)</x:f>
        <x:v>1</x:v>
      </x:c>
      <x:c r="AU1026" s="10" t="n">
        <x:f>AB1026/INDEX(tun_RepScale,G1026)</x:f>
        <x:v>290.3368848566301</x:v>
      </x:c>
      <x:c r="AV1026" s="32" t="n">
        <x:f>AM1026*60/tun_SeasonSeconds</x:f>
        <x:v>0</x:v>
      </x:c>
    </x:row>
    <x:row r="1027">
      <x:c r="A1027" s="8" t="n">
        <x:f>A1026+1</x:f>
        <x:v>1024</x:v>
      </x:c>
      <x:c r="B1027" s="9" t="n">
        <x:f>A1027*tun_SeasonSeconds/60</x:f>
        <x:v>256</x:v>
      </x:c>
      <x:c r="C1027" s="9" t="n">
        <x:f>A1027/4</x:f>
        <x:v>256</x:v>
      </x:c>
      <x:c r="D1027" s="8" t="n">
        <x:f>IF(MOD(A1027,4)=0,1,0)</x:f>
        <x:v>1</x:v>
      </x:c>
      <x:c r="E1027" s="8" t="n">
        <x:f>IF(AND(F1026&lt;=9,AS1026&gt;=AR1026),1,0)</x:f>
        <x:v>0</x:v>
      </x:c>
      <x:c r="F1027" s="8" t="n">
        <x:f>MIN(10,F1026+E1027)</x:f>
        <x:v>10</x:v>
      </x:c>
      <x:c r="G1027" s="8" t="n">
        <x:f>MIN(F1027,9)+1</x:f>
        <x:v>10</x:v>
      </x:c>
      <x:c r="H1027" s="8" t="n">
        <x:f>IF(F1027&lt;=9,1,0)</x:f>
        <x:v>0</x:v>
      </x:c>
      <x:c r="I1027" s="9" t="n">
        <x:f>MIN(10,F1026+IF(AR1026&gt;0,MIN(1,AS1026/AR1026),1))</x:f>
        <x:v>10</x:v>
      </x:c>
      <x:c r="J1027" s="32" t="n">
        <x:f>INDEX(tun_FoodCap,G1027)*Arch_FoodCap*EXP(tun_CapsByProject*SUMPRODUCT((Cap_Point&lt;=I1027)*(Cap_Kind="Food")*Cap_Ln))</x:f>
        <x:v>18627.260449441455</x:v>
      </x:c>
      <x:c r="K1027" s="32" t="n">
        <x:f>J1027*MIN(1,tun_LeanBase*EXP(tun_CapsByProject*SUMPRODUCT((Cap_Point&lt;=I1027)*(Cap_Kind="Lean")*Cap_Ln)))</x:f>
        <x:v>18627.260449441455</x:v>
      </x:c>
      <x:c r="L1027" s="10" t="n">
        <x:f>INDEX(tun_HousingCap,G1027)*EXP(tun_CapsByProject*SUMPRODUCT((Cap_Point&lt;=I1027)*(Cap_Kind="Housing")*Cap_Ln))</x:f>
        <x:v>20528.974303173167</x:v>
      </x:c>
      <x:c r="M1027" s="10" t="n">
        <x:f>INDEX(tun_GroupCap,G1027)*tun_CohesionFactor*EXP(tun_CapsByProject*SUMPRODUCT((Cap_Point&lt;=I1027)*(Cap_Kind="Group")*Cap_Ln))</x:f>
        <x:v>1000000.000000001</x:v>
      </x:c>
      <x:c r="N1027" s="32" t="n">
        <x:f>MIN(J1027,L1027,M1027)</x:f>
        <x:v>18627.260449441455</x:v>
      </x:c>
      <x:c r="O1027" s="10" t="n">
        <x:f>AE1026*N1027</x:f>
        <x:v>167645.34404497308</x:v>
      </x:c>
      <x:c r="P1027" s="9" t="n">
        <x:f>MIN(1,(AB1026/(AE1026*IF(tun_GroupInCrowding=1,N1027,MIN(J1027,L1027))))^tun_CrowdingExp)</x:f>
        <x:v>0.4215841981292809</x:v>
      </x:c>
      <x:c r="Q1027" s="9" t="n">
        <x:f>IF(D1027=1,INDEX(tun_WinterMult,G1027),1)</x:f>
        <x:v>1.05</x:v>
      </x:c>
      <x:c r="R1027" s="9" t="n">
        <x:f>H1027*Z1026*tun_WomenShare*tun_BaseFertility*INDEX(tun_FertMult,G1027)*Arch_Fertility*(1-P1027)</x:f>
        <x:v>0</x:v>
      </x:c>
      <x:c r="S1027" s="9" t="n">
        <x:f>H1027*Y1026*INDEX(tun_MortChild,G1027)/4*Q1027</x:f>
        <x:v>0</x:v>
      </x:c>
      <x:c r="T1027" s="9" t="n">
        <x:f>H1027*Z1026*INDEX(tun_MortAdult,G1027)*Arch_AdultMort/4*Q1027</x:f>
        <x:v>0</x:v>
      </x:c>
      <x:c r="U1027" s="9" t="n">
        <x:f>H1027*AA1026*INDEX(tun_MortElder,G1027)/4*Q1027</x:f>
        <x:v>0</x:v>
      </x:c>
      <x:c r="V1027" s="9" t="n">
        <x:f>H1027*MAX(0,AB1026-O1027)*tun_OvercapLoss</x:f>
        <x:v>0</x:v>
      </x:c>
      <x:c r="W1027" s="9" t="n">
        <x:f>H1027*Y1026/(tun_ChildYears*4)</x:f>
        <x:v>0</x:v>
      </x:c>
      <x:c r="X1027" s="9" t="n">
        <x:f>H1027*Z1026/(tun_AdultYears*4)</x:f>
        <x:v>0</x:v>
      </x:c>
      <x:c r="Y1027" s="32" t="n">
        <x:f>Y1026+R1027-S1027-W1027-Y1026*V1027/AB1026</x:f>
        <x:v>40496.20709015643</x:v>
      </x:c>
      <x:c r="Z1027" s="32" t="n">
        <x:f>Z1026+W1027-X1027-T1027-Z1026*V1027/AB1026</x:f>
        <x:v>59141.61122890803</x:v>
      </x:c>
      <x:c r="AA1027" s="32" t="n">
        <x:f>AA1026+X1027-U1027-AA1026*V1027/AB1026</x:f>
        <x:v>45530.62410925061</x:v>
      </x:c>
      <x:c r="AB1027" s="10" t="n">
        <x:f>Y1027+Z1027+AA1027</x:f>
        <x:v>145168.44242831506</x:v>
      </x:c>
      <x:c r="AC1027" s="8" t="n">
        <x:f>IF(AND(tun_WinterTrigger=1,D1027=1,AB1026/AE1026&gt;=K1027),1,0)</x:f>
        <x:v>0</x:v>
      </x:c>
      <x:c r="AD1027" s="8" t="n">
        <x:f>H1027*IF(AND(OR(AB1026/AE1026&gt;=tun_FissionTrigger*N1027,AC1027=1),AB1026/AE1026*tun_DaughterShare&gt;=tun_MinDaughter),MAX(1,ROUND(AE1026*tun_FissionRate,0)),0)</x:f>
        <x:v>0</x:v>
      </x:c>
      <x:c r="AE1027" s="8" t="n">
        <x:f>IF(H1027=1,MAX(1,MIN(INDEX(tun_Smax,G1027),AE1026+AD1027)),AE1026)</x:f>
        <x:v>9</x:v>
      </x:c>
      <x:c r="AF1027" s="8" t="n">
        <x:f>MAX(0,AE1027-AE1026)</x:f>
        <x:v>0</x:v>
      </x:c>
      <x:c r="AG1027" s="9" t="str">
        <x:f>IF(AF1027&gt;0,B1027,"")</x:f>
      </x:c>
      <x:c r="AH1027" s="9" t="n">
        <x:f>IF(F1027&gt;=1,1,(1+tun_LowTiesShare*(AE1027-1))/AE1027)</x:f>
        <x:v>1</x:v>
      </x:c>
      <x:c r="AI1027" s="32" t="n">
        <x:f>(Z1027+tun_ElderCommons*INDEX(LM_Elder,G1027)*AA1027)*AH1027</x:f>
        <x:v>238215.0665857503</x:v>
      </x:c>
      <x:c r="AJ1027" s="32" t="n">
        <x:f>H1027*tun_CommonsCoef*AI1027^tun_CommonsExp*INDEX(LM_Commons,G1027)</x:f>
        <x:v>0</x:v>
      </x:c>
      <x:c r="AK1027" s="32" t="n">
        <x:f>H1027*tun_RoleScale*Arch_Roles*(AE1027*(INDEX(tun_ElderRolePerSett,G1027)*tun_OutElder*INDEX(LM_Elder,G1027)+INDEX(tun_ShamanPerSett,G1027)*tun_OutShaman)+Z1027*(INDEX(tun_PriestShare,G1027)*tun_OutPriest+INDEX(tun_ScribeShare,G1027)*tun_OutScribe*INDEX(LM_Scribe,G1027)+INDEX(tun_ScholarShare,G1027)*tun_OutScholar*INDEX(LM_Scholar,G1027)+INDEX(tun_ResearcherShare,G1027)*tun_OutResearcher*INDEX(LM_Researcher,G1027)))</x:f>
        <x:v>0</x:v>
      </x:c>
      <x:c r="AL1027" s="32" t="n">
        <x:f>H1027*tun_RoleScale*Arch_Roles*AE1027*INDEX(tun_MonasteryPerSett,G1027)*tun_OutMonastery*INDEX(LM_Monastery,G1027)</x:f>
        <x:v>0</x:v>
      </x:c>
      <x:c r="AM1027" s="32" t="n">
        <x:f>(AJ1027+AK1027+AL1027)/4*INDEX(LM_All,G1027)*INDEX(tun_Boon,G1027)*Arch_Insight</x:f>
        <x:v>0</x:v>
      </x:c>
      <x:c r="AN1027" s="32" t="n">
        <x:f>H1027*(tun_KHPerAdult*Z1027+tun_KHOfCommons*AJ1027/4*INDEX(LM_All,G1027))*tun_KHUsable*Arch_KH</x:f>
        <x:v>0</x:v>
      </x:c>
      <x:c r="AO1027" s="32" t="n">
        <x:f>MIN(AP1026+AN1027,AM1027*tun_KHMaxRatio)</x:f>
        <x:v>0</x:v>
      </x:c>
      <x:c r="AP1027" s="32" t="n">
        <x:f>AP1026+AN1027-AO1027</x:f>
        <x:v>0</x:v>
      </x:c>
      <x:c r="AQ1027" s="32" t="n">
        <x:f>AM1027+AO1027</x:f>
        <x:v>0</x:v>
      </x:c>
      <x:c r="AR1027" s="10" t="n">
        <x:f>IF(H1027=1,INDEX(tun_Req,G1027),0)</x:f>
        <x:v>0</x:v>
      </x:c>
      <x:c r="AS1027" s="32" t="n">
        <x:f>IF(H1027=1,IF(E1027=1,AS1026-AR1026,AS1026)+AQ1027,0)</x:f>
        <x:v>0</x:v>
      </x:c>
      <x:c r="AT1027" s="11" t="n">
        <x:f>IF(AR1027&gt;0,MIN(1,AS1027/AR1027),1)</x:f>
        <x:v>1</x:v>
      </x:c>
      <x:c r="AU1027" s="10" t="n">
        <x:f>AB1027/INDEX(tun_RepScale,G1027)</x:f>
        <x:v>290.3368848566301</x:v>
      </x:c>
      <x:c r="AV1027" s="32" t="n">
        <x:f>AM1027*60/tun_SeasonSeconds</x:f>
        <x:v>0</x:v>
      </x:c>
    </x:row>
    <x:row r="1028">
      <x:c r="A1028" s="8" t="n">
        <x:f>A1027+1</x:f>
        <x:v>1025</x:v>
      </x:c>
      <x:c r="B1028" s="9" t="n">
        <x:f>A1028*tun_SeasonSeconds/60</x:f>
        <x:v>256.25</x:v>
      </x:c>
      <x:c r="C1028" s="9" t="n">
        <x:f>A1028/4</x:f>
        <x:v>256.25</x:v>
      </x:c>
      <x:c r="D1028" s="8" t="n">
        <x:f>IF(MOD(A1028,4)=0,1,0)</x:f>
        <x:v>0</x:v>
      </x:c>
      <x:c r="E1028" s="8" t="n">
        <x:f>IF(AND(F1027&lt;=9,AS1027&gt;=AR1027),1,0)</x:f>
        <x:v>0</x:v>
      </x:c>
      <x:c r="F1028" s="8" t="n">
        <x:f>MIN(10,F1027+E1028)</x:f>
        <x:v>10</x:v>
      </x:c>
      <x:c r="G1028" s="8" t="n">
        <x:f>MIN(F1028,9)+1</x:f>
        <x:v>10</x:v>
      </x:c>
      <x:c r="H1028" s="8" t="n">
        <x:f>IF(F1028&lt;=9,1,0)</x:f>
        <x:v>0</x:v>
      </x:c>
      <x:c r="I1028" s="9" t="n">
        <x:f>MIN(10,F1027+IF(AR1027&gt;0,MIN(1,AS1027/AR1027),1))</x:f>
        <x:v>10</x:v>
      </x:c>
      <x:c r="J1028" s="32" t="n">
        <x:f>INDEX(tun_FoodCap,G1028)*Arch_FoodCap*EXP(tun_CapsByProject*SUMPRODUCT((Cap_Point&lt;=I1028)*(Cap_Kind="Food")*Cap_Ln))</x:f>
        <x:v>18627.260449441455</x:v>
      </x:c>
      <x:c r="K1028" s="32" t="n">
        <x:f>J1028*MIN(1,tun_LeanBase*EXP(tun_CapsByProject*SUMPRODUCT((Cap_Point&lt;=I1028)*(Cap_Kind="Lean")*Cap_Ln)))</x:f>
        <x:v>18627.260449441455</x:v>
      </x:c>
      <x:c r="L1028" s="10" t="n">
        <x:f>INDEX(tun_HousingCap,G1028)*EXP(tun_CapsByProject*SUMPRODUCT((Cap_Point&lt;=I1028)*(Cap_Kind="Housing")*Cap_Ln))</x:f>
        <x:v>20528.974303173167</x:v>
      </x:c>
      <x:c r="M1028" s="10" t="n">
        <x:f>INDEX(tun_GroupCap,G1028)*tun_CohesionFactor*EXP(tun_CapsByProject*SUMPRODUCT((Cap_Point&lt;=I1028)*(Cap_Kind="Group")*Cap_Ln))</x:f>
        <x:v>1000000.000000001</x:v>
      </x:c>
      <x:c r="N1028" s="32" t="n">
        <x:f>MIN(J1028,L1028,M1028)</x:f>
        <x:v>18627.260449441455</x:v>
      </x:c>
      <x:c r="O1028" s="10" t="n">
        <x:f>AE1027*N1028</x:f>
        <x:v>167645.34404497308</x:v>
      </x:c>
      <x:c r="P1028" s="9" t="n">
        <x:f>MIN(1,(AB1027/(AE1027*IF(tun_GroupInCrowding=1,N1028,MIN(J1028,L1028))))^tun_CrowdingExp)</x:f>
        <x:v>0.4215841981292809</x:v>
      </x:c>
      <x:c r="Q1028" s="9" t="n">
        <x:f>IF(D1028=1,INDEX(tun_WinterMult,G1028),1)</x:f>
        <x:v>1</x:v>
      </x:c>
      <x:c r="R1028" s="9" t="n">
        <x:f>H1028*Z1027*tun_WomenShare*tun_BaseFertility*INDEX(tun_FertMult,G1028)*Arch_Fertility*(1-P1028)</x:f>
        <x:v>0</x:v>
      </x:c>
      <x:c r="S1028" s="9" t="n">
        <x:f>H1028*Y1027*INDEX(tun_MortChild,G1028)/4*Q1028</x:f>
        <x:v>0</x:v>
      </x:c>
      <x:c r="T1028" s="9" t="n">
        <x:f>H1028*Z1027*INDEX(tun_MortAdult,G1028)*Arch_AdultMort/4*Q1028</x:f>
        <x:v>0</x:v>
      </x:c>
      <x:c r="U1028" s="9" t="n">
        <x:f>H1028*AA1027*INDEX(tun_MortElder,G1028)/4*Q1028</x:f>
        <x:v>0</x:v>
      </x:c>
      <x:c r="V1028" s="9" t="n">
        <x:f>H1028*MAX(0,AB1027-O1028)*tun_OvercapLoss</x:f>
        <x:v>0</x:v>
      </x:c>
      <x:c r="W1028" s="9" t="n">
        <x:f>H1028*Y1027/(tun_ChildYears*4)</x:f>
        <x:v>0</x:v>
      </x:c>
      <x:c r="X1028" s="9" t="n">
        <x:f>H1028*Z1027/(tun_AdultYears*4)</x:f>
        <x:v>0</x:v>
      </x:c>
      <x:c r="Y1028" s="32" t="n">
        <x:f>Y1027+R1028-S1028-W1028-Y1027*V1028/AB1027</x:f>
        <x:v>40496.20709015643</x:v>
      </x:c>
      <x:c r="Z1028" s="32" t="n">
        <x:f>Z1027+W1028-X1028-T1028-Z1027*V1028/AB1027</x:f>
        <x:v>59141.61122890803</x:v>
      </x:c>
      <x:c r="AA1028" s="32" t="n">
        <x:f>AA1027+X1028-U1028-AA1027*V1028/AB1027</x:f>
        <x:v>45530.62410925061</x:v>
      </x:c>
      <x:c r="AB1028" s="10" t="n">
        <x:f>Y1028+Z1028+AA1028</x:f>
        <x:v>145168.44242831506</x:v>
      </x:c>
      <x:c r="AC1028" s="8" t="n">
        <x:f>IF(AND(tun_WinterTrigger=1,D1028=1,AB1027/AE1027&gt;=K1028),1,0)</x:f>
        <x:v>0</x:v>
      </x:c>
      <x:c r="AD1028" s="8" t="n">
        <x:f>H1028*IF(AND(OR(AB1027/AE1027&gt;=tun_FissionTrigger*N1028,AC1028=1),AB1027/AE1027*tun_DaughterShare&gt;=tun_MinDaughter),MAX(1,ROUND(AE1027*tun_FissionRate,0)),0)</x:f>
        <x:v>0</x:v>
      </x:c>
      <x:c r="AE1028" s="8" t="n">
        <x:f>IF(H1028=1,MAX(1,MIN(INDEX(tun_Smax,G1028),AE1027+AD1028)),AE1027)</x:f>
        <x:v>9</x:v>
      </x:c>
      <x:c r="AF1028" s="8" t="n">
        <x:f>MAX(0,AE1028-AE1027)</x:f>
        <x:v>0</x:v>
      </x:c>
      <x:c r="AG1028" s="9" t="str">
        <x:f>IF(AF1028&gt;0,B1028,"")</x:f>
      </x:c>
      <x:c r="AH1028" s="9" t="n">
        <x:f>IF(F1028&gt;=1,1,(1+tun_LowTiesShare*(AE1028-1))/AE1028)</x:f>
        <x:v>1</x:v>
      </x:c>
      <x:c r="AI1028" s="32" t="n">
        <x:f>(Z1028+tun_ElderCommons*INDEX(LM_Elder,G1028)*AA1028)*AH1028</x:f>
        <x:v>238215.0665857503</x:v>
      </x:c>
      <x:c r="AJ1028" s="32" t="n">
        <x:f>H1028*tun_CommonsCoef*AI1028^tun_CommonsExp*INDEX(LM_Commons,G1028)</x:f>
        <x:v>0</x:v>
      </x:c>
      <x:c r="AK1028" s="32" t="n">
        <x:f>H1028*tun_RoleScale*Arch_Roles*(AE1028*(INDEX(tun_ElderRolePerSett,G1028)*tun_OutElder*INDEX(LM_Elder,G1028)+INDEX(tun_ShamanPerSett,G1028)*tun_OutShaman)+Z1028*(INDEX(tun_PriestShare,G1028)*tun_OutPriest+INDEX(tun_ScribeShare,G1028)*tun_OutScribe*INDEX(LM_Scribe,G1028)+INDEX(tun_ScholarShare,G1028)*tun_OutScholar*INDEX(LM_Scholar,G1028)+INDEX(tun_ResearcherShare,G1028)*tun_OutResearcher*INDEX(LM_Researcher,G1028)))</x:f>
        <x:v>0</x:v>
      </x:c>
      <x:c r="AL1028" s="32" t="n">
        <x:f>H1028*tun_RoleScale*Arch_Roles*AE1028*INDEX(tun_MonasteryPerSett,G1028)*tun_OutMonastery*INDEX(LM_Monastery,G1028)</x:f>
        <x:v>0</x:v>
      </x:c>
      <x:c r="AM1028" s="32" t="n">
        <x:f>(AJ1028+AK1028+AL1028)/4*INDEX(LM_All,G1028)*INDEX(tun_Boon,G1028)*Arch_Insight</x:f>
        <x:v>0</x:v>
      </x:c>
      <x:c r="AN1028" s="32" t="n">
        <x:f>H1028*(tun_KHPerAdult*Z1028+tun_KHOfCommons*AJ1028/4*INDEX(LM_All,G1028))*tun_KHUsable*Arch_KH</x:f>
        <x:v>0</x:v>
      </x:c>
      <x:c r="AO1028" s="32" t="n">
        <x:f>MIN(AP1027+AN1028,AM1028*tun_KHMaxRatio)</x:f>
        <x:v>0</x:v>
      </x:c>
      <x:c r="AP1028" s="32" t="n">
        <x:f>AP1027+AN1028-AO1028</x:f>
        <x:v>0</x:v>
      </x:c>
      <x:c r="AQ1028" s="32" t="n">
        <x:f>AM1028+AO1028</x:f>
        <x:v>0</x:v>
      </x:c>
      <x:c r="AR1028" s="10" t="n">
        <x:f>IF(H1028=1,INDEX(tun_Req,G1028),0)</x:f>
        <x:v>0</x:v>
      </x:c>
      <x:c r="AS1028" s="32" t="n">
        <x:f>IF(H1028=1,IF(E1028=1,AS1027-AR1027,AS1027)+AQ1028,0)</x:f>
        <x:v>0</x:v>
      </x:c>
      <x:c r="AT1028" s="11" t="n">
        <x:f>IF(AR1028&gt;0,MIN(1,AS1028/AR1028),1)</x:f>
        <x:v>1</x:v>
      </x:c>
      <x:c r="AU1028" s="10" t="n">
        <x:f>AB1028/INDEX(tun_RepScale,G1028)</x:f>
        <x:v>290.3368848566301</x:v>
      </x:c>
      <x:c r="AV1028" s="32" t="n">
        <x:f>AM1028*60/tun_SeasonSeconds</x:f>
        <x:v>0</x:v>
      </x:c>
    </x:row>
    <x:row r="1029">
      <x:c r="A1029" s="8" t="n">
        <x:f>A1028+1</x:f>
        <x:v>1026</x:v>
      </x:c>
      <x:c r="B1029" s="9" t="n">
        <x:f>A1029*tun_SeasonSeconds/60</x:f>
        <x:v>256.5</x:v>
      </x:c>
      <x:c r="C1029" s="9" t="n">
        <x:f>A1029/4</x:f>
        <x:v>256.5</x:v>
      </x:c>
      <x:c r="D1029" s="8" t="n">
        <x:f>IF(MOD(A1029,4)=0,1,0)</x:f>
        <x:v>0</x:v>
      </x:c>
      <x:c r="E1029" s="8" t="n">
        <x:f>IF(AND(F1028&lt;=9,AS1028&gt;=AR1028),1,0)</x:f>
        <x:v>0</x:v>
      </x:c>
      <x:c r="F1029" s="8" t="n">
        <x:f>MIN(10,F1028+E1029)</x:f>
        <x:v>10</x:v>
      </x:c>
      <x:c r="G1029" s="8" t="n">
        <x:f>MIN(F1029,9)+1</x:f>
        <x:v>10</x:v>
      </x:c>
      <x:c r="H1029" s="8" t="n">
        <x:f>IF(F1029&lt;=9,1,0)</x:f>
        <x:v>0</x:v>
      </x:c>
      <x:c r="I1029" s="9" t="n">
        <x:f>MIN(10,F1028+IF(AR1028&gt;0,MIN(1,AS1028/AR1028),1))</x:f>
        <x:v>10</x:v>
      </x:c>
      <x:c r="J1029" s="32" t="n">
        <x:f>INDEX(tun_FoodCap,G1029)*Arch_FoodCap*EXP(tun_CapsByProject*SUMPRODUCT((Cap_Point&lt;=I1029)*(Cap_Kind="Food")*Cap_Ln))</x:f>
        <x:v>18627.260449441455</x:v>
      </x:c>
      <x:c r="K1029" s="32" t="n">
        <x:f>J1029*MIN(1,tun_LeanBase*EXP(tun_CapsByProject*SUMPRODUCT((Cap_Point&lt;=I1029)*(Cap_Kind="Lean")*Cap_Ln)))</x:f>
        <x:v>18627.260449441455</x:v>
      </x:c>
      <x:c r="L1029" s="10" t="n">
        <x:f>INDEX(tun_HousingCap,G1029)*EXP(tun_CapsByProject*SUMPRODUCT((Cap_Point&lt;=I1029)*(Cap_Kind="Housing")*Cap_Ln))</x:f>
        <x:v>20528.974303173167</x:v>
      </x:c>
      <x:c r="M1029" s="10" t="n">
        <x:f>INDEX(tun_GroupCap,G1029)*tun_CohesionFactor*EXP(tun_CapsByProject*SUMPRODUCT((Cap_Point&lt;=I1029)*(Cap_Kind="Group")*Cap_Ln))</x:f>
        <x:v>1000000.000000001</x:v>
      </x:c>
      <x:c r="N1029" s="32" t="n">
        <x:f>MIN(J1029,L1029,M1029)</x:f>
        <x:v>18627.260449441455</x:v>
      </x:c>
      <x:c r="O1029" s="10" t="n">
        <x:f>AE1028*N1029</x:f>
        <x:v>167645.34404497308</x:v>
      </x:c>
      <x:c r="P1029" s="9" t="n">
        <x:f>MIN(1,(AB1028/(AE1028*IF(tun_GroupInCrowding=1,N1029,MIN(J1029,L1029))))^tun_CrowdingExp)</x:f>
        <x:v>0.4215841981292809</x:v>
      </x:c>
      <x:c r="Q1029" s="9" t="n">
        <x:f>IF(D1029=1,INDEX(tun_WinterMult,G1029),1)</x:f>
        <x:v>1</x:v>
      </x:c>
      <x:c r="R1029" s="9" t="n">
        <x:f>H1029*Z1028*tun_WomenShare*tun_BaseFertility*INDEX(tun_FertMult,G1029)*Arch_Fertility*(1-P1029)</x:f>
        <x:v>0</x:v>
      </x:c>
      <x:c r="S1029" s="9" t="n">
        <x:f>H1029*Y1028*INDEX(tun_MortChild,G1029)/4*Q1029</x:f>
        <x:v>0</x:v>
      </x:c>
      <x:c r="T1029" s="9" t="n">
        <x:f>H1029*Z1028*INDEX(tun_MortAdult,G1029)*Arch_AdultMort/4*Q1029</x:f>
        <x:v>0</x:v>
      </x:c>
      <x:c r="U1029" s="9" t="n">
        <x:f>H1029*AA1028*INDEX(tun_MortElder,G1029)/4*Q1029</x:f>
        <x:v>0</x:v>
      </x:c>
      <x:c r="V1029" s="9" t="n">
        <x:f>H1029*MAX(0,AB1028-O1029)*tun_OvercapLoss</x:f>
        <x:v>0</x:v>
      </x:c>
      <x:c r="W1029" s="9" t="n">
        <x:f>H1029*Y1028/(tun_ChildYears*4)</x:f>
        <x:v>0</x:v>
      </x:c>
      <x:c r="X1029" s="9" t="n">
        <x:f>H1029*Z1028/(tun_AdultYears*4)</x:f>
        <x:v>0</x:v>
      </x:c>
      <x:c r="Y1029" s="32" t="n">
        <x:f>Y1028+R1029-S1029-W1029-Y1028*V1029/AB1028</x:f>
        <x:v>40496.20709015643</x:v>
      </x:c>
      <x:c r="Z1029" s="32" t="n">
        <x:f>Z1028+W1029-X1029-T1029-Z1028*V1029/AB1028</x:f>
        <x:v>59141.61122890803</x:v>
      </x:c>
      <x:c r="AA1029" s="32" t="n">
        <x:f>AA1028+X1029-U1029-AA1028*V1029/AB1028</x:f>
        <x:v>45530.62410925061</x:v>
      </x:c>
      <x:c r="AB1029" s="10" t="n">
        <x:f>Y1029+Z1029+AA1029</x:f>
        <x:v>145168.44242831506</x:v>
      </x:c>
      <x:c r="AC1029" s="8" t="n">
        <x:f>IF(AND(tun_WinterTrigger=1,D1029=1,AB1028/AE1028&gt;=K1029),1,0)</x:f>
        <x:v>0</x:v>
      </x:c>
      <x:c r="AD1029" s="8" t="n">
        <x:f>H1029*IF(AND(OR(AB1028/AE1028&gt;=tun_FissionTrigger*N1029,AC1029=1),AB1028/AE1028*tun_DaughterShare&gt;=tun_MinDaughter),MAX(1,ROUND(AE1028*tun_FissionRate,0)),0)</x:f>
        <x:v>0</x:v>
      </x:c>
      <x:c r="AE1029" s="8" t="n">
        <x:f>IF(H1029=1,MAX(1,MIN(INDEX(tun_Smax,G1029),AE1028+AD1029)),AE1028)</x:f>
        <x:v>9</x:v>
      </x:c>
      <x:c r="AF1029" s="8" t="n">
        <x:f>MAX(0,AE1029-AE1028)</x:f>
        <x:v>0</x:v>
      </x:c>
      <x:c r="AG1029" s="9" t="str">
        <x:f>IF(AF1029&gt;0,B1029,"")</x:f>
      </x:c>
      <x:c r="AH1029" s="9" t="n">
        <x:f>IF(F1029&gt;=1,1,(1+tun_LowTiesShare*(AE1029-1))/AE1029)</x:f>
        <x:v>1</x:v>
      </x:c>
      <x:c r="AI1029" s="32" t="n">
        <x:f>(Z1029+tun_ElderCommons*INDEX(LM_Elder,G1029)*AA1029)*AH1029</x:f>
        <x:v>238215.0665857503</x:v>
      </x:c>
      <x:c r="AJ1029" s="32" t="n">
        <x:f>H1029*tun_CommonsCoef*AI1029^tun_CommonsExp*INDEX(LM_Commons,G1029)</x:f>
        <x:v>0</x:v>
      </x:c>
      <x:c r="AK1029" s="32" t="n">
        <x:f>H1029*tun_RoleScale*Arch_Roles*(AE1029*(INDEX(tun_ElderRolePerSett,G1029)*tun_OutElder*INDEX(LM_Elder,G1029)+INDEX(tun_ShamanPerSett,G1029)*tun_OutShaman)+Z1029*(INDEX(tun_PriestShare,G1029)*tun_OutPriest+INDEX(tun_ScribeShare,G1029)*tun_OutScribe*INDEX(LM_Scribe,G1029)+INDEX(tun_ScholarShare,G1029)*tun_OutScholar*INDEX(LM_Scholar,G1029)+INDEX(tun_ResearcherShare,G1029)*tun_OutResearcher*INDEX(LM_Researcher,G1029)))</x:f>
        <x:v>0</x:v>
      </x:c>
      <x:c r="AL1029" s="32" t="n">
        <x:f>H1029*tun_RoleScale*Arch_Roles*AE1029*INDEX(tun_MonasteryPerSett,G1029)*tun_OutMonastery*INDEX(LM_Monastery,G1029)</x:f>
        <x:v>0</x:v>
      </x:c>
      <x:c r="AM1029" s="32" t="n">
        <x:f>(AJ1029+AK1029+AL1029)/4*INDEX(LM_All,G1029)*INDEX(tun_Boon,G1029)*Arch_Insight</x:f>
        <x:v>0</x:v>
      </x:c>
      <x:c r="AN1029" s="32" t="n">
        <x:f>H1029*(tun_KHPerAdult*Z1029+tun_KHOfCommons*AJ1029/4*INDEX(LM_All,G1029))*tun_KHUsable*Arch_KH</x:f>
        <x:v>0</x:v>
      </x:c>
      <x:c r="AO1029" s="32" t="n">
        <x:f>MIN(AP1028+AN1029,AM1029*tun_KHMaxRatio)</x:f>
        <x:v>0</x:v>
      </x:c>
      <x:c r="AP1029" s="32" t="n">
        <x:f>AP1028+AN1029-AO1029</x:f>
        <x:v>0</x:v>
      </x:c>
      <x:c r="AQ1029" s="32" t="n">
        <x:f>AM1029+AO1029</x:f>
        <x:v>0</x:v>
      </x:c>
      <x:c r="AR1029" s="10" t="n">
        <x:f>IF(H1029=1,INDEX(tun_Req,G1029),0)</x:f>
        <x:v>0</x:v>
      </x:c>
      <x:c r="AS1029" s="32" t="n">
        <x:f>IF(H1029=1,IF(E1029=1,AS1028-AR1028,AS1028)+AQ1029,0)</x:f>
        <x:v>0</x:v>
      </x:c>
      <x:c r="AT1029" s="11" t="n">
        <x:f>IF(AR1029&gt;0,MIN(1,AS1029/AR1029),1)</x:f>
        <x:v>1</x:v>
      </x:c>
      <x:c r="AU1029" s="10" t="n">
        <x:f>AB1029/INDEX(tun_RepScale,G1029)</x:f>
        <x:v>290.3368848566301</x:v>
      </x:c>
      <x:c r="AV1029" s="32" t="n">
        <x:f>AM1029*60/tun_SeasonSeconds</x:f>
        <x:v>0</x:v>
      </x:c>
    </x:row>
    <x:row r="1030">
      <x:c r="A1030" s="8" t="n">
        <x:f>A1029+1</x:f>
        <x:v>1027</x:v>
      </x:c>
      <x:c r="B1030" s="9" t="n">
        <x:f>A1030*tun_SeasonSeconds/60</x:f>
        <x:v>256.75</x:v>
      </x:c>
      <x:c r="C1030" s="9" t="n">
        <x:f>A1030/4</x:f>
        <x:v>256.75</x:v>
      </x:c>
      <x:c r="D1030" s="8" t="n">
        <x:f>IF(MOD(A1030,4)=0,1,0)</x:f>
        <x:v>0</x:v>
      </x:c>
      <x:c r="E1030" s="8" t="n">
        <x:f>IF(AND(F1029&lt;=9,AS1029&gt;=AR1029),1,0)</x:f>
        <x:v>0</x:v>
      </x:c>
      <x:c r="F1030" s="8" t="n">
        <x:f>MIN(10,F1029+E1030)</x:f>
        <x:v>10</x:v>
      </x:c>
      <x:c r="G1030" s="8" t="n">
        <x:f>MIN(F1030,9)+1</x:f>
        <x:v>10</x:v>
      </x:c>
      <x:c r="H1030" s="8" t="n">
        <x:f>IF(F1030&lt;=9,1,0)</x:f>
        <x:v>0</x:v>
      </x:c>
      <x:c r="I1030" s="9" t="n">
        <x:f>MIN(10,F1029+IF(AR1029&gt;0,MIN(1,AS1029/AR1029),1))</x:f>
        <x:v>10</x:v>
      </x:c>
      <x:c r="J1030" s="32" t="n">
        <x:f>INDEX(tun_FoodCap,G1030)*Arch_FoodCap*EXP(tun_CapsByProject*SUMPRODUCT((Cap_Point&lt;=I1030)*(Cap_Kind="Food")*Cap_Ln))</x:f>
        <x:v>18627.260449441455</x:v>
      </x:c>
      <x:c r="K1030" s="32" t="n">
        <x:f>J1030*MIN(1,tun_LeanBase*EXP(tun_CapsByProject*SUMPRODUCT((Cap_Point&lt;=I1030)*(Cap_Kind="Lean")*Cap_Ln)))</x:f>
        <x:v>18627.260449441455</x:v>
      </x:c>
      <x:c r="L1030" s="10" t="n">
        <x:f>INDEX(tun_HousingCap,G1030)*EXP(tun_CapsByProject*SUMPRODUCT((Cap_Point&lt;=I1030)*(Cap_Kind="Housing")*Cap_Ln))</x:f>
        <x:v>20528.974303173167</x:v>
      </x:c>
      <x:c r="M1030" s="10" t="n">
        <x:f>INDEX(tun_GroupCap,G1030)*tun_CohesionFactor*EXP(tun_CapsByProject*SUMPRODUCT((Cap_Point&lt;=I1030)*(Cap_Kind="Group")*Cap_Ln))</x:f>
        <x:v>1000000.000000001</x:v>
      </x:c>
      <x:c r="N1030" s="32" t="n">
        <x:f>MIN(J1030,L1030,M1030)</x:f>
        <x:v>18627.260449441455</x:v>
      </x:c>
      <x:c r="O1030" s="10" t="n">
        <x:f>AE1029*N1030</x:f>
        <x:v>167645.34404497308</x:v>
      </x:c>
      <x:c r="P1030" s="9" t="n">
        <x:f>MIN(1,(AB1029/(AE1029*IF(tun_GroupInCrowding=1,N1030,MIN(J1030,L1030))))^tun_CrowdingExp)</x:f>
        <x:v>0.4215841981292809</x:v>
      </x:c>
      <x:c r="Q1030" s="9" t="n">
        <x:f>IF(D1030=1,INDEX(tun_WinterMult,G1030),1)</x:f>
        <x:v>1</x:v>
      </x:c>
      <x:c r="R1030" s="9" t="n">
        <x:f>H1030*Z1029*tun_WomenShare*tun_BaseFertility*INDEX(tun_FertMult,G1030)*Arch_Fertility*(1-P1030)</x:f>
        <x:v>0</x:v>
      </x:c>
      <x:c r="S1030" s="9" t="n">
        <x:f>H1030*Y1029*INDEX(tun_MortChild,G1030)/4*Q1030</x:f>
        <x:v>0</x:v>
      </x:c>
      <x:c r="T1030" s="9" t="n">
        <x:f>H1030*Z1029*INDEX(tun_MortAdult,G1030)*Arch_AdultMort/4*Q1030</x:f>
        <x:v>0</x:v>
      </x:c>
      <x:c r="U1030" s="9" t="n">
        <x:f>H1030*AA1029*INDEX(tun_MortElder,G1030)/4*Q1030</x:f>
        <x:v>0</x:v>
      </x:c>
      <x:c r="V1030" s="9" t="n">
        <x:f>H1030*MAX(0,AB1029-O1030)*tun_OvercapLoss</x:f>
        <x:v>0</x:v>
      </x:c>
      <x:c r="W1030" s="9" t="n">
        <x:f>H1030*Y1029/(tun_ChildYears*4)</x:f>
        <x:v>0</x:v>
      </x:c>
      <x:c r="X1030" s="9" t="n">
        <x:f>H1030*Z1029/(tun_AdultYears*4)</x:f>
        <x:v>0</x:v>
      </x:c>
      <x:c r="Y1030" s="32" t="n">
        <x:f>Y1029+R1030-S1030-W1030-Y1029*V1030/AB1029</x:f>
        <x:v>40496.20709015643</x:v>
      </x:c>
      <x:c r="Z1030" s="32" t="n">
        <x:f>Z1029+W1030-X1030-T1030-Z1029*V1030/AB1029</x:f>
        <x:v>59141.61122890803</x:v>
      </x:c>
      <x:c r="AA1030" s="32" t="n">
        <x:f>AA1029+X1030-U1030-AA1029*V1030/AB1029</x:f>
        <x:v>45530.62410925061</x:v>
      </x:c>
      <x:c r="AB1030" s="10" t="n">
        <x:f>Y1030+Z1030+AA1030</x:f>
        <x:v>145168.44242831506</x:v>
      </x:c>
      <x:c r="AC1030" s="8" t="n">
        <x:f>IF(AND(tun_WinterTrigger=1,D1030=1,AB1029/AE1029&gt;=K1030),1,0)</x:f>
        <x:v>0</x:v>
      </x:c>
      <x:c r="AD1030" s="8" t="n">
        <x:f>H1030*IF(AND(OR(AB1029/AE1029&gt;=tun_FissionTrigger*N1030,AC1030=1),AB1029/AE1029*tun_DaughterShare&gt;=tun_MinDaughter),MAX(1,ROUND(AE1029*tun_FissionRate,0)),0)</x:f>
        <x:v>0</x:v>
      </x:c>
      <x:c r="AE1030" s="8" t="n">
        <x:f>IF(H1030=1,MAX(1,MIN(INDEX(tun_Smax,G1030),AE1029+AD1030)),AE1029)</x:f>
        <x:v>9</x:v>
      </x:c>
      <x:c r="AF1030" s="8" t="n">
        <x:f>MAX(0,AE1030-AE1029)</x:f>
        <x:v>0</x:v>
      </x:c>
      <x:c r="AG1030" s="9" t="str">
        <x:f>IF(AF1030&gt;0,B1030,"")</x:f>
      </x:c>
      <x:c r="AH1030" s="9" t="n">
        <x:f>IF(F1030&gt;=1,1,(1+tun_LowTiesShare*(AE1030-1))/AE1030)</x:f>
        <x:v>1</x:v>
      </x:c>
      <x:c r="AI1030" s="32" t="n">
        <x:f>(Z1030+tun_ElderCommons*INDEX(LM_Elder,G1030)*AA1030)*AH1030</x:f>
        <x:v>238215.0665857503</x:v>
      </x:c>
      <x:c r="AJ1030" s="32" t="n">
        <x:f>H1030*tun_CommonsCoef*AI1030^tun_CommonsExp*INDEX(LM_Commons,G1030)</x:f>
        <x:v>0</x:v>
      </x:c>
      <x:c r="AK1030" s="32" t="n">
        <x:f>H1030*tun_RoleScale*Arch_Roles*(AE1030*(INDEX(tun_ElderRolePerSett,G1030)*tun_OutElder*INDEX(LM_Elder,G1030)+INDEX(tun_ShamanPerSett,G1030)*tun_OutShaman)+Z1030*(INDEX(tun_PriestShare,G1030)*tun_OutPriest+INDEX(tun_ScribeShare,G1030)*tun_OutScribe*INDEX(LM_Scribe,G1030)+INDEX(tun_ScholarShare,G1030)*tun_OutScholar*INDEX(LM_Scholar,G1030)+INDEX(tun_ResearcherShare,G1030)*tun_OutResearcher*INDEX(LM_Researcher,G1030)))</x:f>
        <x:v>0</x:v>
      </x:c>
      <x:c r="AL1030" s="32" t="n">
        <x:f>H1030*tun_RoleScale*Arch_Roles*AE1030*INDEX(tun_MonasteryPerSett,G1030)*tun_OutMonastery*INDEX(LM_Monastery,G1030)</x:f>
        <x:v>0</x:v>
      </x:c>
      <x:c r="AM1030" s="32" t="n">
        <x:f>(AJ1030+AK1030+AL1030)/4*INDEX(LM_All,G1030)*INDEX(tun_Boon,G1030)*Arch_Insight</x:f>
        <x:v>0</x:v>
      </x:c>
      <x:c r="AN1030" s="32" t="n">
        <x:f>H1030*(tun_KHPerAdult*Z1030+tun_KHOfCommons*AJ1030/4*INDEX(LM_All,G1030))*tun_KHUsable*Arch_KH</x:f>
        <x:v>0</x:v>
      </x:c>
      <x:c r="AO1030" s="32" t="n">
        <x:f>MIN(AP1029+AN1030,AM1030*tun_KHMaxRatio)</x:f>
        <x:v>0</x:v>
      </x:c>
      <x:c r="AP1030" s="32" t="n">
        <x:f>AP1029+AN1030-AO1030</x:f>
        <x:v>0</x:v>
      </x:c>
      <x:c r="AQ1030" s="32" t="n">
        <x:f>AM1030+AO1030</x:f>
        <x:v>0</x:v>
      </x:c>
      <x:c r="AR1030" s="10" t="n">
        <x:f>IF(H1030=1,INDEX(tun_Req,G1030),0)</x:f>
        <x:v>0</x:v>
      </x:c>
      <x:c r="AS1030" s="32" t="n">
        <x:f>IF(H1030=1,IF(E1030=1,AS1029-AR1029,AS1029)+AQ1030,0)</x:f>
        <x:v>0</x:v>
      </x:c>
      <x:c r="AT1030" s="11" t="n">
        <x:f>IF(AR1030&gt;0,MIN(1,AS1030/AR1030),1)</x:f>
        <x:v>1</x:v>
      </x:c>
      <x:c r="AU1030" s="10" t="n">
        <x:f>AB1030/INDEX(tun_RepScale,G1030)</x:f>
        <x:v>290.3368848566301</x:v>
      </x:c>
      <x:c r="AV1030" s="32" t="n">
        <x:f>AM1030*60/tun_SeasonSeconds</x:f>
        <x:v>0</x:v>
      </x:c>
    </x:row>
    <x:row r="1031">
      <x:c r="A1031" s="8" t="n">
        <x:f>A1030+1</x:f>
        <x:v>1028</x:v>
      </x:c>
      <x:c r="B1031" s="9" t="n">
        <x:f>A1031*tun_SeasonSeconds/60</x:f>
        <x:v>257</x:v>
      </x:c>
      <x:c r="C1031" s="9" t="n">
        <x:f>A1031/4</x:f>
        <x:v>257</x:v>
      </x:c>
      <x:c r="D1031" s="8" t="n">
        <x:f>IF(MOD(A1031,4)=0,1,0)</x:f>
        <x:v>1</x:v>
      </x:c>
      <x:c r="E1031" s="8" t="n">
        <x:f>IF(AND(F1030&lt;=9,AS1030&gt;=AR1030),1,0)</x:f>
        <x:v>0</x:v>
      </x:c>
      <x:c r="F1031" s="8" t="n">
        <x:f>MIN(10,F1030+E1031)</x:f>
        <x:v>10</x:v>
      </x:c>
      <x:c r="G1031" s="8" t="n">
        <x:f>MIN(F1031,9)+1</x:f>
        <x:v>10</x:v>
      </x:c>
      <x:c r="H1031" s="8" t="n">
        <x:f>IF(F1031&lt;=9,1,0)</x:f>
        <x:v>0</x:v>
      </x:c>
      <x:c r="I1031" s="9" t="n">
        <x:f>MIN(10,F1030+IF(AR1030&gt;0,MIN(1,AS1030/AR1030),1))</x:f>
        <x:v>10</x:v>
      </x:c>
      <x:c r="J1031" s="32" t="n">
        <x:f>INDEX(tun_FoodCap,G1031)*Arch_FoodCap*EXP(tun_CapsByProject*SUMPRODUCT((Cap_Point&lt;=I1031)*(Cap_Kind="Food")*Cap_Ln))</x:f>
        <x:v>18627.260449441455</x:v>
      </x:c>
      <x:c r="K1031" s="32" t="n">
        <x:f>J1031*MIN(1,tun_LeanBase*EXP(tun_CapsByProject*SUMPRODUCT((Cap_Point&lt;=I1031)*(Cap_Kind="Lean")*Cap_Ln)))</x:f>
        <x:v>18627.260449441455</x:v>
      </x:c>
      <x:c r="L1031" s="10" t="n">
        <x:f>INDEX(tun_HousingCap,G1031)*EXP(tun_CapsByProject*SUMPRODUCT((Cap_Point&lt;=I1031)*(Cap_Kind="Housing")*Cap_Ln))</x:f>
        <x:v>20528.974303173167</x:v>
      </x:c>
      <x:c r="M1031" s="10" t="n">
        <x:f>INDEX(tun_GroupCap,G1031)*tun_CohesionFactor*EXP(tun_CapsByProject*SUMPRODUCT((Cap_Point&lt;=I1031)*(Cap_Kind="Group")*Cap_Ln))</x:f>
        <x:v>1000000.000000001</x:v>
      </x:c>
      <x:c r="N1031" s="32" t="n">
        <x:f>MIN(J1031,L1031,M1031)</x:f>
        <x:v>18627.260449441455</x:v>
      </x:c>
      <x:c r="O1031" s="10" t="n">
        <x:f>AE1030*N1031</x:f>
        <x:v>167645.34404497308</x:v>
      </x:c>
      <x:c r="P1031" s="9" t="n">
        <x:f>MIN(1,(AB1030/(AE1030*IF(tun_GroupInCrowding=1,N1031,MIN(J1031,L1031))))^tun_CrowdingExp)</x:f>
        <x:v>0.4215841981292809</x:v>
      </x:c>
      <x:c r="Q1031" s="9" t="n">
        <x:f>IF(D1031=1,INDEX(tun_WinterMult,G1031),1)</x:f>
        <x:v>1.05</x:v>
      </x:c>
      <x:c r="R1031" s="9" t="n">
        <x:f>H1031*Z1030*tun_WomenShare*tun_BaseFertility*INDEX(tun_FertMult,G1031)*Arch_Fertility*(1-P1031)</x:f>
        <x:v>0</x:v>
      </x:c>
      <x:c r="S1031" s="9" t="n">
        <x:f>H1031*Y1030*INDEX(tun_MortChild,G1031)/4*Q1031</x:f>
        <x:v>0</x:v>
      </x:c>
      <x:c r="T1031" s="9" t="n">
        <x:f>H1031*Z1030*INDEX(tun_MortAdult,G1031)*Arch_AdultMort/4*Q1031</x:f>
        <x:v>0</x:v>
      </x:c>
      <x:c r="U1031" s="9" t="n">
        <x:f>H1031*AA1030*INDEX(tun_MortElder,G1031)/4*Q1031</x:f>
        <x:v>0</x:v>
      </x:c>
      <x:c r="V1031" s="9" t="n">
        <x:f>H1031*MAX(0,AB1030-O1031)*tun_OvercapLoss</x:f>
        <x:v>0</x:v>
      </x:c>
      <x:c r="W1031" s="9" t="n">
        <x:f>H1031*Y1030/(tun_ChildYears*4)</x:f>
        <x:v>0</x:v>
      </x:c>
      <x:c r="X1031" s="9" t="n">
        <x:f>H1031*Z1030/(tun_AdultYears*4)</x:f>
        <x:v>0</x:v>
      </x:c>
      <x:c r="Y1031" s="32" t="n">
        <x:f>Y1030+R1031-S1031-W1031-Y1030*V1031/AB1030</x:f>
        <x:v>40496.20709015643</x:v>
      </x:c>
      <x:c r="Z1031" s="32" t="n">
        <x:f>Z1030+W1031-X1031-T1031-Z1030*V1031/AB1030</x:f>
        <x:v>59141.61122890803</x:v>
      </x:c>
      <x:c r="AA1031" s="32" t="n">
        <x:f>AA1030+X1031-U1031-AA1030*V1031/AB1030</x:f>
        <x:v>45530.62410925061</x:v>
      </x:c>
      <x:c r="AB1031" s="10" t="n">
        <x:f>Y1031+Z1031+AA1031</x:f>
        <x:v>145168.44242831506</x:v>
      </x:c>
      <x:c r="AC1031" s="8" t="n">
        <x:f>IF(AND(tun_WinterTrigger=1,D1031=1,AB1030/AE1030&gt;=K1031),1,0)</x:f>
        <x:v>0</x:v>
      </x:c>
      <x:c r="AD1031" s="8" t="n">
        <x:f>H1031*IF(AND(OR(AB1030/AE1030&gt;=tun_FissionTrigger*N1031,AC1031=1),AB1030/AE1030*tun_DaughterShare&gt;=tun_MinDaughter),MAX(1,ROUND(AE1030*tun_FissionRate,0)),0)</x:f>
        <x:v>0</x:v>
      </x:c>
      <x:c r="AE1031" s="8" t="n">
        <x:f>IF(H1031=1,MAX(1,MIN(INDEX(tun_Smax,G1031),AE1030+AD1031)),AE1030)</x:f>
        <x:v>9</x:v>
      </x:c>
      <x:c r="AF1031" s="8" t="n">
        <x:f>MAX(0,AE1031-AE1030)</x:f>
        <x:v>0</x:v>
      </x:c>
      <x:c r="AG1031" s="9" t="str">
        <x:f>IF(AF1031&gt;0,B1031,"")</x:f>
      </x:c>
      <x:c r="AH1031" s="9" t="n">
        <x:f>IF(F1031&gt;=1,1,(1+tun_LowTiesShare*(AE1031-1))/AE1031)</x:f>
        <x:v>1</x:v>
      </x:c>
      <x:c r="AI1031" s="32" t="n">
        <x:f>(Z1031+tun_ElderCommons*INDEX(LM_Elder,G1031)*AA1031)*AH1031</x:f>
        <x:v>238215.0665857503</x:v>
      </x:c>
      <x:c r="AJ1031" s="32" t="n">
        <x:f>H1031*tun_CommonsCoef*AI1031^tun_CommonsExp*INDEX(LM_Commons,G1031)</x:f>
        <x:v>0</x:v>
      </x:c>
      <x:c r="AK1031" s="32" t="n">
        <x:f>H1031*tun_RoleScale*Arch_Roles*(AE1031*(INDEX(tun_ElderRolePerSett,G1031)*tun_OutElder*INDEX(LM_Elder,G1031)+INDEX(tun_ShamanPerSett,G1031)*tun_OutShaman)+Z1031*(INDEX(tun_PriestShare,G1031)*tun_OutPriest+INDEX(tun_ScribeShare,G1031)*tun_OutScribe*INDEX(LM_Scribe,G1031)+INDEX(tun_ScholarShare,G1031)*tun_OutScholar*INDEX(LM_Scholar,G1031)+INDEX(tun_ResearcherShare,G1031)*tun_OutResearcher*INDEX(LM_Researcher,G1031)))</x:f>
        <x:v>0</x:v>
      </x:c>
      <x:c r="AL1031" s="32" t="n">
        <x:f>H1031*tun_RoleScale*Arch_Roles*AE1031*INDEX(tun_MonasteryPerSett,G1031)*tun_OutMonastery*INDEX(LM_Monastery,G1031)</x:f>
        <x:v>0</x:v>
      </x:c>
      <x:c r="AM1031" s="32" t="n">
        <x:f>(AJ1031+AK1031+AL1031)/4*INDEX(LM_All,G1031)*INDEX(tun_Boon,G1031)*Arch_Insight</x:f>
        <x:v>0</x:v>
      </x:c>
      <x:c r="AN1031" s="32" t="n">
        <x:f>H1031*(tun_KHPerAdult*Z1031+tun_KHOfCommons*AJ1031/4*INDEX(LM_All,G1031))*tun_KHUsable*Arch_KH</x:f>
        <x:v>0</x:v>
      </x:c>
      <x:c r="AO1031" s="32" t="n">
        <x:f>MIN(AP1030+AN1031,AM1031*tun_KHMaxRatio)</x:f>
        <x:v>0</x:v>
      </x:c>
      <x:c r="AP1031" s="32" t="n">
        <x:f>AP1030+AN1031-AO1031</x:f>
        <x:v>0</x:v>
      </x:c>
      <x:c r="AQ1031" s="32" t="n">
        <x:f>AM1031+AO1031</x:f>
        <x:v>0</x:v>
      </x:c>
      <x:c r="AR1031" s="10" t="n">
        <x:f>IF(H1031=1,INDEX(tun_Req,G1031),0)</x:f>
        <x:v>0</x:v>
      </x:c>
      <x:c r="AS1031" s="32" t="n">
        <x:f>IF(H1031=1,IF(E1031=1,AS1030-AR1030,AS1030)+AQ1031,0)</x:f>
        <x:v>0</x:v>
      </x:c>
      <x:c r="AT1031" s="11" t="n">
        <x:f>IF(AR1031&gt;0,MIN(1,AS1031/AR1031),1)</x:f>
        <x:v>1</x:v>
      </x:c>
      <x:c r="AU1031" s="10" t="n">
        <x:f>AB1031/INDEX(tun_RepScale,G1031)</x:f>
        <x:v>290.3368848566301</x:v>
      </x:c>
      <x:c r="AV1031" s="32" t="n">
        <x:f>AM1031*60/tun_SeasonSeconds</x:f>
        <x:v>0</x:v>
      </x:c>
    </x:row>
    <x:row r="1032">
      <x:c r="A1032" s="8" t="n">
        <x:f>A1031+1</x:f>
        <x:v>1029</x:v>
      </x:c>
      <x:c r="B1032" s="9" t="n">
        <x:f>A1032*tun_SeasonSeconds/60</x:f>
        <x:v>257.25</x:v>
      </x:c>
      <x:c r="C1032" s="9" t="n">
        <x:f>A1032/4</x:f>
        <x:v>257.25</x:v>
      </x:c>
      <x:c r="D1032" s="8" t="n">
        <x:f>IF(MOD(A1032,4)=0,1,0)</x:f>
        <x:v>0</x:v>
      </x:c>
      <x:c r="E1032" s="8" t="n">
        <x:f>IF(AND(F1031&lt;=9,AS1031&gt;=AR1031),1,0)</x:f>
        <x:v>0</x:v>
      </x:c>
      <x:c r="F1032" s="8" t="n">
        <x:f>MIN(10,F1031+E1032)</x:f>
        <x:v>10</x:v>
      </x:c>
      <x:c r="G1032" s="8" t="n">
        <x:f>MIN(F1032,9)+1</x:f>
        <x:v>10</x:v>
      </x:c>
      <x:c r="H1032" s="8" t="n">
        <x:f>IF(F1032&lt;=9,1,0)</x:f>
        <x:v>0</x:v>
      </x:c>
      <x:c r="I1032" s="9" t="n">
        <x:f>MIN(10,F1031+IF(AR1031&gt;0,MIN(1,AS1031/AR1031),1))</x:f>
        <x:v>10</x:v>
      </x:c>
      <x:c r="J1032" s="32" t="n">
        <x:f>INDEX(tun_FoodCap,G1032)*Arch_FoodCap*EXP(tun_CapsByProject*SUMPRODUCT((Cap_Point&lt;=I1032)*(Cap_Kind="Food")*Cap_Ln))</x:f>
        <x:v>18627.260449441455</x:v>
      </x:c>
      <x:c r="K1032" s="32" t="n">
        <x:f>J1032*MIN(1,tun_LeanBase*EXP(tun_CapsByProject*SUMPRODUCT((Cap_Point&lt;=I1032)*(Cap_Kind="Lean")*Cap_Ln)))</x:f>
        <x:v>18627.260449441455</x:v>
      </x:c>
      <x:c r="L1032" s="10" t="n">
        <x:f>INDEX(tun_HousingCap,G1032)*EXP(tun_CapsByProject*SUMPRODUCT((Cap_Point&lt;=I1032)*(Cap_Kind="Housing")*Cap_Ln))</x:f>
        <x:v>20528.974303173167</x:v>
      </x:c>
      <x:c r="M1032" s="10" t="n">
        <x:f>INDEX(tun_GroupCap,G1032)*tun_CohesionFactor*EXP(tun_CapsByProject*SUMPRODUCT((Cap_Point&lt;=I1032)*(Cap_Kind="Group")*Cap_Ln))</x:f>
        <x:v>1000000.000000001</x:v>
      </x:c>
      <x:c r="N1032" s="32" t="n">
        <x:f>MIN(J1032,L1032,M1032)</x:f>
        <x:v>18627.260449441455</x:v>
      </x:c>
      <x:c r="O1032" s="10" t="n">
        <x:f>AE1031*N1032</x:f>
        <x:v>167645.34404497308</x:v>
      </x:c>
      <x:c r="P1032" s="9" t="n">
        <x:f>MIN(1,(AB1031/(AE1031*IF(tun_GroupInCrowding=1,N1032,MIN(J1032,L1032))))^tun_CrowdingExp)</x:f>
        <x:v>0.4215841981292809</x:v>
      </x:c>
      <x:c r="Q1032" s="9" t="n">
        <x:f>IF(D1032=1,INDEX(tun_WinterMult,G1032),1)</x:f>
        <x:v>1</x:v>
      </x:c>
      <x:c r="R1032" s="9" t="n">
        <x:f>H1032*Z1031*tun_WomenShare*tun_BaseFertility*INDEX(tun_FertMult,G1032)*Arch_Fertility*(1-P1032)</x:f>
        <x:v>0</x:v>
      </x:c>
      <x:c r="S1032" s="9" t="n">
        <x:f>H1032*Y1031*INDEX(tun_MortChild,G1032)/4*Q1032</x:f>
        <x:v>0</x:v>
      </x:c>
      <x:c r="T1032" s="9" t="n">
        <x:f>H1032*Z1031*INDEX(tun_MortAdult,G1032)*Arch_AdultMort/4*Q1032</x:f>
        <x:v>0</x:v>
      </x:c>
      <x:c r="U1032" s="9" t="n">
        <x:f>H1032*AA1031*INDEX(tun_MortElder,G1032)/4*Q1032</x:f>
        <x:v>0</x:v>
      </x:c>
      <x:c r="V1032" s="9" t="n">
        <x:f>H1032*MAX(0,AB1031-O1032)*tun_OvercapLoss</x:f>
        <x:v>0</x:v>
      </x:c>
      <x:c r="W1032" s="9" t="n">
        <x:f>H1032*Y1031/(tun_ChildYears*4)</x:f>
        <x:v>0</x:v>
      </x:c>
      <x:c r="X1032" s="9" t="n">
        <x:f>H1032*Z1031/(tun_AdultYears*4)</x:f>
        <x:v>0</x:v>
      </x:c>
      <x:c r="Y1032" s="32" t="n">
        <x:f>Y1031+R1032-S1032-W1032-Y1031*V1032/AB1031</x:f>
        <x:v>40496.20709015643</x:v>
      </x:c>
      <x:c r="Z1032" s="32" t="n">
        <x:f>Z1031+W1032-X1032-T1032-Z1031*V1032/AB1031</x:f>
        <x:v>59141.61122890803</x:v>
      </x:c>
      <x:c r="AA1032" s="32" t="n">
        <x:f>AA1031+X1032-U1032-AA1031*V1032/AB1031</x:f>
        <x:v>45530.62410925061</x:v>
      </x:c>
      <x:c r="AB1032" s="10" t="n">
        <x:f>Y1032+Z1032+AA1032</x:f>
        <x:v>145168.44242831506</x:v>
      </x:c>
      <x:c r="AC1032" s="8" t="n">
        <x:f>IF(AND(tun_WinterTrigger=1,D1032=1,AB1031/AE1031&gt;=K1032),1,0)</x:f>
        <x:v>0</x:v>
      </x:c>
      <x:c r="AD1032" s="8" t="n">
        <x:f>H1032*IF(AND(OR(AB1031/AE1031&gt;=tun_FissionTrigger*N1032,AC1032=1),AB1031/AE1031*tun_DaughterShare&gt;=tun_MinDaughter),MAX(1,ROUND(AE1031*tun_FissionRate,0)),0)</x:f>
        <x:v>0</x:v>
      </x:c>
      <x:c r="AE1032" s="8" t="n">
        <x:f>IF(H1032=1,MAX(1,MIN(INDEX(tun_Smax,G1032),AE1031+AD1032)),AE1031)</x:f>
        <x:v>9</x:v>
      </x:c>
      <x:c r="AF1032" s="8" t="n">
        <x:f>MAX(0,AE1032-AE1031)</x:f>
        <x:v>0</x:v>
      </x:c>
      <x:c r="AG1032" s="9" t="str">
        <x:f>IF(AF1032&gt;0,B1032,"")</x:f>
      </x:c>
      <x:c r="AH1032" s="9" t="n">
        <x:f>IF(F1032&gt;=1,1,(1+tun_LowTiesShare*(AE1032-1))/AE1032)</x:f>
        <x:v>1</x:v>
      </x:c>
      <x:c r="AI1032" s="32" t="n">
        <x:f>(Z1032+tun_ElderCommons*INDEX(LM_Elder,G1032)*AA1032)*AH1032</x:f>
        <x:v>238215.0665857503</x:v>
      </x:c>
      <x:c r="AJ1032" s="32" t="n">
        <x:f>H1032*tun_CommonsCoef*AI1032^tun_CommonsExp*INDEX(LM_Commons,G1032)</x:f>
        <x:v>0</x:v>
      </x:c>
      <x:c r="AK1032" s="32" t="n">
        <x:f>H1032*tun_RoleScale*Arch_Roles*(AE1032*(INDEX(tun_ElderRolePerSett,G1032)*tun_OutElder*INDEX(LM_Elder,G1032)+INDEX(tun_ShamanPerSett,G1032)*tun_OutShaman)+Z1032*(INDEX(tun_PriestShare,G1032)*tun_OutPriest+INDEX(tun_ScribeShare,G1032)*tun_OutScribe*INDEX(LM_Scribe,G1032)+INDEX(tun_ScholarShare,G1032)*tun_OutScholar*INDEX(LM_Scholar,G1032)+INDEX(tun_ResearcherShare,G1032)*tun_OutResearcher*INDEX(LM_Researcher,G1032)))</x:f>
        <x:v>0</x:v>
      </x:c>
      <x:c r="AL1032" s="32" t="n">
        <x:f>H1032*tun_RoleScale*Arch_Roles*AE1032*INDEX(tun_MonasteryPerSett,G1032)*tun_OutMonastery*INDEX(LM_Monastery,G1032)</x:f>
        <x:v>0</x:v>
      </x:c>
      <x:c r="AM1032" s="32" t="n">
        <x:f>(AJ1032+AK1032+AL1032)/4*INDEX(LM_All,G1032)*INDEX(tun_Boon,G1032)*Arch_Insight</x:f>
        <x:v>0</x:v>
      </x:c>
      <x:c r="AN1032" s="32" t="n">
        <x:f>H1032*(tun_KHPerAdult*Z1032+tun_KHOfCommons*AJ1032/4*INDEX(LM_All,G1032))*tun_KHUsable*Arch_KH</x:f>
        <x:v>0</x:v>
      </x:c>
      <x:c r="AO1032" s="32" t="n">
        <x:f>MIN(AP1031+AN1032,AM1032*tun_KHMaxRatio)</x:f>
        <x:v>0</x:v>
      </x:c>
      <x:c r="AP1032" s="32" t="n">
        <x:f>AP1031+AN1032-AO1032</x:f>
        <x:v>0</x:v>
      </x:c>
      <x:c r="AQ1032" s="32" t="n">
        <x:f>AM1032+AO1032</x:f>
        <x:v>0</x:v>
      </x:c>
      <x:c r="AR1032" s="10" t="n">
        <x:f>IF(H1032=1,INDEX(tun_Req,G1032),0)</x:f>
        <x:v>0</x:v>
      </x:c>
      <x:c r="AS1032" s="32" t="n">
        <x:f>IF(H1032=1,IF(E1032=1,AS1031-AR1031,AS1031)+AQ1032,0)</x:f>
        <x:v>0</x:v>
      </x:c>
      <x:c r="AT1032" s="11" t="n">
        <x:f>IF(AR1032&gt;0,MIN(1,AS1032/AR1032),1)</x:f>
        <x:v>1</x:v>
      </x:c>
      <x:c r="AU1032" s="10" t="n">
        <x:f>AB1032/INDEX(tun_RepScale,G1032)</x:f>
        <x:v>290.3368848566301</x:v>
      </x:c>
      <x:c r="AV1032" s="32" t="n">
        <x:f>AM1032*60/tun_SeasonSeconds</x:f>
        <x:v>0</x:v>
      </x:c>
    </x:row>
    <x:row r="1033">
      <x:c r="A1033" s="8" t="n">
        <x:f>A1032+1</x:f>
        <x:v>1030</x:v>
      </x:c>
      <x:c r="B1033" s="9" t="n">
        <x:f>A1033*tun_SeasonSeconds/60</x:f>
        <x:v>257.5</x:v>
      </x:c>
      <x:c r="C1033" s="9" t="n">
        <x:f>A1033/4</x:f>
        <x:v>257.5</x:v>
      </x:c>
      <x:c r="D1033" s="8" t="n">
        <x:f>IF(MOD(A1033,4)=0,1,0)</x:f>
        <x:v>0</x:v>
      </x:c>
      <x:c r="E1033" s="8" t="n">
        <x:f>IF(AND(F1032&lt;=9,AS1032&gt;=AR1032),1,0)</x:f>
        <x:v>0</x:v>
      </x:c>
      <x:c r="F1033" s="8" t="n">
        <x:f>MIN(10,F1032+E1033)</x:f>
        <x:v>10</x:v>
      </x:c>
      <x:c r="G1033" s="8" t="n">
        <x:f>MIN(F1033,9)+1</x:f>
        <x:v>10</x:v>
      </x:c>
      <x:c r="H1033" s="8" t="n">
        <x:f>IF(F1033&lt;=9,1,0)</x:f>
        <x:v>0</x:v>
      </x:c>
      <x:c r="I1033" s="9" t="n">
        <x:f>MIN(10,F1032+IF(AR1032&gt;0,MIN(1,AS1032/AR1032),1))</x:f>
        <x:v>10</x:v>
      </x:c>
      <x:c r="J1033" s="32" t="n">
        <x:f>INDEX(tun_FoodCap,G1033)*Arch_FoodCap*EXP(tun_CapsByProject*SUMPRODUCT((Cap_Point&lt;=I1033)*(Cap_Kind="Food")*Cap_Ln))</x:f>
        <x:v>18627.260449441455</x:v>
      </x:c>
      <x:c r="K1033" s="32" t="n">
        <x:f>J1033*MIN(1,tun_LeanBase*EXP(tun_CapsByProject*SUMPRODUCT((Cap_Point&lt;=I1033)*(Cap_Kind="Lean")*Cap_Ln)))</x:f>
        <x:v>18627.260449441455</x:v>
      </x:c>
      <x:c r="L1033" s="10" t="n">
        <x:f>INDEX(tun_HousingCap,G1033)*EXP(tun_CapsByProject*SUMPRODUCT((Cap_Point&lt;=I1033)*(Cap_Kind="Housing")*Cap_Ln))</x:f>
        <x:v>20528.974303173167</x:v>
      </x:c>
      <x:c r="M1033" s="10" t="n">
        <x:f>INDEX(tun_GroupCap,G1033)*tun_CohesionFactor*EXP(tun_CapsByProject*SUMPRODUCT((Cap_Point&lt;=I1033)*(Cap_Kind="Group")*Cap_Ln))</x:f>
        <x:v>1000000.000000001</x:v>
      </x:c>
      <x:c r="N1033" s="32" t="n">
        <x:f>MIN(J1033,L1033,M1033)</x:f>
        <x:v>18627.260449441455</x:v>
      </x:c>
      <x:c r="O1033" s="10" t="n">
        <x:f>AE1032*N1033</x:f>
        <x:v>167645.34404497308</x:v>
      </x:c>
      <x:c r="P1033" s="9" t="n">
        <x:f>MIN(1,(AB1032/(AE1032*IF(tun_GroupInCrowding=1,N1033,MIN(J1033,L1033))))^tun_CrowdingExp)</x:f>
        <x:v>0.4215841981292809</x:v>
      </x:c>
      <x:c r="Q1033" s="9" t="n">
        <x:f>IF(D1033=1,INDEX(tun_WinterMult,G1033),1)</x:f>
        <x:v>1</x:v>
      </x:c>
      <x:c r="R1033" s="9" t="n">
        <x:f>H1033*Z1032*tun_WomenShare*tun_BaseFertility*INDEX(tun_FertMult,G1033)*Arch_Fertility*(1-P1033)</x:f>
        <x:v>0</x:v>
      </x:c>
      <x:c r="S1033" s="9" t="n">
        <x:f>H1033*Y1032*INDEX(tun_MortChild,G1033)/4*Q1033</x:f>
        <x:v>0</x:v>
      </x:c>
      <x:c r="T1033" s="9" t="n">
        <x:f>H1033*Z1032*INDEX(tun_MortAdult,G1033)*Arch_AdultMort/4*Q1033</x:f>
        <x:v>0</x:v>
      </x:c>
      <x:c r="U1033" s="9" t="n">
        <x:f>H1033*AA1032*INDEX(tun_MortElder,G1033)/4*Q1033</x:f>
        <x:v>0</x:v>
      </x:c>
      <x:c r="V1033" s="9" t="n">
        <x:f>H1033*MAX(0,AB1032-O1033)*tun_OvercapLoss</x:f>
        <x:v>0</x:v>
      </x:c>
      <x:c r="W1033" s="9" t="n">
        <x:f>H1033*Y1032/(tun_ChildYears*4)</x:f>
        <x:v>0</x:v>
      </x:c>
      <x:c r="X1033" s="9" t="n">
        <x:f>H1033*Z1032/(tun_AdultYears*4)</x:f>
        <x:v>0</x:v>
      </x:c>
      <x:c r="Y1033" s="32" t="n">
        <x:f>Y1032+R1033-S1033-W1033-Y1032*V1033/AB1032</x:f>
        <x:v>40496.20709015643</x:v>
      </x:c>
      <x:c r="Z1033" s="32" t="n">
        <x:f>Z1032+W1033-X1033-T1033-Z1032*V1033/AB1032</x:f>
        <x:v>59141.61122890803</x:v>
      </x:c>
      <x:c r="AA1033" s="32" t="n">
        <x:f>AA1032+X1033-U1033-AA1032*V1033/AB1032</x:f>
        <x:v>45530.62410925061</x:v>
      </x:c>
      <x:c r="AB1033" s="10" t="n">
        <x:f>Y1033+Z1033+AA1033</x:f>
        <x:v>145168.44242831506</x:v>
      </x:c>
      <x:c r="AC1033" s="8" t="n">
        <x:f>IF(AND(tun_WinterTrigger=1,D1033=1,AB1032/AE1032&gt;=K1033),1,0)</x:f>
        <x:v>0</x:v>
      </x:c>
      <x:c r="AD1033" s="8" t="n">
        <x:f>H1033*IF(AND(OR(AB1032/AE1032&gt;=tun_FissionTrigger*N1033,AC1033=1),AB1032/AE1032*tun_DaughterShare&gt;=tun_MinDaughter),MAX(1,ROUND(AE1032*tun_FissionRate,0)),0)</x:f>
        <x:v>0</x:v>
      </x:c>
      <x:c r="AE1033" s="8" t="n">
        <x:f>IF(H1033=1,MAX(1,MIN(INDEX(tun_Smax,G1033),AE1032+AD1033)),AE1032)</x:f>
        <x:v>9</x:v>
      </x:c>
      <x:c r="AF1033" s="8" t="n">
        <x:f>MAX(0,AE1033-AE1032)</x:f>
        <x:v>0</x:v>
      </x:c>
      <x:c r="AG1033" s="9" t="str">
        <x:f>IF(AF1033&gt;0,B1033,"")</x:f>
      </x:c>
      <x:c r="AH1033" s="9" t="n">
        <x:f>IF(F1033&gt;=1,1,(1+tun_LowTiesShare*(AE1033-1))/AE1033)</x:f>
        <x:v>1</x:v>
      </x:c>
      <x:c r="AI1033" s="32" t="n">
        <x:f>(Z1033+tun_ElderCommons*INDEX(LM_Elder,G1033)*AA1033)*AH1033</x:f>
        <x:v>238215.0665857503</x:v>
      </x:c>
      <x:c r="AJ1033" s="32" t="n">
        <x:f>H1033*tun_CommonsCoef*AI1033^tun_CommonsExp*INDEX(LM_Commons,G1033)</x:f>
        <x:v>0</x:v>
      </x:c>
      <x:c r="AK1033" s="32" t="n">
        <x:f>H1033*tun_RoleScale*Arch_Roles*(AE1033*(INDEX(tun_ElderRolePerSett,G1033)*tun_OutElder*INDEX(LM_Elder,G1033)+INDEX(tun_ShamanPerSett,G1033)*tun_OutShaman)+Z1033*(INDEX(tun_PriestShare,G1033)*tun_OutPriest+INDEX(tun_ScribeShare,G1033)*tun_OutScribe*INDEX(LM_Scribe,G1033)+INDEX(tun_ScholarShare,G1033)*tun_OutScholar*INDEX(LM_Scholar,G1033)+INDEX(tun_ResearcherShare,G1033)*tun_OutResearcher*INDEX(LM_Researcher,G1033)))</x:f>
        <x:v>0</x:v>
      </x:c>
      <x:c r="AL1033" s="32" t="n">
        <x:f>H1033*tun_RoleScale*Arch_Roles*AE1033*INDEX(tun_MonasteryPerSett,G1033)*tun_OutMonastery*INDEX(LM_Monastery,G1033)</x:f>
        <x:v>0</x:v>
      </x:c>
      <x:c r="AM1033" s="32" t="n">
        <x:f>(AJ1033+AK1033+AL1033)/4*INDEX(LM_All,G1033)*INDEX(tun_Boon,G1033)*Arch_Insight</x:f>
        <x:v>0</x:v>
      </x:c>
      <x:c r="AN1033" s="32" t="n">
        <x:f>H1033*(tun_KHPerAdult*Z1033+tun_KHOfCommons*AJ1033/4*INDEX(LM_All,G1033))*tun_KHUsable*Arch_KH</x:f>
        <x:v>0</x:v>
      </x:c>
      <x:c r="AO1033" s="32" t="n">
        <x:f>MIN(AP1032+AN1033,AM1033*tun_KHMaxRatio)</x:f>
        <x:v>0</x:v>
      </x:c>
      <x:c r="AP1033" s="32" t="n">
        <x:f>AP1032+AN1033-AO1033</x:f>
        <x:v>0</x:v>
      </x:c>
      <x:c r="AQ1033" s="32" t="n">
        <x:f>AM1033+AO1033</x:f>
        <x:v>0</x:v>
      </x:c>
      <x:c r="AR1033" s="10" t="n">
        <x:f>IF(H1033=1,INDEX(tun_Req,G1033),0)</x:f>
        <x:v>0</x:v>
      </x:c>
      <x:c r="AS1033" s="32" t="n">
        <x:f>IF(H1033=1,IF(E1033=1,AS1032-AR1032,AS1032)+AQ1033,0)</x:f>
        <x:v>0</x:v>
      </x:c>
      <x:c r="AT1033" s="11" t="n">
        <x:f>IF(AR1033&gt;0,MIN(1,AS1033/AR1033),1)</x:f>
        <x:v>1</x:v>
      </x:c>
      <x:c r="AU1033" s="10" t="n">
        <x:f>AB1033/INDEX(tun_RepScale,G1033)</x:f>
        <x:v>290.3368848566301</x:v>
      </x:c>
      <x:c r="AV1033" s="32" t="n">
        <x:f>AM1033*60/tun_SeasonSeconds</x:f>
        <x:v>0</x:v>
      </x:c>
    </x:row>
    <x:row r="1034">
      <x:c r="A1034" s="8" t="n">
        <x:f>A1033+1</x:f>
        <x:v>1031</x:v>
      </x:c>
      <x:c r="B1034" s="9" t="n">
        <x:f>A1034*tun_SeasonSeconds/60</x:f>
        <x:v>257.75</x:v>
      </x:c>
      <x:c r="C1034" s="9" t="n">
        <x:f>A1034/4</x:f>
        <x:v>257.75</x:v>
      </x:c>
      <x:c r="D1034" s="8" t="n">
        <x:f>IF(MOD(A1034,4)=0,1,0)</x:f>
        <x:v>0</x:v>
      </x:c>
      <x:c r="E1034" s="8" t="n">
        <x:f>IF(AND(F1033&lt;=9,AS1033&gt;=AR1033),1,0)</x:f>
        <x:v>0</x:v>
      </x:c>
      <x:c r="F1034" s="8" t="n">
        <x:f>MIN(10,F1033+E1034)</x:f>
        <x:v>10</x:v>
      </x:c>
      <x:c r="G1034" s="8" t="n">
        <x:f>MIN(F1034,9)+1</x:f>
        <x:v>10</x:v>
      </x:c>
      <x:c r="H1034" s="8" t="n">
        <x:f>IF(F1034&lt;=9,1,0)</x:f>
        <x:v>0</x:v>
      </x:c>
      <x:c r="I1034" s="9" t="n">
        <x:f>MIN(10,F1033+IF(AR1033&gt;0,MIN(1,AS1033/AR1033),1))</x:f>
        <x:v>10</x:v>
      </x:c>
      <x:c r="J1034" s="32" t="n">
        <x:f>INDEX(tun_FoodCap,G1034)*Arch_FoodCap*EXP(tun_CapsByProject*SUMPRODUCT((Cap_Point&lt;=I1034)*(Cap_Kind="Food")*Cap_Ln))</x:f>
        <x:v>18627.260449441455</x:v>
      </x:c>
      <x:c r="K1034" s="32" t="n">
        <x:f>J1034*MIN(1,tun_LeanBase*EXP(tun_CapsByProject*SUMPRODUCT((Cap_Point&lt;=I1034)*(Cap_Kind="Lean")*Cap_Ln)))</x:f>
        <x:v>18627.260449441455</x:v>
      </x:c>
      <x:c r="L1034" s="10" t="n">
        <x:f>INDEX(tun_HousingCap,G1034)*EXP(tun_CapsByProject*SUMPRODUCT((Cap_Point&lt;=I1034)*(Cap_Kind="Housing")*Cap_Ln))</x:f>
        <x:v>20528.974303173167</x:v>
      </x:c>
      <x:c r="M1034" s="10" t="n">
        <x:f>INDEX(tun_GroupCap,G1034)*tun_CohesionFactor*EXP(tun_CapsByProject*SUMPRODUCT((Cap_Point&lt;=I1034)*(Cap_Kind="Group")*Cap_Ln))</x:f>
        <x:v>1000000.000000001</x:v>
      </x:c>
      <x:c r="N1034" s="32" t="n">
        <x:f>MIN(J1034,L1034,M1034)</x:f>
        <x:v>18627.260449441455</x:v>
      </x:c>
      <x:c r="O1034" s="10" t="n">
        <x:f>AE1033*N1034</x:f>
        <x:v>167645.34404497308</x:v>
      </x:c>
      <x:c r="P1034" s="9" t="n">
        <x:f>MIN(1,(AB1033/(AE1033*IF(tun_GroupInCrowding=1,N1034,MIN(J1034,L1034))))^tun_CrowdingExp)</x:f>
        <x:v>0.4215841981292809</x:v>
      </x:c>
      <x:c r="Q1034" s="9" t="n">
        <x:f>IF(D1034=1,INDEX(tun_WinterMult,G1034),1)</x:f>
        <x:v>1</x:v>
      </x:c>
      <x:c r="R1034" s="9" t="n">
        <x:f>H1034*Z1033*tun_WomenShare*tun_BaseFertility*INDEX(tun_FertMult,G1034)*Arch_Fertility*(1-P1034)</x:f>
        <x:v>0</x:v>
      </x:c>
      <x:c r="S1034" s="9" t="n">
        <x:f>H1034*Y1033*INDEX(tun_MortChild,G1034)/4*Q1034</x:f>
        <x:v>0</x:v>
      </x:c>
      <x:c r="T1034" s="9" t="n">
        <x:f>H1034*Z1033*INDEX(tun_MortAdult,G1034)*Arch_AdultMort/4*Q1034</x:f>
        <x:v>0</x:v>
      </x:c>
      <x:c r="U1034" s="9" t="n">
        <x:f>H1034*AA1033*INDEX(tun_MortElder,G1034)/4*Q1034</x:f>
        <x:v>0</x:v>
      </x:c>
      <x:c r="V1034" s="9" t="n">
        <x:f>H1034*MAX(0,AB1033-O1034)*tun_OvercapLoss</x:f>
        <x:v>0</x:v>
      </x:c>
      <x:c r="W1034" s="9" t="n">
        <x:f>H1034*Y1033/(tun_ChildYears*4)</x:f>
        <x:v>0</x:v>
      </x:c>
      <x:c r="X1034" s="9" t="n">
        <x:f>H1034*Z1033/(tun_AdultYears*4)</x:f>
        <x:v>0</x:v>
      </x:c>
      <x:c r="Y1034" s="32" t="n">
        <x:f>Y1033+R1034-S1034-W1034-Y1033*V1034/AB1033</x:f>
        <x:v>40496.20709015643</x:v>
      </x:c>
      <x:c r="Z1034" s="32" t="n">
        <x:f>Z1033+W1034-X1034-T1034-Z1033*V1034/AB1033</x:f>
        <x:v>59141.61122890803</x:v>
      </x:c>
      <x:c r="AA1034" s="32" t="n">
        <x:f>AA1033+X1034-U1034-AA1033*V1034/AB1033</x:f>
        <x:v>45530.62410925061</x:v>
      </x:c>
      <x:c r="AB1034" s="10" t="n">
        <x:f>Y1034+Z1034+AA1034</x:f>
        <x:v>145168.44242831506</x:v>
      </x:c>
      <x:c r="AC1034" s="8" t="n">
        <x:f>IF(AND(tun_WinterTrigger=1,D1034=1,AB1033/AE1033&gt;=K1034),1,0)</x:f>
        <x:v>0</x:v>
      </x:c>
      <x:c r="AD1034" s="8" t="n">
        <x:f>H1034*IF(AND(OR(AB1033/AE1033&gt;=tun_FissionTrigger*N1034,AC1034=1),AB1033/AE1033*tun_DaughterShare&gt;=tun_MinDaughter),MAX(1,ROUND(AE1033*tun_FissionRate,0)),0)</x:f>
        <x:v>0</x:v>
      </x:c>
      <x:c r="AE1034" s="8" t="n">
        <x:f>IF(H1034=1,MAX(1,MIN(INDEX(tun_Smax,G1034),AE1033+AD1034)),AE1033)</x:f>
        <x:v>9</x:v>
      </x:c>
      <x:c r="AF1034" s="8" t="n">
        <x:f>MAX(0,AE1034-AE1033)</x:f>
        <x:v>0</x:v>
      </x:c>
      <x:c r="AG1034" s="9" t="str">
        <x:f>IF(AF1034&gt;0,B1034,"")</x:f>
      </x:c>
      <x:c r="AH1034" s="9" t="n">
        <x:f>IF(F1034&gt;=1,1,(1+tun_LowTiesShare*(AE1034-1))/AE1034)</x:f>
        <x:v>1</x:v>
      </x:c>
      <x:c r="AI1034" s="32" t="n">
        <x:f>(Z1034+tun_ElderCommons*INDEX(LM_Elder,G1034)*AA1034)*AH1034</x:f>
        <x:v>238215.0665857503</x:v>
      </x:c>
      <x:c r="AJ1034" s="32" t="n">
        <x:f>H1034*tun_CommonsCoef*AI1034^tun_CommonsExp*INDEX(LM_Commons,G1034)</x:f>
        <x:v>0</x:v>
      </x:c>
      <x:c r="AK1034" s="32" t="n">
        <x:f>H1034*tun_RoleScale*Arch_Roles*(AE1034*(INDEX(tun_ElderRolePerSett,G1034)*tun_OutElder*INDEX(LM_Elder,G1034)+INDEX(tun_ShamanPerSett,G1034)*tun_OutShaman)+Z1034*(INDEX(tun_PriestShare,G1034)*tun_OutPriest+INDEX(tun_ScribeShare,G1034)*tun_OutScribe*INDEX(LM_Scribe,G1034)+INDEX(tun_ScholarShare,G1034)*tun_OutScholar*INDEX(LM_Scholar,G1034)+INDEX(tun_ResearcherShare,G1034)*tun_OutResearcher*INDEX(LM_Researcher,G1034)))</x:f>
        <x:v>0</x:v>
      </x:c>
      <x:c r="AL1034" s="32" t="n">
        <x:f>H1034*tun_RoleScale*Arch_Roles*AE1034*INDEX(tun_MonasteryPerSett,G1034)*tun_OutMonastery*INDEX(LM_Monastery,G1034)</x:f>
        <x:v>0</x:v>
      </x:c>
      <x:c r="AM1034" s="32" t="n">
        <x:f>(AJ1034+AK1034+AL1034)/4*INDEX(LM_All,G1034)*INDEX(tun_Boon,G1034)*Arch_Insight</x:f>
        <x:v>0</x:v>
      </x:c>
      <x:c r="AN1034" s="32" t="n">
        <x:f>H1034*(tun_KHPerAdult*Z1034+tun_KHOfCommons*AJ1034/4*INDEX(LM_All,G1034))*tun_KHUsable*Arch_KH</x:f>
        <x:v>0</x:v>
      </x:c>
      <x:c r="AO1034" s="32" t="n">
        <x:f>MIN(AP1033+AN1034,AM1034*tun_KHMaxRatio)</x:f>
        <x:v>0</x:v>
      </x:c>
      <x:c r="AP1034" s="32" t="n">
        <x:f>AP1033+AN1034-AO1034</x:f>
        <x:v>0</x:v>
      </x:c>
      <x:c r="AQ1034" s="32" t="n">
        <x:f>AM1034+AO1034</x:f>
        <x:v>0</x:v>
      </x:c>
      <x:c r="AR1034" s="10" t="n">
        <x:f>IF(H1034=1,INDEX(tun_Req,G1034),0)</x:f>
        <x:v>0</x:v>
      </x:c>
      <x:c r="AS1034" s="32" t="n">
        <x:f>IF(H1034=1,IF(E1034=1,AS1033-AR1033,AS1033)+AQ1034,0)</x:f>
        <x:v>0</x:v>
      </x:c>
      <x:c r="AT1034" s="11" t="n">
        <x:f>IF(AR1034&gt;0,MIN(1,AS1034/AR1034),1)</x:f>
        <x:v>1</x:v>
      </x:c>
      <x:c r="AU1034" s="10" t="n">
        <x:f>AB1034/INDEX(tun_RepScale,G1034)</x:f>
        <x:v>290.3368848566301</x:v>
      </x:c>
      <x:c r="AV1034" s="32" t="n">
        <x:f>AM1034*60/tun_SeasonSeconds</x:f>
        <x:v>0</x:v>
      </x:c>
    </x:row>
    <x:row r="1035">
      <x:c r="A1035" s="8" t="n">
        <x:f>A1034+1</x:f>
        <x:v>1032</x:v>
      </x:c>
      <x:c r="B1035" s="9" t="n">
        <x:f>A1035*tun_SeasonSeconds/60</x:f>
        <x:v>258</x:v>
      </x:c>
      <x:c r="C1035" s="9" t="n">
        <x:f>A1035/4</x:f>
        <x:v>258</x:v>
      </x:c>
      <x:c r="D1035" s="8" t="n">
        <x:f>IF(MOD(A1035,4)=0,1,0)</x:f>
        <x:v>1</x:v>
      </x:c>
      <x:c r="E1035" s="8" t="n">
        <x:f>IF(AND(F1034&lt;=9,AS1034&gt;=AR1034),1,0)</x:f>
        <x:v>0</x:v>
      </x:c>
      <x:c r="F1035" s="8" t="n">
        <x:f>MIN(10,F1034+E1035)</x:f>
        <x:v>10</x:v>
      </x:c>
      <x:c r="G1035" s="8" t="n">
        <x:f>MIN(F1035,9)+1</x:f>
        <x:v>10</x:v>
      </x:c>
      <x:c r="H1035" s="8" t="n">
        <x:f>IF(F1035&lt;=9,1,0)</x:f>
        <x:v>0</x:v>
      </x:c>
      <x:c r="I1035" s="9" t="n">
        <x:f>MIN(10,F1034+IF(AR1034&gt;0,MIN(1,AS1034/AR1034),1))</x:f>
        <x:v>10</x:v>
      </x:c>
      <x:c r="J1035" s="32" t="n">
        <x:f>INDEX(tun_FoodCap,G1035)*Arch_FoodCap*EXP(tun_CapsByProject*SUMPRODUCT((Cap_Point&lt;=I1035)*(Cap_Kind="Food")*Cap_Ln))</x:f>
        <x:v>18627.260449441455</x:v>
      </x:c>
      <x:c r="K1035" s="32" t="n">
        <x:f>J1035*MIN(1,tun_LeanBase*EXP(tun_CapsByProject*SUMPRODUCT((Cap_Point&lt;=I1035)*(Cap_Kind="Lean")*Cap_Ln)))</x:f>
        <x:v>18627.260449441455</x:v>
      </x:c>
      <x:c r="L1035" s="10" t="n">
        <x:f>INDEX(tun_HousingCap,G1035)*EXP(tun_CapsByProject*SUMPRODUCT((Cap_Point&lt;=I1035)*(Cap_Kind="Housing")*Cap_Ln))</x:f>
        <x:v>20528.974303173167</x:v>
      </x:c>
      <x:c r="M1035" s="10" t="n">
        <x:f>INDEX(tun_GroupCap,G1035)*tun_CohesionFactor*EXP(tun_CapsByProject*SUMPRODUCT((Cap_Point&lt;=I1035)*(Cap_Kind="Group")*Cap_Ln))</x:f>
        <x:v>1000000.000000001</x:v>
      </x:c>
      <x:c r="N1035" s="32" t="n">
        <x:f>MIN(J1035,L1035,M1035)</x:f>
        <x:v>18627.260449441455</x:v>
      </x:c>
      <x:c r="O1035" s="10" t="n">
        <x:f>AE1034*N1035</x:f>
        <x:v>167645.34404497308</x:v>
      </x:c>
      <x:c r="P1035" s="9" t="n">
        <x:f>MIN(1,(AB1034/(AE1034*IF(tun_GroupInCrowding=1,N1035,MIN(J1035,L1035))))^tun_CrowdingExp)</x:f>
        <x:v>0.4215841981292809</x:v>
      </x:c>
      <x:c r="Q1035" s="9" t="n">
        <x:f>IF(D1035=1,INDEX(tun_WinterMult,G1035),1)</x:f>
        <x:v>1.05</x:v>
      </x:c>
      <x:c r="R1035" s="9" t="n">
        <x:f>H1035*Z1034*tun_WomenShare*tun_BaseFertility*INDEX(tun_FertMult,G1035)*Arch_Fertility*(1-P1035)</x:f>
        <x:v>0</x:v>
      </x:c>
      <x:c r="S1035" s="9" t="n">
        <x:f>H1035*Y1034*INDEX(tun_MortChild,G1035)/4*Q1035</x:f>
        <x:v>0</x:v>
      </x:c>
      <x:c r="T1035" s="9" t="n">
        <x:f>H1035*Z1034*INDEX(tun_MortAdult,G1035)*Arch_AdultMort/4*Q1035</x:f>
        <x:v>0</x:v>
      </x:c>
      <x:c r="U1035" s="9" t="n">
        <x:f>H1035*AA1034*INDEX(tun_MortElder,G1035)/4*Q1035</x:f>
        <x:v>0</x:v>
      </x:c>
      <x:c r="V1035" s="9" t="n">
        <x:f>H1035*MAX(0,AB1034-O1035)*tun_OvercapLoss</x:f>
        <x:v>0</x:v>
      </x:c>
      <x:c r="W1035" s="9" t="n">
        <x:f>H1035*Y1034/(tun_ChildYears*4)</x:f>
        <x:v>0</x:v>
      </x:c>
      <x:c r="X1035" s="9" t="n">
        <x:f>H1035*Z1034/(tun_AdultYears*4)</x:f>
        <x:v>0</x:v>
      </x:c>
      <x:c r="Y1035" s="32" t="n">
        <x:f>Y1034+R1035-S1035-W1035-Y1034*V1035/AB1034</x:f>
        <x:v>40496.20709015643</x:v>
      </x:c>
      <x:c r="Z1035" s="32" t="n">
        <x:f>Z1034+W1035-X1035-T1035-Z1034*V1035/AB1034</x:f>
        <x:v>59141.61122890803</x:v>
      </x:c>
      <x:c r="AA1035" s="32" t="n">
        <x:f>AA1034+X1035-U1035-AA1034*V1035/AB1034</x:f>
        <x:v>45530.62410925061</x:v>
      </x:c>
      <x:c r="AB1035" s="10" t="n">
        <x:f>Y1035+Z1035+AA1035</x:f>
        <x:v>145168.44242831506</x:v>
      </x:c>
      <x:c r="AC1035" s="8" t="n">
        <x:f>IF(AND(tun_WinterTrigger=1,D1035=1,AB1034/AE1034&gt;=K1035),1,0)</x:f>
        <x:v>0</x:v>
      </x:c>
      <x:c r="AD1035" s="8" t="n">
        <x:f>H1035*IF(AND(OR(AB1034/AE1034&gt;=tun_FissionTrigger*N1035,AC1035=1),AB1034/AE1034*tun_DaughterShare&gt;=tun_MinDaughter),MAX(1,ROUND(AE1034*tun_FissionRate,0)),0)</x:f>
        <x:v>0</x:v>
      </x:c>
      <x:c r="AE1035" s="8" t="n">
        <x:f>IF(H1035=1,MAX(1,MIN(INDEX(tun_Smax,G1035),AE1034+AD1035)),AE1034)</x:f>
        <x:v>9</x:v>
      </x:c>
      <x:c r="AF1035" s="8" t="n">
        <x:f>MAX(0,AE1035-AE1034)</x:f>
        <x:v>0</x:v>
      </x:c>
      <x:c r="AG1035" s="9" t="str">
        <x:f>IF(AF1035&gt;0,B1035,"")</x:f>
      </x:c>
      <x:c r="AH1035" s="9" t="n">
        <x:f>IF(F1035&gt;=1,1,(1+tun_LowTiesShare*(AE1035-1))/AE1035)</x:f>
        <x:v>1</x:v>
      </x:c>
      <x:c r="AI1035" s="32" t="n">
        <x:f>(Z1035+tun_ElderCommons*INDEX(LM_Elder,G1035)*AA1035)*AH1035</x:f>
        <x:v>238215.0665857503</x:v>
      </x:c>
      <x:c r="AJ1035" s="32" t="n">
        <x:f>H1035*tun_CommonsCoef*AI1035^tun_CommonsExp*INDEX(LM_Commons,G1035)</x:f>
        <x:v>0</x:v>
      </x:c>
      <x:c r="AK1035" s="32" t="n">
        <x:f>H1035*tun_RoleScale*Arch_Roles*(AE1035*(INDEX(tun_ElderRolePerSett,G1035)*tun_OutElder*INDEX(LM_Elder,G1035)+INDEX(tun_ShamanPerSett,G1035)*tun_OutShaman)+Z1035*(INDEX(tun_PriestShare,G1035)*tun_OutPriest+INDEX(tun_ScribeShare,G1035)*tun_OutScribe*INDEX(LM_Scribe,G1035)+INDEX(tun_ScholarShare,G1035)*tun_OutScholar*INDEX(LM_Scholar,G1035)+INDEX(tun_ResearcherShare,G1035)*tun_OutResearcher*INDEX(LM_Researcher,G1035)))</x:f>
        <x:v>0</x:v>
      </x:c>
      <x:c r="AL1035" s="32" t="n">
        <x:f>H1035*tun_RoleScale*Arch_Roles*AE1035*INDEX(tun_MonasteryPerSett,G1035)*tun_OutMonastery*INDEX(LM_Monastery,G1035)</x:f>
        <x:v>0</x:v>
      </x:c>
      <x:c r="AM1035" s="32" t="n">
        <x:f>(AJ1035+AK1035+AL1035)/4*INDEX(LM_All,G1035)*INDEX(tun_Boon,G1035)*Arch_Insight</x:f>
        <x:v>0</x:v>
      </x:c>
      <x:c r="AN1035" s="32" t="n">
        <x:f>H1035*(tun_KHPerAdult*Z1035+tun_KHOfCommons*AJ1035/4*INDEX(LM_All,G1035))*tun_KHUsable*Arch_KH</x:f>
        <x:v>0</x:v>
      </x:c>
      <x:c r="AO1035" s="32" t="n">
        <x:f>MIN(AP1034+AN1035,AM1035*tun_KHMaxRatio)</x:f>
        <x:v>0</x:v>
      </x:c>
      <x:c r="AP1035" s="32" t="n">
        <x:f>AP1034+AN1035-AO1035</x:f>
        <x:v>0</x:v>
      </x:c>
      <x:c r="AQ1035" s="32" t="n">
        <x:f>AM1035+AO1035</x:f>
        <x:v>0</x:v>
      </x:c>
      <x:c r="AR1035" s="10" t="n">
        <x:f>IF(H1035=1,INDEX(tun_Req,G1035),0)</x:f>
        <x:v>0</x:v>
      </x:c>
      <x:c r="AS1035" s="32" t="n">
        <x:f>IF(H1035=1,IF(E1035=1,AS1034-AR1034,AS1034)+AQ1035,0)</x:f>
        <x:v>0</x:v>
      </x:c>
      <x:c r="AT1035" s="11" t="n">
        <x:f>IF(AR1035&gt;0,MIN(1,AS1035/AR1035),1)</x:f>
        <x:v>1</x:v>
      </x:c>
      <x:c r="AU1035" s="10" t="n">
        <x:f>AB1035/INDEX(tun_RepScale,G1035)</x:f>
        <x:v>290.3368848566301</x:v>
      </x:c>
      <x:c r="AV1035" s="32" t="n">
        <x:f>AM1035*60/tun_SeasonSeconds</x:f>
        <x:v>0</x:v>
      </x:c>
    </x:row>
    <x:row r="1036">
      <x:c r="A1036" s="8" t="n">
        <x:f>A1035+1</x:f>
        <x:v>1033</x:v>
      </x:c>
      <x:c r="B1036" s="9" t="n">
        <x:f>A1036*tun_SeasonSeconds/60</x:f>
        <x:v>258.25</x:v>
      </x:c>
      <x:c r="C1036" s="9" t="n">
        <x:f>A1036/4</x:f>
        <x:v>258.25</x:v>
      </x:c>
      <x:c r="D1036" s="8" t="n">
        <x:f>IF(MOD(A1036,4)=0,1,0)</x:f>
        <x:v>0</x:v>
      </x:c>
      <x:c r="E1036" s="8" t="n">
        <x:f>IF(AND(F1035&lt;=9,AS1035&gt;=AR1035),1,0)</x:f>
        <x:v>0</x:v>
      </x:c>
      <x:c r="F1036" s="8" t="n">
        <x:f>MIN(10,F1035+E1036)</x:f>
        <x:v>10</x:v>
      </x:c>
      <x:c r="G1036" s="8" t="n">
        <x:f>MIN(F1036,9)+1</x:f>
        <x:v>10</x:v>
      </x:c>
      <x:c r="H1036" s="8" t="n">
        <x:f>IF(F1036&lt;=9,1,0)</x:f>
        <x:v>0</x:v>
      </x:c>
      <x:c r="I1036" s="9" t="n">
        <x:f>MIN(10,F1035+IF(AR1035&gt;0,MIN(1,AS1035/AR1035),1))</x:f>
        <x:v>10</x:v>
      </x:c>
      <x:c r="J1036" s="32" t="n">
        <x:f>INDEX(tun_FoodCap,G1036)*Arch_FoodCap*EXP(tun_CapsByProject*SUMPRODUCT((Cap_Point&lt;=I1036)*(Cap_Kind="Food")*Cap_Ln))</x:f>
        <x:v>18627.260449441455</x:v>
      </x:c>
      <x:c r="K1036" s="32" t="n">
        <x:f>J1036*MIN(1,tun_LeanBase*EXP(tun_CapsByProject*SUMPRODUCT((Cap_Point&lt;=I1036)*(Cap_Kind="Lean")*Cap_Ln)))</x:f>
        <x:v>18627.260449441455</x:v>
      </x:c>
      <x:c r="L1036" s="10" t="n">
        <x:f>INDEX(tun_HousingCap,G1036)*EXP(tun_CapsByProject*SUMPRODUCT((Cap_Point&lt;=I1036)*(Cap_Kind="Housing")*Cap_Ln))</x:f>
        <x:v>20528.974303173167</x:v>
      </x:c>
      <x:c r="M1036" s="10" t="n">
        <x:f>INDEX(tun_GroupCap,G1036)*tun_CohesionFactor*EXP(tun_CapsByProject*SUMPRODUCT((Cap_Point&lt;=I1036)*(Cap_Kind="Group")*Cap_Ln))</x:f>
        <x:v>1000000.000000001</x:v>
      </x:c>
      <x:c r="N1036" s="32" t="n">
        <x:f>MIN(J1036,L1036,M1036)</x:f>
        <x:v>18627.260449441455</x:v>
      </x:c>
      <x:c r="O1036" s="10" t="n">
        <x:f>AE1035*N1036</x:f>
        <x:v>167645.34404497308</x:v>
      </x:c>
      <x:c r="P1036" s="9" t="n">
        <x:f>MIN(1,(AB1035/(AE1035*IF(tun_GroupInCrowding=1,N1036,MIN(J1036,L1036))))^tun_CrowdingExp)</x:f>
        <x:v>0.4215841981292809</x:v>
      </x:c>
      <x:c r="Q1036" s="9" t="n">
        <x:f>IF(D1036=1,INDEX(tun_WinterMult,G1036),1)</x:f>
        <x:v>1</x:v>
      </x:c>
      <x:c r="R1036" s="9" t="n">
        <x:f>H1036*Z1035*tun_WomenShare*tun_BaseFertility*INDEX(tun_FertMult,G1036)*Arch_Fertility*(1-P1036)</x:f>
        <x:v>0</x:v>
      </x:c>
      <x:c r="S1036" s="9" t="n">
        <x:f>H1036*Y1035*INDEX(tun_MortChild,G1036)/4*Q1036</x:f>
        <x:v>0</x:v>
      </x:c>
      <x:c r="T1036" s="9" t="n">
        <x:f>H1036*Z1035*INDEX(tun_MortAdult,G1036)*Arch_AdultMort/4*Q1036</x:f>
        <x:v>0</x:v>
      </x:c>
      <x:c r="U1036" s="9" t="n">
        <x:f>H1036*AA1035*INDEX(tun_MortElder,G1036)/4*Q1036</x:f>
        <x:v>0</x:v>
      </x:c>
      <x:c r="V1036" s="9" t="n">
        <x:f>H1036*MAX(0,AB1035-O1036)*tun_OvercapLoss</x:f>
        <x:v>0</x:v>
      </x:c>
      <x:c r="W1036" s="9" t="n">
        <x:f>H1036*Y1035/(tun_ChildYears*4)</x:f>
        <x:v>0</x:v>
      </x:c>
      <x:c r="X1036" s="9" t="n">
        <x:f>H1036*Z1035/(tun_AdultYears*4)</x:f>
        <x:v>0</x:v>
      </x:c>
      <x:c r="Y1036" s="32" t="n">
        <x:f>Y1035+R1036-S1036-W1036-Y1035*V1036/AB1035</x:f>
        <x:v>40496.20709015643</x:v>
      </x:c>
      <x:c r="Z1036" s="32" t="n">
        <x:f>Z1035+W1036-X1036-T1036-Z1035*V1036/AB1035</x:f>
        <x:v>59141.61122890803</x:v>
      </x:c>
      <x:c r="AA1036" s="32" t="n">
        <x:f>AA1035+X1036-U1036-AA1035*V1036/AB1035</x:f>
        <x:v>45530.62410925061</x:v>
      </x:c>
      <x:c r="AB1036" s="10" t="n">
        <x:f>Y1036+Z1036+AA1036</x:f>
        <x:v>145168.44242831506</x:v>
      </x:c>
      <x:c r="AC1036" s="8" t="n">
        <x:f>IF(AND(tun_WinterTrigger=1,D1036=1,AB1035/AE1035&gt;=K1036),1,0)</x:f>
        <x:v>0</x:v>
      </x:c>
      <x:c r="AD1036" s="8" t="n">
        <x:f>H1036*IF(AND(OR(AB1035/AE1035&gt;=tun_FissionTrigger*N1036,AC1036=1),AB1035/AE1035*tun_DaughterShare&gt;=tun_MinDaughter),MAX(1,ROUND(AE1035*tun_FissionRate,0)),0)</x:f>
        <x:v>0</x:v>
      </x:c>
      <x:c r="AE1036" s="8" t="n">
        <x:f>IF(H1036=1,MAX(1,MIN(INDEX(tun_Smax,G1036),AE1035+AD1036)),AE1035)</x:f>
        <x:v>9</x:v>
      </x:c>
      <x:c r="AF1036" s="8" t="n">
        <x:f>MAX(0,AE1036-AE1035)</x:f>
        <x:v>0</x:v>
      </x:c>
      <x:c r="AG1036" s="9" t="str">
        <x:f>IF(AF1036&gt;0,B1036,"")</x:f>
      </x:c>
      <x:c r="AH1036" s="9" t="n">
        <x:f>IF(F1036&gt;=1,1,(1+tun_LowTiesShare*(AE1036-1))/AE1036)</x:f>
        <x:v>1</x:v>
      </x:c>
      <x:c r="AI1036" s="32" t="n">
        <x:f>(Z1036+tun_ElderCommons*INDEX(LM_Elder,G1036)*AA1036)*AH1036</x:f>
        <x:v>238215.0665857503</x:v>
      </x:c>
      <x:c r="AJ1036" s="32" t="n">
        <x:f>H1036*tun_CommonsCoef*AI1036^tun_CommonsExp*INDEX(LM_Commons,G1036)</x:f>
        <x:v>0</x:v>
      </x:c>
      <x:c r="AK1036" s="32" t="n">
        <x:f>H1036*tun_RoleScale*Arch_Roles*(AE1036*(INDEX(tun_ElderRolePerSett,G1036)*tun_OutElder*INDEX(LM_Elder,G1036)+INDEX(tun_ShamanPerSett,G1036)*tun_OutShaman)+Z1036*(INDEX(tun_PriestShare,G1036)*tun_OutPriest+INDEX(tun_ScribeShare,G1036)*tun_OutScribe*INDEX(LM_Scribe,G1036)+INDEX(tun_ScholarShare,G1036)*tun_OutScholar*INDEX(LM_Scholar,G1036)+INDEX(tun_ResearcherShare,G1036)*tun_OutResearcher*INDEX(LM_Researcher,G1036)))</x:f>
        <x:v>0</x:v>
      </x:c>
      <x:c r="AL1036" s="32" t="n">
        <x:f>H1036*tun_RoleScale*Arch_Roles*AE1036*INDEX(tun_MonasteryPerSett,G1036)*tun_OutMonastery*INDEX(LM_Monastery,G1036)</x:f>
        <x:v>0</x:v>
      </x:c>
      <x:c r="AM1036" s="32" t="n">
        <x:f>(AJ1036+AK1036+AL1036)/4*INDEX(LM_All,G1036)*INDEX(tun_Boon,G1036)*Arch_Insight</x:f>
        <x:v>0</x:v>
      </x:c>
      <x:c r="AN1036" s="32" t="n">
        <x:f>H1036*(tun_KHPerAdult*Z1036+tun_KHOfCommons*AJ1036/4*INDEX(LM_All,G1036))*tun_KHUsable*Arch_KH</x:f>
        <x:v>0</x:v>
      </x:c>
      <x:c r="AO1036" s="32" t="n">
        <x:f>MIN(AP1035+AN1036,AM1036*tun_KHMaxRatio)</x:f>
        <x:v>0</x:v>
      </x:c>
      <x:c r="AP1036" s="32" t="n">
        <x:f>AP1035+AN1036-AO1036</x:f>
        <x:v>0</x:v>
      </x:c>
      <x:c r="AQ1036" s="32" t="n">
        <x:f>AM1036+AO1036</x:f>
        <x:v>0</x:v>
      </x:c>
      <x:c r="AR1036" s="10" t="n">
        <x:f>IF(H1036=1,INDEX(tun_Req,G1036),0)</x:f>
        <x:v>0</x:v>
      </x:c>
      <x:c r="AS1036" s="32" t="n">
        <x:f>IF(H1036=1,IF(E1036=1,AS1035-AR1035,AS1035)+AQ1036,0)</x:f>
        <x:v>0</x:v>
      </x:c>
      <x:c r="AT1036" s="11" t="n">
        <x:f>IF(AR1036&gt;0,MIN(1,AS1036/AR1036),1)</x:f>
        <x:v>1</x:v>
      </x:c>
      <x:c r="AU1036" s="10" t="n">
        <x:f>AB1036/INDEX(tun_RepScale,G1036)</x:f>
        <x:v>290.3368848566301</x:v>
      </x:c>
      <x:c r="AV1036" s="32" t="n">
        <x:f>AM1036*60/tun_SeasonSeconds</x:f>
        <x:v>0</x:v>
      </x:c>
    </x:row>
    <x:row r="1037">
      <x:c r="A1037" s="8" t="n">
        <x:f>A1036+1</x:f>
        <x:v>1034</x:v>
      </x:c>
      <x:c r="B1037" s="9" t="n">
        <x:f>A1037*tun_SeasonSeconds/60</x:f>
        <x:v>258.5</x:v>
      </x:c>
      <x:c r="C1037" s="9" t="n">
        <x:f>A1037/4</x:f>
        <x:v>258.5</x:v>
      </x:c>
      <x:c r="D1037" s="8" t="n">
        <x:f>IF(MOD(A1037,4)=0,1,0)</x:f>
        <x:v>0</x:v>
      </x:c>
      <x:c r="E1037" s="8" t="n">
        <x:f>IF(AND(F1036&lt;=9,AS1036&gt;=AR1036),1,0)</x:f>
        <x:v>0</x:v>
      </x:c>
      <x:c r="F1037" s="8" t="n">
        <x:f>MIN(10,F1036+E1037)</x:f>
        <x:v>10</x:v>
      </x:c>
      <x:c r="G1037" s="8" t="n">
        <x:f>MIN(F1037,9)+1</x:f>
        <x:v>10</x:v>
      </x:c>
      <x:c r="H1037" s="8" t="n">
        <x:f>IF(F1037&lt;=9,1,0)</x:f>
        <x:v>0</x:v>
      </x:c>
      <x:c r="I1037" s="9" t="n">
        <x:f>MIN(10,F1036+IF(AR1036&gt;0,MIN(1,AS1036/AR1036),1))</x:f>
        <x:v>10</x:v>
      </x:c>
      <x:c r="J1037" s="32" t="n">
        <x:f>INDEX(tun_FoodCap,G1037)*Arch_FoodCap*EXP(tun_CapsByProject*SUMPRODUCT((Cap_Point&lt;=I1037)*(Cap_Kind="Food")*Cap_Ln))</x:f>
        <x:v>18627.260449441455</x:v>
      </x:c>
      <x:c r="K1037" s="32" t="n">
        <x:f>J1037*MIN(1,tun_LeanBase*EXP(tun_CapsByProject*SUMPRODUCT((Cap_Point&lt;=I1037)*(Cap_Kind="Lean")*Cap_Ln)))</x:f>
        <x:v>18627.260449441455</x:v>
      </x:c>
      <x:c r="L1037" s="10" t="n">
        <x:f>INDEX(tun_HousingCap,G1037)*EXP(tun_CapsByProject*SUMPRODUCT((Cap_Point&lt;=I1037)*(Cap_Kind="Housing")*Cap_Ln))</x:f>
        <x:v>20528.974303173167</x:v>
      </x:c>
      <x:c r="M1037" s="10" t="n">
        <x:f>INDEX(tun_GroupCap,G1037)*tun_CohesionFactor*EXP(tun_CapsByProject*SUMPRODUCT((Cap_Point&lt;=I1037)*(Cap_Kind="Group")*Cap_Ln))</x:f>
        <x:v>1000000.000000001</x:v>
      </x:c>
      <x:c r="N1037" s="32" t="n">
        <x:f>MIN(J1037,L1037,M1037)</x:f>
        <x:v>18627.260449441455</x:v>
      </x:c>
      <x:c r="O1037" s="10" t="n">
        <x:f>AE1036*N1037</x:f>
        <x:v>167645.34404497308</x:v>
      </x:c>
      <x:c r="P1037" s="9" t="n">
        <x:f>MIN(1,(AB1036/(AE1036*IF(tun_GroupInCrowding=1,N1037,MIN(J1037,L1037))))^tun_CrowdingExp)</x:f>
        <x:v>0.4215841981292809</x:v>
      </x:c>
      <x:c r="Q1037" s="9" t="n">
        <x:f>IF(D1037=1,INDEX(tun_WinterMult,G1037),1)</x:f>
        <x:v>1</x:v>
      </x:c>
      <x:c r="R1037" s="9" t="n">
        <x:f>H1037*Z1036*tun_WomenShare*tun_BaseFertility*INDEX(tun_FertMult,G1037)*Arch_Fertility*(1-P1037)</x:f>
        <x:v>0</x:v>
      </x:c>
      <x:c r="S1037" s="9" t="n">
        <x:f>H1037*Y1036*INDEX(tun_MortChild,G1037)/4*Q1037</x:f>
        <x:v>0</x:v>
      </x:c>
      <x:c r="T1037" s="9" t="n">
        <x:f>H1037*Z1036*INDEX(tun_MortAdult,G1037)*Arch_AdultMort/4*Q1037</x:f>
        <x:v>0</x:v>
      </x:c>
      <x:c r="U1037" s="9" t="n">
        <x:f>H1037*AA1036*INDEX(tun_MortElder,G1037)/4*Q1037</x:f>
        <x:v>0</x:v>
      </x:c>
      <x:c r="V1037" s="9" t="n">
        <x:f>H1037*MAX(0,AB1036-O1037)*tun_OvercapLoss</x:f>
        <x:v>0</x:v>
      </x:c>
      <x:c r="W1037" s="9" t="n">
        <x:f>H1037*Y1036/(tun_ChildYears*4)</x:f>
        <x:v>0</x:v>
      </x:c>
      <x:c r="X1037" s="9" t="n">
        <x:f>H1037*Z1036/(tun_AdultYears*4)</x:f>
        <x:v>0</x:v>
      </x:c>
      <x:c r="Y1037" s="32" t="n">
        <x:f>Y1036+R1037-S1037-W1037-Y1036*V1037/AB1036</x:f>
        <x:v>40496.20709015643</x:v>
      </x:c>
      <x:c r="Z1037" s="32" t="n">
        <x:f>Z1036+W1037-X1037-T1037-Z1036*V1037/AB1036</x:f>
        <x:v>59141.61122890803</x:v>
      </x:c>
      <x:c r="AA1037" s="32" t="n">
        <x:f>AA1036+X1037-U1037-AA1036*V1037/AB1036</x:f>
        <x:v>45530.62410925061</x:v>
      </x:c>
      <x:c r="AB1037" s="10" t="n">
        <x:f>Y1037+Z1037+AA1037</x:f>
        <x:v>145168.44242831506</x:v>
      </x:c>
      <x:c r="AC1037" s="8" t="n">
        <x:f>IF(AND(tun_WinterTrigger=1,D1037=1,AB1036/AE1036&gt;=K1037),1,0)</x:f>
        <x:v>0</x:v>
      </x:c>
      <x:c r="AD1037" s="8" t="n">
        <x:f>H1037*IF(AND(OR(AB1036/AE1036&gt;=tun_FissionTrigger*N1037,AC1037=1),AB1036/AE1036*tun_DaughterShare&gt;=tun_MinDaughter),MAX(1,ROUND(AE1036*tun_FissionRate,0)),0)</x:f>
        <x:v>0</x:v>
      </x:c>
      <x:c r="AE1037" s="8" t="n">
        <x:f>IF(H1037=1,MAX(1,MIN(INDEX(tun_Smax,G1037),AE1036+AD1037)),AE1036)</x:f>
        <x:v>9</x:v>
      </x:c>
      <x:c r="AF1037" s="8" t="n">
        <x:f>MAX(0,AE1037-AE1036)</x:f>
        <x:v>0</x:v>
      </x:c>
      <x:c r="AG1037" s="9" t="str">
        <x:f>IF(AF1037&gt;0,B1037,"")</x:f>
      </x:c>
      <x:c r="AH1037" s="9" t="n">
        <x:f>IF(F1037&gt;=1,1,(1+tun_LowTiesShare*(AE1037-1))/AE1037)</x:f>
        <x:v>1</x:v>
      </x:c>
      <x:c r="AI1037" s="32" t="n">
        <x:f>(Z1037+tun_ElderCommons*INDEX(LM_Elder,G1037)*AA1037)*AH1037</x:f>
        <x:v>238215.0665857503</x:v>
      </x:c>
      <x:c r="AJ1037" s="32" t="n">
        <x:f>H1037*tun_CommonsCoef*AI1037^tun_CommonsExp*INDEX(LM_Commons,G1037)</x:f>
        <x:v>0</x:v>
      </x:c>
      <x:c r="AK1037" s="32" t="n">
        <x:f>H1037*tun_RoleScale*Arch_Roles*(AE1037*(INDEX(tun_ElderRolePerSett,G1037)*tun_OutElder*INDEX(LM_Elder,G1037)+INDEX(tun_ShamanPerSett,G1037)*tun_OutShaman)+Z1037*(INDEX(tun_PriestShare,G1037)*tun_OutPriest+INDEX(tun_ScribeShare,G1037)*tun_OutScribe*INDEX(LM_Scribe,G1037)+INDEX(tun_ScholarShare,G1037)*tun_OutScholar*INDEX(LM_Scholar,G1037)+INDEX(tun_ResearcherShare,G1037)*tun_OutResearcher*INDEX(LM_Researcher,G1037)))</x:f>
        <x:v>0</x:v>
      </x:c>
      <x:c r="AL1037" s="32" t="n">
        <x:f>H1037*tun_RoleScale*Arch_Roles*AE1037*INDEX(tun_MonasteryPerSett,G1037)*tun_OutMonastery*INDEX(LM_Monastery,G1037)</x:f>
        <x:v>0</x:v>
      </x:c>
      <x:c r="AM1037" s="32" t="n">
        <x:f>(AJ1037+AK1037+AL1037)/4*INDEX(LM_All,G1037)*INDEX(tun_Boon,G1037)*Arch_Insight</x:f>
        <x:v>0</x:v>
      </x:c>
      <x:c r="AN1037" s="32" t="n">
        <x:f>H1037*(tun_KHPerAdult*Z1037+tun_KHOfCommons*AJ1037/4*INDEX(LM_All,G1037))*tun_KHUsable*Arch_KH</x:f>
        <x:v>0</x:v>
      </x:c>
      <x:c r="AO1037" s="32" t="n">
        <x:f>MIN(AP1036+AN1037,AM1037*tun_KHMaxRatio)</x:f>
        <x:v>0</x:v>
      </x:c>
      <x:c r="AP1037" s="32" t="n">
        <x:f>AP1036+AN1037-AO1037</x:f>
        <x:v>0</x:v>
      </x:c>
      <x:c r="AQ1037" s="32" t="n">
        <x:f>AM1037+AO1037</x:f>
        <x:v>0</x:v>
      </x:c>
      <x:c r="AR1037" s="10" t="n">
        <x:f>IF(H1037=1,INDEX(tun_Req,G1037),0)</x:f>
        <x:v>0</x:v>
      </x:c>
      <x:c r="AS1037" s="32" t="n">
        <x:f>IF(H1037=1,IF(E1037=1,AS1036-AR1036,AS1036)+AQ1037,0)</x:f>
        <x:v>0</x:v>
      </x:c>
      <x:c r="AT1037" s="11" t="n">
        <x:f>IF(AR1037&gt;0,MIN(1,AS1037/AR1037),1)</x:f>
        <x:v>1</x:v>
      </x:c>
      <x:c r="AU1037" s="10" t="n">
        <x:f>AB1037/INDEX(tun_RepScale,G1037)</x:f>
        <x:v>290.3368848566301</x:v>
      </x:c>
      <x:c r="AV1037" s="32" t="n">
        <x:f>AM1037*60/tun_SeasonSeconds</x:f>
        <x:v>0</x:v>
      </x:c>
    </x:row>
    <x:row r="1038">
      <x:c r="A1038" s="8" t="n">
        <x:f>A1037+1</x:f>
        <x:v>1035</x:v>
      </x:c>
      <x:c r="B1038" s="9" t="n">
        <x:f>A1038*tun_SeasonSeconds/60</x:f>
        <x:v>258.75</x:v>
      </x:c>
      <x:c r="C1038" s="9" t="n">
        <x:f>A1038/4</x:f>
        <x:v>258.75</x:v>
      </x:c>
      <x:c r="D1038" s="8" t="n">
        <x:f>IF(MOD(A1038,4)=0,1,0)</x:f>
        <x:v>0</x:v>
      </x:c>
      <x:c r="E1038" s="8" t="n">
        <x:f>IF(AND(F1037&lt;=9,AS1037&gt;=AR1037),1,0)</x:f>
        <x:v>0</x:v>
      </x:c>
      <x:c r="F1038" s="8" t="n">
        <x:f>MIN(10,F1037+E1038)</x:f>
        <x:v>10</x:v>
      </x:c>
      <x:c r="G1038" s="8" t="n">
        <x:f>MIN(F1038,9)+1</x:f>
        <x:v>10</x:v>
      </x:c>
      <x:c r="H1038" s="8" t="n">
        <x:f>IF(F1038&lt;=9,1,0)</x:f>
        <x:v>0</x:v>
      </x:c>
      <x:c r="I1038" s="9" t="n">
        <x:f>MIN(10,F1037+IF(AR1037&gt;0,MIN(1,AS1037/AR1037),1))</x:f>
        <x:v>10</x:v>
      </x:c>
      <x:c r="J1038" s="32" t="n">
        <x:f>INDEX(tun_FoodCap,G1038)*Arch_FoodCap*EXP(tun_CapsByProject*SUMPRODUCT((Cap_Point&lt;=I1038)*(Cap_Kind="Food")*Cap_Ln))</x:f>
        <x:v>18627.260449441455</x:v>
      </x:c>
      <x:c r="K1038" s="32" t="n">
        <x:f>J1038*MIN(1,tun_LeanBase*EXP(tun_CapsByProject*SUMPRODUCT((Cap_Point&lt;=I1038)*(Cap_Kind="Lean")*Cap_Ln)))</x:f>
        <x:v>18627.260449441455</x:v>
      </x:c>
      <x:c r="L1038" s="10" t="n">
        <x:f>INDEX(tun_HousingCap,G1038)*EXP(tun_CapsByProject*SUMPRODUCT((Cap_Point&lt;=I1038)*(Cap_Kind="Housing")*Cap_Ln))</x:f>
        <x:v>20528.974303173167</x:v>
      </x:c>
      <x:c r="M1038" s="10" t="n">
        <x:f>INDEX(tun_GroupCap,G1038)*tun_CohesionFactor*EXP(tun_CapsByProject*SUMPRODUCT((Cap_Point&lt;=I1038)*(Cap_Kind="Group")*Cap_Ln))</x:f>
        <x:v>1000000.000000001</x:v>
      </x:c>
      <x:c r="N1038" s="32" t="n">
        <x:f>MIN(J1038,L1038,M1038)</x:f>
        <x:v>18627.260449441455</x:v>
      </x:c>
      <x:c r="O1038" s="10" t="n">
        <x:f>AE1037*N1038</x:f>
        <x:v>167645.34404497308</x:v>
      </x:c>
      <x:c r="P1038" s="9" t="n">
        <x:f>MIN(1,(AB1037/(AE1037*IF(tun_GroupInCrowding=1,N1038,MIN(J1038,L1038))))^tun_CrowdingExp)</x:f>
        <x:v>0.4215841981292809</x:v>
      </x:c>
      <x:c r="Q1038" s="9" t="n">
        <x:f>IF(D1038=1,INDEX(tun_WinterMult,G1038),1)</x:f>
        <x:v>1</x:v>
      </x:c>
      <x:c r="R1038" s="9" t="n">
        <x:f>H1038*Z1037*tun_WomenShare*tun_BaseFertility*INDEX(tun_FertMult,G1038)*Arch_Fertility*(1-P1038)</x:f>
        <x:v>0</x:v>
      </x:c>
      <x:c r="S1038" s="9" t="n">
        <x:f>H1038*Y1037*INDEX(tun_MortChild,G1038)/4*Q1038</x:f>
        <x:v>0</x:v>
      </x:c>
      <x:c r="T1038" s="9" t="n">
        <x:f>H1038*Z1037*INDEX(tun_MortAdult,G1038)*Arch_AdultMort/4*Q1038</x:f>
        <x:v>0</x:v>
      </x:c>
      <x:c r="U1038" s="9" t="n">
        <x:f>H1038*AA1037*INDEX(tun_MortElder,G1038)/4*Q1038</x:f>
        <x:v>0</x:v>
      </x:c>
      <x:c r="V1038" s="9" t="n">
        <x:f>H1038*MAX(0,AB1037-O1038)*tun_OvercapLoss</x:f>
        <x:v>0</x:v>
      </x:c>
      <x:c r="W1038" s="9" t="n">
        <x:f>H1038*Y1037/(tun_ChildYears*4)</x:f>
        <x:v>0</x:v>
      </x:c>
      <x:c r="X1038" s="9" t="n">
        <x:f>H1038*Z1037/(tun_AdultYears*4)</x:f>
        <x:v>0</x:v>
      </x:c>
      <x:c r="Y1038" s="32" t="n">
        <x:f>Y1037+R1038-S1038-W1038-Y1037*V1038/AB1037</x:f>
        <x:v>40496.20709015643</x:v>
      </x:c>
      <x:c r="Z1038" s="32" t="n">
        <x:f>Z1037+W1038-X1038-T1038-Z1037*V1038/AB1037</x:f>
        <x:v>59141.61122890803</x:v>
      </x:c>
      <x:c r="AA1038" s="32" t="n">
        <x:f>AA1037+X1038-U1038-AA1037*V1038/AB1037</x:f>
        <x:v>45530.62410925061</x:v>
      </x:c>
      <x:c r="AB1038" s="10" t="n">
        <x:f>Y1038+Z1038+AA1038</x:f>
        <x:v>145168.44242831506</x:v>
      </x:c>
      <x:c r="AC1038" s="8" t="n">
        <x:f>IF(AND(tun_WinterTrigger=1,D1038=1,AB1037/AE1037&gt;=K1038),1,0)</x:f>
        <x:v>0</x:v>
      </x:c>
      <x:c r="AD1038" s="8" t="n">
        <x:f>H1038*IF(AND(OR(AB1037/AE1037&gt;=tun_FissionTrigger*N1038,AC1038=1),AB1037/AE1037*tun_DaughterShare&gt;=tun_MinDaughter),MAX(1,ROUND(AE1037*tun_FissionRate,0)),0)</x:f>
        <x:v>0</x:v>
      </x:c>
      <x:c r="AE1038" s="8" t="n">
        <x:f>IF(H1038=1,MAX(1,MIN(INDEX(tun_Smax,G1038),AE1037+AD1038)),AE1037)</x:f>
        <x:v>9</x:v>
      </x:c>
      <x:c r="AF1038" s="8" t="n">
        <x:f>MAX(0,AE1038-AE1037)</x:f>
        <x:v>0</x:v>
      </x:c>
      <x:c r="AG1038" s="9" t="str">
        <x:f>IF(AF1038&gt;0,B1038,"")</x:f>
      </x:c>
      <x:c r="AH1038" s="9" t="n">
        <x:f>IF(F1038&gt;=1,1,(1+tun_LowTiesShare*(AE1038-1))/AE1038)</x:f>
        <x:v>1</x:v>
      </x:c>
      <x:c r="AI1038" s="32" t="n">
        <x:f>(Z1038+tun_ElderCommons*INDEX(LM_Elder,G1038)*AA1038)*AH1038</x:f>
        <x:v>238215.0665857503</x:v>
      </x:c>
      <x:c r="AJ1038" s="32" t="n">
        <x:f>H1038*tun_CommonsCoef*AI1038^tun_CommonsExp*INDEX(LM_Commons,G1038)</x:f>
        <x:v>0</x:v>
      </x:c>
      <x:c r="AK1038" s="32" t="n">
        <x:f>H1038*tun_RoleScale*Arch_Roles*(AE1038*(INDEX(tun_ElderRolePerSett,G1038)*tun_OutElder*INDEX(LM_Elder,G1038)+INDEX(tun_ShamanPerSett,G1038)*tun_OutShaman)+Z1038*(INDEX(tun_PriestShare,G1038)*tun_OutPriest+INDEX(tun_ScribeShare,G1038)*tun_OutScribe*INDEX(LM_Scribe,G1038)+INDEX(tun_ScholarShare,G1038)*tun_OutScholar*INDEX(LM_Scholar,G1038)+INDEX(tun_ResearcherShare,G1038)*tun_OutResearcher*INDEX(LM_Researcher,G1038)))</x:f>
        <x:v>0</x:v>
      </x:c>
      <x:c r="AL1038" s="32" t="n">
        <x:f>H1038*tun_RoleScale*Arch_Roles*AE1038*INDEX(tun_MonasteryPerSett,G1038)*tun_OutMonastery*INDEX(LM_Monastery,G1038)</x:f>
        <x:v>0</x:v>
      </x:c>
      <x:c r="AM1038" s="32" t="n">
        <x:f>(AJ1038+AK1038+AL1038)/4*INDEX(LM_All,G1038)*INDEX(tun_Boon,G1038)*Arch_Insight</x:f>
        <x:v>0</x:v>
      </x:c>
      <x:c r="AN1038" s="32" t="n">
        <x:f>H1038*(tun_KHPerAdult*Z1038+tun_KHOfCommons*AJ1038/4*INDEX(LM_All,G1038))*tun_KHUsable*Arch_KH</x:f>
        <x:v>0</x:v>
      </x:c>
      <x:c r="AO1038" s="32" t="n">
        <x:f>MIN(AP1037+AN1038,AM1038*tun_KHMaxRatio)</x:f>
        <x:v>0</x:v>
      </x:c>
      <x:c r="AP1038" s="32" t="n">
        <x:f>AP1037+AN1038-AO1038</x:f>
        <x:v>0</x:v>
      </x:c>
      <x:c r="AQ1038" s="32" t="n">
        <x:f>AM1038+AO1038</x:f>
        <x:v>0</x:v>
      </x:c>
      <x:c r="AR1038" s="10" t="n">
        <x:f>IF(H1038=1,INDEX(tun_Req,G1038),0)</x:f>
        <x:v>0</x:v>
      </x:c>
      <x:c r="AS1038" s="32" t="n">
        <x:f>IF(H1038=1,IF(E1038=1,AS1037-AR1037,AS1037)+AQ1038,0)</x:f>
        <x:v>0</x:v>
      </x:c>
      <x:c r="AT1038" s="11" t="n">
        <x:f>IF(AR1038&gt;0,MIN(1,AS1038/AR1038),1)</x:f>
        <x:v>1</x:v>
      </x:c>
      <x:c r="AU1038" s="10" t="n">
        <x:f>AB1038/INDEX(tun_RepScale,G1038)</x:f>
        <x:v>290.3368848566301</x:v>
      </x:c>
      <x:c r="AV1038" s="32" t="n">
        <x:f>AM1038*60/tun_SeasonSeconds</x:f>
        <x:v>0</x:v>
      </x:c>
    </x:row>
    <x:row r="1039">
      <x:c r="A1039" s="8" t="n">
        <x:f>A1038+1</x:f>
        <x:v>1036</x:v>
      </x:c>
      <x:c r="B1039" s="9" t="n">
        <x:f>A1039*tun_SeasonSeconds/60</x:f>
        <x:v>259</x:v>
      </x:c>
      <x:c r="C1039" s="9" t="n">
        <x:f>A1039/4</x:f>
        <x:v>259</x:v>
      </x:c>
      <x:c r="D1039" s="8" t="n">
        <x:f>IF(MOD(A1039,4)=0,1,0)</x:f>
        <x:v>1</x:v>
      </x:c>
      <x:c r="E1039" s="8" t="n">
        <x:f>IF(AND(F1038&lt;=9,AS1038&gt;=AR1038),1,0)</x:f>
        <x:v>0</x:v>
      </x:c>
      <x:c r="F1039" s="8" t="n">
        <x:f>MIN(10,F1038+E1039)</x:f>
        <x:v>10</x:v>
      </x:c>
      <x:c r="G1039" s="8" t="n">
        <x:f>MIN(F1039,9)+1</x:f>
        <x:v>10</x:v>
      </x:c>
      <x:c r="H1039" s="8" t="n">
        <x:f>IF(F1039&lt;=9,1,0)</x:f>
        <x:v>0</x:v>
      </x:c>
      <x:c r="I1039" s="9" t="n">
        <x:f>MIN(10,F1038+IF(AR1038&gt;0,MIN(1,AS1038/AR1038),1))</x:f>
        <x:v>10</x:v>
      </x:c>
      <x:c r="J1039" s="32" t="n">
        <x:f>INDEX(tun_FoodCap,G1039)*Arch_FoodCap*EXP(tun_CapsByProject*SUMPRODUCT((Cap_Point&lt;=I1039)*(Cap_Kind="Food")*Cap_Ln))</x:f>
        <x:v>18627.260449441455</x:v>
      </x:c>
      <x:c r="K1039" s="32" t="n">
        <x:f>J1039*MIN(1,tun_LeanBase*EXP(tun_CapsByProject*SUMPRODUCT((Cap_Point&lt;=I1039)*(Cap_Kind="Lean")*Cap_Ln)))</x:f>
        <x:v>18627.260449441455</x:v>
      </x:c>
      <x:c r="L1039" s="10" t="n">
        <x:f>INDEX(tun_HousingCap,G1039)*EXP(tun_CapsByProject*SUMPRODUCT((Cap_Point&lt;=I1039)*(Cap_Kind="Housing")*Cap_Ln))</x:f>
        <x:v>20528.974303173167</x:v>
      </x:c>
      <x:c r="M1039" s="10" t="n">
        <x:f>INDEX(tun_GroupCap,G1039)*tun_CohesionFactor*EXP(tun_CapsByProject*SUMPRODUCT((Cap_Point&lt;=I1039)*(Cap_Kind="Group")*Cap_Ln))</x:f>
        <x:v>1000000.000000001</x:v>
      </x:c>
      <x:c r="N1039" s="32" t="n">
        <x:f>MIN(J1039,L1039,M1039)</x:f>
        <x:v>18627.260449441455</x:v>
      </x:c>
      <x:c r="O1039" s="10" t="n">
        <x:f>AE1038*N1039</x:f>
        <x:v>167645.34404497308</x:v>
      </x:c>
      <x:c r="P1039" s="9" t="n">
        <x:f>MIN(1,(AB1038/(AE1038*IF(tun_GroupInCrowding=1,N1039,MIN(J1039,L1039))))^tun_CrowdingExp)</x:f>
        <x:v>0.4215841981292809</x:v>
      </x:c>
      <x:c r="Q1039" s="9" t="n">
        <x:f>IF(D1039=1,INDEX(tun_WinterMult,G1039),1)</x:f>
        <x:v>1.05</x:v>
      </x:c>
      <x:c r="R1039" s="9" t="n">
        <x:f>H1039*Z1038*tun_WomenShare*tun_BaseFertility*INDEX(tun_FertMult,G1039)*Arch_Fertility*(1-P1039)</x:f>
        <x:v>0</x:v>
      </x:c>
      <x:c r="S1039" s="9" t="n">
        <x:f>H1039*Y1038*INDEX(tun_MortChild,G1039)/4*Q1039</x:f>
        <x:v>0</x:v>
      </x:c>
      <x:c r="T1039" s="9" t="n">
        <x:f>H1039*Z1038*INDEX(tun_MortAdult,G1039)*Arch_AdultMort/4*Q1039</x:f>
        <x:v>0</x:v>
      </x:c>
      <x:c r="U1039" s="9" t="n">
        <x:f>H1039*AA1038*INDEX(tun_MortElder,G1039)/4*Q1039</x:f>
        <x:v>0</x:v>
      </x:c>
      <x:c r="V1039" s="9" t="n">
        <x:f>H1039*MAX(0,AB1038-O1039)*tun_OvercapLoss</x:f>
        <x:v>0</x:v>
      </x:c>
      <x:c r="W1039" s="9" t="n">
        <x:f>H1039*Y1038/(tun_ChildYears*4)</x:f>
        <x:v>0</x:v>
      </x:c>
      <x:c r="X1039" s="9" t="n">
        <x:f>H1039*Z1038/(tun_AdultYears*4)</x:f>
        <x:v>0</x:v>
      </x:c>
      <x:c r="Y1039" s="32" t="n">
        <x:f>Y1038+R1039-S1039-W1039-Y1038*V1039/AB1038</x:f>
        <x:v>40496.20709015643</x:v>
      </x:c>
      <x:c r="Z1039" s="32" t="n">
        <x:f>Z1038+W1039-X1039-T1039-Z1038*V1039/AB1038</x:f>
        <x:v>59141.61122890803</x:v>
      </x:c>
      <x:c r="AA1039" s="32" t="n">
        <x:f>AA1038+X1039-U1039-AA1038*V1039/AB1038</x:f>
        <x:v>45530.62410925061</x:v>
      </x:c>
      <x:c r="AB1039" s="10" t="n">
        <x:f>Y1039+Z1039+AA1039</x:f>
        <x:v>145168.44242831506</x:v>
      </x:c>
      <x:c r="AC1039" s="8" t="n">
        <x:f>IF(AND(tun_WinterTrigger=1,D1039=1,AB1038/AE1038&gt;=K1039),1,0)</x:f>
        <x:v>0</x:v>
      </x:c>
      <x:c r="AD1039" s="8" t="n">
        <x:f>H1039*IF(AND(OR(AB1038/AE1038&gt;=tun_FissionTrigger*N1039,AC1039=1),AB1038/AE1038*tun_DaughterShare&gt;=tun_MinDaughter),MAX(1,ROUND(AE1038*tun_FissionRate,0)),0)</x:f>
        <x:v>0</x:v>
      </x:c>
      <x:c r="AE1039" s="8" t="n">
        <x:f>IF(H1039=1,MAX(1,MIN(INDEX(tun_Smax,G1039),AE1038+AD1039)),AE1038)</x:f>
        <x:v>9</x:v>
      </x:c>
      <x:c r="AF1039" s="8" t="n">
        <x:f>MAX(0,AE1039-AE1038)</x:f>
        <x:v>0</x:v>
      </x:c>
      <x:c r="AG1039" s="9" t="str">
        <x:f>IF(AF1039&gt;0,B1039,"")</x:f>
      </x:c>
      <x:c r="AH1039" s="9" t="n">
        <x:f>IF(F1039&gt;=1,1,(1+tun_LowTiesShare*(AE1039-1))/AE1039)</x:f>
        <x:v>1</x:v>
      </x:c>
      <x:c r="AI1039" s="32" t="n">
        <x:f>(Z1039+tun_ElderCommons*INDEX(LM_Elder,G1039)*AA1039)*AH1039</x:f>
        <x:v>238215.0665857503</x:v>
      </x:c>
      <x:c r="AJ1039" s="32" t="n">
        <x:f>H1039*tun_CommonsCoef*AI1039^tun_CommonsExp*INDEX(LM_Commons,G1039)</x:f>
        <x:v>0</x:v>
      </x:c>
      <x:c r="AK1039" s="32" t="n">
        <x:f>H1039*tun_RoleScale*Arch_Roles*(AE1039*(INDEX(tun_ElderRolePerSett,G1039)*tun_OutElder*INDEX(LM_Elder,G1039)+INDEX(tun_ShamanPerSett,G1039)*tun_OutShaman)+Z1039*(INDEX(tun_PriestShare,G1039)*tun_OutPriest+INDEX(tun_ScribeShare,G1039)*tun_OutScribe*INDEX(LM_Scribe,G1039)+INDEX(tun_ScholarShare,G1039)*tun_OutScholar*INDEX(LM_Scholar,G1039)+INDEX(tun_ResearcherShare,G1039)*tun_OutResearcher*INDEX(LM_Researcher,G1039)))</x:f>
        <x:v>0</x:v>
      </x:c>
      <x:c r="AL1039" s="32" t="n">
        <x:f>H1039*tun_RoleScale*Arch_Roles*AE1039*INDEX(tun_MonasteryPerSett,G1039)*tun_OutMonastery*INDEX(LM_Monastery,G1039)</x:f>
        <x:v>0</x:v>
      </x:c>
      <x:c r="AM1039" s="32" t="n">
        <x:f>(AJ1039+AK1039+AL1039)/4*INDEX(LM_All,G1039)*INDEX(tun_Boon,G1039)*Arch_Insight</x:f>
        <x:v>0</x:v>
      </x:c>
      <x:c r="AN1039" s="32" t="n">
        <x:f>H1039*(tun_KHPerAdult*Z1039+tun_KHOfCommons*AJ1039/4*INDEX(LM_All,G1039))*tun_KHUsable*Arch_KH</x:f>
        <x:v>0</x:v>
      </x:c>
      <x:c r="AO1039" s="32" t="n">
        <x:f>MIN(AP1038+AN1039,AM1039*tun_KHMaxRatio)</x:f>
        <x:v>0</x:v>
      </x:c>
      <x:c r="AP1039" s="32" t="n">
        <x:f>AP1038+AN1039-AO1039</x:f>
        <x:v>0</x:v>
      </x:c>
      <x:c r="AQ1039" s="32" t="n">
        <x:f>AM1039+AO1039</x:f>
        <x:v>0</x:v>
      </x:c>
      <x:c r="AR1039" s="10" t="n">
        <x:f>IF(H1039=1,INDEX(tun_Req,G1039),0)</x:f>
        <x:v>0</x:v>
      </x:c>
      <x:c r="AS1039" s="32" t="n">
        <x:f>IF(H1039=1,IF(E1039=1,AS1038-AR1038,AS1038)+AQ1039,0)</x:f>
        <x:v>0</x:v>
      </x:c>
      <x:c r="AT1039" s="11" t="n">
        <x:f>IF(AR1039&gt;0,MIN(1,AS1039/AR1039),1)</x:f>
        <x:v>1</x:v>
      </x:c>
      <x:c r="AU1039" s="10" t="n">
        <x:f>AB1039/INDEX(tun_RepScale,G1039)</x:f>
        <x:v>290.3368848566301</x:v>
      </x:c>
      <x:c r="AV1039" s="32" t="n">
        <x:f>AM1039*60/tun_SeasonSeconds</x:f>
        <x:v>0</x:v>
      </x:c>
    </x:row>
    <x:row r="1040">
      <x:c r="A1040" s="8" t="n">
        <x:f>A1039+1</x:f>
        <x:v>1037</x:v>
      </x:c>
      <x:c r="B1040" s="9" t="n">
        <x:f>A1040*tun_SeasonSeconds/60</x:f>
        <x:v>259.25</x:v>
      </x:c>
      <x:c r="C1040" s="9" t="n">
        <x:f>A1040/4</x:f>
        <x:v>259.25</x:v>
      </x:c>
      <x:c r="D1040" s="8" t="n">
        <x:f>IF(MOD(A1040,4)=0,1,0)</x:f>
        <x:v>0</x:v>
      </x:c>
      <x:c r="E1040" s="8" t="n">
        <x:f>IF(AND(F1039&lt;=9,AS1039&gt;=AR1039),1,0)</x:f>
        <x:v>0</x:v>
      </x:c>
      <x:c r="F1040" s="8" t="n">
        <x:f>MIN(10,F1039+E1040)</x:f>
        <x:v>10</x:v>
      </x:c>
      <x:c r="G1040" s="8" t="n">
        <x:f>MIN(F1040,9)+1</x:f>
        <x:v>10</x:v>
      </x:c>
      <x:c r="H1040" s="8" t="n">
        <x:f>IF(F1040&lt;=9,1,0)</x:f>
        <x:v>0</x:v>
      </x:c>
      <x:c r="I1040" s="9" t="n">
        <x:f>MIN(10,F1039+IF(AR1039&gt;0,MIN(1,AS1039/AR1039),1))</x:f>
        <x:v>10</x:v>
      </x:c>
      <x:c r="J1040" s="32" t="n">
        <x:f>INDEX(tun_FoodCap,G1040)*Arch_FoodCap*EXP(tun_CapsByProject*SUMPRODUCT((Cap_Point&lt;=I1040)*(Cap_Kind="Food")*Cap_Ln))</x:f>
        <x:v>18627.260449441455</x:v>
      </x:c>
      <x:c r="K1040" s="32" t="n">
        <x:f>J1040*MIN(1,tun_LeanBase*EXP(tun_CapsByProject*SUMPRODUCT((Cap_Point&lt;=I1040)*(Cap_Kind="Lean")*Cap_Ln)))</x:f>
        <x:v>18627.260449441455</x:v>
      </x:c>
      <x:c r="L1040" s="10" t="n">
        <x:f>INDEX(tun_HousingCap,G1040)*EXP(tun_CapsByProject*SUMPRODUCT((Cap_Point&lt;=I1040)*(Cap_Kind="Housing")*Cap_Ln))</x:f>
        <x:v>20528.974303173167</x:v>
      </x:c>
      <x:c r="M1040" s="10" t="n">
        <x:f>INDEX(tun_GroupCap,G1040)*tun_CohesionFactor*EXP(tun_CapsByProject*SUMPRODUCT((Cap_Point&lt;=I1040)*(Cap_Kind="Group")*Cap_Ln))</x:f>
        <x:v>1000000.000000001</x:v>
      </x:c>
      <x:c r="N1040" s="32" t="n">
        <x:f>MIN(J1040,L1040,M1040)</x:f>
        <x:v>18627.260449441455</x:v>
      </x:c>
      <x:c r="O1040" s="10" t="n">
        <x:f>AE1039*N1040</x:f>
        <x:v>167645.34404497308</x:v>
      </x:c>
      <x:c r="P1040" s="9" t="n">
        <x:f>MIN(1,(AB1039/(AE1039*IF(tun_GroupInCrowding=1,N1040,MIN(J1040,L1040))))^tun_CrowdingExp)</x:f>
        <x:v>0.4215841981292809</x:v>
      </x:c>
      <x:c r="Q1040" s="9" t="n">
        <x:f>IF(D1040=1,INDEX(tun_WinterMult,G1040),1)</x:f>
        <x:v>1</x:v>
      </x:c>
      <x:c r="R1040" s="9" t="n">
        <x:f>H1040*Z1039*tun_WomenShare*tun_BaseFertility*INDEX(tun_FertMult,G1040)*Arch_Fertility*(1-P1040)</x:f>
        <x:v>0</x:v>
      </x:c>
      <x:c r="S1040" s="9" t="n">
        <x:f>H1040*Y1039*INDEX(tun_MortChild,G1040)/4*Q1040</x:f>
        <x:v>0</x:v>
      </x:c>
      <x:c r="T1040" s="9" t="n">
        <x:f>H1040*Z1039*INDEX(tun_MortAdult,G1040)*Arch_AdultMort/4*Q1040</x:f>
        <x:v>0</x:v>
      </x:c>
      <x:c r="U1040" s="9" t="n">
        <x:f>H1040*AA1039*INDEX(tun_MortElder,G1040)/4*Q1040</x:f>
        <x:v>0</x:v>
      </x:c>
      <x:c r="V1040" s="9" t="n">
        <x:f>H1040*MAX(0,AB1039-O1040)*tun_OvercapLoss</x:f>
        <x:v>0</x:v>
      </x:c>
      <x:c r="W1040" s="9" t="n">
        <x:f>H1040*Y1039/(tun_ChildYears*4)</x:f>
        <x:v>0</x:v>
      </x:c>
      <x:c r="X1040" s="9" t="n">
        <x:f>H1040*Z1039/(tun_AdultYears*4)</x:f>
        <x:v>0</x:v>
      </x:c>
      <x:c r="Y1040" s="32" t="n">
        <x:f>Y1039+R1040-S1040-W1040-Y1039*V1040/AB1039</x:f>
        <x:v>40496.20709015643</x:v>
      </x:c>
      <x:c r="Z1040" s="32" t="n">
        <x:f>Z1039+W1040-X1040-T1040-Z1039*V1040/AB1039</x:f>
        <x:v>59141.61122890803</x:v>
      </x:c>
      <x:c r="AA1040" s="32" t="n">
        <x:f>AA1039+X1040-U1040-AA1039*V1040/AB1039</x:f>
        <x:v>45530.62410925061</x:v>
      </x:c>
      <x:c r="AB1040" s="10" t="n">
        <x:f>Y1040+Z1040+AA1040</x:f>
        <x:v>145168.44242831506</x:v>
      </x:c>
      <x:c r="AC1040" s="8" t="n">
        <x:f>IF(AND(tun_WinterTrigger=1,D1040=1,AB1039/AE1039&gt;=K1040),1,0)</x:f>
        <x:v>0</x:v>
      </x:c>
      <x:c r="AD1040" s="8" t="n">
        <x:f>H1040*IF(AND(OR(AB1039/AE1039&gt;=tun_FissionTrigger*N1040,AC1040=1),AB1039/AE1039*tun_DaughterShare&gt;=tun_MinDaughter),MAX(1,ROUND(AE1039*tun_FissionRate,0)),0)</x:f>
        <x:v>0</x:v>
      </x:c>
      <x:c r="AE1040" s="8" t="n">
        <x:f>IF(H1040=1,MAX(1,MIN(INDEX(tun_Smax,G1040),AE1039+AD1040)),AE1039)</x:f>
        <x:v>9</x:v>
      </x:c>
      <x:c r="AF1040" s="8" t="n">
        <x:f>MAX(0,AE1040-AE1039)</x:f>
        <x:v>0</x:v>
      </x:c>
      <x:c r="AG1040" s="9" t="str">
        <x:f>IF(AF1040&gt;0,B1040,"")</x:f>
      </x:c>
      <x:c r="AH1040" s="9" t="n">
        <x:f>IF(F1040&gt;=1,1,(1+tun_LowTiesShare*(AE1040-1))/AE1040)</x:f>
        <x:v>1</x:v>
      </x:c>
      <x:c r="AI1040" s="32" t="n">
        <x:f>(Z1040+tun_ElderCommons*INDEX(LM_Elder,G1040)*AA1040)*AH1040</x:f>
        <x:v>238215.0665857503</x:v>
      </x:c>
      <x:c r="AJ1040" s="32" t="n">
        <x:f>H1040*tun_CommonsCoef*AI1040^tun_CommonsExp*INDEX(LM_Commons,G1040)</x:f>
        <x:v>0</x:v>
      </x:c>
      <x:c r="AK1040" s="32" t="n">
        <x:f>H1040*tun_RoleScale*Arch_Roles*(AE1040*(INDEX(tun_ElderRolePerSett,G1040)*tun_OutElder*INDEX(LM_Elder,G1040)+INDEX(tun_ShamanPerSett,G1040)*tun_OutShaman)+Z1040*(INDEX(tun_PriestShare,G1040)*tun_OutPriest+INDEX(tun_ScribeShare,G1040)*tun_OutScribe*INDEX(LM_Scribe,G1040)+INDEX(tun_ScholarShare,G1040)*tun_OutScholar*INDEX(LM_Scholar,G1040)+INDEX(tun_ResearcherShare,G1040)*tun_OutResearcher*INDEX(LM_Researcher,G1040)))</x:f>
        <x:v>0</x:v>
      </x:c>
      <x:c r="AL1040" s="32" t="n">
        <x:f>H1040*tun_RoleScale*Arch_Roles*AE1040*INDEX(tun_MonasteryPerSett,G1040)*tun_OutMonastery*INDEX(LM_Monastery,G1040)</x:f>
        <x:v>0</x:v>
      </x:c>
      <x:c r="AM1040" s="32" t="n">
        <x:f>(AJ1040+AK1040+AL1040)/4*INDEX(LM_All,G1040)*INDEX(tun_Boon,G1040)*Arch_Insight</x:f>
        <x:v>0</x:v>
      </x:c>
      <x:c r="AN1040" s="32" t="n">
        <x:f>H1040*(tun_KHPerAdult*Z1040+tun_KHOfCommons*AJ1040/4*INDEX(LM_All,G1040))*tun_KHUsable*Arch_KH</x:f>
        <x:v>0</x:v>
      </x:c>
      <x:c r="AO1040" s="32" t="n">
        <x:f>MIN(AP1039+AN1040,AM1040*tun_KHMaxRatio)</x:f>
        <x:v>0</x:v>
      </x:c>
      <x:c r="AP1040" s="32" t="n">
        <x:f>AP1039+AN1040-AO1040</x:f>
        <x:v>0</x:v>
      </x:c>
      <x:c r="AQ1040" s="32" t="n">
        <x:f>AM1040+AO1040</x:f>
        <x:v>0</x:v>
      </x:c>
      <x:c r="AR1040" s="10" t="n">
        <x:f>IF(H1040=1,INDEX(tun_Req,G1040),0)</x:f>
        <x:v>0</x:v>
      </x:c>
      <x:c r="AS1040" s="32" t="n">
        <x:f>IF(H1040=1,IF(E1040=1,AS1039-AR1039,AS1039)+AQ1040,0)</x:f>
        <x:v>0</x:v>
      </x:c>
      <x:c r="AT1040" s="11" t="n">
        <x:f>IF(AR1040&gt;0,MIN(1,AS1040/AR1040),1)</x:f>
        <x:v>1</x:v>
      </x:c>
      <x:c r="AU1040" s="10" t="n">
        <x:f>AB1040/INDEX(tun_RepScale,G1040)</x:f>
        <x:v>290.3368848566301</x:v>
      </x:c>
      <x:c r="AV1040" s="32" t="n">
        <x:f>AM1040*60/tun_SeasonSeconds</x:f>
        <x:v>0</x:v>
      </x:c>
    </x:row>
    <x:row r="1041">
      <x:c r="A1041" s="8" t="n">
        <x:f>A1040+1</x:f>
        <x:v>1038</x:v>
      </x:c>
      <x:c r="B1041" s="9" t="n">
        <x:f>A1041*tun_SeasonSeconds/60</x:f>
        <x:v>259.5</x:v>
      </x:c>
      <x:c r="C1041" s="9" t="n">
        <x:f>A1041/4</x:f>
        <x:v>259.5</x:v>
      </x:c>
      <x:c r="D1041" s="8" t="n">
        <x:f>IF(MOD(A1041,4)=0,1,0)</x:f>
        <x:v>0</x:v>
      </x:c>
      <x:c r="E1041" s="8" t="n">
        <x:f>IF(AND(F1040&lt;=9,AS1040&gt;=AR1040),1,0)</x:f>
        <x:v>0</x:v>
      </x:c>
      <x:c r="F1041" s="8" t="n">
        <x:f>MIN(10,F1040+E1041)</x:f>
        <x:v>10</x:v>
      </x:c>
      <x:c r="G1041" s="8" t="n">
        <x:f>MIN(F1041,9)+1</x:f>
        <x:v>10</x:v>
      </x:c>
      <x:c r="H1041" s="8" t="n">
        <x:f>IF(F1041&lt;=9,1,0)</x:f>
        <x:v>0</x:v>
      </x:c>
      <x:c r="I1041" s="9" t="n">
        <x:f>MIN(10,F1040+IF(AR1040&gt;0,MIN(1,AS1040/AR1040),1))</x:f>
        <x:v>10</x:v>
      </x:c>
      <x:c r="J1041" s="32" t="n">
        <x:f>INDEX(tun_FoodCap,G1041)*Arch_FoodCap*EXP(tun_CapsByProject*SUMPRODUCT((Cap_Point&lt;=I1041)*(Cap_Kind="Food")*Cap_Ln))</x:f>
        <x:v>18627.260449441455</x:v>
      </x:c>
      <x:c r="K1041" s="32" t="n">
        <x:f>J1041*MIN(1,tun_LeanBase*EXP(tun_CapsByProject*SUMPRODUCT((Cap_Point&lt;=I1041)*(Cap_Kind="Lean")*Cap_Ln)))</x:f>
        <x:v>18627.260449441455</x:v>
      </x:c>
      <x:c r="L1041" s="10" t="n">
        <x:f>INDEX(tun_HousingCap,G1041)*EXP(tun_CapsByProject*SUMPRODUCT((Cap_Point&lt;=I1041)*(Cap_Kind="Housing")*Cap_Ln))</x:f>
        <x:v>20528.974303173167</x:v>
      </x:c>
      <x:c r="M1041" s="10" t="n">
        <x:f>INDEX(tun_GroupCap,G1041)*tun_CohesionFactor*EXP(tun_CapsByProject*SUMPRODUCT((Cap_Point&lt;=I1041)*(Cap_Kind="Group")*Cap_Ln))</x:f>
        <x:v>1000000.000000001</x:v>
      </x:c>
      <x:c r="N1041" s="32" t="n">
        <x:f>MIN(J1041,L1041,M1041)</x:f>
        <x:v>18627.260449441455</x:v>
      </x:c>
      <x:c r="O1041" s="10" t="n">
        <x:f>AE1040*N1041</x:f>
        <x:v>167645.34404497308</x:v>
      </x:c>
      <x:c r="P1041" s="9" t="n">
        <x:f>MIN(1,(AB1040/(AE1040*IF(tun_GroupInCrowding=1,N1041,MIN(J1041,L1041))))^tun_CrowdingExp)</x:f>
        <x:v>0.4215841981292809</x:v>
      </x:c>
      <x:c r="Q1041" s="9" t="n">
        <x:f>IF(D1041=1,INDEX(tun_WinterMult,G1041),1)</x:f>
        <x:v>1</x:v>
      </x:c>
      <x:c r="R1041" s="9" t="n">
        <x:f>H1041*Z1040*tun_WomenShare*tun_BaseFertility*INDEX(tun_FertMult,G1041)*Arch_Fertility*(1-P1041)</x:f>
        <x:v>0</x:v>
      </x:c>
      <x:c r="S1041" s="9" t="n">
        <x:f>H1041*Y1040*INDEX(tun_MortChild,G1041)/4*Q1041</x:f>
        <x:v>0</x:v>
      </x:c>
      <x:c r="T1041" s="9" t="n">
        <x:f>H1041*Z1040*INDEX(tun_MortAdult,G1041)*Arch_AdultMort/4*Q1041</x:f>
        <x:v>0</x:v>
      </x:c>
      <x:c r="U1041" s="9" t="n">
        <x:f>H1041*AA1040*INDEX(tun_MortElder,G1041)/4*Q1041</x:f>
        <x:v>0</x:v>
      </x:c>
      <x:c r="V1041" s="9" t="n">
        <x:f>H1041*MAX(0,AB1040-O1041)*tun_OvercapLoss</x:f>
        <x:v>0</x:v>
      </x:c>
      <x:c r="W1041" s="9" t="n">
        <x:f>H1041*Y1040/(tun_ChildYears*4)</x:f>
        <x:v>0</x:v>
      </x:c>
      <x:c r="X1041" s="9" t="n">
        <x:f>H1041*Z1040/(tun_AdultYears*4)</x:f>
        <x:v>0</x:v>
      </x:c>
      <x:c r="Y1041" s="32" t="n">
        <x:f>Y1040+R1041-S1041-W1041-Y1040*V1041/AB1040</x:f>
        <x:v>40496.20709015643</x:v>
      </x:c>
      <x:c r="Z1041" s="32" t="n">
        <x:f>Z1040+W1041-X1041-T1041-Z1040*V1041/AB1040</x:f>
        <x:v>59141.61122890803</x:v>
      </x:c>
      <x:c r="AA1041" s="32" t="n">
        <x:f>AA1040+X1041-U1041-AA1040*V1041/AB1040</x:f>
        <x:v>45530.62410925061</x:v>
      </x:c>
      <x:c r="AB1041" s="10" t="n">
        <x:f>Y1041+Z1041+AA1041</x:f>
        <x:v>145168.44242831506</x:v>
      </x:c>
      <x:c r="AC1041" s="8" t="n">
        <x:f>IF(AND(tun_WinterTrigger=1,D1041=1,AB1040/AE1040&gt;=K1041),1,0)</x:f>
        <x:v>0</x:v>
      </x:c>
      <x:c r="AD1041" s="8" t="n">
        <x:f>H1041*IF(AND(OR(AB1040/AE1040&gt;=tun_FissionTrigger*N1041,AC1041=1),AB1040/AE1040*tun_DaughterShare&gt;=tun_MinDaughter),MAX(1,ROUND(AE1040*tun_FissionRate,0)),0)</x:f>
        <x:v>0</x:v>
      </x:c>
      <x:c r="AE1041" s="8" t="n">
        <x:f>IF(H1041=1,MAX(1,MIN(INDEX(tun_Smax,G1041),AE1040+AD1041)),AE1040)</x:f>
        <x:v>9</x:v>
      </x:c>
      <x:c r="AF1041" s="8" t="n">
        <x:f>MAX(0,AE1041-AE1040)</x:f>
        <x:v>0</x:v>
      </x:c>
      <x:c r="AG1041" s="9" t="str">
        <x:f>IF(AF1041&gt;0,B1041,"")</x:f>
      </x:c>
      <x:c r="AH1041" s="9" t="n">
        <x:f>IF(F1041&gt;=1,1,(1+tun_LowTiesShare*(AE1041-1))/AE1041)</x:f>
        <x:v>1</x:v>
      </x:c>
      <x:c r="AI1041" s="32" t="n">
        <x:f>(Z1041+tun_ElderCommons*INDEX(LM_Elder,G1041)*AA1041)*AH1041</x:f>
        <x:v>238215.0665857503</x:v>
      </x:c>
      <x:c r="AJ1041" s="32" t="n">
        <x:f>H1041*tun_CommonsCoef*AI1041^tun_CommonsExp*INDEX(LM_Commons,G1041)</x:f>
        <x:v>0</x:v>
      </x:c>
      <x:c r="AK1041" s="32" t="n">
        <x:f>H1041*tun_RoleScale*Arch_Roles*(AE1041*(INDEX(tun_ElderRolePerSett,G1041)*tun_OutElder*INDEX(LM_Elder,G1041)+INDEX(tun_ShamanPerSett,G1041)*tun_OutShaman)+Z1041*(INDEX(tun_PriestShare,G1041)*tun_OutPriest+INDEX(tun_ScribeShare,G1041)*tun_OutScribe*INDEX(LM_Scribe,G1041)+INDEX(tun_ScholarShare,G1041)*tun_OutScholar*INDEX(LM_Scholar,G1041)+INDEX(tun_ResearcherShare,G1041)*tun_OutResearcher*INDEX(LM_Researcher,G1041)))</x:f>
        <x:v>0</x:v>
      </x:c>
      <x:c r="AL1041" s="32" t="n">
        <x:f>H1041*tun_RoleScale*Arch_Roles*AE1041*INDEX(tun_MonasteryPerSett,G1041)*tun_OutMonastery*INDEX(LM_Monastery,G1041)</x:f>
        <x:v>0</x:v>
      </x:c>
      <x:c r="AM1041" s="32" t="n">
        <x:f>(AJ1041+AK1041+AL1041)/4*INDEX(LM_All,G1041)*INDEX(tun_Boon,G1041)*Arch_Insight</x:f>
        <x:v>0</x:v>
      </x:c>
      <x:c r="AN1041" s="32" t="n">
        <x:f>H1041*(tun_KHPerAdult*Z1041+tun_KHOfCommons*AJ1041/4*INDEX(LM_All,G1041))*tun_KHUsable*Arch_KH</x:f>
        <x:v>0</x:v>
      </x:c>
      <x:c r="AO1041" s="32" t="n">
        <x:f>MIN(AP1040+AN1041,AM1041*tun_KHMaxRatio)</x:f>
        <x:v>0</x:v>
      </x:c>
      <x:c r="AP1041" s="32" t="n">
        <x:f>AP1040+AN1041-AO1041</x:f>
        <x:v>0</x:v>
      </x:c>
      <x:c r="AQ1041" s="32" t="n">
        <x:f>AM1041+AO1041</x:f>
        <x:v>0</x:v>
      </x:c>
      <x:c r="AR1041" s="10" t="n">
        <x:f>IF(H1041=1,INDEX(tun_Req,G1041),0)</x:f>
        <x:v>0</x:v>
      </x:c>
      <x:c r="AS1041" s="32" t="n">
        <x:f>IF(H1041=1,IF(E1041=1,AS1040-AR1040,AS1040)+AQ1041,0)</x:f>
        <x:v>0</x:v>
      </x:c>
      <x:c r="AT1041" s="11" t="n">
        <x:f>IF(AR1041&gt;0,MIN(1,AS1041/AR1041),1)</x:f>
        <x:v>1</x:v>
      </x:c>
      <x:c r="AU1041" s="10" t="n">
        <x:f>AB1041/INDEX(tun_RepScale,G1041)</x:f>
        <x:v>290.3368848566301</x:v>
      </x:c>
      <x:c r="AV1041" s="32" t="n">
        <x:f>AM1041*60/tun_SeasonSeconds</x:f>
        <x:v>0</x:v>
      </x:c>
    </x:row>
    <x:row r="1042">
      <x:c r="A1042" s="8" t="n">
        <x:f>A1041+1</x:f>
        <x:v>1039</x:v>
      </x:c>
      <x:c r="B1042" s="9" t="n">
        <x:f>A1042*tun_SeasonSeconds/60</x:f>
        <x:v>259.75</x:v>
      </x:c>
      <x:c r="C1042" s="9" t="n">
        <x:f>A1042/4</x:f>
        <x:v>259.75</x:v>
      </x:c>
      <x:c r="D1042" s="8" t="n">
        <x:f>IF(MOD(A1042,4)=0,1,0)</x:f>
        <x:v>0</x:v>
      </x:c>
      <x:c r="E1042" s="8" t="n">
        <x:f>IF(AND(F1041&lt;=9,AS1041&gt;=AR1041),1,0)</x:f>
        <x:v>0</x:v>
      </x:c>
      <x:c r="F1042" s="8" t="n">
        <x:f>MIN(10,F1041+E1042)</x:f>
        <x:v>10</x:v>
      </x:c>
      <x:c r="G1042" s="8" t="n">
        <x:f>MIN(F1042,9)+1</x:f>
        <x:v>10</x:v>
      </x:c>
      <x:c r="H1042" s="8" t="n">
        <x:f>IF(F1042&lt;=9,1,0)</x:f>
        <x:v>0</x:v>
      </x:c>
      <x:c r="I1042" s="9" t="n">
        <x:f>MIN(10,F1041+IF(AR1041&gt;0,MIN(1,AS1041/AR1041),1))</x:f>
        <x:v>10</x:v>
      </x:c>
      <x:c r="J1042" s="32" t="n">
        <x:f>INDEX(tun_FoodCap,G1042)*Arch_FoodCap*EXP(tun_CapsByProject*SUMPRODUCT((Cap_Point&lt;=I1042)*(Cap_Kind="Food")*Cap_Ln))</x:f>
        <x:v>18627.260449441455</x:v>
      </x:c>
      <x:c r="K1042" s="32" t="n">
        <x:f>J1042*MIN(1,tun_LeanBase*EXP(tun_CapsByProject*SUMPRODUCT((Cap_Point&lt;=I1042)*(Cap_Kind="Lean")*Cap_Ln)))</x:f>
        <x:v>18627.260449441455</x:v>
      </x:c>
      <x:c r="L1042" s="10" t="n">
        <x:f>INDEX(tun_HousingCap,G1042)*EXP(tun_CapsByProject*SUMPRODUCT((Cap_Point&lt;=I1042)*(Cap_Kind="Housing")*Cap_Ln))</x:f>
        <x:v>20528.974303173167</x:v>
      </x:c>
      <x:c r="M1042" s="10" t="n">
        <x:f>INDEX(tun_GroupCap,G1042)*tun_CohesionFactor*EXP(tun_CapsByProject*SUMPRODUCT((Cap_Point&lt;=I1042)*(Cap_Kind="Group")*Cap_Ln))</x:f>
        <x:v>1000000.000000001</x:v>
      </x:c>
      <x:c r="N1042" s="32" t="n">
        <x:f>MIN(J1042,L1042,M1042)</x:f>
        <x:v>18627.260449441455</x:v>
      </x:c>
      <x:c r="O1042" s="10" t="n">
        <x:f>AE1041*N1042</x:f>
        <x:v>167645.34404497308</x:v>
      </x:c>
      <x:c r="P1042" s="9" t="n">
        <x:f>MIN(1,(AB1041/(AE1041*IF(tun_GroupInCrowding=1,N1042,MIN(J1042,L1042))))^tun_CrowdingExp)</x:f>
        <x:v>0.4215841981292809</x:v>
      </x:c>
      <x:c r="Q1042" s="9" t="n">
        <x:f>IF(D1042=1,INDEX(tun_WinterMult,G1042),1)</x:f>
        <x:v>1</x:v>
      </x:c>
      <x:c r="R1042" s="9" t="n">
        <x:f>H1042*Z1041*tun_WomenShare*tun_BaseFertility*INDEX(tun_FertMult,G1042)*Arch_Fertility*(1-P1042)</x:f>
        <x:v>0</x:v>
      </x:c>
      <x:c r="S1042" s="9" t="n">
        <x:f>H1042*Y1041*INDEX(tun_MortChild,G1042)/4*Q1042</x:f>
        <x:v>0</x:v>
      </x:c>
      <x:c r="T1042" s="9" t="n">
        <x:f>H1042*Z1041*INDEX(tun_MortAdult,G1042)*Arch_AdultMort/4*Q1042</x:f>
        <x:v>0</x:v>
      </x:c>
      <x:c r="U1042" s="9" t="n">
        <x:f>H1042*AA1041*INDEX(tun_MortElder,G1042)/4*Q1042</x:f>
        <x:v>0</x:v>
      </x:c>
      <x:c r="V1042" s="9" t="n">
        <x:f>H1042*MAX(0,AB1041-O1042)*tun_OvercapLoss</x:f>
        <x:v>0</x:v>
      </x:c>
      <x:c r="W1042" s="9" t="n">
        <x:f>H1042*Y1041/(tun_ChildYears*4)</x:f>
        <x:v>0</x:v>
      </x:c>
      <x:c r="X1042" s="9" t="n">
        <x:f>H1042*Z1041/(tun_AdultYears*4)</x:f>
        <x:v>0</x:v>
      </x:c>
      <x:c r="Y1042" s="32" t="n">
        <x:f>Y1041+R1042-S1042-W1042-Y1041*V1042/AB1041</x:f>
        <x:v>40496.20709015643</x:v>
      </x:c>
      <x:c r="Z1042" s="32" t="n">
        <x:f>Z1041+W1042-X1042-T1042-Z1041*V1042/AB1041</x:f>
        <x:v>59141.61122890803</x:v>
      </x:c>
      <x:c r="AA1042" s="32" t="n">
        <x:f>AA1041+X1042-U1042-AA1041*V1042/AB1041</x:f>
        <x:v>45530.62410925061</x:v>
      </x:c>
      <x:c r="AB1042" s="10" t="n">
        <x:f>Y1042+Z1042+AA1042</x:f>
        <x:v>145168.44242831506</x:v>
      </x:c>
      <x:c r="AC1042" s="8" t="n">
        <x:f>IF(AND(tun_WinterTrigger=1,D1042=1,AB1041/AE1041&gt;=K1042),1,0)</x:f>
        <x:v>0</x:v>
      </x:c>
      <x:c r="AD1042" s="8" t="n">
        <x:f>H1042*IF(AND(OR(AB1041/AE1041&gt;=tun_FissionTrigger*N1042,AC1042=1),AB1041/AE1041*tun_DaughterShare&gt;=tun_MinDaughter),MAX(1,ROUND(AE1041*tun_FissionRate,0)),0)</x:f>
        <x:v>0</x:v>
      </x:c>
      <x:c r="AE1042" s="8" t="n">
        <x:f>IF(H1042=1,MAX(1,MIN(INDEX(tun_Smax,G1042),AE1041+AD1042)),AE1041)</x:f>
        <x:v>9</x:v>
      </x:c>
      <x:c r="AF1042" s="8" t="n">
        <x:f>MAX(0,AE1042-AE1041)</x:f>
        <x:v>0</x:v>
      </x:c>
      <x:c r="AG1042" s="9" t="str">
        <x:f>IF(AF1042&gt;0,B1042,"")</x:f>
      </x:c>
      <x:c r="AH1042" s="9" t="n">
        <x:f>IF(F1042&gt;=1,1,(1+tun_LowTiesShare*(AE1042-1))/AE1042)</x:f>
        <x:v>1</x:v>
      </x:c>
      <x:c r="AI1042" s="32" t="n">
        <x:f>(Z1042+tun_ElderCommons*INDEX(LM_Elder,G1042)*AA1042)*AH1042</x:f>
        <x:v>238215.0665857503</x:v>
      </x:c>
      <x:c r="AJ1042" s="32" t="n">
        <x:f>H1042*tun_CommonsCoef*AI1042^tun_CommonsExp*INDEX(LM_Commons,G1042)</x:f>
        <x:v>0</x:v>
      </x:c>
      <x:c r="AK1042" s="32" t="n">
        <x:f>H1042*tun_RoleScale*Arch_Roles*(AE1042*(INDEX(tun_ElderRolePerSett,G1042)*tun_OutElder*INDEX(LM_Elder,G1042)+INDEX(tun_ShamanPerSett,G1042)*tun_OutShaman)+Z1042*(INDEX(tun_PriestShare,G1042)*tun_OutPriest+INDEX(tun_ScribeShare,G1042)*tun_OutScribe*INDEX(LM_Scribe,G1042)+INDEX(tun_ScholarShare,G1042)*tun_OutScholar*INDEX(LM_Scholar,G1042)+INDEX(tun_ResearcherShare,G1042)*tun_OutResearcher*INDEX(LM_Researcher,G1042)))</x:f>
        <x:v>0</x:v>
      </x:c>
      <x:c r="AL1042" s="32" t="n">
        <x:f>H1042*tun_RoleScale*Arch_Roles*AE1042*INDEX(tun_MonasteryPerSett,G1042)*tun_OutMonastery*INDEX(LM_Monastery,G1042)</x:f>
        <x:v>0</x:v>
      </x:c>
      <x:c r="AM1042" s="32" t="n">
        <x:f>(AJ1042+AK1042+AL1042)/4*INDEX(LM_All,G1042)*INDEX(tun_Boon,G1042)*Arch_Insight</x:f>
        <x:v>0</x:v>
      </x:c>
      <x:c r="AN1042" s="32" t="n">
        <x:f>H1042*(tun_KHPerAdult*Z1042+tun_KHOfCommons*AJ1042/4*INDEX(LM_All,G1042))*tun_KHUsable*Arch_KH</x:f>
        <x:v>0</x:v>
      </x:c>
      <x:c r="AO1042" s="32" t="n">
        <x:f>MIN(AP1041+AN1042,AM1042*tun_KHMaxRatio)</x:f>
        <x:v>0</x:v>
      </x:c>
      <x:c r="AP1042" s="32" t="n">
        <x:f>AP1041+AN1042-AO1042</x:f>
        <x:v>0</x:v>
      </x:c>
      <x:c r="AQ1042" s="32" t="n">
        <x:f>AM1042+AO1042</x:f>
        <x:v>0</x:v>
      </x:c>
      <x:c r="AR1042" s="10" t="n">
        <x:f>IF(H1042=1,INDEX(tun_Req,G1042),0)</x:f>
        <x:v>0</x:v>
      </x:c>
      <x:c r="AS1042" s="32" t="n">
        <x:f>IF(H1042=1,IF(E1042=1,AS1041-AR1041,AS1041)+AQ1042,0)</x:f>
        <x:v>0</x:v>
      </x:c>
      <x:c r="AT1042" s="11" t="n">
        <x:f>IF(AR1042&gt;0,MIN(1,AS1042/AR1042),1)</x:f>
        <x:v>1</x:v>
      </x:c>
      <x:c r="AU1042" s="10" t="n">
        <x:f>AB1042/INDEX(tun_RepScale,G1042)</x:f>
        <x:v>290.3368848566301</x:v>
      </x:c>
      <x:c r="AV1042" s="32" t="n">
        <x:f>AM1042*60/tun_SeasonSeconds</x:f>
        <x:v>0</x:v>
      </x:c>
    </x:row>
    <x:row r="1043">
      <x:c r="A1043" s="8" t="n">
        <x:f>A1042+1</x:f>
        <x:v>1040</x:v>
      </x:c>
      <x:c r="B1043" s="9" t="n">
        <x:f>A1043*tun_SeasonSeconds/60</x:f>
        <x:v>260</x:v>
      </x:c>
      <x:c r="C1043" s="9" t="n">
        <x:f>A1043/4</x:f>
        <x:v>260</x:v>
      </x:c>
      <x:c r="D1043" s="8" t="n">
        <x:f>IF(MOD(A1043,4)=0,1,0)</x:f>
        <x:v>1</x:v>
      </x:c>
      <x:c r="E1043" s="8" t="n">
        <x:f>IF(AND(F1042&lt;=9,AS1042&gt;=AR1042),1,0)</x:f>
        <x:v>0</x:v>
      </x:c>
      <x:c r="F1043" s="8" t="n">
        <x:f>MIN(10,F1042+E1043)</x:f>
        <x:v>10</x:v>
      </x:c>
      <x:c r="G1043" s="8" t="n">
        <x:f>MIN(F1043,9)+1</x:f>
        <x:v>10</x:v>
      </x:c>
      <x:c r="H1043" s="8" t="n">
        <x:f>IF(F1043&lt;=9,1,0)</x:f>
        <x:v>0</x:v>
      </x:c>
      <x:c r="I1043" s="9" t="n">
        <x:f>MIN(10,F1042+IF(AR1042&gt;0,MIN(1,AS1042/AR1042),1))</x:f>
        <x:v>10</x:v>
      </x:c>
      <x:c r="J1043" s="32" t="n">
        <x:f>INDEX(tun_FoodCap,G1043)*Arch_FoodCap*EXP(tun_CapsByProject*SUMPRODUCT((Cap_Point&lt;=I1043)*(Cap_Kind="Food")*Cap_Ln))</x:f>
        <x:v>18627.260449441455</x:v>
      </x:c>
      <x:c r="K1043" s="32" t="n">
        <x:f>J1043*MIN(1,tun_LeanBase*EXP(tun_CapsByProject*SUMPRODUCT((Cap_Point&lt;=I1043)*(Cap_Kind="Lean")*Cap_Ln)))</x:f>
        <x:v>18627.260449441455</x:v>
      </x:c>
      <x:c r="L1043" s="10" t="n">
        <x:f>INDEX(tun_HousingCap,G1043)*EXP(tun_CapsByProject*SUMPRODUCT((Cap_Point&lt;=I1043)*(Cap_Kind="Housing")*Cap_Ln))</x:f>
        <x:v>20528.974303173167</x:v>
      </x:c>
      <x:c r="M1043" s="10" t="n">
        <x:f>INDEX(tun_GroupCap,G1043)*tun_CohesionFactor*EXP(tun_CapsByProject*SUMPRODUCT((Cap_Point&lt;=I1043)*(Cap_Kind="Group")*Cap_Ln))</x:f>
        <x:v>1000000.000000001</x:v>
      </x:c>
      <x:c r="N1043" s="32" t="n">
        <x:f>MIN(J1043,L1043,M1043)</x:f>
        <x:v>18627.260449441455</x:v>
      </x:c>
      <x:c r="O1043" s="10" t="n">
        <x:f>AE1042*N1043</x:f>
        <x:v>167645.34404497308</x:v>
      </x:c>
      <x:c r="P1043" s="9" t="n">
        <x:f>MIN(1,(AB1042/(AE1042*IF(tun_GroupInCrowding=1,N1043,MIN(J1043,L1043))))^tun_CrowdingExp)</x:f>
        <x:v>0.4215841981292809</x:v>
      </x:c>
      <x:c r="Q1043" s="9" t="n">
        <x:f>IF(D1043=1,INDEX(tun_WinterMult,G1043),1)</x:f>
        <x:v>1.05</x:v>
      </x:c>
      <x:c r="R1043" s="9" t="n">
        <x:f>H1043*Z1042*tun_WomenShare*tun_BaseFertility*INDEX(tun_FertMult,G1043)*Arch_Fertility*(1-P1043)</x:f>
        <x:v>0</x:v>
      </x:c>
      <x:c r="S1043" s="9" t="n">
        <x:f>H1043*Y1042*INDEX(tun_MortChild,G1043)/4*Q1043</x:f>
        <x:v>0</x:v>
      </x:c>
      <x:c r="T1043" s="9" t="n">
        <x:f>H1043*Z1042*INDEX(tun_MortAdult,G1043)*Arch_AdultMort/4*Q1043</x:f>
        <x:v>0</x:v>
      </x:c>
      <x:c r="U1043" s="9" t="n">
        <x:f>H1043*AA1042*INDEX(tun_MortElder,G1043)/4*Q1043</x:f>
        <x:v>0</x:v>
      </x:c>
      <x:c r="V1043" s="9" t="n">
        <x:f>H1043*MAX(0,AB1042-O1043)*tun_OvercapLoss</x:f>
        <x:v>0</x:v>
      </x:c>
      <x:c r="W1043" s="9" t="n">
        <x:f>H1043*Y1042/(tun_ChildYears*4)</x:f>
        <x:v>0</x:v>
      </x:c>
      <x:c r="X1043" s="9" t="n">
        <x:f>H1043*Z1042/(tun_AdultYears*4)</x:f>
        <x:v>0</x:v>
      </x:c>
      <x:c r="Y1043" s="32" t="n">
        <x:f>Y1042+R1043-S1043-W1043-Y1042*V1043/AB1042</x:f>
        <x:v>40496.20709015643</x:v>
      </x:c>
      <x:c r="Z1043" s="32" t="n">
        <x:f>Z1042+W1043-X1043-T1043-Z1042*V1043/AB1042</x:f>
        <x:v>59141.61122890803</x:v>
      </x:c>
      <x:c r="AA1043" s="32" t="n">
        <x:f>AA1042+X1043-U1043-AA1042*V1043/AB1042</x:f>
        <x:v>45530.62410925061</x:v>
      </x:c>
      <x:c r="AB1043" s="10" t="n">
        <x:f>Y1043+Z1043+AA1043</x:f>
        <x:v>145168.44242831506</x:v>
      </x:c>
      <x:c r="AC1043" s="8" t="n">
        <x:f>IF(AND(tun_WinterTrigger=1,D1043=1,AB1042/AE1042&gt;=K1043),1,0)</x:f>
        <x:v>0</x:v>
      </x:c>
      <x:c r="AD1043" s="8" t="n">
        <x:f>H1043*IF(AND(OR(AB1042/AE1042&gt;=tun_FissionTrigger*N1043,AC1043=1),AB1042/AE1042*tun_DaughterShare&gt;=tun_MinDaughter),MAX(1,ROUND(AE1042*tun_FissionRate,0)),0)</x:f>
        <x:v>0</x:v>
      </x:c>
      <x:c r="AE1043" s="8" t="n">
        <x:f>IF(H1043=1,MAX(1,MIN(INDEX(tun_Smax,G1043),AE1042+AD1043)),AE1042)</x:f>
        <x:v>9</x:v>
      </x:c>
      <x:c r="AF1043" s="8" t="n">
        <x:f>MAX(0,AE1043-AE1042)</x:f>
        <x:v>0</x:v>
      </x:c>
      <x:c r="AG1043" s="9" t="str">
        <x:f>IF(AF1043&gt;0,B1043,"")</x:f>
      </x:c>
      <x:c r="AH1043" s="9" t="n">
        <x:f>IF(F1043&gt;=1,1,(1+tun_LowTiesShare*(AE1043-1))/AE1043)</x:f>
        <x:v>1</x:v>
      </x:c>
      <x:c r="AI1043" s="32" t="n">
        <x:f>(Z1043+tun_ElderCommons*INDEX(LM_Elder,G1043)*AA1043)*AH1043</x:f>
        <x:v>238215.0665857503</x:v>
      </x:c>
      <x:c r="AJ1043" s="32" t="n">
        <x:f>H1043*tun_CommonsCoef*AI1043^tun_CommonsExp*INDEX(LM_Commons,G1043)</x:f>
        <x:v>0</x:v>
      </x:c>
      <x:c r="AK1043" s="32" t="n">
        <x:f>H1043*tun_RoleScale*Arch_Roles*(AE1043*(INDEX(tun_ElderRolePerSett,G1043)*tun_OutElder*INDEX(LM_Elder,G1043)+INDEX(tun_ShamanPerSett,G1043)*tun_OutShaman)+Z1043*(INDEX(tun_PriestShare,G1043)*tun_OutPriest+INDEX(tun_ScribeShare,G1043)*tun_OutScribe*INDEX(LM_Scribe,G1043)+INDEX(tun_ScholarShare,G1043)*tun_OutScholar*INDEX(LM_Scholar,G1043)+INDEX(tun_ResearcherShare,G1043)*tun_OutResearcher*INDEX(LM_Researcher,G1043)))</x:f>
        <x:v>0</x:v>
      </x:c>
      <x:c r="AL1043" s="32" t="n">
        <x:f>H1043*tun_RoleScale*Arch_Roles*AE1043*INDEX(tun_MonasteryPerSett,G1043)*tun_OutMonastery*INDEX(LM_Monastery,G1043)</x:f>
        <x:v>0</x:v>
      </x:c>
      <x:c r="AM1043" s="32" t="n">
        <x:f>(AJ1043+AK1043+AL1043)/4*INDEX(LM_All,G1043)*INDEX(tun_Boon,G1043)*Arch_Insight</x:f>
        <x:v>0</x:v>
      </x:c>
      <x:c r="AN1043" s="32" t="n">
        <x:f>H1043*(tun_KHPerAdult*Z1043+tun_KHOfCommons*AJ1043/4*INDEX(LM_All,G1043))*tun_KHUsable*Arch_KH</x:f>
        <x:v>0</x:v>
      </x:c>
      <x:c r="AO1043" s="32" t="n">
        <x:f>MIN(AP1042+AN1043,AM1043*tun_KHMaxRatio)</x:f>
        <x:v>0</x:v>
      </x:c>
      <x:c r="AP1043" s="32" t="n">
        <x:f>AP1042+AN1043-AO1043</x:f>
        <x:v>0</x:v>
      </x:c>
      <x:c r="AQ1043" s="32" t="n">
        <x:f>AM1043+AO1043</x:f>
        <x:v>0</x:v>
      </x:c>
      <x:c r="AR1043" s="10" t="n">
        <x:f>IF(H1043=1,INDEX(tun_Req,G1043),0)</x:f>
        <x:v>0</x:v>
      </x:c>
      <x:c r="AS1043" s="32" t="n">
        <x:f>IF(H1043=1,IF(E1043=1,AS1042-AR1042,AS1042)+AQ1043,0)</x:f>
        <x:v>0</x:v>
      </x:c>
      <x:c r="AT1043" s="11" t="n">
        <x:f>IF(AR1043&gt;0,MIN(1,AS1043/AR1043),1)</x:f>
        <x:v>1</x:v>
      </x:c>
      <x:c r="AU1043" s="10" t="n">
        <x:f>AB1043/INDEX(tun_RepScale,G1043)</x:f>
        <x:v>290.3368848566301</x:v>
      </x:c>
      <x:c r="AV1043" s="32" t="n">
        <x:f>AM1043*60/tun_SeasonSeconds</x:f>
        <x:v>0</x:v>
      </x:c>
    </x:row>
    <x:row r="1044">
      <x:c r="A1044" s="8" t="n">
        <x:f>A1043+1</x:f>
        <x:v>1041</x:v>
      </x:c>
      <x:c r="B1044" s="9" t="n">
        <x:f>A1044*tun_SeasonSeconds/60</x:f>
        <x:v>260.25</x:v>
      </x:c>
      <x:c r="C1044" s="9" t="n">
        <x:f>A1044/4</x:f>
        <x:v>260.25</x:v>
      </x:c>
      <x:c r="D1044" s="8" t="n">
        <x:f>IF(MOD(A1044,4)=0,1,0)</x:f>
        <x:v>0</x:v>
      </x:c>
      <x:c r="E1044" s="8" t="n">
        <x:f>IF(AND(F1043&lt;=9,AS1043&gt;=AR1043),1,0)</x:f>
        <x:v>0</x:v>
      </x:c>
      <x:c r="F1044" s="8" t="n">
        <x:f>MIN(10,F1043+E1044)</x:f>
        <x:v>10</x:v>
      </x:c>
      <x:c r="G1044" s="8" t="n">
        <x:f>MIN(F1044,9)+1</x:f>
        <x:v>10</x:v>
      </x:c>
      <x:c r="H1044" s="8" t="n">
        <x:f>IF(F1044&lt;=9,1,0)</x:f>
        <x:v>0</x:v>
      </x:c>
      <x:c r="I1044" s="9" t="n">
        <x:f>MIN(10,F1043+IF(AR1043&gt;0,MIN(1,AS1043/AR1043),1))</x:f>
        <x:v>10</x:v>
      </x:c>
      <x:c r="J1044" s="32" t="n">
        <x:f>INDEX(tun_FoodCap,G1044)*Arch_FoodCap*EXP(tun_CapsByProject*SUMPRODUCT((Cap_Point&lt;=I1044)*(Cap_Kind="Food")*Cap_Ln))</x:f>
        <x:v>18627.260449441455</x:v>
      </x:c>
      <x:c r="K1044" s="32" t="n">
        <x:f>J1044*MIN(1,tun_LeanBase*EXP(tun_CapsByProject*SUMPRODUCT((Cap_Point&lt;=I1044)*(Cap_Kind="Lean")*Cap_Ln)))</x:f>
        <x:v>18627.260449441455</x:v>
      </x:c>
      <x:c r="L1044" s="10" t="n">
        <x:f>INDEX(tun_HousingCap,G1044)*EXP(tun_CapsByProject*SUMPRODUCT((Cap_Point&lt;=I1044)*(Cap_Kind="Housing")*Cap_Ln))</x:f>
        <x:v>20528.974303173167</x:v>
      </x:c>
      <x:c r="M1044" s="10" t="n">
        <x:f>INDEX(tun_GroupCap,G1044)*tun_CohesionFactor*EXP(tun_CapsByProject*SUMPRODUCT((Cap_Point&lt;=I1044)*(Cap_Kind="Group")*Cap_Ln))</x:f>
        <x:v>1000000.000000001</x:v>
      </x:c>
      <x:c r="N1044" s="32" t="n">
        <x:f>MIN(J1044,L1044,M1044)</x:f>
        <x:v>18627.260449441455</x:v>
      </x:c>
      <x:c r="O1044" s="10" t="n">
        <x:f>AE1043*N1044</x:f>
        <x:v>167645.34404497308</x:v>
      </x:c>
      <x:c r="P1044" s="9" t="n">
        <x:f>MIN(1,(AB1043/(AE1043*IF(tun_GroupInCrowding=1,N1044,MIN(J1044,L1044))))^tun_CrowdingExp)</x:f>
        <x:v>0.4215841981292809</x:v>
      </x:c>
      <x:c r="Q1044" s="9" t="n">
        <x:f>IF(D1044=1,INDEX(tun_WinterMult,G1044),1)</x:f>
        <x:v>1</x:v>
      </x:c>
      <x:c r="R1044" s="9" t="n">
        <x:f>H1044*Z1043*tun_WomenShare*tun_BaseFertility*INDEX(tun_FertMult,G1044)*Arch_Fertility*(1-P1044)</x:f>
        <x:v>0</x:v>
      </x:c>
      <x:c r="S1044" s="9" t="n">
        <x:f>H1044*Y1043*INDEX(tun_MortChild,G1044)/4*Q1044</x:f>
        <x:v>0</x:v>
      </x:c>
      <x:c r="T1044" s="9" t="n">
        <x:f>H1044*Z1043*INDEX(tun_MortAdult,G1044)*Arch_AdultMort/4*Q1044</x:f>
        <x:v>0</x:v>
      </x:c>
      <x:c r="U1044" s="9" t="n">
        <x:f>H1044*AA1043*INDEX(tun_MortElder,G1044)/4*Q1044</x:f>
        <x:v>0</x:v>
      </x:c>
      <x:c r="V1044" s="9" t="n">
        <x:f>H1044*MAX(0,AB1043-O1044)*tun_OvercapLoss</x:f>
        <x:v>0</x:v>
      </x:c>
      <x:c r="W1044" s="9" t="n">
        <x:f>H1044*Y1043/(tun_ChildYears*4)</x:f>
        <x:v>0</x:v>
      </x:c>
      <x:c r="X1044" s="9" t="n">
        <x:f>H1044*Z1043/(tun_AdultYears*4)</x:f>
        <x:v>0</x:v>
      </x:c>
      <x:c r="Y1044" s="32" t="n">
        <x:f>Y1043+R1044-S1044-W1044-Y1043*V1044/AB1043</x:f>
        <x:v>40496.20709015643</x:v>
      </x:c>
      <x:c r="Z1044" s="32" t="n">
        <x:f>Z1043+W1044-X1044-T1044-Z1043*V1044/AB1043</x:f>
        <x:v>59141.61122890803</x:v>
      </x:c>
      <x:c r="AA1044" s="32" t="n">
        <x:f>AA1043+X1044-U1044-AA1043*V1044/AB1043</x:f>
        <x:v>45530.62410925061</x:v>
      </x:c>
      <x:c r="AB1044" s="10" t="n">
        <x:f>Y1044+Z1044+AA1044</x:f>
        <x:v>145168.44242831506</x:v>
      </x:c>
      <x:c r="AC1044" s="8" t="n">
        <x:f>IF(AND(tun_WinterTrigger=1,D1044=1,AB1043/AE1043&gt;=K1044),1,0)</x:f>
        <x:v>0</x:v>
      </x:c>
      <x:c r="AD1044" s="8" t="n">
        <x:f>H1044*IF(AND(OR(AB1043/AE1043&gt;=tun_FissionTrigger*N1044,AC1044=1),AB1043/AE1043*tun_DaughterShare&gt;=tun_MinDaughter),MAX(1,ROUND(AE1043*tun_FissionRate,0)),0)</x:f>
        <x:v>0</x:v>
      </x:c>
      <x:c r="AE1044" s="8" t="n">
        <x:f>IF(H1044=1,MAX(1,MIN(INDEX(tun_Smax,G1044),AE1043+AD1044)),AE1043)</x:f>
        <x:v>9</x:v>
      </x:c>
      <x:c r="AF1044" s="8" t="n">
        <x:f>MAX(0,AE1044-AE1043)</x:f>
        <x:v>0</x:v>
      </x:c>
      <x:c r="AG1044" s="9" t="str">
        <x:f>IF(AF1044&gt;0,B1044,"")</x:f>
      </x:c>
      <x:c r="AH1044" s="9" t="n">
        <x:f>IF(F1044&gt;=1,1,(1+tun_LowTiesShare*(AE1044-1))/AE1044)</x:f>
        <x:v>1</x:v>
      </x:c>
      <x:c r="AI1044" s="32" t="n">
        <x:f>(Z1044+tun_ElderCommons*INDEX(LM_Elder,G1044)*AA1044)*AH1044</x:f>
        <x:v>238215.0665857503</x:v>
      </x:c>
      <x:c r="AJ1044" s="32" t="n">
        <x:f>H1044*tun_CommonsCoef*AI1044^tun_CommonsExp*INDEX(LM_Commons,G1044)</x:f>
        <x:v>0</x:v>
      </x:c>
      <x:c r="AK1044" s="32" t="n">
        <x:f>H1044*tun_RoleScale*Arch_Roles*(AE1044*(INDEX(tun_ElderRolePerSett,G1044)*tun_OutElder*INDEX(LM_Elder,G1044)+INDEX(tun_ShamanPerSett,G1044)*tun_OutShaman)+Z1044*(INDEX(tun_PriestShare,G1044)*tun_OutPriest+INDEX(tun_ScribeShare,G1044)*tun_OutScribe*INDEX(LM_Scribe,G1044)+INDEX(tun_ScholarShare,G1044)*tun_OutScholar*INDEX(LM_Scholar,G1044)+INDEX(tun_ResearcherShare,G1044)*tun_OutResearcher*INDEX(LM_Researcher,G1044)))</x:f>
        <x:v>0</x:v>
      </x:c>
      <x:c r="AL1044" s="32" t="n">
        <x:f>H1044*tun_RoleScale*Arch_Roles*AE1044*INDEX(tun_MonasteryPerSett,G1044)*tun_OutMonastery*INDEX(LM_Monastery,G1044)</x:f>
        <x:v>0</x:v>
      </x:c>
      <x:c r="AM1044" s="32" t="n">
        <x:f>(AJ1044+AK1044+AL1044)/4*INDEX(LM_All,G1044)*INDEX(tun_Boon,G1044)*Arch_Insight</x:f>
        <x:v>0</x:v>
      </x:c>
      <x:c r="AN1044" s="32" t="n">
        <x:f>H1044*(tun_KHPerAdult*Z1044+tun_KHOfCommons*AJ1044/4*INDEX(LM_All,G1044))*tun_KHUsable*Arch_KH</x:f>
        <x:v>0</x:v>
      </x:c>
      <x:c r="AO1044" s="32" t="n">
        <x:f>MIN(AP1043+AN1044,AM1044*tun_KHMaxRatio)</x:f>
        <x:v>0</x:v>
      </x:c>
      <x:c r="AP1044" s="32" t="n">
        <x:f>AP1043+AN1044-AO1044</x:f>
        <x:v>0</x:v>
      </x:c>
      <x:c r="AQ1044" s="32" t="n">
        <x:f>AM1044+AO1044</x:f>
        <x:v>0</x:v>
      </x:c>
      <x:c r="AR1044" s="10" t="n">
        <x:f>IF(H1044=1,INDEX(tun_Req,G1044),0)</x:f>
        <x:v>0</x:v>
      </x:c>
      <x:c r="AS1044" s="32" t="n">
        <x:f>IF(H1044=1,IF(E1044=1,AS1043-AR1043,AS1043)+AQ1044,0)</x:f>
        <x:v>0</x:v>
      </x:c>
      <x:c r="AT1044" s="11" t="n">
        <x:f>IF(AR1044&gt;0,MIN(1,AS1044/AR1044),1)</x:f>
        <x:v>1</x:v>
      </x:c>
      <x:c r="AU1044" s="10" t="n">
        <x:f>AB1044/INDEX(tun_RepScale,G1044)</x:f>
        <x:v>290.3368848566301</x:v>
      </x:c>
      <x:c r="AV1044" s="32" t="n">
        <x:f>AM1044*60/tun_SeasonSeconds</x:f>
        <x:v>0</x:v>
      </x:c>
    </x:row>
    <x:row r="1045">
      <x:c r="A1045" s="8" t="n">
        <x:f>A1044+1</x:f>
        <x:v>1042</x:v>
      </x:c>
      <x:c r="B1045" s="9" t="n">
        <x:f>A1045*tun_SeasonSeconds/60</x:f>
        <x:v>260.5</x:v>
      </x:c>
      <x:c r="C1045" s="9" t="n">
        <x:f>A1045/4</x:f>
        <x:v>260.5</x:v>
      </x:c>
      <x:c r="D1045" s="8" t="n">
        <x:f>IF(MOD(A1045,4)=0,1,0)</x:f>
        <x:v>0</x:v>
      </x:c>
      <x:c r="E1045" s="8" t="n">
        <x:f>IF(AND(F1044&lt;=9,AS1044&gt;=AR1044),1,0)</x:f>
        <x:v>0</x:v>
      </x:c>
      <x:c r="F1045" s="8" t="n">
        <x:f>MIN(10,F1044+E1045)</x:f>
        <x:v>10</x:v>
      </x:c>
      <x:c r="G1045" s="8" t="n">
        <x:f>MIN(F1045,9)+1</x:f>
        <x:v>10</x:v>
      </x:c>
      <x:c r="H1045" s="8" t="n">
        <x:f>IF(F1045&lt;=9,1,0)</x:f>
        <x:v>0</x:v>
      </x:c>
      <x:c r="I1045" s="9" t="n">
        <x:f>MIN(10,F1044+IF(AR1044&gt;0,MIN(1,AS1044/AR1044),1))</x:f>
        <x:v>10</x:v>
      </x:c>
      <x:c r="J1045" s="32" t="n">
        <x:f>INDEX(tun_FoodCap,G1045)*Arch_FoodCap*EXP(tun_CapsByProject*SUMPRODUCT((Cap_Point&lt;=I1045)*(Cap_Kind="Food")*Cap_Ln))</x:f>
        <x:v>18627.260449441455</x:v>
      </x:c>
      <x:c r="K1045" s="32" t="n">
        <x:f>J1045*MIN(1,tun_LeanBase*EXP(tun_CapsByProject*SUMPRODUCT((Cap_Point&lt;=I1045)*(Cap_Kind="Lean")*Cap_Ln)))</x:f>
        <x:v>18627.260449441455</x:v>
      </x:c>
      <x:c r="L1045" s="10" t="n">
        <x:f>INDEX(tun_HousingCap,G1045)*EXP(tun_CapsByProject*SUMPRODUCT((Cap_Point&lt;=I1045)*(Cap_Kind="Housing")*Cap_Ln))</x:f>
        <x:v>20528.974303173167</x:v>
      </x:c>
      <x:c r="M1045" s="10" t="n">
        <x:f>INDEX(tun_GroupCap,G1045)*tun_CohesionFactor*EXP(tun_CapsByProject*SUMPRODUCT((Cap_Point&lt;=I1045)*(Cap_Kind="Group")*Cap_Ln))</x:f>
        <x:v>1000000.000000001</x:v>
      </x:c>
      <x:c r="N1045" s="32" t="n">
        <x:f>MIN(J1045,L1045,M1045)</x:f>
        <x:v>18627.260449441455</x:v>
      </x:c>
      <x:c r="O1045" s="10" t="n">
        <x:f>AE1044*N1045</x:f>
        <x:v>167645.34404497308</x:v>
      </x:c>
      <x:c r="P1045" s="9" t="n">
        <x:f>MIN(1,(AB1044/(AE1044*IF(tun_GroupInCrowding=1,N1045,MIN(J1045,L1045))))^tun_CrowdingExp)</x:f>
        <x:v>0.4215841981292809</x:v>
      </x:c>
      <x:c r="Q1045" s="9" t="n">
        <x:f>IF(D1045=1,INDEX(tun_WinterMult,G1045),1)</x:f>
        <x:v>1</x:v>
      </x:c>
      <x:c r="R1045" s="9" t="n">
        <x:f>H1045*Z1044*tun_WomenShare*tun_BaseFertility*INDEX(tun_FertMult,G1045)*Arch_Fertility*(1-P1045)</x:f>
        <x:v>0</x:v>
      </x:c>
      <x:c r="S1045" s="9" t="n">
        <x:f>H1045*Y1044*INDEX(tun_MortChild,G1045)/4*Q1045</x:f>
        <x:v>0</x:v>
      </x:c>
      <x:c r="T1045" s="9" t="n">
        <x:f>H1045*Z1044*INDEX(tun_MortAdult,G1045)*Arch_AdultMort/4*Q1045</x:f>
        <x:v>0</x:v>
      </x:c>
      <x:c r="U1045" s="9" t="n">
        <x:f>H1045*AA1044*INDEX(tun_MortElder,G1045)/4*Q1045</x:f>
        <x:v>0</x:v>
      </x:c>
      <x:c r="V1045" s="9" t="n">
        <x:f>H1045*MAX(0,AB1044-O1045)*tun_OvercapLoss</x:f>
        <x:v>0</x:v>
      </x:c>
      <x:c r="W1045" s="9" t="n">
        <x:f>H1045*Y1044/(tun_ChildYears*4)</x:f>
        <x:v>0</x:v>
      </x:c>
      <x:c r="X1045" s="9" t="n">
        <x:f>H1045*Z1044/(tun_AdultYears*4)</x:f>
        <x:v>0</x:v>
      </x:c>
      <x:c r="Y1045" s="32" t="n">
        <x:f>Y1044+R1045-S1045-W1045-Y1044*V1045/AB1044</x:f>
        <x:v>40496.20709015643</x:v>
      </x:c>
      <x:c r="Z1045" s="32" t="n">
        <x:f>Z1044+W1045-X1045-T1045-Z1044*V1045/AB1044</x:f>
        <x:v>59141.61122890803</x:v>
      </x:c>
      <x:c r="AA1045" s="32" t="n">
        <x:f>AA1044+X1045-U1045-AA1044*V1045/AB1044</x:f>
        <x:v>45530.62410925061</x:v>
      </x:c>
      <x:c r="AB1045" s="10" t="n">
        <x:f>Y1045+Z1045+AA1045</x:f>
        <x:v>145168.44242831506</x:v>
      </x:c>
      <x:c r="AC1045" s="8" t="n">
        <x:f>IF(AND(tun_WinterTrigger=1,D1045=1,AB1044/AE1044&gt;=K1045),1,0)</x:f>
        <x:v>0</x:v>
      </x:c>
      <x:c r="AD1045" s="8" t="n">
        <x:f>H1045*IF(AND(OR(AB1044/AE1044&gt;=tun_FissionTrigger*N1045,AC1045=1),AB1044/AE1044*tun_DaughterShare&gt;=tun_MinDaughter),MAX(1,ROUND(AE1044*tun_FissionRate,0)),0)</x:f>
        <x:v>0</x:v>
      </x:c>
      <x:c r="AE1045" s="8" t="n">
        <x:f>IF(H1045=1,MAX(1,MIN(INDEX(tun_Smax,G1045),AE1044+AD1045)),AE1044)</x:f>
        <x:v>9</x:v>
      </x:c>
      <x:c r="AF1045" s="8" t="n">
        <x:f>MAX(0,AE1045-AE1044)</x:f>
        <x:v>0</x:v>
      </x:c>
      <x:c r="AG1045" s="9" t="str">
        <x:f>IF(AF1045&gt;0,B1045,"")</x:f>
      </x:c>
      <x:c r="AH1045" s="9" t="n">
        <x:f>IF(F1045&gt;=1,1,(1+tun_LowTiesShare*(AE1045-1))/AE1045)</x:f>
        <x:v>1</x:v>
      </x:c>
      <x:c r="AI1045" s="32" t="n">
        <x:f>(Z1045+tun_ElderCommons*INDEX(LM_Elder,G1045)*AA1045)*AH1045</x:f>
        <x:v>238215.0665857503</x:v>
      </x:c>
      <x:c r="AJ1045" s="32" t="n">
        <x:f>H1045*tun_CommonsCoef*AI1045^tun_CommonsExp*INDEX(LM_Commons,G1045)</x:f>
        <x:v>0</x:v>
      </x:c>
      <x:c r="AK1045" s="32" t="n">
        <x:f>H1045*tun_RoleScale*Arch_Roles*(AE1045*(INDEX(tun_ElderRolePerSett,G1045)*tun_OutElder*INDEX(LM_Elder,G1045)+INDEX(tun_ShamanPerSett,G1045)*tun_OutShaman)+Z1045*(INDEX(tun_PriestShare,G1045)*tun_OutPriest+INDEX(tun_ScribeShare,G1045)*tun_OutScribe*INDEX(LM_Scribe,G1045)+INDEX(tun_ScholarShare,G1045)*tun_OutScholar*INDEX(LM_Scholar,G1045)+INDEX(tun_ResearcherShare,G1045)*tun_OutResearcher*INDEX(LM_Researcher,G1045)))</x:f>
        <x:v>0</x:v>
      </x:c>
      <x:c r="AL1045" s="32" t="n">
        <x:f>H1045*tun_RoleScale*Arch_Roles*AE1045*INDEX(tun_MonasteryPerSett,G1045)*tun_OutMonastery*INDEX(LM_Monastery,G1045)</x:f>
        <x:v>0</x:v>
      </x:c>
      <x:c r="AM1045" s="32" t="n">
        <x:f>(AJ1045+AK1045+AL1045)/4*INDEX(LM_All,G1045)*INDEX(tun_Boon,G1045)*Arch_Insight</x:f>
        <x:v>0</x:v>
      </x:c>
      <x:c r="AN1045" s="32" t="n">
        <x:f>H1045*(tun_KHPerAdult*Z1045+tun_KHOfCommons*AJ1045/4*INDEX(LM_All,G1045))*tun_KHUsable*Arch_KH</x:f>
        <x:v>0</x:v>
      </x:c>
      <x:c r="AO1045" s="32" t="n">
        <x:f>MIN(AP1044+AN1045,AM1045*tun_KHMaxRatio)</x:f>
        <x:v>0</x:v>
      </x:c>
      <x:c r="AP1045" s="32" t="n">
        <x:f>AP1044+AN1045-AO1045</x:f>
        <x:v>0</x:v>
      </x:c>
      <x:c r="AQ1045" s="32" t="n">
        <x:f>AM1045+AO1045</x:f>
        <x:v>0</x:v>
      </x:c>
      <x:c r="AR1045" s="10" t="n">
        <x:f>IF(H1045=1,INDEX(tun_Req,G1045),0)</x:f>
        <x:v>0</x:v>
      </x:c>
      <x:c r="AS1045" s="32" t="n">
        <x:f>IF(H1045=1,IF(E1045=1,AS1044-AR1044,AS1044)+AQ1045,0)</x:f>
        <x:v>0</x:v>
      </x:c>
      <x:c r="AT1045" s="11" t="n">
        <x:f>IF(AR1045&gt;0,MIN(1,AS1045/AR1045),1)</x:f>
        <x:v>1</x:v>
      </x:c>
      <x:c r="AU1045" s="10" t="n">
        <x:f>AB1045/INDEX(tun_RepScale,G1045)</x:f>
        <x:v>290.3368848566301</x:v>
      </x:c>
      <x:c r="AV1045" s="32" t="n">
        <x:f>AM1045*60/tun_SeasonSeconds</x:f>
        <x:v>0</x:v>
      </x:c>
    </x:row>
    <x:row r="1046">
      <x:c r="A1046" s="8" t="n">
        <x:f>A1045+1</x:f>
        <x:v>1043</x:v>
      </x:c>
      <x:c r="B1046" s="9" t="n">
        <x:f>A1046*tun_SeasonSeconds/60</x:f>
        <x:v>260.75</x:v>
      </x:c>
      <x:c r="C1046" s="9" t="n">
        <x:f>A1046/4</x:f>
        <x:v>260.75</x:v>
      </x:c>
      <x:c r="D1046" s="8" t="n">
        <x:f>IF(MOD(A1046,4)=0,1,0)</x:f>
        <x:v>0</x:v>
      </x:c>
      <x:c r="E1046" s="8" t="n">
        <x:f>IF(AND(F1045&lt;=9,AS1045&gt;=AR1045),1,0)</x:f>
        <x:v>0</x:v>
      </x:c>
      <x:c r="F1046" s="8" t="n">
        <x:f>MIN(10,F1045+E1046)</x:f>
        <x:v>10</x:v>
      </x:c>
      <x:c r="G1046" s="8" t="n">
        <x:f>MIN(F1046,9)+1</x:f>
        <x:v>10</x:v>
      </x:c>
      <x:c r="H1046" s="8" t="n">
        <x:f>IF(F1046&lt;=9,1,0)</x:f>
        <x:v>0</x:v>
      </x:c>
      <x:c r="I1046" s="9" t="n">
        <x:f>MIN(10,F1045+IF(AR1045&gt;0,MIN(1,AS1045/AR1045),1))</x:f>
        <x:v>10</x:v>
      </x:c>
      <x:c r="J1046" s="32" t="n">
        <x:f>INDEX(tun_FoodCap,G1046)*Arch_FoodCap*EXP(tun_CapsByProject*SUMPRODUCT((Cap_Point&lt;=I1046)*(Cap_Kind="Food")*Cap_Ln))</x:f>
        <x:v>18627.260449441455</x:v>
      </x:c>
      <x:c r="K1046" s="32" t="n">
        <x:f>J1046*MIN(1,tun_LeanBase*EXP(tun_CapsByProject*SUMPRODUCT((Cap_Point&lt;=I1046)*(Cap_Kind="Lean")*Cap_Ln)))</x:f>
        <x:v>18627.260449441455</x:v>
      </x:c>
      <x:c r="L1046" s="10" t="n">
        <x:f>INDEX(tun_HousingCap,G1046)*EXP(tun_CapsByProject*SUMPRODUCT((Cap_Point&lt;=I1046)*(Cap_Kind="Housing")*Cap_Ln))</x:f>
        <x:v>20528.974303173167</x:v>
      </x:c>
      <x:c r="M1046" s="10" t="n">
        <x:f>INDEX(tun_GroupCap,G1046)*tun_CohesionFactor*EXP(tun_CapsByProject*SUMPRODUCT((Cap_Point&lt;=I1046)*(Cap_Kind="Group")*Cap_Ln))</x:f>
        <x:v>1000000.000000001</x:v>
      </x:c>
      <x:c r="N1046" s="32" t="n">
        <x:f>MIN(J1046,L1046,M1046)</x:f>
        <x:v>18627.260449441455</x:v>
      </x:c>
      <x:c r="O1046" s="10" t="n">
        <x:f>AE1045*N1046</x:f>
        <x:v>167645.34404497308</x:v>
      </x:c>
      <x:c r="P1046" s="9" t="n">
        <x:f>MIN(1,(AB1045/(AE1045*IF(tun_GroupInCrowding=1,N1046,MIN(J1046,L1046))))^tun_CrowdingExp)</x:f>
        <x:v>0.4215841981292809</x:v>
      </x:c>
      <x:c r="Q1046" s="9" t="n">
        <x:f>IF(D1046=1,INDEX(tun_WinterMult,G1046),1)</x:f>
        <x:v>1</x:v>
      </x:c>
      <x:c r="R1046" s="9" t="n">
        <x:f>H1046*Z1045*tun_WomenShare*tun_BaseFertility*INDEX(tun_FertMult,G1046)*Arch_Fertility*(1-P1046)</x:f>
        <x:v>0</x:v>
      </x:c>
      <x:c r="S1046" s="9" t="n">
        <x:f>H1046*Y1045*INDEX(tun_MortChild,G1046)/4*Q1046</x:f>
        <x:v>0</x:v>
      </x:c>
      <x:c r="T1046" s="9" t="n">
        <x:f>H1046*Z1045*INDEX(tun_MortAdult,G1046)*Arch_AdultMort/4*Q1046</x:f>
        <x:v>0</x:v>
      </x:c>
      <x:c r="U1046" s="9" t="n">
        <x:f>H1046*AA1045*INDEX(tun_MortElder,G1046)/4*Q1046</x:f>
        <x:v>0</x:v>
      </x:c>
      <x:c r="V1046" s="9" t="n">
        <x:f>H1046*MAX(0,AB1045-O1046)*tun_OvercapLoss</x:f>
        <x:v>0</x:v>
      </x:c>
      <x:c r="W1046" s="9" t="n">
        <x:f>H1046*Y1045/(tun_ChildYears*4)</x:f>
        <x:v>0</x:v>
      </x:c>
      <x:c r="X1046" s="9" t="n">
        <x:f>H1046*Z1045/(tun_AdultYears*4)</x:f>
        <x:v>0</x:v>
      </x:c>
      <x:c r="Y1046" s="32" t="n">
        <x:f>Y1045+R1046-S1046-W1046-Y1045*V1046/AB1045</x:f>
        <x:v>40496.20709015643</x:v>
      </x:c>
      <x:c r="Z1046" s="32" t="n">
        <x:f>Z1045+W1046-X1046-T1046-Z1045*V1046/AB1045</x:f>
        <x:v>59141.61122890803</x:v>
      </x:c>
      <x:c r="AA1046" s="32" t="n">
        <x:f>AA1045+X1046-U1046-AA1045*V1046/AB1045</x:f>
        <x:v>45530.62410925061</x:v>
      </x:c>
      <x:c r="AB1046" s="10" t="n">
        <x:f>Y1046+Z1046+AA1046</x:f>
        <x:v>145168.44242831506</x:v>
      </x:c>
      <x:c r="AC1046" s="8" t="n">
        <x:f>IF(AND(tun_WinterTrigger=1,D1046=1,AB1045/AE1045&gt;=K1046),1,0)</x:f>
        <x:v>0</x:v>
      </x:c>
      <x:c r="AD1046" s="8" t="n">
        <x:f>H1046*IF(AND(OR(AB1045/AE1045&gt;=tun_FissionTrigger*N1046,AC1046=1),AB1045/AE1045*tun_DaughterShare&gt;=tun_MinDaughter),MAX(1,ROUND(AE1045*tun_FissionRate,0)),0)</x:f>
        <x:v>0</x:v>
      </x:c>
      <x:c r="AE1046" s="8" t="n">
        <x:f>IF(H1046=1,MAX(1,MIN(INDEX(tun_Smax,G1046),AE1045+AD1046)),AE1045)</x:f>
        <x:v>9</x:v>
      </x:c>
      <x:c r="AF1046" s="8" t="n">
        <x:f>MAX(0,AE1046-AE1045)</x:f>
        <x:v>0</x:v>
      </x:c>
      <x:c r="AG1046" s="9" t="str">
        <x:f>IF(AF1046&gt;0,B1046,"")</x:f>
      </x:c>
      <x:c r="AH1046" s="9" t="n">
        <x:f>IF(F1046&gt;=1,1,(1+tun_LowTiesShare*(AE1046-1))/AE1046)</x:f>
        <x:v>1</x:v>
      </x:c>
      <x:c r="AI1046" s="32" t="n">
        <x:f>(Z1046+tun_ElderCommons*INDEX(LM_Elder,G1046)*AA1046)*AH1046</x:f>
        <x:v>238215.0665857503</x:v>
      </x:c>
      <x:c r="AJ1046" s="32" t="n">
        <x:f>H1046*tun_CommonsCoef*AI1046^tun_CommonsExp*INDEX(LM_Commons,G1046)</x:f>
        <x:v>0</x:v>
      </x:c>
      <x:c r="AK1046" s="32" t="n">
        <x:f>H1046*tun_RoleScale*Arch_Roles*(AE1046*(INDEX(tun_ElderRolePerSett,G1046)*tun_OutElder*INDEX(LM_Elder,G1046)+INDEX(tun_ShamanPerSett,G1046)*tun_OutShaman)+Z1046*(INDEX(tun_PriestShare,G1046)*tun_OutPriest+INDEX(tun_ScribeShare,G1046)*tun_OutScribe*INDEX(LM_Scribe,G1046)+INDEX(tun_ScholarShare,G1046)*tun_OutScholar*INDEX(LM_Scholar,G1046)+INDEX(tun_ResearcherShare,G1046)*tun_OutResearcher*INDEX(LM_Researcher,G1046)))</x:f>
        <x:v>0</x:v>
      </x:c>
      <x:c r="AL1046" s="32" t="n">
        <x:f>H1046*tun_RoleScale*Arch_Roles*AE1046*INDEX(tun_MonasteryPerSett,G1046)*tun_OutMonastery*INDEX(LM_Monastery,G1046)</x:f>
        <x:v>0</x:v>
      </x:c>
      <x:c r="AM1046" s="32" t="n">
        <x:f>(AJ1046+AK1046+AL1046)/4*INDEX(LM_All,G1046)*INDEX(tun_Boon,G1046)*Arch_Insight</x:f>
        <x:v>0</x:v>
      </x:c>
      <x:c r="AN1046" s="32" t="n">
        <x:f>H1046*(tun_KHPerAdult*Z1046+tun_KHOfCommons*AJ1046/4*INDEX(LM_All,G1046))*tun_KHUsable*Arch_KH</x:f>
        <x:v>0</x:v>
      </x:c>
      <x:c r="AO1046" s="32" t="n">
        <x:f>MIN(AP1045+AN1046,AM1046*tun_KHMaxRatio)</x:f>
        <x:v>0</x:v>
      </x:c>
      <x:c r="AP1046" s="32" t="n">
        <x:f>AP1045+AN1046-AO1046</x:f>
        <x:v>0</x:v>
      </x:c>
      <x:c r="AQ1046" s="32" t="n">
        <x:f>AM1046+AO1046</x:f>
        <x:v>0</x:v>
      </x:c>
      <x:c r="AR1046" s="10" t="n">
        <x:f>IF(H1046=1,INDEX(tun_Req,G1046),0)</x:f>
        <x:v>0</x:v>
      </x:c>
      <x:c r="AS1046" s="32" t="n">
        <x:f>IF(H1046=1,IF(E1046=1,AS1045-AR1045,AS1045)+AQ1046,0)</x:f>
        <x:v>0</x:v>
      </x:c>
      <x:c r="AT1046" s="11" t="n">
        <x:f>IF(AR1046&gt;0,MIN(1,AS1046/AR1046),1)</x:f>
        <x:v>1</x:v>
      </x:c>
      <x:c r="AU1046" s="10" t="n">
        <x:f>AB1046/INDEX(tun_RepScale,G1046)</x:f>
        <x:v>290.3368848566301</x:v>
      </x:c>
      <x:c r="AV1046" s="32" t="n">
        <x:f>AM1046*60/tun_SeasonSeconds</x:f>
        <x:v>0</x:v>
      </x:c>
    </x:row>
    <x:row r="1047">
      <x:c r="A1047" s="8" t="n">
        <x:f>A1046+1</x:f>
        <x:v>1044</x:v>
      </x:c>
      <x:c r="B1047" s="9" t="n">
        <x:f>A1047*tun_SeasonSeconds/60</x:f>
        <x:v>261</x:v>
      </x:c>
      <x:c r="C1047" s="9" t="n">
        <x:f>A1047/4</x:f>
        <x:v>261</x:v>
      </x:c>
      <x:c r="D1047" s="8" t="n">
        <x:f>IF(MOD(A1047,4)=0,1,0)</x:f>
        <x:v>1</x:v>
      </x:c>
      <x:c r="E1047" s="8" t="n">
        <x:f>IF(AND(F1046&lt;=9,AS1046&gt;=AR1046),1,0)</x:f>
        <x:v>0</x:v>
      </x:c>
      <x:c r="F1047" s="8" t="n">
        <x:f>MIN(10,F1046+E1047)</x:f>
        <x:v>10</x:v>
      </x:c>
      <x:c r="G1047" s="8" t="n">
        <x:f>MIN(F1047,9)+1</x:f>
        <x:v>10</x:v>
      </x:c>
      <x:c r="H1047" s="8" t="n">
        <x:f>IF(F1047&lt;=9,1,0)</x:f>
        <x:v>0</x:v>
      </x:c>
      <x:c r="I1047" s="9" t="n">
        <x:f>MIN(10,F1046+IF(AR1046&gt;0,MIN(1,AS1046/AR1046),1))</x:f>
        <x:v>10</x:v>
      </x:c>
      <x:c r="J1047" s="32" t="n">
        <x:f>INDEX(tun_FoodCap,G1047)*Arch_FoodCap*EXP(tun_CapsByProject*SUMPRODUCT((Cap_Point&lt;=I1047)*(Cap_Kind="Food")*Cap_Ln))</x:f>
        <x:v>18627.260449441455</x:v>
      </x:c>
      <x:c r="K1047" s="32" t="n">
        <x:f>J1047*MIN(1,tun_LeanBase*EXP(tun_CapsByProject*SUMPRODUCT((Cap_Point&lt;=I1047)*(Cap_Kind="Lean")*Cap_Ln)))</x:f>
        <x:v>18627.260449441455</x:v>
      </x:c>
      <x:c r="L1047" s="10" t="n">
        <x:f>INDEX(tun_HousingCap,G1047)*EXP(tun_CapsByProject*SUMPRODUCT((Cap_Point&lt;=I1047)*(Cap_Kind="Housing")*Cap_Ln))</x:f>
        <x:v>20528.974303173167</x:v>
      </x:c>
      <x:c r="M1047" s="10" t="n">
        <x:f>INDEX(tun_GroupCap,G1047)*tun_CohesionFactor*EXP(tun_CapsByProject*SUMPRODUCT((Cap_Point&lt;=I1047)*(Cap_Kind="Group")*Cap_Ln))</x:f>
        <x:v>1000000.000000001</x:v>
      </x:c>
      <x:c r="N1047" s="32" t="n">
        <x:f>MIN(J1047,L1047,M1047)</x:f>
        <x:v>18627.260449441455</x:v>
      </x:c>
      <x:c r="O1047" s="10" t="n">
        <x:f>AE1046*N1047</x:f>
        <x:v>167645.34404497308</x:v>
      </x:c>
      <x:c r="P1047" s="9" t="n">
        <x:f>MIN(1,(AB1046/(AE1046*IF(tun_GroupInCrowding=1,N1047,MIN(J1047,L1047))))^tun_CrowdingExp)</x:f>
        <x:v>0.4215841981292809</x:v>
      </x:c>
      <x:c r="Q1047" s="9" t="n">
        <x:f>IF(D1047=1,INDEX(tun_WinterMult,G1047),1)</x:f>
        <x:v>1.05</x:v>
      </x:c>
      <x:c r="R1047" s="9" t="n">
        <x:f>H1047*Z1046*tun_WomenShare*tun_BaseFertility*INDEX(tun_FertMult,G1047)*Arch_Fertility*(1-P1047)</x:f>
        <x:v>0</x:v>
      </x:c>
      <x:c r="S1047" s="9" t="n">
        <x:f>H1047*Y1046*INDEX(tun_MortChild,G1047)/4*Q1047</x:f>
        <x:v>0</x:v>
      </x:c>
      <x:c r="T1047" s="9" t="n">
        <x:f>H1047*Z1046*INDEX(tun_MortAdult,G1047)*Arch_AdultMort/4*Q1047</x:f>
        <x:v>0</x:v>
      </x:c>
      <x:c r="U1047" s="9" t="n">
        <x:f>H1047*AA1046*INDEX(tun_MortElder,G1047)/4*Q1047</x:f>
        <x:v>0</x:v>
      </x:c>
      <x:c r="V1047" s="9" t="n">
        <x:f>H1047*MAX(0,AB1046-O1047)*tun_OvercapLoss</x:f>
        <x:v>0</x:v>
      </x:c>
      <x:c r="W1047" s="9" t="n">
        <x:f>H1047*Y1046/(tun_ChildYears*4)</x:f>
        <x:v>0</x:v>
      </x:c>
      <x:c r="X1047" s="9" t="n">
        <x:f>H1047*Z1046/(tun_AdultYears*4)</x:f>
        <x:v>0</x:v>
      </x:c>
      <x:c r="Y1047" s="32" t="n">
        <x:f>Y1046+R1047-S1047-W1047-Y1046*V1047/AB1046</x:f>
        <x:v>40496.20709015643</x:v>
      </x:c>
      <x:c r="Z1047" s="32" t="n">
        <x:f>Z1046+W1047-X1047-T1047-Z1046*V1047/AB1046</x:f>
        <x:v>59141.61122890803</x:v>
      </x:c>
      <x:c r="AA1047" s="32" t="n">
        <x:f>AA1046+X1047-U1047-AA1046*V1047/AB1046</x:f>
        <x:v>45530.62410925061</x:v>
      </x:c>
      <x:c r="AB1047" s="10" t="n">
        <x:f>Y1047+Z1047+AA1047</x:f>
        <x:v>145168.44242831506</x:v>
      </x:c>
      <x:c r="AC1047" s="8" t="n">
        <x:f>IF(AND(tun_WinterTrigger=1,D1047=1,AB1046/AE1046&gt;=K1047),1,0)</x:f>
        <x:v>0</x:v>
      </x:c>
      <x:c r="AD1047" s="8" t="n">
        <x:f>H1047*IF(AND(OR(AB1046/AE1046&gt;=tun_FissionTrigger*N1047,AC1047=1),AB1046/AE1046*tun_DaughterShare&gt;=tun_MinDaughter),MAX(1,ROUND(AE1046*tun_FissionRate,0)),0)</x:f>
        <x:v>0</x:v>
      </x:c>
      <x:c r="AE1047" s="8" t="n">
        <x:f>IF(H1047=1,MAX(1,MIN(INDEX(tun_Smax,G1047),AE1046+AD1047)),AE1046)</x:f>
        <x:v>9</x:v>
      </x:c>
      <x:c r="AF1047" s="8" t="n">
        <x:f>MAX(0,AE1047-AE1046)</x:f>
        <x:v>0</x:v>
      </x:c>
      <x:c r="AG1047" s="9" t="str">
        <x:f>IF(AF1047&gt;0,B1047,"")</x:f>
      </x:c>
      <x:c r="AH1047" s="9" t="n">
        <x:f>IF(F1047&gt;=1,1,(1+tun_LowTiesShare*(AE1047-1))/AE1047)</x:f>
        <x:v>1</x:v>
      </x:c>
      <x:c r="AI1047" s="32" t="n">
        <x:f>(Z1047+tun_ElderCommons*INDEX(LM_Elder,G1047)*AA1047)*AH1047</x:f>
        <x:v>238215.0665857503</x:v>
      </x:c>
      <x:c r="AJ1047" s="32" t="n">
        <x:f>H1047*tun_CommonsCoef*AI1047^tun_CommonsExp*INDEX(LM_Commons,G1047)</x:f>
        <x:v>0</x:v>
      </x:c>
      <x:c r="AK1047" s="32" t="n">
        <x:f>H1047*tun_RoleScale*Arch_Roles*(AE1047*(INDEX(tun_ElderRolePerSett,G1047)*tun_OutElder*INDEX(LM_Elder,G1047)+INDEX(tun_ShamanPerSett,G1047)*tun_OutShaman)+Z1047*(INDEX(tun_PriestShare,G1047)*tun_OutPriest+INDEX(tun_ScribeShare,G1047)*tun_OutScribe*INDEX(LM_Scribe,G1047)+INDEX(tun_ScholarShare,G1047)*tun_OutScholar*INDEX(LM_Scholar,G1047)+INDEX(tun_ResearcherShare,G1047)*tun_OutResearcher*INDEX(LM_Researcher,G1047)))</x:f>
        <x:v>0</x:v>
      </x:c>
      <x:c r="AL1047" s="32" t="n">
        <x:f>H1047*tun_RoleScale*Arch_Roles*AE1047*INDEX(tun_MonasteryPerSett,G1047)*tun_OutMonastery*INDEX(LM_Monastery,G1047)</x:f>
        <x:v>0</x:v>
      </x:c>
      <x:c r="AM1047" s="32" t="n">
        <x:f>(AJ1047+AK1047+AL1047)/4*INDEX(LM_All,G1047)*INDEX(tun_Boon,G1047)*Arch_Insight</x:f>
        <x:v>0</x:v>
      </x:c>
      <x:c r="AN1047" s="32" t="n">
        <x:f>H1047*(tun_KHPerAdult*Z1047+tun_KHOfCommons*AJ1047/4*INDEX(LM_All,G1047))*tun_KHUsable*Arch_KH</x:f>
        <x:v>0</x:v>
      </x:c>
      <x:c r="AO1047" s="32" t="n">
        <x:f>MIN(AP1046+AN1047,AM1047*tun_KHMaxRatio)</x:f>
        <x:v>0</x:v>
      </x:c>
      <x:c r="AP1047" s="32" t="n">
        <x:f>AP1046+AN1047-AO1047</x:f>
        <x:v>0</x:v>
      </x:c>
      <x:c r="AQ1047" s="32" t="n">
        <x:f>AM1047+AO1047</x:f>
        <x:v>0</x:v>
      </x:c>
      <x:c r="AR1047" s="10" t="n">
        <x:f>IF(H1047=1,INDEX(tun_Req,G1047),0)</x:f>
        <x:v>0</x:v>
      </x:c>
      <x:c r="AS1047" s="32" t="n">
        <x:f>IF(H1047=1,IF(E1047=1,AS1046-AR1046,AS1046)+AQ1047,0)</x:f>
        <x:v>0</x:v>
      </x:c>
      <x:c r="AT1047" s="11" t="n">
        <x:f>IF(AR1047&gt;0,MIN(1,AS1047/AR1047),1)</x:f>
        <x:v>1</x:v>
      </x:c>
      <x:c r="AU1047" s="10" t="n">
        <x:f>AB1047/INDEX(tun_RepScale,G1047)</x:f>
        <x:v>290.3368848566301</x:v>
      </x:c>
      <x:c r="AV1047" s="32" t="n">
        <x:f>AM1047*60/tun_SeasonSeconds</x:f>
        <x:v>0</x:v>
      </x:c>
    </x:row>
    <x:row r="1048">
      <x:c r="A1048" s="8" t="n">
        <x:f>A1047+1</x:f>
        <x:v>1045</x:v>
      </x:c>
      <x:c r="B1048" s="9" t="n">
        <x:f>A1048*tun_SeasonSeconds/60</x:f>
        <x:v>261.25</x:v>
      </x:c>
      <x:c r="C1048" s="9" t="n">
        <x:f>A1048/4</x:f>
        <x:v>261.25</x:v>
      </x:c>
      <x:c r="D1048" s="8" t="n">
        <x:f>IF(MOD(A1048,4)=0,1,0)</x:f>
        <x:v>0</x:v>
      </x:c>
      <x:c r="E1048" s="8" t="n">
        <x:f>IF(AND(F1047&lt;=9,AS1047&gt;=AR1047),1,0)</x:f>
        <x:v>0</x:v>
      </x:c>
      <x:c r="F1048" s="8" t="n">
        <x:f>MIN(10,F1047+E1048)</x:f>
        <x:v>10</x:v>
      </x:c>
      <x:c r="G1048" s="8" t="n">
        <x:f>MIN(F1048,9)+1</x:f>
        <x:v>10</x:v>
      </x:c>
      <x:c r="H1048" s="8" t="n">
        <x:f>IF(F1048&lt;=9,1,0)</x:f>
        <x:v>0</x:v>
      </x:c>
      <x:c r="I1048" s="9" t="n">
        <x:f>MIN(10,F1047+IF(AR1047&gt;0,MIN(1,AS1047/AR1047),1))</x:f>
        <x:v>10</x:v>
      </x:c>
      <x:c r="J1048" s="32" t="n">
        <x:f>INDEX(tun_FoodCap,G1048)*Arch_FoodCap*EXP(tun_CapsByProject*SUMPRODUCT((Cap_Point&lt;=I1048)*(Cap_Kind="Food")*Cap_Ln))</x:f>
        <x:v>18627.260449441455</x:v>
      </x:c>
      <x:c r="K1048" s="32" t="n">
        <x:f>J1048*MIN(1,tun_LeanBase*EXP(tun_CapsByProject*SUMPRODUCT((Cap_Point&lt;=I1048)*(Cap_Kind="Lean")*Cap_Ln)))</x:f>
        <x:v>18627.260449441455</x:v>
      </x:c>
      <x:c r="L1048" s="10" t="n">
        <x:f>INDEX(tun_HousingCap,G1048)*EXP(tun_CapsByProject*SUMPRODUCT((Cap_Point&lt;=I1048)*(Cap_Kind="Housing")*Cap_Ln))</x:f>
        <x:v>20528.974303173167</x:v>
      </x:c>
      <x:c r="M1048" s="10" t="n">
        <x:f>INDEX(tun_GroupCap,G1048)*tun_CohesionFactor*EXP(tun_CapsByProject*SUMPRODUCT((Cap_Point&lt;=I1048)*(Cap_Kind="Group")*Cap_Ln))</x:f>
        <x:v>1000000.000000001</x:v>
      </x:c>
      <x:c r="N1048" s="32" t="n">
        <x:f>MIN(J1048,L1048,M1048)</x:f>
        <x:v>18627.260449441455</x:v>
      </x:c>
      <x:c r="O1048" s="10" t="n">
        <x:f>AE1047*N1048</x:f>
        <x:v>167645.34404497308</x:v>
      </x:c>
      <x:c r="P1048" s="9" t="n">
        <x:f>MIN(1,(AB1047/(AE1047*IF(tun_GroupInCrowding=1,N1048,MIN(J1048,L1048))))^tun_CrowdingExp)</x:f>
        <x:v>0.4215841981292809</x:v>
      </x:c>
      <x:c r="Q1048" s="9" t="n">
        <x:f>IF(D1048=1,INDEX(tun_WinterMult,G1048),1)</x:f>
        <x:v>1</x:v>
      </x:c>
      <x:c r="R1048" s="9" t="n">
        <x:f>H1048*Z1047*tun_WomenShare*tun_BaseFertility*INDEX(tun_FertMult,G1048)*Arch_Fertility*(1-P1048)</x:f>
        <x:v>0</x:v>
      </x:c>
      <x:c r="S1048" s="9" t="n">
        <x:f>H1048*Y1047*INDEX(tun_MortChild,G1048)/4*Q1048</x:f>
        <x:v>0</x:v>
      </x:c>
      <x:c r="T1048" s="9" t="n">
        <x:f>H1048*Z1047*INDEX(tun_MortAdult,G1048)*Arch_AdultMort/4*Q1048</x:f>
        <x:v>0</x:v>
      </x:c>
      <x:c r="U1048" s="9" t="n">
        <x:f>H1048*AA1047*INDEX(tun_MortElder,G1048)/4*Q1048</x:f>
        <x:v>0</x:v>
      </x:c>
      <x:c r="V1048" s="9" t="n">
        <x:f>H1048*MAX(0,AB1047-O1048)*tun_OvercapLoss</x:f>
        <x:v>0</x:v>
      </x:c>
      <x:c r="W1048" s="9" t="n">
        <x:f>H1048*Y1047/(tun_ChildYears*4)</x:f>
        <x:v>0</x:v>
      </x:c>
      <x:c r="X1048" s="9" t="n">
        <x:f>H1048*Z1047/(tun_AdultYears*4)</x:f>
        <x:v>0</x:v>
      </x:c>
      <x:c r="Y1048" s="32" t="n">
        <x:f>Y1047+R1048-S1048-W1048-Y1047*V1048/AB1047</x:f>
        <x:v>40496.20709015643</x:v>
      </x:c>
      <x:c r="Z1048" s="32" t="n">
        <x:f>Z1047+W1048-X1048-T1048-Z1047*V1048/AB1047</x:f>
        <x:v>59141.61122890803</x:v>
      </x:c>
      <x:c r="AA1048" s="32" t="n">
        <x:f>AA1047+X1048-U1048-AA1047*V1048/AB1047</x:f>
        <x:v>45530.62410925061</x:v>
      </x:c>
      <x:c r="AB1048" s="10" t="n">
        <x:f>Y1048+Z1048+AA1048</x:f>
        <x:v>145168.44242831506</x:v>
      </x:c>
      <x:c r="AC1048" s="8" t="n">
        <x:f>IF(AND(tun_WinterTrigger=1,D1048=1,AB1047/AE1047&gt;=K1048),1,0)</x:f>
        <x:v>0</x:v>
      </x:c>
      <x:c r="AD1048" s="8" t="n">
        <x:f>H1048*IF(AND(OR(AB1047/AE1047&gt;=tun_FissionTrigger*N1048,AC1048=1),AB1047/AE1047*tun_DaughterShare&gt;=tun_MinDaughter),MAX(1,ROUND(AE1047*tun_FissionRate,0)),0)</x:f>
        <x:v>0</x:v>
      </x:c>
      <x:c r="AE1048" s="8" t="n">
        <x:f>IF(H1048=1,MAX(1,MIN(INDEX(tun_Smax,G1048),AE1047+AD1048)),AE1047)</x:f>
        <x:v>9</x:v>
      </x:c>
      <x:c r="AF1048" s="8" t="n">
        <x:f>MAX(0,AE1048-AE1047)</x:f>
        <x:v>0</x:v>
      </x:c>
      <x:c r="AG1048" s="9" t="str">
        <x:f>IF(AF1048&gt;0,B1048,"")</x:f>
      </x:c>
      <x:c r="AH1048" s="9" t="n">
        <x:f>IF(F1048&gt;=1,1,(1+tun_LowTiesShare*(AE1048-1))/AE1048)</x:f>
        <x:v>1</x:v>
      </x:c>
      <x:c r="AI1048" s="32" t="n">
        <x:f>(Z1048+tun_ElderCommons*INDEX(LM_Elder,G1048)*AA1048)*AH1048</x:f>
        <x:v>238215.0665857503</x:v>
      </x:c>
      <x:c r="AJ1048" s="32" t="n">
        <x:f>H1048*tun_CommonsCoef*AI1048^tun_CommonsExp*INDEX(LM_Commons,G1048)</x:f>
        <x:v>0</x:v>
      </x:c>
      <x:c r="AK1048" s="32" t="n">
        <x:f>H1048*tun_RoleScale*Arch_Roles*(AE1048*(INDEX(tun_ElderRolePerSett,G1048)*tun_OutElder*INDEX(LM_Elder,G1048)+INDEX(tun_ShamanPerSett,G1048)*tun_OutShaman)+Z1048*(INDEX(tun_PriestShare,G1048)*tun_OutPriest+INDEX(tun_ScribeShare,G1048)*tun_OutScribe*INDEX(LM_Scribe,G1048)+INDEX(tun_ScholarShare,G1048)*tun_OutScholar*INDEX(LM_Scholar,G1048)+INDEX(tun_ResearcherShare,G1048)*tun_OutResearcher*INDEX(LM_Researcher,G1048)))</x:f>
        <x:v>0</x:v>
      </x:c>
      <x:c r="AL1048" s="32" t="n">
        <x:f>H1048*tun_RoleScale*Arch_Roles*AE1048*INDEX(tun_MonasteryPerSett,G1048)*tun_OutMonastery*INDEX(LM_Monastery,G1048)</x:f>
        <x:v>0</x:v>
      </x:c>
      <x:c r="AM1048" s="32" t="n">
        <x:f>(AJ1048+AK1048+AL1048)/4*INDEX(LM_All,G1048)*INDEX(tun_Boon,G1048)*Arch_Insight</x:f>
        <x:v>0</x:v>
      </x:c>
      <x:c r="AN1048" s="32" t="n">
        <x:f>H1048*(tun_KHPerAdult*Z1048+tun_KHOfCommons*AJ1048/4*INDEX(LM_All,G1048))*tun_KHUsable*Arch_KH</x:f>
        <x:v>0</x:v>
      </x:c>
      <x:c r="AO1048" s="32" t="n">
        <x:f>MIN(AP1047+AN1048,AM1048*tun_KHMaxRatio)</x:f>
        <x:v>0</x:v>
      </x:c>
      <x:c r="AP1048" s="32" t="n">
        <x:f>AP1047+AN1048-AO1048</x:f>
        <x:v>0</x:v>
      </x:c>
      <x:c r="AQ1048" s="32" t="n">
        <x:f>AM1048+AO1048</x:f>
        <x:v>0</x:v>
      </x:c>
      <x:c r="AR1048" s="10" t="n">
        <x:f>IF(H1048=1,INDEX(tun_Req,G1048),0)</x:f>
        <x:v>0</x:v>
      </x:c>
      <x:c r="AS1048" s="32" t="n">
        <x:f>IF(H1048=1,IF(E1048=1,AS1047-AR1047,AS1047)+AQ1048,0)</x:f>
        <x:v>0</x:v>
      </x:c>
      <x:c r="AT1048" s="11" t="n">
        <x:f>IF(AR1048&gt;0,MIN(1,AS1048/AR1048),1)</x:f>
        <x:v>1</x:v>
      </x:c>
      <x:c r="AU1048" s="10" t="n">
        <x:f>AB1048/INDEX(tun_RepScale,G1048)</x:f>
        <x:v>290.3368848566301</x:v>
      </x:c>
      <x:c r="AV1048" s="32" t="n">
        <x:f>AM1048*60/tun_SeasonSeconds</x:f>
        <x:v>0</x:v>
      </x:c>
    </x:row>
    <x:row r="1049">
      <x:c r="A1049" s="8" t="n">
        <x:f>A1048+1</x:f>
        <x:v>1046</x:v>
      </x:c>
      <x:c r="B1049" s="9" t="n">
        <x:f>A1049*tun_SeasonSeconds/60</x:f>
        <x:v>261.5</x:v>
      </x:c>
      <x:c r="C1049" s="9" t="n">
        <x:f>A1049/4</x:f>
        <x:v>261.5</x:v>
      </x:c>
      <x:c r="D1049" s="8" t="n">
        <x:f>IF(MOD(A1049,4)=0,1,0)</x:f>
        <x:v>0</x:v>
      </x:c>
      <x:c r="E1049" s="8" t="n">
        <x:f>IF(AND(F1048&lt;=9,AS1048&gt;=AR1048),1,0)</x:f>
        <x:v>0</x:v>
      </x:c>
      <x:c r="F1049" s="8" t="n">
        <x:f>MIN(10,F1048+E1049)</x:f>
        <x:v>10</x:v>
      </x:c>
      <x:c r="G1049" s="8" t="n">
        <x:f>MIN(F1049,9)+1</x:f>
        <x:v>10</x:v>
      </x:c>
      <x:c r="H1049" s="8" t="n">
        <x:f>IF(F1049&lt;=9,1,0)</x:f>
        <x:v>0</x:v>
      </x:c>
      <x:c r="I1049" s="9" t="n">
        <x:f>MIN(10,F1048+IF(AR1048&gt;0,MIN(1,AS1048/AR1048),1))</x:f>
        <x:v>10</x:v>
      </x:c>
      <x:c r="J1049" s="32" t="n">
        <x:f>INDEX(tun_FoodCap,G1049)*Arch_FoodCap*EXP(tun_CapsByProject*SUMPRODUCT((Cap_Point&lt;=I1049)*(Cap_Kind="Food")*Cap_Ln))</x:f>
        <x:v>18627.260449441455</x:v>
      </x:c>
      <x:c r="K1049" s="32" t="n">
        <x:f>J1049*MIN(1,tun_LeanBase*EXP(tun_CapsByProject*SUMPRODUCT((Cap_Point&lt;=I1049)*(Cap_Kind="Lean")*Cap_Ln)))</x:f>
        <x:v>18627.260449441455</x:v>
      </x:c>
      <x:c r="L1049" s="10" t="n">
        <x:f>INDEX(tun_HousingCap,G1049)*EXP(tun_CapsByProject*SUMPRODUCT((Cap_Point&lt;=I1049)*(Cap_Kind="Housing")*Cap_Ln))</x:f>
        <x:v>20528.974303173167</x:v>
      </x:c>
      <x:c r="M1049" s="10" t="n">
        <x:f>INDEX(tun_GroupCap,G1049)*tun_CohesionFactor*EXP(tun_CapsByProject*SUMPRODUCT((Cap_Point&lt;=I1049)*(Cap_Kind="Group")*Cap_Ln))</x:f>
        <x:v>1000000.000000001</x:v>
      </x:c>
      <x:c r="N1049" s="32" t="n">
        <x:f>MIN(J1049,L1049,M1049)</x:f>
        <x:v>18627.260449441455</x:v>
      </x:c>
      <x:c r="O1049" s="10" t="n">
        <x:f>AE1048*N1049</x:f>
        <x:v>167645.34404497308</x:v>
      </x:c>
      <x:c r="P1049" s="9" t="n">
        <x:f>MIN(1,(AB1048/(AE1048*IF(tun_GroupInCrowding=1,N1049,MIN(J1049,L1049))))^tun_CrowdingExp)</x:f>
        <x:v>0.4215841981292809</x:v>
      </x:c>
      <x:c r="Q1049" s="9" t="n">
        <x:f>IF(D1049=1,INDEX(tun_WinterMult,G1049),1)</x:f>
        <x:v>1</x:v>
      </x:c>
      <x:c r="R1049" s="9" t="n">
        <x:f>H1049*Z1048*tun_WomenShare*tun_BaseFertility*INDEX(tun_FertMult,G1049)*Arch_Fertility*(1-P1049)</x:f>
        <x:v>0</x:v>
      </x:c>
      <x:c r="S1049" s="9" t="n">
        <x:f>H1049*Y1048*INDEX(tun_MortChild,G1049)/4*Q1049</x:f>
        <x:v>0</x:v>
      </x:c>
      <x:c r="T1049" s="9" t="n">
        <x:f>H1049*Z1048*INDEX(tun_MortAdult,G1049)*Arch_AdultMort/4*Q1049</x:f>
        <x:v>0</x:v>
      </x:c>
      <x:c r="U1049" s="9" t="n">
        <x:f>H1049*AA1048*INDEX(tun_MortElder,G1049)/4*Q1049</x:f>
        <x:v>0</x:v>
      </x:c>
      <x:c r="V1049" s="9" t="n">
        <x:f>H1049*MAX(0,AB1048-O1049)*tun_OvercapLoss</x:f>
        <x:v>0</x:v>
      </x:c>
      <x:c r="W1049" s="9" t="n">
        <x:f>H1049*Y1048/(tun_ChildYears*4)</x:f>
        <x:v>0</x:v>
      </x:c>
      <x:c r="X1049" s="9" t="n">
        <x:f>H1049*Z1048/(tun_AdultYears*4)</x:f>
        <x:v>0</x:v>
      </x:c>
      <x:c r="Y1049" s="32" t="n">
        <x:f>Y1048+R1049-S1049-W1049-Y1048*V1049/AB1048</x:f>
        <x:v>40496.20709015643</x:v>
      </x:c>
      <x:c r="Z1049" s="32" t="n">
        <x:f>Z1048+W1049-X1049-T1049-Z1048*V1049/AB1048</x:f>
        <x:v>59141.61122890803</x:v>
      </x:c>
      <x:c r="AA1049" s="32" t="n">
        <x:f>AA1048+X1049-U1049-AA1048*V1049/AB1048</x:f>
        <x:v>45530.62410925061</x:v>
      </x:c>
      <x:c r="AB1049" s="10" t="n">
        <x:f>Y1049+Z1049+AA1049</x:f>
        <x:v>145168.44242831506</x:v>
      </x:c>
      <x:c r="AC1049" s="8" t="n">
        <x:f>IF(AND(tun_WinterTrigger=1,D1049=1,AB1048/AE1048&gt;=K1049),1,0)</x:f>
        <x:v>0</x:v>
      </x:c>
      <x:c r="AD1049" s="8" t="n">
        <x:f>H1049*IF(AND(OR(AB1048/AE1048&gt;=tun_FissionTrigger*N1049,AC1049=1),AB1048/AE1048*tun_DaughterShare&gt;=tun_MinDaughter),MAX(1,ROUND(AE1048*tun_FissionRate,0)),0)</x:f>
        <x:v>0</x:v>
      </x:c>
      <x:c r="AE1049" s="8" t="n">
        <x:f>IF(H1049=1,MAX(1,MIN(INDEX(tun_Smax,G1049),AE1048+AD1049)),AE1048)</x:f>
        <x:v>9</x:v>
      </x:c>
      <x:c r="AF1049" s="8" t="n">
        <x:f>MAX(0,AE1049-AE1048)</x:f>
        <x:v>0</x:v>
      </x:c>
      <x:c r="AG1049" s="9" t="str">
        <x:f>IF(AF1049&gt;0,B1049,"")</x:f>
      </x:c>
      <x:c r="AH1049" s="9" t="n">
        <x:f>IF(F1049&gt;=1,1,(1+tun_LowTiesShare*(AE1049-1))/AE1049)</x:f>
        <x:v>1</x:v>
      </x:c>
      <x:c r="AI1049" s="32" t="n">
        <x:f>(Z1049+tun_ElderCommons*INDEX(LM_Elder,G1049)*AA1049)*AH1049</x:f>
        <x:v>238215.0665857503</x:v>
      </x:c>
      <x:c r="AJ1049" s="32" t="n">
        <x:f>H1049*tun_CommonsCoef*AI1049^tun_CommonsExp*INDEX(LM_Commons,G1049)</x:f>
        <x:v>0</x:v>
      </x:c>
      <x:c r="AK1049" s="32" t="n">
        <x:f>H1049*tun_RoleScale*Arch_Roles*(AE1049*(INDEX(tun_ElderRolePerSett,G1049)*tun_OutElder*INDEX(LM_Elder,G1049)+INDEX(tun_ShamanPerSett,G1049)*tun_OutShaman)+Z1049*(INDEX(tun_PriestShare,G1049)*tun_OutPriest+INDEX(tun_ScribeShare,G1049)*tun_OutScribe*INDEX(LM_Scribe,G1049)+INDEX(tun_ScholarShare,G1049)*tun_OutScholar*INDEX(LM_Scholar,G1049)+INDEX(tun_ResearcherShare,G1049)*tun_OutResearcher*INDEX(LM_Researcher,G1049)))</x:f>
        <x:v>0</x:v>
      </x:c>
      <x:c r="AL1049" s="32" t="n">
        <x:f>H1049*tun_RoleScale*Arch_Roles*AE1049*INDEX(tun_MonasteryPerSett,G1049)*tun_OutMonastery*INDEX(LM_Monastery,G1049)</x:f>
        <x:v>0</x:v>
      </x:c>
      <x:c r="AM1049" s="32" t="n">
        <x:f>(AJ1049+AK1049+AL1049)/4*INDEX(LM_All,G1049)*INDEX(tun_Boon,G1049)*Arch_Insight</x:f>
        <x:v>0</x:v>
      </x:c>
      <x:c r="AN1049" s="32" t="n">
        <x:f>H1049*(tun_KHPerAdult*Z1049+tun_KHOfCommons*AJ1049/4*INDEX(LM_All,G1049))*tun_KHUsable*Arch_KH</x:f>
        <x:v>0</x:v>
      </x:c>
      <x:c r="AO1049" s="32" t="n">
        <x:f>MIN(AP1048+AN1049,AM1049*tun_KHMaxRatio)</x:f>
        <x:v>0</x:v>
      </x:c>
      <x:c r="AP1049" s="32" t="n">
        <x:f>AP1048+AN1049-AO1049</x:f>
        <x:v>0</x:v>
      </x:c>
      <x:c r="AQ1049" s="32" t="n">
        <x:f>AM1049+AO1049</x:f>
        <x:v>0</x:v>
      </x:c>
      <x:c r="AR1049" s="10" t="n">
        <x:f>IF(H1049=1,INDEX(tun_Req,G1049),0)</x:f>
        <x:v>0</x:v>
      </x:c>
      <x:c r="AS1049" s="32" t="n">
        <x:f>IF(H1049=1,IF(E1049=1,AS1048-AR1048,AS1048)+AQ1049,0)</x:f>
        <x:v>0</x:v>
      </x:c>
      <x:c r="AT1049" s="11" t="n">
        <x:f>IF(AR1049&gt;0,MIN(1,AS1049/AR1049),1)</x:f>
        <x:v>1</x:v>
      </x:c>
      <x:c r="AU1049" s="10" t="n">
        <x:f>AB1049/INDEX(tun_RepScale,G1049)</x:f>
        <x:v>290.3368848566301</x:v>
      </x:c>
      <x:c r="AV1049" s="32" t="n">
        <x:f>AM1049*60/tun_SeasonSeconds</x:f>
        <x:v>0</x:v>
      </x:c>
    </x:row>
    <x:row r="1050">
      <x:c r="A1050" s="8" t="n">
        <x:f>A1049+1</x:f>
        <x:v>1047</x:v>
      </x:c>
      <x:c r="B1050" s="9" t="n">
        <x:f>A1050*tun_SeasonSeconds/60</x:f>
        <x:v>261.75</x:v>
      </x:c>
      <x:c r="C1050" s="9" t="n">
        <x:f>A1050/4</x:f>
        <x:v>261.75</x:v>
      </x:c>
      <x:c r="D1050" s="8" t="n">
        <x:f>IF(MOD(A1050,4)=0,1,0)</x:f>
        <x:v>0</x:v>
      </x:c>
      <x:c r="E1050" s="8" t="n">
        <x:f>IF(AND(F1049&lt;=9,AS1049&gt;=AR1049),1,0)</x:f>
        <x:v>0</x:v>
      </x:c>
      <x:c r="F1050" s="8" t="n">
        <x:f>MIN(10,F1049+E1050)</x:f>
        <x:v>10</x:v>
      </x:c>
      <x:c r="G1050" s="8" t="n">
        <x:f>MIN(F1050,9)+1</x:f>
        <x:v>10</x:v>
      </x:c>
      <x:c r="H1050" s="8" t="n">
        <x:f>IF(F1050&lt;=9,1,0)</x:f>
        <x:v>0</x:v>
      </x:c>
      <x:c r="I1050" s="9" t="n">
        <x:f>MIN(10,F1049+IF(AR1049&gt;0,MIN(1,AS1049/AR1049),1))</x:f>
        <x:v>10</x:v>
      </x:c>
      <x:c r="J1050" s="32" t="n">
        <x:f>INDEX(tun_FoodCap,G1050)*Arch_FoodCap*EXP(tun_CapsByProject*SUMPRODUCT((Cap_Point&lt;=I1050)*(Cap_Kind="Food")*Cap_Ln))</x:f>
        <x:v>18627.260449441455</x:v>
      </x:c>
      <x:c r="K1050" s="32" t="n">
        <x:f>J1050*MIN(1,tun_LeanBase*EXP(tun_CapsByProject*SUMPRODUCT((Cap_Point&lt;=I1050)*(Cap_Kind="Lean")*Cap_Ln)))</x:f>
        <x:v>18627.260449441455</x:v>
      </x:c>
      <x:c r="L1050" s="10" t="n">
        <x:f>INDEX(tun_HousingCap,G1050)*EXP(tun_CapsByProject*SUMPRODUCT((Cap_Point&lt;=I1050)*(Cap_Kind="Housing")*Cap_Ln))</x:f>
        <x:v>20528.974303173167</x:v>
      </x:c>
      <x:c r="M1050" s="10" t="n">
        <x:f>INDEX(tun_GroupCap,G1050)*tun_CohesionFactor*EXP(tun_CapsByProject*SUMPRODUCT((Cap_Point&lt;=I1050)*(Cap_Kind="Group")*Cap_Ln))</x:f>
        <x:v>1000000.000000001</x:v>
      </x:c>
      <x:c r="N1050" s="32" t="n">
        <x:f>MIN(J1050,L1050,M1050)</x:f>
        <x:v>18627.260449441455</x:v>
      </x:c>
      <x:c r="O1050" s="10" t="n">
        <x:f>AE1049*N1050</x:f>
        <x:v>167645.34404497308</x:v>
      </x:c>
      <x:c r="P1050" s="9" t="n">
        <x:f>MIN(1,(AB1049/(AE1049*IF(tun_GroupInCrowding=1,N1050,MIN(J1050,L1050))))^tun_CrowdingExp)</x:f>
        <x:v>0.4215841981292809</x:v>
      </x:c>
      <x:c r="Q1050" s="9" t="n">
        <x:f>IF(D1050=1,INDEX(tun_WinterMult,G1050),1)</x:f>
        <x:v>1</x:v>
      </x:c>
      <x:c r="R1050" s="9" t="n">
        <x:f>H1050*Z1049*tun_WomenShare*tun_BaseFertility*INDEX(tun_FertMult,G1050)*Arch_Fertility*(1-P1050)</x:f>
        <x:v>0</x:v>
      </x:c>
      <x:c r="S1050" s="9" t="n">
        <x:f>H1050*Y1049*INDEX(tun_MortChild,G1050)/4*Q1050</x:f>
        <x:v>0</x:v>
      </x:c>
      <x:c r="T1050" s="9" t="n">
        <x:f>H1050*Z1049*INDEX(tun_MortAdult,G1050)*Arch_AdultMort/4*Q1050</x:f>
        <x:v>0</x:v>
      </x:c>
      <x:c r="U1050" s="9" t="n">
        <x:f>H1050*AA1049*INDEX(tun_MortElder,G1050)/4*Q1050</x:f>
        <x:v>0</x:v>
      </x:c>
      <x:c r="V1050" s="9" t="n">
        <x:f>H1050*MAX(0,AB1049-O1050)*tun_OvercapLoss</x:f>
        <x:v>0</x:v>
      </x:c>
      <x:c r="W1050" s="9" t="n">
        <x:f>H1050*Y1049/(tun_ChildYears*4)</x:f>
        <x:v>0</x:v>
      </x:c>
      <x:c r="X1050" s="9" t="n">
        <x:f>H1050*Z1049/(tun_AdultYears*4)</x:f>
        <x:v>0</x:v>
      </x:c>
      <x:c r="Y1050" s="32" t="n">
        <x:f>Y1049+R1050-S1050-W1050-Y1049*V1050/AB1049</x:f>
        <x:v>40496.20709015643</x:v>
      </x:c>
      <x:c r="Z1050" s="32" t="n">
        <x:f>Z1049+W1050-X1050-T1050-Z1049*V1050/AB1049</x:f>
        <x:v>59141.61122890803</x:v>
      </x:c>
      <x:c r="AA1050" s="32" t="n">
        <x:f>AA1049+X1050-U1050-AA1049*V1050/AB1049</x:f>
        <x:v>45530.62410925061</x:v>
      </x:c>
      <x:c r="AB1050" s="10" t="n">
        <x:f>Y1050+Z1050+AA1050</x:f>
        <x:v>145168.44242831506</x:v>
      </x:c>
      <x:c r="AC1050" s="8" t="n">
        <x:f>IF(AND(tun_WinterTrigger=1,D1050=1,AB1049/AE1049&gt;=K1050),1,0)</x:f>
        <x:v>0</x:v>
      </x:c>
      <x:c r="AD1050" s="8" t="n">
        <x:f>H1050*IF(AND(OR(AB1049/AE1049&gt;=tun_FissionTrigger*N1050,AC1050=1),AB1049/AE1049*tun_DaughterShare&gt;=tun_MinDaughter),MAX(1,ROUND(AE1049*tun_FissionRate,0)),0)</x:f>
        <x:v>0</x:v>
      </x:c>
      <x:c r="AE1050" s="8" t="n">
        <x:f>IF(H1050=1,MAX(1,MIN(INDEX(tun_Smax,G1050),AE1049+AD1050)),AE1049)</x:f>
        <x:v>9</x:v>
      </x:c>
      <x:c r="AF1050" s="8" t="n">
        <x:f>MAX(0,AE1050-AE1049)</x:f>
        <x:v>0</x:v>
      </x:c>
      <x:c r="AG1050" s="9" t="str">
        <x:f>IF(AF1050&gt;0,B1050,"")</x:f>
      </x:c>
      <x:c r="AH1050" s="9" t="n">
        <x:f>IF(F1050&gt;=1,1,(1+tun_LowTiesShare*(AE1050-1))/AE1050)</x:f>
        <x:v>1</x:v>
      </x:c>
      <x:c r="AI1050" s="32" t="n">
        <x:f>(Z1050+tun_ElderCommons*INDEX(LM_Elder,G1050)*AA1050)*AH1050</x:f>
        <x:v>238215.0665857503</x:v>
      </x:c>
      <x:c r="AJ1050" s="32" t="n">
        <x:f>H1050*tun_CommonsCoef*AI1050^tun_CommonsExp*INDEX(LM_Commons,G1050)</x:f>
        <x:v>0</x:v>
      </x:c>
      <x:c r="AK1050" s="32" t="n">
        <x:f>H1050*tun_RoleScale*Arch_Roles*(AE1050*(INDEX(tun_ElderRolePerSett,G1050)*tun_OutElder*INDEX(LM_Elder,G1050)+INDEX(tun_ShamanPerSett,G1050)*tun_OutShaman)+Z1050*(INDEX(tun_PriestShare,G1050)*tun_OutPriest+INDEX(tun_ScribeShare,G1050)*tun_OutScribe*INDEX(LM_Scribe,G1050)+INDEX(tun_ScholarShare,G1050)*tun_OutScholar*INDEX(LM_Scholar,G1050)+INDEX(tun_ResearcherShare,G1050)*tun_OutResearcher*INDEX(LM_Researcher,G1050)))</x:f>
        <x:v>0</x:v>
      </x:c>
      <x:c r="AL1050" s="32" t="n">
        <x:f>H1050*tun_RoleScale*Arch_Roles*AE1050*INDEX(tun_MonasteryPerSett,G1050)*tun_OutMonastery*INDEX(LM_Monastery,G1050)</x:f>
        <x:v>0</x:v>
      </x:c>
      <x:c r="AM1050" s="32" t="n">
        <x:f>(AJ1050+AK1050+AL1050)/4*INDEX(LM_All,G1050)*INDEX(tun_Boon,G1050)*Arch_Insight</x:f>
        <x:v>0</x:v>
      </x:c>
      <x:c r="AN1050" s="32" t="n">
        <x:f>H1050*(tun_KHPerAdult*Z1050+tun_KHOfCommons*AJ1050/4*INDEX(LM_All,G1050))*tun_KHUsable*Arch_KH</x:f>
        <x:v>0</x:v>
      </x:c>
      <x:c r="AO1050" s="32" t="n">
        <x:f>MIN(AP1049+AN1050,AM1050*tun_KHMaxRatio)</x:f>
        <x:v>0</x:v>
      </x:c>
      <x:c r="AP1050" s="32" t="n">
        <x:f>AP1049+AN1050-AO1050</x:f>
        <x:v>0</x:v>
      </x:c>
      <x:c r="AQ1050" s="32" t="n">
        <x:f>AM1050+AO1050</x:f>
        <x:v>0</x:v>
      </x:c>
      <x:c r="AR1050" s="10" t="n">
        <x:f>IF(H1050=1,INDEX(tun_Req,G1050),0)</x:f>
        <x:v>0</x:v>
      </x:c>
      <x:c r="AS1050" s="32" t="n">
        <x:f>IF(H1050=1,IF(E1050=1,AS1049-AR1049,AS1049)+AQ1050,0)</x:f>
        <x:v>0</x:v>
      </x:c>
      <x:c r="AT1050" s="11" t="n">
        <x:f>IF(AR1050&gt;0,MIN(1,AS1050/AR1050),1)</x:f>
        <x:v>1</x:v>
      </x:c>
      <x:c r="AU1050" s="10" t="n">
        <x:f>AB1050/INDEX(tun_RepScale,G1050)</x:f>
        <x:v>290.3368848566301</x:v>
      </x:c>
      <x:c r="AV1050" s="32" t="n">
        <x:f>AM1050*60/tun_SeasonSeconds</x:f>
        <x:v>0</x:v>
      </x:c>
    </x:row>
    <x:row r="1051">
      <x:c r="A1051" s="8" t="n">
        <x:f>A1050+1</x:f>
        <x:v>1048</x:v>
      </x:c>
      <x:c r="B1051" s="9" t="n">
        <x:f>A1051*tun_SeasonSeconds/60</x:f>
        <x:v>262</x:v>
      </x:c>
      <x:c r="C1051" s="9" t="n">
        <x:f>A1051/4</x:f>
        <x:v>262</x:v>
      </x:c>
      <x:c r="D1051" s="8" t="n">
        <x:f>IF(MOD(A1051,4)=0,1,0)</x:f>
        <x:v>1</x:v>
      </x:c>
      <x:c r="E1051" s="8" t="n">
        <x:f>IF(AND(F1050&lt;=9,AS1050&gt;=AR1050),1,0)</x:f>
        <x:v>0</x:v>
      </x:c>
      <x:c r="F1051" s="8" t="n">
        <x:f>MIN(10,F1050+E1051)</x:f>
        <x:v>10</x:v>
      </x:c>
      <x:c r="G1051" s="8" t="n">
        <x:f>MIN(F1051,9)+1</x:f>
        <x:v>10</x:v>
      </x:c>
      <x:c r="H1051" s="8" t="n">
        <x:f>IF(F1051&lt;=9,1,0)</x:f>
        <x:v>0</x:v>
      </x:c>
      <x:c r="I1051" s="9" t="n">
        <x:f>MIN(10,F1050+IF(AR1050&gt;0,MIN(1,AS1050/AR1050),1))</x:f>
        <x:v>10</x:v>
      </x:c>
      <x:c r="J1051" s="32" t="n">
        <x:f>INDEX(tun_FoodCap,G1051)*Arch_FoodCap*EXP(tun_CapsByProject*SUMPRODUCT((Cap_Point&lt;=I1051)*(Cap_Kind="Food")*Cap_Ln))</x:f>
        <x:v>18627.260449441455</x:v>
      </x:c>
      <x:c r="K1051" s="32" t="n">
        <x:f>J1051*MIN(1,tun_LeanBase*EXP(tun_CapsByProject*SUMPRODUCT((Cap_Point&lt;=I1051)*(Cap_Kind="Lean")*Cap_Ln)))</x:f>
        <x:v>18627.260449441455</x:v>
      </x:c>
      <x:c r="L1051" s="10" t="n">
        <x:f>INDEX(tun_HousingCap,G1051)*EXP(tun_CapsByProject*SUMPRODUCT((Cap_Point&lt;=I1051)*(Cap_Kind="Housing")*Cap_Ln))</x:f>
        <x:v>20528.974303173167</x:v>
      </x:c>
      <x:c r="M1051" s="10" t="n">
        <x:f>INDEX(tun_GroupCap,G1051)*tun_CohesionFactor*EXP(tun_CapsByProject*SUMPRODUCT((Cap_Point&lt;=I1051)*(Cap_Kind="Group")*Cap_Ln))</x:f>
        <x:v>1000000.000000001</x:v>
      </x:c>
      <x:c r="N1051" s="32" t="n">
        <x:f>MIN(J1051,L1051,M1051)</x:f>
        <x:v>18627.260449441455</x:v>
      </x:c>
      <x:c r="O1051" s="10" t="n">
        <x:f>AE1050*N1051</x:f>
        <x:v>167645.34404497308</x:v>
      </x:c>
      <x:c r="P1051" s="9" t="n">
        <x:f>MIN(1,(AB1050/(AE1050*IF(tun_GroupInCrowding=1,N1051,MIN(J1051,L1051))))^tun_CrowdingExp)</x:f>
        <x:v>0.4215841981292809</x:v>
      </x:c>
      <x:c r="Q1051" s="9" t="n">
        <x:f>IF(D1051=1,INDEX(tun_WinterMult,G1051),1)</x:f>
        <x:v>1.05</x:v>
      </x:c>
      <x:c r="R1051" s="9" t="n">
        <x:f>H1051*Z1050*tun_WomenShare*tun_BaseFertility*INDEX(tun_FertMult,G1051)*Arch_Fertility*(1-P1051)</x:f>
        <x:v>0</x:v>
      </x:c>
      <x:c r="S1051" s="9" t="n">
        <x:f>H1051*Y1050*INDEX(tun_MortChild,G1051)/4*Q1051</x:f>
        <x:v>0</x:v>
      </x:c>
      <x:c r="T1051" s="9" t="n">
        <x:f>H1051*Z1050*INDEX(tun_MortAdult,G1051)*Arch_AdultMort/4*Q1051</x:f>
        <x:v>0</x:v>
      </x:c>
      <x:c r="U1051" s="9" t="n">
        <x:f>H1051*AA1050*INDEX(tun_MortElder,G1051)/4*Q1051</x:f>
        <x:v>0</x:v>
      </x:c>
      <x:c r="V1051" s="9" t="n">
        <x:f>H1051*MAX(0,AB1050-O1051)*tun_OvercapLoss</x:f>
        <x:v>0</x:v>
      </x:c>
      <x:c r="W1051" s="9" t="n">
        <x:f>H1051*Y1050/(tun_ChildYears*4)</x:f>
        <x:v>0</x:v>
      </x:c>
      <x:c r="X1051" s="9" t="n">
        <x:f>H1051*Z1050/(tun_AdultYears*4)</x:f>
        <x:v>0</x:v>
      </x:c>
      <x:c r="Y1051" s="32" t="n">
        <x:f>Y1050+R1051-S1051-W1051-Y1050*V1051/AB1050</x:f>
        <x:v>40496.20709015643</x:v>
      </x:c>
      <x:c r="Z1051" s="32" t="n">
        <x:f>Z1050+W1051-X1051-T1051-Z1050*V1051/AB1050</x:f>
        <x:v>59141.61122890803</x:v>
      </x:c>
      <x:c r="AA1051" s="32" t="n">
        <x:f>AA1050+X1051-U1051-AA1050*V1051/AB1050</x:f>
        <x:v>45530.62410925061</x:v>
      </x:c>
      <x:c r="AB1051" s="10" t="n">
        <x:f>Y1051+Z1051+AA1051</x:f>
        <x:v>145168.44242831506</x:v>
      </x:c>
      <x:c r="AC1051" s="8" t="n">
        <x:f>IF(AND(tun_WinterTrigger=1,D1051=1,AB1050/AE1050&gt;=K1051),1,0)</x:f>
        <x:v>0</x:v>
      </x:c>
      <x:c r="AD1051" s="8" t="n">
        <x:f>H1051*IF(AND(OR(AB1050/AE1050&gt;=tun_FissionTrigger*N1051,AC1051=1),AB1050/AE1050*tun_DaughterShare&gt;=tun_MinDaughter),MAX(1,ROUND(AE1050*tun_FissionRate,0)),0)</x:f>
        <x:v>0</x:v>
      </x:c>
      <x:c r="AE1051" s="8" t="n">
        <x:f>IF(H1051=1,MAX(1,MIN(INDEX(tun_Smax,G1051),AE1050+AD1051)),AE1050)</x:f>
        <x:v>9</x:v>
      </x:c>
      <x:c r="AF1051" s="8" t="n">
        <x:f>MAX(0,AE1051-AE1050)</x:f>
        <x:v>0</x:v>
      </x:c>
      <x:c r="AG1051" s="9" t="str">
        <x:f>IF(AF1051&gt;0,B1051,"")</x:f>
      </x:c>
      <x:c r="AH1051" s="9" t="n">
        <x:f>IF(F1051&gt;=1,1,(1+tun_LowTiesShare*(AE1051-1))/AE1051)</x:f>
        <x:v>1</x:v>
      </x:c>
      <x:c r="AI1051" s="32" t="n">
        <x:f>(Z1051+tun_ElderCommons*INDEX(LM_Elder,G1051)*AA1051)*AH1051</x:f>
        <x:v>238215.0665857503</x:v>
      </x:c>
      <x:c r="AJ1051" s="32" t="n">
        <x:f>H1051*tun_CommonsCoef*AI1051^tun_CommonsExp*INDEX(LM_Commons,G1051)</x:f>
        <x:v>0</x:v>
      </x:c>
      <x:c r="AK1051" s="32" t="n">
        <x:f>H1051*tun_RoleScale*Arch_Roles*(AE1051*(INDEX(tun_ElderRolePerSett,G1051)*tun_OutElder*INDEX(LM_Elder,G1051)+INDEX(tun_ShamanPerSett,G1051)*tun_OutShaman)+Z1051*(INDEX(tun_PriestShare,G1051)*tun_OutPriest+INDEX(tun_ScribeShare,G1051)*tun_OutScribe*INDEX(LM_Scribe,G1051)+INDEX(tun_ScholarShare,G1051)*tun_OutScholar*INDEX(LM_Scholar,G1051)+INDEX(tun_ResearcherShare,G1051)*tun_OutResearcher*INDEX(LM_Researcher,G1051)))</x:f>
        <x:v>0</x:v>
      </x:c>
      <x:c r="AL1051" s="32" t="n">
        <x:f>H1051*tun_RoleScale*Arch_Roles*AE1051*INDEX(tun_MonasteryPerSett,G1051)*tun_OutMonastery*INDEX(LM_Monastery,G1051)</x:f>
        <x:v>0</x:v>
      </x:c>
      <x:c r="AM1051" s="32" t="n">
        <x:f>(AJ1051+AK1051+AL1051)/4*INDEX(LM_All,G1051)*INDEX(tun_Boon,G1051)*Arch_Insight</x:f>
        <x:v>0</x:v>
      </x:c>
      <x:c r="AN1051" s="32" t="n">
        <x:f>H1051*(tun_KHPerAdult*Z1051+tun_KHOfCommons*AJ1051/4*INDEX(LM_All,G1051))*tun_KHUsable*Arch_KH</x:f>
        <x:v>0</x:v>
      </x:c>
      <x:c r="AO1051" s="32" t="n">
        <x:f>MIN(AP1050+AN1051,AM1051*tun_KHMaxRatio)</x:f>
        <x:v>0</x:v>
      </x:c>
      <x:c r="AP1051" s="32" t="n">
        <x:f>AP1050+AN1051-AO1051</x:f>
        <x:v>0</x:v>
      </x:c>
      <x:c r="AQ1051" s="32" t="n">
        <x:f>AM1051+AO1051</x:f>
        <x:v>0</x:v>
      </x:c>
      <x:c r="AR1051" s="10" t="n">
        <x:f>IF(H1051=1,INDEX(tun_Req,G1051),0)</x:f>
        <x:v>0</x:v>
      </x:c>
      <x:c r="AS1051" s="32" t="n">
        <x:f>IF(H1051=1,IF(E1051=1,AS1050-AR1050,AS1050)+AQ1051,0)</x:f>
        <x:v>0</x:v>
      </x:c>
      <x:c r="AT1051" s="11" t="n">
        <x:f>IF(AR1051&gt;0,MIN(1,AS1051/AR1051),1)</x:f>
        <x:v>1</x:v>
      </x:c>
      <x:c r="AU1051" s="10" t="n">
        <x:f>AB1051/INDEX(tun_RepScale,G1051)</x:f>
        <x:v>290.3368848566301</x:v>
      </x:c>
      <x:c r="AV1051" s="32" t="n">
        <x:f>AM1051*60/tun_SeasonSeconds</x:f>
        <x:v>0</x:v>
      </x:c>
    </x:row>
    <x:row r="1052">
      <x:c r="A1052" s="8" t="n">
        <x:f>A1051+1</x:f>
        <x:v>1049</x:v>
      </x:c>
      <x:c r="B1052" s="9" t="n">
        <x:f>A1052*tun_SeasonSeconds/60</x:f>
        <x:v>262.25</x:v>
      </x:c>
      <x:c r="C1052" s="9" t="n">
        <x:f>A1052/4</x:f>
        <x:v>262.25</x:v>
      </x:c>
      <x:c r="D1052" s="8" t="n">
        <x:f>IF(MOD(A1052,4)=0,1,0)</x:f>
        <x:v>0</x:v>
      </x:c>
      <x:c r="E1052" s="8" t="n">
        <x:f>IF(AND(F1051&lt;=9,AS1051&gt;=AR1051),1,0)</x:f>
        <x:v>0</x:v>
      </x:c>
      <x:c r="F1052" s="8" t="n">
        <x:f>MIN(10,F1051+E1052)</x:f>
        <x:v>10</x:v>
      </x:c>
      <x:c r="G1052" s="8" t="n">
        <x:f>MIN(F1052,9)+1</x:f>
        <x:v>10</x:v>
      </x:c>
      <x:c r="H1052" s="8" t="n">
        <x:f>IF(F1052&lt;=9,1,0)</x:f>
        <x:v>0</x:v>
      </x:c>
      <x:c r="I1052" s="9" t="n">
        <x:f>MIN(10,F1051+IF(AR1051&gt;0,MIN(1,AS1051/AR1051),1))</x:f>
        <x:v>10</x:v>
      </x:c>
      <x:c r="J1052" s="32" t="n">
        <x:f>INDEX(tun_FoodCap,G1052)*Arch_FoodCap*EXP(tun_CapsByProject*SUMPRODUCT((Cap_Point&lt;=I1052)*(Cap_Kind="Food")*Cap_Ln))</x:f>
        <x:v>18627.260449441455</x:v>
      </x:c>
      <x:c r="K1052" s="32" t="n">
        <x:f>J1052*MIN(1,tun_LeanBase*EXP(tun_CapsByProject*SUMPRODUCT((Cap_Point&lt;=I1052)*(Cap_Kind="Lean")*Cap_Ln)))</x:f>
        <x:v>18627.260449441455</x:v>
      </x:c>
      <x:c r="L1052" s="10" t="n">
        <x:f>INDEX(tun_HousingCap,G1052)*EXP(tun_CapsByProject*SUMPRODUCT((Cap_Point&lt;=I1052)*(Cap_Kind="Housing")*Cap_Ln))</x:f>
        <x:v>20528.974303173167</x:v>
      </x:c>
      <x:c r="M1052" s="10" t="n">
        <x:f>INDEX(tun_GroupCap,G1052)*tun_CohesionFactor*EXP(tun_CapsByProject*SUMPRODUCT((Cap_Point&lt;=I1052)*(Cap_Kind="Group")*Cap_Ln))</x:f>
        <x:v>1000000.000000001</x:v>
      </x:c>
      <x:c r="N1052" s="32" t="n">
        <x:f>MIN(J1052,L1052,M1052)</x:f>
        <x:v>18627.260449441455</x:v>
      </x:c>
      <x:c r="O1052" s="10" t="n">
        <x:f>AE1051*N1052</x:f>
        <x:v>167645.34404497308</x:v>
      </x:c>
      <x:c r="P1052" s="9" t="n">
        <x:f>MIN(1,(AB1051/(AE1051*IF(tun_GroupInCrowding=1,N1052,MIN(J1052,L1052))))^tun_CrowdingExp)</x:f>
        <x:v>0.4215841981292809</x:v>
      </x:c>
      <x:c r="Q1052" s="9" t="n">
        <x:f>IF(D1052=1,INDEX(tun_WinterMult,G1052),1)</x:f>
        <x:v>1</x:v>
      </x:c>
      <x:c r="R1052" s="9" t="n">
        <x:f>H1052*Z1051*tun_WomenShare*tun_BaseFertility*INDEX(tun_FertMult,G1052)*Arch_Fertility*(1-P1052)</x:f>
        <x:v>0</x:v>
      </x:c>
      <x:c r="S1052" s="9" t="n">
        <x:f>H1052*Y1051*INDEX(tun_MortChild,G1052)/4*Q1052</x:f>
        <x:v>0</x:v>
      </x:c>
      <x:c r="T1052" s="9" t="n">
        <x:f>H1052*Z1051*INDEX(tun_MortAdult,G1052)*Arch_AdultMort/4*Q1052</x:f>
        <x:v>0</x:v>
      </x:c>
      <x:c r="U1052" s="9" t="n">
        <x:f>H1052*AA1051*INDEX(tun_MortElder,G1052)/4*Q1052</x:f>
        <x:v>0</x:v>
      </x:c>
      <x:c r="V1052" s="9" t="n">
        <x:f>H1052*MAX(0,AB1051-O1052)*tun_OvercapLoss</x:f>
        <x:v>0</x:v>
      </x:c>
      <x:c r="W1052" s="9" t="n">
        <x:f>H1052*Y1051/(tun_ChildYears*4)</x:f>
        <x:v>0</x:v>
      </x:c>
      <x:c r="X1052" s="9" t="n">
        <x:f>H1052*Z1051/(tun_AdultYears*4)</x:f>
        <x:v>0</x:v>
      </x:c>
      <x:c r="Y1052" s="32" t="n">
        <x:f>Y1051+R1052-S1052-W1052-Y1051*V1052/AB1051</x:f>
        <x:v>40496.20709015643</x:v>
      </x:c>
      <x:c r="Z1052" s="32" t="n">
        <x:f>Z1051+W1052-X1052-T1052-Z1051*V1052/AB1051</x:f>
        <x:v>59141.61122890803</x:v>
      </x:c>
      <x:c r="AA1052" s="32" t="n">
        <x:f>AA1051+X1052-U1052-AA1051*V1052/AB1051</x:f>
        <x:v>45530.62410925061</x:v>
      </x:c>
      <x:c r="AB1052" s="10" t="n">
        <x:f>Y1052+Z1052+AA1052</x:f>
        <x:v>145168.44242831506</x:v>
      </x:c>
      <x:c r="AC1052" s="8" t="n">
        <x:f>IF(AND(tun_WinterTrigger=1,D1052=1,AB1051/AE1051&gt;=K1052),1,0)</x:f>
        <x:v>0</x:v>
      </x:c>
      <x:c r="AD1052" s="8" t="n">
        <x:f>H1052*IF(AND(OR(AB1051/AE1051&gt;=tun_FissionTrigger*N1052,AC1052=1),AB1051/AE1051*tun_DaughterShare&gt;=tun_MinDaughter),MAX(1,ROUND(AE1051*tun_FissionRate,0)),0)</x:f>
        <x:v>0</x:v>
      </x:c>
      <x:c r="AE1052" s="8" t="n">
        <x:f>IF(H1052=1,MAX(1,MIN(INDEX(tun_Smax,G1052),AE1051+AD1052)),AE1051)</x:f>
        <x:v>9</x:v>
      </x:c>
      <x:c r="AF1052" s="8" t="n">
        <x:f>MAX(0,AE1052-AE1051)</x:f>
        <x:v>0</x:v>
      </x:c>
      <x:c r="AG1052" s="9" t="str">
        <x:f>IF(AF1052&gt;0,B1052,"")</x:f>
      </x:c>
      <x:c r="AH1052" s="9" t="n">
        <x:f>IF(F1052&gt;=1,1,(1+tun_LowTiesShare*(AE1052-1))/AE1052)</x:f>
        <x:v>1</x:v>
      </x:c>
      <x:c r="AI1052" s="32" t="n">
        <x:f>(Z1052+tun_ElderCommons*INDEX(LM_Elder,G1052)*AA1052)*AH1052</x:f>
        <x:v>238215.0665857503</x:v>
      </x:c>
      <x:c r="AJ1052" s="32" t="n">
        <x:f>H1052*tun_CommonsCoef*AI1052^tun_CommonsExp*INDEX(LM_Commons,G1052)</x:f>
        <x:v>0</x:v>
      </x:c>
      <x:c r="AK1052" s="32" t="n">
        <x:f>H1052*tun_RoleScale*Arch_Roles*(AE1052*(INDEX(tun_ElderRolePerSett,G1052)*tun_OutElder*INDEX(LM_Elder,G1052)+INDEX(tun_ShamanPerSett,G1052)*tun_OutShaman)+Z1052*(INDEX(tun_PriestShare,G1052)*tun_OutPriest+INDEX(tun_ScribeShare,G1052)*tun_OutScribe*INDEX(LM_Scribe,G1052)+INDEX(tun_ScholarShare,G1052)*tun_OutScholar*INDEX(LM_Scholar,G1052)+INDEX(tun_ResearcherShare,G1052)*tun_OutResearcher*INDEX(LM_Researcher,G1052)))</x:f>
        <x:v>0</x:v>
      </x:c>
      <x:c r="AL1052" s="32" t="n">
        <x:f>H1052*tun_RoleScale*Arch_Roles*AE1052*INDEX(tun_MonasteryPerSett,G1052)*tun_OutMonastery*INDEX(LM_Monastery,G1052)</x:f>
        <x:v>0</x:v>
      </x:c>
      <x:c r="AM1052" s="32" t="n">
        <x:f>(AJ1052+AK1052+AL1052)/4*INDEX(LM_All,G1052)*INDEX(tun_Boon,G1052)*Arch_Insight</x:f>
        <x:v>0</x:v>
      </x:c>
      <x:c r="AN1052" s="32" t="n">
        <x:f>H1052*(tun_KHPerAdult*Z1052+tun_KHOfCommons*AJ1052/4*INDEX(LM_All,G1052))*tun_KHUsable*Arch_KH</x:f>
        <x:v>0</x:v>
      </x:c>
      <x:c r="AO1052" s="32" t="n">
        <x:f>MIN(AP1051+AN1052,AM1052*tun_KHMaxRatio)</x:f>
        <x:v>0</x:v>
      </x:c>
      <x:c r="AP1052" s="32" t="n">
        <x:f>AP1051+AN1052-AO1052</x:f>
        <x:v>0</x:v>
      </x:c>
      <x:c r="AQ1052" s="32" t="n">
        <x:f>AM1052+AO1052</x:f>
        <x:v>0</x:v>
      </x:c>
      <x:c r="AR1052" s="10" t="n">
        <x:f>IF(H1052=1,INDEX(tun_Req,G1052),0)</x:f>
        <x:v>0</x:v>
      </x:c>
      <x:c r="AS1052" s="32" t="n">
        <x:f>IF(H1052=1,IF(E1052=1,AS1051-AR1051,AS1051)+AQ1052,0)</x:f>
        <x:v>0</x:v>
      </x:c>
      <x:c r="AT1052" s="11" t="n">
        <x:f>IF(AR1052&gt;0,MIN(1,AS1052/AR1052),1)</x:f>
        <x:v>1</x:v>
      </x:c>
      <x:c r="AU1052" s="10" t="n">
        <x:f>AB1052/INDEX(tun_RepScale,G1052)</x:f>
        <x:v>290.3368848566301</x:v>
      </x:c>
      <x:c r="AV1052" s="32" t="n">
        <x:f>AM1052*60/tun_SeasonSeconds</x:f>
        <x:v>0</x:v>
      </x:c>
    </x:row>
    <x:row r="1053">
      <x:c r="A1053" s="8" t="n">
        <x:f>A1052+1</x:f>
        <x:v>1050</x:v>
      </x:c>
      <x:c r="B1053" s="9" t="n">
        <x:f>A1053*tun_SeasonSeconds/60</x:f>
        <x:v>262.5</x:v>
      </x:c>
      <x:c r="C1053" s="9" t="n">
        <x:f>A1053/4</x:f>
        <x:v>262.5</x:v>
      </x:c>
      <x:c r="D1053" s="8" t="n">
        <x:f>IF(MOD(A1053,4)=0,1,0)</x:f>
        <x:v>0</x:v>
      </x:c>
      <x:c r="E1053" s="8" t="n">
        <x:f>IF(AND(F1052&lt;=9,AS1052&gt;=AR1052),1,0)</x:f>
        <x:v>0</x:v>
      </x:c>
      <x:c r="F1053" s="8" t="n">
        <x:f>MIN(10,F1052+E1053)</x:f>
        <x:v>10</x:v>
      </x:c>
      <x:c r="G1053" s="8" t="n">
        <x:f>MIN(F1053,9)+1</x:f>
        <x:v>10</x:v>
      </x:c>
      <x:c r="H1053" s="8" t="n">
        <x:f>IF(F1053&lt;=9,1,0)</x:f>
        <x:v>0</x:v>
      </x:c>
      <x:c r="I1053" s="9" t="n">
        <x:f>MIN(10,F1052+IF(AR1052&gt;0,MIN(1,AS1052/AR1052),1))</x:f>
        <x:v>10</x:v>
      </x:c>
      <x:c r="J1053" s="32" t="n">
        <x:f>INDEX(tun_FoodCap,G1053)*Arch_FoodCap*EXP(tun_CapsByProject*SUMPRODUCT((Cap_Point&lt;=I1053)*(Cap_Kind="Food")*Cap_Ln))</x:f>
        <x:v>18627.260449441455</x:v>
      </x:c>
      <x:c r="K1053" s="32" t="n">
        <x:f>J1053*MIN(1,tun_LeanBase*EXP(tun_CapsByProject*SUMPRODUCT((Cap_Point&lt;=I1053)*(Cap_Kind="Lean")*Cap_Ln)))</x:f>
        <x:v>18627.260449441455</x:v>
      </x:c>
      <x:c r="L1053" s="10" t="n">
        <x:f>INDEX(tun_HousingCap,G1053)*EXP(tun_CapsByProject*SUMPRODUCT((Cap_Point&lt;=I1053)*(Cap_Kind="Housing")*Cap_Ln))</x:f>
        <x:v>20528.974303173167</x:v>
      </x:c>
      <x:c r="M1053" s="10" t="n">
        <x:f>INDEX(tun_GroupCap,G1053)*tun_CohesionFactor*EXP(tun_CapsByProject*SUMPRODUCT((Cap_Point&lt;=I1053)*(Cap_Kind="Group")*Cap_Ln))</x:f>
        <x:v>1000000.000000001</x:v>
      </x:c>
      <x:c r="N1053" s="32" t="n">
        <x:f>MIN(J1053,L1053,M1053)</x:f>
        <x:v>18627.260449441455</x:v>
      </x:c>
      <x:c r="O1053" s="10" t="n">
        <x:f>AE1052*N1053</x:f>
        <x:v>167645.34404497308</x:v>
      </x:c>
      <x:c r="P1053" s="9" t="n">
        <x:f>MIN(1,(AB1052/(AE1052*IF(tun_GroupInCrowding=1,N1053,MIN(J1053,L1053))))^tun_CrowdingExp)</x:f>
        <x:v>0.4215841981292809</x:v>
      </x:c>
      <x:c r="Q1053" s="9" t="n">
        <x:f>IF(D1053=1,INDEX(tun_WinterMult,G1053),1)</x:f>
        <x:v>1</x:v>
      </x:c>
      <x:c r="R1053" s="9" t="n">
        <x:f>H1053*Z1052*tun_WomenShare*tun_BaseFertility*INDEX(tun_FertMult,G1053)*Arch_Fertility*(1-P1053)</x:f>
        <x:v>0</x:v>
      </x:c>
      <x:c r="S1053" s="9" t="n">
        <x:f>H1053*Y1052*INDEX(tun_MortChild,G1053)/4*Q1053</x:f>
        <x:v>0</x:v>
      </x:c>
      <x:c r="T1053" s="9" t="n">
        <x:f>H1053*Z1052*INDEX(tun_MortAdult,G1053)*Arch_AdultMort/4*Q1053</x:f>
        <x:v>0</x:v>
      </x:c>
      <x:c r="U1053" s="9" t="n">
        <x:f>H1053*AA1052*INDEX(tun_MortElder,G1053)/4*Q1053</x:f>
        <x:v>0</x:v>
      </x:c>
      <x:c r="V1053" s="9" t="n">
        <x:f>H1053*MAX(0,AB1052-O1053)*tun_OvercapLoss</x:f>
        <x:v>0</x:v>
      </x:c>
      <x:c r="W1053" s="9" t="n">
        <x:f>H1053*Y1052/(tun_ChildYears*4)</x:f>
        <x:v>0</x:v>
      </x:c>
      <x:c r="X1053" s="9" t="n">
        <x:f>H1053*Z1052/(tun_AdultYears*4)</x:f>
        <x:v>0</x:v>
      </x:c>
      <x:c r="Y1053" s="32" t="n">
        <x:f>Y1052+R1053-S1053-W1053-Y1052*V1053/AB1052</x:f>
        <x:v>40496.20709015643</x:v>
      </x:c>
      <x:c r="Z1053" s="32" t="n">
        <x:f>Z1052+W1053-X1053-T1053-Z1052*V1053/AB1052</x:f>
        <x:v>59141.61122890803</x:v>
      </x:c>
      <x:c r="AA1053" s="32" t="n">
        <x:f>AA1052+X1053-U1053-AA1052*V1053/AB1052</x:f>
        <x:v>45530.62410925061</x:v>
      </x:c>
      <x:c r="AB1053" s="10" t="n">
        <x:f>Y1053+Z1053+AA1053</x:f>
        <x:v>145168.44242831506</x:v>
      </x:c>
      <x:c r="AC1053" s="8" t="n">
        <x:f>IF(AND(tun_WinterTrigger=1,D1053=1,AB1052/AE1052&gt;=K1053),1,0)</x:f>
        <x:v>0</x:v>
      </x:c>
      <x:c r="AD1053" s="8" t="n">
        <x:f>H1053*IF(AND(OR(AB1052/AE1052&gt;=tun_FissionTrigger*N1053,AC1053=1),AB1052/AE1052*tun_DaughterShare&gt;=tun_MinDaughter),MAX(1,ROUND(AE1052*tun_FissionRate,0)),0)</x:f>
        <x:v>0</x:v>
      </x:c>
      <x:c r="AE1053" s="8" t="n">
        <x:f>IF(H1053=1,MAX(1,MIN(INDEX(tun_Smax,G1053),AE1052+AD1053)),AE1052)</x:f>
        <x:v>9</x:v>
      </x:c>
      <x:c r="AF1053" s="8" t="n">
        <x:f>MAX(0,AE1053-AE1052)</x:f>
        <x:v>0</x:v>
      </x:c>
      <x:c r="AG1053" s="9" t="str">
        <x:f>IF(AF1053&gt;0,B1053,"")</x:f>
      </x:c>
      <x:c r="AH1053" s="9" t="n">
        <x:f>IF(F1053&gt;=1,1,(1+tun_LowTiesShare*(AE1053-1))/AE1053)</x:f>
        <x:v>1</x:v>
      </x:c>
      <x:c r="AI1053" s="32" t="n">
        <x:f>(Z1053+tun_ElderCommons*INDEX(LM_Elder,G1053)*AA1053)*AH1053</x:f>
        <x:v>238215.0665857503</x:v>
      </x:c>
      <x:c r="AJ1053" s="32" t="n">
        <x:f>H1053*tun_CommonsCoef*AI1053^tun_CommonsExp*INDEX(LM_Commons,G1053)</x:f>
        <x:v>0</x:v>
      </x:c>
      <x:c r="AK1053" s="32" t="n">
        <x:f>H1053*tun_RoleScale*Arch_Roles*(AE1053*(INDEX(tun_ElderRolePerSett,G1053)*tun_OutElder*INDEX(LM_Elder,G1053)+INDEX(tun_ShamanPerSett,G1053)*tun_OutShaman)+Z1053*(INDEX(tun_PriestShare,G1053)*tun_OutPriest+INDEX(tun_ScribeShare,G1053)*tun_OutScribe*INDEX(LM_Scribe,G1053)+INDEX(tun_ScholarShare,G1053)*tun_OutScholar*INDEX(LM_Scholar,G1053)+INDEX(tun_ResearcherShare,G1053)*tun_OutResearcher*INDEX(LM_Researcher,G1053)))</x:f>
        <x:v>0</x:v>
      </x:c>
      <x:c r="AL1053" s="32" t="n">
        <x:f>H1053*tun_RoleScale*Arch_Roles*AE1053*INDEX(tun_MonasteryPerSett,G1053)*tun_OutMonastery*INDEX(LM_Monastery,G1053)</x:f>
        <x:v>0</x:v>
      </x:c>
      <x:c r="AM1053" s="32" t="n">
        <x:f>(AJ1053+AK1053+AL1053)/4*INDEX(LM_All,G1053)*INDEX(tun_Boon,G1053)*Arch_Insight</x:f>
        <x:v>0</x:v>
      </x:c>
      <x:c r="AN1053" s="32" t="n">
        <x:f>H1053*(tun_KHPerAdult*Z1053+tun_KHOfCommons*AJ1053/4*INDEX(LM_All,G1053))*tun_KHUsable*Arch_KH</x:f>
        <x:v>0</x:v>
      </x:c>
      <x:c r="AO1053" s="32" t="n">
        <x:f>MIN(AP1052+AN1053,AM1053*tun_KHMaxRatio)</x:f>
        <x:v>0</x:v>
      </x:c>
      <x:c r="AP1053" s="32" t="n">
        <x:f>AP1052+AN1053-AO1053</x:f>
        <x:v>0</x:v>
      </x:c>
      <x:c r="AQ1053" s="32" t="n">
        <x:f>AM1053+AO1053</x:f>
        <x:v>0</x:v>
      </x:c>
      <x:c r="AR1053" s="10" t="n">
        <x:f>IF(H1053=1,INDEX(tun_Req,G1053),0)</x:f>
        <x:v>0</x:v>
      </x:c>
      <x:c r="AS1053" s="32" t="n">
        <x:f>IF(H1053=1,IF(E1053=1,AS1052-AR1052,AS1052)+AQ1053,0)</x:f>
        <x:v>0</x:v>
      </x:c>
      <x:c r="AT1053" s="11" t="n">
        <x:f>IF(AR1053&gt;0,MIN(1,AS1053/AR1053),1)</x:f>
        <x:v>1</x:v>
      </x:c>
      <x:c r="AU1053" s="10" t="n">
        <x:f>AB1053/INDEX(tun_RepScale,G1053)</x:f>
        <x:v>290.3368848566301</x:v>
      </x:c>
      <x:c r="AV1053" s="32" t="n">
        <x:f>AM1053*60/tun_SeasonSeconds</x:f>
        <x:v>0</x:v>
      </x:c>
    </x:row>
    <x:row r="1054">
      <x:c r="A1054" s="8" t="n">
        <x:f>A1053+1</x:f>
        <x:v>1051</x:v>
      </x:c>
      <x:c r="B1054" s="9" t="n">
        <x:f>A1054*tun_SeasonSeconds/60</x:f>
        <x:v>262.75</x:v>
      </x:c>
      <x:c r="C1054" s="9" t="n">
        <x:f>A1054/4</x:f>
        <x:v>262.75</x:v>
      </x:c>
      <x:c r="D1054" s="8" t="n">
        <x:f>IF(MOD(A1054,4)=0,1,0)</x:f>
        <x:v>0</x:v>
      </x:c>
      <x:c r="E1054" s="8" t="n">
        <x:f>IF(AND(F1053&lt;=9,AS1053&gt;=AR1053),1,0)</x:f>
        <x:v>0</x:v>
      </x:c>
      <x:c r="F1054" s="8" t="n">
        <x:f>MIN(10,F1053+E1054)</x:f>
        <x:v>10</x:v>
      </x:c>
      <x:c r="G1054" s="8" t="n">
        <x:f>MIN(F1054,9)+1</x:f>
        <x:v>10</x:v>
      </x:c>
      <x:c r="H1054" s="8" t="n">
        <x:f>IF(F1054&lt;=9,1,0)</x:f>
        <x:v>0</x:v>
      </x:c>
      <x:c r="I1054" s="9" t="n">
        <x:f>MIN(10,F1053+IF(AR1053&gt;0,MIN(1,AS1053/AR1053),1))</x:f>
        <x:v>10</x:v>
      </x:c>
      <x:c r="J1054" s="32" t="n">
        <x:f>INDEX(tun_FoodCap,G1054)*Arch_FoodCap*EXP(tun_CapsByProject*SUMPRODUCT((Cap_Point&lt;=I1054)*(Cap_Kind="Food")*Cap_Ln))</x:f>
        <x:v>18627.260449441455</x:v>
      </x:c>
      <x:c r="K1054" s="32" t="n">
        <x:f>J1054*MIN(1,tun_LeanBase*EXP(tun_CapsByProject*SUMPRODUCT((Cap_Point&lt;=I1054)*(Cap_Kind="Lean")*Cap_Ln)))</x:f>
        <x:v>18627.260449441455</x:v>
      </x:c>
      <x:c r="L1054" s="10" t="n">
        <x:f>INDEX(tun_HousingCap,G1054)*EXP(tun_CapsByProject*SUMPRODUCT((Cap_Point&lt;=I1054)*(Cap_Kind="Housing")*Cap_Ln))</x:f>
        <x:v>20528.974303173167</x:v>
      </x:c>
      <x:c r="M1054" s="10" t="n">
        <x:f>INDEX(tun_GroupCap,G1054)*tun_CohesionFactor*EXP(tun_CapsByProject*SUMPRODUCT((Cap_Point&lt;=I1054)*(Cap_Kind="Group")*Cap_Ln))</x:f>
        <x:v>1000000.000000001</x:v>
      </x:c>
      <x:c r="N1054" s="32" t="n">
        <x:f>MIN(J1054,L1054,M1054)</x:f>
        <x:v>18627.260449441455</x:v>
      </x:c>
      <x:c r="O1054" s="10" t="n">
        <x:f>AE1053*N1054</x:f>
        <x:v>167645.34404497308</x:v>
      </x:c>
      <x:c r="P1054" s="9" t="n">
        <x:f>MIN(1,(AB1053/(AE1053*IF(tun_GroupInCrowding=1,N1054,MIN(J1054,L1054))))^tun_CrowdingExp)</x:f>
        <x:v>0.4215841981292809</x:v>
      </x:c>
      <x:c r="Q1054" s="9" t="n">
        <x:f>IF(D1054=1,INDEX(tun_WinterMult,G1054),1)</x:f>
        <x:v>1</x:v>
      </x:c>
      <x:c r="R1054" s="9" t="n">
        <x:f>H1054*Z1053*tun_WomenShare*tun_BaseFertility*INDEX(tun_FertMult,G1054)*Arch_Fertility*(1-P1054)</x:f>
        <x:v>0</x:v>
      </x:c>
      <x:c r="S1054" s="9" t="n">
        <x:f>H1054*Y1053*INDEX(tun_MortChild,G1054)/4*Q1054</x:f>
        <x:v>0</x:v>
      </x:c>
      <x:c r="T1054" s="9" t="n">
        <x:f>H1054*Z1053*INDEX(tun_MortAdult,G1054)*Arch_AdultMort/4*Q1054</x:f>
        <x:v>0</x:v>
      </x:c>
      <x:c r="U1054" s="9" t="n">
        <x:f>H1054*AA1053*INDEX(tun_MortElder,G1054)/4*Q1054</x:f>
        <x:v>0</x:v>
      </x:c>
      <x:c r="V1054" s="9" t="n">
        <x:f>H1054*MAX(0,AB1053-O1054)*tun_OvercapLoss</x:f>
        <x:v>0</x:v>
      </x:c>
      <x:c r="W1054" s="9" t="n">
        <x:f>H1054*Y1053/(tun_ChildYears*4)</x:f>
        <x:v>0</x:v>
      </x:c>
      <x:c r="X1054" s="9" t="n">
        <x:f>H1054*Z1053/(tun_AdultYears*4)</x:f>
        <x:v>0</x:v>
      </x:c>
      <x:c r="Y1054" s="32" t="n">
        <x:f>Y1053+R1054-S1054-W1054-Y1053*V1054/AB1053</x:f>
        <x:v>40496.20709015643</x:v>
      </x:c>
      <x:c r="Z1054" s="32" t="n">
        <x:f>Z1053+W1054-X1054-T1054-Z1053*V1054/AB1053</x:f>
        <x:v>59141.61122890803</x:v>
      </x:c>
      <x:c r="AA1054" s="32" t="n">
        <x:f>AA1053+X1054-U1054-AA1053*V1054/AB1053</x:f>
        <x:v>45530.62410925061</x:v>
      </x:c>
      <x:c r="AB1054" s="10" t="n">
        <x:f>Y1054+Z1054+AA1054</x:f>
        <x:v>145168.44242831506</x:v>
      </x:c>
      <x:c r="AC1054" s="8" t="n">
        <x:f>IF(AND(tun_WinterTrigger=1,D1054=1,AB1053/AE1053&gt;=K1054),1,0)</x:f>
        <x:v>0</x:v>
      </x:c>
      <x:c r="AD1054" s="8" t="n">
        <x:f>H1054*IF(AND(OR(AB1053/AE1053&gt;=tun_FissionTrigger*N1054,AC1054=1),AB1053/AE1053*tun_DaughterShare&gt;=tun_MinDaughter),MAX(1,ROUND(AE1053*tun_FissionRate,0)),0)</x:f>
        <x:v>0</x:v>
      </x:c>
      <x:c r="AE1054" s="8" t="n">
        <x:f>IF(H1054=1,MAX(1,MIN(INDEX(tun_Smax,G1054),AE1053+AD1054)),AE1053)</x:f>
        <x:v>9</x:v>
      </x:c>
      <x:c r="AF1054" s="8" t="n">
        <x:f>MAX(0,AE1054-AE1053)</x:f>
        <x:v>0</x:v>
      </x:c>
      <x:c r="AG1054" s="9" t="str">
        <x:f>IF(AF1054&gt;0,B1054,"")</x:f>
      </x:c>
      <x:c r="AH1054" s="9" t="n">
        <x:f>IF(F1054&gt;=1,1,(1+tun_LowTiesShare*(AE1054-1))/AE1054)</x:f>
        <x:v>1</x:v>
      </x:c>
      <x:c r="AI1054" s="32" t="n">
        <x:f>(Z1054+tun_ElderCommons*INDEX(LM_Elder,G1054)*AA1054)*AH1054</x:f>
        <x:v>238215.0665857503</x:v>
      </x:c>
      <x:c r="AJ1054" s="32" t="n">
        <x:f>H1054*tun_CommonsCoef*AI1054^tun_CommonsExp*INDEX(LM_Commons,G1054)</x:f>
        <x:v>0</x:v>
      </x:c>
      <x:c r="AK1054" s="32" t="n">
        <x:f>H1054*tun_RoleScale*Arch_Roles*(AE1054*(INDEX(tun_ElderRolePerSett,G1054)*tun_OutElder*INDEX(LM_Elder,G1054)+INDEX(tun_ShamanPerSett,G1054)*tun_OutShaman)+Z1054*(INDEX(tun_PriestShare,G1054)*tun_OutPriest+INDEX(tun_ScribeShare,G1054)*tun_OutScribe*INDEX(LM_Scribe,G1054)+INDEX(tun_ScholarShare,G1054)*tun_OutScholar*INDEX(LM_Scholar,G1054)+INDEX(tun_ResearcherShare,G1054)*tun_OutResearcher*INDEX(LM_Researcher,G1054)))</x:f>
        <x:v>0</x:v>
      </x:c>
      <x:c r="AL1054" s="32" t="n">
        <x:f>H1054*tun_RoleScale*Arch_Roles*AE1054*INDEX(tun_MonasteryPerSett,G1054)*tun_OutMonastery*INDEX(LM_Monastery,G1054)</x:f>
        <x:v>0</x:v>
      </x:c>
      <x:c r="AM1054" s="32" t="n">
        <x:f>(AJ1054+AK1054+AL1054)/4*INDEX(LM_All,G1054)*INDEX(tun_Boon,G1054)*Arch_Insight</x:f>
        <x:v>0</x:v>
      </x:c>
      <x:c r="AN1054" s="32" t="n">
        <x:f>H1054*(tun_KHPerAdult*Z1054+tun_KHOfCommons*AJ1054/4*INDEX(LM_All,G1054))*tun_KHUsable*Arch_KH</x:f>
        <x:v>0</x:v>
      </x:c>
      <x:c r="AO1054" s="32" t="n">
        <x:f>MIN(AP1053+AN1054,AM1054*tun_KHMaxRatio)</x:f>
        <x:v>0</x:v>
      </x:c>
      <x:c r="AP1054" s="32" t="n">
        <x:f>AP1053+AN1054-AO1054</x:f>
        <x:v>0</x:v>
      </x:c>
      <x:c r="AQ1054" s="32" t="n">
        <x:f>AM1054+AO1054</x:f>
        <x:v>0</x:v>
      </x:c>
      <x:c r="AR1054" s="10" t="n">
        <x:f>IF(H1054=1,INDEX(tun_Req,G1054),0)</x:f>
        <x:v>0</x:v>
      </x:c>
      <x:c r="AS1054" s="32" t="n">
        <x:f>IF(H1054=1,IF(E1054=1,AS1053-AR1053,AS1053)+AQ1054,0)</x:f>
        <x:v>0</x:v>
      </x:c>
      <x:c r="AT1054" s="11" t="n">
        <x:f>IF(AR1054&gt;0,MIN(1,AS1054/AR1054),1)</x:f>
        <x:v>1</x:v>
      </x:c>
      <x:c r="AU1054" s="10" t="n">
        <x:f>AB1054/INDEX(tun_RepScale,G1054)</x:f>
        <x:v>290.3368848566301</x:v>
      </x:c>
      <x:c r="AV1054" s="32" t="n">
        <x:f>AM1054*60/tun_SeasonSeconds</x:f>
        <x:v>0</x:v>
      </x:c>
    </x:row>
    <x:row r="1055">
      <x:c r="A1055" s="8" t="n">
        <x:f>A1054+1</x:f>
        <x:v>1052</x:v>
      </x:c>
      <x:c r="B1055" s="9" t="n">
        <x:f>A1055*tun_SeasonSeconds/60</x:f>
        <x:v>263</x:v>
      </x:c>
      <x:c r="C1055" s="9" t="n">
        <x:f>A1055/4</x:f>
        <x:v>263</x:v>
      </x:c>
      <x:c r="D1055" s="8" t="n">
        <x:f>IF(MOD(A1055,4)=0,1,0)</x:f>
        <x:v>1</x:v>
      </x:c>
      <x:c r="E1055" s="8" t="n">
        <x:f>IF(AND(F1054&lt;=9,AS1054&gt;=AR1054),1,0)</x:f>
        <x:v>0</x:v>
      </x:c>
      <x:c r="F1055" s="8" t="n">
        <x:f>MIN(10,F1054+E1055)</x:f>
        <x:v>10</x:v>
      </x:c>
      <x:c r="G1055" s="8" t="n">
        <x:f>MIN(F1055,9)+1</x:f>
        <x:v>10</x:v>
      </x:c>
      <x:c r="H1055" s="8" t="n">
        <x:f>IF(F1055&lt;=9,1,0)</x:f>
        <x:v>0</x:v>
      </x:c>
      <x:c r="I1055" s="9" t="n">
        <x:f>MIN(10,F1054+IF(AR1054&gt;0,MIN(1,AS1054/AR1054),1))</x:f>
        <x:v>10</x:v>
      </x:c>
      <x:c r="J1055" s="32" t="n">
        <x:f>INDEX(tun_FoodCap,G1055)*Arch_FoodCap*EXP(tun_CapsByProject*SUMPRODUCT((Cap_Point&lt;=I1055)*(Cap_Kind="Food")*Cap_Ln))</x:f>
        <x:v>18627.260449441455</x:v>
      </x:c>
      <x:c r="K1055" s="32" t="n">
        <x:f>J1055*MIN(1,tun_LeanBase*EXP(tun_CapsByProject*SUMPRODUCT((Cap_Point&lt;=I1055)*(Cap_Kind="Lean")*Cap_Ln)))</x:f>
        <x:v>18627.260449441455</x:v>
      </x:c>
      <x:c r="L1055" s="10" t="n">
        <x:f>INDEX(tun_HousingCap,G1055)*EXP(tun_CapsByProject*SUMPRODUCT((Cap_Point&lt;=I1055)*(Cap_Kind="Housing")*Cap_Ln))</x:f>
        <x:v>20528.974303173167</x:v>
      </x:c>
      <x:c r="M1055" s="10" t="n">
        <x:f>INDEX(tun_GroupCap,G1055)*tun_CohesionFactor*EXP(tun_CapsByProject*SUMPRODUCT((Cap_Point&lt;=I1055)*(Cap_Kind="Group")*Cap_Ln))</x:f>
        <x:v>1000000.000000001</x:v>
      </x:c>
      <x:c r="N1055" s="32" t="n">
        <x:f>MIN(J1055,L1055,M1055)</x:f>
        <x:v>18627.260449441455</x:v>
      </x:c>
      <x:c r="O1055" s="10" t="n">
        <x:f>AE1054*N1055</x:f>
        <x:v>167645.34404497308</x:v>
      </x:c>
      <x:c r="P1055" s="9" t="n">
        <x:f>MIN(1,(AB1054/(AE1054*IF(tun_GroupInCrowding=1,N1055,MIN(J1055,L1055))))^tun_CrowdingExp)</x:f>
        <x:v>0.4215841981292809</x:v>
      </x:c>
      <x:c r="Q1055" s="9" t="n">
        <x:f>IF(D1055=1,INDEX(tun_WinterMult,G1055),1)</x:f>
        <x:v>1.05</x:v>
      </x:c>
      <x:c r="R1055" s="9" t="n">
        <x:f>H1055*Z1054*tun_WomenShare*tun_BaseFertility*INDEX(tun_FertMult,G1055)*Arch_Fertility*(1-P1055)</x:f>
        <x:v>0</x:v>
      </x:c>
      <x:c r="S1055" s="9" t="n">
        <x:f>H1055*Y1054*INDEX(tun_MortChild,G1055)/4*Q1055</x:f>
        <x:v>0</x:v>
      </x:c>
      <x:c r="T1055" s="9" t="n">
        <x:f>H1055*Z1054*INDEX(tun_MortAdult,G1055)*Arch_AdultMort/4*Q1055</x:f>
        <x:v>0</x:v>
      </x:c>
      <x:c r="U1055" s="9" t="n">
        <x:f>H1055*AA1054*INDEX(tun_MortElder,G1055)/4*Q1055</x:f>
        <x:v>0</x:v>
      </x:c>
      <x:c r="V1055" s="9" t="n">
        <x:f>H1055*MAX(0,AB1054-O1055)*tun_OvercapLoss</x:f>
        <x:v>0</x:v>
      </x:c>
      <x:c r="W1055" s="9" t="n">
        <x:f>H1055*Y1054/(tun_ChildYears*4)</x:f>
        <x:v>0</x:v>
      </x:c>
      <x:c r="X1055" s="9" t="n">
        <x:f>H1055*Z1054/(tun_AdultYears*4)</x:f>
        <x:v>0</x:v>
      </x:c>
      <x:c r="Y1055" s="32" t="n">
        <x:f>Y1054+R1055-S1055-W1055-Y1054*V1055/AB1054</x:f>
        <x:v>40496.20709015643</x:v>
      </x:c>
      <x:c r="Z1055" s="32" t="n">
        <x:f>Z1054+W1055-X1055-T1055-Z1054*V1055/AB1054</x:f>
        <x:v>59141.61122890803</x:v>
      </x:c>
      <x:c r="AA1055" s="32" t="n">
        <x:f>AA1054+X1055-U1055-AA1054*V1055/AB1054</x:f>
        <x:v>45530.62410925061</x:v>
      </x:c>
      <x:c r="AB1055" s="10" t="n">
        <x:f>Y1055+Z1055+AA1055</x:f>
        <x:v>145168.44242831506</x:v>
      </x:c>
      <x:c r="AC1055" s="8" t="n">
        <x:f>IF(AND(tun_WinterTrigger=1,D1055=1,AB1054/AE1054&gt;=K1055),1,0)</x:f>
        <x:v>0</x:v>
      </x:c>
      <x:c r="AD1055" s="8" t="n">
        <x:f>H1055*IF(AND(OR(AB1054/AE1054&gt;=tun_FissionTrigger*N1055,AC1055=1),AB1054/AE1054*tun_DaughterShare&gt;=tun_MinDaughter),MAX(1,ROUND(AE1054*tun_FissionRate,0)),0)</x:f>
        <x:v>0</x:v>
      </x:c>
      <x:c r="AE1055" s="8" t="n">
        <x:f>IF(H1055=1,MAX(1,MIN(INDEX(tun_Smax,G1055),AE1054+AD1055)),AE1054)</x:f>
        <x:v>9</x:v>
      </x:c>
      <x:c r="AF1055" s="8" t="n">
        <x:f>MAX(0,AE1055-AE1054)</x:f>
        <x:v>0</x:v>
      </x:c>
      <x:c r="AG1055" s="9" t="str">
        <x:f>IF(AF1055&gt;0,B1055,"")</x:f>
      </x:c>
      <x:c r="AH1055" s="9" t="n">
        <x:f>IF(F1055&gt;=1,1,(1+tun_LowTiesShare*(AE1055-1))/AE1055)</x:f>
        <x:v>1</x:v>
      </x:c>
      <x:c r="AI1055" s="32" t="n">
        <x:f>(Z1055+tun_ElderCommons*INDEX(LM_Elder,G1055)*AA1055)*AH1055</x:f>
        <x:v>238215.0665857503</x:v>
      </x:c>
      <x:c r="AJ1055" s="32" t="n">
        <x:f>H1055*tun_CommonsCoef*AI1055^tun_CommonsExp*INDEX(LM_Commons,G1055)</x:f>
        <x:v>0</x:v>
      </x:c>
      <x:c r="AK1055" s="32" t="n">
        <x:f>H1055*tun_RoleScale*Arch_Roles*(AE1055*(INDEX(tun_ElderRolePerSett,G1055)*tun_OutElder*INDEX(LM_Elder,G1055)+INDEX(tun_ShamanPerSett,G1055)*tun_OutShaman)+Z1055*(INDEX(tun_PriestShare,G1055)*tun_OutPriest+INDEX(tun_ScribeShare,G1055)*tun_OutScribe*INDEX(LM_Scribe,G1055)+INDEX(tun_ScholarShare,G1055)*tun_OutScholar*INDEX(LM_Scholar,G1055)+INDEX(tun_ResearcherShare,G1055)*tun_OutResearcher*INDEX(LM_Researcher,G1055)))</x:f>
        <x:v>0</x:v>
      </x:c>
      <x:c r="AL1055" s="32" t="n">
        <x:f>H1055*tun_RoleScale*Arch_Roles*AE1055*INDEX(tun_MonasteryPerSett,G1055)*tun_OutMonastery*INDEX(LM_Monastery,G1055)</x:f>
        <x:v>0</x:v>
      </x:c>
      <x:c r="AM1055" s="32" t="n">
        <x:f>(AJ1055+AK1055+AL1055)/4*INDEX(LM_All,G1055)*INDEX(tun_Boon,G1055)*Arch_Insight</x:f>
        <x:v>0</x:v>
      </x:c>
      <x:c r="AN1055" s="32" t="n">
        <x:f>H1055*(tun_KHPerAdult*Z1055+tun_KHOfCommons*AJ1055/4*INDEX(LM_All,G1055))*tun_KHUsable*Arch_KH</x:f>
        <x:v>0</x:v>
      </x:c>
      <x:c r="AO1055" s="32" t="n">
        <x:f>MIN(AP1054+AN1055,AM1055*tun_KHMaxRatio)</x:f>
        <x:v>0</x:v>
      </x:c>
      <x:c r="AP1055" s="32" t="n">
        <x:f>AP1054+AN1055-AO1055</x:f>
        <x:v>0</x:v>
      </x:c>
      <x:c r="AQ1055" s="32" t="n">
        <x:f>AM1055+AO1055</x:f>
        <x:v>0</x:v>
      </x:c>
      <x:c r="AR1055" s="10" t="n">
        <x:f>IF(H1055=1,INDEX(tun_Req,G1055),0)</x:f>
        <x:v>0</x:v>
      </x:c>
      <x:c r="AS1055" s="32" t="n">
        <x:f>IF(H1055=1,IF(E1055=1,AS1054-AR1054,AS1054)+AQ1055,0)</x:f>
        <x:v>0</x:v>
      </x:c>
      <x:c r="AT1055" s="11" t="n">
        <x:f>IF(AR1055&gt;0,MIN(1,AS1055/AR1055),1)</x:f>
        <x:v>1</x:v>
      </x:c>
      <x:c r="AU1055" s="10" t="n">
        <x:f>AB1055/INDEX(tun_RepScale,G1055)</x:f>
        <x:v>290.3368848566301</x:v>
      </x:c>
      <x:c r="AV1055" s="32" t="n">
        <x:f>AM1055*60/tun_SeasonSeconds</x:f>
        <x:v>0</x:v>
      </x:c>
    </x:row>
    <x:row r="1056">
      <x:c r="A1056" s="8" t="n">
        <x:f>A1055+1</x:f>
        <x:v>1053</x:v>
      </x:c>
      <x:c r="B1056" s="9" t="n">
        <x:f>A1056*tun_SeasonSeconds/60</x:f>
        <x:v>263.25</x:v>
      </x:c>
      <x:c r="C1056" s="9" t="n">
        <x:f>A1056/4</x:f>
        <x:v>263.25</x:v>
      </x:c>
      <x:c r="D1056" s="8" t="n">
        <x:f>IF(MOD(A1056,4)=0,1,0)</x:f>
        <x:v>0</x:v>
      </x:c>
      <x:c r="E1056" s="8" t="n">
        <x:f>IF(AND(F1055&lt;=9,AS1055&gt;=AR1055),1,0)</x:f>
        <x:v>0</x:v>
      </x:c>
      <x:c r="F1056" s="8" t="n">
        <x:f>MIN(10,F1055+E1056)</x:f>
        <x:v>10</x:v>
      </x:c>
      <x:c r="G1056" s="8" t="n">
        <x:f>MIN(F1056,9)+1</x:f>
        <x:v>10</x:v>
      </x:c>
      <x:c r="H1056" s="8" t="n">
        <x:f>IF(F1056&lt;=9,1,0)</x:f>
        <x:v>0</x:v>
      </x:c>
      <x:c r="I1056" s="9" t="n">
        <x:f>MIN(10,F1055+IF(AR1055&gt;0,MIN(1,AS1055/AR1055),1))</x:f>
        <x:v>10</x:v>
      </x:c>
      <x:c r="J1056" s="32" t="n">
        <x:f>INDEX(tun_FoodCap,G1056)*Arch_FoodCap*EXP(tun_CapsByProject*SUMPRODUCT((Cap_Point&lt;=I1056)*(Cap_Kind="Food")*Cap_Ln))</x:f>
        <x:v>18627.260449441455</x:v>
      </x:c>
      <x:c r="K1056" s="32" t="n">
        <x:f>J1056*MIN(1,tun_LeanBase*EXP(tun_CapsByProject*SUMPRODUCT((Cap_Point&lt;=I1056)*(Cap_Kind="Lean")*Cap_Ln)))</x:f>
        <x:v>18627.260449441455</x:v>
      </x:c>
      <x:c r="L1056" s="10" t="n">
        <x:f>INDEX(tun_HousingCap,G1056)*EXP(tun_CapsByProject*SUMPRODUCT((Cap_Point&lt;=I1056)*(Cap_Kind="Housing")*Cap_Ln))</x:f>
        <x:v>20528.974303173167</x:v>
      </x:c>
      <x:c r="M1056" s="10" t="n">
        <x:f>INDEX(tun_GroupCap,G1056)*tun_CohesionFactor*EXP(tun_CapsByProject*SUMPRODUCT((Cap_Point&lt;=I1056)*(Cap_Kind="Group")*Cap_Ln))</x:f>
        <x:v>1000000.000000001</x:v>
      </x:c>
      <x:c r="N1056" s="32" t="n">
        <x:f>MIN(J1056,L1056,M1056)</x:f>
        <x:v>18627.260449441455</x:v>
      </x:c>
      <x:c r="O1056" s="10" t="n">
        <x:f>AE1055*N1056</x:f>
        <x:v>167645.34404497308</x:v>
      </x:c>
      <x:c r="P1056" s="9" t="n">
        <x:f>MIN(1,(AB1055/(AE1055*IF(tun_GroupInCrowding=1,N1056,MIN(J1056,L1056))))^tun_CrowdingExp)</x:f>
        <x:v>0.4215841981292809</x:v>
      </x:c>
      <x:c r="Q1056" s="9" t="n">
        <x:f>IF(D1056=1,INDEX(tun_WinterMult,G1056),1)</x:f>
        <x:v>1</x:v>
      </x:c>
      <x:c r="R1056" s="9" t="n">
        <x:f>H1056*Z1055*tun_WomenShare*tun_BaseFertility*INDEX(tun_FertMult,G1056)*Arch_Fertility*(1-P1056)</x:f>
        <x:v>0</x:v>
      </x:c>
      <x:c r="S1056" s="9" t="n">
        <x:f>H1056*Y1055*INDEX(tun_MortChild,G1056)/4*Q1056</x:f>
        <x:v>0</x:v>
      </x:c>
      <x:c r="T1056" s="9" t="n">
        <x:f>H1056*Z1055*INDEX(tun_MortAdult,G1056)*Arch_AdultMort/4*Q1056</x:f>
        <x:v>0</x:v>
      </x:c>
      <x:c r="U1056" s="9" t="n">
        <x:f>H1056*AA1055*INDEX(tun_MortElder,G1056)/4*Q1056</x:f>
        <x:v>0</x:v>
      </x:c>
      <x:c r="V1056" s="9" t="n">
        <x:f>H1056*MAX(0,AB1055-O1056)*tun_OvercapLoss</x:f>
        <x:v>0</x:v>
      </x:c>
      <x:c r="W1056" s="9" t="n">
        <x:f>H1056*Y1055/(tun_ChildYears*4)</x:f>
        <x:v>0</x:v>
      </x:c>
      <x:c r="X1056" s="9" t="n">
        <x:f>H1056*Z1055/(tun_AdultYears*4)</x:f>
        <x:v>0</x:v>
      </x:c>
      <x:c r="Y1056" s="32" t="n">
        <x:f>Y1055+R1056-S1056-W1056-Y1055*V1056/AB1055</x:f>
        <x:v>40496.20709015643</x:v>
      </x:c>
      <x:c r="Z1056" s="32" t="n">
        <x:f>Z1055+W1056-X1056-T1056-Z1055*V1056/AB1055</x:f>
        <x:v>59141.61122890803</x:v>
      </x:c>
      <x:c r="AA1056" s="32" t="n">
        <x:f>AA1055+X1056-U1056-AA1055*V1056/AB1055</x:f>
        <x:v>45530.62410925061</x:v>
      </x:c>
      <x:c r="AB1056" s="10" t="n">
        <x:f>Y1056+Z1056+AA1056</x:f>
        <x:v>145168.44242831506</x:v>
      </x:c>
      <x:c r="AC1056" s="8" t="n">
        <x:f>IF(AND(tun_WinterTrigger=1,D1056=1,AB1055/AE1055&gt;=K1056),1,0)</x:f>
        <x:v>0</x:v>
      </x:c>
      <x:c r="AD1056" s="8" t="n">
        <x:f>H1056*IF(AND(OR(AB1055/AE1055&gt;=tun_FissionTrigger*N1056,AC1056=1),AB1055/AE1055*tun_DaughterShare&gt;=tun_MinDaughter),MAX(1,ROUND(AE1055*tun_FissionRate,0)),0)</x:f>
        <x:v>0</x:v>
      </x:c>
      <x:c r="AE1056" s="8" t="n">
        <x:f>IF(H1056=1,MAX(1,MIN(INDEX(tun_Smax,G1056),AE1055+AD1056)),AE1055)</x:f>
        <x:v>9</x:v>
      </x:c>
      <x:c r="AF1056" s="8" t="n">
        <x:f>MAX(0,AE1056-AE1055)</x:f>
        <x:v>0</x:v>
      </x:c>
      <x:c r="AG1056" s="9" t="str">
        <x:f>IF(AF1056&gt;0,B1056,"")</x:f>
      </x:c>
      <x:c r="AH1056" s="9" t="n">
        <x:f>IF(F1056&gt;=1,1,(1+tun_LowTiesShare*(AE1056-1))/AE1056)</x:f>
        <x:v>1</x:v>
      </x:c>
      <x:c r="AI1056" s="32" t="n">
        <x:f>(Z1056+tun_ElderCommons*INDEX(LM_Elder,G1056)*AA1056)*AH1056</x:f>
        <x:v>238215.0665857503</x:v>
      </x:c>
      <x:c r="AJ1056" s="32" t="n">
        <x:f>H1056*tun_CommonsCoef*AI1056^tun_CommonsExp*INDEX(LM_Commons,G1056)</x:f>
        <x:v>0</x:v>
      </x:c>
      <x:c r="AK1056" s="32" t="n">
        <x:f>H1056*tun_RoleScale*Arch_Roles*(AE1056*(INDEX(tun_ElderRolePerSett,G1056)*tun_OutElder*INDEX(LM_Elder,G1056)+INDEX(tun_ShamanPerSett,G1056)*tun_OutShaman)+Z1056*(INDEX(tun_PriestShare,G1056)*tun_OutPriest+INDEX(tun_ScribeShare,G1056)*tun_OutScribe*INDEX(LM_Scribe,G1056)+INDEX(tun_ScholarShare,G1056)*tun_OutScholar*INDEX(LM_Scholar,G1056)+INDEX(tun_ResearcherShare,G1056)*tun_OutResearcher*INDEX(LM_Researcher,G1056)))</x:f>
        <x:v>0</x:v>
      </x:c>
      <x:c r="AL1056" s="32" t="n">
        <x:f>H1056*tun_RoleScale*Arch_Roles*AE1056*INDEX(tun_MonasteryPerSett,G1056)*tun_OutMonastery*INDEX(LM_Monastery,G1056)</x:f>
        <x:v>0</x:v>
      </x:c>
      <x:c r="AM1056" s="32" t="n">
        <x:f>(AJ1056+AK1056+AL1056)/4*INDEX(LM_All,G1056)*INDEX(tun_Boon,G1056)*Arch_Insight</x:f>
        <x:v>0</x:v>
      </x:c>
      <x:c r="AN1056" s="32" t="n">
        <x:f>H1056*(tun_KHPerAdult*Z1056+tun_KHOfCommons*AJ1056/4*INDEX(LM_All,G1056))*tun_KHUsable*Arch_KH</x:f>
        <x:v>0</x:v>
      </x:c>
      <x:c r="AO1056" s="32" t="n">
        <x:f>MIN(AP1055+AN1056,AM1056*tun_KHMaxRatio)</x:f>
        <x:v>0</x:v>
      </x:c>
      <x:c r="AP1056" s="32" t="n">
        <x:f>AP1055+AN1056-AO1056</x:f>
        <x:v>0</x:v>
      </x:c>
      <x:c r="AQ1056" s="32" t="n">
        <x:f>AM1056+AO1056</x:f>
        <x:v>0</x:v>
      </x:c>
      <x:c r="AR1056" s="10" t="n">
        <x:f>IF(H1056=1,INDEX(tun_Req,G1056),0)</x:f>
        <x:v>0</x:v>
      </x:c>
      <x:c r="AS1056" s="32" t="n">
        <x:f>IF(H1056=1,IF(E1056=1,AS1055-AR1055,AS1055)+AQ1056,0)</x:f>
        <x:v>0</x:v>
      </x:c>
      <x:c r="AT1056" s="11" t="n">
        <x:f>IF(AR1056&gt;0,MIN(1,AS1056/AR1056),1)</x:f>
        <x:v>1</x:v>
      </x:c>
      <x:c r="AU1056" s="10" t="n">
        <x:f>AB1056/INDEX(tun_RepScale,G1056)</x:f>
        <x:v>290.3368848566301</x:v>
      </x:c>
      <x:c r="AV1056" s="32" t="n">
        <x:f>AM1056*60/tun_SeasonSeconds</x:f>
        <x:v>0</x:v>
      </x:c>
    </x:row>
    <x:row r="1057">
      <x:c r="A1057" s="8" t="n">
        <x:f>A1056+1</x:f>
        <x:v>1054</x:v>
      </x:c>
      <x:c r="B1057" s="9" t="n">
        <x:f>A1057*tun_SeasonSeconds/60</x:f>
        <x:v>263.5</x:v>
      </x:c>
      <x:c r="C1057" s="9" t="n">
        <x:f>A1057/4</x:f>
        <x:v>263.5</x:v>
      </x:c>
      <x:c r="D1057" s="8" t="n">
        <x:f>IF(MOD(A1057,4)=0,1,0)</x:f>
        <x:v>0</x:v>
      </x:c>
      <x:c r="E1057" s="8" t="n">
        <x:f>IF(AND(F1056&lt;=9,AS1056&gt;=AR1056),1,0)</x:f>
        <x:v>0</x:v>
      </x:c>
      <x:c r="F1057" s="8" t="n">
        <x:f>MIN(10,F1056+E1057)</x:f>
        <x:v>10</x:v>
      </x:c>
      <x:c r="G1057" s="8" t="n">
        <x:f>MIN(F1057,9)+1</x:f>
        <x:v>10</x:v>
      </x:c>
      <x:c r="H1057" s="8" t="n">
        <x:f>IF(F1057&lt;=9,1,0)</x:f>
        <x:v>0</x:v>
      </x:c>
      <x:c r="I1057" s="9" t="n">
        <x:f>MIN(10,F1056+IF(AR1056&gt;0,MIN(1,AS1056/AR1056),1))</x:f>
        <x:v>10</x:v>
      </x:c>
      <x:c r="J1057" s="32" t="n">
        <x:f>INDEX(tun_FoodCap,G1057)*Arch_FoodCap*EXP(tun_CapsByProject*SUMPRODUCT((Cap_Point&lt;=I1057)*(Cap_Kind="Food")*Cap_Ln))</x:f>
        <x:v>18627.260449441455</x:v>
      </x:c>
      <x:c r="K1057" s="32" t="n">
        <x:f>J1057*MIN(1,tun_LeanBase*EXP(tun_CapsByProject*SUMPRODUCT((Cap_Point&lt;=I1057)*(Cap_Kind="Lean")*Cap_Ln)))</x:f>
        <x:v>18627.260449441455</x:v>
      </x:c>
      <x:c r="L1057" s="10" t="n">
        <x:f>INDEX(tun_HousingCap,G1057)*EXP(tun_CapsByProject*SUMPRODUCT((Cap_Point&lt;=I1057)*(Cap_Kind="Housing")*Cap_Ln))</x:f>
        <x:v>20528.974303173167</x:v>
      </x:c>
      <x:c r="M1057" s="10" t="n">
        <x:f>INDEX(tun_GroupCap,G1057)*tun_CohesionFactor*EXP(tun_CapsByProject*SUMPRODUCT((Cap_Point&lt;=I1057)*(Cap_Kind="Group")*Cap_Ln))</x:f>
        <x:v>1000000.000000001</x:v>
      </x:c>
      <x:c r="N1057" s="32" t="n">
        <x:f>MIN(J1057,L1057,M1057)</x:f>
        <x:v>18627.260449441455</x:v>
      </x:c>
      <x:c r="O1057" s="10" t="n">
        <x:f>AE1056*N1057</x:f>
        <x:v>167645.34404497308</x:v>
      </x:c>
      <x:c r="P1057" s="9" t="n">
        <x:f>MIN(1,(AB1056/(AE1056*IF(tun_GroupInCrowding=1,N1057,MIN(J1057,L1057))))^tun_CrowdingExp)</x:f>
        <x:v>0.4215841981292809</x:v>
      </x:c>
      <x:c r="Q1057" s="9" t="n">
        <x:f>IF(D1057=1,INDEX(tun_WinterMult,G1057),1)</x:f>
        <x:v>1</x:v>
      </x:c>
      <x:c r="R1057" s="9" t="n">
        <x:f>H1057*Z1056*tun_WomenShare*tun_BaseFertility*INDEX(tun_FertMult,G1057)*Arch_Fertility*(1-P1057)</x:f>
        <x:v>0</x:v>
      </x:c>
      <x:c r="S1057" s="9" t="n">
        <x:f>H1057*Y1056*INDEX(tun_MortChild,G1057)/4*Q1057</x:f>
        <x:v>0</x:v>
      </x:c>
      <x:c r="T1057" s="9" t="n">
        <x:f>H1057*Z1056*INDEX(tun_MortAdult,G1057)*Arch_AdultMort/4*Q1057</x:f>
        <x:v>0</x:v>
      </x:c>
      <x:c r="U1057" s="9" t="n">
        <x:f>H1057*AA1056*INDEX(tun_MortElder,G1057)/4*Q1057</x:f>
        <x:v>0</x:v>
      </x:c>
      <x:c r="V1057" s="9" t="n">
        <x:f>H1057*MAX(0,AB1056-O1057)*tun_OvercapLoss</x:f>
        <x:v>0</x:v>
      </x:c>
      <x:c r="W1057" s="9" t="n">
        <x:f>H1057*Y1056/(tun_ChildYears*4)</x:f>
        <x:v>0</x:v>
      </x:c>
      <x:c r="X1057" s="9" t="n">
        <x:f>H1057*Z1056/(tun_AdultYears*4)</x:f>
        <x:v>0</x:v>
      </x:c>
      <x:c r="Y1057" s="32" t="n">
        <x:f>Y1056+R1057-S1057-W1057-Y1056*V1057/AB1056</x:f>
        <x:v>40496.20709015643</x:v>
      </x:c>
      <x:c r="Z1057" s="32" t="n">
        <x:f>Z1056+W1057-X1057-T1057-Z1056*V1057/AB1056</x:f>
        <x:v>59141.61122890803</x:v>
      </x:c>
      <x:c r="AA1057" s="32" t="n">
        <x:f>AA1056+X1057-U1057-AA1056*V1057/AB1056</x:f>
        <x:v>45530.62410925061</x:v>
      </x:c>
      <x:c r="AB1057" s="10" t="n">
        <x:f>Y1057+Z1057+AA1057</x:f>
        <x:v>145168.44242831506</x:v>
      </x:c>
      <x:c r="AC1057" s="8" t="n">
        <x:f>IF(AND(tun_WinterTrigger=1,D1057=1,AB1056/AE1056&gt;=K1057),1,0)</x:f>
        <x:v>0</x:v>
      </x:c>
      <x:c r="AD1057" s="8" t="n">
        <x:f>H1057*IF(AND(OR(AB1056/AE1056&gt;=tun_FissionTrigger*N1057,AC1057=1),AB1056/AE1056*tun_DaughterShare&gt;=tun_MinDaughter),MAX(1,ROUND(AE1056*tun_FissionRate,0)),0)</x:f>
        <x:v>0</x:v>
      </x:c>
      <x:c r="AE1057" s="8" t="n">
        <x:f>IF(H1057=1,MAX(1,MIN(INDEX(tun_Smax,G1057),AE1056+AD1057)),AE1056)</x:f>
        <x:v>9</x:v>
      </x:c>
      <x:c r="AF1057" s="8" t="n">
        <x:f>MAX(0,AE1057-AE1056)</x:f>
        <x:v>0</x:v>
      </x:c>
      <x:c r="AG1057" s="9" t="str">
        <x:f>IF(AF1057&gt;0,B1057,"")</x:f>
      </x:c>
      <x:c r="AH1057" s="9" t="n">
        <x:f>IF(F1057&gt;=1,1,(1+tun_LowTiesShare*(AE1057-1))/AE1057)</x:f>
        <x:v>1</x:v>
      </x:c>
      <x:c r="AI1057" s="32" t="n">
        <x:f>(Z1057+tun_ElderCommons*INDEX(LM_Elder,G1057)*AA1057)*AH1057</x:f>
        <x:v>238215.0665857503</x:v>
      </x:c>
      <x:c r="AJ1057" s="32" t="n">
        <x:f>H1057*tun_CommonsCoef*AI1057^tun_CommonsExp*INDEX(LM_Commons,G1057)</x:f>
        <x:v>0</x:v>
      </x:c>
      <x:c r="AK1057" s="32" t="n">
        <x:f>H1057*tun_RoleScale*Arch_Roles*(AE1057*(INDEX(tun_ElderRolePerSett,G1057)*tun_OutElder*INDEX(LM_Elder,G1057)+INDEX(tun_ShamanPerSett,G1057)*tun_OutShaman)+Z1057*(INDEX(tun_PriestShare,G1057)*tun_OutPriest+INDEX(tun_ScribeShare,G1057)*tun_OutScribe*INDEX(LM_Scribe,G1057)+INDEX(tun_ScholarShare,G1057)*tun_OutScholar*INDEX(LM_Scholar,G1057)+INDEX(tun_ResearcherShare,G1057)*tun_OutResearcher*INDEX(LM_Researcher,G1057)))</x:f>
        <x:v>0</x:v>
      </x:c>
      <x:c r="AL1057" s="32" t="n">
        <x:f>H1057*tun_RoleScale*Arch_Roles*AE1057*INDEX(tun_MonasteryPerSett,G1057)*tun_OutMonastery*INDEX(LM_Monastery,G1057)</x:f>
        <x:v>0</x:v>
      </x:c>
      <x:c r="AM1057" s="32" t="n">
        <x:f>(AJ1057+AK1057+AL1057)/4*INDEX(LM_All,G1057)*INDEX(tun_Boon,G1057)*Arch_Insight</x:f>
        <x:v>0</x:v>
      </x:c>
      <x:c r="AN1057" s="32" t="n">
        <x:f>H1057*(tun_KHPerAdult*Z1057+tun_KHOfCommons*AJ1057/4*INDEX(LM_All,G1057))*tun_KHUsable*Arch_KH</x:f>
        <x:v>0</x:v>
      </x:c>
      <x:c r="AO1057" s="32" t="n">
        <x:f>MIN(AP1056+AN1057,AM1057*tun_KHMaxRatio)</x:f>
        <x:v>0</x:v>
      </x:c>
      <x:c r="AP1057" s="32" t="n">
        <x:f>AP1056+AN1057-AO1057</x:f>
        <x:v>0</x:v>
      </x:c>
      <x:c r="AQ1057" s="32" t="n">
        <x:f>AM1057+AO1057</x:f>
        <x:v>0</x:v>
      </x:c>
      <x:c r="AR1057" s="10" t="n">
        <x:f>IF(H1057=1,INDEX(tun_Req,G1057),0)</x:f>
        <x:v>0</x:v>
      </x:c>
      <x:c r="AS1057" s="32" t="n">
        <x:f>IF(H1057=1,IF(E1057=1,AS1056-AR1056,AS1056)+AQ1057,0)</x:f>
        <x:v>0</x:v>
      </x:c>
      <x:c r="AT1057" s="11" t="n">
        <x:f>IF(AR1057&gt;0,MIN(1,AS1057/AR1057),1)</x:f>
        <x:v>1</x:v>
      </x:c>
      <x:c r="AU1057" s="10" t="n">
        <x:f>AB1057/INDEX(tun_RepScale,G1057)</x:f>
        <x:v>290.3368848566301</x:v>
      </x:c>
      <x:c r="AV1057" s="32" t="n">
        <x:f>AM1057*60/tun_SeasonSeconds</x:f>
        <x:v>0</x:v>
      </x:c>
    </x:row>
    <x:row r="1058">
      <x:c r="A1058" s="8" t="n">
        <x:f>A1057+1</x:f>
        <x:v>1055</x:v>
      </x:c>
      <x:c r="B1058" s="9" t="n">
        <x:f>A1058*tun_SeasonSeconds/60</x:f>
        <x:v>263.75</x:v>
      </x:c>
      <x:c r="C1058" s="9" t="n">
        <x:f>A1058/4</x:f>
        <x:v>263.75</x:v>
      </x:c>
      <x:c r="D1058" s="8" t="n">
        <x:f>IF(MOD(A1058,4)=0,1,0)</x:f>
        <x:v>0</x:v>
      </x:c>
      <x:c r="E1058" s="8" t="n">
        <x:f>IF(AND(F1057&lt;=9,AS1057&gt;=AR1057),1,0)</x:f>
        <x:v>0</x:v>
      </x:c>
      <x:c r="F1058" s="8" t="n">
        <x:f>MIN(10,F1057+E1058)</x:f>
        <x:v>10</x:v>
      </x:c>
      <x:c r="G1058" s="8" t="n">
        <x:f>MIN(F1058,9)+1</x:f>
        <x:v>10</x:v>
      </x:c>
      <x:c r="H1058" s="8" t="n">
        <x:f>IF(F1058&lt;=9,1,0)</x:f>
        <x:v>0</x:v>
      </x:c>
      <x:c r="I1058" s="9" t="n">
        <x:f>MIN(10,F1057+IF(AR1057&gt;0,MIN(1,AS1057/AR1057),1))</x:f>
        <x:v>10</x:v>
      </x:c>
      <x:c r="J1058" s="32" t="n">
        <x:f>INDEX(tun_FoodCap,G1058)*Arch_FoodCap*EXP(tun_CapsByProject*SUMPRODUCT((Cap_Point&lt;=I1058)*(Cap_Kind="Food")*Cap_Ln))</x:f>
        <x:v>18627.260449441455</x:v>
      </x:c>
      <x:c r="K1058" s="32" t="n">
        <x:f>J1058*MIN(1,tun_LeanBase*EXP(tun_CapsByProject*SUMPRODUCT((Cap_Point&lt;=I1058)*(Cap_Kind="Lean")*Cap_Ln)))</x:f>
        <x:v>18627.260449441455</x:v>
      </x:c>
      <x:c r="L1058" s="10" t="n">
        <x:f>INDEX(tun_HousingCap,G1058)*EXP(tun_CapsByProject*SUMPRODUCT((Cap_Point&lt;=I1058)*(Cap_Kind="Housing")*Cap_Ln))</x:f>
        <x:v>20528.974303173167</x:v>
      </x:c>
      <x:c r="M1058" s="10" t="n">
        <x:f>INDEX(tun_GroupCap,G1058)*tun_CohesionFactor*EXP(tun_CapsByProject*SUMPRODUCT((Cap_Point&lt;=I1058)*(Cap_Kind="Group")*Cap_Ln))</x:f>
        <x:v>1000000.000000001</x:v>
      </x:c>
      <x:c r="N1058" s="32" t="n">
        <x:f>MIN(J1058,L1058,M1058)</x:f>
        <x:v>18627.260449441455</x:v>
      </x:c>
      <x:c r="O1058" s="10" t="n">
        <x:f>AE1057*N1058</x:f>
        <x:v>167645.34404497308</x:v>
      </x:c>
      <x:c r="P1058" s="9" t="n">
        <x:f>MIN(1,(AB1057/(AE1057*IF(tun_GroupInCrowding=1,N1058,MIN(J1058,L1058))))^tun_CrowdingExp)</x:f>
        <x:v>0.4215841981292809</x:v>
      </x:c>
      <x:c r="Q1058" s="9" t="n">
        <x:f>IF(D1058=1,INDEX(tun_WinterMult,G1058),1)</x:f>
        <x:v>1</x:v>
      </x:c>
      <x:c r="R1058" s="9" t="n">
        <x:f>H1058*Z1057*tun_WomenShare*tun_BaseFertility*INDEX(tun_FertMult,G1058)*Arch_Fertility*(1-P1058)</x:f>
        <x:v>0</x:v>
      </x:c>
      <x:c r="S1058" s="9" t="n">
        <x:f>H1058*Y1057*INDEX(tun_MortChild,G1058)/4*Q1058</x:f>
        <x:v>0</x:v>
      </x:c>
      <x:c r="T1058" s="9" t="n">
        <x:f>H1058*Z1057*INDEX(tun_MortAdult,G1058)*Arch_AdultMort/4*Q1058</x:f>
        <x:v>0</x:v>
      </x:c>
      <x:c r="U1058" s="9" t="n">
        <x:f>H1058*AA1057*INDEX(tun_MortElder,G1058)/4*Q1058</x:f>
        <x:v>0</x:v>
      </x:c>
      <x:c r="V1058" s="9" t="n">
        <x:f>H1058*MAX(0,AB1057-O1058)*tun_OvercapLoss</x:f>
        <x:v>0</x:v>
      </x:c>
      <x:c r="W1058" s="9" t="n">
        <x:f>H1058*Y1057/(tun_ChildYears*4)</x:f>
        <x:v>0</x:v>
      </x:c>
      <x:c r="X1058" s="9" t="n">
        <x:f>H1058*Z1057/(tun_AdultYears*4)</x:f>
        <x:v>0</x:v>
      </x:c>
      <x:c r="Y1058" s="32" t="n">
        <x:f>Y1057+R1058-S1058-W1058-Y1057*V1058/AB1057</x:f>
        <x:v>40496.20709015643</x:v>
      </x:c>
      <x:c r="Z1058" s="32" t="n">
        <x:f>Z1057+W1058-X1058-T1058-Z1057*V1058/AB1057</x:f>
        <x:v>59141.61122890803</x:v>
      </x:c>
      <x:c r="AA1058" s="32" t="n">
        <x:f>AA1057+X1058-U1058-AA1057*V1058/AB1057</x:f>
        <x:v>45530.62410925061</x:v>
      </x:c>
      <x:c r="AB1058" s="10" t="n">
        <x:f>Y1058+Z1058+AA1058</x:f>
        <x:v>145168.44242831506</x:v>
      </x:c>
      <x:c r="AC1058" s="8" t="n">
        <x:f>IF(AND(tun_WinterTrigger=1,D1058=1,AB1057/AE1057&gt;=K1058),1,0)</x:f>
        <x:v>0</x:v>
      </x:c>
      <x:c r="AD1058" s="8" t="n">
        <x:f>H1058*IF(AND(OR(AB1057/AE1057&gt;=tun_FissionTrigger*N1058,AC1058=1),AB1057/AE1057*tun_DaughterShare&gt;=tun_MinDaughter),MAX(1,ROUND(AE1057*tun_FissionRate,0)),0)</x:f>
        <x:v>0</x:v>
      </x:c>
      <x:c r="AE1058" s="8" t="n">
        <x:f>IF(H1058=1,MAX(1,MIN(INDEX(tun_Smax,G1058),AE1057+AD1058)),AE1057)</x:f>
        <x:v>9</x:v>
      </x:c>
      <x:c r="AF1058" s="8" t="n">
        <x:f>MAX(0,AE1058-AE1057)</x:f>
        <x:v>0</x:v>
      </x:c>
      <x:c r="AG1058" s="9" t="str">
        <x:f>IF(AF1058&gt;0,B1058,"")</x:f>
      </x:c>
      <x:c r="AH1058" s="9" t="n">
        <x:f>IF(F1058&gt;=1,1,(1+tun_LowTiesShare*(AE1058-1))/AE1058)</x:f>
        <x:v>1</x:v>
      </x:c>
      <x:c r="AI1058" s="32" t="n">
        <x:f>(Z1058+tun_ElderCommons*INDEX(LM_Elder,G1058)*AA1058)*AH1058</x:f>
        <x:v>238215.0665857503</x:v>
      </x:c>
      <x:c r="AJ1058" s="32" t="n">
        <x:f>H1058*tun_CommonsCoef*AI1058^tun_CommonsExp*INDEX(LM_Commons,G1058)</x:f>
        <x:v>0</x:v>
      </x:c>
      <x:c r="AK1058" s="32" t="n">
        <x:f>H1058*tun_RoleScale*Arch_Roles*(AE1058*(INDEX(tun_ElderRolePerSett,G1058)*tun_OutElder*INDEX(LM_Elder,G1058)+INDEX(tun_ShamanPerSett,G1058)*tun_OutShaman)+Z1058*(INDEX(tun_PriestShare,G1058)*tun_OutPriest+INDEX(tun_ScribeShare,G1058)*tun_OutScribe*INDEX(LM_Scribe,G1058)+INDEX(tun_ScholarShare,G1058)*tun_OutScholar*INDEX(LM_Scholar,G1058)+INDEX(tun_ResearcherShare,G1058)*tun_OutResearcher*INDEX(LM_Researcher,G1058)))</x:f>
        <x:v>0</x:v>
      </x:c>
      <x:c r="AL1058" s="32" t="n">
        <x:f>H1058*tun_RoleScale*Arch_Roles*AE1058*INDEX(tun_MonasteryPerSett,G1058)*tun_OutMonastery*INDEX(LM_Monastery,G1058)</x:f>
        <x:v>0</x:v>
      </x:c>
      <x:c r="AM1058" s="32" t="n">
        <x:f>(AJ1058+AK1058+AL1058)/4*INDEX(LM_All,G1058)*INDEX(tun_Boon,G1058)*Arch_Insight</x:f>
        <x:v>0</x:v>
      </x:c>
      <x:c r="AN1058" s="32" t="n">
        <x:f>H1058*(tun_KHPerAdult*Z1058+tun_KHOfCommons*AJ1058/4*INDEX(LM_All,G1058))*tun_KHUsable*Arch_KH</x:f>
        <x:v>0</x:v>
      </x:c>
      <x:c r="AO1058" s="32" t="n">
        <x:f>MIN(AP1057+AN1058,AM1058*tun_KHMaxRatio)</x:f>
        <x:v>0</x:v>
      </x:c>
      <x:c r="AP1058" s="32" t="n">
        <x:f>AP1057+AN1058-AO1058</x:f>
        <x:v>0</x:v>
      </x:c>
      <x:c r="AQ1058" s="32" t="n">
        <x:f>AM1058+AO1058</x:f>
        <x:v>0</x:v>
      </x:c>
      <x:c r="AR1058" s="10" t="n">
        <x:f>IF(H1058=1,INDEX(tun_Req,G1058),0)</x:f>
        <x:v>0</x:v>
      </x:c>
      <x:c r="AS1058" s="32" t="n">
        <x:f>IF(H1058=1,IF(E1058=1,AS1057-AR1057,AS1057)+AQ1058,0)</x:f>
        <x:v>0</x:v>
      </x:c>
      <x:c r="AT1058" s="11" t="n">
        <x:f>IF(AR1058&gt;0,MIN(1,AS1058/AR1058),1)</x:f>
        <x:v>1</x:v>
      </x:c>
      <x:c r="AU1058" s="10" t="n">
        <x:f>AB1058/INDEX(tun_RepScale,G1058)</x:f>
        <x:v>290.3368848566301</x:v>
      </x:c>
      <x:c r="AV1058" s="32" t="n">
        <x:f>AM1058*60/tun_SeasonSeconds</x:f>
        <x:v>0</x:v>
      </x:c>
    </x:row>
    <x:row r="1059">
      <x:c r="A1059" s="8" t="n">
        <x:f>A1058+1</x:f>
        <x:v>1056</x:v>
      </x:c>
      <x:c r="B1059" s="9" t="n">
        <x:f>A1059*tun_SeasonSeconds/60</x:f>
        <x:v>264</x:v>
      </x:c>
      <x:c r="C1059" s="9" t="n">
        <x:f>A1059/4</x:f>
        <x:v>264</x:v>
      </x:c>
      <x:c r="D1059" s="8" t="n">
        <x:f>IF(MOD(A1059,4)=0,1,0)</x:f>
        <x:v>1</x:v>
      </x:c>
      <x:c r="E1059" s="8" t="n">
        <x:f>IF(AND(F1058&lt;=9,AS1058&gt;=AR1058),1,0)</x:f>
        <x:v>0</x:v>
      </x:c>
      <x:c r="F1059" s="8" t="n">
        <x:f>MIN(10,F1058+E1059)</x:f>
        <x:v>10</x:v>
      </x:c>
      <x:c r="G1059" s="8" t="n">
        <x:f>MIN(F1059,9)+1</x:f>
        <x:v>10</x:v>
      </x:c>
      <x:c r="H1059" s="8" t="n">
        <x:f>IF(F1059&lt;=9,1,0)</x:f>
        <x:v>0</x:v>
      </x:c>
      <x:c r="I1059" s="9" t="n">
        <x:f>MIN(10,F1058+IF(AR1058&gt;0,MIN(1,AS1058/AR1058),1))</x:f>
        <x:v>10</x:v>
      </x:c>
      <x:c r="J1059" s="32" t="n">
        <x:f>INDEX(tun_FoodCap,G1059)*Arch_FoodCap*EXP(tun_CapsByProject*SUMPRODUCT((Cap_Point&lt;=I1059)*(Cap_Kind="Food")*Cap_Ln))</x:f>
        <x:v>18627.260449441455</x:v>
      </x:c>
      <x:c r="K1059" s="32" t="n">
        <x:f>J1059*MIN(1,tun_LeanBase*EXP(tun_CapsByProject*SUMPRODUCT((Cap_Point&lt;=I1059)*(Cap_Kind="Lean")*Cap_Ln)))</x:f>
        <x:v>18627.260449441455</x:v>
      </x:c>
      <x:c r="L1059" s="10" t="n">
        <x:f>INDEX(tun_HousingCap,G1059)*EXP(tun_CapsByProject*SUMPRODUCT((Cap_Point&lt;=I1059)*(Cap_Kind="Housing")*Cap_Ln))</x:f>
        <x:v>20528.974303173167</x:v>
      </x:c>
      <x:c r="M1059" s="10" t="n">
        <x:f>INDEX(tun_GroupCap,G1059)*tun_CohesionFactor*EXP(tun_CapsByProject*SUMPRODUCT((Cap_Point&lt;=I1059)*(Cap_Kind="Group")*Cap_Ln))</x:f>
        <x:v>1000000.000000001</x:v>
      </x:c>
      <x:c r="N1059" s="32" t="n">
        <x:f>MIN(J1059,L1059,M1059)</x:f>
        <x:v>18627.260449441455</x:v>
      </x:c>
      <x:c r="O1059" s="10" t="n">
        <x:f>AE1058*N1059</x:f>
        <x:v>167645.34404497308</x:v>
      </x:c>
      <x:c r="P1059" s="9" t="n">
        <x:f>MIN(1,(AB1058/(AE1058*IF(tun_GroupInCrowding=1,N1059,MIN(J1059,L1059))))^tun_CrowdingExp)</x:f>
        <x:v>0.4215841981292809</x:v>
      </x:c>
      <x:c r="Q1059" s="9" t="n">
        <x:f>IF(D1059=1,INDEX(tun_WinterMult,G1059),1)</x:f>
        <x:v>1.05</x:v>
      </x:c>
      <x:c r="R1059" s="9" t="n">
        <x:f>H1059*Z1058*tun_WomenShare*tun_BaseFertility*INDEX(tun_FertMult,G1059)*Arch_Fertility*(1-P1059)</x:f>
        <x:v>0</x:v>
      </x:c>
      <x:c r="S1059" s="9" t="n">
        <x:f>H1059*Y1058*INDEX(tun_MortChild,G1059)/4*Q1059</x:f>
        <x:v>0</x:v>
      </x:c>
      <x:c r="T1059" s="9" t="n">
        <x:f>H1059*Z1058*INDEX(tun_MortAdult,G1059)*Arch_AdultMort/4*Q1059</x:f>
        <x:v>0</x:v>
      </x:c>
      <x:c r="U1059" s="9" t="n">
        <x:f>H1059*AA1058*INDEX(tun_MortElder,G1059)/4*Q1059</x:f>
        <x:v>0</x:v>
      </x:c>
      <x:c r="V1059" s="9" t="n">
        <x:f>H1059*MAX(0,AB1058-O1059)*tun_OvercapLoss</x:f>
        <x:v>0</x:v>
      </x:c>
      <x:c r="W1059" s="9" t="n">
        <x:f>H1059*Y1058/(tun_ChildYears*4)</x:f>
        <x:v>0</x:v>
      </x:c>
      <x:c r="X1059" s="9" t="n">
        <x:f>H1059*Z1058/(tun_AdultYears*4)</x:f>
        <x:v>0</x:v>
      </x:c>
      <x:c r="Y1059" s="32" t="n">
        <x:f>Y1058+R1059-S1059-W1059-Y1058*V1059/AB1058</x:f>
        <x:v>40496.20709015643</x:v>
      </x:c>
      <x:c r="Z1059" s="32" t="n">
        <x:f>Z1058+W1059-X1059-T1059-Z1058*V1059/AB1058</x:f>
        <x:v>59141.61122890803</x:v>
      </x:c>
      <x:c r="AA1059" s="32" t="n">
        <x:f>AA1058+X1059-U1059-AA1058*V1059/AB1058</x:f>
        <x:v>45530.62410925061</x:v>
      </x:c>
      <x:c r="AB1059" s="10" t="n">
        <x:f>Y1059+Z1059+AA1059</x:f>
        <x:v>145168.44242831506</x:v>
      </x:c>
      <x:c r="AC1059" s="8" t="n">
        <x:f>IF(AND(tun_WinterTrigger=1,D1059=1,AB1058/AE1058&gt;=K1059),1,0)</x:f>
        <x:v>0</x:v>
      </x:c>
      <x:c r="AD1059" s="8" t="n">
        <x:f>H1059*IF(AND(OR(AB1058/AE1058&gt;=tun_FissionTrigger*N1059,AC1059=1),AB1058/AE1058*tun_DaughterShare&gt;=tun_MinDaughter),MAX(1,ROUND(AE1058*tun_FissionRate,0)),0)</x:f>
        <x:v>0</x:v>
      </x:c>
      <x:c r="AE1059" s="8" t="n">
        <x:f>IF(H1059=1,MAX(1,MIN(INDEX(tun_Smax,G1059),AE1058+AD1059)),AE1058)</x:f>
        <x:v>9</x:v>
      </x:c>
      <x:c r="AF1059" s="8" t="n">
        <x:f>MAX(0,AE1059-AE1058)</x:f>
        <x:v>0</x:v>
      </x:c>
      <x:c r="AG1059" s="9" t="str">
        <x:f>IF(AF1059&gt;0,B1059,"")</x:f>
      </x:c>
      <x:c r="AH1059" s="9" t="n">
        <x:f>IF(F1059&gt;=1,1,(1+tun_LowTiesShare*(AE1059-1))/AE1059)</x:f>
        <x:v>1</x:v>
      </x:c>
      <x:c r="AI1059" s="32" t="n">
        <x:f>(Z1059+tun_ElderCommons*INDEX(LM_Elder,G1059)*AA1059)*AH1059</x:f>
        <x:v>238215.0665857503</x:v>
      </x:c>
      <x:c r="AJ1059" s="32" t="n">
        <x:f>H1059*tun_CommonsCoef*AI1059^tun_CommonsExp*INDEX(LM_Commons,G1059)</x:f>
        <x:v>0</x:v>
      </x:c>
      <x:c r="AK1059" s="32" t="n">
        <x:f>H1059*tun_RoleScale*Arch_Roles*(AE1059*(INDEX(tun_ElderRolePerSett,G1059)*tun_OutElder*INDEX(LM_Elder,G1059)+INDEX(tun_ShamanPerSett,G1059)*tun_OutShaman)+Z1059*(INDEX(tun_PriestShare,G1059)*tun_OutPriest+INDEX(tun_ScribeShare,G1059)*tun_OutScribe*INDEX(LM_Scribe,G1059)+INDEX(tun_ScholarShare,G1059)*tun_OutScholar*INDEX(LM_Scholar,G1059)+INDEX(tun_ResearcherShare,G1059)*tun_OutResearcher*INDEX(LM_Researcher,G1059)))</x:f>
        <x:v>0</x:v>
      </x:c>
      <x:c r="AL1059" s="32" t="n">
        <x:f>H1059*tun_RoleScale*Arch_Roles*AE1059*INDEX(tun_MonasteryPerSett,G1059)*tun_OutMonastery*INDEX(LM_Monastery,G1059)</x:f>
        <x:v>0</x:v>
      </x:c>
      <x:c r="AM1059" s="32" t="n">
        <x:f>(AJ1059+AK1059+AL1059)/4*INDEX(LM_All,G1059)*INDEX(tun_Boon,G1059)*Arch_Insight</x:f>
        <x:v>0</x:v>
      </x:c>
      <x:c r="AN1059" s="32" t="n">
        <x:f>H1059*(tun_KHPerAdult*Z1059+tun_KHOfCommons*AJ1059/4*INDEX(LM_All,G1059))*tun_KHUsable*Arch_KH</x:f>
        <x:v>0</x:v>
      </x:c>
      <x:c r="AO1059" s="32" t="n">
        <x:f>MIN(AP1058+AN1059,AM1059*tun_KHMaxRatio)</x:f>
        <x:v>0</x:v>
      </x:c>
      <x:c r="AP1059" s="32" t="n">
        <x:f>AP1058+AN1059-AO1059</x:f>
        <x:v>0</x:v>
      </x:c>
      <x:c r="AQ1059" s="32" t="n">
        <x:f>AM1059+AO1059</x:f>
        <x:v>0</x:v>
      </x:c>
      <x:c r="AR1059" s="10" t="n">
        <x:f>IF(H1059=1,INDEX(tun_Req,G1059),0)</x:f>
        <x:v>0</x:v>
      </x:c>
      <x:c r="AS1059" s="32" t="n">
        <x:f>IF(H1059=1,IF(E1059=1,AS1058-AR1058,AS1058)+AQ1059,0)</x:f>
        <x:v>0</x:v>
      </x:c>
      <x:c r="AT1059" s="11" t="n">
        <x:f>IF(AR1059&gt;0,MIN(1,AS1059/AR1059),1)</x:f>
        <x:v>1</x:v>
      </x:c>
      <x:c r="AU1059" s="10" t="n">
        <x:f>AB1059/INDEX(tun_RepScale,G1059)</x:f>
        <x:v>290.3368848566301</x:v>
      </x:c>
      <x:c r="AV1059" s="32" t="n">
        <x:f>AM1059*60/tun_SeasonSeconds</x:f>
        <x:v>0</x:v>
      </x:c>
    </x:row>
    <x:row r="1060">
      <x:c r="A1060" s="8" t="n">
        <x:f>A1059+1</x:f>
        <x:v>1057</x:v>
      </x:c>
      <x:c r="B1060" s="9" t="n">
        <x:f>A1060*tun_SeasonSeconds/60</x:f>
        <x:v>264.25</x:v>
      </x:c>
      <x:c r="C1060" s="9" t="n">
        <x:f>A1060/4</x:f>
        <x:v>264.25</x:v>
      </x:c>
      <x:c r="D1060" s="8" t="n">
        <x:f>IF(MOD(A1060,4)=0,1,0)</x:f>
        <x:v>0</x:v>
      </x:c>
      <x:c r="E1060" s="8" t="n">
        <x:f>IF(AND(F1059&lt;=9,AS1059&gt;=AR1059),1,0)</x:f>
        <x:v>0</x:v>
      </x:c>
      <x:c r="F1060" s="8" t="n">
        <x:f>MIN(10,F1059+E1060)</x:f>
        <x:v>10</x:v>
      </x:c>
      <x:c r="G1060" s="8" t="n">
        <x:f>MIN(F1060,9)+1</x:f>
        <x:v>10</x:v>
      </x:c>
      <x:c r="H1060" s="8" t="n">
        <x:f>IF(F1060&lt;=9,1,0)</x:f>
        <x:v>0</x:v>
      </x:c>
      <x:c r="I1060" s="9" t="n">
        <x:f>MIN(10,F1059+IF(AR1059&gt;0,MIN(1,AS1059/AR1059),1))</x:f>
        <x:v>10</x:v>
      </x:c>
      <x:c r="J1060" s="32" t="n">
        <x:f>INDEX(tun_FoodCap,G1060)*Arch_FoodCap*EXP(tun_CapsByProject*SUMPRODUCT((Cap_Point&lt;=I1060)*(Cap_Kind="Food")*Cap_Ln))</x:f>
        <x:v>18627.260449441455</x:v>
      </x:c>
      <x:c r="K1060" s="32" t="n">
        <x:f>J1060*MIN(1,tun_LeanBase*EXP(tun_CapsByProject*SUMPRODUCT((Cap_Point&lt;=I1060)*(Cap_Kind="Lean")*Cap_Ln)))</x:f>
        <x:v>18627.260449441455</x:v>
      </x:c>
      <x:c r="L1060" s="10" t="n">
        <x:f>INDEX(tun_HousingCap,G1060)*EXP(tun_CapsByProject*SUMPRODUCT((Cap_Point&lt;=I1060)*(Cap_Kind="Housing")*Cap_Ln))</x:f>
        <x:v>20528.974303173167</x:v>
      </x:c>
      <x:c r="M1060" s="10" t="n">
        <x:f>INDEX(tun_GroupCap,G1060)*tun_CohesionFactor*EXP(tun_CapsByProject*SUMPRODUCT((Cap_Point&lt;=I1060)*(Cap_Kind="Group")*Cap_Ln))</x:f>
        <x:v>1000000.000000001</x:v>
      </x:c>
      <x:c r="N1060" s="32" t="n">
        <x:f>MIN(J1060,L1060,M1060)</x:f>
        <x:v>18627.260449441455</x:v>
      </x:c>
      <x:c r="O1060" s="10" t="n">
        <x:f>AE1059*N1060</x:f>
        <x:v>167645.34404497308</x:v>
      </x:c>
      <x:c r="P1060" s="9" t="n">
        <x:f>MIN(1,(AB1059/(AE1059*IF(tun_GroupInCrowding=1,N1060,MIN(J1060,L1060))))^tun_CrowdingExp)</x:f>
        <x:v>0.4215841981292809</x:v>
      </x:c>
      <x:c r="Q1060" s="9" t="n">
        <x:f>IF(D1060=1,INDEX(tun_WinterMult,G1060),1)</x:f>
        <x:v>1</x:v>
      </x:c>
      <x:c r="R1060" s="9" t="n">
        <x:f>H1060*Z1059*tun_WomenShare*tun_BaseFertility*INDEX(tun_FertMult,G1060)*Arch_Fertility*(1-P1060)</x:f>
        <x:v>0</x:v>
      </x:c>
      <x:c r="S1060" s="9" t="n">
        <x:f>H1060*Y1059*INDEX(tun_MortChild,G1060)/4*Q1060</x:f>
        <x:v>0</x:v>
      </x:c>
      <x:c r="T1060" s="9" t="n">
        <x:f>H1060*Z1059*INDEX(tun_MortAdult,G1060)*Arch_AdultMort/4*Q1060</x:f>
        <x:v>0</x:v>
      </x:c>
      <x:c r="U1060" s="9" t="n">
        <x:f>H1060*AA1059*INDEX(tun_MortElder,G1060)/4*Q1060</x:f>
        <x:v>0</x:v>
      </x:c>
      <x:c r="V1060" s="9" t="n">
        <x:f>H1060*MAX(0,AB1059-O1060)*tun_OvercapLoss</x:f>
        <x:v>0</x:v>
      </x:c>
      <x:c r="W1060" s="9" t="n">
        <x:f>H1060*Y1059/(tun_ChildYears*4)</x:f>
        <x:v>0</x:v>
      </x:c>
      <x:c r="X1060" s="9" t="n">
        <x:f>H1060*Z1059/(tun_AdultYears*4)</x:f>
        <x:v>0</x:v>
      </x:c>
      <x:c r="Y1060" s="32" t="n">
        <x:f>Y1059+R1060-S1060-W1060-Y1059*V1060/AB1059</x:f>
        <x:v>40496.20709015643</x:v>
      </x:c>
      <x:c r="Z1060" s="32" t="n">
        <x:f>Z1059+W1060-X1060-T1060-Z1059*V1060/AB1059</x:f>
        <x:v>59141.61122890803</x:v>
      </x:c>
      <x:c r="AA1060" s="32" t="n">
        <x:f>AA1059+X1060-U1060-AA1059*V1060/AB1059</x:f>
        <x:v>45530.62410925061</x:v>
      </x:c>
      <x:c r="AB1060" s="10" t="n">
        <x:f>Y1060+Z1060+AA1060</x:f>
        <x:v>145168.44242831506</x:v>
      </x:c>
      <x:c r="AC1060" s="8" t="n">
        <x:f>IF(AND(tun_WinterTrigger=1,D1060=1,AB1059/AE1059&gt;=K1060),1,0)</x:f>
        <x:v>0</x:v>
      </x:c>
      <x:c r="AD1060" s="8" t="n">
        <x:f>H1060*IF(AND(OR(AB1059/AE1059&gt;=tun_FissionTrigger*N1060,AC1060=1),AB1059/AE1059*tun_DaughterShare&gt;=tun_MinDaughter),MAX(1,ROUND(AE1059*tun_FissionRate,0)),0)</x:f>
        <x:v>0</x:v>
      </x:c>
      <x:c r="AE1060" s="8" t="n">
        <x:f>IF(H1060=1,MAX(1,MIN(INDEX(tun_Smax,G1060),AE1059+AD1060)),AE1059)</x:f>
        <x:v>9</x:v>
      </x:c>
      <x:c r="AF1060" s="8" t="n">
        <x:f>MAX(0,AE1060-AE1059)</x:f>
        <x:v>0</x:v>
      </x:c>
      <x:c r="AG1060" s="9" t="str">
        <x:f>IF(AF1060&gt;0,B1060,"")</x:f>
      </x:c>
      <x:c r="AH1060" s="9" t="n">
        <x:f>IF(F1060&gt;=1,1,(1+tun_LowTiesShare*(AE1060-1))/AE1060)</x:f>
        <x:v>1</x:v>
      </x:c>
      <x:c r="AI1060" s="32" t="n">
        <x:f>(Z1060+tun_ElderCommons*INDEX(LM_Elder,G1060)*AA1060)*AH1060</x:f>
        <x:v>238215.0665857503</x:v>
      </x:c>
      <x:c r="AJ1060" s="32" t="n">
        <x:f>H1060*tun_CommonsCoef*AI1060^tun_CommonsExp*INDEX(LM_Commons,G1060)</x:f>
        <x:v>0</x:v>
      </x:c>
      <x:c r="AK1060" s="32" t="n">
        <x:f>H1060*tun_RoleScale*Arch_Roles*(AE1060*(INDEX(tun_ElderRolePerSett,G1060)*tun_OutElder*INDEX(LM_Elder,G1060)+INDEX(tun_ShamanPerSett,G1060)*tun_OutShaman)+Z1060*(INDEX(tun_PriestShare,G1060)*tun_OutPriest+INDEX(tun_ScribeShare,G1060)*tun_OutScribe*INDEX(LM_Scribe,G1060)+INDEX(tun_ScholarShare,G1060)*tun_OutScholar*INDEX(LM_Scholar,G1060)+INDEX(tun_ResearcherShare,G1060)*tun_OutResearcher*INDEX(LM_Researcher,G1060)))</x:f>
        <x:v>0</x:v>
      </x:c>
      <x:c r="AL1060" s="32" t="n">
        <x:f>H1060*tun_RoleScale*Arch_Roles*AE1060*INDEX(tun_MonasteryPerSett,G1060)*tun_OutMonastery*INDEX(LM_Monastery,G1060)</x:f>
        <x:v>0</x:v>
      </x:c>
      <x:c r="AM1060" s="32" t="n">
        <x:f>(AJ1060+AK1060+AL1060)/4*INDEX(LM_All,G1060)*INDEX(tun_Boon,G1060)*Arch_Insight</x:f>
        <x:v>0</x:v>
      </x:c>
      <x:c r="AN1060" s="32" t="n">
        <x:f>H1060*(tun_KHPerAdult*Z1060+tun_KHOfCommons*AJ1060/4*INDEX(LM_All,G1060))*tun_KHUsable*Arch_KH</x:f>
        <x:v>0</x:v>
      </x:c>
      <x:c r="AO1060" s="32" t="n">
        <x:f>MIN(AP1059+AN1060,AM1060*tun_KHMaxRatio)</x:f>
        <x:v>0</x:v>
      </x:c>
      <x:c r="AP1060" s="32" t="n">
        <x:f>AP1059+AN1060-AO1060</x:f>
        <x:v>0</x:v>
      </x:c>
      <x:c r="AQ1060" s="32" t="n">
        <x:f>AM1060+AO1060</x:f>
        <x:v>0</x:v>
      </x:c>
      <x:c r="AR1060" s="10" t="n">
        <x:f>IF(H1060=1,INDEX(tun_Req,G1060),0)</x:f>
        <x:v>0</x:v>
      </x:c>
      <x:c r="AS1060" s="32" t="n">
        <x:f>IF(H1060=1,IF(E1060=1,AS1059-AR1059,AS1059)+AQ1060,0)</x:f>
        <x:v>0</x:v>
      </x:c>
      <x:c r="AT1060" s="11" t="n">
        <x:f>IF(AR1060&gt;0,MIN(1,AS1060/AR1060),1)</x:f>
        <x:v>1</x:v>
      </x:c>
      <x:c r="AU1060" s="10" t="n">
        <x:f>AB1060/INDEX(tun_RepScale,G1060)</x:f>
        <x:v>290.3368848566301</x:v>
      </x:c>
      <x:c r="AV1060" s="32" t="n">
        <x:f>AM1060*60/tun_SeasonSeconds</x:f>
        <x:v>0</x:v>
      </x:c>
    </x:row>
    <x:row r="1061">
      <x:c r="A1061" s="8" t="n">
        <x:f>A1060+1</x:f>
        <x:v>1058</x:v>
      </x:c>
      <x:c r="B1061" s="9" t="n">
        <x:f>A1061*tun_SeasonSeconds/60</x:f>
        <x:v>264.5</x:v>
      </x:c>
      <x:c r="C1061" s="9" t="n">
        <x:f>A1061/4</x:f>
        <x:v>264.5</x:v>
      </x:c>
      <x:c r="D1061" s="8" t="n">
        <x:f>IF(MOD(A1061,4)=0,1,0)</x:f>
        <x:v>0</x:v>
      </x:c>
      <x:c r="E1061" s="8" t="n">
        <x:f>IF(AND(F1060&lt;=9,AS1060&gt;=AR1060),1,0)</x:f>
        <x:v>0</x:v>
      </x:c>
      <x:c r="F1061" s="8" t="n">
        <x:f>MIN(10,F1060+E1061)</x:f>
        <x:v>10</x:v>
      </x:c>
      <x:c r="G1061" s="8" t="n">
        <x:f>MIN(F1061,9)+1</x:f>
        <x:v>10</x:v>
      </x:c>
      <x:c r="H1061" s="8" t="n">
        <x:f>IF(F1061&lt;=9,1,0)</x:f>
        <x:v>0</x:v>
      </x:c>
      <x:c r="I1061" s="9" t="n">
        <x:f>MIN(10,F1060+IF(AR1060&gt;0,MIN(1,AS1060/AR1060),1))</x:f>
        <x:v>10</x:v>
      </x:c>
      <x:c r="J1061" s="32" t="n">
        <x:f>INDEX(tun_FoodCap,G1061)*Arch_FoodCap*EXP(tun_CapsByProject*SUMPRODUCT((Cap_Point&lt;=I1061)*(Cap_Kind="Food")*Cap_Ln))</x:f>
        <x:v>18627.260449441455</x:v>
      </x:c>
      <x:c r="K1061" s="32" t="n">
        <x:f>J1061*MIN(1,tun_LeanBase*EXP(tun_CapsByProject*SUMPRODUCT((Cap_Point&lt;=I1061)*(Cap_Kind="Lean")*Cap_Ln)))</x:f>
        <x:v>18627.260449441455</x:v>
      </x:c>
      <x:c r="L1061" s="10" t="n">
        <x:f>INDEX(tun_HousingCap,G1061)*EXP(tun_CapsByProject*SUMPRODUCT((Cap_Point&lt;=I1061)*(Cap_Kind="Housing")*Cap_Ln))</x:f>
        <x:v>20528.974303173167</x:v>
      </x:c>
      <x:c r="M1061" s="10" t="n">
        <x:f>INDEX(tun_GroupCap,G1061)*tun_CohesionFactor*EXP(tun_CapsByProject*SUMPRODUCT((Cap_Point&lt;=I1061)*(Cap_Kind="Group")*Cap_Ln))</x:f>
        <x:v>1000000.000000001</x:v>
      </x:c>
      <x:c r="N1061" s="32" t="n">
        <x:f>MIN(J1061,L1061,M1061)</x:f>
        <x:v>18627.260449441455</x:v>
      </x:c>
      <x:c r="O1061" s="10" t="n">
        <x:f>AE1060*N1061</x:f>
        <x:v>167645.34404497308</x:v>
      </x:c>
      <x:c r="P1061" s="9" t="n">
        <x:f>MIN(1,(AB1060/(AE1060*IF(tun_GroupInCrowding=1,N1061,MIN(J1061,L1061))))^tun_CrowdingExp)</x:f>
        <x:v>0.4215841981292809</x:v>
      </x:c>
      <x:c r="Q1061" s="9" t="n">
        <x:f>IF(D1061=1,INDEX(tun_WinterMult,G1061),1)</x:f>
        <x:v>1</x:v>
      </x:c>
      <x:c r="R1061" s="9" t="n">
        <x:f>H1061*Z1060*tun_WomenShare*tun_BaseFertility*INDEX(tun_FertMult,G1061)*Arch_Fertility*(1-P1061)</x:f>
        <x:v>0</x:v>
      </x:c>
      <x:c r="S1061" s="9" t="n">
        <x:f>H1061*Y1060*INDEX(tun_MortChild,G1061)/4*Q1061</x:f>
        <x:v>0</x:v>
      </x:c>
      <x:c r="T1061" s="9" t="n">
        <x:f>H1061*Z1060*INDEX(tun_MortAdult,G1061)*Arch_AdultMort/4*Q1061</x:f>
        <x:v>0</x:v>
      </x:c>
      <x:c r="U1061" s="9" t="n">
        <x:f>H1061*AA1060*INDEX(tun_MortElder,G1061)/4*Q1061</x:f>
        <x:v>0</x:v>
      </x:c>
      <x:c r="V1061" s="9" t="n">
        <x:f>H1061*MAX(0,AB1060-O1061)*tun_OvercapLoss</x:f>
        <x:v>0</x:v>
      </x:c>
      <x:c r="W1061" s="9" t="n">
        <x:f>H1061*Y1060/(tun_ChildYears*4)</x:f>
        <x:v>0</x:v>
      </x:c>
      <x:c r="X1061" s="9" t="n">
        <x:f>H1061*Z1060/(tun_AdultYears*4)</x:f>
        <x:v>0</x:v>
      </x:c>
      <x:c r="Y1061" s="32" t="n">
        <x:f>Y1060+R1061-S1061-W1061-Y1060*V1061/AB1060</x:f>
        <x:v>40496.20709015643</x:v>
      </x:c>
      <x:c r="Z1061" s="32" t="n">
        <x:f>Z1060+W1061-X1061-T1061-Z1060*V1061/AB1060</x:f>
        <x:v>59141.61122890803</x:v>
      </x:c>
      <x:c r="AA1061" s="32" t="n">
        <x:f>AA1060+X1061-U1061-AA1060*V1061/AB1060</x:f>
        <x:v>45530.62410925061</x:v>
      </x:c>
      <x:c r="AB1061" s="10" t="n">
        <x:f>Y1061+Z1061+AA1061</x:f>
        <x:v>145168.44242831506</x:v>
      </x:c>
      <x:c r="AC1061" s="8" t="n">
        <x:f>IF(AND(tun_WinterTrigger=1,D1061=1,AB1060/AE1060&gt;=K1061),1,0)</x:f>
        <x:v>0</x:v>
      </x:c>
      <x:c r="AD1061" s="8" t="n">
        <x:f>H1061*IF(AND(OR(AB1060/AE1060&gt;=tun_FissionTrigger*N1061,AC1061=1),AB1060/AE1060*tun_DaughterShare&gt;=tun_MinDaughter),MAX(1,ROUND(AE1060*tun_FissionRate,0)),0)</x:f>
        <x:v>0</x:v>
      </x:c>
      <x:c r="AE1061" s="8" t="n">
        <x:f>IF(H1061=1,MAX(1,MIN(INDEX(tun_Smax,G1061),AE1060+AD1061)),AE1060)</x:f>
        <x:v>9</x:v>
      </x:c>
      <x:c r="AF1061" s="8" t="n">
        <x:f>MAX(0,AE1061-AE1060)</x:f>
        <x:v>0</x:v>
      </x:c>
      <x:c r="AG1061" s="9" t="str">
        <x:f>IF(AF1061&gt;0,B1061,"")</x:f>
      </x:c>
      <x:c r="AH1061" s="9" t="n">
        <x:f>IF(F1061&gt;=1,1,(1+tun_LowTiesShare*(AE1061-1))/AE1061)</x:f>
        <x:v>1</x:v>
      </x:c>
      <x:c r="AI1061" s="32" t="n">
        <x:f>(Z1061+tun_ElderCommons*INDEX(LM_Elder,G1061)*AA1061)*AH1061</x:f>
        <x:v>238215.0665857503</x:v>
      </x:c>
      <x:c r="AJ1061" s="32" t="n">
        <x:f>H1061*tun_CommonsCoef*AI1061^tun_CommonsExp*INDEX(LM_Commons,G1061)</x:f>
        <x:v>0</x:v>
      </x:c>
      <x:c r="AK1061" s="32" t="n">
        <x:f>H1061*tun_RoleScale*Arch_Roles*(AE1061*(INDEX(tun_ElderRolePerSett,G1061)*tun_OutElder*INDEX(LM_Elder,G1061)+INDEX(tun_ShamanPerSett,G1061)*tun_OutShaman)+Z1061*(INDEX(tun_PriestShare,G1061)*tun_OutPriest+INDEX(tun_ScribeShare,G1061)*tun_OutScribe*INDEX(LM_Scribe,G1061)+INDEX(tun_ScholarShare,G1061)*tun_OutScholar*INDEX(LM_Scholar,G1061)+INDEX(tun_ResearcherShare,G1061)*tun_OutResearcher*INDEX(LM_Researcher,G1061)))</x:f>
        <x:v>0</x:v>
      </x:c>
      <x:c r="AL1061" s="32" t="n">
        <x:f>H1061*tun_RoleScale*Arch_Roles*AE1061*INDEX(tun_MonasteryPerSett,G1061)*tun_OutMonastery*INDEX(LM_Monastery,G1061)</x:f>
        <x:v>0</x:v>
      </x:c>
      <x:c r="AM1061" s="32" t="n">
        <x:f>(AJ1061+AK1061+AL1061)/4*INDEX(LM_All,G1061)*INDEX(tun_Boon,G1061)*Arch_Insight</x:f>
        <x:v>0</x:v>
      </x:c>
      <x:c r="AN1061" s="32" t="n">
        <x:f>H1061*(tun_KHPerAdult*Z1061+tun_KHOfCommons*AJ1061/4*INDEX(LM_All,G1061))*tun_KHUsable*Arch_KH</x:f>
        <x:v>0</x:v>
      </x:c>
      <x:c r="AO1061" s="32" t="n">
        <x:f>MIN(AP1060+AN1061,AM1061*tun_KHMaxRatio)</x:f>
        <x:v>0</x:v>
      </x:c>
      <x:c r="AP1061" s="32" t="n">
        <x:f>AP1060+AN1061-AO1061</x:f>
        <x:v>0</x:v>
      </x:c>
      <x:c r="AQ1061" s="32" t="n">
        <x:f>AM1061+AO1061</x:f>
        <x:v>0</x:v>
      </x:c>
      <x:c r="AR1061" s="10" t="n">
        <x:f>IF(H1061=1,INDEX(tun_Req,G1061),0)</x:f>
        <x:v>0</x:v>
      </x:c>
      <x:c r="AS1061" s="32" t="n">
        <x:f>IF(H1061=1,IF(E1061=1,AS1060-AR1060,AS1060)+AQ1061,0)</x:f>
        <x:v>0</x:v>
      </x:c>
      <x:c r="AT1061" s="11" t="n">
        <x:f>IF(AR1061&gt;0,MIN(1,AS1061/AR1061),1)</x:f>
        <x:v>1</x:v>
      </x:c>
      <x:c r="AU1061" s="10" t="n">
        <x:f>AB1061/INDEX(tun_RepScale,G1061)</x:f>
        <x:v>290.3368848566301</x:v>
      </x:c>
      <x:c r="AV1061" s="32" t="n">
        <x:f>AM1061*60/tun_SeasonSeconds</x:f>
        <x:v>0</x:v>
      </x:c>
    </x:row>
    <x:row r="1062">
      <x:c r="A1062" s="8" t="n">
        <x:f>A1061+1</x:f>
        <x:v>1059</x:v>
      </x:c>
      <x:c r="B1062" s="9" t="n">
        <x:f>A1062*tun_SeasonSeconds/60</x:f>
        <x:v>264.75</x:v>
      </x:c>
      <x:c r="C1062" s="9" t="n">
        <x:f>A1062/4</x:f>
        <x:v>264.75</x:v>
      </x:c>
      <x:c r="D1062" s="8" t="n">
        <x:f>IF(MOD(A1062,4)=0,1,0)</x:f>
        <x:v>0</x:v>
      </x:c>
      <x:c r="E1062" s="8" t="n">
        <x:f>IF(AND(F1061&lt;=9,AS1061&gt;=AR1061),1,0)</x:f>
        <x:v>0</x:v>
      </x:c>
      <x:c r="F1062" s="8" t="n">
        <x:f>MIN(10,F1061+E1062)</x:f>
        <x:v>10</x:v>
      </x:c>
      <x:c r="G1062" s="8" t="n">
        <x:f>MIN(F1062,9)+1</x:f>
        <x:v>10</x:v>
      </x:c>
      <x:c r="H1062" s="8" t="n">
        <x:f>IF(F1062&lt;=9,1,0)</x:f>
        <x:v>0</x:v>
      </x:c>
      <x:c r="I1062" s="9" t="n">
        <x:f>MIN(10,F1061+IF(AR1061&gt;0,MIN(1,AS1061/AR1061),1))</x:f>
        <x:v>10</x:v>
      </x:c>
      <x:c r="J1062" s="32" t="n">
        <x:f>INDEX(tun_FoodCap,G1062)*Arch_FoodCap*EXP(tun_CapsByProject*SUMPRODUCT((Cap_Point&lt;=I1062)*(Cap_Kind="Food")*Cap_Ln))</x:f>
        <x:v>18627.260449441455</x:v>
      </x:c>
      <x:c r="K1062" s="32" t="n">
        <x:f>J1062*MIN(1,tun_LeanBase*EXP(tun_CapsByProject*SUMPRODUCT((Cap_Point&lt;=I1062)*(Cap_Kind="Lean")*Cap_Ln)))</x:f>
        <x:v>18627.260449441455</x:v>
      </x:c>
      <x:c r="L1062" s="10" t="n">
        <x:f>INDEX(tun_HousingCap,G1062)*EXP(tun_CapsByProject*SUMPRODUCT((Cap_Point&lt;=I1062)*(Cap_Kind="Housing")*Cap_Ln))</x:f>
        <x:v>20528.974303173167</x:v>
      </x:c>
      <x:c r="M1062" s="10" t="n">
        <x:f>INDEX(tun_GroupCap,G1062)*tun_CohesionFactor*EXP(tun_CapsByProject*SUMPRODUCT((Cap_Point&lt;=I1062)*(Cap_Kind="Group")*Cap_Ln))</x:f>
        <x:v>1000000.000000001</x:v>
      </x:c>
      <x:c r="N1062" s="32" t="n">
        <x:f>MIN(J1062,L1062,M1062)</x:f>
        <x:v>18627.260449441455</x:v>
      </x:c>
      <x:c r="O1062" s="10" t="n">
        <x:f>AE1061*N1062</x:f>
        <x:v>167645.34404497308</x:v>
      </x:c>
      <x:c r="P1062" s="9" t="n">
        <x:f>MIN(1,(AB1061/(AE1061*IF(tun_GroupInCrowding=1,N1062,MIN(J1062,L1062))))^tun_CrowdingExp)</x:f>
        <x:v>0.4215841981292809</x:v>
      </x:c>
      <x:c r="Q1062" s="9" t="n">
        <x:f>IF(D1062=1,INDEX(tun_WinterMult,G1062),1)</x:f>
        <x:v>1</x:v>
      </x:c>
      <x:c r="R1062" s="9" t="n">
        <x:f>H1062*Z1061*tun_WomenShare*tun_BaseFertility*INDEX(tun_FertMult,G1062)*Arch_Fertility*(1-P1062)</x:f>
        <x:v>0</x:v>
      </x:c>
      <x:c r="S1062" s="9" t="n">
        <x:f>H1062*Y1061*INDEX(tun_MortChild,G1062)/4*Q1062</x:f>
        <x:v>0</x:v>
      </x:c>
      <x:c r="T1062" s="9" t="n">
        <x:f>H1062*Z1061*INDEX(tun_MortAdult,G1062)*Arch_AdultMort/4*Q1062</x:f>
        <x:v>0</x:v>
      </x:c>
      <x:c r="U1062" s="9" t="n">
        <x:f>H1062*AA1061*INDEX(tun_MortElder,G1062)/4*Q1062</x:f>
        <x:v>0</x:v>
      </x:c>
      <x:c r="V1062" s="9" t="n">
        <x:f>H1062*MAX(0,AB1061-O1062)*tun_OvercapLoss</x:f>
        <x:v>0</x:v>
      </x:c>
      <x:c r="W1062" s="9" t="n">
        <x:f>H1062*Y1061/(tun_ChildYears*4)</x:f>
        <x:v>0</x:v>
      </x:c>
      <x:c r="X1062" s="9" t="n">
        <x:f>H1062*Z1061/(tun_AdultYears*4)</x:f>
        <x:v>0</x:v>
      </x:c>
      <x:c r="Y1062" s="32" t="n">
        <x:f>Y1061+R1062-S1062-W1062-Y1061*V1062/AB1061</x:f>
        <x:v>40496.20709015643</x:v>
      </x:c>
      <x:c r="Z1062" s="32" t="n">
        <x:f>Z1061+W1062-X1062-T1062-Z1061*V1062/AB1061</x:f>
        <x:v>59141.61122890803</x:v>
      </x:c>
      <x:c r="AA1062" s="32" t="n">
        <x:f>AA1061+X1062-U1062-AA1061*V1062/AB1061</x:f>
        <x:v>45530.62410925061</x:v>
      </x:c>
      <x:c r="AB1062" s="10" t="n">
        <x:f>Y1062+Z1062+AA1062</x:f>
        <x:v>145168.44242831506</x:v>
      </x:c>
      <x:c r="AC1062" s="8" t="n">
        <x:f>IF(AND(tun_WinterTrigger=1,D1062=1,AB1061/AE1061&gt;=K1062),1,0)</x:f>
        <x:v>0</x:v>
      </x:c>
      <x:c r="AD1062" s="8" t="n">
        <x:f>H1062*IF(AND(OR(AB1061/AE1061&gt;=tun_FissionTrigger*N1062,AC1062=1),AB1061/AE1061*tun_DaughterShare&gt;=tun_MinDaughter),MAX(1,ROUND(AE1061*tun_FissionRate,0)),0)</x:f>
        <x:v>0</x:v>
      </x:c>
      <x:c r="AE1062" s="8" t="n">
        <x:f>IF(H1062=1,MAX(1,MIN(INDEX(tun_Smax,G1062),AE1061+AD1062)),AE1061)</x:f>
        <x:v>9</x:v>
      </x:c>
      <x:c r="AF1062" s="8" t="n">
        <x:f>MAX(0,AE1062-AE1061)</x:f>
        <x:v>0</x:v>
      </x:c>
      <x:c r="AG1062" s="9" t="str">
        <x:f>IF(AF1062&gt;0,B1062,"")</x:f>
      </x:c>
      <x:c r="AH1062" s="9" t="n">
        <x:f>IF(F1062&gt;=1,1,(1+tun_LowTiesShare*(AE1062-1))/AE1062)</x:f>
        <x:v>1</x:v>
      </x:c>
      <x:c r="AI1062" s="32" t="n">
        <x:f>(Z1062+tun_ElderCommons*INDEX(LM_Elder,G1062)*AA1062)*AH1062</x:f>
        <x:v>238215.0665857503</x:v>
      </x:c>
      <x:c r="AJ1062" s="32" t="n">
        <x:f>H1062*tun_CommonsCoef*AI1062^tun_CommonsExp*INDEX(LM_Commons,G1062)</x:f>
        <x:v>0</x:v>
      </x:c>
      <x:c r="AK1062" s="32" t="n">
        <x:f>H1062*tun_RoleScale*Arch_Roles*(AE1062*(INDEX(tun_ElderRolePerSett,G1062)*tun_OutElder*INDEX(LM_Elder,G1062)+INDEX(tun_ShamanPerSett,G1062)*tun_OutShaman)+Z1062*(INDEX(tun_PriestShare,G1062)*tun_OutPriest+INDEX(tun_ScribeShare,G1062)*tun_OutScribe*INDEX(LM_Scribe,G1062)+INDEX(tun_ScholarShare,G1062)*tun_OutScholar*INDEX(LM_Scholar,G1062)+INDEX(tun_ResearcherShare,G1062)*tun_OutResearcher*INDEX(LM_Researcher,G1062)))</x:f>
        <x:v>0</x:v>
      </x:c>
      <x:c r="AL1062" s="32" t="n">
        <x:f>H1062*tun_RoleScale*Arch_Roles*AE1062*INDEX(tun_MonasteryPerSett,G1062)*tun_OutMonastery*INDEX(LM_Monastery,G1062)</x:f>
        <x:v>0</x:v>
      </x:c>
      <x:c r="AM1062" s="32" t="n">
        <x:f>(AJ1062+AK1062+AL1062)/4*INDEX(LM_All,G1062)*INDEX(tun_Boon,G1062)*Arch_Insight</x:f>
        <x:v>0</x:v>
      </x:c>
      <x:c r="AN1062" s="32" t="n">
        <x:f>H1062*(tun_KHPerAdult*Z1062+tun_KHOfCommons*AJ1062/4*INDEX(LM_All,G1062))*tun_KHUsable*Arch_KH</x:f>
        <x:v>0</x:v>
      </x:c>
      <x:c r="AO1062" s="32" t="n">
        <x:f>MIN(AP1061+AN1062,AM1062*tun_KHMaxRatio)</x:f>
        <x:v>0</x:v>
      </x:c>
      <x:c r="AP1062" s="32" t="n">
        <x:f>AP1061+AN1062-AO1062</x:f>
        <x:v>0</x:v>
      </x:c>
      <x:c r="AQ1062" s="32" t="n">
        <x:f>AM1062+AO1062</x:f>
        <x:v>0</x:v>
      </x:c>
      <x:c r="AR1062" s="10" t="n">
        <x:f>IF(H1062=1,INDEX(tun_Req,G1062),0)</x:f>
        <x:v>0</x:v>
      </x:c>
      <x:c r="AS1062" s="32" t="n">
        <x:f>IF(H1062=1,IF(E1062=1,AS1061-AR1061,AS1061)+AQ1062,0)</x:f>
        <x:v>0</x:v>
      </x:c>
      <x:c r="AT1062" s="11" t="n">
        <x:f>IF(AR1062&gt;0,MIN(1,AS1062/AR1062),1)</x:f>
        <x:v>1</x:v>
      </x:c>
      <x:c r="AU1062" s="10" t="n">
        <x:f>AB1062/INDEX(tun_RepScale,G1062)</x:f>
        <x:v>290.3368848566301</x:v>
      </x:c>
      <x:c r="AV1062" s="32" t="n">
        <x:f>AM1062*60/tun_SeasonSeconds</x:f>
        <x:v>0</x:v>
      </x:c>
    </x:row>
    <x:row r="1063">
      <x:c r="A1063" s="8" t="n">
        <x:f>A1062+1</x:f>
        <x:v>1060</x:v>
      </x:c>
      <x:c r="B1063" s="9" t="n">
        <x:f>A1063*tun_SeasonSeconds/60</x:f>
        <x:v>265</x:v>
      </x:c>
      <x:c r="C1063" s="9" t="n">
        <x:f>A1063/4</x:f>
        <x:v>265</x:v>
      </x:c>
      <x:c r="D1063" s="8" t="n">
        <x:f>IF(MOD(A1063,4)=0,1,0)</x:f>
        <x:v>1</x:v>
      </x:c>
      <x:c r="E1063" s="8" t="n">
        <x:f>IF(AND(F1062&lt;=9,AS1062&gt;=AR1062),1,0)</x:f>
        <x:v>0</x:v>
      </x:c>
      <x:c r="F1063" s="8" t="n">
        <x:f>MIN(10,F1062+E1063)</x:f>
        <x:v>10</x:v>
      </x:c>
      <x:c r="G1063" s="8" t="n">
        <x:f>MIN(F1063,9)+1</x:f>
        <x:v>10</x:v>
      </x:c>
      <x:c r="H1063" s="8" t="n">
        <x:f>IF(F1063&lt;=9,1,0)</x:f>
        <x:v>0</x:v>
      </x:c>
      <x:c r="I1063" s="9" t="n">
        <x:f>MIN(10,F1062+IF(AR1062&gt;0,MIN(1,AS1062/AR1062),1))</x:f>
        <x:v>10</x:v>
      </x:c>
      <x:c r="J1063" s="32" t="n">
        <x:f>INDEX(tun_FoodCap,G1063)*Arch_FoodCap*EXP(tun_CapsByProject*SUMPRODUCT((Cap_Point&lt;=I1063)*(Cap_Kind="Food")*Cap_Ln))</x:f>
        <x:v>18627.260449441455</x:v>
      </x:c>
      <x:c r="K1063" s="32" t="n">
        <x:f>J1063*MIN(1,tun_LeanBase*EXP(tun_CapsByProject*SUMPRODUCT((Cap_Point&lt;=I1063)*(Cap_Kind="Lean")*Cap_Ln)))</x:f>
        <x:v>18627.260449441455</x:v>
      </x:c>
      <x:c r="L1063" s="10" t="n">
        <x:f>INDEX(tun_HousingCap,G1063)*EXP(tun_CapsByProject*SUMPRODUCT((Cap_Point&lt;=I1063)*(Cap_Kind="Housing")*Cap_Ln))</x:f>
        <x:v>20528.974303173167</x:v>
      </x:c>
      <x:c r="M1063" s="10" t="n">
        <x:f>INDEX(tun_GroupCap,G1063)*tun_CohesionFactor*EXP(tun_CapsByProject*SUMPRODUCT((Cap_Point&lt;=I1063)*(Cap_Kind="Group")*Cap_Ln))</x:f>
        <x:v>1000000.000000001</x:v>
      </x:c>
      <x:c r="N1063" s="32" t="n">
        <x:f>MIN(J1063,L1063,M1063)</x:f>
        <x:v>18627.260449441455</x:v>
      </x:c>
      <x:c r="O1063" s="10" t="n">
        <x:f>AE1062*N1063</x:f>
        <x:v>167645.34404497308</x:v>
      </x:c>
      <x:c r="P1063" s="9" t="n">
        <x:f>MIN(1,(AB1062/(AE1062*IF(tun_GroupInCrowding=1,N1063,MIN(J1063,L1063))))^tun_CrowdingExp)</x:f>
        <x:v>0.4215841981292809</x:v>
      </x:c>
      <x:c r="Q1063" s="9" t="n">
        <x:f>IF(D1063=1,INDEX(tun_WinterMult,G1063),1)</x:f>
        <x:v>1.05</x:v>
      </x:c>
      <x:c r="R1063" s="9" t="n">
        <x:f>H1063*Z1062*tun_WomenShare*tun_BaseFertility*INDEX(tun_FertMult,G1063)*Arch_Fertility*(1-P1063)</x:f>
        <x:v>0</x:v>
      </x:c>
      <x:c r="S1063" s="9" t="n">
        <x:f>H1063*Y1062*INDEX(tun_MortChild,G1063)/4*Q1063</x:f>
        <x:v>0</x:v>
      </x:c>
      <x:c r="T1063" s="9" t="n">
        <x:f>H1063*Z1062*INDEX(tun_MortAdult,G1063)*Arch_AdultMort/4*Q1063</x:f>
        <x:v>0</x:v>
      </x:c>
      <x:c r="U1063" s="9" t="n">
        <x:f>H1063*AA1062*INDEX(tun_MortElder,G1063)/4*Q1063</x:f>
        <x:v>0</x:v>
      </x:c>
      <x:c r="V1063" s="9" t="n">
        <x:f>H1063*MAX(0,AB1062-O1063)*tun_OvercapLoss</x:f>
        <x:v>0</x:v>
      </x:c>
      <x:c r="W1063" s="9" t="n">
        <x:f>H1063*Y1062/(tun_ChildYears*4)</x:f>
        <x:v>0</x:v>
      </x:c>
      <x:c r="X1063" s="9" t="n">
        <x:f>H1063*Z1062/(tun_AdultYears*4)</x:f>
        <x:v>0</x:v>
      </x:c>
      <x:c r="Y1063" s="32" t="n">
        <x:f>Y1062+R1063-S1063-W1063-Y1062*V1063/AB1062</x:f>
        <x:v>40496.20709015643</x:v>
      </x:c>
      <x:c r="Z1063" s="32" t="n">
        <x:f>Z1062+W1063-X1063-T1063-Z1062*V1063/AB1062</x:f>
        <x:v>59141.61122890803</x:v>
      </x:c>
      <x:c r="AA1063" s="32" t="n">
        <x:f>AA1062+X1063-U1063-AA1062*V1063/AB1062</x:f>
        <x:v>45530.62410925061</x:v>
      </x:c>
      <x:c r="AB1063" s="10" t="n">
        <x:f>Y1063+Z1063+AA1063</x:f>
        <x:v>145168.44242831506</x:v>
      </x:c>
      <x:c r="AC1063" s="8" t="n">
        <x:f>IF(AND(tun_WinterTrigger=1,D1063=1,AB1062/AE1062&gt;=K1063),1,0)</x:f>
        <x:v>0</x:v>
      </x:c>
      <x:c r="AD1063" s="8" t="n">
        <x:f>H1063*IF(AND(OR(AB1062/AE1062&gt;=tun_FissionTrigger*N1063,AC1063=1),AB1062/AE1062*tun_DaughterShare&gt;=tun_MinDaughter),MAX(1,ROUND(AE1062*tun_FissionRate,0)),0)</x:f>
        <x:v>0</x:v>
      </x:c>
      <x:c r="AE1063" s="8" t="n">
        <x:f>IF(H1063=1,MAX(1,MIN(INDEX(tun_Smax,G1063),AE1062+AD1063)),AE1062)</x:f>
        <x:v>9</x:v>
      </x:c>
      <x:c r="AF1063" s="8" t="n">
        <x:f>MAX(0,AE1063-AE1062)</x:f>
        <x:v>0</x:v>
      </x:c>
      <x:c r="AG1063" s="9" t="str">
        <x:f>IF(AF1063&gt;0,B1063,"")</x:f>
      </x:c>
      <x:c r="AH1063" s="9" t="n">
        <x:f>IF(F1063&gt;=1,1,(1+tun_LowTiesShare*(AE1063-1))/AE1063)</x:f>
        <x:v>1</x:v>
      </x:c>
      <x:c r="AI1063" s="32" t="n">
        <x:f>(Z1063+tun_ElderCommons*INDEX(LM_Elder,G1063)*AA1063)*AH1063</x:f>
        <x:v>238215.0665857503</x:v>
      </x:c>
      <x:c r="AJ1063" s="32" t="n">
        <x:f>H1063*tun_CommonsCoef*AI1063^tun_CommonsExp*INDEX(LM_Commons,G1063)</x:f>
        <x:v>0</x:v>
      </x:c>
      <x:c r="AK1063" s="32" t="n">
        <x:f>H1063*tun_RoleScale*Arch_Roles*(AE1063*(INDEX(tun_ElderRolePerSett,G1063)*tun_OutElder*INDEX(LM_Elder,G1063)+INDEX(tun_ShamanPerSett,G1063)*tun_OutShaman)+Z1063*(INDEX(tun_PriestShare,G1063)*tun_OutPriest+INDEX(tun_ScribeShare,G1063)*tun_OutScribe*INDEX(LM_Scribe,G1063)+INDEX(tun_ScholarShare,G1063)*tun_OutScholar*INDEX(LM_Scholar,G1063)+INDEX(tun_ResearcherShare,G1063)*tun_OutResearcher*INDEX(LM_Researcher,G1063)))</x:f>
        <x:v>0</x:v>
      </x:c>
      <x:c r="AL1063" s="32" t="n">
        <x:f>H1063*tun_RoleScale*Arch_Roles*AE1063*INDEX(tun_MonasteryPerSett,G1063)*tun_OutMonastery*INDEX(LM_Monastery,G1063)</x:f>
        <x:v>0</x:v>
      </x:c>
      <x:c r="AM1063" s="32" t="n">
        <x:f>(AJ1063+AK1063+AL1063)/4*INDEX(LM_All,G1063)*INDEX(tun_Boon,G1063)*Arch_Insight</x:f>
        <x:v>0</x:v>
      </x:c>
      <x:c r="AN1063" s="32" t="n">
        <x:f>H1063*(tun_KHPerAdult*Z1063+tun_KHOfCommons*AJ1063/4*INDEX(LM_All,G1063))*tun_KHUsable*Arch_KH</x:f>
        <x:v>0</x:v>
      </x:c>
      <x:c r="AO1063" s="32" t="n">
        <x:f>MIN(AP1062+AN1063,AM1063*tun_KHMaxRatio)</x:f>
        <x:v>0</x:v>
      </x:c>
      <x:c r="AP1063" s="32" t="n">
        <x:f>AP1062+AN1063-AO1063</x:f>
        <x:v>0</x:v>
      </x:c>
      <x:c r="AQ1063" s="32" t="n">
        <x:f>AM1063+AO1063</x:f>
        <x:v>0</x:v>
      </x:c>
      <x:c r="AR1063" s="10" t="n">
        <x:f>IF(H1063=1,INDEX(tun_Req,G1063),0)</x:f>
        <x:v>0</x:v>
      </x:c>
      <x:c r="AS1063" s="32" t="n">
        <x:f>IF(H1063=1,IF(E1063=1,AS1062-AR1062,AS1062)+AQ1063,0)</x:f>
        <x:v>0</x:v>
      </x:c>
      <x:c r="AT1063" s="11" t="n">
        <x:f>IF(AR1063&gt;0,MIN(1,AS1063/AR1063),1)</x:f>
        <x:v>1</x:v>
      </x:c>
      <x:c r="AU1063" s="10" t="n">
        <x:f>AB1063/INDEX(tun_RepScale,G1063)</x:f>
        <x:v>290.3368848566301</x:v>
      </x:c>
      <x:c r="AV1063" s="32" t="n">
        <x:f>AM1063*60/tun_SeasonSeconds</x:f>
        <x:v>0</x:v>
      </x:c>
    </x:row>
    <x:row r="1064">
      <x:c r="A1064" s="8" t="n">
        <x:f>A1063+1</x:f>
        <x:v>1061</x:v>
      </x:c>
      <x:c r="B1064" s="9" t="n">
        <x:f>A1064*tun_SeasonSeconds/60</x:f>
        <x:v>265.25</x:v>
      </x:c>
      <x:c r="C1064" s="9" t="n">
        <x:f>A1064/4</x:f>
        <x:v>265.25</x:v>
      </x:c>
      <x:c r="D1064" s="8" t="n">
        <x:f>IF(MOD(A1064,4)=0,1,0)</x:f>
        <x:v>0</x:v>
      </x:c>
      <x:c r="E1064" s="8" t="n">
        <x:f>IF(AND(F1063&lt;=9,AS1063&gt;=AR1063),1,0)</x:f>
        <x:v>0</x:v>
      </x:c>
      <x:c r="F1064" s="8" t="n">
        <x:f>MIN(10,F1063+E1064)</x:f>
        <x:v>10</x:v>
      </x:c>
      <x:c r="G1064" s="8" t="n">
        <x:f>MIN(F1064,9)+1</x:f>
        <x:v>10</x:v>
      </x:c>
      <x:c r="H1064" s="8" t="n">
        <x:f>IF(F1064&lt;=9,1,0)</x:f>
        <x:v>0</x:v>
      </x:c>
      <x:c r="I1064" s="9" t="n">
        <x:f>MIN(10,F1063+IF(AR1063&gt;0,MIN(1,AS1063/AR1063),1))</x:f>
        <x:v>10</x:v>
      </x:c>
      <x:c r="J1064" s="32" t="n">
        <x:f>INDEX(tun_FoodCap,G1064)*Arch_FoodCap*EXP(tun_CapsByProject*SUMPRODUCT((Cap_Point&lt;=I1064)*(Cap_Kind="Food")*Cap_Ln))</x:f>
        <x:v>18627.260449441455</x:v>
      </x:c>
      <x:c r="K1064" s="32" t="n">
        <x:f>J1064*MIN(1,tun_LeanBase*EXP(tun_CapsByProject*SUMPRODUCT((Cap_Point&lt;=I1064)*(Cap_Kind="Lean")*Cap_Ln)))</x:f>
        <x:v>18627.260449441455</x:v>
      </x:c>
      <x:c r="L1064" s="10" t="n">
        <x:f>INDEX(tun_HousingCap,G1064)*EXP(tun_CapsByProject*SUMPRODUCT((Cap_Point&lt;=I1064)*(Cap_Kind="Housing")*Cap_Ln))</x:f>
        <x:v>20528.974303173167</x:v>
      </x:c>
      <x:c r="M1064" s="10" t="n">
        <x:f>INDEX(tun_GroupCap,G1064)*tun_CohesionFactor*EXP(tun_CapsByProject*SUMPRODUCT((Cap_Point&lt;=I1064)*(Cap_Kind="Group")*Cap_Ln))</x:f>
        <x:v>1000000.000000001</x:v>
      </x:c>
      <x:c r="N1064" s="32" t="n">
        <x:f>MIN(J1064,L1064,M1064)</x:f>
        <x:v>18627.260449441455</x:v>
      </x:c>
      <x:c r="O1064" s="10" t="n">
        <x:f>AE1063*N1064</x:f>
        <x:v>167645.34404497308</x:v>
      </x:c>
      <x:c r="P1064" s="9" t="n">
        <x:f>MIN(1,(AB1063/(AE1063*IF(tun_GroupInCrowding=1,N1064,MIN(J1064,L1064))))^tun_CrowdingExp)</x:f>
        <x:v>0.4215841981292809</x:v>
      </x:c>
      <x:c r="Q1064" s="9" t="n">
        <x:f>IF(D1064=1,INDEX(tun_WinterMult,G1064),1)</x:f>
        <x:v>1</x:v>
      </x:c>
      <x:c r="R1064" s="9" t="n">
        <x:f>H1064*Z1063*tun_WomenShare*tun_BaseFertility*INDEX(tun_FertMult,G1064)*Arch_Fertility*(1-P1064)</x:f>
        <x:v>0</x:v>
      </x:c>
      <x:c r="S1064" s="9" t="n">
        <x:f>H1064*Y1063*INDEX(tun_MortChild,G1064)/4*Q1064</x:f>
        <x:v>0</x:v>
      </x:c>
      <x:c r="T1064" s="9" t="n">
        <x:f>H1064*Z1063*INDEX(tun_MortAdult,G1064)*Arch_AdultMort/4*Q1064</x:f>
        <x:v>0</x:v>
      </x:c>
      <x:c r="U1064" s="9" t="n">
        <x:f>H1064*AA1063*INDEX(tun_MortElder,G1064)/4*Q1064</x:f>
        <x:v>0</x:v>
      </x:c>
      <x:c r="V1064" s="9" t="n">
        <x:f>H1064*MAX(0,AB1063-O1064)*tun_OvercapLoss</x:f>
        <x:v>0</x:v>
      </x:c>
      <x:c r="W1064" s="9" t="n">
        <x:f>H1064*Y1063/(tun_ChildYears*4)</x:f>
        <x:v>0</x:v>
      </x:c>
      <x:c r="X1064" s="9" t="n">
        <x:f>H1064*Z1063/(tun_AdultYears*4)</x:f>
        <x:v>0</x:v>
      </x:c>
      <x:c r="Y1064" s="32" t="n">
        <x:f>Y1063+R1064-S1064-W1064-Y1063*V1064/AB1063</x:f>
        <x:v>40496.20709015643</x:v>
      </x:c>
      <x:c r="Z1064" s="32" t="n">
        <x:f>Z1063+W1064-X1064-T1064-Z1063*V1064/AB1063</x:f>
        <x:v>59141.61122890803</x:v>
      </x:c>
      <x:c r="AA1064" s="32" t="n">
        <x:f>AA1063+X1064-U1064-AA1063*V1064/AB1063</x:f>
        <x:v>45530.62410925061</x:v>
      </x:c>
      <x:c r="AB1064" s="10" t="n">
        <x:f>Y1064+Z1064+AA1064</x:f>
        <x:v>145168.44242831506</x:v>
      </x:c>
      <x:c r="AC1064" s="8" t="n">
        <x:f>IF(AND(tun_WinterTrigger=1,D1064=1,AB1063/AE1063&gt;=K1064),1,0)</x:f>
        <x:v>0</x:v>
      </x:c>
      <x:c r="AD1064" s="8" t="n">
        <x:f>H1064*IF(AND(OR(AB1063/AE1063&gt;=tun_FissionTrigger*N1064,AC1064=1),AB1063/AE1063*tun_DaughterShare&gt;=tun_MinDaughter),MAX(1,ROUND(AE1063*tun_FissionRate,0)),0)</x:f>
        <x:v>0</x:v>
      </x:c>
      <x:c r="AE1064" s="8" t="n">
        <x:f>IF(H1064=1,MAX(1,MIN(INDEX(tun_Smax,G1064),AE1063+AD1064)),AE1063)</x:f>
        <x:v>9</x:v>
      </x:c>
      <x:c r="AF1064" s="8" t="n">
        <x:f>MAX(0,AE1064-AE1063)</x:f>
        <x:v>0</x:v>
      </x:c>
      <x:c r="AG1064" s="9" t="str">
        <x:f>IF(AF1064&gt;0,B1064,"")</x:f>
      </x:c>
      <x:c r="AH1064" s="9" t="n">
        <x:f>IF(F1064&gt;=1,1,(1+tun_LowTiesShare*(AE1064-1))/AE1064)</x:f>
        <x:v>1</x:v>
      </x:c>
      <x:c r="AI1064" s="32" t="n">
        <x:f>(Z1064+tun_ElderCommons*INDEX(LM_Elder,G1064)*AA1064)*AH1064</x:f>
        <x:v>238215.0665857503</x:v>
      </x:c>
      <x:c r="AJ1064" s="32" t="n">
        <x:f>H1064*tun_CommonsCoef*AI1064^tun_CommonsExp*INDEX(LM_Commons,G1064)</x:f>
        <x:v>0</x:v>
      </x:c>
      <x:c r="AK1064" s="32" t="n">
        <x:f>H1064*tun_RoleScale*Arch_Roles*(AE1064*(INDEX(tun_ElderRolePerSett,G1064)*tun_OutElder*INDEX(LM_Elder,G1064)+INDEX(tun_ShamanPerSett,G1064)*tun_OutShaman)+Z1064*(INDEX(tun_PriestShare,G1064)*tun_OutPriest+INDEX(tun_ScribeShare,G1064)*tun_OutScribe*INDEX(LM_Scribe,G1064)+INDEX(tun_ScholarShare,G1064)*tun_OutScholar*INDEX(LM_Scholar,G1064)+INDEX(tun_ResearcherShare,G1064)*tun_OutResearcher*INDEX(LM_Researcher,G1064)))</x:f>
        <x:v>0</x:v>
      </x:c>
      <x:c r="AL1064" s="32" t="n">
        <x:f>H1064*tun_RoleScale*Arch_Roles*AE1064*INDEX(tun_MonasteryPerSett,G1064)*tun_OutMonastery*INDEX(LM_Monastery,G1064)</x:f>
        <x:v>0</x:v>
      </x:c>
      <x:c r="AM1064" s="32" t="n">
        <x:f>(AJ1064+AK1064+AL1064)/4*INDEX(LM_All,G1064)*INDEX(tun_Boon,G1064)*Arch_Insight</x:f>
        <x:v>0</x:v>
      </x:c>
      <x:c r="AN1064" s="32" t="n">
        <x:f>H1064*(tun_KHPerAdult*Z1064+tun_KHOfCommons*AJ1064/4*INDEX(LM_All,G1064))*tun_KHUsable*Arch_KH</x:f>
        <x:v>0</x:v>
      </x:c>
      <x:c r="AO1064" s="32" t="n">
        <x:f>MIN(AP1063+AN1064,AM1064*tun_KHMaxRatio)</x:f>
        <x:v>0</x:v>
      </x:c>
      <x:c r="AP1064" s="32" t="n">
        <x:f>AP1063+AN1064-AO1064</x:f>
        <x:v>0</x:v>
      </x:c>
      <x:c r="AQ1064" s="32" t="n">
        <x:f>AM1064+AO1064</x:f>
        <x:v>0</x:v>
      </x:c>
      <x:c r="AR1064" s="10" t="n">
        <x:f>IF(H1064=1,INDEX(tun_Req,G1064),0)</x:f>
        <x:v>0</x:v>
      </x:c>
      <x:c r="AS1064" s="32" t="n">
        <x:f>IF(H1064=1,IF(E1064=1,AS1063-AR1063,AS1063)+AQ1064,0)</x:f>
        <x:v>0</x:v>
      </x:c>
      <x:c r="AT1064" s="11" t="n">
        <x:f>IF(AR1064&gt;0,MIN(1,AS1064/AR1064),1)</x:f>
        <x:v>1</x:v>
      </x:c>
      <x:c r="AU1064" s="10" t="n">
        <x:f>AB1064/INDEX(tun_RepScale,G1064)</x:f>
        <x:v>290.3368848566301</x:v>
      </x:c>
      <x:c r="AV1064" s="32" t="n">
        <x:f>AM1064*60/tun_SeasonSeconds</x:f>
        <x:v>0</x:v>
      </x:c>
    </x:row>
    <x:row r="1065">
      <x:c r="A1065" s="8" t="n">
        <x:f>A1064+1</x:f>
        <x:v>1062</x:v>
      </x:c>
      <x:c r="B1065" s="9" t="n">
        <x:f>A1065*tun_SeasonSeconds/60</x:f>
        <x:v>265.5</x:v>
      </x:c>
      <x:c r="C1065" s="9" t="n">
        <x:f>A1065/4</x:f>
        <x:v>265.5</x:v>
      </x:c>
      <x:c r="D1065" s="8" t="n">
        <x:f>IF(MOD(A1065,4)=0,1,0)</x:f>
        <x:v>0</x:v>
      </x:c>
      <x:c r="E1065" s="8" t="n">
        <x:f>IF(AND(F1064&lt;=9,AS1064&gt;=AR1064),1,0)</x:f>
        <x:v>0</x:v>
      </x:c>
      <x:c r="F1065" s="8" t="n">
        <x:f>MIN(10,F1064+E1065)</x:f>
        <x:v>10</x:v>
      </x:c>
      <x:c r="G1065" s="8" t="n">
        <x:f>MIN(F1065,9)+1</x:f>
        <x:v>10</x:v>
      </x:c>
      <x:c r="H1065" s="8" t="n">
        <x:f>IF(F1065&lt;=9,1,0)</x:f>
        <x:v>0</x:v>
      </x:c>
      <x:c r="I1065" s="9" t="n">
        <x:f>MIN(10,F1064+IF(AR1064&gt;0,MIN(1,AS1064/AR1064),1))</x:f>
        <x:v>10</x:v>
      </x:c>
      <x:c r="J1065" s="32" t="n">
        <x:f>INDEX(tun_FoodCap,G1065)*Arch_FoodCap*EXP(tun_CapsByProject*SUMPRODUCT((Cap_Point&lt;=I1065)*(Cap_Kind="Food")*Cap_Ln))</x:f>
        <x:v>18627.260449441455</x:v>
      </x:c>
      <x:c r="K1065" s="32" t="n">
        <x:f>J1065*MIN(1,tun_LeanBase*EXP(tun_CapsByProject*SUMPRODUCT((Cap_Point&lt;=I1065)*(Cap_Kind="Lean")*Cap_Ln)))</x:f>
        <x:v>18627.260449441455</x:v>
      </x:c>
      <x:c r="L1065" s="10" t="n">
        <x:f>INDEX(tun_HousingCap,G1065)*EXP(tun_CapsByProject*SUMPRODUCT((Cap_Point&lt;=I1065)*(Cap_Kind="Housing")*Cap_Ln))</x:f>
        <x:v>20528.974303173167</x:v>
      </x:c>
      <x:c r="M1065" s="10" t="n">
        <x:f>INDEX(tun_GroupCap,G1065)*tun_CohesionFactor*EXP(tun_CapsByProject*SUMPRODUCT((Cap_Point&lt;=I1065)*(Cap_Kind="Group")*Cap_Ln))</x:f>
        <x:v>1000000.000000001</x:v>
      </x:c>
      <x:c r="N1065" s="32" t="n">
        <x:f>MIN(J1065,L1065,M1065)</x:f>
        <x:v>18627.260449441455</x:v>
      </x:c>
      <x:c r="O1065" s="10" t="n">
        <x:f>AE1064*N1065</x:f>
        <x:v>167645.34404497308</x:v>
      </x:c>
      <x:c r="P1065" s="9" t="n">
        <x:f>MIN(1,(AB1064/(AE1064*IF(tun_GroupInCrowding=1,N1065,MIN(J1065,L1065))))^tun_CrowdingExp)</x:f>
        <x:v>0.4215841981292809</x:v>
      </x:c>
      <x:c r="Q1065" s="9" t="n">
        <x:f>IF(D1065=1,INDEX(tun_WinterMult,G1065),1)</x:f>
        <x:v>1</x:v>
      </x:c>
      <x:c r="R1065" s="9" t="n">
        <x:f>H1065*Z1064*tun_WomenShare*tun_BaseFertility*INDEX(tun_FertMult,G1065)*Arch_Fertility*(1-P1065)</x:f>
        <x:v>0</x:v>
      </x:c>
      <x:c r="S1065" s="9" t="n">
        <x:f>H1065*Y1064*INDEX(tun_MortChild,G1065)/4*Q1065</x:f>
        <x:v>0</x:v>
      </x:c>
      <x:c r="T1065" s="9" t="n">
        <x:f>H1065*Z1064*INDEX(tun_MortAdult,G1065)*Arch_AdultMort/4*Q1065</x:f>
        <x:v>0</x:v>
      </x:c>
      <x:c r="U1065" s="9" t="n">
        <x:f>H1065*AA1064*INDEX(tun_MortElder,G1065)/4*Q1065</x:f>
        <x:v>0</x:v>
      </x:c>
      <x:c r="V1065" s="9" t="n">
        <x:f>H1065*MAX(0,AB1064-O1065)*tun_OvercapLoss</x:f>
        <x:v>0</x:v>
      </x:c>
      <x:c r="W1065" s="9" t="n">
        <x:f>H1065*Y1064/(tun_ChildYears*4)</x:f>
        <x:v>0</x:v>
      </x:c>
      <x:c r="X1065" s="9" t="n">
        <x:f>H1065*Z1064/(tun_AdultYears*4)</x:f>
        <x:v>0</x:v>
      </x:c>
      <x:c r="Y1065" s="32" t="n">
        <x:f>Y1064+R1065-S1065-W1065-Y1064*V1065/AB1064</x:f>
        <x:v>40496.20709015643</x:v>
      </x:c>
      <x:c r="Z1065" s="32" t="n">
        <x:f>Z1064+W1065-X1065-T1065-Z1064*V1065/AB1064</x:f>
        <x:v>59141.61122890803</x:v>
      </x:c>
      <x:c r="AA1065" s="32" t="n">
        <x:f>AA1064+X1065-U1065-AA1064*V1065/AB1064</x:f>
        <x:v>45530.62410925061</x:v>
      </x:c>
      <x:c r="AB1065" s="10" t="n">
        <x:f>Y1065+Z1065+AA1065</x:f>
        <x:v>145168.44242831506</x:v>
      </x:c>
      <x:c r="AC1065" s="8" t="n">
        <x:f>IF(AND(tun_WinterTrigger=1,D1065=1,AB1064/AE1064&gt;=K1065),1,0)</x:f>
        <x:v>0</x:v>
      </x:c>
      <x:c r="AD1065" s="8" t="n">
        <x:f>H1065*IF(AND(OR(AB1064/AE1064&gt;=tun_FissionTrigger*N1065,AC1065=1),AB1064/AE1064*tun_DaughterShare&gt;=tun_MinDaughter),MAX(1,ROUND(AE1064*tun_FissionRate,0)),0)</x:f>
        <x:v>0</x:v>
      </x:c>
      <x:c r="AE1065" s="8" t="n">
        <x:f>IF(H1065=1,MAX(1,MIN(INDEX(tun_Smax,G1065),AE1064+AD1065)),AE1064)</x:f>
        <x:v>9</x:v>
      </x:c>
      <x:c r="AF1065" s="8" t="n">
        <x:f>MAX(0,AE1065-AE1064)</x:f>
        <x:v>0</x:v>
      </x:c>
      <x:c r="AG1065" s="9" t="str">
        <x:f>IF(AF1065&gt;0,B1065,"")</x:f>
      </x:c>
      <x:c r="AH1065" s="9" t="n">
        <x:f>IF(F1065&gt;=1,1,(1+tun_LowTiesShare*(AE1065-1))/AE1065)</x:f>
        <x:v>1</x:v>
      </x:c>
      <x:c r="AI1065" s="32" t="n">
        <x:f>(Z1065+tun_ElderCommons*INDEX(LM_Elder,G1065)*AA1065)*AH1065</x:f>
        <x:v>238215.0665857503</x:v>
      </x:c>
      <x:c r="AJ1065" s="32" t="n">
        <x:f>H1065*tun_CommonsCoef*AI1065^tun_CommonsExp*INDEX(LM_Commons,G1065)</x:f>
        <x:v>0</x:v>
      </x:c>
      <x:c r="AK1065" s="32" t="n">
        <x:f>H1065*tun_RoleScale*Arch_Roles*(AE1065*(INDEX(tun_ElderRolePerSett,G1065)*tun_OutElder*INDEX(LM_Elder,G1065)+INDEX(tun_ShamanPerSett,G1065)*tun_OutShaman)+Z1065*(INDEX(tun_PriestShare,G1065)*tun_OutPriest+INDEX(tun_ScribeShare,G1065)*tun_OutScribe*INDEX(LM_Scribe,G1065)+INDEX(tun_ScholarShare,G1065)*tun_OutScholar*INDEX(LM_Scholar,G1065)+INDEX(tun_ResearcherShare,G1065)*tun_OutResearcher*INDEX(LM_Researcher,G1065)))</x:f>
        <x:v>0</x:v>
      </x:c>
      <x:c r="AL1065" s="32" t="n">
        <x:f>H1065*tun_RoleScale*Arch_Roles*AE1065*INDEX(tun_MonasteryPerSett,G1065)*tun_OutMonastery*INDEX(LM_Monastery,G1065)</x:f>
        <x:v>0</x:v>
      </x:c>
      <x:c r="AM1065" s="32" t="n">
        <x:f>(AJ1065+AK1065+AL1065)/4*INDEX(LM_All,G1065)*INDEX(tun_Boon,G1065)*Arch_Insight</x:f>
        <x:v>0</x:v>
      </x:c>
      <x:c r="AN1065" s="32" t="n">
        <x:f>H1065*(tun_KHPerAdult*Z1065+tun_KHOfCommons*AJ1065/4*INDEX(LM_All,G1065))*tun_KHUsable*Arch_KH</x:f>
        <x:v>0</x:v>
      </x:c>
      <x:c r="AO1065" s="32" t="n">
        <x:f>MIN(AP1064+AN1065,AM1065*tun_KHMaxRatio)</x:f>
        <x:v>0</x:v>
      </x:c>
      <x:c r="AP1065" s="32" t="n">
        <x:f>AP1064+AN1065-AO1065</x:f>
        <x:v>0</x:v>
      </x:c>
      <x:c r="AQ1065" s="32" t="n">
        <x:f>AM1065+AO1065</x:f>
        <x:v>0</x:v>
      </x:c>
      <x:c r="AR1065" s="10" t="n">
        <x:f>IF(H1065=1,INDEX(tun_Req,G1065),0)</x:f>
        <x:v>0</x:v>
      </x:c>
      <x:c r="AS1065" s="32" t="n">
        <x:f>IF(H1065=1,IF(E1065=1,AS1064-AR1064,AS1064)+AQ1065,0)</x:f>
        <x:v>0</x:v>
      </x:c>
      <x:c r="AT1065" s="11" t="n">
        <x:f>IF(AR1065&gt;0,MIN(1,AS1065/AR1065),1)</x:f>
        <x:v>1</x:v>
      </x:c>
      <x:c r="AU1065" s="10" t="n">
        <x:f>AB1065/INDEX(tun_RepScale,G1065)</x:f>
        <x:v>290.3368848566301</x:v>
      </x:c>
      <x:c r="AV1065" s="32" t="n">
        <x:f>AM1065*60/tun_SeasonSeconds</x:f>
        <x:v>0</x:v>
      </x:c>
    </x:row>
    <x:row r="1066">
      <x:c r="A1066" s="8" t="n">
        <x:f>A1065+1</x:f>
        <x:v>1063</x:v>
      </x:c>
      <x:c r="B1066" s="9" t="n">
        <x:f>A1066*tun_SeasonSeconds/60</x:f>
        <x:v>265.75</x:v>
      </x:c>
      <x:c r="C1066" s="9" t="n">
        <x:f>A1066/4</x:f>
        <x:v>265.75</x:v>
      </x:c>
      <x:c r="D1066" s="8" t="n">
        <x:f>IF(MOD(A1066,4)=0,1,0)</x:f>
        <x:v>0</x:v>
      </x:c>
      <x:c r="E1066" s="8" t="n">
        <x:f>IF(AND(F1065&lt;=9,AS1065&gt;=AR1065),1,0)</x:f>
        <x:v>0</x:v>
      </x:c>
      <x:c r="F1066" s="8" t="n">
        <x:f>MIN(10,F1065+E1066)</x:f>
        <x:v>10</x:v>
      </x:c>
      <x:c r="G1066" s="8" t="n">
        <x:f>MIN(F1066,9)+1</x:f>
        <x:v>10</x:v>
      </x:c>
      <x:c r="H1066" s="8" t="n">
        <x:f>IF(F1066&lt;=9,1,0)</x:f>
        <x:v>0</x:v>
      </x:c>
      <x:c r="I1066" s="9" t="n">
        <x:f>MIN(10,F1065+IF(AR1065&gt;0,MIN(1,AS1065/AR1065),1))</x:f>
        <x:v>10</x:v>
      </x:c>
      <x:c r="J1066" s="32" t="n">
        <x:f>INDEX(tun_FoodCap,G1066)*Arch_FoodCap*EXP(tun_CapsByProject*SUMPRODUCT((Cap_Point&lt;=I1066)*(Cap_Kind="Food")*Cap_Ln))</x:f>
        <x:v>18627.260449441455</x:v>
      </x:c>
      <x:c r="K1066" s="32" t="n">
        <x:f>J1066*MIN(1,tun_LeanBase*EXP(tun_CapsByProject*SUMPRODUCT((Cap_Point&lt;=I1066)*(Cap_Kind="Lean")*Cap_Ln)))</x:f>
        <x:v>18627.260449441455</x:v>
      </x:c>
      <x:c r="L1066" s="10" t="n">
        <x:f>INDEX(tun_HousingCap,G1066)*EXP(tun_CapsByProject*SUMPRODUCT((Cap_Point&lt;=I1066)*(Cap_Kind="Housing")*Cap_Ln))</x:f>
        <x:v>20528.974303173167</x:v>
      </x:c>
      <x:c r="M1066" s="10" t="n">
        <x:f>INDEX(tun_GroupCap,G1066)*tun_CohesionFactor*EXP(tun_CapsByProject*SUMPRODUCT((Cap_Point&lt;=I1066)*(Cap_Kind="Group")*Cap_Ln))</x:f>
        <x:v>1000000.000000001</x:v>
      </x:c>
      <x:c r="N1066" s="32" t="n">
        <x:f>MIN(J1066,L1066,M1066)</x:f>
        <x:v>18627.260449441455</x:v>
      </x:c>
      <x:c r="O1066" s="10" t="n">
        <x:f>AE1065*N1066</x:f>
        <x:v>167645.34404497308</x:v>
      </x:c>
      <x:c r="P1066" s="9" t="n">
        <x:f>MIN(1,(AB1065/(AE1065*IF(tun_GroupInCrowding=1,N1066,MIN(J1066,L1066))))^tun_CrowdingExp)</x:f>
        <x:v>0.4215841981292809</x:v>
      </x:c>
      <x:c r="Q1066" s="9" t="n">
        <x:f>IF(D1066=1,INDEX(tun_WinterMult,G1066),1)</x:f>
        <x:v>1</x:v>
      </x:c>
      <x:c r="R1066" s="9" t="n">
        <x:f>H1066*Z1065*tun_WomenShare*tun_BaseFertility*INDEX(tun_FertMult,G1066)*Arch_Fertility*(1-P1066)</x:f>
        <x:v>0</x:v>
      </x:c>
      <x:c r="S1066" s="9" t="n">
        <x:f>H1066*Y1065*INDEX(tun_MortChild,G1066)/4*Q1066</x:f>
        <x:v>0</x:v>
      </x:c>
      <x:c r="T1066" s="9" t="n">
        <x:f>H1066*Z1065*INDEX(tun_MortAdult,G1066)*Arch_AdultMort/4*Q1066</x:f>
        <x:v>0</x:v>
      </x:c>
      <x:c r="U1066" s="9" t="n">
        <x:f>H1066*AA1065*INDEX(tun_MortElder,G1066)/4*Q1066</x:f>
        <x:v>0</x:v>
      </x:c>
      <x:c r="V1066" s="9" t="n">
        <x:f>H1066*MAX(0,AB1065-O1066)*tun_OvercapLoss</x:f>
        <x:v>0</x:v>
      </x:c>
      <x:c r="W1066" s="9" t="n">
        <x:f>H1066*Y1065/(tun_ChildYears*4)</x:f>
        <x:v>0</x:v>
      </x:c>
      <x:c r="X1066" s="9" t="n">
        <x:f>H1066*Z1065/(tun_AdultYears*4)</x:f>
        <x:v>0</x:v>
      </x:c>
      <x:c r="Y1066" s="32" t="n">
        <x:f>Y1065+R1066-S1066-W1066-Y1065*V1066/AB1065</x:f>
        <x:v>40496.20709015643</x:v>
      </x:c>
      <x:c r="Z1066" s="32" t="n">
        <x:f>Z1065+W1066-X1066-T1066-Z1065*V1066/AB1065</x:f>
        <x:v>59141.61122890803</x:v>
      </x:c>
      <x:c r="AA1066" s="32" t="n">
        <x:f>AA1065+X1066-U1066-AA1065*V1066/AB1065</x:f>
        <x:v>45530.62410925061</x:v>
      </x:c>
      <x:c r="AB1066" s="10" t="n">
        <x:f>Y1066+Z1066+AA1066</x:f>
        <x:v>145168.44242831506</x:v>
      </x:c>
      <x:c r="AC1066" s="8" t="n">
        <x:f>IF(AND(tun_WinterTrigger=1,D1066=1,AB1065/AE1065&gt;=K1066),1,0)</x:f>
        <x:v>0</x:v>
      </x:c>
      <x:c r="AD1066" s="8" t="n">
        <x:f>H1066*IF(AND(OR(AB1065/AE1065&gt;=tun_FissionTrigger*N1066,AC1066=1),AB1065/AE1065*tun_DaughterShare&gt;=tun_MinDaughter),MAX(1,ROUND(AE1065*tun_FissionRate,0)),0)</x:f>
        <x:v>0</x:v>
      </x:c>
      <x:c r="AE1066" s="8" t="n">
        <x:f>IF(H1066=1,MAX(1,MIN(INDEX(tun_Smax,G1066),AE1065+AD1066)),AE1065)</x:f>
        <x:v>9</x:v>
      </x:c>
      <x:c r="AF1066" s="8" t="n">
        <x:f>MAX(0,AE1066-AE1065)</x:f>
        <x:v>0</x:v>
      </x:c>
      <x:c r="AG1066" s="9" t="str">
        <x:f>IF(AF1066&gt;0,B1066,"")</x:f>
      </x:c>
      <x:c r="AH1066" s="9" t="n">
        <x:f>IF(F1066&gt;=1,1,(1+tun_LowTiesShare*(AE1066-1))/AE1066)</x:f>
        <x:v>1</x:v>
      </x:c>
      <x:c r="AI1066" s="32" t="n">
        <x:f>(Z1066+tun_ElderCommons*INDEX(LM_Elder,G1066)*AA1066)*AH1066</x:f>
        <x:v>238215.0665857503</x:v>
      </x:c>
      <x:c r="AJ1066" s="32" t="n">
        <x:f>H1066*tun_CommonsCoef*AI1066^tun_CommonsExp*INDEX(LM_Commons,G1066)</x:f>
        <x:v>0</x:v>
      </x:c>
      <x:c r="AK1066" s="32" t="n">
        <x:f>H1066*tun_RoleScale*Arch_Roles*(AE1066*(INDEX(tun_ElderRolePerSett,G1066)*tun_OutElder*INDEX(LM_Elder,G1066)+INDEX(tun_ShamanPerSett,G1066)*tun_OutShaman)+Z1066*(INDEX(tun_PriestShare,G1066)*tun_OutPriest+INDEX(tun_ScribeShare,G1066)*tun_OutScribe*INDEX(LM_Scribe,G1066)+INDEX(tun_ScholarShare,G1066)*tun_OutScholar*INDEX(LM_Scholar,G1066)+INDEX(tun_ResearcherShare,G1066)*tun_OutResearcher*INDEX(LM_Researcher,G1066)))</x:f>
        <x:v>0</x:v>
      </x:c>
      <x:c r="AL1066" s="32" t="n">
        <x:f>H1066*tun_RoleScale*Arch_Roles*AE1066*INDEX(tun_MonasteryPerSett,G1066)*tun_OutMonastery*INDEX(LM_Monastery,G1066)</x:f>
        <x:v>0</x:v>
      </x:c>
      <x:c r="AM1066" s="32" t="n">
        <x:f>(AJ1066+AK1066+AL1066)/4*INDEX(LM_All,G1066)*INDEX(tun_Boon,G1066)*Arch_Insight</x:f>
        <x:v>0</x:v>
      </x:c>
      <x:c r="AN1066" s="32" t="n">
        <x:f>H1066*(tun_KHPerAdult*Z1066+tun_KHOfCommons*AJ1066/4*INDEX(LM_All,G1066))*tun_KHUsable*Arch_KH</x:f>
        <x:v>0</x:v>
      </x:c>
      <x:c r="AO1066" s="32" t="n">
        <x:f>MIN(AP1065+AN1066,AM1066*tun_KHMaxRatio)</x:f>
        <x:v>0</x:v>
      </x:c>
      <x:c r="AP1066" s="32" t="n">
        <x:f>AP1065+AN1066-AO1066</x:f>
        <x:v>0</x:v>
      </x:c>
      <x:c r="AQ1066" s="32" t="n">
        <x:f>AM1066+AO1066</x:f>
        <x:v>0</x:v>
      </x:c>
      <x:c r="AR1066" s="10" t="n">
        <x:f>IF(H1066=1,INDEX(tun_Req,G1066),0)</x:f>
        <x:v>0</x:v>
      </x:c>
      <x:c r="AS1066" s="32" t="n">
        <x:f>IF(H1066=1,IF(E1066=1,AS1065-AR1065,AS1065)+AQ1066,0)</x:f>
        <x:v>0</x:v>
      </x:c>
      <x:c r="AT1066" s="11" t="n">
        <x:f>IF(AR1066&gt;0,MIN(1,AS1066/AR1066),1)</x:f>
        <x:v>1</x:v>
      </x:c>
      <x:c r="AU1066" s="10" t="n">
        <x:f>AB1066/INDEX(tun_RepScale,G1066)</x:f>
        <x:v>290.3368848566301</x:v>
      </x:c>
      <x:c r="AV1066" s="32" t="n">
        <x:f>AM1066*60/tun_SeasonSeconds</x:f>
        <x:v>0</x:v>
      </x:c>
    </x:row>
    <x:row r="1067">
      <x:c r="A1067" s="8" t="n">
        <x:f>A1066+1</x:f>
        <x:v>1064</x:v>
      </x:c>
      <x:c r="B1067" s="9" t="n">
        <x:f>A1067*tun_SeasonSeconds/60</x:f>
        <x:v>266</x:v>
      </x:c>
      <x:c r="C1067" s="9" t="n">
        <x:f>A1067/4</x:f>
        <x:v>266</x:v>
      </x:c>
      <x:c r="D1067" s="8" t="n">
        <x:f>IF(MOD(A1067,4)=0,1,0)</x:f>
        <x:v>1</x:v>
      </x:c>
      <x:c r="E1067" s="8" t="n">
        <x:f>IF(AND(F1066&lt;=9,AS1066&gt;=AR1066),1,0)</x:f>
        <x:v>0</x:v>
      </x:c>
      <x:c r="F1067" s="8" t="n">
        <x:f>MIN(10,F1066+E1067)</x:f>
        <x:v>10</x:v>
      </x:c>
      <x:c r="G1067" s="8" t="n">
        <x:f>MIN(F1067,9)+1</x:f>
        <x:v>10</x:v>
      </x:c>
      <x:c r="H1067" s="8" t="n">
        <x:f>IF(F1067&lt;=9,1,0)</x:f>
        <x:v>0</x:v>
      </x:c>
      <x:c r="I1067" s="9" t="n">
        <x:f>MIN(10,F1066+IF(AR1066&gt;0,MIN(1,AS1066/AR1066),1))</x:f>
        <x:v>10</x:v>
      </x:c>
      <x:c r="J1067" s="32" t="n">
        <x:f>INDEX(tun_FoodCap,G1067)*Arch_FoodCap*EXP(tun_CapsByProject*SUMPRODUCT((Cap_Point&lt;=I1067)*(Cap_Kind="Food")*Cap_Ln))</x:f>
        <x:v>18627.260449441455</x:v>
      </x:c>
      <x:c r="K1067" s="32" t="n">
        <x:f>J1067*MIN(1,tun_LeanBase*EXP(tun_CapsByProject*SUMPRODUCT((Cap_Point&lt;=I1067)*(Cap_Kind="Lean")*Cap_Ln)))</x:f>
        <x:v>18627.260449441455</x:v>
      </x:c>
      <x:c r="L1067" s="10" t="n">
        <x:f>INDEX(tun_HousingCap,G1067)*EXP(tun_CapsByProject*SUMPRODUCT((Cap_Point&lt;=I1067)*(Cap_Kind="Housing")*Cap_Ln))</x:f>
        <x:v>20528.974303173167</x:v>
      </x:c>
      <x:c r="M1067" s="10" t="n">
        <x:f>INDEX(tun_GroupCap,G1067)*tun_CohesionFactor*EXP(tun_CapsByProject*SUMPRODUCT((Cap_Point&lt;=I1067)*(Cap_Kind="Group")*Cap_Ln))</x:f>
        <x:v>1000000.000000001</x:v>
      </x:c>
      <x:c r="N1067" s="32" t="n">
        <x:f>MIN(J1067,L1067,M1067)</x:f>
        <x:v>18627.260449441455</x:v>
      </x:c>
      <x:c r="O1067" s="10" t="n">
        <x:f>AE1066*N1067</x:f>
        <x:v>167645.34404497308</x:v>
      </x:c>
      <x:c r="P1067" s="9" t="n">
        <x:f>MIN(1,(AB1066/(AE1066*IF(tun_GroupInCrowding=1,N1067,MIN(J1067,L1067))))^tun_CrowdingExp)</x:f>
        <x:v>0.4215841981292809</x:v>
      </x:c>
      <x:c r="Q1067" s="9" t="n">
        <x:f>IF(D1067=1,INDEX(tun_WinterMult,G1067),1)</x:f>
        <x:v>1.05</x:v>
      </x:c>
      <x:c r="R1067" s="9" t="n">
        <x:f>H1067*Z1066*tun_WomenShare*tun_BaseFertility*INDEX(tun_FertMult,G1067)*Arch_Fertility*(1-P1067)</x:f>
        <x:v>0</x:v>
      </x:c>
      <x:c r="S1067" s="9" t="n">
        <x:f>H1067*Y1066*INDEX(tun_MortChild,G1067)/4*Q1067</x:f>
        <x:v>0</x:v>
      </x:c>
      <x:c r="T1067" s="9" t="n">
        <x:f>H1067*Z1066*INDEX(tun_MortAdult,G1067)*Arch_AdultMort/4*Q1067</x:f>
        <x:v>0</x:v>
      </x:c>
      <x:c r="U1067" s="9" t="n">
        <x:f>H1067*AA1066*INDEX(tun_MortElder,G1067)/4*Q1067</x:f>
        <x:v>0</x:v>
      </x:c>
      <x:c r="V1067" s="9" t="n">
        <x:f>H1067*MAX(0,AB1066-O1067)*tun_OvercapLoss</x:f>
        <x:v>0</x:v>
      </x:c>
      <x:c r="W1067" s="9" t="n">
        <x:f>H1067*Y1066/(tun_ChildYears*4)</x:f>
        <x:v>0</x:v>
      </x:c>
      <x:c r="X1067" s="9" t="n">
        <x:f>H1067*Z1066/(tun_AdultYears*4)</x:f>
        <x:v>0</x:v>
      </x:c>
      <x:c r="Y1067" s="32" t="n">
        <x:f>Y1066+R1067-S1067-W1067-Y1066*V1067/AB1066</x:f>
        <x:v>40496.20709015643</x:v>
      </x:c>
      <x:c r="Z1067" s="32" t="n">
        <x:f>Z1066+W1067-X1067-T1067-Z1066*V1067/AB1066</x:f>
        <x:v>59141.61122890803</x:v>
      </x:c>
      <x:c r="AA1067" s="32" t="n">
        <x:f>AA1066+X1067-U1067-AA1066*V1067/AB1066</x:f>
        <x:v>45530.62410925061</x:v>
      </x:c>
      <x:c r="AB1067" s="10" t="n">
        <x:f>Y1067+Z1067+AA1067</x:f>
        <x:v>145168.44242831506</x:v>
      </x:c>
      <x:c r="AC1067" s="8" t="n">
        <x:f>IF(AND(tun_WinterTrigger=1,D1067=1,AB1066/AE1066&gt;=K1067),1,0)</x:f>
        <x:v>0</x:v>
      </x:c>
      <x:c r="AD1067" s="8" t="n">
        <x:f>H1067*IF(AND(OR(AB1066/AE1066&gt;=tun_FissionTrigger*N1067,AC1067=1),AB1066/AE1066*tun_DaughterShare&gt;=tun_MinDaughter),MAX(1,ROUND(AE1066*tun_FissionRate,0)),0)</x:f>
        <x:v>0</x:v>
      </x:c>
      <x:c r="AE1067" s="8" t="n">
        <x:f>IF(H1067=1,MAX(1,MIN(INDEX(tun_Smax,G1067),AE1066+AD1067)),AE1066)</x:f>
        <x:v>9</x:v>
      </x:c>
      <x:c r="AF1067" s="8" t="n">
        <x:f>MAX(0,AE1067-AE1066)</x:f>
        <x:v>0</x:v>
      </x:c>
      <x:c r="AG1067" s="9" t="str">
        <x:f>IF(AF1067&gt;0,B1067,"")</x:f>
      </x:c>
      <x:c r="AH1067" s="9" t="n">
        <x:f>IF(F1067&gt;=1,1,(1+tun_LowTiesShare*(AE1067-1))/AE1067)</x:f>
        <x:v>1</x:v>
      </x:c>
      <x:c r="AI1067" s="32" t="n">
        <x:f>(Z1067+tun_ElderCommons*INDEX(LM_Elder,G1067)*AA1067)*AH1067</x:f>
        <x:v>238215.0665857503</x:v>
      </x:c>
      <x:c r="AJ1067" s="32" t="n">
        <x:f>H1067*tun_CommonsCoef*AI1067^tun_CommonsExp*INDEX(LM_Commons,G1067)</x:f>
        <x:v>0</x:v>
      </x:c>
      <x:c r="AK1067" s="32" t="n">
        <x:f>H1067*tun_RoleScale*Arch_Roles*(AE1067*(INDEX(tun_ElderRolePerSett,G1067)*tun_OutElder*INDEX(LM_Elder,G1067)+INDEX(tun_ShamanPerSett,G1067)*tun_OutShaman)+Z1067*(INDEX(tun_PriestShare,G1067)*tun_OutPriest+INDEX(tun_ScribeShare,G1067)*tun_OutScribe*INDEX(LM_Scribe,G1067)+INDEX(tun_ScholarShare,G1067)*tun_OutScholar*INDEX(LM_Scholar,G1067)+INDEX(tun_ResearcherShare,G1067)*tun_OutResearcher*INDEX(LM_Researcher,G1067)))</x:f>
        <x:v>0</x:v>
      </x:c>
      <x:c r="AL1067" s="32" t="n">
        <x:f>H1067*tun_RoleScale*Arch_Roles*AE1067*INDEX(tun_MonasteryPerSett,G1067)*tun_OutMonastery*INDEX(LM_Monastery,G1067)</x:f>
        <x:v>0</x:v>
      </x:c>
      <x:c r="AM1067" s="32" t="n">
        <x:f>(AJ1067+AK1067+AL1067)/4*INDEX(LM_All,G1067)*INDEX(tun_Boon,G1067)*Arch_Insight</x:f>
        <x:v>0</x:v>
      </x:c>
      <x:c r="AN1067" s="32" t="n">
        <x:f>H1067*(tun_KHPerAdult*Z1067+tun_KHOfCommons*AJ1067/4*INDEX(LM_All,G1067))*tun_KHUsable*Arch_KH</x:f>
        <x:v>0</x:v>
      </x:c>
      <x:c r="AO1067" s="32" t="n">
        <x:f>MIN(AP1066+AN1067,AM1067*tun_KHMaxRatio)</x:f>
        <x:v>0</x:v>
      </x:c>
      <x:c r="AP1067" s="32" t="n">
        <x:f>AP1066+AN1067-AO1067</x:f>
        <x:v>0</x:v>
      </x:c>
      <x:c r="AQ1067" s="32" t="n">
        <x:f>AM1067+AO1067</x:f>
        <x:v>0</x:v>
      </x:c>
      <x:c r="AR1067" s="10" t="n">
        <x:f>IF(H1067=1,INDEX(tun_Req,G1067),0)</x:f>
        <x:v>0</x:v>
      </x:c>
      <x:c r="AS1067" s="32" t="n">
        <x:f>IF(H1067=1,IF(E1067=1,AS1066-AR1066,AS1066)+AQ1067,0)</x:f>
        <x:v>0</x:v>
      </x:c>
      <x:c r="AT1067" s="11" t="n">
        <x:f>IF(AR1067&gt;0,MIN(1,AS1067/AR1067),1)</x:f>
        <x:v>1</x:v>
      </x:c>
      <x:c r="AU1067" s="10" t="n">
        <x:f>AB1067/INDEX(tun_RepScale,G1067)</x:f>
        <x:v>290.3368848566301</x:v>
      </x:c>
      <x:c r="AV1067" s="32" t="n">
        <x:f>AM1067*60/tun_SeasonSeconds</x:f>
        <x:v>0</x:v>
      </x:c>
    </x:row>
    <x:row r="1068">
      <x:c r="A1068" s="8" t="n">
        <x:f>A1067+1</x:f>
        <x:v>1065</x:v>
      </x:c>
      <x:c r="B1068" s="9" t="n">
        <x:f>A1068*tun_SeasonSeconds/60</x:f>
        <x:v>266.25</x:v>
      </x:c>
      <x:c r="C1068" s="9" t="n">
        <x:f>A1068/4</x:f>
        <x:v>266.25</x:v>
      </x:c>
      <x:c r="D1068" s="8" t="n">
        <x:f>IF(MOD(A1068,4)=0,1,0)</x:f>
        <x:v>0</x:v>
      </x:c>
      <x:c r="E1068" s="8" t="n">
        <x:f>IF(AND(F1067&lt;=9,AS1067&gt;=AR1067),1,0)</x:f>
        <x:v>0</x:v>
      </x:c>
      <x:c r="F1068" s="8" t="n">
        <x:f>MIN(10,F1067+E1068)</x:f>
        <x:v>10</x:v>
      </x:c>
      <x:c r="G1068" s="8" t="n">
        <x:f>MIN(F1068,9)+1</x:f>
        <x:v>10</x:v>
      </x:c>
      <x:c r="H1068" s="8" t="n">
        <x:f>IF(F1068&lt;=9,1,0)</x:f>
        <x:v>0</x:v>
      </x:c>
      <x:c r="I1068" s="9" t="n">
        <x:f>MIN(10,F1067+IF(AR1067&gt;0,MIN(1,AS1067/AR1067),1))</x:f>
        <x:v>10</x:v>
      </x:c>
      <x:c r="J1068" s="32" t="n">
        <x:f>INDEX(tun_FoodCap,G1068)*Arch_FoodCap*EXP(tun_CapsByProject*SUMPRODUCT((Cap_Point&lt;=I1068)*(Cap_Kind="Food")*Cap_Ln))</x:f>
        <x:v>18627.260449441455</x:v>
      </x:c>
      <x:c r="K1068" s="32" t="n">
        <x:f>J1068*MIN(1,tun_LeanBase*EXP(tun_CapsByProject*SUMPRODUCT((Cap_Point&lt;=I1068)*(Cap_Kind="Lean")*Cap_Ln)))</x:f>
        <x:v>18627.260449441455</x:v>
      </x:c>
      <x:c r="L1068" s="10" t="n">
        <x:f>INDEX(tun_HousingCap,G1068)*EXP(tun_CapsByProject*SUMPRODUCT((Cap_Point&lt;=I1068)*(Cap_Kind="Housing")*Cap_Ln))</x:f>
        <x:v>20528.974303173167</x:v>
      </x:c>
      <x:c r="M1068" s="10" t="n">
        <x:f>INDEX(tun_GroupCap,G1068)*tun_CohesionFactor*EXP(tun_CapsByProject*SUMPRODUCT((Cap_Point&lt;=I1068)*(Cap_Kind="Group")*Cap_Ln))</x:f>
        <x:v>1000000.000000001</x:v>
      </x:c>
      <x:c r="N1068" s="32" t="n">
        <x:f>MIN(J1068,L1068,M1068)</x:f>
        <x:v>18627.260449441455</x:v>
      </x:c>
      <x:c r="O1068" s="10" t="n">
        <x:f>AE1067*N1068</x:f>
        <x:v>167645.34404497308</x:v>
      </x:c>
      <x:c r="P1068" s="9" t="n">
        <x:f>MIN(1,(AB1067/(AE1067*IF(tun_GroupInCrowding=1,N1068,MIN(J1068,L1068))))^tun_CrowdingExp)</x:f>
        <x:v>0.4215841981292809</x:v>
      </x:c>
      <x:c r="Q1068" s="9" t="n">
        <x:f>IF(D1068=1,INDEX(tun_WinterMult,G1068),1)</x:f>
        <x:v>1</x:v>
      </x:c>
      <x:c r="R1068" s="9" t="n">
        <x:f>H1068*Z1067*tun_WomenShare*tun_BaseFertility*INDEX(tun_FertMult,G1068)*Arch_Fertility*(1-P1068)</x:f>
        <x:v>0</x:v>
      </x:c>
      <x:c r="S1068" s="9" t="n">
        <x:f>H1068*Y1067*INDEX(tun_MortChild,G1068)/4*Q1068</x:f>
        <x:v>0</x:v>
      </x:c>
      <x:c r="T1068" s="9" t="n">
        <x:f>H1068*Z1067*INDEX(tun_MortAdult,G1068)*Arch_AdultMort/4*Q1068</x:f>
        <x:v>0</x:v>
      </x:c>
      <x:c r="U1068" s="9" t="n">
        <x:f>H1068*AA1067*INDEX(tun_MortElder,G1068)/4*Q1068</x:f>
        <x:v>0</x:v>
      </x:c>
      <x:c r="V1068" s="9" t="n">
        <x:f>H1068*MAX(0,AB1067-O1068)*tun_OvercapLoss</x:f>
        <x:v>0</x:v>
      </x:c>
      <x:c r="W1068" s="9" t="n">
        <x:f>H1068*Y1067/(tun_ChildYears*4)</x:f>
        <x:v>0</x:v>
      </x:c>
      <x:c r="X1068" s="9" t="n">
        <x:f>H1068*Z1067/(tun_AdultYears*4)</x:f>
        <x:v>0</x:v>
      </x:c>
      <x:c r="Y1068" s="32" t="n">
        <x:f>Y1067+R1068-S1068-W1068-Y1067*V1068/AB1067</x:f>
        <x:v>40496.20709015643</x:v>
      </x:c>
      <x:c r="Z1068" s="32" t="n">
        <x:f>Z1067+W1068-X1068-T1068-Z1067*V1068/AB1067</x:f>
        <x:v>59141.61122890803</x:v>
      </x:c>
      <x:c r="AA1068" s="32" t="n">
        <x:f>AA1067+X1068-U1068-AA1067*V1068/AB1067</x:f>
        <x:v>45530.62410925061</x:v>
      </x:c>
      <x:c r="AB1068" s="10" t="n">
        <x:f>Y1068+Z1068+AA1068</x:f>
        <x:v>145168.44242831506</x:v>
      </x:c>
      <x:c r="AC1068" s="8" t="n">
        <x:f>IF(AND(tun_WinterTrigger=1,D1068=1,AB1067/AE1067&gt;=K1068),1,0)</x:f>
        <x:v>0</x:v>
      </x:c>
      <x:c r="AD1068" s="8" t="n">
        <x:f>H1068*IF(AND(OR(AB1067/AE1067&gt;=tun_FissionTrigger*N1068,AC1068=1),AB1067/AE1067*tun_DaughterShare&gt;=tun_MinDaughter),MAX(1,ROUND(AE1067*tun_FissionRate,0)),0)</x:f>
        <x:v>0</x:v>
      </x:c>
      <x:c r="AE1068" s="8" t="n">
        <x:f>IF(H1068=1,MAX(1,MIN(INDEX(tun_Smax,G1068),AE1067+AD1068)),AE1067)</x:f>
        <x:v>9</x:v>
      </x:c>
      <x:c r="AF1068" s="8" t="n">
        <x:f>MAX(0,AE1068-AE1067)</x:f>
        <x:v>0</x:v>
      </x:c>
      <x:c r="AG1068" s="9" t="str">
        <x:f>IF(AF1068&gt;0,B1068,"")</x:f>
      </x:c>
      <x:c r="AH1068" s="9" t="n">
        <x:f>IF(F1068&gt;=1,1,(1+tun_LowTiesShare*(AE1068-1))/AE1068)</x:f>
        <x:v>1</x:v>
      </x:c>
      <x:c r="AI1068" s="32" t="n">
        <x:f>(Z1068+tun_ElderCommons*INDEX(LM_Elder,G1068)*AA1068)*AH1068</x:f>
        <x:v>238215.0665857503</x:v>
      </x:c>
      <x:c r="AJ1068" s="32" t="n">
        <x:f>H1068*tun_CommonsCoef*AI1068^tun_CommonsExp*INDEX(LM_Commons,G1068)</x:f>
        <x:v>0</x:v>
      </x:c>
      <x:c r="AK1068" s="32" t="n">
        <x:f>H1068*tun_RoleScale*Arch_Roles*(AE1068*(INDEX(tun_ElderRolePerSett,G1068)*tun_OutElder*INDEX(LM_Elder,G1068)+INDEX(tun_ShamanPerSett,G1068)*tun_OutShaman)+Z1068*(INDEX(tun_PriestShare,G1068)*tun_OutPriest+INDEX(tun_ScribeShare,G1068)*tun_OutScribe*INDEX(LM_Scribe,G1068)+INDEX(tun_ScholarShare,G1068)*tun_OutScholar*INDEX(LM_Scholar,G1068)+INDEX(tun_ResearcherShare,G1068)*tun_OutResearcher*INDEX(LM_Researcher,G1068)))</x:f>
        <x:v>0</x:v>
      </x:c>
      <x:c r="AL1068" s="32" t="n">
        <x:f>H1068*tun_RoleScale*Arch_Roles*AE1068*INDEX(tun_MonasteryPerSett,G1068)*tun_OutMonastery*INDEX(LM_Monastery,G1068)</x:f>
        <x:v>0</x:v>
      </x:c>
      <x:c r="AM1068" s="32" t="n">
        <x:f>(AJ1068+AK1068+AL1068)/4*INDEX(LM_All,G1068)*INDEX(tun_Boon,G1068)*Arch_Insight</x:f>
        <x:v>0</x:v>
      </x:c>
      <x:c r="AN1068" s="32" t="n">
        <x:f>H1068*(tun_KHPerAdult*Z1068+tun_KHOfCommons*AJ1068/4*INDEX(LM_All,G1068))*tun_KHUsable*Arch_KH</x:f>
        <x:v>0</x:v>
      </x:c>
      <x:c r="AO1068" s="32" t="n">
        <x:f>MIN(AP1067+AN1068,AM1068*tun_KHMaxRatio)</x:f>
        <x:v>0</x:v>
      </x:c>
      <x:c r="AP1068" s="32" t="n">
        <x:f>AP1067+AN1068-AO1068</x:f>
        <x:v>0</x:v>
      </x:c>
      <x:c r="AQ1068" s="32" t="n">
        <x:f>AM1068+AO1068</x:f>
        <x:v>0</x:v>
      </x:c>
      <x:c r="AR1068" s="10" t="n">
        <x:f>IF(H1068=1,INDEX(tun_Req,G1068),0)</x:f>
        <x:v>0</x:v>
      </x:c>
      <x:c r="AS1068" s="32" t="n">
        <x:f>IF(H1068=1,IF(E1068=1,AS1067-AR1067,AS1067)+AQ1068,0)</x:f>
        <x:v>0</x:v>
      </x:c>
      <x:c r="AT1068" s="11" t="n">
        <x:f>IF(AR1068&gt;0,MIN(1,AS1068/AR1068),1)</x:f>
        <x:v>1</x:v>
      </x:c>
      <x:c r="AU1068" s="10" t="n">
        <x:f>AB1068/INDEX(tun_RepScale,G1068)</x:f>
        <x:v>290.3368848566301</x:v>
      </x:c>
      <x:c r="AV1068" s="32" t="n">
        <x:f>AM1068*60/tun_SeasonSeconds</x:f>
        <x:v>0</x:v>
      </x:c>
    </x:row>
    <x:row r="1069">
      <x:c r="A1069" s="8" t="n">
        <x:f>A1068+1</x:f>
        <x:v>1066</x:v>
      </x:c>
      <x:c r="B1069" s="9" t="n">
        <x:f>A1069*tun_SeasonSeconds/60</x:f>
        <x:v>266.5</x:v>
      </x:c>
      <x:c r="C1069" s="9" t="n">
        <x:f>A1069/4</x:f>
        <x:v>266.5</x:v>
      </x:c>
      <x:c r="D1069" s="8" t="n">
        <x:f>IF(MOD(A1069,4)=0,1,0)</x:f>
        <x:v>0</x:v>
      </x:c>
      <x:c r="E1069" s="8" t="n">
        <x:f>IF(AND(F1068&lt;=9,AS1068&gt;=AR1068),1,0)</x:f>
        <x:v>0</x:v>
      </x:c>
      <x:c r="F1069" s="8" t="n">
        <x:f>MIN(10,F1068+E1069)</x:f>
        <x:v>10</x:v>
      </x:c>
      <x:c r="G1069" s="8" t="n">
        <x:f>MIN(F1069,9)+1</x:f>
        <x:v>10</x:v>
      </x:c>
      <x:c r="H1069" s="8" t="n">
        <x:f>IF(F1069&lt;=9,1,0)</x:f>
        <x:v>0</x:v>
      </x:c>
      <x:c r="I1069" s="9" t="n">
        <x:f>MIN(10,F1068+IF(AR1068&gt;0,MIN(1,AS1068/AR1068),1))</x:f>
        <x:v>10</x:v>
      </x:c>
      <x:c r="J1069" s="32" t="n">
        <x:f>INDEX(tun_FoodCap,G1069)*Arch_FoodCap*EXP(tun_CapsByProject*SUMPRODUCT((Cap_Point&lt;=I1069)*(Cap_Kind="Food")*Cap_Ln))</x:f>
        <x:v>18627.260449441455</x:v>
      </x:c>
      <x:c r="K1069" s="32" t="n">
        <x:f>J1069*MIN(1,tun_LeanBase*EXP(tun_CapsByProject*SUMPRODUCT((Cap_Point&lt;=I1069)*(Cap_Kind="Lean")*Cap_Ln)))</x:f>
        <x:v>18627.260449441455</x:v>
      </x:c>
      <x:c r="L1069" s="10" t="n">
        <x:f>INDEX(tun_HousingCap,G1069)*EXP(tun_CapsByProject*SUMPRODUCT((Cap_Point&lt;=I1069)*(Cap_Kind="Housing")*Cap_Ln))</x:f>
        <x:v>20528.974303173167</x:v>
      </x:c>
      <x:c r="M1069" s="10" t="n">
        <x:f>INDEX(tun_GroupCap,G1069)*tun_CohesionFactor*EXP(tun_CapsByProject*SUMPRODUCT((Cap_Point&lt;=I1069)*(Cap_Kind="Group")*Cap_Ln))</x:f>
        <x:v>1000000.000000001</x:v>
      </x:c>
      <x:c r="N1069" s="32" t="n">
        <x:f>MIN(J1069,L1069,M1069)</x:f>
        <x:v>18627.260449441455</x:v>
      </x:c>
      <x:c r="O1069" s="10" t="n">
        <x:f>AE1068*N1069</x:f>
        <x:v>167645.34404497308</x:v>
      </x:c>
      <x:c r="P1069" s="9" t="n">
        <x:f>MIN(1,(AB1068/(AE1068*IF(tun_GroupInCrowding=1,N1069,MIN(J1069,L1069))))^tun_CrowdingExp)</x:f>
        <x:v>0.4215841981292809</x:v>
      </x:c>
      <x:c r="Q1069" s="9" t="n">
        <x:f>IF(D1069=1,INDEX(tun_WinterMult,G1069),1)</x:f>
        <x:v>1</x:v>
      </x:c>
      <x:c r="R1069" s="9" t="n">
        <x:f>H1069*Z1068*tun_WomenShare*tun_BaseFertility*INDEX(tun_FertMult,G1069)*Arch_Fertility*(1-P1069)</x:f>
        <x:v>0</x:v>
      </x:c>
      <x:c r="S1069" s="9" t="n">
        <x:f>H1069*Y1068*INDEX(tun_MortChild,G1069)/4*Q1069</x:f>
        <x:v>0</x:v>
      </x:c>
      <x:c r="T1069" s="9" t="n">
        <x:f>H1069*Z1068*INDEX(tun_MortAdult,G1069)*Arch_AdultMort/4*Q1069</x:f>
        <x:v>0</x:v>
      </x:c>
      <x:c r="U1069" s="9" t="n">
        <x:f>H1069*AA1068*INDEX(tun_MortElder,G1069)/4*Q1069</x:f>
        <x:v>0</x:v>
      </x:c>
      <x:c r="V1069" s="9" t="n">
        <x:f>H1069*MAX(0,AB1068-O1069)*tun_OvercapLoss</x:f>
        <x:v>0</x:v>
      </x:c>
      <x:c r="W1069" s="9" t="n">
        <x:f>H1069*Y1068/(tun_ChildYears*4)</x:f>
        <x:v>0</x:v>
      </x:c>
      <x:c r="X1069" s="9" t="n">
        <x:f>H1069*Z1068/(tun_AdultYears*4)</x:f>
        <x:v>0</x:v>
      </x:c>
      <x:c r="Y1069" s="32" t="n">
        <x:f>Y1068+R1069-S1069-W1069-Y1068*V1069/AB1068</x:f>
        <x:v>40496.20709015643</x:v>
      </x:c>
      <x:c r="Z1069" s="32" t="n">
        <x:f>Z1068+W1069-X1069-T1069-Z1068*V1069/AB1068</x:f>
        <x:v>59141.61122890803</x:v>
      </x:c>
      <x:c r="AA1069" s="32" t="n">
        <x:f>AA1068+X1069-U1069-AA1068*V1069/AB1068</x:f>
        <x:v>45530.62410925061</x:v>
      </x:c>
      <x:c r="AB1069" s="10" t="n">
        <x:f>Y1069+Z1069+AA1069</x:f>
        <x:v>145168.44242831506</x:v>
      </x:c>
      <x:c r="AC1069" s="8" t="n">
        <x:f>IF(AND(tun_WinterTrigger=1,D1069=1,AB1068/AE1068&gt;=K1069),1,0)</x:f>
        <x:v>0</x:v>
      </x:c>
      <x:c r="AD1069" s="8" t="n">
        <x:f>H1069*IF(AND(OR(AB1068/AE1068&gt;=tun_FissionTrigger*N1069,AC1069=1),AB1068/AE1068*tun_DaughterShare&gt;=tun_MinDaughter),MAX(1,ROUND(AE1068*tun_FissionRate,0)),0)</x:f>
        <x:v>0</x:v>
      </x:c>
      <x:c r="AE1069" s="8" t="n">
        <x:f>IF(H1069=1,MAX(1,MIN(INDEX(tun_Smax,G1069),AE1068+AD1069)),AE1068)</x:f>
        <x:v>9</x:v>
      </x:c>
      <x:c r="AF1069" s="8" t="n">
        <x:f>MAX(0,AE1069-AE1068)</x:f>
        <x:v>0</x:v>
      </x:c>
      <x:c r="AG1069" s="9" t="str">
        <x:f>IF(AF1069&gt;0,B1069,"")</x:f>
      </x:c>
      <x:c r="AH1069" s="9" t="n">
        <x:f>IF(F1069&gt;=1,1,(1+tun_LowTiesShare*(AE1069-1))/AE1069)</x:f>
        <x:v>1</x:v>
      </x:c>
      <x:c r="AI1069" s="32" t="n">
        <x:f>(Z1069+tun_ElderCommons*INDEX(LM_Elder,G1069)*AA1069)*AH1069</x:f>
        <x:v>238215.0665857503</x:v>
      </x:c>
      <x:c r="AJ1069" s="32" t="n">
        <x:f>H1069*tun_CommonsCoef*AI1069^tun_CommonsExp*INDEX(LM_Commons,G1069)</x:f>
        <x:v>0</x:v>
      </x:c>
      <x:c r="AK1069" s="32" t="n">
        <x:f>H1069*tun_RoleScale*Arch_Roles*(AE1069*(INDEX(tun_ElderRolePerSett,G1069)*tun_OutElder*INDEX(LM_Elder,G1069)+INDEX(tun_ShamanPerSett,G1069)*tun_OutShaman)+Z1069*(INDEX(tun_PriestShare,G1069)*tun_OutPriest+INDEX(tun_ScribeShare,G1069)*tun_OutScribe*INDEX(LM_Scribe,G1069)+INDEX(tun_ScholarShare,G1069)*tun_OutScholar*INDEX(LM_Scholar,G1069)+INDEX(tun_ResearcherShare,G1069)*tun_OutResearcher*INDEX(LM_Researcher,G1069)))</x:f>
        <x:v>0</x:v>
      </x:c>
      <x:c r="AL1069" s="32" t="n">
        <x:f>H1069*tun_RoleScale*Arch_Roles*AE1069*INDEX(tun_MonasteryPerSett,G1069)*tun_OutMonastery*INDEX(LM_Monastery,G1069)</x:f>
        <x:v>0</x:v>
      </x:c>
      <x:c r="AM1069" s="32" t="n">
        <x:f>(AJ1069+AK1069+AL1069)/4*INDEX(LM_All,G1069)*INDEX(tun_Boon,G1069)*Arch_Insight</x:f>
        <x:v>0</x:v>
      </x:c>
      <x:c r="AN1069" s="32" t="n">
        <x:f>H1069*(tun_KHPerAdult*Z1069+tun_KHOfCommons*AJ1069/4*INDEX(LM_All,G1069))*tun_KHUsable*Arch_KH</x:f>
        <x:v>0</x:v>
      </x:c>
      <x:c r="AO1069" s="32" t="n">
        <x:f>MIN(AP1068+AN1069,AM1069*tun_KHMaxRatio)</x:f>
        <x:v>0</x:v>
      </x:c>
      <x:c r="AP1069" s="32" t="n">
        <x:f>AP1068+AN1069-AO1069</x:f>
        <x:v>0</x:v>
      </x:c>
      <x:c r="AQ1069" s="32" t="n">
        <x:f>AM1069+AO1069</x:f>
        <x:v>0</x:v>
      </x:c>
      <x:c r="AR1069" s="10" t="n">
        <x:f>IF(H1069=1,INDEX(tun_Req,G1069),0)</x:f>
        <x:v>0</x:v>
      </x:c>
      <x:c r="AS1069" s="32" t="n">
        <x:f>IF(H1069=1,IF(E1069=1,AS1068-AR1068,AS1068)+AQ1069,0)</x:f>
        <x:v>0</x:v>
      </x:c>
      <x:c r="AT1069" s="11" t="n">
        <x:f>IF(AR1069&gt;0,MIN(1,AS1069/AR1069),1)</x:f>
        <x:v>1</x:v>
      </x:c>
      <x:c r="AU1069" s="10" t="n">
        <x:f>AB1069/INDEX(tun_RepScale,G1069)</x:f>
        <x:v>290.3368848566301</x:v>
      </x:c>
      <x:c r="AV1069" s="32" t="n">
        <x:f>AM1069*60/tun_SeasonSeconds</x:f>
        <x:v>0</x:v>
      </x:c>
    </x:row>
    <x:row r="1070">
      <x:c r="A1070" s="8" t="n">
        <x:f>A1069+1</x:f>
        <x:v>1067</x:v>
      </x:c>
      <x:c r="B1070" s="9" t="n">
        <x:f>A1070*tun_SeasonSeconds/60</x:f>
        <x:v>266.75</x:v>
      </x:c>
      <x:c r="C1070" s="9" t="n">
        <x:f>A1070/4</x:f>
        <x:v>266.75</x:v>
      </x:c>
      <x:c r="D1070" s="8" t="n">
        <x:f>IF(MOD(A1070,4)=0,1,0)</x:f>
        <x:v>0</x:v>
      </x:c>
      <x:c r="E1070" s="8" t="n">
        <x:f>IF(AND(F1069&lt;=9,AS1069&gt;=AR1069),1,0)</x:f>
        <x:v>0</x:v>
      </x:c>
      <x:c r="F1070" s="8" t="n">
        <x:f>MIN(10,F1069+E1070)</x:f>
        <x:v>10</x:v>
      </x:c>
      <x:c r="G1070" s="8" t="n">
        <x:f>MIN(F1070,9)+1</x:f>
        <x:v>10</x:v>
      </x:c>
      <x:c r="H1070" s="8" t="n">
        <x:f>IF(F1070&lt;=9,1,0)</x:f>
        <x:v>0</x:v>
      </x:c>
      <x:c r="I1070" s="9" t="n">
        <x:f>MIN(10,F1069+IF(AR1069&gt;0,MIN(1,AS1069/AR1069),1))</x:f>
        <x:v>10</x:v>
      </x:c>
      <x:c r="J1070" s="32" t="n">
        <x:f>INDEX(tun_FoodCap,G1070)*Arch_FoodCap*EXP(tun_CapsByProject*SUMPRODUCT((Cap_Point&lt;=I1070)*(Cap_Kind="Food")*Cap_Ln))</x:f>
        <x:v>18627.260449441455</x:v>
      </x:c>
      <x:c r="K1070" s="32" t="n">
        <x:f>J1070*MIN(1,tun_LeanBase*EXP(tun_CapsByProject*SUMPRODUCT((Cap_Point&lt;=I1070)*(Cap_Kind="Lean")*Cap_Ln)))</x:f>
        <x:v>18627.260449441455</x:v>
      </x:c>
      <x:c r="L1070" s="10" t="n">
        <x:f>INDEX(tun_HousingCap,G1070)*EXP(tun_CapsByProject*SUMPRODUCT((Cap_Point&lt;=I1070)*(Cap_Kind="Housing")*Cap_Ln))</x:f>
        <x:v>20528.974303173167</x:v>
      </x:c>
      <x:c r="M1070" s="10" t="n">
        <x:f>INDEX(tun_GroupCap,G1070)*tun_CohesionFactor*EXP(tun_CapsByProject*SUMPRODUCT((Cap_Point&lt;=I1070)*(Cap_Kind="Group")*Cap_Ln))</x:f>
        <x:v>1000000.000000001</x:v>
      </x:c>
      <x:c r="N1070" s="32" t="n">
        <x:f>MIN(J1070,L1070,M1070)</x:f>
        <x:v>18627.260449441455</x:v>
      </x:c>
      <x:c r="O1070" s="10" t="n">
        <x:f>AE1069*N1070</x:f>
        <x:v>167645.34404497308</x:v>
      </x:c>
      <x:c r="P1070" s="9" t="n">
        <x:f>MIN(1,(AB1069/(AE1069*IF(tun_GroupInCrowding=1,N1070,MIN(J1070,L1070))))^tun_CrowdingExp)</x:f>
        <x:v>0.4215841981292809</x:v>
      </x:c>
      <x:c r="Q1070" s="9" t="n">
        <x:f>IF(D1070=1,INDEX(tun_WinterMult,G1070),1)</x:f>
        <x:v>1</x:v>
      </x:c>
      <x:c r="R1070" s="9" t="n">
        <x:f>H1070*Z1069*tun_WomenShare*tun_BaseFertility*INDEX(tun_FertMult,G1070)*Arch_Fertility*(1-P1070)</x:f>
        <x:v>0</x:v>
      </x:c>
      <x:c r="S1070" s="9" t="n">
        <x:f>H1070*Y1069*INDEX(tun_MortChild,G1070)/4*Q1070</x:f>
        <x:v>0</x:v>
      </x:c>
      <x:c r="T1070" s="9" t="n">
        <x:f>H1070*Z1069*INDEX(tun_MortAdult,G1070)*Arch_AdultMort/4*Q1070</x:f>
        <x:v>0</x:v>
      </x:c>
      <x:c r="U1070" s="9" t="n">
        <x:f>H1070*AA1069*INDEX(tun_MortElder,G1070)/4*Q1070</x:f>
        <x:v>0</x:v>
      </x:c>
      <x:c r="V1070" s="9" t="n">
        <x:f>H1070*MAX(0,AB1069-O1070)*tun_OvercapLoss</x:f>
        <x:v>0</x:v>
      </x:c>
      <x:c r="W1070" s="9" t="n">
        <x:f>H1070*Y1069/(tun_ChildYears*4)</x:f>
        <x:v>0</x:v>
      </x:c>
      <x:c r="X1070" s="9" t="n">
        <x:f>H1070*Z1069/(tun_AdultYears*4)</x:f>
        <x:v>0</x:v>
      </x:c>
      <x:c r="Y1070" s="32" t="n">
        <x:f>Y1069+R1070-S1070-W1070-Y1069*V1070/AB1069</x:f>
        <x:v>40496.20709015643</x:v>
      </x:c>
      <x:c r="Z1070" s="32" t="n">
        <x:f>Z1069+W1070-X1070-T1070-Z1069*V1070/AB1069</x:f>
        <x:v>59141.61122890803</x:v>
      </x:c>
      <x:c r="AA1070" s="32" t="n">
        <x:f>AA1069+X1070-U1070-AA1069*V1070/AB1069</x:f>
        <x:v>45530.62410925061</x:v>
      </x:c>
      <x:c r="AB1070" s="10" t="n">
        <x:f>Y1070+Z1070+AA1070</x:f>
        <x:v>145168.44242831506</x:v>
      </x:c>
      <x:c r="AC1070" s="8" t="n">
        <x:f>IF(AND(tun_WinterTrigger=1,D1070=1,AB1069/AE1069&gt;=K1070),1,0)</x:f>
        <x:v>0</x:v>
      </x:c>
      <x:c r="AD1070" s="8" t="n">
        <x:f>H1070*IF(AND(OR(AB1069/AE1069&gt;=tun_FissionTrigger*N1070,AC1070=1),AB1069/AE1069*tun_DaughterShare&gt;=tun_MinDaughter),MAX(1,ROUND(AE1069*tun_FissionRate,0)),0)</x:f>
        <x:v>0</x:v>
      </x:c>
      <x:c r="AE1070" s="8" t="n">
        <x:f>IF(H1070=1,MAX(1,MIN(INDEX(tun_Smax,G1070),AE1069+AD1070)),AE1069)</x:f>
        <x:v>9</x:v>
      </x:c>
      <x:c r="AF1070" s="8" t="n">
        <x:f>MAX(0,AE1070-AE1069)</x:f>
        <x:v>0</x:v>
      </x:c>
      <x:c r="AG1070" s="9" t="str">
        <x:f>IF(AF1070&gt;0,B1070,"")</x:f>
      </x:c>
      <x:c r="AH1070" s="9" t="n">
        <x:f>IF(F1070&gt;=1,1,(1+tun_LowTiesShare*(AE1070-1))/AE1070)</x:f>
        <x:v>1</x:v>
      </x:c>
      <x:c r="AI1070" s="32" t="n">
        <x:f>(Z1070+tun_ElderCommons*INDEX(LM_Elder,G1070)*AA1070)*AH1070</x:f>
        <x:v>238215.0665857503</x:v>
      </x:c>
      <x:c r="AJ1070" s="32" t="n">
        <x:f>H1070*tun_CommonsCoef*AI1070^tun_CommonsExp*INDEX(LM_Commons,G1070)</x:f>
        <x:v>0</x:v>
      </x:c>
      <x:c r="AK1070" s="32" t="n">
        <x:f>H1070*tun_RoleScale*Arch_Roles*(AE1070*(INDEX(tun_ElderRolePerSett,G1070)*tun_OutElder*INDEX(LM_Elder,G1070)+INDEX(tun_ShamanPerSett,G1070)*tun_OutShaman)+Z1070*(INDEX(tun_PriestShare,G1070)*tun_OutPriest+INDEX(tun_ScribeShare,G1070)*tun_OutScribe*INDEX(LM_Scribe,G1070)+INDEX(tun_ScholarShare,G1070)*tun_OutScholar*INDEX(LM_Scholar,G1070)+INDEX(tun_ResearcherShare,G1070)*tun_OutResearcher*INDEX(LM_Researcher,G1070)))</x:f>
        <x:v>0</x:v>
      </x:c>
      <x:c r="AL1070" s="32" t="n">
        <x:f>H1070*tun_RoleScale*Arch_Roles*AE1070*INDEX(tun_MonasteryPerSett,G1070)*tun_OutMonastery*INDEX(LM_Monastery,G1070)</x:f>
        <x:v>0</x:v>
      </x:c>
      <x:c r="AM1070" s="32" t="n">
        <x:f>(AJ1070+AK1070+AL1070)/4*INDEX(LM_All,G1070)*INDEX(tun_Boon,G1070)*Arch_Insight</x:f>
        <x:v>0</x:v>
      </x:c>
      <x:c r="AN1070" s="32" t="n">
        <x:f>H1070*(tun_KHPerAdult*Z1070+tun_KHOfCommons*AJ1070/4*INDEX(LM_All,G1070))*tun_KHUsable*Arch_KH</x:f>
        <x:v>0</x:v>
      </x:c>
      <x:c r="AO1070" s="32" t="n">
        <x:f>MIN(AP1069+AN1070,AM1070*tun_KHMaxRatio)</x:f>
        <x:v>0</x:v>
      </x:c>
      <x:c r="AP1070" s="32" t="n">
        <x:f>AP1069+AN1070-AO1070</x:f>
        <x:v>0</x:v>
      </x:c>
      <x:c r="AQ1070" s="32" t="n">
        <x:f>AM1070+AO1070</x:f>
        <x:v>0</x:v>
      </x:c>
      <x:c r="AR1070" s="10" t="n">
        <x:f>IF(H1070=1,INDEX(tun_Req,G1070),0)</x:f>
        <x:v>0</x:v>
      </x:c>
      <x:c r="AS1070" s="32" t="n">
        <x:f>IF(H1070=1,IF(E1070=1,AS1069-AR1069,AS1069)+AQ1070,0)</x:f>
        <x:v>0</x:v>
      </x:c>
      <x:c r="AT1070" s="11" t="n">
        <x:f>IF(AR1070&gt;0,MIN(1,AS1070/AR1070),1)</x:f>
        <x:v>1</x:v>
      </x:c>
      <x:c r="AU1070" s="10" t="n">
        <x:f>AB1070/INDEX(tun_RepScale,G1070)</x:f>
        <x:v>290.3368848566301</x:v>
      </x:c>
      <x:c r="AV1070" s="32" t="n">
        <x:f>AM1070*60/tun_SeasonSeconds</x:f>
        <x:v>0</x:v>
      </x:c>
    </x:row>
    <x:row r="1071">
      <x:c r="A1071" s="8" t="n">
        <x:f>A1070+1</x:f>
        <x:v>1068</x:v>
      </x:c>
      <x:c r="B1071" s="9" t="n">
        <x:f>A1071*tun_SeasonSeconds/60</x:f>
        <x:v>267</x:v>
      </x:c>
      <x:c r="C1071" s="9" t="n">
        <x:f>A1071/4</x:f>
        <x:v>267</x:v>
      </x:c>
      <x:c r="D1071" s="8" t="n">
        <x:f>IF(MOD(A1071,4)=0,1,0)</x:f>
        <x:v>1</x:v>
      </x:c>
      <x:c r="E1071" s="8" t="n">
        <x:f>IF(AND(F1070&lt;=9,AS1070&gt;=AR1070),1,0)</x:f>
        <x:v>0</x:v>
      </x:c>
      <x:c r="F1071" s="8" t="n">
        <x:f>MIN(10,F1070+E1071)</x:f>
        <x:v>10</x:v>
      </x:c>
      <x:c r="G1071" s="8" t="n">
        <x:f>MIN(F1071,9)+1</x:f>
        <x:v>10</x:v>
      </x:c>
      <x:c r="H1071" s="8" t="n">
        <x:f>IF(F1071&lt;=9,1,0)</x:f>
        <x:v>0</x:v>
      </x:c>
      <x:c r="I1071" s="9" t="n">
        <x:f>MIN(10,F1070+IF(AR1070&gt;0,MIN(1,AS1070/AR1070),1))</x:f>
        <x:v>10</x:v>
      </x:c>
      <x:c r="J1071" s="32" t="n">
        <x:f>INDEX(tun_FoodCap,G1071)*Arch_FoodCap*EXP(tun_CapsByProject*SUMPRODUCT((Cap_Point&lt;=I1071)*(Cap_Kind="Food")*Cap_Ln))</x:f>
        <x:v>18627.260449441455</x:v>
      </x:c>
      <x:c r="K1071" s="32" t="n">
        <x:f>J1071*MIN(1,tun_LeanBase*EXP(tun_CapsByProject*SUMPRODUCT((Cap_Point&lt;=I1071)*(Cap_Kind="Lean")*Cap_Ln)))</x:f>
        <x:v>18627.260449441455</x:v>
      </x:c>
      <x:c r="L1071" s="10" t="n">
        <x:f>INDEX(tun_HousingCap,G1071)*EXP(tun_CapsByProject*SUMPRODUCT((Cap_Point&lt;=I1071)*(Cap_Kind="Housing")*Cap_Ln))</x:f>
        <x:v>20528.974303173167</x:v>
      </x:c>
      <x:c r="M1071" s="10" t="n">
        <x:f>INDEX(tun_GroupCap,G1071)*tun_CohesionFactor*EXP(tun_CapsByProject*SUMPRODUCT((Cap_Point&lt;=I1071)*(Cap_Kind="Group")*Cap_Ln))</x:f>
        <x:v>1000000.000000001</x:v>
      </x:c>
      <x:c r="N1071" s="32" t="n">
        <x:f>MIN(J1071,L1071,M1071)</x:f>
        <x:v>18627.260449441455</x:v>
      </x:c>
      <x:c r="O1071" s="10" t="n">
        <x:f>AE1070*N1071</x:f>
        <x:v>167645.34404497308</x:v>
      </x:c>
      <x:c r="P1071" s="9" t="n">
        <x:f>MIN(1,(AB1070/(AE1070*IF(tun_GroupInCrowding=1,N1071,MIN(J1071,L1071))))^tun_CrowdingExp)</x:f>
        <x:v>0.4215841981292809</x:v>
      </x:c>
      <x:c r="Q1071" s="9" t="n">
        <x:f>IF(D1071=1,INDEX(tun_WinterMult,G1071),1)</x:f>
        <x:v>1.05</x:v>
      </x:c>
      <x:c r="R1071" s="9" t="n">
        <x:f>H1071*Z1070*tun_WomenShare*tun_BaseFertility*INDEX(tun_FertMult,G1071)*Arch_Fertility*(1-P1071)</x:f>
        <x:v>0</x:v>
      </x:c>
      <x:c r="S1071" s="9" t="n">
        <x:f>H1071*Y1070*INDEX(tun_MortChild,G1071)/4*Q1071</x:f>
        <x:v>0</x:v>
      </x:c>
      <x:c r="T1071" s="9" t="n">
        <x:f>H1071*Z1070*INDEX(tun_MortAdult,G1071)*Arch_AdultMort/4*Q1071</x:f>
        <x:v>0</x:v>
      </x:c>
      <x:c r="U1071" s="9" t="n">
        <x:f>H1071*AA1070*INDEX(tun_MortElder,G1071)/4*Q1071</x:f>
        <x:v>0</x:v>
      </x:c>
      <x:c r="V1071" s="9" t="n">
        <x:f>H1071*MAX(0,AB1070-O1071)*tun_OvercapLoss</x:f>
        <x:v>0</x:v>
      </x:c>
      <x:c r="W1071" s="9" t="n">
        <x:f>H1071*Y1070/(tun_ChildYears*4)</x:f>
        <x:v>0</x:v>
      </x:c>
      <x:c r="X1071" s="9" t="n">
        <x:f>H1071*Z1070/(tun_AdultYears*4)</x:f>
        <x:v>0</x:v>
      </x:c>
      <x:c r="Y1071" s="32" t="n">
        <x:f>Y1070+R1071-S1071-W1071-Y1070*V1071/AB1070</x:f>
        <x:v>40496.20709015643</x:v>
      </x:c>
      <x:c r="Z1071" s="32" t="n">
        <x:f>Z1070+W1071-X1071-T1071-Z1070*V1071/AB1070</x:f>
        <x:v>59141.61122890803</x:v>
      </x:c>
      <x:c r="AA1071" s="32" t="n">
        <x:f>AA1070+X1071-U1071-AA1070*V1071/AB1070</x:f>
        <x:v>45530.62410925061</x:v>
      </x:c>
      <x:c r="AB1071" s="10" t="n">
        <x:f>Y1071+Z1071+AA1071</x:f>
        <x:v>145168.44242831506</x:v>
      </x:c>
      <x:c r="AC1071" s="8" t="n">
        <x:f>IF(AND(tun_WinterTrigger=1,D1071=1,AB1070/AE1070&gt;=K1071),1,0)</x:f>
        <x:v>0</x:v>
      </x:c>
      <x:c r="AD1071" s="8" t="n">
        <x:f>H1071*IF(AND(OR(AB1070/AE1070&gt;=tun_FissionTrigger*N1071,AC1071=1),AB1070/AE1070*tun_DaughterShare&gt;=tun_MinDaughter),MAX(1,ROUND(AE1070*tun_FissionRate,0)),0)</x:f>
        <x:v>0</x:v>
      </x:c>
      <x:c r="AE1071" s="8" t="n">
        <x:f>IF(H1071=1,MAX(1,MIN(INDEX(tun_Smax,G1071),AE1070+AD1071)),AE1070)</x:f>
        <x:v>9</x:v>
      </x:c>
      <x:c r="AF1071" s="8" t="n">
        <x:f>MAX(0,AE1071-AE1070)</x:f>
        <x:v>0</x:v>
      </x:c>
      <x:c r="AG1071" s="9" t="str">
        <x:f>IF(AF1071&gt;0,B1071,"")</x:f>
      </x:c>
      <x:c r="AH1071" s="9" t="n">
        <x:f>IF(F1071&gt;=1,1,(1+tun_LowTiesShare*(AE1071-1))/AE1071)</x:f>
        <x:v>1</x:v>
      </x:c>
      <x:c r="AI1071" s="32" t="n">
        <x:f>(Z1071+tun_ElderCommons*INDEX(LM_Elder,G1071)*AA1071)*AH1071</x:f>
        <x:v>238215.0665857503</x:v>
      </x:c>
      <x:c r="AJ1071" s="32" t="n">
        <x:f>H1071*tun_CommonsCoef*AI1071^tun_CommonsExp*INDEX(LM_Commons,G1071)</x:f>
        <x:v>0</x:v>
      </x:c>
      <x:c r="AK1071" s="32" t="n">
        <x:f>H1071*tun_RoleScale*Arch_Roles*(AE1071*(INDEX(tun_ElderRolePerSett,G1071)*tun_OutElder*INDEX(LM_Elder,G1071)+INDEX(tun_ShamanPerSett,G1071)*tun_OutShaman)+Z1071*(INDEX(tun_PriestShare,G1071)*tun_OutPriest+INDEX(tun_ScribeShare,G1071)*tun_OutScribe*INDEX(LM_Scribe,G1071)+INDEX(tun_ScholarShare,G1071)*tun_OutScholar*INDEX(LM_Scholar,G1071)+INDEX(tun_ResearcherShare,G1071)*tun_OutResearcher*INDEX(LM_Researcher,G1071)))</x:f>
        <x:v>0</x:v>
      </x:c>
      <x:c r="AL1071" s="32" t="n">
        <x:f>H1071*tun_RoleScale*Arch_Roles*AE1071*INDEX(tun_MonasteryPerSett,G1071)*tun_OutMonastery*INDEX(LM_Monastery,G1071)</x:f>
        <x:v>0</x:v>
      </x:c>
      <x:c r="AM1071" s="32" t="n">
        <x:f>(AJ1071+AK1071+AL1071)/4*INDEX(LM_All,G1071)*INDEX(tun_Boon,G1071)*Arch_Insight</x:f>
        <x:v>0</x:v>
      </x:c>
      <x:c r="AN1071" s="32" t="n">
        <x:f>H1071*(tun_KHPerAdult*Z1071+tun_KHOfCommons*AJ1071/4*INDEX(LM_All,G1071))*tun_KHUsable*Arch_KH</x:f>
        <x:v>0</x:v>
      </x:c>
      <x:c r="AO1071" s="32" t="n">
        <x:f>MIN(AP1070+AN1071,AM1071*tun_KHMaxRatio)</x:f>
        <x:v>0</x:v>
      </x:c>
      <x:c r="AP1071" s="32" t="n">
        <x:f>AP1070+AN1071-AO1071</x:f>
        <x:v>0</x:v>
      </x:c>
      <x:c r="AQ1071" s="32" t="n">
        <x:f>AM1071+AO1071</x:f>
        <x:v>0</x:v>
      </x:c>
      <x:c r="AR1071" s="10" t="n">
        <x:f>IF(H1071=1,INDEX(tun_Req,G1071),0)</x:f>
        <x:v>0</x:v>
      </x:c>
      <x:c r="AS1071" s="32" t="n">
        <x:f>IF(H1071=1,IF(E1071=1,AS1070-AR1070,AS1070)+AQ1071,0)</x:f>
        <x:v>0</x:v>
      </x:c>
      <x:c r="AT1071" s="11" t="n">
        <x:f>IF(AR1071&gt;0,MIN(1,AS1071/AR1071),1)</x:f>
        <x:v>1</x:v>
      </x:c>
      <x:c r="AU1071" s="10" t="n">
        <x:f>AB1071/INDEX(tun_RepScale,G1071)</x:f>
        <x:v>290.3368848566301</x:v>
      </x:c>
      <x:c r="AV1071" s="32" t="n">
        <x:f>AM1071*60/tun_SeasonSeconds</x:f>
        <x:v>0</x:v>
      </x:c>
    </x:row>
    <x:row r="1072">
      <x:c r="A1072" s="8" t="n">
        <x:f>A1071+1</x:f>
        <x:v>1069</x:v>
      </x:c>
      <x:c r="B1072" s="9" t="n">
        <x:f>A1072*tun_SeasonSeconds/60</x:f>
        <x:v>267.25</x:v>
      </x:c>
      <x:c r="C1072" s="9" t="n">
        <x:f>A1072/4</x:f>
        <x:v>267.25</x:v>
      </x:c>
      <x:c r="D1072" s="8" t="n">
        <x:f>IF(MOD(A1072,4)=0,1,0)</x:f>
        <x:v>0</x:v>
      </x:c>
      <x:c r="E1072" s="8" t="n">
        <x:f>IF(AND(F1071&lt;=9,AS1071&gt;=AR1071),1,0)</x:f>
        <x:v>0</x:v>
      </x:c>
      <x:c r="F1072" s="8" t="n">
        <x:f>MIN(10,F1071+E1072)</x:f>
        <x:v>10</x:v>
      </x:c>
      <x:c r="G1072" s="8" t="n">
        <x:f>MIN(F1072,9)+1</x:f>
        <x:v>10</x:v>
      </x:c>
      <x:c r="H1072" s="8" t="n">
        <x:f>IF(F1072&lt;=9,1,0)</x:f>
        <x:v>0</x:v>
      </x:c>
      <x:c r="I1072" s="9" t="n">
        <x:f>MIN(10,F1071+IF(AR1071&gt;0,MIN(1,AS1071/AR1071),1))</x:f>
        <x:v>10</x:v>
      </x:c>
      <x:c r="J1072" s="32" t="n">
        <x:f>INDEX(tun_FoodCap,G1072)*Arch_FoodCap*EXP(tun_CapsByProject*SUMPRODUCT((Cap_Point&lt;=I1072)*(Cap_Kind="Food")*Cap_Ln))</x:f>
        <x:v>18627.260449441455</x:v>
      </x:c>
      <x:c r="K1072" s="32" t="n">
        <x:f>J1072*MIN(1,tun_LeanBase*EXP(tun_CapsByProject*SUMPRODUCT((Cap_Point&lt;=I1072)*(Cap_Kind="Lean")*Cap_Ln)))</x:f>
        <x:v>18627.260449441455</x:v>
      </x:c>
      <x:c r="L1072" s="10" t="n">
        <x:f>INDEX(tun_HousingCap,G1072)*EXP(tun_CapsByProject*SUMPRODUCT((Cap_Point&lt;=I1072)*(Cap_Kind="Housing")*Cap_Ln))</x:f>
        <x:v>20528.974303173167</x:v>
      </x:c>
      <x:c r="M1072" s="10" t="n">
        <x:f>INDEX(tun_GroupCap,G1072)*tun_CohesionFactor*EXP(tun_CapsByProject*SUMPRODUCT((Cap_Point&lt;=I1072)*(Cap_Kind="Group")*Cap_Ln))</x:f>
        <x:v>1000000.000000001</x:v>
      </x:c>
      <x:c r="N1072" s="32" t="n">
        <x:f>MIN(J1072,L1072,M1072)</x:f>
        <x:v>18627.260449441455</x:v>
      </x:c>
      <x:c r="O1072" s="10" t="n">
        <x:f>AE1071*N1072</x:f>
        <x:v>167645.34404497308</x:v>
      </x:c>
      <x:c r="P1072" s="9" t="n">
        <x:f>MIN(1,(AB1071/(AE1071*IF(tun_GroupInCrowding=1,N1072,MIN(J1072,L1072))))^tun_CrowdingExp)</x:f>
        <x:v>0.4215841981292809</x:v>
      </x:c>
      <x:c r="Q1072" s="9" t="n">
        <x:f>IF(D1072=1,INDEX(tun_WinterMult,G1072),1)</x:f>
        <x:v>1</x:v>
      </x:c>
      <x:c r="R1072" s="9" t="n">
        <x:f>H1072*Z1071*tun_WomenShare*tun_BaseFertility*INDEX(tun_FertMult,G1072)*Arch_Fertility*(1-P1072)</x:f>
        <x:v>0</x:v>
      </x:c>
      <x:c r="S1072" s="9" t="n">
        <x:f>H1072*Y1071*INDEX(tun_MortChild,G1072)/4*Q1072</x:f>
        <x:v>0</x:v>
      </x:c>
      <x:c r="T1072" s="9" t="n">
        <x:f>H1072*Z1071*INDEX(tun_MortAdult,G1072)*Arch_AdultMort/4*Q1072</x:f>
        <x:v>0</x:v>
      </x:c>
      <x:c r="U1072" s="9" t="n">
        <x:f>H1072*AA1071*INDEX(tun_MortElder,G1072)/4*Q1072</x:f>
        <x:v>0</x:v>
      </x:c>
      <x:c r="V1072" s="9" t="n">
        <x:f>H1072*MAX(0,AB1071-O1072)*tun_OvercapLoss</x:f>
        <x:v>0</x:v>
      </x:c>
      <x:c r="W1072" s="9" t="n">
        <x:f>H1072*Y1071/(tun_ChildYears*4)</x:f>
        <x:v>0</x:v>
      </x:c>
      <x:c r="X1072" s="9" t="n">
        <x:f>H1072*Z1071/(tun_AdultYears*4)</x:f>
        <x:v>0</x:v>
      </x:c>
      <x:c r="Y1072" s="32" t="n">
        <x:f>Y1071+R1072-S1072-W1072-Y1071*V1072/AB1071</x:f>
        <x:v>40496.20709015643</x:v>
      </x:c>
      <x:c r="Z1072" s="32" t="n">
        <x:f>Z1071+W1072-X1072-T1072-Z1071*V1072/AB1071</x:f>
        <x:v>59141.61122890803</x:v>
      </x:c>
      <x:c r="AA1072" s="32" t="n">
        <x:f>AA1071+X1072-U1072-AA1071*V1072/AB1071</x:f>
        <x:v>45530.62410925061</x:v>
      </x:c>
      <x:c r="AB1072" s="10" t="n">
        <x:f>Y1072+Z1072+AA1072</x:f>
        <x:v>145168.44242831506</x:v>
      </x:c>
      <x:c r="AC1072" s="8" t="n">
        <x:f>IF(AND(tun_WinterTrigger=1,D1072=1,AB1071/AE1071&gt;=K1072),1,0)</x:f>
        <x:v>0</x:v>
      </x:c>
      <x:c r="AD1072" s="8" t="n">
        <x:f>H1072*IF(AND(OR(AB1071/AE1071&gt;=tun_FissionTrigger*N1072,AC1072=1),AB1071/AE1071*tun_DaughterShare&gt;=tun_MinDaughter),MAX(1,ROUND(AE1071*tun_FissionRate,0)),0)</x:f>
        <x:v>0</x:v>
      </x:c>
      <x:c r="AE1072" s="8" t="n">
        <x:f>IF(H1072=1,MAX(1,MIN(INDEX(tun_Smax,G1072),AE1071+AD1072)),AE1071)</x:f>
        <x:v>9</x:v>
      </x:c>
      <x:c r="AF1072" s="8" t="n">
        <x:f>MAX(0,AE1072-AE1071)</x:f>
        <x:v>0</x:v>
      </x:c>
      <x:c r="AG1072" s="9" t="str">
        <x:f>IF(AF1072&gt;0,B1072,"")</x:f>
      </x:c>
      <x:c r="AH1072" s="9" t="n">
        <x:f>IF(F1072&gt;=1,1,(1+tun_LowTiesShare*(AE1072-1))/AE1072)</x:f>
        <x:v>1</x:v>
      </x:c>
      <x:c r="AI1072" s="32" t="n">
        <x:f>(Z1072+tun_ElderCommons*INDEX(LM_Elder,G1072)*AA1072)*AH1072</x:f>
        <x:v>238215.0665857503</x:v>
      </x:c>
      <x:c r="AJ1072" s="32" t="n">
        <x:f>H1072*tun_CommonsCoef*AI1072^tun_CommonsExp*INDEX(LM_Commons,G1072)</x:f>
        <x:v>0</x:v>
      </x:c>
      <x:c r="AK1072" s="32" t="n">
        <x:f>H1072*tun_RoleScale*Arch_Roles*(AE1072*(INDEX(tun_ElderRolePerSett,G1072)*tun_OutElder*INDEX(LM_Elder,G1072)+INDEX(tun_ShamanPerSett,G1072)*tun_OutShaman)+Z1072*(INDEX(tun_PriestShare,G1072)*tun_OutPriest+INDEX(tun_ScribeShare,G1072)*tun_OutScribe*INDEX(LM_Scribe,G1072)+INDEX(tun_ScholarShare,G1072)*tun_OutScholar*INDEX(LM_Scholar,G1072)+INDEX(tun_ResearcherShare,G1072)*tun_OutResearcher*INDEX(LM_Researcher,G1072)))</x:f>
        <x:v>0</x:v>
      </x:c>
      <x:c r="AL1072" s="32" t="n">
        <x:f>H1072*tun_RoleScale*Arch_Roles*AE1072*INDEX(tun_MonasteryPerSett,G1072)*tun_OutMonastery*INDEX(LM_Monastery,G1072)</x:f>
        <x:v>0</x:v>
      </x:c>
      <x:c r="AM1072" s="32" t="n">
        <x:f>(AJ1072+AK1072+AL1072)/4*INDEX(LM_All,G1072)*INDEX(tun_Boon,G1072)*Arch_Insight</x:f>
        <x:v>0</x:v>
      </x:c>
      <x:c r="AN1072" s="32" t="n">
        <x:f>H1072*(tun_KHPerAdult*Z1072+tun_KHOfCommons*AJ1072/4*INDEX(LM_All,G1072))*tun_KHUsable*Arch_KH</x:f>
        <x:v>0</x:v>
      </x:c>
      <x:c r="AO1072" s="32" t="n">
        <x:f>MIN(AP1071+AN1072,AM1072*tun_KHMaxRatio)</x:f>
        <x:v>0</x:v>
      </x:c>
      <x:c r="AP1072" s="32" t="n">
        <x:f>AP1071+AN1072-AO1072</x:f>
        <x:v>0</x:v>
      </x:c>
      <x:c r="AQ1072" s="32" t="n">
        <x:f>AM1072+AO1072</x:f>
        <x:v>0</x:v>
      </x:c>
      <x:c r="AR1072" s="10" t="n">
        <x:f>IF(H1072=1,INDEX(tun_Req,G1072),0)</x:f>
        <x:v>0</x:v>
      </x:c>
      <x:c r="AS1072" s="32" t="n">
        <x:f>IF(H1072=1,IF(E1072=1,AS1071-AR1071,AS1071)+AQ1072,0)</x:f>
        <x:v>0</x:v>
      </x:c>
      <x:c r="AT1072" s="11" t="n">
        <x:f>IF(AR1072&gt;0,MIN(1,AS1072/AR1072),1)</x:f>
        <x:v>1</x:v>
      </x:c>
      <x:c r="AU1072" s="10" t="n">
        <x:f>AB1072/INDEX(tun_RepScale,G1072)</x:f>
        <x:v>290.3368848566301</x:v>
      </x:c>
      <x:c r="AV1072" s="32" t="n">
        <x:f>AM1072*60/tun_SeasonSeconds</x:f>
        <x:v>0</x:v>
      </x:c>
    </x:row>
    <x:row r="1073">
      <x:c r="A1073" s="8" t="n">
        <x:f>A1072+1</x:f>
        <x:v>1070</x:v>
      </x:c>
      <x:c r="B1073" s="9" t="n">
        <x:f>A1073*tun_SeasonSeconds/60</x:f>
        <x:v>267.5</x:v>
      </x:c>
      <x:c r="C1073" s="9" t="n">
        <x:f>A1073/4</x:f>
        <x:v>267.5</x:v>
      </x:c>
      <x:c r="D1073" s="8" t="n">
        <x:f>IF(MOD(A1073,4)=0,1,0)</x:f>
        <x:v>0</x:v>
      </x:c>
      <x:c r="E1073" s="8" t="n">
        <x:f>IF(AND(F1072&lt;=9,AS1072&gt;=AR1072),1,0)</x:f>
        <x:v>0</x:v>
      </x:c>
      <x:c r="F1073" s="8" t="n">
        <x:f>MIN(10,F1072+E1073)</x:f>
        <x:v>10</x:v>
      </x:c>
      <x:c r="G1073" s="8" t="n">
        <x:f>MIN(F1073,9)+1</x:f>
        <x:v>10</x:v>
      </x:c>
      <x:c r="H1073" s="8" t="n">
        <x:f>IF(F1073&lt;=9,1,0)</x:f>
        <x:v>0</x:v>
      </x:c>
      <x:c r="I1073" s="9" t="n">
        <x:f>MIN(10,F1072+IF(AR1072&gt;0,MIN(1,AS1072/AR1072),1))</x:f>
        <x:v>10</x:v>
      </x:c>
      <x:c r="J1073" s="32" t="n">
        <x:f>INDEX(tun_FoodCap,G1073)*Arch_FoodCap*EXP(tun_CapsByProject*SUMPRODUCT((Cap_Point&lt;=I1073)*(Cap_Kind="Food")*Cap_Ln))</x:f>
        <x:v>18627.260449441455</x:v>
      </x:c>
      <x:c r="K1073" s="32" t="n">
        <x:f>J1073*MIN(1,tun_LeanBase*EXP(tun_CapsByProject*SUMPRODUCT((Cap_Point&lt;=I1073)*(Cap_Kind="Lean")*Cap_Ln)))</x:f>
        <x:v>18627.260449441455</x:v>
      </x:c>
      <x:c r="L1073" s="10" t="n">
        <x:f>INDEX(tun_HousingCap,G1073)*EXP(tun_CapsByProject*SUMPRODUCT((Cap_Point&lt;=I1073)*(Cap_Kind="Housing")*Cap_Ln))</x:f>
        <x:v>20528.974303173167</x:v>
      </x:c>
      <x:c r="M1073" s="10" t="n">
        <x:f>INDEX(tun_GroupCap,G1073)*tun_CohesionFactor*EXP(tun_CapsByProject*SUMPRODUCT((Cap_Point&lt;=I1073)*(Cap_Kind="Group")*Cap_Ln))</x:f>
        <x:v>1000000.000000001</x:v>
      </x:c>
      <x:c r="N1073" s="32" t="n">
        <x:f>MIN(J1073,L1073,M1073)</x:f>
        <x:v>18627.260449441455</x:v>
      </x:c>
      <x:c r="O1073" s="10" t="n">
        <x:f>AE1072*N1073</x:f>
        <x:v>167645.34404497308</x:v>
      </x:c>
      <x:c r="P1073" s="9" t="n">
        <x:f>MIN(1,(AB1072/(AE1072*IF(tun_GroupInCrowding=1,N1073,MIN(J1073,L1073))))^tun_CrowdingExp)</x:f>
        <x:v>0.4215841981292809</x:v>
      </x:c>
      <x:c r="Q1073" s="9" t="n">
        <x:f>IF(D1073=1,INDEX(tun_WinterMult,G1073),1)</x:f>
        <x:v>1</x:v>
      </x:c>
      <x:c r="R1073" s="9" t="n">
        <x:f>H1073*Z1072*tun_WomenShare*tun_BaseFertility*INDEX(tun_FertMult,G1073)*Arch_Fertility*(1-P1073)</x:f>
        <x:v>0</x:v>
      </x:c>
      <x:c r="S1073" s="9" t="n">
        <x:f>H1073*Y1072*INDEX(tun_MortChild,G1073)/4*Q1073</x:f>
        <x:v>0</x:v>
      </x:c>
      <x:c r="T1073" s="9" t="n">
        <x:f>H1073*Z1072*INDEX(tun_MortAdult,G1073)*Arch_AdultMort/4*Q1073</x:f>
        <x:v>0</x:v>
      </x:c>
      <x:c r="U1073" s="9" t="n">
        <x:f>H1073*AA1072*INDEX(tun_MortElder,G1073)/4*Q1073</x:f>
        <x:v>0</x:v>
      </x:c>
      <x:c r="V1073" s="9" t="n">
        <x:f>H1073*MAX(0,AB1072-O1073)*tun_OvercapLoss</x:f>
        <x:v>0</x:v>
      </x:c>
      <x:c r="W1073" s="9" t="n">
        <x:f>H1073*Y1072/(tun_ChildYears*4)</x:f>
        <x:v>0</x:v>
      </x:c>
      <x:c r="X1073" s="9" t="n">
        <x:f>H1073*Z1072/(tun_AdultYears*4)</x:f>
        <x:v>0</x:v>
      </x:c>
      <x:c r="Y1073" s="32" t="n">
        <x:f>Y1072+R1073-S1073-W1073-Y1072*V1073/AB1072</x:f>
        <x:v>40496.20709015643</x:v>
      </x:c>
      <x:c r="Z1073" s="32" t="n">
        <x:f>Z1072+W1073-X1073-T1073-Z1072*V1073/AB1072</x:f>
        <x:v>59141.61122890803</x:v>
      </x:c>
      <x:c r="AA1073" s="32" t="n">
        <x:f>AA1072+X1073-U1073-AA1072*V1073/AB1072</x:f>
        <x:v>45530.62410925061</x:v>
      </x:c>
      <x:c r="AB1073" s="10" t="n">
        <x:f>Y1073+Z1073+AA1073</x:f>
        <x:v>145168.44242831506</x:v>
      </x:c>
      <x:c r="AC1073" s="8" t="n">
        <x:f>IF(AND(tun_WinterTrigger=1,D1073=1,AB1072/AE1072&gt;=K1073),1,0)</x:f>
        <x:v>0</x:v>
      </x:c>
      <x:c r="AD1073" s="8" t="n">
        <x:f>H1073*IF(AND(OR(AB1072/AE1072&gt;=tun_FissionTrigger*N1073,AC1073=1),AB1072/AE1072*tun_DaughterShare&gt;=tun_MinDaughter),MAX(1,ROUND(AE1072*tun_FissionRate,0)),0)</x:f>
        <x:v>0</x:v>
      </x:c>
      <x:c r="AE1073" s="8" t="n">
        <x:f>IF(H1073=1,MAX(1,MIN(INDEX(tun_Smax,G1073),AE1072+AD1073)),AE1072)</x:f>
        <x:v>9</x:v>
      </x:c>
      <x:c r="AF1073" s="8" t="n">
        <x:f>MAX(0,AE1073-AE1072)</x:f>
        <x:v>0</x:v>
      </x:c>
      <x:c r="AG1073" s="9" t="str">
        <x:f>IF(AF1073&gt;0,B1073,"")</x:f>
      </x:c>
      <x:c r="AH1073" s="9" t="n">
        <x:f>IF(F1073&gt;=1,1,(1+tun_LowTiesShare*(AE1073-1))/AE1073)</x:f>
        <x:v>1</x:v>
      </x:c>
      <x:c r="AI1073" s="32" t="n">
        <x:f>(Z1073+tun_ElderCommons*INDEX(LM_Elder,G1073)*AA1073)*AH1073</x:f>
        <x:v>238215.0665857503</x:v>
      </x:c>
      <x:c r="AJ1073" s="32" t="n">
        <x:f>H1073*tun_CommonsCoef*AI1073^tun_CommonsExp*INDEX(LM_Commons,G1073)</x:f>
        <x:v>0</x:v>
      </x:c>
      <x:c r="AK1073" s="32" t="n">
        <x:f>H1073*tun_RoleScale*Arch_Roles*(AE1073*(INDEX(tun_ElderRolePerSett,G1073)*tun_OutElder*INDEX(LM_Elder,G1073)+INDEX(tun_ShamanPerSett,G1073)*tun_OutShaman)+Z1073*(INDEX(tun_PriestShare,G1073)*tun_OutPriest+INDEX(tun_ScribeShare,G1073)*tun_OutScribe*INDEX(LM_Scribe,G1073)+INDEX(tun_ScholarShare,G1073)*tun_OutScholar*INDEX(LM_Scholar,G1073)+INDEX(tun_ResearcherShare,G1073)*tun_OutResearcher*INDEX(LM_Researcher,G1073)))</x:f>
        <x:v>0</x:v>
      </x:c>
      <x:c r="AL1073" s="32" t="n">
        <x:f>H1073*tun_RoleScale*Arch_Roles*AE1073*INDEX(tun_MonasteryPerSett,G1073)*tun_OutMonastery*INDEX(LM_Monastery,G1073)</x:f>
        <x:v>0</x:v>
      </x:c>
      <x:c r="AM1073" s="32" t="n">
        <x:f>(AJ1073+AK1073+AL1073)/4*INDEX(LM_All,G1073)*INDEX(tun_Boon,G1073)*Arch_Insight</x:f>
        <x:v>0</x:v>
      </x:c>
      <x:c r="AN1073" s="32" t="n">
        <x:f>H1073*(tun_KHPerAdult*Z1073+tun_KHOfCommons*AJ1073/4*INDEX(LM_All,G1073))*tun_KHUsable*Arch_KH</x:f>
        <x:v>0</x:v>
      </x:c>
      <x:c r="AO1073" s="32" t="n">
        <x:f>MIN(AP1072+AN1073,AM1073*tun_KHMaxRatio)</x:f>
        <x:v>0</x:v>
      </x:c>
      <x:c r="AP1073" s="32" t="n">
        <x:f>AP1072+AN1073-AO1073</x:f>
        <x:v>0</x:v>
      </x:c>
      <x:c r="AQ1073" s="32" t="n">
        <x:f>AM1073+AO1073</x:f>
        <x:v>0</x:v>
      </x:c>
      <x:c r="AR1073" s="10" t="n">
        <x:f>IF(H1073=1,INDEX(tun_Req,G1073),0)</x:f>
        <x:v>0</x:v>
      </x:c>
      <x:c r="AS1073" s="32" t="n">
        <x:f>IF(H1073=1,IF(E1073=1,AS1072-AR1072,AS1072)+AQ1073,0)</x:f>
        <x:v>0</x:v>
      </x:c>
      <x:c r="AT1073" s="11" t="n">
        <x:f>IF(AR1073&gt;0,MIN(1,AS1073/AR1073),1)</x:f>
        <x:v>1</x:v>
      </x:c>
      <x:c r="AU1073" s="10" t="n">
        <x:f>AB1073/INDEX(tun_RepScale,G1073)</x:f>
        <x:v>290.3368848566301</x:v>
      </x:c>
      <x:c r="AV1073" s="32" t="n">
        <x:f>AM1073*60/tun_SeasonSeconds</x:f>
        <x:v>0</x:v>
      </x:c>
    </x:row>
    <x:row r="1074">
      <x:c r="A1074" s="8" t="n">
        <x:f>A1073+1</x:f>
        <x:v>1071</x:v>
      </x:c>
      <x:c r="B1074" s="9" t="n">
        <x:f>A1074*tun_SeasonSeconds/60</x:f>
        <x:v>267.75</x:v>
      </x:c>
      <x:c r="C1074" s="9" t="n">
        <x:f>A1074/4</x:f>
        <x:v>267.75</x:v>
      </x:c>
      <x:c r="D1074" s="8" t="n">
        <x:f>IF(MOD(A1074,4)=0,1,0)</x:f>
        <x:v>0</x:v>
      </x:c>
      <x:c r="E1074" s="8" t="n">
        <x:f>IF(AND(F1073&lt;=9,AS1073&gt;=AR1073),1,0)</x:f>
        <x:v>0</x:v>
      </x:c>
      <x:c r="F1074" s="8" t="n">
        <x:f>MIN(10,F1073+E1074)</x:f>
        <x:v>10</x:v>
      </x:c>
      <x:c r="G1074" s="8" t="n">
        <x:f>MIN(F1074,9)+1</x:f>
        <x:v>10</x:v>
      </x:c>
      <x:c r="H1074" s="8" t="n">
        <x:f>IF(F1074&lt;=9,1,0)</x:f>
        <x:v>0</x:v>
      </x:c>
      <x:c r="I1074" s="9" t="n">
        <x:f>MIN(10,F1073+IF(AR1073&gt;0,MIN(1,AS1073/AR1073),1))</x:f>
        <x:v>10</x:v>
      </x:c>
      <x:c r="J1074" s="32" t="n">
        <x:f>INDEX(tun_FoodCap,G1074)*Arch_FoodCap*EXP(tun_CapsByProject*SUMPRODUCT((Cap_Point&lt;=I1074)*(Cap_Kind="Food")*Cap_Ln))</x:f>
        <x:v>18627.260449441455</x:v>
      </x:c>
      <x:c r="K1074" s="32" t="n">
        <x:f>J1074*MIN(1,tun_LeanBase*EXP(tun_CapsByProject*SUMPRODUCT((Cap_Point&lt;=I1074)*(Cap_Kind="Lean")*Cap_Ln)))</x:f>
        <x:v>18627.260449441455</x:v>
      </x:c>
      <x:c r="L1074" s="10" t="n">
        <x:f>INDEX(tun_HousingCap,G1074)*EXP(tun_CapsByProject*SUMPRODUCT((Cap_Point&lt;=I1074)*(Cap_Kind="Housing")*Cap_Ln))</x:f>
        <x:v>20528.974303173167</x:v>
      </x:c>
      <x:c r="M1074" s="10" t="n">
        <x:f>INDEX(tun_GroupCap,G1074)*tun_CohesionFactor*EXP(tun_CapsByProject*SUMPRODUCT((Cap_Point&lt;=I1074)*(Cap_Kind="Group")*Cap_Ln))</x:f>
        <x:v>1000000.000000001</x:v>
      </x:c>
      <x:c r="N1074" s="32" t="n">
        <x:f>MIN(J1074,L1074,M1074)</x:f>
        <x:v>18627.260449441455</x:v>
      </x:c>
      <x:c r="O1074" s="10" t="n">
        <x:f>AE1073*N1074</x:f>
        <x:v>167645.34404497308</x:v>
      </x:c>
      <x:c r="P1074" s="9" t="n">
        <x:f>MIN(1,(AB1073/(AE1073*IF(tun_GroupInCrowding=1,N1074,MIN(J1074,L1074))))^tun_CrowdingExp)</x:f>
        <x:v>0.4215841981292809</x:v>
      </x:c>
      <x:c r="Q1074" s="9" t="n">
        <x:f>IF(D1074=1,INDEX(tun_WinterMult,G1074),1)</x:f>
        <x:v>1</x:v>
      </x:c>
      <x:c r="R1074" s="9" t="n">
        <x:f>H1074*Z1073*tun_WomenShare*tun_BaseFertility*INDEX(tun_FertMult,G1074)*Arch_Fertility*(1-P1074)</x:f>
        <x:v>0</x:v>
      </x:c>
      <x:c r="S1074" s="9" t="n">
        <x:f>H1074*Y1073*INDEX(tun_MortChild,G1074)/4*Q1074</x:f>
        <x:v>0</x:v>
      </x:c>
      <x:c r="T1074" s="9" t="n">
        <x:f>H1074*Z1073*INDEX(tun_MortAdult,G1074)*Arch_AdultMort/4*Q1074</x:f>
        <x:v>0</x:v>
      </x:c>
      <x:c r="U1074" s="9" t="n">
        <x:f>H1074*AA1073*INDEX(tun_MortElder,G1074)/4*Q1074</x:f>
        <x:v>0</x:v>
      </x:c>
      <x:c r="V1074" s="9" t="n">
        <x:f>H1074*MAX(0,AB1073-O1074)*tun_OvercapLoss</x:f>
        <x:v>0</x:v>
      </x:c>
      <x:c r="W1074" s="9" t="n">
        <x:f>H1074*Y1073/(tun_ChildYears*4)</x:f>
        <x:v>0</x:v>
      </x:c>
      <x:c r="X1074" s="9" t="n">
        <x:f>H1074*Z1073/(tun_AdultYears*4)</x:f>
        <x:v>0</x:v>
      </x:c>
      <x:c r="Y1074" s="32" t="n">
        <x:f>Y1073+R1074-S1074-W1074-Y1073*V1074/AB1073</x:f>
        <x:v>40496.20709015643</x:v>
      </x:c>
      <x:c r="Z1074" s="32" t="n">
        <x:f>Z1073+W1074-X1074-T1074-Z1073*V1074/AB1073</x:f>
        <x:v>59141.61122890803</x:v>
      </x:c>
      <x:c r="AA1074" s="32" t="n">
        <x:f>AA1073+X1074-U1074-AA1073*V1074/AB1073</x:f>
        <x:v>45530.62410925061</x:v>
      </x:c>
      <x:c r="AB1074" s="10" t="n">
        <x:f>Y1074+Z1074+AA1074</x:f>
        <x:v>145168.44242831506</x:v>
      </x:c>
      <x:c r="AC1074" s="8" t="n">
        <x:f>IF(AND(tun_WinterTrigger=1,D1074=1,AB1073/AE1073&gt;=K1074),1,0)</x:f>
        <x:v>0</x:v>
      </x:c>
      <x:c r="AD1074" s="8" t="n">
        <x:f>H1074*IF(AND(OR(AB1073/AE1073&gt;=tun_FissionTrigger*N1074,AC1074=1),AB1073/AE1073*tun_DaughterShare&gt;=tun_MinDaughter),MAX(1,ROUND(AE1073*tun_FissionRate,0)),0)</x:f>
        <x:v>0</x:v>
      </x:c>
      <x:c r="AE1074" s="8" t="n">
        <x:f>IF(H1074=1,MAX(1,MIN(INDEX(tun_Smax,G1074),AE1073+AD1074)),AE1073)</x:f>
        <x:v>9</x:v>
      </x:c>
      <x:c r="AF1074" s="8" t="n">
        <x:f>MAX(0,AE1074-AE1073)</x:f>
        <x:v>0</x:v>
      </x:c>
      <x:c r="AG1074" s="9" t="str">
        <x:f>IF(AF1074&gt;0,B1074,"")</x:f>
      </x:c>
      <x:c r="AH1074" s="9" t="n">
        <x:f>IF(F1074&gt;=1,1,(1+tun_LowTiesShare*(AE1074-1))/AE1074)</x:f>
        <x:v>1</x:v>
      </x:c>
      <x:c r="AI1074" s="32" t="n">
        <x:f>(Z1074+tun_ElderCommons*INDEX(LM_Elder,G1074)*AA1074)*AH1074</x:f>
        <x:v>238215.0665857503</x:v>
      </x:c>
      <x:c r="AJ1074" s="32" t="n">
        <x:f>H1074*tun_CommonsCoef*AI1074^tun_CommonsExp*INDEX(LM_Commons,G1074)</x:f>
        <x:v>0</x:v>
      </x:c>
      <x:c r="AK1074" s="32" t="n">
        <x:f>H1074*tun_RoleScale*Arch_Roles*(AE1074*(INDEX(tun_ElderRolePerSett,G1074)*tun_OutElder*INDEX(LM_Elder,G1074)+INDEX(tun_ShamanPerSett,G1074)*tun_OutShaman)+Z1074*(INDEX(tun_PriestShare,G1074)*tun_OutPriest+INDEX(tun_ScribeShare,G1074)*tun_OutScribe*INDEX(LM_Scribe,G1074)+INDEX(tun_ScholarShare,G1074)*tun_OutScholar*INDEX(LM_Scholar,G1074)+INDEX(tun_ResearcherShare,G1074)*tun_OutResearcher*INDEX(LM_Researcher,G1074)))</x:f>
        <x:v>0</x:v>
      </x:c>
      <x:c r="AL1074" s="32" t="n">
        <x:f>H1074*tun_RoleScale*Arch_Roles*AE1074*INDEX(tun_MonasteryPerSett,G1074)*tun_OutMonastery*INDEX(LM_Monastery,G1074)</x:f>
        <x:v>0</x:v>
      </x:c>
      <x:c r="AM1074" s="32" t="n">
        <x:f>(AJ1074+AK1074+AL1074)/4*INDEX(LM_All,G1074)*INDEX(tun_Boon,G1074)*Arch_Insight</x:f>
        <x:v>0</x:v>
      </x:c>
      <x:c r="AN1074" s="32" t="n">
        <x:f>H1074*(tun_KHPerAdult*Z1074+tun_KHOfCommons*AJ1074/4*INDEX(LM_All,G1074))*tun_KHUsable*Arch_KH</x:f>
        <x:v>0</x:v>
      </x:c>
      <x:c r="AO1074" s="32" t="n">
        <x:f>MIN(AP1073+AN1074,AM1074*tun_KHMaxRatio)</x:f>
        <x:v>0</x:v>
      </x:c>
      <x:c r="AP1074" s="32" t="n">
        <x:f>AP1073+AN1074-AO1074</x:f>
        <x:v>0</x:v>
      </x:c>
      <x:c r="AQ1074" s="32" t="n">
        <x:f>AM1074+AO1074</x:f>
        <x:v>0</x:v>
      </x:c>
      <x:c r="AR1074" s="10" t="n">
        <x:f>IF(H1074=1,INDEX(tun_Req,G1074),0)</x:f>
        <x:v>0</x:v>
      </x:c>
      <x:c r="AS1074" s="32" t="n">
        <x:f>IF(H1074=1,IF(E1074=1,AS1073-AR1073,AS1073)+AQ1074,0)</x:f>
        <x:v>0</x:v>
      </x:c>
      <x:c r="AT1074" s="11" t="n">
        <x:f>IF(AR1074&gt;0,MIN(1,AS1074/AR1074),1)</x:f>
        <x:v>1</x:v>
      </x:c>
      <x:c r="AU1074" s="10" t="n">
        <x:f>AB1074/INDEX(tun_RepScale,G1074)</x:f>
        <x:v>290.3368848566301</x:v>
      </x:c>
      <x:c r="AV1074" s="32" t="n">
        <x:f>AM1074*60/tun_SeasonSeconds</x:f>
        <x:v>0</x:v>
      </x:c>
    </x:row>
    <x:row r="1075">
      <x:c r="A1075" s="8" t="n">
        <x:f>A1074+1</x:f>
        <x:v>1072</x:v>
      </x:c>
      <x:c r="B1075" s="9" t="n">
        <x:f>A1075*tun_SeasonSeconds/60</x:f>
        <x:v>268</x:v>
      </x:c>
      <x:c r="C1075" s="9" t="n">
        <x:f>A1075/4</x:f>
        <x:v>268</x:v>
      </x:c>
      <x:c r="D1075" s="8" t="n">
        <x:f>IF(MOD(A1075,4)=0,1,0)</x:f>
        <x:v>1</x:v>
      </x:c>
      <x:c r="E1075" s="8" t="n">
        <x:f>IF(AND(F1074&lt;=9,AS1074&gt;=AR1074),1,0)</x:f>
        <x:v>0</x:v>
      </x:c>
      <x:c r="F1075" s="8" t="n">
        <x:f>MIN(10,F1074+E1075)</x:f>
        <x:v>10</x:v>
      </x:c>
      <x:c r="G1075" s="8" t="n">
        <x:f>MIN(F1075,9)+1</x:f>
        <x:v>10</x:v>
      </x:c>
      <x:c r="H1075" s="8" t="n">
        <x:f>IF(F1075&lt;=9,1,0)</x:f>
        <x:v>0</x:v>
      </x:c>
      <x:c r="I1075" s="9" t="n">
        <x:f>MIN(10,F1074+IF(AR1074&gt;0,MIN(1,AS1074/AR1074),1))</x:f>
        <x:v>10</x:v>
      </x:c>
      <x:c r="J1075" s="32" t="n">
        <x:f>INDEX(tun_FoodCap,G1075)*Arch_FoodCap*EXP(tun_CapsByProject*SUMPRODUCT((Cap_Point&lt;=I1075)*(Cap_Kind="Food")*Cap_Ln))</x:f>
        <x:v>18627.260449441455</x:v>
      </x:c>
      <x:c r="K1075" s="32" t="n">
        <x:f>J1075*MIN(1,tun_LeanBase*EXP(tun_CapsByProject*SUMPRODUCT((Cap_Point&lt;=I1075)*(Cap_Kind="Lean")*Cap_Ln)))</x:f>
        <x:v>18627.260449441455</x:v>
      </x:c>
      <x:c r="L1075" s="10" t="n">
        <x:f>INDEX(tun_HousingCap,G1075)*EXP(tun_CapsByProject*SUMPRODUCT((Cap_Point&lt;=I1075)*(Cap_Kind="Housing")*Cap_Ln))</x:f>
        <x:v>20528.974303173167</x:v>
      </x:c>
      <x:c r="M1075" s="10" t="n">
        <x:f>INDEX(tun_GroupCap,G1075)*tun_CohesionFactor*EXP(tun_CapsByProject*SUMPRODUCT((Cap_Point&lt;=I1075)*(Cap_Kind="Group")*Cap_Ln))</x:f>
        <x:v>1000000.000000001</x:v>
      </x:c>
      <x:c r="N1075" s="32" t="n">
        <x:f>MIN(J1075,L1075,M1075)</x:f>
        <x:v>18627.260449441455</x:v>
      </x:c>
      <x:c r="O1075" s="10" t="n">
        <x:f>AE1074*N1075</x:f>
        <x:v>167645.34404497308</x:v>
      </x:c>
      <x:c r="P1075" s="9" t="n">
        <x:f>MIN(1,(AB1074/(AE1074*IF(tun_GroupInCrowding=1,N1075,MIN(J1075,L1075))))^tun_CrowdingExp)</x:f>
        <x:v>0.4215841981292809</x:v>
      </x:c>
      <x:c r="Q1075" s="9" t="n">
        <x:f>IF(D1075=1,INDEX(tun_WinterMult,G1075),1)</x:f>
        <x:v>1.05</x:v>
      </x:c>
      <x:c r="R1075" s="9" t="n">
        <x:f>H1075*Z1074*tun_WomenShare*tun_BaseFertility*INDEX(tun_FertMult,G1075)*Arch_Fertility*(1-P1075)</x:f>
        <x:v>0</x:v>
      </x:c>
      <x:c r="S1075" s="9" t="n">
        <x:f>H1075*Y1074*INDEX(tun_MortChild,G1075)/4*Q1075</x:f>
        <x:v>0</x:v>
      </x:c>
      <x:c r="T1075" s="9" t="n">
        <x:f>H1075*Z1074*INDEX(tun_MortAdult,G1075)*Arch_AdultMort/4*Q1075</x:f>
        <x:v>0</x:v>
      </x:c>
      <x:c r="U1075" s="9" t="n">
        <x:f>H1075*AA1074*INDEX(tun_MortElder,G1075)/4*Q1075</x:f>
        <x:v>0</x:v>
      </x:c>
      <x:c r="V1075" s="9" t="n">
        <x:f>H1075*MAX(0,AB1074-O1075)*tun_OvercapLoss</x:f>
        <x:v>0</x:v>
      </x:c>
      <x:c r="W1075" s="9" t="n">
        <x:f>H1075*Y1074/(tun_ChildYears*4)</x:f>
        <x:v>0</x:v>
      </x:c>
      <x:c r="X1075" s="9" t="n">
        <x:f>H1075*Z1074/(tun_AdultYears*4)</x:f>
        <x:v>0</x:v>
      </x:c>
      <x:c r="Y1075" s="32" t="n">
        <x:f>Y1074+R1075-S1075-W1075-Y1074*V1075/AB1074</x:f>
        <x:v>40496.20709015643</x:v>
      </x:c>
      <x:c r="Z1075" s="32" t="n">
        <x:f>Z1074+W1075-X1075-T1075-Z1074*V1075/AB1074</x:f>
        <x:v>59141.61122890803</x:v>
      </x:c>
      <x:c r="AA1075" s="32" t="n">
        <x:f>AA1074+X1075-U1075-AA1074*V1075/AB1074</x:f>
        <x:v>45530.62410925061</x:v>
      </x:c>
      <x:c r="AB1075" s="10" t="n">
        <x:f>Y1075+Z1075+AA1075</x:f>
        <x:v>145168.44242831506</x:v>
      </x:c>
      <x:c r="AC1075" s="8" t="n">
        <x:f>IF(AND(tun_WinterTrigger=1,D1075=1,AB1074/AE1074&gt;=K1075),1,0)</x:f>
        <x:v>0</x:v>
      </x:c>
      <x:c r="AD1075" s="8" t="n">
        <x:f>H1075*IF(AND(OR(AB1074/AE1074&gt;=tun_FissionTrigger*N1075,AC1075=1),AB1074/AE1074*tun_DaughterShare&gt;=tun_MinDaughter),MAX(1,ROUND(AE1074*tun_FissionRate,0)),0)</x:f>
        <x:v>0</x:v>
      </x:c>
      <x:c r="AE1075" s="8" t="n">
        <x:f>IF(H1075=1,MAX(1,MIN(INDEX(tun_Smax,G1075),AE1074+AD1075)),AE1074)</x:f>
        <x:v>9</x:v>
      </x:c>
      <x:c r="AF1075" s="8" t="n">
        <x:f>MAX(0,AE1075-AE1074)</x:f>
        <x:v>0</x:v>
      </x:c>
      <x:c r="AG1075" s="9" t="str">
        <x:f>IF(AF1075&gt;0,B1075,"")</x:f>
      </x:c>
      <x:c r="AH1075" s="9" t="n">
        <x:f>IF(F1075&gt;=1,1,(1+tun_LowTiesShare*(AE1075-1))/AE1075)</x:f>
        <x:v>1</x:v>
      </x:c>
      <x:c r="AI1075" s="32" t="n">
        <x:f>(Z1075+tun_ElderCommons*INDEX(LM_Elder,G1075)*AA1075)*AH1075</x:f>
        <x:v>238215.0665857503</x:v>
      </x:c>
      <x:c r="AJ1075" s="32" t="n">
        <x:f>H1075*tun_CommonsCoef*AI1075^tun_CommonsExp*INDEX(LM_Commons,G1075)</x:f>
        <x:v>0</x:v>
      </x:c>
      <x:c r="AK1075" s="32" t="n">
        <x:f>H1075*tun_RoleScale*Arch_Roles*(AE1075*(INDEX(tun_ElderRolePerSett,G1075)*tun_OutElder*INDEX(LM_Elder,G1075)+INDEX(tun_ShamanPerSett,G1075)*tun_OutShaman)+Z1075*(INDEX(tun_PriestShare,G1075)*tun_OutPriest+INDEX(tun_ScribeShare,G1075)*tun_OutScribe*INDEX(LM_Scribe,G1075)+INDEX(tun_ScholarShare,G1075)*tun_OutScholar*INDEX(LM_Scholar,G1075)+INDEX(tun_ResearcherShare,G1075)*tun_OutResearcher*INDEX(LM_Researcher,G1075)))</x:f>
        <x:v>0</x:v>
      </x:c>
      <x:c r="AL1075" s="32" t="n">
        <x:f>H1075*tun_RoleScale*Arch_Roles*AE1075*INDEX(tun_MonasteryPerSett,G1075)*tun_OutMonastery*INDEX(LM_Monastery,G1075)</x:f>
        <x:v>0</x:v>
      </x:c>
      <x:c r="AM1075" s="32" t="n">
        <x:f>(AJ1075+AK1075+AL1075)/4*INDEX(LM_All,G1075)*INDEX(tun_Boon,G1075)*Arch_Insight</x:f>
        <x:v>0</x:v>
      </x:c>
      <x:c r="AN1075" s="32" t="n">
        <x:f>H1075*(tun_KHPerAdult*Z1075+tun_KHOfCommons*AJ1075/4*INDEX(LM_All,G1075))*tun_KHUsable*Arch_KH</x:f>
        <x:v>0</x:v>
      </x:c>
      <x:c r="AO1075" s="32" t="n">
        <x:f>MIN(AP1074+AN1075,AM1075*tun_KHMaxRatio)</x:f>
        <x:v>0</x:v>
      </x:c>
      <x:c r="AP1075" s="32" t="n">
        <x:f>AP1074+AN1075-AO1075</x:f>
        <x:v>0</x:v>
      </x:c>
      <x:c r="AQ1075" s="32" t="n">
        <x:f>AM1075+AO1075</x:f>
        <x:v>0</x:v>
      </x:c>
      <x:c r="AR1075" s="10" t="n">
        <x:f>IF(H1075=1,INDEX(tun_Req,G1075),0)</x:f>
        <x:v>0</x:v>
      </x:c>
      <x:c r="AS1075" s="32" t="n">
        <x:f>IF(H1075=1,IF(E1075=1,AS1074-AR1074,AS1074)+AQ1075,0)</x:f>
        <x:v>0</x:v>
      </x:c>
      <x:c r="AT1075" s="11" t="n">
        <x:f>IF(AR1075&gt;0,MIN(1,AS1075/AR1075),1)</x:f>
        <x:v>1</x:v>
      </x:c>
      <x:c r="AU1075" s="10" t="n">
        <x:f>AB1075/INDEX(tun_RepScale,G1075)</x:f>
        <x:v>290.3368848566301</x:v>
      </x:c>
      <x:c r="AV1075" s="32" t="n">
        <x:f>AM1075*60/tun_SeasonSeconds</x:f>
        <x:v>0</x:v>
      </x:c>
    </x:row>
    <x:row r="1076">
      <x:c r="A1076" s="8" t="n">
        <x:f>A1075+1</x:f>
        <x:v>1073</x:v>
      </x:c>
      <x:c r="B1076" s="9" t="n">
        <x:f>A1076*tun_SeasonSeconds/60</x:f>
        <x:v>268.25</x:v>
      </x:c>
      <x:c r="C1076" s="9" t="n">
        <x:f>A1076/4</x:f>
        <x:v>268.25</x:v>
      </x:c>
      <x:c r="D1076" s="8" t="n">
        <x:f>IF(MOD(A1076,4)=0,1,0)</x:f>
        <x:v>0</x:v>
      </x:c>
      <x:c r="E1076" s="8" t="n">
        <x:f>IF(AND(F1075&lt;=9,AS1075&gt;=AR1075),1,0)</x:f>
        <x:v>0</x:v>
      </x:c>
      <x:c r="F1076" s="8" t="n">
        <x:f>MIN(10,F1075+E1076)</x:f>
        <x:v>10</x:v>
      </x:c>
      <x:c r="G1076" s="8" t="n">
        <x:f>MIN(F1076,9)+1</x:f>
        <x:v>10</x:v>
      </x:c>
      <x:c r="H1076" s="8" t="n">
        <x:f>IF(F1076&lt;=9,1,0)</x:f>
        <x:v>0</x:v>
      </x:c>
      <x:c r="I1076" s="9" t="n">
        <x:f>MIN(10,F1075+IF(AR1075&gt;0,MIN(1,AS1075/AR1075),1))</x:f>
        <x:v>10</x:v>
      </x:c>
      <x:c r="J1076" s="32" t="n">
        <x:f>INDEX(tun_FoodCap,G1076)*Arch_FoodCap*EXP(tun_CapsByProject*SUMPRODUCT((Cap_Point&lt;=I1076)*(Cap_Kind="Food")*Cap_Ln))</x:f>
        <x:v>18627.260449441455</x:v>
      </x:c>
      <x:c r="K1076" s="32" t="n">
        <x:f>J1076*MIN(1,tun_LeanBase*EXP(tun_CapsByProject*SUMPRODUCT((Cap_Point&lt;=I1076)*(Cap_Kind="Lean")*Cap_Ln)))</x:f>
        <x:v>18627.260449441455</x:v>
      </x:c>
      <x:c r="L1076" s="10" t="n">
        <x:f>INDEX(tun_HousingCap,G1076)*EXP(tun_CapsByProject*SUMPRODUCT((Cap_Point&lt;=I1076)*(Cap_Kind="Housing")*Cap_Ln))</x:f>
        <x:v>20528.974303173167</x:v>
      </x:c>
      <x:c r="M1076" s="10" t="n">
        <x:f>INDEX(tun_GroupCap,G1076)*tun_CohesionFactor*EXP(tun_CapsByProject*SUMPRODUCT((Cap_Point&lt;=I1076)*(Cap_Kind="Group")*Cap_Ln))</x:f>
        <x:v>1000000.000000001</x:v>
      </x:c>
      <x:c r="N1076" s="32" t="n">
        <x:f>MIN(J1076,L1076,M1076)</x:f>
        <x:v>18627.260449441455</x:v>
      </x:c>
      <x:c r="O1076" s="10" t="n">
        <x:f>AE1075*N1076</x:f>
        <x:v>167645.34404497308</x:v>
      </x:c>
      <x:c r="P1076" s="9" t="n">
        <x:f>MIN(1,(AB1075/(AE1075*IF(tun_GroupInCrowding=1,N1076,MIN(J1076,L1076))))^tun_CrowdingExp)</x:f>
        <x:v>0.4215841981292809</x:v>
      </x:c>
      <x:c r="Q1076" s="9" t="n">
        <x:f>IF(D1076=1,INDEX(tun_WinterMult,G1076),1)</x:f>
        <x:v>1</x:v>
      </x:c>
      <x:c r="R1076" s="9" t="n">
        <x:f>H1076*Z1075*tun_WomenShare*tun_BaseFertility*INDEX(tun_FertMult,G1076)*Arch_Fertility*(1-P1076)</x:f>
        <x:v>0</x:v>
      </x:c>
      <x:c r="S1076" s="9" t="n">
        <x:f>H1076*Y1075*INDEX(tun_MortChild,G1076)/4*Q1076</x:f>
        <x:v>0</x:v>
      </x:c>
      <x:c r="T1076" s="9" t="n">
        <x:f>H1076*Z1075*INDEX(tun_MortAdult,G1076)*Arch_AdultMort/4*Q1076</x:f>
        <x:v>0</x:v>
      </x:c>
      <x:c r="U1076" s="9" t="n">
        <x:f>H1076*AA1075*INDEX(tun_MortElder,G1076)/4*Q1076</x:f>
        <x:v>0</x:v>
      </x:c>
      <x:c r="V1076" s="9" t="n">
        <x:f>H1076*MAX(0,AB1075-O1076)*tun_OvercapLoss</x:f>
        <x:v>0</x:v>
      </x:c>
      <x:c r="W1076" s="9" t="n">
        <x:f>H1076*Y1075/(tun_ChildYears*4)</x:f>
        <x:v>0</x:v>
      </x:c>
      <x:c r="X1076" s="9" t="n">
        <x:f>H1076*Z1075/(tun_AdultYears*4)</x:f>
        <x:v>0</x:v>
      </x:c>
      <x:c r="Y1076" s="32" t="n">
        <x:f>Y1075+R1076-S1076-W1076-Y1075*V1076/AB1075</x:f>
        <x:v>40496.20709015643</x:v>
      </x:c>
      <x:c r="Z1076" s="32" t="n">
        <x:f>Z1075+W1076-X1076-T1076-Z1075*V1076/AB1075</x:f>
        <x:v>59141.61122890803</x:v>
      </x:c>
      <x:c r="AA1076" s="32" t="n">
        <x:f>AA1075+X1076-U1076-AA1075*V1076/AB1075</x:f>
        <x:v>45530.62410925061</x:v>
      </x:c>
      <x:c r="AB1076" s="10" t="n">
        <x:f>Y1076+Z1076+AA1076</x:f>
        <x:v>145168.44242831506</x:v>
      </x:c>
      <x:c r="AC1076" s="8" t="n">
        <x:f>IF(AND(tun_WinterTrigger=1,D1076=1,AB1075/AE1075&gt;=K1076),1,0)</x:f>
        <x:v>0</x:v>
      </x:c>
      <x:c r="AD1076" s="8" t="n">
        <x:f>H1076*IF(AND(OR(AB1075/AE1075&gt;=tun_FissionTrigger*N1076,AC1076=1),AB1075/AE1075*tun_DaughterShare&gt;=tun_MinDaughter),MAX(1,ROUND(AE1075*tun_FissionRate,0)),0)</x:f>
        <x:v>0</x:v>
      </x:c>
      <x:c r="AE1076" s="8" t="n">
        <x:f>IF(H1076=1,MAX(1,MIN(INDEX(tun_Smax,G1076),AE1075+AD1076)),AE1075)</x:f>
        <x:v>9</x:v>
      </x:c>
      <x:c r="AF1076" s="8" t="n">
        <x:f>MAX(0,AE1076-AE1075)</x:f>
        <x:v>0</x:v>
      </x:c>
      <x:c r="AG1076" s="9" t="str">
        <x:f>IF(AF1076&gt;0,B1076,"")</x:f>
      </x:c>
      <x:c r="AH1076" s="9" t="n">
        <x:f>IF(F1076&gt;=1,1,(1+tun_LowTiesShare*(AE1076-1))/AE1076)</x:f>
        <x:v>1</x:v>
      </x:c>
      <x:c r="AI1076" s="32" t="n">
        <x:f>(Z1076+tun_ElderCommons*INDEX(LM_Elder,G1076)*AA1076)*AH1076</x:f>
        <x:v>238215.0665857503</x:v>
      </x:c>
      <x:c r="AJ1076" s="32" t="n">
        <x:f>H1076*tun_CommonsCoef*AI1076^tun_CommonsExp*INDEX(LM_Commons,G1076)</x:f>
        <x:v>0</x:v>
      </x:c>
      <x:c r="AK1076" s="32" t="n">
        <x:f>H1076*tun_RoleScale*Arch_Roles*(AE1076*(INDEX(tun_ElderRolePerSett,G1076)*tun_OutElder*INDEX(LM_Elder,G1076)+INDEX(tun_ShamanPerSett,G1076)*tun_OutShaman)+Z1076*(INDEX(tun_PriestShare,G1076)*tun_OutPriest+INDEX(tun_ScribeShare,G1076)*tun_OutScribe*INDEX(LM_Scribe,G1076)+INDEX(tun_ScholarShare,G1076)*tun_OutScholar*INDEX(LM_Scholar,G1076)+INDEX(tun_ResearcherShare,G1076)*tun_OutResearcher*INDEX(LM_Researcher,G1076)))</x:f>
        <x:v>0</x:v>
      </x:c>
      <x:c r="AL1076" s="32" t="n">
        <x:f>H1076*tun_RoleScale*Arch_Roles*AE1076*INDEX(tun_MonasteryPerSett,G1076)*tun_OutMonastery*INDEX(LM_Monastery,G1076)</x:f>
        <x:v>0</x:v>
      </x:c>
      <x:c r="AM1076" s="32" t="n">
        <x:f>(AJ1076+AK1076+AL1076)/4*INDEX(LM_All,G1076)*INDEX(tun_Boon,G1076)*Arch_Insight</x:f>
        <x:v>0</x:v>
      </x:c>
      <x:c r="AN1076" s="32" t="n">
        <x:f>H1076*(tun_KHPerAdult*Z1076+tun_KHOfCommons*AJ1076/4*INDEX(LM_All,G1076))*tun_KHUsable*Arch_KH</x:f>
        <x:v>0</x:v>
      </x:c>
      <x:c r="AO1076" s="32" t="n">
        <x:f>MIN(AP1075+AN1076,AM1076*tun_KHMaxRatio)</x:f>
        <x:v>0</x:v>
      </x:c>
      <x:c r="AP1076" s="32" t="n">
        <x:f>AP1075+AN1076-AO1076</x:f>
        <x:v>0</x:v>
      </x:c>
      <x:c r="AQ1076" s="32" t="n">
        <x:f>AM1076+AO1076</x:f>
        <x:v>0</x:v>
      </x:c>
      <x:c r="AR1076" s="10" t="n">
        <x:f>IF(H1076=1,INDEX(tun_Req,G1076),0)</x:f>
        <x:v>0</x:v>
      </x:c>
      <x:c r="AS1076" s="32" t="n">
        <x:f>IF(H1076=1,IF(E1076=1,AS1075-AR1075,AS1075)+AQ1076,0)</x:f>
        <x:v>0</x:v>
      </x:c>
      <x:c r="AT1076" s="11" t="n">
        <x:f>IF(AR1076&gt;0,MIN(1,AS1076/AR1076),1)</x:f>
        <x:v>1</x:v>
      </x:c>
      <x:c r="AU1076" s="10" t="n">
        <x:f>AB1076/INDEX(tun_RepScale,G1076)</x:f>
        <x:v>290.3368848566301</x:v>
      </x:c>
      <x:c r="AV1076" s="32" t="n">
        <x:f>AM1076*60/tun_SeasonSeconds</x:f>
        <x:v>0</x:v>
      </x:c>
    </x:row>
    <x:row r="1077">
      <x:c r="A1077" s="8" t="n">
        <x:f>A1076+1</x:f>
        <x:v>1074</x:v>
      </x:c>
      <x:c r="B1077" s="9" t="n">
        <x:f>A1077*tun_SeasonSeconds/60</x:f>
        <x:v>268.5</x:v>
      </x:c>
      <x:c r="C1077" s="9" t="n">
        <x:f>A1077/4</x:f>
        <x:v>268.5</x:v>
      </x:c>
      <x:c r="D1077" s="8" t="n">
        <x:f>IF(MOD(A1077,4)=0,1,0)</x:f>
        <x:v>0</x:v>
      </x:c>
      <x:c r="E1077" s="8" t="n">
        <x:f>IF(AND(F1076&lt;=9,AS1076&gt;=AR1076),1,0)</x:f>
        <x:v>0</x:v>
      </x:c>
      <x:c r="F1077" s="8" t="n">
        <x:f>MIN(10,F1076+E1077)</x:f>
        <x:v>10</x:v>
      </x:c>
      <x:c r="G1077" s="8" t="n">
        <x:f>MIN(F1077,9)+1</x:f>
        <x:v>10</x:v>
      </x:c>
      <x:c r="H1077" s="8" t="n">
        <x:f>IF(F1077&lt;=9,1,0)</x:f>
        <x:v>0</x:v>
      </x:c>
      <x:c r="I1077" s="9" t="n">
        <x:f>MIN(10,F1076+IF(AR1076&gt;0,MIN(1,AS1076/AR1076),1))</x:f>
        <x:v>10</x:v>
      </x:c>
      <x:c r="J1077" s="32" t="n">
        <x:f>INDEX(tun_FoodCap,G1077)*Arch_FoodCap*EXP(tun_CapsByProject*SUMPRODUCT((Cap_Point&lt;=I1077)*(Cap_Kind="Food")*Cap_Ln))</x:f>
        <x:v>18627.260449441455</x:v>
      </x:c>
      <x:c r="K1077" s="32" t="n">
        <x:f>J1077*MIN(1,tun_LeanBase*EXP(tun_CapsByProject*SUMPRODUCT((Cap_Point&lt;=I1077)*(Cap_Kind="Lean")*Cap_Ln)))</x:f>
        <x:v>18627.260449441455</x:v>
      </x:c>
      <x:c r="L1077" s="10" t="n">
        <x:f>INDEX(tun_HousingCap,G1077)*EXP(tun_CapsByProject*SUMPRODUCT((Cap_Point&lt;=I1077)*(Cap_Kind="Housing")*Cap_Ln))</x:f>
        <x:v>20528.974303173167</x:v>
      </x:c>
      <x:c r="M1077" s="10" t="n">
        <x:f>INDEX(tun_GroupCap,G1077)*tun_CohesionFactor*EXP(tun_CapsByProject*SUMPRODUCT((Cap_Point&lt;=I1077)*(Cap_Kind="Group")*Cap_Ln))</x:f>
        <x:v>1000000.000000001</x:v>
      </x:c>
      <x:c r="N1077" s="32" t="n">
        <x:f>MIN(J1077,L1077,M1077)</x:f>
        <x:v>18627.260449441455</x:v>
      </x:c>
      <x:c r="O1077" s="10" t="n">
        <x:f>AE1076*N1077</x:f>
        <x:v>167645.34404497308</x:v>
      </x:c>
      <x:c r="P1077" s="9" t="n">
        <x:f>MIN(1,(AB1076/(AE1076*IF(tun_GroupInCrowding=1,N1077,MIN(J1077,L1077))))^tun_CrowdingExp)</x:f>
        <x:v>0.4215841981292809</x:v>
      </x:c>
      <x:c r="Q1077" s="9" t="n">
        <x:f>IF(D1077=1,INDEX(tun_WinterMult,G1077),1)</x:f>
        <x:v>1</x:v>
      </x:c>
      <x:c r="R1077" s="9" t="n">
        <x:f>H1077*Z1076*tun_WomenShare*tun_BaseFertility*INDEX(tun_FertMult,G1077)*Arch_Fertility*(1-P1077)</x:f>
        <x:v>0</x:v>
      </x:c>
      <x:c r="S1077" s="9" t="n">
        <x:f>H1077*Y1076*INDEX(tun_MortChild,G1077)/4*Q1077</x:f>
        <x:v>0</x:v>
      </x:c>
      <x:c r="T1077" s="9" t="n">
        <x:f>H1077*Z1076*INDEX(tun_MortAdult,G1077)*Arch_AdultMort/4*Q1077</x:f>
        <x:v>0</x:v>
      </x:c>
      <x:c r="U1077" s="9" t="n">
        <x:f>H1077*AA1076*INDEX(tun_MortElder,G1077)/4*Q1077</x:f>
        <x:v>0</x:v>
      </x:c>
      <x:c r="V1077" s="9" t="n">
        <x:f>H1077*MAX(0,AB1076-O1077)*tun_OvercapLoss</x:f>
        <x:v>0</x:v>
      </x:c>
      <x:c r="W1077" s="9" t="n">
        <x:f>H1077*Y1076/(tun_ChildYears*4)</x:f>
        <x:v>0</x:v>
      </x:c>
      <x:c r="X1077" s="9" t="n">
        <x:f>H1077*Z1076/(tun_AdultYears*4)</x:f>
        <x:v>0</x:v>
      </x:c>
      <x:c r="Y1077" s="32" t="n">
        <x:f>Y1076+R1077-S1077-W1077-Y1076*V1077/AB1076</x:f>
        <x:v>40496.20709015643</x:v>
      </x:c>
      <x:c r="Z1077" s="32" t="n">
        <x:f>Z1076+W1077-X1077-T1077-Z1076*V1077/AB1076</x:f>
        <x:v>59141.61122890803</x:v>
      </x:c>
      <x:c r="AA1077" s="32" t="n">
        <x:f>AA1076+X1077-U1077-AA1076*V1077/AB1076</x:f>
        <x:v>45530.62410925061</x:v>
      </x:c>
      <x:c r="AB1077" s="10" t="n">
        <x:f>Y1077+Z1077+AA1077</x:f>
        <x:v>145168.44242831506</x:v>
      </x:c>
      <x:c r="AC1077" s="8" t="n">
        <x:f>IF(AND(tun_WinterTrigger=1,D1077=1,AB1076/AE1076&gt;=K1077),1,0)</x:f>
        <x:v>0</x:v>
      </x:c>
      <x:c r="AD1077" s="8" t="n">
        <x:f>H1077*IF(AND(OR(AB1076/AE1076&gt;=tun_FissionTrigger*N1077,AC1077=1),AB1076/AE1076*tun_DaughterShare&gt;=tun_MinDaughter),MAX(1,ROUND(AE1076*tun_FissionRate,0)),0)</x:f>
        <x:v>0</x:v>
      </x:c>
      <x:c r="AE1077" s="8" t="n">
        <x:f>IF(H1077=1,MAX(1,MIN(INDEX(tun_Smax,G1077),AE1076+AD1077)),AE1076)</x:f>
        <x:v>9</x:v>
      </x:c>
      <x:c r="AF1077" s="8" t="n">
        <x:f>MAX(0,AE1077-AE1076)</x:f>
        <x:v>0</x:v>
      </x:c>
      <x:c r="AG1077" s="9" t="str">
        <x:f>IF(AF1077&gt;0,B1077,"")</x:f>
      </x:c>
      <x:c r="AH1077" s="9" t="n">
        <x:f>IF(F1077&gt;=1,1,(1+tun_LowTiesShare*(AE1077-1))/AE1077)</x:f>
        <x:v>1</x:v>
      </x:c>
      <x:c r="AI1077" s="32" t="n">
        <x:f>(Z1077+tun_ElderCommons*INDEX(LM_Elder,G1077)*AA1077)*AH1077</x:f>
        <x:v>238215.0665857503</x:v>
      </x:c>
      <x:c r="AJ1077" s="32" t="n">
        <x:f>H1077*tun_CommonsCoef*AI1077^tun_CommonsExp*INDEX(LM_Commons,G1077)</x:f>
        <x:v>0</x:v>
      </x:c>
      <x:c r="AK1077" s="32" t="n">
        <x:f>H1077*tun_RoleScale*Arch_Roles*(AE1077*(INDEX(tun_ElderRolePerSett,G1077)*tun_OutElder*INDEX(LM_Elder,G1077)+INDEX(tun_ShamanPerSett,G1077)*tun_OutShaman)+Z1077*(INDEX(tun_PriestShare,G1077)*tun_OutPriest+INDEX(tun_ScribeShare,G1077)*tun_OutScribe*INDEX(LM_Scribe,G1077)+INDEX(tun_ScholarShare,G1077)*tun_OutScholar*INDEX(LM_Scholar,G1077)+INDEX(tun_ResearcherShare,G1077)*tun_OutResearcher*INDEX(LM_Researcher,G1077)))</x:f>
        <x:v>0</x:v>
      </x:c>
      <x:c r="AL1077" s="32" t="n">
        <x:f>H1077*tun_RoleScale*Arch_Roles*AE1077*INDEX(tun_MonasteryPerSett,G1077)*tun_OutMonastery*INDEX(LM_Monastery,G1077)</x:f>
        <x:v>0</x:v>
      </x:c>
      <x:c r="AM1077" s="32" t="n">
        <x:f>(AJ1077+AK1077+AL1077)/4*INDEX(LM_All,G1077)*INDEX(tun_Boon,G1077)*Arch_Insight</x:f>
        <x:v>0</x:v>
      </x:c>
      <x:c r="AN1077" s="32" t="n">
        <x:f>H1077*(tun_KHPerAdult*Z1077+tun_KHOfCommons*AJ1077/4*INDEX(LM_All,G1077))*tun_KHUsable*Arch_KH</x:f>
        <x:v>0</x:v>
      </x:c>
      <x:c r="AO1077" s="32" t="n">
        <x:f>MIN(AP1076+AN1077,AM1077*tun_KHMaxRatio)</x:f>
        <x:v>0</x:v>
      </x:c>
      <x:c r="AP1077" s="32" t="n">
        <x:f>AP1076+AN1077-AO1077</x:f>
        <x:v>0</x:v>
      </x:c>
      <x:c r="AQ1077" s="32" t="n">
        <x:f>AM1077+AO1077</x:f>
        <x:v>0</x:v>
      </x:c>
      <x:c r="AR1077" s="10" t="n">
        <x:f>IF(H1077=1,INDEX(tun_Req,G1077),0)</x:f>
        <x:v>0</x:v>
      </x:c>
      <x:c r="AS1077" s="32" t="n">
        <x:f>IF(H1077=1,IF(E1077=1,AS1076-AR1076,AS1076)+AQ1077,0)</x:f>
        <x:v>0</x:v>
      </x:c>
      <x:c r="AT1077" s="11" t="n">
        <x:f>IF(AR1077&gt;0,MIN(1,AS1077/AR1077),1)</x:f>
        <x:v>1</x:v>
      </x:c>
      <x:c r="AU1077" s="10" t="n">
        <x:f>AB1077/INDEX(tun_RepScale,G1077)</x:f>
        <x:v>290.3368848566301</x:v>
      </x:c>
      <x:c r="AV1077" s="32" t="n">
        <x:f>AM1077*60/tun_SeasonSeconds</x:f>
        <x:v>0</x:v>
      </x:c>
    </x:row>
    <x:row r="1078">
      <x:c r="A1078" s="8" t="n">
        <x:f>A1077+1</x:f>
        <x:v>1075</x:v>
      </x:c>
      <x:c r="B1078" s="9" t="n">
        <x:f>A1078*tun_SeasonSeconds/60</x:f>
        <x:v>268.75</x:v>
      </x:c>
      <x:c r="C1078" s="9" t="n">
        <x:f>A1078/4</x:f>
        <x:v>268.75</x:v>
      </x:c>
      <x:c r="D1078" s="8" t="n">
        <x:f>IF(MOD(A1078,4)=0,1,0)</x:f>
        <x:v>0</x:v>
      </x:c>
      <x:c r="E1078" s="8" t="n">
        <x:f>IF(AND(F1077&lt;=9,AS1077&gt;=AR1077),1,0)</x:f>
        <x:v>0</x:v>
      </x:c>
      <x:c r="F1078" s="8" t="n">
        <x:f>MIN(10,F1077+E1078)</x:f>
        <x:v>10</x:v>
      </x:c>
      <x:c r="G1078" s="8" t="n">
        <x:f>MIN(F1078,9)+1</x:f>
        <x:v>10</x:v>
      </x:c>
      <x:c r="H1078" s="8" t="n">
        <x:f>IF(F1078&lt;=9,1,0)</x:f>
        <x:v>0</x:v>
      </x:c>
      <x:c r="I1078" s="9" t="n">
        <x:f>MIN(10,F1077+IF(AR1077&gt;0,MIN(1,AS1077/AR1077),1))</x:f>
        <x:v>10</x:v>
      </x:c>
      <x:c r="J1078" s="32" t="n">
        <x:f>INDEX(tun_FoodCap,G1078)*Arch_FoodCap*EXP(tun_CapsByProject*SUMPRODUCT((Cap_Point&lt;=I1078)*(Cap_Kind="Food")*Cap_Ln))</x:f>
        <x:v>18627.260449441455</x:v>
      </x:c>
      <x:c r="K1078" s="32" t="n">
        <x:f>J1078*MIN(1,tun_LeanBase*EXP(tun_CapsByProject*SUMPRODUCT((Cap_Point&lt;=I1078)*(Cap_Kind="Lean")*Cap_Ln)))</x:f>
        <x:v>18627.260449441455</x:v>
      </x:c>
      <x:c r="L1078" s="10" t="n">
        <x:f>INDEX(tun_HousingCap,G1078)*EXP(tun_CapsByProject*SUMPRODUCT((Cap_Point&lt;=I1078)*(Cap_Kind="Housing")*Cap_Ln))</x:f>
        <x:v>20528.974303173167</x:v>
      </x:c>
      <x:c r="M1078" s="10" t="n">
        <x:f>INDEX(tun_GroupCap,G1078)*tun_CohesionFactor*EXP(tun_CapsByProject*SUMPRODUCT((Cap_Point&lt;=I1078)*(Cap_Kind="Group")*Cap_Ln))</x:f>
        <x:v>1000000.000000001</x:v>
      </x:c>
      <x:c r="N1078" s="32" t="n">
        <x:f>MIN(J1078,L1078,M1078)</x:f>
        <x:v>18627.260449441455</x:v>
      </x:c>
      <x:c r="O1078" s="10" t="n">
        <x:f>AE1077*N1078</x:f>
        <x:v>167645.34404497308</x:v>
      </x:c>
      <x:c r="P1078" s="9" t="n">
        <x:f>MIN(1,(AB1077/(AE1077*IF(tun_GroupInCrowding=1,N1078,MIN(J1078,L1078))))^tun_CrowdingExp)</x:f>
        <x:v>0.4215841981292809</x:v>
      </x:c>
      <x:c r="Q1078" s="9" t="n">
        <x:f>IF(D1078=1,INDEX(tun_WinterMult,G1078),1)</x:f>
        <x:v>1</x:v>
      </x:c>
      <x:c r="R1078" s="9" t="n">
        <x:f>H1078*Z1077*tun_WomenShare*tun_BaseFertility*INDEX(tun_FertMult,G1078)*Arch_Fertility*(1-P1078)</x:f>
        <x:v>0</x:v>
      </x:c>
      <x:c r="S1078" s="9" t="n">
        <x:f>H1078*Y1077*INDEX(tun_MortChild,G1078)/4*Q1078</x:f>
        <x:v>0</x:v>
      </x:c>
      <x:c r="T1078" s="9" t="n">
        <x:f>H1078*Z1077*INDEX(tun_MortAdult,G1078)*Arch_AdultMort/4*Q1078</x:f>
        <x:v>0</x:v>
      </x:c>
      <x:c r="U1078" s="9" t="n">
        <x:f>H1078*AA1077*INDEX(tun_MortElder,G1078)/4*Q1078</x:f>
        <x:v>0</x:v>
      </x:c>
      <x:c r="V1078" s="9" t="n">
        <x:f>H1078*MAX(0,AB1077-O1078)*tun_OvercapLoss</x:f>
        <x:v>0</x:v>
      </x:c>
      <x:c r="W1078" s="9" t="n">
        <x:f>H1078*Y1077/(tun_ChildYears*4)</x:f>
        <x:v>0</x:v>
      </x:c>
      <x:c r="X1078" s="9" t="n">
        <x:f>H1078*Z1077/(tun_AdultYears*4)</x:f>
        <x:v>0</x:v>
      </x:c>
      <x:c r="Y1078" s="32" t="n">
        <x:f>Y1077+R1078-S1078-W1078-Y1077*V1078/AB1077</x:f>
        <x:v>40496.20709015643</x:v>
      </x:c>
      <x:c r="Z1078" s="32" t="n">
        <x:f>Z1077+W1078-X1078-T1078-Z1077*V1078/AB1077</x:f>
        <x:v>59141.61122890803</x:v>
      </x:c>
      <x:c r="AA1078" s="32" t="n">
        <x:f>AA1077+X1078-U1078-AA1077*V1078/AB1077</x:f>
        <x:v>45530.62410925061</x:v>
      </x:c>
      <x:c r="AB1078" s="10" t="n">
        <x:f>Y1078+Z1078+AA1078</x:f>
        <x:v>145168.44242831506</x:v>
      </x:c>
      <x:c r="AC1078" s="8" t="n">
        <x:f>IF(AND(tun_WinterTrigger=1,D1078=1,AB1077/AE1077&gt;=K1078),1,0)</x:f>
        <x:v>0</x:v>
      </x:c>
      <x:c r="AD1078" s="8" t="n">
        <x:f>H1078*IF(AND(OR(AB1077/AE1077&gt;=tun_FissionTrigger*N1078,AC1078=1),AB1077/AE1077*tun_DaughterShare&gt;=tun_MinDaughter),MAX(1,ROUND(AE1077*tun_FissionRate,0)),0)</x:f>
        <x:v>0</x:v>
      </x:c>
      <x:c r="AE1078" s="8" t="n">
        <x:f>IF(H1078=1,MAX(1,MIN(INDEX(tun_Smax,G1078),AE1077+AD1078)),AE1077)</x:f>
        <x:v>9</x:v>
      </x:c>
      <x:c r="AF1078" s="8" t="n">
        <x:f>MAX(0,AE1078-AE1077)</x:f>
        <x:v>0</x:v>
      </x:c>
      <x:c r="AG1078" s="9" t="str">
        <x:f>IF(AF1078&gt;0,B1078,"")</x:f>
      </x:c>
      <x:c r="AH1078" s="9" t="n">
        <x:f>IF(F1078&gt;=1,1,(1+tun_LowTiesShare*(AE1078-1))/AE1078)</x:f>
        <x:v>1</x:v>
      </x:c>
      <x:c r="AI1078" s="32" t="n">
        <x:f>(Z1078+tun_ElderCommons*INDEX(LM_Elder,G1078)*AA1078)*AH1078</x:f>
        <x:v>238215.0665857503</x:v>
      </x:c>
      <x:c r="AJ1078" s="32" t="n">
        <x:f>H1078*tun_CommonsCoef*AI1078^tun_CommonsExp*INDEX(LM_Commons,G1078)</x:f>
        <x:v>0</x:v>
      </x:c>
      <x:c r="AK1078" s="32" t="n">
        <x:f>H1078*tun_RoleScale*Arch_Roles*(AE1078*(INDEX(tun_ElderRolePerSett,G1078)*tun_OutElder*INDEX(LM_Elder,G1078)+INDEX(tun_ShamanPerSett,G1078)*tun_OutShaman)+Z1078*(INDEX(tun_PriestShare,G1078)*tun_OutPriest+INDEX(tun_ScribeShare,G1078)*tun_OutScribe*INDEX(LM_Scribe,G1078)+INDEX(tun_ScholarShare,G1078)*tun_OutScholar*INDEX(LM_Scholar,G1078)+INDEX(tun_ResearcherShare,G1078)*tun_OutResearcher*INDEX(LM_Researcher,G1078)))</x:f>
        <x:v>0</x:v>
      </x:c>
      <x:c r="AL1078" s="32" t="n">
        <x:f>H1078*tun_RoleScale*Arch_Roles*AE1078*INDEX(tun_MonasteryPerSett,G1078)*tun_OutMonastery*INDEX(LM_Monastery,G1078)</x:f>
        <x:v>0</x:v>
      </x:c>
      <x:c r="AM1078" s="32" t="n">
        <x:f>(AJ1078+AK1078+AL1078)/4*INDEX(LM_All,G1078)*INDEX(tun_Boon,G1078)*Arch_Insight</x:f>
        <x:v>0</x:v>
      </x:c>
      <x:c r="AN1078" s="32" t="n">
        <x:f>H1078*(tun_KHPerAdult*Z1078+tun_KHOfCommons*AJ1078/4*INDEX(LM_All,G1078))*tun_KHUsable*Arch_KH</x:f>
        <x:v>0</x:v>
      </x:c>
      <x:c r="AO1078" s="32" t="n">
        <x:f>MIN(AP1077+AN1078,AM1078*tun_KHMaxRatio)</x:f>
        <x:v>0</x:v>
      </x:c>
      <x:c r="AP1078" s="32" t="n">
        <x:f>AP1077+AN1078-AO1078</x:f>
        <x:v>0</x:v>
      </x:c>
      <x:c r="AQ1078" s="32" t="n">
        <x:f>AM1078+AO1078</x:f>
        <x:v>0</x:v>
      </x:c>
      <x:c r="AR1078" s="10" t="n">
        <x:f>IF(H1078=1,INDEX(tun_Req,G1078),0)</x:f>
        <x:v>0</x:v>
      </x:c>
      <x:c r="AS1078" s="32" t="n">
        <x:f>IF(H1078=1,IF(E1078=1,AS1077-AR1077,AS1077)+AQ1078,0)</x:f>
        <x:v>0</x:v>
      </x:c>
      <x:c r="AT1078" s="11" t="n">
        <x:f>IF(AR1078&gt;0,MIN(1,AS1078/AR1078),1)</x:f>
        <x:v>1</x:v>
      </x:c>
      <x:c r="AU1078" s="10" t="n">
        <x:f>AB1078/INDEX(tun_RepScale,G1078)</x:f>
        <x:v>290.3368848566301</x:v>
      </x:c>
      <x:c r="AV1078" s="32" t="n">
        <x:f>AM1078*60/tun_SeasonSeconds</x:f>
        <x:v>0</x:v>
      </x:c>
    </x:row>
    <x:row r="1079">
      <x:c r="A1079" s="8" t="n">
        <x:f>A1078+1</x:f>
        <x:v>1076</x:v>
      </x:c>
      <x:c r="B1079" s="9" t="n">
        <x:f>A1079*tun_SeasonSeconds/60</x:f>
        <x:v>269</x:v>
      </x:c>
      <x:c r="C1079" s="9" t="n">
        <x:f>A1079/4</x:f>
        <x:v>269</x:v>
      </x:c>
      <x:c r="D1079" s="8" t="n">
        <x:f>IF(MOD(A1079,4)=0,1,0)</x:f>
        <x:v>1</x:v>
      </x:c>
      <x:c r="E1079" s="8" t="n">
        <x:f>IF(AND(F1078&lt;=9,AS1078&gt;=AR1078),1,0)</x:f>
        <x:v>0</x:v>
      </x:c>
      <x:c r="F1079" s="8" t="n">
        <x:f>MIN(10,F1078+E1079)</x:f>
        <x:v>10</x:v>
      </x:c>
      <x:c r="G1079" s="8" t="n">
        <x:f>MIN(F1079,9)+1</x:f>
        <x:v>10</x:v>
      </x:c>
      <x:c r="H1079" s="8" t="n">
        <x:f>IF(F1079&lt;=9,1,0)</x:f>
        <x:v>0</x:v>
      </x:c>
      <x:c r="I1079" s="9" t="n">
        <x:f>MIN(10,F1078+IF(AR1078&gt;0,MIN(1,AS1078/AR1078),1))</x:f>
        <x:v>10</x:v>
      </x:c>
      <x:c r="J1079" s="32" t="n">
        <x:f>INDEX(tun_FoodCap,G1079)*Arch_FoodCap*EXP(tun_CapsByProject*SUMPRODUCT((Cap_Point&lt;=I1079)*(Cap_Kind="Food")*Cap_Ln))</x:f>
        <x:v>18627.260449441455</x:v>
      </x:c>
      <x:c r="K1079" s="32" t="n">
        <x:f>J1079*MIN(1,tun_LeanBase*EXP(tun_CapsByProject*SUMPRODUCT((Cap_Point&lt;=I1079)*(Cap_Kind="Lean")*Cap_Ln)))</x:f>
        <x:v>18627.260449441455</x:v>
      </x:c>
      <x:c r="L1079" s="10" t="n">
        <x:f>INDEX(tun_HousingCap,G1079)*EXP(tun_CapsByProject*SUMPRODUCT((Cap_Point&lt;=I1079)*(Cap_Kind="Housing")*Cap_Ln))</x:f>
        <x:v>20528.974303173167</x:v>
      </x:c>
      <x:c r="M1079" s="10" t="n">
        <x:f>INDEX(tun_GroupCap,G1079)*tun_CohesionFactor*EXP(tun_CapsByProject*SUMPRODUCT((Cap_Point&lt;=I1079)*(Cap_Kind="Group")*Cap_Ln))</x:f>
        <x:v>1000000.000000001</x:v>
      </x:c>
      <x:c r="N1079" s="32" t="n">
        <x:f>MIN(J1079,L1079,M1079)</x:f>
        <x:v>18627.260449441455</x:v>
      </x:c>
      <x:c r="O1079" s="10" t="n">
        <x:f>AE1078*N1079</x:f>
        <x:v>167645.34404497308</x:v>
      </x:c>
      <x:c r="P1079" s="9" t="n">
        <x:f>MIN(1,(AB1078/(AE1078*IF(tun_GroupInCrowding=1,N1079,MIN(J1079,L1079))))^tun_CrowdingExp)</x:f>
        <x:v>0.4215841981292809</x:v>
      </x:c>
      <x:c r="Q1079" s="9" t="n">
        <x:f>IF(D1079=1,INDEX(tun_WinterMult,G1079),1)</x:f>
        <x:v>1.05</x:v>
      </x:c>
      <x:c r="R1079" s="9" t="n">
        <x:f>H1079*Z1078*tun_WomenShare*tun_BaseFertility*INDEX(tun_FertMult,G1079)*Arch_Fertility*(1-P1079)</x:f>
        <x:v>0</x:v>
      </x:c>
      <x:c r="S1079" s="9" t="n">
        <x:f>H1079*Y1078*INDEX(tun_MortChild,G1079)/4*Q1079</x:f>
        <x:v>0</x:v>
      </x:c>
      <x:c r="T1079" s="9" t="n">
        <x:f>H1079*Z1078*INDEX(tun_MortAdult,G1079)*Arch_AdultMort/4*Q1079</x:f>
        <x:v>0</x:v>
      </x:c>
      <x:c r="U1079" s="9" t="n">
        <x:f>H1079*AA1078*INDEX(tun_MortElder,G1079)/4*Q1079</x:f>
        <x:v>0</x:v>
      </x:c>
      <x:c r="V1079" s="9" t="n">
        <x:f>H1079*MAX(0,AB1078-O1079)*tun_OvercapLoss</x:f>
        <x:v>0</x:v>
      </x:c>
      <x:c r="W1079" s="9" t="n">
        <x:f>H1079*Y1078/(tun_ChildYears*4)</x:f>
        <x:v>0</x:v>
      </x:c>
      <x:c r="X1079" s="9" t="n">
        <x:f>H1079*Z1078/(tun_AdultYears*4)</x:f>
        <x:v>0</x:v>
      </x:c>
      <x:c r="Y1079" s="32" t="n">
        <x:f>Y1078+R1079-S1079-W1079-Y1078*V1079/AB1078</x:f>
        <x:v>40496.20709015643</x:v>
      </x:c>
      <x:c r="Z1079" s="32" t="n">
        <x:f>Z1078+W1079-X1079-T1079-Z1078*V1079/AB1078</x:f>
        <x:v>59141.61122890803</x:v>
      </x:c>
      <x:c r="AA1079" s="32" t="n">
        <x:f>AA1078+X1079-U1079-AA1078*V1079/AB1078</x:f>
        <x:v>45530.62410925061</x:v>
      </x:c>
      <x:c r="AB1079" s="10" t="n">
        <x:f>Y1079+Z1079+AA1079</x:f>
        <x:v>145168.44242831506</x:v>
      </x:c>
      <x:c r="AC1079" s="8" t="n">
        <x:f>IF(AND(tun_WinterTrigger=1,D1079=1,AB1078/AE1078&gt;=K1079),1,0)</x:f>
        <x:v>0</x:v>
      </x:c>
      <x:c r="AD1079" s="8" t="n">
        <x:f>H1079*IF(AND(OR(AB1078/AE1078&gt;=tun_FissionTrigger*N1079,AC1079=1),AB1078/AE1078*tun_DaughterShare&gt;=tun_MinDaughter),MAX(1,ROUND(AE1078*tun_FissionRate,0)),0)</x:f>
        <x:v>0</x:v>
      </x:c>
      <x:c r="AE1079" s="8" t="n">
        <x:f>IF(H1079=1,MAX(1,MIN(INDEX(tun_Smax,G1079),AE1078+AD1079)),AE1078)</x:f>
        <x:v>9</x:v>
      </x:c>
      <x:c r="AF1079" s="8" t="n">
        <x:f>MAX(0,AE1079-AE1078)</x:f>
        <x:v>0</x:v>
      </x:c>
      <x:c r="AG1079" s="9" t="str">
        <x:f>IF(AF1079&gt;0,B1079,"")</x:f>
      </x:c>
      <x:c r="AH1079" s="9" t="n">
        <x:f>IF(F1079&gt;=1,1,(1+tun_LowTiesShare*(AE1079-1))/AE1079)</x:f>
        <x:v>1</x:v>
      </x:c>
      <x:c r="AI1079" s="32" t="n">
        <x:f>(Z1079+tun_ElderCommons*INDEX(LM_Elder,G1079)*AA1079)*AH1079</x:f>
        <x:v>238215.0665857503</x:v>
      </x:c>
      <x:c r="AJ1079" s="32" t="n">
        <x:f>H1079*tun_CommonsCoef*AI1079^tun_CommonsExp*INDEX(LM_Commons,G1079)</x:f>
        <x:v>0</x:v>
      </x:c>
      <x:c r="AK1079" s="32" t="n">
        <x:f>H1079*tun_RoleScale*Arch_Roles*(AE1079*(INDEX(tun_ElderRolePerSett,G1079)*tun_OutElder*INDEX(LM_Elder,G1079)+INDEX(tun_ShamanPerSett,G1079)*tun_OutShaman)+Z1079*(INDEX(tun_PriestShare,G1079)*tun_OutPriest+INDEX(tun_ScribeShare,G1079)*tun_OutScribe*INDEX(LM_Scribe,G1079)+INDEX(tun_ScholarShare,G1079)*tun_OutScholar*INDEX(LM_Scholar,G1079)+INDEX(tun_ResearcherShare,G1079)*tun_OutResearcher*INDEX(LM_Researcher,G1079)))</x:f>
        <x:v>0</x:v>
      </x:c>
      <x:c r="AL1079" s="32" t="n">
        <x:f>H1079*tun_RoleScale*Arch_Roles*AE1079*INDEX(tun_MonasteryPerSett,G1079)*tun_OutMonastery*INDEX(LM_Monastery,G1079)</x:f>
        <x:v>0</x:v>
      </x:c>
      <x:c r="AM1079" s="32" t="n">
        <x:f>(AJ1079+AK1079+AL1079)/4*INDEX(LM_All,G1079)*INDEX(tun_Boon,G1079)*Arch_Insight</x:f>
        <x:v>0</x:v>
      </x:c>
      <x:c r="AN1079" s="32" t="n">
        <x:f>H1079*(tun_KHPerAdult*Z1079+tun_KHOfCommons*AJ1079/4*INDEX(LM_All,G1079))*tun_KHUsable*Arch_KH</x:f>
        <x:v>0</x:v>
      </x:c>
      <x:c r="AO1079" s="32" t="n">
        <x:f>MIN(AP1078+AN1079,AM1079*tun_KHMaxRatio)</x:f>
        <x:v>0</x:v>
      </x:c>
      <x:c r="AP1079" s="32" t="n">
        <x:f>AP1078+AN1079-AO1079</x:f>
        <x:v>0</x:v>
      </x:c>
      <x:c r="AQ1079" s="32" t="n">
        <x:f>AM1079+AO1079</x:f>
        <x:v>0</x:v>
      </x:c>
      <x:c r="AR1079" s="10" t="n">
        <x:f>IF(H1079=1,INDEX(tun_Req,G1079),0)</x:f>
        <x:v>0</x:v>
      </x:c>
      <x:c r="AS1079" s="32" t="n">
        <x:f>IF(H1079=1,IF(E1079=1,AS1078-AR1078,AS1078)+AQ1079,0)</x:f>
        <x:v>0</x:v>
      </x:c>
      <x:c r="AT1079" s="11" t="n">
        <x:f>IF(AR1079&gt;0,MIN(1,AS1079/AR1079),1)</x:f>
        <x:v>1</x:v>
      </x:c>
      <x:c r="AU1079" s="10" t="n">
        <x:f>AB1079/INDEX(tun_RepScale,G1079)</x:f>
        <x:v>290.3368848566301</x:v>
      </x:c>
      <x:c r="AV1079" s="32" t="n">
        <x:f>AM1079*60/tun_SeasonSeconds</x:f>
        <x:v>0</x:v>
      </x:c>
    </x:row>
    <x:row r="1080">
      <x:c r="A1080" s="8" t="n">
        <x:f>A1079+1</x:f>
        <x:v>1077</x:v>
      </x:c>
      <x:c r="B1080" s="9" t="n">
        <x:f>A1080*tun_SeasonSeconds/60</x:f>
        <x:v>269.25</x:v>
      </x:c>
      <x:c r="C1080" s="9" t="n">
        <x:f>A1080/4</x:f>
        <x:v>269.25</x:v>
      </x:c>
      <x:c r="D1080" s="8" t="n">
        <x:f>IF(MOD(A1080,4)=0,1,0)</x:f>
        <x:v>0</x:v>
      </x:c>
      <x:c r="E1080" s="8" t="n">
        <x:f>IF(AND(F1079&lt;=9,AS1079&gt;=AR1079),1,0)</x:f>
        <x:v>0</x:v>
      </x:c>
      <x:c r="F1080" s="8" t="n">
        <x:f>MIN(10,F1079+E1080)</x:f>
        <x:v>10</x:v>
      </x:c>
      <x:c r="G1080" s="8" t="n">
        <x:f>MIN(F1080,9)+1</x:f>
        <x:v>10</x:v>
      </x:c>
      <x:c r="H1080" s="8" t="n">
        <x:f>IF(F1080&lt;=9,1,0)</x:f>
        <x:v>0</x:v>
      </x:c>
      <x:c r="I1080" s="9" t="n">
        <x:f>MIN(10,F1079+IF(AR1079&gt;0,MIN(1,AS1079/AR1079),1))</x:f>
        <x:v>10</x:v>
      </x:c>
      <x:c r="J1080" s="32" t="n">
        <x:f>INDEX(tun_FoodCap,G1080)*Arch_FoodCap*EXP(tun_CapsByProject*SUMPRODUCT((Cap_Point&lt;=I1080)*(Cap_Kind="Food")*Cap_Ln))</x:f>
        <x:v>18627.260449441455</x:v>
      </x:c>
      <x:c r="K1080" s="32" t="n">
        <x:f>J1080*MIN(1,tun_LeanBase*EXP(tun_CapsByProject*SUMPRODUCT((Cap_Point&lt;=I1080)*(Cap_Kind="Lean")*Cap_Ln)))</x:f>
        <x:v>18627.260449441455</x:v>
      </x:c>
      <x:c r="L1080" s="10" t="n">
        <x:f>INDEX(tun_HousingCap,G1080)*EXP(tun_CapsByProject*SUMPRODUCT((Cap_Point&lt;=I1080)*(Cap_Kind="Housing")*Cap_Ln))</x:f>
        <x:v>20528.974303173167</x:v>
      </x:c>
      <x:c r="M1080" s="10" t="n">
        <x:f>INDEX(tun_GroupCap,G1080)*tun_CohesionFactor*EXP(tun_CapsByProject*SUMPRODUCT((Cap_Point&lt;=I1080)*(Cap_Kind="Group")*Cap_Ln))</x:f>
        <x:v>1000000.000000001</x:v>
      </x:c>
      <x:c r="N1080" s="32" t="n">
        <x:f>MIN(J1080,L1080,M1080)</x:f>
        <x:v>18627.260449441455</x:v>
      </x:c>
      <x:c r="O1080" s="10" t="n">
        <x:f>AE1079*N1080</x:f>
        <x:v>167645.34404497308</x:v>
      </x:c>
      <x:c r="P1080" s="9" t="n">
        <x:f>MIN(1,(AB1079/(AE1079*IF(tun_GroupInCrowding=1,N1080,MIN(J1080,L1080))))^tun_CrowdingExp)</x:f>
        <x:v>0.4215841981292809</x:v>
      </x:c>
      <x:c r="Q1080" s="9" t="n">
        <x:f>IF(D1080=1,INDEX(tun_WinterMult,G1080),1)</x:f>
        <x:v>1</x:v>
      </x:c>
      <x:c r="R1080" s="9" t="n">
        <x:f>H1080*Z1079*tun_WomenShare*tun_BaseFertility*INDEX(tun_FertMult,G1080)*Arch_Fertility*(1-P1080)</x:f>
        <x:v>0</x:v>
      </x:c>
      <x:c r="S1080" s="9" t="n">
        <x:f>H1080*Y1079*INDEX(tun_MortChild,G1080)/4*Q1080</x:f>
        <x:v>0</x:v>
      </x:c>
      <x:c r="T1080" s="9" t="n">
        <x:f>H1080*Z1079*INDEX(tun_MortAdult,G1080)*Arch_AdultMort/4*Q1080</x:f>
        <x:v>0</x:v>
      </x:c>
      <x:c r="U1080" s="9" t="n">
        <x:f>H1080*AA1079*INDEX(tun_MortElder,G1080)/4*Q1080</x:f>
        <x:v>0</x:v>
      </x:c>
      <x:c r="V1080" s="9" t="n">
        <x:f>H1080*MAX(0,AB1079-O1080)*tun_OvercapLoss</x:f>
        <x:v>0</x:v>
      </x:c>
      <x:c r="W1080" s="9" t="n">
        <x:f>H1080*Y1079/(tun_ChildYears*4)</x:f>
        <x:v>0</x:v>
      </x:c>
      <x:c r="X1080" s="9" t="n">
        <x:f>H1080*Z1079/(tun_AdultYears*4)</x:f>
        <x:v>0</x:v>
      </x:c>
      <x:c r="Y1080" s="32" t="n">
        <x:f>Y1079+R1080-S1080-W1080-Y1079*V1080/AB1079</x:f>
        <x:v>40496.20709015643</x:v>
      </x:c>
      <x:c r="Z1080" s="32" t="n">
        <x:f>Z1079+W1080-X1080-T1080-Z1079*V1080/AB1079</x:f>
        <x:v>59141.61122890803</x:v>
      </x:c>
      <x:c r="AA1080" s="32" t="n">
        <x:f>AA1079+X1080-U1080-AA1079*V1080/AB1079</x:f>
        <x:v>45530.62410925061</x:v>
      </x:c>
      <x:c r="AB1080" s="10" t="n">
        <x:f>Y1080+Z1080+AA1080</x:f>
        <x:v>145168.44242831506</x:v>
      </x:c>
      <x:c r="AC1080" s="8" t="n">
        <x:f>IF(AND(tun_WinterTrigger=1,D1080=1,AB1079/AE1079&gt;=K1080),1,0)</x:f>
        <x:v>0</x:v>
      </x:c>
      <x:c r="AD1080" s="8" t="n">
        <x:f>H1080*IF(AND(OR(AB1079/AE1079&gt;=tun_FissionTrigger*N1080,AC1080=1),AB1079/AE1079*tun_DaughterShare&gt;=tun_MinDaughter),MAX(1,ROUND(AE1079*tun_FissionRate,0)),0)</x:f>
        <x:v>0</x:v>
      </x:c>
      <x:c r="AE1080" s="8" t="n">
        <x:f>IF(H1080=1,MAX(1,MIN(INDEX(tun_Smax,G1080),AE1079+AD1080)),AE1079)</x:f>
        <x:v>9</x:v>
      </x:c>
      <x:c r="AF1080" s="8" t="n">
        <x:f>MAX(0,AE1080-AE1079)</x:f>
        <x:v>0</x:v>
      </x:c>
      <x:c r="AG1080" s="9" t="str">
        <x:f>IF(AF1080&gt;0,B1080,"")</x:f>
      </x:c>
      <x:c r="AH1080" s="9" t="n">
        <x:f>IF(F1080&gt;=1,1,(1+tun_LowTiesShare*(AE1080-1))/AE1080)</x:f>
        <x:v>1</x:v>
      </x:c>
      <x:c r="AI1080" s="32" t="n">
        <x:f>(Z1080+tun_ElderCommons*INDEX(LM_Elder,G1080)*AA1080)*AH1080</x:f>
        <x:v>238215.0665857503</x:v>
      </x:c>
      <x:c r="AJ1080" s="32" t="n">
        <x:f>H1080*tun_CommonsCoef*AI1080^tun_CommonsExp*INDEX(LM_Commons,G1080)</x:f>
        <x:v>0</x:v>
      </x:c>
      <x:c r="AK1080" s="32" t="n">
        <x:f>H1080*tun_RoleScale*Arch_Roles*(AE1080*(INDEX(tun_ElderRolePerSett,G1080)*tun_OutElder*INDEX(LM_Elder,G1080)+INDEX(tun_ShamanPerSett,G1080)*tun_OutShaman)+Z1080*(INDEX(tun_PriestShare,G1080)*tun_OutPriest+INDEX(tun_ScribeShare,G1080)*tun_OutScribe*INDEX(LM_Scribe,G1080)+INDEX(tun_ScholarShare,G1080)*tun_OutScholar*INDEX(LM_Scholar,G1080)+INDEX(tun_ResearcherShare,G1080)*tun_OutResearcher*INDEX(LM_Researcher,G1080)))</x:f>
        <x:v>0</x:v>
      </x:c>
      <x:c r="AL1080" s="32" t="n">
        <x:f>H1080*tun_RoleScale*Arch_Roles*AE1080*INDEX(tun_MonasteryPerSett,G1080)*tun_OutMonastery*INDEX(LM_Monastery,G1080)</x:f>
        <x:v>0</x:v>
      </x:c>
      <x:c r="AM1080" s="32" t="n">
        <x:f>(AJ1080+AK1080+AL1080)/4*INDEX(LM_All,G1080)*INDEX(tun_Boon,G1080)*Arch_Insight</x:f>
        <x:v>0</x:v>
      </x:c>
      <x:c r="AN1080" s="32" t="n">
        <x:f>H1080*(tun_KHPerAdult*Z1080+tun_KHOfCommons*AJ1080/4*INDEX(LM_All,G1080))*tun_KHUsable*Arch_KH</x:f>
        <x:v>0</x:v>
      </x:c>
      <x:c r="AO1080" s="32" t="n">
        <x:f>MIN(AP1079+AN1080,AM1080*tun_KHMaxRatio)</x:f>
        <x:v>0</x:v>
      </x:c>
      <x:c r="AP1080" s="32" t="n">
        <x:f>AP1079+AN1080-AO1080</x:f>
        <x:v>0</x:v>
      </x:c>
      <x:c r="AQ1080" s="32" t="n">
        <x:f>AM1080+AO1080</x:f>
        <x:v>0</x:v>
      </x:c>
      <x:c r="AR1080" s="10" t="n">
        <x:f>IF(H1080=1,INDEX(tun_Req,G1080),0)</x:f>
        <x:v>0</x:v>
      </x:c>
      <x:c r="AS1080" s="32" t="n">
        <x:f>IF(H1080=1,IF(E1080=1,AS1079-AR1079,AS1079)+AQ1080,0)</x:f>
        <x:v>0</x:v>
      </x:c>
      <x:c r="AT1080" s="11" t="n">
        <x:f>IF(AR1080&gt;0,MIN(1,AS1080/AR1080),1)</x:f>
        <x:v>1</x:v>
      </x:c>
      <x:c r="AU1080" s="10" t="n">
        <x:f>AB1080/INDEX(tun_RepScale,G1080)</x:f>
        <x:v>290.3368848566301</x:v>
      </x:c>
      <x:c r="AV1080" s="32" t="n">
        <x:f>AM1080*60/tun_SeasonSeconds</x:f>
        <x:v>0</x:v>
      </x:c>
    </x:row>
    <x:row r="1081">
      <x:c r="A1081" s="8" t="n">
        <x:f>A1080+1</x:f>
        <x:v>1078</x:v>
      </x:c>
      <x:c r="B1081" s="9" t="n">
        <x:f>A1081*tun_SeasonSeconds/60</x:f>
        <x:v>269.5</x:v>
      </x:c>
      <x:c r="C1081" s="9" t="n">
        <x:f>A1081/4</x:f>
        <x:v>269.5</x:v>
      </x:c>
      <x:c r="D1081" s="8" t="n">
        <x:f>IF(MOD(A1081,4)=0,1,0)</x:f>
        <x:v>0</x:v>
      </x:c>
      <x:c r="E1081" s="8" t="n">
        <x:f>IF(AND(F1080&lt;=9,AS1080&gt;=AR1080),1,0)</x:f>
        <x:v>0</x:v>
      </x:c>
      <x:c r="F1081" s="8" t="n">
        <x:f>MIN(10,F1080+E1081)</x:f>
        <x:v>10</x:v>
      </x:c>
      <x:c r="G1081" s="8" t="n">
        <x:f>MIN(F1081,9)+1</x:f>
        <x:v>10</x:v>
      </x:c>
      <x:c r="H1081" s="8" t="n">
        <x:f>IF(F1081&lt;=9,1,0)</x:f>
        <x:v>0</x:v>
      </x:c>
      <x:c r="I1081" s="9" t="n">
        <x:f>MIN(10,F1080+IF(AR1080&gt;0,MIN(1,AS1080/AR1080),1))</x:f>
        <x:v>10</x:v>
      </x:c>
      <x:c r="J1081" s="32" t="n">
        <x:f>INDEX(tun_FoodCap,G1081)*Arch_FoodCap*EXP(tun_CapsByProject*SUMPRODUCT((Cap_Point&lt;=I1081)*(Cap_Kind="Food")*Cap_Ln))</x:f>
        <x:v>18627.260449441455</x:v>
      </x:c>
      <x:c r="K1081" s="32" t="n">
        <x:f>J1081*MIN(1,tun_LeanBase*EXP(tun_CapsByProject*SUMPRODUCT((Cap_Point&lt;=I1081)*(Cap_Kind="Lean")*Cap_Ln)))</x:f>
        <x:v>18627.260449441455</x:v>
      </x:c>
      <x:c r="L1081" s="10" t="n">
        <x:f>INDEX(tun_HousingCap,G1081)*EXP(tun_CapsByProject*SUMPRODUCT((Cap_Point&lt;=I1081)*(Cap_Kind="Housing")*Cap_Ln))</x:f>
        <x:v>20528.974303173167</x:v>
      </x:c>
      <x:c r="M1081" s="10" t="n">
        <x:f>INDEX(tun_GroupCap,G1081)*tun_CohesionFactor*EXP(tun_CapsByProject*SUMPRODUCT((Cap_Point&lt;=I1081)*(Cap_Kind="Group")*Cap_Ln))</x:f>
        <x:v>1000000.000000001</x:v>
      </x:c>
      <x:c r="N1081" s="32" t="n">
        <x:f>MIN(J1081,L1081,M1081)</x:f>
        <x:v>18627.260449441455</x:v>
      </x:c>
      <x:c r="O1081" s="10" t="n">
        <x:f>AE1080*N1081</x:f>
        <x:v>167645.34404497308</x:v>
      </x:c>
      <x:c r="P1081" s="9" t="n">
        <x:f>MIN(1,(AB1080/(AE1080*IF(tun_GroupInCrowding=1,N1081,MIN(J1081,L1081))))^tun_CrowdingExp)</x:f>
        <x:v>0.4215841981292809</x:v>
      </x:c>
      <x:c r="Q1081" s="9" t="n">
        <x:f>IF(D1081=1,INDEX(tun_WinterMult,G1081),1)</x:f>
        <x:v>1</x:v>
      </x:c>
      <x:c r="R1081" s="9" t="n">
        <x:f>H1081*Z1080*tun_WomenShare*tun_BaseFertility*INDEX(tun_FertMult,G1081)*Arch_Fertility*(1-P1081)</x:f>
        <x:v>0</x:v>
      </x:c>
      <x:c r="S1081" s="9" t="n">
        <x:f>H1081*Y1080*INDEX(tun_MortChild,G1081)/4*Q1081</x:f>
        <x:v>0</x:v>
      </x:c>
      <x:c r="T1081" s="9" t="n">
        <x:f>H1081*Z1080*INDEX(tun_MortAdult,G1081)*Arch_AdultMort/4*Q1081</x:f>
        <x:v>0</x:v>
      </x:c>
      <x:c r="U1081" s="9" t="n">
        <x:f>H1081*AA1080*INDEX(tun_MortElder,G1081)/4*Q1081</x:f>
        <x:v>0</x:v>
      </x:c>
      <x:c r="V1081" s="9" t="n">
        <x:f>H1081*MAX(0,AB1080-O1081)*tun_OvercapLoss</x:f>
        <x:v>0</x:v>
      </x:c>
      <x:c r="W1081" s="9" t="n">
        <x:f>H1081*Y1080/(tun_ChildYears*4)</x:f>
        <x:v>0</x:v>
      </x:c>
      <x:c r="X1081" s="9" t="n">
        <x:f>H1081*Z1080/(tun_AdultYears*4)</x:f>
        <x:v>0</x:v>
      </x:c>
      <x:c r="Y1081" s="32" t="n">
        <x:f>Y1080+R1081-S1081-W1081-Y1080*V1081/AB1080</x:f>
        <x:v>40496.20709015643</x:v>
      </x:c>
      <x:c r="Z1081" s="32" t="n">
        <x:f>Z1080+W1081-X1081-T1081-Z1080*V1081/AB1080</x:f>
        <x:v>59141.61122890803</x:v>
      </x:c>
      <x:c r="AA1081" s="32" t="n">
        <x:f>AA1080+X1081-U1081-AA1080*V1081/AB1080</x:f>
        <x:v>45530.62410925061</x:v>
      </x:c>
      <x:c r="AB1081" s="10" t="n">
        <x:f>Y1081+Z1081+AA1081</x:f>
        <x:v>145168.44242831506</x:v>
      </x:c>
      <x:c r="AC1081" s="8" t="n">
        <x:f>IF(AND(tun_WinterTrigger=1,D1081=1,AB1080/AE1080&gt;=K1081),1,0)</x:f>
        <x:v>0</x:v>
      </x:c>
      <x:c r="AD1081" s="8" t="n">
        <x:f>H1081*IF(AND(OR(AB1080/AE1080&gt;=tun_FissionTrigger*N1081,AC1081=1),AB1080/AE1080*tun_DaughterShare&gt;=tun_MinDaughter),MAX(1,ROUND(AE1080*tun_FissionRate,0)),0)</x:f>
        <x:v>0</x:v>
      </x:c>
      <x:c r="AE1081" s="8" t="n">
        <x:f>IF(H1081=1,MAX(1,MIN(INDEX(tun_Smax,G1081),AE1080+AD1081)),AE1080)</x:f>
        <x:v>9</x:v>
      </x:c>
      <x:c r="AF1081" s="8" t="n">
        <x:f>MAX(0,AE1081-AE1080)</x:f>
        <x:v>0</x:v>
      </x:c>
      <x:c r="AG1081" s="9" t="str">
        <x:f>IF(AF1081&gt;0,B1081,"")</x:f>
      </x:c>
      <x:c r="AH1081" s="9" t="n">
        <x:f>IF(F1081&gt;=1,1,(1+tun_LowTiesShare*(AE1081-1))/AE1081)</x:f>
        <x:v>1</x:v>
      </x:c>
      <x:c r="AI1081" s="32" t="n">
        <x:f>(Z1081+tun_ElderCommons*INDEX(LM_Elder,G1081)*AA1081)*AH1081</x:f>
        <x:v>238215.0665857503</x:v>
      </x:c>
      <x:c r="AJ1081" s="32" t="n">
        <x:f>H1081*tun_CommonsCoef*AI1081^tun_CommonsExp*INDEX(LM_Commons,G1081)</x:f>
        <x:v>0</x:v>
      </x:c>
      <x:c r="AK1081" s="32" t="n">
        <x:f>H1081*tun_RoleScale*Arch_Roles*(AE1081*(INDEX(tun_ElderRolePerSett,G1081)*tun_OutElder*INDEX(LM_Elder,G1081)+INDEX(tun_ShamanPerSett,G1081)*tun_OutShaman)+Z1081*(INDEX(tun_PriestShare,G1081)*tun_OutPriest+INDEX(tun_ScribeShare,G1081)*tun_OutScribe*INDEX(LM_Scribe,G1081)+INDEX(tun_ScholarShare,G1081)*tun_OutScholar*INDEX(LM_Scholar,G1081)+INDEX(tun_ResearcherShare,G1081)*tun_OutResearcher*INDEX(LM_Researcher,G1081)))</x:f>
        <x:v>0</x:v>
      </x:c>
      <x:c r="AL1081" s="32" t="n">
        <x:f>H1081*tun_RoleScale*Arch_Roles*AE1081*INDEX(tun_MonasteryPerSett,G1081)*tun_OutMonastery*INDEX(LM_Monastery,G1081)</x:f>
        <x:v>0</x:v>
      </x:c>
      <x:c r="AM1081" s="32" t="n">
        <x:f>(AJ1081+AK1081+AL1081)/4*INDEX(LM_All,G1081)*INDEX(tun_Boon,G1081)*Arch_Insight</x:f>
        <x:v>0</x:v>
      </x:c>
      <x:c r="AN1081" s="32" t="n">
        <x:f>H1081*(tun_KHPerAdult*Z1081+tun_KHOfCommons*AJ1081/4*INDEX(LM_All,G1081))*tun_KHUsable*Arch_KH</x:f>
        <x:v>0</x:v>
      </x:c>
      <x:c r="AO1081" s="32" t="n">
        <x:f>MIN(AP1080+AN1081,AM1081*tun_KHMaxRatio)</x:f>
        <x:v>0</x:v>
      </x:c>
      <x:c r="AP1081" s="32" t="n">
        <x:f>AP1080+AN1081-AO1081</x:f>
        <x:v>0</x:v>
      </x:c>
      <x:c r="AQ1081" s="32" t="n">
        <x:f>AM1081+AO1081</x:f>
        <x:v>0</x:v>
      </x:c>
      <x:c r="AR1081" s="10" t="n">
        <x:f>IF(H1081=1,INDEX(tun_Req,G1081),0)</x:f>
        <x:v>0</x:v>
      </x:c>
      <x:c r="AS1081" s="32" t="n">
        <x:f>IF(H1081=1,IF(E1081=1,AS1080-AR1080,AS1080)+AQ1081,0)</x:f>
        <x:v>0</x:v>
      </x:c>
      <x:c r="AT1081" s="11" t="n">
        <x:f>IF(AR1081&gt;0,MIN(1,AS1081/AR1081),1)</x:f>
        <x:v>1</x:v>
      </x:c>
      <x:c r="AU1081" s="10" t="n">
        <x:f>AB1081/INDEX(tun_RepScale,G1081)</x:f>
        <x:v>290.3368848566301</x:v>
      </x:c>
      <x:c r="AV1081" s="32" t="n">
        <x:f>AM1081*60/tun_SeasonSeconds</x:f>
        <x:v>0</x:v>
      </x:c>
    </x:row>
    <x:row r="1082">
      <x:c r="A1082" s="8" t="n">
        <x:f>A1081+1</x:f>
        <x:v>1079</x:v>
      </x:c>
      <x:c r="B1082" s="9" t="n">
        <x:f>A1082*tun_SeasonSeconds/60</x:f>
        <x:v>269.75</x:v>
      </x:c>
      <x:c r="C1082" s="9" t="n">
        <x:f>A1082/4</x:f>
        <x:v>269.75</x:v>
      </x:c>
      <x:c r="D1082" s="8" t="n">
        <x:f>IF(MOD(A1082,4)=0,1,0)</x:f>
        <x:v>0</x:v>
      </x:c>
      <x:c r="E1082" s="8" t="n">
        <x:f>IF(AND(F1081&lt;=9,AS1081&gt;=AR1081),1,0)</x:f>
        <x:v>0</x:v>
      </x:c>
      <x:c r="F1082" s="8" t="n">
        <x:f>MIN(10,F1081+E1082)</x:f>
        <x:v>10</x:v>
      </x:c>
      <x:c r="G1082" s="8" t="n">
        <x:f>MIN(F1082,9)+1</x:f>
        <x:v>10</x:v>
      </x:c>
      <x:c r="H1082" s="8" t="n">
        <x:f>IF(F1082&lt;=9,1,0)</x:f>
        <x:v>0</x:v>
      </x:c>
      <x:c r="I1082" s="9" t="n">
        <x:f>MIN(10,F1081+IF(AR1081&gt;0,MIN(1,AS1081/AR1081),1))</x:f>
        <x:v>10</x:v>
      </x:c>
      <x:c r="J1082" s="32" t="n">
        <x:f>INDEX(tun_FoodCap,G1082)*Arch_FoodCap*EXP(tun_CapsByProject*SUMPRODUCT((Cap_Point&lt;=I1082)*(Cap_Kind="Food")*Cap_Ln))</x:f>
        <x:v>18627.260449441455</x:v>
      </x:c>
      <x:c r="K1082" s="32" t="n">
        <x:f>J1082*MIN(1,tun_LeanBase*EXP(tun_CapsByProject*SUMPRODUCT((Cap_Point&lt;=I1082)*(Cap_Kind="Lean")*Cap_Ln)))</x:f>
        <x:v>18627.260449441455</x:v>
      </x:c>
      <x:c r="L1082" s="10" t="n">
        <x:f>INDEX(tun_HousingCap,G1082)*EXP(tun_CapsByProject*SUMPRODUCT((Cap_Point&lt;=I1082)*(Cap_Kind="Housing")*Cap_Ln))</x:f>
        <x:v>20528.974303173167</x:v>
      </x:c>
      <x:c r="M1082" s="10" t="n">
        <x:f>INDEX(tun_GroupCap,G1082)*tun_CohesionFactor*EXP(tun_CapsByProject*SUMPRODUCT((Cap_Point&lt;=I1082)*(Cap_Kind="Group")*Cap_Ln))</x:f>
        <x:v>1000000.000000001</x:v>
      </x:c>
      <x:c r="N1082" s="32" t="n">
        <x:f>MIN(J1082,L1082,M1082)</x:f>
        <x:v>18627.260449441455</x:v>
      </x:c>
      <x:c r="O1082" s="10" t="n">
        <x:f>AE1081*N1082</x:f>
        <x:v>167645.34404497308</x:v>
      </x:c>
      <x:c r="P1082" s="9" t="n">
        <x:f>MIN(1,(AB1081/(AE1081*IF(tun_GroupInCrowding=1,N1082,MIN(J1082,L1082))))^tun_CrowdingExp)</x:f>
        <x:v>0.4215841981292809</x:v>
      </x:c>
      <x:c r="Q1082" s="9" t="n">
        <x:f>IF(D1082=1,INDEX(tun_WinterMult,G1082),1)</x:f>
        <x:v>1</x:v>
      </x:c>
      <x:c r="R1082" s="9" t="n">
        <x:f>H1082*Z1081*tun_WomenShare*tun_BaseFertility*INDEX(tun_FertMult,G1082)*Arch_Fertility*(1-P1082)</x:f>
        <x:v>0</x:v>
      </x:c>
      <x:c r="S1082" s="9" t="n">
        <x:f>H1082*Y1081*INDEX(tun_MortChild,G1082)/4*Q1082</x:f>
        <x:v>0</x:v>
      </x:c>
      <x:c r="T1082" s="9" t="n">
        <x:f>H1082*Z1081*INDEX(tun_MortAdult,G1082)*Arch_AdultMort/4*Q1082</x:f>
        <x:v>0</x:v>
      </x:c>
      <x:c r="U1082" s="9" t="n">
        <x:f>H1082*AA1081*INDEX(tun_MortElder,G1082)/4*Q1082</x:f>
        <x:v>0</x:v>
      </x:c>
      <x:c r="V1082" s="9" t="n">
        <x:f>H1082*MAX(0,AB1081-O1082)*tun_OvercapLoss</x:f>
        <x:v>0</x:v>
      </x:c>
      <x:c r="W1082" s="9" t="n">
        <x:f>H1082*Y1081/(tun_ChildYears*4)</x:f>
        <x:v>0</x:v>
      </x:c>
      <x:c r="X1082" s="9" t="n">
        <x:f>H1082*Z1081/(tun_AdultYears*4)</x:f>
        <x:v>0</x:v>
      </x:c>
      <x:c r="Y1082" s="32" t="n">
        <x:f>Y1081+R1082-S1082-W1082-Y1081*V1082/AB1081</x:f>
        <x:v>40496.20709015643</x:v>
      </x:c>
      <x:c r="Z1082" s="32" t="n">
        <x:f>Z1081+W1082-X1082-T1082-Z1081*V1082/AB1081</x:f>
        <x:v>59141.61122890803</x:v>
      </x:c>
      <x:c r="AA1082" s="32" t="n">
        <x:f>AA1081+X1082-U1082-AA1081*V1082/AB1081</x:f>
        <x:v>45530.62410925061</x:v>
      </x:c>
      <x:c r="AB1082" s="10" t="n">
        <x:f>Y1082+Z1082+AA1082</x:f>
        <x:v>145168.44242831506</x:v>
      </x:c>
      <x:c r="AC1082" s="8" t="n">
        <x:f>IF(AND(tun_WinterTrigger=1,D1082=1,AB1081/AE1081&gt;=K1082),1,0)</x:f>
        <x:v>0</x:v>
      </x:c>
      <x:c r="AD1082" s="8" t="n">
        <x:f>H1082*IF(AND(OR(AB1081/AE1081&gt;=tun_FissionTrigger*N1082,AC1082=1),AB1081/AE1081*tun_DaughterShare&gt;=tun_MinDaughter),MAX(1,ROUND(AE1081*tun_FissionRate,0)),0)</x:f>
        <x:v>0</x:v>
      </x:c>
      <x:c r="AE1082" s="8" t="n">
        <x:f>IF(H1082=1,MAX(1,MIN(INDEX(tun_Smax,G1082),AE1081+AD1082)),AE1081)</x:f>
        <x:v>9</x:v>
      </x:c>
      <x:c r="AF1082" s="8" t="n">
        <x:f>MAX(0,AE1082-AE1081)</x:f>
        <x:v>0</x:v>
      </x:c>
      <x:c r="AG1082" s="9" t="str">
        <x:f>IF(AF1082&gt;0,B1082,"")</x:f>
      </x:c>
      <x:c r="AH1082" s="9" t="n">
        <x:f>IF(F1082&gt;=1,1,(1+tun_LowTiesShare*(AE1082-1))/AE1082)</x:f>
        <x:v>1</x:v>
      </x:c>
      <x:c r="AI1082" s="32" t="n">
        <x:f>(Z1082+tun_ElderCommons*INDEX(LM_Elder,G1082)*AA1082)*AH1082</x:f>
        <x:v>238215.0665857503</x:v>
      </x:c>
      <x:c r="AJ1082" s="32" t="n">
        <x:f>H1082*tun_CommonsCoef*AI1082^tun_CommonsExp*INDEX(LM_Commons,G1082)</x:f>
        <x:v>0</x:v>
      </x:c>
      <x:c r="AK1082" s="32" t="n">
        <x:f>H1082*tun_RoleScale*Arch_Roles*(AE1082*(INDEX(tun_ElderRolePerSett,G1082)*tun_OutElder*INDEX(LM_Elder,G1082)+INDEX(tun_ShamanPerSett,G1082)*tun_OutShaman)+Z1082*(INDEX(tun_PriestShare,G1082)*tun_OutPriest+INDEX(tun_ScribeShare,G1082)*tun_OutScribe*INDEX(LM_Scribe,G1082)+INDEX(tun_ScholarShare,G1082)*tun_OutScholar*INDEX(LM_Scholar,G1082)+INDEX(tun_ResearcherShare,G1082)*tun_OutResearcher*INDEX(LM_Researcher,G1082)))</x:f>
        <x:v>0</x:v>
      </x:c>
      <x:c r="AL1082" s="32" t="n">
        <x:f>H1082*tun_RoleScale*Arch_Roles*AE1082*INDEX(tun_MonasteryPerSett,G1082)*tun_OutMonastery*INDEX(LM_Monastery,G1082)</x:f>
        <x:v>0</x:v>
      </x:c>
      <x:c r="AM1082" s="32" t="n">
        <x:f>(AJ1082+AK1082+AL1082)/4*INDEX(LM_All,G1082)*INDEX(tun_Boon,G1082)*Arch_Insight</x:f>
        <x:v>0</x:v>
      </x:c>
      <x:c r="AN1082" s="32" t="n">
        <x:f>H1082*(tun_KHPerAdult*Z1082+tun_KHOfCommons*AJ1082/4*INDEX(LM_All,G1082))*tun_KHUsable*Arch_KH</x:f>
        <x:v>0</x:v>
      </x:c>
      <x:c r="AO1082" s="32" t="n">
        <x:f>MIN(AP1081+AN1082,AM1082*tun_KHMaxRatio)</x:f>
        <x:v>0</x:v>
      </x:c>
      <x:c r="AP1082" s="32" t="n">
        <x:f>AP1081+AN1082-AO1082</x:f>
        <x:v>0</x:v>
      </x:c>
      <x:c r="AQ1082" s="32" t="n">
        <x:f>AM1082+AO1082</x:f>
        <x:v>0</x:v>
      </x:c>
      <x:c r="AR1082" s="10" t="n">
        <x:f>IF(H1082=1,INDEX(tun_Req,G1082),0)</x:f>
        <x:v>0</x:v>
      </x:c>
      <x:c r="AS1082" s="32" t="n">
        <x:f>IF(H1082=1,IF(E1082=1,AS1081-AR1081,AS1081)+AQ1082,0)</x:f>
        <x:v>0</x:v>
      </x:c>
      <x:c r="AT1082" s="11" t="n">
        <x:f>IF(AR1082&gt;0,MIN(1,AS1082/AR1082),1)</x:f>
        <x:v>1</x:v>
      </x:c>
      <x:c r="AU1082" s="10" t="n">
        <x:f>AB1082/INDEX(tun_RepScale,G1082)</x:f>
        <x:v>290.3368848566301</x:v>
      </x:c>
      <x:c r="AV1082" s="32" t="n">
        <x:f>AM1082*60/tun_SeasonSeconds</x:f>
        <x:v>0</x:v>
      </x:c>
    </x:row>
    <x:row r="1083">
      <x:c r="A1083" s="8" t="n">
        <x:f>A1082+1</x:f>
        <x:v>1080</x:v>
      </x:c>
      <x:c r="B1083" s="9" t="n">
        <x:f>A1083*tun_SeasonSeconds/60</x:f>
        <x:v>270</x:v>
      </x:c>
      <x:c r="C1083" s="9" t="n">
        <x:f>A1083/4</x:f>
        <x:v>270</x:v>
      </x:c>
      <x:c r="D1083" s="8" t="n">
        <x:f>IF(MOD(A1083,4)=0,1,0)</x:f>
        <x:v>1</x:v>
      </x:c>
      <x:c r="E1083" s="8" t="n">
        <x:f>IF(AND(F1082&lt;=9,AS1082&gt;=AR1082),1,0)</x:f>
        <x:v>0</x:v>
      </x:c>
      <x:c r="F1083" s="8" t="n">
        <x:f>MIN(10,F1082+E1083)</x:f>
        <x:v>10</x:v>
      </x:c>
      <x:c r="G1083" s="8" t="n">
        <x:f>MIN(F1083,9)+1</x:f>
        <x:v>10</x:v>
      </x:c>
      <x:c r="H1083" s="8" t="n">
        <x:f>IF(F1083&lt;=9,1,0)</x:f>
        <x:v>0</x:v>
      </x:c>
      <x:c r="I1083" s="9" t="n">
        <x:f>MIN(10,F1082+IF(AR1082&gt;0,MIN(1,AS1082/AR1082),1))</x:f>
        <x:v>10</x:v>
      </x:c>
      <x:c r="J1083" s="32" t="n">
        <x:f>INDEX(tun_FoodCap,G1083)*Arch_FoodCap*EXP(tun_CapsByProject*SUMPRODUCT((Cap_Point&lt;=I1083)*(Cap_Kind="Food")*Cap_Ln))</x:f>
        <x:v>18627.260449441455</x:v>
      </x:c>
      <x:c r="K1083" s="32" t="n">
        <x:f>J1083*MIN(1,tun_LeanBase*EXP(tun_CapsByProject*SUMPRODUCT((Cap_Point&lt;=I1083)*(Cap_Kind="Lean")*Cap_Ln)))</x:f>
        <x:v>18627.260449441455</x:v>
      </x:c>
      <x:c r="L1083" s="10" t="n">
        <x:f>INDEX(tun_HousingCap,G1083)*EXP(tun_CapsByProject*SUMPRODUCT((Cap_Point&lt;=I1083)*(Cap_Kind="Housing")*Cap_Ln))</x:f>
        <x:v>20528.974303173167</x:v>
      </x:c>
      <x:c r="M1083" s="10" t="n">
        <x:f>INDEX(tun_GroupCap,G1083)*tun_CohesionFactor*EXP(tun_CapsByProject*SUMPRODUCT((Cap_Point&lt;=I1083)*(Cap_Kind="Group")*Cap_Ln))</x:f>
        <x:v>1000000.000000001</x:v>
      </x:c>
      <x:c r="N1083" s="32" t="n">
        <x:f>MIN(J1083,L1083,M1083)</x:f>
        <x:v>18627.260449441455</x:v>
      </x:c>
      <x:c r="O1083" s="10" t="n">
        <x:f>AE1082*N1083</x:f>
        <x:v>167645.34404497308</x:v>
      </x:c>
      <x:c r="P1083" s="9" t="n">
        <x:f>MIN(1,(AB1082/(AE1082*IF(tun_GroupInCrowding=1,N1083,MIN(J1083,L1083))))^tun_CrowdingExp)</x:f>
        <x:v>0.4215841981292809</x:v>
      </x:c>
      <x:c r="Q1083" s="9" t="n">
        <x:f>IF(D1083=1,INDEX(tun_WinterMult,G1083),1)</x:f>
        <x:v>1.05</x:v>
      </x:c>
      <x:c r="R1083" s="9" t="n">
        <x:f>H1083*Z1082*tun_WomenShare*tun_BaseFertility*INDEX(tun_FertMult,G1083)*Arch_Fertility*(1-P1083)</x:f>
        <x:v>0</x:v>
      </x:c>
      <x:c r="S1083" s="9" t="n">
        <x:f>H1083*Y1082*INDEX(tun_MortChild,G1083)/4*Q1083</x:f>
        <x:v>0</x:v>
      </x:c>
      <x:c r="T1083" s="9" t="n">
        <x:f>H1083*Z1082*INDEX(tun_MortAdult,G1083)*Arch_AdultMort/4*Q1083</x:f>
        <x:v>0</x:v>
      </x:c>
      <x:c r="U1083" s="9" t="n">
        <x:f>H1083*AA1082*INDEX(tun_MortElder,G1083)/4*Q1083</x:f>
        <x:v>0</x:v>
      </x:c>
      <x:c r="V1083" s="9" t="n">
        <x:f>H1083*MAX(0,AB1082-O1083)*tun_OvercapLoss</x:f>
        <x:v>0</x:v>
      </x:c>
      <x:c r="W1083" s="9" t="n">
        <x:f>H1083*Y1082/(tun_ChildYears*4)</x:f>
        <x:v>0</x:v>
      </x:c>
      <x:c r="X1083" s="9" t="n">
        <x:f>H1083*Z1082/(tun_AdultYears*4)</x:f>
        <x:v>0</x:v>
      </x:c>
      <x:c r="Y1083" s="32" t="n">
        <x:f>Y1082+R1083-S1083-W1083-Y1082*V1083/AB1082</x:f>
        <x:v>40496.20709015643</x:v>
      </x:c>
      <x:c r="Z1083" s="32" t="n">
        <x:f>Z1082+W1083-X1083-T1083-Z1082*V1083/AB1082</x:f>
        <x:v>59141.61122890803</x:v>
      </x:c>
      <x:c r="AA1083" s="32" t="n">
        <x:f>AA1082+X1083-U1083-AA1082*V1083/AB1082</x:f>
        <x:v>45530.62410925061</x:v>
      </x:c>
      <x:c r="AB1083" s="10" t="n">
        <x:f>Y1083+Z1083+AA1083</x:f>
        <x:v>145168.44242831506</x:v>
      </x:c>
      <x:c r="AC1083" s="8" t="n">
        <x:f>IF(AND(tun_WinterTrigger=1,D1083=1,AB1082/AE1082&gt;=K1083),1,0)</x:f>
        <x:v>0</x:v>
      </x:c>
      <x:c r="AD1083" s="8" t="n">
        <x:f>H1083*IF(AND(OR(AB1082/AE1082&gt;=tun_FissionTrigger*N1083,AC1083=1),AB1082/AE1082*tun_DaughterShare&gt;=tun_MinDaughter),MAX(1,ROUND(AE1082*tun_FissionRate,0)),0)</x:f>
        <x:v>0</x:v>
      </x:c>
      <x:c r="AE1083" s="8" t="n">
        <x:f>IF(H1083=1,MAX(1,MIN(INDEX(tun_Smax,G1083),AE1082+AD1083)),AE1082)</x:f>
        <x:v>9</x:v>
      </x:c>
      <x:c r="AF1083" s="8" t="n">
        <x:f>MAX(0,AE1083-AE1082)</x:f>
        <x:v>0</x:v>
      </x:c>
      <x:c r="AG1083" s="9" t="str">
        <x:f>IF(AF1083&gt;0,B1083,"")</x:f>
      </x:c>
      <x:c r="AH1083" s="9" t="n">
        <x:f>IF(F1083&gt;=1,1,(1+tun_LowTiesShare*(AE1083-1))/AE1083)</x:f>
        <x:v>1</x:v>
      </x:c>
      <x:c r="AI1083" s="32" t="n">
        <x:f>(Z1083+tun_ElderCommons*INDEX(LM_Elder,G1083)*AA1083)*AH1083</x:f>
        <x:v>238215.0665857503</x:v>
      </x:c>
      <x:c r="AJ1083" s="32" t="n">
        <x:f>H1083*tun_CommonsCoef*AI1083^tun_CommonsExp*INDEX(LM_Commons,G1083)</x:f>
        <x:v>0</x:v>
      </x:c>
      <x:c r="AK1083" s="32" t="n">
        <x:f>H1083*tun_RoleScale*Arch_Roles*(AE1083*(INDEX(tun_ElderRolePerSett,G1083)*tun_OutElder*INDEX(LM_Elder,G1083)+INDEX(tun_ShamanPerSett,G1083)*tun_OutShaman)+Z1083*(INDEX(tun_PriestShare,G1083)*tun_OutPriest+INDEX(tun_ScribeShare,G1083)*tun_OutScribe*INDEX(LM_Scribe,G1083)+INDEX(tun_ScholarShare,G1083)*tun_OutScholar*INDEX(LM_Scholar,G1083)+INDEX(tun_ResearcherShare,G1083)*tun_OutResearcher*INDEX(LM_Researcher,G1083)))</x:f>
        <x:v>0</x:v>
      </x:c>
      <x:c r="AL1083" s="32" t="n">
        <x:f>H1083*tun_RoleScale*Arch_Roles*AE1083*INDEX(tun_MonasteryPerSett,G1083)*tun_OutMonastery*INDEX(LM_Monastery,G1083)</x:f>
        <x:v>0</x:v>
      </x:c>
      <x:c r="AM1083" s="32" t="n">
        <x:f>(AJ1083+AK1083+AL1083)/4*INDEX(LM_All,G1083)*INDEX(tun_Boon,G1083)*Arch_Insight</x:f>
        <x:v>0</x:v>
      </x:c>
      <x:c r="AN1083" s="32" t="n">
        <x:f>H1083*(tun_KHPerAdult*Z1083+tun_KHOfCommons*AJ1083/4*INDEX(LM_All,G1083))*tun_KHUsable*Arch_KH</x:f>
        <x:v>0</x:v>
      </x:c>
      <x:c r="AO1083" s="32" t="n">
        <x:f>MIN(AP1082+AN1083,AM1083*tun_KHMaxRatio)</x:f>
        <x:v>0</x:v>
      </x:c>
      <x:c r="AP1083" s="32" t="n">
        <x:f>AP1082+AN1083-AO1083</x:f>
        <x:v>0</x:v>
      </x:c>
      <x:c r="AQ1083" s="32" t="n">
        <x:f>AM1083+AO1083</x:f>
        <x:v>0</x:v>
      </x:c>
      <x:c r="AR1083" s="10" t="n">
        <x:f>IF(H1083=1,INDEX(tun_Req,G1083),0)</x:f>
        <x:v>0</x:v>
      </x:c>
      <x:c r="AS1083" s="32" t="n">
        <x:f>IF(H1083=1,IF(E1083=1,AS1082-AR1082,AS1082)+AQ1083,0)</x:f>
        <x:v>0</x:v>
      </x:c>
      <x:c r="AT1083" s="11" t="n">
        <x:f>IF(AR1083&gt;0,MIN(1,AS1083/AR1083),1)</x:f>
        <x:v>1</x:v>
      </x:c>
      <x:c r="AU1083" s="10" t="n">
        <x:f>AB1083/INDEX(tun_RepScale,G1083)</x:f>
        <x:v>290.3368848566301</x:v>
      </x:c>
      <x:c r="AV1083" s="32" t="n">
        <x:f>AM1083*60/tun_SeasonSeconds</x:f>
        <x:v>0</x:v>
      </x:c>
    </x:row>
    <x:row r="1084">
      <x:c r="A1084" s="8" t="n">
        <x:f>A1083+1</x:f>
        <x:v>1081</x:v>
      </x:c>
      <x:c r="B1084" s="9" t="n">
        <x:f>A1084*tun_SeasonSeconds/60</x:f>
        <x:v>270.25</x:v>
      </x:c>
      <x:c r="C1084" s="9" t="n">
        <x:f>A1084/4</x:f>
        <x:v>270.25</x:v>
      </x:c>
      <x:c r="D1084" s="8" t="n">
        <x:f>IF(MOD(A1084,4)=0,1,0)</x:f>
        <x:v>0</x:v>
      </x:c>
      <x:c r="E1084" s="8" t="n">
        <x:f>IF(AND(F1083&lt;=9,AS1083&gt;=AR1083),1,0)</x:f>
        <x:v>0</x:v>
      </x:c>
      <x:c r="F1084" s="8" t="n">
        <x:f>MIN(10,F1083+E1084)</x:f>
        <x:v>10</x:v>
      </x:c>
      <x:c r="G1084" s="8" t="n">
        <x:f>MIN(F1084,9)+1</x:f>
        <x:v>10</x:v>
      </x:c>
      <x:c r="H1084" s="8" t="n">
        <x:f>IF(F1084&lt;=9,1,0)</x:f>
        <x:v>0</x:v>
      </x:c>
      <x:c r="I1084" s="9" t="n">
        <x:f>MIN(10,F1083+IF(AR1083&gt;0,MIN(1,AS1083/AR1083),1))</x:f>
        <x:v>10</x:v>
      </x:c>
      <x:c r="J1084" s="32" t="n">
        <x:f>INDEX(tun_FoodCap,G1084)*Arch_FoodCap*EXP(tun_CapsByProject*SUMPRODUCT((Cap_Point&lt;=I1084)*(Cap_Kind="Food")*Cap_Ln))</x:f>
        <x:v>18627.260449441455</x:v>
      </x:c>
      <x:c r="K1084" s="32" t="n">
        <x:f>J1084*MIN(1,tun_LeanBase*EXP(tun_CapsByProject*SUMPRODUCT((Cap_Point&lt;=I1084)*(Cap_Kind="Lean")*Cap_Ln)))</x:f>
        <x:v>18627.260449441455</x:v>
      </x:c>
      <x:c r="L1084" s="10" t="n">
        <x:f>INDEX(tun_HousingCap,G1084)*EXP(tun_CapsByProject*SUMPRODUCT((Cap_Point&lt;=I1084)*(Cap_Kind="Housing")*Cap_Ln))</x:f>
        <x:v>20528.974303173167</x:v>
      </x:c>
      <x:c r="M1084" s="10" t="n">
        <x:f>INDEX(tun_GroupCap,G1084)*tun_CohesionFactor*EXP(tun_CapsByProject*SUMPRODUCT((Cap_Point&lt;=I1084)*(Cap_Kind="Group")*Cap_Ln))</x:f>
        <x:v>1000000.000000001</x:v>
      </x:c>
      <x:c r="N1084" s="32" t="n">
        <x:f>MIN(J1084,L1084,M1084)</x:f>
        <x:v>18627.260449441455</x:v>
      </x:c>
      <x:c r="O1084" s="10" t="n">
        <x:f>AE1083*N1084</x:f>
        <x:v>167645.34404497308</x:v>
      </x:c>
      <x:c r="P1084" s="9" t="n">
        <x:f>MIN(1,(AB1083/(AE1083*IF(tun_GroupInCrowding=1,N1084,MIN(J1084,L1084))))^tun_CrowdingExp)</x:f>
        <x:v>0.4215841981292809</x:v>
      </x:c>
      <x:c r="Q1084" s="9" t="n">
        <x:f>IF(D1084=1,INDEX(tun_WinterMult,G1084),1)</x:f>
        <x:v>1</x:v>
      </x:c>
      <x:c r="R1084" s="9" t="n">
        <x:f>H1084*Z1083*tun_WomenShare*tun_BaseFertility*INDEX(tun_FertMult,G1084)*Arch_Fertility*(1-P1084)</x:f>
        <x:v>0</x:v>
      </x:c>
      <x:c r="S1084" s="9" t="n">
        <x:f>H1084*Y1083*INDEX(tun_MortChild,G1084)/4*Q1084</x:f>
        <x:v>0</x:v>
      </x:c>
      <x:c r="T1084" s="9" t="n">
        <x:f>H1084*Z1083*INDEX(tun_MortAdult,G1084)*Arch_AdultMort/4*Q1084</x:f>
        <x:v>0</x:v>
      </x:c>
      <x:c r="U1084" s="9" t="n">
        <x:f>H1084*AA1083*INDEX(tun_MortElder,G1084)/4*Q1084</x:f>
        <x:v>0</x:v>
      </x:c>
      <x:c r="V1084" s="9" t="n">
        <x:f>H1084*MAX(0,AB1083-O1084)*tun_OvercapLoss</x:f>
        <x:v>0</x:v>
      </x:c>
      <x:c r="W1084" s="9" t="n">
        <x:f>H1084*Y1083/(tun_ChildYears*4)</x:f>
        <x:v>0</x:v>
      </x:c>
      <x:c r="X1084" s="9" t="n">
        <x:f>H1084*Z1083/(tun_AdultYears*4)</x:f>
        <x:v>0</x:v>
      </x:c>
      <x:c r="Y1084" s="32" t="n">
        <x:f>Y1083+R1084-S1084-W1084-Y1083*V1084/AB1083</x:f>
        <x:v>40496.20709015643</x:v>
      </x:c>
      <x:c r="Z1084" s="32" t="n">
        <x:f>Z1083+W1084-X1084-T1084-Z1083*V1084/AB1083</x:f>
        <x:v>59141.61122890803</x:v>
      </x:c>
      <x:c r="AA1084" s="32" t="n">
        <x:f>AA1083+X1084-U1084-AA1083*V1084/AB1083</x:f>
        <x:v>45530.62410925061</x:v>
      </x:c>
      <x:c r="AB1084" s="10" t="n">
        <x:f>Y1084+Z1084+AA1084</x:f>
        <x:v>145168.44242831506</x:v>
      </x:c>
      <x:c r="AC1084" s="8" t="n">
        <x:f>IF(AND(tun_WinterTrigger=1,D1084=1,AB1083/AE1083&gt;=K1084),1,0)</x:f>
        <x:v>0</x:v>
      </x:c>
      <x:c r="AD1084" s="8" t="n">
        <x:f>H1084*IF(AND(OR(AB1083/AE1083&gt;=tun_FissionTrigger*N1084,AC1084=1),AB1083/AE1083*tun_DaughterShare&gt;=tun_MinDaughter),MAX(1,ROUND(AE1083*tun_FissionRate,0)),0)</x:f>
        <x:v>0</x:v>
      </x:c>
      <x:c r="AE1084" s="8" t="n">
        <x:f>IF(H1084=1,MAX(1,MIN(INDEX(tun_Smax,G1084),AE1083+AD1084)),AE1083)</x:f>
        <x:v>9</x:v>
      </x:c>
      <x:c r="AF1084" s="8" t="n">
        <x:f>MAX(0,AE1084-AE1083)</x:f>
        <x:v>0</x:v>
      </x:c>
      <x:c r="AG1084" s="9" t="str">
        <x:f>IF(AF1084&gt;0,B1084,"")</x:f>
      </x:c>
      <x:c r="AH1084" s="9" t="n">
        <x:f>IF(F1084&gt;=1,1,(1+tun_LowTiesShare*(AE1084-1))/AE1084)</x:f>
        <x:v>1</x:v>
      </x:c>
      <x:c r="AI1084" s="32" t="n">
        <x:f>(Z1084+tun_ElderCommons*INDEX(LM_Elder,G1084)*AA1084)*AH1084</x:f>
        <x:v>238215.0665857503</x:v>
      </x:c>
      <x:c r="AJ1084" s="32" t="n">
        <x:f>H1084*tun_CommonsCoef*AI1084^tun_CommonsExp*INDEX(LM_Commons,G1084)</x:f>
        <x:v>0</x:v>
      </x:c>
      <x:c r="AK1084" s="32" t="n">
        <x:f>H1084*tun_RoleScale*Arch_Roles*(AE1084*(INDEX(tun_ElderRolePerSett,G1084)*tun_OutElder*INDEX(LM_Elder,G1084)+INDEX(tun_ShamanPerSett,G1084)*tun_OutShaman)+Z1084*(INDEX(tun_PriestShare,G1084)*tun_OutPriest+INDEX(tun_ScribeShare,G1084)*tun_OutScribe*INDEX(LM_Scribe,G1084)+INDEX(tun_ScholarShare,G1084)*tun_OutScholar*INDEX(LM_Scholar,G1084)+INDEX(tun_ResearcherShare,G1084)*tun_OutResearcher*INDEX(LM_Researcher,G1084)))</x:f>
        <x:v>0</x:v>
      </x:c>
      <x:c r="AL1084" s="32" t="n">
        <x:f>H1084*tun_RoleScale*Arch_Roles*AE1084*INDEX(tun_MonasteryPerSett,G1084)*tun_OutMonastery*INDEX(LM_Monastery,G1084)</x:f>
        <x:v>0</x:v>
      </x:c>
      <x:c r="AM1084" s="32" t="n">
        <x:f>(AJ1084+AK1084+AL1084)/4*INDEX(LM_All,G1084)*INDEX(tun_Boon,G1084)*Arch_Insight</x:f>
        <x:v>0</x:v>
      </x:c>
      <x:c r="AN1084" s="32" t="n">
        <x:f>H1084*(tun_KHPerAdult*Z1084+tun_KHOfCommons*AJ1084/4*INDEX(LM_All,G1084))*tun_KHUsable*Arch_KH</x:f>
        <x:v>0</x:v>
      </x:c>
      <x:c r="AO1084" s="32" t="n">
        <x:f>MIN(AP1083+AN1084,AM1084*tun_KHMaxRatio)</x:f>
        <x:v>0</x:v>
      </x:c>
      <x:c r="AP1084" s="32" t="n">
        <x:f>AP1083+AN1084-AO1084</x:f>
        <x:v>0</x:v>
      </x:c>
      <x:c r="AQ1084" s="32" t="n">
        <x:f>AM1084+AO1084</x:f>
        <x:v>0</x:v>
      </x:c>
      <x:c r="AR1084" s="10" t="n">
        <x:f>IF(H1084=1,INDEX(tun_Req,G1084),0)</x:f>
        <x:v>0</x:v>
      </x:c>
      <x:c r="AS1084" s="32" t="n">
        <x:f>IF(H1084=1,IF(E1084=1,AS1083-AR1083,AS1083)+AQ1084,0)</x:f>
        <x:v>0</x:v>
      </x:c>
      <x:c r="AT1084" s="11" t="n">
        <x:f>IF(AR1084&gt;0,MIN(1,AS1084/AR1084),1)</x:f>
        <x:v>1</x:v>
      </x:c>
      <x:c r="AU1084" s="10" t="n">
        <x:f>AB1084/INDEX(tun_RepScale,G1084)</x:f>
        <x:v>290.3368848566301</x:v>
      </x:c>
      <x:c r="AV1084" s="32" t="n">
        <x:f>AM1084*60/tun_SeasonSeconds</x:f>
        <x:v>0</x:v>
      </x:c>
    </x:row>
    <x:row r="1085">
      <x:c r="A1085" s="8" t="n">
        <x:f>A1084+1</x:f>
        <x:v>1082</x:v>
      </x:c>
      <x:c r="B1085" s="9" t="n">
        <x:f>A1085*tun_SeasonSeconds/60</x:f>
        <x:v>270.5</x:v>
      </x:c>
      <x:c r="C1085" s="9" t="n">
        <x:f>A1085/4</x:f>
        <x:v>270.5</x:v>
      </x:c>
      <x:c r="D1085" s="8" t="n">
        <x:f>IF(MOD(A1085,4)=0,1,0)</x:f>
        <x:v>0</x:v>
      </x:c>
      <x:c r="E1085" s="8" t="n">
        <x:f>IF(AND(F1084&lt;=9,AS1084&gt;=AR1084),1,0)</x:f>
        <x:v>0</x:v>
      </x:c>
      <x:c r="F1085" s="8" t="n">
        <x:f>MIN(10,F1084+E1085)</x:f>
        <x:v>10</x:v>
      </x:c>
      <x:c r="G1085" s="8" t="n">
        <x:f>MIN(F1085,9)+1</x:f>
        <x:v>10</x:v>
      </x:c>
      <x:c r="H1085" s="8" t="n">
        <x:f>IF(F1085&lt;=9,1,0)</x:f>
        <x:v>0</x:v>
      </x:c>
      <x:c r="I1085" s="9" t="n">
        <x:f>MIN(10,F1084+IF(AR1084&gt;0,MIN(1,AS1084/AR1084),1))</x:f>
        <x:v>10</x:v>
      </x:c>
      <x:c r="J1085" s="32" t="n">
        <x:f>INDEX(tun_FoodCap,G1085)*Arch_FoodCap*EXP(tun_CapsByProject*SUMPRODUCT((Cap_Point&lt;=I1085)*(Cap_Kind="Food")*Cap_Ln))</x:f>
        <x:v>18627.260449441455</x:v>
      </x:c>
      <x:c r="K1085" s="32" t="n">
        <x:f>J1085*MIN(1,tun_LeanBase*EXP(tun_CapsByProject*SUMPRODUCT((Cap_Point&lt;=I1085)*(Cap_Kind="Lean")*Cap_Ln)))</x:f>
        <x:v>18627.260449441455</x:v>
      </x:c>
      <x:c r="L1085" s="10" t="n">
        <x:f>INDEX(tun_HousingCap,G1085)*EXP(tun_CapsByProject*SUMPRODUCT((Cap_Point&lt;=I1085)*(Cap_Kind="Housing")*Cap_Ln))</x:f>
        <x:v>20528.974303173167</x:v>
      </x:c>
      <x:c r="M1085" s="10" t="n">
        <x:f>INDEX(tun_GroupCap,G1085)*tun_CohesionFactor*EXP(tun_CapsByProject*SUMPRODUCT((Cap_Point&lt;=I1085)*(Cap_Kind="Group")*Cap_Ln))</x:f>
        <x:v>1000000.000000001</x:v>
      </x:c>
      <x:c r="N1085" s="32" t="n">
        <x:f>MIN(J1085,L1085,M1085)</x:f>
        <x:v>18627.260449441455</x:v>
      </x:c>
      <x:c r="O1085" s="10" t="n">
        <x:f>AE1084*N1085</x:f>
        <x:v>167645.34404497308</x:v>
      </x:c>
      <x:c r="P1085" s="9" t="n">
        <x:f>MIN(1,(AB1084/(AE1084*IF(tun_GroupInCrowding=1,N1085,MIN(J1085,L1085))))^tun_CrowdingExp)</x:f>
        <x:v>0.4215841981292809</x:v>
      </x:c>
      <x:c r="Q1085" s="9" t="n">
        <x:f>IF(D1085=1,INDEX(tun_WinterMult,G1085),1)</x:f>
        <x:v>1</x:v>
      </x:c>
      <x:c r="R1085" s="9" t="n">
        <x:f>H1085*Z1084*tun_WomenShare*tun_BaseFertility*INDEX(tun_FertMult,G1085)*Arch_Fertility*(1-P1085)</x:f>
        <x:v>0</x:v>
      </x:c>
      <x:c r="S1085" s="9" t="n">
        <x:f>H1085*Y1084*INDEX(tun_MortChild,G1085)/4*Q1085</x:f>
        <x:v>0</x:v>
      </x:c>
      <x:c r="T1085" s="9" t="n">
        <x:f>H1085*Z1084*INDEX(tun_MortAdult,G1085)*Arch_AdultMort/4*Q1085</x:f>
        <x:v>0</x:v>
      </x:c>
      <x:c r="U1085" s="9" t="n">
        <x:f>H1085*AA1084*INDEX(tun_MortElder,G1085)/4*Q1085</x:f>
        <x:v>0</x:v>
      </x:c>
      <x:c r="V1085" s="9" t="n">
        <x:f>H1085*MAX(0,AB1084-O1085)*tun_OvercapLoss</x:f>
        <x:v>0</x:v>
      </x:c>
      <x:c r="W1085" s="9" t="n">
        <x:f>H1085*Y1084/(tun_ChildYears*4)</x:f>
        <x:v>0</x:v>
      </x:c>
      <x:c r="X1085" s="9" t="n">
        <x:f>H1085*Z1084/(tun_AdultYears*4)</x:f>
        <x:v>0</x:v>
      </x:c>
      <x:c r="Y1085" s="32" t="n">
        <x:f>Y1084+R1085-S1085-W1085-Y1084*V1085/AB1084</x:f>
        <x:v>40496.20709015643</x:v>
      </x:c>
      <x:c r="Z1085" s="32" t="n">
        <x:f>Z1084+W1085-X1085-T1085-Z1084*V1085/AB1084</x:f>
        <x:v>59141.61122890803</x:v>
      </x:c>
      <x:c r="AA1085" s="32" t="n">
        <x:f>AA1084+X1085-U1085-AA1084*V1085/AB1084</x:f>
        <x:v>45530.62410925061</x:v>
      </x:c>
      <x:c r="AB1085" s="10" t="n">
        <x:f>Y1085+Z1085+AA1085</x:f>
        <x:v>145168.44242831506</x:v>
      </x:c>
      <x:c r="AC1085" s="8" t="n">
        <x:f>IF(AND(tun_WinterTrigger=1,D1085=1,AB1084/AE1084&gt;=K1085),1,0)</x:f>
        <x:v>0</x:v>
      </x:c>
      <x:c r="AD1085" s="8" t="n">
        <x:f>H1085*IF(AND(OR(AB1084/AE1084&gt;=tun_FissionTrigger*N1085,AC1085=1),AB1084/AE1084*tun_DaughterShare&gt;=tun_MinDaughter),MAX(1,ROUND(AE1084*tun_FissionRate,0)),0)</x:f>
        <x:v>0</x:v>
      </x:c>
      <x:c r="AE1085" s="8" t="n">
        <x:f>IF(H1085=1,MAX(1,MIN(INDEX(tun_Smax,G1085),AE1084+AD1085)),AE1084)</x:f>
        <x:v>9</x:v>
      </x:c>
      <x:c r="AF1085" s="8" t="n">
        <x:f>MAX(0,AE1085-AE1084)</x:f>
        <x:v>0</x:v>
      </x:c>
      <x:c r="AG1085" s="9" t="str">
        <x:f>IF(AF1085&gt;0,B1085,"")</x:f>
      </x:c>
      <x:c r="AH1085" s="9" t="n">
        <x:f>IF(F1085&gt;=1,1,(1+tun_LowTiesShare*(AE1085-1))/AE1085)</x:f>
        <x:v>1</x:v>
      </x:c>
      <x:c r="AI1085" s="32" t="n">
        <x:f>(Z1085+tun_ElderCommons*INDEX(LM_Elder,G1085)*AA1085)*AH1085</x:f>
        <x:v>238215.0665857503</x:v>
      </x:c>
      <x:c r="AJ1085" s="32" t="n">
        <x:f>H1085*tun_CommonsCoef*AI1085^tun_CommonsExp*INDEX(LM_Commons,G1085)</x:f>
        <x:v>0</x:v>
      </x:c>
      <x:c r="AK1085" s="32" t="n">
        <x:f>H1085*tun_RoleScale*Arch_Roles*(AE1085*(INDEX(tun_ElderRolePerSett,G1085)*tun_OutElder*INDEX(LM_Elder,G1085)+INDEX(tun_ShamanPerSett,G1085)*tun_OutShaman)+Z1085*(INDEX(tun_PriestShare,G1085)*tun_OutPriest+INDEX(tun_ScribeShare,G1085)*tun_OutScribe*INDEX(LM_Scribe,G1085)+INDEX(tun_ScholarShare,G1085)*tun_OutScholar*INDEX(LM_Scholar,G1085)+INDEX(tun_ResearcherShare,G1085)*tun_OutResearcher*INDEX(LM_Researcher,G1085)))</x:f>
        <x:v>0</x:v>
      </x:c>
      <x:c r="AL1085" s="32" t="n">
        <x:f>H1085*tun_RoleScale*Arch_Roles*AE1085*INDEX(tun_MonasteryPerSett,G1085)*tun_OutMonastery*INDEX(LM_Monastery,G1085)</x:f>
        <x:v>0</x:v>
      </x:c>
      <x:c r="AM1085" s="32" t="n">
        <x:f>(AJ1085+AK1085+AL1085)/4*INDEX(LM_All,G1085)*INDEX(tun_Boon,G1085)*Arch_Insight</x:f>
        <x:v>0</x:v>
      </x:c>
      <x:c r="AN1085" s="32" t="n">
        <x:f>H1085*(tun_KHPerAdult*Z1085+tun_KHOfCommons*AJ1085/4*INDEX(LM_All,G1085))*tun_KHUsable*Arch_KH</x:f>
        <x:v>0</x:v>
      </x:c>
      <x:c r="AO1085" s="32" t="n">
        <x:f>MIN(AP1084+AN1085,AM1085*tun_KHMaxRatio)</x:f>
        <x:v>0</x:v>
      </x:c>
      <x:c r="AP1085" s="32" t="n">
        <x:f>AP1084+AN1085-AO1085</x:f>
        <x:v>0</x:v>
      </x:c>
      <x:c r="AQ1085" s="32" t="n">
        <x:f>AM1085+AO1085</x:f>
        <x:v>0</x:v>
      </x:c>
      <x:c r="AR1085" s="10" t="n">
        <x:f>IF(H1085=1,INDEX(tun_Req,G1085),0)</x:f>
        <x:v>0</x:v>
      </x:c>
      <x:c r="AS1085" s="32" t="n">
        <x:f>IF(H1085=1,IF(E1085=1,AS1084-AR1084,AS1084)+AQ1085,0)</x:f>
        <x:v>0</x:v>
      </x:c>
      <x:c r="AT1085" s="11" t="n">
        <x:f>IF(AR1085&gt;0,MIN(1,AS1085/AR1085),1)</x:f>
        <x:v>1</x:v>
      </x:c>
      <x:c r="AU1085" s="10" t="n">
        <x:f>AB1085/INDEX(tun_RepScale,G1085)</x:f>
        <x:v>290.3368848566301</x:v>
      </x:c>
      <x:c r="AV1085" s="32" t="n">
        <x:f>AM1085*60/tun_SeasonSeconds</x:f>
        <x:v>0</x:v>
      </x:c>
    </x:row>
    <x:row r="1086">
      <x:c r="A1086" s="8" t="n">
        <x:f>A1085+1</x:f>
        <x:v>1083</x:v>
      </x:c>
      <x:c r="B1086" s="9" t="n">
        <x:f>A1086*tun_SeasonSeconds/60</x:f>
        <x:v>270.75</x:v>
      </x:c>
      <x:c r="C1086" s="9" t="n">
        <x:f>A1086/4</x:f>
        <x:v>270.75</x:v>
      </x:c>
      <x:c r="D1086" s="8" t="n">
        <x:f>IF(MOD(A1086,4)=0,1,0)</x:f>
        <x:v>0</x:v>
      </x:c>
      <x:c r="E1086" s="8" t="n">
        <x:f>IF(AND(F1085&lt;=9,AS1085&gt;=AR1085),1,0)</x:f>
        <x:v>0</x:v>
      </x:c>
      <x:c r="F1086" s="8" t="n">
        <x:f>MIN(10,F1085+E1086)</x:f>
        <x:v>10</x:v>
      </x:c>
      <x:c r="G1086" s="8" t="n">
        <x:f>MIN(F1086,9)+1</x:f>
        <x:v>10</x:v>
      </x:c>
      <x:c r="H1086" s="8" t="n">
        <x:f>IF(F1086&lt;=9,1,0)</x:f>
        <x:v>0</x:v>
      </x:c>
      <x:c r="I1086" s="9" t="n">
        <x:f>MIN(10,F1085+IF(AR1085&gt;0,MIN(1,AS1085/AR1085),1))</x:f>
        <x:v>10</x:v>
      </x:c>
      <x:c r="J1086" s="32" t="n">
        <x:f>INDEX(tun_FoodCap,G1086)*Arch_FoodCap*EXP(tun_CapsByProject*SUMPRODUCT((Cap_Point&lt;=I1086)*(Cap_Kind="Food")*Cap_Ln))</x:f>
        <x:v>18627.260449441455</x:v>
      </x:c>
      <x:c r="K1086" s="32" t="n">
        <x:f>J1086*MIN(1,tun_LeanBase*EXP(tun_CapsByProject*SUMPRODUCT((Cap_Point&lt;=I1086)*(Cap_Kind="Lean")*Cap_Ln)))</x:f>
        <x:v>18627.260449441455</x:v>
      </x:c>
      <x:c r="L1086" s="10" t="n">
        <x:f>INDEX(tun_HousingCap,G1086)*EXP(tun_CapsByProject*SUMPRODUCT((Cap_Point&lt;=I1086)*(Cap_Kind="Housing")*Cap_Ln))</x:f>
        <x:v>20528.974303173167</x:v>
      </x:c>
      <x:c r="M1086" s="10" t="n">
        <x:f>INDEX(tun_GroupCap,G1086)*tun_CohesionFactor*EXP(tun_CapsByProject*SUMPRODUCT((Cap_Point&lt;=I1086)*(Cap_Kind="Group")*Cap_Ln))</x:f>
        <x:v>1000000.000000001</x:v>
      </x:c>
      <x:c r="N1086" s="32" t="n">
        <x:f>MIN(J1086,L1086,M1086)</x:f>
        <x:v>18627.260449441455</x:v>
      </x:c>
      <x:c r="O1086" s="10" t="n">
        <x:f>AE1085*N1086</x:f>
        <x:v>167645.34404497308</x:v>
      </x:c>
      <x:c r="P1086" s="9" t="n">
        <x:f>MIN(1,(AB1085/(AE1085*IF(tun_GroupInCrowding=1,N1086,MIN(J1086,L1086))))^tun_CrowdingExp)</x:f>
        <x:v>0.4215841981292809</x:v>
      </x:c>
      <x:c r="Q1086" s="9" t="n">
        <x:f>IF(D1086=1,INDEX(tun_WinterMult,G1086),1)</x:f>
        <x:v>1</x:v>
      </x:c>
      <x:c r="R1086" s="9" t="n">
        <x:f>H1086*Z1085*tun_WomenShare*tun_BaseFertility*INDEX(tun_FertMult,G1086)*Arch_Fertility*(1-P1086)</x:f>
        <x:v>0</x:v>
      </x:c>
      <x:c r="S1086" s="9" t="n">
        <x:f>H1086*Y1085*INDEX(tun_MortChild,G1086)/4*Q1086</x:f>
        <x:v>0</x:v>
      </x:c>
      <x:c r="T1086" s="9" t="n">
        <x:f>H1086*Z1085*INDEX(tun_MortAdult,G1086)*Arch_AdultMort/4*Q1086</x:f>
        <x:v>0</x:v>
      </x:c>
      <x:c r="U1086" s="9" t="n">
        <x:f>H1086*AA1085*INDEX(tun_MortElder,G1086)/4*Q1086</x:f>
        <x:v>0</x:v>
      </x:c>
      <x:c r="V1086" s="9" t="n">
        <x:f>H1086*MAX(0,AB1085-O1086)*tun_OvercapLoss</x:f>
        <x:v>0</x:v>
      </x:c>
      <x:c r="W1086" s="9" t="n">
        <x:f>H1086*Y1085/(tun_ChildYears*4)</x:f>
        <x:v>0</x:v>
      </x:c>
      <x:c r="X1086" s="9" t="n">
        <x:f>H1086*Z1085/(tun_AdultYears*4)</x:f>
        <x:v>0</x:v>
      </x:c>
      <x:c r="Y1086" s="32" t="n">
        <x:f>Y1085+R1086-S1086-W1086-Y1085*V1086/AB1085</x:f>
        <x:v>40496.20709015643</x:v>
      </x:c>
      <x:c r="Z1086" s="32" t="n">
        <x:f>Z1085+W1086-X1086-T1086-Z1085*V1086/AB1085</x:f>
        <x:v>59141.61122890803</x:v>
      </x:c>
      <x:c r="AA1086" s="32" t="n">
        <x:f>AA1085+X1086-U1086-AA1085*V1086/AB1085</x:f>
        <x:v>45530.62410925061</x:v>
      </x:c>
      <x:c r="AB1086" s="10" t="n">
        <x:f>Y1086+Z1086+AA1086</x:f>
        <x:v>145168.44242831506</x:v>
      </x:c>
      <x:c r="AC1086" s="8" t="n">
        <x:f>IF(AND(tun_WinterTrigger=1,D1086=1,AB1085/AE1085&gt;=K1086),1,0)</x:f>
        <x:v>0</x:v>
      </x:c>
      <x:c r="AD1086" s="8" t="n">
        <x:f>H1086*IF(AND(OR(AB1085/AE1085&gt;=tun_FissionTrigger*N1086,AC1086=1),AB1085/AE1085*tun_DaughterShare&gt;=tun_MinDaughter),MAX(1,ROUND(AE1085*tun_FissionRate,0)),0)</x:f>
        <x:v>0</x:v>
      </x:c>
      <x:c r="AE1086" s="8" t="n">
        <x:f>IF(H1086=1,MAX(1,MIN(INDEX(tun_Smax,G1086),AE1085+AD1086)),AE1085)</x:f>
        <x:v>9</x:v>
      </x:c>
      <x:c r="AF1086" s="8" t="n">
        <x:f>MAX(0,AE1086-AE1085)</x:f>
        <x:v>0</x:v>
      </x:c>
      <x:c r="AG1086" s="9" t="str">
        <x:f>IF(AF1086&gt;0,B1086,"")</x:f>
      </x:c>
      <x:c r="AH1086" s="9" t="n">
        <x:f>IF(F1086&gt;=1,1,(1+tun_LowTiesShare*(AE1086-1))/AE1086)</x:f>
        <x:v>1</x:v>
      </x:c>
      <x:c r="AI1086" s="32" t="n">
        <x:f>(Z1086+tun_ElderCommons*INDEX(LM_Elder,G1086)*AA1086)*AH1086</x:f>
        <x:v>238215.0665857503</x:v>
      </x:c>
      <x:c r="AJ1086" s="32" t="n">
        <x:f>H1086*tun_CommonsCoef*AI1086^tun_CommonsExp*INDEX(LM_Commons,G1086)</x:f>
        <x:v>0</x:v>
      </x:c>
      <x:c r="AK1086" s="32" t="n">
        <x:f>H1086*tun_RoleScale*Arch_Roles*(AE1086*(INDEX(tun_ElderRolePerSett,G1086)*tun_OutElder*INDEX(LM_Elder,G1086)+INDEX(tun_ShamanPerSett,G1086)*tun_OutShaman)+Z1086*(INDEX(tun_PriestShare,G1086)*tun_OutPriest+INDEX(tun_ScribeShare,G1086)*tun_OutScribe*INDEX(LM_Scribe,G1086)+INDEX(tun_ScholarShare,G1086)*tun_OutScholar*INDEX(LM_Scholar,G1086)+INDEX(tun_ResearcherShare,G1086)*tun_OutResearcher*INDEX(LM_Researcher,G1086)))</x:f>
        <x:v>0</x:v>
      </x:c>
      <x:c r="AL1086" s="32" t="n">
        <x:f>H1086*tun_RoleScale*Arch_Roles*AE1086*INDEX(tun_MonasteryPerSett,G1086)*tun_OutMonastery*INDEX(LM_Monastery,G1086)</x:f>
        <x:v>0</x:v>
      </x:c>
      <x:c r="AM1086" s="32" t="n">
        <x:f>(AJ1086+AK1086+AL1086)/4*INDEX(LM_All,G1086)*INDEX(tun_Boon,G1086)*Arch_Insight</x:f>
        <x:v>0</x:v>
      </x:c>
      <x:c r="AN1086" s="32" t="n">
        <x:f>H1086*(tun_KHPerAdult*Z1086+tun_KHOfCommons*AJ1086/4*INDEX(LM_All,G1086))*tun_KHUsable*Arch_KH</x:f>
        <x:v>0</x:v>
      </x:c>
      <x:c r="AO1086" s="32" t="n">
        <x:f>MIN(AP1085+AN1086,AM1086*tun_KHMaxRatio)</x:f>
        <x:v>0</x:v>
      </x:c>
      <x:c r="AP1086" s="32" t="n">
        <x:f>AP1085+AN1086-AO1086</x:f>
        <x:v>0</x:v>
      </x:c>
      <x:c r="AQ1086" s="32" t="n">
        <x:f>AM1086+AO1086</x:f>
        <x:v>0</x:v>
      </x:c>
      <x:c r="AR1086" s="10" t="n">
        <x:f>IF(H1086=1,INDEX(tun_Req,G1086),0)</x:f>
        <x:v>0</x:v>
      </x:c>
      <x:c r="AS1086" s="32" t="n">
        <x:f>IF(H1086=1,IF(E1086=1,AS1085-AR1085,AS1085)+AQ1086,0)</x:f>
        <x:v>0</x:v>
      </x:c>
      <x:c r="AT1086" s="11" t="n">
        <x:f>IF(AR1086&gt;0,MIN(1,AS1086/AR1086),1)</x:f>
        <x:v>1</x:v>
      </x:c>
      <x:c r="AU1086" s="10" t="n">
        <x:f>AB1086/INDEX(tun_RepScale,G1086)</x:f>
        <x:v>290.3368848566301</x:v>
      </x:c>
      <x:c r="AV1086" s="32" t="n">
        <x:f>AM1086*60/tun_SeasonSeconds</x:f>
        <x:v>0</x:v>
      </x:c>
    </x:row>
    <x:row r="1087">
      <x:c r="A1087" s="8" t="n">
        <x:f>A1086+1</x:f>
        <x:v>1084</x:v>
      </x:c>
      <x:c r="B1087" s="9" t="n">
        <x:f>A1087*tun_SeasonSeconds/60</x:f>
        <x:v>271</x:v>
      </x:c>
      <x:c r="C1087" s="9" t="n">
        <x:f>A1087/4</x:f>
        <x:v>271</x:v>
      </x:c>
      <x:c r="D1087" s="8" t="n">
        <x:f>IF(MOD(A1087,4)=0,1,0)</x:f>
        <x:v>1</x:v>
      </x:c>
      <x:c r="E1087" s="8" t="n">
        <x:f>IF(AND(F1086&lt;=9,AS1086&gt;=AR1086),1,0)</x:f>
        <x:v>0</x:v>
      </x:c>
      <x:c r="F1087" s="8" t="n">
        <x:f>MIN(10,F1086+E1087)</x:f>
        <x:v>10</x:v>
      </x:c>
      <x:c r="G1087" s="8" t="n">
        <x:f>MIN(F1087,9)+1</x:f>
        <x:v>10</x:v>
      </x:c>
      <x:c r="H1087" s="8" t="n">
        <x:f>IF(F1087&lt;=9,1,0)</x:f>
        <x:v>0</x:v>
      </x:c>
      <x:c r="I1087" s="9" t="n">
        <x:f>MIN(10,F1086+IF(AR1086&gt;0,MIN(1,AS1086/AR1086),1))</x:f>
        <x:v>10</x:v>
      </x:c>
      <x:c r="J1087" s="32" t="n">
        <x:f>INDEX(tun_FoodCap,G1087)*Arch_FoodCap*EXP(tun_CapsByProject*SUMPRODUCT((Cap_Point&lt;=I1087)*(Cap_Kind="Food")*Cap_Ln))</x:f>
        <x:v>18627.260449441455</x:v>
      </x:c>
      <x:c r="K1087" s="32" t="n">
        <x:f>J1087*MIN(1,tun_LeanBase*EXP(tun_CapsByProject*SUMPRODUCT((Cap_Point&lt;=I1087)*(Cap_Kind="Lean")*Cap_Ln)))</x:f>
        <x:v>18627.260449441455</x:v>
      </x:c>
      <x:c r="L1087" s="10" t="n">
        <x:f>INDEX(tun_HousingCap,G1087)*EXP(tun_CapsByProject*SUMPRODUCT((Cap_Point&lt;=I1087)*(Cap_Kind="Housing")*Cap_Ln))</x:f>
        <x:v>20528.974303173167</x:v>
      </x:c>
      <x:c r="M1087" s="10" t="n">
        <x:f>INDEX(tun_GroupCap,G1087)*tun_CohesionFactor*EXP(tun_CapsByProject*SUMPRODUCT((Cap_Point&lt;=I1087)*(Cap_Kind="Group")*Cap_Ln))</x:f>
        <x:v>1000000.000000001</x:v>
      </x:c>
      <x:c r="N1087" s="32" t="n">
        <x:f>MIN(J1087,L1087,M1087)</x:f>
        <x:v>18627.260449441455</x:v>
      </x:c>
      <x:c r="O1087" s="10" t="n">
        <x:f>AE1086*N1087</x:f>
        <x:v>167645.34404497308</x:v>
      </x:c>
      <x:c r="P1087" s="9" t="n">
        <x:f>MIN(1,(AB1086/(AE1086*IF(tun_GroupInCrowding=1,N1087,MIN(J1087,L1087))))^tun_CrowdingExp)</x:f>
        <x:v>0.4215841981292809</x:v>
      </x:c>
      <x:c r="Q1087" s="9" t="n">
        <x:f>IF(D1087=1,INDEX(tun_WinterMult,G1087),1)</x:f>
        <x:v>1.05</x:v>
      </x:c>
      <x:c r="R1087" s="9" t="n">
        <x:f>H1087*Z1086*tun_WomenShare*tun_BaseFertility*INDEX(tun_FertMult,G1087)*Arch_Fertility*(1-P1087)</x:f>
        <x:v>0</x:v>
      </x:c>
      <x:c r="S1087" s="9" t="n">
        <x:f>H1087*Y1086*INDEX(tun_MortChild,G1087)/4*Q1087</x:f>
        <x:v>0</x:v>
      </x:c>
      <x:c r="T1087" s="9" t="n">
        <x:f>H1087*Z1086*INDEX(tun_MortAdult,G1087)*Arch_AdultMort/4*Q1087</x:f>
        <x:v>0</x:v>
      </x:c>
      <x:c r="U1087" s="9" t="n">
        <x:f>H1087*AA1086*INDEX(tun_MortElder,G1087)/4*Q1087</x:f>
        <x:v>0</x:v>
      </x:c>
      <x:c r="V1087" s="9" t="n">
        <x:f>H1087*MAX(0,AB1086-O1087)*tun_OvercapLoss</x:f>
        <x:v>0</x:v>
      </x:c>
      <x:c r="W1087" s="9" t="n">
        <x:f>H1087*Y1086/(tun_ChildYears*4)</x:f>
        <x:v>0</x:v>
      </x:c>
      <x:c r="X1087" s="9" t="n">
        <x:f>H1087*Z1086/(tun_AdultYears*4)</x:f>
        <x:v>0</x:v>
      </x:c>
      <x:c r="Y1087" s="32" t="n">
        <x:f>Y1086+R1087-S1087-W1087-Y1086*V1087/AB1086</x:f>
        <x:v>40496.20709015643</x:v>
      </x:c>
      <x:c r="Z1087" s="32" t="n">
        <x:f>Z1086+W1087-X1087-T1087-Z1086*V1087/AB1086</x:f>
        <x:v>59141.61122890803</x:v>
      </x:c>
      <x:c r="AA1087" s="32" t="n">
        <x:f>AA1086+X1087-U1087-AA1086*V1087/AB1086</x:f>
        <x:v>45530.62410925061</x:v>
      </x:c>
      <x:c r="AB1087" s="10" t="n">
        <x:f>Y1087+Z1087+AA1087</x:f>
        <x:v>145168.44242831506</x:v>
      </x:c>
      <x:c r="AC1087" s="8" t="n">
        <x:f>IF(AND(tun_WinterTrigger=1,D1087=1,AB1086/AE1086&gt;=K1087),1,0)</x:f>
        <x:v>0</x:v>
      </x:c>
      <x:c r="AD1087" s="8" t="n">
        <x:f>H1087*IF(AND(OR(AB1086/AE1086&gt;=tun_FissionTrigger*N1087,AC1087=1),AB1086/AE1086*tun_DaughterShare&gt;=tun_MinDaughter),MAX(1,ROUND(AE1086*tun_FissionRate,0)),0)</x:f>
        <x:v>0</x:v>
      </x:c>
      <x:c r="AE1087" s="8" t="n">
        <x:f>IF(H1087=1,MAX(1,MIN(INDEX(tun_Smax,G1087),AE1086+AD1087)),AE1086)</x:f>
        <x:v>9</x:v>
      </x:c>
      <x:c r="AF1087" s="8" t="n">
        <x:f>MAX(0,AE1087-AE1086)</x:f>
        <x:v>0</x:v>
      </x:c>
      <x:c r="AG1087" s="9" t="str">
        <x:f>IF(AF1087&gt;0,B1087,"")</x:f>
      </x:c>
      <x:c r="AH1087" s="9" t="n">
        <x:f>IF(F1087&gt;=1,1,(1+tun_LowTiesShare*(AE1087-1))/AE1087)</x:f>
        <x:v>1</x:v>
      </x:c>
      <x:c r="AI1087" s="32" t="n">
        <x:f>(Z1087+tun_ElderCommons*INDEX(LM_Elder,G1087)*AA1087)*AH1087</x:f>
        <x:v>238215.0665857503</x:v>
      </x:c>
      <x:c r="AJ1087" s="32" t="n">
        <x:f>H1087*tun_CommonsCoef*AI1087^tun_CommonsExp*INDEX(LM_Commons,G1087)</x:f>
        <x:v>0</x:v>
      </x:c>
      <x:c r="AK1087" s="32" t="n">
        <x:f>H1087*tun_RoleScale*Arch_Roles*(AE1087*(INDEX(tun_ElderRolePerSett,G1087)*tun_OutElder*INDEX(LM_Elder,G1087)+INDEX(tun_ShamanPerSett,G1087)*tun_OutShaman)+Z1087*(INDEX(tun_PriestShare,G1087)*tun_OutPriest+INDEX(tun_ScribeShare,G1087)*tun_OutScribe*INDEX(LM_Scribe,G1087)+INDEX(tun_ScholarShare,G1087)*tun_OutScholar*INDEX(LM_Scholar,G1087)+INDEX(tun_ResearcherShare,G1087)*tun_OutResearcher*INDEX(LM_Researcher,G1087)))</x:f>
        <x:v>0</x:v>
      </x:c>
      <x:c r="AL1087" s="32" t="n">
        <x:f>H1087*tun_RoleScale*Arch_Roles*AE1087*INDEX(tun_MonasteryPerSett,G1087)*tun_OutMonastery*INDEX(LM_Monastery,G1087)</x:f>
        <x:v>0</x:v>
      </x:c>
      <x:c r="AM1087" s="32" t="n">
        <x:f>(AJ1087+AK1087+AL1087)/4*INDEX(LM_All,G1087)*INDEX(tun_Boon,G1087)*Arch_Insight</x:f>
        <x:v>0</x:v>
      </x:c>
      <x:c r="AN1087" s="32" t="n">
        <x:f>H1087*(tun_KHPerAdult*Z1087+tun_KHOfCommons*AJ1087/4*INDEX(LM_All,G1087))*tun_KHUsable*Arch_KH</x:f>
        <x:v>0</x:v>
      </x:c>
      <x:c r="AO1087" s="32" t="n">
        <x:f>MIN(AP1086+AN1087,AM1087*tun_KHMaxRatio)</x:f>
        <x:v>0</x:v>
      </x:c>
      <x:c r="AP1087" s="32" t="n">
        <x:f>AP1086+AN1087-AO1087</x:f>
        <x:v>0</x:v>
      </x:c>
      <x:c r="AQ1087" s="32" t="n">
        <x:f>AM1087+AO1087</x:f>
        <x:v>0</x:v>
      </x:c>
      <x:c r="AR1087" s="10" t="n">
        <x:f>IF(H1087=1,INDEX(tun_Req,G1087),0)</x:f>
        <x:v>0</x:v>
      </x:c>
      <x:c r="AS1087" s="32" t="n">
        <x:f>IF(H1087=1,IF(E1087=1,AS1086-AR1086,AS1086)+AQ1087,0)</x:f>
        <x:v>0</x:v>
      </x:c>
      <x:c r="AT1087" s="11" t="n">
        <x:f>IF(AR1087&gt;0,MIN(1,AS1087/AR1087),1)</x:f>
        <x:v>1</x:v>
      </x:c>
      <x:c r="AU1087" s="10" t="n">
        <x:f>AB1087/INDEX(tun_RepScale,G1087)</x:f>
        <x:v>290.3368848566301</x:v>
      </x:c>
      <x:c r="AV1087" s="32" t="n">
        <x:f>AM1087*60/tun_SeasonSeconds</x:f>
        <x:v>0</x:v>
      </x:c>
    </x:row>
    <x:row r="1088">
      <x:c r="A1088" s="8" t="n">
        <x:f>A1087+1</x:f>
        <x:v>1085</x:v>
      </x:c>
      <x:c r="B1088" s="9" t="n">
        <x:f>A1088*tun_SeasonSeconds/60</x:f>
        <x:v>271.25</x:v>
      </x:c>
      <x:c r="C1088" s="9" t="n">
        <x:f>A1088/4</x:f>
        <x:v>271.25</x:v>
      </x:c>
      <x:c r="D1088" s="8" t="n">
        <x:f>IF(MOD(A1088,4)=0,1,0)</x:f>
        <x:v>0</x:v>
      </x:c>
      <x:c r="E1088" s="8" t="n">
        <x:f>IF(AND(F1087&lt;=9,AS1087&gt;=AR1087),1,0)</x:f>
        <x:v>0</x:v>
      </x:c>
      <x:c r="F1088" s="8" t="n">
        <x:f>MIN(10,F1087+E1088)</x:f>
        <x:v>10</x:v>
      </x:c>
      <x:c r="G1088" s="8" t="n">
        <x:f>MIN(F1088,9)+1</x:f>
        <x:v>10</x:v>
      </x:c>
      <x:c r="H1088" s="8" t="n">
        <x:f>IF(F1088&lt;=9,1,0)</x:f>
        <x:v>0</x:v>
      </x:c>
      <x:c r="I1088" s="9" t="n">
        <x:f>MIN(10,F1087+IF(AR1087&gt;0,MIN(1,AS1087/AR1087),1))</x:f>
        <x:v>10</x:v>
      </x:c>
      <x:c r="J1088" s="32" t="n">
        <x:f>INDEX(tun_FoodCap,G1088)*Arch_FoodCap*EXP(tun_CapsByProject*SUMPRODUCT((Cap_Point&lt;=I1088)*(Cap_Kind="Food")*Cap_Ln))</x:f>
        <x:v>18627.260449441455</x:v>
      </x:c>
      <x:c r="K1088" s="32" t="n">
        <x:f>J1088*MIN(1,tun_LeanBase*EXP(tun_CapsByProject*SUMPRODUCT((Cap_Point&lt;=I1088)*(Cap_Kind="Lean")*Cap_Ln)))</x:f>
        <x:v>18627.260449441455</x:v>
      </x:c>
      <x:c r="L1088" s="10" t="n">
        <x:f>INDEX(tun_HousingCap,G1088)*EXP(tun_CapsByProject*SUMPRODUCT((Cap_Point&lt;=I1088)*(Cap_Kind="Housing")*Cap_Ln))</x:f>
        <x:v>20528.974303173167</x:v>
      </x:c>
      <x:c r="M1088" s="10" t="n">
        <x:f>INDEX(tun_GroupCap,G1088)*tun_CohesionFactor*EXP(tun_CapsByProject*SUMPRODUCT((Cap_Point&lt;=I1088)*(Cap_Kind="Group")*Cap_Ln))</x:f>
        <x:v>1000000.000000001</x:v>
      </x:c>
      <x:c r="N1088" s="32" t="n">
        <x:f>MIN(J1088,L1088,M1088)</x:f>
        <x:v>18627.260449441455</x:v>
      </x:c>
      <x:c r="O1088" s="10" t="n">
        <x:f>AE1087*N1088</x:f>
        <x:v>167645.34404497308</x:v>
      </x:c>
      <x:c r="P1088" s="9" t="n">
        <x:f>MIN(1,(AB1087/(AE1087*IF(tun_GroupInCrowding=1,N1088,MIN(J1088,L1088))))^tun_CrowdingExp)</x:f>
        <x:v>0.4215841981292809</x:v>
      </x:c>
      <x:c r="Q1088" s="9" t="n">
        <x:f>IF(D1088=1,INDEX(tun_WinterMult,G1088),1)</x:f>
        <x:v>1</x:v>
      </x:c>
      <x:c r="R1088" s="9" t="n">
        <x:f>H1088*Z1087*tun_WomenShare*tun_BaseFertility*INDEX(tun_FertMult,G1088)*Arch_Fertility*(1-P1088)</x:f>
        <x:v>0</x:v>
      </x:c>
      <x:c r="S1088" s="9" t="n">
        <x:f>H1088*Y1087*INDEX(tun_MortChild,G1088)/4*Q1088</x:f>
        <x:v>0</x:v>
      </x:c>
      <x:c r="T1088" s="9" t="n">
        <x:f>H1088*Z1087*INDEX(tun_MortAdult,G1088)*Arch_AdultMort/4*Q1088</x:f>
        <x:v>0</x:v>
      </x:c>
      <x:c r="U1088" s="9" t="n">
        <x:f>H1088*AA1087*INDEX(tun_MortElder,G1088)/4*Q1088</x:f>
        <x:v>0</x:v>
      </x:c>
      <x:c r="V1088" s="9" t="n">
        <x:f>H1088*MAX(0,AB1087-O1088)*tun_OvercapLoss</x:f>
        <x:v>0</x:v>
      </x:c>
      <x:c r="W1088" s="9" t="n">
        <x:f>H1088*Y1087/(tun_ChildYears*4)</x:f>
        <x:v>0</x:v>
      </x:c>
      <x:c r="X1088" s="9" t="n">
        <x:f>H1088*Z1087/(tun_AdultYears*4)</x:f>
        <x:v>0</x:v>
      </x:c>
      <x:c r="Y1088" s="32" t="n">
        <x:f>Y1087+R1088-S1088-W1088-Y1087*V1088/AB1087</x:f>
        <x:v>40496.20709015643</x:v>
      </x:c>
      <x:c r="Z1088" s="32" t="n">
        <x:f>Z1087+W1088-X1088-T1088-Z1087*V1088/AB1087</x:f>
        <x:v>59141.61122890803</x:v>
      </x:c>
      <x:c r="AA1088" s="32" t="n">
        <x:f>AA1087+X1088-U1088-AA1087*V1088/AB1087</x:f>
        <x:v>45530.62410925061</x:v>
      </x:c>
      <x:c r="AB1088" s="10" t="n">
        <x:f>Y1088+Z1088+AA1088</x:f>
        <x:v>145168.44242831506</x:v>
      </x:c>
      <x:c r="AC1088" s="8" t="n">
        <x:f>IF(AND(tun_WinterTrigger=1,D1088=1,AB1087/AE1087&gt;=K1088),1,0)</x:f>
        <x:v>0</x:v>
      </x:c>
      <x:c r="AD1088" s="8" t="n">
        <x:f>H1088*IF(AND(OR(AB1087/AE1087&gt;=tun_FissionTrigger*N1088,AC1088=1),AB1087/AE1087*tun_DaughterShare&gt;=tun_MinDaughter),MAX(1,ROUND(AE1087*tun_FissionRate,0)),0)</x:f>
        <x:v>0</x:v>
      </x:c>
      <x:c r="AE1088" s="8" t="n">
        <x:f>IF(H1088=1,MAX(1,MIN(INDEX(tun_Smax,G1088),AE1087+AD1088)),AE1087)</x:f>
        <x:v>9</x:v>
      </x:c>
      <x:c r="AF1088" s="8" t="n">
        <x:f>MAX(0,AE1088-AE1087)</x:f>
        <x:v>0</x:v>
      </x:c>
      <x:c r="AG1088" s="9" t="str">
        <x:f>IF(AF1088&gt;0,B1088,"")</x:f>
      </x:c>
      <x:c r="AH1088" s="9" t="n">
        <x:f>IF(F1088&gt;=1,1,(1+tun_LowTiesShare*(AE1088-1))/AE1088)</x:f>
        <x:v>1</x:v>
      </x:c>
      <x:c r="AI1088" s="32" t="n">
        <x:f>(Z1088+tun_ElderCommons*INDEX(LM_Elder,G1088)*AA1088)*AH1088</x:f>
        <x:v>238215.0665857503</x:v>
      </x:c>
      <x:c r="AJ1088" s="32" t="n">
        <x:f>H1088*tun_CommonsCoef*AI1088^tun_CommonsExp*INDEX(LM_Commons,G1088)</x:f>
        <x:v>0</x:v>
      </x:c>
      <x:c r="AK1088" s="32" t="n">
        <x:f>H1088*tun_RoleScale*Arch_Roles*(AE1088*(INDEX(tun_ElderRolePerSett,G1088)*tun_OutElder*INDEX(LM_Elder,G1088)+INDEX(tun_ShamanPerSett,G1088)*tun_OutShaman)+Z1088*(INDEX(tun_PriestShare,G1088)*tun_OutPriest+INDEX(tun_ScribeShare,G1088)*tun_OutScribe*INDEX(LM_Scribe,G1088)+INDEX(tun_ScholarShare,G1088)*tun_OutScholar*INDEX(LM_Scholar,G1088)+INDEX(tun_ResearcherShare,G1088)*tun_OutResearcher*INDEX(LM_Researcher,G1088)))</x:f>
        <x:v>0</x:v>
      </x:c>
      <x:c r="AL1088" s="32" t="n">
        <x:f>H1088*tun_RoleScale*Arch_Roles*AE1088*INDEX(tun_MonasteryPerSett,G1088)*tun_OutMonastery*INDEX(LM_Monastery,G1088)</x:f>
        <x:v>0</x:v>
      </x:c>
      <x:c r="AM1088" s="32" t="n">
        <x:f>(AJ1088+AK1088+AL1088)/4*INDEX(LM_All,G1088)*INDEX(tun_Boon,G1088)*Arch_Insight</x:f>
        <x:v>0</x:v>
      </x:c>
      <x:c r="AN1088" s="32" t="n">
        <x:f>H1088*(tun_KHPerAdult*Z1088+tun_KHOfCommons*AJ1088/4*INDEX(LM_All,G1088))*tun_KHUsable*Arch_KH</x:f>
        <x:v>0</x:v>
      </x:c>
      <x:c r="AO1088" s="32" t="n">
        <x:f>MIN(AP1087+AN1088,AM1088*tun_KHMaxRatio)</x:f>
        <x:v>0</x:v>
      </x:c>
      <x:c r="AP1088" s="32" t="n">
        <x:f>AP1087+AN1088-AO1088</x:f>
        <x:v>0</x:v>
      </x:c>
      <x:c r="AQ1088" s="32" t="n">
        <x:f>AM1088+AO1088</x:f>
        <x:v>0</x:v>
      </x:c>
      <x:c r="AR1088" s="10" t="n">
        <x:f>IF(H1088=1,INDEX(tun_Req,G1088),0)</x:f>
        <x:v>0</x:v>
      </x:c>
      <x:c r="AS1088" s="32" t="n">
        <x:f>IF(H1088=1,IF(E1088=1,AS1087-AR1087,AS1087)+AQ1088,0)</x:f>
        <x:v>0</x:v>
      </x:c>
      <x:c r="AT1088" s="11" t="n">
        <x:f>IF(AR1088&gt;0,MIN(1,AS1088/AR1088),1)</x:f>
        <x:v>1</x:v>
      </x:c>
      <x:c r="AU1088" s="10" t="n">
        <x:f>AB1088/INDEX(tun_RepScale,G1088)</x:f>
        <x:v>290.3368848566301</x:v>
      </x:c>
      <x:c r="AV1088" s="32" t="n">
        <x:f>AM1088*60/tun_SeasonSeconds</x:f>
        <x:v>0</x:v>
      </x:c>
    </x:row>
    <x:row r="1089">
      <x:c r="A1089" s="8" t="n">
        <x:f>A1088+1</x:f>
        <x:v>1086</x:v>
      </x:c>
      <x:c r="B1089" s="9" t="n">
        <x:f>A1089*tun_SeasonSeconds/60</x:f>
        <x:v>271.5</x:v>
      </x:c>
      <x:c r="C1089" s="9" t="n">
        <x:f>A1089/4</x:f>
        <x:v>271.5</x:v>
      </x:c>
      <x:c r="D1089" s="8" t="n">
        <x:f>IF(MOD(A1089,4)=0,1,0)</x:f>
        <x:v>0</x:v>
      </x:c>
      <x:c r="E1089" s="8" t="n">
        <x:f>IF(AND(F1088&lt;=9,AS1088&gt;=AR1088),1,0)</x:f>
        <x:v>0</x:v>
      </x:c>
      <x:c r="F1089" s="8" t="n">
        <x:f>MIN(10,F1088+E1089)</x:f>
        <x:v>10</x:v>
      </x:c>
      <x:c r="G1089" s="8" t="n">
        <x:f>MIN(F1089,9)+1</x:f>
        <x:v>10</x:v>
      </x:c>
      <x:c r="H1089" s="8" t="n">
        <x:f>IF(F1089&lt;=9,1,0)</x:f>
        <x:v>0</x:v>
      </x:c>
      <x:c r="I1089" s="9" t="n">
        <x:f>MIN(10,F1088+IF(AR1088&gt;0,MIN(1,AS1088/AR1088),1))</x:f>
        <x:v>10</x:v>
      </x:c>
      <x:c r="J1089" s="32" t="n">
        <x:f>INDEX(tun_FoodCap,G1089)*Arch_FoodCap*EXP(tun_CapsByProject*SUMPRODUCT((Cap_Point&lt;=I1089)*(Cap_Kind="Food")*Cap_Ln))</x:f>
        <x:v>18627.260449441455</x:v>
      </x:c>
      <x:c r="K1089" s="32" t="n">
        <x:f>J1089*MIN(1,tun_LeanBase*EXP(tun_CapsByProject*SUMPRODUCT((Cap_Point&lt;=I1089)*(Cap_Kind="Lean")*Cap_Ln)))</x:f>
        <x:v>18627.260449441455</x:v>
      </x:c>
      <x:c r="L1089" s="10" t="n">
        <x:f>INDEX(tun_HousingCap,G1089)*EXP(tun_CapsByProject*SUMPRODUCT((Cap_Point&lt;=I1089)*(Cap_Kind="Housing")*Cap_Ln))</x:f>
        <x:v>20528.974303173167</x:v>
      </x:c>
      <x:c r="M1089" s="10" t="n">
        <x:f>INDEX(tun_GroupCap,G1089)*tun_CohesionFactor*EXP(tun_CapsByProject*SUMPRODUCT((Cap_Point&lt;=I1089)*(Cap_Kind="Group")*Cap_Ln))</x:f>
        <x:v>1000000.000000001</x:v>
      </x:c>
      <x:c r="N1089" s="32" t="n">
        <x:f>MIN(J1089,L1089,M1089)</x:f>
        <x:v>18627.260449441455</x:v>
      </x:c>
      <x:c r="O1089" s="10" t="n">
        <x:f>AE1088*N1089</x:f>
        <x:v>167645.34404497308</x:v>
      </x:c>
      <x:c r="P1089" s="9" t="n">
        <x:f>MIN(1,(AB1088/(AE1088*IF(tun_GroupInCrowding=1,N1089,MIN(J1089,L1089))))^tun_CrowdingExp)</x:f>
        <x:v>0.4215841981292809</x:v>
      </x:c>
      <x:c r="Q1089" s="9" t="n">
        <x:f>IF(D1089=1,INDEX(tun_WinterMult,G1089),1)</x:f>
        <x:v>1</x:v>
      </x:c>
      <x:c r="R1089" s="9" t="n">
        <x:f>H1089*Z1088*tun_WomenShare*tun_BaseFertility*INDEX(tun_FertMult,G1089)*Arch_Fertility*(1-P1089)</x:f>
        <x:v>0</x:v>
      </x:c>
      <x:c r="S1089" s="9" t="n">
        <x:f>H1089*Y1088*INDEX(tun_MortChild,G1089)/4*Q1089</x:f>
        <x:v>0</x:v>
      </x:c>
      <x:c r="T1089" s="9" t="n">
        <x:f>H1089*Z1088*INDEX(tun_MortAdult,G1089)*Arch_AdultMort/4*Q1089</x:f>
        <x:v>0</x:v>
      </x:c>
      <x:c r="U1089" s="9" t="n">
        <x:f>H1089*AA1088*INDEX(tun_MortElder,G1089)/4*Q1089</x:f>
        <x:v>0</x:v>
      </x:c>
      <x:c r="V1089" s="9" t="n">
        <x:f>H1089*MAX(0,AB1088-O1089)*tun_OvercapLoss</x:f>
        <x:v>0</x:v>
      </x:c>
      <x:c r="W1089" s="9" t="n">
        <x:f>H1089*Y1088/(tun_ChildYears*4)</x:f>
        <x:v>0</x:v>
      </x:c>
      <x:c r="X1089" s="9" t="n">
        <x:f>H1089*Z1088/(tun_AdultYears*4)</x:f>
        <x:v>0</x:v>
      </x:c>
      <x:c r="Y1089" s="32" t="n">
        <x:f>Y1088+R1089-S1089-W1089-Y1088*V1089/AB1088</x:f>
        <x:v>40496.20709015643</x:v>
      </x:c>
      <x:c r="Z1089" s="32" t="n">
        <x:f>Z1088+W1089-X1089-T1089-Z1088*V1089/AB1088</x:f>
        <x:v>59141.61122890803</x:v>
      </x:c>
      <x:c r="AA1089" s="32" t="n">
        <x:f>AA1088+X1089-U1089-AA1088*V1089/AB1088</x:f>
        <x:v>45530.62410925061</x:v>
      </x:c>
      <x:c r="AB1089" s="10" t="n">
        <x:f>Y1089+Z1089+AA1089</x:f>
        <x:v>145168.44242831506</x:v>
      </x:c>
      <x:c r="AC1089" s="8" t="n">
        <x:f>IF(AND(tun_WinterTrigger=1,D1089=1,AB1088/AE1088&gt;=K1089),1,0)</x:f>
        <x:v>0</x:v>
      </x:c>
      <x:c r="AD1089" s="8" t="n">
        <x:f>H1089*IF(AND(OR(AB1088/AE1088&gt;=tun_FissionTrigger*N1089,AC1089=1),AB1088/AE1088*tun_DaughterShare&gt;=tun_MinDaughter),MAX(1,ROUND(AE1088*tun_FissionRate,0)),0)</x:f>
        <x:v>0</x:v>
      </x:c>
      <x:c r="AE1089" s="8" t="n">
        <x:f>IF(H1089=1,MAX(1,MIN(INDEX(tun_Smax,G1089),AE1088+AD1089)),AE1088)</x:f>
        <x:v>9</x:v>
      </x:c>
      <x:c r="AF1089" s="8" t="n">
        <x:f>MAX(0,AE1089-AE1088)</x:f>
        <x:v>0</x:v>
      </x:c>
      <x:c r="AG1089" s="9" t="str">
        <x:f>IF(AF1089&gt;0,B1089,"")</x:f>
      </x:c>
      <x:c r="AH1089" s="9" t="n">
        <x:f>IF(F1089&gt;=1,1,(1+tun_LowTiesShare*(AE1089-1))/AE1089)</x:f>
        <x:v>1</x:v>
      </x:c>
      <x:c r="AI1089" s="32" t="n">
        <x:f>(Z1089+tun_ElderCommons*INDEX(LM_Elder,G1089)*AA1089)*AH1089</x:f>
        <x:v>238215.0665857503</x:v>
      </x:c>
      <x:c r="AJ1089" s="32" t="n">
        <x:f>H1089*tun_CommonsCoef*AI1089^tun_CommonsExp*INDEX(LM_Commons,G1089)</x:f>
        <x:v>0</x:v>
      </x:c>
      <x:c r="AK1089" s="32" t="n">
        <x:f>H1089*tun_RoleScale*Arch_Roles*(AE1089*(INDEX(tun_ElderRolePerSett,G1089)*tun_OutElder*INDEX(LM_Elder,G1089)+INDEX(tun_ShamanPerSett,G1089)*tun_OutShaman)+Z1089*(INDEX(tun_PriestShare,G1089)*tun_OutPriest+INDEX(tun_ScribeShare,G1089)*tun_OutScribe*INDEX(LM_Scribe,G1089)+INDEX(tun_ScholarShare,G1089)*tun_OutScholar*INDEX(LM_Scholar,G1089)+INDEX(tun_ResearcherShare,G1089)*tun_OutResearcher*INDEX(LM_Researcher,G1089)))</x:f>
        <x:v>0</x:v>
      </x:c>
      <x:c r="AL1089" s="32" t="n">
        <x:f>H1089*tun_RoleScale*Arch_Roles*AE1089*INDEX(tun_MonasteryPerSett,G1089)*tun_OutMonastery*INDEX(LM_Monastery,G1089)</x:f>
        <x:v>0</x:v>
      </x:c>
      <x:c r="AM1089" s="32" t="n">
        <x:f>(AJ1089+AK1089+AL1089)/4*INDEX(LM_All,G1089)*INDEX(tun_Boon,G1089)*Arch_Insight</x:f>
        <x:v>0</x:v>
      </x:c>
      <x:c r="AN1089" s="32" t="n">
        <x:f>H1089*(tun_KHPerAdult*Z1089+tun_KHOfCommons*AJ1089/4*INDEX(LM_All,G1089))*tun_KHUsable*Arch_KH</x:f>
        <x:v>0</x:v>
      </x:c>
      <x:c r="AO1089" s="32" t="n">
        <x:f>MIN(AP1088+AN1089,AM1089*tun_KHMaxRatio)</x:f>
        <x:v>0</x:v>
      </x:c>
      <x:c r="AP1089" s="32" t="n">
        <x:f>AP1088+AN1089-AO1089</x:f>
        <x:v>0</x:v>
      </x:c>
      <x:c r="AQ1089" s="32" t="n">
        <x:f>AM1089+AO1089</x:f>
        <x:v>0</x:v>
      </x:c>
      <x:c r="AR1089" s="10" t="n">
        <x:f>IF(H1089=1,INDEX(tun_Req,G1089),0)</x:f>
        <x:v>0</x:v>
      </x:c>
      <x:c r="AS1089" s="32" t="n">
        <x:f>IF(H1089=1,IF(E1089=1,AS1088-AR1088,AS1088)+AQ1089,0)</x:f>
        <x:v>0</x:v>
      </x:c>
      <x:c r="AT1089" s="11" t="n">
        <x:f>IF(AR1089&gt;0,MIN(1,AS1089/AR1089),1)</x:f>
        <x:v>1</x:v>
      </x:c>
      <x:c r="AU1089" s="10" t="n">
        <x:f>AB1089/INDEX(tun_RepScale,G1089)</x:f>
        <x:v>290.3368848566301</x:v>
      </x:c>
      <x:c r="AV1089" s="32" t="n">
        <x:f>AM1089*60/tun_SeasonSeconds</x:f>
        <x:v>0</x:v>
      </x:c>
    </x:row>
    <x:row r="1090">
      <x:c r="A1090" s="8" t="n">
        <x:f>A1089+1</x:f>
        <x:v>1087</x:v>
      </x:c>
      <x:c r="B1090" s="9" t="n">
        <x:f>A1090*tun_SeasonSeconds/60</x:f>
        <x:v>271.75</x:v>
      </x:c>
      <x:c r="C1090" s="9" t="n">
        <x:f>A1090/4</x:f>
        <x:v>271.75</x:v>
      </x:c>
      <x:c r="D1090" s="8" t="n">
        <x:f>IF(MOD(A1090,4)=0,1,0)</x:f>
        <x:v>0</x:v>
      </x:c>
      <x:c r="E1090" s="8" t="n">
        <x:f>IF(AND(F1089&lt;=9,AS1089&gt;=AR1089),1,0)</x:f>
        <x:v>0</x:v>
      </x:c>
      <x:c r="F1090" s="8" t="n">
        <x:f>MIN(10,F1089+E1090)</x:f>
        <x:v>10</x:v>
      </x:c>
      <x:c r="G1090" s="8" t="n">
        <x:f>MIN(F1090,9)+1</x:f>
        <x:v>10</x:v>
      </x:c>
      <x:c r="H1090" s="8" t="n">
        <x:f>IF(F1090&lt;=9,1,0)</x:f>
        <x:v>0</x:v>
      </x:c>
      <x:c r="I1090" s="9" t="n">
        <x:f>MIN(10,F1089+IF(AR1089&gt;0,MIN(1,AS1089/AR1089),1))</x:f>
        <x:v>10</x:v>
      </x:c>
      <x:c r="J1090" s="32" t="n">
        <x:f>INDEX(tun_FoodCap,G1090)*Arch_FoodCap*EXP(tun_CapsByProject*SUMPRODUCT((Cap_Point&lt;=I1090)*(Cap_Kind="Food")*Cap_Ln))</x:f>
        <x:v>18627.260449441455</x:v>
      </x:c>
      <x:c r="K1090" s="32" t="n">
        <x:f>J1090*MIN(1,tun_LeanBase*EXP(tun_CapsByProject*SUMPRODUCT((Cap_Point&lt;=I1090)*(Cap_Kind="Lean")*Cap_Ln)))</x:f>
        <x:v>18627.260449441455</x:v>
      </x:c>
      <x:c r="L1090" s="10" t="n">
        <x:f>INDEX(tun_HousingCap,G1090)*EXP(tun_CapsByProject*SUMPRODUCT((Cap_Point&lt;=I1090)*(Cap_Kind="Housing")*Cap_Ln))</x:f>
        <x:v>20528.974303173167</x:v>
      </x:c>
      <x:c r="M1090" s="10" t="n">
        <x:f>INDEX(tun_GroupCap,G1090)*tun_CohesionFactor*EXP(tun_CapsByProject*SUMPRODUCT((Cap_Point&lt;=I1090)*(Cap_Kind="Group")*Cap_Ln))</x:f>
        <x:v>1000000.000000001</x:v>
      </x:c>
      <x:c r="N1090" s="32" t="n">
        <x:f>MIN(J1090,L1090,M1090)</x:f>
        <x:v>18627.260449441455</x:v>
      </x:c>
      <x:c r="O1090" s="10" t="n">
        <x:f>AE1089*N1090</x:f>
        <x:v>167645.34404497308</x:v>
      </x:c>
      <x:c r="P1090" s="9" t="n">
        <x:f>MIN(1,(AB1089/(AE1089*IF(tun_GroupInCrowding=1,N1090,MIN(J1090,L1090))))^tun_CrowdingExp)</x:f>
        <x:v>0.4215841981292809</x:v>
      </x:c>
      <x:c r="Q1090" s="9" t="n">
        <x:f>IF(D1090=1,INDEX(tun_WinterMult,G1090),1)</x:f>
        <x:v>1</x:v>
      </x:c>
      <x:c r="R1090" s="9" t="n">
        <x:f>H1090*Z1089*tun_WomenShare*tun_BaseFertility*INDEX(tun_FertMult,G1090)*Arch_Fertility*(1-P1090)</x:f>
        <x:v>0</x:v>
      </x:c>
      <x:c r="S1090" s="9" t="n">
        <x:f>H1090*Y1089*INDEX(tun_MortChild,G1090)/4*Q1090</x:f>
        <x:v>0</x:v>
      </x:c>
      <x:c r="T1090" s="9" t="n">
        <x:f>H1090*Z1089*INDEX(tun_MortAdult,G1090)*Arch_AdultMort/4*Q1090</x:f>
        <x:v>0</x:v>
      </x:c>
      <x:c r="U1090" s="9" t="n">
        <x:f>H1090*AA1089*INDEX(tun_MortElder,G1090)/4*Q1090</x:f>
        <x:v>0</x:v>
      </x:c>
      <x:c r="V1090" s="9" t="n">
        <x:f>H1090*MAX(0,AB1089-O1090)*tun_OvercapLoss</x:f>
        <x:v>0</x:v>
      </x:c>
      <x:c r="W1090" s="9" t="n">
        <x:f>H1090*Y1089/(tun_ChildYears*4)</x:f>
        <x:v>0</x:v>
      </x:c>
      <x:c r="X1090" s="9" t="n">
        <x:f>H1090*Z1089/(tun_AdultYears*4)</x:f>
        <x:v>0</x:v>
      </x:c>
      <x:c r="Y1090" s="32" t="n">
        <x:f>Y1089+R1090-S1090-W1090-Y1089*V1090/AB1089</x:f>
        <x:v>40496.20709015643</x:v>
      </x:c>
      <x:c r="Z1090" s="32" t="n">
        <x:f>Z1089+W1090-X1090-T1090-Z1089*V1090/AB1089</x:f>
        <x:v>59141.61122890803</x:v>
      </x:c>
      <x:c r="AA1090" s="32" t="n">
        <x:f>AA1089+X1090-U1090-AA1089*V1090/AB1089</x:f>
        <x:v>45530.62410925061</x:v>
      </x:c>
      <x:c r="AB1090" s="10" t="n">
        <x:f>Y1090+Z1090+AA1090</x:f>
        <x:v>145168.44242831506</x:v>
      </x:c>
      <x:c r="AC1090" s="8" t="n">
        <x:f>IF(AND(tun_WinterTrigger=1,D1090=1,AB1089/AE1089&gt;=K1090),1,0)</x:f>
        <x:v>0</x:v>
      </x:c>
      <x:c r="AD1090" s="8" t="n">
        <x:f>H1090*IF(AND(OR(AB1089/AE1089&gt;=tun_FissionTrigger*N1090,AC1090=1),AB1089/AE1089*tun_DaughterShare&gt;=tun_MinDaughter),MAX(1,ROUND(AE1089*tun_FissionRate,0)),0)</x:f>
        <x:v>0</x:v>
      </x:c>
      <x:c r="AE1090" s="8" t="n">
        <x:f>IF(H1090=1,MAX(1,MIN(INDEX(tun_Smax,G1090),AE1089+AD1090)),AE1089)</x:f>
        <x:v>9</x:v>
      </x:c>
      <x:c r="AF1090" s="8" t="n">
        <x:f>MAX(0,AE1090-AE1089)</x:f>
        <x:v>0</x:v>
      </x:c>
      <x:c r="AG1090" s="9" t="str">
        <x:f>IF(AF1090&gt;0,B1090,"")</x:f>
      </x:c>
      <x:c r="AH1090" s="9" t="n">
        <x:f>IF(F1090&gt;=1,1,(1+tun_LowTiesShare*(AE1090-1))/AE1090)</x:f>
        <x:v>1</x:v>
      </x:c>
      <x:c r="AI1090" s="32" t="n">
        <x:f>(Z1090+tun_ElderCommons*INDEX(LM_Elder,G1090)*AA1090)*AH1090</x:f>
        <x:v>238215.0665857503</x:v>
      </x:c>
      <x:c r="AJ1090" s="32" t="n">
        <x:f>H1090*tun_CommonsCoef*AI1090^tun_CommonsExp*INDEX(LM_Commons,G1090)</x:f>
        <x:v>0</x:v>
      </x:c>
      <x:c r="AK1090" s="32" t="n">
        <x:f>H1090*tun_RoleScale*Arch_Roles*(AE1090*(INDEX(tun_ElderRolePerSett,G1090)*tun_OutElder*INDEX(LM_Elder,G1090)+INDEX(tun_ShamanPerSett,G1090)*tun_OutShaman)+Z1090*(INDEX(tun_PriestShare,G1090)*tun_OutPriest+INDEX(tun_ScribeShare,G1090)*tun_OutScribe*INDEX(LM_Scribe,G1090)+INDEX(tun_ScholarShare,G1090)*tun_OutScholar*INDEX(LM_Scholar,G1090)+INDEX(tun_ResearcherShare,G1090)*tun_OutResearcher*INDEX(LM_Researcher,G1090)))</x:f>
        <x:v>0</x:v>
      </x:c>
      <x:c r="AL1090" s="32" t="n">
        <x:f>H1090*tun_RoleScale*Arch_Roles*AE1090*INDEX(tun_MonasteryPerSett,G1090)*tun_OutMonastery*INDEX(LM_Monastery,G1090)</x:f>
        <x:v>0</x:v>
      </x:c>
      <x:c r="AM1090" s="32" t="n">
        <x:f>(AJ1090+AK1090+AL1090)/4*INDEX(LM_All,G1090)*INDEX(tun_Boon,G1090)*Arch_Insight</x:f>
        <x:v>0</x:v>
      </x:c>
      <x:c r="AN1090" s="32" t="n">
        <x:f>H1090*(tun_KHPerAdult*Z1090+tun_KHOfCommons*AJ1090/4*INDEX(LM_All,G1090))*tun_KHUsable*Arch_KH</x:f>
        <x:v>0</x:v>
      </x:c>
      <x:c r="AO1090" s="32" t="n">
        <x:f>MIN(AP1089+AN1090,AM1090*tun_KHMaxRatio)</x:f>
        <x:v>0</x:v>
      </x:c>
      <x:c r="AP1090" s="32" t="n">
        <x:f>AP1089+AN1090-AO1090</x:f>
        <x:v>0</x:v>
      </x:c>
      <x:c r="AQ1090" s="32" t="n">
        <x:f>AM1090+AO1090</x:f>
        <x:v>0</x:v>
      </x:c>
      <x:c r="AR1090" s="10" t="n">
        <x:f>IF(H1090=1,INDEX(tun_Req,G1090),0)</x:f>
        <x:v>0</x:v>
      </x:c>
      <x:c r="AS1090" s="32" t="n">
        <x:f>IF(H1090=1,IF(E1090=1,AS1089-AR1089,AS1089)+AQ1090,0)</x:f>
        <x:v>0</x:v>
      </x:c>
      <x:c r="AT1090" s="11" t="n">
        <x:f>IF(AR1090&gt;0,MIN(1,AS1090/AR1090),1)</x:f>
        <x:v>1</x:v>
      </x:c>
      <x:c r="AU1090" s="10" t="n">
        <x:f>AB1090/INDEX(tun_RepScale,G1090)</x:f>
        <x:v>290.3368848566301</x:v>
      </x:c>
      <x:c r="AV1090" s="32" t="n">
        <x:f>AM1090*60/tun_SeasonSeconds</x:f>
        <x:v>0</x:v>
      </x:c>
    </x:row>
    <x:row r="1091">
      <x:c r="A1091" s="8" t="n">
        <x:f>A1090+1</x:f>
        <x:v>1088</x:v>
      </x:c>
      <x:c r="B1091" s="9" t="n">
        <x:f>A1091*tun_SeasonSeconds/60</x:f>
        <x:v>272</x:v>
      </x:c>
      <x:c r="C1091" s="9" t="n">
        <x:f>A1091/4</x:f>
        <x:v>272</x:v>
      </x:c>
      <x:c r="D1091" s="8" t="n">
        <x:f>IF(MOD(A1091,4)=0,1,0)</x:f>
        <x:v>1</x:v>
      </x:c>
      <x:c r="E1091" s="8" t="n">
        <x:f>IF(AND(F1090&lt;=9,AS1090&gt;=AR1090),1,0)</x:f>
        <x:v>0</x:v>
      </x:c>
      <x:c r="F1091" s="8" t="n">
        <x:f>MIN(10,F1090+E1091)</x:f>
        <x:v>10</x:v>
      </x:c>
      <x:c r="G1091" s="8" t="n">
        <x:f>MIN(F1091,9)+1</x:f>
        <x:v>10</x:v>
      </x:c>
      <x:c r="H1091" s="8" t="n">
        <x:f>IF(F1091&lt;=9,1,0)</x:f>
        <x:v>0</x:v>
      </x:c>
      <x:c r="I1091" s="9" t="n">
        <x:f>MIN(10,F1090+IF(AR1090&gt;0,MIN(1,AS1090/AR1090),1))</x:f>
        <x:v>10</x:v>
      </x:c>
      <x:c r="J1091" s="32" t="n">
        <x:f>INDEX(tun_FoodCap,G1091)*Arch_FoodCap*EXP(tun_CapsByProject*SUMPRODUCT((Cap_Point&lt;=I1091)*(Cap_Kind="Food")*Cap_Ln))</x:f>
        <x:v>18627.260449441455</x:v>
      </x:c>
      <x:c r="K1091" s="32" t="n">
        <x:f>J1091*MIN(1,tun_LeanBase*EXP(tun_CapsByProject*SUMPRODUCT((Cap_Point&lt;=I1091)*(Cap_Kind="Lean")*Cap_Ln)))</x:f>
        <x:v>18627.260449441455</x:v>
      </x:c>
      <x:c r="L1091" s="10" t="n">
        <x:f>INDEX(tun_HousingCap,G1091)*EXP(tun_CapsByProject*SUMPRODUCT((Cap_Point&lt;=I1091)*(Cap_Kind="Housing")*Cap_Ln))</x:f>
        <x:v>20528.974303173167</x:v>
      </x:c>
      <x:c r="M1091" s="10" t="n">
        <x:f>INDEX(tun_GroupCap,G1091)*tun_CohesionFactor*EXP(tun_CapsByProject*SUMPRODUCT((Cap_Point&lt;=I1091)*(Cap_Kind="Group")*Cap_Ln))</x:f>
        <x:v>1000000.000000001</x:v>
      </x:c>
      <x:c r="N1091" s="32" t="n">
        <x:f>MIN(J1091,L1091,M1091)</x:f>
        <x:v>18627.260449441455</x:v>
      </x:c>
      <x:c r="O1091" s="10" t="n">
        <x:f>AE1090*N1091</x:f>
        <x:v>167645.34404497308</x:v>
      </x:c>
      <x:c r="P1091" s="9" t="n">
        <x:f>MIN(1,(AB1090/(AE1090*IF(tun_GroupInCrowding=1,N1091,MIN(J1091,L1091))))^tun_CrowdingExp)</x:f>
        <x:v>0.4215841981292809</x:v>
      </x:c>
      <x:c r="Q1091" s="9" t="n">
        <x:f>IF(D1091=1,INDEX(tun_WinterMult,G1091),1)</x:f>
        <x:v>1.05</x:v>
      </x:c>
      <x:c r="R1091" s="9" t="n">
        <x:f>H1091*Z1090*tun_WomenShare*tun_BaseFertility*INDEX(tun_FertMult,G1091)*Arch_Fertility*(1-P1091)</x:f>
        <x:v>0</x:v>
      </x:c>
      <x:c r="S1091" s="9" t="n">
        <x:f>H1091*Y1090*INDEX(tun_MortChild,G1091)/4*Q1091</x:f>
        <x:v>0</x:v>
      </x:c>
      <x:c r="T1091" s="9" t="n">
        <x:f>H1091*Z1090*INDEX(tun_MortAdult,G1091)*Arch_AdultMort/4*Q1091</x:f>
        <x:v>0</x:v>
      </x:c>
      <x:c r="U1091" s="9" t="n">
        <x:f>H1091*AA1090*INDEX(tun_MortElder,G1091)/4*Q1091</x:f>
        <x:v>0</x:v>
      </x:c>
      <x:c r="V1091" s="9" t="n">
        <x:f>H1091*MAX(0,AB1090-O1091)*tun_OvercapLoss</x:f>
        <x:v>0</x:v>
      </x:c>
      <x:c r="W1091" s="9" t="n">
        <x:f>H1091*Y1090/(tun_ChildYears*4)</x:f>
        <x:v>0</x:v>
      </x:c>
      <x:c r="X1091" s="9" t="n">
        <x:f>H1091*Z1090/(tun_AdultYears*4)</x:f>
        <x:v>0</x:v>
      </x:c>
      <x:c r="Y1091" s="32" t="n">
        <x:f>Y1090+R1091-S1091-W1091-Y1090*V1091/AB1090</x:f>
        <x:v>40496.20709015643</x:v>
      </x:c>
      <x:c r="Z1091" s="32" t="n">
        <x:f>Z1090+W1091-X1091-T1091-Z1090*V1091/AB1090</x:f>
        <x:v>59141.61122890803</x:v>
      </x:c>
      <x:c r="AA1091" s="32" t="n">
        <x:f>AA1090+X1091-U1091-AA1090*V1091/AB1090</x:f>
        <x:v>45530.62410925061</x:v>
      </x:c>
      <x:c r="AB1091" s="10" t="n">
        <x:f>Y1091+Z1091+AA1091</x:f>
        <x:v>145168.44242831506</x:v>
      </x:c>
      <x:c r="AC1091" s="8" t="n">
        <x:f>IF(AND(tun_WinterTrigger=1,D1091=1,AB1090/AE1090&gt;=K1091),1,0)</x:f>
        <x:v>0</x:v>
      </x:c>
      <x:c r="AD1091" s="8" t="n">
        <x:f>H1091*IF(AND(OR(AB1090/AE1090&gt;=tun_FissionTrigger*N1091,AC1091=1),AB1090/AE1090*tun_DaughterShare&gt;=tun_MinDaughter),MAX(1,ROUND(AE1090*tun_FissionRate,0)),0)</x:f>
        <x:v>0</x:v>
      </x:c>
      <x:c r="AE1091" s="8" t="n">
        <x:f>IF(H1091=1,MAX(1,MIN(INDEX(tun_Smax,G1091),AE1090+AD1091)),AE1090)</x:f>
        <x:v>9</x:v>
      </x:c>
      <x:c r="AF1091" s="8" t="n">
        <x:f>MAX(0,AE1091-AE1090)</x:f>
        <x:v>0</x:v>
      </x:c>
      <x:c r="AG1091" s="9" t="str">
        <x:f>IF(AF1091&gt;0,B1091,"")</x:f>
      </x:c>
      <x:c r="AH1091" s="9" t="n">
        <x:f>IF(F1091&gt;=1,1,(1+tun_LowTiesShare*(AE1091-1))/AE1091)</x:f>
        <x:v>1</x:v>
      </x:c>
      <x:c r="AI1091" s="32" t="n">
        <x:f>(Z1091+tun_ElderCommons*INDEX(LM_Elder,G1091)*AA1091)*AH1091</x:f>
        <x:v>238215.0665857503</x:v>
      </x:c>
      <x:c r="AJ1091" s="32" t="n">
        <x:f>H1091*tun_CommonsCoef*AI1091^tun_CommonsExp*INDEX(LM_Commons,G1091)</x:f>
        <x:v>0</x:v>
      </x:c>
      <x:c r="AK1091" s="32" t="n">
        <x:f>H1091*tun_RoleScale*Arch_Roles*(AE1091*(INDEX(tun_ElderRolePerSett,G1091)*tun_OutElder*INDEX(LM_Elder,G1091)+INDEX(tun_ShamanPerSett,G1091)*tun_OutShaman)+Z1091*(INDEX(tun_PriestShare,G1091)*tun_OutPriest+INDEX(tun_ScribeShare,G1091)*tun_OutScribe*INDEX(LM_Scribe,G1091)+INDEX(tun_ScholarShare,G1091)*tun_OutScholar*INDEX(LM_Scholar,G1091)+INDEX(tun_ResearcherShare,G1091)*tun_OutResearcher*INDEX(LM_Researcher,G1091)))</x:f>
        <x:v>0</x:v>
      </x:c>
      <x:c r="AL1091" s="32" t="n">
        <x:f>H1091*tun_RoleScale*Arch_Roles*AE1091*INDEX(tun_MonasteryPerSett,G1091)*tun_OutMonastery*INDEX(LM_Monastery,G1091)</x:f>
        <x:v>0</x:v>
      </x:c>
      <x:c r="AM1091" s="32" t="n">
        <x:f>(AJ1091+AK1091+AL1091)/4*INDEX(LM_All,G1091)*INDEX(tun_Boon,G1091)*Arch_Insight</x:f>
        <x:v>0</x:v>
      </x:c>
      <x:c r="AN1091" s="32" t="n">
        <x:f>H1091*(tun_KHPerAdult*Z1091+tun_KHOfCommons*AJ1091/4*INDEX(LM_All,G1091))*tun_KHUsable*Arch_KH</x:f>
        <x:v>0</x:v>
      </x:c>
      <x:c r="AO1091" s="32" t="n">
        <x:f>MIN(AP1090+AN1091,AM1091*tun_KHMaxRatio)</x:f>
        <x:v>0</x:v>
      </x:c>
      <x:c r="AP1091" s="32" t="n">
        <x:f>AP1090+AN1091-AO1091</x:f>
        <x:v>0</x:v>
      </x:c>
      <x:c r="AQ1091" s="32" t="n">
        <x:f>AM1091+AO1091</x:f>
        <x:v>0</x:v>
      </x:c>
      <x:c r="AR1091" s="10" t="n">
        <x:f>IF(H1091=1,INDEX(tun_Req,G1091),0)</x:f>
        <x:v>0</x:v>
      </x:c>
      <x:c r="AS1091" s="32" t="n">
        <x:f>IF(H1091=1,IF(E1091=1,AS1090-AR1090,AS1090)+AQ1091,0)</x:f>
        <x:v>0</x:v>
      </x:c>
      <x:c r="AT1091" s="11" t="n">
        <x:f>IF(AR1091&gt;0,MIN(1,AS1091/AR1091),1)</x:f>
        <x:v>1</x:v>
      </x:c>
      <x:c r="AU1091" s="10" t="n">
        <x:f>AB1091/INDEX(tun_RepScale,G1091)</x:f>
        <x:v>290.3368848566301</x:v>
      </x:c>
      <x:c r="AV1091" s="32" t="n">
        <x:f>AM1091*60/tun_SeasonSeconds</x:f>
        <x:v>0</x:v>
      </x:c>
    </x:row>
    <x:row r="1092">
      <x:c r="A1092" s="8" t="n">
        <x:f>A1091+1</x:f>
        <x:v>1089</x:v>
      </x:c>
      <x:c r="B1092" s="9" t="n">
        <x:f>A1092*tun_SeasonSeconds/60</x:f>
        <x:v>272.25</x:v>
      </x:c>
      <x:c r="C1092" s="9" t="n">
        <x:f>A1092/4</x:f>
        <x:v>272.25</x:v>
      </x:c>
      <x:c r="D1092" s="8" t="n">
        <x:f>IF(MOD(A1092,4)=0,1,0)</x:f>
        <x:v>0</x:v>
      </x:c>
      <x:c r="E1092" s="8" t="n">
        <x:f>IF(AND(F1091&lt;=9,AS1091&gt;=AR1091),1,0)</x:f>
        <x:v>0</x:v>
      </x:c>
      <x:c r="F1092" s="8" t="n">
        <x:f>MIN(10,F1091+E1092)</x:f>
        <x:v>10</x:v>
      </x:c>
      <x:c r="G1092" s="8" t="n">
        <x:f>MIN(F1092,9)+1</x:f>
        <x:v>10</x:v>
      </x:c>
      <x:c r="H1092" s="8" t="n">
        <x:f>IF(F1092&lt;=9,1,0)</x:f>
        <x:v>0</x:v>
      </x:c>
      <x:c r="I1092" s="9" t="n">
        <x:f>MIN(10,F1091+IF(AR1091&gt;0,MIN(1,AS1091/AR1091),1))</x:f>
        <x:v>10</x:v>
      </x:c>
      <x:c r="J1092" s="32" t="n">
        <x:f>INDEX(tun_FoodCap,G1092)*Arch_FoodCap*EXP(tun_CapsByProject*SUMPRODUCT((Cap_Point&lt;=I1092)*(Cap_Kind="Food")*Cap_Ln))</x:f>
        <x:v>18627.260449441455</x:v>
      </x:c>
      <x:c r="K1092" s="32" t="n">
        <x:f>J1092*MIN(1,tun_LeanBase*EXP(tun_CapsByProject*SUMPRODUCT((Cap_Point&lt;=I1092)*(Cap_Kind="Lean")*Cap_Ln)))</x:f>
        <x:v>18627.260449441455</x:v>
      </x:c>
      <x:c r="L1092" s="10" t="n">
        <x:f>INDEX(tun_HousingCap,G1092)*EXP(tun_CapsByProject*SUMPRODUCT((Cap_Point&lt;=I1092)*(Cap_Kind="Housing")*Cap_Ln))</x:f>
        <x:v>20528.974303173167</x:v>
      </x:c>
      <x:c r="M1092" s="10" t="n">
        <x:f>INDEX(tun_GroupCap,G1092)*tun_CohesionFactor*EXP(tun_CapsByProject*SUMPRODUCT((Cap_Point&lt;=I1092)*(Cap_Kind="Group")*Cap_Ln))</x:f>
        <x:v>1000000.000000001</x:v>
      </x:c>
      <x:c r="N1092" s="32" t="n">
        <x:f>MIN(J1092,L1092,M1092)</x:f>
        <x:v>18627.260449441455</x:v>
      </x:c>
      <x:c r="O1092" s="10" t="n">
        <x:f>AE1091*N1092</x:f>
        <x:v>167645.34404497308</x:v>
      </x:c>
      <x:c r="P1092" s="9" t="n">
        <x:f>MIN(1,(AB1091/(AE1091*IF(tun_GroupInCrowding=1,N1092,MIN(J1092,L1092))))^tun_CrowdingExp)</x:f>
        <x:v>0.4215841981292809</x:v>
      </x:c>
      <x:c r="Q1092" s="9" t="n">
        <x:f>IF(D1092=1,INDEX(tun_WinterMult,G1092),1)</x:f>
        <x:v>1</x:v>
      </x:c>
      <x:c r="R1092" s="9" t="n">
        <x:f>H1092*Z1091*tun_WomenShare*tun_BaseFertility*INDEX(tun_FertMult,G1092)*Arch_Fertility*(1-P1092)</x:f>
        <x:v>0</x:v>
      </x:c>
      <x:c r="S1092" s="9" t="n">
        <x:f>H1092*Y1091*INDEX(tun_MortChild,G1092)/4*Q1092</x:f>
        <x:v>0</x:v>
      </x:c>
      <x:c r="T1092" s="9" t="n">
        <x:f>H1092*Z1091*INDEX(tun_MortAdult,G1092)*Arch_AdultMort/4*Q1092</x:f>
        <x:v>0</x:v>
      </x:c>
      <x:c r="U1092" s="9" t="n">
        <x:f>H1092*AA1091*INDEX(tun_MortElder,G1092)/4*Q1092</x:f>
        <x:v>0</x:v>
      </x:c>
      <x:c r="V1092" s="9" t="n">
        <x:f>H1092*MAX(0,AB1091-O1092)*tun_OvercapLoss</x:f>
        <x:v>0</x:v>
      </x:c>
      <x:c r="W1092" s="9" t="n">
        <x:f>H1092*Y1091/(tun_ChildYears*4)</x:f>
        <x:v>0</x:v>
      </x:c>
      <x:c r="X1092" s="9" t="n">
        <x:f>H1092*Z1091/(tun_AdultYears*4)</x:f>
        <x:v>0</x:v>
      </x:c>
      <x:c r="Y1092" s="32" t="n">
        <x:f>Y1091+R1092-S1092-W1092-Y1091*V1092/AB1091</x:f>
        <x:v>40496.20709015643</x:v>
      </x:c>
      <x:c r="Z1092" s="32" t="n">
        <x:f>Z1091+W1092-X1092-T1092-Z1091*V1092/AB1091</x:f>
        <x:v>59141.61122890803</x:v>
      </x:c>
      <x:c r="AA1092" s="32" t="n">
        <x:f>AA1091+X1092-U1092-AA1091*V1092/AB1091</x:f>
        <x:v>45530.62410925061</x:v>
      </x:c>
      <x:c r="AB1092" s="10" t="n">
        <x:f>Y1092+Z1092+AA1092</x:f>
        <x:v>145168.44242831506</x:v>
      </x:c>
      <x:c r="AC1092" s="8" t="n">
        <x:f>IF(AND(tun_WinterTrigger=1,D1092=1,AB1091/AE1091&gt;=K1092),1,0)</x:f>
        <x:v>0</x:v>
      </x:c>
      <x:c r="AD1092" s="8" t="n">
        <x:f>H1092*IF(AND(OR(AB1091/AE1091&gt;=tun_FissionTrigger*N1092,AC1092=1),AB1091/AE1091*tun_DaughterShare&gt;=tun_MinDaughter),MAX(1,ROUND(AE1091*tun_FissionRate,0)),0)</x:f>
        <x:v>0</x:v>
      </x:c>
      <x:c r="AE1092" s="8" t="n">
        <x:f>IF(H1092=1,MAX(1,MIN(INDEX(tun_Smax,G1092),AE1091+AD1092)),AE1091)</x:f>
        <x:v>9</x:v>
      </x:c>
      <x:c r="AF1092" s="8" t="n">
        <x:f>MAX(0,AE1092-AE1091)</x:f>
        <x:v>0</x:v>
      </x:c>
      <x:c r="AG1092" s="9" t="str">
        <x:f>IF(AF1092&gt;0,B1092,"")</x:f>
      </x:c>
      <x:c r="AH1092" s="9" t="n">
        <x:f>IF(F1092&gt;=1,1,(1+tun_LowTiesShare*(AE1092-1))/AE1092)</x:f>
        <x:v>1</x:v>
      </x:c>
      <x:c r="AI1092" s="32" t="n">
        <x:f>(Z1092+tun_ElderCommons*INDEX(LM_Elder,G1092)*AA1092)*AH1092</x:f>
        <x:v>238215.0665857503</x:v>
      </x:c>
      <x:c r="AJ1092" s="32" t="n">
        <x:f>H1092*tun_CommonsCoef*AI1092^tun_CommonsExp*INDEX(LM_Commons,G1092)</x:f>
        <x:v>0</x:v>
      </x:c>
      <x:c r="AK1092" s="32" t="n">
        <x:f>H1092*tun_RoleScale*Arch_Roles*(AE1092*(INDEX(tun_ElderRolePerSett,G1092)*tun_OutElder*INDEX(LM_Elder,G1092)+INDEX(tun_ShamanPerSett,G1092)*tun_OutShaman)+Z1092*(INDEX(tun_PriestShare,G1092)*tun_OutPriest+INDEX(tun_ScribeShare,G1092)*tun_OutScribe*INDEX(LM_Scribe,G1092)+INDEX(tun_ScholarShare,G1092)*tun_OutScholar*INDEX(LM_Scholar,G1092)+INDEX(tun_ResearcherShare,G1092)*tun_OutResearcher*INDEX(LM_Researcher,G1092)))</x:f>
        <x:v>0</x:v>
      </x:c>
      <x:c r="AL1092" s="32" t="n">
        <x:f>H1092*tun_RoleScale*Arch_Roles*AE1092*INDEX(tun_MonasteryPerSett,G1092)*tun_OutMonastery*INDEX(LM_Monastery,G1092)</x:f>
        <x:v>0</x:v>
      </x:c>
      <x:c r="AM1092" s="32" t="n">
        <x:f>(AJ1092+AK1092+AL1092)/4*INDEX(LM_All,G1092)*INDEX(tun_Boon,G1092)*Arch_Insight</x:f>
        <x:v>0</x:v>
      </x:c>
      <x:c r="AN1092" s="32" t="n">
        <x:f>H1092*(tun_KHPerAdult*Z1092+tun_KHOfCommons*AJ1092/4*INDEX(LM_All,G1092))*tun_KHUsable*Arch_KH</x:f>
        <x:v>0</x:v>
      </x:c>
      <x:c r="AO1092" s="32" t="n">
        <x:f>MIN(AP1091+AN1092,AM1092*tun_KHMaxRatio)</x:f>
        <x:v>0</x:v>
      </x:c>
      <x:c r="AP1092" s="32" t="n">
        <x:f>AP1091+AN1092-AO1092</x:f>
        <x:v>0</x:v>
      </x:c>
      <x:c r="AQ1092" s="32" t="n">
        <x:f>AM1092+AO1092</x:f>
        <x:v>0</x:v>
      </x:c>
      <x:c r="AR1092" s="10" t="n">
        <x:f>IF(H1092=1,INDEX(tun_Req,G1092),0)</x:f>
        <x:v>0</x:v>
      </x:c>
      <x:c r="AS1092" s="32" t="n">
        <x:f>IF(H1092=1,IF(E1092=1,AS1091-AR1091,AS1091)+AQ1092,0)</x:f>
        <x:v>0</x:v>
      </x:c>
      <x:c r="AT1092" s="11" t="n">
        <x:f>IF(AR1092&gt;0,MIN(1,AS1092/AR1092),1)</x:f>
        <x:v>1</x:v>
      </x:c>
      <x:c r="AU1092" s="10" t="n">
        <x:f>AB1092/INDEX(tun_RepScale,G1092)</x:f>
        <x:v>290.3368848566301</x:v>
      </x:c>
      <x:c r="AV1092" s="32" t="n">
        <x:f>AM1092*60/tun_SeasonSeconds</x:f>
        <x:v>0</x:v>
      </x:c>
    </x:row>
    <x:row r="1093">
      <x:c r="A1093" s="8" t="n">
        <x:f>A1092+1</x:f>
        <x:v>1090</x:v>
      </x:c>
      <x:c r="B1093" s="9" t="n">
        <x:f>A1093*tun_SeasonSeconds/60</x:f>
        <x:v>272.5</x:v>
      </x:c>
      <x:c r="C1093" s="9" t="n">
        <x:f>A1093/4</x:f>
        <x:v>272.5</x:v>
      </x:c>
      <x:c r="D1093" s="8" t="n">
        <x:f>IF(MOD(A1093,4)=0,1,0)</x:f>
        <x:v>0</x:v>
      </x:c>
      <x:c r="E1093" s="8" t="n">
        <x:f>IF(AND(F1092&lt;=9,AS1092&gt;=AR1092),1,0)</x:f>
        <x:v>0</x:v>
      </x:c>
      <x:c r="F1093" s="8" t="n">
        <x:f>MIN(10,F1092+E1093)</x:f>
        <x:v>10</x:v>
      </x:c>
      <x:c r="G1093" s="8" t="n">
        <x:f>MIN(F1093,9)+1</x:f>
        <x:v>10</x:v>
      </x:c>
      <x:c r="H1093" s="8" t="n">
        <x:f>IF(F1093&lt;=9,1,0)</x:f>
        <x:v>0</x:v>
      </x:c>
      <x:c r="I1093" s="9" t="n">
        <x:f>MIN(10,F1092+IF(AR1092&gt;0,MIN(1,AS1092/AR1092),1))</x:f>
        <x:v>10</x:v>
      </x:c>
      <x:c r="J1093" s="32" t="n">
        <x:f>INDEX(tun_FoodCap,G1093)*Arch_FoodCap*EXP(tun_CapsByProject*SUMPRODUCT((Cap_Point&lt;=I1093)*(Cap_Kind="Food")*Cap_Ln))</x:f>
        <x:v>18627.260449441455</x:v>
      </x:c>
      <x:c r="K1093" s="32" t="n">
        <x:f>J1093*MIN(1,tun_LeanBase*EXP(tun_CapsByProject*SUMPRODUCT((Cap_Point&lt;=I1093)*(Cap_Kind="Lean")*Cap_Ln)))</x:f>
        <x:v>18627.260449441455</x:v>
      </x:c>
      <x:c r="L1093" s="10" t="n">
        <x:f>INDEX(tun_HousingCap,G1093)*EXP(tun_CapsByProject*SUMPRODUCT((Cap_Point&lt;=I1093)*(Cap_Kind="Housing")*Cap_Ln))</x:f>
        <x:v>20528.974303173167</x:v>
      </x:c>
      <x:c r="M1093" s="10" t="n">
        <x:f>INDEX(tun_GroupCap,G1093)*tun_CohesionFactor*EXP(tun_CapsByProject*SUMPRODUCT((Cap_Point&lt;=I1093)*(Cap_Kind="Group")*Cap_Ln))</x:f>
        <x:v>1000000.000000001</x:v>
      </x:c>
      <x:c r="N1093" s="32" t="n">
        <x:f>MIN(J1093,L1093,M1093)</x:f>
        <x:v>18627.260449441455</x:v>
      </x:c>
      <x:c r="O1093" s="10" t="n">
        <x:f>AE1092*N1093</x:f>
        <x:v>167645.34404497308</x:v>
      </x:c>
      <x:c r="P1093" s="9" t="n">
        <x:f>MIN(1,(AB1092/(AE1092*IF(tun_GroupInCrowding=1,N1093,MIN(J1093,L1093))))^tun_CrowdingExp)</x:f>
        <x:v>0.4215841981292809</x:v>
      </x:c>
      <x:c r="Q1093" s="9" t="n">
        <x:f>IF(D1093=1,INDEX(tun_WinterMult,G1093),1)</x:f>
        <x:v>1</x:v>
      </x:c>
      <x:c r="R1093" s="9" t="n">
        <x:f>H1093*Z1092*tun_WomenShare*tun_BaseFertility*INDEX(tun_FertMult,G1093)*Arch_Fertility*(1-P1093)</x:f>
        <x:v>0</x:v>
      </x:c>
      <x:c r="S1093" s="9" t="n">
        <x:f>H1093*Y1092*INDEX(tun_MortChild,G1093)/4*Q1093</x:f>
        <x:v>0</x:v>
      </x:c>
      <x:c r="T1093" s="9" t="n">
        <x:f>H1093*Z1092*INDEX(tun_MortAdult,G1093)*Arch_AdultMort/4*Q1093</x:f>
        <x:v>0</x:v>
      </x:c>
      <x:c r="U1093" s="9" t="n">
        <x:f>H1093*AA1092*INDEX(tun_MortElder,G1093)/4*Q1093</x:f>
        <x:v>0</x:v>
      </x:c>
      <x:c r="V1093" s="9" t="n">
        <x:f>H1093*MAX(0,AB1092-O1093)*tun_OvercapLoss</x:f>
        <x:v>0</x:v>
      </x:c>
      <x:c r="W1093" s="9" t="n">
        <x:f>H1093*Y1092/(tun_ChildYears*4)</x:f>
        <x:v>0</x:v>
      </x:c>
      <x:c r="X1093" s="9" t="n">
        <x:f>H1093*Z1092/(tun_AdultYears*4)</x:f>
        <x:v>0</x:v>
      </x:c>
      <x:c r="Y1093" s="32" t="n">
        <x:f>Y1092+R1093-S1093-W1093-Y1092*V1093/AB1092</x:f>
        <x:v>40496.20709015643</x:v>
      </x:c>
      <x:c r="Z1093" s="32" t="n">
        <x:f>Z1092+W1093-X1093-T1093-Z1092*V1093/AB1092</x:f>
        <x:v>59141.61122890803</x:v>
      </x:c>
      <x:c r="AA1093" s="32" t="n">
        <x:f>AA1092+X1093-U1093-AA1092*V1093/AB1092</x:f>
        <x:v>45530.62410925061</x:v>
      </x:c>
      <x:c r="AB1093" s="10" t="n">
        <x:f>Y1093+Z1093+AA1093</x:f>
        <x:v>145168.44242831506</x:v>
      </x:c>
      <x:c r="AC1093" s="8" t="n">
        <x:f>IF(AND(tun_WinterTrigger=1,D1093=1,AB1092/AE1092&gt;=K1093),1,0)</x:f>
        <x:v>0</x:v>
      </x:c>
      <x:c r="AD1093" s="8" t="n">
        <x:f>H1093*IF(AND(OR(AB1092/AE1092&gt;=tun_FissionTrigger*N1093,AC1093=1),AB1092/AE1092*tun_DaughterShare&gt;=tun_MinDaughter),MAX(1,ROUND(AE1092*tun_FissionRate,0)),0)</x:f>
        <x:v>0</x:v>
      </x:c>
      <x:c r="AE1093" s="8" t="n">
        <x:f>IF(H1093=1,MAX(1,MIN(INDEX(tun_Smax,G1093),AE1092+AD1093)),AE1092)</x:f>
        <x:v>9</x:v>
      </x:c>
      <x:c r="AF1093" s="8" t="n">
        <x:f>MAX(0,AE1093-AE1092)</x:f>
        <x:v>0</x:v>
      </x:c>
      <x:c r="AG1093" s="9" t="str">
        <x:f>IF(AF1093&gt;0,B1093,"")</x:f>
      </x:c>
      <x:c r="AH1093" s="9" t="n">
        <x:f>IF(F1093&gt;=1,1,(1+tun_LowTiesShare*(AE1093-1))/AE1093)</x:f>
        <x:v>1</x:v>
      </x:c>
      <x:c r="AI1093" s="32" t="n">
        <x:f>(Z1093+tun_ElderCommons*INDEX(LM_Elder,G1093)*AA1093)*AH1093</x:f>
        <x:v>238215.0665857503</x:v>
      </x:c>
      <x:c r="AJ1093" s="32" t="n">
        <x:f>H1093*tun_CommonsCoef*AI1093^tun_CommonsExp*INDEX(LM_Commons,G1093)</x:f>
        <x:v>0</x:v>
      </x:c>
      <x:c r="AK1093" s="32" t="n">
        <x:f>H1093*tun_RoleScale*Arch_Roles*(AE1093*(INDEX(tun_ElderRolePerSett,G1093)*tun_OutElder*INDEX(LM_Elder,G1093)+INDEX(tun_ShamanPerSett,G1093)*tun_OutShaman)+Z1093*(INDEX(tun_PriestShare,G1093)*tun_OutPriest+INDEX(tun_ScribeShare,G1093)*tun_OutScribe*INDEX(LM_Scribe,G1093)+INDEX(tun_ScholarShare,G1093)*tun_OutScholar*INDEX(LM_Scholar,G1093)+INDEX(tun_ResearcherShare,G1093)*tun_OutResearcher*INDEX(LM_Researcher,G1093)))</x:f>
        <x:v>0</x:v>
      </x:c>
      <x:c r="AL1093" s="32" t="n">
        <x:f>H1093*tun_RoleScale*Arch_Roles*AE1093*INDEX(tun_MonasteryPerSett,G1093)*tun_OutMonastery*INDEX(LM_Monastery,G1093)</x:f>
        <x:v>0</x:v>
      </x:c>
      <x:c r="AM1093" s="32" t="n">
        <x:f>(AJ1093+AK1093+AL1093)/4*INDEX(LM_All,G1093)*INDEX(tun_Boon,G1093)*Arch_Insight</x:f>
        <x:v>0</x:v>
      </x:c>
      <x:c r="AN1093" s="32" t="n">
        <x:f>H1093*(tun_KHPerAdult*Z1093+tun_KHOfCommons*AJ1093/4*INDEX(LM_All,G1093))*tun_KHUsable*Arch_KH</x:f>
        <x:v>0</x:v>
      </x:c>
      <x:c r="AO1093" s="32" t="n">
        <x:f>MIN(AP1092+AN1093,AM1093*tun_KHMaxRatio)</x:f>
        <x:v>0</x:v>
      </x:c>
      <x:c r="AP1093" s="32" t="n">
        <x:f>AP1092+AN1093-AO1093</x:f>
        <x:v>0</x:v>
      </x:c>
      <x:c r="AQ1093" s="32" t="n">
        <x:f>AM1093+AO1093</x:f>
        <x:v>0</x:v>
      </x:c>
      <x:c r="AR1093" s="10" t="n">
        <x:f>IF(H1093=1,INDEX(tun_Req,G1093),0)</x:f>
        <x:v>0</x:v>
      </x:c>
      <x:c r="AS1093" s="32" t="n">
        <x:f>IF(H1093=1,IF(E1093=1,AS1092-AR1092,AS1092)+AQ1093,0)</x:f>
        <x:v>0</x:v>
      </x:c>
      <x:c r="AT1093" s="11" t="n">
        <x:f>IF(AR1093&gt;0,MIN(1,AS1093/AR1093),1)</x:f>
        <x:v>1</x:v>
      </x:c>
      <x:c r="AU1093" s="10" t="n">
        <x:f>AB1093/INDEX(tun_RepScale,G1093)</x:f>
        <x:v>290.3368848566301</x:v>
      </x:c>
      <x:c r="AV1093" s="32" t="n">
        <x:f>AM1093*60/tun_SeasonSeconds</x:f>
        <x:v>0</x:v>
      </x:c>
    </x:row>
    <x:row r="1094">
      <x:c r="A1094" s="8" t="n">
        <x:f>A1093+1</x:f>
        <x:v>1091</x:v>
      </x:c>
      <x:c r="B1094" s="9" t="n">
        <x:f>A1094*tun_SeasonSeconds/60</x:f>
        <x:v>272.75</x:v>
      </x:c>
      <x:c r="C1094" s="9" t="n">
        <x:f>A1094/4</x:f>
        <x:v>272.75</x:v>
      </x:c>
      <x:c r="D1094" s="8" t="n">
        <x:f>IF(MOD(A1094,4)=0,1,0)</x:f>
        <x:v>0</x:v>
      </x:c>
      <x:c r="E1094" s="8" t="n">
        <x:f>IF(AND(F1093&lt;=9,AS1093&gt;=AR1093),1,0)</x:f>
        <x:v>0</x:v>
      </x:c>
      <x:c r="F1094" s="8" t="n">
        <x:f>MIN(10,F1093+E1094)</x:f>
        <x:v>10</x:v>
      </x:c>
      <x:c r="G1094" s="8" t="n">
        <x:f>MIN(F1094,9)+1</x:f>
        <x:v>10</x:v>
      </x:c>
      <x:c r="H1094" s="8" t="n">
        <x:f>IF(F1094&lt;=9,1,0)</x:f>
        <x:v>0</x:v>
      </x:c>
      <x:c r="I1094" s="9" t="n">
        <x:f>MIN(10,F1093+IF(AR1093&gt;0,MIN(1,AS1093/AR1093),1))</x:f>
        <x:v>10</x:v>
      </x:c>
      <x:c r="J1094" s="32" t="n">
        <x:f>INDEX(tun_FoodCap,G1094)*Arch_FoodCap*EXP(tun_CapsByProject*SUMPRODUCT((Cap_Point&lt;=I1094)*(Cap_Kind="Food")*Cap_Ln))</x:f>
        <x:v>18627.260449441455</x:v>
      </x:c>
      <x:c r="K1094" s="32" t="n">
        <x:f>J1094*MIN(1,tun_LeanBase*EXP(tun_CapsByProject*SUMPRODUCT((Cap_Point&lt;=I1094)*(Cap_Kind="Lean")*Cap_Ln)))</x:f>
        <x:v>18627.260449441455</x:v>
      </x:c>
      <x:c r="L1094" s="10" t="n">
        <x:f>INDEX(tun_HousingCap,G1094)*EXP(tun_CapsByProject*SUMPRODUCT((Cap_Point&lt;=I1094)*(Cap_Kind="Housing")*Cap_Ln))</x:f>
        <x:v>20528.974303173167</x:v>
      </x:c>
      <x:c r="M1094" s="10" t="n">
        <x:f>INDEX(tun_GroupCap,G1094)*tun_CohesionFactor*EXP(tun_CapsByProject*SUMPRODUCT((Cap_Point&lt;=I1094)*(Cap_Kind="Group")*Cap_Ln))</x:f>
        <x:v>1000000.000000001</x:v>
      </x:c>
      <x:c r="N1094" s="32" t="n">
        <x:f>MIN(J1094,L1094,M1094)</x:f>
        <x:v>18627.260449441455</x:v>
      </x:c>
      <x:c r="O1094" s="10" t="n">
        <x:f>AE1093*N1094</x:f>
        <x:v>167645.34404497308</x:v>
      </x:c>
      <x:c r="P1094" s="9" t="n">
        <x:f>MIN(1,(AB1093/(AE1093*IF(tun_GroupInCrowding=1,N1094,MIN(J1094,L1094))))^tun_CrowdingExp)</x:f>
        <x:v>0.4215841981292809</x:v>
      </x:c>
      <x:c r="Q1094" s="9" t="n">
        <x:f>IF(D1094=1,INDEX(tun_WinterMult,G1094),1)</x:f>
        <x:v>1</x:v>
      </x:c>
      <x:c r="R1094" s="9" t="n">
        <x:f>H1094*Z1093*tun_WomenShare*tun_BaseFertility*INDEX(tun_FertMult,G1094)*Arch_Fertility*(1-P1094)</x:f>
        <x:v>0</x:v>
      </x:c>
      <x:c r="S1094" s="9" t="n">
        <x:f>H1094*Y1093*INDEX(tun_MortChild,G1094)/4*Q1094</x:f>
        <x:v>0</x:v>
      </x:c>
      <x:c r="T1094" s="9" t="n">
        <x:f>H1094*Z1093*INDEX(tun_MortAdult,G1094)*Arch_AdultMort/4*Q1094</x:f>
        <x:v>0</x:v>
      </x:c>
      <x:c r="U1094" s="9" t="n">
        <x:f>H1094*AA1093*INDEX(tun_MortElder,G1094)/4*Q1094</x:f>
        <x:v>0</x:v>
      </x:c>
      <x:c r="V1094" s="9" t="n">
        <x:f>H1094*MAX(0,AB1093-O1094)*tun_OvercapLoss</x:f>
        <x:v>0</x:v>
      </x:c>
      <x:c r="W1094" s="9" t="n">
        <x:f>H1094*Y1093/(tun_ChildYears*4)</x:f>
        <x:v>0</x:v>
      </x:c>
      <x:c r="X1094" s="9" t="n">
        <x:f>H1094*Z1093/(tun_AdultYears*4)</x:f>
        <x:v>0</x:v>
      </x:c>
      <x:c r="Y1094" s="32" t="n">
        <x:f>Y1093+R1094-S1094-W1094-Y1093*V1094/AB1093</x:f>
        <x:v>40496.20709015643</x:v>
      </x:c>
      <x:c r="Z1094" s="32" t="n">
        <x:f>Z1093+W1094-X1094-T1094-Z1093*V1094/AB1093</x:f>
        <x:v>59141.61122890803</x:v>
      </x:c>
      <x:c r="AA1094" s="32" t="n">
        <x:f>AA1093+X1094-U1094-AA1093*V1094/AB1093</x:f>
        <x:v>45530.62410925061</x:v>
      </x:c>
      <x:c r="AB1094" s="10" t="n">
        <x:f>Y1094+Z1094+AA1094</x:f>
        <x:v>145168.44242831506</x:v>
      </x:c>
      <x:c r="AC1094" s="8" t="n">
        <x:f>IF(AND(tun_WinterTrigger=1,D1094=1,AB1093/AE1093&gt;=K1094),1,0)</x:f>
        <x:v>0</x:v>
      </x:c>
      <x:c r="AD1094" s="8" t="n">
        <x:f>H1094*IF(AND(OR(AB1093/AE1093&gt;=tun_FissionTrigger*N1094,AC1094=1),AB1093/AE1093*tun_DaughterShare&gt;=tun_MinDaughter),MAX(1,ROUND(AE1093*tun_FissionRate,0)),0)</x:f>
        <x:v>0</x:v>
      </x:c>
      <x:c r="AE1094" s="8" t="n">
        <x:f>IF(H1094=1,MAX(1,MIN(INDEX(tun_Smax,G1094),AE1093+AD1094)),AE1093)</x:f>
        <x:v>9</x:v>
      </x:c>
      <x:c r="AF1094" s="8" t="n">
        <x:f>MAX(0,AE1094-AE1093)</x:f>
        <x:v>0</x:v>
      </x:c>
      <x:c r="AG1094" s="9" t="str">
        <x:f>IF(AF1094&gt;0,B1094,"")</x:f>
      </x:c>
      <x:c r="AH1094" s="9" t="n">
        <x:f>IF(F1094&gt;=1,1,(1+tun_LowTiesShare*(AE1094-1))/AE1094)</x:f>
        <x:v>1</x:v>
      </x:c>
      <x:c r="AI1094" s="32" t="n">
        <x:f>(Z1094+tun_ElderCommons*INDEX(LM_Elder,G1094)*AA1094)*AH1094</x:f>
        <x:v>238215.0665857503</x:v>
      </x:c>
      <x:c r="AJ1094" s="32" t="n">
        <x:f>H1094*tun_CommonsCoef*AI1094^tun_CommonsExp*INDEX(LM_Commons,G1094)</x:f>
        <x:v>0</x:v>
      </x:c>
      <x:c r="AK1094" s="32" t="n">
        <x:f>H1094*tun_RoleScale*Arch_Roles*(AE1094*(INDEX(tun_ElderRolePerSett,G1094)*tun_OutElder*INDEX(LM_Elder,G1094)+INDEX(tun_ShamanPerSett,G1094)*tun_OutShaman)+Z1094*(INDEX(tun_PriestShare,G1094)*tun_OutPriest+INDEX(tun_ScribeShare,G1094)*tun_OutScribe*INDEX(LM_Scribe,G1094)+INDEX(tun_ScholarShare,G1094)*tun_OutScholar*INDEX(LM_Scholar,G1094)+INDEX(tun_ResearcherShare,G1094)*tun_OutResearcher*INDEX(LM_Researcher,G1094)))</x:f>
        <x:v>0</x:v>
      </x:c>
      <x:c r="AL1094" s="32" t="n">
        <x:f>H1094*tun_RoleScale*Arch_Roles*AE1094*INDEX(tun_MonasteryPerSett,G1094)*tun_OutMonastery*INDEX(LM_Monastery,G1094)</x:f>
        <x:v>0</x:v>
      </x:c>
      <x:c r="AM1094" s="32" t="n">
        <x:f>(AJ1094+AK1094+AL1094)/4*INDEX(LM_All,G1094)*INDEX(tun_Boon,G1094)*Arch_Insight</x:f>
        <x:v>0</x:v>
      </x:c>
      <x:c r="AN1094" s="32" t="n">
        <x:f>H1094*(tun_KHPerAdult*Z1094+tun_KHOfCommons*AJ1094/4*INDEX(LM_All,G1094))*tun_KHUsable*Arch_KH</x:f>
        <x:v>0</x:v>
      </x:c>
      <x:c r="AO1094" s="32" t="n">
        <x:f>MIN(AP1093+AN1094,AM1094*tun_KHMaxRatio)</x:f>
        <x:v>0</x:v>
      </x:c>
      <x:c r="AP1094" s="32" t="n">
        <x:f>AP1093+AN1094-AO1094</x:f>
        <x:v>0</x:v>
      </x:c>
      <x:c r="AQ1094" s="32" t="n">
        <x:f>AM1094+AO1094</x:f>
        <x:v>0</x:v>
      </x:c>
      <x:c r="AR1094" s="10" t="n">
        <x:f>IF(H1094=1,INDEX(tun_Req,G1094),0)</x:f>
        <x:v>0</x:v>
      </x:c>
      <x:c r="AS1094" s="32" t="n">
        <x:f>IF(H1094=1,IF(E1094=1,AS1093-AR1093,AS1093)+AQ1094,0)</x:f>
        <x:v>0</x:v>
      </x:c>
      <x:c r="AT1094" s="11" t="n">
        <x:f>IF(AR1094&gt;0,MIN(1,AS1094/AR1094),1)</x:f>
        <x:v>1</x:v>
      </x:c>
      <x:c r="AU1094" s="10" t="n">
        <x:f>AB1094/INDEX(tun_RepScale,G1094)</x:f>
        <x:v>290.3368848566301</x:v>
      </x:c>
      <x:c r="AV1094" s="32" t="n">
        <x:f>AM1094*60/tun_SeasonSeconds</x:f>
        <x:v>0</x:v>
      </x:c>
    </x:row>
    <x:row r="1095">
      <x:c r="A1095" s="8" t="n">
        <x:f>A1094+1</x:f>
        <x:v>1092</x:v>
      </x:c>
      <x:c r="B1095" s="9" t="n">
        <x:f>A1095*tun_SeasonSeconds/60</x:f>
        <x:v>273</x:v>
      </x:c>
      <x:c r="C1095" s="9" t="n">
        <x:f>A1095/4</x:f>
        <x:v>273</x:v>
      </x:c>
      <x:c r="D1095" s="8" t="n">
        <x:f>IF(MOD(A1095,4)=0,1,0)</x:f>
        <x:v>1</x:v>
      </x:c>
      <x:c r="E1095" s="8" t="n">
        <x:f>IF(AND(F1094&lt;=9,AS1094&gt;=AR1094),1,0)</x:f>
        <x:v>0</x:v>
      </x:c>
      <x:c r="F1095" s="8" t="n">
        <x:f>MIN(10,F1094+E1095)</x:f>
        <x:v>10</x:v>
      </x:c>
      <x:c r="G1095" s="8" t="n">
        <x:f>MIN(F1095,9)+1</x:f>
        <x:v>10</x:v>
      </x:c>
      <x:c r="H1095" s="8" t="n">
        <x:f>IF(F1095&lt;=9,1,0)</x:f>
        <x:v>0</x:v>
      </x:c>
      <x:c r="I1095" s="9" t="n">
        <x:f>MIN(10,F1094+IF(AR1094&gt;0,MIN(1,AS1094/AR1094),1))</x:f>
        <x:v>10</x:v>
      </x:c>
      <x:c r="J1095" s="32" t="n">
        <x:f>INDEX(tun_FoodCap,G1095)*Arch_FoodCap*EXP(tun_CapsByProject*SUMPRODUCT((Cap_Point&lt;=I1095)*(Cap_Kind="Food")*Cap_Ln))</x:f>
        <x:v>18627.260449441455</x:v>
      </x:c>
      <x:c r="K1095" s="32" t="n">
        <x:f>J1095*MIN(1,tun_LeanBase*EXP(tun_CapsByProject*SUMPRODUCT((Cap_Point&lt;=I1095)*(Cap_Kind="Lean")*Cap_Ln)))</x:f>
        <x:v>18627.260449441455</x:v>
      </x:c>
      <x:c r="L1095" s="10" t="n">
        <x:f>INDEX(tun_HousingCap,G1095)*EXP(tun_CapsByProject*SUMPRODUCT((Cap_Point&lt;=I1095)*(Cap_Kind="Housing")*Cap_Ln))</x:f>
        <x:v>20528.974303173167</x:v>
      </x:c>
      <x:c r="M1095" s="10" t="n">
        <x:f>INDEX(tun_GroupCap,G1095)*tun_CohesionFactor*EXP(tun_CapsByProject*SUMPRODUCT((Cap_Point&lt;=I1095)*(Cap_Kind="Group")*Cap_Ln))</x:f>
        <x:v>1000000.000000001</x:v>
      </x:c>
      <x:c r="N1095" s="32" t="n">
        <x:f>MIN(J1095,L1095,M1095)</x:f>
        <x:v>18627.260449441455</x:v>
      </x:c>
      <x:c r="O1095" s="10" t="n">
        <x:f>AE1094*N1095</x:f>
        <x:v>167645.34404497308</x:v>
      </x:c>
      <x:c r="P1095" s="9" t="n">
        <x:f>MIN(1,(AB1094/(AE1094*IF(tun_GroupInCrowding=1,N1095,MIN(J1095,L1095))))^tun_CrowdingExp)</x:f>
        <x:v>0.4215841981292809</x:v>
      </x:c>
      <x:c r="Q1095" s="9" t="n">
        <x:f>IF(D1095=1,INDEX(tun_WinterMult,G1095),1)</x:f>
        <x:v>1.05</x:v>
      </x:c>
      <x:c r="R1095" s="9" t="n">
        <x:f>H1095*Z1094*tun_WomenShare*tun_BaseFertility*INDEX(tun_FertMult,G1095)*Arch_Fertility*(1-P1095)</x:f>
        <x:v>0</x:v>
      </x:c>
      <x:c r="S1095" s="9" t="n">
        <x:f>H1095*Y1094*INDEX(tun_MortChild,G1095)/4*Q1095</x:f>
        <x:v>0</x:v>
      </x:c>
      <x:c r="T1095" s="9" t="n">
        <x:f>H1095*Z1094*INDEX(tun_MortAdult,G1095)*Arch_AdultMort/4*Q1095</x:f>
        <x:v>0</x:v>
      </x:c>
      <x:c r="U1095" s="9" t="n">
        <x:f>H1095*AA1094*INDEX(tun_MortElder,G1095)/4*Q1095</x:f>
        <x:v>0</x:v>
      </x:c>
      <x:c r="V1095" s="9" t="n">
        <x:f>H1095*MAX(0,AB1094-O1095)*tun_OvercapLoss</x:f>
        <x:v>0</x:v>
      </x:c>
      <x:c r="W1095" s="9" t="n">
        <x:f>H1095*Y1094/(tun_ChildYears*4)</x:f>
        <x:v>0</x:v>
      </x:c>
      <x:c r="X1095" s="9" t="n">
        <x:f>H1095*Z1094/(tun_AdultYears*4)</x:f>
        <x:v>0</x:v>
      </x:c>
      <x:c r="Y1095" s="32" t="n">
        <x:f>Y1094+R1095-S1095-W1095-Y1094*V1095/AB1094</x:f>
        <x:v>40496.20709015643</x:v>
      </x:c>
      <x:c r="Z1095" s="32" t="n">
        <x:f>Z1094+W1095-X1095-T1095-Z1094*V1095/AB1094</x:f>
        <x:v>59141.61122890803</x:v>
      </x:c>
      <x:c r="AA1095" s="32" t="n">
        <x:f>AA1094+X1095-U1095-AA1094*V1095/AB1094</x:f>
        <x:v>45530.62410925061</x:v>
      </x:c>
      <x:c r="AB1095" s="10" t="n">
        <x:f>Y1095+Z1095+AA1095</x:f>
        <x:v>145168.44242831506</x:v>
      </x:c>
      <x:c r="AC1095" s="8" t="n">
        <x:f>IF(AND(tun_WinterTrigger=1,D1095=1,AB1094/AE1094&gt;=K1095),1,0)</x:f>
        <x:v>0</x:v>
      </x:c>
      <x:c r="AD1095" s="8" t="n">
        <x:f>H1095*IF(AND(OR(AB1094/AE1094&gt;=tun_FissionTrigger*N1095,AC1095=1),AB1094/AE1094*tun_DaughterShare&gt;=tun_MinDaughter),MAX(1,ROUND(AE1094*tun_FissionRate,0)),0)</x:f>
        <x:v>0</x:v>
      </x:c>
      <x:c r="AE1095" s="8" t="n">
        <x:f>IF(H1095=1,MAX(1,MIN(INDEX(tun_Smax,G1095),AE1094+AD1095)),AE1094)</x:f>
        <x:v>9</x:v>
      </x:c>
      <x:c r="AF1095" s="8" t="n">
        <x:f>MAX(0,AE1095-AE1094)</x:f>
        <x:v>0</x:v>
      </x:c>
      <x:c r="AG1095" s="9" t="str">
        <x:f>IF(AF1095&gt;0,B1095,"")</x:f>
      </x:c>
      <x:c r="AH1095" s="9" t="n">
        <x:f>IF(F1095&gt;=1,1,(1+tun_LowTiesShare*(AE1095-1))/AE1095)</x:f>
        <x:v>1</x:v>
      </x:c>
      <x:c r="AI1095" s="32" t="n">
        <x:f>(Z1095+tun_ElderCommons*INDEX(LM_Elder,G1095)*AA1095)*AH1095</x:f>
        <x:v>238215.0665857503</x:v>
      </x:c>
      <x:c r="AJ1095" s="32" t="n">
        <x:f>H1095*tun_CommonsCoef*AI1095^tun_CommonsExp*INDEX(LM_Commons,G1095)</x:f>
        <x:v>0</x:v>
      </x:c>
      <x:c r="AK1095" s="32" t="n">
        <x:f>H1095*tun_RoleScale*Arch_Roles*(AE1095*(INDEX(tun_ElderRolePerSett,G1095)*tun_OutElder*INDEX(LM_Elder,G1095)+INDEX(tun_ShamanPerSett,G1095)*tun_OutShaman)+Z1095*(INDEX(tun_PriestShare,G1095)*tun_OutPriest+INDEX(tun_ScribeShare,G1095)*tun_OutScribe*INDEX(LM_Scribe,G1095)+INDEX(tun_ScholarShare,G1095)*tun_OutScholar*INDEX(LM_Scholar,G1095)+INDEX(tun_ResearcherShare,G1095)*tun_OutResearcher*INDEX(LM_Researcher,G1095)))</x:f>
        <x:v>0</x:v>
      </x:c>
      <x:c r="AL1095" s="32" t="n">
        <x:f>H1095*tun_RoleScale*Arch_Roles*AE1095*INDEX(tun_MonasteryPerSett,G1095)*tun_OutMonastery*INDEX(LM_Monastery,G1095)</x:f>
        <x:v>0</x:v>
      </x:c>
      <x:c r="AM1095" s="32" t="n">
        <x:f>(AJ1095+AK1095+AL1095)/4*INDEX(LM_All,G1095)*INDEX(tun_Boon,G1095)*Arch_Insight</x:f>
        <x:v>0</x:v>
      </x:c>
      <x:c r="AN1095" s="32" t="n">
        <x:f>H1095*(tun_KHPerAdult*Z1095+tun_KHOfCommons*AJ1095/4*INDEX(LM_All,G1095))*tun_KHUsable*Arch_KH</x:f>
        <x:v>0</x:v>
      </x:c>
      <x:c r="AO1095" s="32" t="n">
        <x:f>MIN(AP1094+AN1095,AM1095*tun_KHMaxRatio)</x:f>
        <x:v>0</x:v>
      </x:c>
      <x:c r="AP1095" s="32" t="n">
        <x:f>AP1094+AN1095-AO1095</x:f>
        <x:v>0</x:v>
      </x:c>
      <x:c r="AQ1095" s="32" t="n">
        <x:f>AM1095+AO1095</x:f>
        <x:v>0</x:v>
      </x:c>
      <x:c r="AR1095" s="10" t="n">
        <x:f>IF(H1095=1,INDEX(tun_Req,G1095),0)</x:f>
        <x:v>0</x:v>
      </x:c>
      <x:c r="AS1095" s="32" t="n">
        <x:f>IF(H1095=1,IF(E1095=1,AS1094-AR1094,AS1094)+AQ1095,0)</x:f>
        <x:v>0</x:v>
      </x:c>
      <x:c r="AT1095" s="11" t="n">
        <x:f>IF(AR1095&gt;0,MIN(1,AS1095/AR1095),1)</x:f>
        <x:v>1</x:v>
      </x:c>
      <x:c r="AU1095" s="10" t="n">
        <x:f>AB1095/INDEX(tun_RepScale,G1095)</x:f>
        <x:v>290.3368848566301</x:v>
      </x:c>
      <x:c r="AV1095" s="32" t="n">
        <x:f>AM1095*60/tun_SeasonSeconds</x:f>
        <x:v>0</x:v>
      </x:c>
    </x:row>
    <x:row r="1096">
      <x:c r="A1096" s="8" t="n">
        <x:f>A1095+1</x:f>
        <x:v>1093</x:v>
      </x:c>
      <x:c r="B1096" s="9" t="n">
        <x:f>A1096*tun_SeasonSeconds/60</x:f>
        <x:v>273.25</x:v>
      </x:c>
      <x:c r="C1096" s="9" t="n">
        <x:f>A1096/4</x:f>
        <x:v>273.25</x:v>
      </x:c>
      <x:c r="D1096" s="8" t="n">
        <x:f>IF(MOD(A1096,4)=0,1,0)</x:f>
        <x:v>0</x:v>
      </x:c>
      <x:c r="E1096" s="8" t="n">
        <x:f>IF(AND(F1095&lt;=9,AS1095&gt;=AR1095),1,0)</x:f>
        <x:v>0</x:v>
      </x:c>
      <x:c r="F1096" s="8" t="n">
        <x:f>MIN(10,F1095+E1096)</x:f>
        <x:v>10</x:v>
      </x:c>
      <x:c r="G1096" s="8" t="n">
        <x:f>MIN(F1096,9)+1</x:f>
        <x:v>10</x:v>
      </x:c>
      <x:c r="H1096" s="8" t="n">
        <x:f>IF(F1096&lt;=9,1,0)</x:f>
        <x:v>0</x:v>
      </x:c>
      <x:c r="I1096" s="9" t="n">
        <x:f>MIN(10,F1095+IF(AR1095&gt;0,MIN(1,AS1095/AR1095),1))</x:f>
        <x:v>10</x:v>
      </x:c>
      <x:c r="J1096" s="32" t="n">
        <x:f>INDEX(tun_FoodCap,G1096)*Arch_FoodCap*EXP(tun_CapsByProject*SUMPRODUCT((Cap_Point&lt;=I1096)*(Cap_Kind="Food")*Cap_Ln))</x:f>
        <x:v>18627.260449441455</x:v>
      </x:c>
      <x:c r="K1096" s="32" t="n">
        <x:f>J1096*MIN(1,tun_LeanBase*EXP(tun_CapsByProject*SUMPRODUCT((Cap_Point&lt;=I1096)*(Cap_Kind="Lean")*Cap_Ln)))</x:f>
        <x:v>18627.260449441455</x:v>
      </x:c>
      <x:c r="L1096" s="10" t="n">
        <x:f>INDEX(tun_HousingCap,G1096)*EXP(tun_CapsByProject*SUMPRODUCT((Cap_Point&lt;=I1096)*(Cap_Kind="Housing")*Cap_Ln))</x:f>
        <x:v>20528.974303173167</x:v>
      </x:c>
      <x:c r="M1096" s="10" t="n">
        <x:f>INDEX(tun_GroupCap,G1096)*tun_CohesionFactor*EXP(tun_CapsByProject*SUMPRODUCT((Cap_Point&lt;=I1096)*(Cap_Kind="Group")*Cap_Ln))</x:f>
        <x:v>1000000.000000001</x:v>
      </x:c>
      <x:c r="N1096" s="32" t="n">
        <x:f>MIN(J1096,L1096,M1096)</x:f>
        <x:v>18627.260449441455</x:v>
      </x:c>
      <x:c r="O1096" s="10" t="n">
        <x:f>AE1095*N1096</x:f>
        <x:v>167645.34404497308</x:v>
      </x:c>
      <x:c r="P1096" s="9" t="n">
        <x:f>MIN(1,(AB1095/(AE1095*IF(tun_GroupInCrowding=1,N1096,MIN(J1096,L1096))))^tun_CrowdingExp)</x:f>
        <x:v>0.4215841981292809</x:v>
      </x:c>
      <x:c r="Q1096" s="9" t="n">
        <x:f>IF(D1096=1,INDEX(tun_WinterMult,G1096),1)</x:f>
        <x:v>1</x:v>
      </x:c>
      <x:c r="R1096" s="9" t="n">
        <x:f>H1096*Z1095*tun_WomenShare*tun_BaseFertility*INDEX(tun_FertMult,G1096)*Arch_Fertility*(1-P1096)</x:f>
        <x:v>0</x:v>
      </x:c>
      <x:c r="S1096" s="9" t="n">
        <x:f>H1096*Y1095*INDEX(tun_MortChild,G1096)/4*Q1096</x:f>
        <x:v>0</x:v>
      </x:c>
      <x:c r="T1096" s="9" t="n">
        <x:f>H1096*Z1095*INDEX(tun_MortAdult,G1096)*Arch_AdultMort/4*Q1096</x:f>
        <x:v>0</x:v>
      </x:c>
      <x:c r="U1096" s="9" t="n">
        <x:f>H1096*AA1095*INDEX(tun_MortElder,G1096)/4*Q1096</x:f>
        <x:v>0</x:v>
      </x:c>
      <x:c r="V1096" s="9" t="n">
        <x:f>H1096*MAX(0,AB1095-O1096)*tun_OvercapLoss</x:f>
        <x:v>0</x:v>
      </x:c>
      <x:c r="W1096" s="9" t="n">
        <x:f>H1096*Y1095/(tun_ChildYears*4)</x:f>
        <x:v>0</x:v>
      </x:c>
      <x:c r="X1096" s="9" t="n">
        <x:f>H1096*Z1095/(tun_AdultYears*4)</x:f>
        <x:v>0</x:v>
      </x:c>
      <x:c r="Y1096" s="32" t="n">
        <x:f>Y1095+R1096-S1096-W1096-Y1095*V1096/AB1095</x:f>
        <x:v>40496.20709015643</x:v>
      </x:c>
      <x:c r="Z1096" s="32" t="n">
        <x:f>Z1095+W1096-X1096-T1096-Z1095*V1096/AB1095</x:f>
        <x:v>59141.61122890803</x:v>
      </x:c>
      <x:c r="AA1096" s="32" t="n">
        <x:f>AA1095+X1096-U1096-AA1095*V1096/AB1095</x:f>
        <x:v>45530.62410925061</x:v>
      </x:c>
      <x:c r="AB1096" s="10" t="n">
        <x:f>Y1096+Z1096+AA1096</x:f>
        <x:v>145168.44242831506</x:v>
      </x:c>
      <x:c r="AC1096" s="8" t="n">
        <x:f>IF(AND(tun_WinterTrigger=1,D1096=1,AB1095/AE1095&gt;=K1096),1,0)</x:f>
        <x:v>0</x:v>
      </x:c>
      <x:c r="AD1096" s="8" t="n">
        <x:f>H1096*IF(AND(OR(AB1095/AE1095&gt;=tun_FissionTrigger*N1096,AC1096=1),AB1095/AE1095*tun_DaughterShare&gt;=tun_MinDaughter),MAX(1,ROUND(AE1095*tun_FissionRate,0)),0)</x:f>
        <x:v>0</x:v>
      </x:c>
      <x:c r="AE1096" s="8" t="n">
        <x:f>IF(H1096=1,MAX(1,MIN(INDEX(tun_Smax,G1096),AE1095+AD1096)),AE1095)</x:f>
        <x:v>9</x:v>
      </x:c>
      <x:c r="AF1096" s="8" t="n">
        <x:f>MAX(0,AE1096-AE1095)</x:f>
        <x:v>0</x:v>
      </x:c>
      <x:c r="AG1096" s="9" t="str">
        <x:f>IF(AF1096&gt;0,B1096,"")</x:f>
      </x:c>
      <x:c r="AH1096" s="9" t="n">
        <x:f>IF(F1096&gt;=1,1,(1+tun_LowTiesShare*(AE1096-1))/AE1096)</x:f>
        <x:v>1</x:v>
      </x:c>
      <x:c r="AI1096" s="32" t="n">
        <x:f>(Z1096+tun_ElderCommons*INDEX(LM_Elder,G1096)*AA1096)*AH1096</x:f>
        <x:v>238215.0665857503</x:v>
      </x:c>
      <x:c r="AJ1096" s="32" t="n">
        <x:f>H1096*tun_CommonsCoef*AI1096^tun_CommonsExp*INDEX(LM_Commons,G1096)</x:f>
        <x:v>0</x:v>
      </x:c>
      <x:c r="AK1096" s="32" t="n">
        <x:f>H1096*tun_RoleScale*Arch_Roles*(AE1096*(INDEX(tun_ElderRolePerSett,G1096)*tun_OutElder*INDEX(LM_Elder,G1096)+INDEX(tun_ShamanPerSett,G1096)*tun_OutShaman)+Z1096*(INDEX(tun_PriestShare,G1096)*tun_OutPriest+INDEX(tun_ScribeShare,G1096)*tun_OutScribe*INDEX(LM_Scribe,G1096)+INDEX(tun_ScholarShare,G1096)*tun_OutScholar*INDEX(LM_Scholar,G1096)+INDEX(tun_ResearcherShare,G1096)*tun_OutResearcher*INDEX(LM_Researcher,G1096)))</x:f>
        <x:v>0</x:v>
      </x:c>
      <x:c r="AL1096" s="32" t="n">
        <x:f>H1096*tun_RoleScale*Arch_Roles*AE1096*INDEX(tun_MonasteryPerSett,G1096)*tun_OutMonastery*INDEX(LM_Monastery,G1096)</x:f>
        <x:v>0</x:v>
      </x:c>
      <x:c r="AM1096" s="32" t="n">
        <x:f>(AJ1096+AK1096+AL1096)/4*INDEX(LM_All,G1096)*INDEX(tun_Boon,G1096)*Arch_Insight</x:f>
        <x:v>0</x:v>
      </x:c>
      <x:c r="AN1096" s="32" t="n">
        <x:f>H1096*(tun_KHPerAdult*Z1096+tun_KHOfCommons*AJ1096/4*INDEX(LM_All,G1096))*tun_KHUsable*Arch_KH</x:f>
        <x:v>0</x:v>
      </x:c>
      <x:c r="AO1096" s="32" t="n">
        <x:f>MIN(AP1095+AN1096,AM1096*tun_KHMaxRatio)</x:f>
        <x:v>0</x:v>
      </x:c>
      <x:c r="AP1096" s="32" t="n">
        <x:f>AP1095+AN1096-AO1096</x:f>
        <x:v>0</x:v>
      </x:c>
      <x:c r="AQ1096" s="32" t="n">
        <x:f>AM1096+AO1096</x:f>
        <x:v>0</x:v>
      </x:c>
      <x:c r="AR1096" s="10" t="n">
        <x:f>IF(H1096=1,INDEX(tun_Req,G1096),0)</x:f>
        <x:v>0</x:v>
      </x:c>
      <x:c r="AS1096" s="32" t="n">
        <x:f>IF(H1096=1,IF(E1096=1,AS1095-AR1095,AS1095)+AQ1096,0)</x:f>
        <x:v>0</x:v>
      </x:c>
      <x:c r="AT1096" s="11" t="n">
        <x:f>IF(AR1096&gt;0,MIN(1,AS1096/AR1096),1)</x:f>
        <x:v>1</x:v>
      </x:c>
      <x:c r="AU1096" s="10" t="n">
        <x:f>AB1096/INDEX(tun_RepScale,G1096)</x:f>
        <x:v>290.3368848566301</x:v>
      </x:c>
      <x:c r="AV1096" s="32" t="n">
        <x:f>AM1096*60/tun_SeasonSeconds</x:f>
        <x:v>0</x:v>
      </x:c>
    </x:row>
    <x:row r="1097">
      <x:c r="A1097" s="8" t="n">
        <x:f>A1096+1</x:f>
        <x:v>1094</x:v>
      </x:c>
      <x:c r="B1097" s="9" t="n">
        <x:f>A1097*tun_SeasonSeconds/60</x:f>
        <x:v>273.5</x:v>
      </x:c>
      <x:c r="C1097" s="9" t="n">
        <x:f>A1097/4</x:f>
        <x:v>273.5</x:v>
      </x:c>
      <x:c r="D1097" s="8" t="n">
        <x:f>IF(MOD(A1097,4)=0,1,0)</x:f>
        <x:v>0</x:v>
      </x:c>
      <x:c r="E1097" s="8" t="n">
        <x:f>IF(AND(F1096&lt;=9,AS1096&gt;=AR1096),1,0)</x:f>
        <x:v>0</x:v>
      </x:c>
      <x:c r="F1097" s="8" t="n">
        <x:f>MIN(10,F1096+E1097)</x:f>
        <x:v>10</x:v>
      </x:c>
      <x:c r="G1097" s="8" t="n">
        <x:f>MIN(F1097,9)+1</x:f>
        <x:v>10</x:v>
      </x:c>
      <x:c r="H1097" s="8" t="n">
        <x:f>IF(F1097&lt;=9,1,0)</x:f>
        <x:v>0</x:v>
      </x:c>
      <x:c r="I1097" s="9" t="n">
        <x:f>MIN(10,F1096+IF(AR1096&gt;0,MIN(1,AS1096/AR1096),1))</x:f>
        <x:v>10</x:v>
      </x:c>
      <x:c r="J1097" s="32" t="n">
        <x:f>INDEX(tun_FoodCap,G1097)*Arch_FoodCap*EXP(tun_CapsByProject*SUMPRODUCT((Cap_Point&lt;=I1097)*(Cap_Kind="Food")*Cap_Ln))</x:f>
        <x:v>18627.260449441455</x:v>
      </x:c>
      <x:c r="K1097" s="32" t="n">
        <x:f>J1097*MIN(1,tun_LeanBase*EXP(tun_CapsByProject*SUMPRODUCT((Cap_Point&lt;=I1097)*(Cap_Kind="Lean")*Cap_Ln)))</x:f>
        <x:v>18627.260449441455</x:v>
      </x:c>
      <x:c r="L1097" s="10" t="n">
        <x:f>INDEX(tun_HousingCap,G1097)*EXP(tun_CapsByProject*SUMPRODUCT((Cap_Point&lt;=I1097)*(Cap_Kind="Housing")*Cap_Ln))</x:f>
        <x:v>20528.974303173167</x:v>
      </x:c>
      <x:c r="M1097" s="10" t="n">
        <x:f>INDEX(tun_GroupCap,G1097)*tun_CohesionFactor*EXP(tun_CapsByProject*SUMPRODUCT((Cap_Point&lt;=I1097)*(Cap_Kind="Group")*Cap_Ln))</x:f>
        <x:v>1000000.000000001</x:v>
      </x:c>
      <x:c r="N1097" s="32" t="n">
        <x:f>MIN(J1097,L1097,M1097)</x:f>
        <x:v>18627.260449441455</x:v>
      </x:c>
      <x:c r="O1097" s="10" t="n">
        <x:f>AE1096*N1097</x:f>
        <x:v>167645.34404497308</x:v>
      </x:c>
      <x:c r="P1097" s="9" t="n">
        <x:f>MIN(1,(AB1096/(AE1096*IF(tun_GroupInCrowding=1,N1097,MIN(J1097,L1097))))^tun_CrowdingExp)</x:f>
        <x:v>0.4215841981292809</x:v>
      </x:c>
      <x:c r="Q1097" s="9" t="n">
        <x:f>IF(D1097=1,INDEX(tun_WinterMult,G1097),1)</x:f>
        <x:v>1</x:v>
      </x:c>
      <x:c r="R1097" s="9" t="n">
        <x:f>H1097*Z1096*tun_WomenShare*tun_BaseFertility*INDEX(tun_FertMult,G1097)*Arch_Fertility*(1-P1097)</x:f>
        <x:v>0</x:v>
      </x:c>
      <x:c r="S1097" s="9" t="n">
        <x:f>H1097*Y1096*INDEX(tun_MortChild,G1097)/4*Q1097</x:f>
        <x:v>0</x:v>
      </x:c>
      <x:c r="T1097" s="9" t="n">
        <x:f>H1097*Z1096*INDEX(tun_MortAdult,G1097)*Arch_AdultMort/4*Q1097</x:f>
        <x:v>0</x:v>
      </x:c>
      <x:c r="U1097" s="9" t="n">
        <x:f>H1097*AA1096*INDEX(tun_MortElder,G1097)/4*Q1097</x:f>
        <x:v>0</x:v>
      </x:c>
      <x:c r="V1097" s="9" t="n">
        <x:f>H1097*MAX(0,AB1096-O1097)*tun_OvercapLoss</x:f>
        <x:v>0</x:v>
      </x:c>
      <x:c r="W1097" s="9" t="n">
        <x:f>H1097*Y1096/(tun_ChildYears*4)</x:f>
        <x:v>0</x:v>
      </x:c>
      <x:c r="X1097" s="9" t="n">
        <x:f>H1097*Z1096/(tun_AdultYears*4)</x:f>
        <x:v>0</x:v>
      </x:c>
      <x:c r="Y1097" s="32" t="n">
        <x:f>Y1096+R1097-S1097-W1097-Y1096*V1097/AB1096</x:f>
        <x:v>40496.20709015643</x:v>
      </x:c>
      <x:c r="Z1097" s="32" t="n">
        <x:f>Z1096+W1097-X1097-T1097-Z1096*V1097/AB1096</x:f>
        <x:v>59141.61122890803</x:v>
      </x:c>
      <x:c r="AA1097" s="32" t="n">
        <x:f>AA1096+X1097-U1097-AA1096*V1097/AB1096</x:f>
        <x:v>45530.62410925061</x:v>
      </x:c>
      <x:c r="AB1097" s="10" t="n">
        <x:f>Y1097+Z1097+AA1097</x:f>
        <x:v>145168.44242831506</x:v>
      </x:c>
      <x:c r="AC1097" s="8" t="n">
        <x:f>IF(AND(tun_WinterTrigger=1,D1097=1,AB1096/AE1096&gt;=K1097),1,0)</x:f>
        <x:v>0</x:v>
      </x:c>
      <x:c r="AD1097" s="8" t="n">
        <x:f>H1097*IF(AND(OR(AB1096/AE1096&gt;=tun_FissionTrigger*N1097,AC1097=1),AB1096/AE1096*tun_DaughterShare&gt;=tun_MinDaughter),MAX(1,ROUND(AE1096*tun_FissionRate,0)),0)</x:f>
        <x:v>0</x:v>
      </x:c>
      <x:c r="AE1097" s="8" t="n">
        <x:f>IF(H1097=1,MAX(1,MIN(INDEX(tun_Smax,G1097),AE1096+AD1097)),AE1096)</x:f>
        <x:v>9</x:v>
      </x:c>
      <x:c r="AF1097" s="8" t="n">
        <x:f>MAX(0,AE1097-AE1096)</x:f>
        <x:v>0</x:v>
      </x:c>
      <x:c r="AG1097" s="9" t="str">
        <x:f>IF(AF1097&gt;0,B1097,"")</x:f>
      </x:c>
      <x:c r="AH1097" s="9" t="n">
        <x:f>IF(F1097&gt;=1,1,(1+tun_LowTiesShare*(AE1097-1))/AE1097)</x:f>
        <x:v>1</x:v>
      </x:c>
      <x:c r="AI1097" s="32" t="n">
        <x:f>(Z1097+tun_ElderCommons*INDEX(LM_Elder,G1097)*AA1097)*AH1097</x:f>
        <x:v>238215.0665857503</x:v>
      </x:c>
      <x:c r="AJ1097" s="32" t="n">
        <x:f>H1097*tun_CommonsCoef*AI1097^tun_CommonsExp*INDEX(LM_Commons,G1097)</x:f>
        <x:v>0</x:v>
      </x:c>
      <x:c r="AK1097" s="32" t="n">
        <x:f>H1097*tun_RoleScale*Arch_Roles*(AE1097*(INDEX(tun_ElderRolePerSett,G1097)*tun_OutElder*INDEX(LM_Elder,G1097)+INDEX(tun_ShamanPerSett,G1097)*tun_OutShaman)+Z1097*(INDEX(tun_PriestShare,G1097)*tun_OutPriest+INDEX(tun_ScribeShare,G1097)*tun_OutScribe*INDEX(LM_Scribe,G1097)+INDEX(tun_ScholarShare,G1097)*tun_OutScholar*INDEX(LM_Scholar,G1097)+INDEX(tun_ResearcherShare,G1097)*tun_OutResearcher*INDEX(LM_Researcher,G1097)))</x:f>
        <x:v>0</x:v>
      </x:c>
      <x:c r="AL1097" s="32" t="n">
        <x:f>H1097*tun_RoleScale*Arch_Roles*AE1097*INDEX(tun_MonasteryPerSett,G1097)*tun_OutMonastery*INDEX(LM_Monastery,G1097)</x:f>
        <x:v>0</x:v>
      </x:c>
      <x:c r="AM1097" s="32" t="n">
        <x:f>(AJ1097+AK1097+AL1097)/4*INDEX(LM_All,G1097)*INDEX(tun_Boon,G1097)*Arch_Insight</x:f>
        <x:v>0</x:v>
      </x:c>
      <x:c r="AN1097" s="32" t="n">
        <x:f>H1097*(tun_KHPerAdult*Z1097+tun_KHOfCommons*AJ1097/4*INDEX(LM_All,G1097))*tun_KHUsable*Arch_KH</x:f>
        <x:v>0</x:v>
      </x:c>
      <x:c r="AO1097" s="32" t="n">
        <x:f>MIN(AP1096+AN1097,AM1097*tun_KHMaxRatio)</x:f>
        <x:v>0</x:v>
      </x:c>
      <x:c r="AP1097" s="32" t="n">
        <x:f>AP1096+AN1097-AO1097</x:f>
        <x:v>0</x:v>
      </x:c>
      <x:c r="AQ1097" s="32" t="n">
        <x:f>AM1097+AO1097</x:f>
        <x:v>0</x:v>
      </x:c>
      <x:c r="AR1097" s="10" t="n">
        <x:f>IF(H1097=1,INDEX(tun_Req,G1097),0)</x:f>
        <x:v>0</x:v>
      </x:c>
      <x:c r="AS1097" s="32" t="n">
        <x:f>IF(H1097=1,IF(E1097=1,AS1096-AR1096,AS1096)+AQ1097,0)</x:f>
        <x:v>0</x:v>
      </x:c>
      <x:c r="AT1097" s="11" t="n">
        <x:f>IF(AR1097&gt;0,MIN(1,AS1097/AR1097),1)</x:f>
        <x:v>1</x:v>
      </x:c>
      <x:c r="AU1097" s="10" t="n">
        <x:f>AB1097/INDEX(tun_RepScale,G1097)</x:f>
        <x:v>290.3368848566301</x:v>
      </x:c>
      <x:c r="AV1097" s="32" t="n">
        <x:f>AM1097*60/tun_SeasonSeconds</x:f>
        <x:v>0</x:v>
      </x:c>
    </x:row>
    <x:row r="1098">
      <x:c r="A1098" s="8" t="n">
        <x:f>A1097+1</x:f>
        <x:v>1095</x:v>
      </x:c>
      <x:c r="B1098" s="9" t="n">
        <x:f>A1098*tun_SeasonSeconds/60</x:f>
        <x:v>273.75</x:v>
      </x:c>
      <x:c r="C1098" s="9" t="n">
        <x:f>A1098/4</x:f>
        <x:v>273.75</x:v>
      </x:c>
      <x:c r="D1098" s="8" t="n">
        <x:f>IF(MOD(A1098,4)=0,1,0)</x:f>
        <x:v>0</x:v>
      </x:c>
      <x:c r="E1098" s="8" t="n">
        <x:f>IF(AND(F1097&lt;=9,AS1097&gt;=AR1097),1,0)</x:f>
        <x:v>0</x:v>
      </x:c>
      <x:c r="F1098" s="8" t="n">
        <x:f>MIN(10,F1097+E1098)</x:f>
        <x:v>10</x:v>
      </x:c>
      <x:c r="G1098" s="8" t="n">
        <x:f>MIN(F1098,9)+1</x:f>
        <x:v>10</x:v>
      </x:c>
      <x:c r="H1098" s="8" t="n">
        <x:f>IF(F1098&lt;=9,1,0)</x:f>
        <x:v>0</x:v>
      </x:c>
      <x:c r="I1098" s="9" t="n">
        <x:f>MIN(10,F1097+IF(AR1097&gt;0,MIN(1,AS1097/AR1097),1))</x:f>
        <x:v>10</x:v>
      </x:c>
      <x:c r="J1098" s="32" t="n">
        <x:f>INDEX(tun_FoodCap,G1098)*Arch_FoodCap*EXP(tun_CapsByProject*SUMPRODUCT((Cap_Point&lt;=I1098)*(Cap_Kind="Food")*Cap_Ln))</x:f>
        <x:v>18627.260449441455</x:v>
      </x:c>
      <x:c r="K1098" s="32" t="n">
        <x:f>J1098*MIN(1,tun_LeanBase*EXP(tun_CapsByProject*SUMPRODUCT((Cap_Point&lt;=I1098)*(Cap_Kind="Lean")*Cap_Ln)))</x:f>
        <x:v>18627.260449441455</x:v>
      </x:c>
      <x:c r="L1098" s="10" t="n">
        <x:f>INDEX(tun_HousingCap,G1098)*EXP(tun_CapsByProject*SUMPRODUCT((Cap_Point&lt;=I1098)*(Cap_Kind="Housing")*Cap_Ln))</x:f>
        <x:v>20528.974303173167</x:v>
      </x:c>
      <x:c r="M1098" s="10" t="n">
        <x:f>INDEX(tun_GroupCap,G1098)*tun_CohesionFactor*EXP(tun_CapsByProject*SUMPRODUCT((Cap_Point&lt;=I1098)*(Cap_Kind="Group")*Cap_Ln))</x:f>
        <x:v>1000000.000000001</x:v>
      </x:c>
      <x:c r="N1098" s="32" t="n">
        <x:f>MIN(J1098,L1098,M1098)</x:f>
        <x:v>18627.260449441455</x:v>
      </x:c>
      <x:c r="O1098" s="10" t="n">
        <x:f>AE1097*N1098</x:f>
        <x:v>167645.34404497308</x:v>
      </x:c>
      <x:c r="P1098" s="9" t="n">
        <x:f>MIN(1,(AB1097/(AE1097*IF(tun_GroupInCrowding=1,N1098,MIN(J1098,L1098))))^tun_CrowdingExp)</x:f>
        <x:v>0.4215841981292809</x:v>
      </x:c>
      <x:c r="Q1098" s="9" t="n">
        <x:f>IF(D1098=1,INDEX(tun_WinterMult,G1098),1)</x:f>
        <x:v>1</x:v>
      </x:c>
      <x:c r="R1098" s="9" t="n">
        <x:f>H1098*Z1097*tun_WomenShare*tun_BaseFertility*INDEX(tun_FertMult,G1098)*Arch_Fertility*(1-P1098)</x:f>
        <x:v>0</x:v>
      </x:c>
      <x:c r="S1098" s="9" t="n">
        <x:f>H1098*Y1097*INDEX(tun_MortChild,G1098)/4*Q1098</x:f>
        <x:v>0</x:v>
      </x:c>
      <x:c r="T1098" s="9" t="n">
        <x:f>H1098*Z1097*INDEX(tun_MortAdult,G1098)*Arch_AdultMort/4*Q1098</x:f>
        <x:v>0</x:v>
      </x:c>
      <x:c r="U1098" s="9" t="n">
        <x:f>H1098*AA1097*INDEX(tun_MortElder,G1098)/4*Q1098</x:f>
        <x:v>0</x:v>
      </x:c>
      <x:c r="V1098" s="9" t="n">
        <x:f>H1098*MAX(0,AB1097-O1098)*tun_OvercapLoss</x:f>
        <x:v>0</x:v>
      </x:c>
      <x:c r="W1098" s="9" t="n">
        <x:f>H1098*Y1097/(tun_ChildYears*4)</x:f>
        <x:v>0</x:v>
      </x:c>
      <x:c r="X1098" s="9" t="n">
        <x:f>H1098*Z1097/(tun_AdultYears*4)</x:f>
        <x:v>0</x:v>
      </x:c>
      <x:c r="Y1098" s="32" t="n">
        <x:f>Y1097+R1098-S1098-W1098-Y1097*V1098/AB1097</x:f>
        <x:v>40496.20709015643</x:v>
      </x:c>
      <x:c r="Z1098" s="32" t="n">
        <x:f>Z1097+W1098-X1098-T1098-Z1097*V1098/AB1097</x:f>
        <x:v>59141.61122890803</x:v>
      </x:c>
      <x:c r="AA1098" s="32" t="n">
        <x:f>AA1097+X1098-U1098-AA1097*V1098/AB1097</x:f>
        <x:v>45530.62410925061</x:v>
      </x:c>
      <x:c r="AB1098" s="10" t="n">
        <x:f>Y1098+Z1098+AA1098</x:f>
        <x:v>145168.44242831506</x:v>
      </x:c>
      <x:c r="AC1098" s="8" t="n">
        <x:f>IF(AND(tun_WinterTrigger=1,D1098=1,AB1097/AE1097&gt;=K1098),1,0)</x:f>
        <x:v>0</x:v>
      </x:c>
      <x:c r="AD1098" s="8" t="n">
        <x:f>H1098*IF(AND(OR(AB1097/AE1097&gt;=tun_FissionTrigger*N1098,AC1098=1),AB1097/AE1097*tun_DaughterShare&gt;=tun_MinDaughter),MAX(1,ROUND(AE1097*tun_FissionRate,0)),0)</x:f>
        <x:v>0</x:v>
      </x:c>
      <x:c r="AE1098" s="8" t="n">
        <x:f>IF(H1098=1,MAX(1,MIN(INDEX(tun_Smax,G1098),AE1097+AD1098)),AE1097)</x:f>
        <x:v>9</x:v>
      </x:c>
      <x:c r="AF1098" s="8" t="n">
        <x:f>MAX(0,AE1098-AE1097)</x:f>
        <x:v>0</x:v>
      </x:c>
      <x:c r="AG1098" s="9" t="str">
        <x:f>IF(AF1098&gt;0,B1098,"")</x:f>
      </x:c>
      <x:c r="AH1098" s="9" t="n">
        <x:f>IF(F1098&gt;=1,1,(1+tun_LowTiesShare*(AE1098-1))/AE1098)</x:f>
        <x:v>1</x:v>
      </x:c>
      <x:c r="AI1098" s="32" t="n">
        <x:f>(Z1098+tun_ElderCommons*INDEX(LM_Elder,G1098)*AA1098)*AH1098</x:f>
        <x:v>238215.0665857503</x:v>
      </x:c>
      <x:c r="AJ1098" s="32" t="n">
        <x:f>H1098*tun_CommonsCoef*AI1098^tun_CommonsExp*INDEX(LM_Commons,G1098)</x:f>
        <x:v>0</x:v>
      </x:c>
      <x:c r="AK1098" s="32" t="n">
        <x:f>H1098*tun_RoleScale*Arch_Roles*(AE1098*(INDEX(tun_ElderRolePerSett,G1098)*tun_OutElder*INDEX(LM_Elder,G1098)+INDEX(tun_ShamanPerSett,G1098)*tun_OutShaman)+Z1098*(INDEX(tun_PriestShare,G1098)*tun_OutPriest+INDEX(tun_ScribeShare,G1098)*tun_OutScribe*INDEX(LM_Scribe,G1098)+INDEX(tun_ScholarShare,G1098)*tun_OutScholar*INDEX(LM_Scholar,G1098)+INDEX(tun_ResearcherShare,G1098)*tun_OutResearcher*INDEX(LM_Researcher,G1098)))</x:f>
        <x:v>0</x:v>
      </x:c>
      <x:c r="AL1098" s="32" t="n">
        <x:f>H1098*tun_RoleScale*Arch_Roles*AE1098*INDEX(tun_MonasteryPerSett,G1098)*tun_OutMonastery*INDEX(LM_Monastery,G1098)</x:f>
        <x:v>0</x:v>
      </x:c>
      <x:c r="AM1098" s="32" t="n">
        <x:f>(AJ1098+AK1098+AL1098)/4*INDEX(LM_All,G1098)*INDEX(tun_Boon,G1098)*Arch_Insight</x:f>
        <x:v>0</x:v>
      </x:c>
      <x:c r="AN1098" s="32" t="n">
        <x:f>H1098*(tun_KHPerAdult*Z1098+tun_KHOfCommons*AJ1098/4*INDEX(LM_All,G1098))*tun_KHUsable*Arch_KH</x:f>
        <x:v>0</x:v>
      </x:c>
      <x:c r="AO1098" s="32" t="n">
        <x:f>MIN(AP1097+AN1098,AM1098*tun_KHMaxRatio)</x:f>
        <x:v>0</x:v>
      </x:c>
      <x:c r="AP1098" s="32" t="n">
        <x:f>AP1097+AN1098-AO1098</x:f>
        <x:v>0</x:v>
      </x:c>
      <x:c r="AQ1098" s="32" t="n">
        <x:f>AM1098+AO1098</x:f>
        <x:v>0</x:v>
      </x:c>
      <x:c r="AR1098" s="10" t="n">
        <x:f>IF(H1098=1,INDEX(tun_Req,G1098),0)</x:f>
        <x:v>0</x:v>
      </x:c>
      <x:c r="AS1098" s="32" t="n">
        <x:f>IF(H1098=1,IF(E1098=1,AS1097-AR1097,AS1097)+AQ1098,0)</x:f>
        <x:v>0</x:v>
      </x:c>
      <x:c r="AT1098" s="11" t="n">
        <x:f>IF(AR1098&gt;0,MIN(1,AS1098/AR1098),1)</x:f>
        <x:v>1</x:v>
      </x:c>
      <x:c r="AU1098" s="10" t="n">
        <x:f>AB1098/INDEX(tun_RepScale,G1098)</x:f>
        <x:v>290.3368848566301</x:v>
      </x:c>
      <x:c r="AV1098" s="32" t="n">
        <x:f>AM1098*60/tun_SeasonSeconds</x:f>
        <x:v>0</x:v>
      </x:c>
    </x:row>
    <x:row r="1099">
      <x:c r="A1099" s="8" t="n">
        <x:f>A1098+1</x:f>
        <x:v>1096</x:v>
      </x:c>
      <x:c r="B1099" s="9" t="n">
        <x:f>A1099*tun_SeasonSeconds/60</x:f>
        <x:v>274</x:v>
      </x:c>
      <x:c r="C1099" s="9" t="n">
        <x:f>A1099/4</x:f>
        <x:v>274</x:v>
      </x:c>
      <x:c r="D1099" s="8" t="n">
        <x:f>IF(MOD(A1099,4)=0,1,0)</x:f>
        <x:v>1</x:v>
      </x:c>
      <x:c r="E1099" s="8" t="n">
        <x:f>IF(AND(F1098&lt;=9,AS1098&gt;=AR1098),1,0)</x:f>
        <x:v>0</x:v>
      </x:c>
      <x:c r="F1099" s="8" t="n">
        <x:f>MIN(10,F1098+E1099)</x:f>
        <x:v>10</x:v>
      </x:c>
      <x:c r="G1099" s="8" t="n">
        <x:f>MIN(F1099,9)+1</x:f>
        <x:v>10</x:v>
      </x:c>
      <x:c r="H1099" s="8" t="n">
        <x:f>IF(F1099&lt;=9,1,0)</x:f>
        <x:v>0</x:v>
      </x:c>
      <x:c r="I1099" s="9" t="n">
        <x:f>MIN(10,F1098+IF(AR1098&gt;0,MIN(1,AS1098/AR1098),1))</x:f>
        <x:v>10</x:v>
      </x:c>
      <x:c r="J1099" s="32" t="n">
        <x:f>INDEX(tun_FoodCap,G1099)*Arch_FoodCap*EXP(tun_CapsByProject*SUMPRODUCT((Cap_Point&lt;=I1099)*(Cap_Kind="Food")*Cap_Ln))</x:f>
        <x:v>18627.260449441455</x:v>
      </x:c>
      <x:c r="K1099" s="32" t="n">
        <x:f>J1099*MIN(1,tun_LeanBase*EXP(tun_CapsByProject*SUMPRODUCT((Cap_Point&lt;=I1099)*(Cap_Kind="Lean")*Cap_Ln)))</x:f>
        <x:v>18627.260449441455</x:v>
      </x:c>
      <x:c r="L1099" s="10" t="n">
        <x:f>INDEX(tun_HousingCap,G1099)*EXP(tun_CapsByProject*SUMPRODUCT((Cap_Point&lt;=I1099)*(Cap_Kind="Housing")*Cap_Ln))</x:f>
        <x:v>20528.974303173167</x:v>
      </x:c>
      <x:c r="M1099" s="10" t="n">
        <x:f>INDEX(tun_GroupCap,G1099)*tun_CohesionFactor*EXP(tun_CapsByProject*SUMPRODUCT((Cap_Point&lt;=I1099)*(Cap_Kind="Group")*Cap_Ln))</x:f>
        <x:v>1000000.000000001</x:v>
      </x:c>
      <x:c r="N1099" s="32" t="n">
        <x:f>MIN(J1099,L1099,M1099)</x:f>
        <x:v>18627.260449441455</x:v>
      </x:c>
      <x:c r="O1099" s="10" t="n">
        <x:f>AE1098*N1099</x:f>
        <x:v>167645.34404497308</x:v>
      </x:c>
      <x:c r="P1099" s="9" t="n">
        <x:f>MIN(1,(AB1098/(AE1098*IF(tun_GroupInCrowding=1,N1099,MIN(J1099,L1099))))^tun_CrowdingExp)</x:f>
        <x:v>0.4215841981292809</x:v>
      </x:c>
      <x:c r="Q1099" s="9" t="n">
        <x:f>IF(D1099=1,INDEX(tun_WinterMult,G1099),1)</x:f>
        <x:v>1.05</x:v>
      </x:c>
      <x:c r="R1099" s="9" t="n">
        <x:f>H1099*Z1098*tun_WomenShare*tun_BaseFertility*INDEX(tun_FertMult,G1099)*Arch_Fertility*(1-P1099)</x:f>
        <x:v>0</x:v>
      </x:c>
      <x:c r="S1099" s="9" t="n">
        <x:f>H1099*Y1098*INDEX(tun_MortChild,G1099)/4*Q1099</x:f>
        <x:v>0</x:v>
      </x:c>
      <x:c r="T1099" s="9" t="n">
        <x:f>H1099*Z1098*INDEX(tun_MortAdult,G1099)*Arch_AdultMort/4*Q1099</x:f>
        <x:v>0</x:v>
      </x:c>
      <x:c r="U1099" s="9" t="n">
        <x:f>H1099*AA1098*INDEX(tun_MortElder,G1099)/4*Q1099</x:f>
        <x:v>0</x:v>
      </x:c>
      <x:c r="V1099" s="9" t="n">
        <x:f>H1099*MAX(0,AB1098-O1099)*tun_OvercapLoss</x:f>
        <x:v>0</x:v>
      </x:c>
      <x:c r="W1099" s="9" t="n">
        <x:f>H1099*Y1098/(tun_ChildYears*4)</x:f>
        <x:v>0</x:v>
      </x:c>
      <x:c r="X1099" s="9" t="n">
        <x:f>H1099*Z1098/(tun_AdultYears*4)</x:f>
        <x:v>0</x:v>
      </x:c>
      <x:c r="Y1099" s="32" t="n">
        <x:f>Y1098+R1099-S1099-W1099-Y1098*V1099/AB1098</x:f>
        <x:v>40496.20709015643</x:v>
      </x:c>
      <x:c r="Z1099" s="32" t="n">
        <x:f>Z1098+W1099-X1099-T1099-Z1098*V1099/AB1098</x:f>
        <x:v>59141.61122890803</x:v>
      </x:c>
      <x:c r="AA1099" s="32" t="n">
        <x:f>AA1098+X1099-U1099-AA1098*V1099/AB1098</x:f>
        <x:v>45530.62410925061</x:v>
      </x:c>
      <x:c r="AB1099" s="10" t="n">
        <x:f>Y1099+Z1099+AA1099</x:f>
        <x:v>145168.44242831506</x:v>
      </x:c>
      <x:c r="AC1099" s="8" t="n">
        <x:f>IF(AND(tun_WinterTrigger=1,D1099=1,AB1098/AE1098&gt;=K1099),1,0)</x:f>
        <x:v>0</x:v>
      </x:c>
      <x:c r="AD1099" s="8" t="n">
        <x:f>H1099*IF(AND(OR(AB1098/AE1098&gt;=tun_FissionTrigger*N1099,AC1099=1),AB1098/AE1098*tun_DaughterShare&gt;=tun_MinDaughter),MAX(1,ROUND(AE1098*tun_FissionRate,0)),0)</x:f>
        <x:v>0</x:v>
      </x:c>
      <x:c r="AE1099" s="8" t="n">
        <x:f>IF(H1099=1,MAX(1,MIN(INDEX(tun_Smax,G1099),AE1098+AD1099)),AE1098)</x:f>
        <x:v>9</x:v>
      </x:c>
      <x:c r="AF1099" s="8" t="n">
        <x:f>MAX(0,AE1099-AE1098)</x:f>
        <x:v>0</x:v>
      </x:c>
      <x:c r="AG1099" s="9" t="str">
        <x:f>IF(AF1099&gt;0,B1099,"")</x:f>
      </x:c>
      <x:c r="AH1099" s="9" t="n">
        <x:f>IF(F1099&gt;=1,1,(1+tun_LowTiesShare*(AE1099-1))/AE1099)</x:f>
        <x:v>1</x:v>
      </x:c>
      <x:c r="AI1099" s="32" t="n">
        <x:f>(Z1099+tun_ElderCommons*INDEX(LM_Elder,G1099)*AA1099)*AH1099</x:f>
        <x:v>238215.0665857503</x:v>
      </x:c>
      <x:c r="AJ1099" s="32" t="n">
        <x:f>H1099*tun_CommonsCoef*AI1099^tun_CommonsExp*INDEX(LM_Commons,G1099)</x:f>
        <x:v>0</x:v>
      </x:c>
      <x:c r="AK1099" s="32" t="n">
        <x:f>H1099*tun_RoleScale*Arch_Roles*(AE1099*(INDEX(tun_ElderRolePerSett,G1099)*tun_OutElder*INDEX(LM_Elder,G1099)+INDEX(tun_ShamanPerSett,G1099)*tun_OutShaman)+Z1099*(INDEX(tun_PriestShare,G1099)*tun_OutPriest+INDEX(tun_ScribeShare,G1099)*tun_OutScribe*INDEX(LM_Scribe,G1099)+INDEX(tun_ScholarShare,G1099)*tun_OutScholar*INDEX(LM_Scholar,G1099)+INDEX(tun_ResearcherShare,G1099)*tun_OutResearcher*INDEX(LM_Researcher,G1099)))</x:f>
        <x:v>0</x:v>
      </x:c>
      <x:c r="AL1099" s="32" t="n">
        <x:f>H1099*tun_RoleScale*Arch_Roles*AE1099*INDEX(tun_MonasteryPerSett,G1099)*tun_OutMonastery*INDEX(LM_Monastery,G1099)</x:f>
        <x:v>0</x:v>
      </x:c>
      <x:c r="AM1099" s="32" t="n">
        <x:f>(AJ1099+AK1099+AL1099)/4*INDEX(LM_All,G1099)*INDEX(tun_Boon,G1099)*Arch_Insight</x:f>
        <x:v>0</x:v>
      </x:c>
      <x:c r="AN1099" s="32" t="n">
        <x:f>H1099*(tun_KHPerAdult*Z1099+tun_KHOfCommons*AJ1099/4*INDEX(LM_All,G1099))*tun_KHUsable*Arch_KH</x:f>
        <x:v>0</x:v>
      </x:c>
      <x:c r="AO1099" s="32" t="n">
        <x:f>MIN(AP1098+AN1099,AM1099*tun_KHMaxRatio)</x:f>
        <x:v>0</x:v>
      </x:c>
      <x:c r="AP1099" s="32" t="n">
        <x:f>AP1098+AN1099-AO1099</x:f>
        <x:v>0</x:v>
      </x:c>
      <x:c r="AQ1099" s="32" t="n">
        <x:f>AM1099+AO1099</x:f>
        <x:v>0</x:v>
      </x:c>
      <x:c r="AR1099" s="10" t="n">
        <x:f>IF(H1099=1,INDEX(tun_Req,G1099),0)</x:f>
        <x:v>0</x:v>
      </x:c>
      <x:c r="AS1099" s="32" t="n">
        <x:f>IF(H1099=1,IF(E1099=1,AS1098-AR1098,AS1098)+AQ1099,0)</x:f>
        <x:v>0</x:v>
      </x:c>
      <x:c r="AT1099" s="11" t="n">
        <x:f>IF(AR1099&gt;0,MIN(1,AS1099/AR1099),1)</x:f>
        <x:v>1</x:v>
      </x:c>
      <x:c r="AU1099" s="10" t="n">
        <x:f>AB1099/INDEX(tun_RepScale,G1099)</x:f>
        <x:v>290.3368848566301</x:v>
      </x:c>
      <x:c r="AV1099" s="32" t="n">
        <x:f>AM1099*60/tun_SeasonSeconds</x:f>
        <x:v>0</x:v>
      </x:c>
    </x:row>
    <x:row r="1100">
      <x:c r="A1100" s="8" t="n">
        <x:f>A1099+1</x:f>
        <x:v>1097</x:v>
      </x:c>
      <x:c r="B1100" s="9" t="n">
        <x:f>A1100*tun_SeasonSeconds/60</x:f>
        <x:v>274.25</x:v>
      </x:c>
      <x:c r="C1100" s="9" t="n">
        <x:f>A1100/4</x:f>
        <x:v>274.25</x:v>
      </x:c>
      <x:c r="D1100" s="8" t="n">
        <x:f>IF(MOD(A1100,4)=0,1,0)</x:f>
        <x:v>0</x:v>
      </x:c>
      <x:c r="E1100" s="8" t="n">
        <x:f>IF(AND(F1099&lt;=9,AS1099&gt;=AR1099),1,0)</x:f>
        <x:v>0</x:v>
      </x:c>
      <x:c r="F1100" s="8" t="n">
        <x:f>MIN(10,F1099+E1100)</x:f>
        <x:v>10</x:v>
      </x:c>
      <x:c r="G1100" s="8" t="n">
        <x:f>MIN(F1100,9)+1</x:f>
        <x:v>10</x:v>
      </x:c>
      <x:c r="H1100" s="8" t="n">
        <x:f>IF(F1100&lt;=9,1,0)</x:f>
        <x:v>0</x:v>
      </x:c>
      <x:c r="I1100" s="9" t="n">
        <x:f>MIN(10,F1099+IF(AR1099&gt;0,MIN(1,AS1099/AR1099),1))</x:f>
        <x:v>10</x:v>
      </x:c>
      <x:c r="J1100" s="32" t="n">
        <x:f>INDEX(tun_FoodCap,G1100)*Arch_FoodCap*EXP(tun_CapsByProject*SUMPRODUCT((Cap_Point&lt;=I1100)*(Cap_Kind="Food")*Cap_Ln))</x:f>
        <x:v>18627.260449441455</x:v>
      </x:c>
      <x:c r="K1100" s="32" t="n">
        <x:f>J1100*MIN(1,tun_LeanBase*EXP(tun_CapsByProject*SUMPRODUCT((Cap_Point&lt;=I1100)*(Cap_Kind="Lean")*Cap_Ln)))</x:f>
        <x:v>18627.260449441455</x:v>
      </x:c>
      <x:c r="L1100" s="10" t="n">
        <x:f>INDEX(tun_HousingCap,G1100)*EXP(tun_CapsByProject*SUMPRODUCT((Cap_Point&lt;=I1100)*(Cap_Kind="Housing")*Cap_Ln))</x:f>
        <x:v>20528.974303173167</x:v>
      </x:c>
      <x:c r="M1100" s="10" t="n">
        <x:f>INDEX(tun_GroupCap,G1100)*tun_CohesionFactor*EXP(tun_CapsByProject*SUMPRODUCT((Cap_Point&lt;=I1100)*(Cap_Kind="Group")*Cap_Ln))</x:f>
        <x:v>1000000.000000001</x:v>
      </x:c>
      <x:c r="N1100" s="32" t="n">
        <x:f>MIN(J1100,L1100,M1100)</x:f>
        <x:v>18627.260449441455</x:v>
      </x:c>
      <x:c r="O1100" s="10" t="n">
        <x:f>AE1099*N1100</x:f>
        <x:v>167645.34404497308</x:v>
      </x:c>
      <x:c r="P1100" s="9" t="n">
        <x:f>MIN(1,(AB1099/(AE1099*IF(tun_GroupInCrowding=1,N1100,MIN(J1100,L1100))))^tun_CrowdingExp)</x:f>
        <x:v>0.4215841981292809</x:v>
      </x:c>
      <x:c r="Q1100" s="9" t="n">
        <x:f>IF(D1100=1,INDEX(tun_WinterMult,G1100),1)</x:f>
        <x:v>1</x:v>
      </x:c>
      <x:c r="R1100" s="9" t="n">
        <x:f>H1100*Z1099*tun_WomenShare*tun_BaseFertility*INDEX(tun_FertMult,G1100)*Arch_Fertility*(1-P1100)</x:f>
        <x:v>0</x:v>
      </x:c>
      <x:c r="S1100" s="9" t="n">
        <x:f>H1100*Y1099*INDEX(tun_MortChild,G1100)/4*Q1100</x:f>
        <x:v>0</x:v>
      </x:c>
      <x:c r="T1100" s="9" t="n">
        <x:f>H1100*Z1099*INDEX(tun_MortAdult,G1100)*Arch_AdultMort/4*Q1100</x:f>
        <x:v>0</x:v>
      </x:c>
      <x:c r="U1100" s="9" t="n">
        <x:f>H1100*AA1099*INDEX(tun_MortElder,G1100)/4*Q1100</x:f>
        <x:v>0</x:v>
      </x:c>
      <x:c r="V1100" s="9" t="n">
        <x:f>H1100*MAX(0,AB1099-O1100)*tun_OvercapLoss</x:f>
        <x:v>0</x:v>
      </x:c>
      <x:c r="W1100" s="9" t="n">
        <x:f>H1100*Y1099/(tun_ChildYears*4)</x:f>
        <x:v>0</x:v>
      </x:c>
      <x:c r="X1100" s="9" t="n">
        <x:f>H1100*Z1099/(tun_AdultYears*4)</x:f>
        <x:v>0</x:v>
      </x:c>
      <x:c r="Y1100" s="32" t="n">
        <x:f>Y1099+R1100-S1100-W1100-Y1099*V1100/AB1099</x:f>
        <x:v>40496.20709015643</x:v>
      </x:c>
      <x:c r="Z1100" s="32" t="n">
        <x:f>Z1099+W1100-X1100-T1100-Z1099*V1100/AB1099</x:f>
        <x:v>59141.61122890803</x:v>
      </x:c>
      <x:c r="AA1100" s="32" t="n">
        <x:f>AA1099+X1100-U1100-AA1099*V1100/AB1099</x:f>
        <x:v>45530.62410925061</x:v>
      </x:c>
      <x:c r="AB1100" s="10" t="n">
        <x:f>Y1100+Z1100+AA1100</x:f>
        <x:v>145168.44242831506</x:v>
      </x:c>
      <x:c r="AC1100" s="8" t="n">
        <x:f>IF(AND(tun_WinterTrigger=1,D1100=1,AB1099/AE1099&gt;=K1100),1,0)</x:f>
        <x:v>0</x:v>
      </x:c>
      <x:c r="AD1100" s="8" t="n">
        <x:f>H1100*IF(AND(OR(AB1099/AE1099&gt;=tun_FissionTrigger*N1100,AC1100=1),AB1099/AE1099*tun_DaughterShare&gt;=tun_MinDaughter),MAX(1,ROUND(AE1099*tun_FissionRate,0)),0)</x:f>
        <x:v>0</x:v>
      </x:c>
      <x:c r="AE1100" s="8" t="n">
        <x:f>IF(H1100=1,MAX(1,MIN(INDEX(tun_Smax,G1100),AE1099+AD1100)),AE1099)</x:f>
        <x:v>9</x:v>
      </x:c>
      <x:c r="AF1100" s="8" t="n">
        <x:f>MAX(0,AE1100-AE1099)</x:f>
        <x:v>0</x:v>
      </x:c>
      <x:c r="AG1100" s="9" t="str">
        <x:f>IF(AF1100&gt;0,B1100,"")</x:f>
      </x:c>
      <x:c r="AH1100" s="9" t="n">
        <x:f>IF(F1100&gt;=1,1,(1+tun_LowTiesShare*(AE1100-1))/AE1100)</x:f>
        <x:v>1</x:v>
      </x:c>
      <x:c r="AI1100" s="32" t="n">
        <x:f>(Z1100+tun_ElderCommons*INDEX(LM_Elder,G1100)*AA1100)*AH1100</x:f>
        <x:v>238215.0665857503</x:v>
      </x:c>
      <x:c r="AJ1100" s="32" t="n">
        <x:f>H1100*tun_CommonsCoef*AI1100^tun_CommonsExp*INDEX(LM_Commons,G1100)</x:f>
        <x:v>0</x:v>
      </x:c>
      <x:c r="AK1100" s="32" t="n">
        <x:f>H1100*tun_RoleScale*Arch_Roles*(AE1100*(INDEX(tun_ElderRolePerSett,G1100)*tun_OutElder*INDEX(LM_Elder,G1100)+INDEX(tun_ShamanPerSett,G1100)*tun_OutShaman)+Z1100*(INDEX(tun_PriestShare,G1100)*tun_OutPriest+INDEX(tun_ScribeShare,G1100)*tun_OutScribe*INDEX(LM_Scribe,G1100)+INDEX(tun_ScholarShare,G1100)*tun_OutScholar*INDEX(LM_Scholar,G1100)+INDEX(tun_ResearcherShare,G1100)*tun_OutResearcher*INDEX(LM_Researcher,G1100)))</x:f>
        <x:v>0</x:v>
      </x:c>
      <x:c r="AL1100" s="32" t="n">
        <x:f>H1100*tun_RoleScale*Arch_Roles*AE1100*INDEX(tun_MonasteryPerSett,G1100)*tun_OutMonastery*INDEX(LM_Monastery,G1100)</x:f>
        <x:v>0</x:v>
      </x:c>
      <x:c r="AM1100" s="32" t="n">
        <x:f>(AJ1100+AK1100+AL1100)/4*INDEX(LM_All,G1100)*INDEX(tun_Boon,G1100)*Arch_Insight</x:f>
        <x:v>0</x:v>
      </x:c>
      <x:c r="AN1100" s="32" t="n">
        <x:f>H1100*(tun_KHPerAdult*Z1100+tun_KHOfCommons*AJ1100/4*INDEX(LM_All,G1100))*tun_KHUsable*Arch_KH</x:f>
        <x:v>0</x:v>
      </x:c>
      <x:c r="AO1100" s="32" t="n">
        <x:f>MIN(AP1099+AN1100,AM1100*tun_KHMaxRatio)</x:f>
        <x:v>0</x:v>
      </x:c>
      <x:c r="AP1100" s="32" t="n">
        <x:f>AP1099+AN1100-AO1100</x:f>
        <x:v>0</x:v>
      </x:c>
      <x:c r="AQ1100" s="32" t="n">
        <x:f>AM1100+AO1100</x:f>
        <x:v>0</x:v>
      </x:c>
      <x:c r="AR1100" s="10" t="n">
        <x:f>IF(H1100=1,INDEX(tun_Req,G1100),0)</x:f>
        <x:v>0</x:v>
      </x:c>
      <x:c r="AS1100" s="32" t="n">
        <x:f>IF(H1100=1,IF(E1100=1,AS1099-AR1099,AS1099)+AQ1100,0)</x:f>
        <x:v>0</x:v>
      </x:c>
      <x:c r="AT1100" s="11" t="n">
        <x:f>IF(AR1100&gt;0,MIN(1,AS1100/AR1100),1)</x:f>
        <x:v>1</x:v>
      </x:c>
      <x:c r="AU1100" s="10" t="n">
        <x:f>AB1100/INDEX(tun_RepScale,G1100)</x:f>
        <x:v>290.3368848566301</x:v>
      </x:c>
      <x:c r="AV1100" s="32" t="n">
        <x:f>AM1100*60/tun_SeasonSeconds</x:f>
        <x:v>0</x:v>
      </x:c>
    </x:row>
    <x:row r="1101">
      <x:c r="A1101" s="8" t="n">
        <x:f>A1100+1</x:f>
        <x:v>1098</x:v>
      </x:c>
      <x:c r="B1101" s="9" t="n">
        <x:f>A1101*tun_SeasonSeconds/60</x:f>
        <x:v>274.5</x:v>
      </x:c>
      <x:c r="C1101" s="9" t="n">
        <x:f>A1101/4</x:f>
        <x:v>274.5</x:v>
      </x:c>
      <x:c r="D1101" s="8" t="n">
        <x:f>IF(MOD(A1101,4)=0,1,0)</x:f>
        <x:v>0</x:v>
      </x:c>
      <x:c r="E1101" s="8" t="n">
        <x:f>IF(AND(F1100&lt;=9,AS1100&gt;=AR1100),1,0)</x:f>
        <x:v>0</x:v>
      </x:c>
      <x:c r="F1101" s="8" t="n">
        <x:f>MIN(10,F1100+E1101)</x:f>
        <x:v>10</x:v>
      </x:c>
      <x:c r="G1101" s="8" t="n">
        <x:f>MIN(F1101,9)+1</x:f>
        <x:v>10</x:v>
      </x:c>
      <x:c r="H1101" s="8" t="n">
        <x:f>IF(F1101&lt;=9,1,0)</x:f>
        <x:v>0</x:v>
      </x:c>
      <x:c r="I1101" s="9" t="n">
        <x:f>MIN(10,F1100+IF(AR1100&gt;0,MIN(1,AS1100/AR1100),1))</x:f>
        <x:v>10</x:v>
      </x:c>
      <x:c r="J1101" s="32" t="n">
        <x:f>INDEX(tun_FoodCap,G1101)*Arch_FoodCap*EXP(tun_CapsByProject*SUMPRODUCT((Cap_Point&lt;=I1101)*(Cap_Kind="Food")*Cap_Ln))</x:f>
        <x:v>18627.260449441455</x:v>
      </x:c>
      <x:c r="K1101" s="32" t="n">
        <x:f>J1101*MIN(1,tun_LeanBase*EXP(tun_CapsByProject*SUMPRODUCT((Cap_Point&lt;=I1101)*(Cap_Kind="Lean")*Cap_Ln)))</x:f>
        <x:v>18627.260449441455</x:v>
      </x:c>
      <x:c r="L1101" s="10" t="n">
        <x:f>INDEX(tun_HousingCap,G1101)*EXP(tun_CapsByProject*SUMPRODUCT((Cap_Point&lt;=I1101)*(Cap_Kind="Housing")*Cap_Ln))</x:f>
        <x:v>20528.974303173167</x:v>
      </x:c>
      <x:c r="M1101" s="10" t="n">
        <x:f>INDEX(tun_GroupCap,G1101)*tun_CohesionFactor*EXP(tun_CapsByProject*SUMPRODUCT((Cap_Point&lt;=I1101)*(Cap_Kind="Group")*Cap_Ln))</x:f>
        <x:v>1000000.000000001</x:v>
      </x:c>
      <x:c r="N1101" s="32" t="n">
        <x:f>MIN(J1101,L1101,M1101)</x:f>
        <x:v>18627.260449441455</x:v>
      </x:c>
      <x:c r="O1101" s="10" t="n">
        <x:f>AE1100*N1101</x:f>
        <x:v>167645.34404497308</x:v>
      </x:c>
      <x:c r="P1101" s="9" t="n">
        <x:f>MIN(1,(AB1100/(AE1100*IF(tun_GroupInCrowding=1,N1101,MIN(J1101,L1101))))^tun_CrowdingExp)</x:f>
        <x:v>0.4215841981292809</x:v>
      </x:c>
      <x:c r="Q1101" s="9" t="n">
        <x:f>IF(D1101=1,INDEX(tun_WinterMult,G1101),1)</x:f>
        <x:v>1</x:v>
      </x:c>
      <x:c r="R1101" s="9" t="n">
        <x:f>H1101*Z1100*tun_WomenShare*tun_BaseFertility*INDEX(tun_FertMult,G1101)*Arch_Fertility*(1-P1101)</x:f>
        <x:v>0</x:v>
      </x:c>
      <x:c r="S1101" s="9" t="n">
        <x:f>H1101*Y1100*INDEX(tun_MortChild,G1101)/4*Q1101</x:f>
        <x:v>0</x:v>
      </x:c>
      <x:c r="T1101" s="9" t="n">
        <x:f>H1101*Z1100*INDEX(tun_MortAdult,G1101)*Arch_AdultMort/4*Q1101</x:f>
        <x:v>0</x:v>
      </x:c>
      <x:c r="U1101" s="9" t="n">
        <x:f>H1101*AA1100*INDEX(tun_MortElder,G1101)/4*Q1101</x:f>
        <x:v>0</x:v>
      </x:c>
      <x:c r="V1101" s="9" t="n">
        <x:f>H1101*MAX(0,AB1100-O1101)*tun_OvercapLoss</x:f>
        <x:v>0</x:v>
      </x:c>
      <x:c r="W1101" s="9" t="n">
        <x:f>H1101*Y1100/(tun_ChildYears*4)</x:f>
        <x:v>0</x:v>
      </x:c>
      <x:c r="X1101" s="9" t="n">
        <x:f>H1101*Z1100/(tun_AdultYears*4)</x:f>
        <x:v>0</x:v>
      </x:c>
      <x:c r="Y1101" s="32" t="n">
        <x:f>Y1100+R1101-S1101-W1101-Y1100*V1101/AB1100</x:f>
        <x:v>40496.20709015643</x:v>
      </x:c>
      <x:c r="Z1101" s="32" t="n">
        <x:f>Z1100+W1101-X1101-T1101-Z1100*V1101/AB1100</x:f>
        <x:v>59141.61122890803</x:v>
      </x:c>
      <x:c r="AA1101" s="32" t="n">
        <x:f>AA1100+X1101-U1101-AA1100*V1101/AB1100</x:f>
        <x:v>45530.62410925061</x:v>
      </x:c>
      <x:c r="AB1101" s="10" t="n">
        <x:f>Y1101+Z1101+AA1101</x:f>
        <x:v>145168.44242831506</x:v>
      </x:c>
      <x:c r="AC1101" s="8" t="n">
        <x:f>IF(AND(tun_WinterTrigger=1,D1101=1,AB1100/AE1100&gt;=K1101),1,0)</x:f>
        <x:v>0</x:v>
      </x:c>
      <x:c r="AD1101" s="8" t="n">
        <x:f>H1101*IF(AND(OR(AB1100/AE1100&gt;=tun_FissionTrigger*N1101,AC1101=1),AB1100/AE1100*tun_DaughterShare&gt;=tun_MinDaughter),MAX(1,ROUND(AE1100*tun_FissionRate,0)),0)</x:f>
        <x:v>0</x:v>
      </x:c>
      <x:c r="AE1101" s="8" t="n">
        <x:f>IF(H1101=1,MAX(1,MIN(INDEX(tun_Smax,G1101),AE1100+AD1101)),AE1100)</x:f>
        <x:v>9</x:v>
      </x:c>
      <x:c r="AF1101" s="8" t="n">
        <x:f>MAX(0,AE1101-AE1100)</x:f>
        <x:v>0</x:v>
      </x:c>
      <x:c r="AG1101" s="9" t="str">
        <x:f>IF(AF1101&gt;0,B1101,"")</x:f>
      </x:c>
      <x:c r="AH1101" s="9" t="n">
        <x:f>IF(F1101&gt;=1,1,(1+tun_LowTiesShare*(AE1101-1))/AE1101)</x:f>
        <x:v>1</x:v>
      </x:c>
      <x:c r="AI1101" s="32" t="n">
        <x:f>(Z1101+tun_ElderCommons*INDEX(LM_Elder,G1101)*AA1101)*AH1101</x:f>
        <x:v>238215.0665857503</x:v>
      </x:c>
      <x:c r="AJ1101" s="32" t="n">
        <x:f>H1101*tun_CommonsCoef*AI1101^tun_CommonsExp*INDEX(LM_Commons,G1101)</x:f>
        <x:v>0</x:v>
      </x:c>
      <x:c r="AK1101" s="32" t="n">
        <x:f>H1101*tun_RoleScale*Arch_Roles*(AE1101*(INDEX(tun_ElderRolePerSett,G1101)*tun_OutElder*INDEX(LM_Elder,G1101)+INDEX(tun_ShamanPerSett,G1101)*tun_OutShaman)+Z1101*(INDEX(tun_PriestShare,G1101)*tun_OutPriest+INDEX(tun_ScribeShare,G1101)*tun_OutScribe*INDEX(LM_Scribe,G1101)+INDEX(tun_ScholarShare,G1101)*tun_OutScholar*INDEX(LM_Scholar,G1101)+INDEX(tun_ResearcherShare,G1101)*tun_OutResearcher*INDEX(LM_Researcher,G1101)))</x:f>
        <x:v>0</x:v>
      </x:c>
      <x:c r="AL1101" s="32" t="n">
        <x:f>H1101*tun_RoleScale*Arch_Roles*AE1101*INDEX(tun_MonasteryPerSett,G1101)*tun_OutMonastery*INDEX(LM_Monastery,G1101)</x:f>
        <x:v>0</x:v>
      </x:c>
      <x:c r="AM1101" s="32" t="n">
        <x:f>(AJ1101+AK1101+AL1101)/4*INDEX(LM_All,G1101)*INDEX(tun_Boon,G1101)*Arch_Insight</x:f>
        <x:v>0</x:v>
      </x:c>
      <x:c r="AN1101" s="32" t="n">
        <x:f>H1101*(tun_KHPerAdult*Z1101+tun_KHOfCommons*AJ1101/4*INDEX(LM_All,G1101))*tun_KHUsable*Arch_KH</x:f>
        <x:v>0</x:v>
      </x:c>
      <x:c r="AO1101" s="32" t="n">
        <x:f>MIN(AP1100+AN1101,AM1101*tun_KHMaxRatio)</x:f>
        <x:v>0</x:v>
      </x:c>
      <x:c r="AP1101" s="32" t="n">
        <x:f>AP1100+AN1101-AO1101</x:f>
        <x:v>0</x:v>
      </x:c>
      <x:c r="AQ1101" s="32" t="n">
        <x:f>AM1101+AO1101</x:f>
        <x:v>0</x:v>
      </x:c>
      <x:c r="AR1101" s="10" t="n">
        <x:f>IF(H1101=1,INDEX(tun_Req,G1101),0)</x:f>
        <x:v>0</x:v>
      </x:c>
      <x:c r="AS1101" s="32" t="n">
        <x:f>IF(H1101=1,IF(E1101=1,AS1100-AR1100,AS1100)+AQ1101,0)</x:f>
        <x:v>0</x:v>
      </x:c>
      <x:c r="AT1101" s="11" t="n">
        <x:f>IF(AR1101&gt;0,MIN(1,AS1101/AR1101),1)</x:f>
        <x:v>1</x:v>
      </x:c>
      <x:c r="AU1101" s="10" t="n">
        <x:f>AB1101/INDEX(tun_RepScale,G1101)</x:f>
        <x:v>290.3368848566301</x:v>
      </x:c>
      <x:c r="AV1101" s="32" t="n">
        <x:f>AM1101*60/tun_SeasonSeconds</x:f>
        <x:v>0</x:v>
      </x:c>
    </x:row>
    <x:row r="1102">
      <x:c r="A1102" s="8" t="n">
        <x:f>A1101+1</x:f>
        <x:v>1099</x:v>
      </x:c>
      <x:c r="B1102" s="9" t="n">
        <x:f>A1102*tun_SeasonSeconds/60</x:f>
        <x:v>274.75</x:v>
      </x:c>
      <x:c r="C1102" s="9" t="n">
        <x:f>A1102/4</x:f>
        <x:v>274.75</x:v>
      </x:c>
      <x:c r="D1102" s="8" t="n">
        <x:f>IF(MOD(A1102,4)=0,1,0)</x:f>
        <x:v>0</x:v>
      </x:c>
      <x:c r="E1102" s="8" t="n">
        <x:f>IF(AND(F1101&lt;=9,AS1101&gt;=AR1101),1,0)</x:f>
        <x:v>0</x:v>
      </x:c>
      <x:c r="F1102" s="8" t="n">
        <x:f>MIN(10,F1101+E1102)</x:f>
        <x:v>10</x:v>
      </x:c>
      <x:c r="G1102" s="8" t="n">
        <x:f>MIN(F1102,9)+1</x:f>
        <x:v>10</x:v>
      </x:c>
      <x:c r="H1102" s="8" t="n">
        <x:f>IF(F1102&lt;=9,1,0)</x:f>
        <x:v>0</x:v>
      </x:c>
      <x:c r="I1102" s="9" t="n">
        <x:f>MIN(10,F1101+IF(AR1101&gt;0,MIN(1,AS1101/AR1101),1))</x:f>
        <x:v>10</x:v>
      </x:c>
      <x:c r="J1102" s="32" t="n">
        <x:f>INDEX(tun_FoodCap,G1102)*Arch_FoodCap*EXP(tun_CapsByProject*SUMPRODUCT((Cap_Point&lt;=I1102)*(Cap_Kind="Food")*Cap_Ln))</x:f>
        <x:v>18627.260449441455</x:v>
      </x:c>
      <x:c r="K1102" s="32" t="n">
        <x:f>J1102*MIN(1,tun_LeanBase*EXP(tun_CapsByProject*SUMPRODUCT((Cap_Point&lt;=I1102)*(Cap_Kind="Lean")*Cap_Ln)))</x:f>
        <x:v>18627.260449441455</x:v>
      </x:c>
      <x:c r="L1102" s="10" t="n">
        <x:f>INDEX(tun_HousingCap,G1102)*EXP(tun_CapsByProject*SUMPRODUCT((Cap_Point&lt;=I1102)*(Cap_Kind="Housing")*Cap_Ln))</x:f>
        <x:v>20528.974303173167</x:v>
      </x:c>
      <x:c r="M1102" s="10" t="n">
        <x:f>INDEX(tun_GroupCap,G1102)*tun_CohesionFactor*EXP(tun_CapsByProject*SUMPRODUCT((Cap_Point&lt;=I1102)*(Cap_Kind="Group")*Cap_Ln))</x:f>
        <x:v>1000000.000000001</x:v>
      </x:c>
      <x:c r="N1102" s="32" t="n">
        <x:f>MIN(J1102,L1102,M1102)</x:f>
        <x:v>18627.260449441455</x:v>
      </x:c>
      <x:c r="O1102" s="10" t="n">
        <x:f>AE1101*N1102</x:f>
        <x:v>167645.34404497308</x:v>
      </x:c>
      <x:c r="P1102" s="9" t="n">
        <x:f>MIN(1,(AB1101/(AE1101*IF(tun_GroupInCrowding=1,N1102,MIN(J1102,L1102))))^tun_CrowdingExp)</x:f>
        <x:v>0.4215841981292809</x:v>
      </x:c>
      <x:c r="Q1102" s="9" t="n">
        <x:f>IF(D1102=1,INDEX(tun_WinterMult,G1102),1)</x:f>
        <x:v>1</x:v>
      </x:c>
      <x:c r="R1102" s="9" t="n">
        <x:f>H1102*Z1101*tun_WomenShare*tun_BaseFertility*INDEX(tun_FertMult,G1102)*Arch_Fertility*(1-P1102)</x:f>
        <x:v>0</x:v>
      </x:c>
      <x:c r="S1102" s="9" t="n">
        <x:f>H1102*Y1101*INDEX(tun_MortChild,G1102)/4*Q1102</x:f>
        <x:v>0</x:v>
      </x:c>
      <x:c r="T1102" s="9" t="n">
        <x:f>H1102*Z1101*INDEX(tun_MortAdult,G1102)*Arch_AdultMort/4*Q1102</x:f>
        <x:v>0</x:v>
      </x:c>
      <x:c r="U1102" s="9" t="n">
        <x:f>H1102*AA1101*INDEX(tun_MortElder,G1102)/4*Q1102</x:f>
        <x:v>0</x:v>
      </x:c>
      <x:c r="V1102" s="9" t="n">
        <x:f>H1102*MAX(0,AB1101-O1102)*tun_OvercapLoss</x:f>
        <x:v>0</x:v>
      </x:c>
      <x:c r="W1102" s="9" t="n">
        <x:f>H1102*Y1101/(tun_ChildYears*4)</x:f>
        <x:v>0</x:v>
      </x:c>
      <x:c r="X1102" s="9" t="n">
        <x:f>H1102*Z1101/(tun_AdultYears*4)</x:f>
        <x:v>0</x:v>
      </x:c>
      <x:c r="Y1102" s="32" t="n">
        <x:f>Y1101+R1102-S1102-W1102-Y1101*V1102/AB1101</x:f>
        <x:v>40496.20709015643</x:v>
      </x:c>
      <x:c r="Z1102" s="32" t="n">
        <x:f>Z1101+W1102-X1102-T1102-Z1101*V1102/AB1101</x:f>
        <x:v>59141.61122890803</x:v>
      </x:c>
      <x:c r="AA1102" s="32" t="n">
        <x:f>AA1101+X1102-U1102-AA1101*V1102/AB1101</x:f>
        <x:v>45530.62410925061</x:v>
      </x:c>
      <x:c r="AB1102" s="10" t="n">
        <x:f>Y1102+Z1102+AA1102</x:f>
        <x:v>145168.44242831506</x:v>
      </x:c>
      <x:c r="AC1102" s="8" t="n">
        <x:f>IF(AND(tun_WinterTrigger=1,D1102=1,AB1101/AE1101&gt;=K1102),1,0)</x:f>
        <x:v>0</x:v>
      </x:c>
      <x:c r="AD1102" s="8" t="n">
        <x:f>H1102*IF(AND(OR(AB1101/AE1101&gt;=tun_FissionTrigger*N1102,AC1102=1),AB1101/AE1101*tun_DaughterShare&gt;=tun_MinDaughter),MAX(1,ROUND(AE1101*tun_FissionRate,0)),0)</x:f>
        <x:v>0</x:v>
      </x:c>
      <x:c r="AE1102" s="8" t="n">
        <x:f>IF(H1102=1,MAX(1,MIN(INDEX(tun_Smax,G1102),AE1101+AD1102)),AE1101)</x:f>
        <x:v>9</x:v>
      </x:c>
      <x:c r="AF1102" s="8" t="n">
        <x:f>MAX(0,AE1102-AE1101)</x:f>
        <x:v>0</x:v>
      </x:c>
      <x:c r="AG1102" s="9" t="str">
        <x:f>IF(AF1102&gt;0,B1102,"")</x:f>
      </x:c>
      <x:c r="AH1102" s="9" t="n">
        <x:f>IF(F1102&gt;=1,1,(1+tun_LowTiesShare*(AE1102-1))/AE1102)</x:f>
        <x:v>1</x:v>
      </x:c>
      <x:c r="AI1102" s="32" t="n">
        <x:f>(Z1102+tun_ElderCommons*INDEX(LM_Elder,G1102)*AA1102)*AH1102</x:f>
        <x:v>238215.0665857503</x:v>
      </x:c>
      <x:c r="AJ1102" s="32" t="n">
        <x:f>H1102*tun_CommonsCoef*AI1102^tun_CommonsExp*INDEX(LM_Commons,G1102)</x:f>
        <x:v>0</x:v>
      </x:c>
      <x:c r="AK1102" s="32" t="n">
        <x:f>H1102*tun_RoleScale*Arch_Roles*(AE1102*(INDEX(tun_ElderRolePerSett,G1102)*tun_OutElder*INDEX(LM_Elder,G1102)+INDEX(tun_ShamanPerSett,G1102)*tun_OutShaman)+Z1102*(INDEX(tun_PriestShare,G1102)*tun_OutPriest+INDEX(tun_ScribeShare,G1102)*tun_OutScribe*INDEX(LM_Scribe,G1102)+INDEX(tun_ScholarShare,G1102)*tun_OutScholar*INDEX(LM_Scholar,G1102)+INDEX(tun_ResearcherShare,G1102)*tun_OutResearcher*INDEX(LM_Researcher,G1102)))</x:f>
        <x:v>0</x:v>
      </x:c>
      <x:c r="AL1102" s="32" t="n">
        <x:f>H1102*tun_RoleScale*Arch_Roles*AE1102*INDEX(tun_MonasteryPerSett,G1102)*tun_OutMonastery*INDEX(LM_Monastery,G1102)</x:f>
        <x:v>0</x:v>
      </x:c>
      <x:c r="AM1102" s="32" t="n">
        <x:f>(AJ1102+AK1102+AL1102)/4*INDEX(LM_All,G1102)*INDEX(tun_Boon,G1102)*Arch_Insight</x:f>
        <x:v>0</x:v>
      </x:c>
      <x:c r="AN1102" s="32" t="n">
        <x:f>H1102*(tun_KHPerAdult*Z1102+tun_KHOfCommons*AJ1102/4*INDEX(LM_All,G1102))*tun_KHUsable*Arch_KH</x:f>
        <x:v>0</x:v>
      </x:c>
      <x:c r="AO1102" s="32" t="n">
        <x:f>MIN(AP1101+AN1102,AM1102*tun_KHMaxRatio)</x:f>
        <x:v>0</x:v>
      </x:c>
      <x:c r="AP1102" s="32" t="n">
        <x:f>AP1101+AN1102-AO1102</x:f>
        <x:v>0</x:v>
      </x:c>
      <x:c r="AQ1102" s="32" t="n">
        <x:f>AM1102+AO1102</x:f>
        <x:v>0</x:v>
      </x:c>
      <x:c r="AR1102" s="10" t="n">
        <x:f>IF(H1102=1,INDEX(tun_Req,G1102),0)</x:f>
        <x:v>0</x:v>
      </x:c>
      <x:c r="AS1102" s="32" t="n">
        <x:f>IF(H1102=1,IF(E1102=1,AS1101-AR1101,AS1101)+AQ1102,0)</x:f>
        <x:v>0</x:v>
      </x:c>
      <x:c r="AT1102" s="11" t="n">
        <x:f>IF(AR1102&gt;0,MIN(1,AS1102/AR1102),1)</x:f>
        <x:v>1</x:v>
      </x:c>
      <x:c r="AU1102" s="10" t="n">
        <x:f>AB1102/INDEX(tun_RepScale,G1102)</x:f>
        <x:v>290.3368848566301</x:v>
      </x:c>
      <x:c r="AV1102" s="32" t="n">
        <x:f>AM1102*60/tun_SeasonSeconds</x:f>
        <x:v>0</x:v>
      </x:c>
    </x:row>
    <x:row r="1103">
      <x:c r="A1103" s="8" t="n">
        <x:f>A1102+1</x:f>
        <x:v>1100</x:v>
      </x:c>
      <x:c r="B1103" s="9" t="n">
        <x:f>A1103*tun_SeasonSeconds/60</x:f>
        <x:v>275</x:v>
      </x:c>
      <x:c r="C1103" s="9" t="n">
        <x:f>A1103/4</x:f>
        <x:v>275</x:v>
      </x:c>
      <x:c r="D1103" s="8" t="n">
        <x:f>IF(MOD(A1103,4)=0,1,0)</x:f>
        <x:v>1</x:v>
      </x:c>
      <x:c r="E1103" s="8" t="n">
        <x:f>IF(AND(F1102&lt;=9,AS1102&gt;=AR1102),1,0)</x:f>
        <x:v>0</x:v>
      </x:c>
      <x:c r="F1103" s="8" t="n">
        <x:f>MIN(10,F1102+E1103)</x:f>
        <x:v>10</x:v>
      </x:c>
      <x:c r="G1103" s="8" t="n">
        <x:f>MIN(F1103,9)+1</x:f>
        <x:v>10</x:v>
      </x:c>
      <x:c r="H1103" s="8" t="n">
        <x:f>IF(F1103&lt;=9,1,0)</x:f>
        <x:v>0</x:v>
      </x:c>
      <x:c r="I1103" s="9" t="n">
        <x:f>MIN(10,F1102+IF(AR1102&gt;0,MIN(1,AS1102/AR1102),1))</x:f>
        <x:v>10</x:v>
      </x:c>
      <x:c r="J1103" s="32" t="n">
        <x:f>INDEX(tun_FoodCap,G1103)*Arch_FoodCap*EXP(tun_CapsByProject*SUMPRODUCT((Cap_Point&lt;=I1103)*(Cap_Kind="Food")*Cap_Ln))</x:f>
        <x:v>18627.260449441455</x:v>
      </x:c>
      <x:c r="K1103" s="32" t="n">
        <x:f>J1103*MIN(1,tun_LeanBase*EXP(tun_CapsByProject*SUMPRODUCT((Cap_Point&lt;=I1103)*(Cap_Kind="Lean")*Cap_Ln)))</x:f>
        <x:v>18627.260449441455</x:v>
      </x:c>
      <x:c r="L1103" s="10" t="n">
        <x:f>INDEX(tun_HousingCap,G1103)*EXP(tun_CapsByProject*SUMPRODUCT((Cap_Point&lt;=I1103)*(Cap_Kind="Housing")*Cap_Ln))</x:f>
        <x:v>20528.974303173167</x:v>
      </x:c>
      <x:c r="M1103" s="10" t="n">
        <x:f>INDEX(tun_GroupCap,G1103)*tun_CohesionFactor*EXP(tun_CapsByProject*SUMPRODUCT((Cap_Point&lt;=I1103)*(Cap_Kind="Group")*Cap_Ln))</x:f>
        <x:v>1000000.000000001</x:v>
      </x:c>
      <x:c r="N1103" s="32" t="n">
        <x:f>MIN(J1103,L1103,M1103)</x:f>
        <x:v>18627.260449441455</x:v>
      </x:c>
      <x:c r="O1103" s="10" t="n">
        <x:f>AE1102*N1103</x:f>
        <x:v>167645.34404497308</x:v>
      </x:c>
      <x:c r="P1103" s="9" t="n">
        <x:f>MIN(1,(AB1102/(AE1102*IF(tun_GroupInCrowding=1,N1103,MIN(J1103,L1103))))^tun_CrowdingExp)</x:f>
        <x:v>0.4215841981292809</x:v>
      </x:c>
      <x:c r="Q1103" s="9" t="n">
        <x:f>IF(D1103=1,INDEX(tun_WinterMult,G1103),1)</x:f>
        <x:v>1.05</x:v>
      </x:c>
      <x:c r="R1103" s="9" t="n">
        <x:f>H1103*Z1102*tun_WomenShare*tun_BaseFertility*INDEX(tun_FertMult,G1103)*Arch_Fertility*(1-P1103)</x:f>
        <x:v>0</x:v>
      </x:c>
      <x:c r="S1103" s="9" t="n">
        <x:f>H1103*Y1102*INDEX(tun_MortChild,G1103)/4*Q1103</x:f>
        <x:v>0</x:v>
      </x:c>
      <x:c r="T1103" s="9" t="n">
        <x:f>H1103*Z1102*INDEX(tun_MortAdult,G1103)*Arch_AdultMort/4*Q1103</x:f>
        <x:v>0</x:v>
      </x:c>
      <x:c r="U1103" s="9" t="n">
        <x:f>H1103*AA1102*INDEX(tun_MortElder,G1103)/4*Q1103</x:f>
        <x:v>0</x:v>
      </x:c>
      <x:c r="V1103" s="9" t="n">
        <x:f>H1103*MAX(0,AB1102-O1103)*tun_OvercapLoss</x:f>
        <x:v>0</x:v>
      </x:c>
      <x:c r="W1103" s="9" t="n">
        <x:f>H1103*Y1102/(tun_ChildYears*4)</x:f>
        <x:v>0</x:v>
      </x:c>
      <x:c r="X1103" s="9" t="n">
        <x:f>H1103*Z1102/(tun_AdultYears*4)</x:f>
        <x:v>0</x:v>
      </x:c>
      <x:c r="Y1103" s="32" t="n">
        <x:f>Y1102+R1103-S1103-W1103-Y1102*V1103/AB1102</x:f>
        <x:v>40496.20709015643</x:v>
      </x:c>
      <x:c r="Z1103" s="32" t="n">
        <x:f>Z1102+W1103-X1103-T1103-Z1102*V1103/AB1102</x:f>
        <x:v>59141.61122890803</x:v>
      </x:c>
      <x:c r="AA1103" s="32" t="n">
        <x:f>AA1102+X1103-U1103-AA1102*V1103/AB1102</x:f>
        <x:v>45530.62410925061</x:v>
      </x:c>
      <x:c r="AB1103" s="10" t="n">
        <x:f>Y1103+Z1103+AA1103</x:f>
        <x:v>145168.44242831506</x:v>
      </x:c>
      <x:c r="AC1103" s="8" t="n">
        <x:f>IF(AND(tun_WinterTrigger=1,D1103=1,AB1102/AE1102&gt;=K1103),1,0)</x:f>
        <x:v>0</x:v>
      </x:c>
      <x:c r="AD1103" s="8" t="n">
        <x:f>H1103*IF(AND(OR(AB1102/AE1102&gt;=tun_FissionTrigger*N1103,AC1103=1),AB1102/AE1102*tun_DaughterShare&gt;=tun_MinDaughter),MAX(1,ROUND(AE1102*tun_FissionRate,0)),0)</x:f>
        <x:v>0</x:v>
      </x:c>
      <x:c r="AE1103" s="8" t="n">
        <x:f>IF(H1103=1,MAX(1,MIN(INDEX(tun_Smax,G1103),AE1102+AD1103)),AE1102)</x:f>
        <x:v>9</x:v>
      </x:c>
      <x:c r="AF1103" s="8" t="n">
        <x:f>MAX(0,AE1103-AE1102)</x:f>
        <x:v>0</x:v>
      </x:c>
      <x:c r="AG1103" s="9" t="str">
        <x:f>IF(AF1103&gt;0,B1103,"")</x:f>
      </x:c>
      <x:c r="AH1103" s="9" t="n">
        <x:f>IF(F1103&gt;=1,1,(1+tun_LowTiesShare*(AE1103-1))/AE1103)</x:f>
        <x:v>1</x:v>
      </x:c>
      <x:c r="AI1103" s="32" t="n">
        <x:f>(Z1103+tun_ElderCommons*INDEX(LM_Elder,G1103)*AA1103)*AH1103</x:f>
        <x:v>238215.0665857503</x:v>
      </x:c>
      <x:c r="AJ1103" s="32" t="n">
        <x:f>H1103*tun_CommonsCoef*AI1103^tun_CommonsExp*INDEX(LM_Commons,G1103)</x:f>
        <x:v>0</x:v>
      </x:c>
      <x:c r="AK1103" s="32" t="n">
        <x:f>H1103*tun_RoleScale*Arch_Roles*(AE1103*(INDEX(tun_ElderRolePerSett,G1103)*tun_OutElder*INDEX(LM_Elder,G1103)+INDEX(tun_ShamanPerSett,G1103)*tun_OutShaman)+Z1103*(INDEX(tun_PriestShare,G1103)*tun_OutPriest+INDEX(tun_ScribeShare,G1103)*tun_OutScribe*INDEX(LM_Scribe,G1103)+INDEX(tun_ScholarShare,G1103)*tun_OutScholar*INDEX(LM_Scholar,G1103)+INDEX(tun_ResearcherShare,G1103)*tun_OutResearcher*INDEX(LM_Researcher,G1103)))</x:f>
        <x:v>0</x:v>
      </x:c>
      <x:c r="AL1103" s="32" t="n">
        <x:f>H1103*tun_RoleScale*Arch_Roles*AE1103*INDEX(tun_MonasteryPerSett,G1103)*tun_OutMonastery*INDEX(LM_Monastery,G1103)</x:f>
        <x:v>0</x:v>
      </x:c>
      <x:c r="AM1103" s="32" t="n">
        <x:f>(AJ1103+AK1103+AL1103)/4*INDEX(LM_All,G1103)*INDEX(tun_Boon,G1103)*Arch_Insight</x:f>
        <x:v>0</x:v>
      </x:c>
      <x:c r="AN1103" s="32" t="n">
        <x:f>H1103*(tun_KHPerAdult*Z1103+tun_KHOfCommons*AJ1103/4*INDEX(LM_All,G1103))*tun_KHUsable*Arch_KH</x:f>
        <x:v>0</x:v>
      </x:c>
      <x:c r="AO1103" s="32" t="n">
        <x:f>MIN(AP1102+AN1103,AM1103*tun_KHMaxRatio)</x:f>
        <x:v>0</x:v>
      </x:c>
      <x:c r="AP1103" s="32" t="n">
        <x:f>AP1102+AN1103-AO1103</x:f>
        <x:v>0</x:v>
      </x:c>
      <x:c r="AQ1103" s="32" t="n">
        <x:f>AM1103+AO1103</x:f>
        <x:v>0</x:v>
      </x:c>
      <x:c r="AR1103" s="10" t="n">
        <x:f>IF(H1103=1,INDEX(tun_Req,G1103),0)</x:f>
        <x:v>0</x:v>
      </x:c>
      <x:c r="AS1103" s="32" t="n">
        <x:f>IF(H1103=1,IF(E1103=1,AS1102-AR1102,AS1102)+AQ1103,0)</x:f>
        <x:v>0</x:v>
      </x:c>
      <x:c r="AT1103" s="11" t="n">
        <x:f>IF(AR1103&gt;0,MIN(1,AS1103/AR1103),1)</x:f>
        <x:v>1</x:v>
      </x:c>
      <x:c r="AU1103" s="10" t="n">
        <x:f>AB1103/INDEX(tun_RepScale,G1103)</x:f>
        <x:v>290.3368848566301</x:v>
      </x:c>
      <x:c r="AV1103" s="32" t="n">
        <x:f>AM1103*60/tun_SeasonSeconds</x:f>
        <x:v>0</x:v>
      </x:c>
    </x:row>
    <x:row r="1104">
      <x:c r="A1104" s="8" t="n">
        <x:f>A1103+1</x:f>
        <x:v>1101</x:v>
      </x:c>
      <x:c r="B1104" s="9" t="n">
        <x:f>A1104*tun_SeasonSeconds/60</x:f>
        <x:v>275.25</x:v>
      </x:c>
      <x:c r="C1104" s="9" t="n">
        <x:f>A1104/4</x:f>
        <x:v>275.25</x:v>
      </x:c>
      <x:c r="D1104" s="8" t="n">
        <x:f>IF(MOD(A1104,4)=0,1,0)</x:f>
        <x:v>0</x:v>
      </x:c>
      <x:c r="E1104" s="8" t="n">
        <x:f>IF(AND(F1103&lt;=9,AS1103&gt;=AR1103),1,0)</x:f>
        <x:v>0</x:v>
      </x:c>
      <x:c r="F1104" s="8" t="n">
        <x:f>MIN(10,F1103+E1104)</x:f>
        <x:v>10</x:v>
      </x:c>
      <x:c r="G1104" s="8" t="n">
        <x:f>MIN(F1104,9)+1</x:f>
        <x:v>10</x:v>
      </x:c>
      <x:c r="H1104" s="8" t="n">
        <x:f>IF(F1104&lt;=9,1,0)</x:f>
        <x:v>0</x:v>
      </x:c>
      <x:c r="I1104" s="9" t="n">
        <x:f>MIN(10,F1103+IF(AR1103&gt;0,MIN(1,AS1103/AR1103),1))</x:f>
        <x:v>10</x:v>
      </x:c>
      <x:c r="J1104" s="32" t="n">
        <x:f>INDEX(tun_FoodCap,G1104)*Arch_FoodCap*EXP(tun_CapsByProject*SUMPRODUCT((Cap_Point&lt;=I1104)*(Cap_Kind="Food")*Cap_Ln))</x:f>
        <x:v>18627.260449441455</x:v>
      </x:c>
      <x:c r="K1104" s="32" t="n">
        <x:f>J1104*MIN(1,tun_LeanBase*EXP(tun_CapsByProject*SUMPRODUCT((Cap_Point&lt;=I1104)*(Cap_Kind="Lean")*Cap_Ln)))</x:f>
        <x:v>18627.260449441455</x:v>
      </x:c>
      <x:c r="L1104" s="10" t="n">
        <x:f>INDEX(tun_HousingCap,G1104)*EXP(tun_CapsByProject*SUMPRODUCT((Cap_Point&lt;=I1104)*(Cap_Kind="Housing")*Cap_Ln))</x:f>
        <x:v>20528.974303173167</x:v>
      </x:c>
      <x:c r="M1104" s="10" t="n">
        <x:f>INDEX(tun_GroupCap,G1104)*tun_CohesionFactor*EXP(tun_CapsByProject*SUMPRODUCT((Cap_Point&lt;=I1104)*(Cap_Kind="Group")*Cap_Ln))</x:f>
        <x:v>1000000.000000001</x:v>
      </x:c>
      <x:c r="N1104" s="32" t="n">
        <x:f>MIN(J1104,L1104,M1104)</x:f>
        <x:v>18627.260449441455</x:v>
      </x:c>
      <x:c r="O1104" s="10" t="n">
        <x:f>AE1103*N1104</x:f>
        <x:v>167645.34404497308</x:v>
      </x:c>
      <x:c r="P1104" s="9" t="n">
        <x:f>MIN(1,(AB1103/(AE1103*IF(tun_GroupInCrowding=1,N1104,MIN(J1104,L1104))))^tun_CrowdingExp)</x:f>
        <x:v>0.4215841981292809</x:v>
      </x:c>
      <x:c r="Q1104" s="9" t="n">
        <x:f>IF(D1104=1,INDEX(tun_WinterMult,G1104),1)</x:f>
        <x:v>1</x:v>
      </x:c>
      <x:c r="R1104" s="9" t="n">
        <x:f>H1104*Z1103*tun_WomenShare*tun_BaseFertility*INDEX(tun_FertMult,G1104)*Arch_Fertility*(1-P1104)</x:f>
        <x:v>0</x:v>
      </x:c>
      <x:c r="S1104" s="9" t="n">
        <x:f>H1104*Y1103*INDEX(tun_MortChild,G1104)/4*Q1104</x:f>
        <x:v>0</x:v>
      </x:c>
      <x:c r="T1104" s="9" t="n">
        <x:f>H1104*Z1103*INDEX(tun_MortAdult,G1104)*Arch_AdultMort/4*Q1104</x:f>
        <x:v>0</x:v>
      </x:c>
      <x:c r="U1104" s="9" t="n">
        <x:f>H1104*AA1103*INDEX(tun_MortElder,G1104)/4*Q1104</x:f>
        <x:v>0</x:v>
      </x:c>
      <x:c r="V1104" s="9" t="n">
        <x:f>H1104*MAX(0,AB1103-O1104)*tun_OvercapLoss</x:f>
        <x:v>0</x:v>
      </x:c>
      <x:c r="W1104" s="9" t="n">
        <x:f>H1104*Y1103/(tun_ChildYears*4)</x:f>
        <x:v>0</x:v>
      </x:c>
      <x:c r="X1104" s="9" t="n">
        <x:f>H1104*Z1103/(tun_AdultYears*4)</x:f>
        <x:v>0</x:v>
      </x:c>
      <x:c r="Y1104" s="32" t="n">
        <x:f>Y1103+R1104-S1104-W1104-Y1103*V1104/AB1103</x:f>
        <x:v>40496.20709015643</x:v>
      </x:c>
      <x:c r="Z1104" s="32" t="n">
        <x:f>Z1103+W1104-X1104-T1104-Z1103*V1104/AB1103</x:f>
        <x:v>59141.61122890803</x:v>
      </x:c>
      <x:c r="AA1104" s="32" t="n">
        <x:f>AA1103+X1104-U1104-AA1103*V1104/AB1103</x:f>
        <x:v>45530.62410925061</x:v>
      </x:c>
      <x:c r="AB1104" s="10" t="n">
        <x:f>Y1104+Z1104+AA1104</x:f>
        <x:v>145168.44242831506</x:v>
      </x:c>
      <x:c r="AC1104" s="8" t="n">
        <x:f>IF(AND(tun_WinterTrigger=1,D1104=1,AB1103/AE1103&gt;=K1104),1,0)</x:f>
        <x:v>0</x:v>
      </x:c>
      <x:c r="AD1104" s="8" t="n">
        <x:f>H1104*IF(AND(OR(AB1103/AE1103&gt;=tun_FissionTrigger*N1104,AC1104=1),AB1103/AE1103*tun_DaughterShare&gt;=tun_MinDaughter),MAX(1,ROUND(AE1103*tun_FissionRate,0)),0)</x:f>
        <x:v>0</x:v>
      </x:c>
      <x:c r="AE1104" s="8" t="n">
        <x:f>IF(H1104=1,MAX(1,MIN(INDEX(tun_Smax,G1104),AE1103+AD1104)),AE1103)</x:f>
        <x:v>9</x:v>
      </x:c>
      <x:c r="AF1104" s="8" t="n">
        <x:f>MAX(0,AE1104-AE1103)</x:f>
        <x:v>0</x:v>
      </x:c>
      <x:c r="AG1104" s="9" t="str">
        <x:f>IF(AF1104&gt;0,B1104,"")</x:f>
      </x:c>
      <x:c r="AH1104" s="9" t="n">
        <x:f>IF(F1104&gt;=1,1,(1+tun_LowTiesShare*(AE1104-1))/AE1104)</x:f>
        <x:v>1</x:v>
      </x:c>
      <x:c r="AI1104" s="32" t="n">
        <x:f>(Z1104+tun_ElderCommons*INDEX(LM_Elder,G1104)*AA1104)*AH1104</x:f>
        <x:v>238215.0665857503</x:v>
      </x:c>
      <x:c r="AJ1104" s="32" t="n">
        <x:f>H1104*tun_CommonsCoef*AI1104^tun_CommonsExp*INDEX(LM_Commons,G1104)</x:f>
        <x:v>0</x:v>
      </x:c>
      <x:c r="AK1104" s="32" t="n">
        <x:f>H1104*tun_RoleScale*Arch_Roles*(AE1104*(INDEX(tun_ElderRolePerSett,G1104)*tun_OutElder*INDEX(LM_Elder,G1104)+INDEX(tun_ShamanPerSett,G1104)*tun_OutShaman)+Z1104*(INDEX(tun_PriestShare,G1104)*tun_OutPriest+INDEX(tun_ScribeShare,G1104)*tun_OutScribe*INDEX(LM_Scribe,G1104)+INDEX(tun_ScholarShare,G1104)*tun_OutScholar*INDEX(LM_Scholar,G1104)+INDEX(tun_ResearcherShare,G1104)*tun_OutResearcher*INDEX(LM_Researcher,G1104)))</x:f>
        <x:v>0</x:v>
      </x:c>
      <x:c r="AL1104" s="32" t="n">
        <x:f>H1104*tun_RoleScale*Arch_Roles*AE1104*INDEX(tun_MonasteryPerSett,G1104)*tun_OutMonastery*INDEX(LM_Monastery,G1104)</x:f>
        <x:v>0</x:v>
      </x:c>
      <x:c r="AM1104" s="32" t="n">
        <x:f>(AJ1104+AK1104+AL1104)/4*INDEX(LM_All,G1104)*INDEX(tun_Boon,G1104)*Arch_Insight</x:f>
        <x:v>0</x:v>
      </x:c>
      <x:c r="AN1104" s="32" t="n">
        <x:f>H1104*(tun_KHPerAdult*Z1104+tun_KHOfCommons*AJ1104/4*INDEX(LM_All,G1104))*tun_KHUsable*Arch_KH</x:f>
        <x:v>0</x:v>
      </x:c>
      <x:c r="AO1104" s="32" t="n">
        <x:f>MIN(AP1103+AN1104,AM1104*tun_KHMaxRatio)</x:f>
        <x:v>0</x:v>
      </x:c>
      <x:c r="AP1104" s="32" t="n">
        <x:f>AP1103+AN1104-AO1104</x:f>
        <x:v>0</x:v>
      </x:c>
      <x:c r="AQ1104" s="32" t="n">
        <x:f>AM1104+AO1104</x:f>
        <x:v>0</x:v>
      </x:c>
      <x:c r="AR1104" s="10" t="n">
        <x:f>IF(H1104=1,INDEX(tun_Req,G1104),0)</x:f>
        <x:v>0</x:v>
      </x:c>
      <x:c r="AS1104" s="32" t="n">
        <x:f>IF(H1104=1,IF(E1104=1,AS1103-AR1103,AS1103)+AQ1104,0)</x:f>
        <x:v>0</x:v>
      </x:c>
      <x:c r="AT1104" s="11" t="n">
        <x:f>IF(AR1104&gt;0,MIN(1,AS1104/AR1104),1)</x:f>
        <x:v>1</x:v>
      </x:c>
      <x:c r="AU1104" s="10" t="n">
        <x:f>AB1104/INDEX(tun_RepScale,G1104)</x:f>
        <x:v>290.3368848566301</x:v>
      </x:c>
      <x:c r="AV1104" s="32" t="n">
        <x:f>AM1104*60/tun_SeasonSeconds</x:f>
        <x:v>0</x:v>
      </x:c>
    </x:row>
    <x:row r="1105">
      <x:c r="A1105" s="8" t="n">
        <x:f>A1104+1</x:f>
        <x:v>1102</x:v>
      </x:c>
      <x:c r="B1105" s="9" t="n">
        <x:f>A1105*tun_SeasonSeconds/60</x:f>
        <x:v>275.5</x:v>
      </x:c>
      <x:c r="C1105" s="9" t="n">
        <x:f>A1105/4</x:f>
        <x:v>275.5</x:v>
      </x:c>
      <x:c r="D1105" s="8" t="n">
        <x:f>IF(MOD(A1105,4)=0,1,0)</x:f>
        <x:v>0</x:v>
      </x:c>
      <x:c r="E1105" s="8" t="n">
        <x:f>IF(AND(F1104&lt;=9,AS1104&gt;=AR1104),1,0)</x:f>
        <x:v>0</x:v>
      </x:c>
      <x:c r="F1105" s="8" t="n">
        <x:f>MIN(10,F1104+E1105)</x:f>
        <x:v>10</x:v>
      </x:c>
      <x:c r="G1105" s="8" t="n">
        <x:f>MIN(F1105,9)+1</x:f>
        <x:v>10</x:v>
      </x:c>
      <x:c r="H1105" s="8" t="n">
        <x:f>IF(F1105&lt;=9,1,0)</x:f>
        <x:v>0</x:v>
      </x:c>
      <x:c r="I1105" s="9" t="n">
        <x:f>MIN(10,F1104+IF(AR1104&gt;0,MIN(1,AS1104/AR1104),1))</x:f>
        <x:v>10</x:v>
      </x:c>
      <x:c r="J1105" s="32" t="n">
        <x:f>INDEX(tun_FoodCap,G1105)*Arch_FoodCap*EXP(tun_CapsByProject*SUMPRODUCT((Cap_Point&lt;=I1105)*(Cap_Kind="Food")*Cap_Ln))</x:f>
        <x:v>18627.260449441455</x:v>
      </x:c>
      <x:c r="K1105" s="32" t="n">
        <x:f>J1105*MIN(1,tun_LeanBase*EXP(tun_CapsByProject*SUMPRODUCT((Cap_Point&lt;=I1105)*(Cap_Kind="Lean")*Cap_Ln)))</x:f>
        <x:v>18627.260449441455</x:v>
      </x:c>
      <x:c r="L1105" s="10" t="n">
        <x:f>INDEX(tun_HousingCap,G1105)*EXP(tun_CapsByProject*SUMPRODUCT((Cap_Point&lt;=I1105)*(Cap_Kind="Housing")*Cap_Ln))</x:f>
        <x:v>20528.974303173167</x:v>
      </x:c>
      <x:c r="M1105" s="10" t="n">
        <x:f>INDEX(tun_GroupCap,G1105)*tun_CohesionFactor*EXP(tun_CapsByProject*SUMPRODUCT((Cap_Point&lt;=I1105)*(Cap_Kind="Group")*Cap_Ln))</x:f>
        <x:v>1000000.000000001</x:v>
      </x:c>
      <x:c r="N1105" s="32" t="n">
        <x:f>MIN(J1105,L1105,M1105)</x:f>
        <x:v>18627.260449441455</x:v>
      </x:c>
      <x:c r="O1105" s="10" t="n">
        <x:f>AE1104*N1105</x:f>
        <x:v>167645.34404497308</x:v>
      </x:c>
      <x:c r="P1105" s="9" t="n">
        <x:f>MIN(1,(AB1104/(AE1104*IF(tun_GroupInCrowding=1,N1105,MIN(J1105,L1105))))^tun_CrowdingExp)</x:f>
        <x:v>0.4215841981292809</x:v>
      </x:c>
      <x:c r="Q1105" s="9" t="n">
        <x:f>IF(D1105=1,INDEX(tun_WinterMult,G1105),1)</x:f>
        <x:v>1</x:v>
      </x:c>
      <x:c r="R1105" s="9" t="n">
        <x:f>H1105*Z1104*tun_WomenShare*tun_BaseFertility*INDEX(tun_FertMult,G1105)*Arch_Fertility*(1-P1105)</x:f>
        <x:v>0</x:v>
      </x:c>
      <x:c r="S1105" s="9" t="n">
        <x:f>H1105*Y1104*INDEX(tun_MortChild,G1105)/4*Q1105</x:f>
        <x:v>0</x:v>
      </x:c>
      <x:c r="T1105" s="9" t="n">
        <x:f>H1105*Z1104*INDEX(tun_MortAdult,G1105)*Arch_AdultMort/4*Q1105</x:f>
        <x:v>0</x:v>
      </x:c>
      <x:c r="U1105" s="9" t="n">
        <x:f>H1105*AA1104*INDEX(tun_MortElder,G1105)/4*Q1105</x:f>
        <x:v>0</x:v>
      </x:c>
      <x:c r="V1105" s="9" t="n">
        <x:f>H1105*MAX(0,AB1104-O1105)*tun_OvercapLoss</x:f>
        <x:v>0</x:v>
      </x:c>
      <x:c r="W1105" s="9" t="n">
        <x:f>H1105*Y1104/(tun_ChildYears*4)</x:f>
        <x:v>0</x:v>
      </x:c>
      <x:c r="X1105" s="9" t="n">
        <x:f>H1105*Z1104/(tun_AdultYears*4)</x:f>
        <x:v>0</x:v>
      </x:c>
      <x:c r="Y1105" s="32" t="n">
        <x:f>Y1104+R1105-S1105-W1105-Y1104*V1105/AB1104</x:f>
        <x:v>40496.20709015643</x:v>
      </x:c>
      <x:c r="Z1105" s="32" t="n">
        <x:f>Z1104+W1105-X1105-T1105-Z1104*V1105/AB1104</x:f>
        <x:v>59141.61122890803</x:v>
      </x:c>
      <x:c r="AA1105" s="32" t="n">
        <x:f>AA1104+X1105-U1105-AA1104*V1105/AB1104</x:f>
        <x:v>45530.62410925061</x:v>
      </x:c>
      <x:c r="AB1105" s="10" t="n">
        <x:f>Y1105+Z1105+AA1105</x:f>
        <x:v>145168.44242831506</x:v>
      </x:c>
      <x:c r="AC1105" s="8" t="n">
        <x:f>IF(AND(tun_WinterTrigger=1,D1105=1,AB1104/AE1104&gt;=K1105),1,0)</x:f>
        <x:v>0</x:v>
      </x:c>
      <x:c r="AD1105" s="8" t="n">
        <x:f>H1105*IF(AND(OR(AB1104/AE1104&gt;=tun_FissionTrigger*N1105,AC1105=1),AB1104/AE1104*tun_DaughterShare&gt;=tun_MinDaughter),MAX(1,ROUND(AE1104*tun_FissionRate,0)),0)</x:f>
        <x:v>0</x:v>
      </x:c>
      <x:c r="AE1105" s="8" t="n">
        <x:f>IF(H1105=1,MAX(1,MIN(INDEX(tun_Smax,G1105),AE1104+AD1105)),AE1104)</x:f>
        <x:v>9</x:v>
      </x:c>
      <x:c r="AF1105" s="8" t="n">
        <x:f>MAX(0,AE1105-AE1104)</x:f>
        <x:v>0</x:v>
      </x:c>
      <x:c r="AG1105" s="9" t="str">
        <x:f>IF(AF1105&gt;0,B1105,"")</x:f>
      </x:c>
      <x:c r="AH1105" s="9" t="n">
        <x:f>IF(F1105&gt;=1,1,(1+tun_LowTiesShare*(AE1105-1))/AE1105)</x:f>
        <x:v>1</x:v>
      </x:c>
      <x:c r="AI1105" s="32" t="n">
        <x:f>(Z1105+tun_ElderCommons*INDEX(LM_Elder,G1105)*AA1105)*AH1105</x:f>
        <x:v>238215.0665857503</x:v>
      </x:c>
      <x:c r="AJ1105" s="32" t="n">
        <x:f>H1105*tun_CommonsCoef*AI1105^tun_CommonsExp*INDEX(LM_Commons,G1105)</x:f>
        <x:v>0</x:v>
      </x:c>
      <x:c r="AK1105" s="32" t="n">
        <x:f>H1105*tun_RoleScale*Arch_Roles*(AE1105*(INDEX(tun_ElderRolePerSett,G1105)*tun_OutElder*INDEX(LM_Elder,G1105)+INDEX(tun_ShamanPerSett,G1105)*tun_OutShaman)+Z1105*(INDEX(tun_PriestShare,G1105)*tun_OutPriest+INDEX(tun_ScribeShare,G1105)*tun_OutScribe*INDEX(LM_Scribe,G1105)+INDEX(tun_ScholarShare,G1105)*tun_OutScholar*INDEX(LM_Scholar,G1105)+INDEX(tun_ResearcherShare,G1105)*tun_OutResearcher*INDEX(LM_Researcher,G1105)))</x:f>
        <x:v>0</x:v>
      </x:c>
      <x:c r="AL1105" s="32" t="n">
        <x:f>H1105*tun_RoleScale*Arch_Roles*AE1105*INDEX(tun_MonasteryPerSett,G1105)*tun_OutMonastery*INDEX(LM_Monastery,G1105)</x:f>
        <x:v>0</x:v>
      </x:c>
      <x:c r="AM1105" s="32" t="n">
        <x:f>(AJ1105+AK1105+AL1105)/4*INDEX(LM_All,G1105)*INDEX(tun_Boon,G1105)*Arch_Insight</x:f>
        <x:v>0</x:v>
      </x:c>
      <x:c r="AN1105" s="32" t="n">
        <x:f>H1105*(tun_KHPerAdult*Z1105+tun_KHOfCommons*AJ1105/4*INDEX(LM_All,G1105))*tun_KHUsable*Arch_KH</x:f>
        <x:v>0</x:v>
      </x:c>
      <x:c r="AO1105" s="32" t="n">
        <x:f>MIN(AP1104+AN1105,AM1105*tun_KHMaxRatio)</x:f>
        <x:v>0</x:v>
      </x:c>
      <x:c r="AP1105" s="32" t="n">
        <x:f>AP1104+AN1105-AO1105</x:f>
        <x:v>0</x:v>
      </x:c>
      <x:c r="AQ1105" s="32" t="n">
        <x:f>AM1105+AO1105</x:f>
        <x:v>0</x:v>
      </x:c>
      <x:c r="AR1105" s="10" t="n">
        <x:f>IF(H1105=1,INDEX(tun_Req,G1105),0)</x:f>
        <x:v>0</x:v>
      </x:c>
      <x:c r="AS1105" s="32" t="n">
        <x:f>IF(H1105=1,IF(E1105=1,AS1104-AR1104,AS1104)+AQ1105,0)</x:f>
        <x:v>0</x:v>
      </x:c>
      <x:c r="AT1105" s="11" t="n">
        <x:f>IF(AR1105&gt;0,MIN(1,AS1105/AR1105),1)</x:f>
        <x:v>1</x:v>
      </x:c>
      <x:c r="AU1105" s="10" t="n">
        <x:f>AB1105/INDEX(tun_RepScale,G1105)</x:f>
        <x:v>290.3368848566301</x:v>
      </x:c>
      <x:c r="AV1105" s="32" t="n">
        <x:f>AM1105*60/tun_SeasonSeconds</x:f>
        <x:v>0</x:v>
      </x:c>
    </x:row>
    <x:row r="1106">
      <x:c r="A1106" s="8" t="n">
        <x:f>A1105+1</x:f>
        <x:v>1103</x:v>
      </x:c>
      <x:c r="B1106" s="9" t="n">
        <x:f>A1106*tun_SeasonSeconds/60</x:f>
        <x:v>275.75</x:v>
      </x:c>
      <x:c r="C1106" s="9" t="n">
        <x:f>A1106/4</x:f>
        <x:v>275.75</x:v>
      </x:c>
      <x:c r="D1106" s="8" t="n">
        <x:f>IF(MOD(A1106,4)=0,1,0)</x:f>
        <x:v>0</x:v>
      </x:c>
      <x:c r="E1106" s="8" t="n">
        <x:f>IF(AND(F1105&lt;=9,AS1105&gt;=AR1105),1,0)</x:f>
        <x:v>0</x:v>
      </x:c>
      <x:c r="F1106" s="8" t="n">
        <x:f>MIN(10,F1105+E1106)</x:f>
        <x:v>10</x:v>
      </x:c>
      <x:c r="G1106" s="8" t="n">
        <x:f>MIN(F1106,9)+1</x:f>
        <x:v>10</x:v>
      </x:c>
      <x:c r="H1106" s="8" t="n">
        <x:f>IF(F1106&lt;=9,1,0)</x:f>
        <x:v>0</x:v>
      </x:c>
      <x:c r="I1106" s="9" t="n">
        <x:f>MIN(10,F1105+IF(AR1105&gt;0,MIN(1,AS1105/AR1105),1))</x:f>
        <x:v>10</x:v>
      </x:c>
      <x:c r="J1106" s="32" t="n">
        <x:f>INDEX(tun_FoodCap,G1106)*Arch_FoodCap*EXP(tun_CapsByProject*SUMPRODUCT((Cap_Point&lt;=I1106)*(Cap_Kind="Food")*Cap_Ln))</x:f>
        <x:v>18627.260449441455</x:v>
      </x:c>
      <x:c r="K1106" s="32" t="n">
        <x:f>J1106*MIN(1,tun_LeanBase*EXP(tun_CapsByProject*SUMPRODUCT((Cap_Point&lt;=I1106)*(Cap_Kind="Lean")*Cap_Ln)))</x:f>
        <x:v>18627.260449441455</x:v>
      </x:c>
      <x:c r="L1106" s="10" t="n">
        <x:f>INDEX(tun_HousingCap,G1106)*EXP(tun_CapsByProject*SUMPRODUCT((Cap_Point&lt;=I1106)*(Cap_Kind="Housing")*Cap_Ln))</x:f>
        <x:v>20528.974303173167</x:v>
      </x:c>
      <x:c r="M1106" s="10" t="n">
        <x:f>INDEX(tun_GroupCap,G1106)*tun_CohesionFactor*EXP(tun_CapsByProject*SUMPRODUCT((Cap_Point&lt;=I1106)*(Cap_Kind="Group")*Cap_Ln))</x:f>
        <x:v>1000000.000000001</x:v>
      </x:c>
      <x:c r="N1106" s="32" t="n">
        <x:f>MIN(J1106,L1106,M1106)</x:f>
        <x:v>18627.260449441455</x:v>
      </x:c>
      <x:c r="O1106" s="10" t="n">
        <x:f>AE1105*N1106</x:f>
        <x:v>167645.34404497308</x:v>
      </x:c>
      <x:c r="P1106" s="9" t="n">
        <x:f>MIN(1,(AB1105/(AE1105*IF(tun_GroupInCrowding=1,N1106,MIN(J1106,L1106))))^tun_CrowdingExp)</x:f>
        <x:v>0.4215841981292809</x:v>
      </x:c>
      <x:c r="Q1106" s="9" t="n">
        <x:f>IF(D1106=1,INDEX(tun_WinterMult,G1106),1)</x:f>
        <x:v>1</x:v>
      </x:c>
      <x:c r="R1106" s="9" t="n">
        <x:f>H1106*Z1105*tun_WomenShare*tun_BaseFertility*INDEX(tun_FertMult,G1106)*Arch_Fertility*(1-P1106)</x:f>
        <x:v>0</x:v>
      </x:c>
      <x:c r="S1106" s="9" t="n">
        <x:f>H1106*Y1105*INDEX(tun_MortChild,G1106)/4*Q1106</x:f>
        <x:v>0</x:v>
      </x:c>
      <x:c r="T1106" s="9" t="n">
        <x:f>H1106*Z1105*INDEX(tun_MortAdult,G1106)*Arch_AdultMort/4*Q1106</x:f>
        <x:v>0</x:v>
      </x:c>
      <x:c r="U1106" s="9" t="n">
        <x:f>H1106*AA1105*INDEX(tun_MortElder,G1106)/4*Q1106</x:f>
        <x:v>0</x:v>
      </x:c>
      <x:c r="V1106" s="9" t="n">
        <x:f>H1106*MAX(0,AB1105-O1106)*tun_OvercapLoss</x:f>
        <x:v>0</x:v>
      </x:c>
      <x:c r="W1106" s="9" t="n">
        <x:f>H1106*Y1105/(tun_ChildYears*4)</x:f>
        <x:v>0</x:v>
      </x:c>
      <x:c r="X1106" s="9" t="n">
        <x:f>H1106*Z1105/(tun_AdultYears*4)</x:f>
        <x:v>0</x:v>
      </x:c>
      <x:c r="Y1106" s="32" t="n">
        <x:f>Y1105+R1106-S1106-W1106-Y1105*V1106/AB1105</x:f>
        <x:v>40496.20709015643</x:v>
      </x:c>
      <x:c r="Z1106" s="32" t="n">
        <x:f>Z1105+W1106-X1106-T1106-Z1105*V1106/AB1105</x:f>
        <x:v>59141.61122890803</x:v>
      </x:c>
      <x:c r="AA1106" s="32" t="n">
        <x:f>AA1105+X1106-U1106-AA1105*V1106/AB1105</x:f>
        <x:v>45530.62410925061</x:v>
      </x:c>
      <x:c r="AB1106" s="10" t="n">
        <x:f>Y1106+Z1106+AA1106</x:f>
        <x:v>145168.44242831506</x:v>
      </x:c>
      <x:c r="AC1106" s="8" t="n">
        <x:f>IF(AND(tun_WinterTrigger=1,D1106=1,AB1105/AE1105&gt;=K1106),1,0)</x:f>
        <x:v>0</x:v>
      </x:c>
      <x:c r="AD1106" s="8" t="n">
        <x:f>H1106*IF(AND(OR(AB1105/AE1105&gt;=tun_FissionTrigger*N1106,AC1106=1),AB1105/AE1105*tun_DaughterShare&gt;=tun_MinDaughter),MAX(1,ROUND(AE1105*tun_FissionRate,0)),0)</x:f>
        <x:v>0</x:v>
      </x:c>
      <x:c r="AE1106" s="8" t="n">
        <x:f>IF(H1106=1,MAX(1,MIN(INDEX(tun_Smax,G1106),AE1105+AD1106)),AE1105)</x:f>
        <x:v>9</x:v>
      </x:c>
      <x:c r="AF1106" s="8" t="n">
        <x:f>MAX(0,AE1106-AE1105)</x:f>
        <x:v>0</x:v>
      </x:c>
      <x:c r="AG1106" s="9" t="str">
        <x:f>IF(AF1106&gt;0,B1106,"")</x:f>
      </x:c>
      <x:c r="AH1106" s="9" t="n">
        <x:f>IF(F1106&gt;=1,1,(1+tun_LowTiesShare*(AE1106-1))/AE1106)</x:f>
        <x:v>1</x:v>
      </x:c>
      <x:c r="AI1106" s="32" t="n">
        <x:f>(Z1106+tun_ElderCommons*INDEX(LM_Elder,G1106)*AA1106)*AH1106</x:f>
        <x:v>238215.0665857503</x:v>
      </x:c>
      <x:c r="AJ1106" s="32" t="n">
        <x:f>H1106*tun_CommonsCoef*AI1106^tun_CommonsExp*INDEX(LM_Commons,G1106)</x:f>
        <x:v>0</x:v>
      </x:c>
      <x:c r="AK1106" s="32" t="n">
        <x:f>H1106*tun_RoleScale*Arch_Roles*(AE1106*(INDEX(tun_ElderRolePerSett,G1106)*tun_OutElder*INDEX(LM_Elder,G1106)+INDEX(tun_ShamanPerSett,G1106)*tun_OutShaman)+Z1106*(INDEX(tun_PriestShare,G1106)*tun_OutPriest+INDEX(tun_ScribeShare,G1106)*tun_OutScribe*INDEX(LM_Scribe,G1106)+INDEX(tun_ScholarShare,G1106)*tun_OutScholar*INDEX(LM_Scholar,G1106)+INDEX(tun_ResearcherShare,G1106)*tun_OutResearcher*INDEX(LM_Researcher,G1106)))</x:f>
        <x:v>0</x:v>
      </x:c>
      <x:c r="AL1106" s="32" t="n">
        <x:f>H1106*tun_RoleScale*Arch_Roles*AE1106*INDEX(tun_MonasteryPerSett,G1106)*tun_OutMonastery*INDEX(LM_Monastery,G1106)</x:f>
        <x:v>0</x:v>
      </x:c>
      <x:c r="AM1106" s="32" t="n">
        <x:f>(AJ1106+AK1106+AL1106)/4*INDEX(LM_All,G1106)*INDEX(tun_Boon,G1106)*Arch_Insight</x:f>
        <x:v>0</x:v>
      </x:c>
      <x:c r="AN1106" s="32" t="n">
        <x:f>H1106*(tun_KHPerAdult*Z1106+tun_KHOfCommons*AJ1106/4*INDEX(LM_All,G1106))*tun_KHUsable*Arch_KH</x:f>
        <x:v>0</x:v>
      </x:c>
      <x:c r="AO1106" s="32" t="n">
        <x:f>MIN(AP1105+AN1106,AM1106*tun_KHMaxRatio)</x:f>
        <x:v>0</x:v>
      </x:c>
      <x:c r="AP1106" s="32" t="n">
        <x:f>AP1105+AN1106-AO1106</x:f>
        <x:v>0</x:v>
      </x:c>
      <x:c r="AQ1106" s="32" t="n">
        <x:f>AM1106+AO1106</x:f>
        <x:v>0</x:v>
      </x:c>
      <x:c r="AR1106" s="10" t="n">
        <x:f>IF(H1106=1,INDEX(tun_Req,G1106),0)</x:f>
        <x:v>0</x:v>
      </x:c>
      <x:c r="AS1106" s="32" t="n">
        <x:f>IF(H1106=1,IF(E1106=1,AS1105-AR1105,AS1105)+AQ1106,0)</x:f>
        <x:v>0</x:v>
      </x:c>
      <x:c r="AT1106" s="11" t="n">
        <x:f>IF(AR1106&gt;0,MIN(1,AS1106/AR1106),1)</x:f>
        <x:v>1</x:v>
      </x:c>
      <x:c r="AU1106" s="10" t="n">
        <x:f>AB1106/INDEX(tun_RepScale,G1106)</x:f>
        <x:v>290.3368848566301</x:v>
      </x:c>
      <x:c r="AV1106" s="32" t="n">
        <x:f>AM1106*60/tun_SeasonSeconds</x:f>
        <x:v>0</x:v>
      </x:c>
    </x:row>
    <x:row r="1107">
      <x:c r="A1107" s="8" t="n">
        <x:f>A1106+1</x:f>
        <x:v>1104</x:v>
      </x:c>
      <x:c r="B1107" s="9" t="n">
        <x:f>A1107*tun_SeasonSeconds/60</x:f>
        <x:v>276</x:v>
      </x:c>
      <x:c r="C1107" s="9" t="n">
        <x:f>A1107/4</x:f>
        <x:v>276</x:v>
      </x:c>
      <x:c r="D1107" s="8" t="n">
        <x:f>IF(MOD(A1107,4)=0,1,0)</x:f>
        <x:v>1</x:v>
      </x:c>
      <x:c r="E1107" s="8" t="n">
        <x:f>IF(AND(F1106&lt;=9,AS1106&gt;=AR1106),1,0)</x:f>
        <x:v>0</x:v>
      </x:c>
      <x:c r="F1107" s="8" t="n">
        <x:f>MIN(10,F1106+E1107)</x:f>
        <x:v>10</x:v>
      </x:c>
      <x:c r="G1107" s="8" t="n">
        <x:f>MIN(F1107,9)+1</x:f>
        <x:v>10</x:v>
      </x:c>
      <x:c r="H1107" s="8" t="n">
        <x:f>IF(F1107&lt;=9,1,0)</x:f>
        <x:v>0</x:v>
      </x:c>
      <x:c r="I1107" s="9" t="n">
        <x:f>MIN(10,F1106+IF(AR1106&gt;0,MIN(1,AS1106/AR1106),1))</x:f>
        <x:v>10</x:v>
      </x:c>
      <x:c r="J1107" s="32" t="n">
        <x:f>INDEX(tun_FoodCap,G1107)*Arch_FoodCap*EXP(tun_CapsByProject*SUMPRODUCT((Cap_Point&lt;=I1107)*(Cap_Kind="Food")*Cap_Ln))</x:f>
        <x:v>18627.260449441455</x:v>
      </x:c>
      <x:c r="K1107" s="32" t="n">
        <x:f>J1107*MIN(1,tun_LeanBase*EXP(tun_CapsByProject*SUMPRODUCT((Cap_Point&lt;=I1107)*(Cap_Kind="Lean")*Cap_Ln)))</x:f>
        <x:v>18627.260449441455</x:v>
      </x:c>
      <x:c r="L1107" s="10" t="n">
        <x:f>INDEX(tun_HousingCap,G1107)*EXP(tun_CapsByProject*SUMPRODUCT((Cap_Point&lt;=I1107)*(Cap_Kind="Housing")*Cap_Ln))</x:f>
        <x:v>20528.974303173167</x:v>
      </x:c>
      <x:c r="M1107" s="10" t="n">
        <x:f>INDEX(tun_GroupCap,G1107)*tun_CohesionFactor*EXP(tun_CapsByProject*SUMPRODUCT((Cap_Point&lt;=I1107)*(Cap_Kind="Group")*Cap_Ln))</x:f>
        <x:v>1000000.000000001</x:v>
      </x:c>
      <x:c r="N1107" s="32" t="n">
        <x:f>MIN(J1107,L1107,M1107)</x:f>
        <x:v>18627.260449441455</x:v>
      </x:c>
      <x:c r="O1107" s="10" t="n">
        <x:f>AE1106*N1107</x:f>
        <x:v>167645.34404497308</x:v>
      </x:c>
      <x:c r="P1107" s="9" t="n">
        <x:f>MIN(1,(AB1106/(AE1106*IF(tun_GroupInCrowding=1,N1107,MIN(J1107,L1107))))^tun_CrowdingExp)</x:f>
        <x:v>0.4215841981292809</x:v>
      </x:c>
      <x:c r="Q1107" s="9" t="n">
        <x:f>IF(D1107=1,INDEX(tun_WinterMult,G1107),1)</x:f>
        <x:v>1.05</x:v>
      </x:c>
      <x:c r="R1107" s="9" t="n">
        <x:f>H1107*Z1106*tun_WomenShare*tun_BaseFertility*INDEX(tun_FertMult,G1107)*Arch_Fertility*(1-P1107)</x:f>
        <x:v>0</x:v>
      </x:c>
      <x:c r="S1107" s="9" t="n">
        <x:f>H1107*Y1106*INDEX(tun_MortChild,G1107)/4*Q1107</x:f>
        <x:v>0</x:v>
      </x:c>
      <x:c r="T1107" s="9" t="n">
        <x:f>H1107*Z1106*INDEX(tun_MortAdult,G1107)*Arch_AdultMort/4*Q1107</x:f>
        <x:v>0</x:v>
      </x:c>
      <x:c r="U1107" s="9" t="n">
        <x:f>H1107*AA1106*INDEX(tun_MortElder,G1107)/4*Q1107</x:f>
        <x:v>0</x:v>
      </x:c>
      <x:c r="V1107" s="9" t="n">
        <x:f>H1107*MAX(0,AB1106-O1107)*tun_OvercapLoss</x:f>
        <x:v>0</x:v>
      </x:c>
      <x:c r="W1107" s="9" t="n">
        <x:f>H1107*Y1106/(tun_ChildYears*4)</x:f>
        <x:v>0</x:v>
      </x:c>
      <x:c r="X1107" s="9" t="n">
        <x:f>H1107*Z1106/(tun_AdultYears*4)</x:f>
        <x:v>0</x:v>
      </x:c>
      <x:c r="Y1107" s="32" t="n">
        <x:f>Y1106+R1107-S1107-W1107-Y1106*V1107/AB1106</x:f>
        <x:v>40496.20709015643</x:v>
      </x:c>
      <x:c r="Z1107" s="32" t="n">
        <x:f>Z1106+W1107-X1107-T1107-Z1106*V1107/AB1106</x:f>
        <x:v>59141.61122890803</x:v>
      </x:c>
      <x:c r="AA1107" s="32" t="n">
        <x:f>AA1106+X1107-U1107-AA1106*V1107/AB1106</x:f>
        <x:v>45530.62410925061</x:v>
      </x:c>
      <x:c r="AB1107" s="10" t="n">
        <x:f>Y1107+Z1107+AA1107</x:f>
        <x:v>145168.44242831506</x:v>
      </x:c>
      <x:c r="AC1107" s="8" t="n">
        <x:f>IF(AND(tun_WinterTrigger=1,D1107=1,AB1106/AE1106&gt;=K1107),1,0)</x:f>
        <x:v>0</x:v>
      </x:c>
      <x:c r="AD1107" s="8" t="n">
        <x:f>H1107*IF(AND(OR(AB1106/AE1106&gt;=tun_FissionTrigger*N1107,AC1107=1),AB1106/AE1106*tun_DaughterShare&gt;=tun_MinDaughter),MAX(1,ROUND(AE1106*tun_FissionRate,0)),0)</x:f>
        <x:v>0</x:v>
      </x:c>
      <x:c r="AE1107" s="8" t="n">
        <x:f>IF(H1107=1,MAX(1,MIN(INDEX(tun_Smax,G1107),AE1106+AD1107)),AE1106)</x:f>
        <x:v>9</x:v>
      </x:c>
      <x:c r="AF1107" s="8" t="n">
        <x:f>MAX(0,AE1107-AE1106)</x:f>
        <x:v>0</x:v>
      </x:c>
      <x:c r="AG1107" s="9" t="str">
        <x:f>IF(AF1107&gt;0,B1107,"")</x:f>
      </x:c>
      <x:c r="AH1107" s="9" t="n">
        <x:f>IF(F1107&gt;=1,1,(1+tun_LowTiesShare*(AE1107-1))/AE1107)</x:f>
        <x:v>1</x:v>
      </x:c>
      <x:c r="AI1107" s="32" t="n">
        <x:f>(Z1107+tun_ElderCommons*INDEX(LM_Elder,G1107)*AA1107)*AH1107</x:f>
        <x:v>238215.0665857503</x:v>
      </x:c>
      <x:c r="AJ1107" s="32" t="n">
        <x:f>H1107*tun_CommonsCoef*AI1107^tun_CommonsExp*INDEX(LM_Commons,G1107)</x:f>
        <x:v>0</x:v>
      </x:c>
      <x:c r="AK1107" s="32" t="n">
        <x:f>H1107*tun_RoleScale*Arch_Roles*(AE1107*(INDEX(tun_ElderRolePerSett,G1107)*tun_OutElder*INDEX(LM_Elder,G1107)+INDEX(tun_ShamanPerSett,G1107)*tun_OutShaman)+Z1107*(INDEX(tun_PriestShare,G1107)*tun_OutPriest+INDEX(tun_ScribeShare,G1107)*tun_OutScribe*INDEX(LM_Scribe,G1107)+INDEX(tun_ScholarShare,G1107)*tun_OutScholar*INDEX(LM_Scholar,G1107)+INDEX(tun_ResearcherShare,G1107)*tun_OutResearcher*INDEX(LM_Researcher,G1107)))</x:f>
        <x:v>0</x:v>
      </x:c>
      <x:c r="AL1107" s="32" t="n">
        <x:f>H1107*tun_RoleScale*Arch_Roles*AE1107*INDEX(tun_MonasteryPerSett,G1107)*tun_OutMonastery*INDEX(LM_Monastery,G1107)</x:f>
        <x:v>0</x:v>
      </x:c>
      <x:c r="AM1107" s="32" t="n">
        <x:f>(AJ1107+AK1107+AL1107)/4*INDEX(LM_All,G1107)*INDEX(tun_Boon,G1107)*Arch_Insight</x:f>
        <x:v>0</x:v>
      </x:c>
      <x:c r="AN1107" s="32" t="n">
        <x:f>H1107*(tun_KHPerAdult*Z1107+tun_KHOfCommons*AJ1107/4*INDEX(LM_All,G1107))*tun_KHUsable*Arch_KH</x:f>
        <x:v>0</x:v>
      </x:c>
      <x:c r="AO1107" s="32" t="n">
        <x:f>MIN(AP1106+AN1107,AM1107*tun_KHMaxRatio)</x:f>
        <x:v>0</x:v>
      </x:c>
      <x:c r="AP1107" s="32" t="n">
        <x:f>AP1106+AN1107-AO1107</x:f>
        <x:v>0</x:v>
      </x:c>
      <x:c r="AQ1107" s="32" t="n">
        <x:f>AM1107+AO1107</x:f>
        <x:v>0</x:v>
      </x:c>
      <x:c r="AR1107" s="10" t="n">
        <x:f>IF(H1107=1,INDEX(tun_Req,G1107),0)</x:f>
        <x:v>0</x:v>
      </x:c>
      <x:c r="AS1107" s="32" t="n">
        <x:f>IF(H1107=1,IF(E1107=1,AS1106-AR1106,AS1106)+AQ1107,0)</x:f>
        <x:v>0</x:v>
      </x:c>
      <x:c r="AT1107" s="11" t="n">
        <x:f>IF(AR1107&gt;0,MIN(1,AS1107/AR1107),1)</x:f>
        <x:v>1</x:v>
      </x:c>
      <x:c r="AU1107" s="10" t="n">
        <x:f>AB1107/INDEX(tun_RepScale,G1107)</x:f>
        <x:v>290.3368848566301</x:v>
      </x:c>
      <x:c r="AV1107" s="32" t="n">
        <x:f>AM1107*60/tun_SeasonSeconds</x:f>
        <x:v>0</x:v>
      </x:c>
    </x:row>
    <x:row r="1108">
      <x:c r="A1108" s="8" t="n">
        <x:f>A1107+1</x:f>
        <x:v>1105</x:v>
      </x:c>
      <x:c r="B1108" s="9" t="n">
        <x:f>A1108*tun_SeasonSeconds/60</x:f>
        <x:v>276.25</x:v>
      </x:c>
      <x:c r="C1108" s="9" t="n">
        <x:f>A1108/4</x:f>
        <x:v>276.25</x:v>
      </x:c>
      <x:c r="D1108" s="8" t="n">
        <x:f>IF(MOD(A1108,4)=0,1,0)</x:f>
        <x:v>0</x:v>
      </x:c>
      <x:c r="E1108" s="8" t="n">
        <x:f>IF(AND(F1107&lt;=9,AS1107&gt;=AR1107),1,0)</x:f>
        <x:v>0</x:v>
      </x:c>
      <x:c r="F1108" s="8" t="n">
        <x:f>MIN(10,F1107+E1108)</x:f>
        <x:v>10</x:v>
      </x:c>
      <x:c r="G1108" s="8" t="n">
        <x:f>MIN(F1108,9)+1</x:f>
        <x:v>10</x:v>
      </x:c>
      <x:c r="H1108" s="8" t="n">
        <x:f>IF(F1108&lt;=9,1,0)</x:f>
        <x:v>0</x:v>
      </x:c>
      <x:c r="I1108" s="9" t="n">
        <x:f>MIN(10,F1107+IF(AR1107&gt;0,MIN(1,AS1107/AR1107),1))</x:f>
        <x:v>10</x:v>
      </x:c>
      <x:c r="J1108" s="32" t="n">
        <x:f>INDEX(tun_FoodCap,G1108)*Arch_FoodCap*EXP(tun_CapsByProject*SUMPRODUCT((Cap_Point&lt;=I1108)*(Cap_Kind="Food")*Cap_Ln))</x:f>
        <x:v>18627.260449441455</x:v>
      </x:c>
      <x:c r="K1108" s="32" t="n">
        <x:f>J1108*MIN(1,tun_LeanBase*EXP(tun_CapsByProject*SUMPRODUCT((Cap_Point&lt;=I1108)*(Cap_Kind="Lean")*Cap_Ln)))</x:f>
        <x:v>18627.260449441455</x:v>
      </x:c>
      <x:c r="L1108" s="10" t="n">
        <x:f>INDEX(tun_HousingCap,G1108)*EXP(tun_CapsByProject*SUMPRODUCT((Cap_Point&lt;=I1108)*(Cap_Kind="Housing")*Cap_Ln))</x:f>
        <x:v>20528.974303173167</x:v>
      </x:c>
      <x:c r="M1108" s="10" t="n">
        <x:f>INDEX(tun_GroupCap,G1108)*tun_CohesionFactor*EXP(tun_CapsByProject*SUMPRODUCT((Cap_Point&lt;=I1108)*(Cap_Kind="Group")*Cap_Ln))</x:f>
        <x:v>1000000.000000001</x:v>
      </x:c>
      <x:c r="N1108" s="32" t="n">
        <x:f>MIN(J1108,L1108,M1108)</x:f>
        <x:v>18627.260449441455</x:v>
      </x:c>
      <x:c r="O1108" s="10" t="n">
        <x:f>AE1107*N1108</x:f>
        <x:v>167645.34404497308</x:v>
      </x:c>
      <x:c r="P1108" s="9" t="n">
        <x:f>MIN(1,(AB1107/(AE1107*IF(tun_GroupInCrowding=1,N1108,MIN(J1108,L1108))))^tun_CrowdingExp)</x:f>
        <x:v>0.4215841981292809</x:v>
      </x:c>
      <x:c r="Q1108" s="9" t="n">
        <x:f>IF(D1108=1,INDEX(tun_WinterMult,G1108),1)</x:f>
        <x:v>1</x:v>
      </x:c>
      <x:c r="R1108" s="9" t="n">
        <x:f>H1108*Z1107*tun_WomenShare*tun_BaseFertility*INDEX(tun_FertMult,G1108)*Arch_Fertility*(1-P1108)</x:f>
        <x:v>0</x:v>
      </x:c>
      <x:c r="S1108" s="9" t="n">
        <x:f>H1108*Y1107*INDEX(tun_MortChild,G1108)/4*Q1108</x:f>
        <x:v>0</x:v>
      </x:c>
      <x:c r="T1108" s="9" t="n">
        <x:f>H1108*Z1107*INDEX(tun_MortAdult,G1108)*Arch_AdultMort/4*Q1108</x:f>
        <x:v>0</x:v>
      </x:c>
      <x:c r="U1108" s="9" t="n">
        <x:f>H1108*AA1107*INDEX(tun_MortElder,G1108)/4*Q1108</x:f>
        <x:v>0</x:v>
      </x:c>
      <x:c r="V1108" s="9" t="n">
        <x:f>H1108*MAX(0,AB1107-O1108)*tun_OvercapLoss</x:f>
        <x:v>0</x:v>
      </x:c>
      <x:c r="W1108" s="9" t="n">
        <x:f>H1108*Y1107/(tun_ChildYears*4)</x:f>
        <x:v>0</x:v>
      </x:c>
      <x:c r="X1108" s="9" t="n">
        <x:f>H1108*Z1107/(tun_AdultYears*4)</x:f>
        <x:v>0</x:v>
      </x:c>
      <x:c r="Y1108" s="32" t="n">
        <x:f>Y1107+R1108-S1108-W1108-Y1107*V1108/AB1107</x:f>
        <x:v>40496.20709015643</x:v>
      </x:c>
      <x:c r="Z1108" s="32" t="n">
        <x:f>Z1107+W1108-X1108-T1108-Z1107*V1108/AB1107</x:f>
        <x:v>59141.61122890803</x:v>
      </x:c>
      <x:c r="AA1108" s="32" t="n">
        <x:f>AA1107+X1108-U1108-AA1107*V1108/AB1107</x:f>
        <x:v>45530.62410925061</x:v>
      </x:c>
      <x:c r="AB1108" s="10" t="n">
        <x:f>Y1108+Z1108+AA1108</x:f>
        <x:v>145168.44242831506</x:v>
      </x:c>
      <x:c r="AC1108" s="8" t="n">
        <x:f>IF(AND(tun_WinterTrigger=1,D1108=1,AB1107/AE1107&gt;=K1108),1,0)</x:f>
        <x:v>0</x:v>
      </x:c>
      <x:c r="AD1108" s="8" t="n">
        <x:f>H1108*IF(AND(OR(AB1107/AE1107&gt;=tun_FissionTrigger*N1108,AC1108=1),AB1107/AE1107*tun_DaughterShare&gt;=tun_MinDaughter),MAX(1,ROUND(AE1107*tun_FissionRate,0)),0)</x:f>
        <x:v>0</x:v>
      </x:c>
      <x:c r="AE1108" s="8" t="n">
        <x:f>IF(H1108=1,MAX(1,MIN(INDEX(tun_Smax,G1108),AE1107+AD1108)),AE1107)</x:f>
        <x:v>9</x:v>
      </x:c>
      <x:c r="AF1108" s="8" t="n">
        <x:f>MAX(0,AE1108-AE1107)</x:f>
        <x:v>0</x:v>
      </x:c>
      <x:c r="AG1108" s="9" t="str">
        <x:f>IF(AF1108&gt;0,B1108,"")</x:f>
      </x:c>
      <x:c r="AH1108" s="9" t="n">
        <x:f>IF(F1108&gt;=1,1,(1+tun_LowTiesShare*(AE1108-1))/AE1108)</x:f>
        <x:v>1</x:v>
      </x:c>
      <x:c r="AI1108" s="32" t="n">
        <x:f>(Z1108+tun_ElderCommons*INDEX(LM_Elder,G1108)*AA1108)*AH1108</x:f>
        <x:v>238215.0665857503</x:v>
      </x:c>
      <x:c r="AJ1108" s="32" t="n">
        <x:f>H1108*tun_CommonsCoef*AI1108^tun_CommonsExp*INDEX(LM_Commons,G1108)</x:f>
        <x:v>0</x:v>
      </x:c>
      <x:c r="AK1108" s="32" t="n">
        <x:f>H1108*tun_RoleScale*Arch_Roles*(AE1108*(INDEX(tun_ElderRolePerSett,G1108)*tun_OutElder*INDEX(LM_Elder,G1108)+INDEX(tun_ShamanPerSett,G1108)*tun_OutShaman)+Z1108*(INDEX(tun_PriestShare,G1108)*tun_OutPriest+INDEX(tun_ScribeShare,G1108)*tun_OutScribe*INDEX(LM_Scribe,G1108)+INDEX(tun_ScholarShare,G1108)*tun_OutScholar*INDEX(LM_Scholar,G1108)+INDEX(tun_ResearcherShare,G1108)*tun_OutResearcher*INDEX(LM_Researcher,G1108)))</x:f>
        <x:v>0</x:v>
      </x:c>
      <x:c r="AL1108" s="32" t="n">
        <x:f>H1108*tun_RoleScale*Arch_Roles*AE1108*INDEX(tun_MonasteryPerSett,G1108)*tun_OutMonastery*INDEX(LM_Monastery,G1108)</x:f>
        <x:v>0</x:v>
      </x:c>
      <x:c r="AM1108" s="32" t="n">
        <x:f>(AJ1108+AK1108+AL1108)/4*INDEX(LM_All,G1108)*INDEX(tun_Boon,G1108)*Arch_Insight</x:f>
        <x:v>0</x:v>
      </x:c>
      <x:c r="AN1108" s="32" t="n">
        <x:f>H1108*(tun_KHPerAdult*Z1108+tun_KHOfCommons*AJ1108/4*INDEX(LM_All,G1108))*tun_KHUsable*Arch_KH</x:f>
        <x:v>0</x:v>
      </x:c>
      <x:c r="AO1108" s="32" t="n">
        <x:f>MIN(AP1107+AN1108,AM1108*tun_KHMaxRatio)</x:f>
        <x:v>0</x:v>
      </x:c>
      <x:c r="AP1108" s="32" t="n">
        <x:f>AP1107+AN1108-AO1108</x:f>
        <x:v>0</x:v>
      </x:c>
      <x:c r="AQ1108" s="32" t="n">
        <x:f>AM1108+AO1108</x:f>
        <x:v>0</x:v>
      </x:c>
      <x:c r="AR1108" s="10" t="n">
        <x:f>IF(H1108=1,INDEX(tun_Req,G1108),0)</x:f>
        <x:v>0</x:v>
      </x:c>
      <x:c r="AS1108" s="32" t="n">
        <x:f>IF(H1108=1,IF(E1108=1,AS1107-AR1107,AS1107)+AQ1108,0)</x:f>
        <x:v>0</x:v>
      </x:c>
      <x:c r="AT1108" s="11" t="n">
        <x:f>IF(AR1108&gt;0,MIN(1,AS1108/AR1108),1)</x:f>
        <x:v>1</x:v>
      </x:c>
      <x:c r="AU1108" s="10" t="n">
        <x:f>AB1108/INDEX(tun_RepScale,G1108)</x:f>
        <x:v>290.3368848566301</x:v>
      </x:c>
      <x:c r="AV1108" s="32" t="n">
        <x:f>AM1108*60/tun_SeasonSeconds</x:f>
        <x:v>0</x:v>
      </x:c>
    </x:row>
    <x:row r="1109">
      <x:c r="A1109" s="8" t="n">
        <x:f>A1108+1</x:f>
        <x:v>1106</x:v>
      </x:c>
      <x:c r="B1109" s="9" t="n">
        <x:f>A1109*tun_SeasonSeconds/60</x:f>
        <x:v>276.5</x:v>
      </x:c>
      <x:c r="C1109" s="9" t="n">
        <x:f>A1109/4</x:f>
        <x:v>276.5</x:v>
      </x:c>
      <x:c r="D1109" s="8" t="n">
        <x:f>IF(MOD(A1109,4)=0,1,0)</x:f>
        <x:v>0</x:v>
      </x:c>
      <x:c r="E1109" s="8" t="n">
        <x:f>IF(AND(F1108&lt;=9,AS1108&gt;=AR1108),1,0)</x:f>
        <x:v>0</x:v>
      </x:c>
      <x:c r="F1109" s="8" t="n">
        <x:f>MIN(10,F1108+E1109)</x:f>
        <x:v>10</x:v>
      </x:c>
      <x:c r="G1109" s="8" t="n">
        <x:f>MIN(F1109,9)+1</x:f>
        <x:v>10</x:v>
      </x:c>
      <x:c r="H1109" s="8" t="n">
        <x:f>IF(F1109&lt;=9,1,0)</x:f>
        <x:v>0</x:v>
      </x:c>
      <x:c r="I1109" s="9" t="n">
        <x:f>MIN(10,F1108+IF(AR1108&gt;0,MIN(1,AS1108/AR1108),1))</x:f>
        <x:v>10</x:v>
      </x:c>
      <x:c r="J1109" s="32" t="n">
        <x:f>INDEX(tun_FoodCap,G1109)*Arch_FoodCap*EXP(tun_CapsByProject*SUMPRODUCT((Cap_Point&lt;=I1109)*(Cap_Kind="Food")*Cap_Ln))</x:f>
        <x:v>18627.260449441455</x:v>
      </x:c>
      <x:c r="K1109" s="32" t="n">
        <x:f>J1109*MIN(1,tun_LeanBase*EXP(tun_CapsByProject*SUMPRODUCT((Cap_Point&lt;=I1109)*(Cap_Kind="Lean")*Cap_Ln)))</x:f>
        <x:v>18627.260449441455</x:v>
      </x:c>
      <x:c r="L1109" s="10" t="n">
        <x:f>INDEX(tun_HousingCap,G1109)*EXP(tun_CapsByProject*SUMPRODUCT((Cap_Point&lt;=I1109)*(Cap_Kind="Housing")*Cap_Ln))</x:f>
        <x:v>20528.974303173167</x:v>
      </x:c>
      <x:c r="M1109" s="10" t="n">
        <x:f>INDEX(tun_GroupCap,G1109)*tun_CohesionFactor*EXP(tun_CapsByProject*SUMPRODUCT((Cap_Point&lt;=I1109)*(Cap_Kind="Group")*Cap_Ln))</x:f>
        <x:v>1000000.000000001</x:v>
      </x:c>
      <x:c r="N1109" s="32" t="n">
        <x:f>MIN(J1109,L1109,M1109)</x:f>
        <x:v>18627.260449441455</x:v>
      </x:c>
      <x:c r="O1109" s="10" t="n">
        <x:f>AE1108*N1109</x:f>
        <x:v>167645.34404497308</x:v>
      </x:c>
      <x:c r="P1109" s="9" t="n">
        <x:f>MIN(1,(AB1108/(AE1108*IF(tun_GroupInCrowding=1,N1109,MIN(J1109,L1109))))^tun_CrowdingExp)</x:f>
        <x:v>0.4215841981292809</x:v>
      </x:c>
      <x:c r="Q1109" s="9" t="n">
        <x:f>IF(D1109=1,INDEX(tun_WinterMult,G1109),1)</x:f>
        <x:v>1</x:v>
      </x:c>
      <x:c r="R1109" s="9" t="n">
        <x:f>H1109*Z1108*tun_WomenShare*tun_BaseFertility*INDEX(tun_FertMult,G1109)*Arch_Fertility*(1-P1109)</x:f>
        <x:v>0</x:v>
      </x:c>
      <x:c r="S1109" s="9" t="n">
        <x:f>H1109*Y1108*INDEX(tun_MortChild,G1109)/4*Q1109</x:f>
        <x:v>0</x:v>
      </x:c>
      <x:c r="T1109" s="9" t="n">
        <x:f>H1109*Z1108*INDEX(tun_MortAdult,G1109)*Arch_AdultMort/4*Q1109</x:f>
        <x:v>0</x:v>
      </x:c>
      <x:c r="U1109" s="9" t="n">
        <x:f>H1109*AA1108*INDEX(tun_MortElder,G1109)/4*Q1109</x:f>
        <x:v>0</x:v>
      </x:c>
      <x:c r="V1109" s="9" t="n">
        <x:f>H1109*MAX(0,AB1108-O1109)*tun_OvercapLoss</x:f>
        <x:v>0</x:v>
      </x:c>
      <x:c r="W1109" s="9" t="n">
        <x:f>H1109*Y1108/(tun_ChildYears*4)</x:f>
        <x:v>0</x:v>
      </x:c>
      <x:c r="X1109" s="9" t="n">
        <x:f>H1109*Z1108/(tun_AdultYears*4)</x:f>
        <x:v>0</x:v>
      </x:c>
      <x:c r="Y1109" s="32" t="n">
        <x:f>Y1108+R1109-S1109-W1109-Y1108*V1109/AB1108</x:f>
        <x:v>40496.20709015643</x:v>
      </x:c>
      <x:c r="Z1109" s="32" t="n">
        <x:f>Z1108+W1109-X1109-T1109-Z1108*V1109/AB1108</x:f>
        <x:v>59141.61122890803</x:v>
      </x:c>
      <x:c r="AA1109" s="32" t="n">
        <x:f>AA1108+X1109-U1109-AA1108*V1109/AB1108</x:f>
        <x:v>45530.62410925061</x:v>
      </x:c>
      <x:c r="AB1109" s="10" t="n">
        <x:f>Y1109+Z1109+AA1109</x:f>
        <x:v>145168.44242831506</x:v>
      </x:c>
      <x:c r="AC1109" s="8" t="n">
        <x:f>IF(AND(tun_WinterTrigger=1,D1109=1,AB1108/AE1108&gt;=K1109),1,0)</x:f>
        <x:v>0</x:v>
      </x:c>
      <x:c r="AD1109" s="8" t="n">
        <x:f>H1109*IF(AND(OR(AB1108/AE1108&gt;=tun_FissionTrigger*N1109,AC1109=1),AB1108/AE1108*tun_DaughterShare&gt;=tun_MinDaughter),MAX(1,ROUND(AE1108*tun_FissionRate,0)),0)</x:f>
        <x:v>0</x:v>
      </x:c>
      <x:c r="AE1109" s="8" t="n">
        <x:f>IF(H1109=1,MAX(1,MIN(INDEX(tun_Smax,G1109),AE1108+AD1109)),AE1108)</x:f>
        <x:v>9</x:v>
      </x:c>
      <x:c r="AF1109" s="8" t="n">
        <x:f>MAX(0,AE1109-AE1108)</x:f>
        <x:v>0</x:v>
      </x:c>
      <x:c r="AG1109" s="9" t="str">
        <x:f>IF(AF1109&gt;0,B1109,"")</x:f>
      </x:c>
      <x:c r="AH1109" s="9" t="n">
        <x:f>IF(F1109&gt;=1,1,(1+tun_LowTiesShare*(AE1109-1))/AE1109)</x:f>
        <x:v>1</x:v>
      </x:c>
      <x:c r="AI1109" s="32" t="n">
        <x:f>(Z1109+tun_ElderCommons*INDEX(LM_Elder,G1109)*AA1109)*AH1109</x:f>
        <x:v>238215.0665857503</x:v>
      </x:c>
      <x:c r="AJ1109" s="32" t="n">
        <x:f>H1109*tun_CommonsCoef*AI1109^tun_CommonsExp*INDEX(LM_Commons,G1109)</x:f>
        <x:v>0</x:v>
      </x:c>
      <x:c r="AK1109" s="32" t="n">
        <x:f>H1109*tun_RoleScale*Arch_Roles*(AE1109*(INDEX(tun_ElderRolePerSett,G1109)*tun_OutElder*INDEX(LM_Elder,G1109)+INDEX(tun_ShamanPerSett,G1109)*tun_OutShaman)+Z1109*(INDEX(tun_PriestShare,G1109)*tun_OutPriest+INDEX(tun_ScribeShare,G1109)*tun_OutScribe*INDEX(LM_Scribe,G1109)+INDEX(tun_ScholarShare,G1109)*tun_OutScholar*INDEX(LM_Scholar,G1109)+INDEX(tun_ResearcherShare,G1109)*tun_OutResearcher*INDEX(LM_Researcher,G1109)))</x:f>
        <x:v>0</x:v>
      </x:c>
      <x:c r="AL1109" s="32" t="n">
        <x:f>H1109*tun_RoleScale*Arch_Roles*AE1109*INDEX(tun_MonasteryPerSett,G1109)*tun_OutMonastery*INDEX(LM_Monastery,G1109)</x:f>
        <x:v>0</x:v>
      </x:c>
      <x:c r="AM1109" s="32" t="n">
        <x:f>(AJ1109+AK1109+AL1109)/4*INDEX(LM_All,G1109)*INDEX(tun_Boon,G1109)*Arch_Insight</x:f>
        <x:v>0</x:v>
      </x:c>
      <x:c r="AN1109" s="32" t="n">
        <x:f>H1109*(tun_KHPerAdult*Z1109+tun_KHOfCommons*AJ1109/4*INDEX(LM_All,G1109))*tun_KHUsable*Arch_KH</x:f>
        <x:v>0</x:v>
      </x:c>
      <x:c r="AO1109" s="32" t="n">
        <x:f>MIN(AP1108+AN1109,AM1109*tun_KHMaxRatio)</x:f>
        <x:v>0</x:v>
      </x:c>
      <x:c r="AP1109" s="32" t="n">
        <x:f>AP1108+AN1109-AO1109</x:f>
        <x:v>0</x:v>
      </x:c>
      <x:c r="AQ1109" s="32" t="n">
        <x:f>AM1109+AO1109</x:f>
        <x:v>0</x:v>
      </x:c>
      <x:c r="AR1109" s="10" t="n">
        <x:f>IF(H1109=1,INDEX(tun_Req,G1109),0)</x:f>
        <x:v>0</x:v>
      </x:c>
      <x:c r="AS1109" s="32" t="n">
        <x:f>IF(H1109=1,IF(E1109=1,AS1108-AR1108,AS1108)+AQ1109,0)</x:f>
        <x:v>0</x:v>
      </x:c>
      <x:c r="AT1109" s="11" t="n">
        <x:f>IF(AR1109&gt;0,MIN(1,AS1109/AR1109),1)</x:f>
        <x:v>1</x:v>
      </x:c>
      <x:c r="AU1109" s="10" t="n">
        <x:f>AB1109/INDEX(tun_RepScale,G1109)</x:f>
        <x:v>290.3368848566301</x:v>
      </x:c>
      <x:c r="AV1109" s="32" t="n">
        <x:f>AM1109*60/tun_SeasonSeconds</x:f>
        <x:v>0</x:v>
      </x:c>
    </x:row>
    <x:row r="1110">
      <x:c r="A1110" s="8" t="n">
        <x:f>A1109+1</x:f>
        <x:v>1107</x:v>
      </x:c>
      <x:c r="B1110" s="9" t="n">
        <x:f>A1110*tun_SeasonSeconds/60</x:f>
        <x:v>276.75</x:v>
      </x:c>
      <x:c r="C1110" s="9" t="n">
        <x:f>A1110/4</x:f>
        <x:v>276.75</x:v>
      </x:c>
      <x:c r="D1110" s="8" t="n">
        <x:f>IF(MOD(A1110,4)=0,1,0)</x:f>
        <x:v>0</x:v>
      </x:c>
      <x:c r="E1110" s="8" t="n">
        <x:f>IF(AND(F1109&lt;=9,AS1109&gt;=AR1109),1,0)</x:f>
        <x:v>0</x:v>
      </x:c>
      <x:c r="F1110" s="8" t="n">
        <x:f>MIN(10,F1109+E1110)</x:f>
        <x:v>10</x:v>
      </x:c>
      <x:c r="G1110" s="8" t="n">
        <x:f>MIN(F1110,9)+1</x:f>
        <x:v>10</x:v>
      </x:c>
      <x:c r="H1110" s="8" t="n">
        <x:f>IF(F1110&lt;=9,1,0)</x:f>
        <x:v>0</x:v>
      </x:c>
      <x:c r="I1110" s="9" t="n">
        <x:f>MIN(10,F1109+IF(AR1109&gt;0,MIN(1,AS1109/AR1109),1))</x:f>
        <x:v>10</x:v>
      </x:c>
      <x:c r="J1110" s="32" t="n">
        <x:f>INDEX(tun_FoodCap,G1110)*Arch_FoodCap*EXP(tun_CapsByProject*SUMPRODUCT((Cap_Point&lt;=I1110)*(Cap_Kind="Food")*Cap_Ln))</x:f>
        <x:v>18627.260449441455</x:v>
      </x:c>
      <x:c r="K1110" s="32" t="n">
        <x:f>J1110*MIN(1,tun_LeanBase*EXP(tun_CapsByProject*SUMPRODUCT((Cap_Point&lt;=I1110)*(Cap_Kind="Lean")*Cap_Ln)))</x:f>
        <x:v>18627.260449441455</x:v>
      </x:c>
      <x:c r="L1110" s="10" t="n">
        <x:f>INDEX(tun_HousingCap,G1110)*EXP(tun_CapsByProject*SUMPRODUCT((Cap_Point&lt;=I1110)*(Cap_Kind="Housing")*Cap_Ln))</x:f>
        <x:v>20528.974303173167</x:v>
      </x:c>
      <x:c r="M1110" s="10" t="n">
        <x:f>INDEX(tun_GroupCap,G1110)*tun_CohesionFactor*EXP(tun_CapsByProject*SUMPRODUCT((Cap_Point&lt;=I1110)*(Cap_Kind="Group")*Cap_Ln))</x:f>
        <x:v>1000000.000000001</x:v>
      </x:c>
      <x:c r="N1110" s="32" t="n">
        <x:f>MIN(J1110,L1110,M1110)</x:f>
        <x:v>18627.260449441455</x:v>
      </x:c>
      <x:c r="O1110" s="10" t="n">
        <x:f>AE1109*N1110</x:f>
        <x:v>167645.34404497308</x:v>
      </x:c>
      <x:c r="P1110" s="9" t="n">
        <x:f>MIN(1,(AB1109/(AE1109*IF(tun_GroupInCrowding=1,N1110,MIN(J1110,L1110))))^tun_CrowdingExp)</x:f>
        <x:v>0.4215841981292809</x:v>
      </x:c>
      <x:c r="Q1110" s="9" t="n">
        <x:f>IF(D1110=1,INDEX(tun_WinterMult,G1110),1)</x:f>
        <x:v>1</x:v>
      </x:c>
      <x:c r="R1110" s="9" t="n">
        <x:f>H1110*Z1109*tun_WomenShare*tun_BaseFertility*INDEX(tun_FertMult,G1110)*Arch_Fertility*(1-P1110)</x:f>
        <x:v>0</x:v>
      </x:c>
      <x:c r="S1110" s="9" t="n">
        <x:f>H1110*Y1109*INDEX(tun_MortChild,G1110)/4*Q1110</x:f>
        <x:v>0</x:v>
      </x:c>
      <x:c r="T1110" s="9" t="n">
        <x:f>H1110*Z1109*INDEX(tun_MortAdult,G1110)*Arch_AdultMort/4*Q1110</x:f>
        <x:v>0</x:v>
      </x:c>
      <x:c r="U1110" s="9" t="n">
        <x:f>H1110*AA1109*INDEX(tun_MortElder,G1110)/4*Q1110</x:f>
        <x:v>0</x:v>
      </x:c>
      <x:c r="V1110" s="9" t="n">
        <x:f>H1110*MAX(0,AB1109-O1110)*tun_OvercapLoss</x:f>
        <x:v>0</x:v>
      </x:c>
      <x:c r="W1110" s="9" t="n">
        <x:f>H1110*Y1109/(tun_ChildYears*4)</x:f>
        <x:v>0</x:v>
      </x:c>
      <x:c r="X1110" s="9" t="n">
        <x:f>H1110*Z1109/(tun_AdultYears*4)</x:f>
        <x:v>0</x:v>
      </x:c>
      <x:c r="Y1110" s="32" t="n">
        <x:f>Y1109+R1110-S1110-W1110-Y1109*V1110/AB1109</x:f>
        <x:v>40496.20709015643</x:v>
      </x:c>
      <x:c r="Z1110" s="32" t="n">
        <x:f>Z1109+W1110-X1110-T1110-Z1109*V1110/AB1109</x:f>
        <x:v>59141.61122890803</x:v>
      </x:c>
      <x:c r="AA1110" s="32" t="n">
        <x:f>AA1109+X1110-U1110-AA1109*V1110/AB1109</x:f>
        <x:v>45530.62410925061</x:v>
      </x:c>
      <x:c r="AB1110" s="10" t="n">
        <x:f>Y1110+Z1110+AA1110</x:f>
        <x:v>145168.44242831506</x:v>
      </x:c>
      <x:c r="AC1110" s="8" t="n">
        <x:f>IF(AND(tun_WinterTrigger=1,D1110=1,AB1109/AE1109&gt;=K1110),1,0)</x:f>
        <x:v>0</x:v>
      </x:c>
      <x:c r="AD1110" s="8" t="n">
        <x:f>H1110*IF(AND(OR(AB1109/AE1109&gt;=tun_FissionTrigger*N1110,AC1110=1),AB1109/AE1109*tun_DaughterShare&gt;=tun_MinDaughter),MAX(1,ROUND(AE1109*tun_FissionRate,0)),0)</x:f>
        <x:v>0</x:v>
      </x:c>
      <x:c r="AE1110" s="8" t="n">
        <x:f>IF(H1110=1,MAX(1,MIN(INDEX(tun_Smax,G1110),AE1109+AD1110)),AE1109)</x:f>
        <x:v>9</x:v>
      </x:c>
      <x:c r="AF1110" s="8" t="n">
        <x:f>MAX(0,AE1110-AE1109)</x:f>
        <x:v>0</x:v>
      </x:c>
      <x:c r="AG1110" s="9" t="str">
        <x:f>IF(AF1110&gt;0,B1110,"")</x:f>
      </x:c>
      <x:c r="AH1110" s="9" t="n">
        <x:f>IF(F1110&gt;=1,1,(1+tun_LowTiesShare*(AE1110-1))/AE1110)</x:f>
        <x:v>1</x:v>
      </x:c>
      <x:c r="AI1110" s="32" t="n">
        <x:f>(Z1110+tun_ElderCommons*INDEX(LM_Elder,G1110)*AA1110)*AH1110</x:f>
        <x:v>238215.0665857503</x:v>
      </x:c>
      <x:c r="AJ1110" s="32" t="n">
        <x:f>H1110*tun_CommonsCoef*AI1110^tun_CommonsExp*INDEX(LM_Commons,G1110)</x:f>
        <x:v>0</x:v>
      </x:c>
      <x:c r="AK1110" s="32" t="n">
        <x:f>H1110*tun_RoleScale*Arch_Roles*(AE1110*(INDEX(tun_ElderRolePerSett,G1110)*tun_OutElder*INDEX(LM_Elder,G1110)+INDEX(tun_ShamanPerSett,G1110)*tun_OutShaman)+Z1110*(INDEX(tun_PriestShare,G1110)*tun_OutPriest+INDEX(tun_ScribeShare,G1110)*tun_OutScribe*INDEX(LM_Scribe,G1110)+INDEX(tun_ScholarShare,G1110)*tun_OutScholar*INDEX(LM_Scholar,G1110)+INDEX(tun_ResearcherShare,G1110)*tun_OutResearcher*INDEX(LM_Researcher,G1110)))</x:f>
        <x:v>0</x:v>
      </x:c>
      <x:c r="AL1110" s="32" t="n">
        <x:f>H1110*tun_RoleScale*Arch_Roles*AE1110*INDEX(tun_MonasteryPerSett,G1110)*tun_OutMonastery*INDEX(LM_Monastery,G1110)</x:f>
        <x:v>0</x:v>
      </x:c>
      <x:c r="AM1110" s="32" t="n">
        <x:f>(AJ1110+AK1110+AL1110)/4*INDEX(LM_All,G1110)*INDEX(tun_Boon,G1110)*Arch_Insight</x:f>
        <x:v>0</x:v>
      </x:c>
      <x:c r="AN1110" s="32" t="n">
        <x:f>H1110*(tun_KHPerAdult*Z1110+tun_KHOfCommons*AJ1110/4*INDEX(LM_All,G1110))*tun_KHUsable*Arch_KH</x:f>
        <x:v>0</x:v>
      </x:c>
      <x:c r="AO1110" s="32" t="n">
        <x:f>MIN(AP1109+AN1110,AM1110*tun_KHMaxRatio)</x:f>
        <x:v>0</x:v>
      </x:c>
      <x:c r="AP1110" s="32" t="n">
        <x:f>AP1109+AN1110-AO1110</x:f>
        <x:v>0</x:v>
      </x:c>
      <x:c r="AQ1110" s="32" t="n">
        <x:f>AM1110+AO1110</x:f>
        <x:v>0</x:v>
      </x:c>
      <x:c r="AR1110" s="10" t="n">
        <x:f>IF(H1110=1,INDEX(tun_Req,G1110),0)</x:f>
        <x:v>0</x:v>
      </x:c>
      <x:c r="AS1110" s="32" t="n">
        <x:f>IF(H1110=1,IF(E1110=1,AS1109-AR1109,AS1109)+AQ1110,0)</x:f>
        <x:v>0</x:v>
      </x:c>
      <x:c r="AT1110" s="11" t="n">
        <x:f>IF(AR1110&gt;0,MIN(1,AS1110/AR1110),1)</x:f>
        <x:v>1</x:v>
      </x:c>
      <x:c r="AU1110" s="10" t="n">
        <x:f>AB1110/INDEX(tun_RepScale,G1110)</x:f>
        <x:v>290.3368848566301</x:v>
      </x:c>
      <x:c r="AV1110" s="32" t="n">
        <x:f>AM1110*60/tun_SeasonSeconds</x:f>
        <x:v>0</x:v>
      </x:c>
    </x:row>
    <x:row r="1111">
      <x:c r="A1111" s="8" t="n">
        <x:f>A1110+1</x:f>
        <x:v>1108</x:v>
      </x:c>
      <x:c r="B1111" s="9" t="n">
        <x:f>A1111*tun_SeasonSeconds/60</x:f>
        <x:v>277</x:v>
      </x:c>
      <x:c r="C1111" s="9" t="n">
        <x:f>A1111/4</x:f>
        <x:v>277</x:v>
      </x:c>
      <x:c r="D1111" s="8" t="n">
        <x:f>IF(MOD(A1111,4)=0,1,0)</x:f>
        <x:v>1</x:v>
      </x:c>
      <x:c r="E1111" s="8" t="n">
        <x:f>IF(AND(F1110&lt;=9,AS1110&gt;=AR1110),1,0)</x:f>
        <x:v>0</x:v>
      </x:c>
      <x:c r="F1111" s="8" t="n">
        <x:f>MIN(10,F1110+E1111)</x:f>
        <x:v>10</x:v>
      </x:c>
      <x:c r="G1111" s="8" t="n">
        <x:f>MIN(F1111,9)+1</x:f>
        <x:v>10</x:v>
      </x:c>
      <x:c r="H1111" s="8" t="n">
        <x:f>IF(F1111&lt;=9,1,0)</x:f>
        <x:v>0</x:v>
      </x:c>
      <x:c r="I1111" s="9" t="n">
        <x:f>MIN(10,F1110+IF(AR1110&gt;0,MIN(1,AS1110/AR1110),1))</x:f>
        <x:v>10</x:v>
      </x:c>
      <x:c r="J1111" s="32" t="n">
        <x:f>INDEX(tun_FoodCap,G1111)*Arch_FoodCap*EXP(tun_CapsByProject*SUMPRODUCT((Cap_Point&lt;=I1111)*(Cap_Kind="Food")*Cap_Ln))</x:f>
        <x:v>18627.260449441455</x:v>
      </x:c>
      <x:c r="K1111" s="32" t="n">
        <x:f>J1111*MIN(1,tun_LeanBase*EXP(tun_CapsByProject*SUMPRODUCT((Cap_Point&lt;=I1111)*(Cap_Kind="Lean")*Cap_Ln)))</x:f>
        <x:v>18627.260449441455</x:v>
      </x:c>
      <x:c r="L1111" s="10" t="n">
        <x:f>INDEX(tun_HousingCap,G1111)*EXP(tun_CapsByProject*SUMPRODUCT((Cap_Point&lt;=I1111)*(Cap_Kind="Housing")*Cap_Ln))</x:f>
        <x:v>20528.974303173167</x:v>
      </x:c>
      <x:c r="M1111" s="10" t="n">
        <x:f>INDEX(tun_GroupCap,G1111)*tun_CohesionFactor*EXP(tun_CapsByProject*SUMPRODUCT((Cap_Point&lt;=I1111)*(Cap_Kind="Group")*Cap_Ln))</x:f>
        <x:v>1000000.000000001</x:v>
      </x:c>
      <x:c r="N1111" s="32" t="n">
        <x:f>MIN(J1111,L1111,M1111)</x:f>
        <x:v>18627.260449441455</x:v>
      </x:c>
      <x:c r="O1111" s="10" t="n">
        <x:f>AE1110*N1111</x:f>
        <x:v>167645.34404497308</x:v>
      </x:c>
      <x:c r="P1111" s="9" t="n">
        <x:f>MIN(1,(AB1110/(AE1110*IF(tun_GroupInCrowding=1,N1111,MIN(J1111,L1111))))^tun_CrowdingExp)</x:f>
        <x:v>0.4215841981292809</x:v>
      </x:c>
      <x:c r="Q1111" s="9" t="n">
        <x:f>IF(D1111=1,INDEX(tun_WinterMult,G1111),1)</x:f>
        <x:v>1.05</x:v>
      </x:c>
      <x:c r="R1111" s="9" t="n">
        <x:f>H1111*Z1110*tun_WomenShare*tun_BaseFertility*INDEX(tun_FertMult,G1111)*Arch_Fertility*(1-P1111)</x:f>
        <x:v>0</x:v>
      </x:c>
      <x:c r="S1111" s="9" t="n">
        <x:f>H1111*Y1110*INDEX(tun_MortChild,G1111)/4*Q1111</x:f>
        <x:v>0</x:v>
      </x:c>
      <x:c r="T1111" s="9" t="n">
        <x:f>H1111*Z1110*INDEX(tun_MortAdult,G1111)*Arch_AdultMort/4*Q1111</x:f>
        <x:v>0</x:v>
      </x:c>
      <x:c r="U1111" s="9" t="n">
        <x:f>H1111*AA1110*INDEX(tun_MortElder,G1111)/4*Q1111</x:f>
        <x:v>0</x:v>
      </x:c>
      <x:c r="V1111" s="9" t="n">
        <x:f>H1111*MAX(0,AB1110-O1111)*tun_OvercapLoss</x:f>
        <x:v>0</x:v>
      </x:c>
      <x:c r="W1111" s="9" t="n">
        <x:f>H1111*Y1110/(tun_ChildYears*4)</x:f>
        <x:v>0</x:v>
      </x:c>
      <x:c r="X1111" s="9" t="n">
        <x:f>H1111*Z1110/(tun_AdultYears*4)</x:f>
        <x:v>0</x:v>
      </x:c>
      <x:c r="Y1111" s="32" t="n">
        <x:f>Y1110+R1111-S1111-W1111-Y1110*V1111/AB1110</x:f>
        <x:v>40496.20709015643</x:v>
      </x:c>
      <x:c r="Z1111" s="32" t="n">
        <x:f>Z1110+W1111-X1111-T1111-Z1110*V1111/AB1110</x:f>
        <x:v>59141.61122890803</x:v>
      </x:c>
      <x:c r="AA1111" s="32" t="n">
        <x:f>AA1110+X1111-U1111-AA1110*V1111/AB1110</x:f>
        <x:v>45530.62410925061</x:v>
      </x:c>
      <x:c r="AB1111" s="10" t="n">
        <x:f>Y1111+Z1111+AA1111</x:f>
        <x:v>145168.44242831506</x:v>
      </x:c>
      <x:c r="AC1111" s="8" t="n">
        <x:f>IF(AND(tun_WinterTrigger=1,D1111=1,AB1110/AE1110&gt;=K1111),1,0)</x:f>
        <x:v>0</x:v>
      </x:c>
      <x:c r="AD1111" s="8" t="n">
        <x:f>H1111*IF(AND(OR(AB1110/AE1110&gt;=tun_FissionTrigger*N1111,AC1111=1),AB1110/AE1110*tun_DaughterShare&gt;=tun_MinDaughter),MAX(1,ROUND(AE1110*tun_FissionRate,0)),0)</x:f>
        <x:v>0</x:v>
      </x:c>
      <x:c r="AE1111" s="8" t="n">
        <x:f>IF(H1111=1,MAX(1,MIN(INDEX(tun_Smax,G1111),AE1110+AD1111)),AE1110)</x:f>
        <x:v>9</x:v>
      </x:c>
      <x:c r="AF1111" s="8" t="n">
        <x:f>MAX(0,AE1111-AE1110)</x:f>
        <x:v>0</x:v>
      </x:c>
      <x:c r="AG1111" s="9" t="str">
        <x:f>IF(AF1111&gt;0,B1111,"")</x:f>
      </x:c>
      <x:c r="AH1111" s="9" t="n">
        <x:f>IF(F1111&gt;=1,1,(1+tun_LowTiesShare*(AE1111-1))/AE1111)</x:f>
        <x:v>1</x:v>
      </x:c>
      <x:c r="AI1111" s="32" t="n">
        <x:f>(Z1111+tun_ElderCommons*INDEX(LM_Elder,G1111)*AA1111)*AH1111</x:f>
        <x:v>238215.0665857503</x:v>
      </x:c>
      <x:c r="AJ1111" s="32" t="n">
        <x:f>H1111*tun_CommonsCoef*AI1111^tun_CommonsExp*INDEX(LM_Commons,G1111)</x:f>
        <x:v>0</x:v>
      </x:c>
      <x:c r="AK1111" s="32" t="n">
        <x:f>H1111*tun_RoleScale*Arch_Roles*(AE1111*(INDEX(tun_ElderRolePerSett,G1111)*tun_OutElder*INDEX(LM_Elder,G1111)+INDEX(tun_ShamanPerSett,G1111)*tun_OutShaman)+Z1111*(INDEX(tun_PriestShare,G1111)*tun_OutPriest+INDEX(tun_ScribeShare,G1111)*tun_OutScribe*INDEX(LM_Scribe,G1111)+INDEX(tun_ScholarShare,G1111)*tun_OutScholar*INDEX(LM_Scholar,G1111)+INDEX(tun_ResearcherShare,G1111)*tun_OutResearcher*INDEX(LM_Researcher,G1111)))</x:f>
        <x:v>0</x:v>
      </x:c>
      <x:c r="AL1111" s="32" t="n">
        <x:f>H1111*tun_RoleScale*Arch_Roles*AE1111*INDEX(tun_MonasteryPerSett,G1111)*tun_OutMonastery*INDEX(LM_Monastery,G1111)</x:f>
        <x:v>0</x:v>
      </x:c>
      <x:c r="AM1111" s="32" t="n">
        <x:f>(AJ1111+AK1111+AL1111)/4*INDEX(LM_All,G1111)*INDEX(tun_Boon,G1111)*Arch_Insight</x:f>
        <x:v>0</x:v>
      </x:c>
      <x:c r="AN1111" s="32" t="n">
        <x:f>H1111*(tun_KHPerAdult*Z1111+tun_KHOfCommons*AJ1111/4*INDEX(LM_All,G1111))*tun_KHUsable*Arch_KH</x:f>
        <x:v>0</x:v>
      </x:c>
      <x:c r="AO1111" s="32" t="n">
        <x:f>MIN(AP1110+AN1111,AM1111*tun_KHMaxRatio)</x:f>
        <x:v>0</x:v>
      </x:c>
      <x:c r="AP1111" s="32" t="n">
        <x:f>AP1110+AN1111-AO1111</x:f>
        <x:v>0</x:v>
      </x:c>
      <x:c r="AQ1111" s="32" t="n">
        <x:f>AM1111+AO1111</x:f>
        <x:v>0</x:v>
      </x:c>
      <x:c r="AR1111" s="10" t="n">
        <x:f>IF(H1111=1,INDEX(tun_Req,G1111),0)</x:f>
        <x:v>0</x:v>
      </x:c>
      <x:c r="AS1111" s="32" t="n">
        <x:f>IF(H1111=1,IF(E1111=1,AS1110-AR1110,AS1110)+AQ1111,0)</x:f>
        <x:v>0</x:v>
      </x:c>
      <x:c r="AT1111" s="11" t="n">
        <x:f>IF(AR1111&gt;0,MIN(1,AS1111/AR1111),1)</x:f>
        <x:v>1</x:v>
      </x:c>
      <x:c r="AU1111" s="10" t="n">
        <x:f>AB1111/INDEX(tun_RepScale,G1111)</x:f>
        <x:v>290.3368848566301</x:v>
      </x:c>
      <x:c r="AV1111" s="32" t="n">
        <x:f>AM1111*60/tun_SeasonSeconds</x:f>
        <x:v>0</x:v>
      </x:c>
    </x:row>
    <x:row r="1112">
      <x:c r="A1112" s="8" t="n">
        <x:f>A1111+1</x:f>
        <x:v>1109</x:v>
      </x:c>
      <x:c r="B1112" s="9" t="n">
        <x:f>A1112*tun_SeasonSeconds/60</x:f>
        <x:v>277.25</x:v>
      </x:c>
      <x:c r="C1112" s="9" t="n">
        <x:f>A1112/4</x:f>
        <x:v>277.25</x:v>
      </x:c>
      <x:c r="D1112" s="8" t="n">
        <x:f>IF(MOD(A1112,4)=0,1,0)</x:f>
        <x:v>0</x:v>
      </x:c>
      <x:c r="E1112" s="8" t="n">
        <x:f>IF(AND(F1111&lt;=9,AS1111&gt;=AR1111),1,0)</x:f>
        <x:v>0</x:v>
      </x:c>
      <x:c r="F1112" s="8" t="n">
        <x:f>MIN(10,F1111+E1112)</x:f>
        <x:v>10</x:v>
      </x:c>
      <x:c r="G1112" s="8" t="n">
        <x:f>MIN(F1112,9)+1</x:f>
        <x:v>10</x:v>
      </x:c>
      <x:c r="H1112" s="8" t="n">
        <x:f>IF(F1112&lt;=9,1,0)</x:f>
        <x:v>0</x:v>
      </x:c>
      <x:c r="I1112" s="9" t="n">
        <x:f>MIN(10,F1111+IF(AR1111&gt;0,MIN(1,AS1111/AR1111),1))</x:f>
        <x:v>10</x:v>
      </x:c>
      <x:c r="J1112" s="32" t="n">
        <x:f>INDEX(tun_FoodCap,G1112)*Arch_FoodCap*EXP(tun_CapsByProject*SUMPRODUCT((Cap_Point&lt;=I1112)*(Cap_Kind="Food")*Cap_Ln))</x:f>
        <x:v>18627.260449441455</x:v>
      </x:c>
      <x:c r="K1112" s="32" t="n">
        <x:f>J1112*MIN(1,tun_LeanBase*EXP(tun_CapsByProject*SUMPRODUCT((Cap_Point&lt;=I1112)*(Cap_Kind="Lean")*Cap_Ln)))</x:f>
        <x:v>18627.260449441455</x:v>
      </x:c>
      <x:c r="L1112" s="10" t="n">
        <x:f>INDEX(tun_HousingCap,G1112)*EXP(tun_CapsByProject*SUMPRODUCT((Cap_Point&lt;=I1112)*(Cap_Kind="Housing")*Cap_Ln))</x:f>
        <x:v>20528.974303173167</x:v>
      </x:c>
      <x:c r="M1112" s="10" t="n">
        <x:f>INDEX(tun_GroupCap,G1112)*tun_CohesionFactor*EXP(tun_CapsByProject*SUMPRODUCT((Cap_Point&lt;=I1112)*(Cap_Kind="Group")*Cap_Ln))</x:f>
        <x:v>1000000.000000001</x:v>
      </x:c>
      <x:c r="N1112" s="32" t="n">
        <x:f>MIN(J1112,L1112,M1112)</x:f>
        <x:v>18627.260449441455</x:v>
      </x:c>
      <x:c r="O1112" s="10" t="n">
        <x:f>AE1111*N1112</x:f>
        <x:v>167645.34404497308</x:v>
      </x:c>
      <x:c r="P1112" s="9" t="n">
        <x:f>MIN(1,(AB1111/(AE1111*IF(tun_GroupInCrowding=1,N1112,MIN(J1112,L1112))))^tun_CrowdingExp)</x:f>
        <x:v>0.4215841981292809</x:v>
      </x:c>
      <x:c r="Q1112" s="9" t="n">
        <x:f>IF(D1112=1,INDEX(tun_WinterMult,G1112),1)</x:f>
        <x:v>1</x:v>
      </x:c>
      <x:c r="R1112" s="9" t="n">
        <x:f>H1112*Z1111*tun_WomenShare*tun_BaseFertility*INDEX(tun_FertMult,G1112)*Arch_Fertility*(1-P1112)</x:f>
        <x:v>0</x:v>
      </x:c>
      <x:c r="S1112" s="9" t="n">
        <x:f>H1112*Y1111*INDEX(tun_MortChild,G1112)/4*Q1112</x:f>
        <x:v>0</x:v>
      </x:c>
      <x:c r="T1112" s="9" t="n">
        <x:f>H1112*Z1111*INDEX(tun_MortAdult,G1112)*Arch_AdultMort/4*Q1112</x:f>
        <x:v>0</x:v>
      </x:c>
      <x:c r="U1112" s="9" t="n">
        <x:f>H1112*AA1111*INDEX(tun_MortElder,G1112)/4*Q1112</x:f>
        <x:v>0</x:v>
      </x:c>
      <x:c r="V1112" s="9" t="n">
        <x:f>H1112*MAX(0,AB1111-O1112)*tun_OvercapLoss</x:f>
        <x:v>0</x:v>
      </x:c>
      <x:c r="W1112" s="9" t="n">
        <x:f>H1112*Y1111/(tun_ChildYears*4)</x:f>
        <x:v>0</x:v>
      </x:c>
      <x:c r="X1112" s="9" t="n">
        <x:f>H1112*Z1111/(tun_AdultYears*4)</x:f>
        <x:v>0</x:v>
      </x:c>
      <x:c r="Y1112" s="32" t="n">
        <x:f>Y1111+R1112-S1112-W1112-Y1111*V1112/AB1111</x:f>
        <x:v>40496.20709015643</x:v>
      </x:c>
      <x:c r="Z1112" s="32" t="n">
        <x:f>Z1111+W1112-X1112-T1112-Z1111*V1112/AB1111</x:f>
        <x:v>59141.61122890803</x:v>
      </x:c>
      <x:c r="AA1112" s="32" t="n">
        <x:f>AA1111+X1112-U1112-AA1111*V1112/AB1111</x:f>
        <x:v>45530.62410925061</x:v>
      </x:c>
      <x:c r="AB1112" s="10" t="n">
        <x:f>Y1112+Z1112+AA1112</x:f>
        <x:v>145168.44242831506</x:v>
      </x:c>
      <x:c r="AC1112" s="8" t="n">
        <x:f>IF(AND(tun_WinterTrigger=1,D1112=1,AB1111/AE1111&gt;=K1112),1,0)</x:f>
        <x:v>0</x:v>
      </x:c>
      <x:c r="AD1112" s="8" t="n">
        <x:f>H1112*IF(AND(OR(AB1111/AE1111&gt;=tun_FissionTrigger*N1112,AC1112=1),AB1111/AE1111*tun_DaughterShare&gt;=tun_MinDaughter),MAX(1,ROUND(AE1111*tun_FissionRate,0)),0)</x:f>
        <x:v>0</x:v>
      </x:c>
      <x:c r="AE1112" s="8" t="n">
        <x:f>IF(H1112=1,MAX(1,MIN(INDEX(tun_Smax,G1112),AE1111+AD1112)),AE1111)</x:f>
        <x:v>9</x:v>
      </x:c>
      <x:c r="AF1112" s="8" t="n">
        <x:f>MAX(0,AE1112-AE1111)</x:f>
        <x:v>0</x:v>
      </x:c>
      <x:c r="AG1112" s="9" t="str">
        <x:f>IF(AF1112&gt;0,B1112,"")</x:f>
      </x:c>
      <x:c r="AH1112" s="9" t="n">
        <x:f>IF(F1112&gt;=1,1,(1+tun_LowTiesShare*(AE1112-1))/AE1112)</x:f>
        <x:v>1</x:v>
      </x:c>
      <x:c r="AI1112" s="32" t="n">
        <x:f>(Z1112+tun_ElderCommons*INDEX(LM_Elder,G1112)*AA1112)*AH1112</x:f>
        <x:v>238215.0665857503</x:v>
      </x:c>
      <x:c r="AJ1112" s="32" t="n">
        <x:f>H1112*tun_CommonsCoef*AI1112^tun_CommonsExp*INDEX(LM_Commons,G1112)</x:f>
        <x:v>0</x:v>
      </x:c>
      <x:c r="AK1112" s="32" t="n">
        <x:f>H1112*tun_RoleScale*Arch_Roles*(AE1112*(INDEX(tun_ElderRolePerSett,G1112)*tun_OutElder*INDEX(LM_Elder,G1112)+INDEX(tun_ShamanPerSett,G1112)*tun_OutShaman)+Z1112*(INDEX(tun_PriestShare,G1112)*tun_OutPriest+INDEX(tun_ScribeShare,G1112)*tun_OutScribe*INDEX(LM_Scribe,G1112)+INDEX(tun_ScholarShare,G1112)*tun_OutScholar*INDEX(LM_Scholar,G1112)+INDEX(tun_ResearcherShare,G1112)*tun_OutResearcher*INDEX(LM_Researcher,G1112)))</x:f>
        <x:v>0</x:v>
      </x:c>
      <x:c r="AL1112" s="32" t="n">
        <x:f>H1112*tun_RoleScale*Arch_Roles*AE1112*INDEX(tun_MonasteryPerSett,G1112)*tun_OutMonastery*INDEX(LM_Monastery,G1112)</x:f>
        <x:v>0</x:v>
      </x:c>
      <x:c r="AM1112" s="32" t="n">
        <x:f>(AJ1112+AK1112+AL1112)/4*INDEX(LM_All,G1112)*INDEX(tun_Boon,G1112)*Arch_Insight</x:f>
        <x:v>0</x:v>
      </x:c>
      <x:c r="AN1112" s="32" t="n">
        <x:f>H1112*(tun_KHPerAdult*Z1112+tun_KHOfCommons*AJ1112/4*INDEX(LM_All,G1112))*tun_KHUsable*Arch_KH</x:f>
        <x:v>0</x:v>
      </x:c>
      <x:c r="AO1112" s="32" t="n">
        <x:f>MIN(AP1111+AN1112,AM1112*tun_KHMaxRatio)</x:f>
        <x:v>0</x:v>
      </x:c>
      <x:c r="AP1112" s="32" t="n">
        <x:f>AP1111+AN1112-AO1112</x:f>
        <x:v>0</x:v>
      </x:c>
      <x:c r="AQ1112" s="32" t="n">
        <x:f>AM1112+AO1112</x:f>
        <x:v>0</x:v>
      </x:c>
      <x:c r="AR1112" s="10" t="n">
        <x:f>IF(H1112=1,INDEX(tun_Req,G1112),0)</x:f>
        <x:v>0</x:v>
      </x:c>
      <x:c r="AS1112" s="32" t="n">
        <x:f>IF(H1112=1,IF(E1112=1,AS1111-AR1111,AS1111)+AQ1112,0)</x:f>
        <x:v>0</x:v>
      </x:c>
      <x:c r="AT1112" s="11" t="n">
        <x:f>IF(AR1112&gt;0,MIN(1,AS1112/AR1112),1)</x:f>
        <x:v>1</x:v>
      </x:c>
      <x:c r="AU1112" s="10" t="n">
        <x:f>AB1112/INDEX(tun_RepScale,G1112)</x:f>
        <x:v>290.3368848566301</x:v>
      </x:c>
      <x:c r="AV1112" s="32" t="n">
        <x:f>AM1112*60/tun_SeasonSeconds</x:f>
        <x:v>0</x:v>
      </x:c>
    </x:row>
    <x:row r="1113">
      <x:c r="A1113" s="8" t="n">
        <x:f>A1112+1</x:f>
        <x:v>1110</x:v>
      </x:c>
      <x:c r="B1113" s="9" t="n">
        <x:f>A1113*tun_SeasonSeconds/60</x:f>
        <x:v>277.5</x:v>
      </x:c>
      <x:c r="C1113" s="9" t="n">
        <x:f>A1113/4</x:f>
        <x:v>277.5</x:v>
      </x:c>
      <x:c r="D1113" s="8" t="n">
        <x:f>IF(MOD(A1113,4)=0,1,0)</x:f>
        <x:v>0</x:v>
      </x:c>
      <x:c r="E1113" s="8" t="n">
        <x:f>IF(AND(F1112&lt;=9,AS1112&gt;=AR1112),1,0)</x:f>
        <x:v>0</x:v>
      </x:c>
      <x:c r="F1113" s="8" t="n">
        <x:f>MIN(10,F1112+E1113)</x:f>
        <x:v>10</x:v>
      </x:c>
      <x:c r="G1113" s="8" t="n">
        <x:f>MIN(F1113,9)+1</x:f>
        <x:v>10</x:v>
      </x:c>
      <x:c r="H1113" s="8" t="n">
        <x:f>IF(F1113&lt;=9,1,0)</x:f>
        <x:v>0</x:v>
      </x:c>
      <x:c r="I1113" s="9" t="n">
        <x:f>MIN(10,F1112+IF(AR1112&gt;0,MIN(1,AS1112/AR1112),1))</x:f>
        <x:v>10</x:v>
      </x:c>
      <x:c r="J1113" s="32" t="n">
        <x:f>INDEX(tun_FoodCap,G1113)*Arch_FoodCap*EXP(tun_CapsByProject*SUMPRODUCT((Cap_Point&lt;=I1113)*(Cap_Kind="Food")*Cap_Ln))</x:f>
        <x:v>18627.260449441455</x:v>
      </x:c>
      <x:c r="K1113" s="32" t="n">
        <x:f>J1113*MIN(1,tun_LeanBase*EXP(tun_CapsByProject*SUMPRODUCT((Cap_Point&lt;=I1113)*(Cap_Kind="Lean")*Cap_Ln)))</x:f>
        <x:v>18627.260449441455</x:v>
      </x:c>
      <x:c r="L1113" s="10" t="n">
        <x:f>INDEX(tun_HousingCap,G1113)*EXP(tun_CapsByProject*SUMPRODUCT((Cap_Point&lt;=I1113)*(Cap_Kind="Housing")*Cap_Ln))</x:f>
        <x:v>20528.974303173167</x:v>
      </x:c>
      <x:c r="M1113" s="10" t="n">
        <x:f>INDEX(tun_GroupCap,G1113)*tun_CohesionFactor*EXP(tun_CapsByProject*SUMPRODUCT((Cap_Point&lt;=I1113)*(Cap_Kind="Group")*Cap_Ln))</x:f>
        <x:v>1000000.000000001</x:v>
      </x:c>
      <x:c r="N1113" s="32" t="n">
        <x:f>MIN(J1113,L1113,M1113)</x:f>
        <x:v>18627.260449441455</x:v>
      </x:c>
      <x:c r="O1113" s="10" t="n">
        <x:f>AE1112*N1113</x:f>
        <x:v>167645.34404497308</x:v>
      </x:c>
      <x:c r="P1113" s="9" t="n">
        <x:f>MIN(1,(AB1112/(AE1112*IF(tun_GroupInCrowding=1,N1113,MIN(J1113,L1113))))^tun_CrowdingExp)</x:f>
        <x:v>0.4215841981292809</x:v>
      </x:c>
      <x:c r="Q1113" s="9" t="n">
        <x:f>IF(D1113=1,INDEX(tun_WinterMult,G1113),1)</x:f>
        <x:v>1</x:v>
      </x:c>
      <x:c r="R1113" s="9" t="n">
        <x:f>H1113*Z1112*tun_WomenShare*tun_BaseFertility*INDEX(tun_FertMult,G1113)*Arch_Fertility*(1-P1113)</x:f>
        <x:v>0</x:v>
      </x:c>
      <x:c r="S1113" s="9" t="n">
        <x:f>H1113*Y1112*INDEX(tun_MortChild,G1113)/4*Q1113</x:f>
        <x:v>0</x:v>
      </x:c>
      <x:c r="T1113" s="9" t="n">
        <x:f>H1113*Z1112*INDEX(tun_MortAdult,G1113)*Arch_AdultMort/4*Q1113</x:f>
        <x:v>0</x:v>
      </x:c>
      <x:c r="U1113" s="9" t="n">
        <x:f>H1113*AA1112*INDEX(tun_MortElder,G1113)/4*Q1113</x:f>
        <x:v>0</x:v>
      </x:c>
      <x:c r="V1113" s="9" t="n">
        <x:f>H1113*MAX(0,AB1112-O1113)*tun_OvercapLoss</x:f>
        <x:v>0</x:v>
      </x:c>
      <x:c r="W1113" s="9" t="n">
        <x:f>H1113*Y1112/(tun_ChildYears*4)</x:f>
        <x:v>0</x:v>
      </x:c>
      <x:c r="X1113" s="9" t="n">
        <x:f>H1113*Z1112/(tun_AdultYears*4)</x:f>
        <x:v>0</x:v>
      </x:c>
      <x:c r="Y1113" s="32" t="n">
        <x:f>Y1112+R1113-S1113-W1113-Y1112*V1113/AB1112</x:f>
        <x:v>40496.20709015643</x:v>
      </x:c>
      <x:c r="Z1113" s="32" t="n">
        <x:f>Z1112+W1113-X1113-T1113-Z1112*V1113/AB1112</x:f>
        <x:v>59141.61122890803</x:v>
      </x:c>
      <x:c r="AA1113" s="32" t="n">
        <x:f>AA1112+X1113-U1113-AA1112*V1113/AB1112</x:f>
        <x:v>45530.62410925061</x:v>
      </x:c>
      <x:c r="AB1113" s="10" t="n">
        <x:f>Y1113+Z1113+AA1113</x:f>
        <x:v>145168.44242831506</x:v>
      </x:c>
      <x:c r="AC1113" s="8" t="n">
        <x:f>IF(AND(tun_WinterTrigger=1,D1113=1,AB1112/AE1112&gt;=K1113),1,0)</x:f>
        <x:v>0</x:v>
      </x:c>
      <x:c r="AD1113" s="8" t="n">
        <x:f>H1113*IF(AND(OR(AB1112/AE1112&gt;=tun_FissionTrigger*N1113,AC1113=1),AB1112/AE1112*tun_DaughterShare&gt;=tun_MinDaughter),MAX(1,ROUND(AE1112*tun_FissionRate,0)),0)</x:f>
        <x:v>0</x:v>
      </x:c>
      <x:c r="AE1113" s="8" t="n">
        <x:f>IF(H1113=1,MAX(1,MIN(INDEX(tun_Smax,G1113),AE1112+AD1113)),AE1112)</x:f>
        <x:v>9</x:v>
      </x:c>
      <x:c r="AF1113" s="8" t="n">
        <x:f>MAX(0,AE1113-AE1112)</x:f>
        <x:v>0</x:v>
      </x:c>
      <x:c r="AG1113" s="9" t="str">
        <x:f>IF(AF1113&gt;0,B1113,"")</x:f>
      </x:c>
      <x:c r="AH1113" s="9" t="n">
        <x:f>IF(F1113&gt;=1,1,(1+tun_LowTiesShare*(AE1113-1))/AE1113)</x:f>
        <x:v>1</x:v>
      </x:c>
      <x:c r="AI1113" s="32" t="n">
        <x:f>(Z1113+tun_ElderCommons*INDEX(LM_Elder,G1113)*AA1113)*AH1113</x:f>
        <x:v>238215.0665857503</x:v>
      </x:c>
      <x:c r="AJ1113" s="32" t="n">
        <x:f>H1113*tun_CommonsCoef*AI1113^tun_CommonsExp*INDEX(LM_Commons,G1113)</x:f>
        <x:v>0</x:v>
      </x:c>
      <x:c r="AK1113" s="32" t="n">
        <x:f>H1113*tun_RoleScale*Arch_Roles*(AE1113*(INDEX(tun_ElderRolePerSett,G1113)*tun_OutElder*INDEX(LM_Elder,G1113)+INDEX(tun_ShamanPerSett,G1113)*tun_OutShaman)+Z1113*(INDEX(tun_PriestShare,G1113)*tun_OutPriest+INDEX(tun_ScribeShare,G1113)*tun_OutScribe*INDEX(LM_Scribe,G1113)+INDEX(tun_ScholarShare,G1113)*tun_OutScholar*INDEX(LM_Scholar,G1113)+INDEX(tun_ResearcherShare,G1113)*tun_OutResearcher*INDEX(LM_Researcher,G1113)))</x:f>
        <x:v>0</x:v>
      </x:c>
      <x:c r="AL1113" s="32" t="n">
        <x:f>H1113*tun_RoleScale*Arch_Roles*AE1113*INDEX(tun_MonasteryPerSett,G1113)*tun_OutMonastery*INDEX(LM_Monastery,G1113)</x:f>
        <x:v>0</x:v>
      </x:c>
      <x:c r="AM1113" s="32" t="n">
        <x:f>(AJ1113+AK1113+AL1113)/4*INDEX(LM_All,G1113)*INDEX(tun_Boon,G1113)*Arch_Insight</x:f>
        <x:v>0</x:v>
      </x:c>
      <x:c r="AN1113" s="32" t="n">
        <x:f>H1113*(tun_KHPerAdult*Z1113+tun_KHOfCommons*AJ1113/4*INDEX(LM_All,G1113))*tun_KHUsable*Arch_KH</x:f>
        <x:v>0</x:v>
      </x:c>
      <x:c r="AO1113" s="32" t="n">
        <x:f>MIN(AP1112+AN1113,AM1113*tun_KHMaxRatio)</x:f>
        <x:v>0</x:v>
      </x:c>
      <x:c r="AP1113" s="32" t="n">
        <x:f>AP1112+AN1113-AO1113</x:f>
        <x:v>0</x:v>
      </x:c>
      <x:c r="AQ1113" s="32" t="n">
        <x:f>AM1113+AO1113</x:f>
        <x:v>0</x:v>
      </x:c>
      <x:c r="AR1113" s="10" t="n">
        <x:f>IF(H1113=1,INDEX(tun_Req,G1113),0)</x:f>
        <x:v>0</x:v>
      </x:c>
      <x:c r="AS1113" s="32" t="n">
        <x:f>IF(H1113=1,IF(E1113=1,AS1112-AR1112,AS1112)+AQ1113,0)</x:f>
        <x:v>0</x:v>
      </x:c>
      <x:c r="AT1113" s="11" t="n">
        <x:f>IF(AR1113&gt;0,MIN(1,AS1113/AR1113),1)</x:f>
        <x:v>1</x:v>
      </x:c>
      <x:c r="AU1113" s="10" t="n">
        <x:f>AB1113/INDEX(tun_RepScale,G1113)</x:f>
        <x:v>290.3368848566301</x:v>
      </x:c>
      <x:c r="AV1113" s="32" t="n">
        <x:f>AM1113*60/tun_SeasonSeconds</x:f>
        <x:v>0</x:v>
      </x:c>
    </x:row>
    <x:row r="1114">
      <x:c r="A1114" s="8" t="n">
        <x:f>A1113+1</x:f>
        <x:v>1111</x:v>
      </x:c>
      <x:c r="B1114" s="9" t="n">
        <x:f>A1114*tun_SeasonSeconds/60</x:f>
        <x:v>277.75</x:v>
      </x:c>
      <x:c r="C1114" s="9" t="n">
        <x:f>A1114/4</x:f>
        <x:v>277.75</x:v>
      </x:c>
      <x:c r="D1114" s="8" t="n">
        <x:f>IF(MOD(A1114,4)=0,1,0)</x:f>
        <x:v>0</x:v>
      </x:c>
      <x:c r="E1114" s="8" t="n">
        <x:f>IF(AND(F1113&lt;=9,AS1113&gt;=AR1113),1,0)</x:f>
        <x:v>0</x:v>
      </x:c>
      <x:c r="F1114" s="8" t="n">
        <x:f>MIN(10,F1113+E1114)</x:f>
        <x:v>10</x:v>
      </x:c>
      <x:c r="G1114" s="8" t="n">
        <x:f>MIN(F1114,9)+1</x:f>
        <x:v>10</x:v>
      </x:c>
      <x:c r="H1114" s="8" t="n">
        <x:f>IF(F1114&lt;=9,1,0)</x:f>
        <x:v>0</x:v>
      </x:c>
      <x:c r="I1114" s="9" t="n">
        <x:f>MIN(10,F1113+IF(AR1113&gt;0,MIN(1,AS1113/AR1113),1))</x:f>
        <x:v>10</x:v>
      </x:c>
      <x:c r="J1114" s="32" t="n">
        <x:f>INDEX(tun_FoodCap,G1114)*Arch_FoodCap*EXP(tun_CapsByProject*SUMPRODUCT((Cap_Point&lt;=I1114)*(Cap_Kind="Food")*Cap_Ln))</x:f>
        <x:v>18627.260449441455</x:v>
      </x:c>
      <x:c r="K1114" s="32" t="n">
        <x:f>J1114*MIN(1,tun_LeanBase*EXP(tun_CapsByProject*SUMPRODUCT((Cap_Point&lt;=I1114)*(Cap_Kind="Lean")*Cap_Ln)))</x:f>
        <x:v>18627.260449441455</x:v>
      </x:c>
      <x:c r="L1114" s="10" t="n">
        <x:f>INDEX(tun_HousingCap,G1114)*EXP(tun_CapsByProject*SUMPRODUCT((Cap_Point&lt;=I1114)*(Cap_Kind="Housing")*Cap_Ln))</x:f>
        <x:v>20528.974303173167</x:v>
      </x:c>
      <x:c r="M1114" s="10" t="n">
        <x:f>INDEX(tun_GroupCap,G1114)*tun_CohesionFactor*EXP(tun_CapsByProject*SUMPRODUCT((Cap_Point&lt;=I1114)*(Cap_Kind="Group")*Cap_Ln))</x:f>
        <x:v>1000000.000000001</x:v>
      </x:c>
      <x:c r="N1114" s="32" t="n">
        <x:f>MIN(J1114,L1114,M1114)</x:f>
        <x:v>18627.260449441455</x:v>
      </x:c>
      <x:c r="O1114" s="10" t="n">
        <x:f>AE1113*N1114</x:f>
        <x:v>167645.34404497308</x:v>
      </x:c>
      <x:c r="P1114" s="9" t="n">
        <x:f>MIN(1,(AB1113/(AE1113*IF(tun_GroupInCrowding=1,N1114,MIN(J1114,L1114))))^tun_CrowdingExp)</x:f>
        <x:v>0.4215841981292809</x:v>
      </x:c>
      <x:c r="Q1114" s="9" t="n">
        <x:f>IF(D1114=1,INDEX(tun_WinterMult,G1114),1)</x:f>
        <x:v>1</x:v>
      </x:c>
      <x:c r="R1114" s="9" t="n">
        <x:f>H1114*Z1113*tun_WomenShare*tun_BaseFertility*INDEX(tun_FertMult,G1114)*Arch_Fertility*(1-P1114)</x:f>
        <x:v>0</x:v>
      </x:c>
      <x:c r="S1114" s="9" t="n">
        <x:f>H1114*Y1113*INDEX(tun_MortChild,G1114)/4*Q1114</x:f>
        <x:v>0</x:v>
      </x:c>
      <x:c r="T1114" s="9" t="n">
        <x:f>H1114*Z1113*INDEX(tun_MortAdult,G1114)*Arch_AdultMort/4*Q1114</x:f>
        <x:v>0</x:v>
      </x:c>
      <x:c r="U1114" s="9" t="n">
        <x:f>H1114*AA1113*INDEX(tun_MortElder,G1114)/4*Q1114</x:f>
        <x:v>0</x:v>
      </x:c>
      <x:c r="V1114" s="9" t="n">
        <x:f>H1114*MAX(0,AB1113-O1114)*tun_OvercapLoss</x:f>
        <x:v>0</x:v>
      </x:c>
      <x:c r="W1114" s="9" t="n">
        <x:f>H1114*Y1113/(tun_ChildYears*4)</x:f>
        <x:v>0</x:v>
      </x:c>
      <x:c r="X1114" s="9" t="n">
        <x:f>H1114*Z1113/(tun_AdultYears*4)</x:f>
        <x:v>0</x:v>
      </x:c>
      <x:c r="Y1114" s="32" t="n">
        <x:f>Y1113+R1114-S1114-W1114-Y1113*V1114/AB1113</x:f>
        <x:v>40496.20709015643</x:v>
      </x:c>
      <x:c r="Z1114" s="32" t="n">
        <x:f>Z1113+W1114-X1114-T1114-Z1113*V1114/AB1113</x:f>
        <x:v>59141.61122890803</x:v>
      </x:c>
      <x:c r="AA1114" s="32" t="n">
        <x:f>AA1113+X1114-U1114-AA1113*V1114/AB1113</x:f>
        <x:v>45530.62410925061</x:v>
      </x:c>
      <x:c r="AB1114" s="10" t="n">
        <x:f>Y1114+Z1114+AA1114</x:f>
        <x:v>145168.44242831506</x:v>
      </x:c>
      <x:c r="AC1114" s="8" t="n">
        <x:f>IF(AND(tun_WinterTrigger=1,D1114=1,AB1113/AE1113&gt;=K1114),1,0)</x:f>
        <x:v>0</x:v>
      </x:c>
      <x:c r="AD1114" s="8" t="n">
        <x:f>H1114*IF(AND(OR(AB1113/AE1113&gt;=tun_FissionTrigger*N1114,AC1114=1),AB1113/AE1113*tun_DaughterShare&gt;=tun_MinDaughter),MAX(1,ROUND(AE1113*tun_FissionRate,0)),0)</x:f>
        <x:v>0</x:v>
      </x:c>
      <x:c r="AE1114" s="8" t="n">
        <x:f>IF(H1114=1,MAX(1,MIN(INDEX(tun_Smax,G1114),AE1113+AD1114)),AE1113)</x:f>
        <x:v>9</x:v>
      </x:c>
      <x:c r="AF1114" s="8" t="n">
        <x:f>MAX(0,AE1114-AE1113)</x:f>
        <x:v>0</x:v>
      </x:c>
      <x:c r="AG1114" s="9" t="str">
        <x:f>IF(AF1114&gt;0,B1114,"")</x:f>
      </x:c>
      <x:c r="AH1114" s="9" t="n">
        <x:f>IF(F1114&gt;=1,1,(1+tun_LowTiesShare*(AE1114-1))/AE1114)</x:f>
        <x:v>1</x:v>
      </x:c>
      <x:c r="AI1114" s="32" t="n">
        <x:f>(Z1114+tun_ElderCommons*INDEX(LM_Elder,G1114)*AA1114)*AH1114</x:f>
        <x:v>238215.0665857503</x:v>
      </x:c>
      <x:c r="AJ1114" s="32" t="n">
        <x:f>H1114*tun_CommonsCoef*AI1114^tun_CommonsExp*INDEX(LM_Commons,G1114)</x:f>
        <x:v>0</x:v>
      </x:c>
      <x:c r="AK1114" s="32" t="n">
        <x:f>H1114*tun_RoleScale*Arch_Roles*(AE1114*(INDEX(tun_ElderRolePerSett,G1114)*tun_OutElder*INDEX(LM_Elder,G1114)+INDEX(tun_ShamanPerSett,G1114)*tun_OutShaman)+Z1114*(INDEX(tun_PriestShare,G1114)*tun_OutPriest+INDEX(tun_ScribeShare,G1114)*tun_OutScribe*INDEX(LM_Scribe,G1114)+INDEX(tun_ScholarShare,G1114)*tun_OutScholar*INDEX(LM_Scholar,G1114)+INDEX(tun_ResearcherShare,G1114)*tun_OutResearcher*INDEX(LM_Researcher,G1114)))</x:f>
        <x:v>0</x:v>
      </x:c>
      <x:c r="AL1114" s="32" t="n">
        <x:f>H1114*tun_RoleScale*Arch_Roles*AE1114*INDEX(tun_MonasteryPerSett,G1114)*tun_OutMonastery*INDEX(LM_Monastery,G1114)</x:f>
        <x:v>0</x:v>
      </x:c>
      <x:c r="AM1114" s="32" t="n">
        <x:f>(AJ1114+AK1114+AL1114)/4*INDEX(LM_All,G1114)*INDEX(tun_Boon,G1114)*Arch_Insight</x:f>
        <x:v>0</x:v>
      </x:c>
      <x:c r="AN1114" s="32" t="n">
        <x:f>H1114*(tun_KHPerAdult*Z1114+tun_KHOfCommons*AJ1114/4*INDEX(LM_All,G1114))*tun_KHUsable*Arch_KH</x:f>
        <x:v>0</x:v>
      </x:c>
      <x:c r="AO1114" s="32" t="n">
        <x:f>MIN(AP1113+AN1114,AM1114*tun_KHMaxRatio)</x:f>
        <x:v>0</x:v>
      </x:c>
      <x:c r="AP1114" s="32" t="n">
        <x:f>AP1113+AN1114-AO1114</x:f>
        <x:v>0</x:v>
      </x:c>
      <x:c r="AQ1114" s="32" t="n">
        <x:f>AM1114+AO1114</x:f>
        <x:v>0</x:v>
      </x:c>
      <x:c r="AR1114" s="10" t="n">
        <x:f>IF(H1114=1,INDEX(tun_Req,G1114),0)</x:f>
        <x:v>0</x:v>
      </x:c>
      <x:c r="AS1114" s="32" t="n">
        <x:f>IF(H1114=1,IF(E1114=1,AS1113-AR1113,AS1113)+AQ1114,0)</x:f>
        <x:v>0</x:v>
      </x:c>
      <x:c r="AT1114" s="11" t="n">
        <x:f>IF(AR1114&gt;0,MIN(1,AS1114/AR1114),1)</x:f>
        <x:v>1</x:v>
      </x:c>
      <x:c r="AU1114" s="10" t="n">
        <x:f>AB1114/INDEX(tun_RepScale,G1114)</x:f>
        <x:v>290.3368848566301</x:v>
      </x:c>
      <x:c r="AV1114" s="32" t="n">
        <x:f>AM1114*60/tun_SeasonSeconds</x:f>
        <x:v>0</x:v>
      </x:c>
    </x:row>
    <x:row r="1115">
      <x:c r="A1115" s="8" t="n">
        <x:f>A1114+1</x:f>
        <x:v>1112</x:v>
      </x:c>
      <x:c r="B1115" s="9" t="n">
        <x:f>A1115*tun_SeasonSeconds/60</x:f>
        <x:v>278</x:v>
      </x:c>
      <x:c r="C1115" s="9" t="n">
        <x:f>A1115/4</x:f>
        <x:v>278</x:v>
      </x:c>
      <x:c r="D1115" s="8" t="n">
        <x:f>IF(MOD(A1115,4)=0,1,0)</x:f>
        <x:v>1</x:v>
      </x:c>
      <x:c r="E1115" s="8" t="n">
        <x:f>IF(AND(F1114&lt;=9,AS1114&gt;=AR1114),1,0)</x:f>
        <x:v>0</x:v>
      </x:c>
      <x:c r="F1115" s="8" t="n">
        <x:f>MIN(10,F1114+E1115)</x:f>
        <x:v>10</x:v>
      </x:c>
      <x:c r="G1115" s="8" t="n">
        <x:f>MIN(F1115,9)+1</x:f>
        <x:v>10</x:v>
      </x:c>
      <x:c r="H1115" s="8" t="n">
        <x:f>IF(F1115&lt;=9,1,0)</x:f>
        <x:v>0</x:v>
      </x:c>
      <x:c r="I1115" s="9" t="n">
        <x:f>MIN(10,F1114+IF(AR1114&gt;0,MIN(1,AS1114/AR1114),1))</x:f>
        <x:v>10</x:v>
      </x:c>
      <x:c r="J1115" s="32" t="n">
        <x:f>INDEX(tun_FoodCap,G1115)*Arch_FoodCap*EXP(tun_CapsByProject*SUMPRODUCT((Cap_Point&lt;=I1115)*(Cap_Kind="Food")*Cap_Ln))</x:f>
        <x:v>18627.260449441455</x:v>
      </x:c>
      <x:c r="K1115" s="32" t="n">
        <x:f>J1115*MIN(1,tun_LeanBase*EXP(tun_CapsByProject*SUMPRODUCT((Cap_Point&lt;=I1115)*(Cap_Kind="Lean")*Cap_Ln)))</x:f>
        <x:v>18627.260449441455</x:v>
      </x:c>
      <x:c r="L1115" s="10" t="n">
        <x:f>INDEX(tun_HousingCap,G1115)*EXP(tun_CapsByProject*SUMPRODUCT((Cap_Point&lt;=I1115)*(Cap_Kind="Housing")*Cap_Ln))</x:f>
        <x:v>20528.974303173167</x:v>
      </x:c>
      <x:c r="M1115" s="10" t="n">
        <x:f>INDEX(tun_GroupCap,G1115)*tun_CohesionFactor*EXP(tun_CapsByProject*SUMPRODUCT((Cap_Point&lt;=I1115)*(Cap_Kind="Group")*Cap_Ln))</x:f>
        <x:v>1000000.000000001</x:v>
      </x:c>
      <x:c r="N1115" s="32" t="n">
        <x:f>MIN(J1115,L1115,M1115)</x:f>
        <x:v>18627.260449441455</x:v>
      </x:c>
      <x:c r="O1115" s="10" t="n">
        <x:f>AE1114*N1115</x:f>
        <x:v>167645.34404497308</x:v>
      </x:c>
      <x:c r="P1115" s="9" t="n">
        <x:f>MIN(1,(AB1114/(AE1114*IF(tun_GroupInCrowding=1,N1115,MIN(J1115,L1115))))^tun_CrowdingExp)</x:f>
        <x:v>0.4215841981292809</x:v>
      </x:c>
      <x:c r="Q1115" s="9" t="n">
        <x:f>IF(D1115=1,INDEX(tun_WinterMult,G1115),1)</x:f>
        <x:v>1.05</x:v>
      </x:c>
      <x:c r="R1115" s="9" t="n">
        <x:f>H1115*Z1114*tun_WomenShare*tun_BaseFertility*INDEX(tun_FertMult,G1115)*Arch_Fertility*(1-P1115)</x:f>
        <x:v>0</x:v>
      </x:c>
      <x:c r="S1115" s="9" t="n">
        <x:f>H1115*Y1114*INDEX(tun_MortChild,G1115)/4*Q1115</x:f>
        <x:v>0</x:v>
      </x:c>
      <x:c r="T1115" s="9" t="n">
        <x:f>H1115*Z1114*INDEX(tun_MortAdult,G1115)*Arch_AdultMort/4*Q1115</x:f>
        <x:v>0</x:v>
      </x:c>
      <x:c r="U1115" s="9" t="n">
        <x:f>H1115*AA1114*INDEX(tun_MortElder,G1115)/4*Q1115</x:f>
        <x:v>0</x:v>
      </x:c>
      <x:c r="V1115" s="9" t="n">
        <x:f>H1115*MAX(0,AB1114-O1115)*tun_OvercapLoss</x:f>
        <x:v>0</x:v>
      </x:c>
      <x:c r="W1115" s="9" t="n">
        <x:f>H1115*Y1114/(tun_ChildYears*4)</x:f>
        <x:v>0</x:v>
      </x:c>
      <x:c r="X1115" s="9" t="n">
        <x:f>H1115*Z1114/(tun_AdultYears*4)</x:f>
        <x:v>0</x:v>
      </x:c>
      <x:c r="Y1115" s="32" t="n">
        <x:f>Y1114+R1115-S1115-W1115-Y1114*V1115/AB1114</x:f>
        <x:v>40496.20709015643</x:v>
      </x:c>
      <x:c r="Z1115" s="32" t="n">
        <x:f>Z1114+W1115-X1115-T1115-Z1114*V1115/AB1114</x:f>
        <x:v>59141.61122890803</x:v>
      </x:c>
      <x:c r="AA1115" s="32" t="n">
        <x:f>AA1114+X1115-U1115-AA1114*V1115/AB1114</x:f>
        <x:v>45530.62410925061</x:v>
      </x:c>
      <x:c r="AB1115" s="10" t="n">
        <x:f>Y1115+Z1115+AA1115</x:f>
        <x:v>145168.44242831506</x:v>
      </x:c>
      <x:c r="AC1115" s="8" t="n">
        <x:f>IF(AND(tun_WinterTrigger=1,D1115=1,AB1114/AE1114&gt;=K1115),1,0)</x:f>
        <x:v>0</x:v>
      </x:c>
      <x:c r="AD1115" s="8" t="n">
        <x:f>H1115*IF(AND(OR(AB1114/AE1114&gt;=tun_FissionTrigger*N1115,AC1115=1),AB1114/AE1114*tun_DaughterShare&gt;=tun_MinDaughter),MAX(1,ROUND(AE1114*tun_FissionRate,0)),0)</x:f>
        <x:v>0</x:v>
      </x:c>
      <x:c r="AE1115" s="8" t="n">
        <x:f>IF(H1115=1,MAX(1,MIN(INDEX(tun_Smax,G1115),AE1114+AD1115)),AE1114)</x:f>
        <x:v>9</x:v>
      </x:c>
      <x:c r="AF1115" s="8" t="n">
        <x:f>MAX(0,AE1115-AE1114)</x:f>
        <x:v>0</x:v>
      </x:c>
      <x:c r="AG1115" s="9" t="str">
        <x:f>IF(AF1115&gt;0,B1115,"")</x:f>
      </x:c>
      <x:c r="AH1115" s="9" t="n">
        <x:f>IF(F1115&gt;=1,1,(1+tun_LowTiesShare*(AE1115-1))/AE1115)</x:f>
        <x:v>1</x:v>
      </x:c>
      <x:c r="AI1115" s="32" t="n">
        <x:f>(Z1115+tun_ElderCommons*INDEX(LM_Elder,G1115)*AA1115)*AH1115</x:f>
        <x:v>238215.0665857503</x:v>
      </x:c>
      <x:c r="AJ1115" s="32" t="n">
        <x:f>H1115*tun_CommonsCoef*AI1115^tun_CommonsExp*INDEX(LM_Commons,G1115)</x:f>
        <x:v>0</x:v>
      </x:c>
      <x:c r="AK1115" s="32" t="n">
        <x:f>H1115*tun_RoleScale*Arch_Roles*(AE1115*(INDEX(tun_ElderRolePerSett,G1115)*tun_OutElder*INDEX(LM_Elder,G1115)+INDEX(tun_ShamanPerSett,G1115)*tun_OutShaman)+Z1115*(INDEX(tun_PriestShare,G1115)*tun_OutPriest+INDEX(tun_ScribeShare,G1115)*tun_OutScribe*INDEX(LM_Scribe,G1115)+INDEX(tun_ScholarShare,G1115)*tun_OutScholar*INDEX(LM_Scholar,G1115)+INDEX(tun_ResearcherShare,G1115)*tun_OutResearcher*INDEX(LM_Researcher,G1115)))</x:f>
        <x:v>0</x:v>
      </x:c>
      <x:c r="AL1115" s="32" t="n">
        <x:f>H1115*tun_RoleScale*Arch_Roles*AE1115*INDEX(tun_MonasteryPerSett,G1115)*tun_OutMonastery*INDEX(LM_Monastery,G1115)</x:f>
        <x:v>0</x:v>
      </x:c>
      <x:c r="AM1115" s="32" t="n">
        <x:f>(AJ1115+AK1115+AL1115)/4*INDEX(LM_All,G1115)*INDEX(tun_Boon,G1115)*Arch_Insight</x:f>
        <x:v>0</x:v>
      </x:c>
      <x:c r="AN1115" s="32" t="n">
        <x:f>H1115*(tun_KHPerAdult*Z1115+tun_KHOfCommons*AJ1115/4*INDEX(LM_All,G1115))*tun_KHUsable*Arch_KH</x:f>
        <x:v>0</x:v>
      </x:c>
      <x:c r="AO1115" s="32" t="n">
        <x:f>MIN(AP1114+AN1115,AM1115*tun_KHMaxRatio)</x:f>
        <x:v>0</x:v>
      </x:c>
      <x:c r="AP1115" s="32" t="n">
        <x:f>AP1114+AN1115-AO1115</x:f>
        <x:v>0</x:v>
      </x:c>
      <x:c r="AQ1115" s="32" t="n">
        <x:f>AM1115+AO1115</x:f>
        <x:v>0</x:v>
      </x:c>
      <x:c r="AR1115" s="10" t="n">
        <x:f>IF(H1115=1,INDEX(tun_Req,G1115),0)</x:f>
        <x:v>0</x:v>
      </x:c>
      <x:c r="AS1115" s="32" t="n">
        <x:f>IF(H1115=1,IF(E1115=1,AS1114-AR1114,AS1114)+AQ1115,0)</x:f>
        <x:v>0</x:v>
      </x:c>
      <x:c r="AT1115" s="11" t="n">
        <x:f>IF(AR1115&gt;0,MIN(1,AS1115/AR1115),1)</x:f>
        <x:v>1</x:v>
      </x:c>
      <x:c r="AU1115" s="10" t="n">
        <x:f>AB1115/INDEX(tun_RepScale,G1115)</x:f>
        <x:v>290.3368848566301</x:v>
      </x:c>
      <x:c r="AV1115" s="32" t="n">
        <x:f>AM1115*60/tun_SeasonSeconds</x:f>
        <x:v>0</x:v>
      </x:c>
    </x:row>
    <x:row r="1116">
      <x:c r="A1116" s="8" t="n">
        <x:f>A1115+1</x:f>
        <x:v>1113</x:v>
      </x:c>
      <x:c r="B1116" s="9" t="n">
        <x:f>A1116*tun_SeasonSeconds/60</x:f>
        <x:v>278.25</x:v>
      </x:c>
      <x:c r="C1116" s="9" t="n">
        <x:f>A1116/4</x:f>
        <x:v>278.25</x:v>
      </x:c>
      <x:c r="D1116" s="8" t="n">
        <x:f>IF(MOD(A1116,4)=0,1,0)</x:f>
        <x:v>0</x:v>
      </x:c>
      <x:c r="E1116" s="8" t="n">
        <x:f>IF(AND(F1115&lt;=9,AS1115&gt;=AR1115),1,0)</x:f>
        <x:v>0</x:v>
      </x:c>
      <x:c r="F1116" s="8" t="n">
        <x:f>MIN(10,F1115+E1116)</x:f>
        <x:v>10</x:v>
      </x:c>
      <x:c r="G1116" s="8" t="n">
        <x:f>MIN(F1116,9)+1</x:f>
        <x:v>10</x:v>
      </x:c>
      <x:c r="H1116" s="8" t="n">
        <x:f>IF(F1116&lt;=9,1,0)</x:f>
        <x:v>0</x:v>
      </x:c>
      <x:c r="I1116" s="9" t="n">
        <x:f>MIN(10,F1115+IF(AR1115&gt;0,MIN(1,AS1115/AR1115),1))</x:f>
        <x:v>10</x:v>
      </x:c>
      <x:c r="J1116" s="32" t="n">
        <x:f>INDEX(tun_FoodCap,G1116)*Arch_FoodCap*EXP(tun_CapsByProject*SUMPRODUCT((Cap_Point&lt;=I1116)*(Cap_Kind="Food")*Cap_Ln))</x:f>
        <x:v>18627.260449441455</x:v>
      </x:c>
      <x:c r="K1116" s="32" t="n">
        <x:f>J1116*MIN(1,tun_LeanBase*EXP(tun_CapsByProject*SUMPRODUCT((Cap_Point&lt;=I1116)*(Cap_Kind="Lean")*Cap_Ln)))</x:f>
        <x:v>18627.260449441455</x:v>
      </x:c>
      <x:c r="L1116" s="10" t="n">
        <x:f>INDEX(tun_HousingCap,G1116)*EXP(tun_CapsByProject*SUMPRODUCT((Cap_Point&lt;=I1116)*(Cap_Kind="Housing")*Cap_Ln))</x:f>
        <x:v>20528.974303173167</x:v>
      </x:c>
      <x:c r="M1116" s="10" t="n">
        <x:f>INDEX(tun_GroupCap,G1116)*tun_CohesionFactor*EXP(tun_CapsByProject*SUMPRODUCT((Cap_Point&lt;=I1116)*(Cap_Kind="Group")*Cap_Ln))</x:f>
        <x:v>1000000.000000001</x:v>
      </x:c>
      <x:c r="N1116" s="32" t="n">
        <x:f>MIN(J1116,L1116,M1116)</x:f>
        <x:v>18627.260449441455</x:v>
      </x:c>
      <x:c r="O1116" s="10" t="n">
        <x:f>AE1115*N1116</x:f>
        <x:v>167645.34404497308</x:v>
      </x:c>
      <x:c r="P1116" s="9" t="n">
        <x:f>MIN(1,(AB1115/(AE1115*IF(tun_GroupInCrowding=1,N1116,MIN(J1116,L1116))))^tun_CrowdingExp)</x:f>
        <x:v>0.4215841981292809</x:v>
      </x:c>
      <x:c r="Q1116" s="9" t="n">
        <x:f>IF(D1116=1,INDEX(tun_WinterMult,G1116),1)</x:f>
        <x:v>1</x:v>
      </x:c>
      <x:c r="R1116" s="9" t="n">
        <x:f>H1116*Z1115*tun_WomenShare*tun_BaseFertility*INDEX(tun_FertMult,G1116)*Arch_Fertility*(1-P1116)</x:f>
        <x:v>0</x:v>
      </x:c>
      <x:c r="S1116" s="9" t="n">
        <x:f>H1116*Y1115*INDEX(tun_MortChild,G1116)/4*Q1116</x:f>
        <x:v>0</x:v>
      </x:c>
      <x:c r="T1116" s="9" t="n">
        <x:f>H1116*Z1115*INDEX(tun_MortAdult,G1116)*Arch_AdultMort/4*Q1116</x:f>
        <x:v>0</x:v>
      </x:c>
      <x:c r="U1116" s="9" t="n">
        <x:f>H1116*AA1115*INDEX(tun_MortElder,G1116)/4*Q1116</x:f>
        <x:v>0</x:v>
      </x:c>
      <x:c r="V1116" s="9" t="n">
        <x:f>H1116*MAX(0,AB1115-O1116)*tun_OvercapLoss</x:f>
        <x:v>0</x:v>
      </x:c>
      <x:c r="W1116" s="9" t="n">
        <x:f>H1116*Y1115/(tun_ChildYears*4)</x:f>
        <x:v>0</x:v>
      </x:c>
      <x:c r="X1116" s="9" t="n">
        <x:f>H1116*Z1115/(tun_AdultYears*4)</x:f>
        <x:v>0</x:v>
      </x:c>
      <x:c r="Y1116" s="32" t="n">
        <x:f>Y1115+R1116-S1116-W1116-Y1115*V1116/AB1115</x:f>
        <x:v>40496.20709015643</x:v>
      </x:c>
      <x:c r="Z1116" s="32" t="n">
        <x:f>Z1115+W1116-X1116-T1116-Z1115*V1116/AB1115</x:f>
        <x:v>59141.61122890803</x:v>
      </x:c>
      <x:c r="AA1116" s="32" t="n">
        <x:f>AA1115+X1116-U1116-AA1115*V1116/AB1115</x:f>
        <x:v>45530.62410925061</x:v>
      </x:c>
      <x:c r="AB1116" s="10" t="n">
        <x:f>Y1116+Z1116+AA1116</x:f>
        <x:v>145168.44242831506</x:v>
      </x:c>
      <x:c r="AC1116" s="8" t="n">
        <x:f>IF(AND(tun_WinterTrigger=1,D1116=1,AB1115/AE1115&gt;=K1116),1,0)</x:f>
        <x:v>0</x:v>
      </x:c>
      <x:c r="AD1116" s="8" t="n">
        <x:f>H1116*IF(AND(OR(AB1115/AE1115&gt;=tun_FissionTrigger*N1116,AC1116=1),AB1115/AE1115*tun_DaughterShare&gt;=tun_MinDaughter),MAX(1,ROUND(AE1115*tun_FissionRate,0)),0)</x:f>
        <x:v>0</x:v>
      </x:c>
      <x:c r="AE1116" s="8" t="n">
        <x:f>IF(H1116=1,MAX(1,MIN(INDEX(tun_Smax,G1116),AE1115+AD1116)),AE1115)</x:f>
        <x:v>9</x:v>
      </x:c>
      <x:c r="AF1116" s="8" t="n">
        <x:f>MAX(0,AE1116-AE1115)</x:f>
        <x:v>0</x:v>
      </x:c>
      <x:c r="AG1116" s="9" t="str">
        <x:f>IF(AF1116&gt;0,B1116,"")</x:f>
      </x:c>
      <x:c r="AH1116" s="9" t="n">
        <x:f>IF(F1116&gt;=1,1,(1+tun_LowTiesShare*(AE1116-1))/AE1116)</x:f>
        <x:v>1</x:v>
      </x:c>
      <x:c r="AI1116" s="32" t="n">
        <x:f>(Z1116+tun_ElderCommons*INDEX(LM_Elder,G1116)*AA1116)*AH1116</x:f>
        <x:v>238215.0665857503</x:v>
      </x:c>
      <x:c r="AJ1116" s="32" t="n">
        <x:f>H1116*tun_CommonsCoef*AI1116^tun_CommonsExp*INDEX(LM_Commons,G1116)</x:f>
        <x:v>0</x:v>
      </x:c>
      <x:c r="AK1116" s="32" t="n">
        <x:f>H1116*tun_RoleScale*Arch_Roles*(AE1116*(INDEX(tun_ElderRolePerSett,G1116)*tun_OutElder*INDEX(LM_Elder,G1116)+INDEX(tun_ShamanPerSett,G1116)*tun_OutShaman)+Z1116*(INDEX(tun_PriestShare,G1116)*tun_OutPriest+INDEX(tun_ScribeShare,G1116)*tun_OutScribe*INDEX(LM_Scribe,G1116)+INDEX(tun_ScholarShare,G1116)*tun_OutScholar*INDEX(LM_Scholar,G1116)+INDEX(tun_ResearcherShare,G1116)*tun_OutResearcher*INDEX(LM_Researcher,G1116)))</x:f>
        <x:v>0</x:v>
      </x:c>
      <x:c r="AL1116" s="32" t="n">
        <x:f>H1116*tun_RoleScale*Arch_Roles*AE1116*INDEX(tun_MonasteryPerSett,G1116)*tun_OutMonastery*INDEX(LM_Monastery,G1116)</x:f>
        <x:v>0</x:v>
      </x:c>
      <x:c r="AM1116" s="32" t="n">
        <x:f>(AJ1116+AK1116+AL1116)/4*INDEX(LM_All,G1116)*INDEX(tun_Boon,G1116)*Arch_Insight</x:f>
        <x:v>0</x:v>
      </x:c>
      <x:c r="AN1116" s="32" t="n">
        <x:f>H1116*(tun_KHPerAdult*Z1116+tun_KHOfCommons*AJ1116/4*INDEX(LM_All,G1116))*tun_KHUsable*Arch_KH</x:f>
        <x:v>0</x:v>
      </x:c>
      <x:c r="AO1116" s="32" t="n">
        <x:f>MIN(AP1115+AN1116,AM1116*tun_KHMaxRatio)</x:f>
        <x:v>0</x:v>
      </x:c>
      <x:c r="AP1116" s="32" t="n">
        <x:f>AP1115+AN1116-AO1116</x:f>
        <x:v>0</x:v>
      </x:c>
      <x:c r="AQ1116" s="32" t="n">
        <x:f>AM1116+AO1116</x:f>
        <x:v>0</x:v>
      </x:c>
      <x:c r="AR1116" s="10" t="n">
        <x:f>IF(H1116=1,INDEX(tun_Req,G1116),0)</x:f>
        <x:v>0</x:v>
      </x:c>
      <x:c r="AS1116" s="32" t="n">
        <x:f>IF(H1116=1,IF(E1116=1,AS1115-AR1115,AS1115)+AQ1116,0)</x:f>
        <x:v>0</x:v>
      </x:c>
      <x:c r="AT1116" s="11" t="n">
        <x:f>IF(AR1116&gt;0,MIN(1,AS1116/AR1116),1)</x:f>
        <x:v>1</x:v>
      </x:c>
      <x:c r="AU1116" s="10" t="n">
        <x:f>AB1116/INDEX(tun_RepScale,G1116)</x:f>
        <x:v>290.3368848566301</x:v>
      </x:c>
      <x:c r="AV1116" s="32" t="n">
        <x:f>AM1116*60/tun_SeasonSeconds</x:f>
        <x:v>0</x:v>
      </x:c>
    </x:row>
    <x:row r="1117">
      <x:c r="A1117" s="8" t="n">
        <x:f>A1116+1</x:f>
        <x:v>1114</x:v>
      </x:c>
      <x:c r="B1117" s="9" t="n">
        <x:f>A1117*tun_SeasonSeconds/60</x:f>
        <x:v>278.5</x:v>
      </x:c>
      <x:c r="C1117" s="9" t="n">
        <x:f>A1117/4</x:f>
        <x:v>278.5</x:v>
      </x:c>
      <x:c r="D1117" s="8" t="n">
        <x:f>IF(MOD(A1117,4)=0,1,0)</x:f>
        <x:v>0</x:v>
      </x:c>
      <x:c r="E1117" s="8" t="n">
        <x:f>IF(AND(F1116&lt;=9,AS1116&gt;=AR1116),1,0)</x:f>
        <x:v>0</x:v>
      </x:c>
      <x:c r="F1117" s="8" t="n">
        <x:f>MIN(10,F1116+E1117)</x:f>
        <x:v>10</x:v>
      </x:c>
      <x:c r="G1117" s="8" t="n">
        <x:f>MIN(F1117,9)+1</x:f>
        <x:v>10</x:v>
      </x:c>
      <x:c r="H1117" s="8" t="n">
        <x:f>IF(F1117&lt;=9,1,0)</x:f>
        <x:v>0</x:v>
      </x:c>
      <x:c r="I1117" s="9" t="n">
        <x:f>MIN(10,F1116+IF(AR1116&gt;0,MIN(1,AS1116/AR1116),1))</x:f>
        <x:v>10</x:v>
      </x:c>
      <x:c r="J1117" s="32" t="n">
        <x:f>INDEX(tun_FoodCap,G1117)*Arch_FoodCap*EXP(tun_CapsByProject*SUMPRODUCT((Cap_Point&lt;=I1117)*(Cap_Kind="Food")*Cap_Ln))</x:f>
        <x:v>18627.260449441455</x:v>
      </x:c>
      <x:c r="K1117" s="32" t="n">
        <x:f>J1117*MIN(1,tun_LeanBase*EXP(tun_CapsByProject*SUMPRODUCT((Cap_Point&lt;=I1117)*(Cap_Kind="Lean")*Cap_Ln)))</x:f>
        <x:v>18627.260449441455</x:v>
      </x:c>
      <x:c r="L1117" s="10" t="n">
        <x:f>INDEX(tun_HousingCap,G1117)*EXP(tun_CapsByProject*SUMPRODUCT((Cap_Point&lt;=I1117)*(Cap_Kind="Housing")*Cap_Ln))</x:f>
        <x:v>20528.974303173167</x:v>
      </x:c>
      <x:c r="M1117" s="10" t="n">
        <x:f>INDEX(tun_GroupCap,G1117)*tun_CohesionFactor*EXP(tun_CapsByProject*SUMPRODUCT((Cap_Point&lt;=I1117)*(Cap_Kind="Group")*Cap_Ln))</x:f>
        <x:v>1000000.000000001</x:v>
      </x:c>
      <x:c r="N1117" s="32" t="n">
        <x:f>MIN(J1117,L1117,M1117)</x:f>
        <x:v>18627.260449441455</x:v>
      </x:c>
      <x:c r="O1117" s="10" t="n">
        <x:f>AE1116*N1117</x:f>
        <x:v>167645.34404497308</x:v>
      </x:c>
      <x:c r="P1117" s="9" t="n">
        <x:f>MIN(1,(AB1116/(AE1116*IF(tun_GroupInCrowding=1,N1117,MIN(J1117,L1117))))^tun_CrowdingExp)</x:f>
        <x:v>0.4215841981292809</x:v>
      </x:c>
      <x:c r="Q1117" s="9" t="n">
        <x:f>IF(D1117=1,INDEX(tun_WinterMult,G1117),1)</x:f>
        <x:v>1</x:v>
      </x:c>
      <x:c r="R1117" s="9" t="n">
        <x:f>H1117*Z1116*tun_WomenShare*tun_BaseFertility*INDEX(tun_FertMult,G1117)*Arch_Fertility*(1-P1117)</x:f>
        <x:v>0</x:v>
      </x:c>
      <x:c r="S1117" s="9" t="n">
        <x:f>H1117*Y1116*INDEX(tun_MortChild,G1117)/4*Q1117</x:f>
        <x:v>0</x:v>
      </x:c>
      <x:c r="T1117" s="9" t="n">
        <x:f>H1117*Z1116*INDEX(tun_MortAdult,G1117)*Arch_AdultMort/4*Q1117</x:f>
        <x:v>0</x:v>
      </x:c>
      <x:c r="U1117" s="9" t="n">
        <x:f>H1117*AA1116*INDEX(tun_MortElder,G1117)/4*Q1117</x:f>
        <x:v>0</x:v>
      </x:c>
      <x:c r="V1117" s="9" t="n">
        <x:f>H1117*MAX(0,AB1116-O1117)*tun_OvercapLoss</x:f>
        <x:v>0</x:v>
      </x:c>
      <x:c r="W1117" s="9" t="n">
        <x:f>H1117*Y1116/(tun_ChildYears*4)</x:f>
        <x:v>0</x:v>
      </x:c>
      <x:c r="X1117" s="9" t="n">
        <x:f>H1117*Z1116/(tun_AdultYears*4)</x:f>
        <x:v>0</x:v>
      </x:c>
      <x:c r="Y1117" s="32" t="n">
        <x:f>Y1116+R1117-S1117-W1117-Y1116*V1117/AB1116</x:f>
        <x:v>40496.20709015643</x:v>
      </x:c>
      <x:c r="Z1117" s="32" t="n">
        <x:f>Z1116+W1117-X1117-T1117-Z1116*V1117/AB1116</x:f>
        <x:v>59141.61122890803</x:v>
      </x:c>
      <x:c r="AA1117" s="32" t="n">
        <x:f>AA1116+X1117-U1117-AA1116*V1117/AB1116</x:f>
        <x:v>45530.62410925061</x:v>
      </x:c>
      <x:c r="AB1117" s="10" t="n">
        <x:f>Y1117+Z1117+AA1117</x:f>
        <x:v>145168.44242831506</x:v>
      </x:c>
      <x:c r="AC1117" s="8" t="n">
        <x:f>IF(AND(tun_WinterTrigger=1,D1117=1,AB1116/AE1116&gt;=K1117),1,0)</x:f>
        <x:v>0</x:v>
      </x:c>
      <x:c r="AD1117" s="8" t="n">
        <x:f>H1117*IF(AND(OR(AB1116/AE1116&gt;=tun_FissionTrigger*N1117,AC1117=1),AB1116/AE1116*tun_DaughterShare&gt;=tun_MinDaughter),MAX(1,ROUND(AE1116*tun_FissionRate,0)),0)</x:f>
        <x:v>0</x:v>
      </x:c>
      <x:c r="AE1117" s="8" t="n">
        <x:f>IF(H1117=1,MAX(1,MIN(INDEX(tun_Smax,G1117),AE1116+AD1117)),AE1116)</x:f>
        <x:v>9</x:v>
      </x:c>
      <x:c r="AF1117" s="8" t="n">
        <x:f>MAX(0,AE1117-AE1116)</x:f>
        <x:v>0</x:v>
      </x:c>
      <x:c r="AG1117" s="9" t="str">
        <x:f>IF(AF1117&gt;0,B1117,"")</x:f>
      </x:c>
      <x:c r="AH1117" s="9" t="n">
        <x:f>IF(F1117&gt;=1,1,(1+tun_LowTiesShare*(AE1117-1))/AE1117)</x:f>
        <x:v>1</x:v>
      </x:c>
      <x:c r="AI1117" s="32" t="n">
        <x:f>(Z1117+tun_ElderCommons*INDEX(LM_Elder,G1117)*AA1117)*AH1117</x:f>
        <x:v>238215.0665857503</x:v>
      </x:c>
      <x:c r="AJ1117" s="32" t="n">
        <x:f>H1117*tun_CommonsCoef*AI1117^tun_CommonsExp*INDEX(LM_Commons,G1117)</x:f>
        <x:v>0</x:v>
      </x:c>
      <x:c r="AK1117" s="32" t="n">
        <x:f>H1117*tun_RoleScale*Arch_Roles*(AE1117*(INDEX(tun_ElderRolePerSett,G1117)*tun_OutElder*INDEX(LM_Elder,G1117)+INDEX(tun_ShamanPerSett,G1117)*tun_OutShaman)+Z1117*(INDEX(tun_PriestShare,G1117)*tun_OutPriest+INDEX(tun_ScribeShare,G1117)*tun_OutScribe*INDEX(LM_Scribe,G1117)+INDEX(tun_ScholarShare,G1117)*tun_OutScholar*INDEX(LM_Scholar,G1117)+INDEX(tun_ResearcherShare,G1117)*tun_OutResearcher*INDEX(LM_Researcher,G1117)))</x:f>
        <x:v>0</x:v>
      </x:c>
      <x:c r="AL1117" s="32" t="n">
        <x:f>H1117*tun_RoleScale*Arch_Roles*AE1117*INDEX(tun_MonasteryPerSett,G1117)*tun_OutMonastery*INDEX(LM_Monastery,G1117)</x:f>
        <x:v>0</x:v>
      </x:c>
      <x:c r="AM1117" s="32" t="n">
        <x:f>(AJ1117+AK1117+AL1117)/4*INDEX(LM_All,G1117)*INDEX(tun_Boon,G1117)*Arch_Insight</x:f>
        <x:v>0</x:v>
      </x:c>
      <x:c r="AN1117" s="32" t="n">
        <x:f>H1117*(tun_KHPerAdult*Z1117+tun_KHOfCommons*AJ1117/4*INDEX(LM_All,G1117))*tun_KHUsable*Arch_KH</x:f>
        <x:v>0</x:v>
      </x:c>
      <x:c r="AO1117" s="32" t="n">
        <x:f>MIN(AP1116+AN1117,AM1117*tun_KHMaxRatio)</x:f>
        <x:v>0</x:v>
      </x:c>
      <x:c r="AP1117" s="32" t="n">
        <x:f>AP1116+AN1117-AO1117</x:f>
        <x:v>0</x:v>
      </x:c>
      <x:c r="AQ1117" s="32" t="n">
        <x:f>AM1117+AO1117</x:f>
        <x:v>0</x:v>
      </x:c>
      <x:c r="AR1117" s="10" t="n">
        <x:f>IF(H1117=1,INDEX(tun_Req,G1117),0)</x:f>
        <x:v>0</x:v>
      </x:c>
      <x:c r="AS1117" s="32" t="n">
        <x:f>IF(H1117=1,IF(E1117=1,AS1116-AR1116,AS1116)+AQ1117,0)</x:f>
        <x:v>0</x:v>
      </x:c>
      <x:c r="AT1117" s="11" t="n">
        <x:f>IF(AR1117&gt;0,MIN(1,AS1117/AR1117),1)</x:f>
        <x:v>1</x:v>
      </x:c>
      <x:c r="AU1117" s="10" t="n">
        <x:f>AB1117/INDEX(tun_RepScale,G1117)</x:f>
        <x:v>290.3368848566301</x:v>
      </x:c>
      <x:c r="AV1117" s="32" t="n">
        <x:f>AM1117*60/tun_SeasonSeconds</x:f>
        <x:v>0</x:v>
      </x:c>
    </x:row>
    <x:row r="1118">
      <x:c r="A1118" s="8" t="n">
        <x:f>A1117+1</x:f>
        <x:v>1115</x:v>
      </x:c>
      <x:c r="B1118" s="9" t="n">
        <x:f>A1118*tun_SeasonSeconds/60</x:f>
        <x:v>278.75</x:v>
      </x:c>
      <x:c r="C1118" s="9" t="n">
        <x:f>A1118/4</x:f>
        <x:v>278.75</x:v>
      </x:c>
      <x:c r="D1118" s="8" t="n">
        <x:f>IF(MOD(A1118,4)=0,1,0)</x:f>
        <x:v>0</x:v>
      </x:c>
      <x:c r="E1118" s="8" t="n">
        <x:f>IF(AND(F1117&lt;=9,AS1117&gt;=AR1117),1,0)</x:f>
        <x:v>0</x:v>
      </x:c>
      <x:c r="F1118" s="8" t="n">
        <x:f>MIN(10,F1117+E1118)</x:f>
        <x:v>10</x:v>
      </x:c>
      <x:c r="G1118" s="8" t="n">
        <x:f>MIN(F1118,9)+1</x:f>
        <x:v>10</x:v>
      </x:c>
      <x:c r="H1118" s="8" t="n">
        <x:f>IF(F1118&lt;=9,1,0)</x:f>
        <x:v>0</x:v>
      </x:c>
      <x:c r="I1118" s="9" t="n">
        <x:f>MIN(10,F1117+IF(AR1117&gt;0,MIN(1,AS1117/AR1117),1))</x:f>
        <x:v>10</x:v>
      </x:c>
      <x:c r="J1118" s="32" t="n">
        <x:f>INDEX(tun_FoodCap,G1118)*Arch_FoodCap*EXP(tun_CapsByProject*SUMPRODUCT((Cap_Point&lt;=I1118)*(Cap_Kind="Food")*Cap_Ln))</x:f>
        <x:v>18627.260449441455</x:v>
      </x:c>
      <x:c r="K1118" s="32" t="n">
        <x:f>J1118*MIN(1,tun_LeanBase*EXP(tun_CapsByProject*SUMPRODUCT((Cap_Point&lt;=I1118)*(Cap_Kind="Lean")*Cap_Ln)))</x:f>
        <x:v>18627.260449441455</x:v>
      </x:c>
      <x:c r="L1118" s="10" t="n">
        <x:f>INDEX(tun_HousingCap,G1118)*EXP(tun_CapsByProject*SUMPRODUCT((Cap_Point&lt;=I1118)*(Cap_Kind="Housing")*Cap_Ln))</x:f>
        <x:v>20528.974303173167</x:v>
      </x:c>
      <x:c r="M1118" s="10" t="n">
        <x:f>INDEX(tun_GroupCap,G1118)*tun_CohesionFactor*EXP(tun_CapsByProject*SUMPRODUCT((Cap_Point&lt;=I1118)*(Cap_Kind="Group")*Cap_Ln))</x:f>
        <x:v>1000000.000000001</x:v>
      </x:c>
      <x:c r="N1118" s="32" t="n">
        <x:f>MIN(J1118,L1118,M1118)</x:f>
        <x:v>18627.260449441455</x:v>
      </x:c>
      <x:c r="O1118" s="10" t="n">
        <x:f>AE1117*N1118</x:f>
        <x:v>167645.34404497308</x:v>
      </x:c>
      <x:c r="P1118" s="9" t="n">
        <x:f>MIN(1,(AB1117/(AE1117*IF(tun_GroupInCrowding=1,N1118,MIN(J1118,L1118))))^tun_CrowdingExp)</x:f>
        <x:v>0.4215841981292809</x:v>
      </x:c>
      <x:c r="Q1118" s="9" t="n">
        <x:f>IF(D1118=1,INDEX(tun_WinterMult,G1118),1)</x:f>
        <x:v>1</x:v>
      </x:c>
      <x:c r="R1118" s="9" t="n">
        <x:f>H1118*Z1117*tun_WomenShare*tun_BaseFertility*INDEX(tun_FertMult,G1118)*Arch_Fertility*(1-P1118)</x:f>
        <x:v>0</x:v>
      </x:c>
      <x:c r="S1118" s="9" t="n">
        <x:f>H1118*Y1117*INDEX(tun_MortChild,G1118)/4*Q1118</x:f>
        <x:v>0</x:v>
      </x:c>
      <x:c r="T1118" s="9" t="n">
        <x:f>H1118*Z1117*INDEX(tun_MortAdult,G1118)*Arch_AdultMort/4*Q1118</x:f>
        <x:v>0</x:v>
      </x:c>
      <x:c r="U1118" s="9" t="n">
        <x:f>H1118*AA1117*INDEX(tun_MortElder,G1118)/4*Q1118</x:f>
        <x:v>0</x:v>
      </x:c>
      <x:c r="V1118" s="9" t="n">
        <x:f>H1118*MAX(0,AB1117-O1118)*tun_OvercapLoss</x:f>
        <x:v>0</x:v>
      </x:c>
      <x:c r="W1118" s="9" t="n">
        <x:f>H1118*Y1117/(tun_ChildYears*4)</x:f>
        <x:v>0</x:v>
      </x:c>
      <x:c r="X1118" s="9" t="n">
        <x:f>H1118*Z1117/(tun_AdultYears*4)</x:f>
        <x:v>0</x:v>
      </x:c>
      <x:c r="Y1118" s="32" t="n">
        <x:f>Y1117+R1118-S1118-W1118-Y1117*V1118/AB1117</x:f>
        <x:v>40496.20709015643</x:v>
      </x:c>
      <x:c r="Z1118" s="32" t="n">
        <x:f>Z1117+W1118-X1118-T1118-Z1117*V1118/AB1117</x:f>
        <x:v>59141.61122890803</x:v>
      </x:c>
      <x:c r="AA1118" s="32" t="n">
        <x:f>AA1117+X1118-U1118-AA1117*V1118/AB1117</x:f>
        <x:v>45530.62410925061</x:v>
      </x:c>
      <x:c r="AB1118" s="10" t="n">
        <x:f>Y1118+Z1118+AA1118</x:f>
        <x:v>145168.44242831506</x:v>
      </x:c>
      <x:c r="AC1118" s="8" t="n">
        <x:f>IF(AND(tun_WinterTrigger=1,D1118=1,AB1117/AE1117&gt;=K1118),1,0)</x:f>
        <x:v>0</x:v>
      </x:c>
      <x:c r="AD1118" s="8" t="n">
        <x:f>H1118*IF(AND(OR(AB1117/AE1117&gt;=tun_FissionTrigger*N1118,AC1118=1),AB1117/AE1117*tun_DaughterShare&gt;=tun_MinDaughter),MAX(1,ROUND(AE1117*tun_FissionRate,0)),0)</x:f>
        <x:v>0</x:v>
      </x:c>
      <x:c r="AE1118" s="8" t="n">
        <x:f>IF(H1118=1,MAX(1,MIN(INDEX(tun_Smax,G1118),AE1117+AD1118)),AE1117)</x:f>
        <x:v>9</x:v>
      </x:c>
      <x:c r="AF1118" s="8" t="n">
        <x:f>MAX(0,AE1118-AE1117)</x:f>
        <x:v>0</x:v>
      </x:c>
      <x:c r="AG1118" s="9" t="str">
        <x:f>IF(AF1118&gt;0,B1118,"")</x:f>
      </x:c>
      <x:c r="AH1118" s="9" t="n">
        <x:f>IF(F1118&gt;=1,1,(1+tun_LowTiesShare*(AE1118-1))/AE1118)</x:f>
        <x:v>1</x:v>
      </x:c>
      <x:c r="AI1118" s="32" t="n">
        <x:f>(Z1118+tun_ElderCommons*INDEX(LM_Elder,G1118)*AA1118)*AH1118</x:f>
        <x:v>238215.0665857503</x:v>
      </x:c>
      <x:c r="AJ1118" s="32" t="n">
        <x:f>H1118*tun_CommonsCoef*AI1118^tun_CommonsExp*INDEX(LM_Commons,G1118)</x:f>
        <x:v>0</x:v>
      </x:c>
      <x:c r="AK1118" s="32" t="n">
        <x:f>H1118*tun_RoleScale*Arch_Roles*(AE1118*(INDEX(tun_ElderRolePerSett,G1118)*tun_OutElder*INDEX(LM_Elder,G1118)+INDEX(tun_ShamanPerSett,G1118)*tun_OutShaman)+Z1118*(INDEX(tun_PriestShare,G1118)*tun_OutPriest+INDEX(tun_ScribeShare,G1118)*tun_OutScribe*INDEX(LM_Scribe,G1118)+INDEX(tun_ScholarShare,G1118)*tun_OutScholar*INDEX(LM_Scholar,G1118)+INDEX(tun_ResearcherShare,G1118)*tun_OutResearcher*INDEX(LM_Researcher,G1118)))</x:f>
        <x:v>0</x:v>
      </x:c>
      <x:c r="AL1118" s="32" t="n">
        <x:f>H1118*tun_RoleScale*Arch_Roles*AE1118*INDEX(tun_MonasteryPerSett,G1118)*tun_OutMonastery*INDEX(LM_Monastery,G1118)</x:f>
        <x:v>0</x:v>
      </x:c>
      <x:c r="AM1118" s="32" t="n">
        <x:f>(AJ1118+AK1118+AL1118)/4*INDEX(LM_All,G1118)*INDEX(tun_Boon,G1118)*Arch_Insight</x:f>
        <x:v>0</x:v>
      </x:c>
      <x:c r="AN1118" s="32" t="n">
        <x:f>H1118*(tun_KHPerAdult*Z1118+tun_KHOfCommons*AJ1118/4*INDEX(LM_All,G1118))*tun_KHUsable*Arch_KH</x:f>
        <x:v>0</x:v>
      </x:c>
      <x:c r="AO1118" s="32" t="n">
        <x:f>MIN(AP1117+AN1118,AM1118*tun_KHMaxRatio)</x:f>
        <x:v>0</x:v>
      </x:c>
      <x:c r="AP1118" s="32" t="n">
        <x:f>AP1117+AN1118-AO1118</x:f>
        <x:v>0</x:v>
      </x:c>
      <x:c r="AQ1118" s="32" t="n">
        <x:f>AM1118+AO1118</x:f>
        <x:v>0</x:v>
      </x:c>
      <x:c r="AR1118" s="10" t="n">
        <x:f>IF(H1118=1,INDEX(tun_Req,G1118),0)</x:f>
        <x:v>0</x:v>
      </x:c>
      <x:c r="AS1118" s="32" t="n">
        <x:f>IF(H1118=1,IF(E1118=1,AS1117-AR1117,AS1117)+AQ1118,0)</x:f>
        <x:v>0</x:v>
      </x:c>
      <x:c r="AT1118" s="11" t="n">
        <x:f>IF(AR1118&gt;0,MIN(1,AS1118/AR1118),1)</x:f>
        <x:v>1</x:v>
      </x:c>
      <x:c r="AU1118" s="10" t="n">
        <x:f>AB1118/INDEX(tun_RepScale,G1118)</x:f>
        <x:v>290.3368848566301</x:v>
      </x:c>
      <x:c r="AV1118" s="32" t="n">
        <x:f>AM1118*60/tun_SeasonSeconds</x:f>
        <x:v>0</x:v>
      </x:c>
    </x:row>
    <x:row r="1119">
      <x:c r="A1119" s="8" t="n">
        <x:f>A1118+1</x:f>
        <x:v>1116</x:v>
      </x:c>
      <x:c r="B1119" s="9" t="n">
        <x:f>A1119*tun_SeasonSeconds/60</x:f>
        <x:v>279</x:v>
      </x:c>
      <x:c r="C1119" s="9" t="n">
        <x:f>A1119/4</x:f>
        <x:v>279</x:v>
      </x:c>
      <x:c r="D1119" s="8" t="n">
        <x:f>IF(MOD(A1119,4)=0,1,0)</x:f>
        <x:v>1</x:v>
      </x:c>
      <x:c r="E1119" s="8" t="n">
        <x:f>IF(AND(F1118&lt;=9,AS1118&gt;=AR1118),1,0)</x:f>
        <x:v>0</x:v>
      </x:c>
      <x:c r="F1119" s="8" t="n">
        <x:f>MIN(10,F1118+E1119)</x:f>
        <x:v>10</x:v>
      </x:c>
      <x:c r="G1119" s="8" t="n">
        <x:f>MIN(F1119,9)+1</x:f>
        <x:v>10</x:v>
      </x:c>
      <x:c r="H1119" s="8" t="n">
        <x:f>IF(F1119&lt;=9,1,0)</x:f>
        <x:v>0</x:v>
      </x:c>
      <x:c r="I1119" s="9" t="n">
        <x:f>MIN(10,F1118+IF(AR1118&gt;0,MIN(1,AS1118/AR1118),1))</x:f>
        <x:v>10</x:v>
      </x:c>
      <x:c r="J1119" s="32" t="n">
        <x:f>INDEX(tun_FoodCap,G1119)*Arch_FoodCap*EXP(tun_CapsByProject*SUMPRODUCT((Cap_Point&lt;=I1119)*(Cap_Kind="Food")*Cap_Ln))</x:f>
        <x:v>18627.260449441455</x:v>
      </x:c>
      <x:c r="K1119" s="32" t="n">
        <x:f>J1119*MIN(1,tun_LeanBase*EXP(tun_CapsByProject*SUMPRODUCT((Cap_Point&lt;=I1119)*(Cap_Kind="Lean")*Cap_Ln)))</x:f>
        <x:v>18627.260449441455</x:v>
      </x:c>
      <x:c r="L1119" s="10" t="n">
        <x:f>INDEX(tun_HousingCap,G1119)*EXP(tun_CapsByProject*SUMPRODUCT((Cap_Point&lt;=I1119)*(Cap_Kind="Housing")*Cap_Ln))</x:f>
        <x:v>20528.974303173167</x:v>
      </x:c>
      <x:c r="M1119" s="10" t="n">
        <x:f>INDEX(tun_GroupCap,G1119)*tun_CohesionFactor*EXP(tun_CapsByProject*SUMPRODUCT((Cap_Point&lt;=I1119)*(Cap_Kind="Group")*Cap_Ln))</x:f>
        <x:v>1000000.000000001</x:v>
      </x:c>
      <x:c r="N1119" s="32" t="n">
        <x:f>MIN(J1119,L1119,M1119)</x:f>
        <x:v>18627.260449441455</x:v>
      </x:c>
      <x:c r="O1119" s="10" t="n">
        <x:f>AE1118*N1119</x:f>
        <x:v>167645.34404497308</x:v>
      </x:c>
      <x:c r="P1119" s="9" t="n">
        <x:f>MIN(1,(AB1118/(AE1118*IF(tun_GroupInCrowding=1,N1119,MIN(J1119,L1119))))^tun_CrowdingExp)</x:f>
        <x:v>0.4215841981292809</x:v>
      </x:c>
      <x:c r="Q1119" s="9" t="n">
        <x:f>IF(D1119=1,INDEX(tun_WinterMult,G1119),1)</x:f>
        <x:v>1.05</x:v>
      </x:c>
      <x:c r="R1119" s="9" t="n">
        <x:f>H1119*Z1118*tun_WomenShare*tun_BaseFertility*INDEX(tun_FertMult,G1119)*Arch_Fertility*(1-P1119)</x:f>
        <x:v>0</x:v>
      </x:c>
      <x:c r="S1119" s="9" t="n">
        <x:f>H1119*Y1118*INDEX(tun_MortChild,G1119)/4*Q1119</x:f>
        <x:v>0</x:v>
      </x:c>
      <x:c r="T1119" s="9" t="n">
        <x:f>H1119*Z1118*INDEX(tun_MortAdult,G1119)*Arch_AdultMort/4*Q1119</x:f>
        <x:v>0</x:v>
      </x:c>
      <x:c r="U1119" s="9" t="n">
        <x:f>H1119*AA1118*INDEX(tun_MortElder,G1119)/4*Q1119</x:f>
        <x:v>0</x:v>
      </x:c>
      <x:c r="V1119" s="9" t="n">
        <x:f>H1119*MAX(0,AB1118-O1119)*tun_OvercapLoss</x:f>
        <x:v>0</x:v>
      </x:c>
      <x:c r="W1119" s="9" t="n">
        <x:f>H1119*Y1118/(tun_ChildYears*4)</x:f>
        <x:v>0</x:v>
      </x:c>
      <x:c r="X1119" s="9" t="n">
        <x:f>H1119*Z1118/(tun_AdultYears*4)</x:f>
        <x:v>0</x:v>
      </x:c>
      <x:c r="Y1119" s="32" t="n">
        <x:f>Y1118+R1119-S1119-W1119-Y1118*V1119/AB1118</x:f>
        <x:v>40496.20709015643</x:v>
      </x:c>
      <x:c r="Z1119" s="32" t="n">
        <x:f>Z1118+W1119-X1119-T1119-Z1118*V1119/AB1118</x:f>
        <x:v>59141.61122890803</x:v>
      </x:c>
      <x:c r="AA1119" s="32" t="n">
        <x:f>AA1118+X1119-U1119-AA1118*V1119/AB1118</x:f>
        <x:v>45530.62410925061</x:v>
      </x:c>
      <x:c r="AB1119" s="10" t="n">
        <x:f>Y1119+Z1119+AA1119</x:f>
        <x:v>145168.44242831506</x:v>
      </x:c>
      <x:c r="AC1119" s="8" t="n">
        <x:f>IF(AND(tun_WinterTrigger=1,D1119=1,AB1118/AE1118&gt;=K1119),1,0)</x:f>
        <x:v>0</x:v>
      </x:c>
      <x:c r="AD1119" s="8" t="n">
        <x:f>H1119*IF(AND(OR(AB1118/AE1118&gt;=tun_FissionTrigger*N1119,AC1119=1),AB1118/AE1118*tun_DaughterShare&gt;=tun_MinDaughter),MAX(1,ROUND(AE1118*tun_FissionRate,0)),0)</x:f>
        <x:v>0</x:v>
      </x:c>
      <x:c r="AE1119" s="8" t="n">
        <x:f>IF(H1119=1,MAX(1,MIN(INDEX(tun_Smax,G1119),AE1118+AD1119)),AE1118)</x:f>
        <x:v>9</x:v>
      </x:c>
      <x:c r="AF1119" s="8" t="n">
        <x:f>MAX(0,AE1119-AE1118)</x:f>
        <x:v>0</x:v>
      </x:c>
      <x:c r="AG1119" s="9" t="str">
        <x:f>IF(AF1119&gt;0,B1119,"")</x:f>
      </x:c>
      <x:c r="AH1119" s="9" t="n">
        <x:f>IF(F1119&gt;=1,1,(1+tun_LowTiesShare*(AE1119-1))/AE1119)</x:f>
        <x:v>1</x:v>
      </x:c>
      <x:c r="AI1119" s="32" t="n">
        <x:f>(Z1119+tun_ElderCommons*INDEX(LM_Elder,G1119)*AA1119)*AH1119</x:f>
        <x:v>238215.0665857503</x:v>
      </x:c>
      <x:c r="AJ1119" s="32" t="n">
        <x:f>H1119*tun_CommonsCoef*AI1119^tun_CommonsExp*INDEX(LM_Commons,G1119)</x:f>
        <x:v>0</x:v>
      </x:c>
      <x:c r="AK1119" s="32" t="n">
        <x:f>H1119*tun_RoleScale*Arch_Roles*(AE1119*(INDEX(tun_ElderRolePerSett,G1119)*tun_OutElder*INDEX(LM_Elder,G1119)+INDEX(tun_ShamanPerSett,G1119)*tun_OutShaman)+Z1119*(INDEX(tun_PriestShare,G1119)*tun_OutPriest+INDEX(tun_ScribeShare,G1119)*tun_OutScribe*INDEX(LM_Scribe,G1119)+INDEX(tun_ScholarShare,G1119)*tun_OutScholar*INDEX(LM_Scholar,G1119)+INDEX(tun_ResearcherShare,G1119)*tun_OutResearcher*INDEX(LM_Researcher,G1119)))</x:f>
        <x:v>0</x:v>
      </x:c>
      <x:c r="AL1119" s="32" t="n">
        <x:f>H1119*tun_RoleScale*Arch_Roles*AE1119*INDEX(tun_MonasteryPerSett,G1119)*tun_OutMonastery*INDEX(LM_Monastery,G1119)</x:f>
        <x:v>0</x:v>
      </x:c>
      <x:c r="AM1119" s="32" t="n">
        <x:f>(AJ1119+AK1119+AL1119)/4*INDEX(LM_All,G1119)*INDEX(tun_Boon,G1119)*Arch_Insight</x:f>
        <x:v>0</x:v>
      </x:c>
      <x:c r="AN1119" s="32" t="n">
        <x:f>H1119*(tun_KHPerAdult*Z1119+tun_KHOfCommons*AJ1119/4*INDEX(LM_All,G1119))*tun_KHUsable*Arch_KH</x:f>
        <x:v>0</x:v>
      </x:c>
      <x:c r="AO1119" s="32" t="n">
        <x:f>MIN(AP1118+AN1119,AM1119*tun_KHMaxRatio)</x:f>
        <x:v>0</x:v>
      </x:c>
      <x:c r="AP1119" s="32" t="n">
        <x:f>AP1118+AN1119-AO1119</x:f>
        <x:v>0</x:v>
      </x:c>
      <x:c r="AQ1119" s="32" t="n">
        <x:f>AM1119+AO1119</x:f>
        <x:v>0</x:v>
      </x:c>
      <x:c r="AR1119" s="10" t="n">
        <x:f>IF(H1119=1,INDEX(tun_Req,G1119),0)</x:f>
        <x:v>0</x:v>
      </x:c>
      <x:c r="AS1119" s="32" t="n">
        <x:f>IF(H1119=1,IF(E1119=1,AS1118-AR1118,AS1118)+AQ1119,0)</x:f>
        <x:v>0</x:v>
      </x:c>
      <x:c r="AT1119" s="11" t="n">
        <x:f>IF(AR1119&gt;0,MIN(1,AS1119/AR1119),1)</x:f>
        <x:v>1</x:v>
      </x:c>
      <x:c r="AU1119" s="10" t="n">
        <x:f>AB1119/INDEX(tun_RepScale,G1119)</x:f>
        <x:v>290.3368848566301</x:v>
      </x:c>
      <x:c r="AV1119" s="32" t="n">
        <x:f>AM1119*60/tun_SeasonSeconds</x:f>
        <x:v>0</x:v>
      </x:c>
    </x:row>
    <x:row r="1120">
      <x:c r="A1120" s="8" t="n">
        <x:f>A1119+1</x:f>
        <x:v>1117</x:v>
      </x:c>
      <x:c r="B1120" s="9" t="n">
        <x:f>A1120*tun_SeasonSeconds/60</x:f>
        <x:v>279.25</x:v>
      </x:c>
      <x:c r="C1120" s="9" t="n">
        <x:f>A1120/4</x:f>
        <x:v>279.25</x:v>
      </x:c>
      <x:c r="D1120" s="8" t="n">
        <x:f>IF(MOD(A1120,4)=0,1,0)</x:f>
        <x:v>0</x:v>
      </x:c>
      <x:c r="E1120" s="8" t="n">
        <x:f>IF(AND(F1119&lt;=9,AS1119&gt;=AR1119),1,0)</x:f>
        <x:v>0</x:v>
      </x:c>
      <x:c r="F1120" s="8" t="n">
        <x:f>MIN(10,F1119+E1120)</x:f>
        <x:v>10</x:v>
      </x:c>
      <x:c r="G1120" s="8" t="n">
        <x:f>MIN(F1120,9)+1</x:f>
        <x:v>10</x:v>
      </x:c>
      <x:c r="H1120" s="8" t="n">
        <x:f>IF(F1120&lt;=9,1,0)</x:f>
        <x:v>0</x:v>
      </x:c>
      <x:c r="I1120" s="9" t="n">
        <x:f>MIN(10,F1119+IF(AR1119&gt;0,MIN(1,AS1119/AR1119),1))</x:f>
        <x:v>10</x:v>
      </x:c>
      <x:c r="J1120" s="32" t="n">
        <x:f>INDEX(tun_FoodCap,G1120)*Arch_FoodCap*EXP(tun_CapsByProject*SUMPRODUCT((Cap_Point&lt;=I1120)*(Cap_Kind="Food")*Cap_Ln))</x:f>
        <x:v>18627.260449441455</x:v>
      </x:c>
      <x:c r="K1120" s="32" t="n">
        <x:f>J1120*MIN(1,tun_LeanBase*EXP(tun_CapsByProject*SUMPRODUCT((Cap_Point&lt;=I1120)*(Cap_Kind="Lean")*Cap_Ln)))</x:f>
        <x:v>18627.260449441455</x:v>
      </x:c>
      <x:c r="L1120" s="10" t="n">
        <x:f>INDEX(tun_HousingCap,G1120)*EXP(tun_CapsByProject*SUMPRODUCT((Cap_Point&lt;=I1120)*(Cap_Kind="Housing")*Cap_Ln))</x:f>
        <x:v>20528.974303173167</x:v>
      </x:c>
      <x:c r="M1120" s="10" t="n">
        <x:f>INDEX(tun_GroupCap,G1120)*tun_CohesionFactor*EXP(tun_CapsByProject*SUMPRODUCT((Cap_Point&lt;=I1120)*(Cap_Kind="Group")*Cap_Ln))</x:f>
        <x:v>1000000.000000001</x:v>
      </x:c>
      <x:c r="N1120" s="32" t="n">
        <x:f>MIN(J1120,L1120,M1120)</x:f>
        <x:v>18627.260449441455</x:v>
      </x:c>
      <x:c r="O1120" s="10" t="n">
        <x:f>AE1119*N1120</x:f>
        <x:v>167645.34404497308</x:v>
      </x:c>
      <x:c r="P1120" s="9" t="n">
        <x:f>MIN(1,(AB1119/(AE1119*IF(tun_GroupInCrowding=1,N1120,MIN(J1120,L1120))))^tun_CrowdingExp)</x:f>
        <x:v>0.4215841981292809</x:v>
      </x:c>
      <x:c r="Q1120" s="9" t="n">
        <x:f>IF(D1120=1,INDEX(tun_WinterMult,G1120),1)</x:f>
        <x:v>1</x:v>
      </x:c>
      <x:c r="R1120" s="9" t="n">
        <x:f>H1120*Z1119*tun_WomenShare*tun_BaseFertility*INDEX(tun_FertMult,G1120)*Arch_Fertility*(1-P1120)</x:f>
        <x:v>0</x:v>
      </x:c>
      <x:c r="S1120" s="9" t="n">
        <x:f>H1120*Y1119*INDEX(tun_MortChild,G1120)/4*Q1120</x:f>
        <x:v>0</x:v>
      </x:c>
      <x:c r="T1120" s="9" t="n">
        <x:f>H1120*Z1119*INDEX(tun_MortAdult,G1120)*Arch_AdultMort/4*Q1120</x:f>
        <x:v>0</x:v>
      </x:c>
      <x:c r="U1120" s="9" t="n">
        <x:f>H1120*AA1119*INDEX(tun_MortElder,G1120)/4*Q1120</x:f>
        <x:v>0</x:v>
      </x:c>
      <x:c r="V1120" s="9" t="n">
        <x:f>H1120*MAX(0,AB1119-O1120)*tun_OvercapLoss</x:f>
        <x:v>0</x:v>
      </x:c>
      <x:c r="W1120" s="9" t="n">
        <x:f>H1120*Y1119/(tun_ChildYears*4)</x:f>
        <x:v>0</x:v>
      </x:c>
      <x:c r="X1120" s="9" t="n">
        <x:f>H1120*Z1119/(tun_AdultYears*4)</x:f>
        <x:v>0</x:v>
      </x:c>
      <x:c r="Y1120" s="32" t="n">
        <x:f>Y1119+R1120-S1120-W1120-Y1119*V1120/AB1119</x:f>
        <x:v>40496.20709015643</x:v>
      </x:c>
      <x:c r="Z1120" s="32" t="n">
        <x:f>Z1119+W1120-X1120-T1120-Z1119*V1120/AB1119</x:f>
        <x:v>59141.61122890803</x:v>
      </x:c>
      <x:c r="AA1120" s="32" t="n">
        <x:f>AA1119+X1120-U1120-AA1119*V1120/AB1119</x:f>
        <x:v>45530.62410925061</x:v>
      </x:c>
      <x:c r="AB1120" s="10" t="n">
        <x:f>Y1120+Z1120+AA1120</x:f>
        <x:v>145168.44242831506</x:v>
      </x:c>
      <x:c r="AC1120" s="8" t="n">
        <x:f>IF(AND(tun_WinterTrigger=1,D1120=1,AB1119/AE1119&gt;=K1120),1,0)</x:f>
        <x:v>0</x:v>
      </x:c>
      <x:c r="AD1120" s="8" t="n">
        <x:f>H1120*IF(AND(OR(AB1119/AE1119&gt;=tun_FissionTrigger*N1120,AC1120=1),AB1119/AE1119*tun_DaughterShare&gt;=tun_MinDaughter),MAX(1,ROUND(AE1119*tun_FissionRate,0)),0)</x:f>
        <x:v>0</x:v>
      </x:c>
      <x:c r="AE1120" s="8" t="n">
        <x:f>IF(H1120=1,MAX(1,MIN(INDEX(tun_Smax,G1120),AE1119+AD1120)),AE1119)</x:f>
        <x:v>9</x:v>
      </x:c>
      <x:c r="AF1120" s="8" t="n">
        <x:f>MAX(0,AE1120-AE1119)</x:f>
        <x:v>0</x:v>
      </x:c>
      <x:c r="AG1120" s="9" t="str">
        <x:f>IF(AF1120&gt;0,B1120,"")</x:f>
      </x:c>
      <x:c r="AH1120" s="9" t="n">
        <x:f>IF(F1120&gt;=1,1,(1+tun_LowTiesShare*(AE1120-1))/AE1120)</x:f>
        <x:v>1</x:v>
      </x:c>
      <x:c r="AI1120" s="32" t="n">
        <x:f>(Z1120+tun_ElderCommons*INDEX(LM_Elder,G1120)*AA1120)*AH1120</x:f>
        <x:v>238215.0665857503</x:v>
      </x:c>
      <x:c r="AJ1120" s="32" t="n">
        <x:f>H1120*tun_CommonsCoef*AI1120^tun_CommonsExp*INDEX(LM_Commons,G1120)</x:f>
        <x:v>0</x:v>
      </x:c>
      <x:c r="AK1120" s="32" t="n">
        <x:f>H1120*tun_RoleScale*Arch_Roles*(AE1120*(INDEX(tun_ElderRolePerSett,G1120)*tun_OutElder*INDEX(LM_Elder,G1120)+INDEX(tun_ShamanPerSett,G1120)*tun_OutShaman)+Z1120*(INDEX(tun_PriestShare,G1120)*tun_OutPriest+INDEX(tun_ScribeShare,G1120)*tun_OutScribe*INDEX(LM_Scribe,G1120)+INDEX(tun_ScholarShare,G1120)*tun_OutScholar*INDEX(LM_Scholar,G1120)+INDEX(tun_ResearcherShare,G1120)*tun_OutResearcher*INDEX(LM_Researcher,G1120)))</x:f>
        <x:v>0</x:v>
      </x:c>
      <x:c r="AL1120" s="32" t="n">
        <x:f>H1120*tun_RoleScale*Arch_Roles*AE1120*INDEX(tun_MonasteryPerSett,G1120)*tun_OutMonastery*INDEX(LM_Monastery,G1120)</x:f>
        <x:v>0</x:v>
      </x:c>
      <x:c r="AM1120" s="32" t="n">
        <x:f>(AJ1120+AK1120+AL1120)/4*INDEX(LM_All,G1120)*INDEX(tun_Boon,G1120)*Arch_Insight</x:f>
        <x:v>0</x:v>
      </x:c>
      <x:c r="AN1120" s="32" t="n">
        <x:f>H1120*(tun_KHPerAdult*Z1120+tun_KHOfCommons*AJ1120/4*INDEX(LM_All,G1120))*tun_KHUsable*Arch_KH</x:f>
        <x:v>0</x:v>
      </x:c>
      <x:c r="AO1120" s="32" t="n">
        <x:f>MIN(AP1119+AN1120,AM1120*tun_KHMaxRatio)</x:f>
        <x:v>0</x:v>
      </x:c>
      <x:c r="AP1120" s="32" t="n">
        <x:f>AP1119+AN1120-AO1120</x:f>
        <x:v>0</x:v>
      </x:c>
      <x:c r="AQ1120" s="32" t="n">
        <x:f>AM1120+AO1120</x:f>
        <x:v>0</x:v>
      </x:c>
      <x:c r="AR1120" s="10" t="n">
        <x:f>IF(H1120=1,INDEX(tun_Req,G1120),0)</x:f>
        <x:v>0</x:v>
      </x:c>
      <x:c r="AS1120" s="32" t="n">
        <x:f>IF(H1120=1,IF(E1120=1,AS1119-AR1119,AS1119)+AQ1120,0)</x:f>
        <x:v>0</x:v>
      </x:c>
      <x:c r="AT1120" s="11" t="n">
        <x:f>IF(AR1120&gt;0,MIN(1,AS1120/AR1120),1)</x:f>
        <x:v>1</x:v>
      </x:c>
      <x:c r="AU1120" s="10" t="n">
        <x:f>AB1120/INDEX(tun_RepScale,G1120)</x:f>
        <x:v>290.3368848566301</x:v>
      </x:c>
      <x:c r="AV1120" s="32" t="n">
        <x:f>AM1120*60/tun_SeasonSeconds</x:f>
        <x:v>0</x:v>
      </x:c>
    </x:row>
    <x:row r="1121">
      <x:c r="A1121" s="8" t="n">
        <x:f>A1120+1</x:f>
        <x:v>1118</x:v>
      </x:c>
      <x:c r="B1121" s="9" t="n">
        <x:f>A1121*tun_SeasonSeconds/60</x:f>
        <x:v>279.5</x:v>
      </x:c>
      <x:c r="C1121" s="9" t="n">
        <x:f>A1121/4</x:f>
        <x:v>279.5</x:v>
      </x:c>
      <x:c r="D1121" s="8" t="n">
        <x:f>IF(MOD(A1121,4)=0,1,0)</x:f>
        <x:v>0</x:v>
      </x:c>
      <x:c r="E1121" s="8" t="n">
        <x:f>IF(AND(F1120&lt;=9,AS1120&gt;=AR1120),1,0)</x:f>
        <x:v>0</x:v>
      </x:c>
      <x:c r="F1121" s="8" t="n">
        <x:f>MIN(10,F1120+E1121)</x:f>
        <x:v>10</x:v>
      </x:c>
      <x:c r="G1121" s="8" t="n">
        <x:f>MIN(F1121,9)+1</x:f>
        <x:v>10</x:v>
      </x:c>
      <x:c r="H1121" s="8" t="n">
        <x:f>IF(F1121&lt;=9,1,0)</x:f>
        <x:v>0</x:v>
      </x:c>
      <x:c r="I1121" s="9" t="n">
        <x:f>MIN(10,F1120+IF(AR1120&gt;0,MIN(1,AS1120/AR1120),1))</x:f>
        <x:v>10</x:v>
      </x:c>
      <x:c r="J1121" s="32" t="n">
        <x:f>INDEX(tun_FoodCap,G1121)*Arch_FoodCap*EXP(tun_CapsByProject*SUMPRODUCT((Cap_Point&lt;=I1121)*(Cap_Kind="Food")*Cap_Ln))</x:f>
        <x:v>18627.260449441455</x:v>
      </x:c>
      <x:c r="K1121" s="32" t="n">
        <x:f>J1121*MIN(1,tun_LeanBase*EXP(tun_CapsByProject*SUMPRODUCT((Cap_Point&lt;=I1121)*(Cap_Kind="Lean")*Cap_Ln)))</x:f>
        <x:v>18627.260449441455</x:v>
      </x:c>
      <x:c r="L1121" s="10" t="n">
        <x:f>INDEX(tun_HousingCap,G1121)*EXP(tun_CapsByProject*SUMPRODUCT((Cap_Point&lt;=I1121)*(Cap_Kind="Housing")*Cap_Ln))</x:f>
        <x:v>20528.974303173167</x:v>
      </x:c>
      <x:c r="M1121" s="10" t="n">
        <x:f>INDEX(tun_GroupCap,G1121)*tun_CohesionFactor*EXP(tun_CapsByProject*SUMPRODUCT((Cap_Point&lt;=I1121)*(Cap_Kind="Group")*Cap_Ln))</x:f>
        <x:v>1000000.000000001</x:v>
      </x:c>
      <x:c r="N1121" s="32" t="n">
        <x:f>MIN(J1121,L1121,M1121)</x:f>
        <x:v>18627.260449441455</x:v>
      </x:c>
      <x:c r="O1121" s="10" t="n">
        <x:f>AE1120*N1121</x:f>
        <x:v>167645.34404497308</x:v>
      </x:c>
      <x:c r="P1121" s="9" t="n">
        <x:f>MIN(1,(AB1120/(AE1120*IF(tun_GroupInCrowding=1,N1121,MIN(J1121,L1121))))^tun_CrowdingExp)</x:f>
        <x:v>0.4215841981292809</x:v>
      </x:c>
      <x:c r="Q1121" s="9" t="n">
        <x:f>IF(D1121=1,INDEX(tun_WinterMult,G1121),1)</x:f>
        <x:v>1</x:v>
      </x:c>
      <x:c r="R1121" s="9" t="n">
        <x:f>H1121*Z1120*tun_WomenShare*tun_BaseFertility*INDEX(tun_FertMult,G1121)*Arch_Fertility*(1-P1121)</x:f>
        <x:v>0</x:v>
      </x:c>
      <x:c r="S1121" s="9" t="n">
        <x:f>H1121*Y1120*INDEX(tun_MortChild,G1121)/4*Q1121</x:f>
        <x:v>0</x:v>
      </x:c>
      <x:c r="T1121" s="9" t="n">
        <x:f>H1121*Z1120*INDEX(tun_MortAdult,G1121)*Arch_AdultMort/4*Q1121</x:f>
        <x:v>0</x:v>
      </x:c>
      <x:c r="U1121" s="9" t="n">
        <x:f>H1121*AA1120*INDEX(tun_MortElder,G1121)/4*Q1121</x:f>
        <x:v>0</x:v>
      </x:c>
      <x:c r="V1121" s="9" t="n">
        <x:f>H1121*MAX(0,AB1120-O1121)*tun_OvercapLoss</x:f>
        <x:v>0</x:v>
      </x:c>
      <x:c r="W1121" s="9" t="n">
        <x:f>H1121*Y1120/(tun_ChildYears*4)</x:f>
        <x:v>0</x:v>
      </x:c>
      <x:c r="X1121" s="9" t="n">
        <x:f>H1121*Z1120/(tun_AdultYears*4)</x:f>
        <x:v>0</x:v>
      </x:c>
      <x:c r="Y1121" s="32" t="n">
        <x:f>Y1120+R1121-S1121-W1121-Y1120*V1121/AB1120</x:f>
        <x:v>40496.20709015643</x:v>
      </x:c>
      <x:c r="Z1121" s="32" t="n">
        <x:f>Z1120+W1121-X1121-T1121-Z1120*V1121/AB1120</x:f>
        <x:v>59141.61122890803</x:v>
      </x:c>
      <x:c r="AA1121" s="32" t="n">
        <x:f>AA1120+X1121-U1121-AA1120*V1121/AB1120</x:f>
        <x:v>45530.62410925061</x:v>
      </x:c>
      <x:c r="AB1121" s="10" t="n">
        <x:f>Y1121+Z1121+AA1121</x:f>
        <x:v>145168.44242831506</x:v>
      </x:c>
      <x:c r="AC1121" s="8" t="n">
        <x:f>IF(AND(tun_WinterTrigger=1,D1121=1,AB1120/AE1120&gt;=K1121),1,0)</x:f>
        <x:v>0</x:v>
      </x:c>
      <x:c r="AD1121" s="8" t="n">
        <x:f>H1121*IF(AND(OR(AB1120/AE1120&gt;=tun_FissionTrigger*N1121,AC1121=1),AB1120/AE1120*tun_DaughterShare&gt;=tun_MinDaughter),MAX(1,ROUND(AE1120*tun_FissionRate,0)),0)</x:f>
        <x:v>0</x:v>
      </x:c>
      <x:c r="AE1121" s="8" t="n">
        <x:f>IF(H1121=1,MAX(1,MIN(INDEX(tun_Smax,G1121),AE1120+AD1121)),AE1120)</x:f>
        <x:v>9</x:v>
      </x:c>
      <x:c r="AF1121" s="8" t="n">
        <x:f>MAX(0,AE1121-AE1120)</x:f>
        <x:v>0</x:v>
      </x:c>
      <x:c r="AG1121" s="9" t="str">
        <x:f>IF(AF1121&gt;0,B1121,"")</x:f>
      </x:c>
      <x:c r="AH1121" s="9" t="n">
        <x:f>IF(F1121&gt;=1,1,(1+tun_LowTiesShare*(AE1121-1))/AE1121)</x:f>
        <x:v>1</x:v>
      </x:c>
      <x:c r="AI1121" s="32" t="n">
        <x:f>(Z1121+tun_ElderCommons*INDEX(LM_Elder,G1121)*AA1121)*AH1121</x:f>
        <x:v>238215.0665857503</x:v>
      </x:c>
      <x:c r="AJ1121" s="32" t="n">
        <x:f>H1121*tun_CommonsCoef*AI1121^tun_CommonsExp*INDEX(LM_Commons,G1121)</x:f>
        <x:v>0</x:v>
      </x:c>
      <x:c r="AK1121" s="32" t="n">
        <x:f>H1121*tun_RoleScale*Arch_Roles*(AE1121*(INDEX(tun_ElderRolePerSett,G1121)*tun_OutElder*INDEX(LM_Elder,G1121)+INDEX(tun_ShamanPerSett,G1121)*tun_OutShaman)+Z1121*(INDEX(tun_PriestShare,G1121)*tun_OutPriest+INDEX(tun_ScribeShare,G1121)*tun_OutScribe*INDEX(LM_Scribe,G1121)+INDEX(tun_ScholarShare,G1121)*tun_OutScholar*INDEX(LM_Scholar,G1121)+INDEX(tun_ResearcherShare,G1121)*tun_OutResearcher*INDEX(LM_Researcher,G1121)))</x:f>
        <x:v>0</x:v>
      </x:c>
      <x:c r="AL1121" s="32" t="n">
        <x:f>H1121*tun_RoleScale*Arch_Roles*AE1121*INDEX(tun_MonasteryPerSett,G1121)*tun_OutMonastery*INDEX(LM_Monastery,G1121)</x:f>
        <x:v>0</x:v>
      </x:c>
      <x:c r="AM1121" s="32" t="n">
        <x:f>(AJ1121+AK1121+AL1121)/4*INDEX(LM_All,G1121)*INDEX(tun_Boon,G1121)*Arch_Insight</x:f>
        <x:v>0</x:v>
      </x:c>
      <x:c r="AN1121" s="32" t="n">
        <x:f>H1121*(tun_KHPerAdult*Z1121+tun_KHOfCommons*AJ1121/4*INDEX(LM_All,G1121))*tun_KHUsable*Arch_KH</x:f>
        <x:v>0</x:v>
      </x:c>
      <x:c r="AO1121" s="32" t="n">
        <x:f>MIN(AP1120+AN1121,AM1121*tun_KHMaxRatio)</x:f>
        <x:v>0</x:v>
      </x:c>
      <x:c r="AP1121" s="32" t="n">
        <x:f>AP1120+AN1121-AO1121</x:f>
        <x:v>0</x:v>
      </x:c>
      <x:c r="AQ1121" s="32" t="n">
        <x:f>AM1121+AO1121</x:f>
        <x:v>0</x:v>
      </x:c>
      <x:c r="AR1121" s="10" t="n">
        <x:f>IF(H1121=1,INDEX(tun_Req,G1121),0)</x:f>
        <x:v>0</x:v>
      </x:c>
      <x:c r="AS1121" s="32" t="n">
        <x:f>IF(H1121=1,IF(E1121=1,AS1120-AR1120,AS1120)+AQ1121,0)</x:f>
        <x:v>0</x:v>
      </x:c>
      <x:c r="AT1121" s="11" t="n">
        <x:f>IF(AR1121&gt;0,MIN(1,AS1121/AR1121),1)</x:f>
        <x:v>1</x:v>
      </x:c>
      <x:c r="AU1121" s="10" t="n">
        <x:f>AB1121/INDEX(tun_RepScale,G1121)</x:f>
        <x:v>290.3368848566301</x:v>
      </x:c>
      <x:c r="AV1121" s="32" t="n">
        <x:f>AM1121*60/tun_SeasonSeconds</x:f>
        <x:v>0</x:v>
      </x:c>
    </x:row>
    <x:row r="1122">
      <x:c r="A1122" s="8" t="n">
        <x:f>A1121+1</x:f>
        <x:v>1119</x:v>
      </x:c>
      <x:c r="B1122" s="9" t="n">
        <x:f>A1122*tun_SeasonSeconds/60</x:f>
        <x:v>279.75</x:v>
      </x:c>
      <x:c r="C1122" s="9" t="n">
        <x:f>A1122/4</x:f>
        <x:v>279.75</x:v>
      </x:c>
      <x:c r="D1122" s="8" t="n">
        <x:f>IF(MOD(A1122,4)=0,1,0)</x:f>
        <x:v>0</x:v>
      </x:c>
      <x:c r="E1122" s="8" t="n">
        <x:f>IF(AND(F1121&lt;=9,AS1121&gt;=AR1121),1,0)</x:f>
        <x:v>0</x:v>
      </x:c>
      <x:c r="F1122" s="8" t="n">
        <x:f>MIN(10,F1121+E1122)</x:f>
        <x:v>10</x:v>
      </x:c>
      <x:c r="G1122" s="8" t="n">
        <x:f>MIN(F1122,9)+1</x:f>
        <x:v>10</x:v>
      </x:c>
      <x:c r="H1122" s="8" t="n">
        <x:f>IF(F1122&lt;=9,1,0)</x:f>
        <x:v>0</x:v>
      </x:c>
      <x:c r="I1122" s="9" t="n">
        <x:f>MIN(10,F1121+IF(AR1121&gt;0,MIN(1,AS1121/AR1121),1))</x:f>
        <x:v>10</x:v>
      </x:c>
      <x:c r="J1122" s="32" t="n">
        <x:f>INDEX(tun_FoodCap,G1122)*Arch_FoodCap*EXP(tun_CapsByProject*SUMPRODUCT((Cap_Point&lt;=I1122)*(Cap_Kind="Food")*Cap_Ln))</x:f>
        <x:v>18627.260449441455</x:v>
      </x:c>
      <x:c r="K1122" s="32" t="n">
        <x:f>J1122*MIN(1,tun_LeanBase*EXP(tun_CapsByProject*SUMPRODUCT((Cap_Point&lt;=I1122)*(Cap_Kind="Lean")*Cap_Ln)))</x:f>
        <x:v>18627.260449441455</x:v>
      </x:c>
      <x:c r="L1122" s="10" t="n">
        <x:f>INDEX(tun_HousingCap,G1122)*EXP(tun_CapsByProject*SUMPRODUCT((Cap_Point&lt;=I1122)*(Cap_Kind="Housing")*Cap_Ln))</x:f>
        <x:v>20528.974303173167</x:v>
      </x:c>
      <x:c r="M1122" s="10" t="n">
        <x:f>INDEX(tun_GroupCap,G1122)*tun_CohesionFactor*EXP(tun_CapsByProject*SUMPRODUCT((Cap_Point&lt;=I1122)*(Cap_Kind="Group")*Cap_Ln))</x:f>
        <x:v>1000000.000000001</x:v>
      </x:c>
      <x:c r="N1122" s="32" t="n">
        <x:f>MIN(J1122,L1122,M1122)</x:f>
        <x:v>18627.260449441455</x:v>
      </x:c>
      <x:c r="O1122" s="10" t="n">
        <x:f>AE1121*N1122</x:f>
        <x:v>167645.34404497308</x:v>
      </x:c>
      <x:c r="P1122" s="9" t="n">
        <x:f>MIN(1,(AB1121/(AE1121*IF(tun_GroupInCrowding=1,N1122,MIN(J1122,L1122))))^tun_CrowdingExp)</x:f>
        <x:v>0.4215841981292809</x:v>
      </x:c>
      <x:c r="Q1122" s="9" t="n">
        <x:f>IF(D1122=1,INDEX(tun_WinterMult,G1122),1)</x:f>
        <x:v>1</x:v>
      </x:c>
      <x:c r="R1122" s="9" t="n">
        <x:f>H1122*Z1121*tun_WomenShare*tun_BaseFertility*INDEX(tun_FertMult,G1122)*Arch_Fertility*(1-P1122)</x:f>
        <x:v>0</x:v>
      </x:c>
      <x:c r="S1122" s="9" t="n">
        <x:f>H1122*Y1121*INDEX(tun_MortChild,G1122)/4*Q1122</x:f>
        <x:v>0</x:v>
      </x:c>
      <x:c r="T1122" s="9" t="n">
        <x:f>H1122*Z1121*INDEX(tun_MortAdult,G1122)*Arch_AdultMort/4*Q1122</x:f>
        <x:v>0</x:v>
      </x:c>
      <x:c r="U1122" s="9" t="n">
        <x:f>H1122*AA1121*INDEX(tun_MortElder,G1122)/4*Q1122</x:f>
        <x:v>0</x:v>
      </x:c>
      <x:c r="V1122" s="9" t="n">
        <x:f>H1122*MAX(0,AB1121-O1122)*tun_OvercapLoss</x:f>
        <x:v>0</x:v>
      </x:c>
      <x:c r="W1122" s="9" t="n">
        <x:f>H1122*Y1121/(tun_ChildYears*4)</x:f>
        <x:v>0</x:v>
      </x:c>
      <x:c r="X1122" s="9" t="n">
        <x:f>H1122*Z1121/(tun_AdultYears*4)</x:f>
        <x:v>0</x:v>
      </x:c>
      <x:c r="Y1122" s="32" t="n">
        <x:f>Y1121+R1122-S1122-W1122-Y1121*V1122/AB1121</x:f>
        <x:v>40496.20709015643</x:v>
      </x:c>
      <x:c r="Z1122" s="32" t="n">
        <x:f>Z1121+W1122-X1122-T1122-Z1121*V1122/AB1121</x:f>
        <x:v>59141.61122890803</x:v>
      </x:c>
      <x:c r="AA1122" s="32" t="n">
        <x:f>AA1121+X1122-U1122-AA1121*V1122/AB1121</x:f>
        <x:v>45530.62410925061</x:v>
      </x:c>
      <x:c r="AB1122" s="10" t="n">
        <x:f>Y1122+Z1122+AA1122</x:f>
        <x:v>145168.44242831506</x:v>
      </x:c>
      <x:c r="AC1122" s="8" t="n">
        <x:f>IF(AND(tun_WinterTrigger=1,D1122=1,AB1121/AE1121&gt;=K1122),1,0)</x:f>
        <x:v>0</x:v>
      </x:c>
      <x:c r="AD1122" s="8" t="n">
        <x:f>H1122*IF(AND(OR(AB1121/AE1121&gt;=tun_FissionTrigger*N1122,AC1122=1),AB1121/AE1121*tun_DaughterShare&gt;=tun_MinDaughter),MAX(1,ROUND(AE1121*tun_FissionRate,0)),0)</x:f>
        <x:v>0</x:v>
      </x:c>
      <x:c r="AE1122" s="8" t="n">
        <x:f>IF(H1122=1,MAX(1,MIN(INDEX(tun_Smax,G1122),AE1121+AD1122)),AE1121)</x:f>
        <x:v>9</x:v>
      </x:c>
      <x:c r="AF1122" s="8" t="n">
        <x:f>MAX(0,AE1122-AE1121)</x:f>
        <x:v>0</x:v>
      </x:c>
      <x:c r="AG1122" s="9" t="str">
        <x:f>IF(AF1122&gt;0,B1122,"")</x:f>
      </x:c>
      <x:c r="AH1122" s="9" t="n">
        <x:f>IF(F1122&gt;=1,1,(1+tun_LowTiesShare*(AE1122-1))/AE1122)</x:f>
        <x:v>1</x:v>
      </x:c>
      <x:c r="AI1122" s="32" t="n">
        <x:f>(Z1122+tun_ElderCommons*INDEX(LM_Elder,G1122)*AA1122)*AH1122</x:f>
        <x:v>238215.0665857503</x:v>
      </x:c>
      <x:c r="AJ1122" s="32" t="n">
        <x:f>H1122*tun_CommonsCoef*AI1122^tun_CommonsExp*INDEX(LM_Commons,G1122)</x:f>
        <x:v>0</x:v>
      </x:c>
      <x:c r="AK1122" s="32" t="n">
        <x:f>H1122*tun_RoleScale*Arch_Roles*(AE1122*(INDEX(tun_ElderRolePerSett,G1122)*tun_OutElder*INDEX(LM_Elder,G1122)+INDEX(tun_ShamanPerSett,G1122)*tun_OutShaman)+Z1122*(INDEX(tun_PriestShare,G1122)*tun_OutPriest+INDEX(tun_ScribeShare,G1122)*tun_OutScribe*INDEX(LM_Scribe,G1122)+INDEX(tun_ScholarShare,G1122)*tun_OutScholar*INDEX(LM_Scholar,G1122)+INDEX(tun_ResearcherShare,G1122)*tun_OutResearcher*INDEX(LM_Researcher,G1122)))</x:f>
        <x:v>0</x:v>
      </x:c>
      <x:c r="AL1122" s="32" t="n">
        <x:f>H1122*tun_RoleScale*Arch_Roles*AE1122*INDEX(tun_MonasteryPerSett,G1122)*tun_OutMonastery*INDEX(LM_Monastery,G1122)</x:f>
        <x:v>0</x:v>
      </x:c>
      <x:c r="AM1122" s="32" t="n">
        <x:f>(AJ1122+AK1122+AL1122)/4*INDEX(LM_All,G1122)*INDEX(tun_Boon,G1122)*Arch_Insight</x:f>
        <x:v>0</x:v>
      </x:c>
      <x:c r="AN1122" s="32" t="n">
        <x:f>H1122*(tun_KHPerAdult*Z1122+tun_KHOfCommons*AJ1122/4*INDEX(LM_All,G1122))*tun_KHUsable*Arch_KH</x:f>
        <x:v>0</x:v>
      </x:c>
      <x:c r="AO1122" s="32" t="n">
        <x:f>MIN(AP1121+AN1122,AM1122*tun_KHMaxRatio)</x:f>
        <x:v>0</x:v>
      </x:c>
      <x:c r="AP1122" s="32" t="n">
        <x:f>AP1121+AN1122-AO1122</x:f>
        <x:v>0</x:v>
      </x:c>
      <x:c r="AQ1122" s="32" t="n">
        <x:f>AM1122+AO1122</x:f>
        <x:v>0</x:v>
      </x:c>
      <x:c r="AR1122" s="10" t="n">
        <x:f>IF(H1122=1,INDEX(tun_Req,G1122),0)</x:f>
        <x:v>0</x:v>
      </x:c>
      <x:c r="AS1122" s="32" t="n">
        <x:f>IF(H1122=1,IF(E1122=1,AS1121-AR1121,AS1121)+AQ1122,0)</x:f>
        <x:v>0</x:v>
      </x:c>
      <x:c r="AT1122" s="11" t="n">
        <x:f>IF(AR1122&gt;0,MIN(1,AS1122/AR1122),1)</x:f>
        <x:v>1</x:v>
      </x:c>
      <x:c r="AU1122" s="10" t="n">
        <x:f>AB1122/INDEX(tun_RepScale,G1122)</x:f>
        <x:v>290.3368848566301</x:v>
      </x:c>
      <x:c r="AV1122" s="32" t="n">
        <x:f>AM1122*60/tun_SeasonSeconds</x:f>
        <x:v>0</x:v>
      </x:c>
    </x:row>
    <x:row r="1123">
      <x:c r="A1123" s="8" t="n">
        <x:f>A1122+1</x:f>
        <x:v>1120</x:v>
      </x:c>
      <x:c r="B1123" s="9" t="n">
        <x:f>A1123*tun_SeasonSeconds/60</x:f>
        <x:v>280</x:v>
      </x:c>
      <x:c r="C1123" s="9" t="n">
        <x:f>A1123/4</x:f>
        <x:v>280</x:v>
      </x:c>
      <x:c r="D1123" s="8" t="n">
        <x:f>IF(MOD(A1123,4)=0,1,0)</x:f>
        <x:v>1</x:v>
      </x:c>
      <x:c r="E1123" s="8" t="n">
        <x:f>IF(AND(F1122&lt;=9,AS1122&gt;=AR1122),1,0)</x:f>
        <x:v>0</x:v>
      </x:c>
      <x:c r="F1123" s="8" t="n">
        <x:f>MIN(10,F1122+E1123)</x:f>
        <x:v>10</x:v>
      </x:c>
      <x:c r="G1123" s="8" t="n">
        <x:f>MIN(F1123,9)+1</x:f>
        <x:v>10</x:v>
      </x:c>
      <x:c r="H1123" s="8" t="n">
        <x:f>IF(F1123&lt;=9,1,0)</x:f>
        <x:v>0</x:v>
      </x:c>
      <x:c r="I1123" s="9" t="n">
        <x:f>MIN(10,F1122+IF(AR1122&gt;0,MIN(1,AS1122/AR1122),1))</x:f>
        <x:v>10</x:v>
      </x:c>
      <x:c r="J1123" s="32" t="n">
        <x:f>INDEX(tun_FoodCap,G1123)*Arch_FoodCap*EXP(tun_CapsByProject*SUMPRODUCT((Cap_Point&lt;=I1123)*(Cap_Kind="Food")*Cap_Ln))</x:f>
        <x:v>18627.260449441455</x:v>
      </x:c>
      <x:c r="K1123" s="32" t="n">
        <x:f>J1123*MIN(1,tun_LeanBase*EXP(tun_CapsByProject*SUMPRODUCT((Cap_Point&lt;=I1123)*(Cap_Kind="Lean")*Cap_Ln)))</x:f>
        <x:v>18627.260449441455</x:v>
      </x:c>
      <x:c r="L1123" s="10" t="n">
        <x:f>INDEX(tun_HousingCap,G1123)*EXP(tun_CapsByProject*SUMPRODUCT((Cap_Point&lt;=I1123)*(Cap_Kind="Housing")*Cap_Ln))</x:f>
        <x:v>20528.974303173167</x:v>
      </x:c>
      <x:c r="M1123" s="10" t="n">
        <x:f>INDEX(tun_GroupCap,G1123)*tun_CohesionFactor*EXP(tun_CapsByProject*SUMPRODUCT((Cap_Point&lt;=I1123)*(Cap_Kind="Group")*Cap_Ln))</x:f>
        <x:v>1000000.000000001</x:v>
      </x:c>
      <x:c r="N1123" s="32" t="n">
        <x:f>MIN(J1123,L1123,M1123)</x:f>
        <x:v>18627.260449441455</x:v>
      </x:c>
      <x:c r="O1123" s="10" t="n">
        <x:f>AE1122*N1123</x:f>
        <x:v>167645.34404497308</x:v>
      </x:c>
      <x:c r="P1123" s="9" t="n">
        <x:f>MIN(1,(AB1122/(AE1122*IF(tun_GroupInCrowding=1,N1123,MIN(J1123,L1123))))^tun_CrowdingExp)</x:f>
        <x:v>0.4215841981292809</x:v>
      </x:c>
      <x:c r="Q1123" s="9" t="n">
        <x:f>IF(D1123=1,INDEX(tun_WinterMult,G1123),1)</x:f>
        <x:v>1.05</x:v>
      </x:c>
      <x:c r="R1123" s="9" t="n">
        <x:f>H1123*Z1122*tun_WomenShare*tun_BaseFertility*INDEX(tun_FertMult,G1123)*Arch_Fertility*(1-P1123)</x:f>
        <x:v>0</x:v>
      </x:c>
      <x:c r="S1123" s="9" t="n">
        <x:f>H1123*Y1122*INDEX(tun_MortChild,G1123)/4*Q1123</x:f>
        <x:v>0</x:v>
      </x:c>
      <x:c r="T1123" s="9" t="n">
        <x:f>H1123*Z1122*INDEX(tun_MortAdult,G1123)*Arch_AdultMort/4*Q1123</x:f>
        <x:v>0</x:v>
      </x:c>
      <x:c r="U1123" s="9" t="n">
        <x:f>H1123*AA1122*INDEX(tun_MortElder,G1123)/4*Q1123</x:f>
        <x:v>0</x:v>
      </x:c>
      <x:c r="V1123" s="9" t="n">
        <x:f>H1123*MAX(0,AB1122-O1123)*tun_OvercapLoss</x:f>
        <x:v>0</x:v>
      </x:c>
      <x:c r="W1123" s="9" t="n">
        <x:f>H1123*Y1122/(tun_ChildYears*4)</x:f>
        <x:v>0</x:v>
      </x:c>
      <x:c r="X1123" s="9" t="n">
        <x:f>H1123*Z1122/(tun_AdultYears*4)</x:f>
        <x:v>0</x:v>
      </x:c>
      <x:c r="Y1123" s="32" t="n">
        <x:f>Y1122+R1123-S1123-W1123-Y1122*V1123/AB1122</x:f>
        <x:v>40496.20709015643</x:v>
      </x:c>
      <x:c r="Z1123" s="32" t="n">
        <x:f>Z1122+W1123-X1123-T1123-Z1122*V1123/AB1122</x:f>
        <x:v>59141.61122890803</x:v>
      </x:c>
      <x:c r="AA1123" s="32" t="n">
        <x:f>AA1122+X1123-U1123-AA1122*V1123/AB1122</x:f>
        <x:v>45530.62410925061</x:v>
      </x:c>
      <x:c r="AB1123" s="10" t="n">
        <x:f>Y1123+Z1123+AA1123</x:f>
        <x:v>145168.44242831506</x:v>
      </x:c>
      <x:c r="AC1123" s="8" t="n">
        <x:f>IF(AND(tun_WinterTrigger=1,D1123=1,AB1122/AE1122&gt;=K1123),1,0)</x:f>
        <x:v>0</x:v>
      </x:c>
      <x:c r="AD1123" s="8" t="n">
        <x:f>H1123*IF(AND(OR(AB1122/AE1122&gt;=tun_FissionTrigger*N1123,AC1123=1),AB1122/AE1122*tun_DaughterShare&gt;=tun_MinDaughter),MAX(1,ROUND(AE1122*tun_FissionRate,0)),0)</x:f>
        <x:v>0</x:v>
      </x:c>
      <x:c r="AE1123" s="8" t="n">
        <x:f>IF(H1123=1,MAX(1,MIN(INDEX(tun_Smax,G1123),AE1122+AD1123)),AE1122)</x:f>
        <x:v>9</x:v>
      </x:c>
      <x:c r="AF1123" s="8" t="n">
        <x:f>MAX(0,AE1123-AE1122)</x:f>
        <x:v>0</x:v>
      </x:c>
      <x:c r="AG1123" s="9" t="str">
        <x:f>IF(AF1123&gt;0,B1123,"")</x:f>
      </x:c>
      <x:c r="AH1123" s="9" t="n">
        <x:f>IF(F1123&gt;=1,1,(1+tun_LowTiesShare*(AE1123-1))/AE1123)</x:f>
        <x:v>1</x:v>
      </x:c>
      <x:c r="AI1123" s="32" t="n">
        <x:f>(Z1123+tun_ElderCommons*INDEX(LM_Elder,G1123)*AA1123)*AH1123</x:f>
        <x:v>238215.0665857503</x:v>
      </x:c>
      <x:c r="AJ1123" s="32" t="n">
        <x:f>H1123*tun_CommonsCoef*AI1123^tun_CommonsExp*INDEX(LM_Commons,G1123)</x:f>
        <x:v>0</x:v>
      </x:c>
      <x:c r="AK1123" s="32" t="n">
        <x:f>H1123*tun_RoleScale*Arch_Roles*(AE1123*(INDEX(tun_ElderRolePerSett,G1123)*tun_OutElder*INDEX(LM_Elder,G1123)+INDEX(tun_ShamanPerSett,G1123)*tun_OutShaman)+Z1123*(INDEX(tun_PriestShare,G1123)*tun_OutPriest+INDEX(tun_ScribeShare,G1123)*tun_OutScribe*INDEX(LM_Scribe,G1123)+INDEX(tun_ScholarShare,G1123)*tun_OutScholar*INDEX(LM_Scholar,G1123)+INDEX(tun_ResearcherShare,G1123)*tun_OutResearcher*INDEX(LM_Researcher,G1123)))</x:f>
        <x:v>0</x:v>
      </x:c>
      <x:c r="AL1123" s="32" t="n">
        <x:f>H1123*tun_RoleScale*Arch_Roles*AE1123*INDEX(tun_MonasteryPerSett,G1123)*tun_OutMonastery*INDEX(LM_Monastery,G1123)</x:f>
        <x:v>0</x:v>
      </x:c>
      <x:c r="AM1123" s="32" t="n">
        <x:f>(AJ1123+AK1123+AL1123)/4*INDEX(LM_All,G1123)*INDEX(tun_Boon,G1123)*Arch_Insight</x:f>
        <x:v>0</x:v>
      </x:c>
      <x:c r="AN1123" s="32" t="n">
        <x:f>H1123*(tun_KHPerAdult*Z1123+tun_KHOfCommons*AJ1123/4*INDEX(LM_All,G1123))*tun_KHUsable*Arch_KH</x:f>
        <x:v>0</x:v>
      </x:c>
      <x:c r="AO1123" s="32" t="n">
        <x:f>MIN(AP1122+AN1123,AM1123*tun_KHMaxRatio)</x:f>
        <x:v>0</x:v>
      </x:c>
      <x:c r="AP1123" s="32" t="n">
        <x:f>AP1122+AN1123-AO1123</x:f>
        <x:v>0</x:v>
      </x:c>
      <x:c r="AQ1123" s="32" t="n">
        <x:f>AM1123+AO1123</x:f>
        <x:v>0</x:v>
      </x:c>
      <x:c r="AR1123" s="10" t="n">
        <x:f>IF(H1123=1,INDEX(tun_Req,G1123),0)</x:f>
        <x:v>0</x:v>
      </x:c>
      <x:c r="AS1123" s="32" t="n">
        <x:f>IF(H1123=1,IF(E1123=1,AS1122-AR1122,AS1122)+AQ1123,0)</x:f>
        <x:v>0</x:v>
      </x:c>
      <x:c r="AT1123" s="11" t="n">
        <x:f>IF(AR1123&gt;0,MIN(1,AS1123/AR1123),1)</x:f>
        <x:v>1</x:v>
      </x:c>
      <x:c r="AU1123" s="10" t="n">
        <x:f>AB1123/INDEX(tun_RepScale,G1123)</x:f>
        <x:v>290.3368848566301</x:v>
      </x:c>
      <x:c r="AV1123" s="32" t="n">
        <x:f>AM1123*60/tun_SeasonSeconds</x:f>
        <x:v>0</x:v>
      </x:c>
    </x:row>
    <x:row r="1124">
      <x:c r="A1124" s="8" t="n">
        <x:f>A1123+1</x:f>
        <x:v>1121</x:v>
      </x:c>
      <x:c r="B1124" s="9" t="n">
        <x:f>A1124*tun_SeasonSeconds/60</x:f>
        <x:v>280.25</x:v>
      </x:c>
      <x:c r="C1124" s="9" t="n">
        <x:f>A1124/4</x:f>
        <x:v>280.25</x:v>
      </x:c>
      <x:c r="D1124" s="8" t="n">
        <x:f>IF(MOD(A1124,4)=0,1,0)</x:f>
        <x:v>0</x:v>
      </x:c>
      <x:c r="E1124" s="8" t="n">
        <x:f>IF(AND(F1123&lt;=9,AS1123&gt;=AR1123),1,0)</x:f>
        <x:v>0</x:v>
      </x:c>
      <x:c r="F1124" s="8" t="n">
        <x:f>MIN(10,F1123+E1124)</x:f>
        <x:v>10</x:v>
      </x:c>
      <x:c r="G1124" s="8" t="n">
        <x:f>MIN(F1124,9)+1</x:f>
        <x:v>10</x:v>
      </x:c>
      <x:c r="H1124" s="8" t="n">
        <x:f>IF(F1124&lt;=9,1,0)</x:f>
        <x:v>0</x:v>
      </x:c>
      <x:c r="I1124" s="9" t="n">
        <x:f>MIN(10,F1123+IF(AR1123&gt;0,MIN(1,AS1123/AR1123),1))</x:f>
        <x:v>10</x:v>
      </x:c>
      <x:c r="J1124" s="32" t="n">
        <x:f>INDEX(tun_FoodCap,G1124)*Arch_FoodCap*EXP(tun_CapsByProject*SUMPRODUCT((Cap_Point&lt;=I1124)*(Cap_Kind="Food")*Cap_Ln))</x:f>
        <x:v>18627.260449441455</x:v>
      </x:c>
      <x:c r="K1124" s="32" t="n">
        <x:f>J1124*MIN(1,tun_LeanBase*EXP(tun_CapsByProject*SUMPRODUCT((Cap_Point&lt;=I1124)*(Cap_Kind="Lean")*Cap_Ln)))</x:f>
        <x:v>18627.260449441455</x:v>
      </x:c>
      <x:c r="L1124" s="10" t="n">
        <x:f>INDEX(tun_HousingCap,G1124)*EXP(tun_CapsByProject*SUMPRODUCT((Cap_Point&lt;=I1124)*(Cap_Kind="Housing")*Cap_Ln))</x:f>
        <x:v>20528.974303173167</x:v>
      </x:c>
      <x:c r="M1124" s="10" t="n">
        <x:f>INDEX(tun_GroupCap,G1124)*tun_CohesionFactor*EXP(tun_CapsByProject*SUMPRODUCT((Cap_Point&lt;=I1124)*(Cap_Kind="Group")*Cap_Ln))</x:f>
        <x:v>1000000.000000001</x:v>
      </x:c>
      <x:c r="N1124" s="32" t="n">
        <x:f>MIN(J1124,L1124,M1124)</x:f>
        <x:v>18627.260449441455</x:v>
      </x:c>
      <x:c r="O1124" s="10" t="n">
        <x:f>AE1123*N1124</x:f>
        <x:v>167645.34404497308</x:v>
      </x:c>
      <x:c r="P1124" s="9" t="n">
        <x:f>MIN(1,(AB1123/(AE1123*IF(tun_GroupInCrowding=1,N1124,MIN(J1124,L1124))))^tun_CrowdingExp)</x:f>
        <x:v>0.4215841981292809</x:v>
      </x:c>
      <x:c r="Q1124" s="9" t="n">
        <x:f>IF(D1124=1,INDEX(tun_WinterMult,G1124),1)</x:f>
        <x:v>1</x:v>
      </x:c>
      <x:c r="R1124" s="9" t="n">
        <x:f>H1124*Z1123*tun_WomenShare*tun_BaseFertility*INDEX(tun_FertMult,G1124)*Arch_Fertility*(1-P1124)</x:f>
        <x:v>0</x:v>
      </x:c>
      <x:c r="S1124" s="9" t="n">
        <x:f>H1124*Y1123*INDEX(tun_MortChild,G1124)/4*Q1124</x:f>
        <x:v>0</x:v>
      </x:c>
      <x:c r="T1124" s="9" t="n">
        <x:f>H1124*Z1123*INDEX(tun_MortAdult,G1124)*Arch_AdultMort/4*Q1124</x:f>
        <x:v>0</x:v>
      </x:c>
      <x:c r="U1124" s="9" t="n">
        <x:f>H1124*AA1123*INDEX(tun_MortElder,G1124)/4*Q1124</x:f>
        <x:v>0</x:v>
      </x:c>
      <x:c r="V1124" s="9" t="n">
        <x:f>H1124*MAX(0,AB1123-O1124)*tun_OvercapLoss</x:f>
        <x:v>0</x:v>
      </x:c>
      <x:c r="W1124" s="9" t="n">
        <x:f>H1124*Y1123/(tun_ChildYears*4)</x:f>
        <x:v>0</x:v>
      </x:c>
      <x:c r="X1124" s="9" t="n">
        <x:f>H1124*Z1123/(tun_AdultYears*4)</x:f>
        <x:v>0</x:v>
      </x:c>
      <x:c r="Y1124" s="32" t="n">
        <x:f>Y1123+R1124-S1124-W1124-Y1123*V1124/AB1123</x:f>
        <x:v>40496.20709015643</x:v>
      </x:c>
      <x:c r="Z1124" s="32" t="n">
        <x:f>Z1123+W1124-X1124-T1124-Z1123*V1124/AB1123</x:f>
        <x:v>59141.61122890803</x:v>
      </x:c>
      <x:c r="AA1124" s="32" t="n">
        <x:f>AA1123+X1124-U1124-AA1123*V1124/AB1123</x:f>
        <x:v>45530.62410925061</x:v>
      </x:c>
      <x:c r="AB1124" s="10" t="n">
        <x:f>Y1124+Z1124+AA1124</x:f>
        <x:v>145168.44242831506</x:v>
      </x:c>
      <x:c r="AC1124" s="8" t="n">
        <x:f>IF(AND(tun_WinterTrigger=1,D1124=1,AB1123/AE1123&gt;=K1124),1,0)</x:f>
        <x:v>0</x:v>
      </x:c>
      <x:c r="AD1124" s="8" t="n">
        <x:f>H1124*IF(AND(OR(AB1123/AE1123&gt;=tun_FissionTrigger*N1124,AC1124=1),AB1123/AE1123*tun_DaughterShare&gt;=tun_MinDaughter),MAX(1,ROUND(AE1123*tun_FissionRate,0)),0)</x:f>
        <x:v>0</x:v>
      </x:c>
      <x:c r="AE1124" s="8" t="n">
        <x:f>IF(H1124=1,MAX(1,MIN(INDEX(tun_Smax,G1124),AE1123+AD1124)),AE1123)</x:f>
        <x:v>9</x:v>
      </x:c>
      <x:c r="AF1124" s="8" t="n">
        <x:f>MAX(0,AE1124-AE1123)</x:f>
        <x:v>0</x:v>
      </x:c>
      <x:c r="AG1124" s="9" t="str">
        <x:f>IF(AF1124&gt;0,B1124,"")</x:f>
      </x:c>
      <x:c r="AH1124" s="9" t="n">
        <x:f>IF(F1124&gt;=1,1,(1+tun_LowTiesShare*(AE1124-1))/AE1124)</x:f>
        <x:v>1</x:v>
      </x:c>
      <x:c r="AI1124" s="32" t="n">
        <x:f>(Z1124+tun_ElderCommons*INDEX(LM_Elder,G1124)*AA1124)*AH1124</x:f>
        <x:v>238215.0665857503</x:v>
      </x:c>
      <x:c r="AJ1124" s="32" t="n">
        <x:f>H1124*tun_CommonsCoef*AI1124^tun_CommonsExp*INDEX(LM_Commons,G1124)</x:f>
        <x:v>0</x:v>
      </x:c>
      <x:c r="AK1124" s="32" t="n">
        <x:f>H1124*tun_RoleScale*Arch_Roles*(AE1124*(INDEX(tun_ElderRolePerSett,G1124)*tun_OutElder*INDEX(LM_Elder,G1124)+INDEX(tun_ShamanPerSett,G1124)*tun_OutShaman)+Z1124*(INDEX(tun_PriestShare,G1124)*tun_OutPriest+INDEX(tun_ScribeShare,G1124)*tun_OutScribe*INDEX(LM_Scribe,G1124)+INDEX(tun_ScholarShare,G1124)*tun_OutScholar*INDEX(LM_Scholar,G1124)+INDEX(tun_ResearcherShare,G1124)*tun_OutResearcher*INDEX(LM_Researcher,G1124)))</x:f>
        <x:v>0</x:v>
      </x:c>
      <x:c r="AL1124" s="32" t="n">
        <x:f>H1124*tun_RoleScale*Arch_Roles*AE1124*INDEX(tun_MonasteryPerSett,G1124)*tun_OutMonastery*INDEX(LM_Monastery,G1124)</x:f>
        <x:v>0</x:v>
      </x:c>
      <x:c r="AM1124" s="32" t="n">
        <x:f>(AJ1124+AK1124+AL1124)/4*INDEX(LM_All,G1124)*INDEX(tun_Boon,G1124)*Arch_Insight</x:f>
        <x:v>0</x:v>
      </x:c>
      <x:c r="AN1124" s="32" t="n">
        <x:f>H1124*(tun_KHPerAdult*Z1124+tun_KHOfCommons*AJ1124/4*INDEX(LM_All,G1124))*tun_KHUsable*Arch_KH</x:f>
        <x:v>0</x:v>
      </x:c>
      <x:c r="AO1124" s="32" t="n">
        <x:f>MIN(AP1123+AN1124,AM1124*tun_KHMaxRatio)</x:f>
        <x:v>0</x:v>
      </x:c>
      <x:c r="AP1124" s="32" t="n">
        <x:f>AP1123+AN1124-AO1124</x:f>
        <x:v>0</x:v>
      </x:c>
      <x:c r="AQ1124" s="32" t="n">
        <x:f>AM1124+AO1124</x:f>
        <x:v>0</x:v>
      </x:c>
      <x:c r="AR1124" s="10" t="n">
        <x:f>IF(H1124=1,INDEX(tun_Req,G1124),0)</x:f>
        <x:v>0</x:v>
      </x:c>
      <x:c r="AS1124" s="32" t="n">
        <x:f>IF(H1124=1,IF(E1124=1,AS1123-AR1123,AS1123)+AQ1124,0)</x:f>
        <x:v>0</x:v>
      </x:c>
      <x:c r="AT1124" s="11" t="n">
        <x:f>IF(AR1124&gt;0,MIN(1,AS1124/AR1124),1)</x:f>
        <x:v>1</x:v>
      </x:c>
      <x:c r="AU1124" s="10" t="n">
        <x:f>AB1124/INDEX(tun_RepScale,G1124)</x:f>
        <x:v>290.3368848566301</x:v>
      </x:c>
      <x:c r="AV1124" s="32" t="n">
        <x:f>AM1124*60/tun_SeasonSeconds</x:f>
        <x:v>0</x:v>
      </x:c>
    </x:row>
    <x:row r="1125">
      <x:c r="A1125" s="8" t="n">
        <x:f>A1124+1</x:f>
        <x:v>1122</x:v>
      </x:c>
      <x:c r="B1125" s="9" t="n">
        <x:f>A1125*tun_SeasonSeconds/60</x:f>
        <x:v>280.5</x:v>
      </x:c>
      <x:c r="C1125" s="9" t="n">
        <x:f>A1125/4</x:f>
        <x:v>280.5</x:v>
      </x:c>
      <x:c r="D1125" s="8" t="n">
        <x:f>IF(MOD(A1125,4)=0,1,0)</x:f>
        <x:v>0</x:v>
      </x:c>
      <x:c r="E1125" s="8" t="n">
        <x:f>IF(AND(F1124&lt;=9,AS1124&gt;=AR1124),1,0)</x:f>
        <x:v>0</x:v>
      </x:c>
      <x:c r="F1125" s="8" t="n">
        <x:f>MIN(10,F1124+E1125)</x:f>
        <x:v>10</x:v>
      </x:c>
      <x:c r="G1125" s="8" t="n">
        <x:f>MIN(F1125,9)+1</x:f>
        <x:v>10</x:v>
      </x:c>
      <x:c r="H1125" s="8" t="n">
        <x:f>IF(F1125&lt;=9,1,0)</x:f>
        <x:v>0</x:v>
      </x:c>
      <x:c r="I1125" s="9" t="n">
        <x:f>MIN(10,F1124+IF(AR1124&gt;0,MIN(1,AS1124/AR1124),1))</x:f>
        <x:v>10</x:v>
      </x:c>
      <x:c r="J1125" s="32" t="n">
        <x:f>INDEX(tun_FoodCap,G1125)*Arch_FoodCap*EXP(tun_CapsByProject*SUMPRODUCT((Cap_Point&lt;=I1125)*(Cap_Kind="Food")*Cap_Ln))</x:f>
        <x:v>18627.260449441455</x:v>
      </x:c>
      <x:c r="K1125" s="32" t="n">
        <x:f>J1125*MIN(1,tun_LeanBase*EXP(tun_CapsByProject*SUMPRODUCT((Cap_Point&lt;=I1125)*(Cap_Kind="Lean")*Cap_Ln)))</x:f>
        <x:v>18627.260449441455</x:v>
      </x:c>
      <x:c r="L1125" s="10" t="n">
        <x:f>INDEX(tun_HousingCap,G1125)*EXP(tun_CapsByProject*SUMPRODUCT((Cap_Point&lt;=I1125)*(Cap_Kind="Housing")*Cap_Ln))</x:f>
        <x:v>20528.974303173167</x:v>
      </x:c>
      <x:c r="M1125" s="10" t="n">
        <x:f>INDEX(tun_GroupCap,G1125)*tun_CohesionFactor*EXP(tun_CapsByProject*SUMPRODUCT((Cap_Point&lt;=I1125)*(Cap_Kind="Group")*Cap_Ln))</x:f>
        <x:v>1000000.000000001</x:v>
      </x:c>
      <x:c r="N1125" s="32" t="n">
        <x:f>MIN(J1125,L1125,M1125)</x:f>
        <x:v>18627.260449441455</x:v>
      </x:c>
      <x:c r="O1125" s="10" t="n">
        <x:f>AE1124*N1125</x:f>
        <x:v>167645.34404497308</x:v>
      </x:c>
      <x:c r="P1125" s="9" t="n">
        <x:f>MIN(1,(AB1124/(AE1124*IF(tun_GroupInCrowding=1,N1125,MIN(J1125,L1125))))^tun_CrowdingExp)</x:f>
        <x:v>0.4215841981292809</x:v>
      </x:c>
      <x:c r="Q1125" s="9" t="n">
        <x:f>IF(D1125=1,INDEX(tun_WinterMult,G1125),1)</x:f>
        <x:v>1</x:v>
      </x:c>
      <x:c r="R1125" s="9" t="n">
        <x:f>H1125*Z1124*tun_WomenShare*tun_BaseFertility*INDEX(tun_FertMult,G1125)*Arch_Fertility*(1-P1125)</x:f>
        <x:v>0</x:v>
      </x:c>
      <x:c r="S1125" s="9" t="n">
        <x:f>H1125*Y1124*INDEX(tun_MortChild,G1125)/4*Q1125</x:f>
        <x:v>0</x:v>
      </x:c>
      <x:c r="T1125" s="9" t="n">
        <x:f>H1125*Z1124*INDEX(tun_MortAdult,G1125)*Arch_AdultMort/4*Q1125</x:f>
        <x:v>0</x:v>
      </x:c>
      <x:c r="U1125" s="9" t="n">
        <x:f>H1125*AA1124*INDEX(tun_MortElder,G1125)/4*Q1125</x:f>
        <x:v>0</x:v>
      </x:c>
      <x:c r="V1125" s="9" t="n">
        <x:f>H1125*MAX(0,AB1124-O1125)*tun_OvercapLoss</x:f>
        <x:v>0</x:v>
      </x:c>
      <x:c r="W1125" s="9" t="n">
        <x:f>H1125*Y1124/(tun_ChildYears*4)</x:f>
        <x:v>0</x:v>
      </x:c>
      <x:c r="X1125" s="9" t="n">
        <x:f>H1125*Z1124/(tun_AdultYears*4)</x:f>
        <x:v>0</x:v>
      </x:c>
      <x:c r="Y1125" s="32" t="n">
        <x:f>Y1124+R1125-S1125-W1125-Y1124*V1125/AB1124</x:f>
        <x:v>40496.20709015643</x:v>
      </x:c>
      <x:c r="Z1125" s="32" t="n">
        <x:f>Z1124+W1125-X1125-T1125-Z1124*V1125/AB1124</x:f>
        <x:v>59141.61122890803</x:v>
      </x:c>
      <x:c r="AA1125" s="32" t="n">
        <x:f>AA1124+X1125-U1125-AA1124*V1125/AB1124</x:f>
        <x:v>45530.62410925061</x:v>
      </x:c>
      <x:c r="AB1125" s="10" t="n">
        <x:f>Y1125+Z1125+AA1125</x:f>
        <x:v>145168.44242831506</x:v>
      </x:c>
      <x:c r="AC1125" s="8" t="n">
        <x:f>IF(AND(tun_WinterTrigger=1,D1125=1,AB1124/AE1124&gt;=K1125),1,0)</x:f>
        <x:v>0</x:v>
      </x:c>
      <x:c r="AD1125" s="8" t="n">
        <x:f>H1125*IF(AND(OR(AB1124/AE1124&gt;=tun_FissionTrigger*N1125,AC1125=1),AB1124/AE1124*tun_DaughterShare&gt;=tun_MinDaughter),MAX(1,ROUND(AE1124*tun_FissionRate,0)),0)</x:f>
        <x:v>0</x:v>
      </x:c>
      <x:c r="AE1125" s="8" t="n">
        <x:f>IF(H1125=1,MAX(1,MIN(INDEX(tun_Smax,G1125),AE1124+AD1125)),AE1124)</x:f>
        <x:v>9</x:v>
      </x:c>
      <x:c r="AF1125" s="8" t="n">
        <x:f>MAX(0,AE1125-AE1124)</x:f>
        <x:v>0</x:v>
      </x:c>
      <x:c r="AG1125" s="9" t="str">
        <x:f>IF(AF1125&gt;0,B1125,"")</x:f>
      </x:c>
      <x:c r="AH1125" s="9" t="n">
        <x:f>IF(F1125&gt;=1,1,(1+tun_LowTiesShare*(AE1125-1))/AE1125)</x:f>
        <x:v>1</x:v>
      </x:c>
      <x:c r="AI1125" s="32" t="n">
        <x:f>(Z1125+tun_ElderCommons*INDEX(LM_Elder,G1125)*AA1125)*AH1125</x:f>
        <x:v>238215.0665857503</x:v>
      </x:c>
      <x:c r="AJ1125" s="32" t="n">
        <x:f>H1125*tun_CommonsCoef*AI1125^tun_CommonsExp*INDEX(LM_Commons,G1125)</x:f>
        <x:v>0</x:v>
      </x:c>
      <x:c r="AK1125" s="32" t="n">
        <x:f>H1125*tun_RoleScale*Arch_Roles*(AE1125*(INDEX(tun_ElderRolePerSett,G1125)*tun_OutElder*INDEX(LM_Elder,G1125)+INDEX(tun_ShamanPerSett,G1125)*tun_OutShaman)+Z1125*(INDEX(tun_PriestShare,G1125)*tun_OutPriest+INDEX(tun_ScribeShare,G1125)*tun_OutScribe*INDEX(LM_Scribe,G1125)+INDEX(tun_ScholarShare,G1125)*tun_OutScholar*INDEX(LM_Scholar,G1125)+INDEX(tun_ResearcherShare,G1125)*tun_OutResearcher*INDEX(LM_Researcher,G1125)))</x:f>
        <x:v>0</x:v>
      </x:c>
      <x:c r="AL1125" s="32" t="n">
        <x:f>H1125*tun_RoleScale*Arch_Roles*AE1125*INDEX(tun_MonasteryPerSett,G1125)*tun_OutMonastery*INDEX(LM_Monastery,G1125)</x:f>
        <x:v>0</x:v>
      </x:c>
      <x:c r="AM1125" s="32" t="n">
        <x:f>(AJ1125+AK1125+AL1125)/4*INDEX(LM_All,G1125)*INDEX(tun_Boon,G1125)*Arch_Insight</x:f>
        <x:v>0</x:v>
      </x:c>
      <x:c r="AN1125" s="32" t="n">
        <x:f>H1125*(tun_KHPerAdult*Z1125+tun_KHOfCommons*AJ1125/4*INDEX(LM_All,G1125))*tun_KHUsable*Arch_KH</x:f>
        <x:v>0</x:v>
      </x:c>
      <x:c r="AO1125" s="32" t="n">
        <x:f>MIN(AP1124+AN1125,AM1125*tun_KHMaxRatio)</x:f>
        <x:v>0</x:v>
      </x:c>
      <x:c r="AP1125" s="32" t="n">
        <x:f>AP1124+AN1125-AO1125</x:f>
        <x:v>0</x:v>
      </x:c>
      <x:c r="AQ1125" s="32" t="n">
        <x:f>AM1125+AO1125</x:f>
        <x:v>0</x:v>
      </x:c>
      <x:c r="AR1125" s="10" t="n">
        <x:f>IF(H1125=1,INDEX(tun_Req,G1125),0)</x:f>
        <x:v>0</x:v>
      </x:c>
      <x:c r="AS1125" s="32" t="n">
        <x:f>IF(H1125=1,IF(E1125=1,AS1124-AR1124,AS1124)+AQ1125,0)</x:f>
        <x:v>0</x:v>
      </x:c>
      <x:c r="AT1125" s="11" t="n">
        <x:f>IF(AR1125&gt;0,MIN(1,AS1125/AR1125),1)</x:f>
        <x:v>1</x:v>
      </x:c>
      <x:c r="AU1125" s="10" t="n">
        <x:f>AB1125/INDEX(tun_RepScale,G1125)</x:f>
        <x:v>290.3368848566301</x:v>
      </x:c>
      <x:c r="AV1125" s="32" t="n">
        <x:f>AM1125*60/tun_SeasonSeconds</x:f>
        <x:v>0</x:v>
      </x:c>
    </x:row>
    <x:row r="1126">
      <x:c r="A1126" s="8" t="n">
        <x:f>A1125+1</x:f>
        <x:v>1123</x:v>
      </x:c>
      <x:c r="B1126" s="9" t="n">
        <x:f>A1126*tun_SeasonSeconds/60</x:f>
        <x:v>280.75</x:v>
      </x:c>
      <x:c r="C1126" s="9" t="n">
        <x:f>A1126/4</x:f>
        <x:v>280.75</x:v>
      </x:c>
      <x:c r="D1126" s="8" t="n">
        <x:f>IF(MOD(A1126,4)=0,1,0)</x:f>
        <x:v>0</x:v>
      </x:c>
      <x:c r="E1126" s="8" t="n">
        <x:f>IF(AND(F1125&lt;=9,AS1125&gt;=AR1125),1,0)</x:f>
        <x:v>0</x:v>
      </x:c>
      <x:c r="F1126" s="8" t="n">
        <x:f>MIN(10,F1125+E1126)</x:f>
        <x:v>10</x:v>
      </x:c>
      <x:c r="G1126" s="8" t="n">
        <x:f>MIN(F1126,9)+1</x:f>
        <x:v>10</x:v>
      </x:c>
      <x:c r="H1126" s="8" t="n">
        <x:f>IF(F1126&lt;=9,1,0)</x:f>
        <x:v>0</x:v>
      </x:c>
      <x:c r="I1126" s="9" t="n">
        <x:f>MIN(10,F1125+IF(AR1125&gt;0,MIN(1,AS1125/AR1125),1))</x:f>
        <x:v>10</x:v>
      </x:c>
      <x:c r="J1126" s="32" t="n">
        <x:f>INDEX(tun_FoodCap,G1126)*Arch_FoodCap*EXP(tun_CapsByProject*SUMPRODUCT((Cap_Point&lt;=I1126)*(Cap_Kind="Food")*Cap_Ln))</x:f>
        <x:v>18627.260449441455</x:v>
      </x:c>
      <x:c r="K1126" s="32" t="n">
        <x:f>J1126*MIN(1,tun_LeanBase*EXP(tun_CapsByProject*SUMPRODUCT((Cap_Point&lt;=I1126)*(Cap_Kind="Lean")*Cap_Ln)))</x:f>
        <x:v>18627.260449441455</x:v>
      </x:c>
      <x:c r="L1126" s="10" t="n">
        <x:f>INDEX(tun_HousingCap,G1126)*EXP(tun_CapsByProject*SUMPRODUCT((Cap_Point&lt;=I1126)*(Cap_Kind="Housing")*Cap_Ln))</x:f>
        <x:v>20528.974303173167</x:v>
      </x:c>
      <x:c r="M1126" s="10" t="n">
        <x:f>INDEX(tun_GroupCap,G1126)*tun_CohesionFactor*EXP(tun_CapsByProject*SUMPRODUCT((Cap_Point&lt;=I1126)*(Cap_Kind="Group")*Cap_Ln))</x:f>
        <x:v>1000000.000000001</x:v>
      </x:c>
      <x:c r="N1126" s="32" t="n">
        <x:f>MIN(J1126,L1126,M1126)</x:f>
        <x:v>18627.260449441455</x:v>
      </x:c>
      <x:c r="O1126" s="10" t="n">
        <x:f>AE1125*N1126</x:f>
        <x:v>167645.34404497308</x:v>
      </x:c>
      <x:c r="P1126" s="9" t="n">
        <x:f>MIN(1,(AB1125/(AE1125*IF(tun_GroupInCrowding=1,N1126,MIN(J1126,L1126))))^tun_CrowdingExp)</x:f>
        <x:v>0.4215841981292809</x:v>
      </x:c>
      <x:c r="Q1126" s="9" t="n">
        <x:f>IF(D1126=1,INDEX(tun_WinterMult,G1126),1)</x:f>
        <x:v>1</x:v>
      </x:c>
      <x:c r="R1126" s="9" t="n">
        <x:f>H1126*Z1125*tun_WomenShare*tun_BaseFertility*INDEX(tun_FertMult,G1126)*Arch_Fertility*(1-P1126)</x:f>
        <x:v>0</x:v>
      </x:c>
      <x:c r="S1126" s="9" t="n">
        <x:f>H1126*Y1125*INDEX(tun_MortChild,G1126)/4*Q1126</x:f>
        <x:v>0</x:v>
      </x:c>
      <x:c r="T1126" s="9" t="n">
        <x:f>H1126*Z1125*INDEX(tun_MortAdult,G1126)*Arch_AdultMort/4*Q1126</x:f>
        <x:v>0</x:v>
      </x:c>
      <x:c r="U1126" s="9" t="n">
        <x:f>H1126*AA1125*INDEX(tun_MortElder,G1126)/4*Q1126</x:f>
        <x:v>0</x:v>
      </x:c>
      <x:c r="V1126" s="9" t="n">
        <x:f>H1126*MAX(0,AB1125-O1126)*tun_OvercapLoss</x:f>
        <x:v>0</x:v>
      </x:c>
      <x:c r="W1126" s="9" t="n">
        <x:f>H1126*Y1125/(tun_ChildYears*4)</x:f>
        <x:v>0</x:v>
      </x:c>
      <x:c r="X1126" s="9" t="n">
        <x:f>H1126*Z1125/(tun_AdultYears*4)</x:f>
        <x:v>0</x:v>
      </x:c>
      <x:c r="Y1126" s="32" t="n">
        <x:f>Y1125+R1126-S1126-W1126-Y1125*V1126/AB1125</x:f>
        <x:v>40496.20709015643</x:v>
      </x:c>
      <x:c r="Z1126" s="32" t="n">
        <x:f>Z1125+W1126-X1126-T1126-Z1125*V1126/AB1125</x:f>
        <x:v>59141.61122890803</x:v>
      </x:c>
      <x:c r="AA1126" s="32" t="n">
        <x:f>AA1125+X1126-U1126-AA1125*V1126/AB1125</x:f>
        <x:v>45530.62410925061</x:v>
      </x:c>
      <x:c r="AB1126" s="10" t="n">
        <x:f>Y1126+Z1126+AA1126</x:f>
        <x:v>145168.44242831506</x:v>
      </x:c>
      <x:c r="AC1126" s="8" t="n">
        <x:f>IF(AND(tun_WinterTrigger=1,D1126=1,AB1125/AE1125&gt;=K1126),1,0)</x:f>
        <x:v>0</x:v>
      </x:c>
      <x:c r="AD1126" s="8" t="n">
        <x:f>H1126*IF(AND(OR(AB1125/AE1125&gt;=tun_FissionTrigger*N1126,AC1126=1),AB1125/AE1125*tun_DaughterShare&gt;=tun_MinDaughter),MAX(1,ROUND(AE1125*tun_FissionRate,0)),0)</x:f>
        <x:v>0</x:v>
      </x:c>
      <x:c r="AE1126" s="8" t="n">
        <x:f>IF(H1126=1,MAX(1,MIN(INDEX(tun_Smax,G1126),AE1125+AD1126)),AE1125)</x:f>
        <x:v>9</x:v>
      </x:c>
      <x:c r="AF1126" s="8" t="n">
        <x:f>MAX(0,AE1126-AE1125)</x:f>
        <x:v>0</x:v>
      </x:c>
      <x:c r="AG1126" s="9" t="str">
        <x:f>IF(AF1126&gt;0,B1126,"")</x:f>
      </x:c>
      <x:c r="AH1126" s="9" t="n">
        <x:f>IF(F1126&gt;=1,1,(1+tun_LowTiesShare*(AE1126-1))/AE1126)</x:f>
        <x:v>1</x:v>
      </x:c>
      <x:c r="AI1126" s="32" t="n">
        <x:f>(Z1126+tun_ElderCommons*INDEX(LM_Elder,G1126)*AA1126)*AH1126</x:f>
        <x:v>238215.0665857503</x:v>
      </x:c>
      <x:c r="AJ1126" s="32" t="n">
        <x:f>H1126*tun_CommonsCoef*AI1126^tun_CommonsExp*INDEX(LM_Commons,G1126)</x:f>
        <x:v>0</x:v>
      </x:c>
      <x:c r="AK1126" s="32" t="n">
        <x:f>H1126*tun_RoleScale*Arch_Roles*(AE1126*(INDEX(tun_ElderRolePerSett,G1126)*tun_OutElder*INDEX(LM_Elder,G1126)+INDEX(tun_ShamanPerSett,G1126)*tun_OutShaman)+Z1126*(INDEX(tun_PriestShare,G1126)*tun_OutPriest+INDEX(tun_ScribeShare,G1126)*tun_OutScribe*INDEX(LM_Scribe,G1126)+INDEX(tun_ScholarShare,G1126)*tun_OutScholar*INDEX(LM_Scholar,G1126)+INDEX(tun_ResearcherShare,G1126)*tun_OutResearcher*INDEX(LM_Researcher,G1126)))</x:f>
        <x:v>0</x:v>
      </x:c>
      <x:c r="AL1126" s="32" t="n">
        <x:f>H1126*tun_RoleScale*Arch_Roles*AE1126*INDEX(tun_MonasteryPerSett,G1126)*tun_OutMonastery*INDEX(LM_Monastery,G1126)</x:f>
        <x:v>0</x:v>
      </x:c>
      <x:c r="AM1126" s="32" t="n">
        <x:f>(AJ1126+AK1126+AL1126)/4*INDEX(LM_All,G1126)*INDEX(tun_Boon,G1126)*Arch_Insight</x:f>
        <x:v>0</x:v>
      </x:c>
      <x:c r="AN1126" s="32" t="n">
        <x:f>H1126*(tun_KHPerAdult*Z1126+tun_KHOfCommons*AJ1126/4*INDEX(LM_All,G1126))*tun_KHUsable*Arch_KH</x:f>
        <x:v>0</x:v>
      </x:c>
      <x:c r="AO1126" s="32" t="n">
        <x:f>MIN(AP1125+AN1126,AM1126*tun_KHMaxRatio)</x:f>
        <x:v>0</x:v>
      </x:c>
      <x:c r="AP1126" s="32" t="n">
        <x:f>AP1125+AN1126-AO1126</x:f>
        <x:v>0</x:v>
      </x:c>
      <x:c r="AQ1126" s="32" t="n">
        <x:f>AM1126+AO1126</x:f>
        <x:v>0</x:v>
      </x:c>
      <x:c r="AR1126" s="10" t="n">
        <x:f>IF(H1126=1,INDEX(tun_Req,G1126),0)</x:f>
        <x:v>0</x:v>
      </x:c>
      <x:c r="AS1126" s="32" t="n">
        <x:f>IF(H1126=1,IF(E1126=1,AS1125-AR1125,AS1125)+AQ1126,0)</x:f>
        <x:v>0</x:v>
      </x:c>
      <x:c r="AT1126" s="11" t="n">
        <x:f>IF(AR1126&gt;0,MIN(1,AS1126/AR1126),1)</x:f>
        <x:v>1</x:v>
      </x:c>
      <x:c r="AU1126" s="10" t="n">
        <x:f>AB1126/INDEX(tun_RepScale,G1126)</x:f>
        <x:v>290.3368848566301</x:v>
      </x:c>
      <x:c r="AV1126" s="32" t="n">
        <x:f>AM1126*60/tun_SeasonSeconds</x:f>
        <x:v>0</x:v>
      </x:c>
    </x:row>
    <x:row r="1127">
      <x:c r="A1127" s="8" t="n">
        <x:f>A1126+1</x:f>
        <x:v>1124</x:v>
      </x:c>
      <x:c r="B1127" s="9" t="n">
        <x:f>A1127*tun_SeasonSeconds/60</x:f>
        <x:v>281</x:v>
      </x:c>
      <x:c r="C1127" s="9" t="n">
        <x:f>A1127/4</x:f>
        <x:v>281</x:v>
      </x:c>
      <x:c r="D1127" s="8" t="n">
        <x:f>IF(MOD(A1127,4)=0,1,0)</x:f>
        <x:v>1</x:v>
      </x:c>
      <x:c r="E1127" s="8" t="n">
        <x:f>IF(AND(F1126&lt;=9,AS1126&gt;=AR1126),1,0)</x:f>
        <x:v>0</x:v>
      </x:c>
      <x:c r="F1127" s="8" t="n">
        <x:f>MIN(10,F1126+E1127)</x:f>
        <x:v>10</x:v>
      </x:c>
      <x:c r="G1127" s="8" t="n">
        <x:f>MIN(F1127,9)+1</x:f>
        <x:v>10</x:v>
      </x:c>
      <x:c r="H1127" s="8" t="n">
        <x:f>IF(F1127&lt;=9,1,0)</x:f>
        <x:v>0</x:v>
      </x:c>
      <x:c r="I1127" s="9" t="n">
        <x:f>MIN(10,F1126+IF(AR1126&gt;0,MIN(1,AS1126/AR1126),1))</x:f>
        <x:v>10</x:v>
      </x:c>
      <x:c r="J1127" s="32" t="n">
        <x:f>INDEX(tun_FoodCap,G1127)*Arch_FoodCap*EXP(tun_CapsByProject*SUMPRODUCT((Cap_Point&lt;=I1127)*(Cap_Kind="Food")*Cap_Ln))</x:f>
        <x:v>18627.260449441455</x:v>
      </x:c>
      <x:c r="K1127" s="32" t="n">
        <x:f>J1127*MIN(1,tun_LeanBase*EXP(tun_CapsByProject*SUMPRODUCT((Cap_Point&lt;=I1127)*(Cap_Kind="Lean")*Cap_Ln)))</x:f>
        <x:v>18627.260449441455</x:v>
      </x:c>
      <x:c r="L1127" s="10" t="n">
        <x:f>INDEX(tun_HousingCap,G1127)*EXP(tun_CapsByProject*SUMPRODUCT((Cap_Point&lt;=I1127)*(Cap_Kind="Housing")*Cap_Ln))</x:f>
        <x:v>20528.974303173167</x:v>
      </x:c>
      <x:c r="M1127" s="10" t="n">
        <x:f>INDEX(tun_GroupCap,G1127)*tun_CohesionFactor*EXP(tun_CapsByProject*SUMPRODUCT((Cap_Point&lt;=I1127)*(Cap_Kind="Group")*Cap_Ln))</x:f>
        <x:v>1000000.000000001</x:v>
      </x:c>
      <x:c r="N1127" s="32" t="n">
        <x:f>MIN(J1127,L1127,M1127)</x:f>
        <x:v>18627.260449441455</x:v>
      </x:c>
      <x:c r="O1127" s="10" t="n">
        <x:f>AE1126*N1127</x:f>
        <x:v>167645.34404497308</x:v>
      </x:c>
      <x:c r="P1127" s="9" t="n">
        <x:f>MIN(1,(AB1126/(AE1126*IF(tun_GroupInCrowding=1,N1127,MIN(J1127,L1127))))^tun_CrowdingExp)</x:f>
        <x:v>0.4215841981292809</x:v>
      </x:c>
      <x:c r="Q1127" s="9" t="n">
        <x:f>IF(D1127=1,INDEX(tun_WinterMult,G1127),1)</x:f>
        <x:v>1.05</x:v>
      </x:c>
      <x:c r="R1127" s="9" t="n">
        <x:f>H1127*Z1126*tun_WomenShare*tun_BaseFertility*INDEX(tun_FertMult,G1127)*Arch_Fertility*(1-P1127)</x:f>
        <x:v>0</x:v>
      </x:c>
      <x:c r="S1127" s="9" t="n">
        <x:f>H1127*Y1126*INDEX(tun_MortChild,G1127)/4*Q1127</x:f>
        <x:v>0</x:v>
      </x:c>
      <x:c r="T1127" s="9" t="n">
        <x:f>H1127*Z1126*INDEX(tun_MortAdult,G1127)*Arch_AdultMort/4*Q1127</x:f>
        <x:v>0</x:v>
      </x:c>
      <x:c r="U1127" s="9" t="n">
        <x:f>H1127*AA1126*INDEX(tun_MortElder,G1127)/4*Q1127</x:f>
        <x:v>0</x:v>
      </x:c>
      <x:c r="V1127" s="9" t="n">
        <x:f>H1127*MAX(0,AB1126-O1127)*tun_OvercapLoss</x:f>
        <x:v>0</x:v>
      </x:c>
      <x:c r="W1127" s="9" t="n">
        <x:f>H1127*Y1126/(tun_ChildYears*4)</x:f>
        <x:v>0</x:v>
      </x:c>
      <x:c r="X1127" s="9" t="n">
        <x:f>H1127*Z1126/(tun_AdultYears*4)</x:f>
        <x:v>0</x:v>
      </x:c>
      <x:c r="Y1127" s="32" t="n">
        <x:f>Y1126+R1127-S1127-W1127-Y1126*V1127/AB1126</x:f>
        <x:v>40496.20709015643</x:v>
      </x:c>
      <x:c r="Z1127" s="32" t="n">
        <x:f>Z1126+W1127-X1127-T1127-Z1126*V1127/AB1126</x:f>
        <x:v>59141.61122890803</x:v>
      </x:c>
      <x:c r="AA1127" s="32" t="n">
        <x:f>AA1126+X1127-U1127-AA1126*V1127/AB1126</x:f>
        <x:v>45530.62410925061</x:v>
      </x:c>
      <x:c r="AB1127" s="10" t="n">
        <x:f>Y1127+Z1127+AA1127</x:f>
        <x:v>145168.44242831506</x:v>
      </x:c>
      <x:c r="AC1127" s="8" t="n">
        <x:f>IF(AND(tun_WinterTrigger=1,D1127=1,AB1126/AE1126&gt;=K1127),1,0)</x:f>
        <x:v>0</x:v>
      </x:c>
      <x:c r="AD1127" s="8" t="n">
        <x:f>H1127*IF(AND(OR(AB1126/AE1126&gt;=tun_FissionTrigger*N1127,AC1127=1),AB1126/AE1126*tun_DaughterShare&gt;=tun_MinDaughter),MAX(1,ROUND(AE1126*tun_FissionRate,0)),0)</x:f>
        <x:v>0</x:v>
      </x:c>
      <x:c r="AE1127" s="8" t="n">
        <x:f>IF(H1127=1,MAX(1,MIN(INDEX(tun_Smax,G1127),AE1126+AD1127)),AE1126)</x:f>
        <x:v>9</x:v>
      </x:c>
      <x:c r="AF1127" s="8" t="n">
        <x:f>MAX(0,AE1127-AE1126)</x:f>
        <x:v>0</x:v>
      </x:c>
      <x:c r="AG1127" s="9" t="str">
        <x:f>IF(AF1127&gt;0,B1127,"")</x:f>
      </x:c>
      <x:c r="AH1127" s="9" t="n">
        <x:f>IF(F1127&gt;=1,1,(1+tun_LowTiesShare*(AE1127-1))/AE1127)</x:f>
        <x:v>1</x:v>
      </x:c>
      <x:c r="AI1127" s="32" t="n">
        <x:f>(Z1127+tun_ElderCommons*INDEX(LM_Elder,G1127)*AA1127)*AH1127</x:f>
        <x:v>238215.0665857503</x:v>
      </x:c>
      <x:c r="AJ1127" s="32" t="n">
        <x:f>H1127*tun_CommonsCoef*AI1127^tun_CommonsExp*INDEX(LM_Commons,G1127)</x:f>
        <x:v>0</x:v>
      </x:c>
      <x:c r="AK1127" s="32" t="n">
        <x:f>H1127*tun_RoleScale*Arch_Roles*(AE1127*(INDEX(tun_ElderRolePerSett,G1127)*tun_OutElder*INDEX(LM_Elder,G1127)+INDEX(tun_ShamanPerSett,G1127)*tun_OutShaman)+Z1127*(INDEX(tun_PriestShare,G1127)*tun_OutPriest+INDEX(tun_ScribeShare,G1127)*tun_OutScribe*INDEX(LM_Scribe,G1127)+INDEX(tun_ScholarShare,G1127)*tun_OutScholar*INDEX(LM_Scholar,G1127)+INDEX(tun_ResearcherShare,G1127)*tun_OutResearcher*INDEX(LM_Researcher,G1127)))</x:f>
        <x:v>0</x:v>
      </x:c>
      <x:c r="AL1127" s="32" t="n">
        <x:f>H1127*tun_RoleScale*Arch_Roles*AE1127*INDEX(tun_MonasteryPerSett,G1127)*tun_OutMonastery*INDEX(LM_Monastery,G1127)</x:f>
        <x:v>0</x:v>
      </x:c>
      <x:c r="AM1127" s="32" t="n">
        <x:f>(AJ1127+AK1127+AL1127)/4*INDEX(LM_All,G1127)*INDEX(tun_Boon,G1127)*Arch_Insight</x:f>
        <x:v>0</x:v>
      </x:c>
      <x:c r="AN1127" s="32" t="n">
        <x:f>H1127*(tun_KHPerAdult*Z1127+tun_KHOfCommons*AJ1127/4*INDEX(LM_All,G1127))*tun_KHUsable*Arch_KH</x:f>
        <x:v>0</x:v>
      </x:c>
      <x:c r="AO1127" s="32" t="n">
        <x:f>MIN(AP1126+AN1127,AM1127*tun_KHMaxRatio)</x:f>
        <x:v>0</x:v>
      </x:c>
      <x:c r="AP1127" s="32" t="n">
        <x:f>AP1126+AN1127-AO1127</x:f>
        <x:v>0</x:v>
      </x:c>
      <x:c r="AQ1127" s="32" t="n">
        <x:f>AM1127+AO1127</x:f>
        <x:v>0</x:v>
      </x:c>
      <x:c r="AR1127" s="10" t="n">
        <x:f>IF(H1127=1,INDEX(tun_Req,G1127),0)</x:f>
        <x:v>0</x:v>
      </x:c>
      <x:c r="AS1127" s="32" t="n">
        <x:f>IF(H1127=1,IF(E1127=1,AS1126-AR1126,AS1126)+AQ1127,0)</x:f>
        <x:v>0</x:v>
      </x:c>
      <x:c r="AT1127" s="11" t="n">
        <x:f>IF(AR1127&gt;0,MIN(1,AS1127/AR1127),1)</x:f>
        <x:v>1</x:v>
      </x:c>
      <x:c r="AU1127" s="10" t="n">
        <x:f>AB1127/INDEX(tun_RepScale,G1127)</x:f>
        <x:v>290.3368848566301</x:v>
      </x:c>
      <x:c r="AV1127" s="32" t="n">
        <x:f>AM1127*60/tun_SeasonSeconds</x:f>
        <x:v>0</x:v>
      </x:c>
    </x:row>
    <x:row r="1128">
      <x:c r="A1128" s="8" t="n">
        <x:f>A1127+1</x:f>
        <x:v>1125</x:v>
      </x:c>
      <x:c r="B1128" s="9" t="n">
        <x:f>A1128*tun_SeasonSeconds/60</x:f>
        <x:v>281.25</x:v>
      </x:c>
      <x:c r="C1128" s="9" t="n">
        <x:f>A1128/4</x:f>
        <x:v>281.25</x:v>
      </x:c>
      <x:c r="D1128" s="8" t="n">
        <x:f>IF(MOD(A1128,4)=0,1,0)</x:f>
        <x:v>0</x:v>
      </x:c>
      <x:c r="E1128" s="8" t="n">
        <x:f>IF(AND(F1127&lt;=9,AS1127&gt;=AR1127),1,0)</x:f>
        <x:v>0</x:v>
      </x:c>
      <x:c r="F1128" s="8" t="n">
        <x:f>MIN(10,F1127+E1128)</x:f>
        <x:v>10</x:v>
      </x:c>
      <x:c r="G1128" s="8" t="n">
        <x:f>MIN(F1128,9)+1</x:f>
        <x:v>10</x:v>
      </x:c>
      <x:c r="H1128" s="8" t="n">
        <x:f>IF(F1128&lt;=9,1,0)</x:f>
        <x:v>0</x:v>
      </x:c>
      <x:c r="I1128" s="9" t="n">
        <x:f>MIN(10,F1127+IF(AR1127&gt;0,MIN(1,AS1127/AR1127),1))</x:f>
        <x:v>10</x:v>
      </x:c>
      <x:c r="J1128" s="32" t="n">
        <x:f>INDEX(tun_FoodCap,G1128)*Arch_FoodCap*EXP(tun_CapsByProject*SUMPRODUCT((Cap_Point&lt;=I1128)*(Cap_Kind="Food")*Cap_Ln))</x:f>
        <x:v>18627.260449441455</x:v>
      </x:c>
      <x:c r="K1128" s="32" t="n">
        <x:f>J1128*MIN(1,tun_LeanBase*EXP(tun_CapsByProject*SUMPRODUCT((Cap_Point&lt;=I1128)*(Cap_Kind="Lean")*Cap_Ln)))</x:f>
        <x:v>18627.260449441455</x:v>
      </x:c>
      <x:c r="L1128" s="10" t="n">
        <x:f>INDEX(tun_HousingCap,G1128)*EXP(tun_CapsByProject*SUMPRODUCT((Cap_Point&lt;=I1128)*(Cap_Kind="Housing")*Cap_Ln))</x:f>
        <x:v>20528.974303173167</x:v>
      </x:c>
      <x:c r="M1128" s="10" t="n">
        <x:f>INDEX(tun_GroupCap,G1128)*tun_CohesionFactor*EXP(tun_CapsByProject*SUMPRODUCT((Cap_Point&lt;=I1128)*(Cap_Kind="Group")*Cap_Ln))</x:f>
        <x:v>1000000.000000001</x:v>
      </x:c>
      <x:c r="N1128" s="32" t="n">
        <x:f>MIN(J1128,L1128,M1128)</x:f>
        <x:v>18627.260449441455</x:v>
      </x:c>
      <x:c r="O1128" s="10" t="n">
        <x:f>AE1127*N1128</x:f>
        <x:v>167645.34404497308</x:v>
      </x:c>
      <x:c r="P1128" s="9" t="n">
        <x:f>MIN(1,(AB1127/(AE1127*IF(tun_GroupInCrowding=1,N1128,MIN(J1128,L1128))))^tun_CrowdingExp)</x:f>
        <x:v>0.4215841981292809</x:v>
      </x:c>
      <x:c r="Q1128" s="9" t="n">
        <x:f>IF(D1128=1,INDEX(tun_WinterMult,G1128),1)</x:f>
        <x:v>1</x:v>
      </x:c>
      <x:c r="R1128" s="9" t="n">
        <x:f>H1128*Z1127*tun_WomenShare*tun_BaseFertility*INDEX(tun_FertMult,G1128)*Arch_Fertility*(1-P1128)</x:f>
        <x:v>0</x:v>
      </x:c>
      <x:c r="S1128" s="9" t="n">
        <x:f>H1128*Y1127*INDEX(tun_MortChild,G1128)/4*Q1128</x:f>
        <x:v>0</x:v>
      </x:c>
      <x:c r="T1128" s="9" t="n">
        <x:f>H1128*Z1127*INDEX(tun_MortAdult,G1128)*Arch_AdultMort/4*Q1128</x:f>
        <x:v>0</x:v>
      </x:c>
      <x:c r="U1128" s="9" t="n">
        <x:f>H1128*AA1127*INDEX(tun_MortElder,G1128)/4*Q1128</x:f>
        <x:v>0</x:v>
      </x:c>
      <x:c r="V1128" s="9" t="n">
        <x:f>H1128*MAX(0,AB1127-O1128)*tun_OvercapLoss</x:f>
        <x:v>0</x:v>
      </x:c>
      <x:c r="W1128" s="9" t="n">
        <x:f>H1128*Y1127/(tun_ChildYears*4)</x:f>
        <x:v>0</x:v>
      </x:c>
      <x:c r="X1128" s="9" t="n">
        <x:f>H1128*Z1127/(tun_AdultYears*4)</x:f>
        <x:v>0</x:v>
      </x:c>
      <x:c r="Y1128" s="32" t="n">
        <x:f>Y1127+R1128-S1128-W1128-Y1127*V1128/AB1127</x:f>
        <x:v>40496.20709015643</x:v>
      </x:c>
      <x:c r="Z1128" s="32" t="n">
        <x:f>Z1127+W1128-X1128-T1128-Z1127*V1128/AB1127</x:f>
        <x:v>59141.61122890803</x:v>
      </x:c>
      <x:c r="AA1128" s="32" t="n">
        <x:f>AA1127+X1128-U1128-AA1127*V1128/AB1127</x:f>
        <x:v>45530.62410925061</x:v>
      </x:c>
      <x:c r="AB1128" s="10" t="n">
        <x:f>Y1128+Z1128+AA1128</x:f>
        <x:v>145168.44242831506</x:v>
      </x:c>
      <x:c r="AC1128" s="8" t="n">
        <x:f>IF(AND(tun_WinterTrigger=1,D1128=1,AB1127/AE1127&gt;=K1128),1,0)</x:f>
        <x:v>0</x:v>
      </x:c>
      <x:c r="AD1128" s="8" t="n">
        <x:f>H1128*IF(AND(OR(AB1127/AE1127&gt;=tun_FissionTrigger*N1128,AC1128=1),AB1127/AE1127*tun_DaughterShare&gt;=tun_MinDaughter),MAX(1,ROUND(AE1127*tun_FissionRate,0)),0)</x:f>
        <x:v>0</x:v>
      </x:c>
      <x:c r="AE1128" s="8" t="n">
        <x:f>IF(H1128=1,MAX(1,MIN(INDEX(tun_Smax,G1128),AE1127+AD1128)),AE1127)</x:f>
        <x:v>9</x:v>
      </x:c>
      <x:c r="AF1128" s="8" t="n">
        <x:f>MAX(0,AE1128-AE1127)</x:f>
        <x:v>0</x:v>
      </x:c>
      <x:c r="AG1128" s="9" t="str">
        <x:f>IF(AF1128&gt;0,B1128,"")</x:f>
      </x:c>
      <x:c r="AH1128" s="9" t="n">
        <x:f>IF(F1128&gt;=1,1,(1+tun_LowTiesShare*(AE1128-1))/AE1128)</x:f>
        <x:v>1</x:v>
      </x:c>
      <x:c r="AI1128" s="32" t="n">
        <x:f>(Z1128+tun_ElderCommons*INDEX(LM_Elder,G1128)*AA1128)*AH1128</x:f>
        <x:v>238215.0665857503</x:v>
      </x:c>
      <x:c r="AJ1128" s="32" t="n">
        <x:f>H1128*tun_CommonsCoef*AI1128^tun_CommonsExp*INDEX(LM_Commons,G1128)</x:f>
        <x:v>0</x:v>
      </x:c>
      <x:c r="AK1128" s="32" t="n">
        <x:f>H1128*tun_RoleScale*Arch_Roles*(AE1128*(INDEX(tun_ElderRolePerSett,G1128)*tun_OutElder*INDEX(LM_Elder,G1128)+INDEX(tun_ShamanPerSett,G1128)*tun_OutShaman)+Z1128*(INDEX(tun_PriestShare,G1128)*tun_OutPriest+INDEX(tun_ScribeShare,G1128)*tun_OutScribe*INDEX(LM_Scribe,G1128)+INDEX(tun_ScholarShare,G1128)*tun_OutScholar*INDEX(LM_Scholar,G1128)+INDEX(tun_ResearcherShare,G1128)*tun_OutResearcher*INDEX(LM_Researcher,G1128)))</x:f>
        <x:v>0</x:v>
      </x:c>
      <x:c r="AL1128" s="32" t="n">
        <x:f>H1128*tun_RoleScale*Arch_Roles*AE1128*INDEX(tun_MonasteryPerSett,G1128)*tun_OutMonastery*INDEX(LM_Monastery,G1128)</x:f>
        <x:v>0</x:v>
      </x:c>
      <x:c r="AM1128" s="32" t="n">
        <x:f>(AJ1128+AK1128+AL1128)/4*INDEX(LM_All,G1128)*INDEX(tun_Boon,G1128)*Arch_Insight</x:f>
        <x:v>0</x:v>
      </x:c>
      <x:c r="AN1128" s="32" t="n">
        <x:f>H1128*(tun_KHPerAdult*Z1128+tun_KHOfCommons*AJ1128/4*INDEX(LM_All,G1128))*tun_KHUsable*Arch_KH</x:f>
        <x:v>0</x:v>
      </x:c>
      <x:c r="AO1128" s="32" t="n">
        <x:f>MIN(AP1127+AN1128,AM1128*tun_KHMaxRatio)</x:f>
        <x:v>0</x:v>
      </x:c>
      <x:c r="AP1128" s="32" t="n">
        <x:f>AP1127+AN1128-AO1128</x:f>
        <x:v>0</x:v>
      </x:c>
      <x:c r="AQ1128" s="32" t="n">
        <x:f>AM1128+AO1128</x:f>
        <x:v>0</x:v>
      </x:c>
      <x:c r="AR1128" s="10" t="n">
        <x:f>IF(H1128=1,INDEX(tun_Req,G1128),0)</x:f>
        <x:v>0</x:v>
      </x:c>
      <x:c r="AS1128" s="32" t="n">
        <x:f>IF(H1128=1,IF(E1128=1,AS1127-AR1127,AS1127)+AQ1128,0)</x:f>
        <x:v>0</x:v>
      </x:c>
      <x:c r="AT1128" s="11" t="n">
        <x:f>IF(AR1128&gt;0,MIN(1,AS1128/AR1128),1)</x:f>
        <x:v>1</x:v>
      </x:c>
      <x:c r="AU1128" s="10" t="n">
        <x:f>AB1128/INDEX(tun_RepScale,G1128)</x:f>
        <x:v>290.3368848566301</x:v>
      </x:c>
      <x:c r="AV1128" s="32" t="n">
        <x:f>AM1128*60/tun_SeasonSeconds</x:f>
        <x:v>0</x:v>
      </x:c>
    </x:row>
    <x:row r="1129">
      <x:c r="A1129" s="8" t="n">
        <x:f>A1128+1</x:f>
        <x:v>1126</x:v>
      </x:c>
      <x:c r="B1129" s="9" t="n">
        <x:f>A1129*tun_SeasonSeconds/60</x:f>
        <x:v>281.5</x:v>
      </x:c>
      <x:c r="C1129" s="9" t="n">
        <x:f>A1129/4</x:f>
        <x:v>281.5</x:v>
      </x:c>
      <x:c r="D1129" s="8" t="n">
        <x:f>IF(MOD(A1129,4)=0,1,0)</x:f>
        <x:v>0</x:v>
      </x:c>
      <x:c r="E1129" s="8" t="n">
        <x:f>IF(AND(F1128&lt;=9,AS1128&gt;=AR1128),1,0)</x:f>
        <x:v>0</x:v>
      </x:c>
      <x:c r="F1129" s="8" t="n">
        <x:f>MIN(10,F1128+E1129)</x:f>
        <x:v>10</x:v>
      </x:c>
      <x:c r="G1129" s="8" t="n">
        <x:f>MIN(F1129,9)+1</x:f>
        <x:v>10</x:v>
      </x:c>
      <x:c r="H1129" s="8" t="n">
        <x:f>IF(F1129&lt;=9,1,0)</x:f>
        <x:v>0</x:v>
      </x:c>
      <x:c r="I1129" s="9" t="n">
        <x:f>MIN(10,F1128+IF(AR1128&gt;0,MIN(1,AS1128/AR1128),1))</x:f>
        <x:v>10</x:v>
      </x:c>
      <x:c r="J1129" s="32" t="n">
        <x:f>INDEX(tun_FoodCap,G1129)*Arch_FoodCap*EXP(tun_CapsByProject*SUMPRODUCT((Cap_Point&lt;=I1129)*(Cap_Kind="Food")*Cap_Ln))</x:f>
        <x:v>18627.260449441455</x:v>
      </x:c>
      <x:c r="K1129" s="32" t="n">
        <x:f>J1129*MIN(1,tun_LeanBase*EXP(tun_CapsByProject*SUMPRODUCT((Cap_Point&lt;=I1129)*(Cap_Kind="Lean")*Cap_Ln)))</x:f>
        <x:v>18627.260449441455</x:v>
      </x:c>
      <x:c r="L1129" s="10" t="n">
        <x:f>INDEX(tun_HousingCap,G1129)*EXP(tun_CapsByProject*SUMPRODUCT((Cap_Point&lt;=I1129)*(Cap_Kind="Housing")*Cap_Ln))</x:f>
        <x:v>20528.974303173167</x:v>
      </x:c>
      <x:c r="M1129" s="10" t="n">
        <x:f>INDEX(tun_GroupCap,G1129)*tun_CohesionFactor*EXP(tun_CapsByProject*SUMPRODUCT((Cap_Point&lt;=I1129)*(Cap_Kind="Group")*Cap_Ln))</x:f>
        <x:v>1000000.000000001</x:v>
      </x:c>
      <x:c r="N1129" s="32" t="n">
        <x:f>MIN(J1129,L1129,M1129)</x:f>
        <x:v>18627.260449441455</x:v>
      </x:c>
      <x:c r="O1129" s="10" t="n">
        <x:f>AE1128*N1129</x:f>
        <x:v>167645.34404497308</x:v>
      </x:c>
      <x:c r="P1129" s="9" t="n">
        <x:f>MIN(1,(AB1128/(AE1128*IF(tun_GroupInCrowding=1,N1129,MIN(J1129,L1129))))^tun_CrowdingExp)</x:f>
        <x:v>0.4215841981292809</x:v>
      </x:c>
      <x:c r="Q1129" s="9" t="n">
        <x:f>IF(D1129=1,INDEX(tun_WinterMult,G1129),1)</x:f>
        <x:v>1</x:v>
      </x:c>
      <x:c r="R1129" s="9" t="n">
        <x:f>H1129*Z1128*tun_WomenShare*tun_BaseFertility*INDEX(tun_FertMult,G1129)*Arch_Fertility*(1-P1129)</x:f>
        <x:v>0</x:v>
      </x:c>
      <x:c r="S1129" s="9" t="n">
        <x:f>H1129*Y1128*INDEX(tun_MortChild,G1129)/4*Q1129</x:f>
        <x:v>0</x:v>
      </x:c>
      <x:c r="T1129" s="9" t="n">
        <x:f>H1129*Z1128*INDEX(tun_MortAdult,G1129)*Arch_AdultMort/4*Q1129</x:f>
        <x:v>0</x:v>
      </x:c>
      <x:c r="U1129" s="9" t="n">
        <x:f>H1129*AA1128*INDEX(tun_MortElder,G1129)/4*Q1129</x:f>
        <x:v>0</x:v>
      </x:c>
      <x:c r="V1129" s="9" t="n">
        <x:f>H1129*MAX(0,AB1128-O1129)*tun_OvercapLoss</x:f>
        <x:v>0</x:v>
      </x:c>
      <x:c r="W1129" s="9" t="n">
        <x:f>H1129*Y1128/(tun_ChildYears*4)</x:f>
        <x:v>0</x:v>
      </x:c>
      <x:c r="X1129" s="9" t="n">
        <x:f>H1129*Z1128/(tun_AdultYears*4)</x:f>
        <x:v>0</x:v>
      </x:c>
      <x:c r="Y1129" s="32" t="n">
        <x:f>Y1128+R1129-S1129-W1129-Y1128*V1129/AB1128</x:f>
        <x:v>40496.20709015643</x:v>
      </x:c>
      <x:c r="Z1129" s="32" t="n">
        <x:f>Z1128+W1129-X1129-T1129-Z1128*V1129/AB1128</x:f>
        <x:v>59141.61122890803</x:v>
      </x:c>
      <x:c r="AA1129" s="32" t="n">
        <x:f>AA1128+X1129-U1129-AA1128*V1129/AB1128</x:f>
        <x:v>45530.62410925061</x:v>
      </x:c>
      <x:c r="AB1129" s="10" t="n">
        <x:f>Y1129+Z1129+AA1129</x:f>
        <x:v>145168.44242831506</x:v>
      </x:c>
      <x:c r="AC1129" s="8" t="n">
        <x:f>IF(AND(tun_WinterTrigger=1,D1129=1,AB1128/AE1128&gt;=K1129),1,0)</x:f>
        <x:v>0</x:v>
      </x:c>
      <x:c r="AD1129" s="8" t="n">
        <x:f>H1129*IF(AND(OR(AB1128/AE1128&gt;=tun_FissionTrigger*N1129,AC1129=1),AB1128/AE1128*tun_DaughterShare&gt;=tun_MinDaughter),MAX(1,ROUND(AE1128*tun_FissionRate,0)),0)</x:f>
        <x:v>0</x:v>
      </x:c>
      <x:c r="AE1129" s="8" t="n">
        <x:f>IF(H1129=1,MAX(1,MIN(INDEX(tun_Smax,G1129),AE1128+AD1129)),AE1128)</x:f>
        <x:v>9</x:v>
      </x:c>
      <x:c r="AF1129" s="8" t="n">
        <x:f>MAX(0,AE1129-AE1128)</x:f>
        <x:v>0</x:v>
      </x:c>
      <x:c r="AG1129" s="9" t="str">
        <x:f>IF(AF1129&gt;0,B1129,"")</x:f>
      </x:c>
      <x:c r="AH1129" s="9" t="n">
        <x:f>IF(F1129&gt;=1,1,(1+tun_LowTiesShare*(AE1129-1))/AE1129)</x:f>
        <x:v>1</x:v>
      </x:c>
      <x:c r="AI1129" s="32" t="n">
        <x:f>(Z1129+tun_ElderCommons*INDEX(LM_Elder,G1129)*AA1129)*AH1129</x:f>
        <x:v>238215.0665857503</x:v>
      </x:c>
      <x:c r="AJ1129" s="32" t="n">
        <x:f>H1129*tun_CommonsCoef*AI1129^tun_CommonsExp*INDEX(LM_Commons,G1129)</x:f>
        <x:v>0</x:v>
      </x:c>
      <x:c r="AK1129" s="32" t="n">
        <x:f>H1129*tun_RoleScale*Arch_Roles*(AE1129*(INDEX(tun_ElderRolePerSett,G1129)*tun_OutElder*INDEX(LM_Elder,G1129)+INDEX(tun_ShamanPerSett,G1129)*tun_OutShaman)+Z1129*(INDEX(tun_PriestShare,G1129)*tun_OutPriest+INDEX(tun_ScribeShare,G1129)*tun_OutScribe*INDEX(LM_Scribe,G1129)+INDEX(tun_ScholarShare,G1129)*tun_OutScholar*INDEX(LM_Scholar,G1129)+INDEX(tun_ResearcherShare,G1129)*tun_OutResearcher*INDEX(LM_Researcher,G1129)))</x:f>
        <x:v>0</x:v>
      </x:c>
      <x:c r="AL1129" s="32" t="n">
        <x:f>H1129*tun_RoleScale*Arch_Roles*AE1129*INDEX(tun_MonasteryPerSett,G1129)*tun_OutMonastery*INDEX(LM_Monastery,G1129)</x:f>
        <x:v>0</x:v>
      </x:c>
      <x:c r="AM1129" s="32" t="n">
        <x:f>(AJ1129+AK1129+AL1129)/4*INDEX(LM_All,G1129)*INDEX(tun_Boon,G1129)*Arch_Insight</x:f>
        <x:v>0</x:v>
      </x:c>
      <x:c r="AN1129" s="32" t="n">
        <x:f>H1129*(tun_KHPerAdult*Z1129+tun_KHOfCommons*AJ1129/4*INDEX(LM_All,G1129))*tun_KHUsable*Arch_KH</x:f>
        <x:v>0</x:v>
      </x:c>
      <x:c r="AO1129" s="32" t="n">
        <x:f>MIN(AP1128+AN1129,AM1129*tun_KHMaxRatio)</x:f>
        <x:v>0</x:v>
      </x:c>
      <x:c r="AP1129" s="32" t="n">
        <x:f>AP1128+AN1129-AO1129</x:f>
        <x:v>0</x:v>
      </x:c>
      <x:c r="AQ1129" s="32" t="n">
        <x:f>AM1129+AO1129</x:f>
        <x:v>0</x:v>
      </x:c>
      <x:c r="AR1129" s="10" t="n">
        <x:f>IF(H1129=1,INDEX(tun_Req,G1129),0)</x:f>
        <x:v>0</x:v>
      </x:c>
      <x:c r="AS1129" s="32" t="n">
        <x:f>IF(H1129=1,IF(E1129=1,AS1128-AR1128,AS1128)+AQ1129,0)</x:f>
        <x:v>0</x:v>
      </x:c>
      <x:c r="AT1129" s="11" t="n">
        <x:f>IF(AR1129&gt;0,MIN(1,AS1129/AR1129),1)</x:f>
        <x:v>1</x:v>
      </x:c>
      <x:c r="AU1129" s="10" t="n">
        <x:f>AB1129/INDEX(tun_RepScale,G1129)</x:f>
        <x:v>290.3368848566301</x:v>
      </x:c>
      <x:c r="AV1129" s="32" t="n">
        <x:f>AM1129*60/tun_SeasonSeconds</x:f>
        <x:v>0</x:v>
      </x:c>
    </x:row>
    <x:row r="1130">
      <x:c r="A1130" s="8" t="n">
        <x:f>A1129+1</x:f>
        <x:v>1127</x:v>
      </x:c>
      <x:c r="B1130" s="9" t="n">
        <x:f>A1130*tun_SeasonSeconds/60</x:f>
        <x:v>281.75</x:v>
      </x:c>
      <x:c r="C1130" s="9" t="n">
        <x:f>A1130/4</x:f>
        <x:v>281.75</x:v>
      </x:c>
      <x:c r="D1130" s="8" t="n">
        <x:f>IF(MOD(A1130,4)=0,1,0)</x:f>
        <x:v>0</x:v>
      </x:c>
      <x:c r="E1130" s="8" t="n">
        <x:f>IF(AND(F1129&lt;=9,AS1129&gt;=AR1129),1,0)</x:f>
        <x:v>0</x:v>
      </x:c>
      <x:c r="F1130" s="8" t="n">
        <x:f>MIN(10,F1129+E1130)</x:f>
        <x:v>10</x:v>
      </x:c>
      <x:c r="G1130" s="8" t="n">
        <x:f>MIN(F1130,9)+1</x:f>
        <x:v>10</x:v>
      </x:c>
      <x:c r="H1130" s="8" t="n">
        <x:f>IF(F1130&lt;=9,1,0)</x:f>
        <x:v>0</x:v>
      </x:c>
      <x:c r="I1130" s="9" t="n">
        <x:f>MIN(10,F1129+IF(AR1129&gt;0,MIN(1,AS1129/AR1129),1))</x:f>
        <x:v>10</x:v>
      </x:c>
      <x:c r="J1130" s="32" t="n">
        <x:f>INDEX(tun_FoodCap,G1130)*Arch_FoodCap*EXP(tun_CapsByProject*SUMPRODUCT((Cap_Point&lt;=I1130)*(Cap_Kind="Food")*Cap_Ln))</x:f>
        <x:v>18627.260449441455</x:v>
      </x:c>
      <x:c r="K1130" s="32" t="n">
        <x:f>J1130*MIN(1,tun_LeanBase*EXP(tun_CapsByProject*SUMPRODUCT((Cap_Point&lt;=I1130)*(Cap_Kind="Lean")*Cap_Ln)))</x:f>
        <x:v>18627.260449441455</x:v>
      </x:c>
      <x:c r="L1130" s="10" t="n">
        <x:f>INDEX(tun_HousingCap,G1130)*EXP(tun_CapsByProject*SUMPRODUCT((Cap_Point&lt;=I1130)*(Cap_Kind="Housing")*Cap_Ln))</x:f>
        <x:v>20528.974303173167</x:v>
      </x:c>
      <x:c r="M1130" s="10" t="n">
        <x:f>INDEX(tun_GroupCap,G1130)*tun_CohesionFactor*EXP(tun_CapsByProject*SUMPRODUCT((Cap_Point&lt;=I1130)*(Cap_Kind="Group")*Cap_Ln))</x:f>
        <x:v>1000000.000000001</x:v>
      </x:c>
      <x:c r="N1130" s="32" t="n">
        <x:f>MIN(J1130,L1130,M1130)</x:f>
        <x:v>18627.260449441455</x:v>
      </x:c>
      <x:c r="O1130" s="10" t="n">
        <x:f>AE1129*N1130</x:f>
        <x:v>167645.34404497308</x:v>
      </x:c>
      <x:c r="P1130" s="9" t="n">
        <x:f>MIN(1,(AB1129/(AE1129*IF(tun_GroupInCrowding=1,N1130,MIN(J1130,L1130))))^tun_CrowdingExp)</x:f>
        <x:v>0.4215841981292809</x:v>
      </x:c>
      <x:c r="Q1130" s="9" t="n">
        <x:f>IF(D1130=1,INDEX(tun_WinterMult,G1130),1)</x:f>
        <x:v>1</x:v>
      </x:c>
      <x:c r="R1130" s="9" t="n">
        <x:f>H1130*Z1129*tun_WomenShare*tun_BaseFertility*INDEX(tun_FertMult,G1130)*Arch_Fertility*(1-P1130)</x:f>
        <x:v>0</x:v>
      </x:c>
      <x:c r="S1130" s="9" t="n">
        <x:f>H1130*Y1129*INDEX(tun_MortChild,G1130)/4*Q1130</x:f>
        <x:v>0</x:v>
      </x:c>
      <x:c r="T1130" s="9" t="n">
        <x:f>H1130*Z1129*INDEX(tun_MortAdult,G1130)*Arch_AdultMort/4*Q1130</x:f>
        <x:v>0</x:v>
      </x:c>
      <x:c r="U1130" s="9" t="n">
        <x:f>H1130*AA1129*INDEX(tun_MortElder,G1130)/4*Q1130</x:f>
        <x:v>0</x:v>
      </x:c>
      <x:c r="V1130" s="9" t="n">
        <x:f>H1130*MAX(0,AB1129-O1130)*tun_OvercapLoss</x:f>
        <x:v>0</x:v>
      </x:c>
      <x:c r="W1130" s="9" t="n">
        <x:f>H1130*Y1129/(tun_ChildYears*4)</x:f>
        <x:v>0</x:v>
      </x:c>
      <x:c r="X1130" s="9" t="n">
        <x:f>H1130*Z1129/(tun_AdultYears*4)</x:f>
        <x:v>0</x:v>
      </x:c>
      <x:c r="Y1130" s="32" t="n">
        <x:f>Y1129+R1130-S1130-W1130-Y1129*V1130/AB1129</x:f>
        <x:v>40496.20709015643</x:v>
      </x:c>
      <x:c r="Z1130" s="32" t="n">
        <x:f>Z1129+W1130-X1130-T1130-Z1129*V1130/AB1129</x:f>
        <x:v>59141.61122890803</x:v>
      </x:c>
      <x:c r="AA1130" s="32" t="n">
        <x:f>AA1129+X1130-U1130-AA1129*V1130/AB1129</x:f>
        <x:v>45530.62410925061</x:v>
      </x:c>
      <x:c r="AB1130" s="10" t="n">
        <x:f>Y1130+Z1130+AA1130</x:f>
        <x:v>145168.44242831506</x:v>
      </x:c>
      <x:c r="AC1130" s="8" t="n">
        <x:f>IF(AND(tun_WinterTrigger=1,D1130=1,AB1129/AE1129&gt;=K1130),1,0)</x:f>
        <x:v>0</x:v>
      </x:c>
      <x:c r="AD1130" s="8" t="n">
        <x:f>H1130*IF(AND(OR(AB1129/AE1129&gt;=tun_FissionTrigger*N1130,AC1130=1),AB1129/AE1129*tun_DaughterShare&gt;=tun_MinDaughter),MAX(1,ROUND(AE1129*tun_FissionRate,0)),0)</x:f>
        <x:v>0</x:v>
      </x:c>
      <x:c r="AE1130" s="8" t="n">
        <x:f>IF(H1130=1,MAX(1,MIN(INDEX(tun_Smax,G1130),AE1129+AD1130)),AE1129)</x:f>
        <x:v>9</x:v>
      </x:c>
      <x:c r="AF1130" s="8" t="n">
        <x:f>MAX(0,AE1130-AE1129)</x:f>
        <x:v>0</x:v>
      </x:c>
      <x:c r="AG1130" s="9" t="str">
        <x:f>IF(AF1130&gt;0,B1130,"")</x:f>
      </x:c>
      <x:c r="AH1130" s="9" t="n">
        <x:f>IF(F1130&gt;=1,1,(1+tun_LowTiesShare*(AE1130-1))/AE1130)</x:f>
        <x:v>1</x:v>
      </x:c>
      <x:c r="AI1130" s="32" t="n">
        <x:f>(Z1130+tun_ElderCommons*INDEX(LM_Elder,G1130)*AA1130)*AH1130</x:f>
        <x:v>238215.0665857503</x:v>
      </x:c>
      <x:c r="AJ1130" s="32" t="n">
        <x:f>H1130*tun_CommonsCoef*AI1130^tun_CommonsExp*INDEX(LM_Commons,G1130)</x:f>
        <x:v>0</x:v>
      </x:c>
      <x:c r="AK1130" s="32" t="n">
        <x:f>H1130*tun_RoleScale*Arch_Roles*(AE1130*(INDEX(tun_ElderRolePerSett,G1130)*tun_OutElder*INDEX(LM_Elder,G1130)+INDEX(tun_ShamanPerSett,G1130)*tun_OutShaman)+Z1130*(INDEX(tun_PriestShare,G1130)*tun_OutPriest+INDEX(tun_ScribeShare,G1130)*tun_OutScribe*INDEX(LM_Scribe,G1130)+INDEX(tun_ScholarShare,G1130)*tun_OutScholar*INDEX(LM_Scholar,G1130)+INDEX(tun_ResearcherShare,G1130)*tun_OutResearcher*INDEX(LM_Researcher,G1130)))</x:f>
        <x:v>0</x:v>
      </x:c>
      <x:c r="AL1130" s="32" t="n">
        <x:f>H1130*tun_RoleScale*Arch_Roles*AE1130*INDEX(tun_MonasteryPerSett,G1130)*tun_OutMonastery*INDEX(LM_Monastery,G1130)</x:f>
        <x:v>0</x:v>
      </x:c>
      <x:c r="AM1130" s="32" t="n">
        <x:f>(AJ1130+AK1130+AL1130)/4*INDEX(LM_All,G1130)*INDEX(tun_Boon,G1130)*Arch_Insight</x:f>
        <x:v>0</x:v>
      </x:c>
      <x:c r="AN1130" s="32" t="n">
        <x:f>H1130*(tun_KHPerAdult*Z1130+tun_KHOfCommons*AJ1130/4*INDEX(LM_All,G1130))*tun_KHUsable*Arch_KH</x:f>
        <x:v>0</x:v>
      </x:c>
      <x:c r="AO1130" s="32" t="n">
        <x:f>MIN(AP1129+AN1130,AM1130*tun_KHMaxRatio)</x:f>
        <x:v>0</x:v>
      </x:c>
      <x:c r="AP1130" s="32" t="n">
        <x:f>AP1129+AN1130-AO1130</x:f>
        <x:v>0</x:v>
      </x:c>
      <x:c r="AQ1130" s="32" t="n">
        <x:f>AM1130+AO1130</x:f>
        <x:v>0</x:v>
      </x:c>
      <x:c r="AR1130" s="10" t="n">
        <x:f>IF(H1130=1,INDEX(tun_Req,G1130),0)</x:f>
        <x:v>0</x:v>
      </x:c>
      <x:c r="AS1130" s="32" t="n">
        <x:f>IF(H1130=1,IF(E1130=1,AS1129-AR1129,AS1129)+AQ1130,0)</x:f>
        <x:v>0</x:v>
      </x:c>
      <x:c r="AT1130" s="11" t="n">
        <x:f>IF(AR1130&gt;0,MIN(1,AS1130/AR1130),1)</x:f>
        <x:v>1</x:v>
      </x:c>
      <x:c r="AU1130" s="10" t="n">
        <x:f>AB1130/INDEX(tun_RepScale,G1130)</x:f>
        <x:v>290.3368848566301</x:v>
      </x:c>
      <x:c r="AV1130" s="32" t="n">
        <x:f>AM1130*60/tun_SeasonSeconds</x:f>
        <x:v>0</x:v>
      </x:c>
    </x:row>
    <x:row r="1131">
      <x:c r="A1131" s="8" t="n">
        <x:f>A1130+1</x:f>
        <x:v>1128</x:v>
      </x:c>
      <x:c r="B1131" s="9" t="n">
        <x:f>A1131*tun_SeasonSeconds/60</x:f>
        <x:v>282</x:v>
      </x:c>
      <x:c r="C1131" s="9" t="n">
        <x:f>A1131/4</x:f>
        <x:v>282</x:v>
      </x:c>
      <x:c r="D1131" s="8" t="n">
        <x:f>IF(MOD(A1131,4)=0,1,0)</x:f>
        <x:v>1</x:v>
      </x:c>
      <x:c r="E1131" s="8" t="n">
        <x:f>IF(AND(F1130&lt;=9,AS1130&gt;=AR1130),1,0)</x:f>
        <x:v>0</x:v>
      </x:c>
      <x:c r="F1131" s="8" t="n">
        <x:f>MIN(10,F1130+E1131)</x:f>
        <x:v>10</x:v>
      </x:c>
      <x:c r="G1131" s="8" t="n">
        <x:f>MIN(F1131,9)+1</x:f>
        <x:v>10</x:v>
      </x:c>
      <x:c r="H1131" s="8" t="n">
        <x:f>IF(F1131&lt;=9,1,0)</x:f>
        <x:v>0</x:v>
      </x:c>
      <x:c r="I1131" s="9" t="n">
        <x:f>MIN(10,F1130+IF(AR1130&gt;0,MIN(1,AS1130/AR1130),1))</x:f>
        <x:v>10</x:v>
      </x:c>
      <x:c r="J1131" s="32" t="n">
        <x:f>INDEX(tun_FoodCap,G1131)*Arch_FoodCap*EXP(tun_CapsByProject*SUMPRODUCT((Cap_Point&lt;=I1131)*(Cap_Kind="Food")*Cap_Ln))</x:f>
        <x:v>18627.260449441455</x:v>
      </x:c>
      <x:c r="K1131" s="32" t="n">
        <x:f>J1131*MIN(1,tun_LeanBase*EXP(tun_CapsByProject*SUMPRODUCT((Cap_Point&lt;=I1131)*(Cap_Kind="Lean")*Cap_Ln)))</x:f>
        <x:v>18627.260449441455</x:v>
      </x:c>
      <x:c r="L1131" s="10" t="n">
        <x:f>INDEX(tun_HousingCap,G1131)*EXP(tun_CapsByProject*SUMPRODUCT((Cap_Point&lt;=I1131)*(Cap_Kind="Housing")*Cap_Ln))</x:f>
        <x:v>20528.974303173167</x:v>
      </x:c>
      <x:c r="M1131" s="10" t="n">
        <x:f>INDEX(tun_GroupCap,G1131)*tun_CohesionFactor*EXP(tun_CapsByProject*SUMPRODUCT((Cap_Point&lt;=I1131)*(Cap_Kind="Group")*Cap_Ln))</x:f>
        <x:v>1000000.000000001</x:v>
      </x:c>
      <x:c r="N1131" s="32" t="n">
        <x:f>MIN(J1131,L1131,M1131)</x:f>
        <x:v>18627.260449441455</x:v>
      </x:c>
      <x:c r="O1131" s="10" t="n">
        <x:f>AE1130*N1131</x:f>
        <x:v>167645.34404497308</x:v>
      </x:c>
      <x:c r="P1131" s="9" t="n">
        <x:f>MIN(1,(AB1130/(AE1130*IF(tun_GroupInCrowding=1,N1131,MIN(J1131,L1131))))^tun_CrowdingExp)</x:f>
        <x:v>0.4215841981292809</x:v>
      </x:c>
      <x:c r="Q1131" s="9" t="n">
        <x:f>IF(D1131=1,INDEX(tun_WinterMult,G1131),1)</x:f>
        <x:v>1.05</x:v>
      </x:c>
      <x:c r="R1131" s="9" t="n">
        <x:f>H1131*Z1130*tun_WomenShare*tun_BaseFertility*INDEX(tun_FertMult,G1131)*Arch_Fertility*(1-P1131)</x:f>
        <x:v>0</x:v>
      </x:c>
      <x:c r="S1131" s="9" t="n">
        <x:f>H1131*Y1130*INDEX(tun_MortChild,G1131)/4*Q1131</x:f>
        <x:v>0</x:v>
      </x:c>
      <x:c r="T1131" s="9" t="n">
        <x:f>H1131*Z1130*INDEX(tun_MortAdult,G1131)*Arch_AdultMort/4*Q1131</x:f>
        <x:v>0</x:v>
      </x:c>
      <x:c r="U1131" s="9" t="n">
        <x:f>H1131*AA1130*INDEX(tun_MortElder,G1131)/4*Q1131</x:f>
        <x:v>0</x:v>
      </x:c>
      <x:c r="V1131" s="9" t="n">
        <x:f>H1131*MAX(0,AB1130-O1131)*tun_OvercapLoss</x:f>
        <x:v>0</x:v>
      </x:c>
      <x:c r="W1131" s="9" t="n">
        <x:f>H1131*Y1130/(tun_ChildYears*4)</x:f>
        <x:v>0</x:v>
      </x:c>
      <x:c r="X1131" s="9" t="n">
        <x:f>H1131*Z1130/(tun_AdultYears*4)</x:f>
        <x:v>0</x:v>
      </x:c>
      <x:c r="Y1131" s="32" t="n">
        <x:f>Y1130+R1131-S1131-W1131-Y1130*V1131/AB1130</x:f>
        <x:v>40496.20709015643</x:v>
      </x:c>
      <x:c r="Z1131" s="32" t="n">
        <x:f>Z1130+W1131-X1131-T1131-Z1130*V1131/AB1130</x:f>
        <x:v>59141.61122890803</x:v>
      </x:c>
      <x:c r="AA1131" s="32" t="n">
        <x:f>AA1130+X1131-U1131-AA1130*V1131/AB1130</x:f>
        <x:v>45530.62410925061</x:v>
      </x:c>
      <x:c r="AB1131" s="10" t="n">
        <x:f>Y1131+Z1131+AA1131</x:f>
        <x:v>145168.44242831506</x:v>
      </x:c>
      <x:c r="AC1131" s="8" t="n">
        <x:f>IF(AND(tun_WinterTrigger=1,D1131=1,AB1130/AE1130&gt;=K1131),1,0)</x:f>
        <x:v>0</x:v>
      </x:c>
      <x:c r="AD1131" s="8" t="n">
        <x:f>H1131*IF(AND(OR(AB1130/AE1130&gt;=tun_FissionTrigger*N1131,AC1131=1),AB1130/AE1130*tun_DaughterShare&gt;=tun_MinDaughter),MAX(1,ROUND(AE1130*tun_FissionRate,0)),0)</x:f>
        <x:v>0</x:v>
      </x:c>
      <x:c r="AE1131" s="8" t="n">
        <x:f>IF(H1131=1,MAX(1,MIN(INDEX(tun_Smax,G1131),AE1130+AD1131)),AE1130)</x:f>
        <x:v>9</x:v>
      </x:c>
      <x:c r="AF1131" s="8" t="n">
        <x:f>MAX(0,AE1131-AE1130)</x:f>
        <x:v>0</x:v>
      </x:c>
      <x:c r="AG1131" s="9" t="str">
        <x:f>IF(AF1131&gt;0,B1131,"")</x:f>
      </x:c>
      <x:c r="AH1131" s="9" t="n">
        <x:f>IF(F1131&gt;=1,1,(1+tun_LowTiesShare*(AE1131-1))/AE1131)</x:f>
        <x:v>1</x:v>
      </x:c>
      <x:c r="AI1131" s="32" t="n">
        <x:f>(Z1131+tun_ElderCommons*INDEX(LM_Elder,G1131)*AA1131)*AH1131</x:f>
        <x:v>238215.0665857503</x:v>
      </x:c>
      <x:c r="AJ1131" s="32" t="n">
        <x:f>H1131*tun_CommonsCoef*AI1131^tun_CommonsExp*INDEX(LM_Commons,G1131)</x:f>
        <x:v>0</x:v>
      </x:c>
      <x:c r="AK1131" s="32" t="n">
        <x:f>H1131*tun_RoleScale*Arch_Roles*(AE1131*(INDEX(tun_ElderRolePerSett,G1131)*tun_OutElder*INDEX(LM_Elder,G1131)+INDEX(tun_ShamanPerSett,G1131)*tun_OutShaman)+Z1131*(INDEX(tun_PriestShare,G1131)*tun_OutPriest+INDEX(tun_ScribeShare,G1131)*tun_OutScribe*INDEX(LM_Scribe,G1131)+INDEX(tun_ScholarShare,G1131)*tun_OutScholar*INDEX(LM_Scholar,G1131)+INDEX(tun_ResearcherShare,G1131)*tun_OutResearcher*INDEX(LM_Researcher,G1131)))</x:f>
        <x:v>0</x:v>
      </x:c>
      <x:c r="AL1131" s="32" t="n">
        <x:f>H1131*tun_RoleScale*Arch_Roles*AE1131*INDEX(tun_MonasteryPerSett,G1131)*tun_OutMonastery*INDEX(LM_Monastery,G1131)</x:f>
        <x:v>0</x:v>
      </x:c>
      <x:c r="AM1131" s="32" t="n">
        <x:f>(AJ1131+AK1131+AL1131)/4*INDEX(LM_All,G1131)*INDEX(tun_Boon,G1131)*Arch_Insight</x:f>
        <x:v>0</x:v>
      </x:c>
      <x:c r="AN1131" s="32" t="n">
        <x:f>H1131*(tun_KHPerAdult*Z1131+tun_KHOfCommons*AJ1131/4*INDEX(LM_All,G1131))*tun_KHUsable*Arch_KH</x:f>
        <x:v>0</x:v>
      </x:c>
      <x:c r="AO1131" s="32" t="n">
        <x:f>MIN(AP1130+AN1131,AM1131*tun_KHMaxRatio)</x:f>
        <x:v>0</x:v>
      </x:c>
      <x:c r="AP1131" s="32" t="n">
        <x:f>AP1130+AN1131-AO1131</x:f>
        <x:v>0</x:v>
      </x:c>
      <x:c r="AQ1131" s="32" t="n">
        <x:f>AM1131+AO1131</x:f>
        <x:v>0</x:v>
      </x:c>
      <x:c r="AR1131" s="10" t="n">
        <x:f>IF(H1131=1,INDEX(tun_Req,G1131),0)</x:f>
        <x:v>0</x:v>
      </x:c>
      <x:c r="AS1131" s="32" t="n">
        <x:f>IF(H1131=1,IF(E1131=1,AS1130-AR1130,AS1130)+AQ1131,0)</x:f>
        <x:v>0</x:v>
      </x:c>
      <x:c r="AT1131" s="11" t="n">
        <x:f>IF(AR1131&gt;0,MIN(1,AS1131/AR1131),1)</x:f>
        <x:v>1</x:v>
      </x:c>
      <x:c r="AU1131" s="10" t="n">
        <x:f>AB1131/INDEX(tun_RepScale,G1131)</x:f>
        <x:v>290.3368848566301</x:v>
      </x:c>
      <x:c r="AV1131" s="32" t="n">
        <x:f>AM1131*60/tun_SeasonSeconds</x:f>
        <x:v>0</x:v>
      </x:c>
    </x:row>
    <x:row r="1132">
      <x:c r="A1132" s="8" t="n">
        <x:f>A1131+1</x:f>
        <x:v>1129</x:v>
      </x:c>
      <x:c r="B1132" s="9" t="n">
        <x:f>A1132*tun_SeasonSeconds/60</x:f>
        <x:v>282.25</x:v>
      </x:c>
      <x:c r="C1132" s="9" t="n">
        <x:f>A1132/4</x:f>
        <x:v>282.25</x:v>
      </x:c>
      <x:c r="D1132" s="8" t="n">
        <x:f>IF(MOD(A1132,4)=0,1,0)</x:f>
        <x:v>0</x:v>
      </x:c>
      <x:c r="E1132" s="8" t="n">
        <x:f>IF(AND(F1131&lt;=9,AS1131&gt;=AR1131),1,0)</x:f>
        <x:v>0</x:v>
      </x:c>
      <x:c r="F1132" s="8" t="n">
        <x:f>MIN(10,F1131+E1132)</x:f>
        <x:v>10</x:v>
      </x:c>
      <x:c r="G1132" s="8" t="n">
        <x:f>MIN(F1132,9)+1</x:f>
        <x:v>10</x:v>
      </x:c>
      <x:c r="H1132" s="8" t="n">
        <x:f>IF(F1132&lt;=9,1,0)</x:f>
        <x:v>0</x:v>
      </x:c>
      <x:c r="I1132" s="9" t="n">
        <x:f>MIN(10,F1131+IF(AR1131&gt;0,MIN(1,AS1131/AR1131),1))</x:f>
        <x:v>10</x:v>
      </x:c>
      <x:c r="J1132" s="32" t="n">
        <x:f>INDEX(tun_FoodCap,G1132)*Arch_FoodCap*EXP(tun_CapsByProject*SUMPRODUCT((Cap_Point&lt;=I1132)*(Cap_Kind="Food")*Cap_Ln))</x:f>
        <x:v>18627.260449441455</x:v>
      </x:c>
      <x:c r="K1132" s="32" t="n">
        <x:f>J1132*MIN(1,tun_LeanBase*EXP(tun_CapsByProject*SUMPRODUCT((Cap_Point&lt;=I1132)*(Cap_Kind="Lean")*Cap_Ln)))</x:f>
        <x:v>18627.260449441455</x:v>
      </x:c>
      <x:c r="L1132" s="10" t="n">
        <x:f>INDEX(tun_HousingCap,G1132)*EXP(tun_CapsByProject*SUMPRODUCT((Cap_Point&lt;=I1132)*(Cap_Kind="Housing")*Cap_Ln))</x:f>
        <x:v>20528.974303173167</x:v>
      </x:c>
      <x:c r="M1132" s="10" t="n">
        <x:f>INDEX(tun_GroupCap,G1132)*tun_CohesionFactor*EXP(tun_CapsByProject*SUMPRODUCT((Cap_Point&lt;=I1132)*(Cap_Kind="Group")*Cap_Ln))</x:f>
        <x:v>1000000.000000001</x:v>
      </x:c>
      <x:c r="N1132" s="32" t="n">
        <x:f>MIN(J1132,L1132,M1132)</x:f>
        <x:v>18627.260449441455</x:v>
      </x:c>
      <x:c r="O1132" s="10" t="n">
        <x:f>AE1131*N1132</x:f>
        <x:v>167645.34404497308</x:v>
      </x:c>
      <x:c r="P1132" s="9" t="n">
        <x:f>MIN(1,(AB1131/(AE1131*IF(tun_GroupInCrowding=1,N1132,MIN(J1132,L1132))))^tun_CrowdingExp)</x:f>
        <x:v>0.4215841981292809</x:v>
      </x:c>
      <x:c r="Q1132" s="9" t="n">
        <x:f>IF(D1132=1,INDEX(tun_WinterMult,G1132),1)</x:f>
        <x:v>1</x:v>
      </x:c>
      <x:c r="R1132" s="9" t="n">
        <x:f>H1132*Z1131*tun_WomenShare*tun_BaseFertility*INDEX(tun_FertMult,G1132)*Arch_Fertility*(1-P1132)</x:f>
        <x:v>0</x:v>
      </x:c>
      <x:c r="S1132" s="9" t="n">
        <x:f>H1132*Y1131*INDEX(tun_MortChild,G1132)/4*Q1132</x:f>
        <x:v>0</x:v>
      </x:c>
      <x:c r="T1132" s="9" t="n">
        <x:f>H1132*Z1131*INDEX(tun_MortAdult,G1132)*Arch_AdultMort/4*Q1132</x:f>
        <x:v>0</x:v>
      </x:c>
      <x:c r="U1132" s="9" t="n">
        <x:f>H1132*AA1131*INDEX(tun_MortElder,G1132)/4*Q1132</x:f>
        <x:v>0</x:v>
      </x:c>
      <x:c r="V1132" s="9" t="n">
        <x:f>H1132*MAX(0,AB1131-O1132)*tun_OvercapLoss</x:f>
        <x:v>0</x:v>
      </x:c>
      <x:c r="W1132" s="9" t="n">
        <x:f>H1132*Y1131/(tun_ChildYears*4)</x:f>
        <x:v>0</x:v>
      </x:c>
      <x:c r="X1132" s="9" t="n">
        <x:f>H1132*Z1131/(tun_AdultYears*4)</x:f>
        <x:v>0</x:v>
      </x:c>
      <x:c r="Y1132" s="32" t="n">
        <x:f>Y1131+R1132-S1132-W1132-Y1131*V1132/AB1131</x:f>
        <x:v>40496.20709015643</x:v>
      </x:c>
      <x:c r="Z1132" s="32" t="n">
        <x:f>Z1131+W1132-X1132-T1132-Z1131*V1132/AB1131</x:f>
        <x:v>59141.61122890803</x:v>
      </x:c>
      <x:c r="AA1132" s="32" t="n">
        <x:f>AA1131+X1132-U1132-AA1131*V1132/AB1131</x:f>
        <x:v>45530.62410925061</x:v>
      </x:c>
      <x:c r="AB1132" s="10" t="n">
        <x:f>Y1132+Z1132+AA1132</x:f>
        <x:v>145168.44242831506</x:v>
      </x:c>
      <x:c r="AC1132" s="8" t="n">
        <x:f>IF(AND(tun_WinterTrigger=1,D1132=1,AB1131/AE1131&gt;=K1132),1,0)</x:f>
        <x:v>0</x:v>
      </x:c>
      <x:c r="AD1132" s="8" t="n">
        <x:f>H1132*IF(AND(OR(AB1131/AE1131&gt;=tun_FissionTrigger*N1132,AC1132=1),AB1131/AE1131*tun_DaughterShare&gt;=tun_MinDaughter),MAX(1,ROUND(AE1131*tun_FissionRate,0)),0)</x:f>
        <x:v>0</x:v>
      </x:c>
      <x:c r="AE1132" s="8" t="n">
        <x:f>IF(H1132=1,MAX(1,MIN(INDEX(tun_Smax,G1132),AE1131+AD1132)),AE1131)</x:f>
        <x:v>9</x:v>
      </x:c>
      <x:c r="AF1132" s="8" t="n">
        <x:f>MAX(0,AE1132-AE1131)</x:f>
        <x:v>0</x:v>
      </x:c>
      <x:c r="AG1132" s="9" t="str">
        <x:f>IF(AF1132&gt;0,B1132,"")</x:f>
      </x:c>
      <x:c r="AH1132" s="9" t="n">
        <x:f>IF(F1132&gt;=1,1,(1+tun_LowTiesShare*(AE1132-1))/AE1132)</x:f>
        <x:v>1</x:v>
      </x:c>
      <x:c r="AI1132" s="32" t="n">
        <x:f>(Z1132+tun_ElderCommons*INDEX(LM_Elder,G1132)*AA1132)*AH1132</x:f>
        <x:v>238215.0665857503</x:v>
      </x:c>
      <x:c r="AJ1132" s="32" t="n">
        <x:f>H1132*tun_CommonsCoef*AI1132^tun_CommonsExp*INDEX(LM_Commons,G1132)</x:f>
        <x:v>0</x:v>
      </x:c>
      <x:c r="AK1132" s="32" t="n">
        <x:f>H1132*tun_RoleScale*Arch_Roles*(AE1132*(INDEX(tun_ElderRolePerSett,G1132)*tun_OutElder*INDEX(LM_Elder,G1132)+INDEX(tun_ShamanPerSett,G1132)*tun_OutShaman)+Z1132*(INDEX(tun_PriestShare,G1132)*tun_OutPriest+INDEX(tun_ScribeShare,G1132)*tun_OutScribe*INDEX(LM_Scribe,G1132)+INDEX(tun_ScholarShare,G1132)*tun_OutScholar*INDEX(LM_Scholar,G1132)+INDEX(tun_ResearcherShare,G1132)*tun_OutResearcher*INDEX(LM_Researcher,G1132)))</x:f>
        <x:v>0</x:v>
      </x:c>
      <x:c r="AL1132" s="32" t="n">
        <x:f>H1132*tun_RoleScale*Arch_Roles*AE1132*INDEX(tun_MonasteryPerSett,G1132)*tun_OutMonastery*INDEX(LM_Monastery,G1132)</x:f>
        <x:v>0</x:v>
      </x:c>
      <x:c r="AM1132" s="32" t="n">
        <x:f>(AJ1132+AK1132+AL1132)/4*INDEX(LM_All,G1132)*INDEX(tun_Boon,G1132)*Arch_Insight</x:f>
        <x:v>0</x:v>
      </x:c>
      <x:c r="AN1132" s="32" t="n">
        <x:f>H1132*(tun_KHPerAdult*Z1132+tun_KHOfCommons*AJ1132/4*INDEX(LM_All,G1132))*tun_KHUsable*Arch_KH</x:f>
        <x:v>0</x:v>
      </x:c>
      <x:c r="AO1132" s="32" t="n">
        <x:f>MIN(AP1131+AN1132,AM1132*tun_KHMaxRatio)</x:f>
        <x:v>0</x:v>
      </x:c>
      <x:c r="AP1132" s="32" t="n">
        <x:f>AP1131+AN1132-AO1132</x:f>
        <x:v>0</x:v>
      </x:c>
      <x:c r="AQ1132" s="32" t="n">
        <x:f>AM1132+AO1132</x:f>
        <x:v>0</x:v>
      </x:c>
      <x:c r="AR1132" s="10" t="n">
        <x:f>IF(H1132=1,INDEX(tun_Req,G1132),0)</x:f>
        <x:v>0</x:v>
      </x:c>
      <x:c r="AS1132" s="32" t="n">
        <x:f>IF(H1132=1,IF(E1132=1,AS1131-AR1131,AS1131)+AQ1132,0)</x:f>
        <x:v>0</x:v>
      </x:c>
      <x:c r="AT1132" s="11" t="n">
        <x:f>IF(AR1132&gt;0,MIN(1,AS1132/AR1132),1)</x:f>
        <x:v>1</x:v>
      </x:c>
      <x:c r="AU1132" s="10" t="n">
        <x:f>AB1132/INDEX(tun_RepScale,G1132)</x:f>
        <x:v>290.3368848566301</x:v>
      </x:c>
      <x:c r="AV1132" s="32" t="n">
        <x:f>AM1132*60/tun_SeasonSeconds</x:f>
        <x:v>0</x:v>
      </x:c>
    </x:row>
    <x:row r="1133">
      <x:c r="A1133" s="8" t="n">
        <x:f>A1132+1</x:f>
        <x:v>1130</x:v>
      </x:c>
      <x:c r="B1133" s="9" t="n">
        <x:f>A1133*tun_SeasonSeconds/60</x:f>
        <x:v>282.5</x:v>
      </x:c>
      <x:c r="C1133" s="9" t="n">
        <x:f>A1133/4</x:f>
        <x:v>282.5</x:v>
      </x:c>
      <x:c r="D1133" s="8" t="n">
        <x:f>IF(MOD(A1133,4)=0,1,0)</x:f>
        <x:v>0</x:v>
      </x:c>
      <x:c r="E1133" s="8" t="n">
        <x:f>IF(AND(F1132&lt;=9,AS1132&gt;=AR1132),1,0)</x:f>
        <x:v>0</x:v>
      </x:c>
      <x:c r="F1133" s="8" t="n">
        <x:f>MIN(10,F1132+E1133)</x:f>
        <x:v>10</x:v>
      </x:c>
      <x:c r="G1133" s="8" t="n">
        <x:f>MIN(F1133,9)+1</x:f>
        <x:v>10</x:v>
      </x:c>
      <x:c r="H1133" s="8" t="n">
        <x:f>IF(F1133&lt;=9,1,0)</x:f>
        <x:v>0</x:v>
      </x:c>
      <x:c r="I1133" s="9" t="n">
        <x:f>MIN(10,F1132+IF(AR1132&gt;0,MIN(1,AS1132/AR1132),1))</x:f>
        <x:v>10</x:v>
      </x:c>
      <x:c r="J1133" s="32" t="n">
        <x:f>INDEX(tun_FoodCap,G1133)*Arch_FoodCap*EXP(tun_CapsByProject*SUMPRODUCT((Cap_Point&lt;=I1133)*(Cap_Kind="Food")*Cap_Ln))</x:f>
        <x:v>18627.260449441455</x:v>
      </x:c>
      <x:c r="K1133" s="32" t="n">
        <x:f>J1133*MIN(1,tun_LeanBase*EXP(tun_CapsByProject*SUMPRODUCT((Cap_Point&lt;=I1133)*(Cap_Kind="Lean")*Cap_Ln)))</x:f>
        <x:v>18627.260449441455</x:v>
      </x:c>
      <x:c r="L1133" s="10" t="n">
        <x:f>INDEX(tun_HousingCap,G1133)*EXP(tun_CapsByProject*SUMPRODUCT((Cap_Point&lt;=I1133)*(Cap_Kind="Housing")*Cap_Ln))</x:f>
        <x:v>20528.974303173167</x:v>
      </x:c>
      <x:c r="M1133" s="10" t="n">
        <x:f>INDEX(tun_GroupCap,G1133)*tun_CohesionFactor*EXP(tun_CapsByProject*SUMPRODUCT((Cap_Point&lt;=I1133)*(Cap_Kind="Group")*Cap_Ln))</x:f>
        <x:v>1000000.000000001</x:v>
      </x:c>
      <x:c r="N1133" s="32" t="n">
        <x:f>MIN(J1133,L1133,M1133)</x:f>
        <x:v>18627.260449441455</x:v>
      </x:c>
      <x:c r="O1133" s="10" t="n">
        <x:f>AE1132*N1133</x:f>
        <x:v>167645.34404497308</x:v>
      </x:c>
      <x:c r="P1133" s="9" t="n">
        <x:f>MIN(1,(AB1132/(AE1132*IF(tun_GroupInCrowding=1,N1133,MIN(J1133,L1133))))^tun_CrowdingExp)</x:f>
        <x:v>0.4215841981292809</x:v>
      </x:c>
      <x:c r="Q1133" s="9" t="n">
        <x:f>IF(D1133=1,INDEX(tun_WinterMult,G1133),1)</x:f>
        <x:v>1</x:v>
      </x:c>
      <x:c r="R1133" s="9" t="n">
        <x:f>H1133*Z1132*tun_WomenShare*tun_BaseFertility*INDEX(tun_FertMult,G1133)*Arch_Fertility*(1-P1133)</x:f>
        <x:v>0</x:v>
      </x:c>
      <x:c r="S1133" s="9" t="n">
        <x:f>H1133*Y1132*INDEX(tun_MortChild,G1133)/4*Q1133</x:f>
        <x:v>0</x:v>
      </x:c>
      <x:c r="T1133" s="9" t="n">
        <x:f>H1133*Z1132*INDEX(tun_MortAdult,G1133)*Arch_AdultMort/4*Q1133</x:f>
        <x:v>0</x:v>
      </x:c>
      <x:c r="U1133" s="9" t="n">
        <x:f>H1133*AA1132*INDEX(tun_MortElder,G1133)/4*Q1133</x:f>
        <x:v>0</x:v>
      </x:c>
      <x:c r="V1133" s="9" t="n">
        <x:f>H1133*MAX(0,AB1132-O1133)*tun_OvercapLoss</x:f>
        <x:v>0</x:v>
      </x:c>
      <x:c r="W1133" s="9" t="n">
        <x:f>H1133*Y1132/(tun_ChildYears*4)</x:f>
        <x:v>0</x:v>
      </x:c>
      <x:c r="X1133" s="9" t="n">
        <x:f>H1133*Z1132/(tun_AdultYears*4)</x:f>
        <x:v>0</x:v>
      </x:c>
      <x:c r="Y1133" s="32" t="n">
        <x:f>Y1132+R1133-S1133-W1133-Y1132*V1133/AB1132</x:f>
        <x:v>40496.20709015643</x:v>
      </x:c>
      <x:c r="Z1133" s="32" t="n">
        <x:f>Z1132+W1133-X1133-T1133-Z1132*V1133/AB1132</x:f>
        <x:v>59141.61122890803</x:v>
      </x:c>
      <x:c r="AA1133" s="32" t="n">
        <x:f>AA1132+X1133-U1133-AA1132*V1133/AB1132</x:f>
        <x:v>45530.62410925061</x:v>
      </x:c>
      <x:c r="AB1133" s="10" t="n">
        <x:f>Y1133+Z1133+AA1133</x:f>
        <x:v>145168.44242831506</x:v>
      </x:c>
      <x:c r="AC1133" s="8" t="n">
        <x:f>IF(AND(tun_WinterTrigger=1,D1133=1,AB1132/AE1132&gt;=K1133),1,0)</x:f>
        <x:v>0</x:v>
      </x:c>
      <x:c r="AD1133" s="8" t="n">
        <x:f>H1133*IF(AND(OR(AB1132/AE1132&gt;=tun_FissionTrigger*N1133,AC1133=1),AB1132/AE1132*tun_DaughterShare&gt;=tun_MinDaughter),MAX(1,ROUND(AE1132*tun_FissionRate,0)),0)</x:f>
        <x:v>0</x:v>
      </x:c>
      <x:c r="AE1133" s="8" t="n">
        <x:f>IF(H1133=1,MAX(1,MIN(INDEX(tun_Smax,G1133),AE1132+AD1133)),AE1132)</x:f>
        <x:v>9</x:v>
      </x:c>
      <x:c r="AF1133" s="8" t="n">
        <x:f>MAX(0,AE1133-AE1132)</x:f>
        <x:v>0</x:v>
      </x:c>
      <x:c r="AG1133" s="9" t="str">
        <x:f>IF(AF1133&gt;0,B1133,"")</x:f>
      </x:c>
      <x:c r="AH1133" s="9" t="n">
        <x:f>IF(F1133&gt;=1,1,(1+tun_LowTiesShare*(AE1133-1))/AE1133)</x:f>
        <x:v>1</x:v>
      </x:c>
      <x:c r="AI1133" s="32" t="n">
        <x:f>(Z1133+tun_ElderCommons*INDEX(LM_Elder,G1133)*AA1133)*AH1133</x:f>
        <x:v>238215.0665857503</x:v>
      </x:c>
      <x:c r="AJ1133" s="32" t="n">
        <x:f>H1133*tun_CommonsCoef*AI1133^tun_CommonsExp*INDEX(LM_Commons,G1133)</x:f>
        <x:v>0</x:v>
      </x:c>
      <x:c r="AK1133" s="32" t="n">
        <x:f>H1133*tun_RoleScale*Arch_Roles*(AE1133*(INDEX(tun_ElderRolePerSett,G1133)*tun_OutElder*INDEX(LM_Elder,G1133)+INDEX(tun_ShamanPerSett,G1133)*tun_OutShaman)+Z1133*(INDEX(tun_PriestShare,G1133)*tun_OutPriest+INDEX(tun_ScribeShare,G1133)*tun_OutScribe*INDEX(LM_Scribe,G1133)+INDEX(tun_ScholarShare,G1133)*tun_OutScholar*INDEX(LM_Scholar,G1133)+INDEX(tun_ResearcherShare,G1133)*tun_OutResearcher*INDEX(LM_Researcher,G1133)))</x:f>
        <x:v>0</x:v>
      </x:c>
      <x:c r="AL1133" s="32" t="n">
        <x:f>H1133*tun_RoleScale*Arch_Roles*AE1133*INDEX(tun_MonasteryPerSett,G1133)*tun_OutMonastery*INDEX(LM_Monastery,G1133)</x:f>
        <x:v>0</x:v>
      </x:c>
      <x:c r="AM1133" s="32" t="n">
        <x:f>(AJ1133+AK1133+AL1133)/4*INDEX(LM_All,G1133)*INDEX(tun_Boon,G1133)*Arch_Insight</x:f>
        <x:v>0</x:v>
      </x:c>
      <x:c r="AN1133" s="32" t="n">
        <x:f>H1133*(tun_KHPerAdult*Z1133+tun_KHOfCommons*AJ1133/4*INDEX(LM_All,G1133))*tun_KHUsable*Arch_KH</x:f>
        <x:v>0</x:v>
      </x:c>
      <x:c r="AO1133" s="32" t="n">
        <x:f>MIN(AP1132+AN1133,AM1133*tun_KHMaxRatio)</x:f>
        <x:v>0</x:v>
      </x:c>
      <x:c r="AP1133" s="32" t="n">
        <x:f>AP1132+AN1133-AO1133</x:f>
        <x:v>0</x:v>
      </x:c>
      <x:c r="AQ1133" s="32" t="n">
        <x:f>AM1133+AO1133</x:f>
        <x:v>0</x:v>
      </x:c>
      <x:c r="AR1133" s="10" t="n">
        <x:f>IF(H1133=1,INDEX(tun_Req,G1133),0)</x:f>
        <x:v>0</x:v>
      </x:c>
      <x:c r="AS1133" s="32" t="n">
        <x:f>IF(H1133=1,IF(E1133=1,AS1132-AR1132,AS1132)+AQ1133,0)</x:f>
        <x:v>0</x:v>
      </x:c>
      <x:c r="AT1133" s="11" t="n">
        <x:f>IF(AR1133&gt;0,MIN(1,AS1133/AR1133),1)</x:f>
        <x:v>1</x:v>
      </x:c>
      <x:c r="AU1133" s="10" t="n">
        <x:f>AB1133/INDEX(tun_RepScale,G1133)</x:f>
        <x:v>290.3368848566301</x:v>
      </x:c>
      <x:c r="AV1133" s="32" t="n">
        <x:f>AM1133*60/tun_SeasonSeconds</x:f>
        <x:v>0</x:v>
      </x:c>
    </x:row>
    <x:row r="1134">
      <x:c r="A1134" s="8" t="n">
        <x:f>A1133+1</x:f>
        <x:v>1131</x:v>
      </x:c>
      <x:c r="B1134" s="9" t="n">
        <x:f>A1134*tun_SeasonSeconds/60</x:f>
        <x:v>282.75</x:v>
      </x:c>
      <x:c r="C1134" s="9" t="n">
        <x:f>A1134/4</x:f>
        <x:v>282.75</x:v>
      </x:c>
      <x:c r="D1134" s="8" t="n">
        <x:f>IF(MOD(A1134,4)=0,1,0)</x:f>
        <x:v>0</x:v>
      </x:c>
      <x:c r="E1134" s="8" t="n">
        <x:f>IF(AND(F1133&lt;=9,AS1133&gt;=AR1133),1,0)</x:f>
        <x:v>0</x:v>
      </x:c>
      <x:c r="F1134" s="8" t="n">
        <x:f>MIN(10,F1133+E1134)</x:f>
        <x:v>10</x:v>
      </x:c>
      <x:c r="G1134" s="8" t="n">
        <x:f>MIN(F1134,9)+1</x:f>
        <x:v>10</x:v>
      </x:c>
      <x:c r="H1134" s="8" t="n">
        <x:f>IF(F1134&lt;=9,1,0)</x:f>
        <x:v>0</x:v>
      </x:c>
      <x:c r="I1134" s="9" t="n">
        <x:f>MIN(10,F1133+IF(AR1133&gt;0,MIN(1,AS1133/AR1133),1))</x:f>
        <x:v>10</x:v>
      </x:c>
      <x:c r="J1134" s="32" t="n">
        <x:f>INDEX(tun_FoodCap,G1134)*Arch_FoodCap*EXP(tun_CapsByProject*SUMPRODUCT((Cap_Point&lt;=I1134)*(Cap_Kind="Food")*Cap_Ln))</x:f>
        <x:v>18627.260449441455</x:v>
      </x:c>
      <x:c r="K1134" s="32" t="n">
        <x:f>J1134*MIN(1,tun_LeanBase*EXP(tun_CapsByProject*SUMPRODUCT((Cap_Point&lt;=I1134)*(Cap_Kind="Lean")*Cap_Ln)))</x:f>
        <x:v>18627.260449441455</x:v>
      </x:c>
      <x:c r="L1134" s="10" t="n">
        <x:f>INDEX(tun_HousingCap,G1134)*EXP(tun_CapsByProject*SUMPRODUCT((Cap_Point&lt;=I1134)*(Cap_Kind="Housing")*Cap_Ln))</x:f>
        <x:v>20528.974303173167</x:v>
      </x:c>
      <x:c r="M1134" s="10" t="n">
        <x:f>INDEX(tun_GroupCap,G1134)*tun_CohesionFactor*EXP(tun_CapsByProject*SUMPRODUCT((Cap_Point&lt;=I1134)*(Cap_Kind="Group")*Cap_Ln))</x:f>
        <x:v>1000000.000000001</x:v>
      </x:c>
      <x:c r="N1134" s="32" t="n">
        <x:f>MIN(J1134,L1134,M1134)</x:f>
        <x:v>18627.260449441455</x:v>
      </x:c>
      <x:c r="O1134" s="10" t="n">
        <x:f>AE1133*N1134</x:f>
        <x:v>167645.34404497308</x:v>
      </x:c>
      <x:c r="P1134" s="9" t="n">
        <x:f>MIN(1,(AB1133/(AE1133*IF(tun_GroupInCrowding=1,N1134,MIN(J1134,L1134))))^tun_CrowdingExp)</x:f>
        <x:v>0.4215841981292809</x:v>
      </x:c>
      <x:c r="Q1134" s="9" t="n">
        <x:f>IF(D1134=1,INDEX(tun_WinterMult,G1134),1)</x:f>
        <x:v>1</x:v>
      </x:c>
      <x:c r="R1134" s="9" t="n">
        <x:f>H1134*Z1133*tun_WomenShare*tun_BaseFertility*INDEX(tun_FertMult,G1134)*Arch_Fertility*(1-P1134)</x:f>
        <x:v>0</x:v>
      </x:c>
      <x:c r="S1134" s="9" t="n">
        <x:f>H1134*Y1133*INDEX(tun_MortChild,G1134)/4*Q1134</x:f>
        <x:v>0</x:v>
      </x:c>
      <x:c r="T1134" s="9" t="n">
        <x:f>H1134*Z1133*INDEX(tun_MortAdult,G1134)*Arch_AdultMort/4*Q1134</x:f>
        <x:v>0</x:v>
      </x:c>
      <x:c r="U1134" s="9" t="n">
        <x:f>H1134*AA1133*INDEX(tun_MortElder,G1134)/4*Q1134</x:f>
        <x:v>0</x:v>
      </x:c>
      <x:c r="V1134" s="9" t="n">
        <x:f>H1134*MAX(0,AB1133-O1134)*tun_OvercapLoss</x:f>
        <x:v>0</x:v>
      </x:c>
      <x:c r="W1134" s="9" t="n">
        <x:f>H1134*Y1133/(tun_ChildYears*4)</x:f>
        <x:v>0</x:v>
      </x:c>
      <x:c r="X1134" s="9" t="n">
        <x:f>H1134*Z1133/(tun_AdultYears*4)</x:f>
        <x:v>0</x:v>
      </x:c>
      <x:c r="Y1134" s="32" t="n">
        <x:f>Y1133+R1134-S1134-W1134-Y1133*V1134/AB1133</x:f>
        <x:v>40496.20709015643</x:v>
      </x:c>
      <x:c r="Z1134" s="32" t="n">
        <x:f>Z1133+W1134-X1134-T1134-Z1133*V1134/AB1133</x:f>
        <x:v>59141.61122890803</x:v>
      </x:c>
      <x:c r="AA1134" s="32" t="n">
        <x:f>AA1133+X1134-U1134-AA1133*V1134/AB1133</x:f>
        <x:v>45530.62410925061</x:v>
      </x:c>
      <x:c r="AB1134" s="10" t="n">
        <x:f>Y1134+Z1134+AA1134</x:f>
        <x:v>145168.44242831506</x:v>
      </x:c>
      <x:c r="AC1134" s="8" t="n">
        <x:f>IF(AND(tun_WinterTrigger=1,D1134=1,AB1133/AE1133&gt;=K1134),1,0)</x:f>
        <x:v>0</x:v>
      </x:c>
      <x:c r="AD1134" s="8" t="n">
        <x:f>H1134*IF(AND(OR(AB1133/AE1133&gt;=tun_FissionTrigger*N1134,AC1134=1),AB1133/AE1133*tun_DaughterShare&gt;=tun_MinDaughter),MAX(1,ROUND(AE1133*tun_FissionRate,0)),0)</x:f>
        <x:v>0</x:v>
      </x:c>
      <x:c r="AE1134" s="8" t="n">
        <x:f>IF(H1134=1,MAX(1,MIN(INDEX(tun_Smax,G1134),AE1133+AD1134)),AE1133)</x:f>
        <x:v>9</x:v>
      </x:c>
      <x:c r="AF1134" s="8" t="n">
        <x:f>MAX(0,AE1134-AE1133)</x:f>
        <x:v>0</x:v>
      </x:c>
      <x:c r="AG1134" s="9" t="str">
        <x:f>IF(AF1134&gt;0,B1134,"")</x:f>
      </x:c>
      <x:c r="AH1134" s="9" t="n">
        <x:f>IF(F1134&gt;=1,1,(1+tun_LowTiesShare*(AE1134-1))/AE1134)</x:f>
        <x:v>1</x:v>
      </x:c>
      <x:c r="AI1134" s="32" t="n">
        <x:f>(Z1134+tun_ElderCommons*INDEX(LM_Elder,G1134)*AA1134)*AH1134</x:f>
        <x:v>238215.0665857503</x:v>
      </x:c>
      <x:c r="AJ1134" s="32" t="n">
        <x:f>H1134*tun_CommonsCoef*AI1134^tun_CommonsExp*INDEX(LM_Commons,G1134)</x:f>
        <x:v>0</x:v>
      </x:c>
      <x:c r="AK1134" s="32" t="n">
        <x:f>H1134*tun_RoleScale*Arch_Roles*(AE1134*(INDEX(tun_ElderRolePerSett,G1134)*tun_OutElder*INDEX(LM_Elder,G1134)+INDEX(tun_ShamanPerSett,G1134)*tun_OutShaman)+Z1134*(INDEX(tun_PriestShare,G1134)*tun_OutPriest+INDEX(tun_ScribeShare,G1134)*tun_OutScribe*INDEX(LM_Scribe,G1134)+INDEX(tun_ScholarShare,G1134)*tun_OutScholar*INDEX(LM_Scholar,G1134)+INDEX(tun_ResearcherShare,G1134)*tun_OutResearcher*INDEX(LM_Researcher,G1134)))</x:f>
        <x:v>0</x:v>
      </x:c>
      <x:c r="AL1134" s="32" t="n">
        <x:f>H1134*tun_RoleScale*Arch_Roles*AE1134*INDEX(tun_MonasteryPerSett,G1134)*tun_OutMonastery*INDEX(LM_Monastery,G1134)</x:f>
        <x:v>0</x:v>
      </x:c>
      <x:c r="AM1134" s="32" t="n">
        <x:f>(AJ1134+AK1134+AL1134)/4*INDEX(LM_All,G1134)*INDEX(tun_Boon,G1134)*Arch_Insight</x:f>
        <x:v>0</x:v>
      </x:c>
      <x:c r="AN1134" s="32" t="n">
        <x:f>H1134*(tun_KHPerAdult*Z1134+tun_KHOfCommons*AJ1134/4*INDEX(LM_All,G1134))*tun_KHUsable*Arch_KH</x:f>
        <x:v>0</x:v>
      </x:c>
      <x:c r="AO1134" s="32" t="n">
        <x:f>MIN(AP1133+AN1134,AM1134*tun_KHMaxRatio)</x:f>
        <x:v>0</x:v>
      </x:c>
      <x:c r="AP1134" s="32" t="n">
        <x:f>AP1133+AN1134-AO1134</x:f>
        <x:v>0</x:v>
      </x:c>
      <x:c r="AQ1134" s="32" t="n">
        <x:f>AM1134+AO1134</x:f>
        <x:v>0</x:v>
      </x:c>
      <x:c r="AR1134" s="10" t="n">
        <x:f>IF(H1134=1,INDEX(tun_Req,G1134),0)</x:f>
        <x:v>0</x:v>
      </x:c>
      <x:c r="AS1134" s="32" t="n">
        <x:f>IF(H1134=1,IF(E1134=1,AS1133-AR1133,AS1133)+AQ1134,0)</x:f>
        <x:v>0</x:v>
      </x:c>
      <x:c r="AT1134" s="11" t="n">
        <x:f>IF(AR1134&gt;0,MIN(1,AS1134/AR1134),1)</x:f>
        <x:v>1</x:v>
      </x:c>
      <x:c r="AU1134" s="10" t="n">
        <x:f>AB1134/INDEX(tun_RepScale,G1134)</x:f>
        <x:v>290.3368848566301</x:v>
      </x:c>
      <x:c r="AV1134" s="32" t="n">
        <x:f>AM1134*60/tun_SeasonSeconds</x:f>
        <x:v>0</x:v>
      </x:c>
    </x:row>
    <x:row r="1135">
      <x:c r="A1135" s="8" t="n">
        <x:f>A1134+1</x:f>
        <x:v>1132</x:v>
      </x:c>
      <x:c r="B1135" s="9" t="n">
        <x:f>A1135*tun_SeasonSeconds/60</x:f>
        <x:v>283</x:v>
      </x:c>
      <x:c r="C1135" s="9" t="n">
        <x:f>A1135/4</x:f>
        <x:v>283</x:v>
      </x:c>
      <x:c r="D1135" s="8" t="n">
        <x:f>IF(MOD(A1135,4)=0,1,0)</x:f>
        <x:v>1</x:v>
      </x:c>
      <x:c r="E1135" s="8" t="n">
        <x:f>IF(AND(F1134&lt;=9,AS1134&gt;=AR1134),1,0)</x:f>
        <x:v>0</x:v>
      </x:c>
      <x:c r="F1135" s="8" t="n">
        <x:f>MIN(10,F1134+E1135)</x:f>
        <x:v>10</x:v>
      </x:c>
      <x:c r="G1135" s="8" t="n">
        <x:f>MIN(F1135,9)+1</x:f>
        <x:v>10</x:v>
      </x:c>
      <x:c r="H1135" s="8" t="n">
        <x:f>IF(F1135&lt;=9,1,0)</x:f>
        <x:v>0</x:v>
      </x:c>
      <x:c r="I1135" s="9" t="n">
        <x:f>MIN(10,F1134+IF(AR1134&gt;0,MIN(1,AS1134/AR1134),1))</x:f>
        <x:v>10</x:v>
      </x:c>
      <x:c r="J1135" s="32" t="n">
        <x:f>INDEX(tun_FoodCap,G1135)*Arch_FoodCap*EXP(tun_CapsByProject*SUMPRODUCT((Cap_Point&lt;=I1135)*(Cap_Kind="Food")*Cap_Ln))</x:f>
        <x:v>18627.260449441455</x:v>
      </x:c>
      <x:c r="K1135" s="32" t="n">
        <x:f>J1135*MIN(1,tun_LeanBase*EXP(tun_CapsByProject*SUMPRODUCT((Cap_Point&lt;=I1135)*(Cap_Kind="Lean")*Cap_Ln)))</x:f>
        <x:v>18627.260449441455</x:v>
      </x:c>
      <x:c r="L1135" s="10" t="n">
        <x:f>INDEX(tun_HousingCap,G1135)*EXP(tun_CapsByProject*SUMPRODUCT((Cap_Point&lt;=I1135)*(Cap_Kind="Housing")*Cap_Ln))</x:f>
        <x:v>20528.974303173167</x:v>
      </x:c>
      <x:c r="M1135" s="10" t="n">
        <x:f>INDEX(tun_GroupCap,G1135)*tun_CohesionFactor*EXP(tun_CapsByProject*SUMPRODUCT((Cap_Point&lt;=I1135)*(Cap_Kind="Group")*Cap_Ln))</x:f>
        <x:v>1000000.000000001</x:v>
      </x:c>
      <x:c r="N1135" s="32" t="n">
        <x:f>MIN(J1135,L1135,M1135)</x:f>
        <x:v>18627.260449441455</x:v>
      </x:c>
      <x:c r="O1135" s="10" t="n">
        <x:f>AE1134*N1135</x:f>
        <x:v>167645.34404497308</x:v>
      </x:c>
      <x:c r="P1135" s="9" t="n">
        <x:f>MIN(1,(AB1134/(AE1134*IF(tun_GroupInCrowding=1,N1135,MIN(J1135,L1135))))^tun_CrowdingExp)</x:f>
        <x:v>0.4215841981292809</x:v>
      </x:c>
      <x:c r="Q1135" s="9" t="n">
        <x:f>IF(D1135=1,INDEX(tun_WinterMult,G1135),1)</x:f>
        <x:v>1.05</x:v>
      </x:c>
      <x:c r="R1135" s="9" t="n">
        <x:f>H1135*Z1134*tun_WomenShare*tun_BaseFertility*INDEX(tun_FertMult,G1135)*Arch_Fertility*(1-P1135)</x:f>
        <x:v>0</x:v>
      </x:c>
      <x:c r="S1135" s="9" t="n">
        <x:f>H1135*Y1134*INDEX(tun_MortChild,G1135)/4*Q1135</x:f>
        <x:v>0</x:v>
      </x:c>
      <x:c r="T1135" s="9" t="n">
        <x:f>H1135*Z1134*INDEX(tun_MortAdult,G1135)*Arch_AdultMort/4*Q1135</x:f>
        <x:v>0</x:v>
      </x:c>
      <x:c r="U1135" s="9" t="n">
        <x:f>H1135*AA1134*INDEX(tun_MortElder,G1135)/4*Q1135</x:f>
        <x:v>0</x:v>
      </x:c>
      <x:c r="V1135" s="9" t="n">
        <x:f>H1135*MAX(0,AB1134-O1135)*tun_OvercapLoss</x:f>
        <x:v>0</x:v>
      </x:c>
      <x:c r="W1135" s="9" t="n">
        <x:f>H1135*Y1134/(tun_ChildYears*4)</x:f>
        <x:v>0</x:v>
      </x:c>
      <x:c r="X1135" s="9" t="n">
        <x:f>H1135*Z1134/(tun_AdultYears*4)</x:f>
        <x:v>0</x:v>
      </x:c>
      <x:c r="Y1135" s="32" t="n">
        <x:f>Y1134+R1135-S1135-W1135-Y1134*V1135/AB1134</x:f>
        <x:v>40496.20709015643</x:v>
      </x:c>
      <x:c r="Z1135" s="32" t="n">
        <x:f>Z1134+W1135-X1135-T1135-Z1134*V1135/AB1134</x:f>
        <x:v>59141.61122890803</x:v>
      </x:c>
      <x:c r="AA1135" s="32" t="n">
        <x:f>AA1134+X1135-U1135-AA1134*V1135/AB1134</x:f>
        <x:v>45530.62410925061</x:v>
      </x:c>
      <x:c r="AB1135" s="10" t="n">
        <x:f>Y1135+Z1135+AA1135</x:f>
        <x:v>145168.44242831506</x:v>
      </x:c>
      <x:c r="AC1135" s="8" t="n">
        <x:f>IF(AND(tun_WinterTrigger=1,D1135=1,AB1134/AE1134&gt;=K1135),1,0)</x:f>
        <x:v>0</x:v>
      </x:c>
      <x:c r="AD1135" s="8" t="n">
        <x:f>H1135*IF(AND(OR(AB1134/AE1134&gt;=tun_FissionTrigger*N1135,AC1135=1),AB1134/AE1134*tun_DaughterShare&gt;=tun_MinDaughter),MAX(1,ROUND(AE1134*tun_FissionRate,0)),0)</x:f>
        <x:v>0</x:v>
      </x:c>
      <x:c r="AE1135" s="8" t="n">
        <x:f>IF(H1135=1,MAX(1,MIN(INDEX(tun_Smax,G1135),AE1134+AD1135)),AE1134)</x:f>
        <x:v>9</x:v>
      </x:c>
      <x:c r="AF1135" s="8" t="n">
        <x:f>MAX(0,AE1135-AE1134)</x:f>
        <x:v>0</x:v>
      </x:c>
      <x:c r="AG1135" s="9" t="str">
        <x:f>IF(AF1135&gt;0,B1135,"")</x:f>
      </x:c>
      <x:c r="AH1135" s="9" t="n">
        <x:f>IF(F1135&gt;=1,1,(1+tun_LowTiesShare*(AE1135-1))/AE1135)</x:f>
        <x:v>1</x:v>
      </x:c>
      <x:c r="AI1135" s="32" t="n">
        <x:f>(Z1135+tun_ElderCommons*INDEX(LM_Elder,G1135)*AA1135)*AH1135</x:f>
        <x:v>238215.0665857503</x:v>
      </x:c>
      <x:c r="AJ1135" s="32" t="n">
        <x:f>H1135*tun_CommonsCoef*AI1135^tun_CommonsExp*INDEX(LM_Commons,G1135)</x:f>
        <x:v>0</x:v>
      </x:c>
      <x:c r="AK1135" s="32" t="n">
        <x:f>H1135*tun_RoleScale*Arch_Roles*(AE1135*(INDEX(tun_ElderRolePerSett,G1135)*tun_OutElder*INDEX(LM_Elder,G1135)+INDEX(tun_ShamanPerSett,G1135)*tun_OutShaman)+Z1135*(INDEX(tun_PriestShare,G1135)*tun_OutPriest+INDEX(tun_ScribeShare,G1135)*tun_OutScribe*INDEX(LM_Scribe,G1135)+INDEX(tun_ScholarShare,G1135)*tun_OutScholar*INDEX(LM_Scholar,G1135)+INDEX(tun_ResearcherShare,G1135)*tun_OutResearcher*INDEX(LM_Researcher,G1135)))</x:f>
        <x:v>0</x:v>
      </x:c>
      <x:c r="AL1135" s="32" t="n">
        <x:f>H1135*tun_RoleScale*Arch_Roles*AE1135*INDEX(tun_MonasteryPerSett,G1135)*tun_OutMonastery*INDEX(LM_Monastery,G1135)</x:f>
        <x:v>0</x:v>
      </x:c>
      <x:c r="AM1135" s="32" t="n">
        <x:f>(AJ1135+AK1135+AL1135)/4*INDEX(LM_All,G1135)*INDEX(tun_Boon,G1135)*Arch_Insight</x:f>
        <x:v>0</x:v>
      </x:c>
      <x:c r="AN1135" s="32" t="n">
        <x:f>H1135*(tun_KHPerAdult*Z1135+tun_KHOfCommons*AJ1135/4*INDEX(LM_All,G1135))*tun_KHUsable*Arch_KH</x:f>
        <x:v>0</x:v>
      </x:c>
      <x:c r="AO1135" s="32" t="n">
        <x:f>MIN(AP1134+AN1135,AM1135*tun_KHMaxRatio)</x:f>
        <x:v>0</x:v>
      </x:c>
      <x:c r="AP1135" s="32" t="n">
        <x:f>AP1134+AN1135-AO1135</x:f>
        <x:v>0</x:v>
      </x:c>
      <x:c r="AQ1135" s="32" t="n">
        <x:f>AM1135+AO1135</x:f>
        <x:v>0</x:v>
      </x:c>
      <x:c r="AR1135" s="10" t="n">
        <x:f>IF(H1135=1,INDEX(tun_Req,G1135),0)</x:f>
        <x:v>0</x:v>
      </x:c>
      <x:c r="AS1135" s="32" t="n">
        <x:f>IF(H1135=1,IF(E1135=1,AS1134-AR1134,AS1134)+AQ1135,0)</x:f>
        <x:v>0</x:v>
      </x:c>
      <x:c r="AT1135" s="11" t="n">
        <x:f>IF(AR1135&gt;0,MIN(1,AS1135/AR1135),1)</x:f>
        <x:v>1</x:v>
      </x:c>
      <x:c r="AU1135" s="10" t="n">
        <x:f>AB1135/INDEX(tun_RepScale,G1135)</x:f>
        <x:v>290.3368848566301</x:v>
      </x:c>
      <x:c r="AV1135" s="32" t="n">
        <x:f>AM1135*60/tun_SeasonSeconds</x:f>
        <x:v>0</x:v>
      </x:c>
    </x:row>
    <x:row r="1136">
      <x:c r="A1136" s="8" t="n">
        <x:f>A1135+1</x:f>
        <x:v>1133</x:v>
      </x:c>
      <x:c r="B1136" s="9" t="n">
        <x:f>A1136*tun_SeasonSeconds/60</x:f>
        <x:v>283.25</x:v>
      </x:c>
      <x:c r="C1136" s="9" t="n">
        <x:f>A1136/4</x:f>
        <x:v>283.25</x:v>
      </x:c>
      <x:c r="D1136" s="8" t="n">
        <x:f>IF(MOD(A1136,4)=0,1,0)</x:f>
        <x:v>0</x:v>
      </x:c>
      <x:c r="E1136" s="8" t="n">
        <x:f>IF(AND(F1135&lt;=9,AS1135&gt;=AR1135),1,0)</x:f>
        <x:v>0</x:v>
      </x:c>
      <x:c r="F1136" s="8" t="n">
        <x:f>MIN(10,F1135+E1136)</x:f>
        <x:v>10</x:v>
      </x:c>
      <x:c r="G1136" s="8" t="n">
        <x:f>MIN(F1136,9)+1</x:f>
        <x:v>10</x:v>
      </x:c>
      <x:c r="H1136" s="8" t="n">
        <x:f>IF(F1136&lt;=9,1,0)</x:f>
        <x:v>0</x:v>
      </x:c>
      <x:c r="I1136" s="9" t="n">
        <x:f>MIN(10,F1135+IF(AR1135&gt;0,MIN(1,AS1135/AR1135),1))</x:f>
        <x:v>10</x:v>
      </x:c>
      <x:c r="J1136" s="32" t="n">
        <x:f>INDEX(tun_FoodCap,G1136)*Arch_FoodCap*EXP(tun_CapsByProject*SUMPRODUCT((Cap_Point&lt;=I1136)*(Cap_Kind="Food")*Cap_Ln))</x:f>
        <x:v>18627.260449441455</x:v>
      </x:c>
      <x:c r="K1136" s="32" t="n">
        <x:f>J1136*MIN(1,tun_LeanBase*EXP(tun_CapsByProject*SUMPRODUCT((Cap_Point&lt;=I1136)*(Cap_Kind="Lean")*Cap_Ln)))</x:f>
        <x:v>18627.260449441455</x:v>
      </x:c>
      <x:c r="L1136" s="10" t="n">
        <x:f>INDEX(tun_HousingCap,G1136)*EXP(tun_CapsByProject*SUMPRODUCT((Cap_Point&lt;=I1136)*(Cap_Kind="Housing")*Cap_Ln))</x:f>
        <x:v>20528.974303173167</x:v>
      </x:c>
      <x:c r="M1136" s="10" t="n">
        <x:f>INDEX(tun_GroupCap,G1136)*tun_CohesionFactor*EXP(tun_CapsByProject*SUMPRODUCT((Cap_Point&lt;=I1136)*(Cap_Kind="Group")*Cap_Ln))</x:f>
        <x:v>1000000.000000001</x:v>
      </x:c>
      <x:c r="N1136" s="32" t="n">
        <x:f>MIN(J1136,L1136,M1136)</x:f>
        <x:v>18627.260449441455</x:v>
      </x:c>
      <x:c r="O1136" s="10" t="n">
        <x:f>AE1135*N1136</x:f>
        <x:v>167645.34404497308</x:v>
      </x:c>
      <x:c r="P1136" s="9" t="n">
        <x:f>MIN(1,(AB1135/(AE1135*IF(tun_GroupInCrowding=1,N1136,MIN(J1136,L1136))))^tun_CrowdingExp)</x:f>
        <x:v>0.4215841981292809</x:v>
      </x:c>
      <x:c r="Q1136" s="9" t="n">
        <x:f>IF(D1136=1,INDEX(tun_WinterMult,G1136),1)</x:f>
        <x:v>1</x:v>
      </x:c>
      <x:c r="R1136" s="9" t="n">
        <x:f>H1136*Z1135*tun_WomenShare*tun_BaseFertility*INDEX(tun_FertMult,G1136)*Arch_Fertility*(1-P1136)</x:f>
        <x:v>0</x:v>
      </x:c>
      <x:c r="S1136" s="9" t="n">
        <x:f>H1136*Y1135*INDEX(tun_MortChild,G1136)/4*Q1136</x:f>
        <x:v>0</x:v>
      </x:c>
      <x:c r="T1136" s="9" t="n">
        <x:f>H1136*Z1135*INDEX(tun_MortAdult,G1136)*Arch_AdultMort/4*Q1136</x:f>
        <x:v>0</x:v>
      </x:c>
      <x:c r="U1136" s="9" t="n">
        <x:f>H1136*AA1135*INDEX(tun_MortElder,G1136)/4*Q1136</x:f>
        <x:v>0</x:v>
      </x:c>
      <x:c r="V1136" s="9" t="n">
        <x:f>H1136*MAX(0,AB1135-O1136)*tun_OvercapLoss</x:f>
        <x:v>0</x:v>
      </x:c>
      <x:c r="W1136" s="9" t="n">
        <x:f>H1136*Y1135/(tun_ChildYears*4)</x:f>
        <x:v>0</x:v>
      </x:c>
      <x:c r="X1136" s="9" t="n">
        <x:f>H1136*Z1135/(tun_AdultYears*4)</x:f>
        <x:v>0</x:v>
      </x:c>
      <x:c r="Y1136" s="32" t="n">
        <x:f>Y1135+R1136-S1136-W1136-Y1135*V1136/AB1135</x:f>
        <x:v>40496.20709015643</x:v>
      </x:c>
      <x:c r="Z1136" s="32" t="n">
        <x:f>Z1135+W1136-X1136-T1136-Z1135*V1136/AB1135</x:f>
        <x:v>59141.61122890803</x:v>
      </x:c>
      <x:c r="AA1136" s="32" t="n">
        <x:f>AA1135+X1136-U1136-AA1135*V1136/AB1135</x:f>
        <x:v>45530.62410925061</x:v>
      </x:c>
      <x:c r="AB1136" s="10" t="n">
        <x:f>Y1136+Z1136+AA1136</x:f>
        <x:v>145168.44242831506</x:v>
      </x:c>
      <x:c r="AC1136" s="8" t="n">
        <x:f>IF(AND(tun_WinterTrigger=1,D1136=1,AB1135/AE1135&gt;=K1136),1,0)</x:f>
        <x:v>0</x:v>
      </x:c>
      <x:c r="AD1136" s="8" t="n">
        <x:f>H1136*IF(AND(OR(AB1135/AE1135&gt;=tun_FissionTrigger*N1136,AC1136=1),AB1135/AE1135*tun_DaughterShare&gt;=tun_MinDaughter),MAX(1,ROUND(AE1135*tun_FissionRate,0)),0)</x:f>
        <x:v>0</x:v>
      </x:c>
      <x:c r="AE1136" s="8" t="n">
        <x:f>IF(H1136=1,MAX(1,MIN(INDEX(tun_Smax,G1136),AE1135+AD1136)),AE1135)</x:f>
        <x:v>9</x:v>
      </x:c>
      <x:c r="AF1136" s="8" t="n">
        <x:f>MAX(0,AE1136-AE1135)</x:f>
        <x:v>0</x:v>
      </x:c>
      <x:c r="AG1136" s="9" t="str">
        <x:f>IF(AF1136&gt;0,B1136,"")</x:f>
      </x:c>
      <x:c r="AH1136" s="9" t="n">
        <x:f>IF(F1136&gt;=1,1,(1+tun_LowTiesShare*(AE1136-1))/AE1136)</x:f>
        <x:v>1</x:v>
      </x:c>
      <x:c r="AI1136" s="32" t="n">
        <x:f>(Z1136+tun_ElderCommons*INDEX(LM_Elder,G1136)*AA1136)*AH1136</x:f>
        <x:v>238215.0665857503</x:v>
      </x:c>
      <x:c r="AJ1136" s="32" t="n">
        <x:f>H1136*tun_CommonsCoef*AI1136^tun_CommonsExp*INDEX(LM_Commons,G1136)</x:f>
        <x:v>0</x:v>
      </x:c>
      <x:c r="AK1136" s="32" t="n">
        <x:f>H1136*tun_RoleScale*Arch_Roles*(AE1136*(INDEX(tun_ElderRolePerSett,G1136)*tun_OutElder*INDEX(LM_Elder,G1136)+INDEX(tun_ShamanPerSett,G1136)*tun_OutShaman)+Z1136*(INDEX(tun_PriestShare,G1136)*tun_OutPriest+INDEX(tun_ScribeShare,G1136)*tun_OutScribe*INDEX(LM_Scribe,G1136)+INDEX(tun_ScholarShare,G1136)*tun_OutScholar*INDEX(LM_Scholar,G1136)+INDEX(tun_ResearcherShare,G1136)*tun_OutResearcher*INDEX(LM_Researcher,G1136)))</x:f>
        <x:v>0</x:v>
      </x:c>
      <x:c r="AL1136" s="32" t="n">
        <x:f>H1136*tun_RoleScale*Arch_Roles*AE1136*INDEX(tun_MonasteryPerSett,G1136)*tun_OutMonastery*INDEX(LM_Monastery,G1136)</x:f>
        <x:v>0</x:v>
      </x:c>
      <x:c r="AM1136" s="32" t="n">
        <x:f>(AJ1136+AK1136+AL1136)/4*INDEX(LM_All,G1136)*INDEX(tun_Boon,G1136)*Arch_Insight</x:f>
        <x:v>0</x:v>
      </x:c>
      <x:c r="AN1136" s="32" t="n">
        <x:f>H1136*(tun_KHPerAdult*Z1136+tun_KHOfCommons*AJ1136/4*INDEX(LM_All,G1136))*tun_KHUsable*Arch_KH</x:f>
        <x:v>0</x:v>
      </x:c>
      <x:c r="AO1136" s="32" t="n">
        <x:f>MIN(AP1135+AN1136,AM1136*tun_KHMaxRatio)</x:f>
        <x:v>0</x:v>
      </x:c>
      <x:c r="AP1136" s="32" t="n">
        <x:f>AP1135+AN1136-AO1136</x:f>
        <x:v>0</x:v>
      </x:c>
      <x:c r="AQ1136" s="32" t="n">
        <x:f>AM1136+AO1136</x:f>
        <x:v>0</x:v>
      </x:c>
      <x:c r="AR1136" s="10" t="n">
        <x:f>IF(H1136=1,INDEX(tun_Req,G1136),0)</x:f>
        <x:v>0</x:v>
      </x:c>
      <x:c r="AS1136" s="32" t="n">
        <x:f>IF(H1136=1,IF(E1136=1,AS1135-AR1135,AS1135)+AQ1136,0)</x:f>
        <x:v>0</x:v>
      </x:c>
      <x:c r="AT1136" s="11" t="n">
        <x:f>IF(AR1136&gt;0,MIN(1,AS1136/AR1136),1)</x:f>
        <x:v>1</x:v>
      </x:c>
      <x:c r="AU1136" s="10" t="n">
        <x:f>AB1136/INDEX(tun_RepScale,G1136)</x:f>
        <x:v>290.3368848566301</x:v>
      </x:c>
      <x:c r="AV1136" s="32" t="n">
        <x:f>AM1136*60/tun_SeasonSeconds</x:f>
        <x:v>0</x:v>
      </x:c>
    </x:row>
    <x:row r="1137">
      <x:c r="A1137" s="8" t="n">
        <x:f>A1136+1</x:f>
        <x:v>1134</x:v>
      </x:c>
      <x:c r="B1137" s="9" t="n">
        <x:f>A1137*tun_SeasonSeconds/60</x:f>
        <x:v>283.5</x:v>
      </x:c>
      <x:c r="C1137" s="9" t="n">
        <x:f>A1137/4</x:f>
        <x:v>283.5</x:v>
      </x:c>
      <x:c r="D1137" s="8" t="n">
        <x:f>IF(MOD(A1137,4)=0,1,0)</x:f>
        <x:v>0</x:v>
      </x:c>
      <x:c r="E1137" s="8" t="n">
        <x:f>IF(AND(F1136&lt;=9,AS1136&gt;=AR1136),1,0)</x:f>
        <x:v>0</x:v>
      </x:c>
      <x:c r="F1137" s="8" t="n">
        <x:f>MIN(10,F1136+E1137)</x:f>
        <x:v>10</x:v>
      </x:c>
      <x:c r="G1137" s="8" t="n">
        <x:f>MIN(F1137,9)+1</x:f>
        <x:v>10</x:v>
      </x:c>
      <x:c r="H1137" s="8" t="n">
        <x:f>IF(F1137&lt;=9,1,0)</x:f>
        <x:v>0</x:v>
      </x:c>
      <x:c r="I1137" s="9" t="n">
        <x:f>MIN(10,F1136+IF(AR1136&gt;0,MIN(1,AS1136/AR1136),1))</x:f>
        <x:v>10</x:v>
      </x:c>
      <x:c r="J1137" s="32" t="n">
        <x:f>INDEX(tun_FoodCap,G1137)*Arch_FoodCap*EXP(tun_CapsByProject*SUMPRODUCT((Cap_Point&lt;=I1137)*(Cap_Kind="Food")*Cap_Ln))</x:f>
        <x:v>18627.260449441455</x:v>
      </x:c>
      <x:c r="K1137" s="32" t="n">
        <x:f>J1137*MIN(1,tun_LeanBase*EXP(tun_CapsByProject*SUMPRODUCT((Cap_Point&lt;=I1137)*(Cap_Kind="Lean")*Cap_Ln)))</x:f>
        <x:v>18627.260449441455</x:v>
      </x:c>
      <x:c r="L1137" s="10" t="n">
        <x:f>INDEX(tun_HousingCap,G1137)*EXP(tun_CapsByProject*SUMPRODUCT((Cap_Point&lt;=I1137)*(Cap_Kind="Housing")*Cap_Ln))</x:f>
        <x:v>20528.974303173167</x:v>
      </x:c>
      <x:c r="M1137" s="10" t="n">
        <x:f>INDEX(tun_GroupCap,G1137)*tun_CohesionFactor*EXP(tun_CapsByProject*SUMPRODUCT((Cap_Point&lt;=I1137)*(Cap_Kind="Group")*Cap_Ln))</x:f>
        <x:v>1000000.000000001</x:v>
      </x:c>
      <x:c r="N1137" s="32" t="n">
        <x:f>MIN(J1137,L1137,M1137)</x:f>
        <x:v>18627.260449441455</x:v>
      </x:c>
      <x:c r="O1137" s="10" t="n">
        <x:f>AE1136*N1137</x:f>
        <x:v>167645.34404497308</x:v>
      </x:c>
      <x:c r="P1137" s="9" t="n">
        <x:f>MIN(1,(AB1136/(AE1136*IF(tun_GroupInCrowding=1,N1137,MIN(J1137,L1137))))^tun_CrowdingExp)</x:f>
        <x:v>0.4215841981292809</x:v>
      </x:c>
      <x:c r="Q1137" s="9" t="n">
        <x:f>IF(D1137=1,INDEX(tun_WinterMult,G1137),1)</x:f>
        <x:v>1</x:v>
      </x:c>
      <x:c r="R1137" s="9" t="n">
        <x:f>H1137*Z1136*tun_WomenShare*tun_BaseFertility*INDEX(tun_FertMult,G1137)*Arch_Fertility*(1-P1137)</x:f>
        <x:v>0</x:v>
      </x:c>
      <x:c r="S1137" s="9" t="n">
        <x:f>H1137*Y1136*INDEX(tun_MortChild,G1137)/4*Q1137</x:f>
        <x:v>0</x:v>
      </x:c>
      <x:c r="T1137" s="9" t="n">
        <x:f>H1137*Z1136*INDEX(tun_MortAdult,G1137)*Arch_AdultMort/4*Q1137</x:f>
        <x:v>0</x:v>
      </x:c>
      <x:c r="U1137" s="9" t="n">
        <x:f>H1137*AA1136*INDEX(tun_MortElder,G1137)/4*Q1137</x:f>
        <x:v>0</x:v>
      </x:c>
      <x:c r="V1137" s="9" t="n">
        <x:f>H1137*MAX(0,AB1136-O1137)*tun_OvercapLoss</x:f>
        <x:v>0</x:v>
      </x:c>
      <x:c r="W1137" s="9" t="n">
        <x:f>H1137*Y1136/(tun_ChildYears*4)</x:f>
        <x:v>0</x:v>
      </x:c>
      <x:c r="X1137" s="9" t="n">
        <x:f>H1137*Z1136/(tun_AdultYears*4)</x:f>
        <x:v>0</x:v>
      </x:c>
      <x:c r="Y1137" s="32" t="n">
        <x:f>Y1136+R1137-S1137-W1137-Y1136*V1137/AB1136</x:f>
        <x:v>40496.20709015643</x:v>
      </x:c>
      <x:c r="Z1137" s="32" t="n">
        <x:f>Z1136+W1137-X1137-T1137-Z1136*V1137/AB1136</x:f>
        <x:v>59141.61122890803</x:v>
      </x:c>
      <x:c r="AA1137" s="32" t="n">
        <x:f>AA1136+X1137-U1137-AA1136*V1137/AB1136</x:f>
        <x:v>45530.62410925061</x:v>
      </x:c>
      <x:c r="AB1137" s="10" t="n">
        <x:f>Y1137+Z1137+AA1137</x:f>
        <x:v>145168.44242831506</x:v>
      </x:c>
      <x:c r="AC1137" s="8" t="n">
        <x:f>IF(AND(tun_WinterTrigger=1,D1137=1,AB1136/AE1136&gt;=K1137),1,0)</x:f>
        <x:v>0</x:v>
      </x:c>
      <x:c r="AD1137" s="8" t="n">
        <x:f>H1137*IF(AND(OR(AB1136/AE1136&gt;=tun_FissionTrigger*N1137,AC1137=1),AB1136/AE1136*tun_DaughterShare&gt;=tun_MinDaughter),MAX(1,ROUND(AE1136*tun_FissionRate,0)),0)</x:f>
        <x:v>0</x:v>
      </x:c>
      <x:c r="AE1137" s="8" t="n">
        <x:f>IF(H1137=1,MAX(1,MIN(INDEX(tun_Smax,G1137),AE1136+AD1137)),AE1136)</x:f>
        <x:v>9</x:v>
      </x:c>
      <x:c r="AF1137" s="8" t="n">
        <x:f>MAX(0,AE1137-AE1136)</x:f>
        <x:v>0</x:v>
      </x:c>
      <x:c r="AG1137" s="9" t="str">
        <x:f>IF(AF1137&gt;0,B1137,"")</x:f>
      </x:c>
      <x:c r="AH1137" s="9" t="n">
        <x:f>IF(F1137&gt;=1,1,(1+tun_LowTiesShare*(AE1137-1))/AE1137)</x:f>
        <x:v>1</x:v>
      </x:c>
      <x:c r="AI1137" s="32" t="n">
        <x:f>(Z1137+tun_ElderCommons*INDEX(LM_Elder,G1137)*AA1137)*AH1137</x:f>
        <x:v>238215.0665857503</x:v>
      </x:c>
      <x:c r="AJ1137" s="32" t="n">
        <x:f>H1137*tun_CommonsCoef*AI1137^tun_CommonsExp*INDEX(LM_Commons,G1137)</x:f>
        <x:v>0</x:v>
      </x:c>
      <x:c r="AK1137" s="32" t="n">
        <x:f>H1137*tun_RoleScale*Arch_Roles*(AE1137*(INDEX(tun_ElderRolePerSett,G1137)*tun_OutElder*INDEX(LM_Elder,G1137)+INDEX(tun_ShamanPerSett,G1137)*tun_OutShaman)+Z1137*(INDEX(tun_PriestShare,G1137)*tun_OutPriest+INDEX(tun_ScribeShare,G1137)*tun_OutScribe*INDEX(LM_Scribe,G1137)+INDEX(tun_ScholarShare,G1137)*tun_OutScholar*INDEX(LM_Scholar,G1137)+INDEX(tun_ResearcherShare,G1137)*tun_OutResearcher*INDEX(LM_Researcher,G1137)))</x:f>
        <x:v>0</x:v>
      </x:c>
      <x:c r="AL1137" s="32" t="n">
        <x:f>H1137*tun_RoleScale*Arch_Roles*AE1137*INDEX(tun_MonasteryPerSett,G1137)*tun_OutMonastery*INDEX(LM_Monastery,G1137)</x:f>
        <x:v>0</x:v>
      </x:c>
      <x:c r="AM1137" s="32" t="n">
        <x:f>(AJ1137+AK1137+AL1137)/4*INDEX(LM_All,G1137)*INDEX(tun_Boon,G1137)*Arch_Insight</x:f>
        <x:v>0</x:v>
      </x:c>
      <x:c r="AN1137" s="32" t="n">
        <x:f>H1137*(tun_KHPerAdult*Z1137+tun_KHOfCommons*AJ1137/4*INDEX(LM_All,G1137))*tun_KHUsable*Arch_KH</x:f>
        <x:v>0</x:v>
      </x:c>
      <x:c r="AO1137" s="32" t="n">
        <x:f>MIN(AP1136+AN1137,AM1137*tun_KHMaxRatio)</x:f>
        <x:v>0</x:v>
      </x:c>
      <x:c r="AP1137" s="32" t="n">
        <x:f>AP1136+AN1137-AO1137</x:f>
        <x:v>0</x:v>
      </x:c>
      <x:c r="AQ1137" s="32" t="n">
        <x:f>AM1137+AO1137</x:f>
        <x:v>0</x:v>
      </x:c>
      <x:c r="AR1137" s="10" t="n">
        <x:f>IF(H1137=1,INDEX(tun_Req,G1137),0)</x:f>
        <x:v>0</x:v>
      </x:c>
      <x:c r="AS1137" s="32" t="n">
        <x:f>IF(H1137=1,IF(E1137=1,AS1136-AR1136,AS1136)+AQ1137,0)</x:f>
        <x:v>0</x:v>
      </x:c>
      <x:c r="AT1137" s="11" t="n">
        <x:f>IF(AR1137&gt;0,MIN(1,AS1137/AR1137),1)</x:f>
        <x:v>1</x:v>
      </x:c>
      <x:c r="AU1137" s="10" t="n">
        <x:f>AB1137/INDEX(tun_RepScale,G1137)</x:f>
        <x:v>290.3368848566301</x:v>
      </x:c>
      <x:c r="AV1137" s="32" t="n">
        <x:f>AM1137*60/tun_SeasonSeconds</x:f>
        <x:v>0</x:v>
      </x:c>
    </x:row>
    <x:row r="1138">
      <x:c r="A1138" s="8" t="n">
        <x:f>A1137+1</x:f>
        <x:v>1135</x:v>
      </x:c>
      <x:c r="B1138" s="9" t="n">
        <x:f>A1138*tun_SeasonSeconds/60</x:f>
        <x:v>283.75</x:v>
      </x:c>
      <x:c r="C1138" s="9" t="n">
        <x:f>A1138/4</x:f>
        <x:v>283.75</x:v>
      </x:c>
      <x:c r="D1138" s="8" t="n">
        <x:f>IF(MOD(A1138,4)=0,1,0)</x:f>
        <x:v>0</x:v>
      </x:c>
      <x:c r="E1138" s="8" t="n">
        <x:f>IF(AND(F1137&lt;=9,AS1137&gt;=AR1137),1,0)</x:f>
        <x:v>0</x:v>
      </x:c>
      <x:c r="F1138" s="8" t="n">
        <x:f>MIN(10,F1137+E1138)</x:f>
        <x:v>10</x:v>
      </x:c>
      <x:c r="G1138" s="8" t="n">
        <x:f>MIN(F1138,9)+1</x:f>
        <x:v>10</x:v>
      </x:c>
      <x:c r="H1138" s="8" t="n">
        <x:f>IF(F1138&lt;=9,1,0)</x:f>
        <x:v>0</x:v>
      </x:c>
      <x:c r="I1138" s="9" t="n">
        <x:f>MIN(10,F1137+IF(AR1137&gt;0,MIN(1,AS1137/AR1137),1))</x:f>
        <x:v>10</x:v>
      </x:c>
      <x:c r="J1138" s="32" t="n">
        <x:f>INDEX(tun_FoodCap,G1138)*Arch_FoodCap*EXP(tun_CapsByProject*SUMPRODUCT((Cap_Point&lt;=I1138)*(Cap_Kind="Food")*Cap_Ln))</x:f>
        <x:v>18627.260449441455</x:v>
      </x:c>
      <x:c r="K1138" s="32" t="n">
        <x:f>J1138*MIN(1,tun_LeanBase*EXP(tun_CapsByProject*SUMPRODUCT((Cap_Point&lt;=I1138)*(Cap_Kind="Lean")*Cap_Ln)))</x:f>
        <x:v>18627.260449441455</x:v>
      </x:c>
      <x:c r="L1138" s="10" t="n">
        <x:f>INDEX(tun_HousingCap,G1138)*EXP(tun_CapsByProject*SUMPRODUCT((Cap_Point&lt;=I1138)*(Cap_Kind="Housing")*Cap_Ln))</x:f>
        <x:v>20528.974303173167</x:v>
      </x:c>
      <x:c r="M1138" s="10" t="n">
        <x:f>INDEX(tun_GroupCap,G1138)*tun_CohesionFactor*EXP(tun_CapsByProject*SUMPRODUCT((Cap_Point&lt;=I1138)*(Cap_Kind="Group")*Cap_Ln))</x:f>
        <x:v>1000000.000000001</x:v>
      </x:c>
      <x:c r="N1138" s="32" t="n">
        <x:f>MIN(J1138,L1138,M1138)</x:f>
        <x:v>18627.260449441455</x:v>
      </x:c>
      <x:c r="O1138" s="10" t="n">
        <x:f>AE1137*N1138</x:f>
        <x:v>167645.34404497308</x:v>
      </x:c>
      <x:c r="P1138" s="9" t="n">
        <x:f>MIN(1,(AB1137/(AE1137*IF(tun_GroupInCrowding=1,N1138,MIN(J1138,L1138))))^tun_CrowdingExp)</x:f>
        <x:v>0.4215841981292809</x:v>
      </x:c>
      <x:c r="Q1138" s="9" t="n">
        <x:f>IF(D1138=1,INDEX(tun_WinterMult,G1138),1)</x:f>
        <x:v>1</x:v>
      </x:c>
      <x:c r="R1138" s="9" t="n">
        <x:f>H1138*Z1137*tun_WomenShare*tun_BaseFertility*INDEX(tun_FertMult,G1138)*Arch_Fertility*(1-P1138)</x:f>
        <x:v>0</x:v>
      </x:c>
      <x:c r="S1138" s="9" t="n">
        <x:f>H1138*Y1137*INDEX(tun_MortChild,G1138)/4*Q1138</x:f>
        <x:v>0</x:v>
      </x:c>
      <x:c r="T1138" s="9" t="n">
        <x:f>H1138*Z1137*INDEX(tun_MortAdult,G1138)*Arch_AdultMort/4*Q1138</x:f>
        <x:v>0</x:v>
      </x:c>
      <x:c r="U1138" s="9" t="n">
        <x:f>H1138*AA1137*INDEX(tun_MortElder,G1138)/4*Q1138</x:f>
        <x:v>0</x:v>
      </x:c>
      <x:c r="V1138" s="9" t="n">
        <x:f>H1138*MAX(0,AB1137-O1138)*tun_OvercapLoss</x:f>
        <x:v>0</x:v>
      </x:c>
      <x:c r="W1138" s="9" t="n">
        <x:f>H1138*Y1137/(tun_ChildYears*4)</x:f>
        <x:v>0</x:v>
      </x:c>
      <x:c r="X1138" s="9" t="n">
        <x:f>H1138*Z1137/(tun_AdultYears*4)</x:f>
        <x:v>0</x:v>
      </x:c>
      <x:c r="Y1138" s="32" t="n">
        <x:f>Y1137+R1138-S1138-W1138-Y1137*V1138/AB1137</x:f>
        <x:v>40496.20709015643</x:v>
      </x:c>
      <x:c r="Z1138" s="32" t="n">
        <x:f>Z1137+W1138-X1138-T1138-Z1137*V1138/AB1137</x:f>
        <x:v>59141.61122890803</x:v>
      </x:c>
      <x:c r="AA1138" s="32" t="n">
        <x:f>AA1137+X1138-U1138-AA1137*V1138/AB1137</x:f>
        <x:v>45530.62410925061</x:v>
      </x:c>
      <x:c r="AB1138" s="10" t="n">
        <x:f>Y1138+Z1138+AA1138</x:f>
        <x:v>145168.44242831506</x:v>
      </x:c>
      <x:c r="AC1138" s="8" t="n">
        <x:f>IF(AND(tun_WinterTrigger=1,D1138=1,AB1137/AE1137&gt;=K1138),1,0)</x:f>
        <x:v>0</x:v>
      </x:c>
      <x:c r="AD1138" s="8" t="n">
        <x:f>H1138*IF(AND(OR(AB1137/AE1137&gt;=tun_FissionTrigger*N1138,AC1138=1),AB1137/AE1137*tun_DaughterShare&gt;=tun_MinDaughter),MAX(1,ROUND(AE1137*tun_FissionRate,0)),0)</x:f>
        <x:v>0</x:v>
      </x:c>
      <x:c r="AE1138" s="8" t="n">
        <x:f>IF(H1138=1,MAX(1,MIN(INDEX(tun_Smax,G1138),AE1137+AD1138)),AE1137)</x:f>
        <x:v>9</x:v>
      </x:c>
      <x:c r="AF1138" s="8" t="n">
        <x:f>MAX(0,AE1138-AE1137)</x:f>
        <x:v>0</x:v>
      </x:c>
      <x:c r="AG1138" s="9" t="str">
        <x:f>IF(AF1138&gt;0,B1138,"")</x:f>
      </x:c>
      <x:c r="AH1138" s="9" t="n">
        <x:f>IF(F1138&gt;=1,1,(1+tun_LowTiesShare*(AE1138-1))/AE1138)</x:f>
        <x:v>1</x:v>
      </x:c>
      <x:c r="AI1138" s="32" t="n">
        <x:f>(Z1138+tun_ElderCommons*INDEX(LM_Elder,G1138)*AA1138)*AH1138</x:f>
        <x:v>238215.0665857503</x:v>
      </x:c>
      <x:c r="AJ1138" s="32" t="n">
        <x:f>H1138*tun_CommonsCoef*AI1138^tun_CommonsExp*INDEX(LM_Commons,G1138)</x:f>
        <x:v>0</x:v>
      </x:c>
      <x:c r="AK1138" s="32" t="n">
        <x:f>H1138*tun_RoleScale*Arch_Roles*(AE1138*(INDEX(tun_ElderRolePerSett,G1138)*tun_OutElder*INDEX(LM_Elder,G1138)+INDEX(tun_ShamanPerSett,G1138)*tun_OutShaman)+Z1138*(INDEX(tun_PriestShare,G1138)*tun_OutPriest+INDEX(tun_ScribeShare,G1138)*tun_OutScribe*INDEX(LM_Scribe,G1138)+INDEX(tun_ScholarShare,G1138)*tun_OutScholar*INDEX(LM_Scholar,G1138)+INDEX(tun_ResearcherShare,G1138)*tun_OutResearcher*INDEX(LM_Researcher,G1138)))</x:f>
        <x:v>0</x:v>
      </x:c>
      <x:c r="AL1138" s="32" t="n">
        <x:f>H1138*tun_RoleScale*Arch_Roles*AE1138*INDEX(tun_MonasteryPerSett,G1138)*tun_OutMonastery*INDEX(LM_Monastery,G1138)</x:f>
        <x:v>0</x:v>
      </x:c>
      <x:c r="AM1138" s="32" t="n">
        <x:f>(AJ1138+AK1138+AL1138)/4*INDEX(LM_All,G1138)*INDEX(tun_Boon,G1138)*Arch_Insight</x:f>
        <x:v>0</x:v>
      </x:c>
      <x:c r="AN1138" s="32" t="n">
        <x:f>H1138*(tun_KHPerAdult*Z1138+tun_KHOfCommons*AJ1138/4*INDEX(LM_All,G1138))*tun_KHUsable*Arch_KH</x:f>
        <x:v>0</x:v>
      </x:c>
      <x:c r="AO1138" s="32" t="n">
        <x:f>MIN(AP1137+AN1138,AM1138*tun_KHMaxRatio)</x:f>
        <x:v>0</x:v>
      </x:c>
      <x:c r="AP1138" s="32" t="n">
        <x:f>AP1137+AN1138-AO1138</x:f>
        <x:v>0</x:v>
      </x:c>
      <x:c r="AQ1138" s="32" t="n">
        <x:f>AM1138+AO1138</x:f>
        <x:v>0</x:v>
      </x:c>
      <x:c r="AR1138" s="10" t="n">
        <x:f>IF(H1138=1,INDEX(tun_Req,G1138),0)</x:f>
        <x:v>0</x:v>
      </x:c>
      <x:c r="AS1138" s="32" t="n">
        <x:f>IF(H1138=1,IF(E1138=1,AS1137-AR1137,AS1137)+AQ1138,0)</x:f>
        <x:v>0</x:v>
      </x:c>
      <x:c r="AT1138" s="11" t="n">
        <x:f>IF(AR1138&gt;0,MIN(1,AS1138/AR1138),1)</x:f>
        <x:v>1</x:v>
      </x:c>
      <x:c r="AU1138" s="10" t="n">
        <x:f>AB1138/INDEX(tun_RepScale,G1138)</x:f>
        <x:v>290.3368848566301</x:v>
      </x:c>
      <x:c r="AV1138" s="32" t="n">
        <x:f>AM1138*60/tun_SeasonSeconds</x:f>
        <x:v>0</x:v>
      </x:c>
    </x:row>
    <x:row r="1139">
      <x:c r="A1139" s="8" t="n">
        <x:f>A1138+1</x:f>
        <x:v>1136</x:v>
      </x:c>
      <x:c r="B1139" s="9" t="n">
        <x:f>A1139*tun_SeasonSeconds/60</x:f>
        <x:v>284</x:v>
      </x:c>
      <x:c r="C1139" s="9" t="n">
        <x:f>A1139/4</x:f>
        <x:v>284</x:v>
      </x:c>
      <x:c r="D1139" s="8" t="n">
        <x:f>IF(MOD(A1139,4)=0,1,0)</x:f>
        <x:v>1</x:v>
      </x:c>
      <x:c r="E1139" s="8" t="n">
        <x:f>IF(AND(F1138&lt;=9,AS1138&gt;=AR1138),1,0)</x:f>
        <x:v>0</x:v>
      </x:c>
      <x:c r="F1139" s="8" t="n">
        <x:f>MIN(10,F1138+E1139)</x:f>
        <x:v>10</x:v>
      </x:c>
      <x:c r="G1139" s="8" t="n">
        <x:f>MIN(F1139,9)+1</x:f>
        <x:v>10</x:v>
      </x:c>
      <x:c r="H1139" s="8" t="n">
        <x:f>IF(F1139&lt;=9,1,0)</x:f>
        <x:v>0</x:v>
      </x:c>
      <x:c r="I1139" s="9" t="n">
        <x:f>MIN(10,F1138+IF(AR1138&gt;0,MIN(1,AS1138/AR1138),1))</x:f>
        <x:v>10</x:v>
      </x:c>
      <x:c r="J1139" s="32" t="n">
        <x:f>INDEX(tun_FoodCap,G1139)*Arch_FoodCap*EXP(tun_CapsByProject*SUMPRODUCT((Cap_Point&lt;=I1139)*(Cap_Kind="Food")*Cap_Ln))</x:f>
        <x:v>18627.260449441455</x:v>
      </x:c>
      <x:c r="K1139" s="32" t="n">
        <x:f>J1139*MIN(1,tun_LeanBase*EXP(tun_CapsByProject*SUMPRODUCT((Cap_Point&lt;=I1139)*(Cap_Kind="Lean")*Cap_Ln)))</x:f>
        <x:v>18627.260449441455</x:v>
      </x:c>
      <x:c r="L1139" s="10" t="n">
        <x:f>INDEX(tun_HousingCap,G1139)*EXP(tun_CapsByProject*SUMPRODUCT((Cap_Point&lt;=I1139)*(Cap_Kind="Housing")*Cap_Ln))</x:f>
        <x:v>20528.974303173167</x:v>
      </x:c>
      <x:c r="M1139" s="10" t="n">
        <x:f>INDEX(tun_GroupCap,G1139)*tun_CohesionFactor*EXP(tun_CapsByProject*SUMPRODUCT((Cap_Point&lt;=I1139)*(Cap_Kind="Group")*Cap_Ln))</x:f>
        <x:v>1000000.000000001</x:v>
      </x:c>
      <x:c r="N1139" s="32" t="n">
        <x:f>MIN(J1139,L1139,M1139)</x:f>
        <x:v>18627.260449441455</x:v>
      </x:c>
      <x:c r="O1139" s="10" t="n">
        <x:f>AE1138*N1139</x:f>
        <x:v>167645.34404497308</x:v>
      </x:c>
      <x:c r="P1139" s="9" t="n">
        <x:f>MIN(1,(AB1138/(AE1138*IF(tun_GroupInCrowding=1,N1139,MIN(J1139,L1139))))^tun_CrowdingExp)</x:f>
        <x:v>0.4215841981292809</x:v>
      </x:c>
      <x:c r="Q1139" s="9" t="n">
        <x:f>IF(D1139=1,INDEX(tun_WinterMult,G1139),1)</x:f>
        <x:v>1.05</x:v>
      </x:c>
      <x:c r="R1139" s="9" t="n">
        <x:f>H1139*Z1138*tun_WomenShare*tun_BaseFertility*INDEX(tun_FertMult,G1139)*Arch_Fertility*(1-P1139)</x:f>
        <x:v>0</x:v>
      </x:c>
      <x:c r="S1139" s="9" t="n">
        <x:f>H1139*Y1138*INDEX(tun_MortChild,G1139)/4*Q1139</x:f>
        <x:v>0</x:v>
      </x:c>
      <x:c r="T1139" s="9" t="n">
        <x:f>H1139*Z1138*INDEX(tun_MortAdult,G1139)*Arch_AdultMort/4*Q1139</x:f>
        <x:v>0</x:v>
      </x:c>
      <x:c r="U1139" s="9" t="n">
        <x:f>H1139*AA1138*INDEX(tun_MortElder,G1139)/4*Q1139</x:f>
        <x:v>0</x:v>
      </x:c>
      <x:c r="V1139" s="9" t="n">
        <x:f>H1139*MAX(0,AB1138-O1139)*tun_OvercapLoss</x:f>
        <x:v>0</x:v>
      </x:c>
      <x:c r="W1139" s="9" t="n">
        <x:f>H1139*Y1138/(tun_ChildYears*4)</x:f>
        <x:v>0</x:v>
      </x:c>
      <x:c r="X1139" s="9" t="n">
        <x:f>H1139*Z1138/(tun_AdultYears*4)</x:f>
        <x:v>0</x:v>
      </x:c>
      <x:c r="Y1139" s="32" t="n">
        <x:f>Y1138+R1139-S1139-W1139-Y1138*V1139/AB1138</x:f>
        <x:v>40496.20709015643</x:v>
      </x:c>
      <x:c r="Z1139" s="32" t="n">
        <x:f>Z1138+W1139-X1139-T1139-Z1138*V1139/AB1138</x:f>
        <x:v>59141.61122890803</x:v>
      </x:c>
      <x:c r="AA1139" s="32" t="n">
        <x:f>AA1138+X1139-U1139-AA1138*V1139/AB1138</x:f>
        <x:v>45530.62410925061</x:v>
      </x:c>
      <x:c r="AB1139" s="10" t="n">
        <x:f>Y1139+Z1139+AA1139</x:f>
        <x:v>145168.44242831506</x:v>
      </x:c>
      <x:c r="AC1139" s="8" t="n">
        <x:f>IF(AND(tun_WinterTrigger=1,D1139=1,AB1138/AE1138&gt;=K1139),1,0)</x:f>
        <x:v>0</x:v>
      </x:c>
      <x:c r="AD1139" s="8" t="n">
        <x:f>H1139*IF(AND(OR(AB1138/AE1138&gt;=tun_FissionTrigger*N1139,AC1139=1),AB1138/AE1138*tun_DaughterShare&gt;=tun_MinDaughter),MAX(1,ROUND(AE1138*tun_FissionRate,0)),0)</x:f>
        <x:v>0</x:v>
      </x:c>
      <x:c r="AE1139" s="8" t="n">
        <x:f>IF(H1139=1,MAX(1,MIN(INDEX(tun_Smax,G1139),AE1138+AD1139)),AE1138)</x:f>
        <x:v>9</x:v>
      </x:c>
      <x:c r="AF1139" s="8" t="n">
        <x:f>MAX(0,AE1139-AE1138)</x:f>
        <x:v>0</x:v>
      </x:c>
      <x:c r="AG1139" s="9" t="str">
        <x:f>IF(AF1139&gt;0,B1139,"")</x:f>
      </x:c>
      <x:c r="AH1139" s="9" t="n">
        <x:f>IF(F1139&gt;=1,1,(1+tun_LowTiesShare*(AE1139-1))/AE1139)</x:f>
        <x:v>1</x:v>
      </x:c>
      <x:c r="AI1139" s="32" t="n">
        <x:f>(Z1139+tun_ElderCommons*INDEX(LM_Elder,G1139)*AA1139)*AH1139</x:f>
        <x:v>238215.0665857503</x:v>
      </x:c>
      <x:c r="AJ1139" s="32" t="n">
        <x:f>H1139*tun_CommonsCoef*AI1139^tun_CommonsExp*INDEX(LM_Commons,G1139)</x:f>
        <x:v>0</x:v>
      </x:c>
      <x:c r="AK1139" s="32" t="n">
        <x:f>H1139*tun_RoleScale*Arch_Roles*(AE1139*(INDEX(tun_ElderRolePerSett,G1139)*tun_OutElder*INDEX(LM_Elder,G1139)+INDEX(tun_ShamanPerSett,G1139)*tun_OutShaman)+Z1139*(INDEX(tun_PriestShare,G1139)*tun_OutPriest+INDEX(tun_ScribeShare,G1139)*tun_OutScribe*INDEX(LM_Scribe,G1139)+INDEX(tun_ScholarShare,G1139)*tun_OutScholar*INDEX(LM_Scholar,G1139)+INDEX(tun_ResearcherShare,G1139)*tun_OutResearcher*INDEX(LM_Researcher,G1139)))</x:f>
        <x:v>0</x:v>
      </x:c>
      <x:c r="AL1139" s="32" t="n">
        <x:f>H1139*tun_RoleScale*Arch_Roles*AE1139*INDEX(tun_MonasteryPerSett,G1139)*tun_OutMonastery*INDEX(LM_Monastery,G1139)</x:f>
        <x:v>0</x:v>
      </x:c>
      <x:c r="AM1139" s="32" t="n">
        <x:f>(AJ1139+AK1139+AL1139)/4*INDEX(LM_All,G1139)*INDEX(tun_Boon,G1139)*Arch_Insight</x:f>
        <x:v>0</x:v>
      </x:c>
      <x:c r="AN1139" s="32" t="n">
        <x:f>H1139*(tun_KHPerAdult*Z1139+tun_KHOfCommons*AJ1139/4*INDEX(LM_All,G1139))*tun_KHUsable*Arch_KH</x:f>
        <x:v>0</x:v>
      </x:c>
      <x:c r="AO1139" s="32" t="n">
        <x:f>MIN(AP1138+AN1139,AM1139*tun_KHMaxRatio)</x:f>
        <x:v>0</x:v>
      </x:c>
      <x:c r="AP1139" s="32" t="n">
        <x:f>AP1138+AN1139-AO1139</x:f>
        <x:v>0</x:v>
      </x:c>
      <x:c r="AQ1139" s="32" t="n">
        <x:f>AM1139+AO1139</x:f>
        <x:v>0</x:v>
      </x:c>
      <x:c r="AR1139" s="10" t="n">
        <x:f>IF(H1139=1,INDEX(tun_Req,G1139),0)</x:f>
        <x:v>0</x:v>
      </x:c>
      <x:c r="AS1139" s="32" t="n">
        <x:f>IF(H1139=1,IF(E1139=1,AS1138-AR1138,AS1138)+AQ1139,0)</x:f>
        <x:v>0</x:v>
      </x:c>
      <x:c r="AT1139" s="11" t="n">
        <x:f>IF(AR1139&gt;0,MIN(1,AS1139/AR1139),1)</x:f>
        <x:v>1</x:v>
      </x:c>
      <x:c r="AU1139" s="10" t="n">
        <x:f>AB1139/INDEX(tun_RepScale,G1139)</x:f>
        <x:v>290.3368848566301</x:v>
      </x:c>
      <x:c r="AV1139" s="32" t="n">
        <x:f>AM1139*60/tun_SeasonSeconds</x:f>
        <x:v>0</x:v>
      </x:c>
    </x:row>
    <x:row r="1140">
      <x:c r="A1140" s="8" t="n">
        <x:f>A1139+1</x:f>
        <x:v>1137</x:v>
      </x:c>
      <x:c r="B1140" s="9" t="n">
        <x:f>A1140*tun_SeasonSeconds/60</x:f>
        <x:v>284.25</x:v>
      </x:c>
      <x:c r="C1140" s="9" t="n">
        <x:f>A1140/4</x:f>
        <x:v>284.25</x:v>
      </x:c>
      <x:c r="D1140" s="8" t="n">
        <x:f>IF(MOD(A1140,4)=0,1,0)</x:f>
        <x:v>0</x:v>
      </x:c>
      <x:c r="E1140" s="8" t="n">
        <x:f>IF(AND(F1139&lt;=9,AS1139&gt;=AR1139),1,0)</x:f>
        <x:v>0</x:v>
      </x:c>
      <x:c r="F1140" s="8" t="n">
        <x:f>MIN(10,F1139+E1140)</x:f>
        <x:v>10</x:v>
      </x:c>
      <x:c r="G1140" s="8" t="n">
        <x:f>MIN(F1140,9)+1</x:f>
        <x:v>10</x:v>
      </x:c>
      <x:c r="H1140" s="8" t="n">
        <x:f>IF(F1140&lt;=9,1,0)</x:f>
        <x:v>0</x:v>
      </x:c>
      <x:c r="I1140" s="9" t="n">
        <x:f>MIN(10,F1139+IF(AR1139&gt;0,MIN(1,AS1139/AR1139),1))</x:f>
        <x:v>10</x:v>
      </x:c>
      <x:c r="J1140" s="32" t="n">
        <x:f>INDEX(tun_FoodCap,G1140)*Arch_FoodCap*EXP(tun_CapsByProject*SUMPRODUCT((Cap_Point&lt;=I1140)*(Cap_Kind="Food")*Cap_Ln))</x:f>
        <x:v>18627.260449441455</x:v>
      </x:c>
      <x:c r="K1140" s="32" t="n">
        <x:f>J1140*MIN(1,tun_LeanBase*EXP(tun_CapsByProject*SUMPRODUCT((Cap_Point&lt;=I1140)*(Cap_Kind="Lean")*Cap_Ln)))</x:f>
        <x:v>18627.260449441455</x:v>
      </x:c>
      <x:c r="L1140" s="10" t="n">
        <x:f>INDEX(tun_HousingCap,G1140)*EXP(tun_CapsByProject*SUMPRODUCT((Cap_Point&lt;=I1140)*(Cap_Kind="Housing")*Cap_Ln))</x:f>
        <x:v>20528.974303173167</x:v>
      </x:c>
      <x:c r="M1140" s="10" t="n">
        <x:f>INDEX(tun_GroupCap,G1140)*tun_CohesionFactor*EXP(tun_CapsByProject*SUMPRODUCT((Cap_Point&lt;=I1140)*(Cap_Kind="Group")*Cap_Ln))</x:f>
        <x:v>1000000.000000001</x:v>
      </x:c>
      <x:c r="N1140" s="32" t="n">
        <x:f>MIN(J1140,L1140,M1140)</x:f>
        <x:v>18627.260449441455</x:v>
      </x:c>
      <x:c r="O1140" s="10" t="n">
        <x:f>AE1139*N1140</x:f>
        <x:v>167645.34404497308</x:v>
      </x:c>
      <x:c r="P1140" s="9" t="n">
        <x:f>MIN(1,(AB1139/(AE1139*IF(tun_GroupInCrowding=1,N1140,MIN(J1140,L1140))))^tun_CrowdingExp)</x:f>
        <x:v>0.4215841981292809</x:v>
      </x:c>
      <x:c r="Q1140" s="9" t="n">
        <x:f>IF(D1140=1,INDEX(tun_WinterMult,G1140),1)</x:f>
        <x:v>1</x:v>
      </x:c>
      <x:c r="R1140" s="9" t="n">
        <x:f>H1140*Z1139*tun_WomenShare*tun_BaseFertility*INDEX(tun_FertMult,G1140)*Arch_Fertility*(1-P1140)</x:f>
        <x:v>0</x:v>
      </x:c>
      <x:c r="S1140" s="9" t="n">
        <x:f>H1140*Y1139*INDEX(tun_MortChild,G1140)/4*Q1140</x:f>
        <x:v>0</x:v>
      </x:c>
      <x:c r="T1140" s="9" t="n">
        <x:f>H1140*Z1139*INDEX(tun_MortAdult,G1140)*Arch_AdultMort/4*Q1140</x:f>
        <x:v>0</x:v>
      </x:c>
      <x:c r="U1140" s="9" t="n">
        <x:f>H1140*AA1139*INDEX(tun_MortElder,G1140)/4*Q1140</x:f>
        <x:v>0</x:v>
      </x:c>
      <x:c r="V1140" s="9" t="n">
        <x:f>H1140*MAX(0,AB1139-O1140)*tun_OvercapLoss</x:f>
        <x:v>0</x:v>
      </x:c>
      <x:c r="W1140" s="9" t="n">
        <x:f>H1140*Y1139/(tun_ChildYears*4)</x:f>
        <x:v>0</x:v>
      </x:c>
      <x:c r="X1140" s="9" t="n">
        <x:f>H1140*Z1139/(tun_AdultYears*4)</x:f>
        <x:v>0</x:v>
      </x:c>
      <x:c r="Y1140" s="32" t="n">
        <x:f>Y1139+R1140-S1140-W1140-Y1139*V1140/AB1139</x:f>
        <x:v>40496.20709015643</x:v>
      </x:c>
      <x:c r="Z1140" s="32" t="n">
        <x:f>Z1139+W1140-X1140-T1140-Z1139*V1140/AB1139</x:f>
        <x:v>59141.61122890803</x:v>
      </x:c>
      <x:c r="AA1140" s="32" t="n">
        <x:f>AA1139+X1140-U1140-AA1139*V1140/AB1139</x:f>
        <x:v>45530.62410925061</x:v>
      </x:c>
      <x:c r="AB1140" s="10" t="n">
        <x:f>Y1140+Z1140+AA1140</x:f>
        <x:v>145168.44242831506</x:v>
      </x:c>
      <x:c r="AC1140" s="8" t="n">
        <x:f>IF(AND(tun_WinterTrigger=1,D1140=1,AB1139/AE1139&gt;=K1140),1,0)</x:f>
        <x:v>0</x:v>
      </x:c>
      <x:c r="AD1140" s="8" t="n">
        <x:f>H1140*IF(AND(OR(AB1139/AE1139&gt;=tun_FissionTrigger*N1140,AC1140=1),AB1139/AE1139*tun_DaughterShare&gt;=tun_MinDaughter),MAX(1,ROUND(AE1139*tun_FissionRate,0)),0)</x:f>
        <x:v>0</x:v>
      </x:c>
      <x:c r="AE1140" s="8" t="n">
        <x:f>IF(H1140=1,MAX(1,MIN(INDEX(tun_Smax,G1140),AE1139+AD1140)),AE1139)</x:f>
        <x:v>9</x:v>
      </x:c>
      <x:c r="AF1140" s="8" t="n">
        <x:f>MAX(0,AE1140-AE1139)</x:f>
        <x:v>0</x:v>
      </x:c>
      <x:c r="AG1140" s="9" t="str">
        <x:f>IF(AF1140&gt;0,B1140,"")</x:f>
      </x:c>
      <x:c r="AH1140" s="9" t="n">
        <x:f>IF(F1140&gt;=1,1,(1+tun_LowTiesShare*(AE1140-1))/AE1140)</x:f>
        <x:v>1</x:v>
      </x:c>
      <x:c r="AI1140" s="32" t="n">
        <x:f>(Z1140+tun_ElderCommons*INDEX(LM_Elder,G1140)*AA1140)*AH1140</x:f>
        <x:v>238215.0665857503</x:v>
      </x:c>
      <x:c r="AJ1140" s="32" t="n">
        <x:f>H1140*tun_CommonsCoef*AI1140^tun_CommonsExp*INDEX(LM_Commons,G1140)</x:f>
        <x:v>0</x:v>
      </x:c>
      <x:c r="AK1140" s="32" t="n">
        <x:f>H1140*tun_RoleScale*Arch_Roles*(AE1140*(INDEX(tun_ElderRolePerSett,G1140)*tun_OutElder*INDEX(LM_Elder,G1140)+INDEX(tun_ShamanPerSett,G1140)*tun_OutShaman)+Z1140*(INDEX(tun_PriestShare,G1140)*tun_OutPriest+INDEX(tun_ScribeShare,G1140)*tun_OutScribe*INDEX(LM_Scribe,G1140)+INDEX(tun_ScholarShare,G1140)*tun_OutScholar*INDEX(LM_Scholar,G1140)+INDEX(tun_ResearcherShare,G1140)*tun_OutResearcher*INDEX(LM_Researcher,G1140)))</x:f>
        <x:v>0</x:v>
      </x:c>
      <x:c r="AL1140" s="32" t="n">
        <x:f>H1140*tun_RoleScale*Arch_Roles*AE1140*INDEX(tun_MonasteryPerSett,G1140)*tun_OutMonastery*INDEX(LM_Monastery,G1140)</x:f>
        <x:v>0</x:v>
      </x:c>
      <x:c r="AM1140" s="32" t="n">
        <x:f>(AJ1140+AK1140+AL1140)/4*INDEX(LM_All,G1140)*INDEX(tun_Boon,G1140)*Arch_Insight</x:f>
        <x:v>0</x:v>
      </x:c>
      <x:c r="AN1140" s="32" t="n">
        <x:f>H1140*(tun_KHPerAdult*Z1140+tun_KHOfCommons*AJ1140/4*INDEX(LM_All,G1140))*tun_KHUsable*Arch_KH</x:f>
        <x:v>0</x:v>
      </x:c>
      <x:c r="AO1140" s="32" t="n">
        <x:f>MIN(AP1139+AN1140,AM1140*tun_KHMaxRatio)</x:f>
        <x:v>0</x:v>
      </x:c>
      <x:c r="AP1140" s="32" t="n">
        <x:f>AP1139+AN1140-AO1140</x:f>
        <x:v>0</x:v>
      </x:c>
      <x:c r="AQ1140" s="32" t="n">
        <x:f>AM1140+AO1140</x:f>
        <x:v>0</x:v>
      </x:c>
      <x:c r="AR1140" s="10" t="n">
        <x:f>IF(H1140=1,INDEX(tun_Req,G1140),0)</x:f>
        <x:v>0</x:v>
      </x:c>
      <x:c r="AS1140" s="32" t="n">
        <x:f>IF(H1140=1,IF(E1140=1,AS1139-AR1139,AS1139)+AQ1140,0)</x:f>
        <x:v>0</x:v>
      </x:c>
      <x:c r="AT1140" s="11" t="n">
        <x:f>IF(AR1140&gt;0,MIN(1,AS1140/AR1140),1)</x:f>
        <x:v>1</x:v>
      </x:c>
      <x:c r="AU1140" s="10" t="n">
        <x:f>AB1140/INDEX(tun_RepScale,G1140)</x:f>
        <x:v>290.3368848566301</x:v>
      </x:c>
      <x:c r="AV1140" s="32" t="n">
        <x:f>AM1140*60/tun_SeasonSeconds</x:f>
        <x:v>0</x:v>
      </x:c>
    </x:row>
    <x:row r="1141">
      <x:c r="A1141" s="8" t="n">
        <x:f>A1140+1</x:f>
        <x:v>1138</x:v>
      </x:c>
      <x:c r="B1141" s="9" t="n">
        <x:f>A1141*tun_SeasonSeconds/60</x:f>
        <x:v>284.5</x:v>
      </x:c>
      <x:c r="C1141" s="9" t="n">
        <x:f>A1141/4</x:f>
        <x:v>284.5</x:v>
      </x:c>
      <x:c r="D1141" s="8" t="n">
        <x:f>IF(MOD(A1141,4)=0,1,0)</x:f>
        <x:v>0</x:v>
      </x:c>
      <x:c r="E1141" s="8" t="n">
        <x:f>IF(AND(F1140&lt;=9,AS1140&gt;=AR1140),1,0)</x:f>
        <x:v>0</x:v>
      </x:c>
      <x:c r="F1141" s="8" t="n">
        <x:f>MIN(10,F1140+E1141)</x:f>
        <x:v>10</x:v>
      </x:c>
      <x:c r="G1141" s="8" t="n">
        <x:f>MIN(F1141,9)+1</x:f>
        <x:v>10</x:v>
      </x:c>
      <x:c r="H1141" s="8" t="n">
        <x:f>IF(F1141&lt;=9,1,0)</x:f>
        <x:v>0</x:v>
      </x:c>
      <x:c r="I1141" s="9" t="n">
        <x:f>MIN(10,F1140+IF(AR1140&gt;0,MIN(1,AS1140/AR1140),1))</x:f>
        <x:v>10</x:v>
      </x:c>
      <x:c r="J1141" s="32" t="n">
        <x:f>INDEX(tun_FoodCap,G1141)*Arch_FoodCap*EXP(tun_CapsByProject*SUMPRODUCT((Cap_Point&lt;=I1141)*(Cap_Kind="Food")*Cap_Ln))</x:f>
        <x:v>18627.260449441455</x:v>
      </x:c>
      <x:c r="K1141" s="32" t="n">
        <x:f>J1141*MIN(1,tun_LeanBase*EXP(tun_CapsByProject*SUMPRODUCT((Cap_Point&lt;=I1141)*(Cap_Kind="Lean")*Cap_Ln)))</x:f>
        <x:v>18627.260449441455</x:v>
      </x:c>
      <x:c r="L1141" s="10" t="n">
        <x:f>INDEX(tun_HousingCap,G1141)*EXP(tun_CapsByProject*SUMPRODUCT((Cap_Point&lt;=I1141)*(Cap_Kind="Housing")*Cap_Ln))</x:f>
        <x:v>20528.974303173167</x:v>
      </x:c>
      <x:c r="M1141" s="10" t="n">
        <x:f>INDEX(tun_GroupCap,G1141)*tun_CohesionFactor*EXP(tun_CapsByProject*SUMPRODUCT((Cap_Point&lt;=I1141)*(Cap_Kind="Group")*Cap_Ln))</x:f>
        <x:v>1000000.000000001</x:v>
      </x:c>
      <x:c r="N1141" s="32" t="n">
        <x:f>MIN(J1141,L1141,M1141)</x:f>
        <x:v>18627.260449441455</x:v>
      </x:c>
      <x:c r="O1141" s="10" t="n">
        <x:f>AE1140*N1141</x:f>
        <x:v>167645.34404497308</x:v>
      </x:c>
      <x:c r="P1141" s="9" t="n">
        <x:f>MIN(1,(AB1140/(AE1140*IF(tun_GroupInCrowding=1,N1141,MIN(J1141,L1141))))^tun_CrowdingExp)</x:f>
        <x:v>0.4215841981292809</x:v>
      </x:c>
      <x:c r="Q1141" s="9" t="n">
        <x:f>IF(D1141=1,INDEX(tun_WinterMult,G1141),1)</x:f>
        <x:v>1</x:v>
      </x:c>
      <x:c r="R1141" s="9" t="n">
        <x:f>H1141*Z1140*tun_WomenShare*tun_BaseFertility*INDEX(tun_FertMult,G1141)*Arch_Fertility*(1-P1141)</x:f>
        <x:v>0</x:v>
      </x:c>
      <x:c r="S1141" s="9" t="n">
        <x:f>H1141*Y1140*INDEX(tun_MortChild,G1141)/4*Q1141</x:f>
        <x:v>0</x:v>
      </x:c>
      <x:c r="T1141" s="9" t="n">
        <x:f>H1141*Z1140*INDEX(tun_MortAdult,G1141)*Arch_AdultMort/4*Q1141</x:f>
        <x:v>0</x:v>
      </x:c>
      <x:c r="U1141" s="9" t="n">
        <x:f>H1141*AA1140*INDEX(tun_MortElder,G1141)/4*Q1141</x:f>
        <x:v>0</x:v>
      </x:c>
      <x:c r="V1141" s="9" t="n">
        <x:f>H1141*MAX(0,AB1140-O1141)*tun_OvercapLoss</x:f>
        <x:v>0</x:v>
      </x:c>
      <x:c r="W1141" s="9" t="n">
        <x:f>H1141*Y1140/(tun_ChildYears*4)</x:f>
        <x:v>0</x:v>
      </x:c>
      <x:c r="X1141" s="9" t="n">
        <x:f>H1141*Z1140/(tun_AdultYears*4)</x:f>
        <x:v>0</x:v>
      </x:c>
      <x:c r="Y1141" s="32" t="n">
        <x:f>Y1140+R1141-S1141-W1141-Y1140*V1141/AB1140</x:f>
        <x:v>40496.20709015643</x:v>
      </x:c>
      <x:c r="Z1141" s="32" t="n">
        <x:f>Z1140+W1141-X1141-T1141-Z1140*V1141/AB1140</x:f>
        <x:v>59141.61122890803</x:v>
      </x:c>
      <x:c r="AA1141" s="32" t="n">
        <x:f>AA1140+X1141-U1141-AA1140*V1141/AB1140</x:f>
        <x:v>45530.62410925061</x:v>
      </x:c>
      <x:c r="AB1141" s="10" t="n">
        <x:f>Y1141+Z1141+AA1141</x:f>
        <x:v>145168.44242831506</x:v>
      </x:c>
      <x:c r="AC1141" s="8" t="n">
        <x:f>IF(AND(tun_WinterTrigger=1,D1141=1,AB1140/AE1140&gt;=K1141),1,0)</x:f>
        <x:v>0</x:v>
      </x:c>
      <x:c r="AD1141" s="8" t="n">
        <x:f>H1141*IF(AND(OR(AB1140/AE1140&gt;=tun_FissionTrigger*N1141,AC1141=1),AB1140/AE1140*tun_DaughterShare&gt;=tun_MinDaughter),MAX(1,ROUND(AE1140*tun_FissionRate,0)),0)</x:f>
        <x:v>0</x:v>
      </x:c>
      <x:c r="AE1141" s="8" t="n">
        <x:f>IF(H1141=1,MAX(1,MIN(INDEX(tun_Smax,G1141),AE1140+AD1141)),AE1140)</x:f>
        <x:v>9</x:v>
      </x:c>
      <x:c r="AF1141" s="8" t="n">
        <x:f>MAX(0,AE1141-AE1140)</x:f>
        <x:v>0</x:v>
      </x:c>
      <x:c r="AG1141" s="9" t="str">
        <x:f>IF(AF1141&gt;0,B1141,"")</x:f>
      </x:c>
      <x:c r="AH1141" s="9" t="n">
        <x:f>IF(F1141&gt;=1,1,(1+tun_LowTiesShare*(AE1141-1))/AE1141)</x:f>
        <x:v>1</x:v>
      </x:c>
      <x:c r="AI1141" s="32" t="n">
        <x:f>(Z1141+tun_ElderCommons*INDEX(LM_Elder,G1141)*AA1141)*AH1141</x:f>
        <x:v>238215.0665857503</x:v>
      </x:c>
      <x:c r="AJ1141" s="32" t="n">
        <x:f>H1141*tun_CommonsCoef*AI1141^tun_CommonsExp*INDEX(LM_Commons,G1141)</x:f>
        <x:v>0</x:v>
      </x:c>
      <x:c r="AK1141" s="32" t="n">
        <x:f>H1141*tun_RoleScale*Arch_Roles*(AE1141*(INDEX(tun_ElderRolePerSett,G1141)*tun_OutElder*INDEX(LM_Elder,G1141)+INDEX(tun_ShamanPerSett,G1141)*tun_OutShaman)+Z1141*(INDEX(tun_PriestShare,G1141)*tun_OutPriest+INDEX(tun_ScribeShare,G1141)*tun_OutScribe*INDEX(LM_Scribe,G1141)+INDEX(tun_ScholarShare,G1141)*tun_OutScholar*INDEX(LM_Scholar,G1141)+INDEX(tun_ResearcherShare,G1141)*tun_OutResearcher*INDEX(LM_Researcher,G1141)))</x:f>
        <x:v>0</x:v>
      </x:c>
      <x:c r="AL1141" s="32" t="n">
        <x:f>H1141*tun_RoleScale*Arch_Roles*AE1141*INDEX(tun_MonasteryPerSett,G1141)*tun_OutMonastery*INDEX(LM_Monastery,G1141)</x:f>
        <x:v>0</x:v>
      </x:c>
      <x:c r="AM1141" s="32" t="n">
        <x:f>(AJ1141+AK1141+AL1141)/4*INDEX(LM_All,G1141)*INDEX(tun_Boon,G1141)*Arch_Insight</x:f>
        <x:v>0</x:v>
      </x:c>
      <x:c r="AN1141" s="32" t="n">
        <x:f>H1141*(tun_KHPerAdult*Z1141+tun_KHOfCommons*AJ1141/4*INDEX(LM_All,G1141))*tun_KHUsable*Arch_KH</x:f>
        <x:v>0</x:v>
      </x:c>
      <x:c r="AO1141" s="32" t="n">
        <x:f>MIN(AP1140+AN1141,AM1141*tun_KHMaxRatio)</x:f>
        <x:v>0</x:v>
      </x:c>
      <x:c r="AP1141" s="32" t="n">
        <x:f>AP1140+AN1141-AO1141</x:f>
        <x:v>0</x:v>
      </x:c>
      <x:c r="AQ1141" s="32" t="n">
        <x:f>AM1141+AO1141</x:f>
        <x:v>0</x:v>
      </x:c>
      <x:c r="AR1141" s="10" t="n">
        <x:f>IF(H1141=1,INDEX(tun_Req,G1141),0)</x:f>
        <x:v>0</x:v>
      </x:c>
      <x:c r="AS1141" s="32" t="n">
        <x:f>IF(H1141=1,IF(E1141=1,AS1140-AR1140,AS1140)+AQ1141,0)</x:f>
        <x:v>0</x:v>
      </x:c>
      <x:c r="AT1141" s="11" t="n">
        <x:f>IF(AR1141&gt;0,MIN(1,AS1141/AR1141),1)</x:f>
        <x:v>1</x:v>
      </x:c>
      <x:c r="AU1141" s="10" t="n">
        <x:f>AB1141/INDEX(tun_RepScale,G1141)</x:f>
        <x:v>290.3368848566301</x:v>
      </x:c>
      <x:c r="AV1141" s="32" t="n">
        <x:f>AM1141*60/tun_SeasonSeconds</x:f>
        <x:v>0</x:v>
      </x:c>
    </x:row>
    <x:row r="1142">
      <x:c r="A1142" s="8" t="n">
        <x:f>A1141+1</x:f>
        <x:v>1139</x:v>
      </x:c>
      <x:c r="B1142" s="9" t="n">
        <x:f>A1142*tun_SeasonSeconds/60</x:f>
        <x:v>284.75</x:v>
      </x:c>
      <x:c r="C1142" s="9" t="n">
        <x:f>A1142/4</x:f>
        <x:v>284.75</x:v>
      </x:c>
      <x:c r="D1142" s="8" t="n">
        <x:f>IF(MOD(A1142,4)=0,1,0)</x:f>
        <x:v>0</x:v>
      </x:c>
      <x:c r="E1142" s="8" t="n">
        <x:f>IF(AND(F1141&lt;=9,AS1141&gt;=AR1141),1,0)</x:f>
        <x:v>0</x:v>
      </x:c>
      <x:c r="F1142" s="8" t="n">
        <x:f>MIN(10,F1141+E1142)</x:f>
        <x:v>10</x:v>
      </x:c>
      <x:c r="G1142" s="8" t="n">
        <x:f>MIN(F1142,9)+1</x:f>
        <x:v>10</x:v>
      </x:c>
      <x:c r="H1142" s="8" t="n">
        <x:f>IF(F1142&lt;=9,1,0)</x:f>
        <x:v>0</x:v>
      </x:c>
      <x:c r="I1142" s="9" t="n">
        <x:f>MIN(10,F1141+IF(AR1141&gt;0,MIN(1,AS1141/AR1141),1))</x:f>
        <x:v>10</x:v>
      </x:c>
      <x:c r="J1142" s="32" t="n">
        <x:f>INDEX(tun_FoodCap,G1142)*Arch_FoodCap*EXP(tun_CapsByProject*SUMPRODUCT((Cap_Point&lt;=I1142)*(Cap_Kind="Food")*Cap_Ln))</x:f>
        <x:v>18627.260449441455</x:v>
      </x:c>
      <x:c r="K1142" s="32" t="n">
        <x:f>J1142*MIN(1,tun_LeanBase*EXP(tun_CapsByProject*SUMPRODUCT((Cap_Point&lt;=I1142)*(Cap_Kind="Lean")*Cap_Ln)))</x:f>
        <x:v>18627.260449441455</x:v>
      </x:c>
      <x:c r="L1142" s="10" t="n">
        <x:f>INDEX(tun_HousingCap,G1142)*EXP(tun_CapsByProject*SUMPRODUCT((Cap_Point&lt;=I1142)*(Cap_Kind="Housing")*Cap_Ln))</x:f>
        <x:v>20528.974303173167</x:v>
      </x:c>
      <x:c r="M1142" s="10" t="n">
        <x:f>INDEX(tun_GroupCap,G1142)*tun_CohesionFactor*EXP(tun_CapsByProject*SUMPRODUCT((Cap_Point&lt;=I1142)*(Cap_Kind="Group")*Cap_Ln))</x:f>
        <x:v>1000000.000000001</x:v>
      </x:c>
      <x:c r="N1142" s="32" t="n">
        <x:f>MIN(J1142,L1142,M1142)</x:f>
        <x:v>18627.260449441455</x:v>
      </x:c>
      <x:c r="O1142" s="10" t="n">
        <x:f>AE1141*N1142</x:f>
        <x:v>167645.34404497308</x:v>
      </x:c>
      <x:c r="P1142" s="9" t="n">
        <x:f>MIN(1,(AB1141/(AE1141*IF(tun_GroupInCrowding=1,N1142,MIN(J1142,L1142))))^tun_CrowdingExp)</x:f>
        <x:v>0.4215841981292809</x:v>
      </x:c>
      <x:c r="Q1142" s="9" t="n">
        <x:f>IF(D1142=1,INDEX(tun_WinterMult,G1142),1)</x:f>
        <x:v>1</x:v>
      </x:c>
      <x:c r="R1142" s="9" t="n">
        <x:f>H1142*Z1141*tun_WomenShare*tun_BaseFertility*INDEX(tun_FertMult,G1142)*Arch_Fertility*(1-P1142)</x:f>
        <x:v>0</x:v>
      </x:c>
      <x:c r="S1142" s="9" t="n">
        <x:f>H1142*Y1141*INDEX(tun_MortChild,G1142)/4*Q1142</x:f>
        <x:v>0</x:v>
      </x:c>
      <x:c r="T1142" s="9" t="n">
        <x:f>H1142*Z1141*INDEX(tun_MortAdult,G1142)*Arch_AdultMort/4*Q1142</x:f>
        <x:v>0</x:v>
      </x:c>
      <x:c r="U1142" s="9" t="n">
        <x:f>H1142*AA1141*INDEX(tun_MortElder,G1142)/4*Q1142</x:f>
        <x:v>0</x:v>
      </x:c>
      <x:c r="V1142" s="9" t="n">
        <x:f>H1142*MAX(0,AB1141-O1142)*tun_OvercapLoss</x:f>
        <x:v>0</x:v>
      </x:c>
      <x:c r="W1142" s="9" t="n">
        <x:f>H1142*Y1141/(tun_ChildYears*4)</x:f>
        <x:v>0</x:v>
      </x:c>
      <x:c r="X1142" s="9" t="n">
        <x:f>H1142*Z1141/(tun_AdultYears*4)</x:f>
        <x:v>0</x:v>
      </x:c>
      <x:c r="Y1142" s="32" t="n">
        <x:f>Y1141+R1142-S1142-W1142-Y1141*V1142/AB1141</x:f>
        <x:v>40496.20709015643</x:v>
      </x:c>
      <x:c r="Z1142" s="32" t="n">
        <x:f>Z1141+W1142-X1142-T1142-Z1141*V1142/AB1141</x:f>
        <x:v>59141.61122890803</x:v>
      </x:c>
      <x:c r="AA1142" s="32" t="n">
        <x:f>AA1141+X1142-U1142-AA1141*V1142/AB1141</x:f>
        <x:v>45530.62410925061</x:v>
      </x:c>
      <x:c r="AB1142" s="10" t="n">
        <x:f>Y1142+Z1142+AA1142</x:f>
        <x:v>145168.44242831506</x:v>
      </x:c>
      <x:c r="AC1142" s="8" t="n">
        <x:f>IF(AND(tun_WinterTrigger=1,D1142=1,AB1141/AE1141&gt;=K1142),1,0)</x:f>
        <x:v>0</x:v>
      </x:c>
      <x:c r="AD1142" s="8" t="n">
        <x:f>H1142*IF(AND(OR(AB1141/AE1141&gt;=tun_FissionTrigger*N1142,AC1142=1),AB1141/AE1141*tun_DaughterShare&gt;=tun_MinDaughter),MAX(1,ROUND(AE1141*tun_FissionRate,0)),0)</x:f>
        <x:v>0</x:v>
      </x:c>
      <x:c r="AE1142" s="8" t="n">
        <x:f>IF(H1142=1,MAX(1,MIN(INDEX(tun_Smax,G1142),AE1141+AD1142)),AE1141)</x:f>
        <x:v>9</x:v>
      </x:c>
      <x:c r="AF1142" s="8" t="n">
        <x:f>MAX(0,AE1142-AE1141)</x:f>
        <x:v>0</x:v>
      </x:c>
      <x:c r="AG1142" s="9" t="str">
        <x:f>IF(AF1142&gt;0,B1142,"")</x:f>
      </x:c>
      <x:c r="AH1142" s="9" t="n">
        <x:f>IF(F1142&gt;=1,1,(1+tun_LowTiesShare*(AE1142-1))/AE1142)</x:f>
        <x:v>1</x:v>
      </x:c>
      <x:c r="AI1142" s="32" t="n">
        <x:f>(Z1142+tun_ElderCommons*INDEX(LM_Elder,G1142)*AA1142)*AH1142</x:f>
        <x:v>238215.0665857503</x:v>
      </x:c>
      <x:c r="AJ1142" s="32" t="n">
        <x:f>H1142*tun_CommonsCoef*AI1142^tun_CommonsExp*INDEX(LM_Commons,G1142)</x:f>
        <x:v>0</x:v>
      </x:c>
      <x:c r="AK1142" s="32" t="n">
        <x:f>H1142*tun_RoleScale*Arch_Roles*(AE1142*(INDEX(tun_ElderRolePerSett,G1142)*tun_OutElder*INDEX(LM_Elder,G1142)+INDEX(tun_ShamanPerSett,G1142)*tun_OutShaman)+Z1142*(INDEX(tun_PriestShare,G1142)*tun_OutPriest+INDEX(tun_ScribeShare,G1142)*tun_OutScribe*INDEX(LM_Scribe,G1142)+INDEX(tun_ScholarShare,G1142)*tun_OutScholar*INDEX(LM_Scholar,G1142)+INDEX(tun_ResearcherShare,G1142)*tun_OutResearcher*INDEX(LM_Researcher,G1142)))</x:f>
        <x:v>0</x:v>
      </x:c>
      <x:c r="AL1142" s="32" t="n">
        <x:f>H1142*tun_RoleScale*Arch_Roles*AE1142*INDEX(tun_MonasteryPerSett,G1142)*tun_OutMonastery*INDEX(LM_Monastery,G1142)</x:f>
        <x:v>0</x:v>
      </x:c>
      <x:c r="AM1142" s="32" t="n">
        <x:f>(AJ1142+AK1142+AL1142)/4*INDEX(LM_All,G1142)*INDEX(tun_Boon,G1142)*Arch_Insight</x:f>
        <x:v>0</x:v>
      </x:c>
      <x:c r="AN1142" s="32" t="n">
        <x:f>H1142*(tun_KHPerAdult*Z1142+tun_KHOfCommons*AJ1142/4*INDEX(LM_All,G1142))*tun_KHUsable*Arch_KH</x:f>
        <x:v>0</x:v>
      </x:c>
      <x:c r="AO1142" s="32" t="n">
        <x:f>MIN(AP1141+AN1142,AM1142*tun_KHMaxRatio)</x:f>
        <x:v>0</x:v>
      </x:c>
      <x:c r="AP1142" s="32" t="n">
        <x:f>AP1141+AN1142-AO1142</x:f>
        <x:v>0</x:v>
      </x:c>
      <x:c r="AQ1142" s="32" t="n">
        <x:f>AM1142+AO1142</x:f>
        <x:v>0</x:v>
      </x:c>
      <x:c r="AR1142" s="10" t="n">
        <x:f>IF(H1142=1,INDEX(tun_Req,G1142),0)</x:f>
        <x:v>0</x:v>
      </x:c>
      <x:c r="AS1142" s="32" t="n">
        <x:f>IF(H1142=1,IF(E1142=1,AS1141-AR1141,AS1141)+AQ1142,0)</x:f>
        <x:v>0</x:v>
      </x:c>
      <x:c r="AT1142" s="11" t="n">
        <x:f>IF(AR1142&gt;0,MIN(1,AS1142/AR1142),1)</x:f>
        <x:v>1</x:v>
      </x:c>
      <x:c r="AU1142" s="10" t="n">
        <x:f>AB1142/INDEX(tun_RepScale,G1142)</x:f>
        <x:v>290.3368848566301</x:v>
      </x:c>
      <x:c r="AV1142" s="32" t="n">
        <x:f>AM1142*60/tun_SeasonSeconds</x:f>
        <x:v>0</x:v>
      </x:c>
    </x:row>
    <x:row r="1143">
      <x:c r="A1143" s="8" t="n">
        <x:f>A1142+1</x:f>
        <x:v>1140</x:v>
      </x:c>
      <x:c r="B1143" s="9" t="n">
        <x:f>A1143*tun_SeasonSeconds/60</x:f>
        <x:v>285</x:v>
      </x:c>
      <x:c r="C1143" s="9" t="n">
        <x:f>A1143/4</x:f>
        <x:v>285</x:v>
      </x:c>
      <x:c r="D1143" s="8" t="n">
        <x:f>IF(MOD(A1143,4)=0,1,0)</x:f>
        <x:v>1</x:v>
      </x:c>
      <x:c r="E1143" s="8" t="n">
        <x:f>IF(AND(F1142&lt;=9,AS1142&gt;=AR1142),1,0)</x:f>
        <x:v>0</x:v>
      </x:c>
      <x:c r="F1143" s="8" t="n">
        <x:f>MIN(10,F1142+E1143)</x:f>
        <x:v>10</x:v>
      </x:c>
      <x:c r="G1143" s="8" t="n">
        <x:f>MIN(F1143,9)+1</x:f>
        <x:v>10</x:v>
      </x:c>
      <x:c r="H1143" s="8" t="n">
        <x:f>IF(F1143&lt;=9,1,0)</x:f>
        <x:v>0</x:v>
      </x:c>
      <x:c r="I1143" s="9" t="n">
        <x:f>MIN(10,F1142+IF(AR1142&gt;0,MIN(1,AS1142/AR1142),1))</x:f>
        <x:v>10</x:v>
      </x:c>
      <x:c r="J1143" s="32" t="n">
        <x:f>INDEX(tun_FoodCap,G1143)*Arch_FoodCap*EXP(tun_CapsByProject*SUMPRODUCT((Cap_Point&lt;=I1143)*(Cap_Kind="Food")*Cap_Ln))</x:f>
        <x:v>18627.260449441455</x:v>
      </x:c>
      <x:c r="K1143" s="32" t="n">
        <x:f>J1143*MIN(1,tun_LeanBase*EXP(tun_CapsByProject*SUMPRODUCT((Cap_Point&lt;=I1143)*(Cap_Kind="Lean")*Cap_Ln)))</x:f>
        <x:v>18627.260449441455</x:v>
      </x:c>
      <x:c r="L1143" s="10" t="n">
        <x:f>INDEX(tun_HousingCap,G1143)*EXP(tun_CapsByProject*SUMPRODUCT((Cap_Point&lt;=I1143)*(Cap_Kind="Housing")*Cap_Ln))</x:f>
        <x:v>20528.974303173167</x:v>
      </x:c>
      <x:c r="M1143" s="10" t="n">
        <x:f>INDEX(tun_GroupCap,G1143)*tun_CohesionFactor*EXP(tun_CapsByProject*SUMPRODUCT((Cap_Point&lt;=I1143)*(Cap_Kind="Group")*Cap_Ln))</x:f>
        <x:v>1000000.000000001</x:v>
      </x:c>
      <x:c r="N1143" s="32" t="n">
        <x:f>MIN(J1143,L1143,M1143)</x:f>
        <x:v>18627.260449441455</x:v>
      </x:c>
      <x:c r="O1143" s="10" t="n">
        <x:f>AE1142*N1143</x:f>
        <x:v>167645.34404497308</x:v>
      </x:c>
      <x:c r="P1143" s="9" t="n">
        <x:f>MIN(1,(AB1142/(AE1142*IF(tun_GroupInCrowding=1,N1143,MIN(J1143,L1143))))^tun_CrowdingExp)</x:f>
        <x:v>0.4215841981292809</x:v>
      </x:c>
      <x:c r="Q1143" s="9" t="n">
        <x:f>IF(D1143=1,INDEX(tun_WinterMult,G1143),1)</x:f>
        <x:v>1.05</x:v>
      </x:c>
      <x:c r="R1143" s="9" t="n">
        <x:f>H1143*Z1142*tun_WomenShare*tun_BaseFertility*INDEX(tun_FertMult,G1143)*Arch_Fertility*(1-P1143)</x:f>
        <x:v>0</x:v>
      </x:c>
      <x:c r="S1143" s="9" t="n">
        <x:f>H1143*Y1142*INDEX(tun_MortChild,G1143)/4*Q1143</x:f>
        <x:v>0</x:v>
      </x:c>
      <x:c r="T1143" s="9" t="n">
        <x:f>H1143*Z1142*INDEX(tun_MortAdult,G1143)*Arch_AdultMort/4*Q1143</x:f>
        <x:v>0</x:v>
      </x:c>
      <x:c r="U1143" s="9" t="n">
        <x:f>H1143*AA1142*INDEX(tun_MortElder,G1143)/4*Q1143</x:f>
        <x:v>0</x:v>
      </x:c>
      <x:c r="V1143" s="9" t="n">
        <x:f>H1143*MAX(0,AB1142-O1143)*tun_OvercapLoss</x:f>
        <x:v>0</x:v>
      </x:c>
      <x:c r="W1143" s="9" t="n">
        <x:f>H1143*Y1142/(tun_ChildYears*4)</x:f>
        <x:v>0</x:v>
      </x:c>
      <x:c r="X1143" s="9" t="n">
        <x:f>H1143*Z1142/(tun_AdultYears*4)</x:f>
        <x:v>0</x:v>
      </x:c>
      <x:c r="Y1143" s="32" t="n">
        <x:f>Y1142+R1143-S1143-W1143-Y1142*V1143/AB1142</x:f>
        <x:v>40496.20709015643</x:v>
      </x:c>
      <x:c r="Z1143" s="32" t="n">
        <x:f>Z1142+W1143-X1143-T1143-Z1142*V1143/AB1142</x:f>
        <x:v>59141.61122890803</x:v>
      </x:c>
      <x:c r="AA1143" s="32" t="n">
        <x:f>AA1142+X1143-U1143-AA1142*V1143/AB1142</x:f>
        <x:v>45530.62410925061</x:v>
      </x:c>
      <x:c r="AB1143" s="10" t="n">
        <x:f>Y1143+Z1143+AA1143</x:f>
        <x:v>145168.44242831506</x:v>
      </x:c>
      <x:c r="AC1143" s="8" t="n">
        <x:f>IF(AND(tun_WinterTrigger=1,D1143=1,AB1142/AE1142&gt;=K1143),1,0)</x:f>
        <x:v>0</x:v>
      </x:c>
      <x:c r="AD1143" s="8" t="n">
        <x:f>H1143*IF(AND(OR(AB1142/AE1142&gt;=tun_FissionTrigger*N1143,AC1143=1),AB1142/AE1142*tun_DaughterShare&gt;=tun_MinDaughter),MAX(1,ROUND(AE1142*tun_FissionRate,0)),0)</x:f>
        <x:v>0</x:v>
      </x:c>
      <x:c r="AE1143" s="8" t="n">
        <x:f>IF(H1143=1,MAX(1,MIN(INDEX(tun_Smax,G1143),AE1142+AD1143)),AE1142)</x:f>
        <x:v>9</x:v>
      </x:c>
      <x:c r="AF1143" s="8" t="n">
        <x:f>MAX(0,AE1143-AE1142)</x:f>
        <x:v>0</x:v>
      </x:c>
      <x:c r="AG1143" s="9" t="str">
        <x:f>IF(AF1143&gt;0,B1143,"")</x:f>
      </x:c>
      <x:c r="AH1143" s="9" t="n">
        <x:f>IF(F1143&gt;=1,1,(1+tun_LowTiesShare*(AE1143-1))/AE1143)</x:f>
        <x:v>1</x:v>
      </x:c>
      <x:c r="AI1143" s="32" t="n">
        <x:f>(Z1143+tun_ElderCommons*INDEX(LM_Elder,G1143)*AA1143)*AH1143</x:f>
        <x:v>238215.0665857503</x:v>
      </x:c>
      <x:c r="AJ1143" s="32" t="n">
        <x:f>H1143*tun_CommonsCoef*AI1143^tun_CommonsExp*INDEX(LM_Commons,G1143)</x:f>
        <x:v>0</x:v>
      </x:c>
      <x:c r="AK1143" s="32" t="n">
        <x:f>H1143*tun_RoleScale*Arch_Roles*(AE1143*(INDEX(tun_ElderRolePerSett,G1143)*tun_OutElder*INDEX(LM_Elder,G1143)+INDEX(tun_ShamanPerSett,G1143)*tun_OutShaman)+Z1143*(INDEX(tun_PriestShare,G1143)*tun_OutPriest+INDEX(tun_ScribeShare,G1143)*tun_OutScribe*INDEX(LM_Scribe,G1143)+INDEX(tun_ScholarShare,G1143)*tun_OutScholar*INDEX(LM_Scholar,G1143)+INDEX(tun_ResearcherShare,G1143)*tun_OutResearcher*INDEX(LM_Researcher,G1143)))</x:f>
        <x:v>0</x:v>
      </x:c>
      <x:c r="AL1143" s="32" t="n">
        <x:f>H1143*tun_RoleScale*Arch_Roles*AE1143*INDEX(tun_MonasteryPerSett,G1143)*tun_OutMonastery*INDEX(LM_Monastery,G1143)</x:f>
        <x:v>0</x:v>
      </x:c>
      <x:c r="AM1143" s="32" t="n">
        <x:f>(AJ1143+AK1143+AL1143)/4*INDEX(LM_All,G1143)*INDEX(tun_Boon,G1143)*Arch_Insight</x:f>
        <x:v>0</x:v>
      </x:c>
      <x:c r="AN1143" s="32" t="n">
        <x:f>H1143*(tun_KHPerAdult*Z1143+tun_KHOfCommons*AJ1143/4*INDEX(LM_All,G1143))*tun_KHUsable*Arch_KH</x:f>
        <x:v>0</x:v>
      </x:c>
      <x:c r="AO1143" s="32" t="n">
        <x:f>MIN(AP1142+AN1143,AM1143*tun_KHMaxRatio)</x:f>
        <x:v>0</x:v>
      </x:c>
      <x:c r="AP1143" s="32" t="n">
        <x:f>AP1142+AN1143-AO1143</x:f>
        <x:v>0</x:v>
      </x:c>
      <x:c r="AQ1143" s="32" t="n">
        <x:f>AM1143+AO1143</x:f>
        <x:v>0</x:v>
      </x:c>
      <x:c r="AR1143" s="10" t="n">
        <x:f>IF(H1143=1,INDEX(tun_Req,G1143),0)</x:f>
        <x:v>0</x:v>
      </x:c>
      <x:c r="AS1143" s="32" t="n">
        <x:f>IF(H1143=1,IF(E1143=1,AS1142-AR1142,AS1142)+AQ1143,0)</x:f>
        <x:v>0</x:v>
      </x:c>
      <x:c r="AT1143" s="11" t="n">
        <x:f>IF(AR1143&gt;0,MIN(1,AS1143/AR1143),1)</x:f>
        <x:v>1</x:v>
      </x:c>
      <x:c r="AU1143" s="10" t="n">
        <x:f>AB1143/INDEX(tun_RepScale,G1143)</x:f>
        <x:v>290.3368848566301</x:v>
      </x:c>
      <x:c r="AV1143" s="32" t="n">
        <x:f>AM1143*60/tun_SeasonSeconds</x:f>
        <x:v>0</x:v>
      </x:c>
    </x:row>
    <x:row r="1144">
      <x:c r="A1144" s="8" t="n">
        <x:f>A1143+1</x:f>
        <x:v>1141</x:v>
      </x:c>
      <x:c r="B1144" s="9" t="n">
        <x:f>A1144*tun_SeasonSeconds/60</x:f>
        <x:v>285.25</x:v>
      </x:c>
      <x:c r="C1144" s="9" t="n">
        <x:f>A1144/4</x:f>
        <x:v>285.25</x:v>
      </x:c>
      <x:c r="D1144" s="8" t="n">
        <x:f>IF(MOD(A1144,4)=0,1,0)</x:f>
        <x:v>0</x:v>
      </x:c>
      <x:c r="E1144" s="8" t="n">
        <x:f>IF(AND(F1143&lt;=9,AS1143&gt;=AR1143),1,0)</x:f>
        <x:v>0</x:v>
      </x:c>
      <x:c r="F1144" s="8" t="n">
        <x:f>MIN(10,F1143+E1144)</x:f>
        <x:v>10</x:v>
      </x:c>
      <x:c r="G1144" s="8" t="n">
        <x:f>MIN(F1144,9)+1</x:f>
        <x:v>10</x:v>
      </x:c>
      <x:c r="H1144" s="8" t="n">
        <x:f>IF(F1144&lt;=9,1,0)</x:f>
        <x:v>0</x:v>
      </x:c>
      <x:c r="I1144" s="9" t="n">
        <x:f>MIN(10,F1143+IF(AR1143&gt;0,MIN(1,AS1143/AR1143),1))</x:f>
        <x:v>10</x:v>
      </x:c>
      <x:c r="J1144" s="32" t="n">
        <x:f>INDEX(tun_FoodCap,G1144)*Arch_FoodCap*EXP(tun_CapsByProject*SUMPRODUCT((Cap_Point&lt;=I1144)*(Cap_Kind="Food")*Cap_Ln))</x:f>
        <x:v>18627.260449441455</x:v>
      </x:c>
      <x:c r="K1144" s="32" t="n">
        <x:f>J1144*MIN(1,tun_LeanBase*EXP(tun_CapsByProject*SUMPRODUCT((Cap_Point&lt;=I1144)*(Cap_Kind="Lean")*Cap_Ln)))</x:f>
        <x:v>18627.260449441455</x:v>
      </x:c>
      <x:c r="L1144" s="10" t="n">
        <x:f>INDEX(tun_HousingCap,G1144)*EXP(tun_CapsByProject*SUMPRODUCT((Cap_Point&lt;=I1144)*(Cap_Kind="Housing")*Cap_Ln))</x:f>
        <x:v>20528.974303173167</x:v>
      </x:c>
      <x:c r="M1144" s="10" t="n">
        <x:f>INDEX(tun_GroupCap,G1144)*tun_CohesionFactor*EXP(tun_CapsByProject*SUMPRODUCT((Cap_Point&lt;=I1144)*(Cap_Kind="Group")*Cap_Ln))</x:f>
        <x:v>1000000.000000001</x:v>
      </x:c>
      <x:c r="N1144" s="32" t="n">
        <x:f>MIN(J1144,L1144,M1144)</x:f>
        <x:v>18627.260449441455</x:v>
      </x:c>
      <x:c r="O1144" s="10" t="n">
        <x:f>AE1143*N1144</x:f>
        <x:v>167645.34404497308</x:v>
      </x:c>
      <x:c r="P1144" s="9" t="n">
        <x:f>MIN(1,(AB1143/(AE1143*IF(tun_GroupInCrowding=1,N1144,MIN(J1144,L1144))))^tun_CrowdingExp)</x:f>
        <x:v>0.4215841981292809</x:v>
      </x:c>
      <x:c r="Q1144" s="9" t="n">
        <x:f>IF(D1144=1,INDEX(tun_WinterMult,G1144),1)</x:f>
        <x:v>1</x:v>
      </x:c>
      <x:c r="R1144" s="9" t="n">
        <x:f>H1144*Z1143*tun_WomenShare*tun_BaseFertility*INDEX(tun_FertMult,G1144)*Arch_Fertility*(1-P1144)</x:f>
        <x:v>0</x:v>
      </x:c>
      <x:c r="S1144" s="9" t="n">
        <x:f>H1144*Y1143*INDEX(tun_MortChild,G1144)/4*Q1144</x:f>
        <x:v>0</x:v>
      </x:c>
      <x:c r="T1144" s="9" t="n">
        <x:f>H1144*Z1143*INDEX(tun_MortAdult,G1144)*Arch_AdultMort/4*Q1144</x:f>
        <x:v>0</x:v>
      </x:c>
      <x:c r="U1144" s="9" t="n">
        <x:f>H1144*AA1143*INDEX(tun_MortElder,G1144)/4*Q1144</x:f>
        <x:v>0</x:v>
      </x:c>
      <x:c r="V1144" s="9" t="n">
        <x:f>H1144*MAX(0,AB1143-O1144)*tun_OvercapLoss</x:f>
        <x:v>0</x:v>
      </x:c>
      <x:c r="W1144" s="9" t="n">
        <x:f>H1144*Y1143/(tun_ChildYears*4)</x:f>
        <x:v>0</x:v>
      </x:c>
      <x:c r="X1144" s="9" t="n">
        <x:f>H1144*Z1143/(tun_AdultYears*4)</x:f>
        <x:v>0</x:v>
      </x:c>
      <x:c r="Y1144" s="32" t="n">
        <x:f>Y1143+R1144-S1144-W1144-Y1143*V1144/AB1143</x:f>
        <x:v>40496.20709015643</x:v>
      </x:c>
      <x:c r="Z1144" s="32" t="n">
        <x:f>Z1143+W1144-X1144-T1144-Z1143*V1144/AB1143</x:f>
        <x:v>59141.61122890803</x:v>
      </x:c>
      <x:c r="AA1144" s="32" t="n">
        <x:f>AA1143+X1144-U1144-AA1143*V1144/AB1143</x:f>
        <x:v>45530.62410925061</x:v>
      </x:c>
      <x:c r="AB1144" s="10" t="n">
        <x:f>Y1144+Z1144+AA1144</x:f>
        <x:v>145168.44242831506</x:v>
      </x:c>
      <x:c r="AC1144" s="8" t="n">
        <x:f>IF(AND(tun_WinterTrigger=1,D1144=1,AB1143/AE1143&gt;=K1144),1,0)</x:f>
        <x:v>0</x:v>
      </x:c>
      <x:c r="AD1144" s="8" t="n">
        <x:f>H1144*IF(AND(OR(AB1143/AE1143&gt;=tun_FissionTrigger*N1144,AC1144=1),AB1143/AE1143*tun_DaughterShare&gt;=tun_MinDaughter),MAX(1,ROUND(AE1143*tun_FissionRate,0)),0)</x:f>
        <x:v>0</x:v>
      </x:c>
      <x:c r="AE1144" s="8" t="n">
        <x:f>IF(H1144=1,MAX(1,MIN(INDEX(tun_Smax,G1144),AE1143+AD1144)),AE1143)</x:f>
        <x:v>9</x:v>
      </x:c>
      <x:c r="AF1144" s="8" t="n">
        <x:f>MAX(0,AE1144-AE1143)</x:f>
        <x:v>0</x:v>
      </x:c>
      <x:c r="AG1144" s="9" t="str">
        <x:f>IF(AF1144&gt;0,B1144,"")</x:f>
      </x:c>
      <x:c r="AH1144" s="9" t="n">
        <x:f>IF(F1144&gt;=1,1,(1+tun_LowTiesShare*(AE1144-1))/AE1144)</x:f>
        <x:v>1</x:v>
      </x:c>
      <x:c r="AI1144" s="32" t="n">
        <x:f>(Z1144+tun_ElderCommons*INDEX(LM_Elder,G1144)*AA1144)*AH1144</x:f>
        <x:v>238215.0665857503</x:v>
      </x:c>
      <x:c r="AJ1144" s="32" t="n">
        <x:f>H1144*tun_CommonsCoef*AI1144^tun_CommonsExp*INDEX(LM_Commons,G1144)</x:f>
        <x:v>0</x:v>
      </x:c>
      <x:c r="AK1144" s="32" t="n">
        <x:f>H1144*tun_RoleScale*Arch_Roles*(AE1144*(INDEX(tun_ElderRolePerSett,G1144)*tun_OutElder*INDEX(LM_Elder,G1144)+INDEX(tun_ShamanPerSett,G1144)*tun_OutShaman)+Z1144*(INDEX(tun_PriestShare,G1144)*tun_OutPriest+INDEX(tun_ScribeShare,G1144)*tun_OutScribe*INDEX(LM_Scribe,G1144)+INDEX(tun_ScholarShare,G1144)*tun_OutScholar*INDEX(LM_Scholar,G1144)+INDEX(tun_ResearcherShare,G1144)*tun_OutResearcher*INDEX(LM_Researcher,G1144)))</x:f>
        <x:v>0</x:v>
      </x:c>
      <x:c r="AL1144" s="32" t="n">
        <x:f>H1144*tun_RoleScale*Arch_Roles*AE1144*INDEX(tun_MonasteryPerSett,G1144)*tun_OutMonastery*INDEX(LM_Monastery,G1144)</x:f>
        <x:v>0</x:v>
      </x:c>
      <x:c r="AM1144" s="32" t="n">
        <x:f>(AJ1144+AK1144+AL1144)/4*INDEX(LM_All,G1144)*INDEX(tun_Boon,G1144)*Arch_Insight</x:f>
        <x:v>0</x:v>
      </x:c>
      <x:c r="AN1144" s="32" t="n">
        <x:f>H1144*(tun_KHPerAdult*Z1144+tun_KHOfCommons*AJ1144/4*INDEX(LM_All,G1144))*tun_KHUsable*Arch_KH</x:f>
        <x:v>0</x:v>
      </x:c>
      <x:c r="AO1144" s="32" t="n">
        <x:f>MIN(AP1143+AN1144,AM1144*tun_KHMaxRatio)</x:f>
        <x:v>0</x:v>
      </x:c>
      <x:c r="AP1144" s="32" t="n">
        <x:f>AP1143+AN1144-AO1144</x:f>
        <x:v>0</x:v>
      </x:c>
      <x:c r="AQ1144" s="32" t="n">
        <x:f>AM1144+AO1144</x:f>
        <x:v>0</x:v>
      </x:c>
      <x:c r="AR1144" s="10" t="n">
        <x:f>IF(H1144=1,INDEX(tun_Req,G1144),0)</x:f>
        <x:v>0</x:v>
      </x:c>
      <x:c r="AS1144" s="32" t="n">
        <x:f>IF(H1144=1,IF(E1144=1,AS1143-AR1143,AS1143)+AQ1144,0)</x:f>
        <x:v>0</x:v>
      </x:c>
      <x:c r="AT1144" s="11" t="n">
        <x:f>IF(AR1144&gt;0,MIN(1,AS1144/AR1144),1)</x:f>
        <x:v>1</x:v>
      </x:c>
      <x:c r="AU1144" s="10" t="n">
        <x:f>AB1144/INDEX(tun_RepScale,G1144)</x:f>
        <x:v>290.3368848566301</x:v>
      </x:c>
      <x:c r="AV1144" s="32" t="n">
        <x:f>AM1144*60/tun_SeasonSeconds</x:f>
        <x:v>0</x:v>
      </x:c>
    </x:row>
    <x:row r="1145">
      <x:c r="A1145" s="8" t="n">
        <x:f>A1144+1</x:f>
        <x:v>1142</x:v>
      </x:c>
      <x:c r="B1145" s="9" t="n">
        <x:f>A1145*tun_SeasonSeconds/60</x:f>
        <x:v>285.5</x:v>
      </x:c>
      <x:c r="C1145" s="9" t="n">
        <x:f>A1145/4</x:f>
        <x:v>285.5</x:v>
      </x:c>
      <x:c r="D1145" s="8" t="n">
        <x:f>IF(MOD(A1145,4)=0,1,0)</x:f>
        <x:v>0</x:v>
      </x:c>
      <x:c r="E1145" s="8" t="n">
        <x:f>IF(AND(F1144&lt;=9,AS1144&gt;=AR1144),1,0)</x:f>
        <x:v>0</x:v>
      </x:c>
      <x:c r="F1145" s="8" t="n">
        <x:f>MIN(10,F1144+E1145)</x:f>
        <x:v>10</x:v>
      </x:c>
      <x:c r="G1145" s="8" t="n">
        <x:f>MIN(F1145,9)+1</x:f>
        <x:v>10</x:v>
      </x:c>
      <x:c r="H1145" s="8" t="n">
        <x:f>IF(F1145&lt;=9,1,0)</x:f>
        <x:v>0</x:v>
      </x:c>
      <x:c r="I1145" s="9" t="n">
        <x:f>MIN(10,F1144+IF(AR1144&gt;0,MIN(1,AS1144/AR1144),1))</x:f>
        <x:v>10</x:v>
      </x:c>
      <x:c r="J1145" s="32" t="n">
        <x:f>INDEX(tun_FoodCap,G1145)*Arch_FoodCap*EXP(tun_CapsByProject*SUMPRODUCT((Cap_Point&lt;=I1145)*(Cap_Kind="Food")*Cap_Ln))</x:f>
        <x:v>18627.260449441455</x:v>
      </x:c>
      <x:c r="K1145" s="32" t="n">
        <x:f>J1145*MIN(1,tun_LeanBase*EXP(tun_CapsByProject*SUMPRODUCT((Cap_Point&lt;=I1145)*(Cap_Kind="Lean")*Cap_Ln)))</x:f>
        <x:v>18627.260449441455</x:v>
      </x:c>
      <x:c r="L1145" s="10" t="n">
        <x:f>INDEX(tun_HousingCap,G1145)*EXP(tun_CapsByProject*SUMPRODUCT((Cap_Point&lt;=I1145)*(Cap_Kind="Housing")*Cap_Ln))</x:f>
        <x:v>20528.974303173167</x:v>
      </x:c>
      <x:c r="M1145" s="10" t="n">
        <x:f>INDEX(tun_GroupCap,G1145)*tun_CohesionFactor*EXP(tun_CapsByProject*SUMPRODUCT((Cap_Point&lt;=I1145)*(Cap_Kind="Group")*Cap_Ln))</x:f>
        <x:v>1000000.000000001</x:v>
      </x:c>
      <x:c r="N1145" s="32" t="n">
        <x:f>MIN(J1145,L1145,M1145)</x:f>
        <x:v>18627.260449441455</x:v>
      </x:c>
      <x:c r="O1145" s="10" t="n">
        <x:f>AE1144*N1145</x:f>
        <x:v>167645.34404497308</x:v>
      </x:c>
      <x:c r="P1145" s="9" t="n">
        <x:f>MIN(1,(AB1144/(AE1144*IF(tun_GroupInCrowding=1,N1145,MIN(J1145,L1145))))^tun_CrowdingExp)</x:f>
        <x:v>0.4215841981292809</x:v>
      </x:c>
      <x:c r="Q1145" s="9" t="n">
        <x:f>IF(D1145=1,INDEX(tun_WinterMult,G1145),1)</x:f>
        <x:v>1</x:v>
      </x:c>
      <x:c r="R1145" s="9" t="n">
        <x:f>H1145*Z1144*tun_WomenShare*tun_BaseFertility*INDEX(tun_FertMult,G1145)*Arch_Fertility*(1-P1145)</x:f>
        <x:v>0</x:v>
      </x:c>
      <x:c r="S1145" s="9" t="n">
        <x:f>H1145*Y1144*INDEX(tun_MortChild,G1145)/4*Q1145</x:f>
        <x:v>0</x:v>
      </x:c>
      <x:c r="T1145" s="9" t="n">
        <x:f>H1145*Z1144*INDEX(tun_MortAdult,G1145)*Arch_AdultMort/4*Q1145</x:f>
        <x:v>0</x:v>
      </x:c>
      <x:c r="U1145" s="9" t="n">
        <x:f>H1145*AA1144*INDEX(tun_MortElder,G1145)/4*Q1145</x:f>
        <x:v>0</x:v>
      </x:c>
      <x:c r="V1145" s="9" t="n">
        <x:f>H1145*MAX(0,AB1144-O1145)*tun_OvercapLoss</x:f>
        <x:v>0</x:v>
      </x:c>
      <x:c r="W1145" s="9" t="n">
        <x:f>H1145*Y1144/(tun_ChildYears*4)</x:f>
        <x:v>0</x:v>
      </x:c>
      <x:c r="X1145" s="9" t="n">
        <x:f>H1145*Z1144/(tun_AdultYears*4)</x:f>
        <x:v>0</x:v>
      </x:c>
      <x:c r="Y1145" s="32" t="n">
        <x:f>Y1144+R1145-S1145-W1145-Y1144*V1145/AB1144</x:f>
        <x:v>40496.20709015643</x:v>
      </x:c>
      <x:c r="Z1145" s="32" t="n">
        <x:f>Z1144+W1145-X1145-T1145-Z1144*V1145/AB1144</x:f>
        <x:v>59141.61122890803</x:v>
      </x:c>
      <x:c r="AA1145" s="32" t="n">
        <x:f>AA1144+X1145-U1145-AA1144*V1145/AB1144</x:f>
        <x:v>45530.62410925061</x:v>
      </x:c>
      <x:c r="AB1145" s="10" t="n">
        <x:f>Y1145+Z1145+AA1145</x:f>
        <x:v>145168.44242831506</x:v>
      </x:c>
      <x:c r="AC1145" s="8" t="n">
        <x:f>IF(AND(tun_WinterTrigger=1,D1145=1,AB1144/AE1144&gt;=K1145),1,0)</x:f>
        <x:v>0</x:v>
      </x:c>
      <x:c r="AD1145" s="8" t="n">
        <x:f>H1145*IF(AND(OR(AB1144/AE1144&gt;=tun_FissionTrigger*N1145,AC1145=1),AB1144/AE1144*tun_DaughterShare&gt;=tun_MinDaughter),MAX(1,ROUND(AE1144*tun_FissionRate,0)),0)</x:f>
        <x:v>0</x:v>
      </x:c>
      <x:c r="AE1145" s="8" t="n">
        <x:f>IF(H1145=1,MAX(1,MIN(INDEX(tun_Smax,G1145),AE1144+AD1145)),AE1144)</x:f>
        <x:v>9</x:v>
      </x:c>
      <x:c r="AF1145" s="8" t="n">
        <x:f>MAX(0,AE1145-AE1144)</x:f>
        <x:v>0</x:v>
      </x:c>
      <x:c r="AG1145" s="9" t="str">
        <x:f>IF(AF1145&gt;0,B1145,"")</x:f>
      </x:c>
      <x:c r="AH1145" s="9" t="n">
        <x:f>IF(F1145&gt;=1,1,(1+tun_LowTiesShare*(AE1145-1))/AE1145)</x:f>
        <x:v>1</x:v>
      </x:c>
      <x:c r="AI1145" s="32" t="n">
        <x:f>(Z1145+tun_ElderCommons*INDEX(LM_Elder,G1145)*AA1145)*AH1145</x:f>
        <x:v>238215.0665857503</x:v>
      </x:c>
      <x:c r="AJ1145" s="32" t="n">
        <x:f>H1145*tun_CommonsCoef*AI1145^tun_CommonsExp*INDEX(LM_Commons,G1145)</x:f>
        <x:v>0</x:v>
      </x:c>
      <x:c r="AK1145" s="32" t="n">
        <x:f>H1145*tun_RoleScale*Arch_Roles*(AE1145*(INDEX(tun_ElderRolePerSett,G1145)*tun_OutElder*INDEX(LM_Elder,G1145)+INDEX(tun_ShamanPerSett,G1145)*tun_OutShaman)+Z1145*(INDEX(tun_PriestShare,G1145)*tun_OutPriest+INDEX(tun_ScribeShare,G1145)*tun_OutScribe*INDEX(LM_Scribe,G1145)+INDEX(tun_ScholarShare,G1145)*tun_OutScholar*INDEX(LM_Scholar,G1145)+INDEX(tun_ResearcherShare,G1145)*tun_OutResearcher*INDEX(LM_Researcher,G1145)))</x:f>
        <x:v>0</x:v>
      </x:c>
      <x:c r="AL1145" s="32" t="n">
        <x:f>H1145*tun_RoleScale*Arch_Roles*AE1145*INDEX(tun_MonasteryPerSett,G1145)*tun_OutMonastery*INDEX(LM_Monastery,G1145)</x:f>
        <x:v>0</x:v>
      </x:c>
      <x:c r="AM1145" s="32" t="n">
        <x:f>(AJ1145+AK1145+AL1145)/4*INDEX(LM_All,G1145)*INDEX(tun_Boon,G1145)*Arch_Insight</x:f>
        <x:v>0</x:v>
      </x:c>
      <x:c r="AN1145" s="32" t="n">
        <x:f>H1145*(tun_KHPerAdult*Z1145+tun_KHOfCommons*AJ1145/4*INDEX(LM_All,G1145))*tun_KHUsable*Arch_KH</x:f>
        <x:v>0</x:v>
      </x:c>
      <x:c r="AO1145" s="32" t="n">
        <x:f>MIN(AP1144+AN1145,AM1145*tun_KHMaxRatio)</x:f>
        <x:v>0</x:v>
      </x:c>
      <x:c r="AP1145" s="32" t="n">
        <x:f>AP1144+AN1145-AO1145</x:f>
        <x:v>0</x:v>
      </x:c>
      <x:c r="AQ1145" s="32" t="n">
        <x:f>AM1145+AO1145</x:f>
        <x:v>0</x:v>
      </x:c>
      <x:c r="AR1145" s="10" t="n">
        <x:f>IF(H1145=1,INDEX(tun_Req,G1145),0)</x:f>
        <x:v>0</x:v>
      </x:c>
      <x:c r="AS1145" s="32" t="n">
        <x:f>IF(H1145=1,IF(E1145=1,AS1144-AR1144,AS1144)+AQ1145,0)</x:f>
        <x:v>0</x:v>
      </x:c>
      <x:c r="AT1145" s="11" t="n">
        <x:f>IF(AR1145&gt;0,MIN(1,AS1145/AR1145),1)</x:f>
        <x:v>1</x:v>
      </x:c>
      <x:c r="AU1145" s="10" t="n">
        <x:f>AB1145/INDEX(tun_RepScale,G1145)</x:f>
        <x:v>290.3368848566301</x:v>
      </x:c>
      <x:c r="AV1145" s="32" t="n">
        <x:f>AM1145*60/tun_SeasonSeconds</x:f>
        <x:v>0</x:v>
      </x:c>
    </x:row>
    <x:row r="1146">
      <x:c r="A1146" s="8" t="n">
        <x:f>A1145+1</x:f>
        <x:v>1143</x:v>
      </x:c>
      <x:c r="B1146" s="9" t="n">
        <x:f>A1146*tun_SeasonSeconds/60</x:f>
        <x:v>285.75</x:v>
      </x:c>
      <x:c r="C1146" s="9" t="n">
        <x:f>A1146/4</x:f>
        <x:v>285.75</x:v>
      </x:c>
      <x:c r="D1146" s="8" t="n">
        <x:f>IF(MOD(A1146,4)=0,1,0)</x:f>
        <x:v>0</x:v>
      </x:c>
      <x:c r="E1146" s="8" t="n">
        <x:f>IF(AND(F1145&lt;=9,AS1145&gt;=AR1145),1,0)</x:f>
        <x:v>0</x:v>
      </x:c>
      <x:c r="F1146" s="8" t="n">
        <x:f>MIN(10,F1145+E1146)</x:f>
        <x:v>10</x:v>
      </x:c>
      <x:c r="G1146" s="8" t="n">
        <x:f>MIN(F1146,9)+1</x:f>
        <x:v>10</x:v>
      </x:c>
      <x:c r="H1146" s="8" t="n">
        <x:f>IF(F1146&lt;=9,1,0)</x:f>
        <x:v>0</x:v>
      </x:c>
      <x:c r="I1146" s="9" t="n">
        <x:f>MIN(10,F1145+IF(AR1145&gt;0,MIN(1,AS1145/AR1145),1))</x:f>
        <x:v>10</x:v>
      </x:c>
      <x:c r="J1146" s="32" t="n">
        <x:f>INDEX(tun_FoodCap,G1146)*Arch_FoodCap*EXP(tun_CapsByProject*SUMPRODUCT((Cap_Point&lt;=I1146)*(Cap_Kind="Food")*Cap_Ln))</x:f>
        <x:v>18627.260449441455</x:v>
      </x:c>
      <x:c r="K1146" s="32" t="n">
        <x:f>J1146*MIN(1,tun_LeanBase*EXP(tun_CapsByProject*SUMPRODUCT((Cap_Point&lt;=I1146)*(Cap_Kind="Lean")*Cap_Ln)))</x:f>
        <x:v>18627.260449441455</x:v>
      </x:c>
      <x:c r="L1146" s="10" t="n">
        <x:f>INDEX(tun_HousingCap,G1146)*EXP(tun_CapsByProject*SUMPRODUCT((Cap_Point&lt;=I1146)*(Cap_Kind="Housing")*Cap_Ln))</x:f>
        <x:v>20528.974303173167</x:v>
      </x:c>
      <x:c r="M1146" s="10" t="n">
        <x:f>INDEX(tun_GroupCap,G1146)*tun_CohesionFactor*EXP(tun_CapsByProject*SUMPRODUCT((Cap_Point&lt;=I1146)*(Cap_Kind="Group")*Cap_Ln))</x:f>
        <x:v>1000000.000000001</x:v>
      </x:c>
      <x:c r="N1146" s="32" t="n">
        <x:f>MIN(J1146,L1146,M1146)</x:f>
        <x:v>18627.260449441455</x:v>
      </x:c>
      <x:c r="O1146" s="10" t="n">
        <x:f>AE1145*N1146</x:f>
        <x:v>167645.34404497308</x:v>
      </x:c>
      <x:c r="P1146" s="9" t="n">
        <x:f>MIN(1,(AB1145/(AE1145*IF(tun_GroupInCrowding=1,N1146,MIN(J1146,L1146))))^tun_CrowdingExp)</x:f>
        <x:v>0.4215841981292809</x:v>
      </x:c>
      <x:c r="Q1146" s="9" t="n">
        <x:f>IF(D1146=1,INDEX(tun_WinterMult,G1146),1)</x:f>
        <x:v>1</x:v>
      </x:c>
      <x:c r="R1146" s="9" t="n">
        <x:f>H1146*Z1145*tun_WomenShare*tun_BaseFertility*INDEX(tun_FertMult,G1146)*Arch_Fertility*(1-P1146)</x:f>
        <x:v>0</x:v>
      </x:c>
      <x:c r="S1146" s="9" t="n">
        <x:f>H1146*Y1145*INDEX(tun_MortChild,G1146)/4*Q1146</x:f>
        <x:v>0</x:v>
      </x:c>
      <x:c r="T1146" s="9" t="n">
        <x:f>H1146*Z1145*INDEX(tun_MortAdult,G1146)*Arch_AdultMort/4*Q1146</x:f>
        <x:v>0</x:v>
      </x:c>
      <x:c r="U1146" s="9" t="n">
        <x:f>H1146*AA1145*INDEX(tun_MortElder,G1146)/4*Q1146</x:f>
        <x:v>0</x:v>
      </x:c>
      <x:c r="V1146" s="9" t="n">
        <x:f>H1146*MAX(0,AB1145-O1146)*tun_OvercapLoss</x:f>
        <x:v>0</x:v>
      </x:c>
      <x:c r="W1146" s="9" t="n">
        <x:f>H1146*Y1145/(tun_ChildYears*4)</x:f>
        <x:v>0</x:v>
      </x:c>
      <x:c r="X1146" s="9" t="n">
        <x:f>H1146*Z1145/(tun_AdultYears*4)</x:f>
        <x:v>0</x:v>
      </x:c>
      <x:c r="Y1146" s="32" t="n">
        <x:f>Y1145+R1146-S1146-W1146-Y1145*V1146/AB1145</x:f>
        <x:v>40496.20709015643</x:v>
      </x:c>
      <x:c r="Z1146" s="32" t="n">
        <x:f>Z1145+W1146-X1146-T1146-Z1145*V1146/AB1145</x:f>
        <x:v>59141.61122890803</x:v>
      </x:c>
      <x:c r="AA1146" s="32" t="n">
        <x:f>AA1145+X1146-U1146-AA1145*V1146/AB1145</x:f>
        <x:v>45530.62410925061</x:v>
      </x:c>
      <x:c r="AB1146" s="10" t="n">
        <x:f>Y1146+Z1146+AA1146</x:f>
        <x:v>145168.44242831506</x:v>
      </x:c>
      <x:c r="AC1146" s="8" t="n">
        <x:f>IF(AND(tun_WinterTrigger=1,D1146=1,AB1145/AE1145&gt;=K1146),1,0)</x:f>
        <x:v>0</x:v>
      </x:c>
      <x:c r="AD1146" s="8" t="n">
        <x:f>H1146*IF(AND(OR(AB1145/AE1145&gt;=tun_FissionTrigger*N1146,AC1146=1),AB1145/AE1145*tun_DaughterShare&gt;=tun_MinDaughter),MAX(1,ROUND(AE1145*tun_FissionRate,0)),0)</x:f>
        <x:v>0</x:v>
      </x:c>
      <x:c r="AE1146" s="8" t="n">
        <x:f>IF(H1146=1,MAX(1,MIN(INDEX(tun_Smax,G1146),AE1145+AD1146)),AE1145)</x:f>
        <x:v>9</x:v>
      </x:c>
      <x:c r="AF1146" s="8" t="n">
        <x:f>MAX(0,AE1146-AE1145)</x:f>
        <x:v>0</x:v>
      </x:c>
      <x:c r="AG1146" s="9" t="str">
        <x:f>IF(AF1146&gt;0,B1146,"")</x:f>
      </x:c>
      <x:c r="AH1146" s="9" t="n">
        <x:f>IF(F1146&gt;=1,1,(1+tun_LowTiesShare*(AE1146-1))/AE1146)</x:f>
        <x:v>1</x:v>
      </x:c>
      <x:c r="AI1146" s="32" t="n">
        <x:f>(Z1146+tun_ElderCommons*INDEX(LM_Elder,G1146)*AA1146)*AH1146</x:f>
        <x:v>238215.0665857503</x:v>
      </x:c>
      <x:c r="AJ1146" s="32" t="n">
        <x:f>H1146*tun_CommonsCoef*AI1146^tun_CommonsExp*INDEX(LM_Commons,G1146)</x:f>
        <x:v>0</x:v>
      </x:c>
      <x:c r="AK1146" s="32" t="n">
        <x:f>H1146*tun_RoleScale*Arch_Roles*(AE1146*(INDEX(tun_ElderRolePerSett,G1146)*tun_OutElder*INDEX(LM_Elder,G1146)+INDEX(tun_ShamanPerSett,G1146)*tun_OutShaman)+Z1146*(INDEX(tun_PriestShare,G1146)*tun_OutPriest+INDEX(tun_ScribeShare,G1146)*tun_OutScribe*INDEX(LM_Scribe,G1146)+INDEX(tun_ScholarShare,G1146)*tun_OutScholar*INDEX(LM_Scholar,G1146)+INDEX(tun_ResearcherShare,G1146)*tun_OutResearcher*INDEX(LM_Researcher,G1146)))</x:f>
        <x:v>0</x:v>
      </x:c>
      <x:c r="AL1146" s="32" t="n">
        <x:f>H1146*tun_RoleScale*Arch_Roles*AE1146*INDEX(tun_MonasteryPerSett,G1146)*tun_OutMonastery*INDEX(LM_Monastery,G1146)</x:f>
        <x:v>0</x:v>
      </x:c>
      <x:c r="AM1146" s="32" t="n">
        <x:f>(AJ1146+AK1146+AL1146)/4*INDEX(LM_All,G1146)*INDEX(tun_Boon,G1146)*Arch_Insight</x:f>
        <x:v>0</x:v>
      </x:c>
      <x:c r="AN1146" s="32" t="n">
        <x:f>H1146*(tun_KHPerAdult*Z1146+tun_KHOfCommons*AJ1146/4*INDEX(LM_All,G1146))*tun_KHUsable*Arch_KH</x:f>
        <x:v>0</x:v>
      </x:c>
      <x:c r="AO1146" s="32" t="n">
        <x:f>MIN(AP1145+AN1146,AM1146*tun_KHMaxRatio)</x:f>
        <x:v>0</x:v>
      </x:c>
      <x:c r="AP1146" s="32" t="n">
        <x:f>AP1145+AN1146-AO1146</x:f>
        <x:v>0</x:v>
      </x:c>
      <x:c r="AQ1146" s="32" t="n">
        <x:f>AM1146+AO1146</x:f>
        <x:v>0</x:v>
      </x:c>
      <x:c r="AR1146" s="10" t="n">
        <x:f>IF(H1146=1,INDEX(tun_Req,G1146),0)</x:f>
        <x:v>0</x:v>
      </x:c>
      <x:c r="AS1146" s="32" t="n">
        <x:f>IF(H1146=1,IF(E1146=1,AS1145-AR1145,AS1145)+AQ1146,0)</x:f>
        <x:v>0</x:v>
      </x:c>
      <x:c r="AT1146" s="11" t="n">
        <x:f>IF(AR1146&gt;0,MIN(1,AS1146/AR1146),1)</x:f>
        <x:v>1</x:v>
      </x:c>
      <x:c r="AU1146" s="10" t="n">
        <x:f>AB1146/INDEX(tun_RepScale,G1146)</x:f>
        <x:v>290.3368848566301</x:v>
      </x:c>
      <x:c r="AV1146" s="32" t="n">
        <x:f>AM1146*60/tun_SeasonSeconds</x:f>
        <x:v>0</x:v>
      </x:c>
    </x:row>
    <x:row r="1147">
      <x:c r="A1147" s="8" t="n">
        <x:f>A1146+1</x:f>
        <x:v>1144</x:v>
      </x:c>
      <x:c r="B1147" s="9" t="n">
        <x:f>A1147*tun_SeasonSeconds/60</x:f>
        <x:v>286</x:v>
      </x:c>
      <x:c r="C1147" s="9" t="n">
        <x:f>A1147/4</x:f>
        <x:v>286</x:v>
      </x:c>
      <x:c r="D1147" s="8" t="n">
        <x:f>IF(MOD(A1147,4)=0,1,0)</x:f>
        <x:v>1</x:v>
      </x:c>
      <x:c r="E1147" s="8" t="n">
        <x:f>IF(AND(F1146&lt;=9,AS1146&gt;=AR1146),1,0)</x:f>
        <x:v>0</x:v>
      </x:c>
      <x:c r="F1147" s="8" t="n">
        <x:f>MIN(10,F1146+E1147)</x:f>
        <x:v>10</x:v>
      </x:c>
      <x:c r="G1147" s="8" t="n">
        <x:f>MIN(F1147,9)+1</x:f>
        <x:v>10</x:v>
      </x:c>
      <x:c r="H1147" s="8" t="n">
        <x:f>IF(F1147&lt;=9,1,0)</x:f>
        <x:v>0</x:v>
      </x:c>
      <x:c r="I1147" s="9" t="n">
        <x:f>MIN(10,F1146+IF(AR1146&gt;0,MIN(1,AS1146/AR1146),1))</x:f>
        <x:v>10</x:v>
      </x:c>
      <x:c r="J1147" s="32" t="n">
        <x:f>INDEX(tun_FoodCap,G1147)*Arch_FoodCap*EXP(tun_CapsByProject*SUMPRODUCT((Cap_Point&lt;=I1147)*(Cap_Kind="Food")*Cap_Ln))</x:f>
        <x:v>18627.260449441455</x:v>
      </x:c>
      <x:c r="K1147" s="32" t="n">
        <x:f>J1147*MIN(1,tun_LeanBase*EXP(tun_CapsByProject*SUMPRODUCT((Cap_Point&lt;=I1147)*(Cap_Kind="Lean")*Cap_Ln)))</x:f>
        <x:v>18627.260449441455</x:v>
      </x:c>
      <x:c r="L1147" s="10" t="n">
        <x:f>INDEX(tun_HousingCap,G1147)*EXP(tun_CapsByProject*SUMPRODUCT((Cap_Point&lt;=I1147)*(Cap_Kind="Housing")*Cap_Ln))</x:f>
        <x:v>20528.974303173167</x:v>
      </x:c>
      <x:c r="M1147" s="10" t="n">
        <x:f>INDEX(tun_GroupCap,G1147)*tun_CohesionFactor*EXP(tun_CapsByProject*SUMPRODUCT((Cap_Point&lt;=I1147)*(Cap_Kind="Group")*Cap_Ln))</x:f>
        <x:v>1000000.000000001</x:v>
      </x:c>
      <x:c r="N1147" s="32" t="n">
        <x:f>MIN(J1147,L1147,M1147)</x:f>
        <x:v>18627.260449441455</x:v>
      </x:c>
      <x:c r="O1147" s="10" t="n">
        <x:f>AE1146*N1147</x:f>
        <x:v>167645.34404497308</x:v>
      </x:c>
      <x:c r="P1147" s="9" t="n">
        <x:f>MIN(1,(AB1146/(AE1146*IF(tun_GroupInCrowding=1,N1147,MIN(J1147,L1147))))^tun_CrowdingExp)</x:f>
        <x:v>0.4215841981292809</x:v>
      </x:c>
      <x:c r="Q1147" s="9" t="n">
        <x:f>IF(D1147=1,INDEX(tun_WinterMult,G1147),1)</x:f>
        <x:v>1.05</x:v>
      </x:c>
      <x:c r="R1147" s="9" t="n">
        <x:f>H1147*Z1146*tun_WomenShare*tun_BaseFertility*INDEX(tun_FertMult,G1147)*Arch_Fertility*(1-P1147)</x:f>
        <x:v>0</x:v>
      </x:c>
      <x:c r="S1147" s="9" t="n">
        <x:f>H1147*Y1146*INDEX(tun_MortChild,G1147)/4*Q1147</x:f>
        <x:v>0</x:v>
      </x:c>
      <x:c r="T1147" s="9" t="n">
        <x:f>H1147*Z1146*INDEX(tun_MortAdult,G1147)*Arch_AdultMort/4*Q1147</x:f>
        <x:v>0</x:v>
      </x:c>
      <x:c r="U1147" s="9" t="n">
        <x:f>H1147*AA1146*INDEX(tun_MortElder,G1147)/4*Q1147</x:f>
        <x:v>0</x:v>
      </x:c>
      <x:c r="V1147" s="9" t="n">
        <x:f>H1147*MAX(0,AB1146-O1147)*tun_OvercapLoss</x:f>
        <x:v>0</x:v>
      </x:c>
      <x:c r="W1147" s="9" t="n">
        <x:f>H1147*Y1146/(tun_ChildYears*4)</x:f>
        <x:v>0</x:v>
      </x:c>
      <x:c r="X1147" s="9" t="n">
        <x:f>H1147*Z1146/(tun_AdultYears*4)</x:f>
        <x:v>0</x:v>
      </x:c>
      <x:c r="Y1147" s="32" t="n">
        <x:f>Y1146+R1147-S1147-W1147-Y1146*V1147/AB1146</x:f>
        <x:v>40496.20709015643</x:v>
      </x:c>
      <x:c r="Z1147" s="32" t="n">
        <x:f>Z1146+W1147-X1147-T1147-Z1146*V1147/AB1146</x:f>
        <x:v>59141.61122890803</x:v>
      </x:c>
      <x:c r="AA1147" s="32" t="n">
        <x:f>AA1146+X1147-U1147-AA1146*V1147/AB1146</x:f>
        <x:v>45530.62410925061</x:v>
      </x:c>
      <x:c r="AB1147" s="10" t="n">
        <x:f>Y1147+Z1147+AA1147</x:f>
        <x:v>145168.44242831506</x:v>
      </x:c>
      <x:c r="AC1147" s="8" t="n">
        <x:f>IF(AND(tun_WinterTrigger=1,D1147=1,AB1146/AE1146&gt;=K1147),1,0)</x:f>
        <x:v>0</x:v>
      </x:c>
      <x:c r="AD1147" s="8" t="n">
        <x:f>H1147*IF(AND(OR(AB1146/AE1146&gt;=tun_FissionTrigger*N1147,AC1147=1),AB1146/AE1146*tun_DaughterShare&gt;=tun_MinDaughter),MAX(1,ROUND(AE1146*tun_FissionRate,0)),0)</x:f>
        <x:v>0</x:v>
      </x:c>
      <x:c r="AE1147" s="8" t="n">
        <x:f>IF(H1147=1,MAX(1,MIN(INDEX(tun_Smax,G1147),AE1146+AD1147)),AE1146)</x:f>
        <x:v>9</x:v>
      </x:c>
      <x:c r="AF1147" s="8" t="n">
        <x:f>MAX(0,AE1147-AE1146)</x:f>
        <x:v>0</x:v>
      </x:c>
      <x:c r="AG1147" s="9" t="str">
        <x:f>IF(AF1147&gt;0,B1147,"")</x:f>
      </x:c>
      <x:c r="AH1147" s="9" t="n">
        <x:f>IF(F1147&gt;=1,1,(1+tun_LowTiesShare*(AE1147-1))/AE1147)</x:f>
        <x:v>1</x:v>
      </x:c>
      <x:c r="AI1147" s="32" t="n">
        <x:f>(Z1147+tun_ElderCommons*INDEX(LM_Elder,G1147)*AA1147)*AH1147</x:f>
        <x:v>238215.0665857503</x:v>
      </x:c>
      <x:c r="AJ1147" s="32" t="n">
        <x:f>H1147*tun_CommonsCoef*AI1147^tun_CommonsExp*INDEX(LM_Commons,G1147)</x:f>
        <x:v>0</x:v>
      </x:c>
      <x:c r="AK1147" s="32" t="n">
        <x:f>H1147*tun_RoleScale*Arch_Roles*(AE1147*(INDEX(tun_ElderRolePerSett,G1147)*tun_OutElder*INDEX(LM_Elder,G1147)+INDEX(tun_ShamanPerSett,G1147)*tun_OutShaman)+Z1147*(INDEX(tun_PriestShare,G1147)*tun_OutPriest+INDEX(tun_ScribeShare,G1147)*tun_OutScribe*INDEX(LM_Scribe,G1147)+INDEX(tun_ScholarShare,G1147)*tun_OutScholar*INDEX(LM_Scholar,G1147)+INDEX(tun_ResearcherShare,G1147)*tun_OutResearcher*INDEX(LM_Researcher,G1147)))</x:f>
        <x:v>0</x:v>
      </x:c>
      <x:c r="AL1147" s="32" t="n">
        <x:f>H1147*tun_RoleScale*Arch_Roles*AE1147*INDEX(tun_MonasteryPerSett,G1147)*tun_OutMonastery*INDEX(LM_Monastery,G1147)</x:f>
        <x:v>0</x:v>
      </x:c>
      <x:c r="AM1147" s="32" t="n">
        <x:f>(AJ1147+AK1147+AL1147)/4*INDEX(LM_All,G1147)*INDEX(tun_Boon,G1147)*Arch_Insight</x:f>
        <x:v>0</x:v>
      </x:c>
      <x:c r="AN1147" s="32" t="n">
        <x:f>H1147*(tun_KHPerAdult*Z1147+tun_KHOfCommons*AJ1147/4*INDEX(LM_All,G1147))*tun_KHUsable*Arch_KH</x:f>
        <x:v>0</x:v>
      </x:c>
      <x:c r="AO1147" s="32" t="n">
        <x:f>MIN(AP1146+AN1147,AM1147*tun_KHMaxRatio)</x:f>
        <x:v>0</x:v>
      </x:c>
      <x:c r="AP1147" s="32" t="n">
        <x:f>AP1146+AN1147-AO1147</x:f>
        <x:v>0</x:v>
      </x:c>
      <x:c r="AQ1147" s="32" t="n">
        <x:f>AM1147+AO1147</x:f>
        <x:v>0</x:v>
      </x:c>
      <x:c r="AR1147" s="10" t="n">
        <x:f>IF(H1147=1,INDEX(tun_Req,G1147),0)</x:f>
        <x:v>0</x:v>
      </x:c>
      <x:c r="AS1147" s="32" t="n">
        <x:f>IF(H1147=1,IF(E1147=1,AS1146-AR1146,AS1146)+AQ1147,0)</x:f>
        <x:v>0</x:v>
      </x:c>
      <x:c r="AT1147" s="11" t="n">
        <x:f>IF(AR1147&gt;0,MIN(1,AS1147/AR1147),1)</x:f>
        <x:v>1</x:v>
      </x:c>
      <x:c r="AU1147" s="10" t="n">
        <x:f>AB1147/INDEX(tun_RepScale,G1147)</x:f>
        <x:v>290.3368848566301</x:v>
      </x:c>
      <x:c r="AV1147" s="32" t="n">
        <x:f>AM1147*60/tun_SeasonSeconds</x:f>
        <x:v>0</x:v>
      </x:c>
    </x:row>
    <x:row r="1148">
      <x:c r="A1148" s="8" t="n">
        <x:f>A1147+1</x:f>
        <x:v>1145</x:v>
      </x:c>
      <x:c r="B1148" s="9" t="n">
        <x:f>A1148*tun_SeasonSeconds/60</x:f>
        <x:v>286.25</x:v>
      </x:c>
      <x:c r="C1148" s="9" t="n">
        <x:f>A1148/4</x:f>
        <x:v>286.25</x:v>
      </x:c>
      <x:c r="D1148" s="8" t="n">
        <x:f>IF(MOD(A1148,4)=0,1,0)</x:f>
        <x:v>0</x:v>
      </x:c>
      <x:c r="E1148" s="8" t="n">
        <x:f>IF(AND(F1147&lt;=9,AS1147&gt;=AR1147),1,0)</x:f>
        <x:v>0</x:v>
      </x:c>
      <x:c r="F1148" s="8" t="n">
        <x:f>MIN(10,F1147+E1148)</x:f>
        <x:v>10</x:v>
      </x:c>
      <x:c r="G1148" s="8" t="n">
        <x:f>MIN(F1148,9)+1</x:f>
        <x:v>10</x:v>
      </x:c>
      <x:c r="H1148" s="8" t="n">
        <x:f>IF(F1148&lt;=9,1,0)</x:f>
        <x:v>0</x:v>
      </x:c>
      <x:c r="I1148" s="9" t="n">
        <x:f>MIN(10,F1147+IF(AR1147&gt;0,MIN(1,AS1147/AR1147),1))</x:f>
        <x:v>10</x:v>
      </x:c>
      <x:c r="J1148" s="32" t="n">
        <x:f>INDEX(tun_FoodCap,G1148)*Arch_FoodCap*EXP(tun_CapsByProject*SUMPRODUCT((Cap_Point&lt;=I1148)*(Cap_Kind="Food")*Cap_Ln))</x:f>
        <x:v>18627.260449441455</x:v>
      </x:c>
      <x:c r="K1148" s="32" t="n">
        <x:f>J1148*MIN(1,tun_LeanBase*EXP(tun_CapsByProject*SUMPRODUCT((Cap_Point&lt;=I1148)*(Cap_Kind="Lean")*Cap_Ln)))</x:f>
        <x:v>18627.260449441455</x:v>
      </x:c>
      <x:c r="L1148" s="10" t="n">
        <x:f>INDEX(tun_HousingCap,G1148)*EXP(tun_CapsByProject*SUMPRODUCT((Cap_Point&lt;=I1148)*(Cap_Kind="Housing")*Cap_Ln))</x:f>
        <x:v>20528.974303173167</x:v>
      </x:c>
      <x:c r="M1148" s="10" t="n">
        <x:f>INDEX(tun_GroupCap,G1148)*tun_CohesionFactor*EXP(tun_CapsByProject*SUMPRODUCT((Cap_Point&lt;=I1148)*(Cap_Kind="Group")*Cap_Ln))</x:f>
        <x:v>1000000.000000001</x:v>
      </x:c>
      <x:c r="N1148" s="32" t="n">
        <x:f>MIN(J1148,L1148,M1148)</x:f>
        <x:v>18627.260449441455</x:v>
      </x:c>
      <x:c r="O1148" s="10" t="n">
        <x:f>AE1147*N1148</x:f>
        <x:v>167645.34404497308</x:v>
      </x:c>
      <x:c r="P1148" s="9" t="n">
        <x:f>MIN(1,(AB1147/(AE1147*IF(tun_GroupInCrowding=1,N1148,MIN(J1148,L1148))))^tun_CrowdingExp)</x:f>
        <x:v>0.4215841981292809</x:v>
      </x:c>
      <x:c r="Q1148" s="9" t="n">
        <x:f>IF(D1148=1,INDEX(tun_WinterMult,G1148),1)</x:f>
        <x:v>1</x:v>
      </x:c>
      <x:c r="R1148" s="9" t="n">
        <x:f>H1148*Z1147*tun_WomenShare*tun_BaseFertility*INDEX(tun_FertMult,G1148)*Arch_Fertility*(1-P1148)</x:f>
        <x:v>0</x:v>
      </x:c>
      <x:c r="S1148" s="9" t="n">
        <x:f>H1148*Y1147*INDEX(tun_MortChild,G1148)/4*Q1148</x:f>
        <x:v>0</x:v>
      </x:c>
      <x:c r="T1148" s="9" t="n">
        <x:f>H1148*Z1147*INDEX(tun_MortAdult,G1148)*Arch_AdultMort/4*Q1148</x:f>
        <x:v>0</x:v>
      </x:c>
      <x:c r="U1148" s="9" t="n">
        <x:f>H1148*AA1147*INDEX(tun_MortElder,G1148)/4*Q1148</x:f>
        <x:v>0</x:v>
      </x:c>
      <x:c r="V1148" s="9" t="n">
        <x:f>H1148*MAX(0,AB1147-O1148)*tun_OvercapLoss</x:f>
        <x:v>0</x:v>
      </x:c>
      <x:c r="W1148" s="9" t="n">
        <x:f>H1148*Y1147/(tun_ChildYears*4)</x:f>
        <x:v>0</x:v>
      </x:c>
      <x:c r="X1148" s="9" t="n">
        <x:f>H1148*Z1147/(tun_AdultYears*4)</x:f>
        <x:v>0</x:v>
      </x:c>
      <x:c r="Y1148" s="32" t="n">
        <x:f>Y1147+R1148-S1148-W1148-Y1147*V1148/AB1147</x:f>
        <x:v>40496.20709015643</x:v>
      </x:c>
      <x:c r="Z1148" s="32" t="n">
        <x:f>Z1147+W1148-X1148-T1148-Z1147*V1148/AB1147</x:f>
        <x:v>59141.61122890803</x:v>
      </x:c>
      <x:c r="AA1148" s="32" t="n">
        <x:f>AA1147+X1148-U1148-AA1147*V1148/AB1147</x:f>
        <x:v>45530.62410925061</x:v>
      </x:c>
      <x:c r="AB1148" s="10" t="n">
        <x:f>Y1148+Z1148+AA1148</x:f>
        <x:v>145168.44242831506</x:v>
      </x:c>
      <x:c r="AC1148" s="8" t="n">
        <x:f>IF(AND(tun_WinterTrigger=1,D1148=1,AB1147/AE1147&gt;=K1148),1,0)</x:f>
        <x:v>0</x:v>
      </x:c>
      <x:c r="AD1148" s="8" t="n">
        <x:f>H1148*IF(AND(OR(AB1147/AE1147&gt;=tun_FissionTrigger*N1148,AC1148=1),AB1147/AE1147*tun_DaughterShare&gt;=tun_MinDaughter),MAX(1,ROUND(AE1147*tun_FissionRate,0)),0)</x:f>
        <x:v>0</x:v>
      </x:c>
      <x:c r="AE1148" s="8" t="n">
        <x:f>IF(H1148=1,MAX(1,MIN(INDEX(tun_Smax,G1148),AE1147+AD1148)),AE1147)</x:f>
        <x:v>9</x:v>
      </x:c>
      <x:c r="AF1148" s="8" t="n">
        <x:f>MAX(0,AE1148-AE1147)</x:f>
        <x:v>0</x:v>
      </x:c>
      <x:c r="AG1148" s="9" t="str">
        <x:f>IF(AF1148&gt;0,B1148,"")</x:f>
      </x:c>
      <x:c r="AH1148" s="9" t="n">
        <x:f>IF(F1148&gt;=1,1,(1+tun_LowTiesShare*(AE1148-1))/AE1148)</x:f>
        <x:v>1</x:v>
      </x:c>
      <x:c r="AI1148" s="32" t="n">
        <x:f>(Z1148+tun_ElderCommons*INDEX(LM_Elder,G1148)*AA1148)*AH1148</x:f>
        <x:v>238215.0665857503</x:v>
      </x:c>
      <x:c r="AJ1148" s="32" t="n">
        <x:f>H1148*tun_CommonsCoef*AI1148^tun_CommonsExp*INDEX(LM_Commons,G1148)</x:f>
        <x:v>0</x:v>
      </x:c>
      <x:c r="AK1148" s="32" t="n">
        <x:f>H1148*tun_RoleScale*Arch_Roles*(AE1148*(INDEX(tun_ElderRolePerSett,G1148)*tun_OutElder*INDEX(LM_Elder,G1148)+INDEX(tun_ShamanPerSett,G1148)*tun_OutShaman)+Z1148*(INDEX(tun_PriestShare,G1148)*tun_OutPriest+INDEX(tun_ScribeShare,G1148)*tun_OutScribe*INDEX(LM_Scribe,G1148)+INDEX(tun_ScholarShare,G1148)*tun_OutScholar*INDEX(LM_Scholar,G1148)+INDEX(tun_ResearcherShare,G1148)*tun_OutResearcher*INDEX(LM_Researcher,G1148)))</x:f>
        <x:v>0</x:v>
      </x:c>
      <x:c r="AL1148" s="32" t="n">
        <x:f>H1148*tun_RoleScale*Arch_Roles*AE1148*INDEX(tun_MonasteryPerSett,G1148)*tun_OutMonastery*INDEX(LM_Monastery,G1148)</x:f>
        <x:v>0</x:v>
      </x:c>
      <x:c r="AM1148" s="32" t="n">
        <x:f>(AJ1148+AK1148+AL1148)/4*INDEX(LM_All,G1148)*INDEX(tun_Boon,G1148)*Arch_Insight</x:f>
        <x:v>0</x:v>
      </x:c>
      <x:c r="AN1148" s="32" t="n">
        <x:f>H1148*(tun_KHPerAdult*Z1148+tun_KHOfCommons*AJ1148/4*INDEX(LM_All,G1148))*tun_KHUsable*Arch_KH</x:f>
        <x:v>0</x:v>
      </x:c>
      <x:c r="AO1148" s="32" t="n">
        <x:f>MIN(AP1147+AN1148,AM1148*tun_KHMaxRatio)</x:f>
        <x:v>0</x:v>
      </x:c>
      <x:c r="AP1148" s="32" t="n">
        <x:f>AP1147+AN1148-AO1148</x:f>
        <x:v>0</x:v>
      </x:c>
      <x:c r="AQ1148" s="32" t="n">
        <x:f>AM1148+AO1148</x:f>
        <x:v>0</x:v>
      </x:c>
      <x:c r="AR1148" s="10" t="n">
        <x:f>IF(H1148=1,INDEX(tun_Req,G1148),0)</x:f>
        <x:v>0</x:v>
      </x:c>
      <x:c r="AS1148" s="32" t="n">
        <x:f>IF(H1148=1,IF(E1148=1,AS1147-AR1147,AS1147)+AQ1148,0)</x:f>
        <x:v>0</x:v>
      </x:c>
      <x:c r="AT1148" s="11" t="n">
        <x:f>IF(AR1148&gt;0,MIN(1,AS1148/AR1148),1)</x:f>
        <x:v>1</x:v>
      </x:c>
      <x:c r="AU1148" s="10" t="n">
        <x:f>AB1148/INDEX(tun_RepScale,G1148)</x:f>
        <x:v>290.3368848566301</x:v>
      </x:c>
      <x:c r="AV1148" s="32" t="n">
        <x:f>AM1148*60/tun_SeasonSeconds</x:f>
        <x:v>0</x:v>
      </x:c>
    </x:row>
    <x:row r="1149">
      <x:c r="A1149" s="8" t="n">
        <x:f>A1148+1</x:f>
        <x:v>1146</x:v>
      </x:c>
      <x:c r="B1149" s="9" t="n">
        <x:f>A1149*tun_SeasonSeconds/60</x:f>
        <x:v>286.5</x:v>
      </x:c>
      <x:c r="C1149" s="9" t="n">
        <x:f>A1149/4</x:f>
        <x:v>286.5</x:v>
      </x:c>
      <x:c r="D1149" s="8" t="n">
        <x:f>IF(MOD(A1149,4)=0,1,0)</x:f>
        <x:v>0</x:v>
      </x:c>
      <x:c r="E1149" s="8" t="n">
        <x:f>IF(AND(F1148&lt;=9,AS1148&gt;=AR1148),1,0)</x:f>
        <x:v>0</x:v>
      </x:c>
      <x:c r="F1149" s="8" t="n">
        <x:f>MIN(10,F1148+E1149)</x:f>
        <x:v>10</x:v>
      </x:c>
      <x:c r="G1149" s="8" t="n">
        <x:f>MIN(F1149,9)+1</x:f>
        <x:v>10</x:v>
      </x:c>
      <x:c r="H1149" s="8" t="n">
        <x:f>IF(F1149&lt;=9,1,0)</x:f>
        <x:v>0</x:v>
      </x:c>
      <x:c r="I1149" s="9" t="n">
        <x:f>MIN(10,F1148+IF(AR1148&gt;0,MIN(1,AS1148/AR1148),1))</x:f>
        <x:v>10</x:v>
      </x:c>
      <x:c r="J1149" s="32" t="n">
        <x:f>INDEX(tun_FoodCap,G1149)*Arch_FoodCap*EXP(tun_CapsByProject*SUMPRODUCT((Cap_Point&lt;=I1149)*(Cap_Kind="Food")*Cap_Ln))</x:f>
        <x:v>18627.260449441455</x:v>
      </x:c>
      <x:c r="K1149" s="32" t="n">
        <x:f>J1149*MIN(1,tun_LeanBase*EXP(tun_CapsByProject*SUMPRODUCT((Cap_Point&lt;=I1149)*(Cap_Kind="Lean")*Cap_Ln)))</x:f>
        <x:v>18627.260449441455</x:v>
      </x:c>
      <x:c r="L1149" s="10" t="n">
        <x:f>INDEX(tun_HousingCap,G1149)*EXP(tun_CapsByProject*SUMPRODUCT((Cap_Point&lt;=I1149)*(Cap_Kind="Housing")*Cap_Ln))</x:f>
        <x:v>20528.974303173167</x:v>
      </x:c>
      <x:c r="M1149" s="10" t="n">
        <x:f>INDEX(tun_GroupCap,G1149)*tun_CohesionFactor*EXP(tun_CapsByProject*SUMPRODUCT((Cap_Point&lt;=I1149)*(Cap_Kind="Group")*Cap_Ln))</x:f>
        <x:v>1000000.000000001</x:v>
      </x:c>
      <x:c r="N1149" s="32" t="n">
        <x:f>MIN(J1149,L1149,M1149)</x:f>
        <x:v>18627.260449441455</x:v>
      </x:c>
      <x:c r="O1149" s="10" t="n">
        <x:f>AE1148*N1149</x:f>
        <x:v>167645.34404497308</x:v>
      </x:c>
      <x:c r="P1149" s="9" t="n">
        <x:f>MIN(1,(AB1148/(AE1148*IF(tun_GroupInCrowding=1,N1149,MIN(J1149,L1149))))^tun_CrowdingExp)</x:f>
        <x:v>0.4215841981292809</x:v>
      </x:c>
      <x:c r="Q1149" s="9" t="n">
        <x:f>IF(D1149=1,INDEX(tun_WinterMult,G1149),1)</x:f>
        <x:v>1</x:v>
      </x:c>
      <x:c r="R1149" s="9" t="n">
        <x:f>H1149*Z1148*tun_WomenShare*tun_BaseFertility*INDEX(tun_FertMult,G1149)*Arch_Fertility*(1-P1149)</x:f>
        <x:v>0</x:v>
      </x:c>
      <x:c r="S1149" s="9" t="n">
        <x:f>H1149*Y1148*INDEX(tun_MortChild,G1149)/4*Q1149</x:f>
        <x:v>0</x:v>
      </x:c>
      <x:c r="T1149" s="9" t="n">
        <x:f>H1149*Z1148*INDEX(tun_MortAdult,G1149)*Arch_AdultMort/4*Q1149</x:f>
        <x:v>0</x:v>
      </x:c>
      <x:c r="U1149" s="9" t="n">
        <x:f>H1149*AA1148*INDEX(tun_MortElder,G1149)/4*Q1149</x:f>
        <x:v>0</x:v>
      </x:c>
      <x:c r="V1149" s="9" t="n">
        <x:f>H1149*MAX(0,AB1148-O1149)*tun_OvercapLoss</x:f>
        <x:v>0</x:v>
      </x:c>
      <x:c r="W1149" s="9" t="n">
        <x:f>H1149*Y1148/(tun_ChildYears*4)</x:f>
        <x:v>0</x:v>
      </x:c>
      <x:c r="X1149" s="9" t="n">
        <x:f>H1149*Z1148/(tun_AdultYears*4)</x:f>
        <x:v>0</x:v>
      </x:c>
      <x:c r="Y1149" s="32" t="n">
        <x:f>Y1148+R1149-S1149-W1149-Y1148*V1149/AB1148</x:f>
        <x:v>40496.20709015643</x:v>
      </x:c>
      <x:c r="Z1149" s="32" t="n">
        <x:f>Z1148+W1149-X1149-T1149-Z1148*V1149/AB1148</x:f>
        <x:v>59141.61122890803</x:v>
      </x:c>
      <x:c r="AA1149" s="32" t="n">
        <x:f>AA1148+X1149-U1149-AA1148*V1149/AB1148</x:f>
        <x:v>45530.62410925061</x:v>
      </x:c>
      <x:c r="AB1149" s="10" t="n">
        <x:f>Y1149+Z1149+AA1149</x:f>
        <x:v>145168.44242831506</x:v>
      </x:c>
      <x:c r="AC1149" s="8" t="n">
        <x:f>IF(AND(tun_WinterTrigger=1,D1149=1,AB1148/AE1148&gt;=K1149),1,0)</x:f>
        <x:v>0</x:v>
      </x:c>
      <x:c r="AD1149" s="8" t="n">
        <x:f>H1149*IF(AND(OR(AB1148/AE1148&gt;=tun_FissionTrigger*N1149,AC1149=1),AB1148/AE1148*tun_DaughterShare&gt;=tun_MinDaughter),MAX(1,ROUND(AE1148*tun_FissionRate,0)),0)</x:f>
        <x:v>0</x:v>
      </x:c>
      <x:c r="AE1149" s="8" t="n">
        <x:f>IF(H1149=1,MAX(1,MIN(INDEX(tun_Smax,G1149),AE1148+AD1149)),AE1148)</x:f>
        <x:v>9</x:v>
      </x:c>
      <x:c r="AF1149" s="8" t="n">
        <x:f>MAX(0,AE1149-AE1148)</x:f>
        <x:v>0</x:v>
      </x:c>
      <x:c r="AG1149" s="9" t="str">
        <x:f>IF(AF1149&gt;0,B1149,"")</x:f>
      </x:c>
      <x:c r="AH1149" s="9" t="n">
        <x:f>IF(F1149&gt;=1,1,(1+tun_LowTiesShare*(AE1149-1))/AE1149)</x:f>
        <x:v>1</x:v>
      </x:c>
      <x:c r="AI1149" s="32" t="n">
        <x:f>(Z1149+tun_ElderCommons*INDEX(LM_Elder,G1149)*AA1149)*AH1149</x:f>
        <x:v>238215.0665857503</x:v>
      </x:c>
      <x:c r="AJ1149" s="32" t="n">
        <x:f>H1149*tun_CommonsCoef*AI1149^tun_CommonsExp*INDEX(LM_Commons,G1149)</x:f>
        <x:v>0</x:v>
      </x:c>
      <x:c r="AK1149" s="32" t="n">
        <x:f>H1149*tun_RoleScale*Arch_Roles*(AE1149*(INDEX(tun_ElderRolePerSett,G1149)*tun_OutElder*INDEX(LM_Elder,G1149)+INDEX(tun_ShamanPerSett,G1149)*tun_OutShaman)+Z1149*(INDEX(tun_PriestShare,G1149)*tun_OutPriest+INDEX(tun_ScribeShare,G1149)*tun_OutScribe*INDEX(LM_Scribe,G1149)+INDEX(tun_ScholarShare,G1149)*tun_OutScholar*INDEX(LM_Scholar,G1149)+INDEX(tun_ResearcherShare,G1149)*tun_OutResearcher*INDEX(LM_Researcher,G1149)))</x:f>
        <x:v>0</x:v>
      </x:c>
      <x:c r="AL1149" s="32" t="n">
        <x:f>H1149*tun_RoleScale*Arch_Roles*AE1149*INDEX(tun_MonasteryPerSett,G1149)*tun_OutMonastery*INDEX(LM_Monastery,G1149)</x:f>
        <x:v>0</x:v>
      </x:c>
      <x:c r="AM1149" s="32" t="n">
        <x:f>(AJ1149+AK1149+AL1149)/4*INDEX(LM_All,G1149)*INDEX(tun_Boon,G1149)*Arch_Insight</x:f>
        <x:v>0</x:v>
      </x:c>
      <x:c r="AN1149" s="32" t="n">
        <x:f>H1149*(tun_KHPerAdult*Z1149+tun_KHOfCommons*AJ1149/4*INDEX(LM_All,G1149))*tun_KHUsable*Arch_KH</x:f>
        <x:v>0</x:v>
      </x:c>
      <x:c r="AO1149" s="32" t="n">
        <x:f>MIN(AP1148+AN1149,AM1149*tun_KHMaxRatio)</x:f>
        <x:v>0</x:v>
      </x:c>
      <x:c r="AP1149" s="32" t="n">
        <x:f>AP1148+AN1149-AO1149</x:f>
        <x:v>0</x:v>
      </x:c>
      <x:c r="AQ1149" s="32" t="n">
        <x:f>AM1149+AO1149</x:f>
        <x:v>0</x:v>
      </x:c>
      <x:c r="AR1149" s="10" t="n">
        <x:f>IF(H1149=1,INDEX(tun_Req,G1149),0)</x:f>
        <x:v>0</x:v>
      </x:c>
      <x:c r="AS1149" s="32" t="n">
        <x:f>IF(H1149=1,IF(E1149=1,AS1148-AR1148,AS1148)+AQ1149,0)</x:f>
        <x:v>0</x:v>
      </x:c>
      <x:c r="AT1149" s="11" t="n">
        <x:f>IF(AR1149&gt;0,MIN(1,AS1149/AR1149),1)</x:f>
        <x:v>1</x:v>
      </x:c>
      <x:c r="AU1149" s="10" t="n">
        <x:f>AB1149/INDEX(tun_RepScale,G1149)</x:f>
        <x:v>290.3368848566301</x:v>
      </x:c>
      <x:c r="AV1149" s="32" t="n">
        <x:f>AM1149*60/tun_SeasonSeconds</x:f>
        <x:v>0</x:v>
      </x:c>
    </x:row>
    <x:row r="1150">
      <x:c r="A1150" s="8" t="n">
        <x:f>A1149+1</x:f>
        <x:v>1147</x:v>
      </x:c>
      <x:c r="B1150" s="9" t="n">
        <x:f>A1150*tun_SeasonSeconds/60</x:f>
        <x:v>286.75</x:v>
      </x:c>
      <x:c r="C1150" s="9" t="n">
        <x:f>A1150/4</x:f>
        <x:v>286.75</x:v>
      </x:c>
      <x:c r="D1150" s="8" t="n">
        <x:f>IF(MOD(A1150,4)=0,1,0)</x:f>
        <x:v>0</x:v>
      </x:c>
      <x:c r="E1150" s="8" t="n">
        <x:f>IF(AND(F1149&lt;=9,AS1149&gt;=AR1149),1,0)</x:f>
        <x:v>0</x:v>
      </x:c>
      <x:c r="F1150" s="8" t="n">
        <x:f>MIN(10,F1149+E1150)</x:f>
        <x:v>10</x:v>
      </x:c>
      <x:c r="G1150" s="8" t="n">
        <x:f>MIN(F1150,9)+1</x:f>
        <x:v>10</x:v>
      </x:c>
      <x:c r="H1150" s="8" t="n">
        <x:f>IF(F1150&lt;=9,1,0)</x:f>
        <x:v>0</x:v>
      </x:c>
      <x:c r="I1150" s="9" t="n">
        <x:f>MIN(10,F1149+IF(AR1149&gt;0,MIN(1,AS1149/AR1149),1))</x:f>
        <x:v>10</x:v>
      </x:c>
      <x:c r="J1150" s="32" t="n">
        <x:f>INDEX(tun_FoodCap,G1150)*Arch_FoodCap*EXP(tun_CapsByProject*SUMPRODUCT((Cap_Point&lt;=I1150)*(Cap_Kind="Food")*Cap_Ln))</x:f>
        <x:v>18627.260449441455</x:v>
      </x:c>
      <x:c r="K1150" s="32" t="n">
        <x:f>J1150*MIN(1,tun_LeanBase*EXP(tun_CapsByProject*SUMPRODUCT((Cap_Point&lt;=I1150)*(Cap_Kind="Lean")*Cap_Ln)))</x:f>
        <x:v>18627.260449441455</x:v>
      </x:c>
      <x:c r="L1150" s="10" t="n">
        <x:f>INDEX(tun_HousingCap,G1150)*EXP(tun_CapsByProject*SUMPRODUCT((Cap_Point&lt;=I1150)*(Cap_Kind="Housing")*Cap_Ln))</x:f>
        <x:v>20528.974303173167</x:v>
      </x:c>
      <x:c r="M1150" s="10" t="n">
        <x:f>INDEX(tun_GroupCap,G1150)*tun_CohesionFactor*EXP(tun_CapsByProject*SUMPRODUCT((Cap_Point&lt;=I1150)*(Cap_Kind="Group")*Cap_Ln))</x:f>
        <x:v>1000000.000000001</x:v>
      </x:c>
      <x:c r="N1150" s="32" t="n">
        <x:f>MIN(J1150,L1150,M1150)</x:f>
        <x:v>18627.260449441455</x:v>
      </x:c>
      <x:c r="O1150" s="10" t="n">
        <x:f>AE1149*N1150</x:f>
        <x:v>167645.34404497308</x:v>
      </x:c>
      <x:c r="P1150" s="9" t="n">
        <x:f>MIN(1,(AB1149/(AE1149*IF(tun_GroupInCrowding=1,N1150,MIN(J1150,L1150))))^tun_CrowdingExp)</x:f>
        <x:v>0.4215841981292809</x:v>
      </x:c>
      <x:c r="Q1150" s="9" t="n">
        <x:f>IF(D1150=1,INDEX(tun_WinterMult,G1150),1)</x:f>
        <x:v>1</x:v>
      </x:c>
      <x:c r="R1150" s="9" t="n">
        <x:f>H1150*Z1149*tun_WomenShare*tun_BaseFertility*INDEX(tun_FertMult,G1150)*Arch_Fertility*(1-P1150)</x:f>
        <x:v>0</x:v>
      </x:c>
      <x:c r="S1150" s="9" t="n">
        <x:f>H1150*Y1149*INDEX(tun_MortChild,G1150)/4*Q1150</x:f>
        <x:v>0</x:v>
      </x:c>
      <x:c r="T1150" s="9" t="n">
        <x:f>H1150*Z1149*INDEX(tun_MortAdult,G1150)*Arch_AdultMort/4*Q1150</x:f>
        <x:v>0</x:v>
      </x:c>
      <x:c r="U1150" s="9" t="n">
        <x:f>H1150*AA1149*INDEX(tun_MortElder,G1150)/4*Q1150</x:f>
        <x:v>0</x:v>
      </x:c>
      <x:c r="V1150" s="9" t="n">
        <x:f>H1150*MAX(0,AB1149-O1150)*tun_OvercapLoss</x:f>
        <x:v>0</x:v>
      </x:c>
      <x:c r="W1150" s="9" t="n">
        <x:f>H1150*Y1149/(tun_ChildYears*4)</x:f>
        <x:v>0</x:v>
      </x:c>
      <x:c r="X1150" s="9" t="n">
        <x:f>H1150*Z1149/(tun_AdultYears*4)</x:f>
        <x:v>0</x:v>
      </x:c>
      <x:c r="Y1150" s="32" t="n">
        <x:f>Y1149+R1150-S1150-W1150-Y1149*V1150/AB1149</x:f>
        <x:v>40496.20709015643</x:v>
      </x:c>
      <x:c r="Z1150" s="32" t="n">
        <x:f>Z1149+W1150-X1150-T1150-Z1149*V1150/AB1149</x:f>
        <x:v>59141.61122890803</x:v>
      </x:c>
      <x:c r="AA1150" s="32" t="n">
        <x:f>AA1149+X1150-U1150-AA1149*V1150/AB1149</x:f>
        <x:v>45530.62410925061</x:v>
      </x:c>
      <x:c r="AB1150" s="10" t="n">
        <x:f>Y1150+Z1150+AA1150</x:f>
        <x:v>145168.44242831506</x:v>
      </x:c>
      <x:c r="AC1150" s="8" t="n">
        <x:f>IF(AND(tun_WinterTrigger=1,D1150=1,AB1149/AE1149&gt;=K1150),1,0)</x:f>
        <x:v>0</x:v>
      </x:c>
      <x:c r="AD1150" s="8" t="n">
        <x:f>H1150*IF(AND(OR(AB1149/AE1149&gt;=tun_FissionTrigger*N1150,AC1150=1),AB1149/AE1149*tun_DaughterShare&gt;=tun_MinDaughter),MAX(1,ROUND(AE1149*tun_FissionRate,0)),0)</x:f>
        <x:v>0</x:v>
      </x:c>
      <x:c r="AE1150" s="8" t="n">
        <x:f>IF(H1150=1,MAX(1,MIN(INDEX(tun_Smax,G1150),AE1149+AD1150)),AE1149)</x:f>
        <x:v>9</x:v>
      </x:c>
      <x:c r="AF1150" s="8" t="n">
        <x:f>MAX(0,AE1150-AE1149)</x:f>
        <x:v>0</x:v>
      </x:c>
      <x:c r="AG1150" s="9" t="str">
        <x:f>IF(AF1150&gt;0,B1150,"")</x:f>
      </x:c>
      <x:c r="AH1150" s="9" t="n">
        <x:f>IF(F1150&gt;=1,1,(1+tun_LowTiesShare*(AE1150-1))/AE1150)</x:f>
        <x:v>1</x:v>
      </x:c>
      <x:c r="AI1150" s="32" t="n">
        <x:f>(Z1150+tun_ElderCommons*INDEX(LM_Elder,G1150)*AA1150)*AH1150</x:f>
        <x:v>238215.0665857503</x:v>
      </x:c>
      <x:c r="AJ1150" s="32" t="n">
        <x:f>H1150*tun_CommonsCoef*AI1150^tun_CommonsExp*INDEX(LM_Commons,G1150)</x:f>
        <x:v>0</x:v>
      </x:c>
      <x:c r="AK1150" s="32" t="n">
        <x:f>H1150*tun_RoleScale*Arch_Roles*(AE1150*(INDEX(tun_ElderRolePerSett,G1150)*tun_OutElder*INDEX(LM_Elder,G1150)+INDEX(tun_ShamanPerSett,G1150)*tun_OutShaman)+Z1150*(INDEX(tun_PriestShare,G1150)*tun_OutPriest+INDEX(tun_ScribeShare,G1150)*tun_OutScribe*INDEX(LM_Scribe,G1150)+INDEX(tun_ScholarShare,G1150)*tun_OutScholar*INDEX(LM_Scholar,G1150)+INDEX(tun_ResearcherShare,G1150)*tun_OutResearcher*INDEX(LM_Researcher,G1150)))</x:f>
        <x:v>0</x:v>
      </x:c>
      <x:c r="AL1150" s="32" t="n">
        <x:f>H1150*tun_RoleScale*Arch_Roles*AE1150*INDEX(tun_MonasteryPerSett,G1150)*tun_OutMonastery*INDEX(LM_Monastery,G1150)</x:f>
        <x:v>0</x:v>
      </x:c>
      <x:c r="AM1150" s="32" t="n">
        <x:f>(AJ1150+AK1150+AL1150)/4*INDEX(LM_All,G1150)*INDEX(tun_Boon,G1150)*Arch_Insight</x:f>
        <x:v>0</x:v>
      </x:c>
      <x:c r="AN1150" s="32" t="n">
        <x:f>H1150*(tun_KHPerAdult*Z1150+tun_KHOfCommons*AJ1150/4*INDEX(LM_All,G1150))*tun_KHUsable*Arch_KH</x:f>
        <x:v>0</x:v>
      </x:c>
      <x:c r="AO1150" s="32" t="n">
        <x:f>MIN(AP1149+AN1150,AM1150*tun_KHMaxRatio)</x:f>
        <x:v>0</x:v>
      </x:c>
      <x:c r="AP1150" s="32" t="n">
        <x:f>AP1149+AN1150-AO1150</x:f>
        <x:v>0</x:v>
      </x:c>
      <x:c r="AQ1150" s="32" t="n">
        <x:f>AM1150+AO1150</x:f>
        <x:v>0</x:v>
      </x:c>
      <x:c r="AR1150" s="10" t="n">
        <x:f>IF(H1150=1,INDEX(tun_Req,G1150),0)</x:f>
        <x:v>0</x:v>
      </x:c>
      <x:c r="AS1150" s="32" t="n">
        <x:f>IF(H1150=1,IF(E1150=1,AS1149-AR1149,AS1149)+AQ1150,0)</x:f>
        <x:v>0</x:v>
      </x:c>
      <x:c r="AT1150" s="11" t="n">
        <x:f>IF(AR1150&gt;0,MIN(1,AS1150/AR1150),1)</x:f>
        <x:v>1</x:v>
      </x:c>
      <x:c r="AU1150" s="10" t="n">
        <x:f>AB1150/INDEX(tun_RepScale,G1150)</x:f>
        <x:v>290.3368848566301</x:v>
      </x:c>
      <x:c r="AV1150" s="32" t="n">
        <x:f>AM1150*60/tun_SeasonSeconds</x:f>
        <x:v>0</x:v>
      </x:c>
    </x:row>
    <x:row r="1151">
      <x:c r="A1151" s="8" t="n">
        <x:f>A1150+1</x:f>
        <x:v>1148</x:v>
      </x:c>
      <x:c r="B1151" s="9" t="n">
        <x:f>A1151*tun_SeasonSeconds/60</x:f>
        <x:v>287</x:v>
      </x:c>
      <x:c r="C1151" s="9" t="n">
        <x:f>A1151/4</x:f>
        <x:v>287</x:v>
      </x:c>
      <x:c r="D1151" s="8" t="n">
        <x:f>IF(MOD(A1151,4)=0,1,0)</x:f>
        <x:v>1</x:v>
      </x:c>
      <x:c r="E1151" s="8" t="n">
        <x:f>IF(AND(F1150&lt;=9,AS1150&gt;=AR1150),1,0)</x:f>
        <x:v>0</x:v>
      </x:c>
      <x:c r="F1151" s="8" t="n">
        <x:f>MIN(10,F1150+E1151)</x:f>
        <x:v>10</x:v>
      </x:c>
      <x:c r="G1151" s="8" t="n">
        <x:f>MIN(F1151,9)+1</x:f>
        <x:v>10</x:v>
      </x:c>
      <x:c r="H1151" s="8" t="n">
        <x:f>IF(F1151&lt;=9,1,0)</x:f>
        <x:v>0</x:v>
      </x:c>
      <x:c r="I1151" s="9" t="n">
        <x:f>MIN(10,F1150+IF(AR1150&gt;0,MIN(1,AS1150/AR1150),1))</x:f>
        <x:v>10</x:v>
      </x:c>
      <x:c r="J1151" s="32" t="n">
        <x:f>INDEX(tun_FoodCap,G1151)*Arch_FoodCap*EXP(tun_CapsByProject*SUMPRODUCT((Cap_Point&lt;=I1151)*(Cap_Kind="Food")*Cap_Ln))</x:f>
        <x:v>18627.260449441455</x:v>
      </x:c>
      <x:c r="K1151" s="32" t="n">
        <x:f>J1151*MIN(1,tun_LeanBase*EXP(tun_CapsByProject*SUMPRODUCT((Cap_Point&lt;=I1151)*(Cap_Kind="Lean")*Cap_Ln)))</x:f>
        <x:v>18627.260449441455</x:v>
      </x:c>
      <x:c r="L1151" s="10" t="n">
        <x:f>INDEX(tun_HousingCap,G1151)*EXP(tun_CapsByProject*SUMPRODUCT((Cap_Point&lt;=I1151)*(Cap_Kind="Housing")*Cap_Ln))</x:f>
        <x:v>20528.974303173167</x:v>
      </x:c>
      <x:c r="M1151" s="10" t="n">
        <x:f>INDEX(tun_GroupCap,G1151)*tun_CohesionFactor*EXP(tun_CapsByProject*SUMPRODUCT((Cap_Point&lt;=I1151)*(Cap_Kind="Group")*Cap_Ln))</x:f>
        <x:v>1000000.000000001</x:v>
      </x:c>
      <x:c r="N1151" s="32" t="n">
        <x:f>MIN(J1151,L1151,M1151)</x:f>
        <x:v>18627.260449441455</x:v>
      </x:c>
      <x:c r="O1151" s="10" t="n">
        <x:f>AE1150*N1151</x:f>
        <x:v>167645.34404497308</x:v>
      </x:c>
      <x:c r="P1151" s="9" t="n">
        <x:f>MIN(1,(AB1150/(AE1150*IF(tun_GroupInCrowding=1,N1151,MIN(J1151,L1151))))^tun_CrowdingExp)</x:f>
        <x:v>0.4215841981292809</x:v>
      </x:c>
      <x:c r="Q1151" s="9" t="n">
        <x:f>IF(D1151=1,INDEX(tun_WinterMult,G1151),1)</x:f>
        <x:v>1.05</x:v>
      </x:c>
      <x:c r="R1151" s="9" t="n">
        <x:f>H1151*Z1150*tun_WomenShare*tun_BaseFertility*INDEX(tun_FertMult,G1151)*Arch_Fertility*(1-P1151)</x:f>
        <x:v>0</x:v>
      </x:c>
      <x:c r="S1151" s="9" t="n">
        <x:f>H1151*Y1150*INDEX(tun_MortChild,G1151)/4*Q1151</x:f>
        <x:v>0</x:v>
      </x:c>
      <x:c r="T1151" s="9" t="n">
        <x:f>H1151*Z1150*INDEX(tun_MortAdult,G1151)*Arch_AdultMort/4*Q1151</x:f>
        <x:v>0</x:v>
      </x:c>
      <x:c r="U1151" s="9" t="n">
        <x:f>H1151*AA1150*INDEX(tun_MortElder,G1151)/4*Q1151</x:f>
        <x:v>0</x:v>
      </x:c>
      <x:c r="V1151" s="9" t="n">
        <x:f>H1151*MAX(0,AB1150-O1151)*tun_OvercapLoss</x:f>
        <x:v>0</x:v>
      </x:c>
      <x:c r="W1151" s="9" t="n">
        <x:f>H1151*Y1150/(tun_ChildYears*4)</x:f>
        <x:v>0</x:v>
      </x:c>
      <x:c r="X1151" s="9" t="n">
        <x:f>H1151*Z1150/(tun_AdultYears*4)</x:f>
        <x:v>0</x:v>
      </x:c>
      <x:c r="Y1151" s="32" t="n">
        <x:f>Y1150+R1151-S1151-W1151-Y1150*V1151/AB1150</x:f>
        <x:v>40496.20709015643</x:v>
      </x:c>
      <x:c r="Z1151" s="32" t="n">
        <x:f>Z1150+W1151-X1151-T1151-Z1150*V1151/AB1150</x:f>
        <x:v>59141.61122890803</x:v>
      </x:c>
      <x:c r="AA1151" s="32" t="n">
        <x:f>AA1150+X1151-U1151-AA1150*V1151/AB1150</x:f>
        <x:v>45530.62410925061</x:v>
      </x:c>
      <x:c r="AB1151" s="10" t="n">
        <x:f>Y1151+Z1151+AA1151</x:f>
        <x:v>145168.44242831506</x:v>
      </x:c>
      <x:c r="AC1151" s="8" t="n">
        <x:f>IF(AND(tun_WinterTrigger=1,D1151=1,AB1150/AE1150&gt;=K1151),1,0)</x:f>
        <x:v>0</x:v>
      </x:c>
      <x:c r="AD1151" s="8" t="n">
        <x:f>H1151*IF(AND(OR(AB1150/AE1150&gt;=tun_FissionTrigger*N1151,AC1151=1),AB1150/AE1150*tun_DaughterShare&gt;=tun_MinDaughter),MAX(1,ROUND(AE1150*tun_FissionRate,0)),0)</x:f>
        <x:v>0</x:v>
      </x:c>
      <x:c r="AE1151" s="8" t="n">
        <x:f>IF(H1151=1,MAX(1,MIN(INDEX(tun_Smax,G1151),AE1150+AD1151)),AE1150)</x:f>
        <x:v>9</x:v>
      </x:c>
      <x:c r="AF1151" s="8" t="n">
        <x:f>MAX(0,AE1151-AE1150)</x:f>
        <x:v>0</x:v>
      </x:c>
      <x:c r="AG1151" s="9" t="str">
        <x:f>IF(AF1151&gt;0,B1151,"")</x:f>
      </x:c>
      <x:c r="AH1151" s="9" t="n">
        <x:f>IF(F1151&gt;=1,1,(1+tun_LowTiesShare*(AE1151-1))/AE1151)</x:f>
        <x:v>1</x:v>
      </x:c>
      <x:c r="AI1151" s="32" t="n">
        <x:f>(Z1151+tun_ElderCommons*INDEX(LM_Elder,G1151)*AA1151)*AH1151</x:f>
        <x:v>238215.0665857503</x:v>
      </x:c>
      <x:c r="AJ1151" s="32" t="n">
        <x:f>H1151*tun_CommonsCoef*AI1151^tun_CommonsExp*INDEX(LM_Commons,G1151)</x:f>
        <x:v>0</x:v>
      </x:c>
      <x:c r="AK1151" s="32" t="n">
        <x:f>H1151*tun_RoleScale*Arch_Roles*(AE1151*(INDEX(tun_ElderRolePerSett,G1151)*tun_OutElder*INDEX(LM_Elder,G1151)+INDEX(tun_ShamanPerSett,G1151)*tun_OutShaman)+Z1151*(INDEX(tun_PriestShare,G1151)*tun_OutPriest+INDEX(tun_ScribeShare,G1151)*tun_OutScribe*INDEX(LM_Scribe,G1151)+INDEX(tun_ScholarShare,G1151)*tun_OutScholar*INDEX(LM_Scholar,G1151)+INDEX(tun_ResearcherShare,G1151)*tun_OutResearcher*INDEX(LM_Researcher,G1151)))</x:f>
        <x:v>0</x:v>
      </x:c>
      <x:c r="AL1151" s="32" t="n">
        <x:f>H1151*tun_RoleScale*Arch_Roles*AE1151*INDEX(tun_MonasteryPerSett,G1151)*tun_OutMonastery*INDEX(LM_Monastery,G1151)</x:f>
        <x:v>0</x:v>
      </x:c>
      <x:c r="AM1151" s="32" t="n">
        <x:f>(AJ1151+AK1151+AL1151)/4*INDEX(LM_All,G1151)*INDEX(tun_Boon,G1151)*Arch_Insight</x:f>
        <x:v>0</x:v>
      </x:c>
      <x:c r="AN1151" s="32" t="n">
        <x:f>H1151*(tun_KHPerAdult*Z1151+tun_KHOfCommons*AJ1151/4*INDEX(LM_All,G1151))*tun_KHUsable*Arch_KH</x:f>
        <x:v>0</x:v>
      </x:c>
      <x:c r="AO1151" s="32" t="n">
        <x:f>MIN(AP1150+AN1151,AM1151*tun_KHMaxRatio)</x:f>
        <x:v>0</x:v>
      </x:c>
      <x:c r="AP1151" s="32" t="n">
        <x:f>AP1150+AN1151-AO1151</x:f>
        <x:v>0</x:v>
      </x:c>
      <x:c r="AQ1151" s="32" t="n">
        <x:f>AM1151+AO1151</x:f>
        <x:v>0</x:v>
      </x:c>
      <x:c r="AR1151" s="10" t="n">
        <x:f>IF(H1151=1,INDEX(tun_Req,G1151),0)</x:f>
        <x:v>0</x:v>
      </x:c>
      <x:c r="AS1151" s="32" t="n">
        <x:f>IF(H1151=1,IF(E1151=1,AS1150-AR1150,AS1150)+AQ1151,0)</x:f>
        <x:v>0</x:v>
      </x:c>
      <x:c r="AT1151" s="11" t="n">
        <x:f>IF(AR1151&gt;0,MIN(1,AS1151/AR1151),1)</x:f>
        <x:v>1</x:v>
      </x:c>
      <x:c r="AU1151" s="10" t="n">
        <x:f>AB1151/INDEX(tun_RepScale,G1151)</x:f>
        <x:v>290.3368848566301</x:v>
      </x:c>
      <x:c r="AV1151" s="32" t="n">
        <x:f>AM1151*60/tun_SeasonSeconds</x:f>
        <x:v>0</x:v>
      </x:c>
    </x:row>
    <x:row r="1152">
      <x:c r="A1152" s="8" t="n">
        <x:f>A1151+1</x:f>
        <x:v>1149</x:v>
      </x:c>
      <x:c r="B1152" s="9" t="n">
        <x:f>A1152*tun_SeasonSeconds/60</x:f>
        <x:v>287.25</x:v>
      </x:c>
      <x:c r="C1152" s="9" t="n">
        <x:f>A1152/4</x:f>
        <x:v>287.25</x:v>
      </x:c>
      <x:c r="D1152" s="8" t="n">
        <x:f>IF(MOD(A1152,4)=0,1,0)</x:f>
        <x:v>0</x:v>
      </x:c>
      <x:c r="E1152" s="8" t="n">
        <x:f>IF(AND(F1151&lt;=9,AS1151&gt;=AR1151),1,0)</x:f>
        <x:v>0</x:v>
      </x:c>
      <x:c r="F1152" s="8" t="n">
        <x:f>MIN(10,F1151+E1152)</x:f>
        <x:v>10</x:v>
      </x:c>
      <x:c r="G1152" s="8" t="n">
        <x:f>MIN(F1152,9)+1</x:f>
        <x:v>10</x:v>
      </x:c>
      <x:c r="H1152" s="8" t="n">
        <x:f>IF(F1152&lt;=9,1,0)</x:f>
        <x:v>0</x:v>
      </x:c>
      <x:c r="I1152" s="9" t="n">
        <x:f>MIN(10,F1151+IF(AR1151&gt;0,MIN(1,AS1151/AR1151),1))</x:f>
        <x:v>10</x:v>
      </x:c>
      <x:c r="J1152" s="32" t="n">
        <x:f>INDEX(tun_FoodCap,G1152)*Arch_FoodCap*EXP(tun_CapsByProject*SUMPRODUCT((Cap_Point&lt;=I1152)*(Cap_Kind="Food")*Cap_Ln))</x:f>
        <x:v>18627.260449441455</x:v>
      </x:c>
      <x:c r="K1152" s="32" t="n">
        <x:f>J1152*MIN(1,tun_LeanBase*EXP(tun_CapsByProject*SUMPRODUCT((Cap_Point&lt;=I1152)*(Cap_Kind="Lean")*Cap_Ln)))</x:f>
        <x:v>18627.260449441455</x:v>
      </x:c>
      <x:c r="L1152" s="10" t="n">
        <x:f>INDEX(tun_HousingCap,G1152)*EXP(tun_CapsByProject*SUMPRODUCT((Cap_Point&lt;=I1152)*(Cap_Kind="Housing")*Cap_Ln))</x:f>
        <x:v>20528.974303173167</x:v>
      </x:c>
      <x:c r="M1152" s="10" t="n">
        <x:f>INDEX(tun_GroupCap,G1152)*tun_CohesionFactor*EXP(tun_CapsByProject*SUMPRODUCT((Cap_Point&lt;=I1152)*(Cap_Kind="Group")*Cap_Ln))</x:f>
        <x:v>1000000.000000001</x:v>
      </x:c>
      <x:c r="N1152" s="32" t="n">
        <x:f>MIN(J1152,L1152,M1152)</x:f>
        <x:v>18627.260449441455</x:v>
      </x:c>
      <x:c r="O1152" s="10" t="n">
        <x:f>AE1151*N1152</x:f>
        <x:v>167645.34404497308</x:v>
      </x:c>
      <x:c r="P1152" s="9" t="n">
        <x:f>MIN(1,(AB1151/(AE1151*IF(tun_GroupInCrowding=1,N1152,MIN(J1152,L1152))))^tun_CrowdingExp)</x:f>
        <x:v>0.4215841981292809</x:v>
      </x:c>
      <x:c r="Q1152" s="9" t="n">
        <x:f>IF(D1152=1,INDEX(tun_WinterMult,G1152),1)</x:f>
        <x:v>1</x:v>
      </x:c>
      <x:c r="R1152" s="9" t="n">
        <x:f>H1152*Z1151*tun_WomenShare*tun_BaseFertility*INDEX(tun_FertMult,G1152)*Arch_Fertility*(1-P1152)</x:f>
        <x:v>0</x:v>
      </x:c>
      <x:c r="S1152" s="9" t="n">
        <x:f>H1152*Y1151*INDEX(tun_MortChild,G1152)/4*Q1152</x:f>
        <x:v>0</x:v>
      </x:c>
      <x:c r="T1152" s="9" t="n">
        <x:f>H1152*Z1151*INDEX(tun_MortAdult,G1152)*Arch_AdultMort/4*Q1152</x:f>
        <x:v>0</x:v>
      </x:c>
      <x:c r="U1152" s="9" t="n">
        <x:f>H1152*AA1151*INDEX(tun_MortElder,G1152)/4*Q1152</x:f>
        <x:v>0</x:v>
      </x:c>
      <x:c r="V1152" s="9" t="n">
        <x:f>H1152*MAX(0,AB1151-O1152)*tun_OvercapLoss</x:f>
        <x:v>0</x:v>
      </x:c>
      <x:c r="W1152" s="9" t="n">
        <x:f>H1152*Y1151/(tun_ChildYears*4)</x:f>
        <x:v>0</x:v>
      </x:c>
      <x:c r="X1152" s="9" t="n">
        <x:f>H1152*Z1151/(tun_AdultYears*4)</x:f>
        <x:v>0</x:v>
      </x:c>
      <x:c r="Y1152" s="32" t="n">
        <x:f>Y1151+R1152-S1152-W1152-Y1151*V1152/AB1151</x:f>
        <x:v>40496.20709015643</x:v>
      </x:c>
      <x:c r="Z1152" s="32" t="n">
        <x:f>Z1151+W1152-X1152-T1152-Z1151*V1152/AB1151</x:f>
        <x:v>59141.61122890803</x:v>
      </x:c>
      <x:c r="AA1152" s="32" t="n">
        <x:f>AA1151+X1152-U1152-AA1151*V1152/AB1151</x:f>
        <x:v>45530.62410925061</x:v>
      </x:c>
      <x:c r="AB1152" s="10" t="n">
        <x:f>Y1152+Z1152+AA1152</x:f>
        <x:v>145168.44242831506</x:v>
      </x:c>
      <x:c r="AC1152" s="8" t="n">
        <x:f>IF(AND(tun_WinterTrigger=1,D1152=1,AB1151/AE1151&gt;=K1152),1,0)</x:f>
        <x:v>0</x:v>
      </x:c>
      <x:c r="AD1152" s="8" t="n">
        <x:f>H1152*IF(AND(OR(AB1151/AE1151&gt;=tun_FissionTrigger*N1152,AC1152=1),AB1151/AE1151*tun_DaughterShare&gt;=tun_MinDaughter),MAX(1,ROUND(AE1151*tun_FissionRate,0)),0)</x:f>
        <x:v>0</x:v>
      </x:c>
      <x:c r="AE1152" s="8" t="n">
        <x:f>IF(H1152=1,MAX(1,MIN(INDEX(tun_Smax,G1152),AE1151+AD1152)),AE1151)</x:f>
        <x:v>9</x:v>
      </x:c>
      <x:c r="AF1152" s="8" t="n">
        <x:f>MAX(0,AE1152-AE1151)</x:f>
        <x:v>0</x:v>
      </x:c>
      <x:c r="AG1152" s="9" t="str">
        <x:f>IF(AF1152&gt;0,B1152,"")</x:f>
      </x:c>
      <x:c r="AH1152" s="9" t="n">
        <x:f>IF(F1152&gt;=1,1,(1+tun_LowTiesShare*(AE1152-1))/AE1152)</x:f>
        <x:v>1</x:v>
      </x:c>
      <x:c r="AI1152" s="32" t="n">
        <x:f>(Z1152+tun_ElderCommons*INDEX(LM_Elder,G1152)*AA1152)*AH1152</x:f>
        <x:v>238215.0665857503</x:v>
      </x:c>
      <x:c r="AJ1152" s="32" t="n">
        <x:f>H1152*tun_CommonsCoef*AI1152^tun_CommonsExp*INDEX(LM_Commons,G1152)</x:f>
        <x:v>0</x:v>
      </x:c>
      <x:c r="AK1152" s="32" t="n">
        <x:f>H1152*tun_RoleScale*Arch_Roles*(AE1152*(INDEX(tun_ElderRolePerSett,G1152)*tun_OutElder*INDEX(LM_Elder,G1152)+INDEX(tun_ShamanPerSett,G1152)*tun_OutShaman)+Z1152*(INDEX(tun_PriestShare,G1152)*tun_OutPriest+INDEX(tun_ScribeShare,G1152)*tun_OutScribe*INDEX(LM_Scribe,G1152)+INDEX(tun_ScholarShare,G1152)*tun_OutScholar*INDEX(LM_Scholar,G1152)+INDEX(tun_ResearcherShare,G1152)*tun_OutResearcher*INDEX(LM_Researcher,G1152)))</x:f>
        <x:v>0</x:v>
      </x:c>
      <x:c r="AL1152" s="32" t="n">
        <x:f>H1152*tun_RoleScale*Arch_Roles*AE1152*INDEX(tun_MonasteryPerSett,G1152)*tun_OutMonastery*INDEX(LM_Monastery,G1152)</x:f>
        <x:v>0</x:v>
      </x:c>
      <x:c r="AM1152" s="32" t="n">
        <x:f>(AJ1152+AK1152+AL1152)/4*INDEX(LM_All,G1152)*INDEX(tun_Boon,G1152)*Arch_Insight</x:f>
        <x:v>0</x:v>
      </x:c>
      <x:c r="AN1152" s="32" t="n">
        <x:f>H1152*(tun_KHPerAdult*Z1152+tun_KHOfCommons*AJ1152/4*INDEX(LM_All,G1152))*tun_KHUsable*Arch_KH</x:f>
        <x:v>0</x:v>
      </x:c>
      <x:c r="AO1152" s="32" t="n">
        <x:f>MIN(AP1151+AN1152,AM1152*tun_KHMaxRatio)</x:f>
        <x:v>0</x:v>
      </x:c>
      <x:c r="AP1152" s="32" t="n">
        <x:f>AP1151+AN1152-AO1152</x:f>
        <x:v>0</x:v>
      </x:c>
      <x:c r="AQ1152" s="32" t="n">
        <x:f>AM1152+AO1152</x:f>
        <x:v>0</x:v>
      </x:c>
      <x:c r="AR1152" s="10" t="n">
        <x:f>IF(H1152=1,INDEX(tun_Req,G1152),0)</x:f>
        <x:v>0</x:v>
      </x:c>
      <x:c r="AS1152" s="32" t="n">
        <x:f>IF(H1152=1,IF(E1152=1,AS1151-AR1151,AS1151)+AQ1152,0)</x:f>
        <x:v>0</x:v>
      </x:c>
      <x:c r="AT1152" s="11" t="n">
        <x:f>IF(AR1152&gt;0,MIN(1,AS1152/AR1152),1)</x:f>
        <x:v>1</x:v>
      </x:c>
      <x:c r="AU1152" s="10" t="n">
        <x:f>AB1152/INDEX(tun_RepScale,G1152)</x:f>
        <x:v>290.3368848566301</x:v>
      </x:c>
      <x:c r="AV1152" s="32" t="n">
        <x:f>AM1152*60/tun_SeasonSeconds</x:f>
        <x:v>0</x:v>
      </x:c>
    </x:row>
    <x:row r="1153">
      <x:c r="A1153" s="8" t="n">
        <x:f>A1152+1</x:f>
        <x:v>1150</x:v>
      </x:c>
      <x:c r="B1153" s="9" t="n">
        <x:f>A1153*tun_SeasonSeconds/60</x:f>
        <x:v>287.5</x:v>
      </x:c>
      <x:c r="C1153" s="9" t="n">
        <x:f>A1153/4</x:f>
        <x:v>287.5</x:v>
      </x:c>
      <x:c r="D1153" s="8" t="n">
        <x:f>IF(MOD(A1153,4)=0,1,0)</x:f>
        <x:v>0</x:v>
      </x:c>
      <x:c r="E1153" s="8" t="n">
        <x:f>IF(AND(F1152&lt;=9,AS1152&gt;=AR1152),1,0)</x:f>
        <x:v>0</x:v>
      </x:c>
      <x:c r="F1153" s="8" t="n">
        <x:f>MIN(10,F1152+E1153)</x:f>
        <x:v>10</x:v>
      </x:c>
      <x:c r="G1153" s="8" t="n">
        <x:f>MIN(F1153,9)+1</x:f>
        <x:v>10</x:v>
      </x:c>
      <x:c r="H1153" s="8" t="n">
        <x:f>IF(F1153&lt;=9,1,0)</x:f>
        <x:v>0</x:v>
      </x:c>
      <x:c r="I1153" s="9" t="n">
        <x:f>MIN(10,F1152+IF(AR1152&gt;0,MIN(1,AS1152/AR1152),1))</x:f>
        <x:v>10</x:v>
      </x:c>
      <x:c r="J1153" s="32" t="n">
        <x:f>INDEX(tun_FoodCap,G1153)*Arch_FoodCap*EXP(tun_CapsByProject*SUMPRODUCT((Cap_Point&lt;=I1153)*(Cap_Kind="Food")*Cap_Ln))</x:f>
        <x:v>18627.260449441455</x:v>
      </x:c>
      <x:c r="K1153" s="32" t="n">
        <x:f>J1153*MIN(1,tun_LeanBase*EXP(tun_CapsByProject*SUMPRODUCT((Cap_Point&lt;=I1153)*(Cap_Kind="Lean")*Cap_Ln)))</x:f>
        <x:v>18627.260449441455</x:v>
      </x:c>
      <x:c r="L1153" s="10" t="n">
        <x:f>INDEX(tun_HousingCap,G1153)*EXP(tun_CapsByProject*SUMPRODUCT((Cap_Point&lt;=I1153)*(Cap_Kind="Housing")*Cap_Ln))</x:f>
        <x:v>20528.974303173167</x:v>
      </x:c>
      <x:c r="M1153" s="10" t="n">
        <x:f>INDEX(tun_GroupCap,G1153)*tun_CohesionFactor*EXP(tun_CapsByProject*SUMPRODUCT((Cap_Point&lt;=I1153)*(Cap_Kind="Group")*Cap_Ln))</x:f>
        <x:v>1000000.000000001</x:v>
      </x:c>
      <x:c r="N1153" s="32" t="n">
        <x:f>MIN(J1153,L1153,M1153)</x:f>
        <x:v>18627.260449441455</x:v>
      </x:c>
      <x:c r="O1153" s="10" t="n">
        <x:f>AE1152*N1153</x:f>
        <x:v>167645.34404497308</x:v>
      </x:c>
      <x:c r="P1153" s="9" t="n">
        <x:f>MIN(1,(AB1152/(AE1152*IF(tun_GroupInCrowding=1,N1153,MIN(J1153,L1153))))^tun_CrowdingExp)</x:f>
        <x:v>0.4215841981292809</x:v>
      </x:c>
      <x:c r="Q1153" s="9" t="n">
        <x:f>IF(D1153=1,INDEX(tun_WinterMult,G1153),1)</x:f>
        <x:v>1</x:v>
      </x:c>
      <x:c r="R1153" s="9" t="n">
        <x:f>H1153*Z1152*tun_WomenShare*tun_BaseFertility*INDEX(tun_FertMult,G1153)*Arch_Fertility*(1-P1153)</x:f>
        <x:v>0</x:v>
      </x:c>
      <x:c r="S1153" s="9" t="n">
        <x:f>H1153*Y1152*INDEX(tun_MortChild,G1153)/4*Q1153</x:f>
        <x:v>0</x:v>
      </x:c>
      <x:c r="T1153" s="9" t="n">
        <x:f>H1153*Z1152*INDEX(tun_MortAdult,G1153)*Arch_AdultMort/4*Q1153</x:f>
        <x:v>0</x:v>
      </x:c>
      <x:c r="U1153" s="9" t="n">
        <x:f>H1153*AA1152*INDEX(tun_MortElder,G1153)/4*Q1153</x:f>
        <x:v>0</x:v>
      </x:c>
      <x:c r="V1153" s="9" t="n">
        <x:f>H1153*MAX(0,AB1152-O1153)*tun_OvercapLoss</x:f>
        <x:v>0</x:v>
      </x:c>
      <x:c r="W1153" s="9" t="n">
        <x:f>H1153*Y1152/(tun_ChildYears*4)</x:f>
        <x:v>0</x:v>
      </x:c>
      <x:c r="X1153" s="9" t="n">
        <x:f>H1153*Z1152/(tun_AdultYears*4)</x:f>
        <x:v>0</x:v>
      </x:c>
      <x:c r="Y1153" s="32" t="n">
        <x:f>Y1152+R1153-S1153-W1153-Y1152*V1153/AB1152</x:f>
        <x:v>40496.20709015643</x:v>
      </x:c>
      <x:c r="Z1153" s="32" t="n">
        <x:f>Z1152+W1153-X1153-T1153-Z1152*V1153/AB1152</x:f>
        <x:v>59141.61122890803</x:v>
      </x:c>
      <x:c r="AA1153" s="32" t="n">
        <x:f>AA1152+X1153-U1153-AA1152*V1153/AB1152</x:f>
        <x:v>45530.62410925061</x:v>
      </x:c>
      <x:c r="AB1153" s="10" t="n">
        <x:f>Y1153+Z1153+AA1153</x:f>
        <x:v>145168.44242831506</x:v>
      </x:c>
      <x:c r="AC1153" s="8" t="n">
        <x:f>IF(AND(tun_WinterTrigger=1,D1153=1,AB1152/AE1152&gt;=K1153),1,0)</x:f>
        <x:v>0</x:v>
      </x:c>
      <x:c r="AD1153" s="8" t="n">
        <x:f>H1153*IF(AND(OR(AB1152/AE1152&gt;=tun_FissionTrigger*N1153,AC1153=1),AB1152/AE1152*tun_DaughterShare&gt;=tun_MinDaughter),MAX(1,ROUND(AE1152*tun_FissionRate,0)),0)</x:f>
        <x:v>0</x:v>
      </x:c>
      <x:c r="AE1153" s="8" t="n">
        <x:f>IF(H1153=1,MAX(1,MIN(INDEX(tun_Smax,G1153),AE1152+AD1153)),AE1152)</x:f>
        <x:v>9</x:v>
      </x:c>
      <x:c r="AF1153" s="8" t="n">
        <x:f>MAX(0,AE1153-AE1152)</x:f>
        <x:v>0</x:v>
      </x:c>
      <x:c r="AG1153" s="9" t="str">
        <x:f>IF(AF1153&gt;0,B1153,"")</x:f>
      </x:c>
      <x:c r="AH1153" s="9" t="n">
        <x:f>IF(F1153&gt;=1,1,(1+tun_LowTiesShare*(AE1153-1))/AE1153)</x:f>
        <x:v>1</x:v>
      </x:c>
      <x:c r="AI1153" s="32" t="n">
        <x:f>(Z1153+tun_ElderCommons*INDEX(LM_Elder,G1153)*AA1153)*AH1153</x:f>
        <x:v>238215.0665857503</x:v>
      </x:c>
      <x:c r="AJ1153" s="32" t="n">
        <x:f>H1153*tun_CommonsCoef*AI1153^tun_CommonsExp*INDEX(LM_Commons,G1153)</x:f>
        <x:v>0</x:v>
      </x:c>
      <x:c r="AK1153" s="32" t="n">
        <x:f>H1153*tun_RoleScale*Arch_Roles*(AE1153*(INDEX(tun_ElderRolePerSett,G1153)*tun_OutElder*INDEX(LM_Elder,G1153)+INDEX(tun_ShamanPerSett,G1153)*tun_OutShaman)+Z1153*(INDEX(tun_PriestShare,G1153)*tun_OutPriest+INDEX(tun_ScribeShare,G1153)*tun_OutScribe*INDEX(LM_Scribe,G1153)+INDEX(tun_ScholarShare,G1153)*tun_OutScholar*INDEX(LM_Scholar,G1153)+INDEX(tun_ResearcherShare,G1153)*tun_OutResearcher*INDEX(LM_Researcher,G1153)))</x:f>
        <x:v>0</x:v>
      </x:c>
      <x:c r="AL1153" s="32" t="n">
        <x:f>H1153*tun_RoleScale*Arch_Roles*AE1153*INDEX(tun_MonasteryPerSett,G1153)*tun_OutMonastery*INDEX(LM_Monastery,G1153)</x:f>
        <x:v>0</x:v>
      </x:c>
      <x:c r="AM1153" s="32" t="n">
        <x:f>(AJ1153+AK1153+AL1153)/4*INDEX(LM_All,G1153)*INDEX(tun_Boon,G1153)*Arch_Insight</x:f>
        <x:v>0</x:v>
      </x:c>
      <x:c r="AN1153" s="32" t="n">
        <x:f>H1153*(tun_KHPerAdult*Z1153+tun_KHOfCommons*AJ1153/4*INDEX(LM_All,G1153))*tun_KHUsable*Arch_KH</x:f>
        <x:v>0</x:v>
      </x:c>
      <x:c r="AO1153" s="32" t="n">
        <x:f>MIN(AP1152+AN1153,AM1153*tun_KHMaxRatio)</x:f>
        <x:v>0</x:v>
      </x:c>
      <x:c r="AP1153" s="32" t="n">
        <x:f>AP1152+AN1153-AO1153</x:f>
        <x:v>0</x:v>
      </x:c>
      <x:c r="AQ1153" s="32" t="n">
        <x:f>AM1153+AO1153</x:f>
        <x:v>0</x:v>
      </x:c>
      <x:c r="AR1153" s="10" t="n">
        <x:f>IF(H1153=1,INDEX(tun_Req,G1153),0)</x:f>
        <x:v>0</x:v>
      </x:c>
      <x:c r="AS1153" s="32" t="n">
        <x:f>IF(H1153=1,IF(E1153=1,AS1152-AR1152,AS1152)+AQ1153,0)</x:f>
        <x:v>0</x:v>
      </x:c>
      <x:c r="AT1153" s="11" t="n">
        <x:f>IF(AR1153&gt;0,MIN(1,AS1153/AR1153),1)</x:f>
        <x:v>1</x:v>
      </x:c>
      <x:c r="AU1153" s="10" t="n">
        <x:f>AB1153/INDEX(tun_RepScale,G1153)</x:f>
        <x:v>290.3368848566301</x:v>
      </x:c>
      <x:c r="AV1153" s="32" t="n">
        <x:f>AM1153*60/tun_SeasonSeconds</x:f>
        <x:v>0</x:v>
      </x:c>
    </x:row>
    <x:row r="1154">
      <x:c r="A1154" s="8" t="n">
        <x:f>A1153+1</x:f>
        <x:v>1151</x:v>
      </x:c>
      <x:c r="B1154" s="9" t="n">
        <x:f>A1154*tun_SeasonSeconds/60</x:f>
        <x:v>287.75</x:v>
      </x:c>
      <x:c r="C1154" s="9" t="n">
        <x:f>A1154/4</x:f>
        <x:v>287.75</x:v>
      </x:c>
      <x:c r="D1154" s="8" t="n">
        <x:f>IF(MOD(A1154,4)=0,1,0)</x:f>
        <x:v>0</x:v>
      </x:c>
      <x:c r="E1154" s="8" t="n">
        <x:f>IF(AND(F1153&lt;=9,AS1153&gt;=AR1153),1,0)</x:f>
        <x:v>0</x:v>
      </x:c>
      <x:c r="F1154" s="8" t="n">
        <x:f>MIN(10,F1153+E1154)</x:f>
        <x:v>10</x:v>
      </x:c>
      <x:c r="G1154" s="8" t="n">
        <x:f>MIN(F1154,9)+1</x:f>
        <x:v>10</x:v>
      </x:c>
      <x:c r="H1154" s="8" t="n">
        <x:f>IF(F1154&lt;=9,1,0)</x:f>
        <x:v>0</x:v>
      </x:c>
      <x:c r="I1154" s="9" t="n">
        <x:f>MIN(10,F1153+IF(AR1153&gt;0,MIN(1,AS1153/AR1153),1))</x:f>
        <x:v>10</x:v>
      </x:c>
      <x:c r="J1154" s="32" t="n">
        <x:f>INDEX(tun_FoodCap,G1154)*Arch_FoodCap*EXP(tun_CapsByProject*SUMPRODUCT((Cap_Point&lt;=I1154)*(Cap_Kind="Food")*Cap_Ln))</x:f>
        <x:v>18627.260449441455</x:v>
      </x:c>
      <x:c r="K1154" s="32" t="n">
        <x:f>J1154*MIN(1,tun_LeanBase*EXP(tun_CapsByProject*SUMPRODUCT((Cap_Point&lt;=I1154)*(Cap_Kind="Lean")*Cap_Ln)))</x:f>
        <x:v>18627.260449441455</x:v>
      </x:c>
      <x:c r="L1154" s="10" t="n">
        <x:f>INDEX(tun_HousingCap,G1154)*EXP(tun_CapsByProject*SUMPRODUCT((Cap_Point&lt;=I1154)*(Cap_Kind="Housing")*Cap_Ln))</x:f>
        <x:v>20528.974303173167</x:v>
      </x:c>
      <x:c r="M1154" s="10" t="n">
        <x:f>INDEX(tun_GroupCap,G1154)*tun_CohesionFactor*EXP(tun_CapsByProject*SUMPRODUCT((Cap_Point&lt;=I1154)*(Cap_Kind="Group")*Cap_Ln))</x:f>
        <x:v>1000000.000000001</x:v>
      </x:c>
      <x:c r="N1154" s="32" t="n">
        <x:f>MIN(J1154,L1154,M1154)</x:f>
        <x:v>18627.260449441455</x:v>
      </x:c>
      <x:c r="O1154" s="10" t="n">
        <x:f>AE1153*N1154</x:f>
        <x:v>167645.34404497308</x:v>
      </x:c>
      <x:c r="P1154" s="9" t="n">
        <x:f>MIN(1,(AB1153/(AE1153*IF(tun_GroupInCrowding=1,N1154,MIN(J1154,L1154))))^tun_CrowdingExp)</x:f>
        <x:v>0.4215841981292809</x:v>
      </x:c>
      <x:c r="Q1154" s="9" t="n">
        <x:f>IF(D1154=1,INDEX(tun_WinterMult,G1154),1)</x:f>
        <x:v>1</x:v>
      </x:c>
      <x:c r="R1154" s="9" t="n">
        <x:f>H1154*Z1153*tun_WomenShare*tun_BaseFertility*INDEX(tun_FertMult,G1154)*Arch_Fertility*(1-P1154)</x:f>
        <x:v>0</x:v>
      </x:c>
      <x:c r="S1154" s="9" t="n">
        <x:f>H1154*Y1153*INDEX(tun_MortChild,G1154)/4*Q1154</x:f>
        <x:v>0</x:v>
      </x:c>
      <x:c r="T1154" s="9" t="n">
        <x:f>H1154*Z1153*INDEX(tun_MortAdult,G1154)*Arch_AdultMort/4*Q1154</x:f>
        <x:v>0</x:v>
      </x:c>
      <x:c r="U1154" s="9" t="n">
        <x:f>H1154*AA1153*INDEX(tun_MortElder,G1154)/4*Q1154</x:f>
        <x:v>0</x:v>
      </x:c>
      <x:c r="V1154" s="9" t="n">
        <x:f>H1154*MAX(0,AB1153-O1154)*tun_OvercapLoss</x:f>
        <x:v>0</x:v>
      </x:c>
      <x:c r="W1154" s="9" t="n">
        <x:f>H1154*Y1153/(tun_ChildYears*4)</x:f>
        <x:v>0</x:v>
      </x:c>
      <x:c r="X1154" s="9" t="n">
        <x:f>H1154*Z1153/(tun_AdultYears*4)</x:f>
        <x:v>0</x:v>
      </x:c>
      <x:c r="Y1154" s="32" t="n">
        <x:f>Y1153+R1154-S1154-W1154-Y1153*V1154/AB1153</x:f>
        <x:v>40496.20709015643</x:v>
      </x:c>
      <x:c r="Z1154" s="32" t="n">
        <x:f>Z1153+W1154-X1154-T1154-Z1153*V1154/AB1153</x:f>
        <x:v>59141.61122890803</x:v>
      </x:c>
      <x:c r="AA1154" s="32" t="n">
        <x:f>AA1153+X1154-U1154-AA1153*V1154/AB1153</x:f>
        <x:v>45530.62410925061</x:v>
      </x:c>
      <x:c r="AB1154" s="10" t="n">
        <x:f>Y1154+Z1154+AA1154</x:f>
        <x:v>145168.44242831506</x:v>
      </x:c>
      <x:c r="AC1154" s="8" t="n">
        <x:f>IF(AND(tun_WinterTrigger=1,D1154=1,AB1153/AE1153&gt;=K1154),1,0)</x:f>
        <x:v>0</x:v>
      </x:c>
      <x:c r="AD1154" s="8" t="n">
        <x:f>H1154*IF(AND(OR(AB1153/AE1153&gt;=tun_FissionTrigger*N1154,AC1154=1),AB1153/AE1153*tun_DaughterShare&gt;=tun_MinDaughter),MAX(1,ROUND(AE1153*tun_FissionRate,0)),0)</x:f>
        <x:v>0</x:v>
      </x:c>
      <x:c r="AE1154" s="8" t="n">
        <x:f>IF(H1154=1,MAX(1,MIN(INDEX(tun_Smax,G1154),AE1153+AD1154)),AE1153)</x:f>
        <x:v>9</x:v>
      </x:c>
      <x:c r="AF1154" s="8" t="n">
        <x:f>MAX(0,AE1154-AE1153)</x:f>
        <x:v>0</x:v>
      </x:c>
      <x:c r="AG1154" s="9" t="str">
        <x:f>IF(AF1154&gt;0,B1154,"")</x:f>
      </x:c>
      <x:c r="AH1154" s="9" t="n">
        <x:f>IF(F1154&gt;=1,1,(1+tun_LowTiesShare*(AE1154-1))/AE1154)</x:f>
        <x:v>1</x:v>
      </x:c>
      <x:c r="AI1154" s="32" t="n">
        <x:f>(Z1154+tun_ElderCommons*INDEX(LM_Elder,G1154)*AA1154)*AH1154</x:f>
        <x:v>238215.0665857503</x:v>
      </x:c>
      <x:c r="AJ1154" s="32" t="n">
        <x:f>H1154*tun_CommonsCoef*AI1154^tun_CommonsExp*INDEX(LM_Commons,G1154)</x:f>
        <x:v>0</x:v>
      </x:c>
      <x:c r="AK1154" s="32" t="n">
        <x:f>H1154*tun_RoleScale*Arch_Roles*(AE1154*(INDEX(tun_ElderRolePerSett,G1154)*tun_OutElder*INDEX(LM_Elder,G1154)+INDEX(tun_ShamanPerSett,G1154)*tun_OutShaman)+Z1154*(INDEX(tun_PriestShare,G1154)*tun_OutPriest+INDEX(tun_ScribeShare,G1154)*tun_OutScribe*INDEX(LM_Scribe,G1154)+INDEX(tun_ScholarShare,G1154)*tun_OutScholar*INDEX(LM_Scholar,G1154)+INDEX(tun_ResearcherShare,G1154)*tun_OutResearcher*INDEX(LM_Researcher,G1154)))</x:f>
        <x:v>0</x:v>
      </x:c>
      <x:c r="AL1154" s="32" t="n">
        <x:f>H1154*tun_RoleScale*Arch_Roles*AE1154*INDEX(tun_MonasteryPerSett,G1154)*tun_OutMonastery*INDEX(LM_Monastery,G1154)</x:f>
        <x:v>0</x:v>
      </x:c>
      <x:c r="AM1154" s="32" t="n">
        <x:f>(AJ1154+AK1154+AL1154)/4*INDEX(LM_All,G1154)*INDEX(tun_Boon,G1154)*Arch_Insight</x:f>
        <x:v>0</x:v>
      </x:c>
      <x:c r="AN1154" s="32" t="n">
        <x:f>H1154*(tun_KHPerAdult*Z1154+tun_KHOfCommons*AJ1154/4*INDEX(LM_All,G1154))*tun_KHUsable*Arch_KH</x:f>
        <x:v>0</x:v>
      </x:c>
      <x:c r="AO1154" s="32" t="n">
        <x:f>MIN(AP1153+AN1154,AM1154*tun_KHMaxRatio)</x:f>
        <x:v>0</x:v>
      </x:c>
      <x:c r="AP1154" s="32" t="n">
        <x:f>AP1153+AN1154-AO1154</x:f>
        <x:v>0</x:v>
      </x:c>
      <x:c r="AQ1154" s="32" t="n">
        <x:f>AM1154+AO1154</x:f>
        <x:v>0</x:v>
      </x:c>
      <x:c r="AR1154" s="10" t="n">
        <x:f>IF(H1154=1,INDEX(tun_Req,G1154),0)</x:f>
        <x:v>0</x:v>
      </x:c>
      <x:c r="AS1154" s="32" t="n">
        <x:f>IF(H1154=1,IF(E1154=1,AS1153-AR1153,AS1153)+AQ1154,0)</x:f>
        <x:v>0</x:v>
      </x:c>
      <x:c r="AT1154" s="11" t="n">
        <x:f>IF(AR1154&gt;0,MIN(1,AS1154/AR1154),1)</x:f>
        <x:v>1</x:v>
      </x:c>
      <x:c r="AU1154" s="10" t="n">
        <x:f>AB1154/INDEX(tun_RepScale,G1154)</x:f>
        <x:v>290.3368848566301</x:v>
      </x:c>
      <x:c r="AV1154" s="32" t="n">
        <x:f>AM1154*60/tun_SeasonSeconds</x:f>
        <x:v>0</x:v>
      </x:c>
    </x:row>
    <x:row r="1155">
      <x:c r="A1155" s="8" t="n">
        <x:f>A1154+1</x:f>
        <x:v>1152</x:v>
      </x:c>
      <x:c r="B1155" s="9" t="n">
        <x:f>A1155*tun_SeasonSeconds/60</x:f>
        <x:v>288</x:v>
      </x:c>
      <x:c r="C1155" s="9" t="n">
        <x:f>A1155/4</x:f>
        <x:v>288</x:v>
      </x:c>
      <x:c r="D1155" s="8" t="n">
        <x:f>IF(MOD(A1155,4)=0,1,0)</x:f>
        <x:v>1</x:v>
      </x:c>
      <x:c r="E1155" s="8" t="n">
        <x:f>IF(AND(F1154&lt;=9,AS1154&gt;=AR1154),1,0)</x:f>
        <x:v>0</x:v>
      </x:c>
      <x:c r="F1155" s="8" t="n">
        <x:f>MIN(10,F1154+E1155)</x:f>
        <x:v>10</x:v>
      </x:c>
      <x:c r="G1155" s="8" t="n">
        <x:f>MIN(F1155,9)+1</x:f>
        <x:v>10</x:v>
      </x:c>
      <x:c r="H1155" s="8" t="n">
        <x:f>IF(F1155&lt;=9,1,0)</x:f>
        <x:v>0</x:v>
      </x:c>
      <x:c r="I1155" s="9" t="n">
        <x:f>MIN(10,F1154+IF(AR1154&gt;0,MIN(1,AS1154/AR1154),1))</x:f>
        <x:v>10</x:v>
      </x:c>
      <x:c r="J1155" s="32" t="n">
        <x:f>INDEX(tun_FoodCap,G1155)*Arch_FoodCap*EXP(tun_CapsByProject*SUMPRODUCT((Cap_Point&lt;=I1155)*(Cap_Kind="Food")*Cap_Ln))</x:f>
        <x:v>18627.260449441455</x:v>
      </x:c>
      <x:c r="K1155" s="32" t="n">
        <x:f>J1155*MIN(1,tun_LeanBase*EXP(tun_CapsByProject*SUMPRODUCT((Cap_Point&lt;=I1155)*(Cap_Kind="Lean")*Cap_Ln)))</x:f>
        <x:v>18627.260449441455</x:v>
      </x:c>
      <x:c r="L1155" s="10" t="n">
        <x:f>INDEX(tun_HousingCap,G1155)*EXP(tun_CapsByProject*SUMPRODUCT((Cap_Point&lt;=I1155)*(Cap_Kind="Housing")*Cap_Ln))</x:f>
        <x:v>20528.974303173167</x:v>
      </x:c>
      <x:c r="M1155" s="10" t="n">
        <x:f>INDEX(tun_GroupCap,G1155)*tun_CohesionFactor*EXP(tun_CapsByProject*SUMPRODUCT((Cap_Point&lt;=I1155)*(Cap_Kind="Group")*Cap_Ln))</x:f>
        <x:v>1000000.000000001</x:v>
      </x:c>
      <x:c r="N1155" s="32" t="n">
        <x:f>MIN(J1155,L1155,M1155)</x:f>
        <x:v>18627.260449441455</x:v>
      </x:c>
      <x:c r="O1155" s="10" t="n">
        <x:f>AE1154*N1155</x:f>
        <x:v>167645.34404497308</x:v>
      </x:c>
      <x:c r="P1155" s="9" t="n">
        <x:f>MIN(1,(AB1154/(AE1154*IF(tun_GroupInCrowding=1,N1155,MIN(J1155,L1155))))^tun_CrowdingExp)</x:f>
        <x:v>0.4215841981292809</x:v>
      </x:c>
      <x:c r="Q1155" s="9" t="n">
        <x:f>IF(D1155=1,INDEX(tun_WinterMult,G1155),1)</x:f>
        <x:v>1.05</x:v>
      </x:c>
      <x:c r="R1155" s="9" t="n">
        <x:f>H1155*Z1154*tun_WomenShare*tun_BaseFertility*INDEX(tun_FertMult,G1155)*Arch_Fertility*(1-P1155)</x:f>
        <x:v>0</x:v>
      </x:c>
      <x:c r="S1155" s="9" t="n">
        <x:f>H1155*Y1154*INDEX(tun_MortChild,G1155)/4*Q1155</x:f>
        <x:v>0</x:v>
      </x:c>
      <x:c r="T1155" s="9" t="n">
        <x:f>H1155*Z1154*INDEX(tun_MortAdult,G1155)*Arch_AdultMort/4*Q1155</x:f>
        <x:v>0</x:v>
      </x:c>
      <x:c r="U1155" s="9" t="n">
        <x:f>H1155*AA1154*INDEX(tun_MortElder,G1155)/4*Q1155</x:f>
        <x:v>0</x:v>
      </x:c>
      <x:c r="V1155" s="9" t="n">
        <x:f>H1155*MAX(0,AB1154-O1155)*tun_OvercapLoss</x:f>
        <x:v>0</x:v>
      </x:c>
      <x:c r="W1155" s="9" t="n">
        <x:f>H1155*Y1154/(tun_ChildYears*4)</x:f>
        <x:v>0</x:v>
      </x:c>
      <x:c r="X1155" s="9" t="n">
        <x:f>H1155*Z1154/(tun_AdultYears*4)</x:f>
        <x:v>0</x:v>
      </x:c>
      <x:c r="Y1155" s="32" t="n">
        <x:f>Y1154+R1155-S1155-W1155-Y1154*V1155/AB1154</x:f>
        <x:v>40496.20709015643</x:v>
      </x:c>
      <x:c r="Z1155" s="32" t="n">
        <x:f>Z1154+W1155-X1155-T1155-Z1154*V1155/AB1154</x:f>
        <x:v>59141.61122890803</x:v>
      </x:c>
      <x:c r="AA1155" s="32" t="n">
        <x:f>AA1154+X1155-U1155-AA1154*V1155/AB1154</x:f>
        <x:v>45530.62410925061</x:v>
      </x:c>
      <x:c r="AB1155" s="10" t="n">
        <x:f>Y1155+Z1155+AA1155</x:f>
        <x:v>145168.44242831506</x:v>
      </x:c>
      <x:c r="AC1155" s="8" t="n">
        <x:f>IF(AND(tun_WinterTrigger=1,D1155=1,AB1154/AE1154&gt;=K1155),1,0)</x:f>
        <x:v>0</x:v>
      </x:c>
      <x:c r="AD1155" s="8" t="n">
        <x:f>H1155*IF(AND(OR(AB1154/AE1154&gt;=tun_FissionTrigger*N1155,AC1155=1),AB1154/AE1154*tun_DaughterShare&gt;=tun_MinDaughter),MAX(1,ROUND(AE1154*tun_FissionRate,0)),0)</x:f>
        <x:v>0</x:v>
      </x:c>
      <x:c r="AE1155" s="8" t="n">
        <x:f>IF(H1155=1,MAX(1,MIN(INDEX(tun_Smax,G1155),AE1154+AD1155)),AE1154)</x:f>
        <x:v>9</x:v>
      </x:c>
      <x:c r="AF1155" s="8" t="n">
        <x:f>MAX(0,AE1155-AE1154)</x:f>
        <x:v>0</x:v>
      </x:c>
      <x:c r="AG1155" s="9" t="str">
        <x:f>IF(AF1155&gt;0,B1155,"")</x:f>
      </x:c>
      <x:c r="AH1155" s="9" t="n">
        <x:f>IF(F1155&gt;=1,1,(1+tun_LowTiesShare*(AE1155-1))/AE1155)</x:f>
        <x:v>1</x:v>
      </x:c>
      <x:c r="AI1155" s="32" t="n">
        <x:f>(Z1155+tun_ElderCommons*INDEX(LM_Elder,G1155)*AA1155)*AH1155</x:f>
        <x:v>238215.0665857503</x:v>
      </x:c>
      <x:c r="AJ1155" s="32" t="n">
        <x:f>H1155*tun_CommonsCoef*AI1155^tun_CommonsExp*INDEX(LM_Commons,G1155)</x:f>
        <x:v>0</x:v>
      </x:c>
      <x:c r="AK1155" s="32" t="n">
        <x:f>H1155*tun_RoleScale*Arch_Roles*(AE1155*(INDEX(tun_ElderRolePerSett,G1155)*tun_OutElder*INDEX(LM_Elder,G1155)+INDEX(tun_ShamanPerSett,G1155)*tun_OutShaman)+Z1155*(INDEX(tun_PriestShare,G1155)*tun_OutPriest+INDEX(tun_ScribeShare,G1155)*tun_OutScribe*INDEX(LM_Scribe,G1155)+INDEX(tun_ScholarShare,G1155)*tun_OutScholar*INDEX(LM_Scholar,G1155)+INDEX(tun_ResearcherShare,G1155)*tun_OutResearcher*INDEX(LM_Researcher,G1155)))</x:f>
        <x:v>0</x:v>
      </x:c>
      <x:c r="AL1155" s="32" t="n">
        <x:f>H1155*tun_RoleScale*Arch_Roles*AE1155*INDEX(tun_MonasteryPerSett,G1155)*tun_OutMonastery*INDEX(LM_Monastery,G1155)</x:f>
        <x:v>0</x:v>
      </x:c>
      <x:c r="AM1155" s="32" t="n">
        <x:f>(AJ1155+AK1155+AL1155)/4*INDEX(LM_All,G1155)*INDEX(tun_Boon,G1155)*Arch_Insight</x:f>
        <x:v>0</x:v>
      </x:c>
      <x:c r="AN1155" s="32" t="n">
        <x:f>H1155*(tun_KHPerAdult*Z1155+tun_KHOfCommons*AJ1155/4*INDEX(LM_All,G1155))*tun_KHUsable*Arch_KH</x:f>
        <x:v>0</x:v>
      </x:c>
      <x:c r="AO1155" s="32" t="n">
        <x:f>MIN(AP1154+AN1155,AM1155*tun_KHMaxRatio)</x:f>
        <x:v>0</x:v>
      </x:c>
      <x:c r="AP1155" s="32" t="n">
        <x:f>AP1154+AN1155-AO1155</x:f>
        <x:v>0</x:v>
      </x:c>
      <x:c r="AQ1155" s="32" t="n">
        <x:f>AM1155+AO1155</x:f>
        <x:v>0</x:v>
      </x:c>
      <x:c r="AR1155" s="10" t="n">
        <x:f>IF(H1155=1,INDEX(tun_Req,G1155),0)</x:f>
        <x:v>0</x:v>
      </x:c>
      <x:c r="AS1155" s="32" t="n">
        <x:f>IF(H1155=1,IF(E1155=1,AS1154-AR1154,AS1154)+AQ1155,0)</x:f>
        <x:v>0</x:v>
      </x:c>
      <x:c r="AT1155" s="11" t="n">
        <x:f>IF(AR1155&gt;0,MIN(1,AS1155/AR1155),1)</x:f>
        <x:v>1</x:v>
      </x:c>
      <x:c r="AU1155" s="10" t="n">
        <x:f>AB1155/INDEX(tun_RepScale,G1155)</x:f>
        <x:v>290.3368848566301</x:v>
      </x:c>
      <x:c r="AV1155" s="32" t="n">
        <x:f>AM1155*60/tun_SeasonSeconds</x:f>
        <x:v>0</x:v>
      </x:c>
    </x:row>
    <x:row r="1156">
      <x:c r="A1156" s="8" t="n">
        <x:f>A1155+1</x:f>
        <x:v>1153</x:v>
      </x:c>
      <x:c r="B1156" s="9" t="n">
        <x:f>A1156*tun_SeasonSeconds/60</x:f>
        <x:v>288.25</x:v>
      </x:c>
      <x:c r="C1156" s="9" t="n">
        <x:f>A1156/4</x:f>
        <x:v>288.25</x:v>
      </x:c>
      <x:c r="D1156" s="8" t="n">
        <x:f>IF(MOD(A1156,4)=0,1,0)</x:f>
        <x:v>0</x:v>
      </x:c>
      <x:c r="E1156" s="8" t="n">
        <x:f>IF(AND(F1155&lt;=9,AS1155&gt;=AR1155),1,0)</x:f>
        <x:v>0</x:v>
      </x:c>
      <x:c r="F1156" s="8" t="n">
        <x:f>MIN(10,F1155+E1156)</x:f>
        <x:v>10</x:v>
      </x:c>
      <x:c r="G1156" s="8" t="n">
        <x:f>MIN(F1156,9)+1</x:f>
        <x:v>10</x:v>
      </x:c>
      <x:c r="H1156" s="8" t="n">
        <x:f>IF(F1156&lt;=9,1,0)</x:f>
        <x:v>0</x:v>
      </x:c>
      <x:c r="I1156" s="9" t="n">
        <x:f>MIN(10,F1155+IF(AR1155&gt;0,MIN(1,AS1155/AR1155),1))</x:f>
        <x:v>10</x:v>
      </x:c>
      <x:c r="J1156" s="32" t="n">
        <x:f>INDEX(tun_FoodCap,G1156)*Arch_FoodCap*EXP(tun_CapsByProject*SUMPRODUCT((Cap_Point&lt;=I1156)*(Cap_Kind="Food")*Cap_Ln))</x:f>
        <x:v>18627.260449441455</x:v>
      </x:c>
      <x:c r="K1156" s="32" t="n">
        <x:f>J1156*MIN(1,tun_LeanBase*EXP(tun_CapsByProject*SUMPRODUCT((Cap_Point&lt;=I1156)*(Cap_Kind="Lean")*Cap_Ln)))</x:f>
        <x:v>18627.260449441455</x:v>
      </x:c>
      <x:c r="L1156" s="10" t="n">
        <x:f>INDEX(tun_HousingCap,G1156)*EXP(tun_CapsByProject*SUMPRODUCT((Cap_Point&lt;=I1156)*(Cap_Kind="Housing")*Cap_Ln))</x:f>
        <x:v>20528.974303173167</x:v>
      </x:c>
      <x:c r="M1156" s="10" t="n">
        <x:f>INDEX(tun_GroupCap,G1156)*tun_CohesionFactor*EXP(tun_CapsByProject*SUMPRODUCT((Cap_Point&lt;=I1156)*(Cap_Kind="Group")*Cap_Ln))</x:f>
        <x:v>1000000.000000001</x:v>
      </x:c>
      <x:c r="N1156" s="32" t="n">
        <x:f>MIN(J1156,L1156,M1156)</x:f>
        <x:v>18627.260449441455</x:v>
      </x:c>
      <x:c r="O1156" s="10" t="n">
        <x:f>AE1155*N1156</x:f>
        <x:v>167645.34404497308</x:v>
      </x:c>
      <x:c r="P1156" s="9" t="n">
        <x:f>MIN(1,(AB1155/(AE1155*IF(tun_GroupInCrowding=1,N1156,MIN(J1156,L1156))))^tun_CrowdingExp)</x:f>
        <x:v>0.4215841981292809</x:v>
      </x:c>
      <x:c r="Q1156" s="9" t="n">
        <x:f>IF(D1156=1,INDEX(tun_WinterMult,G1156),1)</x:f>
        <x:v>1</x:v>
      </x:c>
      <x:c r="R1156" s="9" t="n">
        <x:f>H1156*Z1155*tun_WomenShare*tun_BaseFertility*INDEX(tun_FertMult,G1156)*Arch_Fertility*(1-P1156)</x:f>
        <x:v>0</x:v>
      </x:c>
      <x:c r="S1156" s="9" t="n">
        <x:f>H1156*Y1155*INDEX(tun_MortChild,G1156)/4*Q1156</x:f>
        <x:v>0</x:v>
      </x:c>
      <x:c r="T1156" s="9" t="n">
        <x:f>H1156*Z1155*INDEX(tun_MortAdult,G1156)*Arch_AdultMort/4*Q1156</x:f>
        <x:v>0</x:v>
      </x:c>
      <x:c r="U1156" s="9" t="n">
        <x:f>H1156*AA1155*INDEX(tun_MortElder,G1156)/4*Q1156</x:f>
        <x:v>0</x:v>
      </x:c>
      <x:c r="V1156" s="9" t="n">
        <x:f>H1156*MAX(0,AB1155-O1156)*tun_OvercapLoss</x:f>
        <x:v>0</x:v>
      </x:c>
      <x:c r="W1156" s="9" t="n">
        <x:f>H1156*Y1155/(tun_ChildYears*4)</x:f>
        <x:v>0</x:v>
      </x:c>
      <x:c r="X1156" s="9" t="n">
        <x:f>H1156*Z1155/(tun_AdultYears*4)</x:f>
        <x:v>0</x:v>
      </x:c>
      <x:c r="Y1156" s="32" t="n">
        <x:f>Y1155+R1156-S1156-W1156-Y1155*V1156/AB1155</x:f>
        <x:v>40496.20709015643</x:v>
      </x:c>
      <x:c r="Z1156" s="32" t="n">
        <x:f>Z1155+W1156-X1156-T1156-Z1155*V1156/AB1155</x:f>
        <x:v>59141.61122890803</x:v>
      </x:c>
      <x:c r="AA1156" s="32" t="n">
        <x:f>AA1155+X1156-U1156-AA1155*V1156/AB1155</x:f>
        <x:v>45530.62410925061</x:v>
      </x:c>
      <x:c r="AB1156" s="10" t="n">
        <x:f>Y1156+Z1156+AA1156</x:f>
        <x:v>145168.44242831506</x:v>
      </x:c>
      <x:c r="AC1156" s="8" t="n">
        <x:f>IF(AND(tun_WinterTrigger=1,D1156=1,AB1155/AE1155&gt;=K1156),1,0)</x:f>
        <x:v>0</x:v>
      </x:c>
      <x:c r="AD1156" s="8" t="n">
        <x:f>H1156*IF(AND(OR(AB1155/AE1155&gt;=tun_FissionTrigger*N1156,AC1156=1),AB1155/AE1155*tun_DaughterShare&gt;=tun_MinDaughter),MAX(1,ROUND(AE1155*tun_FissionRate,0)),0)</x:f>
        <x:v>0</x:v>
      </x:c>
      <x:c r="AE1156" s="8" t="n">
        <x:f>IF(H1156=1,MAX(1,MIN(INDEX(tun_Smax,G1156),AE1155+AD1156)),AE1155)</x:f>
        <x:v>9</x:v>
      </x:c>
      <x:c r="AF1156" s="8" t="n">
        <x:f>MAX(0,AE1156-AE1155)</x:f>
        <x:v>0</x:v>
      </x:c>
      <x:c r="AG1156" s="9" t="str">
        <x:f>IF(AF1156&gt;0,B1156,"")</x:f>
      </x:c>
      <x:c r="AH1156" s="9" t="n">
        <x:f>IF(F1156&gt;=1,1,(1+tun_LowTiesShare*(AE1156-1))/AE1156)</x:f>
        <x:v>1</x:v>
      </x:c>
      <x:c r="AI1156" s="32" t="n">
        <x:f>(Z1156+tun_ElderCommons*INDEX(LM_Elder,G1156)*AA1156)*AH1156</x:f>
        <x:v>238215.0665857503</x:v>
      </x:c>
      <x:c r="AJ1156" s="32" t="n">
        <x:f>H1156*tun_CommonsCoef*AI1156^tun_CommonsExp*INDEX(LM_Commons,G1156)</x:f>
        <x:v>0</x:v>
      </x:c>
      <x:c r="AK1156" s="32" t="n">
        <x:f>H1156*tun_RoleScale*Arch_Roles*(AE1156*(INDEX(tun_ElderRolePerSett,G1156)*tun_OutElder*INDEX(LM_Elder,G1156)+INDEX(tun_ShamanPerSett,G1156)*tun_OutShaman)+Z1156*(INDEX(tun_PriestShare,G1156)*tun_OutPriest+INDEX(tun_ScribeShare,G1156)*tun_OutScribe*INDEX(LM_Scribe,G1156)+INDEX(tun_ScholarShare,G1156)*tun_OutScholar*INDEX(LM_Scholar,G1156)+INDEX(tun_ResearcherShare,G1156)*tun_OutResearcher*INDEX(LM_Researcher,G1156)))</x:f>
        <x:v>0</x:v>
      </x:c>
      <x:c r="AL1156" s="32" t="n">
        <x:f>H1156*tun_RoleScale*Arch_Roles*AE1156*INDEX(tun_MonasteryPerSett,G1156)*tun_OutMonastery*INDEX(LM_Monastery,G1156)</x:f>
        <x:v>0</x:v>
      </x:c>
      <x:c r="AM1156" s="32" t="n">
        <x:f>(AJ1156+AK1156+AL1156)/4*INDEX(LM_All,G1156)*INDEX(tun_Boon,G1156)*Arch_Insight</x:f>
        <x:v>0</x:v>
      </x:c>
      <x:c r="AN1156" s="32" t="n">
        <x:f>H1156*(tun_KHPerAdult*Z1156+tun_KHOfCommons*AJ1156/4*INDEX(LM_All,G1156))*tun_KHUsable*Arch_KH</x:f>
        <x:v>0</x:v>
      </x:c>
      <x:c r="AO1156" s="32" t="n">
        <x:f>MIN(AP1155+AN1156,AM1156*tun_KHMaxRatio)</x:f>
        <x:v>0</x:v>
      </x:c>
      <x:c r="AP1156" s="32" t="n">
        <x:f>AP1155+AN1156-AO1156</x:f>
        <x:v>0</x:v>
      </x:c>
      <x:c r="AQ1156" s="32" t="n">
        <x:f>AM1156+AO1156</x:f>
        <x:v>0</x:v>
      </x:c>
      <x:c r="AR1156" s="10" t="n">
        <x:f>IF(H1156=1,INDEX(tun_Req,G1156),0)</x:f>
        <x:v>0</x:v>
      </x:c>
      <x:c r="AS1156" s="32" t="n">
        <x:f>IF(H1156=1,IF(E1156=1,AS1155-AR1155,AS1155)+AQ1156,0)</x:f>
        <x:v>0</x:v>
      </x:c>
      <x:c r="AT1156" s="11" t="n">
        <x:f>IF(AR1156&gt;0,MIN(1,AS1156/AR1156),1)</x:f>
        <x:v>1</x:v>
      </x:c>
      <x:c r="AU1156" s="10" t="n">
        <x:f>AB1156/INDEX(tun_RepScale,G1156)</x:f>
        <x:v>290.3368848566301</x:v>
      </x:c>
      <x:c r="AV1156" s="32" t="n">
        <x:f>AM1156*60/tun_SeasonSeconds</x:f>
        <x:v>0</x:v>
      </x:c>
    </x:row>
    <x:row r="1157">
      <x:c r="A1157" s="8" t="n">
        <x:f>A1156+1</x:f>
        <x:v>1154</x:v>
      </x:c>
      <x:c r="B1157" s="9" t="n">
        <x:f>A1157*tun_SeasonSeconds/60</x:f>
        <x:v>288.5</x:v>
      </x:c>
      <x:c r="C1157" s="9" t="n">
        <x:f>A1157/4</x:f>
        <x:v>288.5</x:v>
      </x:c>
      <x:c r="D1157" s="8" t="n">
        <x:f>IF(MOD(A1157,4)=0,1,0)</x:f>
        <x:v>0</x:v>
      </x:c>
      <x:c r="E1157" s="8" t="n">
        <x:f>IF(AND(F1156&lt;=9,AS1156&gt;=AR1156),1,0)</x:f>
        <x:v>0</x:v>
      </x:c>
      <x:c r="F1157" s="8" t="n">
        <x:f>MIN(10,F1156+E1157)</x:f>
        <x:v>10</x:v>
      </x:c>
      <x:c r="G1157" s="8" t="n">
        <x:f>MIN(F1157,9)+1</x:f>
        <x:v>10</x:v>
      </x:c>
      <x:c r="H1157" s="8" t="n">
        <x:f>IF(F1157&lt;=9,1,0)</x:f>
        <x:v>0</x:v>
      </x:c>
      <x:c r="I1157" s="9" t="n">
        <x:f>MIN(10,F1156+IF(AR1156&gt;0,MIN(1,AS1156/AR1156),1))</x:f>
        <x:v>10</x:v>
      </x:c>
      <x:c r="J1157" s="32" t="n">
        <x:f>INDEX(tun_FoodCap,G1157)*Arch_FoodCap*EXP(tun_CapsByProject*SUMPRODUCT((Cap_Point&lt;=I1157)*(Cap_Kind="Food")*Cap_Ln))</x:f>
        <x:v>18627.260449441455</x:v>
      </x:c>
      <x:c r="K1157" s="32" t="n">
        <x:f>J1157*MIN(1,tun_LeanBase*EXP(tun_CapsByProject*SUMPRODUCT((Cap_Point&lt;=I1157)*(Cap_Kind="Lean")*Cap_Ln)))</x:f>
        <x:v>18627.260449441455</x:v>
      </x:c>
      <x:c r="L1157" s="10" t="n">
        <x:f>INDEX(tun_HousingCap,G1157)*EXP(tun_CapsByProject*SUMPRODUCT((Cap_Point&lt;=I1157)*(Cap_Kind="Housing")*Cap_Ln))</x:f>
        <x:v>20528.974303173167</x:v>
      </x:c>
      <x:c r="M1157" s="10" t="n">
        <x:f>INDEX(tun_GroupCap,G1157)*tun_CohesionFactor*EXP(tun_CapsByProject*SUMPRODUCT((Cap_Point&lt;=I1157)*(Cap_Kind="Group")*Cap_Ln))</x:f>
        <x:v>1000000.000000001</x:v>
      </x:c>
      <x:c r="N1157" s="32" t="n">
        <x:f>MIN(J1157,L1157,M1157)</x:f>
        <x:v>18627.260449441455</x:v>
      </x:c>
      <x:c r="O1157" s="10" t="n">
        <x:f>AE1156*N1157</x:f>
        <x:v>167645.34404497308</x:v>
      </x:c>
      <x:c r="P1157" s="9" t="n">
        <x:f>MIN(1,(AB1156/(AE1156*IF(tun_GroupInCrowding=1,N1157,MIN(J1157,L1157))))^tun_CrowdingExp)</x:f>
        <x:v>0.4215841981292809</x:v>
      </x:c>
      <x:c r="Q1157" s="9" t="n">
        <x:f>IF(D1157=1,INDEX(tun_WinterMult,G1157),1)</x:f>
        <x:v>1</x:v>
      </x:c>
      <x:c r="R1157" s="9" t="n">
        <x:f>H1157*Z1156*tun_WomenShare*tun_BaseFertility*INDEX(tun_FertMult,G1157)*Arch_Fertility*(1-P1157)</x:f>
        <x:v>0</x:v>
      </x:c>
      <x:c r="S1157" s="9" t="n">
        <x:f>H1157*Y1156*INDEX(tun_MortChild,G1157)/4*Q1157</x:f>
        <x:v>0</x:v>
      </x:c>
      <x:c r="T1157" s="9" t="n">
        <x:f>H1157*Z1156*INDEX(tun_MortAdult,G1157)*Arch_AdultMort/4*Q1157</x:f>
        <x:v>0</x:v>
      </x:c>
      <x:c r="U1157" s="9" t="n">
        <x:f>H1157*AA1156*INDEX(tun_MortElder,G1157)/4*Q1157</x:f>
        <x:v>0</x:v>
      </x:c>
      <x:c r="V1157" s="9" t="n">
        <x:f>H1157*MAX(0,AB1156-O1157)*tun_OvercapLoss</x:f>
        <x:v>0</x:v>
      </x:c>
      <x:c r="W1157" s="9" t="n">
        <x:f>H1157*Y1156/(tun_ChildYears*4)</x:f>
        <x:v>0</x:v>
      </x:c>
      <x:c r="X1157" s="9" t="n">
        <x:f>H1157*Z1156/(tun_AdultYears*4)</x:f>
        <x:v>0</x:v>
      </x:c>
      <x:c r="Y1157" s="32" t="n">
        <x:f>Y1156+R1157-S1157-W1157-Y1156*V1157/AB1156</x:f>
        <x:v>40496.20709015643</x:v>
      </x:c>
      <x:c r="Z1157" s="32" t="n">
        <x:f>Z1156+W1157-X1157-T1157-Z1156*V1157/AB1156</x:f>
        <x:v>59141.61122890803</x:v>
      </x:c>
      <x:c r="AA1157" s="32" t="n">
        <x:f>AA1156+X1157-U1157-AA1156*V1157/AB1156</x:f>
        <x:v>45530.62410925061</x:v>
      </x:c>
      <x:c r="AB1157" s="10" t="n">
        <x:f>Y1157+Z1157+AA1157</x:f>
        <x:v>145168.44242831506</x:v>
      </x:c>
      <x:c r="AC1157" s="8" t="n">
        <x:f>IF(AND(tun_WinterTrigger=1,D1157=1,AB1156/AE1156&gt;=K1157),1,0)</x:f>
        <x:v>0</x:v>
      </x:c>
      <x:c r="AD1157" s="8" t="n">
        <x:f>H1157*IF(AND(OR(AB1156/AE1156&gt;=tun_FissionTrigger*N1157,AC1157=1),AB1156/AE1156*tun_DaughterShare&gt;=tun_MinDaughter),MAX(1,ROUND(AE1156*tun_FissionRate,0)),0)</x:f>
        <x:v>0</x:v>
      </x:c>
      <x:c r="AE1157" s="8" t="n">
        <x:f>IF(H1157=1,MAX(1,MIN(INDEX(tun_Smax,G1157),AE1156+AD1157)),AE1156)</x:f>
        <x:v>9</x:v>
      </x:c>
      <x:c r="AF1157" s="8" t="n">
        <x:f>MAX(0,AE1157-AE1156)</x:f>
        <x:v>0</x:v>
      </x:c>
      <x:c r="AG1157" s="9" t="str">
        <x:f>IF(AF1157&gt;0,B1157,"")</x:f>
      </x:c>
      <x:c r="AH1157" s="9" t="n">
        <x:f>IF(F1157&gt;=1,1,(1+tun_LowTiesShare*(AE1157-1))/AE1157)</x:f>
        <x:v>1</x:v>
      </x:c>
      <x:c r="AI1157" s="32" t="n">
        <x:f>(Z1157+tun_ElderCommons*INDEX(LM_Elder,G1157)*AA1157)*AH1157</x:f>
        <x:v>238215.0665857503</x:v>
      </x:c>
      <x:c r="AJ1157" s="32" t="n">
        <x:f>H1157*tun_CommonsCoef*AI1157^tun_CommonsExp*INDEX(LM_Commons,G1157)</x:f>
        <x:v>0</x:v>
      </x:c>
      <x:c r="AK1157" s="32" t="n">
        <x:f>H1157*tun_RoleScale*Arch_Roles*(AE1157*(INDEX(tun_ElderRolePerSett,G1157)*tun_OutElder*INDEX(LM_Elder,G1157)+INDEX(tun_ShamanPerSett,G1157)*tun_OutShaman)+Z1157*(INDEX(tun_PriestShare,G1157)*tun_OutPriest+INDEX(tun_ScribeShare,G1157)*tun_OutScribe*INDEX(LM_Scribe,G1157)+INDEX(tun_ScholarShare,G1157)*tun_OutScholar*INDEX(LM_Scholar,G1157)+INDEX(tun_ResearcherShare,G1157)*tun_OutResearcher*INDEX(LM_Researcher,G1157)))</x:f>
        <x:v>0</x:v>
      </x:c>
      <x:c r="AL1157" s="32" t="n">
        <x:f>H1157*tun_RoleScale*Arch_Roles*AE1157*INDEX(tun_MonasteryPerSett,G1157)*tun_OutMonastery*INDEX(LM_Monastery,G1157)</x:f>
        <x:v>0</x:v>
      </x:c>
      <x:c r="AM1157" s="32" t="n">
        <x:f>(AJ1157+AK1157+AL1157)/4*INDEX(LM_All,G1157)*INDEX(tun_Boon,G1157)*Arch_Insight</x:f>
        <x:v>0</x:v>
      </x:c>
      <x:c r="AN1157" s="32" t="n">
        <x:f>H1157*(tun_KHPerAdult*Z1157+tun_KHOfCommons*AJ1157/4*INDEX(LM_All,G1157))*tun_KHUsable*Arch_KH</x:f>
        <x:v>0</x:v>
      </x:c>
      <x:c r="AO1157" s="32" t="n">
        <x:f>MIN(AP1156+AN1157,AM1157*tun_KHMaxRatio)</x:f>
        <x:v>0</x:v>
      </x:c>
      <x:c r="AP1157" s="32" t="n">
        <x:f>AP1156+AN1157-AO1157</x:f>
        <x:v>0</x:v>
      </x:c>
      <x:c r="AQ1157" s="32" t="n">
        <x:f>AM1157+AO1157</x:f>
        <x:v>0</x:v>
      </x:c>
      <x:c r="AR1157" s="10" t="n">
        <x:f>IF(H1157=1,INDEX(tun_Req,G1157),0)</x:f>
        <x:v>0</x:v>
      </x:c>
      <x:c r="AS1157" s="32" t="n">
        <x:f>IF(H1157=1,IF(E1157=1,AS1156-AR1156,AS1156)+AQ1157,0)</x:f>
        <x:v>0</x:v>
      </x:c>
      <x:c r="AT1157" s="11" t="n">
        <x:f>IF(AR1157&gt;0,MIN(1,AS1157/AR1157),1)</x:f>
        <x:v>1</x:v>
      </x:c>
      <x:c r="AU1157" s="10" t="n">
        <x:f>AB1157/INDEX(tun_RepScale,G1157)</x:f>
        <x:v>290.3368848566301</x:v>
      </x:c>
      <x:c r="AV1157" s="32" t="n">
        <x:f>AM1157*60/tun_SeasonSeconds</x:f>
        <x:v>0</x:v>
      </x:c>
    </x:row>
    <x:row r="1158">
      <x:c r="A1158" s="8" t="n">
        <x:f>A1157+1</x:f>
        <x:v>1155</x:v>
      </x:c>
      <x:c r="B1158" s="9" t="n">
        <x:f>A1158*tun_SeasonSeconds/60</x:f>
        <x:v>288.75</x:v>
      </x:c>
      <x:c r="C1158" s="9" t="n">
        <x:f>A1158/4</x:f>
        <x:v>288.75</x:v>
      </x:c>
      <x:c r="D1158" s="8" t="n">
        <x:f>IF(MOD(A1158,4)=0,1,0)</x:f>
        <x:v>0</x:v>
      </x:c>
      <x:c r="E1158" s="8" t="n">
        <x:f>IF(AND(F1157&lt;=9,AS1157&gt;=AR1157),1,0)</x:f>
        <x:v>0</x:v>
      </x:c>
      <x:c r="F1158" s="8" t="n">
        <x:f>MIN(10,F1157+E1158)</x:f>
        <x:v>10</x:v>
      </x:c>
      <x:c r="G1158" s="8" t="n">
        <x:f>MIN(F1158,9)+1</x:f>
        <x:v>10</x:v>
      </x:c>
      <x:c r="H1158" s="8" t="n">
        <x:f>IF(F1158&lt;=9,1,0)</x:f>
        <x:v>0</x:v>
      </x:c>
      <x:c r="I1158" s="9" t="n">
        <x:f>MIN(10,F1157+IF(AR1157&gt;0,MIN(1,AS1157/AR1157),1))</x:f>
        <x:v>10</x:v>
      </x:c>
      <x:c r="J1158" s="32" t="n">
        <x:f>INDEX(tun_FoodCap,G1158)*Arch_FoodCap*EXP(tun_CapsByProject*SUMPRODUCT((Cap_Point&lt;=I1158)*(Cap_Kind="Food")*Cap_Ln))</x:f>
        <x:v>18627.260449441455</x:v>
      </x:c>
      <x:c r="K1158" s="32" t="n">
        <x:f>J1158*MIN(1,tun_LeanBase*EXP(tun_CapsByProject*SUMPRODUCT((Cap_Point&lt;=I1158)*(Cap_Kind="Lean")*Cap_Ln)))</x:f>
        <x:v>18627.260449441455</x:v>
      </x:c>
      <x:c r="L1158" s="10" t="n">
        <x:f>INDEX(tun_HousingCap,G1158)*EXP(tun_CapsByProject*SUMPRODUCT((Cap_Point&lt;=I1158)*(Cap_Kind="Housing")*Cap_Ln))</x:f>
        <x:v>20528.974303173167</x:v>
      </x:c>
      <x:c r="M1158" s="10" t="n">
        <x:f>INDEX(tun_GroupCap,G1158)*tun_CohesionFactor*EXP(tun_CapsByProject*SUMPRODUCT((Cap_Point&lt;=I1158)*(Cap_Kind="Group")*Cap_Ln))</x:f>
        <x:v>1000000.000000001</x:v>
      </x:c>
      <x:c r="N1158" s="32" t="n">
        <x:f>MIN(J1158,L1158,M1158)</x:f>
        <x:v>18627.260449441455</x:v>
      </x:c>
      <x:c r="O1158" s="10" t="n">
        <x:f>AE1157*N1158</x:f>
        <x:v>167645.34404497308</x:v>
      </x:c>
      <x:c r="P1158" s="9" t="n">
        <x:f>MIN(1,(AB1157/(AE1157*IF(tun_GroupInCrowding=1,N1158,MIN(J1158,L1158))))^tun_CrowdingExp)</x:f>
        <x:v>0.4215841981292809</x:v>
      </x:c>
      <x:c r="Q1158" s="9" t="n">
        <x:f>IF(D1158=1,INDEX(tun_WinterMult,G1158),1)</x:f>
        <x:v>1</x:v>
      </x:c>
      <x:c r="R1158" s="9" t="n">
        <x:f>H1158*Z1157*tun_WomenShare*tun_BaseFertility*INDEX(tun_FertMult,G1158)*Arch_Fertility*(1-P1158)</x:f>
        <x:v>0</x:v>
      </x:c>
      <x:c r="S1158" s="9" t="n">
        <x:f>H1158*Y1157*INDEX(tun_MortChild,G1158)/4*Q1158</x:f>
        <x:v>0</x:v>
      </x:c>
      <x:c r="T1158" s="9" t="n">
        <x:f>H1158*Z1157*INDEX(tun_MortAdult,G1158)*Arch_AdultMort/4*Q1158</x:f>
        <x:v>0</x:v>
      </x:c>
      <x:c r="U1158" s="9" t="n">
        <x:f>H1158*AA1157*INDEX(tun_MortElder,G1158)/4*Q1158</x:f>
        <x:v>0</x:v>
      </x:c>
      <x:c r="V1158" s="9" t="n">
        <x:f>H1158*MAX(0,AB1157-O1158)*tun_OvercapLoss</x:f>
        <x:v>0</x:v>
      </x:c>
      <x:c r="W1158" s="9" t="n">
        <x:f>H1158*Y1157/(tun_ChildYears*4)</x:f>
        <x:v>0</x:v>
      </x:c>
      <x:c r="X1158" s="9" t="n">
        <x:f>H1158*Z1157/(tun_AdultYears*4)</x:f>
        <x:v>0</x:v>
      </x:c>
      <x:c r="Y1158" s="32" t="n">
        <x:f>Y1157+R1158-S1158-W1158-Y1157*V1158/AB1157</x:f>
        <x:v>40496.20709015643</x:v>
      </x:c>
      <x:c r="Z1158" s="32" t="n">
        <x:f>Z1157+W1158-X1158-T1158-Z1157*V1158/AB1157</x:f>
        <x:v>59141.61122890803</x:v>
      </x:c>
      <x:c r="AA1158" s="32" t="n">
        <x:f>AA1157+X1158-U1158-AA1157*V1158/AB1157</x:f>
        <x:v>45530.62410925061</x:v>
      </x:c>
      <x:c r="AB1158" s="10" t="n">
        <x:f>Y1158+Z1158+AA1158</x:f>
        <x:v>145168.44242831506</x:v>
      </x:c>
      <x:c r="AC1158" s="8" t="n">
        <x:f>IF(AND(tun_WinterTrigger=1,D1158=1,AB1157/AE1157&gt;=K1158),1,0)</x:f>
        <x:v>0</x:v>
      </x:c>
      <x:c r="AD1158" s="8" t="n">
        <x:f>H1158*IF(AND(OR(AB1157/AE1157&gt;=tun_FissionTrigger*N1158,AC1158=1),AB1157/AE1157*tun_DaughterShare&gt;=tun_MinDaughter),MAX(1,ROUND(AE1157*tun_FissionRate,0)),0)</x:f>
        <x:v>0</x:v>
      </x:c>
      <x:c r="AE1158" s="8" t="n">
        <x:f>IF(H1158=1,MAX(1,MIN(INDEX(tun_Smax,G1158),AE1157+AD1158)),AE1157)</x:f>
        <x:v>9</x:v>
      </x:c>
      <x:c r="AF1158" s="8" t="n">
        <x:f>MAX(0,AE1158-AE1157)</x:f>
        <x:v>0</x:v>
      </x:c>
      <x:c r="AG1158" s="9" t="str">
        <x:f>IF(AF1158&gt;0,B1158,"")</x:f>
      </x:c>
      <x:c r="AH1158" s="9" t="n">
        <x:f>IF(F1158&gt;=1,1,(1+tun_LowTiesShare*(AE1158-1))/AE1158)</x:f>
        <x:v>1</x:v>
      </x:c>
      <x:c r="AI1158" s="32" t="n">
        <x:f>(Z1158+tun_ElderCommons*INDEX(LM_Elder,G1158)*AA1158)*AH1158</x:f>
        <x:v>238215.0665857503</x:v>
      </x:c>
      <x:c r="AJ1158" s="32" t="n">
        <x:f>H1158*tun_CommonsCoef*AI1158^tun_CommonsExp*INDEX(LM_Commons,G1158)</x:f>
        <x:v>0</x:v>
      </x:c>
      <x:c r="AK1158" s="32" t="n">
        <x:f>H1158*tun_RoleScale*Arch_Roles*(AE1158*(INDEX(tun_ElderRolePerSett,G1158)*tun_OutElder*INDEX(LM_Elder,G1158)+INDEX(tun_ShamanPerSett,G1158)*tun_OutShaman)+Z1158*(INDEX(tun_PriestShare,G1158)*tun_OutPriest+INDEX(tun_ScribeShare,G1158)*tun_OutScribe*INDEX(LM_Scribe,G1158)+INDEX(tun_ScholarShare,G1158)*tun_OutScholar*INDEX(LM_Scholar,G1158)+INDEX(tun_ResearcherShare,G1158)*tun_OutResearcher*INDEX(LM_Researcher,G1158)))</x:f>
        <x:v>0</x:v>
      </x:c>
      <x:c r="AL1158" s="32" t="n">
        <x:f>H1158*tun_RoleScale*Arch_Roles*AE1158*INDEX(tun_MonasteryPerSett,G1158)*tun_OutMonastery*INDEX(LM_Monastery,G1158)</x:f>
        <x:v>0</x:v>
      </x:c>
      <x:c r="AM1158" s="32" t="n">
        <x:f>(AJ1158+AK1158+AL1158)/4*INDEX(LM_All,G1158)*INDEX(tun_Boon,G1158)*Arch_Insight</x:f>
        <x:v>0</x:v>
      </x:c>
      <x:c r="AN1158" s="32" t="n">
        <x:f>H1158*(tun_KHPerAdult*Z1158+tun_KHOfCommons*AJ1158/4*INDEX(LM_All,G1158))*tun_KHUsable*Arch_KH</x:f>
        <x:v>0</x:v>
      </x:c>
      <x:c r="AO1158" s="32" t="n">
        <x:f>MIN(AP1157+AN1158,AM1158*tun_KHMaxRatio)</x:f>
        <x:v>0</x:v>
      </x:c>
      <x:c r="AP1158" s="32" t="n">
        <x:f>AP1157+AN1158-AO1158</x:f>
        <x:v>0</x:v>
      </x:c>
      <x:c r="AQ1158" s="32" t="n">
        <x:f>AM1158+AO1158</x:f>
        <x:v>0</x:v>
      </x:c>
      <x:c r="AR1158" s="10" t="n">
        <x:f>IF(H1158=1,INDEX(tun_Req,G1158),0)</x:f>
        <x:v>0</x:v>
      </x:c>
      <x:c r="AS1158" s="32" t="n">
        <x:f>IF(H1158=1,IF(E1158=1,AS1157-AR1157,AS1157)+AQ1158,0)</x:f>
        <x:v>0</x:v>
      </x:c>
      <x:c r="AT1158" s="11" t="n">
        <x:f>IF(AR1158&gt;0,MIN(1,AS1158/AR1158),1)</x:f>
        <x:v>1</x:v>
      </x:c>
      <x:c r="AU1158" s="10" t="n">
        <x:f>AB1158/INDEX(tun_RepScale,G1158)</x:f>
        <x:v>290.3368848566301</x:v>
      </x:c>
      <x:c r="AV1158" s="32" t="n">
        <x:f>AM1158*60/tun_SeasonSeconds</x:f>
        <x:v>0</x:v>
      </x:c>
    </x:row>
    <x:row r="1159">
      <x:c r="A1159" s="8" t="n">
        <x:f>A1158+1</x:f>
        <x:v>1156</x:v>
      </x:c>
      <x:c r="B1159" s="9" t="n">
        <x:f>A1159*tun_SeasonSeconds/60</x:f>
        <x:v>289</x:v>
      </x:c>
      <x:c r="C1159" s="9" t="n">
        <x:f>A1159/4</x:f>
        <x:v>289</x:v>
      </x:c>
      <x:c r="D1159" s="8" t="n">
        <x:f>IF(MOD(A1159,4)=0,1,0)</x:f>
        <x:v>1</x:v>
      </x:c>
      <x:c r="E1159" s="8" t="n">
        <x:f>IF(AND(F1158&lt;=9,AS1158&gt;=AR1158),1,0)</x:f>
        <x:v>0</x:v>
      </x:c>
      <x:c r="F1159" s="8" t="n">
        <x:f>MIN(10,F1158+E1159)</x:f>
        <x:v>10</x:v>
      </x:c>
      <x:c r="G1159" s="8" t="n">
        <x:f>MIN(F1159,9)+1</x:f>
        <x:v>10</x:v>
      </x:c>
      <x:c r="H1159" s="8" t="n">
        <x:f>IF(F1159&lt;=9,1,0)</x:f>
        <x:v>0</x:v>
      </x:c>
      <x:c r="I1159" s="9" t="n">
        <x:f>MIN(10,F1158+IF(AR1158&gt;0,MIN(1,AS1158/AR1158),1))</x:f>
        <x:v>10</x:v>
      </x:c>
      <x:c r="J1159" s="32" t="n">
        <x:f>INDEX(tun_FoodCap,G1159)*Arch_FoodCap*EXP(tun_CapsByProject*SUMPRODUCT((Cap_Point&lt;=I1159)*(Cap_Kind="Food")*Cap_Ln))</x:f>
        <x:v>18627.260449441455</x:v>
      </x:c>
      <x:c r="K1159" s="32" t="n">
        <x:f>J1159*MIN(1,tun_LeanBase*EXP(tun_CapsByProject*SUMPRODUCT((Cap_Point&lt;=I1159)*(Cap_Kind="Lean")*Cap_Ln)))</x:f>
        <x:v>18627.260449441455</x:v>
      </x:c>
      <x:c r="L1159" s="10" t="n">
        <x:f>INDEX(tun_HousingCap,G1159)*EXP(tun_CapsByProject*SUMPRODUCT((Cap_Point&lt;=I1159)*(Cap_Kind="Housing")*Cap_Ln))</x:f>
        <x:v>20528.974303173167</x:v>
      </x:c>
      <x:c r="M1159" s="10" t="n">
        <x:f>INDEX(tun_GroupCap,G1159)*tun_CohesionFactor*EXP(tun_CapsByProject*SUMPRODUCT((Cap_Point&lt;=I1159)*(Cap_Kind="Group")*Cap_Ln))</x:f>
        <x:v>1000000.000000001</x:v>
      </x:c>
      <x:c r="N1159" s="32" t="n">
        <x:f>MIN(J1159,L1159,M1159)</x:f>
        <x:v>18627.260449441455</x:v>
      </x:c>
      <x:c r="O1159" s="10" t="n">
        <x:f>AE1158*N1159</x:f>
        <x:v>167645.34404497308</x:v>
      </x:c>
      <x:c r="P1159" s="9" t="n">
        <x:f>MIN(1,(AB1158/(AE1158*IF(tun_GroupInCrowding=1,N1159,MIN(J1159,L1159))))^tun_CrowdingExp)</x:f>
        <x:v>0.4215841981292809</x:v>
      </x:c>
      <x:c r="Q1159" s="9" t="n">
        <x:f>IF(D1159=1,INDEX(tun_WinterMult,G1159),1)</x:f>
        <x:v>1.05</x:v>
      </x:c>
      <x:c r="R1159" s="9" t="n">
        <x:f>H1159*Z1158*tun_WomenShare*tun_BaseFertility*INDEX(tun_FertMult,G1159)*Arch_Fertility*(1-P1159)</x:f>
        <x:v>0</x:v>
      </x:c>
      <x:c r="S1159" s="9" t="n">
        <x:f>H1159*Y1158*INDEX(tun_MortChild,G1159)/4*Q1159</x:f>
        <x:v>0</x:v>
      </x:c>
      <x:c r="T1159" s="9" t="n">
        <x:f>H1159*Z1158*INDEX(tun_MortAdult,G1159)*Arch_AdultMort/4*Q1159</x:f>
        <x:v>0</x:v>
      </x:c>
      <x:c r="U1159" s="9" t="n">
        <x:f>H1159*AA1158*INDEX(tun_MortElder,G1159)/4*Q1159</x:f>
        <x:v>0</x:v>
      </x:c>
      <x:c r="V1159" s="9" t="n">
        <x:f>H1159*MAX(0,AB1158-O1159)*tun_OvercapLoss</x:f>
        <x:v>0</x:v>
      </x:c>
      <x:c r="W1159" s="9" t="n">
        <x:f>H1159*Y1158/(tun_ChildYears*4)</x:f>
        <x:v>0</x:v>
      </x:c>
      <x:c r="X1159" s="9" t="n">
        <x:f>H1159*Z1158/(tun_AdultYears*4)</x:f>
        <x:v>0</x:v>
      </x:c>
      <x:c r="Y1159" s="32" t="n">
        <x:f>Y1158+R1159-S1159-W1159-Y1158*V1159/AB1158</x:f>
        <x:v>40496.20709015643</x:v>
      </x:c>
      <x:c r="Z1159" s="32" t="n">
        <x:f>Z1158+W1159-X1159-T1159-Z1158*V1159/AB1158</x:f>
        <x:v>59141.61122890803</x:v>
      </x:c>
      <x:c r="AA1159" s="32" t="n">
        <x:f>AA1158+X1159-U1159-AA1158*V1159/AB1158</x:f>
        <x:v>45530.62410925061</x:v>
      </x:c>
      <x:c r="AB1159" s="10" t="n">
        <x:f>Y1159+Z1159+AA1159</x:f>
        <x:v>145168.44242831506</x:v>
      </x:c>
      <x:c r="AC1159" s="8" t="n">
        <x:f>IF(AND(tun_WinterTrigger=1,D1159=1,AB1158/AE1158&gt;=K1159),1,0)</x:f>
        <x:v>0</x:v>
      </x:c>
      <x:c r="AD1159" s="8" t="n">
        <x:f>H1159*IF(AND(OR(AB1158/AE1158&gt;=tun_FissionTrigger*N1159,AC1159=1),AB1158/AE1158*tun_DaughterShare&gt;=tun_MinDaughter),MAX(1,ROUND(AE1158*tun_FissionRate,0)),0)</x:f>
        <x:v>0</x:v>
      </x:c>
      <x:c r="AE1159" s="8" t="n">
        <x:f>IF(H1159=1,MAX(1,MIN(INDEX(tun_Smax,G1159),AE1158+AD1159)),AE1158)</x:f>
        <x:v>9</x:v>
      </x:c>
      <x:c r="AF1159" s="8" t="n">
        <x:f>MAX(0,AE1159-AE1158)</x:f>
        <x:v>0</x:v>
      </x:c>
      <x:c r="AG1159" s="9" t="str">
        <x:f>IF(AF1159&gt;0,B1159,"")</x:f>
      </x:c>
      <x:c r="AH1159" s="9" t="n">
        <x:f>IF(F1159&gt;=1,1,(1+tun_LowTiesShare*(AE1159-1))/AE1159)</x:f>
        <x:v>1</x:v>
      </x:c>
      <x:c r="AI1159" s="32" t="n">
        <x:f>(Z1159+tun_ElderCommons*INDEX(LM_Elder,G1159)*AA1159)*AH1159</x:f>
        <x:v>238215.0665857503</x:v>
      </x:c>
      <x:c r="AJ1159" s="32" t="n">
        <x:f>H1159*tun_CommonsCoef*AI1159^tun_CommonsExp*INDEX(LM_Commons,G1159)</x:f>
        <x:v>0</x:v>
      </x:c>
      <x:c r="AK1159" s="32" t="n">
        <x:f>H1159*tun_RoleScale*Arch_Roles*(AE1159*(INDEX(tun_ElderRolePerSett,G1159)*tun_OutElder*INDEX(LM_Elder,G1159)+INDEX(tun_ShamanPerSett,G1159)*tun_OutShaman)+Z1159*(INDEX(tun_PriestShare,G1159)*tun_OutPriest+INDEX(tun_ScribeShare,G1159)*tun_OutScribe*INDEX(LM_Scribe,G1159)+INDEX(tun_ScholarShare,G1159)*tun_OutScholar*INDEX(LM_Scholar,G1159)+INDEX(tun_ResearcherShare,G1159)*tun_OutResearcher*INDEX(LM_Researcher,G1159)))</x:f>
        <x:v>0</x:v>
      </x:c>
      <x:c r="AL1159" s="32" t="n">
        <x:f>H1159*tun_RoleScale*Arch_Roles*AE1159*INDEX(tun_MonasteryPerSett,G1159)*tun_OutMonastery*INDEX(LM_Monastery,G1159)</x:f>
        <x:v>0</x:v>
      </x:c>
      <x:c r="AM1159" s="32" t="n">
        <x:f>(AJ1159+AK1159+AL1159)/4*INDEX(LM_All,G1159)*INDEX(tun_Boon,G1159)*Arch_Insight</x:f>
        <x:v>0</x:v>
      </x:c>
      <x:c r="AN1159" s="32" t="n">
        <x:f>H1159*(tun_KHPerAdult*Z1159+tun_KHOfCommons*AJ1159/4*INDEX(LM_All,G1159))*tun_KHUsable*Arch_KH</x:f>
        <x:v>0</x:v>
      </x:c>
      <x:c r="AO1159" s="32" t="n">
        <x:f>MIN(AP1158+AN1159,AM1159*tun_KHMaxRatio)</x:f>
        <x:v>0</x:v>
      </x:c>
      <x:c r="AP1159" s="32" t="n">
        <x:f>AP1158+AN1159-AO1159</x:f>
        <x:v>0</x:v>
      </x:c>
      <x:c r="AQ1159" s="32" t="n">
        <x:f>AM1159+AO1159</x:f>
        <x:v>0</x:v>
      </x:c>
      <x:c r="AR1159" s="10" t="n">
        <x:f>IF(H1159=1,INDEX(tun_Req,G1159),0)</x:f>
        <x:v>0</x:v>
      </x:c>
      <x:c r="AS1159" s="32" t="n">
        <x:f>IF(H1159=1,IF(E1159=1,AS1158-AR1158,AS1158)+AQ1159,0)</x:f>
        <x:v>0</x:v>
      </x:c>
      <x:c r="AT1159" s="11" t="n">
        <x:f>IF(AR1159&gt;0,MIN(1,AS1159/AR1159),1)</x:f>
        <x:v>1</x:v>
      </x:c>
      <x:c r="AU1159" s="10" t="n">
        <x:f>AB1159/INDEX(tun_RepScale,G1159)</x:f>
        <x:v>290.3368848566301</x:v>
      </x:c>
      <x:c r="AV1159" s="32" t="n">
        <x:f>AM1159*60/tun_SeasonSeconds</x:f>
        <x:v>0</x:v>
      </x:c>
    </x:row>
    <x:row r="1160">
      <x:c r="A1160" s="8" t="n">
        <x:f>A1159+1</x:f>
        <x:v>1157</x:v>
      </x:c>
      <x:c r="B1160" s="9" t="n">
        <x:f>A1160*tun_SeasonSeconds/60</x:f>
        <x:v>289.25</x:v>
      </x:c>
      <x:c r="C1160" s="9" t="n">
        <x:f>A1160/4</x:f>
        <x:v>289.25</x:v>
      </x:c>
      <x:c r="D1160" s="8" t="n">
        <x:f>IF(MOD(A1160,4)=0,1,0)</x:f>
        <x:v>0</x:v>
      </x:c>
      <x:c r="E1160" s="8" t="n">
        <x:f>IF(AND(F1159&lt;=9,AS1159&gt;=AR1159),1,0)</x:f>
        <x:v>0</x:v>
      </x:c>
      <x:c r="F1160" s="8" t="n">
        <x:f>MIN(10,F1159+E1160)</x:f>
        <x:v>10</x:v>
      </x:c>
      <x:c r="G1160" s="8" t="n">
        <x:f>MIN(F1160,9)+1</x:f>
        <x:v>10</x:v>
      </x:c>
      <x:c r="H1160" s="8" t="n">
        <x:f>IF(F1160&lt;=9,1,0)</x:f>
        <x:v>0</x:v>
      </x:c>
      <x:c r="I1160" s="9" t="n">
        <x:f>MIN(10,F1159+IF(AR1159&gt;0,MIN(1,AS1159/AR1159),1))</x:f>
        <x:v>10</x:v>
      </x:c>
      <x:c r="J1160" s="32" t="n">
        <x:f>INDEX(tun_FoodCap,G1160)*Arch_FoodCap*EXP(tun_CapsByProject*SUMPRODUCT((Cap_Point&lt;=I1160)*(Cap_Kind="Food")*Cap_Ln))</x:f>
        <x:v>18627.260449441455</x:v>
      </x:c>
      <x:c r="K1160" s="32" t="n">
        <x:f>J1160*MIN(1,tun_LeanBase*EXP(tun_CapsByProject*SUMPRODUCT((Cap_Point&lt;=I1160)*(Cap_Kind="Lean")*Cap_Ln)))</x:f>
        <x:v>18627.260449441455</x:v>
      </x:c>
      <x:c r="L1160" s="10" t="n">
        <x:f>INDEX(tun_HousingCap,G1160)*EXP(tun_CapsByProject*SUMPRODUCT((Cap_Point&lt;=I1160)*(Cap_Kind="Housing")*Cap_Ln))</x:f>
        <x:v>20528.974303173167</x:v>
      </x:c>
      <x:c r="M1160" s="10" t="n">
        <x:f>INDEX(tun_GroupCap,G1160)*tun_CohesionFactor*EXP(tun_CapsByProject*SUMPRODUCT((Cap_Point&lt;=I1160)*(Cap_Kind="Group")*Cap_Ln))</x:f>
        <x:v>1000000.000000001</x:v>
      </x:c>
      <x:c r="N1160" s="32" t="n">
        <x:f>MIN(J1160,L1160,M1160)</x:f>
        <x:v>18627.260449441455</x:v>
      </x:c>
      <x:c r="O1160" s="10" t="n">
        <x:f>AE1159*N1160</x:f>
        <x:v>167645.34404497308</x:v>
      </x:c>
      <x:c r="P1160" s="9" t="n">
        <x:f>MIN(1,(AB1159/(AE1159*IF(tun_GroupInCrowding=1,N1160,MIN(J1160,L1160))))^tun_CrowdingExp)</x:f>
        <x:v>0.4215841981292809</x:v>
      </x:c>
      <x:c r="Q1160" s="9" t="n">
        <x:f>IF(D1160=1,INDEX(tun_WinterMult,G1160),1)</x:f>
        <x:v>1</x:v>
      </x:c>
      <x:c r="R1160" s="9" t="n">
        <x:f>H1160*Z1159*tun_WomenShare*tun_BaseFertility*INDEX(tun_FertMult,G1160)*Arch_Fertility*(1-P1160)</x:f>
        <x:v>0</x:v>
      </x:c>
      <x:c r="S1160" s="9" t="n">
        <x:f>H1160*Y1159*INDEX(tun_MortChild,G1160)/4*Q1160</x:f>
        <x:v>0</x:v>
      </x:c>
      <x:c r="T1160" s="9" t="n">
        <x:f>H1160*Z1159*INDEX(tun_MortAdult,G1160)*Arch_AdultMort/4*Q1160</x:f>
        <x:v>0</x:v>
      </x:c>
      <x:c r="U1160" s="9" t="n">
        <x:f>H1160*AA1159*INDEX(tun_MortElder,G1160)/4*Q1160</x:f>
        <x:v>0</x:v>
      </x:c>
      <x:c r="V1160" s="9" t="n">
        <x:f>H1160*MAX(0,AB1159-O1160)*tun_OvercapLoss</x:f>
        <x:v>0</x:v>
      </x:c>
      <x:c r="W1160" s="9" t="n">
        <x:f>H1160*Y1159/(tun_ChildYears*4)</x:f>
        <x:v>0</x:v>
      </x:c>
      <x:c r="X1160" s="9" t="n">
        <x:f>H1160*Z1159/(tun_AdultYears*4)</x:f>
        <x:v>0</x:v>
      </x:c>
      <x:c r="Y1160" s="32" t="n">
        <x:f>Y1159+R1160-S1160-W1160-Y1159*V1160/AB1159</x:f>
        <x:v>40496.20709015643</x:v>
      </x:c>
      <x:c r="Z1160" s="32" t="n">
        <x:f>Z1159+W1160-X1160-T1160-Z1159*V1160/AB1159</x:f>
        <x:v>59141.61122890803</x:v>
      </x:c>
      <x:c r="AA1160" s="32" t="n">
        <x:f>AA1159+X1160-U1160-AA1159*V1160/AB1159</x:f>
        <x:v>45530.62410925061</x:v>
      </x:c>
      <x:c r="AB1160" s="10" t="n">
        <x:f>Y1160+Z1160+AA1160</x:f>
        <x:v>145168.44242831506</x:v>
      </x:c>
      <x:c r="AC1160" s="8" t="n">
        <x:f>IF(AND(tun_WinterTrigger=1,D1160=1,AB1159/AE1159&gt;=K1160),1,0)</x:f>
        <x:v>0</x:v>
      </x:c>
      <x:c r="AD1160" s="8" t="n">
        <x:f>H1160*IF(AND(OR(AB1159/AE1159&gt;=tun_FissionTrigger*N1160,AC1160=1),AB1159/AE1159*tun_DaughterShare&gt;=tun_MinDaughter),MAX(1,ROUND(AE1159*tun_FissionRate,0)),0)</x:f>
        <x:v>0</x:v>
      </x:c>
      <x:c r="AE1160" s="8" t="n">
        <x:f>IF(H1160=1,MAX(1,MIN(INDEX(tun_Smax,G1160),AE1159+AD1160)),AE1159)</x:f>
        <x:v>9</x:v>
      </x:c>
      <x:c r="AF1160" s="8" t="n">
        <x:f>MAX(0,AE1160-AE1159)</x:f>
        <x:v>0</x:v>
      </x:c>
      <x:c r="AG1160" s="9" t="str">
        <x:f>IF(AF1160&gt;0,B1160,"")</x:f>
      </x:c>
      <x:c r="AH1160" s="9" t="n">
        <x:f>IF(F1160&gt;=1,1,(1+tun_LowTiesShare*(AE1160-1))/AE1160)</x:f>
        <x:v>1</x:v>
      </x:c>
      <x:c r="AI1160" s="32" t="n">
        <x:f>(Z1160+tun_ElderCommons*INDEX(LM_Elder,G1160)*AA1160)*AH1160</x:f>
        <x:v>238215.0665857503</x:v>
      </x:c>
      <x:c r="AJ1160" s="32" t="n">
        <x:f>H1160*tun_CommonsCoef*AI1160^tun_CommonsExp*INDEX(LM_Commons,G1160)</x:f>
        <x:v>0</x:v>
      </x:c>
      <x:c r="AK1160" s="32" t="n">
        <x:f>H1160*tun_RoleScale*Arch_Roles*(AE1160*(INDEX(tun_ElderRolePerSett,G1160)*tun_OutElder*INDEX(LM_Elder,G1160)+INDEX(tun_ShamanPerSett,G1160)*tun_OutShaman)+Z1160*(INDEX(tun_PriestShare,G1160)*tun_OutPriest+INDEX(tun_ScribeShare,G1160)*tun_OutScribe*INDEX(LM_Scribe,G1160)+INDEX(tun_ScholarShare,G1160)*tun_OutScholar*INDEX(LM_Scholar,G1160)+INDEX(tun_ResearcherShare,G1160)*tun_OutResearcher*INDEX(LM_Researcher,G1160)))</x:f>
        <x:v>0</x:v>
      </x:c>
      <x:c r="AL1160" s="32" t="n">
        <x:f>H1160*tun_RoleScale*Arch_Roles*AE1160*INDEX(tun_MonasteryPerSett,G1160)*tun_OutMonastery*INDEX(LM_Monastery,G1160)</x:f>
        <x:v>0</x:v>
      </x:c>
      <x:c r="AM1160" s="32" t="n">
        <x:f>(AJ1160+AK1160+AL1160)/4*INDEX(LM_All,G1160)*INDEX(tun_Boon,G1160)*Arch_Insight</x:f>
        <x:v>0</x:v>
      </x:c>
      <x:c r="AN1160" s="32" t="n">
        <x:f>H1160*(tun_KHPerAdult*Z1160+tun_KHOfCommons*AJ1160/4*INDEX(LM_All,G1160))*tun_KHUsable*Arch_KH</x:f>
        <x:v>0</x:v>
      </x:c>
      <x:c r="AO1160" s="32" t="n">
        <x:f>MIN(AP1159+AN1160,AM1160*tun_KHMaxRatio)</x:f>
        <x:v>0</x:v>
      </x:c>
      <x:c r="AP1160" s="32" t="n">
        <x:f>AP1159+AN1160-AO1160</x:f>
        <x:v>0</x:v>
      </x:c>
      <x:c r="AQ1160" s="32" t="n">
        <x:f>AM1160+AO1160</x:f>
        <x:v>0</x:v>
      </x:c>
      <x:c r="AR1160" s="10" t="n">
        <x:f>IF(H1160=1,INDEX(tun_Req,G1160),0)</x:f>
        <x:v>0</x:v>
      </x:c>
      <x:c r="AS1160" s="32" t="n">
        <x:f>IF(H1160=1,IF(E1160=1,AS1159-AR1159,AS1159)+AQ1160,0)</x:f>
        <x:v>0</x:v>
      </x:c>
      <x:c r="AT1160" s="11" t="n">
        <x:f>IF(AR1160&gt;0,MIN(1,AS1160/AR1160),1)</x:f>
        <x:v>1</x:v>
      </x:c>
      <x:c r="AU1160" s="10" t="n">
        <x:f>AB1160/INDEX(tun_RepScale,G1160)</x:f>
        <x:v>290.3368848566301</x:v>
      </x:c>
      <x:c r="AV1160" s="32" t="n">
        <x:f>AM1160*60/tun_SeasonSeconds</x:f>
        <x:v>0</x:v>
      </x:c>
    </x:row>
    <x:row r="1161">
      <x:c r="A1161" s="8" t="n">
        <x:f>A1160+1</x:f>
        <x:v>1158</x:v>
      </x:c>
      <x:c r="B1161" s="9" t="n">
        <x:f>A1161*tun_SeasonSeconds/60</x:f>
        <x:v>289.5</x:v>
      </x:c>
      <x:c r="C1161" s="9" t="n">
        <x:f>A1161/4</x:f>
        <x:v>289.5</x:v>
      </x:c>
      <x:c r="D1161" s="8" t="n">
        <x:f>IF(MOD(A1161,4)=0,1,0)</x:f>
        <x:v>0</x:v>
      </x:c>
      <x:c r="E1161" s="8" t="n">
        <x:f>IF(AND(F1160&lt;=9,AS1160&gt;=AR1160),1,0)</x:f>
        <x:v>0</x:v>
      </x:c>
      <x:c r="F1161" s="8" t="n">
        <x:f>MIN(10,F1160+E1161)</x:f>
        <x:v>10</x:v>
      </x:c>
      <x:c r="G1161" s="8" t="n">
        <x:f>MIN(F1161,9)+1</x:f>
        <x:v>10</x:v>
      </x:c>
      <x:c r="H1161" s="8" t="n">
        <x:f>IF(F1161&lt;=9,1,0)</x:f>
        <x:v>0</x:v>
      </x:c>
      <x:c r="I1161" s="9" t="n">
        <x:f>MIN(10,F1160+IF(AR1160&gt;0,MIN(1,AS1160/AR1160),1))</x:f>
        <x:v>10</x:v>
      </x:c>
      <x:c r="J1161" s="32" t="n">
        <x:f>INDEX(tun_FoodCap,G1161)*Arch_FoodCap*EXP(tun_CapsByProject*SUMPRODUCT((Cap_Point&lt;=I1161)*(Cap_Kind="Food")*Cap_Ln))</x:f>
        <x:v>18627.260449441455</x:v>
      </x:c>
      <x:c r="K1161" s="32" t="n">
        <x:f>J1161*MIN(1,tun_LeanBase*EXP(tun_CapsByProject*SUMPRODUCT((Cap_Point&lt;=I1161)*(Cap_Kind="Lean")*Cap_Ln)))</x:f>
        <x:v>18627.260449441455</x:v>
      </x:c>
      <x:c r="L1161" s="10" t="n">
        <x:f>INDEX(tun_HousingCap,G1161)*EXP(tun_CapsByProject*SUMPRODUCT((Cap_Point&lt;=I1161)*(Cap_Kind="Housing")*Cap_Ln))</x:f>
        <x:v>20528.974303173167</x:v>
      </x:c>
      <x:c r="M1161" s="10" t="n">
        <x:f>INDEX(tun_GroupCap,G1161)*tun_CohesionFactor*EXP(tun_CapsByProject*SUMPRODUCT((Cap_Point&lt;=I1161)*(Cap_Kind="Group")*Cap_Ln))</x:f>
        <x:v>1000000.000000001</x:v>
      </x:c>
      <x:c r="N1161" s="32" t="n">
        <x:f>MIN(J1161,L1161,M1161)</x:f>
        <x:v>18627.260449441455</x:v>
      </x:c>
      <x:c r="O1161" s="10" t="n">
        <x:f>AE1160*N1161</x:f>
        <x:v>167645.34404497308</x:v>
      </x:c>
      <x:c r="P1161" s="9" t="n">
        <x:f>MIN(1,(AB1160/(AE1160*IF(tun_GroupInCrowding=1,N1161,MIN(J1161,L1161))))^tun_CrowdingExp)</x:f>
        <x:v>0.4215841981292809</x:v>
      </x:c>
      <x:c r="Q1161" s="9" t="n">
        <x:f>IF(D1161=1,INDEX(tun_WinterMult,G1161),1)</x:f>
        <x:v>1</x:v>
      </x:c>
      <x:c r="R1161" s="9" t="n">
        <x:f>H1161*Z1160*tun_WomenShare*tun_BaseFertility*INDEX(tun_FertMult,G1161)*Arch_Fertility*(1-P1161)</x:f>
        <x:v>0</x:v>
      </x:c>
      <x:c r="S1161" s="9" t="n">
        <x:f>H1161*Y1160*INDEX(tun_MortChild,G1161)/4*Q1161</x:f>
        <x:v>0</x:v>
      </x:c>
      <x:c r="T1161" s="9" t="n">
        <x:f>H1161*Z1160*INDEX(tun_MortAdult,G1161)*Arch_AdultMort/4*Q1161</x:f>
        <x:v>0</x:v>
      </x:c>
      <x:c r="U1161" s="9" t="n">
        <x:f>H1161*AA1160*INDEX(tun_MortElder,G1161)/4*Q1161</x:f>
        <x:v>0</x:v>
      </x:c>
      <x:c r="V1161" s="9" t="n">
        <x:f>H1161*MAX(0,AB1160-O1161)*tun_OvercapLoss</x:f>
        <x:v>0</x:v>
      </x:c>
      <x:c r="W1161" s="9" t="n">
        <x:f>H1161*Y1160/(tun_ChildYears*4)</x:f>
        <x:v>0</x:v>
      </x:c>
      <x:c r="X1161" s="9" t="n">
        <x:f>H1161*Z1160/(tun_AdultYears*4)</x:f>
        <x:v>0</x:v>
      </x:c>
      <x:c r="Y1161" s="32" t="n">
        <x:f>Y1160+R1161-S1161-W1161-Y1160*V1161/AB1160</x:f>
        <x:v>40496.20709015643</x:v>
      </x:c>
      <x:c r="Z1161" s="32" t="n">
        <x:f>Z1160+W1161-X1161-T1161-Z1160*V1161/AB1160</x:f>
        <x:v>59141.61122890803</x:v>
      </x:c>
      <x:c r="AA1161" s="32" t="n">
        <x:f>AA1160+X1161-U1161-AA1160*V1161/AB1160</x:f>
        <x:v>45530.62410925061</x:v>
      </x:c>
      <x:c r="AB1161" s="10" t="n">
        <x:f>Y1161+Z1161+AA1161</x:f>
        <x:v>145168.44242831506</x:v>
      </x:c>
      <x:c r="AC1161" s="8" t="n">
        <x:f>IF(AND(tun_WinterTrigger=1,D1161=1,AB1160/AE1160&gt;=K1161),1,0)</x:f>
        <x:v>0</x:v>
      </x:c>
      <x:c r="AD1161" s="8" t="n">
        <x:f>H1161*IF(AND(OR(AB1160/AE1160&gt;=tun_FissionTrigger*N1161,AC1161=1),AB1160/AE1160*tun_DaughterShare&gt;=tun_MinDaughter),MAX(1,ROUND(AE1160*tun_FissionRate,0)),0)</x:f>
        <x:v>0</x:v>
      </x:c>
      <x:c r="AE1161" s="8" t="n">
        <x:f>IF(H1161=1,MAX(1,MIN(INDEX(tun_Smax,G1161),AE1160+AD1161)),AE1160)</x:f>
        <x:v>9</x:v>
      </x:c>
      <x:c r="AF1161" s="8" t="n">
        <x:f>MAX(0,AE1161-AE1160)</x:f>
        <x:v>0</x:v>
      </x:c>
      <x:c r="AG1161" s="9" t="str">
        <x:f>IF(AF1161&gt;0,B1161,"")</x:f>
      </x:c>
      <x:c r="AH1161" s="9" t="n">
        <x:f>IF(F1161&gt;=1,1,(1+tun_LowTiesShare*(AE1161-1))/AE1161)</x:f>
        <x:v>1</x:v>
      </x:c>
      <x:c r="AI1161" s="32" t="n">
        <x:f>(Z1161+tun_ElderCommons*INDEX(LM_Elder,G1161)*AA1161)*AH1161</x:f>
        <x:v>238215.0665857503</x:v>
      </x:c>
      <x:c r="AJ1161" s="32" t="n">
        <x:f>H1161*tun_CommonsCoef*AI1161^tun_CommonsExp*INDEX(LM_Commons,G1161)</x:f>
        <x:v>0</x:v>
      </x:c>
      <x:c r="AK1161" s="32" t="n">
        <x:f>H1161*tun_RoleScale*Arch_Roles*(AE1161*(INDEX(tun_ElderRolePerSett,G1161)*tun_OutElder*INDEX(LM_Elder,G1161)+INDEX(tun_ShamanPerSett,G1161)*tun_OutShaman)+Z1161*(INDEX(tun_PriestShare,G1161)*tun_OutPriest+INDEX(tun_ScribeShare,G1161)*tun_OutScribe*INDEX(LM_Scribe,G1161)+INDEX(tun_ScholarShare,G1161)*tun_OutScholar*INDEX(LM_Scholar,G1161)+INDEX(tun_ResearcherShare,G1161)*tun_OutResearcher*INDEX(LM_Researcher,G1161)))</x:f>
        <x:v>0</x:v>
      </x:c>
      <x:c r="AL1161" s="32" t="n">
        <x:f>H1161*tun_RoleScale*Arch_Roles*AE1161*INDEX(tun_MonasteryPerSett,G1161)*tun_OutMonastery*INDEX(LM_Monastery,G1161)</x:f>
        <x:v>0</x:v>
      </x:c>
      <x:c r="AM1161" s="32" t="n">
        <x:f>(AJ1161+AK1161+AL1161)/4*INDEX(LM_All,G1161)*INDEX(tun_Boon,G1161)*Arch_Insight</x:f>
        <x:v>0</x:v>
      </x:c>
      <x:c r="AN1161" s="32" t="n">
        <x:f>H1161*(tun_KHPerAdult*Z1161+tun_KHOfCommons*AJ1161/4*INDEX(LM_All,G1161))*tun_KHUsable*Arch_KH</x:f>
        <x:v>0</x:v>
      </x:c>
      <x:c r="AO1161" s="32" t="n">
        <x:f>MIN(AP1160+AN1161,AM1161*tun_KHMaxRatio)</x:f>
        <x:v>0</x:v>
      </x:c>
      <x:c r="AP1161" s="32" t="n">
        <x:f>AP1160+AN1161-AO1161</x:f>
        <x:v>0</x:v>
      </x:c>
      <x:c r="AQ1161" s="32" t="n">
        <x:f>AM1161+AO1161</x:f>
        <x:v>0</x:v>
      </x:c>
      <x:c r="AR1161" s="10" t="n">
        <x:f>IF(H1161=1,INDEX(tun_Req,G1161),0)</x:f>
        <x:v>0</x:v>
      </x:c>
      <x:c r="AS1161" s="32" t="n">
        <x:f>IF(H1161=1,IF(E1161=1,AS1160-AR1160,AS1160)+AQ1161,0)</x:f>
        <x:v>0</x:v>
      </x:c>
      <x:c r="AT1161" s="11" t="n">
        <x:f>IF(AR1161&gt;0,MIN(1,AS1161/AR1161),1)</x:f>
        <x:v>1</x:v>
      </x:c>
      <x:c r="AU1161" s="10" t="n">
        <x:f>AB1161/INDEX(tun_RepScale,G1161)</x:f>
        <x:v>290.3368848566301</x:v>
      </x:c>
      <x:c r="AV1161" s="32" t="n">
        <x:f>AM1161*60/tun_SeasonSeconds</x:f>
        <x:v>0</x:v>
      </x:c>
    </x:row>
    <x:row r="1162">
      <x:c r="A1162" s="8" t="n">
        <x:f>A1161+1</x:f>
        <x:v>1159</x:v>
      </x:c>
      <x:c r="B1162" s="9" t="n">
        <x:f>A1162*tun_SeasonSeconds/60</x:f>
        <x:v>289.75</x:v>
      </x:c>
      <x:c r="C1162" s="9" t="n">
        <x:f>A1162/4</x:f>
        <x:v>289.75</x:v>
      </x:c>
      <x:c r="D1162" s="8" t="n">
        <x:f>IF(MOD(A1162,4)=0,1,0)</x:f>
        <x:v>0</x:v>
      </x:c>
      <x:c r="E1162" s="8" t="n">
        <x:f>IF(AND(F1161&lt;=9,AS1161&gt;=AR1161),1,0)</x:f>
        <x:v>0</x:v>
      </x:c>
      <x:c r="F1162" s="8" t="n">
        <x:f>MIN(10,F1161+E1162)</x:f>
        <x:v>10</x:v>
      </x:c>
      <x:c r="G1162" s="8" t="n">
        <x:f>MIN(F1162,9)+1</x:f>
        <x:v>10</x:v>
      </x:c>
      <x:c r="H1162" s="8" t="n">
        <x:f>IF(F1162&lt;=9,1,0)</x:f>
        <x:v>0</x:v>
      </x:c>
      <x:c r="I1162" s="9" t="n">
        <x:f>MIN(10,F1161+IF(AR1161&gt;0,MIN(1,AS1161/AR1161),1))</x:f>
        <x:v>10</x:v>
      </x:c>
      <x:c r="J1162" s="32" t="n">
        <x:f>INDEX(tun_FoodCap,G1162)*Arch_FoodCap*EXP(tun_CapsByProject*SUMPRODUCT((Cap_Point&lt;=I1162)*(Cap_Kind="Food")*Cap_Ln))</x:f>
        <x:v>18627.260449441455</x:v>
      </x:c>
      <x:c r="K1162" s="32" t="n">
        <x:f>J1162*MIN(1,tun_LeanBase*EXP(tun_CapsByProject*SUMPRODUCT((Cap_Point&lt;=I1162)*(Cap_Kind="Lean")*Cap_Ln)))</x:f>
        <x:v>18627.260449441455</x:v>
      </x:c>
      <x:c r="L1162" s="10" t="n">
        <x:f>INDEX(tun_HousingCap,G1162)*EXP(tun_CapsByProject*SUMPRODUCT((Cap_Point&lt;=I1162)*(Cap_Kind="Housing")*Cap_Ln))</x:f>
        <x:v>20528.974303173167</x:v>
      </x:c>
      <x:c r="M1162" s="10" t="n">
        <x:f>INDEX(tun_GroupCap,G1162)*tun_CohesionFactor*EXP(tun_CapsByProject*SUMPRODUCT((Cap_Point&lt;=I1162)*(Cap_Kind="Group")*Cap_Ln))</x:f>
        <x:v>1000000.000000001</x:v>
      </x:c>
      <x:c r="N1162" s="32" t="n">
        <x:f>MIN(J1162,L1162,M1162)</x:f>
        <x:v>18627.260449441455</x:v>
      </x:c>
      <x:c r="O1162" s="10" t="n">
        <x:f>AE1161*N1162</x:f>
        <x:v>167645.34404497308</x:v>
      </x:c>
      <x:c r="P1162" s="9" t="n">
        <x:f>MIN(1,(AB1161/(AE1161*IF(tun_GroupInCrowding=1,N1162,MIN(J1162,L1162))))^tun_CrowdingExp)</x:f>
        <x:v>0.4215841981292809</x:v>
      </x:c>
      <x:c r="Q1162" s="9" t="n">
        <x:f>IF(D1162=1,INDEX(tun_WinterMult,G1162),1)</x:f>
        <x:v>1</x:v>
      </x:c>
      <x:c r="R1162" s="9" t="n">
        <x:f>H1162*Z1161*tun_WomenShare*tun_BaseFertility*INDEX(tun_FertMult,G1162)*Arch_Fertility*(1-P1162)</x:f>
        <x:v>0</x:v>
      </x:c>
      <x:c r="S1162" s="9" t="n">
        <x:f>H1162*Y1161*INDEX(tun_MortChild,G1162)/4*Q1162</x:f>
        <x:v>0</x:v>
      </x:c>
      <x:c r="T1162" s="9" t="n">
        <x:f>H1162*Z1161*INDEX(tun_MortAdult,G1162)*Arch_AdultMort/4*Q1162</x:f>
        <x:v>0</x:v>
      </x:c>
      <x:c r="U1162" s="9" t="n">
        <x:f>H1162*AA1161*INDEX(tun_MortElder,G1162)/4*Q1162</x:f>
        <x:v>0</x:v>
      </x:c>
      <x:c r="V1162" s="9" t="n">
        <x:f>H1162*MAX(0,AB1161-O1162)*tun_OvercapLoss</x:f>
        <x:v>0</x:v>
      </x:c>
      <x:c r="W1162" s="9" t="n">
        <x:f>H1162*Y1161/(tun_ChildYears*4)</x:f>
        <x:v>0</x:v>
      </x:c>
      <x:c r="X1162" s="9" t="n">
        <x:f>H1162*Z1161/(tun_AdultYears*4)</x:f>
        <x:v>0</x:v>
      </x:c>
      <x:c r="Y1162" s="32" t="n">
        <x:f>Y1161+R1162-S1162-W1162-Y1161*V1162/AB1161</x:f>
        <x:v>40496.20709015643</x:v>
      </x:c>
      <x:c r="Z1162" s="32" t="n">
        <x:f>Z1161+W1162-X1162-T1162-Z1161*V1162/AB1161</x:f>
        <x:v>59141.61122890803</x:v>
      </x:c>
      <x:c r="AA1162" s="32" t="n">
        <x:f>AA1161+X1162-U1162-AA1161*V1162/AB1161</x:f>
        <x:v>45530.62410925061</x:v>
      </x:c>
      <x:c r="AB1162" s="10" t="n">
        <x:f>Y1162+Z1162+AA1162</x:f>
        <x:v>145168.44242831506</x:v>
      </x:c>
      <x:c r="AC1162" s="8" t="n">
        <x:f>IF(AND(tun_WinterTrigger=1,D1162=1,AB1161/AE1161&gt;=K1162),1,0)</x:f>
        <x:v>0</x:v>
      </x:c>
      <x:c r="AD1162" s="8" t="n">
        <x:f>H1162*IF(AND(OR(AB1161/AE1161&gt;=tun_FissionTrigger*N1162,AC1162=1),AB1161/AE1161*tun_DaughterShare&gt;=tun_MinDaughter),MAX(1,ROUND(AE1161*tun_FissionRate,0)),0)</x:f>
        <x:v>0</x:v>
      </x:c>
      <x:c r="AE1162" s="8" t="n">
        <x:f>IF(H1162=1,MAX(1,MIN(INDEX(tun_Smax,G1162),AE1161+AD1162)),AE1161)</x:f>
        <x:v>9</x:v>
      </x:c>
      <x:c r="AF1162" s="8" t="n">
        <x:f>MAX(0,AE1162-AE1161)</x:f>
        <x:v>0</x:v>
      </x:c>
      <x:c r="AG1162" s="9" t="str">
        <x:f>IF(AF1162&gt;0,B1162,"")</x:f>
      </x:c>
      <x:c r="AH1162" s="9" t="n">
        <x:f>IF(F1162&gt;=1,1,(1+tun_LowTiesShare*(AE1162-1))/AE1162)</x:f>
        <x:v>1</x:v>
      </x:c>
      <x:c r="AI1162" s="32" t="n">
        <x:f>(Z1162+tun_ElderCommons*INDEX(LM_Elder,G1162)*AA1162)*AH1162</x:f>
        <x:v>238215.0665857503</x:v>
      </x:c>
      <x:c r="AJ1162" s="32" t="n">
        <x:f>H1162*tun_CommonsCoef*AI1162^tun_CommonsExp*INDEX(LM_Commons,G1162)</x:f>
        <x:v>0</x:v>
      </x:c>
      <x:c r="AK1162" s="32" t="n">
        <x:f>H1162*tun_RoleScale*Arch_Roles*(AE1162*(INDEX(tun_ElderRolePerSett,G1162)*tun_OutElder*INDEX(LM_Elder,G1162)+INDEX(tun_ShamanPerSett,G1162)*tun_OutShaman)+Z1162*(INDEX(tun_PriestShare,G1162)*tun_OutPriest+INDEX(tun_ScribeShare,G1162)*tun_OutScribe*INDEX(LM_Scribe,G1162)+INDEX(tun_ScholarShare,G1162)*tun_OutScholar*INDEX(LM_Scholar,G1162)+INDEX(tun_ResearcherShare,G1162)*tun_OutResearcher*INDEX(LM_Researcher,G1162)))</x:f>
        <x:v>0</x:v>
      </x:c>
      <x:c r="AL1162" s="32" t="n">
        <x:f>H1162*tun_RoleScale*Arch_Roles*AE1162*INDEX(tun_MonasteryPerSett,G1162)*tun_OutMonastery*INDEX(LM_Monastery,G1162)</x:f>
        <x:v>0</x:v>
      </x:c>
      <x:c r="AM1162" s="32" t="n">
        <x:f>(AJ1162+AK1162+AL1162)/4*INDEX(LM_All,G1162)*INDEX(tun_Boon,G1162)*Arch_Insight</x:f>
        <x:v>0</x:v>
      </x:c>
      <x:c r="AN1162" s="32" t="n">
        <x:f>H1162*(tun_KHPerAdult*Z1162+tun_KHOfCommons*AJ1162/4*INDEX(LM_All,G1162))*tun_KHUsable*Arch_KH</x:f>
        <x:v>0</x:v>
      </x:c>
      <x:c r="AO1162" s="32" t="n">
        <x:f>MIN(AP1161+AN1162,AM1162*tun_KHMaxRatio)</x:f>
        <x:v>0</x:v>
      </x:c>
      <x:c r="AP1162" s="32" t="n">
        <x:f>AP1161+AN1162-AO1162</x:f>
        <x:v>0</x:v>
      </x:c>
      <x:c r="AQ1162" s="32" t="n">
        <x:f>AM1162+AO1162</x:f>
        <x:v>0</x:v>
      </x:c>
      <x:c r="AR1162" s="10" t="n">
        <x:f>IF(H1162=1,INDEX(tun_Req,G1162),0)</x:f>
        <x:v>0</x:v>
      </x:c>
      <x:c r="AS1162" s="32" t="n">
        <x:f>IF(H1162=1,IF(E1162=1,AS1161-AR1161,AS1161)+AQ1162,0)</x:f>
        <x:v>0</x:v>
      </x:c>
      <x:c r="AT1162" s="11" t="n">
        <x:f>IF(AR1162&gt;0,MIN(1,AS1162/AR1162),1)</x:f>
        <x:v>1</x:v>
      </x:c>
      <x:c r="AU1162" s="10" t="n">
        <x:f>AB1162/INDEX(tun_RepScale,G1162)</x:f>
        <x:v>290.3368848566301</x:v>
      </x:c>
      <x:c r="AV1162" s="32" t="n">
        <x:f>AM1162*60/tun_SeasonSeconds</x:f>
        <x:v>0</x:v>
      </x:c>
    </x:row>
    <x:row r="1163">
      <x:c r="A1163" s="8" t="n">
        <x:f>A1162+1</x:f>
        <x:v>1160</x:v>
      </x:c>
      <x:c r="B1163" s="9" t="n">
        <x:f>A1163*tun_SeasonSeconds/60</x:f>
        <x:v>290</x:v>
      </x:c>
      <x:c r="C1163" s="9" t="n">
        <x:f>A1163/4</x:f>
        <x:v>290</x:v>
      </x:c>
      <x:c r="D1163" s="8" t="n">
        <x:f>IF(MOD(A1163,4)=0,1,0)</x:f>
        <x:v>1</x:v>
      </x:c>
      <x:c r="E1163" s="8" t="n">
        <x:f>IF(AND(F1162&lt;=9,AS1162&gt;=AR1162),1,0)</x:f>
        <x:v>0</x:v>
      </x:c>
      <x:c r="F1163" s="8" t="n">
        <x:f>MIN(10,F1162+E1163)</x:f>
        <x:v>10</x:v>
      </x:c>
      <x:c r="G1163" s="8" t="n">
        <x:f>MIN(F1163,9)+1</x:f>
        <x:v>10</x:v>
      </x:c>
      <x:c r="H1163" s="8" t="n">
        <x:f>IF(F1163&lt;=9,1,0)</x:f>
        <x:v>0</x:v>
      </x:c>
      <x:c r="I1163" s="9" t="n">
        <x:f>MIN(10,F1162+IF(AR1162&gt;0,MIN(1,AS1162/AR1162),1))</x:f>
        <x:v>10</x:v>
      </x:c>
      <x:c r="J1163" s="32" t="n">
        <x:f>INDEX(tun_FoodCap,G1163)*Arch_FoodCap*EXP(tun_CapsByProject*SUMPRODUCT((Cap_Point&lt;=I1163)*(Cap_Kind="Food")*Cap_Ln))</x:f>
        <x:v>18627.260449441455</x:v>
      </x:c>
      <x:c r="K1163" s="32" t="n">
        <x:f>J1163*MIN(1,tun_LeanBase*EXP(tun_CapsByProject*SUMPRODUCT((Cap_Point&lt;=I1163)*(Cap_Kind="Lean")*Cap_Ln)))</x:f>
        <x:v>18627.260449441455</x:v>
      </x:c>
      <x:c r="L1163" s="10" t="n">
        <x:f>INDEX(tun_HousingCap,G1163)*EXP(tun_CapsByProject*SUMPRODUCT((Cap_Point&lt;=I1163)*(Cap_Kind="Housing")*Cap_Ln))</x:f>
        <x:v>20528.974303173167</x:v>
      </x:c>
      <x:c r="M1163" s="10" t="n">
        <x:f>INDEX(tun_GroupCap,G1163)*tun_CohesionFactor*EXP(tun_CapsByProject*SUMPRODUCT((Cap_Point&lt;=I1163)*(Cap_Kind="Group")*Cap_Ln))</x:f>
        <x:v>1000000.000000001</x:v>
      </x:c>
      <x:c r="N1163" s="32" t="n">
        <x:f>MIN(J1163,L1163,M1163)</x:f>
        <x:v>18627.260449441455</x:v>
      </x:c>
      <x:c r="O1163" s="10" t="n">
        <x:f>AE1162*N1163</x:f>
        <x:v>167645.34404497308</x:v>
      </x:c>
      <x:c r="P1163" s="9" t="n">
        <x:f>MIN(1,(AB1162/(AE1162*IF(tun_GroupInCrowding=1,N1163,MIN(J1163,L1163))))^tun_CrowdingExp)</x:f>
        <x:v>0.4215841981292809</x:v>
      </x:c>
      <x:c r="Q1163" s="9" t="n">
        <x:f>IF(D1163=1,INDEX(tun_WinterMult,G1163),1)</x:f>
        <x:v>1.05</x:v>
      </x:c>
      <x:c r="R1163" s="9" t="n">
        <x:f>H1163*Z1162*tun_WomenShare*tun_BaseFertility*INDEX(tun_FertMult,G1163)*Arch_Fertility*(1-P1163)</x:f>
        <x:v>0</x:v>
      </x:c>
      <x:c r="S1163" s="9" t="n">
        <x:f>H1163*Y1162*INDEX(tun_MortChild,G1163)/4*Q1163</x:f>
        <x:v>0</x:v>
      </x:c>
      <x:c r="T1163" s="9" t="n">
        <x:f>H1163*Z1162*INDEX(tun_MortAdult,G1163)*Arch_AdultMort/4*Q1163</x:f>
        <x:v>0</x:v>
      </x:c>
      <x:c r="U1163" s="9" t="n">
        <x:f>H1163*AA1162*INDEX(tun_MortElder,G1163)/4*Q1163</x:f>
        <x:v>0</x:v>
      </x:c>
      <x:c r="V1163" s="9" t="n">
        <x:f>H1163*MAX(0,AB1162-O1163)*tun_OvercapLoss</x:f>
        <x:v>0</x:v>
      </x:c>
      <x:c r="W1163" s="9" t="n">
        <x:f>H1163*Y1162/(tun_ChildYears*4)</x:f>
        <x:v>0</x:v>
      </x:c>
      <x:c r="X1163" s="9" t="n">
        <x:f>H1163*Z1162/(tun_AdultYears*4)</x:f>
        <x:v>0</x:v>
      </x:c>
      <x:c r="Y1163" s="32" t="n">
        <x:f>Y1162+R1163-S1163-W1163-Y1162*V1163/AB1162</x:f>
        <x:v>40496.20709015643</x:v>
      </x:c>
      <x:c r="Z1163" s="32" t="n">
        <x:f>Z1162+W1163-X1163-T1163-Z1162*V1163/AB1162</x:f>
        <x:v>59141.61122890803</x:v>
      </x:c>
      <x:c r="AA1163" s="32" t="n">
        <x:f>AA1162+X1163-U1163-AA1162*V1163/AB1162</x:f>
        <x:v>45530.62410925061</x:v>
      </x:c>
      <x:c r="AB1163" s="10" t="n">
        <x:f>Y1163+Z1163+AA1163</x:f>
        <x:v>145168.44242831506</x:v>
      </x:c>
      <x:c r="AC1163" s="8" t="n">
        <x:f>IF(AND(tun_WinterTrigger=1,D1163=1,AB1162/AE1162&gt;=K1163),1,0)</x:f>
        <x:v>0</x:v>
      </x:c>
      <x:c r="AD1163" s="8" t="n">
        <x:f>H1163*IF(AND(OR(AB1162/AE1162&gt;=tun_FissionTrigger*N1163,AC1163=1),AB1162/AE1162*tun_DaughterShare&gt;=tun_MinDaughter),MAX(1,ROUND(AE1162*tun_FissionRate,0)),0)</x:f>
        <x:v>0</x:v>
      </x:c>
      <x:c r="AE1163" s="8" t="n">
        <x:f>IF(H1163=1,MAX(1,MIN(INDEX(tun_Smax,G1163),AE1162+AD1163)),AE1162)</x:f>
        <x:v>9</x:v>
      </x:c>
      <x:c r="AF1163" s="8" t="n">
        <x:f>MAX(0,AE1163-AE1162)</x:f>
        <x:v>0</x:v>
      </x:c>
      <x:c r="AG1163" s="9" t="str">
        <x:f>IF(AF1163&gt;0,B1163,"")</x:f>
      </x:c>
      <x:c r="AH1163" s="9" t="n">
        <x:f>IF(F1163&gt;=1,1,(1+tun_LowTiesShare*(AE1163-1))/AE1163)</x:f>
        <x:v>1</x:v>
      </x:c>
      <x:c r="AI1163" s="32" t="n">
        <x:f>(Z1163+tun_ElderCommons*INDEX(LM_Elder,G1163)*AA1163)*AH1163</x:f>
        <x:v>238215.0665857503</x:v>
      </x:c>
      <x:c r="AJ1163" s="32" t="n">
        <x:f>H1163*tun_CommonsCoef*AI1163^tun_CommonsExp*INDEX(LM_Commons,G1163)</x:f>
        <x:v>0</x:v>
      </x:c>
      <x:c r="AK1163" s="32" t="n">
        <x:f>H1163*tun_RoleScale*Arch_Roles*(AE1163*(INDEX(tun_ElderRolePerSett,G1163)*tun_OutElder*INDEX(LM_Elder,G1163)+INDEX(tun_ShamanPerSett,G1163)*tun_OutShaman)+Z1163*(INDEX(tun_PriestShare,G1163)*tun_OutPriest+INDEX(tun_ScribeShare,G1163)*tun_OutScribe*INDEX(LM_Scribe,G1163)+INDEX(tun_ScholarShare,G1163)*tun_OutScholar*INDEX(LM_Scholar,G1163)+INDEX(tun_ResearcherShare,G1163)*tun_OutResearcher*INDEX(LM_Researcher,G1163)))</x:f>
        <x:v>0</x:v>
      </x:c>
      <x:c r="AL1163" s="32" t="n">
        <x:f>H1163*tun_RoleScale*Arch_Roles*AE1163*INDEX(tun_MonasteryPerSett,G1163)*tun_OutMonastery*INDEX(LM_Monastery,G1163)</x:f>
        <x:v>0</x:v>
      </x:c>
      <x:c r="AM1163" s="32" t="n">
        <x:f>(AJ1163+AK1163+AL1163)/4*INDEX(LM_All,G1163)*INDEX(tun_Boon,G1163)*Arch_Insight</x:f>
        <x:v>0</x:v>
      </x:c>
      <x:c r="AN1163" s="32" t="n">
        <x:f>H1163*(tun_KHPerAdult*Z1163+tun_KHOfCommons*AJ1163/4*INDEX(LM_All,G1163))*tun_KHUsable*Arch_KH</x:f>
        <x:v>0</x:v>
      </x:c>
      <x:c r="AO1163" s="32" t="n">
        <x:f>MIN(AP1162+AN1163,AM1163*tun_KHMaxRatio)</x:f>
        <x:v>0</x:v>
      </x:c>
      <x:c r="AP1163" s="32" t="n">
        <x:f>AP1162+AN1163-AO1163</x:f>
        <x:v>0</x:v>
      </x:c>
      <x:c r="AQ1163" s="32" t="n">
        <x:f>AM1163+AO1163</x:f>
        <x:v>0</x:v>
      </x:c>
      <x:c r="AR1163" s="10" t="n">
        <x:f>IF(H1163=1,INDEX(tun_Req,G1163),0)</x:f>
        <x:v>0</x:v>
      </x:c>
      <x:c r="AS1163" s="32" t="n">
        <x:f>IF(H1163=1,IF(E1163=1,AS1162-AR1162,AS1162)+AQ1163,0)</x:f>
        <x:v>0</x:v>
      </x:c>
      <x:c r="AT1163" s="11" t="n">
        <x:f>IF(AR1163&gt;0,MIN(1,AS1163/AR1163),1)</x:f>
        <x:v>1</x:v>
      </x:c>
      <x:c r="AU1163" s="10" t="n">
        <x:f>AB1163/INDEX(tun_RepScale,G1163)</x:f>
        <x:v>290.3368848566301</x:v>
      </x:c>
      <x:c r="AV1163" s="32" t="n">
        <x:f>AM1163*60/tun_SeasonSeconds</x:f>
        <x:v>0</x:v>
      </x:c>
    </x:row>
    <x:row r="1164">
      <x:c r="A1164" s="8" t="n">
        <x:f>A1163+1</x:f>
        <x:v>1161</x:v>
      </x:c>
      <x:c r="B1164" s="9" t="n">
        <x:f>A1164*tun_SeasonSeconds/60</x:f>
        <x:v>290.25</x:v>
      </x:c>
      <x:c r="C1164" s="9" t="n">
        <x:f>A1164/4</x:f>
        <x:v>290.25</x:v>
      </x:c>
      <x:c r="D1164" s="8" t="n">
        <x:f>IF(MOD(A1164,4)=0,1,0)</x:f>
        <x:v>0</x:v>
      </x:c>
      <x:c r="E1164" s="8" t="n">
        <x:f>IF(AND(F1163&lt;=9,AS1163&gt;=AR1163),1,0)</x:f>
        <x:v>0</x:v>
      </x:c>
      <x:c r="F1164" s="8" t="n">
        <x:f>MIN(10,F1163+E1164)</x:f>
        <x:v>10</x:v>
      </x:c>
      <x:c r="G1164" s="8" t="n">
        <x:f>MIN(F1164,9)+1</x:f>
        <x:v>10</x:v>
      </x:c>
      <x:c r="H1164" s="8" t="n">
        <x:f>IF(F1164&lt;=9,1,0)</x:f>
        <x:v>0</x:v>
      </x:c>
      <x:c r="I1164" s="9" t="n">
        <x:f>MIN(10,F1163+IF(AR1163&gt;0,MIN(1,AS1163/AR1163),1))</x:f>
        <x:v>10</x:v>
      </x:c>
      <x:c r="J1164" s="32" t="n">
        <x:f>INDEX(tun_FoodCap,G1164)*Arch_FoodCap*EXP(tun_CapsByProject*SUMPRODUCT((Cap_Point&lt;=I1164)*(Cap_Kind="Food")*Cap_Ln))</x:f>
        <x:v>18627.260449441455</x:v>
      </x:c>
      <x:c r="K1164" s="32" t="n">
        <x:f>J1164*MIN(1,tun_LeanBase*EXP(tun_CapsByProject*SUMPRODUCT((Cap_Point&lt;=I1164)*(Cap_Kind="Lean")*Cap_Ln)))</x:f>
        <x:v>18627.260449441455</x:v>
      </x:c>
      <x:c r="L1164" s="10" t="n">
        <x:f>INDEX(tun_HousingCap,G1164)*EXP(tun_CapsByProject*SUMPRODUCT((Cap_Point&lt;=I1164)*(Cap_Kind="Housing")*Cap_Ln))</x:f>
        <x:v>20528.974303173167</x:v>
      </x:c>
      <x:c r="M1164" s="10" t="n">
        <x:f>INDEX(tun_GroupCap,G1164)*tun_CohesionFactor*EXP(tun_CapsByProject*SUMPRODUCT((Cap_Point&lt;=I1164)*(Cap_Kind="Group")*Cap_Ln))</x:f>
        <x:v>1000000.000000001</x:v>
      </x:c>
      <x:c r="N1164" s="32" t="n">
        <x:f>MIN(J1164,L1164,M1164)</x:f>
        <x:v>18627.260449441455</x:v>
      </x:c>
      <x:c r="O1164" s="10" t="n">
        <x:f>AE1163*N1164</x:f>
        <x:v>167645.34404497308</x:v>
      </x:c>
      <x:c r="P1164" s="9" t="n">
        <x:f>MIN(1,(AB1163/(AE1163*IF(tun_GroupInCrowding=1,N1164,MIN(J1164,L1164))))^tun_CrowdingExp)</x:f>
        <x:v>0.4215841981292809</x:v>
      </x:c>
      <x:c r="Q1164" s="9" t="n">
        <x:f>IF(D1164=1,INDEX(tun_WinterMult,G1164),1)</x:f>
        <x:v>1</x:v>
      </x:c>
      <x:c r="R1164" s="9" t="n">
        <x:f>H1164*Z1163*tun_WomenShare*tun_BaseFertility*INDEX(tun_FertMult,G1164)*Arch_Fertility*(1-P1164)</x:f>
        <x:v>0</x:v>
      </x:c>
      <x:c r="S1164" s="9" t="n">
        <x:f>H1164*Y1163*INDEX(tun_MortChild,G1164)/4*Q1164</x:f>
        <x:v>0</x:v>
      </x:c>
      <x:c r="T1164" s="9" t="n">
        <x:f>H1164*Z1163*INDEX(tun_MortAdult,G1164)*Arch_AdultMort/4*Q1164</x:f>
        <x:v>0</x:v>
      </x:c>
      <x:c r="U1164" s="9" t="n">
        <x:f>H1164*AA1163*INDEX(tun_MortElder,G1164)/4*Q1164</x:f>
        <x:v>0</x:v>
      </x:c>
      <x:c r="V1164" s="9" t="n">
        <x:f>H1164*MAX(0,AB1163-O1164)*tun_OvercapLoss</x:f>
        <x:v>0</x:v>
      </x:c>
      <x:c r="W1164" s="9" t="n">
        <x:f>H1164*Y1163/(tun_ChildYears*4)</x:f>
        <x:v>0</x:v>
      </x:c>
      <x:c r="X1164" s="9" t="n">
        <x:f>H1164*Z1163/(tun_AdultYears*4)</x:f>
        <x:v>0</x:v>
      </x:c>
      <x:c r="Y1164" s="32" t="n">
        <x:f>Y1163+R1164-S1164-W1164-Y1163*V1164/AB1163</x:f>
        <x:v>40496.20709015643</x:v>
      </x:c>
      <x:c r="Z1164" s="32" t="n">
        <x:f>Z1163+W1164-X1164-T1164-Z1163*V1164/AB1163</x:f>
        <x:v>59141.61122890803</x:v>
      </x:c>
      <x:c r="AA1164" s="32" t="n">
        <x:f>AA1163+X1164-U1164-AA1163*V1164/AB1163</x:f>
        <x:v>45530.62410925061</x:v>
      </x:c>
      <x:c r="AB1164" s="10" t="n">
        <x:f>Y1164+Z1164+AA1164</x:f>
        <x:v>145168.44242831506</x:v>
      </x:c>
      <x:c r="AC1164" s="8" t="n">
        <x:f>IF(AND(tun_WinterTrigger=1,D1164=1,AB1163/AE1163&gt;=K1164),1,0)</x:f>
        <x:v>0</x:v>
      </x:c>
      <x:c r="AD1164" s="8" t="n">
        <x:f>H1164*IF(AND(OR(AB1163/AE1163&gt;=tun_FissionTrigger*N1164,AC1164=1),AB1163/AE1163*tun_DaughterShare&gt;=tun_MinDaughter),MAX(1,ROUND(AE1163*tun_FissionRate,0)),0)</x:f>
        <x:v>0</x:v>
      </x:c>
      <x:c r="AE1164" s="8" t="n">
        <x:f>IF(H1164=1,MAX(1,MIN(INDEX(tun_Smax,G1164),AE1163+AD1164)),AE1163)</x:f>
        <x:v>9</x:v>
      </x:c>
      <x:c r="AF1164" s="8" t="n">
        <x:f>MAX(0,AE1164-AE1163)</x:f>
        <x:v>0</x:v>
      </x:c>
      <x:c r="AG1164" s="9" t="str">
        <x:f>IF(AF1164&gt;0,B1164,"")</x:f>
      </x:c>
      <x:c r="AH1164" s="9" t="n">
        <x:f>IF(F1164&gt;=1,1,(1+tun_LowTiesShare*(AE1164-1))/AE1164)</x:f>
        <x:v>1</x:v>
      </x:c>
      <x:c r="AI1164" s="32" t="n">
        <x:f>(Z1164+tun_ElderCommons*INDEX(LM_Elder,G1164)*AA1164)*AH1164</x:f>
        <x:v>238215.0665857503</x:v>
      </x:c>
      <x:c r="AJ1164" s="32" t="n">
        <x:f>H1164*tun_CommonsCoef*AI1164^tun_CommonsExp*INDEX(LM_Commons,G1164)</x:f>
        <x:v>0</x:v>
      </x:c>
      <x:c r="AK1164" s="32" t="n">
        <x:f>H1164*tun_RoleScale*Arch_Roles*(AE1164*(INDEX(tun_ElderRolePerSett,G1164)*tun_OutElder*INDEX(LM_Elder,G1164)+INDEX(tun_ShamanPerSett,G1164)*tun_OutShaman)+Z1164*(INDEX(tun_PriestShare,G1164)*tun_OutPriest+INDEX(tun_ScribeShare,G1164)*tun_OutScribe*INDEX(LM_Scribe,G1164)+INDEX(tun_ScholarShare,G1164)*tun_OutScholar*INDEX(LM_Scholar,G1164)+INDEX(tun_ResearcherShare,G1164)*tun_OutResearcher*INDEX(LM_Researcher,G1164)))</x:f>
        <x:v>0</x:v>
      </x:c>
      <x:c r="AL1164" s="32" t="n">
        <x:f>H1164*tun_RoleScale*Arch_Roles*AE1164*INDEX(tun_MonasteryPerSett,G1164)*tun_OutMonastery*INDEX(LM_Monastery,G1164)</x:f>
        <x:v>0</x:v>
      </x:c>
      <x:c r="AM1164" s="32" t="n">
        <x:f>(AJ1164+AK1164+AL1164)/4*INDEX(LM_All,G1164)*INDEX(tun_Boon,G1164)*Arch_Insight</x:f>
        <x:v>0</x:v>
      </x:c>
      <x:c r="AN1164" s="32" t="n">
        <x:f>H1164*(tun_KHPerAdult*Z1164+tun_KHOfCommons*AJ1164/4*INDEX(LM_All,G1164))*tun_KHUsable*Arch_KH</x:f>
        <x:v>0</x:v>
      </x:c>
      <x:c r="AO1164" s="32" t="n">
        <x:f>MIN(AP1163+AN1164,AM1164*tun_KHMaxRatio)</x:f>
        <x:v>0</x:v>
      </x:c>
      <x:c r="AP1164" s="32" t="n">
        <x:f>AP1163+AN1164-AO1164</x:f>
        <x:v>0</x:v>
      </x:c>
      <x:c r="AQ1164" s="32" t="n">
        <x:f>AM1164+AO1164</x:f>
        <x:v>0</x:v>
      </x:c>
      <x:c r="AR1164" s="10" t="n">
        <x:f>IF(H1164=1,INDEX(tun_Req,G1164),0)</x:f>
        <x:v>0</x:v>
      </x:c>
      <x:c r="AS1164" s="32" t="n">
        <x:f>IF(H1164=1,IF(E1164=1,AS1163-AR1163,AS1163)+AQ1164,0)</x:f>
        <x:v>0</x:v>
      </x:c>
      <x:c r="AT1164" s="11" t="n">
        <x:f>IF(AR1164&gt;0,MIN(1,AS1164/AR1164),1)</x:f>
        <x:v>1</x:v>
      </x:c>
      <x:c r="AU1164" s="10" t="n">
        <x:f>AB1164/INDEX(tun_RepScale,G1164)</x:f>
        <x:v>290.3368848566301</x:v>
      </x:c>
      <x:c r="AV1164" s="32" t="n">
        <x:f>AM1164*60/tun_SeasonSeconds</x:f>
        <x:v>0</x:v>
      </x:c>
    </x:row>
    <x:row r="1165">
      <x:c r="A1165" s="8" t="n">
        <x:f>A1164+1</x:f>
        <x:v>1162</x:v>
      </x:c>
      <x:c r="B1165" s="9" t="n">
        <x:f>A1165*tun_SeasonSeconds/60</x:f>
        <x:v>290.5</x:v>
      </x:c>
      <x:c r="C1165" s="9" t="n">
        <x:f>A1165/4</x:f>
        <x:v>290.5</x:v>
      </x:c>
      <x:c r="D1165" s="8" t="n">
        <x:f>IF(MOD(A1165,4)=0,1,0)</x:f>
        <x:v>0</x:v>
      </x:c>
      <x:c r="E1165" s="8" t="n">
        <x:f>IF(AND(F1164&lt;=9,AS1164&gt;=AR1164),1,0)</x:f>
        <x:v>0</x:v>
      </x:c>
      <x:c r="F1165" s="8" t="n">
        <x:f>MIN(10,F1164+E1165)</x:f>
        <x:v>10</x:v>
      </x:c>
      <x:c r="G1165" s="8" t="n">
        <x:f>MIN(F1165,9)+1</x:f>
        <x:v>10</x:v>
      </x:c>
      <x:c r="H1165" s="8" t="n">
        <x:f>IF(F1165&lt;=9,1,0)</x:f>
        <x:v>0</x:v>
      </x:c>
      <x:c r="I1165" s="9" t="n">
        <x:f>MIN(10,F1164+IF(AR1164&gt;0,MIN(1,AS1164/AR1164),1))</x:f>
        <x:v>10</x:v>
      </x:c>
      <x:c r="J1165" s="32" t="n">
        <x:f>INDEX(tun_FoodCap,G1165)*Arch_FoodCap*EXP(tun_CapsByProject*SUMPRODUCT((Cap_Point&lt;=I1165)*(Cap_Kind="Food")*Cap_Ln))</x:f>
        <x:v>18627.260449441455</x:v>
      </x:c>
      <x:c r="K1165" s="32" t="n">
        <x:f>J1165*MIN(1,tun_LeanBase*EXP(tun_CapsByProject*SUMPRODUCT((Cap_Point&lt;=I1165)*(Cap_Kind="Lean")*Cap_Ln)))</x:f>
        <x:v>18627.260449441455</x:v>
      </x:c>
      <x:c r="L1165" s="10" t="n">
        <x:f>INDEX(tun_HousingCap,G1165)*EXP(tun_CapsByProject*SUMPRODUCT((Cap_Point&lt;=I1165)*(Cap_Kind="Housing")*Cap_Ln))</x:f>
        <x:v>20528.974303173167</x:v>
      </x:c>
      <x:c r="M1165" s="10" t="n">
        <x:f>INDEX(tun_GroupCap,G1165)*tun_CohesionFactor*EXP(tun_CapsByProject*SUMPRODUCT((Cap_Point&lt;=I1165)*(Cap_Kind="Group")*Cap_Ln))</x:f>
        <x:v>1000000.000000001</x:v>
      </x:c>
      <x:c r="N1165" s="32" t="n">
        <x:f>MIN(J1165,L1165,M1165)</x:f>
        <x:v>18627.260449441455</x:v>
      </x:c>
      <x:c r="O1165" s="10" t="n">
        <x:f>AE1164*N1165</x:f>
        <x:v>167645.34404497308</x:v>
      </x:c>
      <x:c r="P1165" s="9" t="n">
        <x:f>MIN(1,(AB1164/(AE1164*IF(tun_GroupInCrowding=1,N1165,MIN(J1165,L1165))))^tun_CrowdingExp)</x:f>
        <x:v>0.4215841981292809</x:v>
      </x:c>
      <x:c r="Q1165" s="9" t="n">
        <x:f>IF(D1165=1,INDEX(tun_WinterMult,G1165),1)</x:f>
        <x:v>1</x:v>
      </x:c>
      <x:c r="R1165" s="9" t="n">
        <x:f>H1165*Z1164*tun_WomenShare*tun_BaseFertility*INDEX(tun_FertMult,G1165)*Arch_Fertility*(1-P1165)</x:f>
        <x:v>0</x:v>
      </x:c>
      <x:c r="S1165" s="9" t="n">
        <x:f>H1165*Y1164*INDEX(tun_MortChild,G1165)/4*Q1165</x:f>
        <x:v>0</x:v>
      </x:c>
      <x:c r="T1165" s="9" t="n">
        <x:f>H1165*Z1164*INDEX(tun_MortAdult,G1165)*Arch_AdultMort/4*Q1165</x:f>
        <x:v>0</x:v>
      </x:c>
      <x:c r="U1165" s="9" t="n">
        <x:f>H1165*AA1164*INDEX(tun_MortElder,G1165)/4*Q1165</x:f>
        <x:v>0</x:v>
      </x:c>
      <x:c r="V1165" s="9" t="n">
        <x:f>H1165*MAX(0,AB1164-O1165)*tun_OvercapLoss</x:f>
        <x:v>0</x:v>
      </x:c>
      <x:c r="W1165" s="9" t="n">
        <x:f>H1165*Y1164/(tun_ChildYears*4)</x:f>
        <x:v>0</x:v>
      </x:c>
      <x:c r="X1165" s="9" t="n">
        <x:f>H1165*Z1164/(tun_AdultYears*4)</x:f>
        <x:v>0</x:v>
      </x:c>
      <x:c r="Y1165" s="32" t="n">
        <x:f>Y1164+R1165-S1165-W1165-Y1164*V1165/AB1164</x:f>
        <x:v>40496.20709015643</x:v>
      </x:c>
      <x:c r="Z1165" s="32" t="n">
        <x:f>Z1164+W1165-X1165-T1165-Z1164*V1165/AB1164</x:f>
        <x:v>59141.61122890803</x:v>
      </x:c>
      <x:c r="AA1165" s="32" t="n">
        <x:f>AA1164+X1165-U1165-AA1164*V1165/AB1164</x:f>
        <x:v>45530.62410925061</x:v>
      </x:c>
      <x:c r="AB1165" s="10" t="n">
        <x:f>Y1165+Z1165+AA1165</x:f>
        <x:v>145168.44242831506</x:v>
      </x:c>
      <x:c r="AC1165" s="8" t="n">
        <x:f>IF(AND(tun_WinterTrigger=1,D1165=1,AB1164/AE1164&gt;=K1165),1,0)</x:f>
        <x:v>0</x:v>
      </x:c>
      <x:c r="AD1165" s="8" t="n">
        <x:f>H1165*IF(AND(OR(AB1164/AE1164&gt;=tun_FissionTrigger*N1165,AC1165=1),AB1164/AE1164*tun_DaughterShare&gt;=tun_MinDaughter),MAX(1,ROUND(AE1164*tun_FissionRate,0)),0)</x:f>
        <x:v>0</x:v>
      </x:c>
      <x:c r="AE1165" s="8" t="n">
        <x:f>IF(H1165=1,MAX(1,MIN(INDEX(tun_Smax,G1165),AE1164+AD1165)),AE1164)</x:f>
        <x:v>9</x:v>
      </x:c>
      <x:c r="AF1165" s="8" t="n">
        <x:f>MAX(0,AE1165-AE1164)</x:f>
        <x:v>0</x:v>
      </x:c>
      <x:c r="AG1165" s="9" t="str">
        <x:f>IF(AF1165&gt;0,B1165,"")</x:f>
      </x:c>
      <x:c r="AH1165" s="9" t="n">
        <x:f>IF(F1165&gt;=1,1,(1+tun_LowTiesShare*(AE1165-1))/AE1165)</x:f>
        <x:v>1</x:v>
      </x:c>
      <x:c r="AI1165" s="32" t="n">
        <x:f>(Z1165+tun_ElderCommons*INDEX(LM_Elder,G1165)*AA1165)*AH1165</x:f>
        <x:v>238215.0665857503</x:v>
      </x:c>
      <x:c r="AJ1165" s="32" t="n">
        <x:f>H1165*tun_CommonsCoef*AI1165^tun_CommonsExp*INDEX(LM_Commons,G1165)</x:f>
        <x:v>0</x:v>
      </x:c>
      <x:c r="AK1165" s="32" t="n">
        <x:f>H1165*tun_RoleScale*Arch_Roles*(AE1165*(INDEX(tun_ElderRolePerSett,G1165)*tun_OutElder*INDEX(LM_Elder,G1165)+INDEX(tun_ShamanPerSett,G1165)*tun_OutShaman)+Z1165*(INDEX(tun_PriestShare,G1165)*tun_OutPriest+INDEX(tun_ScribeShare,G1165)*tun_OutScribe*INDEX(LM_Scribe,G1165)+INDEX(tun_ScholarShare,G1165)*tun_OutScholar*INDEX(LM_Scholar,G1165)+INDEX(tun_ResearcherShare,G1165)*tun_OutResearcher*INDEX(LM_Researcher,G1165)))</x:f>
        <x:v>0</x:v>
      </x:c>
      <x:c r="AL1165" s="32" t="n">
        <x:f>H1165*tun_RoleScale*Arch_Roles*AE1165*INDEX(tun_MonasteryPerSett,G1165)*tun_OutMonastery*INDEX(LM_Monastery,G1165)</x:f>
        <x:v>0</x:v>
      </x:c>
      <x:c r="AM1165" s="32" t="n">
        <x:f>(AJ1165+AK1165+AL1165)/4*INDEX(LM_All,G1165)*INDEX(tun_Boon,G1165)*Arch_Insight</x:f>
        <x:v>0</x:v>
      </x:c>
      <x:c r="AN1165" s="32" t="n">
        <x:f>H1165*(tun_KHPerAdult*Z1165+tun_KHOfCommons*AJ1165/4*INDEX(LM_All,G1165))*tun_KHUsable*Arch_KH</x:f>
        <x:v>0</x:v>
      </x:c>
      <x:c r="AO1165" s="32" t="n">
        <x:f>MIN(AP1164+AN1165,AM1165*tun_KHMaxRatio)</x:f>
        <x:v>0</x:v>
      </x:c>
      <x:c r="AP1165" s="32" t="n">
        <x:f>AP1164+AN1165-AO1165</x:f>
        <x:v>0</x:v>
      </x:c>
      <x:c r="AQ1165" s="32" t="n">
        <x:f>AM1165+AO1165</x:f>
        <x:v>0</x:v>
      </x:c>
      <x:c r="AR1165" s="10" t="n">
        <x:f>IF(H1165=1,INDEX(tun_Req,G1165),0)</x:f>
        <x:v>0</x:v>
      </x:c>
      <x:c r="AS1165" s="32" t="n">
        <x:f>IF(H1165=1,IF(E1165=1,AS1164-AR1164,AS1164)+AQ1165,0)</x:f>
        <x:v>0</x:v>
      </x:c>
      <x:c r="AT1165" s="11" t="n">
        <x:f>IF(AR1165&gt;0,MIN(1,AS1165/AR1165),1)</x:f>
        <x:v>1</x:v>
      </x:c>
      <x:c r="AU1165" s="10" t="n">
        <x:f>AB1165/INDEX(tun_RepScale,G1165)</x:f>
        <x:v>290.3368848566301</x:v>
      </x:c>
      <x:c r="AV1165" s="32" t="n">
        <x:f>AM1165*60/tun_SeasonSeconds</x:f>
        <x:v>0</x:v>
      </x:c>
    </x:row>
    <x:row r="1166">
      <x:c r="A1166" s="8" t="n">
        <x:f>A1165+1</x:f>
        <x:v>1163</x:v>
      </x:c>
      <x:c r="B1166" s="9" t="n">
        <x:f>A1166*tun_SeasonSeconds/60</x:f>
        <x:v>290.75</x:v>
      </x:c>
      <x:c r="C1166" s="9" t="n">
        <x:f>A1166/4</x:f>
        <x:v>290.75</x:v>
      </x:c>
      <x:c r="D1166" s="8" t="n">
        <x:f>IF(MOD(A1166,4)=0,1,0)</x:f>
        <x:v>0</x:v>
      </x:c>
      <x:c r="E1166" s="8" t="n">
        <x:f>IF(AND(F1165&lt;=9,AS1165&gt;=AR1165),1,0)</x:f>
        <x:v>0</x:v>
      </x:c>
      <x:c r="F1166" s="8" t="n">
        <x:f>MIN(10,F1165+E1166)</x:f>
        <x:v>10</x:v>
      </x:c>
      <x:c r="G1166" s="8" t="n">
        <x:f>MIN(F1166,9)+1</x:f>
        <x:v>10</x:v>
      </x:c>
      <x:c r="H1166" s="8" t="n">
        <x:f>IF(F1166&lt;=9,1,0)</x:f>
        <x:v>0</x:v>
      </x:c>
      <x:c r="I1166" s="9" t="n">
        <x:f>MIN(10,F1165+IF(AR1165&gt;0,MIN(1,AS1165/AR1165),1))</x:f>
        <x:v>10</x:v>
      </x:c>
      <x:c r="J1166" s="32" t="n">
        <x:f>INDEX(tun_FoodCap,G1166)*Arch_FoodCap*EXP(tun_CapsByProject*SUMPRODUCT((Cap_Point&lt;=I1166)*(Cap_Kind="Food")*Cap_Ln))</x:f>
        <x:v>18627.260449441455</x:v>
      </x:c>
      <x:c r="K1166" s="32" t="n">
        <x:f>J1166*MIN(1,tun_LeanBase*EXP(tun_CapsByProject*SUMPRODUCT((Cap_Point&lt;=I1166)*(Cap_Kind="Lean")*Cap_Ln)))</x:f>
        <x:v>18627.260449441455</x:v>
      </x:c>
      <x:c r="L1166" s="10" t="n">
        <x:f>INDEX(tun_HousingCap,G1166)*EXP(tun_CapsByProject*SUMPRODUCT((Cap_Point&lt;=I1166)*(Cap_Kind="Housing")*Cap_Ln))</x:f>
        <x:v>20528.974303173167</x:v>
      </x:c>
      <x:c r="M1166" s="10" t="n">
        <x:f>INDEX(tun_GroupCap,G1166)*tun_CohesionFactor*EXP(tun_CapsByProject*SUMPRODUCT((Cap_Point&lt;=I1166)*(Cap_Kind="Group")*Cap_Ln))</x:f>
        <x:v>1000000.000000001</x:v>
      </x:c>
      <x:c r="N1166" s="32" t="n">
        <x:f>MIN(J1166,L1166,M1166)</x:f>
        <x:v>18627.260449441455</x:v>
      </x:c>
      <x:c r="O1166" s="10" t="n">
        <x:f>AE1165*N1166</x:f>
        <x:v>167645.34404497308</x:v>
      </x:c>
      <x:c r="P1166" s="9" t="n">
        <x:f>MIN(1,(AB1165/(AE1165*IF(tun_GroupInCrowding=1,N1166,MIN(J1166,L1166))))^tun_CrowdingExp)</x:f>
        <x:v>0.4215841981292809</x:v>
      </x:c>
      <x:c r="Q1166" s="9" t="n">
        <x:f>IF(D1166=1,INDEX(tun_WinterMult,G1166),1)</x:f>
        <x:v>1</x:v>
      </x:c>
      <x:c r="R1166" s="9" t="n">
        <x:f>H1166*Z1165*tun_WomenShare*tun_BaseFertility*INDEX(tun_FertMult,G1166)*Arch_Fertility*(1-P1166)</x:f>
        <x:v>0</x:v>
      </x:c>
      <x:c r="S1166" s="9" t="n">
        <x:f>H1166*Y1165*INDEX(tun_MortChild,G1166)/4*Q1166</x:f>
        <x:v>0</x:v>
      </x:c>
      <x:c r="T1166" s="9" t="n">
        <x:f>H1166*Z1165*INDEX(tun_MortAdult,G1166)*Arch_AdultMort/4*Q1166</x:f>
        <x:v>0</x:v>
      </x:c>
      <x:c r="U1166" s="9" t="n">
        <x:f>H1166*AA1165*INDEX(tun_MortElder,G1166)/4*Q1166</x:f>
        <x:v>0</x:v>
      </x:c>
      <x:c r="V1166" s="9" t="n">
        <x:f>H1166*MAX(0,AB1165-O1166)*tun_OvercapLoss</x:f>
        <x:v>0</x:v>
      </x:c>
      <x:c r="W1166" s="9" t="n">
        <x:f>H1166*Y1165/(tun_ChildYears*4)</x:f>
        <x:v>0</x:v>
      </x:c>
      <x:c r="X1166" s="9" t="n">
        <x:f>H1166*Z1165/(tun_AdultYears*4)</x:f>
        <x:v>0</x:v>
      </x:c>
      <x:c r="Y1166" s="32" t="n">
        <x:f>Y1165+R1166-S1166-W1166-Y1165*V1166/AB1165</x:f>
        <x:v>40496.20709015643</x:v>
      </x:c>
      <x:c r="Z1166" s="32" t="n">
        <x:f>Z1165+W1166-X1166-T1166-Z1165*V1166/AB1165</x:f>
        <x:v>59141.61122890803</x:v>
      </x:c>
      <x:c r="AA1166" s="32" t="n">
        <x:f>AA1165+X1166-U1166-AA1165*V1166/AB1165</x:f>
        <x:v>45530.62410925061</x:v>
      </x:c>
      <x:c r="AB1166" s="10" t="n">
        <x:f>Y1166+Z1166+AA1166</x:f>
        <x:v>145168.44242831506</x:v>
      </x:c>
      <x:c r="AC1166" s="8" t="n">
        <x:f>IF(AND(tun_WinterTrigger=1,D1166=1,AB1165/AE1165&gt;=K1166),1,0)</x:f>
        <x:v>0</x:v>
      </x:c>
      <x:c r="AD1166" s="8" t="n">
        <x:f>H1166*IF(AND(OR(AB1165/AE1165&gt;=tun_FissionTrigger*N1166,AC1166=1),AB1165/AE1165*tun_DaughterShare&gt;=tun_MinDaughter),MAX(1,ROUND(AE1165*tun_FissionRate,0)),0)</x:f>
        <x:v>0</x:v>
      </x:c>
      <x:c r="AE1166" s="8" t="n">
        <x:f>IF(H1166=1,MAX(1,MIN(INDEX(tun_Smax,G1166),AE1165+AD1166)),AE1165)</x:f>
        <x:v>9</x:v>
      </x:c>
      <x:c r="AF1166" s="8" t="n">
        <x:f>MAX(0,AE1166-AE1165)</x:f>
        <x:v>0</x:v>
      </x:c>
      <x:c r="AG1166" s="9" t="str">
        <x:f>IF(AF1166&gt;0,B1166,"")</x:f>
      </x:c>
      <x:c r="AH1166" s="9" t="n">
        <x:f>IF(F1166&gt;=1,1,(1+tun_LowTiesShare*(AE1166-1))/AE1166)</x:f>
        <x:v>1</x:v>
      </x:c>
      <x:c r="AI1166" s="32" t="n">
        <x:f>(Z1166+tun_ElderCommons*INDEX(LM_Elder,G1166)*AA1166)*AH1166</x:f>
        <x:v>238215.0665857503</x:v>
      </x:c>
      <x:c r="AJ1166" s="32" t="n">
        <x:f>H1166*tun_CommonsCoef*AI1166^tun_CommonsExp*INDEX(LM_Commons,G1166)</x:f>
        <x:v>0</x:v>
      </x:c>
      <x:c r="AK1166" s="32" t="n">
        <x:f>H1166*tun_RoleScale*Arch_Roles*(AE1166*(INDEX(tun_ElderRolePerSett,G1166)*tun_OutElder*INDEX(LM_Elder,G1166)+INDEX(tun_ShamanPerSett,G1166)*tun_OutShaman)+Z1166*(INDEX(tun_PriestShare,G1166)*tun_OutPriest+INDEX(tun_ScribeShare,G1166)*tun_OutScribe*INDEX(LM_Scribe,G1166)+INDEX(tun_ScholarShare,G1166)*tun_OutScholar*INDEX(LM_Scholar,G1166)+INDEX(tun_ResearcherShare,G1166)*tun_OutResearcher*INDEX(LM_Researcher,G1166)))</x:f>
        <x:v>0</x:v>
      </x:c>
      <x:c r="AL1166" s="32" t="n">
        <x:f>H1166*tun_RoleScale*Arch_Roles*AE1166*INDEX(tun_MonasteryPerSett,G1166)*tun_OutMonastery*INDEX(LM_Monastery,G1166)</x:f>
        <x:v>0</x:v>
      </x:c>
      <x:c r="AM1166" s="32" t="n">
        <x:f>(AJ1166+AK1166+AL1166)/4*INDEX(LM_All,G1166)*INDEX(tun_Boon,G1166)*Arch_Insight</x:f>
        <x:v>0</x:v>
      </x:c>
      <x:c r="AN1166" s="32" t="n">
        <x:f>H1166*(tun_KHPerAdult*Z1166+tun_KHOfCommons*AJ1166/4*INDEX(LM_All,G1166))*tun_KHUsable*Arch_KH</x:f>
        <x:v>0</x:v>
      </x:c>
      <x:c r="AO1166" s="32" t="n">
        <x:f>MIN(AP1165+AN1166,AM1166*tun_KHMaxRatio)</x:f>
        <x:v>0</x:v>
      </x:c>
      <x:c r="AP1166" s="32" t="n">
        <x:f>AP1165+AN1166-AO1166</x:f>
        <x:v>0</x:v>
      </x:c>
      <x:c r="AQ1166" s="32" t="n">
        <x:f>AM1166+AO1166</x:f>
        <x:v>0</x:v>
      </x:c>
      <x:c r="AR1166" s="10" t="n">
        <x:f>IF(H1166=1,INDEX(tun_Req,G1166),0)</x:f>
        <x:v>0</x:v>
      </x:c>
      <x:c r="AS1166" s="32" t="n">
        <x:f>IF(H1166=1,IF(E1166=1,AS1165-AR1165,AS1165)+AQ1166,0)</x:f>
        <x:v>0</x:v>
      </x:c>
      <x:c r="AT1166" s="11" t="n">
        <x:f>IF(AR1166&gt;0,MIN(1,AS1166/AR1166),1)</x:f>
        <x:v>1</x:v>
      </x:c>
      <x:c r="AU1166" s="10" t="n">
        <x:f>AB1166/INDEX(tun_RepScale,G1166)</x:f>
        <x:v>290.3368848566301</x:v>
      </x:c>
      <x:c r="AV1166" s="32" t="n">
        <x:f>AM1166*60/tun_SeasonSeconds</x:f>
        <x:v>0</x:v>
      </x:c>
    </x:row>
    <x:row r="1167">
      <x:c r="A1167" s="8" t="n">
        <x:f>A1166+1</x:f>
        <x:v>1164</x:v>
      </x:c>
      <x:c r="B1167" s="9" t="n">
        <x:f>A1167*tun_SeasonSeconds/60</x:f>
        <x:v>291</x:v>
      </x:c>
      <x:c r="C1167" s="9" t="n">
        <x:f>A1167/4</x:f>
        <x:v>291</x:v>
      </x:c>
      <x:c r="D1167" s="8" t="n">
        <x:f>IF(MOD(A1167,4)=0,1,0)</x:f>
        <x:v>1</x:v>
      </x:c>
      <x:c r="E1167" s="8" t="n">
        <x:f>IF(AND(F1166&lt;=9,AS1166&gt;=AR1166),1,0)</x:f>
        <x:v>0</x:v>
      </x:c>
      <x:c r="F1167" s="8" t="n">
        <x:f>MIN(10,F1166+E1167)</x:f>
        <x:v>10</x:v>
      </x:c>
      <x:c r="G1167" s="8" t="n">
        <x:f>MIN(F1167,9)+1</x:f>
        <x:v>10</x:v>
      </x:c>
      <x:c r="H1167" s="8" t="n">
        <x:f>IF(F1167&lt;=9,1,0)</x:f>
        <x:v>0</x:v>
      </x:c>
      <x:c r="I1167" s="9" t="n">
        <x:f>MIN(10,F1166+IF(AR1166&gt;0,MIN(1,AS1166/AR1166),1))</x:f>
        <x:v>10</x:v>
      </x:c>
      <x:c r="J1167" s="32" t="n">
        <x:f>INDEX(tun_FoodCap,G1167)*Arch_FoodCap*EXP(tun_CapsByProject*SUMPRODUCT((Cap_Point&lt;=I1167)*(Cap_Kind="Food")*Cap_Ln))</x:f>
        <x:v>18627.260449441455</x:v>
      </x:c>
      <x:c r="K1167" s="32" t="n">
        <x:f>J1167*MIN(1,tun_LeanBase*EXP(tun_CapsByProject*SUMPRODUCT((Cap_Point&lt;=I1167)*(Cap_Kind="Lean")*Cap_Ln)))</x:f>
        <x:v>18627.260449441455</x:v>
      </x:c>
      <x:c r="L1167" s="10" t="n">
        <x:f>INDEX(tun_HousingCap,G1167)*EXP(tun_CapsByProject*SUMPRODUCT((Cap_Point&lt;=I1167)*(Cap_Kind="Housing")*Cap_Ln))</x:f>
        <x:v>20528.974303173167</x:v>
      </x:c>
      <x:c r="M1167" s="10" t="n">
        <x:f>INDEX(tun_GroupCap,G1167)*tun_CohesionFactor*EXP(tun_CapsByProject*SUMPRODUCT((Cap_Point&lt;=I1167)*(Cap_Kind="Group")*Cap_Ln))</x:f>
        <x:v>1000000.000000001</x:v>
      </x:c>
      <x:c r="N1167" s="32" t="n">
        <x:f>MIN(J1167,L1167,M1167)</x:f>
        <x:v>18627.260449441455</x:v>
      </x:c>
      <x:c r="O1167" s="10" t="n">
        <x:f>AE1166*N1167</x:f>
        <x:v>167645.34404497308</x:v>
      </x:c>
      <x:c r="P1167" s="9" t="n">
        <x:f>MIN(1,(AB1166/(AE1166*IF(tun_GroupInCrowding=1,N1167,MIN(J1167,L1167))))^tun_CrowdingExp)</x:f>
        <x:v>0.4215841981292809</x:v>
      </x:c>
      <x:c r="Q1167" s="9" t="n">
        <x:f>IF(D1167=1,INDEX(tun_WinterMult,G1167),1)</x:f>
        <x:v>1.05</x:v>
      </x:c>
      <x:c r="R1167" s="9" t="n">
        <x:f>H1167*Z1166*tun_WomenShare*tun_BaseFertility*INDEX(tun_FertMult,G1167)*Arch_Fertility*(1-P1167)</x:f>
        <x:v>0</x:v>
      </x:c>
      <x:c r="S1167" s="9" t="n">
        <x:f>H1167*Y1166*INDEX(tun_MortChild,G1167)/4*Q1167</x:f>
        <x:v>0</x:v>
      </x:c>
      <x:c r="T1167" s="9" t="n">
        <x:f>H1167*Z1166*INDEX(tun_MortAdult,G1167)*Arch_AdultMort/4*Q1167</x:f>
        <x:v>0</x:v>
      </x:c>
      <x:c r="U1167" s="9" t="n">
        <x:f>H1167*AA1166*INDEX(tun_MortElder,G1167)/4*Q1167</x:f>
        <x:v>0</x:v>
      </x:c>
      <x:c r="V1167" s="9" t="n">
        <x:f>H1167*MAX(0,AB1166-O1167)*tun_OvercapLoss</x:f>
        <x:v>0</x:v>
      </x:c>
      <x:c r="W1167" s="9" t="n">
        <x:f>H1167*Y1166/(tun_ChildYears*4)</x:f>
        <x:v>0</x:v>
      </x:c>
      <x:c r="X1167" s="9" t="n">
        <x:f>H1167*Z1166/(tun_AdultYears*4)</x:f>
        <x:v>0</x:v>
      </x:c>
      <x:c r="Y1167" s="32" t="n">
        <x:f>Y1166+R1167-S1167-W1167-Y1166*V1167/AB1166</x:f>
        <x:v>40496.20709015643</x:v>
      </x:c>
      <x:c r="Z1167" s="32" t="n">
        <x:f>Z1166+W1167-X1167-T1167-Z1166*V1167/AB1166</x:f>
        <x:v>59141.61122890803</x:v>
      </x:c>
      <x:c r="AA1167" s="32" t="n">
        <x:f>AA1166+X1167-U1167-AA1166*V1167/AB1166</x:f>
        <x:v>45530.62410925061</x:v>
      </x:c>
      <x:c r="AB1167" s="10" t="n">
        <x:f>Y1167+Z1167+AA1167</x:f>
        <x:v>145168.44242831506</x:v>
      </x:c>
      <x:c r="AC1167" s="8" t="n">
        <x:f>IF(AND(tun_WinterTrigger=1,D1167=1,AB1166/AE1166&gt;=K1167),1,0)</x:f>
        <x:v>0</x:v>
      </x:c>
      <x:c r="AD1167" s="8" t="n">
        <x:f>H1167*IF(AND(OR(AB1166/AE1166&gt;=tun_FissionTrigger*N1167,AC1167=1),AB1166/AE1166*tun_DaughterShare&gt;=tun_MinDaughter),MAX(1,ROUND(AE1166*tun_FissionRate,0)),0)</x:f>
        <x:v>0</x:v>
      </x:c>
      <x:c r="AE1167" s="8" t="n">
        <x:f>IF(H1167=1,MAX(1,MIN(INDEX(tun_Smax,G1167),AE1166+AD1167)),AE1166)</x:f>
        <x:v>9</x:v>
      </x:c>
      <x:c r="AF1167" s="8" t="n">
        <x:f>MAX(0,AE1167-AE1166)</x:f>
        <x:v>0</x:v>
      </x:c>
      <x:c r="AG1167" s="9" t="str">
        <x:f>IF(AF1167&gt;0,B1167,"")</x:f>
      </x:c>
      <x:c r="AH1167" s="9" t="n">
        <x:f>IF(F1167&gt;=1,1,(1+tun_LowTiesShare*(AE1167-1))/AE1167)</x:f>
        <x:v>1</x:v>
      </x:c>
      <x:c r="AI1167" s="32" t="n">
        <x:f>(Z1167+tun_ElderCommons*INDEX(LM_Elder,G1167)*AA1167)*AH1167</x:f>
        <x:v>238215.0665857503</x:v>
      </x:c>
      <x:c r="AJ1167" s="32" t="n">
        <x:f>H1167*tun_CommonsCoef*AI1167^tun_CommonsExp*INDEX(LM_Commons,G1167)</x:f>
        <x:v>0</x:v>
      </x:c>
      <x:c r="AK1167" s="32" t="n">
        <x:f>H1167*tun_RoleScale*Arch_Roles*(AE1167*(INDEX(tun_ElderRolePerSett,G1167)*tun_OutElder*INDEX(LM_Elder,G1167)+INDEX(tun_ShamanPerSett,G1167)*tun_OutShaman)+Z1167*(INDEX(tun_PriestShare,G1167)*tun_OutPriest+INDEX(tun_ScribeShare,G1167)*tun_OutScribe*INDEX(LM_Scribe,G1167)+INDEX(tun_ScholarShare,G1167)*tun_OutScholar*INDEX(LM_Scholar,G1167)+INDEX(tun_ResearcherShare,G1167)*tun_OutResearcher*INDEX(LM_Researcher,G1167)))</x:f>
        <x:v>0</x:v>
      </x:c>
      <x:c r="AL1167" s="32" t="n">
        <x:f>H1167*tun_RoleScale*Arch_Roles*AE1167*INDEX(tun_MonasteryPerSett,G1167)*tun_OutMonastery*INDEX(LM_Monastery,G1167)</x:f>
        <x:v>0</x:v>
      </x:c>
      <x:c r="AM1167" s="32" t="n">
        <x:f>(AJ1167+AK1167+AL1167)/4*INDEX(LM_All,G1167)*INDEX(tun_Boon,G1167)*Arch_Insight</x:f>
        <x:v>0</x:v>
      </x:c>
      <x:c r="AN1167" s="32" t="n">
        <x:f>H1167*(tun_KHPerAdult*Z1167+tun_KHOfCommons*AJ1167/4*INDEX(LM_All,G1167))*tun_KHUsable*Arch_KH</x:f>
        <x:v>0</x:v>
      </x:c>
      <x:c r="AO1167" s="32" t="n">
        <x:f>MIN(AP1166+AN1167,AM1167*tun_KHMaxRatio)</x:f>
        <x:v>0</x:v>
      </x:c>
      <x:c r="AP1167" s="32" t="n">
        <x:f>AP1166+AN1167-AO1167</x:f>
        <x:v>0</x:v>
      </x:c>
      <x:c r="AQ1167" s="32" t="n">
        <x:f>AM1167+AO1167</x:f>
        <x:v>0</x:v>
      </x:c>
      <x:c r="AR1167" s="10" t="n">
        <x:f>IF(H1167=1,INDEX(tun_Req,G1167),0)</x:f>
        <x:v>0</x:v>
      </x:c>
      <x:c r="AS1167" s="32" t="n">
        <x:f>IF(H1167=1,IF(E1167=1,AS1166-AR1166,AS1166)+AQ1167,0)</x:f>
        <x:v>0</x:v>
      </x:c>
      <x:c r="AT1167" s="11" t="n">
        <x:f>IF(AR1167&gt;0,MIN(1,AS1167/AR1167),1)</x:f>
        <x:v>1</x:v>
      </x:c>
      <x:c r="AU1167" s="10" t="n">
        <x:f>AB1167/INDEX(tun_RepScale,G1167)</x:f>
        <x:v>290.3368848566301</x:v>
      </x:c>
      <x:c r="AV1167" s="32" t="n">
        <x:f>AM1167*60/tun_SeasonSeconds</x:f>
        <x:v>0</x:v>
      </x:c>
    </x:row>
    <x:row r="1168">
      <x:c r="A1168" s="8" t="n">
        <x:f>A1167+1</x:f>
        <x:v>1165</x:v>
      </x:c>
      <x:c r="B1168" s="9" t="n">
        <x:f>A1168*tun_SeasonSeconds/60</x:f>
        <x:v>291.25</x:v>
      </x:c>
      <x:c r="C1168" s="9" t="n">
        <x:f>A1168/4</x:f>
        <x:v>291.25</x:v>
      </x:c>
      <x:c r="D1168" s="8" t="n">
        <x:f>IF(MOD(A1168,4)=0,1,0)</x:f>
        <x:v>0</x:v>
      </x:c>
      <x:c r="E1168" s="8" t="n">
        <x:f>IF(AND(F1167&lt;=9,AS1167&gt;=AR1167),1,0)</x:f>
        <x:v>0</x:v>
      </x:c>
      <x:c r="F1168" s="8" t="n">
        <x:f>MIN(10,F1167+E1168)</x:f>
        <x:v>10</x:v>
      </x:c>
      <x:c r="G1168" s="8" t="n">
        <x:f>MIN(F1168,9)+1</x:f>
        <x:v>10</x:v>
      </x:c>
      <x:c r="H1168" s="8" t="n">
        <x:f>IF(F1168&lt;=9,1,0)</x:f>
        <x:v>0</x:v>
      </x:c>
      <x:c r="I1168" s="9" t="n">
        <x:f>MIN(10,F1167+IF(AR1167&gt;0,MIN(1,AS1167/AR1167),1))</x:f>
        <x:v>10</x:v>
      </x:c>
      <x:c r="J1168" s="32" t="n">
        <x:f>INDEX(tun_FoodCap,G1168)*Arch_FoodCap*EXP(tun_CapsByProject*SUMPRODUCT((Cap_Point&lt;=I1168)*(Cap_Kind="Food")*Cap_Ln))</x:f>
        <x:v>18627.260449441455</x:v>
      </x:c>
      <x:c r="K1168" s="32" t="n">
        <x:f>J1168*MIN(1,tun_LeanBase*EXP(tun_CapsByProject*SUMPRODUCT((Cap_Point&lt;=I1168)*(Cap_Kind="Lean")*Cap_Ln)))</x:f>
        <x:v>18627.260449441455</x:v>
      </x:c>
      <x:c r="L1168" s="10" t="n">
        <x:f>INDEX(tun_HousingCap,G1168)*EXP(tun_CapsByProject*SUMPRODUCT((Cap_Point&lt;=I1168)*(Cap_Kind="Housing")*Cap_Ln))</x:f>
        <x:v>20528.974303173167</x:v>
      </x:c>
      <x:c r="M1168" s="10" t="n">
        <x:f>INDEX(tun_GroupCap,G1168)*tun_CohesionFactor*EXP(tun_CapsByProject*SUMPRODUCT((Cap_Point&lt;=I1168)*(Cap_Kind="Group")*Cap_Ln))</x:f>
        <x:v>1000000.000000001</x:v>
      </x:c>
      <x:c r="N1168" s="32" t="n">
        <x:f>MIN(J1168,L1168,M1168)</x:f>
        <x:v>18627.260449441455</x:v>
      </x:c>
      <x:c r="O1168" s="10" t="n">
        <x:f>AE1167*N1168</x:f>
        <x:v>167645.34404497308</x:v>
      </x:c>
      <x:c r="P1168" s="9" t="n">
        <x:f>MIN(1,(AB1167/(AE1167*IF(tun_GroupInCrowding=1,N1168,MIN(J1168,L1168))))^tun_CrowdingExp)</x:f>
        <x:v>0.4215841981292809</x:v>
      </x:c>
      <x:c r="Q1168" s="9" t="n">
        <x:f>IF(D1168=1,INDEX(tun_WinterMult,G1168),1)</x:f>
        <x:v>1</x:v>
      </x:c>
      <x:c r="R1168" s="9" t="n">
        <x:f>H1168*Z1167*tun_WomenShare*tun_BaseFertility*INDEX(tun_FertMult,G1168)*Arch_Fertility*(1-P1168)</x:f>
        <x:v>0</x:v>
      </x:c>
      <x:c r="S1168" s="9" t="n">
        <x:f>H1168*Y1167*INDEX(tun_MortChild,G1168)/4*Q1168</x:f>
        <x:v>0</x:v>
      </x:c>
      <x:c r="T1168" s="9" t="n">
        <x:f>H1168*Z1167*INDEX(tun_MortAdult,G1168)*Arch_AdultMort/4*Q1168</x:f>
        <x:v>0</x:v>
      </x:c>
      <x:c r="U1168" s="9" t="n">
        <x:f>H1168*AA1167*INDEX(tun_MortElder,G1168)/4*Q1168</x:f>
        <x:v>0</x:v>
      </x:c>
      <x:c r="V1168" s="9" t="n">
        <x:f>H1168*MAX(0,AB1167-O1168)*tun_OvercapLoss</x:f>
        <x:v>0</x:v>
      </x:c>
      <x:c r="W1168" s="9" t="n">
        <x:f>H1168*Y1167/(tun_ChildYears*4)</x:f>
        <x:v>0</x:v>
      </x:c>
      <x:c r="X1168" s="9" t="n">
        <x:f>H1168*Z1167/(tun_AdultYears*4)</x:f>
        <x:v>0</x:v>
      </x:c>
      <x:c r="Y1168" s="32" t="n">
        <x:f>Y1167+R1168-S1168-W1168-Y1167*V1168/AB1167</x:f>
        <x:v>40496.20709015643</x:v>
      </x:c>
      <x:c r="Z1168" s="32" t="n">
        <x:f>Z1167+W1168-X1168-T1168-Z1167*V1168/AB1167</x:f>
        <x:v>59141.61122890803</x:v>
      </x:c>
      <x:c r="AA1168" s="32" t="n">
        <x:f>AA1167+X1168-U1168-AA1167*V1168/AB1167</x:f>
        <x:v>45530.62410925061</x:v>
      </x:c>
      <x:c r="AB1168" s="10" t="n">
        <x:f>Y1168+Z1168+AA1168</x:f>
        <x:v>145168.44242831506</x:v>
      </x:c>
      <x:c r="AC1168" s="8" t="n">
        <x:f>IF(AND(tun_WinterTrigger=1,D1168=1,AB1167/AE1167&gt;=K1168),1,0)</x:f>
        <x:v>0</x:v>
      </x:c>
      <x:c r="AD1168" s="8" t="n">
        <x:f>H1168*IF(AND(OR(AB1167/AE1167&gt;=tun_FissionTrigger*N1168,AC1168=1),AB1167/AE1167*tun_DaughterShare&gt;=tun_MinDaughter),MAX(1,ROUND(AE1167*tun_FissionRate,0)),0)</x:f>
        <x:v>0</x:v>
      </x:c>
      <x:c r="AE1168" s="8" t="n">
        <x:f>IF(H1168=1,MAX(1,MIN(INDEX(tun_Smax,G1168),AE1167+AD1168)),AE1167)</x:f>
        <x:v>9</x:v>
      </x:c>
      <x:c r="AF1168" s="8" t="n">
        <x:f>MAX(0,AE1168-AE1167)</x:f>
        <x:v>0</x:v>
      </x:c>
      <x:c r="AG1168" s="9" t="str">
        <x:f>IF(AF1168&gt;0,B1168,"")</x:f>
      </x:c>
      <x:c r="AH1168" s="9" t="n">
        <x:f>IF(F1168&gt;=1,1,(1+tun_LowTiesShare*(AE1168-1))/AE1168)</x:f>
        <x:v>1</x:v>
      </x:c>
      <x:c r="AI1168" s="32" t="n">
        <x:f>(Z1168+tun_ElderCommons*INDEX(LM_Elder,G1168)*AA1168)*AH1168</x:f>
        <x:v>238215.0665857503</x:v>
      </x:c>
      <x:c r="AJ1168" s="32" t="n">
        <x:f>H1168*tun_CommonsCoef*AI1168^tun_CommonsExp*INDEX(LM_Commons,G1168)</x:f>
        <x:v>0</x:v>
      </x:c>
      <x:c r="AK1168" s="32" t="n">
        <x:f>H1168*tun_RoleScale*Arch_Roles*(AE1168*(INDEX(tun_ElderRolePerSett,G1168)*tun_OutElder*INDEX(LM_Elder,G1168)+INDEX(tun_ShamanPerSett,G1168)*tun_OutShaman)+Z1168*(INDEX(tun_PriestShare,G1168)*tun_OutPriest+INDEX(tun_ScribeShare,G1168)*tun_OutScribe*INDEX(LM_Scribe,G1168)+INDEX(tun_ScholarShare,G1168)*tun_OutScholar*INDEX(LM_Scholar,G1168)+INDEX(tun_ResearcherShare,G1168)*tun_OutResearcher*INDEX(LM_Researcher,G1168)))</x:f>
        <x:v>0</x:v>
      </x:c>
      <x:c r="AL1168" s="32" t="n">
        <x:f>H1168*tun_RoleScale*Arch_Roles*AE1168*INDEX(tun_MonasteryPerSett,G1168)*tun_OutMonastery*INDEX(LM_Monastery,G1168)</x:f>
        <x:v>0</x:v>
      </x:c>
      <x:c r="AM1168" s="32" t="n">
        <x:f>(AJ1168+AK1168+AL1168)/4*INDEX(LM_All,G1168)*INDEX(tun_Boon,G1168)*Arch_Insight</x:f>
        <x:v>0</x:v>
      </x:c>
      <x:c r="AN1168" s="32" t="n">
        <x:f>H1168*(tun_KHPerAdult*Z1168+tun_KHOfCommons*AJ1168/4*INDEX(LM_All,G1168))*tun_KHUsable*Arch_KH</x:f>
        <x:v>0</x:v>
      </x:c>
      <x:c r="AO1168" s="32" t="n">
        <x:f>MIN(AP1167+AN1168,AM1168*tun_KHMaxRatio)</x:f>
        <x:v>0</x:v>
      </x:c>
      <x:c r="AP1168" s="32" t="n">
        <x:f>AP1167+AN1168-AO1168</x:f>
        <x:v>0</x:v>
      </x:c>
      <x:c r="AQ1168" s="32" t="n">
        <x:f>AM1168+AO1168</x:f>
        <x:v>0</x:v>
      </x:c>
      <x:c r="AR1168" s="10" t="n">
        <x:f>IF(H1168=1,INDEX(tun_Req,G1168),0)</x:f>
        <x:v>0</x:v>
      </x:c>
      <x:c r="AS1168" s="32" t="n">
        <x:f>IF(H1168=1,IF(E1168=1,AS1167-AR1167,AS1167)+AQ1168,0)</x:f>
        <x:v>0</x:v>
      </x:c>
      <x:c r="AT1168" s="11" t="n">
        <x:f>IF(AR1168&gt;0,MIN(1,AS1168/AR1168),1)</x:f>
        <x:v>1</x:v>
      </x:c>
      <x:c r="AU1168" s="10" t="n">
        <x:f>AB1168/INDEX(tun_RepScale,G1168)</x:f>
        <x:v>290.3368848566301</x:v>
      </x:c>
      <x:c r="AV1168" s="32" t="n">
        <x:f>AM1168*60/tun_SeasonSeconds</x:f>
        <x:v>0</x:v>
      </x:c>
    </x:row>
    <x:row r="1169">
      <x:c r="A1169" s="8" t="n">
        <x:f>A1168+1</x:f>
        <x:v>1166</x:v>
      </x:c>
      <x:c r="B1169" s="9" t="n">
        <x:f>A1169*tun_SeasonSeconds/60</x:f>
        <x:v>291.5</x:v>
      </x:c>
      <x:c r="C1169" s="9" t="n">
        <x:f>A1169/4</x:f>
        <x:v>291.5</x:v>
      </x:c>
      <x:c r="D1169" s="8" t="n">
        <x:f>IF(MOD(A1169,4)=0,1,0)</x:f>
        <x:v>0</x:v>
      </x:c>
      <x:c r="E1169" s="8" t="n">
        <x:f>IF(AND(F1168&lt;=9,AS1168&gt;=AR1168),1,0)</x:f>
        <x:v>0</x:v>
      </x:c>
      <x:c r="F1169" s="8" t="n">
        <x:f>MIN(10,F1168+E1169)</x:f>
        <x:v>10</x:v>
      </x:c>
      <x:c r="G1169" s="8" t="n">
        <x:f>MIN(F1169,9)+1</x:f>
        <x:v>10</x:v>
      </x:c>
      <x:c r="H1169" s="8" t="n">
        <x:f>IF(F1169&lt;=9,1,0)</x:f>
        <x:v>0</x:v>
      </x:c>
      <x:c r="I1169" s="9" t="n">
        <x:f>MIN(10,F1168+IF(AR1168&gt;0,MIN(1,AS1168/AR1168),1))</x:f>
        <x:v>10</x:v>
      </x:c>
      <x:c r="J1169" s="32" t="n">
        <x:f>INDEX(tun_FoodCap,G1169)*Arch_FoodCap*EXP(tun_CapsByProject*SUMPRODUCT((Cap_Point&lt;=I1169)*(Cap_Kind="Food")*Cap_Ln))</x:f>
        <x:v>18627.260449441455</x:v>
      </x:c>
      <x:c r="K1169" s="32" t="n">
        <x:f>J1169*MIN(1,tun_LeanBase*EXP(tun_CapsByProject*SUMPRODUCT((Cap_Point&lt;=I1169)*(Cap_Kind="Lean")*Cap_Ln)))</x:f>
        <x:v>18627.260449441455</x:v>
      </x:c>
      <x:c r="L1169" s="10" t="n">
        <x:f>INDEX(tun_HousingCap,G1169)*EXP(tun_CapsByProject*SUMPRODUCT((Cap_Point&lt;=I1169)*(Cap_Kind="Housing")*Cap_Ln))</x:f>
        <x:v>20528.974303173167</x:v>
      </x:c>
      <x:c r="M1169" s="10" t="n">
        <x:f>INDEX(tun_GroupCap,G1169)*tun_CohesionFactor*EXP(tun_CapsByProject*SUMPRODUCT((Cap_Point&lt;=I1169)*(Cap_Kind="Group")*Cap_Ln))</x:f>
        <x:v>1000000.000000001</x:v>
      </x:c>
      <x:c r="N1169" s="32" t="n">
        <x:f>MIN(J1169,L1169,M1169)</x:f>
        <x:v>18627.260449441455</x:v>
      </x:c>
      <x:c r="O1169" s="10" t="n">
        <x:f>AE1168*N1169</x:f>
        <x:v>167645.34404497308</x:v>
      </x:c>
      <x:c r="P1169" s="9" t="n">
        <x:f>MIN(1,(AB1168/(AE1168*IF(tun_GroupInCrowding=1,N1169,MIN(J1169,L1169))))^tun_CrowdingExp)</x:f>
        <x:v>0.4215841981292809</x:v>
      </x:c>
      <x:c r="Q1169" s="9" t="n">
        <x:f>IF(D1169=1,INDEX(tun_WinterMult,G1169),1)</x:f>
        <x:v>1</x:v>
      </x:c>
      <x:c r="R1169" s="9" t="n">
        <x:f>H1169*Z1168*tun_WomenShare*tun_BaseFertility*INDEX(tun_FertMult,G1169)*Arch_Fertility*(1-P1169)</x:f>
        <x:v>0</x:v>
      </x:c>
      <x:c r="S1169" s="9" t="n">
        <x:f>H1169*Y1168*INDEX(tun_MortChild,G1169)/4*Q1169</x:f>
        <x:v>0</x:v>
      </x:c>
      <x:c r="T1169" s="9" t="n">
        <x:f>H1169*Z1168*INDEX(tun_MortAdult,G1169)*Arch_AdultMort/4*Q1169</x:f>
        <x:v>0</x:v>
      </x:c>
      <x:c r="U1169" s="9" t="n">
        <x:f>H1169*AA1168*INDEX(tun_MortElder,G1169)/4*Q1169</x:f>
        <x:v>0</x:v>
      </x:c>
      <x:c r="V1169" s="9" t="n">
        <x:f>H1169*MAX(0,AB1168-O1169)*tun_OvercapLoss</x:f>
        <x:v>0</x:v>
      </x:c>
      <x:c r="W1169" s="9" t="n">
        <x:f>H1169*Y1168/(tun_ChildYears*4)</x:f>
        <x:v>0</x:v>
      </x:c>
      <x:c r="X1169" s="9" t="n">
        <x:f>H1169*Z1168/(tun_AdultYears*4)</x:f>
        <x:v>0</x:v>
      </x:c>
      <x:c r="Y1169" s="32" t="n">
        <x:f>Y1168+R1169-S1169-W1169-Y1168*V1169/AB1168</x:f>
        <x:v>40496.20709015643</x:v>
      </x:c>
      <x:c r="Z1169" s="32" t="n">
        <x:f>Z1168+W1169-X1169-T1169-Z1168*V1169/AB1168</x:f>
        <x:v>59141.61122890803</x:v>
      </x:c>
      <x:c r="AA1169" s="32" t="n">
        <x:f>AA1168+X1169-U1169-AA1168*V1169/AB1168</x:f>
        <x:v>45530.62410925061</x:v>
      </x:c>
      <x:c r="AB1169" s="10" t="n">
        <x:f>Y1169+Z1169+AA1169</x:f>
        <x:v>145168.44242831506</x:v>
      </x:c>
      <x:c r="AC1169" s="8" t="n">
        <x:f>IF(AND(tun_WinterTrigger=1,D1169=1,AB1168/AE1168&gt;=K1169),1,0)</x:f>
        <x:v>0</x:v>
      </x:c>
      <x:c r="AD1169" s="8" t="n">
        <x:f>H1169*IF(AND(OR(AB1168/AE1168&gt;=tun_FissionTrigger*N1169,AC1169=1),AB1168/AE1168*tun_DaughterShare&gt;=tun_MinDaughter),MAX(1,ROUND(AE1168*tun_FissionRate,0)),0)</x:f>
        <x:v>0</x:v>
      </x:c>
      <x:c r="AE1169" s="8" t="n">
        <x:f>IF(H1169=1,MAX(1,MIN(INDEX(tun_Smax,G1169),AE1168+AD1169)),AE1168)</x:f>
        <x:v>9</x:v>
      </x:c>
      <x:c r="AF1169" s="8" t="n">
        <x:f>MAX(0,AE1169-AE1168)</x:f>
        <x:v>0</x:v>
      </x:c>
      <x:c r="AG1169" s="9" t="str">
        <x:f>IF(AF1169&gt;0,B1169,"")</x:f>
      </x:c>
      <x:c r="AH1169" s="9" t="n">
        <x:f>IF(F1169&gt;=1,1,(1+tun_LowTiesShare*(AE1169-1))/AE1169)</x:f>
        <x:v>1</x:v>
      </x:c>
      <x:c r="AI1169" s="32" t="n">
        <x:f>(Z1169+tun_ElderCommons*INDEX(LM_Elder,G1169)*AA1169)*AH1169</x:f>
        <x:v>238215.0665857503</x:v>
      </x:c>
      <x:c r="AJ1169" s="32" t="n">
        <x:f>H1169*tun_CommonsCoef*AI1169^tun_CommonsExp*INDEX(LM_Commons,G1169)</x:f>
        <x:v>0</x:v>
      </x:c>
      <x:c r="AK1169" s="32" t="n">
        <x:f>H1169*tun_RoleScale*Arch_Roles*(AE1169*(INDEX(tun_ElderRolePerSett,G1169)*tun_OutElder*INDEX(LM_Elder,G1169)+INDEX(tun_ShamanPerSett,G1169)*tun_OutShaman)+Z1169*(INDEX(tun_PriestShare,G1169)*tun_OutPriest+INDEX(tun_ScribeShare,G1169)*tun_OutScribe*INDEX(LM_Scribe,G1169)+INDEX(tun_ScholarShare,G1169)*tun_OutScholar*INDEX(LM_Scholar,G1169)+INDEX(tun_ResearcherShare,G1169)*tun_OutResearcher*INDEX(LM_Researcher,G1169)))</x:f>
        <x:v>0</x:v>
      </x:c>
      <x:c r="AL1169" s="32" t="n">
        <x:f>H1169*tun_RoleScale*Arch_Roles*AE1169*INDEX(tun_MonasteryPerSett,G1169)*tun_OutMonastery*INDEX(LM_Monastery,G1169)</x:f>
        <x:v>0</x:v>
      </x:c>
      <x:c r="AM1169" s="32" t="n">
        <x:f>(AJ1169+AK1169+AL1169)/4*INDEX(LM_All,G1169)*INDEX(tun_Boon,G1169)*Arch_Insight</x:f>
        <x:v>0</x:v>
      </x:c>
      <x:c r="AN1169" s="32" t="n">
        <x:f>H1169*(tun_KHPerAdult*Z1169+tun_KHOfCommons*AJ1169/4*INDEX(LM_All,G1169))*tun_KHUsable*Arch_KH</x:f>
        <x:v>0</x:v>
      </x:c>
      <x:c r="AO1169" s="32" t="n">
        <x:f>MIN(AP1168+AN1169,AM1169*tun_KHMaxRatio)</x:f>
        <x:v>0</x:v>
      </x:c>
      <x:c r="AP1169" s="32" t="n">
        <x:f>AP1168+AN1169-AO1169</x:f>
        <x:v>0</x:v>
      </x:c>
      <x:c r="AQ1169" s="32" t="n">
        <x:f>AM1169+AO1169</x:f>
        <x:v>0</x:v>
      </x:c>
      <x:c r="AR1169" s="10" t="n">
        <x:f>IF(H1169=1,INDEX(tun_Req,G1169),0)</x:f>
        <x:v>0</x:v>
      </x:c>
      <x:c r="AS1169" s="32" t="n">
        <x:f>IF(H1169=1,IF(E1169=1,AS1168-AR1168,AS1168)+AQ1169,0)</x:f>
        <x:v>0</x:v>
      </x:c>
      <x:c r="AT1169" s="11" t="n">
        <x:f>IF(AR1169&gt;0,MIN(1,AS1169/AR1169),1)</x:f>
        <x:v>1</x:v>
      </x:c>
      <x:c r="AU1169" s="10" t="n">
        <x:f>AB1169/INDEX(tun_RepScale,G1169)</x:f>
        <x:v>290.3368848566301</x:v>
      </x:c>
      <x:c r="AV1169" s="32" t="n">
        <x:f>AM1169*60/tun_SeasonSeconds</x:f>
        <x:v>0</x:v>
      </x:c>
    </x:row>
    <x:row r="1170">
      <x:c r="A1170" s="8" t="n">
        <x:f>A1169+1</x:f>
        <x:v>1167</x:v>
      </x:c>
      <x:c r="B1170" s="9" t="n">
        <x:f>A1170*tun_SeasonSeconds/60</x:f>
        <x:v>291.75</x:v>
      </x:c>
      <x:c r="C1170" s="9" t="n">
        <x:f>A1170/4</x:f>
        <x:v>291.75</x:v>
      </x:c>
      <x:c r="D1170" s="8" t="n">
        <x:f>IF(MOD(A1170,4)=0,1,0)</x:f>
        <x:v>0</x:v>
      </x:c>
      <x:c r="E1170" s="8" t="n">
        <x:f>IF(AND(F1169&lt;=9,AS1169&gt;=AR1169),1,0)</x:f>
        <x:v>0</x:v>
      </x:c>
      <x:c r="F1170" s="8" t="n">
        <x:f>MIN(10,F1169+E1170)</x:f>
        <x:v>10</x:v>
      </x:c>
      <x:c r="G1170" s="8" t="n">
        <x:f>MIN(F1170,9)+1</x:f>
        <x:v>10</x:v>
      </x:c>
      <x:c r="H1170" s="8" t="n">
        <x:f>IF(F1170&lt;=9,1,0)</x:f>
        <x:v>0</x:v>
      </x:c>
      <x:c r="I1170" s="9" t="n">
        <x:f>MIN(10,F1169+IF(AR1169&gt;0,MIN(1,AS1169/AR1169),1))</x:f>
        <x:v>10</x:v>
      </x:c>
      <x:c r="J1170" s="32" t="n">
        <x:f>INDEX(tun_FoodCap,G1170)*Arch_FoodCap*EXP(tun_CapsByProject*SUMPRODUCT((Cap_Point&lt;=I1170)*(Cap_Kind="Food")*Cap_Ln))</x:f>
        <x:v>18627.260449441455</x:v>
      </x:c>
      <x:c r="K1170" s="32" t="n">
        <x:f>J1170*MIN(1,tun_LeanBase*EXP(tun_CapsByProject*SUMPRODUCT((Cap_Point&lt;=I1170)*(Cap_Kind="Lean")*Cap_Ln)))</x:f>
        <x:v>18627.260449441455</x:v>
      </x:c>
      <x:c r="L1170" s="10" t="n">
        <x:f>INDEX(tun_HousingCap,G1170)*EXP(tun_CapsByProject*SUMPRODUCT((Cap_Point&lt;=I1170)*(Cap_Kind="Housing")*Cap_Ln))</x:f>
        <x:v>20528.974303173167</x:v>
      </x:c>
      <x:c r="M1170" s="10" t="n">
        <x:f>INDEX(tun_GroupCap,G1170)*tun_CohesionFactor*EXP(tun_CapsByProject*SUMPRODUCT((Cap_Point&lt;=I1170)*(Cap_Kind="Group")*Cap_Ln))</x:f>
        <x:v>1000000.000000001</x:v>
      </x:c>
      <x:c r="N1170" s="32" t="n">
        <x:f>MIN(J1170,L1170,M1170)</x:f>
        <x:v>18627.260449441455</x:v>
      </x:c>
      <x:c r="O1170" s="10" t="n">
        <x:f>AE1169*N1170</x:f>
        <x:v>167645.34404497308</x:v>
      </x:c>
      <x:c r="P1170" s="9" t="n">
        <x:f>MIN(1,(AB1169/(AE1169*IF(tun_GroupInCrowding=1,N1170,MIN(J1170,L1170))))^tun_CrowdingExp)</x:f>
        <x:v>0.4215841981292809</x:v>
      </x:c>
      <x:c r="Q1170" s="9" t="n">
        <x:f>IF(D1170=1,INDEX(tun_WinterMult,G1170),1)</x:f>
        <x:v>1</x:v>
      </x:c>
      <x:c r="R1170" s="9" t="n">
        <x:f>H1170*Z1169*tun_WomenShare*tun_BaseFertility*INDEX(tun_FertMult,G1170)*Arch_Fertility*(1-P1170)</x:f>
        <x:v>0</x:v>
      </x:c>
      <x:c r="S1170" s="9" t="n">
        <x:f>H1170*Y1169*INDEX(tun_MortChild,G1170)/4*Q1170</x:f>
        <x:v>0</x:v>
      </x:c>
      <x:c r="T1170" s="9" t="n">
        <x:f>H1170*Z1169*INDEX(tun_MortAdult,G1170)*Arch_AdultMort/4*Q1170</x:f>
        <x:v>0</x:v>
      </x:c>
      <x:c r="U1170" s="9" t="n">
        <x:f>H1170*AA1169*INDEX(tun_MortElder,G1170)/4*Q1170</x:f>
        <x:v>0</x:v>
      </x:c>
      <x:c r="V1170" s="9" t="n">
        <x:f>H1170*MAX(0,AB1169-O1170)*tun_OvercapLoss</x:f>
        <x:v>0</x:v>
      </x:c>
      <x:c r="W1170" s="9" t="n">
        <x:f>H1170*Y1169/(tun_ChildYears*4)</x:f>
        <x:v>0</x:v>
      </x:c>
      <x:c r="X1170" s="9" t="n">
        <x:f>H1170*Z1169/(tun_AdultYears*4)</x:f>
        <x:v>0</x:v>
      </x:c>
      <x:c r="Y1170" s="32" t="n">
        <x:f>Y1169+R1170-S1170-W1170-Y1169*V1170/AB1169</x:f>
        <x:v>40496.20709015643</x:v>
      </x:c>
      <x:c r="Z1170" s="32" t="n">
        <x:f>Z1169+W1170-X1170-T1170-Z1169*V1170/AB1169</x:f>
        <x:v>59141.61122890803</x:v>
      </x:c>
      <x:c r="AA1170" s="32" t="n">
        <x:f>AA1169+X1170-U1170-AA1169*V1170/AB1169</x:f>
        <x:v>45530.62410925061</x:v>
      </x:c>
      <x:c r="AB1170" s="10" t="n">
        <x:f>Y1170+Z1170+AA1170</x:f>
        <x:v>145168.44242831506</x:v>
      </x:c>
      <x:c r="AC1170" s="8" t="n">
        <x:f>IF(AND(tun_WinterTrigger=1,D1170=1,AB1169/AE1169&gt;=K1170),1,0)</x:f>
        <x:v>0</x:v>
      </x:c>
      <x:c r="AD1170" s="8" t="n">
        <x:f>H1170*IF(AND(OR(AB1169/AE1169&gt;=tun_FissionTrigger*N1170,AC1170=1),AB1169/AE1169*tun_DaughterShare&gt;=tun_MinDaughter),MAX(1,ROUND(AE1169*tun_FissionRate,0)),0)</x:f>
        <x:v>0</x:v>
      </x:c>
      <x:c r="AE1170" s="8" t="n">
        <x:f>IF(H1170=1,MAX(1,MIN(INDEX(tun_Smax,G1170),AE1169+AD1170)),AE1169)</x:f>
        <x:v>9</x:v>
      </x:c>
      <x:c r="AF1170" s="8" t="n">
        <x:f>MAX(0,AE1170-AE1169)</x:f>
        <x:v>0</x:v>
      </x:c>
      <x:c r="AG1170" s="9" t="str">
        <x:f>IF(AF1170&gt;0,B1170,"")</x:f>
      </x:c>
      <x:c r="AH1170" s="9" t="n">
        <x:f>IF(F1170&gt;=1,1,(1+tun_LowTiesShare*(AE1170-1))/AE1170)</x:f>
        <x:v>1</x:v>
      </x:c>
      <x:c r="AI1170" s="32" t="n">
        <x:f>(Z1170+tun_ElderCommons*INDEX(LM_Elder,G1170)*AA1170)*AH1170</x:f>
        <x:v>238215.0665857503</x:v>
      </x:c>
      <x:c r="AJ1170" s="32" t="n">
        <x:f>H1170*tun_CommonsCoef*AI1170^tun_CommonsExp*INDEX(LM_Commons,G1170)</x:f>
        <x:v>0</x:v>
      </x:c>
      <x:c r="AK1170" s="32" t="n">
        <x:f>H1170*tun_RoleScale*Arch_Roles*(AE1170*(INDEX(tun_ElderRolePerSett,G1170)*tun_OutElder*INDEX(LM_Elder,G1170)+INDEX(tun_ShamanPerSett,G1170)*tun_OutShaman)+Z1170*(INDEX(tun_PriestShare,G1170)*tun_OutPriest+INDEX(tun_ScribeShare,G1170)*tun_OutScribe*INDEX(LM_Scribe,G1170)+INDEX(tun_ScholarShare,G1170)*tun_OutScholar*INDEX(LM_Scholar,G1170)+INDEX(tun_ResearcherShare,G1170)*tun_OutResearcher*INDEX(LM_Researcher,G1170)))</x:f>
        <x:v>0</x:v>
      </x:c>
      <x:c r="AL1170" s="32" t="n">
        <x:f>H1170*tun_RoleScale*Arch_Roles*AE1170*INDEX(tun_MonasteryPerSett,G1170)*tun_OutMonastery*INDEX(LM_Monastery,G1170)</x:f>
        <x:v>0</x:v>
      </x:c>
      <x:c r="AM1170" s="32" t="n">
        <x:f>(AJ1170+AK1170+AL1170)/4*INDEX(LM_All,G1170)*INDEX(tun_Boon,G1170)*Arch_Insight</x:f>
        <x:v>0</x:v>
      </x:c>
      <x:c r="AN1170" s="32" t="n">
        <x:f>H1170*(tun_KHPerAdult*Z1170+tun_KHOfCommons*AJ1170/4*INDEX(LM_All,G1170))*tun_KHUsable*Arch_KH</x:f>
        <x:v>0</x:v>
      </x:c>
      <x:c r="AO1170" s="32" t="n">
        <x:f>MIN(AP1169+AN1170,AM1170*tun_KHMaxRatio)</x:f>
        <x:v>0</x:v>
      </x:c>
      <x:c r="AP1170" s="32" t="n">
        <x:f>AP1169+AN1170-AO1170</x:f>
        <x:v>0</x:v>
      </x:c>
      <x:c r="AQ1170" s="32" t="n">
        <x:f>AM1170+AO1170</x:f>
        <x:v>0</x:v>
      </x:c>
      <x:c r="AR1170" s="10" t="n">
        <x:f>IF(H1170=1,INDEX(tun_Req,G1170),0)</x:f>
        <x:v>0</x:v>
      </x:c>
      <x:c r="AS1170" s="32" t="n">
        <x:f>IF(H1170=1,IF(E1170=1,AS1169-AR1169,AS1169)+AQ1170,0)</x:f>
        <x:v>0</x:v>
      </x:c>
      <x:c r="AT1170" s="11" t="n">
        <x:f>IF(AR1170&gt;0,MIN(1,AS1170/AR1170),1)</x:f>
        <x:v>1</x:v>
      </x:c>
      <x:c r="AU1170" s="10" t="n">
        <x:f>AB1170/INDEX(tun_RepScale,G1170)</x:f>
        <x:v>290.3368848566301</x:v>
      </x:c>
      <x:c r="AV1170" s="32" t="n">
        <x:f>AM1170*60/tun_SeasonSeconds</x:f>
        <x:v>0</x:v>
      </x:c>
    </x:row>
    <x:row r="1171">
      <x:c r="A1171" s="8" t="n">
        <x:f>A1170+1</x:f>
        <x:v>1168</x:v>
      </x:c>
      <x:c r="B1171" s="9" t="n">
        <x:f>A1171*tun_SeasonSeconds/60</x:f>
        <x:v>292</x:v>
      </x:c>
      <x:c r="C1171" s="9" t="n">
        <x:f>A1171/4</x:f>
        <x:v>292</x:v>
      </x:c>
      <x:c r="D1171" s="8" t="n">
        <x:f>IF(MOD(A1171,4)=0,1,0)</x:f>
        <x:v>1</x:v>
      </x:c>
      <x:c r="E1171" s="8" t="n">
        <x:f>IF(AND(F1170&lt;=9,AS1170&gt;=AR1170),1,0)</x:f>
        <x:v>0</x:v>
      </x:c>
      <x:c r="F1171" s="8" t="n">
        <x:f>MIN(10,F1170+E1171)</x:f>
        <x:v>10</x:v>
      </x:c>
      <x:c r="G1171" s="8" t="n">
        <x:f>MIN(F1171,9)+1</x:f>
        <x:v>10</x:v>
      </x:c>
      <x:c r="H1171" s="8" t="n">
        <x:f>IF(F1171&lt;=9,1,0)</x:f>
        <x:v>0</x:v>
      </x:c>
      <x:c r="I1171" s="9" t="n">
        <x:f>MIN(10,F1170+IF(AR1170&gt;0,MIN(1,AS1170/AR1170),1))</x:f>
        <x:v>10</x:v>
      </x:c>
      <x:c r="J1171" s="32" t="n">
        <x:f>INDEX(tun_FoodCap,G1171)*Arch_FoodCap*EXP(tun_CapsByProject*SUMPRODUCT((Cap_Point&lt;=I1171)*(Cap_Kind="Food")*Cap_Ln))</x:f>
        <x:v>18627.260449441455</x:v>
      </x:c>
      <x:c r="K1171" s="32" t="n">
        <x:f>J1171*MIN(1,tun_LeanBase*EXP(tun_CapsByProject*SUMPRODUCT((Cap_Point&lt;=I1171)*(Cap_Kind="Lean")*Cap_Ln)))</x:f>
        <x:v>18627.260449441455</x:v>
      </x:c>
      <x:c r="L1171" s="10" t="n">
        <x:f>INDEX(tun_HousingCap,G1171)*EXP(tun_CapsByProject*SUMPRODUCT((Cap_Point&lt;=I1171)*(Cap_Kind="Housing")*Cap_Ln))</x:f>
        <x:v>20528.974303173167</x:v>
      </x:c>
      <x:c r="M1171" s="10" t="n">
        <x:f>INDEX(tun_GroupCap,G1171)*tun_CohesionFactor*EXP(tun_CapsByProject*SUMPRODUCT((Cap_Point&lt;=I1171)*(Cap_Kind="Group")*Cap_Ln))</x:f>
        <x:v>1000000.000000001</x:v>
      </x:c>
      <x:c r="N1171" s="32" t="n">
        <x:f>MIN(J1171,L1171,M1171)</x:f>
        <x:v>18627.260449441455</x:v>
      </x:c>
      <x:c r="O1171" s="10" t="n">
        <x:f>AE1170*N1171</x:f>
        <x:v>167645.34404497308</x:v>
      </x:c>
      <x:c r="P1171" s="9" t="n">
        <x:f>MIN(1,(AB1170/(AE1170*IF(tun_GroupInCrowding=1,N1171,MIN(J1171,L1171))))^tun_CrowdingExp)</x:f>
        <x:v>0.4215841981292809</x:v>
      </x:c>
      <x:c r="Q1171" s="9" t="n">
        <x:f>IF(D1171=1,INDEX(tun_WinterMult,G1171),1)</x:f>
        <x:v>1.05</x:v>
      </x:c>
      <x:c r="R1171" s="9" t="n">
        <x:f>H1171*Z1170*tun_WomenShare*tun_BaseFertility*INDEX(tun_FertMult,G1171)*Arch_Fertility*(1-P1171)</x:f>
        <x:v>0</x:v>
      </x:c>
      <x:c r="S1171" s="9" t="n">
        <x:f>H1171*Y1170*INDEX(tun_MortChild,G1171)/4*Q1171</x:f>
        <x:v>0</x:v>
      </x:c>
      <x:c r="T1171" s="9" t="n">
        <x:f>H1171*Z1170*INDEX(tun_MortAdult,G1171)*Arch_AdultMort/4*Q1171</x:f>
        <x:v>0</x:v>
      </x:c>
      <x:c r="U1171" s="9" t="n">
        <x:f>H1171*AA1170*INDEX(tun_MortElder,G1171)/4*Q1171</x:f>
        <x:v>0</x:v>
      </x:c>
      <x:c r="V1171" s="9" t="n">
        <x:f>H1171*MAX(0,AB1170-O1171)*tun_OvercapLoss</x:f>
        <x:v>0</x:v>
      </x:c>
      <x:c r="W1171" s="9" t="n">
        <x:f>H1171*Y1170/(tun_ChildYears*4)</x:f>
        <x:v>0</x:v>
      </x:c>
      <x:c r="X1171" s="9" t="n">
        <x:f>H1171*Z1170/(tun_AdultYears*4)</x:f>
        <x:v>0</x:v>
      </x:c>
      <x:c r="Y1171" s="32" t="n">
        <x:f>Y1170+R1171-S1171-W1171-Y1170*V1171/AB1170</x:f>
        <x:v>40496.20709015643</x:v>
      </x:c>
      <x:c r="Z1171" s="32" t="n">
        <x:f>Z1170+W1171-X1171-T1171-Z1170*V1171/AB1170</x:f>
        <x:v>59141.61122890803</x:v>
      </x:c>
      <x:c r="AA1171" s="32" t="n">
        <x:f>AA1170+X1171-U1171-AA1170*V1171/AB1170</x:f>
        <x:v>45530.62410925061</x:v>
      </x:c>
      <x:c r="AB1171" s="10" t="n">
        <x:f>Y1171+Z1171+AA1171</x:f>
        <x:v>145168.44242831506</x:v>
      </x:c>
      <x:c r="AC1171" s="8" t="n">
        <x:f>IF(AND(tun_WinterTrigger=1,D1171=1,AB1170/AE1170&gt;=K1171),1,0)</x:f>
        <x:v>0</x:v>
      </x:c>
      <x:c r="AD1171" s="8" t="n">
        <x:f>H1171*IF(AND(OR(AB1170/AE1170&gt;=tun_FissionTrigger*N1171,AC1171=1),AB1170/AE1170*tun_DaughterShare&gt;=tun_MinDaughter),MAX(1,ROUND(AE1170*tun_FissionRate,0)),0)</x:f>
        <x:v>0</x:v>
      </x:c>
      <x:c r="AE1171" s="8" t="n">
        <x:f>IF(H1171=1,MAX(1,MIN(INDEX(tun_Smax,G1171),AE1170+AD1171)),AE1170)</x:f>
        <x:v>9</x:v>
      </x:c>
      <x:c r="AF1171" s="8" t="n">
        <x:f>MAX(0,AE1171-AE1170)</x:f>
        <x:v>0</x:v>
      </x:c>
      <x:c r="AG1171" s="9" t="str">
        <x:f>IF(AF1171&gt;0,B1171,"")</x:f>
      </x:c>
      <x:c r="AH1171" s="9" t="n">
        <x:f>IF(F1171&gt;=1,1,(1+tun_LowTiesShare*(AE1171-1))/AE1171)</x:f>
        <x:v>1</x:v>
      </x:c>
      <x:c r="AI1171" s="32" t="n">
        <x:f>(Z1171+tun_ElderCommons*INDEX(LM_Elder,G1171)*AA1171)*AH1171</x:f>
        <x:v>238215.0665857503</x:v>
      </x:c>
      <x:c r="AJ1171" s="32" t="n">
        <x:f>H1171*tun_CommonsCoef*AI1171^tun_CommonsExp*INDEX(LM_Commons,G1171)</x:f>
        <x:v>0</x:v>
      </x:c>
      <x:c r="AK1171" s="32" t="n">
        <x:f>H1171*tun_RoleScale*Arch_Roles*(AE1171*(INDEX(tun_ElderRolePerSett,G1171)*tun_OutElder*INDEX(LM_Elder,G1171)+INDEX(tun_ShamanPerSett,G1171)*tun_OutShaman)+Z1171*(INDEX(tun_PriestShare,G1171)*tun_OutPriest+INDEX(tun_ScribeShare,G1171)*tun_OutScribe*INDEX(LM_Scribe,G1171)+INDEX(tun_ScholarShare,G1171)*tun_OutScholar*INDEX(LM_Scholar,G1171)+INDEX(tun_ResearcherShare,G1171)*tun_OutResearcher*INDEX(LM_Researcher,G1171)))</x:f>
        <x:v>0</x:v>
      </x:c>
      <x:c r="AL1171" s="32" t="n">
        <x:f>H1171*tun_RoleScale*Arch_Roles*AE1171*INDEX(tun_MonasteryPerSett,G1171)*tun_OutMonastery*INDEX(LM_Monastery,G1171)</x:f>
        <x:v>0</x:v>
      </x:c>
      <x:c r="AM1171" s="32" t="n">
        <x:f>(AJ1171+AK1171+AL1171)/4*INDEX(LM_All,G1171)*INDEX(tun_Boon,G1171)*Arch_Insight</x:f>
        <x:v>0</x:v>
      </x:c>
      <x:c r="AN1171" s="32" t="n">
        <x:f>H1171*(tun_KHPerAdult*Z1171+tun_KHOfCommons*AJ1171/4*INDEX(LM_All,G1171))*tun_KHUsable*Arch_KH</x:f>
        <x:v>0</x:v>
      </x:c>
      <x:c r="AO1171" s="32" t="n">
        <x:f>MIN(AP1170+AN1171,AM1171*tun_KHMaxRatio)</x:f>
        <x:v>0</x:v>
      </x:c>
      <x:c r="AP1171" s="32" t="n">
        <x:f>AP1170+AN1171-AO1171</x:f>
        <x:v>0</x:v>
      </x:c>
      <x:c r="AQ1171" s="32" t="n">
        <x:f>AM1171+AO1171</x:f>
        <x:v>0</x:v>
      </x:c>
      <x:c r="AR1171" s="10" t="n">
        <x:f>IF(H1171=1,INDEX(tun_Req,G1171),0)</x:f>
        <x:v>0</x:v>
      </x:c>
      <x:c r="AS1171" s="32" t="n">
        <x:f>IF(H1171=1,IF(E1171=1,AS1170-AR1170,AS1170)+AQ1171,0)</x:f>
        <x:v>0</x:v>
      </x:c>
      <x:c r="AT1171" s="11" t="n">
        <x:f>IF(AR1171&gt;0,MIN(1,AS1171/AR1171),1)</x:f>
        <x:v>1</x:v>
      </x:c>
      <x:c r="AU1171" s="10" t="n">
        <x:f>AB1171/INDEX(tun_RepScale,G1171)</x:f>
        <x:v>290.3368848566301</x:v>
      </x:c>
      <x:c r="AV1171" s="32" t="n">
        <x:f>AM1171*60/tun_SeasonSeconds</x:f>
        <x:v>0</x:v>
      </x:c>
    </x:row>
    <x:row r="1172">
      <x:c r="A1172" s="8" t="n">
        <x:f>A1171+1</x:f>
        <x:v>1169</x:v>
      </x:c>
      <x:c r="B1172" s="9" t="n">
        <x:f>A1172*tun_SeasonSeconds/60</x:f>
        <x:v>292.25</x:v>
      </x:c>
      <x:c r="C1172" s="9" t="n">
        <x:f>A1172/4</x:f>
        <x:v>292.25</x:v>
      </x:c>
      <x:c r="D1172" s="8" t="n">
        <x:f>IF(MOD(A1172,4)=0,1,0)</x:f>
        <x:v>0</x:v>
      </x:c>
      <x:c r="E1172" s="8" t="n">
        <x:f>IF(AND(F1171&lt;=9,AS1171&gt;=AR1171),1,0)</x:f>
        <x:v>0</x:v>
      </x:c>
      <x:c r="F1172" s="8" t="n">
        <x:f>MIN(10,F1171+E1172)</x:f>
        <x:v>10</x:v>
      </x:c>
      <x:c r="G1172" s="8" t="n">
        <x:f>MIN(F1172,9)+1</x:f>
        <x:v>10</x:v>
      </x:c>
      <x:c r="H1172" s="8" t="n">
        <x:f>IF(F1172&lt;=9,1,0)</x:f>
        <x:v>0</x:v>
      </x:c>
      <x:c r="I1172" s="9" t="n">
        <x:f>MIN(10,F1171+IF(AR1171&gt;0,MIN(1,AS1171/AR1171),1))</x:f>
        <x:v>10</x:v>
      </x:c>
      <x:c r="J1172" s="32" t="n">
        <x:f>INDEX(tun_FoodCap,G1172)*Arch_FoodCap*EXP(tun_CapsByProject*SUMPRODUCT((Cap_Point&lt;=I1172)*(Cap_Kind="Food")*Cap_Ln))</x:f>
        <x:v>18627.260449441455</x:v>
      </x:c>
      <x:c r="K1172" s="32" t="n">
        <x:f>J1172*MIN(1,tun_LeanBase*EXP(tun_CapsByProject*SUMPRODUCT((Cap_Point&lt;=I1172)*(Cap_Kind="Lean")*Cap_Ln)))</x:f>
        <x:v>18627.260449441455</x:v>
      </x:c>
      <x:c r="L1172" s="10" t="n">
        <x:f>INDEX(tun_HousingCap,G1172)*EXP(tun_CapsByProject*SUMPRODUCT((Cap_Point&lt;=I1172)*(Cap_Kind="Housing")*Cap_Ln))</x:f>
        <x:v>20528.974303173167</x:v>
      </x:c>
      <x:c r="M1172" s="10" t="n">
        <x:f>INDEX(tun_GroupCap,G1172)*tun_CohesionFactor*EXP(tun_CapsByProject*SUMPRODUCT((Cap_Point&lt;=I1172)*(Cap_Kind="Group")*Cap_Ln))</x:f>
        <x:v>1000000.000000001</x:v>
      </x:c>
      <x:c r="N1172" s="32" t="n">
        <x:f>MIN(J1172,L1172,M1172)</x:f>
        <x:v>18627.260449441455</x:v>
      </x:c>
      <x:c r="O1172" s="10" t="n">
        <x:f>AE1171*N1172</x:f>
        <x:v>167645.34404497308</x:v>
      </x:c>
      <x:c r="P1172" s="9" t="n">
        <x:f>MIN(1,(AB1171/(AE1171*IF(tun_GroupInCrowding=1,N1172,MIN(J1172,L1172))))^tun_CrowdingExp)</x:f>
        <x:v>0.4215841981292809</x:v>
      </x:c>
      <x:c r="Q1172" s="9" t="n">
        <x:f>IF(D1172=1,INDEX(tun_WinterMult,G1172),1)</x:f>
        <x:v>1</x:v>
      </x:c>
      <x:c r="R1172" s="9" t="n">
        <x:f>H1172*Z1171*tun_WomenShare*tun_BaseFertility*INDEX(tun_FertMult,G1172)*Arch_Fertility*(1-P1172)</x:f>
        <x:v>0</x:v>
      </x:c>
      <x:c r="S1172" s="9" t="n">
        <x:f>H1172*Y1171*INDEX(tun_MortChild,G1172)/4*Q1172</x:f>
        <x:v>0</x:v>
      </x:c>
      <x:c r="T1172" s="9" t="n">
        <x:f>H1172*Z1171*INDEX(tun_MortAdult,G1172)*Arch_AdultMort/4*Q1172</x:f>
        <x:v>0</x:v>
      </x:c>
      <x:c r="U1172" s="9" t="n">
        <x:f>H1172*AA1171*INDEX(tun_MortElder,G1172)/4*Q1172</x:f>
        <x:v>0</x:v>
      </x:c>
      <x:c r="V1172" s="9" t="n">
        <x:f>H1172*MAX(0,AB1171-O1172)*tun_OvercapLoss</x:f>
        <x:v>0</x:v>
      </x:c>
      <x:c r="W1172" s="9" t="n">
        <x:f>H1172*Y1171/(tun_ChildYears*4)</x:f>
        <x:v>0</x:v>
      </x:c>
      <x:c r="X1172" s="9" t="n">
        <x:f>H1172*Z1171/(tun_AdultYears*4)</x:f>
        <x:v>0</x:v>
      </x:c>
      <x:c r="Y1172" s="32" t="n">
        <x:f>Y1171+R1172-S1172-W1172-Y1171*V1172/AB1171</x:f>
        <x:v>40496.20709015643</x:v>
      </x:c>
      <x:c r="Z1172" s="32" t="n">
        <x:f>Z1171+W1172-X1172-T1172-Z1171*V1172/AB1171</x:f>
        <x:v>59141.61122890803</x:v>
      </x:c>
      <x:c r="AA1172" s="32" t="n">
        <x:f>AA1171+X1172-U1172-AA1171*V1172/AB1171</x:f>
        <x:v>45530.62410925061</x:v>
      </x:c>
      <x:c r="AB1172" s="10" t="n">
        <x:f>Y1172+Z1172+AA1172</x:f>
        <x:v>145168.44242831506</x:v>
      </x:c>
      <x:c r="AC1172" s="8" t="n">
        <x:f>IF(AND(tun_WinterTrigger=1,D1172=1,AB1171/AE1171&gt;=K1172),1,0)</x:f>
        <x:v>0</x:v>
      </x:c>
      <x:c r="AD1172" s="8" t="n">
        <x:f>H1172*IF(AND(OR(AB1171/AE1171&gt;=tun_FissionTrigger*N1172,AC1172=1),AB1171/AE1171*tun_DaughterShare&gt;=tun_MinDaughter),MAX(1,ROUND(AE1171*tun_FissionRate,0)),0)</x:f>
        <x:v>0</x:v>
      </x:c>
      <x:c r="AE1172" s="8" t="n">
        <x:f>IF(H1172=1,MAX(1,MIN(INDEX(tun_Smax,G1172),AE1171+AD1172)),AE1171)</x:f>
        <x:v>9</x:v>
      </x:c>
      <x:c r="AF1172" s="8" t="n">
        <x:f>MAX(0,AE1172-AE1171)</x:f>
        <x:v>0</x:v>
      </x:c>
      <x:c r="AG1172" s="9" t="str">
        <x:f>IF(AF1172&gt;0,B1172,"")</x:f>
      </x:c>
      <x:c r="AH1172" s="9" t="n">
        <x:f>IF(F1172&gt;=1,1,(1+tun_LowTiesShare*(AE1172-1))/AE1172)</x:f>
        <x:v>1</x:v>
      </x:c>
      <x:c r="AI1172" s="32" t="n">
        <x:f>(Z1172+tun_ElderCommons*INDEX(LM_Elder,G1172)*AA1172)*AH1172</x:f>
        <x:v>238215.0665857503</x:v>
      </x:c>
      <x:c r="AJ1172" s="32" t="n">
        <x:f>H1172*tun_CommonsCoef*AI1172^tun_CommonsExp*INDEX(LM_Commons,G1172)</x:f>
        <x:v>0</x:v>
      </x:c>
      <x:c r="AK1172" s="32" t="n">
        <x:f>H1172*tun_RoleScale*Arch_Roles*(AE1172*(INDEX(tun_ElderRolePerSett,G1172)*tun_OutElder*INDEX(LM_Elder,G1172)+INDEX(tun_ShamanPerSett,G1172)*tun_OutShaman)+Z1172*(INDEX(tun_PriestShare,G1172)*tun_OutPriest+INDEX(tun_ScribeShare,G1172)*tun_OutScribe*INDEX(LM_Scribe,G1172)+INDEX(tun_ScholarShare,G1172)*tun_OutScholar*INDEX(LM_Scholar,G1172)+INDEX(tun_ResearcherShare,G1172)*tun_OutResearcher*INDEX(LM_Researcher,G1172)))</x:f>
        <x:v>0</x:v>
      </x:c>
      <x:c r="AL1172" s="32" t="n">
        <x:f>H1172*tun_RoleScale*Arch_Roles*AE1172*INDEX(tun_MonasteryPerSett,G1172)*tun_OutMonastery*INDEX(LM_Monastery,G1172)</x:f>
        <x:v>0</x:v>
      </x:c>
      <x:c r="AM1172" s="32" t="n">
        <x:f>(AJ1172+AK1172+AL1172)/4*INDEX(LM_All,G1172)*INDEX(tun_Boon,G1172)*Arch_Insight</x:f>
        <x:v>0</x:v>
      </x:c>
      <x:c r="AN1172" s="32" t="n">
        <x:f>H1172*(tun_KHPerAdult*Z1172+tun_KHOfCommons*AJ1172/4*INDEX(LM_All,G1172))*tun_KHUsable*Arch_KH</x:f>
        <x:v>0</x:v>
      </x:c>
      <x:c r="AO1172" s="32" t="n">
        <x:f>MIN(AP1171+AN1172,AM1172*tun_KHMaxRatio)</x:f>
        <x:v>0</x:v>
      </x:c>
      <x:c r="AP1172" s="32" t="n">
        <x:f>AP1171+AN1172-AO1172</x:f>
        <x:v>0</x:v>
      </x:c>
      <x:c r="AQ1172" s="32" t="n">
        <x:f>AM1172+AO1172</x:f>
        <x:v>0</x:v>
      </x:c>
      <x:c r="AR1172" s="10" t="n">
        <x:f>IF(H1172=1,INDEX(tun_Req,G1172),0)</x:f>
        <x:v>0</x:v>
      </x:c>
      <x:c r="AS1172" s="32" t="n">
        <x:f>IF(H1172=1,IF(E1172=1,AS1171-AR1171,AS1171)+AQ1172,0)</x:f>
        <x:v>0</x:v>
      </x:c>
      <x:c r="AT1172" s="11" t="n">
        <x:f>IF(AR1172&gt;0,MIN(1,AS1172/AR1172),1)</x:f>
        <x:v>1</x:v>
      </x:c>
      <x:c r="AU1172" s="10" t="n">
        <x:f>AB1172/INDEX(tun_RepScale,G1172)</x:f>
        <x:v>290.3368848566301</x:v>
      </x:c>
      <x:c r="AV1172" s="32" t="n">
        <x:f>AM1172*60/tun_SeasonSeconds</x:f>
        <x:v>0</x:v>
      </x:c>
    </x:row>
    <x:row r="1173">
      <x:c r="A1173" s="8" t="n">
        <x:f>A1172+1</x:f>
        <x:v>1170</x:v>
      </x:c>
      <x:c r="B1173" s="9" t="n">
        <x:f>A1173*tun_SeasonSeconds/60</x:f>
        <x:v>292.5</x:v>
      </x:c>
      <x:c r="C1173" s="9" t="n">
        <x:f>A1173/4</x:f>
        <x:v>292.5</x:v>
      </x:c>
      <x:c r="D1173" s="8" t="n">
        <x:f>IF(MOD(A1173,4)=0,1,0)</x:f>
        <x:v>0</x:v>
      </x:c>
      <x:c r="E1173" s="8" t="n">
        <x:f>IF(AND(F1172&lt;=9,AS1172&gt;=AR1172),1,0)</x:f>
        <x:v>0</x:v>
      </x:c>
      <x:c r="F1173" s="8" t="n">
        <x:f>MIN(10,F1172+E1173)</x:f>
        <x:v>10</x:v>
      </x:c>
      <x:c r="G1173" s="8" t="n">
        <x:f>MIN(F1173,9)+1</x:f>
        <x:v>10</x:v>
      </x:c>
      <x:c r="H1173" s="8" t="n">
        <x:f>IF(F1173&lt;=9,1,0)</x:f>
        <x:v>0</x:v>
      </x:c>
      <x:c r="I1173" s="9" t="n">
        <x:f>MIN(10,F1172+IF(AR1172&gt;0,MIN(1,AS1172/AR1172),1))</x:f>
        <x:v>10</x:v>
      </x:c>
      <x:c r="J1173" s="32" t="n">
        <x:f>INDEX(tun_FoodCap,G1173)*Arch_FoodCap*EXP(tun_CapsByProject*SUMPRODUCT((Cap_Point&lt;=I1173)*(Cap_Kind="Food")*Cap_Ln))</x:f>
        <x:v>18627.260449441455</x:v>
      </x:c>
      <x:c r="K1173" s="32" t="n">
        <x:f>J1173*MIN(1,tun_LeanBase*EXP(tun_CapsByProject*SUMPRODUCT((Cap_Point&lt;=I1173)*(Cap_Kind="Lean")*Cap_Ln)))</x:f>
        <x:v>18627.260449441455</x:v>
      </x:c>
      <x:c r="L1173" s="10" t="n">
        <x:f>INDEX(tun_HousingCap,G1173)*EXP(tun_CapsByProject*SUMPRODUCT((Cap_Point&lt;=I1173)*(Cap_Kind="Housing")*Cap_Ln))</x:f>
        <x:v>20528.974303173167</x:v>
      </x:c>
      <x:c r="M1173" s="10" t="n">
        <x:f>INDEX(tun_GroupCap,G1173)*tun_CohesionFactor*EXP(tun_CapsByProject*SUMPRODUCT((Cap_Point&lt;=I1173)*(Cap_Kind="Group")*Cap_Ln))</x:f>
        <x:v>1000000.000000001</x:v>
      </x:c>
      <x:c r="N1173" s="32" t="n">
        <x:f>MIN(J1173,L1173,M1173)</x:f>
        <x:v>18627.260449441455</x:v>
      </x:c>
      <x:c r="O1173" s="10" t="n">
        <x:f>AE1172*N1173</x:f>
        <x:v>167645.34404497308</x:v>
      </x:c>
      <x:c r="P1173" s="9" t="n">
        <x:f>MIN(1,(AB1172/(AE1172*IF(tun_GroupInCrowding=1,N1173,MIN(J1173,L1173))))^tun_CrowdingExp)</x:f>
        <x:v>0.4215841981292809</x:v>
      </x:c>
      <x:c r="Q1173" s="9" t="n">
        <x:f>IF(D1173=1,INDEX(tun_WinterMult,G1173),1)</x:f>
        <x:v>1</x:v>
      </x:c>
      <x:c r="R1173" s="9" t="n">
        <x:f>H1173*Z1172*tun_WomenShare*tun_BaseFertility*INDEX(tun_FertMult,G1173)*Arch_Fertility*(1-P1173)</x:f>
        <x:v>0</x:v>
      </x:c>
      <x:c r="S1173" s="9" t="n">
        <x:f>H1173*Y1172*INDEX(tun_MortChild,G1173)/4*Q1173</x:f>
        <x:v>0</x:v>
      </x:c>
      <x:c r="T1173" s="9" t="n">
        <x:f>H1173*Z1172*INDEX(tun_MortAdult,G1173)*Arch_AdultMort/4*Q1173</x:f>
        <x:v>0</x:v>
      </x:c>
      <x:c r="U1173" s="9" t="n">
        <x:f>H1173*AA1172*INDEX(tun_MortElder,G1173)/4*Q1173</x:f>
        <x:v>0</x:v>
      </x:c>
      <x:c r="V1173" s="9" t="n">
        <x:f>H1173*MAX(0,AB1172-O1173)*tun_OvercapLoss</x:f>
        <x:v>0</x:v>
      </x:c>
      <x:c r="W1173" s="9" t="n">
        <x:f>H1173*Y1172/(tun_ChildYears*4)</x:f>
        <x:v>0</x:v>
      </x:c>
      <x:c r="X1173" s="9" t="n">
        <x:f>H1173*Z1172/(tun_AdultYears*4)</x:f>
        <x:v>0</x:v>
      </x:c>
      <x:c r="Y1173" s="32" t="n">
        <x:f>Y1172+R1173-S1173-W1173-Y1172*V1173/AB1172</x:f>
        <x:v>40496.20709015643</x:v>
      </x:c>
      <x:c r="Z1173" s="32" t="n">
        <x:f>Z1172+W1173-X1173-T1173-Z1172*V1173/AB1172</x:f>
        <x:v>59141.61122890803</x:v>
      </x:c>
      <x:c r="AA1173" s="32" t="n">
        <x:f>AA1172+X1173-U1173-AA1172*V1173/AB1172</x:f>
        <x:v>45530.62410925061</x:v>
      </x:c>
      <x:c r="AB1173" s="10" t="n">
        <x:f>Y1173+Z1173+AA1173</x:f>
        <x:v>145168.44242831506</x:v>
      </x:c>
      <x:c r="AC1173" s="8" t="n">
        <x:f>IF(AND(tun_WinterTrigger=1,D1173=1,AB1172/AE1172&gt;=K1173),1,0)</x:f>
        <x:v>0</x:v>
      </x:c>
      <x:c r="AD1173" s="8" t="n">
        <x:f>H1173*IF(AND(OR(AB1172/AE1172&gt;=tun_FissionTrigger*N1173,AC1173=1),AB1172/AE1172*tun_DaughterShare&gt;=tun_MinDaughter),MAX(1,ROUND(AE1172*tun_FissionRate,0)),0)</x:f>
        <x:v>0</x:v>
      </x:c>
      <x:c r="AE1173" s="8" t="n">
        <x:f>IF(H1173=1,MAX(1,MIN(INDEX(tun_Smax,G1173),AE1172+AD1173)),AE1172)</x:f>
        <x:v>9</x:v>
      </x:c>
      <x:c r="AF1173" s="8" t="n">
        <x:f>MAX(0,AE1173-AE1172)</x:f>
        <x:v>0</x:v>
      </x:c>
      <x:c r="AG1173" s="9" t="str">
        <x:f>IF(AF1173&gt;0,B1173,"")</x:f>
      </x:c>
      <x:c r="AH1173" s="9" t="n">
        <x:f>IF(F1173&gt;=1,1,(1+tun_LowTiesShare*(AE1173-1))/AE1173)</x:f>
        <x:v>1</x:v>
      </x:c>
      <x:c r="AI1173" s="32" t="n">
        <x:f>(Z1173+tun_ElderCommons*INDEX(LM_Elder,G1173)*AA1173)*AH1173</x:f>
        <x:v>238215.0665857503</x:v>
      </x:c>
      <x:c r="AJ1173" s="32" t="n">
        <x:f>H1173*tun_CommonsCoef*AI1173^tun_CommonsExp*INDEX(LM_Commons,G1173)</x:f>
        <x:v>0</x:v>
      </x:c>
      <x:c r="AK1173" s="32" t="n">
        <x:f>H1173*tun_RoleScale*Arch_Roles*(AE1173*(INDEX(tun_ElderRolePerSett,G1173)*tun_OutElder*INDEX(LM_Elder,G1173)+INDEX(tun_ShamanPerSett,G1173)*tun_OutShaman)+Z1173*(INDEX(tun_PriestShare,G1173)*tun_OutPriest+INDEX(tun_ScribeShare,G1173)*tun_OutScribe*INDEX(LM_Scribe,G1173)+INDEX(tun_ScholarShare,G1173)*tun_OutScholar*INDEX(LM_Scholar,G1173)+INDEX(tun_ResearcherShare,G1173)*tun_OutResearcher*INDEX(LM_Researcher,G1173)))</x:f>
        <x:v>0</x:v>
      </x:c>
      <x:c r="AL1173" s="32" t="n">
        <x:f>H1173*tun_RoleScale*Arch_Roles*AE1173*INDEX(tun_MonasteryPerSett,G1173)*tun_OutMonastery*INDEX(LM_Monastery,G1173)</x:f>
        <x:v>0</x:v>
      </x:c>
      <x:c r="AM1173" s="32" t="n">
        <x:f>(AJ1173+AK1173+AL1173)/4*INDEX(LM_All,G1173)*INDEX(tun_Boon,G1173)*Arch_Insight</x:f>
        <x:v>0</x:v>
      </x:c>
      <x:c r="AN1173" s="32" t="n">
        <x:f>H1173*(tun_KHPerAdult*Z1173+tun_KHOfCommons*AJ1173/4*INDEX(LM_All,G1173))*tun_KHUsable*Arch_KH</x:f>
        <x:v>0</x:v>
      </x:c>
      <x:c r="AO1173" s="32" t="n">
        <x:f>MIN(AP1172+AN1173,AM1173*tun_KHMaxRatio)</x:f>
        <x:v>0</x:v>
      </x:c>
      <x:c r="AP1173" s="32" t="n">
        <x:f>AP1172+AN1173-AO1173</x:f>
        <x:v>0</x:v>
      </x:c>
      <x:c r="AQ1173" s="32" t="n">
        <x:f>AM1173+AO1173</x:f>
        <x:v>0</x:v>
      </x:c>
      <x:c r="AR1173" s="10" t="n">
        <x:f>IF(H1173=1,INDEX(tun_Req,G1173),0)</x:f>
        <x:v>0</x:v>
      </x:c>
      <x:c r="AS1173" s="32" t="n">
        <x:f>IF(H1173=1,IF(E1173=1,AS1172-AR1172,AS1172)+AQ1173,0)</x:f>
        <x:v>0</x:v>
      </x:c>
      <x:c r="AT1173" s="11" t="n">
        <x:f>IF(AR1173&gt;0,MIN(1,AS1173/AR1173),1)</x:f>
        <x:v>1</x:v>
      </x:c>
      <x:c r="AU1173" s="10" t="n">
        <x:f>AB1173/INDEX(tun_RepScale,G1173)</x:f>
        <x:v>290.3368848566301</x:v>
      </x:c>
      <x:c r="AV1173" s="32" t="n">
        <x:f>AM1173*60/tun_SeasonSeconds</x:f>
        <x:v>0</x:v>
      </x:c>
    </x:row>
    <x:row r="1174">
      <x:c r="A1174" s="8" t="n">
        <x:f>A1173+1</x:f>
        <x:v>1171</x:v>
      </x:c>
      <x:c r="B1174" s="9" t="n">
        <x:f>A1174*tun_SeasonSeconds/60</x:f>
        <x:v>292.75</x:v>
      </x:c>
      <x:c r="C1174" s="9" t="n">
        <x:f>A1174/4</x:f>
        <x:v>292.75</x:v>
      </x:c>
      <x:c r="D1174" s="8" t="n">
        <x:f>IF(MOD(A1174,4)=0,1,0)</x:f>
        <x:v>0</x:v>
      </x:c>
      <x:c r="E1174" s="8" t="n">
        <x:f>IF(AND(F1173&lt;=9,AS1173&gt;=AR1173),1,0)</x:f>
        <x:v>0</x:v>
      </x:c>
      <x:c r="F1174" s="8" t="n">
        <x:f>MIN(10,F1173+E1174)</x:f>
        <x:v>10</x:v>
      </x:c>
      <x:c r="G1174" s="8" t="n">
        <x:f>MIN(F1174,9)+1</x:f>
        <x:v>10</x:v>
      </x:c>
      <x:c r="H1174" s="8" t="n">
        <x:f>IF(F1174&lt;=9,1,0)</x:f>
        <x:v>0</x:v>
      </x:c>
      <x:c r="I1174" s="9" t="n">
        <x:f>MIN(10,F1173+IF(AR1173&gt;0,MIN(1,AS1173/AR1173),1))</x:f>
        <x:v>10</x:v>
      </x:c>
      <x:c r="J1174" s="32" t="n">
        <x:f>INDEX(tun_FoodCap,G1174)*Arch_FoodCap*EXP(tun_CapsByProject*SUMPRODUCT((Cap_Point&lt;=I1174)*(Cap_Kind="Food")*Cap_Ln))</x:f>
        <x:v>18627.260449441455</x:v>
      </x:c>
      <x:c r="K1174" s="32" t="n">
        <x:f>J1174*MIN(1,tun_LeanBase*EXP(tun_CapsByProject*SUMPRODUCT((Cap_Point&lt;=I1174)*(Cap_Kind="Lean")*Cap_Ln)))</x:f>
        <x:v>18627.260449441455</x:v>
      </x:c>
      <x:c r="L1174" s="10" t="n">
        <x:f>INDEX(tun_HousingCap,G1174)*EXP(tun_CapsByProject*SUMPRODUCT((Cap_Point&lt;=I1174)*(Cap_Kind="Housing")*Cap_Ln))</x:f>
        <x:v>20528.974303173167</x:v>
      </x:c>
      <x:c r="M1174" s="10" t="n">
        <x:f>INDEX(tun_GroupCap,G1174)*tun_CohesionFactor*EXP(tun_CapsByProject*SUMPRODUCT((Cap_Point&lt;=I1174)*(Cap_Kind="Group")*Cap_Ln))</x:f>
        <x:v>1000000.000000001</x:v>
      </x:c>
      <x:c r="N1174" s="32" t="n">
        <x:f>MIN(J1174,L1174,M1174)</x:f>
        <x:v>18627.260449441455</x:v>
      </x:c>
      <x:c r="O1174" s="10" t="n">
        <x:f>AE1173*N1174</x:f>
        <x:v>167645.34404497308</x:v>
      </x:c>
      <x:c r="P1174" s="9" t="n">
        <x:f>MIN(1,(AB1173/(AE1173*IF(tun_GroupInCrowding=1,N1174,MIN(J1174,L1174))))^tun_CrowdingExp)</x:f>
        <x:v>0.4215841981292809</x:v>
      </x:c>
      <x:c r="Q1174" s="9" t="n">
        <x:f>IF(D1174=1,INDEX(tun_WinterMult,G1174),1)</x:f>
        <x:v>1</x:v>
      </x:c>
      <x:c r="R1174" s="9" t="n">
        <x:f>H1174*Z1173*tun_WomenShare*tun_BaseFertility*INDEX(tun_FertMult,G1174)*Arch_Fertility*(1-P1174)</x:f>
        <x:v>0</x:v>
      </x:c>
      <x:c r="S1174" s="9" t="n">
        <x:f>H1174*Y1173*INDEX(tun_MortChild,G1174)/4*Q1174</x:f>
        <x:v>0</x:v>
      </x:c>
      <x:c r="T1174" s="9" t="n">
        <x:f>H1174*Z1173*INDEX(tun_MortAdult,G1174)*Arch_AdultMort/4*Q1174</x:f>
        <x:v>0</x:v>
      </x:c>
      <x:c r="U1174" s="9" t="n">
        <x:f>H1174*AA1173*INDEX(tun_MortElder,G1174)/4*Q1174</x:f>
        <x:v>0</x:v>
      </x:c>
      <x:c r="V1174" s="9" t="n">
        <x:f>H1174*MAX(0,AB1173-O1174)*tun_OvercapLoss</x:f>
        <x:v>0</x:v>
      </x:c>
      <x:c r="W1174" s="9" t="n">
        <x:f>H1174*Y1173/(tun_ChildYears*4)</x:f>
        <x:v>0</x:v>
      </x:c>
      <x:c r="X1174" s="9" t="n">
        <x:f>H1174*Z1173/(tun_AdultYears*4)</x:f>
        <x:v>0</x:v>
      </x:c>
      <x:c r="Y1174" s="32" t="n">
        <x:f>Y1173+R1174-S1174-W1174-Y1173*V1174/AB1173</x:f>
        <x:v>40496.20709015643</x:v>
      </x:c>
      <x:c r="Z1174" s="32" t="n">
        <x:f>Z1173+W1174-X1174-T1174-Z1173*V1174/AB1173</x:f>
        <x:v>59141.61122890803</x:v>
      </x:c>
      <x:c r="AA1174" s="32" t="n">
        <x:f>AA1173+X1174-U1174-AA1173*V1174/AB1173</x:f>
        <x:v>45530.62410925061</x:v>
      </x:c>
      <x:c r="AB1174" s="10" t="n">
        <x:f>Y1174+Z1174+AA1174</x:f>
        <x:v>145168.44242831506</x:v>
      </x:c>
      <x:c r="AC1174" s="8" t="n">
        <x:f>IF(AND(tun_WinterTrigger=1,D1174=1,AB1173/AE1173&gt;=K1174),1,0)</x:f>
        <x:v>0</x:v>
      </x:c>
      <x:c r="AD1174" s="8" t="n">
        <x:f>H1174*IF(AND(OR(AB1173/AE1173&gt;=tun_FissionTrigger*N1174,AC1174=1),AB1173/AE1173*tun_DaughterShare&gt;=tun_MinDaughter),MAX(1,ROUND(AE1173*tun_FissionRate,0)),0)</x:f>
        <x:v>0</x:v>
      </x:c>
      <x:c r="AE1174" s="8" t="n">
        <x:f>IF(H1174=1,MAX(1,MIN(INDEX(tun_Smax,G1174),AE1173+AD1174)),AE1173)</x:f>
        <x:v>9</x:v>
      </x:c>
      <x:c r="AF1174" s="8" t="n">
        <x:f>MAX(0,AE1174-AE1173)</x:f>
        <x:v>0</x:v>
      </x:c>
      <x:c r="AG1174" s="9" t="str">
        <x:f>IF(AF1174&gt;0,B1174,"")</x:f>
      </x:c>
      <x:c r="AH1174" s="9" t="n">
        <x:f>IF(F1174&gt;=1,1,(1+tun_LowTiesShare*(AE1174-1))/AE1174)</x:f>
        <x:v>1</x:v>
      </x:c>
      <x:c r="AI1174" s="32" t="n">
        <x:f>(Z1174+tun_ElderCommons*INDEX(LM_Elder,G1174)*AA1174)*AH1174</x:f>
        <x:v>238215.0665857503</x:v>
      </x:c>
      <x:c r="AJ1174" s="32" t="n">
        <x:f>H1174*tun_CommonsCoef*AI1174^tun_CommonsExp*INDEX(LM_Commons,G1174)</x:f>
        <x:v>0</x:v>
      </x:c>
      <x:c r="AK1174" s="32" t="n">
        <x:f>H1174*tun_RoleScale*Arch_Roles*(AE1174*(INDEX(tun_ElderRolePerSett,G1174)*tun_OutElder*INDEX(LM_Elder,G1174)+INDEX(tun_ShamanPerSett,G1174)*tun_OutShaman)+Z1174*(INDEX(tun_PriestShare,G1174)*tun_OutPriest+INDEX(tun_ScribeShare,G1174)*tun_OutScribe*INDEX(LM_Scribe,G1174)+INDEX(tun_ScholarShare,G1174)*tun_OutScholar*INDEX(LM_Scholar,G1174)+INDEX(tun_ResearcherShare,G1174)*tun_OutResearcher*INDEX(LM_Researcher,G1174)))</x:f>
        <x:v>0</x:v>
      </x:c>
      <x:c r="AL1174" s="32" t="n">
        <x:f>H1174*tun_RoleScale*Arch_Roles*AE1174*INDEX(tun_MonasteryPerSett,G1174)*tun_OutMonastery*INDEX(LM_Monastery,G1174)</x:f>
        <x:v>0</x:v>
      </x:c>
      <x:c r="AM1174" s="32" t="n">
        <x:f>(AJ1174+AK1174+AL1174)/4*INDEX(LM_All,G1174)*INDEX(tun_Boon,G1174)*Arch_Insight</x:f>
        <x:v>0</x:v>
      </x:c>
      <x:c r="AN1174" s="32" t="n">
        <x:f>H1174*(tun_KHPerAdult*Z1174+tun_KHOfCommons*AJ1174/4*INDEX(LM_All,G1174))*tun_KHUsable*Arch_KH</x:f>
        <x:v>0</x:v>
      </x:c>
      <x:c r="AO1174" s="32" t="n">
        <x:f>MIN(AP1173+AN1174,AM1174*tun_KHMaxRatio)</x:f>
        <x:v>0</x:v>
      </x:c>
      <x:c r="AP1174" s="32" t="n">
        <x:f>AP1173+AN1174-AO1174</x:f>
        <x:v>0</x:v>
      </x:c>
      <x:c r="AQ1174" s="32" t="n">
        <x:f>AM1174+AO1174</x:f>
        <x:v>0</x:v>
      </x:c>
      <x:c r="AR1174" s="10" t="n">
        <x:f>IF(H1174=1,INDEX(tun_Req,G1174),0)</x:f>
        <x:v>0</x:v>
      </x:c>
      <x:c r="AS1174" s="32" t="n">
        <x:f>IF(H1174=1,IF(E1174=1,AS1173-AR1173,AS1173)+AQ1174,0)</x:f>
        <x:v>0</x:v>
      </x:c>
      <x:c r="AT1174" s="11" t="n">
        <x:f>IF(AR1174&gt;0,MIN(1,AS1174/AR1174),1)</x:f>
        <x:v>1</x:v>
      </x:c>
      <x:c r="AU1174" s="10" t="n">
        <x:f>AB1174/INDEX(tun_RepScale,G1174)</x:f>
        <x:v>290.3368848566301</x:v>
      </x:c>
      <x:c r="AV1174" s="32" t="n">
        <x:f>AM1174*60/tun_SeasonSeconds</x:f>
        <x:v>0</x:v>
      </x:c>
    </x:row>
    <x:row r="1175">
      <x:c r="A1175" s="8" t="n">
        <x:f>A1174+1</x:f>
        <x:v>1172</x:v>
      </x:c>
      <x:c r="B1175" s="9" t="n">
        <x:f>A1175*tun_SeasonSeconds/60</x:f>
        <x:v>293</x:v>
      </x:c>
      <x:c r="C1175" s="9" t="n">
        <x:f>A1175/4</x:f>
        <x:v>293</x:v>
      </x:c>
      <x:c r="D1175" s="8" t="n">
        <x:f>IF(MOD(A1175,4)=0,1,0)</x:f>
        <x:v>1</x:v>
      </x:c>
      <x:c r="E1175" s="8" t="n">
        <x:f>IF(AND(F1174&lt;=9,AS1174&gt;=AR1174),1,0)</x:f>
        <x:v>0</x:v>
      </x:c>
      <x:c r="F1175" s="8" t="n">
        <x:f>MIN(10,F1174+E1175)</x:f>
        <x:v>10</x:v>
      </x:c>
      <x:c r="G1175" s="8" t="n">
        <x:f>MIN(F1175,9)+1</x:f>
        <x:v>10</x:v>
      </x:c>
      <x:c r="H1175" s="8" t="n">
        <x:f>IF(F1175&lt;=9,1,0)</x:f>
        <x:v>0</x:v>
      </x:c>
      <x:c r="I1175" s="9" t="n">
        <x:f>MIN(10,F1174+IF(AR1174&gt;0,MIN(1,AS1174/AR1174),1))</x:f>
        <x:v>10</x:v>
      </x:c>
      <x:c r="J1175" s="32" t="n">
        <x:f>INDEX(tun_FoodCap,G1175)*Arch_FoodCap*EXP(tun_CapsByProject*SUMPRODUCT((Cap_Point&lt;=I1175)*(Cap_Kind="Food")*Cap_Ln))</x:f>
        <x:v>18627.260449441455</x:v>
      </x:c>
      <x:c r="K1175" s="32" t="n">
        <x:f>J1175*MIN(1,tun_LeanBase*EXP(tun_CapsByProject*SUMPRODUCT((Cap_Point&lt;=I1175)*(Cap_Kind="Lean")*Cap_Ln)))</x:f>
        <x:v>18627.260449441455</x:v>
      </x:c>
      <x:c r="L1175" s="10" t="n">
        <x:f>INDEX(tun_HousingCap,G1175)*EXP(tun_CapsByProject*SUMPRODUCT((Cap_Point&lt;=I1175)*(Cap_Kind="Housing")*Cap_Ln))</x:f>
        <x:v>20528.974303173167</x:v>
      </x:c>
      <x:c r="M1175" s="10" t="n">
        <x:f>INDEX(tun_GroupCap,G1175)*tun_CohesionFactor*EXP(tun_CapsByProject*SUMPRODUCT((Cap_Point&lt;=I1175)*(Cap_Kind="Group")*Cap_Ln))</x:f>
        <x:v>1000000.000000001</x:v>
      </x:c>
      <x:c r="N1175" s="32" t="n">
        <x:f>MIN(J1175,L1175,M1175)</x:f>
        <x:v>18627.260449441455</x:v>
      </x:c>
      <x:c r="O1175" s="10" t="n">
        <x:f>AE1174*N1175</x:f>
        <x:v>167645.34404497308</x:v>
      </x:c>
      <x:c r="P1175" s="9" t="n">
        <x:f>MIN(1,(AB1174/(AE1174*IF(tun_GroupInCrowding=1,N1175,MIN(J1175,L1175))))^tun_CrowdingExp)</x:f>
        <x:v>0.4215841981292809</x:v>
      </x:c>
      <x:c r="Q1175" s="9" t="n">
        <x:f>IF(D1175=1,INDEX(tun_WinterMult,G1175),1)</x:f>
        <x:v>1.05</x:v>
      </x:c>
      <x:c r="R1175" s="9" t="n">
        <x:f>H1175*Z1174*tun_WomenShare*tun_BaseFertility*INDEX(tun_FertMult,G1175)*Arch_Fertility*(1-P1175)</x:f>
        <x:v>0</x:v>
      </x:c>
      <x:c r="S1175" s="9" t="n">
        <x:f>H1175*Y1174*INDEX(tun_MortChild,G1175)/4*Q1175</x:f>
        <x:v>0</x:v>
      </x:c>
      <x:c r="T1175" s="9" t="n">
        <x:f>H1175*Z1174*INDEX(tun_MortAdult,G1175)*Arch_AdultMort/4*Q1175</x:f>
        <x:v>0</x:v>
      </x:c>
      <x:c r="U1175" s="9" t="n">
        <x:f>H1175*AA1174*INDEX(tun_MortElder,G1175)/4*Q1175</x:f>
        <x:v>0</x:v>
      </x:c>
      <x:c r="V1175" s="9" t="n">
        <x:f>H1175*MAX(0,AB1174-O1175)*tun_OvercapLoss</x:f>
        <x:v>0</x:v>
      </x:c>
      <x:c r="W1175" s="9" t="n">
        <x:f>H1175*Y1174/(tun_ChildYears*4)</x:f>
        <x:v>0</x:v>
      </x:c>
      <x:c r="X1175" s="9" t="n">
        <x:f>H1175*Z1174/(tun_AdultYears*4)</x:f>
        <x:v>0</x:v>
      </x:c>
      <x:c r="Y1175" s="32" t="n">
        <x:f>Y1174+R1175-S1175-W1175-Y1174*V1175/AB1174</x:f>
        <x:v>40496.20709015643</x:v>
      </x:c>
      <x:c r="Z1175" s="32" t="n">
        <x:f>Z1174+W1175-X1175-T1175-Z1174*V1175/AB1174</x:f>
        <x:v>59141.61122890803</x:v>
      </x:c>
      <x:c r="AA1175" s="32" t="n">
        <x:f>AA1174+X1175-U1175-AA1174*V1175/AB1174</x:f>
        <x:v>45530.62410925061</x:v>
      </x:c>
      <x:c r="AB1175" s="10" t="n">
        <x:f>Y1175+Z1175+AA1175</x:f>
        <x:v>145168.44242831506</x:v>
      </x:c>
      <x:c r="AC1175" s="8" t="n">
        <x:f>IF(AND(tun_WinterTrigger=1,D1175=1,AB1174/AE1174&gt;=K1175),1,0)</x:f>
        <x:v>0</x:v>
      </x:c>
      <x:c r="AD1175" s="8" t="n">
        <x:f>H1175*IF(AND(OR(AB1174/AE1174&gt;=tun_FissionTrigger*N1175,AC1175=1),AB1174/AE1174*tun_DaughterShare&gt;=tun_MinDaughter),MAX(1,ROUND(AE1174*tun_FissionRate,0)),0)</x:f>
        <x:v>0</x:v>
      </x:c>
      <x:c r="AE1175" s="8" t="n">
        <x:f>IF(H1175=1,MAX(1,MIN(INDEX(tun_Smax,G1175),AE1174+AD1175)),AE1174)</x:f>
        <x:v>9</x:v>
      </x:c>
      <x:c r="AF1175" s="8" t="n">
        <x:f>MAX(0,AE1175-AE1174)</x:f>
        <x:v>0</x:v>
      </x:c>
      <x:c r="AG1175" s="9" t="str">
        <x:f>IF(AF1175&gt;0,B1175,"")</x:f>
      </x:c>
      <x:c r="AH1175" s="9" t="n">
        <x:f>IF(F1175&gt;=1,1,(1+tun_LowTiesShare*(AE1175-1))/AE1175)</x:f>
        <x:v>1</x:v>
      </x:c>
      <x:c r="AI1175" s="32" t="n">
        <x:f>(Z1175+tun_ElderCommons*INDEX(LM_Elder,G1175)*AA1175)*AH1175</x:f>
        <x:v>238215.0665857503</x:v>
      </x:c>
      <x:c r="AJ1175" s="32" t="n">
        <x:f>H1175*tun_CommonsCoef*AI1175^tun_CommonsExp*INDEX(LM_Commons,G1175)</x:f>
        <x:v>0</x:v>
      </x:c>
      <x:c r="AK1175" s="32" t="n">
        <x:f>H1175*tun_RoleScale*Arch_Roles*(AE1175*(INDEX(tun_ElderRolePerSett,G1175)*tun_OutElder*INDEX(LM_Elder,G1175)+INDEX(tun_ShamanPerSett,G1175)*tun_OutShaman)+Z1175*(INDEX(tun_PriestShare,G1175)*tun_OutPriest+INDEX(tun_ScribeShare,G1175)*tun_OutScribe*INDEX(LM_Scribe,G1175)+INDEX(tun_ScholarShare,G1175)*tun_OutScholar*INDEX(LM_Scholar,G1175)+INDEX(tun_ResearcherShare,G1175)*tun_OutResearcher*INDEX(LM_Researcher,G1175)))</x:f>
        <x:v>0</x:v>
      </x:c>
      <x:c r="AL1175" s="32" t="n">
        <x:f>H1175*tun_RoleScale*Arch_Roles*AE1175*INDEX(tun_MonasteryPerSett,G1175)*tun_OutMonastery*INDEX(LM_Monastery,G1175)</x:f>
        <x:v>0</x:v>
      </x:c>
      <x:c r="AM1175" s="32" t="n">
        <x:f>(AJ1175+AK1175+AL1175)/4*INDEX(LM_All,G1175)*INDEX(tun_Boon,G1175)*Arch_Insight</x:f>
        <x:v>0</x:v>
      </x:c>
      <x:c r="AN1175" s="32" t="n">
        <x:f>H1175*(tun_KHPerAdult*Z1175+tun_KHOfCommons*AJ1175/4*INDEX(LM_All,G1175))*tun_KHUsable*Arch_KH</x:f>
        <x:v>0</x:v>
      </x:c>
      <x:c r="AO1175" s="32" t="n">
        <x:f>MIN(AP1174+AN1175,AM1175*tun_KHMaxRatio)</x:f>
        <x:v>0</x:v>
      </x:c>
      <x:c r="AP1175" s="32" t="n">
        <x:f>AP1174+AN1175-AO1175</x:f>
        <x:v>0</x:v>
      </x:c>
      <x:c r="AQ1175" s="32" t="n">
        <x:f>AM1175+AO1175</x:f>
        <x:v>0</x:v>
      </x:c>
      <x:c r="AR1175" s="10" t="n">
        <x:f>IF(H1175=1,INDEX(tun_Req,G1175),0)</x:f>
        <x:v>0</x:v>
      </x:c>
      <x:c r="AS1175" s="32" t="n">
        <x:f>IF(H1175=1,IF(E1175=1,AS1174-AR1174,AS1174)+AQ1175,0)</x:f>
        <x:v>0</x:v>
      </x:c>
      <x:c r="AT1175" s="11" t="n">
        <x:f>IF(AR1175&gt;0,MIN(1,AS1175/AR1175),1)</x:f>
        <x:v>1</x:v>
      </x:c>
      <x:c r="AU1175" s="10" t="n">
        <x:f>AB1175/INDEX(tun_RepScale,G1175)</x:f>
        <x:v>290.3368848566301</x:v>
      </x:c>
      <x:c r="AV1175" s="32" t="n">
        <x:f>AM1175*60/tun_SeasonSeconds</x:f>
        <x:v>0</x:v>
      </x:c>
    </x:row>
    <x:row r="1176">
      <x:c r="A1176" s="8" t="n">
        <x:f>A1175+1</x:f>
        <x:v>1173</x:v>
      </x:c>
      <x:c r="B1176" s="9" t="n">
        <x:f>A1176*tun_SeasonSeconds/60</x:f>
        <x:v>293.25</x:v>
      </x:c>
      <x:c r="C1176" s="9" t="n">
        <x:f>A1176/4</x:f>
        <x:v>293.25</x:v>
      </x:c>
      <x:c r="D1176" s="8" t="n">
        <x:f>IF(MOD(A1176,4)=0,1,0)</x:f>
        <x:v>0</x:v>
      </x:c>
      <x:c r="E1176" s="8" t="n">
        <x:f>IF(AND(F1175&lt;=9,AS1175&gt;=AR1175),1,0)</x:f>
        <x:v>0</x:v>
      </x:c>
      <x:c r="F1176" s="8" t="n">
        <x:f>MIN(10,F1175+E1176)</x:f>
        <x:v>10</x:v>
      </x:c>
      <x:c r="G1176" s="8" t="n">
        <x:f>MIN(F1176,9)+1</x:f>
        <x:v>10</x:v>
      </x:c>
      <x:c r="H1176" s="8" t="n">
        <x:f>IF(F1176&lt;=9,1,0)</x:f>
        <x:v>0</x:v>
      </x:c>
      <x:c r="I1176" s="9" t="n">
        <x:f>MIN(10,F1175+IF(AR1175&gt;0,MIN(1,AS1175/AR1175),1))</x:f>
        <x:v>10</x:v>
      </x:c>
      <x:c r="J1176" s="32" t="n">
        <x:f>INDEX(tun_FoodCap,G1176)*Arch_FoodCap*EXP(tun_CapsByProject*SUMPRODUCT((Cap_Point&lt;=I1176)*(Cap_Kind="Food")*Cap_Ln))</x:f>
        <x:v>18627.260449441455</x:v>
      </x:c>
      <x:c r="K1176" s="32" t="n">
        <x:f>J1176*MIN(1,tun_LeanBase*EXP(tun_CapsByProject*SUMPRODUCT((Cap_Point&lt;=I1176)*(Cap_Kind="Lean")*Cap_Ln)))</x:f>
        <x:v>18627.260449441455</x:v>
      </x:c>
      <x:c r="L1176" s="10" t="n">
        <x:f>INDEX(tun_HousingCap,G1176)*EXP(tun_CapsByProject*SUMPRODUCT((Cap_Point&lt;=I1176)*(Cap_Kind="Housing")*Cap_Ln))</x:f>
        <x:v>20528.974303173167</x:v>
      </x:c>
      <x:c r="M1176" s="10" t="n">
        <x:f>INDEX(tun_GroupCap,G1176)*tun_CohesionFactor*EXP(tun_CapsByProject*SUMPRODUCT((Cap_Point&lt;=I1176)*(Cap_Kind="Group")*Cap_Ln))</x:f>
        <x:v>1000000.000000001</x:v>
      </x:c>
      <x:c r="N1176" s="32" t="n">
        <x:f>MIN(J1176,L1176,M1176)</x:f>
        <x:v>18627.260449441455</x:v>
      </x:c>
      <x:c r="O1176" s="10" t="n">
        <x:f>AE1175*N1176</x:f>
        <x:v>167645.34404497308</x:v>
      </x:c>
      <x:c r="P1176" s="9" t="n">
        <x:f>MIN(1,(AB1175/(AE1175*IF(tun_GroupInCrowding=1,N1176,MIN(J1176,L1176))))^tun_CrowdingExp)</x:f>
        <x:v>0.4215841981292809</x:v>
      </x:c>
      <x:c r="Q1176" s="9" t="n">
        <x:f>IF(D1176=1,INDEX(tun_WinterMult,G1176),1)</x:f>
        <x:v>1</x:v>
      </x:c>
      <x:c r="R1176" s="9" t="n">
        <x:f>H1176*Z1175*tun_WomenShare*tun_BaseFertility*INDEX(tun_FertMult,G1176)*Arch_Fertility*(1-P1176)</x:f>
        <x:v>0</x:v>
      </x:c>
      <x:c r="S1176" s="9" t="n">
        <x:f>H1176*Y1175*INDEX(tun_MortChild,G1176)/4*Q1176</x:f>
        <x:v>0</x:v>
      </x:c>
      <x:c r="T1176" s="9" t="n">
        <x:f>H1176*Z1175*INDEX(tun_MortAdult,G1176)*Arch_AdultMort/4*Q1176</x:f>
        <x:v>0</x:v>
      </x:c>
      <x:c r="U1176" s="9" t="n">
        <x:f>H1176*AA1175*INDEX(tun_MortElder,G1176)/4*Q1176</x:f>
        <x:v>0</x:v>
      </x:c>
      <x:c r="V1176" s="9" t="n">
        <x:f>H1176*MAX(0,AB1175-O1176)*tun_OvercapLoss</x:f>
        <x:v>0</x:v>
      </x:c>
      <x:c r="W1176" s="9" t="n">
        <x:f>H1176*Y1175/(tun_ChildYears*4)</x:f>
        <x:v>0</x:v>
      </x:c>
      <x:c r="X1176" s="9" t="n">
        <x:f>H1176*Z1175/(tun_AdultYears*4)</x:f>
        <x:v>0</x:v>
      </x:c>
      <x:c r="Y1176" s="32" t="n">
        <x:f>Y1175+R1176-S1176-W1176-Y1175*V1176/AB1175</x:f>
        <x:v>40496.20709015643</x:v>
      </x:c>
      <x:c r="Z1176" s="32" t="n">
        <x:f>Z1175+W1176-X1176-T1176-Z1175*V1176/AB1175</x:f>
        <x:v>59141.61122890803</x:v>
      </x:c>
      <x:c r="AA1176" s="32" t="n">
        <x:f>AA1175+X1176-U1176-AA1175*V1176/AB1175</x:f>
        <x:v>45530.62410925061</x:v>
      </x:c>
      <x:c r="AB1176" s="10" t="n">
        <x:f>Y1176+Z1176+AA1176</x:f>
        <x:v>145168.44242831506</x:v>
      </x:c>
      <x:c r="AC1176" s="8" t="n">
        <x:f>IF(AND(tun_WinterTrigger=1,D1176=1,AB1175/AE1175&gt;=K1176),1,0)</x:f>
        <x:v>0</x:v>
      </x:c>
      <x:c r="AD1176" s="8" t="n">
        <x:f>H1176*IF(AND(OR(AB1175/AE1175&gt;=tun_FissionTrigger*N1176,AC1176=1),AB1175/AE1175*tun_DaughterShare&gt;=tun_MinDaughter),MAX(1,ROUND(AE1175*tun_FissionRate,0)),0)</x:f>
        <x:v>0</x:v>
      </x:c>
      <x:c r="AE1176" s="8" t="n">
        <x:f>IF(H1176=1,MAX(1,MIN(INDEX(tun_Smax,G1176),AE1175+AD1176)),AE1175)</x:f>
        <x:v>9</x:v>
      </x:c>
      <x:c r="AF1176" s="8" t="n">
        <x:f>MAX(0,AE1176-AE1175)</x:f>
        <x:v>0</x:v>
      </x:c>
      <x:c r="AG1176" s="9" t="str">
        <x:f>IF(AF1176&gt;0,B1176,"")</x:f>
      </x:c>
      <x:c r="AH1176" s="9" t="n">
        <x:f>IF(F1176&gt;=1,1,(1+tun_LowTiesShare*(AE1176-1))/AE1176)</x:f>
        <x:v>1</x:v>
      </x:c>
      <x:c r="AI1176" s="32" t="n">
        <x:f>(Z1176+tun_ElderCommons*INDEX(LM_Elder,G1176)*AA1176)*AH1176</x:f>
        <x:v>238215.0665857503</x:v>
      </x:c>
      <x:c r="AJ1176" s="32" t="n">
        <x:f>H1176*tun_CommonsCoef*AI1176^tun_CommonsExp*INDEX(LM_Commons,G1176)</x:f>
        <x:v>0</x:v>
      </x:c>
      <x:c r="AK1176" s="32" t="n">
        <x:f>H1176*tun_RoleScale*Arch_Roles*(AE1176*(INDEX(tun_ElderRolePerSett,G1176)*tun_OutElder*INDEX(LM_Elder,G1176)+INDEX(tun_ShamanPerSett,G1176)*tun_OutShaman)+Z1176*(INDEX(tun_PriestShare,G1176)*tun_OutPriest+INDEX(tun_ScribeShare,G1176)*tun_OutScribe*INDEX(LM_Scribe,G1176)+INDEX(tun_ScholarShare,G1176)*tun_OutScholar*INDEX(LM_Scholar,G1176)+INDEX(tun_ResearcherShare,G1176)*tun_OutResearcher*INDEX(LM_Researcher,G1176)))</x:f>
        <x:v>0</x:v>
      </x:c>
      <x:c r="AL1176" s="32" t="n">
        <x:f>H1176*tun_RoleScale*Arch_Roles*AE1176*INDEX(tun_MonasteryPerSett,G1176)*tun_OutMonastery*INDEX(LM_Monastery,G1176)</x:f>
        <x:v>0</x:v>
      </x:c>
      <x:c r="AM1176" s="32" t="n">
        <x:f>(AJ1176+AK1176+AL1176)/4*INDEX(LM_All,G1176)*INDEX(tun_Boon,G1176)*Arch_Insight</x:f>
        <x:v>0</x:v>
      </x:c>
      <x:c r="AN1176" s="32" t="n">
        <x:f>H1176*(tun_KHPerAdult*Z1176+tun_KHOfCommons*AJ1176/4*INDEX(LM_All,G1176))*tun_KHUsable*Arch_KH</x:f>
        <x:v>0</x:v>
      </x:c>
      <x:c r="AO1176" s="32" t="n">
        <x:f>MIN(AP1175+AN1176,AM1176*tun_KHMaxRatio)</x:f>
        <x:v>0</x:v>
      </x:c>
      <x:c r="AP1176" s="32" t="n">
        <x:f>AP1175+AN1176-AO1176</x:f>
        <x:v>0</x:v>
      </x:c>
      <x:c r="AQ1176" s="32" t="n">
        <x:f>AM1176+AO1176</x:f>
        <x:v>0</x:v>
      </x:c>
      <x:c r="AR1176" s="10" t="n">
        <x:f>IF(H1176=1,INDEX(tun_Req,G1176),0)</x:f>
        <x:v>0</x:v>
      </x:c>
      <x:c r="AS1176" s="32" t="n">
        <x:f>IF(H1176=1,IF(E1176=1,AS1175-AR1175,AS1175)+AQ1176,0)</x:f>
        <x:v>0</x:v>
      </x:c>
      <x:c r="AT1176" s="11" t="n">
        <x:f>IF(AR1176&gt;0,MIN(1,AS1176/AR1176),1)</x:f>
        <x:v>1</x:v>
      </x:c>
      <x:c r="AU1176" s="10" t="n">
        <x:f>AB1176/INDEX(tun_RepScale,G1176)</x:f>
        <x:v>290.3368848566301</x:v>
      </x:c>
      <x:c r="AV1176" s="32" t="n">
        <x:f>AM1176*60/tun_SeasonSeconds</x:f>
        <x:v>0</x:v>
      </x:c>
    </x:row>
    <x:row r="1177">
      <x:c r="A1177" s="8" t="n">
        <x:f>A1176+1</x:f>
        <x:v>1174</x:v>
      </x:c>
      <x:c r="B1177" s="9" t="n">
        <x:f>A1177*tun_SeasonSeconds/60</x:f>
        <x:v>293.5</x:v>
      </x:c>
      <x:c r="C1177" s="9" t="n">
        <x:f>A1177/4</x:f>
        <x:v>293.5</x:v>
      </x:c>
      <x:c r="D1177" s="8" t="n">
        <x:f>IF(MOD(A1177,4)=0,1,0)</x:f>
        <x:v>0</x:v>
      </x:c>
      <x:c r="E1177" s="8" t="n">
        <x:f>IF(AND(F1176&lt;=9,AS1176&gt;=AR1176),1,0)</x:f>
        <x:v>0</x:v>
      </x:c>
      <x:c r="F1177" s="8" t="n">
        <x:f>MIN(10,F1176+E1177)</x:f>
        <x:v>10</x:v>
      </x:c>
      <x:c r="G1177" s="8" t="n">
        <x:f>MIN(F1177,9)+1</x:f>
        <x:v>10</x:v>
      </x:c>
      <x:c r="H1177" s="8" t="n">
        <x:f>IF(F1177&lt;=9,1,0)</x:f>
        <x:v>0</x:v>
      </x:c>
      <x:c r="I1177" s="9" t="n">
        <x:f>MIN(10,F1176+IF(AR1176&gt;0,MIN(1,AS1176/AR1176),1))</x:f>
        <x:v>10</x:v>
      </x:c>
      <x:c r="J1177" s="32" t="n">
        <x:f>INDEX(tun_FoodCap,G1177)*Arch_FoodCap*EXP(tun_CapsByProject*SUMPRODUCT((Cap_Point&lt;=I1177)*(Cap_Kind="Food")*Cap_Ln))</x:f>
        <x:v>18627.260449441455</x:v>
      </x:c>
      <x:c r="K1177" s="32" t="n">
        <x:f>J1177*MIN(1,tun_LeanBase*EXP(tun_CapsByProject*SUMPRODUCT((Cap_Point&lt;=I1177)*(Cap_Kind="Lean")*Cap_Ln)))</x:f>
        <x:v>18627.260449441455</x:v>
      </x:c>
      <x:c r="L1177" s="10" t="n">
        <x:f>INDEX(tun_HousingCap,G1177)*EXP(tun_CapsByProject*SUMPRODUCT((Cap_Point&lt;=I1177)*(Cap_Kind="Housing")*Cap_Ln))</x:f>
        <x:v>20528.974303173167</x:v>
      </x:c>
      <x:c r="M1177" s="10" t="n">
        <x:f>INDEX(tun_GroupCap,G1177)*tun_CohesionFactor*EXP(tun_CapsByProject*SUMPRODUCT((Cap_Point&lt;=I1177)*(Cap_Kind="Group")*Cap_Ln))</x:f>
        <x:v>1000000.000000001</x:v>
      </x:c>
      <x:c r="N1177" s="32" t="n">
        <x:f>MIN(J1177,L1177,M1177)</x:f>
        <x:v>18627.260449441455</x:v>
      </x:c>
      <x:c r="O1177" s="10" t="n">
        <x:f>AE1176*N1177</x:f>
        <x:v>167645.34404497308</x:v>
      </x:c>
      <x:c r="P1177" s="9" t="n">
        <x:f>MIN(1,(AB1176/(AE1176*IF(tun_GroupInCrowding=1,N1177,MIN(J1177,L1177))))^tun_CrowdingExp)</x:f>
        <x:v>0.4215841981292809</x:v>
      </x:c>
      <x:c r="Q1177" s="9" t="n">
        <x:f>IF(D1177=1,INDEX(tun_WinterMult,G1177),1)</x:f>
        <x:v>1</x:v>
      </x:c>
      <x:c r="R1177" s="9" t="n">
        <x:f>H1177*Z1176*tun_WomenShare*tun_BaseFertility*INDEX(tun_FertMult,G1177)*Arch_Fertility*(1-P1177)</x:f>
        <x:v>0</x:v>
      </x:c>
      <x:c r="S1177" s="9" t="n">
        <x:f>H1177*Y1176*INDEX(tun_MortChild,G1177)/4*Q1177</x:f>
        <x:v>0</x:v>
      </x:c>
      <x:c r="T1177" s="9" t="n">
        <x:f>H1177*Z1176*INDEX(tun_MortAdult,G1177)*Arch_AdultMort/4*Q1177</x:f>
        <x:v>0</x:v>
      </x:c>
      <x:c r="U1177" s="9" t="n">
        <x:f>H1177*AA1176*INDEX(tun_MortElder,G1177)/4*Q1177</x:f>
        <x:v>0</x:v>
      </x:c>
      <x:c r="V1177" s="9" t="n">
        <x:f>H1177*MAX(0,AB1176-O1177)*tun_OvercapLoss</x:f>
        <x:v>0</x:v>
      </x:c>
      <x:c r="W1177" s="9" t="n">
        <x:f>H1177*Y1176/(tun_ChildYears*4)</x:f>
        <x:v>0</x:v>
      </x:c>
      <x:c r="X1177" s="9" t="n">
        <x:f>H1177*Z1176/(tun_AdultYears*4)</x:f>
        <x:v>0</x:v>
      </x:c>
      <x:c r="Y1177" s="32" t="n">
        <x:f>Y1176+R1177-S1177-W1177-Y1176*V1177/AB1176</x:f>
        <x:v>40496.20709015643</x:v>
      </x:c>
      <x:c r="Z1177" s="32" t="n">
        <x:f>Z1176+W1177-X1177-T1177-Z1176*V1177/AB1176</x:f>
        <x:v>59141.61122890803</x:v>
      </x:c>
      <x:c r="AA1177" s="32" t="n">
        <x:f>AA1176+X1177-U1177-AA1176*V1177/AB1176</x:f>
        <x:v>45530.62410925061</x:v>
      </x:c>
      <x:c r="AB1177" s="10" t="n">
        <x:f>Y1177+Z1177+AA1177</x:f>
        <x:v>145168.44242831506</x:v>
      </x:c>
      <x:c r="AC1177" s="8" t="n">
        <x:f>IF(AND(tun_WinterTrigger=1,D1177=1,AB1176/AE1176&gt;=K1177),1,0)</x:f>
        <x:v>0</x:v>
      </x:c>
      <x:c r="AD1177" s="8" t="n">
        <x:f>H1177*IF(AND(OR(AB1176/AE1176&gt;=tun_FissionTrigger*N1177,AC1177=1),AB1176/AE1176*tun_DaughterShare&gt;=tun_MinDaughter),MAX(1,ROUND(AE1176*tun_FissionRate,0)),0)</x:f>
        <x:v>0</x:v>
      </x:c>
      <x:c r="AE1177" s="8" t="n">
        <x:f>IF(H1177=1,MAX(1,MIN(INDEX(tun_Smax,G1177),AE1176+AD1177)),AE1176)</x:f>
        <x:v>9</x:v>
      </x:c>
      <x:c r="AF1177" s="8" t="n">
        <x:f>MAX(0,AE1177-AE1176)</x:f>
        <x:v>0</x:v>
      </x:c>
      <x:c r="AG1177" s="9" t="str">
        <x:f>IF(AF1177&gt;0,B1177,"")</x:f>
      </x:c>
      <x:c r="AH1177" s="9" t="n">
        <x:f>IF(F1177&gt;=1,1,(1+tun_LowTiesShare*(AE1177-1))/AE1177)</x:f>
        <x:v>1</x:v>
      </x:c>
      <x:c r="AI1177" s="32" t="n">
        <x:f>(Z1177+tun_ElderCommons*INDEX(LM_Elder,G1177)*AA1177)*AH1177</x:f>
        <x:v>238215.0665857503</x:v>
      </x:c>
      <x:c r="AJ1177" s="32" t="n">
        <x:f>H1177*tun_CommonsCoef*AI1177^tun_CommonsExp*INDEX(LM_Commons,G1177)</x:f>
        <x:v>0</x:v>
      </x:c>
      <x:c r="AK1177" s="32" t="n">
        <x:f>H1177*tun_RoleScale*Arch_Roles*(AE1177*(INDEX(tun_ElderRolePerSett,G1177)*tun_OutElder*INDEX(LM_Elder,G1177)+INDEX(tun_ShamanPerSett,G1177)*tun_OutShaman)+Z1177*(INDEX(tun_PriestShare,G1177)*tun_OutPriest+INDEX(tun_ScribeShare,G1177)*tun_OutScribe*INDEX(LM_Scribe,G1177)+INDEX(tun_ScholarShare,G1177)*tun_OutScholar*INDEX(LM_Scholar,G1177)+INDEX(tun_ResearcherShare,G1177)*tun_OutResearcher*INDEX(LM_Researcher,G1177)))</x:f>
        <x:v>0</x:v>
      </x:c>
      <x:c r="AL1177" s="32" t="n">
        <x:f>H1177*tun_RoleScale*Arch_Roles*AE1177*INDEX(tun_MonasteryPerSett,G1177)*tun_OutMonastery*INDEX(LM_Monastery,G1177)</x:f>
        <x:v>0</x:v>
      </x:c>
      <x:c r="AM1177" s="32" t="n">
        <x:f>(AJ1177+AK1177+AL1177)/4*INDEX(LM_All,G1177)*INDEX(tun_Boon,G1177)*Arch_Insight</x:f>
        <x:v>0</x:v>
      </x:c>
      <x:c r="AN1177" s="32" t="n">
        <x:f>H1177*(tun_KHPerAdult*Z1177+tun_KHOfCommons*AJ1177/4*INDEX(LM_All,G1177))*tun_KHUsable*Arch_KH</x:f>
        <x:v>0</x:v>
      </x:c>
      <x:c r="AO1177" s="32" t="n">
        <x:f>MIN(AP1176+AN1177,AM1177*tun_KHMaxRatio)</x:f>
        <x:v>0</x:v>
      </x:c>
      <x:c r="AP1177" s="32" t="n">
        <x:f>AP1176+AN1177-AO1177</x:f>
        <x:v>0</x:v>
      </x:c>
      <x:c r="AQ1177" s="32" t="n">
        <x:f>AM1177+AO1177</x:f>
        <x:v>0</x:v>
      </x:c>
      <x:c r="AR1177" s="10" t="n">
        <x:f>IF(H1177=1,INDEX(tun_Req,G1177),0)</x:f>
        <x:v>0</x:v>
      </x:c>
      <x:c r="AS1177" s="32" t="n">
        <x:f>IF(H1177=1,IF(E1177=1,AS1176-AR1176,AS1176)+AQ1177,0)</x:f>
        <x:v>0</x:v>
      </x:c>
      <x:c r="AT1177" s="11" t="n">
        <x:f>IF(AR1177&gt;0,MIN(1,AS1177/AR1177),1)</x:f>
        <x:v>1</x:v>
      </x:c>
      <x:c r="AU1177" s="10" t="n">
        <x:f>AB1177/INDEX(tun_RepScale,G1177)</x:f>
        <x:v>290.3368848566301</x:v>
      </x:c>
      <x:c r="AV1177" s="32" t="n">
        <x:f>AM1177*60/tun_SeasonSeconds</x:f>
        <x:v>0</x:v>
      </x:c>
    </x:row>
    <x:row r="1178">
      <x:c r="A1178" s="8" t="n">
        <x:f>A1177+1</x:f>
        <x:v>1175</x:v>
      </x:c>
      <x:c r="B1178" s="9" t="n">
        <x:f>A1178*tun_SeasonSeconds/60</x:f>
        <x:v>293.75</x:v>
      </x:c>
      <x:c r="C1178" s="9" t="n">
        <x:f>A1178/4</x:f>
        <x:v>293.75</x:v>
      </x:c>
      <x:c r="D1178" s="8" t="n">
        <x:f>IF(MOD(A1178,4)=0,1,0)</x:f>
        <x:v>0</x:v>
      </x:c>
      <x:c r="E1178" s="8" t="n">
        <x:f>IF(AND(F1177&lt;=9,AS1177&gt;=AR1177),1,0)</x:f>
        <x:v>0</x:v>
      </x:c>
      <x:c r="F1178" s="8" t="n">
        <x:f>MIN(10,F1177+E1178)</x:f>
        <x:v>10</x:v>
      </x:c>
      <x:c r="G1178" s="8" t="n">
        <x:f>MIN(F1178,9)+1</x:f>
        <x:v>10</x:v>
      </x:c>
      <x:c r="H1178" s="8" t="n">
        <x:f>IF(F1178&lt;=9,1,0)</x:f>
        <x:v>0</x:v>
      </x:c>
      <x:c r="I1178" s="9" t="n">
        <x:f>MIN(10,F1177+IF(AR1177&gt;0,MIN(1,AS1177/AR1177),1))</x:f>
        <x:v>10</x:v>
      </x:c>
      <x:c r="J1178" s="32" t="n">
        <x:f>INDEX(tun_FoodCap,G1178)*Arch_FoodCap*EXP(tun_CapsByProject*SUMPRODUCT((Cap_Point&lt;=I1178)*(Cap_Kind="Food")*Cap_Ln))</x:f>
        <x:v>18627.260449441455</x:v>
      </x:c>
      <x:c r="K1178" s="32" t="n">
        <x:f>J1178*MIN(1,tun_LeanBase*EXP(tun_CapsByProject*SUMPRODUCT((Cap_Point&lt;=I1178)*(Cap_Kind="Lean")*Cap_Ln)))</x:f>
        <x:v>18627.260449441455</x:v>
      </x:c>
      <x:c r="L1178" s="10" t="n">
        <x:f>INDEX(tun_HousingCap,G1178)*EXP(tun_CapsByProject*SUMPRODUCT((Cap_Point&lt;=I1178)*(Cap_Kind="Housing")*Cap_Ln))</x:f>
        <x:v>20528.974303173167</x:v>
      </x:c>
      <x:c r="M1178" s="10" t="n">
        <x:f>INDEX(tun_GroupCap,G1178)*tun_CohesionFactor*EXP(tun_CapsByProject*SUMPRODUCT((Cap_Point&lt;=I1178)*(Cap_Kind="Group")*Cap_Ln))</x:f>
        <x:v>1000000.000000001</x:v>
      </x:c>
      <x:c r="N1178" s="32" t="n">
        <x:f>MIN(J1178,L1178,M1178)</x:f>
        <x:v>18627.260449441455</x:v>
      </x:c>
      <x:c r="O1178" s="10" t="n">
        <x:f>AE1177*N1178</x:f>
        <x:v>167645.34404497308</x:v>
      </x:c>
      <x:c r="P1178" s="9" t="n">
        <x:f>MIN(1,(AB1177/(AE1177*IF(tun_GroupInCrowding=1,N1178,MIN(J1178,L1178))))^tun_CrowdingExp)</x:f>
        <x:v>0.4215841981292809</x:v>
      </x:c>
      <x:c r="Q1178" s="9" t="n">
        <x:f>IF(D1178=1,INDEX(tun_WinterMult,G1178),1)</x:f>
        <x:v>1</x:v>
      </x:c>
      <x:c r="R1178" s="9" t="n">
        <x:f>H1178*Z1177*tun_WomenShare*tun_BaseFertility*INDEX(tun_FertMult,G1178)*Arch_Fertility*(1-P1178)</x:f>
        <x:v>0</x:v>
      </x:c>
      <x:c r="S1178" s="9" t="n">
        <x:f>H1178*Y1177*INDEX(tun_MortChild,G1178)/4*Q1178</x:f>
        <x:v>0</x:v>
      </x:c>
      <x:c r="T1178" s="9" t="n">
        <x:f>H1178*Z1177*INDEX(tun_MortAdult,G1178)*Arch_AdultMort/4*Q1178</x:f>
        <x:v>0</x:v>
      </x:c>
      <x:c r="U1178" s="9" t="n">
        <x:f>H1178*AA1177*INDEX(tun_MortElder,G1178)/4*Q1178</x:f>
        <x:v>0</x:v>
      </x:c>
      <x:c r="V1178" s="9" t="n">
        <x:f>H1178*MAX(0,AB1177-O1178)*tun_OvercapLoss</x:f>
        <x:v>0</x:v>
      </x:c>
      <x:c r="W1178" s="9" t="n">
        <x:f>H1178*Y1177/(tun_ChildYears*4)</x:f>
        <x:v>0</x:v>
      </x:c>
      <x:c r="X1178" s="9" t="n">
        <x:f>H1178*Z1177/(tun_AdultYears*4)</x:f>
        <x:v>0</x:v>
      </x:c>
      <x:c r="Y1178" s="32" t="n">
        <x:f>Y1177+R1178-S1178-W1178-Y1177*V1178/AB1177</x:f>
        <x:v>40496.20709015643</x:v>
      </x:c>
      <x:c r="Z1178" s="32" t="n">
        <x:f>Z1177+W1178-X1178-T1178-Z1177*V1178/AB1177</x:f>
        <x:v>59141.61122890803</x:v>
      </x:c>
      <x:c r="AA1178" s="32" t="n">
        <x:f>AA1177+X1178-U1178-AA1177*V1178/AB1177</x:f>
        <x:v>45530.62410925061</x:v>
      </x:c>
      <x:c r="AB1178" s="10" t="n">
        <x:f>Y1178+Z1178+AA1178</x:f>
        <x:v>145168.44242831506</x:v>
      </x:c>
      <x:c r="AC1178" s="8" t="n">
        <x:f>IF(AND(tun_WinterTrigger=1,D1178=1,AB1177/AE1177&gt;=K1178),1,0)</x:f>
        <x:v>0</x:v>
      </x:c>
      <x:c r="AD1178" s="8" t="n">
        <x:f>H1178*IF(AND(OR(AB1177/AE1177&gt;=tun_FissionTrigger*N1178,AC1178=1),AB1177/AE1177*tun_DaughterShare&gt;=tun_MinDaughter),MAX(1,ROUND(AE1177*tun_FissionRate,0)),0)</x:f>
        <x:v>0</x:v>
      </x:c>
      <x:c r="AE1178" s="8" t="n">
        <x:f>IF(H1178=1,MAX(1,MIN(INDEX(tun_Smax,G1178),AE1177+AD1178)),AE1177)</x:f>
        <x:v>9</x:v>
      </x:c>
      <x:c r="AF1178" s="8" t="n">
        <x:f>MAX(0,AE1178-AE1177)</x:f>
        <x:v>0</x:v>
      </x:c>
      <x:c r="AG1178" s="9" t="str">
        <x:f>IF(AF1178&gt;0,B1178,"")</x:f>
      </x:c>
      <x:c r="AH1178" s="9" t="n">
        <x:f>IF(F1178&gt;=1,1,(1+tun_LowTiesShare*(AE1178-1))/AE1178)</x:f>
        <x:v>1</x:v>
      </x:c>
      <x:c r="AI1178" s="32" t="n">
        <x:f>(Z1178+tun_ElderCommons*INDEX(LM_Elder,G1178)*AA1178)*AH1178</x:f>
        <x:v>238215.0665857503</x:v>
      </x:c>
      <x:c r="AJ1178" s="32" t="n">
        <x:f>H1178*tun_CommonsCoef*AI1178^tun_CommonsExp*INDEX(LM_Commons,G1178)</x:f>
        <x:v>0</x:v>
      </x:c>
      <x:c r="AK1178" s="32" t="n">
        <x:f>H1178*tun_RoleScale*Arch_Roles*(AE1178*(INDEX(tun_ElderRolePerSett,G1178)*tun_OutElder*INDEX(LM_Elder,G1178)+INDEX(tun_ShamanPerSett,G1178)*tun_OutShaman)+Z1178*(INDEX(tun_PriestShare,G1178)*tun_OutPriest+INDEX(tun_ScribeShare,G1178)*tun_OutScribe*INDEX(LM_Scribe,G1178)+INDEX(tun_ScholarShare,G1178)*tun_OutScholar*INDEX(LM_Scholar,G1178)+INDEX(tun_ResearcherShare,G1178)*tun_OutResearcher*INDEX(LM_Researcher,G1178)))</x:f>
        <x:v>0</x:v>
      </x:c>
      <x:c r="AL1178" s="32" t="n">
        <x:f>H1178*tun_RoleScale*Arch_Roles*AE1178*INDEX(tun_MonasteryPerSett,G1178)*tun_OutMonastery*INDEX(LM_Monastery,G1178)</x:f>
        <x:v>0</x:v>
      </x:c>
      <x:c r="AM1178" s="32" t="n">
        <x:f>(AJ1178+AK1178+AL1178)/4*INDEX(LM_All,G1178)*INDEX(tun_Boon,G1178)*Arch_Insight</x:f>
        <x:v>0</x:v>
      </x:c>
      <x:c r="AN1178" s="32" t="n">
        <x:f>H1178*(tun_KHPerAdult*Z1178+tun_KHOfCommons*AJ1178/4*INDEX(LM_All,G1178))*tun_KHUsable*Arch_KH</x:f>
        <x:v>0</x:v>
      </x:c>
      <x:c r="AO1178" s="32" t="n">
        <x:f>MIN(AP1177+AN1178,AM1178*tun_KHMaxRatio)</x:f>
        <x:v>0</x:v>
      </x:c>
      <x:c r="AP1178" s="32" t="n">
        <x:f>AP1177+AN1178-AO1178</x:f>
        <x:v>0</x:v>
      </x:c>
      <x:c r="AQ1178" s="32" t="n">
        <x:f>AM1178+AO1178</x:f>
        <x:v>0</x:v>
      </x:c>
      <x:c r="AR1178" s="10" t="n">
        <x:f>IF(H1178=1,INDEX(tun_Req,G1178),0)</x:f>
        <x:v>0</x:v>
      </x:c>
      <x:c r="AS1178" s="32" t="n">
        <x:f>IF(H1178=1,IF(E1178=1,AS1177-AR1177,AS1177)+AQ1178,0)</x:f>
        <x:v>0</x:v>
      </x:c>
      <x:c r="AT1178" s="11" t="n">
        <x:f>IF(AR1178&gt;0,MIN(1,AS1178/AR1178),1)</x:f>
        <x:v>1</x:v>
      </x:c>
      <x:c r="AU1178" s="10" t="n">
        <x:f>AB1178/INDEX(tun_RepScale,G1178)</x:f>
        <x:v>290.3368848566301</x:v>
      </x:c>
      <x:c r="AV1178" s="32" t="n">
        <x:f>AM1178*60/tun_SeasonSeconds</x:f>
        <x:v>0</x:v>
      </x:c>
    </x:row>
    <x:row r="1179">
      <x:c r="A1179" s="8" t="n">
        <x:f>A1178+1</x:f>
        <x:v>1176</x:v>
      </x:c>
      <x:c r="B1179" s="9" t="n">
        <x:f>A1179*tun_SeasonSeconds/60</x:f>
        <x:v>294</x:v>
      </x:c>
      <x:c r="C1179" s="9" t="n">
        <x:f>A1179/4</x:f>
        <x:v>294</x:v>
      </x:c>
      <x:c r="D1179" s="8" t="n">
        <x:f>IF(MOD(A1179,4)=0,1,0)</x:f>
        <x:v>1</x:v>
      </x:c>
      <x:c r="E1179" s="8" t="n">
        <x:f>IF(AND(F1178&lt;=9,AS1178&gt;=AR1178),1,0)</x:f>
        <x:v>0</x:v>
      </x:c>
      <x:c r="F1179" s="8" t="n">
        <x:f>MIN(10,F1178+E1179)</x:f>
        <x:v>10</x:v>
      </x:c>
      <x:c r="G1179" s="8" t="n">
        <x:f>MIN(F1179,9)+1</x:f>
        <x:v>10</x:v>
      </x:c>
      <x:c r="H1179" s="8" t="n">
        <x:f>IF(F1179&lt;=9,1,0)</x:f>
        <x:v>0</x:v>
      </x:c>
      <x:c r="I1179" s="9" t="n">
        <x:f>MIN(10,F1178+IF(AR1178&gt;0,MIN(1,AS1178/AR1178),1))</x:f>
        <x:v>10</x:v>
      </x:c>
      <x:c r="J1179" s="32" t="n">
        <x:f>INDEX(tun_FoodCap,G1179)*Arch_FoodCap*EXP(tun_CapsByProject*SUMPRODUCT((Cap_Point&lt;=I1179)*(Cap_Kind="Food")*Cap_Ln))</x:f>
        <x:v>18627.260449441455</x:v>
      </x:c>
      <x:c r="K1179" s="32" t="n">
        <x:f>J1179*MIN(1,tun_LeanBase*EXP(tun_CapsByProject*SUMPRODUCT((Cap_Point&lt;=I1179)*(Cap_Kind="Lean")*Cap_Ln)))</x:f>
        <x:v>18627.260449441455</x:v>
      </x:c>
      <x:c r="L1179" s="10" t="n">
        <x:f>INDEX(tun_HousingCap,G1179)*EXP(tun_CapsByProject*SUMPRODUCT((Cap_Point&lt;=I1179)*(Cap_Kind="Housing")*Cap_Ln))</x:f>
        <x:v>20528.974303173167</x:v>
      </x:c>
      <x:c r="M1179" s="10" t="n">
        <x:f>INDEX(tun_GroupCap,G1179)*tun_CohesionFactor*EXP(tun_CapsByProject*SUMPRODUCT((Cap_Point&lt;=I1179)*(Cap_Kind="Group")*Cap_Ln))</x:f>
        <x:v>1000000.000000001</x:v>
      </x:c>
      <x:c r="N1179" s="32" t="n">
        <x:f>MIN(J1179,L1179,M1179)</x:f>
        <x:v>18627.260449441455</x:v>
      </x:c>
      <x:c r="O1179" s="10" t="n">
        <x:f>AE1178*N1179</x:f>
        <x:v>167645.34404497308</x:v>
      </x:c>
      <x:c r="P1179" s="9" t="n">
        <x:f>MIN(1,(AB1178/(AE1178*IF(tun_GroupInCrowding=1,N1179,MIN(J1179,L1179))))^tun_CrowdingExp)</x:f>
        <x:v>0.4215841981292809</x:v>
      </x:c>
      <x:c r="Q1179" s="9" t="n">
        <x:f>IF(D1179=1,INDEX(tun_WinterMult,G1179),1)</x:f>
        <x:v>1.05</x:v>
      </x:c>
      <x:c r="R1179" s="9" t="n">
        <x:f>H1179*Z1178*tun_WomenShare*tun_BaseFertility*INDEX(tun_FertMult,G1179)*Arch_Fertility*(1-P1179)</x:f>
        <x:v>0</x:v>
      </x:c>
      <x:c r="S1179" s="9" t="n">
        <x:f>H1179*Y1178*INDEX(tun_MortChild,G1179)/4*Q1179</x:f>
        <x:v>0</x:v>
      </x:c>
      <x:c r="T1179" s="9" t="n">
        <x:f>H1179*Z1178*INDEX(tun_MortAdult,G1179)*Arch_AdultMort/4*Q1179</x:f>
        <x:v>0</x:v>
      </x:c>
      <x:c r="U1179" s="9" t="n">
        <x:f>H1179*AA1178*INDEX(tun_MortElder,G1179)/4*Q1179</x:f>
        <x:v>0</x:v>
      </x:c>
      <x:c r="V1179" s="9" t="n">
        <x:f>H1179*MAX(0,AB1178-O1179)*tun_OvercapLoss</x:f>
        <x:v>0</x:v>
      </x:c>
      <x:c r="W1179" s="9" t="n">
        <x:f>H1179*Y1178/(tun_ChildYears*4)</x:f>
        <x:v>0</x:v>
      </x:c>
      <x:c r="X1179" s="9" t="n">
        <x:f>H1179*Z1178/(tun_AdultYears*4)</x:f>
        <x:v>0</x:v>
      </x:c>
      <x:c r="Y1179" s="32" t="n">
        <x:f>Y1178+R1179-S1179-W1179-Y1178*V1179/AB1178</x:f>
        <x:v>40496.20709015643</x:v>
      </x:c>
      <x:c r="Z1179" s="32" t="n">
        <x:f>Z1178+W1179-X1179-T1179-Z1178*V1179/AB1178</x:f>
        <x:v>59141.61122890803</x:v>
      </x:c>
      <x:c r="AA1179" s="32" t="n">
        <x:f>AA1178+X1179-U1179-AA1178*V1179/AB1178</x:f>
        <x:v>45530.62410925061</x:v>
      </x:c>
      <x:c r="AB1179" s="10" t="n">
        <x:f>Y1179+Z1179+AA1179</x:f>
        <x:v>145168.44242831506</x:v>
      </x:c>
      <x:c r="AC1179" s="8" t="n">
        <x:f>IF(AND(tun_WinterTrigger=1,D1179=1,AB1178/AE1178&gt;=K1179),1,0)</x:f>
        <x:v>0</x:v>
      </x:c>
      <x:c r="AD1179" s="8" t="n">
        <x:f>H1179*IF(AND(OR(AB1178/AE1178&gt;=tun_FissionTrigger*N1179,AC1179=1),AB1178/AE1178*tun_DaughterShare&gt;=tun_MinDaughter),MAX(1,ROUND(AE1178*tun_FissionRate,0)),0)</x:f>
        <x:v>0</x:v>
      </x:c>
      <x:c r="AE1179" s="8" t="n">
        <x:f>IF(H1179=1,MAX(1,MIN(INDEX(tun_Smax,G1179),AE1178+AD1179)),AE1178)</x:f>
        <x:v>9</x:v>
      </x:c>
      <x:c r="AF1179" s="8" t="n">
        <x:f>MAX(0,AE1179-AE1178)</x:f>
        <x:v>0</x:v>
      </x:c>
      <x:c r="AG1179" s="9" t="str">
        <x:f>IF(AF1179&gt;0,B1179,"")</x:f>
      </x:c>
      <x:c r="AH1179" s="9" t="n">
        <x:f>IF(F1179&gt;=1,1,(1+tun_LowTiesShare*(AE1179-1))/AE1179)</x:f>
        <x:v>1</x:v>
      </x:c>
      <x:c r="AI1179" s="32" t="n">
        <x:f>(Z1179+tun_ElderCommons*INDEX(LM_Elder,G1179)*AA1179)*AH1179</x:f>
        <x:v>238215.0665857503</x:v>
      </x:c>
      <x:c r="AJ1179" s="32" t="n">
        <x:f>H1179*tun_CommonsCoef*AI1179^tun_CommonsExp*INDEX(LM_Commons,G1179)</x:f>
        <x:v>0</x:v>
      </x:c>
      <x:c r="AK1179" s="32" t="n">
        <x:f>H1179*tun_RoleScale*Arch_Roles*(AE1179*(INDEX(tun_ElderRolePerSett,G1179)*tun_OutElder*INDEX(LM_Elder,G1179)+INDEX(tun_ShamanPerSett,G1179)*tun_OutShaman)+Z1179*(INDEX(tun_PriestShare,G1179)*tun_OutPriest+INDEX(tun_ScribeShare,G1179)*tun_OutScribe*INDEX(LM_Scribe,G1179)+INDEX(tun_ScholarShare,G1179)*tun_OutScholar*INDEX(LM_Scholar,G1179)+INDEX(tun_ResearcherShare,G1179)*tun_OutResearcher*INDEX(LM_Researcher,G1179)))</x:f>
        <x:v>0</x:v>
      </x:c>
      <x:c r="AL1179" s="32" t="n">
        <x:f>H1179*tun_RoleScale*Arch_Roles*AE1179*INDEX(tun_MonasteryPerSett,G1179)*tun_OutMonastery*INDEX(LM_Monastery,G1179)</x:f>
        <x:v>0</x:v>
      </x:c>
      <x:c r="AM1179" s="32" t="n">
        <x:f>(AJ1179+AK1179+AL1179)/4*INDEX(LM_All,G1179)*INDEX(tun_Boon,G1179)*Arch_Insight</x:f>
        <x:v>0</x:v>
      </x:c>
      <x:c r="AN1179" s="32" t="n">
        <x:f>H1179*(tun_KHPerAdult*Z1179+tun_KHOfCommons*AJ1179/4*INDEX(LM_All,G1179))*tun_KHUsable*Arch_KH</x:f>
        <x:v>0</x:v>
      </x:c>
      <x:c r="AO1179" s="32" t="n">
        <x:f>MIN(AP1178+AN1179,AM1179*tun_KHMaxRatio)</x:f>
        <x:v>0</x:v>
      </x:c>
      <x:c r="AP1179" s="32" t="n">
        <x:f>AP1178+AN1179-AO1179</x:f>
        <x:v>0</x:v>
      </x:c>
      <x:c r="AQ1179" s="32" t="n">
        <x:f>AM1179+AO1179</x:f>
        <x:v>0</x:v>
      </x:c>
      <x:c r="AR1179" s="10" t="n">
        <x:f>IF(H1179=1,INDEX(tun_Req,G1179),0)</x:f>
        <x:v>0</x:v>
      </x:c>
      <x:c r="AS1179" s="32" t="n">
        <x:f>IF(H1179=1,IF(E1179=1,AS1178-AR1178,AS1178)+AQ1179,0)</x:f>
        <x:v>0</x:v>
      </x:c>
      <x:c r="AT1179" s="11" t="n">
        <x:f>IF(AR1179&gt;0,MIN(1,AS1179/AR1179),1)</x:f>
        <x:v>1</x:v>
      </x:c>
      <x:c r="AU1179" s="10" t="n">
        <x:f>AB1179/INDEX(tun_RepScale,G1179)</x:f>
        <x:v>290.3368848566301</x:v>
      </x:c>
      <x:c r="AV1179" s="32" t="n">
        <x:f>AM1179*60/tun_SeasonSeconds</x:f>
        <x:v>0</x:v>
      </x:c>
    </x:row>
    <x:row r="1180">
      <x:c r="A1180" s="8" t="n">
        <x:f>A1179+1</x:f>
        <x:v>1177</x:v>
      </x:c>
      <x:c r="B1180" s="9" t="n">
        <x:f>A1180*tun_SeasonSeconds/60</x:f>
        <x:v>294.25</x:v>
      </x:c>
      <x:c r="C1180" s="9" t="n">
        <x:f>A1180/4</x:f>
        <x:v>294.25</x:v>
      </x:c>
      <x:c r="D1180" s="8" t="n">
        <x:f>IF(MOD(A1180,4)=0,1,0)</x:f>
        <x:v>0</x:v>
      </x:c>
      <x:c r="E1180" s="8" t="n">
        <x:f>IF(AND(F1179&lt;=9,AS1179&gt;=AR1179),1,0)</x:f>
        <x:v>0</x:v>
      </x:c>
      <x:c r="F1180" s="8" t="n">
        <x:f>MIN(10,F1179+E1180)</x:f>
        <x:v>10</x:v>
      </x:c>
      <x:c r="G1180" s="8" t="n">
        <x:f>MIN(F1180,9)+1</x:f>
        <x:v>10</x:v>
      </x:c>
      <x:c r="H1180" s="8" t="n">
        <x:f>IF(F1180&lt;=9,1,0)</x:f>
        <x:v>0</x:v>
      </x:c>
      <x:c r="I1180" s="9" t="n">
        <x:f>MIN(10,F1179+IF(AR1179&gt;0,MIN(1,AS1179/AR1179),1))</x:f>
        <x:v>10</x:v>
      </x:c>
      <x:c r="J1180" s="32" t="n">
        <x:f>INDEX(tun_FoodCap,G1180)*Arch_FoodCap*EXP(tun_CapsByProject*SUMPRODUCT((Cap_Point&lt;=I1180)*(Cap_Kind="Food")*Cap_Ln))</x:f>
        <x:v>18627.260449441455</x:v>
      </x:c>
      <x:c r="K1180" s="32" t="n">
        <x:f>J1180*MIN(1,tun_LeanBase*EXP(tun_CapsByProject*SUMPRODUCT((Cap_Point&lt;=I1180)*(Cap_Kind="Lean")*Cap_Ln)))</x:f>
        <x:v>18627.260449441455</x:v>
      </x:c>
      <x:c r="L1180" s="10" t="n">
        <x:f>INDEX(tun_HousingCap,G1180)*EXP(tun_CapsByProject*SUMPRODUCT((Cap_Point&lt;=I1180)*(Cap_Kind="Housing")*Cap_Ln))</x:f>
        <x:v>20528.974303173167</x:v>
      </x:c>
      <x:c r="M1180" s="10" t="n">
        <x:f>INDEX(tun_GroupCap,G1180)*tun_CohesionFactor*EXP(tun_CapsByProject*SUMPRODUCT((Cap_Point&lt;=I1180)*(Cap_Kind="Group")*Cap_Ln))</x:f>
        <x:v>1000000.000000001</x:v>
      </x:c>
      <x:c r="N1180" s="32" t="n">
        <x:f>MIN(J1180,L1180,M1180)</x:f>
        <x:v>18627.260449441455</x:v>
      </x:c>
      <x:c r="O1180" s="10" t="n">
        <x:f>AE1179*N1180</x:f>
        <x:v>167645.34404497308</x:v>
      </x:c>
      <x:c r="P1180" s="9" t="n">
        <x:f>MIN(1,(AB1179/(AE1179*IF(tun_GroupInCrowding=1,N1180,MIN(J1180,L1180))))^tun_CrowdingExp)</x:f>
        <x:v>0.4215841981292809</x:v>
      </x:c>
      <x:c r="Q1180" s="9" t="n">
        <x:f>IF(D1180=1,INDEX(tun_WinterMult,G1180),1)</x:f>
        <x:v>1</x:v>
      </x:c>
      <x:c r="R1180" s="9" t="n">
        <x:f>H1180*Z1179*tun_WomenShare*tun_BaseFertility*INDEX(tun_FertMult,G1180)*Arch_Fertility*(1-P1180)</x:f>
        <x:v>0</x:v>
      </x:c>
      <x:c r="S1180" s="9" t="n">
        <x:f>H1180*Y1179*INDEX(tun_MortChild,G1180)/4*Q1180</x:f>
        <x:v>0</x:v>
      </x:c>
      <x:c r="T1180" s="9" t="n">
        <x:f>H1180*Z1179*INDEX(tun_MortAdult,G1180)*Arch_AdultMort/4*Q1180</x:f>
        <x:v>0</x:v>
      </x:c>
      <x:c r="U1180" s="9" t="n">
        <x:f>H1180*AA1179*INDEX(tun_MortElder,G1180)/4*Q1180</x:f>
        <x:v>0</x:v>
      </x:c>
      <x:c r="V1180" s="9" t="n">
        <x:f>H1180*MAX(0,AB1179-O1180)*tun_OvercapLoss</x:f>
        <x:v>0</x:v>
      </x:c>
      <x:c r="W1180" s="9" t="n">
        <x:f>H1180*Y1179/(tun_ChildYears*4)</x:f>
        <x:v>0</x:v>
      </x:c>
      <x:c r="X1180" s="9" t="n">
        <x:f>H1180*Z1179/(tun_AdultYears*4)</x:f>
        <x:v>0</x:v>
      </x:c>
      <x:c r="Y1180" s="32" t="n">
        <x:f>Y1179+R1180-S1180-W1180-Y1179*V1180/AB1179</x:f>
        <x:v>40496.20709015643</x:v>
      </x:c>
      <x:c r="Z1180" s="32" t="n">
        <x:f>Z1179+W1180-X1180-T1180-Z1179*V1180/AB1179</x:f>
        <x:v>59141.61122890803</x:v>
      </x:c>
      <x:c r="AA1180" s="32" t="n">
        <x:f>AA1179+X1180-U1180-AA1179*V1180/AB1179</x:f>
        <x:v>45530.62410925061</x:v>
      </x:c>
      <x:c r="AB1180" s="10" t="n">
        <x:f>Y1180+Z1180+AA1180</x:f>
        <x:v>145168.44242831506</x:v>
      </x:c>
      <x:c r="AC1180" s="8" t="n">
        <x:f>IF(AND(tun_WinterTrigger=1,D1180=1,AB1179/AE1179&gt;=K1180),1,0)</x:f>
        <x:v>0</x:v>
      </x:c>
      <x:c r="AD1180" s="8" t="n">
        <x:f>H1180*IF(AND(OR(AB1179/AE1179&gt;=tun_FissionTrigger*N1180,AC1180=1),AB1179/AE1179*tun_DaughterShare&gt;=tun_MinDaughter),MAX(1,ROUND(AE1179*tun_FissionRate,0)),0)</x:f>
        <x:v>0</x:v>
      </x:c>
      <x:c r="AE1180" s="8" t="n">
        <x:f>IF(H1180=1,MAX(1,MIN(INDEX(tun_Smax,G1180),AE1179+AD1180)),AE1179)</x:f>
        <x:v>9</x:v>
      </x:c>
      <x:c r="AF1180" s="8" t="n">
        <x:f>MAX(0,AE1180-AE1179)</x:f>
        <x:v>0</x:v>
      </x:c>
      <x:c r="AG1180" s="9" t="str">
        <x:f>IF(AF1180&gt;0,B1180,"")</x:f>
      </x:c>
      <x:c r="AH1180" s="9" t="n">
        <x:f>IF(F1180&gt;=1,1,(1+tun_LowTiesShare*(AE1180-1))/AE1180)</x:f>
        <x:v>1</x:v>
      </x:c>
      <x:c r="AI1180" s="32" t="n">
        <x:f>(Z1180+tun_ElderCommons*INDEX(LM_Elder,G1180)*AA1180)*AH1180</x:f>
        <x:v>238215.0665857503</x:v>
      </x:c>
      <x:c r="AJ1180" s="32" t="n">
        <x:f>H1180*tun_CommonsCoef*AI1180^tun_CommonsExp*INDEX(LM_Commons,G1180)</x:f>
        <x:v>0</x:v>
      </x:c>
      <x:c r="AK1180" s="32" t="n">
        <x:f>H1180*tun_RoleScale*Arch_Roles*(AE1180*(INDEX(tun_ElderRolePerSett,G1180)*tun_OutElder*INDEX(LM_Elder,G1180)+INDEX(tun_ShamanPerSett,G1180)*tun_OutShaman)+Z1180*(INDEX(tun_PriestShare,G1180)*tun_OutPriest+INDEX(tun_ScribeShare,G1180)*tun_OutScribe*INDEX(LM_Scribe,G1180)+INDEX(tun_ScholarShare,G1180)*tun_OutScholar*INDEX(LM_Scholar,G1180)+INDEX(tun_ResearcherShare,G1180)*tun_OutResearcher*INDEX(LM_Researcher,G1180)))</x:f>
        <x:v>0</x:v>
      </x:c>
      <x:c r="AL1180" s="32" t="n">
        <x:f>H1180*tun_RoleScale*Arch_Roles*AE1180*INDEX(tun_MonasteryPerSett,G1180)*tun_OutMonastery*INDEX(LM_Monastery,G1180)</x:f>
        <x:v>0</x:v>
      </x:c>
      <x:c r="AM1180" s="32" t="n">
        <x:f>(AJ1180+AK1180+AL1180)/4*INDEX(LM_All,G1180)*INDEX(tun_Boon,G1180)*Arch_Insight</x:f>
        <x:v>0</x:v>
      </x:c>
      <x:c r="AN1180" s="32" t="n">
        <x:f>H1180*(tun_KHPerAdult*Z1180+tun_KHOfCommons*AJ1180/4*INDEX(LM_All,G1180))*tun_KHUsable*Arch_KH</x:f>
        <x:v>0</x:v>
      </x:c>
      <x:c r="AO1180" s="32" t="n">
        <x:f>MIN(AP1179+AN1180,AM1180*tun_KHMaxRatio)</x:f>
        <x:v>0</x:v>
      </x:c>
      <x:c r="AP1180" s="32" t="n">
        <x:f>AP1179+AN1180-AO1180</x:f>
        <x:v>0</x:v>
      </x:c>
      <x:c r="AQ1180" s="32" t="n">
        <x:f>AM1180+AO1180</x:f>
        <x:v>0</x:v>
      </x:c>
      <x:c r="AR1180" s="10" t="n">
        <x:f>IF(H1180=1,INDEX(tun_Req,G1180),0)</x:f>
        <x:v>0</x:v>
      </x:c>
      <x:c r="AS1180" s="32" t="n">
        <x:f>IF(H1180=1,IF(E1180=1,AS1179-AR1179,AS1179)+AQ1180,0)</x:f>
        <x:v>0</x:v>
      </x:c>
      <x:c r="AT1180" s="11" t="n">
        <x:f>IF(AR1180&gt;0,MIN(1,AS1180/AR1180),1)</x:f>
        <x:v>1</x:v>
      </x:c>
      <x:c r="AU1180" s="10" t="n">
        <x:f>AB1180/INDEX(tun_RepScale,G1180)</x:f>
        <x:v>290.3368848566301</x:v>
      </x:c>
      <x:c r="AV1180" s="32" t="n">
        <x:f>AM1180*60/tun_SeasonSeconds</x:f>
        <x:v>0</x:v>
      </x:c>
    </x:row>
    <x:row r="1181">
      <x:c r="A1181" s="8" t="n">
        <x:f>A1180+1</x:f>
        <x:v>1178</x:v>
      </x:c>
      <x:c r="B1181" s="9" t="n">
        <x:f>A1181*tun_SeasonSeconds/60</x:f>
        <x:v>294.5</x:v>
      </x:c>
      <x:c r="C1181" s="9" t="n">
        <x:f>A1181/4</x:f>
        <x:v>294.5</x:v>
      </x:c>
      <x:c r="D1181" s="8" t="n">
        <x:f>IF(MOD(A1181,4)=0,1,0)</x:f>
        <x:v>0</x:v>
      </x:c>
      <x:c r="E1181" s="8" t="n">
        <x:f>IF(AND(F1180&lt;=9,AS1180&gt;=AR1180),1,0)</x:f>
        <x:v>0</x:v>
      </x:c>
      <x:c r="F1181" s="8" t="n">
        <x:f>MIN(10,F1180+E1181)</x:f>
        <x:v>10</x:v>
      </x:c>
      <x:c r="G1181" s="8" t="n">
        <x:f>MIN(F1181,9)+1</x:f>
        <x:v>10</x:v>
      </x:c>
      <x:c r="H1181" s="8" t="n">
        <x:f>IF(F1181&lt;=9,1,0)</x:f>
        <x:v>0</x:v>
      </x:c>
      <x:c r="I1181" s="9" t="n">
        <x:f>MIN(10,F1180+IF(AR1180&gt;0,MIN(1,AS1180/AR1180),1))</x:f>
        <x:v>10</x:v>
      </x:c>
      <x:c r="J1181" s="32" t="n">
        <x:f>INDEX(tun_FoodCap,G1181)*Arch_FoodCap*EXP(tun_CapsByProject*SUMPRODUCT((Cap_Point&lt;=I1181)*(Cap_Kind="Food")*Cap_Ln))</x:f>
        <x:v>18627.260449441455</x:v>
      </x:c>
      <x:c r="K1181" s="32" t="n">
        <x:f>J1181*MIN(1,tun_LeanBase*EXP(tun_CapsByProject*SUMPRODUCT((Cap_Point&lt;=I1181)*(Cap_Kind="Lean")*Cap_Ln)))</x:f>
        <x:v>18627.260449441455</x:v>
      </x:c>
      <x:c r="L1181" s="10" t="n">
        <x:f>INDEX(tun_HousingCap,G1181)*EXP(tun_CapsByProject*SUMPRODUCT((Cap_Point&lt;=I1181)*(Cap_Kind="Housing")*Cap_Ln))</x:f>
        <x:v>20528.974303173167</x:v>
      </x:c>
      <x:c r="M1181" s="10" t="n">
        <x:f>INDEX(tun_GroupCap,G1181)*tun_CohesionFactor*EXP(tun_CapsByProject*SUMPRODUCT((Cap_Point&lt;=I1181)*(Cap_Kind="Group")*Cap_Ln))</x:f>
        <x:v>1000000.000000001</x:v>
      </x:c>
      <x:c r="N1181" s="32" t="n">
        <x:f>MIN(J1181,L1181,M1181)</x:f>
        <x:v>18627.260449441455</x:v>
      </x:c>
      <x:c r="O1181" s="10" t="n">
        <x:f>AE1180*N1181</x:f>
        <x:v>167645.34404497308</x:v>
      </x:c>
      <x:c r="P1181" s="9" t="n">
        <x:f>MIN(1,(AB1180/(AE1180*IF(tun_GroupInCrowding=1,N1181,MIN(J1181,L1181))))^tun_CrowdingExp)</x:f>
        <x:v>0.4215841981292809</x:v>
      </x:c>
      <x:c r="Q1181" s="9" t="n">
        <x:f>IF(D1181=1,INDEX(tun_WinterMult,G1181),1)</x:f>
        <x:v>1</x:v>
      </x:c>
      <x:c r="R1181" s="9" t="n">
        <x:f>H1181*Z1180*tun_WomenShare*tun_BaseFertility*INDEX(tun_FertMult,G1181)*Arch_Fertility*(1-P1181)</x:f>
        <x:v>0</x:v>
      </x:c>
      <x:c r="S1181" s="9" t="n">
        <x:f>H1181*Y1180*INDEX(tun_MortChild,G1181)/4*Q1181</x:f>
        <x:v>0</x:v>
      </x:c>
      <x:c r="T1181" s="9" t="n">
        <x:f>H1181*Z1180*INDEX(tun_MortAdult,G1181)*Arch_AdultMort/4*Q1181</x:f>
        <x:v>0</x:v>
      </x:c>
      <x:c r="U1181" s="9" t="n">
        <x:f>H1181*AA1180*INDEX(tun_MortElder,G1181)/4*Q1181</x:f>
        <x:v>0</x:v>
      </x:c>
      <x:c r="V1181" s="9" t="n">
        <x:f>H1181*MAX(0,AB1180-O1181)*tun_OvercapLoss</x:f>
        <x:v>0</x:v>
      </x:c>
      <x:c r="W1181" s="9" t="n">
        <x:f>H1181*Y1180/(tun_ChildYears*4)</x:f>
        <x:v>0</x:v>
      </x:c>
      <x:c r="X1181" s="9" t="n">
        <x:f>H1181*Z1180/(tun_AdultYears*4)</x:f>
        <x:v>0</x:v>
      </x:c>
      <x:c r="Y1181" s="32" t="n">
        <x:f>Y1180+R1181-S1181-W1181-Y1180*V1181/AB1180</x:f>
        <x:v>40496.20709015643</x:v>
      </x:c>
      <x:c r="Z1181" s="32" t="n">
        <x:f>Z1180+W1181-X1181-T1181-Z1180*V1181/AB1180</x:f>
        <x:v>59141.61122890803</x:v>
      </x:c>
      <x:c r="AA1181" s="32" t="n">
        <x:f>AA1180+X1181-U1181-AA1180*V1181/AB1180</x:f>
        <x:v>45530.62410925061</x:v>
      </x:c>
      <x:c r="AB1181" s="10" t="n">
        <x:f>Y1181+Z1181+AA1181</x:f>
        <x:v>145168.44242831506</x:v>
      </x:c>
      <x:c r="AC1181" s="8" t="n">
        <x:f>IF(AND(tun_WinterTrigger=1,D1181=1,AB1180/AE1180&gt;=K1181),1,0)</x:f>
        <x:v>0</x:v>
      </x:c>
      <x:c r="AD1181" s="8" t="n">
        <x:f>H1181*IF(AND(OR(AB1180/AE1180&gt;=tun_FissionTrigger*N1181,AC1181=1),AB1180/AE1180*tun_DaughterShare&gt;=tun_MinDaughter),MAX(1,ROUND(AE1180*tun_FissionRate,0)),0)</x:f>
        <x:v>0</x:v>
      </x:c>
      <x:c r="AE1181" s="8" t="n">
        <x:f>IF(H1181=1,MAX(1,MIN(INDEX(tun_Smax,G1181),AE1180+AD1181)),AE1180)</x:f>
        <x:v>9</x:v>
      </x:c>
      <x:c r="AF1181" s="8" t="n">
        <x:f>MAX(0,AE1181-AE1180)</x:f>
        <x:v>0</x:v>
      </x:c>
      <x:c r="AG1181" s="9" t="str">
        <x:f>IF(AF1181&gt;0,B1181,"")</x:f>
      </x:c>
      <x:c r="AH1181" s="9" t="n">
        <x:f>IF(F1181&gt;=1,1,(1+tun_LowTiesShare*(AE1181-1))/AE1181)</x:f>
        <x:v>1</x:v>
      </x:c>
      <x:c r="AI1181" s="32" t="n">
        <x:f>(Z1181+tun_ElderCommons*INDEX(LM_Elder,G1181)*AA1181)*AH1181</x:f>
        <x:v>238215.0665857503</x:v>
      </x:c>
      <x:c r="AJ1181" s="32" t="n">
        <x:f>H1181*tun_CommonsCoef*AI1181^tun_CommonsExp*INDEX(LM_Commons,G1181)</x:f>
        <x:v>0</x:v>
      </x:c>
      <x:c r="AK1181" s="32" t="n">
        <x:f>H1181*tun_RoleScale*Arch_Roles*(AE1181*(INDEX(tun_ElderRolePerSett,G1181)*tun_OutElder*INDEX(LM_Elder,G1181)+INDEX(tun_ShamanPerSett,G1181)*tun_OutShaman)+Z1181*(INDEX(tun_PriestShare,G1181)*tun_OutPriest+INDEX(tun_ScribeShare,G1181)*tun_OutScribe*INDEX(LM_Scribe,G1181)+INDEX(tun_ScholarShare,G1181)*tun_OutScholar*INDEX(LM_Scholar,G1181)+INDEX(tun_ResearcherShare,G1181)*tun_OutResearcher*INDEX(LM_Researcher,G1181)))</x:f>
        <x:v>0</x:v>
      </x:c>
      <x:c r="AL1181" s="32" t="n">
        <x:f>H1181*tun_RoleScale*Arch_Roles*AE1181*INDEX(tun_MonasteryPerSett,G1181)*tun_OutMonastery*INDEX(LM_Monastery,G1181)</x:f>
        <x:v>0</x:v>
      </x:c>
      <x:c r="AM1181" s="32" t="n">
        <x:f>(AJ1181+AK1181+AL1181)/4*INDEX(LM_All,G1181)*INDEX(tun_Boon,G1181)*Arch_Insight</x:f>
        <x:v>0</x:v>
      </x:c>
      <x:c r="AN1181" s="32" t="n">
        <x:f>H1181*(tun_KHPerAdult*Z1181+tun_KHOfCommons*AJ1181/4*INDEX(LM_All,G1181))*tun_KHUsable*Arch_KH</x:f>
        <x:v>0</x:v>
      </x:c>
      <x:c r="AO1181" s="32" t="n">
        <x:f>MIN(AP1180+AN1181,AM1181*tun_KHMaxRatio)</x:f>
        <x:v>0</x:v>
      </x:c>
      <x:c r="AP1181" s="32" t="n">
        <x:f>AP1180+AN1181-AO1181</x:f>
        <x:v>0</x:v>
      </x:c>
      <x:c r="AQ1181" s="32" t="n">
        <x:f>AM1181+AO1181</x:f>
        <x:v>0</x:v>
      </x:c>
      <x:c r="AR1181" s="10" t="n">
        <x:f>IF(H1181=1,INDEX(tun_Req,G1181),0)</x:f>
        <x:v>0</x:v>
      </x:c>
      <x:c r="AS1181" s="32" t="n">
        <x:f>IF(H1181=1,IF(E1181=1,AS1180-AR1180,AS1180)+AQ1181,0)</x:f>
        <x:v>0</x:v>
      </x:c>
      <x:c r="AT1181" s="11" t="n">
        <x:f>IF(AR1181&gt;0,MIN(1,AS1181/AR1181),1)</x:f>
        <x:v>1</x:v>
      </x:c>
      <x:c r="AU1181" s="10" t="n">
        <x:f>AB1181/INDEX(tun_RepScale,G1181)</x:f>
        <x:v>290.3368848566301</x:v>
      </x:c>
      <x:c r="AV1181" s="32" t="n">
        <x:f>AM1181*60/tun_SeasonSeconds</x:f>
        <x:v>0</x:v>
      </x:c>
    </x:row>
    <x:row r="1182">
      <x:c r="A1182" s="8" t="n">
        <x:f>A1181+1</x:f>
        <x:v>1179</x:v>
      </x:c>
      <x:c r="B1182" s="9" t="n">
        <x:f>A1182*tun_SeasonSeconds/60</x:f>
        <x:v>294.75</x:v>
      </x:c>
      <x:c r="C1182" s="9" t="n">
        <x:f>A1182/4</x:f>
        <x:v>294.75</x:v>
      </x:c>
      <x:c r="D1182" s="8" t="n">
        <x:f>IF(MOD(A1182,4)=0,1,0)</x:f>
        <x:v>0</x:v>
      </x:c>
      <x:c r="E1182" s="8" t="n">
        <x:f>IF(AND(F1181&lt;=9,AS1181&gt;=AR1181),1,0)</x:f>
        <x:v>0</x:v>
      </x:c>
      <x:c r="F1182" s="8" t="n">
        <x:f>MIN(10,F1181+E1182)</x:f>
        <x:v>10</x:v>
      </x:c>
      <x:c r="G1182" s="8" t="n">
        <x:f>MIN(F1182,9)+1</x:f>
        <x:v>10</x:v>
      </x:c>
      <x:c r="H1182" s="8" t="n">
        <x:f>IF(F1182&lt;=9,1,0)</x:f>
        <x:v>0</x:v>
      </x:c>
      <x:c r="I1182" s="9" t="n">
        <x:f>MIN(10,F1181+IF(AR1181&gt;0,MIN(1,AS1181/AR1181),1))</x:f>
        <x:v>10</x:v>
      </x:c>
      <x:c r="J1182" s="32" t="n">
        <x:f>INDEX(tun_FoodCap,G1182)*Arch_FoodCap*EXP(tun_CapsByProject*SUMPRODUCT((Cap_Point&lt;=I1182)*(Cap_Kind="Food")*Cap_Ln))</x:f>
        <x:v>18627.260449441455</x:v>
      </x:c>
      <x:c r="K1182" s="32" t="n">
        <x:f>J1182*MIN(1,tun_LeanBase*EXP(tun_CapsByProject*SUMPRODUCT((Cap_Point&lt;=I1182)*(Cap_Kind="Lean")*Cap_Ln)))</x:f>
        <x:v>18627.260449441455</x:v>
      </x:c>
      <x:c r="L1182" s="10" t="n">
        <x:f>INDEX(tun_HousingCap,G1182)*EXP(tun_CapsByProject*SUMPRODUCT((Cap_Point&lt;=I1182)*(Cap_Kind="Housing")*Cap_Ln))</x:f>
        <x:v>20528.974303173167</x:v>
      </x:c>
      <x:c r="M1182" s="10" t="n">
        <x:f>INDEX(tun_GroupCap,G1182)*tun_CohesionFactor*EXP(tun_CapsByProject*SUMPRODUCT((Cap_Point&lt;=I1182)*(Cap_Kind="Group")*Cap_Ln))</x:f>
        <x:v>1000000.000000001</x:v>
      </x:c>
      <x:c r="N1182" s="32" t="n">
        <x:f>MIN(J1182,L1182,M1182)</x:f>
        <x:v>18627.260449441455</x:v>
      </x:c>
      <x:c r="O1182" s="10" t="n">
        <x:f>AE1181*N1182</x:f>
        <x:v>167645.34404497308</x:v>
      </x:c>
      <x:c r="P1182" s="9" t="n">
        <x:f>MIN(1,(AB1181/(AE1181*IF(tun_GroupInCrowding=1,N1182,MIN(J1182,L1182))))^tun_CrowdingExp)</x:f>
        <x:v>0.4215841981292809</x:v>
      </x:c>
      <x:c r="Q1182" s="9" t="n">
        <x:f>IF(D1182=1,INDEX(tun_WinterMult,G1182),1)</x:f>
        <x:v>1</x:v>
      </x:c>
      <x:c r="R1182" s="9" t="n">
        <x:f>H1182*Z1181*tun_WomenShare*tun_BaseFertility*INDEX(tun_FertMult,G1182)*Arch_Fertility*(1-P1182)</x:f>
        <x:v>0</x:v>
      </x:c>
      <x:c r="S1182" s="9" t="n">
        <x:f>H1182*Y1181*INDEX(tun_MortChild,G1182)/4*Q1182</x:f>
        <x:v>0</x:v>
      </x:c>
      <x:c r="T1182" s="9" t="n">
        <x:f>H1182*Z1181*INDEX(tun_MortAdult,G1182)*Arch_AdultMort/4*Q1182</x:f>
        <x:v>0</x:v>
      </x:c>
      <x:c r="U1182" s="9" t="n">
        <x:f>H1182*AA1181*INDEX(tun_MortElder,G1182)/4*Q1182</x:f>
        <x:v>0</x:v>
      </x:c>
      <x:c r="V1182" s="9" t="n">
        <x:f>H1182*MAX(0,AB1181-O1182)*tun_OvercapLoss</x:f>
        <x:v>0</x:v>
      </x:c>
      <x:c r="W1182" s="9" t="n">
        <x:f>H1182*Y1181/(tun_ChildYears*4)</x:f>
        <x:v>0</x:v>
      </x:c>
      <x:c r="X1182" s="9" t="n">
        <x:f>H1182*Z1181/(tun_AdultYears*4)</x:f>
        <x:v>0</x:v>
      </x:c>
      <x:c r="Y1182" s="32" t="n">
        <x:f>Y1181+R1182-S1182-W1182-Y1181*V1182/AB1181</x:f>
        <x:v>40496.20709015643</x:v>
      </x:c>
      <x:c r="Z1182" s="32" t="n">
        <x:f>Z1181+W1182-X1182-T1182-Z1181*V1182/AB1181</x:f>
        <x:v>59141.61122890803</x:v>
      </x:c>
      <x:c r="AA1182" s="32" t="n">
        <x:f>AA1181+X1182-U1182-AA1181*V1182/AB1181</x:f>
        <x:v>45530.62410925061</x:v>
      </x:c>
      <x:c r="AB1182" s="10" t="n">
        <x:f>Y1182+Z1182+AA1182</x:f>
        <x:v>145168.44242831506</x:v>
      </x:c>
      <x:c r="AC1182" s="8" t="n">
        <x:f>IF(AND(tun_WinterTrigger=1,D1182=1,AB1181/AE1181&gt;=K1182),1,0)</x:f>
        <x:v>0</x:v>
      </x:c>
      <x:c r="AD1182" s="8" t="n">
        <x:f>H1182*IF(AND(OR(AB1181/AE1181&gt;=tun_FissionTrigger*N1182,AC1182=1),AB1181/AE1181*tun_DaughterShare&gt;=tun_MinDaughter),MAX(1,ROUND(AE1181*tun_FissionRate,0)),0)</x:f>
        <x:v>0</x:v>
      </x:c>
      <x:c r="AE1182" s="8" t="n">
        <x:f>IF(H1182=1,MAX(1,MIN(INDEX(tun_Smax,G1182),AE1181+AD1182)),AE1181)</x:f>
        <x:v>9</x:v>
      </x:c>
      <x:c r="AF1182" s="8" t="n">
        <x:f>MAX(0,AE1182-AE1181)</x:f>
        <x:v>0</x:v>
      </x:c>
      <x:c r="AG1182" s="9" t="str">
        <x:f>IF(AF1182&gt;0,B1182,"")</x:f>
      </x:c>
      <x:c r="AH1182" s="9" t="n">
        <x:f>IF(F1182&gt;=1,1,(1+tun_LowTiesShare*(AE1182-1))/AE1182)</x:f>
        <x:v>1</x:v>
      </x:c>
      <x:c r="AI1182" s="32" t="n">
        <x:f>(Z1182+tun_ElderCommons*INDEX(LM_Elder,G1182)*AA1182)*AH1182</x:f>
        <x:v>238215.0665857503</x:v>
      </x:c>
      <x:c r="AJ1182" s="32" t="n">
        <x:f>H1182*tun_CommonsCoef*AI1182^tun_CommonsExp*INDEX(LM_Commons,G1182)</x:f>
        <x:v>0</x:v>
      </x:c>
      <x:c r="AK1182" s="32" t="n">
        <x:f>H1182*tun_RoleScale*Arch_Roles*(AE1182*(INDEX(tun_ElderRolePerSett,G1182)*tun_OutElder*INDEX(LM_Elder,G1182)+INDEX(tun_ShamanPerSett,G1182)*tun_OutShaman)+Z1182*(INDEX(tun_PriestShare,G1182)*tun_OutPriest+INDEX(tun_ScribeShare,G1182)*tun_OutScribe*INDEX(LM_Scribe,G1182)+INDEX(tun_ScholarShare,G1182)*tun_OutScholar*INDEX(LM_Scholar,G1182)+INDEX(tun_ResearcherShare,G1182)*tun_OutResearcher*INDEX(LM_Researcher,G1182)))</x:f>
        <x:v>0</x:v>
      </x:c>
      <x:c r="AL1182" s="32" t="n">
        <x:f>H1182*tun_RoleScale*Arch_Roles*AE1182*INDEX(tun_MonasteryPerSett,G1182)*tun_OutMonastery*INDEX(LM_Monastery,G1182)</x:f>
        <x:v>0</x:v>
      </x:c>
      <x:c r="AM1182" s="32" t="n">
        <x:f>(AJ1182+AK1182+AL1182)/4*INDEX(LM_All,G1182)*INDEX(tun_Boon,G1182)*Arch_Insight</x:f>
        <x:v>0</x:v>
      </x:c>
      <x:c r="AN1182" s="32" t="n">
        <x:f>H1182*(tun_KHPerAdult*Z1182+tun_KHOfCommons*AJ1182/4*INDEX(LM_All,G1182))*tun_KHUsable*Arch_KH</x:f>
        <x:v>0</x:v>
      </x:c>
      <x:c r="AO1182" s="32" t="n">
        <x:f>MIN(AP1181+AN1182,AM1182*tun_KHMaxRatio)</x:f>
        <x:v>0</x:v>
      </x:c>
      <x:c r="AP1182" s="32" t="n">
        <x:f>AP1181+AN1182-AO1182</x:f>
        <x:v>0</x:v>
      </x:c>
      <x:c r="AQ1182" s="32" t="n">
        <x:f>AM1182+AO1182</x:f>
        <x:v>0</x:v>
      </x:c>
      <x:c r="AR1182" s="10" t="n">
        <x:f>IF(H1182=1,INDEX(tun_Req,G1182),0)</x:f>
        <x:v>0</x:v>
      </x:c>
      <x:c r="AS1182" s="32" t="n">
        <x:f>IF(H1182=1,IF(E1182=1,AS1181-AR1181,AS1181)+AQ1182,0)</x:f>
        <x:v>0</x:v>
      </x:c>
      <x:c r="AT1182" s="11" t="n">
        <x:f>IF(AR1182&gt;0,MIN(1,AS1182/AR1182),1)</x:f>
        <x:v>1</x:v>
      </x:c>
      <x:c r="AU1182" s="10" t="n">
        <x:f>AB1182/INDEX(tun_RepScale,G1182)</x:f>
        <x:v>290.3368848566301</x:v>
      </x:c>
      <x:c r="AV1182" s="32" t="n">
        <x:f>AM1182*60/tun_SeasonSeconds</x:f>
        <x:v>0</x:v>
      </x:c>
    </x:row>
    <x:row r="1183">
      <x:c r="A1183" s="8" t="n">
        <x:f>A1182+1</x:f>
        <x:v>1180</x:v>
      </x:c>
      <x:c r="B1183" s="9" t="n">
        <x:f>A1183*tun_SeasonSeconds/60</x:f>
        <x:v>295</x:v>
      </x:c>
      <x:c r="C1183" s="9" t="n">
        <x:f>A1183/4</x:f>
        <x:v>295</x:v>
      </x:c>
      <x:c r="D1183" s="8" t="n">
        <x:f>IF(MOD(A1183,4)=0,1,0)</x:f>
        <x:v>1</x:v>
      </x:c>
      <x:c r="E1183" s="8" t="n">
        <x:f>IF(AND(F1182&lt;=9,AS1182&gt;=AR1182),1,0)</x:f>
        <x:v>0</x:v>
      </x:c>
      <x:c r="F1183" s="8" t="n">
        <x:f>MIN(10,F1182+E1183)</x:f>
        <x:v>10</x:v>
      </x:c>
      <x:c r="G1183" s="8" t="n">
        <x:f>MIN(F1183,9)+1</x:f>
        <x:v>10</x:v>
      </x:c>
      <x:c r="H1183" s="8" t="n">
        <x:f>IF(F1183&lt;=9,1,0)</x:f>
        <x:v>0</x:v>
      </x:c>
      <x:c r="I1183" s="9" t="n">
        <x:f>MIN(10,F1182+IF(AR1182&gt;0,MIN(1,AS1182/AR1182),1))</x:f>
        <x:v>10</x:v>
      </x:c>
      <x:c r="J1183" s="32" t="n">
        <x:f>INDEX(tun_FoodCap,G1183)*Arch_FoodCap*EXP(tun_CapsByProject*SUMPRODUCT((Cap_Point&lt;=I1183)*(Cap_Kind="Food")*Cap_Ln))</x:f>
        <x:v>18627.260449441455</x:v>
      </x:c>
      <x:c r="K1183" s="32" t="n">
        <x:f>J1183*MIN(1,tun_LeanBase*EXP(tun_CapsByProject*SUMPRODUCT((Cap_Point&lt;=I1183)*(Cap_Kind="Lean")*Cap_Ln)))</x:f>
        <x:v>18627.260449441455</x:v>
      </x:c>
      <x:c r="L1183" s="10" t="n">
        <x:f>INDEX(tun_HousingCap,G1183)*EXP(tun_CapsByProject*SUMPRODUCT((Cap_Point&lt;=I1183)*(Cap_Kind="Housing")*Cap_Ln))</x:f>
        <x:v>20528.974303173167</x:v>
      </x:c>
      <x:c r="M1183" s="10" t="n">
        <x:f>INDEX(tun_GroupCap,G1183)*tun_CohesionFactor*EXP(tun_CapsByProject*SUMPRODUCT((Cap_Point&lt;=I1183)*(Cap_Kind="Group")*Cap_Ln))</x:f>
        <x:v>1000000.000000001</x:v>
      </x:c>
      <x:c r="N1183" s="32" t="n">
        <x:f>MIN(J1183,L1183,M1183)</x:f>
        <x:v>18627.260449441455</x:v>
      </x:c>
      <x:c r="O1183" s="10" t="n">
        <x:f>AE1182*N1183</x:f>
        <x:v>167645.34404497308</x:v>
      </x:c>
      <x:c r="P1183" s="9" t="n">
        <x:f>MIN(1,(AB1182/(AE1182*IF(tun_GroupInCrowding=1,N1183,MIN(J1183,L1183))))^tun_CrowdingExp)</x:f>
        <x:v>0.4215841981292809</x:v>
      </x:c>
      <x:c r="Q1183" s="9" t="n">
        <x:f>IF(D1183=1,INDEX(tun_WinterMult,G1183),1)</x:f>
        <x:v>1.05</x:v>
      </x:c>
      <x:c r="R1183" s="9" t="n">
        <x:f>H1183*Z1182*tun_WomenShare*tun_BaseFertility*INDEX(tun_FertMult,G1183)*Arch_Fertility*(1-P1183)</x:f>
        <x:v>0</x:v>
      </x:c>
      <x:c r="S1183" s="9" t="n">
        <x:f>H1183*Y1182*INDEX(tun_MortChild,G1183)/4*Q1183</x:f>
        <x:v>0</x:v>
      </x:c>
      <x:c r="T1183" s="9" t="n">
        <x:f>H1183*Z1182*INDEX(tun_MortAdult,G1183)*Arch_AdultMort/4*Q1183</x:f>
        <x:v>0</x:v>
      </x:c>
      <x:c r="U1183" s="9" t="n">
        <x:f>H1183*AA1182*INDEX(tun_MortElder,G1183)/4*Q1183</x:f>
        <x:v>0</x:v>
      </x:c>
      <x:c r="V1183" s="9" t="n">
        <x:f>H1183*MAX(0,AB1182-O1183)*tun_OvercapLoss</x:f>
        <x:v>0</x:v>
      </x:c>
      <x:c r="W1183" s="9" t="n">
        <x:f>H1183*Y1182/(tun_ChildYears*4)</x:f>
        <x:v>0</x:v>
      </x:c>
      <x:c r="X1183" s="9" t="n">
        <x:f>H1183*Z1182/(tun_AdultYears*4)</x:f>
        <x:v>0</x:v>
      </x:c>
      <x:c r="Y1183" s="32" t="n">
        <x:f>Y1182+R1183-S1183-W1183-Y1182*V1183/AB1182</x:f>
        <x:v>40496.20709015643</x:v>
      </x:c>
      <x:c r="Z1183" s="32" t="n">
        <x:f>Z1182+W1183-X1183-T1183-Z1182*V1183/AB1182</x:f>
        <x:v>59141.61122890803</x:v>
      </x:c>
      <x:c r="AA1183" s="32" t="n">
        <x:f>AA1182+X1183-U1183-AA1182*V1183/AB1182</x:f>
        <x:v>45530.62410925061</x:v>
      </x:c>
      <x:c r="AB1183" s="10" t="n">
        <x:f>Y1183+Z1183+AA1183</x:f>
        <x:v>145168.44242831506</x:v>
      </x:c>
      <x:c r="AC1183" s="8" t="n">
        <x:f>IF(AND(tun_WinterTrigger=1,D1183=1,AB1182/AE1182&gt;=K1183),1,0)</x:f>
        <x:v>0</x:v>
      </x:c>
      <x:c r="AD1183" s="8" t="n">
        <x:f>H1183*IF(AND(OR(AB1182/AE1182&gt;=tun_FissionTrigger*N1183,AC1183=1),AB1182/AE1182*tun_DaughterShare&gt;=tun_MinDaughter),MAX(1,ROUND(AE1182*tun_FissionRate,0)),0)</x:f>
        <x:v>0</x:v>
      </x:c>
      <x:c r="AE1183" s="8" t="n">
        <x:f>IF(H1183=1,MAX(1,MIN(INDEX(tun_Smax,G1183),AE1182+AD1183)),AE1182)</x:f>
        <x:v>9</x:v>
      </x:c>
      <x:c r="AF1183" s="8" t="n">
        <x:f>MAX(0,AE1183-AE1182)</x:f>
        <x:v>0</x:v>
      </x:c>
      <x:c r="AG1183" s="9" t="str">
        <x:f>IF(AF1183&gt;0,B1183,"")</x:f>
      </x:c>
      <x:c r="AH1183" s="9" t="n">
        <x:f>IF(F1183&gt;=1,1,(1+tun_LowTiesShare*(AE1183-1))/AE1183)</x:f>
        <x:v>1</x:v>
      </x:c>
      <x:c r="AI1183" s="32" t="n">
        <x:f>(Z1183+tun_ElderCommons*INDEX(LM_Elder,G1183)*AA1183)*AH1183</x:f>
        <x:v>238215.0665857503</x:v>
      </x:c>
      <x:c r="AJ1183" s="32" t="n">
        <x:f>H1183*tun_CommonsCoef*AI1183^tun_CommonsExp*INDEX(LM_Commons,G1183)</x:f>
        <x:v>0</x:v>
      </x:c>
      <x:c r="AK1183" s="32" t="n">
        <x:f>H1183*tun_RoleScale*Arch_Roles*(AE1183*(INDEX(tun_ElderRolePerSett,G1183)*tun_OutElder*INDEX(LM_Elder,G1183)+INDEX(tun_ShamanPerSett,G1183)*tun_OutShaman)+Z1183*(INDEX(tun_PriestShare,G1183)*tun_OutPriest+INDEX(tun_ScribeShare,G1183)*tun_OutScribe*INDEX(LM_Scribe,G1183)+INDEX(tun_ScholarShare,G1183)*tun_OutScholar*INDEX(LM_Scholar,G1183)+INDEX(tun_ResearcherShare,G1183)*tun_OutResearcher*INDEX(LM_Researcher,G1183)))</x:f>
        <x:v>0</x:v>
      </x:c>
      <x:c r="AL1183" s="32" t="n">
        <x:f>H1183*tun_RoleScale*Arch_Roles*AE1183*INDEX(tun_MonasteryPerSett,G1183)*tun_OutMonastery*INDEX(LM_Monastery,G1183)</x:f>
        <x:v>0</x:v>
      </x:c>
      <x:c r="AM1183" s="32" t="n">
        <x:f>(AJ1183+AK1183+AL1183)/4*INDEX(LM_All,G1183)*INDEX(tun_Boon,G1183)*Arch_Insight</x:f>
        <x:v>0</x:v>
      </x:c>
      <x:c r="AN1183" s="32" t="n">
        <x:f>H1183*(tun_KHPerAdult*Z1183+tun_KHOfCommons*AJ1183/4*INDEX(LM_All,G1183))*tun_KHUsable*Arch_KH</x:f>
        <x:v>0</x:v>
      </x:c>
      <x:c r="AO1183" s="32" t="n">
        <x:f>MIN(AP1182+AN1183,AM1183*tun_KHMaxRatio)</x:f>
        <x:v>0</x:v>
      </x:c>
      <x:c r="AP1183" s="32" t="n">
        <x:f>AP1182+AN1183-AO1183</x:f>
        <x:v>0</x:v>
      </x:c>
      <x:c r="AQ1183" s="32" t="n">
        <x:f>AM1183+AO1183</x:f>
        <x:v>0</x:v>
      </x:c>
      <x:c r="AR1183" s="10" t="n">
        <x:f>IF(H1183=1,INDEX(tun_Req,G1183),0)</x:f>
        <x:v>0</x:v>
      </x:c>
      <x:c r="AS1183" s="32" t="n">
        <x:f>IF(H1183=1,IF(E1183=1,AS1182-AR1182,AS1182)+AQ1183,0)</x:f>
        <x:v>0</x:v>
      </x:c>
      <x:c r="AT1183" s="11" t="n">
        <x:f>IF(AR1183&gt;0,MIN(1,AS1183/AR1183),1)</x:f>
        <x:v>1</x:v>
      </x:c>
      <x:c r="AU1183" s="10" t="n">
        <x:f>AB1183/INDEX(tun_RepScale,G1183)</x:f>
        <x:v>290.3368848566301</x:v>
      </x:c>
      <x:c r="AV1183" s="32" t="n">
        <x:f>AM1183*60/tun_SeasonSeconds</x:f>
        <x:v>0</x:v>
      </x:c>
    </x:row>
    <x:row r="1184">
      <x:c r="A1184" s="8" t="n">
        <x:f>A1183+1</x:f>
        <x:v>1181</x:v>
      </x:c>
      <x:c r="B1184" s="9" t="n">
        <x:f>A1184*tun_SeasonSeconds/60</x:f>
        <x:v>295.25</x:v>
      </x:c>
      <x:c r="C1184" s="9" t="n">
        <x:f>A1184/4</x:f>
        <x:v>295.25</x:v>
      </x:c>
      <x:c r="D1184" s="8" t="n">
        <x:f>IF(MOD(A1184,4)=0,1,0)</x:f>
        <x:v>0</x:v>
      </x:c>
      <x:c r="E1184" s="8" t="n">
        <x:f>IF(AND(F1183&lt;=9,AS1183&gt;=AR1183),1,0)</x:f>
        <x:v>0</x:v>
      </x:c>
      <x:c r="F1184" s="8" t="n">
        <x:f>MIN(10,F1183+E1184)</x:f>
        <x:v>10</x:v>
      </x:c>
      <x:c r="G1184" s="8" t="n">
        <x:f>MIN(F1184,9)+1</x:f>
        <x:v>10</x:v>
      </x:c>
      <x:c r="H1184" s="8" t="n">
        <x:f>IF(F1184&lt;=9,1,0)</x:f>
        <x:v>0</x:v>
      </x:c>
      <x:c r="I1184" s="9" t="n">
        <x:f>MIN(10,F1183+IF(AR1183&gt;0,MIN(1,AS1183/AR1183),1))</x:f>
        <x:v>10</x:v>
      </x:c>
      <x:c r="J1184" s="32" t="n">
        <x:f>INDEX(tun_FoodCap,G1184)*Arch_FoodCap*EXP(tun_CapsByProject*SUMPRODUCT((Cap_Point&lt;=I1184)*(Cap_Kind="Food")*Cap_Ln))</x:f>
        <x:v>18627.260449441455</x:v>
      </x:c>
      <x:c r="K1184" s="32" t="n">
        <x:f>J1184*MIN(1,tun_LeanBase*EXP(tun_CapsByProject*SUMPRODUCT((Cap_Point&lt;=I1184)*(Cap_Kind="Lean")*Cap_Ln)))</x:f>
        <x:v>18627.260449441455</x:v>
      </x:c>
      <x:c r="L1184" s="10" t="n">
        <x:f>INDEX(tun_HousingCap,G1184)*EXP(tun_CapsByProject*SUMPRODUCT((Cap_Point&lt;=I1184)*(Cap_Kind="Housing")*Cap_Ln))</x:f>
        <x:v>20528.974303173167</x:v>
      </x:c>
      <x:c r="M1184" s="10" t="n">
        <x:f>INDEX(tun_GroupCap,G1184)*tun_CohesionFactor*EXP(tun_CapsByProject*SUMPRODUCT((Cap_Point&lt;=I1184)*(Cap_Kind="Group")*Cap_Ln))</x:f>
        <x:v>1000000.000000001</x:v>
      </x:c>
      <x:c r="N1184" s="32" t="n">
        <x:f>MIN(J1184,L1184,M1184)</x:f>
        <x:v>18627.260449441455</x:v>
      </x:c>
      <x:c r="O1184" s="10" t="n">
        <x:f>AE1183*N1184</x:f>
        <x:v>167645.34404497308</x:v>
      </x:c>
      <x:c r="P1184" s="9" t="n">
        <x:f>MIN(1,(AB1183/(AE1183*IF(tun_GroupInCrowding=1,N1184,MIN(J1184,L1184))))^tun_CrowdingExp)</x:f>
        <x:v>0.4215841981292809</x:v>
      </x:c>
      <x:c r="Q1184" s="9" t="n">
        <x:f>IF(D1184=1,INDEX(tun_WinterMult,G1184),1)</x:f>
        <x:v>1</x:v>
      </x:c>
      <x:c r="R1184" s="9" t="n">
        <x:f>H1184*Z1183*tun_WomenShare*tun_BaseFertility*INDEX(tun_FertMult,G1184)*Arch_Fertility*(1-P1184)</x:f>
        <x:v>0</x:v>
      </x:c>
      <x:c r="S1184" s="9" t="n">
        <x:f>H1184*Y1183*INDEX(tun_MortChild,G1184)/4*Q1184</x:f>
        <x:v>0</x:v>
      </x:c>
      <x:c r="T1184" s="9" t="n">
        <x:f>H1184*Z1183*INDEX(tun_MortAdult,G1184)*Arch_AdultMort/4*Q1184</x:f>
        <x:v>0</x:v>
      </x:c>
      <x:c r="U1184" s="9" t="n">
        <x:f>H1184*AA1183*INDEX(tun_MortElder,G1184)/4*Q1184</x:f>
        <x:v>0</x:v>
      </x:c>
      <x:c r="V1184" s="9" t="n">
        <x:f>H1184*MAX(0,AB1183-O1184)*tun_OvercapLoss</x:f>
        <x:v>0</x:v>
      </x:c>
      <x:c r="W1184" s="9" t="n">
        <x:f>H1184*Y1183/(tun_ChildYears*4)</x:f>
        <x:v>0</x:v>
      </x:c>
      <x:c r="X1184" s="9" t="n">
        <x:f>H1184*Z1183/(tun_AdultYears*4)</x:f>
        <x:v>0</x:v>
      </x:c>
      <x:c r="Y1184" s="32" t="n">
        <x:f>Y1183+R1184-S1184-W1184-Y1183*V1184/AB1183</x:f>
        <x:v>40496.20709015643</x:v>
      </x:c>
      <x:c r="Z1184" s="32" t="n">
        <x:f>Z1183+W1184-X1184-T1184-Z1183*V1184/AB1183</x:f>
        <x:v>59141.61122890803</x:v>
      </x:c>
      <x:c r="AA1184" s="32" t="n">
        <x:f>AA1183+X1184-U1184-AA1183*V1184/AB1183</x:f>
        <x:v>45530.62410925061</x:v>
      </x:c>
      <x:c r="AB1184" s="10" t="n">
        <x:f>Y1184+Z1184+AA1184</x:f>
        <x:v>145168.44242831506</x:v>
      </x:c>
      <x:c r="AC1184" s="8" t="n">
        <x:f>IF(AND(tun_WinterTrigger=1,D1184=1,AB1183/AE1183&gt;=K1184),1,0)</x:f>
        <x:v>0</x:v>
      </x:c>
      <x:c r="AD1184" s="8" t="n">
        <x:f>H1184*IF(AND(OR(AB1183/AE1183&gt;=tun_FissionTrigger*N1184,AC1184=1),AB1183/AE1183*tun_DaughterShare&gt;=tun_MinDaughter),MAX(1,ROUND(AE1183*tun_FissionRate,0)),0)</x:f>
        <x:v>0</x:v>
      </x:c>
      <x:c r="AE1184" s="8" t="n">
        <x:f>IF(H1184=1,MAX(1,MIN(INDEX(tun_Smax,G1184),AE1183+AD1184)),AE1183)</x:f>
        <x:v>9</x:v>
      </x:c>
      <x:c r="AF1184" s="8" t="n">
        <x:f>MAX(0,AE1184-AE1183)</x:f>
        <x:v>0</x:v>
      </x:c>
      <x:c r="AG1184" s="9" t="str">
        <x:f>IF(AF1184&gt;0,B1184,"")</x:f>
      </x:c>
      <x:c r="AH1184" s="9" t="n">
        <x:f>IF(F1184&gt;=1,1,(1+tun_LowTiesShare*(AE1184-1))/AE1184)</x:f>
        <x:v>1</x:v>
      </x:c>
      <x:c r="AI1184" s="32" t="n">
        <x:f>(Z1184+tun_ElderCommons*INDEX(LM_Elder,G1184)*AA1184)*AH1184</x:f>
        <x:v>238215.0665857503</x:v>
      </x:c>
      <x:c r="AJ1184" s="32" t="n">
        <x:f>H1184*tun_CommonsCoef*AI1184^tun_CommonsExp*INDEX(LM_Commons,G1184)</x:f>
        <x:v>0</x:v>
      </x:c>
      <x:c r="AK1184" s="32" t="n">
        <x:f>H1184*tun_RoleScale*Arch_Roles*(AE1184*(INDEX(tun_ElderRolePerSett,G1184)*tun_OutElder*INDEX(LM_Elder,G1184)+INDEX(tun_ShamanPerSett,G1184)*tun_OutShaman)+Z1184*(INDEX(tun_PriestShare,G1184)*tun_OutPriest+INDEX(tun_ScribeShare,G1184)*tun_OutScribe*INDEX(LM_Scribe,G1184)+INDEX(tun_ScholarShare,G1184)*tun_OutScholar*INDEX(LM_Scholar,G1184)+INDEX(tun_ResearcherShare,G1184)*tun_OutResearcher*INDEX(LM_Researcher,G1184)))</x:f>
        <x:v>0</x:v>
      </x:c>
      <x:c r="AL1184" s="32" t="n">
        <x:f>H1184*tun_RoleScale*Arch_Roles*AE1184*INDEX(tun_MonasteryPerSett,G1184)*tun_OutMonastery*INDEX(LM_Monastery,G1184)</x:f>
        <x:v>0</x:v>
      </x:c>
      <x:c r="AM1184" s="32" t="n">
        <x:f>(AJ1184+AK1184+AL1184)/4*INDEX(LM_All,G1184)*INDEX(tun_Boon,G1184)*Arch_Insight</x:f>
        <x:v>0</x:v>
      </x:c>
      <x:c r="AN1184" s="32" t="n">
        <x:f>H1184*(tun_KHPerAdult*Z1184+tun_KHOfCommons*AJ1184/4*INDEX(LM_All,G1184))*tun_KHUsable*Arch_KH</x:f>
        <x:v>0</x:v>
      </x:c>
      <x:c r="AO1184" s="32" t="n">
        <x:f>MIN(AP1183+AN1184,AM1184*tun_KHMaxRatio)</x:f>
        <x:v>0</x:v>
      </x:c>
      <x:c r="AP1184" s="32" t="n">
        <x:f>AP1183+AN1184-AO1184</x:f>
        <x:v>0</x:v>
      </x:c>
      <x:c r="AQ1184" s="32" t="n">
        <x:f>AM1184+AO1184</x:f>
        <x:v>0</x:v>
      </x:c>
      <x:c r="AR1184" s="10" t="n">
        <x:f>IF(H1184=1,INDEX(tun_Req,G1184),0)</x:f>
        <x:v>0</x:v>
      </x:c>
      <x:c r="AS1184" s="32" t="n">
        <x:f>IF(H1184=1,IF(E1184=1,AS1183-AR1183,AS1183)+AQ1184,0)</x:f>
        <x:v>0</x:v>
      </x:c>
      <x:c r="AT1184" s="11" t="n">
        <x:f>IF(AR1184&gt;0,MIN(1,AS1184/AR1184),1)</x:f>
        <x:v>1</x:v>
      </x:c>
      <x:c r="AU1184" s="10" t="n">
        <x:f>AB1184/INDEX(tun_RepScale,G1184)</x:f>
        <x:v>290.3368848566301</x:v>
      </x:c>
      <x:c r="AV1184" s="32" t="n">
        <x:f>AM1184*60/tun_SeasonSeconds</x:f>
        <x:v>0</x:v>
      </x:c>
    </x:row>
    <x:row r="1185">
      <x:c r="A1185" s="8" t="n">
        <x:f>A1184+1</x:f>
        <x:v>1182</x:v>
      </x:c>
      <x:c r="B1185" s="9" t="n">
        <x:f>A1185*tun_SeasonSeconds/60</x:f>
        <x:v>295.5</x:v>
      </x:c>
      <x:c r="C1185" s="9" t="n">
        <x:f>A1185/4</x:f>
        <x:v>295.5</x:v>
      </x:c>
      <x:c r="D1185" s="8" t="n">
        <x:f>IF(MOD(A1185,4)=0,1,0)</x:f>
        <x:v>0</x:v>
      </x:c>
      <x:c r="E1185" s="8" t="n">
        <x:f>IF(AND(F1184&lt;=9,AS1184&gt;=AR1184),1,0)</x:f>
        <x:v>0</x:v>
      </x:c>
      <x:c r="F1185" s="8" t="n">
        <x:f>MIN(10,F1184+E1185)</x:f>
        <x:v>10</x:v>
      </x:c>
      <x:c r="G1185" s="8" t="n">
        <x:f>MIN(F1185,9)+1</x:f>
        <x:v>10</x:v>
      </x:c>
      <x:c r="H1185" s="8" t="n">
        <x:f>IF(F1185&lt;=9,1,0)</x:f>
        <x:v>0</x:v>
      </x:c>
      <x:c r="I1185" s="9" t="n">
        <x:f>MIN(10,F1184+IF(AR1184&gt;0,MIN(1,AS1184/AR1184),1))</x:f>
        <x:v>10</x:v>
      </x:c>
      <x:c r="J1185" s="32" t="n">
        <x:f>INDEX(tun_FoodCap,G1185)*Arch_FoodCap*EXP(tun_CapsByProject*SUMPRODUCT((Cap_Point&lt;=I1185)*(Cap_Kind="Food")*Cap_Ln))</x:f>
        <x:v>18627.260449441455</x:v>
      </x:c>
      <x:c r="K1185" s="32" t="n">
        <x:f>J1185*MIN(1,tun_LeanBase*EXP(tun_CapsByProject*SUMPRODUCT((Cap_Point&lt;=I1185)*(Cap_Kind="Lean")*Cap_Ln)))</x:f>
        <x:v>18627.260449441455</x:v>
      </x:c>
      <x:c r="L1185" s="10" t="n">
        <x:f>INDEX(tun_HousingCap,G1185)*EXP(tun_CapsByProject*SUMPRODUCT((Cap_Point&lt;=I1185)*(Cap_Kind="Housing")*Cap_Ln))</x:f>
        <x:v>20528.974303173167</x:v>
      </x:c>
      <x:c r="M1185" s="10" t="n">
        <x:f>INDEX(tun_GroupCap,G1185)*tun_CohesionFactor*EXP(tun_CapsByProject*SUMPRODUCT((Cap_Point&lt;=I1185)*(Cap_Kind="Group")*Cap_Ln))</x:f>
        <x:v>1000000.000000001</x:v>
      </x:c>
      <x:c r="N1185" s="32" t="n">
        <x:f>MIN(J1185,L1185,M1185)</x:f>
        <x:v>18627.260449441455</x:v>
      </x:c>
      <x:c r="O1185" s="10" t="n">
        <x:f>AE1184*N1185</x:f>
        <x:v>167645.34404497308</x:v>
      </x:c>
      <x:c r="P1185" s="9" t="n">
        <x:f>MIN(1,(AB1184/(AE1184*IF(tun_GroupInCrowding=1,N1185,MIN(J1185,L1185))))^tun_CrowdingExp)</x:f>
        <x:v>0.4215841981292809</x:v>
      </x:c>
      <x:c r="Q1185" s="9" t="n">
        <x:f>IF(D1185=1,INDEX(tun_WinterMult,G1185),1)</x:f>
        <x:v>1</x:v>
      </x:c>
      <x:c r="R1185" s="9" t="n">
        <x:f>H1185*Z1184*tun_WomenShare*tun_BaseFertility*INDEX(tun_FertMult,G1185)*Arch_Fertility*(1-P1185)</x:f>
        <x:v>0</x:v>
      </x:c>
      <x:c r="S1185" s="9" t="n">
        <x:f>H1185*Y1184*INDEX(tun_MortChild,G1185)/4*Q1185</x:f>
        <x:v>0</x:v>
      </x:c>
      <x:c r="T1185" s="9" t="n">
        <x:f>H1185*Z1184*INDEX(tun_MortAdult,G1185)*Arch_AdultMort/4*Q1185</x:f>
        <x:v>0</x:v>
      </x:c>
      <x:c r="U1185" s="9" t="n">
        <x:f>H1185*AA1184*INDEX(tun_MortElder,G1185)/4*Q1185</x:f>
        <x:v>0</x:v>
      </x:c>
      <x:c r="V1185" s="9" t="n">
        <x:f>H1185*MAX(0,AB1184-O1185)*tun_OvercapLoss</x:f>
        <x:v>0</x:v>
      </x:c>
      <x:c r="W1185" s="9" t="n">
        <x:f>H1185*Y1184/(tun_ChildYears*4)</x:f>
        <x:v>0</x:v>
      </x:c>
      <x:c r="X1185" s="9" t="n">
        <x:f>H1185*Z1184/(tun_AdultYears*4)</x:f>
        <x:v>0</x:v>
      </x:c>
      <x:c r="Y1185" s="32" t="n">
        <x:f>Y1184+R1185-S1185-W1185-Y1184*V1185/AB1184</x:f>
        <x:v>40496.20709015643</x:v>
      </x:c>
      <x:c r="Z1185" s="32" t="n">
        <x:f>Z1184+W1185-X1185-T1185-Z1184*V1185/AB1184</x:f>
        <x:v>59141.61122890803</x:v>
      </x:c>
      <x:c r="AA1185" s="32" t="n">
        <x:f>AA1184+X1185-U1185-AA1184*V1185/AB1184</x:f>
        <x:v>45530.62410925061</x:v>
      </x:c>
      <x:c r="AB1185" s="10" t="n">
        <x:f>Y1185+Z1185+AA1185</x:f>
        <x:v>145168.44242831506</x:v>
      </x:c>
      <x:c r="AC1185" s="8" t="n">
        <x:f>IF(AND(tun_WinterTrigger=1,D1185=1,AB1184/AE1184&gt;=K1185),1,0)</x:f>
        <x:v>0</x:v>
      </x:c>
      <x:c r="AD1185" s="8" t="n">
        <x:f>H1185*IF(AND(OR(AB1184/AE1184&gt;=tun_FissionTrigger*N1185,AC1185=1),AB1184/AE1184*tun_DaughterShare&gt;=tun_MinDaughter),MAX(1,ROUND(AE1184*tun_FissionRate,0)),0)</x:f>
        <x:v>0</x:v>
      </x:c>
      <x:c r="AE1185" s="8" t="n">
        <x:f>IF(H1185=1,MAX(1,MIN(INDEX(tun_Smax,G1185),AE1184+AD1185)),AE1184)</x:f>
        <x:v>9</x:v>
      </x:c>
      <x:c r="AF1185" s="8" t="n">
        <x:f>MAX(0,AE1185-AE1184)</x:f>
        <x:v>0</x:v>
      </x:c>
      <x:c r="AG1185" s="9" t="str">
        <x:f>IF(AF1185&gt;0,B1185,"")</x:f>
      </x:c>
      <x:c r="AH1185" s="9" t="n">
        <x:f>IF(F1185&gt;=1,1,(1+tun_LowTiesShare*(AE1185-1))/AE1185)</x:f>
        <x:v>1</x:v>
      </x:c>
      <x:c r="AI1185" s="32" t="n">
        <x:f>(Z1185+tun_ElderCommons*INDEX(LM_Elder,G1185)*AA1185)*AH1185</x:f>
        <x:v>238215.0665857503</x:v>
      </x:c>
      <x:c r="AJ1185" s="32" t="n">
        <x:f>H1185*tun_CommonsCoef*AI1185^tun_CommonsExp*INDEX(LM_Commons,G1185)</x:f>
        <x:v>0</x:v>
      </x:c>
      <x:c r="AK1185" s="32" t="n">
        <x:f>H1185*tun_RoleScale*Arch_Roles*(AE1185*(INDEX(tun_ElderRolePerSett,G1185)*tun_OutElder*INDEX(LM_Elder,G1185)+INDEX(tun_ShamanPerSett,G1185)*tun_OutShaman)+Z1185*(INDEX(tun_PriestShare,G1185)*tun_OutPriest+INDEX(tun_ScribeShare,G1185)*tun_OutScribe*INDEX(LM_Scribe,G1185)+INDEX(tun_ScholarShare,G1185)*tun_OutScholar*INDEX(LM_Scholar,G1185)+INDEX(tun_ResearcherShare,G1185)*tun_OutResearcher*INDEX(LM_Researcher,G1185)))</x:f>
        <x:v>0</x:v>
      </x:c>
      <x:c r="AL1185" s="32" t="n">
        <x:f>H1185*tun_RoleScale*Arch_Roles*AE1185*INDEX(tun_MonasteryPerSett,G1185)*tun_OutMonastery*INDEX(LM_Monastery,G1185)</x:f>
        <x:v>0</x:v>
      </x:c>
      <x:c r="AM1185" s="32" t="n">
        <x:f>(AJ1185+AK1185+AL1185)/4*INDEX(LM_All,G1185)*INDEX(tun_Boon,G1185)*Arch_Insight</x:f>
        <x:v>0</x:v>
      </x:c>
      <x:c r="AN1185" s="32" t="n">
        <x:f>H1185*(tun_KHPerAdult*Z1185+tun_KHOfCommons*AJ1185/4*INDEX(LM_All,G1185))*tun_KHUsable*Arch_KH</x:f>
        <x:v>0</x:v>
      </x:c>
      <x:c r="AO1185" s="32" t="n">
        <x:f>MIN(AP1184+AN1185,AM1185*tun_KHMaxRatio)</x:f>
        <x:v>0</x:v>
      </x:c>
      <x:c r="AP1185" s="32" t="n">
        <x:f>AP1184+AN1185-AO1185</x:f>
        <x:v>0</x:v>
      </x:c>
      <x:c r="AQ1185" s="32" t="n">
        <x:f>AM1185+AO1185</x:f>
        <x:v>0</x:v>
      </x:c>
      <x:c r="AR1185" s="10" t="n">
        <x:f>IF(H1185=1,INDEX(tun_Req,G1185),0)</x:f>
        <x:v>0</x:v>
      </x:c>
      <x:c r="AS1185" s="32" t="n">
        <x:f>IF(H1185=1,IF(E1185=1,AS1184-AR1184,AS1184)+AQ1185,0)</x:f>
        <x:v>0</x:v>
      </x:c>
      <x:c r="AT1185" s="11" t="n">
        <x:f>IF(AR1185&gt;0,MIN(1,AS1185/AR1185),1)</x:f>
        <x:v>1</x:v>
      </x:c>
      <x:c r="AU1185" s="10" t="n">
        <x:f>AB1185/INDEX(tun_RepScale,G1185)</x:f>
        <x:v>290.3368848566301</x:v>
      </x:c>
      <x:c r="AV1185" s="32" t="n">
        <x:f>AM1185*60/tun_SeasonSeconds</x:f>
        <x:v>0</x:v>
      </x:c>
    </x:row>
    <x:row r="1186">
      <x:c r="A1186" s="8" t="n">
        <x:f>A1185+1</x:f>
        <x:v>1183</x:v>
      </x:c>
      <x:c r="B1186" s="9" t="n">
        <x:f>A1186*tun_SeasonSeconds/60</x:f>
        <x:v>295.75</x:v>
      </x:c>
      <x:c r="C1186" s="9" t="n">
        <x:f>A1186/4</x:f>
        <x:v>295.75</x:v>
      </x:c>
      <x:c r="D1186" s="8" t="n">
        <x:f>IF(MOD(A1186,4)=0,1,0)</x:f>
        <x:v>0</x:v>
      </x:c>
      <x:c r="E1186" s="8" t="n">
        <x:f>IF(AND(F1185&lt;=9,AS1185&gt;=AR1185),1,0)</x:f>
        <x:v>0</x:v>
      </x:c>
      <x:c r="F1186" s="8" t="n">
        <x:f>MIN(10,F1185+E1186)</x:f>
        <x:v>10</x:v>
      </x:c>
      <x:c r="G1186" s="8" t="n">
        <x:f>MIN(F1186,9)+1</x:f>
        <x:v>10</x:v>
      </x:c>
      <x:c r="H1186" s="8" t="n">
        <x:f>IF(F1186&lt;=9,1,0)</x:f>
        <x:v>0</x:v>
      </x:c>
      <x:c r="I1186" s="9" t="n">
        <x:f>MIN(10,F1185+IF(AR1185&gt;0,MIN(1,AS1185/AR1185),1))</x:f>
        <x:v>10</x:v>
      </x:c>
      <x:c r="J1186" s="32" t="n">
        <x:f>INDEX(tun_FoodCap,G1186)*Arch_FoodCap*EXP(tun_CapsByProject*SUMPRODUCT((Cap_Point&lt;=I1186)*(Cap_Kind="Food")*Cap_Ln))</x:f>
        <x:v>18627.260449441455</x:v>
      </x:c>
      <x:c r="K1186" s="32" t="n">
        <x:f>J1186*MIN(1,tun_LeanBase*EXP(tun_CapsByProject*SUMPRODUCT((Cap_Point&lt;=I1186)*(Cap_Kind="Lean")*Cap_Ln)))</x:f>
        <x:v>18627.260449441455</x:v>
      </x:c>
      <x:c r="L1186" s="10" t="n">
        <x:f>INDEX(tun_HousingCap,G1186)*EXP(tun_CapsByProject*SUMPRODUCT((Cap_Point&lt;=I1186)*(Cap_Kind="Housing")*Cap_Ln))</x:f>
        <x:v>20528.974303173167</x:v>
      </x:c>
      <x:c r="M1186" s="10" t="n">
        <x:f>INDEX(tun_GroupCap,G1186)*tun_CohesionFactor*EXP(tun_CapsByProject*SUMPRODUCT((Cap_Point&lt;=I1186)*(Cap_Kind="Group")*Cap_Ln))</x:f>
        <x:v>1000000.000000001</x:v>
      </x:c>
      <x:c r="N1186" s="32" t="n">
        <x:f>MIN(J1186,L1186,M1186)</x:f>
        <x:v>18627.260449441455</x:v>
      </x:c>
      <x:c r="O1186" s="10" t="n">
        <x:f>AE1185*N1186</x:f>
        <x:v>167645.34404497308</x:v>
      </x:c>
      <x:c r="P1186" s="9" t="n">
        <x:f>MIN(1,(AB1185/(AE1185*IF(tun_GroupInCrowding=1,N1186,MIN(J1186,L1186))))^tun_CrowdingExp)</x:f>
        <x:v>0.4215841981292809</x:v>
      </x:c>
      <x:c r="Q1186" s="9" t="n">
        <x:f>IF(D1186=1,INDEX(tun_WinterMult,G1186),1)</x:f>
        <x:v>1</x:v>
      </x:c>
      <x:c r="R1186" s="9" t="n">
        <x:f>H1186*Z1185*tun_WomenShare*tun_BaseFertility*INDEX(tun_FertMult,G1186)*Arch_Fertility*(1-P1186)</x:f>
        <x:v>0</x:v>
      </x:c>
      <x:c r="S1186" s="9" t="n">
        <x:f>H1186*Y1185*INDEX(tun_MortChild,G1186)/4*Q1186</x:f>
        <x:v>0</x:v>
      </x:c>
      <x:c r="T1186" s="9" t="n">
        <x:f>H1186*Z1185*INDEX(tun_MortAdult,G1186)*Arch_AdultMort/4*Q1186</x:f>
        <x:v>0</x:v>
      </x:c>
      <x:c r="U1186" s="9" t="n">
        <x:f>H1186*AA1185*INDEX(tun_MortElder,G1186)/4*Q1186</x:f>
        <x:v>0</x:v>
      </x:c>
      <x:c r="V1186" s="9" t="n">
        <x:f>H1186*MAX(0,AB1185-O1186)*tun_OvercapLoss</x:f>
        <x:v>0</x:v>
      </x:c>
      <x:c r="W1186" s="9" t="n">
        <x:f>H1186*Y1185/(tun_ChildYears*4)</x:f>
        <x:v>0</x:v>
      </x:c>
      <x:c r="X1186" s="9" t="n">
        <x:f>H1186*Z1185/(tun_AdultYears*4)</x:f>
        <x:v>0</x:v>
      </x:c>
      <x:c r="Y1186" s="32" t="n">
        <x:f>Y1185+R1186-S1186-W1186-Y1185*V1186/AB1185</x:f>
        <x:v>40496.20709015643</x:v>
      </x:c>
      <x:c r="Z1186" s="32" t="n">
        <x:f>Z1185+W1186-X1186-T1186-Z1185*V1186/AB1185</x:f>
        <x:v>59141.61122890803</x:v>
      </x:c>
      <x:c r="AA1186" s="32" t="n">
        <x:f>AA1185+X1186-U1186-AA1185*V1186/AB1185</x:f>
        <x:v>45530.62410925061</x:v>
      </x:c>
      <x:c r="AB1186" s="10" t="n">
        <x:f>Y1186+Z1186+AA1186</x:f>
        <x:v>145168.44242831506</x:v>
      </x:c>
      <x:c r="AC1186" s="8" t="n">
        <x:f>IF(AND(tun_WinterTrigger=1,D1186=1,AB1185/AE1185&gt;=K1186),1,0)</x:f>
        <x:v>0</x:v>
      </x:c>
      <x:c r="AD1186" s="8" t="n">
        <x:f>H1186*IF(AND(OR(AB1185/AE1185&gt;=tun_FissionTrigger*N1186,AC1186=1),AB1185/AE1185*tun_DaughterShare&gt;=tun_MinDaughter),MAX(1,ROUND(AE1185*tun_FissionRate,0)),0)</x:f>
        <x:v>0</x:v>
      </x:c>
      <x:c r="AE1186" s="8" t="n">
        <x:f>IF(H1186=1,MAX(1,MIN(INDEX(tun_Smax,G1186),AE1185+AD1186)),AE1185)</x:f>
        <x:v>9</x:v>
      </x:c>
      <x:c r="AF1186" s="8" t="n">
        <x:f>MAX(0,AE1186-AE1185)</x:f>
        <x:v>0</x:v>
      </x:c>
      <x:c r="AG1186" s="9" t="str">
        <x:f>IF(AF1186&gt;0,B1186,"")</x:f>
      </x:c>
      <x:c r="AH1186" s="9" t="n">
        <x:f>IF(F1186&gt;=1,1,(1+tun_LowTiesShare*(AE1186-1))/AE1186)</x:f>
        <x:v>1</x:v>
      </x:c>
      <x:c r="AI1186" s="32" t="n">
        <x:f>(Z1186+tun_ElderCommons*INDEX(LM_Elder,G1186)*AA1186)*AH1186</x:f>
        <x:v>238215.0665857503</x:v>
      </x:c>
      <x:c r="AJ1186" s="32" t="n">
        <x:f>H1186*tun_CommonsCoef*AI1186^tun_CommonsExp*INDEX(LM_Commons,G1186)</x:f>
        <x:v>0</x:v>
      </x:c>
      <x:c r="AK1186" s="32" t="n">
        <x:f>H1186*tun_RoleScale*Arch_Roles*(AE1186*(INDEX(tun_ElderRolePerSett,G1186)*tun_OutElder*INDEX(LM_Elder,G1186)+INDEX(tun_ShamanPerSett,G1186)*tun_OutShaman)+Z1186*(INDEX(tun_PriestShare,G1186)*tun_OutPriest+INDEX(tun_ScribeShare,G1186)*tun_OutScribe*INDEX(LM_Scribe,G1186)+INDEX(tun_ScholarShare,G1186)*tun_OutScholar*INDEX(LM_Scholar,G1186)+INDEX(tun_ResearcherShare,G1186)*tun_OutResearcher*INDEX(LM_Researcher,G1186)))</x:f>
        <x:v>0</x:v>
      </x:c>
      <x:c r="AL1186" s="32" t="n">
        <x:f>H1186*tun_RoleScale*Arch_Roles*AE1186*INDEX(tun_MonasteryPerSett,G1186)*tun_OutMonastery*INDEX(LM_Monastery,G1186)</x:f>
        <x:v>0</x:v>
      </x:c>
      <x:c r="AM1186" s="32" t="n">
        <x:f>(AJ1186+AK1186+AL1186)/4*INDEX(LM_All,G1186)*INDEX(tun_Boon,G1186)*Arch_Insight</x:f>
        <x:v>0</x:v>
      </x:c>
      <x:c r="AN1186" s="32" t="n">
        <x:f>H1186*(tun_KHPerAdult*Z1186+tun_KHOfCommons*AJ1186/4*INDEX(LM_All,G1186))*tun_KHUsable*Arch_KH</x:f>
        <x:v>0</x:v>
      </x:c>
      <x:c r="AO1186" s="32" t="n">
        <x:f>MIN(AP1185+AN1186,AM1186*tun_KHMaxRatio)</x:f>
        <x:v>0</x:v>
      </x:c>
      <x:c r="AP1186" s="32" t="n">
        <x:f>AP1185+AN1186-AO1186</x:f>
        <x:v>0</x:v>
      </x:c>
      <x:c r="AQ1186" s="32" t="n">
        <x:f>AM1186+AO1186</x:f>
        <x:v>0</x:v>
      </x:c>
      <x:c r="AR1186" s="10" t="n">
        <x:f>IF(H1186=1,INDEX(tun_Req,G1186),0)</x:f>
        <x:v>0</x:v>
      </x:c>
      <x:c r="AS1186" s="32" t="n">
        <x:f>IF(H1186=1,IF(E1186=1,AS1185-AR1185,AS1185)+AQ1186,0)</x:f>
        <x:v>0</x:v>
      </x:c>
      <x:c r="AT1186" s="11" t="n">
        <x:f>IF(AR1186&gt;0,MIN(1,AS1186/AR1186),1)</x:f>
        <x:v>1</x:v>
      </x:c>
      <x:c r="AU1186" s="10" t="n">
        <x:f>AB1186/INDEX(tun_RepScale,G1186)</x:f>
        <x:v>290.3368848566301</x:v>
      </x:c>
      <x:c r="AV1186" s="32" t="n">
        <x:f>AM1186*60/tun_SeasonSeconds</x:f>
        <x:v>0</x:v>
      </x:c>
    </x:row>
    <x:row r="1187">
      <x:c r="A1187" s="8" t="n">
        <x:f>A1186+1</x:f>
        <x:v>1184</x:v>
      </x:c>
      <x:c r="B1187" s="9" t="n">
        <x:f>A1187*tun_SeasonSeconds/60</x:f>
        <x:v>296</x:v>
      </x:c>
      <x:c r="C1187" s="9" t="n">
        <x:f>A1187/4</x:f>
        <x:v>296</x:v>
      </x:c>
      <x:c r="D1187" s="8" t="n">
        <x:f>IF(MOD(A1187,4)=0,1,0)</x:f>
        <x:v>1</x:v>
      </x:c>
      <x:c r="E1187" s="8" t="n">
        <x:f>IF(AND(F1186&lt;=9,AS1186&gt;=AR1186),1,0)</x:f>
        <x:v>0</x:v>
      </x:c>
      <x:c r="F1187" s="8" t="n">
        <x:f>MIN(10,F1186+E1187)</x:f>
        <x:v>10</x:v>
      </x:c>
      <x:c r="G1187" s="8" t="n">
        <x:f>MIN(F1187,9)+1</x:f>
        <x:v>10</x:v>
      </x:c>
      <x:c r="H1187" s="8" t="n">
        <x:f>IF(F1187&lt;=9,1,0)</x:f>
        <x:v>0</x:v>
      </x:c>
      <x:c r="I1187" s="9" t="n">
        <x:f>MIN(10,F1186+IF(AR1186&gt;0,MIN(1,AS1186/AR1186),1))</x:f>
        <x:v>10</x:v>
      </x:c>
      <x:c r="J1187" s="32" t="n">
        <x:f>INDEX(tun_FoodCap,G1187)*Arch_FoodCap*EXP(tun_CapsByProject*SUMPRODUCT((Cap_Point&lt;=I1187)*(Cap_Kind="Food")*Cap_Ln))</x:f>
        <x:v>18627.260449441455</x:v>
      </x:c>
      <x:c r="K1187" s="32" t="n">
        <x:f>J1187*MIN(1,tun_LeanBase*EXP(tun_CapsByProject*SUMPRODUCT((Cap_Point&lt;=I1187)*(Cap_Kind="Lean")*Cap_Ln)))</x:f>
        <x:v>18627.260449441455</x:v>
      </x:c>
      <x:c r="L1187" s="10" t="n">
        <x:f>INDEX(tun_HousingCap,G1187)*EXP(tun_CapsByProject*SUMPRODUCT((Cap_Point&lt;=I1187)*(Cap_Kind="Housing")*Cap_Ln))</x:f>
        <x:v>20528.974303173167</x:v>
      </x:c>
      <x:c r="M1187" s="10" t="n">
        <x:f>INDEX(tun_GroupCap,G1187)*tun_CohesionFactor*EXP(tun_CapsByProject*SUMPRODUCT((Cap_Point&lt;=I1187)*(Cap_Kind="Group")*Cap_Ln))</x:f>
        <x:v>1000000.000000001</x:v>
      </x:c>
      <x:c r="N1187" s="32" t="n">
        <x:f>MIN(J1187,L1187,M1187)</x:f>
        <x:v>18627.260449441455</x:v>
      </x:c>
      <x:c r="O1187" s="10" t="n">
        <x:f>AE1186*N1187</x:f>
        <x:v>167645.34404497308</x:v>
      </x:c>
      <x:c r="P1187" s="9" t="n">
        <x:f>MIN(1,(AB1186/(AE1186*IF(tun_GroupInCrowding=1,N1187,MIN(J1187,L1187))))^tun_CrowdingExp)</x:f>
        <x:v>0.4215841981292809</x:v>
      </x:c>
      <x:c r="Q1187" s="9" t="n">
        <x:f>IF(D1187=1,INDEX(tun_WinterMult,G1187),1)</x:f>
        <x:v>1.05</x:v>
      </x:c>
      <x:c r="R1187" s="9" t="n">
        <x:f>H1187*Z1186*tun_WomenShare*tun_BaseFertility*INDEX(tun_FertMult,G1187)*Arch_Fertility*(1-P1187)</x:f>
        <x:v>0</x:v>
      </x:c>
      <x:c r="S1187" s="9" t="n">
        <x:f>H1187*Y1186*INDEX(tun_MortChild,G1187)/4*Q1187</x:f>
        <x:v>0</x:v>
      </x:c>
      <x:c r="T1187" s="9" t="n">
        <x:f>H1187*Z1186*INDEX(tun_MortAdult,G1187)*Arch_AdultMort/4*Q1187</x:f>
        <x:v>0</x:v>
      </x:c>
      <x:c r="U1187" s="9" t="n">
        <x:f>H1187*AA1186*INDEX(tun_MortElder,G1187)/4*Q1187</x:f>
        <x:v>0</x:v>
      </x:c>
      <x:c r="V1187" s="9" t="n">
        <x:f>H1187*MAX(0,AB1186-O1187)*tun_OvercapLoss</x:f>
        <x:v>0</x:v>
      </x:c>
      <x:c r="W1187" s="9" t="n">
        <x:f>H1187*Y1186/(tun_ChildYears*4)</x:f>
        <x:v>0</x:v>
      </x:c>
      <x:c r="X1187" s="9" t="n">
        <x:f>H1187*Z1186/(tun_AdultYears*4)</x:f>
        <x:v>0</x:v>
      </x:c>
      <x:c r="Y1187" s="32" t="n">
        <x:f>Y1186+R1187-S1187-W1187-Y1186*V1187/AB1186</x:f>
        <x:v>40496.20709015643</x:v>
      </x:c>
      <x:c r="Z1187" s="32" t="n">
        <x:f>Z1186+W1187-X1187-T1187-Z1186*V1187/AB1186</x:f>
        <x:v>59141.61122890803</x:v>
      </x:c>
      <x:c r="AA1187" s="32" t="n">
        <x:f>AA1186+X1187-U1187-AA1186*V1187/AB1186</x:f>
        <x:v>45530.62410925061</x:v>
      </x:c>
      <x:c r="AB1187" s="10" t="n">
        <x:f>Y1187+Z1187+AA1187</x:f>
        <x:v>145168.44242831506</x:v>
      </x:c>
      <x:c r="AC1187" s="8" t="n">
        <x:f>IF(AND(tun_WinterTrigger=1,D1187=1,AB1186/AE1186&gt;=K1187),1,0)</x:f>
        <x:v>0</x:v>
      </x:c>
      <x:c r="AD1187" s="8" t="n">
        <x:f>H1187*IF(AND(OR(AB1186/AE1186&gt;=tun_FissionTrigger*N1187,AC1187=1),AB1186/AE1186*tun_DaughterShare&gt;=tun_MinDaughter),MAX(1,ROUND(AE1186*tun_FissionRate,0)),0)</x:f>
        <x:v>0</x:v>
      </x:c>
      <x:c r="AE1187" s="8" t="n">
        <x:f>IF(H1187=1,MAX(1,MIN(INDEX(tun_Smax,G1187),AE1186+AD1187)),AE1186)</x:f>
        <x:v>9</x:v>
      </x:c>
      <x:c r="AF1187" s="8" t="n">
        <x:f>MAX(0,AE1187-AE1186)</x:f>
        <x:v>0</x:v>
      </x:c>
      <x:c r="AG1187" s="9" t="str">
        <x:f>IF(AF1187&gt;0,B1187,"")</x:f>
      </x:c>
      <x:c r="AH1187" s="9" t="n">
        <x:f>IF(F1187&gt;=1,1,(1+tun_LowTiesShare*(AE1187-1))/AE1187)</x:f>
        <x:v>1</x:v>
      </x:c>
      <x:c r="AI1187" s="32" t="n">
        <x:f>(Z1187+tun_ElderCommons*INDEX(LM_Elder,G1187)*AA1187)*AH1187</x:f>
        <x:v>238215.0665857503</x:v>
      </x:c>
      <x:c r="AJ1187" s="32" t="n">
        <x:f>H1187*tun_CommonsCoef*AI1187^tun_CommonsExp*INDEX(LM_Commons,G1187)</x:f>
        <x:v>0</x:v>
      </x:c>
      <x:c r="AK1187" s="32" t="n">
        <x:f>H1187*tun_RoleScale*Arch_Roles*(AE1187*(INDEX(tun_ElderRolePerSett,G1187)*tun_OutElder*INDEX(LM_Elder,G1187)+INDEX(tun_ShamanPerSett,G1187)*tun_OutShaman)+Z1187*(INDEX(tun_PriestShare,G1187)*tun_OutPriest+INDEX(tun_ScribeShare,G1187)*tun_OutScribe*INDEX(LM_Scribe,G1187)+INDEX(tun_ScholarShare,G1187)*tun_OutScholar*INDEX(LM_Scholar,G1187)+INDEX(tun_ResearcherShare,G1187)*tun_OutResearcher*INDEX(LM_Researcher,G1187)))</x:f>
        <x:v>0</x:v>
      </x:c>
      <x:c r="AL1187" s="32" t="n">
        <x:f>H1187*tun_RoleScale*Arch_Roles*AE1187*INDEX(tun_MonasteryPerSett,G1187)*tun_OutMonastery*INDEX(LM_Monastery,G1187)</x:f>
        <x:v>0</x:v>
      </x:c>
      <x:c r="AM1187" s="32" t="n">
        <x:f>(AJ1187+AK1187+AL1187)/4*INDEX(LM_All,G1187)*INDEX(tun_Boon,G1187)*Arch_Insight</x:f>
        <x:v>0</x:v>
      </x:c>
      <x:c r="AN1187" s="32" t="n">
        <x:f>H1187*(tun_KHPerAdult*Z1187+tun_KHOfCommons*AJ1187/4*INDEX(LM_All,G1187))*tun_KHUsable*Arch_KH</x:f>
        <x:v>0</x:v>
      </x:c>
      <x:c r="AO1187" s="32" t="n">
        <x:f>MIN(AP1186+AN1187,AM1187*tun_KHMaxRatio)</x:f>
        <x:v>0</x:v>
      </x:c>
      <x:c r="AP1187" s="32" t="n">
        <x:f>AP1186+AN1187-AO1187</x:f>
        <x:v>0</x:v>
      </x:c>
      <x:c r="AQ1187" s="32" t="n">
        <x:f>AM1187+AO1187</x:f>
        <x:v>0</x:v>
      </x:c>
      <x:c r="AR1187" s="10" t="n">
        <x:f>IF(H1187=1,INDEX(tun_Req,G1187),0)</x:f>
        <x:v>0</x:v>
      </x:c>
      <x:c r="AS1187" s="32" t="n">
        <x:f>IF(H1187=1,IF(E1187=1,AS1186-AR1186,AS1186)+AQ1187,0)</x:f>
        <x:v>0</x:v>
      </x:c>
      <x:c r="AT1187" s="11" t="n">
        <x:f>IF(AR1187&gt;0,MIN(1,AS1187/AR1187),1)</x:f>
        <x:v>1</x:v>
      </x:c>
      <x:c r="AU1187" s="10" t="n">
        <x:f>AB1187/INDEX(tun_RepScale,G1187)</x:f>
        <x:v>290.3368848566301</x:v>
      </x:c>
      <x:c r="AV1187" s="32" t="n">
        <x:f>AM1187*60/tun_SeasonSeconds</x:f>
        <x:v>0</x:v>
      </x:c>
    </x:row>
    <x:row r="1188">
      <x:c r="A1188" s="8" t="n">
        <x:f>A1187+1</x:f>
        <x:v>1185</x:v>
      </x:c>
      <x:c r="B1188" s="9" t="n">
        <x:f>A1188*tun_SeasonSeconds/60</x:f>
        <x:v>296.25</x:v>
      </x:c>
      <x:c r="C1188" s="9" t="n">
        <x:f>A1188/4</x:f>
        <x:v>296.25</x:v>
      </x:c>
      <x:c r="D1188" s="8" t="n">
        <x:f>IF(MOD(A1188,4)=0,1,0)</x:f>
        <x:v>0</x:v>
      </x:c>
      <x:c r="E1188" s="8" t="n">
        <x:f>IF(AND(F1187&lt;=9,AS1187&gt;=AR1187),1,0)</x:f>
        <x:v>0</x:v>
      </x:c>
      <x:c r="F1188" s="8" t="n">
        <x:f>MIN(10,F1187+E1188)</x:f>
        <x:v>10</x:v>
      </x:c>
      <x:c r="G1188" s="8" t="n">
        <x:f>MIN(F1188,9)+1</x:f>
        <x:v>10</x:v>
      </x:c>
      <x:c r="H1188" s="8" t="n">
        <x:f>IF(F1188&lt;=9,1,0)</x:f>
        <x:v>0</x:v>
      </x:c>
      <x:c r="I1188" s="9" t="n">
        <x:f>MIN(10,F1187+IF(AR1187&gt;0,MIN(1,AS1187/AR1187),1))</x:f>
        <x:v>10</x:v>
      </x:c>
      <x:c r="J1188" s="32" t="n">
        <x:f>INDEX(tun_FoodCap,G1188)*Arch_FoodCap*EXP(tun_CapsByProject*SUMPRODUCT((Cap_Point&lt;=I1188)*(Cap_Kind="Food")*Cap_Ln))</x:f>
        <x:v>18627.260449441455</x:v>
      </x:c>
      <x:c r="K1188" s="32" t="n">
        <x:f>J1188*MIN(1,tun_LeanBase*EXP(tun_CapsByProject*SUMPRODUCT((Cap_Point&lt;=I1188)*(Cap_Kind="Lean")*Cap_Ln)))</x:f>
        <x:v>18627.260449441455</x:v>
      </x:c>
      <x:c r="L1188" s="10" t="n">
        <x:f>INDEX(tun_HousingCap,G1188)*EXP(tun_CapsByProject*SUMPRODUCT((Cap_Point&lt;=I1188)*(Cap_Kind="Housing")*Cap_Ln))</x:f>
        <x:v>20528.974303173167</x:v>
      </x:c>
      <x:c r="M1188" s="10" t="n">
        <x:f>INDEX(tun_GroupCap,G1188)*tun_CohesionFactor*EXP(tun_CapsByProject*SUMPRODUCT((Cap_Point&lt;=I1188)*(Cap_Kind="Group")*Cap_Ln))</x:f>
        <x:v>1000000.000000001</x:v>
      </x:c>
      <x:c r="N1188" s="32" t="n">
        <x:f>MIN(J1188,L1188,M1188)</x:f>
        <x:v>18627.260449441455</x:v>
      </x:c>
      <x:c r="O1188" s="10" t="n">
        <x:f>AE1187*N1188</x:f>
        <x:v>167645.34404497308</x:v>
      </x:c>
      <x:c r="P1188" s="9" t="n">
        <x:f>MIN(1,(AB1187/(AE1187*IF(tun_GroupInCrowding=1,N1188,MIN(J1188,L1188))))^tun_CrowdingExp)</x:f>
        <x:v>0.4215841981292809</x:v>
      </x:c>
      <x:c r="Q1188" s="9" t="n">
        <x:f>IF(D1188=1,INDEX(tun_WinterMult,G1188),1)</x:f>
        <x:v>1</x:v>
      </x:c>
      <x:c r="R1188" s="9" t="n">
        <x:f>H1188*Z1187*tun_WomenShare*tun_BaseFertility*INDEX(tun_FertMult,G1188)*Arch_Fertility*(1-P1188)</x:f>
        <x:v>0</x:v>
      </x:c>
      <x:c r="S1188" s="9" t="n">
        <x:f>H1188*Y1187*INDEX(tun_MortChild,G1188)/4*Q1188</x:f>
        <x:v>0</x:v>
      </x:c>
      <x:c r="T1188" s="9" t="n">
        <x:f>H1188*Z1187*INDEX(tun_MortAdult,G1188)*Arch_AdultMort/4*Q1188</x:f>
        <x:v>0</x:v>
      </x:c>
      <x:c r="U1188" s="9" t="n">
        <x:f>H1188*AA1187*INDEX(tun_MortElder,G1188)/4*Q1188</x:f>
        <x:v>0</x:v>
      </x:c>
      <x:c r="V1188" s="9" t="n">
        <x:f>H1188*MAX(0,AB1187-O1188)*tun_OvercapLoss</x:f>
        <x:v>0</x:v>
      </x:c>
      <x:c r="W1188" s="9" t="n">
        <x:f>H1188*Y1187/(tun_ChildYears*4)</x:f>
        <x:v>0</x:v>
      </x:c>
      <x:c r="X1188" s="9" t="n">
        <x:f>H1188*Z1187/(tun_AdultYears*4)</x:f>
        <x:v>0</x:v>
      </x:c>
      <x:c r="Y1188" s="32" t="n">
        <x:f>Y1187+R1188-S1188-W1188-Y1187*V1188/AB1187</x:f>
        <x:v>40496.20709015643</x:v>
      </x:c>
      <x:c r="Z1188" s="32" t="n">
        <x:f>Z1187+W1188-X1188-T1188-Z1187*V1188/AB1187</x:f>
        <x:v>59141.61122890803</x:v>
      </x:c>
      <x:c r="AA1188" s="32" t="n">
        <x:f>AA1187+X1188-U1188-AA1187*V1188/AB1187</x:f>
        <x:v>45530.62410925061</x:v>
      </x:c>
      <x:c r="AB1188" s="10" t="n">
        <x:f>Y1188+Z1188+AA1188</x:f>
        <x:v>145168.44242831506</x:v>
      </x:c>
      <x:c r="AC1188" s="8" t="n">
        <x:f>IF(AND(tun_WinterTrigger=1,D1188=1,AB1187/AE1187&gt;=K1188),1,0)</x:f>
        <x:v>0</x:v>
      </x:c>
      <x:c r="AD1188" s="8" t="n">
        <x:f>H1188*IF(AND(OR(AB1187/AE1187&gt;=tun_FissionTrigger*N1188,AC1188=1),AB1187/AE1187*tun_DaughterShare&gt;=tun_MinDaughter),MAX(1,ROUND(AE1187*tun_FissionRate,0)),0)</x:f>
        <x:v>0</x:v>
      </x:c>
      <x:c r="AE1188" s="8" t="n">
        <x:f>IF(H1188=1,MAX(1,MIN(INDEX(tun_Smax,G1188),AE1187+AD1188)),AE1187)</x:f>
        <x:v>9</x:v>
      </x:c>
      <x:c r="AF1188" s="8" t="n">
        <x:f>MAX(0,AE1188-AE1187)</x:f>
        <x:v>0</x:v>
      </x:c>
      <x:c r="AG1188" s="9" t="str">
        <x:f>IF(AF1188&gt;0,B1188,"")</x:f>
      </x:c>
      <x:c r="AH1188" s="9" t="n">
        <x:f>IF(F1188&gt;=1,1,(1+tun_LowTiesShare*(AE1188-1))/AE1188)</x:f>
        <x:v>1</x:v>
      </x:c>
      <x:c r="AI1188" s="32" t="n">
        <x:f>(Z1188+tun_ElderCommons*INDEX(LM_Elder,G1188)*AA1188)*AH1188</x:f>
        <x:v>238215.0665857503</x:v>
      </x:c>
      <x:c r="AJ1188" s="32" t="n">
        <x:f>H1188*tun_CommonsCoef*AI1188^tun_CommonsExp*INDEX(LM_Commons,G1188)</x:f>
        <x:v>0</x:v>
      </x:c>
      <x:c r="AK1188" s="32" t="n">
        <x:f>H1188*tun_RoleScale*Arch_Roles*(AE1188*(INDEX(tun_ElderRolePerSett,G1188)*tun_OutElder*INDEX(LM_Elder,G1188)+INDEX(tun_ShamanPerSett,G1188)*tun_OutShaman)+Z1188*(INDEX(tun_PriestShare,G1188)*tun_OutPriest+INDEX(tun_ScribeShare,G1188)*tun_OutScribe*INDEX(LM_Scribe,G1188)+INDEX(tun_ScholarShare,G1188)*tun_OutScholar*INDEX(LM_Scholar,G1188)+INDEX(tun_ResearcherShare,G1188)*tun_OutResearcher*INDEX(LM_Researcher,G1188)))</x:f>
        <x:v>0</x:v>
      </x:c>
      <x:c r="AL1188" s="32" t="n">
        <x:f>H1188*tun_RoleScale*Arch_Roles*AE1188*INDEX(tun_MonasteryPerSett,G1188)*tun_OutMonastery*INDEX(LM_Monastery,G1188)</x:f>
        <x:v>0</x:v>
      </x:c>
      <x:c r="AM1188" s="32" t="n">
        <x:f>(AJ1188+AK1188+AL1188)/4*INDEX(LM_All,G1188)*INDEX(tun_Boon,G1188)*Arch_Insight</x:f>
        <x:v>0</x:v>
      </x:c>
      <x:c r="AN1188" s="32" t="n">
        <x:f>H1188*(tun_KHPerAdult*Z1188+tun_KHOfCommons*AJ1188/4*INDEX(LM_All,G1188))*tun_KHUsable*Arch_KH</x:f>
        <x:v>0</x:v>
      </x:c>
      <x:c r="AO1188" s="32" t="n">
        <x:f>MIN(AP1187+AN1188,AM1188*tun_KHMaxRatio)</x:f>
        <x:v>0</x:v>
      </x:c>
      <x:c r="AP1188" s="32" t="n">
        <x:f>AP1187+AN1188-AO1188</x:f>
        <x:v>0</x:v>
      </x:c>
      <x:c r="AQ1188" s="32" t="n">
        <x:f>AM1188+AO1188</x:f>
        <x:v>0</x:v>
      </x:c>
      <x:c r="AR1188" s="10" t="n">
        <x:f>IF(H1188=1,INDEX(tun_Req,G1188),0)</x:f>
        <x:v>0</x:v>
      </x:c>
      <x:c r="AS1188" s="32" t="n">
        <x:f>IF(H1188=1,IF(E1188=1,AS1187-AR1187,AS1187)+AQ1188,0)</x:f>
        <x:v>0</x:v>
      </x:c>
      <x:c r="AT1188" s="11" t="n">
        <x:f>IF(AR1188&gt;0,MIN(1,AS1188/AR1188),1)</x:f>
        <x:v>1</x:v>
      </x:c>
      <x:c r="AU1188" s="10" t="n">
        <x:f>AB1188/INDEX(tun_RepScale,G1188)</x:f>
        <x:v>290.3368848566301</x:v>
      </x:c>
      <x:c r="AV1188" s="32" t="n">
        <x:f>AM1188*60/tun_SeasonSeconds</x:f>
        <x:v>0</x:v>
      </x:c>
    </x:row>
    <x:row r="1189">
      <x:c r="A1189" s="8" t="n">
        <x:f>A1188+1</x:f>
        <x:v>1186</x:v>
      </x:c>
      <x:c r="B1189" s="9" t="n">
        <x:f>A1189*tun_SeasonSeconds/60</x:f>
        <x:v>296.5</x:v>
      </x:c>
      <x:c r="C1189" s="9" t="n">
        <x:f>A1189/4</x:f>
        <x:v>296.5</x:v>
      </x:c>
      <x:c r="D1189" s="8" t="n">
        <x:f>IF(MOD(A1189,4)=0,1,0)</x:f>
        <x:v>0</x:v>
      </x:c>
      <x:c r="E1189" s="8" t="n">
        <x:f>IF(AND(F1188&lt;=9,AS1188&gt;=AR1188),1,0)</x:f>
        <x:v>0</x:v>
      </x:c>
      <x:c r="F1189" s="8" t="n">
        <x:f>MIN(10,F1188+E1189)</x:f>
        <x:v>10</x:v>
      </x:c>
      <x:c r="G1189" s="8" t="n">
        <x:f>MIN(F1189,9)+1</x:f>
        <x:v>10</x:v>
      </x:c>
      <x:c r="H1189" s="8" t="n">
        <x:f>IF(F1189&lt;=9,1,0)</x:f>
        <x:v>0</x:v>
      </x:c>
      <x:c r="I1189" s="9" t="n">
        <x:f>MIN(10,F1188+IF(AR1188&gt;0,MIN(1,AS1188/AR1188),1))</x:f>
        <x:v>10</x:v>
      </x:c>
      <x:c r="J1189" s="32" t="n">
        <x:f>INDEX(tun_FoodCap,G1189)*Arch_FoodCap*EXP(tun_CapsByProject*SUMPRODUCT((Cap_Point&lt;=I1189)*(Cap_Kind="Food")*Cap_Ln))</x:f>
        <x:v>18627.260449441455</x:v>
      </x:c>
      <x:c r="K1189" s="32" t="n">
        <x:f>J1189*MIN(1,tun_LeanBase*EXP(tun_CapsByProject*SUMPRODUCT((Cap_Point&lt;=I1189)*(Cap_Kind="Lean")*Cap_Ln)))</x:f>
        <x:v>18627.260449441455</x:v>
      </x:c>
      <x:c r="L1189" s="10" t="n">
        <x:f>INDEX(tun_HousingCap,G1189)*EXP(tun_CapsByProject*SUMPRODUCT((Cap_Point&lt;=I1189)*(Cap_Kind="Housing")*Cap_Ln))</x:f>
        <x:v>20528.974303173167</x:v>
      </x:c>
      <x:c r="M1189" s="10" t="n">
        <x:f>INDEX(tun_GroupCap,G1189)*tun_CohesionFactor*EXP(tun_CapsByProject*SUMPRODUCT((Cap_Point&lt;=I1189)*(Cap_Kind="Group")*Cap_Ln))</x:f>
        <x:v>1000000.000000001</x:v>
      </x:c>
      <x:c r="N1189" s="32" t="n">
        <x:f>MIN(J1189,L1189,M1189)</x:f>
        <x:v>18627.260449441455</x:v>
      </x:c>
      <x:c r="O1189" s="10" t="n">
        <x:f>AE1188*N1189</x:f>
        <x:v>167645.34404497308</x:v>
      </x:c>
      <x:c r="P1189" s="9" t="n">
        <x:f>MIN(1,(AB1188/(AE1188*IF(tun_GroupInCrowding=1,N1189,MIN(J1189,L1189))))^tun_CrowdingExp)</x:f>
        <x:v>0.4215841981292809</x:v>
      </x:c>
      <x:c r="Q1189" s="9" t="n">
        <x:f>IF(D1189=1,INDEX(tun_WinterMult,G1189),1)</x:f>
        <x:v>1</x:v>
      </x:c>
      <x:c r="R1189" s="9" t="n">
        <x:f>H1189*Z1188*tun_WomenShare*tun_BaseFertility*INDEX(tun_FertMult,G1189)*Arch_Fertility*(1-P1189)</x:f>
        <x:v>0</x:v>
      </x:c>
      <x:c r="S1189" s="9" t="n">
        <x:f>H1189*Y1188*INDEX(tun_MortChild,G1189)/4*Q1189</x:f>
        <x:v>0</x:v>
      </x:c>
      <x:c r="T1189" s="9" t="n">
        <x:f>H1189*Z1188*INDEX(tun_MortAdult,G1189)*Arch_AdultMort/4*Q1189</x:f>
        <x:v>0</x:v>
      </x:c>
      <x:c r="U1189" s="9" t="n">
        <x:f>H1189*AA1188*INDEX(tun_MortElder,G1189)/4*Q1189</x:f>
        <x:v>0</x:v>
      </x:c>
      <x:c r="V1189" s="9" t="n">
        <x:f>H1189*MAX(0,AB1188-O1189)*tun_OvercapLoss</x:f>
        <x:v>0</x:v>
      </x:c>
      <x:c r="W1189" s="9" t="n">
        <x:f>H1189*Y1188/(tun_ChildYears*4)</x:f>
        <x:v>0</x:v>
      </x:c>
      <x:c r="X1189" s="9" t="n">
        <x:f>H1189*Z1188/(tun_AdultYears*4)</x:f>
        <x:v>0</x:v>
      </x:c>
      <x:c r="Y1189" s="32" t="n">
        <x:f>Y1188+R1189-S1189-W1189-Y1188*V1189/AB1188</x:f>
        <x:v>40496.20709015643</x:v>
      </x:c>
      <x:c r="Z1189" s="32" t="n">
        <x:f>Z1188+W1189-X1189-T1189-Z1188*V1189/AB1188</x:f>
        <x:v>59141.61122890803</x:v>
      </x:c>
      <x:c r="AA1189" s="32" t="n">
        <x:f>AA1188+X1189-U1189-AA1188*V1189/AB1188</x:f>
        <x:v>45530.62410925061</x:v>
      </x:c>
      <x:c r="AB1189" s="10" t="n">
        <x:f>Y1189+Z1189+AA1189</x:f>
        <x:v>145168.44242831506</x:v>
      </x:c>
      <x:c r="AC1189" s="8" t="n">
        <x:f>IF(AND(tun_WinterTrigger=1,D1189=1,AB1188/AE1188&gt;=K1189),1,0)</x:f>
        <x:v>0</x:v>
      </x:c>
      <x:c r="AD1189" s="8" t="n">
        <x:f>H1189*IF(AND(OR(AB1188/AE1188&gt;=tun_FissionTrigger*N1189,AC1189=1),AB1188/AE1188*tun_DaughterShare&gt;=tun_MinDaughter),MAX(1,ROUND(AE1188*tun_FissionRate,0)),0)</x:f>
        <x:v>0</x:v>
      </x:c>
      <x:c r="AE1189" s="8" t="n">
        <x:f>IF(H1189=1,MAX(1,MIN(INDEX(tun_Smax,G1189),AE1188+AD1189)),AE1188)</x:f>
        <x:v>9</x:v>
      </x:c>
      <x:c r="AF1189" s="8" t="n">
        <x:f>MAX(0,AE1189-AE1188)</x:f>
        <x:v>0</x:v>
      </x:c>
      <x:c r="AG1189" s="9" t="str">
        <x:f>IF(AF1189&gt;0,B1189,"")</x:f>
      </x:c>
      <x:c r="AH1189" s="9" t="n">
        <x:f>IF(F1189&gt;=1,1,(1+tun_LowTiesShare*(AE1189-1))/AE1189)</x:f>
        <x:v>1</x:v>
      </x:c>
      <x:c r="AI1189" s="32" t="n">
        <x:f>(Z1189+tun_ElderCommons*INDEX(LM_Elder,G1189)*AA1189)*AH1189</x:f>
        <x:v>238215.0665857503</x:v>
      </x:c>
      <x:c r="AJ1189" s="32" t="n">
        <x:f>H1189*tun_CommonsCoef*AI1189^tun_CommonsExp*INDEX(LM_Commons,G1189)</x:f>
        <x:v>0</x:v>
      </x:c>
      <x:c r="AK1189" s="32" t="n">
        <x:f>H1189*tun_RoleScale*Arch_Roles*(AE1189*(INDEX(tun_ElderRolePerSett,G1189)*tun_OutElder*INDEX(LM_Elder,G1189)+INDEX(tun_ShamanPerSett,G1189)*tun_OutShaman)+Z1189*(INDEX(tun_PriestShare,G1189)*tun_OutPriest+INDEX(tun_ScribeShare,G1189)*tun_OutScribe*INDEX(LM_Scribe,G1189)+INDEX(tun_ScholarShare,G1189)*tun_OutScholar*INDEX(LM_Scholar,G1189)+INDEX(tun_ResearcherShare,G1189)*tun_OutResearcher*INDEX(LM_Researcher,G1189)))</x:f>
        <x:v>0</x:v>
      </x:c>
      <x:c r="AL1189" s="32" t="n">
        <x:f>H1189*tun_RoleScale*Arch_Roles*AE1189*INDEX(tun_MonasteryPerSett,G1189)*tun_OutMonastery*INDEX(LM_Monastery,G1189)</x:f>
        <x:v>0</x:v>
      </x:c>
      <x:c r="AM1189" s="32" t="n">
        <x:f>(AJ1189+AK1189+AL1189)/4*INDEX(LM_All,G1189)*INDEX(tun_Boon,G1189)*Arch_Insight</x:f>
        <x:v>0</x:v>
      </x:c>
      <x:c r="AN1189" s="32" t="n">
        <x:f>H1189*(tun_KHPerAdult*Z1189+tun_KHOfCommons*AJ1189/4*INDEX(LM_All,G1189))*tun_KHUsable*Arch_KH</x:f>
        <x:v>0</x:v>
      </x:c>
      <x:c r="AO1189" s="32" t="n">
        <x:f>MIN(AP1188+AN1189,AM1189*tun_KHMaxRatio)</x:f>
        <x:v>0</x:v>
      </x:c>
      <x:c r="AP1189" s="32" t="n">
        <x:f>AP1188+AN1189-AO1189</x:f>
        <x:v>0</x:v>
      </x:c>
      <x:c r="AQ1189" s="32" t="n">
        <x:f>AM1189+AO1189</x:f>
        <x:v>0</x:v>
      </x:c>
      <x:c r="AR1189" s="10" t="n">
        <x:f>IF(H1189=1,INDEX(tun_Req,G1189),0)</x:f>
        <x:v>0</x:v>
      </x:c>
      <x:c r="AS1189" s="32" t="n">
        <x:f>IF(H1189=1,IF(E1189=1,AS1188-AR1188,AS1188)+AQ1189,0)</x:f>
        <x:v>0</x:v>
      </x:c>
      <x:c r="AT1189" s="11" t="n">
        <x:f>IF(AR1189&gt;0,MIN(1,AS1189/AR1189),1)</x:f>
        <x:v>1</x:v>
      </x:c>
      <x:c r="AU1189" s="10" t="n">
        <x:f>AB1189/INDEX(tun_RepScale,G1189)</x:f>
        <x:v>290.3368848566301</x:v>
      </x:c>
      <x:c r="AV1189" s="32" t="n">
        <x:f>AM1189*60/tun_SeasonSeconds</x:f>
        <x:v>0</x:v>
      </x:c>
    </x:row>
    <x:row r="1190">
      <x:c r="A1190" s="8" t="n">
        <x:f>A1189+1</x:f>
        <x:v>1187</x:v>
      </x:c>
      <x:c r="B1190" s="9" t="n">
        <x:f>A1190*tun_SeasonSeconds/60</x:f>
        <x:v>296.75</x:v>
      </x:c>
      <x:c r="C1190" s="9" t="n">
        <x:f>A1190/4</x:f>
        <x:v>296.75</x:v>
      </x:c>
      <x:c r="D1190" s="8" t="n">
        <x:f>IF(MOD(A1190,4)=0,1,0)</x:f>
        <x:v>0</x:v>
      </x:c>
      <x:c r="E1190" s="8" t="n">
        <x:f>IF(AND(F1189&lt;=9,AS1189&gt;=AR1189),1,0)</x:f>
        <x:v>0</x:v>
      </x:c>
      <x:c r="F1190" s="8" t="n">
        <x:f>MIN(10,F1189+E1190)</x:f>
        <x:v>10</x:v>
      </x:c>
      <x:c r="G1190" s="8" t="n">
        <x:f>MIN(F1190,9)+1</x:f>
        <x:v>10</x:v>
      </x:c>
      <x:c r="H1190" s="8" t="n">
        <x:f>IF(F1190&lt;=9,1,0)</x:f>
        <x:v>0</x:v>
      </x:c>
      <x:c r="I1190" s="9" t="n">
        <x:f>MIN(10,F1189+IF(AR1189&gt;0,MIN(1,AS1189/AR1189),1))</x:f>
        <x:v>10</x:v>
      </x:c>
      <x:c r="J1190" s="32" t="n">
        <x:f>INDEX(tun_FoodCap,G1190)*Arch_FoodCap*EXP(tun_CapsByProject*SUMPRODUCT((Cap_Point&lt;=I1190)*(Cap_Kind="Food")*Cap_Ln))</x:f>
        <x:v>18627.260449441455</x:v>
      </x:c>
      <x:c r="K1190" s="32" t="n">
        <x:f>J1190*MIN(1,tun_LeanBase*EXP(tun_CapsByProject*SUMPRODUCT((Cap_Point&lt;=I1190)*(Cap_Kind="Lean")*Cap_Ln)))</x:f>
        <x:v>18627.260449441455</x:v>
      </x:c>
      <x:c r="L1190" s="10" t="n">
        <x:f>INDEX(tun_HousingCap,G1190)*EXP(tun_CapsByProject*SUMPRODUCT((Cap_Point&lt;=I1190)*(Cap_Kind="Housing")*Cap_Ln))</x:f>
        <x:v>20528.974303173167</x:v>
      </x:c>
      <x:c r="M1190" s="10" t="n">
        <x:f>INDEX(tun_GroupCap,G1190)*tun_CohesionFactor*EXP(tun_CapsByProject*SUMPRODUCT((Cap_Point&lt;=I1190)*(Cap_Kind="Group")*Cap_Ln))</x:f>
        <x:v>1000000.000000001</x:v>
      </x:c>
      <x:c r="N1190" s="32" t="n">
        <x:f>MIN(J1190,L1190,M1190)</x:f>
        <x:v>18627.260449441455</x:v>
      </x:c>
      <x:c r="O1190" s="10" t="n">
        <x:f>AE1189*N1190</x:f>
        <x:v>167645.34404497308</x:v>
      </x:c>
      <x:c r="P1190" s="9" t="n">
        <x:f>MIN(1,(AB1189/(AE1189*IF(tun_GroupInCrowding=1,N1190,MIN(J1190,L1190))))^tun_CrowdingExp)</x:f>
        <x:v>0.4215841981292809</x:v>
      </x:c>
      <x:c r="Q1190" s="9" t="n">
        <x:f>IF(D1190=1,INDEX(tun_WinterMult,G1190),1)</x:f>
        <x:v>1</x:v>
      </x:c>
      <x:c r="R1190" s="9" t="n">
        <x:f>H1190*Z1189*tun_WomenShare*tun_BaseFertility*INDEX(tun_FertMult,G1190)*Arch_Fertility*(1-P1190)</x:f>
        <x:v>0</x:v>
      </x:c>
      <x:c r="S1190" s="9" t="n">
        <x:f>H1190*Y1189*INDEX(tun_MortChild,G1190)/4*Q1190</x:f>
        <x:v>0</x:v>
      </x:c>
      <x:c r="T1190" s="9" t="n">
        <x:f>H1190*Z1189*INDEX(tun_MortAdult,G1190)*Arch_AdultMort/4*Q1190</x:f>
        <x:v>0</x:v>
      </x:c>
      <x:c r="U1190" s="9" t="n">
        <x:f>H1190*AA1189*INDEX(tun_MortElder,G1190)/4*Q1190</x:f>
        <x:v>0</x:v>
      </x:c>
      <x:c r="V1190" s="9" t="n">
        <x:f>H1190*MAX(0,AB1189-O1190)*tun_OvercapLoss</x:f>
        <x:v>0</x:v>
      </x:c>
      <x:c r="W1190" s="9" t="n">
        <x:f>H1190*Y1189/(tun_ChildYears*4)</x:f>
        <x:v>0</x:v>
      </x:c>
      <x:c r="X1190" s="9" t="n">
        <x:f>H1190*Z1189/(tun_AdultYears*4)</x:f>
        <x:v>0</x:v>
      </x:c>
      <x:c r="Y1190" s="32" t="n">
        <x:f>Y1189+R1190-S1190-W1190-Y1189*V1190/AB1189</x:f>
        <x:v>40496.20709015643</x:v>
      </x:c>
      <x:c r="Z1190" s="32" t="n">
        <x:f>Z1189+W1190-X1190-T1190-Z1189*V1190/AB1189</x:f>
        <x:v>59141.61122890803</x:v>
      </x:c>
      <x:c r="AA1190" s="32" t="n">
        <x:f>AA1189+X1190-U1190-AA1189*V1190/AB1189</x:f>
        <x:v>45530.62410925061</x:v>
      </x:c>
      <x:c r="AB1190" s="10" t="n">
        <x:f>Y1190+Z1190+AA1190</x:f>
        <x:v>145168.44242831506</x:v>
      </x:c>
      <x:c r="AC1190" s="8" t="n">
        <x:f>IF(AND(tun_WinterTrigger=1,D1190=1,AB1189/AE1189&gt;=K1190),1,0)</x:f>
        <x:v>0</x:v>
      </x:c>
      <x:c r="AD1190" s="8" t="n">
        <x:f>H1190*IF(AND(OR(AB1189/AE1189&gt;=tun_FissionTrigger*N1190,AC1190=1),AB1189/AE1189*tun_DaughterShare&gt;=tun_MinDaughter),MAX(1,ROUND(AE1189*tun_FissionRate,0)),0)</x:f>
        <x:v>0</x:v>
      </x:c>
      <x:c r="AE1190" s="8" t="n">
        <x:f>IF(H1190=1,MAX(1,MIN(INDEX(tun_Smax,G1190),AE1189+AD1190)),AE1189)</x:f>
        <x:v>9</x:v>
      </x:c>
      <x:c r="AF1190" s="8" t="n">
        <x:f>MAX(0,AE1190-AE1189)</x:f>
        <x:v>0</x:v>
      </x:c>
      <x:c r="AG1190" s="9" t="str">
        <x:f>IF(AF1190&gt;0,B1190,"")</x:f>
      </x:c>
      <x:c r="AH1190" s="9" t="n">
        <x:f>IF(F1190&gt;=1,1,(1+tun_LowTiesShare*(AE1190-1))/AE1190)</x:f>
        <x:v>1</x:v>
      </x:c>
      <x:c r="AI1190" s="32" t="n">
        <x:f>(Z1190+tun_ElderCommons*INDEX(LM_Elder,G1190)*AA1190)*AH1190</x:f>
        <x:v>238215.0665857503</x:v>
      </x:c>
      <x:c r="AJ1190" s="32" t="n">
        <x:f>H1190*tun_CommonsCoef*AI1190^tun_CommonsExp*INDEX(LM_Commons,G1190)</x:f>
        <x:v>0</x:v>
      </x:c>
      <x:c r="AK1190" s="32" t="n">
        <x:f>H1190*tun_RoleScale*Arch_Roles*(AE1190*(INDEX(tun_ElderRolePerSett,G1190)*tun_OutElder*INDEX(LM_Elder,G1190)+INDEX(tun_ShamanPerSett,G1190)*tun_OutShaman)+Z1190*(INDEX(tun_PriestShare,G1190)*tun_OutPriest+INDEX(tun_ScribeShare,G1190)*tun_OutScribe*INDEX(LM_Scribe,G1190)+INDEX(tun_ScholarShare,G1190)*tun_OutScholar*INDEX(LM_Scholar,G1190)+INDEX(tun_ResearcherShare,G1190)*tun_OutResearcher*INDEX(LM_Researcher,G1190)))</x:f>
        <x:v>0</x:v>
      </x:c>
      <x:c r="AL1190" s="32" t="n">
        <x:f>H1190*tun_RoleScale*Arch_Roles*AE1190*INDEX(tun_MonasteryPerSett,G1190)*tun_OutMonastery*INDEX(LM_Monastery,G1190)</x:f>
        <x:v>0</x:v>
      </x:c>
      <x:c r="AM1190" s="32" t="n">
        <x:f>(AJ1190+AK1190+AL1190)/4*INDEX(LM_All,G1190)*INDEX(tun_Boon,G1190)*Arch_Insight</x:f>
        <x:v>0</x:v>
      </x:c>
      <x:c r="AN1190" s="32" t="n">
        <x:f>H1190*(tun_KHPerAdult*Z1190+tun_KHOfCommons*AJ1190/4*INDEX(LM_All,G1190))*tun_KHUsable*Arch_KH</x:f>
        <x:v>0</x:v>
      </x:c>
      <x:c r="AO1190" s="32" t="n">
        <x:f>MIN(AP1189+AN1190,AM1190*tun_KHMaxRatio)</x:f>
        <x:v>0</x:v>
      </x:c>
      <x:c r="AP1190" s="32" t="n">
        <x:f>AP1189+AN1190-AO1190</x:f>
        <x:v>0</x:v>
      </x:c>
      <x:c r="AQ1190" s="32" t="n">
        <x:f>AM1190+AO1190</x:f>
        <x:v>0</x:v>
      </x:c>
      <x:c r="AR1190" s="10" t="n">
        <x:f>IF(H1190=1,INDEX(tun_Req,G1190),0)</x:f>
        <x:v>0</x:v>
      </x:c>
      <x:c r="AS1190" s="32" t="n">
        <x:f>IF(H1190=1,IF(E1190=1,AS1189-AR1189,AS1189)+AQ1190,0)</x:f>
        <x:v>0</x:v>
      </x:c>
      <x:c r="AT1190" s="11" t="n">
        <x:f>IF(AR1190&gt;0,MIN(1,AS1190/AR1190),1)</x:f>
        <x:v>1</x:v>
      </x:c>
      <x:c r="AU1190" s="10" t="n">
        <x:f>AB1190/INDEX(tun_RepScale,G1190)</x:f>
        <x:v>290.3368848566301</x:v>
      </x:c>
      <x:c r="AV1190" s="32" t="n">
        <x:f>AM1190*60/tun_SeasonSeconds</x:f>
        <x:v>0</x:v>
      </x:c>
    </x:row>
    <x:row r="1191">
      <x:c r="A1191" s="8" t="n">
        <x:f>A1190+1</x:f>
        <x:v>1188</x:v>
      </x:c>
      <x:c r="B1191" s="9" t="n">
        <x:f>A1191*tun_SeasonSeconds/60</x:f>
        <x:v>297</x:v>
      </x:c>
      <x:c r="C1191" s="9" t="n">
        <x:f>A1191/4</x:f>
        <x:v>297</x:v>
      </x:c>
      <x:c r="D1191" s="8" t="n">
        <x:f>IF(MOD(A1191,4)=0,1,0)</x:f>
        <x:v>1</x:v>
      </x:c>
      <x:c r="E1191" s="8" t="n">
        <x:f>IF(AND(F1190&lt;=9,AS1190&gt;=AR1190),1,0)</x:f>
        <x:v>0</x:v>
      </x:c>
      <x:c r="F1191" s="8" t="n">
        <x:f>MIN(10,F1190+E1191)</x:f>
        <x:v>10</x:v>
      </x:c>
      <x:c r="G1191" s="8" t="n">
        <x:f>MIN(F1191,9)+1</x:f>
        <x:v>10</x:v>
      </x:c>
      <x:c r="H1191" s="8" t="n">
        <x:f>IF(F1191&lt;=9,1,0)</x:f>
        <x:v>0</x:v>
      </x:c>
      <x:c r="I1191" s="9" t="n">
        <x:f>MIN(10,F1190+IF(AR1190&gt;0,MIN(1,AS1190/AR1190),1))</x:f>
        <x:v>10</x:v>
      </x:c>
      <x:c r="J1191" s="32" t="n">
        <x:f>INDEX(tun_FoodCap,G1191)*Arch_FoodCap*EXP(tun_CapsByProject*SUMPRODUCT((Cap_Point&lt;=I1191)*(Cap_Kind="Food")*Cap_Ln))</x:f>
        <x:v>18627.260449441455</x:v>
      </x:c>
      <x:c r="K1191" s="32" t="n">
        <x:f>J1191*MIN(1,tun_LeanBase*EXP(tun_CapsByProject*SUMPRODUCT((Cap_Point&lt;=I1191)*(Cap_Kind="Lean")*Cap_Ln)))</x:f>
        <x:v>18627.260449441455</x:v>
      </x:c>
      <x:c r="L1191" s="10" t="n">
        <x:f>INDEX(tun_HousingCap,G1191)*EXP(tun_CapsByProject*SUMPRODUCT((Cap_Point&lt;=I1191)*(Cap_Kind="Housing")*Cap_Ln))</x:f>
        <x:v>20528.974303173167</x:v>
      </x:c>
      <x:c r="M1191" s="10" t="n">
        <x:f>INDEX(tun_GroupCap,G1191)*tun_CohesionFactor*EXP(tun_CapsByProject*SUMPRODUCT((Cap_Point&lt;=I1191)*(Cap_Kind="Group")*Cap_Ln))</x:f>
        <x:v>1000000.000000001</x:v>
      </x:c>
      <x:c r="N1191" s="32" t="n">
        <x:f>MIN(J1191,L1191,M1191)</x:f>
        <x:v>18627.260449441455</x:v>
      </x:c>
      <x:c r="O1191" s="10" t="n">
        <x:f>AE1190*N1191</x:f>
        <x:v>167645.34404497308</x:v>
      </x:c>
      <x:c r="P1191" s="9" t="n">
        <x:f>MIN(1,(AB1190/(AE1190*IF(tun_GroupInCrowding=1,N1191,MIN(J1191,L1191))))^tun_CrowdingExp)</x:f>
        <x:v>0.4215841981292809</x:v>
      </x:c>
      <x:c r="Q1191" s="9" t="n">
        <x:f>IF(D1191=1,INDEX(tun_WinterMult,G1191),1)</x:f>
        <x:v>1.05</x:v>
      </x:c>
      <x:c r="R1191" s="9" t="n">
        <x:f>H1191*Z1190*tun_WomenShare*tun_BaseFertility*INDEX(tun_FertMult,G1191)*Arch_Fertility*(1-P1191)</x:f>
        <x:v>0</x:v>
      </x:c>
      <x:c r="S1191" s="9" t="n">
        <x:f>H1191*Y1190*INDEX(tun_MortChild,G1191)/4*Q1191</x:f>
        <x:v>0</x:v>
      </x:c>
      <x:c r="T1191" s="9" t="n">
        <x:f>H1191*Z1190*INDEX(tun_MortAdult,G1191)*Arch_AdultMort/4*Q1191</x:f>
        <x:v>0</x:v>
      </x:c>
      <x:c r="U1191" s="9" t="n">
        <x:f>H1191*AA1190*INDEX(tun_MortElder,G1191)/4*Q1191</x:f>
        <x:v>0</x:v>
      </x:c>
      <x:c r="V1191" s="9" t="n">
        <x:f>H1191*MAX(0,AB1190-O1191)*tun_OvercapLoss</x:f>
        <x:v>0</x:v>
      </x:c>
      <x:c r="W1191" s="9" t="n">
        <x:f>H1191*Y1190/(tun_ChildYears*4)</x:f>
        <x:v>0</x:v>
      </x:c>
      <x:c r="X1191" s="9" t="n">
        <x:f>H1191*Z1190/(tun_AdultYears*4)</x:f>
        <x:v>0</x:v>
      </x:c>
      <x:c r="Y1191" s="32" t="n">
        <x:f>Y1190+R1191-S1191-W1191-Y1190*V1191/AB1190</x:f>
        <x:v>40496.20709015643</x:v>
      </x:c>
      <x:c r="Z1191" s="32" t="n">
        <x:f>Z1190+W1191-X1191-T1191-Z1190*V1191/AB1190</x:f>
        <x:v>59141.61122890803</x:v>
      </x:c>
      <x:c r="AA1191" s="32" t="n">
        <x:f>AA1190+X1191-U1191-AA1190*V1191/AB1190</x:f>
        <x:v>45530.62410925061</x:v>
      </x:c>
      <x:c r="AB1191" s="10" t="n">
        <x:f>Y1191+Z1191+AA1191</x:f>
        <x:v>145168.44242831506</x:v>
      </x:c>
      <x:c r="AC1191" s="8" t="n">
        <x:f>IF(AND(tun_WinterTrigger=1,D1191=1,AB1190/AE1190&gt;=K1191),1,0)</x:f>
        <x:v>0</x:v>
      </x:c>
      <x:c r="AD1191" s="8" t="n">
        <x:f>H1191*IF(AND(OR(AB1190/AE1190&gt;=tun_FissionTrigger*N1191,AC1191=1),AB1190/AE1190*tun_DaughterShare&gt;=tun_MinDaughter),MAX(1,ROUND(AE1190*tun_FissionRate,0)),0)</x:f>
        <x:v>0</x:v>
      </x:c>
      <x:c r="AE1191" s="8" t="n">
        <x:f>IF(H1191=1,MAX(1,MIN(INDEX(tun_Smax,G1191),AE1190+AD1191)),AE1190)</x:f>
        <x:v>9</x:v>
      </x:c>
      <x:c r="AF1191" s="8" t="n">
        <x:f>MAX(0,AE1191-AE1190)</x:f>
        <x:v>0</x:v>
      </x:c>
      <x:c r="AG1191" s="9" t="str">
        <x:f>IF(AF1191&gt;0,B1191,"")</x:f>
      </x:c>
      <x:c r="AH1191" s="9" t="n">
        <x:f>IF(F1191&gt;=1,1,(1+tun_LowTiesShare*(AE1191-1))/AE1191)</x:f>
        <x:v>1</x:v>
      </x:c>
      <x:c r="AI1191" s="32" t="n">
        <x:f>(Z1191+tun_ElderCommons*INDEX(LM_Elder,G1191)*AA1191)*AH1191</x:f>
        <x:v>238215.0665857503</x:v>
      </x:c>
      <x:c r="AJ1191" s="32" t="n">
        <x:f>H1191*tun_CommonsCoef*AI1191^tun_CommonsExp*INDEX(LM_Commons,G1191)</x:f>
        <x:v>0</x:v>
      </x:c>
      <x:c r="AK1191" s="32" t="n">
        <x:f>H1191*tun_RoleScale*Arch_Roles*(AE1191*(INDEX(tun_ElderRolePerSett,G1191)*tun_OutElder*INDEX(LM_Elder,G1191)+INDEX(tun_ShamanPerSett,G1191)*tun_OutShaman)+Z1191*(INDEX(tun_PriestShare,G1191)*tun_OutPriest+INDEX(tun_ScribeShare,G1191)*tun_OutScribe*INDEX(LM_Scribe,G1191)+INDEX(tun_ScholarShare,G1191)*tun_OutScholar*INDEX(LM_Scholar,G1191)+INDEX(tun_ResearcherShare,G1191)*tun_OutResearcher*INDEX(LM_Researcher,G1191)))</x:f>
        <x:v>0</x:v>
      </x:c>
      <x:c r="AL1191" s="32" t="n">
        <x:f>H1191*tun_RoleScale*Arch_Roles*AE1191*INDEX(tun_MonasteryPerSett,G1191)*tun_OutMonastery*INDEX(LM_Monastery,G1191)</x:f>
        <x:v>0</x:v>
      </x:c>
      <x:c r="AM1191" s="32" t="n">
        <x:f>(AJ1191+AK1191+AL1191)/4*INDEX(LM_All,G1191)*INDEX(tun_Boon,G1191)*Arch_Insight</x:f>
        <x:v>0</x:v>
      </x:c>
      <x:c r="AN1191" s="32" t="n">
        <x:f>H1191*(tun_KHPerAdult*Z1191+tun_KHOfCommons*AJ1191/4*INDEX(LM_All,G1191))*tun_KHUsable*Arch_KH</x:f>
        <x:v>0</x:v>
      </x:c>
      <x:c r="AO1191" s="32" t="n">
        <x:f>MIN(AP1190+AN1191,AM1191*tun_KHMaxRatio)</x:f>
        <x:v>0</x:v>
      </x:c>
      <x:c r="AP1191" s="32" t="n">
        <x:f>AP1190+AN1191-AO1191</x:f>
        <x:v>0</x:v>
      </x:c>
      <x:c r="AQ1191" s="32" t="n">
        <x:f>AM1191+AO1191</x:f>
        <x:v>0</x:v>
      </x:c>
      <x:c r="AR1191" s="10" t="n">
        <x:f>IF(H1191=1,INDEX(tun_Req,G1191),0)</x:f>
        <x:v>0</x:v>
      </x:c>
      <x:c r="AS1191" s="32" t="n">
        <x:f>IF(H1191=1,IF(E1191=1,AS1190-AR1190,AS1190)+AQ1191,0)</x:f>
        <x:v>0</x:v>
      </x:c>
      <x:c r="AT1191" s="11" t="n">
        <x:f>IF(AR1191&gt;0,MIN(1,AS1191/AR1191),1)</x:f>
        <x:v>1</x:v>
      </x:c>
      <x:c r="AU1191" s="10" t="n">
        <x:f>AB1191/INDEX(tun_RepScale,G1191)</x:f>
        <x:v>290.3368848566301</x:v>
      </x:c>
      <x:c r="AV1191" s="32" t="n">
        <x:f>AM1191*60/tun_SeasonSeconds</x:f>
        <x:v>0</x:v>
      </x:c>
    </x:row>
    <x:row r="1192">
      <x:c r="A1192" s="8" t="n">
        <x:f>A1191+1</x:f>
        <x:v>1189</x:v>
      </x:c>
      <x:c r="B1192" s="9" t="n">
        <x:f>A1192*tun_SeasonSeconds/60</x:f>
        <x:v>297.25</x:v>
      </x:c>
      <x:c r="C1192" s="9" t="n">
        <x:f>A1192/4</x:f>
        <x:v>297.25</x:v>
      </x:c>
      <x:c r="D1192" s="8" t="n">
        <x:f>IF(MOD(A1192,4)=0,1,0)</x:f>
        <x:v>0</x:v>
      </x:c>
      <x:c r="E1192" s="8" t="n">
        <x:f>IF(AND(F1191&lt;=9,AS1191&gt;=AR1191),1,0)</x:f>
        <x:v>0</x:v>
      </x:c>
      <x:c r="F1192" s="8" t="n">
        <x:f>MIN(10,F1191+E1192)</x:f>
        <x:v>10</x:v>
      </x:c>
      <x:c r="G1192" s="8" t="n">
        <x:f>MIN(F1192,9)+1</x:f>
        <x:v>10</x:v>
      </x:c>
      <x:c r="H1192" s="8" t="n">
        <x:f>IF(F1192&lt;=9,1,0)</x:f>
        <x:v>0</x:v>
      </x:c>
      <x:c r="I1192" s="9" t="n">
        <x:f>MIN(10,F1191+IF(AR1191&gt;0,MIN(1,AS1191/AR1191),1))</x:f>
        <x:v>10</x:v>
      </x:c>
      <x:c r="J1192" s="32" t="n">
        <x:f>INDEX(tun_FoodCap,G1192)*Arch_FoodCap*EXP(tun_CapsByProject*SUMPRODUCT((Cap_Point&lt;=I1192)*(Cap_Kind="Food")*Cap_Ln))</x:f>
        <x:v>18627.260449441455</x:v>
      </x:c>
      <x:c r="K1192" s="32" t="n">
        <x:f>J1192*MIN(1,tun_LeanBase*EXP(tun_CapsByProject*SUMPRODUCT((Cap_Point&lt;=I1192)*(Cap_Kind="Lean")*Cap_Ln)))</x:f>
        <x:v>18627.260449441455</x:v>
      </x:c>
      <x:c r="L1192" s="10" t="n">
        <x:f>INDEX(tun_HousingCap,G1192)*EXP(tun_CapsByProject*SUMPRODUCT((Cap_Point&lt;=I1192)*(Cap_Kind="Housing")*Cap_Ln))</x:f>
        <x:v>20528.974303173167</x:v>
      </x:c>
      <x:c r="M1192" s="10" t="n">
        <x:f>INDEX(tun_GroupCap,G1192)*tun_CohesionFactor*EXP(tun_CapsByProject*SUMPRODUCT((Cap_Point&lt;=I1192)*(Cap_Kind="Group")*Cap_Ln))</x:f>
        <x:v>1000000.000000001</x:v>
      </x:c>
      <x:c r="N1192" s="32" t="n">
        <x:f>MIN(J1192,L1192,M1192)</x:f>
        <x:v>18627.260449441455</x:v>
      </x:c>
      <x:c r="O1192" s="10" t="n">
        <x:f>AE1191*N1192</x:f>
        <x:v>167645.34404497308</x:v>
      </x:c>
      <x:c r="P1192" s="9" t="n">
        <x:f>MIN(1,(AB1191/(AE1191*IF(tun_GroupInCrowding=1,N1192,MIN(J1192,L1192))))^tun_CrowdingExp)</x:f>
        <x:v>0.4215841981292809</x:v>
      </x:c>
      <x:c r="Q1192" s="9" t="n">
        <x:f>IF(D1192=1,INDEX(tun_WinterMult,G1192),1)</x:f>
        <x:v>1</x:v>
      </x:c>
      <x:c r="R1192" s="9" t="n">
        <x:f>H1192*Z1191*tun_WomenShare*tun_BaseFertility*INDEX(tun_FertMult,G1192)*Arch_Fertility*(1-P1192)</x:f>
        <x:v>0</x:v>
      </x:c>
      <x:c r="S1192" s="9" t="n">
        <x:f>H1192*Y1191*INDEX(tun_MortChild,G1192)/4*Q1192</x:f>
        <x:v>0</x:v>
      </x:c>
      <x:c r="T1192" s="9" t="n">
        <x:f>H1192*Z1191*INDEX(tun_MortAdult,G1192)*Arch_AdultMort/4*Q1192</x:f>
        <x:v>0</x:v>
      </x:c>
      <x:c r="U1192" s="9" t="n">
        <x:f>H1192*AA1191*INDEX(tun_MortElder,G1192)/4*Q1192</x:f>
        <x:v>0</x:v>
      </x:c>
      <x:c r="V1192" s="9" t="n">
        <x:f>H1192*MAX(0,AB1191-O1192)*tun_OvercapLoss</x:f>
        <x:v>0</x:v>
      </x:c>
      <x:c r="W1192" s="9" t="n">
        <x:f>H1192*Y1191/(tun_ChildYears*4)</x:f>
        <x:v>0</x:v>
      </x:c>
      <x:c r="X1192" s="9" t="n">
        <x:f>H1192*Z1191/(tun_AdultYears*4)</x:f>
        <x:v>0</x:v>
      </x:c>
      <x:c r="Y1192" s="32" t="n">
        <x:f>Y1191+R1192-S1192-W1192-Y1191*V1192/AB1191</x:f>
        <x:v>40496.20709015643</x:v>
      </x:c>
      <x:c r="Z1192" s="32" t="n">
        <x:f>Z1191+W1192-X1192-T1192-Z1191*V1192/AB1191</x:f>
        <x:v>59141.61122890803</x:v>
      </x:c>
      <x:c r="AA1192" s="32" t="n">
        <x:f>AA1191+X1192-U1192-AA1191*V1192/AB1191</x:f>
        <x:v>45530.62410925061</x:v>
      </x:c>
      <x:c r="AB1192" s="10" t="n">
        <x:f>Y1192+Z1192+AA1192</x:f>
        <x:v>145168.44242831506</x:v>
      </x:c>
      <x:c r="AC1192" s="8" t="n">
        <x:f>IF(AND(tun_WinterTrigger=1,D1192=1,AB1191/AE1191&gt;=K1192),1,0)</x:f>
        <x:v>0</x:v>
      </x:c>
      <x:c r="AD1192" s="8" t="n">
        <x:f>H1192*IF(AND(OR(AB1191/AE1191&gt;=tun_FissionTrigger*N1192,AC1192=1),AB1191/AE1191*tun_DaughterShare&gt;=tun_MinDaughter),MAX(1,ROUND(AE1191*tun_FissionRate,0)),0)</x:f>
        <x:v>0</x:v>
      </x:c>
      <x:c r="AE1192" s="8" t="n">
        <x:f>IF(H1192=1,MAX(1,MIN(INDEX(tun_Smax,G1192),AE1191+AD1192)),AE1191)</x:f>
        <x:v>9</x:v>
      </x:c>
      <x:c r="AF1192" s="8" t="n">
        <x:f>MAX(0,AE1192-AE1191)</x:f>
        <x:v>0</x:v>
      </x:c>
      <x:c r="AG1192" s="9" t="str">
        <x:f>IF(AF1192&gt;0,B1192,"")</x:f>
      </x:c>
      <x:c r="AH1192" s="9" t="n">
        <x:f>IF(F1192&gt;=1,1,(1+tun_LowTiesShare*(AE1192-1))/AE1192)</x:f>
        <x:v>1</x:v>
      </x:c>
      <x:c r="AI1192" s="32" t="n">
        <x:f>(Z1192+tun_ElderCommons*INDEX(LM_Elder,G1192)*AA1192)*AH1192</x:f>
        <x:v>238215.0665857503</x:v>
      </x:c>
      <x:c r="AJ1192" s="32" t="n">
        <x:f>H1192*tun_CommonsCoef*AI1192^tun_CommonsExp*INDEX(LM_Commons,G1192)</x:f>
        <x:v>0</x:v>
      </x:c>
      <x:c r="AK1192" s="32" t="n">
        <x:f>H1192*tun_RoleScale*Arch_Roles*(AE1192*(INDEX(tun_ElderRolePerSett,G1192)*tun_OutElder*INDEX(LM_Elder,G1192)+INDEX(tun_ShamanPerSett,G1192)*tun_OutShaman)+Z1192*(INDEX(tun_PriestShare,G1192)*tun_OutPriest+INDEX(tun_ScribeShare,G1192)*tun_OutScribe*INDEX(LM_Scribe,G1192)+INDEX(tun_ScholarShare,G1192)*tun_OutScholar*INDEX(LM_Scholar,G1192)+INDEX(tun_ResearcherShare,G1192)*tun_OutResearcher*INDEX(LM_Researcher,G1192)))</x:f>
        <x:v>0</x:v>
      </x:c>
      <x:c r="AL1192" s="32" t="n">
        <x:f>H1192*tun_RoleScale*Arch_Roles*AE1192*INDEX(tun_MonasteryPerSett,G1192)*tun_OutMonastery*INDEX(LM_Monastery,G1192)</x:f>
        <x:v>0</x:v>
      </x:c>
      <x:c r="AM1192" s="32" t="n">
        <x:f>(AJ1192+AK1192+AL1192)/4*INDEX(LM_All,G1192)*INDEX(tun_Boon,G1192)*Arch_Insight</x:f>
        <x:v>0</x:v>
      </x:c>
      <x:c r="AN1192" s="32" t="n">
        <x:f>H1192*(tun_KHPerAdult*Z1192+tun_KHOfCommons*AJ1192/4*INDEX(LM_All,G1192))*tun_KHUsable*Arch_KH</x:f>
        <x:v>0</x:v>
      </x:c>
      <x:c r="AO1192" s="32" t="n">
        <x:f>MIN(AP1191+AN1192,AM1192*tun_KHMaxRatio)</x:f>
        <x:v>0</x:v>
      </x:c>
      <x:c r="AP1192" s="32" t="n">
        <x:f>AP1191+AN1192-AO1192</x:f>
        <x:v>0</x:v>
      </x:c>
      <x:c r="AQ1192" s="32" t="n">
        <x:f>AM1192+AO1192</x:f>
        <x:v>0</x:v>
      </x:c>
      <x:c r="AR1192" s="10" t="n">
        <x:f>IF(H1192=1,INDEX(tun_Req,G1192),0)</x:f>
        <x:v>0</x:v>
      </x:c>
      <x:c r="AS1192" s="32" t="n">
        <x:f>IF(H1192=1,IF(E1192=1,AS1191-AR1191,AS1191)+AQ1192,0)</x:f>
        <x:v>0</x:v>
      </x:c>
      <x:c r="AT1192" s="11" t="n">
        <x:f>IF(AR1192&gt;0,MIN(1,AS1192/AR1192),1)</x:f>
        <x:v>1</x:v>
      </x:c>
      <x:c r="AU1192" s="10" t="n">
        <x:f>AB1192/INDEX(tun_RepScale,G1192)</x:f>
        <x:v>290.3368848566301</x:v>
      </x:c>
      <x:c r="AV1192" s="32" t="n">
        <x:f>AM1192*60/tun_SeasonSeconds</x:f>
        <x:v>0</x:v>
      </x:c>
    </x:row>
    <x:row r="1193">
      <x:c r="A1193" s="8" t="n">
        <x:f>A1192+1</x:f>
        <x:v>1190</x:v>
      </x:c>
      <x:c r="B1193" s="9" t="n">
        <x:f>A1193*tun_SeasonSeconds/60</x:f>
        <x:v>297.5</x:v>
      </x:c>
      <x:c r="C1193" s="9" t="n">
        <x:f>A1193/4</x:f>
        <x:v>297.5</x:v>
      </x:c>
      <x:c r="D1193" s="8" t="n">
        <x:f>IF(MOD(A1193,4)=0,1,0)</x:f>
        <x:v>0</x:v>
      </x:c>
      <x:c r="E1193" s="8" t="n">
        <x:f>IF(AND(F1192&lt;=9,AS1192&gt;=AR1192),1,0)</x:f>
        <x:v>0</x:v>
      </x:c>
      <x:c r="F1193" s="8" t="n">
        <x:f>MIN(10,F1192+E1193)</x:f>
        <x:v>10</x:v>
      </x:c>
      <x:c r="G1193" s="8" t="n">
        <x:f>MIN(F1193,9)+1</x:f>
        <x:v>10</x:v>
      </x:c>
      <x:c r="H1193" s="8" t="n">
        <x:f>IF(F1193&lt;=9,1,0)</x:f>
        <x:v>0</x:v>
      </x:c>
      <x:c r="I1193" s="9" t="n">
        <x:f>MIN(10,F1192+IF(AR1192&gt;0,MIN(1,AS1192/AR1192),1))</x:f>
        <x:v>10</x:v>
      </x:c>
      <x:c r="J1193" s="32" t="n">
        <x:f>INDEX(tun_FoodCap,G1193)*Arch_FoodCap*EXP(tun_CapsByProject*SUMPRODUCT((Cap_Point&lt;=I1193)*(Cap_Kind="Food")*Cap_Ln))</x:f>
        <x:v>18627.260449441455</x:v>
      </x:c>
      <x:c r="K1193" s="32" t="n">
        <x:f>J1193*MIN(1,tun_LeanBase*EXP(tun_CapsByProject*SUMPRODUCT((Cap_Point&lt;=I1193)*(Cap_Kind="Lean")*Cap_Ln)))</x:f>
        <x:v>18627.260449441455</x:v>
      </x:c>
      <x:c r="L1193" s="10" t="n">
        <x:f>INDEX(tun_HousingCap,G1193)*EXP(tun_CapsByProject*SUMPRODUCT((Cap_Point&lt;=I1193)*(Cap_Kind="Housing")*Cap_Ln))</x:f>
        <x:v>20528.974303173167</x:v>
      </x:c>
      <x:c r="M1193" s="10" t="n">
        <x:f>INDEX(tun_GroupCap,G1193)*tun_CohesionFactor*EXP(tun_CapsByProject*SUMPRODUCT((Cap_Point&lt;=I1193)*(Cap_Kind="Group")*Cap_Ln))</x:f>
        <x:v>1000000.000000001</x:v>
      </x:c>
      <x:c r="N1193" s="32" t="n">
        <x:f>MIN(J1193,L1193,M1193)</x:f>
        <x:v>18627.260449441455</x:v>
      </x:c>
      <x:c r="O1193" s="10" t="n">
        <x:f>AE1192*N1193</x:f>
        <x:v>167645.34404497308</x:v>
      </x:c>
      <x:c r="P1193" s="9" t="n">
        <x:f>MIN(1,(AB1192/(AE1192*IF(tun_GroupInCrowding=1,N1193,MIN(J1193,L1193))))^tun_CrowdingExp)</x:f>
        <x:v>0.4215841981292809</x:v>
      </x:c>
      <x:c r="Q1193" s="9" t="n">
        <x:f>IF(D1193=1,INDEX(tun_WinterMult,G1193),1)</x:f>
        <x:v>1</x:v>
      </x:c>
      <x:c r="R1193" s="9" t="n">
        <x:f>H1193*Z1192*tun_WomenShare*tun_BaseFertility*INDEX(tun_FertMult,G1193)*Arch_Fertility*(1-P1193)</x:f>
        <x:v>0</x:v>
      </x:c>
      <x:c r="S1193" s="9" t="n">
        <x:f>H1193*Y1192*INDEX(tun_MortChild,G1193)/4*Q1193</x:f>
        <x:v>0</x:v>
      </x:c>
      <x:c r="T1193" s="9" t="n">
        <x:f>H1193*Z1192*INDEX(tun_MortAdult,G1193)*Arch_AdultMort/4*Q1193</x:f>
        <x:v>0</x:v>
      </x:c>
      <x:c r="U1193" s="9" t="n">
        <x:f>H1193*AA1192*INDEX(tun_MortElder,G1193)/4*Q1193</x:f>
        <x:v>0</x:v>
      </x:c>
      <x:c r="V1193" s="9" t="n">
        <x:f>H1193*MAX(0,AB1192-O1193)*tun_OvercapLoss</x:f>
        <x:v>0</x:v>
      </x:c>
      <x:c r="W1193" s="9" t="n">
        <x:f>H1193*Y1192/(tun_ChildYears*4)</x:f>
        <x:v>0</x:v>
      </x:c>
      <x:c r="X1193" s="9" t="n">
        <x:f>H1193*Z1192/(tun_AdultYears*4)</x:f>
        <x:v>0</x:v>
      </x:c>
      <x:c r="Y1193" s="32" t="n">
        <x:f>Y1192+R1193-S1193-W1193-Y1192*V1193/AB1192</x:f>
        <x:v>40496.20709015643</x:v>
      </x:c>
      <x:c r="Z1193" s="32" t="n">
        <x:f>Z1192+W1193-X1193-T1193-Z1192*V1193/AB1192</x:f>
        <x:v>59141.61122890803</x:v>
      </x:c>
      <x:c r="AA1193" s="32" t="n">
        <x:f>AA1192+X1193-U1193-AA1192*V1193/AB1192</x:f>
        <x:v>45530.62410925061</x:v>
      </x:c>
      <x:c r="AB1193" s="10" t="n">
        <x:f>Y1193+Z1193+AA1193</x:f>
        <x:v>145168.44242831506</x:v>
      </x:c>
      <x:c r="AC1193" s="8" t="n">
        <x:f>IF(AND(tun_WinterTrigger=1,D1193=1,AB1192/AE1192&gt;=K1193),1,0)</x:f>
        <x:v>0</x:v>
      </x:c>
      <x:c r="AD1193" s="8" t="n">
        <x:f>H1193*IF(AND(OR(AB1192/AE1192&gt;=tun_FissionTrigger*N1193,AC1193=1),AB1192/AE1192*tun_DaughterShare&gt;=tun_MinDaughter),MAX(1,ROUND(AE1192*tun_FissionRate,0)),0)</x:f>
        <x:v>0</x:v>
      </x:c>
      <x:c r="AE1193" s="8" t="n">
        <x:f>IF(H1193=1,MAX(1,MIN(INDEX(tun_Smax,G1193),AE1192+AD1193)),AE1192)</x:f>
        <x:v>9</x:v>
      </x:c>
      <x:c r="AF1193" s="8" t="n">
        <x:f>MAX(0,AE1193-AE1192)</x:f>
        <x:v>0</x:v>
      </x:c>
      <x:c r="AG1193" s="9" t="str">
        <x:f>IF(AF1193&gt;0,B1193,"")</x:f>
      </x:c>
      <x:c r="AH1193" s="9" t="n">
        <x:f>IF(F1193&gt;=1,1,(1+tun_LowTiesShare*(AE1193-1))/AE1193)</x:f>
        <x:v>1</x:v>
      </x:c>
      <x:c r="AI1193" s="32" t="n">
        <x:f>(Z1193+tun_ElderCommons*INDEX(LM_Elder,G1193)*AA1193)*AH1193</x:f>
        <x:v>238215.0665857503</x:v>
      </x:c>
      <x:c r="AJ1193" s="32" t="n">
        <x:f>H1193*tun_CommonsCoef*AI1193^tun_CommonsExp*INDEX(LM_Commons,G1193)</x:f>
        <x:v>0</x:v>
      </x:c>
      <x:c r="AK1193" s="32" t="n">
        <x:f>H1193*tun_RoleScale*Arch_Roles*(AE1193*(INDEX(tun_ElderRolePerSett,G1193)*tun_OutElder*INDEX(LM_Elder,G1193)+INDEX(tun_ShamanPerSett,G1193)*tun_OutShaman)+Z1193*(INDEX(tun_PriestShare,G1193)*tun_OutPriest+INDEX(tun_ScribeShare,G1193)*tun_OutScribe*INDEX(LM_Scribe,G1193)+INDEX(tun_ScholarShare,G1193)*tun_OutScholar*INDEX(LM_Scholar,G1193)+INDEX(tun_ResearcherShare,G1193)*tun_OutResearcher*INDEX(LM_Researcher,G1193)))</x:f>
        <x:v>0</x:v>
      </x:c>
      <x:c r="AL1193" s="32" t="n">
        <x:f>H1193*tun_RoleScale*Arch_Roles*AE1193*INDEX(tun_MonasteryPerSett,G1193)*tun_OutMonastery*INDEX(LM_Monastery,G1193)</x:f>
        <x:v>0</x:v>
      </x:c>
      <x:c r="AM1193" s="32" t="n">
        <x:f>(AJ1193+AK1193+AL1193)/4*INDEX(LM_All,G1193)*INDEX(tun_Boon,G1193)*Arch_Insight</x:f>
        <x:v>0</x:v>
      </x:c>
      <x:c r="AN1193" s="32" t="n">
        <x:f>H1193*(tun_KHPerAdult*Z1193+tun_KHOfCommons*AJ1193/4*INDEX(LM_All,G1193))*tun_KHUsable*Arch_KH</x:f>
        <x:v>0</x:v>
      </x:c>
      <x:c r="AO1193" s="32" t="n">
        <x:f>MIN(AP1192+AN1193,AM1193*tun_KHMaxRatio)</x:f>
        <x:v>0</x:v>
      </x:c>
      <x:c r="AP1193" s="32" t="n">
        <x:f>AP1192+AN1193-AO1193</x:f>
        <x:v>0</x:v>
      </x:c>
      <x:c r="AQ1193" s="32" t="n">
        <x:f>AM1193+AO1193</x:f>
        <x:v>0</x:v>
      </x:c>
      <x:c r="AR1193" s="10" t="n">
        <x:f>IF(H1193=1,INDEX(tun_Req,G1193),0)</x:f>
        <x:v>0</x:v>
      </x:c>
      <x:c r="AS1193" s="32" t="n">
        <x:f>IF(H1193=1,IF(E1193=1,AS1192-AR1192,AS1192)+AQ1193,0)</x:f>
        <x:v>0</x:v>
      </x:c>
      <x:c r="AT1193" s="11" t="n">
        <x:f>IF(AR1193&gt;0,MIN(1,AS1193/AR1193),1)</x:f>
        <x:v>1</x:v>
      </x:c>
      <x:c r="AU1193" s="10" t="n">
        <x:f>AB1193/INDEX(tun_RepScale,G1193)</x:f>
        <x:v>290.3368848566301</x:v>
      </x:c>
      <x:c r="AV1193" s="32" t="n">
        <x:f>AM1193*60/tun_SeasonSeconds</x:f>
        <x:v>0</x:v>
      </x:c>
    </x:row>
    <x:row r="1194">
      <x:c r="A1194" s="8" t="n">
        <x:f>A1193+1</x:f>
        <x:v>1191</x:v>
      </x:c>
      <x:c r="B1194" s="9" t="n">
        <x:f>A1194*tun_SeasonSeconds/60</x:f>
        <x:v>297.75</x:v>
      </x:c>
      <x:c r="C1194" s="9" t="n">
        <x:f>A1194/4</x:f>
        <x:v>297.75</x:v>
      </x:c>
      <x:c r="D1194" s="8" t="n">
        <x:f>IF(MOD(A1194,4)=0,1,0)</x:f>
        <x:v>0</x:v>
      </x:c>
      <x:c r="E1194" s="8" t="n">
        <x:f>IF(AND(F1193&lt;=9,AS1193&gt;=AR1193),1,0)</x:f>
        <x:v>0</x:v>
      </x:c>
      <x:c r="F1194" s="8" t="n">
        <x:f>MIN(10,F1193+E1194)</x:f>
        <x:v>10</x:v>
      </x:c>
      <x:c r="G1194" s="8" t="n">
        <x:f>MIN(F1194,9)+1</x:f>
        <x:v>10</x:v>
      </x:c>
      <x:c r="H1194" s="8" t="n">
        <x:f>IF(F1194&lt;=9,1,0)</x:f>
        <x:v>0</x:v>
      </x:c>
      <x:c r="I1194" s="9" t="n">
        <x:f>MIN(10,F1193+IF(AR1193&gt;0,MIN(1,AS1193/AR1193),1))</x:f>
        <x:v>10</x:v>
      </x:c>
      <x:c r="J1194" s="32" t="n">
        <x:f>INDEX(tun_FoodCap,G1194)*Arch_FoodCap*EXP(tun_CapsByProject*SUMPRODUCT((Cap_Point&lt;=I1194)*(Cap_Kind="Food")*Cap_Ln))</x:f>
        <x:v>18627.260449441455</x:v>
      </x:c>
      <x:c r="K1194" s="32" t="n">
        <x:f>J1194*MIN(1,tun_LeanBase*EXP(tun_CapsByProject*SUMPRODUCT((Cap_Point&lt;=I1194)*(Cap_Kind="Lean")*Cap_Ln)))</x:f>
        <x:v>18627.260449441455</x:v>
      </x:c>
      <x:c r="L1194" s="10" t="n">
        <x:f>INDEX(tun_HousingCap,G1194)*EXP(tun_CapsByProject*SUMPRODUCT((Cap_Point&lt;=I1194)*(Cap_Kind="Housing")*Cap_Ln))</x:f>
        <x:v>20528.974303173167</x:v>
      </x:c>
      <x:c r="M1194" s="10" t="n">
        <x:f>INDEX(tun_GroupCap,G1194)*tun_CohesionFactor*EXP(tun_CapsByProject*SUMPRODUCT((Cap_Point&lt;=I1194)*(Cap_Kind="Group")*Cap_Ln))</x:f>
        <x:v>1000000.000000001</x:v>
      </x:c>
      <x:c r="N1194" s="32" t="n">
        <x:f>MIN(J1194,L1194,M1194)</x:f>
        <x:v>18627.260449441455</x:v>
      </x:c>
      <x:c r="O1194" s="10" t="n">
        <x:f>AE1193*N1194</x:f>
        <x:v>167645.34404497308</x:v>
      </x:c>
      <x:c r="P1194" s="9" t="n">
        <x:f>MIN(1,(AB1193/(AE1193*IF(tun_GroupInCrowding=1,N1194,MIN(J1194,L1194))))^tun_CrowdingExp)</x:f>
        <x:v>0.4215841981292809</x:v>
      </x:c>
      <x:c r="Q1194" s="9" t="n">
        <x:f>IF(D1194=1,INDEX(tun_WinterMult,G1194),1)</x:f>
        <x:v>1</x:v>
      </x:c>
      <x:c r="R1194" s="9" t="n">
        <x:f>H1194*Z1193*tun_WomenShare*tun_BaseFertility*INDEX(tun_FertMult,G1194)*Arch_Fertility*(1-P1194)</x:f>
        <x:v>0</x:v>
      </x:c>
      <x:c r="S1194" s="9" t="n">
        <x:f>H1194*Y1193*INDEX(tun_MortChild,G1194)/4*Q1194</x:f>
        <x:v>0</x:v>
      </x:c>
      <x:c r="T1194" s="9" t="n">
        <x:f>H1194*Z1193*INDEX(tun_MortAdult,G1194)*Arch_AdultMort/4*Q1194</x:f>
        <x:v>0</x:v>
      </x:c>
      <x:c r="U1194" s="9" t="n">
        <x:f>H1194*AA1193*INDEX(tun_MortElder,G1194)/4*Q1194</x:f>
        <x:v>0</x:v>
      </x:c>
      <x:c r="V1194" s="9" t="n">
        <x:f>H1194*MAX(0,AB1193-O1194)*tun_OvercapLoss</x:f>
        <x:v>0</x:v>
      </x:c>
      <x:c r="W1194" s="9" t="n">
        <x:f>H1194*Y1193/(tun_ChildYears*4)</x:f>
        <x:v>0</x:v>
      </x:c>
      <x:c r="X1194" s="9" t="n">
        <x:f>H1194*Z1193/(tun_AdultYears*4)</x:f>
        <x:v>0</x:v>
      </x:c>
      <x:c r="Y1194" s="32" t="n">
        <x:f>Y1193+R1194-S1194-W1194-Y1193*V1194/AB1193</x:f>
        <x:v>40496.20709015643</x:v>
      </x:c>
      <x:c r="Z1194" s="32" t="n">
        <x:f>Z1193+W1194-X1194-T1194-Z1193*V1194/AB1193</x:f>
        <x:v>59141.61122890803</x:v>
      </x:c>
      <x:c r="AA1194" s="32" t="n">
        <x:f>AA1193+X1194-U1194-AA1193*V1194/AB1193</x:f>
        <x:v>45530.62410925061</x:v>
      </x:c>
      <x:c r="AB1194" s="10" t="n">
        <x:f>Y1194+Z1194+AA1194</x:f>
        <x:v>145168.44242831506</x:v>
      </x:c>
      <x:c r="AC1194" s="8" t="n">
        <x:f>IF(AND(tun_WinterTrigger=1,D1194=1,AB1193/AE1193&gt;=K1194),1,0)</x:f>
        <x:v>0</x:v>
      </x:c>
      <x:c r="AD1194" s="8" t="n">
        <x:f>H1194*IF(AND(OR(AB1193/AE1193&gt;=tun_FissionTrigger*N1194,AC1194=1),AB1193/AE1193*tun_DaughterShare&gt;=tun_MinDaughter),MAX(1,ROUND(AE1193*tun_FissionRate,0)),0)</x:f>
        <x:v>0</x:v>
      </x:c>
      <x:c r="AE1194" s="8" t="n">
        <x:f>IF(H1194=1,MAX(1,MIN(INDEX(tun_Smax,G1194),AE1193+AD1194)),AE1193)</x:f>
        <x:v>9</x:v>
      </x:c>
      <x:c r="AF1194" s="8" t="n">
        <x:f>MAX(0,AE1194-AE1193)</x:f>
        <x:v>0</x:v>
      </x:c>
      <x:c r="AG1194" s="9" t="str">
        <x:f>IF(AF1194&gt;0,B1194,"")</x:f>
      </x:c>
      <x:c r="AH1194" s="9" t="n">
        <x:f>IF(F1194&gt;=1,1,(1+tun_LowTiesShare*(AE1194-1))/AE1194)</x:f>
        <x:v>1</x:v>
      </x:c>
      <x:c r="AI1194" s="32" t="n">
        <x:f>(Z1194+tun_ElderCommons*INDEX(LM_Elder,G1194)*AA1194)*AH1194</x:f>
        <x:v>238215.0665857503</x:v>
      </x:c>
      <x:c r="AJ1194" s="32" t="n">
        <x:f>H1194*tun_CommonsCoef*AI1194^tun_CommonsExp*INDEX(LM_Commons,G1194)</x:f>
        <x:v>0</x:v>
      </x:c>
      <x:c r="AK1194" s="32" t="n">
        <x:f>H1194*tun_RoleScale*Arch_Roles*(AE1194*(INDEX(tun_ElderRolePerSett,G1194)*tun_OutElder*INDEX(LM_Elder,G1194)+INDEX(tun_ShamanPerSett,G1194)*tun_OutShaman)+Z1194*(INDEX(tun_PriestShare,G1194)*tun_OutPriest+INDEX(tun_ScribeShare,G1194)*tun_OutScribe*INDEX(LM_Scribe,G1194)+INDEX(tun_ScholarShare,G1194)*tun_OutScholar*INDEX(LM_Scholar,G1194)+INDEX(tun_ResearcherShare,G1194)*tun_OutResearcher*INDEX(LM_Researcher,G1194)))</x:f>
        <x:v>0</x:v>
      </x:c>
      <x:c r="AL1194" s="32" t="n">
        <x:f>H1194*tun_RoleScale*Arch_Roles*AE1194*INDEX(tun_MonasteryPerSett,G1194)*tun_OutMonastery*INDEX(LM_Monastery,G1194)</x:f>
        <x:v>0</x:v>
      </x:c>
      <x:c r="AM1194" s="32" t="n">
        <x:f>(AJ1194+AK1194+AL1194)/4*INDEX(LM_All,G1194)*INDEX(tun_Boon,G1194)*Arch_Insight</x:f>
        <x:v>0</x:v>
      </x:c>
      <x:c r="AN1194" s="32" t="n">
        <x:f>H1194*(tun_KHPerAdult*Z1194+tun_KHOfCommons*AJ1194/4*INDEX(LM_All,G1194))*tun_KHUsable*Arch_KH</x:f>
        <x:v>0</x:v>
      </x:c>
      <x:c r="AO1194" s="32" t="n">
        <x:f>MIN(AP1193+AN1194,AM1194*tun_KHMaxRatio)</x:f>
        <x:v>0</x:v>
      </x:c>
      <x:c r="AP1194" s="32" t="n">
        <x:f>AP1193+AN1194-AO1194</x:f>
        <x:v>0</x:v>
      </x:c>
      <x:c r="AQ1194" s="32" t="n">
        <x:f>AM1194+AO1194</x:f>
        <x:v>0</x:v>
      </x:c>
      <x:c r="AR1194" s="10" t="n">
        <x:f>IF(H1194=1,INDEX(tun_Req,G1194),0)</x:f>
        <x:v>0</x:v>
      </x:c>
      <x:c r="AS1194" s="32" t="n">
        <x:f>IF(H1194=1,IF(E1194=1,AS1193-AR1193,AS1193)+AQ1194,0)</x:f>
        <x:v>0</x:v>
      </x:c>
      <x:c r="AT1194" s="11" t="n">
        <x:f>IF(AR1194&gt;0,MIN(1,AS1194/AR1194),1)</x:f>
        <x:v>1</x:v>
      </x:c>
      <x:c r="AU1194" s="10" t="n">
        <x:f>AB1194/INDEX(tun_RepScale,G1194)</x:f>
        <x:v>290.3368848566301</x:v>
      </x:c>
      <x:c r="AV1194" s="32" t="n">
        <x:f>AM1194*60/tun_SeasonSeconds</x:f>
        <x:v>0</x:v>
      </x:c>
    </x:row>
    <x:row r="1195">
      <x:c r="A1195" s="8" t="n">
        <x:f>A1194+1</x:f>
        <x:v>1192</x:v>
      </x:c>
      <x:c r="B1195" s="9" t="n">
        <x:f>A1195*tun_SeasonSeconds/60</x:f>
        <x:v>298</x:v>
      </x:c>
      <x:c r="C1195" s="9" t="n">
        <x:f>A1195/4</x:f>
        <x:v>298</x:v>
      </x:c>
      <x:c r="D1195" s="8" t="n">
        <x:f>IF(MOD(A1195,4)=0,1,0)</x:f>
        <x:v>1</x:v>
      </x:c>
      <x:c r="E1195" s="8" t="n">
        <x:f>IF(AND(F1194&lt;=9,AS1194&gt;=AR1194),1,0)</x:f>
        <x:v>0</x:v>
      </x:c>
      <x:c r="F1195" s="8" t="n">
        <x:f>MIN(10,F1194+E1195)</x:f>
        <x:v>10</x:v>
      </x:c>
      <x:c r="G1195" s="8" t="n">
        <x:f>MIN(F1195,9)+1</x:f>
        <x:v>10</x:v>
      </x:c>
      <x:c r="H1195" s="8" t="n">
        <x:f>IF(F1195&lt;=9,1,0)</x:f>
        <x:v>0</x:v>
      </x:c>
      <x:c r="I1195" s="9" t="n">
        <x:f>MIN(10,F1194+IF(AR1194&gt;0,MIN(1,AS1194/AR1194),1))</x:f>
        <x:v>10</x:v>
      </x:c>
      <x:c r="J1195" s="32" t="n">
        <x:f>INDEX(tun_FoodCap,G1195)*Arch_FoodCap*EXP(tun_CapsByProject*SUMPRODUCT((Cap_Point&lt;=I1195)*(Cap_Kind="Food")*Cap_Ln))</x:f>
        <x:v>18627.260449441455</x:v>
      </x:c>
      <x:c r="K1195" s="32" t="n">
        <x:f>J1195*MIN(1,tun_LeanBase*EXP(tun_CapsByProject*SUMPRODUCT((Cap_Point&lt;=I1195)*(Cap_Kind="Lean")*Cap_Ln)))</x:f>
        <x:v>18627.260449441455</x:v>
      </x:c>
      <x:c r="L1195" s="10" t="n">
        <x:f>INDEX(tun_HousingCap,G1195)*EXP(tun_CapsByProject*SUMPRODUCT((Cap_Point&lt;=I1195)*(Cap_Kind="Housing")*Cap_Ln))</x:f>
        <x:v>20528.974303173167</x:v>
      </x:c>
      <x:c r="M1195" s="10" t="n">
        <x:f>INDEX(tun_GroupCap,G1195)*tun_CohesionFactor*EXP(tun_CapsByProject*SUMPRODUCT((Cap_Point&lt;=I1195)*(Cap_Kind="Group")*Cap_Ln))</x:f>
        <x:v>1000000.000000001</x:v>
      </x:c>
      <x:c r="N1195" s="32" t="n">
        <x:f>MIN(J1195,L1195,M1195)</x:f>
        <x:v>18627.260449441455</x:v>
      </x:c>
      <x:c r="O1195" s="10" t="n">
        <x:f>AE1194*N1195</x:f>
        <x:v>167645.34404497308</x:v>
      </x:c>
      <x:c r="P1195" s="9" t="n">
        <x:f>MIN(1,(AB1194/(AE1194*IF(tun_GroupInCrowding=1,N1195,MIN(J1195,L1195))))^tun_CrowdingExp)</x:f>
        <x:v>0.4215841981292809</x:v>
      </x:c>
      <x:c r="Q1195" s="9" t="n">
        <x:f>IF(D1195=1,INDEX(tun_WinterMult,G1195),1)</x:f>
        <x:v>1.05</x:v>
      </x:c>
      <x:c r="R1195" s="9" t="n">
        <x:f>H1195*Z1194*tun_WomenShare*tun_BaseFertility*INDEX(tun_FertMult,G1195)*Arch_Fertility*(1-P1195)</x:f>
        <x:v>0</x:v>
      </x:c>
      <x:c r="S1195" s="9" t="n">
        <x:f>H1195*Y1194*INDEX(tun_MortChild,G1195)/4*Q1195</x:f>
        <x:v>0</x:v>
      </x:c>
      <x:c r="T1195" s="9" t="n">
        <x:f>H1195*Z1194*INDEX(tun_MortAdult,G1195)*Arch_AdultMort/4*Q1195</x:f>
        <x:v>0</x:v>
      </x:c>
      <x:c r="U1195" s="9" t="n">
        <x:f>H1195*AA1194*INDEX(tun_MortElder,G1195)/4*Q1195</x:f>
        <x:v>0</x:v>
      </x:c>
      <x:c r="V1195" s="9" t="n">
        <x:f>H1195*MAX(0,AB1194-O1195)*tun_OvercapLoss</x:f>
        <x:v>0</x:v>
      </x:c>
      <x:c r="W1195" s="9" t="n">
        <x:f>H1195*Y1194/(tun_ChildYears*4)</x:f>
        <x:v>0</x:v>
      </x:c>
      <x:c r="X1195" s="9" t="n">
        <x:f>H1195*Z1194/(tun_AdultYears*4)</x:f>
        <x:v>0</x:v>
      </x:c>
      <x:c r="Y1195" s="32" t="n">
        <x:f>Y1194+R1195-S1195-W1195-Y1194*V1195/AB1194</x:f>
        <x:v>40496.20709015643</x:v>
      </x:c>
      <x:c r="Z1195" s="32" t="n">
        <x:f>Z1194+W1195-X1195-T1195-Z1194*V1195/AB1194</x:f>
        <x:v>59141.61122890803</x:v>
      </x:c>
      <x:c r="AA1195" s="32" t="n">
        <x:f>AA1194+X1195-U1195-AA1194*V1195/AB1194</x:f>
        <x:v>45530.62410925061</x:v>
      </x:c>
      <x:c r="AB1195" s="10" t="n">
        <x:f>Y1195+Z1195+AA1195</x:f>
        <x:v>145168.44242831506</x:v>
      </x:c>
      <x:c r="AC1195" s="8" t="n">
        <x:f>IF(AND(tun_WinterTrigger=1,D1195=1,AB1194/AE1194&gt;=K1195),1,0)</x:f>
        <x:v>0</x:v>
      </x:c>
      <x:c r="AD1195" s="8" t="n">
        <x:f>H1195*IF(AND(OR(AB1194/AE1194&gt;=tun_FissionTrigger*N1195,AC1195=1),AB1194/AE1194*tun_DaughterShare&gt;=tun_MinDaughter),MAX(1,ROUND(AE1194*tun_FissionRate,0)),0)</x:f>
        <x:v>0</x:v>
      </x:c>
      <x:c r="AE1195" s="8" t="n">
        <x:f>IF(H1195=1,MAX(1,MIN(INDEX(tun_Smax,G1195),AE1194+AD1195)),AE1194)</x:f>
        <x:v>9</x:v>
      </x:c>
      <x:c r="AF1195" s="8" t="n">
        <x:f>MAX(0,AE1195-AE1194)</x:f>
        <x:v>0</x:v>
      </x:c>
      <x:c r="AG1195" s="9" t="str">
        <x:f>IF(AF1195&gt;0,B1195,"")</x:f>
      </x:c>
      <x:c r="AH1195" s="9" t="n">
        <x:f>IF(F1195&gt;=1,1,(1+tun_LowTiesShare*(AE1195-1))/AE1195)</x:f>
        <x:v>1</x:v>
      </x:c>
      <x:c r="AI1195" s="32" t="n">
        <x:f>(Z1195+tun_ElderCommons*INDEX(LM_Elder,G1195)*AA1195)*AH1195</x:f>
        <x:v>238215.0665857503</x:v>
      </x:c>
      <x:c r="AJ1195" s="32" t="n">
        <x:f>H1195*tun_CommonsCoef*AI1195^tun_CommonsExp*INDEX(LM_Commons,G1195)</x:f>
        <x:v>0</x:v>
      </x:c>
      <x:c r="AK1195" s="32" t="n">
        <x:f>H1195*tun_RoleScale*Arch_Roles*(AE1195*(INDEX(tun_ElderRolePerSett,G1195)*tun_OutElder*INDEX(LM_Elder,G1195)+INDEX(tun_ShamanPerSett,G1195)*tun_OutShaman)+Z1195*(INDEX(tun_PriestShare,G1195)*tun_OutPriest+INDEX(tun_ScribeShare,G1195)*tun_OutScribe*INDEX(LM_Scribe,G1195)+INDEX(tun_ScholarShare,G1195)*tun_OutScholar*INDEX(LM_Scholar,G1195)+INDEX(tun_ResearcherShare,G1195)*tun_OutResearcher*INDEX(LM_Researcher,G1195)))</x:f>
        <x:v>0</x:v>
      </x:c>
      <x:c r="AL1195" s="32" t="n">
        <x:f>H1195*tun_RoleScale*Arch_Roles*AE1195*INDEX(tun_MonasteryPerSett,G1195)*tun_OutMonastery*INDEX(LM_Monastery,G1195)</x:f>
        <x:v>0</x:v>
      </x:c>
      <x:c r="AM1195" s="32" t="n">
        <x:f>(AJ1195+AK1195+AL1195)/4*INDEX(LM_All,G1195)*INDEX(tun_Boon,G1195)*Arch_Insight</x:f>
        <x:v>0</x:v>
      </x:c>
      <x:c r="AN1195" s="32" t="n">
        <x:f>H1195*(tun_KHPerAdult*Z1195+tun_KHOfCommons*AJ1195/4*INDEX(LM_All,G1195))*tun_KHUsable*Arch_KH</x:f>
        <x:v>0</x:v>
      </x:c>
      <x:c r="AO1195" s="32" t="n">
        <x:f>MIN(AP1194+AN1195,AM1195*tun_KHMaxRatio)</x:f>
        <x:v>0</x:v>
      </x:c>
      <x:c r="AP1195" s="32" t="n">
        <x:f>AP1194+AN1195-AO1195</x:f>
        <x:v>0</x:v>
      </x:c>
      <x:c r="AQ1195" s="32" t="n">
        <x:f>AM1195+AO1195</x:f>
        <x:v>0</x:v>
      </x:c>
      <x:c r="AR1195" s="10" t="n">
        <x:f>IF(H1195=1,INDEX(tun_Req,G1195),0)</x:f>
        <x:v>0</x:v>
      </x:c>
      <x:c r="AS1195" s="32" t="n">
        <x:f>IF(H1195=1,IF(E1195=1,AS1194-AR1194,AS1194)+AQ1195,0)</x:f>
        <x:v>0</x:v>
      </x:c>
      <x:c r="AT1195" s="11" t="n">
        <x:f>IF(AR1195&gt;0,MIN(1,AS1195/AR1195),1)</x:f>
        <x:v>1</x:v>
      </x:c>
      <x:c r="AU1195" s="10" t="n">
        <x:f>AB1195/INDEX(tun_RepScale,G1195)</x:f>
        <x:v>290.3368848566301</x:v>
      </x:c>
      <x:c r="AV1195" s="32" t="n">
        <x:f>AM1195*60/tun_SeasonSeconds</x:f>
        <x:v>0</x:v>
      </x:c>
    </x:row>
    <x:row r="1196">
      <x:c r="A1196" s="8" t="n">
        <x:f>A1195+1</x:f>
        <x:v>1193</x:v>
      </x:c>
      <x:c r="B1196" s="9" t="n">
        <x:f>A1196*tun_SeasonSeconds/60</x:f>
        <x:v>298.25</x:v>
      </x:c>
      <x:c r="C1196" s="9" t="n">
        <x:f>A1196/4</x:f>
        <x:v>298.25</x:v>
      </x:c>
      <x:c r="D1196" s="8" t="n">
        <x:f>IF(MOD(A1196,4)=0,1,0)</x:f>
        <x:v>0</x:v>
      </x:c>
      <x:c r="E1196" s="8" t="n">
        <x:f>IF(AND(F1195&lt;=9,AS1195&gt;=AR1195),1,0)</x:f>
        <x:v>0</x:v>
      </x:c>
      <x:c r="F1196" s="8" t="n">
        <x:f>MIN(10,F1195+E1196)</x:f>
        <x:v>10</x:v>
      </x:c>
      <x:c r="G1196" s="8" t="n">
        <x:f>MIN(F1196,9)+1</x:f>
        <x:v>10</x:v>
      </x:c>
      <x:c r="H1196" s="8" t="n">
        <x:f>IF(F1196&lt;=9,1,0)</x:f>
        <x:v>0</x:v>
      </x:c>
      <x:c r="I1196" s="9" t="n">
        <x:f>MIN(10,F1195+IF(AR1195&gt;0,MIN(1,AS1195/AR1195),1))</x:f>
        <x:v>10</x:v>
      </x:c>
      <x:c r="J1196" s="32" t="n">
        <x:f>INDEX(tun_FoodCap,G1196)*Arch_FoodCap*EXP(tun_CapsByProject*SUMPRODUCT((Cap_Point&lt;=I1196)*(Cap_Kind="Food")*Cap_Ln))</x:f>
        <x:v>18627.260449441455</x:v>
      </x:c>
      <x:c r="K1196" s="32" t="n">
        <x:f>J1196*MIN(1,tun_LeanBase*EXP(tun_CapsByProject*SUMPRODUCT((Cap_Point&lt;=I1196)*(Cap_Kind="Lean")*Cap_Ln)))</x:f>
        <x:v>18627.260449441455</x:v>
      </x:c>
      <x:c r="L1196" s="10" t="n">
        <x:f>INDEX(tun_HousingCap,G1196)*EXP(tun_CapsByProject*SUMPRODUCT((Cap_Point&lt;=I1196)*(Cap_Kind="Housing")*Cap_Ln))</x:f>
        <x:v>20528.974303173167</x:v>
      </x:c>
      <x:c r="M1196" s="10" t="n">
        <x:f>INDEX(tun_GroupCap,G1196)*tun_CohesionFactor*EXP(tun_CapsByProject*SUMPRODUCT((Cap_Point&lt;=I1196)*(Cap_Kind="Group")*Cap_Ln))</x:f>
        <x:v>1000000.000000001</x:v>
      </x:c>
      <x:c r="N1196" s="32" t="n">
        <x:f>MIN(J1196,L1196,M1196)</x:f>
        <x:v>18627.260449441455</x:v>
      </x:c>
      <x:c r="O1196" s="10" t="n">
        <x:f>AE1195*N1196</x:f>
        <x:v>167645.34404497308</x:v>
      </x:c>
      <x:c r="P1196" s="9" t="n">
        <x:f>MIN(1,(AB1195/(AE1195*IF(tun_GroupInCrowding=1,N1196,MIN(J1196,L1196))))^tun_CrowdingExp)</x:f>
        <x:v>0.4215841981292809</x:v>
      </x:c>
      <x:c r="Q1196" s="9" t="n">
        <x:f>IF(D1196=1,INDEX(tun_WinterMult,G1196),1)</x:f>
        <x:v>1</x:v>
      </x:c>
      <x:c r="R1196" s="9" t="n">
        <x:f>H1196*Z1195*tun_WomenShare*tun_BaseFertility*INDEX(tun_FertMult,G1196)*Arch_Fertility*(1-P1196)</x:f>
        <x:v>0</x:v>
      </x:c>
      <x:c r="S1196" s="9" t="n">
        <x:f>H1196*Y1195*INDEX(tun_MortChild,G1196)/4*Q1196</x:f>
        <x:v>0</x:v>
      </x:c>
      <x:c r="T1196" s="9" t="n">
        <x:f>H1196*Z1195*INDEX(tun_MortAdult,G1196)*Arch_AdultMort/4*Q1196</x:f>
        <x:v>0</x:v>
      </x:c>
      <x:c r="U1196" s="9" t="n">
        <x:f>H1196*AA1195*INDEX(tun_MortElder,G1196)/4*Q1196</x:f>
        <x:v>0</x:v>
      </x:c>
      <x:c r="V1196" s="9" t="n">
        <x:f>H1196*MAX(0,AB1195-O1196)*tun_OvercapLoss</x:f>
        <x:v>0</x:v>
      </x:c>
      <x:c r="W1196" s="9" t="n">
        <x:f>H1196*Y1195/(tun_ChildYears*4)</x:f>
        <x:v>0</x:v>
      </x:c>
      <x:c r="X1196" s="9" t="n">
        <x:f>H1196*Z1195/(tun_AdultYears*4)</x:f>
        <x:v>0</x:v>
      </x:c>
      <x:c r="Y1196" s="32" t="n">
        <x:f>Y1195+R1196-S1196-W1196-Y1195*V1196/AB1195</x:f>
        <x:v>40496.20709015643</x:v>
      </x:c>
      <x:c r="Z1196" s="32" t="n">
        <x:f>Z1195+W1196-X1196-T1196-Z1195*V1196/AB1195</x:f>
        <x:v>59141.61122890803</x:v>
      </x:c>
      <x:c r="AA1196" s="32" t="n">
        <x:f>AA1195+X1196-U1196-AA1195*V1196/AB1195</x:f>
        <x:v>45530.62410925061</x:v>
      </x:c>
      <x:c r="AB1196" s="10" t="n">
        <x:f>Y1196+Z1196+AA1196</x:f>
        <x:v>145168.44242831506</x:v>
      </x:c>
      <x:c r="AC1196" s="8" t="n">
        <x:f>IF(AND(tun_WinterTrigger=1,D1196=1,AB1195/AE1195&gt;=K1196),1,0)</x:f>
        <x:v>0</x:v>
      </x:c>
      <x:c r="AD1196" s="8" t="n">
        <x:f>H1196*IF(AND(OR(AB1195/AE1195&gt;=tun_FissionTrigger*N1196,AC1196=1),AB1195/AE1195*tun_DaughterShare&gt;=tun_MinDaughter),MAX(1,ROUND(AE1195*tun_FissionRate,0)),0)</x:f>
        <x:v>0</x:v>
      </x:c>
      <x:c r="AE1196" s="8" t="n">
        <x:f>IF(H1196=1,MAX(1,MIN(INDEX(tun_Smax,G1196),AE1195+AD1196)),AE1195)</x:f>
        <x:v>9</x:v>
      </x:c>
      <x:c r="AF1196" s="8" t="n">
        <x:f>MAX(0,AE1196-AE1195)</x:f>
        <x:v>0</x:v>
      </x:c>
      <x:c r="AG1196" s="9" t="str">
        <x:f>IF(AF1196&gt;0,B1196,"")</x:f>
      </x:c>
      <x:c r="AH1196" s="9" t="n">
        <x:f>IF(F1196&gt;=1,1,(1+tun_LowTiesShare*(AE1196-1))/AE1196)</x:f>
        <x:v>1</x:v>
      </x:c>
      <x:c r="AI1196" s="32" t="n">
        <x:f>(Z1196+tun_ElderCommons*INDEX(LM_Elder,G1196)*AA1196)*AH1196</x:f>
        <x:v>238215.0665857503</x:v>
      </x:c>
      <x:c r="AJ1196" s="32" t="n">
        <x:f>H1196*tun_CommonsCoef*AI1196^tun_CommonsExp*INDEX(LM_Commons,G1196)</x:f>
        <x:v>0</x:v>
      </x:c>
      <x:c r="AK1196" s="32" t="n">
        <x:f>H1196*tun_RoleScale*Arch_Roles*(AE1196*(INDEX(tun_ElderRolePerSett,G1196)*tun_OutElder*INDEX(LM_Elder,G1196)+INDEX(tun_ShamanPerSett,G1196)*tun_OutShaman)+Z1196*(INDEX(tun_PriestShare,G1196)*tun_OutPriest+INDEX(tun_ScribeShare,G1196)*tun_OutScribe*INDEX(LM_Scribe,G1196)+INDEX(tun_ScholarShare,G1196)*tun_OutScholar*INDEX(LM_Scholar,G1196)+INDEX(tun_ResearcherShare,G1196)*tun_OutResearcher*INDEX(LM_Researcher,G1196)))</x:f>
        <x:v>0</x:v>
      </x:c>
      <x:c r="AL1196" s="32" t="n">
        <x:f>H1196*tun_RoleScale*Arch_Roles*AE1196*INDEX(tun_MonasteryPerSett,G1196)*tun_OutMonastery*INDEX(LM_Monastery,G1196)</x:f>
        <x:v>0</x:v>
      </x:c>
      <x:c r="AM1196" s="32" t="n">
        <x:f>(AJ1196+AK1196+AL1196)/4*INDEX(LM_All,G1196)*INDEX(tun_Boon,G1196)*Arch_Insight</x:f>
        <x:v>0</x:v>
      </x:c>
      <x:c r="AN1196" s="32" t="n">
        <x:f>H1196*(tun_KHPerAdult*Z1196+tun_KHOfCommons*AJ1196/4*INDEX(LM_All,G1196))*tun_KHUsable*Arch_KH</x:f>
        <x:v>0</x:v>
      </x:c>
      <x:c r="AO1196" s="32" t="n">
        <x:f>MIN(AP1195+AN1196,AM1196*tun_KHMaxRatio)</x:f>
        <x:v>0</x:v>
      </x:c>
      <x:c r="AP1196" s="32" t="n">
        <x:f>AP1195+AN1196-AO1196</x:f>
        <x:v>0</x:v>
      </x:c>
      <x:c r="AQ1196" s="32" t="n">
        <x:f>AM1196+AO1196</x:f>
        <x:v>0</x:v>
      </x:c>
      <x:c r="AR1196" s="10" t="n">
        <x:f>IF(H1196=1,INDEX(tun_Req,G1196),0)</x:f>
        <x:v>0</x:v>
      </x:c>
      <x:c r="AS1196" s="32" t="n">
        <x:f>IF(H1196=1,IF(E1196=1,AS1195-AR1195,AS1195)+AQ1196,0)</x:f>
        <x:v>0</x:v>
      </x:c>
      <x:c r="AT1196" s="11" t="n">
        <x:f>IF(AR1196&gt;0,MIN(1,AS1196/AR1196),1)</x:f>
        <x:v>1</x:v>
      </x:c>
      <x:c r="AU1196" s="10" t="n">
        <x:f>AB1196/INDEX(tun_RepScale,G1196)</x:f>
        <x:v>290.3368848566301</x:v>
      </x:c>
      <x:c r="AV1196" s="32" t="n">
        <x:f>AM1196*60/tun_SeasonSeconds</x:f>
        <x:v>0</x:v>
      </x:c>
    </x:row>
    <x:row r="1197">
      <x:c r="A1197" s="8" t="n">
        <x:f>A1196+1</x:f>
        <x:v>1194</x:v>
      </x:c>
      <x:c r="B1197" s="9" t="n">
        <x:f>A1197*tun_SeasonSeconds/60</x:f>
        <x:v>298.5</x:v>
      </x:c>
      <x:c r="C1197" s="9" t="n">
        <x:f>A1197/4</x:f>
        <x:v>298.5</x:v>
      </x:c>
      <x:c r="D1197" s="8" t="n">
        <x:f>IF(MOD(A1197,4)=0,1,0)</x:f>
        <x:v>0</x:v>
      </x:c>
      <x:c r="E1197" s="8" t="n">
        <x:f>IF(AND(F1196&lt;=9,AS1196&gt;=AR1196),1,0)</x:f>
        <x:v>0</x:v>
      </x:c>
      <x:c r="F1197" s="8" t="n">
        <x:f>MIN(10,F1196+E1197)</x:f>
        <x:v>10</x:v>
      </x:c>
      <x:c r="G1197" s="8" t="n">
        <x:f>MIN(F1197,9)+1</x:f>
        <x:v>10</x:v>
      </x:c>
      <x:c r="H1197" s="8" t="n">
        <x:f>IF(F1197&lt;=9,1,0)</x:f>
        <x:v>0</x:v>
      </x:c>
      <x:c r="I1197" s="9" t="n">
        <x:f>MIN(10,F1196+IF(AR1196&gt;0,MIN(1,AS1196/AR1196),1))</x:f>
        <x:v>10</x:v>
      </x:c>
      <x:c r="J1197" s="32" t="n">
        <x:f>INDEX(tun_FoodCap,G1197)*Arch_FoodCap*EXP(tun_CapsByProject*SUMPRODUCT((Cap_Point&lt;=I1197)*(Cap_Kind="Food")*Cap_Ln))</x:f>
        <x:v>18627.260449441455</x:v>
      </x:c>
      <x:c r="K1197" s="32" t="n">
        <x:f>J1197*MIN(1,tun_LeanBase*EXP(tun_CapsByProject*SUMPRODUCT((Cap_Point&lt;=I1197)*(Cap_Kind="Lean")*Cap_Ln)))</x:f>
        <x:v>18627.260449441455</x:v>
      </x:c>
      <x:c r="L1197" s="10" t="n">
        <x:f>INDEX(tun_HousingCap,G1197)*EXP(tun_CapsByProject*SUMPRODUCT((Cap_Point&lt;=I1197)*(Cap_Kind="Housing")*Cap_Ln))</x:f>
        <x:v>20528.974303173167</x:v>
      </x:c>
      <x:c r="M1197" s="10" t="n">
        <x:f>INDEX(tun_GroupCap,G1197)*tun_CohesionFactor*EXP(tun_CapsByProject*SUMPRODUCT((Cap_Point&lt;=I1197)*(Cap_Kind="Group")*Cap_Ln))</x:f>
        <x:v>1000000.000000001</x:v>
      </x:c>
      <x:c r="N1197" s="32" t="n">
        <x:f>MIN(J1197,L1197,M1197)</x:f>
        <x:v>18627.260449441455</x:v>
      </x:c>
      <x:c r="O1197" s="10" t="n">
        <x:f>AE1196*N1197</x:f>
        <x:v>167645.34404497308</x:v>
      </x:c>
      <x:c r="P1197" s="9" t="n">
        <x:f>MIN(1,(AB1196/(AE1196*IF(tun_GroupInCrowding=1,N1197,MIN(J1197,L1197))))^tun_CrowdingExp)</x:f>
        <x:v>0.4215841981292809</x:v>
      </x:c>
      <x:c r="Q1197" s="9" t="n">
        <x:f>IF(D1197=1,INDEX(tun_WinterMult,G1197),1)</x:f>
        <x:v>1</x:v>
      </x:c>
      <x:c r="R1197" s="9" t="n">
        <x:f>H1197*Z1196*tun_WomenShare*tun_BaseFertility*INDEX(tun_FertMult,G1197)*Arch_Fertility*(1-P1197)</x:f>
        <x:v>0</x:v>
      </x:c>
      <x:c r="S1197" s="9" t="n">
        <x:f>H1197*Y1196*INDEX(tun_MortChild,G1197)/4*Q1197</x:f>
        <x:v>0</x:v>
      </x:c>
      <x:c r="T1197" s="9" t="n">
        <x:f>H1197*Z1196*INDEX(tun_MortAdult,G1197)*Arch_AdultMort/4*Q1197</x:f>
        <x:v>0</x:v>
      </x:c>
      <x:c r="U1197" s="9" t="n">
        <x:f>H1197*AA1196*INDEX(tun_MortElder,G1197)/4*Q1197</x:f>
        <x:v>0</x:v>
      </x:c>
      <x:c r="V1197" s="9" t="n">
        <x:f>H1197*MAX(0,AB1196-O1197)*tun_OvercapLoss</x:f>
        <x:v>0</x:v>
      </x:c>
      <x:c r="W1197" s="9" t="n">
        <x:f>H1197*Y1196/(tun_ChildYears*4)</x:f>
        <x:v>0</x:v>
      </x:c>
      <x:c r="X1197" s="9" t="n">
        <x:f>H1197*Z1196/(tun_AdultYears*4)</x:f>
        <x:v>0</x:v>
      </x:c>
      <x:c r="Y1197" s="32" t="n">
        <x:f>Y1196+R1197-S1197-W1197-Y1196*V1197/AB1196</x:f>
        <x:v>40496.20709015643</x:v>
      </x:c>
      <x:c r="Z1197" s="32" t="n">
        <x:f>Z1196+W1197-X1197-T1197-Z1196*V1197/AB1196</x:f>
        <x:v>59141.61122890803</x:v>
      </x:c>
      <x:c r="AA1197" s="32" t="n">
        <x:f>AA1196+X1197-U1197-AA1196*V1197/AB1196</x:f>
        <x:v>45530.62410925061</x:v>
      </x:c>
      <x:c r="AB1197" s="10" t="n">
        <x:f>Y1197+Z1197+AA1197</x:f>
        <x:v>145168.44242831506</x:v>
      </x:c>
      <x:c r="AC1197" s="8" t="n">
        <x:f>IF(AND(tun_WinterTrigger=1,D1197=1,AB1196/AE1196&gt;=K1197),1,0)</x:f>
        <x:v>0</x:v>
      </x:c>
      <x:c r="AD1197" s="8" t="n">
        <x:f>H1197*IF(AND(OR(AB1196/AE1196&gt;=tun_FissionTrigger*N1197,AC1197=1),AB1196/AE1196*tun_DaughterShare&gt;=tun_MinDaughter),MAX(1,ROUND(AE1196*tun_FissionRate,0)),0)</x:f>
        <x:v>0</x:v>
      </x:c>
      <x:c r="AE1197" s="8" t="n">
        <x:f>IF(H1197=1,MAX(1,MIN(INDEX(tun_Smax,G1197),AE1196+AD1197)),AE1196)</x:f>
        <x:v>9</x:v>
      </x:c>
      <x:c r="AF1197" s="8" t="n">
        <x:f>MAX(0,AE1197-AE1196)</x:f>
        <x:v>0</x:v>
      </x:c>
      <x:c r="AG1197" s="9" t="str">
        <x:f>IF(AF1197&gt;0,B1197,"")</x:f>
      </x:c>
      <x:c r="AH1197" s="9" t="n">
        <x:f>IF(F1197&gt;=1,1,(1+tun_LowTiesShare*(AE1197-1))/AE1197)</x:f>
        <x:v>1</x:v>
      </x:c>
      <x:c r="AI1197" s="32" t="n">
        <x:f>(Z1197+tun_ElderCommons*INDEX(LM_Elder,G1197)*AA1197)*AH1197</x:f>
        <x:v>238215.0665857503</x:v>
      </x:c>
      <x:c r="AJ1197" s="32" t="n">
        <x:f>H1197*tun_CommonsCoef*AI1197^tun_CommonsExp*INDEX(LM_Commons,G1197)</x:f>
        <x:v>0</x:v>
      </x:c>
      <x:c r="AK1197" s="32" t="n">
        <x:f>H1197*tun_RoleScale*Arch_Roles*(AE1197*(INDEX(tun_ElderRolePerSett,G1197)*tun_OutElder*INDEX(LM_Elder,G1197)+INDEX(tun_ShamanPerSett,G1197)*tun_OutShaman)+Z1197*(INDEX(tun_PriestShare,G1197)*tun_OutPriest+INDEX(tun_ScribeShare,G1197)*tun_OutScribe*INDEX(LM_Scribe,G1197)+INDEX(tun_ScholarShare,G1197)*tun_OutScholar*INDEX(LM_Scholar,G1197)+INDEX(tun_ResearcherShare,G1197)*tun_OutResearcher*INDEX(LM_Researcher,G1197)))</x:f>
        <x:v>0</x:v>
      </x:c>
      <x:c r="AL1197" s="32" t="n">
        <x:f>H1197*tun_RoleScale*Arch_Roles*AE1197*INDEX(tun_MonasteryPerSett,G1197)*tun_OutMonastery*INDEX(LM_Monastery,G1197)</x:f>
        <x:v>0</x:v>
      </x:c>
      <x:c r="AM1197" s="32" t="n">
        <x:f>(AJ1197+AK1197+AL1197)/4*INDEX(LM_All,G1197)*INDEX(tun_Boon,G1197)*Arch_Insight</x:f>
        <x:v>0</x:v>
      </x:c>
      <x:c r="AN1197" s="32" t="n">
        <x:f>H1197*(tun_KHPerAdult*Z1197+tun_KHOfCommons*AJ1197/4*INDEX(LM_All,G1197))*tun_KHUsable*Arch_KH</x:f>
        <x:v>0</x:v>
      </x:c>
      <x:c r="AO1197" s="32" t="n">
        <x:f>MIN(AP1196+AN1197,AM1197*tun_KHMaxRatio)</x:f>
        <x:v>0</x:v>
      </x:c>
      <x:c r="AP1197" s="32" t="n">
        <x:f>AP1196+AN1197-AO1197</x:f>
        <x:v>0</x:v>
      </x:c>
      <x:c r="AQ1197" s="32" t="n">
        <x:f>AM1197+AO1197</x:f>
        <x:v>0</x:v>
      </x:c>
      <x:c r="AR1197" s="10" t="n">
        <x:f>IF(H1197=1,INDEX(tun_Req,G1197),0)</x:f>
        <x:v>0</x:v>
      </x:c>
      <x:c r="AS1197" s="32" t="n">
        <x:f>IF(H1197=1,IF(E1197=1,AS1196-AR1196,AS1196)+AQ1197,0)</x:f>
        <x:v>0</x:v>
      </x:c>
      <x:c r="AT1197" s="11" t="n">
        <x:f>IF(AR1197&gt;0,MIN(1,AS1197/AR1197),1)</x:f>
        <x:v>1</x:v>
      </x:c>
      <x:c r="AU1197" s="10" t="n">
        <x:f>AB1197/INDEX(tun_RepScale,G1197)</x:f>
        <x:v>290.3368848566301</x:v>
      </x:c>
      <x:c r="AV1197" s="32" t="n">
        <x:f>AM1197*60/tun_SeasonSeconds</x:f>
        <x:v>0</x:v>
      </x:c>
    </x:row>
    <x:row r="1198">
      <x:c r="A1198" s="8" t="n">
        <x:f>A1197+1</x:f>
        <x:v>1195</x:v>
      </x:c>
      <x:c r="B1198" s="9" t="n">
        <x:f>A1198*tun_SeasonSeconds/60</x:f>
        <x:v>298.75</x:v>
      </x:c>
      <x:c r="C1198" s="9" t="n">
        <x:f>A1198/4</x:f>
        <x:v>298.75</x:v>
      </x:c>
      <x:c r="D1198" s="8" t="n">
        <x:f>IF(MOD(A1198,4)=0,1,0)</x:f>
        <x:v>0</x:v>
      </x:c>
      <x:c r="E1198" s="8" t="n">
        <x:f>IF(AND(F1197&lt;=9,AS1197&gt;=AR1197),1,0)</x:f>
        <x:v>0</x:v>
      </x:c>
      <x:c r="F1198" s="8" t="n">
        <x:f>MIN(10,F1197+E1198)</x:f>
        <x:v>10</x:v>
      </x:c>
      <x:c r="G1198" s="8" t="n">
        <x:f>MIN(F1198,9)+1</x:f>
        <x:v>10</x:v>
      </x:c>
      <x:c r="H1198" s="8" t="n">
        <x:f>IF(F1198&lt;=9,1,0)</x:f>
        <x:v>0</x:v>
      </x:c>
      <x:c r="I1198" s="9" t="n">
        <x:f>MIN(10,F1197+IF(AR1197&gt;0,MIN(1,AS1197/AR1197),1))</x:f>
        <x:v>10</x:v>
      </x:c>
      <x:c r="J1198" s="32" t="n">
        <x:f>INDEX(tun_FoodCap,G1198)*Arch_FoodCap*EXP(tun_CapsByProject*SUMPRODUCT((Cap_Point&lt;=I1198)*(Cap_Kind="Food")*Cap_Ln))</x:f>
        <x:v>18627.260449441455</x:v>
      </x:c>
      <x:c r="K1198" s="32" t="n">
        <x:f>J1198*MIN(1,tun_LeanBase*EXP(tun_CapsByProject*SUMPRODUCT((Cap_Point&lt;=I1198)*(Cap_Kind="Lean")*Cap_Ln)))</x:f>
        <x:v>18627.260449441455</x:v>
      </x:c>
      <x:c r="L1198" s="10" t="n">
        <x:f>INDEX(tun_HousingCap,G1198)*EXP(tun_CapsByProject*SUMPRODUCT((Cap_Point&lt;=I1198)*(Cap_Kind="Housing")*Cap_Ln))</x:f>
        <x:v>20528.974303173167</x:v>
      </x:c>
      <x:c r="M1198" s="10" t="n">
        <x:f>INDEX(tun_GroupCap,G1198)*tun_CohesionFactor*EXP(tun_CapsByProject*SUMPRODUCT((Cap_Point&lt;=I1198)*(Cap_Kind="Group")*Cap_Ln))</x:f>
        <x:v>1000000.000000001</x:v>
      </x:c>
      <x:c r="N1198" s="32" t="n">
        <x:f>MIN(J1198,L1198,M1198)</x:f>
        <x:v>18627.260449441455</x:v>
      </x:c>
      <x:c r="O1198" s="10" t="n">
        <x:f>AE1197*N1198</x:f>
        <x:v>167645.34404497308</x:v>
      </x:c>
      <x:c r="P1198" s="9" t="n">
        <x:f>MIN(1,(AB1197/(AE1197*IF(tun_GroupInCrowding=1,N1198,MIN(J1198,L1198))))^tun_CrowdingExp)</x:f>
        <x:v>0.4215841981292809</x:v>
      </x:c>
      <x:c r="Q1198" s="9" t="n">
        <x:f>IF(D1198=1,INDEX(tun_WinterMult,G1198),1)</x:f>
        <x:v>1</x:v>
      </x:c>
      <x:c r="R1198" s="9" t="n">
        <x:f>H1198*Z1197*tun_WomenShare*tun_BaseFertility*INDEX(tun_FertMult,G1198)*Arch_Fertility*(1-P1198)</x:f>
        <x:v>0</x:v>
      </x:c>
      <x:c r="S1198" s="9" t="n">
        <x:f>H1198*Y1197*INDEX(tun_MortChild,G1198)/4*Q1198</x:f>
        <x:v>0</x:v>
      </x:c>
      <x:c r="T1198" s="9" t="n">
        <x:f>H1198*Z1197*INDEX(tun_MortAdult,G1198)*Arch_AdultMort/4*Q1198</x:f>
        <x:v>0</x:v>
      </x:c>
      <x:c r="U1198" s="9" t="n">
        <x:f>H1198*AA1197*INDEX(tun_MortElder,G1198)/4*Q1198</x:f>
        <x:v>0</x:v>
      </x:c>
      <x:c r="V1198" s="9" t="n">
        <x:f>H1198*MAX(0,AB1197-O1198)*tun_OvercapLoss</x:f>
        <x:v>0</x:v>
      </x:c>
      <x:c r="W1198" s="9" t="n">
        <x:f>H1198*Y1197/(tun_ChildYears*4)</x:f>
        <x:v>0</x:v>
      </x:c>
      <x:c r="X1198" s="9" t="n">
        <x:f>H1198*Z1197/(tun_AdultYears*4)</x:f>
        <x:v>0</x:v>
      </x:c>
      <x:c r="Y1198" s="32" t="n">
        <x:f>Y1197+R1198-S1198-W1198-Y1197*V1198/AB1197</x:f>
        <x:v>40496.20709015643</x:v>
      </x:c>
      <x:c r="Z1198" s="32" t="n">
        <x:f>Z1197+W1198-X1198-T1198-Z1197*V1198/AB1197</x:f>
        <x:v>59141.61122890803</x:v>
      </x:c>
      <x:c r="AA1198" s="32" t="n">
        <x:f>AA1197+X1198-U1198-AA1197*V1198/AB1197</x:f>
        <x:v>45530.62410925061</x:v>
      </x:c>
      <x:c r="AB1198" s="10" t="n">
        <x:f>Y1198+Z1198+AA1198</x:f>
        <x:v>145168.44242831506</x:v>
      </x:c>
      <x:c r="AC1198" s="8" t="n">
        <x:f>IF(AND(tun_WinterTrigger=1,D1198=1,AB1197/AE1197&gt;=K1198),1,0)</x:f>
        <x:v>0</x:v>
      </x:c>
      <x:c r="AD1198" s="8" t="n">
        <x:f>H1198*IF(AND(OR(AB1197/AE1197&gt;=tun_FissionTrigger*N1198,AC1198=1),AB1197/AE1197*tun_DaughterShare&gt;=tun_MinDaughter),MAX(1,ROUND(AE1197*tun_FissionRate,0)),0)</x:f>
        <x:v>0</x:v>
      </x:c>
      <x:c r="AE1198" s="8" t="n">
        <x:f>IF(H1198=1,MAX(1,MIN(INDEX(tun_Smax,G1198),AE1197+AD1198)),AE1197)</x:f>
        <x:v>9</x:v>
      </x:c>
      <x:c r="AF1198" s="8" t="n">
        <x:f>MAX(0,AE1198-AE1197)</x:f>
        <x:v>0</x:v>
      </x:c>
      <x:c r="AG1198" s="9" t="str">
        <x:f>IF(AF1198&gt;0,B1198,"")</x:f>
      </x:c>
      <x:c r="AH1198" s="9" t="n">
        <x:f>IF(F1198&gt;=1,1,(1+tun_LowTiesShare*(AE1198-1))/AE1198)</x:f>
        <x:v>1</x:v>
      </x:c>
      <x:c r="AI1198" s="32" t="n">
        <x:f>(Z1198+tun_ElderCommons*INDEX(LM_Elder,G1198)*AA1198)*AH1198</x:f>
        <x:v>238215.0665857503</x:v>
      </x:c>
      <x:c r="AJ1198" s="32" t="n">
        <x:f>H1198*tun_CommonsCoef*AI1198^tun_CommonsExp*INDEX(LM_Commons,G1198)</x:f>
        <x:v>0</x:v>
      </x:c>
      <x:c r="AK1198" s="32" t="n">
        <x:f>H1198*tun_RoleScale*Arch_Roles*(AE1198*(INDEX(tun_ElderRolePerSett,G1198)*tun_OutElder*INDEX(LM_Elder,G1198)+INDEX(tun_ShamanPerSett,G1198)*tun_OutShaman)+Z1198*(INDEX(tun_PriestShare,G1198)*tun_OutPriest+INDEX(tun_ScribeShare,G1198)*tun_OutScribe*INDEX(LM_Scribe,G1198)+INDEX(tun_ScholarShare,G1198)*tun_OutScholar*INDEX(LM_Scholar,G1198)+INDEX(tun_ResearcherShare,G1198)*tun_OutResearcher*INDEX(LM_Researcher,G1198)))</x:f>
        <x:v>0</x:v>
      </x:c>
      <x:c r="AL1198" s="32" t="n">
        <x:f>H1198*tun_RoleScale*Arch_Roles*AE1198*INDEX(tun_MonasteryPerSett,G1198)*tun_OutMonastery*INDEX(LM_Monastery,G1198)</x:f>
        <x:v>0</x:v>
      </x:c>
      <x:c r="AM1198" s="32" t="n">
        <x:f>(AJ1198+AK1198+AL1198)/4*INDEX(LM_All,G1198)*INDEX(tun_Boon,G1198)*Arch_Insight</x:f>
        <x:v>0</x:v>
      </x:c>
      <x:c r="AN1198" s="32" t="n">
        <x:f>H1198*(tun_KHPerAdult*Z1198+tun_KHOfCommons*AJ1198/4*INDEX(LM_All,G1198))*tun_KHUsable*Arch_KH</x:f>
        <x:v>0</x:v>
      </x:c>
      <x:c r="AO1198" s="32" t="n">
        <x:f>MIN(AP1197+AN1198,AM1198*tun_KHMaxRatio)</x:f>
        <x:v>0</x:v>
      </x:c>
      <x:c r="AP1198" s="32" t="n">
        <x:f>AP1197+AN1198-AO1198</x:f>
        <x:v>0</x:v>
      </x:c>
      <x:c r="AQ1198" s="32" t="n">
        <x:f>AM1198+AO1198</x:f>
        <x:v>0</x:v>
      </x:c>
      <x:c r="AR1198" s="10" t="n">
        <x:f>IF(H1198=1,INDEX(tun_Req,G1198),0)</x:f>
        <x:v>0</x:v>
      </x:c>
      <x:c r="AS1198" s="32" t="n">
        <x:f>IF(H1198=1,IF(E1198=1,AS1197-AR1197,AS1197)+AQ1198,0)</x:f>
        <x:v>0</x:v>
      </x:c>
      <x:c r="AT1198" s="11" t="n">
        <x:f>IF(AR1198&gt;0,MIN(1,AS1198/AR1198),1)</x:f>
        <x:v>1</x:v>
      </x:c>
      <x:c r="AU1198" s="10" t="n">
        <x:f>AB1198/INDEX(tun_RepScale,G1198)</x:f>
        <x:v>290.3368848566301</x:v>
      </x:c>
      <x:c r="AV1198" s="32" t="n">
        <x:f>AM1198*60/tun_SeasonSeconds</x:f>
        <x:v>0</x:v>
      </x:c>
    </x:row>
    <x:row r="1199">
      <x:c r="A1199" s="8" t="n">
        <x:f>A1198+1</x:f>
        <x:v>1196</x:v>
      </x:c>
      <x:c r="B1199" s="9" t="n">
        <x:f>A1199*tun_SeasonSeconds/60</x:f>
        <x:v>299</x:v>
      </x:c>
      <x:c r="C1199" s="9" t="n">
        <x:f>A1199/4</x:f>
        <x:v>299</x:v>
      </x:c>
      <x:c r="D1199" s="8" t="n">
        <x:f>IF(MOD(A1199,4)=0,1,0)</x:f>
        <x:v>1</x:v>
      </x:c>
      <x:c r="E1199" s="8" t="n">
        <x:f>IF(AND(F1198&lt;=9,AS1198&gt;=AR1198),1,0)</x:f>
        <x:v>0</x:v>
      </x:c>
      <x:c r="F1199" s="8" t="n">
        <x:f>MIN(10,F1198+E1199)</x:f>
        <x:v>10</x:v>
      </x:c>
      <x:c r="G1199" s="8" t="n">
        <x:f>MIN(F1199,9)+1</x:f>
        <x:v>10</x:v>
      </x:c>
      <x:c r="H1199" s="8" t="n">
        <x:f>IF(F1199&lt;=9,1,0)</x:f>
        <x:v>0</x:v>
      </x:c>
      <x:c r="I1199" s="9" t="n">
        <x:f>MIN(10,F1198+IF(AR1198&gt;0,MIN(1,AS1198/AR1198),1))</x:f>
        <x:v>10</x:v>
      </x:c>
      <x:c r="J1199" s="32" t="n">
        <x:f>INDEX(tun_FoodCap,G1199)*Arch_FoodCap*EXP(tun_CapsByProject*SUMPRODUCT((Cap_Point&lt;=I1199)*(Cap_Kind="Food")*Cap_Ln))</x:f>
        <x:v>18627.260449441455</x:v>
      </x:c>
      <x:c r="K1199" s="32" t="n">
        <x:f>J1199*MIN(1,tun_LeanBase*EXP(tun_CapsByProject*SUMPRODUCT((Cap_Point&lt;=I1199)*(Cap_Kind="Lean")*Cap_Ln)))</x:f>
        <x:v>18627.260449441455</x:v>
      </x:c>
      <x:c r="L1199" s="10" t="n">
        <x:f>INDEX(tun_HousingCap,G1199)*EXP(tun_CapsByProject*SUMPRODUCT((Cap_Point&lt;=I1199)*(Cap_Kind="Housing")*Cap_Ln))</x:f>
        <x:v>20528.974303173167</x:v>
      </x:c>
      <x:c r="M1199" s="10" t="n">
        <x:f>INDEX(tun_GroupCap,G1199)*tun_CohesionFactor*EXP(tun_CapsByProject*SUMPRODUCT((Cap_Point&lt;=I1199)*(Cap_Kind="Group")*Cap_Ln))</x:f>
        <x:v>1000000.000000001</x:v>
      </x:c>
      <x:c r="N1199" s="32" t="n">
        <x:f>MIN(J1199,L1199,M1199)</x:f>
        <x:v>18627.260449441455</x:v>
      </x:c>
      <x:c r="O1199" s="10" t="n">
        <x:f>AE1198*N1199</x:f>
        <x:v>167645.34404497308</x:v>
      </x:c>
      <x:c r="P1199" s="9" t="n">
        <x:f>MIN(1,(AB1198/(AE1198*IF(tun_GroupInCrowding=1,N1199,MIN(J1199,L1199))))^tun_CrowdingExp)</x:f>
        <x:v>0.4215841981292809</x:v>
      </x:c>
      <x:c r="Q1199" s="9" t="n">
        <x:f>IF(D1199=1,INDEX(tun_WinterMult,G1199),1)</x:f>
        <x:v>1.05</x:v>
      </x:c>
      <x:c r="R1199" s="9" t="n">
        <x:f>H1199*Z1198*tun_WomenShare*tun_BaseFertility*INDEX(tun_FertMult,G1199)*Arch_Fertility*(1-P1199)</x:f>
        <x:v>0</x:v>
      </x:c>
      <x:c r="S1199" s="9" t="n">
        <x:f>H1199*Y1198*INDEX(tun_MortChild,G1199)/4*Q1199</x:f>
        <x:v>0</x:v>
      </x:c>
      <x:c r="T1199" s="9" t="n">
        <x:f>H1199*Z1198*INDEX(tun_MortAdult,G1199)*Arch_AdultMort/4*Q1199</x:f>
        <x:v>0</x:v>
      </x:c>
      <x:c r="U1199" s="9" t="n">
        <x:f>H1199*AA1198*INDEX(tun_MortElder,G1199)/4*Q1199</x:f>
        <x:v>0</x:v>
      </x:c>
      <x:c r="V1199" s="9" t="n">
        <x:f>H1199*MAX(0,AB1198-O1199)*tun_OvercapLoss</x:f>
        <x:v>0</x:v>
      </x:c>
      <x:c r="W1199" s="9" t="n">
        <x:f>H1199*Y1198/(tun_ChildYears*4)</x:f>
        <x:v>0</x:v>
      </x:c>
      <x:c r="X1199" s="9" t="n">
        <x:f>H1199*Z1198/(tun_AdultYears*4)</x:f>
        <x:v>0</x:v>
      </x:c>
      <x:c r="Y1199" s="32" t="n">
        <x:f>Y1198+R1199-S1199-W1199-Y1198*V1199/AB1198</x:f>
        <x:v>40496.20709015643</x:v>
      </x:c>
      <x:c r="Z1199" s="32" t="n">
        <x:f>Z1198+W1199-X1199-T1199-Z1198*V1199/AB1198</x:f>
        <x:v>59141.61122890803</x:v>
      </x:c>
      <x:c r="AA1199" s="32" t="n">
        <x:f>AA1198+X1199-U1199-AA1198*V1199/AB1198</x:f>
        <x:v>45530.62410925061</x:v>
      </x:c>
      <x:c r="AB1199" s="10" t="n">
        <x:f>Y1199+Z1199+AA1199</x:f>
        <x:v>145168.44242831506</x:v>
      </x:c>
      <x:c r="AC1199" s="8" t="n">
        <x:f>IF(AND(tun_WinterTrigger=1,D1199=1,AB1198/AE1198&gt;=K1199),1,0)</x:f>
        <x:v>0</x:v>
      </x:c>
      <x:c r="AD1199" s="8" t="n">
        <x:f>H1199*IF(AND(OR(AB1198/AE1198&gt;=tun_FissionTrigger*N1199,AC1199=1),AB1198/AE1198*tun_DaughterShare&gt;=tun_MinDaughter),MAX(1,ROUND(AE1198*tun_FissionRate,0)),0)</x:f>
        <x:v>0</x:v>
      </x:c>
      <x:c r="AE1199" s="8" t="n">
        <x:f>IF(H1199=1,MAX(1,MIN(INDEX(tun_Smax,G1199),AE1198+AD1199)),AE1198)</x:f>
        <x:v>9</x:v>
      </x:c>
      <x:c r="AF1199" s="8" t="n">
        <x:f>MAX(0,AE1199-AE1198)</x:f>
        <x:v>0</x:v>
      </x:c>
      <x:c r="AG1199" s="9" t="str">
        <x:f>IF(AF1199&gt;0,B1199,"")</x:f>
      </x:c>
      <x:c r="AH1199" s="9" t="n">
        <x:f>IF(F1199&gt;=1,1,(1+tun_LowTiesShare*(AE1199-1))/AE1199)</x:f>
        <x:v>1</x:v>
      </x:c>
      <x:c r="AI1199" s="32" t="n">
        <x:f>(Z1199+tun_ElderCommons*INDEX(LM_Elder,G1199)*AA1199)*AH1199</x:f>
        <x:v>238215.0665857503</x:v>
      </x:c>
      <x:c r="AJ1199" s="32" t="n">
        <x:f>H1199*tun_CommonsCoef*AI1199^tun_CommonsExp*INDEX(LM_Commons,G1199)</x:f>
        <x:v>0</x:v>
      </x:c>
      <x:c r="AK1199" s="32" t="n">
        <x:f>H1199*tun_RoleScale*Arch_Roles*(AE1199*(INDEX(tun_ElderRolePerSett,G1199)*tun_OutElder*INDEX(LM_Elder,G1199)+INDEX(tun_ShamanPerSett,G1199)*tun_OutShaman)+Z1199*(INDEX(tun_PriestShare,G1199)*tun_OutPriest+INDEX(tun_ScribeShare,G1199)*tun_OutScribe*INDEX(LM_Scribe,G1199)+INDEX(tun_ScholarShare,G1199)*tun_OutScholar*INDEX(LM_Scholar,G1199)+INDEX(tun_ResearcherShare,G1199)*tun_OutResearcher*INDEX(LM_Researcher,G1199)))</x:f>
        <x:v>0</x:v>
      </x:c>
      <x:c r="AL1199" s="32" t="n">
        <x:f>H1199*tun_RoleScale*Arch_Roles*AE1199*INDEX(tun_MonasteryPerSett,G1199)*tun_OutMonastery*INDEX(LM_Monastery,G1199)</x:f>
        <x:v>0</x:v>
      </x:c>
      <x:c r="AM1199" s="32" t="n">
        <x:f>(AJ1199+AK1199+AL1199)/4*INDEX(LM_All,G1199)*INDEX(tun_Boon,G1199)*Arch_Insight</x:f>
        <x:v>0</x:v>
      </x:c>
      <x:c r="AN1199" s="32" t="n">
        <x:f>H1199*(tun_KHPerAdult*Z1199+tun_KHOfCommons*AJ1199/4*INDEX(LM_All,G1199))*tun_KHUsable*Arch_KH</x:f>
        <x:v>0</x:v>
      </x:c>
      <x:c r="AO1199" s="32" t="n">
        <x:f>MIN(AP1198+AN1199,AM1199*tun_KHMaxRatio)</x:f>
        <x:v>0</x:v>
      </x:c>
      <x:c r="AP1199" s="32" t="n">
        <x:f>AP1198+AN1199-AO1199</x:f>
        <x:v>0</x:v>
      </x:c>
      <x:c r="AQ1199" s="32" t="n">
        <x:f>AM1199+AO1199</x:f>
        <x:v>0</x:v>
      </x:c>
      <x:c r="AR1199" s="10" t="n">
        <x:f>IF(H1199=1,INDEX(tun_Req,G1199),0)</x:f>
        <x:v>0</x:v>
      </x:c>
      <x:c r="AS1199" s="32" t="n">
        <x:f>IF(H1199=1,IF(E1199=1,AS1198-AR1198,AS1198)+AQ1199,0)</x:f>
        <x:v>0</x:v>
      </x:c>
      <x:c r="AT1199" s="11" t="n">
        <x:f>IF(AR1199&gt;0,MIN(1,AS1199/AR1199),1)</x:f>
        <x:v>1</x:v>
      </x:c>
      <x:c r="AU1199" s="10" t="n">
        <x:f>AB1199/INDEX(tun_RepScale,G1199)</x:f>
        <x:v>290.3368848566301</x:v>
      </x:c>
      <x:c r="AV1199" s="32" t="n">
        <x:f>AM1199*60/tun_SeasonSeconds</x:f>
        <x:v>0</x:v>
      </x:c>
    </x:row>
    <x:row r="1200">
      <x:c r="A1200" s="8" t="n">
        <x:f>A1199+1</x:f>
        <x:v>1197</x:v>
      </x:c>
      <x:c r="B1200" s="9" t="n">
        <x:f>A1200*tun_SeasonSeconds/60</x:f>
        <x:v>299.25</x:v>
      </x:c>
      <x:c r="C1200" s="9" t="n">
        <x:f>A1200/4</x:f>
        <x:v>299.25</x:v>
      </x:c>
      <x:c r="D1200" s="8" t="n">
        <x:f>IF(MOD(A1200,4)=0,1,0)</x:f>
        <x:v>0</x:v>
      </x:c>
      <x:c r="E1200" s="8" t="n">
        <x:f>IF(AND(F1199&lt;=9,AS1199&gt;=AR1199),1,0)</x:f>
        <x:v>0</x:v>
      </x:c>
      <x:c r="F1200" s="8" t="n">
        <x:f>MIN(10,F1199+E1200)</x:f>
        <x:v>10</x:v>
      </x:c>
      <x:c r="G1200" s="8" t="n">
        <x:f>MIN(F1200,9)+1</x:f>
        <x:v>10</x:v>
      </x:c>
      <x:c r="H1200" s="8" t="n">
        <x:f>IF(F1200&lt;=9,1,0)</x:f>
        <x:v>0</x:v>
      </x:c>
      <x:c r="I1200" s="9" t="n">
        <x:f>MIN(10,F1199+IF(AR1199&gt;0,MIN(1,AS1199/AR1199),1))</x:f>
        <x:v>10</x:v>
      </x:c>
      <x:c r="J1200" s="32" t="n">
        <x:f>INDEX(tun_FoodCap,G1200)*Arch_FoodCap*EXP(tun_CapsByProject*SUMPRODUCT((Cap_Point&lt;=I1200)*(Cap_Kind="Food")*Cap_Ln))</x:f>
        <x:v>18627.260449441455</x:v>
      </x:c>
      <x:c r="K1200" s="32" t="n">
        <x:f>J1200*MIN(1,tun_LeanBase*EXP(tun_CapsByProject*SUMPRODUCT((Cap_Point&lt;=I1200)*(Cap_Kind="Lean")*Cap_Ln)))</x:f>
        <x:v>18627.260449441455</x:v>
      </x:c>
      <x:c r="L1200" s="10" t="n">
        <x:f>INDEX(tun_HousingCap,G1200)*EXP(tun_CapsByProject*SUMPRODUCT((Cap_Point&lt;=I1200)*(Cap_Kind="Housing")*Cap_Ln))</x:f>
        <x:v>20528.974303173167</x:v>
      </x:c>
      <x:c r="M1200" s="10" t="n">
        <x:f>INDEX(tun_GroupCap,G1200)*tun_CohesionFactor*EXP(tun_CapsByProject*SUMPRODUCT((Cap_Point&lt;=I1200)*(Cap_Kind="Group")*Cap_Ln))</x:f>
        <x:v>1000000.000000001</x:v>
      </x:c>
      <x:c r="N1200" s="32" t="n">
        <x:f>MIN(J1200,L1200,M1200)</x:f>
        <x:v>18627.260449441455</x:v>
      </x:c>
      <x:c r="O1200" s="10" t="n">
        <x:f>AE1199*N1200</x:f>
        <x:v>167645.34404497308</x:v>
      </x:c>
      <x:c r="P1200" s="9" t="n">
        <x:f>MIN(1,(AB1199/(AE1199*IF(tun_GroupInCrowding=1,N1200,MIN(J1200,L1200))))^tun_CrowdingExp)</x:f>
        <x:v>0.4215841981292809</x:v>
      </x:c>
      <x:c r="Q1200" s="9" t="n">
        <x:f>IF(D1200=1,INDEX(tun_WinterMult,G1200),1)</x:f>
        <x:v>1</x:v>
      </x:c>
      <x:c r="R1200" s="9" t="n">
        <x:f>H1200*Z1199*tun_WomenShare*tun_BaseFertility*INDEX(tun_FertMult,G1200)*Arch_Fertility*(1-P1200)</x:f>
        <x:v>0</x:v>
      </x:c>
      <x:c r="S1200" s="9" t="n">
        <x:f>H1200*Y1199*INDEX(tun_MortChild,G1200)/4*Q1200</x:f>
        <x:v>0</x:v>
      </x:c>
      <x:c r="T1200" s="9" t="n">
        <x:f>H1200*Z1199*INDEX(tun_MortAdult,G1200)*Arch_AdultMort/4*Q1200</x:f>
        <x:v>0</x:v>
      </x:c>
      <x:c r="U1200" s="9" t="n">
        <x:f>H1200*AA1199*INDEX(tun_MortElder,G1200)/4*Q1200</x:f>
        <x:v>0</x:v>
      </x:c>
      <x:c r="V1200" s="9" t="n">
        <x:f>H1200*MAX(0,AB1199-O1200)*tun_OvercapLoss</x:f>
        <x:v>0</x:v>
      </x:c>
      <x:c r="W1200" s="9" t="n">
        <x:f>H1200*Y1199/(tun_ChildYears*4)</x:f>
        <x:v>0</x:v>
      </x:c>
      <x:c r="X1200" s="9" t="n">
        <x:f>H1200*Z1199/(tun_AdultYears*4)</x:f>
        <x:v>0</x:v>
      </x:c>
      <x:c r="Y1200" s="32" t="n">
        <x:f>Y1199+R1200-S1200-W1200-Y1199*V1200/AB1199</x:f>
        <x:v>40496.20709015643</x:v>
      </x:c>
      <x:c r="Z1200" s="32" t="n">
        <x:f>Z1199+W1200-X1200-T1200-Z1199*V1200/AB1199</x:f>
        <x:v>59141.61122890803</x:v>
      </x:c>
      <x:c r="AA1200" s="32" t="n">
        <x:f>AA1199+X1200-U1200-AA1199*V1200/AB1199</x:f>
        <x:v>45530.62410925061</x:v>
      </x:c>
      <x:c r="AB1200" s="10" t="n">
        <x:f>Y1200+Z1200+AA1200</x:f>
        <x:v>145168.44242831506</x:v>
      </x:c>
      <x:c r="AC1200" s="8" t="n">
        <x:f>IF(AND(tun_WinterTrigger=1,D1200=1,AB1199/AE1199&gt;=K1200),1,0)</x:f>
        <x:v>0</x:v>
      </x:c>
      <x:c r="AD1200" s="8" t="n">
        <x:f>H1200*IF(AND(OR(AB1199/AE1199&gt;=tun_FissionTrigger*N1200,AC1200=1),AB1199/AE1199*tun_DaughterShare&gt;=tun_MinDaughter),MAX(1,ROUND(AE1199*tun_FissionRate,0)),0)</x:f>
        <x:v>0</x:v>
      </x:c>
      <x:c r="AE1200" s="8" t="n">
        <x:f>IF(H1200=1,MAX(1,MIN(INDEX(tun_Smax,G1200),AE1199+AD1200)),AE1199)</x:f>
        <x:v>9</x:v>
      </x:c>
      <x:c r="AF1200" s="8" t="n">
        <x:f>MAX(0,AE1200-AE1199)</x:f>
        <x:v>0</x:v>
      </x:c>
      <x:c r="AG1200" s="9" t="str">
        <x:f>IF(AF1200&gt;0,B1200,"")</x:f>
      </x:c>
      <x:c r="AH1200" s="9" t="n">
        <x:f>IF(F1200&gt;=1,1,(1+tun_LowTiesShare*(AE1200-1))/AE1200)</x:f>
        <x:v>1</x:v>
      </x:c>
      <x:c r="AI1200" s="32" t="n">
        <x:f>(Z1200+tun_ElderCommons*INDEX(LM_Elder,G1200)*AA1200)*AH1200</x:f>
        <x:v>238215.0665857503</x:v>
      </x:c>
      <x:c r="AJ1200" s="32" t="n">
        <x:f>H1200*tun_CommonsCoef*AI1200^tun_CommonsExp*INDEX(LM_Commons,G1200)</x:f>
        <x:v>0</x:v>
      </x:c>
      <x:c r="AK1200" s="32" t="n">
        <x:f>H1200*tun_RoleScale*Arch_Roles*(AE1200*(INDEX(tun_ElderRolePerSett,G1200)*tun_OutElder*INDEX(LM_Elder,G1200)+INDEX(tun_ShamanPerSett,G1200)*tun_OutShaman)+Z1200*(INDEX(tun_PriestShare,G1200)*tun_OutPriest+INDEX(tun_ScribeShare,G1200)*tun_OutScribe*INDEX(LM_Scribe,G1200)+INDEX(tun_ScholarShare,G1200)*tun_OutScholar*INDEX(LM_Scholar,G1200)+INDEX(tun_ResearcherShare,G1200)*tun_OutResearcher*INDEX(LM_Researcher,G1200)))</x:f>
        <x:v>0</x:v>
      </x:c>
      <x:c r="AL1200" s="32" t="n">
        <x:f>H1200*tun_RoleScale*Arch_Roles*AE1200*INDEX(tun_MonasteryPerSett,G1200)*tun_OutMonastery*INDEX(LM_Monastery,G1200)</x:f>
        <x:v>0</x:v>
      </x:c>
      <x:c r="AM1200" s="32" t="n">
        <x:f>(AJ1200+AK1200+AL1200)/4*INDEX(LM_All,G1200)*INDEX(tun_Boon,G1200)*Arch_Insight</x:f>
        <x:v>0</x:v>
      </x:c>
      <x:c r="AN1200" s="32" t="n">
        <x:f>H1200*(tun_KHPerAdult*Z1200+tun_KHOfCommons*AJ1200/4*INDEX(LM_All,G1200))*tun_KHUsable*Arch_KH</x:f>
        <x:v>0</x:v>
      </x:c>
      <x:c r="AO1200" s="32" t="n">
        <x:f>MIN(AP1199+AN1200,AM1200*tun_KHMaxRatio)</x:f>
        <x:v>0</x:v>
      </x:c>
      <x:c r="AP1200" s="32" t="n">
        <x:f>AP1199+AN1200-AO1200</x:f>
        <x:v>0</x:v>
      </x:c>
      <x:c r="AQ1200" s="32" t="n">
        <x:f>AM1200+AO1200</x:f>
        <x:v>0</x:v>
      </x:c>
      <x:c r="AR1200" s="10" t="n">
        <x:f>IF(H1200=1,INDEX(tun_Req,G1200),0)</x:f>
        <x:v>0</x:v>
      </x:c>
      <x:c r="AS1200" s="32" t="n">
        <x:f>IF(H1200=1,IF(E1200=1,AS1199-AR1199,AS1199)+AQ1200,0)</x:f>
        <x:v>0</x:v>
      </x:c>
      <x:c r="AT1200" s="11" t="n">
        <x:f>IF(AR1200&gt;0,MIN(1,AS1200/AR1200),1)</x:f>
        <x:v>1</x:v>
      </x:c>
      <x:c r="AU1200" s="10" t="n">
        <x:f>AB1200/INDEX(tun_RepScale,G1200)</x:f>
        <x:v>290.3368848566301</x:v>
      </x:c>
      <x:c r="AV1200" s="32" t="n">
        <x:f>AM1200*60/tun_SeasonSeconds</x:f>
        <x:v>0</x:v>
      </x:c>
    </x:row>
    <x:row r="1201">
      <x:c r="A1201" s="8" t="n">
        <x:f>A1200+1</x:f>
        <x:v>1198</x:v>
      </x:c>
      <x:c r="B1201" s="9" t="n">
        <x:f>A1201*tun_SeasonSeconds/60</x:f>
        <x:v>299.5</x:v>
      </x:c>
      <x:c r="C1201" s="9" t="n">
        <x:f>A1201/4</x:f>
        <x:v>299.5</x:v>
      </x:c>
      <x:c r="D1201" s="8" t="n">
        <x:f>IF(MOD(A1201,4)=0,1,0)</x:f>
        <x:v>0</x:v>
      </x:c>
      <x:c r="E1201" s="8" t="n">
        <x:f>IF(AND(F1200&lt;=9,AS1200&gt;=AR1200),1,0)</x:f>
        <x:v>0</x:v>
      </x:c>
      <x:c r="F1201" s="8" t="n">
        <x:f>MIN(10,F1200+E1201)</x:f>
        <x:v>10</x:v>
      </x:c>
      <x:c r="G1201" s="8" t="n">
        <x:f>MIN(F1201,9)+1</x:f>
        <x:v>10</x:v>
      </x:c>
      <x:c r="H1201" s="8" t="n">
        <x:f>IF(F1201&lt;=9,1,0)</x:f>
        <x:v>0</x:v>
      </x:c>
      <x:c r="I1201" s="9" t="n">
        <x:f>MIN(10,F1200+IF(AR1200&gt;0,MIN(1,AS1200/AR1200),1))</x:f>
        <x:v>10</x:v>
      </x:c>
      <x:c r="J1201" s="32" t="n">
        <x:f>INDEX(tun_FoodCap,G1201)*Arch_FoodCap*EXP(tun_CapsByProject*SUMPRODUCT((Cap_Point&lt;=I1201)*(Cap_Kind="Food")*Cap_Ln))</x:f>
        <x:v>18627.260449441455</x:v>
      </x:c>
      <x:c r="K1201" s="32" t="n">
        <x:f>J1201*MIN(1,tun_LeanBase*EXP(tun_CapsByProject*SUMPRODUCT((Cap_Point&lt;=I1201)*(Cap_Kind="Lean")*Cap_Ln)))</x:f>
        <x:v>18627.260449441455</x:v>
      </x:c>
      <x:c r="L1201" s="10" t="n">
        <x:f>INDEX(tun_HousingCap,G1201)*EXP(tun_CapsByProject*SUMPRODUCT((Cap_Point&lt;=I1201)*(Cap_Kind="Housing")*Cap_Ln))</x:f>
        <x:v>20528.974303173167</x:v>
      </x:c>
      <x:c r="M1201" s="10" t="n">
        <x:f>INDEX(tun_GroupCap,G1201)*tun_CohesionFactor*EXP(tun_CapsByProject*SUMPRODUCT((Cap_Point&lt;=I1201)*(Cap_Kind="Group")*Cap_Ln))</x:f>
        <x:v>1000000.000000001</x:v>
      </x:c>
      <x:c r="N1201" s="32" t="n">
        <x:f>MIN(J1201,L1201,M1201)</x:f>
        <x:v>18627.260449441455</x:v>
      </x:c>
      <x:c r="O1201" s="10" t="n">
        <x:f>AE1200*N1201</x:f>
        <x:v>167645.34404497308</x:v>
      </x:c>
      <x:c r="P1201" s="9" t="n">
        <x:f>MIN(1,(AB1200/(AE1200*IF(tun_GroupInCrowding=1,N1201,MIN(J1201,L1201))))^tun_CrowdingExp)</x:f>
        <x:v>0.4215841981292809</x:v>
      </x:c>
      <x:c r="Q1201" s="9" t="n">
        <x:f>IF(D1201=1,INDEX(tun_WinterMult,G1201),1)</x:f>
        <x:v>1</x:v>
      </x:c>
      <x:c r="R1201" s="9" t="n">
        <x:f>H1201*Z1200*tun_WomenShare*tun_BaseFertility*INDEX(tun_FertMult,G1201)*Arch_Fertility*(1-P1201)</x:f>
        <x:v>0</x:v>
      </x:c>
      <x:c r="S1201" s="9" t="n">
        <x:f>H1201*Y1200*INDEX(tun_MortChild,G1201)/4*Q1201</x:f>
        <x:v>0</x:v>
      </x:c>
      <x:c r="T1201" s="9" t="n">
        <x:f>H1201*Z1200*INDEX(tun_MortAdult,G1201)*Arch_AdultMort/4*Q1201</x:f>
        <x:v>0</x:v>
      </x:c>
      <x:c r="U1201" s="9" t="n">
        <x:f>H1201*AA1200*INDEX(tun_MortElder,G1201)/4*Q1201</x:f>
        <x:v>0</x:v>
      </x:c>
      <x:c r="V1201" s="9" t="n">
        <x:f>H1201*MAX(0,AB1200-O1201)*tun_OvercapLoss</x:f>
        <x:v>0</x:v>
      </x:c>
      <x:c r="W1201" s="9" t="n">
        <x:f>H1201*Y1200/(tun_ChildYears*4)</x:f>
        <x:v>0</x:v>
      </x:c>
      <x:c r="X1201" s="9" t="n">
        <x:f>H1201*Z1200/(tun_AdultYears*4)</x:f>
        <x:v>0</x:v>
      </x:c>
      <x:c r="Y1201" s="32" t="n">
        <x:f>Y1200+R1201-S1201-W1201-Y1200*V1201/AB1200</x:f>
        <x:v>40496.20709015643</x:v>
      </x:c>
      <x:c r="Z1201" s="32" t="n">
        <x:f>Z1200+W1201-X1201-T1201-Z1200*V1201/AB1200</x:f>
        <x:v>59141.61122890803</x:v>
      </x:c>
      <x:c r="AA1201" s="32" t="n">
        <x:f>AA1200+X1201-U1201-AA1200*V1201/AB1200</x:f>
        <x:v>45530.62410925061</x:v>
      </x:c>
      <x:c r="AB1201" s="10" t="n">
        <x:f>Y1201+Z1201+AA1201</x:f>
        <x:v>145168.44242831506</x:v>
      </x:c>
      <x:c r="AC1201" s="8" t="n">
        <x:f>IF(AND(tun_WinterTrigger=1,D1201=1,AB1200/AE1200&gt;=K1201),1,0)</x:f>
        <x:v>0</x:v>
      </x:c>
      <x:c r="AD1201" s="8" t="n">
        <x:f>H1201*IF(AND(OR(AB1200/AE1200&gt;=tun_FissionTrigger*N1201,AC1201=1),AB1200/AE1200*tun_DaughterShare&gt;=tun_MinDaughter),MAX(1,ROUND(AE1200*tun_FissionRate,0)),0)</x:f>
        <x:v>0</x:v>
      </x:c>
      <x:c r="AE1201" s="8" t="n">
        <x:f>IF(H1201=1,MAX(1,MIN(INDEX(tun_Smax,G1201),AE1200+AD1201)),AE1200)</x:f>
        <x:v>9</x:v>
      </x:c>
      <x:c r="AF1201" s="8" t="n">
        <x:f>MAX(0,AE1201-AE1200)</x:f>
        <x:v>0</x:v>
      </x:c>
      <x:c r="AG1201" s="9" t="str">
        <x:f>IF(AF1201&gt;0,B1201,"")</x:f>
      </x:c>
      <x:c r="AH1201" s="9" t="n">
        <x:f>IF(F1201&gt;=1,1,(1+tun_LowTiesShare*(AE1201-1))/AE1201)</x:f>
        <x:v>1</x:v>
      </x:c>
      <x:c r="AI1201" s="32" t="n">
        <x:f>(Z1201+tun_ElderCommons*INDEX(LM_Elder,G1201)*AA1201)*AH1201</x:f>
        <x:v>238215.0665857503</x:v>
      </x:c>
      <x:c r="AJ1201" s="32" t="n">
        <x:f>H1201*tun_CommonsCoef*AI1201^tun_CommonsExp*INDEX(LM_Commons,G1201)</x:f>
        <x:v>0</x:v>
      </x:c>
      <x:c r="AK1201" s="32" t="n">
        <x:f>H1201*tun_RoleScale*Arch_Roles*(AE1201*(INDEX(tun_ElderRolePerSett,G1201)*tun_OutElder*INDEX(LM_Elder,G1201)+INDEX(tun_ShamanPerSett,G1201)*tun_OutShaman)+Z1201*(INDEX(tun_PriestShare,G1201)*tun_OutPriest+INDEX(tun_ScribeShare,G1201)*tun_OutScribe*INDEX(LM_Scribe,G1201)+INDEX(tun_ScholarShare,G1201)*tun_OutScholar*INDEX(LM_Scholar,G1201)+INDEX(tun_ResearcherShare,G1201)*tun_OutResearcher*INDEX(LM_Researcher,G1201)))</x:f>
        <x:v>0</x:v>
      </x:c>
      <x:c r="AL1201" s="32" t="n">
        <x:f>H1201*tun_RoleScale*Arch_Roles*AE1201*INDEX(tun_MonasteryPerSett,G1201)*tun_OutMonastery*INDEX(LM_Monastery,G1201)</x:f>
        <x:v>0</x:v>
      </x:c>
      <x:c r="AM1201" s="32" t="n">
        <x:f>(AJ1201+AK1201+AL1201)/4*INDEX(LM_All,G1201)*INDEX(tun_Boon,G1201)*Arch_Insight</x:f>
        <x:v>0</x:v>
      </x:c>
      <x:c r="AN1201" s="32" t="n">
        <x:f>H1201*(tun_KHPerAdult*Z1201+tun_KHOfCommons*AJ1201/4*INDEX(LM_All,G1201))*tun_KHUsable*Arch_KH</x:f>
        <x:v>0</x:v>
      </x:c>
      <x:c r="AO1201" s="32" t="n">
        <x:f>MIN(AP1200+AN1201,AM1201*tun_KHMaxRatio)</x:f>
        <x:v>0</x:v>
      </x:c>
      <x:c r="AP1201" s="32" t="n">
        <x:f>AP1200+AN1201-AO1201</x:f>
        <x:v>0</x:v>
      </x:c>
      <x:c r="AQ1201" s="32" t="n">
        <x:f>AM1201+AO1201</x:f>
        <x:v>0</x:v>
      </x:c>
      <x:c r="AR1201" s="10" t="n">
        <x:f>IF(H1201=1,INDEX(tun_Req,G1201),0)</x:f>
        <x:v>0</x:v>
      </x:c>
      <x:c r="AS1201" s="32" t="n">
        <x:f>IF(H1201=1,IF(E1201=1,AS1200-AR1200,AS1200)+AQ1201,0)</x:f>
        <x:v>0</x:v>
      </x:c>
      <x:c r="AT1201" s="11" t="n">
        <x:f>IF(AR1201&gt;0,MIN(1,AS1201/AR1201),1)</x:f>
        <x:v>1</x:v>
      </x:c>
      <x:c r="AU1201" s="10" t="n">
        <x:f>AB1201/INDEX(tun_RepScale,G1201)</x:f>
        <x:v>290.3368848566301</x:v>
      </x:c>
      <x:c r="AV1201" s="32" t="n">
        <x:f>AM1201*60/tun_SeasonSeconds</x:f>
        <x:v>0</x:v>
      </x:c>
    </x:row>
    <x:row r="1202">
      <x:c r="A1202" s="8" t="n">
        <x:f>A1201+1</x:f>
        <x:v>1199</x:v>
      </x:c>
      <x:c r="B1202" s="9" t="n">
        <x:f>A1202*tun_SeasonSeconds/60</x:f>
        <x:v>299.75</x:v>
      </x:c>
      <x:c r="C1202" s="9" t="n">
        <x:f>A1202/4</x:f>
        <x:v>299.75</x:v>
      </x:c>
      <x:c r="D1202" s="8" t="n">
        <x:f>IF(MOD(A1202,4)=0,1,0)</x:f>
        <x:v>0</x:v>
      </x:c>
      <x:c r="E1202" s="8" t="n">
        <x:f>IF(AND(F1201&lt;=9,AS1201&gt;=AR1201),1,0)</x:f>
        <x:v>0</x:v>
      </x:c>
      <x:c r="F1202" s="8" t="n">
        <x:f>MIN(10,F1201+E1202)</x:f>
        <x:v>10</x:v>
      </x:c>
      <x:c r="G1202" s="8" t="n">
        <x:f>MIN(F1202,9)+1</x:f>
        <x:v>10</x:v>
      </x:c>
      <x:c r="H1202" s="8" t="n">
        <x:f>IF(F1202&lt;=9,1,0)</x:f>
        <x:v>0</x:v>
      </x:c>
      <x:c r="I1202" s="9" t="n">
        <x:f>MIN(10,F1201+IF(AR1201&gt;0,MIN(1,AS1201/AR1201),1))</x:f>
        <x:v>10</x:v>
      </x:c>
      <x:c r="J1202" s="32" t="n">
        <x:f>INDEX(tun_FoodCap,G1202)*Arch_FoodCap*EXP(tun_CapsByProject*SUMPRODUCT((Cap_Point&lt;=I1202)*(Cap_Kind="Food")*Cap_Ln))</x:f>
        <x:v>18627.260449441455</x:v>
      </x:c>
      <x:c r="K1202" s="32" t="n">
        <x:f>J1202*MIN(1,tun_LeanBase*EXP(tun_CapsByProject*SUMPRODUCT((Cap_Point&lt;=I1202)*(Cap_Kind="Lean")*Cap_Ln)))</x:f>
        <x:v>18627.260449441455</x:v>
      </x:c>
      <x:c r="L1202" s="10" t="n">
        <x:f>INDEX(tun_HousingCap,G1202)*EXP(tun_CapsByProject*SUMPRODUCT((Cap_Point&lt;=I1202)*(Cap_Kind="Housing")*Cap_Ln))</x:f>
        <x:v>20528.974303173167</x:v>
      </x:c>
      <x:c r="M1202" s="10" t="n">
        <x:f>INDEX(tun_GroupCap,G1202)*tun_CohesionFactor*EXP(tun_CapsByProject*SUMPRODUCT((Cap_Point&lt;=I1202)*(Cap_Kind="Group")*Cap_Ln))</x:f>
        <x:v>1000000.000000001</x:v>
      </x:c>
      <x:c r="N1202" s="32" t="n">
        <x:f>MIN(J1202,L1202,M1202)</x:f>
        <x:v>18627.260449441455</x:v>
      </x:c>
      <x:c r="O1202" s="10" t="n">
        <x:f>AE1201*N1202</x:f>
        <x:v>167645.34404497308</x:v>
      </x:c>
      <x:c r="P1202" s="9" t="n">
        <x:f>MIN(1,(AB1201/(AE1201*IF(tun_GroupInCrowding=1,N1202,MIN(J1202,L1202))))^tun_CrowdingExp)</x:f>
        <x:v>0.4215841981292809</x:v>
      </x:c>
      <x:c r="Q1202" s="9" t="n">
        <x:f>IF(D1202=1,INDEX(tun_WinterMult,G1202),1)</x:f>
        <x:v>1</x:v>
      </x:c>
      <x:c r="R1202" s="9" t="n">
        <x:f>H1202*Z1201*tun_WomenShare*tun_BaseFertility*INDEX(tun_FertMult,G1202)*Arch_Fertility*(1-P1202)</x:f>
        <x:v>0</x:v>
      </x:c>
      <x:c r="S1202" s="9" t="n">
        <x:f>H1202*Y1201*INDEX(tun_MortChild,G1202)/4*Q1202</x:f>
        <x:v>0</x:v>
      </x:c>
      <x:c r="T1202" s="9" t="n">
        <x:f>H1202*Z1201*INDEX(tun_MortAdult,G1202)*Arch_AdultMort/4*Q1202</x:f>
        <x:v>0</x:v>
      </x:c>
      <x:c r="U1202" s="9" t="n">
        <x:f>H1202*AA1201*INDEX(tun_MortElder,G1202)/4*Q1202</x:f>
        <x:v>0</x:v>
      </x:c>
      <x:c r="V1202" s="9" t="n">
        <x:f>H1202*MAX(0,AB1201-O1202)*tun_OvercapLoss</x:f>
        <x:v>0</x:v>
      </x:c>
      <x:c r="W1202" s="9" t="n">
        <x:f>H1202*Y1201/(tun_ChildYears*4)</x:f>
        <x:v>0</x:v>
      </x:c>
      <x:c r="X1202" s="9" t="n">
        <x:f>H1202*Z1201/(tun_AdultYears*4)</x:f>
        <x:v>0</x:v>
      </x:c>
      <x:c r="Y1202" s="32" t="n">
        <x:f>Y1201+R1202-S1202-W1202-Y1201*V1202/AB1201</x:f>
        <x:v>40496.20709015643</x:v>
      </x:c>
      <x:c r="Z1202" s="32" t="n">
        <x:f>Z1201+W1202-X1202-T1202-Z1201*V1202/AB1201</x:f>
        <x:v>59141.61122890803</x:v>
      </x:c>
      <x:c r="AA1202" s="32" t="n">
        <x:f>AA1201+X1202-U1202-AA1201*V1202/AB1201</x:f>
        <x:v>45530.62410925061</x:v>
      </x:c>
      <x:c r="AB1202" s="10" t="n">
        <x:f>Y1202+Z1202+AA1202</x:f>
        <x:v>145168.44242831506</x:v>
      </x:c>
      <x:c r="AC1202" s="8" t="n">
        <x:f>IF(AND(tun_WinterTrigger=1,D1202=1,AB1201/AE1201&gt;=K1202),1,0)</x:f>
        <x:v>0</x:v>
      </x:c>
      <x:c r="AD1202" s="8" t="n">
        <x:f>H1202*IF(AND(OR(AB1201/AE1201&gt;=tun_FissionTrigger*N1202,AC1202=1),AB1201/AE1201*tun_DaughterShare&gt;=tun_MinDaughter),MAX(1,ROUND(AE1201*tun_FissionRate,0)),0)</x:f>
        <x:v>0</x:v>
      </x:c>
      <x:c r="AE1202" s="8" t="n">
        <x:f>IF(H1202=1,MAX(1,MIN(INDEX(tun_Smax,G1202),AE1201+AD1202)),AE1201)</x:f>
        <x:v>9</x:v>
      </x:c>
      <x:c r="AF1202" s="8" t="n">
        <x:f>MAX(0,AE1202-AE1201)</x:f>
        <x:v>0</x:v>
      </x:c>
      <x:c r="AG1202" s="9" t="str">
        <x:f>IF(AF1202&gt;0,B1202,"")</x:f>
      </x:c>
      <x:c r="AH1202" s="9" t="n">
        <x:f>IF(F1202&gt;=1,1,(1+tun_LowTiesShare*(AE1202-1))/AE1202)</x:f>
        <x:v>1</x:v>
      </x:c>
      <x:c r="AI1202" s="32" t="n">
        <x:f>(Z1202+tun_ElderCommons*INDEX(LM_Elder,G1202)*AA1202)*AH1202</x:f>
        <x:v>238215.0665857503</x:v>
      </x:c>
      <x:c r="AJ1202" s="32" t="n">
        <x:f>H1202*tun_CommonsCoef*AI1202^tun_CommonsExp*INDEX(LM_Commons,G1202)</x:f>
        <x:v>0</x:v>
      </x:c>
      <x:c r="AK1202" s="32" t="n">
        <x:f>H1202*tun_RoleScale*Arch_Roles*(AE1202*(INDEX(tun_ElderRolePerSett,G1202)*tun_OutElder*INDEX(LM_Elder,G1202)+INDEX(tun_ShamanPerSett,G1202)*tun_OutShaman)+Z1202*(INDEX(tun_PriestShare,G1202)*tun_OutPriest+INDEX(tun_ScribeShare,G1202)*tun_OutScribe*INDEX(LM_Scribe,G1202)+INDEX(tun_ScholarShare,G1202)*tun_OutScholar*INDEX(LM_Scholar,G1202)+INDEX(tun_ResearcherShare,G1202)*tun_OutResearcher*INDEX(LM_Researcher,G1202)))</x:f>
        <x:v>0</x:v>
      </x:c>
      <x:c r="AL1202" s="32" t="n">
        <x:f>H1202*tun_RoleScale*Arch_Roles*AE1202*INDEX(tun_MonasteryPerSett,G1202)*tun_OutMonastery*INDEX(LM_Monastery,G1202)</x:f>
        <x:v>0</x:v>
      </x:c>
      <x:c r="AM1202" s="32" t="n">
        <x:f>(AJ1202+AK1202+AL1202)/4*INDEX(LM_All,G1202)*INDEX(tun_Boon,G1202)*Arch_Insight</x:f>
        <x:v>0</x:v>
      </x:c>
      <x:c r="AN1202" s="32" t="n">
        <x:f>H1202*(tun_KHPerAdult*Z1202+tun_KHOfCommons*AJ1202/4*INDEX(LM_All,G1202))*tun_KHUsable*Arch_KH</x:f>
        <x:v>0</x:v>
      </x:c>
      <x:c r="AO1202" s="32" t="n">
        <x:f>MIN(AP1201+AN1202,AM1202*tun_KHMaxRatio)</x:f>
        <x:v>0</x:v>
      </x:c>
      <x:c r="AP1202" s="32" t="n">
        <x:f>AP1201+AN1202-AO1202</x:f>
        <x:v>0</x:v>
      </x:c>
      <x:c r="AQ1202" s="32" t="n">
        <x:f>AM1202+AO1202</x:f>
        <x:v>0</x:v>
      </x:c>
      <x:c r="AR1202" s="10" t="n">
        <x:f>IF(H1202=1,INDEX(tun_Req,G1202),0)</x:f>
        <x:v>0</x:v>
      </x:c>
      <x:c r="AS1202" s="32" t="n">
        <x:f>IF(H1202=1,IF(E1202=1,AS1201-AR1201,AS1201)+AQ1202,0)</x:f>
        <x:v>0</x:v>
      </x:c>
      <x:c r="AT1202" s="11" t="n">
        <x:f>IF(AR1202&gt;0,MIN(1,AS1202/AR1202),1)</x:f>
        <x:v>1</x:v>
      </x:c>
      <x:c r="AU1202" s="10" t="n">
        <x:f>AB1202/INDEX(tun_RepScale,G1202)</x:f>
        <x:v>290.3368848566301</x:v>
      </x:c>
      <x:c r="AV1202" s="32" t="n">
        <x:f>AM1202*60/tun_SeasonSeconds</x:f>
        <x:v>0</x:v>
      </x:c>
    </x:row>
    <x:row r="1203">
      <x:c r="A1203" s="8" t="n">
        <x:f>A1202+1</x:f>
        <x:v>1200</x:v>
      </x:c>
      <x:c r="B1203" s="9" t="n">
        <x:f>A1203*tun_SeasonSeconds/60</x:f>
        <x:v>300</x:v>
      </x:c>
      <x:c r="C1203" s="9" t="n">
        <x:f>A1203/4</x:f>
        <x:v>300</x:v>
      </x:c>
      <x:c r="D1203" s="8" t="n">
        <x:f>IF(MOD(A1203,4)=0,1,0)</x:f>
        <x:v>1</x:v>
      </x:c>
      <x:c r="E1203" s="8" t="n">
        <x:f>IF(AND(F1202&lt;=9,AS1202&gt;=AR1202),1,0)</x:f>
        <x:v>0</x:v>
      </x:c>
      <x:c r="F1203" s="8" t="n">
        <x:f>MIN(10,F1202+E1203)</x:f>
        <x:v>10</x:v>
      </x:c>
      <x:c r="G1203" s="8" t="n">
        <x:f>MIN(F1203,9)+1</x:f>
        <x:v>10</x:v>
      </x:c>
      <x:c r="H1203" s="8" t="n">
        <x:f>IF(F1203&lt;=9,1,0)</x:f>
        <x:v>0</x:v>
      </x:c>
      <x:c r="I1203" s="9" t="n">
        <x:f>MIN(10,F1202+IF(AR1202&gt;0,MIN(1,AS1202/AR1202),1))</x:f>
        <x:v>10</x:v>
      </x:c>
      <x:c r="J1203" s="32" t="n">
        <x:f>INDEX(tun_FoodCap,G1203)*Arch_FoodCap*EXP(tun_CapsByProject*SUMPRODUCT((Cap_Point&lt;=I1203)*(Cap_Kind="Food")*Cap_Ln))</x:f>
        <x:v>18627.260449441455</x:v>
      </x:c>
      <x:c r="K1203" s="32" t="n">
        <x:f>J1203*MIN(1,tun_LeanBase*EXP(tun_CapsByProject*SUMPRODUCT((Cap_Point&lt;=I1203)*(Cap_Kind="Lean")*Cap_Ln)))</x:f>
        <x:v>18627.260449441455</x:v>
      </x:c>
      <x:c r="L1203" s="10" t="n">
        <x:f>INDEX(tun_HousingCap,G1203)*EXP(tun_CapsByProject*SUMPRODUCT((Cap_Point&lt;=I1203)*(Cap_Kind="Housing")*Cap_Ln))</x:f>
        <x:v>20528.974303173167</x:v>
      </x:c>
      <x:c r="M1203" s="10" t="n">
        <x:f>INDEX(tun_GroupCap,G1203)*tun_CohesionFactor*EXP(tun_CapsByProject*SUMPRODUCT((Cap_Point&lt;=I1203)*(Cap_Kind="Group")*Cap_Ln))</x:f>
        <x:v>1000000.000000001</x:v>
      </x:c>
      <x:c r="N1203" s="32" t="n">
        <x:f>MIN(J1203,L1203,M1203)</x:f>
        <x:v>18627.260449441455</x:v>
      </x:c>
      <x:c r="O1203" s="10" t="n">
        <x:f>AE1202*N1203</x:f>
        <x:v>167645.34404497308</x:v>
      </x:c>
      <x:c r="P1203" s="9" t="n">
        <x:f>MIN(1,(AB1202/(AE1202*IF(tun_GroupInCrowding=1,N1203,MIN(J1203,L1203))))^tun_CrowdingExp)</x:f>
        <x:v>0.4215841981292809</x:v>
      </x:c>
      <x:c r="Q1203" s="9" t="n">
        <x:f>IF(D1203=1,INDEX(tun_WinterMult,G1203),1)</x:f>
        <x:v>1.05</x:v>
      </x:c>
      <x:c r="R1203" s="9" t="n">
        <x:f>H1203*Z1202*tun_WomenShare*tun_BaseFertility*INDEX(tun_FertMult,G1203)*Arch_Fertility*(1-P1203)</x:f>
        <x:v>0</x:v>
      </x:c>
      <x:c r="S1203" s="9" t="n">
        <x:f>H1203*Y1202*INDEX(tun_MortChild,G1203)/4*Q1203</x:f>
        <x:v>0</x:v>
      </x:c>
      <x:c r="T1203" s="9" t="n">
        <x:f>H1203*Z1202*INDEX(tun_MortAdult,G1203)*Arch_AdultMort/4*Q1203</x:f>
        <x:v>0</x:v>
      </x:c>
      <x:c r="U1203" s="9" t="n">
        <x:f>H1203*AA1202*INDEX(tun_MortElder,G1203)/4*Q1203</x:f>
        <x:v>0</x:v>
      </x:c>
      <x:c r="V1203" s="9" t="n">
        <x:f>H1203*MAX(0,AB1202-O1203)*tun_OvercapLoss</x:f>
        <x:v>0</x:v>
      </x:c>
      <x:c r="W1203" s="9" t="n">
        <x:f>H1203*Y1202/(tun_ChildYears*4)</x:f>
        <x:v>0</x:v>
      </x:c>
      <x:c r="X1203" s="9" t="n">
        <x:f>H1203*Z1202/(tun_AdultYears*4)</x:f>
        <x:v>0</x:v>
      </x:c>
      <x:c r="Y1203" s="32" t="n">
        <x:f>Y1202+R1203-S1203-W1203-Y1202*V1203/AB1202</x:f>
        <x:v>40496.20709015643</x:v>
      </x:c>
      <x:c r="Z1203" s="32" t="n">
        <x:f>Z1202+W1203-X1203-T1203-Z1202*V1203/AB1202</x:f>
        <x:v>59141.61122890803</x:v>
      </x:c>
      <x:c r="AA1203" s="32" t="n">
        <x:f>AA1202+X1203-U1203-AA1202*V1203/AB1202</x:f>
        <x:v>45530.62410925061</x:v>
      </x:c>
      <x:c r="AB1203" s="10" t="n">
        <x:f>Y1203+Z1203+AA1203</x:f>
        <x:v>145168.44242831506</x:v>
      </x:c>
      <x:c r="AC1203" s="8" t="n">
        <x:f>IF(AND(tun_WinterTrigger=1,D1203=1,AB1202/AE1202&gt;=K1203),1,0)</x:f>
        <x:v>0</x:v>
      </x:c>
      <x:c r="AD1203" s="8" t="n">
        <x:f>H1203*IF(AND(OR(AB1202/AE1202&gt;=tun_FissionTrigger*N1203,AC1203=1),AB1202/AE1202*tun_DaughterShare&gt;=tun_MinDaughter),MAX(1,ROUND(AE1202*tun_FissionRate,0)),0)</x:f>
        <x:v>0</x:v>
      </x:c>
      <x:c r="AE1203" s="8" t="n">
        <x:f>IF(H1203=1,MAX(1,MIN(INDEX(tun_Smax,G1203),AE1202+AD1203)),AE1202)</x:f>
        <x:v>9</x:v>
      </x:c>
      <x:c r="AF1203" s="8" t="n">
        <x:f>MAX(0,AE1203-AE1202)</x:f>
        <x:v>0</x:v>
      </x:c>
      <x:c r="AG1203" s="9" t="str">
        <x:f>IF(AF1203&gt;0,B1203,"")</x:f>
      </x:c>
      <x:c r="AH1203" s="9" t="n">
        <x:f>IF(F1203&gt;=1,1,(1+tun_LowTiesShare*(AE1203-1))/AE1203)</x:f>
        <x:v>1</x:v>
      </x:c>
      <x:c r="AI1203" s="32" t="n">
        <x:f>(Z1203+tun_ElderCommons*INDEX(LM_Elder,G1203)*AA1203)*AH1203</x:f>
        <x:v>238215.0665857503</x:v>
      </x:c>
      <x:c r="AJ1203" s="32" t="n">
        <x:f>H1203*tun_CommonsCoef*AI1203^tun_CommonsExp*INDEX(LM_Commons,G1203)</x:f>
        <x:v>0</x:v>
      </x:c>
      <x:c r="AK1203" s="32" t="n">
        <x:f>H1203*tun_RoleScale*Arch_Roles*(AE1203*(INDEX(tun_ElderRolePerSett,G1203)*tun_OutElder*INDEX(LM_Elder,G1203)+INDEX(tun_ShamanPerSett,G1203)*tun_OutShaman)+Z1203*(INDEX(tun_PriestShare,G1203)*tun_OutPriest+INDEX(tun_ScribeShare,G1203)*tun_OutScribe*INDEX(LM_Scribe,G1203)+INDEX(tun_ScholarShare,G1203)*tun_OutScholar*INDEX(LM_Scholar,G1203)+INDEX(tun_ResearcherShare,G1203)*tun_OutResearcher*INDEX(LM_Researcher,G1203)))</x:f>
        <x:v>0</x:v>
      </x:c>
      <x:c r="AL1203" s="32" t="n">
        <x:f>H1203*tun_RoleScale*Arch_Roles*AE1203*INDEX(tun_MonasteryPerSett,G1203)*tun_OutMonastery*INDEX(LM_Monastery,G1203)</x:f>
        <x:v>0</x:v>
      </x:c>
      <x:c r="AM1203" s="32" t="n">
        <x:f>(AJ1203+AK1203+AL1203)/4*INDEX(LM_All,G1203)*INDEX(tun_Boon,G1203)*Arch_Insight</x:f>
        <x:v>0</x:v>
      </x:c>
      <x:c r="AN1203" s="32" t="n">
        <x:f>H1203*(tun_KHPerAdult*Z1203+tun_KHOfCommons*AJ1203/4*INDEX(LM_All,G1203))*tun_KHUsable*Arch_KH</x:f>
        <x:v>0</x:v>
      </x:c>
      <x:c r="AO1203" s="32" t="n">
        <x:f>MIN(AP1202+AN1203,AM1203*tun_KHMaxRatio)</x:f>
        <x:v>0</x:v>
      </x:c>
      <x:c r="AP1203" s="32" t="n">
        <x:f>AP1202+AN1203-AO1203</x:f>
        <x:v>0</x:v>
      </x:c>
      <x:c r="AQ1203" s="32" t="n">
        <x:f>AM1203+AO1203</x:f>
        <x:v>0</x:v>
      </x:c>
      <x:c r="AR1203" s="10" t="n">
        <x:f>IF(H1203=1,INDEX(tun_Req,G1203),0)</x:f>
        <x:v>0</x:v>
      </x:c>
      <x:c r="AS1203" s="32" t="n">
        <x:f>IF(H1203=1,IF(E1203=1,AS1202-AR1202,AS1202)+AQ1203,0)</x:f>
        <x:v>0</x:v>
      </x:c>
      <x:c r="AT1203" s="11" t="n">
        <x:f>IF(AR1203&gt;0,MIN(1,AS1203/AR1203),1)</x:f>
        <x:v>1</x:v>
      </x:c>
      <x:c r="AU1203" s="10" t="n">
        <x:f>AB1203/INDEX(tun_RepScale,G1203)</x:f>
        <x:v>290.3368848566301</x:v>
      </x:c>
      <x:c r="AV1203" s="32" t="n">
        <x:f>AM1203*60/tun_SeasonSeconds</x:f>
        <x:v>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10" customWidth="1"/>
    <x:col min="3" max="3" width="11" customWidth="1"/>
    <x:col min="4" max="4" width="11" customWidth="1"/>
    <x:col min="5" max="5" width="11" customWidth="1"/>
    <x:col min="6" max="6" width="12" customWidth="1"/>
  </x:cols>
  <x:sheetData>
    <x:row r="1">
      <x:c r="A1" s="5" t="inlineStr">
        <x:is>
          <x:t xml:space="preserve">Sweeps — static snapshot from tools/balance_sim.py (not live)</x:t>
        </x:is>
      </x:c>
    </x:row>
    <x:row r="2">
      <x:c r="A2" s="3" t="inlineStr">
        <x:is>
          <x:t xml:space="preserve">Every pace × archetype for both scenarios, computed by the Python mirror of these formulas at build time. The live sheets show one Pace/Archetype at a time (Params selectors); use this table to compare them all.</x:t>
        </x:is>
      </x:c>
    </x:row>
    <x:row r="4">
      <x:c r="A4" s="14" t="inlineStr">
        <x:is>
          <x:t xml:space="preserve">Scenario</x:t>
        </x:is>
      </x:c>
      <x:c r="B4" s="14" t="inlineStr">
        <x:is>
          <x:t xml:space="preserve">Pace</x:t>
        </x:is>
      </x:c>
      <x:c r="C4" s="14" t="inlineStr">
        <x:is>
          <x:t xml:space="preserve">Archetype</x:t>
        </x:is>
      </x:c>
      <x:c r="D4" s="14" t="inlineStr">
        <x:is>
          <x:t xml:space="preserve">Total (min)</x:t>
        </x:is>
      </x:c>
      <x:c r="E4" s="14" t="inlineStr">
        <x:is>
          <x:t xml:space="preserve">Target (min)</x:t>
        </x:is>
      </x:c>
      <x:c r="F4" s="14" t="inlineStr">
        <x:is>
          <x:t xml:space="preserve">First fission</x:t>
        </x:is>
      </x:c>
      <x:c r="G4" s="14" t="inlineStr">
        <x:is>
          <x:t xml:space="preserve">E0 min</x:t>
        </x:is>
      </x:c>
      <x:c r="H4" s="14" t="inlineStr">
        <x:is>
          <x:t xml:space="preserve">E1 min</x:t>
        </x:is>
      </x:c>
      <x:c r="I4" s="14" t="inlineStr">
        <x:is>
          <x:t xml:space="preserve">E2 min</x:t>
        </x:is>
      </x:c>
      <x:c r="J4" s="14" t="inlineStr">
        <x:is>
          <x:t xml:space="preserve">E3 min</x:t>
        </x:is>
      </x:c>
      <x:c r="K4" s="14" t="inlineStr">
        <x:is>
          <x:t xml:space="preserve">E4 min</x:t>
        </x:is>
      </x:c>
      <x:c r="L4" s="14" t="inlineStr">
        <x:is>
          <x:t xml:space="preserve">E5 min</x:t>
        </x:is>
      </x:c>
      <x:c r="M4" s="14" t="inlineStr">
        <x:is>
          <x:t xml:space="preserve">E6 min</x:t>
        </x:is>
      </x:c>
      <x:c r="N4" s="14" t="inlineStr">
        <x:is>
          <x:t xml:space="preserve">E7 min</x:t>
        </x:is>
      </x:c>
      <x:c r="O4" s="14" t="inlineStr">
        <x:is>
          <x:t xml:space="preserve">E8 min</x:t>
        </x:is>
      </x:c>
      <x:c r="P4" s="14" t="inlineStr">
        <x:is>
          <x:t xml:space="preserve">E9 min</x:t>
        </x:is>
      </x:c>
    </x:row>
    <x:row r="5">
      <x:c r="A5" s="28" t="inlineStr">
        <x:is>
          <x:t xml:space="preserve">v0.1 (as written)</x:t>
        </x:is>
      </x:c>
      <x:c r="B5" s="28" t="inlineStr">
        <x:is>
          <x:t xml:space="preserve">Standard</x:t>
        </x:is>
      </x:c>
      <x:c r="C5" s="28" t="inlineStr">
        <x:is>
          <x:t xml:space="preserve">Balanced</x:t>
        </x:is>
      </x:c>
      <x:c r="D5" s="34" t="n">
        <x:v>350.25</x:v>
      </x:c>
      <x:c r="E5" s="28" t="n">
        <x:v>180</x:v>
      </x:c>
      <x:c r="F5" s="34" t="n">
        <x:v>76.75</x:v>
      </x:c>
      <x:c r="G5" s="34" t="n">
        <x:v>58.5</x:v>
      </x:c>
      <x:c r="H5" s="34" t="n">
        <x:v>62.5</x:v>
      </x:c>
      <x:c r="I5" s="34" t="n">
        <x:v>56.25</x:v>
      </x:c>
      <x:c r="J5" s="34" t="n">
        <x:v>43.25</x:v>
      </x:c>
      <x:c r="K5" s="34" t="n">
        <x:v>34.75</x:v>
      </x:c>
      <x:c r="L5" s="34" t="n">
        <x:v>24.25</x:v>
      </x:c>
      <x:c r="M5" s="34" t="n">
        <x:v>21.75</x:v>
      </x:c>
      <x:c r="N5" s="34" t="n">
        <x:v>16.5</x:v>
      </x:c>
      <x:c r="O5" s="34" t="n">
        <x:v>17.5</x:v>
      </x:c>
      <x:c r="P5" s="34" t="n">
        <x:v>15</x:v>
      </x:c>
    </x:row>
    <x:row r="6">
      <x:c r="A6" s="28" t="inlineStr">
        <x:is>
          <x:t xml:space="preserve">v0.1 (as written)</x:t>
        </x:is>
      </x:c>
      <x:c r="B6" s="28" t="inlineStr">
        <x:is>
          <x:t xml:space="preserve">Standard</x:t>
        </x:is>
      </x:c>
      <x:c r="C6" s="28" t="inlineStr">
        <x:is>
          <x:t xml:space="preserve">Grower</x:t>
        </x:is>
      </x:c>
      <x:c r="D6" s="34" t="n">
        <x:v>287.5</x:v>
      </x:c>
      <x:c r="E6" s="28" t="n">
        <x:v>180</x:v>
      </x:c>
      <x:c r="F6" s="34" t="n">
        <x:v>64.5</x:v>
      </x:c>
      <x:c r="G6" s="34" t="n">
        <x:v>52.75</x:v>
      </x:c>
      <x:c r="H6" s="34" t="n">
        <x:v>52</x:v>
      </x:c>
      <x:c r="I6" s="34" t="n">
        <x:v>45</x:v>
      </x:c>
      <x:c r="J6" s="34" t="n">
        <x:v>34.25</x:v>
      </x:c>
      <x:c r="K6" s="34" t="n">
        <x:v>27.5</x:v>
      </x:c>
      <x:c r="L6" s="34" t="n">
        <x:v>19.25</x:v>
      </x:c>
      <x:c r="M6" s="34" t="n">
        <x:v>17.25</x:v>
      </x:c>
      <x:c r="N6" s="34" t="n">
        <x:v>13.25</x:v>
      </x:c>
      <x:c r="O6" s="34" t="n">
        <x:v>14</x:v>
      </x:c>
      <x:c r="P6" s="34" t="n">
        <x:v>12.25</x:v>
      </x:c>
    </x:row>
    <x:row r="7">
      <x:c r="A7" s="28" t="inlineStr">
        <x:is>
          <x:t xml:space="preserve">v0.1 (as written)</x:t>
        </x:is>
      </x:c>
      <x:c r="B7" s="28" t="inlineStr">
        <x:is>
          <x:t xml:space="preserve">Standard</x:t>
        </x:is>
      </x:c>
      <x:c r="C7" s="28" t="inlineStr">
        <x:is>
          <x:t xml:space="preserve">Builder</x:t>
        </x:is>
      </x:c>
      <x:c r="D7" s="34" t="n">
        <x:v>361.5</x:v>
      </x:c>
      <x:c r="E7" s="28" t="n">
        <x:v>180</x:v>
      </x:c>
      <x:c r="F7" s="34" t="n">
        <x:v>78.75</x:v>
      </x:c>
      <x:c r="G7" s="34" t="n">
        <x:v>56.25</x:v>
      </x:c>
      <x:c r="H7" s="34" t="n">
        <x:v>63.25</x:v>
      </x:c>
      <x:c r="I7" s="34" t="n">
        <x:v>59</x:v>
      </x:c>
      <x:c r="J7" s="34" t="n">
        <x:v>45.75</x:v>
      </x:c>
      <x:c r="K7" s="34" t="n">
        <x:v>36.75</x:v>
      </x:c>
      <x:c r="L7" s="34" t="n">
        <x:v>25.5</x:v>
      </x:c>
      <x:c r="M7" s="34" t="n">
        <x:v>23.25</x:v>
      </x:c>
      <x:c r="N7" s="34" t="n">
        <x:v>17.25</x:v>
      </x:c>
      <x:c r="O7" s="34" t="n">
        <x:v>18.5</x:v>
      </x:c>
      <x:c r="P7" s="34" t="n">
        <x:v>16</x:v>
      </x:c>
    </x:row>
    <x:row r="8">
      <x:c r="A8" s="28" t="inlineStr">
        <x:is>
          <x:t xml:space="preserve">v0.1 (as written)</x:t>
        </x:is>
      </x:c>
      <x:c r="B8" s="28" t="inlineStr">
        <x:is>
          <x:t xml:space="preserve">Standard</x:t>
        </x:is>
      </x:c>
      <x:c r="C8" s="28" t="inlineStr">
        <x:is>
          <x:t xml:space="preserve">Wanderer</x:t>
        </x:is>
      </x:c>
      <x:c r="D8" s="34" t="n">
        <x:v>348.5</x:v>
      </x:c>
      <x:c r="E8" s="28" t="n">
        <x:v>180</x:v>
      </x:c>
      <x:c r="F8" s="34" t="n">
        <x:v>74.75</x:v>
      </x:c>
      <x:c r="G8" s="34" t="n">
        <x:v>55.75</x:v>
      </x:c>
      <x:c r="H8" s="34" t="n">
        <x:v>62.25</x:v>
      </x:c>
      <x:c r="I8" s="34" t="n">
        <x:v>56.5</x:v>
      </x:c>
      <x:c r="J8" s="34" t="n">
        <x:v>43.25</x:v>
      </x:c>
      <x:c r="K8" s="34" t="n">
        <x:v>34.75</x:v>
      </x:c>
      <x:c r="L8" s="34" t="n">
        <x:v>24.5</x:v>
      </x:c>
      <x:c r="M8" s="34" t="n">
        <x:v>22</x:v>
      </x:c>
      <x:c r="N8" s="34" t="n">
        <x:v>16.5</x:v>
      </x:c>
      <x:c r="O8" s="34" t="n">
        <x:v>17.75</x:v>
      </x:c>
      <x:c r="P8" s="34" t="n">
        <x:v>15.25</x:v>
      </x:c>
    </x:row>
    <x:row r="9">
      <x:c r="A9" s="28" t="inlineStr">
        <x:is>
          <x:t xml:space="preserve">v0.1 (as written)</x:t>
        </x:is>
      </x:c>
      <x:c r="B9" s="28" t="inlineStr">
        <x:is>
          <x:t xml:space="preserve">Standard</x:t>
        </x:is>
      </x:c>
      <x:c r="C9" s="28" t="inlineStr">
        <x:is>
          <x:t xml:space="preserve">Warlord</x:t>
        </x:is>
      </x:c>
      <x:c r="D9" s="34" t="n">
        <x:v>392.75</x:v>
      </x:c>
      <x:c r="E9" s="28" t="n">
        <x:v>180</x:v>
      </x:c>
      <x:c r="F9" s="34" t="n">
        <x:v>92.75</x:v>
      </x:c>
      <x:c r="G9" s="34" t="n">
        <x:v>68</x:v>
      </x:c>
      <x:c r="H9" s="34" t="n">
        <x:v>73.25</x:v>
      </x:c>
      <x:c r="I9" s="34" t="n">
        <x:v>63.5</x:v>
      </x:c>
      <x:c r="J9" s="34" t="n">
        <x:v>47.5</x:v>
      </x:c>
      <x:c r="K9" s="34" t="n">
        <x:v>37.75</x:v>
      </x:c>
      <x:c r="L9" s="34" t="n">
        <x:v>26.5</x:v>
      </x:c>
      <x:c r="M9" s="34" t="n">
        <x:v>23.75</x:v>
      </x:c>
      <x:c r="N9" s="34" t="n">
        <x:v>18</x:v>
      </x:c>
      <x:c r="O9" s="34" t="n">
        <x:v>18.5</x:v>
      </x:c>
      <x:c r="P9" s="34" t="n">
        <x:v>16</x:v>
      </x:c>
    </x:row>
    <x:row r="10">
      <x:c r="A10" s="28" t="inlineStr">
        <x:is>
          <x:t xml:space="preserve">v0.1 (as written)</x:t>
        </x:is>
      </x:c>
      <x:c r="B10" s="28" t="inlineStr">
        <x:is>
          <x:t xml:space="preserve">Standard</x:t>
        </x:is>
      </x:c>
      <x:c r="C10" s="28" t="inlineStr">
        <x:is>
          <x:t xml:space="preserve">Sage</x:t>
        </x:is>
      </x:c>
      <x:c r="D10" s="34" t="n">
        <x:v>353.5</x:v>
      </x:c>
      <x:c r="E10" s="28" t="n">
        <x:v>180</x:v>
      </x:c>
      <x:c r="F10" s="34" t="n">
        <x:v>76.75</x:v>
      </x:c>
      <x:c r="G10" s="34" t="n">
        <x:v>56</x:v>
      </x:c>
      <x:c r="H10" s="34" t="n">
        <x:v>60.5</x:v>
      </x:c>
      <x:c r="I10" s="34" t="n">
        <x:v>57.25</x:v>
      </x:c>
      <x:c r="J10" s="34" t="n">
        <x:v>45.5</x:v>
      </x:c>
      <x:c r="K10" s="34" t="n">
        <x:v>36.75</x:v>
      </x:c>
      <x:c r="L10" s="34" t="n">
        <x:v>25.25</x:v>
      </x:c>
      <x:c r="M10" s="34" t="n">
        <x:v>22.25</x:v>
      </x:c>
      <x:c r="N10" s="34" t="n">
        <x:v>16.5</x:v>
      </x:c>
      <x:c r="O10" s="34" t="n">
        <x:v>18</x:v>
      </x:c>
      <x:c r="P10" s="34" t="n">
        <x:v>15.5</x:v>
      </x:c>
    </x:row>
    <x:row r="11">
      <x:c r="A11" s="28" t="inlineStr">
        <x:is>
          <x:t xml:space="preserve">v0.1 (as written)</x:t>
        </x:is>
      </x:c>
      <x:c r="B11" s="28" t="inlineStr">
        <x:is>
          <x:t xml:space="preserve">Quick</x:t>
        </x:is>
      </x:c>
      <x:c r="C11" s="28" t="inlineStr">
        <x:is>
          <x:t xml:space="preserve">Balanced</x:t>
        </x:is>
      </x:c>
      <x:c r="D11" s="34" t="n">
        <x:v>283</x:v>
      </x:c>
      <x:c r="E11" s="28" t="n">
        <x:v>90</x:v>
      </x:c>
      <x:c r="F11" s="34" t="n">
        <x:v>51</x:v>
      </x:c>
      <x:c r="G11" s="34" t="n">
        <x:v>30.75</x:v>
      </x:c>
      <x:c r="H11" s="34" t="n">
        <x:v>41.25</x:v>
      </x:c>
      <x:c r="I11" s="34" t="n">
        <x:v>46.75</x:v>
      </x:c>
      <x:c r="J11" s="34" t="n">
        <x:v>39.5</x:v>
      </x:c>
      <x:c r="K11" s="34" t="n">
        <x:v>33.25</x:v>
      </x:c>
      <x:c r="L11" s="34" t="n">
        <x:v>23.25</x:v>
      </x:c>
      <x:c r="M11" s="34" t="n">
        <x:v>20.75</x:v>
      </x:c>
      <x:c r="N11" s="34" t="n">
        <x:v>15.75</x:v>
      </x:c>
      <x:c r="O11" s="34" t="n">
        <x:v>17</x:v>
      </x:c>
      <x:c r="P11" s="34" t="n">
        <x:v>14.75</x:v>
      </x:c>
    </x:row>
    <x:row r="12">
      <x:c r="A12" s="28" t="inlineStr">
        <x:is>
          <x:t xml:space="preserve">v0.1 (as written)</x:t>
        </x:is>
      </x:c>
      <x:c r="B12" s="28" t="inlineStr">
        <x:is>
          <x:t xml:space="preserve">Quick</x:t>
        </x:is>
      </x:c>
      <x:c r="C12" s="28" t="inlineStr">
        <x:is>
          <x:t xml:space="preserve">Grower</x:t>
        </x:is>
      </x:c>
      <x:c r="D12" s="34" t="n">
        <x:v>240.75</x:v>
      </x:c>
      <x:c r="E12" s="28" t="n">
        <x:v>90</x:v>
      </x:c>
      <x:c r="F12" s="34" t="n">
        <x:v>44</x:v>
      </x:c>
      <x:c r="G12" s="34" t="n">
        <x:v>29.25</x:v>
      </x:c>
      <x:c r="H12" s="34" t="n">
        <x:v>35.5</x:v>
      </x:c>
      <x:c r="I12" s="34" t="n">
        <x:v>39.5</x:v>
      </x:c>
      <x:c r="J12" s="34" t="n">
        <x:v>33</x:v>
      </x:c>
      <x:c r="K12" s="34" t="n">
        <x:v>27.25</x:v>
      </x:c>
      <x:c r="L12" s="34" t="n">
        <x:v>19</x:v>
      </x:c>
      <x:c r="M12" s="34" t="n">
        <x:v>17.5</x:v>
      </x:c>
      <x:c r="N12" s="34" t="n">
        <x:v>13.25</x:v>
      </x:c>
      <x:c r="O12" s="34" t="n">
        <x:v>14.25</x:v>
      </x:c>
      <x:c r="P12" s="34" t="n">
        <x:v>12.25</x:v>
      </x:c>
    </x:row>
    <x:row r="13">
      <x:c r="A13" s="28" t="inlineStr">
        <x:is>
          <x:t xml:space="preserve">v0.1 (as written)</x:t>
        </x:is>
      </x:c>
      <x:c r="B13" s="28" t="inlineStr">
        <x:is>
          <x:t xml:space="preserve">Quick</x:t>
        </x:is>
      </x:c>
      <x:c r="C13" s="28" t="inlineStr">
        <x:is>
          <x:t xml:space="preserve">Builder</x:t>
        </x:is>
      </x:c>
      <x:c r="D13" s="34" t="n">
        <x:v>299</x:v>
      </x:c>
      <x:c r="E13" s="28" t="n">
        <x:v>90</x:v>
      </x:c>
      <x:c r="F13" s="34" t="n">
        <x:v>55.75</x:v>
      </x:c>
      <x:c r="G13" s="34" t="n">
        <x:v>29.75</x:v>
      </x:c>
      <x:c r="H13" s="34" t="n">
        <x:v>41.75</x:v>
      </x:c>
      <x:c r="I13" s="34" t="n">
        <x:v>48.75</x:v>
      </x:c>
      <x:c r="J13" s="34" t="n">
        <x:v>42.25</x:v>
      </x:c>
      <x:c r="K13" s="34" t="n">
        <x:v>36.25</x:v>
      </x:c>
      <x:c r="L13" s="34" t="n">
        <x:v>25.5</x:v>
      </x:c>
      <x:c r="M13" s="34" t="n">
        <x:v>23</x:v>
      </x:c>
      <x:c r="N13" s="34" t="n">
        <x:v>17.25</x:v>
      </x:c>
      <x:c r="O13" s="34" t="n">
        <x:v>18.5</x:v>
      </x:c>
      <x:c r="P13" s="34" t="n">
        <x:v>16</x:v>
      </x:c>
    </x:row>
    <x:row r="14">
      <x:c r="A14" s="28" t="inlineStr">
        <x:is>
          <x:t xml:space="preserve">v0.1 (as written)</x:t>
        </x:is>
      </x:c>
      <x:c r="B14" s="28" t="inlineStr">
        <x:is>
          <x:t xml:space="preserve">Quick</x:t>
        </x:is>
      </x:c>
      <x:c r="C14" s="28" t="inlineStr">
        <x:is>
          <x:t xml:space="preserve">Wanderer</x:t>
        </x:is>
      </x:c>
      <x:c r="D14" s="34" t="n">
        <x:v>284.75</x:v>
      </x:c>
      <x:c r="E14" s="28" t="n">
        <x:v>90</x:v>
      </x:c>
      <x:c r="F14" s="34" t="n">
        <x:v>50</x:v>
      </x:c>
      <x:c r="G14" s="34" t="n">
        <x:v>29</x:v>
      </x:c>
      <x:c r="H14" s="34" t="n">
        <x:v>40.75</x:v>
      </x:c>
      <x:c r="I14" s="34" t="n">
        <x:v>47</x:v>
      </x:c>
      <x:c r="J14" s="34" t="n">
        <x:v>39.75</x:v>
      </x:c>
      <x:c r="K14" s="34" t="n">
        <x:v>33.25</x:v>
      </x:c>
      <x:c r="L14" s="34" t="n">
        <x:v>23.5</x:v>
      </x:c>
      <x:c r="M14" s="34" t="n">
        <x:v>22</x:v>
      </x:c>
      <x:c r="N14" s="34" t="n">
        <x:v>16.75</x:v>
      </x:c>
      <x:c r="O14" s="34" t="n">
        <x:v>17.5</x:v>
      </x:c>
      <x:c r="P14" s="34" t="n">
        <x:v>15.25</x:v>
      </x:c>
    </x:row>
    <x:row r="15">
      <x:c r="A15" s="28" t="inlineStr">
        <x:is>
          <x:t xml:space="preserve">v0.1 (as written)</x:t>
        </x:is>
      </x:c>
      <x:c r="B15" s="28" t="inlineStr">
        <x:is>
          <x:t xml:space="preserve">Quick</x:t>
        </x:is>
      </x:c>
      <x:c r="C15" s="28" t="inlineStr">
        <x:is>
          <x:t xml:space="preserve">Warlord</x:t>
        </x:is>
      </x:c>
      <x:c r="D15" s="34" t="n">
        <x:v>313.75</x:v>
      </x:c>
      <x:c r="E15" s="28" t="n">
        <x:v>90</x:v>
      </x:c>
      <x:c r="F15" s="34" t="n">
        <x:v>62</x:v>
      </x:c>
      <x:c r="G15" s="34" t="n">
        <x:v>35.25</x:v>
      </x:c>
      <x:c r="H15" s="34" t="n">
        <x:v>48.25</x:v>
      </x:c>
      <x:c r="I15" s="34" t="n">
        <x:v>52.75</x:v>
      </x:c>
      <x:c r="J15" s="34" t="n">
        <x:v>43.5</x:v>
      </x:c>
      <x:c r="K15" s="34" t="n">
        <x:v>35.75</x:v>
      </x:c>
      <x:c r="L15" s="34" t="n">
        <x:v>25.25</x:v>
      </x:c>
      <x:c r="M15" s="34" t="n">
        <x:v>22.75</x:v>
      </x:c>
      <x:c r="N15" s="34" t="n">
        <x:v>17</x:v>
      </x:c>
      <x:c r="O15" s="34" t="n">
        <x:v>17.75</x:v>
      </x:c>
      <x:c r="P15" s="34" t="n">
        <x:v>15.5</x:v>
      </x:c>
    </x:row>
    <x:row r="16">
      <x:c r="A16" s="28" t="inlineStr">
        <x:is>
          <x:t xml:space="preserve">v0.1 (as written)</x:t>
        </x:is>
      </x:c>
      <x:c r="B16" s="28" t="inlineStr">
        <x:is>
          <x:t xml:space="preserve">Quick</x:t>
        </x:is>
      </x:c>
      <x:c r="C16" s="28" t="inlineStr">
        <x:is>
          <x:t xml:space="preserve">Sage</x:t>
        </x:is>
      </x:c>
      <x:c r="D16" s="34" t="n">
        <x:v>290.5</x:v>
      </x:c>
      <x:c r="E16" s="28" t="n">
        <x:v>90</x:v>
      </x:c>
      <x:c r="F16" s="34" t="n">
        <x:v>52</x:v>
      </x:c>
      <x:c r="G16" s="34" t="n">
        <x:v>29</x:v>
      </x:c>
      <x:c r="H16" s="34" t="n">
        <x:v>39</x:v>
      </x:c>
      <x:c r="I16" s="34" t="n">
        <x:v>47</x:v>
      </x:c>
      <x:c r="J16" s="34" t="n">
        <x:v>42.25</x:v>
      </x:c>
      <x:c r="K16" s="34" t="n">
        <x:v>36</x:v>
      </x:c>
      <x:c r="L16" s="34" t="n">
        <x:v>25</x:v>
      </x:c>
      <x:c r="M16" s="34" t="n">
        <x:v>22.25</x:v>
      </x:c>
      <x:c r="N16" s="34" t="n">
        <x:v>16.75</x:v>
      </x:c>
      <x:c r="O16" s="34" t="n">
        <x:v>17.75</x:v>
      </x:c>
      <x:c r="P16" s="34" t="n">
        <x:v>15.5</x:v>
      </x:c>
    </x:row>
    <x:row r="17">
      <x:c r="A17" s="28" t="inlineStr">
        <x:is>
          <x:t xml:space="preserve">v0.1 (as written)</x:t>
        </x:is>
      </x:c>
      <x:c r="B17" s="28" t="inlineStr">
        <x:is>
          <x:t xml:space="preserve">Epic</x:t>
        </x:is>
      </x:c>
      <x:c r="C17" s="28" t="inlineStr">
        <x:is>
          <x:t xml:space="preserve">Balanced</x:t>
        </x:is>
      </x:c>
      <x:c r="D17" s="34" t="n">
        <x:v>410.5</x:v>
      </x:c>
      <x:c r="E17" s="28" t="n">
        <x:v>300</x:v>
      </x:c>
      <x:c r="F17" s="34" t="n">
        <x:v>108</x:v>
      </x:c>
      <x:c r="G17" s="34" t="n">
        <x:v>90.25</x:v>
      </x:c>
      <x:c r="H17" s="34" t="n">
        <x:v>81.25</x:v>
      </x:c>
      <x:c r="I17" s="34" t="n">
        <x:v>62.25</x:v>
      </x:c>
      <x:c r="J17" s="34" t="n">
        <x:v>44.5</x:v>
      </x:c>
      <x:c r="K17" s="34" t="n">
        <x:v>35</x:v>
      </x:c>
      <x:c r="L17" s="34" t="n">
        <x:v>24.75</x:v>
      </x:c>
      <x:c r="M17" s="34" t="n">
        <x:v>22.25</x:v>
      </x:c>
      <x:c r="N17" s="34" t="n">
        <x:v>17</x:v>
      </x:c>
      <x:c r="O17" s="34" t="n">
        <x:v>17.75</x:v>
      </x:c>
      <x:c r="P17" s="34" t="n">
        <x:v>15.5</x:v>
      </x:c>
    </x:row>
    <x:row r="18">
      <x:c r="A18" s="28" t="inlineStr">
        <x:is>
          <x:t xml:space="preserve">v0.1 (as written)</x:t>
        </x:is>
      </x:c>
      <x:c r="B18" s="28" t="inlineStr">
        <x:is>
          <x:t xml:space="preserve">Epic</x:t>
        </x:is>
      </x:c>
      <x:c r="C18" s="28" t="inlineStr">
        <x:is>
          <x:t xml:space="preserve">Grower</x:t>
        </x:is>
      </x:c>
      <x:c r="D18" s="34" t="n">
        <x:v>333.25</x:v>
      </x:c>
      <x:c r="E18" s="28" t="n">
        <x:v>300</x:v>
      </x:c>
      <x:c r="F18" s="34" t="n">
        <x:v>68</x:v>
      </x:c>
      <x:c r="G18" s="34" t="n">
        <x:v>80.75</x:v>
      </x:c>
      <x:c r="H18" s="34" t="n">
        <x:v>59.25</x:v>
      </x:c>
      <x:c r="I18" s="34" t="n">
        <x:v>48.25</x:v>
      </x:c>
      <x:c r="J18" s="34" t="n">
        <x:v>36</x:v>
      </x:c>
      <x:c r="K18" s="34" t="n">
        <x:v>29</x:v>
      </x:c>
      <x:c r="L18" s="34" t="n">
        <x:v>20.25</x:v>
      </x:c>
      <x:c r="M18" s="34" t="n">
        <x:v>18.25</x:v>
      </x:c>
      <x:c r="N18" s="34" t="n">
        <x:v>14</x:v>
      </x:c>
      <x:c r="O18" s="34" t="n">
        <x:v>14.75</x:v>
      </x:c>
      <x:c r="P18" s="34" t="n">
        <x:v>12.75</x:v>
      </x:c>
    </x:row>
    <x:row r="19">
      <x:c r="A19" s="28" t="inlineStr">
        <x:is>
          <x:t xml:space="preserve">v0.1 (as written)</x:t>
        </x:is>
      </x:c>
      <x:c r="B19" s="28" t="inlineStr">
        <x:is>
          <x:t xml:space="preserve">Epic</x:t>
        </x:is>
      </x:c>
      <x:c r="C19" s="28" t="inlineStr">
        <x:is>
          <x:t xml:space="preserve">Builder</x:t>
        </x:is>
      </x:c>
      <x:c r="D19" s="34" t="n">
        <x:v>426</x:v>
      </x:c>
      <x:c r="E19" s="28" t="n">
        <x:v>300</x:v>
      </x:c>
      <x:c r="F19" s="34" t="n">
        <x:v>107.75</x:v>
      </x:c>
      <x:c r="G19" s="34" t="n">
        <x:v>86.25</x:v>
      </x:c>
      <x:c r="H19" s="34" t="n">
        <x:v>82.5</x:v>
      </x:c>
      <x:c r="I19" s="34" t="n">
        <x:v>65.5</x:v>
      </x:c>
      <x:c r="J19" s="34" t="n">
        <x:v>48</x:v>
      </x:c>
      <x:c r="K19" s="34" t="n">
        <x:v>38.25</x:v>
      </x:c>
      <x:c r="L19" s="34" t="n">
        <x:v>26.75</x:v>
      </x:c>
      <x:c r="M19" s="34" t="n">
        <x:v>24.25</x:v>
      </x:c>
      <x:c r="N19" s="34" t="n">
        <x:v>18.5</x:v>
      </x:c>
      <x:c r="O19" s="34" t="n">
        <x:v>19.25</x:v>
      </x:c>
      <x:c r="P19" s="34" t="n">
        <x:v>16.75</x:v>
      </x:c>
    </x:row>
    <x:row r="20">
      <x:c r="A20" s="28" t="inlineStr">
        <x:is>
          <x:t xml:space="preserve">v0.1 (as written)</x:t>
        </x:is>
      </x:c>
      <x:c r="B20" s="28" t="inlineStr">
        <x:is>
          <x:t xml:space="preserve">Epic</x:t>
        </x:is>
      </x:c>
      <x:c r="C20" s="28" t="inlineStr">
        <x:is>
          <x:t xml:space="preserve">Wanderer</x:t>
        </x:is>
      </x:c>
      <x:c r="D20" s="34" t="n">
        <x:v>406</x:v>
      </x:c>
      <x:c r="E20" s="28" t="n">
        <x:v>300</x:v>
      </x:c>
      <x:c r="F20" s="34" t="n">
        <x:v>105.5</x:v>
      </x:c>
      <x:c r="G20" s="34" t="n">
        <x:v>86.75</x:v>
      </x:c>
      <x:c r="H20" s="34" t="n">
        <x:v>81.25</x:v>
      </x:c>
      <x:c r="I20" s="34" t="n">
        <x:v>62.5</x:v>
      </x:c>
      <x:c r="J20" s="34" t="n">
        <x:v>44.75</x:v>
      </x:c>
      <x:c r="K20" s="34" t="n">
        <x:v>35.25</x:v>
      </x:c>
      <x:c r="L20" s="34" t="n">
        <x:v>24.25</x:v>
      </x:c>
      <x:c r="M20" s="34" t="n">
        <x:v>22</x:v>
      </x:c>
      <x:c r="N20" s="34" t="n">
        <x:v>16.5</x:v>
      </x:c>
      <x:c r="O20" s="34" t="n">
        <x:v>17.5</x:v>
      </x:c>
      <x:c r="P20" s="34" t="n">
        <x:v>15.25</x:v>
      </x:c>
    </x:row>
    <x:row r="21">
      <x:c r="A21" s="28" t="inlineStr">
        <x:is>
          <x:t xml:space="preserve">v0.1 (as written)</x:t>
        </x:is>
      </x:c>
      <x:c r="B21" s="28" t="inlineStr">
        <x:is>
          <x:t xml:space="preserve">Epic</x:t>
        </x:is>
      </x:c>
      <x:c r="C21" s="28" t="inlineStr">
        <x:is>
          <x:t xml:space="preserve">Warlord</x:t>
        </x:is>
      </x:c>
      <x:c r="D21" s="34" t="n">
        <x:v>460.5</x:v>
      </x:c>
      <x:c r="E21" s="28" t="n">
        <x:v>300</x:v>
      </x:c>
      <x:c r="F21" s="34" t="n">
        <x:v>129.75</x:v>
      </x:c>
      <x:c r="G21" s="34" t="n">
        <x:v>105.75</x:v>
      </x:c>
      <x:c r="H21" s="34" t="n">
        <x:v>95</x:v>
      </x:c>
      <x:c r="I21" s="34" t="n">
        <x:v>70.5</x:v>
      </x:c>
      <x:c r="J21" s="34" t="n">
        <x:v>49</x:v>
      </x:c>
      <x:c r="K21" s="34" t="n">
        <x:v>38</x:v>
      </x:c>
      <x:c r="L21" s="34" t="n">
        <x:v>26.25</x:v>
      </x:c>
      <x:c r="M21" s="34" t="n">
        <x:v>23.75</x:v>
      </x:c>
      <x:c r="N21" s="34" t="n">
        <x:v>17.75</x:v>
      </x:c>
      <x:c r="O21" s="34" t="n">
        <x:v>18.5</x:v>
      </x:c>
      <x:c r="P21" s="34" t="n">
        <x:v>16</x:v>
      </x:c>
    </x:row>
    <x:row r="22">
      <x:c r="A22" s="28" t="inlineStr">
        <x:is>
          <x:t xml:space="preserve">v0.1 (as written)</x:t>
        </x:is>
      </x:c>
      <x:c r="B22" s="28" t="inlineStr">
        <x:is>
          <x:t xml:space="preserve">Epic</x:t>
        </x:is>
      </x:c>
      <x:c r="C22" s="28" t="inlineStr">
        <x:is>
          <x:t xml:space="preserve">Sage</x:t>
        </x:is>
      </x:c>
      <x:c r="D22" s="34" t="n">
        <x:v>418.5</x:v>
      </x:c>
      <x:c r="E22" s="28" t="n">
        <x:v>300</x:v>
      </x:c>
      <x:c r="F22" s="34" t="n">
        <x:v>107.5</x:v>
      </x:c>
      <x:c r="G22" s="34" t="n">
        <x:v>87</x:v>
      </x:c>
      <x:c r="H22" s="34" t="n">
        <x:v>79.75</x:v>
      </x:c>
      <x:c r="I22" s="34" t="n">
        <x:v>63.5</x:v>
      </x:c>
      <x:c r="J22" s="34" t="n">
        <x:v>48</x:v>
      </x:c>
      <x:c r="K22" s="34" t="n">
        <x:v>38.25</x:v>
      </x:c>
      <x:c r="L22" s="34" t="n">
        <x:v>26.25</x:v>
      </x:c>
      <x:c r="M22" s="34" t="n">
        <x:v>23.25</x:v>
      </x:c>
      <x:c r="N22" s="34" t="n">
        <x:v>17.75</x:v>
      </x:c>
      <x:c r="O22" s="34" t="n">
        <x:v>18.5</x:v>
      </x:c>
      <x:c r="P22" s="34" t="n">
        <x:v>16.25</x:v>
      </x:c>
    </x:row>
    <x:row r="23">
      <x:c r="A23" s="28" t="inlineStr">
        <x:is>
          <x:t xml:space="preserve">Tuned (recommended)</x:t>
        </x:is>
      </x:c>
      <x:c r="B23" s="28" t="inlineStr">
        <x:is>
          <x:t xml:space="preserve">Standard</x:t>
        </x:is>
      </x:c>
      <x:c r="C23" s="28" t="inlineStr">
        <x:is>
          <x:t xml:space="preserve">Balanced</x:t>
        </x:is>
      </x:c>
      <x:c r="D23" s="34" t="n">
        <x:v>195</x:v>
      </x:c>
      <x:c r="E23" s="28" t="n">
        <x:v>180</x:v>
      </x:c>
      <x:c r="F23" s="34" t="n">
        <x:v>7</x:v>
      </x:c>
      <x:c r="G23" s="34" t="n">
        <x:v>7.75</x:v>
      </x:c>
      <x:c r="H23" s="34" t="n">
        <x:v>10</x:v>
      </x:c>
      <x:c r="I23" s="34" t="n">
        <x:v>14</x:v>
      </x:c>
      <x:c r="J23" s="34" t="n">
        <x:v>11.25</x:v>
      </x:c>
      <x:c r="K23" s="34" t="n">
        <x:v>16.5</x:v>
      </x:c>
      <x:c r="L23" s="34" t="n">
        <x:v>18.25</x:v>
      </x:c>
      <x:c r="M23" s="34" t="n">
        <x:v>20.25</x:v>
      </x:c>
      <x:c r="N23" s="34" t="n">
        <x:v>24.75</x:v>
      </x:c>
      <x:c r="O23" s="34" t="n">
        <x:v>33</x:v>
      </x:c>
      <x:c r="P23" s="34" t="n">
        <x:v>39.25</x:v>
      </x:c>
    </x:row>
    <x:row r="24">
      <x:c r="A24" s="28" t="inlineStr">
        <x:is>
          <x:t xml:space="preserve">Tuned (recommended)</x:t>
        </x:is>
      </x:c>
      <x:c r="B24" s="28" t="inlineStr">
        <x:is>
          <x:t xml:space="preserve">Standard</x:t>
        </x:is>
      </x:c>
      <x:c r="C24" s="28" t="inlineStr">
        <x:is>
          <x:t xml:space="preserve">Grower</x:t>
        </x:is>
      </x:c>
      <x:c r="D24" s="34" t="n">
        <x:v>172.5</x:v>
      </x:c>
      <x:c r="E24" s="28" t="n">
        <x:v>180</x:v>
      </x:c>
      <x:c r="F24" s="34" t="n">
        <x:v>8</x:v>
      </x:c>
      <x:c r="G24" s="34" t="n">
        <x:v>7.5</x:v>
      </x:c>
      <x:c r="H24" s="34" t="n">
        <x:v>9.75</x:v>
      </x:c>
      <x:c r="I24" s="34" t="n">
        <x:v>13.25</x:v>
      </x:c>
      <x:c r="J24" s="34" t="n">
        <x:v>9.75</x:v>
      </x:c>
      <x:c r="K24" s="34" t="n">
        <x:v>14</x:v>
      </x:c>
      <x:c r="L24" s="34" t="n">
        <x:v>15.25</x:v>
      </x:c>
      <x:c r="M24" s="34" t="n">
        <x:v>17.25</x:v>
      </x:c>
      <x:c r="N24" s="34" t="n">
        <x:v>21</x:v>
      </x:c>
      <x:c r="O24" s="34" t="n">
        <x:v>28.5</x:v>
      </x:c>
      <x:c r="P24" s="34" t="n">
        <x:v>36.25</x:v>
      </x:c>
    </x:row>
    <x:row r="25">
      <x:c r="A25" s="28" t="inlineStr">
        <x:is>
          <x:t xml:space="preserve">Tuned (recommended)</x:t>
        </x:is>
      </x:c>
      <x:c r="B25" s="28" t="inlineStr">
        <x:is>
          <x:t xml:space="preserve">Standard</x:t>
        </x:is>
      </x:c>
      <x:c r="C25" s="28" t="inlineStr">
        <x:is>
          <x:t xml:space="preserve">Builder</x:t>
        </x:is>
      </x:c>
      <x:c r="D25" s="34" t="n">
        <x:v>198.75</x:v>
      </x:c>
      <x:c r="E25" s="28" t="n">
        <x:v>180</x:v>
      </x:c>
      <x:c r="F25" s="34" t="n">
        <x:v>8</x:v>
      </x:c>
      <x:c r="G25" s="34" t="n">
        <x:v>7.25</x:v>
      </x:c>
      <x:c r="H25" s="34" t="n">
        <x:v>9.75</x:v>
      </x:c>
      <x:c r="I25" s="34" t="n">
        <x:v>14.25</x:v>
      </x:c>
      <x:c r="J25" s="34" t="n">
        <x:v>11.5</x:v>
      </x:c>
      <x:c r="K25" s="34" t="n">
        <x:v>16.5</x:v>
      </x:c>
      <x:c r="L25" s="34" t="n">
        <x:v>18.5</x:v>
      </x:c>
      <x:c r="M25" s="34" t="n">
        <x:v>20.75</x:v>
      </x:c>
      <x:c r="N25" s="34" t="n">
        <x:v>25</x:v>
      </x:c>
      <x:c r="O25" s="34" t="n">
        <x:v>33.75</x:v>
      </x:c>
      <x:c r="P25" s="34" t="n">
        <x:v>41.5</x:v>
      </x:c>
    </x:row>
    <x:row r="26">
      <x:c r="A26" s="28" t="inlineStr">
        <x:is>
          <x:t xml:space="preserve">Tuned (recommended)</x:t>
        </x:is>
      </x:c>
      <x:c r="B26" s="28" t="inlineStr">
        <x:is>
          <x:t xml:space="preserve">Standard</x:t>
        </x:is>
      </x:c>
      <x:c r="C26" s="28" t="inlineStr">
        <x:is>
          <x:t xml:space="preserve">Wanderer</x:t>
        </x:is>
      </x:c>
      <x:c r="D26" s="34" t="n">
        <x:v>178.5</x:v>
      </x:c>
      <x:c r="E26" s="28" t="n">
        <x:v>180</x:v>
      </x:c>
      <x:c r="F26" s="34" t="n">
        <x:v>7</x:v>
      </x:c>
      <x:c r="G26" s="34" t="n">
        <x:v>7</x:v>
      </x:c>
      <x:c r="H26" s="34" t="n">
        <x:v>9.75</x:v>
      </x:c>
      <x:c r="I26" s="34" t="n">
        <x:v>13.75</x:v>
      </x:c>
      <x:c r="J26" s="34" t="n">
        <x:v>11.25</x:v>
      </x:c>
      <x:c r="K26" s="34" t="n">
        <x:v>16.5</x:v>
      </x:c>
      <x:c r="L26" s="34" t="n">
        <x:v>18.25</x:v>
      </x:c>
      <x:c r="M26" s="34" t="n">
        <x:v>20.25</x:v>
      </x:c>
      <x:c r="N26" s="34" t="n">
        <x:v>23.5</x:v>
      </x:c>
      <x:c r="O26" s="34" t="n">
        <x:v>27.75</x:v>
      </x:c>
      <x:c r="P26" s="34" t="n">
        <x:v>30.5</x:v>
      </x:c>
    </x:row>
    <x:row r="27">
      <x:c r="A27" s="28" t="inlineStr">
        <x:is>
          <x:t xml:space="preserve">Tuned (recommended)</x:t>
        </x:is>
      </x:c>
      <x:c r="B27" s="28" t="inlineStr">
        <x:is>
          <x:t xml:space="preserve">Standard</x:t>
        </x:is>
      </x:c>
      <x:c r="C27" s="28" t="inlineStr">
        <x:is>
          <x:t xml:space="preserve">Warlord</x:t>
        </x:is>
      </x:c>
      <x:c r="D27" s="34" t="n">
        <x:v>191.25</x:v>
      </x:c>
      <x:c r="E27" s="28" t="n">
        <x:v>180</x:v>
      </x:c>
      <x:c r="F27" s="34" t="n">
        <x:v>8</x:v>
      </x:c>
      <x:c r="G27" s="34" t="n">
        <x:v>8.25</x:v>
      </x:c>
      <x:c r="H27" s="34" t="n">
        <x:v>11</x:v>
      </x:c>
      <x:c r="I27" s="34" t="n">
        <x:v>15</x:v>
      </x:c>
      <x:c r="J27" s="34" t="n">
        <x:v>11.5</x:v>
      </x:c>
      <x:c r="K27" s="34" t="n">
        <x:v>16.5</x:v>
      </x:c>
      <x:c r="L27" s="34" t="n">
        <x:v>18.25</x:v>
      </x:c>
      <x:c r="M27" s="34" t="n">
        <x:v>20.5</x:v>
      </x:c>
      <x:c r="N27" s="34" t="n">
        <x:v>24</x:v>
      </x:c>
      <x:c r="O27" s="34" t="n">
        <x:v>30.5</x:v>
      </x:c>
      <x:c r="P27" s="34" t="n">
        <x:v>35.75</x:v>
      </x:c>
    </x:row>
    <x:row r="28">
      <x:c r="A28" s="28" t="inlineStr">
        <x:is>
          <x:t xml:space="preserve">Tuned (recommended)</x:t>
        </x:is>
      </x:c>
      <x:c r="B28" s="28" t="inlineStr">
        <x:is>
          <x:t xml:space="preserve">Standard</x:t>
        </x:is>
      </x:c>
      <x:c r="C28" s="28" t="inlineStr">
        <x:is>
          <x:t xml:space="preserve">Sage</x:t>
        </x:is>
      </x:c>
      <x:c r="D28" s="34" t="n">
        <x:v>192.5</x:v>
      </x:c>
      <x:c r="E28" s="28" t="n">
        <x:v>180</x:v>
      </x:c>
      <x:c r="F28" s="34" t="n">
        <x:v>7</x:v>
      </x:c>
      <x:c r="G28" s="34" t="n">
        <x:v>7.25</x:v>
      </x:c>
      <x:c r="H28" s="34" t="n">
        <x:v>8.75</x:v>
      </x:c>
      <x:c r="I28" s="34" t="n">
        <x:v>13.25</x:v>
      </x:c>
      <x:c r="J28" s="34" t="n">
        <x:v>11.5</x:v>
      </x:c>
      <x:c r="K28" s="34" t="n">
        <x:v>16.75</x:v>
      </x:c>
      <x:c r="L28" s="34" t="n">
        <x:v>18.5</x:v>
      </x:c>
      <x:c r="M28" s="34" t="n">
        <x:v>20.5</x:v>
      </x:c>
      <x:c r="N28" s="34" t="n">
        <x:v>24.5</x:v>
      </x:c>
      <x:c r="O28" s="34" t="n">
        <x:v>33</x:v>
      </x:c>
      <x:c r="P28" s="34" t="n">
        <x:v>38.5</x:v>
      </x:c>
    </x:row>
    <x:row r="29">
      <x:c r="A29" s="28" t="inlineStr">
        <x:is>
          <x:t xml:space="preserve">Tuned (recommended)</x:t>
        </x:is>
      </x:c>
      <x:c r="B29" s="28" t="inlineStr">
        <x:is>
          <x:t xml:space="preserve">Quick</x:t>
        </x:is>
      </x:c>
      <x:c r="C29" s="28" t="inlineStr">
        <x:is>
          <x:t xml:space="preserve">Balanced</x:t>
        </x:is>
      </x:c>
      <x:c r="D29" s="34" t="n">
        <x:v>97.5</x:v>
      </x:c>
      <x:c r="E29" s="28" t="n">
        <x:v>90</x:v>
      </x:c>
      <x:c r="F29" s="34" t="n">
        <x:v>3.5</x:v>
      </x:c>
      <x:c r="G29" s="34" t="n">
        <x:v>3.88</x:v>
      </x:c>
      <x:c r="H29" s="34" t="n">
        <x:v>5</x:v>
      </x:c>
      <x:c r="I29" s="34" t="n">
        <x:v>7</x:v>
      </x:c>
      <x:c r="J29" s="34" t="n">
        <x:v>5.62</x:v>
      </x:c>
      <x:c r="K29" s="34" t="n">
        <x:v>8.25</x:v>
      </x:c>
      <x:c r="L29" s="34" t="n">
        <x:v>9.12</x:v>
      </x:c>
      <x:c r="M29" s="34" t="n">
        <x:v>10.12</x:v>
      </x:c>
      <x:c r="N29" s="34" t="n">
        <x:v>12.38</x:v>
      </x:c>
      <x:c r="O29" s="34" t="n">
        <x:v>16.5</x:v>
      </x:c>
      <x:c r="P29" s="34" t="n">
        <x:v>19.62</x:v>
      </x:c>
    </x:row>
    <x:row r="30">
      <x:c r="A30" s="28" t="inlineStr">
        <x:is>
          <x:t xml:space="preserve">Tuned (recommended)</x:t>
        </x:is>
      </x:c>
      <x:c r="B30" s="28" t="inlineStr">
        <x:is>
          <x:t xml:space="preserve">Quick</x:t>
        </x:is>
      </x:c>
      <x:c r="C30" s="28" t="inlineStr">
        <x:is>
          <x:t xml:space="preserve">Grower</x:t>
        </x:is>
      </x:c>
      <x:c r="D30" s="34" t="n">
        <x:v>86.25</x:v>
      </x:c>
      <x:c r="E30" s="28" t="n">
        <x:v>90</x:v>
      </x:c>
      <x:c r="F30" s="34" t="n">
        <x:v>4</x:v>
      </x:c>
      <x:c r="G30" s="34" t="n">
        <x:v>3.75</x:v>
      </x:c>
      <x:c r="H30" s="34" t="n">
        <x:v>4.88</x:v>
      </x:c>
      <x:c r="I30" s="34" t="n">
        <x:v>6.62</x:v>
      </x:c>
      <x:c r="J30" s="34" t="n">
        <x:v>4.88</x:v>
      </x:c>
      <x:c r="K30" s="34" t="n">
        <x:v>7</x:v>
      </x:c>
      <x:c r="L30" s="34" t="n">
        <x:v>7.62</x:v>
      </x:c>
      <x:c r="M30" s="34" t="n">
        <x:v>8.62</x:v>
      </x:c>
      <x:c r="N30" s="34" t="n">
        <x:v>10.5</x:v>
      </x:c>
      <x:c r="O30" s="34" t="n">
        <x:v>14.25</x:v>
      </x:c>
      <x:c r="P30" s="34" t="n">
        <x:v>18.12</x:v>
      </x:c>
    </x:row>
    <x:row r="31">
      <x:c r="A31" s="28" t="inlineStr">
        <x:is>
          <x:t xml:space="preserve">Tuned (recommended)</x:t>
        </x:is>
      </x:c>
      <x:c r="B31" s="28" t="inlineStr">
        <x:is>
          <x:t xml:space="preserve">Quick</x:t>
        </x:is>
      </x:c>
      <x:c r="C31" s="28" t="inlineStr">
        <x:is>
          <x:t xml:space="preserve">Builder</x:t>
        </x:is>
      </x:c>
      <x:c r="D31" s="34" t="n">
        <x:v>99.38</x:v>
      </x:c>
      <x:c r="E31" s="28" t="n">
        <x:v>90</x:v>
      </x:c>
      <x:c r="F31" s="34" t="n">
        <x:v>4</x:v>
      </x:c>
      <x:c r="G31" s="34" t="n">
        <x:v>3.62</x:v>
      </x:c>
      <x:c r="H31" s="34" t="n">
        <x:v>4.88</x:v>
      </x:c>
      <x:c r="I31" s="34" t="n">
        <x:v>7.12</x:v>
      </x:c>
      <x:c r="J31" s="34" t="n">
        <x:v>5.75</x:v>
      </x:c>
      <x:c r="K31" s="34" t="n">
        <x:v>8.25</x:v>
      </x:c>
      <x:c r="L31" s="34" t="n">
        <x:v>9.25</x:v>
      </x:c>
      <x:c r="M31" s="34" t="n">
        <x:v>10.38</x:v>
      </x:c>
      <x:c r="N31" s="34" t="n">
        <x:v>12.5</x:v>
      </x:c>
      <x:c r="O31" s="34" t="n">
        <x:v>16.88</x:v>
      </x:c>
      <x:c r="P31" s="34" t="n">
        <x:v>20.75</x:v>
      </x:c>
    </x:row>
    <x:row r="32">
      <x:c r="A32" s="28" t="inlineStr">
        <x:is>
          <x:t xml:space="preserve">Tuned (recommended)</x:t>
        </x:is>
      </x:c>
      <x:c r="B32" s="28" t="inlineStr">
        <x:is>
          <x:t xml:space="preserve">Quick</x:t>
        </x:is>
      </x:c>
      <x:c r="C32" s="28" t="inlineStr">
        <x:is>
          <x:t xml:space="preserve">Wanderer</x:t>
        </x:is>
      </x:c>
      <x:c r="D32" s="34" t="n">
        <x:v>89.25</x:v>
      </x:c>
      <x:c r="E32" s="28" t="n">
        <x:v>90</x:v>
      </x:c>
      <x:c r="F32" s="34" t="n">
        <x:v>3.5</x:v>
      </x:c>
      <x:c r="G32" s="34" t="n">
        <x:v>3.5</x:v>
      </x:c>
      <x:c r="H32" s="34" t="n">
        <x:v>4.88</x:v>
      </x:c>
      <x:c r="I32" s="34" t="n">
        <x:v>6.88</x:v>
      </x:c>
      <x:c r="J32" s="34" t="n">
        <x:v>5.62</x:v>
      </x:c>
      <x:c r="K32" s="34" t="n">
        <x:v>8.25</x:v>
      </x:c>
      <x:c r="L32" s="34" t="n">
        <x:v>9.12</x:v>
      </x:c>
      <x:c r="M32" s="34" t="n">
        <x:v>10.12</x:v>
      </x:c>
      <x:c r="N32" s="34" t="n">
        <x:v>11.75</x:v>
      </x:c>
      <x:c r="O32" s="34" t="n">
        <x:v>13.88</x:v>
      </x:c>
      <x:c r="P32" s="34" t="n">
        <x:v>15.25</x:v>
      </x:c>
    </x:row>
    <x:row r="33">
      <x:c r="A33" s="28" t="inlineStr">
        <x:is>
          <x:t xml:space="preserve">Tuned (recommended)</x:t>
        </x:is>
      </x:c>
      <x:c r="B33" s="28" t="inlineStr">
        <x:is>
          <x:t xml:space="preserve">Quick</x:t>
        </x:is>
      </x:c>
      <x:c r="C33" s="28" t="inlineStr">
        <x:is>
          <x:t xml:space="preserve">Warlord</x:t>
        </x:is>
      </x:c>
      <x:c r="D33" s="34" t="n">
        <x:v>95.62</x:v>
      </x:c>
      <x:c r="E33" s="28" t="n">
        <x:v>90</x:v>
      </x:c>
      <x:c r="F33" s="34" t="n">
        <x:v>4</x:v>
      </x:c>
      <x:c r="G33" s="34" t="n">
        <x:v>4.12</x:v>
      </x:c>
      <x:c r="H33" s="34" t="n">
        <x:v>5.5</x:v>
      </x:c>
      <x:c r="I33" s="34" t="n">
        <x:v>7.5</x:v>
      </x:c>
      <x:c r="J33" s="34" t="n">
        <x:v>5.75</x:v>
      </x:c>
      <x:c r="K33" s="34" t="n">
        <x:v>8.25</x:v>
      </x:c>
      <x:c r="L33" s="34" t="n">
        <x:v>9.12</x:v>
      </x:c>
      <x:c r="M33" s="34" t="n">
        <x:v>10.25</x:v>
      </x:c>
      <x:c r="N33" s="34" t="n">
        <x:v>12</x:v>
      </x:c>
      <x:c r="O33" s="34" t="n">
        <x:v>15.25</x:v>
      </x:c>
      <x:c r="P33" s="34" t="n">
        <x:v>17.88</x:v>
      </x:c>
    </x:row>
    <x:row r="34">
      <x:c r="A34" s="28" t="inlineStr">
        <x:is>
          <x:t xml:space="preserve">Tuned (recommended)</x:t>
        </x:is>
      </x:c>
      <x:c r="B34" s="28" t="inlineStr">
        <x:is>
          <x:t xml:space="preserve">Quick</x:t>
        </x:is>
      </x:c>
      <x:c r="C34" s="28" t="inlineStr">
        <x:is>
          <x:t xml:space="preserve">Sage</x:t>
        </x:is>
      </x:c>
      <x:c r="D34" s="34" t="n">
        <x:v>96.25</x:v>
      </x:c>
      <x:c r="E34" s="28" t="n">
        <x:v>90</x:v>
      </x:c>
      <x:c r="F34" s="34" t="n">
        <x:v>3.5</x:v>
      </x:c>
      <x:c r="G34" s="34" t="n">
        <x:v>3.62</x:v>
      </x:c>
      <x:c r="H34" s="34" t="n">
        <x:v>4.38</x:v>
      </x:c>
      <x:c r="I34" s="34" t="n">
        <x:v>6.62</x:v>
      </x:c>
      <x:c r="J34" s="34" t="n">
        <x:v>5.75</x:v>
      </x:c>
      <x:c r="K34" s="34" t="n">
        <x:v>8.38</x:v>
      </x:c>
      <x:c r="L34" s="34" t="n">
        <x:v>9.25</x:v>
      </x:c>
      <x:c r="M34" s="34" t="n">
        <x:v>10.25</x:v>
      </x:c>
      <x:c r="N34" s="34" t="n">
        <x:v>12.25</x:v>
      </x:c>
      <x:c r="O34" s="34" t="n">
        <x:v>16.5</x:v>
      </x:c>
      <x:c r="P34" s="34" t="n">
        <x:v>19.25</x:v>
      </x:c>
    </x:row>
    <x:row r="35">
      <x:c r="A35" s="28" t="inlineStr">
        <x:is>
          <x:t xml:space="preserve">Tuned (recommended)</x:t>
        </x:is>
      </x:c>
      <x:c r="B35" s="28" t="inlineStr">
        <x:is>
          <x:t xml:space="preserve">Epic</x:t>
        </x:is>
      </x:c>
      <x:c r="C35" s="28" t="inlineStr">
        <x:is>
          <x:t xml:space="preserve">Balanced</x:t>
        </x:is>
      </x:c>
      <x:c r="D35" s="34" t="n">
        <x:v>338</x:v>
      </x:c>
      <x:c r="E35" s="28" t="n">
        <x:v>300</x:v>
      </x:c>
      <x:c r="F35" s="34" t="n">
        <x:v>12.13</x:v>
      </x:c>
      <x:c r="G35" s="34" t="n">
        <x:v>13.43</x:v>
      </x:c>
      <x:c r="H35" s="34" t="n">
        <x:v>17.33</x:v>
      </x:c>
      <x:c r="I35" s="34" t="n">
        <x:v>24.27</x:v>
      </x:c>
      <x:c r="J35" s="34" t="n">
        <x:v>19.5</x:v>
      </x:c>
      <x:c r="K35" s="34" t="n">
        <x:v>28.6</x:v>
      </x:c>
      <x:c r="L35" s="34" t="n">
        <x:v>31.63</x:v>
      </x:c>
      <x:c r="M35" s="34" t="n">
        <x:v>35.1</x:v>
      </x:c>
      <x:c r="N35" s="34" t="n">
        <x:v>42.9</x:v>
      </x:c>
      <x:c r="O35" s="34" t="n">
        <x:v>57.2</x:v>
      </x:c>
      <x:c r="P35" s="34" t="n">
        <x:v>68.03</x:v>
      </x:c>
    </x:row>
    <x:row r="36">
      <x:c r="A36" s="28" t="inlineStr">
        <x:is>
          <x:t xml:space="preserve">Tuned (recommended)</x:t>
        </x:is>
      </x:c>
      <x:c r="B36" s="28" t="inlineStr">
        <x:is>
          <x:t xml:space="preserve">Epic</x:t>
        </x:is>
      </x:c>
      <x:c r="C36" s="28" t="inlineStr">
        <x:is>
          <x:t xml:space="preserve">Grower</x:t>
        </x:is>
      </x:c>
      <x:c r="D36" s="34" t="n">
        <x:v>299</x:v>
      </x:c>
      <x:c r="E36" s="28" t="n">
        <x:v>300</x:v>
      </x:c>
      <x:c r="F36" s="34" t="n">
        <x:v>13.87</x:v>
      </x:c>
      <x:c r="G36" s="34" t="n">
        <x:v>13</x:v>
      </x:c>
      <x:c r="H36" s="34" t="n">
        <x:v>16.9</x:v>
      </x:c>
      <x:c r="I36" s="34" t="n">
        <x:v>22.97</x:v>
      </x:c>
      <x:c r="J36" s="34" t="n">
        <x:v>16.9</x:v>
      </x:c>
      <x:c r="K36" s="34" t="n">
        <x:v>24.27</x:v>
      </x:c>
      <x:c r="L36" s="34" t="n">
        <x:v>26.43</x:v>
      </x:c>
      <x:c r="M36" s="34" t="n">
        <x:v>29.9</x:v>
      </x:c>
      <x:c r="N36" s="34" t="n">
        <x:v>36.4</x:v>
      </x:c>
      <x:c r="O36" s="34" t="n">
        <x:v>49.4</x:v>
      </x:c>
      <x:c r="P36" s="34" t="n">
        <x:v>62.83</x:v>
      </x:c>
    </x:row>
    <x:row r="37">
      <x:c r="A37" s="28" t="inlineStr">
        <x:is>
          <x:t xml:space="preserve">Tuned (recommended)</x:t>
        </x:is>
      </x:c>
      <x:c r="B37" s="28" t="inlineStr">
        <x:is>
          <x:t xml:space="preserve">Epic</x:t>
        </x:is>
      </x:c>
      <x:c r="C37" s="28" t="inlineStr">
        <x:is>
          <x:t xml:space="preserve">Builder</x:t>
        </x:is>
      </x:c>
      <x:c r="D37" s="34" t="n">
        <x:v>344.5</x:v>
      </x:c>
      <x:c r="E37" s="28" t="n">
        <x:v>300</x:v>
      </x:c>
      <x:c r="F37" s="34" t="n">
        <x:v>13.87</x:v>
      </x:c>
      <x:c r="G37" s="34" t="n">
        <x:v>12.57</x:v>
      </x:c>
      <x:c r="H37" s="34" t="n">
        <x:v>16.9</x:v>
      </x:c>
      <x:c r="I37" s="34" t="n">
        <x:v>24.7</x:v>
      </x:c>
      <x:c r="J37" s="34" t="n">
        <x:v>19.93</x:v>
      </x:c>
      <x:c r="K37" s="34" t="n">
        <x:v>28.6</x:v>
      </x:c>
      <x:c r="L37" s="34" t="n">
        <x:v>32.07</x:v>
      </x:c>
      <x:c r="M37" s="34" t="n">
        <x:v>35.97</x:v>
      </x:c>
      <x:c r="N37" s="34" t="n">
        <x:v>43.33</x:v>
      </x:c>
      <x:c r="O37" s="34" t="n">
        <x:v>58.5</x:v>
      </x:c>
      <x:c r="P37" s="34" t="n">
        <x:v>71.93</x:v>
      </x:c>
    </x:row>
    <x:row r="38">
      <x:c r="A38" s="28" t="inlineStr">
        <x:is>
          <x:t xml:space="preserve">Tuned (recommended)</x:t>
        </x:is>
      </x:c>
      <x:c r="B38" s="28" t="inlineStr">
        <x:is>
          <x:t xml:space="preserve">Epic</x:t>
        </x:is>
      </x:c>
      <x:c r="C38" s="28" t="inlineStr">
        <x:is>
          <x:t xml:space="preserve">Wanderer</x:t>
        </x:is>
      </x:c>
      <x:c r="D38" s="34" t="n">
        <x:v>309.4</x:v>
      </x:c>
      <x:c r="E38" s="28" t="n">
        <x:v>300</x:v>
      </x:c>
      <x:c r="F38" s="34" t="n">
        <x:v>12.13</x:v>
      </x:c>
      <x:c r="G38" s="34" t="n">
        <x:v>12.13</x:v>
      </x:c>
      <x:c r="H38" s="34" t="n">
        <x:v>16.9</x:v>
      </x:c>
      <x:c r="I38" s="34" t="n">
        <x:v>23.83</x:v>
      </x:c>
      <x:c r="J38" s="34" t="n">
        <x:v>19.5</x:v>
      </x:c>
      <x:c r="K38" s="34" t="n">
        <x:v>28.6</x:v>
      </x:c>
      <x:c r="L38" s="34" t="n">
        <x:v>31.63</x:v>
      </x:c>
      <x:c r="M38" s="34" t="n">
        <x:v>35.1</x:v>
      </x:c>
      <x:c r="N38" s="34" t="n">
        <x:v>40.73</x:v>
      </x:c>
      <x:c r="O38" s="34" t="n">
        <x:v>48.1</x:v>
      </x:c>
      <x:c r="P38" s="34" t="n">
        <x:v>52.87</x:v>
      </x:c>
    </x:row>
    <x:row r="39">
      <x:c r="A39" s="28" t="inlineStr">
        <x:is>
          <x:t xml:space="preserve">Tuned (recommended)</x:t>
        </x:is>
      </x:c>
      <x:c r="B39" s="28" t="inlineStr">
        <x:is>
          <x:t xml:space="preserve">Epic</x:t>
        </x:is>
      </x:c>
      <x:c r="C39" s="28" t="inlineStr">
        <x:is>
          <x:t xml:space="preserve">Warlord</x:t>
        </x:is>
      </x:c>
      <x:c r="D39" s="34" t="n">
        <x:v>331.5</x:v>
      </x:c>
      <x:c r="E39" s="28" t="n">
        <x:v>300</x:v>
      </x:c>
      <x:c r="F39" s="34" t="n">
        <x:v>13.87</x:v>
      </x:c>
      <x:c r="G39" s="34" t="n">
        <x:v>14.3</x:v>
      </x:c>
      <x:c r="H39" s="34" t="n">
        <x:v>19.07</x:v>
      </x:c>
      <x:c r="I39" s="34" t="n">
        <x:v>26</x:v>
      </x:c>
      <x:c r="J39" s="34" t="n">
        <x:v>19.93</x:v>
      </x:c>
      <x:c r="K39" s="34" t="n">
        <x:v>28.6</x:v>
      </x:c>
      <x:c r="L39" s="34" t="n">
        <x:v>31.63</x:v>
      </x:c>
      <x:c r="M39" s="34" t="n">
        <x:v>35.53</x:v>
      </x:c>
      <x:c r="N39" s="34" t="n">
        <x:v>41.6</x:v>
      </x:c>
      <x:c r="O39" s="34" t="n">
        <x:v>52.87</x:v>
      </x:c>
      <x:c r="P39" s="34" t="n">
        <x:v>61.97</x:v>
      </x:c>
    </x:row>
    <x:row r="40">
      <x:c r="A40" s="28" t="inlineStr">
        <x:is>
          <x:t xml:space="preserve">Tuned (recommended)</x:t>
        </x:is>
      </x:c>
      <x:c r="B40" s="28" t="inlineStr">
        <x:is>
          <x:t xml:space="preserve">Epic</x:t>
        </x:is>
      </x:c>
      <x:c r="C40" s="28" t="inlineStr">
        <x:is>
          <x:t xml:space="preserve">Sage</x:t>
        </x:is>
      </x:c>
      <x:c r="D40" s="34" t="n">
        <x:v>333.67</x:v>
      </x:c>
      <x:c r="E40" s="28" t="n">
        <x:v>300</x:v>
      </x:c>
      <x:c r="F40" s="34" t="n">
        <x:v>12.13</x:v>
      </x:c>
      <x:c r="G40" s="34" t="n">
        <x:v>12.57</x:v>
      </x:c>
      <x:c r="H40" s="34" t="n">
        <x:v>15.17</x:v>
      </x:c>
      <x:c r="I40" s="34" t="n">
        <x:v>22.97</x:v>
      </x:c>
      <x:c r="J40" s="34" t="n">
        <x:v>19.93</x:v>
      </x:c>
      <x:c r="K40" s="34" t="n">
        <x:v>29.03</x:v>
      </x:c>
      <x:c r="L40" s="34" t="n">
        <x:v>32.07</x:v>
      </x:c>
      <x:c r="M40" s="34" t="n">
        <x:v>35.53</x:v>
      </x:c>
      <x:c r="N40" s="34" t="n">
        <x:v>42.47</x:v>
      </x:c>
      <x:c r="O40" s="34" t="n">
        <x:v>57.2</x:v>
      </x:c>
      <x:c r="P40" s="34" t="n">
        <x:v>66.73</x:v>
      </x:c>
    </x:row>
  </x:sheetData>
  <x:mergeCells>
    <x:mergeCell ref="A2:P2"/>
  </x:mergeCells>
  <x:pageMargins left="0.7" right="0.7" top="0.75" bottom="0.75" header="0.3" footer="0.3"/>
</x:worksheet>
</file>